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ICBFWFILE\public\JohnMc\2020_jan_eval_run\"/>
    </mc:Choice>
  </mc:AlternateContent>
  <xr:revisionPtr revIDLastSave="0" documentId="13_ncr:1_{58D3C6DE-59C2-4588-A155-B5D6579F03E2}" xr6:coauthVersionLast="41" xr6:coauthVersionMax="45" xr10:uidLastSave="{00000000-0000-0000-0000-000000000000}"/>
  <bookViews>
    <workbookView xWindow="48000" yWindow="0" windowWidth="19200" windowHeight="15600" xr2:uid="{00000000-000D-0000-FFFF-FFFF00000000}"/>
  </bookViews>
  <sheets>
    <sheet name="BV_Extract_Dairy_web_230120" sheetId="1" r:id="rId1"/>
    <sheet name="Sheet1" sheetId="2" r:id="rId2"/>
  </sheets>
  <definedNames>
    <definedName name="_xlnm._FilterDatabase" localSheetId="0" hidden="1">BV_Extract_Dairy_web_230120!$A$5:$CX$5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499" i="1" l="1"/>
  <c r="A4390" i="1"/>
  <c r="A4313" i="1"/>
  <c r="A3652" i="1"/>
  <c r="A4033" i="1"/>
  <c r="A1877" i="1"/>
  <c r="A4407" i="1"/>
  <c r="A4354" i="1"/>
  <c r="A2844" i="1"/>
  <c r="A2290" i="1"/>
  <c r="A3387" i="1"/>
  <c r="A3817" i="1"/>
  <c r="A4232" i="1"/>
  <c r="A4368" i="1"/>
  <c r="A1561" i="1"/>
  <c r="A4257" i="1"/>
  <c r="A3366" i="1"/>
  <c r="A2408" i="1"/>
  <c r="A2962" i="1"/>
  <c r="A3268" i="1"/>
  <c r="A2407" i="1"/>
  <c r="A2629" i="1"/>
  <c r="A658" i="1"/>
  <c r="A1876" i="1"/>
  <c r="A3127" i="1"/>
  <c r="A1397" i="1"/>
  <c r="A1970" i="1"/>
  <c r="A262" i="1"/>
  <c r="A2699" i="1"/>
  <c r="A888" i="1"/>
  <c r="A1806" i="1"/>
  <c r="A3114" i="1"/>
  <c r="A4660" i="1"/>
  <c r="A3553" i="1"/>
  <c r="A1342" i="1"/>
  <c r="A4085" i="1"/>
  <c r="A4839" i="1"/>
  <c r="A2830" i="1"/>
  <c r="A1430" i="1"/>
  <c r="A1407" i="1"/>
  <c r="A2436" i="1"/>
  <c r="A2769" i="1"/>
  <c r="A1160" i="1"/>
  <c r="A1078" i="1"/>
  <c r="A62" i="1"/>
  <c r="A3010" i="1"/>
  <c r="A1213" i="1"/>
  <c r="A2817" i="1"/>
  <c r="A2449" i="1"/>
  <c r="A1969" i="1"/>
  <c r="A3069" i="1"/>
  <c r="A529" i="1"/>
  <c r="A1245" i="1"/>
  <c r="A1198" i="1"/>
  <c r="A757" i="1"/>
  <c r="A1494" i="1"/>
  <c r="A180" i="1"/>
  <c r="A461" i="1"/>
  <c r="A1507" i="1"/>
  <c r="A1258" i="1"/>
  <c r="A2038" i="1"/>
  <c r="A109" i="1"/>
  <c r="A736" i="1"/>
  <c r="A758" i="1"/>
  <c r="A126" i="1"/>
  <c r="A3314" i="1"/>
  <c r="A1089" i="1"/>
  <c r="A1616" i="1"/>
  <c r="A1966" i="1"/>
  <c r="A312" i="1"/>
  <c r="A479" i="1"/>
  <c r="A1369" i="1"/>
  <c r="A2452" i="1"/>
  <c r="A4240" i="1"/>
  <c r="A3931" i="1"/>
  <c r="A4059" i="1"/>
  <c r="A4613" i="1"/>
  <c r="A3793" i="1"/>
  <c r="A3119" i="1"/>
  <c r="A2591" i="1"/>
  <c r="A1229" i="1"/>
  <c r="A4122" i="1"/>
  <c r="A3167" i="1"/>
  <c r="A2039" i="1"/>
  <c r="A2636" i="1"/>
  <c r="A3848" i="1"/>
  <c r="A3894" i="1"/>
  <c r="A1819" i="1"/>
  <c r="A3346" i="1"/>
  <c r="A2581" i="1"/>
  <c r="A3221" i="1"/>
  <c r="A4016" i="1"/>
  <c r="A1084" i="1"/>
  <c r="A3561" i="1"/>
  <c r="A2081" i="1"/>
  <c r="A3856" i="1"/>
  <c r="A868" i="1"/>
  <c r="A2726" i="1"/>
  <c r="A3982" i="1"/>
  <c r="A2430" i="1"/>
  <c r="A4372" i="1"/>
  <c r="A2741" i="1"/>
  <c r="A2584" i="1"/>
  <c r="A3481" i="1"/>
  <c r="A2969" i="1"/>
  <c r="A3934" i="1"/>
  <c r="A3854" i="1"/>
  <c r="A3868" i="1"/>
  <c r="A3811" i="1"/>
  <c r="A3128" i="1"/>
  <c r="A3311" i="1"/>
  <c r="A4715" i="1"/>
  <c r="A4856" i="1"/>
  <c r="A3345" i="1"/>
  <c r="A4089" i="1"/>
  <c r="A3136" i="1"/>
  <c r="A4471" i="1"/>
  <c r="A3722" i="1"/>
  <c r="A4472" i="1"/>
  <c r="A4983" i="1"/>
  <c r="A4898" i="1"/>
  <c r="A1357" i="1"/>
  <c r="A2106" i="1"/>
  <c r="A3001" i="1"/>
  <c r="A3508" i="1"/>
  <c r="A4559" i="1"/>
  <c r="A1638" i="1"/>
  <c r="A4807" i="1"/>
  <c r="A5002" i="1"/>
  <c r="A1565" i="1"/>
  <c r="A1769" i="1"/>
  <c r="A3905" i="1"/>
  <c r="A2513" i="1"/>
  <c r="A2428" i="1"/>
  <c r="A2309" i="1"/>
  <c r="A4117" i="1"/>
  <c r="A2141" i="1"/>
  <c r="A3822" i="1"/>
  <c r="A4286" i="1"/>
  <c r="A3586" i="1"/>
  <c r="A4244" i="1"/>
  <c r="A3944" i="1"/>
  <c r="A2663" i="1"/>
  <c r="A4440" i="1"/>
  <c r="A4063" i="1"/>
  <c r="A3479" i="1"/>
  <c r="A2084" i="1"/>
  <c r="A1469" i="1"/>
  <c r="A2459" i="1"/>
  <c r="A4514" i="1"/>
  <c r="A4069" i="1"/>
  <c r="A3689" i="1"/>
  <c r="A4167" i="1"/>
  <c r="A4967" i="1"/>
  <c r="A3328" i="1"/>
  <c r="A1874" i="1"/>
  <c r="A3261" i="1"/>
  <c r="A4087" i="1"/>
  <c r="A4259" i="1"/>
  <c r="A3662" i="1"/>
  <c r="A4846" i="1"/>
  <c r="A3658" i="1"/>
  <c r="A2778" i="1"/>
  <c r="A3677" i="1"/>
  <c r="A4676" i="1"/>
  <c r="A3071" i="1"/>
  <c r="A4903" i="1"/>
  <c r="A4505" i="1"/>
  <c r="A4889" i="1"/>
  <c r="A4346" i="1"/>
  <c r="A3168" i="1"/>
  <c r="A4925" i="1"/>
  <c r="A2948" i="1"/>
  <c r="A3874" i="1"/>
  <c r="A4347" i="1"/>
  <c r="A1755" i="1"/>
  <c r="A4152" i="1"/>
  <c r="A3265" i="1"/>
  <c r="A3468" i="1"/>
  <c r="A4665" i="1"/>
  <c r="A4630" i="1"/>
  <c r="A3252" i="1"/>
  <c r="A4600" i="1"/>
  <c r="A4591" i="1"/>
  <c r="A4047" i="1"/>
  <c r="A3057" i="1"/>
  <c r="A2445" i="1"/>
  <c r="A3788" i="1"/>
  <c r="A2649" i="1"/>
  <c r="A2370" i="1"/>
  <c r="A4377" i="1"/>
  <c r="A4220" i="1"/>
  <c r="A3270" i="1"/>
  <c r="A4659" i="1"/>
  <c r="A4780" i="1"/>
  <c r="A2292" i="1"/>
  <c r="A2945" i="1"/>
  <c r="A4767" i="1"/>
  <c r="A2647" i="1"/>
  <c r="A4496" i="1"/>
  <c r="A4482" i="1"/>
  <c r="A3960" i="1"/>
  <c r="A2951" i="1"/>
  <c r="A3940" i="1"/>
  <c r="A2188" i="1"/>
  <c r="A3629" i="1"/>
  <c r="A4108" i="1"/>
  <c r="A4682" i="1"/>
  <c r="A2358" i="1"/>
  <c r="A3038" i="1"/>
  <c r="A3241" i="1"/>
  <c r="A3640" i="1"/>
  <c r="A4352" i="1"/>
  <c r="A2000" i="1"/>
  <c r="A2686" i="1"/>
  <c r="A1705" i="1"/>
  <c r="A1567" i="1"/>
  <c r="A3225" i="1"/>
  <c r="A4845" i="1"/>
  <c r="A4179" i="1"/>
  <c r="A4958" i="1"/>
  <c r="A2744" i="1"/>
  <c r="A3949" i="1"/>
  <c r="A4926" i="1"/>
  <c r="A4758" i="1"/>
  <c r="A517" i="1"/>
  <c r="A3384" i="1"/>
  <c r="A1224" i="1"/>
  <c r="A2487" i="1"/>
  <c r="A1784" i="1"/>
  <c r="A2075" i="1"/>
  <c r="A2996" i="1"/>
  <c r="A1336" i="1"/>
  <c r="A1838" i="1"/>
  <c r="A1000" i="1"/>
  <c r="A2427" i="1"/>
  <c r="A2373" i="1"/>
  <c r="A2878" i="1"/>
  <c r="A4040" i="1"/>
  <c r="A4310" i="1"/>
  <c r="A4585" i="1"/>
  <c r="A3133" i="1"/>
  <c r="A3440" i="1"/>
  <c r="A2743" i="1"/>
  <c r="A3995" i="1"/>
  <c r="A799" i="1"/>
  <c r="A4651" i="1"/>
  <c r="A2825" i="1"/>
  <c r="A4654" i="1"/>
  <c r="A2821" i="1"/>
  <c r="A2473" i="1"/>
  <c r="A3759" i="1"/>
  <c r="A4180" i="1"/>
  <c r="A2181" i="1"/>
  <c r="A1572" i="1"/>
  <c r="A4248" i="1"/>
  <c r="A4980" i="1"/>
  <c r="A4924" i="1"/>
  <c r="A4540" i="1"/>
  <c r="A1994" i="1"/>
  <c r="A866" i="1"/>
  <c r="A3135" i="1"/>
  <c r="A4181" i="1"/>
  <c r="A4928" i="1"/>
  <c r="A820" i="1"/>
  <c r="A4479" i="1"/>
  <c r="A3407" i="1"/>
  <c r="A796" i="1"/>
  <c r="A4522" i="1"/>
  <c r="A2944" i="1"/>
  <c r="A1892" i="1"/>
  <c r="A4763" i="1"/>
  <c r="A4500" i="1"/>
  <c r="A4363" i="1"/>
  <c r="A992" i="1"/>
  <c r="A3885" i="1"/>
  <c r="A4568" i="1"/>
  <c r="A3217" i="1"/>
  <c r="A3165" i="1"/>
  <c r="A3080" i="1"/>
  <c r="A3337" i="1"/>
  <c r="A3308" i="1"/>
  <c r="A4517" i="1"/>
  <c r="A1774" i="1"/>
  <c r="A3877" i="1"/>
  <c r="A5014" i="1"/>
  <c r="A3041" i="1"/>
  <c r="A3855" i="1"/>
  <c r="A4454" i="1"/>
  <c r="A4176" i="1"/>
  <c r="A3237" i="1"/>
  <c r="A4748" i="1"/>
  <c r="A3410" i="1"/>
  <c r="A4245" i="1"/>
  <c r="A4677" i="1"/>
  <c r="A3210" i="1"/>
  <c r="A2344" i="1"/>
  <c r="A3111" i="1"/>
  <c r="A4219" i="1"/>
  <c r="A1780" i="1"/>
  <c r="A2569" i="1"/>
  <c r="A2740" i="1"/>
  <c r="A3044" i="1"/>
  <c r="A1587" i="1"/>
  <c r="A3156" i="1"/>
  <c r="A929" i="1"/>
  <c r="A602" i="1"/>
  <c r="A894" i="1"/>
  <c r="A4086" i="1"/>
  <c r="A3082" i="1"/>
  <c r="A3097" i="1"/>
  <c r="A2988" i="1"/>
  <c r="A3895" i="1"/>
  <c r="A3947" i="1"/>
  <c r="A3784" i="1"/>
  <c r="A977" i="1"/>
  <c r="A2611" i="1"/>
  <c r="A859" i="1"/>
  <c r="A932" i="1"/>
  <c r="A400" i="1"/>
  <c r="A3700" i="1"/>
  <c r="A1632" i="1"/>
  <c r="A3166" i="1"/>
  <c r="A2672" i="1"/>
  <c r="A3836" i="1"/>
  <c r="A4882" i="1"/>
  <c r="A2315" i="1"/>
  <c r="A4639" i="1"/>
  <c r="A4297" i="1"/>
  <c r="A3368" i="1"/>
  <c r="A2245" i="1"/>
  <c r="A3613" i="1"/>
  <c r="A1979" i="1"/>
  <c r="A4410" i="1"/>
  <c r="A4850" i="1"/>
  <c r="A4730" i="1"/>
  <c r="A4023" i="1"/>
  <c r="A772" i="1"/>
  <c r="A2089" i="1"/>
  <c r="A3733" i="1"/>
  <c r="A748" i="1"/>
  <c r="A1158" i="1"/>
  <c r="A652" i="1"/>
  <c r="A2972" i="1"/>
  <c r="A1533" i="1"/>
  <c r="A2790" i="1"/>
  <c r="A4876" i="1"/>
  <c r="A2516" i="1"/>
  <c r="A3797" i="1"/>
  <c r="A4701" i="1"/>
  <c r="A1511" i="1"/>
  <c r="A4687" i="1"/>
  <c r="A2517" i="1"/>
  <c r="A1310" i="1"/>
  <c r="A4035" i="1"/>
  <c r="A1119" i="1"/>
  <c r="A3516" i="1"/>
  <c r="A4336" i="1"/>
  <c r="A4053" i="1"/>
  <c r="A2411" i="1"/>
  <c r="A108" i="1"/>
  <c r="A4157" i="1"/>
  <c r="A4586" i="1"/>
  <c r="A3233" i="1"/>
  <c r="A4066" i="1"/>
  <c r="A2481" i="1"/>
  <c r="A3085" i="1"/>
  <c r="A2902" i="1"/>
  <c r="A2469" i="1"/>
  <c r="A641" i="1"/>
  <c r="A1948" i="1"/>
  <c r="A289" i="1"/>
  <c r="A3014" i="1"/>
  <c r="A2880" i="1"/>
  <c r="A2490" i="1"/>
  <c r="A3707" i="1"/>
  <c r="A4416" i="1"/>
  <c r="A2017" i="1"/>
  <c r="A1782" i="1"/>
  <c r="A3756" i="1"/>
  <c r="A3032" i="1"/>
  <c r="A3276" i="1"/>
  <c r="A1751" i="1"/>
  <c r="A845" i="1"/>
  <c r="A1348" i="1"/>
  <c r="A3248" i="1"/>
  <c r="A228" i="1"/>
  <c r="A547" i="1"/>
  <c r="A4439" i="1"/>
  <c r="A1314" i="1"/>
  <c r="A840" i="1"/>
  <c r="A2614" i="1"/>
  <c r="A2279" i="1"/>
  <c r="A3473" i="1"/>
  <c r="A1403" i="1"/>
  <c r="A1007" i="1"/>
  <c r="A954" i="1"/>
  <c r="A826" i="1"/>
  <c r="A1482" i="1"/>
  <c r="A1546" i="1"/>
  <c r="A4236" i="1"/>
  <c r="A2183" i="1"/>
  <c r="A509" i="1"/>
  <c r="A587" i="1"/>
  <c r="A4024" i="1"/>
  <c r="A217" i="1"/>
  <c r="A1178" i="1"/>
  <c r="A1606" i="1"/>
  <c r="A1059" i="1"/>
  <c r="A1415" i="1"/>
  <c r="A3904" i="1"/>
  <c r="A2429" i="1"/>
  <c r="A3427" i="1"/>
  <c r="A855" i="1"/>
  <c r="A3169" i="1"/>
  <c r="A1754" i="1"/>
  <c r="A2644" i="1"/>
  <c r="A3900" i="1"/>
  <c r="A2582" i="1"/>
  <c r="A242" i="1"/>
  <c r="A436" i="1"/>
  <c r="A2977" i="1"/>
  <c r="A500" i="1"/>
  <c r="A2576" i="1"/>
  <c r="A902" i="1"/>
  <c r="A1498" i="1"/>
  <c r="A2121" i="1"/>
  <c r="A1523" i="1"/>
  <c r="A549" i="1"/>
  <c r="A357" i="1"/>
  <c r="A779" i="1"/>
  <c r="A3512" i="1"/>
  <c r="A3674" i="1"/>
  <c r="A1139" i="1"/>
  <c r="A313" i="1"/>
  <c r="A414" i="1"/>
  <c r="A223" i="1"/>
  <c r="A2020" i="1"/>
  <c r="A2216" i="1"/>
  <c r="A1909" i="1"/>
  <c r="A2116" i="1"/>
  <c r="A2178" i="1"/>
  <c r="A1822" i="1"/>
  <c r="A861" i="1"/>
  <c r="A1093" i="1"/>
  <c r="A210" i="1"/>
  <c r="A307" i="1"/>
  <c r="A1162" i="1"/>
  <c r="A849" i="1"/>
  <c r="A568" i="1"/>
  <c r="A2146" i="1"/>
  <c r="A746" i="1"/>
  <c r="A637" i="1"/>
  <c r="A979" i="1"/>
  <c r="A1221" i="1"/>
  <c r="A632" i="1"/>
  <c r="A2687" i="1"/>
  <c r="A2461" i="1"/>
  <c r="A1086" i="1"/>
  <c r="A997" i="1"/>
  <c r="A949" i="1"/>
  <c r="A3263" i="1"/>
  <c r="A3585" i="1"/>
  <c r="A1266" i="1"/>
  <c r="A844" i="1"/>
  <c r="A3310" i="1"/>
  <c r="A1035" i="1"/>
  <c r="A1674" i="1"/>
  <c r="A1161" i="1"/>
  <c r="A1385" i="1"/>
  <c r="A3753" i="1"/>
  <c r="A1603" i="1"/>
  <c r="A1795" i="1"/>
  <c r="A691" i="1"/>
  <c r="A1615" i="1"/>
  <c r="A2464" i="1"/>
  <c r="A2627" i="1"/>
  <c r="A204" i="1"/>
  <c r="A2541" i="1"/>
  <c r="A1194" i="1"/>
  <c r="A102" i="1"/>
  <c r="A2512" i="1"/>
  <c r="A2524" i="1"/>
  <c r="A1500" i="1"/>
  <c r="A809" i="1"/>
  <c r="A953" i="1"/>
  <c r="A642" i="1"/>
  <c r="A1027" i="1"/>
  <c r="A4487" i="1"/>
  <c r="A2397" i="1"/>
  <c r="A1889" i="1"/>
  <c r="A2184" i="1"/>
  <c r="A993" i="1"/>
  <c r="A982" i="1"/>
  <c r="A825" i="1"/>
  <c r="A1899" i="1"/>
  <c r="A2012" i="1"/>
  <c r="A2458" i="1"/>
  <c r="A1903" i="1"/>
  <c r="A4544" i="1"/>
  <c r="A1543" i="1"/>
  <c r="A1828" i="1"/>
  <c r="A1669" i="1"/>
  <c r="A193" i="1"/>
  <c r="A1051" i="1"/>
  <c r="A447" i="1"/>
  <c r="A555" i="1"/>
  <c r="A2656" i="1"/>
  <c r="A174" i="1"/>
  <c r="A586" i="1"/>
  <c r="A1081" i="1"/>
  <c r="A471" i="1"/>
  <c r="A1138" i="1"/>
  <c r="A1292" i="1"/>
  <c r="A1506" i="1"/>
  <c r="A639" i="1"/>
  <c r="A562" i="1"/>
  <c r="A854" i="1"/>
  <c r="A2803" i="1"/>
  <c r="A4717" i="1"/>
  <c r="A3289" i="1"/>
  <c r="A167" i="1"/>
  <c r="A1878" i="1"/>
  <c r="A98" i="1"/>
  <c r="A97" i="1"/>
  <c r="A270" i="1"/>
  <c r="A177" i="1"/>
  <c r="A1273" i="1"/>
  <c r="A505" i="1"/>
  <c r="A1179" i="1"/>
  <c r="A601" i="1"/>
  <c r="A1548" i="1"/>
  <c r="A260" i="1"/>
  <c r="A1185" i="1"/>
  <c r="A1721" i="1"/>
  <c r="A1381" i="1"/>
  <c r="A1271" i="1"/>
  <c r="A667" i="1"/>
  <c r="A3529" i="1"/>
  <c r="A1330" i="1"/>
  <c r="A1061" i="1"/>
  <c r="A1070" i="1"/>
  <c r="A1125" i="1"/>
  <c r="A1062" i="1"/>
  <c r="A18" i="1"/>
  <c r="A1429" i="1"/>
  <c r="A388" i="1"/>
  <c r="A725" i="1"/>
  <c r="A88" i="1"/>
  <c r="A1163" i="1"/>
  <c r="A1740" i="1"/>
  <c r="A2594" i="1"/>
  <c r="A1042" i="1"/>
  <c r="A741" i="1"/>
  <c r="A1890" i="1"/>
  <c r="A594" i="1"/>
  <c r="A1862" i="1"/>
  <c r="A702" i="1"/>
  <c r="A8" i="1"/>
  <c r="A285" i="1"/>
  <c r="A3262" i="1"/>
  <c r="A6" i="1"/>
  <c r="A2900" i="1"/>
  <c r="A1227" i="1"/>
  <c r="A1340" i="1"/>
  <c r="A1352" i="1"/>
  <c r="A1412" i="1"/>
  <c r="A2312" i="1"/>
  <c r="A3587" i="1"/>
  <c r="A2401" i="1"/>
  <c r="A4662" i="1"/>
  <c r="A2764" i="1"/>
  <c r="A3850" i="1"/>
  <c r="A3939" i="1"/>
  <c r="A4622" i="1"/>
  <c r="A4494" i="1"/>
  <c r="A4798" i="1"/>
  <c r="A299" i="1"/>
  <c r="A2366" i="1"/>
  <c r="A931" i="1"/>
  <c r="A2326" i="1"/>
  <c r="A4014" i="1"/>
  <c r="A1701" i="1"/>
  <c r="A3242" i="1"/>
  <c r="A850" i="1"/>
  <c r="A1104" i="1"/>
  <c r="A2007" i="1"/>
  <c r="A1938" i="1"/>
  <c r="A162" i="1"/>
  <c r="A1832" i="1"/>
  <c r="A423" i="1"/>
  <c r="A671" i="1"/>
  <c r="A306" i="1"/>
  <c r="A4196" i="1"/>
  <c r="A4467" i="1"/>
  <c r="A4582" i="1"/>
  <c r="A3325" i="1"/>
  <c r="A2925" i="1"/>
  <c r="A3006" i="1"/>
  <c r="A1464" i="1"/>
  <c r="A4506" i="1"/>
  <c r="A3842" i="1"/>
  <c r="A4097" i="1"/>
  <c r="A4423" i="1"/>
  <c r="A2705" i="1"/>
  <c r="A4078" i="1"/>
  <c r="A1827" i="1"/>
  <c r="A4319" i="1"/>
  <c r="A1662" i="1"/>
  <c r="A3496" i="1"/>
  <c r="A4968" i="1"/>
  <c r="A4051" i="1"/>
  <c r="A2337" i="1"/>
  <c r="A1837" i="1"/>
  <c r="A2783" i="1"/>
  <c r="A2353" i="1"/>
  <c r="A2488" i="1"/>
  <c r="A4549" i="1"/>
  <c r="A567" i="1"/>
  <c r="A4800" i="1"/>
  <c r="A2901" i="1"/>
  <c r="A2849" i="1"/>
  <c r="A3647" i="1"/>
  <c r="A2631" i="1"/>
  <c r="A1825" i="1"/>
  <c r="A4158" i="1"/>
  <c r="A3831" i="1"/>
  <c r="A4979" i="1"/>
  <c r="A433" i="1"/>
  <c r="A2247" i="1"/>
  <c r="A2691" i="1"/>
  <c r="A1671" i="1"/>
  <c r="A318" i="1"/>
  <c r="A2228" i="1"/>
  <c r="A659" i="1"/>
  <c r="A3437" i="1"/>
  <c r="A525" i="1"/>
  <c r="A2998" i="1"/>
  <c r="A1364" i="1"/>
  <c r="A2349" i="1"/>
  <c r="A1785" i="1"/>
  <c r="A2485" i="1"/>
  <c r="A2079" i="1"/>
  <c r="A3079" i="1"/>
  <c r="A2339" i="1"/>
  <c r="A186" i="1"/>
  <c r="A362" i="1"/>
  <c r="A2350" i="1"/>
  <c r="A1522" i="1"/>
  <c r="A124" i="1"/>
  <c r="A1772" i="1"/>
  <c r="A213" i="1"/>
  <c r="A2483" i="1"/>
  <c r="A2777" i="1"/>
  <c r="A3907" i="1"/>
  <c r="A3211" i="1"/>
  <c r="A2838" i="1"/>
  <c r="A4741" i="1"/>
  <c r="A3060" i="1"/>
  <c r="A2051" i="1"/>
  <c r="A3430" i="1"/>
  <c r="A3775" i="1"/>
  <c r="A3505" i="1"/>
  <c r="A4049" i="1"/>
  <c r="A1775" i="1"/>
  <c r="A1722" i="1"/>
  <c r="A4934" i="1"/>
  <c r="A3459" i="1"/>
  <c r="A3890" i="1"/>
  <c r="A4073" i="1"/>
  <c r="A2654" i="1"/>
  <c r="A3670" i="1"/>
  <c r="A3953" i="1"/>
  <c r="A2958" i="1"/>
  <c r="A4065" i="1"/>
  <c r="A4139" i="1"/>
  <c r="A2796" i="1"/>
  <c r="A2087" i="1"/>
  <c r="A4941" i="1"/>
  <c r="A3150" i="1"/>
  <c r="A4466" i="1"/>
  <c r="A3164" i="1"/>
  <c r="A3373" i="1"/>
  <c r="A3651" i="1"/>
  <c r="A2892" i="1"/>
  <c r="A4442" i="1"/>
  <c r="A4640" i="1"/>
  <c r="A4937" i="1"/>
  <c r="A3992" i="1"/>
  <c r="A3684" i="1"/>
  <c r="A1461" i="1"/>
  <c r="A2940" i="1"/>
  <c r="A3780" i="1"/>
  <c r="A3734" i="1"/>
  <c r="A1263" i="1"/>
  <c r="A2759" i="1"/>
  <c r="A4256" i="1"/>
  <c r="A3124" i="1"/>
  <c r="A1555" i="1"/>
  <c r="A2993" i="1"/>
  <c r="A2560" i="1"/>
  <c r="A4899" i="1"/>
  <c r="A3957" i="1"/>
  <c r="A1490" i="1"/>
  <c r="A2860" i="1"/>
  <c r="A705" i="1"/>
  <c r="A2328" i="1"/>
  <c r="A976" i="1"/>
  <c r="A2695" i="1"/>
  <c r="A4226" i="1"/>
  <c r="A2024" i="1"/>
  <c r="A3747" i="1"/>
  <c r="A2210" i="1"/>
  <c r="A2125" i="1"/>
  <c r="A2540" i="1"/>
  <c r="A2069" i="1"/>
  <c r="A4623" i="1"/>
  <c r="A1660" i="1"/>
  <c r="A4233" i="1"/>
  <c r="A4025" i="1"/>
  <c r="A1887" i="1"/>
  <c r="A3979" i="1"/>
  <c r="A2302" i="1"/>
  <c r="A3460" i="1"/>
  <c r="A3846" i="1"/>
  <c r="A1986" i="1"/>
  <c r="A1931" i="1"/>
  <c r="A1609" i="1"/>
  <c r="A2562" i="1"/>
  <c r="A3198" i="1"/>
  <c r="A1428" i="1"/>
  <c r="A4204" i="1"/>
  <c r="A780" i="1"/>
  <c r="A1583" i="1"/>
  <c r="A1132" i="1"/>
  <c r="A1975" i="1"/>
  <c r="A2297" i="1"/>
  <c r="A869" i="1"/>
  <c r="A2888" i="1"/>
  <c r="A2706" i="1"/>
  <c r="A1735" i="1"/>
  <c r="A3958" i="1"/>
  <c r="A960" i="1"/>
  <c r="A1017" i="1"/>
  <c r="A2406" i="1"/>
  <c r="A2190" i="1"/>
  <c r="A4006" i="1"/>
  <c r="A338" i="1"/>
  <c r="A1630" i="1"/>
  <c r="A3025" i="1"/>
  <c r="A222" i="1"/>
  <c r="A1503" i="1"/>
  <c r="A1442" i="1"/>
  <c r="A224" i="1"/>
  <c r="A2019" i="1"/>
  <c r="A1673" i="1"/>
  <c r="A2917" i="1"/>
  <c r="A3074" i="1"/>
  <c r="A138" i="1"/>
  <c r="A1450" i="1"/>
  <c r="A68" i="1"/>
  <c r="A551" i="1"/>
  <c r="A811" i="1"/>
  <c r="A2932" i="1"/>
  <c r="A220" i="1"/>
  <c r="A3396" i="1"/>
  <c r="A4942" i="1"/>
  <c r="A4689" i="1"/>
  <c r="A3941" i="1"/>
  <c r="A4919" i="1"/>
  <c r="A4420" i="1"/>
  <c r="A3213" i="1"/>
  <c r="A2652" i="1"/>
  <c r="A4131" i="1"/>
  <c r="A3838" i="1"/>
  <c r="A2419" i="1"/>
  <c r="A4113" i="1"/>
  <c r="A3915" i="1"/>
  <c r="A4283" i="1"/>
  <c r="A2225" i="1"/>
  <c r="A3608" i="1"/>
  <c r="A4720" i="1"/>
  <c r="A696" i="1"/>
  <c r="A4417" i="1"/>
  <c r="A4896" i="1"/>
  <c r="A4661" i="1"/>
  <c r="A4013" i="1"/>
  <c r="A4724" i="1"/>
  <c r="A3122" i="1"/>
  <c r="A3463" i="1"/>
  <c r="A4448" i="1"/>
  <c r="A3521" i="1"/>
  <c r="A2799" i="1"/>
  <c r="A3401" i="1"/>
  <c r="A4778" i="1"/>
  <c r="A546" i="1"/>
  <c r="A2737" i="1"/>
  <c r="A3438" i="1"/>
  <c r="A2763" i="1"/>
  <c r="A4793" i="1"/>
  <c r="A3963" i="1"/>
  <c r="A2059" i="1"/>
  <c r="A3858" i="1"/>
  <c r="A3540" i="1"/>
  <c r="A2883" i="1"/>
  <c r="A3364" i="1"/>
  <c r="A4834" i="1"/>
  <c r="A1573" i="1"/>
  <c r="A3422" i="1"/>
  <c r="A1818" i="1"/>
  <c r="A2552" i="1"/>
  <c r="A4945" i="1"/>
  <c r="A2549" i="1"/>
  <c r="A2531" i="1"/>
  <c r="A4698" i="1"/>
  <c r="A2173" i="1"/>
  <c r="A4462" i="1"/>
  <c r="A2291" i="1"/>
  <c r="A1134" i="1"/>
  <c r="A4611" i="1"/>
  <c r="A4311" i="1"/>
  <c r="A4328" i="1"/>
  <c r="A4744" i="1"/>
  <c r="A2974" i="1"/>
  <c r="A4911" i="1"/>
  <c r="A4592" i="1"/>
  <c r="A4373" i="1"/>
  <c r="A2848" i="1"/>
  <c r="A3806" i="1"/>
  <c r="A2946" i="1"/>
  <c r="A4428" i="1"/>
  <c r="A2689" i="1"/>
  <c r="A2646" i="1"/>
  <c r="A3764" i="1"/>
  <c r="A2881" i="1"/>
  <c r="A769" i="1"/>
  <c r="A2767" i="1"/>
  <c r="A4068" i="1"/>
  <c r="A2721" i="1"/>
  <c r="A4693" i="1"/>
  <c r="A4018" i="1"/>
  <c r="A4077" i="1"/>
  <c r="A4361" i="1"/>
  <c r="A3374" i="1"/>
  <c r="A2930" i="1"/>
  <c r="A3285" i="1"/>
  <c r="A4803" i="1"/>
  <c r="A4474" i="1"/>
  <c r="A4345" i="1"/>
  <c r="A4519" i="1"/>
  <c r="A3130" i="1"/>
  <c r="A4664" i="1"/>
  <c r="A1591" i="1"/>
  <c r="A3968" i="1"/>
  <c r="A3299" i="1"/>
  <c r="A3077" i="1"/>
  <c r="A3554" i="1"/>
  <c r="A2585" i="1"/>
  <c r="A4404" i="1"/>
  <c r="A4663" i="1"/>
  <c r="A2425" i="1"/>
  <c r="A2273" i="1"/>
  <c r="A2923" i="1"/>
  <c r="A3433" i="1"/>
  <c r="A2575" i="1"/>
  <c r="A4595" i="1"/>
  <c r="A3999" i="1"/>
  <c r="A5003" i="1"/>
  <c r="A4686" i="1"/>
  <c r="A4726" i="1"/>
  <c r="A3715" i="1"/>
  <c r="A4114" i="1"/>
  <c r="A4299" i="1"/>
  <c r="A4456" i="1"/>
  <c r="A2954" i="1"/>
  <c r="A4751" i="1"/>
  <c r="A2105" i="1"/>
  <c r="A4072" i="1"/>
  <c r="A3026" i="1"/>
  <c r="A3917" i="1"/>
  <c r="A4523" i="1"/>
  <c r="A1783" i="1"/>
  <c r="A4962" i="1"/>
  <c r="A3857" i="1"/>
  <c r="A2231" i="1"/>
  <c r="A2555" i="1"/>
  <c r="A2001" i="1"/>
  <c r="A3804" i="1"/>
  <c r="A3815" i="1"/>
  <c r="A3560" i="1"/>
  <c r="A3807" i="1"/>
  <c r="A4038" i="1"/>
  <c r="A2865" i="1"/>
  <c r="A3866" i="1"/>
  <c r="A4300" i="1"/>
  <c r="A3307" i="1"/>
  <c r="A4344" i="1"/>
  <c r="A2067" i="1"/>
  <c r="A3099" i="1"/>
  <c r="A2590" i="1"/>
  <c r="A4269" i="1"/>
  <c r="A2567" i="1"/>
  <c r="A2876" i="1"/>
  <c r="A4314" i="1"/>
  <c r="A4484" i="1"/>
  <c r="A2260" i="1"/>
  <c r="A4597" i="1"/>
  <c r="A1474" i="1"/>
  <c r="A3109" i="1"/>
  <c r="A3049" i="1"/>
  <c r="A4243" i="1"/>
  <c r="A4165" i="1"/>
  <c r="A4697" i="1"/>
  <c r="A3256" i="1"/>
  <c r="A2506" i="1"/>
  <c r="A2693" i="1"/>
  <c r="A3137" i="1"/>
  <c r="A2906" i="1"/>
  <c r="A2723" i="1"/>
  <c r="A2330" i="1"/>
  <c r="A4054" i="1"/>
  <c r="A4779" i="1"/>
  <c r="A4878" i="1"/>
  <c r="A4824" i="1"/>
  <c r="A3389" i="1"/>
  <c r="A2781" i="1"/>
  <c r="A3519" i="1"/>
  <c r="A4409" i="1"/>
  <c r="A4318" i="1"/>
  <c r="A2029" i="1"/>
  <c r="A1882" i="1"/>
  <c r="A3964" i="1"/>
  <c r="A4242" i="1"/>
  <c r="A3956" i="1"/>
  <c r="A2457" i="1"/>
  <c r="A4891" i="1"/>
  <c r="A2732" i="1"/>
  <c r="A4457" i="1"/>
  <c r="A3798" i="1"/>
  <c r="A2952" i="1"/>
  <c r="A2239" i="1"/>
  <c r="A4446" i="1"/>
  <c r="A1997" i="1"/>
  <c r="A2471" i="1"/>
  <c r="A910" i="1"/>
  <c r="A4189" i="1"/>
  <c r="A4258" i="1"/>
  <c r="A3414" i="1"/>
  <c r="A2843" i="1"/>
  <c r="A3570" i="1"/>
  <c r="A3382" i="1"/>
  <c r="A2664" i="1"/>
  <c r="A3492" i="1"/>
  <c r="A3665" i="1"/>
  <c r="A3344" i="1"/>
  <c r="A3632" i="1"/>
  <c r="A4624" i="1"/>
  <c r="A2914" i="1"/>
  <c r="A4957" i="1"/>
  <c r="A1169" i="1"/>
  <c r="A4598" i="1"/>
  <c r="A1594" i="1"/>
  <c r="A2729" i="1"/>
  <c r="A4933" i="1"/>
  <c r="A4565" i="1"/>
  <c r="A3009" i="1"/>
  <c r="A2756" i="1"/>
  <c r="A4241" i="1"/>
  <c r="A3556" i="1"/>
  <c r="A1421" i="1"/>
  <c r="A4619" i="1"/>
  <c r="A3055" i="1"/>
  <c r="A4498" i="1"/>
  <c r="A5011" i="1"/>
  <c r="A3517" i="1"/>
  <c r="A3120" i="1"/>
  <c r="A3302" i="1"/>
  <c r="A4190" i="1"/>
  <c r="A1599" i="1"/>
  <c r="A4832" i="1"/>
  <c r="A3581" i="1"/>
  <c r="A4727" i="1"/>
  <c r="A3754" i="1"/>
  <c r="A4690" i="1"/>
  <c r="A3484" i="1"/>
  <c r="A4575" i="1"/>
  <c r="A4815" i="1"/>
  <c r="A4271" i="1"/>
  <c r="A3412" i="1"/>
  <c r="A4536" i="1"/>
  <c r="A3203" i="1"/>
  <c r="A1724" i="1"/>
  <c r="A4737" i="1"/>
  <c r="A4294" i="1"/>
  <c r="A3792" i="1"/>
  <c r="A3192" i="1"/>
  <c r="A4808" i="1"/>
  <c r="A2295" i="1"/>
  <c r="A4960" i="1"/>
  <c r="A2616" i="1"/>
  <c r="A4359" i="1"/>
  <c r="A4895" i="1"/>
  <c r="A3601" i="1"/>
  <c r="A2347" i="1"/>
  <c r="A3879" i="1"/>
  <c r="A3791" i="1"/>
  <c r="A3655" i="1"/>
  <c r="A4641" i="1"/>
  <c r="A1290" i="1"/>
  <c r="A3107" i="1"/>
  <c r="A2563" i="1"/>
  <c r="A2199" i="1"/>
  <c r="A2715" i="1"/>
  <c r="A3353" i="1"/>
  <c r="A1623" i="1"/>
  <c r="A2725" i="1"/>
  <c r="A1702" i="1"/>
  <c r="A3223" i="1"/>
  <c r="A2624" i="1"/>
  <c r="A2149" i="1"/>
  <c r="A2964" i="1"/>
  <c r="A4939" i="1"/>
  <c r="A4426" i="1"/>
  <c r="A4819" i="1"/>
  <c r="A4656" i="1"/>
  <c r="A4993" i="1"/>
  <c r="A3566" i="1"/>
  <c r="A4210" i="1"/>
  <c r="A4429" i="1"/>
  <c r="A2836" i="1"/>
  <c r="A4558" i="1"/>
  <c r="A2182" i="1"/>
  <c r="A4502" i="1"/>
  <c r="A3648" i="1"/>
  <c r="A3007" i="1"/>
  <c r="A2903" i="1"/>
  <c r="A3803" i="1"/>
  <c r="A3197" i="1"/>
  <c r="A3485" i="1"/>
  <c r="A3416" i="1"/>
  <c r="A4543" i="1"/>
  <c r="A2508" i="1"/>
  <c r="A1891" i="1"/>
  <c r="A4183" i="1"/>
  <c r="A3633" i="1"/>
  <c r="A2935" i="1"/>
  <c r="A3767" i="1"/>
  <c r="A4370" i="1"/>
  <c r="A4273" i="1"/>
  <c r="A4816" i="1"/>
  <c r="A4762" i="1"/>
  <c r="A2957" i="1"/>
  <c r="A689" i="1"/>
  <c r="A4074" i="1"/>
  <c r="A4431" i="1"/>
  <c r="A4170" i="1"/>
  <c r="A4788" i="1"/>
  <c r="A4707" i="1"/>
  <c r="A1687" i="1"/>
  <c r="A4469" i="1"/>
  <c r="A2837" i="1"/>
  <c r="A490" i="1"/>
  <c r="A3081" i="1"/>
  <c r="A3945" i="1"/>
  <c r="A4548" i="1"/>
  <c r="A4508" i="1"/>
  <c r="A2872" i="1"/>
  <c r="A1715" i="1"/>
  <c r="A3621" i="1"/>
  <c r="A2623" i="1"/>
  <c r="A4995" i="1"/>
  <c r="A2680" i="1"/>
  <c r="A4959" i="1"/>
  <c r="A3002" i="1"/>
  <c r="A3681" i="1"/>
  <c r="A3022" i="1"/>
  <c r="A4197" i="1"/>
  <c r="A2494" i="1"/>
  <c r="A4700" i="1"/>
  <c r="A4546" i="1"/>
  <c r="A2374" i="1"/>
  <c r="A3606" i="1"/>
  <c r="A2207" i="1"/>
  <c r="A4235" i="1"/>
  <c r="A5006" i="1"/>
  <c r="A3785" i="1"/>
  <c r="A2507" i="1"/>
  <c r="A2850" i="1"/>
  <c r="A2362" i="1"/>
  <c r="A1156" i="1"/>
  <c r="A4645" i="1"/>
  <c r="A1120" i="1"/>
  <c r="A958" i="1"/>
  <c r="A3095" i="1"/>
  <c r="A3727" i="1"/>
  <c r="A2840" i="1"/>
  <c r="A1566" i="1"/>
  <c r="A2530" i="1"/>
  <c r="A2398" i="1"/>
  <c r="A3490" i="1"/>
  <c r="A1467" i="1"/>
  <c r="A1773" i="1"/>
  <c r="A1188" i="1"/>
  <c r="A967" i="1"/>
  <c r="A698" i="1"/>
  <c r="A2630" i="1"/>
  <c r="A4893" i="1"/>
  <c r="A4528" i="1"/>
  <c r="A800" i="1"/>
  <c r="A1930" i="1"/>
  <c r="A1998" i="1"/>
  <c r="A2187" i="1"/>
  <c r="A4606" i="1"/>
  <c r="A2798" i="1"/>
  <c r="A3716" i="1"/>
  <c r="A2333" i="1"/>
  <c r="A3206" i="1"/>
  <c r="A2431" i="1"/>
  <c r="A732" i="1"/>
  <c r="A4657" i="1"/>
  <c r="A1995" i="1"/>
  <c r="A3604" i="1"/>
  <c r="A3766" i="1"/>
  <c r="A3334" i="1"/>
  <c r="A1600" i="1"/>
  <c r="A1647" i="1"/>
  <c r="A2441" i="1"/>
  <c r="A2451" i="1"/>
  <c r="A1205" i="1"/>
  <c r="A2277" i="1"/>
  <c r="A883" i="1"/>
  <c r="A2236" i="1"/>
  <c r="A3375" i="1"/>
  <c r="A1750" i="1"/>
  <c r="A1585" i="1"/>
  <c r="A3181" i="1"/>
  <c r="A4082" i="1"/>
  <c r="A599" i="1"/>
  <c r="A4920" i="1"/>
  <c r="A5010" i="1"/>
  <c r="A4234" i="1"/>
  <c r="A2472" i="1"/>
  <c r="A4312" i="1"/>
  <c r="A3501" i="1"/>
  <c r="A3420" i="1"/>
  <c r="A4921" i="1"/>
  <c r="A2235" i="1"/>
  <c r="A4042" i="1"/>
  <c r="A2360" i="1"/>
  <c r="A1746" i="1"/>
  <c r="A2544" i="1"/>
  <c r="A3369" i="1"/>
  <c r="A2073" i="1"/>
  <c r="A2526" i="1"/>
  <c r="A3630" i="1"/>
  <c r="A3645" i="1"/>
  <c r="A4673" i="1"/>
  <c r="A3321" i="1"/>
  <c r="A3076" i="1"/>
  <c r="A1328" i="1"/>
  <c r="A862" i="1"/>
  <c r="A4632" i="1"/>
  <c r="A1989" i="1"/>
  <c r="A3990" i="1"/>
  <c r="A3292" i="1"/>
  <c r="A3046" i="1"/>
  <c r="A4021" i="1"/>
  <c r="A3830" i="1"/>
  <c r="A4323" i="1"/>
  <c r="A2368" i="1"/>
  <c r="A2738" i="1"/>
  <c r="A495" i="1"/>
  <c r="A4631" i="1"/>
  <c r="A1318" i="1"/>
  <c r="A1020" i="1"/>
  <c r="A1218" i="1"/>
  <c r="A2479" i="1"/>
  <c r="A226" i="1"/>
  <c r="A297" i="1"/>
  <c r="A4168" i="1"/>
  <c r="A1167" i="1"/>
  <c r="A2476" i="1"/>
  <c r="A1833" i="1"/>
  <c r="A404" i="1"/>
  <c r="A1634" i="1"/>
  <c r="A3048" i="1"/>
  <c r="A1074" i="1"/>
  <c r="A1732" i="1"/>
  <c r="A3771" i="1"/>
  <c r="A556" i="1"/>
  <c r="A2455" i="1"/>
  <c r="A3777" i="1"/>
  <c r="A611" i="1"/>
  <c r="A1032" i="1"/>
  <c r="A1068" i="1"/>
  <c r="A4708" i="1"/>
  <c r="A2991" i="1"/>
  <c r="A4477" i="1"/>
  <c r="A2514" i="1"/>
  <c r="A4562" i="1"/>
  <c r="A4348" i="1"/>
  <c r="A755" i="1"/>
  <c r="A3609" i="1"/>
  <c r="A2810" i="1"/>
  <c r="A4733" i="1"/>
  <c r="A2477" i="1"/>
  <c r="A2145" i="1"/>
  <c r="A1113" i="1"/>
  <c r="A3545" i="1"/>
  <c r="A1528" i="1"/>
  <c r="A3568" i="1"/>
  <c r="A3980" i="1"/>
  <c r="A2921" i="1"/>
  <c r="A1272" i="1"/>
  <c r="A4255" i="1"/>
  <c r="A2710" i="1"/>
  <c r="A1559" i="1"/>
  <c r="A4385" i="1"/>
  <c r="A4326" i="1"/>
  <c r="A3809" i="1"/>
  <c r="A4387" i="1"/>
  <c r="A3380" i="1"/>
  <c r="A1858" i="1"/>
  <c r="A3642" i="1"/>
  <c r="A4260" i="1"/>
  <c r="A4070" i="1"/>
  <c r="A4382" i="1"/>
  <c r="A1028" i="1"/>
  <c r="A4989" i="1"/>
  <c r="A4831" i="1"/>
  <c r="A2771" i="1"/>
  <c r="A3446" i="1"/>
  <c r="A4671" i="1"/>
  <c r="A984" i="1"/>
  <c r="A4421" i="1"/>
  <c r="A3096" i="1"/>
  <c r="A4534" i="1"/>
  <c r="A2518" i="1"/>
  <c r="A4851" i="1"/>
  <c r="A3425" i="1"/>
  <c r="A4374" i="1"/>
  <c r="A1537" i="1"/>
  <c r="A4736" i="1"/>
  <c r="A3577" i="1"/>
  <c r="A4841" i="1"/>
  <c r="A2363" i="1"/>
  <c r="A4445" i="1"/>
  <c r="A2244" i="1"/>
  <c r="A4658" i="1"/>
  <c r="A2056" i="1"/>
  <c r="A2859" i="1"/>
  <c r="A4986" i="1"/>
  <c r="A4629" i="1"/>
  <c r="A3959" i="1"/>
  <c r="A5008" i="1"/>
  <c r="A4625" i="1"/>
  <c r="A3293" i="1"/>
  <c r="A1853" i="1"/>
  <c r="A2331" i="1"/>
  <c r="A398" i="1"/>
  <c r="A635" i="1"/>
  <c r="A1951" i="1"/>
  <c r="A2943" i="1"/>
  <c r="A1069" i="1"/>
  <c r="A3103" i="1"/>
  <c r="A1826" i="1"/>
  <c r="A2995" i="1"/>
  <c r="A3813" i="1"/>
  <c r="A1577" i="1"/>
  <c r="A3814" i="1"/>
  <c r="A1053" i="1"/>
  <c r="A4907" i="1"/>
  <c r="A2203" i="1"/>
  <c r="A3590" i="1"/>
  <c r="A4946" i="1"/>
  <c r="A4052" i="1"/>
  <c r="A1557" i="1"/>
  <c r="A703" i="1"/>
  <c r="A3327" i="1"/>
  <c r="A571" i="1"/>
  <c r="A3454" i="1"/>
  <c r="A4694" i="1"/>
  <c r="A2241" i="1"/>
  <c r="A3480" i="1"/>
  <c r="A1762" i="1"/>
  <c r="A1639" i="1"/>
  <c r="A3869" i="1"/>
  <c r="A2114" i="1"/>
  <c r="A140" i="1"/>
  <c r="A2553" i="1"/>
  <c r="A4615" i="1"/>
  <c r="A2251" i="1"/>
  <c r="A2238" i="1"/>
  <c r="A4634" i="1"/>
  <c r="A2343" i="1"/>
  <c r="A1971" i="1"/>
  <c r="A1987" i="1"/>
  <c r="A2480" i="1"/>
  <c r="A3487" i="1"/>
  <c r="A3283" i="1"/>
  <c r="A2142" i="1"/>
  <c r="A2912" i="1"/>
  <c r="A1873" i="1"/>
  <c r="A2468" i="1"/>
  <c r="A4666" i="1"/>
  <c r="A4308" i="1"/>
  <c r="A2537" i="1"/>
  <c r="A4509" i="1"/>
  <c r="A4132" i="1"/>
  <c r="A3185" i="1"/>
  <c r="A4010" i="1"/>
  <c r="A2545" i="1"/>
  <c r="A3983" i="1"/>
  <c r="A4497" i="1"/>
  <c r="A4287" i="1"/>
  <c r="A3398" i="1"/>
  <c r="A3108" i="1"/>
  <c r="A3962" i="1"/>
  <c r="A3362" i="1"/>
  <c r="A4254" i="1"/>
  <c r="A3360" i="1"/>
  <c r="A4791" i="1"/>
  <c r="A3486" i="1"/>
  <c r="A4746" i="1"/>
  <c r="A4604" i="1"/>
  <c r="A2939" i="1"/>
  <c r="A4331" i="1"/>
  <c r="A3799" i="1"/>
  <c r="A4383" i="1"/>
  <c r="A3737" i="1"/>
  <c r="A3782" i="1"/>
  <c r="A4768" i="1"/>
  <c r="A1473" i="1"/>
  <c r="A1980" i="1"/>
  <c r="A3834" i="1"/>
  <c r="A985" i="1"/>
  <c r="A3847" i="1"/>
  <c r="A3229" i="1"/>
  <c r="A4804" i="1"/>
  <c r="A4894" i="1"/>
  <c r="A3986" i="1"/>
  <c r="A4526" i="1"/>
  <c r="A2639" i="1"/>
  <c r="A4237" i="1"/>
  <c r="A2688" i="1"/>
  <c r="A4904" i="1"/>
  <c r="A2845" i="1"/>
  <c r="A2030" i="1"/>
  <c r="A1277" i="1"/>
  <c r="A4809" i="1"/>
  <c r="A3072" i="1"/>
  <c r="A1894" i="1"/>
  <c r="A3903" i="1"/>
  <c r="A2702" i="1"/>
  <c r="A1897" i="1"/>
  <c r="A464" i="1"/>
  <c r="A1922" i="1"/>
  <c r="A1883" i="1"/>
  <c r="A2055" i="1"/>
  <c r="A1165" i="1"/>
  <c r="A646" i="1"/>
  <c r="A1151" i="1"/>
  <c r="A2960" i="1"/>
  <c r="A287" i="1"/>
  <c r="A1085" i="1"/>
  <c r="A1122" i="1"/>
  <c r="A1631" i="1"/>
  <c r="A2153" i="1"/>
  <c r="A4492" i="1"/>
  <c r="A1907" i="1"/>
  <c r="A1654" i="1"/>
  <c r="A427" i="1"/>
  <c r="A1004" i="1"/>
  <c r="A4510" i="1"/>
  <c r="A475" i="1"/>
  <c r="A4343" i="1"/>
  <c r="A4109" i="1"/>
  <c r="A1703" i="1"/>
  <c r="A1040" i="1"/>
  <c r="A1444" i="1"/>
  <c r="A4366" i="1"/>
  <c r="A2230" i="1"/>
  <c r="A943" i="1"/>
  <c r="A4141" i="1"/>
  <c r="A4814" i="1"/>
  <c r="A4818" i="1"/>
  <c r="A2956" i="1"/>
  <c r="A4075" i="1"/>
  <c r="A2839" i="1"/>
  <c r="A670" i="1"/>
  <c r="A3862" i="1"/>
  <c r="A2412" i="1"/>
  <c r="A4067" i="1"/>
  <c r="A692" i="1"/>
  <c r="A832" i="1"/>
  <c r="A2325" i="1"/>
  <c r="A1843" i="1"/>
  <c r="A4683" i="1"/>
  <c r="A1716" i="1"/>
  <c r="A815" i="1"/>
  <c r="A3682" i="1"/>
  <c r="A3892" i="1"/>
  <c r="A1688" i="1"/>
  <c r="A4992" i="1"/>
  <c r="A2437" i="1"/>
  <c r="A2933" i="1"/>
  <c r="A4123" i="1"/>
  <c r="A2770" i="1"/>
  <c r="A4020" i="1"/>
  <c r="A3711" i="1"/>
  <c r="A2250" i="1"/>
  <c r="A4028" i="1"/>
  <c r="A4098" i="1"/>
  <c r="A3196" i="1"/>
  <c r="A4866" i="1"/>
  <c r="A4998" i="1"/>
  <c r="A2280" i="1"/>
  <c r="A3157" i="1"/>
  <c r="A4709" i="1"/>
  <c r="A4652" i="1"/>
  <c r="A4801" i="1"/>
  <c r="A1527" i="1"/>
  <c r="A2402" i="1"/>
  <c r="A3280" i="1"/>
  <c r="A2286" i="1"/>
  <c r="A1389" i="1"/>
  <c r="A1437" i="1"/>
  <c r="A1452" i="1"/>
  <c r="A2281" i="1"/>
  <c r="A933" i="1"/>
  <c r="A4357" i="1"/>
  <c r="A1536" i="1"/>
  <c r="A3163" i="1"/>
  <c r="A2050" i="1"/>
  <c r="A2076" i="1"/>
  <c r="A288" i="1"/>
  <c r="A4978" i="1"/>
  <c r="A1629" i="1"/>
  <c r="A1627" i="1"/>
  <c r="A1214" i="1"/>
  <c r="A934" i="1"/>
  <c r="A716" i="1"/>
  <c r="A4093" i="1"/>
  <c r="A1260" i="1"/>
  <c r="A841" i="1"/>
  <c r="A1361" i="1"/>
  <c r="A2619" i="1"/>
  <c r="A3886" i="1"/>
  <c r="A1471" i="1"/>
  <c r="A3175" i="1"/>
  <c r="A1239" i="1"/>
  <c r="A1082" i="1"/>
  <c r="A1462" i="1"/>
  <c r="A428" i="1"/>
  <c r="A486" i="1"/>
  <c r="A2101" i="1"/>
  <c r="A860" i="1"/>
  <c r="A3084" i="1"/>
  <c r="A3115" i="1"/>
  <c r="A553" i="1"/>
  <c r="A1414" i="1"/>
  <c r="A3453" i="1"/>
  <c r="A824" i="1"/>
  <c r="A1088" i="1"/>
  <c r="A1186" i="1"/>
  <c r="A94" i="1"/>
  <c r="A484" i="1"/>
  <c r="A457" i="1"/>
  <c r="A518" i="1"/>
  <c r="A559" i="1"/>
  <c r="A890" i="1"/>
  <c r="A411" i="1"/>
  <c r="A2985" i="1"/>
  <c r="A3246" i="1"/>
  <c r="A724" i="1"/>
  <c r="A1052" i="1"/>
  <c r="A1090" i="1"/>
  <c r="A842" i="1"/>
  <c r="A592" i="1"/>
  <c r="A1575" i="1"/>
  <c r="A450" i="1"/>
  <c r="A1694" i="1"/>
  <c r="A3029" i="1"/>
  <c r="A1057" i="1"/>
  <c r="A1593" i="1"/>
  <c r="A2003" i="1"/>
  <c r="A2720" i="1"/>
  <c r="A1489" i="1"/>
  <c r="A1475" i="1"/>
  <c r="A281" i="1"/>
  <c r="A1598" i="1"/>
  <c r="A2085" i="1"/>
  <c r="A4890" i="1"/>
  <c r="A4574" i="1"/>
  <c r="A681" i="1"/>
  <c r="A2450" i="1"/>
  <c r="A2284" i="1"/>
  <c r="A1124" i="1"/>
  <c r="A1067" i="1"/>
  <c r="A1012" i="1"/>
  <c r="A4206" i="1"/>
  <c r="A2671" i="1"/>
  <c r="A4982" i="1"/>
  <c r="A1436" i="1"/>
  <c r="A1801" i="1"/>
  <c r="A1289" i="1"/>
  <c r="A4688" i="1"/>
  <c r="A2453" i="1"/>
  <c r="A3379" i="1"/>
  <c r="A1399" i="1"/>
  <c r="A1767" i="1"/>
  <c r="A3390" i="1"/>
  <c r="A230" i="1"/>
  <c r="A654" i="1"/>
  <c r="A106" i="1"/>
  <c r="A2716" i="1"/>
  <c r="A448" i="1"/>
  <c r="A409" i="1"/>
  <c r="A240" i="1"/>
  <c r="A1259" i="1"/>
  <c r="A2354" i="1"/>
  <c r="A537" i="1"/>
  <c r="A2808" i="1"/>
  <c r="A2318" i="1"/>
  <c r="A2835" i="1"/>
  <c r="A1729" i="1"/>
  <c r="A2301" i="1"/>
  <c r="A2166" i="1"/>
  <c r="A3832" i="1"/>
  <c r="A812" i="1"/>
  <c r="A1714" i="1"/>
  <c r="A2148" i="1"/>
  <c r="A2670" i="1"/>
  <c r="A1852" i="1"/>
  <c r="A1242" i="1"/>
  <c r="A211" i="1"/>
  <c r="A711" i="1"/>
  <c r="A582" i="1"/>
  <c r="A818" i="1"/>
  <c r="A2621" i="1"/>
  <c r="A3371" i="1"/>
  <c r="A628" i="1"/>
  <c r="A341" i="1"/>
  <c r="A683" i="1"/>
  <c r="A2319" i="1"/>
  <c r="A1967" i="1"/>
  <c r="A795" i="1"/>
  <c r="A1095" i="1"/>
  <c r="A4142" i="1"/>
  <c r="A2752" i="1"/>
  <c r="A519" i="1"/>
  <c r="A685" i="1"/>
  <c r="A1144" i="1"/>
  <c r="A1060" i="1"/>
  <c r="A2879" i="1"/>
  <c r="A793" i="1"/>
  <c r="A2495" i="1"/>
  <c r="A481" i="1"/>
  <c r="A906" i="1"/>
  <c r="A1771" i="1"/>
  <c r="A1112" i="1"/>
  <c r="A1071" i="1"/>
  <c r="A1024" i="1"/>
  <c r="A1741" i="1"/>
  <c r="A2593" i="1"/>
  <c r="A1423" i="1"/>
  <c r="A462" i="1"/>
  <c r="A946" i="1"/>
  <c r="A998" i="1"/>
  <c r="A441" i="1"/>
  <c r="A911" i="1"/>
  <c r="A714" i="1"/>
  <c r="A267" i="1"/>
  <c r="A1411" i="1"/>
  <c r="A722" i="1"/>
  <c r="A359" i="1"/>
  <c r="A1581" i="1"/>
  <c r="A2722" i="1"/>
  <c r="A1092" i="1"/>
  <c r="A2384" i="1"/>
  <c r="A1408" i="1"/>
  <c r="A740" i="1"/>
  <c r="A16" i="1"/>
  <c r="A1426" i="1"/>
  <c r="A319" i="1"/>
  <c r="A488" i="1"/>
  <c r="A1808" i="1"/>
  <c r="A629" i="1"/>
  <c r="A1246" i="1"/>
  <c r="A1275" i="1"/>
  <c r="A1757" i="1"/>
  <c r="A81" i="1"/>
  <c r="A3538" i="1"/>
  <c r="A3816" i="1"/>
  <c r="A3073" i="1"/>
  <c r="A397" i="1"/>
  <c r="A429" i="1"/>
  <c r="A956" i="1"/>
  <c r="A1478" i="1"/>
  <c r="A930" i="1"/>
  <c r="A497" i="1"/>
  <c r="A636" i="1"/>
  <c r="A308" i="1"/>
  <c r="A798" i="1"/>
  <c r="A2307" i="1"/>
  <c r="A2304" i="1"/>
  <c r="A1947" i="1"/>
  <c r="A697" i="1"/>
  <c r="A897" i="1"/>
  <c r="A2633" i="1"/>
  <c r="A2734" i="1"/>
  <c r="A607" i="1"/>
  <c r="A1787" i="1"/>
  <c r="A833" i="1"/>
  <c r="A1288" i="1"/>
  <c r="A1449" i="1"/>
  <c r="A175" i="1"/>
  <c r="A1976" i="1"/>
  <c r="A719" i="1"/>
  <c r="A1331" i="1"/>
  <c r="A1282" i="1"/>
  <c r="A254" i="1"/>
  <c r="A139" i="1"/>
  <c r="A1033" i="1"/>
  <c r="A455" i="1"/>
  <c r="A3201" i="1"/>
  <c r="A821" i="1"/>
  <c r="A1278" i="1"/>
  <c r="A3942" i="1"/>
  <c r="A847" i="1"/>
  <c r="A251" i="1"/>
  <c r="A1919" i="1"/>
  <c r="A915" i="1"/>
  <c r="A2278" i="1"/>
  <c r="A2196" i="1"/>
  <c r="A291" i="1"/>
  <c r="A356" i="1"/>
  <c r="A1064" i="1"/>
  <c r="A1180" i="1"/>
  <c r="A86" i="1"/>
  <c r="A1233" i="1"/>
  <c r="A1650" i="1"/>
  <c r="A1137" i="1"/>
  <c r="A487" i="1"/>
  <c r="A4302" i="1"/>
  <c r="A1651" i="1"/>
  <c r="A1153" i="1"/>
  <c r="A597" i="1"/>
  <c r="A886" i="1"/>
  <c r="A1529" i="1"/>
  <c r="A2010" i="1"/>
  <c r="A579" i="1"/>
  <c r="A1563" i="1"/>
  <c r="A1406" i="1"/>
  <c r="A125" i="1"/>
  <c r="A1251" i="1"/>
  <c r="A2824" i="1"/>
  <c r="A2063" i="1"/>
  <c r="A327" i="1"/>
  <c r="A168" i="1"/>
  <c r="A1320" i="1"/>
  <c r="A346" i="1"/>
  <c r="A1096" i="1"/>
  <c r="A643" i="1"/>
  <c r="A2086" i="1"/>
  <c r="A805" i="1"/>
  <c r="A2823" i="1"/>
  <c r="A536" i="1"/>
  <c r="A2057" i="1"/>
  <c r="A480" i="1"/>
  <c r="A751" i="1"/>
  <c r="A1265" i="1"/>
  <c r="A630" i="1"/>
  <c r="A771" i="1"/>
  <c r="A163" i="1"/>
  <c r="A1264" i="1"/>
  <c r="A2155" i="1"/>
  <c r="A61" i="1"/>
  <c r="A347" i="1"/>
  <c r="A1183" i="1"/>
  <c r="A1379" i="1"/>
  <c r="A1619" i="1"/>
  <c r="A280" i="1"/>
  <c r="A1962" i="1"/>
  <c r="A179" i="1"/>
  <c r="A577" i="1"/>
  <c r="A476" i="1"/>
  <c r="A909" i="1"/>
  <c r="A1039" i="1"/>
  <c r="A239" i="1"/>
  <c r="A1206" i="1"/>
  <c r="A515" i="1"/>
  <c r="A321" i="1"/>
  <c r="A532" i="1"/>
  <c r="A1453" i="1"/>
  <c r="A1626" i="1"/>
  <c r="A673" i="1"/>
  <c r="A136" i="1"/>
  <c r="A717" i="1"/>
  <c r="A70" i="1"/>
  <c r="A651" i="1"/>
  <c r="A1187" i="1"/>
  <c r="A604" i="1"/>
  <c r="A89" i="1"/>
  <c r="A265" i="1"/>
  <c r="A84" i="1"/>
  <c r="A96" i="1"/>
  <c r="A778" i="1"/>
  <c r="A328" i="1"/>
  <c r="A49" i="1"/>
  <c r="A225" i="1"/>
  <c r="A83" i="1"/>
  <c r="A363" i="1"/>
  <c r="A2782" i="1"/>
  <c r="A822" i="1"/>
  <c r="A920" i="1"/>
  <c r="A891" i="1"/>
  <c r="A21" i="1"/>
  <c r="A829" i="1"/>
  <c r="A303" i="1"/>
  <c r="A1031" i="1"/>
  <c r="A2102" i="1"/>
  <c r="A1649" i="1"/>
  <c r="A999" i="1"/>
  <c r="A569" i="1"/>
  <c r="A45" i="1"/>
  <c r="A1226" i="1"/>
  <c r="A236" i="1"/>
  <c r="A103" i="1"/>
  <c r="A545" i="1"/>
  <c r="A439" i="1"/>
  <c r="A188" i="1"/>
  <c r="A25" i="1"/>
  <c r="A350" i="1"/>
  <c r="A79" i="1"/>
  <c r="A14" i="1"/>
  <c r="A235" i="1"/>
  <c r="A200" i="1"/>
  <c r="A145" i="1"/>
  <c r="A3306" i="1"/>
  <c r="A1225" i="1"/>
  <c r="A813" i="1"/>
  <c r="A197" i="1"/>
  <c r="A1519" i="1"/>
  <c r="A1776" i="1"/>
  <c r="A1202" i="1"/>
  <c r="A33" i="1"/>
  <c r="A203" i="1"/>
  <c r="A32" i="1"/>
  <c r="A190" i="1"/>
  <c r="A31" i="1"/>
  <c r="A169" i="1"/>
  <c r="A352" i="1"/>
  <c r="A59" i="1"/>
  <c r="A305" i="1"/>
  <c r="A1313" i="1"/>
  <c r="A310" i="1"/>
  <c r="A39" i="1"/>
  <c r="A440" i="1"/>
  <c r="A983" i="1"/>
  <c r="A85" i="1"/>
  <c r="A205" i="1"/>
  <c r="A160" i="1"/>
  <c r="A107" i="1"/>
  <c r="A3732" i="1"/>
  <c r="A2915" i="1"/>
  <c r="A666" i="1"/>
  <c r="A925" i="1"/>
  <c r="A3134" i="1"/>
  <c r="A4112" i="1"/>
  <c r="A1552" i="1"/>
  <c r="A95" i="1"/>
  <c r="A443" i="1"/>
  <c r="A24" i="1"/>
  <c r="A143" i="1"/>
  <c r="A539" i="1"/>
  <c r="A13" i="1"/>
  <c r="A3281" i="1"/>
  <c r="A4811" i="1"/>
  <c r="A2638" i="1"/>
  <c r="A2140" i="1"/>
  <c r="A4728" i="1"/>
  <c r="A3602" i="1"/>
  <c r="A4792" i="1"/>
  <c r="A2749" i="1"/>
  <c r="A3973" i="1"/>
  <c r="A3052" i="1"/>
  <c r="A3204" i="1"/>
  <c r="A2217" i="1"/>
  <c r="A2966" i="1"/>
  <c r="A2645" i="1"/>
  <c r="A3550" i="1"/>
  <c r="A1749" i="1"/>
  <c r="A2602" i="1"/>
  <c r="A2298" i="1"/>
  <c r="A4906" i="1"/>
  <c r="A2800" i="1"/>
  <c r="A3431" i="1"/>
  <c r="A3673" i="1"/>
  <c r="A351" i="1"/>
  <c r="A3499" i="1"/>
  <c r="A3978" i="1"/>
  <c r="A2324" i="1"/>
  <c r="A3269" i="1"/>
  <c r="A1157" i="1"/>
  <c r="A2785" i="1"/>
  <c r="A430" i="1"/>
  <c r="A472" i="1"/>
  <c r="A1281" i="1"/>
  <c r="A4135" i="1"/>
  <c r="A2704" i="1"/>
  <c r="A206" i="1"/>
  <c r="A2108" i="1"/>
  <c r="A1727" i="1"/>
  <c r="A957" i="1"/>
  <c r="A908" i="1"/>
  <c r="A837" i="1"/>
  <c r="A810" i="1"/>
  <c r="A3365" i="1"/>
  <c r="A3399" i="1"/>
  <c r="A4972" i="1"/>
  <c r="A2596" i="1"/>
  <c r="A3887" i="1"/>
  <c r="A4965" i="1"/>
  <c r="A3520" i="1"/>
  <c r="A4772" i="1"/>
  <c r="A4635" i="1"/>
  <c r="A4887" i="1"/>
  <c r="A3743" i="1"/>
  <c r="A1659" i="1"/>
  <c r="A3300" i="1"/>
  <c r="A3692" i="1"/>
  <c r="A4794" i="1"/>
  <c r="A3781" i="1"/>
  <c r="A3926" i="1"/>
  <c r="A4873" i="1"/>
  <c r="A4692" i="1"/>
  <c r="A4943" i="1"/>
  <c r="A3012" i="1"/>
  <c r="A3170" i="1"/>
  <c r="A3011" i="1"/>
  <c r="A4166" i="1"/>
  <c r="A2519" i="1"/>
  <c r="A4616" i="1"/>
  <c r="A2042" i="1"/>
  <c r="A3824" i="1"/>
  <c r="A3313" i="1"/>
  <c r="A4044" i="1"/>
  <c r="A2414" i="1"/>
  <c r="A3495" i="1"/>
  <c r="A1664" i="1"/>
  <c r="A4161" i="1"/>
  <c r="A1510" i="1"/>
  <c r="A3023" i="1"/>
  <c r="A3921" i="1"/>
  <c r="A814" i="1"/>
  <c r="A1109" i="1"/>
  <c r="A4740" i="1"/>
  <c r="A2622" i="1"/>
  <c r="A2669" i="1"/>
  <c r="A1885" i="1"/>
  <c r="A2905" i="1"/>
  <c r="A2138" i="1"/>
  <c r="A1493" i="1"/>
  <c r="A3528" i="1"/>
  <c r="A2792" i="1"/>
  <c r="A1513" i="1"/>
  <c r="A1479" i="1"/>
  <c r="A2218" i="1"/>
  <c r="A2204" i="1"/>
  <c r="A3833" i="1"/>
  <c r="A4282" i="1"/>
  <c r="A4333" i="1"/>
  <c r="A4810" i="1"/>
  <c r="A1906" i="1"/>
  <c r="A4684" i="1"/>
  <c r="A2221" i="1"/>
  <c r="A527" i="1"/>
  <c r="A1978" i="1"/>
  <c r="A2008" i="1"/>
  <c r="A2248" i="1"/>
  <c r="A3664" i="1"/>
  <c r="A3511" i="1"/>
  <c r="A2504" i="1"/>
  <c r="A1013" i="1"/>
  <c r="A1370" i="1"/>
  <c r="A782" i="1"/>
  <c r="A1045" i="1"/>
  <c r="A1823" i="1"/>
  <c r="A1704" i="1"/>
  <c r="A734" i="1"/>
  <c r="A194" i="1"/>
  <c r="A279" i="1"/>
  <c r="A2110" i="1"/>
  <c r="A1050" i="1"/>
  <c r="A2004" i="1"/>
  <c r="A2708" i="1"/>
  <c r="A1097" i="1"/>
  <c r="A3650" i="1"/>
  <c r="A1143" i="1"/>
  <c r="A1530" i="1"/>
  <c r="A2692" i="1"/>
  <c r="A3092" i="1"/>
  <c r="A1327" i="1"/>
  <c r="A2534" i="1"/>
  <c r="A863" i="1"/>
  <c r="A499" i="1"/>
  <c r="A336" i="1"/>
  <c r="A1128" i="1"/>
  <c r="A2521" i="1"/>
  <c r="A80" i="1"/>
  <c r="A1491" i="1"/>
  <c r="A610" i="1"/>
  <c r="A146" i="1"/>
  <c r="A514" i="1"/>
  <c r="A1733" i="1"/>
  <c r="A407" i="1"/>
  <c r="A507" i="1"/>
  <c r="A1476" i="1"/>
  <c r="A2439" i="1"/>
  <c r="A26" i="1"/>
  <c r="A4458" i="1"/>
  <c r="A3922" i="1"/>
  <c r="A542" i="1"/>
  <c r="A1322" i="1"/>
  <c r="A2950" i="1"/>
  <c r="A3571" i="1"/>
  <c r="A3184" i="1"/>
  <c r="A4002" i="1"/>
  <c r="A4551" i="1"/>
  <c r="A3162" i="1"/>
  <c r="A2666" i="1"/>
  <c r="A4231" i="1"/>
  <c r="A3205" i="1"/>
  <c r="A4787" i="1"/>
  <c r="A3005" i="1"/>
  <c r="A3802" i="1"/>
  <c r="A4061" i="1"/>
  <c r="A4460" i="1"/>
  <c r="A2842" i="1"/>
  <c r="A1539" i="1"/>
  <c r="A3497" i="1"/>
  <c r="A3335" i="1"/>
  <c r="A207" i="1"/>
  <c r="A4174" i="1"/>
  <c r="A4050" i="1"/>
  <c r="A3751" i="1"/>
  <c r="A2898" i="1"/>
  <c r="A1360" i="1"/>
  <c r="A2855" i="1"/>
  <c r="A2588" i="1"/>
  <c r="A2036" i="1"/>
  <c r="A608" i="1"/>
  <c r="A1586" i="1"/>
  <c r="A664" i="1"/>
  <c r="A3580" i="1"/>
  <c r="A1106" i="1"/>
  <c r="A2676" i="1"/>
  <c r="A1640" i="1"/>
  <c r="A885" i="1"/>
  <c r="A2496" i="1"/>
  <c r="A2532" i="1"/>
  <c r="A563" i="1"/>
  <c r="A368" i="1"/>
  <c r="A1525" i="1"/>
  <c r="A1831" i="1"/>
  <c r="A2679" i="1"/>
  <c r="A2129" i="1"/>
  <c r="A3469" i="1"/>
  <c r="A3668" i="1"/>
  <c r="A2123" i="1"/>
  <c r="A638" i="1"/>
  <c r="A2112" i="1"/>
  <c r="A2465" i="1"/>
  <c r="A4785" i="1"/>
  <c r="A2927" i="1"/>
  <c r="A4173" i="1"/>
  <c r="A3305" i="1"/>
  <c r="A4584" i="1"/>
  <c r="A4441" i="1"/>
  <c r="A4489" i="1"/>
  <c r="A3706" i="1"/>
  <c r="A2257" i="1"/>
  <c r="A4095" i="1"/>
  <c r="A4704" i="1"/>
  <c r="A4912" i="1"/>
  <c r="A4148" i="1"/>
  <c r="A1560" i="1"/>
  <c r="A4208" i="1"/>
  <c r="A1243" i="1"/>
  <c r="A2415" i="1"/>
  <c r="A3533" i="1"/>
  <c r="A730" i="1"/>
  <c r="A1337" i="1"/>
  <c r="A3394" i="1"/>
  <c r="A3415" i="1"/>
  <c r="A3796" i="1"/>
  <c r="A4019" i="1"/>
  <c r="A1932" i="1"/>
  <c r="A5016" i="1"/>
  <c r="A3835" i="1"/>
  <c r="A612" i="1"/>
  <c r="A4140" i="1"/>
  <c r="A2920" i="1"/>
  <c r="A1684" i="1"/>
  <c r="A3902" i="1"/>
  <c r="A1376" i="1"/>
  <c r="A3783" i="1"/>
  <c r="A3828" i="1"/>
  <c r="A2299" i="1"/>
  <c r="A1992" i="1"/>
  <c r="A974" i="1"/>
  <c r="A4433" i="1"/>
  <c r="A1100" i="1"/>
  <c r="A1708" i="1"/>
  <c r="A2617" i="1"/>
  <c r="A3421" i="1"/>
  <c r="A917" i="1"/>
  <c r="A1262" i="1"/>
  <c r="A2690" i="1"/>
  <c r="A1065" i="1"/>
  <c r="A2561" i="1"/>
  <c r="A729" i="1"/>
  <c r="A459" i="1"/>
  <c r="A1114" i="1"/>
  <c r="A2742" i="1"/>
  <c r="A2610" i="1"/>
  <c r="A626" i="1"/>
  <c r="A3672" i="1"/>
  <c r="A963" i="1"/>
  <c r="A2503" i="1"/>
  <c r="A856" i="1"/>
  <c r="A114" i="1"/>
  <c r="A647" i="1"/>
  <c r="A133" i="1"/>
  <c r="A366" i="1"/>
  <c r="A2021" i="1"/>
  <c r="A22" i="1"/>
  <c r="A907" i="1"/>
  <c r="A996" i="1"/>
  <c r="A3483" i="1"/>
  <c r="A2762" i="1"/>
  <c r="A3075" i="1"/>
  <c r="A857" i="1"/>
  <c r="A2613" i="1"/>
  <c r="A2816" i="1"/>
  <c r="A187" i="1"/>
  <c r="A3676" i="1"/>
  <c r="A3654" i="1"/>
  <c r="A1477" i="1"/>
  <c r="A1241" i="1"/>
  <c r="A1270" i="1"/>
  <c r="A4667" i="1"/>
  <c r="A4005" i="1"/>
  <c r="A4057" i="1"/>
  <c r="A2727" i="1"/>
  <c r="A2421" i="1"/>
  <c r="A634" i="1"/>
  <c r="A1798" i="1"/>
  <c r="A1942" i="1"/>
  <c r="A2889" i="1"/>
  <c r="A1036" i="1"/>
  <c r="A473" i="1"/>
  <c r="A1622" i="1"/>
  <c r="A1730" i="1"/>
  <c r="A381" i="1"/>
  <c r="A34" i="1"/>
  <c r="A415" i="1"/>
  <c r="A3908" i="1"/>
  <c r="A4275" i="1"/>
  <c r="A4324" i="1"/>
  <c r="A4418" i="1"/>
  <c r="A4786" i="1"/>
  <c r="A4900" i="1"/>
  <c r="A1055" i="1"/>
  <c r="A4150" i="1"/>
  <c r="A3259" i="1"/>
  <c r="A4577" i="1"/>
  <c r="A4648" i="1"/>
  <c r="A3778" i="1"/>
  <c r="A3912" i="1"/>
  <c r="A3474" i="1"/>
  <c r="A2667" i="1"/>
  <c r="A4981" i="1"/>
  <c r="A4865" i="1"/>
  <c r="A4789" i="1"/>
  <c r="A3610" i="1"/>
  <c r="A3679" i="1"/>
  <c r="A4747" i="1"/>
  <c r="A2760" i="1"/>
  <c r="A3755" i="1"/>
  <c r="A4705" i="1"/>
  <c r="A3450" i="1"/>
  <c r="A3385" i="1"/>
  <c r="A4218" i="1"/>
  <c r="A4133" i="1"/>
  <c r="A3367" i="1"/>
  <c r="A4970" i="1"/>
  <c r="A3952" i="1"/>
  <c r="A2926" i="1"/>
  <c r="A4356" i="1"/>
  <c r="A4847" i="1"/>
  <c r="A2192" i="1"/>
  <c r="A3059" i="1"/>
  <c r="A1973" i="1"/>
  <c r="A1240" i="1"/>
  <c r="A3996" i="1"/>
  <c r="A3539" i="1"/>
  <c r="A2335" i="1"/>
  <c r="A4195" i="1"/>
  <c r="A3925" i="1"/>
  <c r="A1046" i="1"/>
  <c r="A3172" i="1"/>
  <c r="A2151" i="1"/>
  <c r="A3400" i="1"/>
  <c r="A1764" i="1"/>
  <c r="A4476" i="1"/>
  <c r="A3909" i="1"/>
  <c r="A1856" i="1"/>
  <c r="A1190" i="1"/>
  <c r="A1140" i="1"/>
  <c r="A3094" i="1"/>
  <c r="A4389" i="1"/>
  <c r="A4699" i="1"/>
  <c r="A4573" i="1"/>
  <c r="A2009" i="1"/>
  <c r="A744" i="1"/>
  <c r="A438" i="1"/>
  <c r="A4626" i="1"/>
  <c r="A2206" i="1"/>
  <c r="A2615" i="1"/>
  <c r="A1276" i="1"/>
  <c r="A2505" i="1"/>
  <c r="A937" i="1"/>
  <c r="A961" i="1"/>
  <c r="A898" i="1"/>
  <c r="A2981" i="1"/>
  <c r="A1863" i="1"/>
  <c r="A3498" i="1"/>
  <c r="A1146" i="1"/>
  <c r="A3350" i="1"/>
  <c r="A2773" i="1"/>
  <c r="A2712" i="1"/>
  <c r="A1957" i="1"/>
  <c r="A1487" i="1"/>
  <c r="A1916" i="1"/>
  <c r="A2885" i="1"/>
  <c r="A2978" i="1"/>
  <c r="A4155" i="1"/>
  <c r="A3250" i="1"/>
  <c r="A1996" i="1"/>
  <c r="A2811" i="1"/>
  <c r="A373" i="1"/>
  <c r="A4103" i="1"/>
  <c r="A2675" i="1"/>
  <c r="A1044" i="1"/>
  <c r="A2323" i="1"/>
  <c r="A1748" i="1"/>
  <c r="A2444" i="1"/>
  <c r="A1895" i="1"/>
  <c r="A112" i="1"/>
  <c r="A4702" i="1"/>
  <c r="A543" i="1"/>
  <c r="A1373" i="1"/>
  <c r="A593" i="1"/>
  <c r="A661" i="1"/>
  <c r="A1802" i="1"/>
  <c r="A720" i="1"/>
  <c r="A219" i="1"/>
  <c r="A66" i="1"/>
  <c r="A3738" i="1"/>
  <c r="A266" i="1"/>
  <c r="A1307" i="1"/>
  <c r="A1257" i="1"/>
  <c r="A1596" i="1"/>
  <c r="A1736" i="1"/>
  <c r="A1940" i="1"/>
  <c r="A541" i="1"/>
  <c r="A530" i="1"/>
  <c r="A1454" i="1"/>
  <c r="A2002" i="1"/>
  <c r="A111" i="1"/>
  <c r="A268" i="1"/>
  <c r="A248" i="1"/>
  <c r="A38" i="1"/>
  <c r="A393" i="1"/>
  <c r="A232" i="1"/>
  <c r="A23" i="1"/>
  <c r="A456" i="1"/>
  <c r="A67" i="1"/>
  <c r="A237" i="1"/>
  <c r="A1230" i="1"/>
  <c r="A3889" i="1"/>
  <c r="A513" i="1"/>
  <c r="A2375" i="1"/>
  <c r="A2831" i="1"/>
  <c r="A712" i="1"/>
  <c r="A502" i="1"/>
  <c r="A4830" i="1"/>
  <c r="A4554" i="1"/>
  <c r="A4425" i="1"/>
  <c r="A1793" i="1"/>
  <c r="A442" i="1"/>
  <c r="A879" i="1"/>
  <c r="A1925" i="1"/>
  <c r="A229" i="1"/>
  <c r="A189" i="1"/>
  <c r="A3605" i="1"/>
  <c r="A3200" i="1"/>
  <c r="A3530" i="1"/>
  <c r="A3634" i="1"/>
  <c r="A4782" i="1"/>
  <c r="A3970" i="1"/>
  <c r="A4253" i="1"/>
  <c r="A3403" i="1"/>
  <c r="A4588" i="1"/>
  <c r="A4262" i="1"/>
  <c r="A3258" i="1"/>
  <c r="A3589" i="1"/>
  <c r="A1663" i="1"/>
  <c r="A1217" i="1"/>
  <c r="A995" i="1"/>
  <c r="A1929" i="1"/>
  <c r="A1625" i="1"/>
  <c r="A2605" i="1"/>
  <c r="A4386" i="1"/>
  <c r="A2320" i="1"/>
  <c r="A1737" i="1"/>
  <c r="A3015" i="1"/>
  <c r="A1351" i="1"/>
  <c r="A3669" i="1"/>
  <c r="A3991" i="1"/>
  <c r="A3087" i="1"/>
  <c r="A2083" i="1"/>
  <c r="A1197" i="1"/>
  <c r="A2390" i="1"/>
  <c r="A2426" i="1"/>
  <c r="A1321" i="1"/>
  <c r="A675" i="1"/>
  <c r="A1011" i="1"/>
  <c r="A3110" i="1"/>
  <c r="A1446" i="1"/>
  <c r="A1900" i="1"/>
  <c r="A1799" i="1"/>
  <c r="A3555" i="1"/>
  <c r="A1001" i="1"/>
  <c r="A1015" i="1"/>
  <c r="A3141" i="1"/>
  <c r="A333" i="1"/>
  <c r="A892" i="1"/>
  <c r="A2424" i="1"/>
  <c r="A1465" i="1"/>
  <c r="A2198" i="1"/>
  <c r="A2237" i="1"/>
  <c r="A695" i="1"/>
  <c r="A3126" i="1"/>
  <c r="A256" i="1"/>
  <c r="A1643" i="1"/>
  <c r="A1174" i="1"/>
  <c r="A1279" i="1"/>
  <c r="A1356" i="1"/>
  <c r="A4821" i="1"/>
  <c r="A2788" i="1"/>
  <c r="A596" i="1"/>
  <c r="A1618" i="1"/>
  <c r="A379" i="1"/>
  <c r="A4447" i="1"/>
  <c r="A2227" i="1"/>
  <c r="A4901" i="1"/>
  <c r="A1203" i="1"/>
  <c r="A1135" i="1"/>
  <c r="A255" i="1"/>
  <c r="A938" i="1"/>
  <c r="A3709" i="1"/>
  <c r="A2132" i="1"/>
  <c r="A2172" i="1"/>
  <c r="A2376" i="1"/>
  <c r="A2894" i="1"/>
  <c r="A355" i="1"/>
  <c r="A1520" i="1"/>
  <c r="A93" i="1"/>
  <c r="A15" i="1"/>
  <c r="A4009" i="1"/>
  <c r="A3182" i="1"/>
  <c r="A3037" i="1"/>
  <c r="A2657" i="1"/>
  <c r="A4672" i="1"/>
  <c r="A4822" i="1"/>
  <c r="A4107" i="1"/>
  <c r="A3943" i="1"/>
  <c r="A4513" i="1"/>
  <c r="A2416" i="1"/>
  <c r="A3946" i="1"/>
  <c r="A3760" i="1"/>
  <c r="A4614" i="1"/>
  <c r="A4125" i="1"/>
  <c r="A4216" i="1"/>
  <c r="A3086" i="1"/>
  <c r="A4756" i="1"/>
  <c r="A3341" i="1"/>
  <c r="A4781" i="1"/>
  <c r="A3657" i="1"/>
  <c r="A4765" i="1"/>
  <c r="A1387" i="1"/>
  <c r="A2794" i="1"/>
  <c r="A4261" i="1"/>
  <c r="A3402" i="1"/>
  <c r="A3183" i="1"/>
  <c r="A3773" i="1"/>
  <c r="A2202" i="1"/>
  <c r="A4550" i="1"/>
  <c r="A2827" i="1"/>
  <c r="A4136" i="1"/>
  <c r="A1222" i="1"/>
  <c r="A4512" i="1"/>
  <c r="A4817" i="1"/>
  <c r="A4823" i="1"/>
  <c r="A3821" i="1"/>
  <c r="A3987" i="1"/>
  <c r="A4128" i="1"/>
  <c r="A3078" i="1"/>
  <c r="A2463" i="1"/>
  <c r="A2082" i="1"/>
  <c r="A2306" i="1"/>
  <c r="A418" i="1"/>
  <c r="A2405" i="1"/>
  <c r="A4525" i="1"/>
  <c r="A1864" i="1"/>
  <c r="A2628" i="1"/>
  <c r="A2947" i="1"/>
  <c r="A1297" i="1"/>
  <c r="A3466" i="1"/>
  <c r="A2332" i="1"/>
  <c r="A4764" i="1"/>
  <c r="A269" i="1"/>
  <c r="A4459" i="1"/>
  <c r="A3864" i="1"/>
  <c r="A884" i="1"/>
  <c r="A1934" i="1"/>
  <c r="A1731" i="1"/>
  <c r="A3061" i="1"/>
  <c r="A2097" i="1"/>
  <c r="A3370" i="1"/>
  <c r="A1711" i="1"/>
  <c r="A4391" i="1"/>
  <c r="A4094" i="1"/>
  <c r="A4291" i="1"/>
  <c r="A3255" i="1"/>
  <c r="A1254" i="1"/>
  <c r="A3600" i="1"/>
  <c r="A1492" i="1"/>
  <c r="A412" i="1"/>
  <c r="A808" i="1"/>
  <c r="A4276" i="1"/>
  <c r="A649" i="1"/>
  <c r="A1960" i="1"/>
  <c r="A2066" i="1"/>
  <c r="A786" i="1"/>
  <c r="A2364" i="1"/>
  <c r="A3494" i="1"/>
  <c r="A1870" i="1"/>
  <c r="A3993" i="1"/>
  <c r="A1249" i="1"/>
  <c r="A669" i="1"/>
  <c r="A1905" i="1"/>
  <c r="A2246" i="1"/>
  <c r="A1335" i="1"/>
  <c r="A3565" i="1"/>
  <c r="A2805" i="1"/>
  <c r="A1358" i="1"/>
  <c r="A2133" i="1"/>
  <c r="A2609" i="1"/>
  <c r="A2787" i="1"/>
  <c r="A1445" i="1"/>
  <c r="A1690" i="1"/>
  <c r="A4191" i="1"/>
  <c r="A2058" i="1"/>
  <c r="A2338" i="1"/>
  <c r="A3772" i="1"/>
  <c r="A609" i="1"/>
  <c r="A1391" i="1"/>
  <c r="A4293" i="1"/>
  <c r="A3235" i="1"/>
  <c r="A3155" i="1"/>
  <c r="A678" i="1"/>
  <c r="A3090" i="1"/>
  <c r="A1405" i="1"/>
  <c r="A640" i="1"/>
  <c r="A1588" i="1"/>
  <c r="A1333" i="1"/>
  <c r="A843" i="1"/>
  <c r="A152" i="1"/>
  <c r="A292" i="1"/>
  <c r="A3548" i="1"/>
  <c r="A520" i="1"/>
  <c r="A756" i="1"/>
  <c r="A2359" i="1"/>
  <c r="A2929" i="1"/>
  <c r="A3118" i="1"/>
  <c r="A1056" i="1"/>
  <c r="A2546" i="1"/>
  <c r="A2502" i="1"/>
  <c r="A1857" i="1"/>
  <c r="A2340" i="1"/>
  <c r="A419" i="1"/>
  <c r="A320" i="1"/>
  <c r="A4205" i="1"/>
  <c r="A1324" i="1"/>
  <c r="A1058" i="1"/>
  <c r="A1199" i="1"/>
  <c r="A431" i="1"/>
  <c r="A2215" i="1"/>
  <c r="A875" i="1"/>
  <c r="A389" i="1"/>
  <c r="A2586" i="1"/>
  <c r="A212" i="1"/>
  <c r="A491" i="1"/>
  <c r="A76" i="1"/>
  <c r="A227" i="1"/>
  <c r="A57" i="1"/>
  <c r="A1532" i="1"/>
  <c r="A2434" i="1"/>
  <c r="A51" i="1"/>
  <c r="A1868" i="1"/>
  <c r="A2713" i="1"/>
  <c r="A1201" i="1"/>
  <c r="A316" i="1"/>
  <c r="A199" i="1"/>
  <c r="A41" i="1"/>
  <c r="A4679" i="1"/>
  <c r="A4320" i="1"/>
  <c r="A2757" i="1"/>
  <c r="A2091" i="1"/>
  <c r="A3638" i="1"/>
  <c r="A4710" i="1"/>
  <c r="A4105" i="1"/>
  <c r="A4224" i="1"/>
  <c r="A4045" i="1"/>
  <c r="A3961" i="1"/>
  <c r="A424" i="1"/>
  <c r="A3812" i="1"/>
  <c r="A1200" i="1"/>
  <c r="A1323" i="1"/>
  <c r="A1029" i="1"/>
  <c r="A1193" i="1"/>
  <c r="A3008" i="1"/>
  <c r="A4835" i="1"/>
  <c r="A4771" i="1"/>
  <c r="A3635" i="1"/>
  <c r="A1495" i="1"/>
  <c r="A858" i="1"/>
  <c r="A1521" i="1"/>
  <c r="A3967" i="1"/>
  <c r="A1850" i="1"/>
  <c r="A1707" i="1"/>
  <c r="A715" i="1"/>
  <c r="A4870" i="1"/>
  <c r="A3372" i="1"/>
  <c r="A2982" i="1"/>
  <c r="A3927" i="1"/>
  <c r="A4463" i="1"/>
  <c r="A3859" i="1"/>
  <c r="A2288" i="1"/>
  <c r="A3757" i="1"/>
  <c r="A4193" i="1"/>
  <c r="A2355" i="1"/>
  <c r="A2685" i="1"/>
  <c r="A3477" i="1"/>
  <c r="A3320" i="1"/>
  <c r="A4723" i="1"/>
  <c r="A4840" i="1"/>
  <c r="A3418" i="1"/>
  <c r="A614" i="1"/>
  <c r="A4649" i="1"/>
  <c r="A4032" i="1"/>
  <c r="A3220" i="1"/>
  <c r="A4411" i="1"/>
  <c r="A3736" i="1"/>
  <c r="A3768" i="1"/>
  <c r="A3277" i="1"/>
  <c r="A3574" i="1"/>
  <c r="A4940" i="1"/>
  <c r="A3291" i="1"/>
  <c r="A4716" i="1"/>
  <c r="A4461" i="1"/>
  <c r="A4861" i="1"/>
  <c r="A3202" i="1"/>
  <c r="A4949" i="1"/>
  <c r="A3356" i="1"/>
  <c r="A4455" i="1"/>
  <c r="A2396" i="1"/>
  <c r="A1191" i="1"/>
  <c r="A3391" i="1"/>
  <c r="A2174" i="1"/>
  <c r="A4776" i="1"/>
  <c r="A2088" i="1"/>
  <c r="A4424" i="1"/>
  <c r="A2904" i="1"/>
  <c r="A4674" i="1"/>
  <c r="A3434" i="1"/>
  <c r="A2739" i="1"/>
  <c r="A4367" i="1"/>
  <c r="A1726" i="1"/>
  <c r="A4480" i="1"/>
  <c r="A4790" i="1"/>
  <c r="A3914" i="1"/>
  <c r="A2509" i="1"/>
  <c r="A3537" i="1"/>
  <c r="A3774" i="1"/>
  <c r="A3976" i="1"/>
  <c r="A4419" i="1"/>
  <c r="A4129" i="1"/>
  <c r="A4062" i="1"/>
  <c r="A4695" i="1"/>
  <c r="A2258" i="1"/>
  <c r="A3509" i="1"/>
  <c r="A4829" i="1"/>
  <c r="A4984" i="1"/>
  <c r="A4036" i="1"/>
  <c r="A4757" i="1"/>
  <c r="A4215" i="1"/>
  <c r="A3762" i="1"/>
  <c r="A4760" i="1"/>
  <c r="A4198" i="1"/>
  <c r="A3977" i="1"/>
  <c r="A4812" i="1"/>
  <c r="A2168" i="1"/>
  <c r="A3336" i="1"/>
  <c r="A3598" i="1"/>
  <c r="A3678" i="1"/>
  <c r="A4905" i="1"/>
  <c r="A735" i="1"/>
  <c r="A3249" i="1"/>
  <c r="A4917" i="1"/>
  <c r="A3312" i="1"/>
  <c r="A2322" i="1"/>
  <c r="A1685" i="1"/>
  <c r="A3740" i="1"/>
  <c r="A2717" i="1"/>
  <c r="A2600" i="1"/>
  <c r="A1553" i="1"/>
  <c r="A3260" i="1"/>
  <c r="A1665" i="1"/>
  <c r="A2758" i="1"/>
  <c r="A4915" i="1"/>
  <c r="A4913" i="1"/>
  <c r="A1159" i="1"/>
  <c r="A4207" i="1"/>
  <c r="A3820" i="1"/>
  <c r="A4376" i="1"/>
  <c r="A3573" i="1"/>
  <c r="A3171" i="1"/>
  <c r="A4711" i="1"/>
  <c r="A1034" i="1"/>
  <c r="A2682" i="1"/>
  <c r="A1175" i="1"/>
  <c r="A1991" i="1"/>
  <c r="A4303" i="1"/>
  <c r="A2882" i="1"/>
  <c r="A3898" i="1"/>
  <c r="A2194" i="1"/>
  <c r="A4083" i="1"/>
  <c r="A4929" i="1"/>
  <c r="A3557" i="1"/>
  <c r="A4091" i="1"/>
  <c r="A1344" i="1"/>
  <c r="A1766" i="1"/>
  <c r="A2393" i="1"/>
  <c r="A3355" i="1"/>
  <c r="A2718" i="1"/>
  <c r="A3616" i="1"/>
  <c r="A4620" i="1"/>
  <c r="A3058" i="1"/>
  <c r="A2045" i="1"/>
  <c r="A3286" i="1"/>
  <c r="A3951" i="1"/>
  <c r="A4670" i="1"/>
  <c r="A3653" i="1"/>
  <c r="A4738" i="1"/>
  <c r="A4524" i="1"/>
  <c r="A2240" i="1"/>
  <c r="A3411" i="1"/>
  <c r="A2761" i="1"/>
  <c r="A1902" i="1"/>
  <c r="A1668" i="1"/>
  <c r="A1636" i="1"/>
  <c r="A4633" i="1"/>
  <c r="A1043" i="1"/>
  <c r="A1869" i="1"/>
  <c r="A2500" i="1"/>
  <c r="A3351" i="1"/>
  <c r="A4827" i="1"/>
  <c r="A548" i="1"/>
  <c r="A1371" i="1"/>
  <c r="A3901" i="1"/>
  <c r="A4041" i="1"/>
  <c r="A3226" i="1"/>
  <c r="A4478" i="1"/>
  <c r="A3627" i="1"/>
  <c r="A2525" i="1"/>
  <c r="A1635" i="1"/>
  <c r="A4137" i="1"/>
  <c r="A2060" i="1"/>
  <c r="A1744" i="1"/>
  <c r="A1830" i="1"/>
  <c r="A1621" i="1"/>
  <c r="A437" i="1"/>
  <c r="A2169" i="1"/>
  <c r="A1526" i="1"/>
  <c r="A3359" i="1"/>
  <c r="A1844" i="1"/>
  <c r="A2887" i="1"/>
  <c r="A3113" i="1"/>
  <c r="A4403" i="1"/>
  <c r="A738" i="1"/>
  <c r="A1790" i="1"/>
  <c r="A2224" i="1"/>
  <c r="A2163" i="1"/>
  <c r="A2150" i="1"/>
  <c r="A877" i="1"/>
  <c r="A4247" i="1"/>
  <c r="A2484" i="1"/>
  <c r="A3761" i="1"/>
  <c r="A1367" i="1"/>
  <c r="A2750" i="1"/>
  <c r="A2417" i="1"/>
  <c r="A4048" i="1"/>
  <c r="A4375" i="1"/>
  <c r="A3142" i="1"/>
  <c r="A1380" i="1"/>
  <c r="A402" i="1"/>
  <c r="A761" i="1"/>
  <c r="A3381" i="1"/>
  <c r="A3342" i="1"/>
  <c r="A4503" i="1"/>
  <c r="A3478" i="1"/>
  <c r="A3222" i="1"/>
  <c r="A4211" i="1"/>
  <c r="A3301" i="1"/>
  <c r="A4770" i="1"/>
  <c r="A1834" i="1"/>
  <c r="A1006" i="1"/>
  <c r="A201" i="1"/>
  <c r="A2253" i="1"/>
  <c r="A794" i="1"/>
  <c r="A2812" i="1"/>
  <c r="A420" i="1"/>
  <c r="A1147" i="1"/>
  <c r="A2361" i="1"/>
  <c r="A2625" i="1"/>
  <c r="A1723" i="1"/>
  <c r="A1486" i="1"/>
  <c r="A3717" i="1"/>
  <c r="A1601" i="1"/>
  <c r="A731" i="1"/>
  <c r="A688" i="1"/>
  <c r="A1441" i="1"/>
  <c r="A874" i="1"/>
  <c r="A1103" i="1"/>
  <c r="A1866" i="1"/>
  <c r="A2115" i="1"/>
  <c r="A1607" i="1"/>
  <c r="A1679" i="1"/>
  <c r="A941" i="1"/>
  <c r="A1480" i="1"/>
  <c r="A3899" i="1"/>
  <c r="A1025" i="1"/>
  <c r="A4217" i="1"/>
  <c r="A4603" i="1"/>
  <c r="A521" i="1"/>
  <c r="A4263" i="1"/>
  <c r="A4104" i="1"/>
  <c r="A304" i="1"/>
  <c r="A1252" i="1"/>
  <c r="A1192" i="1"/>
  <c r="A3106" i="1"/>
  <c r="A4265" i="1"/>
  <c r="A380" i="1"/>
  <c r="A4397" i="1"/>
  <c r="A2547" i="1"/>
  <c r="A3725" i="1"/>
  <c r="A2100" i="1"/>
  <c r="A923" i="1"/>
  <c r="A1432" i="1"/>
  <c r="A1184" i="1"/>
  <c r="A576" i="1"/>
  <c r="A2377" i="1"/>
  <c r="A1228" i="1"/>
  <c r="A1152" i="1"/>
  <c r="A2934" i="1"/>
  <c r="A1981" i="1"/>
  <c r="A806" i="1"/>
  <c r="A3863" i="1"/>
  <c r="A2211" i="1"/>
  <c r="A784" i="1"/>
  <c r="A557" i="1"/>
  <c r="A1865" i="1"/>
  <c r="A2536" i="1"/>
  <c r="A528" i="1"/>
  <c r="A912" i="1"/>
  <c r="A2040" i="1"/>
  <c r="A3592" i="1"/>
  <c r="A134" i="1"/>
  <c r="A1820" i="1"/>
  <c r="A1319" i="1"/>
  <c r="A1770" i="1"/>
  <c r="A4486" i="1"/>
  <c r="A202" i="1"/>
  <c r="A344" i="1"/>
  <c r="A1374" i="1"/>
  <c r="A1544" i="1"/>
  <c r="A965" i="1"/>
  <c r="A1063" i="1"/>
  <c r="A2829" i="1"/>
  <c r="A1898" i="1"/>
  <c r="A2283" i="1"/>
  <c r="A1110" i="1"/>
  <c r="A1455" i="1"/>
  <c r="A1291" i="1"/>
  <c r="A1118" i="1"/>
  <c r="A2128" i="1"/>
  <c r="A615" i="1"/>
  <c r="A1215" i="1"/>
  <c r="A2072" i="1"/>
  <c r="A1237" i="1"/>
  <c r="A157" i="1"/>
  <c r="A2766" i="1"/>
  <c r="A2780" i="1"/>
  <c r="A1956" i="1"/>
  <c r="A887" i="1"/>
  <c r="A1695" i="1"/>
  <c r="A1483" i="1"/>
  <c r="A1713" i="1"/>
  <c r="A3712" i="1"/>
  <c r="A1977" i="1"/>
  <c r="A372" i="1"/>
  <c r="A870" i="1"/>
  <c r="A3965" i="1"/>
  <c r="A1624" i="1"/>
  <c r="A1130" i="1"/>
  <c r="A1304" i="1"/>
  <c r="A1026" i="1"/>
  <c r="A1284" i="1"/>
  <c r="A971" i="1"/>
  <c r="A286" i="1"/>
  <c r="A2352" i="1"/>
  <c r="A1582" i="1"/>
  <c r="A2391" i="1"/>
  <c r="A578" i="1"/>
  <c r="A345" i="1"/>
  <c r="A2971" i="1"/>
  <c r="A166" i="1"/>
  <c r="A120" i="1"/>
  <c r="A3148" i="1"/>
  <c r="A2653" i="1"/>
  <c r="A3230" i="1"/>
  <c r="A2122" i="1"/>
  <c r="A754" i="1"/>
  <c r="A1209" i="1"/>
  <c r="A468" i="1"/>
  <c r="A1009" i="1"/>
  <c r="A43" i="1"/>
  <c r="A246" i="1"/>
  <c r="A838" i="1"/>
  <c r="A968" i="1"/>
  <c r="A1841" i="1"/>
  <c r="A99" i="1"/>
  <c r="A1613" i="1"/>
  <c r="A258" i="1"/>
  <c r="A919" i="1"/>
  <c r="A1111" i="1"/>
  <c r="A3324" i="1"/>
  <c r="A1796" i="1"/>
  <c r="A3178" i="1"/>
  <c r="A1682" i="1"/>
  <c r="A1683" i="1"/>
  <c r="A1768" i="1"/>
  <c r="A588" i="1"/>
  <c r="A283" i="1"/>
  <c r="A2103" i="1"/>
  <c r="A2265" i="1"/>
  <c r="A36" i="1"/>
  <c r="A331" i="1"/>
  <c r="A913" i="1"/>
  <c r="A538" i="1"/>
  <c r="A10" i="1"/>
  <c r="A1468" i="1"/>
  <c r="A710" i="1"/>
  <c r="A1398" i="1"/>
  <c r="A150" i="1"/>
  <c r="A760" i="1"/>
  <c r="A662" i="1"/>
  <c r="A322" i="1"/>
  <c r="A2208" i="1"/>
  <c r="A172" i="1"/>
  <c r="A687" i="1"/>
  <c r="A413" i="1"/>
  <c r="A1914" i="1"/>
  <c r="A54" i="1"/>
  <c r="A173" i="1"/>
  <c r="A524" i="1"/>
  <c r="A63" i="1"/>
  <c r="A50" i="1"/>
  <c r="A181" i="1"/>
  <c r="A2165" i="1"/>
  <c r="A452" i="1"/>
  <c r="A382" i="1"/>
  <c r="A2013" i="1"/>
  <c r="A785" i="1"/>
  <c r="A1791" i="1"/>
  <c r="A1041" i="1"/>
  <c r="A1286" i="1"/>
  <c r="A788" i="1"/>
  <c r="A489" i="1"/>
  <c r="A2907" i="1"/>
  <c r="A2043" i="1"/>
  <c r="A1424" i="1"/>
  <c r="A3070" i="1"/>
  <c r="A3893" i="1"/>
  <c r="A4836" i="1"/>
  <c r="A2870" i="1"/>
  <c r="A4101" i="1"/>
  <c r="A3245" i="1"/>
  <c r="A2054" i="1"/>
  <c r="A4795" i="1"/>
  <c r="A3465" i="1"/>
  <c r="A1666" i="1"/>
  <c r="A2065" i="1"/>
  <c r="A4452" i="1"/>
  <c r="A522" i="1"/>
  <c r="A867" i="1"/>
  <c r="A3690" i="1"/>
  <c r="A2735" i="1"/>
  <c r="A1359" i="1"/>
  <c r="A2853" i="1"/>
  <c r="A4395" i="1"/>
  <c r="A1937" i="1"/>
  <c r="A770" i="1"/>
  <c r="A1888" i="1"/>
  <c r="A3386" i="1"/>
  <c r="A4274" i="1"/>
  <c r="A4852" i="1"/>
  <c r="A3636" i="1"/>
  <c r="A3612" i="1"/>
  <c r="A834" i="1"/>
  <c r="A4863" i="1"/>
  <c r="A3212" i="1"/>
  <c r="A4436" i="1"/>
  <c r="A4571" i="1"/>
  <c r="A3744" i="1"/>
  <c r="A5013" i="1"/>
  <c r="A3936" i="1"/>
  <c r="A3713" i="1"/>
  <c r="A3358" i="1"/>
  <c r="A1851" i="1"/>
  <c r="A4985" i="1"/>
  <c r="A4954" i="1"/>
  <c r="A777" i="1"/>
  <c r="A3123" i="1"/>
  <c r="A4567" i="1"/>
  <c r="A893" i="1"/>
  <c r="A1677" i="1"/>
  <c r="A2820" i="1"/>
  <c r="A2983" i="1"/>
  <c r="A1401" i="1"/>
  <c r="A3701" i="1"/>
  <c r="A2678" i="1"/>
  <c r="A2967" i="1"/>
  <c r="A1569" i="1"/>
  <c r="A605" i="1"/>
  <c r="A2877" i="1"/>
  <c r="A264" i="1"/>
  <c r="A686" i="1"/>
  <c r="A3132" i="1"/>
  <c r="A511" i="1"/>
  <c r="A940" i="1"/>
  <c r="A110" i="1"/>
  <c r="A1570" i="1"/>
  <c r="A797" i="1"/>
  <c r="A2276" i="1"/>
  <c r="A1105" i="1"/>
  <c r="A1014" i="1"/>
  <c r="A723" i="1"/>
  <c r="A191" i="1"/>
  <c r="A1608" i="1"/>
  <c r="A4355" i="1"/>
  <c r="A1295" i="1"/>
  <c r="A3357" i="1"/>
  <c r="A4296" i="1"/>
  <c r="A4039" i="1"/>
  <c r="A1810" i="1"/>
  <c r="A3404" i="1"/>
  <c r="A339" i="1"/>
  <c r="A3491" i="1"/>
  <c r="A4797" i="1"/>
  <c r="A3997" i="1"/>
  <c r="A3579" i="1"/>
  <c r="A4406" i="1"/>
  <c r="A3972" i="1"/>
  <c r="A2604" i="1"/>
  <c r="A2736" i="1"/>
  <c r="A2409" i="1"/>
  <c r="A2928" i="1"/>
  <c r="A2751" i="1"/>
  <c r="A4655" i="1"/>
  <c r="A4935" i="1"/>
  <c r="A4305" i="1"/>
  <c r="A2862" i="1"/>
  <c r="A4501" i="1"/>
  <c r="A1913" i="1"/>
  <c r="A2044" i="1"/>
  <c r="A3897" i="1"/>
  <c r="A4360" i="1"/>
  <c r="A3145" i="1"/>
  <c r="A2910" i="1"/>
  <c r="A4408" i="1"/>
  <c r="A4722" i="1"/>
  <c r="A3844" i="1"/>
  <c r="A3937" i="1"/>
  <c r="A3881" i="1"/>
  <c r="A4511" i="1"/>
  <c r="A4706" i="1"/>
  <c r="A4003" i="1"/>
  <c r="A4146" i="1"/>
  <c r="A2852" i="1"/>
  <c r="A4618" i="1"/>
  <c r="A3584" i="1"/>
  <c r="A4880" i="1"/>
  <c r="A2990" i="1"/>
  <c r="A4337" i="1"/>
  <c r="A4532" i="1"/>
  <c r="A2135" i="1"/>
  <c r="A3697" i="1"/>
  <c r="A1080" i="1"/>
  <c r="A1126" i="1"/>
  <c r="A1550" i="1"/>
  <c r="A4872" i="1"/>
  <c r="A1646" i="1"/>
  <c r="A947" i="1"/>
  <c r="A4886" i="1"/>
  <c r="A2651" i="1"/>
  <c r="A2994" i="1"/>
  <c r="A2016" i="1"/>
  <c r="A2913" i="1"/>
  <c r="A3974" i="1"/>
  <c r="A4055" i="1"/>
  <c r="A408" i="1"/>
  <c r="A2219" i="1"/>
  <c r="A2270" i="1"/>
  <c r="A3563" i="1"/>
  <c r="A1815" i="1"/>
  <c r="A4071" i="1"/>
  <c r="A3451" i="1"/>
  <c r="A3603" i="1"/>
  <c r="A3471" i="1"/>
  <c r="A3442" i="1"/>
  <c r="A2776" i="1"/>
  <c r="A2499" i="1"/>
  <c r="A4950" i="1"/>
  <c r="A1963" i="1"/>
  <c r="A2329" i="1"/>
  <c r="A4115" i="1"/>
  <c r="A2595" i="1"/>
  <c r="A498" i="1"/>
  <c r="A2435" i="1"/>
  <c r="A674" i="1"/>
  <c r="A1294" i="1"/>
  <c r="A3424" i="1"/>
  <c r="A1805" i="1"/>
  <c r="A324" i="1"/>
  <c r="A4118" i="1"/>
  <c r="A1177" i="1"/>
  <c r="A4301" i="1"/>
  <c r="A3447" i="1"/>
  <c r="A3786" i="1"/>
  <c r="A4601" i="1"/>
  <c r="A463" i="1"/>
  <c r="A2413" i="1"/>
  <c r="A853" i="1"/>
  <c r="A2191" i="1"/>
  <c r="A2558" i="1"/>
  <c r="A4000" i="1"/>
  <c r="A2026" i="1"/>
  <c r="A1738" i="1"/>
  <c r="A3729" i="1"/>
  <c r="A4838" i="1"/>
  <c r="A1691" i="1"/>
  <c r="A3851" i="1"/>
  <c r="A3981" i="1"/>
  <c r="A1329" i="1"/>
  <c r="A2828" i="1"/>
  <c r="A504" i="1"/>
  <c r="A2303" i="1"/>
  <c r="A2388" i="1"/>
  <c r="A1332" i="1"/>
  <c r="A927" i="1"/>
  <c r="A3333" i="1"/>
  <c r="A4541" i="1"/>
  <c r="A196" i="1"/>
  <c r="A1568" i="1"/>
  <c r="A2152" i="1"/>
  <c r="A3083" i="1"/>
  <c r="A1781" i="1"/>
  <c r="A3805" i="1"/>
  <c r="A2243" i="1"/>
  <c r="A3322" i="1"/>
  <c r="A1928" i="1"/>
  <c r="A3861" i="1"/>
  <c r="A1797" i="1"/>
  <c r="A709" i="1"/>
  <c r="A1402" i="1"/>
  <c r="A1884" i="1"/>
  <c r="A2226" i="1"/>
  <c r="A1458" i="1"/>
  <c r="A2438" i="1"/>
  <c r="A721" i="1"/>
  <c r="A1759" i="1"/>
  <c r="A836" i="1"/>
  <c r="A2791" i="1"/>
  <c r="A506" i="1"/>
  <c r="A1150" i="1"/>
  <c r="A1091" i="1"/>
  <c r="A1419" i="1"/>
  <c r="A4642" i="1"/>
  <c r="A1154" i="1"/>
  <c r="A680" i="1"/>
  <c r="A1155" i="1"/>
  <c r="A676" i="1"/>
  <c r="A159" i="1"/>
  <c r="A876" i="1"/>
  <c r="A2795" i="1"/>
  <c r="A684" i="1"/>
  <c r="A2006" i="1"/>
  <c r="A115" i="1"/>
  <c r="A2542" i="1"/>
  <c r="A3534" i="1"/>
  <c r="A4464" i="1"/>
  <c r="A3177" i="1"/>
  <c r="A171" i="1"/>
  <c r="A1658" i="1"/>
  <c r="A789" i="1"/>
  <c r="A183" i="1"/>
  <c r="A2011" i="1"/>
  <c r="A151" i="1"/>
  <c r="A1145" i="1"/>
  <c r="A323" i="1"/>
  <c r="A2177" i="1"/>
  <c r="A1219" i="1"/>
  <c r="A263" i="1"/>
  <c r="A2193" i="1"/>
  <c r="A1742" i="1"/>
  <c r="A3101" i="1"/>
  <c r="A2201" i="1"/>
  <c r="A1574" i="1"/>
  <c r="A40" i="1"/>
  <c r="A2668" i="1"/>
  <c r="A493" i="1"/>
  <c r="A1564" i="1"/>
  <c r="A129" i="1"/>
  <c r="A1102" i="1"/>
  <c r="A865" i="1"/>
  <c r="A665" i="1"/>
  <c r="A396" i="1"/>
  <c r="A276" i="1"/>
  <c r="A42" i="1"/>
  <c r="A165" i="1"/>
  <c r="A2268" i="1"/>
  <c r="A399" i="1"/>
  <c r="A2223" i="1"/>
  <c r="A1481" i="1"/>
  <c r="A53" i="1"/>
  <c r="A2385" i="1"/>
  <c r="A1416" i="1"/>
  <c r="A2095" i="1"/>
  <c r="A4465" i="1"/>
  <c r="A2252" i="1"/>
  <c r="A1514" i="1"/>
  <c r="A3348" i="1"/>
  <c r="A4802" i="1"/>
  <c r="A4029" i="1"/>
  <c r="A4855" i="1"/>
  <c r="A3724" i="1"/>
  <c r="A4280" i="1"/>
  <c r="A4015" i="1"/>
  <c r="A4315" i="1"/>
  <c r="A2606" i="1"/>
  <c r="A4238" i="1"/>
  <c r="A4353" i="1"/>
  <c r="A3595" i="1"/>
  <c r="A3395" i="1"/>
  <c r="A3030" i="1"/>
  <c r="A4249" i="1"/>
  <c r="A4927" i="1"/>
  <c r="A3880" i="1"/>
  <c r="A3932" i="1"/>
  <c r="A2997" i="1"/>
  <c r="A3088" i="1"/>
  <c r="A3419" i="1"/>
  <c r="A4612" i="1"/>
  <c r="A4833" i="1"/>
  <c r="A3541" i="1"/>
  <c r="A3614" i="1"/>
  <c r="A1835" i="1"/>
  <c r="A3710" i="1"/>
  <c r="A4379" i="1"/>
  <c r="A4806" i="1"/>
  <c r="A4414" i="1"/>
  <c r="A2126" i="1"/>
  <c r="A4327" i="1"/>
  <c r="A2387" i="1"/>
  <c r="A4349" i="1"/>
  <c r="A4270" i="1"/>
  <c r="A4963" i="1"/>
  <c r="A2161" i="1"/>
  <c r="A4703" i="1"/>
  <c r="A2369" i="1"/>
  <c r="A3984" i="1"/>
  <c r="A3514" i="1"/>
  <c r="A3180" i="1"/>
  <c r="A4627" i="1"/>
  <c r="A3303" i="1"/>
  <c r="A2909" i="1"/>
  <c r="A1789" i="1"/>
  <c r="A1400" i="1"/>
  <c r="A2538" i="1"/>
  <c r="A4450" i="1"/>
  <c r="A2310" i="1"/>
  <c r="A4837" i="1"/>
  <c r="A3330" i="1"/>
  <c r="A2158" i="1"/>
  <c r="A1983" i="1"/>
  <c r="A4678" i="1"/>
  <c r="A3546" i="1"/>
  <c r="A3787" i="1"/>
  <c r="A3954" i="1"/>
  <c r="A3017" i="1"/>
  <c r="A4116" i="1"/>
  <c r="A1958" i="1"/>
  <c r="A3704" i="1"/>
  <c r="A4731" i="1"/>
  <c r="A2064" i="1"/>
  <c r="A4427" i="1"/>
  <c r="A4507" i="1"/>
  <c r="A3867" i="1"/>
  <c r="A2071" i="1"/>
  <c r="A2748" i="1"/>
  <c r="A4542" i="1"/>
  <c r="A4306" i="1"/>
  <c r="A3140" i="1"/>
  <c r="A3045" i="1"/>
  <c r="A4351" i="1"/>
  <c r="A2527" i="1"/>
  <c r="A2851" i="1"/>
  <c r="A1788" i="1"/>
  <c r="A2164" i="1"/>
  <c r="A2684" i="1"/>
  <c r="A3218" i="1"/>
  <c r="A3808" i="1"/>
  <c r="A4371" i="1"/>
  <c r="A2170" i="1"/>
  <c r="A981" i="1"/>
  <c r="A3661" i="1"/>
  <c r="A4853" i="1"/>
  <c r="A4753" i="1"/>
  <c r="A4594" i="1"/>
  <c r="A4031" i="1"/>
  <c r="A4712" i="1"/>
  <c r="A3975" i="1"/>
  <c r="A3624" i="1"/>
  <c r="A3383" i="1"/>
  <c r="A4774" i="1"/>
  <c r="A2847" i="1"/>
  <c r="A4643" i="1"/>
  <c r="A1974" i="1"/>
  <c r="A3765" i="1"/>
  <c r="A2460" i="1"/>
  <c r="A4936" i="1"/>
  <c r="A4732" i="1"/>
  <c r="A4777" i="1"/>
  <c r="A4555" i="1"/>
  <c r="A4867" i="1"/>
  <c r="A3878" i="1"/>
  <c r="A3131" i="1"/>
  <c r="A3287" i="1"/>
  <c r="A2986" i="1"/>
  <c r="A3617" i="1"/>
  <c r="A4481" i="1"/>
  <c r="A4007" i="1"/>
  <c r="A3326" i="1"/>
  <c r="A4228" i="1"/>
  <c r="A2807" i="1"/>
  <c r="A3575" i="1"/>
  <c r="A4735" i="1"/>
  <c r="A2334" i="1"/>
  <c r="A4470" i="1"/>
  <c r="A4647" i="1"/>
  <c r="A3518" i="1"/>
  <c r="A3102" i="1"/>
  <c r="A4223" i="1"/>
  <c r="A4043" i="1"/>
  <c r="A4773" i="1"/>
  <c r="A4222" i="1"/>
  <c r="A3779" i="1"/>
  <c r="A2641" i="1"/>
  <c r="A1173" i="1"/>
  <c r="A2571" i="1"/>
  <c r="A3758" i="1"/>
  <c r="A4284" i="1"/>
  <c r="A2724" i="1"/>
  <c r="A4848" i="1"/>
  <c r="A4392" i="1"/>
  <c r="A4805" i="1"/>
  <c r="A4304" i="1"/>
  <c r="A4961" i="1"/>
  <c r="A4026" i="1"/>
  <c r="A3143" i="1"/>
  <c r="A3576" i="1"/>
  <c r="A3752" i="1"/>
  <c r="A3139" i="1"/>
  <c r="A3558" i="1"/>
  <c r="A4491" i="1"/>
  <c r="A3703" i="1"/>
  <c r="A4609" i="1"/>
  <c r="A2703" i="1"/>
  <c r="A3569" i="1"/>
  <c r="A2674" i="1"/>
  <c r="A3928" i="1"/>
  <c r="A2634" i="1"/>
  <c r="A3376" i="1"/>
  <c r="A3234" i="1"/>
  <c r="A4329" i="1"/>
  <c r="A2403" i="1"/>
  <c r="A4381" i="1"/>
  <c r="A2989" i="1"/>
  <c r="A3938" i="1"/>
  <c r="A2383" i="1"/>
  <c r="A2980" i="1"/>
  <c r="A4759" i="1"/>
  <c r="A3098" i="1"/>
  <c r="A4796" i="1"/>
  <c r="A3770" i="1"/>
  <c r="A3823" i="1"/>
  <c r="A4178" i="1"/>
  <c r="A3923" i="1"/>
  <c r="A3625" i="1"/>
  <c r="A3452" i="1"/>
  <c r="A4569" i="1"/>
  <c r="A3279" i="1"/>
  <c r="A4079" i="1"/>
  <c r="A4721" i="1"/>
  <c r="A3349" i="1"/>
  <c r="A3432" i="1"/>
  <c r="A4163" i="1"/>
  <c r="A2697" i="1"/>
  <c r="A4729" i="1"/>
  <c r="A3190" i="1"/>
  <c r="A4563" i="1"/>
  <c r="A5017" i="1"/>
  <c r="A2162" i="1"/>
  <c r="A4453" i="1"/>
  <c r="A3343" i="1"/>
  <c r="A4988" i="1"/>
  <c r="A3644" i="1"/>
  <c r="A4292" i="1"/>
  <c r="A2410" i="1"/>
  <c r="A1950" i="1"/>
  <c r="A3527" i="1"/>
  <c r="A5015" i="1"/>
  <c r="A2873" i="1"/>
  <c r="A3443" i="1"/>
  <c r="A3628" i="1"/>
  <c r="A4490" i="1"/>
  <c r="A2474" i="1"/>
  <c r="A4468" i="1"/>
  <c r="A1308" i="1"/>
  <c r="A3825" i="1"/>
  <c r="A4784" i="1"/>
  <c r="A3199" i="1"/>
  <c r="A2867" i="1"/>
  <c r="A2884" i="1"/>
  <c r="A4909" i="1"/>
  <c r="A3297" i="1"/>
  <c r="A1661" i="1"/>
  <c r="A3319" i="1"/>
  <c r="A1697" i="1"/>
  <c r="A2491" i="1"/>
  <c r="A4719" i="1"/>
  <c r="A4547" i="1"/>
  <c r="A2745" i="1"/>
  <c r="A2242" i="1"/>
  <c r="A3955" i="1"/>
  <c r="A3121" i="1"/>
  <c r="A3547" i="1"/>
  <c r="A2804" i="1"/>
  <c r="A3448" i="1"/>
  <c r="A3913" i="1"/>
  <c r="A3596" i="1"/>
  <c r="A4188" i="1"/>
  <c r="A4342" i="1"/>
  <c r="A4338" i="1"/>
  <c r="A4289" i="1"/>
  <c r="A4969" i="1"/>
  <c r="A3193" i="1"/>
  <c r="A4099" i="1"/>
  <c r="A4862" i="1"/>
  <c r="A2599" i="1"/>
  <c r="A4680" i="1"/>
  <c r="A4483" i="1"/>
  <c r="A4290" i="1"/>
  <c r="A3363" i="1"/>
  <c r="A3266" i="1"/>
  <c r="A3488" i="1"/>
  <c r="A4126" i="1"/>
  <c r="A3649" i="1"/>
  <c r="A4443" i="1"/>
  <c r="A4973" i="1"/>
  <c r="A3397" i="1"/>
  <c r="A4938" i="1"/>
  <c r="A1394" i="1"/>
  <c r="A2070" i="1"/>
  <c r="A4120" i="1"/>
  <c r="A3129" i="1"/>
  <c r="A4617" i="1"/>
  <c r="A3666" i="1"/>
  <c r="A3683" i="1"/>
  <c r="A4334" i="1"/>
  <c r="A3502" i="1"/>
  <c r="A3393" i="1"/>
  <c r="A2659" i="1"/>
  <c r="A4362" i="1"/>
  <c r="A4997" i="1"/>
  <c r="A2180" i="1"/>
  <c r="A4668" i="1"/>
  <c r="A3845" i="1"/>
  <c r="A4451" i="1"/>
  <c r="A3158" i="1"/>
  <c r="A3882" i="1"/>
  <c r="A3316" i="1"/>
  <c r="A2975" i="1"/>
  <c r="A2711" i="1"/>
  <c r="A2869" i="1"/>
  <c r="A4080" i="1"/>
  <c r="A3056" i="1"/>
  <c r="A1908" i="1"/>
  <c r="A4182" i="1"/>
  <c r="A4669" i="1"/>
  <c r="A3051" i="1"/>
  <c r="A3720" i="1"/>
  <c r="A2233" i="1"/>
  <c r="A2080" i="1"/>
  <c r="A4849" i="1"/>
  <c r="A3933" i="1"/>
  <c r="A5005" i="1"/>
  <c r="A4583" i="1"/>
  <c r="A1016" i="1"/>
  <c r="A970" i="1"/>
  <c r="A2618" i="1"/>
  <c r="A2731" i="1"/>
  <c r="A2942" i="1"/>
  <c r="A4332" i="1"/>
  <c r="A4879" i="1"/>
  <c r="A5009" i="1"/>
  <c r="A3551" i="1"/>
  <c r="A3354" i="1"/>
  <c r="A4434" i="1"/>
  <c r="A3918" i="1"/>
  <c r="A3100" i="1"/>
  <c r="A4518" i="1"/>
  <c r="A4030" i="1"/>
  <c r="A3872" i="1"/>
  <c r="A4037" i="1"/>
  <c r="A3688" i="1"/>
  <c r="A4561" i="1"/>
  <c r="A2564" i="1"/>
  <c r="A4557" i="1"/>
  <c r="A4971" i="1"/>
  <c r="A3578" i="1"/>
  <c r="A3543" i="1"/>
  <c r="A4675" i="1"/>
  <c r="A4974" i="1"/>
  <c r="A4539" i="1"/>
  <c r="A2554" i="1"/>
  <c r="A4309" i="1"/>
  <c r="A3208" i="1"/>
  <c r="A2965" i="1"/>
  <c r="A4288" i="1"/>
  <c r="A4398" i="1"/>
  <c r="A4696" i="1"/>
  <c r="A1551" i="1"/>
  <c r="A4914" i="1"/>
  <c r="A4596" i="1"/>
  <c r="A3288" i="1"/>
  <c r="A4923" i="1"/>
  <c r="A1936" i="1"/>
  <c r="A4590" i="1"/>
  <c r="A3619" i="1"/>
  <c r="A4278" i="1"/>
  <c r="A2833" i="1"/>
  <c r="A3295" i="1"/>
  <c r="A3721" i="1"/>
  <c r="A3439" i="1"/>
  <c r="A4185" i="1"/>
  <c r="A4916" i="1"/>
  <c r="A4488" i="1"/>
  <c r="A3671" i="1"/>
  <c r="A3510" i="1"/>
  <c r="A3298" i="1"/>
  <c r="A4570" i="1"/>
  <c r="A3253" i="1"/>
  <c r="A4171" i="1"/>
  <c r="A4393" i="1"/>
  <c r="A4154" i="1"/>
  <c r="A3426" i="1"/>
  <c r="A4432" i="1"/>
  <c r="A3323" i="1"/>
  <c r="A3116" i="1"/>
  <c r="A4761" i="1"/>
  <c r="A3028" i="1"/>
  <c r="A3865" i="1"/>
  <c r="A4999" i="1"/>
  <c r="A3154" i="1"/>
  <c r="A3147" i="1"/>
  <c r="A1871" i="1"/>
  <c r="A3950" i="1"/>
  <c r="A3659" i="1"/>
  <c r="A3790" i="1"/>
  <c r="A4956" i="1"/>
  <c r="A3641" i="1"/>
  <c r="A3583" i="1"/>
  <c r="A1804" i="1"/>
  <c r="A3240" i="1"/>
  <c r="A3675" i="1"/>
  <c r="A4527" i="1"/>
  <c r="A4285" i="1"/>
  <c r="A4266" i="1"/>
  <c r="A2447" i="1"/>
  <c r="A3730" i="1"/>
  <c r="A2272" i="1"/>
  <c r="A2580" i="1"/>
  <c r="A1800" i="1"/>
  <c r="A4096" i="1"/>
  <c r="A2120" i="1"/>
  <c r="A4106" i="1"/>
  <c r="A3338" i="1"/>
  <c r="A4156" i="1"/>
  <c r="A4090" i="1"/>
  <c r="A4854" i="1"/>
  <c r="A4685" i="1"/>
  <c r="A4110" i="1"/>
  <c r="A4056" i="1"/>
  <c r="A4533" i="1"/>
  <c r="A3920" i="1"/>
  <c r="A4449" i="1"/>
  <c r="A4159" i="1"/>
  <c r="A2456" i="1"/>
  <c r="A2568" i="1"/>
  <c r="A3500" i="1"/>
  <c r="A4589" i="1"/>
  <c r="A4875" i="1"/>
  <c r="A4364" i="1"/>
  <c r="A4653" i="1"/>
  <c r="A4027" i="1"/>
  <c r="A4902" i="1"/>
  <c r="A3559" i="1"/>
  <c r="A3378" i="1"/>
  <c r="A2379" i="1"/>
  <c r="A3929" i="1"/>
  <c r="A4874" i="1"/>
  <c r="A4755" i="1"/>
  <c r="A4307" i="1"/>
  <c r="A4743" i="1"/>
  <c r="A4279" i="1"/>
  <c r="A3686" i="1"/>
  <c r="A4529" i="1"/>
  <c r="A1917" i="1"/>
  <c r="A4473" i="1"/>
  <c r="A4650" i="1"/>
  <c r="A4922" i="1"/>
  <c r="A2701" i="1"/>
  <c r="A3392" i="1"/>
  <c r="A4966" i="1"/>
  <c r="A4944" i="1"/>
  <c r="A4725" i="1"/>
  <c r="A2269" i="1"/>
  <c r="A3849" i="1"/>
  <c r="A3966" i="1"/>
  <c r="A4437" i="1"/>
  <c r="A3195" i="1"/>
  <c r="A3622" i="1"/>
  <c r="A1556" i="1"/>
  <c r="A4252" i="1"/>
  <c r="A4192" i="1"/>
  <c r="A4350" i="1"/>
  <c r="A3873" i="1"/>
  <c r="A3870" i="1"/>
  <c r="A3588" i="1"/>
  <c r="A2976" i="1"/>
  <c r="A5007" i="1"/>
  <c r="A4868" i="1"/>
  <c r="A2700" i="1"/>
  <c r="A3146" i="1"/>
  <c r="A2673" i="1"/>
  <c r="A4149" i="1"/>
  <c r="A3998" i="1"/>
  <c r="A2924" i="1"/>
  <c r="A2131" i="1"/>
  <c r="A4485" i="1"/>
  <c r="A1854" i="1"/>
  <c r="A2404" i="1"/>
  <c r="A3406" i="1"/>
  <c r="A3138" i="1"/>
  <c r="A2068" i="1"/>
  <c r="A1633" i="1"/>
  <c r="A2365" i="1"/>
  <c r="A148" i="1"/>
  <c r="A4610" i="1"/>
  <c r="A2774" i="1"/>
  <c r="A4267" i="1"/>
  <c r="A4134" i="1"/>
  <c r="A4990" i="1"/>
  <c r="A4017" i="1"/>
  <c r="A2868" i="1"/>
  <c r="A3329" i="1"/>
  <c r="A4560" i="1"/>
  <c r="A1953" i="1"/>
  <c r="A1927" i="1"/>
  <c r="A4064" i="1"/>
  <c r="A2992" i="1"/>
  <c r="A5000" i="1"/>
  <c r="A4516" i="1"/>
  <c r="A3891" i="1"/>
  <c r="A2510" i="1"/>
  <c r="A3911" i="1"/>
  <c r="A4535" i="1"/>
  <c r="A2908" i="1"/>
  <c r="A4714" i="1"/>
  <c r="A2897" i="1"/>
  <c r="A4200" i="1"/>
  <c r="A4402" i="1"/>
  <c r="A2539" i="1"/>
  <c r="A510" i="1"/>
  <c r="A1235" i="1"/>
  <c r="A365" i="1"/>
  <c r="A3456" i="1"/>
  <c r="A4857" i="1"/>
  <c r="A4932" i="1"/>
  <c r="A4951" i="1"/>
  <c r="A4213" i="1"/>
  <c r="A535" i="1"/>
  <c r="A1434" i="1"/>
  <c r="A1066" i="1"/>
  <c r="A2062" i="1"/>
  <c r="A3013" i="1"/>
  <c r="A3694" i="1"/>
  <c r="A2572" i="1"/>
  <c r="A4172" i="1"/>
  <c r="A2775" i="1"/>
  <c r="A1824" i="1"/>
  <c r="A4888" i="1"/>
  <c r="A3663" i="1"/>
  <c r="A3036" i="1"/>
  <c r="A3436" i="1"/>
  <c r="A945" i="1"/>
  <c r="A2394" i="1"/>
  <c r="A2866" i="1"/>
  <c r="A2448" i="1"/>
  <c r="A4581" i="1"/>
  <c r="A4225" i="1"/>
  <c r="A3151" i="1"/>
  <c r="A4608" i="1"/>
  <c r="A2936" i="1"/>
  <c r="A3607" i="1"/>
  <c r="A4602" i="1"/>
  <c r="A3552" i="1"/>
  <c r="A4358" i="1"/>
  <c r="A4316" i="1"/>
  <c r="A2779" i="1"/>
  <c r="A3062" i="1"/>
  <c r="A881" i="1"/>
  <c r="A1943" i="1"/>
  <c r="A477" i="1"/>
  <c r="A2130" i="1"/>
  <c r="A1910" i="1"/>
  <c r="A3018" i="1"/>
  <c r="A2470" i="1"/>
  <c r="A2789" i="1"/>
  <c r="A1010" i="1"/>
  <c r="A1655" i="1"/>
  <c r="A4871" i="1"/>
  <c r="A2139" i="1"/>
  <c r="A3125" i="1"/>
  <c r="A1395" i="1"/>
  <c r="A4579" i="1"/>
  <c r="A1164" i="1"/>
  <c r="A3535" i="1"/>
  <c r="A4004" i="1"/>
  <c r="A234" i="1"/>
  <c r="A2342" i="1"/>
  <c r="A4001" i="1"/>
  <c r="A3910" i="1"/>
  <c r="A1717" i="1"/>
  <c r="A3309" i="1"/>
  <c r="A2041" i="1"/>
  <c r="A2768" i="1"/>
  <c r="A3988" i="1"/>
  <c r="A4415" i="1"/>
  <c r="A2147" i="1"/>
  <c r="A2032" i="1"/>
  <c r="A4201" i="1"/>
  <c r="A3065" i="1"/>
  <c r="A3971" i="1"/>
  <c r="A4754" i="1"/>
  <c r="A1247" i="1"/>
  <c r="A4892" i="1"/>
  <c r="A2446" i="1"/>
  <c r="A2378" i="1"/>
  <c r="A4646" i="1"/>
  <c r="A3531" i="1"/>
  <c r="A2077" i="1"/>
  <c r="A1935" i="1"/>
  <c r="A1961" i="1"/>
  <c r="A2159" i="1"/>
  <c r="A1918" i="1"/>
  <c r="A1341" i="1"/>
  <c r="A1954" i="1"/>
  <c r="A432" i="1"/>
  <c r="A3445" i="1"/>
  <c r="A4530" i="1"/>
  <c r="A2953" i="1"/>
  <c r="A2857" i="1"/>
  <c r="A3749" i="1"/>
  <c r="A3532" i="1"/>
  <c r="A4380" i="1"/>
  <c r="A2984" i="1"/>
  <c r="A972" i="1"/>
  <c r="A2154" i="1"/>
  <c r="A2113" i="1"/>
  <c r="A4246" i="1"/>
  <c r="A1212" i="1"/>
  <c r="A1347" i="1"/>
  <c r="A2919" i="1"/>
  <c r="A2793" i="1"/>
  <c r="A4251" i="1"/>
  <c r="A1309" i="1"/>
  <c r="A4749" i="1"/>
  <c r="A3093" i="1"/>
  <c r="A4145" i="1"/>
  <c r="A1562" i="1"/>
  <c r="A1301" i="1"/>
  <c r="A690" i="1"/>
  <c r="A3315" i="1"/>
  <c r="A2357" i="1"/>
  <c r="A1317" i="1"/>
  <c r="A4264" i="1"/>
  <c r="A2119" i="1"/>
  <c r="A3189" i="1"/>
  <c r="A2179" i="1"/>
  <c r="A4268" i="1"/>
  <c r="A3054" i="1"/>
  <c r="A4147" i="1"/>
  <c r="A3423" i="1"/>
  <c r="A2254" i="1"/>
  <c r="A2856" i="1"/>
  <c r="A147" i="1"/>
  <c r="A2871" i="1"/>
  <c r="A2263" i="1"/>
  <c r="A2597" i="1"/>
  <c r="A2515" i="1"/>
  <c r="A2550" i="1"/>
  <c r="A848" i="1"/>
  <c r="A2031" i="1"/>
  <c r="A3853" i="1"/>
  <c r="A3296" i="1"/>
  <c r="A3884" i="1"/>
  <c r="A2222" i="1"/>
  <c r="A3731" i="1"/>
  <c r="A2014" i="1"/>
  <c r="A3507" i="1"/>
  <c r="A1700" i="1"/>
  <c r="A1880" i="1"/>
  <c r="A1558" i="1"/>
  <c r="A2346" i="1"/>
  <c r="A3413" i="1"/>
  <c r="A2755" i="1"/>
  <c r="A2482" i="1"/>
  <c r="A617" i="1"/>
  <c r="A1418" i="1"/>
  <c r="A2382" i="1"/>
  <c r="A819" i="1"/>
  <c r="A2127" i="1"/>
  <c r="A4322" i="1"/>
  <c r="A3031" i="1"/>
  <c r="A3040" i="1"/>
  <c r="A1993" i="1"/>
  <c r="A1676" i="1"/>
  <c r="A1689" i="1"/>
  <c r="A4825" i="1"/>
  <c r="A4713" i="1"/>
  <c r="A3685" i="1"/>
  <c r="A1612" i="1"/>
  <c r="A4092" i="1"/>
  <c r="A2443" i="1"/>
  <c r="A4593" i="1"/>
  <c r="A2890" i="1"/>
  <c r="A4422" i="1"/>
  <c r="A3930" i="1"/>
  <c r="A376" i="1"/>
  <c r="A1488" i="1"/>
  <c r="A1652" i="1"/>
  <c r="A1299" i="1"/>
  <c r="A973" i="1"/>
  <c r="A56" i="1"/>
  <c r="A1189" i="1"/>
  <c r="A706" i="1"/>
  <c r="A554" i="1"/>
  <c r="A2209" i="1"/>
  <c r="A1972" i="1"/>
  <c r="A370" i="1"/>
  <c r="A889" i="1"/>
  <c r="A1657" i="1"/>
  <c r="A713" i="1"/>
  <c r="A3989" i="1"/>
  <c r="A3476" i="1"/>
  <c r="A2015" i="1"/>
  <c r="A3916" i="1"/>
  <c r="A2784" i="1"/>
  <c r="A3461" i="1"/>
  <c r="A2694" i="1"/>
  <c r="A4202" i="1"/>
  <c r="A3352" i="1"/>
  <c r="A4194" i="1"/>
  <c r="A2642" i="1"/>
  <c r="A4250" i="1"/>
  <c r="A3726" i="1"/>
  <c r="A4628" i="1"/>
  <c r="A4034" i="1"/>
  <c r="A4691" i="1"/>
  <c r="A2696" i="1"/>
  <c r="A4330" i="1"/>
  <c r="A1842" i="1"/>
  <c r="A3161" i="1"/>
  <c r="A2846" i="1"/>
  <c r="A4931" i="1"/>
  <c r="A2420" i="1"/>
  <c r="A3053" i="1"/>
  <c r="A4340" i="1"/>
  <c r="A4918" i="1"/>
  <c r="A4153" i="1"/>
  <c r="A1298" i="1"/>
  <c r="A3582" i="1"/>
  <c r="A4187" i="1"/>
  <c r="A2052" i="1"/>
  <c r="A3091" i="1"/>
  <c r="A1541" i="1"/>
  <c r="A1965" i="1"/>
  <c r="A3117" i="1"/>
  <c r="A4365" i="1"/>
  <c r="A1589" i="1"/>
  <c r="A3567" i="1"/>
  <c r="A3643" i="1"/>
  <c r="A2707" i="1"/>
  <c r="A764" i="1"/>
  <c r="A2813" i="1"/>
  <c r="A2433" i="1"/>
  <c r="A4783" i="1"/>
  <c r="A4930" i="1"/>
  <c r="A2124" i="1"/>
  <c r="A4164" i="1"/>
  <c r="A4877" i="1"/>
  <c r="A550" i="1"/>
  <c r="A1115" i="1"/>
  <c r="A2620" i="1"/>
  <c r="A2864" i="1"/>
  <c r="A1077" i="1"/>
  <c r="A4084" i="1"/>
  <c r="A2719" i="1"/>
  <c r="A1349" i="1"/>
  <c r="A1747" i="1"/>
  <c r="A3841" i="1"/>
  <c r="A835" i="1"/>
  <c r="A1274" i="1"/>
  <c r="A3067" i="1"/>
  <c r="A3526" i="1"/>
  <c r="A2175" i="1"/>
  <c r="A828" i="1"/>
  <c r="A1893" i="1"/>
  <c r="A2256" i="1"/>
  <c r="A921" i="1"/>
  <c r="A215" i="1"/>
  <c r="A3524" i="1"/>
  <c r="A332" i="1"/>
  <c r="A3871" i="1"/>
  <c r="A3748" i="1"/>
  <c r="A4405" i="1"/>
  <c r="A598" i="1"/>
  <c r="A2543" i="1"/>
  <c r="A4869" i="1"/>
  <c r="A3339" i="1"/>
  <c r="A2389" i="1"/>
  <c r="A3843" i="1"/>
  <c r="A2267" i="1"/>
  <c r="A1538" i="1"/>
  <c r="A1377" i="1"/>
  <c r="A3637" i="1"/>
  <c r="A1803" i="1"/>
  <c r="A2893" i="1"/>
  <c r="A3207" i="1"/>
  <c r="A3800" i="1"/>
  <c r="A942" i="1"/>
  <c r="A1728" i="1"/>
  <c r="A1363" i="1"/>
  <c r="A4599" i="1"/>
  <c r="A2959" i="1"/>
  <c r="A2949" i="1"/>
  <c r="A2467" i="1"/>
  <c r="A4552" i="1"/>
  <c r="A2987" i="1"/>
  <c r="A3875" i="1"/>
  <c r="A4884" i="1"/>
  <c r="A3033" i="1"/>
  <c r="A4088" i="1"/>
  <c r="A2587" i="1"/>
  <c r="A3408" i="1"/>
  <c r="A2999" i="1"/>
  <c r="A4199" i="1"/>
  <c r="A3004" i="1"/>
  <c r="A4435" i="1"/>
  <c r="A3021" i="1"/>
  <c r="A3470" i="1"/>
  <c r="A4493" i="1"/>
  <c r="A3462" i="1"/>
  <c r="A3549" i="1"/>
  <c r="A3626" i="1"/>
  <c r="A2529" i="1"/>
  <c r="A4580" i="1"/>
  <c r="A2854" i="1"/>
  <c r="A959" i="1"/>
  <c r="A2661" i="1"/>
  <c r="A2186" i="1"/>
  <c r="A1463" i="1"/>
  <c r="A2156" i="1"/>
  <c r="A1216" i="1"/>
  <c r="A1390" i="1"/>
  <c r="A1547" i="1"/>
  <c r="A944" i="1"/>
  <c r="A3620" i="1"/>
  <c r="A767" i="1"/>
  <c r="A633" i="1"/>
  <c r="A1386" i="1"/>
  <c r="A2316" i="1"/>
  <c r="A1338" i="1"/>
  <c r="A1236" i="1"/>
  <c r="A2937" i="1"/>
  <c r="A4953" i="1"/>
  <c r="A4638" i="1"/>
  <c r="A3699" i="1"/>
  <c r="A1602" i="1"/>
  <c r="A1261" i="1"/>
  <c r="A3615" i="1"/>
  <c r="A1817" i="1"/>
  <c r="A4883" i="1"/>
  <c r="A3449" i="1"/>
  <c r="A2841" i="1"/>
  <c r="A4119" i="1"/>
  <c r="A3159" i="1"/>
  <c r="A1912" i="1"/>
  <c r="A2048" i="1"/>
  <c r="A3152" i="1"/>
  <c r="A880" i="1"/>
  <c r="A4272" i="1"/>
  <c r="A2023" i="1"/>
  <c r="A3769" i="1"/>
  <c r="A3860" i="1"/>
  <c r="A1941" i="1"/>
  <c r="A1964" i="1"/>
  <c r="A2570" i="1"/>
  <c r="A4298" i="1"/>
  <c r="A1168" i="1"/>
  <c r="A682" i="1"/>
  <c r="A1311" i="1"/>
  <c r="A737" i="1"/>
  <c r="A2442" i="1"/>
  <c r="A1211" i="1"/>
  <c r="A3522" i="1"/>
  <c r="A2274" i="1"/>
  <c r="A3089" i="1"/>
  <c r="A1210" i="1"/>
  <c r="A656" i="1"/>
  <c r="A3188" i="1"/>
  <c r="A1945" i="1"/>
  <c r="A3735" i="1"/>
  <c r="A653" i="1"/>
  <c r="A2171" i="1"/>
  <c r="A2107" i="1"/>
  <c r="A2400" i="1"/>
  <c r="A3493" i="1"/>
  <c r="A2786" i="1"/>
  <c r="A1435" i="1"/>
  <c r="A3332" i="1"/>
  <c r="A3698" i="1"/>
  <c r="A1049" i="1"/>
  <c r="A768" i="1"/>
  <c r="A3837" i="1"/>
  <c r="A1306" i="1"/>
  <c r="A534" i="1"/>
  <c r="A2111" i="1"/>
  <c r="A2963" i="1"/>
  <c r="A2556" i="1"/>
  <c r="A765" i="1"/>
  <c r="A3639" i="1"/>
  <c r="A2027" i="1"/>
  <c r="A2523" i="1"/>
  <c r="A3723" i="1"/>
  <c r="A2492" i="1"/>
  <c r="A4947" i="1"/>
  <c r="A4438" i="1"/>
  <c r="A839" i="1"/>
  <c r="A1171" i="1"/>
  <c r="A3705" i="1"/>
  <c r="A516" i="1"/>
  <c r="A2117" i="1"/>
  <c r="A184" i="1"/>
  <c r="A1054" i="1"/>
  <c r="A3948" i="1"/>
  <c r="A2522" i="1"/>
  <c r="A650" i="1"/>
  <c r="A773" i="1"/>
  <c r="A2497" i="1"/>
  <c r="A2489" i="1"/>
  <c r="A3039" i="1"/>
  <c r="A1923" i="1"/>
  <c r="A1920" i="1"/>
  <c r="A1099" i="1"/>
  <c r="A775" i="1"/>
  <c r="A573" i="1"/>
  <c r="A2754" i="1"/>
  <c r="A2826" i="1"/>
  <c r="A1515" i="1"/>
  <c r="A2314" i="1"/>
  <c r="A2655" i="1"/>
  <c r="A948" i="1"/>
  <c r="A1849" i="1"/>
  <c r="A2598" i="1"/>
  <c r="A2979" i="1"/>
  <c r="A3458" i="1"/>
  <c r="A2423" i="1"/>
  <c r="A353" i="1"/>
  <c r="A274" i="1"/>
  <c r="A1743" i="1"/>
  <c r="A335" i="1"/>
  <c r="A343" i="1"/>
  <c r="A1988" i="1"/>
  <c r="A4885" i="1"/>
  <c r="A1293" i="1"/>
  <c r="A3274" i="1"/>
  <c r="A2728" i="1"/>
  <c r="A1718" i="1"/>
  <c r="A485" i="1"/>
  <c r="A2395" i="1"/>
  <c r="A1816" i="1"/>
  <c r="A1287" i="1"/>
  <c r="A1181" i="1"/>
  <c r="A1296" i="1"/>
  <c r="A1366" i="1"/>
  <c r="A526" i="1"/>
  <c r="A2533" i="1"/>
  <c r="A989" i="1"/>
  <c r="A631" i="1"/>
  <c r="A1131" i="1"/>
  <c r="A1696" i="1"/>
  <c r="A1302" i="1"/>
  <c r="A2046" i="1"/>
  <c r="A753" i="1"/>
  <c r="A851" i="1"/>
  <c r="A962" i="1"/>
  <c r="A1952" i="1"/>
  <c r="A2475" i="1"/>
  <c r="A1362" i="1"/>
  <c r="A1136" i="1"/>
  <c r="A1641" i="1"/>
  <c r="A1693" i="1"/>
  <c r="A3623" i="1"/>
  <c r="A1326" i="1"/>
  <c r="A360" i="1"/>
  <c r="A2815" i="1"/>
  <c r="A701" i="1"/>
  <c r="A3464" i="1"/>
  <c r="A1531" i="1"/>
  <c r="A5001" i="1"/>
  <c r="A3611" i="1"/>
  <c r="A1765" i="1"/>
  <c r="A2104" i="1"/>
  <c r="A1571" i="1"/>
  <c r="A1496" i="1"/>
  <c r="A2573" i="1"/>
  <c r="A2096" i="1"/>
  <c r="A1692" i="1"/>
  <c r="A872" i="1"/>
  <c r="A1438" i="1"/>
  <c r="A2874" i="1"/>
  <c r="A2607" i="1"/>
  <c r="A804" i="1"/>
  <c r="A185" i="1"/>
  <c r="A482" i="1"/>
  <c r="A170" i="1"/>
  <c r="A1312" i="1"/>
  <c r="A1255" i="1"/>
  <c r="A416" i="1"/>
  <c r="A2137" i="1"/>
  <c r="A1990" i="1"/>
  <c r="A1127" i="1"/>
  <c r="A1778" i="1"/>
  <c r="A1642" i="1"/>
  <c r="A790" i="1"/>
  <c r="A4430" i="1"/>
  <c r="A2053" i="1"/>
  <c r="A936" i="1"/>
  <c r="A1518" i="1"/>
  <c r="A600" i="1"/>
  <c r="A774" i="1"/>
  <c r="A1037" i="1"/>
  <c r="A2891" i="1"/>
  <c r="A3247" i="1"/>
  <c r="A2160" i="1"/>
  <c r="A1223" i="1"/>
  <c r="A3441" i="1"/>
  <c r="A1098" i="1"/>
  <c r="A3214" i="1"/>
  <c r="A2282" i="1"/>
  <c r="A4046" i="1"/>
  <c r="A1409" i="1"/>
  <c r="A1117" i="1"/>
  <c r="A3317" i="1"/>
  <c r="A2197" i="1"/>
  <c r="A1648" i="1"/>
  <c r="A922" i="1"/>
  <c r="A417" i="1"/>
  <c r="A3718" i="1"/>
  <c r="A298" i="1"/>
  <c r="A926" i="1"/>
  <c r="A1466" i="1"/>
  <c r="A1315" i="1"/>
  <c r="A293" i="1"/>
  <c r="A378" i="1"/>
  <c r="A261" i="1"/>
  <c r="A2478" i="1"/>
  <c r="A1807" i="1"/>
  <c r="A3019" i="1"/>
  <c r="A2287" i="1"/>
  <c r="A12" i="1"/>
  <c r="A4369" i="1"/>
  <c r="A3176" i="1"/>
  <c r="A914" i="1"/>
  <c r="A2157" i="1"/>
  <c r="A330" i="1"/>
  <c r="A1459" i="1"/>
  <c r="A3331" i="1"/>
  <c r="A2746" i="1"/>
  <c r="A801" i="1"/>
  <c r="A2809" i="1"/>
  <c r="A3068" i="1"/>
  <c r="A3457" i="1"/>
  <c r="A2635" i="1"/>
  <c r="A2136" i="1"/>
  <c r="A474" i="1"/>
  <c r="A745" i="1"/>
  <c r="A2109" i="1"/>
  <c r="A699" i="1"/>
  <c r="A371" i="1"/>
  <c r="A2327" i="1"/>
  <c r="A648" i="1"/>
  <c r="A1285" i="1"/>
  <c r="A3304" i="1"/>
  <c r="A1753" i="1"/>
  <c r="A1597" i="1"/>
  <c r="A1968" i="1"/>
  <c r="A3251" i="1"/>
  <c r="A2300" i="1"/>
  <c r="A4121" i="1"/>
  <c r="A1911" i="1"/>
  <c r="A3506" i="1"/>
  <c r="A1719" i="1"/>
  <c r="A218" i="1"/>
  <c r="A1018" i="1"/>
  <c r="A564" i="1"/>
  <c r="A386" i="1"/>
  <c r="A78" i="1"/>
  <c r="A2632" i="1"/>
  <c r="A871" i="1"/>
  <c r="A566" i="1"/>
  <c r="A282" i="1"/>
  <c r="A403" i="1"/>
  <c r="A2603" i="1"/>
  <c r="A249" i="1"/>
  <c r="A1422" i="1"/>
  <c r="A198" i="1"/>
  <c r="A2422" i="1"/>
  <c r="A4124" i="1"/>
  <c r="A3687" i="1"/>
  <c r="A606" i="1"/>
  <c r="A625" i="1"/>
  <c r="A1023" i="1"/>
  <c r="A2266" i="1"/>
  <c r="A1346" i="1"/>
  <c r="A2559" i="1"/>
  <c r="A3273" i="1"/>
  <c r="A1343" i="1"/>
  <c r="A149" i="1"/>
  <c r="A1809" i="1"/>
  <c r="A1786" i="1"/>
  <c r="A3290" i="1"/>
  <c r="A164" i="1"/>
  <c r="A1637" i="1"/>
  <c r="A1196" i="1"/>
  <c r="A1365" i="1"/>
  <c r="A1814" i="1"/>
  <c r="A990" i="1"/>
  <c r="A425" i="1"/>
  <c r="A827" i="1"/>
  <c r="A623" i="1"/>
  <c r="A2392" i="1"/>
  <c r="A1984" i="1"/>
  <c r="A3435" i="1"/>
  <c r="A2432" i="1"/>
  <c r="A1149" i="1"/>
  <c r="A619" i="1"/>
  <c r="A238" i="1"/>
  <c r="A4864" i="1"/>
  <c r="A446" i="1"/>
  <c r="A233" i="1"/>
  <c r="A451" i="1"/>
  <c r="A4739" i="1"/>
  <c r="A935" i="1"/>
  <c r="A1535" i="1"/>
  <c r="A2386" i="1"/>
  <c r="A135" i="1"/>
  <c r="A2047" i="1"/>
  <c r="A1756" i="1"/>
  <c r="A1859" i="1"/>
  <c r="A2822" i="1"/>
  <c r="A1901" i="1"/>
  <c r="A950" i="1"/>
  <c r="A2557" i="1"/>
  <c r="A1280" i="1"/>
  <c r="A1706" i="1"/>
  <c r="A3417" i="1"/>
  <c r="A2308" i="1"/>
  <c r="A1821" i="1"/>
  <c r="A2626" i="1"/>
  <c r="A591" i="1"/>
  <c r="A896" i="1"/>
  <c r="A1433" i="1"/>
  <c r="A620" i="1"/>
  <c r="A747" i="1"/>
  <c r="A130" i="1"/>
  <c r="A74" i="1"/>
  <c r="A645" i="1"/>
  <c r="A253" i="1"/>
  <c r="A1760" i="1"/>
  <c r="A1267" i="1"/>
  <c r="A1509" i="1"/>
  <c r="A315" i="1"/>
  <c r="A533" i="1"/>
  <c r="A1368" i="1"/>
  <c r="A1779" i="1"/>
  <c r="A2028" i="1"/>
  <c r="A1792" i="1"/>
  <c r="A241" i="1"/>
  <c r="A1182" i="1"/>
  <c r="A2511" i="1"/>
  <c r="A508" i="1"/>
  <c r="A523" i="1"/>
  <c r="A1499" i="1"/>
  <c r="A1915" i="1"/>
  <c r="A792" i="1"/>
  <c r="A3194" i="1"/>
  <c r="A2801" i="1"/>
  <c r="A1698" i="1"/>
  <c r="A1208" i="1"/>
  <c r="A1207" i="1"/>
  <c r="A3708" i="1"/>
  <c r="A3513" i="1"/>
  <c r="A1383" i="1"/>
  <c r="A1073" i="1"/>
  <c r="A2486" i="1"/>
  <c r="A375" i="1"/>
  <c r="A105" i="1"/>
  <c r="A816" i="1"/>
  <c r="A1384" i="1"/>
  <c r="A1896" i="1"/>
  <c r="A776" i="1"/>
  <c r="A627" i="1"/>
  <c r="A2643" i="1"/>
  <c r="A1231" i="1"/>
  <c r="A791" i="1"/>
  <c r="A221" i="1"/>
  <c r="A1375" i="1"/>
  <c r="A3340" i="1"/>
  <c r="A1305" i="1"/>
  <c r="A1354" i="1"/>
  <c r="A231" i="1"/>
  <c r="A1504" i="1"/>
  <c r="A1141" i="1"/>
  <c r="A1220" i="1"/>
  <c r="A1353" i="1"/>
  <c r="A434" i="1"/>
  <c r="A742" i="1"/>
  <c r="A367" i="1"/>
  <c r="A1840" i="1"/>
  <c r="A3409" i="1"/>
  <c r="A574" i="1"/>
  <c r="A1847" i="1"/>
  <c r="A589" i="1"/>
  <c r="A1580" i="1"/>
  <c r="A672" i="1"/>
  <c r="A583" i="1"/>
  <c r="A899" i="1"/>
  <c r="A116" i="1"/>
  <c r="A1072" i="1"/>
  <c r="A3215" i="1"/>
  <c r="A182" i="1"/>
  <c r="A1610" i="1"/>
  <c r="A1534" i="1"/>
  <c r="A3227" i="1"/>
  <c r="A1439" i="1"/>
  <c r="A101" i="1"/>
  <c r="A2834" i="1"/>
  <c r="A743" i="1"/>
  <c r="A214" i="1"/>
  <c r="A329" i="1"/>
  <c r="A117" i="1"/>
  <c r="A969" i="1"/>
  <c r="A1129" i="1"/>
  <c r="A3475" i="1"/>
  <c r="A590" i="1"/>
  <c r="A1725" i="1"/>
  <c r="A3267" i="1"/>
  <c r="A1554" i="1"/>
  <c r="A1949" i="1"/>
  <c r="A1388" i="1"/>
  <c r="A458" i="1"/>
  <c r="A132" i="1"/>
  <c r="A852" i="1"/>
  <c r="A531" i="1"/>
  <c r="A1253" i="1"/>
  <c r="A1172" i="1"/>
  <c r="A2348" i="1"/>
  <c r="A966" i="1"/>
  <c r="A1047" i="1"/>
  <c r="A259" i="1"/>
  <c r="A208" i="1"/>
  <c r="A387" i="1"/>
  <c r="A2262" i="1"/>
  <c r="A311" i="1"/>
  <c r="A918" i="1"/>
  <c r="A369" i="1"/>
  <c r="A901" i="1"/>
  <c r="A3347" i="1"/>
  <c r="A178" i="1"/>
  <c r="A1794" i="1"/>
  <c r="A142" i="1"/>
  <c r="A1234" i="1"/>
  <c r="A1244" i="1"/>
  <c r="A2895" i="1"/>
  <c r="A1578" i="1"/>
  <c r="A552" i="1"/>
  <c r="A622" i="1"/>
  <c r="A390" i="1"/>
  <c r="A3536" i="1"/>
  <c r="A759" i="1"/>
  <c r="A616" i="1"/>
  <c r="A1811" i="1"/>
  <c r="A494" i="1"/>
  <c r="A27" i="1"/>
  <c r="A337" i="1"/>
  <c r="A1378" i="1"/>
  <c r="A496" i="1"/>
  <c r="A924" i="1"/>
  <c r="A2772" i="1"/>
  <c r="A2574" i="1"/>
  <c r="A302" i="1"/>
  <c r="A1269" i="1"/>
  <c r="A48" i="1"/>
  <c r="A244" i="1"/>
  <c r="A273" i="1"/>
  <c r="A882" i="1"/>
  <c r="A663" i="1"/>
  <c r="A1545" i="1"/>
  <c r="A986" i="1"/>
  <c r="A575" i="1"/>
  <c r="A2578" i="1"/>
  <c r="A830" i="1"/>
  <c r="A1076" i="1"/>
  <c r="A1502" i="1"/>
  <c r="A572" i="1"/>
  <c r="A1005" i="1"/>
  <c r="A1921" i="1"/>
  <c r="A47" i="1"/>
  <c r="A561" i="1"/>
  <c r="A916" i="1"/>
  <c r="A243" i="1"/>
  <c r="A454" i="1"/>
  <c r="A2418" i="1"/>
  <c r="A679" i="1"/>
  <c r="A122" i="1"/>
  <c r="A1355" i="1"/>
  <c r="A72" i="1"/>
  <c r="A121" i="1"/>
  <c r="A3112" i="1"/>
  <c r="A2289" i="1"/>
  <c r="A144" i="1"/>
  <c r="A449" i="1"/>
  <c r="A176" i="1"/>
  <c r="A377" i="1"/>
  <c r="A1393" i="1"/>
  <c r="A864" i="1"/>
  <c r="A3209" i="1"/>
  <c r="A275" i="1"/>
  <c r="A250" i="1"/>
  <c r="A1758" i="1"/>
  <c r="A119" i="1"/>
  <c r="A46" i="1"/>
  <c r="A290" i="1"/>
  <c r="A2589" i="1"/>
  <c r="A1392" i="1"/>
  <c r="A11" i="1"/>
  <c r="A405" i="1"/>
  <c r="A71" i="1"/>
  <c r="A30" i="1"/>
  <c r="A2167" i="1"/>
  <c r="A272" i="1"/>
  <c r="A87" i="1"/>
  <c r="A75" i="1"/>
  <c r="A295" i="1"/>
  <c r="A467" i="1"/>
  <c r="A1644" i="1"/>
  <c r="A1542" i="1"/>
  <c r="A1829" i="1"/>
  <c r="A1334" i="1"/>
  <c r="A1447" i="1"/>
  <c r="A2176" i="1"/>
  <c r="A512" i="1"/>
  <c r="A37" i="1"/>
  <c r="A2551" i="1"/>
  <c r="A749" i="1"/>
  <c r="A317" i="1"/>
  <c r="A618" i="1"/>
  <c r="A17" i="1"/>
  <c r="A994" i="1"/>
  <c r="A385" i="1"/>
  <c r="A300" i="1"/>
  <c r="A92" i="1"/>
  <c r="A77" i="1"/>
  <c r="A155" i="1"/>
  <c r="A991" i="1"/>
  <c r="A91" i="1"/>
  <c r="A325" i="1"/>
  <c r="A621" i="1"/>
  <c r="A364" i="1"/>
  <c r="A1166" i="1"/>
  <c r="A466" i="1"/>
  <c r="A216" i="1"/>
  <c r="A1448" i="1"/>
  <c r="A704" i="1"/>
  <c r="A2033" i="1"/>
  <c r="A2005" i="1"/>
  <c r="A65" i="1"/>
  <c r="A326" i="1"/>
  <c r="A100" i="1"/>
  <c r="A763" i="1"/>
  <c r="A29" i="1"/>
  <c r="A727" i="1"/>
  <c r="A391" i="1"/>
  <c r="A1250" i="1"/>
  <c r="A9" i="1"/>
  <c r="A1524" i="1"/>
  <c r="A3228" i="1"/>
  <c r="A2249" i="1"/>
  <c r="A1170" i="1"/>
  <c r="A342" i="1"/>
  <c r="A1761" i="1"/>
  <c r="A955" i="1"/>
  <c r="A192" i="1"/>
  <c r="A873" i="1"/>
  <c r="A1944" i="1"/>
  <c r="A1686" i="1"/>
  <c r="A1339" i="1"/>
  <c r="A739" i="1"/>
  <c r="A1872" i="1"/>
  <c r="A1083" i="1"/>
  <c r="A20" i="1"/>
  <c r="A2973" i="1"/>
  <c r="A1431" i="1"/>
  <c r="A44" i="1"/>
  <c r="A7" i="1"/>
  <c r="A19" i="1"/>
  <c r="A1456" i="1"/>
  <c r="A2968" i="1"/>
  <c r="A4578" i="1"/>
  <c r="A3660" i="1"/>
  <c r="A2660" i="1"/>
  <c r="A2214" i="1"/>
  <c r="A3043" i="1"/>
  <c r="A3318" i="1"/>
  <c r="A3523" i="1"/>
  <c r="A2765" i="1"/>
  <c r="A4515" i="1"/>
  <c r="A2144" i="1"/>
  <c r="A4813" i="1"/>
  <c r="A4576" i="1"/>
  <c r="A4058" i="1"/>
  <c r="A4321" i="1"/>
  <c r="A3741" i="1"/>
  <c r="A3034" i="1"/>
  <c r="A4843" i="1"/>
  <c r="A1425" i="1"/>
  <c r="A3173" i="1"/>
  <c r="A3179" i="1"/>
  <c r="A3906" i="1"/>
  <c r="A544" i="1"/>
  <c r="A3216" i="1"/>
  <c r="A1617" i="1"/>
  <c r="A1595" i="1"/>
  <c r="A1699" i="1"/>
  <c r="A2608" i="1"/>
  <c r="A1142" i="1"/>
  <c r="A2662" i="1"/>
  <c r="A1584" i="1"/>
  <c r="A4444" i="1"/>
  <c r="A4828" i="1"/>
  <c r="A2797" i="1"/>
  <c r="A4184" i="1"/>
  <c r="A3646" i="1"/>
  <c r="A2454" i="1"/>
  <c r="A2520" i="1"/>
  <c r="A1470" i="1"/>
  <c r="A3050" i="1"/>
  <c r="A2802" i="1"/>
  <c r="A4537" i="1"/>
  <c r="A1848" i="1"/>
  <c r="A470" i="1"/>
  <c r="A3489" i="1"/>
  <c r="A460" i="1"/>
  <c r="A1116" i="1"/>
  <c r="A2548" i="1"/>
  <c r="A1517" i="1"/>
  <c r="A503" i="1"/>
  <c r="A2367" i="1"/>
  <c r="A141" i="1"/>
  <c r="A271" i="1"/>
  <c r="A2118" i="1"/>
  <c r="A2747" i="1"/>
  <c r="A501" i="1"/>
  <c r="A127" i="1"/>
  <c r="A35" i="1"/>
  <c r="A453" i="1"/>
  <c r="A783" i="1"/>
  <c r="A161" i="1"/>
  <c r="A766" i="1"/>
  <c r="A153" i="1"/>
  <c r="A354" i="1"/>
  <c r="A58" i="1"/>
  <c r="A1579" i="1"/>
  <c r="A1667" i="1"/>
  <c r="A3272" i="1"/>
  <c r="A4742" i="1"/>
  <c r="A3271" i="1"/>
  <c r="A2092" i="1"/>
  <c r="A2341" i="1"/>
  <c r="A3243" i="1"/>
  <c r="A4520" i="1"/>
  <c r="A3544" i="1"/>
  <c r="A3066" i="1"/>
  <c r="A3254" i="1"/>
  <c r="A2658" i="1"/>
  <c r="A3745" i="1"/>
  <c r="A2200" i="1"/>
  <c r="A3888" i="1"/>
  <c r="A4495" i="1"/>
  <c r="A3818" i="1"/>
  <c r="A2098" i="1"/>
  <c r="A3597" i="1"/>
  <c r="A2528" i="1"/>
  <c r="A4859" i="1"/>
  <c r="A4977" i="1"/>
  <c r="A4221" i="1"/>
  <c r="A4681" i="1"/>
  <c r="A4008" i="1"/>
  <c r="A2861" i="1"/>
  <c r="A3695" i="1"/>
  <c r="A4341" i="1"/>
  <c r="A4475" i="1"/>
  <c r="A2637" i="1"/>
  <c r="A3542" i="1"/>
  <c r="A4325" i="1"/>
  <c r="A4538" i="1"/>
  <c r="A3691" i="1"/>
  <c r="A3883" i="1"/>
  <c r="A3016" i="1"/>
  <c r="A560" i="1"/>
  <c r="A4102" i="1"/>
  <c r="A3525" i="1"/>
  <c r="A3794" i="1"/>
  <c r="A2818" i="1"/>
  <c r="A3593" i="1"/>
  <c r="A4587" i="1"/>
  <c r="A4910" i="1"/>
  <c r="A4644" i="1"/>
  <c r="A4239" i="1"/>
  <c r="A4991" i="1"/>
  <c r="A4138" i="1"/>
  <c r="A2612" i="1"/>
  <c r="A4987" i="1"/>
  <c r="A3429" i="1"/>
  <c r="A4177" i="1"/>
  <c r="A2305" i="1"/>
  <c r="A1396" i="1"/>
  <c r="A4607" i="1"/>
  <c r="A3224" i="1"/>
  <c r="A2143" i="1"/>
  <c r="A3174" i="1"/>
  <c r="A2213" i="1"/>
  <c r="A4401" i="1"/>
  <c r="A3702" i="1"/>
  <c r="A3714" i="1"/>
  <c r="A2911" i="1"/>
  <c r="A2094" i="1"/>
  <c r="A1675" i="1"/>
  <c r="A3239" i="1"/>
  <c r="A4820" i="1"/>
  <c r="A1316" i="1"/>
  <c r="A1620" i="1"/>
  <c r="A3042" i="1"/>
  <c r="A4605" i="1"/>
  <c r="A4775" i="1"/>
  <c r="A4388" i="1"/>
  <c r="A1195" i="1"/>
  <c r="A1101" i="1"/>
  <c r="A3275" i="1"/>
  <c r="A4553" i="1"/>
  <c r="A2049" i="1"/>
  <c r="A3284" i="1"/>
  <c r="A964" i="1"/>
  <c r="A2583" i="1"/>
  <c r="A1472" i="1"/>
  <c r="A4281" i="1"/>
  <c r="A2371" i="1"/>
  <c r="A4636" i="1"/>
  <c r="A3187" i="1"/>
  <c r="A1678" i="1"/>
  <c r="A3896" i="1"/>
  <c r="A1752" i="1"/>
  <c r="A2665" i="1"/>
  <c r="A3444" i="1"/>
  <c r="A3047" i="1"/>
  <c r="A2134" i="1"/>
  <c r="A1427" i="1"/>
  <c r="A1855" i="1"/>
  <c r="A718" i="1"/>
  <c r="A831" i="1"/>
  <c r="A2185" i="1"/>
  <c r="A465" i="1"/>
  <c r="A4227" i="1"/>
  <c r="A154" i="1"/>
  <c r="A660" i="1"/>
  <c r="A209" i="1"/>
  <c r="A492" i="1"/>
  <c r="A1022" i="1"/>
  <c r="A1410" i="1"/>
  <c r="A624" i="1"/>
  <c r="A1457" i="1"/>
  <c r="A410" i="1"/>
  <c r="A384" i="1"/>
  <c r="A422" i="1"/>
  <c r="A278" i="1"/>
  <c r="A426" i="1"/>
  <c r="A406" i="1"/>
  <c r="A677" i="1"/>
  <c r="A128" i="1"/>
  <c r="A1382" i="1"/>
  <c r="A349" i="1"/>
  <c r="A1372" i="1"/>
  <c r="A383" i="1"/>
  <c r="A28" i="1"/>
  <c r="A823" i="1"/>
  <c r="A137" i="1"/>
  <c r="A104" i="1"/>
  <c r="A878" i="1"/>
  <c r="A52" i="1"/>
  <c r="A55" i="1"/>
  <c r="A2294" i="1"/>
  <c r="A1604" i="1"/>
  <c r="A3789" i="1"/>
  <c r="A1860" i="1"/>
  <c r="A2806" i="1"/>
  <c r="A2938" i="1"/>
  <c r="A4842" i="1"/>
  <c r="A3852" i="1"/>
  <c r="A3935" i="1"/>
  <c r="A3696" i="1"/>
  <c r="A4169" i="1"/>
  <c r="A4964" i="1"/>
  <c r="A3020" i="1"/>
  <c r="A1038" i="1"/>
  <c r="A4229" i="1"/>
  <c r="A2899" i="1"/>
  <c r="A483" i="1"/>
  <c r="A4081" i="1"/>
  <c r="A939" i="1"/>
  <c r="A4175" i="1"/>
  <c r="A4948" i="1"/>
  <c r="A1611" i="1"/>
  <c r="A1413" i="1"/>
  <c r="A1879" i="1"/>
  <c r="A2261" i="1"/>
  <c r="A3282" i="1"/>
  <c r="A4394" i="1"/>
  <c r="A3693" i="1"/>
  <c r="A668" i="1"/>
  <c r="A334" i="1"/>
  <c r="A781" i="1"/>
  <c r="A1075" i="1"/>
  <c r="A1982" i="1"/>
  <c r="A2916" i="1"/>
  <c r="A2336" i="1"/>
  <c r="A1030" i="1"/>
  <c r="A2399" i="1"/>
  <c r="A2093" i="1"/>
  <c r="A644" i="1"/>
  <c r="A4384" i="1"/>
  <c r="A2234" i="1"/>
  <c r="A1813" i="1"/>
  <c r="A1019" i="1"/>
  <c r="A987" i="1"/>
  <c r="A707" i="1"/>
  <c r="A655" i="1"/>
  <c r="A565" i="1"/>
  <c r="A1256" i="1"/>
  <c r="A657" i="1"/>
  <c r="A1592" i="1"/>
  <c r="A1845" i="1"/>
  <c r="A2955" i="1"/>
  <c r="A2440" i="1"/>
  <c r="A708" i="1"/>
  <c r="A2733" i="1"/>
  <c r="A988" i="1"/>
  <c r="A247" i="1"/>
  <c r="A4556" i="1"/>
  <c r="A1656" i="1"/>
  <c r="A1003" i="1"/>
  <c r="A1108" i="1"/>
  <c r="A1576" i="1"/>
  <c r="A1325" i="1"/>
  <c r="A1008" i="1"/>
  <c r="A2493" i="1"/>
  <c r="A3728" i="1"/>
  <c r="A4413" i="1"/>
  <c r="A3377" i="1"/>
  <c r="A2195" i="1"/>
  <c r="A2074" i="1"/>
  <c r="A693" i="1"/>
  <c r="A2229" i="1"/>
  <c r="A4750" i="1"/>
  <c r="A1959" i="1"/>
  <c r="A3063" i="1"/>
  <c r="A581" i="1"/>
  <c r="A2296" i="1"/>
  <c r="A4826" i="1"/>
  <c r="A3599" i="1"/>
  <c r="A3985" i="1"/>
  <c r="A4752" i="1"/>
  <c r="A2832" i="1"/>
  <c r="A4203" i="1"/>
  <c r="A980" i="1"/>
  <c r="A4111" i="1"/>
  <c r="A3919" i="1"/>
  <c r="A2078" i="1"/>
  <c r="A4100" i="1"/>
  <c r="A2709" i="1"/>
  <c r="A904" i="1"/>
  <c r="A3035" i="1"/>
  <c r="A1497" i="1"/>
  <c r="A1549" i="1"/>
  <c r="A2858" i="1"/>
  <c r="A2863" i="1"/>
  <c r="A1861" i="1"/>
  <c r="A1123" i="1"/>
  <c r="A2698" i="1"/>
  <c r="A4521" i="1"/>
  <c r="A395" i="1"/>
  <c r="A2321" i="1"/>
  <c r="A340" i="1"/>
  <c r="A802" i="1"/>
  <c r="A903" i="1"/>
  <c r="A1204" i="1"/>
  <c r="A2677" i="1"/>
  <c r="A1484" i="1"/>
  <c r="A4339" i="1"/>
  <c r="A3631" i="1"/>
  <c r="A905" i="1"/>
  <c r="A3667" i="1"/>
  <c r="A1176" i="1"/>
  <c r="A2579" i="1"/>
  <c r="A895" i="1"/>
  <c r="A361" i="1"/>
  <c r="A3503" i="1"/>
  <c r="A951" i="1"/>
  <c r="A2037" i="1"/>
  <c r="A1300" i="1"/>
  <c r="A787" i="1"/>
  <c r="A1926" i="1"/>
  <c r="A2918" i="1"/>
  <c r="A595" i="1"/>
  <c r="A296" i="1"/>
  <c r="A131" i="1"/>
  <c r="A570" i="1"/>
  <c r="A2205" i="1"/>
  <c r="A613" i="1"/>
  <c r="A1540" i="1"/>
  <c r="A1148" i="1"/>
  <c r="A69" i="1"/>
  <c r="A2896" i="1"/>
  <c r="A64" i="1"/>
  <c r="A2061" i="1"/>
  <c r="A4566" i="1"/>
  <c r="A846" i="1"/>
  <c r="A252" i="1"/>
  <c r="A2681" i="1"/>
  <c r="A1886" i="1"/>
  <c r="A4022" i="1"/>
  <c r="A3924" i="1"/>
  <c r="A3264" i="1"/>
  <c r="A4908" i="1"/>
  <c r="A3186" i="1"/>
  <c r="A3003" i="1"/>
  <c r="A1933" i="1"/>
  <c r="A807" i="1"/>
  <c r="A158" i="1"/>
  <c r="A1712" i="1"/>
  <c r="A4378" i="1"/>
  <c r="A2035" i="1"/>
  <c r="A3160" i="1"/>
  <c r="A1121" i="1"/>
  <c r="A3801" i="1"/>
  <c r="A2317" i="1"/>
  <c r="A4718" i="1"/>
  <c r="A4076" i="1"/>
  <c r="A3405" i="1"/>
  <c r="A3776" i="1"/>
  <c r="A4545" i="1"/>
  <c r="A3750" i="1"/>
  <c r="A3504" i="1"/>
  <c r="A2259" i="1"/>
  <c r="A3680" i="1"/>
  <c r="A4504" i="1"/>
  <c r="A4400" i="1"/>
  <c r="A3257" i="1"/>
  <c r="A3472" i="1"/>
  <c r="A4209" i="1"/>
  <c r="A4860" i="1"/>
  <c r="A1516" i="1"/>
  <c r="A1505" i="1"/>
  <c r="A2099" i="1"/>
  <c r="A1985" i="1"/>
  <c r="A4572" i="1"/>
  <c r="A1107" i="1"/>
  <c r="A2683" i="1"/>
  <c r="A3467" i="1"/>
  <c r="A4399" i="1"/>
  <c r="A4858" i="1"/>
  <c r="A2313" i="1"/>
  <c r="A726" i="1"/>
  <c r="A5012" i="1"/>
  <c r="A3742" i="1"/>
  <c r="A3572" i="1"/>
  <c r="A4143" i="1"/>
  <c r="A1087" i="1"/>
  <c r="A3656" i="1"/>
  <c r="A3795" i="1"/>
  <c r="A4766" i="1"/>
  <c r="A4151" i="1"/>
  <c r="A762" i="1"/>
  <c r="A700" i="1"/>
  <c r="A314" i="1"/>
  <c r="A3219" i="1"/>
  <c r="A444" i="1"/>
  <c r="A1350" i="1"/>
  <c r="A694" i="1"/>
  <c r="A1670" i="1"/>
  <c r="A584" i="1"/>
  <c r="A3515" i="1"/>
  <c r="A2212" i="1"/>
  <c r="A900" i="1"/>
  <c r="A1999" i="1"/>
  <c r="A2650" i="1"/>
  <c r="A2034" i="1"/>
  <c r="A257" i="1"/>
  <c r="A2941" i="1"/>
  <c r="A1268" i="1"/>
  <c r="A3144" i="1"/>
  <c r="A1720" i="1"/>
  <c r="A445" i="1"/>
  <c r="A558" i="1"/>
  <c r="A421" i="1"/>
  <c r="A90" i="1"/>
  <c r="A603" i="1"/>
  <c r="A585" i="1"/>
  <c r="A3232" i="1"/>
  <c r="A123" i="1"/>
  <c r="A245" i="1"/>
  <c r="A733" i="1"/>
  <c r="A2356" i="1"/>
  <c r="A1420" i="1"/>
  <c r="A277" i="1"/>
  <c r="A1628" i="1"/>
  <c r="A2961" i="1"/>
  <c r="A3746" i="1"/>
  <c r="A2535" i="1"/>
  <c r="A2886" i="1"/>
  <c r="A1881" i="1"/>
  <c r="A3149" i="1"/>
  <c r="A4996" i="1"/>
  <c r="A4952" i="1"/>
  <c r="A3231" i="1"/>
  <c r="A3564" i="1"/>
  <c r="A1094" i="1"/>
  <c r="A928" i="1"/>
  <c r="A4994" i="1"/>
  <c r="A2931" i="1"/>
  <c r="A2466" i="1"/>
  <c r="A82" i="1"/>
  <c r="A1404" i="1"/>
  <c r="A975" i="1"/>
  <c r="A3826" i="1"/>
  <c r="A3594" i="1"/>
  <c r="A3244" i="1"/>
  <c r="A3000" i="1"/>
  <c r="A4976" i="1"/>
  <c r="A4531" i="1"/>
  <c r="A1812" i="1"/>
  <c r="A4412" i="1"/>
  <c r="A3840" i="1"/>
  <c r="A2275" i="1"/>
  <c r="A1839" i="1"/>
  <c r="A1079" i="1"/>
  <c r="A2255" i="1"/>
  <c r="A358" i="1"/>
  <c r="A2565" i="1"/>
  <c r="A1440" i="1"/>
  <c r="A952" i="1"/>
  <c r="A728" i="1"/>
  <c r="A2498" i="1"/>
  <c r="A1590" i="1"/>
  <c r="A3455" i="1"/>
  <c r="A1048" i="1"/>
  <c r="A478" i="1"/>
  <c r="A1653" i="1"/>
  <c r="A195" i="1"/>
  <c r="A2351" i="1"/>
  <c r="A284" i="1"/>
  <c r="A4734" i="1"/>
  <c r="A4230" i="1"/>
  <c r="A1232" i="1"/>
  <c r="A4317" i="1"/>
  <c r="A4160" i="1"/>
  <c r="A2022" i="1"/>
  <c r="A1904" i="1"/>
  <c r="A3562" i="1"/>
  <c r="A1734" i="1"/>
  <c r="A1745" i="1"/>
  <c r="A2380" i="1"/>
  <c r="A4844" i="1"/>
  <c r="A4335" i="1"/>
  <c r="A2814" i="1"/>
  <c r="A4564" i="1"/>
  <c r="A3763" i="1"/>
  <c r="A3876" i="1"/>
  <c r="A4769" i="1"/>
  <c r="A1710" i="1"/>
  <c r="A4621" i="1"/>
  <c r="A3428" i="1"/>
  <c r="A4214" i="1"/>
  <c r="A4745" i="1"/>
  <c r="A4212" i="1"/>
  <c r="A1303" i="1"/>
  <c r="A4186" i="1"/>
  <c r="A2345" i="1"/>
  <c r="A2220" i="1"/>
  <c r="A4975" i="1"/>
  <c r="A3238" i="1"/>
  <c r="A1924" i="1"/>
  <c r="A1460" i="1"/>
  <c r="A2232" i="1"/>
  <c r="A1417" i="1"/>
  <c r="A1836" i="1"/>
  <c r="A4012" i="1"/>
  <c r="A4955" i="1"/>
  <c r="A5004" i="1"/>
  <c r="A4881" i="1"/>
  <c r="A4011" i="1"/>
  <c r="A4637" i="1"/>
  <c r="A3388" i="1"/>
  <c r="A1846" i="1"/>
  <c r="A2372" i="1"/>
  <c r="A1512" i="1"/>
  <c r="A2285" i="1"/>
  <c r="A1021" i="1"/>
  <c r="A2381" i="1"/>
  <c r="A1614" i="1"/>
  <c r="A394" i="1"/>
  <c r="A817" i="1"/>
  <c r="A2271" i="1"/>
  <c r="A3153" i="1"/>
  <c r="A294" i="1"/>
  <c r="A374" i="1"/>
  <c r="A978" i="1"/>
  <c r="A1238" i="1"/>
  <c r="A118" i="1"/>
  <c r="A1451" i="1"/>
  <c r="A540" i="1"/>
  <c r="A750" i="1"/>
  <c r="A2293" i="1"/>
  <c r="A1672" i="1"/>
  <c r="A60" i="1"/>
  <c r="A1002" i="1"/>
  <c r="A156" i="1"/>
  <c r="A4277" i="1"/>
  <c r="A401" i="1"/>
  <c r="A435" i="1"/>
  <c r="A113" i="1"/>
  <c r="A348" i="1"/>
  <c r="A73" i="1"/>
  <c r="A301" i="1"/>
  <c r="A2090" i="1"/>
  <c r="A2462" i="1"/>
  <c r="A2648" i="1"/>
  <c r="A1345" i="1"/>
  <c r="A1443" i="1"/>
  <c r="A1946" i="1"/>
  <c r="A3719" i="1"/>
  <c r="A4162" i="1"/>
  <c r="A1739" i="1"/>
  <c r="A2640" i="1"/>
  <c r="A2501" i="1"/>
  <c r="A1763" i="1"/>
  <c r="A752" i="1"/>
  <c r="A1501" i="1"/>
  <c r="A3827" i="1"/>
  <c r="A4130" i="1"/>
  <c r="A3105" i="1"/>
  <c r="A4396" i="1"/>
  <c r="A2311" i="1"/>
  <c r="A3829" i="1"/>
  <c r="A2577" i="1"/>
  <c r="A2018" i="1"/>
  <c r="A580" i="1"/>
  <c r="A3278" i="1"/>
  <c r="A2714" i="1"/>
  <c r="A1680" i="1"/>
  <c r="A2592" i="1"/>
  <c r="A2189" i="1"/>
  <c r="A4060" i="1"/>
  <c r="A2922" i="1"/>
  <c r="A1485" i="1"/>
  <c r="A2753" i="1"/>
  <c r="A392" i="1"/>
  <c r="A3024" i="1"/>
  <c r="A2730" i="1"/>
  <c r="A1283" i="1"/>
  <c r="A3810" i="1"/>
  <c r="A3027" i="1"/>
  <c r="A2970" i="1"/>
  <c r="A3969" i="1"/>
  <c r="A309" i="1"/>
  <c r="A1248" i="1"/>
  <c r="A1133" i="1"/>
  <c r="A1508" i="1"/>
  <c r="A2025" i="1"/>
  <c r="A4897" i="1"/>
  <c r="A1955" i="1"/>
  <c r="A2264" i="1"/>
  <c r="A3294" i="1"/>
  <c r="A3064" i="1"/>
  <c r="A2819" i="1"/>
  <c r="A1867" i="1"/>
  <c r="A1605" i="1"/>
  <c r="A2601" i="1"/>
  <c r="A3618" i="1"/>
  <c r="A2566" i="1"/>
  <c r="A3236" i="1"/>
  <c r="A3739" i="1"/>
  <c r="A469" i="1"/>
  <c r="A1939" i="1"/>
  <c r="A3361" i="1"/>
  <c r="A4144" i="1"/>
  <c r="A3191" i="1"/>
  <c r="A1681" i="1"/>
  <c r="A1645" i="1"/>
  <c r="A1875" i="1"/>
  <c r="A4295" i="1"/>
  <c r="A3819" i="1"/>
  <c r="A3591" i="1"/>
  <c r="A3839" i="1"/>
  <c r="A4799" i="1"/>
  <c r="A3482" i="1"/>
  <c r="A2875" i="1"/>
  <c r="A1777" i="1"/>
  <c r="A3994" i="1"/>
  <c r="A4127" i="1"/>
  <c r="A803" i="1"/>
  <c r="A1709" i="1"/>
  <c r="A3104" i="1"/>
</calcChain>
</file>

<file path=xl/sharedStrings.xml><?xml version="1.0" encoding="utf-8"?>
<sst xmlns="http://schemas.openxmlformats.org/spreadsheetml/2006/main" count="49345" uniqueCount="15732">
  <si>
    <t>AI</t>
  </si>
  <si>
    <t>Birth</t>
  </si>
  <si>
    <t>Main</t>
  </si>
  <si>
    <t xml:space="preserve">Type of </t>
  </si>
  <si>
    <t>EBI</t>
  </si>
  <si>
    <t>Milk Prod SI</t>
  </si>
  <si>
    <t>Fertility SI</t>
  </si>
  <si>
    <t>Calving SI</t>
  </si>
  <si>
    <t>Carcass SI</t>
  </si>
  <si>
    <t>Health SI</t>
  </si>
  <si>
    <t>Maintenance SI</t>
  </si>
  <si>
    <t>Management SI</t>
  </si>
  <si>
    <t>Owner</t>
  </si>
  <si>
    <t>Test</t>
  </si>
  <si>
    <t>No.</t>
  </si>
  <si>
    <t>Rel</t>
  </si>
  <si>
    <t>PTA</t>
  </si>
  <si>
    <t>REL</t>
  </si>
  <si>
    <t>GEST</t>
  </si>
  <si>
    <t>MORT</t>
  </si>
  <si>
    <t>Cull</t>
  </si>
  <si>
    <t>Wean</t>
  </si>
  <si>
    <t>Live</t>
  </si>
  <si>
    <t>Feed</t>
  </si>
  <si>
    <t>CODE</t>
  </si>
  <si>
    <t>HBNO</t>
  </si>
  <si>
    <t>Name of Bull</t>
  </si>
  <si>
    <t>Date</t>
  </si>
  <si>
    <t>Breed</t>
  </si>
  <si>
    <t>HO%</t>
  </si>
  <si>
    <t>Proof</t>
  </si>
  <si>
    <t>Euro</t>
  </si>
  <si>
    <t>Name</t>
  </si>
  <si>
    <t>Stat</t>
  </si>
  <si>
    <t>Cat</t>
  </si>
  <si>
    <t>Name of Sire</t>
  </si>
  <si>
    <t>Name of Dam</t>
  </si>
  <si>
    <t>DAU</t>
  </si>
  <si>
    <t>HRD</t>
  </si>
  <si>
    <t>%</t>
  </si>
  <si>
    <t>Milk</t>
  </si>
  <si>
    <t>Fat</t>
  </si>
  <si>
    <t>Prot</t>
  </si>
  <si>
    <t>Fat%</t>
  </si>
  <si>
    <t>Prot%</t>
  </si>
  <si>
    <t>Dau</t>
  </si>
  <si>
    <t>CI</t>
  </si>
  <si>
    <t>SUV</t>
  </si>
  <si>
    <t>Lame</t>
  </si>
  <si>
    <t>Mast</t>
  </si>
  <si>
    <t>SCC</t>
  </si>
  <si>
    <t>TEMP</t>
  </si>
  <si>
    <t>Milking Time</t>
  </si>
  <si>
    <t>Hrds</t>
  </si>
  <si>
    <t>STA</t>
  </si>
  <si>
    <t>CW</t>
  </si>
  <si>
    <t>BD</t>
  </si>
  <si>
    <t>ANG</t>
  </si>
  <si>
    <t>RA</t>
  </si>
  <si>
    <t>RW</t>
  </si>
  <si>
    <t>RLS</t>
  </si>
  <si>
    <t>LOCO</t>
  </si>
  <si>
    <t>FA</t>
  </si>
  <si>
    <t>FU</t>
  </si>
  <si>
    <t>RUH</t>
  </si>
  <si>
    <t>US</t>
  </si>
  <si>
    <t>UD</t>
  </si>
  <si>
    <t>TP</t>
  </si>
  <si>
    <t>TL</t>
  </si>
  <si>
    <t>O TYPE</t>
  </si>
  <si>
    <t>O MAM</t>
  </si>
  <si>
    <t>O FL</t>
  </si>
  <si>
    <t>BCS</t>
  </si>
  <si>
    <t>DAIRY</t>
  </si>
  <si>
    <t>BODY</t>
  </si>
  <si>
    <t>TPS</t>
  </si>
  <si>
    <t>RTP</t>
  </si>
  <si>
    <t>FRAME</t>
  </si>
  <si>
    <t>CWT</t>
  </si>
  <si>
    <t>C CONF</t>
  </si>
  <si>
    <t>C FAT</t>
  </si>
  <si>
    <t>Cow Wt</t>
  </si>
  <si>
    <t>Cull Cow Wt</t>
  </si>
  <si>
    <t>Wt</t>
  </si>
  <si>
    <t>Wean Wt</t>
  </si>
  <si>
    <t>Live Wt</t>
  </si>
  <si>
    <t>Int</t>
  </si>
  <si>
    <t>FI</t>
  </si>
  <si>
    <t>Maternal GSire Name</t>
  </si>
  <si>
    <t>STY</t>
  </si>
  <si>
    <t>HOLNLDM000174349907</t>
  </si>
  <si>
    <t>PROGRESSIVE STAYER</t>
  </si>
  <si>
    <t>HO</t>
  </si>
  <si>
    <t>DP-IRL</t>
  </si>
  <si>
    <t>NATIONAL CATTLE BREEDING CNTR</t>
  </si>
  <si>
    <t>W</t>
  </si>
  <si>
    <t>PED</t>
  </si>
  <si>
    <t>EVREUX CLEI ET</t>
  </si>
  <si>
    <t>COBI</t>
  </si>
  <si>
    <t>PENN-SPRINGS MR C</t>
  </si>
  <si>
    <t>HOLNLDM000109571201</t>
  </si>
  <si>
    <t>CRESENDO</t>
  </si>
  <si>
    <t>DOVEA GENETICS</t>
  </si>
  <si>
    <t>SUPERBOY</t>
  </si>
  <si>
    <t>VROUWTJE</t>
  </si>
  <si>
    <t>DELTA CLEITUS JABOT</t>
  </si>
  <si>
    <t>HOLDEUM001014090533</t>
  </si>
  <si>
    <t>BONTI</t>
  </si>
  <si>
    <t>FR</t>
  </si>
  <si>
    <t>DP-INT</t>
  </si>
  <si>
    <t>DEPARTMENT OF AGRICULTURE</t>
  </si>
  <si>
    <t>TO-MAR BLACKSTAR-ET</t>
  </si>
  <si>
    <t>IMPERIAL PERSUASION</t>
  </si>
  <si>
    <t>OCEAN-VIEW SEXATION</t>
  </si>
  <si>
    <t>HOLDEUM001015175894</t>
  </si>
  <si>
    <t>SOUTHWIND FABLE</t>
  </si>
  <si>
    <t xml:space="preserve"> </t>
  </si>
  <si>
    <t>T</t>
  </si>
  <si>
    <t>SOUTHWIND BELL OF BAR-LEE</t>
  </si>
  <si>
    <t>FABEL</t>
  </si>
  <si>
    <t>S-W-D VALIANT</t>
  </si>
  <si>
    <t>HOLFRAM002989000620</t>
  </si>
  <si>
    <t>ESCULAPE</t>
  </si>
  <si>
    <t>CYNTHIANA</t>
  </si>
  <si>
    <t>HOLUSAM000002109516</t>
  </si>
  <si>
    <t>POND-OAK MAGNUS</t>
  </si>
  <si>
    <t>ART-ACRES BELL PONTIAC-ET</t>
  </si>
  <si>
    <t>POND-OAK NED BOY MARGOT-ET</t>
  </si>
  <si>
    <t>WHITTIER-FARMS NED BOY</t>
  </si>
  <si>
    <t>HOLCANM000005524122</t>
  </si>
  <si>
    <t>MALOYA LEO ET</t>
  </si>
  <si>
    <t>SEMEX AI BULLS</t>
  </si>
  <si>
    <t>MADAWASKA AEROSTAR</t>
  </si>
  <si>
    <t>COMESTAR LASS VALIANT ET</t>
  </si>
  <si>
    <t>HOLNLDM000105983921</t>
  </si>
  <si>
    <t>QG SIMON</t>
  </si>
  <si>
    <t>Q G SUGAR ET</t>
  </si>
  <si>
    <t>CURTMAID EMERALD TARGET</t>
  </si>
  <si>
    <t>MONFRAM003997030107</t>
  </si>
  <si>
    <t>NATIF JB</t>
  </si>
  <si>
    <t>MO</t>
  </si>
  <si>
    <t>FAUCON</t>
  </si>
  <si>
    <t>HAVANAISE</t>
  </si>
  <si>
    <t>ECOSSAIS</t>
  </si>
  <si>
    <t>n/a</t>
  </si>
  <si>
    <t>ROMULUS</t>
  </si>
  <si>
    <t>MY</t>
  </si>
  <si>
    <t>ROEL</t>
  </si>
  <si>
    <t>MEIKE</t>
  </si>
  <si>
    <t>JAN</t>
  </si>
  <si>
    <t>HOLDEUM000910621593</t>
  </si>
  <si>
    <t>DOONALLY TESK ET</t>
  </si>
  <si>
    <t>TESK-HOLM VALIANT ROCKIE</t>
  </si>
  <si>
    <t>VIERGIN</t>
  </si>
  <si>
    <t>HANOVERHILL STARBUCK</t>
  </si>
  <si>
    <t>HOLGBRM000000552500</t>
  </si>
  <si>
    <t>DUNOWEN ANCHOR MAN ET</t>
  </si>
  <si>
    <t>ROYCEDALE STEADY AMELIA ET</t>
  </si>
  <si>
    <t>TRI TOWN STEADY SPIPPER</t>
  </si>
  <si>
    <t>HOLGBRM000000553936</t>
  </si>
  <si>
    <t>CRADENHILL LM SAMSON ET</t>
  </si>
  <si>
    <t>ROTHROCK TRADITION LEADMAN</t>
  </si>
  <si>
    <t>LYLEHAVENC ENHANCER SEANCE</t>
  </si>
  <si>
    <t>GLENAFTON ENHANCER</t>
  </si>
  <si>
    <t>HOLNLDM000458506778</t>
  </si>
  <si>
    <t>ETAZON HODGES ET</t>
  </si>
  <si>
    <t>BIS-MAY TRADITION CLEITUS</t>
  </si>
  <si>
    <t>KNOLLMANS KATHLEEN ROTATE</t>
  </si>
  <si>
    <t>ARLINDA ROTATE</t>
  </si>
  <si>
    <t>HOLNLDM000349736196</t>
  </si>
  <si>
    <t>TIVOLI</t>
  </si>
  <si>
    <t>P04</t>
  </si>
  <si>
    <t>MCCLOE POND TRENT</t>
  </si>
  <si>
    <t>MAAIKE 188</t>
  </si>
  <si>
    <t>ETAZON ADDISON</t>
  </si>
  <si>
    <t>HOLNLDM000137789096</t>
  </si>
  <si>
    <t>MISTER X</t>
  </si>
  <si>
    <t>ROZA 38</t>
  </si>
  <si>
    <t>HOLNLDM000790791469</t>
  </si>
  <si>
    <t>BALLYCRAIGY OSCAR</t>
  </si>
  <si>
    <t>ART-ACRES NED BOY OSCAR-ET</t>
  </si>
  <si>
    <t>JAFRAL ENHANCER JOLIE ET</t>
  </si>
  <si>
    <t>DORIS 249</t>
  </si>
  <si>
    <t>DONALD 33</t>
  </si>
  <si>
    <t>ANNA 77</t>
  </si>
  <si>
    <t>PRINS 2</t>
  </si>
  <si>
    <t>HOLCANM000006812634</t>
  </si>
  <si>
    <t>COMESTAR EXPORT</t>
  </si>
  <si>
    <t>ETAZON LORD LILY</t>
  </si>
  <si>
    <t>COMESTAR LAURALYN LINDY</t>
  </si>
  <si>
    <t>A TOWNSON LINDY ET</t>
  </si>
  <si>
    <t>HOLNLDM000102562006</t>
  </si>
  <si>
    <t>AMSWEER ORKAAN</t>
  </si>
  <si>
    <t>SKALSUMER SUNNY BOY</t>
  </si>
  <si>
    <t>AMSWEER OREO 4</t>
  </si>
  <si>
    <t>NMDFRAM005347531993</t>
  </si>
  <si>
    <t>RUBAFIX</t>
  </si>
  <si>
    <t>NO</t>
  </si>
  <si>
    <t>IRISH NORMANDE CATTLE SOCIETY</t>
  </si>
  <si>
    <t>S07</t>
  </si>
  <si>
    <t>IDRIS</t>
  </si>
  <si>
    <t>LIBERTE</t>
  </si>
  <si>
    <t>DIAMETRE</t>
  </si>
  <si>
    <t>HOLNLDM000296125126</t>
  </si>
  <si>
    <t>RUUD 96</t>
  </si>
  <si>
    <t>DELTA WEBSTER</t>
  </si>
  <si>
    <t>DIROGO L JOYCE 2</t>
  </si>
  <si>
    <t>BIS-MAY S-E-L MOUNTAIN-ET</t>
  </si>
  <si>
    <t>RDCNORM000000005583</t>
  </si>
  <si>
    <t>SALTE</t>
  </si>
  <si>
    <t>SR</t>
  </si>
  <si>
    <t>BACKGARD</t>
  </si>
  <si>
    <t>ANNE</t>
  </si>
  <si>
    <t>F. AKSLAND</t>
  </si>
  <si>
    <t>HOLFRAM005344376453</t>
  </si>
  <si>
    <t>POLAND</t>
  </si>
  <si>
    <t>HA-HO CUBBY MANFRED-ET</t>
  </si>
  <si>
    <t>MANETT</t>
  </si>
  <si>
    <t>FATAL</t>
  </si>
  <si>
    <t>MONFRAM002548982813</t>
  </si>
  <si>
    <t>RUSTY</t>
  </si>
  <si>
    <t>W07</t>
  </si>
  <si>
    <t>ISANGRIN</t>
  </si>
  <si>
    <t>JAVELLE</t>
  </si>
  <si>
    <t>BOIS LE VIN</t>
  </si>
  <si>
    <t>JERNZLM000000307537</t>
  </si>
  <si>
    <t>HILLSTAR MAUNGAS JONO</t>
  </si>
  <si>
    <t>JE</t>
  </si>
  <si>
    <t>AGS</t>
  </si>
  <si>
    <t>TAWA GROVE MAUNGA ET SJ3</t>
  </si>
  <si>
    <t>HILLSTAR SAMS JOYGIRL</t>
  </si>
  <si>
    <t>CRESCENT SENATORS SAM</t>
  </si>
  <si>
    <t>MRYNLDM000245315170</t>
  </si>
  <si>
    <t>PASCAL</t>
  </si>
  <si>
    <t>BOVA</t>
  </si>
  <si>
    <t>W09</t>
  </si>
  <si>
    <t>PAROLE</t>
  </si>
  <si>
    <t>KATJA 31</t>
  </si>
  <si>
    <t>AJAX 94</t>
  </si>
  <si>
    <t>JERIRLM151828721397</t>
  </si>
  <si>
    <t>(IG) BALLYHOOLY DODDER</t>
  </si>
  <si>
    <t>T09</t>
  </si>
  <si>
    <t>MAGHERACANON DODDY GR</t>
  </si>
  <si>
    <t>DUNROMIN ZORINOS TWILIGHT</t>
  </si>
  <si>
    <t>JAS ZORINO</t>
  </si>
  <si>
    <t>MONFRAM003802202953</t>
  </si>
  <si>
    <t>OVIBOS</t>
  </si>
  <si>
    <t>GARDIAN</t>
  </si>
  <si>
    <t>IMPRESSION</t>
  </si>
  <si>
    <t>HOLSWEM000000044968</t>
  </si>
  <si>
    <t>BERTE</t>
  </si>
  <si>
    <t>ABS IRELAND</t>
  </si>
  <si>
    <t>BONUS</t>
  </si>
  <si>
    <t>ULLA</t>
  </si>
  <si>
    <t>CA-LILL BELLTONE</t>
  </si>
  <si>
    <t>HOLNLDM000320542257</t>
  </si>
  <si>
    <t>LINDE BARTHO</t>
  </si>
  <si>
    <t>L GEESKE 77</t>
  </si>
  <si>
    <t>HOLGBRM000000541875</t>
  </si>
  <si>
    <t>CRADENHILL JET STER ET</t>
  </si>
  <si>
    <t>BRIDON ASTRO JET ET</t>
  </si>
  <si>
    <t>CRADENHILL COLLEEN 3</t>
  </si>
  <si>
    <t>GROVE BREADWINNER</t>
  </si>
  <si>
    <t>HOLNLDM000136897158</t>
  </si>
  <si>
    <t>STRAKS CELLIE</t>
  </si>
  <si>
    <t>ETAZON CELSIUS ET</t>
  </si>
  <si>
    <t>CMV MELWOOD MILLIE ET</t>
  </si>
  <si>
    <t>ARLINDA MELWOOD ET</t>
  </si>
  <si>
    <t>HOLFRAM003616023026</t>
  </si>
  <si>
    <t>TITOS DRI</t>
  </si>
  <si>
    <t>W08</t>
  </si>
  <si>
    <t>MERDRIGNAC</t>
  </si>
  <si>
    <t>ROULETTE</t>
  </si>
  <si>
    <t>JOCKO BESNE</t>
  </si>
  <si>
    <t>HOLDEUM000349683001</t>
  </si>
  <si>
    <t>RAINMAN</t>
  </si>
  <si>
    <t>EUROGENE/LIC AI BULLS</t>
  </si>
  <si>
    <t>RAMOS</t>
  </si>
  <si>
    <t>LESSLI 307</t>
  </si>
  <si>
    <t>ANDACRES HUNTER ORION</t>
  </si>
  <si>
    <t>HOLAUSM000H01315423</t>
  </si>
  <si>
    <t>KREZANDA DUKE ET</t>
  </si>
  <si>
    <t>W10</t>
  </si>
  <si>
    <t>LANCELOT</t>
  </si>
  <si>
    <t>KREZANDA DONOR DEANNE</t>
  </si>
  <si>
    <t>ELITE MOUNTAIN DONOR IMP (E.T)</t>
  </si>
  <si>
    <t>HOLUSAM000130803069</t>
  </si>
  <si>
    <t>LADYS-MANOR WILDMAN-ET</t>
  </si>
  <si>
    <t>ALTA IRELAND</t>
  </si>
  <si>
    <t>MARA-THON BW MARSHALL ET TL TV</t>
  </si>
  <si>
    <t>LADYS-MANOR WYNONA ET</t>
  </si>
  <si>
    <t>LADYS-MANOR WINCHESTER-ET</t>
  </si>
  <si>
    <t>MONFRAM003802511029</t>
  </si>
  <si>
    <t>PALIKAO</t>
  </si>
  <si>
    <t>NICOTINE</t>
  </si>
  <si>
    <t>EZOZO</t>
  </si>
  <si>
    <t>MONFRAM000103027531</t>
  </si>
  <si>
    <t>TIPOLI</t>
  </si>
  <si>
    <t>LECUYER</t>
  </si>
  <si>
    <t>ODILE</t>
  </si>
  <si>
    <t>MRYDEUM000115336961</t>
  </si>
  <si>
    <t>REBLAN</t>
  </si>
  <si>
    <t>NEW ZEALAND GENETICS</t>
  </si>
  <si>
    <t>S10</t>
  </si>
  <si>
    <t>ROLIN ROLIN</t>
  </si>
  <si>
    <t>FELDBLUETE</t>
  </si>
  <si>
    <t>DORUS</t>
  </si>
  <si>
    <t>HOLCANM000007588018</t>
  </si>
  <si>
    <t>GILLETTE JERRICK</t>
  </si>
  <si>
    <t>BRAEDALE GOLDWYN</t>
  </si>
  <si>
    <t>GILLETTE-I DURHAM JERICHO</t>
  </si>
  <si>
    <t>REGANCREST ELTON DURHAM-ET</t>
  </si>
  <si>
    <t>HOLUSAM000063563729</t>
  </si>
  <si>
    <t>SANDY-VALLEY ALTATOMAH-ET</t>
  </si>
  <si>
    <t>END-ROAD PVF BOLIVER TV TL TY</t>
  </si>
  <si>
    <t>SANDY-VALLEY O-MAN TOMAH-ET</t>
  </si>
  <si>
    <t>O-BEE MANFRED JUSTICE ET TV TL</t>
  </si>
  <si>
    <t>HOLNZLM000000508146</t>
  </si>
  <si>
    <t>WAIWIRA PRINCE-HAL-ET</t>
  </si>
  <si>
    <t>G10</t>
  </si>
  <si>
    <t>WHINLEA PALADIUM ELSTO-ET</t>
  </si>
  <si>
    <t>WILLAND ADS SAMUAL</t>
  </si>
  <si>
    <t>HOLSWEM000000048202</t>
  </si>
  <si>
    <t>S ROSS TV TL</t>
  </si>
  <si>
    <t>DE RITH CHASSEE</t>
  </si>
  <si>
    <t>489 ROSA</t>
  </si>
  <si>
    <t>T FUNKIS</t>
  </si>
  <si>
    <t>HOLNZLM000000510033</t>
  </si>
  <si>
    <t>ARRIETA NOMAD</t>
  </si>
  <si>
    <t>W14</t>
  </si>
  <si>
    <t>SRM</t>
  </si>
  <si>
    <t>PUKETIRO FROSTMAN S1F</t>
  </si>
  <si>
    <t>ARRIETA NS NICE ET S0F</t>
  </si>
  <si>
    <t>SCOTTS NORTHSEA</t>
  </si>
  <si>
    <t>JERUSAM000115087248</t>
  </si>
  <si>
    <t>GRIFFENS GOVERNOR-ET</t>
  </si>
  <si>
    <t>S11</t>
  </si>
  <si>
    <t>LESTER SAMBO</t>
  </si>
  <si>
    <t>LLOLYN JUDE GRIFFEN ET</t>
  </si>
  <si>
    <t>MASTER C TOPS</t>
  </si>
  <si>
    <t>MRYNLDM000481564716</t>
  </si>
  <si>
    <t>REMCO</t>
  </si>
  <si>
    <t>S12</t>
  </si>
  <si>
    <t>MATTHIJS</t>
  </si>
  <si>
    <t>ROOSJE 58</t>
  </si>
  <si>
    <t>MANUEL 183</t>
  </si>
  <si>
    <t>HOLCANM000104854291</t>
  </si>
  <si>
    <t>GEN-I-BEQ BRAWLER</t>
  </si>
  <si>
    <t>EMERALD-ACR-SA BAXTER TL TV TY</t>
  </si>
  <si>
    <t>GEN-I-BEQ SHOTTLE BARBI</t>
  </si>
  <si>
    <t>PICSTON SHOTTLE</t>
  </si>
  <si>
    <t>HOLNLDM000887332519</t>
  </si>
  <si>
    <t>SISTO</t>
  </si>
  <si>
    <t>FLEVO GENETICS SNOWMAN</t>
  </si>
  <si>
    <t>DE RITH CINDERELLA 23</t>
  </si>
  <si>
    <t>ENGLAND-AMMON MILLION-ET</t>
  </si>
  <si>
    <t>HOLFRAM004241164615</t>
  </si>
  <si>
    <t>BILLARD</t>
  </si>
  <si>
    <t>MASCOL ET</t>
  </si>
  <si>
    <t>VALLY</t>
  </si>
  <si>
    <t>HOLUSAM000064700328</t>
  </si>
  <si>
    <t>DE-SU HISTORY-ET</t>
  </si>
  <si>
    <t>S13</t>
  </si>
  <si>
    <t>JARDIN</t>
  </si>
  <si>
    <t>DE-SU 7049-ET</t>
  </si>
  <si>
    <t>HOLNLDM000394346135</t>
  </si>
  <si>
    <t>ZAEMSLACH JUNO</t>
  </si>
  <si>
    <t>S14</t>
  </si>
  <si>
    <t>SJOUKJE 18</t>
  </si>
  <si>
    <t>JERDNKM000000303212</t>
  </si>
  <si>
    <t>VJ HJERN</t>
  </si>
  <si>
    <t>Q HIRSE</t>
  </si>
  <si>
    <t>Q HANDIX</t>
  </si>
  <si>
    <t>HOLNLDM000878742615</t>
  </si>
  <si>
    <t>MARS ALLROUND</t>
  </si>
  <si>
    <t>P13</t>
  </si>
  <si>
    <t>GILLETTE JORDAN</t>
  </si>
  <si>
    <t>MARS FROUKJE 371</t>
  </si>
  <si>
    <t>HOLNLDM000546150276</t>
  </si>
  <si>
    <t>KISS BOWSIDA</t>
  </si>
  <si>
    <t>LAESCHWAY JET BOWSER-ET</t>
  </si>
  <si>
    <t>BUTEMARE VENERIETE IDA O</t>
  </si>
  <si>
    <t>HOLNLDM000921291912</t>
  </si>
  <si>
    <t>DELTA DAKAR</t>
  </si>
  <si>
    <t>DANILLO</t>
  </si>
  <si>
    <t>MAY YARD ELSJE 392</t>
  </si>
  <si>
    <t>DELTA PARAMOUNT</t>
  </si>
  <si>
    <t>HOLIRLM131358050963</t>
  </si>
  <si>
    <t>FORTFERGUS ARTIC ORCA</t>
  </si>
  <si>
    <t>T14</t>
  </si>
  <si>
    <t>(IG) BALLINABORTA PRIMO</t>
  </si>
  <si>
    <t>FORTFERGUS WGM ORCA</t>
  </si>
  <si>
    <t>WOODCOTE GR METEOR-ET S3F</t>
  </si>
  <si>
    <t>RDCNORM000000010632</t>
  </si>
  <si>
    <t>NAXBIE</t>
  </si>
  <si>
    <t>NR</t>
  </si>
  <si>
    <t>5646 HEIGRE</t>
  </si>
  <si>
    <t>GOLIN</t>
  </si>
  <si>
    <t>NYLOKKEN</t>
  </si>
  <si>
    <t>HOLUSAM000057187887</t>
  </si>
  <si>
    <t>LARCREST CATAPULT-ET</t>
  </si>
  <si>
    <t>AMIGHETTI NUMERO UNO TV TL TY</t>
  </si>
  <si>
    <t>LARCREST CRIMSON-ET</t>
  </si>
  <si>
    <t>HOLFRAM002229184067</t>
  </si>
  <si>
    <t>INTERMEDE</t>
  </si>
  <si>
    <t>P15</t>
  </si>
  <si>
    <t>JET STAR MANOMAN TRICKIN</t>
  </si>
  <si>
    <t>GRIBOUILLE</t>
  </si>
  <si>
    <t>COMEDIEN</t>
  </si>
  <si>
    <t>HOLCANM000107931158</t>
  </si>
  <si>
    <t>SILVERRIDGE V ENVIOUS</t>
  </si>
  <si>
    <t>S15</t>
  </si>
  <si>
    <t>DE-SU BKM MCCUTCHEN 1174-ET</t>
  </si>
  <si>
    <t>VELTHUIS S G SNOW EVENING</t>
  </si>
  <si>
    <t>HOLIRLM191030461615</t>
  </si>
  <si>
    <t>COOLBEHA CASSANOVA</t>
  </si>
  <si>
    <t>T15</t>
  </si>
  <si>
    <t>BALLYOGAHA PHILIP</t>
  </si>
  <si>
    <t>COOLBEHA BZR CAROL 967</t>
  </si>
  <si>
    <t>BALLYBRIDE DANO</t>
  </si>
  <si>
    <t>RDCNORM000000010773</t>
  </si>
  <si>
    <t>VIKEN</t>
  </si>
  <si>
    <t>W15</t>
  </si>
  <si>
    <t>TIME</t>
  </si>
  <si>
    <t>SILJE</t>
  </si>
  <si>
    <t>ULSAKER</t>
  </si>
  <si>
    <t>HOLUSAM000143189741</t>
  </si>
  <si>
    <t>WA-DEL YODER BANDARES-ET</t>
  </si>
  <si>
    <t>WORLDWIDE SIRES IRELAND</t>
  </si>
  <si>
    <t>P16</t>
  </si>
  <si>
    <t>WOODCREST MOGUL YODER-ET</t>
  </si>
  <si>
    <t>WA-DEL MASSEY BELINDA-ET</t>
  </si>
  <si>
    <t>CO-OP BOSSIDE MASSEY-ET</t>
  </si>
  <si>
    <t>HOLIRLM371015352211</t>
  </si>
  <si>
    <t>HAGGARD FRANKO</t>
  </si>
  <si>
    <t>GS</t>
  </si>
  <si>
    <t>T16</t>
  </si>
  <si>
    <t>SEAROAD AWS PAMELA 1</t>
  </si>
  <si>
    <t>HAGGARD PZS FAWN 1933</t>
  </si>
  <si>
    <t>MODELIGO SUPREME</t>
  </si>
  <si>
    <t>MONFRAM004640527931</t>
  </si>
  <si>
    <t>LOTMAN</t>
  </si>
  <si>
    <t>P18</t>
  </si>
  <si>
    <t>HELUX</t>
  </si>
  <si>
    <t>IDOLE</t>
  </si>
  <si>
    <t>DEVIL JB</t>
  </si>
  <si>
    <t>HOLCANM000109890140</t>
  </si>
  <si>
    <t>SWISSBEC PAT</t>
  </si>
  <si>
    <t>S-S-I MONTROSS JEDI-ET</t>
  </si>
  <si>
    <t>IHG MARDI SENS 9017-ET</t>
  </si>
  <si>
    <t>MR MOVIESTAR MARDI GRAS-ET</t>
  </si>
  <si>
    <t>JERDNKM000000303497</t>
  </si>
  <si>
    <t>VJ JURIS</t>
  </si>
  <si>
    <t>S17</t>
  </si>
  <si>
    <t>DJ JASON</t>
  </si>
  <si>
    <t>HOL840M003010365126</t>
  </si>
  <si>
    <t>MR DDS MEGA-WATT-ET</t>
  </si>
  <si>
    <t>S16</t>
  </si>
  <si>
    <t>BUTZ-HILL MEGASIRE-ET</t>
  </si>
  <si>
    <t>RI-VAL-RE ALCHEMY NIKOLE-ET</t>
  </si>
  <si>
    <t>HUNSBERGER ALCHEMY-ET</t>
  </si>
  <si>
    <t>HOLGBRM726652200588</t>
  </si>
  <si>
    <t>BB DG SHILLING</t>
  </si>
  <si>
    <t>SEAGULL-BAY SILVER-ET</t>
  </si>
  <si>
    <t>BB SUPERSIRE SHEIRA</t>
  </si>
  <si>
    <t>SEAGULL-BAY SUPERSIRE-ET</t>
  </si>
  <si>
    <t>HOLNLDM000661726527</t>
  </si>
  <si>
    <t>DOUBLE W RANGER</t>
  </si>
  <si>
    <t>S19</t>
  </si>
  <si>
    <t>S-S-I MOGUL REFLECTOR</t>
  </si>
  <si>
    <t>MS RICKY 8</t>
  </si>
  <si>
    <t>BOUW SNOWFEVER</t>
  </si>
  <si>
    <t>HOLNLDM000543203919</t>
  </si>
  <si>
    <t>DELTA SOLERO</t>
  </si>
  <si>
    <t>EMINEM</t>
  </si>
  <si>
    <t>MAY YARD DELTA REMINA</t>
  </si>
  <si>
    <t>LAUDAN</t>
  </si>
  <si>
    <t>DFRNLDM000145311890</t>
  </si>
  <si>
    <t>DOVEA OSSEWEIDESNEUVER</t>
  </si>
  <si>
    <t>NEUVERS 85</t>
  </si>
  <si>
    <t>LEIDA 025</t>
  </si>
  <si>
    <t>HENDRIKA AD 75</t>
  </si>
  <si>
    <t>HOLNLDM000211523617</t>
  </si>
  <si>
    <t>POLL FOCUS</t>
  </si>
  <si>
    <t>POLL POLL GLORIA 357</t>
  </si>
  <si>
    <t>SINGING-BROOK N-B MASCOT-ET</t>
  </si>
  <si>
    <t>HOLGBRM000000541291</t>
  </si>
  <si>
    <t>CLASH STERLING 2 ET</t>
  </si>
  <si>
    <t>STARTMORE STERLING ET</t>
  </si>
  <si>
    <t>CLASH EVE 3</t>
  </si>
  <si>
    <t>CLASH ROCKMAN</t>
  </si>
  <si>
    <t>HOLGBRM000000528281</t>
  </si>
  <si>
    <t>ILENSIDE SKIPPER</t>
  </si>
  <si>
    <t>ROYCEDALE ALLAH ET</t>
  </si>
  <si>
    <t>ILENSIDE LIN SILKIE</t>
  </si>
  <si>
    <t>GEST LINMACK</t>
  </si>
  <si>
    <t>HOLUSAM000002169758</t>
  </si>
  <si>
    <t>JUDGESCHOICE AERO-PROMO</t>
  </si>
  <si>
    <t>JUDGESCHOICE S-W-D SH-VICTORY</t>
  </si>
  <si>
    <t>HOLGBRM000000004586</t>
  </si>
  <si>
    <t>GENUS PINERIDGE ET</t>
  </si>
  <si>
    <t>LEXVOLD BOOKIE POPLAR</t>
  </si>
  <si>
    <t>YARD-O-UTE MILU BOOKIE</t>
  </si>
  <si>
    <t>DFRNLDM000319916009</t>
  </si>
  <si>
    <t>HOLWERDA DI ANGELO</t>
  </si>
  <si>
    <t>HOLWERDA TURBO</t>
  </si>
  <si>
    <t>H JANKE 387</t>
  </si>
  <si>
    <t>HOLWERDA AMAROZ</t>
  </si>
  <si>
    <t>DFRNLDM000214482878</t>
  </si>
  <si>
    <t>LORD 133</t>
  </si>
  <si>
    <t>TRIJNTJE 504</t>
  </si>
  <si>
    <t>LODDER 48</t>
  </si>
  <si>
    <t>JERNZLM000000096448</t>
  </si>
  <si>
    <t>MARSDEN JA SAMSON ET</t>
  </si>
  <si>
    <t>GR JUDDS ADMIRAL</t>
  </si>
  <si>
    <t>MARSDEN WAIUKUS SUZIE ET</t>
  </si>
  <si>
    <t>TINOPAI WAIUKU GR</t>
  </si>
  <si>
    <t>HOLFRAM005991008388</t>
  </si>
  <si>
    <t>GAF STAR</t>
  </si>
  <si>
    <t>CHAFFY</t>
  </si>
  <si>
    <t>MARLU BASIC</t>
  </si>
  <si>
    <t>MONFRAM003992015107</t>
  </si>
  <si>
    <t>HALLALI</t>
  </si>
  <si>
    <t>VASSAL</t>
  </si>
  <si>
    <t>ELEGANTE</t>
  </si>
  <si>
    <t>PAMPERO</t>
  </si>
  <si>
    <t>HOLNZLM000000096274</t>
  </si>
  <si>
    <t>GLENMEAD HAILSTONE</t>
  </si>
  <si>
    <t>XSR</t>
  </si>
  <si>
    <t>ETAZON LABELLE ET</t>
  </si>
  <si>
    <t>GLENMEAD CUR CLAUDIA</t>
  </si>
  <si>
    <t>IMPERIAL C NED BOY CURIOUS</t>
  </si>
  <si>
    <t>JERDNKM000000049641</t>
  </si>
  <si>
    <t>HIGHLAND DUNCAN LESTER</t>
  </si>
  <si>
    <t>TOP BRASS</t>
  </si>
  <si>
    <t>HOLNLDM000315536113</t>
  </si>
  <si>
    <t>FEIKJES PANCHO</t>
  </si>
  <si>
    <t>BEAR PATH FANTASTIC</t>
  </si>
  <si>
    <t>FEIKJE 59 ET</t>
  </si>
  <si>
    <t>MOWRY C CITATION ROCKET</t>
  </si>
  <si>
    <t>HOLNLDM000463744484</t>
  </si>
  <si>
    <t>GALDO</t>
  </si>
  <si>
    <t>ORCHARDKNOLL WALNUDALE BELL</t>
  </si>
  <si>
    <t>WALKWAY CHIEF MARK</t>
  </si>
  <si>
    <t>WOODLANDS JORVIK</t>
  </si>
  <si>
    <t>S</t>
  </si>
  <si>
    <t>HUBERT</t>
  </si>
  <si>
    <t>PIRA</t>
  </si>
  <si>
    <t>GEIST</t>
  </si>
  <si>
    <t>HOLUSAM000002173777</t>
  </si>
  <si>
    <t>F&amp;G ACRES MR MOON</t>
  </si>
  <si>
    <t>F+G ACRES MELODY BELL TROY</t>
  </si>
  <si>
    <t>RIPVALLEY NA BELL TROY ET</t>
  </si>
  <si>
    <t>JERDNKM000000300003</t>
  </si>
  <si>
    <t>FYN LEMVIG</t>
  </si>
  <si>
    <t>SKAERUP HEDE</t>
  </si>
  <si>
    <t>HOLUSAM000002284579</t>
  </si>
  <si>
    <t>GLEN-D-HAVEN KENT SHAQ PI</t>
  </si>
  <si>
    <t>ILG AI BULLS</t>
  </si>
  <si>
    <t>CRESCENTMEAD CLEITUS KENT ET</t>
  </si>
  <si>
    <t>GLEN-D-HAVEN THOR JAMIE PI</t>
  </si>
  <si>
    <t>EXRANCO THOR</t>
  </si>
  <si>
    <t>HOLUSAM000002283503</t>
  </si>
  <si>
    <t>J-MOR ELTON GRANGER ET</t>
  </si>
  <si>
    <t>EMPRISE BELL ELTON</t>
  </si>
  <si>
    <t>KERNDTWAY MASCOT GINA PI</t>
  </si>
  <si>
    <t>JERNZLM000000092417</t>
  </si>
  <si>
    <t>LYNSKEYS DOYLE SJ3</t>
  </si>
  <si>
    <t>WEST LEA LORD TOBY</t>
  </si>
  <si>
    <t>LYNSKEYS SEN SJ2</t>
  </si>
  <si>
    <t>MERIVALE SENATOR</t>
  </si>
  <si>
    <t>HOLITAM002502041517</t>
  </si>
  <si>
    <t>CAMPOGALLO SCHERING TV TL GM *</t>
  </si>
  <si>
    <t>GLEN-TOCTIN SLOCUM</t>
  </si>
  <si>
    <t>SPRING AEROSTAR OMBRA</t>
  </si>
  <si>
    <t>JERDNKM000000048095</t>
  </si>
  <si>
    <t>ODA HAUDAL</t>
  </si>
  <si>
    <t>FYN HAUG</t>
  </si>
  <si>
    <t>FYN DANNY</t>
  </si>
  <si>
    <t>MRYDEUM009010930600</t>
  </si>
  <si>
    <t>LOUIS</t>
  </si>
  <si>
    <t>TONIA 129</t>
  </si>
  <si>
    <t>E-D THOR RED</t>
  </si>
  <si>
    <t>BRFGBRM000000544534</t>
  </si>
  <si>
    <t>CATLANE CAMERON</t>
  </si>
  <si>
    <t>DOUNESIDE AVENGER</t>
  </si>
  <si>
    <t>CATLANE FRIGATE CHRISTINE</t>
  </si>
  <si>
    <t>LAVENHAM FRIGATE</t>
  </si>
  <si>
    <t>BRFGBRM000000588272</t>
  </si>
  <si>
    <t>CATLANE CHEDDAR</t>
  </si>
  <si>
    <t>HOLLSMEAD TOPKJES ADEMA</t>
  </si>
  <si>
    <t>CATLANE AVENGER CHRISTINE 2</t>
  </si>
  <si>
    <t>HOLNLDM000277688592</t>
  </si>
  <si>
    <t>IEMENHOF HYAZINTE</t>
  </si>
  <si>
    <t>MAR-BIL OSCAR GLENWOOD-ET</t>
  </si>
  <si>
    <t>HENKESEEN RUD HYACINTH ET</t>
  </si>
  <si>
    <t>STARTMORE RUDOLPH ET</t>
  </si>
  <si>
    <t>MRYNLDM000959642186</t>
  </si>
  <si>
    <t>RODUS 15</t>
  </si>
  <si>
    <t>ABRAHAM</t>
  </si>
  <si>
    <t>IVONNE 1</t>
  </si>
  <si>
    <t>BETSIE S ELIAS</t>
  </si>
  <si>
    <t>HOLNLDM000320608256</t>
  </si>
  <si>
    <t>DELTA LOVELETTER</t>
  </si>
  <si>
    <t>DELTA GERMINA</t>
  </si>
  <si>
    <t>HOLGBRM000000537274</t>
  </si>
  <si>
    <t>WILOWNA ECHO ET</t>
  </si>
  <si>
    <t>FOXHOLE PANATELLA</t>
  </si>
  <si>
    <t>WILOWNA EMBLEM 44</t>
  </si>
  <si>
    <t>MMB LINMACK</t>
  </si>
  <si>
    <t>HOLNLDM000838620915</t>
  </si>
  <si>
    <t>MARS HILTON</t>
  </si>
  <si>
    <t>CAROUSEL AMOS</t>
  </si>
  <si>
    <t>SJOUKJE 117</t>
  </si>
  <si>
    <t>HOLCANM000005319769</t>
  </si>
  <si>
    <t>COMESTAR LEADER ET</t>
  </si>
  <si>
    <t>COMESTAR LAURIE SHEIK ET</t>
  </si>
  <si>
    <t>SKOKIE GLAMOUR BOY</t>
  </si>
  <si>
    <t>HOLGBRM000000529225</t>
  </si>
  <si>
    <t>CLASH ROLLING STONE</t>
  </si>
  <si>
    <t>A ROLLING LAWNS GABRIEL</t>
  </si>
  <si>
    <t>CLASH TERRY 7</t>
  </si>
  <si>
    <t>SCOTTISH SOVEREIGN STAR</t>
  </si>
  <si>
    <t>HOLCANM000000393981</t>
  </si>
  <si>
    <t>CEDARWAL CANDIDATE ET</t>
  </si>
  <si>
    <t>CEDARWAL ARLINDA CHERRY</t>
  </si>
  <si>
    <t>GLENDELL ARLINDA CHIEF</t>
  </si>
  <si>
    <t>HOLNLDM000228956781</t>
  </si>
  <si>
    <t>VENERIETE</t>
  </si>
  <si>
    <t>VENERIETE MASCOT SHERESE</t>
  </si>
  <si>
    <t>HOLNLDM000147507097</t>
  </si>
  <si>
    <t>VELDSTAR SERGE</t>
  </si>
  <si>
    <t>VELDSTAR ETAZON SAMARA</t>
  </si>
  <si>
    <t>HOLNLDM000835370149</t>
  </si>
  <si>
    <t>SUPERSIRES ASCORT</t>
  </si>
  <si>
    <t>HIGHSIGHTS CL LANA</t>
  </si>
  <si>
    <t>HOLGBRM000000003719</t>
  </si>
  <si>
    <t>AVONDALE VOLTAGE ET</t>
  </si>
  <si>
    <t>A S-S-HANOVER VALAIS ET</t>
  </si>
  <si>
    <t>AVONDALE BARON MONOGRAM 2</t>
  </si>
  <si>
    <t>WENRON BARON</t>
  </si>
  <si>
    <t>HOLNLDM000225588884</t>
  </si>
  <si>
    <t>HIBMA ROLANDO</t>
  </si>
  <si>
    <t>NEWHOUSE RONALD</t>
  </si>
  <si>
    <t>HIBMA CORRY 466</t>
  </si>
  <si>
    <t>HOLITAM001307037700</t>
  </si>
  <si>
    <t>DEL SANTO C.M.CALLISTO G.M. **</t>
  </si>
  <si>
    <t>DEL SANTO TRADITION</t>
  </si>
  <si>
    <t>SWEET-HAVEN TRADITION</t>
  </si>
  <si>
    <t>HOLUSAM000002078290</t>
  </si>
  <si>
    <t>SINGING-BROOK BENCHMARK-ET</t>
  </si>
  <si>
    <t>PACLAMAR MARIETTA BOWS</t>
  </si>
  <si>
    <t>ROCKALLI SON OF BOVA-ET</t>
  </si>
  <si>
    <t>HOLNLDM000119352414</t>
  </si>
  <si>
    <t>STIER LILLYS MOUNTAIN</t>
  </si>
  <si>
    <t>HIGH-SIGHTS ROTATE LILY-ET</t>
  </si>
  <si>
    <t>HOLNLDM000510965923</t>
  </si>
  <si>
    <t>ETAZON DIAMOND</t>
  </si>
  <si>
    <t>PINTA-LANE CONDUCTOR JASON</t>
  </si>
  <si>
    <t>SATELLITE VALIANT DORA</t>
  </si>
  <si>
    <t>HOLFRAM004489040072</t>
  </si>
  <si>
    <t>ESSAI CLEI</t>
  </si>
  <si>
    <t>DIX-JIM CHAIRMAN BESS B C</t>
  </si>
  <si>
    <t>CAL-CLARK BOARD CHAIRMAN</t>
  </si>
  <si>
    <t>HOLUSAM000002152960</t>
  </si>
  <si>
    <t>IMPERIALC CUBY COURTESY</t>
  </si>
  <si>
    <t>OSDEL-ENDEAVOR BOVA CUBBY</t>
  </si>
  <si>
    <t>IMPERIALC CLEIT CARMEN</t>
  </si>
  <si>
    <t>HOLNLDM000864021144</t>
  </si>
  <si>
    <t>HOLSTIENS SALOMO C.A.</t>
  </si>
  <si>
    <t>H-STIENS S 59</t>
  </si>
  <si>
    <t>BRFGBRM000000536707</t>
  </si>
  <si>
    <t>LAKELODGE DECLAN 2</t>
  </si>
  <si>
    <t>BARRYROE DECLAN 2</t>
  </si>
  <si>
    <t>ARDAROSTIG DAZZLE 5</t>
  </si>
  <si>
    <t>PETTERIL BRANDY</t>
  </si>
  <si>
    <t>HOLFRAM002994001149</t>
  </si>
  <si>
    <t>JUMPING</t>
  </si>
  <si>
    <t>NORRIELAKE CLEITUS LUKE-TW</t>
  </si>
  <si>
    <t>GLORIA</t>
  </si>
  <si>
    <t>HOLUSAM000002278366</t>
  </si>
  <si>
    <t>TOWNSON JED REGGIE ET</t>
  </si>
  <si>
    <t>JUNIPER ROTATE JED ET</t>
  </si>
  <si>
    <t>BASSETTS LINDY REASIE ET</t>
  </si>
  <si>
    <t>BRFGBRM000000598752</t>
  </si>
  <si>
    <t>CLONEY GOLD CLARET 2</t>
  </si>
  <si>
    <t>CATLANE CLARET</t>
  </si>
  <si>
    <t>CLONEY NORMA BELLE</t>
  </si>
  <si>
    <t>FINTALEX NORMAN</t>
  </si>
  <si>
    <t>NMDFRAM006188019471</t>
  </si>
  <si>
    <t>FRAN DELGADO</t>
  </si>
  <si>
    <t>SAHARA</t>
  </si>
  <si>
    <t>FRAN UNITE</t>
  </si>
  <si>
    <t>FRAN IGUATU</t>
  </si>
  <si>
    <t>MONFRAM002589008782</t>
  </si>
  <si>
    <t>ELECTRO</t>
  </si>
  <si>
    <t>RHUM</t>
  </si>
  <si>
    <t>VENDEE</t>
  </si>
  <si>
    <t>NEWLOOK</t>
  </si>
  <si>
    <t>NMDFRAM008591024507</t>
  </si>
  <si>
    <t>GOUACHE</t>
  </si>
  <si>
    <t>FRAN VODENA</t>
  </si>
  <si>
    <t>FRAN TIGRESS</t>
  </si>
  <si>
    <t>FRAN IALATO</t>
  </si>
  <si>
    <t>HOLUSAM000002190435</t>
  </si>
  <si>
    <t>JEFFANA AEROSTAR APOLLO</t>
  </si>
  <si>
    <t>HEILDALE ANN BELL</t>
  </si>
  <si>
    <t>CARLIN-M IVANHOE BELL</t>
  </si>
  <si>
    <t>JERDNKM000000047467</t>
  </si>
  <si>
    <t>JAS VARNA</t>
  </si>
  <si>
    <t>FYN KVAST</t>
  </si>
  <si>
    <t>DANISH</t>
  </si>
  <si>
    <t>SDJ GOKKE</t>
  </si>
  <si>
    <t>HOLDEUM002261530135</t>
  </si>
  <si>
    <t>MANAT</t>
  </si>
  <si>
    <t>LUTZ-MEADOWS E MANDEL-ET</t>
  </si>
  <si>
    <t>IMPERIAL SPLENDORS STYLE</t>
  </si>
  <si>
    <t>LUTZ-BROOKVIEW BELL REX-ET</t>
  </si>
  <si>
    <t>HOLITAM001119012195</t>
  </si>
  <si>
    <t>ZICOSTAR TL TV</t>
  </si>
  <si>
    <t>STAR</t>
  </si>
  <si>
    <t>HOLNLDM000706584914</t>
  </si>
  <si>
    <t>WOUDHOEVE 797</t>
  </si>
  <si>
    <t>AGATHA</t>
  </si>
  <si>
    <t>THONYMA SECRET</t>
  </si>
  <si>
    <t>EIX</t>
  </si>
  <si>
    <t>HOLFRAM005189005793</t>
  </si>
  <si>
    <t>BRANSDALE VALIANT QUINCE ET</t>
  </si>
  <si>
    <t>HOLGBRM000000584035</t>
  </si>
  <si>
    <t>CRADENHILL E DEMON ET</t>
  </si>
  <si>
    <t>T98</t>
  </si>
  <si>
    <t>LA PRESENTATION LAZER</t>
  </si>
  <si>
    <t>AQUILA MASCOT DESDEMONA ET</t>
  </si>
  <si>
    <t>HOLNLDM000318171986</t>
  </si>
  <si>
    <t>DELTA SECRET KARLSTAD</t>
  </si>
  <si>
    <t>BRIDGES BELL MARIE STEPHANIE</t>
  </si>
  <si>
    <t>BRFGBRM000000614126</t>
  </si>
  <si>
    <t>DUNUM CAPAN 12</t>
  </si>
  <si>
    <t>DOVEA CAPAN 76</t>
  </si>
  <si>
    <t>DUNUM SNEACTA 32</t>
  </si>
  <si>
    <t>HUDDLESFORD DORAMAN</t>
  </si>
  <si>
    <t>HOLGBRM000000570999</t>
  </si>
  <si>
    <t>CRADENHILL T ROBIN ET</t>
  </si>
  <si>
    <t>EMERALD-ACRES-SA TONIC-ET</t>
  </si>
  <si>
    <t>DANVILLE ROBIN BLACKSTAR ET</t>
  </si>
  <si>
    <t>HOLCANM000005425054</t>
  </si>
  <si>
    <t>MEADOW BRIDGE MEGABUCK ET</t>
  </si>
  <si>
    <t>SEMEN WORLD AI BULLS</t>
  </si>
  <si>
    <t>MEADOW BRIDGE MISCHIEF ET</t>
  </si>
  <si>
    <t>HOLNLDM000184354663</t>
  </si>
  <si>
    <t>TOPSPEED JORDAN</t>
  </si>
  <si>
    <t>GIBBON</t>
  </si>
  <si>
    <t>DELTA IOLA</t>
  </si>
  <si>
    <t>EASTLAND CASH</t>
  </si>
  <si>
    <t>HOLDEUM001021098657</t>
  </si>
  <si>
    <t>BONATUS</t>
  </si>
  <si>
    <t>HOLGBRM000000003718</t>
  </si>
  <si>
    <t>AVONDALE DOUGLAS ET</t>
  </si>
  <si>
    <t>RONBETH UNIQUE DOROTHY</t>
  </si>
  <si>
    <t>AGRO ACRES UNIQUE</t>
  </si>
  <si>
    <t>MONFRAM003993005578</t>
  </si>
  <si>
    <t>INVINCIBLE</t>
  </si>
  <si>
    <t>AURORE BOR</t>
  </si>
  <si>
    <t>MARTIEN</t>
  </si>
  <si>
    <t>HOLNLDM000823316643</t>
  </si>
  <si>
    <t>ETAZON OLEG</t>
  </si>
  <si>
    <t>HIGH-SIGHTS CLEI LEILANI-ET</t>
  </si>
  <si>
    <t>HOLCANM000000391661</t>
  </si>
  <si>
    <t>DONNANDALE SKYCHIEF ET</t>
  </si>
  <si>
    <t>WONDERLAND SHEIK PAM</t>
  </si>
  <si>
    <t>HOLNLDM000777434572</t>
  </si>
  <si>
    <t>NEWHOUSE SJOERD</t>
  </si>
  <si>
    <t>NEWHOUSE INGRID 66 TL</t>
  </si>
  <si>
    <t>HOLUSAM000002188272</t>
  </si>
  <si>
    <t>KEMVIEW VANETAS VISION</t>
  </si>
  <si>
    <t>KEMVIEW BLAKSTAR VANETA ET</t>
  </si>
  <si>
    <t>HOLDEUM001002493178</t>
  </si>
  <si>
    <t>DOVEA GUNDOLF</t>
  </si>
  <si>
    <t>MILEY SEXATION NUGGET GUNNAR</t>
  </si>
  <si>
    <t>ALMUTH</t>
  </si>
  <si>
    <t>COUNTRY HOME ASTRO KING</t>
  </si>
  <si>
    <t>HOLCANM000000394009</t>
  </si>
  <si>
    <t>BOND HAVEN LANCER</t>
  </si>
  <si>
    <t>A TORA MATT LANCER</t>
  </si>
  <si>
    <t>A MIL-R-MOR ROXETTE</t>
  </si>
  <si>
    <t>ROUND OAK RAG APPLE ELEVATION</t>
  </si>
  <si>
    <t>JERUSAM000000660827</t>
  </si>
  <si>
    <t>WOLF RIVER BERRETTA BLACKHAWK</t>
  </si>
  <si>
    <t>MASON BOOMER SOONER BARRETTA</t>
  </si>
  <si>
    <t>HIGHLAND ROYAL D CANDY</t>
  </si>
  <si>
    <t>J.S. QUICKSILVER ROYAL</t>
  </si>
  <si>
    <t>HOLNZLM000000096329</t>
  </si>
  <si>
    <t>SRB COLLINS ROYAL HUGO</t>
  </si>
  <si>
    <t>BARTONS BICKFORD</t>
  </si>
  <si>
    <t>COLLINS STORM HEATHER</t>
  </si>
  <si>
    <t>SR NICHOLASS STORM</t>
  </si>
  <si>
    <t>HOLFRAM006293021462</t>
  </si>
  <si>
    <t>ILIUS</t>
  </si>
  <si>
    <t>LYLEHAVEN AMBITION-ET</t>
  </si>
  <si>
    <t>GAEROTATE</t>
  </si>
  <si>
    <t>HOLNLDM000784342509</t>
  </si>
  <si>
    <t>HEIWEIDE COMMANDEUR 125</t>
  </si>
  <si>
    <t>ALMERE CONNY</t>
  </si>
  <si>
    <t>HOLUSAM000002014879</t>
  </si>
  <si>
    <t>CONANTACRESJY -CW ABE</t>
  </si>
  <si>
    <t>JUNIPER-MIST ARLINDA AMANDA</t>
  </si>
  <si>
    <t>PAWNEE FARM ARLINDA CHIEF</t>
  </si>
  <si>
    <t>HOLUSAM000002139811</t>
  </si>
  <si>
    <t>FUSTEAD BLACKSTAR CHAMP ET</t>
  </si>
  <si>
    <t>SKY-M BELL CHARLEMAGNE</t>
  </si>
  <si>
    <t>HOLGBRM000000563747</t>
  </si>
  <si>
    <t>MOET FLIRT FREEMAN ET</t>
  </si>
  <si>
    <t>MOET SOUTHWIND FLIRT C ET</t>
  </si>
  <si>
    <t>HOLNLDM000111116393</t>
  </si>
  <si>
    <t>DELTA HERALD</t>
  </si>
  <si>
    <t>ET.MAONTRAY TL</t>
  </si>
  <si>
    <t>HOLGBRM000000527469</t>
  </si>
  <si>
    <t>LISDUFF LIBERATOR ET</t>
  </si>
  <si>
    <t>LISDUFF BEATRIX 2</t>
  </si>
  <si>
    <t>KNOCKANROE JACOBITE</t>
  </si>
  <si>
    <t>HOLGBRM000000543501</t>
  </si>
  <si>
    <t>BIDLEA VALET ET</t>
  </si>
  <si>
    <t>BIDLEA SALADIN 104</t>
  </si>
  <si>
    <t>GORNAL PEGASUS</t>
  </si>
  <si>
    <t>HOLUSAM000002070579</t>
  </si>
  <si>
    <t>LEKKER VALIANT ROYALTY</t>
  </si>
  <si>
    <t>BIS-MAY CHAIRMAN MERRI</t>
  </si>
  <si>
    <t>BRFGBRM000000515069</t>
  </si>
  <si>
    <t>BOULABANE MINOTAUR 2</t>
  </si>
  <si>
    <t>LAVENHAM MINOTAUR</t>
  </si>
  <si>
    <t>BOULABANE BUTTERCUP 6</t>
  </si>
  <si>
    <t>CHURCHWELL CANBERRA</t>
  </si>
  <si>
    <t>HOLNLDM000289561096</t>
  </si>
  <si>
    <t>SOUTHLAND BRIGE</t>
  </si>
  <si>
    <t>RICECREST BRETT ET</t>
  </si>
  <si>
    <t>SOUTHLAND BELLE 3</t>
  </si>
  <si>
    <t>DELTA LARGO</t>
  </si>
  <si>
    <t>HOLITAM003604039709</t>
  </si>
  <si>
    <t>ALZI JUR.FORD TV TM TL G.M.***</t>
  </si>
  <si>
    <t>KED JUROR ET</t>
  </si>
  <si>
    <t>ALZI SOUTHWIND CARLA</t>
  </si>
  <si>
    <t>HOLUSAM000017131025</t>
  </si>
  <si>
    <t>WELCOME GARTER-ET</t>
  </si>
  <si>
    <t>RICKLAND LABAN PROJECTOR</t>
  </si>
  <si>
    <t>WELCOME MOUNTAIN GALE ET</t>
  </si>
  <si>
    <t>HOLIRLM221106250669</t>
  </si>
  <si>
    <t>REARY PUREDROP</t>
  </si>
  <si>
    <t>DOVEA SEM</t>
  </si>
  <si>
    <t>DOVEA PRIMROSE 2 ET</t>
  </si>
  <si>
    <t>HOLGBRM000000530413</t>
  </si>
  <si>
    <t>SNIPEVALE JUNIPER</t>
  </si>
  <si>
    <t>MAYBAR JUNIPER</t>
  </si>
  <si>
    <t>SNIPEVALE ROSE 10</t>
  </si>
  <si>
    <t>JANECK ECONOMIST</t>
  </si>
  <si>
    <t>HOLNLDM000195677711</t>
  </si>
  <si>
    <t>VEELUST DANNY</t>
  </si>
  <si>
    <t>PEN-COL DUSTER-ET</t>
  </si>
  <si>
    <t>ANKERIDGE K MT BOBBIE ET</t>
  </si>
  <si>
    <t>HOLGBRM000000585940</t>
  </si>
  <si>
    <t>BALL MICA HERCULES ET</t>
  </si>
  <si>
    <t>CMV MICA-ET</t>
  </si>
  <si>
    <t>COOKS-VALLEY CUR BELINDA-ET</t>
  </si>
  <si>
    <t>BRFGBRM000000527403</t>
  </si>
  <si>
    <t>GORNAL BARNEY</t>
  </si>
  <si>
    <t>GORNAL BREEZE 52</t>
  </si>
  <si>
    <t>HOLITAM000802016745</t>
  </si>
  <si>
    <t>S.FERMO AEROSTAR RAVEN G.M.***</t>
  </si>
  <si>
    <t>CYTISE</t>
  </si>
  <si>
    <t>HOLFRAM004491011536</t>
  </si>
  <si>
    <t>GRATIN SOUTH</t>
  </si>
  <si>
    <t>CORNEMUSE</t>
  </si>
  <si>
    <t>HOLFRAM004296010711</t>
  </si>
  <si>
    <t>MAESTRO</t>
  </si>
  <si>
    <t>IRMA</t>
  </si>
  <si>
    <t>HOLDEUM001020773542</t>
  </si>
  <si>
    <t>MILKBOARD BELL</t>
  </si>
  <si>
    <t>SILFA</t>
  </si>
  <si>
    <t>HOLCANM000005011825</t>
  </si>
  <si>
    <t>SHOREMAR SELKIRK ET</t>
  </si>
  <si>
    <t>A HILLTOP HANOVER-K SASSY</t>
  </si>
  <si>
    <t>HOLNLDM000170907220</t>
  </si>
  <si>
    <t>FREULES FEE TWIN</t>
  </si>
  <si>
    <t>ET VALERIAN</t>
  </si>
  <si>
    <t>HOLGBRM000000534598</t>
  </si>
  <si>
    <t>HAMPSHIRE NB HERCULES</t>
  </si>
  <si>
    <t>HENJA 53</t>
  </si>
  <si>
    <t>NO-NA-ME FOND MATT</t>
  </si>
  <si>
    <t>HOLNLDM000835818579</t>
  </si>
  <si>
    <t>GALTEE HORNEZATHE 106</t>
  </si>
  <si>
    <t>ALEXIS</t>
  </si>
  <si>
    <t>HOLCANM000000398853</t>
  </si>
  <si>
    <t>MMB BROWNRED ELEVATION</t>
  </si>
  <si>
    <t>AGRO ACRES MARQUIS NED</t>
  </si>
  <si>
    <t>BSWIRLM000000000BVY</t>
  </si>
  <si>
    <t>BETTA VUE EMORY PRELUDE ET</t>
  </si>
  <si>
    <t>BS</t>
  </si>
  <si>
    <t>VICTORY ACRES JUBILATION EMORY</t>
  </si>
  <si>
    <t>TOP ACRES COMBO PAULA</t>
  </si>
  <si>
    <t>B.V.COMBINATION</t>
  </si>
  <si>
    <t>HOLITAM061051012057</t>
  </si>
  <si>
    <t>VANZETTI V. RAUL ET TL TV G.M.</t>
  </si>
  <si>
    <t>CESAR MASC.VALENTEIN ET G.M.*</t>
  </si>
  <si>
    <t>VANZETTI FATAL XAGELLA ET TL</t>
  </si>
  <si>
    <t>HOLNZLM000000103502</t>
  </si>
  <si>
    <t>SRC ASHDALE CRH HINGIS</t>
  </si>
  <si>
    <t>ASHDALE APOLLO HOLIM</t>
  </si>
  <si>
    <t>HOLIM APOLLO</t>
  </si>
  <si>
    <t>HOLGBRM000000554744</t>
  </si>
  <si>
    <t>EVERGRANGE ARKLE</t>
  </si>
  <si>
    <t>HANOVERHILL SKYBUCK</t>
  </si>
  <si>
    <t>EVERGRANGE AVERIL 6</t>
  </si>
  <si>
    <t>BRYNHYFRYD CASCADE</t>
  </si>
  <si>
    <t>HOLCANM000000397763</t>
  </si>
  <si>
    <t>HALDREY LEADERSHIP</t>
  </si>
  <si>
    <t>HANOVER-HILL INSPIRATION</t>
  </si>
  <si>
    <t>HALDREY SHEIK NANCY</t>
  </si>
  <si>
    <t>HOLUSAM000002145230</t>
  </si>
  <si>
    <t>LONDONDALE SWIND MAJOR</t>
  </si>
  <si>
    <t>LONDONDALE MARK MELISSA</t>
  </si>
  <si>
    <t>HOLUSAM000002110205</t>
  </si>
  <si>
    <t>JUNIPER SECRET OHIO ET</t>
  </si>
  <si>
    <t>CAN-AN-BO-PAT S-W-D OREO</t>
  </si>
  <si>
    <t>HOLGBRM000000582093</t>
  </si>
  <si>
    <t>PICSTON SHAKER</t>
  </si>
  <si>
    <t>DOMBINATOR</t>
  </si>
  <si>
    <t>CONDON AERO SHARON</t>
  </si>
  <si>
    <t>HOLUSAM000002292215</t>
  </si>
  <si>
    <t>GLEN-TOCTIN JUROR BETA ET</t>
  </si>
  <si>
    <t>GLEN-TOCTIN LEAD BRESHA ET</t>
  </si>
  <si>
    <t>HOLGBRM000000587917</t>
  </si>
  <si>
    <t>CRADENHILL HIGHTON ET</t>
  </si>
  <si>
    <t>CRADENHILL HULOTTE 35</t>
  </si>
  <si>
    <t>HOLGBRM000000558826</t>
  </si>
  <si>
    <t>MONAMORE POWERPACK ET</t>
  </si>
  <si>
    <t>CHARITY</t>
  </si>
  <si>
    <t>HOLFRAM005993009001</t>
  </si>
  <si>
    <t>IVANOVO</t>
  </si>
  <si>
    <t>BLUFF</t>
  </si>
  <si>
    <t>CHEFTAIN</t>
  </si>
  <si>
    <t>HOLNLDM000170872245</t>
  </si>
  <si>
    <t>JENNO</t>
  </si>
  <si>
    <t>JENNIE HGF</t>
  </si>
  <si>
    <t>SILO</t>
  </si>
  <si>
    <t>ALFI</t>
  </si>
  <si>
    <t>KORNBLUME</t>
  </si>
  <si>
    <t>CALLUNO</t>
  </si>
  <si>
    <t>HOLFRAM004488040187</t>
  </si>
  <si>
    <t>DEVERS CLE</t>
  </si>
  <si>
    <t>HOLUSAM000002129913</t>
  </si>
  <si>
    <t>RENOWN FACTOR ET</t>
  </si>
  <si>
    <t>RENOWN ENHANCER TINSEL-RED ET</t>
  </si>
  <si>
    <t>HOLNLDM000191921582</t>
  </si>
  <si>
    <t>PROGRESSIVE CAMIFA</t>
  </si>
  <si>
    <t>CAMI</t>
  </si>
  <si>
    <t>LA-POE K HARDTAC-ET</t>
  </si>
  <si>
    <t>HOLFRAM005190001821</t>
  </si>
  <si>
    <t>FUSSY</t>
  </si>
  <si>
    <t>BRANSDALE KB QUINN ET</t>
  </si>
  <si>
    <t>DEN-K KIRK BOY</t>
  </si>
  <si>
    <t>HOLNLDM000247769571</t>
  </si>
  <si>
    <t>QG LINCOLN ET</t>
  </si>
  <si>
    <t>FRANKENHOF LUCKY LEO</t>
  </si>
  <si>
    <t>QG LUKE OVAL</t>
  </si>
  <si>
    <t>HOLCANM000000389572</t>
  </si>
  <si>
    <t>ROYBROOK VINTAGE ET</t>
  </si>
  <si>
    <t>A CLINTON-CAMP MAJESTY</t>
  </si>
  <si>
    <t>ROYBROOK VALE</t>
  </si>
  <si>
    <t>ROYBROOK STARLITE</t>
  </si>
  <si>
    <t>HOLNLDM000164318098</t>
  </si>
  <si>
    <t>JOYCE MOUNTAIN</t>
  </si>
  <si>
    <t>COGENT AI BULLS</t>
  </si>
  <si>
    <t>DIRIGO-LEBLANC JOYCE-ET</t>
  </si>
  <si>
    <t>HOLGBRM000000602221</t>
  </si>
  <si>
    <t>REARY ROCK</t>
  </si>
  <si>
    <t>T02</t>
  </si>
  <si>
    <t>CATLANE MARTELL</t>
  </si>
  <si>
    <t>HOLUSAM000017064727</t>
  </si>
  <si>
    <t>ROYLANE JORDAN-ET</t>
  </si>
  <si>
    <t>FIRDELL AEROSTAR BABETTE PI ET</t>
  </si>
  <si>
    <t>HOLGBRM000000586314</t>
  </si>
  <si>
    <t>DOVEA LOWRY</t>
  </si>
  <si>
    <t>BIDLEA KLAUS CAS 2 ET</t>
  </si>
  <si>
    <t>VE KLAUS</t>
  </si>
  <si>
    <t>HOLGBRM000000597316</t>
  </si>
  <si>
    <t>FLATBUSH EBONY BUZZ</t>
  </si>
  <si>
    <t>HOLIM BOUDEWIJN</t>
  </si>
  <si>
    <t>BREAFFY EBONY JANE</t>
  </si>
  <si>
    <t>HOLUSAM000017011697</t>
  </si>
  <si>
    <t>SANDY-VALLEY FORBIDDEN-ET</t>
  </si>
  <si>
    <t>MJR BLACKSTAR EMORY ET</t>
  </si>
  <si>
    <t>SANDY VALLEY MASCOT FRAN PI ET</t>
  </si>
  <si>
    <t>HOLGBRM000000585260</t>
  </si>
  <si>
    <t>DOVEA BARLEE</t>
  </si>
  <si>
    <t>BIDLEA CASTELLA 4 ET</t>
  </si>
  <si>
    <t>RUWAN 106</t>
  </si>
  <si>
    <t>ROB</t>
  </si>
  <si>
    <t>LENA 42</t>
  </si>
  <si>
    <t>LEENDERT</t>
  </si>
  <si>
    <t>HOLDEUM001020540112</t>
  </si>
  <si>
    <t>NORDKAP</t>
  </si>
  <si>
    <t>LEILE</t>
  </si>
  <si>
    <t>HOLNLDM000259261180</t>
  </si>
  <si>
    <t>MOLENVLIET ANDRE AGASSI</t>
  </si>
  <si>
    <t>MOLENVLIET GLENDA</t>
  </si>
  <si>
    <t>HOLNLDM000265481927</t>
  </si>
  <si>
    <t>QG GREAT FULL</t>
  </si>
  <si>
    <t>T01</t>
  </si>
  <si>
    <t>GRIETJE GRIETJE 80</t>
  </si>
  <si>
    <t>ESQUIMAU</t>
  </si>
  <si>
    <t>HOLGBRM000000518415</t>
  </si>
  <si>
    <t>BALDONNEL DARK BARON</t>
  </si>
  <si>
    <t>BARBICAN SAUTERN DARKIE 2</t>
  </si>
  <si>
    <t>SHARCOMBE SAUTERN</t>
  </si>
  <si>
    <t>HOLUSAM000017103268</t>
  </si>
  <si>
    <t>TOWERVIEW ACRES TALISMAN</t>
  </si>
  <si>
    <t>ROBTHOM INTEGRITY ET</t>
  </si>
  <si>
    <t>PAIRADREAMERS MCOT TEE</t>
  </si>
  <si>
    <t>BRFGBRM000000588056</t>
  </si>
  <si>
    <t>CATLANE MARKER</t>
  </si>
  <si>
    <t>CATLANE PANATELLA MARINA 2 ET</t>
  </si>
  <si>
    <t>MONFRAM004996029723</t>
  </si>
  <si>
    <t>MERCI</t>
  </si>
  <si>
    <t>EMAGNY</t>
  </si>
  <si>
    <t>INFAME</t>
  </si>
  <si>
    <t>HOLNLDM000118821797</t>
  </si>
  <si>
    <t>SHINAGH ETTON</t>
  </si>
  <si>
    <t>MASCOT ETTA</t>
  </si>
  <si>
    <t>HOLFRAM005596060047</t>
  </si>
  <si>
    <t>FATASI</t>
  </si>
  <si>
    <t>FREGATE</t>
  </si>
  <si>
    <t>HOLIRLM261011070361</t>
  </si>
  <si>
    <t>TUBBERTOBY MWELL RAVE ET</t>
  </si>
  <si>
    <t>MARKWELL BSTAR E RAVEN ET</t>
  </si>
  <si>
    <t>HOLIRLM151289350624</t>
  </si>
  <si>
    <t>BAWNCROSS EXCELLENCY 3</t>
  </si>
  <si>
    <t>LLOYDS EXCELLENCY</t>
  </si>
  <si>
    <t>BAWNCROSS AGNES 908</t>
  </si>
  <si>
    <t>GALTEE MERCI ET</t>
  </si>
  <si>
    <t>RDCDNKM000000034842</t>
  </si>
  <si>
    <t>FYN NAUR</t>
  </si>
  <si>
    <t>DENMARK</t>
  </si>
  <si>
    <t>MR HURL-THREE MOMENTUM-RED-ET</t>
  </si>
  <si>
    <t>KA WA WESTLEY</t>
  </si>
  <si>
    <t>RDCNORM000000005267</t>
  </si>
  <si>
    <t>FUGLEM</t>
  </si>
  <si>
    <t>Y.NÆRLAND</t>
  </si>
  <si>
    <t>PIA</t>
  </si>
  <si>
    <t>J.EIDEM</t>
  </si>
  <si>
    <t>JERNZLM000000664159</t>
  </si>
  <si>
    <t>PHILSAN BERR KURATHERS</t>
  </si>
  <si>
    <t>PHILSAN ALFS KATHRYN</t>
  </si>
  <si>
    <t>COMFORT ROYAL ALF - ET</t>
  </si>
  <si>
    <t>NMDFRAM005394073601</t>
  </si>
  <si>
    <t>JOACHIM</t>
  </si>
  <si>
    <t>HAITIENNE</t>
  </si>
  <si>
    <t>ARMENIA</t>
  </si>
  <si>
    <t>HOLITAM001120042608</t>
  </si>
  <si>
    <t>ALFRAG JUROR KENDALL ET TL TV</t>
  </si>
  <si>
    <t>BROEKS JOCELIENS TESKA</t>
  </si>
  <si>
    <t>RDCGBRM000006180725</t>
  </si>
  <si>
    <t>RAVENHILL ENTERPRISE</t>
  </si>
  <si>
    <t>AY</t>
  </si>
  <si>
    <t>T03</t>
  </si>
  <si>
    <t>BALLYCLAN MILK MACHINE</t>
  </si>
  <si>
    <t>RAVENHILL ETHEL 204</t>
  </si>
  <si>
    <t>BANKEND LORD ONTARIO</t>
  </si>
  <si>
    <t>HOLUSAM000133495272</t>
  </si>
  <si>
    <t>MR PARADISE PERFORMANCE</t>
  </si>
  <si>
    <t>MARCREST ENCORE *TL</t>
  </si>
  <si>
    <t>VANDYK-K INTEGRITY PARADISE</t>
  </si>
  <si>
    <t>JERNZLM000000099407</t>
  </si>
  <si>
    <t>CRESCENT ACE OF SPADES</t>
  </si>
  <si>
    <t>PASPALUM PERCYS ACE</t>
  </si>
  <si>
    <t>CRESCENT BRB SHARLA</t>
  </si>
  <si>
    <t>BUSH RIVER BRIGADIER-ET</t>
  </si>
  <si>
    <t>HOLDEUM001021082412</t>
  </si>
  <si>
    <t>JOCHEN</t>
  </si>
  <si>
    <t>MEADOLAKE JUBILANT ET</t>
  </si>
  <si>
    <t>ROSI 42</t>
  </si>
  <si>
    <t>HOLNLDM000171244825</t>
  </si>
  <si>
    <t>Q G LISTER</t>
  </si>
  <si>
    <t>INASTAR ODYSSEY</t>
  </si>
  <si>
    <t>HOLFRAM004489040323</t>
  </si>
  <si>
    <t>ENJOY ROTA</t>
  </si>
  <si>
    <t>MARY BELLE</t>
  </si>
  <si>
    <t>HOLNZLM000000100015</t>
  </si>
  <si>
    <t>SRC BAYLISS SOLIDS GOLD</t>
  </si>
  <si>
    <t>DALMORE P K KAI-ET</t>
  </si>
  <si>
    <t>SRB BAYLISS BEAUTY</t>
  </si>
  <si>
    <t>SRD DAWSONS BELVEDERE</t>
  </si>
  <si>
    <t>HOLNZLM000000100098</t>
  </si>
  <si>
    <t>KOTUKU HB PADDY</t>
  </si>
  <si>
    <t>KOTUKU CNB PAULINA</t>
  </si>
  <si>
    <t>HOLNZLM000000098251</t>
  </si>
  <si>
    <t>SRC SHARPS SLICK KNIFE</t>
  </si>
  <si>
    <t>WELBURN A V HERMES</t>
  </si>
  <si>
    <t>SRB SHARPES WALESA KURA</t>
  </si>
  <si>
    <t>KINGSMILL P A WALESA</t>
  </si>
  <si>
    <t>HOLNZLM000000098303</t>
  </si>
  <si>
    <t>SRC MACKENZIES KINLOCH</t>
  </si>
  <si>
    <t>BOSSIR BIG AL LOU RAHLS</t>
  </si>
  <si>
    <t>MACKENZIES CUR KINA</t>
  </si>
  <si>
    <t>HOLGBRM000000593394</t>
  </si>
  <si>
    <t>MOET MINTON</t>
  </si>
  <si>
    <t>ZANDENBURGER ROYAL</t>
  </si>
  <si>
    <t>MOET BELLWOOD MARISSA A</t>
  </si>
  <si>
    <t>MAIZEFIELD BELLWOOD ET</t>
  </si>
  <si>
    <t>HOLNLDM000325792655</t>
  </si>
  <si>
    <t>MÃ¿HOEVE NIVEAU</t>
  </si>
  <si>
    <t>DIXELLEN DESIGN ET</t>
  </si>
  <si>
    <t>MÃ¿HOEVE SONNI 84</t>
  </si>
  <si>
    <t>HOLIRLM341129460879</t>
  </si>
  <si>
    <t>(IG) CARRON STYLER</t>
  </si>
  <si>
    <t>L03</t>
  </si>
  <si>
    <t>DELTA STILIST</t>
  </si>
  <si>
    <t>CARRON AOIFE 12</t>
  </si>
  <si>
    <t>QG PRINCE ET</t>
  </si>
  <si>
    <t>JERUSAM000111524666</t>
  </si>
  <si>
    <t>WETUMPKA LEMVIG NICHOLAS ET</t>
  </si>
  <si>
    <t>WETUMPKA ALF NANCY</t>
  </si>
  <si>
    <t>MRYNLDM000293113368</t>
  </si>
  <si>
    <t>RUDOLF DN</t>
  </si>
  <si>
    <t>S08</t>
  </si>
  <si>
    <t>ROZA'S AJAX</t>
  </si>
  <si>
    <t>KATRIEN 345</t>
  </si>
  <si>
    <t>LANGEMAAT 213</t>
  </si>
  <si>
    <t>BRFGBRM000000633327</t>
  </si>
  <si>
    <t>BLACKISLE GLENFINNAN ET</t>
  </si>
  <si>
    <t>W12</t>
  </si>
  <si>
    <t>MARSHSIDE ROCKET 3</t>
  </si>
  <si>
    <t>BLACKISLE BERTHA 5 ET</t>
  </si>
  <si>
    <t>HOLUSAM000062175933</t>
  </si>
  <si>
    <t>PINE-TREE MARTHA SHOLTEN-ET</t>
  </si>
  <si>
    <t>PINE-TREE MISSY MARTHA-ET</t>
  </si>
  <si>
    <t>HOLUSAM000135475322</t>
  </si>
  <si>
    <t>LUTZ-BROOKVIEW ETHAN</t>
  </si>
  <si>
    <t>LUTZ-BROOKVIEW EBONY-ET</t>
  </si>
  <si>
    <t>HOLGBRM000000536312</t>
  </si>
  <si>
    <t>LISDUFF PREVIEW</t>
  </si>
  <si>
    <t>LISDUFF DOONEEN 3</t>
  </si>
  <si>
    <t>HUNDAY TRANWELL ET</t>
  </si>
  <si>
    <t>HOLFRAM005993006077</t>
  </si>
  <si>
    <t>IDEAL AGS</t>
  </si>
  <si>
    <t>CENIDE 1574</t>
  </si>
  <si>
    <t>HOLNLDM000514351924</t>
  </si>
  <si>
    <t>HAVEP FORMULE 1</t>
  </si>
  <si>
    <t>KEMVIEW ZWARTE ET</t>
  </si>
  <si>
    <t>HOLITAM000401022250</t>
  </si>
  <si>
    <t>LAS FARM ADAM KIRBY ET</t>
  </si>
  <si>
    <t>THE CHOICE OF MARK ADAM ET</t>
  </si>
  <si>
    <t>LAS FARM AEROSTAR ROCXY</t>
  </si>
  <si>
    <t>HOLIRLM281569460580</t>
  </si>
  <si>
    <t>PROGRESSIVE EVIAN ET</t>
  </si>
  <si>
    <t>T05</t>
  </si>
  <si>
    <t>QG EVELYN ET</t>
  </si>
  <si>
    <t>MATHADOR 25</t>
  </si>
  <si>
    <t>WENNEKER BRUNSWIJK</t>
  </si>
  <si>
    <t>MARIAN 88</t>
  </si>
  <si>
    <t>BEREND</t>
  </si>
  <si>
    <t>HOLNZLM000000101122</t>
  </si>
  <si>
    <t>MERRICKS HUGO ROBUST S1F</t>
  </si>
  <si>
    <t>ETAZON US DALTON ET</t>
  </si>
  <si>
    <t>HOLIRLM141761240708</t>
  </si>
  <si>
    <t>KEALFINCHEON J RUUD</t>
  </si>
  <si>
    <t>T06</t>
  </si>
  <si>
    <t>RUUD 22</t>
  </si>
  <si>
    <t>KEALFINCHEON HUGO JUDY</t>
  </si>
  <si>
    <t>HOLIRLM141643160529</t>
  </si>
  <si>
    <t>GLENNY HATTIE RUU</t>
  </si>
  <si>
    <t>GLENNY GMI HATTIE 1</t>
  </si>
  <si>
    <t>HOLUSAM000124095559</t>
  </si>
  <si>
    <t>LYNNCREST CORKY HAYES</t>
  </si>
  <si>
    <t>WELLS MASCOT CORKY ET</t>
  </si>
  <si>
    <t>LYNNCREST CONVERSE HAPPY ET</t>
  </si>
  <si>
    <t>HIGHLIGHT CONVERSE ET</t>
  </si>
  <si>
    <t>MONFRAM002594013419</t>
  </si>
  <si>
    <t>JUVENAL</t>
  </si>
  <si>
    <t>CANTADOU</t>
  </si>
  <si>
    <t>EDSINE</t>
  </si>
  <si>
    <t>TARTARS</t>
  </si>
  <si>
    <t>HOLNLDM000178602671</t>
  </si>
  <si>
    <t>HSTIENS SILAN</t>
  </si>
  <si>
    <t>HOLSTIENS EL SILENE</t>
  </si>
  <si>
    <t>HOLITAM000908017670</t>
  </si>
  <si>
    <t>OLMO PREL.TUGOLO MF TL G.M.***</t>
  </si>
  <si>
    <t>A RONNYBROOK PRELUDE ET</t>
  </si>
  <si>
    <t>OLMO BLACKSTAR BLENA</t>
  </si>
  <si>
    <t>HOLGBRM000000542063</t>
  </si>
  <si>
    <t>LAKELODGE CLAUS</t>
  </si>
  <si>
    <t>HOLNLDM000178829302</t>
  </si>
  <si>
    <t>KAMPJES WHITE WONDER</t>
  </si>
  <si>
    <t>DELTA SPARTA</t>
  </si>
  <si>
    <t>SOPHIE 142</t>
  </si>
  <si>
    <t>DELTA ROYAL HAMER</t>
  </si>
  <si>
    <t>HOLITAM001260001169</t>
  </si>
  <si>
    <t>FANTASY GLOSS ET BT TV TL</t>
  </si>
  <si>
    <t>IGALE MASC</t>
  </si>
  <si>
    <t>FANTASY ZISKY ET</t>
  </si>
  <si>
    <t>NMDFRAM005348759355</t>
  </si>
  <si>
    <t>ORKNEY</t>
  </si>
  <si>
    <t>GIROPHARE</t>
  </si>
  <si>
    <t>JARDINIERE</t>
  </si>
  <si>
    <t>MRYNLDM000105428314</t>
  </si>
  <si>
    <t>MANUEL 214</t>
  </si>
  <si>
    <t>CATO 51</t>
  </si>
  <si>
    <t>RIKO</t>
  </si>
  <si>
    <t>HOLNLDM000255749372</t>
  </si>
  <si>
    <t>LUCKY MIKE</t>
  </si>
  <si>
    <t>W06</t>
  </si>
  <si>
    <t>BEETSTER CEL J ALBERTJE</t>
  </si>
  <si>
    <t>HOLUSAM000002020696</t>
  </si>
  <si>
    <t>BEATYVIEW WCM RYAN</t>
  </si>
  <si>
    <t>GRAYCREST BELL ROSE</t>
  </si>
  <si>
    <t>HOLCANM000008777465</t>
  </si>
  <si>
    <t>CADILLAC CADET</t>
  </si>
  <si>
    <t>P05</t>
  </si>
  <si>
    <t>STOUDER MORTY-ET</t>
  </si>
  <si>
    <t>HANOVER-HILL RAIDER CHAR ET</t>
  </si>
  <si>
    <t>HANOVERHILL RAIDER ET</t>
  </si>
  <si>
    <t>HOLCANM000005925716</t>
  </si>
  <si>
    <t>MAPLE WOOD ESTIMATE</t>
  </si>
  <si>
    <t>CALBRETT MARK LOTTO ET</t>
  </si>
  <si>
    <t>DFRNLDM000363199731</t>
  </si>
  <si>
    <t>PIET ADEMA 179</t>
  </si>
  <si>
    <t>PIET ADEMA 141</t>
  </si>
  <si>
    <t>PIETJE 537</t>
  </si>
  <si>
    <t>HOLWERDA THIERRY</t>
  </si>
  <si>
    <t>HOLIRLM151623411222</t>
  </si>
  <si>
    <t>BALLYBRIDE SHERRY DANO</t>
  </si>
  <si>
    <t>HAZAEL EMINENCE DANO-ET</t>
  </si>
  <si>
    <t>BALLYBRIDE UYC SHERRY</t>
  </si>
  <si>
    <t>HOLNLDM000232824803</t>
  </si>
  <si>
    <t>JUDGE</t>
  </si>
  <si>
    <t>DELTA LUXEMBURG</t>
  </si>
  <si>
    <t>EASTLAND GOLDA TL</t>
  </si>
  <si>
    <t>HOLUSAM000130263722</t>
  </si>
  <si>
    <t>ERBACRES DAMION</t>
  </si>
  <si>
    <t>REGANCREST ENCORE DALHIA ET</t>
  </si>
  <si>
    <t>HOLDEUM000345515651</t>
  </si>
  <si>
    <t>JANNSEN</t>
  </si>
  <si>
    <t>WINDSOR</t>
  </si>
  <si>
    <t>HOLIRLM141617910792</t>
  </si>
  <si>
    <t>BALLINDEASIG ELVERY</t>
  </si>
  <si>
    <t>BALLINDEASIG MALLORY ELEANOR</t>
  </si>
  <si>
    <t>MALLORY</t>
  </si>
  <si>
    <t>HOLCANM000007104235</t>
  </si>
  <si>
    <t>ALTAGEN I MERCHANT-ET</t>
  </si>
  <si>
    <t>PARKER AERO WADE ET</t>
  </si>
  <si>
    <t>PASEN BELLWOOD MATRON-ET</t>
  </si>
  <si>
    <t>HOLIRLM141756260296</t>
  </si>
  <si>
    <t>DIRREECARTEN JACKSON</t>
  </si>
  <si>
    <t>T07</t>
  </si>
  <si>
    <t>GALTEE MARS USNES</t>
  </si>
  <si>
    <t>DIRREECARTEN MFX JACKSFER</t>
  </si>
  <si>
    <t>MARS FERRO</t>
  </si>
  <si>
    <t>HOLNZLM000000101046</t>
  </si>
  <si>
    <t>GRAYS NAUTILUS S2F</t>
  </si>
  <si>
    <t>DELTA NLD GERRIS-ET</t>
  </si>
  <si>
    <t>SRB GRAYS NATALIE</t>
  </si>
  <si>
    <t>MONFRAM003912290281</t>
  </si>
  <si>
    <t>PRELUDE</t>
  </si>
  <si>
    <t>JULIE</t>
  </si>
  <si>
    <t>ARSEAU</t>
  </si>
  <si>
    <t>HOLIRLM141413680945</t>
  </si>
  <si>
    <t>TAWNIES DIAGO</t>
  </si>
  <si>
    <t>BERNARD EIVERS MRCVS</t>
  </si>
  <si>
    <t>PEGASE</t>
  </si>
  <si>
    <t>TAWNIES DONEEN 108</t>
  </si>
  <si>
    <t>HOLIRLM251297280472</t>
  </si>
  <si>
    <t>RINGOWNEY RUUD ALIE</t>
  </si>
  <si>
    <t>RINGOWNEY NHS ALIE</t>
  </si>
  <si>
    <t>HOLUSAM000132277541</t>
  </si>
  <si>
    <t>BKB AFFIRMED ET</t>
  </si>
  <si>
    <t>COMESTAR LEE ET</t>
  </si>
  <si>
    <t>SHOREMAR S ALICIA</t>
  </si>
  <si>
    <t>HOLUSAM000131857397</t>
  </si>
  <si>
    <t>FAR-O-LA DEBBI-JO DECKER-ET</t>
  </si>
  <si>
    <t>REGANCREST DEBBIE-JO PI ET</t>
  </si>
  <si>
    <t>BRABANT STAR PATRON ET</t>
  </si>
  <si>
    <t>HOLITAM771043001212</t>
  </si>
  <si>
    <t>POSAL C. ROYALIST TV TL RF GM</t>
  </si>
  <si>
    <t>POSAL FACTOR QUEEN</t>
  </si>
  <si>
    <t>HOLNZLM000000501038</t>
  </si>
  <si>
    <t>HILLTOP ACRES PT DALLAS TWIN</t>
  </si>
  <si>
    <t>TOP ACRES DOTSON PROPHET - ET</t>
  </si>
  <si>
    <t>HILLTOP ACRES JETWAY DIXI</t>
  </si>
  <si>
    <t>FOREST LAWN SIMON JETWAY ET</t>
  </si>
  <si>
    <t>HOLUSAM000060540387</t>
  </si>
  <si>
    <t>MR REGANCREST ROY RACER</t>
  </si>
  <si>
    <t>REGAN-JOY DURHAM REGENIA-ET</t>
  </si>
  <si>
    <t>HOLUSAM000002035598</t>
  </si>
  <si>
    <t>ART-ACRES KAY O-ET</t>
  </si>
  <si>
    <t>WAGNERSCREST IVANHOE ASTRONAUT</t>
  </si>
  <si>
    <t>MONFRAM003995015741</t>
  </si>
  <si>
    <t>LITTERAIRE</t>
  </si>
  <si>
    <t>HERMINE</t>
  </si>
  <si>
    <t>VERGLAS</t>
  </si>
  <si>
    <t>VICTORY ACRES SIMON EVEN</t>
  </si>
  <si>
    <t>TOP ACRES ELEGANT SIMON</t>
  </si>
  <si>
    <t>WITLAS IMPROVER EMILY</t>
  </si>
  <si>
    <t>WEST LAWN STRETCH IMPROVER (M)</t>
  </si>
  <si>
    <t>HOLNLDM000329282244</t>
  </si>
  <si>
    <t>QG GLOURIOUS</t>
  </si>
  <si>
    <t>NOE</t>
  </si>
  <si>
    <t>HOLGBRM000000605645</t>
  </si>
  <si>
    <t>DOVEA NOEL</t>
  </si>
  <si>
    <t>TITTENSER TINE 62</t>
  </si>
  <si>
    <t>TITTENSER KASPER</t>
  </si>
  <si>
    <t>HOLGBRM000000582774</t>
  </si>
  <si>
    <t>DOVEA CELSIUS 2</t>
  </si>
  <si>
    <t>SIENTJE</t>
  </si>
  <si>
    <t>BERRY</t>
  </si>
  <si>
    <t>BOB 4</t>
  </si>
  <si>
    <t>MARIETJE 23</t>
  </si>
  <si>
    <t>ALVA 4</t>
  </si>
  <si>
    <t>HOLGBRM000000586587</t>
  </si>
  <si>
    <t>DOVEA DIGITAL</t>
  </si>
  <si>
    <t>REARY PRIMROSE 25</t>
  </si>
  <si>
    <t>CHURCHWELL CAMPER</t>
  </si>
  <si>
    <t>HOLCANM000008432142</t>
  </si>
  <si>
    <t>WEDGWOOD LARAMIE</t>
  </si>
  <si>
    <t>IDEE LUSTRE</t>
  </si>
  <si>
    <t>HOLUSAM000133088245</t>
  </si>
  <si>
    <t>MD-DELIGHT DURHAM ATLAS-ET</t>
  </si>
  <si>
    <t>MD DELIGHT STRM AMBERLEE ET</t>
  </si>
  <si>
    <t>MAUGHLIN STORM ET</t>
  </si>
  <si>
    <t>HOLITAM098500056243</t>
  </si>
  <si>
    <t>DEL SANTO CAPITAN TIAMO TV TL</t>
  </si>
  <si>
    <t>ART-ACRES TANKER ET TV</t>
  </si>
  <si>
    <t>DEL SANTO LARA ET</t>
  </si>
  <si>
    <t>DEL SANTO CORSARO GM ** TL TV</t>
  </si>
  <si>
    <t>HOLDEUM000577045024</t>
  </si>
  <si>
    <t>KORNETT</t>
  </si>
  <si>
    <t>T99</t>
  </si>
  <si>
    <t>KOERIER 104</t>
  </si>
  <si>
    <t>LANCIA</t>
  </si>
  <si>
    <t>HOLUSAM000002195128</t>
  </si>
  <si>
    <t>WANABE MASCOTS SIEGFRIED</t>
  </si>
  <si>
    <t>SECOND-LOOK CLEIT SANDRA-ET</t>
  </si>
  <si>
    <t>MONFRAM000187006444</t>
  </si>
  <si>
    <t>URBAINE</t>
  </si>
  <si>
    <t>CORAIL</t>
  </si>
  <si>
    <t>HOLUSAM000002285989</t>
  </si>
  <si>
    <t>POTTERS-FIELD CEL RONO ET</t>
  </si>
  <si>
    <t>POTTERS-FIELD MCOT VERNA ET</t>
  </si>
  <si>
    <t>HOLGBRM000000549750</t>
  </si>
  <si>
    <t>BALLYCLIDER VICTOR</t>
  </si>
  <si>
    <t>PALTZER SEXATION BERT</t>
  </si>
  <si>
    <t>BALLYCLIDER CHRIS 8</t>
  </si>
  <si>
    <t>DOVEA SHEIKSON</t>
  </si>
  <si>
    <t>HOLGBRM000000519911</t>
  </si>
  <si>
    <t>CRADENHILL SPIRIT ET</t>
  </si>
  <si>
    <t>AUGHNAHOORY AMY 16</t>
  </si>
  <si>
    <t>BARBICAN ROYAL LUKE</t>
  </si>
  <si>
    <t>HOLFRAM005112013651</t>
  </si>
  <si>
    <t>LOUNGE</t>
  </si>
  <si>
    <t>SIEMERS INSPIRATION TAMMIE PI</t>
  </si>
  <si>
    <t>HOLGBRM000000582592</t>
  </si>
  <si>
    <t>DOVEA CELSIUS</t>
  </si>
  <si>
    <t>HOLNZLM000000672213</t>
  </si>
  <si>
    <t>TOP DECK KO PIERRE</t>
  </si>
  <si>
    <t>ETAZON KNOCK OUT</t>
  </si>
  <si>
    <t>KAPAWAI MSTPLAN PRAIRE</t>
  </si>
  <si>
    <t>NOWERLAND BELL MASTERPLAN</t>
  </si>
  <si>
    <t>HOLDEUM000111441331</t>
  </si>
  <si>
    <t>TAECKS</t>
  </si>
  <si>
    <t>SUBLIEM TULIP RED</t>
  </si>
  <si>
    <t>TANJA</t>
  </si>
  <si>
    <t>HOWARD-HOME CAVEMAN-RED</t>
  </si>
  <si>
    <t>HOLGBRM000000562882</t>
  </si>
  <si>
    <t>LYNBROOK RAVEN ET</t>
  </si>
  <si>
    <t>LEADM.RAV.</t>
  </si>
  <si>
    <t>HOLIRLM361475630083</t>
  </si>
  <si>
    <t>HALLSTONE GRAND MAN 1</t>
  </si>
  <si>
    <t>T08</t>
  </si>
  <si>
    <t>KILLUA GENNI ET</t>
  </si>
  <si>
    <t>GIBOR</t>
  </si>
  <si>
    <t>HOLNLDM000424333274</t>
  </si>
  <si>
    <t>MARS PETER</t>
  </si>
  <si>
    <t>FROUKJE 277</t>
  </si>
  <si>
    <t>DELTA NOVALIS</t>
  </si>
  <si>
    <t>HOLGBRM000000615503</t>
  </si>
  <si>
    <t>OVERSIDE DRAGON ET</t>
  </si>
  <si>
    <t>OVERSIDE CONVINCER DELIGHT</t>
  </si>
  <si>
    <t>WA-DEL CONVINCER ET TL CV BY</t>
  </si>
  <si>
    <t>MONFRAM002541872822</t>
  </si>
  <si>
    <t>PATINAGE</t>
  </si>
  <si>
    <t>HOLIRLM351168432068</t>
  </si>
  <si>
    <t>LAURAGH DANE</t>
  </si>
  <si>
    <t>LAURAGH SPW DAFFODIL</t>
  </si>
  <si>
    <t>SPEKTRUM PIGEONWOOD RED 2</t>
  </si>
  <si>
    <t>HOLUSAM000060162889</t>
  </si>
  <si>
    <t>SHADYCREST-H LEG UP CRI-ET</t>
  </si>
  <si>
    <t>SHADYCREST-H LINA PATRON-ET</t>
  </si>
  <si>
    <t>HOLNZLM000000106201</t>
  </si>
  <si>
    <t>SCOTTS KL DANCER-ET S3F</t>
  </si>
  <si>
    <t>KINGSMILL R E LANCER</t>
  </si>
  <si>
    <t>SCOTTS GO DAZZLE S2F</t>
  </si>
  <si>
    <t>HOLNZLM000000106133</t>
  </si>
  <si>
    <t>LEES DANO EXCELLENCE</t>
  </si>
  <si>
    <t>NWRIRLM141750840713</t>
  </si>
  <si>
    <t>TEERGAY ULSAKER LILY</t>
  </si>
  <si>
    <t>NR61540 LILY</t>
  </si>
  <si>
    <t>HOLIRLM291066320475</t>
  </si>
  <si>
    <t>SCALKILL BOBBY</t>
  </si>
  <si>
    <t>L02</t>
  </si>
  <si>
    <t>LILAS MOUN</t>
  </si>
  <si>
    <t>SCALKILL MERCI FAWN</t>
  </si>
  <si>
    <t>HOLGBRM000000628195</t>
  </si>
  <si>
    <t>BLACKISLE MAGNETIC</t>
  </si>
  <si>
    <t>BLACKISLE LAURA 5</t>
  </si>
  <si>
    <t>HOLMLAND DIAMOND ET</t>
  </si>
  <si>
    <t>HOLIRLM251297260537</t>
  </si>
  <si>
    <t>RINGOWNEY SIETSKE</t>
  </si>
  <si>
    <t>NARISTI LO</t>
  </si>
  <si>
    <t>RINGOWNEY RUU SIETSKE</t>
  </si>
  <si>
    <t>HOLIRLM141656780898</t>
  </si>
  <si>
    <t>RATHMACULLIG GRAHAM</t>
  </si>
  <si>
    <t>VENERIETE 217 RUSSELLINO</t>
  </si>
  <si>
    <t>RATHMACULLIG HRZ GLORIA</t>
  </si>
  <si>
    <t>HAIRY BREIZ</t>
  </si>
  <si>
    <t>HOLGBRM000000629857</t>
  </si>
  <si>
    <t>DALSERF DELBOY</t>
  </si>
  <si>
    <t>P07</t>
  </si>
  <si>
    <t>DALSERF LUC DELLIA ET</t>
  </si>
  <si>
    <t>AQUILA PATRON LUCENTE ET TV TL</t>
  </si>
  <si>
    <t>HOLFRAM002217051448</t>
  </si>
  <si>
    <t>ROUMARE</t>
  </si>
  <si>
    <t>ODESSA1270</t>
  </si>
  <si>
    <t>HOLCANM000102424006</t>
  </si>
  <si>
    <t>BONACCUEIL FAIRDEAL</t>
  </si>
  <si>
    <t>BRAEDALE GOODLUCK</t>
  </si>
  <si>
    <t>PENN-GATE DURHAM FAITH-ET</t>
  </si>
  <si>
    <t>HOLNZLM000000106099</t>
  </si>
  <si>
    <t>HALLS HD PRIMETIME-ET S2F</t>
  </si>
  <si>
    <t>SRB HALLS EXTASY PEARL</t>
  </si>
  <si>
    <t>MAGLEY EXTASY</t>
  </si>
  <si>
    <t>HOLITAM006920009167</t>
  </si>
  <si>
    <t>ALPAG IRON ACTIVE ET TL TV TY</t>
  </si>
  <si>
    <t>BOSS IRON ET</t>
  </si>
  <si>
    <t>ASHLEY ET CV TL</t>
  </si>
  <si>
    <t>HOLIRLM151595810658</t>
  </si>
  <si>
    <t>CORRINVILLE BRENDAN 658</t>
  </si>
  <si>
    <t>CORRINVILLE GMI BIRD</t>
  </si>
  <si>
    <t>RDCNORM000000005847</t>
  </si>
  <si>
    <t>SKJERVHEIM</t>
  </si>
  <si>
    <t>VIDDAL</t>
  </si>
  <si>
    <t>DOKKA</t>
  </si>
  <si>
    <t>GROHAUG</t>
  </si>
  <si>
    <t>HOLNZLM000000106186</t>
  </si>
  <si>
    <t>FABISH MD VISIONARY</t>
  </si>
  <si>
    <t>MACFARLANES DAUNTLESS</t>
  </si>
  <si>
    <t>HOLUSAM000133588633</t>
  </si>
  <si>
    <t>MR MINISTER</t>
  </si>
  <si>
    <t>MISS LEE MYSTERY ET</t>
  </si>
  <si>
    <t>HOLNZLM000000106184</t>
  </si>
  <si>
    <t>WHITIMORE ELST SELECT S1F</t>
  </si>
  <si>
    <t>WHITIMORE G ESTELLE SOF</t>
  </si>
  <si>
    <t>HOLNLDM000126679243</t>
  </si>
  <si>
    <t>MISTER ROLLING STONE</t>
  </si>
  <si>
    <t>ESMERALDA</t>
  </si>
  <si>
    <t>HOLGBRM000000568550</t>
  </si>
  <si>
    <t>LEMRAC HOLIDAY</t>
  </si>
  <si>
    <t>CURRIES-M HOLIDAY-ET</t>
  </si>
  <si>
    <t>MAYNE VALAIS EVON</t>
  </si>
  <si>
    <t>HOLCANM000000209030</t>
  </si>
  <si>
    <t>EIFFEL</t>
  </si>
  <si>
    <t>TWIN-OAKES BELL VICKI</t>
  </si>
  <si>
    <t>HOLUSAM000002265082</t>
  </si>
  <si>
    <t>HUNSBERGER ELTON COPPER ET</t>
  </si>
  <si>
    <t>HOLMES-VIEW MARK TARA</t>
  </si>
  <si>
    <t>HOLGBRM000000004643</t>
  </si>
  <si>
    <t>C H C ROCKET</t>
  </si>
  <si>
    <t>F16 ROCKET C</t>
  </si>
  <si>
    <t>GRASSHILL REGINA ET</t>
  </si>
  <si>
    <t>HOLFRAM003593049487</t>
  </si>
  <si>
    <t>ICARIOS</t>
  </si>
  <si>
    <t>SHADE-E-LANE-C MAGNOLIA-ET</t>
  </si>
  <si>
    <t>HOLNLDM000178602239</t>
  </si>
  <si>
    <t>HSTIENS FALCO</t>
  </si>
  <si>
    <t>T97</t>
  </si>
  <si>
    <t>HOLSTIENS H-ST ELT FAMOUS</t>
  </si>
  <si>
    <t>HOLGBRM000000549762</t>
  </si>
  <si>
    <t>CROSSHAVEN ROCKET</t>
  </si>
  <si>
    <t>CROSSHAVEN GAIETY 3</t>
  </si>
  <si>
    <t>BAROLD ROCK SEAL</t>
  </si>
  <si>
    <t>HOLFRAM002992017872</t>
  </si>
  <si>
    <t>HANSEN*CV</t>
  </si>
  <si>
    <t>SUNNYLODGE SAMMY ET</t>
  </si>
  <si>
    <t>DAIMLER</t>
  </si>
  <si>
    <t>HOLNLDM000137789003</t>
  </si>
  <si>
    <t>MISTER KOKO</t>
  </si>
  <si>
    <t>HOLNZLM000000106545</t>
  </si>
  <si>
    <t>HSS OMAN MEGABUCK</t>
  </si>
  <si>
    <t>S09</t>
  </si>
  <si>
    <t>WAIPIRI DUKE LIZA-ET</t>
  </si>
  <si>
    <t>HAZAEL FATALS DUKE-ET</t>
  </si>
  <si>
    <t>HOLNLDM000124229914</t>
  </si>
  <si>
    <t>ADEL DOMBY BIRD</t>
  </si>
  <si>
    <t>T96</t>
  </si>
  <si>
    <t>COOKSVALLEY CUBBY BIRD</t>
  </si>
  <si>
    <t>HOLNLDM000180072862</t>
  </si>
  <si>
    <t>ELTON STAR 7286</t>
  </si>
  <si>
    <t>Q.G. OVAL</t>
  </si>
  <si>
    <t>HOLFRAM008594026479</t>
  </si>
  <si>
    <t>JORDI BELT</t>
  </si>
  <si>
    <t>BELT</t>
  </si>
  <si>
    <t>FAIENCE</t>
  </si>
  <si>
    <t>HOLNLDM000148186640</t>
  </si>
  <si>
    <t>REX HARDY</t>
  </si>
  <si>
    <t>JAFRAL B REX MABEL ET</t>
  </si>
  <si>
    <t>HOLIRLM151623481699</t>
  </si>
  <si>
    <t>(IG) BALLYBRIDE ARISTOTLE</t>
  </si>
  <si>
    <t>L01</t>
  </si>
  <si>
    <t>WHINLEA PALAD ECKLAND-ET</t>
  </si>
  <si>
    <t>BALLYBRIDE UYC AVRIL</t>
  </si>
  <si>
    <t>HOLUSAM000063467818</t>
  </si>
  <si>
    <t>HENDEL RAMOS BERLAND</t>
  </si>
  <si>
    <t>GLEN-D-HAVEN OMAN BIFFY-ET</t>
  </si>
  <si>
    <t>HOLCANM000103512991</t>
  </si>
  <si>
    <t>DESLACS SHAQUILLE</t>
  </si>
  <si>
    <t>GEN-I-BEQ DURHAM SHERRY</t>
  </si>
  <si>
    <t>JERNZLM000000306011</t>
  </si>
  <si>
    <t>OKURA OM LAVA</t>
  </si>
  <si>
    <t>P09</t>
  </si>
  <si>
    <t>OKURA MANHATTAN ET SJ3</t>
  </si>
  <si>
    <t>OKURA HEARTS LAVENDER</t>
  </si>
  <si>
    <t>WILLIAM ACE OF HEARTS</t>
  </si>
  <si>
    <t>HOLIRLM191968330878</t>
  </si>
  <si>
    <t>(IG) MEENASCORTHY SCOT</t>
  </si>
  <si>
    <t>MACO SCOTTY</t>
  </si>
  <si>
    <t>MEENASCORTHY HUGO HORNEY 1</t>
  </si>
  <si>
    <t>HOLUSAM000052475507</t>
  </si>
  <si>
    <t>LARCREST ALTAENDURO-ET</t>
  </si>
  <si>
    <t>P</t>
  </si>
  <si>
    <t>LARCREST DURHAM GRIZELLE</t>
  </si>
  <si>
    <t>HOLFRAM004460607167</t>
  </si>
  <si>
    <t>UNSERGE</t>
  </si>
  <si>
    <t>COMESTAR LHEROS</t>
  </si>
  <si>
    <t>PALENCIA</t>
  </si>
  <si>
    <t>HOLGBRM000000635153</t>
  </si>
  <si>
    <t>BLACKISLE MAVERICK ET</t>
  </si>
  <si>
    <t>BLACKISLE MIST 25</t>
  </si>
  <si>
    <t>BLACKISLE GLENALBYN</t>
  </si>
  <si>
    <t>HOLNLDM000183387543</t>
  </si>
  <si>
    <t>SUNNY BIRD</t>
  </si>
  <si>
    <t>WILLEMS HOEVE COBA 20</t>
  </si>
  <si>
    <t>HOLCANM000006477807</t>
  </si>
  <si>
    <t>CHERRY CREST JBT CANDID</t>
  </si>
  <si>
    <t>CHERRYCREST GRAND CANYON</t>
  </si>
  <si>
    <t>A MARK CJ GILBROOK GRAND ET</t>
  </si>
  <si>
    <t>HOLIRLM151159250869</t>
  </si>
  <si>
    <t>KILCOLMAN FLAIR</t>
  </si>
  <si>
    <t>KILCOLMAN FLAIR 36</t>
  </si>
  <si>
    <t>MONFRAM003925961777</t>
  </si>
  <si>
    <t>SARN JB</t>
  </si>
  <si>
    <t>JUVISY</t>
  </si>
  <si>
    <t>PASTORALE</t>
  </si>
  <si>
    <t>HOLUSAM000134221902</t>
  </si>
  <si>
    <t>KERNDTWAY HOWIE-ET</t>
  </si>
  <si>
    <t>HENKESEEN BWM HEIDI-ET</t>
  </si>
  <si>
    <t>HOLFRAM002916691773</t>
  </si>
  <si>
    <t>VOUSTER</t>
  </si>
  <si>
    <t>PAULETTE</t>
  </si>
  <si>
    <t>HOLUSAM000135612558</t>
  </si>
  <si>
    <t>JEFFREY-WAY ALTATARTINI-ET</t>
  </si>
  <si>
    <t>HARTLINE TITANIC-ET</t>
  </si>
  <si>
    <t>JEFFREY WAY TRANQUILL-ET</t>
  </si>
  <si>
    <t>HOLUSAM000061757519</t>
  </si>
  <si>
    <t>WELCOME RADON-ET</t>
  </si>
  <si>
    <t>WELCOME MANFRED WILLA</t>
  </si>
  <si>
    <t>HOLUSAM000135746776</t>
  </si>
  <si>
    <t>LONG-LANGS OMAN OMAN TV TL TY</t>
  </si>
  <si>
    <t>WINNING-WAY MARCI ET CV</t>
  </si>
  <si>
    <t>DIXIE-LEE AARON-ET</t>
  </si>
  <si>
    <t>HOLDEUM000110749817</t>
  </si>
  <si>
    <t>KNIRPS</t>
  </si>
  <si>
    <t>DITA</t>
  </si>
  <si>
    <t>ENHANCER TL</t>
  </si>
  <si>
    <t>RDCNORM000000005603</t>
  </si>
  <si>
    <t>5603 LIEN</t>
  </si>
  <si>
    <t>MARITA</t>
  </si>
  <si>
    <t>F.SELLEVOLL</t>
  </si>
  <si>
    <t>MONFRAM007034631954</t>
  </si>
  <si>
    <t>PRINCETON</t>
  </si>
  <si>
    <t>INDUVI</t>
  </si>
  <si>
    <t>MIDINETTE</t>
  </si>
  <si>
    <t>HOLUSAM000132480026</t>
  </si>
  <si>
    <t>DEN-K MARSHALL LL LAURIN</t>
  </si>
  <si>
    <t>IEPROOFS IEPROOFS</t>
  </si>
  <si>
    <t>MS SUNNYHOME LIL-LEE</t>
  </si>
  <si>
    <t>HOLUSAM000132465661</t>
  </si>
  <si>
    <t>VALLEY-DRIVE ZESTY-ET</t>
  </si>
  <si>
    <t>VALLEY-DRIVE PATRON ZOPHIE</t>
  </si>
  <si>
    <t>HOLAUSM000H01036699</t>
  </si>
  <si>
    <t>TOPSPEED H POTTER</t>
  </si>
  <si>
    <t>TS TOTTIE</t>
  </si>
  <si>
    <t>RDCNORM000000005794</t>
  </si>
  <si>
    <t>SKJENAUST</t>
  </si>
  <si>
    <t>RISA</t>
  </si>
  <si>
    <t>BRELINE</t>
  </si>
  <si>
    <t>HOLUSAM000063123660</t>
  </si>
  <si>
    <t>MR DURCHAN DESTIN ET</t>
  </si>
  <si>
    <t>COLDSPRINGS DUR CHAN 109 ET</t>
  </si>
  <si>
    <t>HOLNLDM000233821937</t>
  </si>
  <si>
    <t>DOOLHOF DECEMBER</t>
  </si>
  <si>
    <t>ETAZON WALLACE</t>
  </si>
  <si>
    <t>MARIE 618</t>
  </si>
  <si>
    <t>MONFRAM007494023085</t>
  </si>
  <si>
    <t>JOYAU D'OR</t>
  </si>
  <si>
    <t>BOULOGNE</t>
  </si>
  <si>
    <t>ECUYERE</t>
  </si>
  <si>
    <t>HOLITAM001600023284</t>
  </si>
  <si>
    <t>CERESIO BORMIO ET TL TV GM***</t>
  </si>
  <si>
    <t>CERESIO VALTELLINA</t>
  </si>
  <si>
    <t>HOLNZLM000000103550</t>
  </si>
  <si>
    <t>SWANSLEA WME MR T</t>
  </si>
  <si>
    <t>SRD SWANSLEA GRIFF TULIP</t>
  </si>
  <si>
    <t>ETAZON GRIFFITH</t>
  </si>
  <si>
    <t>HOLUSAM000123586443</t>
  </si>
  <si>
    <t>OUT-JOCK CHOICE AMEL TL TV TY</t>
  </si>
  <si>
    <t>END-ROAD MATHIE BIG BANG ET</t>
  </si>
  <si>
    <t>PARADISE-R CLEITUS MATHIE</t>
  </si>
  <si>
    <t>HOLFRAM002293040442</t>
  </si>
  <si>
    <t>ISLY</t>
  </si>
  <si>
    <t>GLEE-HI MICHAEL-ET</t>
  </si>
  <si>
    <t>GALOCHE</t>
  </si>
  <si>
    <t>DFRNLDM000110850306</t>
  </si>
  <si>
    <t>HOLWERDA GLENGARIFF</t>
  </si>
  <si>
    <t>HOLWERDA DIRK</t>
  </si>
  <si>
    <t>STINSEN MINKE 15</t>
  </si>
  <si>
    <t>WILLY S KEIMPE</t>
  </si>
  <si>
    <t>JERNZLM000000506065</t>
  </si>
  <si>
    <t>FOXWHEN BALLISTIC</t>
  </si>
  <si>
    <t>MITCHELLS LIKABULL SJ3</t>
  </si>
  <si>
    <t>JERNZLM000000506049</t>
  </si>
  <si>
    <t>THOMPSONS FINANCIER</t>
  </si>
  <si>
    <t>KONUI GLEN ELMOS BOWIE</t>
  </si>
  <si>
    <t>THOMPSONS HUGO FLORET S1F</t>
  </si>
  <si>
    <t>HOLIRLM151549264906</t>
  </si>
  <si>
    <t>(IG) MOOREPARK LARRY</t>
  </si>
  <si>
    <t>TUTBURYS LEGEND</t>
  </si>
  <si>
    <t>MOOREPARK HUGO EAMMON</t>
  </si>
  <si>
    <t>RDCGBRM000006181054</t>
  </si>
  <si>
    <t>RAVENHILL ENIGMA</t>
  </si>
  <si>
    <t>SLIGO AI</t>
  </si>
  <si>
    <t>MCCORNICK NELSON</t>
  </si>
  <si>
    <t>HOLUSAM000136800233</t>
  </si>
  <si>
    <t>END-ROAD BEACON-ET</t>
  </si>
  <si>
    <t>END ROAD MARSHALL BUG</t>
  </si>
  <si>
    <t>HOLUSAM000061980877</t>
  </si>
  <si>
    <t>COPPERTOP DOBERMAN-ET</t>
  </si>
  <si>
    <t>WINDLEWAY GRANGER DOVE</t>
  </si>
  <si>
    <t>HOLUSAM000137003059</t>
  </si>
  <si>
    <t>LADYS-MANOR DODGE-ET</t>
  </si>
  <si>
    <t>LADYS-MANOR RUBY D-ET</t>
  </si>
  <si>
    <t>RICKLAND MANDEL DEBUT</t>
  </si>
  <si>
    <t>HOL840M003001511932</t>
  </si>
  <si>
    <t>SAVAGE-LEIGH GOLDLASER-ET</t>
  </si>
  <si>
    <t>SAVAGE-LEIGH LICORICE-ET</t>
  </si>
  <si>
    <t>HOLNZLM000000108260</t>
  </si>
  <si>
    <t>BLATCHFORDS ZODIAC-ET</t>
  </si>
  <si>
    <t>GLENMEAD FR RENEGADE</t>
  </si>
  <si>
    <t>WAIMATA CURIOUS OBSESSION</t>
  </si>
  <si>
    <t>JERDNKM000000302381</t>
  </si>
  <si>
    <t>DJ FARGAS</t>
  </si>
  <si>
    <t>MOLLY BROOK BERRETTA FANCLUB-E</t>
  </si>
  <si>
    <t>JAS BREGNE</t>
  </si>
  <si>
    <t>NMDFRAM007616732271</t>
  </si>
  <si>
    <t>UCANY</t>
  </si>
  <si>
    <t>MONKEY</t>
  </si>
  <si>
    <t>RUSSIE</t>
  </si>
  <si>
    <t>HOLLYDAYS</t>
  </si>
  <si>
    <t>BSWUSAM000000198015</t>
  </si>
  <si>
    <t>HILLTOP ACRES GOLDMINE</t>
  </si>
  <si>
    <t>HILLTOP ACRES EN DYNASTY ET</t>
  </si>
  <si>
    <t>HILLTOP ACRES DALTON GOSSIP</t>
  </si>
  <si>
    <t>HILLTOP A.PT DALTON</t>
  </si>
  <si>
    <t>HOLUSAM000062067810</t>
  </si>
  <si>
    <t>RI-VAL-RE MR SAM NEON-ET</t>
  </si>
  <si>
    <t>REGANCREST -MR DRHAM SAM ET</t>
  </si>
  <si>
    <t>RI VAL RE JESTHER NINA ET</t>
  </si>
  <si>
    <t>JESTHER</t>
  </si>
  <si>
    <t>HOLNZLM000000110583</t>
  </si>
  <si>
    <t>SCOTTS FROSTMAN DELUX S1F</t>
  </si>
  <si>
    <t>T11</t>
  </si>
  <si>
    <t>SCOTTS BANQ DIAMOND S2F</t>
  </si>
  <si>
    <t>SRD JENERAYTIONS BANQUET</t>
  </si>
  <si>
    <t>HOLUSAM000062030790</t>
  </si>
  <si>
    <t>CO-OP OMAN LOYDIE-ET</t>
  </si>
  <si>
    <t>MURANDA MRSHAL LIZY CRI-ET</t>
  </si>
  <si>
    <t>HOLNLDM000383090074</t>
  </si>
  <si>
    <t>WOUDHOEVE 1042 IMPULS</t>
  </si>
  <si>
    <t>PIETJE 759</t>
  </si>
  <si>
    <t>HOLGBRM000000592839</t>
  </si>
  <si>
    <t>MOET MELODY ET</t>
  </si>
  <si>
    <t>EASTVIEW INFLUENCE MATTIE G</t>
  </si>
  <si>
    <t>MOET SLOCUM MARTHA A PI ET</t>
  </si>
  <si>
    <t>JERNZLM000000508140</t>
  </si>
  <si>
    <t>HOWIES EASYRIDER</t>
  </si>
  <si>
    <t>INGRAMS RAMROD</t>
  </si>
  <si>
    <t>MUDFORDS LEGENDAIRE</t>
  </si>
  <si>
    <t>HOLNZLM000000508062</t>
  </si>
  <si>
    <t>VAN STRAALENS HEIRLOOM-ET</t>
  </si>
  <si>
    <t>VALDEN HI AMBITION-ET S2F</t>
  </si>
  <si>
    <t>HOLDEUM000580023802</t>
  </si>
  <si>
    <t>CASSANO</t>
  </si>
  <si>
    <t>CALBRETT-I H H CHAMPION</t>
  </si>
  <si>
    <t>SULEIKA</t>
  </si>
  <si>
    <t>HOLUSAM000052357928</t>
  </si>
  <si>
    <t>RALMA O-MAN CF CRICKET-ET</t>
  </si>
  <si>
    <t>RALMA CHRISTMAS FUDGE-ET</t>
  </si>
  <si>
    <t>HOLNLDM000491605777</t>
  </si>
  <si>
    <t>HEJA SPENCER LEIPO</t>
  </si>
  <si>
    <t>HEIHOEVE DELTA SPENCER</t>
  </si>
  <si>
    <t>R GINA</t>
  </si>
  <si>
    <t>JERCANM000101962790</t>
  </si>
  <si>
    <t>LENCREST ON TIME -ET</t>
  </si>
  <si>
    <t>SHF CENTURION SULTAN</t>
  </si>
  <si>
    <t>PIEDMONT DECLO BELLE</t>
  </si>
  <si>
    <t>BARBS MBSB DECLO</t>
  </si>
  <si>
    <t>HOLNZLM000000108017</t>
  </si>
  <si>
    <t>ANTRIM'S SUPER STUD S1F</t>
  </si>
  <si>
    <t>SRB NIELSENS STORMLINE</t>
  </si>
  <si>
    <t>HIBI FATAL EUON</t>
  </si>
  <si>
    <t>DFRNLDM000433060590</t>
  </si>
  <si>
    <t>DOVEA DELF</t>
  </si>
  <si>
    <t>T10</t>
  </si>
  <si>
    <t>DELF 45</t>
  </si>
  <si>
    <t>DORA 161</t>
  </si>
  <si>
    <t>DELF 35</t>
  </si>
  <si>
    <t>HOLNLDM000370771591</t>
  </si>
  <si>
    <t>BARTELS O-MAN JOBBER PI</t>
  </si>
  <si>
    <t>B DEBBIE JOY</t>
  </si>
  <si>
    <t>HOLNZLM000000106077</t>
  </si>
  <si>
    <t>BRKEL DANO BABY GRAND-ET</t>
  </si>
  <si>
    <t>BRKEL PIERRE BABY</t>
  </si>
  <si>
    <t>HOLNZLM000000106217</t>
  </si>
  <si>
    <t>WHINLEA DANS SOLDIER-ET</t>
  </si>
  <si>
    <t>WHINLEA GERRIS SOURCE</t>
  </si>
  <si>
    <t>HOLDNKM000000249262</t>
  </si>
  <si>
    <t>OMJET</t>
  </si>
  <si>
    <t>T WI JENNY</t>
  </si>
  <si>
    <t>JERNZLM000000306025</t>
  </si>
  <si>
    <t>TIRONUI OM JOSKIN</t>
  </si>
  <si>
    <t>TIRONUI KOOKA JANE</t>
  </si>
  <si>
    <t>MOFFITTS KOOKABURRA</t>
  </si>
  <si>
    <t>HOLUSAM000062496432</t>
  </si>
  <si>
    <t>REGAN-ALH G DEVIOUS-ET</t>
  </si>
  <si>
    <t>A L H DESTINY-ET</t>
  </si>
  <si>
    <t>HOLDEUM000349652618</t>
  </si>
  <si>
    <t>TOM TEATRO ET TV TL</t>
  </si>
  <si>
    <t>LADINO PARK TALENT-IMP-ET</t>
  </si>
  <si>
    <t>PRINZESSIN</t>
  </si>
  <si>
    <t>HOLUSAM000052774524</t>
  </si>
  <si>
    <t>RALMA GOLD CROWN-ET</t>
  </si>
  <si>
    <t>W11</t>
  </si>
  <si>
    <t>RALMA CHRISTMAS COOKIE-ET</t>
  </si>
  <si>
    <t>HOLIRLM141654232741</t>
  </si>
  <si>
    <t>(IG) KILLINGLEY XB GARY</t>
  </si>
  <si>
    <t>WALTERS JESTER</t>
  </si>
  <si>
    <t>KILLINGLEY DESTINY GAYLE</t>
  </si>
  <si>
    <t>KLASSIC LANCE DESTINY-ET</t>
  </si>
  <si>
    <t>HOLIRLM151549264922</t>
  </si>
  <si>
    <t>(IG) MOOREPARK KENNY</t>
  </si>
  <si>
    <t>MOOREPARK CBH KNIFE</t>
  </si>
  <si>
    <t>HOLUSAM000062294286</t>
  </si>
  <si>
    <t>LANGS-TWIN-B JANUARY-ET</t>
  </si>
  <si>
    <t>LANGS-TWIN-B DEBUT JESS-ET</t>
  </si>
  <si>
    <t>HOLNZLM000000110006</t>
  </si>
  <si>
    <t>BAGWORTH PF GRANDEUR S1F</t>
  </si>
  <si>
    <t>BAGWORTH RILEYS GLAMM S2F</t>
  </si>
  <si>
    <t>REILLYS MIGHT</t>
  </si>
  <si>
    <t>JERNZLM000000310046</t>
  </si>
  <si>
    <t>UPLAND PARK LOT NICO S3J</t>
  </si>
  <si>
    <t>W16</t>
  </si>
  <si>
    <t>LYNBROOK OPIUM TRAIL</t>
  </si>
  <si>
    <t>UPLAND PARK OM NADIA S2J</t>
  </si>
  <si>
    <t>JERDNKM000000302997</t>
  </si>
  <si>
    <t>DJ LIX</t>
  </si>
  <si>
    <t>Q LOR</t>
  </si>
  <si>
    <t>Q ZIK</t>
  </si>
  <si>
    <t>HOLUSAM000063927723</t>
  </si>
  <si>
    <t>MORNINGVIEW LEVI</t>
  </si>
  <si>
    <t>R-E-W BUCKEYE-ET</t>
  </si>
  <si>
    <t>MORNINGVIEW OMAN LIBBY-ET</t>
  </si>
  <si>
    <t>HOLITAM004990259221</t>
  </si>
  <si>
    <t>AL PAR SHOTTLE NEFAS ET TV TL</t>
  </si>
  <si>
    <t>MAGLIANA JOCKO FE ET (ITA)</t>
  </si>
  <si>
    <t>HOLUSAM000066770680</t>
  </si>
  <si>
    <t>DAMARTINI ATTITUDE-RED-ET</t>
  </si>
  <si>
    <t>SCIENTIFIC DESTRY-ET</t>
  </si>
  <si>
    <t>DAMARTINI ALLIES ALYSSA-ET</t>
  </si>
  <si>
    <t>HOLUSAM000062297934</t>
  </si>
  <si>
    <t>BOMAZ MARION EMERALD 648-ET</t>
  </si>
  <si>
    <t>VEAZLAND MARION-ET</t>
  </si>
  <si>
    <t>BOMAZ LYNCH 2411</t>
  </si>
  <si>
    <t>KLASSIC MERRILL LYNCH-ET</t>
  </si>
  <si>
    <t>HOLCANM000007925701</t>
  </si>
  <si>
    <t>SMITHDEN ADMIRAL</t>
  </si>
  <si>
    <t>SMITHDEN ALLEN ALISON</t>
  </si>
  <si>
    <t>CANYON-BREEZE ALLEN-ET</t>
  </si>
  <si>
    <t>HOLNLDM000531840230</t>
  </si>
  <si>
    <t>DELTA GRAVITY</t>
  </si>
  <si>
    <t>DELTAQ HEIDY</t>
  </si>
  <si>
    <t>MONFRAM003917250670</t>
  </si>
  <si>
    <t>BOGORO JB</t>
  </si>
  <si>
    <t>UNICELLE</t>
  </si>
  <si>
    <t>MICMAC</t>
  </si>
  <si>
    <t>HOLNLDM000425152733</t>
  </si>
  <si>
    <t>LOWLANDS KLIMMER</t>
  </si>
  <si>
    <t>TACO</t>
  </si>
  <si>
    <t>GINY 3</t>
  </si>
  <si>
    <t>ALMERE PABLO</t>
  </si>
  <si>
    <t>HOLUSAM000062768990</t>
  </si>
  <si>
    <t>VA-EARLY-DAWN SUDAN CRI-ET</t>
  </si>
  <si>
    <t>RIDGE-STAR JAMMER-ET</t>
  </si>
  <si>
    <t>WINDROSE SLR SUGAREE-ET</t>
  </si>
  <si>
    <t>PARADISE-R SAILOR 95-ET</t>
  </si>
  <si>
    <t>NMDFRAM005006568986</t>
  </si>
  <si>
    <t>ARNICA</t>
  </si>
  <si>
    <t>NEPHELION</t>
  </si>
  <si>
    <t>SALSA</t>
  </si>
  <si>
    <t>HOLUSAM000137515932</t>
  </si>
  <si>
    <t>LYNNCREST ZEBRA-ET</t>
  </si>
  <si>
    <t>WINDSOR-MANOR ZEBEE-ET</t>
  </si>
  <si>
    <t>HOLIRLM151619240565</t>
  </si>
  <si>
    <t>BRIDEPARK RXO HOLLY 565</t>
  </si>
  <si>
    <t>BRIDEPARK HOLLY 204</t>
  </si>
  <si>
    <t>HOLNZLM000000110042</t>
  </si>
  <si>
    <t>MORRIS TF LAMONT S1F</t>
  </si>
  <si>
    <t>TELESIS EUON FIRENZE</t>
  </si>
  <si>
    <t>HOLCANM000106303159</t>
  </si>
  <si>
    <t>COMESTAR LOBSTER</t>
  </si>
  <si>
    <t>COMESTAR LAUTAMA GOLDWYN</t>
  </si>
  <si>
    <t>JERNZLM000000307522</t>
  </si>
  <si>
    <t>CANAAN NEVVY PIONEER</t>
  </si>
  <si>
    <t>NOAKES NEVVY S3J</t>
  </si>
  <si>
    <t>CARDRONA MAN PEACE ET S3J</t>
  </si>
  <si>
    <t>HOLUSAM000137340903</t>
  </si>
  <si>
    <t>CHARITY ALTAGRATIS-ET</t>
  </si>
  <si>
    <t>SANDY-VALLEY FIRESPARK-ET</t>
  </si>
  <si>
    <t>HIDDEN-VIEW BEST</t>
  </si>
  <si>
    <t>HOLUSAM000063496162</t>
  </si>
  <si>
    <t>UECKER RAMOS JOCK-ET</t>
  </si>
  <si>
    <t>UECKER OMAN JODEE</t>
  </si>
  <si>
    <t>HOLCANM000011113974</t>
  </si>
  <si>
    <t>MISTY SPRINGS SUPERSONIC</t>
  </si>
  <si>
    <t>CHARLES. SUPERSTITION TV TL TY</t>
  </si>
  <si>
    <t>MISTY SPRINGS SHOTTLE SATIN</t>
  </si>
  <si>
    <t>HOLCANM000007809635</t>
  </si>
  <si>
    <t>GENERVATIONS LOBO</t>
  </si>
  <si>
    <t>PETINESCA-I DURHAM LADINA</t>
  </si>
  <si>
    <t>RDCNORM000000010682</t>
  </si>
  <si>
    <t>AMDAL</t>
  </si>
  <si>
    <t>5654 OLSTAD</t>
  </si>
  <si>
    <t>MALIN</t>
  </si>
  <si>
    <t>FLATEN</t>
  </si>
  <si>
    <t>HOLIRLM341294771463</t>
  </si>
  <si>
    <t>(IG) CAPPAUNIAC SAMPSON</t>
  </si>
  <si>
    <t>T12</t>
  </si>
  <si>
    <t>KEVINSFORT OJI HAZE</t>
  </si>
  <si>
    <t>CAPPAUNIAC SUSAN 8</t>
  </si>
  <si>
    <t>HOLIRLM261074590579</t>
  </si>
  <si>
    <t>(IG) SOLMOS FREDERICK</t>
  </si>
  <si>
    <t>MARS UPHILL</t>
  </si>
  <si>
    <t>SOLMOS RUU FAWN 343</t>
  </si>
  <si>
    <t>HOLNZLM000000110509</t>
  </si>
  <si>
    <t>DRUNAN JUST VIKTOR</t>
  </si>
  <si>
    <t>ARONAMEE JB JUSTICE</t>
  </si>
  <si>
    <t>DRUNEN CROPPER VIOLA S3F</t>
  </si>
  <si>
    <t>GOINGS HAIL CROPPER S2F</t>
  </si>
  <si>
    <t>HOLNLDM000368449686</t>
  </si>
  <si>
    <t>KAIRO</t>
  </si>
  <si>
    <t>KIAN</t>
  </si>
  <si>
    <t>APINA MASSIA 21</t>
  </si>
  <si>
    <t>LENTINI</t>
  </si>
  <si>
    <t>HOLNLDM000419008297</t>
  </si>
  <si>
    <t>BERRYHILL TV TL</t>
  </si>
  <si>
    <t>REGANOR TES 2</t>
  </si>
  <si>
    <t>HOLIRLM191080560933</t>
  </si>
  <si>
    <t>(IG) GLENROAD MALACY</t>
  </si>
  <si>
    <t>GLENROAD HFL MOLLY</t>
  </si>
  <si>
    <t>HEDRA FESTIVAL</t>
  </si>
  <si>
    <t>HOLIRLM151166990945</t>
  </si>
  <si>
    <t>CARRACOUSH GIBOR 3</t>
  </si>
  <si>
    <t>CARRACOUSH DAISY 88</t>
  </si>
  <si>
    <t>HOLIRLM351284281204</t>
  </si>
  <si>
    <t>(IG) KNOCKROUR ALIX</t>
  </si>
  <si>
    <t>KNOCKROUR NHS ALICIA</t>
  </si>
  <si>
    <t>HOLDNKM000000250396</t>
  </si>
  <si>
    <t>DANSIRE OMAN ODDER</t>
  </si>
  <si>
    <t>V BOJER</t>
  </si>
  <si>
    <t>HOL840M003006972816</t>
  </si>
  <si>
    <t>MOUNTFIELD SSI DCY MOGUL-ET</t>
  </si>
  <si>
    <t>COYNE-FARMS DORCY-ET</t>
  </si>
  <si>
    <t>MOUNTFIELD MARSH MAXINE-ET</t>
  </si>
  <si>
    <t>PASEN MARSH-ET</t>
  </si>
  <si>
    <t>JERCANM000102944847</t>
  </si>
  <si>
    <t>LENCREST TYLER -ET</t>
  </si>
  <si>
    <t>WILLOA LASER</t>
  </si>
  <si>
    <t>HOLUSAM000062253367</t>
  </si>
  <si>
    <t>LARS-ACRES SHOT TRIGGER-ET</t>
  </si>
  <si>
    <t>LARS-ACRES TENISE-ET</t>
  </si>
  <si>
    <t>HOLCANM000007832267</t>
  </si>
  <si>
    <t>STANTONS SUDIAL</t>
  </si>
  <si>
    <t>SHER-EST RUDOLPH STRESS-ET</t>
  </si>
  <si>
    <t>HOLGBRM000000654290</t>
  </si>
  <si>
    <t>KIRKBY MAJOR</t>
  </si>
  <si>
    <t>DEANGATE CENTURION</t>
  </si>
  <si>
    <t>KIRKBY MONICA 7</t>
  </si>
  <si>
    <t>KIRKBY EMPEROR</t>
  </si>
  <si>
    <t>JERUSAM000115517525</t>
  </si>
  <si>
    <t>BUTTERCREST SUCCESS-ET</t>
  </si>
  <si>
    <t>SC GOLD DUST PARAMOUNT IATOLA</t>
  </si>
  <si>
    <t>BUTTERCREST ROCKET SNAP</t>
  </si>
  <si>
    <t>O.F. BARBER ROCKET</t>
  </si>
  <si>
    <t>HOLIRLM151569250902</t>
  </si>
  <si>
    <t>(IG) CASTLEBLAGH GARNDY</t>
  </si>
  <si>
    <t>GREENVALLEY HARVEY</t>
  </si>
  <si>
    <t>CASTLEBLAGH OMAN RUTH</t>
  </si>
  <si>
    <t>HOLNLDM000748931239</t>
  </si>
  <si>
    <t>DROUNER KHW FRAIKO</t>
  </si>
  <si>
    <t>W17</t>
  </si>
  <si>
    <t>BADGER-BLUFF FANNY FREDDIE</t>
  </si>
  <si>
    <t>KHW GOLDWYN AIKO-ET</t>
  </si>
  <si>
    <t>JERNZLM000000308076</t>
  </si>
  <si>
    <t>CLUAIN WM HIJINX S3J</t>
  </si>
  <si>
    <t>WILLIAMS MINSTREL</t>
  </si>
  <si>
    <t>CLUAIN SCH JINX SJ2</t>
  </si>
  <si>
    <t>CRESCENT CRC SCHINDLER</t>
  </si>
  <si>
    <t>HOLNLDM000934345138</t>
  </si>
  <si>
    <t>DELTA TRADING</t>
  </si>
  <si>
    <t>DELTA ROELIE</t>
  </si>
  <si>
    <t>JERIRLM141766790905</t>
  </si>
  <si>
    <t>DOVEA MURT</t>
  </si>
  <si>
    <t>PARKWOOD CASPER</t>
  </si>
  <si>
    <t>HOLIRLM351279450630</t>
  </si>
  <si>
    <t>(IG) CARRIGAUN PEDRO</t>
  </si>
  <si>
    <t>MILLANDS PRINCE</t>
  </si>
  <si>
    <t>CARRIGAUN UYC PEARL 431</t>
  </si>
  <si>
    <t>HOLIRLM151021782313</t>
  </si>
  <si>
    <t>(IG) SUNNYBANK OMAN</t>
  </si>
  <si>
    <t>BALLINABORTA UYC PATRICIA</t>
  </si>
  <si>
    <t>NMDFRAM007244910976</t>
  </si>
  <si>
    <t>ANTISPAM</t>
  </si>
  <si>
    <t>ORIENTEUR</t>
  </si>
  <si>
    <t>SURPRISE</t>
  </si>
  <si>
    <t>HOLIRLM131358040797</t>
  </si>
  <si>
    <t>FORTFERGUS METEOR BUD</t>
  </si>
  <si>
    <t>FORTFERGUS WLI AERO</t>
  </si>
  <si>
    <t>WHINLEA EMINENCE ELLIS</t>
  </si>
  <si>
    <t>HOLDNKM000000254418</t>
  </si>
  <si>
    <t>VH ANDERSTRUP MASSEY MIRACLE</t>
  </si>
  <si>
    <t>HOLUSAM000068656227</t>
  </si>
  <si>
    <t>DE-SU FREDDIE DENIM 646-ET</t>
  </si>
  <si>
    <t>KINGS-RANSOM WIZARD SALU-ET</t>
  </si>
  <si>
    <t>NORZ-HILL FORM WIZARD-ET</t>
  </si>
  <si>
    <t>HOLUSAM000070720990</t>
  </si>
  <si>
    <t>GEHRKE JOHAN DERAY</t>
  </si>
  <si>
    <t>UFM-DUBS SHERAC-ET</t>
  </si>
  <si>
    <t>MISS EP DARIA-ET</t>
  </si>
  <si>
    <t>ENSENADA TABOO PLANET-ET</t>
  </si>
  <si>
    <t>JERNZLM000000311019</t>
  </si>
  <si>
    <t>SOUTH LAND JERICHO ET S3J</t>
  </si>
  <si>
    <t>TAHAU HANK S3J</t>
  </si>
  <si>
    <t>SOUTH LAND MANS JEAN S3J</t>
  </si>
  <si>
    <t>HOLNLDM000465491234</t>
  </si>
  <si>
    <t>SOUTHLAND SHERIFF</t>
  </si>
  <si>
    <t>SOUTHLAND DELLIA 44</t>
  </si>
  <si>
    <t>TIMLYNN ADAM-ET</t>
  </si>
  <si>
    <t>HOLDEUM000351002737</t>
  </si>
  <si>
    <t>NOG MATO ET</t>
  </si>
  <si>
    <t>JESSICA</t>
  </si>
  <si>
    <t>HOLIRLM141761231424</t>
  </si>
  <si>
    <t>KEALFINCHEON WGM METEOR</t>
  </si>
  <si>
    <t>T13</t>
  </si>
  <si>
    <t>KEALFINCHEON WPE WENDY</t>
  </si>
  <si>
    <t>RDCSWEM000000092671</t>
  </si>
  <si>
    <t>BUCKARBY</t>
  </si>
  <si>
    <t>W13</t>
  </si>
  <si>
    <t>O BROLIN ET</t>
  </si>
  <si>
    <t>492 DORA</t>
  </si>
  <si>
    <t>PETERSLUND</t>
  </si>
  <si>
    <t>RDCNORM000000010918</t>
  </si>
  <si>
    <t>VAL</t>
  </si>
  <si>
    <t>SÖRBY 1716</t>
  </si>
  <si>
    <t>BJÃ¿RG</t>
  </si>
  <si>
    <t>ORRARYD</t>
  </si>
  <si>
    <t>HOLNLDM000729656180</t>
  </si>
  <si>
    <t>FREDDIE RAEMAN P</t>
  </si>
  <si>
    <t>GOLDEN-OAKS PERK RAE-RED-ET</t>
  </si>
  <si>
    <t>BURKET-FALLS PERK-RED-ET</t>
  </si>
  <si>
    <t>MONFRAM005359875842</t>
  </si>
  <si>
    <t>CASIMIR JB</t>
  </si>
  <si>
    <t>PERNAN</t>
  </si>
  <si>
    <t>VALENCE</t>
  </si>
  <si>
    <t>NIKOS</t>
  </si>
  <si>
    <t>HOLCANM000011596115</t>
  </si>
  <si>
    <t>STANTONS CAMARO</t>
  </si>
  <si>
    <t>GENERVATIONS EPIC</t>
  </si>
  <si>
    <t>STANTONS FREDDIE CAMEO</t>
  </si>
  <si>
    <t>HOLNLDM000743121044</t>
  </si>
  <si>
    <t>LABEL P ET</t>
  </si>
  <si>
    <t>TIGER-LILY LADD P-RED-ET</t>
  </si>
  <si>
    <t>REDSPOCK 2</t>
  </si>
  <si>
    <t>DE BIESHEUVEL SUNRISE</t>
  </si>
  <si>
    <t>HOLNLDM000354899233</t>
  </si>
  <si>
    <t>HET BROEK LUCRATIVE RF</t>
  </si>
  <si>
    <t>LIGHTNING</t>
  </si>
  <si>
    <t>JANNA 1232</t>
  </si>
  <si>
    <t>HOLNLDM000442327707</t>
  </si>
  <si>
    <t>PONSSTAR SUN-FLOWER</t>
  </si>
  <si>
    <t>SAVANNAH</t>
  </si>
  <si>
    <t>HOLIRLM211180361755</t>
  </si>
  <si>
    <t>(IG) FIRODA MARTELL 12</t>
  </si>
  <si>
    <t>BARROWVALE MARTELL 12</t>
  </si>
  <si>
    <t>FIRODA DDY JUDIE</t>
  </si>
  <si>
    <t>DROMARD ANDY 14</t>
  </si>
  <si>
    <t>JERDNKM000000303402</t>
  </si>
  <si>
    <t>VJ HUSKY</t>
  </si>
  <si>
    <t>DJ HULK</t>
  </si>
  <si>
    <t>RONHOLM MAY DODO</t>
  </si>
  <si>
    <t>DJ MAY</t>
  </si>
  <si>
    <t>JERNZLM000000510002</t>
  </si>
  <si>
    <t>ARKANS ASTOUND</t>
  </si>
  <si>
    <t>HAYWARDS TGM AIM S3J</t>
  </si>
  <si>
    <t>CANAAN HAILS SIMON-ET</t>
  </si>
  <si>
    <t>HOLCHEM120060157635</t>
  </si>
  <si>
    <t>RED-BOY</t>
  </si>
  <si>
    <t>PURSUIT SEPTEMBER STORM</t>
  </si>
  <si>
    <t>FABLE</t>
  </si>
  <si>
    <t>STADEL</t>
  </si>
  <si>
    <t>HOLUSAM000068863301</t>
  </si>
  <si>
    <t>UFM-DUBS DUTCH-ET</t>
  </si>
  <si>
    <t>UFM DUBS SHERAY-ET</t>
  </si>
  <si>
    <t>HOLDNKM000000256862</t>
  </si>
  <si>
    <t>ANDERSTRUP MASSEY EVAN</t>
  </si>
  <si>
    <t>HOOD MOM EVELYN</t>
  </si>
  <si>
    <t>HOLIRLM241418250936</t>
  </si>
  <si>
    <t>(IG) ROSSBANE SAM 936</t>
  </si>
  <si>
    <t>(IG) LAURAGH EVERT</t>
  </si>
  <si>
    <t>ROSSBANE EIX ALISON</t>
  </si>
  <si>
    <t>HOLNZLM000000113506</t>
  </si>
  <si>
    <t>AMBZED BROWNLEE OKARI S1F</t>
  </si>
  <si>
    <t>MAIRE EX PRESSO</t>
  </si>
  <si>
    <t>HOLNLDM000492205693</t>
  </si>
  <si>
    <t>CRACKER VAN DE WILG</t>
  </si>
  <si>
    <t>SKALSUMER JORRYN</t>
  </si>
  <si>
    <t>RUTH 44</t>
  </si>
  <si>
    <t>JACKPOT</t>
  </si>
  <si>
    <t>HOLITAM098990131771</t>
  </si>
  <si>
    <t>SABBIONA GOLDFARM ET TV TL</t>
  </si>
  <si>
    <t>SABBIONA CRUDA</t>
  </si>
  <si>
    <t>HOLIRLM241195691211</t>
  </si>
  <si>
    <t>(IG) GLENSTALL ROBBIE</t>
  </si>
  <si>
    <t>GLENSTALL HOLLY 742</t>
  </si>
  <si>
    <t>HOLUSAM000052774523</t>
  </si>
  <si>
    <t>RALMA CONFIRM-ET</t>
  </si>
  <si>
    <t>RDCSWEM000000092986</t>
  </si>
  <si>
    <t>VR GUNNARSTORP SIBBARP GAME</t>
  </si>
  <si>
    <t>GUNNARSTORP</t>
  </si>
  <si>
    <t>357 ISABELLA</t>
  </si>
  <si>
    <t>ST HALLEBO</t>
  </si>
  <si>
    <t>HOLNLDM000940138917</t>
  </si>
  <si>
    <t>HOANSTER ZANZIBAR</t>
  </si>
  <si>
    <t>P14</t>
  </si>
  <si>
    <t>RMW ARMITAGE</t>
  </si>
  <si>
    <t>FURNACE-HILL BOWSR ZIA-ET</t>
  </si>
  <si>
    <t>HOLNLDM000487516302</t>
  </si>
  <si>
    <t>WEGGELHORSTER TEKAPO</t>
  </si>
  <si>
    <t>PENN-ENGLAND GARRISON-ET</t>
  </si>
  <si>
    <t>WEGGELHORSTER JESSI 17</t>
  </si>
  <si>
    <t>WILLSONA NORTHERN</t>
  </si>
  <si>
    <t>JERAUSM000A00020664</t>
  </si>
  <si>
    <t>RIVERSIDE EXCITEMENT</t>
  </si>
  <si>
    <t>BRIDON EXCITATION</t>
  </si>
  <si>
    <t>COUNTRY LOLLYPOP EX93</t>
  </si>
  <si>
    <t>BW COUNTRY-ET</t>
  </si>
  <si>
    <t>HOLNLDM000762769560</t>
  </si>
  <si>
    <t>TEXEL BEAUTY DEBUTANT</t>
  </si>
  <si>
    <t>KINGS-RANSOM O DAKKER-ET</t>
  </si>
  <si>
    <t>TEXEL BEAUTY DESIRE</t>
  </si>
  <si>
    <t>HOLCANM000011696702</t>
  </si>
  <si>
    <t>STANTONS PULSAR</t>
  </si>
  <si>
    <t>STANTONS SUPER ELDA</t>
  </si>
  <si>
    <t>HOLNLDM000947566920</t>
  </si>
  <si>
    <t>APINA NORMAN</t>
  </si>
  <si>
    <t>APINA NADJA</t>
  </si>
  <si>
    <t>HOLNLDM000938233572</t>
  </si>
  <si>
    <t>DROUNER AJDH MC CUTCH</t>
  </si>
  <si>
    <t>LARCREST CATHOLIC-ET</t>
  </si>
  <si>
    <t>HOLUSAM000072036990</t>
  </si>
  <si>
    <t>KINGS-RANSOM M DISTILLER-ET</t>
  </si>
  <si>
    <t>MOUNTFIELD MSY MAURICE-ET</t>
  </si>
  <si>
    <t>KINGS-RANSOM DORC DEXTRA-ET</t>
  </si>
  <si>
    <t>HOLUSAM000062433020</t>
  </si>
  <si>
    <t>PREMIER-KERNDT SAILING-ET</t>
  </si>
  <si>
    <t>PFAFFS MORTY SEASON-ET</t>
  </si>
  <si>
    <t>MONFRAM007044714726</t>
  </si>
  <si>
    <t>CARGO</t>
  </si>
  <si>
    <t>REDON</t>
  </si>
  <si>
    <t>ADRIA</t>
  </si>
  <si>
    <t>HOLIRLM211180381765</t>
  </si>
  <si>
    <t>(IG) FIRODA VML MARTELL 14</t>
  </si>
  <si>
    <t>FIRODA CNZ EVOY</t>
  </si>
  <si>
    <t>HOLGBRM000000631786</t>
  </si>
  <si>
    <t>WOODMARSH ASTERIX</t>
  </si>
  <si>
    <t>EK OSEEANA ASHLYNS ALLURE</t>
  </si>
  <si>
    <t>HOLIRLM341547381998</t>
  </si>
  <si>
    <t>GORTNAHOE MURMUR</t>
  </si>
  <si>
    <t>OKURA LIKA MURMUR S3J</t>
  </si>
  <si>
    <t>HOL840M003008897845</t>
  </si>
  <si>
    <t>MR NUMERO UNO ST-LOUIS-ET</t>
  </si>
  <si>
    <t>RICHMOND-FD AL LORELEI-ET</t>
  </si>
  <si>
    <t>MR REGELCREEK SHOT AL-ET</t>
  </si>
  <si>
    <t>HOLUSAM000071088720</t>
  </si>
  <si>
    <t>MORSAN MAN D MISSY</t>
  </si>
  <si>
    <t>HOLITAM017990915243</t>
  </si>
  <si>
    <t>AMIGHETTI M-O-MAN MAGNIFICO ET</t>
  </si>
  <si>
    <t>AMIGHETTI SHOTTLE AVE</t>
  </si>
  <si>
    <t>HOLDEUM001260917146</t>
  </si>
  <si>
    <t>EMALO</t>
  </si>
  <si>
    <t>LIANA</t>
  </si>
  <si>
    <t>EMIL II</t>
  </si>
  <si>
    <t>HOLNLDM000425772959</t>
  </si>
  <si>
    <t>W.H. VIKING</t>
  </si>
  <si>
    <t>WILLEM'S HOEVE RITA 233 A</t>
  </si>
  <si>
    <t>HOLNLDM000494683132</t>
  </si>
  <si>
    <t>AMSWEER SUPER- JOC</t>
  </si>
  <si>
    <t>FPT</t>
  </si>
  <si>
    <t>STOL JOC</t>
  </si>
  <si>
    <t>AMSWEER DINA 290</t>
  </si>
  <si>
    <t>BENNET CALIBER</t>
  </si>
  <si>
    <t>HOLCANM000007927543</t>
  </si>
  <si>
    <t>DOMICOLE CHELIOS</t>
  </si>
  <si>
    <t>DOMICOLE G W SHELIVE-ET</t>
  </si>
  <si>
    <t>HOLNLDM000921103617</t>
  </si>
  <si>
    <t>GK CREAM</t>
  </si>
  <si>
    <t>O-COSMOPOLITAN-ET</t>
  </si>
  <si>
    <t>DG SPR CREAMY</t>
  </si>
  <si>
    <t>HOLUSAM000071088641</t>
  </si>
  <si>
    <t>BUTZ-HILL MCLEAN 1678-ET</t>
  </si>
  <si>
    <t>HOLUSAM000071813206</t>
  </si>
  <si>
    <t>DE-SU 11620 NIRVANA-ET</t>
  </si>
  <si>
    <t>DE-SU 8947-ET</t>
  </si>
  <si>
    <t>HOLIRLM151941610375</t>
  </si>
  <si>
    <t>(IG) NEXTGEN BRIGADE</t>
  </si>
  <si>
    <t>GYDELAND EXCEL INCA S3F</t>
  </si>
  <si>
    <t>NEXTGEN HZS BRID</t>
  </si>
  <si>
    <t>HAZAEL MN SWEETDREAM S2F</t>
  </si>
  <si>
    <t>HOLNLDM000429759583</t>
  </si>
  <si>
    <t>BIG WINNER</t>
  </si>
  <si>
    <t>ART-ACRES WIN 395-ET</t>
  </si>
  <si>
    <t>BIG SUPER STAR 25</t>
  </si>
  <si>
    <t>HOLIRLM191968331579</t>
  </si>
  <si>
    <t>MEENASCORTHY GALTEE</t>
  </si>
  <si>
    <t>GADDAGH CUDDY REEKS</t>
  </si>
  <si>
    <t>MEENASCORTHY PARKDUV HORNEY</t>
  </si>
  <si>
    <t>PARKDUV MARK</t>
  </si>
  <si>
    <t>HOLGBRM949241240416</t>
  </si>
  <si>
    <t>BALLYCAIRN DARIUS</t>
  </si>
  <si>
    <t>CLEAR-ECHO LEXOR RACER-ET</t>
  </si>
  <si>
    <t>DE-SU 9990-ET</t>
  </si>
  <si>
    <t>BRIGEEN RUSSELL</t>
  </si>
  <si>
    <t>JERCANM000106797223</t>
  </si>
  <si>
    <t>GUIMO JOEL ET</t>
  </si>
  <si>
    <t>TOLLENAARS IMPULS LEGAL 233-ET</t>
  </si>
  <si>
    <t>FERMAR PARAMOUNT JOY</t>
  </si>
  <si>
    <t>ROCK ELLA PARAMOUNT-ET</t>
  </si>
  <si>
    <t>HOLIRLM221342751332</t>
  </si>
  <si>
    <t>(IG) DERRYLAMOGUE VINCENT</t>
  </si>
  <si>
    <t>(IG) CASTLEBLAGH ODIE</t>
  </si>
  <si>
    <t>DERRYLAMOGUE LDU JENNY 1018</t>
  </si>
  <si>
    <t>LISDUFF MANFRED ET</t>
  </si>
  <si>
    <t>HOLIRLM141173370906</t>
  </si>
  <si>
    <t>(IG) FASTNET PATRICK</t>
  </si>
  <si>
    <t>ADRIVALE MONTY</t>
  </si>
  <si>
    <t>FASTNET UYC PANSY 517</t>
  </si>
  <si>
    <t>JERGBRM371146100488</t>
  </si>
  <si>
    <t>SUNNYDAWN OLYMPIAN</t>
  </si>
  <si>
    <t>DJ ZUMA</t>
  </si>
  <si>
    <t>SUNNYDAWN IATOLA LONG JUMPA</t>
  </si>
  <si>
    <t>HOLUSAM000142571879</t>
  </si>
  <si>
    <t>MICHIGAN DUSK 1273-ET</t>
  </si>
  <si>
    <t>GENERVATIONS LATIMER</t>
  </si>
  <si>
    <t>MICHIGAN BOKEM DAWN 4772-ET</t>
  </si>
  <si>
    <t>DE-SU 521 BOOKEM-ET</t>
  </si>
  <si>
    <t>HOL840M003123886035</t>
  </si>
  <si>
    <t>BACON-HILL MONTROSS-ET</t>
  </si>
  <si>
    <t>S-S-I SUPRSIRE MIRI 8679-ET</t>
  </si>
  <si>
    <t>HOLDNKM000000256998</t>
  </si>
  <si>
    <t>VH OAK P OTA P</t>
  </si>
  <si>
    <t>VH OVE P OAK P</t>
  </si>
  <si>
    <t>OTTIE 3</t>
  </si>
  <si>
    <t>VH TIRSVAD GOLDWYN GRAFIT</t>
  </si>
  <si>
    <t>MRYNLDM000485779718</t>
  </si>
  <si>
    <t>DAMIAN DN</t>
  </si>
  <si>
    <t>DUISENBERG</t>
  </si>
  <si>
    <t>GONDA 287</t>
  </si>
  <si>
    <t>GUIDO</t>
  </si>
  <si>
    <t>HOLNLDM000759639368</t>
  </si>
  <si>
    <t>DG RH ALPHAMAN</t>
  </si>
  <si>
    <t>GEN-I-BEQ AIKMAN</t>
  </si>
  <si>
    <t>BTS-AVEA RED</t>
  </si>
  <si>
    <t>OUR-FAVORITE DETOX-ET</t>
  </si>
  <si>
    <t>JERDNKM000000303995</t>
  </si>
  <si>
    <t>VJ LIBERO</t>
  </si>
  <si>
    <t>VJ LURE</t>
  </si>
  <si>
    <t>BIRKELYGAARD</t>
  </si>
  <si>
    <t>DJ HIBE</t>
  </si>
  <si>
    <t>HOLUSAM000071380090</t>
  </si>
  <si>
    <t>RICHLAWN APPLE ADRIAN-ET</t>
  </si>
  <si>
    <t>RICHLAWN SUPER APRIL APPLE</t>
  </si>
  <si>
    <t>HOL840M003013721049</t>
  </si>
  <si>
    <t>MR D APPLE DIAMONDBACK</t>
  </si>
  <si>
    <t>VAL-BISSON DOORMAN</t>
  </si>
  <si>
    <t>MS DELICIOUS APPLE-RED-ET</t>
  </si>
  <si>
    <t>HOLUSAM000140610404</t>
  </si>
  <si>
    <t>BUTZ-BUTLER ATWOOD BRADY-ET</t>
  </si>
  <si>
    <t>MAPLE-DOWNS-I G W ATWOOD</t>
  </si>
  <si>
    <t>REGANCREST BRASILIA-ET</t>
  </si>
  <si>
    <t>HOLUSAM000071310557</t>
  </si>
  <si>
    <t>OH-RIVER-SYC BYWAY-ET</t>
  </si>
  <si>
    <t>SULLY HART MERIDIAN-ET</t>
  </si>
  <si>
    <t>SANDY-VALLEY ATWD BARBIE-ET</t>
  </si>
  <si>
    <t>HOLNLDM000549684879</t>
  </si>
  <si>
    <t>COGENT PEAK ALEX</t>
  </si>
  <si>
    <t>BOMAZ ALTABETTMAN-ET</t>
  </si>
  <si>
    <t>LUCIETTE</t>
  </si>
  <si>
    <t>HOL840M003124584893</t>
  </si>
  <si>
    <t>S-S-I MODERN MILLER-P-ET</t>
  </si>
  <si>
    <t>S-S-I EARNHART MODERN-P-ET</t>
  </si>
  <si>
    <t>HOLIRLM241502691382</t>
  </si>
  <si>
    <t>CLONCAGH SUPREME</t>
  </si>
  <si>
    <t>(IG) LISSANE PIRATE</t>
  </si>
  <si>
    <t>CLONCAGH LHZ SALLY 1203</t>
  </si>
  <si>
    <t>HOLIRLM141801641177</t>
  </si>
  <si>
    <t>CLONDROHID BLACK LIGHTNING</t>
  </si>
  <si>
    <t>RADNEY LEVI 5</t>
  </si>
  <si>
    <t>ADRIVALE KOZ LILA</t>
  </si>
  <si>
    <t>HOLIRLM211476440854</t>
  </si>
  <si>
    <t>KILCORAN CHEESEMAKER</t>
  </si>
  <si>
    <t>DOONMANAGH DSU BOWSER</t>
  </si>
  <si>
    <t>KILCORAN WNE JULIE 4192</t>
  </si>
  <si>
    <t>WHINLEA NAUT EXCEL-ET S3F</t>
  </si>
  <si>
    <t>HOLIRLM151013781964</t>
  </si>
  <si>
    <t>(IG) PARKDUV SWIFT</t>
  </si>
  <si>
    <t>PARKDUV IRIS 95</t>
  </si>
  <si>
    <t>JERDNKM000000304163</t>
  </si>
  <si>
    <t>VJ GYVELBORG HIHL GYVEL</t>
  </si>
  <si>
    <t>VJ HIHL</t>
  </si>
  <si>
    <t>DJ IZZY</t>
  </si>
  <si>
    <t>HOLIRLM141878862676</t>
  </si>
  <si>
    <t>(IG) FERGUS ZACK 2676</t>
  </si>
  <si>
    <t>T17</t>
  </si>
  <si>
    <t>SLIABHNAMBON CHAMPION 6</t>
  </si>
  <si>
    <t>FERGUS PORTIA 1618</t>
  </si>
  <si>
    <t>CURRAGHILL GLEN</t>
  </si>
  <si>
    <t>HOLNLDM000573341225</t>
  </si>
  <si>
    <t>R DG ALADDIN-RED ET</t>
  </si>
  <si>
    <t>P17</t>
  </si>
  <si>
    <t>STANTONS ENTITLE</t>
  </si>
  <si>
    <t>BTS-AVEA RED 1</t>
  </si>
  <si>
    <t>LADYS-MANOR OLYMPIAN</t>
  </si>
  <si>
    <t>HOLUSAM000072799123</t>
  </si>
  <si>
    <t>MOUNTFIELD JBR MOZAIC-ET</t>
  </si>
  <si>
    <t>COYNE-FARMS JABIR-ET</t>
  </si>
  <si>
    <t>MOUNTFIELD SHMRK MEMPHIS</t>
  </si>
  <si>
    <t>LADYS-MANOR PL SHAMROCK-ET</t>
  </si>
  <si>
    <t>HOLCANM000012208513</t>
  </si>
  <si>
    <t>CLAYNOOK FLUTE</t>
  </si>
  <si>
    <t>COGENT SUPERSHOT</t>
  </si>
  <si>
    <t>VIEW-HOME MCC FOUND-ET</t>
  </si>
  <si>
    <t>JERNZLM000000515813</t>
  </si>
  <si>
    <t>LYNBROOK LT VIKING</t>
  </si>
  <si>
    <t>LYNBROOK RG TERRIFIC ET</t>
  </si>
  <si>
    <t>LYNBROOK FME VANESSA</t>
  </si>
  <si>
    <t>FAIRMONT MINT-EDITION</t>
  </si>
  <si>
    <t>HOLDEUM000538920253</t>
  </si>
  <si>
    <t>DG CHARLEY</t>
  </si>
  <si>
    <t>DG CANDIDE</t>
  </si>
  <si>
    <t>HOLUSAM000074228150</t>
  </si>
  <si>
    <t>ZIMMERVIEW LUCKY PP-RED-ET</t>
  </si>
  <si>
    <t>DANGIE S-SIRE JAX P-TW</t>
  </si>
  <si>
    <t>S-S-I MOGUL LYLA</t>
  </si>
  <si>
    <t>HOL840M003131669137</t>
  </si>
  <si>
    <t>OCD MUSCADET HEINEKEN-ET</t>
  </si>
  <si>
    <t>LEADERWIN MUSCADET-ET</t>
  </si>
  <si>
    <t>JOLICAP HDLNR HUATA-ET</t>
  </si>
  <si>
    <t>SEAGULL-BAY HEADLINER-ET</t>
  </si>
  <si>
    <t>HOLCANM000012283189</t>
  </si>
  <si>
    <t>WESTCOAST BERLIOZ</t>
  </si>
  <si>
    <t>VIEW-HOME MONTEREY-ET</t>
  </si>
  <si>
    <t>BLUE-HORIZON JCKMN BABYDUST</t>
  </si>
  <si>
    <t>DE-SU ALTAJACKMAN-ET</t>
  </si>
  <si>
    <t>HOL840M003128043621</t>
  </si>
  <si>
    <t>PEAK ACCELROYALTY-ET</t>
  </si>
  <si>
    <t>ZAHBULLS ALTA1STCLASS-ET</t>
  </si>
  <si>
    <t>SIEMERS MOGUL REAL-DREAM-ET</t>
  </si>
  <si>
    <t>HOLNLDM000761902690</t>
  </si>
  <si>
    <t>P.M. NEBRASKA</t>
  </si>
  <si>
    <t>ALTATIMON RED</t>
  </si>
  <si>
    <t>P.M. ANNIE 174</t>
  </si>
  <si>
    <t>RED TORPEDO</t>
  </si>
  <si>
    <t>HOL840M003014558977</t>
  </si>
  <si>
    <t>WA-DEL ABS BOURBON-ET</t>
  </si>
  <si>
    <t>HOL840M003127565642</t>
  </si>
  <si>
    <t>CLEAR-ECHO MODIFY-ET</t>
  </si>
  <si>
    <t>BACON-HILL PETY MODESTY-ET</t>
  </si>
  <si>
    <t>CLEAR-ECHO KINGBOY 3319-ET</t>
  </si>
  <si>
    <t>MORNINGVIEW MCC KINGBOY-ET</t>
  </si>
  <si>
    <t>JERNZLM000000514056</t>
  </si>
  <si>
    <t>TIROHANGA TAKE NOTE</t>
  </si>
  <si>
    <t>PUKEROA TGM MANZELLO</t>
  </si>
  <si>
    <t>TIROHANGA 08-8 S0F</t>
  </si>
  <si>
    <t>HOLCANM000011951553</t>
  </si>
  <si>
    <t>BENNER BARDO</t>
  </si>
  <si>
    <t>VIEUXSAULE FLAME-ET</t>
  </si>
  <si>
    <t>BENNER MOGUL BOBBY SUE</t>
  </si>
  <si>
    <t>JERDNKM000000304166</t>
  </si>
  <si>
    <t>VJ HILO</t>
  </si>
  <si>
    <t>VJ HILARIO</t>
  </si>
  <si>
    <t>JERNZLM000000313516</t>
  </si>
  <si>
    <t>BRADENE PAS TRIPLESTAR</t>
  </si>
  <si>
    <t>PUKETAWA AD SUPERSTITION</t>
  </si>
  <si>
    <t>BRAEDENE LIKABULL TASH ET</t>
  </si>
  <si>
    <t>HOL840M003130854065</t>
  </si>
  <si>
    <t>VIEW-HOME SKITTLES-PP-ET</t>
  </si>
  <si>
    <t>VIEW-HOME POWERBALL-P-ET</t>
  </si>
  <si>
    <t>REGANCREST OPINES 7456-ET</t>
  </si>
  <si>
    <t>RICKLAND PREDESTINE 669-ET</t>
  </si>
  <si>
    <t>JERNZLM000000312057</t>
  </si>
  <si>
    <t>BELLS CM CONRAD S2J</t>
  </si>
  <si>
    <t>CRESCENT AMC MARVEL</t>
  </si>
  <si>
    <t>CYNTHIEA</t>
  </si>
  <si>
    <t>JERNZLM000000512060</t>
  </si>
  <si>
    <t>JUFFERMANS HUMMER</t>
  </si>
  <si>
    <t>ST PETERS OBSIDIAN</t>
  </si>
  <si>
    <t>VALDEN HI APPLAUSE-ET S2F</t>
  </si>
  <si>
    <t>JERNZLM000000312047</t>
  </si>
  <si>
    <t>ARRIETA TERRIFIC DESI ET</t>
  </si>
  <si>
    <t>ARRIETA MAUNGAS DESI</t>
  </si>
  <si>
    <t>HOLGBRM937020162397</t>
  </si>
  <si>
    <t>CASTLEDALE LEON</t>
  </si>
  <si>
    <t>F16</t>
  </si>
  <si>
    <t>LANGLEY BRANDY 2</t>
  </si>
  <si>
    <t>CASTLEDALE ECHO LIGHTENING 11</t>
  </si>
  <si>
    <t>CASTLEDALE ECHO</t>
  </si>
  <si>
    <t>MONFRAM000113019487</t>
  </si>
  <si>
    <t>ILANNE</t>
  </si>
  <si>
    <t>BRINK</t>
  </si>
  <si>
    <t>FEEANE</t>
  </si>
  <si>
    <t>CARTER</t>
  </si>
  <si>
    <t>HOLNLDM000723095611</t>
  </si>
  <si>
    <t>ERAGON</t>
  </si>
  <si>
    <t>DELTA FIDELITY</t>
  </si>
  <si>
    <t>ERNA 189</t>
  </si>
  <si>
    <t>AGGRAVATION LAWN BOY P-RED</t>
  </si>
  <si>
    <t>HOLNLDM000934274522</t>
  </si>
  <si>
    <t>DELTA MAGISTER</t>
  </si>
  <si>
    <t>FLEVO GENETICS WHATSAPP RF</t>
  </si>
  <si>
    <t>DELTA MAGIC RF</t>
  </si>
  <si>
    <t>DELTA DIRECT</t>
  </si>
  <si>
    <t>HOLIRLM141848251495</t>
  </si>
  <si>
    <t>(IG) BRIDESTREAM LEO</t>
  </si>
  <si>
    <t>(IG) DIAMOND ANDY</t>
  </si>
  <si>
    <t>HOLCANM000012111803</t>
  </si>
  <si>
    <t>OCONNORS CLASSIC</t>
  </si>
  <si>
    <t>SNOWBIZ MCCUTCHEN LOTTIE</t>
  </si>
  <si>
    <t>HOLIRLM261051511767</t>
  </si>
  <si>
    <t>(IG) SALTERSTOWN GALAXY</t>
  </si>
  <si>
    <t>(IG) LONGVIEW RELIABLE</t>
  </si>
  <si>
    <t>SALTERSTOWN PDO ROSIE 1524</t>
  </si>
  <si>
    <t>HOLIRLM211180332172</t>
  </si>
  <si>
    <t>FIRODA XGA ADEMA 1</t>
  </si>
  <si>
    <t>(IG) GURRANES ADEMA 278</t>
  </si>
  <si>
    <t>FIRODA ANY KARINA</t>
  </si>
  <si>
    <t>DOVEA ANDY</t>
  </si>
  <si>
    <t>JERDNKM000000303788</t>
  </si>
  <si>
    <t>VJ HOHOLT HILDE HUZAR</t>
  </si>
  <si>
    <t>VJ HILDE</t>
  </si>
  <si>
    <t>HOLIRLM219543774689</t>
  </si>
  <si>
    <t>(IG) SPRINGHAVEN SUPREME</t>
  </si>
  <si>
    <t>T18</t>
  </si>
  <si>
    <t>SPRINGHAVEN YRC MELANIE 3859</t>
  </si>
  <si>
    <t>CURRA ROY</t>
  </si>
  <si>
    <t>RDCNORM000000011147</t>
  </si>
  <si>
    <t>ENGER</t>
  </si>
  <si>
    <t>W18</t>
  </si>
  <si>
    <t>BRAUT</t>
  </si>
  <si>
    <t>GAUPA 4</t>
  </si>
  <si>
    <t>HOLFRAM008541048789</t>
  </si>
  <si>
    <t>JACOT RED</t>
  </si>
  <si>
    <t>S18</t>
  </si>
  <si>
    <t>DYMENTHOLM S SYMPATICO</t>
  </si>
  <si>
    <t>BLONDIN LAUTHORITY LIBYE</t>
  </si>
  <si>
    <t>COMESTAR LAUTHORITY</t>
  </si>
  <si>
    <t>HOLIRLM219765491921</t>
  </si>
  <si>
    <t>(IG) KILFEACLE PIVOTAL</t>
  </si>
  <si>
    <t>KILFEACLE OLIVE 1589</t>
  </si>
  <si>
    <t>HOLDEUM000539782028</t>
  </si>
  <si>
    <t>COL DG CRUSHTIME-ET</t>
  </si>
  <si>
    <t>MAVERICK CRUSH</t>
  </si>
  <si>
    <t>OH-RIVER-SYC MOGAL BRYLAN</t>
  </si>
  <si>
    <t>RDCSWEM000000064632</t>
  </si>
  <si>
    <t>BRATTBACKA</t>
  </si>
  <si>
    <t>HARRIO</t>
  </si>
  <si>
    <t>HOLGBRM937020165982</t>
  </si>
  <si>
    <t>CASTLEDALE FUTURIST</t>
  </si>
  <si>
    <t>F19</t>
  </si>
  <si>
    <t>LAKEMEAD RANDOLF</t>
  </si>
  <si>
    <t>CASTLEDALE BARON FLORA 12</t>
  </si>
  <si>
    <t>CASTLEDALE BARON</t>
  </si>
  <si>
    <t>HOLGBRM937020165875</t>
  </si>
  <si>
    <t>CASTLEDALE OLYMPIA</t>
  </si>
  <si>
    <t>CATLANE CHAD</t>
  </si>
  <si>
    <t>CASTLEDALE DISCOVERY OPAL 5</t>
  </si>
  <si>
    <t>MARSHSIDE DISCOVERY 4</t>
  </si>
  <si>
    <t>HOL840M003011538155</t>
  </si>
  <si>
    <t>S-S-I STERLING TRENTON-ET</t>
  </si>
  <si>
    <t>SANDY-VALLEY STERLING-ET</t>
  </si>
  <si>
    <t>S-S-I ROBUST TULARE 7259-ET</t>
  </si>
  <si>
    <t>ROYLANE SOCRA ROBUST-ET</t>
  </si>
  <si>
    <t>RDCIRLM000000000SOX</t>
  </si>
  <si>
    <t>STOPAFORS</t>
  </si>
  <si>
    <t>K. FREDVANG</t>
  </si>
  <si>
    <t>878 KRONA</t>
  </si>
  <si>
    <t>MELLANBERG SRB 86469</t>
  </si>
  <si>
    <t>HOLNLDM000259740850</t>
  </si>
  <si>
    <t>BATAL</t>
  </si>
  <si>
    <t>BASAR</t>
  </si>
  <si>
    <t>HOLIM FLEUR</t>
  </si>
  <si>
    <t>HOLGBRM000000598991</t>
  </si>
  <si>
    <t>REARY SEM</t>
  </si>
  <si>
    <t>REARY NORAH 19 ET</t>
  </si>
  <si>
    <t>HOLGBRM000000592381</t>
  </si>
  <si>
    <t>LYNBROOK JACKSON ET</t>
  </si>
  <si>
    <t>PETICOTE US MSC MAGLEY ET</t>
  </si>
  <si>
    <t>ALFRA JOELLE ET</t>
  </si>
  <si>
    <t>HOLNLDM000170266664</t>
  </si>
  <si>
    <t>NOORDER DUSTIN</t>
  </si>
  <si>
    <t>MARGRIET 114</t>
  </si>
  <si>
    <t>HOLUSAM000002192107</t>
  </si>
  <si>
    <t>MERIT BESTOW</t>
  </si>
  <si>
    <t>MERIT BETSEY</t>
  </si>
  <si>
    <t>HOLFRAM005988013273</t>
  </si>
  <si>
    <t>DICK</t>
  </si>
  <si>
    <t>ALVERE BELL SWEETS</t>
  </si>
  <si>
    <t>HOLNLDM000243282788</t>
  </si>
  <si>
    <t>MIL ADDIS W 1</t>
  </si>
  <si>
    <t>JK EDER EUGENIE</t>
  </si>
  <si>
    <t>HOLUSAM000061133837</t>
  </si>
  <si>
    <t>GOLDEN-OAKS ST ALEXANDER-ET</t>
  </si>
  <si>
    <t>COMESTAR STORMATIC</t>
  </si>
  <si>
    <t>NEU-WAY PATRON ALLIE PI ET</t>
  </si>
  <si>
    <t>HOLCANM000007317441</t>
  </si>
  <si>
    <t>WALLACEVIEW ALADDIN</t>
  </si>
  <si>
    <t>WALLACEVIEW RUD REINA</t>
  </si>
  <si>
    <t>HOLNZLM000000506096</t>
  </si>
  <si>
    <t>WAIWARE JETSTREAM</t>
  </si>
  <si>
    <t>MONFRAM002593009749</t>
  </si>
  <si>
    <t>ILIZAC</t>
  </si>
  <si>
    <t>FABIOLA</t>
  </si>
  <si>
    <t>TIBET</t>
  </si>
  <si>
    <t>JERNZLM000000306002</t>
  </si>
  <si>
    <t>OKURA OM IDEALIST</t>
  </si>
  <si>
    <t>OKURA KBUR IDA ET</t>
  </si>
  <si>
    <t>MRYNLDM000568682746</t>
  </si>
  <si>
    <t>DOMINIC</t>
  </si>
  <si>
    <t>DONALD 516</t>
  </si>
  <si>
    <t>CAROLIEN 29</t>
  </si>
  <si>
    <t>MARK 44</t>
  </si>
  <si>
    <t>HOLCANM000007816547</t>
  </si>
  <si>
    <t>GILLETTE WILDTHING</t>
  </si>
  <si>
    <t>GILLETTE BLITZ 2ND WIND</t>
  </si>
  <si>
    <t>FUSTEAD EMORY BLITZ-ET</t>
  </si>
  <si>
    <t>HOLUSAM000063026939</t>
  </si>
  <si>
    <t>COYNE-FARMS YELENA CRI-ET</t>
  </si>
  <si>
    <t>PECKENSTEIN FORM BRET-ET</t>
  </si>
  <si>
    <t>HOLGBRM000000636043</t>
  </si>
  <si>
    <t>REFINED KINGPIN</t>
  </si>
  <si>
    <t>REFINED SHAKER KIZZY 2 ET</t>
  </si>
  <si>
    <t>JERNZLM000000512008</t>
  </si>
  <si>
    <t>SCOTTS BRAVO ET</t>
  </si>
  <si>
    <t>BLACKBEAUTY</t>
  </si>
  <si>
    <t>SRD DUTZEA WO RODERICK</t>
  </si>
  <si>
    <t>HOLNZLM000000113561</t>
  </si>
  <si>
    <t>AMBZED PETERSON TONTO S1F</t>
  </si>
  <si>
    <t>HOLGBRM000000642573</t>
  </si>
  <si>
    <t>SHERDON IRRESISTABLE ET</t>
  </si>
  <si>
    <t>COGENT MAESTRO</t>
  </si>
  <si>
    <t>SHERDON ZELATI IVY 34</t>
  </si>
  <si>
    <t>URNIETA ZELATI II ET</t>
  </si>
  <si>
    <t>HOLCANM000011294745</t>
  </si>
  <si>
    <t>VELTHUIS ALPINE</t>
  </si>
  <si>
    <t>VELTHUIS PLANET ALBANY</t>
  </si>
  <si>
    <t>HOLIRLM151013722040</t>
  </si>
  <si>
    <t>PARKDUV FALCON</t>
  </si>
  <si>
    <t>CURRA ROYAL LAURENCE</t>
  </si>
  <si>
    <t>PARKDUV MARGO 51</t>
  </si>
  <si>
    <t>JERUSAM000067342492</t>
  </si>
  <si>
    <t>JARS OF CLAY BARNABAS</t>
  </si>
  <si>
    <t>HEARTLAND MERCHANT TOPEKA-ET</t>
  </si>
  <si>
    <t>JARS OF CLAY VALENTINO BRIDGET</t>
  </si>
  <si>
    <t>ALL LYNNS LOUIE VALENTINO-ET</t>
  </si>
  <si>
    <t>HOLNZLM000000514001</t>
  </si>
  <si>
    <t>OKURA ZIPPA</t>
  </si>
  <si>
    <t>HOWI8ES CHECKPOINT</t>
  </si>
  <si>
    <t>OKURA FME ZEST ET</t>
  </si>
  <si>
    <t>HOLIRLM223654941482</t>
  </si>
  <si>
    <t>MOANFUNE AFTERSHOCK</t>
  </si>
  <si>
    <t>COOLNASOON ART</t>
  </si>
  <si>
    <t>MOANFUNE JULIE 1136</t>
  </si>
  <si>
    <t>IMLEACH LUCKY WHISTLER</t>
  </si>
  <si>
    <t>HOLFRAM005027780438</t>
  </si>
  <si>
    <t>BIANFRIE NETSCAPE</t>
  </si>
  <si>
    <t>SEAGULL-BAY-MJ SOLARIS-ET</t>
  </si>
  <si>
    <t>BIANFRIE 503</t>
  </si>
  <si>
    <t>HOLNLDM000139526279</t>
  </si>
  <si>
    <t>HARDTACS KRISTIN 2</t>
  </si>
  <si>
    <t>BLOK-BROS BS VI KRISTIN-ET</t>
  </si>
  <si>
    <t>HOLNLDM000210058086</t>
  </si>
  <si>
    <t>GALTEE H F STEPH</t>
  </si>
  <si>
    <t>ETAZON</t>
  </si>
  <si>
    <t>HOLUSAM000002137657</t>
  </si>
  <si>
    <t>EASTVIEW IMAGE ET</t>
  </si>
  <si>
    <t>EASTVIEW MARK BELL MATTIE G</t>
  </si>
  <si>
    <t>HOLFRAM005395006294</t>
  </si>
  <si>
    <t>HPV LONIK</t>
  </si>
  <si>
    <t>HPV GELINE</t>
  </si>
  <si>
    <t>DFRNLDM000319578481</t>
  </si>
  <si>
    <t>HOLWERDA BART 90</t>
  </si>
  <si>
    <t>HOLWERDA RUUD</t>
  </si>
  <si>
    <t>HOVINGA 289</t>
  </si>
  <si>
    <t>DAGERAAD 162</t>
  </si>
  <si>
    <t>HOLGBRM000000560012</t>
  </si>
  <si>
    <t>LISLEVANE AMBITION</t>
  </si>
  <si>
    <t>LISLEVANE MARGARET 19</t>
  </si>
  <si>
    <t>HOLNZLM000000090258</t>
  </si>
  <si>
    <t>MCHARDYS BIRCH</t>
  </si>
  <si>
    <t>CROCKETTS POLLUX</t>
  </si>
  <si>
    <t>DTR OF 788 NO 79</t>
  </si>
  <si>
    <t>ATHOL FAMOUS PREFECT</t>
  </si>
  <si>
    <t>HOLUSAM000002124357</t>
  </si>
  <si>
    <t>KED MARK JUSTINE</t>
  </si>
  <si>
    <t>HOLUSAM000002050777</t>
  </si>
  <si>
    <t>ODYSSEY ROYAL ONWARD ET</t>
  </si>
  <si>
    <t>CAN-AN-BO-PAT SEXATION ORPHA</t>
  </si>
  <si>
    <t>HOLUSAM000002054638</t>
  </si>
  <si>
    <t>SINGING-BROOK MANAGER-ET</t>
  </si>
  <si>
    <t>JACKBUILT CHAIRMAN MANDY</t>
  </si>
  <si>
    <t>HOLNLDM000206126021</t>
  </si>
  <si>
    <t>H.FOCUS KRIS</t>
  </si>
  <si>
    <t>QUIETCOVE-RAR PLAYMATE-ET</t>
  </si>
  <si>
    <t>HOLGBRM000000543503</t>
  </si>
  <si>
    <t>BIDLEA TELCAS ET</t>
  </si>
  <si>
    <t>BIDLEA CASAPPLE 204 ET</t>
  </si>
  <si>
    <t>TRAILYND TELSTAR TAXTON</t>
  </si>
  <si>
    <t>HOLGBRM000000548950</t>
  </si>
  <si>
    <t>LISDUFF SNOWVAN ET</t>
  </si>
  <si>
    <t>RELAY ARISE SWD VANGUARD ET</t>
  </si>
  <si>
    <t>LISDUFF SNOWDROP 50</t>
  </si>
  <si>
    <t>HOLIRLM141221380574</t>
  </si>
  <si>
    <t>DONEEN MARLEEN DESTINY</t>
  </si>
  <si>
    <t>T04</t>
  </si>
  <si>
    <t>DONEEN MARLEEN 31</t>
  </si>
  <si>
    <t>HOLIRLM151003540742</t>
  </si>
  <si>
    <t>BALLYMARTIN DESIGN 2</t>
  </si>
  <si>
    <t>BALLYMARTIN DAISY 31</t>
  </si>
  <si>
    <t>WOUDHOEVE RUSSEL</t>
  </si>
  <si>
    <t>BRFGBRM000000631042</t>
  </si>
  <si>
    <t>BRADASH TOURNAMENT</t>
  </si>
  <si>
    <t>BRADASH TORCHIE 38</t>
  </si>
  <si>
    <t>NEWFAILAND MR FROSTY</t>
  </si>
  <si>
    <t>HOLITAM019500366874</t>
  </si>
  <si>
    <t>IDEVRA RUB.RUACANA R ET TV TL</t>
  </si>
  <si>
    <t>RUBENS</t>
  </si>
  <si>
    <t>ROYAL IDEVRA DOROTEA ET RF TV</t>
  </si>
  <si>
    <t>HOLGBRM000000623777</t>
  </si>
  <si>
    <t>COGENT LOADER ET TV</t>
  </si>
  <si>
    <t>P08</t>
  </si>
  <si>
    <t>COGENT TUGOLO LOOKING 2</t>
  </si>
  <si>
    <t>HOLGBRM000000537295</t>
  </si>
  <si>
    <t>MOUNTFARNA WARDO</t>
  </si>
  <si>
    <t>A HILLTOPPER WARDEN</t>
  </si>
  <si>
    <t>MOUNTFARNA BAMBI 3</t>
  </si>
  <si>
    <t>HOLIRLM191181790567</t>
  </si>
  <si>
    <t>LEAGH NIHARRY 2</t>
  </si>
  <si>
    <t>HORST HARRY</t>
  </si>
  <si>
    <t>LEAGH NILASH</t>
  </si>
  <si>
    <t>HOLIRLM371454310466</t>
  </si>
  <si>
    <t>KILLGOREY BENJAMIN</t>
  </si>
  <si>
    <t>KILLGOREY MEADOW BETTY</t>
  </si>
  <si>
    <t>ETAZON MEADOW</t>
  </si>
  <si>
    <t>HOLCHEM714495085382</t>
  </si>
  <si>
    <t>BLITZ-ET</t>
  </si>
  <si>
    <t>JAY-BOB JORDAN-RED-ET</t>
  </si>
  <si>
    <t>BOHEMIENNE</t>
  </si>
  <si>
    <t>CLAYTOP WOODSTOCK-RED-ET *TL</t>
  </si>
  <si>
    <t>HOLIRLM341499280680</t>
  </si>
  <si>
    <t>SHINE LINDON</t>
  </si>
  <si>
    <t>CARHUE LENA 8</t>
  </si>
  <si>
    <t>HOLIRLM151002470483</t>
  </si>
  <si>
    <t>DOCHAS SAMMY 483</t>
  </si>
  <si>
    <t>DOCHAS SABRINA 7</t>
  </si>
  <si>
    <t>HOLUSAM000002144302</t>
  </si>
  <si>
    <t>JHP THARLA BLACKSTAR MORRIS</t>
  </si>
  <si>
    <t>JHP MARK MARY</t>
  </si>
  <si>
    <t>RDCNORM000000005277</t>
  </si>
  <si>
    <t>J.HARNESMYR</t>
  </si>
  <si>
    <t>SOMMERLIN</t>
  </si>
  <si>
    <t>M. ÅS</t>
  </si>
  <si>
    <t>HOLFRAM002992000444</t>
  </si>
  <si>
    <t>MILKBOARD HERACLES</t>
  </si>
  <si>
    <t>ERIC-DEW QUIETCOVE MICHEAL</t>
  </si>
  <si>
    <t>EXCISE</t>
  </si>
  <si>
    <t>HOLNLDM000815222426</t>
  </si>
  <si>
    <t>DOMA NIGHTHAWK CANM</t>
  </si>
  <si>
    <t>BATENBURG BAT TINA 824</t>
  </si>
  <si>
    <t>E-D TONTO CAVALIER</t>
  </si>
  <si>
    <t>JERCANM000010005582</t>
  </si>
  <si>
    <t>VALLEYSTREAM JULIAN</t>
  </si>
  <si>
    <t>CURTSEY DUNCAN JUDE ET</t>
  </si>
  <si>
    <t>RECORDRIDGE IMPERIAL JULIEANN</t>
  </si>
  <si>
    <t>MEADOW LAWN J IMPERIAL 50R ET</t>
  </si>
  <si>
    <t>HOLUSAM000053298118</t>
  </si>
  <si>
    <t>GREEN-CORNER MAHOGANY-ET</t>
  </si>
  <si>
    <t>MAYERLANE-SA DURHAM MAE-ET</t>
  </si>
  <si>
    <t>HOLDEUM000349944148</t>
  </si>
  <si>
    <t>RAMSES</t>
  </si>
  <si>
    <t>LUETTE</t>
  </si>
  <si>
    <t>MRYDEUM000113413215</t>
  </si>
  <si>
    <t>SWINGFOX</t>
  </si>
  <si>
    <t>RB</t>
  </si>
  <si>
    <t>PIETA 88 BEREND</t>
  </si>
  <si>
    <t>UFO 29</t>
  </si>
  <si>
    <t>RUBERTI</t>
  </si>
  <si>
    <t>HOLUSAM000135782006</t>
  </si>
  <si>
    <t>SCIENTIFIC SS DUSK-ET</t>
  </si>
  <si>
    <t>SCIENTIFIC DEBUTANTE RAE-ET</t>
  </si>
  <si>
    <t>HOLNLDM000420829678</t>
  </si>
  <si>
    <t>DC DOLAN</t>
  </si>
  <si>
    <t>P06</t>
  </si>
  <si>
    <t>DOUBLE DUTCH RONALD INGRID</t>
  </si>
  <si>
    <t>HOLUSAM000132795034</t>
  </si>
  <si>
    <t>LADYS-MANOR MONTAGUE-ET</t>
  </si>
  <si>
    <t>LADYS-MANOR MARIGOLD-ET</t>
  </si>
  <si>
    <t>HOLNLDM000378575946</t>
  </si>
  <si>
    <t>TIMMER TYSON</t>
  </si>
  <si>
    <t>NOVALIS LAURA</t>
  </si>
  <si>
    <t>HOLNZLM000000106025</t>
  </si>
  <si>
    <t>VALDEN JUDAS TRUETEST</t>
  </si>
  <si>
    <t>THOMSONS JUDAS</t>
  </si>
  <si>
    <t>VALDEN EXTASY TRUDY S2F</t>
  </si>
  <si>
    <t>HOLITAM019990113494</t>
  </si>
  <si>
    <t>CERVI WOODSTOCK ET TM TV TL</t>
  </si>
  <si>
    <t>CERVI LIVERMORE ET TM</t>
  </si>
  <si>
    <t>JERUSAM000061929249</t>
  </si>
  <si>
    <t>Q IMPULS</t>
  </si>
  <si>
    <t>WOODSTOCK LEMVIG LINDY</t>
  </si>
  <si>
    <t>JERNZLM000000310052</t>
  </si>
  <si>
    <t>WILLIAMS ATS FANTASTIC</t>
  </si>
  <si>
    <t>ABR TUNGSTEN STEEL S3J</t>
  </si>
  <si>
    <t>WILLIAMS NEVYS FANTASY</t>
  </si>
  <si>
    <t>JERCANM000102058939</t>
  </si>
  <si>
    <t>LENCREST BLACKSTONE -ET</t>
  </si>
  <si>
    <t>BW PARADE-ET</t>
  </si>
  <si>
    <t>RDCNORM000000010177</t>
  </si>
  <si>
    <t>KREJSTAD</t>
  </si>
  <si>
    <t>KJAER</t>
  </si>
  <si>
    <t>HOLDEUM000350840104</t>
  </si>
  <si>
    <t>MINOS</t>
  </si>
  <si>
    <t>ARABELLA</t>
  </si>
  <si>
    <t>SERONO</t>
  </si>
  <si>
    <t>HOLFRAM008576711724</t>
  </si>
  <si>
    <t>VILVORD</t>
  </si>
  <si>
    <t>SUZETTE</t>
  </si>
  <si>
    <t>MONFRAM003925961871</t>
  </si>
  <si>
    <t>VASCO JB</t>
  </si>
  <si>
    <t>JERDNKM000000303273</t>
  </si>
  <si>
    <t>VJ PICK</t>
  </si>
  <si>
    <t>DJ PRIMA</t>
  </si>
  <si>
    <t>DJ TRICK</t>
  </si>
  <si>
    <t>HOLNLDM000492339372</t>
  </si>
  <si>
    <t>FIRST-CHOICE</t>
  </si>
  <si>
    <t>RH FICTION</t>
  </si>
  <si>
    <t>LOTJE 30</t>
  </si>
  <si>
    <t>HOLCANM000011761788</t>
  </si>
  <si>
    <t>SILVERRIDGE ENDURE</t>
  </si>
  <si>
    <t>HOLCANM000011696699</t>
  </si>
  <si>
    <t>STANTONS CAPITAL GAIN</t>
  </si>
  <si>
    <t>MS CHASSITY OBS CLAIRE-ET</t>
  </si>
  <si>
    <t>DE-SU OBSERVER-ET</t>
  </si>
  <si>
    <t>HOLUSAM000064401212</t>
  </si>
  <si>
    <t>BOMAZ INGENIOUS-ET</t>
  </si>
  <si>
    <t>BOMAZ GARTER 2796-ET</t>
  </si>
  <si>
    <t>HOLNLDM000893665027</t>
  </si>
  <si>
    <t>FARMERS WISH J H MR WHITE</t>
  </si>
  <si>
    <t>HOEKLAND MAIK</t>
  </si>
  <si>
    <t>JIMM HOLSTEIN HELLEN 587</t>
  </si>
  <si>
    <t>SABBIONA BOOKIE TL G.M.***</t>
  </si>
  <si>
    <t>HOLNLDM000497740632</t>
  </si>
  <si>
    <t>LARON P</t>
  </si>
  <si>
    <t>SHINEY</t>
  </si>
  <si>
    <t>HOLUSAM000072851687</t>
  </si>
  <si>
    <t>DE-SU HAGLEY 12144-ET</t>
  </si>
  <si>
    <t>COOKIECUTTER PETRON HALOGEN</t>
  </si>
  <si>
    <t>DE-SU 1438-ET</t>
  </si>
  <si>
    <t>HOLIRLM351066161527</t>
  </si>
  <si>
    <t>CURRA ALFIE</t>
  </si>
  <si>
    <t>DUNGOURNEY CREMIN</t>
  </si>
  <si>
    <t>CURRA PIPER ANNE</t>
  </si>
  <si>
    <t>LAKESIDE VCP PAN PIPER-ET</t>
  </si>
  <si>
    <t>RDCCANM000108752413</t>
  </si>
  <si>
    <t>DUO STAR REVOLVER</t>
  </si>
  <si>
    <t>KAMOURASKA VOLVO -ET</t>
  </si>
  <si>
    <t>DUO STAR ATHENA -ET</t>
  </si>
  <si>
    <t>JELYCA OBLIQUE</t>
  </si>
  <si>
    <t>HOL840M003128977835</t>
  </si>
  <si>
    <t>MR SEAGULL-BAY MALDEVES-ET</t>
  </si>
  <si>
    <t>WESTENRADE ALTASPRING</t>
  </si>
  <si>
    <t>S-S-I MONRY MYESHA 9071-ET</t>
  </si>
  <si>
    <t>DE-SU RB MOONRAY 11038-ET</t>
  </si>
  <si>
    <t>HOLIRLM151941630798</t>
  </si>
  <si>
    <t>NEXTGEN KILKENNY</t>
  </si>
  <si>
    <t>BALLYBRIDE MWH CINDERELLA</t>
  </si>
  <si>
    <t>MURITAI APP WHISTLER S3F</t>
  </si>
  <si>
    <t>HOLNLDM000643705964</t>
  </si>
  <si>
    <t>SEM 17</t>
  </si>
  <si>
    <t>SEM 14</t>
  </si>
  <si>
    <t>SETSKE 244</t>
  </si>
  <si>
    <t>GRIETMAN 2</t>
  </si>
  <si>
    <t>HOL840M003141494328</t>
  </si>
  <si>
    <t>ABS OUTBACK-ET</t>
  </si>
  <si>
    <t>DE-SU 13050 SPECTRE-ET</t>
  </si>
  <si>
    <t>ABS 7326 BRAMBLE-ET</t>
  </si>
  <si>
    <t>RIVER-BRIDGE CO-OP TROY-ET</t>
  </si>
  <si>
    <t>HOLNZLM000000098305</t>
  </si>
  <si>
    <t>WOODINGS KOROMIKO*TL TV</t>
  </si>
  <si>
    <t>ATHOL MURRAYS EMINENCE</t>
  </si>
  <si>
    <t>HOLGBRM000000608210</t>
  </si>
  <si>
    <t>CRADENHILL EDEN ET</t>
  </si>
  <si>
    <t>RICECREST EMERSON ET</t>
  </si>
  <si>
    <t>CRADENHILL NICK CHRISTINA</t>
  </si>
  <si>
    <t>UNITED NICK ET</t>
  </si>
  <si>
    <t>HOLGBRM000009742887</t>
  </si>
  <si>
    <t>KYLEHUE HARDTAC ELSJE</t>
  </si>
  <si>
    <t>KYLEHUE ELSJE 88</t>
  </si>
  <si>
    <t>VORWAERTS</t>
  </si>
  <si>
    <t>HOLNLDM000175666991</t>
  </si>
  <si>
    <t>PROGRESSIVE LABWIND</t>
  </si>
  <si>
    <t>RONNAN SOUTHWIND BLISS</t>
  </si>
  <si>
    <t>HOLNLDM000845828021</t>
  </si>
  <si>
    <t>MONIQUES OSCAR 2</t>
  </si>
  <si>
    <t>ETAZON MONIQUE</t>
  </si>
  <si>
    <t>HOLDEUM001015205126</t>
  </si>
  <si>
    <t>LESTER</t>
  </si>
  <si>
    <t>CRESTBROOKE VALIANT ELLIE MAY</t>
  </si>
  <si>
    <t>HOLFRAM002292002626</t>
  </si>
  <si>
    <t>HARLEY</t>
  </si>
  <si>
    <t>FORTUNE</t>
  </si>
  <si>
    <t>JERDNKM000000049363</t>
  </si>
  <si>
    <t>FYN DYLOS</t>
  </si>
  <si>
    <t>SKAE IDYL</t>
  </si>
  <si>
    <t>CALTERN GLADIATOR</t>
  </si>
  <si>
    <t>DES PEUPLIERS REBEL</t>
  </si>
  <si>
    <t>BAER</t>
  </si>
  <si>
    <t>HOLIRLM000000000DKS</t>
  </si>
  <si>
    <t>DAMASKUS</t>
  </si>
  <si>
    <t>SK TRADS</t>
  </si>
  <si>
    <t>WESTLEY MATT GORDON</t>
  </si>
  <si>
    <t>NADIA</t>
  </si>
  <si>
    <t>HOLGBRM000000610165</t>
  </si>
  <si>
    <t>SEAVIEW TREY BLACKJACK</t>
  </si>
  <si>
    <t>MOUNTBEECH BLACKSTAR ET</t>
  </si>
  <si>
    <t>SEAVIEW TREY BUTTERCUP 5</t>
  </si>
  <si>
    <t>DFRNLDM000128522994</t>
  </si>
  <si>
    <t>BEDO</t>
  </si>
  <si>
    <t>BERKMEER BAS 99</t>
  </si>
  <si>
    <t>TITTENSER P KLAASKE 6</t>
  </si>
  <si>
    <t>WOUDHOEVE 670</t>
  </si>
  <si>
    <t>HOLDEUM001002496937</t>
  </si>
  <si>
    <t>MILKBOARD DAG</t>
  </si>
  <si>
    <t>HANOVER-HILL SWD DAGGER ET</t>
  </si>
  <si>
    <t>A TIKVAH TAINTED LADY</t>
  </si>
  <si>
    <t>HOLFRAM008791051702</t>
  </si>
  <si>
    <t>GOLDRIVER</t>
  </si>
  <si>
    <t>EPARGNE</t>
  </si>
  <si>
    <t>HOLGBRM000000536158</t>
  </si>
  <si>
    <t>LYONS DICTATOR ET</t>
  </si>
  <si>
    <t>LYONS DIANA</t>
  </si>
  <si>
    <t>HANOVER-HILL TRIPLE THREAT-RED</t>
  </si>
  <si>
    <t>HOLNLDM000829726406</t>
  </si>
  <si>
    <t>KL HILL MASQUITO</t>
  </si>
  <si>
    <t>NEYER BS LUCY</t>
  </si>
  <si>
    <t>VINZ</t>
  </si>
  <si>
    <t>HOLCANM000000392740</t>
  </si>
  <si>
    <t>BOND HAVEN EDEN</t>
  </si>
  <si>
    <t>BOND HAVEN VALIANT R EDDA</t>
  </si>
  <si>
    <t>HOLGBRM000000541641</t>
  </si>
  <si>
    <t>MOUNTFARNA WARDEN 6 ET</t>
  </si>
  <si>
    <t>CARNTEEL RACHAEL 2</t>
  </si>
  <si>
    <t>LAVENHAM CREATOR</t>
  </si>
  <si>
    <t>HOLNLDM000959580420</t>
  </si>
  <si>
    <t>MARTY RED ET</t>
  </si>
  <si>
    <t>BROOKS-TWAIN NUG SATAN</t>
  </si>
  <si>
    <t>NINA 54</t>
  </si>
  <si>
    <t>BORHART ELEVATION CAMILLE-RED</t>
  </si>
  <si>
    <t>HOLGBRM000000520279</t>
  </si>
  <si>
    <t>LISDUFF GOLDSMITH ET</t>
  </si>
  <si>
    <t>LISDUFF BEGONIA 109</t>
  </si>
  <si>
    <t>BALLINAHINA CREATOR 2</t>
  </si>
  <si>
    <t>HOLFRAM004493050102</t>
  </si>
  <si>
    <t>GALEGEADE</t>
  </si>
  <si>
    <t>MONIRLM129145748016</t>
  </si>
  <si>
    <t>IGOR</t>
  </si>
  <si>
    <t>DFRNLDM000269854402</t>
  </si>
  <si>
    <t>BOUWE 6</t>
  </si>
  <si>
    <t>TITTENSER DURK</t>
  </si>
  <si>
    <t>BEITSKE 218</t>
  </si>
  <si>
    <t>KLOOSTER SYNAEDA M1 ET</t>
  </si>
  <si>
    <t>HOLNLDM000226927987</t>
  </si>
  <si>
    <t>GENPOWER TOSS</t>
  </si>
  <si>
    <t>HOLIM STANS TORNEDO ET</t>
  </si>
  <si>
    <t>ETAZON VEGA</t>
  </si>
  <si>
    <t>DFRNLDM000174842545</t>
  </si>
  <si>
    <t>TITTENSER FRANS</t>
  </si>
  <si>
    <t>HOLFRAM004493050141</t>
  </si>
  <si>
    <t>IDGIL MASC</t>
  </si>
  <si>
    <t>GAULOISE</t>
  </si>
  <si>
    <t>HOLFRAM004487001865</t>
  </si>
  <si>
    <t>COUCOUNED</t>
  </si>
  <si>
    <t>VANOISE</t>
  </si>
  <si>
    <t>HOLDNKM000000222291</t>
  </si>
  <si>
    <t>NJY KOOP</t>
  </si>
  <si>
    <t>SIR CAL-CLARK NITE TRAIN-ET</t>
  </si>
  <si>
    <t>LADY</t>
  </si>
  <si>
    <t>HOLITAM006001003794</t>
  </si>
  <si>
    <t>CAROL MAS.TOLDO ET TL TV GM***</t>
  </si>
  <si>
    <t>DIXIE-LEE BSTAR BETSIE-ET</t>
  </si>
  <si>
    <t>HOLNZLM000000092279</t>
  </si>
  <si>
    <t>OKAU SECRET JACKO</t>
  </si>
  <si>
    <t>OKAU CARL JUDITH</t>
  </si>
  <si>
    <t>BRIGHTWATER D C CARL</t>
  </si>
  <si>
    <t>HOLCANM000005902195</t>
  </si>
  <si>
    <t>SHOREMAR JAMES</t>
  </si>
  <si>
    <t>STELBRO JENINE AEROSTAR</t>
  </si>
  <si>
    <t>HOLFRAM005689018128</t>
  </si>
  <si>
    <t>EPINAL KEN</t>
  </si>
  <si>
    <t>STARDELL VALIANT WINKEN ET</t>
  </si>
  <si>
    <t>BREEZYC 33</t>
  </si>
  <si>
    <t>HOLNLDM000286360173</t>
  </si>
  <si>
    <t>A.L.H. EURO</t>
  </si>
  <si>
    <t>CREEK GEOFFRY DOLLARS PI ET</t>
  </si>
  <si>
    <t>MAR-BIL COMMAND GEOFFRY-ET</t>
  </si>
  <si>
    <t>HOLGBRM000000584213</t>
  </si>
  <si>
    <t>COGENT MERRICK</t>
  </si>
  <si>
    <t>MAPEL WOOD MASCOT MARSHA</t>
  </si>
  <si>
    <t>MONFRAM003995011922</t>
  </si>
  <si>
    <t>LOUKSOR</t>
  </si>
  <si>
    <t>EMERAUDE</t>
  </si>
  <si>
    <t>VESPO</t>
  </si>
  <si>
    <t>NARDO</t>
  </si>
  <si>
    <t>REBE DN</t>
  </si>
  <si>
    <t>OVIDIUS</t>
  </si>
  <si>
    <t>NMDFRAM003596020464</t>
  </si>
  <si>
    <t>MYOSOTIS</t>
  </si>
  <si>
    <t>ELIXIR</t>
  </si>
  <si>
    <t>HOLNLDM000234631616</t>
  </si>
  <si>
    <t>SOUTHLAND VITUS</t>
  </si>
  <si>
    <t>SOUTHLAND DIENA 73</t>
  </si>
  <si>
    <t>BSWIRLM000000000HRI</t>
  </si>
  <si>
    <t>HORION</t>
  </si>
  <si>
    <t>HOLNZLM000000100006</t>
  </si>
  <si>
    <t>ROJAN HB BULLION</t>
  </si>
  <si>
    <t>LLANGOWER CELSIUS LAMA-ET</t>
  </si>
  <si>
    <t>HOLGBRM000000554545</t>
  </si>
  <si>
    <t>TIERNEY FLADUX</t>
  </si>
  <si>
    <t>BALLYSHEEN VADUZ</t>
  </si>
  <si>
    <t>POULALEA FLORA 3</t>
  </si>
  <si>
    <t>WILOWNA EXCELSIOR</t>
  </si>
  <si>
    <t>HOLFRAM007698010362</t>
  </si>
  <si>
    <t>ORPHIN</t>
  </si>
  <si>
    <t>JELTJE 39</t>
  </si>
  <si>
    <t>HOLNLDM000245383773</t>
  </si>
  <si>
    <t>WOUDHOEVE 958</t>
  </si>
  <si>
    <t>PIETJE 562</t>
  </si>
  <si>
    <t>HOLNZLM000000100070</t>
  </si>
  <si>
    <t>MULLINS FIRSTSERVE</t>
  </si>
  <si>
    <t>STEFANO</t>
  </si>
  <si>
    <t>MARTINS PARK</t>
  </si>
  <si>
    <t>MONFRAM007495022208</t>
  </si>
  <si>
    <t>HOLFRAM002994045378</t>
  </si>
  <si>
    <t>PROGRESSIVE JEANS</t>
  </si>
  <si>
    <t>HERMES</t>
  </si>
  <si>
    <t>HOLFRAM004596001397</t>
  </si>
  <si>
    <t>MARSHALL</t>
  </si>
  <si>
    <t>AG-HIGH SIGHTS BS INGOT-ET</t>
  </si>
  <si>
    <t>HEROINE</t>
  </si>
  <si>
    <t>HOLFRAM002921632635</t>
  </si>
  <si>
    <t>RADICAL</t>
  </si>
  <si>
    <t>ONDEE</t>
  </si>
  <si>
    <t>WELLS CATALYST ET</t>
  </si>
  <si>
    <t>BRFGBRM000000594527</t>
  </si>
  <si>
    <t>LAKEMEAD FOUNDATION</t>
  </si>
  <si>
    <t>WRAXCOURT BOUNTY</t>
  </si>
  <si>
    <t>LAKEMEAD SHAMROCK</t>
  </si>
  <si>
    <t>CREWILPOOL EMPORER 2</t>
  </si>
  <si>
    <t>MRYDEUM000577015312</t>
  </si>
  <si>
    <t>OLINDE</t>
  </si>
  <si>
    <t>C INGHOLM MOSQUITO-RED-TWIN</t>
  </si>
  <si>
    <t>HOLDEUM000578717053</t>
  </si>
  <si>
    <t>LAUREL</t>
  </si>
  <si>
    <t>LAY-OUT RED</t>
  </si>
  <si>
    <t>HOLIRLM371090920745</t>
  </si>
  <si>
    <t>RAHEENVARREN IVOR</t>
  </si>
  <si>
    <t>QG EARL ET</t>
  </si>
  <si>
    <t>RAHEENVARREN NHS IVY</t>
  </si>
  <si>
    <t>HOLFRAM003536863448</t>
  </si>
  <si>
    <t>PIMORIN</t>
  </si>
  <si>
    <t>MINELLA</t>
  </si>
  <si>
    <t>VIDO</t>
  </si>
  <si>
    <t>VINOS</t>
  </si>
  <si>
    <t>MIRA</t>
  </si>
  <si>
    <t>K.T.A.DOTSON</t>
  </si>
  <si>
    <t>HOLNLDM000355546501</t>
  </si>
  <si>
    <t>HOLBA MORTLANE</t>
  </si>
  <si>
    <t>SUNDAY ALH PRUDENCE ET</t>
  </si>
  <si>
    <t>HOLIRLM151059750429</t>
  </si>
  <si>
    <t>UACHTARLANN SJOERD</t>
  </si>
  <si>
    <t>UACHTARLANN ESZ KAREN</t>
  </si>
  <si>
    <t>ETAZON SLOGAN</t>
  </si>
  <si>
    <t>MONFRAM007264803068</t>
  </si>
  <si>
    <t>SOCRATE JB</t>
  </si>
  <si>
    <t>JORQUIN</t>
  </si>
  <si>
    <t>MEXICAINE</t>
  </si>
  <si>
    <t>EMBRUM</t>
  </si>
  <si>
    <t>JERUSAM000111446074</t>
  </si>
  <si>
    <t>FOREST GLEN LEMVIG GUNNER-ET</t>
  </si>
  <si>
    <t>FOREST GLEN BARBER GERT</t>
  </si>
  <si>
    <t>WF/L+M DUNCAN BARBER</t>
  </si>
  <si>
    <t>JUHUS</t>
  </si>
  <si>
    <t>JUVIN</t>
  </si>
  <si>
    <t>RIVI</t>
  </si>
  <si>
    <t>HUSSLI</t>
  </si>
  <si>
    <t>PROSSLI</t>
  </si>
  <si>
    <t>PRONTO 11 ET</t>
  </si>
  <si>
    <t>GOLDFEE</t>
  </si>
  <si>
    <t>HUSSLI 5146</t>
  </si>
  <si>
    <t>HOLGBRM000000632446</t>
  </si>
  <si>
    <t>LANGLEY BRIGADE ET</t>
  </si>
  <si>
    <t>LAVENHAM SOLDIER ET</t>
  </si>
  <si>
    <t>LANGLEY WINNER BLOSSOM</t>
  </si>
  <si>
    <t>LANGLEY BREADWINNER ET</t>
  </si>
  <si>
    <t>HOLNLDM000137788992</t>
  </si>
  <si>
    <t>MISTER DYNAMITE</t>
  </si>
  <si>
    <t>HOLNZLM000000096260</t>
  </si>
  <si>
    <t>FRANSENS HABAKKUK</t>
  </si>
  <si>
    <t>SRD SHALOMDALE AB BLOSSOM</t>
  </si>
  <si>
    <t>ATHOL B C BANDIT</t>
  </si>
  <si>
    <t>HOLGBRM000000551250</t>
  </si>
  <si>
    <t>KILGARRIFFE SOUTHWIND 2 ET</t>
  </si>
  <si>
    <t>KILGARRIFFE JUNE 7</t>
  </si>
  <si>
    <t>HOLGBRM000000551918</t>
  </si>
  <si>
    <t>CRADENHILL STAR BRYAN ET</t>
  </si>
  <si>
    <t>LYLEHAVEN JESSE MAVIS ET</t>
  </si>
  <si>
    <t>LEKKER IVANHO BELL JESSE ET</t>
  </si>
  <si>
    <t>HOLGBRM000000513839</t>
  </si>
  <si>
    <t>CLASH MARK ET</t>
  </si>
  <si>
    <t>AVONCROFT MATCHMAKER</t>
  </si>
  <si>
    <t>CLASH PHONSO OLIVE</t>
  </si>
  <si>
    <t>IRONSIDE ALPHONSO</t>
  </si>
  <si>
    <t>HOLDEUM001020835976</t>
  </si>
  <si>
    <t>CALAY</t>
  </si>
  <si>
    <t>BESSI</t>
  </si>
  <si>
    <t>SUN-VALLEY SENSATION NEIL</t>
  </si>
  <si>
    <t>DFRNLDM000319578258</t>
  </si>
  <si>
    <t>HOLWERDA AMOZ</t>
  </si>
  <si>
    <t>H EMMA 95</t>
  </si>
  <si>
    <t>JONICAAN 128</t>
  </si>
  <si>
    <t>HOLFRAM000287040039</t>
  </si>
  <si>
    <t>CANDIA</t>
  </si>
  <si>
    <t>PEN-COL WAYNE BEN</t>
  </si>
  <si>
    <t>SABRINA</t>
  </si>
  <si>
    <t>HOLNLDM000141436081</t>
  </si>
  <si>
    <t>GALTEE WINSTON 102</t>
  </si>
  <si>
    <t>SHADE E LANE C MIRANDA ET</t>
  </si>
  <si>
    <t>HOLIRLM141394220630</t>
  </si>
  <si>
    <t>(IG) CAM WESTER</t>
  </si>
  <si>
    <t>KIERNANS NORWESTER S1F</t>
  </si>
  <si>
    <t>MOUNTARD BWH ANNETTE 395</t>
  </si>
  <si>
    <t>BAGWORTH LANCE CAMELOT*TL TV</t>
  </si>
  <si>
    <t>HOLIRLM151623431298</t>
  </si>
  <si>
    <t>BALLYBRIDE ROCKET</t>
  </si>
  <si>
    <t>BALLYBRIDE UYC ROSE</t>
  </si>
  <si>
    <t>MRYDEUM000114239937</t>
  </si>
  <si>
    <t>DAFODIL</t>
  </si>
  <si>
    <t>BEATRIX</t>
  </si>
  <si>
    <t>HOLCANM000009388055</t>
  </si>
  <si>
    <t>BOFRAN LOUVRE</t>
  </si>
  <si>
    <t>SUMMERSHADE IGNITER ET</t>
  </si>
  <si>
    <t>COMESTAR LOUVE RUDOPLH</t>
  </si>
  <si>
    <t>HOLIRLM331125860554</t>
  </si>
  <si>
    <t>BIGPARK RUELSA</t>
  </si>
  <si>
    <t>COOLDRUM ERO ELSA</t>
  </si>
  <si>
    <t>EROS 68</t>
  </si>
  <si>
    <t>RDCNORM000000004603</t>
  </si>
  <si>
    <t>BORSET</t>
  </si>
  <si>
    <t>Y.SOLVOLL</t>
  </si>
  <si>
    <t>AUGUSTA</t>
  </si>
  <si>
    <t>Y.GRANLY</t>
  </si>
  <si>
    <t>MONFRAM007097013543</t>
  </si>
  <si>
    <t>IBELLE</t>
  </si>
  <si>
    <t>HOLIRLM351066130699</t>
  </si>
  <si>
    <t>CURRA ALLSTAR</t>
  </si>
  <si>
    <t>CURRA ROYAL CARRA</t>
  </si>
  <si>
    <t>HOLIRLM351243690522</t>
  </si>
  <si>
    <t>(IG) CURRAGHACNAV GOLD</t>
  </si>
  <si>
    <t>HOLDEUM000113878473</t>
  </si>
  <si>
    <t>JERUDO</t>
  </si>
  <si>
    <t>JEROM</t>
  </si>
  <si>
    <t>ZUCHTTAL06</t>
  </si>
  <si>
    <t>HOLIRLM131413410686</t>
  </si>
  <si>
    <t>(IG) CRANNY PAL</t>
  </si>
  <si>
    <t>CSH</t>
  </si>
  <si>
    <t>BAGWORTH KEETS PAL-ET</t>
  </si>
  <si>
    <t>HOLGBRM000000641000</t>
  </si>
  <si>
    <t>LAKEMEAD MARSHALL</t>
  </si>
  <si>
    <t>WINNOCH OFFICER</t>
  </si>
  <si>
    <t>LAKEMEAD MELODY 13</t>
  </si>
  <si>
    <t>BURGATE BENEDICT ET</t>
  </si>
  <si>
    <t>HOLUSAM000052805710</t>
  </si>
  <si>
    <t>SCHILLVIEW GARRETT-ET</t>
  </si>
  <si>
    <t>SCHILLVIEW MTOTO GIFT-ET</t>
  </si>
  <si>
    <t>CAROL P.MTOTO ET TV TL G.M.***</t>
  </si>
  <si>
    <t>HOLUSAM000062253387</t>
  </si>
  <si>
    <t>UFM-DUBS ELLROD-ET</t>
  </si>
  <si>
    <t>UFM-DUBS ELAINE</t>
  </si>
  <si>
    <t>HOLGBRM000000624020</t>
  </si>
  <si>
    <t>BIDLEA PADBURY PI</t>
  </si>
  <si>
    <t>SILVERPOST SINATRA</t>
  </si>
  <si>
    <t>BIDLEA JOLT PAPOOSE PL</t>
  </si>
  <si>
    <t>SECOND-LOOK JOLT</t>
  </si>
  <si>
    <t>JERDNKM000000302761</t>
  </si>
  <si>
    <t>DJ JANTE</t>
  </si>
  <si>
    <t>WINDY WILLOW MONTANA JACE</t>
  </si>
  <si>
    <t>QDA RIX</t>
  </si>
  <si>
    <t>HOLGBRM000000629184</t>
  </si>
  <si>
    <t>WOODMARSH LOTTO PI</t>
  </si>
  <si>
    <t>WOODMARSH JOLT LYME 4</t>
  </si>
  <si>
    <t>JERIRLM141556231683</t>
  </si>
  <si>
    <t>DOVEA DROM</t>
  </si>
  <si>
    <t>HOLIRLM151706421473</t>
  </si>
  <si>
    <t>SHANAKILLA FESTIVAL CARMEL 512</t>
  </si>
  <si>
    <t>JERCANM000007845900</t>
  </si>
  <si>
    <t>BRIDON SWAT</t>
  </si>
  <si>
    <t>BRIDON REMAKE SARAN-ET</t>
  </si>
  <si>
    <t>ROCK ELLA REMAKE ET</t>
  </si>
  <si>
    <t>MRYNLDM000418576414</t>
  </si>
  <si>
    <t>MAXIME DN</t>
  </si>
  <si>
    <t>MARIETJE S MANUEL</t>
  </si>
  <si>
    <t>DIKKIE 91</t>
  </si>
  <si>
    <t>HOLGBRM000000611311</t>
  </si>
  <si>
    <t>RICHAVEN SQUAWBUCK</t>
  </si>
  <si>
    <t>SEVERNVALES CHIEF SQUAW PI</t>
  </si>
  <si>
    <t>HOLIRLM141887911062</t>
  </si>
  <si>
    <t>GURTATREA JR EVEREST</t>
  </si>
  <si>
    <t>GURTATREA CBH ANGELA 634</t>
  </si>
  <si>
    <t>CORBOYS HACKETT</t>
  </si>
  <si>
    <t>HOLDEUM000662992189</t>
  </si>
  <si>
    <t>LASSE P</t>
  </si>
  <si>
    <t>MICHAELA</t>
  </si>
  <si>
    <t>POOS STADEL CLASSIC</t>
  </si>
  <si>
    <t>HOLGBRM000000658937</t>
  </si>
  <si>
    <t>GREETHAM BRADLEY</t>
  </si>
  <si>
    <t>DEANGATE OSBERT</t>
  </si>
  <si>
    <t>GREETHAM EXCEL ARABIS 2</t>
  </si>
  <si>
    <t>LANGLEY EXCEL ET</t>
  </si>
  <si>
    <t>HOLNZLM000000112033</t>
  </si>
  <si>
    <t>CETARA GB LONESTAR S3F</t>
  </si>
  <si>
    <t>GREENWELLS HF BONZA S3F</t>
  </si>
  <si>
    <t>TAYLORS PERFORMER S2F</t>
  </si>
  <si>
    <t>HOLIRLM141163861263</t>
  </si>
  <si>
    <t>BALLYDEHOB DAN 1263</t>
  </si>
  <si>
    <t>COOLNASOON FAIRGALT 2</t>
  </si>
  <si>
    <t>BALLYDEHOB DEU INA</t>
  </si>
  <si>
    <t>DONEEN MARLEEN HUGO</t>
  </si>
  <si>
    <t>HOLGBRM280948703568</t>
  </si>
  <si>
    <t>LANGLEY ROULETTE</t>
  </si>
  <si>
    <t>LANGLEY CENTRELLO</t>
  </si>
  <si>
    <t>LANGLEY ROCKET BLOSSOM ET</t>
  </si>
  <si>
    <t>HOLIRLM191903370822</t>
  </si>
  <si>
    <t>DOONMANAGH HMY MOSSY</t>
  </si>
  <si>
    <t>HIGHMOUNT KENNY</t>
  </si>
  <si>
    <t>DOONMANAGH LFM ROSE</t>
  </si>
  <si>
    <t>(IG) LISDUFF MASTERPIECE ET 1</t>
  </si>
  <si>
    <t>HOLCANM000107685055</t>
  </si>
  <si>
    <t>NORCA SILKY ALONZO</t>
  </si>
  <si>
    <t>ZANI BOLTON MASCALESE</t>
  </si>
  <si>
    <t>NORCA SILKY ALL RIGHT</t>
  </si>
  <si>
    <t>LIRR DREW DEMPSEY</t>
  </si>
  <si>
    <t>HOLNLDM000548077542</t>
  </si>
  <si>
    <t>DG CALANDO-ET</t>
  </si>
  <si>
    <t>LARCREST CALE-ET</t>
  </si>
  <si>
    <t>MONFRAM004926338710</t>
  </si>
  <si>
    <t>CRUMBLE JB</t>
  </si>
  <si>
    <t>VEDETTE</t>
  </si>
  <si>
    <t>MASOLINO</t>
  </si>
  <si>
    <t>MONFRAM005377645477</t>
  </si>
  <si>
    <t>HOMBRIK JB</t>
  </si>
  <si>
    <t>BOISSIA JB</t>
  </si>
  <si>
    <t>FAUVETTE</t>
  </si>
  <si>
    <t>HOLIRLM351066181586</t>
  </si>
  <si>
    <t>CURRA SAMPSON</t>
  </si>
  <si>
    <t>CURRA ROZ CARA</t>
  </si>
  <si>
    <t>HOL840M003008160513</t>
  </si>
  <si>
    <t>NO-FLA HURST-ET</t>
  </si>
  <si>
    <t>NO-FLA OMAN HEIDI 20611-ET</t>
  </si>
  <si>
    <t>HOLIRLM151941610557</t>
  </si>
  <si>
    <t>(IG) NEXTGEN PHC EIMER 557</t>
  </si>
  <si>
    <t>(IG) CURRIHEVERN RUDOLPH</t>
  </si>
  <si>
    <t>NEXTGEN HZO EIMER 1824</t>
  </si>
  <si>
    <t>HOLIRLM151555651310</t>
  </si>
  <si>
    <t>RONNOCO VIEW</t>
  </si>
  <si>
    <t>RONNOCO PSZ FRAN 1132</t>
  </si>
  <si>
    <t>JERDNKM000000304155</t>
  </si>
  <si>
    <t>VJ ADELGAARD HIHL HIWE</t>
  </si>
  <si>
    <t>MONFRAM007251982851</t>
  </si>
  <si>
    <t>JORDREN JB</t>
  </si>
  <si>
    <t>ELASTAR</t>
  </si>
  <si>
    <t>GRIMACE</t>
  </si>
  <si>
    <t>DIDEROT</t>
  </si>
  <si>
    <t>HOLCANM000012283285</t>
  </si>
  <si>
    <t>WESTCOAST GALAHAD</t>
  </si>
  <si>
    <t>SANDY-VALLEY-I PENMANSHIP</t>
  </si>
  <si>
    <t>IHG JACEY GRACE-ET</t>
  </si>
  <si>
    <t>COYNE-FARMS JACEY CRI-ET</t>
  </si>
  <si>
    <t>HOLGBRM937020165746</t>
  </si>
  <si>
    <t>CASTLEDALE RUBEN</t>
  </si>
  <si>
    <t>CASTLEDALE ECLIPSE</t>
  </si>
  <si>
    <t>CASTLEDALE GLENALBYN RUBY 10</t>
  </si>
  <si>
    <t>HOLNLDM000847990740</t>
  </si>
  <si>
    <t>SOUTHLAND MARKER</t>
  </si>
  <si>
    <t>CONANT-ACRES BS SIMONA-ET</t>
  </si>
  <si>
    <t>HOLNLDM000844814168</t>
  </si>
  <si>
    <t>SHINAGH ROCKY 5</t>
  </si>
  <si>
    <t>LORIE</t>
  </si>
  <si>
    <t>HOLFRAM004495050102</t>
  </si>
  <si>
    <t>LOTIER CEL</t>
  </si>
  <si>
    <t>GESSMAN</t>
  </si>
  <si>
    <t>HOLCANM000005336993</t>
  </si>
  <si>
    <t>LOUBEL DOUBLE PLAY</t>
  </si>
  <si>
    <t>LA PRESENTATION DEBY</t>
  </si>
  <si>
    <t>HOLUSAM000002042382</t>
  </si>
  <si>
    <t>WOODBINEK STAR BUCKY</t>
  </si>
  <si>
    <t>A NORTHCROFT ELLA ELEVATION</t>
  </si>
  <si>
    <t>HOLGBRM000000525811</t>
  </si>
  <si>
    <t>DOORLAS CASCADE 3</t>
  </si>
  <si>
    <t>COOLTOMIN PRIMROSE 4</t>
  </si>
  <si>
    <t>COOLTOMIN YACHTSMAN 3</t>
  </si>
  <si>
    <t>HOLNLDM000119107155</t>
  </si>
  <si>
    <t>DELTA RANCHER</t>
  </si>
  <si>
    <t>OUDKERKER CONSTANTIJN</t>
  </si>
  <si>
    <t>HOLFRAM002993000854</t>
  </si>
  <si>
    <t>GALTEE IMPAIR</t>
  </si>
  <si>
    <t>GEORGINA</t>
  </si>
  <si>
    <t>HOLFRAM002993000969</t>
  </si>
  <si>
    <t>GALTEE IMPETUEUX</t>
  </si>
  <si>
    <t>GABELLE</t>
  </si>
  <si>
    <t>DFRNLDM000784789225</t>
  </si>
  <si>
    <t>HOLWERDA PETTERSON</t>
  </si>
  <si>
    <t>HOLWERDA FIGNON</t>
  </si>
  <si>
    <t>HOVINGA</t>
  </si>
  <si>
    <t>HOLNLDM000199058251</t>
  </si>
  <si>
    <t>BARNKAMPER DODONE</t>
  </si>
  <si>
    <t>BARNKAMPER OCTAVIA 3</t>
  </si>
  <si>
    <t>ULKJE FARI S WAYNE 403 ET</t>
  </si>
  <si>
    <t>HOLGBRM000000513911</t>
  </si>
  <si>
    <t>BRICK PERFORMER 4</t>
  </si>
  <si>
    <t>OAKRIDGES PERFORMER</t>
  </si>
  <si>
    <t>BRICK DENORA 4</t>
  </si>
  <si>
    <t>NOREMEAD QUAKER</t>
  </si>
  <si>
    <t>HOLGBRM000000563788</t>
  </si>
  <si>
    <t>MOET MARTHA FRANCHISE ET</t>
  </si>
  <si>
    <t>MOET WINKEN MARTHA E ET</t>
  </si>
  <si>
    <t>FLOOR</t>
  </si>
  <si>
    <t>FLORIS</t>
  </si>
  <si>
    <t>JOZE 46</t>
  </si>
  <si>
    <t>HOLGBRM000000535117</t>
  </si>
  <si>
    <t>GEST ADMONANORE ET</t>
  </si>
  <si>
    <t>GEST DIMPLE 52</t>
  </si>
  <si>
    <t>GEST ADMIRATION</t>
  </si>
  <si>
    <t>HOLNLDM000474252002</t>
  </si>
  <si>
    <t>ALH AWARD ET</t>
  </si>
  <si>
    <t>MARGENE BLACKSTAR FRED</t>
  </si>
  <si>
    <t>DIXIELEE ALLYSON ET</t>
  </si>
  <si>
    <t>HOLNZLM000000095303</t>
  </si>
  <si>
    <t>SRC TIROHANGA GLENORCHY</t>
  </si>
  <si>
    <t>SRB TIROHANGA TP MOONBEAM</t>
  </si>
  <si>
    <t>TANGIMATI A P PRESIDENT</t>
  </si>
  <si>
    <t>HOLGBRM000000585261</t>
  </si>
  <si>
    <t>DOVEA COSMO</t>
  </si>
  <si>
    <t>HOLNLDM000199710399</t>
  </si>
  <si>
    <t>BAKERSFIELD MICK</t>
  </si>
  <si>
    <t>PRAIRIEBELLE GADIVA</t>
  </si>
  <si>
    <t>HOLNLDM000122901072</t>
  </si>
  <si>
    <t>DE CROB 0107</t>
  </si>
  <si>
    <t>HOLIM HEIDI TL</t>
  </si>
  <si>
    <t>STAN-BITZIE KIRK BELL BOSS</t>
  </si>
  <si>
    <t>NMDFRAM005388060023</t>
  </si>
  <si>
    <t>FRAN PENTAGONE</t>
  </si>
  <si>
    <t>FRAN TUNISIR</t>
  </si>
  <si>
    <t>FRAN JH</t>
  </si>
  <si>
    <t>HOLUSAM000002269746</t>
  </si>
  <si>
    <t>DE-KA-ACRES DANNIX ELMO ET</t>
  </si>
  <si>
    <t>DANNIX</t>
  </si>
  <si>
    <t>ROCKY-VU ELTON EDNA ELI-ET</t>
  </si>
  <si>
    <t>HOLNLDM000166582020</t>
  </si>
  <si>
    <t>ETAREGGE K+L ELIAS</t>
  </si>
  <si>
    <t>HOLNLDM000272158292</t>
  </si>
  <si>
    <t>FRANKENHOF ORION PI</t>
  </si>
  <si>
    <t>PEN-COL DECISION-ET</t>
  </si>
  <si>
    <t>MAR-RIVER BELWOOD ORIOLE PI ET</t>
  </si>
  <si>
    <t>HOLFRAM005692000232</t>
  </si>
  <si>
    <t>GENUS BAROMETER</t>
  </si>
  <si>
    <t>DJESSIE</t>
  </si>
  <si>
    <t>HOLNZLM000000096388</t>
  </si>
  <si>
    <t>KAPAWAI JIMTOWN POSH-ET</t>
  </si>
  <si>
    <t>ETAZON JIMTOWN</t>
  </si>
  <si>
    <t>SIEGBERT</t>
  </si>
  <si>
    <t>PIETA 150</t>
  </si>
  <si>
    <t>BETSIE 19'S MARS</t>
  </si>
  <si>
    <t>HOLNLDM000116675402</t>
  </si>
  <si>
    <t>BOS BUTS</t>
  </si>
  <si>
    <t>ETAZON LUTZ</t>
  </si>
  <si>
    <t>HOLITAM002402003745</t>
  </si>
  <si>
    <t>ALL.PARTI THAIWAN RF TL</t>
  </si>
  <si>
    <t>RANE</t>
  </si>
  <si>
    <t>JERNZLM000000094421</t>
  </si>
  <si>
    <t>VAN DER FITS FJORD</t>
  </si>
  <si>
    <t>VAN DER FITS 8815 SJ3</t>
  </si>
  <si>
    <t>KAIMUA GOLIATH</t>
  </si>
  <si>
    <t>HOLNLDM000247769533</t>
  </si>
  <si>
    <t>Q G PIETJE 298</t>
  </si>
  <si>
    <t>HOLGBRM000000581566</t>
  </si>
  <si>
    <t>REARY DECLAN 7 ET</t>
  </si>
  <si>
    <t>REARY NORAH 6</t>
  </si>
  <si>
    <t>WARMINGHAM ROYALIST</t>
  </si>
  <si>
    <t>HOLGBRM000000552741</t>
  </si>
  <si>
    <t>LISDUFF ELWIND</t>
  </si>
  <si>
    <t>LISDUFF PONTIAC ELLEN</t>
  </si>
  <si>
    <t>HOLNLDM000166582253</t>
  </si>
  <si>
    <t>ETAREGGE ANJO</t>
  </si>
  <si>
    <t>ANNA 176</t>
  </si>
  <si>
    <t>HOLITAM004008026381</t>
  </si>
  <si>
    <t>ELEFANTI INGOT OLIMPIC</t>
  </si>
  <si>
    <t>ELEFANTI INDEX</t>
  </si>
  <si>
    <t>MONFRAM002590005930</t>
  </si>
  <si>
    <t>FOUCRAY</t>
  </si>
  <si>
    <t>AUBEPINE</t>
  </si>
  <si>
    <t>NMDFRAM008590015651</t>
  </si>
  <si>
    <t>FUKRAIN</t>
  </si>
  <si>
    <t>FRAN SOLINGEN</t>
  </si>
  <si>
    <t>FRAN UKRAINE</t>
  </si>
  <si>
    <t>FRAN BARACUDA</t>
  </si>
  <si>
    <t>MONFRAM002590017800</t>
  </si>
  <si>
    <t>FAXOU</t>
  </si>
  <si>
    <t>AVEYROW</t>
  </si>
  <si>
    <t>MONFRAM000191005548</t>
  </si>
  <si>
    <t>GALISET</t>
  </si>
  <si>
    <t>BALISETTE</t>
  </si>
  <si>
    <t>MONFRAM007091019101</t>
  </si>
  <si>
    <t>GOMENAL</t>
  </si>
  <si>
    <t>VALIDE</t>
  </si>
  <si>
    <t>BELLE DE J</t>
  </si>
  <si>
    <t>HOLNLDM000247484319</t>
  </si>
  <si>
    <t>CHARTROISE ROCKY</t>
  </si>
  <si>
    <t>T00</t>
  </si>
  <si>
    <t>MOROVILLE MASCOT BROCK</t>
  </si>
  <si>
    <t>SHADE-E-LANE-S SUMMER ET</t>
  </si>
  <si>
    <t>MONFRAM002587017663</t>
  </si>
  <si>
    <t>CHOUCAS</t>
  </si>
  <si>
    <t>TITANE</t>
  </si>
  <si>
    <t>HOLNLDM000276740079</t>
  </si>
  <si>
    <t>DOLLARMAN PI</t>
  </si>
  <si>
    <t>JERNZLM000000092401</t>
  </si>
  <si>
    <t>NEWSTEAD DANBURY E.T.</t>
  </si>
  <si>
    <t>BOOMER SOONER OF CJF</t>
  </si>
  <si>
    <t>ROYAL COMEDY</t>
  </si>
  <si>
    <t>MRYNLDM000243941315</t>
  </si>
  <si>
    <t>PETER</t>
  </si>
  <si>
    <t>HERMIEN 65</t>
  </si>
  <si>
    <t>HOLCANM000006293831</t>
  </si>
  <si>
    <t>SUDESSE PERMISSION</t>
  </si>
  <si>
    <t>SILKY PRELUDE KIMPALA ET</t>
  </si>
  <si>
    <t>MRYDEUM000001591010</t>
  </si>
  <si>
    <t>SQUASH DN</t>
  </si>
  <si>
    <t>T94</t>
  </si>
  <si>
    <t>CARSTENS</t>
  </si>
  <si>
    <t>NOFRETETE</t>
  </si>
  <si>
    <t>LEGIN</t>
  </si>
  <si>
    <t>MRYDEUM000102848557</t>
  </si>
  <si>
    <t>VARDO</t>
  </si>
  <si>
    <t>OPUS</t>
  </si>
  <si>
    <t>HOLUSAM000002088971</t>
  </si>
  <si>
    <t>WORMOUNT CLEITUS DUBLIN</t>
  </si>
  <si>
    <t>WORMONT DUCHESS</t>
  </si>
  <si>
    <t>HOLUSAM000002289624</t>
  </si>
  <si>
    <t>WHITTAIL-VALLEY ZEST-ET</t>
  </si>
  <si>
    <t>CHANCE SOUTHWIND LB ZACK ET</t>
  </si>
  <si>
    <t>MEL-HAM WINKEN CON 873</t>
  </si>
  <si>
    <t>HOLUSAM000002283609</t>
  </si>
  <si>
    <t>BE-WARE JUROR GENO</t>
  </si>
  <si>
    <t>BE-WARE NICK GINA PI</t>
  </si>
  <si>
    <t>HOLGBRM000000542277</t>
  </si>
  <si>
    <t>BIDLEA CASTEL ET</t>
  </si>
  <si>
    <t>BRFGBRM000000559230</t>
  </si>
  <si>
    <t>HUNDAY BERTHA 25 ET</t>
  </si>
  <si>
    <t>HOLUSAM000002287330</t>
  </si>
  <si>
    <t>S-M-E MANDEL COCONUT</t>
  </si>
  <si>
    <t>DE-SU AEROSTAR COKE PI</t>
  </si>
  <si>
    <t>HOLNLDM000216856114</t>
  </si>
  <si>
    <t>A.L.H. EXPRESS</t>
  </si>
  <si>
    <t>HOLAUSM000A00007327</t>
  </si>
  <si>
    <t>STRATHAIRE SOUTHWIND LUKE ET</t>
  </si>
  <si>
    <t>STRATHAIRE I CHARITY</t>
  </si>
  <si>
    <t>HOLGBRM000000602730</t>
  </si>
  <si>
    <t>CRADENHILL FAMER</t>
  </si>
  <si>
    <t>CRADENHILL LILLY FAME ET</t>
  </si>
  <si>
    <t>HOLGBRM000000605646</t>
  </si>
  <si>
    <t>DOVEA MILLENIUM ET</t>
  </si>
  <si>
    <t>HOLUSAM000002123419</t>
  </si>
  <si>
    <t>HENKESEEN MARCI MARVELOUS</t>
  </si>
  <si>
    <t>HENKESEEN MARK MARCI</t>
  </si>
  <si>
    <t>HOLDEUM001020637697</t>
  </si>
  <si>
    <t>CHIEF</t>
  </si>
  <si>
    <t>LIANE 10</t>
  </si>
  <si>
    <t>HOLGBRM000000549879</t>
  </si>
  <si>
    <t>MOET FLIRT DELIVER ET</t>
  </si>
  <si>
    <t>ODYSSEY ROYAL FLIRT ET</t>
  </si>
  <si>
    <t>HOLGBRM000000559621</t>
  </si>
  <si>
    <t>GENUS LANCASTER ET</t>
  </si>
  <si>
    <t>PICKARD-ACRES VIC KAI</t>
  </si>
  <si>
    <t>MYERWOOD BELL LIZZIE</t>
  </si>
  <si>
    <t>HOLUSAM000002184421</t>
  </si>
  <si>
    <t>LENZWAY TESK RUBYTOM ET</t>
  </si>
  <si>
    <t>ROBTHOM RUBY ET</t>
  </si>
  <si>
    <t>HOLNLDM000861428018</t>
  </si>
  <si>
    <t>VEELUST JIG HOLIDAY</t>
  </si>
  <si>
    <t>BONTJE</t>
  </si>
  <si>
    <t>HOLUSAM000002193272</t>
  </si>
  <si>
    <t>PAULO-BRO RTL DEMAND TCG-ET</t>
  </si>
  <si>
    <t>PAULO-BRO MARK DELIGHT 3206-ET</t>
  </si>
  <si>
    <t>HOLGBRM000000541600</t>
  </si>
  <si>
    <t>MILKBOARD STEADY DORF</t>
  </si>
  <si>
    <t>DORFLADY</t>
  </si>
  <si>
    <t>HOLFRAM002296001729</t>
  </si>
  <si>
    <t>PROGRESSIVE MAVELIN</t>
  </si>
  <si>
    <t>JAVELINE</t>
  </si>
  <si>
    <t>HOLGBRM000000003722</t>
  </si>
  <si>
    <t>AVONDALE VIKING</t>
  </si>
  <si>
    <t>HOLGBRM000000558121</t>
  </si>
  <si>
    <t>BALLYDOYLE ALFRED</t>
  </si>
  <si>
    <t>LINDE ALFRED</t>
  </si>
  <si>
    <t>BALLYDOYLE ANGELINA 39</t>
  </si>
  <si>
    <t>FRANS PAN</t>
  </si>
  <si>
    <t>HOLGBRM000000542279</t>
  </si>
  <si>
    <t>BIDLEA VALENCE ET</t>
  </si>
  <si>
    <t>DFRNLDM000826100296</t>
  </si>
  <si>
    <t>HOLWERDA LINGUS</t>
  </si>
  <si>
    <t>RIVELLA 160</t>
  </si>
  <si>
    <t>HOLWERDA JANKE 380</t>
  </si>
  <si>
    <t>HOLNLDM000110651329</t>
  </si>
  <si>
    <t>HOLIM ALBERT</t>
  </si>
  <si>
    <t>HOLNLDM000319714186</t>
  </si>
  <si>
    <t>HOLWERDA MALDINI</t>
  </si>
  <si>
    <t>HOLWERDA KLASKE 213</t>
  </si>
  <si>
    <t>HOLCANM000000390570</t>
  </si>
  <si>
    <t>C HANOVERHILL TRANSLATOR</t>
  </si>
  <si>
    <t>HANOVERHILL ANNETTE ET</t>
  </si>
  <si>
    <t>HOLNLDM000189787206</t>
  </si>
  <si>
    <t>OL FLORINO</t>
  </si>
  <si>
    <t>ROBTHOM INFINITY</t>
  </si>
  <si>
    <t>PLUSHANSKI LEADMAN FLUTE ET</t>
  </si>
  <si>
    <t>HOLFRAM006290021716</t>
  </si>
  <si>
    <t>FLATEUR</t>
  </si>
  <si>
    <t>BAY MIRA</t>
  </si>
  <si>
    <t>HOLITAM002001019836</t>
  </si>
  <si>
    <t>GEGANIA CHIEF WALK</t>
  </si>
  <si>
    <t>GEGANIA PETE BETSY</t>
  </si>
  <si>
    <t>STRAIGHT-PINE ELEVATION PETE</t>
  </si>
  <si>
    <t>HOLNLDM000316420499</t>
  </si>
  <si>
    <t>DELTA JAGUAR</t>
  </si>
  <si>
    <t>GINNY</t>
  </si>
  <si>
    <t>HOLGBRM000000542590</t>
  </si>
  <si>
    <t>DOVEA NED BOY</t>
  </si>
  <si>
    <t>HEIDEMARIE</t>
  </si>
  <si>
    <t>PENN-DELL ELEVATION IVAN</t>
  </si>
  <si>
    <t>HOLGBRM000000523721</t>
  </si>
  <si>
    <t>CROAGH TEMPO</t>
  </si>
  <si>
    <t>ROYBROOK TEMPO</t>
  </si>
  <si>
    <t>CLONSWORDS VERA 34</t>
  </si>
  <si>
    <t>BRYNHYFRYD REFLECTION</t>
  </si>
  <si>
    <t>HOLNLDM000195230413</t>
  </si>
  <si>
    <t>SPIJKST MAURITS</t>
  </si>
  <si>
    <t>KINGS-RANSOM MASCOT DEB-ET</t>
  </si>
  <si>
    <t>HOLUSAM000002216459</t>
  </si>
  <si>
    <t>RIDGE-STAR JUSTY-ET</t>
  </si>
  <si>
    <t>RIDGE-STAR LEADMAN JULIE-ET</t>
  </si>
  <si>
    <t>HOLUSAM000002119660</t>
  </si>
  <si>
    <t>END-ROAD BLACKSTAR MAJIC-ET</t>
  </si>
  <si>
    <t>END-ROAD MARK MICKEY</t>
  </si>
  <si>
    <t>HOLNLDM000460508522</t>
  </si>
  <si>
    <t>HOW-EL-ACRES K BELLMAN-ET</t>
  </si>
  <si>
    <t>WEA-LAND BELL ELLA</t>
  </si>
  <si>
    <t>HOLNLDM000836692859</t>
  </si>
  <si>
    <t>EASTLAND DAYLIGHT</t>
  </si>
  <si>
    <t>EASTLAND GOLDEN</t>
  </si>
  <si>
    <t>HOLUSAM000002008743</t>
  </si>
  <si>
    <t>EXRANCO JAKE ET</t>
  </si>
  <si>
    <t>GILTEX CARLIN M JOLLY</t>
  </si>
  <si>
    <t>DFRDEUM001262016315</t>
  </si>
  <si>
    <t>DOVEA RENEGAT</t>
  </si>
  <si>
    <t>RENEGAT</t>
  </si>
  <si>
    <t>MAIKAEFER</t>
  </si>
  <si>
    <t>ANTUS</t>
  </si>
  <si>
    <t>HOLUSAM000002150841</t>
  </si>
  <si>
    <t>CARNATION BELL BRYANT-ET</t>
  </si>
  <si>
    <t>CARNATION CHAIRMAN BEATRICE ET</t>
  </si>
  <si>
    <t>HOLDEUM001020688243</t>
  </si>
  <si>
    <t>CBL OCEAN PIRATE</t>
  </si>
  <si>
    <t>ERICDEW CONDUCTOR PEGGY</t>
  </si>
  <si>
    <t>WAPA ARLINDA CONDUCTOR</t>
  </si>
  <si>
    <t>HOLITAM006001001962</t>
  </si>
  <si>
    <t>HOLGBRM000000541872</t>
  </si>
  <si>
    <t>CRADENHILL ASTRO COLL ET</t>
  </si>
  <si>
    <t>HOLGBRM000000555822</t>
  </si>
  <si>
    <t>HOLGBRM000000588111</t>
  </si>
  <si>
    <t>REARY FALKO</t>
  </si>
  <si>
    <t>DOVEA FALKO 2</t>
  </si>
  <si>
    <t>HOLAUSM000A00006889</t>
  </si>
  <si>
    <t>SHOREMAR PERFECT STAR (ET)</t>
  </si>
  <si>
    <t>A VALIANT MARS PERFECTION ET</t>
  </si>
  <si>
    <t>HOLNLDM000844948070</t>
  </si>
  <si>
    <t>HEDRA TIPTOP</t>
  </si>
  <si>
    <t>FEIKJE'S PINKPOP ET</t>
  </si>
  <si>
    <t>KATINKA</t>
  </si>
  <si>
    <t>HOLGBRM000000584383</t>
  </si>
  <si>
    <t>KILGARRIFFE LORD LILY</t>
  </si>
  <si>
    <t>KILGARRIFFE AGATHA 64</t>
  </si>
  <si>
    <t>HOLGBRM000000555596</t>
  </si>
  <si>
    <t>KILGARRIFFE LEADMAN</t>
  </si>
  <si>
    <t>THUBOROUGH DAISEY 300</t>
  </si>
  <si>
    <t>A LONSFARM REVELATION</t>
  </si>
  <si>
    <t>HOLGBRM000000518407</t>
  </si>
  <si>
    <t>LISDUFF SILVERSMITH</t>
  </si>
  <si>
    <t>HOLGBRM000000548952</t>
  </si>
  <si>
    <t>LISDUFF VANGUARD ET</t>
  </si>
  <si>
    <t>LISDUFF DUCHESS 5 ET</t>
  </si>
  <si>
    <t>HOLCANM000005757117</t>
  </si>
  <si>
    <t>COMESTAR LAURA BLACK ET</t>
  </si>
  <si>
    <t>HOLNLDM000117838020</t>
  </si>
  <si>
    <t>PROGRESSIVE JABMAN</t>
  </si>
  <si>
    <t>KOOPMANS</t>
  </si>
  <si>
    <t>HOLUSAM000002027752</t>
  </si>
  <si>
    <t>ELUSIVE ROTATE DUKE ET</t>
  </si>
  <si>
    <t>BONWOOD VALIANT DREAM</t>
  </si>
  <si>
    <t>HOLUSAM000002164027</t>
  </si>
  <si>
    <t>EXRANCO SIKKEMA LEAD</t>
  </si>
  <si>
    <t>EXTRANCO MARK LUCY</t>
  </si>
  <si>
    <t>HOLNLDM000833665670</t>
  </si>
  <si>
    <t>SHIRBERT STARWAR YEARLY</t>
  </si>
  <si>
    <t>BIT-O-WIND STARWAR</t>
  </si>
  <si>
    <t>HOLNLDM000780180664</t>
  </si>
  <si>
    <t>HOLUSAM000002237825</t>
  </si>
  <si>
    <t>FUTURALAND AEROSTAR ZEUS ET</t>
  </si>
  <si>
    <t>CON-ACRES-HS ZITA-ET</t>
  </si>
  <si>
    <t>HOLNLDM000141785116</t>
  </si>
  <si>
    <t>FRANKENHOF DARLING</t>
  </si>
  <si>
    <t>FRANKENHOF LENORA 79 TL</t>
  </si>
  <si>
    <t>HOLDEUM001013278183</t>
  </si>
  <si>
    <t>TRAILOR</t>
  </si>
  <si>
    <t>LAMELLE</t>
  </si>
  <si>
    <t>MONFRAM002586005295</t>
  </si>
  <si>
    <t>BRAC</t>
  </si>
  <si>
    <t>ODIEUSE</t>
  </si>
  <si>
    <t>VAILLANT</t>
  </si>
  <si>
    <t>HOLNLDM000274367782</t>
  </si>
  <si>
    <t>BARTELS DALLAS</t>
  </si>
  <si>
    <t>CREEK GEOFFRY DALLAS ET</t>
  </si>
  <si>
    <t>RDCNZLM000000061626</t>
  </si>
  <si>
    <t>BROOKVIEW CASANOVA</t>
  </si>
  <si>
    <t>KINGSWAY CASANOVA ET</t>
  </si>
  <si>
    <t>KITEROA MOVIE CHOC</t>
  </si>
  <si>
    <t>KITEROA BO PEPPERONI</t>
  </si>
  <si>
    <t>HOLDNKM000000041522</t>
  </si>
  <si>
    <t>CLOVERHILL GUNNER</t>
  </si>
  <si>
    <t>HOLNLDM000149310675</t>
  </si>
  <si>
    <t>DELTA BENTLEY</t>
  </si>
  <si>
    <t>ETAZON ASSEN PI</t>
  </si>
  <si>
    <t>HOLNLDM000239368175</t>
  </si>
  <si>
    <t>DIAMOND LUCK</t>
  </si>
  <si>
    <t>DIAMANT</t>
  </si>
  <si>
    <t>NMDFRAM003588051467</t>
  </si>
  <si>
    <t>DRIVER</t>
  </si>
  <si>
    <t>FRAN SARREBRUCK</t>
  </si>
  <si>
    <t>FRAN TENDRESSE</t>
  </si>
  <si>
    <t>JERDNKM000000048201</t>
  </si>
  <si>
    <t>JAS ROLEX</t>
  </si>
  <si>
    <t>18628-0705</t>
  </si>
  <si>
    <t>FYN INDEX</t>
  </si>
  <si>
    <t>HOLUSAM000002289419</t>
  </si>
  <si>
    <t>MILEY GILBERT-ET</t>
  </si>
  <si>
    <t>MILEY STARWALKER GENEVA PI ET</t>
  </si>
  <si>
    <t>TO-MAR STARWALKER-ET</t>
  </si>
  <si>
    <t>HOLNLDM000228288730</t>
  </si>
  <si>
    <t>OL BAZARIS</t>
  </si>
  <si>
    <t>MARGRIET</t>
  </si>
  <si>
    <t>MRYNLDM000963664240</t>
  </si>
  <si>
    <t>PIETA 138</t>
  </si>
  <si>
    <t>PLAKAT</t>
  </si>
  <si>
    <t>RICARDA 96</t>
  </si>
  <si>
    <t>OLYMPIA</t>
  </si>
  <si>
    <t>MRYDEUM000109985878</t>
  </si>
  <si>
    <t>PELZ</t>
  </si>
  <si>
    <t>IRIS</t>
  </si>
  <si>
    <t>URAL</t>
  </si>
  <si>
    <t>HOLGBRM000000576453</t>
  </si>
  <si>
    <t>CRADENHILL DAL ESKIMO ET</t>
  </si>
  <si>
    <t>CRADENHILL L DALLAS ET</t>
  </si>
  <si>
    <t>HOLNLDM000848414203</t>
  </si>
  <si>
    <t>ANDREAS CUBBY</t>
  </si>
  <si>
    <t>LYLEHAVEN NED ANDREA-ET</t>
  </si>
  <si>
    <t>HOLNLDM000201545517</t>
  </si>
  <si>
    <t>WOUDHOEVE DARCO</t>
  </si>
  <si>
    <t>HOLGBRM000000542002</t>
  </si>
  <si>
    <t>DELIGHTFUL GABRIEL</t>
  </si>
  <si>
    <t>DELIGHTFUL BELL 7</t>
  </si>
  <si>
    <t>ULLSWATER ROYBROOK</t>
  </si>
  <si>
    <t>HOLGBRM000000552222</t>
  </si>
  <si>
    <t>DOURNANE SUNNY BOY</t>
  </si>
  <si>
    <t>BRICKNELL RUBY 196</t>
  </si>
  <si>
    <t>BRFGBRM000000518395</t>
  </si>
  <si>
    <t>CROMAGLOUN MINOTAUR</t>
  </si>
  <si>
    <t>WALLSCROSS LADY SWEET</t>
  </si>
  <si>
    <t>BRYNHYFRYD EMPORER</t>
  </si>
  <si>
    <t>HOLCANM000000400935</t>
  </si>
  <si>
    <t>COMBINATION SUPERSIRE</t>
  </si>
  <si>
    <t>A KINGSTEAD VALIANT TAB</t>
  </si>
  <si>
    <t>LOVAL SHEIK JEN</t>
  </si>
  <si>
    <t>HOLNLDM000176616841</t>
  </si>
  <si>
    <t>COOKS BLEU SAIND ET</t>
  </si>
  <si>
    <t>MEL-HAM DIXIE-LEE SAND-ET</t>
  </si>
  <si>
    <t>HOLNLDM000860788771</t>
  </si>
  <si>
    <t>QG BELERO ET</t>
  </si>
  <si>
    <t>S PIETJE 284 ET</t>
  </si>
  <si>
    <t>HOLNLDM000178617721</t>
  </si>
  <si>
    <t>QG NAPOLEON</t>
  </si>
  <si>
    <t>BON NELLIE 666</t>
  </si>
  <si>
    <t>DFRNLDM000319203158</t>
  </si>
  <si>
    <t>SETSKES JUPITER 1 ET</t>
  </si>
  <si>
    <t>JUPITER 161</t>
  </si>
  <si>
    <t>SETSKE 110</t>
  </si>
  <si>
    <t>HOLNLDM000194724270</t>
  </si>
  <si>
    <t>MESLAND PRINCE</t>
  </si>
  <si>
    <t>BROEKS JANNA 738</t>
  </si>
  <si>
    <t>HOLNLDM000780194449</t>
  </si>
  <si>
    <t>RIEB IDA SUNNY 281</t>
  </si>
  <si>
    <t>RIEB IDA 216</t>
  </si>
  <si>
    <t>FLEMINGDALE ACHILLES SUPERSTAR</t>
  </si>
  <si>
    <t>HOLDEUM000101645705</t>
  </si>
  <si>
    <t>ROELS</t>
  </si>
  <si>
    <t>NORWIND (DEU)</t>
  </si>
  <si>
    <t>HOLFRAM005395003718</t>
  </si>
  <si>
    <t>LAMBRIS</t>
  </si>
  <si>
    <t>FARINETTE</t>
  </si>
  <si>
    <t>RIPVALLEY SWEET-H TRAVIS-TWIN</t>
  </si>
  <si>
    <t>HOLGBRM000000540792</t>
  </si>
  <si>
    <t>BISHAMPTON MIDNIGHT EQUATION</t>
  </si>
  <si>
    <t>DESLACS MIDNIGHT ET</t>
  </si>
  <si>
    <t>BISHAMPTON TOTAL ECLIPSE 19</t>
  </si>
  <si>
    <t>HOLNLDM000816368428</t>
  </si>
  <si>
    <t>BATENBURG GEERT</t>
  </si>
  <si>
    <t>MAPEL WOOD IDEAL</t>
  </si>
  <si>
    <t>BATENBURG BAT GINSTER 642</t>
  </si>
  <si>
    <t>RIEHLHOLM MUTUAL</t>
  </si>
  <si>
    <t>HOLCANM000000390288</t>
  </si>
  <si>
    <t>BREVET BUCK</t>
  </si>
  <si>
    <t>GRASSHILL MUSIQUE ET</t>
  </si>
  <si>
    <t>CAL-CLARK CUTLASS</t>
  </si>
  <si>
    <t>HOLGBRM000000530633</t>
  </si>
  <si>
    <t>BAWNAUGHRA ROYAL BOY</t>
  </si>
  <si>
    <t>RAINSTOWN LILY 2</t>
  </si>
  <si>
    <t>BARTONHOO PROSPERITY</t>
  </si>
  <si>
    <t>HOLUSAM000002093675</t>
  </si>
  <si>
    <t>JENNITON-R KIMBERLY-ET</t>
  </si>
  <si>
    <t>HOLGBRM000000518887</t>
  </si>
  <si>
    <t>MOUNTFARNA WITNESS 2</t>
  </si>
  <si>
    <t>NOREMEAD WITNESS</t>
  </si>
  <si>
    <t>MOUNTFARNA FAY 12</t>
  </si>
  <si>
    <t>ULLSWATER ROYAL SOVEREIGN</t>
  </si>
  <si>
    <t>HOLNLDM000194724092</t>
  </si>
  <si>
    <t>MESLAND PRINCE 9711</t>
  </si>
  <si>
    <t>EASTLAND GLENDA TL</t>
  </si>
  <si>
    <t>HOLGBRM000000544834</t>
  </si>
  <si>
    <t>LAURELMORE TORPEADO ET</t>
  </si>
  <si>
    <t>LAURELMORE JEWEL 7</t>
  </si>
  <si>
    <t>DAWSTOWN GRYNDOL 2</t>
  </si>
  <si>
    <t>HOLGBRM000000561059</t>
  </si>
  <si>
    <t>LISDUFF MOMENTUM 3</t>
  </si>
  <si>
    <t>LISDUFF SUNFLOWER 207</t>
  </si>
  <si>
    <t>HOLNLDM000231517661</t>
  </si>
  <si>
    <t>ACIDD FLOWERPOWER</t>
  </si>
  <si>
    <t>PLUSHANSKI ELTON FARCRY ET</t>
  </si>
  <si>
    <t>HOLNLDM000848764843</t>
  </si>
  <si>
    <t>BELL TOM</t>
  </si>
  <si>
    <t>LIZE</t>
  </si>
  <si>
    <t>HOLNLDM000460942030</t>
  </si>
  <si>
    <t>O-C-S-DAIRY BELL STREAMER</t>
  </si>
  <si>
    <t>HOLNLDM000461892147</t>
  </si>
  <si>
    <t>ETAZON MC RAY</t>
  </si>
  <si>
    <t>HUBERVIEW BELL PROMISE ET</t>
  </si>
  <si>
    <t>PLUSHANSKI MARK ORIYA</t>
  </si>
  <si>
    <t>BRFGBRM000000520275</t>
  </si>
  <si>
    <t>ELMSHIP REDBREAST BRANDY ET</t>
  </si>
  <si>
    <t>SHOPLAND EDLEET REDBREAST</t>
  </si>
  <si>
    <t>SHOPLAND ATHLEET EDUARD 2</t>
  </si>
  <si>
    <t>HOLGBRM000000548971</t>
  </si>
  <si>
    <t>DAWSTOWN FANTASTIC</t>
  </si>
  <si>
    <t>MARLAIS GREY 63</t>
  </si>
  <si>
    <t>HOLGBRM000000574967</t>
  </si>
  <si>
    <t>DOVEA FRITZ ET</t>
  </si>
  <si>
    <t>HOLGBRM000000559541</t>
  </si>
  <si>
    <t>MILFOIL WARRIOR</t>
  </si>
  <si>
    <t>LISDUFF PHAROAH</t>
  </si>
  <si>
    <t>MILFOIL BLUEBELL 2</t>
  </si>
  <si>
    <t>KNOCKANROE MASTERKEY</t>
  </si>
  <si>
    <t>HOLNLDM000777434255</t>
  </si>
  <si>
    <t>NEWHOUSE TERMINATOR</t>
  </si>
  <si>
    <t>HOLNLDM000838724185</t>
  </si>
  <si>
    <t>MAZING MASCOT</t>
  </si>
  <si>
    <t>CONANT-ACRES-JY VAL SUGAR-ET</t>
  </si>
  <si>
    <t>HOLGBRM000000564159</t>
  </si>
  <si>
    <t>KNOCKATUBBER PAPARAZZI ET</t>
  </si>
  <si>
    <t>LACHSTONE PENNYREALM ET</t>
  </si>
  <si>
    <t>HOLUSAM000002192303</t>
  </si>
  <si>
    <t>KED BRASS JUBAL ET</t>
  </si>
  <si>
    <t>SCHUTZS BRASS BELL</t>
  </si>
  <si>
    <t>KED BLACKSTAR JULIA ET</t>
  </si>
  <si>
    <t>HOLUSAM000002161390</t>
  </si>
  <si>
    <t>LOCUST-HILL RTL BRISTOL-ET</t>
  </si>
  <si>
    <t>PEN-COL MARK BONNET</t>
  </si>
  <si>
    <t>HOLNLDM000789089656</t>
  </si>
  <si>
    <t>BEVERLAKE NICK RED</t>
  </si>
  <si>
    <t>ALMERSON CAMERA RED</t>
  </si>
  <si>
    <t>NIEKE 1</t>
  </si>
  <si>
    <t>HOLGBRM000000575395</t>
  </si>
  <si>
    <t>DOVEA DECLAN ET</t>
  </si>
  <si>
    <t>HOLFRAM005688031706</t>
  </si>
  <si>
    <t>DAVRON CLEI</t>
  </si>
  <si>
    <t>BEVERLY HI</t>
  </si>
  <si>
    <t>HOLUSAM000002123506</t>
  </si>
  <si>
    <t>CAL-DENIER BLACKSTAR IRA-ET</t>
  </si>
  <si>
    <t>MS CAL-DENIER MARK IRIS-ET</t>
  </si>
  <si>
    <t>HOLUSAM000002203306</t>
  </si>
  <si>
    <t>EASTVIEW BLAK M MATTIE G ET</t>
  </si>
  <si>
    <t>HOLNLDM000460587204</t>
  </si>
  <si>
    <t>ETAZON KENNEY</t>
  </si>
  <si>
    <t>CHET-LEN PETRINA BELL</t>
  </si>
  <si>
    <t>HOLGBRM000000553057</t>
  </si>
  <si>
    <t>MAUNSELL IMAGE ET</t>
  </si>
  <si>
    <t>GROVE IMAGE</t>
  </si>
  <si>
    <t>MAUNSELL BETTY 31</t>
  </si>
  <si>
    <t>HOLFRAM003596064424</t>
  </si>
  <si>
    <t>HOLGBRM000000538013</t>
  </si>
  <si>
    <t>ARDERNE LAUDABLE ET</t>
  </si>
  <si>
    <t>ARDERNE LAURA</t>
  </si>
  <si>
    <t>CADE               IRL</t>
  </si>
  <si>
    <t>HOLFRAM005186003165</t>
  </si>
  <si>
    <t>SIR C VALOR</t>
  </si>
  <si>
    <t>JANDER CINNAMON LUCY LILAC</t>
  </si>
  <si>
    <t>ARLINDA CINNAMON</t>
  </si>
  <si>
    <t>HOLGBRM000000524347</t>
  </si>
  <si>
    <t>BRICK FAMOUS PREFECT</t>
  </si>
  <si>
    <t>BRICK DESIREE 7</t>
  </si>
  <si>
    <t>HORWOOD ANDY</t>
  </si>
  <si>
    <t>HOLNLDM000183387505</t>
  </si>
  <si>
    <t>WILLEMSHOEVE GLOSIUS</t>
  </si>
  <si>
    <t>POLL GLOSS 352</t>
  </si>
  <si>
    <t>HOLNLDM000190121004</t>
  </si>
  <si>
    <t>LEMONC</t>
  </si>
  <si>
    <t>LEMON</t>
  </si>
  <si>
    <t>HOLUSAM000002145233</t>
  </si>
  <si>
    <t>LONDONDALE SWIND MASTER ET</t>
  </si>
  <si>
    <t>HOLGBRM000000544974</t>
  </si>
  <si>
    <t>LEAGH GOLDSTAR</t>
  </si>
  <si>
    <t>LEAGH LINDA 18</t>
  </si>
  <si>
    <t>HOLGBRM000000548566</t>
  </si>
  <si>
    <t>BALLINCULLIG VAL</t>
  </si>
  <si>
    <t>HANOVERHILL PIPER</t>
  </si>
  <si>
    <t>DAWSTOWN VALERIE 7</t>
  </si>
  <si>
    <t>RIDGWARDINE JUDO</t>
  </si>
  <si>
    <t>HOLGBRM000000530977</t>
  </si>
  <si>
    <t>BOLEYBAWN VIOLIN</t>
  </si>
  <si>
    <t>BOLEYBAWN EDMO VINA</t>
  </si>
  <si>
    <t>DERI EDMOND</t>
  </si>
  <si>
    <t>HOLNLDM000122763768</t>
  </si>
  <si>
    <t>BATENBURG W PROGRESS</t>
  </si>
  <si>
    <t>BAT WALDI 225</t>
  </si>
  <si>
    <t>HOLNLDM000817378442</t>
  </si>
  <si>
    <t>HEYMAN</t>
  </si>
  <si>
    <t>JO-WAL CLEITUS MACEY-ET</t>
  </si>
  <si>
    <t>HOLGBRM000000532611</t>
  </si>
  <si>
    <t>IBANE ROSCENT</t>
  </si>
  <si>
    <t>MADAWASKA SENTRY</t>
  </si>
  <si>
    <t>IBANE DIVIDEND ROSEBUD</t>
  </si>
  <si>
    <t>BARBICAN GENERAL</t>
  </si>
  <si>
    <t>HOLNLDM000814216118</t>
  </si>
  <si>
    <t>RENSKE</t>
  </si>
  <si>
    <t>FREEBROOK SEXATION AMOS ET</t>
  </si>
  <si>
    <t>HOLGBRM000000003327</t>
  </si>
  <si>
    <t>MOET SEXY ALPINE ET</t>
  </si>
  <si>
    <t>QUEEN STAR SEXY</t>
  </si>
  <si>
    <t>HOLCANM000005402550</t>
  </si>
  <si>
    <t>SHOREMAR MILAN ET</t>
  </si>
  <si>
    <t>MEADOW BRIDGE MEGAN ET</t>
  </si>
  <si>
    <t>HOLNLDM000820203210</t>
  </si>
  <si>
    <t>SCHEERSER MAYER BOY</t>
  </si>
  <si>
    <t>POESIE</t>
  </si>
  <si>
    <t>HOLNLDM000784902699</t>
  </si>
  <si>
    <t>KLASKE 201</t>
  </si>
  <si>
    <t>RDCGBRM000006180072</t>
  </si>
  <si>
    <t>BANKEND URGENT REQUEST</t>
  </si>
  <si>
    <t>BROCKLEHILL HAPPY SPIRIT</t>
  </si>
  <si>
    <t>BANKEND WREN</t>
  </si>
  <si>
    <t>HOLNLDM000456650578</t>
  </si>
  <si>
    <t>BATENBURG GINSTRA ALDO</t>
  </si>
  <si>
    <t>GINSTER</t>
  </si>
  <si>
    <t>HOLGBRM000000536983</t>
  </si>
  <si>
    <t>BALLINAHINA JOHN BOY</t>
  </si>
  <si>
    <t>HOLCOMBEROGUS JUBILEE BOY</t>
  </si>
  <si>
    <t>BALLINAHINA BARBARA 3</t>
  </si>
  <si>
    <t>BALLINAHINA CREATOR</t>
  </si>
  <si>
    <t>HOLNLDM000816368745</t>
  </si>
  <si>
    <t>BATENBURG MILAN</t>
  </si>
  <si>
    <t>BAT WALDI 643</t>
  </si>
  <si>
    <t>A HURTGEN-VUE MARATHON</t>
  </si>
  <si>
    <t>HOLFRAM004492036530</t>
  </si>
  <si>
    <t>FOLYBITION</t>
  </si>
  <si>
    <t>FOLISTAR</t>
  </si>
  <si>
    <t>HOLNLDM000319957882</t>
  </si>
  <si>
    <t>DELTA LAVA</t>
  </si>
  <si>
    <t>HOLUSAM000002012343</t>
  </si>
  <si>
    <t>WILLMONT VALIANT FRIDAY ET</t>
  </si>
  <si>
    <t>HOLUSAM000002184212</t>
  </si>
  <si>
    <t>CAERNARVON STEPHEN ET</t>
  </si>
  <si>
    <t>CABIN-RUN MARK STAR-ET</t>
  </si>
  <si>
    <t>HOLFRAM003588026856</t>
  </si>
  <si>
    <t>DALMATIEN</t>
  </si>
  <si>
    <t>RUANN GOLDEN NUGGET KLARK</t>
  </si>
  <si>
    <t>LA-POE B C HONESTY</t>
  </si>
  <si>
    <t>HOLCANM000000392405</t>
  </si>
  <si>
    <t>DUREGAL ASTRE STARBUCK ET</t>
  </si>
  <si>
    <t>DUREGAL RIVALITY VALIANT ET</t>
  </si>
  <si>
    <t>HOLIRLM281379840702</t>
  </si>
  <si>
    <t>STAMULLEN G NEWHOUSE</t>
  </si>
  <si>
    <t>STAMULLEN GRAINNE B 316</t>
  </si>
  <si>
    <t>HOLITAM000601040506</t>
  </si>
  <si>
    <t>CERETTESE ZIDANE ET TV TL GM**</t>
  </si>
  <si>
    <t>SABBIONA GIGH G.M. **</t>
  </si>
  <si>
    <t>UPUPA ET</t>
  </si>
  <si>
    <t>HOLIRLM151111850320</t>
  </si>
  <si>
    <t>MILLSTREET MERCI 5</t>
  </si>
  <si>
    <t>BRICK DESIRE 69</t>
  </si>
  <si>
    <t>ETAZON FERRARI</t>
  </si>
  <si>
    <t>HOLNLDM000775328514</t>
  </si>
  <si>
    <t>HOLUSAM000002182343</t>
  </si>
  <si>
    <t>BEACHLAWN GELPRO TOBEY-ET</t>
  </si>
  <si>
    <t>BEACHLAWN BELL CLEITUS PRO</t>
  </si>
  <si>
    <t>HOLFRAM006292016961</t>
  </si>
  <si>
    <t>HAMPTON</t>
  </si>
  <si>
    <t>JUNIPER SECRET OLIVIA ET</t>
  </si>
  <si>
    <t>HOLCANM000005222807</t>
  </si>
  <si>
    <t>HORIZON BLACK GOLD ET</t>
  </si>
  <si>
    <t>JA-BOB MARK HEAVENLY JOY</t>
  </si>
  <si>
    <t>HOLNLDM000860800169</t>
  </si>
  <si>
    <t>SHINAGH WILCAS 3</t>
  </si>
  <si>
    <t>VIR-CLAR DE CLASSY-ET</t>
  </si>
  <si>
    <t>HOLFRAM005192005328</t>
  </si>
  <si>
    <t>GALTEE HOOK</t>
  </si>
  <si>
    <t>BUBBA VALE</t>
  </si>
  <si>
    <t>LOVDAL ELEVATION PETE BUBBA</t>
  </si>
  <si>
    <t>HOLGBRM000000522845</t>
  </si>
  <si>
    <t>GORNAL MAJOR STAR</t>
  </si>
  <si>
    <t>GORNAL SEABREEZE 132</t>
  </si>
  <si>
    <t>HOLNLDM000793715518</t>
  </si>
  <si>
    <t>PIGEONWOOD RED ET</t>
  </si>
  <si>
    <t>ANNEKE</t>
  </si>
  <si>
    <t>AN-JOY CRESCENDO-RED</t>
  </si>
  <si>
    <t>HOLUSAM000002271271</t>
  </si>
  <si>
    <t>WA-DEL RC BLCKSTR MARTHA-ET</t>
  </si>
  <si>
    <t>HOLUSAM000002048334</t>
  </si>
  <si>
    <t>TAGWOOD ROYALTY PEPPER ET</t>
  </si>
  <si>
    <t>TAGWOOD MARS ADELL ET</t>
  </si>
  <si>
    <t>MARSHFIELD ELEVATION TONY</t>
  </si>
  <si>
    <t>HOLNLDM000191341975</t>
  </si>
  <si>
    <t>LETTA G</t>
  </si>
  <si>
    <t>DEN DOGGE BEL LETTA</t>
  </si>
  <si>
    <t>HOLUSAM000002272044</t>
  </si>
  <si>
    <t>MR JED APPROVAL ET</t>
  </si>
  <si>
    <t>MISS TA RO LEE NICK ALLI ET</t>
  </si>
  <si>
    <t>HOLUSAM000002274879</t>
  </si>
  <si>
    <t>MARKWELL NOBEL ET</t>
  </si>
  <si>
    <t>LONDONDALE MERRILL ET</t>
  </si>
  <si>
    <t>HOLITAM000912047892</t>
  </si>
  <si>
    <t>ALL CEDRONI WELLS IVAN ET</t>
  </si>
  <si>
    <t>AQUILA MASCOT DAMA ET</t>
  </si>
  <si>
    <t>HOLNLDM000228866372</t>
  </si>
  <si>
    <t>A.L.H. LIBERAL</t>
  </si>
  <si>
    <t>HOLIM LIZETTE</t>
  </si>
  <si>
    <t>HOLGBRM000000540649</t>
  </si>
  <si>
    <t>THUBOROUGH PATHFINDER</t>
  </si>
  <si>
    <t>THUBOROUGH FREDA 231</t>
  </si>
  <si>
    <t>HOLGBRM000000548149</t>
  </si>
  <si>
    <t>SKEHANAGH ROY BARON</t>
  </si>
  <si>
    <t>WHITSBURY BARONET ET</t>
  </si>
  <si>
    <t>SKEHANAGH AVRIL CORA 11</t>
  </si>
  <si>
    <t>HOLFRAM006290021721</t>
  </si>
  <si>
    <t>FLEETWOOD</t>
  </si>
  <si>
    <t>HOLDNKM000000227018</t>
  </si>
  <si>
    <t>CEN ERRI</t>
  </si>
  <si>
    <t>HOLUSAM000002239372</t>
  </si>
  <si>
    <t>AR-JOY LENNY-ET</t>
  </si>
  <si>
    <t>ROTHROCK AERO LUELLE ET</t>
  </si>
  <si>
    <t>HOLNLDM000178309121</t>
  </si>
  <si>
    <t>AKKERMAN S LILLY</t>
  </si>
  <si>
    <t>CONSTA</t>
  </si>
  <si>
    <t>HOLCANM000000400665</t>
  </si>
  <si>
    <t>HANOVERHILL LIEUTENANT</t>
  </si>
  <si>
    <t>HANOVERHILL CHIEF T LULU</t>
  </si>
  <si>
    <t>HOLNLDM000829877874</t>
  </si>
  <si>
    <t>WARDIN BELL GENE</t>
  </si>
  <si>
    <t>HOLIM KIM TL</t>
  </si>
  <si>
    <t>HOLNLDM000178602657</t>
  </si>
  <si>
    <t>HSTIENS ASPEN</t>
  </si>
  <si>
    <t>HOLSTIENS ASTA</t>
  </si>
  <si>
    <t>HOLGBRM000000582851</t>
  </si>
  <si>
    <t>GENUS JAYSON</t>
  </si>
  <si>
    <t>RED MITCHEL</t>
  </si>
  <si>
    <t>SANDWATER ASTAR SUNSHINE ET</t>
  </si>
  <si>
    <t>HOLCANM000000395671</t>
  </si>
  <si>
    <t>BOULET CHARLES ET</t>
  </si>
  <si>
    <t>BOULET MARK ANTHONY CANDY</t>
  </si>
  <si>
    <t>WILLOWHOLME MARK ANTHONY</t>
  </si>
  <si>
    <t>HOLNLDM000118522472</t>
  </si>
  <si>
    <t>BOBSTAR 50</t>
  </si>
  <si>
    <t>BOB 99</t>
  </si>
  <si>
    <t>HOLFRAM002986046413</t>
  </si>
  <si>
    <t>BONZE</t>
  </si>
  <si>
    <t>VENDANGE</t>
  </si>
  <si>
    <t>HOLIRLM241024250479</t>
  </si>
  <si>
    <t>DUNUM GRONE 6</t>
  </si>
  <si>
    <t>DOONALLY GRONEMANHOEVE U 15</t>
  </si>
  <si>
    <t>DUNUM ARKADINA 10</t>
  </si>
  <si>
    <t>DOVEA FALKO</t>
  </si>
  <si>
    <t>HOLIRLM141654291550</t>
  </si>
  <si>
    <t>KILLINGLEY SIJKE DELCOY 2</t>
  </si>
  <si>
    <t>DELTA COERD</t>
  </si>
  <si>
    <t>KILLINGLEY SIJKE HUGO</t>
  </si>
  <si>
    <t>HOLFRAM002997001110</t>
  </si>
  <si>
    <t>NEGUNDO</t>
  </si>
  <si>
    <t>ROLLING-SPRING CON ANDRA-ET</t>
  </si>
  <si>
    <t>HOLNLDM000245383355</t>
  </si>
  <si>
    <t>WOUDHOEVE SUPERIOR</t>
  </si>
  <si>
    <t>PIETJE 622</t>
  </si>
  <si>
    <t>HOLNLDM000234769272</t>
  </si>
  <si>
    <t>WITHORST NOVA</t>
  </si>
  <si>
    <t>DIAMANT 2</t>
  </si>
  <si>
    <t>HOLNLDM000833517472</t>
  </si>
  <si>
    <t>PIET</t>
  </si>
  <si>
    <t>TEUN 5</t>
  </si>
  <si>
    <t>ELS 69</t>
  </si>
  <si>
    <t>HOLUSAM000002185319</t>
  </si>
  <si>
    <t>ROCKYVU TITLE</t>
  </si>
  <si>
    <t>ROCKYVU ROTATE EXCTASY EBONY</t>
  </si>
  <si>
    <t>HOLNLDM000821218998</t>
  </si>
  <si>
    <t>MARS NEHLS SAM ET</t>
  </si>
  <si>
    <t>FROUKJE 127</t>
  </si>
  <si>
    <t>NEHLS CHIEF CRUSADER</t>
  </si>
  <si>
    <t>HOLGBRM000000573210</t>
  </si>
  <si>
    <t>MOET ALMIRA GROSVENOR ET</t>
  </si>
  <si>
    <t>SINGINGBROOK M ALMIRA</t>
  </si>
  <si>
    <t>HOLGBRM000000535490</t>
  </si>
  <si>
    <t>MARLAIS LOUIS</t>
  </si>
  <si>
    <t>MARLAIS LAVENDER 2</t>
  </si>
  <si>
    <t>HOLGBRM000000549184</t>
  </si>
  <si>
    <t>LISNALTY SUN JETHRO</t>
  </si>
  <si>
    <t>HANOVERHILL JETHRO</t>
  </si>
  <si>
    <t>ULLSWATER SUNRAY 107 ET</t>
  </si>
  <si>
    <t>HOLUSAM000002161395</t>
  </si>
  <si>
    <t>LOCUST-HILL STAR BALANCE-ET</t>
  </si>
  <si>
    <t>HOLNLDM000815138008</t>
  </si>
  <si>
    <t>TRAENAMANAGH LEADING</t>
  </si>
  <si>
    <t>F ROCK NANCY</t>
  </si>
  <si>
    <t>ROKLANE SEXATION CLYDE</t>
  </si>
  <si>
    <t>HOLNZLM000000097381</t>
  </si>
  <si>
    <t>SRC SALTERS ICEAGE</t>
  </si>
  <si>
    <t>ATHOL BARON</t>
  </si>
  <si>
    <t>SALTERS STORM ICY</t>
  </si>
  <si>
    <t>HOLGBRM000000579700</t>
  </si>
  <si>
    <t>LEAGH DEW DOMBINATOR ET</t>
  </si>
  <si>
    <t>PENCOL LEADMAN DEWDROP</t>
  </si>
  <si>
    <t>HOLGBRM000000584527</t>
  </si>
  <si>
    <t>EEDY SWEETY MARCONI ET</t>
  </si>
  <si>
    <t>HAVEP MARCONI</t>
  </si>
  <si>
    <t>SWEETY</t>
  </si>
  <si>
    <t>HOLNLDM000291698755</t>
  </si>
  <si>
    <t>BARNKAMPER SILVERSTONE</t>
  </si>
  <si>
    <t>BARNKAMPER AGATHA 139</t>
  </si>
  <si>
    <t>MONFRAM003995002962</t>
  </si>
  <si>
    <t>LOTUS</t>
  </si>
  <si>
    <t>HOLLANDE</t>
  </si>
  <si>
    <t>RDCSWEM000000093218</t>
  </si>
  <si>
    <t>RAMSHAMMAR</t>
  </si>
  <si>
    <t>F.J¿NLAND</t>
  </si>
  <si>
    <t>GAMLEG¿RD</t>
  </si>
  <si>
    <t>HOLNLDM000821219131</t>
  </si>
  <si>
    <t>MARS MEULDER</t>
  </si>
  <si>
    <t>RI BETJE 268</t>
  </si>
  <si>
    <t>HOLGBRM000000529127</t>
  </si>
  <si>
    <t>MOUNTFARNA ROYALIST</t>
  </si>
  <si>
    <t>HOLGBRM000000560291</t>
  </si>
  <si>
    <t>MAUNSELL ECONOMY</t>
  </si>
  <si>
    <t>BARRYROE ECONOMY</t>
  </si>
  <si>
    <t>HOLGBRM000000547031</t>
  </si>
  <si>
    <t>KNOCKSKEAGH SCOTTY</t>
  </si>
  <si>
    <t>LONG-HAVEN SCOTTY-ET</t>
  </si>
  <si>
    <t>KNOCKSKEAGH LADY</t>
  </si>
  <si>
    <t>HOLGBRM000000537282</t>
  </si>
  <si>
    <t>HINTONHURST PARTIZAN</t>
  </si>
  <si>
    <t>HANOVERHILL SABASTIAN ET</t>
  </si>
  <si>
    <t>HINTONHURST PRESENT 3</t>
  </si>
  <si>
    <t>DFRNLDM000790797087</t>
  </si>
  <si>
    <t>DOVEA BRAVO</t>
  </si>
  <si>
    <t>FOKKE</t>
  </si>
  <si>
    <t>BEITSKE</t>
  </si>
  <si>
    <t>HOLNLDM000841158342</t>
  </si>
  <si>
    <t>BATENBURG W WILAN</t>
  </si>
  <si>
    <t>BAT WALDI 23</t>
  </si>
  <si>
    <t>RDCIRLM000000000NOT</t>
  </si>
  <si>
    <t>5190 NOTTESTAD</t>
  </si>
  <si>
    <t>V.REKVE</t>
  </si>
  <si>
    <t>BRFGBRM000000583767</t>
  </si>
  <si>
    <t>LAVENHAM AIRPORT</t>
  </si>
  <si>
    <t>RODDIGE GATWICK 2</t>
  </si>
  <si>
    <t>LAVENHAM ANNIE 854</t>
  </si>
  <si>
    <t>LAVENHAM UNITARIAN</t>
  </si>
  <si>
    <t>HOLNLDM000321192154</t>
  </si>
  <si>
    <t>VORMTHOEVE MONTANA 316</t>
  </si>
  <si>
    <t>LOESJE TL 1</t>
  </si>
  <si>
    <t>HOLGBRM000000538007</t>
  </si>
  <si>
    <t>MONAMORE FASTRACK</t>
  </si>
  <si>
    <t>MONAMORE FEDORA 3</t>
  </si>
  <si>
    <t>LAVENHAM STRONGBOW</t>
  </si>
  <si>
    <t>HOLGBRM000000569921</t>
  </si>
  <si>
    <t>CRADENHILL DOLLSENDER ET</t>
  </si>
  <si>
    <t>CRADENHILL BELL DALLAS</t>
  </si>
  <si>
    <t>HOLGBRM000000565256</t>
  </si>
  <si>
    <t>CRADENHILL JD ADAM ET</t>
  </si>
  <si>
    <t>CRADENHILL BLACKSTAR AMBER ET</t>
  </si>
  <si>
    <t>HOLGBRM000000552460</t>
  </si>
  <si>
    <t>CRADENHILL LM MAGIC ET</t>
  </si>
  <si>
    <t>JOLIAM VALIANT MYSTIQUE</t>
  </si>
  <si>
    <t>HOLUSAM000002203438</t>
  </si>
  <si>
    <t>BARN-AIRES VAL-MEL CAROL-ET</t>
  </si>
  <si>
    <t>HOLUSAM000002137511</t>
  </si>
  <si>
    <t>ZIELLAND ZEBO</t>
  </si>
  <si>
    <t>ZIELLAND FUTURE HANNAH</t>
  </si>
  <si>
    <t>ZIELLAND FAST FUTURE</t>
  </si>
  <si>
    <t>HOLCANM000005610317</t>
  </si>
  <si>
    <t>GILLETTE CARLTON ET</t>
  </si>
  <si>
    <t>MAEFORD STARBUCK CHRISSY</t>
  </si>
  <si>
    <t>HOLNLDM000181926003</t>
  </si>
  <si>
    <t>CASH EDDO</t>
  </si>
  <si>
    <t>HOLCANM000000387013</t>
  </si>
  <si>
    <t>FRAELAND RESPECT</t>
  </si>
  <si>
    <t>SPRING FARM TRIPLE ROSE A</t>
  </si>
  <si>
    <t>HOLCANM000005145041</t>
  </si>
  <si>
    <t>SHOREMAR MAVERICK ET</t>
  </si>
  <si>
    <t>HANOVERHILL INSPIRED MAE</t>
  </si>
  <si>
    <t>HOLNLDM000319299993</t>
  </si>
  <si>
    <t>DELTA KOEMAN</t>
  </si>
  <si>
    <t>HOLGBRM000000552580</t>
  </si>
  <si>
    <t>DUNOWEN ALCHEMIST ET</t>
  </si>
  <si>
    <t>HOLNLDM000817118723</t>
  </si>
  <si>
    <t>HOLUSAM000002020049</t>
  </si>
  <si>
    <t>HOLNLDM000247484047</t>
  </si>
  <si>
    <t>CHARTROISE SANDER</t>
  </si>
  <si>
    <t>TIDY-BROOK CEL CLARA-ET</t>
  </si>
  <si>
    <t>DFRNLDM000828141189</t>
  </si>
  <si>
    <t>KLOOSTER KL SETSKE 138</t>
  </si>
  <si>
    <t>ALEX</t>
  </si>
  <si>
    <t>HOLGBRM000000551572</t>
  </si>
  <si>
    <t>SKEHANAGH BURY BARON</t>
  </si>
  <si>
    <t>SKEHANAGH ASTER 42</t>
  </si>
  <si>
    <t>HOLGBRM000000561689</t>
  </si>
  <si>
    <t>DUNOWEN TRANS ATLANTIC ET</t>
  </si>
  <si>
    <t>HOLNLDM000458506709</t>
  </si>
  <si>
    <t>VEEMENS BATMAN ET</t>
  </si>
  <si>
    <t>TWENDELL BELL TRIXIE</t>
  </si>
  <si>
    <t>HOLNLDM000213133108</t>
  </si>
  <si>
    <t>EASTLAND INTERSTATE</t>
  </si>
  <si>
    <t>EASTLAND FLORIADE</t>
  </si>
  <si>
    <t>HOLDEUM000345039757</t>
  </si>
  <si>
    <t>ROMEO</t>
  </si>
  <si>
    <t>RAIMON</t>
  </si>
  <si>
    <t>MABELLE 13</t>
  </si>
  <si>
    <t>HOLUSAM000002244521</t>
  </si>
  <si>
    <t>RON-NAN MARIO RED</t>
  </si>
  <si>
    <t>RON-NAN LEADER MITZI-RED-ET</t>
  </si>
  <si>
    <t>KINGLEA LEADER</t>
  </si>
  <si>
    <t>HOLUSAM000017251413</t>
  </si>
  <si>
    <t>ART-ACRES PATRON SPOCK-ET</t>
  </si>
  <si>
    <t>ART ACRES MASCOT TEX B PI ET</t>
  </si>
  <si>
    <t>HOLIRLM221106230733</t>
  </si>
  <si>
    <t>REARY MARTEL</t>
  </si>
  <si>
    <t>REARY PRIMROSE 110 ET</t>
  </si>
  <si>
    <t>HOLNLDM000266756523</t>
  </si>
  <si>
    <t>DELTA PEPIJN</t>
  </si>
  <si>
    <t>DELTA PLATO</t>
  </si>
  <si>
    <t>DELTA GLORY</t>
  </si>
  <si>
    <t>HOLUSAM000002068968</t>
  </si>
  <si>
    <t>STARDELL STEADY CREME BRUT</t>
  </si>
  <si>
    <t>STARDELL CREME</t>
  </si>
  <si>
    <t>WAYNE-SPRING FOND APOLLO</t>
  </si>
  <si>
    <t>HOLDEUM000340542561</t>
  </si>
  <si>
    <t>JEFF</t>
  </si>
  <si>
    <t>KATI</t>
  </si>
  <si>
    <t>HOLUSAM000129800008</t>
  </si>
  <si>
    <t>OCEAN-VIEW ZENITH-TW-ET</t>
  </si>
  <si>
    <t>OCEAN-VIEW MANDEL ZANDRA PI</t>
  </si>
  <si>
    <t>HOLCANM000006961162</t>
  </si>
  <si>
    <t>SKYS-THE-LIMIT CLAIRE-ET</t>
  </si>
  <si>
    <t>TO-MAR HORTON-ET</t>
  </si>
  <si>
    <t>HOLDEUM000576162555</t>
  </si>
  <si>
    <t>BRISTOL</t>
  </si>
  <si>
    <t>LONDON</t>
  </si>
  <si>
    <t>HOLCANM000005578386</t>
  </si>
  <si>
    <t>SUNNYLODGE LINJET</t>
  </si>
  <si>
    <t>SUNNYLODGE PRELUDE SPOTTIE</t>
  </si>
  <si>
    <t>HOLGBRM000000575975</t>
  </si>
  <si>
    <t>SMERRLAVIEW TITAN VINCE</t>
  </si>
  <si>
    <t>EMERALD-ACRES-SA TITAN-ET</t>
  </si>
  <si>
    <t>FRADON ASTRE VIXAN</t>
  </si>
  <si>
    <t>HOLNLDM000194391733</t>
  </si>
  <si>
    <t>ROLAND 159 ET V TEKENBURG</t>
  </si>
  <si>
    <t>ANNA 167</t>
  </si>
  <si>
    <t>HOLNZLM000000097392</t>
  </si>
  <si>
    <t>CALDWELLS JORDANAIRE</t>
  </si>
  <si>
    <t>CALDWELLS RYE JACINDA</t>
  </si>
  <si>
    <t>NICHOLASS RYE 2</t>
  </si>
  <si>
    <t>HILLTOP ACRES PR DOMINATE</t>
  </si>
  <si>
    <t>JOHANN PETE ROSE ET</t>
  </si>
  <si>
    <t>HOLNLDM000295614135</t>
  </si>
  <si>
    <t>KELSTEIN BOOMER</t>
  </si>
  <si>
    <t>ZONNEGAARD BW BUTTERCUP</t>
  </si>
  <si>
    <t>HOLFRAM004297009114</t>
  </si>
  <si>
    <t>NATHANAEL</t>
  </si>
  <si>
    <t>LITUANIE</t>
  </si>
  <si>
    <t>BESNE BUCK</t>
  </si>
  <si>
    <t>HOLUSAM000017065449</t>
  </si>
  <si>
    <t>HALO EMORY BRASS ET</t>
  </si>
  <si>
    <t>HALO LEADMAN BONNET</t>
  </si>
  <si>
    <t>HOLGBRM000000606797</t>
  </si>
  <si>
    <t>INCH IMAGE</t>
  </si>
  <si>
    <t>SKYHIGH IVORY MANDEL</t>
  </si>
  <si>
    <t>JERAUSM000A00011005</t>
  </si>
  <si>
    <t>MOROKA TRANSMITTER</t>
  </si>
  <si>
    <t>GREENWOOD SOONER KHAN</t>
  </si>
  <si>
    <t>JUDDS DAISY 962</t>
  </si>
  <si>
    <t>HOLNLDM000323441870</t>
  </si>
  <si>
    <t>HEIDENSKIPSTER BRIAN</t>
  </si>
  <si>
    <t>FATAL RADIANCE</t>
  </si>
  <si>
    <t>HOLIRLM141163810343</t>
  </si>
  <si>
    <t>BALLYDEHOB MAG. EXTASY</t>
  </si>
  <si>
    <t>BALLYDEHOB DTV TRIXIE</t>
  </si>
  <si>
    <t>HOLNZLM000000672181</t>
  </si>
  <si>
    <t>BAGWORTH CAMS AMBIENCE</t>
  </si>
  <si>
    <t>SRD BAGWORTH CAMELIA CARL</t>
  </si>
  <si>
    <t>MONFRAM007196069123</t>
  </si>
  <si>
    <t>MESAGRONS</t>
  </si>
  <si>
    <t>GUIMAUVE</t>
  </si>
  <si>
    <t>HOLNLDM000298541216</t>
  </si>
  <si>
    <t>APINA FAVORIT</t>
  </si>
  <si>
    <t>CBU FERDINAND TL</t>
  </si>
  <si>
    <t>APINA TILLY 11</t>
  </si>
  <si>
    <t>HOLITAM601048060058</t>
  </si>
  <si>
    <t>CAROL STORM COCHERILL</t>
  </si>
  <si>
    <t>CAROL LUKE TISANA ET TV TL</t>
  </si>
  <si>
    <t>HOLNLDM000295615099</t>
  </si>
  <si>
    <t>KELSTEIN K 318</t>
  </si>
  <si>
    <t>TIDY-BROOK J STEVEN TCG-ET</t>
  </si>
  <si>
    <t>QG LORD KIM ET</t>
  </si>
  <si>
    <t>HOLNLDM000235387929</t>
  </si>
  <si>
    <t>IJSSELVLIEDT BREAKOUT</t>
  </si>
  <si>
    <t>ETAZON TRINITY</t>
  </si>
  <si>
    <t>IJSSELVLIEDT ROZA 121</t>
  </si>
  <si>
    <t>MRYDEUM000579039647</t>
  </si>
  <si>
    <t>MANTO</t>
  </si>
  <si>
    <t>BERTA</t>
  </si>
  <si>
    <t>DOORTJE'S MARS</t>
  </si>
  <si>
    <t>HOLDEUM000578981894</t>
  </si>
  <si>
    <t>LAZARUS</t>
  </si>
  <si>
    <t>LAKE</t>
  </si>
  <si>
    <t>HEIDELIESE</t>
  </si>
  <si>
    <t>LASSO</t>
  </si>
  <si>
    <t>BSWIRLM000000000LYN</t>
  </si>
  <si>
    <t>LYNDALE EMORY EMERALD ET</t>
  </si>
  <si>
    <t>ELAINE</t>
  </si>
  <si>
    <t>HOLCANM000006906786</t>
  </si>
  <si>
    <t>BRAEDALE FREEMAN</t>
  </si>
  <si>
    <t>BRAEDALE GYPSY GRAND</t>
  </si>
  <si>
    <t>HOLDNKM000000238068</t>
  </si>
  <si>
    <t>JELSTRUP A</t>
  </si>
  <si>
    <t>ARES</t>
  </si>
  <si>
    <t>HOLNLDM000231316501</t>
  </si>
  <si>
    <t>FLEVOZON LUX TIMER</t>
  </si>
  <si>
    <t>FL CS REMINA</t>
  </si>
  <si>
    <t>HOLNLDM000259366308</t>
  </si>
  <si>
    <t>HOLIM PROMINENT</t>
  </si>
  <si>
    <t>NEWHOUSE SNEEKY</t>
  </si>
  <si>
    <t>HOLIM NANKE</t>
  </si>
  <si>
    <t>NMDFRAM003596064834</t>
  </si>
  <si>
    <t>MAVANA</t>
  </si>
  <si>
    <t>HAVANE</t>
  </si>
  <si>
    <t>UNIAS</t>
  </si>
  <si>
    <t>HOLIRLM191181710493</t>
  </si>
  <si>
    <t>LEAGH RHONDA SPOCK ET</t>
  </si>
  <si>
    <t>LYNBROOK LILY RHONDA ET</t>
  </si>
  <si>
    <t>HOLUSAM000124218732</t>
  </si>
  <si>
    <t>GOLDEN-OAKS LORD BAYLOR</t>
  </si>
  <si>
    <t>SFL M BOOTPEG BELVA ET</t>
  </si>
  <si>
    <t>HOLIRLM141654291410</t>
  </si>
  <si>
    <t>KILLINGLEY SIJKE SLOGAN</t>
  </si>
  <si>
    <t>KILLINGLEY BELVEDERE SIJKE</t>
  </si>
  <si>
    <t>R.B.GORDON FREDI</t>
  </si>
  <si>
    <t>FUCHSI-ET</t>
  </si>
  <si>
    <t>HOLUSAM000123645630</t>
  </si>
  <si>
    <t>HIDDEN-VIEW BELOVED ET</t>
  </si>
  <si>
    <t>ROBEL</t>
  </si>
  <si>
    <t>NOBLE</t>
  </si>
  <si>
    <t>HOLUSAM000002187617</t>
  </si>
  <si>
    <t>WA-DEL CHALLENGER</t>
  </si>
  <si>
    <t>WA-DEL CLEITUS CINDY-ET</t>
  </si>
  <si>
    <t>HOLGBRM000000524733</t>
  </si>
  <si>
    <t>MARLAIS JULIAN</t>
  </si>
  <si>
    <t>A ERINWOOD R A JONATHON</t>
  </si>
  <si>
    <t>MARLAIS LAVENDER</t>
  </si>
  <si>
    <t>POTTRELLS RALEIGH</t>
  </si>
  <si>
    <t>DFRNLDM000782976748</t>
  </si>
  <si>
    <t>DOVEA HEIDEHIPPER 20 ET</t>
  </si>
  <si>
    <t>RIVELINO</t>
  </si>
  <si>
    <t>ANTJE 255</t>
  </si>
  <si>
    <t>HOLUSAM000002150948</t>
  </si>
  <si>
    <t>ROBTHOM IVORY MARK</t>
  </si>
  <si>
    <t>HOLNLDM000167361622</t>
  </si>
  <si>
    <t>MIMI S MAGIC MOUNTAIN</t>
  </si>
  <si>
    <t>CMV MELWOOD MIMI ET</t>
  </si>
  <si>
    <t>DFRNLDM000225723207</t>
  </si>
  <si>
    <t>JACOB 13</t>
  </si>
  <si>
    <t>CAPAN 60</t>
  </si>
  <si>
    <t>GETJE 55</t>
  </si>
  <si>
    <t>HOLGBRM000000534775</t>
  </si>
  <si>
    <t>CHADVALLEY SCOTTIE ET</t>
  </si>
  <si>
    <t>CHADVALLEY MARGARET 4</t>
  </si>
  <si>
    <t>HUNDAY BANACEK</t>
  </si>
  <si>
    <t>HOLNLDM000259840073</t>
  </si>
  <si>
    <t>DELTA DEBBIE</t>
  </si>
  <si>
    <t>HOLNLDM000348988044</t>
  </si>
  <si>
    <t>NEDERHORST 115 TRANSIT</t>
  </si>
  <si>
    <t>LAURENZO</t>
  </si>
  <si>
    <t>MELKBRON 364</t>
  </si>
  <si>
    <t>ETAZON SARATOGA</t>
  </si>
  <si>
    <t>HOLGBRM000000619287</t>
  </si>
  <si>
    <t>MOET SILVER</t>
  </si>
  <si>
    <t>COGENT LUCKY</t>
  </si>
  <si>
    <t>MOET ROYAL FLOP A</t>
  </si>
  <si>
    <t>JERNZLM000000300129</t>
  </si>
  <si>
    <t>ROCKHAVEN FOREVER SAM</t>
  </si>
  <si>
    <t>GLOAMING SS FOREVER</t>
  </si>
  <si>
    <t>ROCKHAVEN DOYLE 9720 GR</t>
  </si>
  <si>
    <t>JERNZLM000000099495</t>
  </si>
  <si>
    <t>DAYSH'S LANDMARK GR</t>
  </si>
  <si>
    <t>DAYSHS ADS LIRA SJ3</t>
  </si>
  <si>
    <t>UBOT</t>
  </si>
  <si>
    <t>PEARMONT-LTD SUNLIT-RED-ET *TD</t>
  </si>
  <si>
    <t>ONDRA</t>
  </si>
  <si>
    <t>RIESLING</t>
  </si>
  <si>
    <t>AGNAT</t>
  </si>
  <si>
    <t>GRADE 54</t>
  </si>
  <si>
    <t>ROWAN</t>
  </si>
  <si>
    <t>MONFRAM003917540378</t>
  </si>
  <si>
    <t>RIBLON JB</t>
  </si>
  <si>
    <t>GONCOURT</t>
  </si>
  <si>
    <t>NANA</t>
  </si>
  <si>
    <t>DFRDEUM001262318153</t>
  </si>
  <si>
    <t>DOVEA MICHAEL</t>
  </si>
  <si>
    <t>MEISE</t>
  </si>
  <si>
    <t>MANTEI</t>
  </si>
  <si>
    <t>DFRDEUM001262327003</t>
  </si>
  <si>
    <t>DOVEA HERMES</t>
  </si>
  <si>
    <t>HANNO</t>
  </si>
  <si>
    <t>NEIL</t>
  </si>
  <si>
    <t>ALI</t>
  </si>
  <si>
    <t>HOLIRLM331463840415</t>
  </si>
  <si>
    <t>COOLEENBEE SMZ RAMBO</t>
  </si>
  <si>
    <t>G09</t>
  </si>
  <si>
    <t>SEM 7</t>
  </si>
  <si>
    <t>COOLEENBEE MEB MOLL</t>
  </si>
  <si>
    <t>MOERBEKER BAS</t>
  </si>
  <si>
    <t>HOLUSAM000060540336</t>
  </si>
  <si>
    <t>PENN-GATE FINEST-ET</t>
  </si>
  <si>
    <t>PENN-GATE SKYCHIEF FINESSE</t>
  </si>
  <si>
    <t>HOLIRLM141397350528</t>
  </si>
  <si>
    <t>BALLYLUCK BENJI 528</t>
  </si>
  <si>
    <t>BALLYLUCK USNES BLUEBELL</t>
  </si>
  <si>
    <t>HOLIRLM191188690407</t>
  </si>
  <si>
    <t>DROMARTIN BEAMER</t>
  </si>
  <si>
    <t>DROMARTIN FEDORA BEACH</t>
  </si>
  <si>
    <t>HOLIRLM281201742169</t>
  </si>
  <si>
    <t>MERRYWELL ATHOL</t>
  </si>
  <si>
    <t>MERRYWELL ATTRACTA 13</t>
  </si>
  <si>
    <t>HOLGBRM200924100517</t>
  </si>
  <si>
    <t>CATLANE SAMARITAN</t>
  </si>
  <si>
    <t>MILLBURN BUREAUCRAT</t>
  </si>
  <si>
    <t>CATLANE MARKER SNOWBALL 3</t>
  </si>
  <si>
    <t>HOLIRLM331018980569</t>
  </si>
  <si>
    <t>BALLYKINASH DERMOT 569</t>
  </si>
  <si>
    <t>BALLYKINASH BAV DAISY 108</t>
  </si>
  <si>
    <t>BRFGBRM000000625071</t>
  </si>
  <si>
    <t>BLACKISLE BENLOMOND ET</t>
  </si>
  <si>
    <t>PARBURY VENUE</t>
  </si>
  <si>
    <t>BLACKISLE LAURA</t>
  </si>
  <si>
    <t>HOLGBRM000000617069</t>
  </si>
  <si>
    <t>MOET BRINSTAR SOLO ET</t>
  </si>
  <si>
    <t>PAINLEY LILY KIMO PI 25 ET</t>
  </si>
  <si>
    <t>HOLUSAM000061547476</t>
  </si>
  <si>
    <t>COMESTAR OUTSIDE ET</t>
  </si>
  <si>
    <t>REGANCREST-HHF MAYA-ET</t>
  </si>
  <si>
    <t>JERNZLM000000307052</t>
  </si>
  <si>
    <t>TAWA GROVE NEVS VISA</t>
  </si>
  <si>
    <t>TAWA GROVE VICKY</t>
  </si>
  <si>
    <t>JERUSAM000112785428</t>
  </si>
  <si>
    <t>WILDERNESS BLUEPRINT</t>
  </si>
  <si>
    <t>ODA HEINO</t>
  </si>
  <si>
    <t>WILDERNESS BERRETTA BINGO</t>
  </si>
  <si>
    <t>MRYDEUM000115336999</t>
  </si>
  <si>
    <t>DOVEA JODUS</t>
  </si>
  <si>
    <t>MICHIEL</t>
  </si>
  <si>
    <t>EURALIA</t>
  </si>
  <si>
    <t>HOLIRLM331463840431</t>
  </si>
  <si>
    <t>COOLEENBEE LIK ROMEO</t>
  </si>
  <si>
    <t>LISKILLA LYSELLE BOUNTY 3 ET</t>
  </si>
  <si>
    <t>COOLEENBEE HWTB0BBI</t>
  </si>
  <si>
    <t>HOLWERDA TORELLO</t>
  </si>
  <si>
    <t>HOLNLDM000209848205</t>
  </si>
  <si>
    <t>HORST FRANK</t>
  </si>
  <si>
    <t>HORST MAISTEIN 6</t>
  </si>
  <si>
    <t>HOLGBRM000000531313</t>
  </si>
  <si>
    <t>GARTHMYL ATHOS ET</t>
  </si>
  <si>
    <t>GARTHMYL LADY DIANA</t>
  </si>
  <si>
    <t>CBS KING HENRY</t>
  </si>
  <si>
    <t>HOLDNKM000000227776</t>
  </si>
  <si>
    <t>DOVEA KLAUS</t>
  </si>
  <si>
    <t>KOLDING KELD</t>
  </si>
  <si>
    <t>HOLIRLM261006921867</t>
  </si>
  <si>
    <t>MONAMORE DEMOCRAT</t>
  </si>
  <si>
    <t>MONAMORE DARLENE 30</t>
  </si>
  <si>
    <t>HOLCANM000009113059</t>
  </si>
  <si>
    <t>BENNER JEBADIAH</t>
  </si>
  <si>
    <t>BENNER RUDOLPH JAY ANNE</t>
  </si>
  <si>
    <t>HOLIRLM281427340688</t>
  </si>
  <si>
    <t>MOUNTLAND SJOERD</t>
  </si>
  <si>
    <t>MOUNTLAND MARGARET 2</t>
  </si>
  <si>
    <t>HOLIRLM281463690520</t>
  </si>
  <si>
    <t>BALLIVOR OLYMPIC GOLD ET</t>
  </si>
  <si>
    <t>CAMPOGALLO PG EGGY TV</t>
  </si>
  <si>
    <t>HOLDEUM001012056808</t>
  </si>
  <si>
    <t>CYPRESS-HILL LABAN-ET</t>
  </si>
  <si>
    <t>PETINE (DEU)</t>
  </si>
  <si>
    <t>HOLNZLM000000093262</t>
  </si>
  <si>
    <t>ROLFES ELLIOT</t>
  </si>
  <si>
    <t>MCMILLANS TROPHY</t>
  </si>
  <si>
    <t>CLORANE MANGAORAKA ATLAS JANE</t>
  </si>
  <si>
    <t>PAJAK SHEIK ATLAS</t>
  </si>
  <si>
    <t>HOLUSAM000002117628</t>
  </si>
  <si>
    <t>PINETREE JAYBOY CALVERT</t>
  </si>
  <si>
    <t>SILVER SHADE JAYBOY ET</t>
  </si>
  <si>
    <t>ECHOGLADE BELL X-MAS</t>
  </si>
  <si>
    <t>HOLFRAM002297001904</t>
  </si>
  <si>
    <t>NIPPON</t>
  </si>
  <si>
    <t>LORRAINE</t>
  </si>
  <si>
    <t>HOLUSAM000002109915</t>
  </si>
  <si>
    <t>KERNDTWAY WHAMO ET</t>
  </si>
  <si>
    <t>WINKEN</t>
  </si>
  <si>
    <t>AL-MAN BELL JULIE</t>
  </si>
  <si>
    <t>HOLDNKM000000226465</t>
  </si>
  <si>
    <t>FYN GOLF</t>
  </si>
  <si>
    <t>JERDNKM000000300105</t>
  </si>
  <si>
    <t>FYN TRAC</t>
  </si>
  <si>
    <t>FYN TANIC</t>
  </si>
  <si>
    <t>HOLNZLM000000101081</t>
  </si>
  <si>
    <t>SRB WHITES NANTUCKET</t>
  </si>
  <si>
    <t>SRB WHITES DALTON NANCY</t>
  </si>
  <si>
    <t>HOLGBRM000000598288</t>
  </si>
  <si>
    <t>MOET NEOPOLITAN</t>
  </si>
  <si>
    <t>MOET MASCOT ALICIA B</t>
  </si>
  <si>
    <t>DFRNLDM000388751347</t>
  </si>
  <si>
    <t>TITTENSER MEINSE</t>
  </si>
  <si>
    <t>JACOB 8</t>
  </si>
  <si>
    <t>TITTENSER BERTHA 168</t>
  </si>
  <si>
    <t>DOVEA IDS</t>
  </si>
  <si>
    <t>HOLIRLM371373920265</t>
  </si>
  <si>
    <t>TINNASHRULE RUDDY</t>
  </si>
  <si>
    <t>BALLYFRORY HAZEL 5</t>
  </si>
  <si>
    <t>HOLIRLM151623471153</t>
  </si>
  <si>
    <t>BALLYBRIDE E DANO</t>
  </si>
  <si>
    <t>BALLYBRIDE LYE SHERRY</t>
  </si>
  <si>
    <t>JERUSAM000000654906</t>
  </si>
  <si>
    <t>SPECIALIST - ET</t>
  </si>
  <si>
    <t>MAGIC KAVA KAY GLOVER</t>
  </si>
  <si>
    <t>HIGHLAND MAGIC DUNCAN</t>
  </si>
  <si>
    <t>MONFRAM004995018235</t>
  </si>
  <si>
    <t>LIEGEOIS</t>
  </si>
  <si>
    <t>FLORIANTE</t>
  </si>
  <si>
    <t>HOLIRLM151111830517</t>
  </si>
  <si>
    <t>MILLSTREET RUUD 5</t>
  </si>
  <si>
    <t>BRICK DESIREE 61</t>
  </si>
  <si>
    <t>CONANT-ACRES VALIANT JONAH</t>
  </si>
  <si>
    <t>HOLIRLM151411570666</t>
  </si>
  <si>
    <t>CARRIGOON LENA ARCHIE</t>
  </si>
  <si>
    <t>ARCHIBALD</t>
  </si>
  <si>
    <t>CARRIGOON USNES LENA</t>
  </si>
  <si>
    <t>HOLGBRM000000559858</t>
  </si>
  <si>
    <t>KILGARRIFFE BLACKSTAR 5 ET</t>
  </si>
  <si>
    <t>THUBOROUGH LILAC</t>
  </si>
  <si>
    <t>A BUTLERVIEW MATTADOR</t>
  </si>
  <si>
    <t>HOLGBRM000000514791</t>
  </si>
  <si>
    <t>HULLY HAMLYN ET</t>
  </si>
  <si>
    <t>HULLY HEBE 14</t>
  </si>
  <si>
    <t>CROSSWELL CARDAN 2</t>
  </si>
  <si>
    <t>JERDNKM000000301617</t>
  </si>
  <si>
    <t>JAS BUNGY</t>
  </si>
  <si>
    <t>SKAE IDE</t>
  </si>
  <si>
    <t>JAS BYG</t>
  </si>
  <si>
    <t>HOLNLDM000362189678</t>
  </si>
  <si>
    <t>SAENE SUGAR DONAU</t>
  </si>
  <si>
    <t>SAENE SUGAR 32</t>
  </si>
  <si>
    <t>HOLUSAM000131951318</t>
  </si>
  <si>
    <t>BUDJON-JK ELECTION ET</t>
  </si>
  <si>
    <t>BUDJON-JK ENCORE ELECTRA ET</t>
  </si>
  <si>
    <t>HOLFRAM005897003342</t>
  </si>
  <si>
    <t>NOMBREUX</t>
  </si>
  <si>
    <t>JULIAE</t>
  </si>
  <si>
    <t>BRFGBRM000000599886</t>
  </si>
  <si>
    <t>LAKEMEAD PRANCER</t>
  </si>
  <si>
    <t>PATTERTON PERFECTION</t>
  </si>
  <si>
    <t>LAKEMEAD NORAH</t>
  </si>
  <si>
    <t>LEIGHTON WORKBOY</t>
  </si>
  <si>
    <t>HOLCANM000005559822</t>
  </si>
  <si>
    <t>OCONNORS DARWIN</t>
  </si>
  <si>
    <t>INSPIRATION DODI</t>
  </si>
  <si>
    <t>HOLITAM000501016812</t>
  </si>
  <si>
    <t>BIANCAMARIA ORIENS ET</t>
  </si>
  <si>
    <t>QUICKLAND BELL CUPID</t>
  </si>
  <si>
    <t>HOLNLDM000172904487</t>
  </si>
  <si>
    <t>SIOUX LUCKY STAR</t>
  </si>
  <si>
    <t>DELTA MARJOLEIN</t>
  </si>
  <si>
    <t>HOLUSAM000002226543</t>
  </si>
  <si>
    <t>ROYLANE PRELUDE HOMERUN ET</t>
  </si>
  <si>
    <t>ROYLANE STAR HATTIE ET</t>
  </si>
  <si>
    <t>MONFRAM008590019133</t>
  </si>
  <si>
    <t>FAIRPLAY</t>
  </si>
  <si>
    <t>CHARMANTE</t>
  </si>
  <si>
    <t>HOLFRAM006194077152</t>
  </si>
  <si>
    <t>JIU JITSU</t>
  </si>
  <si>
    <t>FRACACE</t>
  </si>
  <si>
    <t>ROEMER</t>
  </si>
  <si>
    <t>NATJA</t>
  </si>
  <si>
    <t>ALIDUS</t>
  </si>
  <si>
    <t>JERUSAM000000657643</t>
  </si>
  <si>
    <t>AU LESTER TOPSIDE ET</t>
  </si>
  <si>
    <t>AU TILLIES LEGEND TILDY</t>
  </si>
  <si>
    <t>SCHULTZ PERFORMING LEGEND</t>
  </si>
  <si>
    <t>HOLGBRM000000598172</t>
  </si>
  <si>
    <t>HOLIRLM191408430371</t>
  </si>
  <si>
    <t>KNOCKENRIGHT AXA 371</t>
  </si>
  <si>
    <t>GALTEE ALEX 129</t>
  </si>
  <si>
    <t>KNOCKENRIGHT TONIC 277</t>
  </si>
  <si>
    <t>ATHOS</t>
  </si>
  <si>
    <t>ATLOK</t>
  </si>
  <si>
    <t>ANDRA 1</t>
  </si>
  <si>
    <t>ENERGIE</t>
  </si>
  <si>
    <t>NMDFRAM005392037896</t>
  </si>
  <si>
    <t>HABACUC</t>
  </si>
  <si>
    <t>VALABRI</t>
  </si>
  <si>
    <t>FRAN FAUVETTE</t>
  </si>
  <si>
    <t>NMDFRAM003593049926</t>
  </si>
  <si>
    <t>IGNORANTIN</t>
  </si>
  <si>
    <t>FRAN CANDIDE262</t>
  </si>
  <si>
    <t>PARAMETRE</t>
  </si>
  <si>
    <t>MONFRAM003995030134</t>
  </si>
  <si>
    <t>LAVAL</t>
  </si>
  <si>
    <t>IVRESSE</t>
  </si>
  <si>
    <t>HOLDEUM000344688429</t>
  </si>
  <si>
    <t>HONDO AERO</t>
  </si>
  <si>
    <t>WEINTRAU 23</t>
  </si>
  <si>
    <t>MONFRAM002598008064</t>
  </si>
  <si>
    <t>OUEST</t>
  </si>
  <si>
    <t>IRENE</t>
  </si>
  <si>
    <t>MONFRAM002595031930</t>
  </si>
  <si>
    <t>LUCILIUS</t>
  </si>
  <si>
    <t>ETOILE</t>
  </si>
  <si>
    <t>RDCSWEM000000083782</t>
  </si>
  <si>
    <t>MARK</t>
  </si>
  <si>
    <t>MANUEL 142</t>
  </si>
  <si>
    <t>WILLIE 19</t>
  </si>
  <si>
    <t>CLARA'S ORKAN RED</t>
  </si>
  <si>
    <t>HOLUSAM000052357926</t>
  </si>
  <si>
    <t>RALMO O-MAN CF CREST</t>
  </si>
  <si>
    <t>HOLUSAM000134338165</t>
  </si>
  <si>
    <t>BUDJON JK EXCLUSIVE</t>
  </si>
  <si>
    <t>MRYNLDM000347952581</t>
  </si>
  <si>
    <t>MARVIST</t>
  </si>
  <si>
    <t>MANUEL 253</t>
  </si>
  <si>
    <t>DZ MIES 113</t>
  </si>
  <si>
    <t>HOLGBRM000000604614</t>
  </si>
  <si>
    <t>MOET NANSEN</t>
  </si>
  <si>
    <t>WILPE DENNIS</t>
  </si>
  <si>
    <t>MOET GIBBON CADET C</t>
  </si>
  <si>
    <t>HOLNLDM000368104374</t>
  </si>
  <si>
    <t>KELSTEIN BAFLO</t>
  </si>
  <si>
    <t>KELSTEIN BRITNEY</t>
  </si>
  <si>
    <t>HOLNLDM000397048164</t>
  </si>
  <si>
    <t>LUCKY STAN</t>
  </si>
  <si>
    <t>PRINCESS 3027</t>
  </si>
  <si>
    <t>HOLNLDM000268923802</t>
  </si>
  <si>
    <t>TILLIES WILLEM DENZEL</t>
  </si>
  <si>
    <t>TILLIE 53</t>
  </si>
  <si>
    <t>HOLNLDM000166956287</t>
  </si>
  <si>
    <t>BRINKERS MARKUS</t>
  </si>
  <si>
    <t>ETAZONPATRON</t>
  </si>
  <si>
    <t>LYLEHAVEN ROTATE AMOS</t>
  </si>
  <si>
    <t>HOLUSAM000130422404</t>
  </si>
  <si>
    <t>HEAVENLEE DURHAM DUBUQUE ET</t>
  </si>
  <si>
    <t>KAMPS-HOLLOW DESTY ET</t>
  </si>
  <si>
    <t>DFRNLDM000351858161</t>
  </si>
  <si>
    <t>DE VENNEN JONAS</t>
  </si>
  <si>
    <t>HOLWERDA TOMASSON</t>
  </si>
  <si>
    <t>JITSKE 103</t>
  </si>
  <si>
    <t>VAN DE WIJZEND 51</t>
  </si>
  <si>
    <t>DFRNLDM000380559394</t>
  </si>
  <si>
    <t>DOVEA SAILORMAN</t>
  </si>
  <si>
    <t>DE VENNEN JOB</t>
  </si>
  <si>
    <t>GRETHA 39</t>
  </si>
  <si>
    <t>JERNZLM000000300011</t>
  </si>
  <si>
    <t>WILLIAMS ADS MINSTRELL</t>
  </si>
  <si>
    <t>HOLNLDM000365043120</t>
  </si>
  <si>
    <t>IDEALENZ</t>
  </si>
  <si>
    <t>EMINENZ ET</t>
  </si>
  <si>
    <t>GROENHILDE IDEALE 1</t>
  </si>
  <si>
    <t>HOLIRLM341499260506</t>
  </si>
  <si>
    <t>SHINE EIX 1</t>
  </si>
  <si>
    <t>HOLNZLM000000101149</t>
  </si>
  <si>
    <t>MANGAONE LE HIGHLIFE</t>
  </si>
  <si>
    <t>SRD MANGAONE KARL HELGA</t>
  </si>
  <si>
    <t>HOLIRLM151549232865</t>
  </si>
  <si>
    <t>MOOREPARK HORAN</t>
  </si>
  <si>
    <t>MOOREPARK BYRNES HORAN ET</t>
  </si>
  <si>
    <t>O'BYRNES EAMONN</t>
  </si>
  <si>
    <t>HOLIRLM191915140230</t>
  </si>
  <si>
    <t>FATHA ALEX</t>
  </si>
  <si>
    <t>FATHA MBH SUSAN</t>
  </si>
  <si>
    <t>HOLIRLM151007390139</t>
  </si>
  <si>
    <t>LISDUFF LESLIE 11</t>
  </si>
  <si>
    <t>RDCNORM000000005646</t>
  </si>
  <si>
    <t>GURINA</t>
  </si>
  <si>
    <t>LEIKVOLL</t>
  </si>
  <si>
    <t>HOLNLDM000255696333</t>
  </si>
  <si>
    <t>DE CROB ADEPT</t>
  </si>
  <si>
    <t>BRFGBRM000000583894</t>
  </si>
  <si>
    <t>CATLANE SPEAKER</t>
  </si>
  <si>
    <t>CATLANE BOUNTY SNOWBALL 4</t>
  </si>
  <si>
    <t>HOLIRLM241102531071</t>
  </si>
  <si>
    <t>CASTLEGALE MONDO</t>
  </si>
  <si>
    <t>CASTLEGALE ELG FIONA 441</t>
  </si>
  <si>
    <t>GALTEE ELBERG 2</t>
  </si>
  <si>
    <t>HOLIRLM341213560590</t>
  </si>
  <si>
    <t>KILLAIDAMEE DROVER</t>
  </si>
  <si>
    <t>KILLAIDAMEE DAISY 37</t>
  </si>
  <si>
    <t>HOLIRLM151623451192</t>
  </si>
  <si>
    <t>BALLYBRIDE DANIEL</t>
  </si>
  <si>
    <t>BALLYBRIDE GMI BERNADETTE</t>
  </si>
  <si>
    <t>HOLIRLM151623441191</t>
  </si>
  <si>
    <t>RDCGBRM000006180598</t>
  </si>
  <si>
    <t>STAMFORD KATES COMMAND</t>
  </si>
  <si>
    <t>BALLYCALLAN FIRST COMMAND</t>
  </si>
  <si>
    <t>STAMFORD MISS NORMA</t>
  </si>
  <si>
    <t>ARDROSSAN KATES TRIDENT</t>
  </si>
  <si>
    <t>RDCNORM000000005339</t>
  </si>
  <si>
    <t>5339 RORMARK</t>
  </si>
  <si>
    <t>S.¿RVOLL</t>
  </si>
  <si>
    <t>ROSELIN</t>
  </si>
  <si>
    <t>RDCNORM000000005654</t>
  </si>
  <si>
    <t>MIA</t>
  </si>
  <si>
    <t>I.TORLAND</t>
  </si>
  <si>
    <t>HOLUSAM000060000320</t>
  </si>
  <si>
    <t>PASEN MOUNTAIN MAGIC TCG-ET</t>
  </si>
  <si>
    <t>LONDON-ENGLAND GING 1363-ET</t>
  </si>
  <si>
    <t>HOLIRLM141360930511</t>
  </si>
  <si>
    <t>EEDY DIVA OMAN</t>
  </si>
  <si>
    <t>EEDY TRENT DIVA</t>
  </si>
  <si>
    <t>BSWFRAM001297130217</t>
  </si>
  <si>
    <t>HONGRIE</t>
  </si>
  <si>
    <t>DFRNLDM000387614373</t>
  </si>
  <si>
    <t>RIVELINO 458</t>
  </si>
  <si>
    <t>RIVELINO 420</t>
  </si>
  <si>
    <t>KATE 426</t>
  </si>
  <si>
    <t>RIVELINO 344</t>
  </si>
  <si>
    <t>HOLIRLM341552410704</t>
  </si>
  <si>
    <t>ARDFINNAN KERMIT</t>
  </si>
  <si>
    <t>BAGWORTH ZANDER KEET</t>
  </si>
  <si>
    <t>ARDFINNAN BEATRIX 117</t>
  </si>
  <si>
    <t>HOLNZLM000000101053</t>
  </si>
  <si>
    <t>MITCHELLS VICTOR S1F</t>
  </si>
  <si>
    <t>SRD MITCHELLS VICTORIA</t>
  </si>
  <si>
    <t>HOLIRLM141221340851</t>
  </si>
  <si>
    <t>DONEEN JIKKE JUSTICE</t>
  </si>
  <si>
    <t>DONEEN JIKKE 5</t>
  </si>
  <si>
    <t>HOLCANM000010559198</t>
  </si>
  <si>
    <t>CEDARWAL SPIRTE</t>
  </si>
  <si>
    <t>CEDARWAL HALO MASON</t>
  </si>
  <si>
    <t>SHOREMAR MASON ET</t>
  </si>
  <si>
    <t>HOLIRLM341294760885</t>
  </si>
  <si>
    <t>CAPPAUNIAC STERLING</t>
  </si>
  <si>
    <t>CAPPAUNIAC DAISY 6</t>
  </si>
  <si>
    <t>HOLUSAM000131823833</t>
  </si>
  <si>
    <t>SANDY-VALLEY BOLTON-ET</t>
  </si>
  <si>
    <t>LEXVOLD LUKE HERSHEL ET</t>
  </si>
  <si>
    <t>SANDY-VALLEY BLESSING ET</t>
  </si>
  <si>
    <t>HOLUSAM000121094698</t>
  </si>
  <si>
    <t>D-K-DANDY HERCULES-ET</t>
  </si>
  <si>
    <t>D-K-DANDY OSCAR GODDESS</t>
  </si>
  <si>
    <t>HOLNLDM000292559693</t>
  </si>
  <si>
    <t>DELTA LIONEL</t>
  </si>
  <si>
    <t>HOLUSAM000130153294</t>
  </si>
  <si>
    <t>VEAZLAND FORMATION MISSA-ET</t>
  </si>
  <si>
    <t>SHEN-VAL NV LM FORMATION-ET</t>
  </si>
  <si>
    <t>HOLNLDM000368104228</t>
  </si>
  <si>
    <t>KELSTEIN HENK</t>
  </si>
  <si>
    <t>KELSTEIN HELENA 5</t>
  </si>
  <si>
    <t>BRFGBRM000000591193</t>
  </si>
  <si>
    <t>FAILAND SNOWY 6</t>
  </si>
  <si>
    <t>MRYNLDM000255920085</t>
  </si>
  <si>
    <t>DZ ALZONN PAROM</t>
  </si>
  <si>
    <t>HOLCANM000009099600</t>
  </si>
  <si>
    <t>ARRON DOON WEST PORT CHIP RED</t>
  </si>
  <si>
    <t>STBVQ RUBENS ET</t>
  </si>
  <si>
    <t>SCIENTIFIC CHERRY RAE-RED</t>
  </si>
  <si>
    <t>BROOKNOOK MILESTONE ET-RED</t>
  </si>
  <si>
    <t>HOLIRLM261006962299</t>
  </si>
  <si>
    <t>MONAMORE VETO</t>
  </si>
  <si>
    <t>MONAMORE GIBBON VERA</t>
  </si>
  <si>
    <t>DFRNLDM000396760351</t>
  </si>
  <si>
    <t>DOVEA ARIS</t>
  </si>
  <si>
    <t>DE VENNEN HANS</t>
  </si>
  <si>
    <t>JET 97</t>
  </si>
  <si>
    <t>FALKO 8 ET</t>
  </si>
  <si>
    <t>HOLNZLM000000663811</t>
  </si>
  <si>
    <t>KAPAWAI LANCE DAVE</t>
  </si>
  <si>
    <t>LEXYLANE PROMISE LANCE</t>
  </si>
  <si>
    <t>KAPAWAI OSCAR DAYDREAM</t>
  </si>
  <si>
    <t>HOLDEUM000340174036</t>
  </si>
  <si>
    <t>FABER</t>
  </si>
  <si>
    <t>LORELY 12</t>
  </si>
  <si>
    <t>HOLIRLM221106210665</t>
  </si>
  <si>
    <t>REARY KEANO ET</t>
  </si>
  <si>
    <t>REARY NORAH 9</t>
  </si>
  <si>
    <t>HOLUSAM000017121203</t>
  </si>
  <si>
    <t>ROSE-BAUM TABOO ET</t>
  </si>
  <si>
    <t>ROSE-BAUM WINKEN ALAS</t>
  </si>
  <si>
    <t>HOLUSAM000002119362</t>
  </si>
  <si>
    <t>LYLEHAVEN RL SEXATION</t>
  </si>
  <si>
    <t>A SHANGHIGH MANDINGO MANDY</t>
  </si>
  <si>
    <t>FISHER-PLACE MANDINGO-TWIN</t>
  </si>
  <si>
    <t>MONFRAM000197002809</t>
  </si>
  <si>
    <t>NOUGAT</t>
  </si>
  <si>
    <t>CARESSE</t>
  </si>
  <si>
    <t>MRYGBRM000176791434</t>
  </si>
  <si>
    <t>PATRICK</t>
  </si>
  <si>
    <t>PIET 225</t>
  </si>
  <si>
    <t>HILDA 98</t>
  </si>
  <si>
    <t>LINA 4'S PRINS</t>
  </si>
  <si>
    <t>HOLFRAM001296046702</t>
  </si>
  <si>
    <t>MATEO RF</t>
  </si>
  <si>
    <t>WA-DEL RC MATT-ET</t>
  </si>
  <si>
    <t>HOLAUSM000H00867513</t>
  </si>
  <si>
    <t>GLOMAR FATAL LANCE-ET</t>
  </si>
  <si>
    <t>G MANHATTAN LUCY 2193</t>
  </si>
  <si>
    <t>MEADOW BRIDGE MANHATTAN</t>
  </si>
  <si>
    <t>HOLGBRM331314410197</t>
  </si>
  <si>
    <t>BALLINFAD BERTIE 3</t>
  </si>
  <si>
    <t>BALLINFAD NOREEN</t>
  </si>
  <si>
    <t>HOLNLDM000265698008</t>
  </si>
  <si>
    <t>PROGRESSIVE SENETT</t>
  </si>
  <si>
    <t>SAENE SUGAR 10</t>
  </si>
  <si>
    <t>HOLGBRM000000605514</t>
  </si>
  <si>
    <t>MYLAWN LANTZ ET</t>
  </si>
  <si>
    <t>RICECREST LANTZ ET</t>
  </si>
  <si>
    <t>CRACKHOLM COMESTAR MEMORY ET</t>
  </si>
  <si>
    <t>HOLCANM000005364343</t>
  </si>
  <si>
    <t>BEAUCOISE BLACK KING ET</t>
  </si>
  <si>
    <t>BEAUCOISE MARK KIWI ET</t>
  </si>
  <si>
    <t>HOLGBRM000000584264</t>
  </si>
  <si>
    <t>LEESTRAND FLIRT BELLWOOD ET</t>
  </si>
  <si>
    <t>RICHARD O'KEEFFE</t>
  </si>
  <si>
    <t>MONFRAM000186006232</t>
  </si>
  <si>
    <t>TELLA</t>
  </si>
  <si>
    <t>DEBOUT</t>
  </si>
  <si>
    <t>HOLNLDM000265481547</t>
  </si>
  <si>
    <t>QG EVERLAND ET</t>
  </si>
  <si>
    <t>ELAINE PI</t>
  </si>
  <si>
    <t>HOLGBRM000000577678</t>
  </si>
  <si>
    <t>WORLEBURY ESQUI GINMAN</t>
  </si>
  <si>
    <t>C MASCOT GIN B</t>
  </si>
  <si>
    <t>HOLGBRM000000585834</t>
  </si>
  <si>
    <t>FULLAM HALEBOPP ET</t>
  </si>
  <si>
    <t>WHISPERINGBROOK M MAIDA</t>
  </si>
  <si>
    <t>HOLUSAM000002136609</t>
  </si>
  <si>
    <t>KNOXLAND BS F CARVEL-ET</t>
  </si>
  <si>
    <t>KNOXLAND MARK INBRED</t>
  </si>
  <si>
    <t>HOLCANM000006595344</t>
  </si>
  <si>
    <t>BOSSIDE RUBEN</t>
  </si>
  <si>
    <t>LENZWAY TESK RUBYT RITA ET</t>
  </si>
  <si>
    <t>HOLNZLM000000096298</t>
  </si>
  <si>
    <t>CORBOYS STORMY RACHAEL</t>
  </si>
  <si>
    <t>HOLUSAM000017129288</t>
  </si>
  <si>
    <t>CANYON-BREEZE WST AMBER-ET</t>
  </si>
  <si>
    <t>TO-MAR WISTER-ET</t>
  </si>
  <si>
    <t>HOLGBRM000000585835</t>
  </si>
  <si>
    <t>FULLAM COMET ET</t>
  </si>
  <si>
    <t>CAERNARVON CURIOUS JETTE</t>
  </si>
  <si>
    <t>HOLIRLM151324290451</t>
  </si>
  <si>
    <t>MOUNTELM TIGER 1</t>
  </si>
  <si>
    <t>MOVIDDY ISLAND EVE 24</t>
  </si>
  <si>
    <t>HOLUSAM000133766626</t>
  </si>
  <si>
    <t>AUTUMN-RIDGE MATSON-ET</t>
  </si>
  <si>
    <t>AUTUMN-RIDGE STORM MITZI-ET</t>
  </si>
  <si>
    <t>HOLNLDM000357333075</t>
  </si>
  <si>
    <t>EUROSTAR LAURENS JAMES TKO</t>
  </si>
  <si>
    <t>KDM EUROSTAR LAURA</t>
  </si>
  <si>
    <t>HOLFRAM007297006288</t>
  </si>
  <si>
    <t>HOLLAND ET</t>
  </si>
  <si>
    <t>HOLNLDM000440447212</t>
  </si>
  <si>
    <t>WILLEMS HOEVE KRIELSTRA</t>
  </si>
  <si>
    <t>WILLEM'S HOEVE RITA 277</t>
  </si>
  <si>
    <t>HOLUSAM000133573930</t>
  </si>
  <si>
    <t>MORNINGVIEW ASHLAR-ET</t>
  </si>
  <si>
    <t>BENNER AEROWOOD</t>
  </si>
  <si>
    <t>MORNINGVIEW FORM ASHLEY-ET</t>
  </si>
  <si>
    <t>HOLUSAM000061898386</t>
  </si>
  <si>
    <t>A-L-H MR DALFINO</t>
  </si>
  <si>
    <t>REGANCREST DUNDEE-ET</t>
  </si>
  <si>
    <t>MARKWELL DURHAM DAISY ET</t>
  </si>
  <si>
    <t>HOLNZLM000000087224</t>
  </si>
  <si>
    <t>SR CROCKETTS TREVOR</t>
  </si>
  <si>
    <t>ANNETTE</t>
  </si>
  <si>
    <t>HOLGBRM000000560399</t>
  </si>
  <si>
    <t>PAINLEY KNIGHTHOOD ET</t>
  </si>
  <si>
    <t>PRIMSLAND INSPIRATION KIMO ET</t>
  </si>
  <si>
    <t>HOLNLDM000188369281</t>
  </si>
  <si>
    <t>Q G LOVELETTER</t>
  </si>
  <si>
    <t>Q G LUSTRE ET</t>
  </si>
  <si>
    <t>HOLGBRM000000545012</t>
  </si>
  <si>
    <t>MONAMORE MISTER MERIBUCK ET</t>
  </si>
  <si>
    <t>JOYLAN MISS AMERICA 17 ET</t>
  </si>
  <si>
    <t>HOLNZLM000000096365</t>
  </si>
  <si>
    <t>BARTONS HEAPHY</t>
  </si>
  <si>
    <t>DTR OF 8529 NO 284</t>
  </si>
  <si>
    <t>MANIAPOTO A B KITCHENER</t>
  </si>
  <si>
    <t>HOLNLDM000316418898</t>
  </si>
  <si>
    <t>LONG-HAVEN BOVA SAMARA-ET</t>
  </si>
  <si>
    <t>HOLNLDM000180978560</t>
  </si>
  <si>
    <t>CHARTROISE SAMMY</t>
  </si>
  <si>
    <t>CHARTROISE SAMANTHA</t>
  </si>
  <si>
    <t>HOLUSAM000002179264</t>
  </si>
  <si>
    <t>COOKFARM MR PROTEIN</t>
  </si>
  <si>
    <t>COOKFARM MARK FATIMA</t>
  </si>
  <si>
    <t>HOLIRLM191181710502</t>
  </si>
  <si>
    <t>LEAGH SPOCKMAN</t>
  </si>
  <si>
    <t>HOLNLDM000339291027</t>
  </si>
  <si>
    <t>COCKTAIL DELTA HEART TL</t>
  </si>
  <si>
    <t>BRFGBRM000000594330</t>
  </si>
  <si>
    <t>CATLANE METROPOLIS</t>
  </si>
  <si>
    <t>SHARCOMBE BETA</t>
  </si>
  <si>
    <t>MONFRAM003996004646</t>
  </si>
  <si>
    <t>MOZART</t>
  </si>
  <si>
    <t>HONGROISE</t>
  </si>
  <si>
    <t>HOLIRLM141654271383</t>
  </si>
  <si>
    <t>KILLINGLEY BET EXCELLENCY</t>
  </si>
  <si>
    <t>KILLINGLEY USNES BET 2</t>
  </si>
  <si>
    <t>HOLNZLM000000099305</t>
  </si>
  <si>
    <t>TIROHANGA PM APACHE</t>
  </si>
  <si>
    <t>SRB TIROHANGA EG DEBRA</t>
  </si>
  <si>
    <t>HOLUSAM000131351211</t>
  </si>
  <si>
    <t>MR MONTANA</t>
  </si>
  <si>
    <t>MISS MARK MAUI</t>
  </si>
  <si>
    <t>HOLNLDM000232655412</t>
  </si>
  <si>
    <t>HOLIM CARECA</t>
  </si>
  <si>
    <t>HOLUSAM000123062196</t>
  </si>
  <si>
    <t>BO-IRISH RJ LEAD READY-ET</t>
  </si>
  <si>
    <t>LU-AR COMMOTION ROSE-ET</t>
  </si>
  <si>
    <t>ZEE-CAL COMMOTION-ET</t>
  </si>
  <si>
    <t>HOLUSAM000129355919</t>
  </si>
  <si>
    <t>OSEEANA ASTRONOMICAL ET</t>
  </si>
  <si>
    <t>TRI-DAY ASHLYN ET</t>
  </si>
  <si>
    <t>HOLUSAM000002014271</t>
  </si>
  <si>
    <t>CRACIN ROYAL</t>
  </si>
  <si>
    <t>LEKKER TRADITION CREAM ET</t>
  </si>
  <si>
    <t>HOLNLDM000229469970</t>
  </si>
  <si>
    <t>JERUSAM000000661399</t>
  </si>
  <si>
    <t>MOLLY BROOK BERETTA FUTURE</t>
  </si>
  <si>
    <t>MOLLYBROOK LESTER FANTASTIC</t>
  </si>
  <si>
    <t>HOLNZLM000000663398</t>
  </si>
  <si>
    <t>SKY HIGH MOUNT TYSON</t>
  </si>
  <si>
    <t>SKY HIGH GLEE TUI</t>
  </si>
  <si>
    <t>HOLIRLM151055240506</t>
  </si>
  <si>
    <t>GARRYMARTIN KEET</t>
  </si>
  <si>
    <t>GARRYMARTIN UYC CROCUS</t>
  </si>
  <si>
    <t>HOLIRLM151753150812</t>
  </si>
  <si>
    <t>FANISK RANDY</t>
  </si>
  <si>
    <t>FANISK ROISIN 2</t>
  </si>
  <si>
    <t>DFRNLDM000358764430</t>
  </si>
  <si>
    <t>ARENBERG FRANS 233</t>
  </si>
  <si>
    <t>ARENBERG FRANS 216</t>
  </si>
  <si>
    <t>HENDRIKA 566</t>
  </si>
  <si>
    <t>NOORDLANDER 57</t>
  </si>
  <si>
    <t>HOLUSAM000125470531</t>
  </si>
  <si>
    <t>ART-ACRES PATRON MASCOT-ET</t>
  </si>
  <si>
    <t>JERNZLM000000092472</t>
  </si>
  <si>
    <t>SILVER FALLS QUICK FAME</t>
  </si>
  <si>
    <t>SILVER FALLS ELTON FAIRY</t>
  </si>
  <si>
    <t>LAWMUIR ELTON</t>
  </si>
  <si>
    <t>HOLIRLM341190460336</t>
  </si>
  <si>
    <t>REECHESTOWN RONNIE</t>
  </si>
  <si>
    <t>KATSHAAR BRENDAN</t>
  </si>
  <si>
    <t>REECHESTOWN MFX AMBER</t>
  </si>
  <si>
    <t>HOLIRLM351066170546</t>
  </si>
  <si>
    <t>CURRA GUF FRED</t>
  </si>
  <si>
    <t>GENUS MATFEN</t>
  </si>
  <si>
    <t>CURRA MAU CARA</t>
  </si>
  <si>
    <t>HOLIRLM341510730017</t>
  </si>
  <si>
    <t>CLONBRICK VANESSA OMAN 2</t>
  </si>
  <si>
    <t>CLONLACK ZEBO VANESSA ET</t>
  </si>
  <si>
    <t>HOLIRLM341510720024</t>
  </si>
  <si>
    <t>CLONBRICK VANESSA RUU 2</t>
  </si>
  <si>
    <t>HOLIRLM371090970808</t>
  </si>
  <si>
    <t>RAHEENVARREN RUUD 808</t>
  </si>
  <si>
    <t>RAHEENVARREN MAU NORA</t>
  </si>
  <si>
    <t>HOLNLDM000396668651</t>
  </si>
  <si>
    <t>HET MEER CORRADO</t>
  </si>
  <si>
    <t>HET MEER SWEEDS 2</t>
  </si>
  <si>
    <t>HOLNLDM000336388427</t>
  </si>
  <si>
    <t>LOWLANDS FABIAN</t>
  </si>
  <si>
    <t>CREYHORST CLOR 2</t>
  </si>
  <si>
    <t>FLORA</t>
  </si>
  <si>
    <t>HOLUSAM000060540099</t>
  </si>
  <si>
    <t>REGANCREST DOLMAN-ET</t>
  </si>
  <si>
    <t>REGANCREST EMORY DORISSA ET</t>
  </si>
  <si>
    <t>HOLNLDM000396730594</t>
  </si>
  <si>
    <t>GOMEZ LEE</t>
  </si>
  <si>
    <t>MESLAND PRINCESS 0204</t>
  </si>
  <si>
    <t>HOLUSAM000130813851</t>
  </si>
  <si>
    <t>MOROVILLE ADDISON BANKER</t>
  </si>
  <si>
    <t>MOROVILLE MANFRED BREEZE</t>
  </si>
  <si>
    <t>HOLCANM000009407633</t>
  </si>
  <si>
    <t>SUNNYLODGE SABASTIAN</t>
  </si>
  <si>
    <t>SUNNYLODGE RUDOLPH SCARIET</t>
  </si>
  <si>
    <t>DFRNLDM000396760469</t>
  </si>
  <si>
    <t>DOVEA WILDE</t>
  </si>
  <si>
    <t>BRFGBRM000000628627</t>
  </si>
  <si>
    <t>KIRKBY JAYSON</t>
  </si>
  <si>
    <t>KIRKBY JAY 16</t>
  </si>
  <si>
    <t>HOLIRLM141644231447</t>
  </si>
  <si>
    <t>BOWENSCROSS SUPER</t>
  </si>
  <si>
    <t>QG EUROPE ET</t>
  </si>
  <si>
    <t>BOWENSCROSS SNOWFLAKE RED 11</t>
  </si>
  <si>
    <t>HOLNZLM000000106023</t>
  </si>
  <si>
    <t>KOPERE RENE CHAMPION</t>
  </si>
  <si>
    <t>HOLNZLM000000106083</t>
  </si>
  <si>
    <t>MITCHELLS NOTEWORTHY</t>
  </si>
  <si>
    <t>HAZAEL EXTASY DANCER-ET</t>
  </si>
  <si>
    <t>HOLNZLM000000106205</t>
  </si>
  <si>
    <t>MONOWAI KP DOMAIN-ET S2F</t>
  </si>
  <si>
    <t>SRB MONOWAI VP DIABLO-ET</t>
  </si>
  <si>
    <t>VALDEN CURIOUS PALADIUM</t>
  </si>
  <si>
    <t>HOLUSAM000122274798</t>
  </si>
  <si>
    <t>JENNY-LOU MARSHALL P149-ET</t>
  </si>
  <si>
    <t>JENNY-LOU PATRON TOYANE</t>
  </si>
  <si>
    <t>HOLIRLM241352140854</t>
  </si>
  <si>
    <t>KNOCKSOUNA MARTIN</t>
  </si>
  <si>
    <t>KNOCKSOUNA MAID 10</t>
  </si>
  <si>
    <t>HOLUSAM000060549654</t>
  </si>
  <si>
    <t>PLAIN-O DURHAM ROSS-331-ET</t>
  </si>
  <si>
    <t>SOLLIEN HERO ROSLYN</t>
  </si>
  <si>
    <t>TO-MAR BLACKSTARS HERO-ET</t>
  </si>
  <si>
    <t>HOLIRLM341555730004</t>
  </si>
  <si>
    <t>BOWERSWOOD MCL GOLD</t>
  </si>
  <si>
    <t>BOWERSWOOD JB GOLDEN</t>
  </si>
  <si>
    <t>HOLNZLM000000106161</t>
  </si>
  <si>
    <t>HAZAEL LIGHT DETECTOR S2F</t>
  </si>
  <si>
    <t>SRB CORBOYS LIGHTENING</t>
  </si>
  <si>
    <t>HAZEL ELLIOT DREAMER</t>
  </si>
  <si>
    <t>MONFRAM003935550288</t>
  </si>
  <si>
    <t>SANTON JB</t>
  </si>
  <si>
    <t>NOUVEAUTE</t>
  </si>
  <si>
    <t>BRFGBRM000000606768</t>
  </si>
  <si>
    <t>MILEOAK HERCULES ET</t>
  </si>
  <si>
    <t>WINNOCH PENGUIN 90</t>
  </si>
  <si>
    <t>HOLIRLM151013750955</t>
  </si>
  <si>
    <t>PARKDUV MARGO 7</t>
  </si>
  <si>
    <t>HOLUSAM000136841849</t>
  </si>
  <si>
    <t>MD-VALLEYVUE TAL LEW RED</t>
  </si>
  <si>
    <t>VIAPAX CHIEFMAN LOUA</t>
  </si>
  <si>
    <t>LYNLAND CHIEF MAN</t>
  </si>
  <si>
    <t>HOLCANM000008641364</t>
  </si>
  <si>
    <t>BRAEDALE PAGEWIRE</t>
  </si>
  <si>
    <t>SUMMERSHADE INQUIRER ET</t>
  </si>
  <si>
    <t>BRAEDALE BALER TWINE</t>
  </si>
  <si>
    <t>HOLNZLM000000106192</t>
  </si>
  <si>
    <t>SCOTTS GR DAIRYMAN-ET S3F</t>
  </si>
  <si>
    <t>HOLGBRM000000618668</t>
  </si>
  <si>
    <t>BURLANE TENNYSON P1</t>
  </si>
  <si>
    <t>DELLKA JUROR GORDON TW</t>
  </si>
  <si>
    <t>BURLANE MTOTO TRACY</t>
  </si>
  <si>
    <t>HOLUSAM000133906051</t>
  </si>
  <si>
    <t>BLUE-HAVEN-LTD BRICK</t>
  </si>
  <si>
    <t>WILCOXVIEW PATRON BROOKE-ET</t>
  </si>
  <si>
    <t>HOLIRLM351172520971</t>
  </si>
  <si>
    <t>TALLACOOLE RUNNER</t>
  </si>
  <si>
    <t>TALLACOOLE MAU ALYS 2</t>
  </si>
  <si>
    <t>JERCANM000010211025</t>
  </si>
  <si>
    <t>PINE HAVEN SENIOR</t>
  </si>
  <si>
    <t>GLENHOLME COUNCILLER</t>
  </si>
  <si>
    <t>PINE HAVEN REP SATIN</t>
  </si>
  <si>
    <t>ROCK ELLA PERIMITER ET</t>
  </si>
  <si>
    <t>HOLIRLM251297220533</t>
  </si>
  <si>
    <t>RINGOWNEY LARRY 533</t>
  </si>
  <si>
    <t>RINGOWNEY RUU LADYBIRD</t>
  </si>
  <si>
    <t>DFRDEUM001262264327</t>
  </si>
  <si>
    <t>DOVEA SEMPER</t>
  </si>
  <si>
    <t>SOLO</t>
  </si>
  <si>
    <t>ALLI</t>
  </si>
  <si>
    <t>HOLIRLM151314190841</t>
  </si>
  <si>
    <t>HIGHMOUNT GLEE</t>
  </si>
  <si>
    <t>GALTEE LORENZO GLEE</t>
  </si>
  <si>
    <t>LAAREIND LORENZO</t>
  </si>
  <si>
    <t>HOLIRLM141883970969</t>
  </si>
  <si>
    <t>AGHRINIAGH VEO BIRDIE</t>
  </si>
  <si>
    <t>AGHRINIAGH MBH BIRIDE</t>
  </si>
  <si>
    <t>HOLIRLM141617950879</t>
  </si>
  <si>
    <t>BALLINDEASIG  HARRY 879</t>
  </si>
  <si>
    <t>BALLINDEASIG ARCHI HAZEL</t>
  </si>
  <si>
    <t>HOLFRAM002254633787</t>
  </si>
  <si>
    <t>SAVER</t>
  </si>
  <si>
    <t>OGANGINA</t>
  </si>
  <si>
    <t>HOLIRLM191260431110</t>
  </si>
  <si>
    <t>DROMCUNNIG VINCE</t>
  </si>
  <si>
    <t>DROMCUNNIG VIOLET 2004</t>
  </si>
  <si>
    <t>HOLCANM000000392513</t>
  </si>
  <si>
    <t>SAVAGEDALE DYNASTY ET</t>
  </si>
  <si>
    <t>ROMANDALE CRYSTAN STARIE A</t>
  </si>
  <si>
    <t>ROMANDALE COUNT CRYSTAN</t>
  </si>
  <si>
    <t>HOLGBRM000000557314</t>
  </si>
  <si>
    <t>GLENKEEL ENVOY ET</t>
  </si>
  <si>
    <t>MARLU VALIANT EARLYBIRD</t>
  </si>
  <si>
    <t>HOLNLDM000839380546</t>
  </si>
  <si>
    <t>TIDY-BROOK ELTON STEPH-ET</t>
  </si>
  <si>
    <t>BRFGBRM000000527657</t>
  </si>
  <si>
    <t>GORNAL COMMANDER</t>
  </si>
  <si>
    <t>GORNAL ZWARTINA 33</t>
  </si>
  <si>
    <t>HOLFRAM002296001610</t>
  </si>
  <si>
    <t>PROGRESSIVE MAGICIEN</t>
  </si>
  <si>
    <t>HOSIERY</t>
  </si>
  <si>
    <t>HOLGBRM000000576283</t>
  </si>
  <si>
    <t>CRADENHILL DAL COMMANDER</t>
  </si>
  <si>
    <t>HOLGBRM000000546411</t>
  </si>
  <si>
    <t>LEAGH BERT</t>
  </si>
  <si>
    <t>CRADENHILL ROCK COLLEEN</t>
  </si>
  <si>
    <t>HOLGBRM000000572088</t>
  </si>
  <si>
    <t>CRADENHILL DELLO ET</t>
  </si>
  <si>
    <t>HOLGBRM000000563698</t>
  </si>
  <si>
    <t>LAKELODGE SUNNY BOY 4 ET</t>
  </si>
  <si>
    <t>HOLCANM000000404414</t>
  </si>
  <si>
    <t>ALTAGEN PRELUDE ET</t>
  </si>
  <si>
    <t>HOLNLDM000811640585</t>
  </si>
  <si>
    <t>EASTLAND DENNIS</t>
  </si>
  <si>
    <t>ETAZON HOVEN</t>
  </si>
  <si>
    <t>HOLFRAM005989017128</t>
  </si>
  <si>
    <t>DUSTYCREEK NED BOY ELMSPRING</t>
  </si>
  <si>
    <t>DUSTY ROT</t>
  </si>
  <si>
    <t>HOLUSAM000002171645</t>
  </si>
  <si>
    <t>SIEMERS LEADING DICTATOR ET</t>
  </si>
  <si>
    <t>BUDJON BELL DEMAND</t>
  </si>
  <si>
    <t>HOLGBRM000000605094</t>
  </si>
  <si>
    <t>DOVEA LORD ET</t>
  </si>
  <si>
    <t>LORD 103</t>
  </si>
  <si>
    <t>ELIZABETH</t>
  </si>
  <si>
    <t>HOLNLDM000864022015</t>
  </si>
  <si>
    <t>HSTIENS FAMOUS</t>
  </si>
  <si>
    <t>HOLSTIENS H-STIENS FEMMY</t>
  </si>
  <si>
    <t>HOLNLDM000246404020</t>
  </si>
  <si>
    <t>HOLSTIENS DYNAMIC</t>
  </si>
  <si>
    <t>HOLSTIENS DIANA</t>
  </si>
  <si>
    <t>HOLUSAM000002211224</t>
  </si>
  <si>
    <t>HANOVERHILLR SPIRIT</t>
  </si>
  <si>
    <t>A PL MARK FOOTHILL</t>
  </si>
  <si>
    <t>ST.MARQUIE</t>
  </si>
  <si>
    <t>HOLDEUM001015211012</t>
  </si>
  <si>
    <t>SOUTHWIND SAMUEL ET</t>
  </si>
  <si>
    <t>MAIROSE</t>
  </si>
  <si>
    <t>HOLCANM000005849893</t>
  </si>
  <si>
    <t>C HOWES SATISFACTION</t>
  </si>
  <si>
    <t>HOWES BC SASSY</t>
  </si>
  <si>
    <t>HOLGBRM000000556326</t>
  </si>
  <si>
    <t>HALLSTONE BLACKSTAR ET</t>
  </si>
  <si>
    <t>LEMRAC STARBUCK EGREMONT ET</t>
  </si>
  <si>
    <t>HOLNLDM000137409985</t>
  </si>
  <si>
    <t>ETAZONVIENNA TL</t>
  </si>
  <si>
    <t>HOLNLDM000864110860</t>
  </si>
  <si>
    <t>GRYPHUS SIMON</t>
  </si>
  <si>
    <t>GRYPHUS 47ET TL</t>
  </si>
  <si>
    <t>HOLNLDM000319297050</t>
  </si>
  <si>
    <t>LINDE ROELOF</t>
  </si>
  <si>
    <t>LINDE MARIE 152</t>
  </si>
  <si>
    <t>HOLCANM000005875194</t>
  </si>
  <si>
    <t>KARNVILLA ALTO</t>
  </si>
  <si>
    <t>RESONS ANNIE MARK</t>
  </si>
  <si>
    <t>HOLUSAM000002221911</t>
  </si>
  <si>
    <t>LOCUSTHILL BARTHALEMEU</t>
  </si>
  <si>
    <t>LOCUST-HILL ASTAR BONNY-ET</t>
  </si>
  <si>
    <t>HOLUSAM000002031643</t>
  </si>
  <si>
    <t>BELLEVIEW NED BOY PATENT ET</t>
  </si>
  <si>
    <t>BELLEVIEW BELL KIMBERLEY</t>
  </si>
  <si>
    <t>HOLGBRM000000539290</t>
  </si>
  <si>
    <t>BALDONNEL BUCKO</t>
  </si>
  <si>
    <t>COMELY ELEVATION ONA</t>
  </si>
  <si>
    <t>HOLCANM000005020851</t>
  </si>
  <si>
    <t>LEHOUX EAGLE ROYALE</t>
  </si>
  <si>
    <t>EXELS S-W-D EAGLE</t>
  </si>
  <si>
    <t>LEHOUX CHIEF MARK RUBY</t>
  </si>
  <si>
    <t>HOLUSAM000002294436</t>
  </si>
  <si>
    <t>LEXVOLD MASCOT HILARY ET</t>
  </si>
  <si>
    <t>JERDNKM000000300030</t>
  </si>
  <si>
    <t>BAMBRO BH</t>
  </si>
  <si>
    <t>MOLLYBROOK BRASS MAJOR</t>
  </si>
  <si>
    <t>JERDNKM000000300170</t>
  </si>
  <si>
    <t>SKAE BALTER</t>
  </si>
  <si>
    <t>DA BRAMIN</t>
  </si>
  <si>
    <t>BSWIRLM000000000MWY</t>
  </si>
  <si>
    <t>MISA JETWAY MASCOT ET</t>
  </si>
  <si>
    <t>FOREST LAWN SIMON JETWAY</t>
  </si>
  <si>
    <t>HOOSIER KNOLL MISA ET</t>
  </si>
  <si>
    <t>JERNZLM000000667072</t>
  </si>
  <si>
    <t>AMADEUS</t>
  </si>
  <si>
    <t>NEW ZEALAND SEMEN</t>
  </si>
  <si>
    <t>BELGARD COLOGNE JC8</t>
  </si>
  <si>
    <t>HOLUSAM000017058140</t>
  </si>
  <si>
    <t>SILDAHL BW DUTCH BOY-ET</t>
  </si>
  <si>
    <t>BALLAND LASER DUTCHESS-TW</t>
  </si>
  <si>
    <t>SILDAHL LASER PI ET</t>
  </si>
  <si>
    <t>HOLNLDM000705638203</t>
  </si>
  <si>
    <t>DELTA ELLA</t>
  </si>
  <si>
    <t>HOLITAM091078110038</t>
  </si>
  <si>
    <t>ZANI TORNEDO RANSOM ET</t>
  </si>
  <si>
    <t>ZANI LUKE BELINDA ET</t>
  </si>
  <si>
    <t>HOLUSAM000002269075</t>
  </si>
  <si>
    <t>RICECREST LINDSAY ET</t>
  </si>
  <si>
    <t>RICECREST SOUTHWIND AMY ET</t>
  </si>
  <si>
    <t>HOLNLDM000218070329</t>
  </si>
  <si>
    <t>GALTEE Q G JALABERT</t>
  </si>
  <si>
    <t>JASCOT</t>
  </si>
  <si>
    <t>HOLNLDM000162152348</t>
  </si>
  <si>
    <t>ROLAND 156 VAN TEKENBURG</t>
  </si>
  <si>
    <t>HOLNLDM000129804336</t>
  </si>
  <si>
    <t>SWAMO JARON</t>
  </si>
  <si>
    <t>JANS 82</t>
  </si>
  <si>
    <t>HOLITAM001306022005</t>
  </si>
  <si>
    <t>LIVRAGA JOHN COSMA</t>
  </si>
  <si>
    <t>CORVINI TELSTAR JOHN</t>
  </si>
  <si>
    <t>BRFGBRM000000542073</t>
  </si>
  <si>
    <t>CBS MAY 5</t>
  </si>
  <si>
    <t>HOLNLDM000316419721</t>
  </si>
  <si>
    <t>FARLOWS BELL ROSEBUD</t>
  </si>
  <si>
    <t>BRFGBRM000000546571</t>
  </si>
  <si>
    <t>LEESTHORPE FERNELEY</t>
  </si>
  <si>
    <t>SYSONBY FAITHFUL 218</t>
  </si>
  <si>
    <t>BRYNHYFRYD MELBOURNE</t>
  </si>
  <si>
    <t>JERDNKM000000049431</t>
  </si>
  <si>
    <t>HIBISCUS</t>
  </si>
  <si>
    <t>RDCNORM000000004705</t>
  </si>
  <si>
    <t>KOMMISRUD</t>
  </si>
  <si>
    <t>F.DALLAND</t>
  </si>
  <si>
    <t>LUCIE</t>
  </si>
  <si>
    <t>F.RENSETH</t>
  </si>
  <si>
    <t>HOLFRAM003595000433</t>
  </si>
  <si>
    <t>LONGCHAMP</t>
  </si>
  <si>
    <t>MISS MEL-HAM LDM GENIE-ET</t>
  </si>
  <si>
    <t>MRYDEUM000109658521</t>
  </si>
  <si>
    <t>LAUKEN</t>
  </si>
  <si>
    <t>GRABEN</t>
  </si>
  <si>
    <t>MONFRAM002587019198</t>
  </si>
  <si>
    <t>CASTIN</t>
  </si>
  <si>
    <t>NMDFRAM005088037669</t>
  </si>
  <si>
    <t>DANON</t>
  </si>
  <si>
    <t>FRAN ANETTE</t>
  </si>
  <si>
    <t>FRAN OUTREMER</t>
  </si>
  <si>
    <t>NMDFRAM007291024511</t>
  </si>
  <si>
    <t>FRAN BICHE</t>
  </si>
  <si>
    <t>NMDFRAM006110777167</t>
  </si>
  <si>
    <t>TELERAMA</t>
  </si>
  <si>
    <t>IBANES</t>
  </si>
  <si>
    <t>MANDOLINE</t>
  </si>
  <si>
    <t>HOLUSAM000135650545</t>
  </si>
  <si>
    <t>WA-DEL JUNCTION-ET</t>
  </si>
  <si>
    <t>WA-DEL CONVINCER JESSIE-ET</t>
  </si>
  <si>
    <t>HOLDEUM000579782189</t>
  </si>
  <si>
    <t>ROTARY</t>
  </si>
  <si>
    <t>GHG EMILIA</t>
  </si>
  <si>
    <t>DFRNLDM000345212159</t>
  </si>
  <si>
    <t>RIVELINO 438</t>
  </si>
  <si>
    <t>RIVELINO 408</t>
  </si>
  <si>
    <t>KATE 502</t>
  </si>
  <si>
    <t>RIVELINO 359</t>
  </si>
  <si>
    <t>HOLUSAM000135439382</t>
  </si>
  <si>
    <t>WINNING-WAY MYLES-ET</t>
  </si>
  <si>
    <t>WINNING-WAY MARVEL</t>
  </si>
  <si>
    <t>RDCSWEM000000092104</t>
  </si>
  <si>
    <t>KANGASSALON KELLI</t>
  </si>
  <si>
    <t>1131 EDA</t>
  </si>
  <si>
    <t>SYD ABRU</t>
  </si>
  <si>
    <t>JERNZLM000000506063</t>
  </si>
  <si>
    <t>CUTFORTHS LORD BRIAN</t>
  </si>
  <si>
    <t>NUMANS LORD NELSON</t>
  </si>
  <si>
    <t>WOODNOOK LAURIE BIRD JC8</t>
  </si>
  <si>
    <t>GLENMARIE IMPRESS LAURIE</t>
  </si>
  <si>
    <t>HOLIRLM331017660778</t>
  </si>
  <si>
    <t>(IG) SHIOFRA MACY</t>
  </si>
  <si>
    <t>REARY MC CARTHY ET</t>
  </si>
  <si>
    <t>SHIOFRA ODR SILE</t>
  </si>
  <si>
    <t>NMDFRAM006112311591</t>
  </si>
  <si>
    <t>UMERIS</t>
  </si>
  <si>
    <t>LOBBY</t>
  </si>
  <si>
    <t>NAVETTE</t>
  </si>
  <si>
    <t>FRAN FOIX</t>
  </si>
  <si>
    <t>HOLIRLM151623441712</t>
  </si>
  <si>
    <t>(IG) BALLYBRIDE SHAMROCK</t>
  </si>
  <si>
    <t>BALLYBRIDE BWZ SHELLY</t>
  </si>
  <si>
    <t>JERNZLM000000306120</t>
  </si>
  <si>
    <t>KELLAS ML KAPPAKAY ET</t>
  </si>
  <si>
    <t>KELLAS LADS KAYLEE</t>
  </si>
  <si>
    <t>WEST LEA KAYS LAD</t>
  </si>
  <si>
    <t>DFRDEUM001262338223</t>
  </si>
  <si>
    <t>DOVEA NERO</t>
  </si>
  <si>
    <t>NERO</t>
  </si>
  <si>
    <t>LADY 739</t>
  </si>
  <si>
    <t>LAD</t>
  </si>
  <si>
    <t>HOLIRLM141759181531</t>
  </si>
  <si>
    <t>(IG) DERRINTOGHER RUDDY</t>
  </si>
  <si>
    <t>DERRINTOGHER INGOT RUUD</t>
  </si>
  <si>
    <t>BRFGBRM000000616966</t>
  </si>
  <si>
    <t>LAKEMEAD RANCHER</t>
  </si>
  <si>
    <t>LAKEMEAD RACHEL 13</t>
  </si>
  <si>
    <t>HOLUSAM000136903561</t>
  </si>
  <si>
    <t>PARADISE-RV PYTHON-ET</t>
  </si>
  <si>
    <t>HOLGBRM000000634657</t>
  </si>
  <si>
    <t>CASTLEDALE ODYSSEY</t>
  </si>
  <si>
    <t>CASTLEDALE GLEN ALBYN OPAL 4</t>
  </si>
  <si>
    <t>HOLIRLM141654292367</t>
  </si>
  <si>
    <t>(IG) KILLINGLEY BARAMAS</t>
  </si>
  <si>
    <t>KILLINGLEY RUUD BARBARA 1</t>
  </si>
  <si>
    <t>JERIRLM151828791354</t>
  </si>
  <si>
    <t>(IG) BALLYHOOLY MINSTREL</t>
  </si>
  <si>
    <t>BALLYHOOLY CASPER ELLA</t>
  </si>
  <si>
    <t>HOLIRLM241045440877</t>
  </si>
  <si>
    <t>(IG) FARMCASTLE  LINNY</t>
  </si>
  <si>
    <t>FARMCASTLE CLARABEL 54</t>
  </si>
  <si>
    <t>HOLITAM019500366668</t>
  </si>
  <si>
    <t>GO-FARM SCOOBY-DUU ET TL TV TY</t>
  </si>
  <si>
    <t>GO-FARM LADY GODIVA ET TM</t>
  </si>
  <si>
    <t>HOLIRLM281381570845</t>
  </si>
  <si>
    <t>(IG) FOWLERSTOWN STAN</t>
  </si>
  <si>
    <t>STAMULLEN GRAINNE B1117</t>
  </si>
  <si>
    <t>HOLFRAM005193412099</t>
  </si>
  <si>
    <t>BALLYCRAIGY JOBY</t>
  </si>
  <si>
    <t>KILCONNY EVE</t>
  </si>
  <si>
    <t>HOLUSAM000138291976</t>
  </si>
  <si>
    <t>WHITTIER-FARMS SHOT ARES-ET</t>
  </si>
  <si>
    <t>BKB ABBY-ET</t>
  </si>
  <si>
    <t>HOLDNKM000000248939</t>
  </si>
  <si>
    <t>DANSIRE OMAN OPMAN</t>
  </si>
  <si>
    <t>KOL NIXON</t>
  </si>
  <si>
    <t>HOLUSAM000135393745</t>
  </si>
  <si>
    <t>ALL-RIEHL PAXTON-ET</t>
  </si>
  <si>
    <t>BROOKBURN RUDOLPH PANSY-ET</t>
  </si>
  <si>
    <t>HOLUSAM000052357953</t>
  </si>
  <si>
    <t>RALMA OMAN CF CHIEF-ET</t>
  </si>
  <si>
    <t>HOLIRLM121125680470</t>
  </si>
  <si>
    <t>ROWANTREE TALENT ET</t>
  </si>
  <si>
    <t>DAMIAN WYNNE</t>
  </si>
  <si>
    <t>POELMAN BERIE RAIDER</t>
  </si>
  <si>
    <t>HOLIRLM272004750809</t>
  </si>
  <si>
    <t>LYNBROOK BOLTON ET</t>
  </si>
  <si>
    <t>TO-MAR D-FORTUNE-ET</t>
  </si>
  <si>
    <t>KILLUA GB BALER ET</t>
  </si>
  <si>
    <t>HOLUSAM000135722107</t>
  </si>
  <si>
    <t>WINDSOR-MANOR Z OFFICER-ET</t>
  </si>
  <si>
    <t>WINDSOR MANOR RUD ZIP</t>
  </si>
  <si>
    <t>HOLUSAM000063164321</t>
  </si>
  <si>
    <t>MR ATLEES ALTAAMAZING-ET</t>
  </si>
  <si>
    <t>MD-DELIGHT DURHAM ATLEE ET</t>
  </si>
  <si>
    <t>MONFRAM002591025173</t>
  </si>
  <si>
    <t>GENOVA</t>
  </si>
  <si>
    <t>TABARIN</t>
  </si>
  <si>
    <t>CREMONE</t>
  </si>
  <si>
    <t>HOLUSAM000123066734</t>
  </si>
  <si>
    <t>DOCO LEADMAN TENACIOUS-ET</t>
  </si>
  <si>
    <t>MONFRAM000189005576</t>
  </si>
  <si>
    <t>EMBARGO</t>
  </si>
  <si>
    <t>BALIZE</t>
  </si>
  <si>
    <t>HOLNLDM000160750342</t>
  </si>
  <si>
    <t>QG ALERT</t>
  </si>
  <si>
    <t>LA-POE MASCOT APEX-ET</t>
  </si>
  <si>
    <t>HOLIRLM151055220512</t>
  </si>
  <si>
    <t>GARRYMARTIN HUGO</t>
  </si>
  <si>
    <t>GARRYMARTIN GMI LINDA</t>
  </si>
  <si>
    <t>HOLIRLM351066120442</t>
  </si>
  <si>
    <t>CURRA ROYAL FLUSH</t>
  </si>
  <si>
    <t>CURRA RED ANNE</t>
  </si>
  <si>
    <t>HOLUSAM000207184639</t>
  </si>
  <si>
    <t>SHER-EST EMORY SWANNY</t>
  </si>
  <si>
    <t>HOLIRLM341190420316</t>
  </si>
  <si>
    <t>REECHESTOWN ALDO</t>
  </si>
  <si>
    <t>REECHESTOWN MBH AVA</t>
  </si>
  <si>
    <t>HOLIRLM141411780956</t>
  </si>
  <si>
    <t>KILGARRIFFE OMAN 6TH</t>
  </si>
  <si>
    <t>KILGARRIFFE BUTTERCUP 4</t>
  </si>
  <si>
    <t>HOLIRLM191911970431</t>
  </si>
  <si>
    <t>LYNBROOK OMAN CLASSIC ET</t>
  </si>
  <si>
    <t>LYNBROOK MANAT CLASSIC</t>
  </si>
  <si>
    <t>HOLIRLM141654211782</t>
  </si>
  <si>
    <t>KILLINGLEY DESTINY SIJKE</t>
  </si>
  <si>
    <t>HOLIRLM141761250725</t>
  </si>
  <si>
    <t>KEALFINCHEON HUGO</t>
  </si>
  <si>
    <t>KEALFINCHEON FERRO LIZA</t>
  </si>
  <si>
    <t>HOLIRLM351026471173</t>
  </si>
  <si>
    <t>SPARTA KINDER</t>
  </si>
  <si>
    <t>SPARTA GALTEE KAY</t>
  </si>
  <si>
    <t>HOLFRAM005344215062</t>
  </si>
  <si>
    <t>RANDALIA</t>
  </si>
  <si>
    <t>MINE</t>
  </si>
  <si>
    <t>BRFGBRM000000626232</t>
  </si>
  <si>
    <t>LANGLEY EVOLUTION</t>
  </si>
  <si>
    <t>TITTENSER HYLKE</t>
  </si>
  <si>
    <t>LANGLEY PEGASUS ETHEL ET</t>
  </si>
  <si>
    <t>HOLNZLM000000101150</t>
  </si>
  <si>
    <t>LAINGS WCO NIGHTHAWK</t>
  </si>
  <si>
    <t>SRC LAINGS NATALIE</t>
  </si>
  <si>
    <t>HOLUSAM000132557357</t>
  </si>
  <si>
    <t>GLEN-VALLEY BW CAPTAIN-ET</t>
  </si>
  <si>
    <t>GLEN-VALLEY WIN CAPRICE-ET</t>
  </si>
  <si>
    <t>HOLIRLM141616411285</t>
  </si>
  <si>
    <t>CRADENHILL FORMORE</t>
  </si>
  <si>
    <t>CRADENHILL RUDOLPH CHRISTINA</t>
  </si>
  <si>
    <t>JERUSAM000111524657</t>
  </si>
  <si>
    <t>WETUMPKA LEMVIG NATHAN ET</t>
  </si>
  <si>
    <t>HOLCANM000009409361</t>
  </si>
  <si>
    <t>DUPASQUIER CARISMA</t>
  </si>
  <si>
    <t>SILKY GIBSON ET</t>
  </si>
  <si>
    <t>ENGLAND-AMMON EMORY CARI ET</t>
  </si>
  <si>
    <t>HOLNLDM000346722419</t>
  </si>
  <si>
    <t>HOOKWOOD 78 SCOOTER</t>
  </si>
  <si>
    <t>HOOKWOOD SIENTJE 83</t>
  </si>
  <si>
    <t>HOLNLDM000462449292</t>
  </si>
  <si>
    <t>BSWIRLM000000000NVJ</t>
  </si>
  <si>
    <t>NEUTOP JETVIN JORDAN*TM</t>
  </si>
  <si>
    <t>ZWINGLI JETWAY JETVIN ET</t>
  </si>
  <si>
    <t>STELLA</t>
  </si>
  <si>
    <t>NOVIO</t>
  </si>
  <si>
    <t>HOLIRLM141790540613</t>
  </si>
  <si>
    <t>CARRAIGBUI MERCI</t>
  </si>
  <si>
    <t>CARRAIGBUI GRACE 19</t>
  </si>
  <si>
    <t>HOLIRLM191570220346</t>
  </si>
  <si>
    <t>COOLTEEN ARCHIE</t>
  </si>
  <si>
    <t>COOLTEEN ROSE</t>
  </si>
  <si>
    <t>HOLIRLM281642060003</t>
  </si>
  <si>
    <t>BROWELITE COLOMBO ET</t>
  </si>
  <si>
    <t>COGENT COURIER</t>
  </si>
  <si>
    <t>BROWELITE BRETT RAVENA</t>
  </si>
  <si>
    <t>HOLNZLM000000103504</t>
  </si>
  <si>
    <t>SRD HALLS WME CALAIS</t>
  </si>
  <si>
    <t>SRC HALLS SKELTON OPAL</t>
  </si>
  <si>
    <t>SRC HIBI SECRET SKELTON</t>
  </si>
  <si>
    <t>HOLNLDM000346674716</t>
  </si>
  <si>
    <t>GROENHILDE TOLEDO</t>
  </si>
  <si>
    <t>ROCKER</t>
  </si>
  <si>
    <t>HOLFRAM004486041658</t>
  </si>
  <si>
    <t>LENTILL835</t>
  </si>
  <si>
    <t>JOYLAND FORCASTER STARLITE</t>
  </si>
  <si>
    <t>HOLUSAM000002009870</t>
  </si>
  <si>
    <t>BOSSIR GLEN-VALLEY STARLITE AL</t>
  </si>
  <si>
    <t>BOSSIR NUGGET COMMANDER CLARA</t>
  </si>
  <si>
    <t>CEDAR-GROVE GOLDEN NUGGET</t>
  </si>
  <si>
    <t>HOLNLDM000785532529</t>
  </si>
  <si>
    <t>HOLFRAM004492050365</t>
  </si>
  <si>
    <t>HENU MAS</t>
  </si>
  <si>
    <t>FELLY 535</t>
  </si>
  <si>
    <t>HOLNLDM000106088094</t>
  </si>
  <si>
    <t>LINDE SIMON</t>
  </si>
  <si>
    <t>DEKAAC BL SUE</t>
  </si>
  <si>
    <t>HOLGBRM000000557276</t>
  </si>
  <si>
    <t>LEAGH CHRISTY ET</t>
  </si>
  <si>
    <t>ALTAGEN MICHEAL CASIE ET</t>
  </si>
  <si>
    <t>HOLFRAM004493050135</t>
  </si>
  <si>
    <t>ITALIE MAS</t>
  </si>
  <si>
    <t>GAMANDINE</t>
  </si>
  <si>
    <t>HOLFRAM002994001071</t>
  </si>
  <si>
    <t>KLH JIRI</t>
  </si>
  <si>
    <t>KLH HAIFA</t>
  </si>
  <si>
    <t>HOLUSAM000002191266</t>
  </si>
  <si>
    <t>JO-WAL CUBBY METRO-ET</t>
  </si>
  <si>
    <t>HOLGBRM000000521563</t>
  </si>
  <si>
    <t>CROAGH ALLAH</t>
  </si>
  <si>
    <t>CROAGH CROCUS 4</t>
  </si>
  <si>
    <t>JERGBRM000000053902</t>
  </si>
  <si>
    <t>POTTERSWALLS LORD JUNO</t>
  </si>
  <si>
    <t>VALLEYSTREAM JIS JUNO</t>
  </si>
  <si>
    <t>MOONCREST IMPERIAL LADY</t>
  </si>
  <si>
    <t>MEADOW LAWN J IMPERIAL</t>
  </si>
  <si>
    <t>HOLCANM000008956383</t>
  </si>
  <si>
    <t>MAPLE-DOWNS-I G W ATLANTIC</t>
  </si>
  <si>
    <t>HOLUSAM000060597003</t>
  </si>
  <si>
    <t>PLUSHANSKI AMEL PATTY-ET</t>
  </si>
  <si>
    <t>HOLIRLM211180321108</t>
  </si>
  <si>
    <t>(IG) FIRODA GRIETMAN</t>
  </si>
  <si>
    <t>GRIETMAN</t>
  </si>
  <si>
    <t>FIRODA HWT TWINK 2</t>
  </si>
  <si>
    <t>JERIRLM151306881136</t>
  </si>
  <si>
    <t>HILLCAP MAGNUM</t>
  </si>
  <si>
    <t>CRESCENT RE MAGNUM</t>
  </si>
  <si>
    <t>HILLCAP FUCHSIA</t>
  </si>
  <si>
    <t>JERIRLM151306811096</t>
  </si>
  <si>
    <t>HILLCAP ZACK</t>
  </si>
  <si>
    <t>HILLCAP ANGELIA</t>
  </si>
  <si>
    <t>ROSEHILL BLACKTHORN</t>
  </si>
  <si>
    <t>BLACKADDAR B B KELLOGG</t>
  </si>
  <si>
    <t>ROSEHILL BRAMBLE</t>
  </si>
  <si>
    <t>HOLNZLM000000506077</t>
  </si>
  <si>
    <t>HOWIES REVIVER</t>
  </si>
  <si>
    <t>HOLUSAM000137028067</t>
  </si>
  <si>
    <t>EMMARK MAMMOTH</t>
  </si>
  <si>
    <t>EMMARK MIKLIN STORM 2-1</t>
  </si>
  <si>
    <t>HOLUSAM000061898306</t>
  </si>
  <si>
    <t>REGANCREST ALTAIOTA-ET</t>
  </si>
  <si>
    <t>REGANCREST ITO ISA</t>
  </si>
  <si>
    <t>BARBEE-M JUROR ITO-ET</t>
  </si>
  <si>
    <t>HOLUSAM000139456657</t>
  </si>
  <si>
    <t>DREAM-PRAIRIE BG BRUNO-ET</t>
  </si>
  <si>
    <t>REGANCREST GOLD BRETTA ET</t>
  </si>
  <si>
    <t>HOLUSAM000062745711</t>
  </si>
  <si>
    <t>JZM GOLDENBOY-ET</t>
  </si>
  <si>
    <t>JZM OUTSIDE BEAUTY 180-ET</t>
  </si>
  <si>
    <t>HOLNZLM000000108172</t>
  </si>
  <si>
    <t>MURITAI PIERRE WANETTA-ET</t>
  </si>
  <si>
    <t>HOLNZLM000000108235</t>
  </si>
  <si>
    <t>MORTENSENS WE AWE-ET S3F</t>
  </si>
  <si>
    <t>HOLUSAM000064481723</t>
  </si>
  <si>
    <t>GOLDEN-OAKS MR PERKY-RED-ET</t>
  </si>
  <si>
    <t>DUDOC MR BURNS</t>
  </si>
  <si>
    <t>JERUSAM000114581918</t>
  </si>
  <si>
    <t>SUNSET CANYON ANTHEMS ALLSTAR-</t>
  </si>
  <si>
    <t>SUNSET CANYON MAXIMUS-ET</t>
  </si>
  <si>
    <t>SUNSET CANYON MBSB ANTHEM ET</t>
  </si>
  <si>
    <t>HOLIRLM272004750890</t>
  </si>
  <si>
    <t>LYNBROOK FRANCO ET</t>
  </si>
  <si>
    <t>LYNBROOK O-MAN CLASSIC ET</t>
  </si>
  <si>
    <t>HOLIRLM191062161462</t>
  </si>
  <si>
    <t>GLENSILLAGH RAMOS 2</t>
  </si>
  <si>
    <t>SEASCAPE GMI ERICA 396</t>
  </si>
  <si>
    <t>HOLNZLM000000509126</t>
  </si>
  <si>
    <t>BOURKES REMARKABLE</t>
  </si>
  <si>
    <t>TIROHANGA MARCONI ET</t>
  </si>
  <si>
    <t>RDCSWEM000000092483</t>
  </si>
  <si>
    <t>V FOSKE</t>
  </si>
  <si>
    <t>TYRISEV¿N MIQUR</t>
  </si>
  <si>
    <t>210 LILJA</t>
  </si>
  <si>
    <t>GARDO</t>
  </si>
  <si>
    <t>HOLCANM000007816429</t>
  </si>
  <si>
    <t>GILLETTE WINDBROOK</t>
  </si>
  <si>
    <t>GILLETTE BRILEA F B I</t>
  </si>
  <si>
    <t>JERIRLM191068110721</t>
  </si>
  <si>
    <t>(IG) SWANKY STAR</t>
  </si>
  <si>
    <t>KINTEERA SALLY</t>
  </si>
  <si>
    <t>TE HENUI SATCH DUGGAN</t>
  </si>
  <si>
    <t>HOLUSAM000062030409</t>
  </si>
  <si>
    <t>KINGS-RANSOM RMS DESPAIR-ET</t>
  </si>
  <si>
    <t>KINGS-RANSOM ADDSN DELTA-ET</t>
  </si>
  <si>
    <t>HOLGBRM000000631308</t>
  </si>
  <si>
    <t>COGENT TWIST</t>
  </si>
  <si>
    <t>COGENT MAJOR TEX</t>
  </si>
  <si>
    <t>LOOKING MAJOR</t>
  </si>
  <si>
    <t>HOLIRLM151548541066</t>
  </si>
  <si>
    <t>COOLMOHAN REBNAUTICAL 1</t>
  </si>
  <si>
    <t>BURFEN NAUTICAL</t>
  </si>
  <si>
    <t>COOLMOHAN REBECCA IMAGE 1</t>
  </si>
  <si>
    <t>BALLYKENNEDY LYSELL IMAGE ET</t>
  </si>
  <si>
    <t>HOLUSAM000065249839</t>
  </si>
  <si>
    <t>MS ATLEES SHT AFTERSHOCK-ET</t>
  </si>
  <si>
    <t>HOLNZLM000000508027</t>
  </si>
  <si>
    <t>WAIWIRA BOLSHIE-ET</t>
  </si>
  <si>
    <t>MONFRAM003914118183</t>
  </si>
  <si>
    <t>UFUK JB</t>
  </si>
  <si>
    <t>OLITUANE</t>
  </si>
  <si>
    <t>MRYDEUM000115771576</t>
  </si>
  <si>
    <t>MALBORIX</t>
  </si>
  <si>
    <t>FALBE 1</t>
  </si>
  <si>
    <t>BUSTER</t>
  </si>
  <si>
    <t>HOLNZLM000000108138</t>
  </si>
  <si>
    <t>OKAERIA CL RHAPSODY S1F</t>
  </si>
  <si>
    <t>WEBBLEA LIGHT BEAM-ET S1F</t>
  </si>
  <si>
    <t>HICKEYS GERRIS TAMMY S1F</t>
  </si>
  <si>
    <t>HOLIRLM371103980512</t>
  </si>
  <si>
    <t>(IG) PARKBUSH O MAN GEORGE</t>
  </si>
  <si>
    <t>BALLYGLEN MWD VICKI</t>
  </si>
  <si>
    <t>HOLIRLM351026491456</t>
  </si>
  <si>
    <t>(IG) SPARTA LENNY</t>
  </si>
  <si>
    <t>SPARTA LAVE FAWN 3</t>
  </si>
  <si>
    <t>JERNZLM000000308128</t>
  </si>
  <si>
    <t>HILLSTAR LOT JESTER S3J</t>
  </si>
  <si>
    <t>LYNBROOK OM TITAN ET S3J</t>
  </si>
  <si>
    <t>HILLSTAR MINSTREL JOYGIRL</t>
  </si>
  <si>
    <t>JERNZLM000000308012</t>
  </si>
  <si>
    <t>TIRONUI TGM MEGATON ET</t>
  </si>
  <si>
    <t>TIRONUI PASCOS MEG ET</t>
  </si>
  <si>
    <t>GLENARIFF PASCO</t>
  </si>
  <si>
    <t>HOLNZLM000000508097</t>
  </si>
  <si>
    <t>SHALENDY ABRAXAS</t>
  </si>
  <si>
    <t>SHALENDY NAUTS ALLIE S0J</t>
  </si>
  <si>
    <t>MONFRAM003922639997</t>
  </si>
  <si>
    <t>UWARA JB</t>
  </si>
  <si>
    <t>LARSEAU</t>
  </si>
  <si>
    <t>ORPHEE</t>
  </si>
  <si>
    <t>HOLIRLM341118460808</t>
  </si>
  <si>
    <t>SLIABHNAMBON GIBOR 2</t>
  </si>
  <si>
    <t>SLIABHNAMBON NANCY 23</t>
  </si>
  <si>
    <t>HOLIRLM151073670606</t>
  </si>
  <si>
    <t>(IG) FORTVIEW LIMPIT</t>
  </si>
  <si>
    <t>FERGUS LAUREN 132</t>
  </si>
  <si>
    <t>HOLIRLM151604990714</t>
  </si>
  <si>
    <t>BROWNEY GIO RUU 714</t>
  </si>
  <si>
    <t>BROWNEY RUU MARGARET 497</t>
  </si>
  <si>
    <t>RDCGBRM000006181323</t>
  </si>
  <si>
    <t>TREVASKIS MATCHMAKER</t>
  </si>
  <si>
    <t>TREVASKIS MELODY BLUE MOON</t>
  </si>
  <si>
    <t>MEIKLE LAUGHT TRIPLE CROWN</t>
  </si>
  <si>
    <t>JERIRLM191177240615</t>
  </si>
  <si>
    <t>(IG) DYSERT BUDDY</t>
  </si>
  <si>
    <t>ERRLYN SS PRIDE GR</t>
  </si>
  <si>
    <t>DYSERT DIANA</t>
  </si>
  <si>
    <t>JERIRLM151828751573</t>
  </si>
  <si>
    <t>(IG) BALLYHOOLY ERRLYN</t>
  </si>
  <si>
    <t>BALLYHOOLY OMEGA CLAIRE</t>
  </si>
  <si>
    <t>CHEERS JOY OMEGA</t>
  </si>
  <si>
    <t>JERIRLM151316390605</t>
  </si>
  <si>
    <t>(IG) KINTEERA BILLY</t>
  </si>
  <si>
    <t>KINTEERA JILL</t>
  </si>
  <si>
    <t>HOLIRLM351168463300</t>
  </si>
  <si>
    <t>LAURAGH CWJ HEATHER</t>
  </si>
  <si>
    <t>HOLGBRM000000642806</t>
  </si>
  <si>
    <t>RELOUGH FREDDIE</t>
  </si>
  <si>
    <t>RELOUGH LANCELOT FRANCES</t>
  </si>
  <si>
    <t>HOLIRLM151000261494</t>
  </si>
  <si>
    <t>(IG) SUNNYBANK JUSTIN</t>
  </si>
  <si>
    <t>SUNNYBANK SARAH 3</t>
  </si>
  <si>
    <t>HOLIRLM351168413295</t>
  </si>
  <si>
    <t>(IG) LAURAGH CAMELOT</t>
  </si>
  <si>
    <t>LAURAGH SPW DEBORAH</t>
  </si>
  <si>
    <t>HOLIRLM151601661313</t>
  </si>
  <si>
    <t>(IG) GLENREA BERTHA OMAN</t>
  </si>
  <si>
    <t>GLENREA SPOCK BERTHA 2</t>
  </si>
  <si>
    <t>HOLIRLM151623471871</t>
  </si>
  <si>
    <t>(IG) BALLYBRIDE ECTER</t>
  </si>
  <si>
    <t>HOLIRLM371010050846</t>
  </si>
  <si>
    <t>(IG) ROSE XB WESTER</t>
  </si>
  <si>
    <t>ROSE SUNNY ALICIA</t>
  </si>
  <si>
    <t>AYSGBRM580035100716</t>
  </si>
  <si>
    <t>CARNELL TRISTAN</t>
  </si>
  <si>
    <t>CHANGUE TRYST ET</t>
  </si>
  <si>
    <t>CARNELL SNOWDROP 156</t>
  </si>
  <si>
    <t>HORIZON RANGER ET</t>
  </si>
  <si>
    <t>HOLNZLM000000110005</t>
  </si>
  <si>
    <t>MARCHEL MP JOCK S3F</t>
  </si>
  <si>
    <t>MARCHEL PADY JORJA-OC</t>
  </si>
  <si>
    <t>HOLCANM000106363549</t>
  </si>
  <si>
    <t>GEN-I-BEQ LAVAMAN</t>
  </si>
  <si>
    <t>COMESTAR GOLDWYN LAVA</t>
  </si>
  <si>
    <t>HOLUSAM000062246687</t>
  </si>
  <si>
    <t>COLDSPRINGS PONDER-ET</t>
  </si>
  <si>
    <t>COLDSPRINGS O MAN 1464KI-ET</t>
  </si>
  <si>
    <t>HOLIRLM341555750311</t>
  </si>
  <si>
    <t>BOWERSWOOD MAIKA ET</t>
  </si>
  <si>
    <t>BAIKA 76</t>
  </si>
  <si>
    <t>JERNZLM000000306525</t>
  </si>
  <si>
    <t>WAIKARE MAUNGA BIGGLES</t>
  </si>
  <si>
    <t>WAIKARE LADS PETRA GR</t>
  </si>
  <si>
    <t>ALCISTAN CHARLIES LAD</t>
  </si>
  <si>
    <t>JERNZLM000000309523</t>
  </si>
  <si>
    <t>DEVON HMJ SENTINEL S3J</t>
  </si>
  <si>
    <t>DEVON MAN OZZY</t>
  </si>
  <si>
    <t>HOLIRLM151245770633</t>
  </si>
  <si>
    <t>(IG) FOILADOWN GIBOR 259 633</t>
  </si>
  <si>
    <t>GLENCARNEY EBONY 259</t>
  </si>
  <si>
    <t>HOLIRLM151187590978</t>
  </si>
  <si>
    <t>(IG) DOONSHANE TRUMPET</t>
  </si>
  <si>
    <t>CROCKETT-ACRES EIGHT-ET</t>
  </si>
  <si>
    <t>DOONSHANE BWZ TRUDIE 560</t>
  </si>
  <si>
    <t>HOLUSAM000066532636</t>
  </si>
  <si>
    <t>BOMAZ ALTANETWORTH-ET</t>
  </si>
  <si>
    <t>BOMAZ RAMOS 4111-ET</t>
  </si>
  <si>
    <t>HOLDEUM000352441694</t>
  </si>
  <si>
    <t>MORSAN PRONTO PLAYER RED</t>
  </si>
  <si>
    <t>WINDY-KNOLL-VIEW PRONTO-ET</t>
  </si>
  <si>
    <t>STONEDEN FOOLS GOLD RED</t>
  </si>
  <si>
    <t>HOLITAM017990915143</t>
  </si>
  <si>
    <t>HOLNZLM000000108606</t>
  </si>
  <si>
    <t>SCOTTS VHA HYDRAULIC S2F</t>
  </si>
  <si>
    <t>SCOTTS KANDEL SHINE S2F</t>
  </si>
  <si>
    <t>ARKAN DANIEL- ET S2F</t>
  </si>
  <si>
    <t>HOLIRLM331015811030</t>
  </si>
  <si>
    <t>(IG)DERRINSALLOW AGNES 03DENIS</t>
  </si>
  <si>
    <t>DERRINSALLOW BAV AGNES 613</t>
  </si>
  <si>
    <t>HOLGBRM000000647657</t>
  </si>
  <si>
    <t>CATLANE STOKER</t>
  </si>
  <si>
    <t>P11</t>
  </si>
  <si>
    <t>CATLANE CONFUCIUS</t>
  </si>
  <si>
    <t>CATLANE BETA SNOWBALL 5</t>
  </si>
  <si>
    <t>HOLIRLM221106241600</t>
  </si>
  <si>
    <t>REARY TRAPATTONI</t>
  </si>
  <si>
    <t>HUDDLESTONE SPOOKY P1</t>
  </si>
  <si>
    <t>REARY NORAH 21</t>
  </si>
  <si>
    <t>HOLIRLM151055280872</t>
  </si>
  <si>
    <t>GARRYMARTIN RXO 872</t>
  </si>
  <si>
    <t>GARRYMARTIN CROCUS 35</t>
  </si>
  <si>
    <t>JERNZLM000000510016</t>
  </si>
  <si>
    <t>PRIESTS SOLARIS-ET</t>
  </si>
  <si>
    <t>HOLFRAM004952815479</t>
  </si>
  <si>
    <t>O-MAN END-STORY TL TV</t>
  </si>
  <si>
    <t>ROSABELLE</t>
  </si>
  <si>
    <t>HOLGBRM948206241766</t>
  </si>
  <si>
    <t>GUILTAUGH CAMELOT ET</t>
  </si>
  <si>
    <t>TOPSPEED SASKIA</t>
  </si>
  <si>
    <t>HOLLAND MERTON</t>
  </si>
  <si>
    <t>HOLUSAM000061898423</t>
  </si>
  <si>
    <t>REGANCREST S BRAXTON-ET</t>
  </si>
  <si>
    <t>REGANCREST PR BARBIE ET</t>
  </si>
  <si>
    <t>HOLUSAM000132474096</t>
  </si>
  <si>
    <t>BOMAZ HOMESTEAD-ET</t>
  </si>
  <si>
    <t>DALSE BOMAZ-1551</t>
  </si>
  <si>
    <t>PECKENSTEIN PLUDE FINALE-ET</t>
  </si>
  <si>
    <t>HOLIRLM301306090698</t>
  </si>
  <si>
    <t>CARROWMANAGH ANDY</t>
  </si>
  <si>
    <t>CARROWMANAGH HFL ANT 337</t>
  </si>
  <si>
    <t>HOLIRLM331463830546</t>
  </si>
  <si>
    <t>(IG) COOLEENBEE PIA WILL</t>
  </si>
  <si>
    <t>COOLEENBEE BCG ENYA</t>
  </si>
  <si>
    <t>KILLERGUILE ALBYN BOY</t>
  </si>
  <si>
    <t>HOLNLDM000388965513</t>
  </si>
  <si>
    <t>BROEKS MBM ELSA-ET</t>
  </si>
  <si>
    <t>HOLUSAM000068977120</t>
  </si>
  <si>
    <t>LADYS-MANOR RUBY D SHAWN-ET</t>
  </si>
  <si>
    <t>HOLDEUM000580675108</t>
  </si>
  <si>
    <t>GUARINI</t>
  </si>
  <si>
    <t>WIT REGINA</t>
  </si>
  <si>
    <t>HOLCANM000106387943</t>
  </si>
  <si>
    <t>PELLERAT DOMINO</t>
  </si>
  <si>
    <t>LA PRESENTATION GOLDWYN DAHLIA</t>
  </si>
  <si>
    <t>HOLCANM000008360695</t>
  </si>
  <si>
    <t>STONEDEN DETOUR RED</t>
  </si>
  <si>
    <t>ISLEHAVEN GOLD DANCER RED</t>
  </si>
  <si>
    <t>HOLDEUM000351049014</t>
  </si>
  <si>
    <t>NOG GUARDI</t>
  </si>
  <si>
    <t>SOLTAU 19</t>
  </si>
  <si>
    <t>HOLHUNM003250511195</t>
  </si>
  <si>
    <t>MAGOR BOLIVIA ALLEN-ET</t>
  </si>
  <si>
    <t>HOLIRLM151111830764</t>
  </si>
  <si>
    <t>MILLSTREET GRAND SLAM</t>
  </si>
  <si>
    <t>MILLSTREET DESIREE 138</t>
  </si>
  <si>
    <t>HOLUSAM000066011447</t>
  </si>
  <si>
    <t>SULLY ALTAMETEOR-ET</t>
  </si>
  <si>
    <t>SULLY SHOTTLE MAY-TW</t>
  </si>
  <si>
    <t>JERNZLM000000310023</t>
  </si>
  <si>
    <t>HORGANS KTR SKYHIGH S2J</t>
  </si>
  <si>
    <t>KERSTENS TGM REGAL ET S2J</t>
  </si>
  <si>
    <t>HORGANS PATRICKS PET S2J</t>
  </si>
  <si>
    <t>KINVARRA ELMO PATRICK ET</t>
  </si>
  <si>
    <t>HOLIRLM201334751127</t>
  </si>
  <si>
    <t>MAYNOOTH GOLD PRECIOUS 2 ET</t>
  </si>
  <si>
    <t>MISS PARADISE PRECIOUS-ET</t>
  </si>
  <si>
    <t>HOLIRLM151595870829</t>
  </si>
  <si>
    <t>CORRINVILLE MORRIS</t>
  </si>
  <si>
    <t>STIRLING MAGLEY ANVIL</t>
  </si>
  <si>
    <t>CRESTON KEET BIRDIE 2</t>
  </si>
  <si>
    <t>HOLIRLM221354240548</t>
  </si>
  <si>
    <t>(IG) BARROWVALE ODYSSEY</t>
  </si>
  <si>
    <t>BARROWVALE DAMSEL 21</t>
  </si>
  <si>
    <t>HOLIRLM341353881211</t>
  </si>
  <si>
    <t>(IG) BALLYNAGRANA TORELLO 20</t>
  </si>
  <si>
    <t>BARROWVALE TORELLO 20</t>
  </si>
  <si>
    <t>BALLYNAGRANA ZENA 12</t>
  </si>
  <si>
    <t>HOLNZLM000000110016</t>
  </si>
  <si>
    <t>HIGGINS FORMAT</t>
  </si>
  <si>
    <t>GREENWELLS BESSIE</t>
  </si>
  <si>
    <t>HOLITAM004990278559</t>
  </si>
  <si>
    <t>CASCINA GIOBBI ZELGADIS TV TL</t>
  </si>
  <si>
    <t>CASCINA GIOBBI DOMENICA</t>
  </si>
  <si>
    <t>RDCNORM000000010540</t>
  </si>
  <si>
    <t>EIK</t>
  </si>
  <si>
    <t>LUSI-KOTTILAN LUIRO</t>
  </si>
  <si>
    <t>LOVA</t>
  </si>
  <si>
    <t>HOLNZLM000000106168</t>
  </si>
  <si>
    <t>THOMPSONS JUDAS FRANCO</t>
  </si>
  <si>
    <t>THOMPSONS BANQ FLORET ET</t>
  </si>
  <si>
    <t>HOLIRLM141848240942</t>
  </si>
  <si>
    <t>(IG) BRIDESTREAM HAROLD</t>
  </si>
  <si>
    <t>BRIDESTREAM COCKLE 37</t>
  </si>
  <si>
    <t>RDCGBRM000006181462</t>
  </si>
  <si>
    <t>CASTERN THUNDER</t>
  </si>
  <si>
    <t>CASTERN TULIP 21</t>
  </si>
  <si>
    <t>HOLIRLM191194791443</t>
  </si>
  <si>
    <t>CASHAN ROSCO</t>
  </si>
  <si>
    <t>CASHAN KLA ROSE 725</t>
  </si>
  <si>
    <t>HOLIRLM141488760910</t>
  </si>
  <si>
    <t>(IG) MARYBORO RASCAL</t>
  </si>
  <si>
    <t>MARYBORO BGZ ROSE 477</t>
  </si>
  <si>
    <t>HOLIRLM141763880784</t>
  </si>
  <si>
    <t>(IG) CAHERDERG DENIS</t>
  </si>
  <si>
    <t>CAHERDERG WAU PAULA</t>
  </si>
  <si>
    <t>WAIAU EMINENCE LOTUS</t>
  </si>
  <si>
    <t>HOLIRLM241875690937</t>
  </si>
  <si>
    <t>(IG) KILDUFCASTLE JACKELL</t>
  </si>
  <si>
    <t>KILDUFCASTLE RUU JILL 498</t>
  </si>
  <si>
    <t>HOLNLDM000390479273</t>
  </si>
  <si>
    <t>KISKA</t>
  </si>
  <si>
    <t>RH JAANTJE 14</t>
  </si>
  <si>
    <t>HOLIRLM371035070804</t>
  </si>
  <si>
    <t>(IG) SALLAGH PEDRO</t>
  </si>
  <si>
    <t>SALLAGH RUU PRIMROSE 569</t>
  </si>
  <si>
    <t>RDCGBRM000007190922</t>
  </si>
  <si>
    <t>CUTHILL TOWERS RAMBO</t>
  </si>
  <si>
    <t>LAGACE RISTOURN</t>
  </si>
  <si>
    <t>CUTHILL TOWERS REGAL RAY</t>
  </si>
  <si>
    <t>RDCGBRM000007190905</t>
  </si>
  <si>
    <t>HARESFOOT PANACHE</t>
  </si>
  <si>
    <t>HARESFOOT ENIGMA PAMELA</t>
  </si>
  <si>
    <t>JERCANM000105499917</t>
  </si>
  <si>
    <t>RAPID BAY GAMMON-ET</t>
  </si>
  <si>
    <t>BW LEGION</t>
  </si>
  <si>
    <t>VANDENBERG AMEDEO GEOGEOUS</t>
  </si>
  <si>
    <t>PIEDMONT GROVE AMEDEO</t>
  </si>
  <si>
    <t>HOLNLDM000728052015</t>
  </si>
  <si>
    <t>HOLBRA APPLEJAX</t>
  </si>
  <si>
    <t>MONFRAM004240303647</t>
  </si>
  <si>
    <t>PAPAYOU</t>
  </si>
  <si>
    <t>INFUSION</t>
  </si>
  <si>
    <t>HOLNLDM000497390646</t>
  </si>
  <si>
    <t>ELDERBERRY RED</t>
  </si>
  <si>
    <t>P12</t>
  </si>
  <si>
    <t>HEIHOEVE ARNOLD</t>
  </si>
  <si>
    <t>RED HOT O-MAN ELENA RF</t>
  </si>
  <si>
    <t>HOLUSAM000066625940</t>
  </si>
  <si>
    <t>REGANCREST-GV S BRADNICK-ET</t>
  </si>
  <si>
    <t>GEN-MARK STMATIC SANCHEZ</t>
  </si>
  <si>
    <t>REGANCREST BREYA-ET</t>
  </si>
  <si>
    <t>HOLFRAM003515606130</t>
  </si>
  <si>
    <t>GAYEL</t>
  </si>
  <si>
    <t>VOSAC MAN</t>
  </si>
  <si>
    <t>BANETTE</t>
  </si>
  <si>
    <t>RESTELL</t>
  </si>
  <si>
    <t>HOLFRAM003534639520</t>
  </si>
  <si>
    <t>DOVENANT</t>
  </si>
  <si>
    <t>DELABERGE JUSTICE LUCIA</t>
  </si>
  <si>
    <t>HOLITAM019990450860</t>
  </si>
  <si>
    <t>MAGORIAN</t>
  </si>
  <si>
    <t>ZIAL PGZ O-MAN ZALLY TV</t>
  </si>
  <si>
    <t>HOLDEUM000354097949</t>
  </si>
  <si>
    <t>MACARENO</t>
  </si>
  <si>
    <t>MISS DOLLY DAISY-ET</t>
  </si>
  <si>
    <t>HOLCANM000010973676</t>
  </si>
  <si>
    <t>MAPEL WOOD BOULDER</t>
  </si>
  <si>
    <t>GEN-I-BEQ SHOTTLE BOMBI</t>
  </si>
  <si>
    <t>HOLCANM000011161769</t>
  </si>
  <si>
    <t>COMESTAR GOLDWYN LILAC</t>
  </si>
  <si>
    <t>HOLNZLM000000111050</t>
  </si>
  <si>
    <t>LASHS MS LEGION S1F</t>
  </si>
  <si>
    <t>MAORI MD SUMMIT S1F</t>
  </si>
  <si>
    <t>HOLNZLM000000111071</t>
  </si>
  <si>
    <t>SUMMERHAYS DI SHANTY S2F</t>
  </si>
  <si>
    <t>DELTOP IDOL IGNITE S2F</t>
  </si>
  <si>
    <t>SUMMERHAYS FLU SHANTY S1F</t>
  </si>
  <si>
    <t>SRB NGAIO HUGO FLUKE</t>
  </si>
  <si>
    <t>JERNZLM000000511038</t>
  </si>
  <si>
    <t>WAIWIRA WARLORD</t>
  </si>
  <si>
    <t>BAYLISS BELIEVER</t>
  </si>
  <si>
    <t>JERNZLM000000511052</t>
  </si>
  <si>
    <t>MOODYS EXECUTIVE</t>
  </si>
  <si>
    <t>PUHIPUHI CAPS GOLDIE S3J</t>
  </si>
  <si>
    <t>HOLNLDM000964489466</t>
  </si>
  <si>
    <t>WONDERLAND DESK</t>
  </si>
  <si>
    <t>WONDERLAND PIETJE 2</t>
  </si>
  <si>
    <t>TOPSPEED GOGO</t>
  </si>
  <si>
    <t>HOLUSAM000138348913</t>
  </si>
  <si>
    <t>B-CREST SHADOW-ET</t>
  </si>
  <si>
    <t>MEADOWS-LLC D SUSANNA-ET</t>
  </si>
  <si>
    <t>HOLNZLM000000111012</t>
  </si>
  <si>
    <t>FARSIDE M ILLUSTRIOUS S3F</t>
  </si>
  <si>
    <t>FARSIDE 07-7 S2F</t>
  </si>
  <si>
    <t>JERNZLM000000311013</t>
  </si>
  <si>
    <t>OKURA LT INTEGRITY</t>
  </si>
  <si>
    <t>OKURA LIKA I-CHARMAINE ET</t>
  </si>
  <si>
    <t>HOLIRLM151519140568</t>
  </si>
  <si>
    <t>HANRAHAN VICTORIOUS</t>
  </si>
  <si>
    <t>HANRAHAN KEET MAURA</t>
  </si>
  <si>
    <t>HOLUSAM000069981350</t>
  </si>
  <si>
    <t>AMMON-PEACHEY SHAUNA-ET</t>
  </si>
  <si>
    <t>HOLUSAM000068571374</t>
  </si>
  <si>
    <t>MR APPLES ARMANI-ET</t>
  </si>
  <si>
    <t>KHW REGIMENT APPLE-RED-ET</t>
  </si>
  <si>
    <t>CARROUSEL REGIMENT-RED-ET</t>
  </si>
  <si>
    <t>HOLUSAM000069128229</t>
  </si>
  <si>
    <t>ROYLANE BOXER PUNCH 4311-ET</t>
  </si>
  <si>
    <t>DREAM-PRAIRIE SHADOW BOXER</t>
  </si>
  <si>
    <t>SEAGULL-BAY OMAN MIRROR-ET</t>
  </si>
  <si>
    <t>HOLUSAM000070354884</t>
  </si>
  <si>
    <t>FARNEAR-TBR-BH CASHCOIN-ET</t>
  </si>
  <si>
    <t>MS CHASSITY GOLDWYN CASH-ET</t>
  </si>
  <si>
    <t>BSWITAM021001356499</t>
  </si>
  <si>
    <t>SUPERBROWN PROFESSOR ET</t>
  </si>
  <si>
    <t>TRIANGLE ACRES POLLY PHD ET</t>
  </si>
  <si>
    <t>TATRA</t>
  </si>
  <si>
    <t>VINZEL</t>
  </si>
  <si>
    <t>HOLUSAM000053766368</t>
  </si>
  <si>
    <t>LARCREST CANCUN-ET</t>
  </si>
  <si>
    <t>LARCREST COSMOPOLITAN</t>
  </si>
  <si>
    <t>HOLIRLM111047681021</t>
  </si>
  <si>
    <t>(IG) BLACKNEY IVOR</t>
  </si>
  <si>
    <t>BLACKNEY CWJ IVORY</t>
  </si>
  <si>
    <t>HOLIRLM191968331166</t>
  </si>
  <si>
    <t>(IG) MEENASCORTHY BLACKIE</t>
  </si>
  <si>
    <t>MEENASCORTHY ELLIS BLACKIE</t>
  </si>
  <si>
    <t>JERIRLM191068180876</t>
  </si>
  <si>
    <t>SWANKY MANHATTAN</t>
  </si>
  <si>
    <t>HOLIRLM241516151383</t>
  </si>
  <si>
    <t>(IG) COURTMATRIX STARBURST</t>
  </si>
  <si>
    <t>COURTMATRIX ANN 8</t>
  </si>
  <si>
    <t>BALLO</t>
  </si>
  <si>
    <t>HOLIRLM341307541067</t>
  </si>
  <si>
    <t>GOLDERAMBER PRANCER</t>
  </si>
  <si>
    <t>GOLDERAMBER WAU BELLE 639</t>
  </si>
  <si>
    <t>HOLNLDM000465477157</t>
  </si>
  <si>
    <t>DOME'S NAVARRO</t>
  </si>
  <si>
    <t>DOMES RECA</t>
  </si>
  <si>
    <t>MELCHIOR</t>
  </si>
  <si>
    <t>HOLIRLM151569230875</t>
  </si>
  <si>
    <t>CASTLEBLAGH THUMPER</t>
  </si>
  <si>
    <t>HALLVILLE L FEDERA-ET S1F</t>
  </si>
  <si>
    <t>CASTLEBLAGH BWZ THELMA</t>
  </si>
  <si>
    <t>HOLIRLM211058450885</t>
  </si>
  <si>
    <t>BALLYGOWN HIGHMOUNT SAM</t>
  </si>
  <si>
    <t>BALLYGOWN NHS SUE</t>
  </si>
  <si>
    <t>HOLIRLM191149220793</t>
  </si>
  <si>
    <t>OAKFARM BEHINS PRINCE</t>
  </si>
  <si>
    <t>(IG) LAURAGH LANCE</t>
  </si>
  <si>
    <t>OAKFARM FESTIVAL JESSICA 562</t>
  </si>
  <si>
    <t>HOLIRLM151065750922</t>
  </si>
  <si>
    <t>ANNALEISH ESSIE FRED</t>
  </si>
  <si>
    <t>ANNALEISH RDU ESSIE</t>
  </si>
  <si>
    <t>HOLIRLM241024281034</t>
  </si>
  <si>
    <t>DUNUM BRANDREW</t>
  </si>
  <si>
    <t>DUNUM SNEACTA 88</t>
  </si>
  <si>
    <t>HOLIRLM131731771782</t>
  </si>
  <si>
    <t>MEENROSS SAMMY</t>
  </si>
  <si>
    <t>MEENROSS UYC RHONA 1029</t>
  </si>
  <si>
    <t>HOLUSAM000056265391</t>
  </si>
  <si>
    <t>LARCREST CASUAL-ET</t>
  </si>
  <si>
    <t>RDCGBRM000006181406</t>
  </si>
  <si>
    <t>GREEN LANE PRODIGY</t>
  </si>
  <si>
    <t>TWEMLOW HELIGO PRIDE</t>
  </si>
  <si>
    <t>BONNIE BRAE HELIGO</t>
  </si>
  <si>
    <t>HOLCANM000009608054</t>
  </si>
  <si>
    <t>BOLDI V S G ANTON</t>
  </si>
  <si>
    <t>VELTHUIS SG MOM ALESIA</t>
  </si>
  <si>
    <t>HOLBELM000110963815</t>
  </si>
  <si>
    <t>LOWLANDS EL SALVADOR</t>
  </si>
  <si>
    <t>STERNGOLD</t>
  </si>
  <si>
    <t>HOLIRLM151630141257</t>
  </si>
  <si>
    <t>(IG) GREENVALLEY BLUESTONE</t>
  </si>
  <si>
    <t>GREENVALLEY UPH BLUE BELL</t>
  </si>
  <si>
    <t>HOLCANM000107559777</t>
  </si>
  <si>
    <t>SWISSBEC BREKEM</t>
  </si>
  <si>
    <t>MISTY SPRINGS MOM BRENNA</t>
  </si>
  <si>
    <t>HOLNZLM000000111011</t>
  </si>
  <si>
    <t>ASHDALE FM KELSBELLS S1F</t>
  </si>
  <si>
    <t>ASHDALE HUGO KATE-ET S0F</t>
  </si>
  <si>
    <t>HOLNZLM000000111053</t>
  </si>
  <si>
    <t>KINGSDOWN MH JUBILANT S2F</t>
  </si>
  <si>
    <t>MORROWS SUPER HERO-ET S1F</t>
  </si>
  <si>
    <t>KINGSDOWN D JACQUI S1F</t>
  </si>
  <si>
    <t>HOLIRLM151289111117</t>
  </si>
  <si>
    <t>RADNEY QUR ODETTA</t>
  </si>
  <si>
    <t>HOLIRLM221060270868</t>
  </si>
  <si>
    <t>BALLYMADDOCK NFT BOB</t>
  </si>
  <si>
    <t>BALLYMADDOCK RUU DAFFODIL</t>
  </si>
  <si>
    <t>HOLIRLM371525751323</t>
  </si>
  <si>
    <t>(IG) CREFOGUE DONCASTER</t>
  </si>
  <si>
    <t>MONOWAI HOM DELUCA-ET SIF</t>
  </si>
  <si>
    <t>CREFOGUE BWZ DOLLY 402</t>
  </si>
  <si>
    <t>HOLIRLM341331081488</t>
  </si>
  <si>
    <t>(IG) BREANSHAMORE JERONIMO</t>
  </si>
  <si>
    <t>BREANSHAMORE LPP JULIE 722</t>
  </si>
  <si>
    <t>HOLIRLM351066181223</t>
  </si>
  <si>
    <t>CURRA TUNDER STRUCK</t>
  </si>
  <si>
    <t>WHINLEA DAN SUPERSONIC-ET</t>
  </si>
  <si>
    <t>CURRA VEO ANNE</t>
  </si>
  <si>
    <t>HOLUSAM000070801841</t>
  </si>
  <si>
    <t>COYNE-FARMS SROCK MACK-ET</t>
  </si>
  <si>
    <t>FOXBERRY STREAM MYRA 619-ET</t>
  </si>
  <si>
    <t>APPLOUIS JET STREAM-ET</t>
  </si>
  <si>
    <t>HOLUSAM000071178789</t>
  </si>
  <si>
    <t>PINE-TREE OVERTIME P-ET</t>
  </si>
  <si>
    <t>HICKORYMEA SIGNIF OHIO-P</t>
  </si>
  <si>
    <t>BURKET-FALLS SIGNIFICANT-ET</t>
  </si>
  <si>
    <t>JERNZLM000000312011</t>
  </si>
  <si>
    <t>LYNBROOK WSL TAYLOR</t>
  </si>
  <si>
    <t>WAIOTAMA RG SUNLIGHT S3J</t>
  </si>
  <si>
    <t>LYNBROOK TRAIL TULIP</t>
  </si>
  <si>
    <t>HOLUSAM000064188829</t>
  </si>
  <si>
    <t>WILRA BOLIVER SEQUOIA-ET</t>
  </si>
  <si>
    <t>WILRA RAMOS 599-ET</t>
  </si>
  <si>
    <t>HOLIRLM151757660842</t>
  </si>
  <si>
    <t>(IG) BALLYKILTY OCEANIA</t>
  </si>
  <si>
    <t>BALLYKILTY UYC OCENIA</t>
  </si>
  <si>
    <t>HOLIRLM131413420927</t>
  </si>
  <si>
    <t>(IG) CRANNY VOLT</t>
  </si>
  <si>
    <t>TRALEE HF REVOLVER-ET S3F</t>
  </si>
  <si>
    <t>CRANNY PHILLY</t>
  </si>
  <si>
    <t>HOLIRLM151700850601</t>
  </si>
  <si>
    <t>(IG) BALLINTOSIG RING O</t>
  </si>
  <si>
    <t>BALLINTOSIG GIO ANNIE 436</t>
  </si>
  <si>
    <t>HOLCANM000011445882</t>
  </si>
  <si>
    <t>ROCKYMOUNTAIN LOTTOMAX</t>
  </si>
  <si>
    <t>ROCKYMOUNTAIN SUPER LEITA</t>
  </si>
  <si>
    <t>HOLIRLM151623412765</t>
  </si>
  <si>
    <t>BALLYBRIDE DARWIN</t>
  </si>
  <si>
    <t>BALLYBRIDE HZO ANNA</t>
  </si>
  <si>
    <t>HOLIRLM141411712368</t>
  </si>
  <si>
    <t>(IG) KILGARRIFFE EMERALD STAR</t>
  </si>
  <si>
    <t>KILGARRIFFE SUNNY PIETJE 4TH</t>
  </si>
  <si>
    <t>MRYNLDM000352560490</t>
  </si>
  <si>
    <t>MEERVELDER GERBERT</t>
  </si>
  <si>
    <t>MERLIN 29</t>
  </si>
  <si>
    <t>HERBERT</t>
  </si>
  <si>
    <t>HOLIRLM211213621194</t>
  </si>
  <si>
    <t>DIAMOND BWZ AMBER</t>
  </si>
  <si>
    <t>JERDNKM000000303327</t>
  </si>
  <si>
    <t>VJ LINK</t>
  </si>
  <si>
    <t>HOLLYLANE LILIBET'S LEGACY</t>
  </si>
  <si>
    <t>HOLDNKM000000253217</t>
  </si>
  <si>
    <t>NEBLINA</t>
  </si>
  <si>
    <t>HOLIRLM211056122142</t>
  </si>
  <si>
    <t>(IG) RAHEENARRAN MR JINGLES</t>
  </si>
  <si>
    <t>CATLANE SPITFIRE</t>
  </si>
  <si>
    <t>RAHEENARRAN BCG DAIRINE</t>
  </si>
  <si>
    <t>HOLIRLM151555631003</t>
  </si>
  <si>
    <t>(IG) RONNOCO EVERAND</t>
  </si>
  <si>
    <t>RONNOCO BHZ ROSIE 824</t>
  </si>
  <si>
    <t>BALLYBROOK ASHLING JUSTICE</t>
  </si>
  <si>
    <t>HOLCANM000009725448</t>
  </si>
  <si>
    <t>VALLEYVILLE MUSKETEER</t>
  </si>
  <si>
    <t>KARONA BONAIR</t>
  </si>
  <si>
    <t>EASTSIDE LEWISDALE GOLD MABEL</t>
  </si>
  <si>
    <t>HOLNLDM000528277115</t>
  </si>
  <si>
    <t>PEELDIJKER BLACK PEARL</t>
  </si>
  <si>
    <t>PEELDIJKER LIESJE 385</t>
  </si>
  <si>
    <t>JERUSAM000114816452</t>
  </si>
  <si>
    <t>TOWER VUE PRIME TEQUILA-ET</t>
  </si>
  <si>
    <t>GIL-BAR SPARKLER PRIMETIME</t>
  </si>
  <si>
    <t>PLEASANT NOOK SAMBO TEAL</t>
  </si>
  <si>
    <t>HOLIRLM151013781568</t>
  </si>
  <si>
    <t>PARKDUV MAGNET</t>
  </si>
  <si>
    <t>PARKDUV MARGO 17 ET</t>
  </si>
  <si>
    <t>HOLUSAM000069177592</t>
  </si>
  <si>
    <t>RABUR GOLD PLUCK</t>
  </si>
  <si>
    <t>HOLIRLM161971561779</t>
  </si>
  <si>
    <t>(IG) WATERWHEEL FIRE</t>
  </si>
  <si>
    <t>WATERWHEEL HTO THELIA 608</t>
  </si>
  <si>
    <t>HILLSDALE LOOSTER</t>
  </si>
  <si>
    <t>MRYNLDM000890295566</t>
  </si>
  <si>
    <t>DE VINKENHOF BRUCE</t>
  </si>
  <si>
    <t>BALTIMORE</t>
  </si>
  <si>
    <t>DE VINKENHOF DANIELLE 72</t>
  </si>
  <si>
    <t>HOLIRLM151289161039</t>
  </si>
  <si>
    <t>RADNEY ROCK</t>
  </si>
  <si>
    <t>RADNEY RUU GERRARD 2</t>
  </si>
  <si>
    <t>HOLIRLM151379994779</t>
  </si>
  <si>
    <t>VELVETSTOWN BERLIN</t>
  </si>
  <si>
    <t>VELVETSTOWN TULIP 3239</t>
  </si>
  <si>
    <t>HOLNZLM000000112050</t>
  </si>
  <si>
    <t>VOWLES DREAM GLIDER S2F</t>
  </si>
  <si>
    <t>JERNZLM000000312004</t>
  </si>
  <si>
    <t>GLANTON LT BRAHMS</t>
  </si>
  <si>
    <t>LYNBROOK HTA TOPAZ ET</t>
  </si>
  <si>
    <t>GLANTON MANS BLANCHE</t>
  </si>
  <si>
    <t>HOLNZLM000000513671</t>
  </si>
  <si>
    <t>HAURAKI CHECK SENNA</t>
  </si>
  <si>
    <t>HAURAKI BK SIENNA</t>
  </si>
  <si>
    <t>BAGWORTH KALUMBURU</t>
  </si>
  <si>
    <t>HOLUSAM000071411740</t>
  </si>
  <si>
    <t>MR CHARTROI ELOQUENT-ET</t>
  </si>
  <si>
    <t>CALBRETT PLANET EVE</t>
  </si>
  <si>
    <t>HOLNLDM000885374812</t>
  </si>
  <si>
    <t>HUIJBEN DG LAURI</t>
  </si>
  <si>
    <t>WILLEM'S HOEVE RITA 331</t>
  </si>
  <si>
    <t>HOLCANM000011761809</t>
  </si>
  <si>
    <t>SILVERRIDGE V ELUDE</t>
  </si>
  <si>
    <t>VELTHUIS SG SNOW EVENT</t>
  </si>
  <si>
    <t>HOL840M003011789392</t>
  </si>
  <si>
    <t>DA-SO-BURN MOM EARNHARDT P</t>
  </si>
  <si>
    <t>PINE-TREE 2149ROBST 4846-ET</t>
  </si>
  <si>
    <t>JERNZLM000000312005</t>
  </si>
  <si>
    <t>SHELBYS HC LARRY S3J</t>
  </si>
  <si>
    <t>HARRGATES MT CHAMPION S2J</t>
  </si>
  <si>
    <t>ALCISTON MANS LAUREN</t>
  </si>
  <si>
    <t>HOLCANM000009626863</t>
  </si>
  <si>
    <t>MORSAN MR SNOW BUSINESS</t>
  </si>
  <si>
    <t>EASTSIDE LEWISDALE GOLD MISSY</t>
  </si>
  <si>
    <t>HOLNLDM000379401837</t>
  </si>
  <si>
    <t>WEGGELHORSTER SANTANA</t>
  </si>
  <si>
    <t>DIRNDEL 22</t>
  </si>
  <si>
    <t>WEL-BROOK ROYAL GENTRY-ET</t>
  </si>
  <si>
    <t>RDCNORM000000010909</t>
  </si>
  <si>
    <t>TANGVOLL</t>
  </si>
  <si>
    <t>¿YGARDEN</t>
  </si>
  <si>
    <t>MARIANNE</t>
  </si>
  <si>
    <t>GUTERUD</t>
  </si>
  <si>
    <t>HOLNLDM000520359307</t>
  </si>
  <si>
    <t>TACKLEBERRY</t>
  </si>
  <si>
    <t>DORA 73</t>
  </si>
  <si>
    <t>GOLDSTAR</t>
  </si>
  <si>
    <t>HOLIRLM291389050815</t>
  </si>
  <si>
    <t>ARDNASALEM BOOKEM PRIDE ET</t>
  </si>
  <si>
    <t>MONAMORE MCL RAVEN</t>
  </si>
  <si>
    <t>HOLIRLM141462591348</t>
  </si>
  <si>
    <t>GURRANES GWEN FIRE</t>
  </si>
  <si>
    <t>GURRANES UYC GWEN</t>
  </si>
  <si>
    <t>HOLUSAM000069791521</t>
  </si>
  <si>
    <t>MR MORNINGVIEW ADDITION</t>
  </si>
  <si>
    <t>MORNINGVIEW G ADDITION-ET</t>
  </si>
  <si>
    <t>HOLIRLM351067051368</t>
  </si>
  <si>
    <t>(IG) FEDDANS HAROLD</t>
  </si>
  <si>
    <t>(IG) POSSEXTOWN KINDAR</t>
  </si>
  <si>
    <t>FEDDANS HELGA 1143</t>
  </si>
  <si>
    <t>CURRA OJI MICK</t>
  </si>
  <si>
    <t>HOLUSAM000070885451</t>
  </si>
  <si>
    <t>RMW ANCHOR-ET</t>
  </si>
  <si>
    <t>MARBRI FACEBOOK</t>
  </si>
  <si>
    <t>RC-LC GOLDWYN ATM</t>
  </si>
  <si>
    <t>BRFGBRM000000626988</t>
  </si>
  <si>
    <t>DFRNLDM000768664146</t>
  </si>
  <si>
    <t>DOVEA PIETMAN</t>
  </si>
  <si>
    <t>PIETJE 635</t>
  </si>
  <si>
    <t>HOLIRLM141462551253</t>
  </si>
  <si>
    <t>(IG) GURRANES EGBERT 253</t>
  </si>
  <si>
    <t>DE VENNEN EGBERT</t>
  </si>
  <si>
    <t>GURRANES GLOSS 1081</t>
  </si>
  <si>
    <t>GURRANES GLENALBYN</t>
  </si>
  <si>
    <t>HOLIRLM161357432141</t>
  </si>
  <si>
    <t>(IG) FINNVALLEY KASPER</t>
  </si>
  <si>
    <t>FINNVALLEY RUU KYLIE 1358</t>
  </si>
  <si>
    <t>HOLIRLM151623462670</t>
  </si>
  <si>
    <t>BALLYBRIDE MELBOURNE</t>
  </si>
  <si>
    <t>BALLYBRIDE BZR PAULA</t>
  </si>
  <si>
    <t>HOLNLDM000968458321</t>
  </si>
  <si>
    <t>APINA MESSIAH P RED</t>
  </si>
  <si>
    <t>APINA MASSIA 211</t>
  </si>
  <si>
    <t>HOLNLDM000938401263</t>
  </si>
  <si>
    <t>BUISWEERD MOBILE</t>
  </si>
  <si>
    <t>DELTA G-FORCE</t>
  </si>
  <si>
    <t>HORST MAISTEIN 110</t>
  </si>
  <si>
    <t>BEEKMANSHOEVE BERTIL</t>
  </si>
  <si>
    <t>HOLUSAM000056264541</t>
  </si>
  <si>
    <t>LARCREST CONTRAST-ET</t>
  </si>
  <si>
    <t>HOLIRLM141313891192</t>
  </si>
  <si>
    <t>CLOUNTIES WINTER</t>
  </si>
  <si>
    <t>CLOUNTIES AVRIL 869</t>
  </si>
  <si>
    <t>HOLIRLM151054071386</t>
  </si>
  <si>
    <t>MORRISHEEN EEN</t>
  </si>
  <si>
    <t>MORRISHEEN SPW AUDEEN</t>
  </si>
  <si>
    <t>HOLITAM015990079838</t>
  </si>
  <si>
    <t>SPARKLING ET</t>
  </si>
  <si>
    <t>GORA ELAND VANESSA ET</t>
  </si>
  <si>
    <t>FOUR-OF-A-KIND ELAND-ET</t>
  </si>
  <si>
    <t>HOLIRLM151620953347</t>
  </si>
  <si>
    <t>(IG) MODELIGO CANDY</t>
  </si>
  <si>
    <t>MODELIGO BWZ CANDY 1705</t>
  </si>
  <si>
    <t>HOLIRLM351204541254</t>
  </si>
  <si>
    <t>GRAIGUEBEG SUPER</t>
  </si>
  <si>
    <t>GRAIGUEBEG AOIFE JRU 844</t>
  </si>
  <si>
    <t>JOHARRA RUUD</t>
  </si>
  <si>
    <t>HOLGBRM000000638297</t>
  </si>
  <si>
    <t>BALLYCAIRN OMAN PELLO</t>
  </si>
  <si>
    <t>BALLYCAIRN GOLDWYN PIETJE</t>
  </si>
  <si>
    <t>HOLUSAM000070625882</t>
  </si>
  <si>
    <t>DE-SU DISTINCTION 11130-ET</t>
  </si>
  <si>
    <t>CLEAR-ECHO M-O-M 2150-ET</t>
  </si>
  <si>
    <t>HOLUSAM000069473980</t>
  </si>
  <si>
    <t>DE-SU D MAYFIELD 893-ET</t>
  </si>
  <si>
    <t>RONELEE TOYSTORY DOMAIN-ET</t>
  </si>
  <si>
    <t>HOLUSAM000069169951</t>
  </si>
  <si>
    <t>PINE-TREE ALTAOAK-ET</t>
  </si>
  <si>
    <t>RI-VAL-RE 2338 NIAGRA-ET</t>
  </si>
  <si>
    <t>PINE-TREE LEIF SUZY-ET</t>
  </si>
  <si>
    <t>LEIF</t>
  </si>
  <si>
    <t>HOLIRLM241483376078</t>
  </si>
  <si>
    <t>HEATHFIELD SYDNEY</t>
  </si>
  <si>
    <t>CASHINS VA CAMPAIGNER S1F</t>
  </si>
  <si>
    <t>CLONROOSK HEATHER BARRY 2</t>
  </si>
  <si>
    <t>KILLINGLEY RUSSELLINO BARRY</t>
  </si>
  <si>
    <t>HOLIRLM151623492624</t>
  </si>
  <si>
    <t>BALLYBRIDE BRISBANE</t>
  </si>
  <si>
    <t>BALLYBRIDE SIZ RINGO</t>
  </si>
  <si>
    <t>SHINE DANO</t>
  </si>
  <si>
    <t>HOLUSAM000071181872</t>
  </si>
  <si>
    <t>SANDY-VALLEY DREAMWEAVER-ET</t>
  </si>
  <si>
    <t>SANDY-VALLEY DAY DREAM-ET</t>
  </si>
  <si>
    <t>HOLCANM000010847042</t>
  </si>
  <si>
    <t>SERENITYHILL AIRRAID FAWN</t>
  </si>
  <si>
    <t>SILDAHL AIRRAID</t>
  </si>
  <si>
    <t>HOLIRLM151785581167</t>
  </si>
  <si>
    <t>CROCANE EVERT</t>
  </si>
  <si>
    <t>CROCANE MND LILY 1025</t>
  </si>
  <si>
    <t>(IG) MOOREPARK ECKLAND</t>
  </si>
  <si>
    <t>HOLGBRM000000662653</t>
  </si>
  <si>
    <t>BALLYCAIRN CORINTHIAN</t>
  </si>
  <si>
    <t>LARCREST CREDIT-ET</t>
  </si>
  <si>
    <t>HOLUSAM000071703339</t>
  </si>
  <si>
    <t>UNIQUE-STYLE BOLTON MONEY</t>
  </si>
  <si>
    <t>HOLNLDM000495390459</t>
  </si>
  <si>
    <t>RODESHOEVE ARKANSAS</t>
  </si>
  <si>
    <t>MIEN 36</t>
  </si>
  <si>
    <t>CORN REDGOLD</t>
  </si>
  <si>
    <t>JERDNKM000000303259</t>
  </si>
  <si>
    <t>DJ LIRSK</t>
  </si>
  <si>
    <t>MONFRAM004241711199</t>
  </si>
  <si>
    <t>GHANA JB</t>
  </si>
  <si>
    <t>VALFIN JB 1569</t>
  </si>
  <si>
    <t>CARPETTE</t>
  </si>
  <si>
    <t>JERGBRM000000055607</t>
  </si>
  <si>
    <t>POTTERSWALLS STARBUCK</t>
  </si>
  <si>
    <t>POTTERSWALLS JUNOS GLAMOUR 2</t>
  </si>
  <si>
    <t>HOLUSAM000070346535</t>
  </si>
  <si>
    <t>VANDE DOMINANT-RED-ET</t>
  </si>
  <si>
    <t>VANDE SHOTTLE LOTTERY-RED</t>
  </si>
  <si>
    <t>HOLUSAM000070541519</t>
  </si>
  <si>
    <t>COYNE-FARMS MASS JILL-ET</t>
  </si>
  <si>
    <t>HOLNZLM000000112049</t>
  </si>
  <si>
    <t>KAIMORE HERO EARNIE S2F</t>
  </si>
  <si>
    <t>SRC GLENMEAD RUSH-ET</t>
  </si>
  <si>
    <t>HOLNLDM000740466834</t>
  </si>
  <si>
    <t>BIG MAIKI</t>
  </si>
  <si>
    <t>BIG ANNA JACOBA 115</t>
  </si>
  <si>
    <t>DFRNLDM000535757206</t>
  </si>
  <si>
    <t>BLOEMPLAAT HOEVE BAS 8</t>
  </si>
  <si>
    <t>PIET ADEMA 186</t>
  </si>
  <si>
    <t>ROOSJE 145</t>
  </si>
  <si>
    <t>HOLIRLM141163881356</t>
  </si>
  <si>
    <t>(IG) BALLYDEHOB PAT 1356</t>
  </si>
  <si>
    <t>BALLYDEHOB OMAN PATSY 2</t>
  </si>
  <si>
    <t>HOLFRAM004309210499</t>
  </si>
  <si>
    <t>EDELWEISS</t>
  </si>
  <si>
    <t>CIRRUS</t>
  </si>
  <si>
    <t>HOLFRAM001210021669</t>
  </si>
  <si>
    <t>FEUFOLLET</t>
  </si>
  <si>
    <t>DECHAINEE</t>
  </si>
  <si>
    <t>HOLDNKM000000257050</t>
  </si>
  <si>
    <t>VH SUAREZ SPARKY</t>
  </si>
  <si>
    <t>VH ANDERSTRUP SUPER SUAREZ</t>
  </si>
  <si>
    <t>BEM004443202350</t>
  </si>
  <si>
    <t>VH TOLSTRUPGAARD SAMMY SALOMON</t>
  </si>
  <si>
    <t>HOLFRAM005632667935</t>
  </si>
  <si>
    <t>JETSET</t>
  </si>
  <si>
    <t>HOUGANE</t>
  </si>
  <si>
    <t>ERMES</t>
  </si>
  <si>
    <t>RDCUSAM000070479091</t>
  </si>
  <si>
    <t>CONEBELLA PERCY'S SIREN</t>
  </si>
  <si>
    <t>KILDARE PERCY -ET</t>
  </si>
  <si>
    <t>CONEBELLA BURDETTE'S SEREN</t>
  </si>
  <si>
    <t>PALMYRA TRI-STAR BURDETTE</t>
  </si>
  <si>
    <t>HOLNLDM000546428229</t>
  </si>
  <si>
    <t>VVH KALLISTO RED</t>
  </si>
  <si>
    <t>TOPSPEED KODAK</t>
  </si>
  <si>
    <t>JOSEFIEN</t>
  </si>
  <si>
    <t>DELTA CANVAS</t>
  </si>
  <si>
    <t>HOLUSAM000074414026</t>
  </si>
  <si>
    <t>IHG MONTANA-ET</t>
  </si>
  <si>
    <t>SULLHRFORD NUNO ANA 393-ET</t>
  </si>
  <si>
    <t>HOLUSAM000072851833</t>
  </si>
  <si>
    <t>DE-SU HUBBARD 12290-ET</t>
  </si>
  <si>
    <t>DE-SU UNO 2145-ET</t>
  </si>
  <si>
    <t>HOLGBRM949220747544</t>
  </si>
  <si>
    <t>BELLEMONT PERKS ET</t>
  </si>
  <si>
    <t>WELCOME ARMITAGE PESKY-ET</t>
  </si>
  <si>
    <t>BELLEMONT ESQUIRE AVERY</t>
  </si>
  <si>
    <t>UFM-DUBS ALTAESQUIRE-ET</t>
  </si>
  <si>
    <t>HOLIRLM141459471104</t>
  </si>
  <si>
    <t>(IG)SAINTBRIGID PATRICK JOSEPH</t>
  </si>
  <si>
    <t>SAINTBRIGID MOLLY 7</t>
  </si>
  <si>
    <t>HOLIRLM151604991299</t>
  </si>
  <si>
    <t>BROWNEY PSZ STATION</t>
  </si>
  <si>
    <t>BROWNEY BHZ KATHY 856</t>
  </si>
  <si>
    <t>HOLIRLM151821071710</t>
  </si>
  <si>
    <t>FOXVIEW SCOUNDREL</t>
  </si>
  <si>
    <t>FOXVIEW WDS SALLY 1066</t>
  </si>
  <si>
    <t>MONFRAM000109015538</t>
  </si>
  <si>
    <t>ROBIN</t>
  </si>
  <si>
    <t>BUANE</t>
  </si>
  <si>
    <t>HOLIRLM371197880695</t>
  </si>
  <si>
    <t>AUGHNAGERAGH BEN</t>
  </si>
  <si>
    <t>AUGHNAGERAGH RUU BUNTY 671</t>
  </si>
  <si>
    <t>MONFRAM003803232417</t>
  </si>
  <si>
    <t>HUMMER</t>
  </si>
  <si>
    <t>FLASH JB</t>
  </si>
  <si>
    <t>FINE</t>
  </si>
  <si>
    <t>TRIOMPHE</t>
  </si>
  <si>
    <t>HOLDNKM000000257001</t>
  </si>
  <si>
    <t>VH TIRSVAD FANATIC FUTURE</t>
  </si>
  <si>
    <t>FANATIC ET</t>
  </si>
  <si>
    <t>GHANA</t>
  </si>
  <si>
    <t>JUWEL</t>
  </si>
  <si>
    <t>HOLUSAM000068771322</t>
  </si>
  <si>
    <t>MR GOLDNOAKS MAGNUS-ET</t>
  </si>
  <si>
    <t>GOLD-N-OAKS S MARABELLA-ET</t>
  </si>
  <si>
    <t>HOL840M003013129328</t>
  </si>
  <si>
    <t>LADYS-MANOR LQ G LANVIN-ET</t>
  </si>
  <si>
    <t>GENERVATIONS LIQUID GOLD ET</t>
  </si>
  <si>
    <t>LADYS-MANOR GRAF LA-LA-ET</t>
  </si>
  <si>
    <t>LADYS-MANOR RD GRAFEETI-ET</t>
  </si>
  <si>
    <t>HOLIRLM211180361870</t>
  </si>
  <si>
    <t>(IG) FIRODA CENTURION 1</t>
  </si>
  <si>
    <t>(IG) BALLYNAGRANA CENTURION 2</t>
  </si>
  <si>
    <t>FIRODA DVT POLLIE 1</t>
  </si>
  <si>
    <t>HOLIRLM211110642400</t>
  </si>
  <si>
    <t>(IG) GOLDENFIELD RASCAL ET</t>
  </si>
  <si>
    <t>GOLDENFIELD GOLD RAVEN</t>
  </si>
  <si>
    <t>JERNZLM000000313047</t>
  </si>
  <si>
    <t>EVLEEN INTEGRITY LARSON</t>
  </si>
  <si>
    <t>EVLEEN 10-93 S3J</t>
  </si>
  <si>
    <t>RAYNHAM OZARK S3J</t>
  </si>
  <si>
    <t>HOLIRLM151623442875</t>
  </si>
  <si>
    <t>BALLYBRIDE ATLANTA</t>
  </si>
  <si>
    <t>BALLYBRIDE LRZ ROSIE</t>
  </si>
  <si>
    <t>HOLIRLM211299690969</t>
  </si>
  <si>
    <t>STONECARTHY GLEANNA</t>
  </si>
  <si>
    <t>STONECARTHY FLT AOIFE 764</t>
  </si>
  <si>
    <t>HOL840M003010356301</t>
  </si>
  <si>
    <t>MR EDG JAMMING 57554-ET</t>
  </si>
  <si>
    <t>JEROD</t>
  </si>
  <si>
    <t>MS FARNEAR BRCDE BRYSCHA-ET</t>
  </si>
  <si>
    <t>JERGBRM744772100910</t>
  </si>
  <si>
    <t>TREGIBBY YEGABOMB</t>
  </si>
  <si>
    <t>BLUEGRASS EXCITATIONS PRISSY P</t>
  </si>
  <si>
    <t>HOLIRLM191098131990</t>
  </si>
  <si>
    <t>GORTCREEN SEBASTAIN</t>
  </si>
  <si>
    <t>(IG) COOLNASOON JUDGE</t>
  </si>
  <si>
    <t>GORTCREEN KOZ ELLIE</t>
  </si>
  <si>
    <t>HOLUSAM000071906169</t>
  </si>
  <si>
    <t>BO-IRISH MRICE CARLINO-ET</t>
  </si>
  <si>
    <t>LARCREST CARLIN-ET</t>
  </si>
  <si>
    <t>JERIRLM151941680415</t>
  </si>
  <si>
    <t>NEXTGEN TREVOR</t>
  </si>
  <si>
    <t>NEXTGEN ROCKEVERAM</t>
  </si>
  <si>
    <t>HOLUSAM000072507673</t>
  </si>
  <si>
    <t>JENNITON AIKMAN RORY-RED-ET</t>
  </si>
  <si>
    <t>JENNITON M-O-M REINA-ET</t>
  </si>
  <si>
    <t>HOLUSAM000072128125</t>
  </si>
  <si>
    <t>EDG RUBICON-ET</t>
  </si>
  <si>
    <t>SANDY-VALLEY ROBUST RUBY-ET</t>
  </si>
  <si>
    <t>HOLUSAM000055716840</t>
  </si>
  <si>
    <t>FURNACE-HILL SUPER ZIGGY-ET</t>
  </si>
  <si>
    <t>LYNNCREST SHOTTLE ZABOO-ET</t>
  </si>
  <si>
    <t>HOLUSAM000073963305</t>
  </si>
  <si>
    <t>WFC TRITON-ET</t>
  </si>
  <si>
    <t>MS WELCOME UNO TARINA-ET</t>
  </si>
  <si>
    <t>HOLIRLM151623473091</t>
  </si>
  <si>
    <t>BALLYBRIDE NEWCASTLE</t>
  </si>
  <si>
    <t>BALLYBRIDE KOZ HEIDI 2702</t>
  </si>
  <si>
    <t>HOLIRLM151379915472</t>
  </si>
  <si>
    <t>VELVETSTOWN VEGAS</t>
  </si>
  <si>
    <t>HOLIRLM151021783146</t>
  </si>
  <si>
    <t>BALLINABORTA GLASGOW</t>
  </si>
  <si>
    <t>BEESIMON LAMONT</t>
  </si>
  <si>
    <t>HOLIRLM211195580937</t>
  </si>
  <si>
    <t>(IG) WOODVIEW KARDOLF</t>
  </si>
  <si>
    <t>FIRODA PZI KARINA</t>
  </si>
  <si>
    <t>JERIRLM151941620566</t>
  </si>
  <si>
    <t>(IG) NEXTGEN PKA SNOW 566</t>
  </si>
  <si>
    <t>BALLYHOOLY JAS SNOW STORM</t>
  </si>
  <si>
    <t>HOLIRLM211476480734</t>
  </si>
  <si>
    <t>(IG) KILCORAN LOOKALIKE</t>
  </si>
  <si>
    <t xml:space="preserve">KILCORAN WNE LUCY </t>
  </si>
  <si>
    <t>HOLGBRM915258200022</t>
  </si>
  <si>
    <t>GLAMOUR JABIR CRAVE</t>
  </si>
  <si>
    <t>LARCREST CRAVE</t>
  </si>
  <si>
    <t>HOL840M003125202021</t>
  </si>
  <si>
    <t>S-S-I HEADWAY ALLTIME-ET</t>
  </si>
  <si>
    <t>S-S-I MAURICE HEADWAY-ET</t>
  </si>
  <si>
    <t>HOL840M003014365400</t>
  </si>
  <si>
    <t>OCD RODGERS FRANCHISE-ET</t>
  </si>
  <si>
    <t>DE-SU LTM RODGERS 11379-ET</t>
  </si>
  <si>
    <t>OCD MOGUL FREE WILLY-ET</t>
  </si>
  <si>
    <t>JERDNKM000000303970</t>
  </si>
  <si>
    <t>VJ HAZARD</t>
  </si>
  <si>
    <t>VJ HICKEY</t>
  </si>
  <si>
    <t>HOLUSAM000057187029</t>
  </si>
  <si>
    <t>LARCREST CONTOUR-ETS</t>
  </si>
  <si>
    <t>LARCREST CHENILE-ET</t>
  </si>
  <si>
    <t>JERDNKM000000304129</t>
  </si>
  <si>
    <t>VJ HALEY</t>
  </si>
  <si>
    <t>DJ HOLMER</t>
  </si>
  <si>
    <t>JERDNKM000000303987</t>
  </si>
  <si>
    <t>VJ HOVE</t>
  </si>
  <si>
    <t>HOLIRLM141855782133</t>
  </si>
  <si>
    <t>MYLAWN FINTAN</t>
  </si>
  <si>
    <t>MYLAWN GOLD IVY ET</t>
  </si>
  <si>
    <t>HOLIRLM351307361399</t>
  </si>
  <si>
    <t>SUMMERHILL KING</t>
  </si>
  <si>
    <t>BALLYBRIDE PRINCE</t>
  </si>
  <si>
    <t>SUMMERHILL LHZ 1093</t>
  </si>
  <si>
    <t>HOLIRLM141979121371</t>
  </si>
  <si>
    <t>(IG) CLOHANE LUCKY STRIKE</t>
  </si>
  <si>
    <t>(IG) CONNIBAR PRINCE</t>
  </si>
  <si>
    <t>CLOHANE SYLVIA</t>
  </si>
  <si>
    <t>HOLIRLM341119041285</t>
  </si>
  <si>
    <t>MOUNTAIN BASIL 11</t>
  </si>
  <si>
    <t>MOUNTAIN LUCY ADEMA ROSIE 2</t>
  </si>
  <si>
    <t>HOLIRLM151941660842</t>
  </si>
  <si>
    <t>(IG) NEXTGEN BLOSSOM</t>
  </si>
  <si>
    <t>NEXTGEN CWJ AUDREY 122</t>
  </si>
  <si>
    <t>HOLIRLM201134772394</t>
  </si>
  <si>
    <t>(IG) GLASNEVIN FOREFRONT</t>
  </si>
  <si>
    <t>TOWNROCHE FANCYFREE 41</t>
  </si>
  <si>
    <t>HOLIRLM151519150817</t>
  </si>
  <si>
    <t>HANRAHAN ROYALTY</t>
  </si>
  <si>
    <t>HANRAHAN DELTA SALLY</t>
  </si>
  <si>
    <t>HOLIRLM191349491660</t>
  </si>
  <si>
    <t>(IG) CALIBER CORDAL</t>
  </si>
  <si>
    <t>CALIBER KAZ COLLEEN 1435</t>
  </si>
  <si>
    <t>CURRA GYK ANGEL 2</t>
  </si>
  <si>
    <t>HOLIRLM151941630831</t>
  </si>
  <si>
    <t>(IG) NEXTGEN VARDI</t>
  </si>
  <si>
    <t>NEXTGEN SOK MAURA 2493</t>
  </si>
  <si>
    <t>HOLIRLM211460431384</t>
  </si>
  <si>
    <t>(IG) KILMANAGH RONALD</t>
  </si>
  <si>
    <t>KILMANAGH RINELLA 984</t>
  </si>
  <si>
    <t>HOLIRLM151548561679</t>
  </si>
  <si>
    <t>COOLMOHAN SMILEY</t>
  </si>
  <si>
    <t>BALLYGOWN SOK MILEY</t>
  </si>
  <si>
    <t>COOLMOHAN FAIRFACE ALBIE</t>
  </si>
  <si>
    <t>BALLYKENNEDY ALBIE SIM</t>
  </si>
  <si>
    <t>HOLIRLM217457552812</t>
  </si>
  <si>
    <t>MONEEN PRETORIA</t>
  </si>
  <si>
    <t>XXX</t>
  </si>
  <si>
    <t>(IG) NEXTGEN YKG CANDY 593</t>
  </si>
  <si>
    <t>RAYNHAM TGM AVAGO ET S3J</t>
  </si>
  <si>
    <t>HOLIRLM219099663098</t>
  </si>
  <si>
    <t>(IG) WATERWHEEL WINSTON</t>
  </si>
  <si>
    <t>WATERWHEEL KOZ JULIE</t>
  </si>
  <si>
    <t>HOLNZLM000000113009</t>
  </si>
  <si>
    <t>HAZAEL SH DISTINCT-ET S1F</t>
  </si>
  <si>
    <t>SAVANNAHS HF HAMMER S1F</t>
  </si>
  <si>
    <t>HAZAEL REIGN DONA-ET S2F</t>
  </si>
  <si>
    <t>KAUANA VA REIGN-ET</t>
  </si>
  <si>
    <t>HOLIRLM224575192531</t>
  </si>
  <si>
    <t>FOGARTY HILTON</t>
  </si>
  <si>
    <t>KILDARRA MAESTRO</t>
  </si>
  <si>
    <t>FOGARTY HILDA 28</t>
  </si>
  <si>
    <t>HOLIRLM151941640808</t>
  </si>
  <si>
    <t>(IG) NEXTGEN VIOLET</t>
  </si>
  <si>
    <t>NEXTGEN LHZ VIOLET 3586</t>
  </si>
  <si>
    <t>HOLCANM000012074893</t>
  </si>
  <si>
    <t>BRENLAND DENVER</t>
  </si>
  <si>
    <t>STANTONS HIGH OCTANE</t>
  </si>
  <si>
    <t>BRENLAND DOORMAN DESIRABLE</t>
  </si>
  <si>
    <t>JERDNKM000000304062</t>
  </si>
  <si>
    <t>VJ LINTRUP</t>
  </si>
  <si>
    <t>VJ ADELGAARD LEGACY LANDY</t>
  </si>
  <si>
    <t>HOLGBRM937020162261</t>
  </si>
  <si>
    <t>CASTLEDALE EXPLORER</t>
  </si>
  <si>
    <t>CASTLEDALE EXCELSIOR EMPRESS39</t>
  </si>
  <si>
    <t>HOLDEUM000538393143</t>
  </si>
  <si>
    <t>VENERIETE RUW BOARD</t>
  </si>
  <si>
    <t>BOSS</t>
  </si>
  <si>
    <t>VENERIETE EPIC IDA 66</t>
  </si>
  <si>
    <t>HOLIRLM211056261320</t>
  </si>
  <si>
    <t>(IG) BALLINTESKIN ARNOLD</t>
  </si>
  <si>
    <t>BALLINTESKIN CPA ALMA</t>
  </si>
  <si>
    <t>HOLIRLM151289181395</t>
  </si>
  <si>
    <t>RADNEY STEVE ET</t>
  </si>
  <si>
    <t>(IG) GOLDENFIELD RAPHAEL ET</t>
  </si>
  <si>
    <t>RADNEY MWL ODETTA 3</t>
  </si>
  <si>
    <t>HOLIRLM211058451355</t>
  </si>
  <si>
    <t>BALLYGOWN SEW TYLER</t>
  </si>
  <si>
    <t>BALLYGOWN DGC SUE 1150</t>
  </si>
  <si>
    <t>HOL840M003130010295</t>
  </si>
  <si>
    <t>DE-SU SUPERSIRE 3349-ET</t>
  </si>
  <si>
    <t>HOLGBRM100756401896</t>
  </si>
  <si>
    <t>DRUMNARUSH ENDURANCE ET</t>
  </si>
  <si>
    <t>MORCOURT HILTON</t>
  </si>
  <si>
    <t>DRUMNARUSH ELAINE 49</t>
  </si>
  <si>
    <t>HOL840M003128557697</t>
  </si>
  <si>
    <t>ABS JONAS-ET</t>
  </si>
  <si>
    <t>RICHMOND-FD TANGO JULY-ET</t>
  </si>
  <si>
    <t>MR WELCOME HILL TANGO-ET</t>
  </si>
  <si>
    <t>HOLDEUM000770405791</t>
  </si>
  <si>
    <t>NH SUNVIEW FANTASTIC ET</t>
  </si>
  <si>
    <t>S-S-I PLATINUM FLATTOP-ET</t>
  </si>
  <si>
    <t>NH HS BALISTO MARILYN MONROE</t>
  </si>
  <si>
    <t>DE-SU 11236 BALISTO</t>
  </si>
  <si>
    <t>MRYNLDM000544367658</t>
  </si>
  <si>
    <t>MEERVELDER MERLIJN</t>
  </si>
  <si>
    <t>MERLIN 32</t>
  </si>
  <si>
    <t>HOLIRLM222040470925</t>
  </si>
  <si>
    <t>CRAIGTOWN STORM</t>
  </si>
  <si>
    <t>(IG) DIAMOND ANTON</t>
  </si>
  <si>
    <t>CRAIGTOWN WWA SNOWY</t>
  </si>
  <si>
    <t>(IG) WATERWHEEL ARGO</t>
  </si>
  <si>
    <t>HOL840M003014562064</t>
  </si>
  <si>
    <t>SANDY-VALLEY CRACKSHOT-ET</t>
  </si>
  <si>
    <t>SANDY-VALLEY MG CALAMITY-ET</t>
  </si>
  <si>
    <t>HOLNZLM000000515655</t>
  </si>
  <si>
    <t>BOOMA F12J4</t>
  </si>
  <si>
    <t>BUNGAY OMAN DANNY S3F</t>
  </si>
  <si>
    <t>BOOMA</t>
  </si>
  <si>
    <t>RDCNORM000000011655</t>
  </si>
  <si>
    <t>SITJE</t>
  </si>
  <si>
    <t>REFSNES</t>
  </si>
  <si>
    <t>HOLNLDM000920962055</t>
  </si>
  <si>
    <t>VEKIS DG POPEYE</t>
  </si>
  <si>
    <t>VEKIS PAIGE</t>
  </si>
  <si>
    <t>HOL840M003127602000</t>
  </si>
  <si>
    <t>OCD YODER CINDER-ET</t>
  </si>
  <si>
    <t>MORSAN UNO CINERGY</t>
  </si>
  <si>
    <t>HOLIRLM212944171805</t>
  </si>
  <si>
    <t>(IG) CALIBER CANTILI</t>
  </si>
  <si>
    <t>BALLYBRIDE CARDIFF</t>
  </si>
  <si>
    <t>CALIBER GZY JUNE 1549</t>
  </si>
  <si>
    <t>HOLIRLM224951421971</t>
  </si>
  <si>
    <t>(IG) FAHA ANDREW</t>
  </si>
  <si>
    <t>FAHA JULIE</t>
  </si>
  <si>
    <t>FARSIDE FM ACCOMPLICE S3F</t>
  </si>
  <si>
    <t>HOLIRLM214980232890</t>
  </si>
  <si>
    <t>KYLETELOGUE NORRIS</t>
  </si>
  <si>
    <t>(IG) KEALFINCHEON NORMAN</t>
  </si>
  <si>
    <t>KYLETELOGUE PINE 3</t>
  </si>
  <si>
    <t>MORRISHEEN OJI FRANK</t>
  </si>
  <si>
    <t>HOLIRLM213002344883</t>
  </si>
  <si>
    <t>JEANJO ART</t>
  </si>
  <si>
    <t>JEANJO BGZ OLGA 2387</t>
  </si>
  <si>
    <t>HOLIRLM216758693641</t>
  </si>
  <si>
    <t>BALLYBRIDE TRIPOLI</t>
  </si>
  <si>
    <t>BALLYBRIDE MANCHESTER</t>
  </si>
  <si>
    <t>BALLYBRIDE FFI ALANNA</t>
  </si>
  <si>
    <t>FOLLACHFIA HILLTOP 546</t>
  </si>
  <si>
    <t>HOLNZLM000000113117</t>
  </si>
  <si>
    <t>GREENWELL SH BOMBER S1F</t>
  </si>
  <si>
    <t>JERNZLM000000317501</t>
  </si>
  <si>
    <t>POSTERITY DIESEL RADIUM</t>
  </si>
  <si>
    <t>RUANUI TERIFIC DIESEL S3J</t>
  </si>
  <si>
    <t>POSTERITY OLM RISMA</t>
  </si>
  <si>
    <t>JERNZLM000000514018</t>
  </si>
  <si>
    <t>GLEN KORU EPIC</t>
  </si>
  <si>
    <t>SERPENTINE CRUSADER</t>
  </si>
  <si>
    <t>GLEN KORU E-IMP ERINA</t>
  </si>
  <si>
    <t>EWINGS IMPERIAL</t>
  </si>
  <si>
    <t>HOLCANM000011776096</t>
  </si>
  <si>
    <t>WALNUTLAWN SLATER</t>
  </si>
  <si>
    <t>MISTY SPRINGS LAVANGUARD SUE</t>
  </si>
  <si>
    <t>COMESTAR LAVANGUARD</t>
  </si>
  <si>
    <t>HOLLUXM000699376018</t>
  </si>
  <si>
    <t>ABS POLDARK</t>
  </si>
  <si>
    <t>PINE-TREE OHIO STYLE P-ET</t>
  </si>
  <si>
    <t>MAPEL WOOD LADD LEAH P</t>
  </si>
  <si>
    <t>HOLIRLM223733750563</t>
  </si>
  <si>
    <t>BALLYDUNNE NICK</t>
  </si>
  <si>
    <t xml:space="preserve">BALLYDUNNE AGH NANCY </t>
  </si>
  <si>
    <t>AGHAWADDA ARTHUR</t>
  </si>
  <si>
    <t>HOLIRLM212944181822</t>
  </si>
  <si>
    <t>(IG) CALIBER HALE</t>
  </si>
  <si>
    <t>CALIBER GZY DORIS 1621</t>
  </si>
  <si>
    <t>HOLGBRM541827702251</t>
  </si>
  <si>
    <t>ADAMS CASH</t>
  </si>
  <si>
    <t>DEANGATE QUADRANT</t>
  </si>
  <si>
    <t>ADAMS CLEMENTINE 64</t>
  </si>
  <si>
    <t>LISMULLIGAN BELLBOY</t>
  </si>
  <si>
    <t>HOLGBRM541827302135</t>
  </si>
  <si>
    <t>LISMULLIGAN EXCALIBUR</t>
  </si>
  <si>
    <t>COLLYCROFT SOLO</t>
  </si>
  <si>
    <t>LISMULLIGAN EILEEN 39</t>
  </si>
  <si>
    <t>LISMULLIGAN GAMBLER</t>
  </si>
  <si>
    <t>HOLUSAM000072350071</t>
  </si>
  <si>
    <t>EILDON-TWEED SSR BELAIR-ET</t>
  </si>
  <si>
    <t>EILDON-TWEED BOOK BEL-TW</t>
  </si>
  <si>
    <t>HOLIRLM222458242195</t>
  </si>
  <si>
    <t>(IG) CURRA BOSS</t>
  </si>
  <si>
    <t>CURRA RUU ANGEL</t>
  </si>
  <si>
    <t>JERIRLM151941640898</t>
  </si>
  <si>
    <t>(IG) NEXTGEN ENIGMA</t>
  </si>
  <si>
    <t>ARRIETA NN DEGREE ET</t>
  </si>
  <si>
    <t>CAWDOR GOLDIES DAKOTA S3J</t>
  </si>
  <si>
    <t>HOLIRLM217194881202</t>
  </si>
  <si>
    <t>(IG) KILCLAREEN ROCK</t>
  </si>
  <si>
    <t xml:space="preserve">KILCLAREEN GYK MOLLY </t>
  </si>
  <si>
    <t>HOLIRLM215556693022</t>
  </si>
  <si>
    <t>(IG) PRIORSTOWN SKYLARK</t>
  </si>
  <si>
    <t>PRIORSTOWN HMY WINNY 2368</t>
  </si>
  <si>
    <t>HOLIRLM211210891444</t>
  </si>
  <si>
    <t>BERGINSVIEW PANTHER</t>
  </si>
  <si>
    <t>BERGINSVIEW ORL BUFFY</t>
  </si>
  <si>
    <t>DANSIRE OMAN ORLA</t>
  </si>
  <si>
    <t>HOLNZLM000000512005</t>
  </si>
  <si>
    <t>JUST ONCE COOPER</t>
  </si>
  <si>
    <t>HOLNZLM000000112035</t>
  </si>
  <si>
    <t>CARSONS MECCA PULSE S1F</t>
  </si>
  <si>
    <t>O'NEILLS ELSTO MECCA S1F</t>
  </si>
  <si>
    <t>JERNZLM000000312059</t>
  </si>
  <si>
    <t>LYNBROOK GG QUICKSILVER</t>
  </si>
  <si>
    <t>GLENHAVEN TGM GENIUS S3J</t>
  </si>
  <si>
    <t>LYNBROOK 07-9</t>
  </si>
  <si>
    <t>JERNZLM000000511046</t>
  </si>
  <si>
    <t>SCOTTS BRITESTAR</t>
  </si>
  <si>
    <t>NEVRON SHOWMAN</t>
  </si>
  <si>
    <t>HOLIRLM341119051303</t>
  </si>
  <si>
    <t>MOUNTAIN MARTELL 24</t>
  </si>
  <si>
    <t>CONEYISLAND BULLS</t>
  </si>
  <si>
    <t>MOUNTAIN GLENALBYN ROSIE</t>
  </si>
  <si>
    <t>HOLIRLM151047871151</t>
  </si>
  <si>
    <t>(IG) MILEWATER LEON</t>
  </si>
  <si>
    <t>MILEWATER OYK LADYBIRD</t>
  </si>
  <si>
    <t>HOLIRLM151941680844</t>
  </si>
  <si>
    <t>NEXTGEN GALWAY</t>
  </si>
  <si>
    <t>BALLYKINASH BHZ VIOLET 989</t>
  </si>
  <si>
    <t>HOLIRLM341338731084</t>
  </si>
  <si>
    <t>(IG) BOPURU TEMPLATE</t>
  </si>
  <si>
    <t>BOPURU TAMMY 812</t>
  </si>
  <si>
    <t>HOLIRLM141610212684</t>
  </si>
  <si>
    <t>RISINGSUN BOSS</t>
  </si>
  <si>
    <t>RISINGSUN BUNTY</t>
  </si>
  <si>
    <t>HOLIRLM161260264354</t>
  </si>
  <si>
    <t>JEANJO ABSOLUTE</t>
  </si>
  <si>
    <t>JEANJO KOZ ANNA 3066</t>
  </si>
  <si>
    <t>HOLIRLM211116941834</t>
  </si>
  <si>
    <t>LEMONSTOWN RELIABLE</t>
  </si>
  <si>
    <t>LEMONSTOWN MOUNTAIN BEE 2</t>
  </si>
  <si>
    <t>MOUNTAIN GRONEMANHOEVE 2</t>
  </si>
  <si>
    <t>HOLIRLM191149281087</t>
  </si>
  <si>
    <t>OAKFARM BEHINS PLAYBOY</t>
  </si>
  <si>
    <t>(IG) OAKGLEN HARRY</t>
  </si>
  <si>
    <t>OAKFARM DGC HAZEL 938</t>
  </si>
  <si>
    <t>HOLIRLM221372361557</t>
  </si>
  <si>
    <t>(IG) CHERRYHILL SEACHT</t>
  </si>
  <si>
    <t>CHERRYHILL NFT ZENA 1341</t>
  </si>
  <si>
    <t>AYSGBRM241488300888</t>
  </si>
  <si>
    <t>HARESFOOT SIMPLY PERFEK</t>
  </si>
  <si>
    <t>MAPLEBURN REMINGTON</t>
  </si>
  <si>
    <t>HARESFOOT SIMPLY RED PAMELA</t>
  </si>
  <si>
    <t>FORTE SIMPLY RED</t>
  </si>
  <si>
    <t>MONFRAM007402597314</t>
  </si>
  <si>
    <t>LABELLO</t>
  </si>
  <si>
    <t>HOMYGOD</t>
  </si>
  <si>
    <t>ILLUSION</t>
  </si>
  <si>
    <t>FELINDRA</t>
  </si>
  <si>
    <t>HOL840M003012574967</t>
  </si>
  <si>
    <t>EDG BOB CYPRUS 15120-ET</t>
  </si>
  <si>
    <t>ROYLANE BOOKEM BOB 5170-ET</t>
  </si>
  <si>
    <t>LARCREST CENTERPIECE-ET</t>
  </si>
  <si>
    <t>JERDNKM000000304578</t>
  </si>
  <si>
    <t>VJ OVERGAARD HJORRI HODJA</t>
  </si>
  <si>
    <t>VJ HJORRI</t>
  </si>
  <si>
    <t>HOL840M003137052923</t>
  </si>
  <si>
    <t>DUCKETT CRUSH TATOO-ET</t>
  </si>
  <si>
    <t>DUCKETT G CHIP TOKYO-ET</t>
  </si>
  <si>
    <t>MR CHASSITY GOLD CHIP-ET</t>
  </si>
  <si>
    <t>GREEN LANE MARSHALL ET</t>
  </si>
  <si>
    <t>WOODLAND VIEW PARDNER</t>
  </si>
  <si>
    <t>EYTON LADY MARINA 65</t>
  </si>
  <si>
    <t>EYTON BRIGHT STAR</t>
  </si>
  <si>
    <t>HOLGBRM100675601134</t>
  </si>
  <si>
    <t>NEREWATER LAUNCHER BELLOW</t>
  </si>
  <si>
    <t>NEREWATER LAUNCHER</t>
  </si>
  <si>
    <t>NEREWATER BELLUS 4 ET</t>
  </si>
  <si>
    <t>HOLIRLM241458532742</t>
  </si>
  <si>
    <t>(IG) CLORANE DANDYMAN</t>
  </si>
  <si>
    <t>CLORANE DEBBIE -60</t>
  </si>
  <si>
    <t>HOL840M003130915852</t>
  </si>
  <si>
    <t>COOKIECUTTER HUMBLENKIND-ET</t>
  </si>
  <si>
    <t>COOKIECUTTER EPIC HAZEL-ET</t>
  </si>
  <si>
    <t>HOLIRLM216297662210</t>
  </si>
  <si>
    <t>BEECHNUT DOVEA</t>
  </si>
  <si>
    <t>BEECHNUT BREEZE</t>
  </si>
  <si>
    <t>(IG) BAUNAGERAGH LOBBY</t>
  </si>
  <si>
    <t>HOLIRLM217626481174</t>
  </si>
  <si>
    <t>(IG) ROSSBANE NIALL</t>
  </si>
  <si>
    <t>ROSSBANE OJI ALISON 637</t>
  </si>
  <si>
    <t>HOL840M003141428517</t>
  </si>
  <si>
    <t>OCD IRONMAN BIONIC</t>
  </si>
  <si>
    <t>S-S-I DAMARIS IRONMAN-ET</t>
  </si>
  <si>
    <t>OCD DEL BENCHWARMER 4264-ET</t>
  </si>
  <si>
    <t>MR MOGUL DELTA 1427-ET</t>
  </si>
  <si>
    <t>HOLIRLM222061942357</t>
  </si>
  <si>
    <t>(IG) PARKDUV SETANTA</t>
  </si>
  <si>
    <t>T19</t>
  </si>
  <si>
    <t>PARKDUV DAISY 17</t>
  </si>
  <si>
    <t>BRFGBRM000000606170</t>
  </si>
  <si>
    <t>LISKILLA LYSELLE 7</t>
  </si>
  <si>
    <t>HOLFRAM005194429103</t>
  </si>
  <si>
    <t>GALTEE JOMELIA</t>
  </si>
  <si>
    <t>CAMELIA</t>
  </si>
  <si>
    <t>MRYNLDM000774835727</t>
  </si>
  <si>
    <t>LEONARD</t>
  </si>
  <si>
    <t>KATINKA 11</t>
  </si>
  <si>
    <t>MONFRAM007191071104</t>
  </si>
  <si>
    <t>ACTIVE</t>
  </si>
  <si>
    <t>HOLUSAM000002239850</t>
  </si>
  <si>
    <t>WFIVE STERLING RELISTIC</t>
  </si>
  <si>
    <t>CONANTACRES BS STERLING</t>
  </si>
  <si>
    <t>WFIVE LEADMAN RACQUEL</t>
  </si>
  <si>
    <t>HOLNLDM000781870076</t>
  </si>
  <si>
    <t>WEDDER LEADLENE ET</t>
  </si>
  <si>
    <t>CRESCENTMEAD SEXY DARLENE ET</t>
  </si>
  <si>
    <t>HOLFRAM001095001786</t>
  </si>
  <si>
    <t>LAREDO</t>
  </si>
  <si>
    <t>IMAGE</t>
  </si>
  <si>
    <t>DFRNLDM000196926924</t>
  </si>
  <si>
    <t>ADEMA 16</t>
  </si>
  <si>
    <t>ADEMA 1132</t>
  </si>
  <si>
    <t>HEIDEHIPPER 18</t>
  </si>
  <si>
    <t>HOLFRAM004492050394</t>
  </si>
  <si>
    <t>MAPLE MAN</t>
  </si>
  <si>
    <t>HOLNLDM000461674583</t>
  </si>
  <si>
    <t>ETAZON LAUREL</t>
  </si>
  <si>
    <t>VITOSH-VUE SEXATION DAWN</t>
  </si>
  <si>
    <t>HOLNLDM000219667999</t>
  </si>
  <si>
    <t>DELTA CAMILLA</t>
  </si>
  <si>
    <t>HOLNLDM000207288005</t>
  </si>
  <si>
    <t>ANDRIES</t>
  </si>
  <si>
    <t>KITTY 24</t>
  </si>
  <si>
    <t>MONFRAM003997008730</t>
  </si>
  <si>
    <t>NEWMAN JB</t>
  </si>
  <si>
    <t>JAVA</t>
  </si>
  <si>
    <t>MRYDEUM000111804580</t>
  </si>
  <si>
    <t>PACHT</t>
  </si>
  <si>
    <t>ROMANZE 40</t>
  </si>
  <si>
    <t>OSKAR</t>
  </si>
  <si>
    <t>HOLNLDM000217851158</t>
  </si>
  <si>
    <t>SOUTHL BELLO</t>
  </si>
  <si>
    <t>DOUBLE DUTCH SOUTHLAND BELLE</t>
  </si>
  <si>
    <t>HOLNZLM000000100099</t>
  </si>
  <si>
    <t>RIVERLOCK MOWING MACHINE</t>
  </si>
  <si>
    <t>RIVERLOCH EAMONN MISTRESS</t>
  </si>
  <si>
    <t>HOLAUSM000H00850068</t>
  </si>
  <si>
    <t>EUREKA FILTRATE</t>
  </si>
  <si>
    <t>FLZ JB FIANNA</t>
  </si>
  <si>
    <t>HOLUSAM000002266677</t>
  </si>
  <si>
    <t>LEADING-FIVE TARGT JANIS-ET</t>
  </si>
  <si>
    <t>HOLFRAM002217051477</t>
  </si>
  <si>
    <t>SUBURN</t>
  </si>
  <si>
    <t>RAI</t>
  </si>
  <si>
    <t>MONFRAM007036668677</t>
  </si>
  <si>
    <t>JAUNISSE</t>
  </si>
  <si>
    <t>HOLNLDM000225373879</t>
  </si>
  <si>
    <t>MIDWOLDER BALEY</t>
  </si>
  <si>
    <t>MIDWOLDER SESTAK EDITH ET</t>
  </si>
  <si>
    <t>HOLDEUM001015158214</t>
  </si>
  <si>
    <t>GALTEE CONDOR</t>
  </si>
  <si>
    <t>O-DEAN VALIANT COMMAND</t>
  </si>
  <si>
    <t>MELBA</t>
  </si>
  <si>
    <t>JERDNKM000000302151</t>
  </si>
  <si>
    <t>DJ BEO</t>
  </si>
  <si>
    <t>JAS BEL US</t>
  </si>
  <si>
    <t>JAS HOT</t>
  </si>
  <si>
    <t>HOLIRLM151071850523</t>
  </si>
  <si>
    <t>DERBERIN ROUDI</t>
  </si>
  <si>
    <t>COOLAGOWN ERC ANGELA</t>
  </si>
  <si>
    <t>HOLFRAM002996001423</t>
  </si>
  <si>
    <t>MATRA</t>
  </si>
  <si>
    <t>GHO HASCOT</t>
  </si>
  <si>
    <t>NMDFRAM003559633546</t>
  </si>
  <si>
    <t>UNALE</t>
  </si>
  <si>
    <t>MADAGASCAR</t>
  </si>
  <si>
    <t>NAVALE</t>
  </si>
  <si>
    <t>HOLCANM000009605778</t>
  </si>
  <si>
    <t>STANTONS ALTARIC RED</t>
  </si>
  <si>
    <t>STELBRO RICKY KAY</t>
  </si>
  <si>
    <t>HOLUSAM000062398820</t>
  </si>
  <si>
    <t>CO-OP OMAN CAVANA-ET</t>
  </si>
  <si>
    <t>WA-DEL ORION CASS CRI-ET</t>
  </si>
  <si>
    <t>HOLIRLM151036121445</t>
  </si>
  <si>
    <t>GORTNALAHEE GIBMAN</t>
  </si>
  <si>
    <t>GORTNALAHEE OMAN CASSIE</t>
  </si>
  <si>
    <t>RDCNORM000000010432</t>
  </si>
  <si>
    <t>VELSVIK</t>
  </si>
  <si>
    <t>MJELLEM</t>
  </si>
  <si>
    <t>GULLHÃ¿R</t>
  </si>
  <si>
    <t>RANES</t>
  </si>
  <si>
    <t>JERNZLM000000308533</t>
  </si>
  <si>
    <t>PUKEROA MANS BRACELET</t>
  </si>
  <si>
    <t>SIMIRLM341555760312</t>
  </si>
  <si>
    <t>BOWERSWOOD DEUTSHER ET</t>
  </si>
  <si>
    <t>HOLCANM000009979605</t>
  </si>
  <si>
    <t>MISTY SPRINGS SMOKIN</t>
  </si>
  <si>
    <t>MISTY SPRINGS FBI SUZANNE</t>
  </si>
  <si>
    <t>NMDFRAM003513516371</t>
  </si>
  <si>
    <t>FLEUVE</t>
  </si>
  <si>
    <t>UVRAY</t>
  </si>
  <si>
    <t>CHANNEL</t>
  </si>
  <si>
    <t>REDONDO</t>
  </si>
  <si>
    <t>HOLDEUM000666869564</t>
  </si>
  <si>
    <t>RZH PINTERAULT</t>
  </si>
  <si>
    <t>DE-SU PENLEY 11839-ET</t>
  </si>
  <si>
    <t>SANDY-VALLEY ITSPOSSIBLE-ET</t>
  </si>
  <si>
    <t>HOLNLDM000276999486</t>
  </si>
  <si>
    <t>BARNKAMPER CASSANOVA</t>
  </si>
  <si>
    <t>BARNKAMPER AGATHA 125</t>
  </si>
  <si>
    <t>HOLGBRM200910502026</t>
  </si>
  <si>
    <t>KIRKBY HARRIER</t>
  </si>
  <si>
    <t>SKYHIGH PATROL</t>
  </si>
  <si>
    <t>KIRKBY HONEYSCHAAP 24</t>
  </si>
  <si>
    <t>MRYNLDM000844587967</t>
  </si>
  <si>
    <t>RENZO</t>
  </si>
  <si>
    <t>GONDA 397</t>
  </si>
  <si>
    <t>JERNZLM000000313040</t>
  </si>
  <si>
    <t>FICHTL 5-STAR SULTAN S3J</t>
  </si>
  <si>
    <t>HILLSTAR TERRIFIC 5-STAR</t>
  </si>
  <si>
    <t>FICHTL MINS SARAH  S2J</t>
  </si>
  <si>
    <t>HOLIRLM216786761337</t>
  </si>
  <si>
    <t>KILVOIGE KENNY</t>
  </si>
  <si>
    <t>JERIRLM341499292190</t>
  </si>
  <si>
    <t>SHINE LIMERICK</t>
  </si>
  <si>
    <t>WOODTOWN JASON MILLER</t>
  </si>
  <si>
    <t>BRFGBRM000000523211</t>
  </si>
  <si>
    <t>COLLYCROFT ALLAN</t>
  </si>
  <si>
    <t>COLLYCROFT ANNA 17</t>
  </si>
  <si>
    <t>LAVENHAM GRYNDOL</t>
  </si>
  <si>
    <t>HOLNLDM000164939945</t>
  </si>
  <si>
    <t>KANTWIJK TORINO</t>
  </si>
  <si>
    <t>KANTWIJK FEMMIE 50</t>
  </si>
  <si>
    <t>HOLUSAM000002261720</t>
  </si>
  <si>
    <t>DESU LUKE CASINO</t>
  </si>
  <si>
    <t>DESU BLACKSTAR CAITLYN</t>
  </si>
  <si>
    <t>JACHEN</t>
  </si>
  <si>
    <t>MONFRAM003887010088</t>
  </si>
  <si>
    <t>CANARI</t>
  </si>
  <si>
    <t>OXFORD</t>
  </si>
  <si>
    <t>SEREINE</t>
  </si>
  <si>
    <t>HOLUSAM000002292206</t>
  </si>
  <si>
    <t>MORNINGVIEW SLCM HELIUM</t>
  </si>
  <si>
    <t>BASSETTS LEADMAN HOPE</t>
  </si>
  <si>
    <t>HOLGBRM000000522555</t>
  </si>
  <si>
    <t>GORNAL ZANADU</t>
  </si>
  <si>
    <t>GORNAL ZWARTINA 20</t>
  </si>
  <si>
    <t>HOLCANM000000387682</t>
  </si>
  <si>
    <t>MAPEL WOOD SHEIK BETSY</t>
  </si>
  <si>
    <t>HOLCANM000000390404</t>
  </si>
  <si>
    <t>HANOVERHILL LOGIC ET</t>
  </si>
  <si>
    <t>A TORA TRIPLE THREAT LULU</t>
  </si>
  <si>
    <t>HOLGBRM000000580595</t>
  </si>
  <si>
    <t>LYNBROOK IVANHOE STAR ET</t>
  </si>
  <si>
    <t>EBONIES MASCOL</t>
  </si>
  <si>
    <t>HOLNLDM000218175251</t>
  </si>
  <si>
    <t>OOSTERHOEVE VENKO</t>
  </si>
  <si>
    <t>HOLNZLM000000097338</t>
  </si>
  <si>
    <t>FULLERTONS WARD</t>
  </si>
  <si>
    <t>WALTERS CARL ELVA</t>
  </si>
  <si>
    <t>HOLNLDM000102718926</t>
  </si>
  <si>
    <t>GALTEE WINSTON 99</t>
  </si>
  <si>
    <t>SHADE-E-LANE-C SAHARA-ET</t>
  </si>
  <si>
    <t>HOLITAM007700024609</t>
  </si>
  <si>
    <t>POSAL AERO.DONAY ET G.M. TV TL</t>
  </si>
  <si>
    <t>POSAL MARV DONNETTA</t>
  </si>
  <si>
    <t>A STERK BL MARV ET</t>
  </si>
  <si>
    <t>HOLNLDM000457612872</t>
  </si>
  <si>
    <t>ETAZON GLANDORF</t>
  </si>
  <si>
    <t>HOLGBRM000000548711</t>
  </si>
  <si>
    <t>CLASHDUVE KLAUS 2</t>
  </si>
  <si>
    <t>KEALOD OLGA 12</t>
  </si>
  <si>
    <t>HOLNLDM000830500215</t>
  </si>
  <si>
    <t>PROGRESSIVE ALEX 132</t>
  </si>
  <si>
    <t>FROUKJE 18</t>
  </si>
  <si>
    <t>HOLNLDM000845828292</t>
  </si>
  <si>
    <t>BLISS ELUSIVE</t>
  </si>
  <si>
    <t>HOLFRAM003597000194</t>
  </si>
  <si>
    <t>NESTOR</t>
  </si>
  <si>
    <t>HOLUSAM000002055652</t>
  </si>
  <si>
    <t>BUSHY-PARK CHESAPEAKE-TWIN</t>
  </si>
  <si>
    <t>TERRA-VIEW ROTATE STARLET</t>
  </si>
  <si>
    <t>HOLDEUM001021359720</t>
  </si>
  <si>
    <t>PROGRESSIVE BARBELT ET</t>
  </si>
  <si>
    <t>BARBARA</t>
  </si>
  <si>
    <t>HOLGBRM000000545742</t>
  </si>
  <si>
    <t>BALDONNEL GAY FANTASTIC</t>
  </si>
  <si>
    <t>BARBICAN LUKE GAY 7</t>
  </si>
  <si>
    <t>HOLDEUM000578448776</t>
  </si>
  <si>
    <t>LUKAS</t>
  </si>
  <si>
    <t>BRISANZ 1</t>
  </si>
  <si>
    <t>HOLNLDM000193923054</t>
  </si>
  <si>
    <t>GALTEE Q G BRILJANT</t>
  </si>
  <si>
    <t>DIXIELEE BRITTON</t>
  </si>
  <si>
    <t>HOLNLDM000190121011</t>
  </si>
  <si>
    <t>LETTAC LETTA-C</t>
  </si>
  <si>
    <t>HOLNLDM000221865295</t>
  </si>
  <si>
    <t>EASTERVIEW FANTASY</t>
  </si>
  <si>
    <t>HOLNLDM000821219030</t>
  </si>
  <si>
    <t>MARS ROCKLEADER</t>
  </si>
  <si>
    <t>HOLUSAM000002195662</t>
  </si>
  <si>
    <t>RICECREST TESK TERRY</t>
  </si>
  <si>
    <t>RICECREST BLACKSTAR FAYE ET</t>
  </si>
  <si>
    <t>HOLGBRM000000531623</t>
  </si>
  <si>
    <t>POULALEA CASCADE</t>
  </si>
  <si>
    <t>POULALEA ESCORT ANNABEL</t>
  </si>
  <si>
    <t>WILOWNA ESCORT</t>
  </si>
  <si>
    <t>HOLFRAM005988013277</t>
  </si>
  <si>
    <t>DIFFRACT</t>
  </si>
  <si>
    <t>MRYNLDM000136719009</t>
  </si>
  <si>
    <t>ROBIN TL</t>
  </si>
  <si>
    <t>TOOSJE 48</t>
  </si>
  <si>
    <t>BRFGBRM000000535154</t>
  </si>
  <si>
    <t>MALCASTLE BECKER</t>
  </si>
  <si>
    <t>HULLY HECTOR</t>
  </si>
  <si>
    <t>MALCASTLE BLOMKE 2</t>
  </si>
  <si>
    <t>LAVENHAM WINDLASS</t>
  </si>
  <si>
    <t>DFRDEUM001012224864</t>
  </si>
  <si>
    <t>ENORM</t>
  </si>
  <si>
    <t>FOCKO</t>
  </si>
  <si>
    <t>MONFRAM000196014411</t>
  </si>
  <si>
    <t>ENCLUME</t>
  </si>
  <si>
    <t>HOLNLDM000359032888</t>
  </si>
  <si>
    <t>PRINCE CHARMING</t>
  </si>
  <si>
    <t>MESLAND PRINCESS 9824</t>
  </si>
  <si>
    <t>HOLIRLM141411790833</t>
  </si>
  <si>
    <t>KILGARRIFFE WIZARD 6</t>
  </si>
  <si>
    <t>Q G EDANA</t>
  </si>
  <si>
    <t>HOLCANM000008793411</t>
  </si>
  <si>
    <t>FRADON INFERNO RED</t>
  </si>
  <si>
    <t>MARKWELL KITE ET</t>
  </si>
  <si>
    <t>FRADON BROKER MARIGOLD</t>
  </si>
  <si>
    <t>A CONANT-ACRES-JY BROKER ET</t>
  </si>
  <si>
    <t>HOLNZLM000000101017</t>
  </si>
  <si>
    <t>HAZAEL BG DELIVERANCE</t>
  </si>
  <si>
    <t>BARTONS GLOUCESTER</t>
  </si>
  <si>
    <t>HAZAEL EMS DEW-ET</t>
  </si>
  <si>
    <t>HOLIRLM141360940462</t>
  </si>
  <si>
    <t>EEDY SWEET RUUD</t>
  </si>
  <si>
    <t>EEDY MARCONI SWEET ET</t>
  </si>
  <si>
    <t>HOLITAM001114010628</t>
  </si>
  <si>
    <t>MARAL ATREIUS</t>
  </si>
  <si>
    <t>MARAL BOOTMAKER RALLY</t>
  </si>
  <si>
    <t>PACLAMAR BOOTMAKER</t>
  </si>
  <si>
    <t>JERDNKM000000301191</t>
  </si>
  <si>
    <t>Q LIC</t>
  </si>
  <si>
    <t>JAS LATOP</t>
  </si>
  <si>
    <t>HOLNZLM000000089243</t>
  </si>
  <si>
    <t>JELLYMANS ATLANTA</t>
  </si>
  <si>
    <t>BSR</t>
  </si>
  <si>
    <t>DFRNLDM000297955454</t>
  </si>
  <si>
    <t>FALKO 12</t>
  </si>
  <si>
    <t>MONFRAM003998007635</t>
  </si>
  <si>
    <t>ORNANS JB</t>
  </si>
  <si>
    <t>GEL</t>
  </si>
  <si>
    <t>JOLICOEUR</t>
  </si>
  <si>
    <t>HOLIRLM241076460767</t>
  </si>
  <si>
    <t>BRACKBAWN VALOUR</t>
  </si>
  <si>
    <t>BRACKBAWN VERABREIZ</t>
  </si>
  <si>
    <t>HOLIRLM141733060009</t>
  </si>
  <si>
    <t>CURRABEIGH RUUD</t>
  </si>
  <si>
    <t>CURRABEIGH WENDY 5</t>
  </si>
  <si>
    <t>HOLDNKM000000242413</t>
  </si>
  <si>
    <t>VAR ETLAR</t>
  </si>
  <si>
    <t>AERO ALMA</t>
  </si>
  <si>
    <t>M AEROSTAR</t>
  </si>
  <si>
    <t>HOLFRAM002997001374</t>
  </si>
  <si>
    <t>NUEVO</t>
  </si>
  <si>
    <t>ISTAMBUL</t>
  </si>
  <si>
    <t>AEROSTAR</t>
  </si>
  <si>
    <t>HOLNZLM000000101028</t>
  </si>
  <si>
    <t>LLANGOWER HI LORIKEET-ET</t>
  </si>
  <si>
    <t>HOLDEUM000341485350</t>
  </si>
  <si>
    <t>HELDINE 47</t>
  </si>
  <si>
    <t>HOLUSAM000131788550</t>
  </si>
  <si>
    <t>WINDSOR-MANOR DURHAM ZEUS</t>
  </si>
  <si>
    <t>HOLIRLM261006922394</t>
  </si>
  <si>
    <t>MONAMORE ROMERO ET</t>
  </si>
  <si>
    <t>MONAMORE DURHAM RAVEN (IMP 05)</t>
  </si>
  <si>
    <t>MONFRAM004291006086</t>
  </si>
  <si>
    <t>GENEST</t>
  </si>
  <si>
    <t>CIGALE</t>
  </si>
  <si>
    <t>HOLFRAM005112012618</t>
  </si>
  <si>
    <t>HOLGBRM000000590608</t>
  </si>
  <si>
    <t>CARRACOUSH JABOT 7</t>
  </si>
  <si>
    <t>CARRACOUSH DAISY 20</t>
  </si>
  <si>
    <t>HOLCANM000006334336</t>
  </si>
  <si>
    <t>COMESTAR LAURIER ET</t>
  </si>
  <si>
    <t>BRFGBRM000000608478</t>
  </si>
  <si>
    <t>LANGLEY BONUS</t>
  </si>
  <si>
    <t>TERLING BONUS</t>
  </si>
  <si>
    <t>TYBURNHAM CREATOR CINDERELLA</t>
  </si>
  <si>
    <t>HOLNLDM000266400219</t>
  </si>
  <si>
    <t>LOE MARTIN</t>
  </si>
  <si>
    <t>HOLLAND HOLLAND</t>
  </si>
  <si>
    <t>LOES 40</t>
  </si>
  <si>
    <t>HOLUSAM000132766986</t>
  </si>
  <si>
    <t>BRANDT-VIEW DIRECTOR-ET</t>
  </si>
  <si>
    <t>BRANDT-VIEW MANFRED MISS-ET</t>
  </si>
  <si>
    <t>HOLNZLM000000106120</t>
  </si>
  <si>
    <t>VAN DEN BROEKS MD VIP</t>
  </si>
  <si>
    <t>HOLIRLM272004760751</t>
  </si>
  <si>
    <t>(IG) LYNBROOK ROBBIN ET</t>
  </si>
  <si>
    <t>BROEKS ELSI</t>
  </si>
  <si>
    <t>JERDNKM000000302229</t>
  </si>
  <si>
    <t>Q MIRAGE</t>
  </si>
  <si>
    <t>DJHB</t>
  </si>
  <si>
    <t>HOLUSAM000002074727</t>
  </si>
  <si>
    <t>RIPVALLEY NA BELL TAMMY ET</t>
  </si>
  <si>
    <t>HOLGBRM000000548127</t>
  </si>
  <si>
    <t>LAKELODGE ALFRED</t>
  </si>
  <si>
    <t>LAKELODGE KATE 8</t>
  </si>
  <si>
    <t>HOLNLDM000223788420</t>
  </si>
  <si>
    <t>HOLIM DORUS</t>
  </si>
  <si>
    <t>HOLNLDM000343663557</t>
  </si>
  <si>
    <t>HUYBENS RED TEQUILA</t>
  </si>
  <si>
    <t>HUIJBEN PIETJE 514</t>
  </si>
  <si>
    <t>HOLGBRM000000630094</t>
  </si>
  <si>
    <t>BALLYCAIRN LINUS ET</t>
  </si>
  <si>
    <t>BALLYCAIRN JOCKO LILIAN</t>
  </si>
  <si>
    <t>HOLUSAM000060881433</t>
  </si>
  <si>
    <t>MAJESTIC-MANOR OM BEACON-ET</t>
  </si>
  <si>
    <t>MAJESTIC-MANOR CHARM BETH</t>
  </si>
  <si>
    <t>FUSTEAD LEADMAN CHARM ET</t>
  </si>
  <si>
    <t>HOLIRLM191942240620</t>
  </si>
  <si>
    <t>SLIEVERUE BAWNEY</t>
  </si>
  <si>
    <t>SLIEVERUE GRAINNE PAT 4</t>
  </si>
  <si>
    <t>JERNZLM000000308103</t>
  </si>
  <si>
    <t>HAYWARDS MANS AIMEE S3J</t>
  </si>
  <si>
    <t>HOLGBRM000000637689</t>
  </si>
  <si>
    <t>NEREWATER TIPTOP ET</t>
  </si>
  <si>
    <t>BRADASH TORCH 148</t>
  </si>
  <si>
    <t>HOLNZLM000000108016</t>
  </si>
  <si>
    <t>VAN BYSTERVELDT MO-ET S1F</t>
  </si>
  <si>
    <t>HOLNZLM000000106219</t>
  </si>
  <si>
    <t>HOLIRLM111047630877</t>
  </si>
  <si>
    <t>(IG) BLACKNEY DIRECTOR</t>
  </si>
  <si>
    <t>BLACKNEY UYC ROSE 451</t>
  </si>
  <si>
    <t>HOLIRLM241628470394</t>
  </si>
  <si>
    <t>(IG) DORE LAZEROUS</t>
  </si>
  <si>
    <t>DORE LIZA 9</t>
  </si>
  <si>
    <t>HOLUSAM000140836185</t>
  </si>
  <si>
    <t>OLSZEWSKI ALTABRIAR</t>
  </si>
  <si>
    <t>MSVISIONGEN SHOTTLE BREE-ET</t>
  </si>
  <si>
    <t>HOLIRLM341555740310</t>
  </si>
  <si>
    <t>BOWERSWOOD BAIKA ET</t>
  </si>
  <si>
    <t>HOLIRLM141645381481</t>
  </si>
  <si>
    <t>(IG)LISKILLA LYSELLE SUNSHINE</t>
  </si>
  <si>
    <t>CATLANE SUNSHINE</t>
  </si>
  <si>
    <t>LISKILLA RIV LYSELLE</t>
  </si>
  <si>
    <t>RIVELINO 279</t>
  </si>
  <si>
    <t>HOLIRLM211238111328</t>
  </si>
  <si>
    <t>CARRICKSHOCK PIET 2</t>
  </si>
  <si>
    <t>CARRICKSHOCK DAISY 636</t>
  </si>
  <si>
    <t>HOL840M003008328673</t>
  </si>
  <si>
    <t>S-S-I BOOKEM MORGAN-ET</t>
  </si>
  <si>
    <t>ROYLANE SHOT MINDY 2079-ET</t>
  </si>
  <si>
    <t>MONFRAM005375489171</t>
  </si>
  <si>
    <t>EKEDI</t>
  </si>
  <si>
    <t>TOULADI</t>
  </si>
  <si>
    <t>ARENE</t>
  </si>
  <si>
    <t>OJOLI JB</t>
  </si>
  <si>
    <t>HOLIRLM301112250612</t>
  </si>
  <si>
    <t>MULLENBALLY IRP RUUVIXEN 612</t>
  </si>
  <si>
    <t>MULLENBALLY RUU VIXEN 411</t>
  </si>
  <si>
    <t>JERDNKM000000303145</t>
  </si>
  <si>
    <t>VJ BUSTER</t>
  </si>
  <si>
    <t>HOLCANM000106518051</t>
  </si>
  <si>
    <t>GEN-I-BEQ SAMMY</t>
  </si>
  <si>
    <t>GEN-I-BEQ ALEXANDER SUCRETTE</t>
  </si>
  <si>
    <t>HOLGBRM000000642262</t>
  </si>
  <si>
    <t>HEAVENLY GOLDEN DREAMS  *TL</t>
  </si>
  <si>
    <t>HOLIRLM151101931291</t>
  </si>
  <si>
    <t>ADRIVALE GMI VALENTINE 743</t>
  </si>
  <si>
    <t>HOLUSAM000070476887</t>
  </si>
  <si>
    <t>BUTLERVIEW PLAYBALL-ET</t>
  </si>
  <si>
    <t>FARNEAR BROCADES P BELLA-ET</t>
  </si>
  <si>
    <t>HOLCANM000011438396</t>
  </si>
  <si>
    <t>SILVERRIDGE ALBUM</t>
  </si>
  <si>
    <t>VELTHUIS SG MOM ALICIA</t>
  </si>
  <si>
    <t>HOLIRLM141685330814</t>
  </si>
  <si>
    <t>(IG) ANAHERLICK ABO VELVET</t>
  </si>
  <si>
    <t>ANAHERLICK VMG VELVET</t>
  </si>
  <si>
    <t>BALLIVOR MANGO ET</t>
  </si>
  <si>
    <t>HOLIRLM221277512070</t>
  </si>
  <si>
    <t>(IG) GARRENDENNY MATCHMAKER</t>
  </si>
  <si>
    <t>(IG) TIRNAHILLA HENRY</t>
  </si>
  <si>
    <t>GARRENDENNY WDS THELMA 1598</t>
  </si>
  <si>
    <t>HOLNLDM000717597404</t>
  </si>
  <si>
    <t>DIEPENHOEK OPTIMAL</t>
  </si>
  <si>
    <t>HOLNLDM000762042012</t>
  </si>
  <si>
    <t>APOLL P ET</t>
  </si>
  <si>
    <t>CANDLELIGH</t>
  </si>
  <si>
    <t>HOLIRLM141609191010</t>
  </si>
  <si>
    <t>(IG) TAMARIU HAROLD</t>
  </si>
  <si>
    <t>TAMARIU HXL HAYLEY 714</t>
  </si>
  <si>
    <t>HILLSDALE HARRY</t>
  </si>
  <si>
    <t>HOLIRLM151623453107</t>
  </si>
  <si>
    <t>BALLYBRIDE LIVERPOOL</t>
  </si>
  <si>
    <t xml:space="preserve">BALLYBRIDE BGJ BRENDA </t>
  </si>
  <si>
    <t>JERAUSM000A00019547</t>
  </si>
  <si>
    <t>WHITE STAR GREG</t>
  </si>
  <si>
    <t>KAARMONA VALERIAN</t>
  </si>
  <si>
    <t>WHITE STAR 4916</t>
  </si>
  <si>
    <t>HOLIRLM191116282242</t>
  </si>
  <si>
    <t>ISLANDBOY BUNWORTH</t>
  </si>
  <si>
    <t>ISLANDBOY MSF DIANE</t>
  </si>
  <si>
    <t>HOLIRLM211180392054</t>
  </si>
  <si>
    <t>FIRODA RANDY 9</t>
  </si>
  <si>
    <t>FIRODA SNOW</t>
  </si>
  <si>
    <t>HOLFRAM002996001499</t>
  </si>
  <si>
    <t>MANKET</t>
  </si>
  <si>
    <t>JANKET</t>
  </si>
  <si>
    <t>HOLIRLM211058471349</t>
  </si>
  <si>
    <t>(IG) BALLYGOWN YRY DELL</t>
  </si>
  <si>
    <t>BALLYGOWN PBM MIA 1173</t>
  </si>
  <si>
    <t>JERDNKM000000304164</t>
  </si>
  <si>
    <t>VJ HAVDAL LAPPE DEE</t>
  </si>
  <si>
    <t>VJ KAPPEL LURE LAPPE</t>
  </si>
  <si>
    <t>MRYNLDM000636711163</t>
  </si>
  <si>
    <t>KEMPER</t>
  </si>
  <si>
    <t>ROZA 657</t>
  </si>
  <si>
    <t>RDCCANM000106530733</t>
  </si>
  <si>
    <t>KAMOURASKA ULTRA</t>
  </si>
  <si>
    <t>KILDARE PALOMINO -ET</t>
  </si>
  <si>
    <t>KAMOURASKA JUPI UBY -ET</t>
  </si>
  <si>
    <t>KILDARE JUPITER -ET</t>
  </si>
  <si>
    <t>HOLIRLM151330074640</t>
  </si>
  <si>
    <t>(IG) SPRINGHAVEN NUA</t>
  </si>
  <si>
    <t>SPRINGHAVEN BIDDY 162</t>
  </si>
  <si>
    <t>HOLFRAM003596073976</t>
  </si>
  <si>
    <t>PROGRESSIVE MAOUSE</t>
  </si>
  <si>
    <t>BILSROWAN FLORIDE</t>
  </si>
  <si>
    <t>HOLNLDM000320495843</t>
  </si>
  <si>
    <t>JOSTAR</t>
  </si>
  <si>
    <t>JO 124</t>
  </si>
  <si>
    <t>A BURWOOD PRINCE CHARMING</t>
  </si>
  <si>
    <t>RDCNORM000000010100</t>
  </si>
  <si>
    <t>ASKIM</t>
  </si>
  <si>
    <t>NYTRØEN</t>
  </si>
  <si>
    <t>HEDDA</t>
  </si>
  <si>
    <t>JERDNKM000000302701</t>
  </si>
  <si>
    <t>MONFRAM003920562703</t>
  </si>
  <si>
    <t>RELANS JB</t>
  </si>
  <si>
    <t>MELODIE</t>
  </si>
  <si>
    <t>HOLGBRM000000566610</t>
  </si>
  <si>
    <t>CRADENHILL TOP SUN ET</t>
  </si>
  <si>
    <t>CRADENHILL LEADMAN SEASAND ET</t>
  </si>
  <si>
    <t>HOLNLDM000796759083</t>
  </si>
  <si>
    <t>VENERIETE 109</t>
  </si>
  <si>
    <t>BETS</t>
  </si>
  <si>
    <t>RDCGBRM000000179274</t>
  </si>
  <si>
    <t>CUTHILL TOWERS AUTUMN GOLD</t>
  </si>
  <si>
    <t>CLAIR GRE VAGABOND</t>
  </si>
  <si>
    <t>KILRENNY AUTUMN BEAUTY 5</t>
  </si>
  <si>
    <t>SELWOOD ROYAL WELCOME</t>
  </si>
  <si>
    <t>HOLCANM000000392457</t>
  </si>
  <si>
    <t>KELLYS-VIEW GLENDELL KELCO</t>
  </si>
  <si>
    <t>HOLGBRM000000584091</t>
  </si>
  <si>
    <t>LYNBROOK CRUSADER ET</t>
  </si>
  <si>
    <t>HOLGBRM000000548915</t>
  </si>
  <si>
    <t>BALLYCLIDER BELL ET</t>
  </si>
  <si>
    <t>HOLFRAM005188001458</t>
  </si>
  <si>
    <t>DIAPASON</t>
  </si>
  <si>
    <t>BROWNSON BELL ALICIA</t>
  </si>
  <si>
    <t>HOLNLDM000835591500</t>
  </si>
  <si>
    <t>GALTEE KOERIER 111</t>
  </si>
  <si>
    <t>RIKSIE</t>
  </si>
  <si>
    <t>HOLUSAM000002204207</t>
  </si>
  <si>
    <t>CAERNARVON JAY ET</t>
  </si>
  <si>
    <t>CAERNARVON MARK JESSIE ET</t>
  </si>
  <si>
    <t>HOLGBRM000000522021</t>
  </si>
  <si>
    <t>MOUNTALTO OLIVER</t>
  </si>
  <si>
    <t>CLASH OLIVE 27</t>
  </si>
  <si>
    <t>DALTON PRESTIGE</t>
  </si>
  <si>
    <t>HOLDEUM000578615627</t>
  </si>
  <si>
    <t>MAJESTY</t>
  </si>
  <si>
    <t>HOLIRLM191181740595</t>
  </si>
  <si>
    <t>LEAGH LANCELOT</t>
  </si>
  <si>
    <t>LEAGH JESTHER MADAM ET</t>
  </si>
  <si>
    <t>HOLUSAM000002086619</t>
  </si>
  <si>
    <t>KEYSTONE CLEITUS VALVANO ET</t>
  </si>
  <si>
    <t>WO-PA CHAR VELVET</t>
  </si>
  <si>
    <t>HOLNLDM000314390431</t>
  </si>
  <si>
    <t>BETJE 18</t>
  </si>
  <si>
    <t>HOLIRLM141645390749</t>
  </si>
  <si>
    <t>LISKILLA IMAGE 2</t>
  </si>
  <si>
    <t>HOLFRAM002997008934</t>
  </si>
  <si>
    <t>NOUGARO</t>
  </si>
  <si>
    <t>JOUVENCE 32</t>
  </si>
  <si>
    <t>HOLNLDM000227347061</t>
  </si>
  <si>
    <t>HIDDEN FUTURE</t>
  </si>
  <si>
    <t>EVALIEN 182</t>
  </si>
  <si>
    <t>HOLIRLM151011242315</t>
  </si>
  <si>
    <t>LISDUFF MARY 16</t>
  </si>
  <si>
    <t>HOLNLDM000796759122</t>
  </si>
  <si>
    <t>VEN 110 SUN JAN ANNE</t>
  </si>
  <si>
    <t>VENERIETE BETS 167</t>
  </si>
  <si>
    <t>HOLUSAM000128920633</t>
  </si>
  <si>
    <t>RICECREST MURPHY-ET</t>
  </si>
  <si>
    <t>RICECREST LUKE LEANN ET</t>
  </si>
  <si>
    <t>HOLNLDM000724673634</t>
  </si>
  <si>
    <t>HUIJBEN JORCK</t>
  </si>
  <si>
    <t>JOTAN-RED</t>
  </si>
  <si>
    <t>HUIJBEN PIETJE BURNS 1</t>
  </si>
  <si>
    <t>HOLGBRM000000552457</t>
  </si>
  <si>
    <t>CRADENHILL LEADMAN CON ET</t>
  </si>
  <si>
    <t>CARNATION S VALIANT CAROLYN ET</t>
  </si>
  <si>
    <t>HOLUSAM000069710369</t>
  </si>
  <si>
    <t>WABASH-WAY EATON-ET</t>
  </si>
  <si>
    <t>WABASH-WAY SHOT ELLISA-ET</t>
  </si>
  <si>
    <t>HOLNLDM000170475222</t>
  </si>
  <si>
    <t>TILLY</t>
  </si>
  <si>
    <t>HOLCANM000008150222</t>
  </si>
  <si>
    <t>MACO PHENOMENE MASON PI ET</t>
  </si>
  <si>
    <t>HOLNZLM000000501003</t>
  </si>
  <si>
    <t>DIXONS NGARUA</t>
  </si>
  <si>
    <t>BRASS TAG 76</t>
  </si>
  <si>
    <t>RDCNORM000000005694</t>
  </si>
  <si>
    <t>BRENDEN</t>
  </si>
  <si>
    <t>KRONROS</t>
  </si>
  <si>
    <t>J.HUSVEG</t>
  </si>
  <si>
    <t>HOLIRLM141163810681</t>
  </si>
  <si>
    <t>BALLYDEHOB GLEN 681</t>
  </si>
  <si>
    <t>KNOCKSMILL LANGS PATSY</t>
  </si>
  <si>
    <t>LANGS-TWIN-ELM DANDY</t>
  </si>
  <si>
    <t>HOLIRLM351165480874</t>
  </si>
  <si>
    <t>(IG) KILCAP AMBIENCE</t>
  </si>
  <si>
    <t>KILCAP ROSE 568</t>
  </si>
  <si>
    <t>HOLCHEM120022840643</t>
  </si>
  <si>
    <t>SAVARD-ET</t>
  </si>
  <si>
    <t>MARAL JUROR BRAD RF</t>
  </si>
  <si>
    <t>PENZA ET</t>
  </si>
  <si>
    <t>HOLNZLM000000108005</t>
  </si>
  <si>
    <t>GREENWELL GR BETTA-ET S2F</t>
  </si>
  <si>
    <t>SRC GLENMEAD ROCKSOLID-ET</t>
  </si>
  <si>
    <t>HOLUSAM000052805723</t>
  </si>
  <si>
    <t>SCHILLVIEW OMAN GERARD-ET</t>
  </si>
  <si>
    <t>SCHILLVIEW MARSH GLASH-ET</t>
  </si>
  <si>
    <t>BRFGBRM000000642828</t>
  </si>
  <si>
    <t>BLACKISLE PAULINE 71</t>
  </si>
  <si>
    <t>HOLUSAM000071618865</t>
  </si>
  <si>
    <t>SEAGULL-BAY MVP-ET</t>
  </si>
  <si>
    <t>HOLCANM000107359042</t>
  </si>
  <si>
    <t>COMESTAR LAUSMART</t>
  </si>
  <si>
    <t>HOLUSAM000139877537</t>
  </si>
  <si>
    <t>SCIENTIFIC GOLD DISH RAE-ET</t>
  </si>
  <si>
    <t>JERNZLM000000511051</t>
  </si>
  <si>
    <t>DRYSDALES SOVEREIGN</t>
  </si>
  <si>
    <t>JERNZLM000000313055</t>
  </si>
  <si>
    <t>GLENUI 5-STAR HARRY ET</t>
  </si>
  <si>
    <t>GLENUI BOWIES HONEYDEW</t>
  </si>
  <si>
    <t>HOLUSAM000072942413</t>
  </si>
  <si>
    <t>MELARRY HALOGEN FRECKLE-ET</t>
  </si>
  <si>
    <t>MELARRY MOGUL FRECK-ET</t>
  </si>
  <si>
    <t>HOLUSAM000069791561</t>
  </si>
  <si>
    <t>MORNINGVIEW ATTRACT-RED-ET</t>
  </si>
  <si>
    <t>MORNINGVIEW SUPER ROXY</t>
  </si>
  <si>
    <t>MONFRAM009098000898</t>
  </si>
  <si>
    <t>ODISLAIT</t>
  </si>
  <si>
    <t>JORDANNE</t>
  </si>
  <si>
    <t>JERUSAM000110404026</t>
  </si>
  <si>
    <t>SOONER CENTURION-ET</t>
  </si>
  <si>
    <t>POTWELL JUDES SUCCESS</t>
  </si>
  <si>
    <t>HOLNLDM000295614731</t>
  </si>
  <si>
    <t>STYLIST</t>
  </si>
  <si>
    <t>MONFRAM002527807045</t>
  </si>
  <si>
    <t>TRICASTIN</t>
  </si>
  <si>
    <t>LIMONIER</t>
  </si>
  <si>
    <t>MEDUSE</t>
  </si>
  <si>
    <t>HOLFINM000000041531</t>
  </si>
  <si>
    <t>PUROLAN ORKKO</t>
  </si>
  <si>
    <t>GADDNAS ESKIL</t>
  </si>
  <si>
    <t>LELU</t>
  </si>
  <si>
    <t>OJANIEMEN VAKIO</t>
  </si>
  <si>
    <t>HOLNLDM000660282554</t>
  </si>
  <si>
    <t>POPPE RED HOT DARREL RED</t>
  </si>
  <si>
    <t>POPPE RED HOT RITA 860</t>
  </si>
  <si>
    <t>SNOW RF ET</t>
  </si>
  <si>
    <t>HOL840M003123600910</t>
  </si>
  <si>
    <t>STANTONS EXCALIBUR-ET</t>
  </si>
  <si>
    <t>STANTONS UNO ENYA</t>
  </si>
  <si>
    <t>MRYDEUM000101560611</t>
  </si>
  <si>
    <t>PEBE</t>
  </si>
  <si>
    <t>HOLUNDER</t>
  </si>
  <si>
    <t>HEROLD</t>
  </si>
  <si>
    <t>HOLCANM000006466625</t>
  </si>
  <si>
    <t>SUMMERSHADE ILENE SCOT ET</t>
  </si>
  <si>
    <t>MONFRAM002592014336</t>
  </si>
  <si>
    <t>HAPPYDAY</t>
  </si>
  <si>
    <t>FELICITE</t>
  </si>
  <si>
    <t>HOLNLDM000792277442</t>
  </si>
  <si>
    <t>LEONARD LEADMAN</t>
  </si>
  <si>
    <t>HOLNZLM000000090281</t>
  </si>
  <si>
    <t>KINGSMILL A P ANNA</t>
  </si>
  <si>
    <t>HOLFRAM005991020141</t>
  </si>
  <si>
    <t>GUNMAN</t>
  </si>
  <si>
    <t>OPPERMAN TRADITION VELVET</t>
  </si>
  <si>
    <t>HOLNLDM000134528821</t>
  </si>
  <si>
    <t>ETAZON LAUDIA LEXUS</t>
  </si>
  <si>
    <t>HOLCANM000005360300</t>
  </si>
  <si>
    <t>ROYCEDALE ACADEMY</t>
  </si>
  <si>
    <t>ROYCEDALE INSPIRA ALANA ET</t>
  </si>
  <si>
    <t>HOLFRAM002992032817</t>
  </si>
  <si>
    <t>KILCONNY HORSON</t>
  </si>
  <si>
    <t>HOLNZLM000000663711</t>
  </si>
  <si>
    <t>BELROSE LANCE CAIRNS</t>
  </si>
  <si>
    <t>BELROSE CURIOUS CLEAR-ET</t>
  </si>
  <si>
    <t>HOLUSAM000002119287</t>
  </si>
  <si>
    <t>EMERALD-ACRES-SA TRINA-ET</t>
  </si>
  <si>
    <t>HOLFRAM005991024755</t>
  </si>
  <si>
    <t>GAEROSTAR</t>
  </si>
  <si>
    <t>CAERNARVON CLEITUS JEAN-ET</t>
  </si>
  <si>
    <t>HOLUSAM000002253779</t>
  </si>
  <si>
    <t>MAR-GAR LUKE SAILOR</t>
  </si>
  <si>
    <t>MERIT-SALEM SANDRA-ET</t>
  </si>
  <si>
    <t>HOLUSAM000017099335</t>
  </si>
  <si>
    <t>REGANCREST JUROR BOND-ET</t>
  </si>
  <si>
    <t>REGANCREST AEROSTAR BERT-ET</t>
  </si>
  <si>
    <t>HOLGBRM000000609530</t>
  </si>
  <si>
    <t>SALLYHALL TORELLO</t>
  </si>
  <si>
    <t>SALLYHALL BRAMBLE 6</t>
  </si>
  <si>
    <t>DOONALLY JONICAAN 297</t>
  </si>
  <si>
    <t>HOLFRAM003597070102</t>
  </si>
  <si>
    <t>NAXIE</t>
  </si>
  <si>
    <t>LAXIE BOT</t>
  </si>
  <si>
    <t>HOLNZLM000000098390</t>
  </si>
  <si>
    <t>LAWRENCES KABUL</t>
  </si>
  <si>
    <t>HOLIRLM151567420389</t>
  </si>
  <si>
    <t>BALLYBROOK DESIGN</t>
  </si>
  <si>
    <t>BALLYBROOK ASI BUNNY</t>
  </si>
  <si>
    <t>MONFRAM003922750586</t>
  </si>
  <si>
    <t>SOS JB</t>
  </si>
  <si>
    <t>OEUVRE D A</t>
  </si>
  <si>
    <t>JERNZLM000000307517</t>
  </si>
  <si>
    <t>GREENMILE MAUN IMPISH S3J</t>
  </si>
  <si>
    <t>GREENMILE BANANA S2J</t>
  </si>
  <si>
    <t>RIVERS IMPERIAL SJ3</t>
  </si>
  <si>
    <t>JERNZLM000000506068</t>
  </si>
  <si>
    <t>OPARIA MESSENGER</t>
  </si>
  <si>
    <t>BRFGBRM000000535255</t>
  </si>
  <si>
    <t>MANORPOWIS ROYAL SCOT ET</t>
  </si>
  <si>
    <t>POWIS DUCHESS 5</t>
  </si>
  <si>
    <t>HOLUSAM000002276216</t>
  </si>
  <si>
    <t>WADEL ELTON BUGLEBOY</t>
  </si>
  <si>
    <t>WADEL LEADMAN BLANCH</t>
  </si>
  <si>
    <t>HOLNLDM000146125603</t>
  </si>
  <si>
    <t>BELTERMAN</t>
  </si>
  <si>
    <t>BSWIRLM000000000NVA</t>
  </si>
  <si>
    <t>NIRVANA</t>
  </si>
  <si>
    <t>FEE</t>
  </si>
  <si>
    <t>WESTLEY</t>
  </si>
  <si>
    <t>HOLIRLM191408410403</t>
  </si>
  <si>
    <t>KNOCKENRIGHT RUU 0403</t>
  </si>
  <si>
    <t>KNOCKENRIGHT BENTLY 0240</t>
  </si>
  <si>
    <t>HOLUSAM000002040728</t>
  </si>
  <si>
    <t>HURL-FOUR TRADITION JACKY</t>
  </si>
  <si>
    <t>HOLDEUM001401704796</t>
  </si>
  <si>
    <t>MAKI</t>
  </si>
  <si>
    <t>HOLNZLM000000501054</t>
  </si>
  <si>
    <t>MCGREGORS GLADIATOR</t>
  </si>
  <si>
    <t>HOLUSAM000060540176</t>
  </si>
  <si>
    <t>REGANCREST DESIGN-ET</t>
  </si>
  <si>
    <t>REGANCREST ENCORE DAREL-ET</t>
  </si>
  <si>
    <t>HOLNZLM000000106108</t>
  </si>
  <si>
    <t>STEELES CL JEEPERS ET</t>
  </si>
  <si>
    <t>MRYNLDM000389682877</t>
  </si>
  <si>
    <t>BORIS</t>
  </si>
  <si>
    <t>ALBERT J</t>
  </si>
  <si>
    <t>JANNEKE 11</t>
  </si>
  <si>
    <t>HOLUSAM000132045942</t>
  </si>
  <si>
    <t>CONANT-ACRES BWM GRANGER-ET</t>
  </si>
  <si>
    <t>CHAN-LEE DUSTER GLENNA-ET</t>
  </si>
  <si>
    <t>HOLIRLM291641730241</t>
  </si>
  <si>
    <t>QUINNVIEW BARRY 241</t>
  </si>
  <si>
    <t>QUINNVIEW RUUD BESSY</t>
  </si>
  <si>
    <t>HOLGBRM000000616757</t>
  </si>
  <si>
    <t>COGENT DESMOND</t>
  </si>
  <si>
    <t>RICECREST MARSHALL ET</t>
  </si>
  <si>
    <t>COGENT DECISION TERRI PI ET</t>
  </si>
  <si>
    <t>HOLGBRM000000615660</t>
  </si>
  <si>
    <t>HUDDLESTONE HARRIER</t>
  </si>
  <si>
    <t>EIG AI BULLS</t>
  </si>
  <si>
    <t>HUDDLESTONE PRINCIPLE LISA C</t>
  </si>
  <si>
    <t>CRICHEL PRINCIPAL</t>
  </si>
  <si>
    <t>HOLUSAM000061757559</t>
  </si>
  <si>
    <t>WELCOME PENNYMAKER-ET</t>
  </si>
  <si>
    <t>WELCOME AARON PENEL</t>
  </si>
  <si>
    <t>BRFGBRM000000623057</t>
  </si>
  <si>
    <t>DEANGATE BETTY 27</t>
  </si>
  <si>
    <t>DEANGATE KING</t>
  </si>
  <si>
    <t>HOLNZLM000000108256</t>
  </si>
  <si>
    <t>HAZAEL NAUT DECREE-ET</t>
  </si>
  <si>
    <t>BALLATANGI DONOR 9711</t>
  </si>
  <si>
    <t>HOLNLDM000437289942</t>
  </si>
  <si>
    <t>GIESSEN STRUIK 245</t>
  </si>
  <si>
    <t>CHARITY 504 ET</t>
  </si>
  <si>
    <t>JERIRLM191068110614</t>
  </si>
  <si>
    <t>SWANKY BOY</t>
  </si>
  <si>
    <t>HOLNZLM000000110081</t>
  </si>
  <si>
    <t>HAZAEL SH MATRIX-ET S3F</t>
  </si>
  <si>
    <t>SELBIES FAITH HALCYON S2F</t>
  </si>
  <si>
    <t>KOTUKU DAUNT MATRIX</t>
  </si>
  <si>
    <t>MONFRAM003803078751</t>
  </si>
  <si>
    <t>CRASAT</t>
  </si>
  <si>
    <t>TOURAINE</t>
  </si>
  <si>
    <t>HOLGBRM000000635311</t>
  </si>
  <si>
    <t>WOODMARSH ZORO ET</t>
  </si>
  <si>
    <t>WOODMARSH ZOEY</t>
  </si>
  <si>
    <t>DFRNLDM000690668753</t>
  </si>
  <si>
    <t>DE VENNEN KLAAS</t>
  </si>
  <si>
    <t>ANNA 647</t>
  </si>
  <si>
    <t>DE VENNEN ANTON</t>
  </si>
  <si>
    <t>HOLNZLM000000111068</t>
  </si>
  <si>
    <t>HALLVILLE FM PRESLEY S3F</t>
  </si>
  <si>
    <t>HALLVILLE NTLS PATCH S2F</t>
  </si>
  <si>
    <t>HOLGBRM000000651233</t>
  </si>
  <si>
    <t>MOET MCDOWELL  BYF</t>
  </si>
  <si>
    <t>GRAN-J OMAN MCCORMICK</t>
  </si>
  <si>
    <t>MOET BOLIVER JEWEL A</t>
  </si>
  <si>
    <t>JERNZLM000000312014</t>
  </si>
  <si>
    <t>CHARDONNAY FRANKIE</t>
  </si>
  <si>
    <t>CHARDONNAY RG FRANTIC</t>
  </si>
  <si>
    <t>RIVERINA GREENMAN</t>
  </si>
  <si>
    <t>HOLNLDM000491286628</t>
  </si>
  <si>
    <t>LIGHTWAY</t>
  </si>
  <si>
    <t>BONHILL WARSI 1</t>
  </si>
  <si>
    <t>HOLNLDM000446136044</t>
  </si>
  <si>
    <t>YOU TUBE FLOYD</t>
  </si>
  <si>
    <t>WANSINK SUPREME</t>
  </si>
  <si>
    <t>FLORIANE49</t>
  </si>
  <si>
    <t>HOLIRLM191621460860</t>
  </si>
  <si>
    <t>GADDAGH SOK CARMEL 758</t>
  </si>
  <si>
    <t>HOLUSAM000071667860</t>
  </si>
  <si>
    <t>MATT-DARI MOGUL PAYTON-ET</t>
  </si>
  <si>
    <t>MATT-DARI MAN-O-MAN PENI-ET</t>
  </si>
  <si>
    <t>RDCCANM000104347733</t>
  </si>
  <si>
    <t>KAMOURASKA ROCKSTAR</t>
  </si>
  <si>
    <t>LAGACE MODEM -ET</t>
  </si>
  <si>
    <t>KAMOURASKA PETERSLUND RUBY</t>
  </si>
  <si>
    <t>HOLGBRM000000658218</t>
  </si>
  <si>
    <t>RELOUGH AMBITIOUS ET</t>
  </si>
  <si>
    <t>RELOUGH SHOTTLE AMY</t>
  </si>
  <si>
    <t>HOLIRLM211085262202</t>
  </si>
  <si>
    <t>(IG) MINAUNS JUST BOY</t>
  </si>
  <si>
    <t>MINAUNS NHS MOLLY 1087</t>
  </si>
  <si>
    <t>HOLUSAM000071057277</t>
  </si>
  <si>
    <t>LADYS-MANOR SAVIOR-ET</t>
  </si>
  <si>
    <t>HOLNZLM000000513100</t>
  </si>
  <si>
    <t>OKAERIA BATTLEPAINT</t>
  </si>
  <si>
    <t>BUSY BROOK ROBUST-ET S3F</t>
  </si>
  <si>
    <t>HOLNLDM000938665511</t>
  </si>
  <si>
    <t>JIMM. HOLSTEIN ICEMAN</t>
  </si>
  <si>
    <t>JMM. HOLSTEIN VENETIE 9</t>
  </si>
  <si>
    <t>HOLCANM000011857447</t>
  </si>
  <si>
    <t>BRYCEHOLME SS BOASTFUL-ET</t>
  </si>
  <si>
    <t>MARBRI OMAN OMAN BEA-ET</t>
  </si>
  <si>
    <t>HOL840M003124584865</t>
  </si>
  <si>
    <t>STANTONS MOST WANTED-ET</t>
  </si>
  <si>
    <t>LARCREST CRAYON-ET</t>
  </si>
  <si>
    <t>HOLDNKM000000258184</t>
  </si>
  <si>
    <t>VH BALISTO BROOK</t>
  </si>
  <si>
    <t>6880303064 JANNIE</t>
  </si>
  <si>
    <t>RDCNORM000000011864</t>
  </si>
  <si>
    <t>SMAAGARDA</t>
  </si>
  <si>
    <t>SAUR</t>
  </si>
  <si>
    <t>SKEI</t>
  </si>
  <si>
    <t>HOLCANM000012130526</t>
  </si>
  <si>
    <t>WESTCOAST PLEDGE</t>
  </si>
  <si>
    <t>SULLY MAN-O-SHAN MARTHA-ET</t>
  </si>
  <si>
    <t>LADYS-MANOR MAN-O-SHAN-ET</t>
  </si>
  <si>
    <t>HOLDEUM000122029428</t>
  </si>
  <si>
    <t>KAX ELBRUS</t>
  </si>
  <si>
    <t>SILVERRIDGE V EXTREME</t>
  </si>
  <si>
    <t>KAX DEMUT 135</t>
  </si>
  <si>
    <t>GHEZZI GIULIO SURAN S TV TL TY</t>
  </si>
  <si>
    <t>HOLIRLM218391261487</t>
  </si>
  <si>
    <t>(IG) BALLYGOWN ALBERT</t>
  </si>
  <si>
    <t>BALLYGOWN PKK LUCY</t>
  </si>
  <si>
    <t>HOLNLDM000762070183</t>
  </si>
  <si>
    <t>BIG CLYDE</t>
  </si>
  <si>
    <t>RDCNORM000000005274</t>
  </si>
  <si>
    <t>HOLTE</t>
  </si>
  <si>
    <t>P.TRÆTENGEN</t>
  </si>
  <si>
    <t>ASA</t>
  </si>
  <si>
    <t>HOLNLDM000284985758</t>
  </si>
  <si>
    <t>NEDERHORST DARWIN</t>
  </si>
  <si>
    <t>MELKBRON 172</t>
  </si>
  <si>
    <t>HOLNLDM000139837025</t>
  </si>
  <si>
    <t>UTAMIL</t>
  </si>
  <si>
    <t>NEW MOORE DINA 211</t>
  </si>
  <si>
    <t>RDCGBRM000006181441</t>
  </si>
  <si>
    <t>HIGHWAY TOURIST</t>
  </si>
  <si>
    <t>HIGHWAY BROWN FAIRY 5</t>
  </si>
  <si>
    <t>HOLNLDM000498938423</t>
  </si>
  <si>
    <t>DELTA ATLANTIC</t>
  </si>
  <si>
    <t>ETAZON RENATE</t>
  </si>
  <si>
    <t>JERUSAM000000647019</t>
  </si>
  <si>
    <t>SCHULTZ DUNCAN SHAMROCK</t>
  </si>
  <si>
    <t>SCHULTZ TOP BRASS SHEENA</t>
  </si>
  <si>
    <t>HOLIRLM151411550672</t>
  </si>
  <si>
    <t>CARRIGOON ARCHIBALD</t>
  </si>
  <si>
    <t>CARRIGOON GALTEE KAY</t>
  </si>
  <si>
    <t>HOLNZLM000000108083</t>
  </si>
  <si>
    <t>MCHARDYS RM GOODFELLA S1F</t>
  </si>
  <si>
    <t>MONFRAM002520566709</t>
  </si>
  <si>
    <t>DANILSON</t>
  </si>
  <si>
    <t>PIOMBO</t>
  </si>
  <si>
    <t>VELOUTEE</t>
  </si>
  <si>
    <t>NEGOCIAR</t>
  </si>
  <si>
    <t>RDCGBRM000006181340</t>
  </si>
  <si>
    <t>ROSEHILL SLIGHTLY MAGIC</t>
  </si>
  <si>
    <t>CASTERN COMMODORE</t>
  </si>
  <si>
    <t>ROSEHILL MAGENTA</t>
  </si>
  <si>
    <t>CUTHILL TOWERS SIR ADAM</t>
  </si>
  <si>
    <t>JERDNKM000000303289</t>
  </si>
  <si>
    <t>VJ HERODOT</t>
  </si>
  <si>
    <t>C + V JERSEY BREGNA NORMA</t>
  </si>
  <si>
    <t>HOLUSAM000071181769</t>
  </si>
  <si>
    <t>SANDY-VALLEY SS DEYJA-ET</t>
  </si>
  <si>
    <t>SANDY-VALLEY METR DAMSEL-ET</t>
  </si>
  <si>
    <t>HOLGBRM581754202307</t>
  </si>
  <si>
    <t>ERROLSTON LUCKY BOY</t>
  </si>
  <si>
    <t>ERROLSTON MAESTRO LUCKY</t>
  </si>
  <si>
    <t>HOLNLDM000183320788</t>
  </si>
  <si>
    <t>POLE FINT</t>
  </si>
  <si>
    <t>PLUSHANSKI CLEITUS FARCI</t>
  </si>
  <si>
    <t>HOLNLDM000825558292</t>
  </si>
  <si>
    <t>CHARTOISE VINCENT</t>
  </si>
  <si>
    <t>HGF FANNA</t>
  </si>
  <si>
    <t>HOLNLDM000211251112</t>
  </si>
  <si>
    <t>GALTEE QG CHRIS ET</t>
  </si>
  <si>
    <t>PEN-COL EMERY-ET</t>
  </si>
  <si>
    <t>MASPRINGHILL CHEROKEE ET</t>
  </si>
  <si>
    <t>HOLIRLM281379840768</t>
  </si>
  <si>
    <t>STAMULLEN ROYAL NEWHOUSE</t>
  </si>
  <si>
    <t>STAMULLEN GRAINNE B 626</t>
  </si>
  <si>
    <t>MONFRAM002598000620</t>
  </si>
  <si>
    <t>OXBOW</t>
  </si>
  <si>
    <t>INO</t>
  </si>
  <si>
    <t>HOLIRLM371345440576</t>
  </si>
  <si>
    <t>JOHARRA SSB BEAUTY</t>
  </si>
  <si>
    <t>HOLIRLM261006962134</t>
  </si>
  <si>
    <t>MONAMORE EVIDENT</t>
  </si>
  <si>
    <t>MONAMORE EVON 3</t>
  </si>
  <si>
    <t>JERUSAM000111023978</t>
  </si>
  <si>
    <t>FOREST GLEN AVERY ACTION-ET</t>
  </si>
  <si>
    <t>BANCREST LESTER AVERY</t>
  </si>
  <si>
    <t>WOLF RIVER BERRETA ADDIE</t>
  </si>
  <si>
    <t>NMDFRAM005006422758</t>
  </si>
  <si>
    <t>VIRBAK</t>
  </si>
  <si>
    <t>ROSALIE</t>
  </si>
  <si>
    <t>INDISCUTE</t>
  </si>
  <si>
    <t>HOLUSAM000066133528</t>
  </si>
  <si>
    <t>DINOMI ALTATYSON</t>
  </si>
  <si>
    <t>DINOMI SHOTTLE TILLIE</t>
  </si>
  <si>
    <t>HOLIRLM151623492475</t>
  </si>
  <si>
    <t>BALLYBRIDE LONDON</t>
  </si>
  <si>
    <t>BALLYBRIDE VIOLA</t>
  </si>
  <si>
    <t>HOLUSAM000058591942</t>
  </si>
  <si>
    <t>LARCREST COMMANDER-ET</t>
  </si>
  <si>
    <t>LARCREST CALINDA-ET</t>
  </si>
  <si>
    <t>BSWDEUM000944387691</t>
  </si>
  <si>
    <t>JUKEBOX</t>
  </si>
  <si>
    <t>KALINA</t>
  </si>
  <si>
    <t>PLAYER</t>
  </si>
  <si>
    <t>HOLIRLM371525741495</t>
  </si>
  <si>
    <t>(IG) CREFOGUE SPIDER</t>
  </si>
  <si>
    <t>CREFOGUE B 1017</t>
  </si>
  <si>
    <t>HOLCANM000012283345</t>
  </si>
  <si>
    <t>VH PRASER</t>
  </si>
  <si>
    <t>GOLD-N-OAKS MVP ARIA2815-ET</t>
  </si>
  <si>
    <t>HOL840M003014258976</t>
  </si>
  <si>
    <t>S-S-I HALOGEN PREMIER-ET</t>
  </si>
  <si>
    <t>S-S-I MOGUL SUPER 7913-ET</t>
  </si>
  <si>
    <t>HOLFRAM005987005520</t>
  </si>
  <si>
    <t>CAFTAN</t>
  </si>
  <si>
    <t>SPRING-LANE VB BRILLIANT-ET</t>
  </si>
  <si>
    <t>HOLGBRM000000605869</t>
  </si>
  <si>
    <t>MAPLEHILL ALPHA ET</t>
  </si>
  <si>
    <t>CRADENHILL MATT DALLAS</t>
  </si>
  <si>
    <t>HOLNLDM000174219345</t>
  </si>
  <si>
    <t>EASTLAND GUN</t>
  </si>
  <si>
    <t>HOLDEUM001012261613</t>
  </si>
  <si>
    <t>UBBO</t>
  </si>
  <si>
    <t>PETRA</t>
  </si>
  <si>
    <t>HOLUSAM000002292218</t>
  </si>
  <si>
    <t>B-Y-U MANDEL BOMBAY-ET</t>
  </si>
  <si>
    <t>B-Y-U GLOW BRIGITTE</t>
  </si>
  <si>
    <t>HOLGBRM000ZZY008813</t>
  </si>
  <si>
    <t>LAURELSBAY LOTUS</t>
  </si>
  <si>
    <t>FLAYESTAR</t>
  </si>
  <si>
    <t>JERNZLM000000094451</t>
  </si>
  <si>
    <t>GLOAMING PERCY BETA SJ3</t>
  </si>
  <si>
    <t>HANNS PERCY</t>
  </si>
  <si>
    <t>HOLFRAM005994022699</t>
  </si>
  <si>
    <t>HOLFRAM003586049301</t>
  </si>
  <si>
    <t>BERLIOZ</t>
  </si>
  <si>
    <t>HOLUSAM000002271665</t>
  </si>
  <si>
    <t>LADYS-MANOR EL TEMPTOR-ET</t>
  </si>
  <si>
    <t>LADYS-MANOR TEMPTRESS AM-ET</t>
  </si>
  <si>
    <t>HOLUSAM000002264631</t>
  </si>
  <si>
    <t>ART-ACRES CLEITUS TEX B</t>
  </si>
  <si>
    <t>HOLNLDM000178602929</t>
  </si>
  <si>
    <t>HOLSTIENS ELITE</t>
  </si>
  <si>
    <t>AQUILA MASCOT EVIE ET</t>
  </si>
  <si>
    <t>HOLGBRM000000535992</t>
  </si>
  <si>
    <t>CREVA MIDNIGHT</t>
  </si>
  <si>
    <t>CREVA MARY</t>
  </si>
  <si>
    <t>KILBANIVANE STARLITE MONTY</t>
  </si>
  <si>
    <t>HOLNLDM000792173140</t>
  </si>
  <si>
    <t>DELTA ARROW</t>
  </si>
  <si>
    <t>ETAZON COBALT</t>
  </si>
  <si>
    <t>MASSAC TL</t>
  </si>
  <si>
    <t>HOLGBRM000000527869</t>
  </si>
  <si>
    <t>AVONDALE GUARDSMAN ET</t>
  </si>
  <si>
    <t>AVONDALE BARON MONOGRAM</t>
  </si>
  <si>
    <t>HOLUSAM000002300873</t>
  </si>
  <si>
    <t>REGANCREST EMORY DERRY ET</t>
  </si>
  <si>
    <t>SNOW-N DENISES DELLIA</t>
  </si>
  <si>
    <t>HOLCANM000000391790</t>
  </si>
  <si>
    <t>PEARTOME JACKPOT ET</t>
  </si>
  <si>
    <t>PEARTOME THUNDER JOY</t>
  </si>
  <si>
    <t>MARIES THUNDER-TWIN</t>
  </si>
  <si>
    <t>HOLUSAM000002089381</t>
  </si>
  <si>
    <t>HOLUSAM000002009256</t>
  </si>
  <si>
    <t>LOGANWAY NED BOY BELLE BANG ET</t>
  </si>
  <si>
    <t>LOGANWAY GLENDELL BELLE BON</t>
  </si>
  <si>
    <t>HOLGBRM000000541597</t>
  </si>
  <si>
    <t>MILKBOARD SPIPPER ET</t>
  </si>
  <si>
    <t>GREETJE</t>
  </si>
  <si>
    <t>HOLITAM000905017214</t>
  </si>
  <si>
    <t>AQUILA TRADITION TURBO</t>
  </si>
  <si>
    <t>AQUILA VALIANT QUANTITA</t>
  </si>
  <si>
    <t>HOLNLDM000318340889</t>
  </si>
  <si>
    <t>DELTA PONT KOLORIET</t>
  </si>
  <si>
    <t>DE-KA-ACRES SEXATION SASSAFRAS</t>
  </si>
  <si>
    <t>DFRNLDM000316416342</t>
  </si>
  <si>
    <t>FRANS Y 449</t>
  </si>
  <si>
    <t>BEITSKE 145</t>
  </si>
  <si>
    <t>HOLNLDM000178154381</t>
  </si>
  <si>
    <t>SLAGDYKSTER BERGAMO</t>
  </si>
  <si>
    <t>BELLMAN ELLA</t>
  </si>
  <si>
    <t>HOLGBRM000000586258</t>
  </si>
  <si>
    <t>CRADENHILL DEMO ET</t>
  </si>
  <si>
    <t>HOLUSAM000017226843</t>
  </si>
  <si>
    <t>MCCLOE-POND MOUNTAIN TRIS</t>
  </si>
  <si>
    <t>HOLNLDM000164047729</t>
  </si>
  <si>
    <t>VEENHUIZER MICK</t>
  </si>
  <si>
    <t>PATRICKORCHARD LABAN ABNER</t>
  </si>
  <si>
    <t>JUNGE LUKE SATIN ET</t>
  </si>
  <si>
    <t>HOLNLDM000164318074</t>
  </si>
  <si>
    <t>SWEETY MOUNTAIN</t>
  </si>
  <si>
    <t>CONANT SWEETY</t>
  </si>
  <si>
    <t>HOLNLDM000160124910</t>
  </si>
  <si>
    <t>TONIC JOKER</t>
  </si>
  <si>
    <t>MASCOT JOLIE</t>
  </si>
  <si>
    <t>HOLNLDM000835202929</t>
  </si>
  <si>
    <t>BROEKS JOMAN</t>
  </si>
  <si>
    <t>JUNIPER ROTATE JOCELYN ET</t>
  </si>
  <si>
    <t>HOLUSAM000132549585</t>
  </si>
  <si>
    <t>OCEAN VIEW SEXTET</t>
  </si>
  <si>
    <t>OCEAN-VIEW LINDY SHEEN</t>
  </si>
  <si>
    <t>HOLGBRM000000538015</t>
  </si>
  <si>
    <t>ARDERNE SILVER BEAT ET</t>
  </si>
  <si>
    <t>VALLUMFARM BEATEXUS 11 ET</t>
  </si>
  <si>
    <t>HOLNLDM000197861905</t>
  </si>
  <si>
    <t>JUST DO SAND PATIENCE</t>
  </si>
  <si>
    <t>JUSTDOIT LUKE PATIENCE</t>
  </si>
  <si>
    <t>HOLUSAM000121289180</t>
  </si>
  <si>
    <t>WADEL FORMATION JACKSON</t>
  </si>
  <si>
    <t>WA-DEL CELSIUS JILL-ET</t>
  </si>
  <si>
    <t>HOLGBRM000000003588</t>
  </si>
  <si>
    <t>SMIDDIEHILL SHEIKH ET</t>
  </si>
  <si>
    <t>MEADOW BRIDGE SHANON</t>
  </si>
  <si>
    <t>HOLFRAM006288018133</t>
  </si>
  <si>
    <t>DAGARIS</t>
  </si>
  <si>
    <t>OCEAN-VIEW DIXIECRAT</t>
  </si>
  <si>
    <t>YARSONS APOLLO HAVEN AMBER ET</t>
  </si>
  <si>
    <t>JERGBRM000000053939</t>
  </si>
  <si>
    <t>COTSWOLD BROOK</t>
  </si>
  <si>
    <t>COTSWOLD LESTERS GIG</t>
  </si>
  <si>
    <t>HOLNZLM000000501042</t>
  </si>
  <si>
    <t>AM</t>
  </si>
  <si>
    <t>WILLIAMS LORD NORMAN</t>
  </si>
  <si>
    <t>MONFRAM008544926379</t>
  </si>
  <si>
    <t>JAZZELLA</t>
  </si>
  <si>
    <t>HOLAUSM000H01140730</t>
  </si>
  <si>
    <t>WINDORLEE DONOR TYCOON</t>
  </si>
  <si>
    <t>ABERFELDIE BRABANT TOSSETTE-ET</t>
  </si>
  <si>
    <t>JERUSAM000112012496</t>
  </si>
  <si>
    <t>WOODSTOCK LEXINGTON ET</t>
  </si>
  <si>
    <t>SCHULTZ BROOK HALLMARK</t>
  </si>
  <si>
    <t>WOODSTOCK ALF LESLIE</t>
  </si>
  <si>
    <t>HOLUSAM000134774688</t>
  </si>
  <si>
    <t>KED MERCHANT MICKEY</t>
  </si>
  <si>
    <t>MCCLOE-POND BW MINNI ET</t>
  </si>
  <si>
    <t>HOLUSAM000002203706</t>
  </si>
  <si>
    <t>JLG GRANDSLAM</t>
  </si>
  <si>
    <t>SLEEPYHOLLOW MK GREAT</t>
  </si>
  <si>
    <t>HOLNZLM000000101113</t>
  </si>
  <si>
    <t>SRD LAKESIDE P D ANITA-ET</t>
  </si>
  <si>
    <t>MONFRAM003997030043</t>
  </si>
  <si>
    <t>NENNI JB</t>
  </si>
  <si>
    <t>JAPONAISE</t>
  </si>
  <si>
    <t>MONFRAM002589029356</t>
  </si>
  <si>
    <t>EWARDE</t>
  </si>
  <si>
    <t>COMTOISE</t>
  </si>
  <si>
    <t>LOYAL</t>
  </si>
  <si>
    <t>TOWPATH TELSTAR AYTOLA ET</t>
  </si>
  <si>
    <t>DIANA</t>
  </si>
  <si>
    <t>TARGET</t>
  </si>
  <si>
    <t>HOLNLDM000143254005</t>
  </si>
  <si>
    <t>BETJE 50</t>
  </si>
  <si>
    <t>HOLGBRM000000614485</t>
  </si>
  <si>
    <t>NETHERSIDE DYNAMO</t>
  </si>
  <si>
    <t>COGENT CORKY DEANNE</t>
  </si>
  <si>
    <t>RDCGBRM000006180648</t>
  </si>
  <si>
    <t>STAMFORD TRIGGER</t>
  </si>
  <si>
    <t>MONFRAM000198018523</t>
  </si>
  <si>
    <t>OYAMA</t>
  </si>
  <si>
    <t>LAURINE</t>
  </si>
  <si>
    <t>JERIRLM151306870954</t>
  </si>
  <si>
    <t>HILLCAP ZIK</t>
  </si>
  <si>
    <t>DANISH H LOBELIA</t>
  </si>
  <si>
    <t>IMITATOR</t>
  </si>
  <si>
    <t>HOLNZLM000000101141</t>
  </si>
  <si>
    <t>SMITHS HUGO JUMPSTART S1F</t>
  </si>
  <si>
    <t>SRB SMITHS BELVEDERE JAZZ</t>
  </si>
  <si>
    <t>HOLGBRM000000517425</t>
  </si>
  <si>
    <t>CLONSWORDS VISCADE</t>
  </si>
  <si>
    <t>CLONSWORDS VERA 19</t>
  </si>
  <si>
    <t>RIDGWARDINE BROKER</t>
  </si>
  <si>
    <t>HOLGBRM000000562462</t>
  </si>
  <si>
    <t>CRADENHILL BLACK STAG ET</t>
  </si>
  <si>
    <t>QUIETCOVE NED BOY FRESCA ET</t>
  </si>
  <si>
    <t>HOLGBRM000000588525</t>
  </si>
  <si>
    <t>SCOTCHILLS PATRIOT</t>
  </si>
  <si>
    <t>PAINLEY JABOT KIMO 16 ET</t>
  </si>
  <si>
    <t>HOLNLDM000180101801</t>
  </si>
  <si>
    <t>BELGIA LEONIDAS</t>
  </si>
  <si>
    <t>SESTAK ELISE 21</t>
  </si>
  <si>
    <t>HOLGBRM000000626800</t>
  </si>
  <si>
    <t>SUMERGO HUGO LLOYDS 3</t>
  </si>
  <si>
    <t>SUMERGO LLOYDS DELITE</t>
  </si>
  <si>
    <t>HOLIRLM351066160512</t>
  </si>
  <si>
    <t>CURRA KEET LAURENCE</t>
  </si>
  <si>
    <t>CURRA LOWRY EVE</t>
  </si>
  <si>
    <t>HOLNLDM000424333870</t>
  </si>
  <si>
    <t>HOLUSAM000060869180</t>
  </si>
  <si>
    <t>PALMCREST BLITZ BLADE-ET</t>
  </si>
  <si>
    <t>RGNCRST-RH DUR.BLISS-ET TV TL</t>
  </si>
  <si>
    <t>HOLIRLM141221321030</t>
  </si>
  <si>
    <t>(IG) DONEEN MARLEEN MASCO</t>
  </si>
  <si>
    <t>DONEEN MARLEEN 32</t>
  </si>
  <si>
    <t>HOLNLDM000394422783</t>
  </si>
  <si>
    <t>COGENT RETINUE RED</t>
  </si>
  <si>
    <t>STELBRO RENITA RANGER RED</t>
  </si>
  <si>
    <t>JERNZLM000000097507</t>
  </si>
  <si>
    <t>GR WILLIAMS BRYANT</t>
  </si>
  <si>
    <t>CHEERS ADS JOY SJ3</t>
  </si>
  <si>
    <t>HOLFRAM003575240044</t>
  </si>
  <si>
    <t>TELEMARK</t>
  </si>
  <si>
    <t>PETUNIA</t>
  </si>
  <si>
    <t>HOLIRLM211238190923</t>
  </si>
  <si>
    <t>CARRICKSHOCK GLEN ALBYN</t>
  </si>
  <si>
    <t>CARRICKSHOCK DOLLY 510</t>
  </si>
  <si>
    <t>HOLNZLM000000106512</t>
  </si>
  <si>
    <t>SRA HALLVILLE MISCHIVOUS</t>
  </si>
  <si>
    <t>HOLIRLM351168412826</t>
  </si>
  <si>
    <t>(IG) LAURAGH BREN</t>
  </si>
  <si>
    <t>JERCANM000008422994</t>
  </si>
  <si>
    <t>BRIDON REMAKE COMERICA</t>
  </si>
  <si>
    <t>JASPER RENAISSANCES EVENING</t>
  </si>
  <si>
    <t>HOLLYLANE RENAISSANCE CJCC</t>
  </si>
  <si>
    <t>HOLFRAM004240917397</t>
  </si>
  <si>
    <t>VAUCLUSE</t>
  </si>
  <si>
    <t>TAIGA</t>
  </si>
  <si>
    <t>HOLGBRM000000541598</t>
  </si>
  <si>
    <t>MILKBOARD CLEITUS</t>
  </si>
  <si>
    <t>ADDA</t>
  </si>
  <si>
    <t>PACLAMAR ASTRONAUT</t>
  </si>
  <si>
    <t>JERIRLM191177240565</t>
  </si>
  <si>
    <t>DYSERT TOM</t>
  </si>
  <si>
    <t>HILLCAP KIT KAT 3</t>
  </si>
  <si>
    <t>VALLEYSTREAM G GENERAL CJCC</t>
  </si>
  <si>
    <t>HOLUSAM000137002991</t>
  </si>
  <si>
    <t>LADYS-MANOR RUBY D SHOUT-ET</t>
  </si>
  <si>
    <t>HOLUSAM000062030422</t>
  </si>
  <si>
    <t>KINGS-RANSOM DOVER-ET</t>
  </si>
  <si>
    <t>KINGS-RANSOM DB DIGITAL-ET</t>
  </si>
  <si>
    <t>HOLCANM000103412696</t>
  </si>
  <si>
    <t>DELABERGE LURECK</t>
  </si>
  <si>
    <t>DELABERGE DURHAM LUCIOLE</t>
  </si>
  <si>
    <t>HOLNZLM000000509072</t>
  </si>
  <si>
    <t>SHALLOCHS SENSATION</t>
  </si>
  <si>
    <t>DAM OF SHALLOCH SENSATION</t>
  </si>
  <si>
    <t>LAKESIDE S D MEADOWS</t>
  </si>
  <si>
    <t>JERDNKM000000302730</t>
  </si>
  <si>
    <t>KLAABY LEMVIG MILLE</t>
  </si>
  <si>
    <t>HOLUSAM000065919402</t>
  </si>
  <si>
    <t>LADINODALE AARON-RED-ET</t>
  </si>
  <si>
    <t>LADINODALE ANASTASIA-RED-ET</t>
  </si>
  <si>
    <t>STARSTRUCK J PARADOX-RED-ET</t>
  </si>
  <si>
    <t>HOLIRLM331416280778</t>
  </si>
  <si>
    <t>ROADMILL PACIFIC</t>
  </si>
  <si>
    <t>ATHOL ENIGMA</t>
  </si>
  <si>
    <t>ROADMILL MERCI PRINCESS</t>
  </si>
  <si>
    <t>MONFRAM002541913758</t>
  </si>
  <si>
    <t>DISCOBOLE</t>
  </si>
  <si>
    <t>RICOCHET</t>
  </si>
  <si>
    <t>BABETTE</t>
  </si>
  <si>
    <t>HOLGBRM000000639516</t>
  </si>
  <si>
    <t>WILLSBRO RED RAZZLE</t>
  </si>
  <si>
    <t>ROCKSET FABER RACHEL PL</t>
  </si>
  <si>
    <t>HOLGBRM000000629506</t>
  </si>
  <si>
    <t>CURTISMILL MR SAM PI ET</t>
  </si>
  <si>
    <t>HAYLEYS ODYSSEY 2 PI</t>
  </si>
  <si>
    <t>JERGBRM000000055179</t>
  </si>
  <si>
    <t>POTTERSWALLS GLAMS COMERICA</t>
  </si>
  <si>
    <t>POTTERSWALLS PARAMOUNT GLAMOUR</t>
  </si>
  <si>
    <t>RDCGBRM000006181461</t>
  </si>
  <si>
    <t>GREEN LANE WORLD LEADER</t>
  </si>
  <si>
    <t>GREEN LANE WREN 2 ET</t>
  </si>
  <si>
    <t>3-907 T-BRUNO SRB</t>
  </si>
  <si>
    <t>HOLNZLM000000110035</t>
  </si>
  <si>
    <t>GORDONS PF MILLENIUM S1F</t>
  </si>
  <si>
    <t>MILLINIUMS MUM</t>
  </si>
  <si>
    <t>HOLUSAM000002093001</t>
  </si>
  <si>
    <t>A CAERNARVON JOGGER ET</t>
  </si>
  <si>
    <t>COLDSPRINGS LEVI</t>
  </si>
  <si>
    <t>BESHORE ROTATE BUPPLYNN JODY</t>
  </si>
  <si>
    <t>BSWDEUM000936791480</t>
  </si>
  <si>
    <t>JULENG</t>
  </si>
  <si>
    <t>JUBLEND</t>
  </si>
  <si>
    <t>HERIETT</t>
  </si>
  <si>
    <t>P.F.B. EMORY PLAYBOY ET</t>
  </si>
  <si>
    <t>HOLIRLM371405790646</t>
  </si>
  <si>
    <t>(IG) MONASOOTHA NINJA</t>
  </si>
  <si>
    <t>MONASOOTHA NHS NINA</t>
  </si>
  <si>
    <t>HOLUSAM000066636663</t>
  </si>
  <si>
    <t>DE-SU 527 SPUR-ET</t>
  </si>
  <si>
    <t>DE-SU 7012-ET</t>
  </si>
  <si>
    <t>HOLGBRM322325202492</t>
  </si>
  <si>
    <t>LAKEMEAD DAN</t>
  </si>
  <si>
    <t>LAKEMEAD BARBARA 110</t>
  </si>
  <si>
    <t>HOLIRLM201334761268</t>
  </si>
  <si>
    <t>MAPLERIDGE ATLANTIC RED ET</t>
  </si>
  <si>
    <t>HOLIRLM151289140939</t>
  </si>
  <si>
    <t>RADNEY DESMUNT 14</t>
  </si>
  <si>
    <t>DESMUNT</t>
  </si>
  <si>
    <t>RADNEY NHS ODETTA</t>
  </si>
  <si>
    <t>HOLIRLM331061791017</t>
  </si>
  <si>
    <t>(IG) CURNAMULT SEANAD</t>
  </si>
  <si>
    <t>CURNAMULT OJI SUE 750</t>
  </si>
  <si>
    <t>HOLUSAM000141440624</t>
  </si>
  <si>
    <t>MR AFTERSHOCK DECLAN</t>
  </si>
  <si>
    <t>SCIENTIFIC GOLD DANA RAE-ET</t>
  </si>
  <si>
    <t>HOLUSAM000071494657</t>
  </si>
  <si>
    <t>BROOKVIEW-E MOVIESTAR-ET</t>
  </si>
  <si>
    <t>HOLNZLM000000111073</t>
  </si>
  <si>
    <t>KAMAHI AB RUMBLE S2F</t>
  </si>
  <si>
    <t>ARKAN TF BUCCANEER S1F</t>
  </si>
  <si>
    <t>HOLIRLM151055251018</t>
  </si>
  <si>
    <t>GARRYMARTIN CRONIC</t>
  </si>
  <si>
    <t>GARRYMARTIN CROCUS 795</t>
  </si>
  <si>
    <t>HOLIRLM341365621426</t>
  </si>
  <si>
    <t>IMLEACH LUCKY GLOSS</t>
  </si>
  <si>
    <t>IMLEACH GLOSS 916</t>
  </si>
  <si>
    <t>HOLUSAM000071494672</t>
  </si>
  <si>
    <t>EDG DEMAN-ET</t>
  </si>
  <si>
    <t>CO-VISTA ATWOOD DESIRE-ET</t>
  </si>
  <si>
    <t>HOLIRLM151548551447</t>
  </si>
  <si>
    <t>(IG) COOLMOHAN GENNAUTICAL</t>
  </si>
  <si>
    <t>BALLYNAGRANA NAUTICAL 19</t>
  </si>
  <si>
    <t>COOLMOHAN GENIE IMAGE 1</t>
  </si>
  <si>
    <t>HOLIRLM211180391923</t>
  </si>
  <si>
    <t>FIRODA MEINSE 2</t>
  </si>
  <si>
    <t>FIRODA SVD SNOW</t>
  </si>
  <si>
    <t>DOVEA BASS</t>
  </si>
  <si>
    <t>HOLIRLM371014071657</t>
  </si>
  <si>
    <t>BATTLESTOWN LHZ NOEL</t>
  </si>
  <si>
    <t>BATTLESTOWN LDU BAMBI</t>
  </si>
  <si>
    <t>HOLUSAM000136057831</t>
  </si>
  <si>
    <t>LADYS-MANOR MARCELLUS-ET</t>
  </si>
  <si>
    <t>LADYS-MANOR RUBY MARCIE-ET</t>
  </si>
  <si>
    <t>HOLIRLM161971581780</t>
  </si>
  <si>
    <t>(IG) WATERWHEEL TAURUS</t>
  </si>
  <si>
    <t>(IG) DERRINSALLOW  812 ARTHUR</t>
  </si>
  <si>
    <t>WATERWHEEL BWZ NAOISE 228</t>
  </si>
  <si>
    <t>JERIRLM151549247279</t>
  </si>
  <si>
    <t>MOOREPARK DUBLIN</t>
  </si>
  <si>
    <t>HOLUSAM000070626040</t>
  </si>
  <si>
    <t>DE-SU MG DAVINCI 11288-ET</t>
  </si>
  <si>
    <t>DE-SU 199-ET</t>
  </si>
  <si>
    <t>DE-SU WATSON</t>
  </si>
  <si>
    <t>HOLIRLM371221990892</t>
  </si>
  <si>
    <t>(IG) CURTIS ADDI</t>
  </si>
  <si>
    <t>CURTIS UYC ADELINE 292</t>
  </si>
  <si>
    <t>MRYNLDM000446128630</t>
  </si>
  <si>
    <t>PRISMA</t>
  </si>
  <si>
    <t>DANIEL VD VINKENHOF</t>
  </si>
  <si>
    <t>JANA 216</t>
  </si>
  <si>
    <t>HOLUSAM000071640112</t>
  </si>
  <si>
    <t>L-L-M-DAIRY PRESIDENT-ET</t>
  </si>
  <si>
    <t>L-L-M-DAIRY MILLION PRIZE</t>
  </si>
  <si>
    <t>HOLIRLM141979151077</t>
  </si>
  <si>
    <t>(IG) CLOHANE VANDIKE</t>
  </si>
  <si>
    <t>CLOHANE BMU MISSY 389</t>
  </si>
  <si>
    <t>BOARDMANS BLUEPRINT-ET</t>
  </si>
  <si>
    <t>HOLIRLM211299680968</t>
  </si>
  <si>
    <t>STONECARTHY SCAIRT</t>
  </si>
  <si>
    <t>HOLUSAM000071637328</t>
  </si>
  <si>
    <t>RICHMOND-FD EL BOMBERO-ET</t>
  </si>
  <si>
    <t>RICHMOND-FD S BARBARA-ET</t>
  </si>
  <si>
    <t>HOLCANM000107567478</t>
  </si>
  <si>
    <t>CROTEAU LESPERRON URBAIN</t>
  </si>
  <si>
    <t>REGAN-ALH DOMAIN DAYA-ET</t>
  </si>
  <si>
    <t>HOLIRLM151481061447</t>
  </si>
  <si>
    <t>(IG) OLCASTLETOWN RONALDO</t>
  </si>
  <si>
    <t>OLCASTLETOWN YVONNE RONALDO</t>
  </si>
  <si>
    <t>HOLIRLM221159341226</t>
  </si>
  <si>
    <t>(IG) COOLKERRY GREENHILLS MATT</t>
  </si>
  <si>
    <t>GREENHILLS LISSANE TARA</t>
  </si>
  <si>
    <t>HOLCANM000108798853</t>
  </si>
  <si>
    <t>BOLDI V ARMOUR</t>
  </si>
  <si>
    <t>VELTHUIS SUPERSONIC ALYSSA</t>
  </si>
  <si>
    <t>HOLIRLM216751741272</t>
  </si>
  <si>
    <t>(IG) SILVERFOREST KATMAN</t>
  </si>
  <si>
    <t>SILVERFOREST GZY KATE 6</t>
  </si>
  <si>
    <t>HOLIRLM151799171343</t>
  </si>
  <si>
    <t>KILTESKIN ATLAS</t>
  </si>
  <si>
    <t>KILTESKIN BWZ AISLING 614</t>
  </si>
  <si>
    <t>HOLCANM000012371165</t>
  </si>
  <si>
    <t>WESTCOAST YAMASKA</t>
  </si>
  <si>
    <t>SANDY-VALLEY AFTERBURNER-ET</t>
  </si>
  <si>
    <t>MORNINGVIEW YODER 4342-ET</t>
  </si>
  <si>
    <t>HOLIRLM261106061209</t>
  </si>
  <si>
    <t>(IG) GRANGEBRIDGE DUNKIRK</t>
  </si>
  <si>
    <t>(IG) MODELIGO LUKE</t>
  </si>
  <si>
    <t>GRANGEBRIDGE TULIP 900</t>
  </si>
  <si>
    <t>HOLIRLM151941670843</t>
  </si>
  <si>
    <t>(IG) NEXTGEN LEROY</t>
  </si>
  <si>
    <t>(IG) BARTLEMY ANDREW</t>
  </si>
  <si>
    <t>RAMP STARLITE 11</t>
  </si>
  <si>
    <t>HOLIRLM213382913030</t>
  </si>
  <si>
    <t>LISTANNA GEORGIE</t>
  </si>
  <si>
    <t>LISTANNA WWA RENA</t>
  </si>
  <si>
    <t>HOLIRLM224229532145</t>
  </si>
  <si>
    <t>KILLALOUGH CANDY CANE</t>
  </si>
  <si>
    <t>KILLALOUGH ZCK TINA</t>
  </si>
  <si>
    <t>CASTLELAKE I-CON</t>
  </si>
  <si>
    <t>HOLUSAM000072353457</t>
  </si>
  <si>
    <t>RI-VAL-RE RAGER-RED-ET</t>
  </si>
  <si>
    <t>PINE-TREE RELIEF P 4954</t>
  </si>
  <si>
    <t>RI-VAL-RE OBSRVR SALSA-ET</t>
  </si>
  <si>
    <t>HOL840M003131666411</t>
  </si>
  <si>
    <t>CYCLE MCGUCCI JORDY-RED</t>
  </si>
  <si>
    <t>MR APPLES MCGUCCI-ET</t>
  </si>
  <si>
    <t>BRYERSQUART GCHIP JAIL-P-ET</t>
  </si>
  <si>
    <t>HOLIRLM151569241206</t>
  </si>
  <si>
    <t>CASTLEBLAGH LEGACY</t>
  </si>
  <si>
    <t>CASTLEBLAGH SUNNY</t>
  </si>
  <si>
    <t>HOLCANM000109538276</t>
  </si>
  <si>
    <t>SWISSBEC TABASCO</t>
  </si>
  <si>
    <t>LADYS-MANOR OCTOBERFEST-ET</t>
  </si>
  <si>
    <t>LARCREST-I MOGUL TIGNANELA</t>
  </si>
  <si>
    <t>MONFRAM003932790622</t>
  </si>
  <si>
    <t>FABLIO JB</t>
  </si>
  <si>
    <t>BRILANTE</t>
  </si>
  <si>
    <t>HOLNZLM000000112037</t>
  </si>
  <si>
    <t>WEARNES FE TE POI S3F</t>
  </si>
  <si>
    <t>SRC LAKESIDE DG MAGIC</t>
  </si>
  <si>
    <t>HOLGBRM104057203652</t>
  </si>
  <si>
    <t>DENMIRE OVERSIDE MACARENA</t>
  </si>
  <si>
    <t>DENMIRE MANOMAN MARIA</t>
  </si>
  <si>
    <t>HOLUSAM000002238749</t>
  </si>
  <si>
    <t>PENCOL DATABASE</t>
  </si>
  <si>
    <t>PENCOL R DANCER</t>
  </si>
  <si>
    <t>PENCOL MASCOT DREAMER</t>
  </si>
  <si>
    <t>HOLNLDM000194391803</t>
  </si>
  <si>
    <t>ROLAND 157V TEKENBURG</t>
  </si>
  <si>
    <t>HOLUSAM000002148479</t>
  </si>
  <si>
    <t>RUSSELLDALE SLADE</t>
  </si>
  <si>
    <t>RUSSELLDALE ROTATE SPARKLE</t>
  </si>
  <si>
    <t>HOLIRLM141654262744</t>
  </si>
  <si>
    <t>(IG) KILLINGLEY XB BERTIE</t>
  </si>
  <si>
    <t>KILLINGLEY AMBIENCE BET</t>
  </si>
  <si>
    <t>HOLIRLM151700860503</t>
  </si>
  <si>
    <t>BALLINTOSIG PLAYBOY</t>
  </si>
  <si>
    <t>BALLINTOSIG GMI ANNIE 296</t>
  </si>
  <si>
    <t>HOLIRLM241434511033</t>
  </si>
  <si>
    <t>GORTFADDA CARBON 4</t>
  </si>
  <si>
    <t>F14</t>
  </si>
  <si>
    <t>GORTFADDA MOLLY 87</t>
  </si>
  <si>
    <t>HOLNLDM000871618148</t>
  </si>
  <si>
    <t>BEEZE MAIKMAN</t>
  </si>
  <si>
    <t>BEEZE ROZA 48</t>
  </si>
  <si>
    <t>SURVIVOR</t>
  </si>
  <si>
    <t>JERIRLM151941660784</t>
  </si>
  <si>
    <t>NEXTGEN KAMPALA ET</t>
  </si>
  <si>
    <t>KELLAND KC SPEEDWAY</t>
  </si>
  <si>
    <t>BIRCHWOOD JINGO 13-53 S0J</t>
  </si>
  <si>
    <t>TE ARANGA PCG JINGO</t>
  </si>
  <si>
    <t>HOLIRLM141894371549</t>
  </si>
  <si>
    <t>CLOCHRUA RANDY LEVI</t>
  </si>
  <si>
    <t>CLOCHRUA RUU ALICE 798</t>
  </si>
  <si>
    <t>MONFRAM002544424209</t>
  </si>
  <si>
    <t>LONESTAR</t>
  </si>
  <si>
    <t>ITHOS</t>
  </si>
  <si>
    <t>INQUIETE</t>
  </si>
  <si>
    <t>MONFRAM000189009682</t>
  </si>
  <si>
    <t>ERGOT</t>
  </si>
  <si>
    <t>AXELLE</t>
  </si>
  <si>
    <t>NEBULEUX</t>
  </si>
  <si>
    <t>HOLGBRM000000553873</t>
  </si>
  <si>
    <t>JOYLAN ROYAL FLUSH</t>
  </si>
  <si>
    <t>BOND HAVEN DIXIE ROX ET</t>
  </si>
  <si>
    <t>HOLGBRM000000587472</t>
  </si>
  <si>
    <t>BALINVRENSIG HOLACASH ET</t>
  </si>
  <si>
    <t>HOLITAM003804028864</t>
  </si>
  <si>
    <t>ALL.NURE GOODTIME TL CV G.M.**</t>
  </si>
  <si>
    <t>380 ETAZON HAPPY-ET</t>
  </si>
  <si>
    <t>HOLNLDM000125735366</t>
  </si>
  <si>
    <t>DIJKHUIZEN LAM</t>
  </si>
  <si>
    <t>HS MASCOT LAMP</t>
  </si>
  <si>
    <t>HOLFRAM004496050025</t>
  </si>
  <si>
    <t>PROGRESSIVE CELUSSY</t>
  </si>
  <si>
    <t>HOLNLDM000193663112</t>
  </si>
  <si>
    <t>GALTEE DUSTER</t>
  </si>
  <si>
    <t>ROCKY-VU T EBONY TRESA-ET</t>
  </si>
  <si>
    <t>HOLNLDM000858190825</t>
  </si>
  <si>
    <t>DE WESTERRODE OMEGA</t>
  </si>
  <si>
    <t>HOLCANM000006130765</t>
  </si>
  <si>
    <t>MEADOW BRIDGE MARKEM</t>
  </si>
  <si>
    <t>MEADOW BRIDGE AERO MARCIE ET</t>
  </si>
  <si>
    <t>HOLNLDM000276041275</t>
  </si>
  <si>
    <t>DELTA IMPROVER</t>
  </si>
  <si>
    <t>DELTA IMOLA</t>
  </si>
  <si>
    <t>HOLNLDM000322551666</t>
  </si>
  <si>
    <t>WOUDHOEVE 991</t>
  </si>
  <si>
    <t>PIETJE 641</t>
  </si>
  <si>
    <t>MRYNLDM000327647984</t>
  </si>
  <si>
    <t>GOVERT</t>
  </si>
  <si>
    <t>JOLANDA 94</t>
  </si>
  <si>
    <t>AJAX 115</t>
  </si>
  <si>
    <t>JERNZLM000000099506</t>
  </si>
  <si>
    <t>LOSTAHILL FOREVER BLAKE</t>
  </si>
  <si>
    <t>CRESCENT BERRETTA BETH</t>
  </si>
  <si>
    <t>JERNZLM000000306051</t>
  </si>
  <si>
    <t>GREENMILE OM HAWK ET S3J</t>
  </si>
  <si>
    <t>GREENMILE GSSF HILDA S2J</t>
  </si>
  <si>
    <t>HOLIRLM141728810491</t>
  </si>
  <si>
    <t>KILMACOW NOEL</t>
  </si>
  <si>
    <t>GALTEE NOEL</t>
  </si>
  <si>
    <t>KILMACOW MOUNTBEECH ANNETTE</t>
  </si>
  <si>
    <t>JERNZLM000000300534</t>
  </si>
  <si>
    <t>KAIPARA MOONSHIRE SJ2</t>
  </si>
  <si>
    <t>HOLIRLM151111860552</t>
  </si>
  <si>
    <t>MILLSTREET RUUD 12</t>
  </si>
  <si>
    <t>MILLSTREET DESIREE 122</t>
  </si>
  <si>
    <t>HOLGBRM191181770375</t>
  </si>
  <si>
    <t>LEAGH DEANNA BRETT ET</t>
  </si>
  <si>
    <t>PEN-COL COMMOTION DEANNA</t>
  </si>
  <si>
    <t>HOLIRLM151051180484</t>
  </si>
  <si>
    <t>CLONARD SJOERD</t>
  </si>
  <si>
    <t>RAHEENAS GMI ALMUT 2</t>
  </si>
  <si>
    <t>HOLNZLM000000101114</t>
  </si>
  <si>
    <t>OSULLIVANS WIZARD</t>
  </si>
  <si>
    <t>SRD OSULLIVANS WINIFRED</t>
  </si>
  <si>
    <t>HOLIRLM371360710826</t>
  </si>
  <si>
    <t>TORDUFF SPOCK 1</t>
  </si>
  <si>
    <t>TORDUFF DESIGN ORLA NHS</t>
  </si>
  <si>
    <t>HOLIRLM141428910736</t>
  </si>
  <si>
    <t>AGHAWADDA EMANUEL</t>
  </si>
  <si>
    <t>AGHAWADDA ELLIE 209</t>
  </si>
  <si>
    <t>HOLGBRM000000615502</t>
  </si>
  <si>
    <t>OVERSIDE DICTATOR ET</t>
  </si>
  <si>
    <t>HOLCANM000000400491</t>
  </si>
  <si>
    <t>HANOVERHILL MAGNUM</t>
  </si>
  <si>
    <t>HOLIRLM272004790787</t>
  </si>
  <si>
    <t>LYNBROOK RAMPART</t>
  </si>
  <si>
    <t>LYNBROOK STADEL RAVENA</t>
  </si>
  <si>
    <t>HOLIRLM331015840794</t>
  </si>
  <si>
    <t>(IG)DERRINSALLOW CAIT 794 ADAM</t>
  </si>
  <si>
    <t>LOOSTER</t>
  </si>
  <si>
    <t>DERRINSALLOW BFU CAIT 498</t>
  </si>
  <si>
    <t>JERIRLM151316330566</t>
  </si>
  <si>
    <t>KINTEERA SAM</t>
  </si>
  <si>
    <t>DANUM VIVIEN</t>
  </si>
  <si>
    <t>LEMVIG</t>
  </si>
  <si>
    <t>MRYNLDM000267343782</t>
  </si>
  <si>
    <t>HASELAN</t>
  </si>
  <si>
    <t>DIKKIE 48</t>
  </si>
  <si>
    <t>ALL ROUNDER</t>
  </si>
  <si>
    <t>HOLUSAM000135905690</t>
  </si>
  <si>
    <t>KAMPS-HOLLOW ARUDOLF-RED-ET</t>
  </si>
  <si>
    <t>CLOVER-MIST ALISHA-ET</t>
  </si>
  <si>
    <t>HOLNZLM000000108629</t>
  </si>
  <si>
    <t>ROTODALE F DENVER-ET S1F</t>
  </si>
  <si>
    <t>MONOWAI LARR DONNA-ET S2F</t>
  </si>
  <si>
    <t>ELLIOTTS LARRIKIN</t>
  </si>
  <si>
    <t>RDCNORM000000010278</t>
  </si>
  <si>
    <t>HAGA</t>
  </si>
  <si>
    <t>EMELIE</t>
  </si>
  <si>
    <t>RISTITIEN JOHDE</t>
  </si>
  <si>
    <t>HOLNZLM000000109504</t>
  </si>
  <si>
    <t>SRA MONOWAI BELV DAWN</t>
  </si>
  <si>
    <t>HOLUSAM000061083609</t>
  </si>
  <si>
    <t>KERNDT SNEEZY DERRY DREW</t>
  </si>
  <si>
    <t>HOLNZLM000000110008</t>
  </si>
  <si>
    <t>BAGWORTH MA KATAPULT</t>
  </si>
  <si>
    <t>BAGWORTH DAUN KAT</t>
  </si>
  <si>
    <t>HOLITAM020990123734</t>
  </si>
  <si>
    <t>ALL VEN TORRER TV TL TY</t>
  </si>
  <si>
    <t>STAZZANO IRON KISMET TV</t>
  </si>
  <si>
    <t>HOLCANM000011084216</t>
  </si>
  <si>
    <t>STANTONS ELDOR</t>
  </si>
  <si>
    <t>CROCKETT-ACRES ECHO-ET</t>
  </si>
  <si>
    <t>MONFRAM000103015562</t>
  </si>
  <si>
    <t>ULCOTO</t>
  </si>
  <si>
    <t>HOLIRLM191903380674</t>
  </si>
  <si>
    <t>(IG) DOONMANAGH FLT JACKO</t>
  </si>
  <si>
    <t>DOONMANAGH DEU CHERRY</t>
  </si>
  <si>
    <t>HOLUSAM000071753166</t>
  </si>
  <si>
    <t>CO-OP RB FREDDIE TINLEY-ET</t>
  </si>
  <si>
    <t>HOLNLDM000490775815</t>
  </si>
  <si>
    <t>PEELDIJKER BURNSTYN</t>
  </si>
  <si>
    <t>PEELDIJKER LIESJE 640</t>
  </si>
  <si>
    <t>HOLIRLM351312621533</t>
  </si>
  <si>
    <t>(IG) RHINCRUE SUPER DANO 12</t>
  </si>
  <si>
    <t>RHINCRUE FUCHIA 22</t>
  </si>
  <si>
    <t>HOLUSAM000071699265</t>
  </si>
  <si>
    <t>VIEUXSAULE FREDDIE FELICIA</t>
  </si>
  <si>
    <t>BSWDEUM000946663620</t>
  </si>
  <si>
    <t>VERDI</t>
  </si>
  <si>
    <t>VERSACE</t>
  </si>
  <si>
    <t>IDRO</t>
  </si>
  <si>
    <t>SUN-MADE ENSIGN PRONTO-ET</t>
  </si>
  <si>
    <t>JERCANM000105752959</t>
  </si>
  <si>
    <t>COMESTAR JDF BEAUTIFULL ET</t>
  </si>
  <si>
    <t>LENCREST FPRIZE BELLE</t>
  </si>
  <si>
    <t>BOVI-LACT FIRST PRIZE ET</t>
  </si>
  <si>
    <t>HOLCANM000011775998</t>
  </si>
  <si>
    <t>WALNUTLAWN SOLOMON</t>
  </si>
  <si>
    <t>HOLUSAM000072128215</t>
  </si>
  <si>
    <t>MR MOGUL DENVER 1426-ET</t>
  </si>
  <si>
    <t>MISS OCD ROBST DELICIOUS-ET</t>
  </si>
  <si>
    <t>JERNZLM000000312501</t>
  </si>
  <si>
    <t>ROMA MURMUR KINGPIN S3J</t>
  </si>
  <si>
    <t>ROMA MANHATTEN KATE 2 S3J</t>
  </si>
  <si>
    <t>RDCUSAM000065302787</t>
  </si>
  <si>
    <t>MAPLE-DELL BURDETTE DEMPSEY ET</t>
  </si>
  <si>
    <t>MAPLE-DELL TRIDENT DEE-ET</t>
  </si>
  <si>
    <t>HOL840M003137878481</t>
  </si>
  <si>
    <t>BOMAZ SKYWALKER-ET</t>
  </si>
  <si>
    <t>BOMAZ CABRIOLET 6769</t>
  </si>
  <si>
    <t>CO-OP ROBUST CABRIOLET-ET</t>
  </si>
  <si>
    <t>BRFGBRM200910101728</t>
  </si>
  <si>
    <t>KIRKBY MALVERN</t>
  </si>
  <si>
    <t>BLACKISLE BENLOYAL</t>
  </si>
  <si>
    <t>KIRKBY MONICA 20</t>
  </si>
  <si>
    <t>LANGLEY FRONTIER</t>
  </si>
  <si>
    <t>HOLCANM000012609177</t>
  </si>
  <si>
    <t>PROGENESIS MARIUS</t>
  </si>
  <si>
    <t>PEAK BOMBERO MAXIMA-ET</t>
  </si>
  <si>
    <t>HOLGBRM000000614063</t>
  </si>
  <si>
    <t>BARROWVALE TORELLO 31</t>
  </si>
  <si>
    <t>BARROWVALE DAMSEL 14</t>
  </si>
  <si>
    <t>HOLNZLM000000101140</t>
  </si>
  <si>
    <t>MACFARLANES DAYZEE</t>
  </si>
  <si>
    <t>HOLCANM000009408089</t>
  </si>
  <si>
    <t>QUALITY FABULOUS</t>
  </si>
  <si>
    <t>QUALITY B C FRANTISCO</t>
  </si>
  <si>
    <t>MONFRAM007120743395</t>
  </si>
  <si>
    <t>URBANISTE</t>
  </si>
  <si>
    <t>ROUGE</t>
  </si>
  <si>
    <t>HOLGBRM000000636351</t>
  </si>
  <si>
    <t>LAURELHILL CLASSIC</t>
  </si>
  <si>
    <t>LAURELHILL LAUDAN FAY</t>
  </si>
  <si>
    <t>HOLUSAM000071592960</t>
  </si>
  <si>
    <t>LADYS-MANOR GREGARIOUS-ET</t>
  </si>
  <si>
    <t>LADYS-MANOR GINGERSNAP-TW</t>
  </si>
  <si>
    <t>END-ROAD O-MAN BRONCO-ET</t>
  </si>
  <si>
    <t>HOLIRLM211056192652</t>
  </si>
  <si>
    <t>RAHEENARRAN MR POTTER</t>
  </si>
  <si>
    <t>RAHEENARRAN PDY DAIRINE</t>
  </si>
  <si>
    <t>BIG PIET ADEMA</t>
  </si>
  <si>
    <t>HOLGBRM000000601295</t>
  </si>
  <si>
    <t>FINDALE HIDDERWAY</t>
  </si>
  <si>
    <t>FINDALE STARBUCK PIA ET</t>
  </si>
  <si>
    <t>BRFGBRM000000535983</t>
  </si>
  <si>
    <t>WERNDDU PEGASUS</t>
  </si>
  <si>
    <t>WERNDDU LAVENDER 65</t>
  </si>
  <si>
    <t>HOLUSAM000002151007</t>
  </si>
  <si>
    <t>PAULOBRO PRODIGY</t>
  </si>
  <si>
    <t>JULUDI PAULO-BEO COLUMBIA 3662</t>
  </si>
  <si>
    <t>HOLNZLM000000099272</t>
  </si>
  <si>
    <t>BAGWORTH ELLISTON BELL-ET</t>
  </si>
  <si>
    <t>BAGWORTH TOLL BELL-ET</t>
  </si>
  <si>
    <t>DFRNLDM000364357866</t>
  </si>
  <si>
    <t>DIRK 3</t>
  </si>
  <si>
    <t>GARBO</t>
  </si>
  <si>
    <t>DJOKE 68</t>
  </si>
  <si>
    <t>FALKO 6</t>
  </si>
  <si>
    <t>RDCNORM000000005388</t>
  </si>
  <si>
    <t>5388 FLATJORD</t>
  </si>
  <si>
    <t>KVITSOKK</t>
  </si>
  <si>
    <t>HOLIRLM151011292253</t>
  </si>
  <si>
    <t>LISDUFF LEGACY</t>
  </si>
  <si>
    <t>LISDUFF LESLIE 58 ET</t>
  </si>
  <si>
    <t>HOLGBRM000000531301</t>
  </si>
  <si>
    <t>BRYNHYFRYD INDICATION ET</t>
  </si>
  <si>
    <t>NEWLANDS LEE IDELLA</t>
  </si>
  <si>
    <t>ALMERSON ROCKMAN LESTER</t>
  </si>
  <si>
    <t>MONFRAM002546301493</t>
  </si>
  <si>
    <t>ETERLOU</t>
  </si>
  <si>
    <t>BARBOTINE</t>
  </si>
  <si>
    <t>HOLIRLM121575191231</t>
  </si>
  <si>
    <t>(IG) DUNENA HIGHLIFE</t>
  </si>
  <si>
    <t>DUNENA LLO KYLIE</t>
  </si>
  <si>
    <t>BSWDEUM000938542953</t>
  </si>
  <si>
    <t>PROHUVO</t>
  </si>
  <si>
    <t>KIRI</t>
  </si>
  <si>
    <t>MONFRAM008564004008</t>
  </si>
  <si>
    <t>FENOUIL JB</t>
  </si>
  <si>
    <t>COUKY</t>
  </si>
  <si>
    <t>HOLCANM000108842547</t>
  </si>
  <si>
    <t>BOLDI ADMIRATION</t>
  </si>
  <si>
    <t>BOLDI V S G SUPERSONIC ALYSSA</t>
  </si>
  <si>
    <t>MONFRAM002533211537</t>
  </si>
  <si>
    <t>HARPER</t>
  </si>
  <si>
    <t>UNCHOIX</t>
  </si>
  <si>
    <t>SIR</t>
  </si>
  <si>
    <t>HOLIRLM218148111660</t>
  </si>
  <si>
    <t>BAWNAHOW RODNEY</t>
  </si>
  <si>
    <t>BAWNAHOW WILDROSE 5</t>
  </si>
  <si>
    <t>(IG) CACANODE HAROLD</t>
  </si>
  <si>
    <t>HOLIRLM214299461179</t>
  </si>
  <si>
    <t>(IG) DOONMANAGH SEVILLE</t>
  </si>
  <si>
    <t>DOONMANAGH FJM SNOWDROP 2</t>
  </si>
  <si>
    <t>HOLUSAM000002168167</t>
  </si>
  <si>
    <t>HILL-A-WAY ASTAR GRANITE-ET</t>
  </si>
  <si>
    <t>SHEY-LAND ROTATE GINGER-ET</t>
  </si>
  <si>
    <t>HOLNLDM000811488961</t>
  </si>
  <si>
    <t>ETAZON MONA</t>
  </si>
  <si>
    <t>DFRNLDM000174249520</t>
  </si>
  <si>
    <t>MARTIN 6</t>
  </si>
  <si>
    <t>K MARTHA 292</t>
  </si>
  <si>
    <t>KL SYNAEDA N 4</t>
  </si>
  <si>
    <t>HOLGBRM000000552462</t>
  </si>
  <si>
    <t>CRADENHILL VITAL ET</t>
  </si>
  <si>
    <t>ROLLNVIEW ANNA BELL</t>
  </si>
  <si>
    <t>HOLNLDM000167177726</t>
  </si>
  <si>
    <t>DOVEA ALEX 187</t>
  </si>
  <si>
    <t>FROUKJE 26</t>
  </si>
  <si>
    <t>HOLUSAM000002017277</t>
  </si>
  <si>
    <t>CONANTACRES MARK DAVID</t>
  </si>
  <si>
    <t>HOLAUSM000A00009209</t>
  </si>
  <si>
    <t>PEN-COL MASCOT DREAM-ET</t>
  </si>
  <si>
    <t>HOLCANM000000387798</t>
  </si>
  <si>
    <t>HANOVERHILL ROMANTIC ET</t>
  </si>
  <si>
    <t>HOLFRAM002994015295</t>
  </si>
  <si>
    <t>JINKEN</t>
  </si>
  <si>
    <t>LIFLOC WIN</t>
  </si>
  <si>
    <t>HOLNLDM000201371758</t>
  </si>
  <si>
    <t>ERTIL CASTEL</t>
  </si>
  <si>
    <t>SESTAK SOUTH LOU ELISE</t>
  </si>
  <si>
    <t>HOLNLDM000176616500</t>
  </si>
  <si>
    <t>EVREUX SASTA ET</t>
  </si>
  <si>
    <t>VENERIETE ROU SELLY</t>
  </si>
  <si>
    <t>HOLGBRM000000604438</t>
  </si>
  <si>
    <t>LEAGH EVIE BASAR ET</t>
  </si>
  <si>
    <t>DIAMANT CASH EVI</t>
  </si>
  <si>
    <t>HOLCANM000006264421</t>
  </si>
  <si>
    <t>RICHESSE STONEHAM ET</t>
  </si>
  <si>
    <t>GOLOISE STORA JUBILANT</t>
  </si>
  <si>
    <t>DFRNLDM000320107328</t>
  </si>
  <si>
    <t>MILKBOARD DEMOCRAAT</t>
  </si>
  <si>
    <t>KASTANJE FRANS 101</t>
  </si>
  <si>
    <t>HAITSKE 22</t>
  </si>
  <si>
    <t>LOUWSMAR OPTIMIST</t>
  </si>
  <si>
    <t>HOLUSAM000002258768</t>
  </si>
  <si>
    <t>STANBITZIE LITUR MALCOLM</t>
  </si>
  <si>
    <t>ROTHROCK ROTATE LITURGY ET</t>
  </si>
  <si>
    <t>STANBITZIE STAN ANGEL</t>
  </si>
  <si>
    <t>HOLGBRM000000574117</t>
  </si>
  <si>
    <t>DOVEA FRANZ ET</t>
  </si>
  <si>
    <t>HOLITAM003805002265</t>
  </si>
  <si>
    <t>RIGLIO J.CAPRI ET TV TM GM***</t>
  </si>
  <si>
    <t>RIGLIO BELL GENE SOFIA ET</t>
  </si>
  <si>
    <t>HOLGBRM000000549192</t>
  </si>
  <si>
    <t>KILGARRIFFE VANGUARD 6</t>
  </si>
  <si>
    <t>KILGARRIFFE RACHEL 18</t>
  </si>
  <si>
    <t>HOLNLDM000172446383</t>
  </si>
  <si>
    <t>KOLHORNER JAN</t>
  </si>
  <si>
    <t>KOLHORNER FRONA 11</t>
  </si>
  <si>
    <t>HOLNLDM000174248642</t>
  </si>
  <si>
    <t>DOVEA ELBERG 14</t>
  </si>
  <si>
    <t>JAANTJE</t>
  </si>
  <si>
    <t>HOLDEUM001013340602</t>
  </si>
  <si>
    <t>AMARETTO</t>
  </si>
  <si>
    <t>CARMEL 22</t>
  </si>
  <si>
    <t>HOLNZLM000000097286</t>
  </si>
  <si>
    <t>HOLNLDM000102718832</t>
  </si>
  <si>
    <t>GALTEE WINSTON 97</t>
  </si>
  <si>
    <t>CAERNARVON JUDY</t>
  </si>
  <si>
    <t>HOLUSAM000002289548</t>
  </si>
  <si>
    <t>RICECREST SOUTHWIND KAYE ET</t>
  </si>
  <si>
    <t>HOLDEUM001012046609</t>
  </si>
  <si>
    <t>BLACKSTAR BRANDY ET</t>
  </si>
  <si>
    <t>KUIPERCREST VALIANT ANN ET</t>
  </si>
  <si>
    <t>HOLDEUM001015183460</t>
  </si>
  <si>
    <t>SOUTHWIND KARINA ET</t>
  </si>
  <si>
    <t>KARINA</t>
  </si>
  <si>
    <t>HOLUSAM000002301911</t>
  </si>
  <si>
    <t>PRIDE OF IOWA LINER CRACKER</t>
  </si>
  <si>
    <t>ELLBANK AIRLINER ET</t>
  </si>
  <si>
    <t>SC-LA-MAR MAT LADY CRYSTAL</t>
  </si>
  <si>
    <t>DFRNLDM000790797157</t>
  </si>
  <si>
    <t>DOVEA MARTIN</t>
  </si>
  <si>
    <t>KLOOSTER MARTHA 227</t>
  </si>
  <si>
    <t>KLOOSTER SYNAEDA D 2</t>
  </si>
  <si>
    <t>HOLCANM000000389265</t>
  </si>
  <si>
    <t>STARTMORE SUPREME ET</t>
  </si>
  <si>
    <t>STARTMORE CHANEL ET</t>
  </si>
  <si>
    <t>HOLNZLM000000091293</t>
  </si>
  <si>
    <t>BUCKLIN BEAR CANUTE</t>
  </si>
  <si>
    <t>BUCKLIN PREFECT CRYSTAL</t>
  </si>
  <si>
    <t>HOLNLDM000102761540</t>
  </si>
  <si>
    <t>GALTEE HORNEZATHE 117</t>
  </si>
  <si>
    <t>ETAMON AURELIA 2</t>
  </si>
  <si>
    <t>HOLNZLM000000103573</t>
  </si>
  <si>
    <t>SRD MAIRE EX PEDIENT</t>
  </si>
  <si>
    <t>LAKESIDE CARL PAULINE</t>
  </si>
  <si>
    <t>HOLUSAM000133517576</t>
  </si>
  <si>
    <t>ROSES CL ROYALTY ET</t>
  </si>
  <si>
    <t>BRIGEEN SKYCHIEF ROSE</t>
  </si>
  <si>
    <t>HOLNLDM000158604741</t>
  </si>
  <si>
    <t>ETAZON LOX LEY</t>
  </si>
  <si>
    <t>MAPLELANE MANOR SEXATION ZINA</t>
  </si>
  <si>
    <t>HOLCANM000006229227</t>
  </si>
  <si>
    <t>GLEN DRUMMOND DRAGON</t>
  </si>
  <si>
    <t>GLEN DRUMMOND AERO FLOWER</t>
  </si>
  <si>
    <t>HOLUSAM000002030269</t>
  </si>
  <si>
    <t>SINGING-BROOK N-B ANDY-ET</t>
  </si>
  <si>
    <t>HOLGBRM000000569446</t>
  </si>
  <si>
    <t>GENUS TOWNLEY</t>
  </si>
  <si>
    <t>EMERALD-ACRES-SA TAMBRIN-ET</t>
  </si>
  <si>
    <t>HOLUSAM000131213869</t>
  </si>
  <si>
    <t>WINDY-KNOLL-VIEW-RUBENS-PRO</t>
  </si>
  <si>
    <t>WINDY-KNOLL-VIEW PROMIS-ET</t>
  </si>
  <si>
    <t>HOLUSAM000131263592</t>
  </si>
  <si>
    <t>MARKWELL DURHAM RHYTHM ET</t>
  </si>
  <si>
    <t>TOP ACRES EP PREMIUM ET</t>
  </si>
  <si>
    <t>ARNOLA PEGGY PRISCILLA</t>
  </si>
  <si>
    <t>SIMON 9072</t>
  </si>
  <si>
    <t>RDCNORM000000005163</t>
  </si>
  <si>
    <t>SKARBO</t>
  </si>
  <si>
    <t>GULLSTJERNE</t>
  </si>
  <si>
    <t>S.BERGER</t>
  </si>
  <si>
    <t>JERAUSM000A00010153</t>
  </si>
  <si>
    <t>KINGS VILLE ARMADA</t>
  </si>
  <si>
    <t>ROYAL BLAINE-ET</t>
  </si>
  <si>
    <t>DENISON PARK GIRLIE P4784-ET</t>
  </si>
  <si>
    <t>GOODTIMES CHARLIE ET</t>
  </si>
  <si>
    <t>JERNZLM000000099416</t>
  </si>
  <si>
    <t>MITCHELLS ADS COLLEEN SJ2</t>
  </si>
  <si>
    <t>HOLIRLM331396580588</t>
  </si>
  <si>
    <t>KILSUNNY NAUTICAL</t>
  </si>
  <si>
    <t>KILSUNNY JUDY 59</t>
  </si>
  <si>
    <t>HOLNLDM000193927049</t>
  </si>
  <si>
    <t>PROGRESSIVE ISIDORUS 42</t>
  </si>
  <si>
    <t>ROTHROCK CUBBY LUPUS ET</t>
  </si>
  <si>
    <t>HOLIRLM291079610589</t>
  </si>
  <si>
    <t>DRUMGURRA NED</t>
  </si>
  <si>
    <t>DRUMGURRA MAU NELL 69P</t>
  </si>
  <si>
    <t>BRFGBRM000000545780</t>
  </si>
  <si>
    <t>BIDLEA TREDENE ET</t>
  </si>
  <si>
    <t>TREDENE JAN ALIDEMA</t>
  </si>
  <si>
    <t>HULLY BANG 15</t>
  </si>
  <si>
    <t>GROVE ILLUSTRIOUS</t>
  </si>
  <si>
    <t>MONFRAM003937660870</t>
  </si>
  <si>
    <t>TREBON JB</t>
  </si>
  <si>
    <t>OMBRELLE</t>
  </si>
  <si>
    <t>JERNZLM000000300091</t>
  </si>
  <si>
    <t>ROYALS GREEN ELMO</t>
  </si>
  <si>
    <t>CRESCENT JA MONTANA</t>
  </si>
  <si>
    <t>HOLGBRM000000523331</t>
  </si>
  <si>
    <t>MILKBOARD GUARDSMAN ET</t>
  </si>
  <si>
    <t>WERNDALE GUARDSMAN</t>
  </si>
  <si>
    <t>BIDLEA CASAPPLE 80</t>
  </si>
  <si>
    <t>DFRNLDM000336856087</t>
  </si>
  <si>
    <t>DIRK 2</t>
  </si>
  <si>
    <t>MARTIN 11</t>
  </si>
  <si>
    <t>DJOKE 67</t>
  </si>
  <si>
    <t>HOLGBRM000000541736</t>
  </si>
  <si>
    <t>GORNAL BLACK STAR ET</t>
  </si>
  <si>
    <t>GORNAL NANNETTE 26</t>
  </si>
  <si>
    <t>HOLIRLM141654261754</t>
  </si>
  <si>
    <t>KILLINGLEY KEET STARLIGHT</t>
  </si>
  <si>
    <t>KILLINGLEY EXCELLENCY STARLIGH</t>
  </si>
  <si>
    <t>HOLUSAM000129901651</t>
  </si>
  <si>
    <t>LUTZ-BROOKVIEW BURT-ET</t>
  </si>
  <si>
    <t>LUTZ-BROOKVIEW FAWN-ET</t>
  </si>
  <si>
    <t>KENJO PRESCOTT-ET</t>
  </si>
  <si>
    <t>HOLITAM000601045308</t>
  </si>
  <si>
    <t>FANTASY GAP ARCIBALD ET</t>
  </si>
  <si>
    <t>FANTASY VENICE ET</t>
  </si>
  <si>
    <t>HOLIRLM151047890452</t>
  </si>
  <si>
    <t>MILEWATER LEO</t>
  </si>
  <si>
    <t>MILEWATER BCG VIOLET</t>
  </si>
  <si>
    <t>MRYNLDM000272780653</t>
  </si>
  <si>
    <t>DE VINKENHOF DANIELLE 16</t>
  </si>
  <si>
    <t>HOLIRLM341327940451</t>
  </si>
  <si>
    <t>MOATVIEW S BARTHO</t>
  </si>
  <si>
    <t>MOATVIEW SJOERD SHIELA</t>
  </si>
  <si>
    <t>HOLNZLM000000663962</t>
  </si>
  <si>
    <t>WHINLEA KAI EBELL</t>
  </si>
  <si>
    <t>BRFGBRM000000592793</t>
  </si>
  <si>
    <t>BRFGBRM000000586664</t>
  </si>
  <si>
    <t>DOVEA DIXON</t>
  </si>
  <si>
    <t>HOLNZLM000000106137</t>
  </si>
  <si>
    <t>TIROHANGA BK MODERN S3F</t>
  </si>
  <si>
    <t>BAGWORTH KILIMANJARO ET</t>
  </si>
  <si>
    <t>TIROHANGA DUKES MONA S2F</t>
  </si>
  <si>
    <t>HOLGBRM000000558016</t>
  </si>
  <si>
    <t>BAWNAUGHRA SOROS ET</t>
  </si>
  <si>
    <t>BAWNAUGHRA SUNBEAM 2 ET</t>
  </si>
  <si>
    <t>HOLGBRM000000003133</t>
  </si>
  <si>
    <t>ROSEBAY BIGBUCK ET</t>
  </si>
  <si>
    <t>HOLDEUM000344825401</t>
  </si>
  <si>
    <t>INA</t>
  </si>
  <si>
    <t>HOLUSAM000060372887</t>
  </si>
  <si>
    <t>JENNY-LOU MRSHL TOYSTORY-ET</t>
  </si>
  <si>
    <t>HOLIRLM211056171009</t>
  </si>
  <si>
    <t>RAHEENARRAN MEB SOCHAR</t>
  </si>
  <si>
    <t>RAHEENARRAN HYLKE BREDA</t>
  </si>
  <si>
    <t>NMDFRAM003517096043</t>
  </si>
  <si>
    <t>ROUKY</t>
  </si>
  <si>
    <t>NEPTUNE</t>
  </si>
  <si>
    <t>ECLI</t>
  </si>
  <si>
    <t>HOLIRLM141650510855</t>
  </si>
  <si>
    <t>VIADUCTVIEW SNAPPER</t>
  </si>
  <si>
    <t>VIADUCTVIEW SNOWDROP 53</t>
  </si>
  <si>
    <t>HOLIRLM211056181109</t>
  </si>
  <si>
    <t>RAHEENARRAN BCG SOCHAR</t>
  </si>
  <si>
    <t>JERNZLM000000307042</t>
  </si>
  <si>
    <t>GLEN LEITH GOODLOOKING</t>
  </si>
  <si>
    <t>GLEN LEITH LIKA GINA</t>
  </si>
  <si>
    <t>HOLUSAM000132973942</t>
  </si>
  <si>
    <t>EMERALD-ACR-SA T-MALLORY-ET</t>
  </si>
  <si>
    <t>HOLIRLM151828781155</t>
  </si>
  <si>
    <t>EUROGENE KIWI</t>
  </si>
  <si>
    <t>BALLYDAGUE RANCHER DE VRIES</t>
  </si>
  <si>
    <t>HOLNLDM000394387893</t>
  </si>
  <si>
    <t>WILLEM'S HOEVE R JACK</t>
  </si>
  <si>
    <t>WILLEM S HOEVE RITA 248</t>
  </si>
  <si>
    <t>HOLIRLM151000291134</t>
  </si>
  <si>
    <t>SUNNYBANK MARVEL</t>
  </si>
  <si>
    <t>SUNNYBANK MAEVE 8</t>
  </si>
  <si>
    <t>HOLNZLM000000098282</t>
  </si>
  <si>
    <t>HOLNLDM000782821075</t>
  </si>
  <si>
    <t>DELTA MANUEL</t>
  </si>
  <si>
    <t>DELTA IGNATIA</t>
  </si>
  <si>
    <t>HOLGBRM000000610639</t>
  </si>
  <si>
    <t>BARROWVALE PERFECTION 8</t>
  </si>
  <si>
    <t>DOVEA GRETHA 2 ET</t>
  </si>
  <si>
    <t>JERUSAM000000647162</t>
  </si>
  <si>
    <t>DUNCAN'S PRINCE MALCOLM</t>
  </si>
  <si>
    <t>BERRYS SOLDIER PARADE</t>
  </si>
  <si>
    <t>BRIARCLIFFS SOLDIER BOY</t>
  </si>
  <si>
    <t>HOLUSAM000137754731</t>
  </si>
  <si>
    <t>ROSEDALE TOUCHDOWN RED</t>
  </si>
  <si>
    <t>KHW KITE ADVENT-RED-ET</t>
  </si>
  <si>
    <t>ROSEDALE L TRUDY RED</t>
  </si>
  <si>
    <t>GRANDUC TRIBUTE ET*TV*TL</t>
  </si>
  <si>
    <t>HOLIRLM272004750791</t>
  </si>
  <si>
    <t>LYNBROOK RONALDO 2</t>
  </si>
  <si>
    <t>LYNBROOK O MAN JODY</t>
  </si>
  <si>
    <t>JERIRLM151828741408</t>
  </si>
  <si>
    <t>(IG) BALLYHOOLY MISTER</t>
  </si>
  <si>
    <t>DUNROMIN KEJSERS JULIA</t>
  </si>
  <si>
    <t>FYN KEJSER</t>
  </si>
  <si>
    <t>HOLIRLM281381580846</t>
  </si>
  <si>
    <t>(IG) FOWLERSTOWN VAL</t>
  </si>
  <si>
    <t>FOWLERSTOWN PRIMULA 21</t>
  </si>
  <si>
    <t>HOLIRLM141747860455</t>
  </si>
  <si>
    <t>GLASHEEN RONALD 455</t>
  </si>
  <si>
    <t>GLASHEEN CARMEL</t>
  </si>
  <si>
    <t>HOLIRLM151597590474</t>
  </si>
  <si>
    <t>PINEVILLE CAMELOT</t>
  </si>
  <si>
    <t>KEVIN O'FARRELL</t>
  </si>
  <si>
    <t>PINEVILLE MAU DANA 2</t>
  </si>
  <si>
    <t>HOLNLDM000350362779</t>
  </si>
  <si>
    <t>SOUTHLAND POINT</t>
  </si>
  <si>
    <t>SOUTHLAND DELLIA</t>
  </si>
  <si>
    <t>HOLGBRM000000518051</t>
  </si>
  <si>
    <t>KNOCKANROE WHITE STAR</t>
  </si>
  <si>
    <t>MMB GLENSTOR BRIGHTSTAR</t>
  </si>
  <si>
    <t>KNOCKANROE RHODA 10</t>
  </si>
  <si>
    <t>KNOCKBROGAN CLOADEMA 4</t>
  </si>
  <si>
    <t>HOLGBRM000000586312</t>
  </si>
  <si>
    <t>DOVEA LABELLE</t>
  </si>
  <si>
    <t>HOLUSAM000053452462</t>
  </si>
  <si>
    <t>LARCREST COSMOS-ET</t>
  </si>
  <si>
    <t>P10</t>
  </si>
  <si>
    <t>HOLIRLM301306020667</t>
  </si>
  <si>
    <t>(IG) CARROWMANAGH PADDY</t>
  </si>
  <si>
    <t>CARROWMANAGH ROSE 334</t>
  </si>
  <si>
    <t>HOLNLDM000393714184</t>
  </si>
  <si>
    <t>KAMPS-HALLOW ALTITUDE-ET</t>
  </si>
  <si>
    <t>JERDNKM000000302835</t>
  </si>
  <si>
    <t>DJ BROILER</t>
  </si>
  <si>
    <t>HAUGSTEDGAARD LEMVIG TINA</t>
  </si>
  <si>
    <t>JERNZLM000000307516</t>
  </si>
  <si>
    <t>OKURA NEVVY KENYA ET</t>
  </si>
  <si>
    <t>OKURA MANS KRISTEN</t>
  </si>
  <si>
    <t>HOLGBRM000000628382</t>
  </si>
  <si>
    <t>COGENT ELVINA</t>
  </si>
  <si>
    <t>COGENT MARSHALL EUGENIE ET</t>
  </si>
  <si>
    <t>JERNZLM000000310048</t>
  </si>
  <si>
    <t>SEMMENS KTR LAVEROCK S2J</t>
  </si>
  <si>
    <t>SEMMENS NEVVYS LASS S3J</t>
  </si>
  <si>
    <t>HOLCANM000011098658</t>
  </si>
  <si>
    <t>GENERVATIONS LEXOR</t>
  </si>
  <si>
    <t>LLANDOVERY PRIDES PROPHET (ET)</t>
  </si>
  <si>
    <t>WINGANNA HANDSOME TULIP</t>
  </si>
  <si>
    <t>LLANDOVERY FUTURIONS GEPRIDE</t>
  </si>
  <si>
    <t>LLANDOVERY JEANS FUTURION</t>
  </si>
  <si>
    <t>HOLIRLM151663941019</t>
  </si>
  <si>
    <t>(IG) SCARTFLESK ROSCO</t>
  </si>
  <si>
    <t>SCARTFLESK QUR ROSIE 580</t>
  </si>
  <si>
    <t>HOLDNKM000000253423</t>
  </si>
  <si>
    <t>ABS WEBBER (DNK)</t>
  </si>
  <si>
    <t>NORREGAARD OMAN WENDY (DNK)</t>
  </si>
  <si>
    <t>HOLGBRM000000616070</t>
  </si>
  <si>
    <t>DALBYTOP PHIL</t>
  </si>
  <si>
    <t>DALBYTOP LUCENTE CINDY</t>
  </si>
  <si>
    <t>HOLGBRM949241215017</t>
  </si>
  <si>
    <t>BALLYCAIRN TIERGAN ET</t>
  </si>
  <si>
    <t>BALLYCAIRN GARTER TINNIE</t>
  </si>
  <si>
    <t>HOLIRLM272004780902</t>
  </si>
  <si>
    <t>(IG) LYNBROOK KERRY</t>
  </si>
  <si>
    <t>LYNBROOK STORMATIC JOELLE</t>
  </si>
  <si>
    <t>HOLNZLM000000110052</t>
  </si>
  <si>
    <t>GYDELAND MAGIC IMAGIN S2F</t>
  </si>
  <si>
    <t>HOLCANM000011294722</t>
  </si>
  <si>
    <t>VELTHUIS LET IT SNOW</t>
  </si>
  <si>
    <t>MSCHARTROIS PLANET LEONI-ET</t>
  </si>
  <si>
    <t>HOLNZLM000000111048</t>
  </si>
  <si>
    <t>GOOCHS FM REBELLION S2F</t>
  </si>
  <si>
    <t>HOLIRLM331018960988</t>
  </si>
  <si>
    <t>(IG) BALLYKINASH KXV LAD</t>
  </si>
  <si>
    <t>KEVINSFORT RXO VER</t>
  </si>
  <si>
    <t>BALLYKINASH MWP LINDA 823</t>
  </si>
  <si>
    <t>(IG) MILEWATER PRINCE</t>
  </si>
  <si>
    <t>HOLIRLM151535320512</t>
  </si>
  <si>
    <t>RUSSETFIELD GARRETT</t>
  </si>
  <si>
    <t>RUSSETFIELD DEU KYLIE 378</t>
  </si>
  <si>
    <t>HOLIRLM331323211413</t>
  </si>
  <si>
    <t>BALLINROE BARNEY</t>
  </si>
  <si>
    <t>BALLINROE UYC LISA 839</t>
  </si>
  <si>
    <t>HOLDNKM000000254708</t>
  </si>
  <si>
    <t>HOOD M-O-M EMMETT</t>
  </si>
  <si>
    <t>TRAMILDA-N BAXTER EMILY-ET</t>
  </si>
  <si>
    <t>HOLIRLM211058471043</t>
  </si>
  <si>
    <t>BALLYGOWN KEET MIA</t>
  </si>
  <si>
    <t>CURRA KEET JOHN</t>
  </si>
  <si>
    <t>HOLIRLM131510760857</t>
  </si>
  <si>
    <t>(IG) MOUNTRIVERS JESTER</t>
  </si>
  <si>
    <t>MOUNTRIVERS JESSIE 43 10</t>
  </si>
  <si>
    <t>HOLCANM000011329367</t>
  </si>
  <si>
    <t>GILLETTE JESSIC</t>
  </si>
  <si>
    <t>GILLETTE GOLDWYN JENNY</t>
  </si>
  <si>
    <t>HOLCANM000107515720</t>
  </si>
  <si>
    <t>LOOKOUT PESCE HUNGER</t>
  </si>
  <si>
    <t>COOKIECUTTER MOM HUE-ET</t>
  </si>
  <si>
    <t>HOLIRLM191574431518</t>
  </si>
  <si>
    <t>(IG) CALLINAFERCY SONNY</t>
  </si>
  <si>
    <t>CALLINAFERCY BGW TERESA 1203</t>
  </si>
  <si>
    <t>HOLNLDM000481762079</t>
  </si>
  <si>
    <t>JIMM MR JUSTIN</t>
  </si>
  <si>
    <t>JIMM. HOLSTEIN LEENTJE 44</t>
  </si>
  <si>
    <t>HOLCANM000105753020</t>
  </si>
  <si>
    <t>COMESTAR LEMUST</t>
  </si>
  <si>
    <t>COMESTAR LAUTAMIA BOLTON</t>
  </si>
  <si>
    <t>HOLUSAM000070476906</t>
  </si>
  <si>
    <t>MR CHASSITY COLT 45-ET</t>
  </si>
  <si>
    <t>SANDY-VALLEY COLT P-RED-TW</t>
  </si>
  <si>
    <t>REGANCREST S CHASSITY-ET</t>
  </si>
  <si>
    <t>HOLIRLM211169671152</t>
  </si>
  <si>
    <t>(IG) KILDRINAGH MARTY</t>
  </si>
  <si>
    <t>KILDRINAGH SUSIE B TIH</t>
  </si>
  <si>
    <t>MONFRAM002546122523</t>
  </si>
  <si>
    <t>GOURAMI</t>
  </si>
  <si>
    <t>BENETTON</t>
  </si>
  <si>
    <t>CHIMERE</t>
  </si>
  <si>
    <t>HOLCANM000011397834</t>
  </si>
  <si>
    <t>OCONNORS PLANET LUCIA</t>
  </si>
  <si>
    <t>HOLNLDM000520984798</t>
  </si>
  <si>
    <t>NAVIGATOR</t>
  </si>
  <si>
    <t>WILLEMIEN 112</t>
  </si>
  <si>
    <t>HOLUSAM000138886772</t>
  </si>
  <si>
    <t>FOXBERRY JS MCFLY-ET</t>
  </si>
  <si>
    <t>MS HEARTBEAT JM MAGGIE MAE</t>
  </si>
  <si>
    <t>HOLIRLM151330033143</t>
  </si>
  <si>
    <t>SPRINGHAVEN EVEREST</t>
  </si>
  <si>
    <t>SPRINGHAVEN DALGAN 90</t>
  </si>
  <si>
    <t>HOLUSAM000070801850</t>
  </si>
  <si>
    <t>COYNE-FARMS FREDDIE JILL-ET</t>
  </si>
  <si>
    <t>HOLCANM000103828287</t>
  </si>
  <si>
    <t>CHARPENTIER LFG SPECTRUM</t>
  </si>
  <si>
    <t>GEN-I-BEQ TALENT SPECTRA</t>
  </si>
  <si>
    <t>HOLUSAM000069087180</t>
  </si>
  <si>
    <t>HOLIRLM351308691463</t>
  </si>
  <si>
    <t>TEMPLEMICHAEL ZEBO</t>
  </si>
  <si>
    <t>TEMPLEMICHAEL LYSELLE</t>
  </si>
  <si>
    <t>CATLANE CHATSWORTH</t>
  </si>
  <si>
    <t>HOLNZLM000000110009</t>
  </si>
  <si>
    <t>BAGWORTH PF LAUNCHPAD S1F</t>
  </si>
  <si>
    <t>BAGWORTH FLUKEY LORIK S2F</t>
  </si>
  <si>
    <t>HOLIRLM191574421855</t>
  </si>
  <si>
    <t>(IG) CALLINAFERCY LESTER</t>
  </si>
  <si>
    <t>CALLINAFERCY LHZ LISA 558</t>
  </si>
  <si>
    <t>RDCCANM000105115743</t>
  </si>
  <si>
    <t>KAMOURASKA DECAF -ET</t>
  </si>
  <si>
    <t>JERDNKM000000304098</t>
  </si>
  <si>
    <t>VJ HIZZI</t>
  </si>
  <si>
    <t>HILLUM</t>
  </si>
  <si>
    <t>HOLIRLM241516161814</t>
  </si>
  <si>
    <t>COURTMATRIX MAXIMUS</t>
  </si>
  <si>
    <t>COURTMATRIX ANN 12</t>
  </si>
  <si>
    <t>HOL840M003124671689</t>
  </si>
  <si>
    <t>VIEW-HOME ALBANIA-ET</t>
  </si>
  <si>
    <t>S-S-I MOGUL DEFENDER-ET</t>
  </si>
  <si>
    <t>VIEW-HOME MCC ALABAMA-ET</t>
  </si>
  <si>
    <t>JERNZLM000000517668</t>
  </si>
  <si>
    <t>ARKANS GURKHA J9F7</t>
  </si>
  <si>
    <t>SAN RAY FM BEAMER-ET S2F</t>
  </si>
  <si>
    <t>GLOBAL GENETIC GOLD S3J</t>
  </si>
  <si>
    <t>HOLIRLM141163871891</t>
  </si>
  <si>
    <t>(IG) BALLYDEHOB ADAM</t>
  </si>
  <si>
    <t>BALLYDEHOB DGC MARY</t>
  </si>
  <si>
    <t>HOLIRLM141731961274</t>
  </si>
  <si>
    <t>(IG) LEACHTNEILL DARBY</t>
  </si>
  <si>
    <t>LEACNEILL COLLEEN 1147</t>
  </si>
  <si>
    <t>HOLIRLM224762443517</t>
  </si>
  <si>
    <t>OWENABUE CAIRO</t>
  </si>
  <si>
    <t>OWENABUE PBM TRINA 740</t>
  </si>
  <si>
    <t>HOLIRLM222476011495</t>
  </si>
  <si>
    <t>KILRONAN HIGH</t>
  </si>
  <si>
    <t>(IG) MODELIGO WHISPER</t>
  </si>
  <si>
    <t>KILRONAN HMY SUSIE 1112</t>
  </si>
  <si>
    <t>HOLDEUM000356491640</t>
  </si>
  <si>
    <t>BALU-PP</t>
  </si>
  <si>
    <t>MR ROLLEN-NS CAMR LONG P-ET</t>
  </si>
  <si>
    <t>RI-VAL-RE SUPERSONIC RUBY-P</t>
  </si>
  <si>
    <t>HOLIRLM281125550795</t>
  </si>
  <si>
    <t>(IG) FRINGERSTOWN PATRICK 795</t>
  </si>
  <si>
    <t>FRINGERSTOWN ALLY 5429</t>
  </si>
  <si>
    <t>HOLIRLM218815051405</t>
  </si>
  <si>
    <t>(IG) RONNOCO MILAN</t>
  </si>
  <si>
    <t>RONNOCO HZB MILLIE</t>
  </si>
  <si>
    <t>BRFGBRM000000638132</t>
  </si>
  <si>
    <t>DUNMASC GENETICS</t>
  </si>
  <si>
    <t>BLACKISLE LAURA 45</t>
  </si>
  <si>
    <t>HOL840M003136876946</t>
  </si>
  <si>
    <t>STONE-FRONT ARTIST-ET</t>
  </si>
  <si>
    <t>TJR ARIETA MCCUT 2256-ET</t>
  </si>
  <si>
    <t>JERDNKM000000304171</t>
  </si>
  <si>
    <t>VJ RAASTRUP HIHL GISLEV</t>
  </si>
  <si>
    <t>HOL840M003142181325</t>
  </si>
  <si>
    <t>PEAK MOTION-ET</t>
  </si>
  <si>
    <t>P19</t>
  </si>
  <si>
    <t>BOMAZ ALTAROBSON-ET</t>
  </si>
  <si>
    <t>NFG-ST SIDNEY MEG 54685-ET</t>
  </si>
  <si>
    <t>HOL840M003132117165</t>
  </si>
  <si>
    <t>PINE-TREE MOD KENNEDY713-ET</t>
  </si>
  <si>
    <t>OCD SUPERSIRE 9882-ET</t>
  </si>
  <si>
    <t>HOLIRLM217844221482</t>
  </si>
  <si>
    <t>(IG) CRIEGHMORE CAMELOT SRM</t>
  </si>
  <si>
    <t>CRIEGHMORE CANDY 1255</t>
  </si>
  <si>
    <t>(IG) TOBERMARTIN KSK NAVAS</t>
  </si>
  <si>
    <t>HOLNLDM000293928539</t>
  </si>
  <si>
    <t>ALH APACHE</t>
  </si>
  <si>
    <t>CHAPEL-BANK ELTON FARMER</t>
  </si>
  <si>
    <t>CARTERS-CORNER MAN ALLI PI ET</t>
  </si>
  <si>
    <t>HOLNLDM000119231485</t>
  </si>
  <si>
    <t>VISSTEIN TEMPO</t>
  </si>
  <si>
    <t>BURGHORNER R 87</t>
  </si>
  <si>
    <t>VISSTEIN ZELINA UGELA</t>
  </si>
  <si>
    <t>HOLCANM000011696704</t>
  </si>
  <si>
    <t>HOL840M003132417775</t>
  </si>
  <si>
    <t>WOODCREST KING DOC</t>
  </si>
  <si>
    <t>WCD-ZBW MACK DADDY-ET</t>
  </si>
  <si>
    <t>HOLNLDM000318811587</t>
  </si>
  <si>
    <t>MARS TRAVIS BOY</t>
  </si>
  <si>
    <t>AGATHA 108</t>
  </si>
  <si>
    <t>HOLUSAM000002249055</t>
  </si>
  <si>
    <t>HOLGBRM000000586063</t>
  </si>
  <si>
    <t>BALLYBROOD BIGSHOT ET</t>
  </si>
  <si>
    <t>LANGSTWINB E-M ELM</t>
  </si>
  <si>
    <t>HOLNZLM000000093213</t>
  </si>
  <si>
    <t>PEN-COL US ELDRED ET</t>
  </si>
  <si>
    <t>PENCOL BLACKSTAR DANNI</t>
  </si>
  <si>
    <t>HOLFRAM005988008445</t>
  </si>
  <si>
    <t>LA POE MARK DOWNSON</t>
  </si>
  <si>
    <t>HOLFRAM002295010514</t>
  </si>
  <si>
    <t>LAMBALLE</t>
  </si>
  <si>
    <t>GENE-N-R-J</t>
  </si>
  <si>
    <t>ERBACRES VALIANT CAPTAIN ET</t>
  </si>
  <si>
    <t>HOLNZLM000000108180</t>
  </si>
  <si>
    <t>BUSY BROOK RASTUS-ET S3F</t>
  </si>
  <si>
    <t>BUSY BROOK DUKE RAVE S2F</t>
  </si>
  <si>
    <t>HOLGBRM180025201735</t>
  </si>
  <si>
    <t>STARDALE JUDGE RED ET</t>
  </si>
  <si>
    <t>APRIL-DAY WISCONSIN-RED</t>
  </si>
  <si>
    <t>SYKE REDMAN JODIE RED PI ET</t>
  </si>
  <si>
    <t>VALLEYRIVER RUBEN REDMAN</t>
  </si>
  <si>
    <t>HOLIRLM151623482350</t>
  </si>
  <si>
    <t>(IG) BALLYBRIDE BRACKEN</t>
  </si>
  <si>
    <t>BALLYBRIDE UYC BERNADETTE 1</t>
  </si>
  <si>
    <t>HOLUSAM000063285292</t>
  </si>
  <si>
    <t>CO-OP JET STREAM ARMY-ET</t>
  </si>
  <si>
    <t>SURE-VIEW MRSHL ACE CRI-ET</t>
  </si>
  <si>
    <t>HOLIRLM201009541003</t>
  </si>
  <si>
    <t>(IG) ALLENWOOD BUSTER</t>
  </si>
  <si>
    <t>ALLENWOOD WSO BLANAID 653</t>
  </si>
  <si>
    <t>RUUD 115 WILSON</t>
  </si>
  <si>
    <t>HOLUSAM000071974211</t>
  </si>
  <si>
    <t>CLEAR-ECHO OBSERVER 2280-ET</t>
  </si>
  <si>
    <t>JERCANM000104411830</t>
  </si>
  <si>
    <t>RAPID BAY REAGAN -ET</t>
  </si>
  <si>
    <t>GIPRAT BELLE'S CONNECTION -ET</t>
  </si>
  <si>
    <t>RAPID BAY WHISTLER'S RUMOUR</t>
  </si>
  <si>
    <t>BONNYBURN ALI WHISTLER</t>
  </si>
  <si>
    <t>HOLUSAM000017060552</t>
  </si>
  <si>
    <t>HENKESEEN HILLCREST</t>
  </si>
  <si>
    <t>HENKESEEN M HILLARY ET</t>
  </si>
  <si>
    <t>HOLGBRM000000582775</t>
  </si>
  <si>
    <t>DOVEA JABOT</t>
  </si>
  <si>
    <t>HOLGBRM000000553395</t>
  </si>
  <si>
    <t>GLENKEEL MATTHEW ET</t>
  </si>
  <si>
    <t>HOLUSAM000069981349</t>
  </si>
  <si>
    <t>HOLDEUM000538281293</t>
  </si>
  <si>
    <t>COGENT BILL ET</t>
  </si>
  <si>
    <t>HFP LUC 63</t>
  </si>
  <si>
    <t>HOL840M003012503493</t>
  </si>
  <si>
    <t>APRILDAY EQUINOX 654-ET</t>
  </si>
  <si>
    <t>RI-VAL-RE SOTO ERIN-P-ET</t>
  </si>
  <si>
    <t>FUSTEAD JETSTREAM SOTO-ET</t>
  </si>
  <si>
    <t>R HART CHRISTIANS ACE ET</t>
  </si>
  <si>
    <t>R HART C B CHRISTIAN TW</t>
  </si>
  <si>
    <t>VENTURES ESP BABARAY</t>
  </si>
  <si>
    <t>MONFRAM003917250599</t>
  </si>
  <si>
    <t>VARGA JB</t>
  </si>
  <si>
    <t>RAZADE</t>
  </si>
  <si>
    <t>HAMADAU</t>
  </si>
  <si>
    <t>HOLFRAM003529132100</t>
  </si>
  <si>
    <t>JAMES BOND</t>
  </si>
  <si>
    <t>HELICE</t>
  </si>
  <si>
    <t>JERDNKM000000304068</t>
  </si>
  <si>
    <t>VJ LINU</t>
  </si>
  <si>
    <t>HOLFRAM002296000909</t>
  </si>
  <si>
    <t>PROGRESSIVE MANCHOT</t>
  </si>
  <si>
    <t>COGENT HIRONDELLE</t>
  </si>
  <si>
    <t>HOLNLDM000194562663</t>
  </si>
  <si>
    <t>HIMSTER LANDHEER</t>
  </si>
  <si>
    <t>HOLGBRM000000529263</t>
  </si>
  <si>
    <t>MOUNTALTO PEACH MONTY</t>
  </si>
  <si>
    <t>BALLYFREE ALBERTA PEACH 2</t>
  </si>
  <si>
    <t>GREENWOOD SIR WILFRED</t>
  </si>
  <si>
    <t>HOLAUSM000A00009024</t>
  </si>
  <si>
    <t>BIG RIVER REFRESH</t>
  </si>
  <si>
    <t>BIG RIVER MASCOT LORETTA</t>
  </si>
  <si>
    <t>HOLNLDM000179160877</t>
  </si>
  <si>
    <t>TIENMORGEN DUC BRANDIBEE 161</t>
  </si>
  <si>
    <t>MAR-BIL MELWOD BRANDIBEE-ET</t>
  </si>
  <si>
    <t>HOLUSAM000002211554</t>
  </si>
  <si>
    <t>SHER-EST TARGET SHANE</t>
  </si>
  <si>
    <t>SHER-EST S-WIND SATURDAY PI ET</t>
  </si>
  <si>
    <t>MRYDEUM000576302990</t>
  </si>
  <si>
    <t>AKKI</t>
  </si>
  <si>
    <t>ALPEN-ET</t>
  </si>
  <si>
    <t>TRUDE</t>
  </si>
  <si>
    <t>ELIAS</t>
  </si>
  <si>
    <t>HOLNLDM000117376568</t>
  </si>
  <si>
    <t>ALEX 160</t>
  </si>
  <si>
    <t>T95</t>
  </si>
  <si>
    <t>FROUKJE</t>
  </si>
  <si>
    <t>HOLNLDM000207405130</t>
  </si>
  <si>
    <t>DE CROB BINGO</t>
  </si>
  <si>
    <t>BARNKAMPER MARILYN</t>
  </si>
  <si>
    <t>MRYNLDM000457029940</t>
  </si>
  <si>
    <t>GONDA S MARS</t>
  </si>
  <si>
    <t>DOORTJE 35</t>
  </si>
  <si>
    <t>JERUSAM000000659809</t>
  </si>
  <si>
    <t>SUNSET CANYON CANDYMAN</t>
  </si>
  <si>
    <t>BLAISDELL DUNCAN MCHALE ET</t>
  </si>
  <si>
    <t>SOONER YC GINGER</t>
  </si>
  <si>
    <t>HOLCANM000000396930</t>
  </si>
  <si>
    <t>A.INDIANHEAD CHEROKEE</t>
  </si>
  <si>
    <t>STARTMORE CHARMAINE ET</t>
  </si>
  <si>
    <t>HOLUSAM000002261828</t>
  </si>
  <si>
    <t>BLACKTONE ET</t>
  </si>
  <si>
    <t>HOLGBRM000000537045</t>
  </si>
  <si>
    <t>LISDUFF SPECULATION</t>
  </si>
  <si>
    <t>LISDUFF JILL 72</t>
  </si>
  <si>
    <t>HOLUSAM000002014517</t>
  </si>
  <si>
    <t>HIGHLIGHT MR MARK CINDER ET</t>
  </si>
  <si>
    <t>ROLL-N-VIEW BELL CINDY</t>
  </si>
  <si>
    <t>HOLCANM000000401200</t>
  </si>
  <si>
    <t>CRACKHOLM JAMBOREE ET</t>
  </si>
  <si>
    <t>CRACKHOLM ANTHONY JUDY</t>
  </si>
  <si>
    <t>BRFGBRM000000559111</t>
  </si>
  <si>
    <t>CATLANE CORSAIR</t>
  </si>
  <si>
    <t>CATLANE NOTABLE CHRISTINE</t>
  </si>
  <si>
    <t>TERLING NOTABLE</t>
  </si>
  <si>
    <t>HOLGBRM000000540170</t>
  </si>
  <si>
    <t>CRADENHILL VALIANT MARIT ET</t>
  </si>
  <si>
    <t>MATT-MISTYS MARRIETTE-ET</t>
  </si>
  <si>
    <t>HOLCANM000000402300</t>
  </si>
  <si>
    <t>JUNIPER PARK ET</t>
  </si>
  <si>
    <t>HOLTEX GLENDELL PEGGY</t>
  </si>
  <si>
    <t>HOLGBRM000000530781</t>
  </si>
  <si>
    <t>COOLFREHEEN BLACKSTAR ET</t>
  </si>
  <si>
    <t>MOUNTCARMEL CURLEW 3</t>
  </si>
  <si>
    <t>DOONALLY ROYBROOK STAR</t>
  </si>
  <si>
    <t>HOLGBRM000000592101</t>
  </si>
  <si>
    <t>REARY TORNEDO 4</t>
  </si>
  <si>
    <t>LUMVILLE MASCOT BELA</t>
  </si>
  <si>
    <t>HOLGBRM000000518249</t>
  </si>
  <si>
    <t>KNOCKANROE STARTRIX</t>
  </si>
  <si>
    <t>KNOCKANROE BEATRIX 259</t>
  </si>
  <si>
    <t>HOLGBRM000000004123</t>
  </si>
  <si>
    <t>GENUS LONGVIEW ET</t>
  </si>
  <si>
    <t>HOLNLDM000514410403</t>
  </si>
  <si>
    <t>VIR-CLAR DAFFY BELLMONT</t>
  </si>
  <si>
    <t>HOLGBRM000000606176</t>
  </si>
  <si>
    <t>BALLYCLIDER CAZ</t>
  </si>
  <si>
    <t>BALLYCLIDER CHRIS 75 ET</t>
  </si>
  <si>
    <t>HOLUSAM000002140297</t>
  </si>
  <si>
    <t>C HANOVERHILL PRECISONIST</t>
  </si>
  <si>
    <t>HANOVERHILL STAR ROXY ET</t>
  </si>
  <si>
    <t>HOLNZLM000000087203</t>
  </si>
  <si>
    <t>ATHOL N P BAMBI</t>
  </si>
  <si>
    <t>NGAIO CRISSCROSS PRINCE</t>
  </si>
  <si>
    <t>HOLUSAM000002010754</t>
  </si>
  <si>
    <t>WILLOWLAND MARK 4</t>
  </si>
  <si>
    <t>WILLOWLAND BELL REBA</t>
  </si>
  <si>
    <t>HOLGBRM000000550733</t>
  </si>
  <si>
    <t>CRADENHILL BIG WIND ET</t>
  </si>
  <si>
    <t>C MOCOMI S C SHIRLEY</t>
  </si>
  <si>
    <t>BROWNDALE SIR CHRISTOPHER</t>
  </si>
  <si>
    <t>HOLNLDM000196070276</t>
  </si>
  <si>
    <t>WIN WALKOVER</t>
  </si>
  <si>
    <t>HOLSTIENS H-S DREAM</t>
  </si>
  <si>
    <t>HOLDEUM000106165973</t>
  </si>
  <si>
    <t>SIGMAR</t>
  </si>
  <si>
    <t>CARTAGO</t>
  </si>
  <si>
    <t>HOLUSAM000002266008</t>
  </si>
  <si>
    <t>HOLGBRM000000003745</t>
  </si>
  <si>
    <t>MOET CLEOS BENEFACTOR ET</t>
  </si>
  <si>
    <t>DUOMONT MONEY MAKER CLEO</t>
  </si>
  <si>
    <t>ACK-LEE CHIEF MONEY MAKER</t>
  </si>
  <si>
    <t>HOLNLDM000234224702</t>
  </si>
  <si>
    <t>MESLAND PRINS 9831</t>
  </si>
  <si>
    <t>COOKS-VALLEY AERO BONNET-ET</t>
  </si>
  <si>
    <t>HOLNLDM000320073719</t>
  </si>
  <si>
    <t>SJOUKJE 136</t>
  </si>
  <si>
    <t>HOLNZLM000000098389</t>
  </si>
  <si>
    <t>SRB LAWSONS KAIAPOI</t>
  </si>
  <si>
    <t>LAWSONS TAYLOR KAMILA</t>
  </si>
  <si>
    <t>BALSOMS TAYLOR</t>
  </si>
  <si>
    <t>HOLGBRM000000540628</t>
  </si>
  <si>
    <t>EVERGRANGE ADAM</t>
  </si>
  <si>
    <t>MILKBOARD SHEIK</t>
  </si>
  <si>
    <t>HOLNLDM000117376791</t>
  </si>
  <si>
    <t>DOVEA ALEX 158</t>
  </si>
  <si>
    <t>HOLNLDM000171240171</t>
  </si>
  <si>
    <t>AVEST MIC STEF</t>
  </si>
  <si>
    <t>HOLUSAM000002127469</t>
  </si>
  <si>
    <t>LEXYLANE MARK PAULA</t>
  </si>
  <si>
    <t>HOLDEUM000102696661</t>
  </si>
  <si>
    <t>BRUNO</t>
  </si>
  <si>
    <t>BLACK</t>
  </si>
  <si>
    <t>HISIKO</t>
  </si>
  <si>
    <t>DFRNLDM000830303474</t>
  </si>
  <si>
    <t>JUPITER 186</t>
  </si>
  <si>
    <t>BETJE 103</t>
  </si>
  <si>
    <t>HOLCANM000005720317</t>
  </si>
  <si>
    <t>GILLETTE MERRICK ET</t>
  </si>
  <si>
    <t>HOLNLDM000175505461</t>
  </si>
  <si>
    <t>DELTA MUSDONK</t>
  </si>
  <si>
    <t>DLT ANDERSON</t>
  </si>
  <si>
    <t>HOLNLDM000173605637</t>
  </si>
  <si>
    <t>MORGENSTER 32</t>
  </si>
  <si>
    <t>MORGENSTER SANDRA 517 TL</t>
  </si>
  <si>
    <t>HOLNLDM000141785130</t>
  </si>
  <si>
    <t>FRANKENHOF SUNLIGHT</t>
  </si>
  <si>
    <t>FRANKENHOF LENORA 43</t>
  </si>
  <si>
    <t>BRFGBRM000000545934</t>
  </si>
  <si>
    <t>CATLANE CAMELOT</t>
  </si>
  <si>
    <t>CATLANE DURBAN CHRISTINE</t>
  </si>
  <si>
    <t>RIDGWARDINE DURBAN</t>
  </si>
  <si>
    <t>HOLGBRM000000531109</t>
  </si>
  <si>
    <t>CROAGH WARDEN</t>
  </si>
  <si>
    <t>CROAGH ASTROJET LADY</t>
  </si>
  <si>
    <t>HOLFRAM003596064537</t>
  </si>
  <si>
    <t>PROGRESSIVE MEGABUCK</t>
  </si>
  <si>
    <t>HOLNLDM000855868619</t>
  </si>
  <si>
    <t>GALTEE TYFOON</t>
  </si>
  <si>
    <t>ETASOL BETTY</t>
  </si>
  <si>
    <t>HOLNLDM000316803986</t>
  </si>
  <si>
    <t>TIEDE 21</t>
  </si>
  <si>
    <t>VREDENHEMER TINE 147 TL</t>
  </si>
  <si>
    <t>HOLNLDM000317239656</t>
  </si>
  <si>
    <t>FEIJKES RESTAURANT</t>
  </si>
  <si>
    <t>FEIKJE 115 ET</t>
  </si>
  <si>
    <t>HOLFRAM001588055593</t>
  </si>
  <si>
    <t>DERIVEUR</t>
  </si>
  <si>
    <t>MISS OAK GREEN BETTY-ET</t>
  </si>
  <si>
    <t>HOLNLDM000188521069</t>
  </si>
  <si>
    <t>EASTLAND HIGHLINE</t>
  </si>
  <si>
    <t>HOLGBRM000000528965</t>
  </si>
  <si>
    <t>AVONDALE BUCKSHOT ET</t>
  </si>
  <si>
    <t>HOLNLDM000201519651</t>
  </si>
  <si>
    <t>ALTAPON JR BOPPER</t>
  </si>
  <si>
    <t>TINIE 208</t>
  </si>
  <si>
    <t>HOLNLDM000831375195</t>
  </si>
  <si>
    <t>HOLNLDM000705623247</t>
  </si>
  <si>
    <t>BURG ROOSJE 150</t>
  </si>
  <si>
    <t>HOLGBRM000000542278</t>
  </si>
  <si>
    <t>BIDLEA CASANT ET</t>
  </si>
  <si>
    <t>HOLIRLM151445610583</t>
  </si>
  <si>
    <t>KILQUANE CUTIE MERCI</t>
  </si>
  <si>
    <t>KILQUANE MERCI CUTIE</t>
  </si>
  <si>
    <t>HOLUSAM000131532243</t>
  </si>
  <si>
    <t>BUDJON JK ELECTRICITY</t>
  </si>
  <si>
    <t>HOLUSAM000002148686</t>
  </si>
  <si>
    <t>ROSELUNDVIEW BLACK STARBOY</t>
  </si>
  <si>
    <t>ROSELUNDVIEW MARK CORLENE</t>
  </si>
  <si>
    <t>HOLGBRM000000548888</t>
  </si>
  <si>
    <t>LEMRAC STARLAIS ET</t>
  </si>
  <si>
    <t>HOLUSAM000002243981</t>
  </si>
  <si>
    <t>HIGHSIGHTS DC DAPPER</t>
  </si>
  <si>
    <t>HIGHSIGHTS DC DANA</t>
  </si>
  <si>
    <t>HOLUSAM000002217394</t>
  </si>
  <si>
    <t>SFL FABULOUS MONET RED</t>
  </si>
  <si>
    <t>SFL ENHANCER SHARNA RED</t>
  </si>
  <si>
    <t>HOLGBRM000000523491</t>
  </si>
  <si>
    <t>WOLFA ROLEX</t>
  </si>
  <si>
    <t>FLEMINGDALE ROLAND ET</t>
  </si>
  <si>
    <t>WOLFA JENNIFER 75</t>
  </si>
  <si>
    <t>GARTHMYL ADEMA 6</t>
  </si>
  <si>
    <t>HOLUSAM000002238559</t>
  </si>
  <si>
    <t>ROBTHOM MALACHITE ET</t>
  </si>
  <si>
    <t>ROBTHOM RUBY AEROSTAR</t>
  </si>
  <si>
    <t>HOLUSAM000002269077</t>
  </si>
  <si>
    <t>RICECREST PARKER ET</t>
  </si>
  <si>
    <t>MR APPLENOTCH MARK PAPPY</t>
  </si>
  <si>
    <t>HOLNLDM000960250666</t>
  </si>
  <si>
    <t>RUANN APPLES SAUCE</t>
  </si>
  <si>
    <t>HOLUSAM000002234121</t>
  </si>
  <si>
    <t>DUNCAN PROGRESS ET</t>
  </si>
  <si>
    <t>DUNCAN MARK PATIENCE</t>
  </si>
  <si>
    <t>HOLDEUM000341276759</t>
  </si>
  <si>
    <t>SALINA</t>
  </si>
  <si>
    <t>NMDFRAM005395020039</t>
  </si>
  <si>
    <t>LEPTON</t>
  </si>
  <si>
    <t>HOTESSE</t>
  </si>
  <si>
    <t>HOLUSAM000017253930</t>
  </si>
  <si>
    <t>BULLCREST PATRON SABRE</t>
  </si>
  <si>
    <t>BULLCREST 845 ROEBUCK 1235</t>
  </si>
  <si>
    <t>PARADISE-R ROEBUCK</t>
  </si>
  <si>
    <t>HOLNLDM000210903539</t>
  </si>
  <si>
    <t>V EATON</t>
  </si>
  <si>
    <t>DELTA 108 BELT</t>
  </si>
  <si>
    <t>HOLUSAM000128961388</t>
  </si>
  <si>
    <t>ROSEDALE BIG SKY</t>
  </si>
  <si>
    <t>STOOKEY ELM PARK BLACKROSE ET</t>
  </si>
  <si>
    <t>JERNZLM000000097472</t>
  </si>
  <si>
    <t>WILLAND SAMS MELI GR</t>
  </si>
  <si>
    <t>HOLNLDM000236230732</t>
  </si>
  <si>
    <t>ISIDORUS KERMIT</t>
  </si>
  <si>
    <t>MASCOTTA 9</t>
  </si>
  <si>
    <t>HOLUSAM000017290313</t>
  </si>
  <si>
    <t>REGANCREST-MA DARK</t>
  </si>
  <si>
    <t>REGANCREST JED DEBORAH</t>
  </si>
  <si>
    <t>NMDFRAM004494023018</t>
  </si>
  <si>
    <t>JIOSCO</t>
  </si>
  <si>
    <t>HOLDEUM001021231601</t>
  </si>
  <si>
    <t>BUDE 038</t>
  </si>
  <si>
    <t>HOLNZLM000000103507</t>
  </si>
  <si>
    <t>DELTOP JORDAN PANTHER</t>
  </si>
  <si>
    <t>ACE HIGH GERRIS PASTEL-ET</t>
  </si>
  <si>
    <t>HOLAUSM000H00867792</t>
  </si>
  <si>
    <t>SELECT GIBBON PRINCIBUL</t>
  </si>
  <si>
    <t>FIORENDINO LINDY PRINCESS</t>
  </si>
  <si>
    <t>HOLIRLM151166950702</t>
  </si>
  <si>
    <t>CARRACOUSH MERV</t>
  </si>
  <si>
    <t>CARRACOUSH MAGPIE 102</t>
  </si>
  <si>
    <t>HOLIRLM151595840660</t>
  </si>
  <si>
    <t>CORRINVILLE MOUN</t>
  </si>
  <si>
    <t>BALLYDAGUE FYG LUPIN</t>
  </si>
  <si>
    <t>JERDNKM000000302098</t>
  </si>
  <si>
    <t>IRISH JERSEY CATTLE SOCIETY</t>
  </si>
  <si>
    <t>HOLCANM000009434213</t>
  </si>
  <si>
    <t>GINARY TANDEM</t>
  </si>
  <si>
    <t>GINARY RUDOLPH TANJA</t>
  </si>
  <si>
    <t>HOLIRLM272004780761</t>
  </si>
  <si>
    <t>LYNBROOK ROSCOE ET</t>
  </si>
  <si>
    <t>HOLUSAM000134438230</t>
  </si>
  <si>
    <t>KED OUTSIDE JEEVES-ET</t>
  </si>
  <si>
    <t>KED DUSTER JULIENNA-ET</t>
  </si>
  <si>
    <t>HOLCANM000005891251</t>
  </si>
  <si>
    <t>DUPASQUIER WINDSTAR</t>
  </si>
  <si>
    <t>DUPASQUIER BLAC WINNIE 2 ET</t>
  </si>
  <si>
    <t>HOLCANM000005497192</t>
  </si>
  <si>
    <t>BROWNDALE MANHATTAN ET</t>
  </si>
  <si>
    <t>FRADON TAB MAUDE ET</t>
  </si>
  <si>
    <t>HOLIRLM281463670519</t>
  </si>
  <si>
    <t>HOLUSAM000002231562</t>
  </si>
  <si>
    <t>RICECREST MARTY ET</t>
  </si>
  <si>
    <t>HOLNLDM000191321092</t>
  </si>
  <si>
    <t>LEAHSAND</t>
  </si>
  <si>
    <t>BARDALE MOUNTAIN LEAH ET</t>
  </si>
  <si>
    <t>HOLCANM000005138194</t>
  </si>
  <si>
    <t>FINISH MIC</t>
  </si>
  <si>
    <t>A CHEL-BROOK ROTATE JOLENE</t>
  </si>
  <si>
    <t>HOLNLDM000350143244</t>
  </si>
  <si>
    <t>JALLABERT</t>
  </si>
  <si>
    <t>AARON JABBER</t>
  </si>
  <si>
    <t>HOLIRLM281569480582</t>
  </si>
  <si>
    <t>PROGRESSIVE HECTOR ET</t>
  </si>
  <si>
    <t>KELSTEIN HELENA 7</t>
  </si>
  <si>
    <t>HOLGBRM000000587979</t>
  </si>
  <si>
    <t>COGENT DALTON</t>
  </si>
  <si>
    <t>REGANCREST ELTON DAYLITE ET</t>
  </si>
  <si>
    <t>HOLIRLM151774580345</t>
  </si>
  <si>
    <t>BALLINDINAS ALEX</t>
  </si>
  <si>
    <t>BALLINDINAS ERC ANGELA</t>
  </si>
  <si>
    <t>HOLIRLM151111840501</t>
  </si>
  <si>
    <t>MILLSTREET RUUD 3</t>
  </si>
  <si>
    <t>BRICK DENORA 63</t>
  </si>
  <si>
    <t>HOLIRLM151065710547</t>
  </si>
  <si>
    <t>ANNALEISH TIPTOP</t>
  </si>
  <si>
    <t>ANNALEISH GMI CARMEL</t>
  </si>
  <si>
    <t>JERDNKM000000047944</t>
  </si>
  <si>
    <t>SKAE HASSE</t>
  </si>
  <si>
    <t>HOLFRAM008501209816</t>
  </si>
  <si>
    <t>OFAIT</t>
  </si>
  <si>
    <t>HOLNZLM000000101094</t>
  </si>
  <si>
    <t>CULLENS TAKE NOTE</t>
  </si>
  <si>
    <t>BRFGBRM000000621841</t>
  </si>
  <si>
    <t>BRADASH MR MAGIC</t>
  </si>
  <si>
    <t>BRADASH MADRIGAL 65</t>
  </si>
  <si>
    <t>MARSHSIDE PERFORMER 4</t>
  </si>
  <si>
    <t>HOLIRLM241042040382</t>
  </si>
  <si>
    <t>CUNNAGVALE TIPTOP</t>
  </si>
  <si>
    <t>CUNNAGAVALE MARS TINA 2</t>
  </si>
  <si>
    <t>HOLCANM000007355185</t>
  </si>
  <si>
    <t>WEST PORT BOOKMAN RED</t>
  </si>
  <si>
    <t>WEST PORT RUBENS BRILLIANT RED</t>
  </si>
  <si>
    <t>HOLUSAM000060045375</t>
  </si>
  <si>
    <t>MIKES FLY-HIGH ED ASNER</t>
  </si>
  <si>
    <t>WEAVERLINE BENCH EDDIE ET</t>
  </si>
  <si>
    <t>RAGGI JOLT EMILY-ET</t>
  </si>
  <si>
    <t>HOLNLDM000380990771</t>
  </si>
  <si>
    <t>JK EDER HARO</t>
  </si>
  <si>
    <t>JK EURO 2</t>
  </si>
  <si>
    <t>HOLFRAM002921632624</t>
  </si>
  <si>
    <t>ROUKI</t>
  </si>
  <si>
    <t>HOLIRLM151549190371</t>
  </si>
  <si>
    <t>HILLSDALE LIONEL</t>
  </si>
  <si>
    <t>HILLSDALE RONALD LASS</t>
  </si>
  <si>
    <t>DFRNLDM000414563599</t>
  </si>
  <si>
    <t>DE VENNEN ANNE</t>
  </si>
  <si>
    <t>BREGIEN 24</t>
  </si>
  <si>
    <t>D VENNEN ARIES</t>
  </si>
  <si>
    <t>HOLIRLM361003770896</t>
  </si>
  <si>
    <t>LOUGHREE LOLY</t>
  </si>
  <si>
    <t>LOUGHREE SLOGAN LILY</t>
  </si>
  <si>
    <t>HOLDEUM000345379222</t>
  </si>
  <si>
    <t>DEA</t>
  </si>
  <si>
    <t>HOLUSAM000060540246</t>
  </si>
  <si>
    <t>MR REGANCREST DEX-ET</t>
  </si>
  <si>
    <t>REGANCREST BR PRINCES DI-ET</t>
  </si>
  <si>
    <t>HOLUSAM000129202882</t>
  </si>
  <si>
    <t>EMERALD-ACR-SA T-DEREK-ET</t>
  </si>
  <si>
    <t>EMERALD-ACR-SA TOOT-ET</t>
  </si>
  <si>
    <t>HOLNLDM000288861166</t>
  </si>
  <si>
    <t>FRANKENHOF JOKE</t>
  </si>
  <si>
    <t>GRAEFIN 47</t>
  </si>
  <si>
    <t>HOLNLDM000224730509</t>
  </si>
  <si>
    <t>GRUTHUUS SIMON</t>
  </si>
  <si>
    <t>GRUTHUUS ETAZON SHIPS 5</t>
  </si>
  <si>
    <t>HOLIRLM141398910624</t>
  </si>
  <si>
    <t>(IG) SEAVIEW TREY BLACK DUKE</t>
  </si>
  <si>
    <t>HOLGBRM000000523297</t>
  </si>
  <si>
    <t>BOULABANE ALLAH</t>
  </si>
  <si>
    <t>BOULABANE SALLY 4</t>
  </si>
  <si>
    <t>STARDALE GRYNDOL</t>
  </si>
  <si>
    <t>HOLGBRM000000514579</t>
  </si>
  <si>
    <t>CARRIGMOSS SELECT</t>
  </si>
  <si>
    <t>MMB HIGHPOINT BOY</t>
  </si>
  <si>
    <t>BELLAHILL FLORENCE</t>
  </si>
  <si>
    <t>HORWOOD EMPEROR 17</t>
  </si>
  <si>
    <t>HOLNZLM000000662507</t>
  </si>
  <si>
    <t>PETICOTE SWND MAGNOLIA ET</t>
  </si>
  <si>
    <t>HOLFRAM003596073950</t>
  </si>
  <si>
    <t>MEDOR</t>
  </si>
  <si>
    <t>HOLITAM000912027632</t>
  </si>
  <si>
    <t>AQUILA LUKE GALIZIA ET TV</t>
  </si>
  <si>
    <t>HOLCANM000007330226</t>
  </si>
  <si>
    <t>COMESTAR MAESTRO</t>
  </si>
  <si>
    <t>COMESTAR LAUSAN BLACK ET</t>
  </si>
  <si>
    <t>HOLUSAM000131263613</t>
  </si>
  <si>
    <t>MARKWELL DURHAM RHYME-ET</t>
  </si>
  <si>
    <t>HOLNLDM000324879630</t>
  </si>
  <si>
    <t>NEWHOUSE RICKY</t>
  </si>
  <si>
    <t>NEWHOUSE SNEEKER 149</t>
  </si>
  <si>
    <t>HOLDEUM000578134209</t>
  </si>
  <si>
    <t>VAMPIR</t>
  </si>
  <si>
    <t>MALEEN</t>
  </si>
  <si>
    <t>HOLIRLM141733060066</t>
  </si>
  <si>
    <t>CURRABEIGH STANDISH</t>
  </si>
  <si>
    <t>CURRABEIGH MELBA 2</t>
  </si>
  <si>
    <t>HOLNZLM000000102766</t>
  </si>
  <si>
    <t>SRD NGAIO SKELTON FLAKE</t>
  </si>
  <si>
    <t>HOLNLDM000362151552</t>
  </si>
  <si>
    <t>CREIJLAND SET UP</t>
  </si>
  <si>
    <t>CREIJLAND ANITA 27</t>
  </si>
  <si>
    <t>HOLNLDM000373806834</t>
  </si>
  <si>
    <t>HENKESEEN STILO</t>
  </si>
  <si>
    <t>HENKESEEN RUD HEIDI-ET</t>
  </si>
  <si>
    <t>JERNZLM000000306500</t>
  </si>
  <si>
    <t>OKURA MAUNGA KAWAKAW</t>
  </si>
  <si>
    <t>JERNZLM000000306526</t>
  </si>
  <si>
    <t>MERRIDOWNS MANS STING</t>
  </si>
  <si>
    <t>MERRIDOWNS ERNS STARGAZ</t>
  </si>
  <si>
    <t>HOMESTEAD ERNEST</t>
  </si>
  <si>
    <t>HOLIRLM241352150995</t>
  </si>
  <si>
    <t>(IG) KNOCKSOUNA BLACKJACK</t>
  </si>
  <si>
    <t>KNOCKSOUNA RUBY 47</t>
  </si>
  <si>
    <t>HOLNLDM000420878269</t>
  </si>
  <si>
    <t>SKALSUMER LANNO</t>
  </si>
  <si>
    <t>SKALSUMER PIETJE 604</t>
  </si>
  <si>
    <t>HOLCANM000009313510</t>
  </si>
  <si>
    <t>PENNVIEW INTRUDER</t>
  </si>
  <si>
    <t>PENNVIEW RUDOLPH INDIA</t>
  </si>
  <si>
    <t>HOLIRLM191038420409</t>
  </si>
  <si>
    <t>LEANAMORE OMAN</t>
  </si>
  <si>
    <t>LEANAMORE MARS 1</t>
  </si>
  <si>
    <t>HOLIRLM141608170292</t>
  </si>
  <si>
    <t>MILLANDS PRINCESS 17</t>
  </si>
  <si>
    <t>DFRNLDM000828141545</t>
  </si>
  <si>
    <t>DOVEA FALKO 5</t>
  </si>
  <si>
    <t>FOKJE</t>
  </si>
  <si>
    <t>HOLFRAM005397053827</t>
  </si>
  <si>
    <t>GALTEE ENUPHAR</t>
  </si>
  <si>
    <t>HELLS</t>
  </si>
  <si>
    <t>HOLGBRM000000520273</t>
  </si>
  <si>
    <t>DINNATON TRUSTWORTHY ET</t>
  </si>
  <si>
    <t>DINNATON TOTAL ECLIPSE 3</t>
  </si>
  <si>
    <t>HOLUSAM000134422312</t>
  </si>
  <si>
    <t>GEN-MARK BW MAR WINNIE-ET</t>
  </si>
  <si>
    <t>HOLUSAM000137187496</t>
  </si>
  <si>
    <t>DEER-BROOK MACHINIST-ET</t>
  </si>
  <si>
    <t>DEER-BROOK DIE-HARD 1672</t>
  </si>
  <si>
    <t>REGANCREST RBK DIE-HARD-ET</t>
  </si>
  <si>
    <t>HOLNLDM000355478033</t>
  </si>
  <si>
    <t>VENERIETE WILLIS</t>
  </si>
  <si>
    <t>BEEKMANS TINIE 409</t>
  </si>
  <si>
    <t>HOLGBRM000000634227</t>
  </si>
  <si>
    <t>BALLYCAIRN OMAN ECHO</t>
  </si>
  <si>
    <t>AVEST NO ELISE PI</t>
  </si>
  <si>
    <t>HARTS ELM PARK ESKIMO ET</t>
  </si>
  <si>
    <t>R HART SIMON ENSIGN</t>
  </si>
  <si>
    <t>JUST SO EMORY EDGE ET</t>
  </si>
  <si>
    <t>HOLNZLM000000107588</t>
  </si>
  <si>
    <t>HSS FAVOUR PEER-ET S3F</t>
  </si>
  <si>
    <t>AURORA DONOR FAVOUR</t>
  </si>
  <si>
    <t>HALLS PIERE PERL-F-ET S2F</t>
  </si>
  <si>
    <t>HOLNZLM000000107597</t>
  </si>
  <si>
    <t>VALDEN ELSTO EAGER-ET S3F</t>
  </si>
  <si>
    <t>VALDEN INGMAR EMMA-ET S2F</t>
  </si>
  <si>
    <t>SRB HANSENS INGMAR</t>
  </si>
  <si>
    <t>HOLNZLM000000107519</t>
  </si>
  <si>
    <t>HAZAEL RENEGADE DRIVER-ET</t>
  </si>
  <si>
    <t>HAZAEL EMS DREAM-ET</t>
  </si>
  <si>
    <t>HOLIRLM191062161272</t>
  </si>
  <si>
    <t>(IG) GLENSILLAGH TIMMY</t>
  </si>
  <si>
    <t>GLENSILLAGH NHS TAMMY</t>
  </si>
  <si>
    <t>HOLIRLM131731711356</t>
  </si>
  <si>
    <t>(IG) MEENROSS AMBIWOOD</t>
  </si>
  <si>
    <t>MEENROSS SPW MAGIC 445</t>
  </si>
  <si>
    <t>BRFGBRM000000581142</t>
  </si>
  <si>
    <t>LAKEMEAD SUNBURST</t>
  </si>
  <si>
    <t>ALSOPDALE SUNBEAM 2</t>
  </si>
  <si>
    <t>LAKEMEAD LOVELY 3</t>
  </si>
  <si>
    <t>HOLUSAM000136349909</t>
  </si>
  <si>
    <t>GROSS-FARM O-MAN SECRET-ET</t>
  </si>
  <si>
    <t>GROSS-FARM DURHAM SECRETIVE</t>
  </si>
  <si>
    <t>HOLNLDM000343990114</t>
  </si>
  <si>
    <t>BARNKAMPER SUPPORT</t>
  </si>
  <si>
    <t>BARNKAMPER MARILYN 27</t>
  </si>
  <si>
    <t>RDCNORM000000005322</t>
  </si>
  <si>
    <t>E.TVEITAN</t>
  </si>
  <si>
    <t>FREDA</t>
  </si>
  <si>
    <t>HOLIRLM151549140301</t>
  </si>
  <si>
    <t>HILLSDALE MERCI IVY</t>
  </si>
  <si>
    <t>HOLNZLM000000672403</t>
  </si>
  <si>
    <t>BAGWORTH KEETS OAKLEY</t>
  </si>
  <si>
    <t>HOLUSAM000002257212</t>
  </si>
  <si>
    <t>GARJO ELTON GABE-ET</t>
  </si>
  <si>
    <t>PRAIRIE-BELLE MAS GIN-ET</t>
  </si>
  <si>
    <t>HOLIRLM141403280561</t>
  </si>
  <si>
    <t>GRANAGOLEEN KEET</t>
  </si>
  <si>
    <t>GRANAGOLEEN BLACKSTAR ROBIN</t>
  </si>
  <si>
    <t>HOLIRLM371287461083</t>
  </si>
  <si>
    <t>MILLTOWN ARNIE</t>
  </si>
  <si>
    <t>MILLTOWN GMI AINE</t>
  </si>
  <si>
    <t>HOLUSAM000138122625</t>
  </si>
  <si>
    <t>HOLGBRM000000546054</t>
  </si>
  <si>
    <t>MONAMORE VETERAN ET</t>
  </si>
  <si>
    <t>CLONSWORDS VERA 31</t>
  </si>
  <si>
    <t>RADDLEHURST WARDER 2</t>
  </si>
  <si>
    <t>DFRNLDM000225723137</t>
  </si>
  <si>
    <t>JACOB 12</t>
  </si>
  <si>
    <t>FOEKJE 101</t>
  </si>
  <si>
    <t>JUPITER</t>
  </si>
  <si>
    <t>JERNZLM000000065871</t>
  </si>
  <si>
    <t>GLENARIFF ADS PANACHE</t>
  </si>
  <si>
    <t>GLENARIFF BROMLEY PEG GR</t>
  </si>
  <si>
    <t>MERIVALE BROMLEY</t>
  </si>
  <si>
    <t>HOLCANM000008956379</t>
  </si>
  <si>
    <t>HOLIRLM351066110631</t>
  </si>
  <si>
    <t>CURRA ROCKIE</t>
  </si>
  <si>
    <t>CURRA UYC EVE</t>
  </si>
  <si>
    <t>HOLUSAM000061898426</t>
  </si>
  <si>
    <t>REGANCREST BALTIMOR-ET</t>
  </si>
  <si>
    <t>HOLUSAM000065917481</t>
  </si>
  <si>
    <t>DE-SU OMAN 6121-ET</t>
  </si>
  <si>
    <t>HOLUSAM000139750470</t>
  </si>
  <si>
    <t>APPLOUIS MICHAEL DUNHILL-ET</t>
  </si>
  <si>
    <t>LUTZ-BROOKVIEW MICHAEL-ET</t>
  </si>
  <si>
    <t>APPLOUIS TOYSTORY ANNIE-ET</t>
  </si>
  <si>
    <t>HOLUSAM000139005002</t>
  </si>
  <si>
    <t>COYNE-FARMS BRET DAFFERS-ET</t>
  </si>
  <si>
    <t>HOLUSAM000132505846</t>
  </si>
  <si>
    <t>SOLLIEN GRANDVIEW-ET</t>
  </si>
  <si>
    <t>LONG HAVEN GLENDA ET</t>
  </si>
  <si>
    <t>HOLUSAM000062175895</t>
  </si>
  <si>
    <t>PINE-TREE SID-ET</t>
  </si>
  <si>
    <t>PINE TREE FINLEY MINNIE-ET</t>
  </si>
  <si>
    <t>OPSAL FINLEY ET*TV*TL</t>
  </si>
  <si>
    <t>HOLUSAM000137959538</t>
  </si>
  <si>
    <t>MORNINGVIEW ALTATOYOTA</t>
  </si>
  <si>
    <t>MORNINGVIEW FNLY MIKKI ET</t>
  </si>
  <si>
    <t>RDCSWEM000000092385</t>
  </si>
  <si>
    <t>A LINNE</t>
  </si>
  <si>
    <t>699 LISA</t>
  </si>
  <si>
    <t>HOLNZLM000000509046</t>
  </si>
  <si>
    <t>BROOKLANDS RAMPANT</t>
  </si>
  <si>
    <t>HOLNZLM000000108186</t>
  </si>
  <si>
    <t>WHINLEA PALADIUM ELSA-ET</t>
  </si>
  <si>
    <t>HOLDEUM000114140295</t>
  </si>
  <si>
    <t>ZABING</t>
  </si>
  <si>
    <t>ZUNDER</t>
  </si>
  <si>
    <t>BABYLON 3</t>
  </si>
  <si>
    <t>HOLDEUM000349789696</t>
  </si>
  <si>
    <t>LONAR</t>
  </si>
  <si>
    <t>MAGIC 362</t>
  </si>
  <si>
    <t>HOLGBRM000000635430</t>
  </si>
  <si>
    <t>RIVERDANE ADVENTURE RED ET</t>
  </si>
  <si>
    <t>LAVENDER RUBY REDROSE-RED</t>
  </si>
  <si>
    <t>MONFRAM007120713891</t>
  </si>
  <si>
    <t>USSAGE</t>
  </si>
  <si>
    <t>MONFRAF000</t>
  </si>
  <si>
    <t>MONFRAM002546293145</t>
  </si>
  <si>
    <t>DARWIN</t>
  </si>
  <si>
    <t>ATHENA</t>
  </si>
  <si>
    <t>HOLUSAM000062188532</t>
  </si>
  <si>
    <t>SANDY-VALLEY DENETHOR-ET</t>
  </si>
  <si>
    <t>REGAN-ENGLAND DELLA 3134-ET</t>
  </si>
  <si>
    <t>HOLITAM012990018403</t>
  </si>
  <si>
    <t>CERESIO CINNAMON TV</t>
  </si>
  <si>
    <t>CERESIO ELICA CV</t>
  </si>
  <si>
    <t>HOLITAM019500315866</t>
  </si>
  <si>
    <t>M.E.DAL ALLIANCE TV TL</t>
  </si>
  <si>
    <t>C. LARRINA</t>
  </si>
  <si>
    <t>JERNZLM000000309103</t>
  </si>
  <si>
    <t>KEYSTONE JONO WARLOCK S2J</t>
  </si>
  <si>
    <t>KEYSTONE MAN WILLOW S1J</t>
  </si>
  <si>
    <t>JERNZLM000000308083</t>
  </si>
  <si>
    <t>LYNBROOK TGM TANGO S3J</t>
  </si>
  <si>
    <t>LYNBROOK OM TRICK ET</t>
  </si>
  <si>
    <t>HOLNZLM000000508160</t>
  </si>
  <si>
    <t>VAN STRAALENS HARRIER-ET</t>
  </si>
  <si>
    <t>HOLUSAM000061376443</t>
  </si>
  <si>
    <t>KELLERCREST BRET LES CRI-ET</t>
  </si>
  <si>
    <t>KELLERCREST MANFRED LUCK</t>
  </si>
  <si>
    <t>HOLIRLM211056161338</t>
  </si>
  <si>
    <t>RAHEENARRAN RYL ZUPPY</t>
  </si>
  <si>
    <t>RAHEENARRAN MKX DAIRINE</t>
  </si>
  <si>
    <t>MOERBEEKER HENDRIK</t>
  </si>
  <si>
    <t>HOLNZLM000000108181</t>
  </si>
  <si>
    <t>EWING ROCKSOLID MCCOY S2F</t>
  </si>
  <si>
    <t>HOLNZLM000000108214</t>
  </si>
  <si>
    <t>BAGWORTH RM ARASMUS S2F</t>
  </si>
  <si>
    <t>BAGWORTH RENS GLINZ</t>
  </si>
  <si>
    <t>HOLIRLM151623481815</t>
  </si>
  <si>
    <t>(IG) BALLYBRIDE ECKLAND</t>
  </si>
  <si>
    <t>RDCGBRM000007190318</t>
  </si>
  <si>
    <t>BRIERYSIDE GOLDEN SAND</t>
  </si>
  <si>
    <t>MORWICK SAND RANGER RED ET PI</t>
  </si>
  <si>
    <t>BRIERYSIDE INSPIRATION SYGNET</t>
  </si>
  <si>
    <t>BSWITAM022000130210</t>
  </si>
  <si>
    <t>SUPERBROWN POSTER</t>
  </si>
  <si>
    <t>CADONAUS PEERLESS POLDI</t>
  </si>
  <si>
    <t>SUPERBROWN CADRA NELA</t>
  </si>
  <si>
    <t>EMICO</t>
  </si>
  <si>
    <t>HOLNZLM000000108675</t>
  </si>
  <si>
    <t>HAZAEL VHA DYLAN-ET S3F</t>
  </si>
  <si>
    <t>KARATANE CURIOUS DEANNA</t>
  </si>
  <si>
    <t>JERNZLM000000308579</t>
  </si>
  <si>
    <t>CANAAN TGM CARTER S3J</t>
  </si>
  <si>
    <t>CANAAN MAN CARENE S3J</t>
  </si>
  <si>
    <t>HOLUSAM000062067753</t>
  </si>
  <si>
    <t>RI-VAL-RE JESTHER NILLIE-ET</t>
  </si>
  <si>
    <t>HOLUSAM000062496434</t>
  </si>
  <si>
    <t>REGAN-ALH DRAGON-ET</t>
  </si>
  <si>
    <t>HOLIRLM151868581698</t>
  </si>
  <si>
    <t>(IG) MURPHYS NUPTIAL</t>
  </si>
  <si>
    <t>HOLNZLM000000110063</t>
  </si>
  <si>
    <t>MAIRE PF GOLDEN BOY S2F</t>
  </si>
  <si>
    <t>MAIRE FIRENZE GINA-ET</t>
  </si>
  <si>
    <t>HOLNZLM000000110031</t>
  </si>
  <si>
    <t>JERNZLM000000307506</t>
  </si>
  <si>
    <t>BEECHLANDS TYRONE NORTON</t>
  </si>
  <si>
    <t>BROOKVALE BERRETTA TYRONE</t>
  </si>
  <si>
    <t>BEECHLANDS OMEGA NORMA</t>
  </si>
  <si>
    <t>CHEERS JOY OMEGA GR</t>
  </si>
  <si>
    <t>JERNZLM000000510040</t>
  </si>
  <si>
    <t>HAZAELS DELIGHT</t>
  </si>
  <si>
    <t>HOLNZLM000000110007</t>
  </si>
  <si>
    <t>BAGWORTH SUMMIT GLINT S2F</t>
  </si>
  <si>
    <t>BAGWORTH DANCER GLINT</t>
  </si>
  <si>
    <t>HOLCANM000105545170</t>
  </si>
  <si>
    <t>ESTMER MELVIN RED P</t>
  </si>
  <si>
    <t>WEST PORT ARRON DOON MITEY P</t>
  </si>
  <si>
    <t>VIDIA MRBURNS MELODIE</t>
  </si>
  <si>
    <t>RDCCANM000007407843</t>
  </si>
  <si>
    <t>KILDARE TORNADE S ET</t>
  </si>
  <si>
    <t>DE LA CAVEE SYLV SUPRA ET</t>
  </si>
  <si>
    <t>EMBRYO-STAR SYLVESTER ET</t>
  </si>
  <si>
    <t>HOLNLDM000916406671</t>
  </si>
  <si>
    <t>DIEPENHOEK KINDLY (NLD)</t>
  </si>
  <si>
    <t>DIEPENHOEK MONA LISA 25 (NLD)</t>
  </si>
  <si>
    <t>HOLNZLM000000110049</t>
  </si>
  <si>
    <t>HOLNZLM000000110012</t>
  </si>
  <si>
    <t>VOGELS MS BULLET S1F</t>
  </si>
  <si>
    <t>HOLITAM019990282826</t>
  </si>
  <si>
    <t>GO-FARM ROYAL PELLE ET</t>
  </si>
  <si>
    <t>GO-FARM ROYA TRILOGY ET (IT)</t>
  </si>
  <si>
    <t>HOLITAM019990328894</t>
  </si>
  <si>
    <t>PIROLO GOLDW.WYMAN ET TV TL TY</t>
  </si>
  <si>
    <t>PIROLO O-MAN STUPENDA</t>
  </si>
  <si>
    <t>HOLCANM000008360698</t>
  </si>
  <si>
    <t>STONEDEN DETONATOR RED</t>
  </si>
  <si>
    <t>HOLGBRM000000642862</t>
  </si>
  <si>
    <t>WILLSBRO LARSON-ET</t>
  </si>
  <si>
    <t>ACECROFT GOLDWYN LILA Z ET</t>
  </si>
  <si>
    <t>HOLCANM000009767323</t>
  </si>
  <si>
    <t>STANTONS BARCODE</t>
  </si>
  <si>
    <t>MTN-VIEW-S PT BUBBLE-ET</t>
  </si>
  <si>
    <t>HOLUSAM000062233510</t>
  </si>
  <si>
    <t>RIVER-GORGE MAURY</t>
  </si>
  <si>
    <t>M+T CONVINCER 1949-ET</t>
  </si>
  <si>
    <t>BSWDEUM000939457993</t>
  </si>
  <si>
    <t>MOLOG</t>
  </si>
  <si>
    <t>MOIADO</t>
  </si>
  <si>
    <t>HONKY ET</t>
  </si>
  <si>
    <t>TRILOGY</t>
  </si>
  <si>
    <t>HOLNZLM000000110048</t>
  </si>
  <si>
    <t>WELLS VA ACHIEVER S2F</t>
  </si>
  <si>
    <t>MEADOWS</t>
  </si>
  <si>
    <t>HOLNZLM000000510023</t>
  </si>
  <si>
    <t>PUKETAI BRAVEHEART</t>
  </si>
  <si>
    <t>BURWELLS APPARITION-ET</t>
  </si>
  <si>
    <t>NEVVY</t>
  </si>
  <si>
    <t>HOLNZLM000000110045</t>
  </si>
  <si>
    <t>UPTONS MAGIC UPGRADE S2F</t>
  </si>
  <si>
    <t>HOLUSAM000140145553</t>
  </si>
  <si>
    <t>HOLCANM000008932157</t>
  </si>
  <si>
    <t>GILLETTE WINDHAMMER ET</t>
  </si>
  <si>
    <t>HOLIRLM221277531611</t>
  </si>
  <si>
    <t>GARRENDENNY LUCIFER</t>
  </si>
  <si>
    <t>GARRENDENNY SSI LUCY 953</t>
  </si>
  <si>
    <t>HOLCANM000009626824</t>
  </si>
  <si>
    <t>MORSAN MASTERPIECE</t>
  </si>
  <si>
    <t>JERCANM000101735533</t>
  </si>
  <si>
    <t>RAPID BAY RESSURECTION -ET</t>
  </si>
  <si>
    <t>HOLLYLANE RENAISSANCE</t>
  </si>
  <si>
    <t>DUNCAN BELLE</t>
  </si>
  <si>
    <t>TOP SWISS PRECISE PROUD</t>
  </si>
  <si>
    <t>PRECISE ET</t>
  </si>
  <si>
    <t>TOP SWISS JETWAY IOWA</t>
  </si>
  <si>
    <t>HOLUSAM000066626020</t>
  </si>
  <si>
    <t>REGANCREST BEAU-ET</t>
  </si>
  <si>
    <t>REGANCREST G BRIZELDA-ET</t>
  </si>
  <si>
    <t>RDCSWEM000000092488</t>
  </si>
  <si>
    <t>PELL-PERS</t>
  </si>
  <si>
    <t>FLARKB¿CKEN</t>
  </si>
  <si>
    <t>82 LYCKA</t>
  </si>
  <si>
    <t>BOTANS</t>
  </si>
  <si>
    <t>HOLNZLM000000111047</t>
  </si>
  <si>
    <t>BOURNE ON-A-MISSION S3F</t>
  </si>
  <si>
    <t>HOLNZLM000000111025</t>
  </si>
  <si>
    <t>GLEN KORU WM ICEMAN S1F</t>
  </si>
  <si>
    <t>GLEN KORU NSEA BILLIE S0F</t>
  </si>
  <si>
    <t>HOLNZLM000000111038</t>
  </si>
  <si>
    <t>ARKAN GH HORIZON S2F</t>
  </si>
  <si>
    <t>GOWS MIGHTY HEFF S1F</t>
  </si>
  <si>
    <t>ARKAN 08-88-ET</t>
  </si>
  <si>
    <t>HOLNLDM000475750563</t>
  </si>
  <si>
    <t>HEIDENSKIPSTER GOLDDAY</t>
  </si>
  <si>
    <t>JERNZLM000000311023</t>
  </si>
  <si>
    <t>TE ARANGA JP JUBILANT S2J</t>
  </si>
  <si>
    <t>JAMALS KEP PRIMO S2J</t>
  </si>
  <si>
    <t>TE ARANGA SUNNY JOY</t>
  </si>
  <si>
    <t>LINAL MANS SUNNYBOY</t>
  </si>
  <si>
    <t>JERNZLM000000311022</t>
  </si>
  <si>
    <t>HILLSTAR JONOS STARLET</t>
  </si>
  <si>
    <t>HOLIRLM151623452216</t>
  </si>
  <si>
    <t>(IG) BALLYBRIDE SHERLOCK</t>
  </si>
  <si>
    <t>BALLYBRIDE WPE SHERRY 1</t>
  </si>
  <si>
    <t>HOLIRLM151620962952</t>
  </si>
  <si>
    <t>MODELIGO SPLENDOUR</t>
  </si>
  <si>
    <t>MODELIGO KES BLOSSOM 2218</t>
  </si>
  <si>
    <t>KELSTEIN E 164</t>
  </si>
  <si>
    <t>HOLIRLM151620912931</t>
  </si>
  <si>
    <t>MODELIGO SWEETDREAM</t>
  </si>
  <si>
    <t>MODELIGO BWH MOLLY 1594</t>
  </si>
  <si>
    <t>HOLCANM000007817774</t>
  </si>
  <si>
    <t>VIORIS SLEEMAN</t>
  </si>
  <si>
    <t>VIORIS FREELANCE SOL</t>
  </si>
  <si>
    <t>BRAEDALE FREELANCE</t>
  </si>
  <si>
    <t>HOLNLDM000543470854</t>
  </si>
  <si>
    <t>BLACKBOY</t>
  </si>
  <si>
    <t>KLASSIC BIG TIME-ET</t>
  </si>
  <si>
    <t>BARNKAMPER OCTAVIA 37</t>
  </si>
  <si>
    <t>HOLIRLM182197970742</t>
  </si>
  <si>
    <t>RAMORE GRANDMAN</t>
  </si>
  <si>
    <t>RAMORE CWJ RUBY 435</t>
  </si>
  <si>
    <t>HOLCANM000011591480</t>
  </si>
  <si>
    <t>DELABERGE PEPPER</t>
  </si>
  <si>
    <t>DELABERGE PLANET LOUISA</t>
  </si>
  <si>
    <t>HOLUSAM000065917464</t>
  </si>
  <si>
    <t>DE-SU JOCKEY-ET</t>
  </si>
  <si>
    <t>DFRNLDM000328410628</t>
  </si>
  <si>
    <t>RIVELINO 409</t>
  </si>
  <si>
    <t>RIVELINO 377</t>
  </si>
  <si>
    <t>DFRNLDM000494471962</t>
  </si>
  <si>
    <t>BERNARD 26</t>
  </si>
  <si>
    <t>BEATRIX 287</t>
  </si>
  <si>
    <t>BERNARD 25</t>
  </si>
  <si>
    <t>HOLGBRM200924601124</t>
  </si>
  <si>
    <t>CATLANE MASTERCHEF</t>
  </si>
  <si>
    <t>CATLANE BETA MAUD 3</t>
  </si>
  <si>
    <t>HOLUSAM000069990138</t>
  </si>
  <si>
    <t>NMDFRAM005627677386</t>
  </si>
  <si>
    <t>HIGHLAND</t>
  </si>
  <si>
    <t>VOUPIGNY</t>
  </si>
  <si>
    <t>FLAMME</t>
  </si>
  <si>
    <t>SAINTYORRE</t>
  </si>
  <si>
    <t>HOLIRLM151549110810</t>
  </si>
  <si>
    <t>(IG) HILLSDALE HEATHCLIFFE</t>
  </si>
  <si>
    <t>HILLSDALE OJI HEART</t>
  </si>
  <si>
    <t>HOLNLDM000881357105</t>
  </si>
  <si>
    <t>GANSEY'S ICE CRIMETIME</t>
  </si>
  <si>
    <t>CAROLIEN 3861</t>
  </si>
  <si>
    <t>HOLCANM000107281711</t>
  </si>
  <si>
    <t>VAL-BISSON SHOTTLE IMELDA</t>
  </si>
  <si>
    <t>HOLIRLM191529431190</t>
  </si>
  <si>
    <t>(IG)BALLINDROHID CWP LOTTO1190</t>
  </si>
  <si>
    <t>BALLINDROHID SPH JEANE 885</t>
  </si>
  <si>
    <t>SPARTA HARLEY</t>
  </si>
  <si>
    <t>HOLITAM053990032337</t>
  </si>
  <si>
    <t>TOC-FARM GOLDFISH ET TV TL TY</t>
  </si>
  <si>
    <t>TOC-FARM ALLEN AMYLY</t>
  </si>
  <si>
    <t>HOLNZLM000000112025</t>
  </si>
  <si>
    <t>HOLIRLM151535120695</t>
  </si>
  <si>
    <t>BALLYADACK SUPREME</t>
  </si>
  <si>
    <t>BALLYADACK UYC AVRIL</t>
  </si>
  <si>
    <t>HOLGBRM000000654275</t>
  </si>
  <si>
    <t>KIRKBY JUPITER</t>
  </si>
  <si>
    <t>KIRKBY JAY 30</t>
  </si>
  <si>
    <t>JERNZLM000000512026</t>
  </si>
  <si>
    <t>KEYSTONE HILTON</t>
  </si>
  <si>
    <t>PAYNES PROPAGATOR</t>
  </si>
  <si>
    <t>KEYSTONE HE HAILEE</t>
  </si>
  <si>
    <t>HOLNZLM000000112040</t>
  </si>
  <si>
    <t>KAHURANGI GB TOPGUN S2F</t>
  </si>
  <si>
    <t>TAMARA</t>
  </si>
  <si>
    <t>HOLGBRM000000655200</t>
  </si>
  <si>
    <t>NORTONHILL DESIGNATOR ET</t>
  </si>
  <si>
    <t>REGANCREST-I DESTIN MAC ET</t>
  </si>
  <si>
    <t>REGANCREST-HHF MAC-ET</t>
  </si>
  <si>
    <t>MONFRAM000110014141</t>
  </si>
  <si>
    <t>FIRESTONE</t>
  </si>
  <si>
    <t>BELDONE</t>
  </si>
  <si>
    <t>POLICHINEL</t>
  </si>
  <si>
    <t>JERUSAM000116279413</t>
  </si>
  <si>
    <t>BHF-SSF PARADE LOUIE-ET</t>
  </si>
  <si>
    <t>D+E PARAMOUNT VIOLET</t>
  </si>
  <si>
    <t>HOLCANM000108250917</t>
  </si>
  <si>
    <t>LOOKOUT PESCE SNOWY</t>
  </si>
  <si>
    <t>DE-SU 9842-ET</t>
  </si>
  <si>
    <t>HOLIRLM351348681120</t>
  </si>
  <si>
    <t>BALLYMULLALA FIONN</t>
  </si>
  <si>
    <t>BALLYMULLALA ROYAL BEAUTY</t>
  </si>
  <si>
    <t>HOLIRLM331396551220</t>
  </si>
  <si>
    <t>KILSUNNY NAUTICAL 7</t>
  </si>
  <si>
    <t>KILSUNNY RUBY 36</t>
  </si>
  <si>
    <t>KILSUNNY OSSWALD 7</t>
  </si>
  <si>
    <t>HOLUSAM000070625988</t>
  </si>
  <si>
    <t>HOLGBRM000000659689</t>
  </si>
  <si>
    <t>MANORPARK GOOGLE</t>
  </si>
  <si>
    <t>MONFRAM001529144677</t>
  </si>
  <si>
    <t>EXTRAFIN</t>
  </si>
  <si>
    <t>COQUETTE</t>
  </si>
  <si>
    <t>HOLIRLM241499920926</t>
  </si>
  <si>
    <t>TIRNAHILLA HZO ESTHER</t>
  </si>
  <si>
    <t>HOLIRLM351312621517</t>
  </si>
  <si>
    <t>(IG) RHINCRUE COOL FAIRGALT 1</t>
  </si>
  <si>
    <t>RHINCRUE AUDRY 79</t>
  </si>
  <si>
    <t>MRYNLDM000398789884</t>
  </si>
  <si>
    <t>MELDON</t>
  </si>
  <si>
    <t>MELDOBER</t>
  </si>
  <si>
    <t>STINA 109</t>
  </si>
  <si>
    <t>DON</t>
  </si>
  <si>
    <t>HOLNZLM000000112019</t>
  </si>
  <si>
    <t>ZINKS GB FURNACE S2F</t>
  </si>
  <si>
    <t>ZINKS HUGO DELILA S1F</t>
  </si>
  <si>
    <t>HOLNZLM000000112005</t>
  </si>
  <si>
    <t>GOINGS MECCA PRIDE S1F</t>
  </si>
  <si>
    <t>HOLNLDM000388710470</t>
  </si>
  <si>
    <t>NEWHOUSE JONES</t>
  </si>
  <si>
    <t>NEWHOUSE SNEEKER 171</t>
  </si>
  <si>
    <t>HOLUSAM000070358061</t>
  </si>
  <si>
    <t>SANDY-VALLEY SALOON-ET</t>
  </si>
  <si>
    <t>SANDY-VALLEY PLANE SAPPHIRE</t>
  </si>
  <si>
    <t>HOLIRLM151011223352</t>
  </si>
  <si>
    <t>(IG) LISDUFF RAIDER</t>
  </si>
  <si>
    <t>LISDUFF LESLIE 73 ET</t>
  </si>
  <si>
    <t>HOLNLDM000399745212</t>
  </si>
  <si>
    <t>KEVIN</t>
  </si>
  <si>
    <t>TOPSP.JANTJE135</t>
  </si>
  <si>
    <t>BRFGBRM000000650490</t>
  </si>
  <si>
    <t>CATLANE SNOWSTORM</t>
  </si>
  <si>
    <t>CATLANE MARKER SNOWBALL</t>
  </si>
  <si>
    <t>HOLUSAM000064943825</t>
  </si>
  <si>
    <t>REGAN-ALH DOODAD-ET</t>
  </si>
  <si>
    <t>HOLNZLM000000112030</t>
  </si>
  <si>
    <t>WAIDUGKANS HR CLAY S3F</t>
  </si>
  <si>
    <t>HAZAEL VA RAZZLER-ET S2F</t>
  </si>
  <si>
    <t>BUSY BROOK FIRE CARLY</t>
  </si>
  <si>
    <t>HOLNLDM000494262272</t>
  </si>
  <si>
    <t>TOMAHAWK</t>
  </si>
  <si>
    <t>JIMM. HOLSTEIN VENETIE 3</t>
  </si>
  <si>
    <t>REMBRANDT</t>
  </si>
  <si>
    <t>BRFGBRM000000627353</t>
  </si>
  <si>
    <t>DEANGATE TARQUIN</t>
  </si>
  <si>
    <t>DEANGATE QUEENIE 9</t>
  </si>
  <si>
    <t>HOLNZLM000000111023</t>
  </si>
  <si>
    <t>BENDALE AD BLAZA S1F</t>
  </si>
  <si>
    <t>ARKAN VA DYNASTY S2F</t>
  </si>
  <si>
    <t>JERDNKM000000303828</t>
  </si>
  <si>
    <t>VJ HORT</t>
  </si>
  <si>
    <t>DNK1471702329</t>
  </si>
  <si>
    <t>HOLCANM000011775997</t>
  </si>
  <si>
    <t>WALNUTLAWN BLAKE</t>
  </si>
  <si>
    <t>SANDY-VALLEY ATWD BRADY-ET</t>
  </si>
  <si>
    <t>HOLFRAM002930983673</t>
  </si>
  <si>
    <t>JETSTREAM</t>
  </si>
  <si>
    <t>HARMONY</t>
  </si>
  <si>
    <t>HOLUSAM000070541469</t>
  </si>
  <si>
    <t>CO-OP ROBUST JITTERBUG-ET</t>
  </si>
  <si>
    <t>BEYERCREST JULIA CRI-ET</t>
  </si>
  <si>
    <t>HOLDEUM000538481754</t>
  </si>
  <si>
    <t>ABS CRAYON</t>
  </si>
  <si>
    <t>HOLUSAM000072860352</t>
  </si>
  <si>
    <t>VIEW-HOME UTAH-ET</t>
  </si>
  <si>
    <t>HOLUSAM000069502427</t>
  </si>
  <si>
    <t>KERNDTWAY ERASER P-ET</t>
  </si>
  <si>
    <t>GOLDEN-OAKS OBSRVR DIXIE-ET</t>
  </si>
  <si>
    <t>HOLCANM000011596146</t>
  </si>
  <si>
    <t>STANTONS MAIN EVENT</t>
  </si>
  <si>
    <t>HOLUSAM000072923374</t>
  </si>
  <si>
    <t>VIEW-HOME LITTLEROCK-ET</t>
  </si>
  <si>
    <t>DFRDEUM001265302016</t>
  </si>
  <si>
    <t>DOVEA LANDVOGT</t>
  </si>
  <si>
    <t>LANDGRAF</t>
  </si>
  <si>
    <t>NEIL V1 592</t>
  </si>
  <si>
    <t>HOLIRLM211180342041</t>
  </si>
  <si>
    <t>FIRODA RANDY 7</t>
  </si>
  <si>
    <t>FIRODA VML TWINK 2</t>
  </si>
  <si>
    <t>HOLCANM000107870104</t>
  </si>
  <si>
    <t>COMESTAR LINEMAN</t>
  </si>
  <si>
    <t>COMESTAR LAUTAMAI MAN O MAN</t>
  </si>
  <si>
    <t>DFRNLDM000724675870</t>
  </si>
  <si>
    <t>BERNARD 28</t>
  </si>
  <si>
    <t>TARZAN 8</t>
  </si>
  <si>
    <t>HOLIRLM141426651406</t>
  </si>
  <si>
    <t>(IG) AHAFORE FRANKO</t>
  </si>
  <si>
    <t>AHAFORE KOZ FIONA 1147</t>
  </si>
  <si>
    <t>HOLUSAM000070594754</t>
  </si>
  <si>
    <t>MELARRY ROBUST MILES-ET</t>
  </si>
  <si>
    <t>MELARRY AL MCKENNA-ET</t>
  </si>
  <si>
    <t>HOLNLDM000549685043</t>
  </si>
  <si>
    <t xml:space="preserve">PEAK MR. GREY         </t>
  </si>
  <si>
    <t>COYNE-FARMS JETSET-ET</t>
  </si>
  <si>
    <t xml:space="preserve">A-L-H MOVIEMAX        </t>
  </si>
  <si>
    <t>CO-OP O-STYLE OMAN JUST-ET</t>
  </si>
  <si>
    <t>HOLIRLM371407851561</t>
  </si>
  <si>
    <t>(IG) MEADOWVIEW RODNEY</t>
  </si>
  <si>
    <t>MEADOWVIEW KOZ ROMY 1278</t>
  </si>
  <si>
    <t>HOLDEUM001265389013</t>
  </si>
  <si>
    <t>HGG KITANO PP</t>
  </si>
  <si>
    <t>WILDER KANU P RED</t>
  </si>
  <si>
    <t>PG MOOKEM</t>
  </si>
  <si>
    <t>MONFRAM000110014132</t>
  </si>
  <si>
    <t>FICASTONE</t>
  </si>
  <si>
    <t>CAMBRONE</t>
  </si>
  <si>
    <t>HOLNLDM000894360914</t>
  </si>
  <si>
    <t>LADY LOVER</t>
  </si>
  <si>
    <t>BEVERLAKE LOUSTAR</t>
  </si>
  <si>
    <t>DORA 84</t>
  </si>
  <si>
    <t>HOLGBRM000000659239</t>
  </si>
  <si>
    <t>BALLYCAIRN LEVI HOMER</t>
  </si>
  <si>
    <t>BALLYCAIRN BOLIVER HILDA</t>
  </si>
  <si>
    <t>HOL840M003012574853</t>
  </si>
  <si>
    <t>MR COIN DRACO 15006-ET</t>
  </si>
  <si>
    <t>HOLIRLM151330044175</t>
  </si>
  <si>
    <t>(IG) SPRINGHAVEN OTTO</t>
  </si>
  <si>
    <t>CURRA PLUTO</t>
  </si>
  <si>
    <t>HOL840M003014561903</t>
  </si>
  <si>
    <t>SANDY-VALLEY MOGUL AMERY-ET</t>
  </si>
  <si>
    <t>HOLNLDM000758943408</t>
  </si>
  <si>
    <t>MARS WHITEROCK</t>
  </si>
  <si>
    <t>MARS FROUKJE 370</t>
  </si>
  <si>
    <t>HOLIRLM281125560648</t>
  </si>
  <si>
    <t>(IG) WHITEWOOD RUDDY</t>
  </si>
  <si>
    <t>WHITEWOOD RUBY</t>
  </si>
  <si>
    <t>HOLNZLM000000113070</t>
  </si>
  <si>
    <t>GREENWELL FI BLADE S3F</t>
  </si>
  <si>
    <t>HOLNLDM000727555328</t>
  </si>
  <si>
    <t>BATENBURG G. STELLANDO</t>
  </si>
  <si>
    <t>BATENBURG GINSTER 2545</t>
  </si>
  <si>
    <t>RDCDNKM000000037640</t>
  </si>
  <si>
    <t>VR FAVRE FONSECA</t>
  </si>
  <si>
    <t>VIKING RED FAVRE</t>
  </si>
  <si>
    <t>HOLDEUM001267420394</t>
  </si>
  <si>
    <t>AGK SISKO</t>
  </si>
  <si>
    <t>AGK BATUMI</t>
  </si>
  <si>
    <t>NOG IKARO</t>
  </si>
  <si>
    <t>HOLIRLM211142624165</t>
  </si>
  <si>
    <t>(IG) MONABROGUE EBONY</t>
  </si>
  <si>
    <t>MONABROGUE STAR 22</t>
  </si>
  <si>
    <t>HOLUSAM000074201819</t>
  </si>
  <si>
    <t>EVER-GREEN-VIEW ASTRAL-ET</t>
  </si>
  <si>
    <t>EVER-GREEN-VIEW ASP</t>
  </si>
  <si>
    <t>JERNZLM000000511037</t>
  </si>
  <si>
    <t>BROWNS WILDFIRE</t>
  </si>
  <si>
    <t>KIRKS RI CHARISMA ET GR</t>
  </si>
  <si>
    <t>HOLNZLM000000112080</t>
  </si>
  <si>
    <t>MAIRE MINT FIRE-UP</t>
  </si>
  <si>
    <t>MAIRE OMAN FIRE</t>
  </si>
  <si>
    <t>JERIRLM213764763762</t>
  </si>
  <si>
    <t>VJ WOODTOWN HORN HURLING</t>
  </si>
  <si>
    <t>VJ HORN</t>
  </si>
  <si>
    <t>WOODTOWN LINK ALLEGRO</t>
  </si>
  <si>
    <t>DFRNLDM000520118861</t>
  </si>
  <si>
    <t>RIVELINO 533</t>
  </si>
  <si>
    <t>RIVELINO 155</t>
  </si>
  <si>
    <t>KATE 581</t>
  </si>
  <si>
    <t>RIVELINO 379</t>
  </si>
  <si>
    <t>BRFGBRM000000647433</t>
  </si>
  <si>
    <t>DEANGATE QUAICH</t>
  </si>
  <si>
    <t>DEANGATE QUEENIE 29</t>
  </si>
  <si>
    <t>DFRDEUM001265302479</t>
  </si>
  <si>
    <t>ANSCHEIN ET</t>
  </si>
  <si>
    <t>ALASKA</t>
  </si>
  <si>
    <t>NAOMI</t>
  </si>
  <si>
    <t>HOL840M003126700062</t>
  </si>
  <si>
    <t>COOKIECUTTER SHOT HENLEY-ET</t>
  </si>
  <si>
    <t>COOKIECUTTER MOGUL HANDY-ET</t>
  </si>
  <si>
    <t>JERCANM000109427545</t>
  </si>
  <si>
    <t>FDL BARCELONA</t>
  </si>
  <si>
    <t>FDL PREMIER BELLE</t>
  </si>
  <si>
    <t>HAWARDEN IMPULS PREMIER</t>
  </si>
  <si>
    <t>HOLCANM000107567492</t>
  </si>
  <si>
    <t>CROTEAU LESPERRON UNIX</t>
  </si>
  <si>
    <t>HOL840M003128977805</t>
  </si>
  <si>
    <t>SEAGULL-BAY DIGNIFIED-ET</t>
  </si>
  <si>
    <t>SEAGULL-BAY SOMTHNGROYAL-ET</t>
  </si>
  <si>
    <t>HOLNZLM000000113056</t>
  </si>
  <si>
    <t>LANGEVELDS FI PIN-UP S2F</t>
  </si>
  <si>
    <t>HOLCANM000012556108</t>
  </si>
  <si>
    <t>LEGEND-MAKER VICTOR</t>
  </si>
  <si>
    <t>KERNDTWAY KINGPIN-ET</t>
  </si>
  <si>
    <t>FARNEAR-I L GOLD VIVID</t>
  </si>
  <si>
    <t>HOLCANM000012508113</t>
  </si>
  <si>
    <t>WALNUTLAWN SIDEKICK</t>
  </si>
  <si>
    <t>WILLSBRO ABBOTT</t>
  </si>
  <si>
    <t>WALNUTLAWN MCCUTCHEN SUMMER</t>
  </si>
  <si>
    <t>JERNZLM000000310507</t>
  </si>
  <si>
    <t>ARRIETA TGM DIABLO ET</t>
  </si>
  <si>
    <t>PUKETAWA OM SERENITY</t>
  </si>
  <si>
    <t>JERIRLM151941620789</t>
  </si>
  <si>
    <t>NEXTGEN LYNCH (ET)</t>
  </si>
  <si>
    <t>PATERANGI ENCORES VEIL</t>
  </si>
  <si>
    <t>PATERANGI BOWIES MARTY</t>
  </si>
  <si>
    <t>JERNZLM000000313528</t>
  </si>
  <si>
    <t>FREYDAN CNP PHOTON ET</t>
  </si>
  <si>
    <t>APONGA PAIR ET</t>
  </si>
  <si>
    <t>HOLNZLM000000513016</t>
  </si>
  <si>
    <t>HORIZON BLAZER ET</t>
  </si>
  <si>
    <t>IL VERO AMORE POWER</t>
  </si>
  <si>
    <t>BELLE</t>
  </si>
  <si>
    <t>HOLGBRM961000310116</t>
  </si>
  <si>
    <t>RELOUGH DIRECTIVE</t>
  </si>
  <si>
    <t>RELOUGH BARNEY DANNA 4</t>
  </si>
  <si>
    <t>ROSYLANE-LLC ALTABARNEY</t>
  </si>
  <si>
    <t>JER840M003012423929</t>
  </si>
  <si>
    <t>RIVER VALLEY CECE CHROME-ET</t>
  </si>
  <si>
    <t>SCHULTZ LEGAL CRITIC-P</t>
  </si>
  <si>
    <t>LYON CELEBRITY CECE-ET</t>
  </si>
  <si>
    <t>GALAXIES CELEBRITY-ET</t>
  </si>
  <si>
    <t>HOLIRLM281669143970</t>
  </si>
  <si>
    <t>(IG) CLOONEYBEAG EXCEED</t>
  </si>
  <si>
    <t>(IG) TISAXON ELMO</t>
  </si>
  <si>
    <t>CLOONEYBEAG MILLIE 3439</t>
  </si>
  <si>
    <t>HOLNLDM000947608400</t>
  </si>
  <si>
    <t>BATENBURG G. MANDELA</t>
  </si>
  <si>
    <t>GINSTER 2047 RF</t>
  </si>
  <si>
    <t>HOLDNKM000000258662</t>
  </si>
  <si>
    <t>VH HOEJGAARD REFLECTOR RIVER</t>
  </si>
  <si>
    <t>CLAIRE 4783</t>
  </si>
  <si>
    <t>VH ONSIDE OSMUS</t>
  </si>
  <si>
    <t>HOL840M003130010426</t>
  </si>
  <si>
    <t>DE-SU 13181 QUANTUM-ET</t>
  </si>
  <si>
    <t>EDG ESTHER MOGUL 2153</t>
  </si>
  <si>
    <t>HOLNZLM000000111037</t>
  </si>
  <si>
    <t>SRB KEREDENE SKELTON BUST</t>
  </si>
  <si>
    <t>HOL840M003134408139</t>
  </si>
  <si>
    <t>DE-SU 13530 SEVILLE-ET</t>
  </si>
  <si>
    <t>DE-SU MONTROSS 4011-ET</t>
  </si>
  <si>
    <t>HOLCANM000011491921</t>
  </si>
  <si>
    <t>GILLETTE CAVIAR</t>
  </si>
  <si>
    <t>GILLETTE IOTA CARMEN</t>
  </si>
  <si>
    <t>HOLNZLM000000114041</t>
  </si>
  <si>
    <t>MITCHELLS KE HUSTLER S2F</t>
  </si>
  <si>
    <t>HAZAEL DRACO MONARCH S3F</t>
  </si>
  <si>
    <t>JERNZLM000000512048</t>
  </si>
  <si>
    <t>ATHLIAM PACEMAKER</t>
  </si>
  <si>
    <t>JERNZLM000000313038</t>
  </si>
  <si>
    <t>UPLAND PARK ATTICUS INTRO</t>
  </si>
  <si>
    <t>UPLAND PARK KKR ATTICUS</t>
  </si>
  <si>
    <t>UPLAND PARK NN IRMA S3J</t>
  </si>
  <si>
    <t>HOL840M003128769229</t>
  </si>
  <si>
    <t>STANTONS EXPANDER-ET</t>
  </si>
  <si>
    <t>HOL840M003137288293</t>
  </si>
  <si>
    <t>FLY-HIGHER MOD CADE-ET</t>
  </si>
  <si>
    <t>IHG CAMARO MOGUL 9133-ET</t>
  </si>
  <si>
    <t>HOL840M003141559512</t>
  </si>
  <si>
    <t>DE-SU 14118 REGINALD-ET</t>
  </si>
  <si>
    <t>WELCOME LEGENDARY 2870-ET</t>
  </si>
  <si>
    <t>HOL840M003138310311</t>
  </si>
  <si>
    <t>REDROCK-VIEW KLUTCH-ET</t>
  </si>
  <si>
    <t>REDROCK-VIEW KINGBOY 367-ET</t>
  </si>
  <si>
    <t>HOLCANM000012719111</t>
  </si>
  <si>
    <t>PROGENESIS MOOSE</t>
  </si>
  <si>
    <t>SILVERRIDGE V EUGENIO</t>
  </si>
  <si>
    <t>PROGENESIS PROFIT MARGARITA</t>
  </si>
  <si>
    <t>S-S-I PARTYROCK PROFIT-ET</t>
  </si>
  <si>
    <t>HOLIRLM225009670692</t>
  </si>
  <si>
    <t>DECOURCEY ROVER SRM</t>
  </si>
  <si>
    <t>DECOURCEY SUNRISE</t>
  </si>
  <si>
    <t>HOLNZLM000000115048</t>
  </si>
  <si>
    <t>ZINKS GFB BACHELOR-ET S1F</t>
  </si>
  <si>
    <t>W19</t>
  </si>
  <si>
    <t>ZINKS FME FREEDOM S0F</t>
  </si>
  <si>
    <t>HOLNLDM000728889398</t>
  </si>
  <si>
    <t>HUL-STEIN GOLDENWAY</t>
  </si>
  <si>
    <t>GOLDEN-OAKS MCC CHARLINA-ET</t>
  </si>
  <si>
    <t>HOL840M003137916633</t>
  </si>
  <si>
    <t>OCD FRANCHISE RIO-ET</t>
  </si>
  <si>
    <t>OCD KINGBOY RAE 3171-ET</t>
  </si>
  <si>
    <t>HOLUSAM000073956675</t>
  </si>
  <si>
    <t>MORNINGVIEW RUSTY-RED</t>
  </si>
  <si>
    <t>COYNE-FARMS SYMPATI PAT-RED</t>
  </si>
  <si>
    <t>MORNINGVIEW AKMN RAVEN-ET</t>
  </si>
  <si>
    <t>HOL840M003125993715</t>
  </si>
  <si>
    <t>FARNEAR DELTA-LAMBDA-ET</t>
  </si>
  <si>
    <t>S20</t>
  </si>
  <si>
    <t>EDG LORETTE UNO 2198-ET</t>
  </si>
  <si>
    <t>HOL840M003014562172</t>
  </si>
  <si>
    <t>SANDY-VALLEY COPYCAT-TW-ET</t>
  </si>
  <si>
    <t>SANDY-VALLEY CONFETICAKE-ET</t>
  </si>
  <si>
    <t>HOLNLDM000736800220</t>
  </si>
  <si>
    <t>DG ALBERO ELDORADO</t>
  </si>
  <si>
    <t>ALL.NURE SUPERSIRE ELEONOR ET</t>
  </si>
  <si>
    <t>HOLUSAM000074564804</t>
  </si>
  <si>
    <t>PLAIN-KNOLL JSPR ADVANCE-ET</t>
  </si>
  <si>
    <t>UECKER SUPERSIRE JOSUPER-ET</t>
  </si>
  <si>
    <t>PLAIN-KNOLL MOGUL MARIAH</t>
  </si>
  <si>
    <t>HOL840M003133065125</t>
  </si>
  <si>
    <t>MR MASTERMIND-ET</t>
  </si>
  <si>
    <t>PEN-COL SS MADAME-ET</t>
  </si>
  <si>
    <t>HOLNLDM000725756121</t>
  </si>
  <si>
    <t>HOLBRA DG CHARAS</t>
  </si>
  <si>
    <t>S-S-I STERLING DAMARIS-ET</t>
  </si>
  <si>
    <t>CHAMEA</t>
  </si>
  <si>
    <t>HOL840M003133106322</t>
  </si>
  <si>
    <t>OCD SPRING SAMURI-ET</t>
  </si>
  <si>
    <t>MONFRAM003802996059</t>
  </si>
  <si>
    <t>MOBIDIC</t>
  </si>
  <si>
    <t>INTUITION</t>
  </si>
  <si>
    <t>GUILUXE</t>
  </si>
  <si>
    <t>HOL840M003129340715</t>
  </si>
  <si>
    <t>BACON-HILL MOONSHINE-ET</t>
  </si>
  <si>
    <t>BACON-HILL JABIR MOANA-ET</t>
  </si>
  <si>
    <t>HOLNZLM000000515058</t>
  </si>
  <si>
    <t>KAHURANGI IZABULL</t>
  </si>
  <si>
    <t>HOWIES ARKAN RAMADA ET</t>
  </si>
  <si>
    <t>IZARIA</t>
  </si>
  <si>
    <t>BRFGBRM000000605644</t>
  </si>
  <si>
    <t>DOVEA CAESER ET</t>
  </si>
  <si>
    <t>FOEKJE</t>
  </si>
  <si>
    <t>HOLGBRM000000551923</t>
  </si>
  <si>
    <t>CRADENHILL VOYA ET</t>
  </si>
  <si>
    <t>ROWNTREE VALIANT VALERIE</t>
  </si>
  <si>
    <t>HOLGBRM000000534310</t>
  </si>
  <si>
    <t>LANGHILL ENHANCER ET</t>
  </si>
  <si>
    <t>LANGHILL MARJORIE 7</t>
  </si>
  <si>
    <t>HOLFRAM005189001700</t>
  </si>
  <si>
    <t>ENEHOULD</t>
  </si>
  <si>
    <t>ARLINDA PE</t>
  </si>
  <si>
    <t>ARLINDA PENSTAR</t>
  </si>
  <si>
    <t>HOLUSAM000002103297</t>
  </si>
  <si>
    <t>BREN-WAY BELL BETSY</t>
  </si>
  <si>
    <t>HOLIRLM281642050010</t>
  </si>
  <si>
    <t>BROWELITE COCAINE ET</t>
  </si>
  <si>
    <t>JERDNKM000000301515</t>
  </si>
  <si>
    <t>OJY MIKKEL</t>
  </si>
  <si>
    <t>HOLNLDM000248743677</t>
  </si>
  <si>
    <t>DEN DOGGE LEMMER</t>
  </si>
  <si>
    <t>DEN DOGGE ELT- LIZA</t>
  </si>
  <si>
    <t>HOLNLDM000362231784</t>
  </si>
  <si>
    <t>MARS MAGNEET</t>
  </si>
  <si>
    <t>SJOUKJE 301</t>
  </si>
  <si>
    <t>CAROUSEL SIERRA</t>
  </si>
  <si>
    <t>HOLNZLM000000101025</t>
  </si>
  <si>
    <t>SRC TIROHANGA DOMINO</t>
  </si>
  <si>
    <t>HOLNLDM000342544408</t>
  </si>
  <si>
    <t>DUDAM SURPRISE</t>
  </si>
  <si>
    <t>AALTJE 154</t>
  </si>
  <si>
    <t>HOLUSAM000135538586</t>
  </si>
  <si>
    <t>BRIGEEN GENEVA-ET</t>
  </si>
  <si>
    <t>BRIGEEN OUTSIDE GIGI</t>
  </si>
  <si>
    <t>HOLGBRM000000638695</t>
  </si>
  <si>
    <t>CATLANE CALEB</t>
  </si>
  <si>
    <t>CATLANE CRESCENDO CHRISTINE</t>
  </si>
  <si>
    <t>CATLANE CRESCENDO</t>
  </si>
  <si>
    <t>HOLNLDM000415877213</t>
  </si>
  <si>
    <t>OMALLIS</t>
  </si>
  <si>
    <t>HOLITAM004990278557</t>
  </si>
  <si>
    <t>KAIMURAT TL TV</t>
  </si>
  <si>
    <t>GEMONA</t>
  </si>
  <si>
    <t>HOLUSAM000056264517</t>
  </si>
  <si>
    <t>LARCREST CALIBRATE-ETS</t>
  </si>
  <si>
    <t>JERAUSM000A00019312</t>
  </si>
  <si>
    <t>RIVERSIDE AMBITION</t>
  </si>
  <si>
    <t>DARAWAY FLOWERPOWER NAVARA</t>
  </si>
  <si>
    <t>MBSB ADRIENNE 856 EX91STP5</t>
  </si>
  <si>
    <t>MONFRAM002594027927</t>
  </si>
  <si>
    <t>JOYEUX</t>
  </si>
  <si>
    <t>HORIZON</t>
  </si>
  <si>
    <t>FOUGERE</t>
  </si>
  <si>
    <t>BRIN D AMO</t>
  </si>
  <si>
    <t>HOLUSAM000070984352</t>
  </si>
  <si>
    <t>SONNEK GOLDDUST-ET</t>
  </si>
  <si>
    <t>SONNEK DAMION CHARLIE-ET</t>
  </si>
  <si>
    <t>JERUSAM000117168941</t>
  </si>
  <si>
    <t>SUNSET CANYON DIGNITARY-ET</t>
  </si>
  <si>
    <t>BW RENEGADE-ET</t>
  </si>
  <si>
    <t>PEARLMONT IMPULS DAFFY</t>
  </si>
  <si>
    <t>HOLNLDM000666784412</t>
  </si>
  <si>
    <t>MIDWOLDER MIAMI</t>
  </si>
  <si>
    <t>DELTA MAESTRO</t>
  </si>
  <si>
    <t>MIDWOLDER MARIE 387</t>
  </si>
  <si>
    <t>MRYNLDM000740984127</t>
  </si>
  <si>
    <t>MORENO</t>
  </si>
  <si>
    <t>MENNO</t>
  </si>
  <si>
    <t>JOLANDA 168</t>
  </si>
  <si>
    <t>MONFRAM003994014181</t>
  </si>
  <si>
    <t>JURAPARC</t>
  </si>
  <si>
    <t>FLEOLE</t>
  </si>
  <si>
    <t>UNAU</t>
  </si>
  <si>
    <t>HOLNLDM000160441578</t>
  </si>
  <si>
    <t>BOKSLOOT DOMBI</t>
  </si>
  <si>
    <t>MASCOT JOYCE</t>
  </si>
  <si>
    <t>HOLITAM003804039584</t>
  </si>
  <si>
    <t>ALLNURE LUKETOWN</t>
  </si>
  <si>
    <t>ETAZON LAKTON</t>
  </si>
  <si>
    <t>HOLNLDM000164318168</t>
  </si>
  <si>
    <t>FRANK</t>
  </si>
  <si>
    <t>JEAN 2</t>
  </si>
  <si>
    <t>HOLDEUM001020523801</t>
  </si>
  <si>
    <t>NASTOR</t>
  </si>
  <si>
    <t>GUDRUN</t>
  </si>
  <si>
    <t>MOODYS PAT TROY</t>
  </si>
  <si>
    <t>JERNZLM000000065863</t>
  </si>
  <si>
    <t>CRESCENT JA SATCHMO</t>
  </si>
  <si>
    <t>CRESCENT PRINCESS SASHA</t>
  </si>
  <si>
    <t>HOLUSAM000002009164</t>
  </si>
  <si>
    <t>OSDEL-ENDEAVOR CUTIES MA-ET</t>
  </si>
  <si>
    <t>RYND-HOME VALIANT CUTIE</t>
  </si>
  <si>
    <t>DFRNLDM000828142649</t>
  </si>
  <si>
    <t>DOVEA LORD 110</t>
  </si>
  <si>
    <t>LORD</t>
  </si>
  <si>
    <t>NAATJE</t>
  </si>
  <si>
    <t>HOLDNKM000000234042</t>
  </si>
  <si>
    <t>HIGH-SIGHTS CLEITUS LULU-ET</t>
  </si>
  <si>
    <t>HOLNLDM000226641784</t>
  </si>
  <si>
    <t>BREEVIER RICHARD</t>
  </si>
  <si>
    <t>BREEVIER KATHY 184</t>
  </si>
  <si>
    <t>HOLNLDM000238683774</t>
  </si>
  <si>
    <t>DELTA LIMERICK</t>
  </si>
  <si>
    <t>DELTA CARA</t>
  </si>
  <si>
    <t>DELTA 727 LABELLE</t>
  </si>
  <si>
    <t>HOLUSAM000002257596</t>
  </si>
  <si>
    <t>BRABANT LUKE BONANZA ET</t>
  </si>
  <si>
    <t>BRABANT BLACKSTAR PATSY ET</t>
  </si>
  <si>
    <t>HOLNLDM000225568691</t>
  </si>
  <si>
    <t>IRNALD</t>
  </si>
  <si>
    <t>IREEN 42</t>
  </si>
  <si>
    <t>HOLNLDM000168962015</t>
  </si>
  <si>
    <t>BARTELS CORK</t>
  </si>
  <si>
    <t>B OSCAR JULIET</t>
  </si>
  <si>
    <t>MONFRAM003923041566</t>
  </si>
  <si>
    <t>OUEST JB</t>
  </si>
  <si>
    <t>ILE</t>
  </si>
  <si>
    <t>HOLIRLM151314120686</t>
  </si>
  <si>
    <t>HIGHMOUNT KEET</t>
  </si>
  <si>
    <t>CARRACOUSH MAGPIE 98</t>
  </si>
  <si>
    <t>HOLUSAM000002284915</t>
  </si>
  <si>
    <t>INDIANHEAD RED MARKER ET</t>
  </si>
  <si>
    <t>BROWNDALE STARDUST</t>
  </si>
  <si>
    <t>HOLUSAM000207124561</t>
  </si>
  <si>
    <t>REGANCREST-LH MODEST-ET</t>
  </si>
  <si>
    <t>MEADOW BRIDGE AERO MISSY</t>
  </si>
  <si>
    <t>HOLIRLM151868551134</t>
  </si>
  <si>
    <t>MURPHYS BONANZA</t>
  </si>
  <si>
    <t>MURPHYS UYC BOANNA</t>
  </si>
  <si>
    <t>HOLNLDM000295614894</t>
  </si>
  <si>
    <t>KELSTEIN DYNASTY</t>
  </si>
  <si>
    <t>HOLGBRM000000616218</t>
  </si>
  <si>
    <t>MOET BRINSTAR SIRIUS PI ET</t>
  </si>
  <si>
    <t>JERIRLM151316370529</t>
  </si>
  <si>
    <t>KINTEERA GER</t>
  </si>
  <si>
    <t>DANISH D HAYLEE</t>
  </si>
  <si>
    <t>JAS TABIC</t>
  </si>
  <si>
    <t>HOLGBRM000000542622</t>
  </si>
  <si>
    <t>BAWNTOWN PANATELLA</t>
  </si>
  <si>
    <t>UACTER BENE BEATTIE</t>
  </si>
  <si>
    <t>UACTER BENEVOLENT 25</t>
  </si>
  <si>
    <t>HOLIRLM151013710984</t>
  </si>
  <si>
    <t>PARKDUV PANNUS</t>
  </si>
  <si>
    <t>PARKDUV MARGO 13</t>
  </si>
  <si>
    <t>HOLUSAM000137332056</t>
  </si>
  <si>
    <t>GLENN-ANN PALERMO-ET</t>
  </si>
  <si>
    <t>GLENN-ANN MISS PEPPERDINE</t>
  </si>
  <si>
    <t>HOLIRLM241128391561</t>
  </si>
  <si>
    <t>(IG) BALLYHOURA XB 436 WESTER</t>
  </si>
  <si>
    <t>HOLGBRM000000627324</t>
  </si>
  <si>
    <t>WOODMARSH METALIC ET</t>
  </si>
  <si>
    <t>WOODMARSH MTOTO MELODY 7 ET</t>
  </si>
  <si>
    <t>HOLUSAM000002275578</t>
  </si>
  <si>
    <t>REGANCREST TESK DELLA</t>
  </si>
  <si>
    <t>MRYIRLM141462280624</t>
  </si>
  <si>
    <t>SUNNYSIDE DON</t>
  </si>
  <si>
    <t>BINKART</t>
  </si>
  <si>
    <t>SUNNYSIDE JANE 2</t>
  </si>
  <si>
    <t>HOLUSAM000061143535</t>
  </si>
  <si>
    <t>REGANCREST BARBI-ET</t>
  </si>
  <si>
    <t>HOLCANM000106387912</t>
  </si>
  <si>
    <t>PELLERAT DYNAMITE</t>
  </si>
  <si>
    <t>MAINSTREAM MANIFOLD</t>
  </si>
  <si>
    <t>HOLUSAM000063031877</t>
  </si>
  <si>
    <t>ROYOLA M-O-M PRANCE-ET</t>
  </si>
  <si>
    <t>RABUR GOLD PANZER-ET</t>
  </si>
  <si>
    <t>HOLIRLM351283841262</t>
  </si>
  <si>
    <t>(IG) CILLWALSH ANDY</t>
  </si>
  <si>
    <t>CILLWALSH CWJ ANN 3</t>
  </si>
  <si>
    <t>HOLUSAM000070354883</t>
  </si>
  <si>
    <t>FARNEAR-TBR-BH CASHMONEY-ET</t>
  </si>
  <si>
    <t>HOLGBRM000000653658</t>
  </si>
  <si>
    <t>HOLLYSPRINGS POLLED RAINBOW</t>
  </si>
  <si>
    <t>NOARD EASTER RED LAWN</t>
  </si>
  <si>
    <t>HOLNZLM000000512011</t>
  </si>
  <si>
    <t>WARDS INTENSITY</t>
  </si>
  <si>
    <t>VAN BYSTERVELDTS HOMERUN</t>
  </si>
  <si>
    <t>HOLIRLM131358070890</t>
  </si>
  <si>
    <t>(IG) FORTFERGUS INCA GOLD</t>
  </si>
  <si>
    <t>FORTFERGUS HTH DOT</t>
  </si>
  <si>
    <t>HOLIRLM141518921049</t>
  </si>
  <si>
    <t>MODELIGO WPE MAY</t>
  </si>
  <si>
    <t>JERDNKM000000303457</t>
  </si>
  <si>
    <t>VJ JERN</t>
  </si>
  <si>
    <t>HOL840M003013614200</t>
  </si>
  <si>
    <t>COOKIECUTTER HANG-TIME-ET</t>
  </si>
  <si>
    <t>COOKIECUTTER SPR HAZELNU-ET</t>
  </si>
  <si>
    <t>HOL840M003013495127</t>
  </si>
  <si>
    <t>PALMYRA SMPTCO MANNY-RED-ET</t>
  </si>
  <si>
    <t>PALMYRA LAD MANY-RED-ET</t>
  </si>
  <si>
    <t>JERDNKM000000303588</t>
  </si>
  <si>
    <t>VJ TUDVAD</t>
  </si>
  <si>
    <t>VJ TESTER</t>
  </si>
  <si>
    <t>DJ ZIRKA</t>
  </si>
  <si>
    <t>HOL840M003135087150</t>
  </si>
  <si>
    <t>MR BLONDIN POWERFUL</t>
  </si>
  <si>
    <t>BUTLERVIEW PIXIE SS57453-ET</t>
  </si>
  <si>
    <t>HOLGBRM261437203986</t>
  </si>
  <si>
    <t>WINTERSELL TITAN ET</t>
  </si>
  <si>
    <t>WINTERSELL MILA 22</t>
  </si>
  <si>
    <t>HOLCANM000012283318</t>
  </si>
  <si>
    <t>WESTCOAST PERSEUS</t>
  </si>
  <si>
    <t>VIEW-HOME DRMAN WSCONSIN-ET</t>
  </si>
  <si>
    <t>HOLNZLM000000097347</t>
  </si>
  <si>
    <t>KARATANE ELMER DIANNA</t>
  </si>
  <si>
    <t>WOODBINE VALIANT ELMER (ET)</t>
  </si>
  <si>
    <t>HOLNLDM000263469820</t>
  </si>
  <si>
    <t>WITHORST CARON*TL</t>
  </si>
  <si>
    <t>HOLGBRM000000608378</t>
  </si>
  <si>
    <t>TLEA MARTELL 4</t>
  </si>
  <si>
    <t>TLEA JUDY 13</t>
  </si>
  <si>
    <t>SEAWAY FOREVER</t>
  </si>
  <si>
    <t>MRYDEUM000110142226</t>
  </si>
  <si>
    <t>BELANDER</t>
  </si>
  <si>
    <t>INKA</t>
  </si>
  <si>
    <t>WERNA S GERARD</t>
  </si>
  <si>
    <t>HOLDEUM000344585269</t>
  </si>
  <si>
    <t>BERTI</t>
  </si>
  <si>
    <t>MANDY</t>
  </si>
  <si>
    <t>HOLDEUM000343603282</t>
  </si>
  <si>
    <t>LUMMOX</t>
  </si>
  <si>
    <t>GOLDINA</t>
  </si>
  <si>
    <t>MRYNLDM000176791744</t>
  </si>
  <si>
    <t>HERMIEN 54</t>
  </si>
  <si>
    <t>HOLNLDM000124677872</t>
  </si>
  <si>
    <t>THEUSSINKS EL TORO</t>
  </si>
  <si>
    <t>GREEN-VALE LEONARA PI ET</t>
  </si>
  <si>
    <t>RDCNORM000000004841</t>
  </si>
  <si>
    <t>F. FIKSTVEIT</t>
  </si>
  <si>
    <t>LOTTE</t>
  </si>
  <si>
    <t>K. ULSR¿D</t>
  </si>
  <si>
    <t>RDCUSAM000000144136</t>
  </si>
  <si>
    <t>ARDROSSAN H K EVANGALIST</t>
  </si>
  <si>
    <t>ARDROSSAN R COM KATE TRYIT</t>
  </si>
  <si>
    <t>GRANBYENNE ROYAL COMMAND</t>
  </si>
  <si>
    <t>HOLDEUM000107468205</t>
  </si>
  <si>
    <t>LUX S</t>
  </si>
  <si>
    <t>FREUNDIN</t>
  </si>
  <si>
    <t>M-JAYBEE GRAND SLAM-TWIN</t>
  </si>
  <si>
    <t>HOLNLDM000149139948</t>
  </si>
  <si>
    <t>PROGRESSIVE EROS 84</t>
  </si>
  <si>
    <t>R ANNA 472</t>
  </si>
  <si>
    <t>HOLGBRM000000604945</t>
  </si>
  <si>
    <t>DOVEA NEUVERS ET</t>
  </si>
  <si>
    <t>HOLFRAM005192003406</t>
  </si>
  <si>
    <t>HOLAF</t>
  </si>
  <si>
    <t>SU-BE BELL DREAM-ET</t>
  </si>
  <si>
    <t>HOLFRAM004294001761</t>
  </si>
  <si>
    <t>JAGUAR JPS</t>
  </si>
  <si>
    <t>FIRME POMM</t>
  </si>
  <si>
    <t>DFRNLDM000776534028</t>
  </si>
  <si>
    <t>CAPAN 63</t>
  </si>
  <si>
    <t>TRUUS 79</t>
  </si>
  <si>
    <t>ANPAN  25</t>
  </si>
  <si>
    <t>MONFRAM007190069505</t>
  </si>
  <si>
    <t>FLIPPER</t>
  </si>
  <si>
    <t>BALZAMINE</t>
  </si>
  <si>
    <t>HOLGBRM000000532232</t>
  </si>
  <si>
    <t>POULALEA SAMUEL</t>
  </si>
  <si>
    <t>STOWELL STATUE</t>
  </si>
  <si>
    <t>ZONE ESTELLE 2</t>
  </si>
  <si>
    <t>HOLFRAM002287038595</t>
  </si>
  <si>
    <t>CAVALIER</t>
  </si>
  <si>
    <t>TROTTEUSE</t>
  </si>
  <si>
    <t>HOLGBRM000000533835</t>
  </si>
  <si>
    <t>ROBINVIEW PREFECT</t>
  </si>
  <si>
    <t>STRATHMERTON PAMELA 14</t>
  </si>
  <si>
    <t>HOLITAM001214036691</t>
  </si>
  <si>
    <t>SOL IL ET</t>
  </si>
  <si>
    <t>RONCONI</t>
  </si>
  <si>
    <t>HOLNLDM000117376708</t>
  </si>
  <si>
    <t>PROGRESSIVE ALEX 155</t>
  </si>
  <si>
    <t>FROUKJE 1</t>
  </si>
  <si>
    <t>HOLDNKM000000234113</t>
  </si>
  <si>
    <t>RGK PUST</t>
  </si>
  <si>
    <t>HOLNLDM000316952930</t>
  </si>
  <si>
    <t>FEIKJES RABAMBA</t>
  </si>
  <si>
    <t>FEIKJE 65 ET</t>
  </si>
  <si>
    <t>HOLNLDM000172435134</t>
  </si>
  <si>
    <t>ADEL GUUSTAF 13</t>
  </si>
  <si>
    <t>ETZ GUSTINE</t>
  </si>
  <si>
    <t>HOLDEUM000108327470</t>
  </si>
  <si>
    <t>ASTOR 10 VD BEEMSTER</t>
  </si>
  <si>
    <t>KLAUDIA</t>
  </si>
  <si>
    <t>WERNA'S GERARD</t>
  </si>
  <si>
    <t>HOLGBRM000000549055</t>
  </si>
  <si>
    <t>MILKHILL STARTREK</t>
  </si>
  <si>
    <t>MILKHILL PHEASANT EGG 7</t>
  </si>
  <si>
    <t>HOLNLDM000140492486</t>
  </si>
  <si>
    <t>MARKO S MOUNTAIN</t>
  </si>
  <si>
    <t>MISS MASCOT AMETHYST ET</t>
  </si>
  <si>
    <t>HOLNLDM000123838214</t>
  </si>
  <si>
    <t>BEVERLAKE PARKER 5</t>
  </si>
  <si>
    <t>PARADE</t>
  </si>
  <si>
    <t>DFRNLDM000246653336</t>
  </si>
  <si>
    <t>JETZE 5</t>
  </si>
  <si>
    <t>HOLDEUM001011006200</t>
  </si>
  <si>
    <t>NEW WAY ET</t>
  </si>
  <si>
    <t>HOLFRAM003792006255</t>
  </si>
  <si>
    <t>CALTONED</t>
  </si>
  <si>
    <t>HOLCANM000005844883</t>
  </si>
  <si>
    <t>HANOVERHILL STAR ROYAL ET</t>
  </si>
  <si>
    <t>HOLNLDM000234970704</t>
  </si>
  <si>
    <t>GROENHILDE SANDER</t>
  </si>
  <si>
    <t>ALBLAS DELTA SANNE</t>
  </si>
  <si>
    <t>WHITE GIANT</t>
  </si>
  <si>
    <t>DORA G 64</t>
  </si>
  <si>
    <t>HOLFRAM003795003354</t>
  </si>
  <si>
    <t>LOYER LABE</t>
  </si>
  <si>
    <t>GALTO STAR</t>
  </si>
  <si>
    <t>HOLFRAM002994001300</t>
  </si>
  <si>
    <t>JACK CURIO</t>
  </si>
  <si>
    <t>BILSROWAN FORTUNA</t>
  </si>
  <si>
    <t>BSWDEUM000916561366</t>
  </si>
  <si>
    <t>VINBREI</t>
  </si>
  <si>
    <t>SORAYA</t>
  </si>
  <si>
    <t>BRIREIGN</t>
  </si>
  <si>
    <t>HOLNLDM000128289811</t>
  </si>
  <si>
    <t>PEELFARM FABIAN</t>
  </si>
  <si>
    <t>BETSIE</t>
  </si>
  <si>
    <t>HOLFRAM002991000305</t>
  </si>
  <si>
    <t>COLOMBE</t>
  </si>
  <si>
    <t>JERDNKM000000300727</t>
  </si>
  <si>
    <t>ODA RINDE</t>
  </si>
  <si>
    <t>HOLAUSM000H00930377</t>
  </si>
  <si>
    <t>MARKWELL LEADER ROSE-ET</t>
  </si>
  <si>
    <t>HOLUSAM000124003312</t>
  </si>
  <si>
    <t>EMERALD-ACR-SA T-DAWSON ET</t>
  </si>
  <si>
    <t>EMERALD-ACR-SA TANNICE</t>
  </si>
  <si>
    <t>HOLUSAM000130432362</t>
  </si>
  <si>
    <t>INDIANHEAD ENCOUNTER-ET</t>
  </si>
  <si>
    <t>HOLNLDM000140915217</t>
  </si>
  <si>
    <t>HOLFRAM002989000811</t>
  </si>
  <si>
    <t>MILKBOARD EOLOS</t>
  </si>
  <si>
    <t>ROLLSCHIEF</t>
  </si>
  <si>
    <t>HOLUSAM000002269192</t>
  </si>
  <si>
    <t>RICECREST BRANDON ET</t>
  </si>
  <si>
    <t>RDCNORM000000005150</t>
  </si>
  <si>
    <t>BO</t>
  </si>
  <si>
    <t>NR943</t>
  </si>
  <si>
    <t>J.STEINSVIK</t>
  </si>
  <si>
    <t>MONFRAM006329259703</t>
  </si>
  <si>
    <t>PATCH</t>
  </si>
  <si>
    <t>LAVASTE</t>
  </si>
  <si>
    <t>INDEX</t>
  </si>
  <si>
    <t>BRFGBRM000000630663</t>
  </si>
  <si>
    <t>CATLANE CARBON</t>
  </si>
  <si>
    <t>CATLANE BURO CHRISTINE</t>
  </si>
  <si>
    <t>JERNZLM000000307547</t>
  </si>
  <si>
    <t>OKURA NEVVY KELVIN ET</t>
  </si>
  <si>
    <t>LUC</t>
  </si>
  <si>
    <t>MRYNLDM000327648026</t>
  </si>
  <si>
    <t>HOLNLDM000178602703</t>
  </si>
  <si>
    <t>HS HERODES</t>
  </si>
  <si>
    <t>JERDNKM000000048445</t>
  </si>
  <si>
    <t>JAS DIXI</t>
  </si>
  <si>
    <t>SDJ CURE</t>
  </si>
  <si>
    <t>RDCSWEM000000073380</t>
  </si>
  <si>
    <t>HULAN</t>
  </si>
  <si>
    <t>KILAFORS</t>
  </si>
  <si>
    <t>WIKHUS</t>
  </si>
  <si>
    <t>HOLCANM000008209663</t>
  </si>
  <si>
    <t>CALBRETT CHAPTER</t>
  </si>
  <si>
    <t>HOLNZLM000000101097</t>
  </si>
  <si>
    <t>SRD UHURU GERRIS ATOM ANT</t>
  </si>
  <si>
    <t>SRC MURAPARA CURI AMBER</t>
  </si>
  <si>
    <t>MONFRAM003898002577</t>
  </si>
  <si>
    <t>OLLIA</t>
  </si>
  <si>
    <t>ILLIADE</t>
  </si>
  <si>
    <t>MONFRAM002598013062</t>
  </si>
  <si>
    <t>OSMIUM</t>
  </si>
  <si>
    <t>JURASSIENE</t>
  </si>
  <si>
    <t>MONFRAM002598012281</t>
  </si>
  <si>
    <t>OXALIN</t>
  </si>
  <si>
    <t>MAJORETTE</t>
  </si>
  <si>
    <t>HOLUSAM000124035922</t>
  </si>
  <si>
    <t>LANGS TWIN B WIN NED ET</t>
  </si>
  <si>
    <t>LANGS TWIN-B EB SABRA ET</t>
  </si>
  <si>
    <t>HOLFRAM007697039452</t>
  </si>
  <si>
    <t>NATORP</t>
  </si>
  <si>
    <t>IMPERIALE</t>
  </si>
  <si>
    <t>JERNZLM000000300047</t>
  </si>
  <si>
    <t>MAGHERACANON ADS VENA SJ3</t>
  </si>
  <si>
    <t>JERDNKM000000049491</t>
  </si>
  <si>
    <t>HELIUM</t>
  </si>
  <si>
    <t>RDCNORM000000005652</t>
  </si>
  <si>
    <t>5652 BERG</t>
  </si>
  <si>
    <t>GIMSTAD</t>
  </si>
  <si>
    <t>BERGLINA</t>
  </si>
  <si>
    <t>HOLDEUM000344997768</t>
  </si>
  <si>
    <t>MINISTER</t>
  </si>
  <si>
    <t>DIADEM</t>
  </si>
  <si>
    <t>HOLIRLM241352130795</t>
  </si>
  <si>
    <t>KNOCKSOUNA MARS</t>
  </si>
  <si>
    <t>KNOCKSOUNA VELMA 69</t>
  </si>
  <si>
    <t>HOLNLDM000191810064</t>
  </si>
  <si>
    <t>MONLUEL</t>
  </si>
  <si>
    <t>AQUILA MASCOT DESIRE' ET</t>
  </si>
  <si>
    <t>HOLDEUM001012332221</t>
  </si>
  <si>
    <t>TALK</t>
  </si>
  <si>
    <t>INORE 58</t>
  </si>
  <si>
    <t>ALONQUIN</t>
  </si>
  <si>
    <t>RDCGBRM000006180658</t>
  </si>
  <si>
    <t>CHANGUE CELANDINE 21</t>
  </si>
  <si>
    <t>CHANGUE HEADMASTER</t>
  </si>
  <si>
    <t>HOLCANM000007825836</t>
  </si>
  <si>
    <t>FRADON JET-RED ET</t>
  </si>
  <si>
    <t>FRADON R MARK JODIE RED</t>
  </si>
  <si>
    <t>HOLUSAM000136258232</t>
  </si>
  <si>
    <t>WINDY-KNOLL-VIEW PERFORM</t>
  </si>
  <si>
    <t>WINDY-KNOLL-VIEW PLEDGE-ET</t>
  </si>
  <si>
    <t>JERGBRM000000052687</t>
  </si>
  <si>
    <t>RISE AND SHINE</t>
  </si>
  <si>
    <t>FYN TVED</t>
  </si>
  <si>
    <t>RISE CRESS</t>
  </si>
  <si>
    <t>COWIN WINDSOR LAD</t>
  </si>
  <si>
    <t>DFRDEUM001262016263</t>
  </si>
  <si>
    <t>DOVEA RUDOLF</t>
  </si>
  <si>
    <t>RUDOLF</t>
  </si>
  <si>
    <t>NICOLA</t>
  </si>
  <si>
    <t>BARON</t>
  </si>
  <si>
    <t>HOLDEUM001020475657</t>
  </si>
  <si>
    <t>BETTINA</t>
  </si>
  <si>
    <t>MONFRAM002596018190</t>
  </si>
  <si>
    <t>MILAN</t>
  </si>
  <si>
    <t>MONFRAM004295009234</t>
  </si>
  <si>
    <t>LOGAN</t>
  </si>
  <si>
    <t>FRAMBOISE</t>
  </si>
  <si>
    <t>VIKAR</t>
  </si>
  <si>
    <t>REXI</t>
  </si>
  <si>
    <t>K TOP ACRES DOTSON ET</t>
  </si>
  <si>
    <t>HOLIRLM151166950644</t>
  </si>
  <si>
    <t>CARRACOUSH TISABRI</t>
  </si>
  <si>
    <t>CARRACOUSH MAGPIE 75</t>
  </si>
  <si>
    <t>RDCNORM000000005780</t>
  </si>
  <si>
    <t>SKJÆRET</t>
  </si>
  <si>
    <t>HILDE</t>
  </si>
  <si>
    <t>H¿LLA</t>
  </si>
  <si>
    <t>HOLNLDM000188528750</t>
  </si>
  <si>
    <t>AMIGO</t>
  </si>
  <si>
    <t>MEIBLOEM 235</t>
  </si>
  <si>
    <t>UGELA BELL</t>
  </si>
  <si>
    <t>JERNZLM000000099464</t>
  </si>
  <si>
    <t>ERRLYN WAIUKU ROXIE SJ3</t>
  </si>
  <si>
    <t>HOLGBRM200924500542</t>
  </si>
  <si>
    <t>CATLANE CARACTACUS</t>
  </si>
  <si>
    <t>CATLANE CLARET SNOWBALL 4</t>
  </si>
  <si>
    <t>HOLNLDM000286306519</t>
  </si>
  <si>
    <t>ALH DANDY</t>
  </si>
  <si>
    <t>WILSONDALE LEADMAN TRACY</t>
  </si>
  <si>
    <t>HOLNZLM000000506079</t>
  </si>
  <si>
    <t>BIRCHLANDS FAST FORWARD</t>
  </si>
  <si>
    <t>VOWLES BETA</t>
  </si>
  <si>
    <t>RDCNORM000000005865</t>
  </si>
  <si>
    <t>SKATTEBU</t>
  </si>
  <si>
    <t>KORA</t>
  </si>
  <si>
    <t>DFRNLDM000424743473</t>
  </si>
  <si>
    <t>DOVEA DYNAMO</t>
  </si>
  <si>
    <t>HEIDEHIPPER 22</t>
  </si>
  <si>
    <t>BONTJE 191</t>
  </si>
  <si>
    <t>HOLIRLM141375580716</t>
  </si>
  <si>
    <t>GROVEEN MATTIE</t>
  </si>
  <si>
    <t>GROVEEN MARGOT</t>
  </si>
  <si>
    <t>HOLDEUM001021066772</t>
  </si>
  <si>
    <t>GALTEE NIKOSIA ET</t>
  </si>
  <si>
    <t>EPOCHE</t>
  </si>
  <si>
    <t>HOLNLDM000485962279</t>
  </si>
  <si>
    <t>JANKES RAMOS</t>
  </si>
  <si>
    <t>JANKE 448</t>
  </si>
  <si>
    <t>HOLNLDM000241255322</t>
  </si>
  <si>
    <t>SONNEMA</t>
  </si>
  <si>
    <t>SUNSHINE-D-P PATRON PAT</t>
  </si>
  <si>
    <t>HOLUSAM000134229692</t>
  </si>
  <si>
    <t>LYLEHAVEN LIGHTNING</t>
  </si>
  <si>
    <t>LYLEHAVEN FORM LAURA-ET</t>
  </si>
  <si>
    <t>RDCSWEM000000092182</t>
  </si>
  <si>
    <t>S ADAM</t>
  </si>
  <si>
    <t>743 ADA</t>
  </si>
  <si>
    <t>HOLNLDM000367593805</t>
  </si>
  <si>
    <t>HS TWISTER</t>
  </si>
  <si>
    <t>GEERTJE 40</t>
  </si>
  <si>
    <t>HOLIRLM151549224381</t>
  </si>
  <si>
    <t>MOOREPARK COLLINS NOREEN</t>
  </si>
  <si>
    <t>JERGBRM000000054935</t>
  </si>
  <si>
    <t>SHELLEN PERFECTER</t>
  </si>
  <si>
    <t>DALENA SAMBOS PET</t>
  </si>
  <si>
    <t>HOLCANM000010705608</t>
  </si>
  <si>
    <t>HOLFRAM003533674123</t>
  </si>
  <si>
    <t>LOSEILLE</t>
  </si>
  <si>
    <t>HOLIRLM341190490339</t>
  </si>
  <si>
    <t>REECHESTOWN ALI</t>
  </si>
  <si>
    <t>REECHESTOWN GMI AMBER</t>
  </si>
  <si>
    <t>HOLFRAM004497050379</t>
  </si>
  <si>
    <t>LENERADE</t>
  </si>
  <si>
    <t>HOLUSAM000135173006</t>
  </si>
  <si>
    <t>ROSEDALE-L RAMPAGE-RED-ET</t>
  </si>
  <si>
    <t>HOLCANM000010793761</t>
  </si>
  <si>
    <t>BRAEDALE BAMBAM</t>
  </si>
  <si>
    <t>MONFRAM002547154558</t>
  </si>
  <si>
    <t>PILPOIL</t>
  </si>
  <si>
    <t>JOLINE</t>
  </si>
  <si>
    <t>HOLDEUM000347023457</t>
  </si>
  <si>
    <t>JEFFERSON ET</t>
  </si>
  <si>
    <t>HEITA</t>
  </si>
  <si>
    <t>HOLNLDM000265079119</t>
  </si>
  <si>
    <t>NEWHOUSE WORLDLINE</t>
  </si>
  <si>
    <t>NEWHOUSE INGRID 171</t>
  </si>
  <si>
    <t>HOLUSAM000052357952</t>
  </si>
  <si>
    <t>RALMA FOCUS-ET</t>
  </si>
  <si>
    <t>HOLFRAM002249252063</t>
  </si>
  <si>
    <t>DANACOL</t>
  </si>
  <si>
    <t>BEMOL</t>
  </si>
  <si>
    <t>HOLNZLM000000509041</t>
  </si>
  <si>
    <t>GYDELAND OBSERVER</t>
  </si>
  <si>
    <t>GYDELAND NORTH CINDY</t>
  </si>
  <si>
    <t>MONFRAM003802599069</t>
  </si>
  <si>
    <t>VANTEY</t>
  </si>
  <si>
    <t>HOLDEUM001502085116</t>
  </si>
  <si>
    <t>VAN GOGH</t>
  </si>
  <si>
    <t>MHG STELLA</t>
  </si>
  <si>
    <t>HOLIRLM281642061307</t>
  </si>
  <si>
    <t>BROWELITE JAMES</t>
  </si>
  <si>
    <t>BROWELITE OMAN JANINA ET</t>
  </si>
  <si>
    <t>HOLIRLM351066120707</t>
  </si>
  <si>
    <t>(IG) CURRA CONOR</t>
  </si>
  <si>
    <t>HOLUSAM000065496393</t>
  </si>
  <si>
    <t>FARNEAR-TBR ALTAAVALON</t>
  </si>
  <si>
    <t>MORNINGVIEW SHTL ASSET-ET</t>
  </si>
  <si>
    <t>HOLITAM053990032335</t>
  </si>
  <si>
    <t>TOC-FARM GOLDSUN ET</t>
  </si>
  <si>
    <t>RDCNORM000000010579</t>
  </si>
  <si>
    <t>EGGTROEN</t>
  </si>
  <si>
    <t>RODLIN</t>
  </si>
  <si>
    <t>HOLNZLM000000110088</t>
  </si>
  <si>
    <t>DELTOP VA DAKAR S2F</t>
  </si>
  <si>
    <t>HOLGBRM000000650131</t>
  </si>
  <si>
    <t>MOET FLANDERS</t>
  </si>
  <si>
    <t>MOET LAUDAN KIM A ET</t>
  </si>
  <si>
    <t>HOLGBRM000000631798</t>
  </si>
  <si>
    <t>NETHANVALE MEL</t>
  </si>
  <si>
    <t>HAWKLAND CAPRI MELINDA ET</t>
  </si>
  <si>
    <t>HOLGBRM000000644350</t>
  </si>
  <si>
    <t>CASTLEDALE FOUNDATION</t>
  </si>
  <si>
    <t>CASTLEDALE GLEN ALBYN FLORA 9</t>
  </si>
  <si>
    <t>HOLNLDM000191342295</t>
  </si>
  <si>
    <t>OCARINA</t>
  </si>
  <si>
    <t>TIDY-BROOK SPICY-ET</t>
  </si>
  <si>
    <t>MRYDEUM000114943456</t>
  </si>
  <si>
    <t>OWEN</t>
  </si>
  <si>
    <t>ORINAT</t>
  </si>
  <si>
    <t>ALPENBLUME</t>
  </si>
  <si>
    <t>HOLNLDM000449373341</t>
  </si>
  <si>
    <t>BARTELS PROMPT SPRINGSON TV TL</t>
  </si>
  <si>
    <t>HOLIRLM281556840722</t>
  </si>
  <si>
    <t>(IG) LUMVILLE DUKE PLANET ET</t>
  </si>
  <si>
    <t>NORTHLAKE FARMS ADDISHOTTLE 87</t>
  </si>
  <si>
    <t>HOLITAM015990126356</t>
  </si>
  <si>
    <t>RIOZZO BOLTON GATSU TL TV</t>
  </si>
  <si>
    <t>RIOZZO LINATE</t>
  </si>
  <si>
    <t>HOLNLDM000898251876</t>
  </si>
  <si>
    <t>GALAXIS</t>
  </si>
  <si>
    <t>HIAWATHA 21</t>
  </si>
  <si>
    <t>HOLIRLM141288791056</t>
  </si>
  <si>
    <t>LISSANE SSI DOLLY 606</t>
  </si>
  <si>
    <t>HOLDEUM000354812817</t>
  </si>
  <si>
    <t>LARCREST CHENOA-ETS</t>
  </si>
  <si>
    <t>JERCANM000104390545</t>
  </si>
  <si>
    <t>LENCREST I POD -ET</t>
  </si>
  <si>
    <t>LENCREST PARADING BELLE -ET</t>
  </si>
  <si>
    <t>MONFRAM007044193675</t>
  </si>
  <si>
    <t>ASOKA</t>
  </si>
  <si>
    <t>PLATINE</t>
  </si>
  <si>
    <t>MRYNLDM000568682599</t>
  </si>
  <si>
    <t>RAPIDE DN</t>
  </si>
  <si>
    <t>BSWDEUM000936243752</t>
  </si>
  <si>
    <t>LACKY</t>
  </si>
  <si>
    <t>HOLIRLM141565611134</t>
  </si>
  <si>
    <t>LACKCASTLE KENNY</t>
  </si>
  <si>
    <t>LACKCASTLE MILDRED 693</t>
  </si>
  <si>
    <t>HOLIRLM141462551278</t>
  </si>
  <si>
    <t>GURRANES DEU ELMA 1004</t>
  </si>
  <si>
    <t>HOLIRLM371059020658</t>
  </si>
  <si>
    <t>CONNIBAR RUU PURDY 337</t>
  </si>
  <si>
    <t>AYSGBRM364681600884</t>
  </si>
  <si>
    <t>HILLTOWN OBLIQUE</t>
  </si>
  <si>
    <t>HILLTOWN SNOWBALL 466</t>
  </si>
  <si>
    <t>HOLIRLM161971551729</t>
  </si>
  <si>
    <t>WATERWHEEL BGZ GEORGIA 800</t>
  </si>
  <si>
    <t>JERNZLM000000512659</t>
  </si>
  <si>
    <t>IMOLA J9F7</t>
  </si>
  <si>
    <t>HOLIRLM341547890542</t>
  </si>
  <si>
    <t>(IG) SUIRHERO FRACO</t>
  </si>
  <si>
    <t>SUIRHERO MARIE BGZ 226</t>
  </si>
  <si>
    <t>HOLUSAM000064700377</t>
  </si>
  <si>
    <t>DE-SU 7045-ET</t>
  </si>
  <si>
    <t>HOLNLDM000243097005</t>
  </si>
  <si>
    <t>UENK FRED</t>
  </si>
  <si>
    <t>REGANCREST MELWOOD DINAH ET</t>
  </si>
  <si>
    <t>HOLNZLM000000512006</t>
  </si>
  <si>
    <t>ALCAMENO COMMANDER</t>
  </si>
  <si>
    <t>NTHC ---- SUNDAY</t>
  </si>
  <si>
    <t>DFRNLDM000382499814</t>
  </si>
  <si>
    <t>PIET ADEMA 180</t>
  </si>
  <si>
    <t>PIETJE 564</t>
  </si>
  <si>
    <t>MRYIRLM161208421031</t>
  </si>
  <si>
    <t>RAMON THORIN</t>
  </si>
  <si>
    <t>HERO</t>
  </si>
  <si>
    <t>RAMON HOLLY 2</t>
  </si>
  <si>
    <t>PEDRO 2</t>
  </si>
  <si>
    <t>HOLGBRM000000656621</t>
  </si>
  <si>
    <t>WILTOR CRUISE</t>
  </si>
  <si>
    <t>LARCREST CASE ETS</t>
  </si>
  <si>
    <t>JERNZLM000000512042</t>
  </si>
  <si>
    <t>CAWDOR PROMOTION</t>
  </si>
  <si>
    <t>ARKANS PROMOTER</t>
  </si>
  <si>
    <t>CAWDOR TGM PHILOMELA ET S0J</t>
  </si>
  <si>
    <t>HOLIRLM272004791117</t>
  </si>
  <si>
    <t>LYNBROOK BLAIR</t>
  </si>
  <si>
    <t>LYNBROOK MAN-OMAN TRINA ET</t>
  </si>
  <si>
    <t>NMDFRAM005006498801</t>
  </si>
  <si>
    <t>AUBRAY</t>
  </si>
  <si>
    <t>NIVEA</t>
  </si>
  <si>
    <t>TENDANCE</t>
  </si>
  <si>
    <t>LOOK</t>
  </si>
  <si>
    <t>JERNZLM000000512046</t>
  </si>
  <si>
    <t>TE ARANGA AP JOSEPH</t>
  </si>
  <si>
    <t>HILLSTAR SAMUELS JOY</t>
  </si>
  <si>
    <t>HOLCANM000011595019</t>
  </si>
  <si>
    <t>CLAYNOOK DELAWARE</t>
  </si>
  <si>
    <t>COOKIECUTTER MOM HUNTER-ET</t>
  </si>
  <si>
    <t>OCD PLANET DIAMOND-ET</t>
  </si>
  <si>
    <t>HOLIRLM151549120877</t>
  </si>
  <si>
    <t>(IG) HILLSDALE HARTY</t>
  </si>
  <si>
    <t>HILLSDALE IRP HEART</t>
  </si>
  <si>
    <t>HOLNLDM000871440767</t>
  </si>
  <si>
    <t>IDAHO JOE</t>
  </si>
  <si>
    <t>SCHRUER VERONA 4</t>
  </si>
  <si>
    <t>MASSIA LEO SUNNY</t>
  </si>
  <si>
    <t>NMDFRAM005352826813</t>
  </si>
  <si>
    <t>HALIAS ISY</t>
  </si>
  <si>
    <t>FURLING</t>
  </si>
  <si>
    <t>FIRME</t>
  </si>
  <si>
    <t>HOLUSAM000072186769</t>
  </si>
  <si>
    <t>LUCK-E AWESOME-RED</t>
  </si>
  <si>
    <t>APPLES ABSOLUTE-RED-ET</t>
  </si>
  <si>
    <t>LUCK-E ADVENT ASIA-ET</t>
  </si>
  <si>
    <t>HOLITAM020990262514</t>
  </si>
  <si>
    <t>BERTAIOLA MINCIO ET TV TL TY</t>
  </si>
  <si>
    <t>BEL IRON IRENE</t>
  </si>
  <si>
    <t>HOLIRLM141827832449</t>
  </si>
  <si>
    <t>COOLNASOON NUALA 33</t>
  </si>
  <si>
    <t>HOLFRAM003523821766</t>
  </si>
  <si>
    <t>INNOVE P</t>
  </si>
  <si>
    <t>SNOWMASTER</t>
  </si>
  <si>
    <t>G1425</t>
  </si>
  <si>
    <t>HOLIRLM151569261083</t>
  </si>
  <si>
    <t>(IG) CASTLEBLAGH RONNIE</t>
  </si>
  <si>
    <t>HOLIRLM141556292118</t>
  </si>
  <si>
    <t>MONEEN MIAMI</t>
  </si>
  <si>
    <t>MONEEN DWA PATCH</t>
  </si>
  <si>
    <t>MRYNLDM000718093275</t>
  </si>
  <si>
    <t>CARLOS</t>
  </si>
  <si>
    <t>CAROLIEN 35</t>
  </si>
  <si>
    <t>HOLIRLM151620943800</t>
  </si>
  <si>
    <t>MODELIGO UYC LUCY 2258</t>
  </si>
  <si>
    <t>DFRNLDM000532664941</t>
  </si>
  <si>
    <t>BIG PIET ADEMA 193</t>
  </si>
  <si>
    <t>PIETJE 645</t>
  </si>
  <si>
    <t>PIET ADEMA 158</t>
  </si>
  <si>
    <t>RDCSWEM000000092983</t>
  </si>
  <si>
    <t>VR GOBEL</t>
  </si>
  <si>
    <t>2483 EDIT</t>
  </si>
  <si>
    <t>S MAJOR</t>
  </si>
  <si>
    <t>HOLNLDM000721480536</t>
  </si>
  <si>
    <t>MENTOR</t>
  </si>
  <si>
    <t>NORA 106</t>
  </si>
  <si>
    <t>BRFGBRM937005754684</t>
  </si>
  <si>
    <t>INCH ROBERT</t>
  </si>
  <si>
    <t>INCH BLACKISLE DAPHNE 4</t>
  </si>
  <si>
    <t>HOLIRLM141726761292</t>
  </si>
  <si>
    <t>(IG) ARDRAGOLD PARKER</t>
  </si>
  <si>
    <t>ARDRAGOLD BHZ POLLY 978</t>
  </si>
  <si>
    <t>HOLIRLM241434561541</t>
  </si>
  <si>
    <t>GORTFADDA ROMEO</t>
  </si>
  <si>
    <t>COOLMOHAN REBCHEDDAR</t>
  </si>
  <si>
    <t>GORTFADDA MOLLY 120</t>
  </si>
  <si>
    <t>HOLFRAM002229184217</t>
  </si>
  <si>
    <t>LOUXOR</t>
  </si>
  <si>
    <t>IZNOGOUD</t>
  </si>
  <si>
    <t>HYACINTE</t>
  </si>
  <si>
    <t>DOUBLE DUTCH DT BENITO</t>
  </si>
  <si>
    <t>DFRNLDM000679230555</t>
  </si>
  <si>
    <t>SIPPENVENNE DURK</t>
  </si>
  <si>
    <t>BROEKSTER KEI</t>
  </si>
  <si>
    <t>DOORTJE 20</t>
  </si>
  <si>
    <t>SJOARDA'S HARM</t>
  </si>
  <si>
    <t>HOLGBRM000000642934</t>
  </si>
  <si>
    <t>ABS THEORY ET</t>
  </si>
  <si>
    <t>THEA</t>
  </si>
  <si>
    <t>HOLIRLM141610282682</t>
  </si>
  <si>
    <t>RISINGSUN APOLLO</t>
  </si>
  <si>
    <t>RISINGSUN AOIFE</t>
  </si>
  <si>
    <t>HOLIRLM217048621841</t>
  </si>
  <si>
    <t>COOLMORE ANTON</t>
  </si>
  <si>
    <t>COOLMORE HMY ANNE 1227</t>
  </si>
  <si>
    <t>MONFRAM004242064963</t>
  </si>
  <si>
    <t>IGIROUD JB</t>
  </si>
  <si>
    <t>ALICANT MS</t>
  </si>
  <si>
    <t>ETAMINE</t>
  </si>
  <si>
    <t>RDCNORM000000011572</t>
  </si>
  <si>
    <t>HOLDEUM000666825546</t>
  </si>
  <si>
    <t>PALETTI PP</t>
  </si>
  <si>
    <t>MS SUNVIEW SE SURI-RED-ET</t>
  </si>
  <si>
    <t>LIRR SPECIAL EFFECT P RED ET</t>
  </si>
  <si>
    <t>HOLCANM000012208585</t>
  </si>
  <si>
    <t>CLAYNOOK CASPER-ET</t>
  </si>
  <si>
    <t>CLAYNOOK COLITA BOMBERO</t>
  </si>
  <si>
    <t>HOLNLDM000932266882</t>
  </si>
  <si>
    <t>NOOREINDER LEEN</t>
  </si>
  <si>
    <t>GRIETMAN 5</t>
  </si>
  <si>
    <t>LUKKIE</t>
  </si>
  <si>
    <t>ISODORUSHOEVE GERARD 8</t>
  </si>
  <si>
    <t>HOL840M003130010605</t>
  </si>
  <si>
    <t>DE-SU CURRY 13360</t>
  </si>
  <si>
    <t>HOLNZLM000000112063</t>
  </si>
  <si>
    <t>PADRUTTS GB TOPNOTCH S2F</t>
  </si>
  <si>
    <t>HOLIRLM151941630823</t>
  </si>
  <si>
    <t>(IG) NEXTGEN BUSTER</t>
  </si>
  <si>
    <t>NEXTGEN SOK EDEL 1764</t>
  </si>
  <si>
    <t>HOLIRLM224229522094</t>
  </si>
  <si>
    <t>(IG) KILLALOUGH ECO</t>
  </si>
  <si>
    <t>KILLALOUGH PRW TINA</t>
  </si>
  <si>
    <t>HOLIRLM222458282249</t>
  </si>
  <si>
    <t>CURRA FIONN</t>
  </si>
  <si>
    <t>CURRA KEET ESTER</t>
  </si>
  <si>
    <t>HOLNZLM000000112046</t>
  </si>
  <si>
    <t>MOORBYS FM GRANITE S2F</t>
  </si>
  <si>
    <t>HOLITAM033990287543</t>
  </si>
  <si>
    <t>ALL.NURE SECRETARIAT</t>
  </si>
  <si>
    <t>ALL.NURE BAXTER SILKY ET</t>
  </si>
  <si>
    <t>RDCNORM000000011078</t>
  </si>
  <si>
    <t>GOPOLLEN</t>
  </si>
  <si>
    <t>OLEANE</t>
  </si>
  <si>
    <t>HOLUSAM000074414110</t>
  </si>
  <si>
    <t>IHG TYCOON-ET</t>
  </si>
  <si>
    <t>GRANDEUR UNO TAMRIEL-ET</t>
  </si>
  <si>
    <t>JERDNKM000000304302</t>
  </si>
  <si>
    <t>VJ HOEHOLT JERN JAMES</t>
  </si>
  <si>
    <t>VJ ZOLT</t>
  </si>
  <si>
    <t>HOLIRLM218577561892</t>
  </si>
  <si>
    <t>OLCASTLETOWN ROMEO</t>
  </si>
  <si>
    <t>OLCASTLETOWN JUSTICE CELESTINE</t>
  </si>
  <si>
    <t>HOL840M003014562176</t>
  </si>
  <si>
    <t>SANDY-VALLEY J PHARO-ET</t>
  </si>
  <si>
    <t>SANDY-VALLEY BL PARADISE-ET</t>
  </si>
  <si>
    <t>HOL840M003129015989</t>
  </si>
  <si>
    <t>STANTONS CHIEF-ET</t>
  </si>
  <si>
    <t>ROCKYMOUNTAIN UNO CHEYANNE</t>
  </si>
  <si>
    <t>MONFRAM002534591940</t>
  </si>
  <si>
    <t>LOOPI</t>
  </si>
  <si>
    <t>GOURMANDE</t>
  </si>
  <si>
    <t>HOLGBRM000000607448</t>
  </si>
  <si>
    <t>BORKILBEG LANTZ ET</t>
  </si>
  <si>
    <t>SNOWN DESTINYS DEWDROP</t>
  </si>
  <si>
    <t>HOLCANM000005470579</t>
  </si>
  <si>
    <t>STARTMORE RACHELLE ET</t>
  </si>
  <si>
    <t>HOLNZLM000000093270</t>
  </si>
  <si>
    <t>LLOYDS ATLAS DAISY</t>
  </si>
  <si>
    <t>HOLGBRM000000534270</t>
  </si>
  <si>
    <t>MANORPOWIS BALMORAL ET</t>
  </si>
  <si>
    <t>HOLDEUM001021149731</t>
  </si>
  <si>
    <t>MASCOT ENNE</t>
  </si>
  <si>
    <t>ENNE</t>
  </si>
  <si>
    <t>HOLCANM000000401356</t>
  </si>
  <si>
    <t>MEADOW BRIDGE MERCURY ET</t>
  </si>
  <si>
    <t>NORMAC ROYAL MISTRESS</t>
  </si>
  <si>
    <t>FAIRLEA ROYAL MARK</t>
  </si>
  <si>
    <t>HOLUSAM000002203532</t>
  </si>
  <si>
    <t>MOROVILLE WINKEN BOBBI</t>
  </si>
  <si>
    <t>HOLNLDM000776437936</t>
  </si>
  <si>
    <t>PEN-COL ROTATE DAZZLE-ET</t>
  </si>
  <si>
    <t>HOLGBRM000000550283</t>
  </si>
  <si>
    <t>HIQUALITY BLACKSTAR JETSTREAM</t>
  </si>
  <si>
    <t>LADYSMANOR JEM OF JEWELS</t>
  </si>
  <si>
    <t>HOLNLDM000189787345</t>
  </si>
  <si>
    <t>OL DOLIN</t>
  </si>
  <si>
    <t>HIGHSIGHTS MASCOT LISA</t>
  </si>
  <si>
    <t>BRFGBRM000000524691</t>
  </si>
  <si>
    <t>PARKMORE JUNIPER</t>
  </si>
  <si>
    <t>MULLINBROOK STAR QUALITY 5</t>
  </si>
  <si>
    <t>TAMLAGHTMORE BURGUNDY</t>
  </si>
  <si>
    <t>HOLGBRM000000533668</t>
  </si>
  <si>
    <t>POULALEA STATUE</t>
  </si>
  <si>
    <t>POULALEA JULIANA</t>
  </si>
  <si>
    <t>HOLUSAM000002073968</t>
  </si>
  <si>
    <t>PENCOL S MARAUDER</t>
  </si>
  <si>
    <t>CLOVEREDGE JYLH MARK MISS</t>
  </si>
  <si>
    <t>HOLNLDM000180992926</t>
  </si>
  <si>
    <t>DE CROB 9292</t>
  </si>
  <si>
    <t>HOLFRAM006286022636</t>
  </si>
  <si>
    <t>BASICAL</t>
  </si>
  <si>
    <t>UNAMIRABLE</t>
  </si>
  <si>
    <t>RAINBOW</t>
  </si>
  <si>
    <t>HOLGBRM000000532301</t>
  </si>
  <si>
    <t>BAWNTOWN LEO</t>
  </si>
  <si>
    <t>KNOCKLEIGH CREATOR 3</t>
  </si>
  <si>
    <t>BARRYSHALL HAZEL 17</t>
  </si>
  <si>
    <t>RIDGWARDINE JACOBITE</t>
  </si>
  <si>
    <t>HOLNLDM000230645163</t>
  </si>
  <si>
    <t>BOKSLOOT WILLY</t>
  </si>
  <si>
    <t>TO-MAR MOUNTAIN HELEN-ET</t>
  </si>
  <si>
    <t>HOLUSAM000002188344</t>
  </si>
  <si>
    <t>BAYVILLE NOAH ET</t>
  </si>
  <si>
    <t>BAYVILLE HP NED BOY</t>
  </si>
  <si>
    <t>HOLGBRM000000573942</t>
  </si>
  <si>
    <t>BARROWVALE DECLAN</t>
  </si>
  <si>
    <t>BARROWVALE DAMSEL 6</t>
  </si>
  <si>
    <t>HOLDEUM001012288456</t>
  </si>
  <si>
    <t>TONGO</t>
  </si>
  <si>
    <t>HAZIEND</t>
  </si>
  <si>
    <t>HOLNLDM000115467411</t>
  </si>
  <si>
    <t>TIMMERS GOODMAN</t>
  </si>
  <si>
    <t>ROK LAURA</t>
  </si>
  <si>
    <t>HOLNLDM000233457903</t>
  </si>
  <si>
    <t>BEVERLAKE MARET</t>
  </si>
  <si>
    <t>BEVERLAKE LEADLOUE 4</t>
  </si>
  <si>
    <t>HOLNLDM000203225116</t>
  </si>
  <si>
    <t>PAUW LOK</t>
  </si>
  <si>
    <t>LOOKING</t>
  </si>
  <si>
    <t>HOLNLDM000178950633</t>
  </si>
  <si>
    <t>QG NETSCAPE</t>
  </si>
  <si>
    <t>BON NELLIE 757</t>
  </si>
  <si>
    <t>HOLUSAM000002221585</t>
  </si>
  <si>
    <t>MAR-BIL CLEITUS GRACE-ET</t>
  </si>
  <si>
    <t>HOLUSAM000002046837</t>
  </si>
  <si>
    <t>MARTINPLACEHL MARK HORACE</t>
  </si>
  <si>
    <t>KEMVIEW HILARY ET</t>
  </si>
  <si>
    <t>HOLFRAM005988002223</t>
  </si>
  <si>
    <t>LADYS MANOR DAINTY BOY</t>
  </si>
  <si>
    <t>LADYS-MANOR CORPORATION</t>
  </si>
  <si>
    <t>HOLFRAM003594000366</t>
  </si>
  <si>
    <t>FATIMA</t>
  </si>
  <si>
    <t>HOLNLDM000777304244</t>
  </si>
  <si>
    <t>JELTJE S ROCKET</t>
  </si>
  <si>
    <t>JELTJE</t>
  </si>
  <si>
    <t>TOPS MONITOR LEGEND</t>
  </si>
  <si>
    <t>HOLNLDM000319557909</t>
  </si>
  <si>
    <t>GAME</t>
  </si>
  <si>
    <t>THONYMA GAMBLER</t>
  </si>
  <si>
    <t>HILTSJE TL</t>
  </si>
  <si>
    <t>HOLCANM000000393786</t>
  </si>
  <si>
    <t>ROYCEDALE AUTOMATIC ET</t>
  </si>
  <si>
    <t>ROYCEDALE TONY AMELIA ET</t>
  </si>
  <si>
    <t>HOLDEUM001012337003</t>
  </si>
  <si>
    <t>LOOSLEA BLK STAR MONIQUE-ET</t>
  </si>
  <si>
    <t>HOLDEUM001015257292</t>
  </si>
  <si>
    <t>MONALIS</t>
  </si>
  <si>
    <t>HOLGBRM000000609871</t>
  </si>
  <si>
    <t>EVERGRANGE BONATUS</t>
  </si>
  <si>
    <t>EVERGRANGE RU OLIVIA 4</t>
  </si>
  <si>
    <t>HOLDEUM000108784467</t>
  </si>
  <si>
    <t>RAKETE</t>
  </si>
  <si>
    <t>HOLNLDM000160259407</t>
  </si>
  <si>
    <t>ANNA 023</t>
  </si>
  <si>
    <t>HOLNLDM000148187124</t>
  </si>
  <si>
    <t>OL. MODIGO</t>
  </si>
  <si>
    <t>JAFRAL L-M MORNA-ET</t>
  </si>
  <si>
    <t>HOLGBRM000000537482</t>
  </si>
  <si>
    <t>MASBURY UNIFORM</t>
  </si>
  <si>
    <t>MASBURY STAR UNICE</t>
  </si>
  <si>
    <t>HOLFRAM007627604287</t>
  </si>
  <si>
    <t>PAPRIKA</t>
  </si>
  <si>
    <t>NACRE PI ET</t>
  </si>
  <si>
    <t>HANSI 84</t>
  </si>
  <si>
    <t>ELTIN</t>
  </si>
  <si>
    <t>CATO 49</t>
  </si>
  <si>
    <t>WALTER</t>
  </si>
  <si>
    <t>HOLNLDM000265344822</t>
  </si>
  <si>
    <t>HOL-STIENS FABIAN</t>
  </si>
  <si>
    <t>HOL-STIENS FIONA</t>
  </si>
  <si>
    <t>JERCANM000000138499</t>
  </si>
  <si>
    <t>HURONIA JODY'S GALAXY</t>
  </si>
  <si>
    <t>JODYS IMPERIAL SURVILLE</t>
  </si>
  <si>
    <t>HURONIA BRIGHT GLORIA CJCC</t>
  </si>
  <si>
    <t>MEADOW LAWN BRIGHT SPOT 60D</t>
  </si>
  <si>
    <t>HOLNLDM000178602208</t>
  </si>
  <si>
    <t>H-STIENS DUBLIN</t>
  </si>
  <si>
    <t>HOL-STIENS DALIA</t>
  </si>
  <si>
    <t>NMDFRAM005388012666</t>
  </si>
  <si>
    <t>TUNISIE</t>
  </si>
  <si>
    <t>INCARVILLE</t>
  </si>
  <si>
    <t>HOLNLDM000860788283</t>
  </si>
  <si>
    <t>Q G BELLUDE</t>
  </si>
  <si>
    <t>HOLFRAM005112758193</t>
  </si>
  <si>
    <t>POUVOIR</t>
  </si>
  <si>
    <t>KERNDTWAY ELTON DICE PI ET</t>
  </si>
  <si>
    <t>MRYNLDM000457834445</t>
  </si>
  <si>
    <t>JAPIK</t>
  </si>
  <si>
    <t>ROZA 2</t>
  </si>
  <si>
    <t>HOLNLDM000134846095</t>
  </si>
  <si>
    <t>ECTAVIA</t>
  </si>
  <si>
    <t>TEX-STEIN VALIANT OCTAVIA</t>
  </si>
  <si>
    <t>HOLCANM000006951744</t>
  </si>
  <si>
    <t>COMESTAR LEMPIRE</t>
  </si>
  <si>
    <t>JERDNKM000000300610</t>
  </si>
  <si>
    <t>FYR</t>
  </si>
  <si>
    <t>HOLGBRM000000603600</t>
  </si>
  <si>
    <t>KILGARRIFFE FRED 2 ET</t>
  </si>
  <si>
    <t>REGANCREST-KIU RAINA-ET</t>
  </si>
  <si>
    <t>HOLGBRM000000608182</t>
  </si>
  <si>
    <t>LISDUFF WEBPAGE ET</t>
  </si>
  <si>
    <t>LIVE EXPORT</t>
  </si>
  <si>
    <t>LISDUFF SASHA 4 ET</t>
  </si>
  <si>
    <t>TREES 20'S MAARTEN</t>
  </si>
  <si>
    <t>MAARTEN</t>
  </si>
  <si>
    <t>TREES 20</t>
  </si>
  <si>
    <t>HOLCANM000006947936</t>
  </si>
  <si>
    <t>NMDFRAM006193017572</t>
  </si>
  <si>
    <t>ICETON</t>
  </si>
  <si>
    <t>FRAN DALHIA</t>
  </si>
  <si>
    <t>FRAN RIVAGE</t>
  </si>
  <si>
    <t>JERDNKM000000049511</t>
  </si>
  <si>
    <t>MRYNLDM000504040625</t>
  </si>
  <si>
    <t>MARCEL</t>
  </si>
  <si>
    <t>MAGDA</t>
  </si>
  <si>
    <t>CHRIS</t>
  </si>
  <si>
    <t>HOLUSAM000002178204</t>
  </si>
  <si>
    <t>PARADISE-R SEARSLY</t>
  </si>
  <si>
    <t>PARADISE-R AR SHERRY 1128-ET</t>
  </si>
  <si>
    <t>R HART TC DENMARK ET</t>
  </si>
  <si>
    <t>FOREST LAWN TRADITION ET</t>
  </si>
  <si>
    <t>R HART C B CHRISTIAN*TW</t>
  </si>
  <si>
    <t>VENTURES ESP BARBARAY</t>
  </si>
  <si>
    <t>MONFRAM000096000002</t>
  </si>
  <si>
    <t>EL KILCULLEN AMBASSADOR</t>
  </si>
  <si>
    <t>GLYCINE</t>
  </si>
  <si>
    <t>HOLNLDM000231655891</t>
  </si>
  <si>
    <t>SULLY INFLUENCE MATTIE G</t>
  </si>
  <si>
    <t>SULLY BELWOOD ARIEL PI</t>
  </si>
  <si>
    <t>HOLGBRM000000609818</t>
  </si>
  <si>
    <t>LISDUFF SONBREIZ</t>
  </si>
  <si>
    <t>LISDUFF DAIRY BREIZ 2 ET</t>
  </si>
  <si>
    <t>HOLDEUM001020902179</t>
  </si>
  <si>
    <t>BALLYCRAIGY BLACKSTAR ET</t>
  </si>
  <si>
    <t>DREAMSTREET SEXATION SUE-OC ET</t>
  </si>
  <si>
    <t>JERNZLM000000091441</t>
  </si>
  <si>
    <t>G R BAYLEA PENNY'S CARLOS</t>
  </si>
  <si>
    <t>BURGHAMS PENNY GR</t>
  </si>
  <si>
    <t>BAYLEA VANAMOS CREINA SJ2</t>
  </si>
  <si>
    <t>LAWMUIR VANAMO</t>
  </si>
  <si>
    <t>MONFRAM002593027200</t>
  </si>
  <si>
    <t>HOLFRAM002293051582</t>
  </si>
  <si>
    <t>INDEAVOR</t>
  </si>
  <si>
    <t>GOURMETTE</t>
  </si>
  <si>
    <t>HOLNZLM000000096309</t>
  </si>
  <si>
    <t>JACKWAYS HERNE</t>
  </si>
  <si>
    <t>JACKWAYS ATLAS SUE</t>
  </si>
  <si>
    <t>HOLNLDM000183091257</t>
  </si>
  <si>
    <t>KELSTEIN W 132</t>
  </si>
  <si>
    <t>KELSTEIN WEITSKE 459</t>
  </si>
  <si>
    <t>HOLDEUM000578134225</t>
  </si>
  <si>
    <t>LUKABELL</t>
  </si>
  <si>
    <t>HOLGBRM000000559626</t>
  </si>
  <si>
    <t>MOET FLIRT FUSION ET</t>
  </si>
  <si>
    <t>MRYNLDM000462561899</t>
  </si>
  <si>
    <t>GERBEN</t>
  </si>
  <si>
    <t>IRMA 286</t>
  </si>
  <si>
    <t>HOLDEUM001015240086</t>
  </si>
  <si>
    <t>STOLLBERG</t>
  </si>
  <si>
    <t>DOUBLETTE DOUBLETTE</t>
  </si>
  <si>
    <t>HOLNLDM000177043297</t>
  </si>
  <si>
    <t>EERDENSHOEVE DOMBINATOR</t>
  </si>
  <si>
    <t>MIRANDA 180</t>
  </si>
  <si>
    <t>HOLNLDM000110314073</t>
  </si>
  <si>
    <t>EASTLAND FESTIVAL</t>
  </si>
  <si>
    <t>NMDFRAM008689004572</t>
  </si>
  <si>
    <t>ENTOI</t>
  </si>
  <si>
    <t>FRAN TOI</t>
  </si>
  <si>
    <t>MONFRAM002590008043</t>
  </si>
  <si>
    <t>FANLAC</t>
  </si>
  <si>
    <t>SUPREME</t>
  </si>
  <si>
    <t>ATTILUS</t>
  </si>
  <si>
    <t>BSWUSAM000000185301</t>
  </si>
  <si>
    <t>IDYL WILD IMPROVER JINX</t>
  </si>
  <si>
    <t>DFRNLDM000246652838</t>
  </si>
  <si>
    <t>MONFRAM003991006257</t>
  </si>
  <si>
    <t>GENEREUX</t>
  </si>
  <si>
    <t>BLANCHETTE</t>
  </si>
  <si>
    <t>OSCAR</t>
  </si>
  <si>
    <t>HOLGBRM000000596159</t>
  </si>
  <si>
    <t>BARROWVALE MARTELL 2</t>
  </si>
  <si>
    <t>BARROWVALE DHEATY 20</t>
  </si>
  <si>
    <t>JERDNKM000000049310</t>
  </si>
  <si>
    <t>SKAE FRED</t>
  </si>
  <si>
    <t>ODA FRAEK</t>
  </si>
  <si>
    <t>ODA GRAND</t>
  </si>
  <si>
    <t>SCOTCH</t>
  </si>
  <si>
    <t>LERCHE</t>
  </si>
  <si>
    <t>COSA</t>
  </si>
  <si>
    <t>TOP ACRES COMBO PRESTON</t>
  </si>
  <si>
    <t>HOLUSAM000002167531</t>
  </si>
  <si>
    <t>KERNDTWAY GOLDFINGER</t>
  </si>
  <si>
    <t>KERNDTWAY GOLDUST ET</t>
  </si>
  <si>
    <t>HOLUSAM000002138315</t>
  </si>
  <si>
    <t>LOOSLEA BLACKSTAR MARCEL ET</t>
  </si>
  <si>
    <t>STOOKEY ENHANCER MONICA-RED-ET</t>
  </si>
  <si>
    <t>HOLGBRM000000538146</t>
  </si>
  <si>
    <t>WILOWNA EAGLE ET</t>
  </si>
  <si>
    <t>HOLGBRM000000538147</t>
  </si>
  <si>
    <t>WILOWNA EMPIRE ET</t>
  </si>
  <si>
    <t>HOLUSAM000002223838</t>
  </si>
  <si>
    <t>WELCOME GINO GIOVANNI ET</t>
  </si>
  <si>
    <t>INTERGENI B-STAR GINO</t>
  </si>
  <si>
    <t>WELCOME MELWOOD GIFT</t>
  </si>
  <si>
    <t>HOLCANM000000393207</t>
  </si>
  <si>
    <t>WELCOME VALIANT GINGERSNAP</t>
  </si>
  <si>
    <t>HOLFRAM005096028209</t>
  </si>
  <si>
    <t>GALTEE MUSICHALL</t>
  </si>
  <si>
    <t>HEINEKEN</t>
  </si>
  <si>
    <t>HOLFRAM002296001987</t>
  </si>
  <si>
    <t>PROGRESSIVE MERINOS</t>
  </si>
  <si>
    <t>JULIANA</t>
  </si>
  <si>
    <t>HOLGBRM000000533254</t>
  </si>
  <si>
    <t>CARRIGLEA ECONOMY</t>
  </si>
  <si>
    <t>CARRIGLEA LADY</t>
  </si>
  <si>
    <t>CARGIN CARDAN</t>
  </si>
  <si>
    <t>HOLGBRM000000530783</t>
  </si>
  <si>
    <t>COOLFREHEEN BUCKSTAR ET</t>
  </si>
  <si>
    <t>HOLFRAM002295001678</t>
  </si>
  <si>
    <t>LIE BREIZ</t>
  </si>
  <si>
    <t>DAIRY BREIZ</t>
  </si>
  <si>
    <t>HOLNLDM000110399195</t>
  </si>
  <si>
    <t>BROEKS LIRAYA</t>
  </si>
  <si>
    <t>HEINZ LIBERTY ET</t>
  </si>
  <si>
    <t>TESK HOLM RAYA</t>
  </si>
  <si>
    <t>HOLGBRM000000549221</t>
  </si>
  <si>
    <t>CRADENHILL ASTRO PREJET ET</t>
  </si>
  <si>
    <t>C RENVALE ATTRACTION DANICE</t>
  </si>
  <si>
    <t>AGRO ACRES ATTRACTION</t>
  </si>
  <si>
    <t>HOLGBRM000000539128</t>
  </si>
  <si>
    <t>LISKILLA POMP ENHANCER 5 ET</t>
  </si>
  <si>
    <t>LISKILLA POMP</t>
  </si>
  <si>
    <t>KYLEFARM AMBASSADOR</t>
  </si>
  <si>
    <t>HOLGBRM000000515531</t>
  </si>
  <si>
    <t>LAURELMORE CAMPER ET</t>
  </si>
  <si>
    <t>HOLGBRM000000562881</t>
  </si>
  <si>
    <t>LYNBROOK RAVEN B ET</t>
  </si>
  <si>
    <t>HOLNZLM000000091201</t>
  </si>
  <si>
    <t>ATHOL M K VULCAN</t>
  </si>
  <si>
    <t>WELBURN C HEATH</t>
  </si>
  <si>
    <t>HOLITAM000908007603</t>
  </si>
  <si>
    <t>AQUILA MASC.DREAMER ET TV G.M.</t>
  </si>
  <si>
    <t>AQUILA GENE BONNIE</t>
  </si>
  <si>
    <t>HOLITAM003704037031</t>
  </si>
  <si>
    <t>ARALVICO STARBUCK GIPSY TL</t>
  </si>
  <si>
    <t>IVANETT</t>
  </si>
  <si>
    <t>HOLUSAM000002250944</t>
  </si>
  <si>
    <t>ALFASLOPES SPENCER TRACY</t>
  </si>
  <si>
    <t>AGI SPENCER</t>
  </si>
  <si>
    <t>ALFASLOPES BSTAR MARIA ET</t>
  </si>
  <si>
    <t>HOLUSAM000002208791</t>
  </si>
  <si>
    <t>GBI MORNINGVIEW BANNER ET</t>
  </si>
  <si>
    <t>GLC CLEITUS BAYLEY ET</t>
  </si>
  <si>
    <t>HOLGBRM000000004567</t>
  </si>
  <si>
    <t>GENUS MOORCROFT ET</t>
  </si>
  <si>
    <t>HOLUSAM000002161907</t>
  </si>
  <si>
    <t>END-ROAD LEADMAN BARLO-ET</t>
  </si>
  <si>
    <t>END-ROAD ROYALTY BINGO</t>
  </si>
  <si>
    <t>HOLNLDM000318340810</t>
  </si>
  <si>
    <t>ETAZON MENDEL</t>
  </si>
  <si>
    <t>ROTHDALE SEXATION PEGGY</t>
  </si>
  <si>
    <t>HOLUSAM000002082092</t>
  </si>
  <si>
    <t>RONNAN BUTTERNUT</t>
  </si>
  <si>
    <t>HAPPY-HERD BEAUTICIAN</t>
  </si>
  <si>
    <t>NOWERLAND TRADITION BUTTERCUP</t>
  </si>
  <si>
    <t>HOLGBRM000000539318</t>
  </si>
  <si>
    <t>ROBINVIEW GABRIEL 2</t>
  </si>
  <si>
    <t>HOLUSAM000002071247</t>
  </si>
  <si>
    <t>DE-SU SECRET JETSON TOP GUN</t>
  </si>
  <si>
    <t>DE-SU JETSON CASSANDRA-ET</t>
  </si>
  <si>
    <t>BROWNCROFT JETSON</t>
  </si>
  <si>
    <t>HOLNLDM000267742314</t>
  </si>
  <si>
    <t>EASTLAND KNOX</t>
  </si>
  <si>
    <t>EASTLAND GEORGA</t>
  </si>
  <si>
    <t>HOLITAM000200036736</t>
  </si>
  <si>
    <t>ALPAG CHIEF MARK MILKWAY ET</t>
  </si>
  <si>
    <t>SPRUCEGATE RED WILLIE</t>
  </si>
  <si>
    <t>HOLNLDM000139484364</t>
  </si>
  <si>
    <t>AVEST D ELI</t>
  </si>
  <si>
    <t>HOLNLDM000320827983</t>
  </si>
  <si>
    <t>MILKBOARD ALEX 105</t>
  </si>
  <si>
    <t>KIN-VALE JO BELL LUCAS-ET</t>
  </si>
  <si>
    <t>HOLCANM000005574544</t>
  </si>
  <si>
    <t>STARTMORE LEADMASTER ET</t>
  </si>
  <si>
    <t>HOLNLDM000236230446</t>
  </si>
  <si>
    <t>ISIDORUS 96</t>
  </si>
  <si>
    <t>MASCOTTA</t>
  </si>
  <si>
    <t>HOLNLDM000829877704</t>
  </si>
  <si>
    <t>HOLIM EXTREEM</t>
  </si>
  <si>
    <t>HOLCANM000005222865</t>
  </si>
  <si>
    <t>HANOVERHILL MAJOR ET</t>
  </si>
  <si>
    <t>HOLFRAM004494050099</t>
  </si>
  <si>
    <t>KILBANIVANE JUNIOR</t>
  </si>
  <si>
    <t>NOWERLAND TRIFECTA</t>
  </si>
  <si>
    <t>HOLNLDM000825053999</t>
  </si>
  <si>
    <t>JULIUS VAN HIDDINGEZIJL</t>
  </si>
  <si>
    <t>JULIANA 005</t>
  </si>
  <si>
    <t>HOLUSAM000002124358</t>
  </si>
  <si>
    <t>KED JURIST ET</t>
  </si>
  <si>
    <t>HOLGBRM000000534930</t>
  </si>
  <si>
    <t>KEADEEN SOVEREIGN LIN ET</t>
  </si>
  <si>
    <t>STRATHMERTON SILVIA 3</t>
  </si>
  <si>
    <t>HOLNLDM000835809047</t>
  </si>
  <si>
    <t>FLEVO GENETICS TONY</t>
  </si>
  <si>
    <t>ROCKYVU BLKST ETHEL EVE</t>
  </si>
  <si>
    <t>DFRNLDM000114826534</t>
  </si>
  <si>
    <t>DOVEA FALKO 7 ET</t>
  </si>
  <si>
    <t>KL SYNAEDA L 5</t>
  </si>
  <si>
    <t>FOKJE 85</t>
  </si>
  <si>
    <t>HOLGBRM000000607355</t>
  </si>
  <si>
    <t>LEAGH MADAMS WEBSTER</t>
  </si>
  <si>
    <t>MARY QUINLAN</t>
  </si>
  <si>
    <t>LEAGH BELLWOOD MADAM ET</t>
  </si>
  <si>
    <t>HOLGBRM000000593008</t>
  </si>
  <si>
    <t>CONDORA KNOCKOUT TOSCA ET</t>
  </si>
  <si>
    <t>VISSTEIN TOSCA ZELINA</t>
  </si>
  <si>
    <t>HOLCANM000005808350</t>
  </si>
  <si>
    <t>COMESTAR TOP GUN ET</t>
  </si>
  <si>
    <t>NMDFRAM005691021737</t>
  </si>
  <si>
    <t>GREORGIQUE</t>
  </si>
  <si>
    <t>FRAN UNA9851R36</t>
  </si>
  <si>
    <t>FRAN IRKOUST</t>
  </si>
  <si>
    <t>MONFRAM003991013070</t>
  </si>
  <si>
    <t>VIVALDI</t>
  </si>
  <si>
    <t>ARIANE</t>
  </si>
  <si>
    <t>NEVADA</t>
  </si>
  <si>
    <t>MONFRAM007092014465</t>
  </si>
  <si>
    <t>HAIKU</t>
  </si>
  <si>
    <t>URGANIO</t>
  </si>
  <si>
    <t>BERCEUSE</t>
  </si>
  <si>
    <t>MONFRAM002593006409</t>
  </si>
  <si>
    <t>INCIPIT</t>
  </si>
  <si>
    <t>EFLORA</t>
  </si>
  <si>
    <t>HOLUSAM000002051314</t>
  </si>
  <si>
    <t>IMPERIAL C NED BOY CHARLIE ET</t>
  </si>
  <si>
    <t>HOLGBRM000000539250</t>
  </si>
  <si>
    <t>CRICHEL QUAKER</t>
  </si>
  <si>
    <t>FUTURE QUICKSTEP 11</t>
  </si>
  <si>
    <t>FUTURE STARDOM</t>
  </si>
  <si>
    <t>HOLUSAM000002024603</t>
  </si>
  <si>
    <t>ANDYSACRES MARK JUSTIN</t>
  </si>
  <si>
    <t>ANDYSACRES BELL JULIE</t>
  </si>
  <si>
    <t>HOLITAM000907010001</t>
  </si>
  <si>
    <t>AQUILA BLACKSTAR BENSON ET</t>
  </si>
  <si>
    <t>AQUILA CLEITUS VANESSA ET</t>
  </si>
  <si>
    <t>HOLUSAM000002265005</t>
  </si>
  <si>
    <t>DIXIE-LEE ASPEN-ET</t>
  </si>
  <si>
    <t>HOLNLDM000170872308</t>
  </si>
  <si>
    <t>VELDSTAR INGOLD</t>
  </si>
  <si>
    <t>VELDSTAR JOLIE</t>
  </si>
  <si>
    <t>HOLCANM000000394477</t>
  </si>
  <si>
    <t>WRICO C MARK KANSO ET</t>
  </si>
  <si>
    <t>WRICO VALIANT KATE</t>
  </si>
  <si>
    <t>HOLUSAM000002193611</t>
  </si>
  <si>
    <t>HOLUSAM000002118528</t>
  </si>
  <si>
    <t>VALHALLA MARK MITZY-ET</t>
  </si>
  <si>
    <t>HOLUSAM000002217212</t>
  </si>
  <si>
    <t>PEN-COL BLACKSTAR DOLLY-ET</t>
  </si>
  <si>
    <t>HOLNLDM000194724148</t>
  </si>
  <si>
    <t>MESLAND PRINCE 9715</t>
  </si>
  <si>
    <t>HOLGBRM000000003325</t>
  </si>
  <si>
    <t>MOET SEXY ASTRA ET</t>
  </si>
  <si>
    <t>HOLCANM000000394050</t>
  </si>
  <si>
    <t>ROMANDALE STAR CHIEF ET</t>
  </si>
  <si>
    <t>A HANOVERHILL TT A PAPOOSE</t>
  </si>
  <si>
    <t>HOLUSAM000002138587</t>
  </si>
  <si>
    <t>ROCKY-VU EMPEROR-ET</t>
  </si>
  <si>
    <t>ROCKY-VU MARS ESTHE EXCTASY</t>
  </si>
  <si>
    <t>HOLNLDM000776654528</t>
  </si>
  <si>
    <t>RAAMHOEVE S LELY</t>
  </si>
  <si>
    <t>ETAZON LILLO</t>
  </si>
  <si>
    <t>HOLNLDM000219823685</t>
  </si>
  <si>
    <t>EASTLAND IRONSIDE</t>
  </si>
  <si>
    <t>EASTLAND GLEAM</t>
  </si>
  <si>
    <t>HOLNLDM000461674709</t>
  </si>
  <si>
    <t>ETAZON LEAGUE</t>
  </si>
  <si>
    <t>APPLENOTCH BELL ELIZA</t>
  </si>
  <si>
    <t>HOLUSAM000002128554</t>
  </si>
  <si>
    <t>EASTVIEW MEADOWLORD ET</t>
  </si>
  <si>
    <t>HOLNLDM000162173565</t>
  </si>
  <si>
    <t>DOVEA WESTENRADE 2</t>
  </si>
  <si>
    <t>HOLUSAM000002212186</t>
  </si>
  <si>
    <t>PLUSHANSKI THOR CUTTER ET</t>
  </si>
  <si>
    <t>MONIRLM291457450163</t>
  </si>
  <si>
    <t>INDIA</t>
  </si>
  <si>
    <t>MISSFERE</t>
  </si>
  <si>
    <t>RDCGBRM000006179852</t>
  </si>
  <si>
    <t>BALLYCLAN FIRST COMMAND</t>
  </si>
  <si>
    <t>MEIKLE LAUGHT TANYA</t>
  </si>
  <si>
    <t>BEN FERME AMIGO</t>
  </si>
  <si>
    <t>MRYNLDM000113470246</t>
  </si>
  <si>
    <t>SARA</t>
  </si>
  <si>
    <t>ALMA 37'S MARS</t>
  </si>
  <si>
    <t>USUS</t>
  </si>
  <si>
    <t>GALANTE</t>
  </si>
  <si>
    <t>AMOR</t>
  </si>
  <si>
    <t>HOLNLDM000178410050</t>
  </si>
  <si>
    <t>CORRADO</t>
  </si>
  <si>
    <t>LANA</t>
  </si>
  <si>
    <t>HOLUSAM000002121781</t>
  </si>
  <si>
    <t>OBEE BLACKSTAR WADE</t>
  </si>
  <si>
    <t>OBEE NEDBOY GLENNA</t>
  </si>
  <si>
    <t>DFRNLDM000104411159</t>
  </si>
  <si>
    <t>NOORTJE 888</t>
  </si>
  <si>
    <t>HOLFRAM003596073991</t>
  </si>
  <si>
    <t>PROGRESSIVE MAGELLAN</t>
  </si>
  <si>
    <t>GELA BELLE</t>
  </si>
  <si>
    <t>HOLITAM000905019877</t>
  </si>
  <si>
    <t>STELLA STARBUCK TOLF</t>
  </si>
  <si>
    <t>STELLA ALLEGRO ORATA</t>
  </si>
  <si>
    <t>ALLEGRO</t>
  </si>
  <si>
    <t>HOLGBRM000000562353</t>
  </si>
  <si>
    <t>BALL BLACKSTAR TESK</t>
  </si>
  <si>
    <t>BALL GRETA ET</t>
  </si>
  <si>
    <t>HOLGBRM000000519991</t>
  </si>
  <si>
    <t>BUTTERPARK PREFECT</t>
  </si>
  <si>
    <t>BUTTERPARK JUDY 100</t>
  </si>
  <si>
    <t>TERLING TRUMPETER</t>
  </si>
  <si>
    <t>HOLNLDM000462262086</t>
  </si>
  <si>
    <t>SEABREEZE GOLDSTAR</t>
  </si>
  <si>
    <t>LYLEHAVEN JETSON SEABREEZE ET</t>
  </si>
  <si>
    <t>HOLFRAM002994022235</t>
  </si>
  <si>
    <t>SHINAGH JUMBO</t>
  </si>
  <si>
    <t>GANENNA</t>
  </si>
  <si>
    <t>HOLUSAM000002113769</t>
  </si>
  <si>
    <t>HOLUSAM000002251487</t>
  </si>
  <si>
    <t>REGANCREST ELTON DANTE ET</t>
  </si>
  <si>
    <t>HOLGBRM000000525675</t>
  </si>
  <si>
    <t>ROBINVIEW ROYALIST</t>
  </si>
  <si>
    <t>HOLUSAM000002167682</t>
  </si>
  <si>
    <t>RUPPVUE RAMBO GUTHRIE</t>
  </si>
  <si>
    <t>APPLENOTCH ROTATE RAMBO</t>
  </si>
  <si>
    <t>MILEY TESK MARS GRINDELLA</t>
  </si>
  <si>
    <t>HOLGBRM000000534691</t>
  </si>
  <si>
    <t>LANGHILL SIDNEY 2 ET</t>
  </si>
  <si>
    <t>A AJAY STARLITE SIDNEY</t>
  </si>
  <si>
    <t>LANGHILL THEO ROSEMARY 10</t>
  </si>
  <si>
    <t>BARTONHOO PLUTONIUM</t>
  </si>
  <si>
    <t>HOLGBRM000000545572</t>
  </si>
  <si>
    <t>LEMRAC LINA STARBUCK ET</t>
  </si>
  <si>
    <t>FINTADA LINA</t>
  </si>
  <si>
    <t>A MIL-R-MOR ROXSON</t>
  </si>
  <si>
    <t>HOLNLDM000246570592</t>
  </si>
  <si>
    <t>HOLUSAM000002073505</t>
  </si>
  <si>
    <t>HOLGBRM000000552704</t>
  </si>
  <si>
    <t>LYNBROOK MA QUAKER</t>
  </si>
  <si>
    <t>CALBRETT MARK VIOLET ET</t>
  </si>
  <si>
    <t>HOLNLDM000838620922</t>
  </si>
  <si>
    <t>HOLGBRM000000567064</t>
  </si>
  <si>
    <t>MAUNSELL GOLDMAN ET</t>
  </si>
  <si>
    <t>MAUNSELL GOLDROSE ET</t>
  </si>
  <si>
    <t>HOLNLDM000172435064</t>
  </si>
  <si>
    <t>ADEL GUSTAAF 06</t>
  </si>
  <si>
    <t>GUSTINE 8</t>
  </si>
  <si>
    <t>HOLNLDM000991342406</t>
  </si>
  <si>
    <t>TRIOSEX</t>
  </si>
  <si>
    <t>TRIA BEL 86205045105</t>
  </si>
  <si>
    <t>HOLNZLM000000093206</t>
  </si>
  <si>
    <t>US ELDORADO ET</t>
  </si>
  <si>
    <t>CHELBROOKFF PT STEPHIE</t>
  </si>
  <si>
    <t>HICKS-HOLLOW PROMPT</t>
  </si>
  <si>
    <t>HOLUSAM000002183026</t>
  </si>
  <si>
    <t>SNOW N DENVER</t>
  </si>
  <si>
    <t>HOLGBRM000000538308</t>
  </si>
  <si>
    <t>SNIPEVALE CANBERRA</t>
  </si>
  <si>
    <t>HOLNLDM000112538714</t>
  </si>
  <si>
    <t>DELTAGREDIEN 2</t>
  </si>
  <si>
    <t>HOLGBRM000000544387</t>
  </si>
  <si>
    <t>SKEHANAGH TOP BARON</t>
  </si>
  <si>
    <t>HOLNLDM000796714688</t>
  </si>
  <si>
    <t>KOLHORNER SUNSHINE</t>
  </si>
  <si>
    <t>KOLH ETAZONFRONA</t>
  </si>
  <si>
    <t>HOLCANM000006215479</t>
  </si>
  <si>
    <t>ELKENDALE CLEITUS IMPALA ET</t>
  </si>
  <si>
    <t>HOLGBRM000000540969</t>
  </si>
  <si>
    <t>MARLAIS PATRICK 2</t>
  </si>
  <si>
    <t>GROVE BENEVOLENT</t>
  </si>
  <si>
    <t>MARLAIS LASSIE 39 ET</t>
  </si>
  <si>
    <t>HOLUSAM000002145234</t>
  </si>
  <si>
    <t>LONDONDALE SWIND MERV ET</t>
  </si>
  <si>
    <t>HOLGBRM000000586745</t>
  </si>
  <si>
    <t>LYNBROOK EXTACY ET</t>
  </si>
  <si>
    <t>HOLITAM000909015801</t>
  </si>
  <si>
    <t>AQUILA NICK GUNTHER ET</t>
  </si>
  <si>
    <t>HOLNLDM000202435909</t>
  </si>
  <si>
    <t>ADEL JOY 90</t>
  </si>
  <si>
    <t>ADEL JOYCE</t>
  </si>
  <si>
    <t>HOLDEUM000340337849</t>
  </si>
  <si>
    <t>DOVEA GEOFFRY</t>
  </si>
  <si>
    <t>PEGGY</t>
  </si>
  <si>
    <t>HOLFRAM002292002908</t>
  </si>
  <si>
    <t>DOONALLY HERMANN</t>
  </si>
  <si>
    <t>IDEALE 607</t>
  </si>
  <si>
    <t>CLEAR ACRES MEDALIST LEVI</t>
  </si>
  <si>
    <t>DFRNLDM000320397905</t>
  </si>
  <si>
    <t>DOVEA HEIDEHIPPER 16</t>
  </si>
  <si>
    <t>RIVELINO 229</t>
  </si>
  <si>
    <t>HOLDEUM001021265347</t>
  </si>
  <si>
    <t>DOVEA ROYAL</t>
  </si>
  <si>
    <t>LUTMILL</t>
  </si>
  <si>
    <t>HOLCANM000006193092</t>
  </si>
  <si>
    <t>LYSTEL LEDUC ET</t>
  </si>
  <si>
    <t>COMESTAR L OR BLACK ET</t>
  </si>
  <si>
    <t>HOLNLDM000835202897</t>
  </si>
  <si>
    <t>BROEKS CUBDOLEN</t>
  </si>
  <si>
    <t>J N B GWENDOLEN</t>
  </si>
  <si>
    <t>HOLNLDM000170899857</t>
  </si>
  <si>
    <t>BROEKS EUMANDA</t>
  </si>
  <si>
    <t>BROEKS EBONIES AMANDA</t>
  </si>
  <si>
    <t>HOLDEUM001012137383</t>
  </si>
  <si>
    <t>BLACKSTAR GOLD ET</t>
  </si>
  <si>
    <t>NIRA</t>
  </si>
  <si>
    <t>HOLNLDM000859965349</t>
  </si>
  <si>
    <t>BATENBURG FEIKJES TARKO</t>
  </si>
  <si>
    <t>BAT FEIKJE 140 ET</t>
  </si>
  <si>
    <t>DFRNLDM000786400412</t>
  </si>
  <si>
    <t>BLOKLAND FALCO</t>
  </si>
  <si>
    <t>JUPITER 163</t>
  </si>
  <si>
    <t>BLOK 671</t>
  </si>
  <si>
    <t>HOLCANM000006483076</t>
  </si>
  <si>
    <t>HOLNZLM000000097328</t>
  </si>
  <si>
    <t>DE VETHS JIRO</t>
  </si>
  <si>
    <t>DE VETHS TAYLOR JILL</t>
  </si>
  <si>
    <t>HOLDEUM000810146442</t>
  </si>
  <si>
    <t>JURMEL ET</t>
  </si>
  <si>
    <t>WILHELMINE 23</t>
  </si>
  <si>
    <t>HOLNLDM000189287319</t>
  </si>
  <si>
    <t>FRANKENHOF FORTIN</t>
  </si>
  <si>
    <t>AQUILA MASCOT DOTTIE ET TL</t>
  </si>
  <si>
    <t>HOLCANM000005280970</t>
  </si>
  <si>
    <t>HOLDNKM000000223388</t>
  </si>
  <si>
    <t>RGK IS</t>
  </si>
  <si>
    <t>SCHONSTE</t>
  </si>
  <si>
    <t>TABU</t>
  </si>
  <si>
    <t>HOLGBRM000000558908</t>
  </si>
  <si>
    <t>REARY SUPREME 5</t>
  </si>
  <si>
    <t>WILVERLEY SUPREME ET</t>
  </si>
  <si>
    <t>REARY NORAH 8</t>
  </si>
  <si>
    <t>HOLFRAM005990014870</t>
  </si>
  <si>
    <t>SNOWN BLACKSTAR FREDDY</t>
  </si>
  <si>
    <t>HOLGBRM000000544602</t>
  </si>
  <si>
    <t>ARDERNE SABRE</t>
  </si>
  <si>
    <t>HANOVERHILL TT ROXY ET</t>
  </si>
  <si>
    <t>HOLNLDM000830500152</t>
  </si>
  <si>
    <t>MAWA 73</t>
  </si>
  <si>
    <t>HOLNLDM000830500284</t>
  </si>
  <si>
    <t>SHINAGH ALEX 135</t>
  </si>
  <si>
    <t>HOLGBRM000000536545</t>
  </si>
  <si>
    <t>BIDLEA DANE</t>
  </si>
  <si>
    <t>BIDLEA PEACH 45</t>
  </si>
  <si>
    <t>BIDLEA SOVEREIGN 11</t>
  </si>
  <si>
    <t>HOLNLDM000314086958</t>
  </si>
  <si>
    <t>BOTERMIJN 757 ET</t>
  </si>
  <si>
    <t>BOTERMIJN</t>
  </si>
  <si>
    <t>HOLNZLM000000094205</t>
  </si>
  <si>
    <t>OAKENBOUND US FOREST ET</t>
  </si>
  <si>
    <t>OAKBOUND LEADMAN NADA</t>
  </si>
  <si>
    <t>HOLUSAM000017083054</t>
  </si>
  <si>
    <t>KERNDTWAY THOR GOLDIE</t>
  </si>
  <si>
    <t>MONFRAM002595027465</t>
  </si>
  <si>
    <t>LAUTECHAUX</t>
  </si>
  <si>
    <t>FOLIE</t>
  </si>
  <si>
    <t>ALF</t>
  </si>
  <si>
    <t>JERUSAM000000663209</t>
  </si>
  <si>
    <t>H&amp;B ALF PARAGON-ET</t>
  </si>
  <si>
    <t>SALVATION BROOK PARAMOUNT</t>
  </si>
  <si>
    <t>HOLNLDM000817218131</t>
  </si>
  <si>
    <t>SONNI S BLACKSTAR 9</t>
  </si>
  <si>
    <t>SONNI 2</t>
  </si>
  <si>
    <t>ADLER</t>
  </si>
  <si>
    <t>HOLNLDM000167177531</t>
  </si>
  <si>
    <t>GALTEE ALEX 181</t>
  </si>
  <si>
    <t>JAFRAL BARBIE 2</t>
  </si>
  <si>
    <t>HOLGBRM000000587080</t>
  </si>
  <si>
    <t>BALLYBROOD BARNEY ET</t>
  </si>
  <si>
    <t>PEN-COL MASCOT DEANNA-ET</t>
  </si>
  <si>
    <t>HOLNLDM000790545532</t>
  </si>
  <si>
    <t>DELTA FABIOLA ET</t>
  </si>
  <si>
    <t>HOLITAM000907011943</t>
  </si>
  <si>
    <t>VALBAS ARPAGONE TL TV G.M.***</t>
  </si>
  <si>
    <t>ILWACO</t>
  </si>
  <si>
    <t>ARLINDA MELLOW ET</t>
  </si>
  <si>
    <t>HOLUSAM000002113536</t>
  </si>
  <si>
    <t>VISTA-VIEW CLEITUS BERT-ET</t>
  </si>
  <si>
    <t>VISTA-VIEW BOOTMAKER BELL</t>
  </si>
  <si>
    <t>HOLUSAM000002182318</t>
  </si>
  <si>
    <t>PARKER MARK AMARA ET</t>
  </si>
  <si>
    <t>HOLUSAM000002092215</t>
  </si>
  <si>
    <t>PRICES BONUS ET</t>
  </si>
  <si>
    <t>PRICES CHIEFS BESS-ET</t>
  </si>
  <si>
    <t>HOLGBRM000000538657</t>
  </si>
  <si>
    <t>LEMRAC JOHN STARBUCK ET</t>
  </si>
  <si>
    <t>HOLDEUM001002435364</t>
  </si>
  <si>
    <t>LEADMAN LITTI ET</t>
  </si>
  <si>
    <t>BRIGEEN BELL MOLLY</t>
  </si>
  <si>
    <t>HOLGBRM000000556071</t>
  </si>
  <si>
    <t>LEAGH LEADMAN 4</t>
  </si>
  <si>
    <t>LEAGH LINDA 21</t>
  </si>
  <si>
    <t>HOLFRAM003793006306</t>
  </si>
  <si>
    <t>ISTAR AERO</t>
  </si>
  <si>
    <t>GLADY STAR</t>
  </si>
  <si>
    <t>HOLFRAM005193399020</t>
  </si>
  <si>
    <t>GALTEE ISU</t>
  </si>
  <si>
    <t>GAGNANTE</t>
  </si>
  <si>
    <t>HOLGBRM000000572713</t>
  </si>
  <si>
    <t>CRADENHILL JABOT PIE ET</t>
  </si>
  <si>
    <t>S PIETJE 285</t>
  </si>
  <si>
    <t>HOLFRAM004487040904</t>
  </si>
  <si>
    <t>CALIFE MAR</t>
  </si>
  <si>
    <t>COLLINS-CREST GYPSY BELL-ET</t>
  </si>
  <si>
    <t>DFRNLDM000112534394</t>
  </si>
  <si>
    <t>GUURTJE 79</t>
  </si>
  <si>
    <t>HOLNLDM000220565510</t>
  </si>
  <si>
    <t>BARTELS F ANDRE</t>
  </si>
  <si>
    <t>HOLGBRM000000568603</t>
  </si>
  <si>
    <t>CRADENHILL HAUGHTON ET</t>
  </si>
  <si>
    <t>CLOVER-MIST BLACK PEACH-ET</t>
  </si>
  <si>
    <t>HOLGBRM000000570437</t>
  </si>
  <si>
    <t>CRADENHILL T MINDER</t>
  </si>
  <si>
    <t>CRADENHILL LEADMAN MANDY ET</t>
  </si>
  <si>
    <t>HOLNLDM000319570393</t>
  </si>
  <si>
    <t>DELTA LILAC</t>
  </si>
  <si>
    <t>HOLGBRM000000574116</t>
  </si>
  <si>
    <t>DOVEA FRANK ET</t>
  </si>
  <si>
    <t>HOLGBRM000000518681</t>
  </si>
  <si>
    <t>DOVEA INDEX ET</t>
  </si>
  <si>
    <t>NEWCLIFFE INDEX</t>
  </si>
  <si>
    <t>BIDLEA WILLEM FAYNE 66</t>
  </si>
  <si>
    <t>HOLDEUM001021231446</t>
  </si>
  <si>
    <t>DOVEA MANAGER ET</t>
  </si>
  <si>
    <t>LIVIA</t>
  </si>
  <si>
    <t>HOLGBRM000000562135</t>
  </si>
  <si>
    <t>DUNOWEN MASCOT ET</t>
  </si>
  <si>
    <t>HOLFRAM005994009420</t>
  </si>
  <si>
    <t>JENORVI</t>
  </si>
  <si>
    <t>HOLFRAM004494050236</t>
  </si>
  <si>
    <t>JARNY JABO</t>
  </si>
  <si>
    <t>HARMONICA</t>
  </si>
  <si>
    <t>HOLGBRM000000543772</t>
  </si>
  <si>
    <t>KILGARRIFFE ENHANCER</t>
  </si>
  <si>
    <t>HOLNLDM000142929188</t>
  </si>
  <si>
    <t>KOLHORNER JONATAN</t>
  </si>
  <si>
    <t>KOLHORNER FRONA 3</t>
  </si>
  <si>
    <t>HOLGBRM000000535630</t>
  </si>
  <si>
    <t>BURFEN NEELTJE 176</t>
  </si>
  <si>
    <t>GARTHMYL ADEMA 2</t>
  </si>
  <si>
    <t>HOLFRAM007697003292</t>
  </si>
  <si>
    <t>HOLDEUM000101234906</t>
  </si>
  <si>
    <t>NIMBUS</t>
  </si>
  <si>
    <t>COTTONWOOD-VALE BERNISE VAL-ET</t>
  </si>
  <si>
    <t>HOLGBRM000000547138</t>
  </si>
  <si>
    <t>KILGARRIFFE FANTASTIC 2</t>
  </si>
  <si>
    <t>DINNATON BREEZE 21</t>
  </si>
  <si>
    <t>HOLGBRM000000557051</t>
  </si>
  <si>
    <t>KNOCKSKEAGH BELL WILL</t>
  </si>
  <si>
    <t>VIGO BELLEFONTE</t>
  </si>
  <si>
    <t>KNOCKSKEAGH SCOTTY HELEN</t>
  </si>
  <si>
    <t>HOLITAM001308046686</t>
  </si>
  <si>
    <t>SABBIONA SABY</t>
  </si>
  <si>
    <t>HOLUSAM000002261490</t>
  </si>
  <si>
    <t>FARNEAR ELTON CREAM PHILIP</t>
  </si>
  <si>
    <t>FARNEAR TEST JACKI CREAM ET</t>
  </si>
  <si>
    <t>HOLFRAM005990002044</t>
  </si>
  <si>
    <t>FITNESS</t>
  </si>
  <si>
    <t>CONANT-ACRES-JY SWEETNES-ET</t>
  </si>
  <si>
    <t>HOLUSAM000124398081</t>
  </si>
  <si>
    <t>FUTURALAND G ZIDANE ET</t>
  </si>
  <si>
    <t>FUTURALAND CELSIUS ZAMBI ET</t>
  </si>
  <si>
    <t>DFRNLDM000320569023</t>
  </si>
  <si>
    <t>WOUDHOEVE 728</t>
  </si>
  <si>
    <t>FOKJE 76</t>
  </si>
  <si>
    <t>DFRNLDM000269853478</t>
  </si>
  <si>
    <t>FALKO 16</t>
  </si>
  <si>
    <t>FALCO 10</t>
  </si>
  <si>
    <t>FOKJE 118</t>
  </si>
  <si>
    <t>HOLGBRM600000003915</t>
  </si>
  <si>
    <t>MMB TENNESSEE ET</t>
  </si>
  <si>
    <t>SPECTACULAR MURIEL ET</t>
  </si>
  <si>
    <t>HOLCANM000006215489</t>
  </si>
  <si>
    <t>SILKY COUSTEAU ET</t>
  </si>
  <si>
    <t>HOLNLDM000856039603</t>
  </si>
  <si>
    <t>SANDENBURG JUPITER</t>
  </si>
  <si>
    <t>DELTA FABIOLA 2</t>
  </si>
  <si>
    <t>HOLNLDM000124882748</t>
  </si>
  <si>
    <t>QG LEONARD ET</t>
  </si>
  <si>
    <t>HOLDEUM001021384095</t>
  </si>
  <si>
    <t>ROYAL BUCK ET</t>
  </si>
  <si>
    <t>FLIEDER</t>
  </si>
  <si>
    <t>HOLUSAM000002180692</t>
  </si>
  <si>
    <t>RODENE AERO FENELLA ICE</t>
  </si>
  <si>
    <t>RODENE FENELLA</t>
  </si>
  <si>
    <t>HOLNLDM000860277882</t>
  </si>
  <si>
    <t>DELTA ANNEMIEK</t>
  </si>
  <si>
    <t>HOLGBRM000000566818</t>
  </si>
  <si>
    <t>MOUNTCARMEL WARMAC</t>
  </si>
  <si>
    <t>MOUNTCARMEL MACUSHLA 11</t>
  </si>
  <si>
    <t>HOLGBRM000000539894</t>
  </si>
  <si>
    <t>MILKBOARD NED BOY</t>
  </si>
  <si>
    <t>ROWNTREE IDEAL CHIEF ET</t>
  </si>
  <si>
    <t>HOLGBRM000000538195</t>
  </si>
  <si>
    <t>BRINGLEE GRANT</t>
  </si>
  <si>
    <t>BRINBOWER LONER</t>
  </si>
  <si>
    <t>BRINBOWER RUFUS GLADUNDERSTUDY</t>
  </si>
  <si>
    <t>BRINBOWER RUFUS</t>
  </si>
  <si>
    <t>HOLFRAM002292002618</t>
  </si>
  <si>
    <t>HOLFRAM005988002239</t>
  </si>
  <si>
    <t>HIGH SIGHTS DICKY</t>
  </si>
  <si>
    <t>LOU ETTA</t>
  </si>
  <si>
    <t>HOLUSAM000002163046</t>
  </si>
  <si>
    <t>HIGHSIGHTS BSTAR LIONEL</t>
  </si>
  <si>
    <t>HOLFRAM005092011829</t>
  </si>
  <si>
    <t>HELDOSTAR</t>
  </si>
  <si>
    <t>ELDA</t>
  </si>
  <si>
    <t>BABA(M. W. ADMIRAL ET)</t>
  </si>
  <si>
    <t>DFRNLDM000319578265</t>
  </si>
  <si>
    <t>HOLGBRM000000520861</t>
  </si>
  <si>
    <t>DINGLEBURN VOGUE</t>
  </si>
  <si>
    <t>BIRKSCOTT CREATOR VIRTUE</t>
  </si>
  <si>
    <t>SPRING FARM CREATOR</t>
  </si>
  <si>
    <t>HOLNLDM000116196624</t>
  </si>
  <si>
    <t>BENZON HARDO</t>
  </si>
  <si>
    <t>MALCHEN</t>
  </si>
  <si>
    <t>JERUSAM000000661401</t>
  </si>
  <si>
    <t>MOLLY BROOK BERRETTA FABULOUS</t>
  </si>
  <si>
    <t>HOLNLDM000295614236</t>
  </si>
  <si>
    <t>KELSTEIN ORLANDO</t>
  </si>
  <si>
    <t>OVAL 7271</t>
  </si>
  <si>
    <t>HOLUSAM000017078742</t>
  </si>
  <si>
    <t>SANDY VALLEY OLYMPUS</t>
  </si>
  <si>
    <t>PLUSHANSKI CURIOUS FONDA</t>
  </si>
  <si>
    <t>HOLDEUM000576536679</t>
  </si>
  <si>
    <t>ORIGIN</t>
  </si>
  <si>
    <t>OREGON</t>
  </si>
  <si>
    <t>DICHARL SOROCCO</t>
  </si>
  <si>
    <t>HOLGBRM000000581642</t>
  </si>
  <si>
    <t>COGENT DREADNOUGHT ET</t>
  </si>
  <si>
    <t>PENCOL MASCOT DOREEN</t>
  </si>
  <si>
    <t>HOLUSAM000017273387</t>
  </si>
  <si>
    <t>RICECREST LABRYINTH-ET</t>
  </si>
  <si>
    <t>RICECREST LUKE LAUREN ET</t>
  </si>
  <si>
    <t>HOLUSAM000129573030</t>
  </si>
  <si>
    <t>CANYON-BREEZE STORM ATOM-ET</t>
  </si>
  <si>
    <t>CANYON-BREEZE EM ASHLEY-ET</t>
  </si>
  <si>
    <t>HOLFRAM005896007106</t>
  </si>
  <si>
    <t>MEETING</t>
  </si>
  <si>
    <t>ISOLA</t>
  </si>
  <si>
    <t>HOLNZLM000000096242</t>
  </si>
  <si>
    <t>ATHOL CLASP-OC</t>
  </si>
  <si>
    <t>JERNZLM000000097466</t>
  </si>
  <si>
    <t>CRESCENT ROYAL CHARLES</t>
  </si>
  <si>
    <t>ALCISTON ADMIRAL LADYLOVE</t>
  </si>
  <si>
    <t>HOLGBRM000000537178</t>
  </si>
  <si>
    <t>CALLAS WILLOW</t>
  </si>
  <si>
    <t>JYDENS WILLOW</t>
  </si>
  <si>
    <t>CALLAS TRUSTY 11</t>
  </si>
  <si>
    <t>HOLNLDM000291698832</t>
  </si>
  <si>
    <t>BARNKAMPER WHITE PEARL</t>
  </si>
  <si>
    <t>BARNKAMPER MARILYN 5</t>
  </si>
  <si>
    <t>HOLUSAM000002156124</t>
  </si>
  <si>
    <t>WINDCREST LEADMAN JUDGE ET</t>
  </si>
  <si>
    <t>CAERNARVON NED JULIE ET</t>
  </si>
  <si>
    <t>HOLUSAM000002028555</t>
  </si>
  <si>
    <t>WHITELEATHER SWD MARK</t>
  </si>
  <si>
    <t>A WHITELEATHER RAG APPLE SWD V</t>
  </si>
  <si>
    <t>HOLUSAM000002118527</t>
  </si>
  <si>
    <t>WA-DEL MYSTIQUE-ET</t>
  </si>
  <si>
    <t>HOLUSAM000002071864</t>
  </si>
  <si>
    <t>NORRIELAKE VALIANT CHEER ET</t>
  </si>
  <si>
    <t>HOLGBRM000000537439</t>
  </si>
  <si>
    <t>UACTER CASCADE 21 ET</t>
  </si>
  <si>
    <t>UACTER STAR BELLE</t>
  </si>
  <si>
    <t>HOLNLDM000857700678</t>
  </si>
  <si>
    <t>VERO PIRAMIDE</t>
  </si>
  <si>
    <t>CHARLOTTE</t>
  </si>
  <si>
    <t>HOLCANM000005279989</t>
  </si>
  <si>
    <t>HOLCANM000005470562</t>
  </si>
  <si>
    <t>STARTMORE ROYALIST ET</t>
  </si>
  <si>
    <t>HOLNLDM000864021346</t>
  </si>
  <si>
    <t>HOLSTIENS SALDO</t>
  </si>
  <si>
    <t>HOLSTIENS H-ST UG SALLY</t>
  </si>
  <si>
    <t>HOLNLDM000177546974</t>
  </si>
  <si>
    <t>SWIFTER FINITY</t>
  </si>
  <si>
    <t>SWIFTER ISABEL</t>
  </si>
  <si>
    <t>HOLFRAM004490045315</t>
  </si>
  <si>
    <t>FRUTO STAR</t>
  </si>
  <si>
    <t>SONLIGHT ROTATE JELLO</t>
  </si>
  <si>
    <t>HOLNLDM000855397430</t>
  </si>
  <si>
    <t>FRANS TAURUS 152</t>
  </si>
  <si>
    <t>HOLFRAM004490045330</t>
  </si>
  <si>
    <t>FLACON STAR</t>
  </si>
  <si>
    <t>DEESSE</t>
  </si>
  <si>
    <t>TRAD</t>
  </si>
  <si>
    <t>HOLNLDM000958908450</t>
  </si>
  <si>
    <t>ETAZON GRATON</t>
  </si>
  <si>
    <t>JALODA BELL JOAN</t>
  </si>
  <si>
    <t>HOLGBRM000000003962</t>
  </si>
  <si>
    <t>GRANTCHESTER COMBINATION</t>
  </si>
  <si>
    <t>GRANTCHESTER HEATHER 8</t>
  </si>
  <si>
    <t>HOLGBRM000000536319</t>
  </si>
  <si>
    <t>CLASH KLAUS</t>
  </si>
  <si>
    <t>CLASH EVE 13</t>
  </si>
  <si>
    <t>HOLGBRM000000577281</t>
  </si>
  <si>
    <t>CRADENHILL DALLWOOD ET</t>
  </si>
  <si>
    <t>GROVE DALLAS 2 ET</t>
  </si>
  <si>
    <t>HOLUSAM000002097322</t>
  </si>
  <si>
    <t>GLEN-TOCTIN MARK SAGE</t>
  </si>
  <si>
    <t>HOLGBRM000000583006</t>
  </si>
  <si>
    <t>MONABROGUE SAND STORM ET</t>
  </si>
  <si>
    <t>COOKS-VALLEY B BONNIBEL-ET</t>
  </si>
  <si>
    <t>HOLNLDM000141079778</t>
  </si>
  <si>
    <t>PIETJE 478</t>
  </si>
  <si>
    <t>HOLUSAM000002027062</t>
  </si>
  <si>
    <t>DIAMOND-S TONYS CHOICE</t>
  </si>
  <si>
    <t>HOLDEUM001020637636</t>
  </si>
  <si>
    <t>MOHR</t>
  </si>
  <si>
    <t>HOLGBRM000000542195</t>
  </si>
  <si>
    <t>MARLAIS BOARDMAN</t>
  </si>
  <si>
    <t>HOLGBRM000000546923</t>
  </si>
  <si>
    <t>CALLAS PAPPY 2</t>
  </si>
  <si>
    <t>POND-OAK PAPPY-ET</t>
  </si>
  <si>
    <t>HOLNLDM000436161387</t>
  </si>
  <si>
    <t>A.L.H. BODYGUARD</t>
  </si>
  <si>
    <t>HOLNLDM000320825057</t>
  </si>
  <si>
    <t>HOLSTIENS BELL ELTON FAGOT</t>
  </si>
  <si>
    <t>HOL-STIENS HAVEP CL FAY</t>
  </si>
  <si>
    <t>HOLUSAM000002162948</t>
  </si>
  <si>
    <t>FUSTEAD ROTATE CANDIS ET</t>
  </si>
  <si>
    <t>HOLNLDM000790822062</t>
  </si>
  <si>
    <t>FEANWALDSTER MARSMAN ET</t>
  </si>
  <si>
    <t>WILSON L LEAH</t>
  </si>
  <si>
    <t>HOLFRAM005590008991</t>
  </si>
  <si>
    <t>FUGEHAMAS</t>
  </si>
  <si>
    <t>BAHAMAS</t>
  </si>
  <si>
    <t>HOLCANM000005416805</t>
  </si>
  <si>
    <t>LA PRESENTATION AERO</t>
  </si>
  <si>
    <t>DE LA PRESENTATION LIMA</t>
  </si>
  <si>
    <t>DFRNLDM000828142694</t>
  </si>
  <si>
    <t>DOVEA LORD 112</t>
  </si>
  <si>
    <t>TRIJNTJE</t>
  </si>
  <si>
    <t>FRANK 50</t>
  </si>
  <si>
    <t>HOLUSAM000002267089</t>
  </si>
  <si>
    <t>KREGNOL TOP LUKE</t>
  </si>
  <si>
    <t>DKDANDY GALLANTLEAH</t>
  </si>
  <si>
    <t>HOLUSAM000002040444</t>
  </si>
  <si>
    <t>KELLERCREST VALOR FOUNDATION</t>
  </si>
  <si>
    <t>UW FLETA EXCEL SEXATION 1</t>
  </si>
  <si>
    <t>HOLGBRM000000550714</t>
  </si>
  <si>
    <t>LEAGH BA BA</t>
  </si>
  <si>
    <t>LEAGH CROCUS 29</t>
  </si>
  <si>
    <t>HOLCANM000000390409</t>
  </si>
  <si>
    <t>DFRNLDM000826100203</t>
  </si>
  <si>
    <t>HOLWERDA KILKENNY</t>
  </si>
  <si>
    <t>HOLWERDA HOVINGA 343 ET</t>
  </si>
  <si>
    <t>HOLGBRM000000514147</t>
  </si>
  <si>
    <t>BRAGUE SATELLITE</t>
  </si>
  <si>
    <t>BRAGUE SUNSHINE</t>
  </si>
  <si>
    <t>INCH ANNE VANGUARD</t>
  </si>
  <si>
    <t>HOLITAM000803019552</t>
  </si>
  <si>
    <t>BELLOLI CASH TORNADO GAP ET</t>
  </si>
  <si>
    <t>HIBIZA</t>
  </si>
  <si>
    <t>HOLUSAM000002076121</t>
  </si>
  <si>
    <t>LONDONDALE MODEL FORD</t>
  </si>
  <si>
    <t>I-O-STATE CHIEF FORD</t>
  </si>
  <si>
    <t>HOLUSAM000002091993</t>
  </si>
  <si>
    <t>IMPERIALC BELL TROY CASH</t>
  </si>
  <si>
    <t>OSDELENDEAVOR MARK CLARA 1</t>
  </si>
  <si>
    <t>HOLUSAM000002037045</t>
  </si>
  <si>
    <t>HOLNLDM000162899786</t>
  </si>
  <si>
    <t>BUCK BLISS</t>
  </si>
  <si>
    <t>HOLNLDM000816368978</t>
  </si>
  <si>
    <t>BATENBURG FREDDIE ET</t>
  </si>
  <si>
    <t>FEIKJE 248</t>
  </si>
  <si>
    <t>MONFRAM007196056005</t>
  </si>
  <si>
    <t>JASEUSE</t>
  </si>
  <si>
    <t>HOLUSAM000130895505</t>
  </si>
  <si>
    <t>CARROUSEL DISTRIGENE RE ET</t>
  </si>
  <si>
    <t>HOLNLDM000350083096</t>
  </si>
  <si>
    <t>HAVEP SWING</t>
  </si>
  <si>
    <t>HAVEP STEFA 28</t>
  </si>
  <si>
    <t>HOLNLDM000340111680</t>
  </si>
  <si>
    <t>ZANDHOEVE LIAM</t>
  </si>
  <si>
    <t>ZANDHOEVE EMILY 36</t>
  </si>
  <si>
    <t>HOLNZLM000000103505</t>
  </si>
  <si>
    <t>TELESIS ELLIOT FAME</t>
  </si>
  <si>
    <t>HOLIRLM281463640516</t>
  </si>
  <si>
    <t>BALLIVOR LANCEOT EXOTIC ET</t>
  </si>
  <si>
    <t>HOLFRAM005689021260</t>
  </si>
  <si>
    <t>EVORA KEN</t>
  </si>
  <si>
    <t>AROLL</t>
  </si>
  <si>
    <t>HOLNLDM000318816258</t>
  </si>
  <si>
    <t>DELTA BLACK KOGGE</t>
  </si>
  <si>
    <t>HOLFRAM004487040911</t>
  </si>
  <si>
    <t>CORANNED</t>
  </si>
  <si>
    <t>CANDY</t>
  </si>
  <si>
    <t>HOLFRAM005991023330</t>
  </si>
  <si>
    <t>QUIETCOVE SOUTHWIND GEMIDGE</t>
  </si>
  <si>
    <t>QUIETCOVE-PEG NB MIDGE-ET</t>
  </si>
  <si>
    <t>HOLIRLM151159240620</t>
  </si>
  <si>
    <t>KILCOLMAN DESIGN</t>
  </si>
  <si>
    <t>HOLIRLM331403440325</t>
  </si>
  <si>
    <t>RAHELTY MEB TOM</t>
  </si>
  <si>
    <t>MEATH HUNT CLU B</t>
  </si>
  <si>
    <t>RAHELTY FRANS PATRICIA</t>
  </si>
  <si>
    <t>HOLNLDM000334800734</t>
  </si>
  <si>
    <t>DIEPENHOEK DUTCH</t>
  </si>
  <si>
    <t>DEN DOGGE LIZARONY</t>
  </si>
  <si>
    <t>NMDFRAM003597000705</t>
  </si>
  <si>
    <t>NOYALO</t>
  </si>
  <si>
    <t>JOYEUSE</t>
  </si>
  <si>
    <t>FRAN VICO</t>
  </si>
  <si>
    <t>HOLNZLM000000103699</t>
  </si>
  <si>
    <t>SUMMERHAYS ZANDER HEAT</t>
  </si>
  <si>
    <t>SUMMERHAYS FATAL HAZEL-ET</t>
  </si>
  <si>
    <t>HOLCANM000006695072</t>
  </si>
  <si>
    <t>ROULACHE MANOIR ET</t>
  </si>
  <si>
    <t>ROULACHE GRAND TILDA ET</t>
  </si>
  <si>
    <t>HOLGBRM000000551304</t>
  </si>
  <si>
    <t>PIPERHILL RUSSIAN ET</t>
  </si>
  <si>
    <t>HOLMLAND RUBY 57</t>
  </si>
  <si>
    <t>HOLUSAM000002162771</t>
  </si>
  <si>
    <t>JUNIPER BSTAR ROCKET</t>
  </si>
  <si>
    <t>JUNIPER ROYALTY ROSITA ET</t>
  </si>
  <si>
    <t>HOLUSAM000002268869</t>
  </si>
  <si>
    <t>JEFFREYWAY LUKE TUCKER</t>
  </si>
  <si>
    <t>JEFFREY-WAY MASCOT TINA-ET</t>
  </si>
  <si>
    <t>HOLNLDM000860122739</t>
  </si>
  <si>
    <t>KILBANIVANE CURIOUS</t>
  </si>
  <si>
    <t>TARMA 4355</t>
  </si>
  <si>
    <t>HOLGBRM000000514243</t>
  </si>
  <si>
    <t>MOUNTFARNA MATCHMAKER 4</t>
  </si>
  <si>
    <t>BUSHMILLS LADYBIRD 5</t>
  </si>
  <si>
    <t>CLOUGHFIN RUBLAD</t>
  </si>
  <si>
    <t>MRYNLDM000246012234</t>
  </si>
  <si>
    <t>PISTILL</t>
  </si>
  <si>
    <t>PIETA 246</t>
  </si>
  <si>
    <t>HOLGBRM000000612307</t>
  </si>
  <si>
    <t>LEAGH MADAM DONOR 2</t>
  </si>
  <si>
    <t>HOLNLDM000232138766</t>
  </si>
  <si>
    <t>APINA CAMILLO</t>
  </si>
  <si>
    <t>HOLUSAM000002209851</t>
  </si>
  <si>
    <t>AUTUMNRIDGE MYSTIC</t>
  </si>
  <si>
    <t>AUTUMNRIDGE MISTLETOE</t>
  </si>
  <si>
    <t>HOLNLDM000864021454</t>
  </si>
  <si>
    <t>HOLSTIENS BOEING</t>
  </si>
  <si>
    <t>HOLSTIENS H-STIENS BS2224</t>
  </si>
  <si>
    <t>HOLUSAM000002137251</t>
  </si>
  <si>
    <t>LANGS-TWIN-ELM MITZI-ET</t>
  </si>
  <si>
    <t>HOLGBRM000000545351</t>
  </si>
  <si>
    <t>LISDUFF VALTRIX</t>
  </si>
  <si>
    <t>LISDUFF BEATRIX 10</t>
  </si>
  <si>
    <t>DFRNLDM000788743535</t>
  </si>
  <si>
    <t>DOVEA LORD 105</t>
  </si>
  <si>
    <t>PIETJE</t>
  </si>
  <si>
    <t>GROENHOVEN V 729</t>
  </si>
  <si>
    <t>HOLFRAM002993020161</t>
  </si>
  <si>
    <t>PROGRESSIVE IRVING</t>
  </si>
  <si>
    <t>STEREDENN</t>
  </si>
  <si>
    <t>DFRNLDM000225723269</t>
  </si>
  <si>
    <t>JACOB 14</t>
  </si>
  <si>
    <t>NICOLETTA 66</t>
  </si>
  <si>
    <t>HOLFRAM005694028588</t>
  </si>
  <si>
    <t>GAIA 9</t>
  </si>
  <si>
    <t>HOLGBRM000000552458</t>
  </si>
  <si>
    <t>CRADENHILL AMERIGO ET</t>
  </si>
  <si>
    <t>HOLITAM003803032362</t>
  </si>
  <si>
    <t>CASABIANCA CLEITUS ODEON</t>
  </si>
  <si>
    <t>CASABIANCA VALIANT ODETTE</t>
  </si>
  <si>
    <t>HOLIRLM281379850661</t>
  </si>
  <si>
    <t>STAMULLEN SG MOON</t>
  </si>
  <si>
    <t>JANZE MOUN</t>
  </si>
  <si>
    <t>STAMULLEN GRAINNE B 500</t>
  </si>
  <si>
    <t>MONFRAM002197001154</t>
  </si>
  <si>
    <t>NIVOIS JB</t>
  </si>
  <si>
    <t>JADE</t>
  </si>
  <si>
    <t>RBTDEUM006000593492</t>
  </si>
  <si>
    <t>NAVILO</t>
  </si>
  <si>
    <t>OLIVE</t>
  </si>
  <si>
    <t>MERKEL DN</t>
  </si>
  <si>
    <t>MRYDEUM000111851472</t>
  </si>
  <si>
    <t>PALETTE</t>
  </si>
  <si>
    <t>MAJESTAET</t>
  </si>
  <si>
    <t>TONNYWAN</t>
  </si>
  <si>
    <t>TONNY AJAX</t>
  </si>
  <si>
    <t>GONDA 24</t>
  </si>
  <si>
    <t>HOLUSAM000017044645</t>
  </si>
  <si>
    <t>SIKKEMA-STAR AIR MAGNA ET</t>
  </si>
  <si>
    <t>BELLA-J THOR MAGGIE ET</t>
  </si>
  <si>
    <t>HOLDEUM000578602592</t>
  </si>
  <si>
    <t>MOVIE</t>
  </si>
  <si>
    <t>RARITAET</t>
  </si>
  <si>
    <t>HOLGBRM000000583287</t>
  </si>
  <si>
    <t>ANNAN CLASSIC ET</t>
  </si>
  <si>
    <t>PAINLEY PRELUDE KIMO PI 5 ET</t>
  </si>
  <si>
    <t>HOLUSAM000002252009</t>
  </si>
  <si>
    <t>MR C-BIRD MT GRAYSON ET</t>
  </si>
  <si>
    <t>MORDALE CURIOUS GLADYS GERRI</t>
  </si>
  <si>
    <t>HOLUSAM000002196502</t>
  </si>
  <si>
    <t>ENDROAD MASCOT MITT</t>
  </si>
  <si>
    <t>END-ROAD REX MARGY</t>
  </si>
  <si>
    <t>HOLFRAM002989026154</t>
  </si>
  <si>
    <t>CASSINA</t>
  </si>
  <si>
    <t>HOLFRAM003789007571</t>
  </si>
  <si>
    <t>HOLFRAM006291015824</t>
  </si>
  <si>
    <t>GAINSAY</t>
  </si>
  <si>
    <t>RUSSELLDALE ROTATE RIZZO</t>
  </si>
  <si>
    <t>HOLNLDM000706524787</t>
  </si>
  <si>
    <t>DELIGHTFUL NEIL</t>
  </si>
  <si>
    <t>HOLNLDM000777434046</t>
  </si>
  <si>
    <t>NEWHOUSE RAI</t>
  </si>
  <si>
    <t>HOLUSAM000002261923</t>
  </si>
  <si>
    <t>PASEN LUKE MISSILE ET</t>
  </si>
  <si>
    <t>PASEN MASCOT MARBLE ET</t>
  </si>
  <si>
    <t>HOLNLDM000821218880</t>
  </si>
  <si>
    <t>MARS BOY CHAIR</t>
  </si>
  <si>
    <t>TRIEN 478</t>
  </si>
  <si>
    <t>HOLUSAM000002149849</t>
  </si>
  <si>
    <t>JO-HAR MARK JOYFUL</t>
  </si>
  <si>
    <t>HOLNLDM000857894957</t>
  </si>
  <si>
    <t>PROGRESSIVE ROCKY 8</t>
  </si>
  <si>
    <t>BLACKLORIE</t>
  </si>
  <si>
    <t>HOLGBRM000000600074</t>
  </si>
  <si>
    <t>REARY SEM 5 ET</t>
  </si>
  <si>
    <t>HOLNLDM000205600175</t>
  </si>
  <si>
    <t>PATSY S PATRON</t>
  </si>
  <si>
    <t>SUNSHINEDP OSCAR PATSY</t>
  </si>
  <si>
    <t>HOLDEUM000101544835</t>
  </si>
  <si>
    <t>NEW YORK</t>
  </si>
  <si>
    <t>HOLUSAM000002041844</t>
  </si>
  <si>
    <t>QUIETCOVEPEG MILESTONE</t>
  </si>
  <si>
    <t>ERIC-DEW MARS MARCY</t>
  </si>
  <si>
    <t>HOLUSAM000002113827</t>
  </si>
  <si>
    <t>READS BLACKSTAR SEBASTIAN ET</t>
  </si>
  <si>
    <t>HAS-LYN-DJR MARK ALEXIS</t>
  </si>
  <si>
    <t>HOLGBRM000000569865</t>
  </si>
  <si>
    <t>CRADENHILL TRUE BLUE ET</t>
  </si>
  <si>
    <t>GEM SOUTHWIND PATTIE ET</t>
  </si>
  <si>
    <t>HOLCANM000005049593</t>
  </si>
  <si>
    <t>SAVAGEDALE TERMINATOR ET</t>
  </si>
  <si>
    <t>SAVAGEDALE S B AMANDA ET</t>
  </si>
  <si>
    <t>HOLUSAM000002272874</t>
  </si>
  <si>
    <t>STARKY MERR MARATHON</t>
  </si>
  <si>
    <t>STARKY NICK MAGIC</t>
  </si>
  <si>
    <t>HOLGBRM000000584825</t>
  </si>
  <si>
    <t>CRADENHILL SANDBUSTER ET</t>
  </si>
  <si>
    <t>COOKS-VALLEY ROTATE BLUEBIL</t>
  </si>
  <si>
    <t>HOLNLDM000817118754</t>
  </si>
  <si>
    <t>DFRNLDM000319203172</t>
  </si>
  <si>
    <t>HOLNLDM000856070222</t>
  </si>
  <si>
    <t>ETAZON VANCE TL</t>
  </si>
  <si>
    <t>HOLDEUM000661067715</t>
  </si>
  <si>
    <t>BRANDY</t>
  </si>
  <si>
    <t>MEMO</t>
  </si>
  <si>
    <t>DESLACS BOY GEORGE-RED</t>
  </si>
  <si>
    <t>HOLFRAM003588001281</t>
  </si>
  <si>
    <t>HOLNLDM000213082196</t>
  </si>
  <si>
    <t>WOUDHOEVE DUNKER</t>
  </si>
  <si>
    <t>PIETJE 628</t>
  </si>
  <si>
    <t>HOLCANM000006663935</t>
  </si>
  <si>
    <t>HOLNLDM000118828628</t>
  </si>
  <si>
    <t>ALH LUCKY BOY ET</t>
  </si>
  <si>
    <t>ABS 208 MASCOT LUCILLE ET</t>
  </si>
  <si>
    <t>HOLUSAM000002200711</t>
  </si>
  <si>
    <t>J&amp;S MICHELLE AER SILVER-ET</t>
  </si>
  <si>
    <t>J+S MELVIN MIDGE MICHELLE ET</t>
  </si>
  <si>
    <t>MELEST VALIANT IROSE MELVIN</t>
  </si>
  <si>
    <t>HOLNLDM000169100560</t>
  </si>
  <si>
    <t>SILVERPOST CELS ANOESKA</t>
  </si>
  <si>
    <t>HOLUSAM000017381486</t>
  </si>
  <si>
    <t>LANG-NORRBOM LORD DANTE</t>
  </si>
  <si>
    <t>LANGS-TWIN-ELM HOLI LADY</t>
  </si>
  <si>
    <t>BRFGBRM000000601203</t>
  </si>
  <si>
    <t>BARROWVALE DAMSEL 15</t>
  </si>
  <si>
    <t>HOLGBRM000000574334</t>
  </si>
  <si>
    <t>CRICHEL INSPIRATION PAMELA 13</t>
  </si>
  <si>
    <t>HOLGBRM000000586950</t>
  </si>
  <si>
    <t>HOLGBRM000000605036</t>
  </si>
  <si>
    <t>KILWARDEN LEE BILL ET</t>
  </si>
  <si>
    <t>COMESTAR OBELLE PRELUDE ET</t>
  </si>
  <si>
    <t>RDCGBRM000006180262</t>
  </si>
  <si>
    <t>CELANDINE FIRST LORD</t>
  </si>
  <si>
    <t>HOLNLDM000265988233</t>
  </si>
  <si>
    <t>KC ROSES CHATTER</t>
  </si>
  <si>
    <t>RED ROSE</t>
  </si>
  <si>
    <t>HOLFRAM005994022703</t>
  </si>
  <si>
    <t>JORRIELAKE</t>
  </si>
  <si>
    <t>SHEY-LAND BLACKSTR KARLA-ET</t>
  </si>
  <si>
    <t>HOLUSAM000017013604</t>
  </si>
  <si>
    <t>FUSTEAD TESK BEV</t>
  </si>
  <si>
    <t>HOLNLDM000271948654</t>
  </si>
  <si>
    <t>H-S FASHION</t>
  </si>
  <si>
    <t>HOLSTIENS FOYER</t>
  </si>
  <si>
    <t>HOLNLDM000289073399</t>
  </si>
  <si>
    <t>SKALSUMER ARENDO</t>
  </si>
  <si>
    <t>SKALSUMER ANGELA</t>
  </si>
  <si>
    <t>HOLNLDM000216135316</t>
  </si>
  <si>
    <t>BREND</t>
  </si>
  <si>
    <t>BLACKIE 8</t>
  </si>
  <si>
    <t>HOLGBRM000000557124</t>
  </si>
  <si>
    <t>LAURELMORE MELWOOD</t>
  </si>
  <si>
    <t>LAURELMORE CATINA</t>
  </si>
  <si>
    <t>KEN-MEL ELEVATION DAVEY</t>
  </si>
  <si>
    <t>HOLGBRM000000590062</t>
  </si>
  <si>
    <t>MONABROGUE PATRON GEORGIE</t>
  </si>
  <si>
    <t>RUPPVUE AEROSTAR GRACIOUS</t>
  </si>
  <si>
    <t>HOLGBRM000000513647</t>
  </si>
  <si>
    <t>NOREMEAD PERRY</t>
  </si>
  <si>
    <t>ARDNACRANEY JENS IKONA</t>
  </si>
  <si>
    <t>JENS</t>
  </si>
  <si>
    <t>HOLNLDM000266295095</t>
  </si>
  <si>
    <t>NOORDER RINUS</t>
  </si>
  <si>
    <t>JERDNKM000000301136</t>
  </si>
  <si>
    <t>HOLUSAM000002089257</t>
  </si>
  <si>
    <t>SWAMPYHOLLOW SAINT</t>
  </si>
  <si>
    <t>SWAMPYHOLLOW VALIANT SANDY</t>
  </si>
  <si>
    <t>HOLUSAM000002252673</t>
  </si>
  <si>
    <t>MILEY JED BLACKSTAR GRABBIT</t>
  </si>
  <si>
    <t>MILEY BLACKSTAR GLENNA ET</t>
  </si>
  <si>
    <t>HOLFRAM002990000428</t>
  </si>
  <si>
    <t>FECAMP</t>
  </si>
  <si>
    <t>HOLCANM000005335690</t>
  </si>
  <si>
    <t>HANOVERHILL DESIGNER MISS</t>
  </si>
  <si>
    <t>HANOVERHILL DESIGNER</t>
  </si>
  <si>
    <t>HOLGBRM000000517901</t>
  </si>
  <si>
    <t>CLASH BRIGHTSTAR</t>
  </si>
  <si>
    <t>CLASH TERRY</t>
  </si>
  <si>
    <t>TERLING BELFAST</t>
  </si>
  <si>
    <t>HOLNLDM000340508077</t>
  </si>
  <si>
    <t>KEEGSTER MAX</t>
  </si>
  <si>
    <t>KEEGSTER KLASKE 112</t>
  </si>
  <si>
    <t>SPIJKSTER DOMINIQUE</t>
  </si>
  <si>
    <t>HOLNLDM000330604707</t>
  </si>
  <si>
    <t>LAURENS</t>
  </si>
  <si>
    <t>HOLUSAM000130031495</t>
  </si>
  <si>
    <t>OSEEANA INTEGRITY ACE</t>
  </si>
  <si>
    <t>HOLUSAM000017349617</t>
  </si>
  <si>
    <t>CRACIN AEROSTAR MELISSA</t>
  </si>
  <si>
    <t>HOLNLDM000278784860</t>
  </si>
  <si>
    <t>WOUDHOEVE 977</t>
  </si>
  <si>
    <t>HOLGBRM141221380491</t>
  </si>
  <si>
    <t>DONEEN JIKKE HUGO</t>
  </si>
  <si>
    <t>DONEEN JIKKE 4</t>
  </si>
  <si>
    <t>MONFRAM002594002636</t>
  </si>
  <si>
    <t>JERICHO</t>
  </si>
  <si>
    <t>HOLFRAM006770170505</t>
  </si>
  <si>
    <t>SCARLET</t>
  </si>
  <si>
    <t>SHADE-E-LANE-S SWEETIE</t>
  </si>
  <si>
    <t>HOLUSAM000018054918</t>
  </si>
  <si>
    <t>SHADOW RIDGE DRAMATIC</t>
  </si>
  <si>
    <t>MS MEL-HAM DEL JUROR</t>
  </si>
  <si>
    <t>MONFRAM002596009984</t>
  </si>
  <si>
    <t>MOHAIR</t>
  </si>
  <si>
    <t>ENCHERE</t>
  </si>
  <si>
    <t>HOLIRLM221354230299</t>
  </si>
  <si>
    <t>BARROWVALE MARTELL 11</t>
  </si>
  <si>
    <t>SLAUGHTER FACTORY</t>
  </si>
  <si>
    <t>HOLDEUM000346319721</t>
  </si>
  <si>
    <t>MALENKO</t>
  </si>
  <si>
    <t>GONDULA</t>
  </si>
  <si>
    <t>RDCNORM000000005215</t>
  </si>
  <si>
    <t>BRANDSEGG</t>
  </si>
  <si>
    <t>309 TYRA</t>
  </si>
  <si>
    <t>MRYNLDM000173496853</t>
  </si>
  <si>
    <t>COR 45 TI</t>
  </si>
  <si>
    <t>SONJA</t>
  </si>
  <si>
    <t>HOLIRLM151795661155</t>
  </si>
  <si>
    <t>ROBINVIEW RUDOLPH 8</t>
  </si>
  <si>
    <t>KNOCKGARRON DIXIE LEE MARIE</t>
  </si>
  <si>
    <t>HOLNLDM000163863148</t>
  </si>
  <si>
    <t>GEREMJO</t>
  </si>
  <si>
    <t>WACHTEL 3</t>
  </si>
  <si>
    <t>HOLNLDM000331530441</t>
  </si>
  <si>
    <t>HOLLAND AMAZING</t>
  </si>
  <si>
    <t>JANKE 196</t>
  </si>
  <si>
    <t>HOLUSAM000120754720</t>
  </si>
  <si>
    <t>NORZ-HILL BENCH WINNY ET</t>
  </si>
  <si>
    <t>MONFRAM002524471229</t>
  </si>
  <si>
    <t>PERE NOEL</t>
  </si>
  <si>
    <t>INEL</t>
  </si>
  <si>
    <t>HOLUSAM000122358313</t>
  </si>
  <si>
    <t>MEIER-MEADOWS EL JEZEBEL ET</t>
  </si>
  <si>
    <t>HOLCANM000009095201</t>
  </si>
  <si>
    <t>BOSSIDE-ROMA ROMAN</t>
  </si>
  <si>
    <t>BOSSIDE RITA ROMA ET</t>
  </si>
  <si>
    <t>NMDFRAM005396006512</t>
  </si>
  <si>
    <t>MIMOSA</t>
  </si>
  <si>
    <t>FRAN TRIGUATU</t>
  </si>
  <si>
    <t>HOLNLDM000335288993</t>
  </si>
  <si>
    <t>OLDAMSTER SCHRIJVER</t>
  </si>
  <si>
    <t>SABINA 17 (NLD)</t>
  </si>
  <si>
    <t>HOLIRLM261006981393</t>
  </si>
  <si>
    <t>MONAMORE EASY JET</t>
  </si>
  <si>
    <t>MONAMORE FATAL EBONY ET</t>
  </si>
  <si>
    <t>HOLCANM000000398436</t>
  </si>
  <si>
    <t>BROWNDALE S C ELLA</t>
  </si>
  <si>
    <t>HOLFRAM002197005853</t>
  </si>
  <si>
    <t>GALTEE NEVADA</t>
  </si>
  <si>
    <t>ILOTE</t>
  </si>
  <si>
    <t>DFRDEUM000343904723</t>
  </si>
  <si>
    <t>ARKO</t>
  </si>
  <si>
    <t>ALETTE</t>
  </si>
  <si>
    <t>LETTE</t>
  </si>
  <si>
    <t>HOLUSAM000128891296</t>
  </si>
  <si>
    <t>HOLNZLM000000098279</t>
  </si>
  <si>
    <t>RDCNORM000000005108</t>
  </si>
  <si>
    <t>SVEEN</t>
  </si>
  <si>
    <t>SOKKELIN</t>
  </si>
  <si>
    <t>K. REIME</t>
  </si>
  <si>
    <t>HOLNLDM000338482194</t>
  </si>
  <si>
    <t>LEROY TIGRIS</t>
  </si>
  <si>
    <t>LEROY ADRIENNE 7</t>
  </si>
  <si>
    <t>HOLNLDM000337689150</t>
  </si>
  <si>
    <t>GROENHILDE ZEGER</t>
  </si>
  <si>
    <t>HOLUSAM000128460878</t>
  </si>
  <si>
    <t>HOLFRAM004596002762</t>
  </si>
  <si>
    <t>MECTOR</t>
  </si>
  <si>
    <t>HOLNLDM000284082105</t>
  </si>
  <si>
    <t>WINSTON 155</t>
  </si>
  <si>
    <t>BONNIE 388</t>
  </si>
  <si>
    <t>HOLDEUM000341037501</t>
  </si>
  <si>
    <t>ALPAG CHIEF MARK MILLYMILK ET</t>
  </si>
  <si>
    <t>HOLNLDM000203822380</t>
  </si>
  <si>
    <t>LORDMAN</t>
  </si>
  <si>
    <t>HOLDEUM000341353790</t>
  </si>
  <si>
    <t>DERBY</t>
  </si>
  <si>
    <t>ATA</t>
  </si>
  <si>
    <t>HOLDEUM000578194407</t>
  </si>
  <si>
    <t>DINA 23</t>
  </si>
  <si>
    <t>HOLCANM000006820564</t>
  </si>
  <si>
    <t>GLEN DRUMMOND SHIMMER</t>
  </si>
  <si>
    <t>RUM</t>
  </si>
  <si>
    <t>HOLFRAM004506851071</t>
  </si>
  <si>
    <t>SOLDI</t>
  </si>
  <si>
    <t>MONFRAM003996007028</t>
  </si>
  <si>
    <t>MEGAL</t>
  </si>
  <si>
    <t>HARPE</t>
  </si>
  <si>
    <t>HOLIRLM351120791677</t>
  </si>
  <si>
    <t>BALLYHUSSA RORY</t>
  </si>
  <si>
    <t>BALLYHUSSA ROSEBUD 111</t>
  </si>
  <si>
    <t>CROAGH EXCEPTIONAL</t>
  </si>
  <si>
    <t>HOLNZLM000000099296</t>
  </si>
  <si>
    <t>DFRNLDM000117143164</t>
  </si>
  <si>
    <t>FRANS 24</t>
  </si>
  <si>
    <t>HOLNZLM000000099316</t>
  </si>
  <si>
    <t>WAIAU CURIOUS LANA</t>
  </si>
  <si>
    <t>HOLNLDM000194562656</t>
  </si>
  <si>
    <t>HIMSTER GRANDPRIX</t>
  </si>
  <si>
    <t>HIMSTER HILTINA</t>
  </si>
  <si>
    <t>HOLUSAM000128239814</t>
  </si>
  <si>
    <t>BUDJON-JK ENZI - ET</t>
  </si>
  <si>
    <t>KRULL BROKER ELEGANCE</t>
  </si>
  <si>
    <t>HOLCANM000006962003</t>
  </si>
  <si>
    <t>OLIVEHOLME AEROLINE ET</t>
  </si>
  <si>
    <t>HOLIRLM141616440819</t>
  </si>
  <si>
    <t>CRADENHILL ELEGANT ET</t>
  </si>
  <si>
    <t>HOLIRLM272004770505</t>
  </si>
  <si>
    <t>LYNBROOK TRAFFORD ET</t>
  </si>
  <si>
    <t>LEAGH BASAR LAUREN ET</t>
  </si>
  <si>
    <t>HOLNZLM000000100142</t>
  </si>
  <si>
    <t>SRC TIMOTHYS MANDRAKE</t>
  </si>
  <si>
    <t>SRB TIMOTHYS DUCKIE</t>
  </si>
  <si>
    <t>RDCNZLM000000061628</t>
  </si>
  <si>
    <t>CARMELGLEN EDBERG</t>
  </si>
  <si>
    <t>CARMELGLEN MARNIE</t>
  </si>
  <si>
    <t>SANROSA ROYALTY</t>
  </si>
  <si>
    <t>JERNZLM000000300041</t>
  </si>
  <si>
    <t>CHILMEAD FJORDS MARSHALL</t>
  </si>
  <si>
    <t>CHILMEAD BERS MAREON</t>
  </si>
  <si>
    <t>HOLIRLM141893650837</t>
  </si>
  <si>
    <t>KILCLUTOWN DESIGNER JOMO</t>
  </si>
  <si>
    <t>KILCLUTOWN CASH JOMO 2</t>
  </si>
  <si>
    <t>MONFRAM002593004451</t>
  </si>
  <si>
    <t>IONONE</t>
  </si>
  <si>
    <t>EL DORADO</t>
  </si>
  <si>
    <t>HOLFRAM004497050499</t>
  </si>
  <si>
    <t>NOULET GIB</t>
  </si>
  <si>
    <t>LISIERE</t>
  </si>
  <si>
    <t>BRFGBRM000000588652</t>
  </si>
  <si>
    <t>CASTLERHYDD EVELYN 68</t>
  </si>
  <si>
    <t>HOLNLDM000812359536</t>
  </si>
  <si>
    <t>ETAZON STARSEX</t>
  </si>
  <si>
    <t>THUMB-PRIDE BONNIE SEXSATION</t>
  </si>
  <si>
    <t>HOLNZLM000000100084</t>
  </si>
  <si>
    <t>ASHDALE HIGHLY HANDSOME</t>
  </si>
  <si>
    <t>MALOY</t>
  </si>
  <si>
    <t>ASHDALE CURIOUS HOULEY-ET</t>
  </si>
  <si>
    <t>BRFGBRM000000585511</t>
  </si>
  <si>
    <t>MARSHSIDE REGINA 35</t>
  </si>
  <si>
    <t>HOLUSAM000123924874</t>
  </si>
  <si>
    <t>GRAND-DELL WINCH LOU ET</t>
  </si>
  <si>
    <t>GRAND-DELL LUKE LUELLA ET</t>
  </si>
  <si>
    <t>DFRNLDM000351858781</t>
  </si>
  <si>
    <t>DE VENNEN BEN</t>
  </si>
  <si>
    <t>DFRNLDM000329326061</t>
  </si>
  <si>
    <t>DOVEA REMBRANDT</t>
  </si>
  <si>
    <t>JACOB 16</t>
  </si>
  <si>
    <t>NICOLETTA 72</t>
  </si>
  <si>
    <t>ALEX 575</t>
  </si>
  <si>
    <t>MONFRAM002597022952</t>
  </si>
  <si>
    <t>NATHAN</t>
  </si>
  <si>
    <t>LAVANDE</t>
  </si>
  <si>
    <t>HOLIRLM241024290433</t>
  </si>
  <si>
    <t>DUNUM CAPAN 23</t>
  </si>
  <si>
    <t>DUNUM SNEACTA 51</t>
  </si>
  <si>
    <t>HOLNLDM000324880067</t>
  </si>
  <si>
    <t>NEWHOUSE SPLENDID</t>
  </si>
  <si>
    <t>NEWHOUSE SNEEKER 160</t>
  </si>
  <si>
    <t>HOLGBRM000000559688</t>
  </si>
  <si>
    <t>LISDUFF ELBOY</t>
  </si>
  <si>
    <t>HOLIRLM151093210486</t>
  </si>
  <si>
    <t>REENBAWN MERCI</t>
  </si>
  <si>
    <t>REENBAWN LEADER MARS</t>
  </si>
  <si>
    <t>HOLAUSM000A00011306</t>
  </si>
  <si>
    <t>KENRON LUCKY STRIKE ET</t>
  </si>
  <si>
    <t>KENRON MASCOT JENNIFER 58TH</t>
  </si>
  <si>
    <t>HOLUSAM000002120484</t>
  </si>
  <si>
    <t>FUSTEAD BLACKSTAR BUSTER ET</t>
  </si>
  <si>
    <t>NECTARLIN BILLIE BOB MARK</t>
  </si>
  <si>
    <t>HOLNLDM000199057847</t>
  </si>
  <si>
    <t>BARNKAMPER NIAGARA</t>
  </si>
  <si>
    <t>HOLNLDM000147426312</t>
  </si>
  <si>
    <t>JK EDER BERG</t>
  </si>
  <si>
    <t>HIMSTER H HELENE</t>
  </si>
  <si>
    <t>HOLGBRM000000535885</t>
  </si>
  <si>
    <t>CEINWEN STROLLER</t>
  </si>
  <si>
    <t>CEINWEN JANE 12</t>
  </si>
  <si>
    <t>HOLIRLM241024280424</t>
  </si>
  <si>
    <t>DUNUM IMAGE 51</t>
  </si>
  <si>
    <t>DUNUM ARKADINA 6</t>
  </si>
  <si>
    <t>HOLUSAM000129707051</t>
  </si>
  <si>
    <t>MR METEOR-ET</t>
  </si>
  <si>
    <t>HOLAUSM000A00010550</t>
  </si>
  <si>
    <t>ELITE GOLD BULLION IMP ET</t>
  </si>
  <si>
    <t>ROSY-LANE BELLMAN DIONNE-ET</t>
  </si>
  <si>
    <t>HOLFRAM003544612438</t>
  </si>
  <si>
    <t>ROYAUME</t>
  </si>
  <si>
    <t>NATURELLE</t>
  </si>
  <si>
    <t>HOLFRAM004747063250</t>
  </si>
  <si>
    <t>OZONE</t>
  </si>
  <si>
    <t>MONFRAM007039077588</t>
  </si>
  <si>
    <t>SOLSTICE</t>
  </si>
  <si>
    <t>JUVENILE</t>
  </si>
  <si>
    <t>MONFRAM003920562741</t>
  </si>
  <si>
    <t>SOJA JB</t>
  </si>
  <si>
    <t>ONDINE</t>
  </si>
  <si>
    <t>RDCNORM000000010045</t>
  </si>
  <si>
    <t>LIER</t>
  </si>
  <si>
    <t>OYSLEBO</t>
  </si>
  <si>
    <t>160 ROSA</t>
  </si>
  <si>
    <t>527 LINDENÃ¿S</t>
  </si>
  <si>
    <t>BRFGBRM000000613700</t>
  </si>
  <si>
    <t>LAKEMEAD ALPHONSO</t>
  </si>
  <si>
    <t>LAKEMEAD EMILY 4</t>
  </si>
  <si>
    <t>BIGFORTH ALPHONSO</t>
  </si>
  <si>
    <t>HOLIRLM151000291299</t>
  </si>
  <si>
    <t>JERUSAM000112537258</t>
  </si>
  <si>
    <t>SENN-SATIONAL PARAMOUNT ACE</t>
  </si>
  <si>
    <t>SENNSATIONAL BARBER APRIL</t>
  </si>
  <si>
    <t>HOLUSAM000063657263</t>
  </si>
  <si>
    <t>CARL -A SATYR</t>
  </si>
  <si>
    <t>CARL-A OMAN SOPHIA</t>
  </si>
  <si>
    <t>BRFGBRM000000635151</t>
  </si>
  <si>
    <t>BLACKISLE MATRIX ET</t>
  </si>
  <si>
    <t>FAILAND BREADWIN</t>
  </si>
  <si>
    <t>JERGBRM000000055007</t>
  </si>
  <si>
    <t>POTTERSWALLS BELLES PRIDE</t>
  </si>
  <si>
    <t>HOLLYLANE R SIMBA'S PRIDE</t>
  </si>
  <si>
    <t>POTTERSWALLS JUST BELLE</t>
  </si>
  <si>
    <t>RAPID BAY JUST WAIT</t>
  </si>
  <si>
    <t>HOLUSAM000134426763</t>
  </si>
  <si>
    <t>SANDY-VALLEY TALENT-ET</t>
  </si>
  <si>
    <t>REGANCREST-JB TATUM-ET</t>
  </si>
  <si>
    <t>HOLUSAM000135556252</t>
  </si>
  <si>
    <t>CROCKETT-ACRES OTTO-ET</t>
  </si>
  <si>
    <t>CROCKETT-ACRES MTOT ELLY-ET</t>
  </si>
  <si>
    <t>HOLCZEM000106789071</t>
  </si>
  <si>
    <t>GENOS IMOLA ET</t>
  </si>
  <si>
    <t>GENOS TREASY</t>
  </si>
  <si>
    <t>HOLCANM000007816467</t>
  </si>
  <si>
    <t>GILLETTE WINDFALL</t>
  </si>
  <si>
    <t>BRFGBRM000000631092</t>
  </si>
  <si>
    <t>MORCOURT TINA</t>
  </si>
  <si>
    <t>HUDDLESFORD DESERT ORCHID ET</t>
  </si>
  <si>
    <t>DFRNLDM000705733236</t>
  </si>
  <si>
    <t>MILKBOARD JUPITER 206</t>
  </si>
  <si>
    <t>JUPITER 136</t>
  </si>
  <si>
    <t>NAATJE 687</t>
  </si>
  <si>
    <t>HOLIRLM371090940615</t>
  </si>
  <si>
    <t>RAHEENVARREN SJOERD</t>
  </si>
  <si>
    <t>RAHEENVARREN MFX IVY</t>
  </si>
  <si>
    <t>HOLNLDM000270726446</t>
  </si>
  <si>
    <t>MESLAND DUPLEX ET</t>
  </si>
  <si>
    <t>HENKESEEN HILLS EMERALD ET</t>
  </si>
  <si>
    <t>HOLNZLM000000099704</t>
  </si>
  <si>
    <t>HOLCANM000000391076</t>
  </si>
  <si>
    <t>COLDSPRINGS FUTURITY ET</t>
  </si>
  <si>
    <t>THORNY LANE DIANNE SHEIK</t>
  </si>
  <si>
    <t>HOLUSAM000002136807</t>
  </si>
  <si>
    <t>MISS AGHALOMA INDIA CLEITUS-ET</t>
  </si>
  <si>
    <t>JERNZLM000000094446</t>
  </si>
  <si>
    <t>PARKWOOD MOS CASATA</t>
  </si>
  <si>
    <t>SITUS</t>
  </si>
  <si>
    <t>PAMELA</t>
  </si>
  <si>
    <t>HOLNLDM000299691017</t>
  </si>
  <si>
    <t>KAPERSHOEK KAIN</t>
  </si>
  <si>
    <t>KAPERSHOEK ANNECY 2</t>
  </si>
  <si>
    <t>MONIRLM241179830258</t>
  </si>
  <si>
    <t>IDOL</t>
  </si>
  <si>
    <t>NODOSITE</t>
  </si>
  <si>
    <t>JERDNKM000000301592</t>
  </si>
  <si>
    <t>0-01966</t>
  </si>
  <si>
    <t>HOLIRLM281569470581</t>
  </si>
  <si>
    <t>PROGRESSIVE SPY ET</t>
  </si>
  <si>
    <t>MONIRLM151927290498</t>
  </si>
  <si>
    <t>IVYHALL LOYALTY</t>
  </si>
  <si>
    <t>OCEANIE</t>
  </si>
  <si>
    <t>HOLNZLM000000100008</t>
  </si>
  <si>
    <t>ROJAN GOODLOOKA</t>
  </si>
  <si>
    <t>HOLDEUM000577604324</t>
  </si>
  <si>
    <t>ZECHER</t>
  </si>
  <si>
    <t>HHG GERY</t>
  </si>
  <si>
    <t>HOLDEUM000577788825</t>
  </si>
  <si>
    <t>KOLLO</t>
  </si>
  <si>
    <t>KOMMANDEUR LEADER 1</t>
  </si>
  <si>
    <t>AUTRA</t>
  </si>
  <si>
    <t>HOLIRLM151774520298</t>
  </si>
  <si>
    <t>BALLINDINAS CAREY</t>
  </si>
  <si>
    <t>BALLINDINAS LOU SALLY</t>
  </si>
  <si>
    <t>HOLNZLM000000103579</t>
  </si>
  <si>
    <t>SRB WEBBLEA DJ COMMANDER</t>
  </si>
  <si>
    <t>SRC DAWSONS JOSIAH</t>
  </si>
  <si>
    <t>SRB WEBBLEA SKELTON NICCI</t>
  </si>
  <si>
    <t>HOLUSAM000131621936</t>
  </si>
  <si>
    <t>TOBIS DURHAM TITAN-ET</t>
  </si>
  <si>
    <t>ERNEST-ANTHONY SD TOBI-ET</t>
  </si>
  <si>
    <t>HOLNLDM000241732786</t>
  </si>
  <si>
    <t>DOOLHOF 12</t>
  </si>
  <si>
    <t>HOLGBRM000000543943</t>
  </si>
  <si>
    <t>LISLEVANE STARBUCK 2</t>
  </si>
  <si>
    <t>LISLEVANE MARGARET 13</t>
  </si>
  <si>
    <t>HOLCANM000010679815</t>
  </si>
  <si>
    <t>RAPID BAY LIGHT YEAR</t>
  </si>
  <si>
    <t>EXRANCO THOR COZY</t>
  </si>
  <si>
    <t>HOLNZLM000000099258</t>
  </si>
  <si>
    <t>SRA CORBOYS PANSY</t>
  </si>
  <si>
    <t>HOLUSAM000002283989</t>
  </si>
  <si>
    <t>MR MANHATTAN-ET</t>
  </si>
  <si>
    <t>MRYNLDM000835141475</t>
  </si>
  <si>
    <t>TONNY 18</t>
  </si>
  <si>
    <t>JACOB</t>
  </si>
  <si>
    <t>RDCNORM000000005291</t>
  </si>
  <si>
    <t>VALSET</t>
  </si>
  <si>
    <t>FAGERLIN</t>
  </si>
  <si>
    <t>F.FLITTIE</t>
  </si>
  <si>
    <t>HOLDEUM000343146613</t>
  </si>
  <si>
    <t>LASALLE</t>
  </si>
  <si>
    <t>TIFFANY 153</t>
  </si>
  <si>
    <t>HOLFRAM002998012650</t>
  </si>
  <si>
    <t>OKENDO</t>
  </si>
  <si>
    <t>LURONNE</t>
  </si>
  <si>
    <t>HOLNZLM000000101112</t>
  </si>
  <si>
    <t>LAKESIDE PAN ARCHIE</t>
  </si>
  <si>
    <t>HOLIRLM191069890381</t>
  </si>
  <si>
    <t>LEITRIMIDDLE JOCK</t>
  </si>
  <si>
    <t>LEITRIMIDDLE INFINITY 3</t>
  </si>
  <si>
    <t>HOLIRLM371108790357</t>
  </si>
  <si>
    <t>KNOCKREIGH RONALD</t>
  </si>
  <si>
    <t>KNOCKREIGH BARTHO AIDA</t>
  </si>
  <si>
    <t>HOLIRLM151549282853</t>
  </si>
  <si>
    <t>MOOREPARK HARRY</t>
  </si>
  <si>
    <t>MOOREPARK MINTY ET</t>
  </si>
  <si>
    <t>HOLIRLM151549212847</t>
  </si>
  <si>
    <t>MOOREPARK HUNTER</t>
  </si>
  <si>
    <t>MOOREPARK LYE MINTY</t>
  </si>
  <si>
    <t>HOLIRLM151549292854</t>
  </si>
  <si>
    <t>MOOREPARK HOGGY</t>
  </si>
  <si>
    <t>HOLIRLM151623421223</t>
  </si>
  <si>
    <t>BALLYBRIDE JORDY</t>
  </si>
  <si>
    <t>BALLYBRIDE HUGO DELLA</t>
  </si>
  <si>
    <t>RDCNORM000000005655</t>
  </si>
  <si>
    <t>5655 ARSET</t>
  </si>
  <si>
    <t>NMDFRAM006105034091</t>
  </si>
  <si>
    <t>EGYPTE</t>
  </si>
  <si>
    <t>RDCGBRM000006180279</t>
  </si>
  <si>
    <t>HUNNINGTON ADMIRAL</t>
  </si>
  <si>
    <t>HUNNINGTON SAILOR GIRL</t>
  </si>
  <si>
    <t>TOWNHEAD DAHLIA'S JUROR</t>
  </si>
  <si>
    <t>HOLDEUM000342231292</t>
  </si>
  <si>
    <t>BENELUX</t>
  </si>
  <si>
    <t>SASKIA 106</t>
  </si>
  <si>
    <t>HOLAUSM000H00992401</t>
  </si>
  <si>
    <t>GLEN JURISTAN APOLLO EXHAUST-E</t>
  </si>
  <si>
    <t>GLEN JURISTAN WINLUKE ASTINA-E</t>
  </si>
  <si>
    <t>HOLUSAM000207184648</t>
  </si>
  <si>
    <t>REGANCREST-MR SAMUELO-ET</t>
  </si>
  <si>
    <t>HOLNLDM000243277203</t>
  </si>
  <si>
    <t>SUNRISE</t>
  </si>
  <si>
    <t>SHADE-E-LANE-S SUNSHINE</t>
  </si>
  <si>
    <t>MONFRAM003912290199</t>
  </si>
  <si>
    <t>ODORAT JB</t>
  </si>
  <si>
    <t>HOLIRLM141360920477</t>
  </si>
  <si>
    <t>EEDY YANNI STLEROY</t>
  </si>
  <si>
    <t>EEDY GMI DAISY</t>
  </si>
  <si>
    <t>HOLDEUM000341440423</t>
  </si>
  <si>
    <t>COSMO</t>
  </si>
  <si>
    <t>ORNELIA</t>
  </si>
  <si>
    <t>MRYNLDM000243941043</t>
  </si>
  <si>
    <t>BAS</t>
  </si>
  <si>
    <t>BART</t>
  </si>
  <si>
    <t>ANNETTE 36</t>
  </si>
  <si>
    <t>GIJS</t>
  </si>
  <si>
    <t>HOLNLDM000267742237</t>
  </si>
  <si>
    <t>EASTLAND KENLEY</t>
  </si>
  <si>
    <t>EASTLAND GOLDEN 1576</t>
  </si>
  <si>
    <t>RDCNORM000000005621</t>
  </si>
  <si>
    <t>5621 ELVEVOLL</t>
  </si>
  <si>
    <t>SIRI</t>
  </si>
  <si>
    <t>LANGEMART</t>
  </si>
  <si>
    <t>RIA 306</t>
  </si>
  <si>
    <t>LANGEMAAT</t>
  </si>
  <si>
    <t>MRYNLDM000370874946</t>
  </si>
  <si>
    <t>MAKAAY</t>
  </si>
  <si>
    <t>JOLANDA 114</t>
  </si>
  <si>
    <t>HOLFRAM003511734145</t>
  </si>
  <si>
    <t>RONLY</t>
  </si>
  <si>
    <t>ONLY</t>
  </si>
  <si>
    <t>HOLUSAM000130498623</t>
  </si>
  <si>
    <t>FAR-O-LA DEBBIE-JO DRAKE ET</t>
  </si>
  <si>
    <t>HOLIRLM151013780883</t>
  </si>
  <si>
    <t>PARKDUV IRONMAN</t>
  </si>
  <si>
    <t>PARKDUV IRIS 7</t>
  </si>
  <si>
    <t>HOLUSAM000061719789</t>
  </si>
  <si>
    <t>LEGEND OF DURHAM ROSE</t>
  </si>
  <si>
    <t>LEGEND DAIRY DURHAM ROSE</t>
  </si>
  <si>
    <t>MONFRAM003802508524</t>
  </si>
  <si>
    <t>NOUGATINE</t>
  </si>
  <si>
    <t>HOLUSAM000125997863</t>
  </si>
  <si>
    <t>RICH-J SOSA-ET</t>
  </si>
  <si>
    <t>SILDAHL-EAGLE BW SPICEY-ET</t>
  </si>
  <si>
    <t>HOLIRLM151530840469</t>
  </si>
  <si>
    <t>GRADOGUE RODGE</t>
  </si>
  <si>
    <t>GRADOGUE GMI MARY</t>
  </si>
  <si>
    <t>DFRNLDM000383365129</t>
  </si>
  <si>
    <t>DOVEA PAULUS</t>
  </si>
  <si>
    <t>URNE'S ANDRE</t>
  </si>
  <si>
    <t>HENDRIKA 443</t>
  </si>
  <si>
    <t>HOLIRLM141893040791</t>
  </si>
  <si>
    <t>LEETOWN RAY</t>
  </si>
  <si>
    <t>LEETOWN MBH ANNA</t>
  </si>
  <si>
    <t>HOLIRLM141360960530</t>
  </si>
  <si>
    <t>EEDY ADEPT</t>
  </si>
  <si>
    <t>MANTLEHILL MERCI FERRARI LADY</t>
  </si>
  <si>
    <t>HOLIRLM141654271920</t>
  </si>
  <si>
    <t>KILLINGLEY SJOERD CLASS</t>
  </si>
  <si>
    <t>KILLINGLEY HUGO CLARK</t>
  </si>
  <si>
    <t>HOLIRLM141698040448</t>
  </si>
  <si>
    <t>SILVERFOREST AMOS RUUD</t>
  </si>
  <si>
    <t>SILVERFOREST CAU PRIMROSE 2</t>
  </si>
  <si>
    <t>HOLCANM000010801420</t>
  </si>
  <si>
    <t>BRAEDALE ICEFYRE</t>
  </si>
  <si>
    <t>HOLIRLM151464240689</t>
  </si>
  <si>
    <t>WIAMANGU KERRI</t>
  </si>
  <si>
    <t>WIAMANGU GMI KATE 4</t>
  </si>
  <si>
    <t>HOLITAM012500011332</t>
  </si>
  <si>
    <t>CERESIO BENARES ET TV</t>
  </si>
  <si>
    <t>CERESIO DANIELA ET CV</t>
  </si>
  <si>
    <t>HOLIRLM141544440862</t>
  </si>
  <si>
    <t>DERRYCOOLE CAMS</t>
  </si>
  <si>
    <t>DERRYCOOLE ROSE 15</t>
  </si>
  <si>
    <t>HOLUSAM000131671771</t>
  </si>
  <si>
    <t>WA-DEL CASHMERE-ET</t>
  </si>
  <si>
    <t>WA-DEL FORMATION CRYSTAL-ET</t>
  </si>
  <si>
    <t>HOLFRAM003594000852</t>
  </si>
  <si>
    <t>JORAT</t>
  </si>
  <si>
    <t>GLENSILLAGH HIMALAYA</t>
  </si>
  <si>
    <t>HOLNLDM000288028242</t>
  </si>
  <si>
    <t>SOUTHLAND JOSHUA</t>
  </si>
  <si>
    <t>GRASHOEK BOBBIE 3</t>
  </si>
  <si>
    <t>HOLNLDM000248268086</t>
  </si>
  <si>
    <t>POOS MINA 243</t>
  </si>
  <si>
    <t>HOLGBRM000000625013</t>
  </si>
  <si>
    <t>WINNOCH THUNDER</t>
  </si>
  <si>
    <t>MOET FATAL KIZZY A</t>
  </si>
  <si>
    <t>HOLUSAM000130588960</t>
  </si>
  <si>
    <t>MAYERLANE RUD BUBBLE-ET</t>
  </si>
  <si>
    <t>HOLIRLM141761210812</t>
  </si>
  <si>
    <t>KEALFINCHEON ROYCE</t>
  </si>
  <si>
    <t>KEALFINCHEON KAIAPOI DAISY</t>
  </si>
  <si>
    <t>BRFGBRM000000601078</t>
  </si>
  <si>
    <t>BLACKISLE BENROMACH</t>
  </si>
  <si>
    <t>BLACKISLE VERAKEES 23</t>
  </si>
  <si>
    <t>HOLIRLM351066110540</t>
  </si>
  <si>
    <t>CURRA QNP TED</t>
  </si>
  <si>
    <t>CURRA LYE ANGEL</t>
  </si>
  <si>
    <t>BRFGBRM000000597905</t>
  </si>
  <si>
    <t>BLACKISLE TORMORE</t>
  </si>
  <si>
    <t>HOLNLDM000227797994</t>
  </si>
  <si>
    <t>MIDPELER MISTY</t>
  </si>
  <si>
    <t>FIENTJE 344</t>
  </si>
  <si>
    <t>BRFGBRM000000621774</t>
  </si>
  <si>
    <t>LANGLEY BRANDYSNAP 3 ET</t>
  </si>
  <si>
    <t>LOVAT BRANDYSNAP</t>
  </si>
  <si>
    <t>HOLIRLM211163732776</t>
  </si>
  <si>
    <t>TINNISLATTY ALLSTAR</t>
  </si>
  <si>
    <t>TINNISLATTY FYG ALICE</t>
  </si>
  <si>
    <t>BRFGBRM000000605913</t>
  </si>
  <si>
    <t>DEANGATE CINDY 13</t>
  </si>
  <si>
    <t>PETTERIL MAGNET</t>
  </si>
  <si>
    <t>HOLNLDM000390637693</t>
  </si>
  <si>
    <t>LOOLEE MIKE JANNES</t>
  </si>
  <si>
    <t>JAANTJE 340</t>
  </si>
  <si>
    <t>HOLNLDM000370771786</t>
  </si>
  <si>
    <t>BARTELS O-MAN DETERN</t>
  </si>
  <si>
    <t>HOLNLDM000392753991</t>
  </si>
  <si>
    <t>IJLSTER TALISMAN</t>
  </si>
  <si>
    <t>QG TALENA ET</t>
  </si>
  <si>
    <t>HOLIRLM211163782780</t>
  </si>
  <si>
    <t>TINNISLATTY BAMBINO</t>
  </si>
  <si>
    <t>TINNISLATTY FYG BAMBI</t>
  </si>
  <si>
    <t>HOLFRAM004437471550</t>
  </si>
  <si>
    <t>RHUM CONV</t>
  </si>
  <si>
    <t>OBATIM</t>
  </si>
  <si>
    <t>HOLIRLM241076470768</t>
  </si>
  <si>
    <t>BRACKBAWN KLAUS</t>
  </si>
  <si>
    <t>BRACKBAWN KATIE 7</t>
  </si>
  <si>
    <t>MONFRAM007020190933</t>
  </si>
  <si>
    <t>PYLORE</t>
  </si>
  <si>
    <t>HAUTAINE</t>
  </si>
  <si>
    <t>HOLIRLM141422610386</t>
  </si>
  <si>
    <t>RINGLEADER KALERON</t>
  </si>
  <si>
    <t>RINGLEADER MERCI DELIGHT 18</t>
  </si>
  <si>
    <t>HOLIRLM281379871141</t>
  </si>
  <si>
    <t>STAMULLEN D RUUD 1141</t>
  </si>
  <si>
    <t>STAMULLEN DOIREANN B 671</t>
  </si>
  <si>
    <t>HOLIRLM351026451205</t>
  </si>
  <si>
    <t>SPARTA FAITH</t>
  </si>
  <si>
    <t>HOLIRLM151065980881</t>
  </si>
  <si>
    <t>RATHCOOLA ELLERY</t>
  </si>
  <si>
    <t>RATHCOOLA SVB BETH</t>
  </si>
  <si>
    <t>HOLUSAM000131520543</t>
  </si>
  <si>
    <t>DIAMOND-OAK FROSTY-ET</t>
  </si>
  <si>
    <t>MOHRFIELD SAND MOLLIE ET</t>
  </si>
  <si>
    <t>NMDFRAM007995031295</t>
  </si>
  <si>
    <t>LOIK</t>
  </si>
  <si>
    <t>IDYLLIQUE</t>
  </si>
  <si>
    <t>HOLNLDM000330874052</t>
  </si>
  <si>
    <t>SKALSUMER PLETJE 513</t>
  </si>
  <si>
    <t>RDCSWEM000000084330</t>
  </si>
  <si>
    <t>BENESTAD</t>
  </si>
  <si>
    <t>966 HJ¿RTA</t>
  </si>
  <si>
    <t>HOLNZLM000000101048</t>
  </si>
  <si>
    <t>HOLIRLM151140930580</t>
  </si>
  <si>
    <t>WINDYHILL EUROPE</t>
  </si>
  <si>
    <t>WINDYHILL MFX CHRIS 2</t>
  </si>
  <si>
    <t>HOLIRLM151169470546</t>
  </si>
  <si>
    <t>FOLLACHFIA MERCI AOEMA</t>
  </si>
  <si>
    <t>HOLIRLM371108750411</t>
  </si>
  <si>
    <t>KNOCKREIGH BUNDY</t>
  </si>
  <si>
    <t>KNOCKREIGH AIDA BREIZ</t>
  </si>
  <si>
    <t>HOLUSAM000060752334</t>
  </si>
  <si>
    <t>FAR-O-LA DEVOTED-ET</t>
  </si>
  <si>
    <t>HOLIRLM351066190507</t>
  </si>
  <si>
    <t>CURRA MATFEN JERRY</t>
  </si>
  <si>
    <t>CURRA SPW EVE</t>
  </si>
  <si>
    <t>HOLNLDM000324902431</t>
  </si>
  <si>
    <t>SUNDAY DUR WATHA TL TV</t>
  </si>
  <si>
    <t>MAYERLANE-DK HIAWATHA-ET</t>
  </si>
  <si>
    <t>HOLNLDM000227414505</t>
  </si>
  <si>
    <t>DE RITH TETJE 67</t>
  </si>
  <si>
    <t>HOLFINM000000092608</t>
  </si>
  <si>
    <t>JUUSOLAN ORION TV</t>
  </si>
  <si>
    <t>HOLIRLM151630160731</t>
  </si>
  <si>
    <t>GREENVALLEY BUTTERCUP FOUR</t>
  </si>
  <si>
    <t>HOLITAM002701003310</t>
  </si>
  <si>
    <t>BERNARDIS BW LAIBERT TV TL TM</t>
  </si>
  <si>
    <t>HOLCANM000005479316</t>
  </si>
  <si>
    <t>CALBRETT CONCORD</t>
  </si>
  <si>
    <t>SPRING-HAVEN LEADSMAN CLARA</t>
  </si>
  <si>
    <t>HOLGBRM000000580909</t>
  </si>
  <si>
    <t>COGENT DUKE</t>
  </si>
  <si>
    <t>HOLIRLM141654271185</t>
  </si>
  <si>
    <t>KILLINGLEY MAXIE HUGO</t>
  </si>
  <si>
    <t>KILLINGLEY AMOS MAXIE</t>
  </si>
  <si>
    <t>HOLGBRM000000582591</t>
  </si>
  <si>
    <t>DOVEA DOMBINATOR</t>
  </si>
  <si>
    <t>ETAZON HYDE TL</t>
  </si>
  <si>
    <t>EDGEMEAD MONEY MAKER MAJOR</t>
  </si>
  <si>
    <t>HOLGBRM000000586313</t>
  </si>
  <si>
    <t>DOVEA LEGEND</t>
  </si>
  <si>
    <t>HOLNLDM000864021315</t>
  </si>
  <si>
    <t>HOL-STIENS BEST</t>
  </si>
  <si>
    <t>HOLSTIENS H-ST BERNADET</t>
  </si>
  <si>
    <t>HOLUSAM000002026916</t>
  </si>
  <si>
    <t>HOLUSAM000002294994</t>
  </si>
  <si>
    <t>BRIAR FACTOR SABRE RED</t>
  </si>
  <si>
    <t>BRIAR LEADER SYBIL</t>
  </si>
  <si>
    <t>HOLFRAM005991008249</t>
  </si>
  <si>
    <t>GANWIND</t>
  </si>
  <si>
    <t>LYLEHAVEN ROYALTY ANNE ET</t>
  </si>
  <si>
    <t>HOLIRLM151054030905</t>
  </si>
  <si>
    <t>HOLIRLM151549283884</t>
  </si>
  <si>
    <t>MOOREPARK JINX 884</t>
  </si>
  <si>
    <t>MOOREPARK COLLINS JENNA</t>
  </si>
  <si>
    <t>DFRNLDM000395800339</t>
  </si>
  <si>
    <t>PIETJE 581</t>
  </si>
  <si>
    <t>RDCNORM000000005550</t>
  </si>
  <si>
    <t>SORHUUS</t>
  </si>
  <si>
    <t>J.VENEVOLD</t>
  </si>
  <si>
    <t>HURVELIN</t>
  </si>
  <si>
    <t>E.REVHEIM</t>
  </si>
  <si>
    <t>RDCNORM000000005689</t>
  </si>
  <si>
    <t>LEKVE</t>
  </si>
  <si>
    <t>LARSGARD</t>
  </si>
  <si>
    <t>DONNA</t>
  </si>
  <si>
    <t>HOLIRLM331504620219</t>
  </si>
  <si>
    <t>SCURMORE RUDOLPH HAZEL</t>
  </si>
  <si>
    <t>NWRIRLM151666630545</t>
  </si>
  <si>
    <t>TINEGERAGH LEV 545</t>
  </si>
  <si>
    <t>TINEGERAGH IEN 395</t>
  </si>
  <si>
    <t>NWRIRLM151666680533</t>
  </si>
  <si>
    <t>TINEGERAGH BXG 533</t>
  </si>
  <si>
    <t>BERGE</t>
  </si>
  <si>
    <t>NR31579</t>
  </si>
  <si>
    <t>HOLNZLM000000106183</t>
  </si>
  <si>
    <t>SHEPHEARDS HD ZEPHYR</t>
  </si>
  <si>
    <t>SRC FISHERS KELVAR</t>
  </si>
  <si>
    <t>HOLIRLM141171390829</t>
  </si>
  <si>
    <t>(IG) CORROVOLLEY CUPID ARENDO</t>
  </si>
  <si>
    <t>CORROVOLLEY RUU SNOWDROP</t>
  </si>
  <si>
    <t>JERUSAM000112118277</t>
  </si>
  <si>
    <t>WILLIAMS IMPRESSIVE IDEA-ET</t>
  </si>
  <si>
    <t>JERIRLM151828761335</t>
  </si>
  <si>
    <t>(IG) BALLYHOOLY FOREVER</t>
  </si>
  <si>
    <t>HILLCAP PRIMULA</t>
  </si>
  <si>
    <t>HOLUSAM000135257546</t>
  </si>
  <si>
    <t>MACOMBER O-MAN BOGART</t>
  </si>
  <si>
    <t>O-BEE LOUIE BRENDA-ET</t>
  </si>
  <si>
    <t>WIL-HART E LOUIE-ET</t>
  </si>
  <si>
    <t>JERGBRM000000054188</t>
  </si>
  <si>
    <t>ALDERSTON LEMVIG CROCKET</t>
  </si>
  <si>
    <t>DANISH CROCUS DJHB</t>
  </si>
  <si>
    <t>RDCNORM000000010032</t>
  </si>
  <si>
    <t>HAUGSET</t>
  </si>
  <si>
    <t>ROLIN</t>
  </si>
  <si>
    <t>HOLGBRM000000534591</t>
  </si>
  <si>
    <t>DINNATON BELL TOWER ET</t>
  </si>
  <si>
    <t>DINNATON BLUEBELL 2</t>
  </si>
  <si>
    <t>HOLCANM000000393751</t>
  </si>
  <si>
    <t>HANOVERHILL ASSET ET</t>
  </si>
  <si>
    <t>HOLNLDM000228390338</t>
  </si>
  <si>
    <t>DELTA EUGENIE</t>
  </si>
  <si>
    <t>HOLGBRM000000588351</t>
  </si>
  <si>
    <t>DOVEA FATAL ET</t>
  </si>
  <si>
    <t>HEIDE</t>
  </si>
  <si>
    <t>MONFRAM007092019618</t>
  </si>
  <si>
    <t>HAUGUEL</t>
  </si>
  <si>
    <t>DETRESSE</t>
  </si>
  <si>
    <t>MONFRAM002194003576</t>
  </si>
  <si>
    <t>JOHNNY</t>
  </si>
  <si>
    <t>EBENE</t>
  </si>
  <si>
    <t>HOLNLDM000830269152</t>
  </si>
  <si>
    <t>MATCHMAKER</t>
  </si>
  <si>
    <t>SKALSUMER PIETJE 175</t>
  </si>
  <si>
    <t>HOLGBRM000000593383</t>
  </si>
  <si>
    <t>HOLUSAM000002156938</t>
  </si>
  <si>
    <t>LIGHT-RIDGE FAIRHIL MARK EL</t>
  </si>
  <si>
    <t>HOLNLDM000248201346</t>
  </si>
  <si>
    <t>BSWIRLM000000000BGY</t>
  </si>
  <si>
    <t>BALGRANGE EMORY</t>
  </si>
  <si>
    <t>BALGRANGE KELLY ET</t>
  </si>
  <si>
    <t>R-HART STAR ELEVATOR</t>
  </si>
  <si>
    <t>HOLUSAM000002141196</t>
  </si>
  <si>
    <t>RICH-RO MARK SAM-ET</t>
  </si>
  <si>
    <t>RICH-RO TRADITION SUE-ET</t>
  </si>
  <si>
    <t>HOLGBRM000000570138</t>
  </si>
  <si>
    <t>LYNBROOK GERONIMO</t>
  </si>
  <si>
    <t>GWENDOLEN WISTA</t>
  </si>
  <si>
    <t>HOLNLDM000190120830</t>
  </si>
  <si>
    <t>ANNAEC</t>
  </si>
  <si>
    <t>VZ ANNA 218 ET</t>
  </si>
  <si>
    <t>HOLITAM001309035736</t>
  </si>
  <si>
    <t>DEL SANTO MARK JAMAICA</t>
  </si>
  <si>
    <t>HOLNLDM000830269462</t>
  </si>
  <si>
    <t>SKALSUMER SPORTSMAN</t>
  </si>
  <si>
    <t>SKALSUMER PIETJE 272</t>
  </si>
  <si>
    <t>MERIT HAMLET STARLITE VALIANT</t>
  </si>
  <si>
    <t>HOLNLDM000173065848</t>
  </si>
  <si>
    <t>SANDY CASH 2</t>
  </si>
  <si>
    <t>VENERIETE UGELA SANDY</t>
  </si>
  <si>
    <t>HOLUSAM000002057682</t>
  </si>
  <si>
    <t>BARONHILL MARK FERDINAN</t>
  </si>
  <si>
    <t>PINEPRAIRIE VALIANT FARRAH</t>
  </si>
  <si>
    <t>HOLNZLM000000098326</t>
  </si>
  <si>
    <t>BENTONS HOT KAT* TL TV</t>
  </si>
  <si>
    <t>SRC MILFORD CURIOUS ATOM</t>
  </si>
  <si>
    <t>HOLUSAM000017306397</t>
  </si>
  <si>
    <t>KERNDTWAY DRAKE-ET</t>
  </si>
  <si>
    <t>DFRNLDM000284356396</t>
  </si>
  <si>
    <t>DE VENNEN GOSSE</t>
  </si>
  <si>
    <t>GRETHA 5</t>
  </si>
  <si>
    <t>HOLITAM003804047070</t>
  </si>
  <si>
    <t>RIGLIO JUROR INDRO</t>
  </si>
  <si>
    <t>HOLDEUM001021231602</t>
  </si>
  <si>
    <t>HOLIRLM221106260827</t>
  </si>
  <si>
    <t>REARY ROBBIE</t>
  </si>
  <si>
    <t>HOLITAM251099028156</t>
  </si>
  <si>
    <t>CAMPOGALLO PG TRESOR ET TV TL</t>
  </si>
  <si>
    <t>CAMPOGALLO PG FATAL ET TL TV</t>
  </si>
  <si>
    <t>HOLGBRM000000581950</t>
  </si>
  <si>
    <t>COGENT FABIAN ET*TL TV</t>
  </si>
  <si>
    <t>KOLHORNER FRONA 13</t>
  </si>
  <si>
    <t>HOLGBRM000000576205</t>
  </si>
  <si>
    <t>TRINADERRY B TITAN ET</t>
  </si>
  <si>
    <t>JERDNKM000000047880</t>
  </si>
  <si>
    <t>18821-0325</t>
  </si>
  <si>
    <t>FYN BOV</t>
  </si>
  <si>
    <t>HOLNLDM000220965246</t>
  </si>
  <si>
    <t>DRYLSTER TORNADO</t>
  </si>
  <si>
    <t>ETAZON ANNECY ET</t>
  </si>
  <si>
    <t>MERIT ROTATE CAPTAIN ET</t>
  </si>
  <si>
    <t>HOLGBRM000000545045</t>
  </si>
  <si>
    <t>GLENKEEL ASTRO GEOFF ET</t>
  </si>
  <si>
    <t>GOOSTREY GAUFRETTE 38</t>
  </si>
  <si>
    <t>HOLIRLM341050820771</t>
  </si>
  <si>
    <t>BOWERSWOOD O BEE GOLD</t>
  </si>
  <si>
    <t>DFRNLDM000345211776</t>
  </si>
  <si>
    <t>RIVELINO 430</t>
  </si>
  <si>
    <t>RIVELINO 352</t>
  </si>
  <si>
    <t>HOLDEUM000111913234</t>
  </si>
  <si>
    <t>NOG LANUGO</t>
  </si>
  <si>
    <t>WEMBLEY</t>
  </si>
  <si>
    <t>HOLIRLM151111870553</t>
  </si>
  <si>
    <t>MILLSTREET RUUD 13</t>
  </si>
  <si>
    <t>MONFRAM002529434146</t>
  </si>
  <si>
    <t>LYSINE</t>
  </si>
  <si>
    <t>HOLUSAM000127329466</t>
  </si>
  <si>
    <t>SIR RIDGEDAL RUSTLER-RED-ET</t>
  </si>
  <si>
    <t>CHAPEL-BANK LAREDO-RED</t>
  </si>
  <si>
    <t>HANOVER-HILL-R MI ROCHELLE</t>
  </si>
  <si>
    <t>HOLDNKM000000238623</t>
  </si>
  <si>
    <t>T MARTINI</t>
  </si>
  <si>
    <t>NJY HUBERT</t>
  </si>
  <si>
    <t>HOLNLDM000292911026</t>
  </si>
  <si>
    <t>HOLNLDM000277557665</t>
  </si>
  <si>
    <t>DELTA OLYMPIC</t>
  </si>
  <si>
    <t>ETAZON MUSIC</t>
  </si>
  <si>
    <t>BRFGBRM000000620875</t>
  </si>
  <si>
    <t>BLACKISLE GLENCOE ET</t>
  </si>
  <si>
    <t>HOLIRLM151623491361</t>
  </si>
  <si>
    <t>BALLYBRIDE DANGLE PIPER</t>
  </si>
  <si>
    <t>BALLYBRIDE UYC DANGLE</t>
  </si>
  <si>
    <t>MONFRAM002521825344</t>
  </si>
  <si>
    <t>ORIEL</t>
  </si>
  <si>
    <t>BSWDEUM000912463978</t>
  </si>
  <si>
    <t>DAHLIE</t>
  </si>
  <si>
    <t>T RUN DISTINCT BLEND</t>
  </si>
  <si>
    <t>HOLUSAM000128620869</t>
  </si>
  <si>
    <t>WILCOXVIEW JASPER-ET</t>
  </si>
  <si>
    <t>WILCOXVIEW BELLWOOD JASMINE</t>
  </si>
  <si>
    <t>HOLUSAM000132825342</t>
  </si>
  <si>
    <t>VELVET-VIEW-KJ SENSATION-ET</t>
  </si>
  <si>
    <t>SHER EST PRELUDE SWEET ET</t>
  </si>
  <si>
    <t>HOLGBRM000000627770</t>
  </si>
  <si>
    <t>WOODMARSH LYMESHOT</t>
  </si>
  <si>
    <t>WOODMARSH RUDOLPH LYME 5</t>
  </si>
  <si>
    <t>HOLUSAM000136390080</t>
  </si>
  <si>
    <t>MR CRESCENTMEAD ALTAPLUS</t>
  </si>
  <si>
    <t>AMLAIRD LEE ALICE ET</t>
  </si>
  <si>
    <t>HOLCANM000008798662</t>
  </si>
  <si>
    <t>WRIDALE MICK DUNDEE</t>
  </si>
  <si>
    <t>FREUREHAVEN CONVINCER RENEE</t>
  </si>
  <si>
    <t>HOLNZLM000000506107</t>
  </si>
  <si>
    <t>BURWELLS ANCHORMAN</t>
  </si>
  <si>
    <t>ANGIE</t>
  </si>
  <si>
    <t>HOLNZLM000000106079</t>
  </si>
  <si>
    <t>MAXWELLS DAN JAZZMAN S2F</t>
  </si>
  <si>
    <t>JERUSAM000113076851</t>
  </si>
  <si>
    <t>VINDICATION</t>
  </si>
  <si>
    <t>HURONIA CENTURION VERONICA 20J</t>
  </si>
  <si>
    <t>HOLGBRM000000613316</t>
  </si>
  <si>
    <t>ABS RIVIERA</t>
  </si>
  <si>
    <t>JERNZLM000000301089</t>
  </si>
  <si>
    <t>BURNHART MAGNET ET S3J</t>
  </si>
  <si>
    <t>BURNHART MONARCH SJ2</t>
  </si>
  <si>
    <t>HOLCANM000100745543</t>
  </si>
  <si>
    <t>MARKIM THUNDER</t>
  </si>
  <si>
    <t>GRANDUC MAGGIE STORM-ET</t>
  </si>
  <si>
    <t>BRFGBRM000000615883</t>
  </si>
  <si>
    <t>CATLANE JUSTIN SNOWBALL</t>
  </si>
  <si>
    <t>BRUNDRIGG JUSTIN</t>
  </si>
  <si>
    <t>JERIRLM151828761178</t>
  </si>
  <si>
    <t>BALLYHOOLY BLAKE DR ROB</t>
  </si>
  <si>
    <t>HOLFINM000000092980</t>
  </si>
  <si>
    <t>MANTYLAN RAKUUNA</t>
  </si>
  <si>
    <t>T LAMBADA</t>
  </si>
  <si>
    <t>HOLIRLM191903350449</t>
  </si>
  <si>
    <t>DOONMANAGH LILAS NED</t>
  </si>
  <si>
    <t>DOONMANAGH BRENDAN LUPIN</t>
  </si>
  <si>
    <t>NWRIRLM351284220836</t>
  </si>
  <si>
    <t>KNOCKROUR HGZ VIKING</t>
  </si>
  <si>
    <t>NR51432</t>
  </si>
  <si>
    <t>HOLIRLM151623471509</t>
  </si>
  <si>
    <t>BALLYBRIDE SAND</t>
  </si>
  <si>
    <t>BALLYBRIDE UYC SANDY</t>
  </si>
  <si>
    <t>PRUNKI</t>
  </si>
  <si>
    <t>SAMBA</t>
  </si>
  <si>
    <t>STARBUCK</t>
  </si>
  <si>
    <t>NMDFRAM005356246849</t>
  </si>
  <si>
    <t>PLAFOND</t>
  </si>
  <si>
    <t>NOISETTE</t>
  </si>
  <si>
    <t>NMDFRAM006114595144</t>
  </si>
  <si>
    <t>ROYAL HOLL</t>
  </si>
  <si>
    <t>LONGITUDE</t>
  </si>
  <si>
    <t>RDCNORM000000010108</t>
  </si>
  <si>
    <t>NOTTESTAD</t>
  </si>
  <si>
    <t>BUTER</t>
  </si>
  <si>
    <t>HOLNLDM000352127675</t>
  </si>
  <si>
    <t>DIR. JOYCE 16</t>
  </si>
  <si>
    <t>HOLIRLM241352130944</t>
  </si>
  <si>
    <t>(IG) KNOCKSOUNA VELVET</t>
  </si>
  <si>
    <t>KNOCKSOUNA VELMA 87</t>
  </si>
  <si>
    <t>JERNZLM000000306511</t>
  </si>
  <si>
    <t>MULLINS MAUNGA ORION S2J</t>
  </si>
  <si>
    <t>MULLINS BUTTONS S1J</t>
  </si>
  <si>
    <t>HOLIRLM141806590662</t>
  </si>
  <si>
    <t>CACANODE MBH IRIS</t>
  </si>
  <si>
    <t>HOLUSAM000132135971</t>
  </si>
  <si>
    <t>HONEYCREST BOMBAY NIFTY-ET</t>
  </si>
  <si>
    <t>HONEYCREST ZEBO MICHELLE</t>
  </si>
  <si>
    <t>JERNZLM000000301561</t>
  </si>
  <si>
    <t>KONUI GLEN ADS BRIONY</t>
  </si>
  <si>
    <t>HOLUSAM000136279648</t>
  </si>
  <si>
    <t>ARETHUSA SS MERLIN</t>
  </si>
  <si>
    <t>HILLCROFT LEADER MELANIE</t>
  </si>
  <si>
    <t>HOLNLDM000395851926</t>
  </si>
  <si>
    <t>ELBERG 232</t>
  </si>
  <si>
    <t>ORCIVAL</t>
  </si>
  <si>
    <t>JAANTJE 283</t>
  </si>
  <si>
    <t>HOLNLDM000424333375</t>
  </si>
  <si>
    <t>MARS TRENTO</t>
  </si>
  <si>
    <t>BRFGBRM000000603149</t>
  </si>
  <si>
    <t>MRYNLDM000288447074</t>
  </si>
  <si>
    <t>DANIEL</t>
  </si>
  <si>
    <t>DINO</t>
  </si>
  <si>
    <t>HERMIEN 64</t>
  </si>
  <si>
    <t>HOLUSAM000132337980</t>
  </si>
  <si>
    <t>NOR-BERT CALYPSO-TW</t>
  </si>
  <si>
    <t>NORDIC HAVEN MTO CALICO ET</t>
  </si>
  <si>
    <t>HOLIRLM141846930732</t>
  </si>
  <si>
    <t>MOYVIDDY RUSTY</t>
  </si>
  <si>
    <t>MOYVIDDY ISLAND EVE 29</t>
  </si>
  <si>
    <t>MONFRAM003912920323</t>
  </si>
  <si>
    <t>REX</t>
  </si>
  <si>
    <t>NILBRAVA</t>
  </si>
  <si>
    <t>HOLAUSM000H01061468</t>
  </si>
  <si>
    <t>AULDREEKIE ADDISON VACUM</t>
  </si>
  <si>
    <t>E VANCE VIENNA</t>
  </si>
  <si>
    <t>DFRNLDM000387614607</t>
  </si>
  <si>
    <t>DOVEA ERMELO</t>
  </si>
  <si>
    <t>RIVELINO 434</t>
  </si>
  <si>
    <t>KATE 518</t>
  </si>
  <si>
    <t>RIVELINO 372</t>
  </si>
  <si>
    <t>HOLIRLM141163870687</t>
  </si>
  <si>
    <t>BALLYDEHOB ALBYN 687</t>
  </si>
  <si>
    <t>BALLYDEHOB ESZ JOYFUL</t>
  </si>
  <si>
    <t>HOLGBRM200924700537</t>
  </si>
  <si>
    <t>CATLANE MISSILE</t>
  </si>
  <si>
    <t>CATLANE TOPKEY MARINA</t>
  </si>
  <si>
    <t>BRFGBRM000000626176</t>
  </si>
  <si>
    <t>BLACKISLE CARDOW ET</t>
  </si>
  <si>
    <t>JERUSAM000111389227</t>
  </si>
  <si>
    <t>WOODSTOCK LLV LIEUTENANT</t>
  </si>
  <si>
    <t>BSWDEUM000932499973</t>
  </si>
  <si>
    <t>VINNER</t>
  </si>
  <si>
    <t>VINEB</t>
  </si>
  <si>
    <t>HERRIN</t>
  </si>
  <si>
    <t>STRIFAST</t>
  </si>
  <si>
    <t>HOLIRLM272004730749</t>
  </si>
  <si>
    <t>(IG) LYNBROOK FORTUNE</t>
  </si>
  <si>
    <t>LYNBROOK O MAN HEIDI</t>
  </si>
  <si>
    <t>HOLUSAM000136618182</t>
  </si>
  <si>
    <t>WINDY-KNOLL-VIEW PROOF ET</t>
  </si>
  <si>
    <t>JERDNKM000000302465</t>
  </si>
  <si>
    <t>HOLIRLM151549223838</t>
  </si>
  <si>
    <t>MOOREPARK OLLIE 838</t>
  </si>
  <si>
    <t>MOOREPARK HUGO ODETTE</t>
  </si>
  <si>
    <t>HOLIRLM211346871550</t>
  </si>
  <si>
    <t>CHURCHCLARA GOLDMINE</t>
  </si>
  <si>
    <t>CHURCHCLARA MALOY ROSE</t>
  </si>
  <si>
    <t>HOLDEUM000101346146</t>
  </si>
  <si>
    <t>GALTEE COMBAT ET</t>
  </si>
  <si>
    <t>CHAPEL-BANK APACHE</t>
  </si>
  <si>
    <t>HOLGBRM000000570436</t>
  </si>
  <si>
    <t>CRADENHILL PRO ROBIN ET</t>
  </si>
  <si>
    <t>HOLGBRM000000002908</t>
  </si>
  <si>
    <t>AVONDALE BELLBOY</t>
  </si>
  <si>
    <t>AVONDALE FALCON BELLE</t>
  </si>
  <si>
    <t>MEADOW BRIDGE FALCON</t>
  </si>
  <si>
    <t>HOLNZLM000000091254</t>
  </si>
  <si>
    <t>COASTLINE CARL VULCANNO</t>
  </si>
  <si>
    <t>COASTLINE JELLY BEAN</t>
  </si>
  <si>
    <t>HOLGBRM000000556282</t>
  </si>
  <si>
    <t>LYNBROOK TRAMAIN 2 ET</t>
  </si>
  <si>
    <t>CHC STARBUCK ERLE ET</t>
  </si>
  <si>
    <t>HOLNLDM000510234498</t>
  </si>
  <si>
    <t>VELDHEER 80</t>
  </si>
  <si>
    <t>PIETJE 299</t>
  </si>
  <si>
    <t>HOLNLDM000201855548</t>
  </si>
  <si>
    <t>VENERIETE GOLDEN TULIP 155</t>
  </si>
  <si>
    <t>VENERIETE JABOT SHERESE</t>
  </si>
  <si>
    <t>HOLUSAM000002283012</t>
  </si>
  <si>
    <t>MARKWELL BRILLIANT ET</t>
  </si>
  <si>
    <t>HOLGBRM000000531251</t>
  </si>
  <si>
    <t>JANECK CRACKER</t>
  </si>
  <si>
    <t>JANECK CHARM 7</t>
  </si>
  <si>
    <t>HOLDEUM001021358982</t>
  </si>
  <si>
    <t>GALTEE SCHULTZ ET</t>
  </si>
  <si>
    <t>EDDA</t>
  </si>
  <si>
    <t>HOLUSAM000002022844</t>
  </si>
  <si>
    <t>MD-SUNSET-VIEW NUGGET MARIE</t>
  </si>
  <si>
    <t>HOLFRAM005193001524</t>
  </si>
  <si>
    <t>PROGRESSIVE ITHAQUE</t>
  </si>
  <si>
    <t>HOLUSAM000002016590</t>
  </si>
  <si>
    <t>LAURALE NED BOY MICHAEL</t>
  </si>
  <si>
    <t>LAURA-LE PETE MISTY-ET</t>
  </si>
  <si>
    <t>HOLNLDM000298541634</t>
  </si>
  <si>
    <t>APINA FORTUNE</t>
  </si>
  <si>
    <t>APINA ETAZ ANNECY 3</t>
  </si>
  <si>
    <t>HOLGBRM000000537053</t>
  </si>
  <si>
    <t>WILTOR TORNADO</t>
  </si>
  <si>
    <t>HULLY HEBE 46</t>
  </si>
  <si>
    <t>MMB RIVERDOWN JESTER</t>
  </si>
  <si>
    <t>HOLDEUM001021135371</t>
  </si>
  <si>
    <t>SHINAGH HILLSTAR</t>
  </si>
  <si>
    <t>HANOVERHILL STARMANN ET</t>
  </si>
  <si>
    <t>LUCERNE 12</t>
  </si>
  <si>
    <t>HOLNLDM000811640446</t>
  </si>
  <si>
    <t>EASTLAND DAIRY MAN</t>
  </si>
  <si>
    <t>LYLEHAVEN ROTAT AMBIENCE</t>
  </si>
  <si>
    <t>HOLNLDM000854646906</t>
  </si>
  <si>
    <t>HOL-STIENS OMAR ET</t>
  </si>
  <si>
    <t>HOLNLDM000339290721</t>
  </si>
  <si>
    <t>DELTA PARALLAX</t>
  </si>
  <si>
    <t>DELTA CONTINUS</t>
  </si>
  <si>
    <t>NMDFRAM002247241820</t>
  </si>
  <si>
    <t>JUSTIN</t>
  </si>
  <si>
    <t>NUAGE 28</t>
  </si>
  <si>
    <t>MRYDEUM009010930508</t>
  </si>
  <si>
    <t>PERU</t>
  </si>
  <si>
    <t>BERNARDA'S PRINS</t>
  </si>
  <si>
    <t>EMMIE 29</t>
  </si>
  <si>
    <t>HOLNLDM000199745283</t>
  </si>
  <si>
    <t>Q G ESMERALDO</t>
  </si>
  <si>
    <t>JERUSAM000000657935</t>
  </si>
  <si>
    <t>B BELLS LESTER</t>
  </si>
  <si>
    <t>BRASS M BELLE</t>
  </si>
  <si>
    <t>HOLNLDM000278036932</t>
  </si>
  <si>
    <t>EASTLAND LOCUST</t>
  </si>
  <si>
    <t>EASTLAND FATINA 1487 ET</t>
  </si>
  <si>
    <t>HOLUSAM000061488634</t>
  </si>
  <si>
    <t>KINGS-RANSOM RMS EDUARDO-ET</t>
  </si>
  <si>
    <t>KINGS-RANSOM BULLET EUNICE</t>
  </si>
  <si>
    <t>RALENA BULLET-ET</t>
  </si>
  <si>
    <t>RDCNORM000000010115</t>
  </si>
  <si>
    <t>RAASTAD</t>
  </si>
  <si>
    <t>BRANDSTADMOEN</t>
  </si>
  <si>
    <t>HILSTAD</t>
  </si>
  <si>
    <t>NMDFRAM005361994516</t>
  </si>
  <si>
    <t>TRABAN</t>
  </si>
  <si>
    <t>PUCELLE</t>
  </si>
  <si>
    <t>HIGHLANDER</t>
  </si>
  <si>
    <t>HOLUSAM000135695137</t>
  </si>
  <si>
    <t>WA-DEL HAYDEN-ET</t>
  </si>
  <si>
    <t>DARLAWN MTOTO HONIBEA TV</t>
  </si>
  <si>
    <t>HOLUSAM000135797213</t>
  </si>
  <si>
    <t>LADSON ALTALADDIE-ET</t>
  </si>
  <si>
    <t>LADSON RUDOLPH DART</t>
  </si>
  <si>
    <t>HOLIRLM141643180761</t>
  </si>
  <si>
    <t>(IG) GLENNY HAYMOUNT</t>
  </si>
  <si>
    <t>GLENNY LLO HAYLEY</t>
  </si>
  <si>
    <t>HOLIRLM151549180503</t>
  </si>
  <si>
    <t>(IG) HILLSDALE RUDE JUSTICE</t>
  </si>
  <si>
    <t>HILLSDALE RUUD HEART 11</t>
  </si>
  <si>
    <t>HOLIRLM331015850812</t>
  </si>
  <si>
    <t>HOLIRLM151047810610</t>
  </si>
  <si>
    <t>HOLIRLM251389780554</t>
  </si>
  <si>
    <t>(IG) GLENROSE HARRY</t>
  </si>
  <si>
    <t>GLENROSE CAPAN DOROTHY</t>
  </si>
  <si>
    <t>HUSJET</t>
  </si>
  <si>
    <t>FAMOS</t>
  </si>
  <si>
    <t>HOLNLDM000415877174</t>
  </si>
  <si>
    <t>TIMMER CLIMAX</t>
  </si>
  <si>
    <t>HOLNZLM000000107562</t>
  </si>
  <si>
    <t>BRKEL DAUNTLESS PROXY S3F</t>
  </si>
  <si>
    <t>SRC RIVENDELL PAL AMANDA</t>
  </si>
  <si>
    <t>HOLIRLM191062191267</t>
  </si>
  <si>
    <t>(IG) GLENSILLAGH OMAN</t>
  </si>
  <si>
    <t>SHANDON SPOCK ANGELA</t>
  </si>
  <si>
    <t>HOLIRLM141893060975</t>
  </si>
  <si>
    <t>(IG) LEETOWN LUTHAR</t>
  </si>
  <si>
    <t>LEETOWN HRZ ANNA</t>
  </si>
  <si>
    <t>JERIRLM141857580721</t>
  </si>
  <si>
    <t>BRIDEVALLEY ROYAL PINE</t>
  </si>
  <si>
    <t>BRIDEVALLEY ROYAL RIVER</t>
  </si>
  <si>
    <t>HOLUSAM000135556243</t>
  </si>
  <si>
    <t>HOLIRLM371222510887</t>
  </si>
  <si>
    <t>(IG) CLONDER ANDRE</t>
  </si>
  <si>
    <t>CLONDER ZRR AOIFE</t>
  </si>
  <si>
    <t>HOLGBRM141652870714</t>
  </si>
  <si>
    <t>LAURELOAK PERON</t>
  </si>
  <si>
    <t>SUDESSE ELEGANCE ET</t>
  </si>
  <si>
    <t>HOLNLDM000110314547</t>
  </si>
  <si>
    <t>EASTLAND FIGARO</t>
  </si>
  <si>
    <t>EASTLAND GALA TL</t>
  </si>
  <si>
    <t>HOLGBRM000000632428</t>
  </si>
  <si>
    <t>BASSINGTHORPE BOSSMAN ET</t>
  </si>
  <si>
    <t>MORSAN STORMATIC BRENDA PI</t>
  </si>
  <si>
    <t>DFRDEUM001262318212</t>
  </si>
  <si>
    <t>HAK</t>
  </si>
  <si>
    <t>BELLA 266</t>
  </si>
  <si>
    <t>HYOTYLAN PIUHA</t>
  </si>
  <si>
    <t>FLAKA</t>
  </si>
  <si>
    <t>LOLA</t>
  </si>
  <si>
    <t>TERVANIEMEN YLKA</t>
  </si>
  <si>
    <t>RDCGBRM000006180828</t>
  </si>
  <si>
    <t>STRETTON TRIPLE PRIME</t>
  </si>
  <si>
    <t>STRETTON PRIMROSE</t>
  </si>
  <si>
    <t>BLACKADDAR MILK MACHINE</t>
  </si>
  <si>
    <t>HOLIRLM151700850411</t>
  </si>
  <si>
    <t>(IG) BALLINTOSIG RUDDY 411</t>
  </si>
  <si>
    <t>BALLINTOSIG SWR ANNIE 248</t>
  </si>
  <si>
    <t>HOLCANM000102459760</t>
  </si>
  <si>
    <t>SICY KNOWLEDGE</t>
  </si>
  <si>
    <t>FERRE JAMES KELLY</t>
  </si>
  <si>
    <t>HOLNLDM000352426503</t>
  </si>
  <si>
    <t>OLGAAN 165 TRIGGER</t>
  </si>
  <si>
    <t>OLGA 538</t>
  </si>
  <si>
    <t>HOLNZLM000000099286</t>
  </si>
  <si>
    <t>STIRLING PERRY APRIL</t>
  </si>
  <si>
    <t>LONG-HAVEN TRADITI PERRY-ET</t>
  </si>
  <si>
    <t>HOLNLDM000288458773</t>
  </si>
  <si>
    <t>DELTA CANBERRA</t>
  </si>
  <si>
    <t>OVA</t>
  </si>
  <si>
    <t>MONFRAM000198014324</t>
  </si>
  <si>
    <t>JUDITH</t>
  </si>
  <si>
    <t>DFRNLDM000380559596</t>
  </si>
  <si>
    <t>JETZE 7</t>
  </si>
  <si>
    <t>JET 113</t>
  </si>
  <si>
    <t>HOLUSAM000121407948</t>
  </si>
  <si>
    <t>CARNATION FREEDOM CRI ET</t>
  </si>
  <si>
    <t>PLUSHANSKI HOLI FIASCO ET</t>
  </si>
  <si>
    <t>HOLIRLM141411730951</t>
  </si>
  <si>
    <t>KILGARRIFFE OMAN 5TH</t>
  </si>
  <si>
    <t>KILGARRIFFE FANNY 2</t>
  </si>
  <si>
    <t>HOLIRLM351168492214</t>
  </si>
  <si>
    <t>LAURAGH ESTER KAIAPOI</t>
  </si>
  <si>
    <t>LAURAGH SPW ESTER</t>
  </si>
  <si>
    <t>HOLUSAM000060869179</t>
  </si>
  <si>
    <t>PALMCREST FORBID BOWEN-ET</t>
  </si>
  <si>
    <t>HOLIRLM151878320068</t>
  </si>
  <si>
    <t>ASSOLAS ABEL</t>
  </si>
  <si>
    <t>VITAS SABRINA 12</t>
  </si>
  <si>
    <t>HOLUSAM000126853007</t>
  </si>
  <si>
    <t>B-HIDDENHILLS MAR MARMAX-ET</t>
  </si>
  <si>
    <t>NEYER MOMENTUM MAXY-ET</t>
  </si>
  <si>
    <t>HOLUSAM000128790586</t>
  </si>
  <si>
    <t>VANTAGE PT MERCHANT</t>
  </si>
  <si>
    <t>MURANDA LORD LOLA-ET</t>
  </si>
  <si>
    <t>DFRNLDM000383105291</t>
  </si>
  <si>
    <t>ARKEMHEEN 97 BERTUS</t>
  </si>
  <si>
    <t>HILLIE 66</t>
  </si>
  <si>
    <t>ARKEMHEEN 49</t>
  </si>
  <si>
    <t>BRFGBRM000000620133</t>
  </si>
  <si>
    <t>BLACKISLE KILMUIR ET</t>
  </si>
  <si>
    <t>BLACKISLE LAURA 9</t>
  </si>
  <si>
    <t>HOLIRLM141824461264</t>
  </si>
  <si>
    <t>CNOCEEN BUNT RUUD</t>
  </si>
  <si>
    <t>CNOCEEN MBH BUNTY</t>
  </si>
  <si>
    <t>HOLCANM000007329252</t>
  </si>
  <si>
    <t>GILLETTE FINAL CUT</t>
  </si>
  <si>
    <t>BRAEDALE SECOND CUT</t>
  </si>
  <si>
    <t>HOLIRLM191309270856</t>
  </si>
  <si>
    <t>GORTBRACH NIGEL</t>
  </si>
  <si>
    <t>GORTBRACH GMI NATALIE</t>
  </si>
  <si>
    <t>HOLIRLM331018920571</t>
  </si>
  <si>
    <t>BALLYKINASH FINTAN</t>
  </si>
  <si>
    <t>BALLYKINASH HWT DAISY</t>
  </si>
  <si>
    <t>RDCNORM000000005620</t>
  </si>
  <si>
    <t>GJERLAUG</t>
  </si>
  <si>
    <t>ASORA</t>
  </si>
  <si>
    <t>M.SKJERVE</t>
  </si>
  <si>
    <t>HOLIRLM351066150619</t>
  </si>
  <si>
    <t>CURRA MCL CONOR</t>
  </si>
  <si>
    <t>NMDFRAM005004080148</t>
  </si>
  <si>
    <t>ROTIN</t>
  </si>
  <si>
    <t>IDEALE</t>
  </si>
  <si>
    <t>HOLIRLM151549190438</t>
  </si>
  <si>
    <t>HILLSDALE LILAS HARRIET</t>
  </si>
  <si>
    <t>HOLIRLM191181730751</t>
  </si>
  <si>
    <t>LEAGH BALER ET</t>
  </si>
  <si>
    <t>DFRNLDM000386055230</t>
  </si>
  <si>
    <t>DOVEA NORBERT 115</t>
  </si>
  <si>
    <t>EMMY 159</t>
  </si>
  <si>
    <t>HOLITAM097500007762</t>
  </si>
  <si>
    <t>STABILO ET CVF BLF AA</t>
  </si>
  <si>
    <t>QUEEN RED</t>
  </si>
  <si>
    <t>HOLNLDM000341882275</t>
  </si>
  <si>
    <t>GUSTI 42</t>
  </si>
  <si>
    <t>HOLIRLM241415360784</t>
  </si>
  <si>
    <t>BOSNETSTOWN MASCOL</t>
  </si>
  <si>
    <t>BOSNETSTOWN SUNNY JULIA 4</t>
  </si>
  <si>
    <t>TOP ACRES BRINKS ET</t>
  </si>
  <si>
    <t>R HART CHRISTIANS PRIDE</t>
  </si>
  <si>
    <t>TOP ACRES EVEN BOUNTY</t>
  </si>
  <si>
    <t>HOLGBRM000000617267</t>
  </si>
  <si>
    <t>COGENT MTOTO ELAINE</t>
  </si>
  <si>
    <t>HOLCANM000009428124</t>
  </si>
  <si>
    <t>STANTONS SIDNEY</t>
  </si>
  <si>
    <t>HOLIRLM141163820765</t>
  </si>
  <si>
    <t>BALLYDEHOB ROY 765</t>
  </si>
  <si>
    <t>BALLYDEHOB OJI JOYFUL</t>
  </si>
  <si>
    <t>BRFGBRM000000629266</t>
  </si>
  <si>
    <t>WINNOCH UMPIRE ET</t>
  </si>
  <si>
    <t>DRIPPS RIO</t>
  </si>
  <si>
    <t>HOLFRAM003704258170</t>
  </si>
  <si>
    <t>URION DRI</t>
  </si>
  <si>
    <t>DFRDEUM001262338022</t>
  </si>
  <si>
    <t>LARUS</t>
  </si>
  <si>
    <t>NEUE</t>
  </si>
  <si>
    <t>MONFRAM003997017790</t>
  </si>
  <si>
    <t>NERAC JB</t>
  </si>
  <si>
    <t>HELVETE</t>
  </si>
  <si>
    <t>HOLIRLM272004720525</t>
  </si>
  <si>
    <t>LYNBROOK CASCADE 6</t>
  </si>
  <si>
    <t>LYNBROOK CORKY JOELLE ET</t>
  </si>
  <si>
    <t>HOLIRLM151597570480</t>
  </si>
  <si>
    <t>PINEVILLE HUGO</t>
  </si>
  <si>
    <t>PINEVILLE BELVEDERE PANSY</t>
  </si>
  <si>
    <t>HOLGBRM000000597258</t>
  </si>
  <si>
    <t>JOYLAN ROXELL</t>
  </si>
  <si>
    <t>JOYLAN JED ROX</t>
  </si>
  <si>
    <t>HOLGBRM000000527511</t>
  </si>
  <si>
    <t>MARLAIS HEREWARD</t>
  </si>
  <si>
    <t>BREDAKER</t>
  </si>
  <si>
    <t>TORPANE</t>
  </si>
  <si>
    <t>KRONA 93</t>
  </si>
  <si>
    <t>HV IBRIT</t>
  </si>
  <si>
    <t>RDCSWEM000000093082</t>
  </si>
  <si>
    <t>TRON</t>
  </si>
  <si>
    <t>ANTTILAN MEHTARI</t>
  </si>
  <si>
    <t>HOLNZLM000000663967</t>
  </si>
  <si>
    <t>SRD HIBI CELSIUS EUDORA</t>
  </si>
  <si>
    <t>HOLIRLM141654222682</t>
  </si>
  <si>
    <t>(IG) KILLINGLEY BERNARD</t>
  </si>
  <si>
    <t>KILLINGLEY EXCELLENCY BARBARA</t>
  </si>
  <si>
    <t>HOLIRLM151549264625</t>
  </si>
  <si>
    <t>(IG) MOOREPARK FESTIVAL</t>
  </si>
  <si>
    <t>MOOREPARK KLASSIC FESTIVAL</t>
  </si>
  <si>
    <t>HOLIRLM151549244912</t>
  </si>
  <si>
    <t>(IG) MOOREPARK FRANK</t>
  </si>
  <si>
    <t>MOOREPARK MBH FESTIVAL</t>
  </si>
  <si>
    <t>HOLCANM000103631566</t>
  </si>
  <si>
    <t>CRACKHOLM FEVER</t>
  </si>
  <si>
    <t>CRACKHOLM EMORY FASHION</t>
  </si>
  <si>
    <t>HOLGBRM000000627769</t>
  </si>
  <si>
    <t>WOODMARSH TOPSHOT PI ET</t>
  </si>
  <si>
    <t>HOLUSAM000052475501</t>
  </si>
  <si>
    <t>LARCREST GENUINE-ET</t>
  </si>
  <si>
    <t>HOLUSAM000066499597</t>
  </si>
  <si>
    <t>MR BURNS MAXWELL-RED-ET</t>
  </si>
  <si>
    <t>HARVUE TALENT MOLLIE</t>
  </si>
  <si>
    <t>HOLIRLM291389050583</t>
  </si>
  <si>
    <t>(IG) ARDNASALEM SEVEN ET</t>
  </si>
  <si>
    <t>MONAMORE OMAN RAVEN ET</t>
  </si>
  <si>
    <t>HOLCANM000007588022</t>
  </si>
  <si>
    <t>HOLUSAM000062494312</t>
  </si>
  <si>
    <t>CANYON-BREEZE ALASKA-ET</t>
  </si>
  <si>
    <t>CANYON-BREEZE MAR ADDISON</t>
  </si>
  <si>
    <t>JERUSAM000114656658</t>
  </si>
  <si>
    <t>FAIRWAY KLIPPER-ET</t>
  </si>
  <si>
    <t>EASTGLEN ALF KLASSIC-ET</t>
  </si>
  <si>
    <t>SCHULTZ HALLMARK KITTEN</t>
  </si>
  <si>
    <t>HOLCANM000009808506</t>
  </si>
  <si>
    <t>RAINYRIDGE PERSEUS</t>
  </si>
  <si>
    <t>RAINYRIDGE TALENT BARBARA</t>
  </si>
  <si>
    <t>HOLGBRM000000628460</t>
  </si>
  <si>
    <t>GALASTAR BLUESKY ET</t>
  </si>
  <si>
    <t>WREAKESIDE JB OLA 3</t>
  </si>
  <si>
    <t>RDCSWEM000000091804</t>
  </si>
  <si>
    <t>LAURILAN IPOLLO</t>
  </si>
  <si>
    <t>154 BRUNTA</t>
  </si>
  <si>
    <t>UJY MABRU</t>
  </si>
  <si>
    <t>HOLGBRM000000646151</t>
  </si>
  <si>
    <t>HOLCANM000103455217</t>
  </si>
  <si>
    <t>COMESTAR LAUTELMA IGNITER</t>
  </si>
  <si>
    <t>JERNZLM000000310029</t>
  </si>
  <si>
    <t>HIBELLS LNT HIGHLIGHT S2J</t>
  </si>
  <si>
    <t>LYNBROOK NEVVY TARGET S3J</t>
  </si>
  <si>
    <t>HIBELLS NOON STAR S2J</t>
  </si>
  <si>
    <t>SHEPHERDS NOONTIME</t>
  </si>
  <si>
    <t>HOLNLDM000523841016</t>
  </si>
  <si>
    <t>MARS TOTILAS</t>
  </si>
  <si>
    <t>MARS FROUKJE 376</t>
  </si>
  <si>
    <t>HOLNZLM000000509058</t>
  </si>
  <si>
    <t>BOURKES BONANZA</t>
  </si>
  <si>
    <t>JERNZLM000000510014</t>
  </si>
  <si>
    <t>HOLUSAM000131184495</t>
  </si>
  <si>
    <t>JEWELED-ACRES SHARKY-ET</t>
  </si>
  <si>
    <t>JEWELED ACRES PCE PATTI ET</t>
  </si>
  <si>
    <t>HOLNZLM000000108220</t>
  </si>
  <si>
    <t>HAZAEL RNGADE DECISION-ET</t>
  </si>
  <si>
    <t>HOLNZLM000000108044</t>
  </si>
  <si>
    <t>WOODCOTE DAVE MEL</t>
  </si>
  <si>
    <t>HOLNZLM000000108056</t>
  </si>
  <si>
    <t>MORTENSENS GR ARES-ET S3F</t>
  </si>
  <si>
    <t>HOLIRLM272004710838</t>
  </si>
  <si>
    <t>LYNBROOK GARLAND</t>
  </si>
  <si>
    <t>LYNBROOK OMAN HEIDI 2</t>
  </si>
  <si>
    <t>HOLIRLM272004760867</t>
  </si>
  <si>
    <t>LYNBROOK RAKUNA</t>
  </si>
  <si>
    <t>NMDFRAM002951401444</t>
  </si>
  <si>
    <t>LOVIA</t>
  </si>
  <si>
    <t>SOLANGE</t>
  </si>
  <si>
    <t>HOLUSAM000062085114</t>
  </si>
  <si>
    <t>BOSSIDE ALTAROSS-ET</t>
  </si>
  <si>
    <t>BOSSIDE BOSS ROSIE</t>
  </si>
  <si>
    <t>HOLIRLM141654212707</t>
  </si>
  <si>
    <t>(IG) KILLINGLEY XB BARRY</t>
  </si>
  <si>
    <t>HOLIRLM351168443199</t>
  </si>
  <si>
    <t>LAURAGH MAU HILDA</t>
  </si>
  <si>
    <t>HOLIRLM141847280345</t>
  </si>
  <si>
    <t>(IG) SWEETFIELD CHARLIE</t>
  </si>
  <si>
    <t>SHANDANGAN SARA 20</t>
  </si>
  <si>
    <t>HOLIRLM351168433347</t>
  </si>
  <si>
    <t>(IG) LAURAGH LEGAND</t>
  </si>
  <si>
    <t>LAURAGH CWJ JILL</t>
  </si>
  <si>
    <t>HOLFRAM002219041776</t>
  </si>
  <si>
    <t>MODESTY 25</t>
  </si>
  <si>
    <t>HOLUSAM000139086241</t>
  </si>
  <si>
    <t>HOLIRLM261006983241</t>
  </si>
  <si>
    <t>(IG) MONAMORE ELECTRON</t>
  </si>
  <si>
    <t>MONAMORE DURHAM ELLYMAE ET</t>
  </si>
  <si>
    <t>HOLGBRM000000643042</t>
  </si>
  <si>
    <t>ARDS SKIPPER RED ET</t>
  </si>
  <si>
    <t>RIDGEFIELD TALENT SARA RED</t>
  </si>
  <si>
    <t>HOLNLDM000894930856</t>
  </si>
  <si>
    <t>WILLEM'S HOEVE R TERRY (NLD)</t>
  </si>
  <si>
    <t>WILLEM'S HOEVE RITA 9309 RC</t>
  </si>
  <si>
    <t>HOLUSAM000064872951</t>
  </si>
  <si>
    <t>SCHAULANE BOLIVER BRANDI-ET</t>
  </si>
  <si>
    <t>HOLIRLM351029531097</t>
  </si>
  <si>
    <t>SHANGAN CAMERON 3</t>
  </si>
  <si>
    <t>SHANGAN HELLENA 11</t>
  </si>
  <si>
    <t>REARY ADAM</t>
  </si>
  <si>
    <t>MONFRAM005624902689</t>
  </si>
  <si>
    <t>EFENDI</t>
  </si>
  <si>
    <t>RAPALLO</t>
  </si>
  <si>
    <t>VERONE</t>
  </si>
  <si>
    <t>MONFRAM002521886883</t>
  </si>
  <si>
    <t>DAHON</t>
  </si>
  <si>
    <t>SCOOP</t>
  </si>
  <si>
    <t>BATAVIA</t>
  </si>
  <si>
    <t>PLUMITIF</t>
  </si>
  <si>
    <t>MONFRAM003802607647</t>
  </si>
  <si>
    <t>UROCHER</t>
  </si>
  <si>
    <t>MONFRAF003</t>
  </si>
  <si>
    <t>MONFRAM005235251483</t>
  </si>
  <si>
    <t>REVEE</t>
  </si>
  <si>
    <t>HOLNLDM000345645432</t>
  </si>
  <si>
    <t>GUSTI 54</t>
  </si>
  <si>
    <t>PEELFARM RENS</t>
  </si>
  <si>
    <t>HOLIRLM141902510883</t>
  </si>
  <si>
    <t>(IG) ENAGLOU XB GOLD</t>
  </si>
  <si>
    <t>ENAGLOU SWAMO ASTER</t>
  </si>
  <si>
    <t>HOLIRLM211078783300</t>
  </si>
  <si>
    <t>(IG) OWNING XB EUROPE</t>
  </si>
  <si>
    <t>OWNING DULL MARCHIONESS 2</t>
  </si>
  <si>
    <t>JERNZLM000000508154</t>
  </si>
  <si>
    <t>JERNZLM000000308057</t>
  </si>
  <si>
    <t>RIGTERS OM TUNGSTEN</t>
  </si>
  <si>
    <t>GLENUI SAMS POPEYE SJ3</t>
  </si>
  <si>
    <t>HOLGBRM000000641227</t>
  </si>
  <si>
    <t>SAHARA TOPMAN</t>
  </si>
  <si>
    <t>KUPON SHOT REGENIA 7</t>
  </si>
  <si>
    <t>HOLCANM000101431985</t>
  </si>
  <si>
    <t>LA PRESENTATION DENZEL</t>
  </si>
  <si>
    <t>LA PRESENTATION DANOISE</t>
  </si>
  <si>
    <t>HOLFRAM002253771905</t>
  </si>
  <si>
    <t>VIA THELO</t>
  </si>
  <si>
    <t>TELE</t>
  </si>
  <si>
    <t>LORAK*CV</t>
  </si>
  <si>
    <t>MONFRAM007040683346</t>
  </si>
  <si>
    <t>ULLIAD</t>
  </si>
  <si>
    <t>MANETTE</t>
  </si>
  <si>
    <t>HOLGBRM000000635152</t>
  </si>
  <si>
    <t>BLACKISLE GARVE ET</t>
  </si>
  <si>
    <t>JERNZLM000000308045</t>
  </si>
  <si>
    <t>RIGTERS SN TUFFY</t>
  </si>
  <si>
    <t>ABERLOUR BLAKES TURTLE</t>
  </si>
  <si>
    <t>JERNZLM000000308044</t>
  </si>
  <si>
    <t>WILLIAMS TGM LUMINOUS ET</t>
  </si>
  <si>
    <t>WILLIAMS LADS LUCK</t>
  </si>
  <si>
    <t>HOLIRLM151567490676</t>
  </si>
  <si>
    <t>(IG) BALLYBROOK MANFRED RAMOS</t>
  </si>
  <si>
    <t>BALLYBROOK BEAUTY MANFRED</t>
  </si>
  <si>
    <t>HOLIRLM331463810511</t>
  </si>
  <si>
    <t>COOLEENBEE RIP WILL</t>
  </si>
  <si>
    <t>HOLIRLM141898841261</t>
  </si>
  <si>
    <t>(IG) CLONMOYLE HATCHET</t>
  </si>
  <si>
    <t>CLONMOYLE GMI MICHELLE</t>
  </si>
  <si>
    <t>HOLIRLM151623461838</t>
  </si>
  <si>
    <t>(IG) BALLYBRIDE PAL</t>
  </si>
  <si>
    <t>BALLYBRIDE HZO AVRIL</t>
  </si>
  <si>
    <t>HOLIRLM151159291029</t>
  </si>
  <si>
    <t>(IG) KILCOLMAN RANDAL</t>
  </si>
  <si>
    <t>KILCOLMAN OMAN NIPPY</t>
  </si>
  <si>
    <t>DFRNLDM000499198725</t>
  </si>
  <si>
    <t>DOVEA MAESTRO</t>
  </si>
  <si>
    <t>MARTHA 101</t>
  </si>
  <si>
    <t>RIVELINO 382</t>
  </si>
  <si>
    <t>HOLUSAM000061365462</t>
  </si>
  <si>
    <t>PINE-TREE MISSY MYLES-ET</t>
  </si>
  <si>
    <t>WESSWOOD HC RUDY MISSY ET</t>
  </si>
  <si>
    <t>RDCGBRM000006180947</t>
  </si>
  <si>
    <t>ARDMORE CROWN NAPIER</t>
  </si>
  <si>
    <t>MCCORNICK NEPETA 3</t>
  </si>
  <si>
    <t>BLACKADDAR M M PATRICK</t>
  </si>
  <si>
    <t>HOLIRLM211180311404</t>
  </si>
  <si>
    <t>(IG) FIRODA ODYSSEY 5</t>
  </si>
  <si>
    <t>FIRODA SVD TWINK 2</t>
  </si>
  <si>
    <t>HOLIRLM241045430918</t>
  </si>
  <si>
    <t>(IG) FARMCASTLE CAMELOT</t>
  </si>
  <si>
    <t>HOLIRLM331504620350</t>
  </si>
  <si>
    <t>KEVINSFORT OJI VERA 1</t>
  </si>
  <si>
    <t>HOLIRLM141163810871</t>
  </si>
  <si>
    <t>(IG) BALLYDEHOB TUCANO 871</t>
  </si>
  <si>
    <t>ALTA TUCANO</t>
  </si>
  <si>
    <t>BALLYDEHOB ANGEL OMAN</t>
  </si>
  <si>
    <t>HOLIRLM331504630434</t>
  </si>
  <si>
    <t>KEVINSFORT GIO HAZE</t>
  </si>
  <si>
    <t>HOLNZLM000000106216</t>
  </si>
  <si>
    <t>WHINLEA NOM SOLUTION-ET</t>
  </si>
  <si>
    <t>HOLUSAM000062030774</t>
  </si>
  <si>
    <t>COLDSPRINGS GARNETT CRI-ET</t>
  </si>
  <si>
    <t>COLDSPRINGS PATRON GENIE-ET</t>
  </si>
  <si>
    <t>HOLIRLM211137320530</t>
  </si>
  <si>
    <t>(IG) SESKIN RORY</t>
  </si>
  <si>
    <t>HOLNZLM000000108132</t>
  </si>
  <si>
    <t>SIR BLAYMIRE NORMAN S1F</t>
  </si>
  <si>
    <t>HOLNZLM000000508120</t>
  </si>
  <si>
    <t>GLANYMORS PINBALL WIZARD</t>
  </si>
  <si>
    <t>HOLIRLM151567460681</t>
  </si>
  <si>
    <t>(IG) BALLYBROOK RAY MANFRED</t>
  </si>
  <si>
    <t>BALLYBROOK BERTHA JUSTICE</t>
  </si>
  <si>
    <t>HOLUSAM000062253394</t>
  </si>
  <si>
    <t>UFM-DUBS SAM ERIN</t>
  </si>
  <si>
    <t>RDCNORM000000010402</t>
  </si>
  <si>
    <t>BOSNES</t>
  </si>
  <si>
    <t>GALDE</t>
  </si>
  <si>
    <t>BRFGBRM000000634581</t>
  </si>
  <si>
    <t>CATLANE CARL</t>
  </si>
  <si>
    <t>HOLGBRM000000638481</t>
  </si>
  <si>
    <t>LANGLEY BERKLEY</t>
  </si>
  <si>
    <t>BLACKISLE BERTHA 11</t>
  </si>
  <si>
    <t>CULVERNESS SEALORD</t>
  </si>
  <si>
    <t>HOLGBRM000000627826</t>
  </si>
  <si>
    <t>DALBYTOP SUPERSONIC</t>
  </si>
  <si>
    <t>HOLIRLM151379913484</t>
  </si>
  <si>
    <t>(IG) VELVETSTOWN XB DIRECTOR</t>
  </si>
  <si>
    <t>KLASSIC DIRECTOR</t>
  </si>
  <si>
    <t>JERNZLM000000306001</t>
  </si>
  <si>
    <t>OKURA OM IDEAL</t>
  </si>
  <si>
    <t>HOL840M003004886506</t>
  </si>
  <si>
    <t>ROSYLANE-LLC ALTAGR8M8</t>
  </si>
  <si>
    <t>ROSYLANE-LLC RAMOS 3333</t>
  </si>
  <si>
    <t>HOLIRLM241128341573</t>
  </si>
  <si>
    <t>(IG) BALLYHOURA XB 425 NORMAN</t>
  </si>
  <si>
    <t>HOLUSAM000137012381</t>
  </si>
  <si>
    <t>R-E-W SEAVER-ET</t>
  </si>
  <si>
    <t>MORNINGVIEW DRH SANTA-ET</t>
  </si>
  <si>
    <t>HOLNZLM000000106194</t>
  </si>
  <si>
    <t>SRC WEBBLEA OBS BECCI</t>
  </si>
  <si>
    <t>HOLUSAM000133114821</t>
  </si>
  <si>
    <t>MR DERRY PROMOTION</t>
  </si>
  <si>
    <t>HOLUSAM000062744601</t>
  </si>
  <si>
    <t>REGANCREST MAC BEDFORD-ET</t>
  </si>
  <si>
    <t>HOLIRLM351056490934</t>
  </si>
  <si>
    <t>(IG) STEEPLEVIEW XB JESTER</t>
  </si>
  <si>
    <t>HOLUSAM000061643016</t>
  </si>
  <si>
    <t>LOT-O-ROK OMAN JAKE-ET</t>
  </si>
  <si>
    <t>LOT-O-ROK MARSHALL GISELE</t>
  </si>
  <si>
    <t>HOLIRLM351168413254</t>
  </si>
  <si>
    <t>(IG) LAURAGH XB WEST</t>
  </si>
  <si>
    <t>HOLIRLM151548520966</t>
  </si>
  <si>
    <t>(IG) COOLMOHAN LILNAUTICAL</t>
  </si>
  <si>
    <t>COOLMOHAN LILY 4</t>
  </si>
  <si>
    <t>REARY NORTON</t>
  </si>
  <si>
    <t>HOLIRLM272004720847</t>
  </si>
  <si>
    <t>(IG) LYNBROOK SULTAN C</t>
  </si>
  <si>
    <t>MRYDEUM000113535760</t>
  </si>
  <si>
    <t>REBROFF</t>
  </si>
  <si>
    <t>WILMA</t>
  </si>
  <si>
    <t>HOLUSAM000135722161</t>
  </si>
  <si>
    <t>WINDSOR-MANOR Z-DUKE-ET</t>
  </si>
  <si>
    <t>HOLNLDM000384379291</t>
  </si>
  <si>
    <t>PONSSTAR SHOGUN</t>
  </si>
  <si>
    <t>PONSST SHANIA</t>
  </si>
  <si>
    <t>JERCANM000009240969</t>
  </si>
  <si>
    <t>WILLOA LILIBET RENAISSANCE ET</t>
  </si>
  <si>
    <t>HOLGBRM000000650132</t>
  </si>
  <si>
    <t>MOET FOLIO</t>
  </si>
  <si>
    <t>MORNINGVIEW LEGEND-ET</t>
  </si>
  <si>
    <t>MOET LAUDAN PUGOLO A</t>
  </si>
  <si>
    <t>RDCGBRM000006180870</t>
  </si>
  <si>
    <t>CHANGUE BACK UP</t>
  </si>
  <si>
    <t>CHANGUE CELANDINE 35</t>
  </si>
  <si>
    <t>HOLNZLM000000110064</t>
  </si>
  <si>
    <t>MAIRE PF GOLDIE S1F</t>
  </si>
  <si>
    <t>LAKESIDE PG GOLDIE-ET</t>
  </si>
  <si>
    <t>HOLIRLM281027370590</t>
  </si>
  <si>
    <t>(IG) KNOCKCAIS TOSSY</t>
  </si>
  <si>
    <t>KNOCKCAIS BART THELMA</t>
  </si>
  <si>
    <t>HOLIRLM151700820474</t>
  </si>
  <si>
    <t>(IG) BALLINTOSIG ANDREW</t>
  </si>
  <si>
    <t>HOLIRLM331015891013</t>
  </si>
  <si>
    <t>DERRINSALLOW ANN 013 DARREN</t>
  </si>
  <si>
    <t>DERRINSALLOW ANN706</t>
  </si>
  <si>
    <t>HOLGBRM000000644841</t>
  </si>
  <si>
    <t>PREHEN OMEN ET</t>
  </si>
  <si>
    <t>PREHEN GOLDWYN FROUKJE ET</t>
  </si>
  <si>
    <t>HOLNZLM000000110044</t>
  </si>
  <si>
    <t>WHAKAHORA MS WARRIOR S1F</t>
  </si>
  <si>
    <t>HOLNZLM000000110070</t>
  </si>
  <si>
    <t>VALDEN PF PINNACLE S3F</t>
  </si>
  <si>
    <t>VALDEN ELSTO PINNACLE</t>
  </si>
  <si>
    <t>HOLIRLM151595660937</t>
  </si>
  <si>
    <t>BRIDESTOWN KIAN</t>
  </si>
  <si>
    <t>HOLIRLM221354260558</t>
  </si>
  <si>
    <t>(IG) BARROWVALE ODESSY 2</t>
  </si>
  <si>
    <t>BARROWVALE SABRINA 25</t>
  </si>
  <si>
    <t>HOLNZLM000000110033</t>
  </si>
  <si>
    <t>TE ATATU SUMMIT ZANE S1F</t>
  </si>
  <si>
    <t>ZANEY</t>
  </si>
  <si>
    <t>HOLIRLM191080540865</t>
  </si>
  <si>
    <t>GLENROAD EIGHT</t>
  </si>
  <si>
    <t>HOLUSAM000137804641</t>
  </si>
  <si>
    <t>CORDES-MAID STONEWALL-ET</t>
  </si>
  <si>
    <t>CORDES-MAID DURHAM ANGEL</t>
  </si>
  <si>
    <t>HOLNZLM000000109538</t>
  </si>
  <si>
    <t>HSS VHA LOCHINVAR-ET S3F</t>
  </si>
  <si>
    <t>WAIPIRI OMAN LIZA</t>
  </si>
  <si>
    <t>HOLFRAM003704250470</t>
  </si>
  <si>
    <t>SEDAN</t>
  </si>
  <si>
    <t>TORIDE</t>
  </si>
  <si>
    <t>JERCANM000102944844</t>
  </si>
  <si>
    <t>LENCREST ON TARGET -ET</t>
  </si>
  <si>
    <t>HOLUSAM000140697667</t>
  </si>
  <si>
    <t>EVER-GREEN-VIEW ARGON-ET</t>
  </si>
  <si>
    <t>LAR-LAN KK GWYN ANGELINA-ET</t>
  </si>
  <si>
    <t>HOLCANM000010918099</t>
  </si>
  <si>
    <t>BENNER BANANA</t>
  </si>
  <si>
    <t>MAPEL WOOD BAXTER BETHANY</t>
  </si>
  <si>
    <t>HOLUSAM000068656210</t>
  </si>
  <si>
    <t>DE-SU CASSINO FATHOM 629-ET</t>
  </si>
  <si>
    <t>LANGS-TWIN-B CR CASSINO-ET</t>
  </si>
  <si>
    <t>VISION-GEN OMAN FANTASA-ET</t>
  </si>
  <si>
    <t>JERNZLM000000306549</t>
  </si>
  <si>
    <t>OKURA CASPERS MERMAID</t>
  </si>
  <si>
    <t>JERIRLM191177270675</t>
  </si>
  <si>
    <t>DYSERT BOSS</t>
  </si>
  <si>
    <t>HOLCANM000009782021</t>
  </si>
  <si>
    <t>STONEDEN REDSHOT</t>
  </si>
  <si>
    <t>MONFRAM004952367575</t>
  </si>
  <si>
    <t>ALPIN JB</t>
  </si>
  <si>
    <t>SAVOIE</t>
  </si>
  <si>
    <t>OCTET JB</t>
  </si>
  <si>
    <t>MONFRAM004926338961</t>
  </si>
  <si>
    <t>FUNKY JB</t>
  </si>
  <si>
    <t>ALIZEE</t>
  </si>
  <si>
    <t>HOLIRLM272004710937</t>
  </si>
  <si>
    <t>LYNBROOK SPLENDOR ET</t>
  </si>
  <si>
    <t>NMDFRAM005348935251</t>
  </si>
  <si>
    <t>CARAMBA</t>
  </si>
  <si>
    <t>VENDETTA</t>
  </si>
  <si>
    <t>HOLIRLM241024241030</t>
  </si>
  <si>
    <t>DUNUM HELMUT ET</t>
  </si>
  <si>
    <t>RELACHS</t>
  </si>
  <si>
    <t>LAFFETTE</t>
  </si>
  <si>
    <t>LAKI</t>
  </si>
  <si>
    <t>HOLDEUM000349963611</t>
  </si>
  <si>
    <t>GOLDINO</t>
  </si>
  <si>
    <t>KJH ELUNA</t>
  </si>
  <si>
    <t>HOLUSAM000053774748</t>
  </si>
  <si>
    <t>RALMA ALTACHAIRMAN-ET</t>
  </si>
  <si>
    <t>NMDFRAM003531547282</t>
  </si>
  <si>
    <t>VIVECO</t>
  </si>
  <si>
    <t>PANDIE</t>
  </si>
  <si>
    <t>HOLNZLM000000110013</t>
  </si>
  <si>
    <t>DICKSONS PF INFERNO S1F</t>
  </si>
  <si>
    <t>DICKSONS FLU IRIS-OC S1F</t>
  </si>
  <si>
    <t>HOLNZLM000000110038</t>
  </si>
  <si>
    <t>BOYCES VA BATTLER S2F</t>
  </si>
  <si>
    <t>HOLUSAM000063082373</t>
  </si>
  <si>
    <t>MR VISION-GEN ALTACLINT-ET</t>
  </si>
  <si>
    <t>SPRINGWAY FINLEY CLARISA-ET</t>
  </si>
  <si>
    <t>JERUSAM000114845461</t>
  </si>
  <si>
    <t>MAACK DAIRY ECLIPES-P-ET</t>
  </si>
  <si>
    <t>MILLSTREAM HENERY ETTA BELLE-P</t>
  </si>
  <si>
    <t>D&amp;E HENERY-P</t>
  </si>
  <si>
    <t>HOLIRLM191942290947</t>
  </si>
  <si>
    <t>(IG) SLIEVERUE MANOR</t>
  </si>
  <si>
    <t>SLIEVERUE OLIVIA 10</t>
  </si>
  <si>
    <t>HOLNZLM000000510056</t>
  </si>
  <si>
    <t>HANDS SOLO</t>
  </si>
  <si>
    <t>HOLNZLM000000110072</t>
  </si>
  <si>
    <t>TRALEE HD RIPPA-ET S3F</t>
  </si>
  <si>
    <t>TRALEE 07-158 S2F</t>
  </si>
  <si>
    <t>HOLUSAM000066960987</t>
  </si>
  <si>
    <t>MR ANDIS ALTAEXTREME</t>
  </si>
  <si>
    <t>MS ANDIS SHOTTLE ANEEDA-ET</t>
  </si>
  <si>
    <t>HOLIRLM141442650776</t>
  </si>
  <si>
    <t>(IG) COURTMAC RAMOS TYSON</t>
  </si>
  <si>
    <t>COURTMAC BRIEZ PETAL 3</t>
  </si>
  <si>
    <t>HOLUSAM000066636657</t>
  </si>
  <si>
    <t>CLEAR-ECHO 822 RAMO 1199-ET</t>
  </si>
  <si>
    <t>HOLUSAM000069080973</t>
  </si>
  <si>
    <t>HUNSBERGER SHOTTLE ALEXIS</t>
  </si>
  <si>
    <t>HOLIRLM141766760902</t>
  </si>
  <si>
    <t>DOVEA RICHIE THE LEGEND</t>
  </si>
  <si>
    <t>KILVOIGE K JORDAINE ANN</t>
  </si>
  <si>
    <t>HOLIRLM151337941465</t>
  </si>
  <si>
    <t>(IG) KIPPANE VAMPIRE</t>
  </si>
  <si>
    <t>KIPPANE RUU VERA 947</t>
  </si>
  <si>
    <t>HOLIRLM221210381850</t>
  </si>
  <si>
    <t>(IG) KYLETELOGUE MAPLE</t>
  </si>
  <si>
    <t>KYLETELOGUE LOO MAPLE</t>
  </si>
  <si>
    <t>HOLIRLM141488210935</t>
  </si>
  <si>
    <t>(IG) CAVERELY ROCKY</t>
  </si>
  <si>
    <t>CAVERELY WUH ROSARY</t>
  </si>
  <si>
    <t>HOLNLDM000532707145</t>
  </si>
  <si>
    <t>WATERMOLEN ALTAZICO</t>
  </si>
  <si>
    <t>WATERMOLEN PRINCESS GOLDWYN</t>
  </si>
  <si>
    <t>HOLUSAM000069314813</t>
  </si>
  <si>
    <t>SPRUCE-HAVEN ALTAACME-ET</t>
  </si>
  <si>
    <t>POTTERS-FIELD OUTSIDE 3597</t>
  </si>
  <si>
    <t>NMDFRAM005351501140</t>
  </si>
  <si>
    <t>COSMOS</t>
  </si>
  <si>
    <t>MONFRAM004306168841</t>
  </si>
  <si>
    <t>BOURGUEIL</t>
  </si>
  <si>
    <t>UNIVERSELL</t>
  </si>
  <si>
    <t>HOLIRLM341476090526</t>
  </si>
  <si>
    <t>DEANSGROVE ARGENT</t>
  </si>
  <si>
    <t>DEANSGROVE BWZ ANNIE 45</t>
  </si>
  <si>
    <t>HOLCANM000008932152</t>
  </si>
  <si>
    <t>GILLETTE STANLEYCUP</t>
  </si>
  <si>
    <t>RDCGBRM000007190486</t>
  </si>
  <si>
    <t>HUNNINGTON MANDELLA</t>
  </si>
  <si>
    <t>PYLON EASLED</t>
  </si>
  <si>
    <t>BRIERYSIDE SUPER STAR</t>
  </si>
  <si>
    <t>JERDNKM000000302595</t>
  </si>
  <si>
    <t>HOLNLDM000369863902</t>
  </si>
  <si>
    <t>LOUISE</t>
  </si>
  <si>
    <t>HOLIRLM351066161048</t>
  </si>
  <si>
    <t>CURRA OMAN ANGEL 2</t>
  </si>
  <si>
    <t>HOLCANM000011161715</t>
  </si>
  <si>
    <t>MAPEL WOOD BREWMASTER</t>
  </si>
  <si>
    <t>ALIBABA</t>
  </si>
  <si>
    <t>LOST ELM PRESIDENT</t>
  </si>
  <si>
    <t>ARINA</t>
  </si>
  <si>
    <t>MONFRAM003914393285</t>
  </si>
  <si>
    <t>ADAMO JB</t>
  </si>
  <si>
    <t>ROSETTE</t>
  </si>
  <si>
    <t>IMPOSTEUR</t>
  </si>
  <si>
    <t>NWRIRLM151666640777</t>
  </si>
  <si>
    <t>TINEGERAGH VSK 777</t>
  </si>
  <si>
    <t>NR51548</t>
  </si>
  <si>
    <t>HOLUSAM000063449626</t>
  </si>
  <si>
    <t>DE-SU GILLESPY-ET</t>
  </si>
  <si>
    <t>DE-SU 6822-ET</t>
  </si>
  <si>
    <t>HOLNLDM000366692428</t>
  </si>
  <si>
    <t>VAN DE PEUL KYLIAN</t>
  </si>
  <si>
    <t>VAN DE PEUL MASSIA 9032</t>
  </si>
  <si>
    <t>HOLNLDM000416094053</t>
  </si>
  <si>
    <t>MANIAC VAN DE PEUL</t>
  </si>
  <si>
    <t>VAN DE PEUL MASSIA 9215</t>
  </si>
  <si>
    <t>HOLUSAM000069951907</t>
  </si>
  <si>
    <t>SULLY PLANET MANITOBA-ET</t>
  </si>
  <si>
    <t>HOLDEUM000353940622</t>
  </si>
  <si>
    <t>MANOUK</t>
  </si>
  <si>
    <t>HOLIRLM331015851075</t>
  </si>
  <si>
    <t>DERRINSALLOW AINE 75 ED</t>
  </si>
  <si>
    <t>DERRINSALLOW AXA AINE 605</t>
  </si>
  <si>
    <t>HOLIRLM341365691168</t>
  </si>
  <si>
    <t>IMLEACH HZO ROSARII</t>
  </si>
  <si>
    <t>HOLSWEM000000048452</t>
  </si>
  <si>
    <t>J ROX</t>
  </si>
  <si>
    <t>1106 ROXETTE</t>
  </si>
  <si>
    <t>HOLIRLM151569280863</t>
  </si>
  <si>
    <t>CASTLEBLAGH KEET RUTH</t>
  </si>
  <si>
    <t>HOLIRLM241195661241</t>
  </si>
  <si>
    <t>(IG) GLENSTAL DANDY</t>
  </si>
  <si>
    <t>GLENSTAL ELV DOREEN 823</t>
  </si>
  <si>
    <t>TREETON PIMP</t>
  </si>
  <si>
    <t>SILVERLEIGH MONARCH (ET)</t>
  </si>
  <si>
    <t>TREETON PRINCESS 919TH</t>
  </si>
  <si>
    <t>VENVALE PRINCE (ET)</t>
  </si>
  <si>
    <t>HOLIRLM191968311189</t>
  </si>
  <si>
    <t>(IG) MEENASCORTHY ODIE</t>
  </si>
  <si>
    <t>MEENASCORTHY KAI HORNEY</t>
  </si>
  <si>
    <t>HOLIRLM151028122218</t>
  </si>
  <si>
    <t>BRACKHERD METEOR</t>
  </si>
  <si>
    <t>BRACKHERD PKK LISSIE 1813</t>
  </si>
  <si>
    <t>HOLDEUM000113657937</t>
  </si>
  <si>
    <t>FAROMIR</t>
  </si>
  <si>
    <t>WANDA</t>
  </si>
  <si>
    <t>JERDNKM000000303057</t>
  </si>
  <si>
    <t>HOLFRAM004435729417</t>
  </si>
  <si>
    <t>ROC HAPPY</t>
  </si>
  <si>
    <t>HOLIRLM151623422213</t>
  </si>
  <si>
    <t>(IG) BALLYBRIDE DANIEL</t>
  </si>
  <si>
    <t>BALLYBRIDE WPE BLOSSOM 1686</t>
  </si>
  <si>
    <t>BLUM BS PAYOFF PIETRO</t>
  </si>
  <si>
    <t>TRIANGLE ACRES P PAYOFF ET</t>
  </si>
  <si>
    <t>BLUM BS PAT ZELIA</t>
  </si>
  <si>
    <t>TOP ACRES ENSIGN PAT</t>
  </si>
  <si>
    <t>DFRNLDM000877700720</t>
  </si>
  <si>
    <t>GRIETMAN 7</t>
  </si>
  <si>
    <t>MARTIN 19</t>
  </si>
  <si>
    <t>GRETHA 91</t>
  </si>
  <si>
    <t>FALKO 18</t>
  </si>
  <si>
    <t>HOLNLDM000707841810</t>
  </si>
  <si>
    <t>MARS YORICK</t>
  </si>
  <si>
    <t>FARNEAR-TBR BAILEY-ET</t>
  </si>
  <si>
    <t>HOLFRAM004451427076</t>
  </si>
  <si>
    <t>GASY</t>
  </si>
  <si>
    <t>DUCHESSE</t>
  </si>
  <si>
    <t>HOL840M003000540497</t>
  </si>
  <si>
    <t>COOKIECUTTER HEFTY-ET</t>
  </si>
  <si>
    <t>COOKIECUTTER GLD HOLLER ET</t>
  </si>
  <si>
    <t>JERUSAM000115426399</t>
  </si>
  <si>
    <t>GOLDEN MEADOWS ABES GANSTER</t>
  </si>
  <si>
    <t>AHLEM LEMVIG ABE-ET</t>
  </si>
  <si>
    <t>GOLDEN MEADOWS BRAZOS GLO 4-ET</t>
  </si>
  <si>
    <t>SIL-MIST RMBM BUTTONS BRAZO-ET</t>
  </si>
  <si>
    <t>HOLIRLM141763890827</t>
  </si>
  <si>
    <t>(IG) CAHERDERG LOCKIE</t>
  </si>
  <si>
    <t>CAHERDERG RUU CAROL 2</t>
  </si>
  <si>
    <t>HOLIRLM191149250821</t>
  </si>
  <si>
    <t>(IG) OAKFARM BEHINS ROMEO</t>
  </si>
  <si>
    <t>OAKFARM HFL HILLARY 593</t>
  </si>
  <si>
    <t>HOLIRLM241157751438</t>
  </si>
  <si>
    <t>BAUNAGERAGH FLT LOBELLA</t>
  </si>
  <si>
    <t>HOLIRLM191638661372</t>
  </si>
  <si>
    <t>(IG) FAHA SUNSHINE 12</t>
  </si>
  <si>
    <t>FAHA MILESVIEW SUSANNE</t>
  </si>
  <si>
    <t>HOLIRLM151481011054</t>
  </si>
  <si>
    <t>(IG) OLCASTLETOWN PHANTHOM</t>
  </si>
  <si>
    <t>OLCASTLETOWN GOLD PHANTHOM</t>
  </si>
  <si>
    <t>MONFRAM002521212123</t>
  </si>
  <si>
    <t>DIMBA</t>
  </si>
  <si>
    <t>BELLEFLEUR</t>
  </si>
  <si>
    <t>HOLIRLM141892530961</t>
  </si>
  <si>
    <t>(IG) ARDROE JOE</t>
  </si>
  <si>
    <t>ARDROE ALPINE 730</t>
  </si>
  <si>
    <t>HOLIRLM151620972912</t>
  </si>
  <si>
    <t>MODELIGO CWJ SALLY</t>
  </si>
  <si>
    <t>HOLIRLM151653460894</t>
  </si>
  <si>
    <t>BALLYOGAHA KEET PHILLY 786</t>
  </si>
  <si>
    <t>HOLIRLM151028182215</t>
  </si>
  <si>
    <t>BRACKHERD SWEETDREAM</t>
  </si>
  <si>
    <t>BRACKHERD AAP THELMA 1634</t>
  </si>
  <si>
    <t>HOLNLDM000570438074</t>
  </si>
  <si>
    <t>HOLIRLM351279470657</t>
  </si>
  <si>
    <t>(IG) CARRIGAUN GLEN</t>
  </si>
  <si>
    <t>CARRIGAUN PKK GWEN 511</t>
  </si>
  <si>
    <t>HOLGBRM322325402557</t>
  </si>
  <si>
    <t>LAKEMEAD APPEAL</t>
  </si>
  <si>
    <t>LAKEMEAD APRIL 4</t>
  </si>
  <si>
    <t>HOLIRLM351066151170</t>
  </si>
  <si>
    <t>CURRA STEVIE</t>
  </si>
  <si>
    <t>CURRA CWJ BERNIE 2</t>
  </si>
  <si>
    <t>BSWDEUM000941915739</t>
  </si>
  <si>
    <t>HUGER</t>
  </si>
  <si>
    <t>HUSIR</t>
  </si>
  <si>
    <t>LOREN</t>
  </si>
  <si>
    <t>NMDFRAM005628801921</t>
  </si>
  <si>
    <t>DERTIN</t>
  </si>
  <si>
    <t>STUDIO</t>
  </si>
  <si>
    <t>URANITE</t>
  </si>
  <si>
    <t>MADISON</t>
  </si>
  <si>
    <t>NMDFRAM005006380321</t>
  </si>
  <si>
    <t>ARANTILLY</t>
  </si>
  <si>
    <t>ROSE</t>
  </si>
  <si>
    <t>HOLUSAM000070625983</t>
  </si>
  <si>
    <t>DE-SU 11231 TURVY-ET</t>
  </si>
  <si>
    <t>HOLUSAM000070750568</t>
  </si>
  <si>
    <t>WELCOME SHAMROCK WINDSOR-ET</t>
  </si>
  <si>
    <t>WELCOME MAN-O-MAN WALTON</t>
  </si>
  <si>
    <t>HOLUSAM000062744636</t>
  </si>
  <si>
    <t>REGANCREST-PJ TABBER-ET</t>
  </si>
  <si>
    <t>REGANCREST-BP BOLVR TAB-ET</t>
  </si>
  <si>
    <t>HOL840M003009554569</t>
  </si>
  <si>
    <t>REGAN-BH-ALH M DANNAH-ET</t>
  </si>
  <si>
    <t>JERDNKM000000303284</t>
  </si>
  <si>
    <t>VJ PRIMUS</t>
  </si>
  <si>
    <t>HOLUSAM000141334396</t>
  </si>
  <si>
    <t>SCIENTIFIC DARYL-ET</t>
  </si>
  <si>
    <t>SCIENTIFIC DARLA RAE-ET</t>
  </si>
  <si>
    <t>HOLUSAM000070684472</t>
  </si>
  <si>
    <t>BBM CP ALTITUDE-RED-ET</t>
  </si>
  <si>
    <t>MS CANDY APPLE-RED-ET</t>
  </si>
  <si>
    <t>HOLCANM000009608053</t>
  </si>
  <si>
    <t>BOLDI VSG AIRINTAKE</t>
  </si>
  <si>
    <t>JERNZLM000000311005</t>
  </si>
  <si>
    <t>UPLAND PARK TS INDY S3J</t>
  </si>
  <si>
    <t>DFRDEUM001266942339</t>
  </si>
  <si>
    <t>DOVEA JUPITER</t>
  </si>
  <si>
    <t>MONFRAM007039077860</t>
  </si>
  <si>
    <t>BRANDON</t>
  </si>
  <si>
    <t>TRIXIA</t>
  </si>
  <si>
    <t>LINOU</t>
  </si>
  <si>
    <t>HOLNLDM000471838726</t>
  </si>
  <si>
    <t>ALBIORIX</t>
  </si>
  <si>
    <t>RDCNORM000000010923</t>
  </si>
  <si>
    <t>PRESTANGEN</t>
  </si>
  <si>
    <t>OLEA</t>
  </si>
  <si>
    <t>RYGGVOLD</t>
  </si>
  <si>
    <t>HOLUSAM000069990052</t>
  </si>
  <si>
    <t>DE-SU FREDDIE GALAXY-ET</t>
  </si>
  <si>
    <t>HOLIRLM241195651182</t>
  </si>
  <si>
    <t>GLENSTALL KIWI</t>
  </si>
  <si>
    <t>PUKETAWA MINS SUPERNOVA</t>
  </si>
  <si>
    <t>GLENSTAL KNW APRIL 952</t>
  </si>
  <si>
    <t>HOLIRLM131232360927</t>
  </si>
  <si>
    <t>(IG) CAHERADERRY HARRY</t>
  </si>
  <si>
    <t>CAHERADERRY UYC JUDY 646</t>
  </si>
  <si>
    <t>HOLIRLM301306050802</t>
  </si>
  <si>
    <t>(IG) CARROWMANAGH CHAMPION</t>
  </si>
  <si>
    <t>CARROWMANAGH BWZ ROSE 445</t>
  </si>
  <si>
    <t>HOLIRLM161276541228</t>
  </si>
  <si>
    <t>KILLENDARAGH LUKE</t>
  </si>
  <si>
    <t>KILLENDARAGH CWJ LOUISA 583</t>
  </si>
  <si>
    <t>HOLIRLM351189351498</t>
  </si>
  <si>
    <t>CARA TOM</t>
  </si>
  <si>
    <t>CARA LWT ROMY 1254</t>
  </si>
  <si>
    <t>HOLIRLM351066161213</t>
  </si>
  <si>
    <t>CURRA ROYAL ERICA 2</t>
  </si>
  <si>
    <t>HOLIRLM151555651021</t>
  </si>
  <si>
    <t>(IG) RONNOCO HANSEN</t>
  </si>
  <si>
    <t>RONNOCO WPE HOLLY 611</t>
  </si>
  <si>
    <t>HOLDEUM000349337533</t>
  </si>
  <si>
    <t>RADON *TV *TL</t>
  </si>
  <si>
    <t>ROMANIA</t>
  </si>
  <si>
    <t>HOLUSAM000070625980</t>
  </si>
  <si>
    <t>DE-SU 11228 TOPSY-ET</t>
  </si>
  <si>
    <t>RDCGBRM000006181762</t>
  </si>
  <si>
    <t>ROSEHILL REAL MCCOY ET</t>
  </si>
  <si>
    <t>PALMYRA TRI-STAR REALITY</t>
  </si>
  <si>
    <t>ROSEHILL BLACK MAGENTA</t>
  </si>
  <si>
    <t>HOLBELM000128079806</t>
  </si>
  <si>
    <t>ROCCA-DG SNOWFALL ET</t>
  </si>
  <si>
    <t>VENDAIRY BREESH</t>
  </si>
  <si>
    <t>HOLIRLM211238191500</t>
  </si>
  <si>
    <t>CARRICKSHOCK NAUT</t>
  </si>
  <si>
    <t>CARRICKSHOCK CKX DOLLY 751</t>
  </si>
  <si>
    <t>HOLIRLM151617254307</t>
  </si>
  <si>
    <t>BEESIMON HZO AVALEEN</t>
  </si>
  <si>
    <t>HOLIRLM151620953652</t>
  </si>
  <si>
    <t>(IG) MODELIGO GRAND MAN</t>
  </si>
  <si>
    <t>MODELIGO BWZ JENNY 1746</t>
  </si>
  <si>
    <t>HOLCANM000011007856</t>
  </si>
  <si>
    <t>GIBBS-I CLAYNOOK DUDE</t>
  </si>
  <si>
    <t>SONNEK BLT DOUBLE DIPPED-ET</t>
  </si>
  <si>
    <t>HOLIRLM151649711405</t>
  </si>
  <si>
    <t>BRIDEVIEW SUPER BELL</t>
  </si>
  <si>
    <t>BRIDEVIEW BELL 88</t>
  </si>
  <si>
    <t>HOLIRLM151013731563</t>
  </si>
  <si>
    <t>(IG) PARKDUV MOUNT EVEREST</t>
  </si>
  <si>
    <t>PARKDUV JILL 21</t>
  </si>
  <si>
    <t>DFRNLDM000716663665</t>
  </si>
  <si>
    <t>DOVEA JUBILARIS</t>
  </si>
  <si>
    <t>HOLCANM000107308984</t>
  </si>
  <si>
    <t>BLONDIN LOTUS-ET</t>
  </si>
  <si>
    <t>ROCKYMOUNTAIN TAL LICORICE-ET</t>
  </si>
  <si>
    <t>HOLUSAM000070750578</t>
  </si>
  <si>
    <t>WELCOME JOSE PANSEY-ET</t>
  </si>
  <si>
    <t>JOSE</t>
  </si>
  <si>
    <t>HOLCANM000106807394</t>
  </si>
  <si>
    <t>KHW-I AIKA BAXTER</t>
  </si>
  <si>
    <t>HOLUSAM000070750485</t>
  </si>
  <si>
    <t>LOTTA-HILL SHOTTLE 41-ET</t>
  </si>
  <si>
    <t>MS WELCOME COLBY TAYA-ET</t>
  </si>
  <si>
    <t>SOLID-GOLD COLBY-ET</t>
  </si>
  <si>
    <t>HOLIRLM221060210879</t>
  </si>
  <si>
    <t>BALLYMADDOCK LHZ TIMOTHY</t>
  </si>
  <si>
    <t>BALLYMADDOCK BBJ HANNAH</t>
  </si>
  <si>
    <t>BAY-BOB AMATEUR-ET</t>
  </si>
  <si>
    <t>HOLNLDM000931981131</t>
  </si>
  <si>
    <t>BROOK PROGRESS (NLD)</t>
  </si>
  <si>
    <t>DELTA ANNY</t>
  </si>
  <si>
    <t>HOLIRLM211180371748</t>
  </si>
  <si>
    <t>FIRODA MARTELL 10</t>
  </si>
  <si>
    <t>HOLDNKM000000253139</t>
  </si>
  <si>
    <t>VH BANKER BASTEN</t>
  </si>
  <si>
    <t>DANSIRE BOJER BANKER</t>
  </si>
  <si>
    <t>HOLUSAM000072053362</t>
  </si>
  <si>
    <t>LADYS-MANOR DURBIN-ET</t>
  </si>
  <si>
    <t>LADYS-MANOR ALLANAS DORA-ET</t>
  </si>
  <si>
    <t>HOLUSAM000069304279</t>
  </si>
  <si>
    <t>K-STAR LATROY-ET</t>
  </si>
  <si>
    <t>LACLAR TOYSTORY LATOYA-ET</t>
  </si>
  <si>
    <t>HOLIRLM341242681515</t>
  </si>
  <si>
    <t>(IG) BALLYFARM HOLMES</t>
  </si>
  <si>
    <t>BALLYFARM MTZ ANNE 2</t>
  </si>
  <si>
    <t>MONFRAM003803057834</t>
  </si>
  <si>
    <t>BRANLY</t>
  </si>
  <si>
    <t>U.S.A</t>
  </si>
  <si>
    <t>NWRIRLM351284231307</t>
  </si>
  <si>
    <t>KNOCKROUR PHOENIX 1</t>
  </si>
  <si>
    <t>KNOCKROUR RRK HEIDI</t>
  </si>
  <si>
    <t>HOLIRLM151548511336</t>
  </si>
  <si>
    <t>COOLMOHAN REBNAUTICAL 3</t>
  </si>
  <si>
    <t>HOLUSAM000140602463</t>
  </si>
  <si>
    <t>MR ATWOOD BROKAW-ET</t>
  </si>
  <si>
    <t>REGANCREST MAC BIKASA-ET</t>
  </si>
  <si>
    <t>HOLUSAM000071302858</t>
  </si>
  <si>
    <t>MR LOOKOUT PESCE ALTA5G-ET</t>
  </si>
  <si>
    <t>HAMMER-CREEK ALTAKOOL-ET</t>
  </si>
  <si>
    <t>HOLUSAM000069966958</t>
  </si>
  <si>
    <t>CREST-VIEW-ACRES SOLO-ET</t>
  </si>
  <si>
    <t>CREST-VIEW-ACRES PLT SILKA</t>
  </si>
  <si>
    <t>DFRDEUM001266942721</t>
  </si>
  <si>
    <t>DOVEA RUMOR</t>
  </si>
  <si>
    <t>RUMOR 11</t>
  </si>
  <si>
    <t>HEDWIG 554</t>
  </si>
  <si>
    <t>NARRO</t>
  </si>
  <si>
    <t>JERNZLM000000511041</t>
  </si>
  <si>
    <t>DTR OF BPDM 00-3 NO 31</t>
  </si>
  <si>
    <t>HOLNLDM000714130338</t>
  </si>
  <si>
    <t>OOSTERZICHT CENTURION</t>
  </si>
  <si>
    <t>HOLNLDM000843570795</t>
  </si>
  <si>
    <t>TW GOODWHONE</t>
  </si>
  <si>
    <t>CAMPOGALLO GAIA ET TL TV</t>
  </si>
  <si>
    <t>HOLIRLM141827832110</t>
  </si>
  <si>
    <t>COOLNASOON JUDE 10</t>
  </si>
  <si>
    <t>HOLIRLM151065711108</t>
  </si>
  <si>
    <t>(IG) ANNALEISH DOVER</t>
  </si>
  <si>
    <t>ANNALEISH NHS DOVE</t>
  </si>
  <si>
    <t>HOLIRLM141431290588</t>
  </si>
  <si>
    <t>CURRIHEVERN BHZ RUBY 511</t>
  </si>
  <si>
    <t>HOLIRLM341470220990</t>
  </si>
  <si>
    <t>CASTLELAKE OMAN CUILLEANN</t>
  </si>
  <si>
    <t>HOLIRLM191149280824</t>
  </si>
  <si>
    <t>(IG) OAKFARM BEHINS WARRIOR</t>
  </si>
  <si>
    <t>OAKFARM CBH HAZEL 649</t>
  </si>
  <si>
    <t>HOLIRLM371419970741</t>
  </si>
  <si>
    <t>(IG) BAILERI JASPER</t>
  </si>
  <si>
    <t>BAILERI RUU JASMIN 437</t>
  </si>
  <si>
    <t>HOLNLDM000538153368</t>
  </si>
  <si>
    <t>FARMERS WISH HBC PIRLO</t>
  </si>
  <si>
    <t>HBC ALVES ADENE</t>
  </si>
  <si>
    <t>ALVES</t>
  </si>
  <si>
    <t>JERDNKM000000303812</t>
  </si>
  <si>
    <t>HOLGBRM000000645404</t>
  </si>
  <si>
    <t>WINTERSELL MILO ET</t>
  </si>
  <si>
    <t>WINTERSELL MILA 10</t>
  </si>
  <si>
    <t>JERNZLM000000512032</t>
  </si>
  <si>
    <t>BELLS SOLARIS PERRY</t>
  </si>
  <si>
    <t>PHILLIPPA</t>
  </si>
  <si>
    <t>HOLIRLM191183811306</t>
  </si>
  <si>
    <t>SEAROAD KEVINSFORT OZ RL/L/M P</t>
  </si>
  <si>
    <t>HOLUSAM000071088565</t>
  </si>
  <si>
    <t>FARNEAR-TBR-BH LEWS FLYN-ET</t>
  </si>
  <si>
    <t>LATUCH FREDDIE LEWIS-ET</t>
  </si>
  <si>
    <t>OPSAL PLANET FAME-ET</t>
  </si>
  <si>
    <t>HOLUSAM000069331742</t>
  </si>
  <si>
    <t>APRIL-DAY VALENTINE-RED-ET</t>
  </si>
  <si>
    <t>RA-MAR-LAND LION KING</t>
  </si>
  <si>
    <t>APRIL-DAY S VERDEJO</t>
  </si>
  <si>
    <t>BSWITAM010990008842</t>
  </si>
  <si>
    <t>LAVAGE ZEUS VINO ZEPHIR</t>
  </si>
  <si>
    <t>KARL PETERS ZEUS</t>
  </si>
  <si>
    <t>LAVAGE ATHINA ET</t>
  </si>
  <si>
    <t>VINOZAK</t>
  </si>
  <si>
    <t>HOLUSAM000068972328</t>
  </si>
  <si>
    <t>DA-SO-BURN LAWNBOY ELSIE-ET</t>
  </si>
  <si>
    <t>HOLIRLM151481531282</t>
  </si>
  <si>
    <t>(IG) OLDCASTLETON EARNEST</t>
  </si>
  <si>
    <t>OLDCASTLETON JUSTICE PAULA</t>
  </si>
  <si>
    <t>HOL840M003009554758</t>
  </si>
  <si>
    <t>S-S-I LADD HARPER-P-ET</t>
  </si>
  <si>
    <t>COOKIECUTTER HILDA 7048-ET</t>
  </si>
  <si>
    <t>HOLCHEM120100409625</t>
  </si>
  <si>
    <t>GS ALLIANCE O KALIF-ET</t>
  </si>
  <si>
    <t>DECRAUSAZ IRON O'KALIBRE RDC</t>
  </si>
  <si>
    <t>HOLIRLM191509121129</t>
  </si>
  <si>
    <t>(IG) KILCUMMINSAM BANJO</t>
  </si>
  <si>
    <t>KILCUMMINSAM SOK BECKY 959</t>
  </si>
  <si>
    <t>HOLIRLM191574431749</t>
  </si>
  <si>
    <t>(IG) CALLINAFERCY DONALD</t>
  </si>
  <si>
    <t>CALLINAFERCY BGW DEIRDRE 1195</t>
  </si>
  <si>
    <t>HOLIRLM341118441168</t>
  </si>
  <si>
    <t>SLIABHNAMBON MARGIE 28</t>
  </si>
  <si>
    <t>HOLUSAM000072044077</t>
  </si>
  <si>
    <t>MORNINGVIEW SUPER MEGAN-ET</t>
  </si>
  <si>
    <t>HOLNLDM000844666893</t>
  </si>
  <si>
    <t>WESTCOAST</t>
  </si>
  <si>
    <t>WESTPOINT</t>
  </si>
  <si>
    <t>CORRIE 137</t>
  </si>
  <si>
    <t>KANZLER</t>
  </si>
  <si>
    <t>BSWFRAM006506383095</t>
  </si>
  <si>
    <t>UNISSON</t>
  </si>
  <si>
    <t>MONFRAM000112016709</t>
  </si>
  <si>
    <t>HOBBIT</t>
  </si>
  <si>
    <t>ESPERA</t>
  </si>
  <si>
    <t>HOLUSAM000140969366</t>
  </si>
  <si>
    <t>RONELEE SUPER DEAN-ET</t>
  </si>
  <si>
    <t>RONELEE TOYSTORY DARVA</t>
  </si>
  <si>
    <t>HOLIRLM151166930997</t>
  </si>
  <si>
    <t>CARRACOUSH LANCE</t>
  </si>
  <si>
    <t>CARRACOUSH PRIMROSE 82</t>
  </si>
  <si>
    <t>HOLUSAM000071302825</t>
  </si>
  <si>
    <t>MR LOOKOUT P ENFORCER-ET</t>
  </si>
  <si>
    <t>WABASH-WAY-I SHOTTLE EMBER</t>
  </si>
  <si>
    <t>HOLFRAM002219454967</t>
  </si>
  <si>
    <t>DIAGONAL</t>
  </si>
  <si>
    <t>ELEVE</t>
  </si>
  <si>
    <t>DAM BROOKL</t>
  </si>
  <si>
    <t>MONFRAM002546583897</t>
  </si>
  <si>
    <t>CORSICA</t>
  </si>
  <si>
    <t>RADIOSO</t>
  </si>
  <si>
    <t>VELSATIS</t>
  </si>
  <si>
    <t>HOLNLDM000899849362</t>
  </si>
  <si>
    <t>MURPHY</t>
  </si>
  <si>
    <t>MATHILDE 64</t>
  </si>
  <si>
    <t>RDCNORM000000010714</t>
  </si>
  <si>
    <t>FAAREN</t>
  </si>
  <si>
    <t>HOLCANM000105585416</t>
  </si>
  <si>
    <t>LA PRESENTATION KAMIK</t>
  </si>
  <si>
    <t>LA PRESENTATION KIRSTIE</t>
  </si>
  <si>
    <t>HOLNZLM000000511011</t>
  </si>
  <si>
    <t>PRIESTS SIERRA</t>
  </si>
  <si>
    <t>HOLIRLM131205850852</t>
  </si>
  <si>
    <t>(IG) ARDKYLE MOUNT EVERET</t>
  </si>
  <si>
    <t>ARDKYLE TULIP 662</t>
  </si>
  <si>
    <t>JERIRLM351357291464</t>
  </si>
  <si>
    <t>LAURAGH OBSIDIAN</t>
  </si>
  <si>
    <t>HOLIRLM261006944616</t>
  </si>
  <si>
    <t>(IG) MONAMORE RHATTIGAN ET</t>
  </si>
  <si>
    <t>HOLDNKM000000250549</t>
  </si>
  <si>
    <t>ENGSLEVGAARD MASCOL ABBA</t>
  </si>
  <si>
    <t>ALVILDA</t>
  </si>
  <si>
    <t>HOLIRLM221189421897</t>
  </si>
  <si>
    <t>(IG) BISHOPSWOOD CLARKE</t>
  </si>
  <si>
    <t>BISHOPSWOOD TIH CELIA 1531</t>
  </si>
  <si>
    <t>HOLIRLM211063581126</t>
  </si>
  <si>
    <t>MOONDIGUA SWEETSTAR</t>
  </si>
  <si>
    <t>MOONDIGUA CWJ BLANCHE 890</t>
  </si>
  <si>
    <t>HOLITAM017990516801</t>
  </si>
  <si>
    <t>ZANI O-MAN ORIELLA ET</t>
  </si>
  <si>
    <t>HOLIRLM141411722195</t>
  </si>
  <si>
    <t>(IG) KILGARRIFFE ELECTRON</t>
  </si>
  <si>
    <t>KILGARRIFFE EMS 48TH</t>
  </si>
  <si>
    <t>HOLIRLM351300860913</t>
  </si>
  <si>
    <t>(IG) CURRADARRA BART</t>
  </si>
  <si>
    <t>CURRADARRA CWJ BETH 226</t>
  </si>
  <si>
    <t>HOLIRLM221060210870</t>
  </si>
  <si>
    <t>BALLYMADDOCK LHZ TOMMY</t>
  </si>
  <si>
    <t>BALLYMADDOCK OJI CATHRINE 2</t>
  </si>
  <si>
    <t>MRYNLDM000877732499</t>
  </si>
  <si>
    <t>LANDSCHOT 3249</t>
  </si>
  <si>
    <t>DZ ALZON DIMAN</t>
  </si>
  <si>
    <t>PIETA 12</t>
  </si>
  <si>
    <t>JERCANM000008572453</t>
  </si>
  <si>
    <t>MRYNLDM000549833402</t>
  </si>
  <si>
    <t>MARCELLO</t>
  </si>
  <si>
    <t>MARTHA 288</t>
  </si>
  <si>
    <t>MRYNLDM000484628820</t>
  </si>
  <si>
    <t>MARVIN</t>
  </si>
  <si>
    <t>MARTHA 287</t>
  </si>
  <si>
    <t>HOLIRLM141731241849</t>
  </si>
  <si>
    <t>LONGVIEW DONEEN JAN</t>
  </si>
  <si>
    <t>HOLCANM000107381512</t>
  </si>
  <si>
    <t>LOOKOUT P EMBRACING</t>
  </si>
  <si>
    <t>HOLIRLM151739810669</t>
  </si>
  <si>
    <t>(IG) GLENEGARE RAMBO</t>
  </si>
  <si>
    <t>GLENEGARE RXR ROSE 526</t>
  </si>
  <si>
    <t>HOLIRLM281672410801</t>
  </si>
  <si>
    <t>BALLIVOR MARS EBONY</t>
  </si>
  <si>
    <t>BALLYCAIRN MASCOL MARS</t>
  </si>
  <si>
    <t>BALLIVOR DIDRIK EVON</t>
  </si>
  <si>
    <t>RGK DIDRIK</t>
  </si>
  <si>
    <t>HOLIRLM291389040830</t>
  </si>
  <si>
    <t>(IG) ARDNASALEM MORGAN ET</t>
  </si>
  <si>
    <t>HOLIRLM151013721802</t>
  </si>
  <si>
    <t>(IG) PARKDUV DAFFY</t>
  </si>
  <si>
    <t>PARKDUV DAFFODIL 5</t>
  </si>
  <si>
    <t>HOLIRLM191065751013</t>
  </si>
  <si>
    <t>TOBERMARTIN RUUJACKIE593</t>
  </si>
  <si>
    <t>HOL840M003011129867</t>
  </si>
  <si>
    <t>SIEMERS MOGUL REAL-SEAL-ET</t>
  </si>
  <si>
    <t>CLEAR-ECHO OBSERVER 2283-ET</t>
  </si>
  <si>
    <t>RDCGBRM000006181978</t>
  </si>
  <si>
    <t>RAVENHILL STORMIN NORMAN</t>
  </si>
  <si>
    <t>DUO STAR NORMANDIN</t>
  </si>
  <si>
    <t>RAVENHILL ETHEL 382</t>
  </si>
  <si>
    <t>MONFRAM003912920526</t>
  </si>
  <si>
    <t>TILLEUL JB</t>
  </si>
  <si>
    <t>LUSIGNAN</t>
  </si>
  <si>
    <t>ROMANTIQUE</t>
  </si>
  <si>
    <t>HOLIRLM241458572242</t>
  </si>
  <si>
    <t>CLORANE BENNY -32</t>
  </si>
  <si>
    <t>CLORANE BRONWY 147</t>
  </si>
  <si>
    <t>HOL840M003013129323</t>
  </si>
  <si>
    <t>LADYS-MANOR DOORSOPEN-ET</t>
  </si>
  <si>
    <t>LADYS-MANOR DORCY ODA</t>
  </si>
  <si>
    <t>HOLIRLM341294751809</t>
  </si>
  <si>
    <t>CAPPAUNIAC CREMIN</t>
  </si>
  <si>
    <t>CAPPAUNIAC FLOWER 8</t>
  </si>
  <si>
    <t>HOLIRLM371003460888</t>
  </si>
  <si>
    <t>(IG) RUSTYSHERD PANTHER</t>
  </si>
  <si>
    <t>PEARL 813</t>
  </si>
  <si>
    <t>HOLFRAM004441361370</t>
  </si>
  <si>
    <t>INTERSTICE</t>
  </si>
  <si>
    <t>GEODE</t>
  </si>
  <si>
    <t>HOLIRLM211110622365</t>
  </si>
  <si>
    <t>HOLIRLM351066171651</t>
  </si>
  <si>
    <t>CURRA ROYAL CONOR</t>
  </si>
  <si>
    <t>CURRA CWJ ESTER</t>
  </si>
  <si>
    <t>HOLIRLM151620923872</t>
  </si>
  <si>
    <t>MODELIGO CWJ MAY 1506</t>
  </si>
  <si>
    <t>HOLIRLM161357412305</t>
  </si>
  <si>
    <t>(IG) FINNVALLEY LARRY</t>
  </si>
  <si>
    <t>FINNVALLEY OJI LUCY 1352</t>
  </si>
  <si>
    <t>MONFRAM003803200562</t>
  </si>
  <si>
    <t>GRASALT</t>
  </si>
  <si>
    <t>DRACENA</t>
  </si>
  <si>
    <t>BAKELITE</t>
  </si>
  <si>
    <t>HOLIRLM341365631443</t>
  </si>
  <si>
    <t>IMLEACH GRAND THEFT AUTO</t>
  </si>
  <si>
    <t>IMLEACH HEATHER 1261</t>
  </si>
  <si>
    <t>HOLCANM000108109390</t>
  </si>
  <si>
    <t>BLONDIN INTEGRAL</t>
  </si>
  <si>
    <t>HOLGBRM000000662695</t>
  </si>
  <si>
    <t>SHERDON RIVAL</t>
  </si>
  <si>
    <t>SHERDON RAMOS RISKEY 45</t>
  </si>
  <si>
    <t>BSWUSAM000000199293</t>
  </si>
  <si>
    <t>OAK VIEW ZEUS AUGUST *TM</t>
  </si>
  <si>
    <t>RED BRAE PRELUDE ZEUS</t>
  </si>
  <si>
    <t>BLESSING COLLECTION ALIE ET</t>
  </si>
  <si>
    <t>R H BC COLLECTION*TM</t>
  </si>
  <si>
    <t>HOLNLDM000737132388</t>
  </si>
  <si>
    <t>VVH REPAIRMAN</t>
  </si>
  <si>
    <t>VVH ISA 12</t>
  </si>
  <si>
    <t>HOLIRLM151053951188</t>
  </si>
  <si>
    <t>GARRYADEEN SILICON</t>
  </si>
  <si>
    <t>GARRYADEEN WMZ SHAMROCK 968</t>
  </si>
  <si>
    <t>HOLCHEM120070001607</t>
  </si>
  <si>
    <t>BIRETEN-HOF BLITZ KELVIN</t>
  </si>
  <si>
    <t>BIRETEN-HOF STADEL KERALA</t>
  </si>
  <si>
    <t>HOLGBRM949027101526</t>
  </si>
  <si>
    <t>BOGHILL BARRACUDA ET</t>
  </si>
  <si>
    <t>BOGHILL OMAN ROZA B ET</t>
  </si>
  <si>
    <t>HOLIRLM341460351579</t>
  </si>
  <si>
    <t>NODSTOWN CHAMPION</t>
  </si>
  <si>
    <t>NODSTOWN FLT LILLY 1271</t>
  </si>
  <si>
    <t>HOLIRLM151617741752</t>
  </si>
  <si>
    <t>AGHERNBRIDGE PAMPLET</t>
  </si>
  <si>
    <t>AGHERNBRIDGE MJI AOIFE 1455</t>
  </si>
  <si>
    <t>HOLIRLM211056182370</t>
  </si>
  <si>
    <t>RAHEENARRAN BOD</t>
  </si>
  <si>
    <t>F15</t>
  </si>
  <si>
    <t>HOLUSAM000073680021</t>
  </si>
  <si>
    <t>LARCREST COMMEND-ET</t>
  </si>
  <si>
    <t>LARCREST CABOODLE</t>
  </si>
  <si>
    <t>JERIRLM281396623072</t>
  </si>
  <si>
    <t>WOODTOWN PRIMUS PRIME</t>
  </si>
  <si>
    <t>WOODTOWN MANAIA 22</t>
  </si>
  <si>
    <t>HOLCANM000007525863</t>
  </si>
  <si>
    <t>POL BUTTE MC BEEMER-ET</t>
  </si>
  <si>
    <t>BUTZ-BUTLER GOLD BANNER-ET</t>
  </si>
  <si>
    <t>HOLNZLM000000111036</t>
  </si>
  <si>
    <t>ARKAN FM BUSTER-ET S2F</t>
  </si>
  <si>
    <t>MRYNLDM000763460905</t>
  </si>
  <si>
    <t>REX 159</t>
  </si>
  <si>
    <t>PAULA 410</t>
  </si>
  <si>
    <t>HOLIRLM151159231361</t>
  </si>
  <si>
    <t>KILCOLMAN L WILDTHING ET</t>
  </si>
  <si>
    <t>COMESTAR LAUTAMIGIE GARRETT</t>
  </si>
  <si>
    <t>HOLCANM000108657338</t>
  </si>
  <si>
    <t>LINDENRIGHT MEGAWATT</t>
  </si>
  <si>
    <t>LINDENRIGHT BRADNICK MOOVIN ON</t>
  </si>
  <si>
    <t>HOLNLDM000532478861</t>
  </si>
  <si>
    <t>PEELDIJKER OUTLAW</t>
  </si>
  <si>
    <t>PEELDIJKER LIESJE 738</t>
  </si>
  <si>
    <t>JERIRLM281396652911</t>
  </si>
  <si>
    <t>WOODTOWN MANAIA 8</t>
  </si>
  <si>
    <t>HOLIRLM131712951184</t>
  </si>
  <si>
    <t>(IG) CLOUNTY BAD BOY</t>
  </si>
  <si>
    <t>CLOUNTY IRP NICOLA 995</t>
  </si>
  <si>
    <t>HOLIRLM371294780956</t>
  </si>
  <si>
    <t>KILTREA JACK</t>
  </si>
  <si>
    <t>KILTREA NUALA 26</t>
  </si>
  <si>
    <t>JERDNKM000000303824</t>
  </si>
  <si>
    <t>VJ LURIK</t>
  </si>
  <si>
    <t>VJ HAMSUM</t>
  </si>
  <si>
    <t>HOLIRLM141560691423</t>
  </si>
  <si>
    <t>(IG) IVANE IVAN</t>
  </si>
  <si>
    <t>IVANE HMY IRIS 1130</t>
  </si>
  <si>
    <t>HOLGBRM104057403458</t>
  </si>
  <si>
    <t>DENMIRE MESDOOR-ET</t>
  </si>
  <si>
    <t>DENMIRE GOLDWYN MARIE 102</t>
  </si>
  <si>
    <t>HOLNLDM000731164859</t>
  </si>
  <si>
    <t>SLINKE SLACHTE POKERFACE</t>
  </si>
  <si>
    <t>TJITSKE 160</t>
  </si>
  <si>
    <t>HOLGBRM000000625388</t>
  </si>
  <si>
    <t>LANGLEY ENTERPRISE ET</t>
  </si>
  <si>
    <t>LANGLEY WINNER ETHEL</t>
  </si>
  <si>
    <t>JERDNKM000000304035</t>
  </si>
  <si>
    <t>VJ DROSTRUPGAARD LURE LUSAKA</t>
  </si>
  <si>
    <t>HOLIRLM351293131333</t>
  </si>
  <si>
    <t>CARNVIEW PSZ ALPHA 1333</t>
  </si>
  <si>
    <t>CARNVIEW MJI ALPHA 1102</t>
  </si>
  <si>
    <t>HOLIRLM191116221676</t>
  </si>
  <si>
    <t>ISLANDBOY LEPRECHAUN</t>
  </si>
  <si>
    <t>ISLANDBOY DEU ELLIE 1122</t>
  </si>
  <si>
    <t>HOLIRLM351066181578</t>
  </si>
  <si>
    <t>CURRA ROYAL STEVIE</t>
  </si>
  <si>
    <t>HOLNZLM000000110067</t>
  </si>
  <si>
    <t>LIGHTBURN PF CARUSO S1F</t>
  </si>
  <si>
    <t>LIGHTBURN ROCK CAROL S2F</t>
  </si>
  <si>
    <t>HOLGBRM933006964736</t>
  </si>
  <si>
    <t>ARDS PROCLAIMER</t>
  </si>
  <si>
    <t>MOM PARIS</t>
  </si>
  <si>
    <t>HOLIRLM151623482904</t>
  </si>
  <si>
    <t>BALLYBRIDE BOSTON</t>
  </si>
  <si>
    <t>BALLYBRIDE BYJ SHELLY</t>
  </si>
  <si>
    <t>BALLYDEHOB JUSTICE</t>
  </si>
  <si>
    <t>HOLIRLM281103490624</t>
  </si>
  <si>
    <t>(IG) RATINREE MERVYN</t>
  </si>
  <si>
    <t>RATINREE DEV MAISY 375</t>
  </si>
  <si>
    <t>HOLIRLM191178231619</t>
  </si>
  <si>
    <t>(IG) AHABEG INDIAN</t>
  </si>
  <si>
    <t>AHABEG HTH INDENT</t>
  </si>
  <si>
    <t>HOLGBRM727942400167</t>
  </si>
  <si>
    <t>WILTOR DREAMER</t>
  </si>
  <si>
    <t>DREAMGIRL</t>
  </si>
  <si>
    <t>WABASH-WAY EXPLODE-ET</t>
  </si>
  <si>
    <t>HOLUSAM000072053347</t>
  </si>
  <si>
    <t>LADYS-MANOR MCDOUGAL-ET</t>
  </si>
  <si>
    <t>HOLIRLM371268281070</t>
  </si>
  <si>
    <t>(IG) BALLAGH PRINCE SPICE</t>
  </si>
  <si>
    <t>BALLAGH NHS LDU SPICE</t>
  </si>
  <si>
    <t>HOLIRLM191482490959</t>
  </si>
  <si>
    <t>SHRONEBEG JACK</t>
  </si>
  <si>
    <t>SHRONEBEG IRP LUCY 716</t>
  </si>
  <si>
    <t>HOLIRLM141163650761</t>
  </si>
  <si>
    <t>(IG) GABRIEL GOLIATH</t>
  </si>
  <si>
    <t>GABRIEL ORLAITH</t>
  </si>
  <si>
    <t>HOLIRLM141631552021</t>
  </si>
  <si>
    <t>(IG) GORTNANOON JULIUS</t>
  </si>
  <si>
    <t>GORTNANOON DEU JULIE</t>
  </si>
  <si>
    <t>HOLIRLM351312681803</t>
  </si>
  <si>
    <t>RHINCRUE SHERLOCK</t>
  </si>
  <si>
    <t>RHINCRUE TILLY 33</t>
  </si>
  <si>
    <t>HOLDEUM000537614316</t>
  </si>
  <si>
    <t>COGENT CELEB-P RED</t>
  </si>
  <si>
    <t>CONNY</t>
  </si>
  <si>
    <t>HOL840M003125201934</t>
  </si>
  <si>
    <t>STANTONS LUCRATIVE-ET</t>
  </si>
  <si>
    <t>OCONNORS LIVING THE DREAM</t>
  </si>
  <si>
    <t>HOLIRLM331140272837</t>
  </si>
  <si>
    <t>KILLAVALLA CHANCE</t>
  </si>
  <si>
    <t>KILLAVALLA PRIMROSE 14</t>
  </si>
  <si>
    <t>HOLIRLM341365661586</t>
  </si>
  <si>
    <t>IMLEACH CUDDY CLIVE</t>
  </si>
  <si>
    <t>IMLEACH BGJ PRIMROSE 1366</t>
  </si>
  <si>
    <t>HOLIRLM281381581712</t>
  </si>
  <si>
    <t>FOWLERSTOWN PROPHET</t>
  </si>
  <si>
    <t>FOWLERSTOWN CROCUS 42</t>
  </si>
  <si>
    <t>MONFRAM003921920863</t>
  </si>
  <si>
    <t>HARPON JB</t>
  </si>
  <si>
    <t>FLIPEX JB</t>
  </si>
  <si>
    <t>ESPERANCE</t>
  </si>
  <si>
    <t>HOLIRLM151604951320</t>
  </si>
  <si>
    <t>(IG) BROWNEY PSZ RATHCORMAC</t>
  </si>
  <si>
    <t>BROWNEY HFL IRIS 563</t>
  </si>
  <si>
    <t>HOLIRLM151941650593</t>
  </si>
  <si>
    <t>NEXTGEN CWJ CANDY 800</t>
  </si>
  <si>
    <t>HOLCANM000107083965</t>
  </si>
  <si>
    <t>VAL-BISSON DOMINIC</t>
  </si>
  <si>
    <t>HOLIRLM151941610598</t>
  </si>
  <si>
    <t>(IG) NEXTGEN YAD ORLA 598</t>
  </si>
  <si>
    <t>HOLIRLM281565481002</t>
  </si>
  <si>
    <t>POSSEXTOWN FAITHFUL</t>
  </si>
  <si>
    <t>POSSEXTOWN ELLIE 866</t>
  </si>
  <si>
    <t>HOLIRLM151776581744</t>
  </si>
  <si>
    <t>BALLYHIMIKIN MEGATRON</t>
  </si>
  <si>
    <t>BALLYHIMIKIN JOSIE</t>
  </si>
  <si>
    <t>HOLIRLM341119071263</t>
  </si>
  <si>
    <t>MOUNTAIN GLENALBYN 7 ET</t>
  </si>
  <si>
    <t>MOUNTAIN FRANZ ROSIE</t>
  </si>
  <si>
    <t>HOLIRLM341062071199</t>
  </si>
  <si>
    <t>KILLBURRY STRONGBOW</t>
  </si>
  <si>
    <t>CIARA 3</t>
  </si>
  <si>
    <t>HOL840M003011001484</t>
  </si>
  <si>
    <t>RI-VAL-RE SSI SS NOLAN-ET</t>
  </si>
  <si>
    <t>RI-VAL-RE SUPER NADINE-ET</t>
  </si>
  <si>
    <t>AYSGBRM207930701116</t>
  </si>
  <si>
    <t>SANDYFORD ELVIS ET</t>
  </si>
  <si>
    <t>HARESFOOT EASLAD ELLA</t>
  </si>
  <si>
    <t>HUNNINGTON BBK EASLAD</t>
  </si>
  <si>
    <t>MRYNLDM000866025047</t>
  </si>
  <si>
    <t>WOESTE POLDER JARKO</t>
  </si>
  <si>
    <t>WOESTE POLDER JANA 10</t>
  </si>
  <si>
    <t>HOL840M003128557418</t>
  </si>
  <si>
    <t>ABS MAYDAY-ET</t>
  </si>
  <si>
    <t>DE-SU 12128 TAILOR-ET</t>
  </si>
  <si>
    <t>BACON-HILL BALISTO MOLLY-ET</t>
  </si>
  <si>
    <t>DFRDEUM001262395827</t>
  </si>
  <si>
    <t>MARTINI ET</t>
  </si>
  <si>
    <t>BEROLI 193</t>
  </si>
  <si>
    <t>BERKO</t>
  </si>
  <si>
    <t>HOLIRLM216138190945</t>
  </si>
  <si>
    <t>(IG) GABRIEL ZORO</t>
  </si>
  <si>
    <t>GABRIEL BUG SUSY</t>
  </si>
  <si>
    <t>HOLIRLM291389011025</t>
  </si>
  <si>
    <t>(IG) ARDNASALEM MONTY ET</t>
  </si>
  <si>
    <t>ARDNASALEM BOOKEM RAVEN 2 ET</t>
  </si>
  <si>
    <t>RDCFINM000000046305</t>
  </si>
  <si>
    <t>VR AUTION EDBO EFECT</t>
  </si>
  <si>
    <t>HEISALAN PONNISTUS</t>
  </si>
  <si>
    <t>HOLNZLM000000114083</t>
  </si>
  <si>
    <t>PINEFIELDS FI DUNCAN S2F</t>
  </si>
  <si>
    <t>3 TITTER-FR</t>
  </si>
  <si>
    <t>HOLIRLM351046011021</t>
  </si>
  <si>
    <t>FALLAGH GZY FLYNRS O 21</t>
  </si>
  <si>
    <t>FALLAGH IRP ADA 730</t>
  </si>
  <si>
    <t>JERNZLM000000512030</t>
  </si>
  <si>
    <t>DAISLEYS RENEGADE</t>
  </si>
  <si>
    <t>HOLIRLM211238181870</t>
  </si>
  <si>
    <t>CARRICKSHOCK QUINT 3</t>
  </si>
  <si>
    <t>DEANGATE QUENTIN</t>
  </si>
  <si>
    <t>CARRICKSHOCK DOLLY 7</t>
  </si>
  <si>
    <t>HOLNLDM000871659084</t>
  </si>
  <si>
    <t>APINA NADAL</t>
  </si>
  <si>
    <t>BOUW ROCKY</t>
  </si>
  <si>
    <t>APINA NADJA 10</t>
  </si>
  <si>
    <t>VERO GOLIATH</t>
  </si>
  <si>
    <t>HOLCANM000011278908</t>
  </si>
  <si>
    <t>JK EDER-I CONTROL</t>
  </si>
  <si>
    <t>GIESSEN CINDERELLA 20</t>
  </si>
  <si>
    <t>HOLIRLM211180382251</t>
  </si>
  <si>
    <t>FIRODA XGA ADEMA 7</t>
  </si>
  <si>
    <t>FIRODA ANY SANDY</t>
  </si>
  <si>
    <t>HOLCANM000012189029</t>
  </si>
  <si>
    <t>STANTONS APPLICABLE</t>
  </si>
  <si>
    <t>STANTONS MCCUTCHEN 1174 AGREE</t>
  </si>
  <si>
    <t>MONFRAM000113016354</t>
  </si>
  <si>
    <t>IOUPY</t>
  </si>
  <si>
    <t>FOUINE</t>
  </si>
  <si>
    <t>COOL</t>
  </si>
  <si>
    <t>HOL840M003127943686</t>
  </si>
  <si>
    <t>S-S-I 1STCLASS FLAGSHIP-ET</t>
  </si>
  <si>
    <t>HOLNZLM000000113014</t>
  </si>
  <si>
    <t>SPRING TRALEE BOSS-ET S3F</t>
  </si>
  <si>
    <t>EDWARDS BANQ OVATION</t>
  </si>
  <si>
    <t>ARKAN MINTS BANGLE</t>
  </si>
  <si>
    <t>JERDNKM000000304254</t>
  </si>
  <si>
    <t>VJ HITMAN</t>
  </si>
  <si>
    <t>VJ RONHOLM HICKEY HIAN</t>
  </si>
  <si>
    <t>HOLIRLM219292141147</t>
  </si>
  <si>
    <t>(IG) BALLYMADDOCK MAGIC</t>
  </si>
  <si>
    <t>BALLYMADDOCK 879A CATHRINE</t>
  </si>
  <si>
    <t>BROGUEISLAND HAROLD</t>
  </si>
  <si>
    <t>HOL840M003134506647</t>
  </si>
  <si>
    <t>SIEMERS MODESTY HAIL-ET</t>
  </si>
  <si>
    <t>COOKIECUTTER MOG HANKER-ET</t>
  </si>
  <si>
    <t>JERIRLM151941640790</t>
  </si>
  <si>
    <t>(IG) NEXTGEN RUBY (ET)</t>
  </si>
  <si>
    <t>RIVERINA MURMURS JET ET</t>
  </si>
  <si>
    <t>HOLIRLM141462551542</t>
  </si>
  <si>
    <t>GURRANES ALAN</t>
  </si>
  <si>
    <t>GURRANES HZO OLIVE 2</t>
  </si>
  <si>
    <t>HOLNLDM000664428633</t>
  </si>
  <si>
    <t>K+L LZ CONAN</t>
  </si>
  <si>
    <t>RED ROCKS K+L LA SPEEDO</t>
  </si>
  <si>
    <t>K+L BL CANDLE P</t>
  </si>
  <si>
    <t>HOLUSAM000073130038</t>
  </si>
  <si>
    <t>JA-BOB REX PP-RED-ET</t>
  </si>
  <si>
    <t>HAHNCREST APPL JAX P-RED-ET</t>
  </si>
  <si>
    <t>GOLDEN-OAKS DURA RAE-P-RED</t>
  </si>
  <si>
    <t>RONELEE SS DURABLE</t>
  </si>
  <si>
    <t>JERNZLM000000513019</t>
  </si>
  <si>
    <t>VAN STRAALENS G-FORCE</t>
  </si>
  <si>
    <t>HOLIRLM361080622276</t>
  </si>
  <si>
    <t>UMMA CUDDY PEAKS</t>
  </si>
  <si>
    <t>UMMA UPH LAURA 1540</t>
  </si>
  <si>
    <t>HOLUSAM000073956539</t>
  </si>
  <si>
    <t>MORNINGVIEW UPRIGHT-ET</t>
  </si>
  <si>
    <t>MORNINGVIEW UNO DANIKA-ET</t>
  </si>
  <si>
    <t>HOLIRLM241372343382</t>
  </si>
  <si>
    <t>(IG) COMMEEN BLACKBOY</t>
  </si>
  <si>
    <t>COMMEEN ZPB BLACKIE</t>
  </si>
  <si>
    <t>HOLIRLM241372343374</t>
  </si>
  <si>
    <t>(IG) COMMEEN TOPMAN</t>
  </si>
  <si>
    <t>COMMEEN SUNNYBANK TRACEY</t>
  </si>
  <si>
    <t>MONFRAM002534223293</t>
  </si>
  <si>
    <t>IALGAN</t>
  </si>
  <si>
    <t>GIGANT</t>
  </si>
  <si>
    <t>3059GRIMAC</t>
  </si>
  <si>
    <t>CORTIL</t>
  </si>
  <si>
    <t>HOL840M003013924009</t>
  </si>
  <si>
    <t>PROGENESIS PIANIST-ET</t>
  </si>
  <si>
    <t>RUSSELLWAY CAMERON PINKY-ET</t>
  </si>
  <si>
    <t>SHEMA JEEVES CAMERON-ET</t>
  </si>
  <si>
    <t>HOLIRLM371015372171</t>
  </si>
  <si>
    <t>HAGGARD MARCO</t>
  </si>
  <si>
    <t>HAGGARD PZS MERRY</t>
  </si>
  <si>
    <t>HOLIRLM141849773719</t>
  </si>
  <si>
    <t>ROEFARM LAMONT CORK</t>
  </si>
  <si>
    <t>BALLYBRIDE EVERT ROSIE</t>
  </si>
  <si>
    <t>HOLIRLM361382690806</t>
  </si>
  <si>
    <t>CASTLEPOLARD WHATS APP</t>
  </si>
  <si>
    <t>CASTLEPOLARD IRP MARY 632</t>
  </si>
  <si>
    <t>HOLNZLM000000511026</t>
  </si>
  <si>
    <t>ARKANS BEAUT ET</t>
  </si>
  <si>
    <t>ARKAN BEAUTIFUL</t>
  </si>
  <si>
    <t>JERDNKM000000304301</t>
  </si>
  <si>
    <t>VJ QUINTANA</t>
  </si>
  <si>
    <t>VJ RODME NYGAARD HUBERT RODME</t>
  </si>
  <si>
    <t>HOLIRLM141501332678</t>
  </si>
  <si>
    <t>(IG) SARSFIELD JOSTAR</t>
  </si>
  <si>
    <t>SARSFIELD JUNE 1719</t>
  </si>
  <si>
    <t>MONFRAM008519408742</t>
  </si>
  <si>
    <t>CRACOTTE</t>
  </si>
  <si>
    <t>HOLIRLM161260264404</t>
  </si>
  <si>
    <t>JEANJO MAGIC</t>
  </si>
  <si>
    <t>JEANJO MONICA 2</t>
  </si>
  <si>
    <t>HOLIRLM151658951564</t>
  </si>
  <si>
    <t>THREERIVERS ORCA</t>
  </si>
  <si>
    <t>THREERIVERS LOUISA</t>
  </si>
  <si>
    <t>JERDNKM000000304271</t>
  </si>
  <si>
    <t>JAS SILVER</t>
  </si>
  <si>
    <t>HOLIRLM222040490910</t>
  </si>
  <si>
    <t>(IG) CRAIGTOWN TORNADO</t>
  </si>
  <si>
    <t>ARDALLEN SFZ JACKIE 3</t>
  </si>
  <si>
    <t>HOLIRLM261006925793</t>
  </si>
  <si>
    <t>(IG) MONAMORE RIPTIDE</t>
  </si>
  <si>
    <t>MONAMORE OBEE RAVEN ET</t>
  </si>
  <si>
    <t>HOLIRLM151157692241</t>
  </si>
  <si>
    <t>(IG) HILLARY SAMSON</t>
  </si>
  <si>
    <t>HILLARY BGZ SARAH 693</t>
  </si>
  <si>
    <t>HOLCANM000011801384</t>
  </si>
  <si>
    <t>RIVERDOWN INCREDIBULL RED</t>
  </si>
  <si>
    <t>OCD MCCUTCHEN DRESSER-ET</t>
  </si>
  <si>
    <t>CHERRY CREST THATS NEAT</t>
  </si>
  <si>
    <t>MARBRI APPLEJACK RED</t>
  </si>
  <si>
    <t>HOLNLDM000714061773</t>
  </si>
  <si>
    <t>RH SUPERMAN</t>
  </si>
  <si>
    <t>K+L MOM PAM</t>
  </si>
  <si>
    <t>HOL840M003008328791</t>
  </si>
  <si>
    <t>S-S-I SHAMROCK MYSTIC-ET</t>
  </si>
  <si>
    <t>JERNZLM000000315503</t>
  </si>
  <si>
    <t>PUKETAWA KING CONNACHT JG</t>
  </si>
  <si>
    <t>PUKETAWA MAU CORONA</t>
  </si>
  <si>
    <t>MARSDEN SN MAUMAU</t>
  </si>
  <si>
    <t>HOLIRLM151166971248</t>
  </si>
  <si>
    <t>(IG) CARRACOUSH OBAMA</t>
  </si>
  <si>
    <t>CARRACOUSH PRIMROSE 97</t>
  </si>
  <si>
    <t>HOLIRLM217457532843</t>
  </si>
  <si>
    <t>MONEEN NAIROBI</t>
  </si>
  <si>
    <t>MONEEN SYDNEY PATCH</t>
  </si>
  <si>
    <t>HOLNZLM000000113086</t>
  </si>
  <si>
    <t>MAIRE IG GAUNTLET-ET</t>
  </si>
  <si>
    <t>INVERNIA TGF IGNITION S3F</t>
  </si>
  <si>
    <t>MAIRE SPICY GABRIELLA-ET</t>
  </si>
  <si>
    <t>HOLNZLM000000513074</t>
  </si>
  <si>
    <t>SCHRADERS TUSK</t>
  </si>
  <si>
    <t>CHOCO CHUNDER</t>
  </si>
  <si>
    <t>ARKANS ATHLETE ET</t>
  </si>
  <si>
    <t>HOLIRLM216498292137</t>
  </si>
  <si>
    <t>(IG) CAPPAUNIAC DARING</t>
  </si>
  <si>
    <t>(IG) MOORABBY LEISTER</t>
  </si>
  <si>
    <t>CAPPAUNIAC DAISY 101</t>
  </si>
  <si>
    <t>HOLIRLM217109120749</t>
  </si>
  <si>
    <t>(IG) CAHERAGH MAYSON</t>
  </si>
  <si>
    <t>CAHERAGH HMY MASSIE 610</t>
  </si>
  <si>
    <t>HOLIRLM223489841434</t>
  </si>
  <si>
    <t>(IG) GARRYADEEN OSCAR</t>
  </si>
  <si>
    <t>GARRYADEEN HYLKE MONICA 958</t>
  </si>
  <si>
    <t>HOLIRLM281379832516</t>
  </si>
  <si>
    <t>(IG) STAMULLEN ANDY 2516</t>
  </si>
  <si>
    <t>STAMULLEN DOIREANN B 1896</t>
  </si>
  <si>
    <t>HOLIRLM211346882855</t>
  </si>
  <si>
    <t>CHURCHCLARA MAURAUDER</t>
  </si>
  <si>
    <t>CHURCHCLARA NAUTICAL CIRCUS</t>
  </si>
  <si>
    <t>HOLGBRM937020160426</t>
  </si>
  <si>
    <t>CASTLEDALE MINISTER</t>
  </si>
  <si>
    <t>CASTLEDALE ROCKET MAVIS 5</t>
  </si>
  <si>
    <t>HOLDEUM000358442822</t>
  </si>
  <si>
    <t>COGENT DISTRICT RED</t>
  </si>
  <si>
    <t>DARLIN  969</t>
  </si>
  <si>
    <t>HOL840M003125170485</t>
  </si>
  <si>
    <t>OCD KINGBOY RAMBO-ET</t>
  </si>
  <si>
    <t>EDG RUBY UNO RAE</t>
  </si>
  <si>
    <t>HOLCANM000012192430</t>
  </si>
  <si>
    <t>SILVERRIDGE V EUCLID</t>
  </si>
  <si>
    <t>SILVERRIDGE V MCCUT ENCHANTED</t>
  </si>
  <si>
    <t>RDCCANM000107821541</t>
  </si>
  <si>
    <t>KAMOURASKA BIGSTAR -ET</t>
  </si>
  <si>
    <t>GENIAL SITUATION -ET</t>
  </si>
  <si>
    <t>JERIRLM151941630988</t>
  </si>
  <si>
    <t>(IG) NEXTGEN MANJU</t>
  </si>
  <si>
    <t>NEXTGEN HILLSTAR ROSE</t>
  </si>
  <si>
    <t>HOLIRLM351148280906</t>
  </si>
  <si>
    <t>KILMANAHAN GZY JOHNATHON</t>
  </si>
  <si>
    <t>KILMANAHAN KOZ AOIFE</t>
  </si>
  <si>
    <t>HOLCHEM120121465150</t>
  </si>
  <si>
    <t>DARLINGO</t>
  </si>
  <si>
    <t>DARLING 3</t>
  </si>
  <si>
    <t>HOLNZLM000000113114</t>
  </si>
  <si>
    <t>RIVERHEIGHTS GB ROGUE S3F</t>
  </si>
  <si>
    <t>HOL840M003131003438</t>
  </si>
  <si>
    <t>S-S-I MODESTY MAGICTOUCH-ET</t>
  </si>
  <si>
    <t>MS SSI BALST T 8971-ET</t>
  </si>
  <si>
    <t>HOLIRLM222198082194</t>
  </si>
  <si>
    <t>KEALFINCHEON GLENNY</t>
  </si>
  <si>
    <t>KEALFINCHEON SUPERSONIC KITTY</t>
  </si>
  <si>
    <t>HOLIRLM151671312088</t>
  </si>
  <si>
    <t>KILLALOUGH SAMIR</t>
  </si>
  <si>
    <t>KILLALOUGH FZC SALLY</t>
  </si>
  <si>
    <t>CASTLEBLAGH RUTHLESS</t>
  </si>
  <si>
    <t>HOLIRLM222458252122</t>
  </si>
  <si>
    <t>(IG) CURRA RED</t>
  </si>
  <si>
    <t>CURRA PIPER PRW</t>
  </si>
  <si>
    <t>JERNZLM000000314052</t>
  </si>
  <si>
    <t>CRESCENT EXCELL MISTY ET</t>
  </si>
  <si>
    <t>MARSDEN NN EXCELL ET</t>
  </si>
  <si>
    <t>CRESCENT RG MADAM</t>
  </si>
  <si>
    <t>HOL840M003014558913</t>
  </si>
  <si>
    <t>ABS MYSTICAL-ET</t>
  </si>
  <si>
    <t>VISION-GEN ALRIGHT-ET</t>
  </si>
  <si>
    <t>MD-MRK-OVF UNO MARGE-ET</t>
  </si>
  <si>
    <t>HOLIRLM218583741177</t>
  </si>
  <si>
    <t>(IG) BALLYDOOGAN TEMPLE</t>
  </si>
  <si>
    <t>BALLYDOOGAN HAZE ROSITA 499</t>
  </si>
  <si>
    <t>HOLIRLM181475041474</t>
  </si>
  <si>
    <t>(IG) KNOCKDOE JACK</t>
  </si>
  <si>
    <t>KNOCKDOE SOK TRUDY</t>
  </si>
  <si>
    <t>HOLIRLM161971532675</t>
  </si>
  <si>
    <t>(IG) WATERWHEEL ROYAL</t>
  </si>
  <si>
    <t>WATERWHEEL OJI THELMA 1181</t>
  </si>
  <si>
    <t>HOLIRLM141462591455</t>
  </si>
  <si>
    <t>GURRANES GWEN MAN</t>
  </si>
  <si>
    <t>HOLIRLM151941630815</t>
  </si>
  <si>
    <t>(IG) NEXTGEN ACTION</t>
  </si>
  <si>
    <t>NEXTGEN WLY BLOSSOM 265</t>
  </si>
  <si>
    <t>HOLIRLM151941620822</t>
  </si>
  <si>
    <t>(IG) NEXTGEN JOSS</t>
  </si>
  <si>
    <t>NEXTGEN SOK JOY 1775</t>
  </si>
  <si>
    <t>HOLIRLM151941630807</t>
  </si>
  <si>
    <t>(IG) NEXTGEN TILLY</t>
  </si>
  <si>
    <t>NEXTGEN ABO CORBY 266</t>
  </si>
  <si>
    <t>HOLNZLM000000514015</t>
  </si>
  <si>
    <t>GLEN KORU ETHOS ET</t>
  </si>
  <si>
    <t>GREENWELL TF BLITZ-ET S3F</t>
  </si>
  <si>
    <t>GLEN KORU O-B EDEN-ET S0F</t>
  </si>
  <si>
    <t>JERDNKM000000304255</t>
  </si>
  <si>
    <t>VJ LESTEN</t>
  </si>
  <si>
    <t>HOLIRLM351066152053</t>
  </si>
  <si>
    <t>CURRA LIGHTNING</t>
  </si>
  <si>
    <t>TISAXON DOUGIE</t>
  </si>
  <si>
    <t>JERNZLM000000314012</t>
  </si>
  <si>
    <t>KAITAKA OI LEOPARD ET</t>
  </si>
  <si>
    <t>KAITAKA TGM LEONIE</t>
  </si>
  <si>
    <t>HOL840M003129037908</t>
  </si>
  <si>
    <t>ENDCO APPRENTICE-ET</t>
  </si>
  <si>
    <t>BLONDIN TJR SUPERSIRE AROMA</t>
  </si>
  <si>
    <t>JERIRLM151941610821</t>
  </si>
  <si>
    <t>(IG) NEXTGEN RIVET</t>
  </si>
  <si>
    <t>HOLUSAM000143754338</t>
  </si>
  <si>
    <t>SCIENTIFIC DOPPLER</t>
  </si>
  <si>
    <t>SCIENTIFIC D CAMBRIA RAE-ET</t>
  </si>
  <si>
    <t>HOLNLDM000753771246</t>
  </si>
  <si>
    <t>FARMERS WISH ALLEGRO</t>
  </si>
  <si>
    <t>BIG SPELL</t>
  </si>
  <si>
    <t>COMBI ROZA 32</t>
  </si>
  <si>
    <t>NEW FARM BRITT PRINCE TV TL TY</t>
  </si>
  <si>
    <t>HOLIRLM219081622756</t>
  </si>
  <si>
    <t>(IG) COOLNASOON DIFF</t>
  </si>
  <si>
    <t>COOLNASOON NUALA 36</t>
  </si>
  <si>
    <t>HOL840M003130920421</t>
  </si>
  <si>
    <t>SIEMERS BLOOMFIELD-ET</t>
  </si>
  <si>
    <t>SIEMERS UNO BOMBI-ET</t>
  </si>
  <si>
    <t>HOLIRLM222171624021</t>
  </si>
  <si>
    <t>(IG)PALLASKENRY PREMIER</t>
  </si>
  <si>
    <t>PALLASKENRY ZPB REBECCA 1513</t>
  </si>
  <si>
    <t>HOLIRLM216166341590</t>
  </si>
  <si>
    <t>RADNEY MILL</t>
  </si>
  <si>
    <t>RADNEY BYJ DEBORAH</t>
  </si>
  <si>
    <t>HOLIRLM216818280957</t>
  </si>
  <si>
    <t>BRIDEPARK GRANDSLAM</t>
  </si>
  <si>
    <t>BRIDEPARK AKZ KAREN</t>
  </si>
  <si>
    <t>JERDNKM000000304410</t>
  </si>
  <si>
    <t>VJ HASMARK LIBERO LOTTO</t>
  </si>
  <si>
    <t>AYSDNKM000000047558</t>
  </si>
  <si>
    <t>VR ALITALON FONDA FREEZE</t>
  </si>
  <si>
    <t>VIKINGRED FIMBE FONDA P</t>
  </si>
  <si>
    <t>437 JARTSA</t>
  </si>
  <si>
    <t>H¿LLOM</t>
  </si>
  <si>
    <t>HOLNZLM000000514040</t>
  </si>
  <si>
    <t>BALANTIS BENNIE</t>
  </si>
  <si>
    <t>SPEAKES BOLTER</t>
  </si>
  <si>
    <t>TAMMY</t>
  </si>
  <si>
    <t>HOLIRLM215730652285</t>
  </si>
  <si>
    <t>(IG) FOXVIEW BOND</t>
  </si>
  <si>
    <t>FOXVIEW BWZ RINGO</t>
  </si>
  <si>
    <t>MRYNLDM000658102156</t>
  </si>
  <si>
    <t>DE VINKENHOF LAKE</t>
  </si>
  <si>
    <t>JARON</t>
  </si>
  <si>
    <t>DE VINKENHOF ROZA 86</t>
  </si>
  <si>
    <t>HOL840M003133065179</t>
  </si>
  <si>
    <t>MR MONSTER-ET</t>
  </si>
  <si>
    <t>PROGENESIS BOMBERO MARY-ET</t>
  </si>
  <si>
    <t>HOLGBRM000000637341</t>
  </si>
  <si>
    <t>DEANGATE CONSUL</t>
  </si>
  <si>
    <t>DEANGATE CINDY 27</t>
  </si>
  <si>
    <t>HUNDAY BULLION</t>
  </si>
  <si>
    <t>HOLDEUM000951596685</t>
  </si>
  <si>
    <t>RHO MAKARI PP</t>
  </si>
  <si>
    <t>MISSION P RDC</t>
  </si>
  <si>
    <t>DAMIRA</t>
  </si>
  <si>
    <t>JERIRLM151941630864</t>
  </si>
  <si>
    <t>NEXTGEN MOTORWAY (ET)</t>
  </si>
  <si>
    <t>HOLITAM017991786510</t>
  </si>
  <si>
    <t>VILLY SILVIO</t>
  </si>
  <si>
    <t>VILLY</t>
  </si>
  <si>
    <t>JERDNKM000000304576</t>
  </si>
  <si>
    <t>VJ AGERDAL GISLEV GARANT</t>
  </si>
  <si>
    <t>VJ BLANKE JASON JANKO</t>
  </si>
  <si>
    <t>HOLIRLM223232191879</t>
  </si>
  <si>
    <t>IMLEACH BRILLANT DIAMOND SRM</t>
  </si>
  <si>
    <t>IMLEACH BGJ PRIMROSE 1500</t>
  </si>
  <si>
    <t>HOL840M003129037624</t>
  </si>
  <si>
    <t>IHG CAINE-ET</t>
  </si>
  <si>
    <t>WELCOME MCCUTCH CRYSTAL-ET</t>
  </si>
  <si>
    <t>HOLGBRM937020163856</t>
  </si>
  <si>
    <t>CASTLEDALE EROS</t>
  </si>
  <si>
    <t>HOLIRLM211346892204</t>
  </si>
  <si>
    <t>CHURCHCLARA HUB</t>
  </si>
  <si>
    <t>CHURCHCLARA BOUNTY ROXY</t>
  </si>
  <si>
    <t>JERDNKM000000304568</t>
  </si>
  <si>
    <t>VJ BALSLEV LOBO CHOKO</t>
  </si>
  <si>
    <t>VJ TOSTENAES LUTZ LOBO</t>
  </si>
  <si>
    <t>VJ HUBERT HAVDAL</t>
  </si>
  <si>
    <t>HOL840M003124720459</t>
  </si>
  <si>
    <t>SEAGULL-BAY-MJ APPLEJAX-ET</t>
  </si>
  <si>
    <t>SEAGULL-BAY ALEXA THREE-ET</t>
  </si>
  <si>
    <t>HOLGBRM706793703386</t>
  </si>
  <si>
    <t>AINTREE PAXTON ET</t>
  </si>
  <si>
    <t>HOL840M003011538082</t>
  </si>
  <si>
    <t>S-S-I SUPERSIRE MODESTO-ET</t>
  </si>
  <si>
    <t>S-S-I BOOKEM MODESTO7269-ET</t>
  </si>
  <si>
    <t>HOLIRLM219081633136</t>
  </si>
  <si>
    <t>COOLNASOON DIAMOND NUA SRM</t>
  </si>
  <si>
    <t>HOLDEUM000122579108</t>
  </si>
  <si>
    <t>SAKAI RED</t>
  </si>
  <si>
    <t>HARTFORD LONG SVEEN 524-ET</t>
  </si>
  <si>
    <t>MASSIA 10</t>
  </si>
  <si>
    <t>MRYDEUM000122261810</t>
  </si>
  <si>
    <t>MONEY DN</t>
  </si>
  <si>
    <t>LACHMOEWE</t>
  </si>
  <si>
    <t>HOLIRLM224189540856</t>
  </si>
  <si>
    <t>BALLINTOSIG DELL BOY</t>
  </si>
  <si>
    <t>BALLINTOSIG PKR ANNIE 655</t>
  </si>
  <si>
    <t>HOLIRLM222276671870</t>
  </si>
  <si>
    <t>SCARTFLESK RONALD</t>
  </si>
  <si>
    <t>SCARTFLESK FLT FIDELMA 1160</t>
  </si>
  <si>
    <t>HOLIRLM224189560833</t>
  </si>
  <si>
    <t>BALLINTOSIG REAL MC COY</t>
  </si>
  <si>
    <t>BALLINTOSIG SOK AMBER 534</t>
  </si>
  <si>
    <t>HOL840M003137908291</t>
  </si>
  <si>
    <t>CO-OP BSF SURG SLAM DUNK-ET</t>
  </si>
  <si>
    <t>CO-OP AARDEMA SURGEON-ET</t>
  </si>
  <si>
    <t>CO-OP SUPERSR CANDY 7332-ET</t>
  </si>
  <si>
    <t>HOLITAM002700044854</t>
  </si>
  <si>
    <t>TORVIS CORDOBES</t>
  </si>
  <si>
    <t>TORVIS 43518</t>
  </si>
  <si>
    <t>HOLFRAM002290038601</t>
  </si>
  <si>
    <t>BRUNE</t>
  </si>
  <si>
    <t>HOLGBRM000000604027</t>
  </si>
  <si>
    <t>LYNBROOK GOODMAN B ET</t>
  </si>
  <si>
    <t>LYNBROOK LOLLIE ET</t>
  </si>
  <si>
    <t>HOLFRAM003594000491</t>
  </si>
  <si>
    <t>HOLNLDM000162431076</t>
  </si>
  <si>
    <t>VISSTEIN WONDER GIRL</t>
  </si>
  <si>
    <t>HOLFRAM004986001368</t>
  </si>
  <si>
    <t>BOILEAU BUCK</t>
  </si>
  <si>
    <t>VAIRMANE</t>
  </si>
  <si>
    <t>HOLGBRM000000535256</t>
  </si>
  <si>
    <t>MANORPOWIS GRAMPIAN ET</t>
  </si>
  <si>
    <t>HOLGBRM000000571315</t>
  </si>
  <si>
    <t>MOET FLIRT GUESSWORK ET</t>
  </si>
  <si>
    <t>HOLGBRM000000518661</t>
  </si>
  <si>
    <t>CREVA MILEY ET</t>
  </si>
  <si>
    <t>HOLNLDM000199301511</t>
  </si>
  <si>
    <t>QG KING</t>
  </si>
  <si>
    <t>HOLNLDM000193615384</t>
  </si>
  <si>
    <t>CALAXY LUCK</t>
  </si>
  <si>
    <t>HOLNLDM000796758934</t>
  </si>
  <si>
    <t>VEN 105 TESK ROCKEY</t>
  </si>
  <si>
    <t>HOLFRAM004591002414</t>
  </si>
  <si>
    <t>GAIAC</t>
  </si>
  <si>
    <t>BICEPS</t>
  </si>
  <si>
    <t>NOMRAH CONDUCTOR TOM-TWIN</t>
  </si>
  <si>
    <t>HOLGBRM000000578003</t>
  </si>
  <si>
    <t>CRADENHILL EB ELIOT ET</t>
  </si>
  <si>
    <t>TWINBDAIRY E-B FLORRIE</t>
  </si>
  <si>
    <t>HOLUSAM000002209298</t>
  </si>
  <si>
    <t>AGRIPRIZE NICOLAS ET</t>
  </si>
  <si>
    <t>AGRIPRIZE B-STAR NICOLE ET</t>
  </si>
  <si>
    <t>HOLFRAM003586026134</t>
  </si>
  <si>
    <t>BISON FUTE</t>
  </si>
  <si>
    <t>TIGER-LILY TESSIE CONDUCTOR</t>
  </si>
  <si>
    <t>HOLGBRM000000525917</t>
  </si>
  <si>
    <t>HOLCANM000005429693</t>
  </si>
  <si>
    <t>OLIVEHOLME MARK BECKY</t>
  </si>
  <si>
    <t>HOLGBRM141221330487</t>
  </si>
  <si>
    <t>MONFRAM007093002001</t>
  </si>
  <si>
    <t>ICOGLAN</t>
  </si>
  <si>
    <t>BELINDEX</t>
  </si>
  <si>
    <t>BELLA</t>
  </si>
  <si>
    <t>OTARI</t>
  </si>
  <si>
    <t>HOLIRLM141790560607</t>
  </si>
  <si>
    <t>CARRAIGBUI FERRO</t>
  </si>
  <si>
    <t>FACTORY EURO FARM FOODS</t>
  </si>
  <si>
    <t>CARRAIGBUI GRACE 27</t>
  </si>
  <si>
    <t>MONFRAM002592023397</t>
  </si>
  <si>
    <t>HIGGINS</t>
  </si>
  <si>
    <t>FOLLE AU V</t>
  </si>
  <si>
    <t>HOLIRLM351168482378</t>
  </si>
  <si>
    <t>LAURAGH HORACE</t>
  </si>
  <si>
    <t>HOLIRLM131731741400</t>
  </si>
  <si>
    <t>(IG) MEENROSS MILEY</t>
  </si>
  <si>
    <t>MEENROSS SPW SILVER 434</t>
  </si>
  <si>
    <t>HOLIRLM151051170467</t>
  </si>
  <si>
    <t>CLONARD ALEX</t>
  </si>
  <si>
    <t>BAWNTOWN BEATTIE 21</t>
  </si>
  <si>
    <t>HOLDEUM000578891748</t>
  </si>
  <si>
    <t>QG ELAINE ET</t>
  </si>
  <si>
    <t>BRFGBRM000000626575</t>
  </si>
  <si>
    <t>DEANGATE QUEENIE 14</t>
  </si>
  <si>
    <t>HOLIRLM351026441220</t>
  </si>
  <si>
    <t>SPARTA FRONTO</t>
  </si>
  <si>
    <t>SPARTA MARS FRANCES</t>
  </si>
  <si>
    <t>HOLIRLM221106250677</t>
  </si>
  <si>
    <t>HOLDEUM000578066919</t>
  </si>
  <si>
    <t>ROCKMAN</t>
  </si>
  <si>
    <t>IKENIA</t>
  </si>
  <si>
    <t>HOLIRLM182477820561</t>
  </si>
  <si>
    <t>SHRAGH NARISTI</t>
  </si>
  <si>
    <t>SHRAGH GMI ELLEN</t>
  </si>
  <si>
    <t>HOLDEUM001021112294</t>
  </si>
  <si>
    <t>BELL THOR ET</t>
  </si>
  <si>
    <t>LANZE</t>
  </si>
  <si>
    <t>HOLNLDM000815840444</t>
  </si>
  <si>
    <t>BOKSLOOT PRISMA</t>
  </si>
  <si>
    <t>QUIETCOVERAR PRISCILLA</t>
  </si>
  <si>
    <t>MONFRAM003934298074</t>
  </si>
  <si>
    <t>LITANIE</t>
  </si>
  <si>
    <t>HOLNLDM000260659264</t>
  </si>
  <si>
    <t>BEVERLAKE LOUSON</t>
  </si>
  <si>
    <t>HOLNLDM000384153099</t>
  </si>
  <si>
    <t>DROMENLAND PLATINA</t>
  </si>
  <si>
    <t>DROMEN 1 BRONS</t>
  </si>
  <si>
    <t>HOLIRLM151140940581</t>
  </si>
  <si>
    <t>WINDYHILL ROGER</t>
  </si>
  <si>
    <t>WINDYHILL MFX HELEN ROSE</t>
  </si>
  <si>
    <t>HOLFRAM007697011527</t>
  </si>
  <si>
    <t>JERDNKM000000302708</t>
  </si>
  <si>
    <t>MONFRAM008526208283</t>
  </si>
  <si>
    <t>SATURNE</t>
  </si>
  <si>
    <t>VITESSE</t>
  </si>
  <si>
    <t>HOLUSAM000061720218</t>
  </si>
  <si>
    <t>KHW ELM-PARK ACME-ET</t>
  </si>
  <si>
    <t>HOLUSAM000062744517</t>
  </si>
  <si>
    <t>REGANCREST B BRENDAL-ET</t>
  </si>
  <si>
    <t>MONFRAM002538941976</t>
  </si>
  <si>
    <t>SCALA</t>
  </si>
  <si>
    <t>JOBLANDIN</t>
  </si>
  <si>
    <t>HOLIRLM151620982905</t>
  </si>
  <si>
    <t>MODELIGO HARRY</t>
  </si>
  <si>
    <t>MODELIGO BWZ FRAN 1706</t>
  </si>
  <si>
    <t>HOLDEUM000534650505</t>
  </si>
  <si>
    <t>RH NORWIN</t>
  </si>
  <si>
    <t>HIGHLAND-H STORMIN NORMAN</t>
  </si>
  <si>
    <t>RH MEGGILEE</t>
  </si>
  <si>
    <t>JERNZLM000000511007</t>
  </si>
  <si>
    <t>CASTLEGRACE MAKO</t>
  </si>
  <si>
    <t>JERNZLM000000512021</t>
  </si>
  <si>
    <t>INGRAMS ICONIC</t>
  </si>
  <si>
    <t>MONFRAM003924560371</t>
  </si>
  <si>
    <t>APPOLO JB</t>
  </si>
  <si>
    <t>NUCLEUS</t>
  </si>
  <si>
    <t>HOLFRAM005627987648</t>
  </si>
  <si>
    <t>LE TRIONNAIRE ALT HAMISH</t>
  </si>
  <si>
    <t>FUTURE DREAM H. BROCADE 2</t>
  </si>
  <si>
    <t>HOLIRLM351066111340</t>
  </si>
  <si>
    <t>HOLUSAM000070122825</t>
  </si>
  <si>
    <t>GRANDEUR TANNENBAUM-ET</t>
  </si>
  <si>
    <t>GRANDEUR MASSEY TILLY-ET</t>
  </si>
  <si>
    <t>RDCNORM000000011033</t>
  </si>
  <si>
    <t>REITAN 2</t>
  </si>
  <si>
    <t>DAGROS</t>
  </si>
  <si>
    <t>HOLIRLM151034590718</t>
  </si>
  <si>
    <t xml:space="preserve">OAKGLEN HMY HELENA </t>
  </si>
  <si>
    <t>HOLIRLM371294760962</t>
  </si>
  <si>
    <t>KILTREA MARK</t>
  </si>
  <si>
    <t>KILTREA NUALA 24</t>
  </si>
  <si>
    <t>HOLDEUM000537760007</t>
  </si>
  <si>
    <t>DEVELOP</t>
  </si>
  <si>
    <t>OXA</t>
  </si>
  <si>
    <t>MR LOREN-RED-ET</t>
  </si>
  <si>
    <t>HOLIRLM121528432402</t>
  </si>
  <si>
    <t>(IG) RAMOR BILLY</t>
  </si>
  <si>
    <t>RAMOR DVY BIDDY</t>
  </si>
  <si>
    <t>HOLIRLM151623413152</t>
  </si>
  <si>
    <t>BALLYBRIDE WAU SHERRY</t>
  </si>
  <si>
    <t>HOLIRLM151330013926</t>
  </si>
  <si>
    <t>SPRINGHAVEN WIZARD</t>
  </si>
  <si>
    <t>SPRINGHAVEN MAID 2279</t>
  </si>
  <si>
    <t>JERIRLM331079636045</t>
  </si>
  <si>
    <t>BIRR CASTLE BOY</t>
  </si>
  <si>
    <t>HOLIRLM211180352224</t>
  </si>
  <si>
    <t>FIRODA XGA ADEMA 5</t>
  </si>
  <si>
    <t>FIRODA RIP TWINK</t>
  </si>
  <si>
    <t>HOLIRLM222793142980</t>
  </si>
  <si>
    <t>ROOVESBRIDGE DAKAR</t>
  </si>
  <si>
    <t>ROOVESBRIDGE ROSIE 2674</t>
  </si>
  <si>
    <t>HOLIRLM251123972477</t>
  </si>
  <si>
    <t>CLOONDARA ADMIRAL</t>
  </si>
  <si>
    <t>CLOONDARA SALLY 1985</t>
  </si>
  <si>
    <t>HOLCANM000012719248</t>
  </si>
  <si>
    <t>PROGENESIS METHOD</t>
  </si>
  <si>
    <t>PROGENESIS GRANITE</t>
  </si>
  <si>
    <t>PROGENESIS PENMANSHIP MARS</t>
  </si>
  <si>
    <t>JERIRLM151941670793</t>
  </si>
  <si>
    <t>NEXTGEN PACMAN (ET)</t>
  </si>
  <si>
    <t>BIRCHWOOD JEST 13-67 SOJ</t>
  </si>
  <si>
    <t>HOLIRLM212492811644</t>
  </si>
  <si>
    <t>(IG) MOUNTDUDLEY JOKER</t>
  </si>
  <si>
    <t>MOUNTDUDLEY GARNETT SAPHIRE</t>
  </si>
  <si>
    <t>HOLUSAM000073316308</t>
  </si>
  <si>
    <t>WEIGELINE JACEY TABASCO-ET</t>
  </si>
  <si>
    <t>WEIGELINE BOOKEM 2007</t>
  </si>
  <si>
    <t>BRFGBRM387868200795</t>
  </si>
  <si>
    <t>GOONHILLY GABRIEL</t>
  </si>
  <si>
    <t>GOONHILLY HYL WINNIE</t>
  </si>
  <si>
    <t>HOLGBRM000000540828</t>
  </si>
  <si>
    <t>GORNAL STAR BONUS ET</t>
  </si>
  <si>
    <t>HOLNLDM000140023774</t>
  </si>
  <si>
    <t>BON QUICK 1074</t>
  </si>
  <si>
    <t>NMDFRAM004992018489</t>
  </si>
  <si>
    <t>FRAN DATTE</t>
  </si>
  <si>
    <t>JERUSAM000000651068</t>
  </si>
  <si>
    <t>GREENRIDGE FW CHIEF ALTHEA</t>
  </si>
  <si>
    <t>YANKEE F W CHIEF</t>
  </si>
  <si>
    <t>JERDNKM000000047843</t>
  </si>
  <si>
    <t>SHADEWELL FASCINATOR</t>
  </si>
  <si>
    <t>MONFRAM003991000908</t>
  </si>
  <si>
    <t>GRAFITI</t>
  </si>
  <si>
    <t>BELLANDONA</t>
  </si>
  <si>
    <t>MONFRAM002594014627</t>
  </si>
  <si>
    <t>DOCILE</t>
  </si>
  <si>
    <t>HOLDEUM001015147348</t>
  </si>
  <si>
    <t>DEKKER CLOWN</t>
  </si>
  <si>
    <t>ORA (DEU)</t>
  </si>
  <si>
    <t>HOLUSAM000018030601</t>
  </si>
  <si>
    <t>SULLY WADE DAVID</t>
  </si>
  <si>
    <t>SULLY ELTON AGAIN</t>
  </si>
  <si>
    <t>HOLNLDM000777430664</t>
  </si>
  <si>
    <t>HOLGBRM000000531179</t>
  </si>
  <si>
    <t>BALLINAHINA REVELATION</t>
  </si>
  <si>
    <t>BRFGBRM000000514547</t>
  </si>
  <si>
    <t>CROMAGLOUN DUNIAN</t>
  </si>
  <si>
    <t>OURVIEW MARIDUNIAN</t>
  </si>
  <si>
    <t>CROMAGLOUN LADY SWEET</t>
  </si>
  <si>
    <t>HOLGBRM000000544408</t>
  </si>
  <si>
    <t>CHADVALLEY CYPRUSS</t>
  </si>
  <si>
    <t>RIPVALLEY VALIANT NI RUSS ET</t>
  </si>
  <si>
    <t>CHADVALLEY SHIRLEY 4</t>
  </si>
  <si>
    <t>HOLNLDM000839403083</t>
  </si>
  <si>
    <t>HSTIENS ESPRIT</t>
  </si>
  <si>
    <t>HOLFRAM002993001041</t>
  </si>
  <si>
    <t>MILKBOARD IMPERIOUS</t>
  </si>
  <si>
    <t>C ROLLS</t>
  </si>
  <si>
    <t>HOLUSAM000002027846</t>
  </si>
  <si>
    <t>CONANT ACRES JY NBOY CARY</t>
  </si>
  <si>
    <t>HOLNZLM000000095223</t>
  </si>
  <si>
    <t>DELTA GEISHA</t>
  </si>
  <si>
    <t>HOLNLDM000123190772</t>
  </si>
  <si>
    <t>HARDTAC BES</t>
  </si>
  <si>
    <t>PRICES CLEITUS BESSIE ET</t>
  </si>
  <si>
    <t>HOLGBRM000000532879</t>
  </si>
  <si>
    <t>MARLAIS LONER</t>
  </si>
  <si>
    <t>MARLAIS LASSIE 30 ET</t>
  </si>
  <si>
    <t>MMB THAMESDALE SUPERSTAR</t>
  </si>
  <si>
    <t>HOLCANM000000387683</t>
  </si>
  <si>
    <t>MAPEL WOOD TIGER CAT ET</t>
  </si>
  <si>
    <t>HOLNLDM000190706180</t>
  </si>
  <si>
    <t>PROFIT BRIGES</t>
  </si>
  <si>
    <t>SHD JETTI</t>
  </si>
  <si>
    <t>HOLNLDM000860788461</t>
  </si>
  <si>
    <t>QG BELL FUTURE ET</t>
  </si>
  <si>
    <t>HOLNLDM000177526217</t>
  </si>
  <si>
    <t>QG TRANSFER</t>
  </si>
  <si>
    <t>QG T EBONY ET</t>
  </si>
  <si>
    <t>HOLGBRM000000544049</t>
  </si>
  <si>
    <t>KNOCKSKEAGH ENVOY</t>
  </si>
  <si>
    <t>A PUGET-SOUND OVS ENVOY</t>
  </si>
  <si>
    <t>KNOCKSKEAGH ROCK HELEN</t>
  </si>
  <si>
    <t>HOLNLDM000134583743</t>
  </si>
  <si>
    <t>BOS RIPP ET</t>
  </si>
  <si>
    <t>RIPVALLEY MONARCH NA-TONY-TWIN</t>
  </si>
  <si>
    <t>BOS ODIUM ET</t>
  </si>
  <si>
    <t>CARLIN-MAYER CAPRIE-ET</t>
  </si>
  <si>
    <t>HOLUSAM000002155633</t>
  </si>
  <si>
    <t>SFL BOOTPEG SW BELMONT ET</t>
  </si>
  <si>
    <t>PRICES BOOTPEG BESS</t>
  </si>
  <si>
    <t>HOLUSAM000002125552</t>
  </si>
  <si>
    <t>LANGACRES LOVER</t>
  </si>
  <si>
    <t>LANGACRES VALIANT LOVE ET</t>
  </si>
  <si>
    <t>HOLFRAM002995001491</t>
  </si>
  <si>
    <t>LETHNY KDH</t>
  </si>
  <si>
    <t>GRANADA</t>
  </si>
  <si>
    <t>HOLNLDM000117376986</t>
  </si>
  <si>
    <t>HANOVERHILL ATLAS ET</t>
  </si>
  <si>
    <t>HOLUSAM000002189589</t>
  </si>
  <si>
    <t>RIDGEHEIGHTS MORRIS</t>
  </si>
  <si>
    <t>RIDGE-HEIGHTS NED BOY TAMMY</t>
  </si>
  <si>
    <t>HOLUSAM000002125686</t>
  </si>
  <si>
    <t>LONTE BLACKSTAR JEWEL</t>
  </si>
  <si>
    <t>PAPPYS JEWELBOX</t>
  </si>
  <si>
    <t>HOLNLDM000197723054</t>
  </si>
  <si>
    <t>OELHORST CLINTON</t>
  </si>
  <si>
    <t>OELHORST C 3</t>
  </si>
  <si>
    <t>HOLCANM000000390900</t>
  </si>
  <si>
    <t>MEADOW BRIDGE MILLIONAIRE</t>
  </si>
  <si>
    <t>MEADOW BRIDGE MARCY ET</t>
  </si>
  <si>
    <t>HOLCANM000006388683</t>
  </si>
  <si>
    <t>COMESTAR REVOLUTION</t>
  </si>
  <si>
    <t>HOLNLDM000299100429</t>
  </si>
  <si>
    <t>FRANKENHOF GOLDEN</t>
  </si>
  <si>
    <t>FRANKENHOF GRAEFIN 34</t>
  </si>
  <si>
    <t>HOLNZLM000000096345</t>
  </si>
  <si>
    <t>SRB BALLS HERITAGE</t>
  </si>
  <si>
    <t>BALLS CHIEF ROSIE</t>
  </si>
  <si>
    <t>BUCKLIN FRANCISCO CHIEF</t>
  </si>
  <si>
    <t>HOLITAM004006022353</t>
  </si>
  <si>
    <t>VAYE LEADMAN EXTRAFELIX</t>
  </si>
  <si>
    <t>VAYE C MARK IMENDX</t>
  </si>
  <si>
    <t>HOLGBRM000000548043</t>
  </si>
  <si>
    <t>VIEWHOUSE BEAR</t>
  </si>
  <si>
    <t>VIEWHOUSE RUBY</t>
  </si>
  <si>
    <t>MMB ASTRONAUT CASTOR</t>
  </si>
  <si>
    <t>HOLGBRM000000562192</t>
  </si>
  <si>
    <t>DUNOWEN ADMIRAL ET</t>
  </si>
  <si>
    <t>HOLGBRM000000563746</t>
  </si>
  <si>
    <t>MOET FLIRT FRANCIS ET</t>
  </si>
  <si>
    <t>HOLUSAM000002160458</t>
  </si>
  <si>
    <t>BRABANT NED BOY PAULA</t>
  </si>
  <si>
    <t>HOLFRAM004490045140</t>
  </si>
  <si>
    <t>FENEC STAR</t>
  </si>
  <si>
    <t>BUSSI</t>
  </si>
  <si>
    <t>HOLFRAM005794016636</t>
  </si>
  <si>
    <t>PROGRESSIVE JANNIX</t>
  </si>
  <si>
    <t>STYLLBOY</t>
  </si>
  <si>
    <t>HOLNLDM000178602828</t>
  </si>
  <si>
    <t>HSTIENS FOSTER</t>
  </si>
  <si>
    <t>HOLSTIENS FLEUR</t>
  </si>
  <si>
    <t>HOLFRAM004586003096</t>
  </si>
  <si>
    <t>BRUX</t>
  </si>
  <si>
    <t>CRESCENTMEAD CHIEF STEWART</t>
  </si>
  <si>
    <t>PROSE 386</t>
  </si>
  <si>
    <t>HOLFRAM005691021360</t>
  </si>
  <si>
    <t>GUICHET SO</t>
  </si>
  <si>
    <t>ELOGE</t>
  </si>
  <si>
    <t>HOLUSAM000002074878</t>
  </si>
  <si>
    <t>TAHITI BEAUT BONAIRE ET</t>
  </si>
  <si>
    <t>CARNATION CHAIRMAN BELINDA ET</t>
  </si>
  <si>
    <t>HOLDEUM001021247903</t>
  </si>
  <si>
    <t>PRELWEISS</t>
  </si>
  <si>
    <t>HOLCANM000006487689</t>
  </si>
  <si>
    <t>TCET LYSTER</t>
  </si>
  <si>
    <t>TCET LYS</t>
  </si>
  <si>
    <t>MONFRAM003894010659</t>
  </si>
  <si>
    <t>EGLANTINE</t>
  </si>
  <si>
    <t>HOLNLDM000183091574</t>
  </si>
  <si>
    <t>MRYNLDM000456745672</t>
  </si>
  <si>
    <t>KAREL 6</t>
  </si>
  <si>
    <t>HOLIRLM221106290714</t>
  </si>
  <si>
    <t>REARY MCGINLEY</t>
  </si>
  <si>
    <t>HOLUSAM000002163822</t>
  </si>
  <si>
    <t>SHEN-VAL MARK FAY</t>
  </si>
  <si>
    <t>HOLIRLM141411790775</t>
  </si>
  <si>
    <t>KILGARRIFFE TAWS 2ND</t>
  </si>
  <si>
    <t>KILGARRIFFE SUNNY PIETJE ET</t>
  </si>
  <si>
    <t>HOLIRLM221354290338</t>
  </si>
  <si>
    <t>HOLGBRM000000552900</t>
  </si>
  <si>
    <t>KILGARRIFFE SOUTHWIND 7</t>
  </si>
  <si>
    <t>HOLIRLM331332630356</t>
  </si>
  <si>
    <t>MARYLAND MOYNE 1</t>
  </si>
  <si>
    <t>MARYLAND OLIVE 2</t>
  </si>
  <si>
    <t>HOLDEUM000577788826</t>
  </si>
  <si>
    <t>KONVOY</t>
  </si>
  <si>
    <t>HOLGBRM000000518683</t>
  </si>
  <si>
    <t>DOVEA INDUS ET</t>
  </si>
  <si>
    <t>HOLIRLM141650531005</t>
  </si>
  <si>
    <t>(IG) VIADUCTVIEW RAYMOND</t>
  </si>
  <si>
    <t>VIADUCTVIEW MAEVE 14</t>
  </si>
  <si>
    <t>HOLUSAM000062496430</t>
  </si>
  <si>
    <t>REGAN ALH G DERREN ET</t>
  </si>
  <si>
    <t>HOLDNKM000000238091</t>
  </si>
  <si>
    <t>VAR CALANO</t>
  </si>
  <si>
    <t>HOLNLDM000380544206</t>
  </si>
  <si>
    <t>YNDYKS MARCO</t>
  </si>
  <si>
    <t>TEXEL BEAUTY MARISE</t>
  </si>
  <si>
    <t>HOLUSAM000122270020</t>
  </si>
  <si>
    <t>EMERALD-ACR-SA T-FRITZ ET</t>
  </si>
  <si>
    <t>EMERALD-ACR-SA TRIX</t>
  </si>
  <si>
    <t>HOLGBRM000000588352</t>
  </si>
  <si>
    <t>DOVEA FRENCH</t>
  </si>
  <si>
    <t>RDCNORM000000005706</t>
  </si>
  <si>
    <t>I.HANSMOEN</t>
  </si>
  <si>
    <t>HOLIRLM351066190614</t>
  </si>
  <si>
    <t>CURRA MCL LAR</t>
  </si>
  <si>
    <t>CURRA RED EVE</t>
  </si>
  <si>
    <t>MONFRAM003926881262</t>
  </si>
  <si>
    <t>RALPH JB</t>
  </si>
  <si>
    <t>MAYENNE</t>
  </si>
  <si>
    <t>HOLCANM000005354493</t>
  </si>
  <si>
    <t>FRAELAND LEADOFF</t>
  </si>
  <si>
    <t>CALBRETT VALIANT APRIL</t>
  </si>
  <si>
    <t>HOLDEUM000345785578</t>
  </si>
  <si>
    <t>LICHTBLICK-RED-ET</t>
  </si>
  <si>
    <t>OLORE PB</t>
  </si>
  <si>
    <t>HOLCANM000008209795</t>
  </si>
  <si>
    <t>GILLETTE CUTLER</t>
  </si>
  <si>
    <t>HOLNZLM000000106144</t>
  </si>
  <si>
    <t>STEWARTS HD PROPHET</t>
  </si>
  <si>
    <t>HOLIRLM151016251639</t>
  </si>
  <si>
    <t>COOLEHOUSE  PANDA</t>
  </si>
  <si>
    <t>COOLEHOUSE BREIZ PANSY 3</t>
  </si>
  <si>
    <t>HOLIRLM141617980898</t>
  </si>
  <si>
    <t>BALLINDEASIG BELLA</t>
  </si>
  <si>
    <t>BALLINDEASIG GALTEE BELLA</t>
  </si>
  <si>
    <t>HOLNLDM000775299568</t>
  </si>
  <si>
    <t>BARNKAMPER QUALITY</t>
  </si>
  <si>
    <t>LAUDIA SYN 17 ET</t>
  </si>
  <si>
    <t>HOLIRLM151803970636</t>
  </si>
  <si>
    <t>(IG) SHANMAC MOBILE</t>
  </si>
  <si>
    <t>SHANMAC SLOGAN CLEO</t>
  </si>
  <si>
    <t>MONFRAM004240697778</t>
  </si>
  <si>
    <t>TIMOR</t>
  </si>
  <si>
    <t>NEIGE</t>
  </si>
  <si>
    <t>HOLIRLM161179780649</t>
  </si>
  <si>
    <t>(IG) ARDALLEN FEST</t>
  </si>
  <si>
    <t>ARDALLEN KEET BELLE</t>
  </si>
  <si>
    <t>JERNZLM000000534132</t>
  </si>
  <si>
    <t>KAARMONA FLOWTA</t>
  </si>
  <si>
    <t>CLAYDON PARK FLOWER POWER</t>
  </si>
  <si>
    <t>CLAYDON PARK TARANAK BENITA</t>
  </si>
  <si>
    <t>HOLIRLM341294770878</t>
  </si>
  <si>
    <t>CAPPAUNIAC RALEIGH</t>
  </si>
  <si>
    <t>CAPPAUNIAC NIAMH 3</t>
  </si>
  <si>
    <t>HOLIRLM151445680607</t>
  </si>
  <si>
    <t>KILQUANE TAUS</t>
  </si>
  <si>
    <t>KILQUANE RONALD BONNIE</t>
  </si>
  <si>
    <t>HOLUSAM000121902180</t>
  </si>
  <si>
    <t>BAY-BOB AMANDA-ET</t>
  </si>
  <si>
    <t>HOLUSAM000122554867</t>
  </si>
  <si>
    <t>TERRICK REGGIE</t>
  </si>
  <si>
    <t>TERRICK EMORY RIBBON</t>
  </si>
  <si>
    <t>HOLITAM000200044018</t>
  </si>
  <si>
    <t>ALPAG TOP FLIGHT</t>
  </si>
  <si>
    <t>QUAGLIA'S FARM C M MELODY</t>
  </si>
  <si>
    <t>HOLIRLM351300870658</t>
  </si>
  <si>
    <t>(IG) CURRADARRA ANDREW</t>
  </si>
  <si>
    <t>CURRADARRA UYC AVA</t>
  </si>
  <si>
    <t>HOLCANM000009638586</t>
  </si>
  <si>
    <t>ARDROSS STERLING</t>
  </si>
  <si>
    <t>MISTY SPRINGS SHOTTLE SILK</t>
  </si>
  <si>
    <t>RDCSWEM000000091011</t>
  </si>
  <si>
    <t>B JURIST-ET</t>
  </si>
  <si>
    <t>JUNIS</t>
  </si>
  <si>
    <t>JAGARBO</t>
  </si>
  <si>
    <t>NMDFRAM005344726671</t>
  </si>
  <si>
    <t>TRANQUITAL</t>
  </si>
  <si>
    <t>LIVAROT</t>
  </si>
  <si>
    <t>OCEANE6124</t>
  </si>
  <si>
    <t>HOLGBRM000000643400</t>
  </si>
  <si>
    <t>OVERSIDE DECEMBER</t>
  </si>
  <si>
    <t>OVERSIDE TALENT DELIGHT ET</t>
  </si>
  <si>
    <t>HOLCANM000104505308</t>
  </si>
  <si>
    <t>CRACKHOLM SECURE RED</t>
  </si>
  <si>
    <t>GEN-I-BEQ GOLDWYN SECRET</t>
  </si>
  <si>
    <t>HOLUSAM000063496164</t>
  </si>
  <si>
    <t>UECKER RAMOS JONAH-ET</t>
  </si>
  <si>
    <t>HOLIRLM341353861168</t>
  </si>
  <si>
    <t>BALLYNAGRANA JEAN 10</t>
  </si>
  <si>
    <t>HOLIRLM151548550985</t>
  </si>
  <si>
    <t>HOLIRLM141397360719</t>
  </si>
  <si>
    <t>(IG) BALLYLUCK BLUEY</t>
  </si>
  <si>
    <t>HOLIRLM301511880629</t>
  </si>
  <si>
    <t>LYNALLY BLIZZARD</t>
  </si>
  <si>
    <t>LYNALLY OJI DAISY</t>
  </si>
  <si>
    <t>HOLNLDM000543214928</t>
  </si>
  <si>
    <t>SABINA TESTAROSSA RED</t>
  </si>
  <si>
    <t>SABINA 26 (NLD)</t>
  </si>
  <si>
    <t>JERNZLM000000307514</t>
  </si>
  <si>
    <t>CRESCENT MAN DOMINIC S3J</t>
  </si>
  <si>
    <t>CRESCENT DOM QUINCY</t>
  </si>
  <si>
    <t>CRESCENT VDF DOMINATOR</t>
  </si>
  <si>
    <t>RDCGBRM000006181396</t>
  </si>
  <si>
    <t>HARESFOOT ELEGANT</t>
  </si>
  <si>
    <t>SHADY WALNUT CONN</t>
  </si>
  <si>
    <t>HARESFOOT ELLA 47</t>
  </si>
  <si>
    <t>HOLIRLM141403240814</t>
  </si>
  <si>
    <t>(IG) GRANAGOLEEN CGH QUENNIE</t>
  </si>
  <si>
    <t>GRANAGOLEEN KEET QUEENIE</t>
  </si>
  <si>
    <t>HOLIRLM141428941670</t>
  </si>
  <si>
    <t>AGHAWADDA CROCUS 805</t>
  </si>
  <si>
    <t>HOLIRLM151569290996</t>
  </si>
  <si>
    <t>HOLIRLM211246540819</t>
  </si>
  <si>
    <t>(IG) BOHERCASS COMET</t>
  </si>
  <si>
    <t>BOHERCASS UYC CASSY 509</t>
  </si>
  <si>
    <t>HOLIRLM141847260541</t>
  </si>
  <si>
    <t>(IG) SWEETFIELD LOTTO</t>
  </si>
  <si>
    <t>SWEETFIELD CWJ SALLY</t>
  </si>
  <si>
    <t>JERDNKM000000303406</t>
  </si>
  <si>
    <t>HOLIRLM261006924366</t>
  </si>
  <si>
    <t>(IG) MONAMORE E-FORCE ET</t>
  </si>
  <si>
    <t>HOLUSAM000072128091</t>
  </si>
  <si>
    <t>MR ANSLY ADDICTION-P-RED-ET</t>
  </si>
  <si>
    <t>MS APPLES AINSLEY-ET</t>
  </si>
  <si>
    <t>HOLIRLM351066121572</t>
  </si>
  <si>
    <t>HOLIRLM301017151265</t>
  </si>
  <si>
    <t>(IG) DUNLARA MANDELLA</t>
  </si>
  <si>
    <t>DUNLARA OWI CLIONA 2</t>
  </si>
  <si>
    <t>HOLNLDM000920988859</t>
  </si>
  <si>
    <t>STERK KISS KYTEMAN</t>
  </si>
  <si>
    <t>VENERIETE BOWSER IDA 47</t>
  </si>
  <si>
    <t>HOLIRLM141582022828</t>
  </si>
  <si>
    <t>TISAXON OJI AILEEN 1999</t>
  </si>
  <si>
    <t>HOLNLDM000755898903</t>
  </si>
  <si>
    <t>ROSE SUPERCLASS</t>
  </si>
  <si>
    <t>HOLNLDM000767606990</t>
  </si>
  <si>
    <t>BATENBURG MICHAEL</t>
  </si>
  <si>
    <t>BATENBURG MARIE 2949</t>
  </si>
  <si>
    <t>HOLIRLM151655781269</t>
  </si>
  <si>
    <t>BARTLEMY LPP ASTER 737</t>
  </si>
  <si>
    <t>HOLIRLM141761211686</t>
  </si>
  <si>
    <t>KEALFINCHEON METEOR NORA</t>
  </si>
  <si>
    <t>JERUSAM000118662185</t>
  </si>
  <si>
    <t>STEINHAUERS SAMSON LEMONHEAD</t>
  </si>
  <si>
    <t>DP VALENTINO SAMSON</t>
  </si>
  <si>
    <t>STEINHAUERS RENEGADE LEMONPIE-</t>
  </si>
  <si>
    <t>DFRNLDM000657465180</t>
  </si>
  <si>
    <t>BLOEMPLAAT HOEVE EWOUD</t>
  </si>
  <si>
    <t>HOL840M003129016101</t>
  </si>
  <si>
    <t>STANTONS PERFORMER-P-ET</t>
  </si>
  <si>
    <t>ROCKYMOUNTAIN UNO LYZA</t>
  </si>
  <si>
    <t>HOLNLDM000729539557</t>
  </si>
  <si>
    <t>WEELDER EMPIRE</t>
  </si>
  <si>
    <t>HET MEER BRAVO</t>
  </si>
  <si>
    <t>WEELDER ESMONIQUE 38</t>
  </si>
  <si>
    <t>HOLIRLM301519532872</t>
  </si>
  <si>
    <t>SCORDUFF TITAN</t>
  </si>
  <si>
    <t>SCORDUFF JRE BRITNEY 2251</t>
  </si>
  <si>
    <t>HOLIRLM371003481079</t>
  </si>
  <si>
    <t>RUSTYSHERD RUSTY</t>
  </si>
  <si>
    <t>RUSTYSHERD PEARL 704</t>
  </si>
  <si>
    <t>HOLIRLM111064441163</t>
  </si>
  <si>
    <t>(IG) GHARBHCHOILL KODAK</t>
  </si>
  <si>
    <t>GHARBHCHOILL LHZ KATIE</t>
  </si>
  <si>
    <t>HOLIRLM211058411335</t>
  </si>
  <si>
    <t>BALLYGOWN YRY BOYCIE</t>
  </si>
  <si>
    <t>BALLYGOWN PKX MIA 1160</t>
  </si>
  <si>
    <t>HOLNLDM000724941269</t>
  </si>
  <si>
    <t>WEELDER ENDURANCE</t>
  </si>
  <si>
    <t>HOLIRLM216499931901</t>
  </si>
  <si>
    <t>(IG)CAPPASOUTH KAPRI</t>
  </si>
  <si>
    <t>CAPPASOUTH PRIMO KELLY 1</t>
  </si>
  <si>
    <t>HOLIRLM222567842098</t>
  </si>
  <si>
    <t>GROMAN DIAMOND SRM</t>
  </si>
  <si>
    <t>GROMAN PRESCOT 715</t>
  </si>
  <si>
    <t>HOLUSAM000070074442</t>
  </si>
  <si>
    <t>ST-JACOB DESTRY HEZTRY-ET</t>
  </si>
  <si>
    <t>DUBEAU DUNDEE HEZBOLLAH</t>
  </si>
  <si>
    <t>HOLDEUM001271464396</t>
  </si>
  <si>
    <t>OCEAN-PP</t>
  </si>
  <si>
    <t>HICKORYMEA PARKER P-ET</t>
  </si>
  <si>
    <t>HICKORYMEA MANOMAN OPINE-P</t>
  </si>
  <si>
    <t>BSWFRAM002134661622</t>
  </si>
  <si>
    <t>IFEELING</t>
  </si>
  <si>
    <t>VOLVO</t>
  </si>
  <si>
    <t>FEELING</t>
  </si>
  <si>
    <t>TRIANGLE ACRES PO PAYOFF ET*TM</t>
  </si>
  <si>
    <t>HOLITAM053990116251</t>
  </si>
  <si>
    <t>TOC-FARM FITZ ET</t>
  </si>
  <si>
    <t>TOC-FARM  ET</t>
  </si>
  <si>
    <t>HOLCANM000005033036</t>
  </si>
  <si>
    <t>HOLCANM000000400401</t>
  </si>
  <si>
    <t>MEADOW BRIDGE TRUSTEE</t>
  </si>
  <si>
    <t>MEADOW BRIDGE MILADY ET</t>
  </si>
  <si>
    <t>HOLUSAM000002297473</t>
  </si>
  <si>
    <t>HOLUSAM000017176087</t>
  </si>
  <si>
    <t>SHER EST DUSTER SKIP ET</t>
  </si>
  <si>
    <t>SHER-EST THOR SOUP-TW PI</t>
  </si>
  <si>
    <t>HOLNLDM000167177733</t>
  </si>
  <si>
    <t>DOVEA ALEX 186</t>
  </si>
  <si>
    <t>FROUKJE 043</t>
  </si>
  <si>
    <t>HOLNLDM000165318804</t>
  </si>
  <si>
    <t>SIR MARKE CASHBELL</t>
  </si>
  <si>
    <t>JAPKE</t>
  </si>
  <si>
    <t>HOLGBRM000000544829</t>
  </si>
  <si>
    <t>DOOLISTROY STARLET</t>
  </si>
  <si>
    <t>CROAGH VIOLET 14</t>
  </si>
  <si>
    <t>HOLGBRM000000575142</t>
  </si>
  <si>
    <t>PAINLEY KNIGHTINGALE</t>
  </si>
  <si>
    <t>BRFGBRM000000607376</t>
  </si>
  <si>
    <t>RODBROOK CAPTAIN</t>
  </si>
  <si>
    <t>RODBROOK  KATJA 5</t>
  </si>
  <si>
    <t>HOLNZLM000000101170</t>
  </si>
  <si>
    <t>HOLCANM000007472411</t>
  </si>
  <si>
    <t>MORSAN FRONTRUNNER</t>
  </si>
  <si>
    <t>MARKWELL JAMES FIONA</t>
  </si>
  <si>
    <t>HOLAUSM000H01278494</t>
  </si>
  <si>
    <t>LIGHTWOOD DON PIERRE</t>
  </si>
  <si>
    <t>DONTORY</t>
  </si>
  <si>
    <t>HOLNZLM000000099285</t>
  </si>
  <si>
    <t>SRD TUTBURYS LOUISA</t>
  </si>
  <si>
    <t>HOLNLDM000159659261</t>
  </si>
  <si>
    <t>JERNZLM000000306048</t>
  </si>
  <si>
    <t>WILLIAMS MANS CATALDO ET</t>
  </si>
  <si>
    <t>WILLIAMS ELMO SENTRA</t>
  </si>
  <si>
    <t>HOLGBRM000000586255</t>
  </si>
  <si>
    <t>EEDY LORD LILY ET</t>
  </si>
  <si>
    <t>HOLNLDM000177323238</t>
  </si>
  <si>
    <t>ALTAPON JR GAME</t>
  </si>
  <si>
    <t>HOLIM JOAN</t>
  </si>
  <si>
    <t>HOLUSAM000135404667</t>
  </si>
  <si>
    <t>CROCKETT-ACRES DRHM MAE-ET</t>
  </si>
  <si>
    <t>HOLIRLM151166920765</t>
  </si>
  <si>
    <t>(IG) CARRACOUSH LIMPIT</t>
  </si>
  <si>
    <t>CARRACOUSH LILY 40</t>
  </si>
  <si>
    <t>HOLUSAM000061521485</t>
  </si>
  <si>
    <t>LOTTA-HILL RAMOS KIRK-ET</t>
  </si>
  <si>
    <t>LOTTA-HILL WNCHSTR 3041-ET</t>
  </si>
  <si>
    <t>HOLDNKM000000243734</t>
  </si>
  <si>
    <t>HOLCANM000008798371</t>
  </si>
  <si>
    <t>GLENHAVEN CARNIVAL</t>
  </si>
  <si>
    <t>GLENHAVEN RUDOLPH CARA</t>
  </si>
  <si>
    <t>HOLNLDM000179812954</t>
  </si>
  <si>
    <t>BELLWOOD BEREND ET</t>
  </si>
  <si>
    <t>RON-NAN CUBBY BARB</t>
  </si>
  <si>
    <t>HOLNLDM000420132800</t>
  </si>
  <si>
    <t>WILLEM'S-HOEVE RUSH</t>
  </si>
  <si>
    <t>HOLNZLM000000509037</t>
  </si>
  <si>
    <t>ROWES HEADLINER</t>
  </si>
  <si>
    <t>HOLDNKM000000249346</t>
  </si>
  <si>
    <t>HOLNZLM000000110075</t>
  </si>
  <si>
    <t>JERNZLM000000310058</t>
  </si>
  <si>
    <t>LYNBROOK HTA TRIUMPH ET</t>
  </si>
  <si>
    <t>LYNBROOK LOST TRICK ET</t>
  </si>
  <si>
    <t>HOLNLDM000437185378</t>
  </si>
  <si>
    <t>AYSGBRM580397401422</t>
  </si>
  <si>
    <t>CHANGUE FIORD</t>
  </si>
  <si>
    <t>CHANGUE CARRIE 26</t>
  </si>
  <si>
    <t>JERUSAM000114332783</t>
  </si>
  <si>
    <t>SR IMPULS STONE-ET</t>
  </si>
  <si>
    <t>SR HALLMARK JEWEL</t>
  </si>
  <si>
    <t>HOLDNKM000000250354</t>
  </si>
  <si>
    <t>DANSIRE SHOTTLE SOL</t>
  </si>
  <si>
    <t>CREAM</t>
  </si>
  <si>
    <t>HOLCANM000008956393</t>
  </si>
  <si>
    <t>VELTHUIS SOLSTICE</t>
  </si>
  <si>
    <t>GEN-I-BEQ GOLDWYN SOFIA-ET</t>
  </si>
  <si>
    <t>HOLUSAM000068988032</t>
  </si>
  <si>
    <t>LADYS-MANOR RUBY D GRACE-ET</t>
  </si>
  <si>
    <t>HOLIRLM301306050777</t>
  </si>
  <si>
    <t>(IG) CARROWMANAGH ROY</t>
  </si>
  <si>
    <t>CARROWMANAGH HFL ALYS 499</t>
  </si>
  <si>
    <t>MONFRAM003926472172</t>
  </si>
  <si>
    <t>CARDIFF JB</t>
  </si>
  <si>
    <t>ORAN JB</t>
  </si>
  <si>
    <t>1898 VITAM</t>
  </si>
  <si>
    <t>HOLITAM019500393890</t>
  </si>
  <si>
    <t>FANTASY BRITT GAP TV TL GM***</t>
  </si>
  <si>
    <t>NEW-FARM MTOTO QUOTA</t>
  </si>
  <si>
    <t>HOLGBRM000000659861</t>
  </si>
  <si>
    <t>RELOUGH DANGLER ET</t>
  </si>
  <si>
    <t>RELOUGH LEGEND DANNA 3</t>
  </si>
  <si>
    <t>HOL840M003006989495</t>
  </si>
  <si>
    <t>MR OCD ROBUST DONATELLO ET</t>
  </si>
  <si>
    <t>OCD PLANET DANICA-ET</t>
  </si>
  <si>
    <t>HOLUSAM000066591071</t>
  </si>
  <si>
    <t>CO-OP UPD PLANET YANO-ET</t>
  </si>
  <si>
    <t>RDCSWEM000000099725</t>
  </si>
  <si>
    <t>VR MALBACK TUOMI TOKYO</t>
  </si>
  <si>
    <t>VR JYLHÄVAARAN TURANDOT TUOMI</t>
  </si>
  <si>
    <t>HOLNZLM000000112034</t>
  </si>
  <si>
    <t>CARSONS FM CAIRO S3F</t>
  </si>
  <si>
    <t>HOLUSAM000073963461</t>
  </si>
  <si>
    <t>IHG ARDENT-ET</t>
  </si>
  <si>
    <t>FARNEAR-TBR-BH VICKIE-ET</t>
  </si>
  <si>
    <t>HOL840M003128769256</t>
  </si>
  <si>
    <t>T-SPRUCE SUPRSHT WIGGINS-ET</t>
  </si>
  <si>
    <t>EDG RILEY GALAXY 2364-ET</t>
  </si>
  <si>
    <t>HOLDEUM000121688312</t>
  </si>
  <si>
    <t>MONOLIT</t>
  </si>
  <si>
    <t>MICHIGAN</t>
  </si>
  <si>
    <t>ELEISA</t>
  </si>
  <si>
    <t>HOLUSAM000073191328</t>
  </si>
  <si>
    <t>REGANCREST MERJACK-ET</t>
  </si>
  <si>
    <t>REGANCREST MCCUTCHN 7249-ET</t>
  </si>
  <si>
    <t>HOL840M003125201960</t>
  </si>
  <si>
    <t>MR LR EDG ARVIS 18196-ET</t>
  </si>
  <si>
    <t>MS APPLES UNO ARMANA-ET</t>
  </si>
  <si>
    <t>HOLCANM000108443080</t>
  </si>
  <si>
    <t>CHARPENTIER REDHOT RED</t>
  </si>
  <si>
    <t>CHARPENTIER DESTRY SENSASS</t>
  </si>
  <si>
    <t>HOLFRAM004298000774</t>
  </si>
  <si>
    <t>OPAL JPS</t>
  </si>
  <si>
    <t>JALLES JPS</t>
  </si>
  <si>
    <t>JERNZLM000000307510</t>
  </si>
  <si>
    <t>LYNBROOK EXPOSE TREAT ET</t>
  </si>
  <si>
    <t>TAHAU NORTHERN EXPOSURE</t>
  </si>
  <si>
    <t>LYNBROOK RI TRICK ET SJ3</t>
  </si>
  <si>
    <t>MRYNLDM000446128135</t>
  </si>
  <si>
    <t>THORGAL</t>
  </si>
  <si>
    <t>SUZAN 337</t>
  </si>
  <si>
    <t>THORWALD 146</t>
  </si>
  <si>
    <t>JERDNKM000000303496</t>
  </si>
  <si>
    <t>HOL840M003130010457</t>
  </si>
  <si>
    <t>DE-SU TORONTO 13212-ET</t>
  </si>
  <si>
    <t>DE-SU OAK 3184-ET</t>
  </si>
  <si>
    <t>HOLUSAM000002120405</t>
  </si>
  <si>
    <t>PAULOBRO CHEVY CAPRICE</t>
  </si>
  <si>
    <t>ENCHANTMENT VALIANT CAPRICE ET</t>
  </si>
  <si>
    <t>HOLGBRM000000544573</t>
  </si>
  <si>
    <t>CROMAGLOUN PANATELLA ET</t>
  </si>
  <si>
    <t>HOLIRLM151567450508</t>
  </si>
  <si>
    <t>BALLYBROOK UYC ASHLING</t>
  </si>
  <si>
    <t>RDCSWEM000000092181</t>
  </si>
  <si>
    <t>O BRUCE-ET</t>
  </si>
  <si>
    <t>HÄLLVIK</t>
  </si>
  <si>
    <t>542 BRUNTA</t>
  </si>
  <si>
    <t>HOLUSAM000072156794</t>
  </si>
  <si>
    <t>SEAGULL-BAY SNOW DARLING-ET</t>
  </si>
  <si>
    <t>BRFGBRM000000658518</t>
  </si>
  <si>
    <t>LAKEMEAD SEBASTIAN</t>
  </si>
  <si>
    <t>LAKEMEAD SAINT 15</t>
  </si>
  <si>
    <t>HOLIRLM141401231294</t>
  </si>
  <si>
    <t>(IG) COURLEIGH SIMON</t>
  </si>
  <si>
    <t>NMDFRAM005093021631</t>
  </si>
  <si>
    <t>FRAN DUPARC</t>
  </si>
  <si>
    <t>HOLDEUM000101234982</t>
  </si>
  <si>
    <t>NOTEL</t>
  </si>
  <si>
    <t>EAGLE</t>
  </si>
  <si>
    <t>HOLDEUM001020902660</t>
  </si>
  <si>
    <t>HOLNLDM000313213252</t>
  </si>
  <si>
    <t>H-STIENS J 1377</t>
  </si>
  <si>
    <t>KINGSWAY ELEVATION VERY</t>
  </si>
  <si>
    <t>HOLDEUM000349451563</t>
  </si>
  <si>
    <t>LABEL</t>
  </si>
  <si>
    <t>KBH MICHAE</t>
  </si>
  <si>
    <t>HOLNLDM000533135563</t>
  </si>
  <si>
    <t>FRAJO ET</t>
  </si>
  <si>
    <t>JUNIPER GOLDWYN WHISPER-ET</t>
  </si>
  <si>
    <t>HOLIRLM151021712711</t>
  </si>
  <si>
    <t>BALLINABORTA PERTH</t>
  </si>
  <si>
    <t>BALLINABORTA HZO MARY</t>
  </si>
  <si>
    <t>JERUSAM000067251066</t>
  </si>
  <si>
    <t>FREEMAN BLACKSTONE SHINE-ET</t>
  </si>
  <si>
    <t>NOBLEDALE VICTORIAS SYDNEY-ET</t>
  </si>
  <si>
    <t>HOLUSAM000139358472</t>
  </si>
  <si>
    <t>HOLGBRM949233711765</t>
  </si>
  <si>
    <t>MAJESTIC GALAXY ALFIE</t>
  </si>
  <si>
    <t>MAJESTIC EARNIT ANNETTE</t>
  </si>
  <si>
    <t>BRANDT-VIEW Z EARNIT CRI-ET</t>
  </si>
  <si>
    <t>HOLUSAM000074146951</t>
  </si>
  <si>
    <t>MR LEANINGHOUSE AMMO-P-ET</t>
  </si>
  <si>
    <t>MS ROLL-N-VEW ALTHEA-RED-ET</t>
  </si>
  <si>
    <t>HOLIRLM111107750995</t>
  </si>
  <si>
    <t>(IG) EVERGREEN ALADDIN</t>
  </si>
  <si>
    <t>EVERGREEN SEVEN LAUREN</t>
  </si>
  <si>
    <t>HOL840M003130920121</t>
  </si>
  <si>
    <t>SIEMERS RAINFALL</t>
  </si>
  <si>
    <t>SIEMERS S-SIRE ROZANNE-ET</t>
  </si>
  <si>
    <t>HOLGBRM000000523449</t>
  </si>
  <si>
    <t>MONEYMORE BLUSTER ET</t>
  </si>
  <si>
    <t>MONEYMORE BLUEBELL 32</t>
  </si>
  <si>
    <t>HOLDEUM000606000118</t>
  </si>
  <si>
    <t>PINNEBERGER</t>
  </si>
  <si>
    <t>DUBRAS PROMOTION-RED</t>
  </si>
  <si>
    <t>BLACKCREST JON KANDY-RED PI ET</t>
  </si>
  <si>
    <t>NEEDLE-LANE JON-RED</t>
  </si>
  <si>
    <t>HOLGBRM000000558827</t>
  </si>
  <si>
    <t>MONAMORE VELOCITY</t>
  </si>
  <si>
    <t>MONAMORE STARBUCK VERA</t>
  </si>
  <si>
    <t>HOLNZLM000000092201</t>
  </si>
  <si>
    <t>HOLNLDM000816085680</t>
  </si>
  <si>
    <t>ROLAND 104 VAN TEKENBURG</t>
  </si>
  <si>
    <t>ANNA</t>
  </si>
  <si>
    <t>HOLFRAM005988021449</t>
  </si>
  <si>
    <t>DEANPATCH</t>
  </si>
  <si>
    <t>BRIGEEN TONY ANNA ET</t>
  </si>
  <si>
    <t>HOLNLDM000191519875</t>
  </si>
  <si>
    <t>HOLFRAM008191001223</t>
  </si>
  <si>
    <t>GREEN AERO</t>
  </si>
  <si>
    <t>SHOREMAR 5403</t>
  </si>
  <si>
    <t>STERK R A IJON</t>
  </si>
  <si>
    <t>HOLFRAM005897003317</t>
  </si>
  <si>
    <t>NOUVEL</t>
  </si>
  <si>
    <t>IDEE</t>
  </si>
  <si>
    <t>HOLNZLM000000663712</t>
  </si>
  <si>
    <t>BLIND CREEK KOCOA</t>
  </si>
  <si>
    <t>BLIND CREEK BUCK KOCOA</t>
  </si>
  <si>
    <t>GAIRLOCH BUCKLES</t>
  </si>
  <si>
    <t>HOLNLDM000142378575</t>
  </si>
  <si>
    <t>LAIE GUN</t>
  </si>
  <si>
    <t>DIXIELEE LAIE</t>
  </si>
  <si>
    <t>HOLUSAM000017380238</t>
  </si>
  <si>
    <t>EASTVIEW NBO REVENUE MATTIE</t>
  </si>
  <si>
    <t>EASTVIEW NBO BL MATTIE-G-ET</t>
  </si>
  <si>
    <t>RDCNORM000000005314</t>
  </si>
  <si>
    <t>SKJAERPE</t>
  </si>
  <si>
    <t>Y.V¿YEN</t>
  </si>
  <si>
    <t>NR494</t>
  </si>
  <si>
    <t>F.GROTHE</t>
  </si>
  <si>
    <t>HOLNLDM000173740907</t>
  </si>
  <si>
    <t>LOBITO</t>
  </si>
  <si>
    <t>RIEMKE 502</t>
  </si>
  <si>
    <t>HOLIRLM191968380684</t>
  </si>
  <si>
    <t>MEENASCORTHY STAR</t>
  </si>
  <si>
    <t>MEENASCORTHY HUGO SNOWFLAKE</t>
  </si>
  <si>
    <t>HOLNLDM000273531045</t>
  </si>
  <si>
    <t>HOLIRLM151549160393</t>
  </si>
  <si>
    <t>HILLSDALE HENRI</t>
  </si>
  <si>
    <t>HILLSDALE BALLE HEART</t>
  </si>
  <si>
    <t>HOLNZLM000000663737</t>
  </si>
  <si>
    <t>KAPAWAI SONNY ASTRO ET</t>
  </si>
  <si>
    <t>CABIN-RUN EL SONNY-ET</t>
  </si>
  <si>
    <t>SRD KAPAWAI KAI ANGELINA</t>
  </si>
  <si>
    <t>RDCNORM000000005438</t>
  </si>
  <si>
    <t>HODALEN</t>
  </si>
  <si>
    <t>HOLFRAM004477604740</t>
  </si>
  <si>
    <t>ROSACE</t>
  </si>
  <si>
    <t>MONFRAM002589006195</t>
  </si>
  <si>
    <t>UGINE</t>
  </si>
  <si>
    <t>HOLCANM000103974966</t>
  </si>
  <si>
    <t>COMESTAR LAUTAMIE TITANIC</t>
  </si>
  <si>
    <t>JERNZLM000000306111</t>
  </si>
  <si>
    <t>STEWARTS TGM DEFENDER</t>
  </si>
  <si>
    <t>STEWARTS RGE DOREEN</t>
  </si>
  <si>
    <t>HOLUSAM000133080890</t>
  </si>
  <si>
    <t>DUDOC BACCULUM</t>
  </si>
  <si>
    <t>AGGRAVATION BRIGITTE P-ET</t>
  </si>
  <si>
    <t>HOLIRLM151314190668</t>
  </si>
  <si>
    <t>CARRACOUSH LILY 45</t>
  </si>
  <si>
    <t>HOLNLDM000424333902</t>
  </si>
  <si>
    <t>MARS OPTOWN</t>
  </si>
  <si>
    <t>JERNZLM000000310008</t>
  </si>
  <si>
    <t>MARSDEN PMS JADE</t>
  </si>
  <si>
    <t>MARSDEN TGM JAFFA</t>
  </si>
  <si>
    <t>JERNZLM000000308102</t>
  </si>
  <si>
    <t>ARRIETA MAUNGA CASINO</t>
  </si>
  <si>
    <t>ARRIETA IMPS CARLA</t>
  </si>
  <si>
    <t>MONFRAM003802390130</t>
  </si>
  <si>
    <t>HOLIRLM281642031163</t>
  </si>
  <si>
    <t>BROWELITE RAY</t>
  </si>
  <si>
    <t>BROWELITE O-MAN PEACH ET</t>
  </si>
  <si>
    <t>MONFRAM003925490338</t>
  </si>
  <si>
    <t>UBERLU JB</t>
  </si>
  <si>
    <t>OISIVE</t>
  </si>
  <si>
    <t>HOLUSAM000136761581</t>
  </si>
  <si>
    <t>MISTER MAGNETISM-ET</t>
  </si>
  <si>
    <t>MISS MARSHALL MAGGIE-ET</t>
  </si>
  <si>
    <t>HOLUSAM000135747713</t>
  </si>
  <si>
    <t>MAINSTREAM MARSH AEROINE</t>
  </si>
  <si>
    <t>HOLITAM053990032354</t>
  </si>
  <si>
    <t>TOC-FARM DUP. GLAUCO TV TL TY</t>
  </si>
  <si>
    <t>HOLNZLM000000110028</t>
  </si>
  <si>
    <t>SUMMERHAYS GOODWILL S3F</t>
  </si>
  <si>
    <t>SUMMERHAYS MAGIC WELL S2F</t>
  </si>
  <si>
    <t>JERUSAM000114118590</t>
  </si>
  <si>
    <t>MOLLY BROOK JACE FREEZE-ET</t>
  </si>
  <si>
    <t>MOLLY BROOK FAIR FROST</t>
  </si>
  <si>
    <t>MOLLY BROOK BERRETTA FAIR-ET</t>
  </si>
  <si>
    <t>HOLIRLM141385520684</t>
  </si>
  <si>
    <t>(IG) GURRANE DANDY</t>
  </si>
  <si>
    <t>GURRANE DARRA DANDY</t>
  </si>
  <si>
    <t>HOLIRLM211063541411</t>
  </si>
  <si>
    <t>MOONDIGUA METEORITE</t>
  </si>
  <si>
    <t>MOONDIGUA BZY BLANCHE 198</t>
  </si>
  <si>
    <t>HOLUSAM000066382657</t>
  </si>
  <si>
    <t>MONUMENT IMPRESSION-ET</t>
  </si>
  <si>
    <t>VELVET-VIEW-KJ SOCRATES-ET</t>
  </si>
  <si>
    <t>RIVER-GORGE JUDY-ET</t>
  </si>
  <si>
    <t>KEYSTONE POTTER</t>
  </si>
  <si>
    <t>RDCNORM000000010739</t>
  </si>
  <si>
    <t>RAVN</t>
  </si>
  <si>
    <t>LORDINE</t>
  </si>
  <si>
    <t>HOLUSAM000053557278</t>
  </si>
  <si>
    <t>MD-MAPLE-DELL GOLD AILEY-ET</t>
  </si>
  <si>
    <t>MRYNLDM000532094650</t>
  </si>
  <si>
    <t>DE VINKENHOF ANNO</t>
  </si>
  <si>
    <t>DE VINKENHOF ROZA 41</t>
  </si>
  <si>
    <t>HOLUSAM000070625961</t>
  </si>
  <si>
    <t>DE-SU MUCHO 11209-ET</t>
  </si>
  <si>
    <t>WELCOME PEOTI-ET</t>
  </si>
  <si>
    <t>HOLNLDM000429467307</t>
  </si>
  <si>
    <t>ELWOOD</t>
  </si>
  <si>
    <t>AL.PAR. STADEL ELAYO RED ET</t>
  </si>
  <si>
    <t>HUIJBEN RED SEPTEMBER</t>
  </si>
  <si>
    <t>MONFRAM002547072148</t>
  </si>
  <si>
    <t>URAWA</t>
  </si>
  <si>
    <t>HOLUSAM000071813155</t>
  </si>
  <si>
    <t>DE-SU SS HONEYBEE 11569-ET</t>
  </si>
  <si>
    <t>DE-SU 514-ET</t>
  </si>
  <si>
    <t>HOLIRLM331015831528</t>
  </si>
  <si>
    <t>DERRINSALLOW IVOR</t>
  </si>
  <si>
    <t>DERRINSALLOW AGNES 961</t>
  </si>
  <si>
    <t>HOLIRLM151623453032</t>
  </si>
  <si>
    <t>BALLYBRIDE KOZ SHERRY</t>
  </si>
  <si>
    <t>RDCNORM000000011039</t>
  </si>
  <si>
    <t>SKJELVAN</t>
  </si>
  <si>
    <t>JERDNKM000000303952</t>
  </si>
  <si>
    <t>VJ HUBERT</t>
  </si>
  <si>
    <t>HOL840M003133064302</t>
  </si>
  <si>
    <t>ENDCO ARGO RC-ET</t>
  </si>
  <si>
    <t>JERDNKM000000304419</t>
  </si>
  <si>
    <t>VJ ENGBJERG HAZARD HERO</t>
  </si>
  <si>
    <t>VJ JOKER</t>
  </si>
  <si>
    <t>HOLCANM000012379988</t>
  </si>
  <si>
    <t>PROGENESIS UNICORN</t>
  </si>
  <si>
    <t>MS HUE TANGO 57644</t>
  </si>
  <si>
    <t>HOL840M003132350147</t>
  </si>
  <si>
    <t>ST GEN DIRECTOR CHAIRMAN-ET</t>
  </si>
  <si>
    <t>MR PRE DIRECTOR 57512-ET</t>
  </si>
  <si>
    <t>MS MARDI GRAS CRYSTAL-ET</t>
  </si>
  <si>
    <t>HOL840M003135145001</t>
  </si>
  <si>
    <t>OH-RIVER-SYC CRUSHABULL-ET</t>
  </si>
  <si>
    <t>HOLIRLM211213691374</t>
  </si>
  <si>
    <t>DIAMOND GFO AINE</t>
  </si>
  <si>
    <t>HOLNZLM000000093231</t>
  </si>
  <si>
    <t>FLEMINGS EGAN</t>
  </si>
  <si>
    <t>HOLFRAM005991006743</t>
  </si>
  <si>
    <t>GRENETIS</t>
  </si>
  <si>
    <t>JERDNKM000000303787</t>
  </si>
  <si>
    <t>HOLIRLM216216232039</t>
  </si>
  <si>
    <t>(IG) FOWLERSTOWN MARINO</t>
  </si>
  <si>
    <t>FOWLERSTOWN MAGGIE 52</t>
  </si>
  <si>
    <t>HOLNLDM000191810103</t>
  </si>
  <si>
    <t>FAST BROEKS</t>
  </si>
  <si>
    <t>HOLGBRM000000531725</t>
  </si>
  <si>
    <t>DICKLEARYS GABRIEL</t>
  </si>
  <si>
    <t>DIVIS WALLEN 9</t>
  </si>
  <si>
    <t>HOLNZLM000000093309</t>
  </si>
  <si>
    <t>WILSONS ELIXIR</t>
  </si>
  <si>
    <t>VIRGO</t>
  </si>
  <si>
    <t>HOLCANM000000392578</t>
  </si>
  <si>
    <t>OAKWALD HS LOUIS ET</t>
  </si>
  <si>
    <t>OAKWALD P S LOTTIE</t>
  </si>
  <si>
    <t>DFRNLDM000774399216</t>
  </si>
  <si>
    <t>SJOUKJE</t>
  </si>
  <si>
    <t>RIVELLA 147</t>
  </si>
  <si>
    <t>HOLUSAM000060238763</t>
  </si>
  <si>
    <t>ROCKALLI BRADLEY</t>
  </si>
  <si>
    <t>ROYLANE PATRON BRANDI</t>
  </si>
  <si>
    <t>HOLGBRM000000526427</t>
  </si>
  <si>
    <t>ARDRALLA ALLAH 3</t>
  </si>
  <si>
    <t>BARBICAN RALEIGH DARKIE 2</t>
  </si>
  <si>
    <t>HOLUSAM000135753220</t>
  </si>
  <si>
    <t>GLEN-TOCTIN ALTAOMAX-ET</t>
  </si>
  <si>
    <t>GLEN-TOCTIN AARON LILITH-ET</t>
  </si>
  <si>
    <t>HOLGBRM000000641100</t>
  </si>
  <si>
    <t>LAKEMEAD BRACEY</t>
  </si>
  <si>
    <t>HOLNZLM000000512024</t>
  </si>
  <si>
    <t>WERDERS PRELUDE</t>
  </si>
  <si>
    <t>HOLIRLM151941650858</t>
  </si>
  <si>
    <t>(IG) NEXTGEN LARRY</t>
  </si>
  <si>
    <t>NEXTGEN WPE TILLIE 416</t>
  </si>
  <si>
    <t>HOLGBRM937020164173</t>
  </si>
  <si>
    <t>CASTLEDALE LUCAS</t>
  </si>
  <si>
    <t>CASTLEDALE MASON</t>
  </si>
  <si>
    <t>HOLNLDM000142378830</t>
  </si>
  <si>
    <t>PROGRESSIVE SUGAR-JIM</t>
  </si>
  <si>
    <t>L SUGAR</t>
  </si>
  <si>
    <t>HOLGBRM000000539782</t>
  </si>
  <si>
    <t>DOVEA SAULUS</t>
  </si>
  <si>
    <t>ODENSE</t>
  </si>
  <si>
    <t>BRFGBRM000000540794</t>
  </si>
  <si>
    <t>CATLANE MARPLE</t>
  </si>
  <si>
    <t>CATLANE DOLPHIN MARINA 6</t>
  </si>
  <si>
    <t>RIDGWARDINE DOLPHIN</t>
  </si>
  <si>
    <t>DFRNLDM000225243774</t>
  </si>
  <si>
    <t>HOLNLDM000272158285</t>
  </si>
  <si>
    <t>FRANKENHOF LANDINI</t>
  </si>
  <si>
    <t>FRANKENHOF GRAEFIN 27 PI</t>
  </si>
  <si>
    <t>HOLFRAM004495050075</t>
  </si>
  <si>
    <t>HOGESCOT</t>
  </si>
  <si>
    <t>HOLUSAM000002016954</t>
  </si>
  <si>
    <t>NCHELBROOK IMPRINT</t>
  </si>
  <si>
    <t>SAWTOOTH BOVA IMARI</t>
  </si>
  <si>
    <t>HOLFRAM005990007465</t>
  </si>
  <si>
    <t>FIRST MIKE</t>
  </si>
  <si>
    <t>HOLGBRM000000544892</t>
  </si>
  <si>
    <t>BALDONNEL ONEDIN</t>
  </si>
  <si>
    <t>DFRNLDM000784789009</t>
  </si>
  <si>
    <t>HOLWERDA HUNTER</t>
  </si>
  <si>
    <t>HOLWERDA KEIMPE 52</t>
  </si>
  <si>
    <t>H NELLIE 236</t>
  </si>
  <si>
    <t>HOLGBRM000000586515</t>
  </si>
  <si>
    <t>BALL ELM SANDSON ET</t>
  </si>
  <si>
    <t>HOLNLDM000776846536</t>
  </si>
  <si>
    <t>DELTA SIBERIA</t>
  </si>
  <si>
    <t>HOLGBRM000000562460</t>
  </si>
  <si>
    <t>CRADENHILL PRESUN ET</t>
  </si>
  <si>
    <t>CRADENHILL LEADSTAR SUN ET</t>
  </si>
  <si>
    <t>HOLFRAM004290005527</t>
  </si>
  <si>
    <t>FUGELA</t>
  </si>
  <si>
    <t>COLINEJOE</t>
  </si>
  <si>
    <t>APPLENOTCH ALEXANDER</t>
  </si>
  <si>
    <t>HOLUSAM000002194435</t>
  </si>
  <si>
    <t>HIGHSIGHTS MASCOT BURR</t>
  </si>
  <si>
    <t>HOLGBRM000000582029</t>
  </si>
  <si>
    <t>LYNBROOK EVEREST ET</t>
  </si>
  <si>
    <t>HOLUSAM000017302940</t>
  </si>
  <si>
    <t>HOLSTEIN FORUM LANDLORD</t>
  </si>
  <si>
    <t>EXPORT-CERT MASCOT LISA ET</t>
  </si>
  <si>
    <t>HOLGBRM000000531347</t>
  </si>
  <si>
    <t>MONAMORE VERDICT</t>
  </si>
  <si>
    <t>RDCGBRM000006180464</t>
  </si>
  <si>
    <t>HIGH BALYETT NEPETA</t>
  </si>
  <si>
    <t>MONTEITH STAR JEWEL</t>
  </si>
  <si>
    <t>HOLBELM000842618396</t>
  </si>
  <si>
    <t>DUKEFARM MARSMAN</t>
  </si>
  <si>
    <t>JK EDER LEI 2</t>
  </si>
  <si>
    <t>MIGLOU</t>
  </si>
  <si>
    <t>INSOMNIAC</t>
  </si>
  <si>
    <t>HOLIRLM141163890508</t>
  </si>
  <si>
    <t>HOLIRLM141827850875</t>
  </si>
  <si>
    <t>COOLNASOON FAIRY 18</t>
  </si>
  <si>
    <t>MRYNLDM000176490276</t>
  </si>
  <si>
    <t>MONFRAM002587014483</t>
  </si>
  <si>
    <t>CERNEUX</t>
  </si>
  <si>
    <t>ARNIKA</t>
  </si>
  <si>
    <t>MENHIR</t>
  </si>
  <si>
    <t>HOLIRLM141648240624</t>
  </si>
  <si>
    <t>ANNALICKA MARSHALL</t>
  </si>
  <si>
    <t>ANNALICKA FATAL MAVIS 3 ET</t>
  </si>
  <si>
    <t>HOLIRLM331314440258</t>
  </si>
  <si>
    <t>BALLINFAD RITA</t>
  </si>
  <si>
    <t>BLAKEMORE TIGER</t>
  </si>
  <si>
    <t>HOLGBRM000000571314</t>
  </si>
  <si>
    <t>MOET LEILANI GENTLEMAN ET</t>
  </si>
  <si>
    <t>NMDFRAM007297005402</t>
  </si>
  <si>
    <t>J'HONORE</t>
  </si>
  <si>
    <t>FRAN BUNUELO</t>
  </si>
  <si>
    <t>HOLFRAM005193406475</t>
  </si>
  <si>
    <t>GALTEE INTEREST</t>
  </si>
  <si>
    <t>ALBANA</t>
  </si>
  <si>
    <t>HOLCANM000005457798</t>
  </si>
  <si>
    <t>WYKHOLME DEWDROP TACY ET</t>
  </si>
  <si>
    <t>HOLNZLM000000106024</t>
  </si>
  <si>
    <t>UPTONS DANO EVOLUTION</t>
  </si>
  <si>
    <t>HOLNZLM000000506113</t>
  </si>
  <si>
    <t>HOLNLDM000179035715</t>
  </si>
  <si>
    <t>VISSTAR CARNAVAL ET</t>
  </si>
  <si>
    <t>LOCUSTHILL SW BROOK</t>
  </si>
  <si>
    <t>HOLGBRM000000606169</t>
  </si>
  <si>
    <t>LISKILLA LYSELLE BOUNTY 2 ET</t>
  </si>
  <si>
    <t>ALAN O SULLIVAN</t>
  </si>
  <si>
    <t>HOLNLDM000819196194</t>
  </si>
  <si>
    <t>LEADING STAR</t>
  </si>
  <si>
    <t>TOMAR VALIANT HAZY</t>
  </si>
  <si>
    <t>HOLGBRM000000540884</t>
  </si>
  <si>
    <t>DOONALLY VALIANT STAR ET</t>
  </si>
  <si>
    <t>MIRIAM</t>
  </si>
  <si>
    <t>HOLIRLM341499280540</t>
  </si>
  <si>
    <t>CARHUE MARIA</t>
  </si>
  <si>
    <t>MONFRAM003994016248</t>
  </si>
  <si>
    <t>JORDAN</t>
  </si>
  <si>
    <t>FOSSETTE</t>
  </si>
  <si>
    <t>HOLUSAM000136778325</t>
  </si>
  <si>
    <t>BUCKHORN-ACRES RISKY RED ET</t>
  </si>
  <si>
    <t>SUNNYLODGE GLACIER-RED ET*TV*T</t>
  </si>
  <si>
    <t>SELLCREST T ROSEANNE-RED-ET</t>
  </si>
  <si>
    <t>HOLCANM000005410058</t>
  </si>
  <si>
    <t>MEADOW BRIDGE MILLION</t>
  </si>
  <si>
    <t>MEADOW BRIDGE MILDRED ET</t>
  </si>
  <si>
    <t>HOLFRAM005695001526</t>
  </si>
  <si>
    <t>LOZON CELS</t>
  </si>
  <si>
    <t>JERNZLM000000508155</t>
  </si>
  <si>
    <t>PRIESTS SONSHINE-ET</t>
  </si>
  <si>
    <t>JERNZLM000000508124</t>
  </si>
  <si>
    <t>TIROHANGA MAJORITY-ET</t>
  </si>
  <si>
    <t>TIROHANGA ING MOOZLEE S0F</t>
  </si>
  <si>
    <t>HOLNZLM000000108106</t>
  </si>
  <si>
    <t>MORTENSENS WE APEX-ET S3F</t>
  </si>
  <si>
    <t>DFRNLDM000489458828</t>
  </si>
  <si>
    <t>DOVEA AMBITION</t>
  </si>
  <si>
    <t>HEIDEHIPPER 38</t>
  </si>
  <si>
    <t>ANTJE 327</t>
  </si>
  <si>
    <t>JERNZLM000000306078</t>
  </si>
  <si>
    <t>RAYNHAM FA GOAL S3J</t>
  </si>
  <si>
    <t>FERNAIG ADMIRAL SJ3</t>
  </si>
  <si>
    <t>DFRNLDM000498362590</t>
  </si>
  <si>
    <t>NORBERT 105</t>
  </si>
  <si>
    <t>HOLDEUM000116283270</t>
  </si>
  <si>
    <t>ABS HERCULES</t>
  </si>
  <si>
    <t>HURTIGE</t>
  </si>
  <si>
    <t>HOLCANM000011104016</t>
  </si>
  <si>
    <t>HOLIRLM331089760726</t>
  </si>
  <si>
    <t>GLEESON TRINKET</t>
  </si>
  <si>
    <t>GLEESON NIZ TILLY</t>
  </si>
  <si>
    <t>HOLCANM000007746123</t>
  </si>
  <si>
    <t>STANTONS STEADY</t>
  </si>
  <si>
    <t>STANTONS SHERICE</t>
  </si>
  <si>
    <t>HOLCANM000105753054</t>
  </si>
  <si>
    <t>GENERVATIONS LUDOPLEX</t>
  </si>
  <si>
    <t>HOLIRLM191638621377</t>
  </si>
  <si>
    <t>(IG) FAHA HILDA 9</t>
  </si>
  <si>
    <t>FAHA HILDA</t>
  </si>
  <si>
    <t>HOLNLDM000437064008</t>
  </si>
  <si>
    <t>J + G MALANDO</t>
  </si>
  <si>
    <t>J &amp; G MEISI 5</t>
  </si>
  <si>
    <t>HOLDEUM000768555470</t>
  </si>
  <si>
    <t>TABLEAU</t>
  </si>
  <si>
    <t>DOLDE 91</t>
  </si>
  <si>
    <t>HOLGBRM000000654537</t>
  </si>
  <si>
    <t>ARDS HENDRIX ET</t>
  </si>
  <si>
    <t>PIROLO GOLDWYN HONEY ET</t>
  </si>
  <si>
    <t>HOLIRLM151379914227</t>
  </si>
  <si>
    <t>VELVETSTOWN MADRID</t>
  </si>
  <si>
    <t>VELVETSTOWN HZO ROSIE 3262</t>
  </si>
  <si>
    <t>MONNLDM000946519581</t>
  </si>
  <si>
    <t>GOLDWYN JB</t>
  </si>
  <si>
    <t>CHRISTA</t>
  </si>
  <si>
    <t>HOLIRLM151623472515</t>
  </si>
  <si>
    <t>BALLYBRIDE UYC LISA 2</t>
  </si>
  <si>
    <t>MONFRAM002538643841</t>
  </si>
  <si>
    <t>FUZZY</t>
  </si>
  <si>
    <t>HOLIRLM211346851672</t>
  </si>
  <si>
    <t>CHURCHCLARA ALBYN ET</t>
  </si>
  <si>
    <t>BARRAGHCORE BABY 10</t>
  </si>
  <si>
    <t>LISNABREENY BEN</t>
  </si>
  <si>
    <t>HOLIRLM191903320743</t>
  </si>
  <si>
    <t>HOL840M003008710387</t>
  </si>
  <si>
    <t>WELCOME SUPER PETRONE-ET</t>
  </si>
  <si>
    <t>COOKIECUTTER MOM HALO-ET</t>
  </si>
  <si>
    <t>HOLIRLM151549130878</t>
  </si>
  <si>
    <t>HILLSDALE HERCULES</t>
  </si>
  <si>
    <t>HILLSDALE BZR HEART</t>
  </si>
  <si>
    <t>HOLIRLM161255812678</t>
  </si>
  <si>
    <t>(IG) BEECHGROVE ANDREW</t>
  </si>
  <si>
    <t>BEECHGROVE AINE</t>
  </si>
  <si>
    <t>HOLIRLM211180381996</t>
  </si>
  <si>
    <t>FIRODA RANDY 4</t>
  </si>
  <si>
    <t>HOLIRLM141582062798</t>
  </si>
  <si>
    <t>TISAXON RUU ELMA 1669</t>
  </si>
  <si>
    <t>MONFRAM005366862944</t>
  </si>
  <si>
    <t>ISOMER JB</t>
  </si>
  <si>
    <t>ETOFFE</t>
  </si>
  <si>
    <t>RALBAN</t>
  </si>
  <si>
    <t>HOLIRLM222975381649</t>
  </si>
  <si>
    <t>(IG) BRIDESTREAM LEVERET</t>
  </si>
  <si>
    <t>HOL840M003131563868</t>
  </si>
  <si>
    <t>S-S-I SHIL STCLF GOLDTOP-ET</t>
  </si>
  <si>
    <t>BUSH-BROS SUTCLIFF 198-ET</t>
  </si>
  <si>
    <t>S-S-I JCKMAN 8055 10217-ET</t>
  </si>
  <si>
    <t>HOLIRLM281672461168</t>
  </si>
  <si>
    <t>BALLIVOR TROY ROMAN ET</t>
  </si>
  <si>
    <t>F17</t>
  </si>
  <si>
    <t>BALLIVOR MASSEY ROMAN</t>
  </si>
  <si>
    <t>HOLCANM000012283286</t>
  </si>
  <si>
    <t>WESTCOAST LIGHTHOUSE</t>
  </si>
  <si>
    <t>CALBRETT DISTINCTION LOLITA</t>
  </si>
  <si>
    <t>RDCNORM000000011818</t>
  </si>
  <si>
    <t>HATLE</t>
  </si>
  <si>
    <t>JERNZLM000000315526</t>
  </si>
  <si>
    <t>RUANUI MMUR DIXIE ET S3J</t>
  </si>
  <si>
    <t>HOL840M003134443726</t>
  </si>
  <si>
    <t>OCD ANCHORMAN LAMBER-ET</t>
  </si>
  <si>
    <t>OCD JACEY ANCHORMAN-ET</t>
  </si>
  <si>
    <t>WCD-ZBW SUPERSIRE LAVAGE-ET</t>
  </si>
  <si>
    <t>HOL840M003134506808</t>
  </si>
  <si>
    <t>SIEMERS OCT APPLE-CRISP-ET</t>
  </si>
  <si>
    <t>SIEMERS MOGUL APPLE-STAR-ET</t>
  </si>
  <si>
    <t>HOLUSAM000017365519</t>
  </si>
  <si>
    <t>TIMLYNN THRONE ET</t>
  </si>
  <si>
    <t>REGANCREST HUNTER TIFFANY</t>
  </si>
  <si>
    <t>AMELDIN II PONTIAC HUNTER</t>
  </si>
  <si>
    <t>JERDNKM000000047947</t>
  </si>
  <si>
    <t>HALLAS</t>
  </si>
  <si>
    <t>NOES CAPO</t>
  </si>
  <si>
    <t>MONFRAM002534812037</t>
  </si>
  <si>
    <t>JACINTHE</t>
  </si>
  <si>
    <t>HOLNLDM000359709658</t>
  </si>
  <si>
    <t>KEEGSTER SIEP</t>
  </si>
  <si>
    <t>MONIRLM151603910254</t>
  </si>
  <si>
    <t>CURRABRIDE ISAAC</t>
  </si>
  <si>
    <t>JENNEY FERE</t>
  </si>
  <si>
    <t>HOLNLDM000196070593</t>
  </si>
  <si>
    <t>SLAGDYKSTER PSO FLORESTAN</t>
  </si>
  <si>
    <t>MCNAMARAACRES LORALYN</t>
  </si>
  <si>
    <t>HOLUSAM000129854100</t>
  </si>
  <si>
    <t>EK-OSEEANA ASPEN</t>
  </si>
  <si>
    <t>HOLNZLM000000094247</t>
  </si>
  <si>
    <t>FLEETWOOD FIDEL</t>
  </si>
  <si>
    <t>KIM-MEL BELL JOY</t>
  </si>
  <si>
    <t>SRD FLEETWOOD C BRENDA</t>
  </si>
  <si>
    <t>HOLIRLM141221340959</t>
  </si>
  <si>
    <t>DONEEN MARLEEN MASCOL</t>
  </si>
  <si>
    <t>DONEEN MARLEEN 39</t>
  </si>
  <si>
    <t>JERNZLM000000065995</t>
  </si>
  <si>
    <t>ROYALS GREEN KRACKA</t>
  </si>
  <si>
    <t>ROYALS GREEN KERRY 12 SJ3</t>
  </si>
  <si>
    <t>HOLIRLM151619250434</t>
  </si>
  <si>
    <t>BRIDEPARK OMAN</t>
  </si>
  <si>
    <t>BRIDEPARK LILY 301</t>
  </si>
  <si>
    <t>HOLFRAM005112013652</t>
  </si>
  <si>
    <t>LEGACY</t>
  </si>
  <si>
    <t>MONFRAM007120640289</t>
  </si>
  <si>
    <t>NEBULEUSE</t>
  </si>
  <si>
    <t>HILLTOWN HIJACK</t>
  </si>
  <si>
    <t>STAMFORD C S AYR LINK</t>
  </si>
  <si>
    <t>HILLTOWN SNOWBALL 194</t>
  </si>
  <si>
    <t>BROCKLEHILL PEARL REEF</t>
  </si>
  <si>
    <t>HOLIRLM351205291334</t>
  </si>
  <si>
    <t>(IG) MOGEHA ULTAN</t>
  </si>
  <si>
    <t>MOGEHA 4594 TKY FEM UNASS</t>
  </si>
  <si>
    <t>MRYDEUM000115336991</t>
  </si>
  <si>
    <t>BIOM</t>
  </si>
  <si>
    <t>HOLUSAM000071164339</t>
  </si>
  <si>
    <t>KELLERCREST LANCOME-ET</t>
  </si>
  <si>
    <t>KELLERCREST MANOMAN LACY-ET</t>
  </si>
  <si>
    <t>BRFGBRM000000524527</t>
  </si>
  <si>
    <t>COWPARK JUNIPER</t>
  </si>
  <si>
    <t>COWPARK ROSMARY 2</t>
  </si>
  <si>
    <t>BALLYDOYLE ADEMA 3</t>
  </si>
  <si>
    <t>HOLFRAM004490045166</t>
  </si>
  <si>
    <t>FALERNE STAR</t>
  </si>
  <si>
    <t>MRYDEUM000111165931</t>
  </si>
  <si>
    <t>OSRAM</t>
  </si>
  <si>
    <t>RICARDA</t>
  </si>
  <si>
    <t>DFRNLDM000319203127</t>
  </si>
  <si>
    <t>SETSKE JUPITER 3 ET</t>
  </si>
  <si>
    <t>HOLNLDM000177611171</t>
  </si>
  <si>
    <t>528 NEW-WORLD EMPIRE ET</t>
  </si>
  <si>
    <t>HOLUSAM000002205082</t>
  </si>
  <si>
    <t>LADYS-MANOR TOP GUN JEMINI-ET</t>
  </si>
  <si>
    <t>HOLGBRM000000631557</t>
  </si>
  <si>
    <t>CATLANE TOPKEY SNOWBALL 7</t>
  </si>
  <si>
    <t>HOLGBRM000000574634</t>
  </si>
  <si>
    <t>LYNBROOK FREEMONT</t>
  </si>
  <si>
    <t>ETAZON FRUITA</t>
  </si>
  <si>
    <t>HOLIRLM191181730561</t>
  </si>
  <si>
    <t>LEAGH HARRET</t>
  </si>
  <si>
    <t>HOLDEUM001264135582</t>
  </si>
  <si>
    <t>MARLIES</t>
  </si>
  <si>
    <t>HOLIRLM151567420406</t>
  </si>
  <si>
    <t>BALLYBROOK ROYAL HUGO</t>
  </si>
  <si>
    <t>BALLYBROOK HRZ BUNNY</t>
  </si>
  <si>
    <t>HOLIRLM211346871807</t>
  </si>
  <si>
    <t>CHURCHCLARA ROCKET</t>
  </si>
  <si>
    <t>BLACKISLE VERA 86</t>
  </si>
  <si>
    <t>HOLNLDM000425598456</t>
  </si>
  <si>
    <t>LEKO</t>
  </si>
  <si>
    <t>CHEMELLO JOCOBENGE ET</t>
  </si>
  <si>
    <t>JERNZLM000000308066</t>
  </si>
  <si>
    <t>HOLNZLM000000108006</t>
  </si>
  <si>
    <t>GREENWELL GR BANGA-ET S2F</t>
  </si>
  <si>
    <t>HOLNLDM000533095414</t>
  </si>
  <si>
    <t>KISS ALTATIME IT</t>
  </si>
  <si>
    <t>HOLIRLM361003711773</t>
  </si>
  <si>
    <t>LOUGHREE DANDY</t>
  </si>
  <si>
    <t>LOUGHREE FAIRY 1084</t>
  </si>
  <si>
    <t>HOLNZLM000000511015</t>
  </si>
  <si>
    <t>BURWELLS RILEY</t>
  </si>
  <si>
    <t>RHAMBLES</t>
  </si>
  <si>
    <t>HOLGBRM000000642246</t>
  </si>
  <si>
    <t>BALLYCAIRN JARDIN THEODORE</t>
  </si>
  <si>
    <t>BALLYCAIRN GOLDWYN TINA ET</t>
  </si>
  <si>
    <t>BRFGBRM000000640721</t>
  </si>
  <si>
    <t>COLLYCROFT SOLITAIRE 15</t>
  </si>
  <si>
    <t>HOLFRAM006770943765</t>
  </si>
  <si>
    <t>WILT EMILIO</t>
  </si>
  <si>
    <t>WILT EMY</t>
  </si>
  <si>
    <t>HOLGBRM915258200092</t>
  </si>
  <si>
    <t>GLAMOUR BOGHILL CARLITO</t>
  </si>
  <si>
    <t>GLAMOUR CARLIN ET</t>
  </si>
  <si>
    <t>HOLIRLM161971522633</t>
  </si>
  <si>
    <t>(IG) WATERWHEEL DASHER</t>
  </si>
  <si>
    <t>WATERWHEEL KPV THELIA 2076</t>
  </si>
  <si>
    <t>BRFGBRM161594700998</t>
  </si>
  <si>
    <t>PEARTREE BRYSTER</t>
  </si>
  <si>
    <t>PEARTREE HYLKE LADY 5</t>
  </si>
  <si>
    <t>HOLIRLM241064311865</t>
  </si>
  <si>
    <t>MOORABBY BYJ LAURA 1311</t>
  </si>
  <si>
    <t>HOL840M003134506807</t>
  </si>
  <si>
    <t>SIEMERS APPLES ARMY-ET</t>
  </si>
  <si>
    <t>HOLUSAM000074024987</t>
  </si>
  <si>
    <t>PINE-TREE FIREFLY-ET</t>
  </si>
  <si>
    <t>NICLO SUPERSIRE FAIRIE-ET</t>
  </si>
  <si>
    <t>HOLDEUM001011164690</t>
  </si>
  <si>
    <t>HOLUSAM000135886661</t>
  </si>
  <si>
    <t>LADYS-MANOR ASHMORE-ET</t>
  </si>
  <si>
    <t>LADYS-MANOR AUTUMN</t>
  </si>
  <si>
    <t>HOLIRLM211058471167</t>
  </si>
  <si>
    <t>BALLYGOWN FRANKIE</t>
  </si>
  <si>
    <t>BALLYGOWN CURRA2 FRANKIE</t>
  </si>
  <si>
    <t>CURRA CONNOR</t>
  </si>
  <si>
    <t>HOLCANM000006026421</t>
  </si>
  <si>
    <t>HOLUSAM000002046573</t>
  </si>
  <si>
    <t>MELLWOOD NED BOY MIDAS</t>
  </si>
  <si>
    <t>MELLWOOD VALIANT MELISSA</t>
  </si>
  <si>
    <t>HOLUSAM000002183007</t>
  </si>
  <si>
    <t>HA-HO TESK MELANIE</t>
  </si>
  <si>
    <t>HOLCZEM000580391053</t>
  </si>
  <si>
    <t>OSTRETIN MAGUA ET P</t>
  </si>
  <si>
    <t>OSTRETIN MIA 4 P</t>
  </si>
  <si>
    <t>HICKORYMEA OTTAWA-P-ET</t>
  </si>
  <si>
    <t>HOLFRAM005632667359</t>
  </si>
  <si>
    <t>BITANSHO</t>
  </si>
  <si>
    <t>TITANESSE</t>
  </si>
  <si>
    <t>HOLIRLM141940620644</t>
  </si>
  <si>
    <t>(IG) IVYPARK FAIRBOY</t>
  </si>
  <si>
    <t>IVYPARK HUGO TULIP</t>
  </si>
  <si>
    <t>HOLNLDM000524176313</t>
  </si>
  <si>
    <t>BEVERLAKE UPSWING</t>
  </si>
  <si>
    <t>BEVERLAKE GOLDEN 44</t>
  </si>
  <si>
    <t>HOLGBRM000000559655</t>
  </si>
  <si>
    <t>BUNACLOY PILGRIM</t>
  </si>
  <si>
    <t>ALTAGEN ACHIEVER PIPPIN ET</t>
  </si>
  <si>
    <t>ROYCEDALE ACHIEVER ET</t>
  </si>
  <si>
    <t>HOLCANM000000405659</t>
  </si>
  <si>
    <t>ROYCEDALE APPROVAL ET</t>
  </si>
  <si>
    <t>JERUSAM000000652758</t>
  </si>
  <si>
    <t>VALLEYSTREAM TITLE JUNE 25N</t>
  </si>
  <si>
    <t>J.F.D TITLE</t>
  </si>
  <si>
    <t>HOLNLDM000160125209</t>
  </si>
  <si>
    <t>JABOT JEF</t>
  </si>
  <si>
    <t>QG S PIETJE 292</t>
  </si>
  <si>
    <t>HOLNLDM000135422827</t>
  </si>
  <si>
    <t>SESTAK SCOUT</t>
  </si>
  <si>
    <t>HOLNLDM000815138109</t>
  </si>
  <si>
    <t>TRAENAMANAGH ROCK</t>
  </si>
  <si>
    <t>HOLNLDM000260506511</t>
  </si>
  <si>
    <t>GLEN HERO</t>
  </si>
  <si>
    <t>HOLNZLM000000090274</t>
  </si>
  <si>
    <t>DAWSONS GREG BELINDA</t>
  </si>
  <si>
    <t>CLOVERNOOK L GREG</t>
  </si>
  <si>
    <t>HOLGBRM000000553425</t>
  </si>
  <si>
    <t>CRADENHILL SUNWIND ET</t>
  </si>
  <si>
    <t>LYLEHAVEN TRADITITON SUN-KIS E</t>
  </si>
  <si>
    <t>HOLNLDM000830499502</t>
  </si>
  <si>
    <t>MILKBOARD IDEAL</t>
  </si>
  <si>
    <t>HOLDEUM000343603263</t>
  </si>
  <si>
    <t>HOLUSAM000002230459</t>
  </si>
  <si>
    <t>LA-POE SHARK</t>
  </si>
  <si>
    <t>PECKENSTEIN WIND SHELBY ET</t>
  </si>
  <si>
    <t>HOLNLDM000141045793</t>
  </si>
  <si>
    <t>SWIFTER EMIEL</t>
  </si>
  <si>
    <t>JERNZLM000000664064</t>
  </si>
  <si>
    <t>TE HENUI ILLIA DEDRA</t>
  </si>
  <si>
    <t>IRENES BOLD VENTURE ILLIA-ET</t>
  </si>
  <si>
    <t>HOLITAM131009001046</t>
  </si>
  <si>
    <t>OLIVA LAUSAN CREW ET TV TL</t>
  </si>
  <si>
    <t>JERIRLM151828771253</t>
  </si>
  <si>
    <t>BALLYHOOLY FOREVER NOEL</t>
  </si>
  <si>
    <t>HILLCAP CINDERS</t>
  </si>
  <si>
    <t>JERNZLM000000306043</t>
  </si>
  <si>
    <t>VALENTIA OM MIG ET</t>
  </si>
  <si>
    <t>VALENTIA CPFP MARILYN ET</t>
  </si>
  <si>
    <t>HOLUSAM000137892772</t>
  </si>
  <si>
    <t>SCIENTIFIC DEBONAIR-RED-ETS</t>
  </si>
  <si>
    <t>HOLNLDM000286343484</t>
  </si>
  <si>
    <t>VENERIETE CASH SHERRY</t>
  </si>
  <si>
    <t>JERNZLM000000091439</t>
  </si>
  <si>
    <t>G R BAYLEA PARSLEYS CARL</t>
  </si>
  <si>
    <t>BARTHOWS PARSLEY GR</t>
  </si>
  <si>
    <t>BAYLEA INGRAMS CREINA SJ3</t>
  </si>
  <si>
    <t>CARDRONA INGRAM</t>
  </si>
  <si>
    <t>HOLIRLM151111830509</t>
  </si>
  <si>
    <t>MILLSTREET RUUD 4</t>
  </si>
  <si>
    <t>BRICK TONIA 77</t>
  </si>
  <si>
    <t>DFRNLDM000350504256</t>
  </si>
  <si>
    <t>ARKEMHEEN 92</t>
  </si>
  <si>
    <t>ARKEMHEEN 82</t>
  </si>
  <si>
    <t>ELS 39</t>
  </si>
  <si>
    <t>ARKEMHEEN 47</t>
  </si>
  <si>
    <t>HOLIRLM191968370725</t>
  </si>
  <si>
    <t>MEENASCORTHY KENWAY</t>
  </si>
  <si>
    <t>MEENASCORTHY KC HORNEY</t>
  </si>
  <si>
    <t>MRYDEUM000111902471</t>
  </si>
  <si>
    <t>PUTZ</t>
  </si>
  <si>
    <t>ODI</t>
  </si>
  <si>
    <t>HOLUSAM000002294088</t>
  </si>
  <si>
    <t>KREGNOL MANDEL S-MAN PI ET</t>
  </si>
  <si>
    <t>JOL-LEE ASTAR SHERYL-ET</t>
  </si>
  <si>
    <t>HOLUSAM000018010864</t>
  </si>
  <si>
    <t>GLEN-TOCTIN LUCAS</t>
  </si>
  <si>
    <t>UNICORN CELSIUS LEI-ET</t>
  </si>
  <si>
    <t>HOLUSAM000123980649</t>
  </si>
  <si>
    <t>SIKKEMA STAR W MODESTO</t>
  </si>
  <si>
    <t>SIKKEMA STAR W J MACENE</t>
  </si>
  <si>
    <t>GLC JORDACHE</t>
  </si>
  <si>
    <t>HOLCANM000010802772</t>
  </si>
  <si>
    <t>CALBRETT CANUCK</t>
  </si>
  <si>
    <t>HOLNLDM000461674653</t>
  </si>
  <si>
    <t>ETAZON LEAF</t>
  </si>
  <si>
    <t>HOLFRAM003592049949</t>
  </si>
  <si>
    <t>MILKBOARD HANFRAN</t>
  </si>
  <si>
    <t>TRA FRAN</t>
  </si>
  <si>
    <t>BRFGBRM000000523103</t>
  </si>
  <si>
    <t>DUNHEVED MAGICIAN</t>
  </si>
  <si>
    <t>DUNHEVED CREATION</t>
  </si>
  <si>
    <t>DUNHEVED MILLARIS 50</t>
  </si>
  <si>
    <t>RIDGWARDINE DUNKIRK</t>
  </si>
  <si>
    <t>HOLIRLM371035080532</t>
  </si>
  <si>
    <t>ROSE ADAM</t>
  </si>
  <si>
    <t>ROSE BARTHO ALICIA</t>
  </si>
  <si>
    <t>HOLUSAM000135872035</t>
  </si>
  <si>
    <t>MR SCHULTZ OMAN BUTCH-ET</t>
  </si>
  <si>
    <t>MRS SCHULTZ BWM BLAIN-ET</t>
  </si>
  <si>
    <t>HOLIRLM151166990532</t>
  </si>
  <si>
    <t>CARRACOUSH EXTASY 4</t>
  </si>
  <si>
    <t>CARRACOUSH MAGPIE 64</t>
  </si>
  <si>
    <t>HOLIRLM351066140485</t>
  </si>
  <si>
    <t>CURRA JORDIE</t>
  </si>
  <si>
    <t>CURRA ROYAL TULIP</t>
  </si>
  <si>
    <t>HOLIRLM341241650301</t>
  </si>
  <si>
    <t>BURNCOURT DUKE</t>
  </si>
  <si>
    <t>BURNCOURT SUZANNE 7</t>
  </si>
  <si>
    <t>PANORAMA LANDMINE</t>
  </si>
  <si>
    <t>PANORAMA LADY 47TH (H)</t>
  </si>
  <si>
    <t>STADEL (HF) (DEU)</t>
  </si>
  <si>
    <t>HOLUSAM000062065919</t>
  </si>
  <si>
    <t>CHARLESDALE SWEET STAR</t>
  </si>
  <si>
    <t>JERNZLM000000308031</t>
  </si>
  <si>
    <t>SHALENDY IDEAL ASCENT S3J</t>
  </si>
  <si>
    <t>SHALENDY BLAKES ALLIE S2J</t>
  </si>
  <si>
    <t>JERNZLM000000308059</t>
  </si>
  <si>
    <t>ASHVALE CAPS IZE</t>
  </si>
  <si>
    <t>SOUTH LAND CAPSTAN SJ3</t>
  </si>
  <si>
    <t>OKURA MAUNGA IZZIE ET</t>
  </si>
  <si>
    <t>DFRNLDM000496412723</t>
  </si>
  <si>
    <t>DOVEA MIDDLEMAN</t>
  </si>
  <si>
    <t>SIETSKE 206</t>
  </si>
  <si>
    <t>HOLCANM000103974921</t>
  </si>
  <si>
    <t>GENERVATIONS LEXICON</t>
  </si>
  <si>
    <t>LYLEHAVEN LILA Z</t>
  </si>
  <si>
    <t>HOLIRLM281242740943</t>
  </si>
  <si>
    <t>COOKSTOWN BUDDY</t>
  </si>
  <si>
    <t>COOKSTOWN KLA MAY 419</t>
  </si>
  <si>
    <t>HOLIRLM151868551811</t>
  </si>
  <si>
    <t>MURPHYS LUCKY WHISTLER</t>
  </si>
  <si>
    <t>MURPHYS SBH LUCY</t>
  </si>
  <si>
    <t>HOLIRLM191349461179</t>
  </si>
  <si>
    <t>(IG) CALIBER DREAMER</t>
  </si>
  <si>
    <t>CALIBER LOO JUNE 874</t>
  </si>
  <si>
    <t>HOLUSAM000062071128</t>
  </si>
  <si>
    <t>GRAF-ACRES MORRELL-ET</t>
  </si>
  <si>
    <t>VAR-BROS RUDOLPH MARTA-ET</t>
  </si>
  <si>
    <t>HOLIRLM141294481072</t>
  </si>
  <si>
    <t>COOLNACLEHY STAR</t>
  </si>
  <si>
    <t>COOLNACLEHY GYK NANCY 864</t>
  </si>
  <si>
    <t>HOLUSAM000139819313</t>
  </si>
  <si>
    <t>LOCKER-LANE RW BANNING</t>
  </si>
  <si>
    <t>LOCKER-LANE RW SHOT BRIA-ET</t>
  </si>
  <si>
    <t>HOLIRLM281565460737</t>
  </si>
  <si>
    <t>POSSEXTOWN TKY KYLIE</t>
  </si>
  <si>
    <t>HOLIRLM141622741531</t>
  </si>
  <si>
    <t>(IG) SRUTHAN ROBERTO</t>
  </si>
  <si>
    <t>SRUTHAN KNW ROSIE 1262</t>
  </si>
  <si>
    <t>HOLNLDM000729453163</t>
  </si>
  <si>
    <t>BOOMERANG</t>
  </si>
  <si>
    <t>JEANETTE 44</t>
  </si>
  <si>
    <t>JERUSAM000115863998</t>
  </si>
  <si>
    <t>ALL LYNNS MAXIMUM VERNON-ET</t>
  </si>
  <si>
    <t>SUNSET CANYON MAXIMUM-ET</t>
  </si>
  <si>
    <t>HOLCANM000108733942</t>
  </si>
  <si>
    <t>SANDY-VALLEY NU PENELOPE-ET</t>
  </si>
  <si>
    <t>HOLGBRM221337302215</t>
  </si>
  <si>
    <t>TOPCROFT PESKY TRIX</t>
  </si>
  <si>
    <t>TOPCROFT IOTA TRIXIE ET</t>
  </si>
  <si>
    <t>HOLIRLM151799191262</t>
  </si>
  <si>
    <t>KILTESKIN ACE</t>
  </si>
  <si>
    <t>KILTESKIN BWZ DAFFODIL 689</t>
  </si>
  <si>
    <t>HOLUSAM000141123484</t>
  </si>
  <si>
    <t>SCIENTIFIC B DEFIANT-ET</t>
  </si>
  <si>
    <t>SCIENTIFIC GOLD DIOR RAE-ET</t>
  </si>
  <si>
    <t>JERNZLM000000513063</t>
  </si>
  <si>
    <t>JERSEYDALE NO2WAYS</t>
  </si>
  <si>
    <t>HOLIRLM151013762028</t>
  </si>
  <si>
    <t>(IG) PARKDUV GROUSE</t>
  </si>
  <si>
    <t>PARKDUV MARGO 59</t>
  </si>
  <si>
    <t>HOLIRLM241418291112</t>
  </si>
  <si>
    <t>ROSSBANE LEO 1112</t>
  </si>
  <si>
    <t>ROSSBANE DSU ALISON 980</t>
  </si>
  <si>
    <t>HOLIRLM151623433278</t>
  </si>
  <si>
    <t>BALLYBRIDE WATERFORD</t>
  </si>
  <si>
    <t>BALLYBRIDE WLY ROSE</t>
  </si>
  <si>
    <t>HOLIRLM218342161210</t>
  </si>
  <si>
    <t>(IG) BARNEYHILL DUKE</t>
  </si>
  <si>
    <t>BARNEYHILL DSU UNIQUE 980</t>
  </si>
  <si>
    <t>HOL840M003141494321</t>
  </si>
  <si>
    <t>ABS JERONIMO-P-ET</t>
  </si>
  <si>
    <t>ENDCO SUPERHERO-ET</t>
  </si>
  <si>
    <t>ABS 7726 JAZLYN-P-ET</t>
  </si>
  <si>
    <t>RDCGBRM000006181948</t>
  </si>
  <si>
    <t>ROSEHILL MANDERVILLE</t>
  </si>
  <si>
    <t>DFRNLDM000796293233</t>
  </si>
  <si>
    <t>JANNA 158</t>
  </si>
  <si>
    <t>DONALD 101</t>
  </si>
  <si>
    <t>HOLIRLM341318360821</t>
  </si>
  <si>
    <t>GRANTSTOWN AXA</t>
  </si>
  <si>
    <t>GRANTSTOWN GMI MARGIE 22</t>
  </si>
  <si>
    <t>HOLNZLM000000107574</t>
  </si>
  <si>
    <t>MURITAI ELSTO WYATT</t>
  </si>
  <si>
    <t>MURITAI PIERRE WINNIE-ET</t>
  </si>
  <si>
    <t>HOLIRLM281201742714</t>
  </si>
  <si>
    <t>(IG) MERRYWELL MANDELA</t>
  </si>
  <si>
    <t>HOLUSAM000056541515</t>
  </si>
  <si>
    <t>GIL-GAR ALTASUSTAIN-ET</t>
  </si>
  <si>
    <t>GIL-GAR SHOTTLE SU-ANN-ET</t>
  </si>
  <si>
    <t>HOLUSAM000002053307</t>
  </si>
  <si>
    <t>JAFRAL BEAR TOBIAS ET</t>
  </si>
  <si>
    <t>JENAMY TARA BELL BARBI</t>
  </si>
  <si>
    <t>HOLUSAM000002247758</t>
  </si>
  <si>
    <t>GLEN-D-HAVEN LIB JABOT</t>
  </si>
  <si>
    <t>BLACKSTAR JENA</t>
  </si>
  <si>
    <t>HOLNZLM000000100093</t>
  </si>
  <si>
    <t>KLASSIC FATAL HRH DI-ET</t>
  </si>
  <si>
    <t>HOLIRLM341318390824</t>
  </si>
  <si>
    <t>GRANTSTOWN ALEX</t>
  </si>
  <si>
    <t>GRANTSTOWN MFX FLAMENGO 100</t>
  </si>
  <si>
    <t>HOLUSAM000129922003</t>
  </si>
  <si>
    <t>C PLUSHANSKI BSTAR FLUTE-ET</t>
  </si>
  <si>
    <t>HOLIRLM211110612364</t>
  </si>
  <si>
    <t>(IG) GOLDENFIELD ERIN ET</t>
  </si>
  <si>
    <t>HOL840M003129037603</t>
  </si>
  <si>
    <t>DE-SU UNO 3081-ET</t>
  </si>
  <si>
    <t>HOLIRLM141586741132</t>
  </si>
  <si>
    <t>DOCK CONOR ET</t>
  </si>
  <si>
    <t>NH MOGUL CHAMP (IMP 13)</t>
  </si>
  <si>
    <t>HOLNZLM000000100048</t>
  </si>
  <si>
    <t>BAGWORTH BELLS PRIZEWINNER</t>
  </si>
  <si>
    <t>BAGWORTH FORM BELL</t>
  </si>
  <si>
    <t>HOLNLDM000174219275</t>
  </si>
  <si>
    <t>EASTLAND GAGSON</t>
  </si>
  <si>
    <t>KOLHORNER FRONA 4</t>
  </si>
  <si>
    <t>NMDFRAM007284060272</t>
  </si>
  <si>
    <t>VENCESLAS</t>
  </si>
  <si>
    <t>FRAN NEWGATE</t>
  </si>
  <si>
    <t>FRAN PRIMEVIERE</t>
  </si>
  <si>
    <t>FRAN DILUVIEN</t>
  </si>
  <si>
    <t>HOLGBRM000000562884</t>
  </si>
  <si>
    <t>LYNBROOK MAJESTY 2</t>
  </si>
  <si>
    <t>HOLNZLM000000093278</t>
  </si>
  <si>
    <t>SRD O'BRYNES AP ESTELLE</t>
  </si>
  <si>
    <t>BSWIRLM00000000S330</t>
  </si>
  <si>
    <t>ZORVI</t>
  </si>
  <si>
    <t>ZEPPELIN</t>
  </si>
  <si>
    <t>SUMSI</t>
  </si>
  <si>
    <t>VIGATE</t>
  </si>
  <si>
    <t>MONFRAM008596026708</t>
  </si>
  <si>
    <t>MISTOUFLON</t>
  </si>
  <si>
    <t>HOLIRLM141612130778</t>
  </si>
  <si>
    <t>COURTHA DESIGN 2</t>
  </si>
  <si>
    <t>COURTHA JOS ANNE</t>
  </si>
  <si>
    <t>HOLIRLM151314110727</t>
  </si>
  <si>
    <t>HIGHMOUNT DAIRE</t>
  </si>
  <si>
    <t>MORRISHEEN SPW AOIFE</t>
  </si>
  <si>
    <t>HOLFRAM006506132485</t>
  </si>
  <si>
    <t>TURCAT</t>
  </si>
  <si>
    <t>RENAULT</t>
  </si>
  <si>
    <t>HOLNLDM000861713628</t>
  </si>
  <si>
    <t>NEWHOUSE REDOUTE</t>
  </si>
  <si>
    <t>HOLDNKM000000249077</t>
  </si>
  <si>
    <t>DANSIRE OMAN OMAR</t>
  </si>
  <si>
    <t>HOLCANM000007229251</t>
  </si>
  <si>
    <t>RIETBEN CHARGE</t>
  </si>
  <si>
    <t>BRAEDALE CHEETAH</t>
  </si>
  <si>
    <t>MRYNLDM000418576539</t>
  </si>
  <si>
    <t>JOLANDA 130</t>
  </si>
  <si>
    <t>MONFRAM003920260325</t>
  </si>
  <si>
    <t>SAVEUR</t>
  </si>
  <si>
    <t>HOLDEUM000354850803</t>
  </si>
  <si>
    <t>LAPTOP PP ET</t>
  </si>
  <si>
    <t>MRSPOLL</t>
  </si>
  <si>
    <t>VR MILSBO FOSKE FLAME</t>
  </si>
  <si>
    <t>IRELAND</t>
  </si>
  <si>
    <t>811 TEKLA</t>
  </si>
  <si>
    <t>HOLNLDM000969096292</t>
  </si>
  <si>
    <t>K D KH CINDERDOOR</t>
  </si>
  <si>
    <t>K D CINDERELLA 1</t>
  </si>
  <si>
    <t>JERDNKM000000304047</t>
  </si>
  <si>
    <t>VJ GUIDE</t>
  </si>
  <si>
    <t>VJ RYNKEBY GIVE GULF</t>
  </si>
  <si>
    <t>HOLNLDM000641092561</t>
  </si>
  <si>
    <t>GRASHOEK REDGUARD</t>
  </si>
  <si>
    <t>GRASHOAK RITA 7</t>
  </si>
  <si>
    <t>RDCCANM000109688487</t>
  </si>
  <si>
    <t>MARBRAE BIGTIME</t>
  </si>
  <si>
    <t>MARBRAE ROCKSTAR'S PROSPERITY</t>
  </si>
  <si>
    <t>JERDNKM000000303706</t>
  </si>
  <si>
    <t>VJ HAUGSTEDGAARD HULK HORST</t>
  </si>
  <si>
    <t>HOLUSAM000065395083</t>
  </si>
  <si>
    <t>GREENLEA ARTIE-RED-ET</t>
  </si>
  <si>
    <t>KHW REGIMENT ARIEL-RED-ET</t>
  </si>
  <si>
    <t>HOLGBRM000000634250</t>
  </si>
  <si>
    <t>BALLYCAIRN EXPORT MARGOT PI</t>
  </si>
  <si>
    <t>HOLGBRM000000651516</t>
  </si>
  <si>
    <t>WARNELVIEW REWARD ET</t>
  </si>
  <si>
    <t>WARNELVIEW GOLDWYN RUBY 2</t>
  </si>
  <si>
    <t>HOLITAM012500017316</t>
  </si>
  <si>
    <t>CERESIO HUSSA. DONATO ET TV TL</t>
  </si>
  <si>
    <t>CERESIO PINTA ET TV</t>
  </si>
  <si>
    <t>HOLUSAM000135778023</t>
  </si>
  <si>
    <t>GRAN-J DURHAM MARGO</t>
  </si>
  <si>
    <t>HOLIRLM151218050627</t>
  </si>
  <si>
    <t>CLONTEENS RENALDO</t>
  </si>
  <si>
    <t>CLONTEENS RUBY 46</t>
  </si>
  <si>
    <t>HOLNZLM000000106115</t>
  </si>
  <si>
    <t>MORROWS NOTE TRIDENT</t>
  </si>
  <si>
    <t>RUN WITH CALVES</t>
  </si>
  <si>
    <t>HOLNZLM000000110024</t>
  </si>
  <si>
    <t>BARLEE MA PRINCE-ET S3F</t>
  </si>
  <si>
    <t>BARLEE PIERRE PEEWEE S2F</t>
  </si>
  <si>
    <t>HOLDEUM001021044209</t>
  </si>
  <si>
    <t>DOVEA LEADBOY ET</t>
  </si>
  <si>
    <t>BELLA 817</t>
  </si>
  <si>
    <t>HOLCANM000006581869</t>
  </si>
  <si>
    <t>INNWOOD TERRASON</t>
  </si>
  <si>
    <t>INNWOOD PRE TERRA</t>
  </si>
  <si>
    <t>HOLGBRM000000536807</t>
  </si>
  <si>
    <t>CATLANE HERACLES MARINA</t>
  </si>
  <si>
    <t>TERLING HERACLES</t>
  </si>
  <si>
    <t>RDCUSAM000100419568</t>
  </si>
  <si>
    <t>PALMYRA TRI-STAR</t>
  </si>
  <si>
    <t>PALMYRA RENO BETHANY -ET</t>
  </si>
  <si>
    <t>COVEY-FARMS RENO</t>
  </si>
  <si>
    <t>BSWIRLM000000000PTH</t>
  </si>
  <si>
    <t>PATCHO ET</t>
  </si>
  <si>
    <t>LYNDALE MAGNUM ELATION ET</t>
  </si>
  <si>
    <t>BSWIRLM000000000LZT</t>
  </si>
  <si>
    <t>LISZT</t>
  </si>
  <si>
    <t>WIDO</t>
  </si>
  <si>
    <t>PAJO ET</t>
  </si>
  <si>
    <t>HOLGBRM000000004845</t>
  </si>
  <si>
    <t>C H C TRADITION</t>
  </si>
  <si>
    <t>BARBICAN STARBUCK AMSEL 2 ET</t>
  </si>
  <si>
    <t>HOLGBRM000000518685</t>
  </si>
  <si>
    <t>DOVEA INNOVATOR ET</t>
  </si>
  <si>
    <t>RDCIRLM000000000ODU</t>
  </si>
  <si>
    <t>ODEUR</t>
  </si>
  <si>
    <t>BSWIRLM000000000EMN</t>
  </si>
  <si>
    <t>ERMANDO</t>
  </si>
  <si>
    <t>MRYDEUM000579281784</t>
  </si>
  <si>
    <t>HOLNLDM000216354702</t>
  </si>
  <si>
    <t>SAND-HILL DELTA NEVADA</t>
  </si>
  <si>
    <t>SAND-HILL WIOLA 36</t>
  </si>
  <si>
    <t>BSWIRLM000000000PEI</t>
  </si>
  <si>
    <t>PEVI</t>
  </si>
  <si>
    <t>JOHANN PETE ROSE ET *TW</t>
  </si>
  <si>
    <t>HOLIRLM000000000SRW</t>
  </si>
  <si>
    <t>SUSAN 162'S ROWAN</t>
  </si>
  <si>
    <t>ROWAN (MRI)</t>
  </si>
  <si>
    <t>SUZAN (MRI) 162</t>
  </si>
  <si>
    <t>HOLNLDM000790784700</t>
  </si>
  <si>
    <t>KILBANIVANE S PARTNER</t>
  </si>
  <si>
    <t>SKALSUMER PIETJE 182</t>
  </si>
  <si>
    <t>HOLUSAM000069405976</t>
  </si>
  <si>
    <t>TIGER-LILY LAWNBOY LULU-RED</t>
  </si>
  <si>
    <t>HOLNLDM000916344441</t>
  </si>
  <si>
    <t>MANDELLA ET</t>
  </si>
  <si>
    <t>MARS FROUKJE 523</t>
  </si>
  <si>
    <t>HOLCANM000108490894</t>
  </si>
  <si>
    <t>GEN-I-BEQ ATTICO RED</t>
  </si>
  <si>
    <t>HOLFRAM002992032816</t>
  </si>
  <si>
    <t>MILKBOARD HOWARD</t>
  </si>
  <si>
    <t>HOLGBRM000000579819</t>
  </si>
  <si>
    <t>REARY DECLAN 4 ET</t>
  </si>
  <si>
    <t>HOLDEUM000505864377</t>
  </si>
  <si>
    <t>PARI</t>
  </si>
  <si>
    <t>HOLNLDM000181513021</t>
  </si>
  <si>
    <t>BONUS PATRON</t>
  </si>
  <si>
    <t>TWIN-B-DAIRY E-B FELISSE-ET</t>
  </si>
  <si>
    <t>HOLNLDM000176014191</t>
  </si>
  <si>
    <t>VISSTAR REBUS ET</t>
  </si>
  <si>
    <t>DAVROS ELTON REBA</t>
  </si>
  <si>
    <t>MONFRAM003989013583</t>
  </si>
  <si>
    <t>EMPEREUR</t>
  </si>
  <si>
    <t>AVALANCHE</t>
  </si>
  <si>
    <t>HOLGBRM000000004513</t>
  </si>
  <si>
    <t>C H C VALAIS</t>
  </si>
  <si>
    <t>HOLUSAM000074564764</t>
  </si>
  <si>
    <t>PLAIN-KNOLL KING ROYAL-ET</t>
  </si>
  <si>
    <t>HOLNLDM000248201353</t>
  </si>
  <si>
    <t>MOLLYS BOUDEWIJN</t>
  </si>
  <si>
    <t>MOLLY AERO SAND</t>
  </si>
  <si>
    <t>HOLUSAM000133808867</t>
  </si>
  <si>
    <t>CITYVIEW RUBY WINE-RED</t>
  </si>
  <si>
    <t>HOLIRLM111047620892</t>
  </si>
  <si>
    <t>(IG) BLACKNEY ECKLAND</t>
  </si>
  <si>
    <t>JERAUSM000A00012574</t>
  </si>
  <si>
    <t>BERCAR SARATOGA</t>
  </si>
  <si>
    <t>BERCAR BLANCA-ET</t>
  </si>
  <si>
    <t>BSWIRLM000000000VIB</t>
  </si>
  <si>
    <t>VIDOBA</t>
  </si>
  <si>
    <t>Production Trait Evaluation</t>
  </si>
  <si>
    <t>Fertility and Survival Evaluation</t>
  </si>
  <si>
    <t>Calving Difficulty Evaluation</t>
  </si>
  <si>
    <t>HealthSI</t>
  </si>
  <si>
    <t>Management</t>
  </si>
  <si>
    <t>Confirmation Trait Evaluation</t>
  </si>
  <si>
    <t>Overall Type</t>
  </si>
  <si>
    <t>Carcass Trait Evaluation</t>
  </si>
  <si>
    <t>Dairy Calv Dau</t>
  </si>
  <si>
    <t>Beef Calv Dau</t>
  </si>
  <si>
    <t>Dairy Heifer calv diff</t>
  </si>
  <si>
    <t>Dairy Cow calv diff</t>
  </si>
  <si>
    <t>Maternal Dairy Heifer calv diff</t>
  </si>
  <si>
    <t>Maternal Dairy Cow calv diff</t>
  </si>
  <si>
    <t>Proofs for EBI, sub indexes, and individual traits for dairy AI bulls with a progeny based calving proof, Jan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</si>
</sst>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#,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3">
    <xf numFmtId="0" fontId="0" fillId="0" borderId="0" xfId="0"/>
    <xf numFmtId="14" fontId="0" fillId="0" borderId="0" xfId="0" applyNumberFormat="1"/>
    <xf numFmtId="17" fontId="0" fillId="0" borderId="0" xfId="0" applyNumberFormat="1"/>
    <xf numFmtId="0" fontId="18" fillId="0" borderId="0" xfId="0" applyFont="1"/>
    <xf numFmtId="0" fontId="19" fillId="0" borderId="17" xfId="0" applyFont="1" applyBorder="1"/>
    <xf numFmtId="0" fontId="0" fillId="0" borderId="13" xfId="0" applyBorder="1"/>
    <xf numFmtId="0" fontId="16" fillId="0" borderId="13" xfId="0" applyFont="1" applyBorder="1"/>
    <xf numFmtId="0" fontId="20" fillId="0" borderId="13" xfId="0" applyFont="1" applyBorder="1"/>
    <xf numFmtId="0" fontId="19" fillId="33" borderId="13" xfId="0" applyFont="1" applyFill="1" applyBorder="1"/>
    <xf numFmtId="0" fontId="19" fillId="34" borderId="13" xfId="0" applyFont="1" applyFill="1" applyBorder="1"/>
    <xf numFmtId="0" fontId="19" fillId="35" borderId="13" xfId="0" applyFont="1" applyFill="1" applyBorder="1"/>
    <xf numFmtId="0" fontId="19" fillId="36" borderId="13" xfId="0" applyFont="1" applyFill="1" applyBorder="1"/>
    <xf numFmtId="0" fontId="19" fillId="37" borderId="13" xfId="0" applyFont="1" applyFill="1" applyBorder="1"/>
    <xf numFmtId="0" fontId="19" fillId="0" borderId="13" xfId="0" applyFont="1" applyBorder="1"/>
    <xf numFmtId="0" fontId="19" fillId="38" borderId="13" xfId="0" applyFont="1" applyFill="1" applyBorder="1"/>
    <xf numFmtId="0" fontId="19" fillId="39" borderId="13" xfId="0" applyFont="1" applyFill="1" applyBorder="1"/>
    <xf numFmtId="0" fontId="19" fillId="39" borderId="15" xfId="0" applyFont="1" applyFill="1" applyBorder="1"/>
    <xf numFmtId="0" fontId="20" fillId="40" borderId="13" xfId="0" applyFont="1" applyFill="1" applyBorder="1"/>
    <xf numFmtId="164" fontId="19" fillId="34" borderId="13" xfId="0" applyNumberFormat="1" applyFont="1" applyFill="1" applyBorder="1"/>
    <xf numFmtId="164" fontId="19" fillId="35" borderId="13" xfId="0" applyNumberFormat="1" applyFont="1" applyFill="1" applyBorder="1"/>
    <xf numFmtId="164" fontId="19" fillId="39" borderId="13" xfId="0" applyNumberFormat="1" applyFont="1" applyFill="1" applyBorder="1"/>
    <xf numFmtId="164" fontId="19" fillId="36" borderId="13" xfId="0" applyNumberFormat="1" applyFont="1" applyFill="1" applyBorder="1"/>
    <xf numFmtId="164" fontId="19" fillId="41" borderId="13" xfId="0" applyNumberFormat="1" applyFont="1" applyFill="1" applyBorder="1"/>
    <xf numFmtId="0" fontId="19" fillId="41" borderId="13" xfId="0" applyFont="1" applyFill="1" applyBorder="1"/>
    <xf numFmtId="164" fontId="19" fillId="37" borderId="13" xfId="0" applyNumberFormat="1" applyFont="1" applyFill="1" applyBorder="1"/>
    <xf numFmtId="0" fontId="19" fillId="42" borderId="13" xfId="0" applyFont="1" applyFill="1" applyBorder="1"/>
    <xf numFmtId="0" fontId="19" fillId="35" borderId="18" xfId="0" applyFont="1" applyFill="1" applyBorder="1" applyAlignment="1">
      <alignment horizontal="center"/>
    </xf>
    <xf numFmtId="0" fontId="19" fillId="35" borderId="0" xfId="0" applyFont="1" applyFill="1" applyBorder="1" applyAlignment="1">
      <alignment horizontal="center"/>
    </xf>
    <xf numFmtId="0" fontId="19" fillId="35" borderId="19" xfId="0" applyFont="1" applyFill="1" applyBorder="1" applyAlignment="1">
      <alignment horizontal="center"/>
    </xf>
    <xf numFmtId="0" fontId="19" fillId="33" borderId="13" xfId="0" applyFont="1" applyFill="1" applyBorder="1" applyAlignment="1">
      <alignment horizontal="center"/>
    </xf>
    <xf numFmtId="0" fontId="19" fillId="39" borderId="10" xfId="0" applyFont="1" applyFill="1" applyBorder="1" applyAlignment="1">
      <alignment horizontal="center"/>
    </xf>
    <xf numFmtId="0" fontId="19" fillId="39" borderId="11" xfId="0" applyFont="1" applyFill="1" applyBorder="1" applyAlignment="1">
      <alignment horizontal="center"/>
    </xf>
    <xf numFmtId="0" fontId="20" fillId="40" borderId="15" xfId="0" applyFont="1" applyFill="1" applyBorder="1" applyAlignment="1">
      <alignment horizontal="center"/>
    </xf>
    <xf numFmtId="0" fontId="20" fillId="40" borderId="14" xfId="0" applyFont="1" applyFill="1" applyBorder="1" applyAlignment="1">
      <alignment horizontal="center"/>
    </xf>
    <xf numFmtId="0" fontId="19" fillId="34" borderId="13" xfId="0" applyFont="1" applyFill="1" applyBorder="1" applyAlignment="1">
      <alignment horizontal="center"/>
    </xf>
    <xf numFmtId="0" fontId="19" fillId="35" borderId="13" xfId="0" applyFont="1" applyFill="1" applyBorder="1" applyAlignment="1">
      <alignment horizontal="center"/>
    </xf>
    <xf numFmtId="0" fontId="19" fillId="39" borderId="13" xfId="0" applyFont="1" applyFill="1" applyBorder="1" applyAlignment="1">
      <alignment horizontal="center"/>
    </xf>
    <xf numFmtId="0" fontId="19" fillId="36" borderId="13" xfId="0" applyFont="1" applyFill="1" applyBorder="1" applyAlignment="1">
      <alignment horizontal="center"/>
    </xf>
    <xf numFmtId="0" fontId="19" fillId="41" borderId="13" xfId="0" applyFont="1" applyFill="1" applyBorder="1" applyAlignment="1">
      <alignment horizontal="center"/>
    </xf>
    <xf numFmtId="0" fontId="19" fillId="37" borderId="15" xfId="0" applyFont="1" applyFill="1" applyBorder="1" applyAlignment="1">
      <alignment horizontal="center"/>
    </xf>
    <xf numFmtId="0" fontId="19" fillId="37" borderId="14" xfId="0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9" fillId="33" borderId="12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center"/>
    </xf>
    <xf numFmtId="0" fontId="19" fillId="34" borderId="11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6" borderId="15" xfId="0" applyFont="1" applyFill="1" applyBorder="1" applyAlignment="1">
      <alignment horizontal="center"/>
    </xf>
    <xf numFmtId="0" fontId="19" fillId="36" borderId="16" xfId="0" applyFont="1" applyFill="1" applyBorder="1" applyAlignment="1">
      <alignment horizontal="center"/>
    </xf>
    <xf numFmtId="0" fontId="19" fillId="36" borderId="14" xfId="0" applyFont="1" applyFill="1" applyBorder="1" applyAlignment="1">
      <alignment horizontal="center"/>
    </xf>
    <xf numFmtId="0" fontId="19" fillId="38" borderId="10" xfId="0" applyFont="1" applyFill="1" applyBorder="1" applyAlignment="1">
      <alignment horizontal="center"/>
    </xf>
    <xf numFmtId="0" fontId="19" fillId="38" borderId="11" xfId="0" applyFont="1" applyFill="1" applyBorder="1" applyAlignment="1">
      <alignment horizontal="center"/>
    </xf>
    <xf numFmtId="0" fontId="19" fillId="38" borderId="12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X5017"/>
  <sheetViews>
    <sheetView tabSelected="1" workbookViewId="0">
      <selection activeCell="A5" sqref="A5:XFD5"/>
    </sheetView>
  </sheetViews>
  <sheetFormatPr defaultRowHeight="14.4" x14ac:dyDescent="0.3"/>
  <cols>
    <col min="3" max="3" width="33.44140625" bestFit="1" customWidth="1"/>
    <col min="4" max="4" width="10.5546875" bestFit="1" customWidth="1"/>
    <col min="24" max="24" width="31.33203125" bestFit="1" customWidth="1"/>
    <col min="27" max="27" width="34.109375" bestFit="1" customWidth="1"/>
    <col min="28" max="28" width="36" bestFit="1" customWidth="1"/>
    <col min="42" max="42" width="14.6640625" bestFit="1" customWidth="1"/>
    <col min="43" max="43" width="14.109375" bestFit="1" customWidth="1"/>
    <col min="44" max="44" width="19.109375" bestFit="1" customWidth="1"/>
    <col min="45" max="45" width="9.33203125" customWidth="1"/>
    <col min="46" max="46" width="17.6640625" bestFit="1" customWidth="1"/>
    <col min="47" max="47" width="8.33203125" customWidth="1"/>
    <col min="52" max="52" width="27.6640625" bestFit="1" customWidth="1"/>
    <col min="53" max="53" width="10.109375" customWidth="1"/>
    <col min="54" max="54" width="26.33203125" bestFit="1" customWidth="1"/>
    <col min="55" max="55" width="11.6640625" customWidth="1"/>
    <col min="102" max="102" width="35.6640625" bestFit="1" customWidth="1"/>
  </cols>
  <sheetData>
    <row r="1" spans="1:102" ht="21" x14ac:dyDescent="0.4">
      <c r="A1" s="3" t="s">
        <v>15731</v>
      </c>
    </row>
    <row r="3" spans="1:102" x14ac:dyDescent="0.3">
      <c r="AC3" s="41" t="s">
        <v>15717</v>
      </c>
      <c r="AD3" s="42"/>
      <c r="AE3" s="42"/>
      <c r="AF3" s="42"/>
      <c r="AG3" s="42"/>
      <c r="AH3" s="42"/>
      <c r="AI3" s="42"/>
      <c r="AJ3" s="43"/>
      <c r="AK3" s="44" t="s">
        <v>15718</v>
      </c>
      <c r="AL3" s="45"/>
      <c r="AM3" s="45"/>
      <c r="AN3" s="45"/>
      <c r="AO3" s="46"/>
      <c r="AP3" s="26" t="s">
        <v>15719</v>
      </c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8"/>
      <c r="BD3" s="47" t="s">
        <v>15720</v>
      </c>
      <c r="BE3" s="48"/>
      <c r="BF3" s="48"/>
      <c r="BG3" s="49"/>
      <c r="BH3" s="39" t="s">
        <v>15721</v>
      </c>
      <c r="BI3" s="40"/>
      <c r="BJ3" s="4"/>
      <c r="BK3" s="4"/>
      <c r="BL3" s="4" t="s">
        <v>15722</v>
      </c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50" t="s">
        <v>15723</v>
      </c>
      <c r="CB3" s="51"/>
      <c r="CC3" s="52"/>
      <c r="CD3" s="4"/>
      <c r="CE3" s="4"/>
      <c r="CF3" s="4"/>
      <c r="CG3" s="4"/>
      <c r="CH3" s="4"/>
      <c r="CI3" s="4"/>
      <c r="CJ3" s="30" t="s">
        <v>15724</v>
      </c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5"/>
    </row>
    <row r="4" spans="1:102" x14ac:dyDescent="0.3">
      <c r="A4" s="6" t="s">
        <v>0</v>
      </c>
      <c r="B4" s="6"/>
      <c r="C4" s="6"/>
      <c r="D4" s="6" t="s">
        <v>1</v>
      </c>
      <c r="E4" s="6" t="s">
        <v>2</v>
      </c>
      <c r="F4" s="6"/>
      <c r="G4" s="6" t="s">
        <v>3</v>
      </c>
      <c r="H4" s="32" t="s">
        <v>4</v>
      </c>
      <c r="I4" s="33"/>
      <c r="J4" s="29" t="s">
        <v>5</v>
      </c>
      <c r="K4" s="29"/>
      <c r="L4" s="34" t="s">
        <v>6</v>
      </c>
      <c r="M4" s="34"/>
      <c r="N4" s="35" t="s">
        <v>7</v>
      </c>
      <c r="O4" s="35"/>
      <c r="P4" s="36" t="s">
        <v>8</v>
      </c>
      <c r="Q4" s="36"/>
      <c r="R4" s="37" t="s">
        <v>9</v>
      </c>
      <c r="S4" s="37"/>
      <c r="T4" s="38" t="s">
        <v>10</v>
      </c>
      <c r="U4" s="38"/>
      <c r="V4" s="39" t="s">
        <v>11</v>
      </c>
      <c r="W4" s="40"/>
      <c r="X4" s="7" t="s">
        <v>12</v>
      </c>
      <c r="Y4" s="7" t="s">
        <v>13</v>
      </c>
      <c r="Z4" s="7"/>
      <c r="AA4" s="7"/>
      <c r="AB4" s="7"/>
      <c r="AC4" s="8" t="s">
        <v>14</v>
      </c>
      <c r="AD4" s="8" t="s">
        <v>14</v>
      </c>
      <c r="AE4" s="8" t="s">
        <v>15</v>
      </c>
      <c r="AF4" s="8" t="s">
        <v>16</v>
      </c>
      <c r="AG4" s="8" t="s">
        <v>16</v>
      </c>
      <c r="AH4" s="8" t="s">
        <v>16</v>
      </c>
      <c r="AI4" s="8" t="s">
        <v>16</v>
      </c>
      <c r="AJ4" s="8" t="s">
        <v>16</v>
      </c>
      <c r="AK4" s="9" t="s">
        <v>17</v>
      </c>
      <c r="AL4" s="9" t="s">
        <v>14</v>
      </c>
      <c r="AM4" s="9" t="s">
        <v>14</v>
      </c>
      <c r="AN4" s="9" t="s">
        <v>16</v>
      </c>
      <c r="AO4" s="9" t="s">
        <v>16</v>
      </c>
      <c r="AP4" s="10" t="s">
        <v>14</v>
      </c>
      <c r="AQ4" s="10" t="s">
        <v>14</v>
      </c>
      <c r="AR4" s="10" t="s">
        <v>16</v>
      </c>
      <c r="AS4" s="10" t="s">
        <v>17</v>
      </c>
      <c r="AT4" s="10" t="s">
        <v>16</v>
      </c>
      <c r="AU4" s="10" t="s">
        <v>17</v>
      </c>
      <c r="AV4" s="10" t="s">
        <v>18</v>
      </c>
      <c r="AW4" s="10" t="s">
        <v>18</v>
      </c>
      <c r="AX4" s="10" t="s">
        <v>19</v>
      </c>
      <c r="AY4" s="10" t="s">
        <v>19</v>
      </c>
      <c r="AZ4" s="10" t="s">
        <v>16</v>
      </c>
      <c r="BA4" s="10" t="s">
        <v>17</v>
      </c>
      <c r="BB4" s="10" t="s">
        <v>16</v>
      </c>
      <c r="BC4" s="10" t="s">
        <v>17</v>
      </c>
      <c r="BD4" s="11" t="s">
        <v>16</v>
      </c>
      <c r="BE4" s="11" t="s">
        <v>16</v>
      </c>
      <c r="BF4" s="11" t="s">
        <v>16</v>
      </c>
      <c r="BG4" s="11" t="s">
        <v>17</v>
      </c>
      <c r="BH4" s="12" t="s">
        <v>16</v>
      </c>
      <c r="BI4" s="12" t="s">
        <v>16</v>
      </c>
      <c r="BJ4" s="13" t="s">
        <v>14</v>
      </c>
      <c r="BK4" s="13" t="s">
        <v>14</v>
      </c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4" t="s">
        <v>16</v>
      </c>
      <c r="CB4" s="14" t="s">
        <v>16</v>
      </c>
      <c r="CC4" s="14" t="s">
        <v>16</v>
      </c>
      <c r="CD4" s="13"/>
      <c r="CE4" s="13"/>
      <c r="CF4" s="13"/>
      <c r="CG4" s="13"/>
      <c r="CH4" s="13"/>
      <c r="CI4" s="13"/>
      <c r="CJ4" s="15" t="s">
        <v>16</v>
      </c>
      <c r="CK4" s="15" t="s">
        <v>17</v>
      </c>
      <c r="CL4" s="15" t="s">
        <v>16</v>
      </c>
      <c r="CM4" s="15" t="s">
        <v>17</v>
      </c>
      <c r="CN4" s="15" t="s">
        <v>16</v>
      </c>
      <c r="CO4" s="15" t="s">
        <v>17</v>
      </c>
      <c r="CP4" s="15" t="s">
        <v>20</v>
      </c>
      <c r="CQ4" s="15" t="s">
        <v>15</v>
      </c>
      <c r="CR4" s="15" t="s">
        <v>21</v>
      </c>
      <c r="CS4" s="15" t="s">
        <v>15</v>
      </c>
      <c r="CT4" s="15" t="s">
        <v>22</v>
      </c>
      <c r="CU4" s="15" t="s">
        <v>15</v>
      </c>
      <c r="CV4" s="15" t="s">
        <v>23</v>
      </c>
      <c r="CW4" s="16" t="s">
        <v>15</v>
      </c>
      <c r="CX4" s="7"/>
    </row>
    <row r="5" spans="1:102" x14ac:dyDescent="0.3">
      <c r="A5" s="6" t="s">
        <v>24</v>
      </c>
      <c r="B5" s="6" t="s">
        <v>25</v>
      </c>
      <c r="C5" s="6" t="s">
        <v>26</v>
      </c>
      <c r="D5" s="6" t="s">
        <v>27</v>
      </c>
      <c r="E5" s="6" t="s">
        <v>28</v>
      </c>
      <c r="F5" s="6" t="s">
        <v>29</v>
      </c>
      <c r="G5" s="6" t="s">
        <v>30</v>
      </c>
      <c r="H5" s="17" t="s">
        <v>31</v>
      </c>
      <c r="I5" s="17" t="s">
        <v>17</v>
      </c>
      <c r="J5" s="29" t="s">
        <v>31</v>
      </c>
      <c r="K5" s="29" t="s">
        <v>17</v>
      </c>
      <c r="L5" s="18" t="s">
        <v>31</v>
      </c>
      <c r="M5" s="9" t="s">
        <v>17</v>
      </c>
      <c r="N5" s="19" t="s">
        <v>31</v>
      </c>
      <c r="O5" s="10" t="s">
        <v>17</v>
      </c>
      <c r="P5" s="20" t="s">
        <v>31</v>
      </c>
      <c r="Q5" s="15" t="s">
        <v>17</v>
      </c>
      <c r="R5" s="21" t="s">
        <v>31</v>
      </c>
      <c r="S5" s="11" t="s">
        <v>17</v>
      </c>
      <c r="T5" s="22" t="s">
        <v>31</v>
      </c>
      <c r="U5" s="23" t="s">
        <v>15</v>
      </c>
      <c r="V5" s="24" t="s">
        <v>31</v>
      </c>
      <c r="W5" s="12" t="s">
        <v>15</v>
      </c>
      <c r="X5" s="7" t="s">
        <v>32</v>
      </c>
      <c r="Y5" s="7" t="s">
        <v>33</v>
      </c>
      <c r="Z5" s="7" t="s">
        <v>34</v>
      </c>
      <c r="AA5" s="7" t="s">
        <v>35</v>
      </c>
      <c r="AB5" s="7" t="s">
        <v>36</v>
      </c>
      <c r="AC5" s="8" t="s">
        <v>37</v>
      </c>
      <c r="AD5" s="8" t="s">
        <v>38</v>
      </c>
      <c r="AE5" s="8" t="s">
        <v>39</v>
      </c>
      <c r="AF5" s="8" t="s">
        <v>40</v>
      </c>
      <c r="AG5" s="8" t="s">
        <v>41</v>
      </c>
      <c r="AH5" s="8" t="s">
        <v>42</v>
      </c>
      <c r="AI5" s="8" t="s">
        <v>43</v>
      </c>
      <c r="AJ5" s="8" t="s">
        <v>44</v>
      </c>
      <c r="AK5" s="9" t="s">
        <v>39</v>
      </c>
      <c r="AL5" s="9" t="s">
        <v>45</v>
      </c>
      <c r="AM5" s="9" t="s">
        <v>38</v>
      </c>
      <c r="AN5" s="9" t="s">
        <v>46</v>
      </c>
      <c r="AO5" s="9" t="s">
        <v>47</v>
      </c>
      <c r="AP5" s="10" t="s">
        <v>15725</v>
      </c>
      <c r="AQ5" s="10" t="s">
        <v>15726</v>
      </c>
      <c r="AR5" s="10" t="s">
        <v>15727</v>
      </c>
      <c r="AS5" s="10" t="s">
        <v>39</v>
      </c>
      <c r="AT5" s="10" t="s">
        <v>15728</v>
      </c>
      <c r="AU5" s="10" t="s">
        <v>39</v>
      </c>
      <c r="AV5" s="10" t="s">
        <v>16</v>
      </c>
      <c r="AW5" s="10" t="s">
        <v>17</v>
      </c>
      <c r="AX5" s="10" t="s">
        <v>16</v>
      </c>
      <c r="AY5" s="10" t="s">
        <v>17</v>
      </c>
      <c r="AZ5" s="10" t="s">
        <v>15729</v>
      </c>
      <c r="BA5" s="10" t="s">
        <v>39</v>
      </c>
      <c r="BB5" s="10" t="s">
        <v>15730</v>
      </c>
      <c r="BC5" s="10" t="s">
        <v>39</v>
      </c>
      <c r="BD5" s="11" t="s">
        <v>48</v>
      </c>
      <c r="BE5" s="11" t="s">
        <v>49</v>
      </c>
      <c r="BF5" s="11" t="s">
        <v>50</v>
      </c>
      <c r="BG5" s="11" t="s">
        <v>39</v>
      </c>
      <c r="BH5" s="12" t="s">
        <v>51</v>
      </c>
      <c r="BI5" s="12" t="s">
        <v>52</v>
      </c>
      <c r="BJ5" s="13" t="s">
        <v>45</v>
      </c>
      <c r="BK5" s="13" t="s">
        <v>53</v>
      </c>
      <c r="BL5" s="13" t="s">
        <v>54</v>
      </c>
      <c r="BM5" s="13" t="s">
        <v>55</v>
      </c>
      <c r="BN5" s="13" t="s">
        <v>56</v>
      </c>
      <c r="BO5" s="13" t="s">
        <v>57</v>
      </c>
      <c r="BP5" s="13" t="s">
        <v>58</v>
      </c>
      <c r="BQ5" s="13" t="s">
        <v>59</v>
      </c>
      <c r="BR5" s="13" t="s">
        <v>60</v>
      </c>
      <c r="BS5" s="13" t="s">
        <v>61</v>
      </c>
      <c r="BT5" s="13" t="s">
        <v>62</v>
      </c>
      <c r="BU5" s="13" t="s">
        <v>63</v>
      </c>
      <c r="BV5" s="13" t="s">
        <v>64</v>
      </c>
      <c r="BW5" s="13" t="s">
        <v>65</v>
      </c>
      <c r="BX5" s="13" t="s">
        <v>66</v>
      </c>
      <c r="BY5" s="13" t="s">
        <v>67</v>
      </c>
      <c r="BZ5" s="25" t="s">
        <v>68</v>
      </c>
      <c r="CA5" s="14" t="s">
        <v>69</v>
      </c>
      <c r="CB5" s="14" t="s">
        <v>70</v>
      </c>
      <c r="CC5" s="14" t="s">
        <v>71</v>
      </c>
      <c r="CD5" s="13" t="s">
        <v>72</v>
      </c>
      <c r="CE5" s="13" t="s">
        <v>73</v>
      </c>
      <c r="CF5" s="13" t="s">
        <v>74</v>
      </c>
      <c r="CG5" s="13" t="s">
        <v>75</v>
      </c>
      <c r="CH5" s="13" t="s">
        <v>76</v>
      </c>
      <c r="CI5" s="13" t="s">
        <v>77</v>
      </c>
      <c r="CJ5" s="15" t="s">
        <v>78</v>
      </c>
      <c r="CK5" s="15" t="s">
        <v>78</v>
      </c>
      <c r="CL5" s="15" t="s">
        <v>79</v>
      </c>
      <c r="CM5" s="15" t="s">
        <v>79</v>
      </c>
      <c r="CN5" s="15" t="s">
        <v>80</v>
      </c>
      <c r="CO5" s="15" t="s">
        <v>80</v>
      </c>
      <c r="CP5" s="15" t="s">
        <v>81</v>
      </c>
      <c r="CQ5" s="15" t="s">
        <v>82</v>
      </c>
      <c r="CR5" s="15" t="s">
        <v>83</v>
      </c>
      <c r="CS5" s="15" t="s">
        <v>84</v>
      </c>
      <c r="CT5" s="15" t="s">
        <v>83</v>
      </c>
      <c r="CU5" s="15" t="s">
        <v>85</v>
      </c>
      <c r="CV5" s="15" t="s">
        <v>86</v>
      </c>
      <c r="CW5" s="16" t="s">
        <v>87</v>
      </c>
      <c r="CX5" s="7" t="s">
        <v>88</v>
      </c>
    </row>
    <row r="6" spans="1:102" x14ac:dyDescent="0.3">
      <c r="A6" t="str">
        <f>HYPERLINK("https://webapp.icbf.com/v2/app/bull-search/view/1605144623","FR4728")</f>
        <v>FR4728</v>
      </c>
      <c r="B6" t="s">
        <v>2398</v>
      </c>
      <c r="C6" t="s">
        <v>2399</v>
      </c>
      <c r="D6" s="1">
        <v>43123</v>
      </c>
      <c r="E6" t="s">
        <v>92</v>
      </c>
      <c r="F6">
        <v>81</v>
      </c>
      <c r="G6" t="s">
        <v>435</v>
      </c>
      <c r="H6">
        <v>355.26</v>
      </c>
      <c r="I6">
        <v>70</v>
      </c>
      <c r="J6">
        <v>111.17</v>
      </c>
      <c r="K6">
        <v>90</v>
      </c>
      <c r="L6">
        <v>172.47</v>
      </c>
      <c r="M6">
        <v>65</v>
      </c>
      <c r="N6">
        <v>58.06</v>
      </c>
      <c r="O6">
        <v>61</v>
      </c>
      <c r="P6">
        <v>-10.5</v>
      </c>
      <c r="Q6">
        <v>46</v>
      </c>
      <c r="R6">
        <v>6.44</v>
      </c>
      <c r="S6">
        <v>66</v>
      </c>
      <c r="T6">
        <v>12.86</v>
      </c>
      <c r="U6">
        <v>46</v>
      </c>
      <c r="V6">
        <v>4.76</v>
      </c>
      <c r="W6">
        <v>59</v>
      </c>
      <c r="X6" t="s">
        <v>94</v>
      </c>
      <c r="Y6" t="s">
        <v>2384</v>
      </c>
      <c r="Z6" t="s">
        <v>96</v>
      </c>
      <c r="AA6" t="s">
        <v>2372</v>
      </c>
      <c r="AB6" t="s">
        <v>2400</v>
      </c>
      <c r="AC6">
        <v>0</v>
      </c>
      <c r="AD6">
        <v>0</v>
      </c>
      <c r="AE6">
        <v>90</v>
      </c>
      <c r="AF6">
        <v>179.09</v>
      </c>
      <c r="AG6">
        <v>19.98</v>
      </c>
      <c r="AH6">
        <v>14.58</v>
      </c>
      <c r="AI6">
        <v>0.21</v>
      </c>
      <c r="AJ6">
        <v>0.15</v>
      </c>
      <c r="AK6">
        <v>65</v>
      </c>
      <c r="AL6">
        <v>0</v>
      </c>
      <c r="AM6">
        <v>0</v>
      </c>
      <c r="AN6">
        <v>-9.76</v>
      </c>
      <c r="AO6">
        <v>3.99</v>
      </c>
      <c r="AP6">
        <v>1</v>
      </c>
      <c r="AQ6">
        <v>0</v>
      </c>
      <c r="AR6">
        <v>4.75</v>
      </c>
      <c r="AS6">
        <v>57</v>
      </c>
      <c r="AT6">
        <v>1.88</v>
      </c>
      <c r="AU6">
        <v>64</v>
      </c>
      <c r="AV6">
        <v>-4.71</v>
      </c>
      <c r="AW6">
        <v>69</v>
      </c>
      <c r="AX6">
        <v>-0.73</v>
      </c>
      <c r="AY6">
        <v>49</v>
      </c>
      <c r="AZ6">
        <v>5.31</v>
      </c>
      <c r="BA6">
        <v>46</v>
      </c>
      <c r="BB6">
        <v>4.66</v>
      </c>
      <c r="BC6">
        <v>45</v>
      </c>
      <c r="BD6">
        <v>-0.09</v>
      </c>
      <c r="BE6">
        <v>-0.02</v>
      </c>
      <c r="BF6">
        <v>0.04</v>
      </c>
      <c r="BG6">
        <v>75</v>
      </c>
      <c r="BH6">
        <v>0.09</v>
      </c>
      <c r="BI6">
        <v>-4.95</v>
      </c>
      <c r="BJ6">
        <v>0</v>
      </c>
      <c r="BK6">
        <v>0</v>
      </c>
      <c r="BL6">
        <v>-0.97</v>
      </c>
      <c r="BM6">
        <v>-0.61</v>
      </c>
      <c r="BN6">
        <v>-2.16</v>
      </c>
      <c r="BO6">
        <v>-1.54</v>
      </c>
      <c r="BP6">
        <v>0.74</v>
      </c>
      <c r="BQ6">
        <v>-1.28</v>
      </c>
      <c r="BR6">
        <v>1.23</v>
      </c>
      <c r="BS6">
        <v>-2.83</v>
      </c>
      <c r="BT6">
        <v>-0.91</v>
      </c>
      <c r="BU6">
        <v>-0.79</v>
      </c>
      <c r="BV6">
        <v>-2.3199999999999998</v>
      </c>
      <c r="BW6">
        <v>-1.64</v>
      </c>
      <c r="BX6">
        <v>-0.36</v>
      </c>
      <c r="BY6">
        <v>-1.23</v>
      </c>
      <c r="BZ6">
        <v>-0.76</v>
      </c>
      <c r="CA6">
        <v>-1.48</v>
      </c>
      <c r="CB6">
        <v>-1.17</v>
      </c>
      <c r="CC6">
        <v>-1.64</v>
      </c>
      <c r="CD6">
        <v>0.82</v>
      </c>
      <c r="CE6">
        <v>-0.95</v>
      </c>
      <c r="CF6">
        <v>-1.65</v>
      </c>
      <c r="CG6">
        <v>0</v>
      </c>
      <c r="CH6">
        <v>0.51</v>
      </c>
      <c r="CI6">
        <v>0</v>
      </c>
      <c r="CJ6">
        <v>-4.4000000000000004</v>
      </c>
      <c r="CK6">
        <v>46</v>
      </c>
      <c r="CL6">
        <v>-0.74</v>
      </c>
      <c r="CM6">
        <v>46</v>
      </c>
      <c r="CN6">
        <v>-0.33</v>
      </c>
      <c r="CO6">
        <v>46</v>
      </c>
      <c r="CP6">
        <v>-4.4000000000000004</v>
      </c>
      <c r="CQ6">
        <v>46</v>
      </c>
      <c r="CR6">
        <v>0</v>
      </c>
      <c r="CS6">
        <v>0</v>
      </c>
      <c r="CT6">
        <v>-3.6</v>
      </c>
      <c r="CU6">
        <v>46</v>
      </c>
      <c r="CV6">
        <v>0.05</v>
      </c>
      <c r="CW6">
        <v>35</v>
      </c>
      <c r="CX6" t="s">
        <v>2041</v>
      </c>
    </row>
    <row r="7" spans="1:102" x14ac:dyDescent="0.3">
      <c r="A7" t="str">
        <f>HYPERLINK("https://webapp.icbf.com/v2/app/bull-search/view/1600371146","FR4717")</f>
        <v>FR4717</v>
      </c>
      <c r="B7" t="s">
        <v>14068</v>
      </c>
      <c r="C7" t="s">
        <v>14069</v>
      </c>
      <c r="D7" s="1">
        <v>43101</v>
      </c>
      <c r="E7" t="s">
        <v>92</v>
      </c>
      <c r="F7">
        <v>75</v>
      </c>
      <c r="G7" t="s">
        <v>435</v>
      </c>
      <c r="H7">
        <v>351.87</v>
      </c>
      <c r="I7">
        <v>69</v>
      </c>
      <c r="J7">
        <v>83.17</v>
      </c>
      <c r="K7">
        <v>90</v>
      </c>
      <c r="L7">
        <v>221.95</v>
      </c>
      <c r="M7">
        <v>63</v>
      </c>
      <c r="N7">
        <v>49.03</v>
      </c>
      <c r="O7">
        <v>60</v>
      </c>
      <c r="P7">
        <v>-10.17</v>
      </c>
      <c r="Q7">
        <v>47</v>
      </c>
      <c r="R7">
        <v>-1.18</v>
      </c>
      <c r="S7">
        <v>62</v>
      </c>
      <c r="T7">
        <v>4.5</v>
      </c>
      <c r="U7">
        <v>45</v>
      </c>
      <c r="V7">
        <v>4.57</v>
      </c>
      <c r="W7">
        <v>59</v>
      </c>
      <c r="X7" t="s">
        <v>102</v>
      </c>
      <c r="Y7" t="s">
        <v>2384</v>
      </c>
      <c r="Z7" t="s">
        <v>96</v>
      </c>
      <c r="AA7" t="s">
        <v>7662</v>
      </c>
      <c r="AB7" t="s">
        <v>14070</v>
      </c>
      <c r="AC7">
        <v>0</v>
      </c>
      <c r="AD7">
        <v>0</v>
      </c>
      <c r="AE7">
        <v>90</v>
      </c>
      <c r="AF7">
        <v>42.69</v>
      </c>
      <c r="AG7">
        <v>15.54</v>
      </c>
      <c r="AH7">
        <v>9.3000000000000007</v>
      </c>
      <c r="AI7">
        <v>0.23</v>
      </c>
      <c r="AJ7">
        <v>0.14000000000000001</v>
      </c>
      <c r="AK7">
        <v>63</v>
      </c>
      <c r="AL7">
        <v>0</v>
      </c>
      <c r="AM7">
        <v>0</v>
      </c>
      <c r="AN7">
        <v>-12.13</v>
      </c>
      <c r="AO7">
        <v>5.57</v>
      </c>
      <c r="AP7">
        <v>8</v>
      </c>
      <c r="AQ7">
        <v>0</v>
      </c>
      <c r="AR7">
        <v>5.4</v>
      </c>
      <c r="AS7">
        <v>55</v>
      </c>
      <c r="AT7">
        <v>2.0699999999999998</v>
      </c>
      <c r="AU7">
        <v>66</v>
      </c>
      <c r="AV7">
        <v>-4.45</v>
      </c>
      <c r="AW7">
        <v>70</v>
      </c>
      <c r="AX7">
        <v>-0.33</v>
      </c>
      <c r="AY7">
        <v>50</v>
      </c>
      <c r="AZ7">
        <v>7.06</v>
      </c>
      <c r="BA7">
        <v>43</v>
      </c>
      <c r="BB7">
        <v>4.87</v>
      </c>
      <c r="BC7">
        <v>34</v>
      </c>
      <c r="BD7">
        <v>-0.03</v>
      </c>
      <c r="BE7">
        <v>0.03</v>
      </c>
      <c r="BF7">
        <v>0.02</v>
      </c>
      <c r="BG7">
        <v>74</v>
      </c>
      <c r="BH7">
        <v>0.24</v>
      </c>
      <c r="BI7">
        <v>13.02</v>
      </c>
      <c r="BJ7">
        <v>0</v>
      </c>
      <c r="BK7">
        <v>0</v>
      </c>
      <c r="BL7">
        <v>-0.36</v>
      </c>
      <c r="BM7">
        <v>0.66</v>
      </c>
      <c r="BN7">
        <v>-1.68</v>
      </c>
      <c r="BO7">
        <v>-2.21</v>
      </c>
      <c r="BP7">
        <v>1.33</v>
      </c>
      <c r="BQ7">
        <v>-2.52</v>
      </c>
      <c r="BR7">
        <v>-1.18</v>
      </c>
      <c r="BS7">
        <v>-0.12</v>
      </c>
      <c r="BT7">
        <v>-0.27</v>
      </c>
      <c r="BU7">
        <v>-0.75</v>
      </c>
      <c r="BV7">
        <v>-1.92</v>
      </c>
      <c r="BW7">
        <v>-1.1200000000000001</v>
      </c>
      <c r="BX7">
        <v>0.91</v>
      </c>
      <c r="BY7">
        <v>-2.04</v>
      </c>
      <c r="BZ7">
        <v>0.48</v>
      </c>
      <c r="CA7">
        <v>-0.74</v>
      </c>
      <c r="CB7">
        <v>-1.22</v>
      </c>
      <c r="CC7">
        <v>0.13</v>
      </c>
      <c r="CD7">
        <v>1.79</v>
      </c>
      <c r="CE7">
        <v>-1.77</v>
      </c>
      <c r="CF7">
        <v>-1.18</v>
      </c>
      <c r="CG7">
        <v>0</v>
      </c>
      <c r="CH7">
        <v>-2.27</v>
      </c>
      <c r="CI7">
        <v>0</v>
      </c>
      <c r="CJ7">
        <v>-4.4000000000000004</v>
      </c>
      <c r="CK7">
        <v>47</v>
      </c>
      <c r="CL7">
        <v>-0.48</v>
      </c>
      <c r="CM7">
        <v>47</v>
      </c>
      <c r="CN7">
        <v>-0.05</v>
      </c>
      <c r="CO7">
        <v>47</v>
      </c>
      <c r="CP7">
        <v>1.8</v>
      </c>
      <c r="CQ7">
        <v>43</v>
      </c>
      <c r="CR7">
        <v>0</v>
      </c>
      <c r="CS7">
        <v>0</v>
      </c>
      <c r="CT7">
        <v>7.7</v>
      </c>
      <c r="CU7">
        <v>45</v>
      </c>
      <c r="CV7">
        <v>0.08</v>
      </c>
      <c r="CW7">
        <v>35</v>
      </c>
      <c r="CX7" t="s">
        <v>5102</v>
      </c>
    </row>
    <row r="8" spans="1:102" x14ac:dyDescent="0.3">
      <c r="A8" t="str">
        <f>HYPERLINK("https://webapp.icbf.com/v2/app/bull-search/view/1475747471","FR4482")</f>
        <v>FR4482</v>
      </c>
      <c r="B8" t="s">
        <v>2382</v>
      </c>
      <c r="C8" t="s">
        <v>2383</v>
      </c>
      <c r="D8" s="1">
        <v>42772</v>
      </c>
      <c r="E8" t="s">
        <v>92</v>
      </c>
      <c r="F8">
        <v>72</v>
      </c>
      <c r="G8" t="s">
        <v>435</v>
      </c>
      <c r="H8">
        <v>336.43</v>
      </c>
      <c r="I8">
        <v>71</v>
      </c>
      <c r="J8">
        <v>74.08</v>
      </c>
      <c r="K8">
        <v>89</v>
      </c>
      <c r="L8">
        <v>222.16</v>
      </c>
      <c r="M8">
        <v>63</v>
      </c>
      <c r="N8">
        <v>43.05</v>
      </c>
      <c r="O8">
        <v>82</v>
      </c>
      <c r="P8">
        <v>-11.18</v>
      </c>
      <c r="Q8">
        <v>52</v>
      </c>
      <c r="R8">
        <v>7.31</v>
      </c>
      <c r="S8">
        <v>63</v>
      </c>
      <c r="T8">
        <v>-1.05</v>
      </c>
      <c r="U8">
        <v>47</v>
      </c>
      <c r="V8">
        <v>2.06</v>
      </c>
      <c r="W8">
        <v>56</v>
      </c>
      <c r="X8" t="s">
        <v>94</v>
      </c>
      <c r="Y8" t="s">
        <v>2384</v>
      </c>
      <c r="Z8" t="s">
        <v>96</v>
      </c>
      <c r="AA8" t="s">
        <v>2372</v>
      </c>
      <c r="AB8" t="s">
        <v>2385</v>
      </c>
      <c r="AC8">
        <v>0</v>
      </c>
      <c r="AD8">
        <v>0</v>
      </c>
      <c r="AE8">
        <v>89</v>
      </c>
      <c r="AF8">
        <v>46.09</v>
      </c>
      <c r="AG8">
        <v>8.86</v>
      </c>
      <c r="AH8">
        <v>10.17</v>
      </c>
      <c r="AI8">
        <v>0.12</v>
      </c>
      <c r="AJ8">
        <v>0.15</v>
      </c>
      <c r="AK8">
        <v>63</v>
      </c>
      <c r="AL8">
        <v>0</v>
      </c>
      <c r="AM8">
        <v>0</v>
      </c>
      <c r="AN8">
        <v>-13.4</v>
      </c>
      <c r="AO8">
        <v>4.3</v>
      </c>
      <c r="AP8">
        <v>292</v>
      </c>
      <c r="AQ8">
        <v>0</v>
      </c>
      <c r="AR8">
        <v>7.95</v>
      </c>
      <c r="AS8">
        <v>62</v>
      </c>
      <c r="AT8">
        <v>2.4300000000000002</v>
      </c>
      <c r="AU8">
        <v>89</v>
      </c>
      <c r="AV8">
        <v>-4.32</v>
      </c>
      <c r="AW8">
        <v>98</v>
      </c>
      <c r="AX8">
        <v>-0.13</v>
      </c>
      <c r="AY8">
        <v>83</v>
      </c>
      <c r="AZ8">
        <v>5.0599999999999996</v>
      </c>
      <c r="BA8">
        <v>44</v>
      </c>
      <c r="BB8">
        <v>4.68</v>
      </c>
      <c r="BC8">
        <v>43</v>
      </c>
      <c r="BD8">
        <v>-0.03</v>
      </c>
      <c r="BE8">
        <v>-0.02</v>
      </c>
      <c r="BF8">
        <v>-0.08</v>
      </c>
      <c r="BG8">
        <v>73</v>
      </c>
      <c r="BH8">
        <v>-0.03</v>
      </c>
      <c r="BI8">
        <v>-10.11</v>
      </c>
      <c r="BJ8">
        <v>0</v>
      </c>
      <c r="BK8">
        <v>0</v>
      </c>
      <c r="BL8">
        <v>-0.2</v>
      </c>
      <c r="BM8">
        <v>1.4</v>
      </c>
      <c r="BN8">
        <v>-0.45</v>
      </c>
      <c r="BO8">
        <v>-1.17</v>
      </c>
      <c r="BP8">
        <v>-0.83</v>
      </c>
      <c r="BQ8">
        <v>-0.54</v>
      </c>
      <c r="BR8">
        <v>1.37</v>
      </c>
      <c r="BS8">
        <v>-0.93</v>
      </c>
      <c r="BT8">
        <v>-1.25</v>
      </c>
      <c r="BU8">
        <v>-1.08</v>
      </c>
      <c r="BV8">
        <v>-1.31</v>
      </c>
      <c r="BW8">
        <v>-0.57999999999999996</v>
      </c>
      <c r="BX8">
        <v>0.38</v>
      </c>
      <c r="BY8">
        <v>-1.73</v>
      </c>
      <c r="BZ8">
        <v>0.12</v>
      </c>
      <c r="CA8">
        <v>-0.47</v>
      </c>
      <c r="CB8">
        <v>-1.02</v>
      </c>
      <c r="CC8">
        <v>-0.15</v>
      </c>
      <c r="CD8">
        <v>0.87</v>
      </c>
      <c r="CE8">
        <v>-0.78</v>
      </c>
      <c r="CF8">
        <v>-0.28999999999999998</v>
      </c>
      <c r="CG8">
        <v>0</v>
      </c>
      <c r="CH8">
        <v>-1.0900000000000001</v>
      </c>
      <c r="CI8">
        <v>0</v>
      </c>
      <c r="CJ8">
        <v>-4.7</v>
      </c>
      <c r="CK8">
        <v>56</v>
      </c>
      <c r="CL8">
        <v>-0.82</v>
      </c>
      <c r="CM8">
        <v>46</v>
      </c>
      <c r="CN8">
        <v>-0.28999999999999998</v>
      </c>
      <c r="CO8">
        <v>46</v>
      </c>
      <c r="CP8">
        <v>2.5</v>
      </c>
      <c r="CQ8">
        <v>48</v>
      </c>
      <c r="CR8">
        <v>0</v>
      </c>
      <c r="CS8">
        <v>0</v>
      </c>
      <c r="CT8">
        <v>15.2</v>
      </c>
      <c r="CU8">
        <v>47</v>
      </c>
      <c r="CV8">
        <v>0.19</v>
      </c>
      <c r="CW8">
        <v>35</v>
      </c>
      <c r="CX8" t="s">
        <v>2386</v>
      </c>
    </row>
    <row r="9" spans="1:102" x14ac:dyDescent="0.3">
      <c r="A9" t="str">
        <f>HYPERLINK("https://webapp.icbf.com/v2/app/bull-search/view/1471143309","FR4582")</f>
        <v>FR4582</v>
      </c>
      <c r="B9" t="s">
        <v>14007</v>
      </c>
      <c r="C9" t="s">
        <v>14008</v>
      </c>
      <c r="D9" s="1">
        <v>42757</v>
      </c>
      <c r="E9" t="s">
        <v>92</v>
      </c>
      <c r="F9">
        <v>78</v>
      </c>
      <c r="G9" t="s">
        <v>435</v>
      </c>
      <c r="H9">
        <v>335.29</v>
      </c>
      <c r="I9">
        <v>68</v>
      </c>
      <c r="J9">
        <v>78.92</v>
      </c>
      <c r="K9">
        <v>89</v>
      </c>
      <c r="L9">
        <v>193.52</v>
      </c>
      <c r="M9">
        <v>60</v>
      </c>
      <c r="N9">
        <v>49.75</v>
      </c>
      <c r="O9">
        <v>68</v>
      </c>
      <c r="P9">
        <v>-1.82</v>
      </c>
      <c r="Q9">
        <v>46</v>
      </c>
      <c r="R9">
        <v>-1.18</v>
      </c>
      <c r="S9">
        <v>61</v>
      </c>
      <c r="T9">
        <v>12.72</v>
      </c>
      <c r="U9">
        <v>46</v>
      </c>
      <c r="V9">
        <v>3.38</v>
      </c>
      <c r="W9">
        <v>58</v>
      </c>
      <c r="X9" t="s">
        <v>94</v>
      </c>
      <c r="Y9" t="s">
        <v>2384</v>
      </c>
      <c r="Z9" t="s">
        <v>330</v>
      </c>
      <c r="AA9" t="s">
        <v>6253</v>
      </c>
      <c r="AB9" t="s">
        <v>14009</v>
      </c>
      <c r="AC9">
        <v>0</v>
      </c>
      <c r="AD9">
        <v>0</v>
      </c>
      <c r="AE9">
        <v>89</v>
      </c>
      <c r="AF9">
        <v>121.45</v>
      </c>
      <c r="AG9">
        <v>14.87</v>
      </c>
      <c r="AH9">
        <v>10.02</v>
      </c>
      <c r="AI9">
        <v>0.17</v>
      </c>
      <c r="AJ9">
        <v>0.1</v>
      </c>
      <c r="AK9">
        <v>60</v>
      </c>
      <c r="AL9">
        <v>0</v>
      </c>
      <c r="AM9">
        <v>0</v>
      </c>
      <c r="AN9">
        <v>-10.81</v>
      </c>
      <c r="AO9">
        <v>4.62</v>
      </c>
      <c r="AP9">
        <v>43</v>
      </c>
      <c r="AQ9">
        <v>0</v>
      </c>
      <c r="AR9">
        <v>3.1</v>
      </c>
      <c r="AS9">
        <v>53</v>
      </c>
      <c r="AT9">
        <v>1.5</v>
      </c>
      <c r="AU9">
        <v>73</v>
      </c>
      <c r="AV9">
        <v>-4.04</v>
      </c>
      <c r="AW9">
        <v>85</v>
      </c>
      <c r="AX9">
        <v>-0.56000000000000005</v>
      </c>
      <c r="AY9">
        <v>58</v>
      </c>
      <c r="AZ9">
        <v>8.26</v>
      </c>
      <c r="BA9">
        <v>42</v>
      </c>
      <c r="BB9">
        <v>5.25</v>
      </c>
      <c r="BC9">
        <v>32</v>
      </c>
      <c r="BD9">
        <v>-0.03</v>
      </c>
      <c r="BE9">
        <v>0.03</v>
      </c>
      <c r="BF9">
        <v>0.02</v>
      </c>
      <c r="BG9">
        <v>73</v>
      </c>
      <c r="BH9">
        <v>0.12</v>
      </c>
      <c r="BI9">
        <v>2.99</v>
      </c>
      <c r="BJ9">
        <v>0</v>
      </c>
      <c r="BK9">
        <v>0</v>
      </c>
      <c r="BL9">
        <v>-1</v>
      </c>
      <c r="BM9">
        <v>0.28999999999999998</v>
      </c>
      <c r="BN9">
        <v>-0.83</v>
      </c>
      <c r="BO9">
        <v>-0.8</v>
      </c>
      <c r="BP9">
        <v>0.12</v>
      </c>
      <c r="BQ9">
        <v>-1.44</v>
      </c>
      <c r="BR9">
        <v>-0.01</v>
      </c>
      <c r="BS9">
        <v>-0.33</v>
      </c>
      <c r="BT9">
        <v>-1.22</v>
      </c>
      <c r="BU9">
        <v>0.74</v>
      </c>
      <c r="BV9">
        <v>-0.19</v>
      </c>
      <c r="BW9">
        <v>0.16</v>
      </c>
      <c r="BX9">
        <v>0.38</v>
      </c>
      <c r="BY9">
        <v>-1.1200000000000001</v>
      </c>
      <c r="BZ9">
        <v>-1.19</v>
      </c>
      <c r="CA9">
        <v>-0.14000000000000001</v>
      </c>
      <c r="CB9">
        <v>0.5</v>
      </c>
      <c r="CC9">
        <v>-1.22</v>
      </c>
      <c r="CD9">
        <v>0.64</v>
      </c>
      <c r="CE9">
        <v>-0.59</v>
      </c>
      <c r="CF9">
        <v>-1.04</v>
      </c>
      <c r="CG9">
        <v>0</v>
      </c>
      <c r="CH9">
        <v>0.11</v>
      </c>
      <c r="CI9">
        <v>0</v>
      </c>
      <c r="CJ9">
        <v>-0.7</v>
      </c>
      <c r="CK9">
        <v>47</v>
      </c>
      <c r="CL9">
        <v>-0.51</v>
      </c>
      <c r="CM9">
        <v>46</v>
      </c>
      <c r="CN9">
        <v>-0.47</v>
      </c>
      <c r="CO9">
        <v>46</v>
      </c>
      <c r="CP9">
        <v>-7.3</v>
      </c>
      <c r="CQ9">
        <v>43</v>
      </c>
      <c r="CR9">
        <v>0</v>
      </c>
      <c r="CS9">
        <v>0</v>
      </c>
      <c r="CT9">
        <v>-3.4</v>
      </c>
      <c r="CU9">
        <v>46</v>
      </c>
      <c r="CV9">
        <v>0.06</v>
      </c>
      <c r="CW9">
        <v>35</v>
      </c>
      <c r="CX9" t="s">
        <v>4532</v>
      </c>
    </row>
    <row r="10" spans="1:102" x14ac:dyDescent="0.3">
      <c r="A10" t="str">
        <f>HYPERLINK("https://webapp.icbf.com/v2/app/bull-search/view/1495746426","FR4534")</f>
        <v>FR4534</v>
      </c>
      <c r="B10" t="s">
        <v>9476</v>
      </c>
      <c r="C10" t="s">
        <v>9477</v>
      </c>
      <c r="D10" s="1">
        <v>42538</v>
      </c>
      <c r="E10" t="s">
        <v>92</v>
      </c>
      <c r="F10">
        <v>100</v>
      </c>
      <c r="G10" t="s">
        <v>435</v>
      </c>
      <c r="H10">
        <v>330.1</v>
      </c>
      <c r="I10">
        <v>69</v>
      </c>
      <c r="J10">
        <v>81.55</v>
      </c>
      <c r="K10">
        <v>87</v>
      </c>
      <c r="L10">
        <v>179.28</v>
      </c>
      <c r="M10">
        <v>67</v>
      </c>
      <c r="N10">
        <v>49.29</v>
      </c>
      <c r="O10">
        <v>78</v>
      </c>
      <c r="P10">
        <v>-4.32</v>
      </c>
      <c r="Q10">
        <v>41</v>
      </c>
      <c r="R10">
        <v>22.72</v>
      </c>
      <c r="S10">
        <v>63</v>
      </c>
      <c r="T10">
        <v>-2.38</v>
      </c>
      <c r="U10">
        <v>35</v>
      </c>
      <c r="V10">
        <v>3.96</v>
      </c>
      <c r="W10">
        <v>55</v>
      </c>
      <c r="X10" t="s">
        <v>94</v>
      </c>
      <c r="Y10" t="s">
        <v>442</v>
      </c>
      <c r="Z10" t="s">
        <v>96</v>
      </c>
      <c r="AA10" t="s">
        <v>3135</v>
      </c>
      <c r="AB10" t="s">
        <v>9478</v>
      </c>
      <c r="AC10">
        <v>0</v>
      </c>
      <c r="AD10">
        <v>0</v>
      </c>
      <c r="AE10">
        <v>87</v>
      </c>
      <c r="AF10">
        <v>375.94</v>
      </c>
      <c r="AG10">
        <v>11.74</v>
      </c>
      <c r="AH10">
        <v>15.47</v>
      </c>
      <c r="AI10">
        <v>-0.05</v>
      </c>
      <c r="AJ10">
        <v>0.05</v>
      </c>
      <c r="AK10">
        <v>67</v>
      </c>
      <c r="AL10">
        <v>0</v>
      </c>
      <c r="AM10">
        <v>0</v>
      </c>
      <c r="AN10">
        <v>-9.57</v>
      </c>
      <c r="AO10">
        <v>4.7300000000000004</v>
      </c>
      <c r="AP10">
        <v>192</v>
      </c>
      <c r="AQ10">
        <v>0</v>
      </c>
      <c r="AR10">
        <v>4.2699999999999996</v>
      </c>
      <c r="AS10">
        <v>66</v>
      </c>
      <c r="AT10">
        <v>1.81</v>
      </c>
      <c r="AU10">
        <v>86</v>
      </c>
      <c r="AV10">
        <v>-4.05</v>
      </c>
      <c r="AW10">
        <v>95</v>
      </c>
      <c r="AX10">
        <v>0.39</v>
      </c>
      <c r="AY10">
        <v>77</v>
      </c>
      <c r="AZ10">
        <v>5.99</v>
      </c>
      <c r="BA10">
        <v>34</v>
      </c>
      <c r="BB10">
        <v>4.8600000000000003</v>
      </c>
      <c r="BC10">
        <v>34</v>
      </c>
      <c r="BD10">
        <v>-0.08</v>
      </c>
      <c r="BE10">
        <v>-0.11</v>
      </c>
      <c r="BF10">
        <v>-0.18</v>
      </c>
      <c r="BG10">
        <v>75</v>
      </c>
      <c r="BH10">
        <v>-0.04</v>
      </c>
      <c r="BI10">
        <v>-17.39</v>
      </c>
      <c r="BJ10">
        <v>0</v>
      </c>
      <c r="BK10">
        <v>0</v>
      </c>
      <c r="BL10">
        <v>0.52</v>
      </c>
      <c r="BM10">
        <v>1.51</v>
      </c>
      <c r="BN10">
        <v>0.76</v>
      </c>
      <c r="BO10">
        <v>0.55000000000000004</v>
      </c>
      <c r="BP10">
        <v>-0.61</v>
      </c>
      <c r="BQ10">
        <v>2.17</v>
      </c>
      <c r="BR10">
        <v>0.27</v>
      </c>
      <c r="BS10">
        <v>1.58</v>
      </c>
      <c r="BT10">
        <v>1</v>
      </c>
      <c r="BU10">
        <v>1.83</v>
      </c>
      <c r="BV10">
        <v>1.2</v>
      </c>
      <c r="BW10">
        <v>1.5</v>
      </c>
      <c r="BX10">
        <v>1.51</v>
      </c>
      <c r="BY10">
        <v>0.33</v>
      </c>
      <c r="BZ10">
        <v>-1.1000000000000001</v>
      </c>
      <c r="CA10">
        <v>1.98</v>
      </c>
      <c r="CB10">
        <v>1.99</v>
      </c>
      <c r="CC10">
        <v>1.73</v>
      </c>
      <c r="CD10">
        <v>0.3</v>
      </c>
      <c r="CE10">
        <v>0.48</v>
      </c>
      <c r="CF10">
        <v>0.96</v>
      </c>
      <c r="CG10">
        <v>0</v>
      </c>
      <c r="CH10">
        <v>1.06</v>
      </c>
      <c r="CI10">
        <v>0</v>
      </c>
      <c r="CJ10">
        <v>-0.3</v>
      </c>
      <c r="CK10">
        <v>43</v>
      </c>
      <c r="CL10">
        <v>-1.21</v>
      </c>
      <c r="CM10">
        <v>39</v>
      </c>
      <c r="CN10">
        <v>-0.6</v>
      </c>
      <c r="CO10">
        <v>39</v>
      </c>
      <c r="CP10">
        <v>10.4</v>
      </c>
      <c r="CQ10">
        <v>36</v>
      </c>
      <c r="CR10">
        <v>0</v>
      </c>
      <c r="CS10">
        <v>0</v>
      </c>
      <c r="CT10">
        <v>17</v>
      </c>
      <c r="CU10">
        <v>35</v>
      </c>
      <c r="CV10">
        <v>0.28000000000000003</v>
      </c>
      <c r="CW10">
        <v>33</v>
      </c>
      <c r="CX10" t="s">
        <v>9479</v>
      </c>
    </row>
    <row r="11" spans="1:102" x14ac:dyDescent="0.3">
      <c r="A11" t="str">
        <f>HYPERLINK("https://webapp.icbf.com/v2/app/bull-search/view/1125363721","FR4119")</f>
        <v>FR4119</v>
      </c>
      <c r="B11" t="s">
        <v>13853</v>
      </c>
      <c r="C11" t="s">
        <v>13854</v>
      </c>
      <c r="D11" s="1">
        <v>40691</v>
      </c>
      <c r="E11" t="s">
        <v>92</v>
      </c>
      <c r="F11">
        <v>100</v>
      </c>
      <c r="G11" t="s">
        <v>109</v>
      </c>
      <c r="H11">
        <v>329.83</v>
      </c>
      <c r="I11">
        <v>77</v>
      </c>
      <c r="J11">
        <v>104.27</v>
      </c>
      <c r="K11">
        <v>84</v>
      </c>
      <c r="L11">
        <v>166.98</v>
      </c>
      <c r="M11">
        <v>75</v>
      </c>
      <c r="N11">
        <v>47.63</v>
      </c>
      <c r="O11">
        <v>84</v>
      </c>
      <c r="P11">
        <v>-4.8499999999999996</v>
      </c>
      <c r="Q11">
        <v>68</v>
      </c>
      <c r="R11">
        <v>16.02</v>
      </c>
      <c r="S11">
        <v>63</v>
      </c>
      <c r="T11">
        <v>-0.31</v>
      </c>
      <c r="U11">
        <v>72</v>
      </c>
      <c r="V11">
        <v>0.09</v>
      </c>
      <c r="W11">
        <v>52</v>
      </c>
      <c r="X11" t="s">
        <v>428</v>
      </c>
      <c r="Y11" t="s">
        <v>429</v>
      </c>
      <c r="Z11" t="s">
        <v>96</v>
      </c>
      <c r="AA11" t="s">
        <v>2269</v>
      </c>
      <c r="AB11" t="s">
        <v>6799</v>
      </c>
      <c r="AC11">
        <v>0</v>
      </c>
      <c r="AD11">
        <v>0</v>
      </c>
      <c r="AE11">
        <v>84</v>
      </c>
      <c r="AF11">
        <v>631.58000000000004</v>
      </c>
      <c r="AG11">
        <v>19.96</v>
      </c>
      <c r="AH11">
        <v>20.34</v>
      </c>
      <c r="AI11">
        <v>-7.0000000000000007E-2</v>
      </c>
      <c r="AJ11">
        <v>-0.02</v>
      </c>
      <c r="AK11">
        <v>75</v>
      </c>
      <c r="AL11">
        <v>0</v>
      </c>
      <c r="AM11">
        <v>0</v>
      </c>
      <c r="AN11">
        <v>-8.0399999999999991</v>
      </c>
      <c r="AO11">
        <v>5.29</v>
      </c>
      <c r="AP11">
        <v>899</v>
      </c>
      <c r="AQ11">
        <v>0</v>
      </c>
      <c r="AR11">
        <v>5.96</v>
      </c>
      <c r="AS11">
        <v>69</v>
      </c>
      <c r="AT11">
        <v>2.48</v>
      </c>
      <c r="AU11">
        <v>96</v>
      </c>
      <c r="AV11">
        <v>-4.1900000000000004</v>
      </c>
      <c r="AW11">
        <v>99</v>
      </c>
      <c r="AX11">
        <v>-0.89</v>
      </c>
      <c r="AY11">
        <v>94</v>
      </c>
      <c r="AZ11">
        <v>5.71</v>
      </c>
      <c r="BA11">
        <v>34</v>
      </c>
      <c r="BB11">
        <v>4.6100000000000003</v>
      </c>
      <c r="BC11">
        <v>32</v>
      </c>
      <c r="BD11">
        <v>-0.05</v>
      </c>
      <c r="BE11">
        <v>-0.05</v>
      </c>
      <c r="BF11">
        <v>-0.19</v>
      </c>
      <c r="BG11">
        <v>82</v>
      </c>
      <c r="BH11">
        <v>0.03</v>
      </c>
      <c r="BI11">
        <v>3.18</v>
      </c>
      <c r="BJ11">
        <v>0</v>
      </c>
      <c r="BK11">
        <v>0</v>
      </c>
      <c r="BL11">
        <v>0.66</v>
      </c>
      <c r="BM11">
        <v>0.68</v>
      </c>
      <c r="BN11">
        <v>1.03</v>
      </c>
      <c r="BO11">
        <v>0.77</v>
      </c>
      <c r="BP11">
        <v>0.26</v>
      </c>
      <c r="BQ11">
        <v>3.11</v>
      </c>
      <c r="BR11">
        <v>1.1499999999999999</v>
      </c>
      <c r="BS11">
        <v>0.2</v>
      </c>
      <c r="BT11">
        <v>-0.87</v>
      </c>
      <c r="BU11">
        <v>1.48</v>
      </c>
      <c r="BV11">
        <v>1.07</v>
      </c>
      <c r="BW11">
        <v>1.73</v>
      </c>
      <c r="BX11">
        <v>0.67</v>
      </c>
      <c r="BY11">
        <v>2.1800000000000002</v>
      </c>
      <c r="BZ11">
        <v>1.21</v>
      </c>
      <c r="CA11">
        <v>0.91</v>
      </c>
      <c r="CB11">
        <v>1.23</v>
      </c>
      <c r="CC11">
        <v>0.27</v>
      </c>
      <c r="CD11">
        <v>0.22</v>
      </c>
      <c r="CE11">
        <v>-0.15</v>
      </c>
      <c r="CF11">
        <v>0.38</v>
      </c>
      <c r="CG11">
        <v>0</v>
      </c>
      <c r="CH11">
        <v>1.86</v>
      </c>
      <c r="CI11">
        <v>0</v>
      </c>
      <c r="CJ11">
        <v>-1.6</v>
      </c>
      <c r="CK11">
        <v>72</v>
      </c>
      <c r="CL11">
        <v>-0.9</v>
      </c>
      <c r="CM11">
        <v>63</v>
      </c>
      <c r="CN11">
        <v>-0.53</v>
      </c>
      <c r="CO11">
        <v>61</v>
      </c>
      <c r="CP11">
        <v>2.9</v>
      </c>
      <c r="CQ11">
        <v>59</v>
      </c>
      <c r="CR11">
        <v>0</v>
      </c>
      <c r="CS11">
        <v>0</v>
      </c>
      <c r="CT11">
        <v>14.2</v>
      </c>
      <c r="CU11">
        <v>72</v>
      </c>
      <c r="CV11">
        <v>0.19</v>
      </c>
      <c r="CW11">
        <v>40</v>
      </c>
      <c r="CX11" t="s">
        <v>350</v>
      </c>
    </row>
    <row r="12" spans="1:102" x14ac:dyDescent="0.3">
      <c r="A12" t="str">
        <f>HYPERLINK("https://webapp.icbf.com/v2/app/bull-search/view/877187774","AZG")</f>
        <v>AZG</v>
      </c>
      <c r="B12" t="s">
        <v>13042</v>
      </c>
      <c r="C12" t="s">
        <v>13043</v>
      </c>
      <c r="D12" s="1">
        <v>40641</v>
      </c>
      <c r="E12" t="s">
        <v>92</v>
      </c>
      <c r="F12">
        <v>72</v>
      </c>
      <c r="G12" t="s">
        <v>93</v>
      </c>
      <c r="H12">
        <v>329.12</v>
      </c>
      <c r="I12">
        <v>90</v>
      </c>
      <c r="J12">
        <v>78.040000000000006</v>
      </c>
      <c r="K12">
        <v>98</v>
      </c>
      <c r="L12">
        <v>181.61</v>
      </c>
      <c r="M12">
        <v>82</v>
      </c>
      <c r="N12">
        <v>46.78</v>
      </c>
      <c r="O12">
        <v>93</v>
      </c>
      <c r="P12">
        <v>-12.43</v>
      </c>
      <c r="Q12">
        <v>97</v>
      </c>
      <c r="R12">
        <v>1.1200000000000001</v>
      </c>
      <c r="S12">
        <v>84</v>
      </c>
      <c r="T12">
        <v>20.49</v>
      </c>
      <c r="U12">
        <v>88</v>
      </c>
      <c r="V12">
        <v>13.51</v>
      </c>
      <c r="W12">
        <v>79</v>
      </c>
      <c r="X12" t="s">
        <v>102</v>
      </c>
      <c r="Y12" t="s">
        <v>1860</v>
      </c>
      <c r="Z12" t="s">
        <v>330</v>
      </c>
      <c r="AA12" t="s">
        <v>2150</v>
      </c>
      <c r="AB12" t="s">
        <v>13044</v>
      </c>
      <c r="AC12">
        <v>316</v>
      </c>
      <c r="AD12">
        <v>105</v>
      </c>
      <c r="AE12">
        <v>98</v>
      </c>
      <c r="AF12">
        <v>-149.76</v>
      </c>
      <c r="AG12">
        <v>11.59</v>
      </c>
      <c r="AH12">
        <v>6.88</v>
      </c>
      <c r="AI12">
        <v>0.31</v>
      </c>
      <c r="AJ12">
        <v>0.21</v>
      </c>
      <c r="AK12">
        <v>82</v>
      </c>
      <c r="AL12">
        <v>112</v>
      </c>
      <c r="AM12">
        <v>41</v>
      </c>
      <c r="AN12">
        <v>-10.130000000000001</v>
      </c>
      <c r="AO12">
        <v>4.3499999999999996</v>
      </c>
      <c r="AP12">
        <v>2645</v>
      </c>
      <c r="AQ12">
        <v>8</v>
      </c>
      <c r="AR12">
        <v>5.59</v>
      </c>
      <c r="AS12">
        <v>98</v>
      </c>
      <c r="AT12">
        <v>2.27</v>
      </c>
      <c r="AU12">
        <v>97</v>
      </c>
      <c r="AV12">
        <v>-4.63</v>
      </c>
      <c r="AW12">
        <v>99</v>
      </c>
      <c r="AX12">
        <v>0.65</v>
      </c>
      <c r="AY12">
        <v>97</v>
      </c>
      <c r="AZ12">
        <v>6.42</v>
      </c>
      <c r="BA12">
        <v>83</v>
      </c>
      <c r="BB12">
        <v>4.95</v>
      </c>
      <c r="BC12">
        <v>63</v>
      </c>
      <c r="BD12">
        <v>-0.04</v>
      </c>
      <c r="BE12">
        <v>-0.01</v>
      </c>
      <c r="BF12">
        <v>0.06</v>
      </c>
      <c r="BG12">
        <v>93</v>
      </c>
      <c r="BH12">
        <v>0.2</v>
      </c>
      <c r="BI12">
        <v>-20.46</v>
      </c>
      <c r="BJ12">
        <v>3</v>
      </c>
      <c r="BK12">
        <v>2</v>
      </c>
      <c r="BL12">
        <v>-1.79</v>
      </c>
      <c r="BM12">
        <v>-0.17</v>
      </c>
      <c r="BN12">
        <v>-0.67</v>
      </c>
      <c r="BO12">
        <v>-0.38</v>
      </c>
      <c r="BP12">
        <v>-0.97</v>
      </c>
      <c r="BQ12">
        <v>0.23</v>
      </c>
      <c r="BR12">
        <v>2.75</v>
      </c>
      <c r="BS12">
        <v>-0.55000000000000004</v>
      </c>
      <c r="BT12">
        <v>-2.19</v>
      </c>
      <c r="BU12">
        <v>-0.52</v>
      </c>
      <c r="BV12">
        <v>-1.71</v>
      </c>
      <c r="BW12">
        <v>-0.79</v>
      </c>
      <c r="BX12">
        <v>-0.76</v>
      </c>
      <c r="BY12">
        <v>-1.85</v>
      </c>
      <c r="BZ12">
        <v>-1.1599999999999999</v>
      </c>
      <c r="CA12">
        <v>-1.06</v>
      </c>
      <c r="CB12">
        <v>-0.96</v>
      </c>
      <c r="CC12">
        <v>-0.24</v>
      </c>
      <c r="CD12">
        <v>0.45</v>
      </c>
      <c r="CE12">
        <v>-0.91</v>
      </c>
      <c r="CF12">
        <v>-0.74</v>
      </c>
      <c r="CG12">
        <v>0</v>
      </c>
      <c r="CH12">
        <v>-2.14</v>
      </c>
      <c r="CI12">
        <v>0</v>
      </c>
      <c r="CJ12">
        <v>-6.5</v>
      </c>
      <c r="CK12">
        <v>98</v>
      </c>
      <c r="CL12">
        <v>-0.31</v>
      </c>
      <c r="CM12">
        <v>98</v>
      </c>
      <c r="CN12">
        <v>-0.14000000000000001</v>
      </c>
      <c r="CO12">
        <v>98</v>
      </c>
      <c r="CP12">
        <v>-12.7</v>
      </c>
      <c r="CQ12">
        <v>82</v>
      </c>
      <c r="CR12">
        <v>0</v>
      </c>
      <c r="CS12">
        <v>0</v>
      </c>
      <c r="CT12">
        <v>-13.9</v>
      </c>
      <c r="CU12">
        <v>88</v>
      </c>
      <c r="CV12">
        <v>-0.02</v>
      </c>
      <c r="CW12">
        <v>46</v>
      </c>
      <c r="CX12" t="s">
        <v>4532</v>
      </c>
    </row>
    <row r="13" spans="1:102" x14ac:dyDescent="0.3">
      <c r="A13" t="str">
        <f>HYPERLINK("https://webapp.icbf.com/v2/app/bull-search/view/1603329991","FR4848")</f>
        <v>FR4848</v>
      </c>
      <c r="B13" t="s">
        <v>6438</v>
      </c>
      <c r="C13" t="s">
        <v>6439</v>
      </c>
      <c r="D13" s="1">
        <v>43129</v>
      </c>
      <c r="E13" t="s">
        <v>92</v>
      </c>
      <c r="F13">
        <v>72</v>
      </c>
      <c r="G13" t="s">
        <v>435</v>
      </c>
      <c r="H13">
        <v>328.74</v>
      </c>
      <c r="I13">
        <v>63</v>
      </c>
      <c r="J13">
        <v>60.51</v>
      </c>
      <c r="K13">
        <v>87</v>
      </c>
      <c r="L13">
        <v>219.28</v>
      </c>
      <c r="M13">
        <v>55</v>
      </c>
      <c r="N13">
        <v>36.799999999999997</v>
      </c>
      <c r="O13">
        <v>54</v>
      </c>
      <c r="P13">
        <v>-8.34</v>
      </c>
      <c r="Q13">
        <v>45</v>
      </c>
      <c r="R13">
        <v>3.58</v>
      </c>
      <c r="S13">
        <v>56</v>
      </c>
      <c r="T13">
        <v>12.27</v>
      </c>
      <c r="U13">
        <v>41</v>
      </c>
      <c r="V13">
        <v>4.6399999999999997</v>
      </c>
      <c r="W13">
        <v>50</v>
      </c>
      <c r="X13" t="s">
        <v>94</v>
      </c>
      <c r="Y13" t="s">
        <v>6440</v>
      </c>
      <c r="Z13" t="s">
        <v>96</v>
      </c>
      <c r="AA13" t="s">
        <v>6224</v>
      </c>
      <c r="AB13" t="s">
        <v>6441</v>
      </c>
      <c r="AC13">
        <v>0</v>
      </c>
      <c r="AD13">
        <v>0</v>
      </c>
      <c r="AE13">
        <v>87</v>
      </c>
      <c r="AF13">
        <v>89.53</v>
      </c>
      <c r="AG13">
        <v>8.3699999999999992</v>
      </c>
      <c r="AH13">
        <v>8.6999999999999993</v>
      </c>
      <c r="AI13">
        <v>0.08</v>
      </c>
      <c r="AJ13">
        <v>0.1</v>
      </c>
      <c r="AK13">
        <v>55</v>
      </c>
      <c r="AL13">
        <v>0</v>
      </c>
      <c r="AM13">
        <v>0</v>
      </c>
      <c r="AN13">
        <v>-13.3</v>
      </c>
      <c r="AO13">
        <v>4.17</v>
      </c>
      <c r="AP13">
        <v>1</v>
      </c>
      <c r="AQ13">
        <v>0</v>
      </c>
      <c r="AR13">
        <v>5.12</v>
      </c>
      <c r="AS13">
        <v>51</v>
      </c>
      <c r="AT13">
        <v>2.66</v>
      </c>
      <c r="AU13">
        <v>62</v>
      </c>
      <c r="AV13">
        <v>-3.63</v>
      </c>
      <c r="AW13">
        <v>61</v>
      </c>
      <c r="AX13">
        <v>-0.03</v>
      </c>
      <c r="AY13">
        <v>48</v>
      </c>
      <c r="AZ13">
        <v>6.44</v>
      </c>
      <c r="BA13">
        <v>33</v>
      </c>
      <c r="BB13">
        <v>5.34</v>
      </c>
      <c r="BC13">
        <v>31</v>
      </c>
      <c r="BD13">
        <v>-0.02</v>
      </c>
      <c r="BE13">
        <v>-0.01</v>
      </c>
      <c r="BF13">
        <v>-0.03</v>
      </c>
      <c r="BG13">
        <v>67</v>
      </c>
      <c r="BH13">
        <v>0.1</v>
      </c>
      <c r="BI13">
        <v>-3.39</v>
      </c>
      <c r="BJ13">
        <v>0</v>
      </c>
      <c r="BK13">
        <v>0</v>
      </c>
      <c r="BL13">
        <v>-0.18</v>
      </c>
      <c r="BM13">
        <v>-0.62</v>
      </c>
      <c r="BN13">
        <v>-2.17</v>
      </c>
      <c r="BO13">
        <v>-1.1000000000000001</v>
      </c>
      <c r="BP13">
        <v>3.05</v>
      </c>
      <c r="BQ13">
        <v>1.41</v>
      </c>
      <c r="BR13">
        <v>-0.64</v>
      </c>
      <c r="BS13">
        <v>-1.8</v>
      </c>
      <c r="BT13">
        <v>-0.88</v>
      </c>
      <c r="BU13">
        <v>-0.43</v>
      </c>
      <c r="BV13">
        <v>-0.95</v>
      </c>
      <c r="BW13">
        <v>-0.57999999999999996</v>
      </c>
      <c r="BX13">
        <v>0.68</v>
      </c>
      <c r="BY13">
        <v>-1.93</v>
      </c>
      <c r="BZ13">
        <v>-2.66</v>
      </c>
      <c r="CA13">
        <v>-0.98</v>
      </c>
      <c r="CB13">
        <v>-0.39</v>
      </c>
      <c r="CC13">
        <v>-1.51</v>
      </c>
      <c r="CD13">
        <v>0.28000000000000003</v>
      </c>
      <c r="CE13">
        <v>-0.75</v>
      </c>
      <c r="CF13">
        <v>-0.83</v>
      </c>
      <c r="CG13">
        <v>0</v>
      </c>
      <c r="CH13">
        <v>0.12</v>
      </c>
      <c r="CI13">
        <v>0</v>
      </c>
      <c r="CJ13">
        <v>-1.6</v>
      </c>
      <c r="CK13">
        <v>46</v>
      </c>
      <c r="CL13">
        <v>-0.71</v>
      </c>
      <c r="CM13">
        <v>45</v>
      </c>
      <c r="CN13">
        <v>-0.18</v>
      </c>
      <c r="CO13">
        <v>45</v>
      </c>
      <c r="CP13">
        <v>-6.1</v>
      </c>
      <c r="CQ13">
        <v>41</v>
      </c>
      <c r="CR13">
        <v>0</v>
      </c>
      <c r="CS13">
        <v>0</v>
      </c>
      <c r="CT13">
        <v>-2.8</v>
      </c>
      <c r="CU13">
        <v>41</v>
      </c>
      <c r="CV13">
        <v>0.11</v>
      </c>
      <c r="CW13">
        <v>35</v>
      </c>
      <c r="CX13" t="s">
        <v>5393</v>
      </c>
    </row>
    <row r="14" spans="1:102" x14ac:dyDescent="0.3">
      <c r="A14" t="str">
        <f>HYPERLINK("https://webapp.icbf.com/v2/app/bull-search/view/1482299299","FR4477")</f>
        <v>FR4477</v>
      </c>
      <c r="B14" t="s">
        <v>6288</v>
      </c>
      <c r="C14" t="s">
        <v>6289</v>
      </c>
      <c r="D14" s="1">
        <v>42788</v>
      </c>
      <c r="E14" t="s">
        <v>92</v>
      </c>
      <c r="F14">
        <v>75</v>
      </c>
      <c r="G14" t="s">
        <v>435</v>
      </c>
      <c r="H14">
        <v>327.66000000000003</v>
      </c>
      <c r="I14">
        <v>69</v>
      </c>
      <c r="J14">
        <v>42.37</v>
      </c>
      <c r="K14">
        <v>88</v>
      </c>
      <c r="L14">
        <v>230.9</v>
      </c>
      <c r="M14">
        <v>60</v>
      </c>
      <c r="N14">
        <v>40.36</v>
      </c>
      <c r="O14">
        <v>61</v>
      </c>
      <c r="P14">
        <v>-18.690000000000001</v>
      </c>
      <c r="Q14">
        <v>60</v>
      </c>
      <c r="R14">
        <v>9.48</v>
      </c>
      <c r="S14">
        <v>61</v>
      </c>
      <c r="T14">
        <v>21.6</v>
      </c>
      <c r="U14">
        <v>53</v>
      </c>
      <c r="V14">
        <v>1.64</v>
      </c>
      <c r="W14">
        <v>55</v>
      </c>
      <c r="X14" t="s">
        <v>234</v>
      </c>
      <c r="Y14" t="s">
        <v>2384</v>
      </c>
      <c r="Z14" t="s">
        <v>96</v>
      </c>
      <c r="AA14" t="s">
        <v>6290</v>
      </c>
      <c r="AB14" t="s">
        <v>6291</v>
      </c>
      <c r="AC14">
        <v>0</v>
      </c>
      <c r="AD14">
        <v>0</v>
      </c>
      <c r="AE14">
        <v>88</v>
      </c>
      <c r="AF14">
        <v>-109.73</v>
      </c>
      <c r="AG14">
        <v>6.21</v>
      </c>
      <c r="AH14">
        <v>3.33</v>
      </c>
      <c r="AI14">
        <v>0.18</v>
      </c>
      <c r="AJ14">
        <v>0.13</v>
      </c>
      <c r="AK14">
        <v>60</v>
      </c>
      <c r="AL14">
        <v>0</v>
      </c>
      <c r="AM14">
        <v>0</v>
      </c>
      <c r="AN14">
        <v>-13.69</v>
      </c>
      <c r="AO14">
        <v>4.71</v>
      </c>
      <c r="AP14">
        <v>25</v>
      </c>
      <c r="AQ14">
        <v>0</v>
      </c>
      <c r="AR14">
        <v>6.39</v>
      </c>
      <c r="AS14">
        <v>53</v>
      </c>
      <c r="AT14">
        <v>2.61</v>
      </c>
      <c r="AU14">
        <v>69</v>
      </c>
      <c r="AV14">
        <v>-3.38</v>
      </c>
      <c r="AW14">
        <v>70</v>
      </c>
      <c r="AX14">
        <v>-0.84</v>
      </c>
      <c r="AY14">
        <v>53</v>
      </c>
      <c r="AZ14">
        <v>5.74</v>
      </c>
      <c r="BA14">
        <v>39</v>
      </c>
      <c r="BB14">
        <v>4.32</v>
      </c>
      <c r="BC14">
        <v>34</v>
      </c>
      <c r="BD14">
        <v>-0.06</v>
      </c>
      <c r="BE14">
        <v>-0.02</v>
      </c>
      <c r="BF14">
        <v>-0.08</v>
      </c>
      <c r="BG14">
        <v>72</v>
      </c>
      <c r="BH14">
        <v>-0.11</v>
      </c>
      <c r="BI14">
        <v>-18.010000000000002</v>
      </c>
      <c r="BJ14">
        <v>0</v>
      </c>
      <c r="BK14">
        <v>0</v>
      </c>
      <c r="BL14">
        <v>-0.47</v>
      </c>
      <c r="BM14">
        <v>0.28999999999999998</v>
      </c>
      <c r="BN14">
        <v>-1.07</v>
      </c>
      <c r="BO14">
        <v>-0.88</v>
      </c>
      <c r="BP14">
        <v>4.76</v>
      </c>
      <c r="BQ14">
        <v>-1.07</v>
      </c>
      <c r="BR14">
        <v>-1.08</v>
      </c>
      <c r="BS14">
        <v>1.08</v>
      </c>
      <c r="BT14">
        <v>0.31</v>
      </c>
      <c r="BU14">
        <v>-1.73</v>
      </c>
      <c r="BV14">
        <v>-0.66</v>
      </c>
      <c r="BW14">
        <v>0.22</v>
      </c>
      <c r="BX14">
        <v>0.45</v>
      </c>
      <c r="BY14">
        <v>-0.56999999999999995</v>
      </c>
      <c r="BZ14">
        <v>-0.94</v>
      </c>
      <c r="CA14">
        <v>-0.64</v>
      </c>
      <c r="CB14">
        <v>-1.1299999999999999</v>
      </c>
      <c r="CC14">
        <v>1.07</v>
      </c>
      <c r="CD14">
        <v>1.07</v>
      </c>
      <c r="CE14">
        <v>-0.71</v>
      </c>
      <c r="CF14">
        <v>-0.63</v>
      </c>
      <c r="CG14">
        <v>0</v>
      </c>
      <c r="CH14">
        <v>-0.64</v>
      </c>
      <c r="CI14">
        <v>0</v>
      </c>
      <c r="CJ14">
        <v>-11.1</v>
      </c>
      <c r="CK14">
        <v>63</v>
      </c>
      <c r="CL14">
        <v>-0.63</v>
      </c>
      <c r="CM14">
        <v>58</v>
      </c>
      <c r="CN14">
        <v>-0.43</v>
      </c>
      <c r="CO14">
        <v>57</v>
      </c>
      <c r="CP14">
        <v>-12.7</v>
      </c>
      <c r="CQ14">
        <v>50</v>
      </c>
      <c r="CR14">
        <v>0</v>
      </c>
      <c r="CS14">
        <v>0</v>
      </c>
      <c r="CT14">
        <v>-15.4</v>
      </c>
      <c r="CU14">
        <v>53</v>
      </c>
      <c r="CV14">
        <v>-0.02</v>
      </c>
      <c r="CW14">
        <v>38</v>
      </c>
      <c r="CX14" t="s">
        <v>6292</v>
      </c>
    </row>
    <row r="15" spans="1:102" x14ac:dyDescent="0.3">
      <c r="A15" t="str">
        <f>HYPERLINK("https://webapp.icbf.com/v2/app/bull-search/view/1482912351","FR4547")</f>
        <v>FR4547</v>
      </c>
      <c r="B15" t="s">
        <v>7981</v>
      </c>
      <c r="C15" t="s">
        <v>7982</v>
      </c>
      <c r="D15" s="1">
        <v>42790</v>
      </c>
      <c r="E15" t="s">
        <v>92</v>
      </c>
      <c r="F15">
        <v>78</v>
      </c>
      <c r="G15" t="s">
        <v>435</v>
      </c>
      <c r="H15">
        <v>327.19</v>
      </c>
      <c r="I15">
        <v>69</v>
      </c>
      <c r="J15">
        <v>107.68</v>
      </c>
      <c r="K15">
        <v>88</v>
      </c>
      <c r="L15">
        <v>161.71</v>
      </c>
      <c r="M15">
        <v>60</v>
      </c>
      <c r="N15">
        <v>62.29</v>
      </c>
      <c r="O15">
        <v>78</v>
      </c>
      <c r="P15">
        <v>-9.65</v>
      </c>
      <c r="Q15">
        <v>50</v>
      </c>
      <c r="R15">
        <v>1.41</v>
      </c>
      <c r="S15">
        <v>61</v>
      </c>
      <c r="T15">
        <v>0.8</v>
      </c>
      <c r="U15">
        <v>45</v>
      </c>
      <c r="V15">
        <v>2.95</v>
      </c>
      <c r="W15">
        <v>55</v>
      </c>
      <c r="X15" t="s">
        <v>94</v>
      </c>
      <c r="Y15" t="s">
        <v>2384</v>
      </c>
      <c r="Z15" t="s">
        <v>96</v>
      </c>
      <c r="AA15" t="s">
        <v>2512</v>
      </c>
      <c r="AB15" t="s">
        <v>7983</v>
      </c>
      <c r="AC15">
        <v>0</v>
      </c>
      <c r="AD15">
        <v>0</v>
      </c>
      <c r="AE15">
        <v>88</v>
      </c>
      <c r="AF15">
        <v>-51.23</v>
      </c>
      <c r="AG15">
        <v>15.26</v>
      </c>
      <c r="AH15">
        <v>12.13</v>
      </c>
      <c r="AI15">
        <v>0.3</v>
      </c>
      <c r="AJ15">
        <v>0.25</v>
      </c>
      <c r="AK15">
        <v>60</v>
      </c>
      <c r="AL15">
        <v>0</v>
      </c>
      <c r="AM15">
        <v>0</v>
      </c>
      <c r="AN15">
        <v>-9.31</v>
      </c>
      <c r="AO15">
        <v>3.58</v>
      </c>
      <c r="AP15">
        <v>172</v>
      </c>
      <c r="AQ15">
        <v>0</v>
      </c>
      <c r="AR15">
        <v>4.46</v>
      </c>
      <c r="AS15">
        <v>65</v>
      </c>
      <c r="AT15">
        <v>1.71</v>
      </c>
      <c r="AU15">
        <v>84</v>
      </c>
      <c r="AV15">
        <v>-5.66</v>
      </c>
      <c r="AW15">
        <v>95</v>
      </c>
      <c r="AX15">
        <v>-0.61</v>
      </c>
      <c r="AY15">
        <v>77</v>
      </c>
      <c r="AZ15">
        <v>6.42</v>
      </c>
      <c r="BA15">
        <v>42</v>
      </c>
      <c r="BB15">
        <v>5.27</v>
      </c>
      <c r="BC15">
        <v>33</v>
      </c>
      <c r="BD15">
        <v>0.01</v>
      </c>
      <c r="BE15">
        <v>-0.01</v>
      </c>
      <c r="BF15">
        <v>-0.03</v>
      </c>
      <c r="BG15">
        <v>72</v>
      </c>
      <c r="BH15">
        <v>0.12</v>
      </c>
      <c r="BI15">
        <v>4.37</v>
      </c>
      <c r="BJ15">
        <v>0</v>
      </c>
      <c r="BK15">
        <v>0</v>
      </c>
      <c r="BL15">
        <v>-0.16</v>
      </c>
      <c r="BM15">
        <v>0.93</v>
      </c>
      <c r="BN15">
        <v>-7.0000000000000007E-2</v>
      </c>
      <c r="BO15">
        <v>-0.66</v>
      </c>
      <c r="BP15">
        <v>0.96</v>
      </c>
      <c r="BQ15">
        <v>-0.55000000000000004</v>
      </c>
      <c r="BR15">
        <v>-0.64</v>
      </c>
      <c r="BS15">
        <v>-2.88</v>
      </c>
      <c r="BT15">
        <v>-1.28</v>
      </c>
      <c r="BU15">
        <v>-0.33</v>
      </c>
      <c r="BV15">
        <v>-1.61</v>
      </c>
      <c r="BW15">
        <v>-1.04</v>
      </c>
      <c r="BX15">
        <v>-0.82</v>
      </c>
      <c r="BY15">
        <v>0.23</v>
      </c>
      <c r="BZ15">
        <v>-0.77</v>
      </c>
      <c r="CA15">
        <v>-0.85</v>
      </c>
      <c r="CB15">
        <v>-0.65</v>
      </c>
      <c r="CC15">
        <v>-1.1399999999999999</v>
      </c>
      <c r="CD15">
        <v>0.74</v>
      </c>
      <c r="CE15">
        <v>-0.37</v>
      </c>
      <c r="CF15">
        <v>-0.1</v>
      </c>
      <c r="CG15">
        <v>0</v>
      </c>
      <c r="CH15">
        <v>-0.55000000000000004</v>
      </c>
      <c r="CI15">
        <v>0</v>
      </c>
      <c r="CJ15">
        <v>-3.8</v>
      </c>
      <c r="CK15">
        <v>53</v>
      </c>
      <c r="CL15">
        <v>-0.81</v>
      </c>
      <c r="CM15">
        <v>46</v>
      </c>
      <c r="CN15">
        <v>-0.35</v>
      </c>
      <c r="CO15">
        <v>46</v>
      </c>
      <c r="CP15">
        <v>-1</v>
      </c>
      <c r="CQ15">
        <v>45</v>
      </c>
      <c r="CR15">
        <v>0</v>
      </c>
      <c r="CS15">
        <v>0</v>
      </c>
      <c r="CT15">
        <v>12.7</v>
      </c>
      <c r="CU15">
        <v>45</v>
      </c>
      <c r="CV15">
        <v>0.14000000000000001</v>
      </c>
      <c r="CW15">
        <v>35</v>
      </c>
      <c r="CX15" t="s">
        <v>3093</v>
      </c>
    </row>
    <row r="16" spans="1:102" x14ac:dyDescent="0.3">
      <c r="A16" t="str">
        <f>HYPERLINK("https://webapp.icbf.com/v2/app/bull-search/view/1039179682","OTS")</f>
        <v>OTS</v>
      </c>
      <c r="B16" t="s">
        <v>5766</v>
      </c>
      <c r="C16" t="s">
        <v>5767</v>
      </c>
      <c r="D16" s="1">
        <v>41306</v>
      </c>
      <c r="E16" t="s">
        <v>92</v>
      </c>
      <c r="F16">
        <v>97</v>
      </c>
      <c r="G16" t="s">
        <v>93</v>
      </c>
      <c r="H16">
        <v>325.89</v>
      </c>
      <c r="I16">
        <v>88</v>
      </c>
      <c r="J16">
        <v>94.32</v>
      </c>
      <c r="K16">
        <v>98</v>
      </c>
      <c r="L16">
        <v>149.34</v>
      </c>
      <c r="M16">
        <v>80</v>
      </c>
      <c r="N16">
        <v>54.58</v>
      </c>
      <c r="O16">
        <v>89</v>
      </c>
      <c r="P16">
        <v>1.65</v>
      </c>
      <c r="Q16">
        <v>94</v>
      </c>
      <c r="R16">
        <v>14.71</v>
      </c>
      <c r="S16">
        <v>83</v>
      </c>
      <c r="T16">
        <v>7.46</v>
      </c>
      <c r="U16">
        <v>85</v>
      </c>
      <c r="V16">
        <v>3.83</v>
      </c>
      <c r="W16">
        <v>76</v>
      </c>
      <c r="X16" t="s">
        <v>94</v>
      </c>
      <c r="Y16" t="s">
        <v>389</v>
      </c>
      <c r="Z16" t="s">
        <v>96</v>
      </c>
      <c r="AA16" t="s">
        <v>2159</v>
      </c>
      <c r="AB16" t="s">
        <v>5768</v>
      </c>
      <c r="AC16">
        <v>176</v>
      </c>
      <c r="AD16">
        <v>110</v>
      </c>
      <c r="AE16">
        <v>98</v>
      </c>
      <c r="AF16">
        <v>117.82</v>
      </c>
      <c r="AG16">
        <v>17.059999999999999</v>
      </c>
      <c r="AH16">
        <v>11.81</v>
      </c>
      <c r="AI16">
        <v>0.21</v>
      </c>
      <c r="AJ16">
        <v>0.13</v>
      </c>
      <c r="AK16">
        <v>80</v>
      </c>
      <c r="AL16">
        <v>174</v>
      </c>
      <c r="AM16">
        <v>109</v>
      </c>
      <c r="AN16">
        <v>-7.31</v>
      </c>
      <c r="AO16">
        <v>4.6100000000000003</v>
      </c>
      <c r="AP16">
        <v>435</v>
      </c>
      <c r="AQ16">
        <v>7</v>
      </c>
      <c r="AR16">
        <v>5.52</v>
      </c>
      <c r="AS16">
        <v>84</v>
      </c>
      <c r="AT16">
        <v>1.94</v>
      </c>
      <c r="AU16">
        <v>92</v>
      </c>
      <c r="AV16">
        <v>-4.71</v>
      </c>
      <c r="AW16">
        <v>98</v>
      </c>
      <c r="AX16">
        <v>-0.05</v>
      </c>
      <c r="AY16">
        <v>88</v>
      </c>
      <c r="AZ16">
        <v>5.31</v>
      </c>
      <c r="BA16">
        <v>72</v>
      </c>
      <c r="BB16">
        <v>4.6500000000000004</v>
      </c>
      <c r="BC16">
        <v>67</v>
      </c>
      <c r="BD16">
        <v>-0.08</v>
      </c>
      <c r="BE16">
        <v>-0.05</v>
      </c>
      <c r="BF16">
        <v>-0.11</v>
      </c>
      <c r="BG16">
        <v>92</v>
      </c>
      <c r="BH16">
        <v>0.04</v>
      </c>
      <c r="BI16">
        <v>-7.74</v>
      </c>
      <c r="BJ16">
        <v>14</v>
      </c>
      <c r="BK16">
        <v>8</v>
      </c>
      <c r="BL16">
        <v>-0.14000000000000001</v>
      </c>
      <c r="BM16">
        <v>0.63</v>
      </c>
      <c r="BN16">
        <v>-0.5</v>
      </c>
      <c r="BO16">
        <v>-0.36</v>
      </c>
      <c r="BP16">
        <v>1.17</v>
      </c>
      <c r="BQ16">
        <v>0.21</v>
      </c>
      <c r="BR16">
        <v>1.19</v>
      </c>
      <c r="BS16">
        <v>0.77</v>
      </c>
      <c r="BT16">
        <v>-1.26</v>
      </c>
      <c r="BU16">
        <v>0.22</v>
      </c>
      <c r="BV16">
        <v>0.61</v>
      </c>
      <c r="BW16">
        <v>-0.59</v>
      </c>
      <c r="BX16">
        <v>0.22</v>
      </c>
      <c r="BY16">
        <v>-1.84</v>
      </c>
      <c r="BZ16">
        <v>-1.98</v>
      </c>
      <c r="CA16">
        <v>-0.21</v>
      </c>
      <c r="CB16">
        <v>-0.23</v>
      </c>
      <c r="CC16">
        <v>0.55000000000000004</v>
      </c>
      <c r="CD16">
        <v>-0.11</v>
      </c>
      <c r="CE16">
        <v>-0.52</v>
      </c>
      <c r="CF16">
        <v>-0.44</v>
      </c>
      <c r="CG16">
        <v>0</v>
      </c>
      <c r="CH16">
        <v>-1.23</v>
      </c>
      <c r="CI16">
        <v>0</v>
      </c>
      <c r="CJ16">
        <v>3.3</v>
      </c>
      <c r="CK16">
        <v>96</v>
      </c>
      <c r="CL16">
        <v>-0.59</v>
      </c>
      <c r="CM16">
        <v>95</v>
      </c>
      <c r="CN16">
        <v>-0.3</v>
      </c>
      <c r="CO16">
        <v>94</v>
      </c>
      <c r="CP16">
        <v>-2.2000000000000002</v>
      </c>
      <c r="CQ16">
        <v>80</v>
      </c>
      <c r="CR16">
        <v>0</v>
      </c>
      <c r="CS16">
        <v>0</v>
      </c>
      <c r="CT16">
        <v>3.7</v>
      </c>
      <c r="CU16">
        <v>85</v>
      </c>
      <c r="CV16">
        <v>0.11</v>
      </c>
      <c r="CW16">
        <v>46</v>
      </c>
      <c r="CX16" t="s">
        <v>1376</v>
      </c>
    </row>
    <row r="17" spans="1:102" x14ac:dyDescent="0.3">
      <c r="A17" t="str">
        <f>HYPERLINK("https://webapp.icbf.com/v2/app/bull-search/view/1472997281","FR4439")</f>
        <v>FR4439</v>
      </c>
      <c r="B17" t="s">
        <v>13921</v>
      </c>
      <c r="C17" t="s">
        <v>13922</v>
      </c>
      <c r="D17" s="1">
        <v>42763</v>
      </c>
      <c r="E17" t="s">
        <v>92</v>
      </c>
      <c r="F17">
        <v>72</v>
      </c>
      <c r="G17" t="s">
        <v>435</v>
      </c>
      <c r="H17">
        <v>321.56</v>
      </c>
      <c r="I17">
        <v>68</v>
      </c>
      <c r="J17">
        <v>114.48</v>
      </c>
      <c r="K17">
        <v>86</v>
      </c>
      <c r="L17">
        <v>156</v>
      </c>
      <c r="M17">
        <v>56</v>
      </c>
      <c r="N17">
        <v>47.39</v>
      </c>
      <c r="O17">
        <v>86</v>
      </c>
      <c r="P17">
        <v>-27.74</v>
      </c>
      <c r="Q17">
        <v>53</v>
      </c>
      <c r="R17">
        <v>13.45</v>
      </c>
      <c r="S17">
        <v>57</v>
      </c>
      <c r="T17">
        <v>15.6</v>
      </c>
      <c r="U17">
        <v>47</v>
      </c>
      <c r="V17">
        <v>2.38</v>
      </c>
      <c r="W17">
        <v>53</v>
      </c>
      <c r="X17" t="s">
        <v>102</v>
      </c>
      <c r="Y17" t="s">
        <v>2384</v>
      </c>
      <c r="Z17" t="s">
        <v>96</v>
      </c>
      <c r="AA17" t="s">
        <v>6274</v>
      </c>
      <c r="AB17" t="s">
        <v>13923</v>
      </c>
      <c r="AC17">
        <v>0</v>
      </c>
      <c r="AD17">
        <v>0</v>
      </c>
      <c r="AE17">
        <v>86</v>
      </c>
      <c r="AF17">
        <v>129.22999999999999</v>
      </c>
      <c r="AG17">
        <v>22.75</v>
      </c>
      <c r="AH17">
        <v>13.4</v>
      </c>
      <c r="AI17">
        <v>0.3</v>
      </c>
      <c r="AJ17">
        <v>0.16</v>
      </c>
      <c r="AK17">
        <v>56</v>
      </c>
      <c r="AL17">
        <v>0</v>
      </c>
      <c r="AM17">
        <v>0</v>
      </c>
      <c r="AN17">
        <v>-8.58</v>
      </c>
      <c r="AO17">
        <v>3.86</v>
      </c>
      <c r="AP17">
        <v>1136</v>
      </c>
      <c r="AQ17">
        <v>6</v>
      </c>
      <c r="AR17">
        <v>5.18</v>
      </c>
      <c r="AS17">
        <v>89</v>
      </c>
      <c r="AT17">
        <v>2.1800000000000002</v>
      </c>
      <c r="AU17">
        <v>96</v>
      </c>
      <c r="AV17">
        <v>-3.9</v>
      </c>
      <c r="AW17">
        <v>99</v>
      </c>
      <c r="AX17">
        <v>-0.32</v>
      </c>
      <c r="AY17">
        <v>94</v>
      </c>
      <c r="AZ17">
        <v>5.84</v>
      </c>
      <c r="BA17">
        <v>39</v>
      </c>
      <c r="BB17">
        <v>4.6100000000000003</v>
      </c>
      <c r="BC17">
        <v>30</v>
      </c>
      <c r="BD17">
        <v>-0.05</v>
      </c>
      <c r="BE17">
        <v>-0.04</v>
      </c>
      <c r="BF17">
        <v>-0.15</v>
      </c>
      <c r="BG17">
        <v>69</v>
      </c>
      <c r="BH17">
        <v>-0.05</v>
      </c>
      <c r="BI17">
        <v>-13.45</v>
      </c>
      <c r="BJ17">
        <v>0</v>
      </c>
      <c r="BK17">
        <v>0</v>
      </c>
      <c r="BL17">
        <v>-1.1100000000000001</v>
      </c>
      <c r="BM17">
        <v>1.43</v>
      </c>
      <c r="BN17">
        <v>-0.82</v>
      </c>
      <c r="BO17">
        <v>-1.56</v>
      </c>
      <c r="BP17">
        <v>-0.04</v>
      </c>
      <c r="BQ17">
        <v>-1.27</v>
      </c>
      <c r="BR17">
        <v>-0.69</v>
      </c>
      <c r="BS17">
        <v>-0.35</v>
      </c>
      <c r="BT17">
        <v>0.34</v>
      </c>
      <c r="BU17">
        <v>-0.09</v>
      </c>
      <c r="BV17">
        <v>-1.21</v>
      </c>
      <c r="BW17">
        <v>-0.56000000000000005</v>
      </c>
      <c r="BX17">
        <v>0.1</v>
      </c>
      <c r="BY17">
        <v>-1.02</v>
      </c>
      <c r="BZ17">
        <v>-1.69</v>
      </c>
      <c r="CA17">
        <v>-1.02</v>
      </c>
      <c r="CB17">
        <v>-0.76</v>
      </c>
      <c r="CC17">
        <v>-0.84</v>
      </c>
      <c r="CD17">
        <v>1.31</v>
      </c>
      <c r="CE17">
        <v>-1.51</v>
      </c>
      <c r="CF17">
        <v>-1.92</v>
      </c>
      <c r="CG17">
        <v>0</v>
      </c>
      <c r="CH17">
        <v>-0.14000000000000001</v>
      </c>
      <c r="CI17">
        <v>0</v>
      </c>
      <c r="CJ17">
        <v>-15.1</v>
      </c>
      <c r="CK17">
        <v>59</v>
      </c>
      <c r="CL17">
        <v>-0.8</v>
      </c>
      <c r="CM17">
        <v>47</v>
      </c>
      <c r="CN17">
        <v>-0.28999999999999998</v>
      </c>
      <c r="CO17">
        <v>45</v>
      </c>
      <c r="CP17">
        <v>-13.6</v>
      </c>
      <c r="CQ17">
        <v>46</v>
      </c>
      <c r="CR17">
        <v>0</v>
      </c>
      <c r="CS17">
        <v>0</v>
      </c>
      <c r="CT17">
        <v>-7.3</v>
      </c>
      <c r="CU17">
        <v>47</v>
      </c>
      <c r="CV17">
        <v>-0.01</v>
      </c>
      <c r="CW17">
        <v>35</v>
      </c>
      <c r="CX17" t="s">
        <v>13924</v>
      </c>
    </row>
    <row r="18" spans="1:102" x14ac:dyDescent="0.3">
      <c r="A18" t="str">
        <f>HYPERLINK("https://webapp.icbf.com/v2/app/bull-search/view/1125359548","JE4289")</f>
        <v>JE4289</v>
      </c>
      <c r="B18" t="s">
        <v>2323</v>
      </c>
      <c r="C18" t="s">
        <v>2324</v>
      </c>
      <c r="D18" s="1">
        <v>41125</v>
      </c>
      <c r="E18" t="s">
        <v>227</v>
      </c>
      <c r="F18">
        <v>0</v>
      </c>
      <c r="G18" t="s">
        <v>109</v>
      </c>
      <c r="H18">
        <v>316.13</v>
      </c>
      <c r="I18">
        <v>75</v>
      </c>
      <c r="J18">
        <v>141.97</v>
      </c>
      <c r="K18">
        <v>89</v>
      </c>
      <c r="L18">
        <v>123.11</v>
      </c>
      <c r="M18">
        <v>66</v>
      </c>
      <c r="N18">
        <v>41</v>
      </c>
      <c r="O18">
        <v>89</v>
      </c>
      <c r="P18">
        <v>-45.03</v>
      </c>
      <c r="Q18">
        <v>62</v>
      </c>
      <c r="R18">
        <v>3.23</v>
      </c>
      <c r="S18">
        <v>63</v>
      </c>
      <c r="T18">
        <v>44.31</v>
      </c>
      <c r="U18">
        <v>66</v>
      </c>
      <c r="V18">
        <v>7.54</v>
      </c>
      <c r="W18">
        <v>64</v>
      </c>
      <c r="X18" t="s">
        <v>94</v>
      </c>
      <c r="Y18" t="s">
        <v>1923</v>
      </c>
      <c r="Z18">
        <v>0</v>
      </c>
      <c r="AA18" t="s">
        <v>2325</v>
      </c>
      <c r="AB18" t="s">
        <v>2326</v>
      </c>
      <c r="AC18">
        <v>0</v>
      </c>
      <c r="AD18">
        <v>0</v>
      </c>
      <c r="AE18">
        <v>89</v>
      </c>
      <c r="AF18">
        <v>-177.77</v>
      </c>
      <c r="AG18">
        <v>26.44</v>
      </c>
      <c r="AH18">
        <v>12.07</v>
      </c>
      <c r="AI18">
        <v>0.6</v>
      </c>
      <c r="AJ18">
        <v>0.33</v>
      </c>
      <c r="AK18">
        <v>66</v>
      </c>
      <c r="AL18">
        <v>0</v>
      </c>
      <c r="AM18">
        <v>0</v>
      </c>
      <c r="AN18">
        <v>-5.0199999999999996</v>
      </c>
      <c r="AO18">
        <v>4.82</v>
      </c>
      <c r="AP18">
        <v>3572</v>
      </c>
      <c r="AQ18">
        <v>0</v>
      </c>
      <c r="AR18">
        <v>4.25</v>
      </c>
      <c r="AS18">
        <v>98</v>
      </c>
      <c r="AT18">
        <v>1.7</v>
      </c>
      <c r="AU18">
        <v>98</v>
      </c>
      <c r="AV18">
        <v>-3.34</v>
      </c>
      <c r="AW18">
        <v>99</v>
      </c>
      <c r="AX18">
        <v>0.1</v>
      </c>
      <c r="AY18">
        <v>98</v>
      </c>
      <c r="AZ18">
        <v>7.06</v>
      </c>
      <c r="BA18">
        <v>41</v>
      </c>
      <c r="BB18">
        <v>5.35</v>
      </c>
      <c r="BC18">
        <v>41</v>
      </c>
      <c r="BD18">
        <v>-0.05</v>
      </c>
      <c r="BE18">
        <v>0.01</v>
      </c>
      <c r="BF18">
        <v>-0.01</v>
      </c>
      <c r="BG18">
        <v>68</v>
      </c>
      <c r="BH18">
        <v>0.21</v>
      </c>
      <c r="BI18">
        <v>-0.04</v>
      </c>
      <c r="BJ18">
        <v>0</v>
      </c>
      <c r="BK18">
        <v>0</v>
      </c>
      <c r="BL18">
        <v>-3.07</v>
      </c>
      <c r="BM18">
        <v>-1.76</v>
      </c>
      <c r="BN18">
        <v>-0.23</v>
      </c>
      <c r="BO18">
        <v>1.24</v>
      </c>
      <c r="BP18">
        <v>-0.87</v>
      </c>
      <c r="BQ18">
        <v>-5.91</v>
      </c>
      <c r="BR18">
        <v>2.75</v>
      </c>
      <c r="BS18">
        <v>6.03</v>
      </c>
      <c r="BT18">
        <v>-1.7</v>
      </c>
      <c r="BU18">
        <v>-1.27</v>
      </c>
      <c r="BV18">
        <v>-0.56000000000000005</v>
      </c>
      <c r="BW18">
        <v>-2.65</v>
      </c>
      <c r="BX18">
        <v>-4.43</v>
      </c>
      <c r="BY18">
        <v>-0.38</v>
      </c>
      <c r="BZ18">
        <v>-0.62</v>
      </c>
      <c r="CA18">
        <v>0.75</v>
      </c>
      <c r="CB18">
        <v>-0.78</v>
      </c>
      <c r="CC18">
        <v>3.69</v>
      </c>
      <c r="CD18">
        <v>-2</v>
      </c>
      <c r="CE18">
        <v>0.96</v>
      </c>
      <c r="CF18">
        <v>-3.29</v>
      </c>
      <c r="CG18">
        <v>0</v>
      </c>
      <c r="CH18">
        <v>-1.1499999999999999</v>
      </c>
      <c r="CI18">
        <v>0</v>
      </c>
      <c r="CJ18">
        <v>-21.7</v>
      </c>
      <c r="CK18">
        <v>70</v>
      </c>
      <c r="CL18">
        <v>-0.9</v>
      </c>
      <c r="CM18">
        <v>53</v>
      </c>
      <c r="CN18">
        <v>0.03</v>
      </c>
      <c r="CO18">
        <v>50</v>
      </c>
      <c r="CP18">
        <v>-36.299999999999997</v>
      </c>
      <c r="CQ18">
        <v>54</v>
      </c>
      <c r="CR18">
        <v>0</v>
      </c>
      <c r="CS18">
        <v>0</v>
      </c>
      <c r="CT18">
        <v>-46.1</v>
      </c>
      <c r="CU18">
        <v>66</v>
      </c>
      <c r="CV18">
        <v>-0.22</v>
      </c>
      <c r="CW18">
        <v>40</v>
      </c>
      <c r="CX18" t="s">
        <v>1634</v>
      </c>
    </row>
    <row r="19" spans="1:102" x14ac:dyDescent="0.3">
      <c r="A19" t="str">
        <f>HYPERLINK("https://webapp.icbf.com/v2/app/bull-search/view/1603439944","FR4724")</f>
        <v>FR4724</v>
      </c>
      <c r="B19" t="s">
        <v>14071</v>
      </c>
      <c r="C19" t="s">
        <v>14072</v>
      </c>
      <c r="D19" s="1">
        <v>43128</v>
      </c>
      <c r="E19" t="s">
        <v>92</v>
      </c>
      <c r="F19">
        <v>69</v>
      </c>
      <c r="G19" t="s">
        <v>435</v>
      </c>
      <c r="H19">
        <v>315.93</v>
      </c>
      <c r="I19">
        <v>66</v>
      </c>
      <c r="J19">
        <v>90.06</v>
      </c>
      <c r="K19">
        <v>88</v>
      </c>
      <c r="L19">
        <v>183.18</v>
      </c>
      <c r="M19">
        <v>60</v>
      </c>
      <c r="N19">
        <v>42.48</v>
      </c>
      <c r="O19">
        <v>61</v>
      </c>
      <c r="P19">
        <v>-8.06</v>
      </c>
      <c r="Q19">
        <v>46</v>
      </c>
      <c r="R19">
        <v>7.76</v>
      </c>
      <c r="S19">
        <v>59</v>
      </c>
      <c r="T19">
        <v>2.21</v>
      </c>
      <c r="U19">
        <v>41</v>
      </c>
      <c r="V19">
        <v>-1.7</v>
      </c>
      <c r="W19">
        <v>54</v>
      </c>
      <c r="X19" t="s">
        <v>102</v>
      </c>
      <c r="Y19" t="s">
        <v>2384</v>
      </c>
      <c r="Z19" t="s">
        <v>96</v>
      </c>
      <c r="AA19" t="s">
        <v>6224</v>
      </c>
      <c r="AB19" t="s">
        <v>14073</v>
      </c>
      <c r="AC19">
        <v>0</v>
      </c>
      <c r="AD19">
        <v>0</v>
      </c>
      <c r="AE19">
        <v>88</v>
      </c>
      <c r="AF19">
        <v>-54.61</v>
      </c>
      <c r="AG19">
        <v>12.24</v>
      </c>
      <c r="AH19">
        <v>10.15</v>
      </c>
      <c r="AI19">
        <v>0.25</v>
      </c>
      <c r="AJ19">
        <v>0.21</v>
      </c>
      <c r="AK19">
        <v>60</v>
      </c>
      <c r="AL19">
        <v>0</v>
      </c>
      <c r="AM19">
        <v>0</v>
      </c>
      <c r="AN19">
        <v>-10.66</v>
      </c>
      <c r="AO19">
        <v>3.94</v>
      </c>
      <c r="AP19">
        <v>20</v>
      </c>
      <c r="AQ19">
        <v>0</v>
      </c>
      <c r="AR19">
        <v>4.43</v>
      </c>
      <c r="AS19">
        <v>53</v>
      </c>
      <c r="AT19">
        <v>1.85</v>
      </c>
      <c r="AU19">
        <v>69</v>
      </c>
      <c r="AV19">
        <v>-2.99</v>
      </c>
      <c r="AW19">
        <v>72</v>
      </c>
      <c r="AX19">
        <v>-0.12</v>
      </c>
      <c r="AY19">
        <v>52</v>
      </c>
      <c r="AZ19">
        <v>6</v>
      </c>
      <c r="BA19">
        <v>36</v>
      </c>
      <c r="BB19">
        <v>4.7</v>
      </c>
      <c r="BC19">
        <v>34</v>
      </c>
      <c r="BD19">
        <v>-0.02</v>
      </c>
      <c r="BE19">
        <v>-0.05</v>
      </c>
      <c r="BF19">
        <v>-0.05</v>
      </c>
      <c r="BG19">
        <v>70</v>
      </c>
      <c r="BH19">
        <v>0.04</v>
      </c>
      <c r="BI19">
        <v>10.11</v>
      </c>
      <c r="BJ19">
        <v>0</v>
      </c>
      <c r="BK19">
        <v>0</v>
      </c>
      <c r="BL19">
        <v>-1.22</v>
      </c>
      <c r="BM19">
        <v>0.08</v>
      </c>
      <c r="BN19">
        <v>-2.77</v>
      </c>
      <c r="BO19">
        <v>-2.13</v>
      </c>
      <c r="BP19">
        <v>-7.0000000000000007E-2</v>
      </c>
      <c r="BQ19">
        <v>0.22</v>
      </c>
      <c r="BR19">
        <v>-2.79</v>
      </c>
      <c r="BS19">
        <v>-0.42</v>
      </c>
      <c r="BT19">
        <v>0.15</v>
      </c>
      <c r="BU19">
        <v>0.81</v>
      </c>
      <c r="BV19">
        <v>-0.34</v>
      </c>
      <c r="BW19">
        <v>0.28999999999999998</v>
      </c>
      <c r="BX19">
        <v>0.28000000000000003</v>
      </c>
      <c r="BY19">
        <v>-1.26</v>
      </c>
      <c r="BZ19">
        <v>-3.29</v>
      </c>
      <c r="CA19">
        <v>0.11</v>
      </c>
      <c r="CB19">
        <v>0.3</v>
      </c>
      <c r="CC19">
        <v>-0.77</v>
      </c>
      <c r="CD19">
        <v>1.07</v>
      </c>
      <c r="CE19">
        <v>-1.48</v>
      </c>
      <c r="CF19">
        <v>-0.23</v>
      </c>
      <c r="CG19">
        <v>0</v>
      </c>
      <c r="CH19">
        <v>0.52</v>
      </c>
      <c r="CI19">
        <v>0</v>
      </c>
      <c r="CJ19">
        <v>-3.8</v>
      </c>
      <c r="CK19">
        <v>46</v>
      </c>
      <c r="CL19">
        <v>-0.6</v>
      </c>
      <c r="CM19">
        <v>46</v>
      </c>
      <c r="CN19">
        <v>-0.32</v>
      </c>
      <c r="CO19">
        <v>46</v>
      </c>
      <c r="CP19">
        <v>-2.5</v>
      </c>
      <c r="CQ19">
        <v>41</v>
      </c>
      <c r="CR19">
        <v>0</v>
      </c>
      <c r="CS19">
        <v>0</v>
      </c>
      <c r="CT19">
        <v>10.8</v>
      </c>
      <c r="CU19">
        <v>41</v>
      </c>
      <c r="CV19">
        <v>0.06</v>
      </c>
      <c r="CW19">
        <v>36</v>
      </c>
      <c r="CX19" t="s">
        <v>1942</v>
      </c>
    </row>
    <row r="20" spans="1:102" x14ac:dyDescent="0.3">
      <c r="A20" t="str">
        <f>HYPERLINK("https://webapp.icbf.com/v2/app/bull-search/view/1605169915","FR4726")</f>
        <v>FR4726</v>
      </c>
      <c r="B20" t="s">
        <v>14056</v>
      </c>
      <c r="C20" t="s">
        <v>14057</v>
      </c>
      <c r="D20" s="1">
        <v>43132</v>
      </c>
      <c r="E20" t="s">
        <v>92</v>
      </c>
      <c r="F20">
        <v>72</v>
      </c>
      <c r="G20" t="s">
        <v>435</v>
      </c>
      <c r="H20">
        <v>315.73</v>
      </c>
      <c r="I20">
        <v>68</v>
      </c>
      <c r="J20">
        <v>136.86000000000001</v>
      </c>
      <c r="K20">
        <v>89</v>
      </c>
      <c r="L20">
        <v>141.59</v>
      </c>
      <c r="M20">
        <v>62</v>
      </c>
      <c r="N20">
        <v>43.52</v>
      </c>
      <c r="O20">
        <v>57</v>
      </c>
      <c r="P20">
        <v>-7.18</v>
      </c>
      <c r="Q20">
        <v>48</v>
      </c>
      <c r="R20">
        <v>-8.19</v>
      </c>
      <c r="S20">
        <v>63</v>
      </c>
      <c r="T20">
        <v>9.24</v>
      </c>
      <c r="U20">
        <v>49</v>
      </c>
      <c r="V20">
        <v>-0.11</v>
      </c>
      <c r="W20">
        <v>59</v>
      </c>
      <c r="X20" t="s">
        <v>102</v>
      </c>
      <c r="Y20" t="s">
        <v>2384</v>
      </c>
      <c r="Z20" t="s">
        <v>330</v>
      </c>
      <c r="AA20" t="s">
        <v>6253</v>
      </c>
      <c r="AB20" t="s">
        <v>10233</v>
      </c>
      <c r="AC20">
        <v>0</v>
      </c>
      <c r="AD20">
        <v>0</v>
      </c>
      <c r="AE20">
        <v>89</v>
      </c>
      <c r="AF20">
        <v>253.6</v>
      </c>
      <c r="AG20">
        <v>20.63</v>
      </c>
      <c r="AH20">
        <v>19.86</v>
      </c>
      <c r="AI20">
        <v>0.17</v>
      </c>
      <c r="AJ20">
        <v>0.19</v>
      </c>
      <c r="AK20">
        <v>62</v>
      </c>
      <c r="AL20">
        <v>0</v>
      </c>
      <c r="AM20">
        <v>0</v>
      </c>
      <c r="AN20">
        <v>-7.08</v>
      </c>
      <c r="AO20">
        <v>4.22</v>
      </c>
      <c r="AP20">
        <v>2</v>
      </c>
      <c r="AQ20">
        <v>0</v>
      </c>
      <c r="AR20">
        <v>5.52</v>
      </c>
      <c r="AS20">
        <v>56</v>
      </c>
      <c r="AT20">
        <v>1.83</v>
      </c>
      <c r="AU20">
        <v>65</v>
      </c>
      <c r="AV20">
        <v>-4.33</v>
      </c>
      <c r="AW20">
        <v>62</v>
      </c>
      <c r="AX20">
        <v>-0.47</v>
      </c>
      <c r="AY20">
        <v>49</v>
      </c>
      <c r="AZ20">
        <v>8.26</v>
      </c>
      <c r="BA20">
        <v>45</v>
      </c>
      <c r="BB20">
        <v>5.68</v>
      </c>
      <c r="BC20">
        <v>33</v>
      </c>
      <c r="BD20">
        <v>-0.01</v>
      </c>
      <c r="BE20">
        <v>0.05</v>
      </c>
      <c r="BF20">
        <v>0.11</v>
      </c>
      <c r="BG20">
        <v>75</v>
      </c>
      <c r="BH20">
        <v>0.06</v>
      </c>
      <c r="BI20">
        <v>7.29</v>
      </c>
      <c r="BJ20">
        <v>0</v>
      </c>
      <c r="BK20">
        <v>0</v>
      </c>
      <c r="BL20">
        <v>-2.12</v>
      </c>
      <c r="BM20">
        <v>0.3</v>
      </c>
      <c r="BN20">
        <v>-0.96</v>
      </c>
      <c r="BO20">
        <v>-0.76</v>
      </c>
      <c r="BP20">
        <v>1.59</v>
      </c>
      <c r="BQ20">
        <v>-2.31</v>
      </c>
      <c r="BR20">
        <v>0.05</v>
      </c>
      <c r="BS20">
        <v>0.08</v>
      </c>
      <c r="BT20">
        <v>-1.81</v>
      </c>
      <c r="BU20">
        <v>0.36</v>
      </c>
      <c r="BV20">
        <v>-0.62</v>
      </c>
      <c r="BW20">
        <v>0.05</v>
      </c>
      <c r="BX20">
        <v>-0.52</v>
      </c>
      <c r="BY20">
        <v>-0.36</v>
      </c>
      <c r="BZ20">
        <v>-1.24</v>
      </c>
      <c r="CA20">
        <v>-0.16</v>
      </c>
      <c r="CB20">
        <v>0.04</v>
      </c>
      <c r="CC20">
        <v>-0.75</v>
      </c>
      <c r="CD20">
        <v>1.08</v>
      </c>
      <c r="CE20">
        <v>0.12</v>
      </c>
      <c r="CF20">
        <v>-0.52</v>
      </c>
      <c r="CG20">
        <v>0</v>
      </c>
      <c r="CH20">
        <v>0.76</v>
      </c>
      <c r="CI20">
        <v>0</v>
      </c>
      <c r="CJ20">
        <v>-1.6</v>
      </c>
      <c r="CK20">
        <v>49</v>
      </c>
      <c r="CL20">
        <v>-0.72</v>
      </c>
      <c r="CM20">
        <v>47</v>
      </c>
      <c r="CN20">
        <v>-0.25</v>
      </c>
      <c r="CO20">
        <v>47</v>
      </c>
      <c r="CP20">
        <v>-3.1</v>
      </c>
      <c r="CQ20">
        <v>45</v>
      </c>
      <c r="CR20">
        <v>0</v>
      </c>
      <c r="CS20">
        <v>0</v>
      </c>
      <c r="CT20">
        <v>1.3</v>
      </c>
      <c r="CU20">
        <v>49</v>
      </c>
      <c r="CV20">
        <v>0.09</v>
      </c>
      <c r="CW20">
        <v>36</v>
      </c>
      <c r="CX20" t="s">
        <v>1939</v>
      </c>
    </row>
    <row r="21" spans="1:102" x14ac:dyDescent="0.3">
      <c r="A21" t="str">
        <f>HYPERLINK("https://webapp.icbf.com/v2/app/bull-search/view/1251459771","FR4021")</f>
        <v>FR4021</v>
      </c>
      <c r="B21" t="s">
        <v>6223</v>
      </c>
      <c r="C21" t="s">
        <v>6224</v>
      </c>
      <c r="D21" s="1">
        <v>42056</v>
      </c>
      <c r="E21" t="s">
        <v>92</v>
      </c>
      <c r="F21">
        <v>59</v>
      </c>
      <c r="G21" t="s">
        <v>93</v>
      </c>
      <c r="H21">
        <v>314.43</v>
      </c>
      <c r="I21">
        <v>80</v>
      </c>
      <c r="J21">
        <v>46.76</v>
      </c>
      <c r="K21">
        <v>93</v>
      </c>
      <c r="L21">
        <v>219.2</v>
      </c>
      <c r="M21">
        <v>69</v>
      </c>
      <c r="N21">
        <v>34.14</v>
      </c>
      <c r="O21">
        <v>89</v>
      </c>
      <c r="P21">
        <v>-15.18</v>
      </c>
      <c r="Q21">
        <v>94</v>
      </c>
      <c r="R21">
        <v>12.06</v>
      </c>
      <c r="S21">
        <v>69</v>
      </c>
      <c r="T21">
        <v>14.94</v>
      </c>
      <c r="U21">
        <v>67</v>
      </c>
      <c r="V21">
        <v>2.5099999999999998</v>
      </c>
      <c r="W21">
        <v>62</v>
      </c>
      <c r="X21" t="s">
        <v>94</v>
      </c>
      <c r="Y21" t="s">
        <v>436</v>
      </c>
      <c r="Z21" t="s">
        <v>96</v>
      </c>
      <c r="AA21" t="s">
        <v>2157</v>
      </c>
      <c r="AB21" t="s">
        <v>6225</v>
      </c>
      <c r="AC21">
        <v>73</v>
      </c>
      <c r="AD21">
        <v>54</v>
      </c>
      <c r="AE21">
        <v>93</v>
      </c>
      <c r="AF21">
        <v>-221.86</v>
      </c>
      <c r="AG21">
        <v>2.48</v>
      </c>
      <c r="AH21">
        <v>3.68</v>
      </c>
      <c r="AI21">
        <v>0.2</v>
      </c>
      <c r="AJ21">
        <v>0.2</v>
      </c>
      <c r="AK21">
        <v>69</v>
      </c>
      <c r="AL21">
        <v>0</v>
      </c>
      <c r="AM21">
        <v>0</v>
      </c>
      <c r="AN21">
        <v>-14.35</v>
      </c>
      <c r="AO21">
        <v>3.1</v>
      </c>
      <c r="AP21">
        <v>8081</v>
      </c>
      <c r="AQ21">
        <v>13</v>
      </c>
      <c r="AR21">
        <v>5.99</v>
      </c>
      <c r="AS21">
        <v>90</v>
      </c>
      <c r="AT21">
        <v>2.41</v>
      </c>
      <c r="AU21">
        <v>99</v>
      </c>
      <c r="AV21">
        <v>-3</v>
      </c>
      <c r="AW21">
        <v>99</v>
      </c>
      <c r="AX21">
        <v>-0.12</v>
      </c>
      <c r="AY21">
        <v>99</v>
      </c>
      <c r="AZ21">
        <v>5.71</v>
      </c>
      <c r="BA21">
        <v>58</v>
      </c>
      <c r="BB21">
        <v>5.14</v>
      </c>
      <c r="BC21">
        <v>42</v>
      </c>
      <c r="BD21">
        <v>-0.02</v>
      </c>
      <c r="BE21">
        <v>-0.06</v>
      </c>
      <c r="BF21">
        <v>-0.13</v>
      </c>
      <c r="BG21">
        <v>80</v>
      </c>
      <c r="BH21">
        <v>0.17</v>
      </c>
      <c r="BI21">
        <v>11.57</v>
      </c>
      <c r="BJ21">
        <v>0</v>
      </c>
      <c r="BK21">
        <v>0</v>
      </c>
      <c r="BL21">
        <v>-1.6</v>
      </c>
      <c r="BM21">
        <v>-0.34</v>
      </c>
      <c r="BN21">
        <v>-2.85</v>
      </c>
      <c r="BO21">
        <v>-2.37</v>
      </c>
      <c r="BP21">
        <v>0.31</v>
      </c>
      <c r="BQ21">
        <v>-0.41</v>
      </c>
      <c r="BR21">
        <v>-0.65</v>
      </c>
      <c r="BS21">
        <v>-1.96</v>
      </c>
      <c r="BT21">
        <v>-0.92</v>
      </c>
      <c r="BU21">
        <v>-1.34</v>
      </c>
      <c r="BV21">
        <v>-1.99</v>
      </c>
      <c r="BW21">
        <v>-1.49</v>
      </c>
      <c r="BX21">
        <v>-0.21</v>
      </c>
      <c r="BY21">
        <v>-2.19</v>
      </c>
      <c r="BZ21">
        <v>-1.69</v>
      </c>
      <c r="CA21">
        <v>-1.47</v>
      </c>
      <c r="CB21">
        <v>-1.19</v>
      </c>
      <c r="CC21">
        <v>-1.56</v>
      </c>
      <c r="CD21">
        <v>1.19</v>
      </c>
      <c r="CE21">
        <v>-1.82</v>
      </c>
      <c r="CF21">
        <v>-1.43</v>
      </c>
      <c r="CG21">
        <v>0</v>
      </c>
      <c r="CH21">
        <v>-0.54</v>
      </c>
      <c r="CI21">
        <v>0</v>
      </c>
      <c r="CJ21">
        <v>-7.5</v>
      </c>
      <c r="CK21">
        <v>97</v>
      </c>
      <c r="CL21">
        <v>-0.63</v>
      </c>
      <c r="CM21">
        <v>97</v>
      </c>
      <c r="CN21">
        <v>-0.25</v>
      </c>
      <c r="CO21">
        <v>96</v>
      </c>
      <c r="CP21">
        <v>-8.4</v>
      </c>
      <c r="CQ21">
        <v>64</v>
      </c>
      <c r="CR21">
        <v>0</v>
      </c>
      <c r="CS21">
        <v>0</v>
      </c>
      <c r="CT21">
        <v>-6.4</v>
      </c>
      <c r="CU21">
        <v>67</v>
      </c>
      <c r="CV21">
        <v>-0.02</v>
      </c>
      <c r="CW21">
        <v>47</v>
      </c>
      <c r="CX21" t="s">
        <v>738</v>
      </c>
    </row>
    <row r="22" spans="1:102" x14ac:dyDescent="0.3">
      <c r="A22" t="str">
        <f>HYPERLINK("https://webapp.icbf.com/v2/app/bull-search/view/1478889775","FR4513")</f>
        <v>FR4513</v>
      </c>
      <c r="B22" t="s">
        <v>7219</v>
      </c>
      <c r="C22" t="s">
        <v>7220</v>
      </c>
      <c r="D22" s="1">
        <v>42770</v>
      </c>
      <c r="E22" t="s">
        <v>92</v>
      </c>
      <c r="F22">
        <v>72</v>
      </c>
      <c r="G22" t="s">
        <v>435</v>
      </c>
      <c r="H22">
        <v>304.85000000000002</v>
      </c>
      <c r="I22">
        <v>71</v>
      </c>
      <c r="J22">
        <v>129.44999999999999</v>
      </c>
      <c r="K22">
        <v>89</v>
      </c>
      <c r="L22">
        <v>113.48</v>
      </c>
      <c r="M22">
        <v>62</v>
      </c>
      <c r="N22">
        <v>56.62</v>
      </c>
      <c r="O22">
        <v>86</v>
      </c>
      <c r="P22">
        <v>-9.56</v>
      </c>
      <c r="Q22">
        <v>53</v>
      </c>
      <c r="R22">
        <v>7.89</v>
      </c>
      <c r="S22">
        <v>64</v>
      </c>
      <c r="T22">
        <v>-1.1200000000000001</v>
      </c>
      <c r="U22">
        <v>46</v>
      </c>
      <c r="V22">
        <v>8.09</v>
      </c>
      <c r="W22">
        <v>59</v>
      </c>
      <c r="X22" t="s">
        <v>94</v>
      </c>
      <c r="Y22" t="s">
        <v>2384</v>
      </c>
      <c r="Z22" t="s">
        <v>96</v>
      </c>
      <c r="AA22" t="s">
        <v>2512</v>
      </c>
      <c r="AB22" t="s">
        <v>7221</v>
      </c>
      <c r="AC22">
        <v>0</v>
      </c>
      <c r="AD22">
        <v>0</v>
      </c>
      <c r="AE22">
        <v>89</v>
      </c>
      <c r="AF22">
        <v>362.19</v>
      </c>
      <c r="AG22">
        <v>21.65</v>
      </c>
      <c r="AH22">
        <v>19.899999999999999</v>
      </c>
      <c r="AI22">
        <v>0.12</v>
      </c>
      <c r="AJ22">
        <v>0.13</v>
      </c>
      <c r="AK22">
        <v>62</v>
      </c>
      <c r="AL22">
        <v>0</v>
      </c>
      <c r="AM22">
        <v>0</v>
      </c>
      <c r="AN22">
        <v>-3.85</v>
      </c>
      <c r="AO22">
        <v>5.23</v>
      </c>
      <c r="AP22">
        <v>1115</v>
      </c>
      <c r="AQ22">
        <v>3</v>
      </c>
      <c r="AR22">
        <v>6.15</v>
      </c>
      <c r="AS22">
        <v>87</v>
      </c>
      <c r="AT22">
        <v>2.58</v>
      </c>
      <c r="AU22">
        <v>96</v>
      </c>
      <c r="AV22">
        <v>-6</v>
      </c>
      <c r="AW22">
        <v>99</v>
      </c>
      <c r="AX22">
        <v>-0.42</v>
      </c>
      <c r="AY22">
        <v>94</v>
      </c>
      <c r="AZ22">
        <v>5.66</v>
      </c>
      <c r="BA22">
        <v>45</v>
      </c>
      <c r="BB22">
        <v>5.25</v>
      </c>
      <c r="BC22">
        <v>35</v>
      </c>
      <c r="BD22">
        <v>-0.08</v>
      </c>
      <c r="BE22">
        <v>-0.02</v>
      </c>
      <c r="BF22">
        <v>-0.01</v>
      </c>
      <c r="BG22">
        <v>74</v>
      </c>
      <c r="BH22">
        <v>0.16</v>
      </c>
      <c r="BI22">
        <v>-7.59</v>
      </c>
      <c r="BJ22">
        <v>0</v>
      </c>
      <c r="BK22">
        <v>0</v>
      </c>
      <c r="BL22">
        <v>7.0000000000000007E-2</v>
      </c>
      <c r="BM22">
        <v>0.57999999999999996</v>
      </c>
      <c r="BN22">
        <v>0.47</v>
      </c>
      <c r="BO22">
        <v>0.15</v>
      </c>
      <c r="BP22">
        <v>0.56999999999999995</v>
      </c>
      <c r="BQ22">
        <v>0.5</v>
      </c>
      <c r="BR22">
        <v>1.39</v>
      </c>
      <c r="BS22">
        <v>-1.43</v>
      </c>
      <c r="BT22">
        <v>-1.98</v>
      </c>
      <c r="BU22">
        <v>-0.03</v>
      </c>
      <c r="BV22">
        <v>-0.5</v>
      </c>
      <c r="BW22">
        <v>-0.48</v>
      </c>
      <c r="BX22">
        <v>0.27</v>
      </c>
      <c r="BY22">
        <v>-1.25</v>
      </c>
      <c r="BZ22">
        <v>-0.74</v>
      </c>
      <c r="CA22">
        <v>-0.27</v>
      </c>
      <c r="CB22">
        <v>-0.11</v>
      </c>
      <c r="CC22">
        <v>-0.54</v>
      </c>
      <c r="CD22">
        <v>0.19</v>
      </c>
      <c r="CE22">
        <v>0.14000000000000001</v>
      </c>
      <c r="CF22">
        <v>0.34</v>
      </c>
      <c r="CG22">
        <v>0</v>
      </c>
      <c r="CH22">
        <v>-0.04</v>
      </c>
      <c r="CI22">
        <v>0</v>
      </c>
      <c r="CJ22">
        <v>-3.1</v>
      </c>
      <c r="CK22">
        <v>58</v>
      </c>
      <c r="CL22">
        <v>-0.91</v>
      </c>
      <c r="CM22">
        <v>47</v>
      </c>
      <c r="CN22">
        <v>-0.36</v>
      </c>
      <c r="CO22">
        <v>46</v>
      </c>
      <c r="CP22">
        <v>-0.7</v>
      </c>
      <c r="CQ22">
        <v>46</v>
      </c>
      <c r="CR22">
        <v>0</v>
      </c>
      <c r="CS22">
        <v>0</v>
      </c>
      <c r="CT22">
        <v>15.3</v>
      </c>
      <c r="CU22">
        <v>46</v>
      </c>
      <c r="CV22">
        <v>0.15</v>
      </c>
      <c r="CW22">
        <v>35</v>
      </c>
      <c r="CX22" t="s">
        <v>2159</v>
      </c>
    </row>
    <row r="23" spans="1:102" x14ac:dyDescent="0.3">
      <c r="A23" t="str">
        <f>HYPERLINK("https://webapp.icbf.com/v2/app/bull-search/view/1475323403","FR4530")</f>
        <v>FR4530</v>
      </c>
      <c r="B23" t="s">
        <v>7680</v>
      </c>
      <c r="C23" t="s">
        <v>7681</v>
      </c>
      <c r="D23" s="1">
        <v>42767</v>
      </c>
      <c r="E23" t="s">
        <v>92</v>
      </c>
      <c r="F23">
        <v>66</v>
      </c>
      <c r="G23" t="s">
        <v>435</v>
      </c>
      <c r="H23">
        <v>304.75</v>
      </c>
      <c r="I23">
        <v>72</v>
      </c>
      <c r="J23">
        <v>98.9</v>
      </c>
      <c r="K23">
        <v>90</v>
      </c>
      <c r="L23">
        <v>149.63999999999999</v>
      </c>
      <c r="M23">
        <v>64</v>
      </c>
      <c r="N23">
        <v>56.53</v>
      </c>
      <c r="O23">
        <v>77</v>
      </c>
      <c r="P23">
        <v>-26.37</v>
      </c>
      <c r="Q23">
        <v>60</v>
      </c>
      <c r="R23">
        <v>6.48</v>
      </c>
      <c r="S23">
        <v>64</v>
      </c>
      <c r="T23">
        <v>12.57</v>
      </c>
      <c r="U23">
        <v>48</v>
      </c>
      <c r="V23">
        <v>7</v>
      </c>
      <c r="W23">
        <v>58</v>
      </c>
      <c r="X23" t="s">
        <v>94</v>
      </c>
      <c r="Y23" t="s">
        <v>2384</v>
      </c>
      <c r="Z23" t="s">
        <v>330</v>
      </c>
      <c r="AA23" t="s">
        <v>7682</v>
      </c>
      <c r="AB23" t="s">
        <v>7683</v>
      </c>
      <c r="AC23">
        <v>0</v>
      </c>
      <c r="AD23">
        <v>0</v>
      </c>
      <c r="AE23">
        <v>90</v>
      </c>
      <c r="AF23">
        <v>-78.77</v>
      </c>
      <c r="AG23">
        <v>19.12</v>
      </c>
      <c r="AH23">
        <v>8.85</v>
      </c>
      <c r="AI23">
        <v>0.38</v>
      </c>
      <c r="AJ23">
        <v>0.21</v>
      </c>
      <c r="AK23">
        <v>64</v>
      </c>
      <c r="AL23">
        <v>0</v>
      </c>
      <c r="AM23">
        <v>0</v>
      </c>
      <c r="AN23">
        <v>-7.64</v>
      </c>
      <c r="AO23">
        <v>4.3</v>
      </c>
      <c r="AP23">
        <v>120</v>
      </c>
      <c r="AQ23">
        <v>1</v>
      </c>
      <c r="AR23">
        <v>3.98</v>
      </c>
      <c r="AS23">
        <v>62</v>
      </c>
      <c r="AT23">
        <v>1.58</v>
      </c>
      <c r="AU23">
        <v>81</v>
      </c>
      <c r="AV23">
        <v>-5.29</v>
      </c>
      <c r="AW23">
        <v>94</v>
      </c>
      <c r="AX23">
        <v>-0.69</v>
      </c>
      <c r="AY23">
        <v>75</v>
      </c>
      <c r="AZ23">
        <v>7.16</v>
      </c>
      <c r="BA23">
        <v>46</v>
      </c>
      <c r="BB23">
        <v>5.89</v>
      </c>
      <c r="BC23">
        <v>36</v>
      </c>
      <c r="BD23">
        <v>-0.03</v>
      </c>
      <c r="BE23">
        <v>-0.01</v>
      </c>
      <c r="BF23">
        <v>-0.08</v>
      </c>
      <c r="BG23">
        <v>75</v>
      </c>
      <c r="BH23">
        <v>0.14000000000000001</v>
      </c>
      <c r="BI23">
        <v>-6.37</v>
      </c>
      <c r="BJ23">
        <v>0</v>
      </c>
      <c r="BK23">
        <v>0</v>
      </c>
      <c r="BL23">
        <v>-1.59</v>
      </c>
      <c r="BM23">
        <v>1.83</v>
      </c>
      <c r="BN23">
        <v>-0.01</v>
      </c>
      <c r="BO23">
        <v>-1.25</v>
      </c>
      <c r="BP23">
        <v>-0.94</v>
      </c>
      <c r="BQ23">
        <v>0.06</v>
      </c>
      <c r="BR23">
        <v>-0.98</v>
      </c>
      <c r="BS23">
        <v>-0.96</v>
      </c>
      <c r="BT23">
        <v>-0.59</v>
      </c>
      <c r="BU23">
        <v>-0.38</v>
      </c>
      <c r="BV23">
        <v>-0.71</v>
      </c>
      <c r="BW23">
        <v>-1.06</v>
      </c>
      <c r="BX23">
        <v>-1.37</v>
      </c>
      <c r="BY23">
        <v>-2.08</v>
      </c>
      <c r="BZ23">
        <v>-1.5</v>
      </c>
      <c r="CA23">
        <v>-1.19</v>
      </c>
      <c r="CB23">
        <v>-0.63</v>
      </c>
      <c r="CC23">
        <v>-0.54</v>
      </c>
      <c r="CD23">
        <v>1.8</v>
      </c>
      <c r="CE23">
        <v>-0.54</v>
      </c>
      <c r="CF23">
        <v>-0.69</v>
      </c>
      <c r="CG23">
        <v>0</v>
      </c>
      <c r="CH23">
        <v>-0.48</v>
      </c>
      <c r="CI23">
        <v>0</v>
      </c>
      <c r="CJ23">
        <v>-13.7</v>
      </c>
      <c r="CK23">
        <v>64</v>
      </c>
      <c r="CL23">
        <v>-0.78</v>
      </c>
      <c r="CM23">
        <v>57</v>
      </c>
      <c r="CN23">
        <v>-0.16</v>
      </c>
      <c r="CO23">
        <v>57</v>
      </c>
      <c r="CP23">
        <v>-8.6</v>
      </c>
      <c r="CQ23">
        <v>49</v>
      </c>
      <c r="CR23">
        <v>0</v>
      </c>
      <c r="CS23">
        <v>0</v>
      </c>
      <c r="CT23">
        <v>-3.2</v>
      </c>
      <c r="CU23">
        <v>48</v>
      </c>
      <c r="CV23">
        <v>0.11</v>
      </c>
      <c r="CW23">
        <v>38</v>
      </c>
      <c r="CX23" t="s">
        <v>1865</v>
      </c>
    </row>
    <row r="24" spans="1:102" x14ac:dyDescent="0.3">
      <c r="A24" t="str">
        <f>HYPERLINK("https://webapp.icbf.com/v2/app/bull-search/view/1576173654","FR4673")</f>
        <v>FR4673</v>
      </c>
      <c r="B24" t="s">
        <v>6426</v>
      </c>
      <c r="C24" t="s">
        <v>6427</v>
      </c>
      <c r="D24" s="1">
        <v>43030</v>
      </c>
      <c r="E24" t="s">
        <v>92</v>
      </c>
      <c r="F24">
        <v>81</v>
      </c>
      <c r="G24" t="s">
        <v>435</v>
      </c>
      <c r="H24">
        <v>301.70999999999998</v>
      </c>
      <c r="I24">
        <v>67</v>
      </c>
      <c r="J24">
        <v>98.74</v>
      </c>
      <c r="K24">
        <v>89</v>
      </c>
      <c r="L24">
        <v>150.9</v>
      </c>
      <c r="M24">
        <v>61</v>
      </c>
      <c r="N24">
        <v>47.11</v>
      </c>
      <c r="O24">
        <v>58</v>
      </c>
      <c r="P24">
        <v>2.25</v>
      </c>
      <c r="Q24">
        <v>46</v>
      </c>
      <c r="R24">
        <v>2.2200000000000002</v>
      </c>
      <c r="S24">
        <v>62</v>
      </c>
      <c r="T24">
        <v>1.54</v>
      </c>
      <c r="U24">
        <v>45</v>
      </c>
      <c r="V24">
        <v>-1.05</v>
      </c>
      <c r="W24">
        <v>56</v>
      </c>
      <c r="X24" t="s">
        <v>102</v>
      </c>
      <c r="Y24" t="s">
        <v>2384</v>
      </c>
      <c r="Z24" t="s">
        <v>330</v>
      </c>
      <c r="AA24" t="s">
        <v>6253</v>
      </c>
      <c r="AB24" t="s">
        <v>6428</v>
      </c>
      <c r="AC24">
        <v>0</v>
      </c>
      <c r="AD24">
        <v>0</v>
      </c>
      <c r="AE24">
        <v>89</v>
      </c>
      <c r="AF24">
        <v>-1.87</v>
      </c>
      <c r="AG24">
        <v>13.24</v>
      </c>
      <c r="AH24">
        <v>12.08</v>
      </c>
      <c r="AI24">
        <v>0.23</v>
      </c>
      <c r="AJ24">
        <v>0.21</v>
      </c>
      <c r="AK24">
        <v>61</v>
      </c>
      <c r="AL24">
        <v>0</v>
      </c>
      <c r="AM24">
        <v>0</v>
      </c>
      <c r="AN24">
        <v>-8.5399999999999991</v>
      </c>
      <c r="AO24">
        <v>3.49</v>
      </c>
      <c r="AP24">
        <v>9</v>
      </c>
      <c r="AQ24">
        <v>0</v>
      </c>
      <c r="AR24">
        <v>5.79</v>
      </c>
      <c r="AS24">
        <v>54</v>
      </c>
      <c r="AT24">
        <v>2.13</v>
      </c>
      <c r="AU24">
        <v>67</v>
      </c>
      <c r="AV24">
        <v>-4.6500000000000004</v>
      </c>
      <c r="AW24">
        <v>65</v>
      </c>
      <c r="AX24">
        <v>-0.53</v>
      </c>
      <c r="AY24">
        <v>49</v>
      </c>
      <c r="AZ24">
        <v>7.1</v>
      </c>
      <c r="BA24">
        <v>43</v>
      </c>
      <c r="BB24">
        <v>5.41</v>
      </c>
      <c r="BC24">
        <v>33</v>
      </c>
      <c r="BD24">
        <v>-0.03</v>
      </c>
      <c r="BE24">
        <v>0.01</v>
      </c>
      <c r="BF24">
        <v>-0.02</v>
      </c>
      <c r="BG24">
        <v>73</v>
      </c>
      <c r="BH24">
        <v>0</v>
      </c>
      <c r="BI24">
        <v>3.38</v>
      </c>
      <c r="BJ24">
        <v>0</v>
      </c>
      <c r="BK24">
        <v>0</v>
      </c>
      <c r="BL24">
        <v>-1.1100000000000001</v>
      </c>
      <c r="BM24">
        <v>1.07</v>
      </c>
      <c r="BN24">
        <v>-0.39</v>
      </c>
      <c r="BO24">
        <v>-0.65</v>
      </c>
      <c r="BP24">
        <v>1.42</v>
      </c>
      <c r="BQ24">
        <v>-1.05</v>
      </c>
      <c r="BR24">
        <v>1.28</v>
      </c>
      <c r="BS24">
        <v>-0.43</v>
      </c>
      <c r="BT24">
        <v>-1.55</v>
      </c>
      <c r="BU24">
        <v>-0.27</v>
      </c>
      <c r="BV24">
        <v>-0.22</v>
      </c>
      <c r="BW24">
        <v>0.22</v>
      </c>
      <c r="BX24">
        <v>-1.17</v>
      </c>
      <c r="BY24">
        <v>-1.42</v>
      </c>
      <c r="BZ24">
        <v>-1.1299999999999999</v>
      </c>
      <c r="CA24">
        <v>-0.65</v>
      </c>
      <c r="CB24">
        <v>-0.26</v>
      </c>
      <c r="CC24">
        <v>-0.74</v>
      </c>
      <c r="CD24">
        <v>1.17</v>
      </c>
      <c r="CE24">
        <v>0.21</v>
      </c>
      <c r="CF24">
        <v>-0.3</v>
      </c>
      <c r="CG24">
        <v>0</v>
      </c>
      <c r="CH24">
        <v>-0.89</v>
      </c>
      <c r="CI24">
        <v>0</v>
      </c>
      <c r="CJ24">
        <v>1.7</v>
      </c>
      <c r="CK24">
        <v>46</v>
      </c>
      <c r="CL24">
        <v>-0.45</v>
      </c>
      <c r="CM24">
        <v>46</v>
      </c>
      <c r="CN24">
        <v>-0.36</v>
      </c>
      <c r="CO24">
        <v>46</v>
      </c>
      <c r="CP24">
        <v>2.2000000000000002</v>
      </c>
      <c r="CQ24">
        <v>43</v>
      </c>
      <c r="CR24">
        <v>0</v>
      </c>
      <c r="CS24">
        <v>0</v>
      </c>
      <c r="CT24">
        <v>11.7</v>
      </c>
      <c r="CU24">
        <v>45</v>
      </c>
      <c r="CV24">
        <v>0.12</v>
      </c>
      <c r="CW24">
        <v>35</v>
      </c>
      <c r="CX24" t="s">
        <v>6429</v>
      </c>
    </row>
    <row r="25" spans="1:102" x14ac:dyDescent="0.3">
      <c r="A25" t="str">
        <f>HYPERLINK("https://webapp.icbf.com/v2/app/bull-search/view/1476109028","FR4414")</f>
        <v>FR4414</v>
      </c>
      <c r="B25" t="s">
        <v>6276</v>
      </c>
      <c r="C25" t="s">
        <v>6277</v>
      </c>
      <c r="D25" s="1">
        <v>42768</v>
      </c>
      <c r="E25" t="s">
        <v>92</v>
      </c>
      <c r="F25">
        <v>72</v>
      </c>
      <c r="G25" t="s">
        <v>435</v>
      </c>
      <c r="H25">
        <v>298.63</v>
      </c>
      <c r="I25">
        <v>70</v>
      </c>
      <c r="J25">
        <v>116.58</v>
      </c>
      <c r="K25">
        <v>88</v>
      </c>
      <c r="L25">
        <v>147.33000000000001</v>
      </c>
      <c r="M25">
        <v>64</v>
      </c>
      <c r="N25">
        <v>30.44</v>
      </c>
      <c r="O25">
        <v>77</v>
      </c>
      <c r="P25">
        <v>-26.95</v>
      </c>
      <c r="Q25">
        <v>48</v>
      </c>
      <c r="R25">
        <v>-5.05</v>
      </c>
      <c r="S25">
        <v>64</v>
      </c>
      <c r="T25">
        <v>26.55</v>
      </c>
      <c r="U25">
        <v>46</v>
      </c>
      <c r="V25">
        <v>9.73</v>
      </c>
      <c r="W25">
        <v>56</v>
      </c>
      <c r="X25" t="s">
        <v>94</v>
      </c>
      <c r="Y25" t="s">
        <v>2255</v>
      </c>
      <c r="Z25" t="s">
        <v>330</v>
      </c>
      <c r="AA25" t="s">
        <v>2366</v>
      </c>
      <c r="AB25" t="s">
        <v>6278</v>
      </c>
      <c r="AC25">
        <v>0</v>
      </c>
      <c r="AD25">
        <v>0</v>
      </c>
      <c r="AE25">
        <v>88</v>
      </c>
      <c r="AF25">
        <v>175.1</v>
      </c>
      <c r="AG25">
        <v>16.16</v>
      </c>
      <c r="AH25">
        <v>16.79</v>
      </c>
      <c r="AI25">
        <v>0.15</v>
      </c>
      <c r="AJ25">
        <v>0.19</v>
      </c>
      <c r="AK25">
        <v>64</v>
      </c>
      <c r="AL25">
        <v>0</v>
      </c>
      <c r="AM25">
        <v>0</v>
      </c>
      <c r="AN25">
        <v>-7.99</v>
      </c>
      <c r="AO25">
        <v>3.76</v>
      </c>
      <c r="AP25">
        <v>114</v>
      </c>
      <c r="AQ25">
        <v>1</v>
      </c>
      <c r="AR25">
        <v>6.33</v>
      </c>
      <c r="AS25">
        <v>73</v>
      </c>
      <c r="AT25">
        <v>2.13</v>
      </c>
      <c r="AU25">
        <v>78</v>
      </c>
      <c r="AV25">
        <v>-2.57</v>
      </c>
      <c r="AW25">
        <v>93</v>
      </c>
      <c r="AX25">
        <v>-7.0000000000000007E-2</v>
      </c>
      <c r="AY25">
        <v>71</v>
      </c>
      <c r="AZ25">
        <v>7.13</v>
      </c>
      <c r="BA25">
        <v>45</v>
      </c>
      <c r="BB25">
        <v>4.99</v>
      </c>
      <c r="BC25">
        <v>44</v>
      </c>
      <c r="BD25">
        <v>0</v>
      </c>
      <c r="BE25">
        <v>0.04</v>
      </c>
      <c r="BF25">
        <v>0.04</v>
      </c>
      <c r="BG25">
        <v>73</v>
      </c>
      <c r="BH25">
        <v>0.25</v>
      </c>
      <c r="BI25">
        <v>-2.4700000000000002</v>
      </c>
      <c r="BJ25">
        <v>0</v>
      </c>
      <c r="BK25">
        <v>0</v>
      </c>
      <c r="BL25">
        <v>-2.23</v>
      </c>
      <c r="BM25">
        <v>-1.87</v>
      </c>
      <c r="BN25">
        <v>-3.02</v>
      </c>
      <c r="BO25">
        <v>-1.51</v>
      </c>
      <c r="BP25">
        <v>2.0299999999999998</v>
      </c>
      <c r="BQ25">
        <v>-3.2</v>
      </c>
      <c r="BR25">
        <v>0.55000000000000004</v>
      </c>
      <c r="BS25">
        <v>-0.9</v>
      </c>
      <c r="BT25">
        <v>-2.16</v>
      </c>
      <c r="BU25">
        <v>-2.91</v>
      </c>
      <c r="BV25">
        <v>-1.99</v>
      </c>
      <c r="BW25">
        <v>-2.14</v>
      </c>
      <c r="BX25">
        <v>-1.41</v>
      </c>
      <c r="BY25">
        <v>-0.91</v>
      </c>
      <c r="BZ25">
        <v>-1.81</v>
      </c>
      <c r="CA25">
        <v>-2.14</v>
      </c>
      <c r="CB25">
        <v>-2.48</v>
      </c>
      <c r="CC25">
        <v>-1.02</v>
      </c>
      <c r="CD25">
        <v>1.19</v>
      </c>
      <c r="CE25">
        <v>-0.4</v>
      </c>
      <c r="CF25">
        <v>-2.93</v>
      </c>
      <c r="CG25">
        <v>0</v>
      </c>
      <c r="CH25">
        <v>-3.19</v>
      </c>
      <c r="CI25">
        <v>0</v>
      </c>
      <c r="CJ25">
        <v>-13.1</v>
      </c>
      <c r="CK25">
        <v>49</v>
      </c>
      <c r="CL25">
        <v>-0.75</v>
      </c>
      <c r="CM25">
        <v>46</v>
      </c>
      <c r="CN25">
        <v>-0.12</v>
      </c>
      <c r="CO25">
        <v>46</v>
      </c>
      <c r="CP25">
        <v>-16.899999999999999</v>
      </c>
      <c r="CQ25">
        <v>46</v>
      </c>
      <c r="CR25">
        <v>0</v>
      </c>
      <c r="CS25">
        <v>0</v>
      </c>
      <c r="CT25">
        <v>-22.1</v>
      </c>
      <c r="CU25">
        <v>46</v>
      </c>
      <c r="CV25">
        <v>0.01</v>
      </c>
      <c r="CW25">
        <v>36</v>
      </c>
      <c r="CX25" t="s">
        <v>6279</v>
      </c>
    </row>
    <row r="26" spans="1:102" x14ac:dyDescent="0.3">
      <c r="A26" t="str">
        <f>HYPERLINK("https://webapp.icbf.com/v2/app/bull-search/view/1414935578","FR4478")</f>
        <v>FR4478</v>
      </c>
      <c r="B26" t="s">
        <v>6870</v>
      </c>
      <c r="C26" t="s">
        <v>6871</v>
      </c>
      <c r="D26" s="1">
        <v>42551</v>
      </c>
      <c r="E26" t="s">
        <v>92</v>
      </c>
      <c r="F26">
        <v>88</v>
      </c>
      <c r="G26" t="s">
        <v>435</v>
      </c>
      <c r="H26">
        <v>295.05</v>
      </c>
      <c r="I26">
        <v>73</v>
      </c>
      <c r="J26">
        <v>32.86</v>
      </c>
      <c r="K26">
        <v>89</v>
      </c>
      <c r="L26">
        <v>198.65</v>
      </c>
      <c r="M26">
        <v>66</v>
      </c>
      <c r="N26">
        <v>37.950000000000003</v>
      </c>
      <c r="O26">
        <v>81</v>
      </c>
      <c r="P26">
        <v>6.05</v>
      </c>
      <c r="Q26">
        <v>61</v>
      </c>
      <c r="R26">
        <v>5.32</v>
      </c>
      <c r="S26">
        <v>65</v>
      </c>
      <c r="T26">
        <v>10.199999999999999</v>
      </c>
      <c r="U26">
        <v>52</v>
      </c>
      <c r="V26">
        <v>4.0199999999999996</v>
      </c>
      <c r="W26">
        <v>59</v>
      </c>
      <c r="X26" t="s">
        <v>94</v>
      </c>
      <c r="Y26" t="s">
        <v>2384</v>
      </c>
      <c r="Z26" t="s">
        <v>96</v>
      </c>
      <c r="AA26" t="s">
        <v>3121</v>
      </c>
      <c r="AB26" t="s">
        <v>6872</v>
      </c>
      <c r="AC26">
        <v>0</v>
      </c>
      <c r="AD26">
        <v>0</v>
      </c>
      <c r="AE26">
        <v>89</v>
      </c>
      <c r="AF26">
        <v>-232.82</v>
      </c>
      <c r="AG26">
        <v>1.37</v>
      </c>
      <c r="AH26">
        <v>1.54</v>
      </c>
      <c r="AI26">
        <v>0.18</v>
      </c>
      <c r="AJ26">
        <v>0.17</v>
      </c>
      <c r="AK26">
        <v>66</v>
      </c>
      <c r="AL26">
        <v>0</v>
      </c>
      <c r="AM26">
        <v>0</v>
      </c>
      <c r="AN26">
        <v>-11.76</v>
      </c>
      <c r="AO26">
        <v>4.07</v>
      </c>
      <c r="AP26">
        <v>234</v>
      </c>
      <c r="AQ26">
        <v>1</v>
      </c>
      <c r="AR26">
        <v>4.8</v>
      </c>
      <c r="AS26">
        <v>65</v>
      </c>
      <c r="AT26">
        <v>1.94</v>
      </c>
      <c r="AU26">
        <v>87</v>
      </c>
      <c r="AV26">
        <v>-2.57</v>
      </c>
      <c r="AW26">
        <v>96</v>
      </c>
      <c r="AX26">
        <v>0.05</v>
      </c>
      <c r="AY26">
        <v>78</v>
      </c>
      <c r="AZ26">
        <v>5.58</v>
      </c>
      <c r="BA26">
        <v>46</v>
      </c>
      <c r="BB26">
        <v>4.72</v>
      </c>
      <c r="BC26">
        <v>45</v>
      </c>
      <c r="BD26">
        <v>-0.02</v>
      </c>
      <c r="BE26">
        <v>-0.01</v>
      </c>
      <c r="BF26">
        <v>-7.0000000000000007E-2</v>
      </c>
      <c r="BG26">
        <v>75</v>
      </c>
      <c r="BH26">
        <v>7.0000000000000007E-2</v>
      </c>
      <c r="BI26">
        <v>-4.87</v>
      </c>
      <c r="BJ26">
        <v>0</v>
      </c>
      <c r="BK26">
        <v>0</v>
      </c>
      <c r="BL26">
        <v>-0.45</v>
      </c>
      <c r="BM26">
        <v>-1.03</v>
      </c>
      <c r="BN26">
        <v>-2.14</v>
      </c>
      <c r="BO26">
        <v>-1.29</v>
      </c>
      <c r="BP26">
        <v>1.36</v>
      </c>
      <c r="BQ26">
        <v>-0.45</v>
      </c>
      <c r="BR26">
        <v>1.93</v>
      </c>
      <c r="BS26">
        <v>-4.17</v>
      </c>
      <c r="BT26">
        <v>-2.72</v>
      </c>
      <c r="BU26">
        <v>0.75</v>
      </c>
      <c r="BV26">
        <v>-1.55</v>
      </c>
      <c r="BW26">
        <v>-0.22</v>
      </c>
      <c r="BX26">
        <v>2.27</v>
      </c>
      <c r="BY26">
        <v>-0.44</v>
      </c>
      <c r="BZ26">
        <v>-3.46</v>
      </c>
      <c r="CA26">
        <v>-1.35</v>
      </c>
      <c r="CB26">
        <v>7.0000000000000007E-2</v>
      </c>
      <c r="CC26">
        <v>-3.17</v>
      </c>
      <c r="CD26">
        <v>0.88</v>
      </c>
      <c r="CE26">
        <v>-0.89</v>
      </c>
      <c r="CF26">
        <v>-1.62</v>
      </c>
      <c r="CG26">
        <v>0</v>
      </c>
      <c r="CH26">
        <v>0.36</v>
      </c>
      <c r="CI26">
        <v>0</v>
      </c>
      <c r="CJ26">
        <v>1.2</v>
      </c>
      <c r="CK26">
        <v>65</v>
      </c>
      <c r="CL26">
        <v>-0.17</v>
      </c>
      <c r="CM26">
        <v>58</v>
      </c>
      <c r="CN26">
        <v>-0.56999999999999995</v>
      </c>
      <c r="CO26">
        <v>57</v>
      </c>
      <c r="CP26">
        <v>-3.5</v>
      </c>
      <c r="CQ26">
        <v>53</v>
      </c>
      <c r="CR26">
        <v>0</v>
      </c>
      <c r="CS26">
        <v>0</v>
      </c>
      <c r="CT26">
        <v>0</v>
      </c>
      <c r="CU26">
        <v>52</v>
      </c>
      <c r="CV26">
        <v>0.06</v>
      </c>
      <c r="CW26">
        <v>39</v>
      </c>
      <c r="CX26" t="s">
        <v>4532</v>
      </c>
    </row>
    <row r="27" spans="1:102" x14ac:dyDescent="0.3">
      <c r="A27" t="str">
        <f>HYPERLINK("https://webapp.icbf.com/v2/app/bull-search/view/1248016644","FR2424")</f>
        <v>FR2424</v>
      </c>
      <c r="B27" t="s">
        <v>13685</v>
      </c>
      <c r="C27" t="s">
        <v>13686</v>
      </c>
      <c r="D27" s="1">
        <v>42049</v>
      </c>
      <c r="E27" t="s">
        <v>92</v>
      </c>
      <c r="F27">
        <v>66</v>
      </c>
      <c r="G27" t="s">
        <v>93</v>
      </c>
      <c r="H27">
        <v>289.98</v>
      </c>
      <c r="I27">
        <v>84</v>
      </c>
      <c r="J27">
        <v>103.83</v>
      </c>
      <c r="K27">
        <v>96</v>
      </c>
      <c r="L27">
        <v>132.55000000000001</v>
      </c>
      <c r="M27">
        <v>73</v>
      </c>
      <c r="N27">
        <v>44.61</v>
      </c>
      <c r="O27">
        <v>90</v>
      </c>
      <c r="P27">
        <v>-16.100000000000001</v>
      </c>
      <c r="Q27">
        <v>90</v>
      </c>
      <c r="R27">
        <v>4.25</v>
      </c>
      <c r="S27">
        <v>75</v>
      </c>
      <c r="T27">
        <v>15.53</v>
      </c>
      <c r="U27">
        <v>80</v>
      </c>
      <c r="V27">
        <v>5.31</v>
      </c>
      <c r="W27">
        <v>71</v>
      </c>
      <c r="X27" t="s">
        <v>276</v>
      </c>
      <c r="Y27" t="s">
        <v>436</v>
      </c>
      <c r="Z27" t="s">
        <v>330</v>
      </c>
      <c r="AA27" t="s">
        <v>2172</v>
      </c>
      <c r="AB27" t="s">
        <v>13687</v>
      </c>
      <c r="AC27">
        <v>146</v>
      </c>
      <c r="AD27">
        <v>91</v>
      </c>
      <c r="AE27">
        <v>96</v>
      </c>
      <c r="AF27">
        <v>72.11</v>
      </c>
      <c r="AG27">
        <v>17.53</v>
      </c>
      <c r="AH27">
        <v>12.56</v>
      </c>
      <c r="AI27">
        <v>0.25</v>
      </c>
      <c r="AJ27">
        <v>0.17</v>
      </c>
      <c r="AK27">
        <v>73</v>
      </c>
      <c r="AL27">
        <v>0</v>
      </c>
      <c r="AM27">
        <v>0</v>
      </c>
      <c r="AN27">
        <v>-8.07</v>
      </c>
      <c r="AO27">
        <v>2.4900000000000002</v>
      </c>
      <c r="AP27">
        <v>2036</v>
      </c>
      <c r="AQ27">
        <v>4</v>
      </c>
      <c r="AR27">
        <v>5.14</v>
      </c>
      <c r="AS27">
        <v>93</v>
      </c>
      <c r="AT27">
        <v>2.06</v>
      </c>
      <c r="AU27">
        <v>97</v>
      </c>
      <c r="AV27">
        <v>-3.21</v>
      </c>
      <c r="AW27">
        <v>99</v>
      </c>
      <c r="AX27">
        <v>-0.6</v>
      </c>
      <c r="AY27">
        <v>96</v>
      </c>
      <c r="AZ27">
        <v>5.94</v>
      </c>
      <c r="BA27">
        <v>71</v>
      </c>
      <c r="BB27">
        <v>4.33</v>
      </c>
      <c r="BC27">
        <v>45</v>
      </c>
      <c r="BD27">
        <v>-7.0000000000000007E-2</v>
      </c>
      <c r="BE27">
        <v>0.01</v>
      </c>
      <c r="BF27">
        <v>0</v>
      </c>
      <c r="BG27">
        <v>87</v>
      </c>
      <c r="BH27">
        <v>0.05</v>
      </c>
      <c r="BI27">
        <v>-11.33</v>
      </c>
      <c r="BJ27">
        <v>0</v>
      </c>
      <c r="BK27">
        <v>0</v>
      </c>
      <c r="BL27">
        <v>-1.78</v>
      </c>
      <c r="BM27">
        <v>-0.9</v>
      </c>
      <c r="BN27">
        <v>-2.4500000000000002</v>
      </c>
      <c r="BO27">
        <v>-1.67</v>
      </c>
      <c r="BP27">
        <v>-0.87</v>
      </c>
      <c r="BQ27">
        <v>-2.57</v>
      </c>
      <c r="BR27">
        <v>1.37</v>
      </c>
      <c r="BS27">
        <v>-0.81</v>
      </c>
      <c r="BT27">
        <v>-1.26</v>
      </c>
      <c r="BU27">
        <v>-1.66</v>
      </c>
      <c r="BV27">
        <v>-2.64</v>
      </c>
      <c r="BW27">
        <v>-1.39</v>
      </c>
      <c r="BX27">
        <v>-0.65</v>
      </c>
      <c r="BY27">
        <v>-2.17</v>
      </c>
      <c r="BZ27">
        <v>1.62</v>
      </c>
      <c r="CA27">
        <v>-1.23</v>
      </c>
      <c r="CB27">
        <v>-1.37</v>
      </c>
      <c r="CC27">
        <v>-0.56000000000000005</v>
      </c>
      <c r="CD27">
        <v>0.51</v>
      </c>
      <c r="CE27">
        <v>-1.56</v>
      </c>
      <c r="CF27">
        <v>-2.4</v>
      </c>
      <c r="CG27">
        <v>0</v>
      </c>
      <c r="CH27">
        <v>0.2</v>
      </c>
      <c r="CI27">
        <v>0</v>
      </c>
      <c r="CJ27">
        <v>-7.9</v>
      </c>
      <c r="CK27">
        <v>93</v>
      </c>
      <c r="CL27">
        <v>-0.62</v>
      </c>
      <c r="CM27">
        <v>91</v>
      </c>
      <c r="CN27">
        <v>-0.22</v>
      </c>
      <c r="CO27">
        <v>91</v>
      </c>
      <c r="CP27">
        <v>-9.1999999999999993</v>
      </c>
      <c r="CQ27">
        <v>69</v>
      </c>
      <c r="CR27">
        <v>0</v>
      </c>
      <c r="CS27">
        <v>0</v>
      </c>
      <c r="CT27">
        <v>-7.2</v>
      </c>
      <c r="CU27">
        <v>80</v>
      </c>
      <c r="CV27">
        <v>0.1</v>
      </c>
      <c r="CW27">
        <v>45</v>
      </c>
      <c r="CX27" t="s">
        <v>6199</v>
      </c>
    </row>
    <row r="28" spans="1:102" x14ac:dyDescent="0.3">
      <c r="A28" t="str">
        <f>HYPERLINK("https://webapp.icbf.com/v2/app/bull-search/view/1470269824","FR4394")</f>
        <v>FR4394</v>
      </c>
      <c r="B28" t="s">
        <v>14569</v>
      </c>
      <c r="C28" t="s">
        <v>14570</v>
      </c>
      <c r="D28" s="1">
        <v>42747</v>
      </c>
      <c r="E28" t="s">
        <v>92</v>
      </c>
      <c r="F28">
        <v>81</v>
      </c>
      <c r="G28" t="s">
        <v>435</v>
      </c>
      <c r="H28">
        <v>289.66000000000003</v>
      </c>
      <c r="I28">
        <v>72</v>
      </c>
      <c r="J28">
        <v>69.7</v>
      </c>
      <c r="K28">
        <v>88</v>
      </c>
      <c r="L28">
        <v>164.02</v>
      </c>
      <c r="M28">
        <v>64</v>
      </c>
      <c r="N28">
        <v>52.77</v>
      </c>
      <c r="O28">
        <v>81</v>
      </c>
      <c r="P28">
        <v>-34.229999999999997</v>
      </c>
      <c r="Q28">
        <v>61</v>
      </c>
      <c r="R28">
        <v>18.309999999999999</v>
      </c>
      <c r="S28">
        <v>63</v>
      </c>
      <c r="T28">
        <v>18.41</v>
      </c>
      <c r="U28">
        <v>49</v>
      </c>
      <c r="V28">
        <v>0.68</v>
      </c>
      <c r="W28">
        <v>55</v>
      </c>
      <c r="X28" t="s">
        <v>102</v>
      </c>
      <c r="Y28" t="s">
        <v>2255</v>
      </c>
      <c r="Z28" t="s">
        <v>96</v>
      </c>
      <c r="AA28" t="s">
        <v>437</v>
      </c>
      <c r="AB28" t="s">
        <v>14571</v>
      </c>
      <c r="AC28">
        <v>0</v>
      </c>
      <c r="AD28">
        <v>0</v>
      </c>
      <c r="AE28">
        <v>88</v>
      </c>
      <c r="AF28">
        <v>-173.37</v>
      </c>
      <c r="AG28">
        <v>16.309999999999999</v>
      </c>
      <c r="AH28">
        <v>3.43</v>
      </c>
      <c r="AI28">
        <v>0.41</v>
      </c>
      <c r="AJ28">
        <v>0.17</v>
      </c>
      <c r="AK28">
        <v>64</v>
      </c>
      <c r="AL28">
        <v>0</v>
      </c>
      <c r="AM28">
        <v>0</v>
      </c>
      <c r="AN28">
        <v>-8.99</v>
      </c>
      <c r="AO28">
        <v>4.09</v>
      </c>
      <c r="AP28">
        <v>246</v>
      </c>
      <c r="AQ28">
        <v>0</v>
      </c>
      <c r="AR28">
        <v>4.54</v>
      </c>
      <c r="AS28">
        <v>67</v>
      </c>
      <c r="AT28">
        <v>1.78</v>
      </c>
      <c r="AU28">
        <v>87</v>
      </c>
      <c r="AV28">
        <v>-4.57</v>
      </c>
      <c r="AW28">
        <v>96</v>
      </c>
      <c r="AX28">
        <v>0.91</v>
      </c>
      <c r="AY28">
        <v>78</v>
      </c>
      <c r="AZ28">
        <v>5.65</v>
      </c>
      <c r="BA28">
        <v>44</v>
      </c>
      <c r="BB28">
        <v>4.7699999999999996</v>
      </c>
      <c r="BC28">
        <v>44</v>
      </c>
      <c r="BD28">
        <v>-0.06</v>
      </c>
      <c r="BE28">
        <v>-0.09</v>
      </c>
      <c r="BF28">
        <v>-0.15</v>
      </c>
      <c r="BG28">
        <v>73</v>
      </c>
      <c r="BH28">
        <v>0.16</v>
      </c>
      <c r="BI28">
        <v>16.3</v>
      </c>
      <c r="BJ28">
        <v>0</v>
      </c>
      <c r="BK28">
        <v>0</v>
      </c>
      <c r="BL28">
        <v>-0.99</v>
      </c>
      <c r="BM28">
        <v>-0.37</v>
      </c>
      <c r="BN28">
        <v>-1.05</v>
      </c>
      <c r="BO28">
        <v>-0.59</v>
      </c>
      <c r="BP28">
        <v>1.33</v>
      </c>
      <c r="BQ28">
        <v>0.87</v>
      </c>
      <c r="BR28">
        <v>0.06</v>
      </c>
      <c r="BS28">
        <v>0.31</v>
      </c>
      <c r="BT28">
        <v>-0.89</v>
      </c>
      <c r="BU28">
        <v>-0.32</v>
      </c>
      <c r="BV28">
        <v>0.12</v>
      </c>
      <c r="BW28">
        <v>-0.19</v>
      </c>
      <c r="BX28">
        <v>0.13</v>
      </c>
      <c r="BY28">
        <v>0.38</v>
      </c>
      <c r="BZ28">
        <v>-3.19</v>
      </c>
      <c r="CA28">
        <v>0.04</v>
      </c>
      <c r="CB28">
        <v>-0.21</v>
      </c>
      <c r="CC28">
        <v>0.41</v>
      </c>
      <c r="CD28">
        <v>0.54</v>
      </c>
      <c r="CE28">
        <v>-0.8</v>
      </c>
      <c r="CF28">
        <v>-0.91</v>
      </c>
      <c r="CG28">
        <v>0</v>
      </c>
      <c r="CH28">
        <v>1.2</v>
      </c>
      <c r="CI28">
        <v>0</v>
      </c>
      <c r="CJ28">
        <v>-19.8</v>
      </c>
      <c r="CK28">
        <v>64</v>
      </c>
      <c r="CL28">
        <v>-0.76</v>
      </c>
      <c r="CM28">
        <v>58</v>
      </c>
      <c r="CN28">
        <v>-0.27</v>
      </c>
      <c r="CO28">
        <v>57</v>
      </c>
      <c r="CP28">
        <v>-14.8</v>
      </c>
      <c r="CQ28">
        <v>51</v>
      </c>
      <c r="CR28">
        <v>0</v>
      </c>
      <c r="CS28">
        <v>0</v>
      </c>
      <c r="CT28">
        <v>-11.1</v>
      </c>
      <c r="CU28">
        <v>49</v>
      </c>
      <c r="CV28">
        <v>-0.04</v>
      </c>
      <c r="CW28">
        <v>38</v>
      </c>
      <c r="CX28" t="s">
        <v>3067</v>
      </c>
    </row>
    <row r="29" spans="1:102" x14ac:dyDescent="0.3">
      <c r="A29" t="str">
        <f>HYPERLINK("https://webapp.icbf.com/v2/app/bull-search/view/1478890625","FR4571")</f>
        <v>FR4571</v>
      </c>
      <c r="B29" t="s">
        <v>13993</v>
      </c>
      <c r="C29" t="s">
        <v>13994</v>
      </c>
      <c r="D29" s="1">
        <v>42782</v>
      </c>
      <c r="E29" t="s">
        <v>92</v>
      </c>
      <c r="F29">
        <v>84</v>
      </c>
      <c r="G29" t="s">
        <v>435</v>
      </c>
      <c r="H29">
        <v>289.49</v>
      </c>
      <c r="I29">
        <v>70</v>
      </c>
      <c r="J29">
        <v>53.24</v>
      </c>
      <c r="K29">
        <v>89</v>
      </c>
      <c r="L29">
        <v>185.41</v>
      </c>
      <c r="M29">
        <v>62</v>
      </c>
      <c r="N29">
        <v>48.26</v>
      </c>
      <c r="O29">
        <v>80</v>
      </c>
      <c r="P29">
        <v>-14.59</v>
      </c>
      <c r="Q29">
        <v>49</v>
      </c>
      <c r="R29">
        <v>7.03</v>
      </c>
      <c r="S29">
        <v>62</v>
      </c>
      <c r="T29">
        <v>4.28</v>
      </c>
      <c r="U29">
        <v>45</v>
      </c>
      <c r="V29">
        <v>5.86</v>
      </c>
      <c r="W29">
        <v>56</v>
      </c>
      <c r="X29" t="s">
        <v>276</v>
      </c>
      <c r="Y29" t="s">
        <v>2384</v>
      </c>
      <c r="Z29" t="s">
        <v>330</v>
      </c>
      <c r="AA29" t="s">
        <v>2238</v>
      </c>
      <c r="AB29" t="s">
        <v>13995</v>
      </c>
      <c r="AC29">
        <v>0</v>
      </c>
      <c r="AD29">
        <v>0</v>
      </c>
      <c r="AE29">
        <v>89</v>
      </c>
      <c r="AF29">
        <v>-202</v>
      </c>
      <c r="AG29">
        <v>12.05</v>
      </c>
      <c r="AH29">
        <v>1.7</v>
      </c>
      <c r="AI29">
        <v>0.35</v>
      </c>
      <c r="AJ29">
        <v>0.16</v>
      </c>
      <c r="AK29">
        <v>62</v>
      </c>
      <c r="AL29">
        <v>0</v>
      </c>
      <c r="AM29">
        <v>0</v>
      </c>
      <c r="AN29">
        <v>-9.82</v>
      </c>
      <c r="AO29">
        <v>4.97</v>
      </c>
      <c r="AP29">
        <v>250</v>
      </c>
      <c r="AQ29">
        <v>1</v>
      </c>
      <c r="AR29">
        <v>3.45</v>
      </c>
      <c r="AS29">
        <v>60</v>
      </c>
      <c r="AT29">
        <v>1.72</v>
      </c>
      <c r="AU29">
        <v>88</v>
      </c>
      <c r="AV29">
        <v>-3.85</v>
      </c>
      <c r="AW29">
        <v>97</v>
      </c>
      <c r="AX29">
        <v>-0.54</v>
      </c>
      <c r="AY29">
        <v>79</v>
      </c>
      <c r="AZ29">
        <v>6.61</v>
      </c>
      <c r="BA29">
        <v>42</v>
      </c>
      <c r="BB29">
        <v>5.41</v>
      </c>
      <c r="BC29">
        <v>35</v>
      </c>
      <c r="BD29">
        <v>-0.04</v>
      </c>
      <c r="BE29">
        <v>-0.05</v>
      </c>
      <c r="BF29">
        <v>0</v>
      </c>
      <c r="BG29">
        <v>73</v>
      </c>
      <c r="BH29">
        <v>0.09</v>
      </c>
      <c r="BI29">
        <v>-8.49</v>
      </c>
      <c r="BJ29">
        <v>0</v>
      </c>
      <c r="BK29">
        <v>0</v>
      </c>
      <c r="BL29">
        <v>-1.26</v>
      </c>
      <c r="BM29">
        <v>0.56999999999999995</v>
      </c>
      <c r="BN29">
        <v>-1.1399999999999999</v>
      </c>
      <c r="BO29">
        <v>-1.35</v>
      </c>
      <c r="BP29">
        <v>1.55</v>
      </c>
      <c r="BQ29">
        <v>-0.61</v>
      </c>
      <c r="BR29">
        <v>0.86</v>
      </c>
      <c r="BS29">
        <v>0.45</v>
      </c>
      <c r="BT29">
        <v>-1.58</v>
      </c>
      <c r="BU29">
        <v>0.65</v>
      </c>
      <c r="BV29">
        <v>-0.21</v>
      </c>
      <c r="BW29">
        <v>-1.08</v>
      </c>
      <c r="BX29">
        <v>0.88</v>
      </c>
      <c r="BY29">
        <v>-0.74</v>
      </c>
      <c r="BZ29">
        <v>-2.15</v>
      </c>
      <c r="CA29">
        <v>-0.42</v>
      </c>
      <c r="CB29">
        <v>-0.14000000000000001</v>
      </c>
      <c r="CC29">
        <v>-0.4</v>
      </c>
      <c r="CD29">
        <v>1.25</v>
      </c>
      <c r="CE29">
        <v>-0.93</v>
      </c>
      <c r="CF29">
        <v>-1.0900000000000001</v>
      </c>
      <c r="CG29">
        <v>0</v>
      </c>
      <c r="CH29">
        <v>1.18</v>
      </c>
      <c r="CI29">
        <v>0</v>
      </c>
      <c r="CJ29">
        <v>-6.2</v>
      </c>
      <c r="CK29">
        <v>52</v>
      </c>
      <c r="CL29">
        <v>-0.71</v>
      </c>
      <c r="CM29">
        <v>45</v>
      </c>
      <c r="CN29">
        <v>-0.15</v>
      </c>
      <c r="CO29">
        <v>45</v>
      </c>
      <c r="CP29">
        <v>-3.1</v>
      </c>
      <c r="CQ29">
        <v>44</v>
      </c>
      <c r="CR29">
        <v>0</v>
      </c>
      <c r="CS29">
        <v>0</v>
      </c>
      <c r="CT29">
        <v>8</v>
      </c>
      <c r="CU29">
        <v>45</v>
      </c>
      <c r="CV29">
        <v>0.12</v>
      </c>
      <c r="CW29">
        <v>35</v>
      </c>
      <c r="CX29" t="s">
        <v>9167</v>
      </c>
    </row>
    <row r="30" spans="1:102" x14ac:dyDescent="0.3">
      <c r="A30" t="str">
        <f>HYPERLINK("https://webapp.icbf.com/v2/app/bull-search/view/1477174860","FR4490")</f>
        <v>FR4490</v>
      </c>
      <c r="B30" t="s">
        <v>13862</v>
      </c>
      <c r="C30" t="s">
        <v>13863</v>
      </c>
      <c r="D30" s="1">
        <v>42778</v>
      </c>
      <c r="E30" t="s">
        <v>92</v>
      </c>
      <c r="F30">
        <v>69</v>
      </c>
      <c r="G30" t="s">
        <v>435</v>
      </c>
      <c r="H30">
        <v>289.10000000000002</v>
      </c>
      <c r="I30">
        <v>71</v>
      </c>
      <c r="J30">
        <v>64.31</v>
      </c>
      <c r="K30">
        <v>88</v>
      </c>
      <c r="L30">
        <v>194.2</v>
      </c>
      <c r="M30">
        <v>60</v>
      </c>
      <c r="N30">
        <v>35.54</v>
      </c>
      <c r="O30">
        <v>82</v>
      </c>
      <c r="P30">
        <v>-23.07</v>
      </c>
      <c r="Q30">
        <v>62</v>
      </c>
      <c r="R30">
        <v>-9.83</v>
      </c>
      <c r="S30">
        <v>60</v>
      </c>
      <c r="T30">
        <v>18.41</v>
      </c>
      <c r="U30">
        <v>52</v>
      </c>
      <c r="V30">
        <v>9.5399999999999991</v>
      </c>
      <c r="W30">
        <v>56</v>
      </c>
      <c r="X30" t="s">
        <v>234</v>
      </c>
      <c r="Y30" t="s">
        <v>2384</v>
      </c>
      <c r="Z30" t="s">
        <v>330</v>
      </c>
      <c r="AA30" t="s">
        <v>13043</v>
      </c>
      <c r="AB30" t="s">
        <v>13864</v>
      </c>
      <c r="AC30">
        <v>0</v>
      </c>
      <c r="AD30">
        <v>0</v>
      </c>
      <c r="AE30">
        <v>88</v>
      </c>
      <c r="AF30">
        <v>-254.33</v>
      </c>
      <c r="AG30">
        <v>11.49</v>
      </c>
      <c r="AH30">
        <v>2.98</v>
      </c>
      <c r="AI30">
        <v>0.38</v>
      </c>
      <c r="AJ30">
        <v>0.21</v>
      </c>
      <c r="AK30">
        <v>60</v>
      </c>
      <c r="AL30">
        <v>0</v>
      </c>
      <c r="AM30">
        <v>0</v>
      </c>
      <c r="AN30">
        <v>-11.14</v>
      </c>
      <c r="AO30">
        <v>4.34</v>
      </c>
      <c r="AP30">
        <v>423</v>
      </c>
      <c r="AQ30">
        <v>0</v>
      </c>
      <c r="AR30">
        <v>6.32</v>
      </c>
      <c r="AS30">
        <v>73</v>
      </c>
      <c r="AT30">
        <v>2.4500000000000002</v>
      </c>
      <c r="AU30">
        <v>91</v>
      </c>
      <c r="AV30">
        <v>-3.45</v>
      </c>
      <c r="AW30">
        <v>98</v>
      </c>
      <c r="AX30">
        <v>-0.55000000000000004</v>
      </c>
      <c r="AY30">
        <v>85</v>
      </c>
      <c r="AZ30">
        <v>6.19</v>
      </c>
      <c r="BA30">
        <v>40</v>
      </c>
      <c r="BB30">
        <v>5.44</v>
      </c>
      <c r="BC30">
        <v>34</v>
      </c>
      <c r="BD30">
        <v>0.03</v>
      </c>
      <c r="BE30">
        <v>0.04</v>
      </c>
      <c r="BF30">
        <v>0.1</v>
      </c>
      <c r="BG30">
        <v>71</v>
      </c>
      <c r="BH30">
        <v>0.21</v>
      </c>
      <c r="BI30">
        <v>-6.47</v>
      </c>
      <c r="BJ30">
        <v>0</v>
      </c>
      <c r="BK30">
        <v>0</v>
      </c>
      <c r="BL30">
        <v>-1.68</v>
      </c>
      <c r="BM30">
        <v>0.55000000000000004</v>
      </c>
      <c r="BN30">
        <v>-0.53</v>
      </c>
      <c r="BO30">
        <v>-0.65</v>
      </c>
      <c r="BP30">
        <v>-1.1499999999999999</v>
      </c>
      <c r="BQ30">
        <v>-1.1200000000000001</v>
      </c>
      <c r="BR30">
        <v>1.56</v>
      </c>
      <c r="BS30">
        <v>0.18</v>
      </c>
      <c r="BT30">
        <v>-1.89</v>
      </c>
      <c r="BU30">
        <v>-1.21</v>
      </c>
      <c r="BV30">
        <v>-1.42</v>
      </c>
      <c r="BW30">
        <v>-1.28</v>
      </c>
      <c r="BX30">
        <v>-1.02</v>
      </c>
      <c r="BY30">
        <v>-0.95</v>
      </c>
      <c r="BZ30">
        <v>0.53</v>
      </c>
      <c r="CA30">
        <v>-1.72</v>
      </c>
      <c r="CB30">
        <v>-1.19</v>
      </c>
      <c r="CC30">
        <v>-0.13</v>
      </c>
      <c r="CD30">
        <v>0.88</v>
      </c>
      <c r="CE30">
        <v>-0.74</v>
      </c>
      <c r="CF30">
        <v>-0.63</v>
      </c>
      <c r="CG30">
        <v>0</v>
      </c>
      <c r="CH30">
        <v>-1.79</v>
      </c>
      <c r="CI30">
        <v>0</v>
      </c>
      <c r="CJ30">
        <v>-11.8</v>
      </c>
      <c r="CK30">
        <v>67</v>
      </c>
      <c r="CL30">
        <v>-0.37</v>
      </c>
      <c r="CM30">
        <v>57</v>
      </c>
      <c r="CN30">
        <v>7.0000000000000007E-2</v>
      </c>
      <c r="CO30">
        <v>56</v>
      </c>
      <c r="CP30">
        <v>-14.3</v>
      </c>
      <c r="CQ30">
        <v>51</v>
      </c>
      <c r="CR30">
        <v>0</v>
      </c>
      <c r="CS30">
        <v>0</v>
      </c>
      <c r="CT30">
        <v>-11.1</v>
      </c>
      <c r="CU30">
        <v>52</v>
      </c>
      <c r="CV30">
        <v>-7.0000000000000007E-2</v>
      </c>
      <c r="CW30">
        <v>38</v>
      </c>
      <c r="CX30" t="s">
        <v>5944</v>
      </c>
    </row>
    <row r="31" spans="1:102" x14ac:dyDescent="0.3">
      <c r="A31" t="str">
        <f>HYPERLINK("https://webapp.icbf.com/v2/app/bull-search/view/1474301652","FR4553")</f>
        <v>FR4553</v>
      </c>
      <c r="B31" t="s">
        <v>6345</v>
      </c>
      <c r="C31" t="s">
        <v>6346</v>
      </c>
      <c r="D31" s="1">
        <v>42756</v>
      </c>
      <c r="E31" t="s">
        <v>92</v>
      </c>
      <c r="F31">
        <v>69</v>
      </c>
      <c r="G31" t="s">
        <v>435</v>
      </c>
      <c r="H31">
        <v>286.91000000000003</v>
      </c>
      <c r="I31">
        <v>71</v>
      </c>
      <c r="J31">
        <v>72.87</v>
      </c>
      <c r="K31">
        <v>89</v>
      </c>
      <c r="L31">
        <v>153.04</v>
      </c>
      <c r="M31">
        <v>64</v>
      </c>
      <c r="N31">
        <v>55.23</v>
      </c>
      <c r="O31">
        <v>79</v>
      </c>
      <c r="P31">
        <v>-6.56</v>
      </c>
      <c r="Q31">
        <v>49</v>
      </c>
      <c r="R31">
        <v>-4.22</v>
      </c>
      <c r="S31">
        <v>64</v>
      </c>
      <c r="T31">
        <v>8.65</v>
      </c>
      <c r="U31">
        <v>47</v>
      </c>
      <c r="V31">
        <v>7.9</v>
      </c>
      <c r="W31">
        <v>58</v>
      </c>
      <c r="X31" t="s">
        <v>276</v>
      </c>
      <c r="Y31" t="s">
        <v>2384</v>
      </c>
      <c r="Z31" t="s">
        <v>330</v>
      </c>
      <c r="AA31" t="s">
        <v>6204</v>
      </c>
      <c r="AB31" t="s">
        <v>6347</v>
      </c>
      <c r="AC31">
        <v>0</v>
      </c>
      <c r="AD31">
        <v>0</v>
      </c>
      <c r="AE31">
        <v>89</v>
      </c>
      <c r="AF31">
        <v>-61.36</v>
      </c>
      <c r="AG31">
        <v>14.4</v>
      </c>
      <c r="AH31">
        <v>6.36</v>
      </c>
      <c r="AI31">
        <v>0.28999999999999998</v>
      </c>
      <c r="AJ31">
        <v>0.15</v>
      </c>
      <c r="AK31">
        <v>64</v>
      </c>
      <c r="AL31">
        <v>0</v>
      </c>
      <c r="AM31">
        <v>0</v>
      </c>
      <c r="AN31">
        <v>-8.69</v>
      </c>
      <c r="AO31">
        <v>3.51</v>
      </c>
      <c r="AP31">
        <v>168</v>
      </c>
      <c r="AQ31">
        <v>0</v>
      </c>
      <c r="AR31">
        <v>4.2699999999999996</v>
      </c>
      <c r="AS31">
        <v>59</v>
      </c>
      <c r="AT31">
        <v>1.78</v>
      </c>
      <c r="AU31">
        <v>85</v>
      </c>
      <c r="AV31">
        <v>-4.03</v>
      </c>
      <c r="AW31">
        <v>95</v>
      </c>
      <c r="AX31">
        <v>-0.77</v>
      </c>
      <c r="AY31">
        <v>75</v>
      </c>
      <c r="AZ31">
        <v>6.23</v>
      </c>
      <c r="BA31">
        <v>45</v>
      </c>
      <c r="BB31">
        <v>4.16</v>
      </c>
      <c r="BC31">
        <v>39</v>
      </c>
      <c r="BD31">
        <v>0.03</v>
      </c>
      <c r="BE31">
        <v>0.03</v>
      </c>
      <c r="BF31">
        <v>-0.01</v>
      </c>
      <c r="BG31">
        <v>74</v>
      </c>
      <c r="BH31">
        <v>7.0000000000000007E-2</v>
      </c>
      <c r="BI31">
        <v>-17.39</v>
      </c>
      <c r="BJ31">
        <v>0</v>
      </c>
      <c r="BK31">
        <v>0</v>
      </c>
      <c r="BL31">
        <v>-1.91</v>
      </c>
      <c r="BM31">
        <v>1.47</v>
      </c>
      <c r="BN31">
        <v>-1.44</v>
      </c>
      <c r="BO31">
        <v>-2.0299999999999998</v>
      </c>
      <c r="BP31">
        <v>0.71</v>
      </c>
      <c r="BQ31">
        <v>-1.89</v>
      </c>
      <c r="BR31">
        <v>-1.22</v>
      </c>
      <c r="BS31">
        <v>-0.54</v>
      </c>
      <c r="BT31">
        <v>-0.02</v>
      </c>
      <c r="BU31">
        <v>-0.31</v>
      </c>
      <c r="BV31">
        <v>-1.47</v>
      </c>
      <c r="BW31">
        <v>-1.0900000000000001</v>
      </c>
      <c r="BX31">
        <v>-1.06</v>
      </c>
      <c r="BY31">
        <v>-1.41</v>
      </c>
      <c r="BZ31">
        <v>-1.74</v>
      </c>
      <c r="CA31">
        <v>-0.78</v>
      </c>
      <c r="CB31">
        <v>-0.65</v>
      </c>
      <c r="CC31">
        <v>-0.11</v>
      </c>
      <c r="CD31">
        <v>1.88</v>
      </c>
      <c r="CE31">
        <v>-1.17</v>
      </c>
      <c r="CF31">
        <v>-0.68</v>
      </c>
      <c r="CG31">
        <v>0</v>
      </c>
      <c r="CH31">
        <v>-0.22</v>
      </c>
      <c r="CI31">
        <v>0</v>
      </c>
      <c r="CJ31">
        <v>0.1</v>
      </c>
      <c r="CK31">
        <v>52</v>
      </c>
      <c r="CL31">
        <v>-0.53</v>
      </c>
      <c r="CM31">
        <v>46</v>
      </c>
      <c r="CN31">
        <v>0.05</v>
      </c>
      <c r="CO31">
        <v>46</v>
      </c>
      <c r="CP31">
        <v>-4.3</v>
      </c>
      <c r="CQ31">
        <v>46</v>
      </c>
      <c r="CR31">
        <v>0</v>
      </c>
      <c r="CS31">
        <v>0</v>
      </c>
      <c r="CT31">
        <v>2.1</v>
      </c>
      <c r="CU31">
        <v>47</v>
      </c>
      <c r="CV31">
        <v>0.14000000000000001</v>
      </c>
      <c r="CW31">
        <v>36</v>
      </c>
      <c r="CX31" t="s">
        <v>6348</v>
      </c>
    </row>
    <row r="32" spans="1:102" x14ac:dyDescent="0.3">
      <c r="A32" t="str">
        <f>HYPERLINK("https://webapp.icbf.com/v2/app/bull-search/view/1477144490","FR4549")</f>
        <v>FR4549</v>
      </c>
      <c r="B32" t="s">
        <v>6339</v>
      </c>
      <c r="C32" t="s">
        <v>6340</v>
      </c>
      <c r="D32" s="1">
        <v>42779</v>
      </c>
      <c r="E32" t="s">
        <v>92</v>
      </c>
      <c r="F32">
        <v>81</v>
      </c>
      <c r="G32" t="s">
        <v>435</v>
      </c>
      <c r="H32">
        <v>286.60000000000002</v>
      </c>
      <c r="I32">
        <v>71</v>
      </c>
      <c r="J32">
        <v>98.51</v>
      </c>
      <c r="K32">
        <v>91</v>
      </c>
      <c r="L32">
        <v>117.89</v>
      </c>
      <c r="M32">
        <v>68</v>
      </c>
      <c r="N32">
        <v>55.1</v>
      </c>
      <c r="O32">
        <v>60</v>
      </c>
      <c r="P32">
        <v>-3</v>
      </c>
      <c r="Q32">
        <v>47</v>
      </c>
      <c r="R32">
        <v>2.99</v>
      </c>
      <c r="S32">
        <v>69</v>
      </c>
      <c r="T32">
        <v>5.91</v>
      </c>
      <c r="U32">
        <v>46</v>
      </c>
      <c r="V32">
        <v>9.1999999999999993</v>
      </c>
      <c r="W32">
        <v>64</v>
      </c>
      <c r="X32" t="s">
        <v>94</v>
      </c>
      <c r="Y32" t="s">
        <v>2384</v>
      </c>
      <c r="Z32" t="s">
        <v>96</v>
      </c>
      <c r="AA32" t="s">
        <v>2372</v>
      </c>
      <c r="AB32" t="s">
        <v>6341</v>
      </c>
      <c r="AC32">
        <v>0</v>
      </c>
      <c r="AD32">
        <v>0</v>
      </c>
      <c r="AE32">
        <v>91</v>
      </c>
      <c r="AF32">
        <v>293.69</v>
      </c>
      <c r="AG32">
        <v>14.98</v>
      </c>
      <c r="AH32">
        <v>15.95</v>
      </c>
      <c r="AI32">
        <v>0.05</v>
      </c>
      <c r="AJ32">
        <v>0.1</v>
      </c>
      <c r="AK32">
        <v>68</v>
      </c>
      <c r="AL32">
        <v>0</v>
      </c>
      <c r="AM32">
        <v>0</v>
      </c>
      <c r="AN32">
        <v>-4.9800000000000004</v>
      </c>
      <c r="AO32">
        <v>4.4400000000000004</v>
      </c>
      <c r="AP32">
        <v>3</v>
      </c>
      <c r="AQ32">
        <v>0</v>
      </c>
      <c r="AR32">
        <v>5.85</v>
      </c>
      <c r="AS32">
        <v>58</v>
      </c>
      <c r="AT32">
        <v>1.62</v>
      </c>
      <c r="AU32">
        <v>66</v>
      </c>
      <c r="AV32">
        <v>-4.57</v>
      </c>
      <c r="AW32">
        <v>65</v>
      </c>
      <c r="AX32">
        <v>-0.56000000000000005</v>
      </c>
      <c r="AY32">
        <v>49</v>
      </c>
      <c r="AZ32">
        <v>5.66</v>
      </c>
      <c r="BA32">
        <v>48</v>
      </c>
      <c r="BB32">
        <v>4.78</v>
      </c>
      <c r="BC32">
        <v>48</v>
      </c>
      <c r="BD32">
        <v>-0.01</v>
      </c>
      <c r="BE32">
        <v>0.02</v>
      </c>
      <c r="BF32">
        <v>-0.09</v>
      </c>
      <c r="BG32">
        <v>77</v>
      </c>
      <c r="BH32">
        <v>0.06</v>
      </c>
      <c r="BI32">
        <v>-22.74</v>
      </c>
      <c r="BJ32">
        <v>0</v>
      </c>
      <c r="BK32">
        <v>0</v>
      </c>
      <c r="BL32">
        <v>-0.04</v>
      </c>
      <c r="BM32">
        <v>-0.5</v>
      </c>
      <c r="BN32">
        <v>-1.37</v>
      </c>
      <c r="BO32">
        <v>-0.47</v>
      </c>
      <c r="BP32">
        <v>1</v>
      </c>
      <c r="BQ32">
        <v>-1.74</v>
      </c>
      <c r="BR32">
        <v>0.96</v>
      </c>
      <c r="BS32">
        <v>-0.35</v>
      </c>
      <c r="BT32">
        <v>0.41</v>
      </c>
      <c r="BU32">
        <v>0.32</v>
      </c>
      <c r="BV32">
        <v>-0.85</v>
      </c>
      <c r="BW32">
        <v>0.17</v>
      </c>
      <c r="BX32">
        <v>1.24</v>
      </c>
      <c r="BY32">
        <v>-0.54</v>
      </c>
      <c r="BZ32">
        <v>-1.31</v>
      </c>
      <c r="CA32">
        <v>0.63</v>
      </c>
      <c r="CB32">
        <v>0.44</v>
      </c>
      <c r="CC32">
        <v>0.5</v>
      </c>
      <c r="CD32">
        <v>0.41</v>
      </c>
      <c r="CE32">
        <v>0.14000000000000001</v>
      </c>
      <c r="CF32">
        <v>0.08</v>
      </c>
      <c r="CG32">
        <v>0</v>
      </c>
      <c r="CH32">
        <v>0.13</v>
      </c>
      <c r="CI32">
        <v>0</v>
      </c>
      <c r="CJ32">
        <v>0</v>
      </c>
      <c r="CK32">
        <v>47</v>
      </c>
      <c r="CL32">
        <v>-0.77</v>
      </c>
      <c r="CM32">
        <v>47</v>
      </c>
      <c r="CN32">
        <v>-0.42</v>
      </c>
      <c r="CO32">
        <v>47</v>
      </c>
      <c r="CP32">
        <v>0.2</v>
      </c>
      <c r="CQ32">
        <v>46</v>
      </c>
      <c r="CR32">
        <v>0</v>
      </c>
      <c r="CS32">
        <v>0</v>
      </c>
      <c r="CT32">
        <v>5.8</v>
      </c>
      <c r="CU32">
        <v>46</v>
      </c>
      <c r="CV32">
        <v>0.15</v>
      </c>
      <c r="CW32">
        <v>35</v>
      </c>
      <c r="CX32" t="s">
        <v>4738</v>
      </c>
    </row>
    <row r="33" spans="1:102" x14ac:dyDescent="0.3">
      <c r="A33" t="str">
        <f>HYPERLINK("https://webapp.icbf.com/v2/app/bull-search/view/1477138355","FR4467")</f>
        <v>FR4467</v>
      </c>
      <c r="B33" t="s">
        <v>6332</v>
      </c>
      <c r="C33" t="s">
        <v>6333</v>
      </c>
      <c r="D33" s="1">
        <v>42776</v>
      </c>
      <c r="E33" t="s">
        <v>92</v>
      </c>
      <c r="F33">
        <v>69</v>
      </c>
      <c r="G33" t="s">
        <v>435</v>
      </c>
      <c r="H33">
        <v>286.23</v>
      </c>
      <c r="I33">
        <v>70</v>
      </c>
      <c r="J33">
        <v>66</v>
      </c>
      <c r="K33">
        <v>89</v>
      </c>
      <c r="L33">
        <v>160.58000000000001</v>
      </c>
      <c r="M33">
        <v>61</v>
      </c>
      <c r="N33">
        <v>54.59</v>
      </c>
      <c r="O33">
        <v>76</v>
      </c>
      <c r="P33">
        <v>-11.33</v>
      </c>
      <c r="Q33">
        <v>50</v>
      </c>
      <c r="R33">
        <v>0.38</v>
      </c>
      <c r="S33">
        <v>62</v>
      </c>
      <c r="T33">
        <v>12.94</v>
      </c>
      <c r="U33">
        <v>46</v>
      </c>
      <c r="V33">
        <v>3.07</v>
      </c>
      <c r="W33">
        <v>57</v>
      </c>
      <c r="X33" t="s">
        <v>94</v>
      </c>
      <c r="Y33" t="s">
        <v>2384</v>
      </c>
      <c r="Z33" t="s">
        <v>330</v>
      </c>
      <c r="AA33" t="s">
        <v>6192</v>
      </c>
      <c r="AB33" t="s">
        <v>6334</v>
      </c>
      <c r="AC33">
        <v>0</v>
      </c>
      <c r="AD33">
        <v>0</v>
      </c>
      <c r="AE33">
        <v>89</v>
      </c>
      <c r="AF33">
        <v>-1.85</v>
      </c>
      <c r="AG33">
        <v>15.37</v>
      </c>
      <c r="AH33">
        <v>5.76</v>
      </c>
      <c r="AI33">
        <v>0.26</v>
      </c>
      <c r="AJ33">
        <v>0.1</v>
      </c>
      <c r="AK33">
        <v>61</v>
      </c>
      <c r="AL33">
        <v>0</v>
      </c>
      <c r="AM33">
        <v>0</v>
      </c>
      <c r="AN33">
        <v>-9.2200000000000006</v>
      </c>
      <c r="AO33">
        <v>3.58</v>
      </c>
      <c r="AP33">
        <v>122</v>
      </c>
      <c r="AQ33">
        <v>0</v>
      </c>
      <c r="AR33">
        <v>6.35</v>
      </c>
      <c r="AS33">
        <v>64</v>
      </c>
      <c r="AT33">
        <v>2.0699999999999998</v>
      </c>
      <c r="AU33">
        <v>81</v>
      </c>
      <c r="AV33">
        <v>-5.38</v>
      </c>
      <c r="AW33">
        <v>93</v>
      </c>
      <c r="AX33">
        <v>-0.75</v>
      </c>
      <c r="AY33">
        <v>72</v>
      </c>
      <c r="AZ33">
        <v>7.35</v>
      </c>
      <c r="BA33">
        <v>42</v>
      </c>
      <c r="BB33">
        <v>4.9800000000000004</v>
      </c>
      <c r="BC33">
        <v>34</v>
      </c>
      <c r="BD33">
        <v>-0.04</v>
      </c>
      <c r="BE33">
        <v>0.02</v>
      </c>
      <c r="BF33">
        <v>0.02</v>
      </c>
      <c r="BG33">
        <v>73</v>
      </c>
      <c r="BH33">
        <v>-0.04</v>
      </c>
      <c r="BI33">
        <v>-14.52</v>
      </c>
      <c r="BJ33">
        <v>0</v>
      </c>
      <c r="BK33">
        <v>0</v>
      </c>
      <c r="BL33">
        <v>-1.17</v>
      </c>
      <c r="BM33">
        <v>-0.38</v>
      </c>
      <c r="BN33">
        <v>-1.95</v>
      </c>
      <c r="BO33">
        <v>-1.41</v>
      </c>
      <c r="BP33">
        <v>3</v>
      </c>
      <c r="BQ33">
        <v>-2.0099999999999998</v>
      </c>
      <c r="BR33">
        <v>1.49</v>
      </c>
      <c r="BS33">
        <v>-1.56</v>
      </c>
      <c r="BT33">
        <v>-3.12</v>
      </c>
      <c r="BU33">
        <v>-1.96</v>
      </c>
      <c r="BV33">
        <v>-1.98</v>
      </c>
      <c r="BW33">
        <v>-1.95</v>
      </c>
      <c r="BX33">
        <v>-0.85</v>
      </c>
      <c r="BY33">
        <v>-1.91</v>
      </c>
      <c r="BZ33">
        <v>-1.88</v>
      </c>
      <c r="CA33">
        <v>-1.78</v>
      </c>
      <c r="CB33">
        <v>-1.5</v>
      </c>
      <c r="CC33">
        <v>-1.36</v>
      </c>
      <c r="CD33">
        <v>0.44</v>
      </c>
      <c r="CE33">
        <v>-0.86</v>
      </c>
      <c r="CF33">
        <v>-2.04</v>
      </c>
      <c r="CG33">
        <v>0</v>
      </c>
      <c r="CH33">
        <v>-1.43</v>
      </c>
      <c r="CI33">
        <v>0</v>
      </c>
      <c r="CJ33">
        <v>-4</v>
      </c>
      <c r="CK33">
        <v>53</v>
      </c>
      <c r="CL33">
        <v>-0.57999999999999996</v>
      </c>
      <c r="CM33">
        <v>47</v>
      </c>
      <c r="CN33">
        <v>-0.17</v>
      </c>
      <c r="CO33">
        <v>47</v>
      </c>
      <c r="CP33">
        <v>-12.1</v>
      </c>
      <c r="CQ33">
        <v>44</v>
      </c>
      <c r="CR33">
        <v>0</v>
      </c>
      <c r="CS33">
        <v>0</v>
      </c>
      <c r="CT33">
        <v>-3.7</v>
      </c>
      <c r="CU33">
        <v>46</v>
      </c>
      <c r="CV33">
        <v>0.06</v>
      </c>
      <c r="CW33">
        <v>36</v>
      </c>
      <c r="CX33" t="s">
        <v>1165</v>
      </c>
    </row>
    <row r="34" spans="1:102" x14ac:dyDescent="0.3">
      <c r="A34" t="str">
        <f>HYPERLINK("https://webapp.icbf.com/v2/app/bull-search/view/1495300677","FR4573")</f>
        <v>FR4573</v>
      </c>
      <c r="B34" t="s">
        <v>7312</v>
      </c>
      <c r="C34" t="s">
        <v>7313</v>
      </c>
      <c r="D34" s="1">
        <v>42365</v>
      </c>
      <c r="E34" t="s">
        <v>92</v>
      </c>
      <c r="F34">
        <v>100</v>
      </c>
      <c r="G34" t="s">
        <v>435</v>
      </c>
      <c r="H34">
        <v>284.7</v>
      </c>
      <c r="I34">
        <v>71</v>
      </c>
      <c r="J34">
        <v>96.26</v>
      </c>
      <c r="K34">
        <v>87</v>
      </c>
      <c r="L34">
        <v>134.71</v>
      </c>
      <c r="M34">
        <v>69</v>
      </c>
      <c r="N34">
        <v>38.840000000000003</v>
      </c>
      <c r="O34">
        <v>84</v>
      </c>
      <c r="P34">
        <v>-3.35</v>
      </c>
      <c r="Q34">
        <v>45</v>
      </c>
      <c r="R34">
        <v>16.28</v>
      </c>
      <c r="S34">
        <v>64</v>
      </c>
      <c r="T34">
        <v>-2.31</v>
      </c>
      <c r="U34">
        <v>36</v>
      </c>
      <c r="V34">
        <v>4.2699999999999996</v>
      </c>
      <c r="W34">
        <v>55</v>
      </c>
      <c r="X34" t="s">
        <v>276</v>
      </c>
      <c r="Y34" t="s">
        <v>442</v>
      </c>
      <c r="Z34" t="s">
        <v>96</v>
      </c>
      <c r="AA34" t="s">
        <v>3135</v>
      </c>
      <c r="AB34" t="s">
        <v>7314</v>
      </c>
      <c r="AC34">
        <v>0</v>
      </c>
      <c r="AD34">
        <v>0</v>
      </c>
      <c r="AE34">
        <v>87</v>
      </c>
      <c r="AF34">
        <v>295.16000000000003</v>
      </c>
      <c r="AG34">
        <v>18.03</v>
      </c>
      <c r="AH34">
        <v>14.51</v>
      </c>
      <c r="AI34">
        <v>0.1</v>
      </c>
      <c r="AJ34">
        <v>0.08</v>
      </c>
      <c r="AK34">
        <v>69</v>
      </c>
      <c r="AL34">
        <v>0</v>
      </c>
      <c r="AM34">
        <v>0</v>
      </c>
      <c r="AN34">
        <v>-8.32</v>
      </c>
      <c r="AO34">
        <v>2.41</v>
      </c>
      <c r="AP34">
        <v>481</v>
      </c>
      <c r="AQ34">
        <v>0</v>
      </c>
      <c r="AR34">
        <v>5.7</v>
      </c>
      <c r="AS34">
        <v>80</v>
      </c>
      <c r="AT34">
        <v>2.09</v>
      </c>
      <c r="AU34">
        <v>94</v>
      </c>
      <c r="AV34">
        <v>-2.94</v>
      </c>
      <c r="AW34">
        <v>98</v>
      </c>
      <c r="AX34">
        <v>-0.22</v>
      </c>
      <c r="AY34">
        <v>86</v>
      </c>
      <c r="AZ34">
        <v>5.63</v>
      </c>
      <c r="BA34">
        <v>36</v>
      </c>
      <c r="BB34">
        <v>4.72</v>
      </c>
      <c r="BC34">
        <v>35</v>
      </c>
      <c r="BD34">
        <v>-0.05</v>
      </c>
      <c r="BE34">
        <v>-0.09</v>
      </c>
      <c r="BF34">
        <v>-0.12</v>
      </c>
      <c r="BG34">
        <v>76</v>
      </c>
      <c r="BH34">
        <v>-0.02</v>
      </c>
      <c r="BI34">
        <v>-16.09</v>
      </c>
      <c r="BJ34">
        <v>0</v>
      </c>
      <c r="BK34">
        <v>0</v>
      </c>
      <c r="BL34">
        <v>0.95</v>
      </c>
      <c r="BM34">
        <v>0.33</v>
      </c>
      <c r="BN34">
        <v>0.55000000000000004</v>
      </c>
      <c r="BO34">
        <v>0.68</v>
      </c>
      <c r="BP34">
        <v>0.84</v>
      </c>
      <c r="BQ34">
        <v>1.36</v>
      </c>
      <c r="BR34">
        <v>0.26</v>
      </c>
      <c r="BS34">
        <v>2.46</v>
      </c>
      <c r="BT34">
        <v>1.02</v>
      </c>
      <c r="BU34">
        <v>2.2400000000000002</v>
      </c>
      <c r="BV34">
        <v>2.25</v>
      </c>
      <c r="BW34">
        <v>2.0699999999999998</v>
      </c>
      <c r="BX34">
        <v>1.9</v>
      </c>
      <c r="BY34">
        <v>1.5</v>
      </c>
      <c r="BZ34">
        <v>0.82</v>
      </c>
      <c r="CA34">
        <v>1.78</v>
      </c>
      <c r="CB34">
        <v>1.94</v>
      </c>
      <c r="CC34">
        <v>1.53</v>
      </c>
      <c r="CD34">
        <v>0</v>
      </c>
      <c r="CE34">
        <v>0.34</v>
      </c>
      <c r="CF34">
        <v>0.86</v>
      </c>
      <c r="CG34">
        <v>0</v>
      </c>
      <c r="CH34">
        <v>2.13</v>
      </c>
      <c r="CI34">
        <v>0</v>
      </c>
      <c r="CJ34">
        <v>0.4</v>
      </c>
      <c r="CK34">
        <v>48</v>
      </c>
      <c r="CL34">
        <v>-1.37</v>
      </c>
      <c r="CM34">
        <v>41</v>
      </c>
      <c r="CN34">
        <v>-0.76</v>
      </c>
      <c r="CO34">
        <v>40</v>
      </c>
      <c r="CP34">
        <v>8.9</v>
      </c>
      <c r="CQ34">
        <v>38</v>
      </c>
      <c r="CR34">
        <v>0</v>
      </c>
      <c r="CS34">
        <v>0</v>
      </c>
      <c r="CT34">
        <v>16.899999999999999</v>
      </c>
      <c r="CU34">
        <v>36</v>
      </c>
      <c r="CV34">
        <v>0.32</v>
      </c>
      <c r="CW34">
        <v>33</v>
      </c>
      <c r="CX34" t="s">
        <v>6985</v>
      </c>
    </row>
    <row r="35" spans="1:102" x14ac:dyDescent="0.3">
      <c r="A35" t="str">
        <f>HYPERLINK("https://webapp.icbf.com/v2/app/bull-search/view/1248439071","FR2425")</f>
        <v>FR2425</v>
      </c>
      <c r="B35" t="s">
        <v>14221</v>
      </c>
      <c r="C35" t="s">
        <v>14222</v>
      </c>
      <c r="D35" s="1">
        <v>42044</v>
      </c>
      <c r="E35" t="s">
        <v>92</v>
      </c>
      <c r="F35">
        <v>63</v>
      </c>
      <c r="G35" t="s">
        <v>93</v>
      </c>
      <c r="H35">
        <v>284.38</v>
      </c>
      <c r="I35">
        <v>82</v>
      </c>
      <c r="J35">
        <v>80.03</v>
      </c>
      <c r="K35">
        <v>95</v>
      </c>
      <c r="L35">
        <v>144.76</v>
      </c>
      <c r="M35">
        <v>72</v>
      </c>
      <c r="N35">
        <v>46.01</v>
      </c>
      <c r="O35">
        <v>86</v>
      </c>
      <c r="P35">
        <v>-19.03</v>
      </c>
      <c r="Q35">
        <v>88</v>
      </c>
      <c r="R35">
        <v>6.73</v>
      </c>
      <c r="S35">
        <v>74</v>
      </c>
      <c r="T35">
        <v>19.82</v>
      </c>
      <c r="U35">
        <v>71</v>
      </c>
      <c r="V35">
        <v>6.06</v>
      </c>
      <c r="W35">
        <v>70</v>
      </c>
      <c r="X35" t="s">
        <v>276</v>
      </c>
      <c r="Y35" t="s">
        <v>436</v>
      </c>
      <c r="Z35" t="s">
        <v>330</v>
      </c>
      <c r="AA35" t="s">
        <v>2514</v>
      </c>
      <c r="AB35" t="s">
        <v>14223</v>
      </c>
      <c r="AC35">
        <v>120</v>
      </c>
      <c r="AD35">
        <v>61</v>
      </c>
      <c r="AE35">
        <v>95</v>
      </c>
      <c r="AF35">
        <v>-110.83</v>
      </c>
      <c r="AG35">
        <v>17.37</v>
      </c>
      <c r="AH35">
        <v>5.77</v>
      </c>
      <c r="AI35">
        <v>0.39</v>
      </c>
      <c r="AJ35">
        <v>0.17</v>
      </c>
      <c r="AK35">
        <v>72</v>
      </c>
      <c r="AL35">
        <v>0</v>
      </c>
      <c r="AM35">
        <v>0</v>
      </c>
      <c r="AN35">
        <v>-8.26</v>
      </c>
      <c r="AO35">
        <v>3.28</v>
      </c>
      <c r="AP35">
        <v>456</v>
      </c>
      <c r="AQ35">
        <v>3</v>
      </c>
      <c r="AR35">
        <v>5.42</v>
      </c>
      <c r="AS35">
        <v>75</v>
      </c>
      <c r="AT35">
        <v>2.39</v>
      </c>
      <c r="AU35">
        <v>92</v>
      </c>
      <c r="AV35">
        <v>-3.59</v>
      </c>
      <c r="AW35">
        <v>98</v>
      </c>
      <c r="AX35">
        <v>-0.25</v>
      </c>
      <c r="AY35">
        <v>89</v>
      </c>
      <c r="AZ35">
        <v>5.69</v>
      </c>
      <c r="BA35">
        <v>70</v>
      </c>
      <c r="BB35">
        <v>3.93</v>
      </c>
      <c r="BC35">
        <v>45</v>
      </c>
      <c r="BD35">
        <v>-7.0000000000000007E-2</v>
      </c>
      <c r="BE35">
        <v>-0.02</v>
      </c>
      <c r="BF35">
        <v>0</v>
      </c>
      <c r="BG35">
        <v>85</v>
      </c>
      <c r="BH35">
        <v>7.0000000000000007E-2</v>
      </c>
      <c r="BI35">
        <v>-11.46</v>
      </c>
      <c r="BJ35">
        <v>0</v>
      </c>
      <c r="BK35">
        <v>0</v>
      </c>
      <c r="BL35">
        <v>-2.58</v>
      </c>
      <c r="BM35">
        <v>-0.97</v>
      </c>
      <c r="BN35">
        <v>-1.96</v>
      </c>
      <c r="BO35">
        <v>-1.27</v>
      </c>
      <c r="BP35">
        <v>0.12</v>
      </c>
      <c r="BQ35">
        <v>-2.7</v>
      </c>
      <c r="BR35">
        <v>1.64</v>
      </c>
      <c r="BS35">
        <v>1.43</v>
      </c>
      <c r="BT35">
        <v>-1.4</v>
      </c>
      <c r="BU35">
        <v>-0.46</v>
      </c>
      <c r="BV35">
        <v>0.22</v>
      </c>
      <c r="BW35">
        <v>-0.37</v>
      </c>
      <c r="BX35">
        <v>-1.25</v>
      </c>
      <c r="BY35">
        <v>-1.75</v>
      </c>
      <c r="BZ35">
        <v>0.98</v>
      </c>
      <c r="CA35">
        <v>0.11</v>
      </c>
      <c r="CB35">
        <v>0.15</v>
      </c>
      <c r="CC35">
        <v>0.63</v>
      </c>
      <c r="CD35">
        <v>0.81</v>
      </c>
      <c r="CE35">
        <v>-0.69</v>
      </c>
      <c r="CF35">
        <v>-1.48</v>
      </c>
      <c r="CG35">
        <v>0</v>
      </c>
      <c r="CH35">
        <v>-1.5</v>
      </c>
      <c r="CI35">
        <v>0</v>
      </c>
      <c r="CJ35">
        <v>-8.4</v>
      </c>
      <c r="CK35">
        <v>91</v>
      </c>
      <c r="CL35">
        <v>-0.61</v>
      </c>
      <c r="CM35">
        <v>89</v>
      </c>
      <c r="CN35">
        <v>-0.05</v>
      </c>
      <c r="CO35">
        <v>88</v>
      </c>
      <c r="CP35">
        <v>-11.5</v>
      </c>
      <c r="CQ35">
        <v>67</v>
      </c>
      <c r="CR35">
        <v>0</v>
      </c>
      <c r="CS35">
        <v>0</v>
      </c>
      <c r="CT35">
        <v>-13</v>
      </c>
      <c r="CU35">
        <v>71</v>
      </c>
      <c r="CV35">
        <v>0.09</v>
      </c>
      <c r="CW35">
        <v>49</v>
      </c>
      <c r="CX35" t="s">
        <v>7470</v>
      </c>
    </row>
    <row r="36" spans="1:102" x14ac:dyDescent="0.3">
      <c r="A36" t="str">
        <f>HYPERLINK("https://webapp.icbf.com/v2/app/bull-search/view/760395109","JE4497")</f>
        <v>JE4497</v>
      </c>
      <c r="B36" t="s">
        <v>9462</v>
      </c>
      <c r="C36" t="s">
        <v>2325</v>
      </c>
      <c r="D36" s="1">
        <v>40040</v>
      </c>
      <c r="E36" t="s">
        <v>227</v>
      </c>
      <c r="F36">
        <v>0</v>
      </c>
      <c r="G36" t="s">
        <v>109</v>
      </c>
      <c r="H36">
        <v>283.45</v>
      </c>
      <c r="I36">
        <v>76</v>
      </c>
      <c r="J36">
        <v>120.13</v>
      </c>
      <c r="K36">
        <v>92</v>
      </c>
      <c r="L36">
        <v>100.61</v>
      </c>
      <c r="M36">
        <v>69</v>
      </c>
      <c r="N36">
        <v>50.53</v>
      </c>
      <c r="O36">
        <v>89</v>
      </c>
      <c r="P36">
        <v>-53.14</v>
      </c>
      <c r="Q36">
        <v>57</v>
      </c>
      <c r="R36">
        <v>3.62</v>
      </c>
      <c r="S36">
        <v>66</v>
      </c>
      <c r="T36">
        <v>49.2</v>
      </c>
      <c r="U36">
        <v>47</v>
      </c>
      <c r="V36">
        <v>12.5</v>
      </c>
      <c r="W36">
        <v>65</v>
      </c>
      <c r="X36" t="s">
        <v>94</v>
      </c>
      <c r="Y36" t="s">
        <v>2389</v>
      </c>
      <c r="Z36">
        <v>0</v>
      </c>
      <c r="AA36" t="s">
        <v>9463</v>
      </c>
      <c r="AB36" t="s">
        <v>9464</v>
      </c>
      <c r="AC36">
        <v>0</v>
      </c>
      <c r="AD36">
        <v>0</v>
      </c>
      <c r="AE36">
        <v>92</v>
      </c>
      <c r="AF36">
        <v>-291.57</v>
      </c>
      <c r="AG36">
        <v>23.57</v>
      </c>
      <c r="AH36">
        <v>7.63</v>
      </c>
      <c r="AI36">
        <v>0.64</v>
      </c>
      <c r="AJ36">
        <v>0.32</v>
      </c>
      <c r="AK36">
        <v>69</v>
      </c>
      <c r="AL36">
        <v>0</v>
      </c>
      <c r="AM36">
        <v>0</v>
      </c>
      <c r="AN36">
        <v>-4.2</v>
      </c>
      <c r="AO36">
        <v>3.84</v>
      </c>
      <c r="AP36">
        <v>1845</v>
      </c>
      <c r="AQ36">
        <v>6</v>
      </c>
      <c r="AR36">
        <v>4.26</v>
      </c>
      <c r="AS36">
        <v>96</v>
      </c>
      <c r="AT36">
        <v>1.65</v>
      </c>
      <c r="AU36">
        <v>97</v>
      </c>
      <c r="AV36">
        <v>-4.3099999999999996</v>
      </c>
      <c r="AW36">
        <v>99</v>
      </c>
      <c r="AX36">
        <v>1.03</v>
      </c>
      <c r="AY36">
        <v>96</v>
      </c>
      <c r="AZ36">
        <v>6.93</v>
      </c>
      <c r="BA36">
        <v>47</v>
      </c>
      <c r="BB36">
        <v>4.5999999999999996</v>
      </c>
      <c r="BC36">
        <v>45</v>
      </c>
      <c r="BD36">
        <v>-0.05</v>
      </c>
      <c r="BE36">
        <v>0</v>
      </c>
      <c r="BF36">
        <v>0</v>
      </c>
      <c r="BG36">
        <v>71</v>
      </c>
      <c r="BH36">
        <v>0.27</v>
      </c>
      <c r="BI36">
        <v>-9.1</v>
      </c>
      <c r="BJ36">
        <v>0</v>
      </c>
      <c r="BK36">
        <v>0</v>
      </c>
      <c r="BL36">
        <v>-3.01</v>
      </c>
      <c r="BM36">
        <v>-2</v>
      </c>
      <c r="BN36">
        <v>-0.16</v>
      </c>
      <c r="BO36">
        <v>1.45</v>
      </c>
      <c r="BP36">
        <v>-0.47</v>
      </c>
      <c r="BQ36">
        <v>-5.66</v>
      </c>
      <c r="BR36">
        <v>3.2</v>
      </c>
      <c r="BS36">
        <v>6.04</v>
      </c>
      <c r="BT36">
        <v>-1.62</v>
      </c>
      <c r="BU36">
        <v>-1.19</v>
      </c>
      <c r="BV36">
        <v>-0.61</v>
      </c>
      <c r="BW36">
        <v>-2.59</v>
      </c>
      <c r="BX36">
        <v>-3.84</v>
      </c>
      <c r="BY36">
        <v>-0.03</v>
      </c>
      <c r="BZ36">
        <v>-1.04</v>
      </c>
      <c r="CA36">
        <v>0.65</v>
      </c>
      <c r="CB36">
        <v>-0.89</v>
      </c>
      <c r="CC36">
        <v>3.73</v>
      </c>
      <c r="CD36">
        <v>-2.56</v>
      </c>
      <c r="CE36">
        <v>0.86</v>
      </c>
      <c r="CF36">
        <v>-3.29</v>
      </c>
      <c r="CG36">
        <v>0</v>
      </c>
      <c r="CH36">
        <v>-1.29</v>
      </c>
      <c r="CI36">
        <v>0</v>
      </c>
      <c r="CJ36">
        <v>-27</v>
      </c>
      <c r="CK36">
        <v>63</v>
      </c>
      <c r="CL36">
        <v>-1.27</v>
      </c>
      <c r="CM36">
        <v>50</v>
      </c>
      <c r="CN36">
        <v>-0.28999999999999998</v>
      </c>
      <c r="CO36">
        <v>49</v>
      </c>
      <c r="CP36">
        <v>-41.1</v>
      </c>
      <c r="CQ36">
        <v>47</v>
      </c>
      <c r="CR36">
        <v>0</v>
      </c>
      <c r="CS36">
        <v>0</v>
      </c>
      <c r="CT36">
        <v>-52.7</v>
      </c>
      <c r="CU36">
        <v>47</v>
      </c>
      <c r="CV36">
        <v>-0.24</v>
      </c>
      <c r="CW36">
        <v>36</v>
      </c>
      <c r="CX36" t="s">
        <v>1525</v>
      </c>
    </row>
    <row r="37" spans="1:102" x14ac:dyDescent="0.3">
      <c r="A37" t="str">
        <f>HYPERLINK("https://webapp.icbf.com/v2/app/bull-search/view/1365700154","FR4328")</f>
        <v>FR4328</v>
      </c>
      <c r="B37" t="s">
        <v>13907</v>
      </c>
      <c r="C37" t="s">
        <v>13908</v>
      </c>
      <c r="D37" s="1">
        <v>42437</v>
      </c>
      <c r="E37" t="s">
        <v>92</v>
      </c>
      <c r="F37">
        <v>91</v>
      </c>
      <c r="G37" t="s">
        <v>435</v>
      </c>
      <c r="H37">
        <v>282.68</v>
      </c>
      <c r="I37">
        <v>75</v>
      </c>
      <c r="J37">
        <v>63.49</v>
      </c>
      <c r="K37">
        <v>92</v>
      </c>
      <c r="L37">
        <v>161.78</v>
      </c>
      <c r="M37">
        <v>70</v>
      </c>
      <c r="N37">
        <v>50.99</v>
      </c>
      <c r="O37">
        <v>85</v>
      </c>
      <c r="P37">
        <v>-9.32</v>
      </c>
      <c r="Q37">
        <v>51</v>
      </c>
      <c r="R37">
        <v>7.41</v>
      </c>
      <c r="S37">
        <v>70</v>
      </c>
      <c r="T37">
        <v>4.43</v>
      </c>
      <c r="U37">
        <v>47</v>
      </c>
      <c r="V37">
        <v>3.9</v>
      </c>
      <c r="W37">
        <v>63</v>
      </c>
      <c r="X37" t="s">
        <v>102</v>
      </c>
      <c r="Y37" t="s">
        <v>2255</v>
      </c>
      <c r="Z37" t="s">
        <v>96</v>
      </c>
      <c r="AA37" t="s">
        <v>2157</v>
      </c>
      <c r="AB37" t="s">
        <v>13909</v>
      </c>
      <c r="AC37">
        <v>0</v>
      </c>
      <c r="AD37">
        <v>0</v>
      </c>
      <c r="AE37">
        <v>92</v>
      </c>
      <c r="AF37">
        <v>1.38</v>
      </c>
      <c r="AG37">
        <v>6.98</v>
      </c>
      <c r="AH37">
        <v>8.35</v>
      </c>
      <c r="AI37">
        <v>0.12</v>
      </c>
      <c r="AJ37">
        <v>0.15</v>
      </c>
      <c r="AK37">
        <v>70</v>
      </c>
      <c r="AL37">
        <v>0</v>
      </c>
      <c r="AM37">
        <v>0</v>
      </c>
      <c r="AN37">
        <v>-7.42</v>
      </c>
      <c r="AO37">
        <v>5.5</v>
      </c>
      <c r="AP37">
        <v>442</v>
      </c>
      <c r="AQ37">
        <v>0</v>
      </c>
      <c r="AR37">
        <v>4.07</v>
      </c>
      <c r="AS37">
        <v>84</v>
      </c>
      <c r="AT37">
        <v>1.78</v>
      </c>
      <c r="AU37">
        <v>91</v>
      </c>
      <c r="AV37">
        <v>-3.64</v>
      </c>
      <c r="AW37">
        <v>97</v>
      </c>
      <c r="AX37">
        <v>-0.39</v>
      </c>
      <c r="AY37">
        <v>86</v>
      </c>
      <c r="AZ37">
        <v>5.94</v>
      </c>
      <c r="BA37">
        <v>47</v>
      </c>
      <c r="BB37">
        <v>4.3600000000000003</v>
      </c>
      <c r="BC37">
        <v>48</v>
      </c>
      <c r="BD37">
        <v>-0.05</v>
      </c>
      <c r="BE37">
        <v>-0.03</v>
      </c>
      <c r="BF37">
        <v>-0.03</v>
      </c>
      <c r="BG37">
        <v>78</v>
      </c>
      <c r="BH37">
        <v>0.14000000000000001</v>
      </c>
      <c r="BI37">
        <v>3.61</v>
      </c>
      <c r="BJ37">
        <v>0</v>
      </c>
      <c r="BK37">
        <v>0</v>
      </c>
      <c r="BL37">
        <v>-0.22</v>
      </c>
      <c r="BM37">
        <v>0.65</v>
      </c>
      <c r="BN37">
        <v>-1.57</v>
      </c>
      <c r="BO37">
        <v>-1.83</v>
      </c>
      <c r="BP37">
        <v>3</v>
      </c>
      <c r="BQ37">
        <v>-1.8</v>
      </c>
      <c r="BR37">
        <v>-1.58</v>
      </c>
      <c r="BS37">
        <v>0.38</v>
      </c>
      <c r="BT37">
        <v>0.33</v>
      </c>
      <c r="BU37">
        <v>-0.85</v>
      </c>
      <c r="BV37">
        <v>-2.1</v>
      </c>
      <c r="BW37">
        <v>-2.21</v>
      </c>
      <c r="BX37">
        <v>0.36</v>
      </c>
      <c r="BY37">
        <v>-2.98</v>
      </c>
      <c r="BZ37">
        <v>-1.3</v>
      </c>
      <c r="CA37">
        <v>-1</v>
      </c>
      <c r="CB37">
        <v>-1.55</v>
      </c>
      <c r="CC37">
        <v>0.12</v>
      </c>
      <c r="CD37">
        <v>1.36</v>
      </c>
      <c r="CE37">
        <v>-1.32</v>
      </c>
      <c r="CF37">
        <v>-1.04</v>
      </c>
      <c r="CG37">
        <v>0</v>
      </c>
      <c r="CH37">
        <v>-1.59</v>
      </c>
      <c r="CI37">
        <v>0</v>
      </c>
      <c r="CJ37">
        <v>-5.5</v>
      </c>
      <c r="CK37">
        <v>55</v>
      </c>
      <c r="CL37">
        <v>-0.63</v>
      </c>
      <c r="CM37">
        <v>46</v>
      </c>
      <c r="CN37">
        <v>-0.42</v>
      </c>
      <c r="CO37">
        <v>46</v>
      </c>
      <c r="CP37">
        <v>-1</v>
      </c>
      <c r="CQ37">
        <v>48</v>
      </c>
      <c r="CR37">
        <v>0</v>
      </c>
      <c r="CS37">
        <v>0</v>
      </c>
      <c r="CT37">
        <v>7.8</v>
      </c>
      <c r="CU37">
        <v>47</v>
      </c>
      <c r="CV37">
        <v>0.05</v>
      </c>
      <c r="CW37">
        <v>36</v>
      </c>
      <c r="CX37" t="s">
        <v>1861</v>
      </c>
    </row>
    <row r="38" spans="1:102" x14ac:dyDescent="0.3">
      <c r="A38" t="str">
        <f>HYPERLINK("https://webapp.icbf.com/v2/app/bull-search/view/1503781720","FR4480")</f>
        <v>FR4480</v>
      </c>
      <c r="B38" t="s">
        <v>7670</v>
      </c>
      <c r="C38" t="s">
        <v>7671</v>
      </c>
      <c r="D38" s="1">
        <v>42838</v>
      </c>
      <c r="E38" t="s">
        <v>92</v>
      </c>
      <c r="F38">
        <v>78</v>
      </c>
      <c r="G38" t="s">
        <v>435</v>
      </c>
      <c r="H38">
        <v>281.51</v>
      </c>
      <c r="I38">
        <v>71</v>
      </c>
      <c r="J38">
        <v>71.599999999999994</v>
      </c>
      <c r="K38">
        <v>90</v>
      </c>
      <c r="L38">
        <v>161.96</v>
      </c>
      <c r="M38">
        <v>64</v>
      </c>
      <c r="N38">
        <v>45.69</v>
      </c>
      <c r="O38">
        <v>78</v>
      </c>
      <c r="P38">
        <v>-5.47</v>
      </c>
      <c r="Q38">
        <v>50</v>
      </c>
      <c r="R38">
        <v>12.39</v>
      </c>
      <c r="S38">
        <v>66</v>
      </c>
      <c r="T38">
        <v>-2.23</v>
      </c>
      <c r="U38">
        <v>45</v>
      </c>
      <c r="V38">
        <v>-2.4300000000000002</v>
      </c>
      <c r="W38">
        <v>60</v>
      </c>
      <c r="X38" t="s">
        <v>94</v>
      </c>
      <c r="Y38" t="s">
        <v>2384</v>
      </c>
      <c r="Z38" t="s">
        <v>96</v>
      </c>
      <c r="AA38" t="s">
        <v>6082</v>
      </c>
      <c r="AB38" t="s">
        <v>7672</v>
      </c>
      <c r="AC38">
        <v>0</v>
      </c>
      <c r="AD38">
        <v>0</v>
      </c>
      <c r="AE38">
        <v>90</v>
      </c>
      <c r="AF38">
        <v>67.06</v>
      </c>
      <c r="AG38">
        <v>10.78</v>
      </c>
      <c r="AH38">
        <v>9.39</v>
      </c>
      <c r="AI38">
        <v>0.14000000000000001</v>
      </c>
      <c r="AJ38">
        <v>0.13</v>
      </c>
      <c r="AK38">
        <v>64</v>
      </c>
      <c r="AL38">
        <v>0</v>
      </c>
      <c r="AM38">
        <v>0</v>
      </c>
      <c r="AN38">
        <v>-8.52</v>
      </c>
      <c r="AO38">
        <v>4.4000000000000004</v>
      </c>
      <c r="AP38">
        <v>134</v>
      </c>
      <c r="AQ38">
        <v>0</v>
      </c>
      <c r="AR38">
        <v>5.13</v>
      </c>
      <c r="AS38">
        <v>62</v>
      </c>
      <c r="AT38">
        <v>2.54</v>
      </c>
      <c r="AU38">
        <v>84</v>
      </c>
      <c r="AV38">
        <v>-3.97</v>
      </c>
      <c r="AW38">
        <v>94</v>
      </c>
      <c r="AX38">
        <v>-0.33</v>
      </c>
      <c r="AY38">
        <v>71</v>
      </c>
      <c r="AZ38">
        <v>6.33</v>
      </c>
      <c r="BA38">
        <v>48</v>
      </c>
      <c r="BB38">
        <v>4.43</v>
      </c>
      <c r="BC38">
        <v>38</v>
      </c>
      <c r="BD38">
        <v>-0.06</v>
      </c>
      <c r="BE38">
        <v>-0.05</v>
      </c>
      <c r="BF38">
        <v>-0.09</v>
      </c>
      <c r="BG38">
        <v>76</v>
      </c>
      <c r="BH38">
        <v>0.04</v>
      </c>
      <c r="BI38">
        <v>12.47</v>
      </c>
      <c r="BJ38">
        <v>0</v>
      </c>
      <c r="BK38">
        <v>0</v>
      </c>
      <c r="BL38">
        <v>-0.22</v>
      </c>
      <c r="BM38">
        <v>1.23</v>
      </c>
      <c r="BN38">
        <v>-2.08</v>
      </c>
      <c r="BO38">
        <v>-2.4700000000000002</v>
      </c>
      <c r="BP38">
        <v>3.91</v>
      </c>
      <c r="BQ38">
        <v>-2.25</v>
      </c>
      <c r="BR38">
        <v>-2.4300000000000002</v>
      </c>
      <c r="BS38">
        <v>-1.49</v>
      </c>
      <c r="BT38">
        <v>1.7</v>
      </c>
      <c r="BU38">
        <v>-0.66</v>
      </c>
      <c r="BV38">
        <v>-2.2000000000000002</v>
      </c>
      <c r="BW38">
        <v>-2.0699999999999998</v>
      </c>
      <c r="BX38">
        <v>0.5</v>
      </c>
      <c r="BY38">
        <v>-3.1</v>
      </c>
      <c r="BZ38">
        <v>-1.2</v>
      </c>
      <c r="CA38">
        <v>-0.75</v>
      </c>
      <c r="CB38">
        <v>-1.47</v>
      </c>
      <c r="CC38">
        <v>-0.27</v>
      </c>
      <c r="CD38">
        <v>2.39</v>
      </c>
      <c r="CE38">
        <v>-2.0299999999999998</v>
      </c>
      <c r="CF38">
        <v>-1.31</v>
      </c>
      <c r="CG38">
        <v>0</v>
      </c>
      <c r="CH38">
        <v>-1.97</v>
      </c>
      <c r="CI38">
        <v>0</v>
      </c>
      <c r="CJ38">
        <v>-4.4000000000000004</v>
      </c>
      <c r="CK38">
        <v>53</v>
      </c>
      <c r="CL38">
        <v>-0.43</v>
      </c>
      <c r="CM38">
        <v>46</v>
      </c>
      <c r="CN38">
        <v>-0.4</v>
      </c>
      <c r="CO38">
        <v>46</v>
      </c>
      <c r="CP38">
        <v>2.4</v>
      </c>
      <c r="CQ38">
        <v>45</v>
      </c>
      <c r="CR38">
        <v>0</v>
      </c>
      <c r="CS38">
        <v>0</v>
      </c>
      <c r="CT38">
        <v>16.8</v>
      </c>
      <c r="CU38">
        <v>45</v>
      </c>
      <c r="CV38">
        <v>0.08</v>
      </c>
      <c r="CW38">
        <v>35</v>
      </c>
      <c r="CX38" t="s">
        <v>2157</v>
      </c>
    </row>
    <row r="39" spans="1:102" x14ac:dyDescent="0.3">
      <c r="A39" t="str">
        <f>HYPERLINK("https://webapp.icbf.com/v2/app/bull-search/view/1354259370","FR4203")</f>
        <v>FR4203</v>
      </c>
      <c r="B39" t="s">
        <v>6368</v>
      </c>
      <c r="C39" t="s">
        <v>6369</v>
      </c>
      <c r="D39" s="1">
        <v>42404</v>
      </c>
      <c r="E39" t="s">
        <v>92</v>
      </c>
      <c r="F39">
        <v>63</v>
      </c>
      <c r="G39" t="s">
        <v>435</v>
      </c>
      <c r="H39">
        <v>281.2</v>
      </c>
      <c r="I39">
        <v>73</v>
      </c>
      <c r="J39">
        <v>70.17</v>
      </c>
      <c r="K39">
        <v>89</v>
      </c>
      <c r="L39">
        <v>148.01</v>
      </c>
      <c r="M39">
        <v>62</v>
      </c>
      <c r="N39">
        <v>53.87</v>
      </c>
      <c r="O39">
        <v>85</v>
      </c>
      <c r="P39">
        <v>-9.1</v>
      </c>
      <c r="Q39">
        <v>69</v>
      </c>
      <c r="R39">
        <v>-5.19</v>
      </c>
      <c r="S39">
        <v>62</v>
      </c>
      <c r="T39">
        <v>18.41</v>
      </c>
      <c r="U39">
        <v>57</v>
      </c>
      <c r="V39">
        <v>5.03</v>
      </c>
      <c r="W39">
        <v>58</v>
      </c>
      <c r="X39" t="s">
        <v>234</v>
      </c>
      <c r="Y39" t="s">
        <v>2255</v>
      </c>
      <c r="Z39" t="s">
        <v>330</v>
      </c>
      <c r="AA39" t="s">
        <v>6204</v>
      </c>
      <c r="AB39" t="s">
        <v>6370</v>
      </c>
      <c r="AC39">
        <v>1</v>
      </c>
      <c r="AD39">
        <v>1</v>
      </c>
      <c r="AE39">
        <v>89</v>
      </c>
      <c r="AF39">
        <v>52.68</v>
      </c>
      <c r="AG39">
        <v>13.91</v>
      </c>
      <c r="AH39">
        <v>7.82</v>
      </c>
      <c r="AI39">
        <v>0.2</v>
      </c>
      <c r="AJ39">
        <v>0.11</v>
      </c>
      <c r="AK39">
        <v>62</v>
      </c>
      <c r="AL39">
        <v>0</v>
      </c>
      <c r="AM39">
        <v>0</v>
      </c>
      <c r="AN39">
        <v>-8.34</v>
      </c>
      <c r="AO39">
        <v>3.46</v>
      </c>
      <c r="AP39">
        <v>651</v>
      </c>
      <c r="AQ39">
        <v>0</v>
      </c>
      <c r="AR39">
        <v>4.96</v>
      </c>
      <c r="AS39">
        <v>79</v>
      </c>
      <c r="AT39">
        <v>2.31</v>
      </c>
      <c r="AU39">
        <v>94</v>
      </c>
      <c r="AV39">
        <v>-5.36</v>
      </c>
      <c r="AW39">
        <v>98</v>
      </c>
      <c r="AX39">
        <v>-0.11</v>
      </c>
      <c r="AY39">
        <v>90</v>
      </c>
      <c r="AZ39">
        <v>6.82</v>
      </c>
      <c r="BA39">
        <v>43</v>
      </c>
      <c r="BB39">
        <v>5.16</v>
      </c>
      <c r="BC39">
        <v>38</v>
      </c>
      <c r="BD39">
        <v>-0.01</v>
      </c>
      <c r="BE39">
        <v>0.04</v>
      </c>
      <c r="BF39">
        <v>0.06</v>
      </c>
      <c r="BG39">
        <v>72</v>
      </c>
      <c r="BH39">
        <v>0.03</v>
      </c>
      <c r="BI39">
        <v>-12.76</v>
      </c>
      <c r="BJ39">
        <v>0</v>
      </c>
      <c r="BK39">
        <v>0</v>
      </c>
      <c r="BL39">
        <v>-1.53</v>
      </c>
      <c r="BM39">
        <v>-0.86</v>
      </c>
      <c r="BN39">
        <v>-3.22</v>
      </c>
      <c r="BO39">
        <v>-1.94</v>
      </c>
      <c r="BP39">
        <v>0.09</v>
      </c>
      <c r="BQ39">
        <v>-0.17</v>
      </c>
      <c r="BR39">
        <v>1.2</v>
      </c>
      <c r="BS39">
        <v>-1.02</v>
      </c>
      <c r="BT39">
        <v>-2.67</v>
      </c>
      <c r="BU39">
        <v>-1.01</v>
      </c>
      <c r="BV39">
        <v>-2.2200000000000002</v>
      </c>
      <c r="BW39">
        <v>-3.15</v>
      </c>
      <c r="BX39">
        <v>0.06</v>
      </c>
      <c r="BY39">
        <v>-2.93</v>
      </c>
      <c r="BZ39">
        <v>-0.43</v>
      </c>
      <c r="CA39">
        <v>-1.47</v>
      </c>
      <c r="CB39">
        <v>-1.89</v>
      </c>
      <c r="CC39">
        <v>-1.21</v>
      </c>
      <c r="CD39">
        <v>0.56000000000000005</v>
      </c>
      <c r="CE39">
        <v>-1.32</v>
      </c>
      <c r="CF39">
        <v>-1.89</v>
      </c>
      <c r="CG39">
        <v>0</v>
      </c>
      <c r="CH39">
        <v>-3.03</v>
      </c>
      <c r="CI39">
        <v>0</v>
      </c>
      <c r="CJ39">
        <v>-1.5</v>
      </c>
      <c r="CK39">
        <v>75</v>
      </c>
      <c r="CL39">
        <v>-0.39</v>
      </c>
      <c r="CM39">
        <v>64</v>
      </c>
      <c r="CN39">
        <v>0.18</v>
      </c>
      <c r="CO39">
        <v>63</v>
      </c>
      <c r="CP39">
        <v>-6</v>
      </c>
      <c r="CQ39">
        <v>55</v>
      </c>
      <c r="CR39">
        <v>0</v>
      </c>
      <c r="CS39">
        <v>0</v>
      </c>
      <c r="CT39">
        <v>-11.1</v>
      </c>
      <c r="CU39">
        <v>57</v>
      </c>
      <c r="CV39">
        <v>0.1</v>
      </c>
      <c r="CW39">
        <v>42</v>
      </c>
      <c r="CX39" t="s">
        <v>5796</v>
      </c>
    </row>
    <row r="40" spans="1:102" x14ac:dyDescent="0.3">
      <c r="A40" t="str">
        <f>HYPERLINK("https://webapp.icbf.com/v2/app/bull-search/view/1483516172","FR4398")</f>
        <v>FR4398</v>
      </c>
      <c r="B40" t="s">
        <v>10285</v>
      </c>
      <c r="C40" t="s">
        <v>10286</v>
      </c>
      <c r="D40" s="1">
        <v>42771</v>
      </c>
      <c r="E40" t="s">
        <v>92</v>
      </c>
      <c r="F40">
        <v>84</v>
      </c>
      <c r="G40" t="s">
        <v>435</v>
      </c>
      <c r="H40">
        <v>280.72000000000003</v>
      </c>
      <c r="I40">
        <v>69</v>
      </c>
      <c r="J40">
        <v>54.73</v>
      </c>
      <c r="K40">
        <v>90</v>
      </c>
      <c r="L40">
        <v>161.27000000000001</v>
      </c>
      <c r="M40">
        <v>65</v>
      </c>
      <c r="N40">
        <v>60.54</v>
      </c>
      <c r="O40">
        <v>56</v>
      </c>
      <c r="P40">
        <v>-2.13</v>
      </c>
      <c r="Q40">
        <v>46</v>
      </c>
      <c r="R40">
        <v>-2.42</v>
      </c>
      <c r="S40">
        <v>65</v>
      </c>
      <c r="T40">
        <v>8.35</v>
      </c>
      <c r="U40">
        <v>45</v>
      </c>
      <c r="V40">
        <v>0.38</v>
      </c>
      <c r="W40">
        <v>60</v>
      </c>
      <c r="X40" t="s">
        <v>102</v>
      </c>
      <c r="Y40" t="s">
        <v>2255</v>
      </c>
      <c r="Z40" t="s">
        <v>330</v>
      </c>
      <c r="AA40" t="s">
        <v>6253</v>
      </c>
      <c r="AB40" t="s">
        <v>10287</v>
      </c>
      <c r="AC40">
        <v>0</v>
      </c>
      <c r="AD40">
        <v>0</v>
      </c>
      <c r="AE40">
        <v>90</v>
      </c>
      <c r="AF40">
        <v>29.98</v>
      </c>
      <c r="AG40">
        <v>10</v>
      </c>
      <c r="AH40">
        <v>6.23</v>
      </c>
      <c r="AI40">
        <v>0.15</v>
      </c>
      <c r="AJ40">
        <v>0.09</v>
      </c>
      <c r="AK40">
        <v>65</v>
      </c>
      <c r="AL40">
        <v>0</v>
      </c>
      <c r="AM40">
        <v>0</v>
      </c>
      <c r="AN40">
        <v>-9.6300000000000008</v>
      </c>
      <c r="AO40">
        <v>3.22</v>
      </c>
      <c r="AP40">
        <v>2</v>
      </c>
      <c r="AQ40">
        <v>0</v>
      </c>
      <c r="AR40">
        <v>4.4800000000000004</v>
      </c>
      <c r="AS40">
        <v>57</v>
      </c>
      <c r="AT40">
        <v>1.8</v>
      </c>
      <c r="AU40">
        <v>65</v>
      </c>
      <c r="AV40">
        <v>-5.07</v>
      </c>
      <c r="AW40">
        <v>60</v>
      </c>
      <c r="AX40">
        <v>-0.34</v>
      </c>
      <c r="AY40">
        <v>48</v>
      </c>
      <c r="AZ40">
        <v>6.45</v>
      </c>
      <c r="BA40">
        <v>46</v>
      </c>
      <c r="BB40">
        <v>4.38</v>
      </c>
      <c r="BC40">
        <v>36</v>
      </c>
      <c r="BD40">
        <v>0.01</v>
      </c>
      <c r="BE40">
        <v>0.01</v>
      </c>
      <c r="BF40">
        <v>0.02</v>
      </c>
      <c r="BG40">
        <v>76</v>
      </c>
      <c r="BH40">
        <v>0.12</v>
      </c>
      <c r="BI40">
        <v>12.65</v>
      </c>
      <c r="BJ40">
        <v>0</v>
      </c>
      <c r="BK40">
        <v>0</v>
      </c>
      <c r="BL40">
        <v>-1.03</v>
      </c>
      <c r="BM40">
        <v>0.04</v>
      </c>
      <c r="BN40">
        <v>-2.02</v>
      </c>
      <c r="BO40">
        <v>-1.41</v>
      </c>
      <c r="BP40">
        <v>3.63</v>
      </c>
      <c r="BQ40">
        <v>-2.68</v>
      </c>
      <c r="BR40">
        <v>-1.1299999999999999</v>
      </c>
      <c r="BS40">
        <v>-1.8</v>
      </c>
      <c r="BT40">
        <v>-1.03</v>
      </c>
      <c r="BU40">
        <v>-0.13</v>
      </c>
      <c r="BV40">
        <v>-1.21</v>
      </c>
      <c r="BW40">
        <v>-0.53</v>
      </c>
      <c r="BX40">
        <v>0.86</v>
      </c>
      <c r="BY40">
        <v>-1.28</v>
      </c>
      <c r="BZ40">
        <v>-0.97</v>
      </c>
      <c r="CA40">
        <v>-0.75</v>
      </c>
      <c r="CB40">
        <v>-0.5</v>
      </c>
      <c r="CC40">
        <v>-0.96</v>
      </c>
      <c r="CD40">
        <v>1.34</v>
      </c>
      <c r="CE40">
        <v>-0.6</v>
      </c>
      <c r="CF40">
        <v>-0.81</v>
      </c>
      <c r="CG40">
        <v>0</v>
      </c>
      <c r="CH40">
        <v>-1.33</v>
      </c>
      <c r="CI40">
        <v>0</v>
      </c>
      <c r="CJ40">
        <v>-0.2</v>
      </c>
      <c r="CK40">
        <v>46</v>
      </c>
      <c r="CL40">
        <v>-0.57999999999999996</v>
      </c>
      <c r="CM40">
        <v>46</v>
      </c>
      <c r="CN40">
        <v>-0.4</v>
      </c>
      <c r="CO40">
        <v>46</v>
      </c>
      <c r="CP40">
        <v>-3.7</v>
      </c>
      <c r="CQ40">
        <v>43</v>
      </c>
      <c r="CR40">
        <v>0</v>
      </c>
      <c r="CS40">
        <v>0</v>
      </c>
      <c r="CT40">
        <v>2.5</v>
      </c>
      <c r="CU40">
        <v>45</v>
      </c>
      <c r="CV40">
        <v>0.17</v>
      </c>
      <c r="CW40">
        <v>35</v>
      </c>
      <c r="CX40" t="s">
        <v>3094</v>
      </c>
    </row>
    <row r="41" spans="1:102" x14ac:dyDescent="0.3">
      <c r="A41" t="str">
        <f>HYPERLINK("https://webapp.icbf.com/v2/app/bull-search/view/1602242673","FR4902")</f>
        <v>FR4902</v>
      </c>
      <c r="B41" t="s">
        <v>8423</v>
      </c>
      <c r="C41" t="s">
        <v>8424</v>
      </c>
      <c r="D41" s="1">
        <v>43117</v>
      </c>
      <c r="E41" t="s">
        <v>92</v>
      </c>
      <c r="F41">
        <v>78</v>
      </c>
      <c r="G41" t="s">
        <v>435</v>
      </c>
      <c r="H41">
        <v>279.56</v>
      </c>
      <c r="I41">
        <v>66</v>
      </c>
      <c r="J41">
        <v>52.14</v>
      </c>
      <c r="K41">
        <v>88</v>
      </c>
      <c r="L41">
        <v>186.93</v>
      </c>
      <c r="M41">
        <v>60</v>
      </c>
      <c r="N41">
        <v>37.14</v>
      </c>
      <c r="O41">
        <v>55</v>
      </c>
      <c r="P41">
        <v>-6.66</v>
      </c>
      <c r="Q41">
        <v>46</v>
      </c>
      <c r="R41">
        <v>-2.15</v>
      </c>
      <c r="S41">
        <v>61</v>
      </c>
      <c r="T41">
        <v>13.83</v>
      </c>
      <c r="U41">
        <v>45</v>
      </c>
      <c r="V41">
        <v>-1.67</v>
      </c>
      <c r="W41">
        <v>56</v>
      </c>
      <c r="X41" t="s">
        <v>94</v>
      </c>
      <c r="Y41" t="s">
        <v>6440</v>
      </c>
      <c r="Z41" t="s">
        <v>330</v>
      </c>
      <c r="AA41" t="s">
        <v>6253</v>
      </c>
      <c r="AB41" t="s">
        <v>8425</v>
      </c>
      <c r="AC41">
        <v>0</v>
      </c>
      <c r="AD41">
        <v>0</v>
      </c>
      <c r="AE41">
        <v>88</v>
      </c>
      <c r="AF41">
        <v>-38.270000000000003</v>
      </c>
      <c r="AG41">
        <v>10.89</v>
      </c>
      <c r="AH41">
        <v>4.43</v>
      </c>
      <c r="AI41">
        <v>0.21</v>
      </c>
      <c r="AJ41">
        <v>0.1</v>
      </c>
      <c r="AK41">
        <v>60</v>
      </c>
      <c r="AL41">
        <v>0</v>
      </c>
      <c r="AM41">
        <v>0</v>
      </c>
      <c r="AN41">
        <v>-10</v>
      </c>
      <c r="AO41">
        <v>4.91</v>
      </c>
      <c r="AP41">
        <v>2</v>
      </c>
      <c r="AQ41">
        <v>0</v>
      </c>
      <c r="AR41">
        <v>7.99</v>
      </c>
      <c r="AS41">
        <v>58</v>
      </c>
      <c r="AT41">
        <v>2.4900000000000002</v>
      </c>
      <c r="AU41">
        <v>62</v>
      </c>
      <c r="AV41">
        <v>-4.74</v>
      </c>
      <c r="AW41">
        <v>60</v>
      </c>
      <c r="AX41">
        <v>-0.66</v>
      </c>
      <c r="AY41">
        <v>48</v>
      </c>
      <c r="AZ41">
        <v>8.27</v>
      </c>
      <c r="BA41">
        <v>42</v>
      </c>
      <c r="BB41">
        <v>5.67</v>
      </c>
      <c r="BC41">
        <v>32</v>
      </c>
      <c r="BD41">
        <v>-0.01</v>
      </c>
      <c r="BE41">
        <v>0.04</v>
      </c>
      <c r="BF41">
        <v>-0.01</v>
      </c>
      <c r="BG41">
        <v>72</v>
      </c>
      <c r="BH41">
        <v>0.04</v>
      </c>
      <c r="BI41">
        <v>10.01</v>
      </c>
      <c r="BJ41">
        <v>0</v>
      </c>
      <c r="BK41">
        <v>0</v>
      </c>
      <c r="BL41">
        <v>-1.96</v>
      </c>
      <c r="BM41">
        <v>0.11</v>
      </c>
      <c r="BN41">
        <v>-1.53</v>
      </c>
      <c r="BO41">
        <v>-1.21</v>
      </c>
      <c r="BP41">
        <v>1.44</v>
      </c>
      <c r="BQ41">
        <v>-1.93</v>
      </c>
      <c r="BR41">
        <v>1.75</v>
      </c>
      <c r="BS41">
        <v>-1.28</v>
      </c>
      <c r="BT41">
        <v>-3.36</v>
      </c>
      <c r="BU41">
        <v>0.57999999999999996</v>
      </c>
      <c r="BV41">
        <v>-0.81</v>
      </c>
      <c r="BW41">
        <v>0.17</v>
      </c>
      <c r="BX41">
        <v>-0.27</v>
      </c>
      <c r="BY41">
        <v>-1.07</v>
      </c>
      <c r="BZ41">
        <v>-1.45</v>
      </c>
      <c r="CA41">
        <v>-0.74</v>
      </c>
      <c r="CB41">
        <v>-0.38</v>
      </c>
      <c r="CC41">
        <v>-1.3</v>
      </c>
      <c r="CD41">
        <v>1.29</v>
      </c>
      <c r="CE41">
        <v>-0.82</v>
      </c>
      <c r="CF41">
        <v>-0.99</v>
      </c>
      <c r="CG41">
        <v>0</v>
      </c>
      <c r="CH41">
        <v>-0.87</v>
      </c>
      <c r="CI41">
        <v>0</v>
      </c>
      <c r="CJ41">
        <v>-2.1</v>
      </c>
      <c r="CK41">
        <v>46</v>
      </c>
      <c r="CL41">
        <v>-0.41</v>
      </c>
      <c r="CM41">
        <v>46</v>
      </c>
      <c r="CN41">
        <v>-0.15</v>
      </c>
      <c r="CO41">
        <v>46</v>
      </c>
      <c r="CP41">
        <v>-8.6</v>
      </c>
      <c r="CQ41">
        <v>42</v>
      </c>
      <c r="CR41">
        <v>0</v>
      </c>
      <c r="CS41">
        <v>0</v>
      </c>
      <c r="CT41">
        <v>-4.9000000000000004</v>
      </c>
      <c r="CU41">
        <v>45</v>
      </c>
      <c r="CV41">
        <v>0.11</v>
      </c>
      <c r="CW41">
        <v>35</v>
      </c>
      <c r="CX41" t="s">
        <v>8426</v>
      </c>
    </row>
    <row r="42" spans="1:102" x14ac:dyDescent="0.3">
      <c r="A42" t="str">
        <f>HYPERLINK("https://webapp.icbf.com/v2/app/bull-search/view/1486255886","FR4554")</f>
        <v>FR4554</v>
      </c>
      <c r="B42" t="s">
        <v>10315</v>
      </c>
      <c r="C42" t="s">
        <v>10316</v>
      </c>
      <c r="D42" s="1">
        <v>42795</v>
      </c>
      <c r="E42" t="s">
        <v>92</v>
      </c>
      <c r="F42">
        <v>75</v>
      </c>
      <c r="G42" t="s">
        <v>435</v>
      </c>
      <c r="H42">
        <v>278.87</v>
      </c>
      <c r="I42">
        <v>71</v>
      </c>
      <c r="J42">
        <v>35.159999999999997</v>
      </c>
      <c r="K42">
        <v>90</v>
      </c>
      <c r="L42">
        <v>169.11</v>
      </c>
      <c r="M42">
        <v>63</v>
      </c>
      <c r="N42">
        <v>64.680000000000007</v>
      </c>
      <c r="O42">
        <v>82</v>
      </c>
      <c r="P42">
        <v>-7.64</v>
      </c>
      <c r="Q42">
        <v>50</v>
      </c>
      <c r="R42">
        <v>3.91</v>
      </c>
      <c r="S42">
        <v>64</v>
      </c>
      <c r="T42">
        <v>14.05</v>
      </c>
      <c r="U42">
        <v>46</v>
      </c>
      <c r="V42">
        <v>-0.4</v>
      </c>
      <c r="W42">
        <v>59</v>
      </c>
      <c r="X42" t="s">
        <v>276</v>
      </c>
      <c r="Y42" t="s">
        <v>2384</v>
      </c>
      <c r="Z42" t="s">
        <v>330</v>
      </c>
      <c r="AA42" t="s">
        <v>6253</v>
      </c>
      <c r="AB42" t="s">
        <v>10317</v>
      </c>
      <c r="AC42">
        <v>0</v>
      </c>
      <c r="AD42">
        <v>0</v>
      </c>
      <c r="AE42">
        <v>90</v>
      </c>
      <c r="AF42">
        <v>179.75</v>
      </c>
      <c r="AG42">
        <v>5.6</v>
      </c>
      <c r="AH42">
        <v>6.75</v>
      </c>
      <c r="AI42">
        <v>-0.03</v>
      </c>
      <c r="AJ42">
        <v>0.02</v>
      </c>
      <c r="AK42">
        <v>63</v>
      </c>
      <c r="AL42">
        <v>0</v>
      </c>
      <c r="AM42">
        <v>0</v>
      </c>
      <c r="AN42">
        <v>-8.94</v>
      </c>
      <c r="AO42">
        <v>4.55</v>
      </c>
      <c r="AP42">
        <v>300</v>
      </c>
      <c r="AQ42">
        <v>0</v>
      </c>
      <c r="AR42">
        <v>5.3</v>
      </c>
      <c r="AS42">
        <v>71</v>
      </c>
      <c r="AT42">
        <v>1.71</v>
      </c>
      <c r="AU42">
        <v>89</v>
      </c>
      <c r="AV42">
        <v>-6.32</v>
      </c>
      <c r="AW42">
        <v>97</v>
      </c>
      <c r="AX42">
        <v>-0.84</v>
      </c>
      <c r="AY42">
        <v>83</v>
      </c>
      <c r="AZ42">
        <v>8.1199999999999992</v>
      </c>
      <c r="BA42">
        <v>45</v>
      </c>
      <c r="BB42">
        <v>5.12</v>
      </c>
      <c r="BC42">
        <v>35</v>
      </c>
      <c r="BD42">
        <v>-0.03</v>
      </c>
      <c r="BE42">
        <v>0</v>
      </c>
      <c r="BF42">
        <v>-0.04</v>
      </c>
      <c r="BG42">
        <v>75</v>
      </c>
      <c r="BH42">
        <v>-0.05</v>
      </c>
      <c r="BI42">
        <v>-4.49</v>
      </c>
      <c r="BJ42">
        <v>0</v>
      </c>
      <c r="BK42">
        <v>0</v>
      </c>
      <c r="BL42">
        <v>-2</v>
      </c>
      <c r="BM42">
        <v>0.01</v>
      </c>
      <c r="BN42">
        <v>-1.91</v>
      </c>
      <c r="BO42">
        <v>-1.23</v>
      </c>
      <c r="BP42">
        <v>2.65</v>
      </c>
      <c r="BQ42">
        <v>-2.93</v>
      </c>
      <c r="BR42">
        <v>1.88</v>
      </c>
      <c r="BS42">
        <v>-1.52</v>
      </c>
      <c r="BT42">
        <v>-2.1</v>
      </c>
      <c r="BU42">
        <v>0.85</v>
      </c>
      <c r="BV42">
        <v>-0.09</v>
      </c>
      <c r="BW42">
        <v>0.94</v>
      </c>
      <c r="BX42">
        <v>-0.12</v>
      </c>
      <c r="BY42">
        <v>-1.2</v>
      </c>
      <c r="BZ42">
        <v>-0.54</v>
      </c>
      <c r="CA42">
        <v>-0.62</v>
      </c>
      <c r="CB42">
        <v>0.33</v>
      </c>
      <c r="CC42">
        <v>-1.22</v>
      </c>
      <c r="CD42">
        <v>0.9</v>
      </c>
      <c r="CE42">
        <v>-0.7</v>
      </c>
      <c r="CF42">
        <v>-1.55</v>
      </c>
      <c r="CG42">
        <v>0</v>
      </c>
      <c r="CH42">
        <v>-0.03</v>
      </c>
      <c r="CI42">
        <v>0</v>
      </c>
      <c r="CJ42">
        <v>-4.2</v>
      </c>
      <c r="CK42">
        <v>52</v>
      </c>
      <c r="CL42">
        <v>-0.28999999999999998</v>
      </c>
      <c r="CM42">
        <v>48</v>
      </c>
      <c r="CN42">
        <v>-0.22</v>
      </c>
      <c r="CO42">
        <v>47</v>
      </c>
      <c r="CP42">
        <v>-9.5</v>
      </c>
      <c r="CQ42">
        <v>45</v>
      </c>
      <c r="CR42">
        <v>0</v>
      </c>
      <c r="CS42">
        <v>0</v>
      </c>
      <c r="CT42">
        <v>-5.2</v>
      </c>
      <c r="CU42">
        <v>46</v>
      </c>
      <c r="CV42">
        <v>0.04</v>
      </c>
      <c r="CW42">
        <v>35</v>
      </c>
      <c r="CX42" t="s">
        <v>4532</v>
      </c>
    </row>
    <row r="43" spans="1:102" x14ac:dyDescent="0.3">
      <c r="A43" t="str">
        <f>HYPERLINK("https://webapp.icbf.com/v2/app/bull-search/view/1251817130","FR2386")</f>
        <v>FR2386</v>
      </c>
      <c r="B43" t="s">
        <v>9397</v>
      </c>
      <c r="C43" t="s">
        <v>9398</v>
      </c>
      <c r="D43" s="1">
        <v>42039</v>
      </c>
      <c r="E43" t="s">
        <v>92</v>
      </c>
      <c r="F43">
        <v>66</v>
      </c>
      <c r="G43" t="s">
        <v>93</v>
      </c>
      <c r="H43">
        <v>277.94</v>
      </c>
      <c r="I43">
        <v>80</v>
      </c>
      <c r="J43">
        <v>25.61</v>
      </c>
      <c r="K43">
        <v>94</v>
      </c>
      <c r="L43">
        <v>185.39</v>
      </c>
      <c r="M43">
        <v>68</v>
      </c>
      <c r="N43">
        <v>48.63</v>
      </c>
      <c r="O43">
        <v>84</v>
      </c>
      <c r="P43">
        <v>-23.85</v>
      </c>
      <c r="Q43">
        <v>87</v>
      </c>
      <c r="R43">
        <v>13.84</v>
      </c>
      <c r="S43">
        <v>70</v>
      </c>
      <c r="T43">
        <v>25.89</v>
      </c>
      <c r="U43">
        <v>67</v>
      </c>
      <c r="V43">
        <v>2.4300000000000002</v>
      </c>
      <c r="W43">
        <v>68</v>
      </c>
      <c r="X43" t="s">
        <v>94</v>
      </c>
      <c r="Y43" t="s">
        <v>436</v>
      </c>
      <c r="Z43" t="s">
        <v>330</v>
      </c>
      <c r="AA43" t="s">
        <v>1918</v>
      </c>
      <c r="AB43" t="s">
        <v>9399</v>
      </c>
      <c r="AC43">
        <v>98</v>
      </c>
      <c r="AD43">
        <v>49</v>
      </c>
      <c r="AE43">
        <v>94</v>
      </c>
      <c r="AF43">
        <v>-322.56</v>
      </c>
      <c r="AG43">
        <v>6.61</v>
      </c>
      <c r="AH43">
        <v>-2.92</v>
      </c>
      <c r="AI43">
        <v>0.35</v>
      </c>
      <c r="AJ43">
        <v>0.15</v>
      </c>
      <c r="AK43">
        <v>68</v>
      </c>
      <c r="AL43">
        <v>0</v>
      </c>
      <c r="AM43">
        <v>0</v>
      </c>
      <c r="AN43">
        <v>-10.44</v>
      </c>
      <c r="AO43">
        <v>4.34</v>
      </c>
      <c r="AP43">
        <v>446</v>
      </c>
      <c r="AQ43">
        <v>2</v>
      </c>
      <c r="AR43">
        <v>4.9400000000000004</v>
      </c>
      <c r="AS43">
        <v>77</v>
      </c>
      <c r="AT43">
        <v>2.0499999999999998</v>
      </c>
      <c r="AU43">
        <v>91</v>
      </c>
      <c r="AV43">
        <v>-3.86</v>
      </c>
      <c r="AW43">
        <v>98</v>
      </c>
      <c r="AX43">
        <v>-0.71</v>
      </c>
      <c r="AY43">
        <v>87</v>
      </c>
      <c r="AZ43">
        <v>6.04</v>
      </c>
      <c r="BA43">
        <v>57</v>
      </c>
      <c r="BB43">
        <v>4.71</v>
      </c>
      <c r="BC43">
        <v>38</v>
      </c>
      <c r="BD43">
        <v>-0.08</v>
      </c>
      <c r="BE43">
        <v>-0.05</v>
      </c>
      <c r="BF43">
        <v>-0.09</v>
      </c>
      <c r="BG43">
        <v>82</v>
      </c>
      <c r="BH43">
        <v>0.08</v>
      </c>
      <c r="BI43">
        <v>1.41</v>
      </c>
      <c r="BJ43">
        <v>0</v>
      </c>
      <c r="BK43">
        <v>0</v>
      </c>
      <c r="BL43">
        <v>-2.98</v>
      </c>
      <c r="BM43">
        <v>0.54</v>
      </c>
      <c r="BN43">
        <v>-2.13</v>
      </c>
      <c r="BO43">
        <v>-2.13</v>
      </c>
      <c r="BP43">
        <v>2.0099999999999998</v>
      </c>
      <c r="BQ43">
        <v>-1.86</v>
      </c>
      <c r="BR43">
        <v>-0.56000000000000005</v>
      </c>
      <c r="BS43">
        <v>0.36</v>
      </c>
      <c r="BT43">
        <v>-0.67</v>
      </c>
      <c r="BU43">
        <v>-2.21</v>
      </c>
      <c r="BV43">
        <v>-2.5</v>
      </c>
      <c r="BW43">
        <v>-2.75</v>
      </c>
      <c r="BX43">
        <v>-1.28</v>
      </c>
      <c r="BY43">
        <v>-1.82</v>
      </c>
      <c r="BZ43">
        <v>1.17</v>
      </c>
      <c r="CA43">
        <v>-1.55</v>
      </c>
      <c r="CB43">
        <v>-2.1</v>
      </c>
      <c r="CC43">
        <v>-0.18</v>
      </c>
      <c r="CD43">
        <v>1.89</v>
      </c>
      <c r="CE43">
        <v>-1.44</v>
      </c>
      <c r="CF43">
        <v>-1.76</v>
      </c>
      <c r="CG43">
        <v>0</v>
      </c>
      <c r="CH43">
        <v>-2.02</v>
      </c>
      <c r="CI43">
        <v>0</v>
      </c>
      <c r="CJ43">
        <v>-13.7</v>
      </c>
      <c r="CK43">
        <v>90</v>
      </c>
      <c r="CL43">
        <v>-0.25</v>
      </c>
      <c r="CM43">
        <v>87</v>
      </c>
      <c r="CN43">
        <v>-0.03</v>
      </c>
      <c r="CO43">
        <v>86</v>
      </c>
      <c r="CP43">
        <v>-18.100000000000001</v>
      </c>
      <c r="CQ43">
        <v>63</v>
      </c>
      <c r="CR43">
        <v>0</v>
      </c>
      <c r="CS43">
        <v>0</v>
      </c>
      <c r="CT43">
        <v>-21.2</v>
      </c>
      <c r="CU43">
        <v>67</v>
      </c>
      <c r="CV43">
        <v>-0.2</v>
      </c>
      <c r="CW43">
        <v>44</v>
      </c>
      <c r="CX43">
        <v>0</v>
      </c>
    </row>
    <row r="44" spans="1:102" x14ac:dyDescent="0.3">
      <c r="A44" t="str">
        <f>HYPERLINK("https://webapp.icbf.com/v2/app/bull-search/view/1614691833","FR4707")</f>
        <v>FR4707</v>
      </c>
      <c r="B44" t="s">
        <v>14065</v>
      </c>
      <c r="C44" t="s">
        <v>14066</v>
      </c>
      <c r="D44" s="1">
        <v>43159</v>
      </c>
      <c r="E44" t="s">
        <v>92</v>
      </c>
      <c r="F44">
        <v>88</v>
      </c>
      <c r="G44" t="s">
        <v>435</v>
      </c>
      <c r="H44">
        <v>277.19</v>
      </c>
      <c r="I44">
        <v>67</v>
      </c>
      <c r="J44">
        <v>69.39</v>
      </c>
      <c r="K44">
        <v>89</v>
      </c>
      <c r="L44">
        <v>165.83</v>
      </c>
      <c r="M44">
        <v>61</v>
      </c>
      <c r="N44">
        <v>31.92</v>
      </c>
      <c r="O44">
        <v>58</v>
      </c>
      <c r="P44">
        <v>-3.88</v>
      </c>
      <c r="Q44">
        <v>46</v>
      </c>
      <c r="R44">
        <v>1.49</v>
      </c>
      <c r="S44">
        <v>61</v>
      </c>
      <c r="T44">
        <v>10.130000000000001</v>
      </c>
      <c r="U44">
        <v>44</v>
      </c>
      <c r="V44">
        <v>2.31</v>
      </c>
      <c r="W44">
        <v>55</v>
      </c>
      <c r="X44" t="s">
        <v>102</v>
      </c>
      <c r="Y44" t="s">
        <v>2384</v>
      </c>
      <c r="Z44" t="s">
        <v>96</v>
      </c>
      <c r="AA44" t="s">
        <v>7662</v>
      </c>
      <c r="AB44" t="s">
        <v>14067</v>
      </c>
      <c r="AC44">
        <v>0</v>
      </c>
      <c r="AD44">
        <v>0</v>
      </c>
      <c r="AE44">
        <v>89</v>
      </c>
      <c r="AF44">
        <v>245.89</v>
      </c>
      <c r="AG44">
        <v>10.53</v>
      </c>
      <c r="AH44">
        <v>11.84</v>
      </c>
      <c r="AI44">
        <v>0.01</v>
      </c>
      <c r="AJ44">
        <v>0.06</v>
      </c>
      <c r="AK44">
        <v>61</v>
      </c>
      <c r="AL44">
        <v>0</v>
      </c>
      <c r="AM44">
        <v>0</v>
      </c>
      <c r="AN44">
        <v>-7.85</v>
      </c>
      <c r="AO44">
        <v>5.39</v>
      </c>
      <c r="AP44">
        <v>10</v>
      </c>
      <c r="AQ44">
        <v>0</v>
      </c>
      <c r="AR44">
        <v>4.63</v>
      </c>
      <c r="AS44">
        <v>58</v>
      </c>
      <c r="AT44">
        <v>1.98</v>
      </c>
      <c r="AU44">
        <v>65</v>
      </c>
      <c r="AV44">
        <v>-2.3199999999999998</v>
      </c>
      <c r="AW44">
        <v>65</v>
      </c>
      <c r="AX44">
        <v>-0.35</v>
      </c>
      <c r="AY44">
        <v>50</v>
      </c>
      <c r="AZ44">
        <v>6.76</v>
      </c>
      <c r="BA44">
        <v>42</v>
      </c>
      <c r="BB44">
        <v>5.41</v>
      </c>
      <c r="BC44">
        <v>35</v>
      </c>
      <c r="BD44">
        <v>-0.02</v>
      </c>
      <c r="BE44">
        <v>0.01</v>
      </c>
      <c r="BF44">
        <v>-0.02</v>
      </c>
      <c r="BG44">
        <v>72</v>
      </c>
      <c r="BH44">
        <v>0.15</v>
      </c>
      <c r="BI44">
        <v>9.91</v>
      </c>
      <c r="BJ44">
        <v>0</v>
      </c>
      <c r="BK44">
        <v>0</v>
      </c>
      <c r="BL44">
        <v>-0.88</v>
      </c>
      <c r="BM44">
        <v>-1.1399999999999999</v>
      </c>
      <c r="BN44">
        <v>-3.47</v>
      </c>
      <c r="BO44">
        <v>-2.21</v>
      </c>
      <c r="BP44">
        <v>2.09</v>
      </c>
      <c r="BQ44">
        <v>-3.21</v>
      </c>
      <c r="BR44">
        <v>-0.64</v>
      </c>
      <c r="BS44">
        <v>-1.08</v>
      </c>
      <c r="BT44">
        <v>0.6</v>
      </c>
      <c r="BU44">
        <v>-1.21</v>
      </c>
      <c r="BV44">
        <v>-2.59</v>
      </c>
      <c r="BW44">
        <v>-1.34</v>
      </c>
      <c r="BX44">
        <v>0.55000000000000004</v>
      </c>
      <c r="BY44">
        <v>-1.94</v>
      </c>
      <c r="BZ44">
        <v>-1.59</v>
      </c>
      <c r="CA44">
        <v>-1.58</v>
      </c>
      <c r="CB44">
        <v>-2.1</v>
      </c>
      <c r="CC44">
        <v>-1</v>
      </c>
      <c r="CD44">
        <v>0.55000000000000004</v>
      </c>
      <c r="CE44">
        <v>-1.88</v>
      </c>
      <c r="CF44">
        <v>-2.06</v>
      </c>
      <c r="CG44">
        <v>0</v>
      </c>
      <c r="CH44">
        <v>-0.56000000000000005</v>
      </c>
      <c r="CI44">
        <v>0</v>
      </c>
      <c r="CJ44">
        <v>-2.8</v>
      </c>
      <c r="CK44">
        <v>46</v>
      </c>
      <c r="CL44">
        <v>-0.26</v>
      </c>
      <c r="CM44">
        <v>46</v>
      </c>
      <c r="CN44">
        <v>-0.28000000000000003</v>
      </c>
      <c r="CO44">
        <v>46</v>
      </c>
      <c r="CP44">
        <v>-4.0999999999999996</v>
      </c>
      <c r="CQ44">
        <v>43</v>
      </c>
      <c r="CR44">
        <v>0</v>
      </c>
      <c r="CS44">
        <v>0</v>
      </c>
      <c r="CT44">
        <v>0.1</v>
      </c>
      <c r="CU44">
        <v>44</v>
      </c>
      <c r="CV44">
        <v>-0.01</v>
      </c>
      <c r="CW44">
        <v>35</v>
      </c>
      <c r="CX44" t="s">
        <v>13269</v>
      </c>
    </row>
    <row r="45" spans="1:102" x14ac:dyDescent="0.3">
      <c r="A45" t="str">
        <f>HYPERLINK("https://webapp.icbf.com/v2/app/bull-search/view/1491034301","FR4397")</f>
        <v>FR4397</v>
      </c>
      <c r="B45" t="s">
        <v>6251</v>
      </c>
      <c r="C45" t="s">
        <v>6252</v>
      </c>
      <c r="D45" s="1">
        <v>42812</v>
      </c>
      <c r="E45" t="s">
        <v>92</v>
      </c>
      <c r="F45">
        <v>78</v>
      </c>
      <c r="G45" t="s">
        <v>435</v>
      </c>
      <c r="H45">
        <v>276.22000000000003</v>
      </c>
      <c r="I45">
        <v>69</v>
      </c>
      <c r="J45">
        <v>98.13</v>
      </c>
      <c r="K45">
        <v>87</v>
      </c>
      <c r="L45">
        <v>136.32</v>
      </c>
      <c r="M45">
        <v>60</v>
      </c>
      <c r="N45">
        <v>41.68</v>
      </c>
      <c r="O45">
        <v>84</v>
      </c>
      <c r="P45">
        <v>-10.31</v>
      </c>
      <c r="Q45">
        <v>51</v>
      </c>
      <c r="R45">
        <v>-4.12</v>
      </c>
      <c r="S45">
        <v>60</v>
      </c>
      <c r="T45">
        <v>11.53</v>
      </c>
      <c r="U45">
        <v>46</v>
      </c>
      <c r="V45">
        <v>2.99</v>
      </c>
      <c r="W45">
        <v>56</v>
      </c>
      <c r="X45" t="s">
        <v>102</v>
      </c>
      <c r="Y45" t="s">
        <v>2255</v>
      </c>
      <c r="Z45" t="s">
        <v>330</v>
      </c>
      <c r="AA45" t="s">
        <v>6253</v>
      </c>
      <c r="AB45" t="s">
        <v>6254</v>
      </c>
      <c r="AC45">
        <v>0</v>
      </c>
      <c r="AD45">
        <v>0</v>
      </c>
      <c r="AE45">
        <v>87</v>
      </c>
      <c r="AF45">
        <v>202.88</v>
      </c>
      <c r="AG45">
        <v>17.309999999999999</v>
      </c>
      <c r="AH45">
        <v>13.67</v>
      </c>
      <c r="AI45">
        <v>0.15</v>
      </c>
      <c r="AJ45">
        <v>0.12</v>
      </c>
      <c r="AK45">
        <v>60</v>
      </c>
      <c r="AL45">
        <v>0</v>
      </c>
      <c r="AM45">
        <v>0</v>
      </c>
      <c r="AN45">
        <v>-8.3000000000000007</v>
      </c>
      <c r="AO45">
        <v>2.56</v>
      </c>
      <c r="AP45">
        <v>685</v>
      </c>
      <c r="AQ45">
        <v>5</v>
      </c>
      <c r="AR45">
        <v>6.37</v>
      </c>
      <c r="AS45">
        <v>86</v>
      </c>
      <c r="AT45">
        <v>2.36</v>
      </c>
      <c r="AU45">
        <v>93</v>
      </c>
      <c r="AV45">
        <v>-4.25</v>
      </c>
      <c r="AW45">
        <v>98</v>
      </c>
      <c r="AX45">
        <v>-0.33</v>
      </c>
      <c r="AY45">
        <v>90</v>
      </c>
      <c r="AZ45">
        <v>7.43</v>
      </c>
      <c r="BA45">
        <v>42</v>
      </c>
      <c r="BB45">
        <v>5.1100000000000003</v>
      </c>
      <c r="BC45">
        <v>32</v>
      </c>
      <c r="BD45">
        <v>-0.02</v>
      </c>
      <c r="BE45">
        <v>0.02</v>
      </c>
      <c r="BF45">
        <v>0.09</v>
      </c>
      <c r="BG45">
        <v>72</v>
      </c>
      <c r="BH45">
        <v>0.03</v>
      </c>
      <c r="BI45">
        <v>-6.17</v>
      </c>
      <c r="BJ45">
        <v>0</v>
      </c>
      <c r="BK45">
        <v>0</v>
      </c>
      <c r="BL45">
        <v>-1.1299999999999999</v>
      </c>
      <c r="BM45">
        <v>1.43</v>
      </c>
      <c r="BN45">
        <v>-0.64</v>
      </c>
      <c r="BO45">
        <v>-1.17</v>
      </c>
      <c r="BP45">
        <v>0.15</v>
      </c>
      <c r="BQ45">
        <v>-1.95</v>
      </c>
      <c r="BR45">
        <v>1.35</v>
      </c>
      <c r="BS45">
        <v>-0.33</v>
      </c>
      <c r="BT45">
        <v>-1.97</v>
      </c>
      <c r="BU45">
        <v>0.94</v>
      </c>
      <c r="BV45">
        <v>-0.52</v>
      </c>
      <c r="BW45">
        <v>-0.44</v>
      </c>
      <c r="BX45">
        <v>0.56000000000000005</v>
      </c>
      <c r="BY45">
        <v>-0.99</v>
      </c>
      <c r="BZ45">
        <v>-0.91</v>
      </c>
      <c r="CA45">
        <v>0.05</v>
      </c>
      <c r="CB45">
        <v>0.25</v>
      </c>
      <c r="CC45">
        <v>-0.7</v>
      </c>
      <c r="CD45">
        <v>1.87</v>
      </c>
      <c r="CE45">
        <v>-0.3</v>
      </c>
      <c r="CF45">
        <v>-0.57999999999999996</v>
      </c>
      <c r="CG45">
        <v>0</v>
      </c>
      <c r="CH45">
        <v>0.71</v>
      </c>
      <c r="CI45">
        <v>0</v>
      </c>
      <c r="CJ45">
        <v>-4.2</v>
      </c>
      <c r="CK45">
        <v>55</v>
      </c>
      <c r="CL45">
        <v>-0.79</v>
      </c>
      <c r="CM45">
        <v>46</v>
      </c>
      <c r="CN45">
        <v>-0.34</v>
      </c>
      <c r="CO45">
        <v>46</v>
      </c>
      <c r="CP45">
        <v>-2.2999999999999998</v>
      </c>
      <c r="CQ45">
        <v>45</v>
      </c>
      <c r="CR45">
        <v>0</v>
      </c>
      <c r="CS45">
        <v>0</v>
      </c>
      <c r="CT45">
        <v>-1.8</v>
      </c>
      <c r="CU45">
        <v>46</v>
      </c>
      <c r="CV45">
        <v>0</v>
      </c>
      <c r="CW45">
        <v>35</v>
      </c>
      <c r="CX45" t="s">
        <v>6255</v>
      </c>
    </row>
    <row r="46" spans="1:102" x14ac:dyDescent="0.3">
      <c r="A46" t="str">
        <f>HYPERLINK("https://webapp.icbf.com/v2/app/bull-search/view/1429147668","FR4378")</f>
        <v>FR4378</v>
      </c>
      <c r="B46" t="s">
        <v>13839</v>
      </c>
      <c r="C46" t="s">
        <v>13840</v>
      </c>
      <c r="D46" s="1">
        <v>42618</v>
      </c>
      <c r="E46" t="s">
        <v>92</v>
      </c>
      <c r="F46">
        <v>88</v>
      </c>
      <c r="G46" t="s">
        <v>435</v>
      </c>
      <c r="H46">
        <v>274.88</v>
      </c>
      <c r="I46">
        <v>77</v>
      </c>
      <c r="J46">
        <v>73.06</v>
      </c>
      <c r="K46">
        <v>92</v>
      </c>
      <c r="L46">
        <v>138.71</v>
      </c>
      <c r="M46">
        <v>73</v>
      </c>
      <c r="N46">
        <v>58.9</v>
      </c>
      <c r="O46">
        <v>87</v>
      </c>
      <c r="P46">
        <v>-6.3</v>
      </c>
      <c r="Q46">
        <v>53</v>
      </c>
      <c r="R46">
        <v>9.8699999999999992</v>
      </c>
      <c r="S46">
        <v>72</v>
      </c>
      <c r="T46">
        <v>-0.83</v>
      </c>
      <c r="U46">
        <v>48</v>
      </c>
      <c r="V46">
        <v>1.47</v>
      </c>
      <c r="W46">
        <v>66</v>
      </c>
      <c r="X46" t="s">
        <v>94</v>
      </c>
      <c r="Y46" t="s">
        <v>2255</v>
      </c>
      <c r="Z46" t="s">
        <v>96</v>
      </c>
      <c r="AA46" t="s">
        <v>2372</v>
      </c>
      <c r="AB46" t="s">
        <v>13841</v>
      </c>
      <c r="AC46">
        <v>0</v>
      </c>
      <c r="AD46">
        <v>0</v>
      </c>
      <c r="AE46">
        <v>92</v>
      </c>
      <c r="AF46">
        <v>203.56</v>
      </c>
      <c r="AG46">
        <v>7.21</v>
      </c>
      <c r="AH46">
        <v>12.99</v>
      </c>
      <c r="AI46">
        <v>-0.02</v>
      </c>
      <c r="AJ46">
        <v>0.11</v>
      </c>
      <c r="AK46">
        <v>73</v>
      </c>
      <c r="AL46">
        <v>0</v>
      </c>
      <c r="AM46">
        <v>0</v>
      </c>
      <c r="AN46">
        <v>-7.69</v>
      </c>
      <c r="AO46">
        <v>3.37</v>
      </c>
      <c r="AP46">
        <v>557</v>
      </c>
      <c r="AQ46">
        <v>0</v>
      </c>
      <c r="AR46">
        <v>6.04</v>
      </c>
      <c r="AS46">
        <v>85</v>
      </c>
      <c r="AT46">
        <v>2.17</v>
      </c>
      <c r="AU46">
        <v>93</v>
      </c>
      <c r="AV46">
        <v>-5.89</v>
      </c>
      <c r="AW46">
        <v>98</v>
      </c>
      <c r="AX46">
        <v>-0.63</v>
      </c>
      <c r="AY46">
        <v>88</v>
      </c>
      <c r="AZ46">
        <v>6.02</v>
      </c>
      <c r="BA46">
        <v>51</v>
      </c>
      <c r="BB46">
        <v>5.25</v>
      </c>
      <c r="BC46">
        <v>51</v>
      </c>
      <c r="BD46">
        <v>-0.06</v>
      </c>
      <c r="BE46">
        <v>-0.03</v>
      </c>
      <c r="BF46">
        <v>-7.0000000000000007E-2</v>
      </c>
      <c r="BG46">
        <v>80</v>
      </c>
      <c r="BH46">
        <v>-0.11</v>
      </c>
      <c r="BI46">
        <v>-17.47</v>
      </c>
      <c r="BJ46">
        <v>0</v>
      </c>
      <c r="BK46">
        <v>0</v>
      </c>
      <c r="BL46">
        <v>0.56999999999999995</v>
      </c>
      <c r="BM46">
        <v>-0.28000000000000003</v>
      </c>
      <c r="BN46">
        <v>-1.1100000000000001</v>
      </c>
      <c r="BO46">
        <v>-1.05</v>
      </c>
      <c r="BP46">
        <v>-1.6</v>
      </c>
      <c r="BQ46">
        <v>-0.86</v>
      </c>
      <c r="BR46">
        <v>-0.54</v>
      </c>
      <c r="BS46">
        <v>-1.59</v>
      </c>
      <c r="BT46">
        <v>-0.81</v>
      </c>
      <c r="BU46">
        <v>0.28999999999999998</v>
      </c>
      <c r="BV46">
        <v>-0.8</v>
      </c>
      <c r="BW46">
        <v>0.1</v>
      </c>
      <c r="BX46">
        <v>1.93</v>
      </c>
      <c r="BY46">
        <v>-0.37</v>
      </c>
      <c r="BZ46">
        <v>-0.85</v>
      </c>
      <c r="CA46">
        <v>0.1</v>
      </c>
      <c r="CB46">
        <v>0.27</v>
      </c>
      <c r="CC46">
        <v>-1.02</v>
      </c>
      <c r="CD46">
        <v>1.1299999999999999</v>
      </c>
      <c r="CE46">
        <v>-0.28000000000000003</v>
      </c>
      <c r="CF46">
        <v>0.14000000000000001</v>
      </c>
      <c r="CG46">
        <v>0</v>
      </c>
      <c r="CH46">
        <v>0.03</v>
      </c>
      <c r="CI46">
        <v>0</v>
      </c>
      <c r="CJ46">
        <v>-0.5</v>
      </c>
      <c r="CK46">
        <v>57</v>
      </c>
      <c r="CL46">
        <v>-1.1000000000000001</v>
      </c>
      <c r="CM46">
        <v>46</v>
      </c>
      <c r="CN46">
        <v>-0.46</v>
      </c>
      <c r="CO46">
        <v>46</v>
      </c>
      <c r="CP46">
        <v>2.4</v>
      </c>
      <c r="CQ46">
        <v>50</v>
      </c>
      <c r="CR46">
        <v>0</v>
      </c>
      <c r="CS46">
        <v>0</v>
      </c>
      <c r="CT46">
        <v>14.9</v>
      </c>
      <c r="CU46">
        <v>48</v>
      </c>
      <c r="CV46">
        <v>0.18</v>
      </c>
      <c r="CW46">
        <v>36</v>
      </c>
      <c r="CX46" t="s">
        <v>316</v>
      </c>
    </row>
    <row r="47" spans="1:102" x14ac:dyDescent="0.3">
      <c r="A47" t="str">
        <f>HYPERLINK("https://webapp.icbf.com/v2/app/bull-search/view/1473361583","FR4340")</f>
        <v>FR4340</v>
      </c>
      <c r="B47" t="s">
        <v>13763</v>
      </c>
      <c r="C47" t="s">
        <v>13764</v>
      </c>
      <c r="D47" s="1">
        <v>42766</v>
      </c>
      <c r="E47" t="s">
        <v>92</v>
      </c>
      <c r="F47">
        <v>81</v>
      </c>
      <c r="G47" t="s">
        <v>435</v>
      </c>
      <c r="H47">
        <v>274.66000000000003</v>
      </c>
      <c r="I47">
        <v>71</v>
      </c>
      <c r="J47">
        <v>13.96</v>
      </c>
      <c r="K47">
        <v>89</v>
      </c>
      <c r="L47">
        <v>196.6</v>
      </c>
      <c r="M47">
        <v>64</v>
      </c>
      <c r="N47">
        <v>44.78</v>
      </c>
      <c r="O47">
        <v>79</v>
      </c>
      <c r="P47">
        <v>-17.690000000000001</v>
      </c>
      <c r="Q47">
        <v>48</v>
      </c>
      <c r="R47">
        <v>13.55</v>
      </c>
      <c r="S47">
        <v>64</v>
      </c>
      <c r="T47">
        <v>18.78</v>
      </c>
      <c r="U47">
        <v>45</v>
      </c>
      <c r="V47">
        <v>4.68</v>
      </c>
      <c r="W47">
        <v>56</v>
      </c>
      <c r="X47" t="s">
        <v>94</v>
      </c>
      <c r="Y47" t="s">
        <v>2255</v>
      </c>
      <c r="Z47" t="s">
        <v>96</v>
      </c>
      <c r="AA47" t="s">
        <v>437</v>
      </c>
      <c r="AB47" t="s">
        <v>13765</v>
      </c>
      <c r="AC47">
        <v>0</v>
      </c>
      <c r="AD47">
        <v>0</v>
      </c>
      <c r="AE47">
        <v>89</v>
      </c>
      <c r="AF47">
        <v>-257.66000000000003</v>
      </c>
      <c r="AG47">
        <v>-0.11</v>
      </c>
      <c r="AH47">
        <v>-1.53</v>
      </c>
      <c r="AI47">
        <v>0.18</v>
      </c>
      <c r="AJ47">
        <v>0.13</v>
      </c>
      <c r="AK47">
        <v>64</v>
      </c>
      <c r="AL47">
        <v>0</v>
      </c>
      <c r="AM47">
        <v>0</v>
      </c>
      <c r="AN47">
        <v>-10.62</v>
      </c>
      <c r="AO47">
        <v>5.0599999999999996</v>
      </c>
      <c r="AP47">
        <v>160</v>
      </c>
      <c r="AQ47">
        <v>2</v>
      </c>
      <c r="AR47">
        <v>5.17</v>
      </c>
      <c r="AS47">
        <v>71</v>
      </c>
      <c r="AT47">
        <v>1.99</v>
      </c>
      <c r="AU47">
        <v>83</v>
      </c>
      <c r="AV47">
        <v>-3.69</v>
      </c>
      <c r="AW47">
        <v>94</v>
      </c>
      <c r="AX47">
        <v>0.49</v>
      </c>
      <c r="AY47">
        <v>72</v>
      </c>
      <c r="AZ47">
        <v>5.55</v>
      </c>
      <c r="BA47">
        <v>44</v>
      </c>
      <c r="BB47">
        <v>4.72</v>
      </c>
      <c r="BC47">
        <v>44</v>
      </c>
      <c r="BD47">
        <v>-7.0000000000000007E-2</v>
      </c>
      <c r="BE47">
        <v>-0.05</v>
      </c>
      <c r="BF47">
        <v>-0.1</v>
      </c>
      <c r="BG47">
        <v>73</v>
      </c>
      <c r="BH47">
        <v>0.16</v>
      </c>
      <c r="BI47">
        <v>3.4</v>
      </c>
      <c r="BJ47">
        <v>0</v>
      </c>
      <c r="BK47">
        <v>0</v>
      </c>
      <c r="BL47">
        <v>-0.47</v>
      </c>
      <c r="BM47">
        <v>-0.62</v>
      </c>
      <c r="BN47">
        <v>-2.09</v>
      </c>
      <c r="BO47">
        <v>-1.72</v>
      </c>
      <c r="BP47">
        <v>2.5499999999999998</v>
      </c>
      <c r="BQ47">
        <v>-1.98</v>
      </c>
      <c r="BR47">
        <v>-0.6</v>
      </c>
      <c r="BS47">
        <v>0.18</v>
      </c>
      <c r="BT47">
        <v>0.24</v>
      </c>
      <c r="BU47">
        <v>-0.71</v>
      </c>
      <c r="BV47">
        <v>-1.38</v>
      </c>
      <c r="BW47">
        <v>-0.42</v>
      </c>
      <c r="BX47">
        <v>1.54</v>
      </c>
      <c r="BY47">
        <v>-0.57999999999999996</v>
      </c>
      <c r="BZ47">
        <v>-0.96</v>
      </c>
      <c r="CA47">
        <v>-0.69</v>
      </c>
      <c r="CB47">
        <v>-1.0900000000000001</v>
      </c>
      <c r="CC47">
        <v>0.44</v>
      </c>
      <c r="CD47">
        <v>1.37</v>
      </c>
      <c r="CE47">
        <v>-1.26</v>
      </c>
      <c r="CF47">
        <v>-0.8</v>
      </c>
      <c r="CG47">
        <v>0</v>
      </c>
      <c r="CH47">
        <v>-0.81</v>
      </c>
      <c r="CI47">
        <v>0</v>
      </c>
      <c r="CJ47">
        <v>-9.3000000000000007</v>
      </c>
      <c r="CK47">
        <v>50</v>
      </c>
      <c r="CL47">
        <v>-0.72</v>
      </c>
      <c r="CM47">
        <v>45</v>
      </c>
      <c r="CN47">
        <v>-0.32</v>
      </c>
      <c r="CO47">
        <v>45</v>
      </c>
      <c r="CP47">
        <v>-7.8</v>
      </c>
      <c r="CQ47">
        <v>46</v>
      </c>
      <c r="CR47">
        <v>0</v>
      </c>
      <c r="CS47">
        <v>0</v>
      </c>
      <c r="CT47">
        <v>-11.6</v>
      </c>
      <c r="CU47">
        <v>45</v>
      </c>
      <c r="CV47">
        <v>0.1</v>
      </c>
      <c r="CW47">
        <v>35</v>
      </c>
      <c r="CX47" t="s">
        <v>13766</v>
      </c>
    </row>
    <row r="48" spans="1:102" x14ac:dyDescent="0.3">
      <c r="A48" t="str">
        <f>HYPERLINK("https://webapp.icbf.com/v2/app/bull-search/view/1481163576","FR4337")</f>
        <v>FR4337</v>
      </c>
      <c r="B48" t="s">
        <v>13715</v>
      </c>
      <c r="C48" t="s">
        <v>13716</v>
      </c>
      <c r="D48" s="1">
        <v>42782</v>
      </c>
      <c r="E48" t="s">
        <v>92</v>
      </c>
      <c r="F48">
        <v>75</v>
      </c>
      <c r="G48" t="s">
        <v>435</v>
      </c>
      <c r="H48">
        <v>273.98</v>
      </c>
      <c r="I48">
        <v>71</v>
      </c>
      <c r="J48">
        <v>100.5</v>
      </c>
      <c r="K48">
        <v>89</v>
      </c>
      <c r="L48">
        <v>124.24</v>
      </c>
      <c r="M48">
        <v>63</v>
      </c>
      <c r="N48">
        <v>41.12</v>
      </c>
      <c r="O48">
        <v>84</v>
      </c>
      <c r="P48">
        <v>-10.34</v>
      </c>
      <c r="Q48">
        <v>54</v>
      </c>
      <c r="R48">
        <v>7.94</v>
      </c>
      <c r="S48">
        <v>62</v>
      </c>
      <c r="T48">
        <v>4.3499999999999996</v>
      </c>
      <c r="U48">
        <v>47</v>
      </c>
      <c r="V48">
        <v>6.17</v>
      </c>
      <c r="W48">
        <v>57</v>
      </c>
      <c r="X48" t="s">
        <v>94</v>
      </c>
      <c r="Y48" t="s">
        <v>2255</v>
      </c>
      <c r="Z48" t="s">
        <v>330</v>
      </c>
      <c r="AA48" t="s">
        <v>7662</v>
      </c>
      <c r="AB48" t="s">
        <v>13717</v>
      </c>
      <c r="AC48">
        <v>0</v>
      </c>
      <c r="AD48">
        <v>0</v>
      </c>
      <c r="AE48">
        <v>89</v>
      </c>
      <c r="AF48">
        <v>-20.74</v>
      </c>
      <c r="AG48">
        <v>10.3</v>
      </c>
      <c r="AH48">
        <v>13.13</v>
      </c>
      <c r="AI48">
        <v>0.19</v>
      </c>
      <c r="AJ48">
        <v>0.24</v>
      </c>
      <c r="AK48">
        <v>63</v>
      </c>
      <c r="AL48">
        <v>0</v>
      </c>
      <c r="AM48">
        <v>0</v>
      </c>
      <c r="AN48">
        <v>-7.4</v>
      </c>
      <c r="AO48">
        <v>2.5</v>
      </c>
      <c r="AP48">
        <v>648</v>
      </c>
      <c r="AQ48">
        <v>1</v>
      </c>
      <c r="AR48">
        <v>6.68</v>
      </c>
      <c r="AS48">
        <v>70</v>
      </c>
      <c r="AT48">
        <v>2.85</v>
      </c>
      <c r="AU48">
        <v>94</v>
      </c>
      <c r="AV48">
        <v>-4.68</v>
      </c>
      <c r="AW48">
        <v>99</v>
      </c>
      <c r="AX48">
        <v>-0.17</v>
      </c>
      <c r="AY48">
        <v>91</v>
      </c>
      <c r="AZ48">
        <v>6.8</v>
      </c>
      <c r="BA48">
        <v>42</v>
      </c>
      <c r="BB48">
        <v>5.1100000000000003</v>
      </c>
      <c r="BC48">
        <v>35</v>
      </c>
      <c r="BD48">
        <v>-7.0000000000000007E-2</v>
      </c>
      <c r="BE48">
        <v>-0.04</v>
      </c>
      <c r="BF48">
        <v>0.01</v>
      </c>
      <c r="BG48">
        <v>73</v>
      </c>
      <c r="BH48">
        <v>0.16</v>
      </c>
      <c r="BI48">
        <v>-1.39</v>
      </c>
      <c r="BJ48">
        <v>0</v>
      </c>
      <c r="BK48">
        <v>0</v>
      </c>
      <c r="BL48">
        <v>-0.91</v>
      </c>
      <c r="BM48">
        <v>0.44</v>
      </c>
      <c r="BN48">
        <v>-1.1000000000000001</v>
      </c>
      <c r="BO48">
        <v>-1.53</v>
      </c>
      <c r="BP48">
        <v>0.39</v>
      </c>
      <c r="BQ48">
        <v>-1.52</v>
      </c>
      <c r="BR48">
        <v>0.04</v>
      </c>
      <c r="BS48">
        <v>-0.21</v>
      </c>
      <c r="BT48">
        <v>-2.02</v>
      </c>
      <c r="BU48">
        <v>-1.2</v>
      </c>
      <c r="BV48">
        <v>-1.5</v>
      </c>
      <c r="BW48">
        <v>-0.66</v>
      </c>
      <c r="BX48">
        <v>-0.75</v>
      </c>
      <c r="BY48">
        <v>-0.71</v>
      </c>
      <c r="BZ48">
        <v>0.03</v>
      </c>
      <c r="CA48">
        <v>-1.07</v>
      </c>
      <c r="CB48">
        <v>-0.82</v>
      </c>
      <c r="CC48">
        <v>-0.7</v>
      </c>
      <c r="CD48">
        <v>0.56999999999999995</v>
      </c>
      <c r="CE48">
        <v>-1.49</v>
      </c>
      <c r="CF48">
        <v>-1.72</v>
      </c>
      <c r="CG48">
        <v>0</v>
      </c>
      <c r="CH48">
        <v>-0.76</v>
      </c>
      <c r="CI48">
        <v>0</v>
      </c>
      <c r="CJ48">
        <v>-6</v>
      </c>
      <c r="CK48">
        <v>59</v>
      </c>
      <c r="CL48">
        <v>-0.56000000000000005</v>
      </c>
      <c r="CM48">
        <v>48</v>
      </c>
      <c r="CN48">
        <v>-0.37</v>
      </c>
      <c r="CO48">
        <v>46</v>
      </c>
      <c r="CP48">
        <v>-4.0999999999999996</v>
      </c>
      <c r="CQ48">
        <v>46</v>
      </c>
      <c r="CR48">
        <v>0</v>
      </c>
      <c r="CS48">
        <v>0</v>
      </c>
      <c r="CT48">
        <v>7.9</v>
      </c>
      <c r="CU48">
        <v>47</v>
      </c>
      <c r="CV48">
        <v>0.05</v>
      </c>
      <c r="CW48">
        <v>35</v>
      </c>
      <c r="CX48" t="s">
        <v>8456</v>
      </c>
    </row>
    <row r="49" spans="1:102" x14ac:dyDescent="0.3">
      <c r="A49" t="str">
        <f>HYPERLINK("https://webapp.icbf.com/v2/app/bull-search/view/1480626582","FR4515")</f>
        <v>FR4515</v>
      </c>
      <c r="B49" t="s">
        <v>6194</v>
      </c>
      <c r="C49" t="s">
        <v>6195</v>
      </c>
      <c r="D49" s="1">
        <v>42788</v>
      </c>
      <c r="E49" t="s">
        <v>92</v>
      </c>
      <c r="F49">
        <v>72</v>
      </c>
      <c r="G49" t="s">
        <v>435</v>
      </c>
      <c r="H49">
        <v>273.39</v>
      </c>
      <c r="I49">
        <v>68</v>
      </c>
      <c r="J49">
        <v>21.78</v>
      </c>
      <c r="K49">
        <v>88</v>
      </c>
      <c r="L49">
        <v>182.13</v>
      </c>
      <c r="M49">
        <v>59</v>
      </c>
      <c r="N49">
        <v>44.76</v>
      </c>
      <c r="O49">
        <v>76</v>
      </c>
      <c r="P49">
        <v>-13.54</v>
      </c>
      <c r="Q49">
        <v>49</v>
      </c>
      <c r="R49">
        <v>15.82</v>
      </c>
      <c r="S49">
        <v>60</v>
      </c>
      <c r="T49">
        <v>13.68</v>
      </c>
      <c r="U49">
        <v>46</v>
      </c>
      <c r="V49">
        <v>8.76</v>
      </c>
      <c r="W49">
        <v>56</v>
      </c>
      <c r="X49" t="s">
        <v>94</v>
      </c>
      <c r="Y49" t="s">
        <v>2384</v>
      </c>
      <c r="Z49" t="s">
        <v>330</v>
      </c>
      <c r="AA49" t="s">
        <v>6192</v>
      </c>
      <c r="AB49" t="s">
        <v>6196</v>
      </c>
      <c r="AC49">
        <v>0</v>
      </c>
      <c r="AD49">
        <v>0</v>
      </c>
      <c r="AE49">
        <v>88</v>
      </c>
      <c r="AF49">
        <v>-3.51</v>
      </c>
      <c r="AG49">
        <v>2.66</v>
      </c>
      <c r="AH49">
        <v>2.71</v>
      </c>
      <c r="AI49">
        <v>0.04</v>
      </c>
      <c r="AJ49">
        <v>0.05</v>
      </c>
      <c r="AK49">
        <v>59</v>
      </c>
      <c r="AL49">
        <v>0</v>
      </c>
      <c r="AM49">
        <v>0</v>
      </c>
      <c r="AN49">
        <v>-9.49</v>
      </c>
      <c r="AO49">
        <v>5.04</v>
      </c>
      <c r="AP49">
        <v>123</v>
      </c>
      <c r="AQ49">
        <v>0</v>
      </c>
      <c r="AR49">
        <v>5.61</v>
      </c>
      <c r="AS49">
        <v>63</v>
      </c>
      <c r="AT49">
        <v>2.16</v>
      </c>
      <c r="AU49">
        <v>81</v>
      </c>
      <c r="AV49">
        <v>-4.18</v>
      </c>
      <c r="AW49">
        <v>94</v>
      </c>
      <c r="AX49">
        <v>0.05</v>
      </c>
      <c r="AY49">
        <v>70</v>
      </c>
      <c r="AZ49">
        <v>7.15</v>
      </c>
      <c r="BA49">
        <v>40</v>
      </c>
      <c r="BB49">
        <v>4.88</v>
      </c>
      <c r="BC49">
        <v>32</v>
      </c>
      <c r="BD49">
        <v>-7.0000000000000007E-2</v>
      </c>
      <c r="BE49">
        <v>-0.03</v>
      </c>
      <c r="BF49">
        <v>-0.19</v>
      </c>
      <c r="BG49">
        <v>71</v>
      </c>
      <c r="BH49">
        <v>0.01</v>
      </c>
      <c r="BI49">
        <v>-27.11</v>
      </c>
      <c r="BJ49">
        <v>0</v>
      </c>
      <c r="BK49">
        <v>0</v>
      </c>
      <c r="BL49">
        <v>-1.63</v>
      </c>
      <c r="BM49">
        <v>-1.19</v>
      </c>
      <c r="BN49">
        <v>-2.27</v>
      </c>
      <c r="BO49">
        <v>-1.25</v>
      </c>
      <c r="BP49">
        <v>3.7</v>
      </c>
      <c r="BQ49">
        <v>-3.75</v>
      </c>
      <c r="BR49">
        <v>2.6</v>
      </c>
      <c r="BS49">
        <v>-1.57</v>
      </c>
      <c r="BT49">
        <v>-1.66</v>
      </c>
      <c r="BU49">
        <v>-0.34</v>
      </c>
      <c r="BV49">
        <v>-2.56</v>
      </c>
      <c r="BW49">
        <v>-2.34</v>
      </c>
      <c r="BX49">
        <v>-0.65</v>
      </c>
      <c r="BY49">
        <v>-0.77</v>
      </c>
      <c r="BZ49">
        <v>-1.63</v>
      </c>
      <c r="CA49">
        <v>-1.73</v>
      </c>
      <c r="CB49">
        <v>-1.1100000000000001</v>
      </c>
      <c r="CC49">
        <v>-1.54</v>
      </c>
      <c r="CD49">
        <v>0.9</v>
      </c>
      <c r="CE49">
        <v>-0.37</v>
      </c>
      <c r="CF49">
        <v>-0.98</v>
      </c>
      <c r="CG49">
        <v>0</v>
      </c>
      <c r="CH49">
        <v>-0.43</v>
      </c>
      <c r="CI49">
        <v>0</v>
      </c>
      <c r="CJ49">
        <v>-6.6</v>
      </c>
      <c r="CK49">
        <v>51</v>
      </c>
      <c r="CL49">
        <v>-0.67</v>
      </c>
      <c r="CM49">
        <v>46</v>
      </c>
      <c r="CN49">
        <v>-0.43</v>
      </c>
      <c r="CO49">
        <v>46</v>
      </c>
      <c r="CP49">
        <v>-17</v>
      </c>
      <c r="CQ49">
        <v>44</v>
      </c>
      <c r="CR49">
        <v>0</v>
      </c>
      <c r="CS49">
        <v>0</v>
      </c>
      <c r="CT49">
        <v>-4.7</v>
      </c>
      <c r="CU49">
        <v>46</v>
      </c>
      <c r="CV49">
        <v>-0.02</v>
      </c>
      <c r="CW49">
        <v>35</v>
      </c>
      <c r="CX49" t="s">
        <v>1861</v>
      </c>
    </row>
    <row r="50" spans="1:102" x14ac:dyDescent="0.3">
      <c r="A50" t="str">
        <f>HYPERLINK("https://webapp.icbf.com/v2/app/bull-search/view/1605897015","FR4767")</f>
        <v>FR4767</v>
      </c>
      <c r="B50" t="s">
        <v>9532</v>
      </c>
      <c r="C50" t="s">
        <v>9533</v>
      </c>
      <c r="D50" s="1">
        <v>43134</v>
      </c>
      <c r="E50" t="s">
        <v>92</v>
      </c>
      <c r="F50">
        <v>66</v>
      </c>
      <c r="G50" t="s">
        <v>435</v>
      </c>
      <c r="H50">
        <v>272.86</v>
      </c>
      <c r="I50">
        <v>67</v>
      </c>
      <c r="J50">
        <v>108.64</v>
      </c>
      <c r="K50">
        <v>88</v>
      </c>
      <c r="L50">
        <v>126.33</v>
      </c>
      <c r="M50">
        <v>62</v>
      </c>
      <c r="N50">
        <v>43.17</v>
      </c>
      <c r="O50">
        <v>50</v>
      </c>
      <c r="P50">
        <v>-12.56</v>
      </c>
      <c r="Q50">
        <v>46</v>
      </c>
      <c r="R50">
        <v>-0.78</v>
      </c>
      <c r="S50">
        <v>62</v>
      </c>
      <c r="T50">
        <v>6.06</v>
      </c>
      <c r="U50">
        <v>45</v>
      </c>
      <c r="V50">
        <v>2</v>
      </c>
      <c r="W50">
        <v>56</v>
      </c>
      <c r="X50" t="s">
        <v>102</v>
      </c>
      <c r="Y50" t="s">
        <v>2384</v>
      </c>
      <c r="Z50" t="s">
        <v>330</v>
      </c>
      <c r="AA50" t="s">
        <v>6253</v>
      </c>
      <c r="AB50" t="s">
        <v>9534</v>
      </c>
      <c r="AC50">
        <v>0</v>
      </c>
      <c r="AD50">
        <v>0</v>
      </c>
      <c r="AE50">
        <v>88</v>
      </c>
      <c r="AF50">
        <v>234.83</v>
      </c>
      <c r="AG50">
        <v>18.52</v>
      </c>
      <c r="AH50">
        <v>15.52</v>
      </c>
      <c r="AI50">
        <v>0.15</v>
      </c>
      <c r="AJ50">
        <v>0.13</v>
      </c>
      <c r="AK50">
        <v>62</v>
      </c>
      <c r="AL50">
        <v>0</v>
      </c>
      <c r="AM50">
        <v>0</v>
      </c>
      <c r="AN50">
        <v>-7.24</v>
      </c>
      <c r="AO50">
        <v>2.83</v>
      </c>
      <c r="AP50">
        <v>1</v>
      </c>
      <c r="AQ50">
        <v>0</v>
      </c>
      <c r="AR50">
        <v>7.81</v>
      </c>
      <c r="AS50">
        <v>55</v>
      </c>
      <c r="AT50">
        <v>2.48</v>
      </c>
      <c r="AU50">
        <v>63</v>
      </c>
      <c r="AV50">
        <v>-5.29</v>
      </c>
      <c r="AW50">
        <v>48</v>
      </c>
      <c r="AX50">
        <v>-0.37</v>
      </c>
      <c r="AY50">
        <v>47</v>
      </c>
      <c r="AZ50">
        <v>7.55</v>
      </c>
      <c r="BA50">
        <v>44</v>
      </c>
      <c r="BB50">
        <v>5.55</v>
      </c>
      <c r="BC50">
        <v>34</v>
      </c>
      <c r="BD50">
        <v>-0.06</v>
      </c>
      <c r="BE50">
        <v>0.02</v>
      </c>
      <c r="BF50">
        <v>0.08</v>
      </c>
      <c r="BG50">
        <v>73</v>
      </c>
      <c r="BH50">
        <v>0.08</v>
      </c>
      <c r="BI50">
        <v>2.79</v>
      </c>
      <c r="BJ50">
        <v>0</v>
      </c>
      <c r="BK50">
        <v>0</v>
      </c>
      <c r="BL50">
        <v>-1.55</v>
      </c>
      <c r="BM50">
        <v>1.47</v>
      </c>
      <c r="BN50">
        <v>-0.72</v>
      </c>
      <c r="BO50">
        <v>-1.41</v>
      </c>
      <c r="BP50">
        <v>0.64</v>
      </c>
      <c r="BQ50">
        <v>-3.09</v>
      </c>
      <c r="BR50">
        <v>-0.56999999999999995</v>
      </c>
      <c r="BS50">
        <v>0.3</v>
      </c>
      <c r="BT50">
        <v>-0.16</v>
      </c>
      <c r="BU50">
        <v>-0.63</v>
      </c>
      <c r="BV50">
        <v>-1.01</v>
      </c>
      <c r="BW50">
        <v>-1.02</v>
      </c>
      <c r="BX50">
        <v>-1.45</v>
      </c>
      <c r="BY50">
        <v>-2.52</v>
      </c>
      <c r="BZ50">
        <v>1.67</v>
      </c>
      <c r="CA50">
        <v>-1.19</v>
      </c>
      <c r="CB50">
        <v>-1.07</v>
      </c>
      <c r="CC50">
        <v>-0.21</v>
      </c>
      <c r="CD50">
        <v>1.08</v>
      </c>
      <c r="CE50">
        <v>-0.57999999999999996</v>
      </c>
      <c r="CF50">
        <v>-0.75</v>
      </c>
      <c r="CG50">
        <v>0</v>
      </c>
      <c r="CH50">
        <v>-0.98</v>
      </c>
      <c r="CI50">
        <v>0</v>
      </c>
      <c r="CJ50">
        <v>-6.1</v>
      </c>
      <c r="CK50">
        <v>47</v>
      </c>
      <c r="CL50">
        <v>-0.82</v>
      </c>
      <c r="CM50">
        <v>46</v>
      </c>
      <c r="CN50">
        <v>-0.48</v>
      </c>
      <c r="CO50">
        <v>46</v>
      </c>
      <c r="CP50">
        <v>-8.6999999999999993</v>
      </c>
      <c r="CQ50">
        <v>43</v>
      </c>
      <c r="CR50">
        <v>0</v>
      </c>
      <c r="CS50">
        <v>0</v>
      </c>
      <c r="CT50">
        <v>5.6</v>
      </c>
      <c r="CU50">
        <v>45</v>
      </c>
      <c r="CV50">
        <v>0.1</v>
      </c>
      <c r="CW50">
        <v>35</v>
      </c>
      <c r="CX50" t="s">
        <v>7873</v>
      </c>
    </row>
    <row r="51" spans="1:102" x14ac:dyDescent="0.3">
      <c r="A51" t="str">
        <f>HYPERLINK("https://webapp.icbf.com/v2/app/bull-search/view/1471467894","FR4510")</f>
        <v>FR4510</v>
      </c>
      <c r="B51" t="s">
        <v>8404</v>
      </c>
      <c r="C51" t="s">
        <v>8405</v>
      </c>
      <c r="D51" s="1">
        <v>42758</v>
      </c>
      <c r="E51" t="s">
        <v>92</v>
      </c>
      <c r="F51">
        <v>81</v>
      </c>
      <c r="G51" t="s">
        <v>435</v>
      </c>
      <c r="H51">
        <v>271.67</v>
      </c>
      <c r="I51">
        <v>74</v>
      </c>
      <c r="J51">
        <v>96.44</v>
      </c>
      <c r="K51">
        <v>91</v>
      </c>
      <c r="L51">
        <v>129.65</v>
      </c>
      <c r="M51">
        <v>67</v>
      </c>
      <c r="N51">
        <v>34.36</v>
      </c>
      <c r="O51">
        <v>85</v>
      </c>
      <c r="P51">
        <v>-7.57</v>
      </c>
      <c r="Q51">
        <v>53</v>
      </c>
      <c r="R51">
        <v>14.67</v>
      </c>
      <c r="S51">
        <v>67</v>
      </c>
      <c r="T51">
        <v>3.24</v>
      </c>
      <c r="U51">
        <v>48</v>
      </c>
      <c r="V51">
        <v>0.88</v>
      </c>
      <c r="W51">
        <v>59</v>
      </c>
      <c r="X51" t="s">
        <v>94</v>
      </c>
      <c r="Y51" t="s">
        <v>2384</v>
      </c>
      <c r="Z51" t="s">
        <v>96</v>
      </c>
      <c r="AA51" t="s">
        <v>2157</v>
      </c>
      <c r="AB51" t="s">
        <v>8406</v>
      </c>
      <c r="AC51">
        <v>0</v>
      </c>
      <c r="AD51">
        <v>0</v>
      </c>
      <c r="AE51">
        <v>91</v>
      </c>
      <c r="AF51">
        <v>-41.28</v>
      </c>
      <c r="AG51">
        <v>12.55</v>
      </c>
      <c r="AH51">
        <v>11.33</v>
      </c>
      <c r="AI51">
        <v>0.24</v>
      </c>
      <c r="AJ51">
        <v>0.23</v>
      </c>
      <c r="AK51">
        <v>67</v>
      </c>
      <c r="AL51">
        <v>0</v>
      </c>
      <c r="AM51">
        <v>0</v>
      </c>
      <c r="AN51">
        <v>-7.01</v>
      </c>
      <c r="AO51">
        <v>3.33</v>
      </c>
      <c r="AP51">
        <v>384</v>
      </c>
      <c r="AQ51">
        <v>2</v>
      </c>
      <c r="AR51">
        <v>4.88</v>
      </c>
      <c r="AS51">
        <v>78</v>
      </c>
      <c r="AT51">
        <v>2.58</v>
      </c>
      <c r="AU51">
        <v>90</v>
      </c>
      <c r="AV51">
        <v>-2.93</v>
      </c>
      <c r="AW51">
        <v>98</v>
      </c>
      <c r="AX51">
        <v>-1.04</v>
      </c>
      <c r="AY51">
        <v>86</v>
      </c>
      <c r="AZ51">
        <v>6.97</v>
      </c>
      <c r="BA51">
        <v>46</v>
      </c>
      <c r="BB51">
        <v>5.3</v>
      </c>
      <c r="BC51">
        <v>47</v>
      </c>
      <c r="BD51">
        <v>-0.08</v>
      </c>
      <c r="BE51">
        <v>-0.06</v>
      </c>
      <c r="BF51">
        <v>-0.09</v>
      </c>
      <c r="BG51">
        <v>76</v>
      </c>
      <c r="BH51">
        <v>0.13</v>
      </c>
      <c r="BI51">
        <v>12.19</v>
      </c>
      <c r="BJ51">
        <v>0</v>
      </c>
      <c r="BK51">
        <v>0</v>
      </c>
      <c r="BL51">
        <v>-1.08</v>
      </c>
      <c r="BM51">
        <v>-0.05</v>
      </c>
      <c r="BN51">
        <v>-2.2200000000000002</v>
      </c>
      <c r="BO51">
        <v>-1.43</v>
      </c>
      <c r="BP51">
        <v>2.58</v>
      </c>
      <c r="BQ51">
        <v>-1.92</v>
      </c>
      <c r="BR51">
        <v>-0.71</v>
      </c>
      <c r="BS51">
        <v>-0.49</v>
      </c>
      <c r="BT51">
        <v>-0.51</v>
      </c>
      <c r="BU51">
        <v>-0.85</v>
      </c>
      <c r="BV51">
        <v>-1.48</v>
      </c>
      <c r="BW51">
        <v>-2.02</v>
      </c>
      <c r="BX51">
        <v>-1.1499999999999999</v>
      </c>
      <c r="BY51">
        <v>-2.4300000000000002</v>
      </c>
      <c r="BZ51">
        <v>-1.73</v>
      </c>
      <c r="CA51">
        <v>-1.24</v>
      </c>
      <c r="CB51">
        <v>-1.1200000000000001</v>
      </c>
      <c r="CC51">
        <v>-0.98</v>
      </c>
      <c r="CD51">
        <v>0.82</v>
      </c>
      <c r="CE51">
        <v>-0.97</v>
      </c>
      <c r="CF51">
        <v>-1.24</v>
      </c>
      <c r="CG51">
        <v>0</v>
      </c>
      <c r="CH51">
        <v>-0.14000000000000001</v>
      </c>
      <c r="CI51">
        <v>0</v>
      </c>
      <c r="CJ51">
        <v>-4.5</v>
      </c>
      <c r="CK51">
        <v>58</v>
      </c>
      <c r="CL51">
        <v>-0.54</v>
      </c>
      <c r="CM51">
        <v>47</v>
      </c>
      <c r="CN51">
        <v>-0.38</v>
      </c>
      <c r="CO51">
        <v>46</v>
      </c>
      <c r="CP51">
        <v>-1.6</v>
      </c>
      <c r="CQ51">
        <v>49</v>
      </c>
      <c r="CR51">
        <v>0</v>
      </c>
      <c r="CS51">
        <v>0</v>
      </c>
      <c r="CT51">
        <v>9.4</v>
      </c>
      <c r="CU51">
        <v>48</v>
      </c>
      <c r="CV51">
        <v>0.12</v>
      </c>
      <c r="CW51">
        <v>36</v>
      </c>
      <c r="CX51" t="s">
        <v>5996</v>
      </c>
    </row>
    <row r="52" spans="1:102" x14ac:dyDescent="0.3">
      <c r="A52" t="str">
        <f>HYPERLINK("https://webapp.icbf.com/v2/app/bull-search/view/1476451267","FR4548")</f>
        <v>FR4548</v>
      </c>
      <c r="B52" t="s">
        <v>14583</v>
      </c>
      <c r="C52" t="s">
        <v>14584</v>
      </c>
      <c r="D52" s="1">
        <v>42775</v>
      </c>
      <c r="E52" t="s">
        <v>92</v>
      </c>
      <c r="F52">
        <v>72</v>
      </c>
      <c r="G52" t="s">
        <v>435</v>
      </c>
      <c r="H52">
        <v>271.13</v>
      </c>
      <c r="I52">
        <v>67</v>
      </c>
      <c r="J52">
        <v>84.96</v>
      </c>
      <c r="K52">
        <v>87</v>
      </c>
      <c r="L52">
        <v>140.13</v>
      </c>
      <c r="M52">
        <v>58</v>
      </c>
      <c r="N52">
        <v>53.34</v>
      </c>
      <c r="O52">
        <v>75</v>
      </c>
      <c r="P52">
        <v>-23.78</v>
      </c>
      <c r="Q52">
        <v>48</v>
      </c>
      <c r="R52">
        <v>3.09</v>
      </c>
      <c r="S52">
        <v>58</v>
      </c>
      <c r="T52">
        <v>15.08</v>
      </c>
      <c r="U52">
        <v>43</v>
      </c>
      <c r="V52">
        <v>-1.69</v>
      </c>
      <c r="W52">
        <v>53</v>
      </c>
      <c r="X52" t="s">
        <v>94</v>
      </c>
      <c r="Y52" t="s">
        <v>2384</v>
      </c>
      <c r="Z52" t="s">
        <v>96</v>
      </c>
      <c r="AA52" t="s">
        <v>9371</v>
      </c>
      <c r="AB52" t="s">
        <v>14585</v>
      </c>
      <c r="AC52">
        <v>0</v>
      </c>
      <c r="AD52">
        <v>0</v>
      </c>
      <c r="AE52">
        <v>87</v>
      </c>
      <c r="AF52">
        <v>8.61</v>
      </c>
      <c r="AG52">
        <v>8.5399999999999991</v>
      </c>
      <c r="AH52">
        <v>11.56</v>
      </c>
      <c r="AI52">
        <v>0.14000000000000001</v>
      </c>
      <c r="AJ52">
        <v>0.2</v>
      </c>
      <c r="AK52">
        <v>58</v>
      </c>
      <c r="AL52">
        <v>0</v>
      </c>
      <c r="AM52">
        <v>0</v>
      </c>
      <c r="AN52">
        <v>-5.74</v>
      </c>
      <c r="AO52">
        <v>5.46</v>
      </c>
      <c r="AP52">
        <v>131</v>
      </c>
      <c r="AQ52">
        <v>0</v>
      </c>
      <c r="AR52">
        <v>5.1100000000000003</v>
      </c>
      <c r="AS52">
        <v>61</v>
      </c>
      <c r="AT52">
        <v>1.65</v>
      </c>
      <c r="AU52">
        <v>81</v>
      </c>
      <c r="AV52">
        <v>-5.25</v>
      </c>
      <c r="AW52">
        <v>92</v>
      </c>
      <c r="AX52">
        <v>0.59</v>
      </c>
      <c r="AY52">
        <v>69</v>
      </c>
      <c r="AZ52">
        <v>6.38</v>
      </c>
      <c r="BA52">
        <v>36</v>
      </c>
      <c r="BB52">
        <v>5.61</v>
      </c>
      <c r="BC52">
        <v>33</v>
      </c>
      <c r="BD52">
        <v>0</v>
      </c>
      <c r="BE52">
        <v>0.01</v>
      </c>
      <c r="BF52">
        <v>-0.09</v>
      </c>
      <c r="BG52">
        <v>68</v>
      </c>
      <c r="BH52">
        <v>0.02</v>
      </c>
      <c r="BI52">
        <v>7.75</v>
      </c>
      <c r="BJ52">
        <v>0</v>
      </c>
      <c r="BK52">
        <v>0</v>
      </c>
      <c r="BL52">
        <v>-1.24</v>
      </c>
      <c r="BM52">
        <v>0.03</v>
      </c>
      <c r="BN52">
        <v>-1.21</v>
      </c>
      <c r="BO52">
        <v>-1.05</v>
      </c>
      <c r="BP52">
        <v>0.56999999999999995</v>
      </c>
      <c r="BQ52">
        <v>-1.22</v>
      </c>
      <c r="BR52">
        <v>0.42</v>
      </c>
      <c r="BS52">
        <v>-0.28999999999999998</v>
      </c>
      <c r="BT52">
        <v>-0.44</v>
      </c>
      <c r="BU52">
        <v>-1.29</v>
      </c>
      <c r="BV52">
        <v>-1.03</v>
      </c>
      <c r="BW52">
        <v>-1.66</v>
      </c>
      <c r="BX52">
        <v>-0.44</v>
      </c>
      <c r="BY52">
        <v>-0.76</v>
      </c>
      <c r="BZ52">
        <v>0.36</v>
      </c>
      <c r="CA52">
        <v>-0.97</v>
      </c>
      <c r="CB52">
        <v>-1.2</v>
      </c>
      <c r="CC52">
        <v>-0.44</v>
      </c>
      <c r="CD52">
        <v>0.42</v>
      </c>
      <c r="CE52">
        <v>-0.5</v>
      </c>
      <c r="CF52">
        <v>-0.57999999999999996</v>
      </c>
      <c r="CG52">
        <v>0</v>
      </c>
      <c r="CH52">
        <v>-0.86</v>
      </c>
      <c r="CI52">
        <v>0</v>
      </c>
      <c r="CJ52">
        <v>-10.7</v>
      </c>
      <c r="CK52">
        <v>51</v>
      </c>
      <c r="CL52">
        <v>-0.8</v>
      </c>
      <c r="CM52">
        <v>45</v>
      </c>
      <c r="CN52">
        <v>-0.09</v>
      </c>
      <c r="CO52">
        <v>45</v>
      </c>
      <c r="CP52">
        <v>-12.1</v>
      </c>
      <c r="CQ52">
        <v>43</v>
      </c>
      <c r="CR52">
        <v>0</v>
      </c>
      <c r="CS52">
        <v>0</v>
      </c>
      <c r="CT52">
        <v>-6.6</v>
      </c>
      <c r="CU52">
        <v>43</v>
      </c>
      <c r="CV52">
        <v>0</v>
      </c>
      <c r="CW52">
        <v>35</v>
      </c>
      <c r="CX52" t="s">
        <v>390</v>
      </c>
    </row>
    <row r="53" spans="1:102" x14ac:dyDescent="0.3">
      <c r="A53" t="str">
        <f>HYPERLINK("https://webapp.icbf.com/v2/app/bull-search/view/1608582720","FR4720")</f>
        <v>FR4720</v>
      </c>
      <c r="B53" t="s">
        <v>10332</v>
      </c>
      <c r="C53" t="s">
        <v>10333</v>
      </c>
      <c r="D53" s="1">
        <v>43140</v>
      </c>
      <c r="E53" t="s">
        <v>92</v>
      </c>
      <c r="F53">
        <v>91</v>
      </c>
      <c r="G53" t="s">
        <v>435</v>
      </c>
      <c r="H53">
        <v>270.70999999999998</v>
      </c>
      <c r="I53">
        <v>69</v>
      </c>
      <c r="J53">
        <v>106.25</v>
      </c>
      <c r="K53">
        <v>90</v>
      </c>
      <c r="L53">
        <v>116.52</v>
      </c>
      <c r="M53">
        <v>65</v>
      </c>
      <c r="N53">
        <v>37.49</v>
      </c>
      <c r="O53">
        <v>57</v>
      </c>
      <c r="P53">
        <v>-3.41</v>
      </c>
      <c r="Q53">
        <v>47</v>
      </c>
      <c r="R53">
        <v>2.46</v>
      </c>
      <c r="S53">
        <v>65</v>
      </c>
      <c r="T53">
        <v>7.76</v>
      </c>
      <c r="U53">
        <v>41</v>
      </c>
      <c r="V53">
        <v>3.64</v>
      </c>
      <c r="W53">
        <v>61</v>
      </c>
      <c r="X53" t="s">
        <v>102</v>
      </c>
      <c r="Y53" t="s">
        <v>2384</v>
      </c>
      <c r="Z53" t="s">
        <v>96</v>
      </c>
      <c r="AA53" t="s">
        <v>6092</v>
      </c>
      <c r="AB53" t="s">
        <v>10334</v>
      </c>
      <c r="AC53">
        <v>0</v>
      </c>
      <c r="AD53">
        <v>0</v>
      </c>
      <c r="AE53">
        <v>90</v>
      </c>
      <c r="AF53">
        <v>-36.08</v>
      </c>
      <c r="AG53">
        <v>27.5</v>
      </c>
      <c r="AH53">
        <v>7.79</v>
      </c>
      <c r="AI53">
        <v>0.5</v>
      </c>
      <c r="AJ53">
        <v>0.16</v>
      </c>
      <c r="AK53">
        <v>65</v>
      </c>
      <c r="AL53">
        <v>0</v>
      </c>
      <c r="AM53">
        <v>0</v>
      </c>
      <c r="AN53">
        <v>-5.77</v>
      </c>
      <c r="AO53">
        <v>3.53</v>
      </c>
      <c r="AP53">
        <v>1</v>
      </c>
      <c r="AQ53">
        <v>0</v>
      </c>
      <c r="AR53">
        <v>6.25</v>
      </c>
      <c r="AS53">
        <v>58</v>
      </c>
      <c r="AT53">
        <v>2.4900000000000002</v>
      </c>
      <c r="AU53">
        <v>68</v>
      </c>
      <c r="AV53">
        <v>-4.09</v>
      </c>
      <c r="AW53">
        <v>61</v>
      </c>
      <c r="AX53">
        <v>-0.26</v>
      </c>
      <c r="AY53">
        <v>47</v>
      </c>
      <c r="AZ53">
        <v>6.61</v>
      </c>
      <c r="BA53">
        <v>44</v>
      </c>
      <c r="BB53">
        <v>5.74</v>
      </c>
      <c r="BC53">
        <v>36</v>
      </c>
      <c r="BD53">
        <v>-0.04</v>
      </c>
      <c r="BE53">
        <v>0</v>
      </c>
      <c r="BF53">
        <v>0.01</v>
      </c>
      <c r="BG53">
        <v>76</v>
      </c>
      <c r="BH53">
        <v>0.1</v>
      </c>
      <c r="BI53">
        <v>-0.16</v>
      </c>
      <c r="BJ53">
        <v>0</v>
      </c>
      <c r="BK53">
        <v>0</v>
      </c>
      <c r="BL53">
        <v>-0.51</v>
      </c>
      <c r="BM53">
        <v>0.91</v>
      </c>
      <c r="BN53">
        <v>-1.0900000000000001</v>
      </c>
      <c r="BO53">
        <v>-1.1599999999999999</v>
      </c>
      <c r="BP53">
        <v>-0.43</v>
      </c>
      <c r="BQ53">
        <v>0.16</v>
      </c>
      <c r="BR53">
        <v>-0.73</v>
      </c>
      <c r="BS53">
        <v>0.81</v>
      </c>
      <c r="BT53">
        <v>-0.8</v>
      </c>
      <c r="BU53">
        <v>-0.63</v>
      </c>
      <c r="BV53">
        <v>-0.86</v>
      </c>
      <c r="BW53">
        <v>-0.56999999999999995</v>
      </c>
      <c r="BX53">
        <v>-0.17</v>
      </c>
      <c r="BY53">
        <v>-1.35</v>
      </c>
      <c r="BZ53">
        <v>-1.8</v>
      </c>
      <c r="CA53">
        <v>-0.85</v>
      </c>
      <c r="CB53">
        <v>-0.66</v>
      </c>
      <c r="CC53">
        <v>-0.54</v>
      </c>
      <c r="CD53">
        <v>1.01</v>
      </c>
      <c r="CE53">
        <v>-0.61</v>
      </c>
      <c r="CF53">
        <v>0.08</v>
      </c>
      <c r="CG53">
        <v>0</v>
      </c>
      <c r="CH53">
        <v>0.18</v>
      </c>
      <c r="CI53">
        <v>0</v>
      </c>
      <c r="CJ53">
        <v>1.7</v>
      </c>
      <c r="CK53">
        <v>47</v>
      </c>
      <c r="CL53">
        <v>-0.78</v>
      </c>
      <c r="CM53">
        <v>47</v>
      </c>
      <c r="CN53">
        <v>-0.21</v>
      </c>
      <c r="CO53">
        <v>47</v>
      </c>
      <c r="CP53">
        <v>-1.1000000000000001</v>
      </c>
      <c r="CQ53">
        <v>41</v>
      </c>
      <c r="CR53">
        <v>0</v>
      </c>
      <c r="CS53">
        <v>0</v>
      </c>
      <c r="CT53">
        <v>3.3</v>
      </c>
      <c r="CU53">
        <v>41</v>
      </c>
      <c r="CV53">
        <v>0.28000000000000003</v>
      </c>
      <c r="CW53">
        <v>36</v>
      </c>
      <c r="CX53" t="s">
        <v>316</v>
      </c>
    </row>
    <row r="54" spans="1:102" x14ac:dyDescent="0.3">
      <c r="A54" t="str">
        <f>HYPERLINK("https://webapp.icbf.com/v2/app/bull-search/view/1619518265","FR4608")</f>
        <v>FR4608</v>
      </c>
      <c r="B54" t="s">
        <v>9518</v>
      </c>
      <c r="C54" t="s">
        <v>9519</v>
      </c>
      <c r="D54" s="1">
        <v>42605</v>
      </c>
      <c r="E54" t="s">
        <v>92</v>
      </c>
      <c r="F54">
        <v>100</v>
      </c>
      <c r="G54" t="s">
        <v>435</v>
      </c>
      <c r="H54">
        <v>270.37</v>
      </c>
      <c r="I54">
        <v>68</v>
      </c>
      <c r="J54">
        <v>100.87</v>
      </c>
      <c r="K54">
        <v>88</v>
      </c>
      <c r="L54">
        <v>102.41</v>
      </c>
      <c r="M54">
        <v>66</v>
      </c>
      <c r="N54">
        <v>53.9</v>
      </c>
      <c r="O54">
        <v>77</v>
      </c>
      <c r="P54">
        <v>0.93</v>
      </c>
      <c r="Q54">
        <v>34</v>
      </c>
      <c r="R54">
        <v>16.72</v>
      </c>
      <c r="S54">
        <v>62</v>
      </c>
      <c r="T54">
        <v>-6.75</v>
      </c>
      <c r="U54">
        <v>33</v>
      </c>
      <c r="V54">
        <v>2.29</v>
      </c>
      <c r="W54">
        <v>52</v>
      </c>
      <c r="X54" t="s">
        <v>428</v>
      </c>
      <c r="Y54" t="s">
        <v>442</v>
      </c>
      <c r="Z54" t="s">
        <v>96</v>
      </c>
      <c r="AA54" t="s">
        <v>2309</v>
      </c>
      <c r="AB54" t="s">
        <v>9520</v>
      </c>
      <c r="AC54">
        <v>0</v>
      </c>
      <c r="AD54">
        <v>0</v>
      </c>
      <c r="AE54">
        <v>88</v>
      </c>
      <c r="AF54">
        <v>378.4</v>
      </c>
      <c r="AG54">
        <v>21.7</v>
      </c>
      <c r="AH54">
        <v>15.27</v>
      </c>
      <c r="AI54">
        <v>0.11</v>
      </c>
      <c r="AJ54">
        <v>0.04</v>
      </c>
      <c r="AK54">
        <v>66</v>
      </c>
      <c r="AL54">
        <v>0</v>
      </c>
      <c r="AM54">
        <v>0</v>
      </c>
      <c r="AN54">
        <v>-4.55</v>
      </c>
      <c r="AO54">
        <v>3.63</v>
      </c>
      <c r="AP54">
        <v>183</v>
      </c>
      <c r="AQ54">
        <v>0</v>
      </c>
      <c r="AR54">
        <v>4.17</v>
      </c>
      <c r="AS54">
        <v>68</v>
      </c>
      <c r="AT54">
        <v>2.1</v>
      </c>
      <c r="AU54">
        <v>88</v>
      </c>
      <c r="AV54">
        <v>-3.79</v>
      </c>
      <c r="AW54">
        <v>92</v>
      </c>
      <c r="AX54">
        <v>-0.84</v>
      </c>
      <c r="AY54">
        <v>73</v>
      </c>
      <c r="AZ54">
        <v>5.36</v>
      </c>
      <c r="BA54">
        <v>32</v>
      </c>
      <c r="BB54">
        <v>3.92</v>
      </c>
      <c r="BC54">
        <v>32</v>
      </c>
      <c r="BD54">
        <v>-0.08</v>
      </c>
      <c r="BE54">
        <v>-0.09</v>
      </c>
      <c r="BF54">
        <v>-0.08</v>
      </c>
      <c r="BG54">
        <v>76</v>
      </c>
      <c r="BH54">
        <v>-0.01</v>
      </c>
      <c r="BI54">
        <v>-8.5299999999999994</v>
      </c>
      <c r="BJ54">
        <v>0</v>
      </c>
      <c r="BK54">
        <v>0</v>
      </c>
      <c r="BL54">
        <v>1.81</v>
      </c>
      <c r="BM54">
        <v>-0.81</v>
      </c>
      <c r="BN54">
        <v>-0.86</v>
      </c>
      <c r="BO54">
        <v>0.28000000000000003</v>
      </c>
      <c r="BP54">
        <v>2.75</v>
      </c>
      <c r="BQ54">
        <v>0.74</v>
      </c>
      <c r="BR54">
        <v>-0.24</v>
      </c>
      <c r="BS54">
        <v>2.06</v>
      </c>
      <c r="BT54">
        <v>1.55</v>
      </c>
      <c r="BU54">
        <v>4.84</v>
      </c>
      <c r="BV54">
        <v>3.02</v>
      </c>
      <c r="BW54">
        <v>1.48</v>
      </c>
      <c r="BX54">
        <v>4.83</v>
      </c>
      <c r="BY54">
        <v>2.0099999999999998</v>
      </c>
      <c r="BZ54">
        <v>-0.17</v>
      </c>
      <c r="CA54">
        <v>3.59</v>
      </c>
      <c r="CB54">
        <v>3.45</v>
      </c>
      <c r="CC54">
        <v>2.2999999999999998</v>
      </c>
      <c r="CD54">
        <v>-0.02</v>
      </c>
      <c r="CE54">
        <v>0.99</v>
      </c>
      <c r="CF54">
        <v>1.52</v>
      </c>
      <c r="CG54">
        <v>0</v>
      </c>
      <c r="CH54">
        <v>3.63</v>
      </c>
      <c r="CI54">
        <v>0</v>
      </c>
      <c r="CJ54">
        <v>1.4</v>
      </c>
      <c r="CK54">
        <v>34</v>
      </c>
      <c r="CL54">
        <v>-1.17</v>
      </c>
      <c r="CM54">
        <v>34</v>
      </c>
      <c r="CN54">
        <v>-0.83</v>
      </c>
      <c r="CO54">
        <v>34</v>
      </c>
      <c r="CP54">
        <v>9</v>
      </c>
      <c r="CQ54">
        <v>33</v>
      </c>
      <c r="CR54">
        <v>0</v>
      </c>
      <c r="CS54">
        <v>0</v>
      </c>
      <c r="CT54">
        <v>22.9</v>
      </c>
      <c r="CU54">
        <v>33</v>
      </c>
      <c r="CV54">
        <v>0.19</v>
      </c>
      <c r="CW54">
        <v>31</v>
      </c>
      <c r="CX54" t="s">
        <v>1999</v>
      </c>
    </row>
    <row r="55" spans="1:102" x14ac:dyDescent="0.3">
      <c r="A55" t="str">
        <f>HYPERLINK("https://webapp.icbf.com/v2/app/bull-search/view/1605895396","FR4763")</f>
        <v>FR4763</v>
      </c>
      <c r="B55" t="s">
        <v>14586</v>
      </c>
      <c r="C55" t="s">
        <v>14587</v>
      </c>
      <c r="D55" s="1">
        <v>43131</v>
      </c>
      <c r="E55" t="s">
        <v>92</v>
      </c>
      <c r="F55">
        <v>69</v>
      </c>
      <c r="G55" t="s">
        <v>435</v>
      </c>
      <c r="H55">
        <v>269.04000000000002</v>
      </c>
      <c r="I55">
        <v>68</v>
      </c>
      <c r="J55">
        <v>60.54</v>
      </c>
      <c r="K55">
        <v>89</v>
      </c>
      <c r="L55">
        <v>138.88999999999999</v>
      </c>
      <c r="M55">
        <v>62</v>
      </c>
      <c r="N55">
        <v>50.76</v>
      </c>
      <c r="O55">
        <v>56</v>
      </c>
      <c r="P55">
        <v>-4.01</v>
      </c>
      <c r="Q55">
        <v>46</v>
      </c>
      <c r="R55">
        <v>-0.64</v>
      </c>
      <c r="S55">
        <v>63</v>
      </c>
      <c r="T55">
        <v>13.31</v>
      </c>
      <c r="U55">
        <v>45</v>
      </c>
      <c r="V55">
        <v>10.19</v>
      </c>
      <c r="W55">
        <v>58</v>
      </c>
      <c r="X55" t="s">
        <v>102</v>
      </c>
      <c r="Y55" t="s">
        <v>2384</v>
      </c>
      <c r="Z55" t="s">
        <v>330</v>
      </c>
      <c r="AA55" t="s">
        <v>6253</v>
      </c>
      <c r="AB55" t="s">
        <v>14588</v>
      </c>
      <c r="AC55">
        <v>0</v>
      </c>
      <c r="AD55">
        <v>0</v>
      </c>
      <c r="AE55">
        <v>89</v>
      </c>
      <c r="AF55">
        <v>84.57</v>
      </c>
      <c r="AG55">
        <v>12.3</v>
      </c>
      <c r="AH55">
        <v>7.24</v>
      </c>
      <c r="AI55">
        <v>0.15</v>
      </c>
      <c r="AJ55">
        <v>0.08</v>
      </c>
      <c r="AK55">
        <v>62</v>
      </c>
      <c r="AL55">
        <v>0</v>
      </c>
      <c r="AM55">
        <v>0</v>
      </c>
      <c r="AN55">
        <v>-8.06</v>
      </c>
      <c r="AO55">
        <v>3.01</v>
      </c>
      <c r="AP55">
        <v>2</v>
      </c>
      <c r="AQ55">
        <v>0</v>
      </c>
      <c r="AR55">
        <v>6.31</v>
      </c>
      <c r="AS55">
        <v>55</v>
      </c>
      <c r="AT55">
        <v>2.2000000000000002</v>
      </c>
      <c r="AU55">
        <v>65</v>
      </c>
      <c r="AV55">
        <v>-5.18</v>
      </c>
      <c r="AW55">
        <v>60</v>
      </c>
      <c r="AX55">
        <v>-0.44</v>
      </c>
      <c r="AY55">
        <v>48</v>
      </c>
      <c r="AZ55">
        <v>7.47</v>
      </c>
      <c r="BA55">
        <v>45</v>
      </c>
      <c r="BB55">
        <v>5.05</v>
      </c>
      <c r="BC55">
        <v>34</v>
      </c>
      <c r="BD55">
        <v>-0.02</v>
      </c>
      <c r="BE55">
        <v>0.02</v>
      </c>
      <c r="BF55">
        <v>0.01</v>
      </c>
      <c r="BG55">
        <v>74</v>
      </c>
      <c r="BH55">
        <v>0.2</v>
      </c>
      <c r="BI55">
        <v>-9.75</v>
      </c>
      <c r="BJ55">
        <v>0</v>
      </c>
      <c r="BK55">
        <v>0</v>
      </c>
      <c r="BL55">
        <v>-0.93</v>
      </c>
      <c r="BM55">
        <v>1.58</v>
      </c>
      <c r="BN55">
        <v>-1.56</v>
      </c>
      <c r="BO55">
        <v>-1.71</v>
      </c>
      <c r="BP55">
        <v>3.39</v>
      </c>
      <c r="BQ55">
        <v>-1.43</v>
      </c>
      <c r="BR55">
        <v>-2.04</v>
      </c>
      <c r="BS55">
        <v>1.01</v>
      </c>
      <c r="BT55">
        <v>0.78</v>
      </c>
      <c r="BU55">
        <v>1.1100000000000001</v>
      </c>
      <c r="BV55">
        <v>-1.1599999999999999</v>
      </c>
      <c r="BW55">
        <v>-0.15</v>
      </c>
      <c r="BX55">
        <v>1.55</v>
      </c>
      <c r="BY55">
        <v>-1.47</v>
      </c>
      <c r="BZ55">
        <v>-1.81</v>
      </c>
      <c r="CA55">
        <v>0.42</v>
      </c>
      <c r="CB55">
        <v>0.41</v>
      </c>
      <c r="CC55">
        <v>-7.0000000000000007E-2</v>
      </c>
      <c r="CD55">
        <v>1.24</v>
      </c>
      <c r="CE55">
        <v>-0.89</v>
      </c>
      <c r="CF55">
        <v>-1.1000000000000001</v>
      </c>
      <c r="CG55">
        <v>0</v>
      </c>
      <c r="CH55">
        <v>1.1100000000000001</v>
      </c>
      <c r="CI55">
        <v>0</v>
      </c>
      <c r="CJ55">
        <v>-2.7</v>
      </c>
      <c r="CK55">
        <v>46</v>
      </c>
      <c r="CL55">
        <v>-0.48</v>
      </c>
      <c r="CM55">
        <v>46</v>
      </c>
      <c r="CN55">
        <v>-0.5</v>
      </c>
      <c r="CO55">
        <v>46</v>
      </c>
      <c r="CP55">
        <v>-7.9</v>
      </c>
      <c r="CQ55">
        <v>43</v>
      </c>
      <c r="CR55">
        <v>0</v>
      </c>
      <c r="CS55">
        <v>0</v>
      </c>
      <c r="CT55">
        <v>-4.2</v>
      </c>
      <c r="CU55">
        <v>45</v>
      </c>
      <c r="CV55">
        <v>0.12</v>
      </c>
      <c r="CW55">
        <v>35</v>
      </c>
      <c r="CX55" t="s">
        <v>4738</v>
      </c>
    </row>
    <row r="56" spans="1:102" x14ac:dyDescent="0.3">
      <c r="A56" t="str">
        <f>HYPERLINK("https://webapp.icbf.com/v2/app/bull-search/view/511761843","KOZ")</f>
        <v>KOZ</v>
      </c>
      <c r="B56" t="s">
        <v>12106</v>
      </c>
      <c r="C56" t="s">
        <v>1861</v>
      </c>
      <c r="D56" s="1">
        <v>39195</v>
      </c>
      <c r="E56" t="s">
        <v>92</v>
      </c>
      <c r="F56">
        <v>94</v>
      </c>
      <c r="G56" t="s">
        <v>93</v>
      </c>
      <c r="H56">
        <v>268.39999999999998</v>
      </c>
      <c r="I56">
        <v>99</v>
      </c>
      <c r="J56">
        <v>62.01</v>
      </c>
      <c r="K56">
        <v>99</v>
      </c>
      <c r="L56">
        <v>117.23</v>
      </c>
      <c r="M56">
        <v>98</v>
      </c>
      <c r="N56">
        <v>56.92</v>
      </c>
      <c r="O56">
        <v>99</v>
      </c>
      <c r="P56">
        <v>-11.88</v>
      </c>
      <c r="Q56">
        <v>99</v>
      </c>
      <c r="R56">
        <v>16.66</v>
      </c>
      <c r="S56">
        <v>98</v>
      </c>
      <c r="T56">
        <v>14.71</v>
      </c>
      <c r="U56">
        <v>99</v>
      </c>
      <c r="V56">
        <v>12.75</v>
      </c>
      <c r="W56">
        <v>98</v>
      </c>
      <c r="X56" t="s">
        <v>94</v>
      </c>
      <c r="Y56" t="s">
        <v>1113</v>
      </c>
      <c r="Z56" t="s">
        <v>96</v>
      </c>
      <c r="AA56" t="s">
        <v>316</v>
      </c>
      <c r="AB56" t="s">
        <v>12107</v>
      </c>
      <c r="AC56">
        <v>9578</v>
      </c>
      <c r="AD56">
        <v>2623</v>
      </c>
      <c r="AE56">
        <v>99</v>
      </c>
      <c r="AF56">
        <v>283.97000000000003</v>
      </c>
      <c r="AG56">
        <v>10.44</v>
      </c>
      <c r="AH56">
        <v>11.2</v>
      </c>
      <c r="AI56">
        <v>-0.01</v>
      </c>
      <c r="AJ56">
        <v>0.03</v>
      </c>
      <c r="AK56">
        <v>98</v>
      </c>
      <c r="AL56">
        <v>12302</v>
      </c>
      <c r="AM56">
        <v>3788</v>
      </c>
      <c r="AN56">
        <v>-4.7699999999999996</v>
      </c>
      <c r="AO56">
        <v>4.5999999999999996</v>
      </c>
      <c r="AP56">
        <v>18193</v>
      </c>
      <c r="AQ56">
        <v>158</v>
      </c>
      <c r="AR56">
        <v>3.93</v>
      </c>
      <c r="AS56">
        <v>99</v>
      </c>
      <c r="AT56">
        <v>1.72</v>
      </c>
      <c r="AU56">
        <v>99</v>
      </c>
      <c r="AV56">
        <v>-4.33</v>
      </c>
      <c r="AW56">
        <v>99</v>
      </c>
      <c r="AX56">
        <v>-0.64</v>
      </c>
      <c r="AY56">
        <v>99</v>
      </c>
      <c r="AZ56">
        <v>5.36</v>
      </c>
      <c r="BA56">
        <v>99</v>
      </c>
      <c r="BB56">
        <v>4.7</v>
      </c>
      <c r="BC56">
        <v>99</v>
      </c>
      <c r="BD56">
        <v>-0.06</v>
      </c>
      <c r="BE56">
        <v>-7.0000000000000007E-2</v>
      </c>
      <c r="BF56">
        <v>-0.15</v>
      </c>
      <c r="BG56">
        <v>99</v>
      </c>
      <c r="BH56">
        <v>0.2</v>
      </c>
      <c r="BI56">
        <v>-17.989999999999998</v>
      </c>
      <c r="BJ56">
        <v>531</v>
      </c>
      <c r="BK56">
        <v>177</v>
      </c>
      <c r="BL56">
        <v>-0.17</v>
      </c>
      <c r="BM56">
        <v>-1.2</v>
      </c>
      <c r="BN56">
        <v>-1.72</v>
      </c>
      <c r="BO56">
        <v>-0.61</v>
      </c>
      <c r="BP56">
        <v>4.2300000000000004</v>
      </c>
      <c r="BQ56">
        <v>-2.7</v>
      </c>
      <c r="BR56">
        <v>1.24</v>
      </c>
      <c r="BS56">
        <v>-1.23</v>
      </c>
      <c r="BT56">
        <v>-2.04</v>
      </c>
      <c r="BU56">
        <v>0.68</v>
      </c>
      <c r="BV56">
        <v>0.17</v>
      </c>
      <c r="BW56">
        <v>-0.65</v>
      </c>
      <c r="BX56">
        <v>1.29</v>
      </c>
      <c r="BY56">
        <v>-0.66</v>
      </c>
      <c r="BZ56">
        <v>-2.86</v>
      </c>
      <c r="CA56">
        <v>-0.18</v>
      </c>
      <c r="CB56">
        <v>0.24</v>
      </c>
      <c r="CC56">
        <v>-1.03</v>
      </c>
      <c r="CD56">
        <v>-0.2</v>
      </c>
      <c r="CE56">
        <v>-0.43</v>
      </c>
      <c r="CF56">
        <v>-1.02</v>
      </c>
      <c r="CG56">
        <v>0</v>
      </c>
      <c r="CH56">
        <v>-0.69</v>
      </c>
      <c r="CI56">
        <v>0</v>
      </c>
      <c r="CJ56">
        <v>-4.5</v>
      </c>
      <c r="CK56">
        <v>99</v>
      </c>
      <c r="CL56">
        <v>-0.78</v>
      </c>
      <c r="CM56">
        <v>99</v>
      </c>
      <c r="CN56">
        <v>-0.27</v>
      </c>
      <c r="CO56">
        <v>99</v>
      </c>
      <c r="CP56">
        <v>-5.2</v>
      </c>
      <c r="CQ56">
        <v>99</v>
      </c>
      <c r="CR56">
        <v>0</v>
      </c>
      <c r="CS56">
        <v>0</v>
      </c>
      <c r="CT56">
        <v>-6.1</v>
      </c>
      <c r="CU56">
        <v>99</v>
      </c>
      <c r="CV56">
        <v>0.08</v>
      </c>
      <c r="CW56">
        <v>52</v>
      </c>
      <c r="CX56" t="s">
        <v>596</v>
      </c>
    </row>
    <row r="57" spans="1:102" x14ac:dyDescent="0.3">
      <c r="A57" t="str">
        <f>HYPERLINK("https://webapp.icbf.com/v2/app/bull-search/view/1478886943","FR4560")</f>
        <v>FR4560</v>
      </c>
      <c r="B57" t="s">
        <v>8393</v>
      </c>
      <c r="C57" t="s">
        <v>8394</v>
      </c>
      <c r="D57" s="1">
        <v>42776</v>
      </c>
      <c r="E57" t="s">
        <v>92</v>
      </c>
      <c r="F57">
        <v>75</v>
      </c>
      <c r="G57" t="s">
        <v>435</v>
      </c>
      <c r="H57">
        <v>267.76</v>
      </c>
      <c r="I57">
        <v>69</v>
      </c>
      <c r="J57">
        <v>74.58</v>
      </c>
      <c r="K57">
        <v>87</v>
      </c>
      <c r="L57">
        <v>125.41</v>
      </c>
      <c r="M57">
        <v>59</v>
      </c>
      <c r="N57">
        <v>59.45</v>
      </c>
      <c r="O57">
        <v>81</v>
      </c>
      <c r="P57">
        <v>-20.91</v>
      </c>
      <c r="Q57">
        <v>51</v>
      </c>
      <c r="R57">
        <v>12.25</v>
      </c>
      <c r="S57">
        <v>59</v>
      </c>
      <c r="T57">
        <v>18.86</v>
      </c>
      <c r="U57">
        <v>47</v>
      </c>
      <c r="V57">
        <v>-1.88</v>
      </c>
      <c r="W57">
        <v>54</v>
      </c>
      <c r="X57" t="s">
        <v>276</v>
      </c>
      <c r="Y57" t="s">
        <v>2384</v>
      </c>
      <c r="Z57" t="s">
        <v>330</v>
      </c>
      <c r="AA57" t="s">
        <v>8395</v>
      </c>
      <c r="AB57" t="s">
        <v>8396</v>
      </c>
      <c r="AC57">
        <v>0</v>
      </c>
      <c r="AD57">
        <v>0</v>
      </c>
      <c r="AE57">
        <v>87</v>
      </c>
      <c r="AF57">
        <v>19.850000000000001</v>
      </c>
      <c r="AG57">
        <v>17.97</v>
      </c>
      <c r="AH57">
        <v>6.63</v>
      </c>
      <c r="AI57">
        <v>0.28999999999999998</v>
      </c>
      <c r="AJ57">
        <v>0.11</v>
      </c>
      <c r="AK57">
        <v>59</v>
      </c>
      <c r="AL57">
        <v>0</v>
      </c>
      <c r="AM57">
        <v>0</v>
      </c>
      <c r="AN57">
        <v>-6.13</v>
      </c>
      <c r="AO57">
        <v>3.88</v>
      </c>
      <c r="AP57">
        <v>295</v>
      </c>
      <c r="AQ57">
        <v>3</v>
      </c>
      <c r="AR57">
        <v>3.47</v>
      </c>
      <c r="AS57">
        <v>69</v>
      </c>
      <c r="AT57">
        <v>1.92</v>
      </c>
      <c r="AU57">
        <v>88</v>
      </c>
      <c r="AV57">
        <v>-5.78</v>
      </c>
      <c r="AW57">
        <v>97</v>
      </c>
      <c r="AX57">
        <v>-0.09</v>
      </c>
      <c r="AY57">
        <v>83</v>
      </c>
      <c r="AZ57">
        <v>6.8</v>
      </c>
      <c r="BA57">
        <v>41</v>
      </c>
      <c r="BB57">
        <v>5.69</v>
      </c>
      <c r="BC57">
        <v>34</v>
      </c>
      <c r="BD57">
        <v>-0.04</v>
      </c>
      <c r="BE57">
        <v>-0.05</v>
      </c>
      <c r="BF57">
        <v>-0.12</v>
      </c>
      <c r="BG57">
        <v>70</v>
      </c>
      <c r="BH57">
        <v>0.05</v>
      </c>
      <c r="BI57">
        <v>11.86</v>
      </c>
      <c r="BJ57">
        <v>0</v>
      </c>
      <c r="BK57">
        <v>0</v>
      </c>
      <c r="BL57">
        <v>-1.23</v>
      </c>
      <c r="BM57">
        <v>-1.1200000000000001</v>
      </c>
      <c r="BN57">
        <v>-1.85</v>
      </c>
      <c r="BO57">
        <v>-0.85</v>
      </c>
      <c r="BP57">
        <v>1.67</v>
      </c>
      <c r="BQ57">
        <v>-2.57</v>
      </c>
      <c r="BR57">
        <v>1.67</v>
      </c>
      <c r="BS57">
        <v>-0.66</v>
      </c>
      <c r="BT57">
        <v>-1.43</v>
      </c>
      <c r="BU57">
        <v>-0.8</v>
      </c>
      <c r="BV57">
        <v>-0.92</v>
      </c>
      <c r="BW57">
        <v>-0.66</v>
      </c>
      <c r="BX57">
        <v>0.37</v>
      </c>
      <c r="BY57">
        <v>-0.94</v>
      </c>
      <c r="BZ57">
        <v>0.25</v>
      </c>
      <c r="CA57">
        <v>-0.43</v>
      </c>
      <c r="CB57">
        <v>-0.47</v>
      </c>
      <c r="CC57">
        <v>-0.95</v>
      </c>
      <c r="CD57">
        <v>-0.32</v>
      </c>
      <c r="CE57">
        <v>-0.3</v>
      </c>
      <c r="CF57">
        <v>-1.57</v>
      </c>
      <c r="CG57">
        <v>0</v>
      </c>
      <c r="CH57">
        <v>-1.1200000000000001</v>
      </c>
      <c r="CI57">
        <v>0</v>
      </c>
      <c r="CJ57">
        <v>-10.199999999999999</v>
      </c>
      <c r="CK57">
        <v>55</v>
      </c>
      <c r="CL57">
        <v>-0.77</v>
      </c>
      <c r="CM57">
        <v>46</v>
      </c>
      <c r="CN57">
        <v>-0.26</v>
      </c>
      <c r="CO57">
        <v>46</v>
      </c>
      <c r="CP57">
        <v>-12.9</v>
      </c>
      <c r="CQ57">
        <v>47</v>
      </c>
      <c r="CR57">
        <v>0</v>
      </c>
      <c r="CS57">
        <v>0</v>
      </c>
      <c r="CT57">
        <v>-11.7</v>
      </c>
      <c r="CU57">
        <v>47</v>
      </c>
      <c r="CV57">
        <v>0.09</v>
      </c>
      <c r="CW57">
        <v>37</v>
      </c>
      <c r="CX57" t="s">
        <v>3094</v>
      </c>
    </row>
    <row r="58" spans="1:102" x14ac:dyDescent="0.3">
      <c r="A58" t="str">
        <f>HYPERLINK("https://webapp.icbf.com/v2/app/bull-search/view/1565445817","FR4686")</f>
        <v>FR4686</v>
      </c>
      <c r="B58" t="s">
        <v>14242</v>
      </c>
      <c r="C58" t="s">
        <v>14243</v>
      </c>
      <c r="D58" s="1">
        <v>42998</v>
      </c>
      <c r="E58" t="s">
        <v>92</v>
      </c>
      <c r="F58">
        <v>84</v>
      </c>
      <c r="G58" t="s">
        <v>435</v>
      </c>
      <c r="H58">
        <v>267.45</v>
      </c>
      <c r="I58">
        <v>70</v>
      </c>
      <c r="J58">
        <v>98.71</v>
      </c>
      <c r="K58">
        <v>90</v>
      </c>
      <c r="L58">
        <v>113.9</v>
      </c>
      <c r="M58">
        <v>64</v>
      </c>
      <c r="N58">
        <v>40.700000000000003</v>
      </c>
      <c r="O58">
        <v>75</v>
      </c>
      <c r="P58">
        <v>-9.83</v>
      </c>
      <c r="Q58">
        <v>46</v>
      </c>
      <c r="R58">
        <v>12.34</v>
      </c>
      <c r="S58">
        <v>64</v>
      </c>
      <c r="T58">
        <v>12.94</v>
      </c>
      <c r="U58">
        <v>41</v>
      </c>
      <c r="V58">
        <v>-1.31</v>
      </c>
      <c r="W58">
        <v>59</v>
      </c>
      <c r="X58" t="s">
        <v>94</v>
      </c>
      <c r="Y58" t="s">
        <v>2384</v>
      </c>
      <c r="Z58" t="s">
        <v>96</v>
      </c>
      <c r="AA58" t="s">
        <v>6092</v>
      </c>
      <c r="AB58" t="s">
        <v>14244</v>
      </c>
      <c r="AC58">
        <v>0</v>
      </c>
      <c r="AD58">
        <v>0</v>
      </c>
      <c r="AE58">
        <v>90</v>
      </c>
      <c r="AF58">
        <v>174.73</v>
      </c>
      <c r="AG58">
        <v>16.940000000000001</v>
      </c>
      <c r="AH58">
        <v>13.47</v>
      </c>
      <c r="AI58">
        <v>0.17</v>
      </c>
      <c r="AJ58">
        <v>0.13</v>
      </c>
      <c r="AK58">
        <v>64</v>
      </c>
      <c r="AL58">
        <v>0</v>
      </c>
      <c r="AM58">
        <v>0</v>
      </c>
      <c r="AN58">
        <v>-4.17</v>
      </c>
      <c r="AO58">
        <v>4.9400000000000004</v>
      </c>
      <c r="AP58">
        <v>90</v>
      </c>
      <c r="AQ58">
        <v>0</v>
      </c>
      <c r="AR58">
        <v>5.98</v>
      </c>
      <c r="AS58">
        <v>63</v>
      </c>
      <c r="AT58">
        <v>1.77</v>
      </c>
      <c r="AU58">
        <v>80</v>
      </c>
      <c r="AV58">
        <v>-3.34</v>
      </c>
      <c r="AW58">
        <v>91</v>
      </c>
      <c r="AX58">
        <v>-0.56999999999999995</v>
      </c>
      <c r="AY58">
        <v>66</v>
      </c>
      <c r="AZ58">
        <v>6.2</v>
      </c>
      <c r="BA58">
        <v>43</v>
      </c>
      <c r="BB58">
        <v>5.32</v>
      </c>
      <c r="BC58">
        <v>35</v>
      </c>
      <c r="BD58">
        <v>-7.0000000000000007E-2</v>
      </c>
      <c r="BE58">
        <v>-0.03</v>
      </c>
      <c r="BF58">
        <v>-0.11</v>
      </c>
      <c r="BG58">
        <v>75</v>
      </c>
      <c r="BH58">
        <v>-0.11</v>
      </c>
      <c r="BI58">
        <v>-8.49</v>
      </c>
      <c r="BJ58">
        <v>0</v>
      </c>
      <c r="BK58">
        <v>0</v>
      </c>
      <c r="BL58">
        <v>0.4</v>
      </c>
      <c r="BM58">
        <v>-0.43</v>
      </c>
      <c r="BN58">
        <v>-1.04</v>
      </c>
      <c r="BO58">
        <v>-0.41</v>
      </c>
      <c r="BP58">
        <v>2.67</v>
      </c>
      <c r="BQ58">
        <v>-0.65</v>
      </c>
      <c r="BR58">
        <v>-0.55000000000000004</v>
      </c>
      <c r="BS58">
        <v>0.33</v>
      </c>
      <c r="BT58">
        <v>7.0000000000000007E-2</v>
      </c>
      <c r="BU58">
        <v>0.78</v>
      </c>
      <c r="BV58">
        <v>1</v>
      </c>
      <c r="BW58">
        <v>0.05</v>
      </c>
      <c r="BX58">
        <v>1.47</v>
      </c>
      <c r="BY58">
        <v>0</v>
      </c>
      <c r="BZ58">
        <v>-2.1</v>
      </c>
      <c r="CA58">
        <v>0.94</v>
      </c>
      <c r="CB58">
        <v>0.68</v>
      </c>
      <c r="CC58">
        <v>0.53</v>
      </c>
      <c r="CD58">
        <v>0.31</v>
      </c>
      <c r="CE58">
        <v>0.17</v>
      </c>
      <c r="CF58">
        <v>-0.56999999999999995</v>
      </c>
      <c r="CG58">
        <v>0</v>
      </c>
      <c r="CH58">
        <v>-1.01</v>
      </c>
      <c r="CI58">
        <v>0</v>
      </c>
      <c r="CJ58">
        <v>-1.5</v>
      </c>
      <c r="CK58">
        <v>46</v>
      </c>
      <c r="CL58">
        <v>-0.92</v>
      </c>
      <c r="CM58">
        <v>46</v>
      </c>
      <c r="CN58">
        <v>-0.24</v>
      </c>
      <c r="CO58">
        <v>46</v>
      </c>
      <c r="CP58">
        <v>-7.2</v>
      </c>
      <c r="CQ58">
        <v>41</v>
      </c>
      <c r="CR58">
        <v>0</v>
      </c>
      <c r="CS58">
        <v>0</v>
      </c>
      <c r="CT58">
        <v>-3.7</v>
      </c>
      <c r="CU58">
        <v>41</v>
      </c>
      <c r="CV58">
        <v>0.2</v>
      </c>
      <c r="CW58">
        <v>35</v>
      </c>
      <c r="CX58" t="s">
        <v>2920</v>
      </c>
    </row>
    <row r="59" spans="1:102" x14ac:dyDescent="0.3">
      <c r="A59" t="str">
        <f>HYPERLINK("https://webapp.icbf.com/v2/app/bull-search/view/1013736543","JE2454")</f>
        <v>JE2454</v>
      </c>
      <c r="B59" t="s">
        <v>6354</v>
      </c>
      <c r="C59" t="s">
        <v>6355</v>
      </c>
      <c r="D59" s="1">
        <v>40768</v>
      </c>
      <c r="E59" t="s">
        <v>227</v>
      </c>
      <c r="F59">
        <v>0</v>
      </c>
      <c r="G59" t="s">
        <v>109</v>
      </c>
      <c r="H59">
        <v>267.27999999999997</v>
      </c>
      <c r="I59">
        <v>69</v>
      </c>
      <c r="J59">
        <v>93.49</v>
      </c>
      <c r="K59">
        <v>90</v>
      </c>
      <c r="L59">
        <v>122.12</v>
      </c>
      <c r="M59">
        <v>65</v>
      </c>
      <c r="N59">
        <v>31.38</v>
      </c>
      <c r="O59">
        <v>66</v>
      </c>
      <c r="P59">
        <v>-47.77</v>
      </c>
      <c r="Q59">
        <v>40</v>
      </c>
      <c r="R59">
        <v>7.65</v>
      </c>
      <c r="S59">
        <v>60</v>
      </c>
      <c r="T59">
        <v>53.93</v>
      </c>
      <c r="U59">
        <v>38</v>
      </c>
      <c r="V59">
        <v>6.48</v>
      </c>
      <c r="W59">
        <v>60</v>
      </c>
      <c r="X59" t="s">
        <v>276</v>
      </c>
      <c r="Y59" t="s">
        <v>1923</v>
      </c>
      <c r="Z59">
        <v>0</v>
      </c>
      <c r="AA59" t="s">
        <v>6356</v>
      </c>
      <c r="AB59" t="s">
        <v>6357</v>
      </c>
      <c r="AC59">
        <v>0</v>
      </c>
      <c r="AD59">
        <v>0</v>
      </c>
      <c r="AE59">
        <v>90</v>
      </c>
      <c r="AF59">
        <v>-639.08000000000004</v>
      </c>
      <c r="AG59">
        <v>18</v>
      </c>
      <c r="AH59">
        <v>-0.25</v>
      </c>
      <c r="AI59">
        <v>0.84</v>
      </c>
      <c r="AJ59">
        <v>0.42</v>
      </c>
      <c r="AK59">
        <v>65</v>
      </c>
      <c r="AL59">
        <v>0</v>
      </c>
      <c r="AM59">
        <v>0</v>
      </c>
      <c r="AN59">
        <v>-5.8</v>
      </c>
      <c r="AO59">
        <v>3.95</v>
      </c>
      <c r="AP59">
        <v>41</v>
      </c>
      <c r="AQ59">
        <v>0</v>
      </c>
      <c r="AR59">
        <v>2.91</v>
      </c>
      <c r="AS59">
        <v>59</v>
      </c>
      <c r="AT59">
        <v>1.35</v>
      </c>
      <c r="AU59">
        <v>64</v>
      </c>
      <c r="AV59">
        <v>-1.92</v>
      </c>
      <c r="AW59">
        <v>82</v>
      </c>
      <c r="AX59">
        <v>0.97</v>
      </c>
      <c r="AY59">
        <v>50</v>
      </c>
      <c r="AZ59">
        <v>7.27</v>
      </c>
      <c r="BA59">
        <v>41</v>
      </c>
      <c r="BB59">
        <v>5.28</v>
      </c>
      <c r="BC59">
        <v>40</v>
      </c>
      <c r="BD59">
        <v>-0.09</v>
      </c>
      <c r="BE59">
        <v>-0.04</v>
      </c>
      <c r="BF59">
        <v>0.05</v>
      </c>
      <c r="BG59">
        <v>65</v>
      </c>
      <c r="BH59">
        <v>0.15</v>
      </c>
      <c r="BI59">
        <v>-3.55</v>
      </c>
      <c r="BJ59">
        <v>0</v>
      </c>
      <c r="BK59">
        <v>0</v>
      </c>
      <c r="BL59">
        <v>-2.96</v>
      </c>
      <c r="BM59">
        <v>-1.64</v>
      </c>
      <c r="BN59">
        <v>-0.38</v>
      </c>
      <c r="BO59">
        <v>1.04</v>
      </c>
      <c r="BP59">
        <v>-0.88</v>
      </c>
      <c r="BQ59">
        <v>-5.82</v>
      </c>
      <c r="BR59">
        <v>2.69</v>
      </c>
      <c r="BS59">
        <v>6.6</v>
      </c>
      <c r="BT59">
        <v>-0.86</v>
      </c>
      <c r="BU59">
        <v>-1.59</v>
      </c>
      <c r="BV59">
        <v>-0.91</v>
      </c>
      <c r="BW59">
        <v>-2.93</v>
      </c>
      <c r="BX59">
        <v>-4.24</v>
      </c>
      <c r="BY59">
        <v>-0.26</v>
      </c>
      <c r="BZ59">
        <v>-0.61</v>
      </c>
      <c r="CA59">
        <v>0.52</v>
      </c>
      <c r="CB59">
        <v>-1.22</v>
      </c>
      <c r="CC59">
        <v>3.93</v>
      </c>
      <c r="CD59">
        <v>-2.09</v>
      </c>
      <c r="CE59">
        <v>0.6</v>
      </c>
      <c r="CF59">
        <v>-3.42</v>
      </c>
      <c r="CG59">
        <v>0</v>
      </c>
      <c r="CH59">
        <v>-1.36</v>
      </c>
      <c r="CI59">
        <v>0</v>
      </c>
      <c r="CJ59">
        <v>-23.8</v>
      </c>
      <c r="CK59">
        <v>43</v>
      </c>
      <c r="CL59">
        <v>-0.94</v>
      </c>
      <c r="CM59">
        <v>36</v>
      </c>
      <c r="CN59">
        <v>-0.06</v>
      </c>
      <c r="CO59">
        <v>36</v>
      </c>
      <c r="CP59">
        <v>-39.5</v>
      </c>
      <c r="CQ59">
        <v>38</v>
      </c>
      <c r="CR59">
        <v>0</v>
      </c>
      <c r="CS59">
        <v>0</v>
      </c>
      <c r="CT59">
        <v>-59.1</v>
      </c>
      <c r="CU59">
        <v>38</v>
      </c>
      <c r="CV59">
        <v>-0.18</v>
      </c>
      <c r="CW59">
        <v>33</v>
      </c>
      <c r="CX59" t="s">
        <v>1837</v>
      </c>
    </row>
    <row r="60" spans="1:102" x14ac:dyDescent="0.3">
      <c r="A60" t="str">
        <f>HYPERLINK("https://webapp.icbf.com/v2/app/bull-search/view/1276120135","FR2262")</f>
        <v>FR2262</v>
      </c>
      <c r="B60" t="s">
        <v>15487</v>
      </c>
      <c r="C60" t="s">
        <v>3135</v>
      </c>
      <c r="D60" s="1">
        <v>41638</v>
      </c>
      <c r="E60" t="s">
        <v>92</v>
      </c>
      <c r="F60">
        <v>100</v>
      </c>
      <c r="G60" t="s">
        <v>109</v>
      </c>
      <c r="H60">
        <v>264.72000000000003</v>
      </c>
      <c r="I60">
        <v>81</v>
      </c>
      <c r="J60">
        <v>111.37</v>
      </c>
      <c r="K60">
        <v>93</v>
      </c>
      <c r="L60">
        <v>109.26</v>
      </c>
      <c r="M60">
        <v>84</v>
      </c>
      <c r="N60">
        <v>32.729999999999997</v>
      </c>
      <c r="O60">
        <v>82</v>
      </c>
      <c r="P60">
        <v>1.26</v>
      </c>
      <c r="Q60">
        <v>69</v>
      </c>
      <c r="R60">
        <v>12.79</v>
      </c>
      <c r="S60">
        <v>75</v>
      </c>
      <c r="T60">
        <v>-10.08</v>
      </c>
      <c r="U60">
        <v>43</v>
      </c>
      <c r="V60">
        <v>7.39</v>
      </c>
      <c r="W60">
        <v>62</v>
      </c>
      <c r="X60" t="s">
        <v>94</v>
      </c>
      <c r="Y60" t="s">
        <v>405</v>
      </c>
      <c r="Z60" t="s">
        <v>96</v>
      </c>
      <c r="AA60" t="s">
        <v>13414</v>
      </c>
      <c r="AB60" t="s">
        <v>15488</v>
      </c>
      <c r="AC60">
        <v>0</v>
      </c>
      <c r="AD60">
        <v>0</v>
      </c>
      <c r="AE60">
        <v>93</v>
      </c>
      <c r="AF60">
        <v>609.76</v>
      </c>
      <c r="AG60">
        <v>17.96</v>
      </c>
      <c r="AH60">
        <v>21.92</v>
      </c>
      <c r="AI60">
        <v>-0.09</v>
      </c>
      <c r="AJ60">
        <v>0.02</v>
      </c>
      <c r="AK60">
        <v>84</v>
      </c>
      <c r="AL60">
        <v>0</v>
      </c>
      <c r="AM60">
        <v>0</v>
      </c>
      <c r="AN60">
        <v>-5.44</v>
      </c>
      <c r="AO60">
        <v>3.28</v>
      </c>
      <c r="AP60">
        <v>143</v>
      </c>
      <c r="AQ60">
        <v>0</v>
      </c>
      <c r="AR60">
        <v>4.04</v>
      </c>
      <c r="AS60">
        <v>85</v>
      </c>
      <c r="AT60">
        <v>2.0099999999999998</v>
      </c>
      <c r="AU60">
        <v>91</v>
      </c>
      <c r="AV60">
        <v>-2.48</v>
      </c>
      <c r="AW60">
        <v>94</v>
      </c>
      <c r="AX60">
        <v>0.71</v>
      </c>
      <c r="AY60">
        <v>78</v>
      </c>
      <c r="AZ60">
        <v>6.46</v>
      </c>
      <c r="BA60">
        <v>47</v>
      </c>
      <c r="BB60">
        <v>5.22</v>
      </c>
      <c r="BC60">
        <v>41</v>
      </c>
      <c r="BD60">
        <v>-0.03</v>
      </c>
      <c r="BE60">
        <v>-0.06</v>
      </c>
      <c r="BF60">
        <v>-0.13</v>
      </c>
      <c r="BG60">
        <v>91</v>
      </c>
      <c r="BH60">
        <v>-0.04</v>
      </c>
      <c r="BI60">
        <v>-28.48</v>
      </c>
      <c r="BJ60">
        <v>5</v>
      </c>
      <c r="BK60">
        <v>2</v>
      </c>
      <c r="BL60">
        <v>1.54</v>
      </c>
      <c r="BM60">
        <v>0.14000000000000001</v>
      </c>
      <c r="BN60">
        <v>0.19</v>
      </c>
      <c r="BO60">
        <v>0.73</v>
      </c>
      <c r="BP60">
        <v>0.36</v>
      </c>
      <c r="BQ60">
        <v>2.4500000000000002</v>
      </c>
      <c r="BR60">
        <v>-0.11</v>
      </c>
      <c r="BS60">
        <v>2.46</v>
      </c>
      <c r="BT60">
        <v>1.72</v>
      </c>
      <c r="BU60">
        <v>1.79</v>
      </c>
      <c r="BV60">
        <v>2.4300000000000002</v>
      </c>
      <c r="BW60">
        <v>1.8</v>
      </c>
      <c r="BX60">
        <v>2.39</v>
      </c>
      <c r="BY60">
        <v>0.53</v>
      </c>
      <c r="BZ60">
        <v>0.8</v>
      </c>
      <c r="CA60">
        <v>2.35</v>
      </c>
      <c r="CB60">
        <v>2.09</v>
      </c>
      <c r="CC60">
        <v>1.84</v>
      </c>
      <c r="CD60">
        <v>0.31</v>
      </c>
      <c r="CE60">
        <v>0.93</v>
      </c>
      <c r="CF60">
        <v>1.63</v>
      </c>
      <c r="CG60">
        <v>0</v>
      </c>
      <c r="CH60">
        <v>0.41</v>
      </c>
      <c r="CI60">
        <v>0</v>
      </c>
      <c r="CJ60">
        <v>4.4000000000000004</v>
      </c>
      <c r="CK60">
        <v>74</v>
      </c>
      <c r="CL60">
        <v>-1.34</v>
      </c>
      <c r="CM60">
        <v>67</v>
      </c>
      <c r="CN60">
        <v>-0.57999999999999996</v>
      </c>
      <c r="CO60">
        <v>65</v>
      </c>
      <c r="CP60">
        <v>14.8</v>
      </c>
      <c r="CQ60">
        <v>47</v>
      </c>
      <c r="CR60">
        <v>0</v>
      </c>
      <c r="CS60">
        <v>0</v>
      </c>
      <c r="CT60">
        <v>27.4</v>
      </c>
      <c r="CU60">
        <v>43</v>
      </c>
      <c r="CV60">
        <v>0.43</v>
      </c>
      <c r="CW60">
        <v>41</v>
      </c>
      <c r="CX60" t="s">
        <v>401</v>
      </c>
    </row>
    <row r="61" spans="1:102" x14ac:dyDescent="0.3">
      <c r="A61" t="str">
        <f>HYPERLINK("https://webapp.icbf.com/v2/app/bull-search/view/1242006257","FR2314")</f>
        <v>FR2314</v>
      </c>
      <c r="B61" t="s">
        <v>6091</v>
      </c>
      <c r="C61" t="s">
        <v>6092</v>
      </c>
      <c r="D61" s="1">
        <v>42022</v>
      </c>
      <c r="E61" t="s">
        <v>92</v>
      </c>
      <c r="F61">
        <v>88</v>
      </c>
      <c r="G61" t="s">
        <v>93</v>
      </c>
      <c r="H61">
        <v>261.16000000000003</v>
      </c>
      <c r="I61">
        <v>85</v>
      </c>
      <c r="J61">
        <v>116.02</v>
      </c>
      <c r="K61">
        <v>98</v>
      </c>
      <c r="L61">
        <v>98.53</v>
      </c>
      <c r="M61">
        <v>74</v>
      </c>
      <c r="N61">
        <v>30.05</v>
      </c>
      <c r="O61">
        <v>90</v>
      </c>
      <c r="P61">
        <v>-5.56</v>
      </c>
      <c r="Q61">
        <v>95</v>
      </c>
      <c r="R61">
        <v>9.48</v>
      </c>
      <c r="S61">
        <v>77</v>
      </c>
      <c r="T61">
        <v>15.45</v>
      </c>
      <c r="U61">
        <v>66</v>
      </c>
      <c r="V61">
        <v>-2.81</v>
      </c>
      <c r="W61">
        <v>72</v>
      </c>
      <c r="X61" t="s">
        <v>102</v>
      </c>
      <c r="Y61" t="s">
        <v>436</v>
      </c>
      <c r="Z61" t="s">
        <v>96</v>
      </c>
      <c r="AA61" t="s">
        <v>6093</v>
      </c>
      <c r="AB61" t="s">
        <v>6094</v>
      </c>
      <c r="AC61">
        <v>313</v>
      </c>
      <c r="AD61">
        <v>134</v>
      </c>
      <c r="AE61">
        <v>98</v>
      </c>
      <c r="AF61">
        <v>166.61</v>
      </c>
      <c r="AG61">
        <v>24.88</v>
      </c>
      <c r="AH61">
        <v>13.48</v>
      </c>
      <c r="AI61">
        <v>0.31</v>
      </c>
      <c r="AJ61">
        <v>0.13</v>
      </c>
      <c r="AK61">
        <v>74</v>
      </c>
      <c r="AL61">
        <v>0</v>
      </c>
      <c r="AM61">
        <v>0</v>
      </c>
      <c r="AN61">
        <v>-5.18</v>
      </c>
      <c r="AO61">
        <v>2.68</v>
      </c>
      <c r="AP61">
        <v>10709</v>
      </c>
      <c r="AQ61">
        <v>30</v>
      </c>
      <c r="AR61">
        <v>6.89</v>
      </c>
      <c r="AS61">
        <v>95</v>
      </c>
      <c r="AT61">
        <v>2.6</v>
      </c>
      <c r="AU61">
        <v>99</v>
      </c>
      <c r="AV61">
        <v>-3.22</v>
      </c>
      <c r="AW61">
        <v>99</v>
      </c>
      <c r="AX61">
        <v>-0.46</v>
      </c>
      <c r="AY61">
        <v>99</v>
      </c>
      <c r="AZ61">
        <v>6.03</v>
      </c>
      <c r="BA61">
        <v>78</v>
      </c>
      <c r="BB61">
        <v>5.66</v>
      </c>
      <c r="BC61">
        <v>38</v>
      </c>
      <c r="BD61">
        <v>-0.06</v>
      </c>
      <c r="BE61">
        <v>-0.02</v>
      </c>
      <c r="BF61">
        <v>-0.08</v>
      </c>
      <c r="BG61">
        <v>91</v>
      </c>
      <c r="BH61">
        <v>0</v>
      </c>
      <c r="BI61">
        <v>9.07</v>
      </c>
      <c r="BJ61">
        <v>0</v>
      </c>
      <c r="BK61">
        <v>0</v>
      </c>
      <c r="BL61">
        <v>0.09</v>
      </c>
      <c r="BM61">
        <v>-0.53</v>
      </c>
      <c r="BN61">
        <v>-2.09</v>
      </c>
      <c r="BO61">
        <v>-0.92</v>
      </c>
      <c r="BP61">
        <v>1.43</v>
      </c>
      <c r="BQ61">
        <v>0.71</v>
      </c>
      <c r="BR61">
        <v>-0.36</v>
      </c>
      <c r="BS61">
        <v>-0.76</v>
      </c>
      <c r="BT61">
        <v>-1.3</v>
      </c>
      <c r="BU61">
        <v>1.01</v>
      </c>
      <c r="BV61">
        <v>0.55000000000000004</v>
      </c>
      <c r="BW61">
        <v>-1.1299999999999999</v>
      </c>
      <c r="BX61">
        <v>1.21</v>
      </c>
      <c r="BY61">
        <v>-0.49</v>
      </c>
      <c r="BZ61">
        <v>-3.16</v>
      </c>
      <c r="CA61">
        <v>-0.11</v>
      </c>
      <c r="CB61">
        <v>0.38</v>
      </c>
      <c r="CC61">
        <v>-1.17</v>
      </c>
      <c r="CD61">
        <v>-0.08</v>
      </c>
      <c r="CE61">
        <v>-0.63</v>
      </c>
      <c r="CF61">
        <v>-1.37</v>
      </c>
      <c r="CG61">
        <v>0</v>
      </c>
      <c r="CH61">
        <v>-0.54</v>
      </c>
      <c r="CI61">
        <v>0</v>
      </c>
      <c r="CJ61">
        <v>1.7</v>
      </c>
      <c r="CK61">
        <v>98</v>
      </c>
      <c r="CL61">
        <v>-0.81</v>
      </c>
      <c r="CM61">
        <v>98</v>
      </c>
      <c r="CN61">
        <v>-0.1</v>
      </c>
      <c r="CO61">
        <v>98</v>
      </c>
      <c r="CP61">
        <v>-4.8</v>
      </c>
      <c r="CQ61">
        <v>64</v>
      </c>
      <c r="CR61">
        <v>0</v>
      </c>
      <c r="CS61">
        <v>0</v>
      </c>
      <c r="CT61">
        <v>-7.1</v>
      </c>
      <c r="CU61">
        <v>66</v>
      </c>
      <c r="CV61">
        <v>0.25</v>
      </c>
      <c r="CW61">
        <v>46</v>
      </c>
      <c r="CX61" t="s">
        <v>1861</v>
      </c>
    </row>
    <row r="62" spans="1:102" x14ac:dyDescent="0.3">
      <c r="A62" t="str">
        <f>HYPERLINK("https://webapp.icbf.com/v2/app/bull-search/view/760400929","APY")</f>
        <v>APY</v>
      </c>
      <c r="B62" t="s">
        <v>327</v>
      </c>
      <c r="C62" t="s">
        <v>328</v>
      </c>
      <c r="D62" s="1">
        <v>40034</v>
      </c>
      <c r="E62" t="s">
        <v>108</v>
      </c>
      <c r="F62">
        <v>25</v>
      </c>
      <c r="G62" t="s">
        <v>93</v>
      </c>
      <c r="H62">
        <v>260.97000000000003</v>
      </c>
      <c r="I62">
        <v>94</v>
      </c>
      <c r="J62">
        <v>70.41</v>
      </c>
      <c r="K62">
        <v>99</v>
      </c>
      <c r="L62">
        <v>127.37</v>
      </c>
      <c r="M62">
        <v>89</v>
      </c>
      <c r="N62">
        <v>44.83</v>
      </c>
      <c r="O62">
        <v>96</v>
      </c>
      <c r="P62">
        <v>-36.54</v>
      </c>
      <c r="Q62">
        <v>97</v>
      </c>
      <c r="R62">
        <v>11.38</v>
      </c>
      <c r="S62">
        <v>85</v>
      </c>
      <c r="T62">
        <v>36.17</v>
      </c>
      <c r="U62">
        <v>96</v>
      </c>
      <c r="V62">
        <v>7.35</v>
      </c>
      <c r="W62">
        <v>77</v>
      </c>
      <c r="X62" t="s">
        <v>276</v>
      </c>
      <c r="Y62" t="s">
        <v>329</v>
      </c>
      <c r="Z62" t="s">
        <v>330</v>
      </c>
      <c r="AA62" t="s">
        <v>331</v>
      </c>
      <c r="AB62" t="s">
        <v>332</v>
      </c>
      <c r="AC62">
        <v>608</v>
      </c>
      <c r="AD62">
        <v>153</v>
      </c>
      <c r="AE62">
        <v>99</v>
      </c>
      <c r="AF62">
        <v>-152.47999999999999</v>
      </c>
      <c r="AG62">
        <v>8.0299999999999994</v>
      </c>
      <c r="AH62">
        <v>6.8</v>
      </c>
      <c r="AI62">
        <v>0.25</v>
      </c>
      <c r="AJ62">
        <v>0.21</v>
      </c>
      <c r="AK62">
        <v>89</v>
      </c>
      <c r="AL62">
        <v>584</v>
      </c>
      <c r="AM62">
        <v>151</v>
      </c>
      <c r="AN62">
        <v>-6.76</v>
      </c>
      <c r="AO62">
        <v>3.4</v>
      </c>
      <c r="AP62">
        <v>2319</v>
      </c>
      <c r="AQ62">
        <v>8</v>
      </c>
      <c r="AR62">
        <v>3.96</v>
      </c>
      <c r="AS62">
        <v>98</v>
      </c>
      <c r="AT62">
        <v>1.73</v>
      </c>
      <c r="AU62">
        <v>97</v>
      </c>
      <c r="AV62">
        <v>-3.51</v>
      </c>
      <c r="AW62">
        <v>99</v>
      </c>
      <c r="AX62">
        <v>0.01</v>
      </c>
      <c r="AY62">
        <v>97</v>
      </c>
      <c r="AZ62">
        <v>6.55</v>
      </c>
      <c r="BA62">
        <v>88</v>
      </c>
      <c r="BB62">
        <v>5.13</v>
      </c>
      <c r="BC62">
        <v>84</v>
      </c>
      <c r="BD62">
        <v>-7.0000000000000007E-2</v>
      </c>
      <c r="BE62">
        <v>-0.05</v>
      </c>
      <c r="BF62">
        <v>-0.05</v>
      </c>
      <c r="BG62">
        <v>97</v>
      </c>
      <c r="BH62">
        <v>0.03</v>
      </c>
      <c r="BI62">
        <v>-20.23</v>
      </c>
      <c r="BJ62">
        <v>3</v>
      </c>
      <c r="BK62">
        <v>3</v>
      </c>
      <c r="BL62">
        <v>-2.97</v>
      </c>
      <c r="BM62">
        <v>-0.17</v>
      </c>
      <c r="BN62">
        <v>-1.52</v>
      </c>
      <c r="BO62">
        <v>-0.77</v>
      </c>
      <c r="BP62">
        <v>-0.22</v>
      </c>
      <c r="BQ62">
        <v>-3.07</v>
      </c>
      <c r="BR62">
        <v>1.52</v>
      </c>
      <c r="BS62">
        <v>2.27</v>
      </c>
      <c r="BT62">
        <v>-1.94</v>
      </c>
      <c r="BU62">
        <v>-0.65</v>
      </c>
      <c r="BV62">
        <v>-1.42</v>
      </c>
      <c r="BW62">
        <v>-1.48</v>
      </c>
      <c r="BX62">
        <v>-2.85</v>
      </c>
      <c r="BY62">
        <v>-2.2200000000000002</v>
      </c>
      <c r="BZ62">
        <v>0.61</v>
      </c>
      <c r="CA62">
        <v>-1.55</v>
      </c>
      <c r="CB62">
        <v>-1.33</v>
      </c>
      <c r="CC62">
        <v>1.32</v>
      </c>
      <c r="CD62">
        <v>0.16</v>
      </c>
      <c r="CE62">
        <v>-0.56000000000000005</v>
      </c>
      <c r="CF62">
        <v>-2.71</v>
      </c>
      <c r="CG62">
        <v>0</v>
      </c>
      <c r="CH62">
        <v>-1.1200000000000001</v>
      </c>
      <c r="CI62">
        <v>0</v>
      </c>
      <c r="CJ62">
        <v>-18.2</v>
      </c>
      <c r="CK62">
        <v>98</v>
      </c>
      <c r="CL62">
        <v>-0.8</v>
      </c>
      <c r="CM62">
        <v>98</v>
      </c>
      <c r="CN62">
        <v>-7.0000000000000007E-2</v>
      </c>
      <c r="CO62">
        <v>97</v>
      </c>
      <c r="CP62">
        <v>-26.6</v>
      </c>
      <c r="CQ62">
        <v>92</v>
      </c>
      <c r="CR62">
        <v>0</v>
      </c>
      <c r="CS62">
        <v>0</v>
      </c>
      <c r="CT62">
        <v>-35.1</v>
      </c>
      <c r="CU62">
        <v>96</v>
      </c>
      <c r="CV62">
        <v>0.02</v>
      </c>
      <c r="CW62">
        <v>46</v>
      </c>
      <c r="CX62" t="s">
        <v>333</v>
      </c>
    </row>
    <row r="63" spans="1:102" x14ac:dyDescent="0.3">
      <c r="A63" t="str">
        <f>HYPERLINK("https://webapp.icbf.com/v2/app/bull-search/view/1605440780","FR4751")</f>
        <v>FR4751</v>
      </c>
      <c r="B63" t="s">
        <v>9527</v>
      </c>
      <c r="C63" t="s">
        <v>9528</v>
      </c>
      <c r="D63" s="1">
        <v>42795</v>
      </c>
      <c r="E63" t="s">
        <v>92</v>
      </c>
      <c r="F63">
        <v>100</v>
      </c>
      <c r="G63" t="s">
        <v>435</v>
      </c>
      <c r="H63">
        <v>260.58</v>
      </c>
      <c r="I63">
        <v>67</v>
      </c>
      <c r="J63">
        <v>127.54</v>
      </c>
      <c r="K63">
        <v>87</v>
      </c>
      <c r="L63">
        <v>59.58</v>
      </c>
      <c r="M63">
        <v>66</v>
      </c>
      <c r="N63">
        <v>52.11</v>
      </c>
      <c r="O63">
        <v>64</v>
      </c>
      <c r="P63">
        <v>-1.23</v>
      </c>
      <c r="Q63">
        <v>34</v>
      </c>
      <c r="R63">
        <v>23.73</v>
      </c>
      <c r="S63">
        <v>61</v>
      </c>
      <c r="T63">
        <v>-6.45</v>
      </c>
      <c r="U63">
        <v>32</v>
      </c>
      <c r="V63">
        <v>5.3</v>
      </c>
      <c r="W63">
        <v>53</v>
      </c>
      <c r="X63" t="s">
        <v>94</v>
      </c>
      <c r="Y63" t="s">
        <v>442</v>
      </c>
      <c r="Z63" t="s">
        <v>96</v>
      </c>
      <c r="AA63" t="s">
        <v>9529</v>
      </c>
      <c r="AB63" t="s">
        <v>9530</v>
      </c>
      <c r="AC63">
        <v>0</v>
      </c>
      <c r="AD63">
        <v>0</v>
      </c>
      <c r="AE63">
        <v>87</v>
      </c>
      <c r="AF63">
        <v>690.89</v>
      </c>
      <c r="AG63">
        <v>26.22</v>
      </c>
      <c r="AH63">
        <v>22.99</v>
      </c>
      <c r="AI63">
        <v>-0.02</v>
      </c>
      <c r="AJ63">
        <v>0</v>
      </c>
      <c r="AK63">
        <v>66</v>
      </c>
      <c r="AL63">
        <v>0</v>
      </c>
      <c r="AM63">
        <v>0</v>
      </c>
      <c r="AN63">
        <v>-1.83</v>
      </c>
      <c r="AO63">
        <v>2.94</v>
      </c>
      <c r="AP63">
        <v>34</v>
      </c>
      <c r="AQ63">
        <v>0</v>
      </c>
      <c r="AR63">
        <v>4.79</v>
      </c>
      <c r="AS63">
        <v>51</v>
      </c>
      <c r="AT63">
        <v>3.22</v>
      </c>
      <c r="AU63">
        <v>84</v>
      </c>
      <c r="AV63">
        <v>-5.29</v>
      </c>
      <c r="AW63">
        <v>73</v>
      </c>
      <c r="AX63">
        <v>-0.53</v>
      </c>
      <c r="AY63">
        <v>47</v>
      </c>
      <c r="AZ63">
        <v>5.74</v>
      </c>
      <c r="BA63">
        <v>33</v>
      </c>
      <c r="BB63">
        <v>4.68</v>
      </c>
      <c r="BC63">
        <v>32</v>
      </c>
      <c r="BD63">
        <v>-0.1</v>
      </c>
      <c r="BE63">
        <v>-0.11</v>
      </c>
      <c r="BF63">
        <v>-0.17</v>
      </c>
      <c r="BG63">
        <v>74</v>
      </c>
      <c r="BH63">
        <v>-0.1</v>
      </c>
      <c r="BI63">
        <v>-28.68</v>
      </c>
      <c r="BJ63">
        <v>0</v>
      </c>
      <c r="BK63">
        <v>0</v>
      </c>
      <c r="BL63">
        <v>1.91</v>
      </c>
      <c r="BM63">
        <v>-1.06</v>
      </c>
      <c r="BN63">
        <v>-0.74</v>
      </c>
      <c r="BO63">
        <v>0.97</v>
      </c>
      <c r="BP63">
        <v>1.39</v>
      </c>
      <c r="BQ63">
        <v>1.63</v>
      </c>
      <c r="BR63">
        <v>-1.41</v>
      </c>
      <c r="BS63">
        <v>2.35</v>
      </c>
      <c r="BT63">
        <v>1.84</v>
      </c>
      <c r="BU63">
        <v>3.1</v>
      </c>
      <c r="BV63">
        <v>3.48</v>
      </c>
      <c r="BW63">
        <v>1.9</v>
      </c>
      <c r="BX63">
        <v>3.2</v>
      </c>
      <c r="BY63">
        <v>1.23</v>
      </c>
      <c r="BZ63">
        <v>-0.5</v>
      </c>
      <c r="CA63">
        <v>3.23</v>
      </c>
      <c r="CB63">
        <v>2.74</v>
      </c>
      <c r="CC63">
        <v>2.41</v>
      </c>
      <c r="CD63">
        <v>-1.1100000000000001</v>
      </c>
      <c r="CE63">
        <v>0.92</v>
      </c>
      <c r="CF63">
        <v>0.69</v>
      </c>
      <c r="CG63">
        <v>0</v>
      </c>
      <c r="CH63">
        <v>2.3199999999999998</v>
      </c>
      <c r="CI63">
        <v>0</v>
      </c>
      <c r="CJ63">
        <v>2.2999999999999998</v>
      </c>
      <c r="CK63">
        <v>34</v>
      </c>
      <c r="CL63">
        <v>-1.67</v>
      </c>
      <c r="CM63">
        <v>34</v>
      </c>
      <c r="CN63">
        <v>-1</v>
      </c>
      <c r="CO63">
        <v>34</v>
      </c>
      <c r="CP63">
        <v>7.5</v>
      </c>
      <c r="CQ63">
        <v>33</v>
      </c>
      <c r="CR63">
        <v>0</v>
      </c>
      <c r="CS63">
        <v>0</v>
      </c>
      <c r="CT63">
        <v>22.5</v>
      </c>
      <c r="CU63">
        <v>32</v>
      </c>
      <c r="CV63">
        <v>0.25</v>
      </c>
      <c r="CW63">
        <v>31</v>
      </c>
      <c r="CX63" t="s">
        <v>9531</v>
      </c>
    </row>
    <row r="64" spans="1:102" x14ac:dyDescent="0.3">
      <c r="A64" t="str">
        <f>HYPERLINK("https://webapp.icbf.com/v2/app/bull-search/view/1248027646","FR2239")</f>
        <v>FR2239</v>
      </c>
      <c r="B64" t="s">
        <v>14947</v>
      </c>
      <c r="C64" t="s">
        <v>6253</v>
      </c>
      <c r="D64" s="1">
        <v>42049</v>
      </c>
      <c r="E64" t="s">
        <v>92</v>
      </c>
      <c r="F64">
        <v>72</v>
      </c>
      <c r="G64" t="s">
        <v>93</v>
      </c>
      <c r="H64">
        <v>260.08999999999997</v>
      </c>
      <c r="I64">
        <v>89</v>
      </c>
      <c r="J64">
        <v>76.150000000000006</v>
      </c>
      <c r="K64">
        <v>99</v>
      </c>
      <c r="L64">
        <v>121.81</v>
      </c>
      <c r="M64">
        <v>77</v>
      </c>
      <c r="N64">
        <v>51.17</v>
      </c>
      <c r="O64">
        <v>91</v>
      </c>
      <c r="P64">
        <v>3.19</v>
      </c>
      <c r="Q64">
        <v>97</v>
      </c>
      <c r="R64">
        <v>-1.07</v>
      </c>
      <c r="S64">
        <v>83</v>
      </c>
      <c r="T64">
        <v>8.65</v>
      </c>
      <c r="U64">
        <v>93</v>
      </c>
      <c r="V64">
        <v>0.19</v>
      </c>
      <c r="W64">
        <v>77</v>
      </c>
      <c r="X64" t="s">
        <v>94</v>
      </c>
      <c r="Y64" t="s">
        <v>416</v>
      </c>
      <c r="Z64" t="s">
        <v>330</v>
      </c>
      <c r="AA64" t="s">
        <v>7610</v>
      </c>
      <c r="AB64" t="s">
        <v>14948</v>
      </c>
      <c r="AC64">
        <v>849</v>
      </c>
      <c r="AD64">
        <v>283</v>
      </c>
      <c r="AE64">
        <v>99</v>
      </c>
      <c r="AF64">
        <v>330.17</v>
      </c>
      <c r="AG64">
        <v>13.13</v>
      </c>
      <c r="AH64">
        <v>13.36</v>
      </c>
      <c r="AI64">
        <v>0</v>
      </c>
      <c r="AJ64">
        <v>0.04</v>
      </c>
      <c r="AK64">
        <v>77</v>
      </c>
      <c r="AL64">
        <v>1</v>
      </c>
      <c r="AM64">
        <v>1</v>
      </c>
      <c r="AN64">
        <v>-6.22</v>
      </c>
      <c r="AO64">
        <v>3.5</v>
      </c>
      <c r="AP64">
        <v>31388</v>
      </c>
      <c r="AQ64">
        <v>67</v>
      </c>
      <c r="AR64">
        <v>5.98</v>
      </c>
      <c r="AS64">
        <v>99</v>
      </c>
      <c r="AT64">
        <v>2.21</v>
      </c>
      <c r="AU64">
        <v>99</v>
      </c>
      <c r="AV64">
        <v>-5.18</v>
      </c>
      <c r="AW64">
        <v>99</v>
      </c>
      <c r="AX64">
        <v>-0.64</v>
      </c>
      <c r="AY64">
        <v>99</v>
      </c>
      <c r="AZ64">
        <v>7.64</v>
      </c>
      <c r="BA64">
        <v>91</v>
      </c>
      <c r="BB64">
        <v>5.15</v>
      </c>
      <c r="BC64">
        <v>42</v>
      </c>
      <c r="BD64">
        <v>-0.02</v>
      </c>
      <c r="BE64">
        <v>0.02</v>
      </c>
      <c r="BF64">
        <v>0.02</v>
      </c>
      <c r="BG64">
        <v>96</v>
      </c>
      <c r="BH64">
        <v>0.05</v>
      </c>
      <c r="BI64">
        <v>5.17</v>
      </c>
      <c r="BJ64">
        <v>0</v>
      </c>
      <c r="BK64">
        <v>0</v>
      </c>
      <c r="BL64">
        <v>-1.48</v>
      </c>
      <c r="BM64">
        <v>0.45</v>
      </c>
      <c r="BN64">
        <v>-1.42</v>
      </c>
      <c r="BO64">
        <v>-1.1000000000000001</v>
      </c>
      <c r="BP64">
        <v>1.24</v>
      </c>
      <c r="BQ64">
        <v>-2.39</v>
      </c>
      <c r="BR64">
        <v>1.49</v>
      </c>
      <c r="BS64">
        <v>-0.27</v>
      </c>
      <c r="BT64">
        <v>-2.41</v>
      </c>
      <c r="BU64">
        <v>0.82</v>
      </c>
      <c r="BV64">
        <v>-0.24</v>
      </c>
      <c r="BW64">
        <v>0.28999999999999998</v>
      </c>
      <c r="BX64">
        <v>0.53</v>
      </c>
      <c r="BY64">
        <v>-1.61</v>
      </c>
      <c r="BZ64">
        <v>-1.1399999999999999</v>
      </c>
      <c r="CA64">
        <v>-0.16</v>
      </c>
      <c r="CB64">
        <v>0.53</v>
      </c>
      <c r="CC64">
        <v>-1.06</v>
      </c>
      <c r="CD64">
        <v>0.97</v>
      </c>
      <c r="CE64">
        <v>-0.21</v>
      </c>
      <c r="CF64">
        <v>-1.0900000000000001</v>
      </c>
      <c r="CG64">
        <v>0</v>
      </c>
      <c r="CH64">
        <v>0.55000000000000004</v>
      </c>
      <c r="CI64">
        <v>0</v>
      </c>
      <c r="CJ64">
        <v>2.4</v>
      </c>
      <c r="CK64">
        <v>99</v>
      </c>
      <c r="CL64">
        <v>-0.41</v>
      </c>
      <c r="CM64">
        <v>99</v>
      </c>
      <c r="CN64">
        <v>-0.37</v>
      </c>
      <c r="CO64">
        <v>99</v>
      </c>
      <c r="CP64">
        <v>-1.5</v>
      </c>
      <c r="CQ64">
        <v>78</v>
      </c>
      <c r="CR64">
        <v>0</v>
      </c>
      <c r="CS64">
        <v>0</v>
      </c>
      <c r="CT64">
        <v>2.1</v>
      </c>
      <c r="CU64">
        <v>93</v>
      </c>
      <c r="CV64">
        <v>0.13</v>
      </c>
      <c r="CW64">
        <v>47</v>
      </c>
      <c r="CX64" t="s">
        <v>8946</v>
      </c>
    </row>
    <row r="65" spans="1:102" x14ac:dyDescent="0.3">
      <c r="A65" t="str">
        <f>HYPERLINK("https://webapp.icbf.com/v2/app/bull-search/view/1473671353","FR4410")</f>
        <v>FR4410</v>
      </c>
      <c r="B65" t="s">
        <v>13981</v>
      </c>
      <c r="C65" t="s">
        <v>13982</v>
      </c>
      <c r="D65" s="1">
        <v>42766</v>
      </c>
      <c r="E65" t="s">
        <v>92</v>
      </c>
      <c r="F65">
        <v>78</v>
      </c>
      <c r="G65" t="s">
        <v>435</v>
      </c>
      <c r="H65">
        <v>259.60000000000002</v>
      </c>
      <c r="I65">
        <v>71</v>
      </c>
      <c r="J65">
        <v>87.49</v>
      </c>
      <c r="K65">
        <v>89</v>
      </c>
      <c r="L65">
        <v>123.8</v>
      </c>
      <c r="M65">
        <v>60</v>
      </c>
      <c r="N65">
        <v>44.76</v>
      </c>
      <c r="O65">
        <v>82</v>
      </c>
      <c r="P65">
        <v>-7.03</v>
      </c>
      <c r="Q65">
        <v>53</v>
      </c>
      <c r="R65">
        <v>-0.68</v>
      </c>
      <c r="S65">
        <v>62</v>
      </c>
      <c r="T65">
        <v>8.8699999999999992</v>
      </c>
      <c r="U65">
        <v>51</v>
      </c>
      <c r="V65">
        <v>2.39</v>
      </c>
      <c r="W65">
        <v>59</v>
      </c>
      <c r="X65" t="s">
        <v>94</v>
      </c>
      <c r="Y65" t="s">
        <v>2255</v>
      </c>
      <c r="Z65" t="s">
        <v>96</v>
      </c>
      <c r="AA65" t="s">
        <v>6274</v>
      </c>
      <c r="AB65" t="s">
        <v>13983</v>
      </c>
      <c r="AC65">
        <v>0</v>
      </c>
      <c r="AD65">
        <v>0</v>
      </c>
      <c r="AE65">
        <v>89</v>
      </c>
      <c r="AF65">
        <v>119.61</v>
      </c>
      <c r="AG65">
        <v>12.92</v>
      </c>
      <c r="AH65">
        <v>12.14</v>
      </c>
      <c r="AI65">
        <v>0.14000000000000001</v>
      </c>
      <c r="AJ65">
        <v>0.14000000000000001</v>
      </c>
      <c r="AK65">
        <v>60</v>
      </c>
      <c r="AL65">
        <v>0</v>
      </c>
      <c r="AM65">
        <v>0</v>
      </c>
      <c r="AN65">
        <v>-6.21</v>
      </c>
      <c r="AO65">
        <v>3.67</v>
      </c>
      <c r="AP65">
        <v>338</v>
      </c>
      <c r="AQ65">
        <v>0</v>
      </c>
      <c r="AR65">
        <v>5.18</v>
      </c>
      <c r="AS65">
        <v>71</v>
      </c>
      <c r="AT65">
        <v>2.12</v>
      </c>
      <c r="AU65">
        <v>90</v>
      </c>
      <c r="AV65">
        <v>-4.5999999999999996</v>
      </c>
      <c r="AW65">
        <v>97</v>
      </c>
      <c r="AX65">
        <v>1.85</v>
      </c>
      <c r="AY65">
        <v>84</v>
      </c>
      <c r="AZ65">
        <v>6.99</v>
      </c>
      <c r="BA65">
        <v>44</v>
      </c>
      <c r="BB65">
        <v>4.8899999999999997</v>
      </c>
      <c r="BC65">
        <v>34</v>
      </c>
      <c r="BD65">
        <v>-0.05</v>
      </c>
      <c r="BE65">
        <v>0.01</v>
      </c>
      <c r="BF65">
        <v>0.08</v>
      </c>
      <c r="BG65">
        <v>74</v>
      </c>
      <c r="BH65">
        <v>0.05</v>
      </c>
      <c r="BI65">
        <v>-1.93</v>
      </c>
      <c r="BJ65">
        <v>0</v>
      </c>
      <c r="BK65">
        <v>0</v>
      </c>
      <c r="BL65">
        <v>-1.04</v>
      </c>
      <c r="BM65">
        <v>0.31</v>
      </c>
      <c r="BN65">
        <v>-0.62</v>
      </c>
      <c r="BO65">
        <v>-0.62</v>
      </c>
      <c r="BP65">
        <v>4.54</v>
      </c>
      <c r="BQ65">
        <v>-0.38</v>
      </c>
      <c r="BR65">
        <v>2.42</v>
      </c>
      <c r="BS65">
        <v>-2.2000000000000002</v>
      </c>
      <c r="BT65">
        <v>-1.81</v>
      </c>
      <c r="BU65">
        <v>-0.33</v>
      </c>
      <c r="BV65">
        <v>-0.89</v>
      </c>
      <c r="BW65">
        <v>-1.0900000000000001</v>
      </c>
      <c r="BX65">
        <v>0.28999999999999998</v>
      </c>
      <c r="BY65">
        <v>0.53</v>
      </c>
      <c r="BZ65">
        <v>-2.25</v>
      </c>
      <c r="CA65">
        <v>-1.27</v>
      </c>
      <c r="CB65">
        <v>-0.54</v>
      </c>
      <c r="CC65">
        <v>-2.1800000000000002</v>
      </c>
      <c r="CD65">
        <v>0.51</v>
      </c>
      <c r="CE65">
        <v>-0.55000000000000004</v>
      </c>
      <c r="CF65">
        <v>-1.35</v>
      </c>
      <c r="CG65">
        <v>0</v>
      </c>
      <c r="CH65">
        <v>0.17</v>
      </c>
      <c r="CI65">
        <v>0</v>
      </c>
      <c r="CJ65">
        <v>-2.4</v>
      </c>
      <c r="CK65">
        <v>59</v>
      </c>
      <c r="CL65">
        <v>-0.53</v>
      </c>
      <c r="CM65">
        <v>46</v>
      </c>
      <c r="CN65">
        <v>-0.22</v>
      </c>
      <c r="CO65">
        <v>46</v>
      </c>
      <c r="CP65">
        <v>-5.5</v>
      </c>
      <c r="CQ65">
        <v>47</v>
      </c>
      <c r="CR65">
        <v>0</v>
      </c>
      <c r="CS65">
        <v>0</v>
      </c>
      <c r="CT65">
        <v>1.8</v>
      </c>
      <c r="CU65">
        <v>51</v>
      </c>
      <c r="CV65">
        <v>0.05</v>
      </c>
      <c r="CW65">
        <v>35</v>
      </c>
      <c r="CX65" t="s">
        <v>3085</v>
      </c>
    </row>
    <row r="66" spans="1:102" x14ac:dyDescent="0.3">
      <c r="A66" t="str">
        <f>HYPERLINK("https://webapp.icbf.com/v2/app/bull-search/view/1039514620","NNL")</f>
        <v>NNL</v>
      </c>
      <c r="B66" t="s">
        <v>7623</v>
      </c>
      <c r="C66" t="s">
        <v>7624</v>
      </c>
      <c r="D66" s="1">
        <v>41306</v>
      </c>
      <c r="E66" t="s">
        <v>92</v>
      </c>
      <c r="F66">
        <v>94</v>
      </c>
      <c r="G66" t="s">
        <v>93</v>
      </c>
      <c r="H66">
        <v>259.26</v>
      </c>
      <c r="I66">
        <v>80</v>
      </c>
      <c r="J66">
        <v>69.95</v>
      </c>
      <c r="K66">
        <v>93</v>
      </c>
      <c r="L66">
        <v>141.82</v>
      </c>
      <c r="M66">
        <v>74</v>
      </c>
      <c r="N66">
        <v>41.51</v>
      </c>
      <c r="O66">
        <v>79</v>
      </c>
      <c r="P66">
        <v>-6.34</v>
      </c>
      <c r="Q66">
        <v>81</v>
      </c>
      <c r="R66">
        <v>3.12</v>
      </c>
      <c r="S66">
        <v>73</v>
      </c>
      <c r="T66">
        <v>6.35</v>
      </c>
      <c r="U66">
        <v>62</v>
      </c>
      <c r="V66">
        <v>2.85</v>
      </c>
      <c r="W66">
        <v>68</v>
      </c>
      <c r="X66" t="s">
        <v>251</v>
      </c>
      <c r="Y66" t="s">
        <v>389</v>
      </c>
      <c r="Z66" t="s">
        <v>96</v>
      </c>
      <c r="AA66" t="s">
        <v>2041</v>
      </c>
      <c r="AB66" t="s">
        <v>7625</v>
      </c>
      <c r="AC66">
        <v>57</v>
      </c>
      <c r="AD66">
        <v>7</v>
      </c>
      <c r="AE66">
        <v>93</v>
      </c>
      <c r="AF66">
        <v>-122.72</v>
      </c>
      <c r="AG66">
        <v>10.82</v>
      </c>
      <c r="AH66">
        <v>6.19</v>
      </c>
      <c r="AI66">
        <v>0.28000000000000003</v>
      </c>
      <c r="AJ66">
        <v>0.18</v>
      </c>
      <c r="AK66">
        <v>74</v>
      </c>
      <c r="AL66">
        <v>63</v>
      </c>
      <c r="AM66">
        <v>9</v>
      </c>
      <c r="AN66">
        <v>-7.74</v>
      </c>
      <c r="AO66">
        <v>3.57</v>
      </c>
      <c r="AP66">
        <v>100</v>
      </c>
      <c r="AQ66">
        <v>0</v>
      </c>
      <c r="AR66">
        <v>4.04</v>
      </c>
      <c r="AS66">
        <v>70</v>
      </c>
      <c r="AT66">
        <v>1.7</v>
      </c>
      <c r="AU66">
        <v>81</v>
      </c>
      <c r="AV66">
        <v>-2.77</v>
      </c>
      <c r="AW66">
        <v>92</v>
      </c>
      <c r="AX66">
        <v>0.23</v>
      </c>
      <c r="AY66">
        <v>70</v>
      </c>
      <c r="AZ66">
        <v>5.74</v>
      </c>
      <c r="BA66">
        <v>64</v>
      </c>
      <c r="BB66">
        <v>4.74</v>
      </c>
      <c r="BC66">
        <v>54</v>
      </c>
      <c r="BD66">
        <v>-0.04</v>
      </c>
      <c r="BE66">
        <v>-0.05</v>
      </c>
      <c r="BF66">
        <v>0.09</v>
      </c>
      <c r="BG66">
        <v>82</v>
      </c>
      <c r="BH66">
        <v>0.18</v>
      </c>
      <c r="BI66">
        <v>11.62</v>
      </c>
      <c r="BJ66">
        <v>0</v>
      </c>
      <c r="BK66">
        <v>0</v>
      </c>
      <c r="BL66">
        <v>-0.84</v>
      </c>
      <c r="BM66">
        <v>-0.73</v>
      </c>
      <c r="BN66">
        <v>-2.41</v>
      </c>
      <c r="BO66">
        <v>-1.34</v>
      </c>
      <c r="BP66">
        <v>1.1499999999999999</v>
      </c>
      <c r="BQ66">
        <v>-1.86</v>
      </c>
      <c r="BR66">
        <v>0.31</v>
      </c>
      <c r="BS66">
        <v>-2.06</v>
      </c>
      <c r="BT66">
        <v>-0.3</v>
      </c>
      <c r="BU66">
        <v>1.17</v>
      </c>
      <c r="BV66">
        <v>-0.68</v>
      </c>
      <c r="BW66">
        <v>0.42</v>
      </c>
      <c r="BX66">
        <v>1.78</v>
      </c>
      <c r="BY66">
        <v>-0.57999999999999996</v>
      </c>
      <c r="BZ66">
        <v>-0.92</v>
      </c>
      <c r="CA66">
        <v>0.06</v>
      </c>
      <c r="CB66">
        <v>0.35</v>
      </c>
      <c r="CC66">
        <v>-0.89</v>
      </c>
      <c r="CD66">
        <v>0.73</v>
      </c>
      <c r="CE66">
        <v>-0.83</v>
      </c>
      <c r="CF66">
        <v>-1.29</v>
      </c>
      <c r="CG66">
        <v>0</v>
      </c>
      <c r="CH66">
        <v>1.01</v>
      </c>
      <c r="CI66">
        <v>0</v>
      </c>
      <c r="CJ66">
        <v>-3</v>
      </c>
      <c r="CK66">
        <v>83</v>
      </c>
      <c r="CL66">
        <v>-0.78</v>
      </c>
      <c r="CM66">
        <v>80</v>
      </c>
      <c r="CN66">
        <v>-0.48</v>
      </c>
      <c r="CO66">
        <v>78</v>
      </c>
      <c r="CP66">
        <v>1.5</v>
      </c>
      <c r="CQ66">
        <v>72</v>
      </c>
      <c r="CR66">
        <v>0</v>
      </c>
      <c r="CS66">
        <v>0</v>
      </c>
      <c r="CT66">
        <v>5.2</v>
      </c>
      <c r="CU66">
        <v>62</v>
      </c>
      <c r="CV66">
        <v>-0.01</v>
      </c>
      <c r="CW66">
        <v>44</v>
      </c>
      <c r="CX66" t="s">
        <v>2174</v>
      </c>
    </row>
    <row r="67" spans="1:102" x14ac:dyDescent="0.3">
      <c r="A67" t="str">
        <f>HYPERLINK("https://webapp.icbf.com/v2/app/bull-search/view/1487446860","FR4426")</f>
        <v>FR4426</v>
      </c>
      <c r="B67" t="s">
        <v>7688</v>
      </c>
      <c r="C67" t="s">
        <v>7689</v>
      </c>
      <c r="D67" s="1">
        <v>42796</v>
      </c>
      <c r="E67" t="s">
        <v>92</v>
      </c>
      <c r="F67">
        <v>75</v>
      </c>
      <c r="G67" t="s">
        <v>435</v>
      </c>
      <c r="H67">
        <v>258.87</v>
      </c>
      <c r="I67">
        <v>70</v>
      </c>
      <c r="J67">
        <v>100.27</v>
      </c>
      <c r="K67">
        <v>88</v>
      </c>
      <c r="L67">
        <v>120.62</v>
      </c>
      <c r="M67">
        <v>61</v>
      </c>
      <c r="N67">
        <v>45.17</v>
      </c>
      <c r="O67">
        <v>83</v>
      </c>
      <c r="P67">
        <v>-15.69</v>
      </c>
      <c r="Q67">
        <v>52</v>
      </c>
      <c r="R67">
        <v>-6.97</v>
      </c>
      <c r="S67">
        <v>61</v>
      </c>
      <c r="T67">
        <v>9.16</v>
      </c>
      <c r="U67">
        <v>46</v>
      </c>
      <c r="V67">
        <v>6.31</v>
      </c>
      <c r="W67">
        <v>56</v>
      </c>
      <c r="X67" t="s">
        <v>102</v>
      </c>
      <c r="Y67" t="s">
        <v>2255</v>
      </c>
      <c r="Z67" t="s">
        <v>330</v>
      </c>
      <c r="AA67" t="s">
        <v>2512</v>
      </c>
      <c r="AB67" t="s">
        <v>7690</v>
      </c>
      <c r="AC67">
        <v>0</v>
      </c>
      <c r="AD67">
        <v>0</v>
      </c>
      <c r="AE67">
        <v>88</v>
      </c>
      <c r="AF67">
        <v>306.12</v>
      </c>
      <c r="AG67">
        <v>12.94</v>
      </c>
      <c r="AH67">
        <v>17.16</v>
      </c>
      <c r="AI67">
        <v>0.01</v>
      </c>
      <c r="AJ67">
        <v>0.12</v>
      </c>
      <c r="AK67">
        <v>61</v>
      </c>
      <c r="AL67">
        <v>0</v>
      </c>
      <c r="AM67">
        <v>0</v>
      </c>
      <c r="AN67">
        <v>-5.77</v>
      </c>
      <c r="AO67">
        <v>3.86</v>
      </c>
      <c r="AP67">
        <v>500</v>
      </c>
      <c r="AQ67">
        <v>0</v>
      </c>
      <c r="AR67">
        <v>7.16</v>
      </c>
      <c r="AS67">
        <v>77</v>
      </c>
      <c r="AT67">
        <v>2.99</v>
      </c>
      <c r="AU67">
        <v>92</v>
      </c>
      <c r="AV67">
        <v>-5.1100000000000003</v>
      </c>
      <c r="AW67">
        <v>98</v>
      </c>
      <c r="AX67">
        <v>-0.41</v>
      </c>
      <c r="AY67">
        <v>87</v>
      </c>
      <c r="AZ67">
        <v>6.24</v>
      </c>
      <c r="BA67">
        <v>43</v>
      </c>
      <c r="BB67">
        <v>4.8</v>
      </c>
      <c r="BC67">
        <v>34</v>
      </c>
      <c r="BD67">
        <v>-0.01</v>
      </c>
      <c r="BE67">
        <v>0.03</v>
      </c>
      <c r="BF67">
        <v>0.12</v>
      </c>
      <c r="BG67">
        <v>73</v>
      </c>
      <c r="BH67">
        <v>0.09</v>
      </c>
      <c r="BI67">
        <v>-9.94</v>
      </c>
      <c r="BJ67">
        <v>0</v>
      </c>
      <c r="BK67">
        <v>0</v>
      </c>
      <c r="BL67">
        <v>-0.39</v>
      </c>
      <c r="BM67">
        <v>-0.48</v>
      </c>
      <c r="BN67">
        <v>-1.37</v>
      </c>
      <c r="BO67">
        <v>-0.33</v>
      </c>
      <c r="BP67">
        <v>0.9</v>
      </c>
      <c r="BQ67">
        <v>0.56000000000000005</v>
      </c>
      <c r="BR67">
        <v>1.3</v>
      </c>
      <c r="BS67">
        <v>-2.06</v>
      </c>
      <c r="BT67">
        <v>-1.91</v>
      </c>
      <c r="BU67">
        <v>-1.1599999999999999</v>
      </c>
      <c r="BV67">
        <v>-1.24</v>
      </c>
      <c r="BW67">
        <v>-2.19</v>
      </c>
      <c r="BX67">
        <v>-0.87</v>
      </c>
      <c r="BY67">
        <v>-1.62</v>
      </c>
      <c r="BZ67">
        <v>-0.22</v>
      </c>
      <c r="CA67">
        <v>-1.63</v>
      </c>
      <c r="CB67">
        <v>-1.5</v>
      </c>
      <c r="CC67">
        <v>-1.1299999999999999</v>
      </c>
      <c r="CD67">
        <v>-0.46</v>
      </c>
      <c r="CE67">
        <v>-0.16</v>
      </c>
      <c r="CF67">
        <v>-0.72</v>
      </c>
      <c r="CG67">
        <v>0</v>
      </c>
      <c r="CH67">
        <v>-2.39</v>
      </c>
      <c r="CI67">
        <v>0</v>
      </c>
      <c r="CJ67">
        <v>-5.7</v>
      </c>
      <c r="CK67">
        <v>57</v>
      </c>
      <c r="CL67">
        <v>-1.0900000000000001</v>
      </c>
      <c r="CM67">
        <v>46</v>
      </c>
      <c r="CN67">
        <v>-0.33</v>
      </c>
      <c r="CO67">
        <v>46</v>
      </c>
      <c r="CP67">
        <v>-2.9</v>
      </c>
      <c r="CQ67">
        <v>46</v>
      </c>
      <c r="CR67">
        <v>0</v>
      </c>
      <c r="CS67">
        <v>0</v>
      </c>
      <c r="CT67">
        <v>1.4</v>
      </c>
      <c r="CU67">
        <v>46</v>
      </c>
      <c r="CV67">
        <v>0.11</v>
      </c>
      <c r="CW67">
        <v>35</v>
      </c>
      <c r="CX67" t="s">
        <v>6255</v>
      </c>
    </row>
    <row r="68" spans="1:102" x14ac:dyDescent="0.3">
      <c r="A68" t="str">
        <f>HYPERLINK("https://webapp.icbf.com/v2/app/bull-search/view/1246194807","FR2460")</f>
        <v>FR2460</v>
      </c>
      <c r="B68" t="s">
        <v>3119</v>
      </c>
      <c r="C68" t="s">
        <v>3120</v>
      </c>
      <c r="D68" s="1">
        <v>42043</v>
      </c>
      <c r="E68" t="s">
        <v>92</v>
      </c>
      <c r="F68">
        <v>66</v>
      </c>
      <c r="G68" t="s">
        <v>93</v>
      </c>
      <c r="H68">
        <v>258.29000000000002</v>
      </c>
      <c r="I68">
        <v>81</v>
      </c>
      <c r="J68">
        <v>84.25</v>
      </c>
      <c r="K68">
        <v>91</v>
      </c>
      <c r="L68">
        <v>137.46</v>
      </c>
      <c r="M68">
        <v>69</v>
      </c>
      <c r="N68">
        <v>24.75</v>
      </c>
      <c r="O68">
        <v>90</v>
      </c>
      <c r="P68">
        <v>-23.32</v>
      </c>
      <c r="Q68">
        <v>93</v>
      </c>
      <c r="R68">
        <v>12</v>
      </c>
      <c r="S68">
        <v>68</v>
      </c>
      <c r="T68">
        <v>18.41</v>
      </c>
      <c r="U68">
        <v>85</v>
      </c>
      <c r="V68">
        <v>4.74</v>
      </c>
      <c r="W68">
        <v>64</v>
      </c>
      <c r="X68" t="s">
        <v>94</v>
      </c>
      <c r="Y68" t="s">
        <v>436</v>
      </c>
      <c r="Z68" t="s">
        <v>96</v>
      </c>
      <c r="AA68" t="s">
        <v>3121</v>
      </c>
      <c r="AB68" t="s">
        <v>3122</v>
      </c>
      <c r="AC68">
        <v>32</v>
      </c>
      <c r="AD68">
        <v>9</v>
      </c>
      <c r="AE68">
        <v>91</v>
      </c>
      <c r="AF68">
        <v>73.56</v>
      </c>
      <c r="AG68">
        <v>12.14</v>
      </c>
      <c r="AH68">
        <v>11.16</v>
      </c>
      <c r="AI68">
        <v>0.16</v>
      </c>
      <c r="AJ68">
        <v>0.15</v>
      </c>
      <c r="AK68">
        <v>69</v>
      </c>
      <c r="AL68">
        <v>0</v>
      </c>
      <c r="AM68">
        <v>0</v>
      </c>
      <c r="AN68">
        <v>-5.32</v>
      </c>
      <c r="AO68">
        <v>5.67</v>
      </c>
      <c r="AP68">
        <v>14400</v>
      </c>
      <c r="AQ68">
        <v>17</v>
      </c>
      <c r="AR68">
        <v>5.86</v>
      </c>
      <c r="AS68">
        <v>95</v>
      </c>
      <c r="AT68">
        <v>2.5499999999999998</v>
      </c>
      <c r="AU68">
        <v>99</v>
      </c>
      <c r="AV68">
        <v>-2.14</v>
      </c>
      <c r="AW68">
        <v>99</v>
      </c>
      <c r="AX68">
        <v>-0.47</v>
      </c>
      <c r="AY68">
        <v>99</v>
      </c>
      <c r="AZ68">
        <v>6.68</v>
      </c>
      <c r="BA68">
        <v>46</v>
      </c>
      <c r="BB68">
        <v>5.38</v>
      </c>
      <c r="BC68">
        <v>45</v>
      </c>
      <c r="BD68">
        <v>-0.09</v>
      </c>
      <c r="BE68">
        <v>-0.04</v>
      </c>
      <c r="BF68">
        <v>-0.05</v>
      </c>
      <c r="BG68">
        <v>78</v>
      </c>
      <c r="BH68">
        <v>0.06</v>
      </c>
      <c r="BI68">
        <v>-8.36</v>
      </c>
      <c r="BJ68">
        <v>0</v>
      </c>
      <c r="BK68">
        <v>0</v>
      </c>
      <c r="BL68">
        <v>-1.26</v>
      </c>
      <c r="BM68">
        <v>0.04</v>
      </c>
      <c r="BN68">
        <v>-2.81</v>
      </c>
      <c r="BO68">
        <v>-1.88</v>
      </c>
      <c r="BP68">
        <v>-1.0900000000000001</v>
      </c>
      <c r="BQ68">
        <v>-0.55000000000000004</v>
      </c>
      <c r="BR68">
        <v>0.75</v>
      </c>
      <c r="BS68">
        <v>-2.48</v>
      </c>
      <c r="BT68">
        <v>-1.4</v>
      </c>
      <c r="BU68">
        <v>-7.0000000000000007E-2</v>
      </c>
      <c r="BV68">
        <v>-1.2</v>
      </c>
      <c r="BW68">
        <v>0.08</v>
      </c>
      <c r="BX68">
        <v>1.3</v>
      </c>
      <c r="BY68">
        <v>-1.4</v>
      </c>
      <c r="BZ68">
        <v>-1.65</v>
      </c>
      <c r="CA68">
        <v>-1.04</v>
      </c>
      <c r="CB68">
        <v>-0.34</v>
      </c>
      <c r="CC68">
        <v>-2.36</v>
      </c>
      <c r="CD68">
        <v>1.24</v>
      </c>
      <c r="CE68">
        <v>-1.82</v>
      </c>
      <c r="CF68">
        <v>-2.06</v>
      </c>
      <c r="CG68">
        <v>0</v>
      </c>
      <c r="CH68">
        <v>0.01</v>
      </c>
      <c r="CI68">
        <v>0</v>
      </c>
      <c r="CJ68">
        <v>-13.1</v>
      </c>
      <c r="CK68">
        <v>96</v>
      </c>
      <c r="CL68">
        <v>-0.53</v>
      </c>
      <c r="CM68">
        <v>95</v>
      </c>
      <c r="CN68">
        <v>-0.21</v>
      </c>
      <c r="CO68">
        <v>94</v>
      </c>
      <c r="CP68">
        <v>-14.9</v>
      </c>
      <c r="CQ68">
        <v>70</v>
      </c>
      <c r="CR68">
        <v>0</v>
      </c>
      <c r="CS68">
        <v>0</v>
      </c>
      <c r="CT68">
        <v>-11.1</v>
      </c>
      <c r="CU68">
        <v>85</v>
      </c>
      <c r="CV68">
        <v>-0.14000000000000001</v>
      </c>
      <c r="CW68">
        <v>46</v>
      </c>
      <c r="CX68" t="s">
        <v>1229</v>
      </c>
    </row>
    <row r="69" spans="1:102" x14ac:dyDescent="0.3">
      <c r="A69" t="str">
        <f>HYPERLINK("https://webapp.icbf.com/v2/app/bull-search/view/1599957205","FR4665")</f>
        <v>FR4665</v>
      </c>
      <c r="B69" t="s">
        <v>14941</v>
      </c>
      <c r="C69" t="s">
        <v>14942</v>
      </c>
      <c r="D69" s="1">
        <v>42475</v>
      </c>
      <c r="E69" t="s">
        <v>92</v>
      </c>
      <c r="F69">
        <v>100</v>
      </c>
      <c r="G69" t="s">
        <v>435</v>
      </c>
      <c r="H69">
        <v>257.95999999999998</v>
      </c>
      <c r="I69">
        <v>65</v>
      </c>
      <c r="J69">
        <v>121.24</v>
      </c>
      <c r="K69">
        <v>86</v>
      </c>
      <c r="L69">
        <v>79.58</v>
      </c>
      <c r="M69">
        <v>64</v>
      </c>
      <c r="N69">
        <v>49.95</v>
      </c>
      <c r="O69">
        <v>52</v>
      </c>
      <c r="P69">
        <v>-4.88</v>
      </c>
      <c r="Q69">
        <v>36</v>
      </c>
      <c r="R69">
        <v>21.75</v>
      </c>
      <c r="S69">
        <v>60</v>
      </c>
      <c r="T69">
        <v>-8.4499999999999993</v>
      </c>
      <c r="U69">
        <v>34</v>
      </c>
      <c r="V69">
        <v>-1.23</v>
      </c>
      <c r="W69">
        <v>51</v>
      </c>
      <c r="X69" t="s">
        <v>276</v>
      </c>
      <c r="Y69" t="s">
        <v>442</v>
      </c>
      <c r="Z69" t="s">
        <v>96</v>
      </c>
      <c r="AA69" t="s">
        <v>14943</v>
      </c>
      <c r="AB69" t="s">
        <v>14944</v>
      </c>
      <c r="AC69">
        <v>0</v>
      </c>
      <c r="AD69">
        <v>0</v>
      </c>
      <c r="AE69">
        <v>86</v>
      </c>
      <c r="AF69">
        <v>456.63</v>
      </c>
      <c r="AG69">
        <v>28.35</v>
      </c>
      <c r="AH69">
        <v>17.579999999999998</v>
      </c>
      <c r="AI69">
        <v>0.17</v>
      </c>
      <c r="AJ69">
        <v>0.04</v>
      </c>
      <c r="AK69">
        <v>64</v>
      </c>
      <c r="AL69">
        <v>0</v>
      </c>
      <c r="AM69">
        <v>0</v>
      </c>
      <c r="AN69">
        <v>-4.09</v>
      </c>
      <c r="AO69">
        <v>2.2599999999999998</v>
      </c>
      <c r="AP69">
        <v>6</v>
      </c>
      <c r="AQ69">
        <v>0</v>
      </c>
      <c r="AR69">
        <v>3.88</v>
      </c>
      <c r="AS69">
        <v>53</v>
      </c>
      <c r="AT69">
        <v>1.64</v>
      </c>
      <c r="AU69">
        <v>83</v>
      </c>
      <c r="AV69">
        <v>-4.18</v>
      </c>
      <c r="AW69">
        <v>44</v>
      </c>
      <c r="AX69">
        <v>0.71</v>
      </c>
      <c r="AY69">
        <v>40</v>
      </c>
      <c r="AZ69">
        <v>5.81</v>
      </c>
      <c r="BA69">
        <v>33</v>
      </c>
      <c r="BB69">
        <v>5.15</v>
      </c>
      <c r="BC69">
        <v>32</v>
      </c>
      <c r="BD69">
        <v>-0.09</v>
      </c>
      <c r="BE69">
        <v>-0.1</v>
      </c>
      <c r="BF69">
        <v>-0.16</v>
      </c>
      <c r="BG69">
        <v>73</v>
      </c>
      <c r="BH69">
        <v>-0.22</v>
      </c>
      <c r="BI69">
        <v>-21.47</v>
      </c>
      <c r="BJ69">
        <v>0</v>
      </c>
      <c r="BK69">
        <v>0</v>
      </c>
      <c r="BL69">
        <v>1.76</v>
      </c>
      <c r="BM69">
        <v>-0.36</v>
      </c>
      <c r="BN69">
        <v>0.75</v>
      </c>
      <c r="BO69">
        <v>1.1499999999999999</v>
      </c>
      <c r="BP69">
        <v>-2</v>
      </c>
      <c r="BQ69">
        <v>2.2400000000000002</v>
      </c>
      <c r="BR69">
        <v>2.86</v>
      </c>
      <c r="BS69">
        <v>0.83</v>
      </c>
      <c r="BT69">
        <v>-0.3</v>
      </c>
      <c r="BU69">
        <v>2.5099999999999998</v>
      </c>
      <c r="BV69">
        <v>2.3199999999999998</v>
      </c>
      <c r="BW69">
        <v>2.4300000000000002</v>
      </c>
      <c r="BX69">
        <v>2.0699999999999998</v>
      </c>
      <c r="BY69">
        <v>0.57999999999999996</v>
      </c>
      <c r="BZ69">
        <v>-0.68</v>
      </c>
      <c r="CA69">
        <v>1.98</v>
      </c>
      <c r="CB69">
        <v>2.2400000000000002</v>
      </c>
      <c r="CC69">
        <v>0.9</v>
      </c>
      <c r="CD69">
        <v>-0.8</v>
      </c>
      <c r="CE69">
        <v>1.1000000000000001</v>
      </c>
      <c r="CF69">
        <v>1.41</v>
      </c>
      <c r="CG69">
        <v>0</v>
      </c>
      <c r="CH69">
        <v>2.06</v>
      </c>
      <c r="CI69">
        <v>0</v>
      </c>
      <c r="CJ69">
        <v>0.1</v>
      </c>
      <c r="CK69">
        <v>37</v>
      </c>
      <c r="CL69">
        <v>-1.6</v>
      </c>
      <c r="CM69">
        <v>36</v>
      </c>
      <c r="CN69">
        <v>-0.92</v>
      </c>
      <c r="CO69">
        <v>36</v>
      </c>
      <c r="CP69">
        <v>4.8</v>
      </c>
      <c r="CQ69">
        <v>35</v>
      </c>
      <c r="CR69">
        <v>0</v>
      </c>
      <c r="CS69">
        <v>0</v>
      </c>
      <c r="CT69">
        <v>25.2</v>
      </c>
      <c r="CU69">
        <v>34</v>
      </c>
      <c r="CV69">
        <v>0.23</v>
      </c>
      <c r="CW69">
        <v>32</v>
      </c>
      <c r="CX69" t="s">
        <v>450</v>
      </c>
    </row>
    <row r="70" spans="1:102" x14ac:dyDescent="0.3">
      <c r="A70" t="str">
        <f>HYPERLINK("https://webapp.icbf.com/v2/app/bull-search/view/1257608299","FR4028")</f>
        <v>FR4028</v>
      </c>
      <c r="B70" t="s">
        <v>6158</v>
      </c>
      <c r="C70" t="s">
        <v>6159</v>
      </c>
      <c r="D70" s="1">
        <v>42077</v>
      </c>
      <c r="E70" t="s">
        <v>92</v>
      </c>
      <c r="F70">
        <v>66</v>
      </c>
      <c r="G70" t="s">
        <v>435</v>
      </c>
      <c r="H70">
        <v>256.99</v>
      </c>
      <c r="I70">
        <v>72</v>
      </c>
      <c r="J70">
        <v>95.18</v>
      </c>
      <c r="K70">
        <v>87</v>
      </c>
      <c r="L70">
        <v>103.47</v>
      </c>
      <c r="M70">
        <v>62</v>
      </c>
      <c r="N70">
        <v>47.24</v>
      </c>
      <c r="O70">
        <v>82</v>
      </c>
      <c r="P70">
        <v>-14.42</v>
      </c>
      <c r="Q70">
        <v>72</v>
      </c>
      <c r="R70">
        <v>7.22</v>
      </c>
      <c r="S70">
        <v>62</v>
      </c>
      <c r="T70">
        <v>11.01</v>
      </c>
      <c r="U70">
        <v>51</v>
      </c>
      <c r="V70">
        <v>7.29</v>
      </c>
      <c r="W70">
        <v>56</v>
      </c>
      <c r="X70" t="s">
        <v>94</v>
      </c>
      <c r="Y70" t="s">
        <v>436</v>
      </c>
      <c r="Z70" t="s">
        <v>330</v>
      </c>
      <c r="AA70" t="s">
        <v>6160</v>
      </c>
      <c r="AB70" t="s">
        <v>6161</v>
      </c>
      <c r="AC70">
        <v>0</v>
      </c>
      <c r="AD70">
        <v>0</v>
      </c>
      <c r="AE70">
        <v>87</v>
      </c>
      <c r="AF70">
        <v>96.53</v>
      </c>
      <c r="AG70">
        <v>17.68</v>
      </c>
      <c r="AH70">
        <v>11.41</v>
      </c>
      <c r="AI70">
        <v>0.23</v>
      </c>
      <c r="AJ70">
        <v>0.14000000000000001</v>
      </c>
      <c r="AK70">
        <v>62</v>
      </c>
      <c r="AL70">
        <v>0</v>
      </c>
      <c r="AM70">
        <v>0</v>
      </c>
      <c r="AN70">
        <v>-5.74</v>
      </c>
      <c r="AO70">
        <v>2.5099999999999998</v>
      </c>
      <c r="AP70">
        <v>308</v>
      </c>
      <c r="AQ70">
        <v>0</v>
      </c>
      <c r="AR70">
        <v>4.3499999999999996</v>
      </c>
      <c r="AS70">
        <v>66</v>
      </c>
      <c r="AT70">
        <v>2.15</v>
      </c>
      <c r="AU70">
        <v>88</v>
      </c>
      <c r="AV70">
        <v>-3.58</v>
      </c>
      <c r="AW70">
        <v>97</v>
      </c>
      <c r="AX70">
        <v>-0.45</v>
      </c>
      <c r="AY70">
        <v>80</v>
      </c>
      <c r="AZ70">
        <v>5.86</v>
      </c>
      <c r="BA70">
        <v>42</v>
      </c>
      <c r="BB70">
        <v>4.53</v>
      </c>
      <c r="BC70">
        <v>43</v>
      </c>
      <c r="BD70">
        <v>-0.06</v>
      </c>
      <c r="BE70">
        <v>-0.04</v>
      </c>
      <c r="BF70">
        <v>0.01</v>
      </c>
      <c r="BG70">
        <v>71</v>
      </c>
      <c r="BH70">
        <v>0.14000000000000001</v>
      </c>
      <c r="BI70">
        <v>-7.31</v>
      </c>
      <c r="BJ70">
        <v>0</v>
      </c>
      <c r="BK70">
        <v>0</v>
      </c>
      <c r="BL70">
        <v>-1.38</v>
      </c>
      <c r="BM70">
        <v>0.27</v>
      </c>
      <c r="BN70">
        <v>-0.85</v>
      </c>
      <c r="BO70">
        <v>-0.78</v>
      </c>
      <c r="BP70">
        <v>1.69</v>
      </c>
      <c r="BQ70">
        <v>-0.34</v>
      </c>
      <c r="BR70">
        <v>-0.08</v>
      </c>
      <c r="BS70">
        <v>1.35</v>
      </c>
      <c r="BT70">
        <v>-0.19</v>
      </c>
      <c r="BU70">
        <v>-1.91</v>
      </c>
      <c r="BV70">
        <v>-1.81</v>
      </c>
      <c r="BW70">
        <v>-2.31</v>
      </c>
      <c r="BX70">
        <v>-2.23</v>
      </c>
      <c r="BY70">
        <v>-0.97</v>
      </c>
      <c r="BZ70">
        <v>0.36</v>
      </c>
      <c r="CA70">
        <v>-0.9</v>
      </c>
      <c r="CB70">
        <v>-1.57</v>
      </c>
      <c r="CC70">
        <v>0.92</v>
      </c>
      <c r="CD70">
        <v>0.8</v>
      </c>
      <c r="CE70">
        <v>-0.54</v>
      </c>
      <c r="CF70">
        <v>-1.62</v>
      </c>
      <c r="CG70">
        <v>0</v>
      </c>
      <c r="CH70">
        <v>-2.09</v>
      </c>
      <c r="CI70">
        <v>0</v>
      </c>
      <c r="CJ70">
        <v>-5.0999999999999996</v>
      </c>
      <c r="CK70">
        <v>76</v>
      </c>
      <c r="CL70">
        <v>-0.67</v>
      </c>
      <c r="CM70">
        <v>69</v>
      </c>
      <c r="CN70">
        <v>-0.06</v>
      </c>
      <c r="CO70">
        <v>67</v>
      </c>
      <c r="CP70">
        <v>-7.8</v>
      </c>
      <c r="CQ70">
        <v>55</v>
      </c>
      <c r="CR70">
        <v>0</v>
      </c>
      <c r="CS70">
        <v>0</v>
      </c>
      <c r="CT70">
        <v>-1.1000000000000001</v>
      </c>
      <c r="CU70">
        <v>51</v>
      </c>
      <c r="CV70">
        <v>0.05</v>
      </c>
      <c r="CW70">
        <v>42</v>
      </c>
      <c r="CX70" t="s">
        <v>1942</v>
      </c>
    </row>
    <row r="71" spans="1:102" x14ac:dyDescent="0.3">
      <c r="A71" t="str">
        <f>HYPERLINK("https://webapp.icbf.com/v2/app/bull-search/view/1356073196","FR4176")</f>
        <v>FR4176</v>
      </c>
      <c r="B71" t="s">
        <v>13859</v>
      </c>
      <c r="C71" t="s">
        <v>13860</v>
      </c>
      <c r="D71" s="1">
        <v>42410</v>
      </c>
      <c r="E71" t="s">
        <v>92</v>
      </c>
      <c r="F71">
        <v>84</v>
      </c>
      <c r="G71" t="s">
        <v>435</v>
      </c>
      <c r="H71">
        <v>256.57</v>
      </c>
      <c r="I71">
        <v>75</v>
      </c>
      <c r="J71">
        <v>53.23</v>
      </c>
      <c r="K71">
        <v>90</v>
      </c>
      <c r="L71">
        <v>136.86000000000001</v>
      </c>
      <c r="M71">
        <v>66</v>
      </c>
      <c r="N71">
        <v>58.41</v>
      </c>
      <c r="O71">
        <v>83</v>
      </c>
      <c r="P71">
        <v>-27.5</v>
      </c>
      <c r="Q71">
        <v>75</v>
      </c>
      <c r="R71">
        <v>9.67</v>
      </c>
      <c r="S71">
        <v>66</v>
      </c>
      <c r="T71">
        <v>19.3</v>
      </c>
      <c r="U71">
        <v>54</v>
      </c>
      <c r="V71">
        <v>6.6</v>
      </c>
      <c r="W71">
        <v>59</v>
      </c>
      <c r="X71" t="s">
        <v>94</v>
      </c>
      <c r="Y71" t="s">
        <v>2255</v>
      </c>
      <c r="Z71" t="s">
        <v>96</v>
      </c>
      <c r="AA71" t="s">
        <v>437</v>
      </c>
      <c r="AB71" t="s">
        <v>13861</v>
      </c>
      <c r="AC71">
        <v>2</v>
      </c>
      <c r="AD71">
        <v>2</v>
      </c>
      <c r="AE71">
        <v>90</v>
      </c>
      <c r="AF71">
        <v>168.04</v>
      </c>
      <c r="AG71">
        <v>5.13</v>
      </c>
      <c r="AH71">
        <v>9.81</v>
      </c>
      <c r="AI71">
        <v>-0.03</v>
      </c>
      <c r="AJ71">
        <v>7.0000000000000007E-2</v>
      </c>
      <c r="AK71">
        <v>66</v>
      </c>
      <c r="AL71">
        <v>0</v>
      </c>
      <c r="AM71">
        <v>0</v>
      </c>
      <c r="AN71">
        <v>-7</v>
      </c>
      <c r="AO71">
        <v>3.92</v>
      </c>
      <c r="AP71">
        <v>328</v>
      </c>
      <c r="AQ71">
        <v>0</v>
      </c>
      <c r="AR71">
        <v>4.3499999999999996</v>
      </c>
      <c r="AS71">
        <v>65</v>
      </c>
      <c r="AT71">
        <v>1.71</v>
      </c>
      <c r="AU71">
        <v>90</v>
      </c>
      <c r="AV71">
        <v>-4.84</v>
      </c>
      <c r="AW71">
        <v>97</v>
      </c>
      <c r="AX71">
        <v>-0.33</v>
      </c>
      <c r="AY71">
        <v>82</v>
      </c>
      <c r="AZ71">
        <v>6.3</v>
      </c>
      <c r="BA71">
        <v>47</v>
      </c>
      <c r="BB71">
        <v>4.6500000000000004</v>
      </c>
      <c r="BC71">
        <v>47</v>
      </c>
      <c r="BD71">
        <v>-0.05</v>
      </c>
      <c r="BE71">
        <v>-0.01</v>
      </c>
      <c r="BF71">
        <v>-0.12</v>
      </c>
      <c r="BG71">
        <v>75</v>
      </c>
      <c r="BH71">
        <v>0.2</v>
      </c>
      <c r="BI71">
        <v>1.84</v>
      </c>
      <c r="BJ71">
        <v>0</v>
      </c>
      <c r="BK71">
        <v>0</v>
      </c>
      <c r="BL71">
        <v>-1.02</v>
      </c>
      <c r="BM71">
        <v>-0.51</v>
      </c>
      <c r="BN71">
        <v>-1.61</v>
      </c>
      <c r="BO71">
        <v>-0.75</v>
      </c>
      <c r="BP71">
        <v>1.38</v>
      </c>
      <c r="BQ71">
        <v>0.04</v>
      </c>
      <c r="BR71">
        <v>0.65</v>
      </c>
      <c r="BS71">
        <v>-0.46</v>
      </c>
      <c r="BT71">
        <v>0.28000000000000003</v>
      </c>
      <c r="BU71">
        <v>0.31</v>
      </c>
      <c r="BV71">
        <v>-0.39</v>
      </c>
      <c r="BW71">
        <v>0.16</v>
      </c>
      <c r="BX71">
        <v>1.1599999999999999</v>
      </c>
      <c r="BY71">
        <v>0.2</v>
      </c>
      <c r="BZ71">
        <v>-1.25</v>
      </c>
      <c r="CA71">
        <v>-0.1</v>
      </c>
      <c r="CB71">
        <v>0.02</v>
      </c>
      <c r="CC71">
        <v>-0.22</v>
      </c>
      <c r="CD71">
        <v>1.1599999999999999</v>
      </c>
      <c r="CE71">
        <v>-0.79</v>
      </c>
      <c r="CF71">
        <v>-0.69</v>
      </c>
      <c r="CG71">
        <v>0</v>
      </c>
      <c r="CH71">
        <v>0.21</v>
      </c>
      <c r="CI71">
        <v>0</v>
      </c>
      <c r="CJ71">
        <v>-14.8</v>
      </c>
      <c r="CK71">
        <v>80</v>
      </c>
      <c r="CL71">
        <v>-0.71</v>
      </c>
      <c r="CM71">
        <v>72</v>
      </c>
      <c r="CN71">
        <v>-0.16</v>
      </c>
      <c r="CO71">
        <v>71</v>
      </c>
      <c r="CP71">
        <v>-10.8</v>
      </c>
      <c r="CQ71">
        <v>56</v>
      </c>
      <c r="CR71">
        <v>0</v>
      </c>
      <c r="CS71">
        <v>0</v>
      </c>
      <c r="CT71">
        <v>-12.3</v>
      </c>
      <c r="CU71">
        <v>54</v>
      </c>
      <c r="CV71">
        <v>-0.05</v>
      </c>
      <c r="CW71">
        <v>43</v>
      </c>
      <c r="CX71" t="s">
        <v>2711</v>
      </c>
    </row>
    <row r="72" spans="1:102" x14ac:dyDescent="0.3">
      <c r="A72" t="str">
        <f>HYPERLINK("https://webapp.icbf.com/v2/app/bull-search/view/1354262073","FR4124")</f>
        <v>FR4124</v>
      </c>
      <c r="B72" t="s">
        <v>13793</v>
      </c>
      <c r="C72" t="s">
        <v>13794</v>
      </c>
      <c r="D72" s="1">
        <v>42404</v>
      </c>
      <c r="E72" t="s">
        <v>92</v>
      </c>
      <c r="F72">
        <v>78</v>
      </c>
      <c r="G72" t="s">
        <v>435</v>
      </c>
      <c r="H72">
        <v>256.52999999999997</v>
      </c>
      <c r="I72">
        <v>75</v>
      </c>
      <c r="J72">
        <v>42.81</v>
      </c>
      <c r="K72">
        <v>89</v>
      </c>
      <c r="L72">
        <v>163.28</v>
      </c>
      <c r="M72">
        <v>64</v>
      </c>
      <c r="N72">
        <v>47.99</v>
      </c>
      <c r="O72">
        <v>87</v>
      </c>
      <c r="P72">
        <v>-32.909999999999997</v>
      </c>
      <c r="Q72">
        <v>81</v>
      </c>
      <c r="R72">
        <v>7.35</v>
      </c>
      <c r="S72">
        <v>65</v>
      </c>
      <c r="T72">
        <v>20.260000000000002</v>
      </c>
      <c r="U72">
        <v>54</v>
      </c>
      <c r="V72">
        <v>7.75</v>
      </c>
      <c r="W72">
        <v>59</v>
      </c>
      <c r="X72" t="s">
        <v>94</v>
      </c>
      <c r="Y72" t="s">
        <v>436</v>
      </c>
      <c r="Z72" t="s">
        <v>96</v>
      </c>
      <c r="AA72" t="s">
        <v>437</v>
      </c>
      <c r="AB72" t="s">
        <v>13795</v>
      </c>
      <c r="AC72">
        <v>2</v>
      </c>
      <c r="AD72">
        <v>2</v>
      </c>
      <c r="AE72">
        <v>89</v>
      </c>
      <c r="AF72">
        <v>55.3</v>
      </c>
      <c r="AG72">
        <v>5.25</v>
      </c>
      <c r="AH72">
        <v>6.27</v>
      </c>
      <c r="AI72">
        <v>0.05</v>
      </c>
      <c r="AJ72">
        <v>0.08</v>
      </c>
      <c r="AK72">
        <v>64</v>
      </c>
      <c r="AL72">
        <v>0</v>
      </c>
      <c r="AM72">
        <v>0</v>
      </c>
      <c r="AN72">
        <v>-9.02</v>
      </c>
      <c r="AO72">
        <v>4</v>
      </c>
      <c r="AP72">
        <v>702</v>
      </c>
      <c r="AQ72">
        <v>2</v>
      </c>
      <c r="AR72">
        <v>4.79</v>
      </c>
      <c r="AS72">
        <v>85</v>
      </c>
      <c r="AT72">
        <v>2.0499999999999998</v>
      </c>
      <c r="AU72">
        <v>94</v>
      </c>
      <c r="AV72">
        <v>-4.17</v>
      </c>
      <c r="AW72">
        <v>99</v>
      </c>
      <c r="AX72">
        <v>-0.32</v>
      </c>
      <c r="AY72">
        <v>90</v>
      </c>
      <c r="AZ72">
        <v>6.06</v>
      </c>
      <c r="BA72">
        <v>46</v>
      </c>
      <c r="BB72">
        <v>5.19</v>
      </c>
      <c r="BC72">
        <v>45</v>
      </c>
      <c r="BD72">
        <v>-0.06</v>
      </c>
      <c r="BE72">
        <v>-0.01</v>
      </c>
      <c r="BF72">
        <v>-0.05</v>
      </c>
      <c r="BG72">
        <v>73</v>
      </c>
      <c r="BH72">
        <v>0.12</v>
      </c>
      <c r="BI72">
        <v>-11.12</v>
      </c>
      <c r="BJ72">
        <v>0</v>
      </c>
      <c r="BK72">
        <v>0</v>
      </c>
      <c r="BL72">
        <v>-1.3</v>
      </c>
      <c r="BM72">
        <v>1.35</v>
      </c>
      <c r="BN72">
        <v>-0.2</v>
      </c>
      <c r="BO72">
        <v>-1.32</v>
      </c>
      <c r="BP72">
        <v>2.9</v>
      </c>
      <c r="BQ72">
        <v>-0.98</v>
      </c>
      <c r="BR72">
        <v>-1.87</v>
      </c>
      <c r="BS72">
        <v>1.59</v>
      </c>
      <c r="BT72">
        <v>0.73</v>
      </c>
      <c r="BU72">
        <v>0.46</v>
      </c>
      <c r="BV72">
        <v>-0.06</v>
      </c>
      <c r="BW72">
        <v>0.21</v>
      </c>
      <c r="BX72">
        <v>1.06</v>
      </c>
      <c r="BY72">
        <v>0.22</v>
      </c>
      <c r="BZ72">
        <v>-2.46</v>
      </c>
      <c r="CA72">
        <v>-0.15</v>
      </c>
      <c r="CB72">
        <v>-0.45</v>
      </c>
      <c r="CC72">
        <v>0.89</v>
      </c>
      <c r="CD72">
        <v>1.49</v>
      </c>
      <c r="CE72">
        <v>-1.41</v>
      </c>
      <c r="CF72">
        <v>-0.39</v>
      </c>
      <c r="CG72">
        <v>0</v>
      </c>
      <c r="CH72">
        <v>-0.43</v>
      </c>
      <c r="CI72">
        <v>0</v>
      </c>
      <c r="CJ72">
        <v>-17.3</v>
      </c>
      <c r="CK72">
        <v>85</v>
      </c>
      <c r="CL72">
        <v>-0.69</v>
      </c>
      <c r="CM72">
        <v>80</v>
      </c>
      <c r="CN72">
        <v>-0.03</v>
      </c>
      <c r="CO72">
        <v>78</v>
      </c>
      <c r="CP72">
        <v>-15.1</v>
      </c>
      <c r="CQ72">
        <v>57</v>
      </c>
      <c r="CR72">
        <v>0</v>
      </c>
      <c r="CS72">
        <v>0</v>
      </c>
      <c r="CT72">
        <v>-13.6</v>
      </c>
      <c r="CU72">
        <v>54</v>
      </c>
      <c r="CV72">
        <v>-0.05</v>
      </c>
      <c r="CW72">
        <v>44</v>
      </c>
      <c r="CX72" t="s">
        <v>417</v>
      </c>
    </row>
    <row r="73" spans="1:102" x14ac:dyDescent="0.3">
      <c r="A73" t="str">
        <f>HYPERLINK("https://webapp.icbf.com/v2/app/bull-search/view/1477623007","FR4518")</f>
        <v>FR4518</v>
      </c>
      <c r="B73" t="s">
        <v>15509</v>
      </c>
      <c r="C73" t="s">
        <v>15510</v>
      </c>
      <c r="D73" s="1">
        <v>42776</v>
      </c>
      <c r="E73" t="s">
        <v>92</v>
      </c>
      <c r="F73">
        <v>78</v>
      </c>
      <c r="G73" t="s">
        <v>435</v>
      </c>
      <c r="H73">
        <v>256.52</v>
      </c>
      <c r="I73">
        <v>69</v>
      </c>
      <c r="J73">
        <v>105.17</v>
      </c>
      <c r="K73">
        <v>88</v>
      </c>
      <c r="L73">
        <v>94.16</v>
      </c>
      <c r="M73">
        <v>63</v>
      </c>
      <c r="N73">
        <v>56.38</v>
      </c>
      <c r="O73">
        <v>67</v>
      </c>
      <c r="P73">
        <v>-1.36</v>
      </c>
      <c r="Q73">
        <v>48</v>
      </c>
      <c r="R73">
        <v>-4.2</v>
      </c>
      <c r="S73">
        <v>63</v>
      </c>
      <c r="T73">
        <v>2.06</v>
      </c>
      <c r="U73">
        <v>45</v>
      </c>
      <c r="V73">
        <v>4.3099999999999996</v>
      </c>
      <c r="W73">
        <v>58</v>
      </c>
      <c r="X73" t="s">
        <v>94</v>
      </c>
      <c r="Y73" t="s">
        <v>2384</v>
      </c>
      <c r="Z73" t="s">
        <v>330</v>
      </c>
      <c r="AA73" t="s">
        <v>6253</v>
      </c>
      <c r="AB73" t="s">
        <v>15511</v>
      </c>
      <c r="AC73">
        <v>0</v>
      </c>
      <c r="AD73">
        <v>0</v>
      </c>
      <c r="AE73">
        <v>88</v>
      </c>
      <c r="AF73">
        <v>225.33</v>
      </c>
      <c r="AG73">
        <v>14.94</v>
      </c>
      <c r="AH73">
        <v>16.05</v>
      </c>
      <c r="AI73">
        <v>0.1</v>
      </c>
      <c r="AJ73">
        <v>0.14000000000000001</v>
      </c>
      <c r="AK73">
        <v>63</v>
      </c>
      <c r="AL73">
        <v>0</v>
      </c>
      <c r="AM73">
        <v>0</v>
      </c>
      <c r="AN73">
        <v>-5.05</v>
      </c>
      <c r="AO73">
        <v>2.46</v>
      </c>
      <c r="AP73">
        <v>18</v>
      </c>
      <c r="AQ73">
        <v>0</v>
      </c>
      <c r="AR73">
        <v>5.2</v>
      </c>
      <c r="AS73">
        <v>59</v>
      </c>
      <c r="AT73">
        <v>2.5499999999999998</v>
      </c>
      <c r="AU73">
        <v>69</v>
      </c>
      <c r="AV73">
        <v>-5.29</v>
      </c>
      <c r="AW73">
        <v>82</v>
      </c>
      <c r="AX73">
        <v>-0.84</v>
      </c>
      <c r="AY73">
        <v>56</v>
      </c>
      <c r="AZ73">
        <v>6.6</v>
      </c>
      <c r="BA73">
        <v>44</v>
      </c>
      <c r="BB73">
        <v>4.55</v>
      </c>
      <c r="BC73">
        <v>35</v>
      </c>
      <c r="BD73">
        <v>-0.02</v>
      </c>
      <c r="BE73">
        <v>0</v>
      </c>
      <c r="BF73">
        <v>0.13</v>
      </c>
      <c r="BG73">
        <v>74</v>
      </c>
      <c r="BH73">
        <v>0.05</v>
      </c>
      <c r="BI73">
        <v>-8.1300000000000008</v>
      </c>
      <c r="BJ73">
        <v>0</v>
      </c>
      <c r="BK73">
        <v>0</v>
      </c>
      <c r="BL73">
        <v>-0.56000000000000005</v>
      </c>
      <c r="BM73">
        <v>0.6</v>
      </c>
      <c r="BN73">
        <v>-0.35</v>
      </c>
      <c r="BO73">
        <v>-0.54</v>
      </c>
      <c r="BP73">
        <v>2.1800000000000002</v>
      </c>
      <c r="BQ73">
        <v>0.85</v>
      </c>
      <c r="BR73">
        <v>1.26</v>
      </c>
      <c r="BS73">
        <v>-0.52</v>
      </c>
      <c r="BT73">
        <v>-2.16</v>
      </c>
      <c r="BU73">
        <v>-0.01</v>
      </c>
      <c r="BV73">
        <v>-0.17</v>
      </c>
      <c r="BW73">
        <v>0.85</v>
      </c>
      <c r="BX73">
        <v>-0.61</v>
      </c>
      <c r="BY73">
        <v>-0.28999999999999998</v>
      </c>
      <c r="BZ73">
        <v>-1.88</v>
      </c>
      <c r="CA73">
        <v>-0.51</v>
      </c>
      <c r="CB73">
        <v>0.05</v>
      </c>
      <c r="CC73">
        <v>-0.84</v>
      </c>
      <c r="CD73">
        <v>0.37</v>
      </c>
      <c r="CE73">
        <v>0.32</v>
      </c>
      <c r="CF73">
        <v>-0.09</v>
      </c>
      <c r="CG73">
        <v>0</v>
      </c>
      <c r="CH73">
        <v>0.81</v>
      </c>
      <c r="CI73">
        <v>0</v>
      </c>
      <c r="CJ73">
        <v>1.3</v>
      </c>
      <c r="CK73">
        <v>49</v>
      </c>
      <c r="CL73">
        <v>-0.59</v>
      </c>
      <c r="CM73">
        <v>46</v>
      </c>
      <c r="CN73">
        <v>-0.27</v>
      </c>
      <c r="CO73">
        <v>46</v>
      </c>
      <c r="CP73">
        <v>-1.5</v>
      </c>
      <c r="CQ73">
        <v>44</v>
      </c>
      <c r="CR73">
        <v>0</v>
      </c>
      <c r="CS73">
        <v>0</v>
      </c>
      <c r="CT73">
        <v>11</v>
      </c>
      <c r="CU73">
        <v>45</v>
      </c>
      <c r="CV73">
        <v>0.1</v>
      </c>
      <c r="CW73">
        <v>35</v>
      </c>
      <c r="CX73" t="s">
        <v>2243</v>
      </c>
    </row>
    <row r="74" spans="1:102" x14ac:dyDescent="0.3">
      <c r="A74" t="str">
        <f>HYPERLINK("https://webapp.icbf.com/v2/app/bull-search/view/1039516152","ZCK")</f>
        <v>ZCK</v>
      </c>
      <c r="B74" t="s">
        <v>13342</v>
      </c>
      <c r="C74" t="s">
        <v>7694</v>
      </c>
      <c r="D74" s="1">
        <v>41309</v>
      </c>
      <c r="E74" t="s">
        <v>92</v>
      </c>
      <c r="F74">
        <v>97</v>
      </c>
      <c r="G74" t="s">
        <v>93</v>
      </c>
      <c r="H74">
        <v>256.45</v>
      </c>
      <c r="I74">
        <v>86</v>
      </c>
      <c r="J74">
        <v>65.87</v>
      </c>
      <c r="K74">
        <v>97</v>
      </c>
      <c r="L74">
        <v>135.80000000000001</v>
      </c>
      <c r="M74">
        <v>77</v>
      </c>
      <c r="N74">
        <v>35.74</v>
      </c>
      <c r="O74">
        <v>87</v>
      </c>
      <c r="P74">
        <v>-13.78</v>
      </c>
      <c r="Q74">
        <v>93</v>
      </c>
      <c r="R74">
        <v>10.6</v>
      </c>
      <c r="S74">
        <v>77</v>
      </c>
      <c r="T74">
        <v>17.23</v>
      </c>
      <c r="U74">
        <v>80</v>
      </c>
      <c r="V74">
        <v>4.99</v>
      </c>
      <c r="W74">
        <v>74</v>
      </c>
      <c r="X74" t="s">
        <v>276</v>
      </c>
      <c r="Y74" t="s">
        <v>389</v>
      </c>
      <c r="Z74" t="s">
        <v>330</v>
      </c>
      <c r="AA74" t="s">
        <v>5541</v>
      </c>
      <c r="AB74" t="s">
        <v>13343</v>
      </c>
      <c r="AC74">
        <v>153</v>
      </c>
      <c r="AD74">
        <v>57</v>
      </c>
      <c r="AE74">
        <v>97</v>
      </c>
      <c r="AF74">
        <v>76.959999999999994</v>
      </c>
      <c r="AG74">
        <v>8.0299999999999994</v>
      </c>
      <c r="AH74">
        <v>9.5399999999999991</v>
      </c>
      <c r="AI74">
        <v>0.09</v>
      </c>
      <c r="AJ74">
        <v>0.12</v>
      </c>
      <c r="AK74">
        <v>77</v>
      </c>
      <c r="AL74">
        <v>118</v>
      </c>
      <c r="AM74">
        <v>51</v>
      </c>
      <c r="AN74">
        <v>-6.64</v>
      </c>
      <c r="AO74">
        <v>4.2</v>
      </c>
      <c r="AP74">
        <v>355</v>
      </c>
      <c r="AQ74">
        <v>3</v>
      </c>
      <c r="AR74">
        <v>4.38</v>
      </c>
      <c r="AS74">
        <v>86</v>
      </c>
      <c r="AT74">
        <v>1.81</v>
      </c>
      <c r="AU74">
        <v>89</v>
      </c>
      <c r="AV74">
        <v>-2.48</v>
      </c>
      <c r="AW74">
        <v>98</v>
      </c>
      <c r="AX74">
        <v>0.09</v>
      </c>
      <c r="AY74">
        <v>85</v>
      </c>
      <c r="AZ74">
        <v>5.65</v>
      </c>
      <c r="BA74">
        <v>72</v>
      </c>
      <c r="BB74">
        <v>5.31</v>
      </c>
      <c r="BC74">
        <v>58</v>
      </c>
      <c r="BD74">
        <v>-7.0000000000000007E-2</v>
      </c>
      <c r="BE74">
        <v>-0.03</v>
      </c>
      <c r="BF74">
        <v>-7.0000000000000007E-2</v>
      </c>
      <c r="BG74">
        <v>89</v>
      </c>
      <c r="BH74">
        <v>0.03</v>
      </c>
      <c r="BI74">
        <v>-12.63</v>
      </c>
      <c r="BJ74">
        <v>4</v>
      </c>
      <c r="BK74">
        <v>2</v>
      </c>
      <c r="BL74">
        <v>-2.0099999999999998</v>
      </c>
      <c r="BM74">
        <v>0.19</v>
      </c>
      <c r="BN74">
        <v>-2.75</v>
      </c>
      <c r="BO74">
        <v>-2.4</v>
      </c>
      <c r="BP74">
        <v>0.62</v>
      </c>
      <c r="BQ74">
        <v>-0.72</v>
      </c>
      <c r="BR74">
        <v>1.41</v>
      </c>
      <c r="BS74">
        <v>-0.78</v>
      </c>
      <c r="BT74">
        <v>-1.1399999999999999</v>
      </c>
      <c r="BU74">
        <v>-0.12</v>
      </c>
      <c r="BV74">
        <v>-1.78</v>
      </c>
      <c r="BW74">
        <v>-2.35</v>
      </c>
      <c r="BX74">
        <v>0.4</v>
      </c>
      <c r="BY74">
        <v>-1.95</v>
      </c>
      <c r="BZ74">
        <v>-1.9</v>
      </c>
      <c r="CA74">
        <v>-1.64</v>
      </c>
      <c r="CB74">
        <v>-1.39</v>
      </c>
      <c r="CC74">
        <v>-1.63</v>
      </c>
      <c r="CD74">
        <v>1.55</v>
      </c>
      <c r="CE74">
        <v>-1.71</v>
      </c>
      <c r="CF74">
        <v>-2.8</v>
      </c>
      <c r="CG74">
        <v>0</v>
      </c>
      <c r="CH74">
        <v>-1.93</v>
      </c>
      <c r="CI74">
        <v>0</v>
      </c>
      <c r="CJ74">
        <v>-6.9</v>
      </c>
      <c r="CK74">
        <v>95</v>
      </c>
      <c r="CL74">
        <v>-0.44</v>
      </c>
      <c r="CM74">
        <v>94</v>
      </c>
      <c r="CN74">
        <v>-0.11</v>
      </c>
      <c r="CO74">
        <v>93</v>
      </c>
      <c r="CP74">
        <v>-6.7</v>
      </c>
      <c r="CQ74">
        <v>73</v>
      </c>
      <c r="CR74">
        <v>0</v>
      </c>
      <c r="CS74">
        <v>0</v>
      </c>
      <c r="CT74">
        <v>-9.5</v>
      </c>
      <c r="CU74">
        <v>80</v>
      </c>
      <c r="CV74">
        <v>0.02</v>
      </c>
      <c r="CW74">
        <v>46</v>
      </c>
      <c r="CX74" t="s">
        <v>316</v>
      </c>
    </row>
    <row r="75" spans="1:102" x14ac:dyDescent="0.3">
      <c r="A75" t="str">
        <f>HYPERLINK("https://webapp.icbf.com/v2/app/bull-search/view/1477162370","FR4532")</f>
        <v>FR4532</v>
      </c>
      <c r="B75" t="s">
        <v>13877</v>
      </c>
      <c r="C75" t="s">
        <v>13878</v>
      </c>
      <c r="D75" s="1">
        <v>42772</v>
      </c>
      <c r="E75" t="s">
        <v>92</v>
      </c>
      <c r="F75">
        <v>78</v>
      </c>
      <c r="G75" t="s">
        <v>435</v>
      </c>
      <c r="H75">
        <v>256.35000000000002</v>
      </c>
      <c r="I75">
        <v>72</v>
      </c>
      <c r="J75">
        <v>118.96</v>
      </c>
      <c r="K75">
        <v>90</v>
      </c>
      <c r="L75">
        <v>68.760000000000005</v>
      </c>
      <c r="M75">
        <v>63</v>
      </c>
      <c r="N75">
        <v>55.32</v>
      </c>
      <c r="O75">
        <v>84</v>
      </c>
      <c r="P75">
        <v>-8.01</v>
      </c>
      <c r="Q75">
        <v>52</v>
      </c>
      <c r="R75">
        <v>0.52</v>
      </c>
      <c r="S75">
        <v>64</v>
      </c>
      <c r="T75">
        <v>15.01</v>
      </c>
      <c r="U75">
        <v>47</v>
      </c>
      <c r="V75">
        <v>5.79</v>
      </c>
      <c r="W75">
        <v>57</v>
      </c>
      <c r="X75" t="s">
        <v>94</v>
      </c>
      <c r="Y75" t="s">
        <v>2384</v>
      </c>
      <c r="Z75" t="s">
        <v>330</v>
      </c>
      <c r="AA75" t="s">
        <v>6204</v>
      </c>
      <c r="AB75" t="s">
        <v>13879</v>
      </c>
      <c r="AC75">
        <v>0</v>
      </c>
      <c r="AD75">
        <v>0</v>
      </c>
      <c r="AE75">
        <v>90</v>
      </c>
      <c r="AF75">
        <v>99.82</v>
      </c>
      <c r="AG75">
        <v>25.47</v>
      </c>
      <c r="AH75">
        <v>12.75</v>
      </c>
      <c r="AI75">
        <v>0.36</v>
      </c>
      <c r="AJ75">
        <v>0.16</v>
      </c>
      <c r="AK75">
        <v>63</v>
      </c>
      <c r="AL75">
        <v>0</v>
      </c>
      <c r="AM75">
        <v>0</v>
      </c>
      <c r="AN75">
        <v>-3.23</v>
      </c>
      <c r="AO75">
        <v>2.2599999999999998</v>
      </c>
      <c r="AP75">
        <v>418</v>
      </c>
      <c r="AQ75">
        <v>0</v>
      </c>
      <c r="AR75">
        <v>6.01</v>
      </c>
      <c r="AS75">
        <v>78</v>
      </c>
      <c r="AT75">
        <v>2.17</v>
      </c>
      <c r="AU75">
        <v>91</v>
      </c>
      <c r="AV75">
        <v>-4.7</v>
      </c>
      <c r="AW75">
        <v>98</v>
      </c>
      <c r="AX75">
        <v>-0.52</v>
      </c>
      <c r="AY75">
        <v>86</v>
      </c>
      <c r="AZ75">
        <v>5.33</v>
      </c>
      <c r="BA75">
        <v>44</v>
      </c>
      <c r="BB75">
        <v>4.16</v>
      </c>
      <c r="BC75">
        <v>38</v>
      </c>
      <c r="BD75">
        <v>0</v>
      </c>
      <c r="BE75">
        <v>0.02</v>
      </c>
      <c r="BF75">
        <v>-0.05</v>
      </c>
      <c r="BG75">
        <v>74</v>
      </c>
      <c r="BH75">
        <v>0.03</v>
      </c>
      <c r="BI75">
        <v>-15.22</v>
      </c>
      <c r="BJ75">
        <v>0</v>
      </c>
      <c r="BK75">
        <v>0</v>
      </c>
      <c r="BL75">
        <v>-0.68</v>
      </c>
      <c r="BM75">
        <v>0.22</v>
      </c>
      <c r="BN75">
        <v>-1.18</v>
      </c>
      <c r="BO75">
        <v>-1.35</v>
      </c>
      <c r="BP75">
        <v>2.09</v>
      </c>
      <c r="BQ75">
        <v>-1.72</v>
      </c>
      <c r="BR75">
        <v>0.16</v>
      </c>
      <c r="BS75">
        <v>-1.34</v>
      </c>
      <c r="BT75">
        <v>-1.1100000000000001</v>
      </c>
      <c r="BU75">
        <v>-0.42</v>
      </c>
      <c r="BV75">
        <v>-0.6</v>
      </c>
      <c r="BW75">
        <v>7.0000000000000007E-2</v>
      </c>
      <c r="BX75">
        <v>0.31</v>
      </c>
      <c r="BY75">
        <v>-0.61</v>
      </c>
      <c r="BZ75">
        <v>-1.02</v>
      </c>
      <c r="CA75">
        <v>0</v>
      </c>
      <c r="CB75">
        <v>0.13</v>
      </c>
      <c r="CC75">
        <v>-0.77</v>
      </c>
      <c r="CD75">
        <v>1.01</v>
      </c>
      <c r="CE75">
        <v>-0.68</v>
      </c>
      <c r="CF75">
        <v>-0.82</v>
      </c>
      <c r="CG75">
        <v>0</v>
      </c>
      <c r="CH75">
        <v>0</v>
      </c>
      <c r="CI75">
        <v>0</v>
      </c>
      <c r="CJ75">
        <v>-2.2000000000000002</v>
      </c>
      <c r="CK75">
        <v>56</v>
      </c>
      <c r="CL75">
        <v>-0.77</v>
      </c>
      <c r="CM75">
        <v>47</v>
      </c>
      <c r="CN75">
        <v>-0.31</v>
      </c>
      <c r="CO75">
        <v>46</v>
      </c>
      <c r="CP75">
        <v>-4.4000000000000004</v>
      </c>
      <c r="CQ75">
        <v>47</v>
      </c>
      <c r="CR75">
        <v>0</v>
      </c>
      <c r="CS75">
        <v>0</v>
      </c>
      <c r="CT75">
        <v>-6.5</v>
      </c>
      <c r="CU75">
        <v>47</v>
      </c>
      <c r="CV75">
        <v>0.14000000000000001</v>
      </c>
      <c r="CW75">
        <v>36</v>
      </c>
      <c r="CX75" t="s">
        <v>3094</v>
      </c>
    </row>
    <row r="76" spans="1:102" x14ac:dyDescent="0.3">
      <c r="A76" t="str">
        <f>HYPERLINK("https://webapp.icbf.com/v2/app/bull-search/view/1473000861","FR4339")</f>
        <v>FR4339</v>
      </c>
      <c r="B76" t="s">
        <v>8387</v>
      </c>
      <c r="C76" t="s">
        <v>8388</v>
      </c>
      <c r="D76" s="1">
        <v>42764</v>
      </c>
      <c r="E76" t="s">
        <v>92</v>
      </c>
      <c r="F76">
        <v>84</v>
      </c>
      <c r="G76" t="s">
        <v>435</v>
      </c>
      <c r="H76">
        <v>256.22000000000003</v>
      </c>
      <c r="I76">
        <v>73</v>
      </c>
      <c r="J76">
        <v>95.37</v>
      </c>
      <c r="K76">
        <v>89</v>
      </c>
      <c r="L76">
        <v>73.44</v>
      </c>
      <c r="M76">
        <v>66</v>
      </c>
      <c r="N76">
        <v>61.79</v>
      </c>
      <c r="O76">
        <v>84</v>
      </c>
      <c r="P76">
        <v>-16.7</v>
      </c>
      <c r="Q76">
        <v>51</v>
      </c>
      <c r="R76">
        <v>17.14</v>
      </c>
      <c r="S76">
        <v>65</v>
      </c>
      <c r="T76">
        <v>17.97</v>
      </c>
      <c r="U76">
        <v>50</v>
      </c>
      <c r="V76">
        <v>7.21</v>
      </c>
      <c r="W76">
        <v>59</v>
      </c>
      <c r="X76" t="s">
        <v>94</v>
      </c>
      <c r="Y76" t="s">
        <v>2255</v>
      </c>
      <c r="Z76" t="s">
        <v>96</v>
      </c>
      <c r="AA76" t="s">
        <v>437</v>
      </c>
      <c r="AB76" t="s">
        <v>8389</v>
      </c>
      <c r="AC76">
        <v>0</v>
      </c>
      <c r="AD76">
        <v>0</v>
      </c>
      <c r="AE76">
        <v>89</v>
      </c>
      <c r="AF76">
        <v>154.01</v>
      </c>
      <c r="AG76">
        <v>14.69</v>
      </c>
      <c r="AH76">
        <v>13.38</v>
      </c>
      <c r="AI76">
        <v>0.14000000000000001</v>
      </c>
      <c r="AJ76">
        <v>0.14000000000000001</v>
      </c>
      <c r="AK76">
        <v>66</v>
      </c>
      <c r="AL76">
        <v>0</v>
      </c>
      <c r="AM76">
        <v>0</v>
      </c>
      <c r="AN76">
        <v>-1.39</v>
      </c>
      <c r="AO76">
        <v>4.5</v>
      </c>
      <c r="AP76">
        <v>406</v>
      </c>
      <c r="AQ76">
        <v>1</v>
      </c>
      <c r="AR76">
        <v>4.03</v>
      </c>
      <c r="AS76">
        <v>69</v>
      </c>
      <c r="AT76">
        <v>1.8</v>
      </c>
      <c r="AU76">
        <v>91</v>
      </c>
      <c r="AV76">
        <v>-5.38</v>
      </c>
      <c r="AW76">
        <v>98</v>
      </c>
      <c r="AX76">
        <v>-0.66</v>
      </c>
      <c r="AY76">
        <v>85</v>
      </c>
      <c r="AZ76">
        <v>6.44</v>
      </c>
      <c r="BA76">
        <v>46</v>
      </c>
      <c r="BB76">
        <v>4.9800000000000004</v>
      </c>
      <c r="BC76">
        <v>46</v>
      </c>
      <c r="BD76">
        <v>-0.06</v>
      </c>
      <c r="BE76">
        <v>-0.06</v>
      </c>
      <c r="BF76">
        <v>-0.18</v>
      </c>
      <c r="BG76">
        <v>74</v>
      </c>
      <c r="BH76">
        <v>7.0000000000000007E-2</v>
      </c>
      <c r="BI76">
        <v>-15.15</v>
      </c>
      <c r="BJ76">
        <v>0</v>
      </c>
      <c r="BK76">
        <v>0</v>
      </c>
      <c r="BL76">
        <v>-1.58</v>
      </c>
      <c r="BM76">
        <v>-1.04</v>
      </c>
      <c r="BN76">
        <v>-1.91</v>
      </c>
      <c r="BO76">
        <v>-0.68</v>
      </c>
      <c r="BP76">
        <v>1.1599999999999999</v>
      </c>
      <c r="BQ76">
        <v>-1.46</v>
      </c>
      <c r="BR76">
        <v>0.37</v>
      </c>
      <c r="BS76">
        <v>-0.84</v>
      </c>
      <c r="BT76">
        <v>-0.8</v>
      </c>
      <c r="BU76">
        <v>0.1</v>
      </c>
      <c r="BV76">
        <v>-0.1</v>
      </c>
      <c r="BW76">
        <v>-0.03</v>
      </c>
      <c r="BX76">
        <v>0.76</v>
      </c>
      <c r="BY76">
        <v>-0.31</v>
      </c>
      <c r="BZ76">
        <v>-3</v>
      </c>
      <c r="CA76">
        <v>0.08</v>
      </c>
      <c r="CB76">
        <v>0.02</v>
      </c>
      <c r="CC76">
        <v>-0.47</v>
      </c>
      <c r="CD76">
        <v>7.0000000000000007E-2</v>
      </c>
      <c r="CE76">
        <v>-1.0900000000000001</v>
      </c>
      <c r="CF76">
        <v>-2</v>
      </c>
      <c r="CG76">
        <v>0</v>
      </c>
      <c r="CH76">
        <v>0.88</v>
      </c>
      <c r="CI76">
        <v>0</v>
      </c>
      <c r="CJ76">
        <v>-8.4</v>
      </c>
      <c r="CK76">
        <v>54</v>
      </c>
      <c r="CL76">
        <v>-0.8</v>
      </c>
      <c r="CM76">
        <v>46</v>
      </c>
      <c r="CN76">
        <v>-0.37</v>
      </c>
      <c r="CO76">
        <v>46</v>
      </c>
      <c r="CP76">
        <v>-7.9</v>
      </c>
      <c r="CQ76">
        <v>49</v>
      </c>
      <c r="CR76">
        <v>0</v>
      </c>
      <c r="CS76">
        <v>0</v>
      </c>
      <c r="CT76">
        <v>-10.5</v>
      </c>
      <c r="CU76">
        <v>50</v>
      </c>
      <c r="CV76">
        <v>0.01</v>
      </c>
      <c r="CW76">
        <v>35</v>
      </c>
      <c r="CX76" t="s">
        <v>5900</v>
      </c>
    </row>
    <row r="77" spans="1:102" x14ac:dyDescent="0.3">
      <c r="A77" t="str">
        <f>HYPERLINK("https://webapp.icbf.com/v2/app/bull-search/view/1250064895","FR4020")</f>
        <v>FR4020</v>
      </c>
      <c r="B77" t="s">
        <v>13939</v>
      </c>
      <c r="C77" t="s">
        <v>13940</v>
      </c>
      <c r="D77" s="1">
        <v>42054</v>
      </c>
      <c r="E77" t="s">
        <v>92</v>
      </c>
      <c r="F77">
        <v>78</v>
      </c>
      <c r="G77" t="s">
        <v>93</v>
      </c>
      <c r="H77">
        <v>256.01</v>
      </c>
      <c r="I77">
        <v>81</v>
      </c>
      <c r="J77">
        <v>80.33</v>
      </c>
      <c r="K77">
        <v>92</v>
      </c>
      <c r="L77">
        <v>98.95</v>
      </c>
      <c r="M77">
        <v>73</v>
      </c>
      <c r="N77">
        <v>58.26</v>
      </c>
      <c r="O77">
        <v>91</v>
      </c>
      <c r="P77">
        <v>-15.34</v>
      </c>
      <c r="Q77">
        <v>95</v>
      </c>
      <c r="R77">
        <v>11.61</v>
      </c>
      <c r="S77">
        <v>71</v>
      </c>
      <c r="T77">
        <v>13.31</v>
      </c>
      <c r="U77">
        <v>56</v>
      </c>
      <c r="V77">
        <v>8.89</v>
      </c>
      <c r="W77">
        <v>65</v>
      </c>
      <c r="X77" t="s">
        <v>94</v>
      </c>
      <c r="Y77" t="s">
        <v>436</v>
      </c>
      <c r="Z77" t="s">
        <v>96</v>
      </c>
      <c r="AA77" t="s">
        <v>437</v>
      </c>
      <c r="AB77" t="s">
        <v>13941</v>
      </c>
      <c r="AC77">
        <v>27</v>
      </c>
      <c r="AD77">
        <v>22</v>
      </c>
      <c r="AE77">
        <v>92</v>
      </c>
      <c r="AF77">
        <v>353.57</v>
      </c>
      <c r="AG77">
        <v>14.17</v>
      </c>
      <c r="AH77">
        <v>14.06</v>
      </c>
      <c r="AI77">
        <v>0.01</v>
      </c>
      <c r="AJ77">
        <v>0.03</v>
      </c>
      <c r="AK77">
        <v>73</v>
      </c>
      <c r="AL77">
        <v>0</v>
      </c>
      <c r="AM77">
        <v>0</v>
      </c>
      <c r="AN77">
        <v>-3.92</v>
      </c>
      <c r="AO77">
        <v>3.99</v>
      </c>
      <c r="AP77">
        <v>11302</v>
      </c>
      <c r="AQ77">
        <v>17</v>
      </c>
      <c r="AR77">
        <v>4.4000000000000004</v>
      </c>
      <c r="AS77">
        <v>99</v>
      </c>
      <c r="AT77">
        <v>1.92</v>
      </c>
      <c r="AU77">
        <v>99</v>
      </c>
      <c r="AV77">
        <v>-4.74</v>
      </c>
      <c r="AW77">
        <v>99</v>
      </c>
      <c r="AX77">
        <v>-0.63</v>
      </c>
      <c r="AY77">
        <v>99</v>
      </c>
      <c r="AZ77">
        <v>6</v>
      </c>
      <c r="BA77">
        <v>56</v>
      </c>
      <c r="BB77">
        <v>4.49</v>
      </c>
      <c r="BC77">
        <v>50</v>
      </c>
      <c r="BD77">
        <v>-0.06</v>
      </c>
      <c r="BE77">
        <v>-0.03</v>
      </c>
      <c r="BF77">
        <v>-0.11</v>
      </c>
      <c r="BG77">
        <v>80</v>
      </c>
      <c r="BH77">
        <v>0.12</v>
      </c>
      <c r="BI77">
        <v>-14.78</v>
      </c>
      <c r="BJ77">
        <v>0</v>
      </c>
      <c r="BK77">
        <v>0</v>
      </c>
      <c r="BL77">
        <v>-1.28</v>
      </c>
      <c r="BM77">
        <v>-0.05</v>
      </c>
      <c r="BN77">
        <v>-1.01</v>
      </c>
      <c r="BO77">
        <v>-1.26</v>
      </c>
      <c r="BP77">
        <v>3.13</v>
      </c>
      <c r="BQ77">
        <v>-0.26</v>
      </c>
      <c r="BR77">
        <v>-0.68</v>
      </c>
      <c r="BS77">
        <v>0.89</v>
      </c>
      <c r="BT77">
        <v>-0.74</v>
      </c>
      <c r="BU77">
        <v>0.83</v>
      </c>
      <c r="BV77">
        <v>-0.24</v>
      </c>
      <c r="BW77">
        <v>0.04</v>
      </c>
      <c r="BX77">
        <v>0.46</v>
      </c>
      <c r="BY77">
        <v>0.33</v>
      </c>
      <c r="BZ77">
        <v>-1.9</v>
      </c>
      <c r="CA77">
        <v>0.14000000000000001</v>
      </c>
      <c r="CB77">
        <v>0</v>
      </c>
      <c r="CC77">
        <v>0.7</v>
      </c>
      <c r="CD77">
        <v>1.3</v>
      </c>
      <c r="CE77">
        <v>-1.22</v>
      </c>
      <c r="CF77">
        <v>-0.87</v>
      </c>
      <c r="CG77">
        <v>0</v>
      </c>
      <c r="CH77">
        <v>-0.17</v>
      </c>
      <c r="CI77">
        <v>0</v>
      </c>
      <c r="CJ77">
        <v>-9.5</v>
      </c>
      <c r="CK77">
        <v>98</v>
      </c>
      <c r="CL77">
        <v>-0.5</v>
      </c>
      <c r="CM77">
        <v>98</v>
      </c>
      <c r="CN77">
        <v>-0.3</v>
      </c>
      <c r="CO77">
        <v>98</v>
      </c>
      <c r="CP77">
        <v>-3.9</v>
      </c>
      <c r="CQ77">
        <v>61</v>
      </c>
      <c r="CR77">
        <v>0</v>
      </c>
      <c r="CS77">
        <v>0</v>
      </c>
      <c r="CT77">
        <v>-4.2</v>
      </c>
      <c r="CU77">
        <v>56</v>
      </c>
      <c r="CV77">
        <v>-0.05</v>
      </c>
      <c r="CW77">
        <v>47</v>
      </c>
      <c r="CX77" t="s">
        <v>1942</v>
      </c>
    </row>
    <row r="78" spans="1:102" x14ac:dyDescent="0.3">
      <c r="A78" t="str">
        <f>HYPERLINK("https://webapp.icbf.com/v2/app/bull-search/view/868447767","OPH")</f>
        <v>OPH</v>
      </c>
      <c r="B78" t="s">
        <v>13147</v>
      </c>
      <c r="C78" t="s">
        <v>13148</v>
      </c>
      <c r="D78" s="1">
        <v>40598</v>
      </c>
      <c r="E78" t="s">
        <v>92</v>
      </c>
      <c r="F78">
        <v>78</v>
      </c>
      <c r="G78" t="s">
        <v>93</v>
      </c>
      <c r="H78">
        <v>255.99</v>
      </c>
      <c r="I78">
        <v>90</v>
      </c>
      <c r="J78">
        <v>112.53</v>
      </c>
      <c r="K78">
        <v>98</v>
      </c>
      <c r="L78">
        <v>100.28</v>
      </c>
      <c r="M78">
        <v>82</v>
      </c>
      <c r="N78">
        <v>40.65</v>
      </c>
      <c r="O78">
        <v>91</v>
      </c>
      <c r="P78">
        <v>-8.9</v>
      </c>
      <c r="Q78">
        <v>96</v>
      </c>
      <c r="R78">
        <v>5.77</v>
      </c>
      <c r="S78">
        <v>83</v>
      </c>
      <c r="T78">
        <v>-3.86</v>
      </c>
      <c r="U78">
        <v>89</v>
      </c>
      <c r="V78">
        <v>9.52</v>
      </c>
      <c r="W78">
        <v>79</v>
      </c>
      <c r="X78" t="s">
        <v>94</v>
      </c>
      <c r="Y78" t="s">
        <v>1860</v>
      </c>
      <c r="Z78" t="s">
        <v>96</v>
      </c>
      <c r="AA78" t="s">
        <v>1512</v>
      </c>
      <c r="AB78" t="s">
        <v>13149</v>
      </c>
      <c r="AC78">
        <v>186</v>
      </c>
      <c r="AD78">
        <v>102</v>
      </c>
      <c r="AE78">
        <v>98</v>
      </c>
      <c r="AF78">
        <v>128.87</v>
      </c>
      <c r="AG78">
        <v>18.12</v>
      </c>
      <c r="AH78">
        <v>14.7</v>
      </c>
      <c r="AI78">
        <v>0.22</v>
      </c>
      <c r="AJ78">
        <v>0.18</v>
      </c>
      <c r="AK78">
        <v>82</v>
      </c>
      <c r="AL78">
        <v>219</v>
      </c>
      <c r="AM78">
        <v>126</v>
      </c>
      <c r="AN78">
        <v>-6.04</v>
      </c>
      <c r="AO78">
        <v>1.95</v>
      </c>
      <c r="AP78">
        <v>595</v>
      </c>
      <c r="AQ78">
        <v>3</v>
      </c>
      <c r="AR78">
        <v>6.95</v>
      </c>
      <c r="AS78">
        <v>81</v>
      </c>
      <c r="AT78">
        <v>2.73</v>
      </c>
      <c r="AU78">
        <v>94</v>
      </c>
      <c r="AV78">
        <v>-3.75</v>
      </c>
      <c r="AW78">
        <v>99</v>
      </c>
      <c r="AX78">
        <v>-0.77</v>
      </c>
      <c r="AY78">
        <v>92</v>
      </c>
      <c r="AZ78">
        <v>5.76</v>
      </c>
      <c r="BA78">
        <v>76</v>
      </c>
      <c r="BB78">
        <v>4.37</v>
      </c>
      <c r="BC78">
        <v>73</v>
      </c>
      <c r="BD78">
        <v>-0.04</v>
      </c>
      <c r="BE78">
        <v>-0.04</v>
      </c>
      <c r="BF78">
        <v>0.01</v>
      </c>
      <c r="BG78">
        <v>92</v>
      </c>
      <c r="BH78">
        <v>0.06</v>
      </c>
      <c r="BI78">
        <v>-23.77</v>
      </c>
      <c r="BJ78">
        <v>22</v>
      </c>
      <c r="BK78">
        <v>12</v>
      </c>
      <c r="BL78">
        <v>0.25</v>
      </c>
      <c r="BM78">
        <v>0.88</v>
      </c>
      <c r="BN78">
        <v>-0.89</v>
      </c>
      <c r="BO78">
        <v>-1.48</v>
      </c>
      <c r="BP78">
        <v>-1.1100000000000001</v>
      </c>
      <c r="BQ78">
        <v>0.25</v>
      </c>
      <c r="BR78">
        <v>1.17</v>
      </c>
      <c r="BS78">
        <v>-3.1</v>
      </c>
      <c r="BT78">
        <v>-0.66</v>
      </c>
      <c r="BU78">
        <v>0.12</v>
      </c>
      <c r="BV78">
        <v>-0.59</v>
      </c>
      <c r="BW78">
        <v>-1.84</v>
      </c>
      <c r="BX78">
        <v>0.81</v>
      </c>
      <c r="BY78">
        <v>-1.25</v>
      </c>
      <c r="BZ78">
        <v>-1.1000000000000001</v>
      </c>
      <c r="CA78">
        <v>-0.97</v>
      </c>
      <c r="CB78">
        <v>-0.81</v>
      </c>
      <c r="CC78">
        <v>-1.07</v>
      </c>
      <c r="CD78">
        <v>1.63</v>
      </c>
      <c r="CE78">
        <v>-0.82</v>
      </c>
      <c r="CF78">
        <v>0.19</v>
      </c>
      <c r="CG78">
        <v>0</v>
      </c>
      <c r="CH78">
        <v>-1.81</v>
      </c>
      <c r="CI78">
        <v>0</v>
      </c>
      <c r="CJ78">
        <v>-1</v>
      </c>
      <c r="CK78">
        <v>97</v>
      </c>
      <c r="CL78">
        <v>-0.92</v>
      </c>
      <c r="CM78">
        <v>96</v>
      </c>
      <c r="CN78">
        <v>-0.08</v>
      </c>
      <c r="CO78">
        <v>95</v>
      </c>
      <c r="CP78">
        <v>6.9</v>
      </c>
      <c r="CQ78">
        <v>89</v>
      </c>
      <c r="CR78">
        <v>0</v>
      </c>
      <c r="CS78">
        <v>0</v>
      </c>
      <c r="CT78">
        <v>19</v>
      </c>
      <c r="CU78">
        <v>89</v>
      </c>
      <c r="CV78">
        <v>0.12</v>
      </c>
      <c r="CW78">
        <v>47</v>
      </c>
      <c r="CX78" t="s">
        <v>316</v>
      </c>
    </row>
    <row r="79" spans="1:102" x14ac:dyDescent="0.3">
      <c r="A79" t="str">
        <f>HYPERLINK("https://webapp.icbf.com/v2/app/bull-search/view/1482937331","FR4428")</f>
        <v>FR4428</v>
      </c>
      <c r="B79" t="s">
        <v>6285</v>
      </c>
      <c r="C79" t="s">
        <v>6286</v>
      </c>
      <c r="D79" s="1">
        <v>42792</v>
      </c>
      <c r="E79" t="s">
        <v>92</v>
      </c>
      <c r="F79">
        <v>63</v>
      </c>
      <c r="G79" t="s">
        <v>435</v>
      </c>
      <c r="H79">
        <v>255</v>
      </c>
      <c r="I79">
        <v>70</v>
      </c>
      <c r="J79">
        <v>88.02</v>
      </c>
      <c r="K79">
        <v>88</v>
      </c>
      <c r="L79">
        <v>112.23</v>
      </c>
      <c r="M79">
        <v>61</v>
      </c>
      <c r="N79">
        <v>44.74</v>
      </c>
      <c r="O79">
        <v>84</v>
      </c>
      <c r="P79">
        <v>-25.09</v>
      </c>
      <c r="Q79">
        <v>52</v>
      </c>
      <c r="R79">
        <v>1.45</v>
      </c>
      <c r="S79">
        <v>62</v>
      </c>
      <c r="T79">
        <v>25.59</v>
      </c>
      <c r="U79">
        <v>46</v>
      </c>
      <c r="V79">
        <v>8.06</v>
      </c>
      <c r="W79">
        <v>58</v>
      </c>
      <c r="X79" t="s">
        <v>102</v>
      </c>
      <c r="Y79" t="s">
        <v>2255</v>
      </c>
      <c r="Z79" t="s">
        <v>330</v>
      </c>
      <c r="AA79" t="s">
        <v>2512</v>
      </c>
      <c r="AB79" t="s">
        <v>6287</v>
      </c>
      <c r="AC79">
        <v>0</v>
      </c>
      <c r="AD79">
        <v>0</v>
      </c>
      <c r="AE79">
        <v>88</v>
      </c>
      <c r="AF79">
        <v>6.89</v>
      </c>
      <c r="AG79">
        <v>9.3699999999999992</v>
      </c>
      <c r="AH79">
        <v>11.76</v>
      </c>
      <c r="AI79">
        <v>0.15</v>
      </c>
      <c r="AJ79">
        <v>0.2</v>
      </c>
      <c r="AK79">
        <v>61</v>
      </c>
      <c r="AL79">
        <v>0</v>
      </c>
      <c r="AM79">
        <v>0</v>
      </c>
      <c r="AN79">
        <v>-5.38</v>
      </c>
      <c r="AO79">
        <v>3.58</v>
      </c>
      <c r="AP79">
        <v>581</v>
      </c>
      <c r="AQ79">
        <v>0</v>
      </c>
      <c r="AR79">
        <v>5.28</v>
      </c>
      <c r="AS79">
        <v>77</v>
      </c>
      <c r="AT79">
        <v>2.11</v>
      </c>
      <c r="AU79">
        <v>93</v>
      </c>
      <c r="AV79">
        <v>-4.16</v>
      </c>
      <c r="AW79">
        <v>98</v>
      </c>
      <c r="AX79">
        <v>-1.39</v>
      </c>
      <c r="AY79">
        <v>89</v>
      </c>
      <c r="AZ79">
        <v>7.58</v>
      </c>
      <c r="BA79">
        <v>42</v>
      </c>
      <c r="BB79">
        <v>5.61</v>
      </c>
      <c r="BC79">
        <v>34</v>
      </c>
      <c r="BD79">
        <v>-0.05</v>
      </c>
      <c r="BE79">
        <v>0</v>
      </c>
      <c r="BF79">
        <v>0.05</v>
      </c>
      <c r="BG79">
        <v>73</v>
      </c>
      <c r="BH79">
        <v>0.1</v>
      </c>
      <c r="BI79">
        <v>-14.42</v>
      </c>
      <c r="BJ79">
        <v>0</v>
      </c>
      <c r="BK79">
        <v>0</v>
      </c>
      <c r="BL79">
        <v>-1.43</v>
      </c>
      <c r="BM79">
        <v>-0.1</v>
      </c>
      <c r="BN79">
        <v>-2</v>
      </c>
      <c r="BO79">
        <v>-1.35</v>
      </c>
      <c r="BP79">
        <v>-0.48</v>
      </c>
      <c r="BQ79">
        <v>-3.19</v>
      </c>
      <c r="BR79">
        <v>-0.1</v>
      </c>
      <c r="BS79">
        <v>-1.67</v>
      </c>
      <c r="BT79">
        <v>-1.32</v>
      </c>
      <c r="BU79">
        <v>-0.36</v>
      </c>
      <c r="BV79">
        <v>-0.76</v>
      </c>
      <c r="BW79">
        <v>-2.0499999999999998</v>
      </c>
      <c r="BX79">
        <v>0.52</v>
      </c>
      <c r="BY79">
        <v>-1.37</v>
      </c>
      <c r="BZ79">
        <v>-1.87</v>
      </c>
      <c r="CA79">
        <v>-0.88</v>
      </c>
      <c r="CB79">
        <v>-1.19</v>
      </c>
      <c r="CC79">
        <v>-0.43</v>
      </c>
      <c r="CD79">
        <v>0.46</v>
      </c>
      <c r="CE79">
        <v>-0.63</v>
      </c>
      <c r="CF79">
        <v>-1.49</v>
      </c>
      <c r="CG79">
        <v>0</v>
      </c>
      <c r="CH79">
        <v>-2.5</v>
      </c>
      <c r="CI79">
        <v>0</v>
      </c>
      <c r="CJ79">
        <v>-11.9</v>
      </c>
      <c r="CK79">
        <v>57</v>
      </c>
      <c r="CL79">
        <v>-0.95</v>
      </c>
      <c r="CM79">
        <v>46</v>
      </c>
      <c r="CN79">
        <v>-0.32</v>
      </c>
      <c r="CO79">
        <v>46</v>
      </c>
      <c r="CP79">
        <v>-17.399999999999999</v>
      </c>
      <c r="CQ79">
        <v>46</v>
      </c>
      <c r="CR79">
        <v>0</v>
      </c>
      <c r="CS79">
        <v>0</v>
      </c>
      <c r="CT79">
        <v>-20.8</v>
      </c>
      <c r="CU79">
        <v>46</v>
      </c>
      <c r="CV79">
        <v>0.09</v>
      </c>
      <c r="CW79">
        <v>35</v>
      </c>
      <c r="CX79" t="s">
        <v>4088</v>
      </c>
    </row>
    <row r="80" spans="1:102" x14ac:dyDescent="0.3">
      <c r="A80" t="str">
        <f>HYPERLINK("https://webapp.icbf.com/v2/app/bull-search/view/1245148607","FR2233")</f>
        <v>FR2233</v>
      </c>
      <c r="B80" t="s">
        <v>6836</v>
      </c>
      <c r="C80" t="s">
        <v>6837</v>
      </c>
      <c r="D80" s="1">
        <v>42037</v>
      </c>
      <c r="E80" t="s">
        <v>92</v>
      </c>
      <c r="F80">
        <v>91</v>
      </c>
      <c r="G80" t="s">
        <v>93</v>
      </c>
      <c r="H80">
        <v>254.97</v>
      </c>
      <c r="I80">
        <v>88</v>
      </c>
      <c r="J80">
        <v>124.27</v>
      </c>
      <c r="K80">
        <v>99</v>
      </c>
      <c r="L80">
        <v>97.43</v>
      </c>
      <c r="M80">
        <v>78</v>
      </c>
      <c r="N80">
        <v>43.31</v>
      </c>
      <c r="O80">
        <v>91</v>
      </c>
      <c r="P80">
        <v>-7.41</v>
      </c>
      <c r="Q80">
        <v>97</v>
      </c>
      <c r="R80">
        <v>-9.08</v>
      </c>
      <c r="S80">
        <v>82</v>
      </c>
      <c r="T80">
        <v>6.2</v>
      </c>
      <c r="U80">
        <v>86</v>
      </c>
      <c r="V80">
        <v>0.25</v>
      </c>
      <c r="W80">
        <v>75</v>
      </c>
      <c r="X80" t="s">
        <v>94</v>
      </c>
      <c r="Y80" t="s">
        <v>416</v>
      </c>
      <c r="Z80" t="s">
        <v>96</v>
      </c>
      <c r="AA80" t="s">
        <v>3121</v>
      </c>
      <c r="AB80" t="s">
        <v>6838</v>
      </c>
      <c r="AC80">
        <v>763</v>
      </c>
      <c r="AD80">
        <v>424</v>
      </c>
      <c r="AE80">
        <v>99</v>
      </c>
      <c r="AF80">
        <v>120.93</v>
      </c>
      <c r="AG80">
        <v>14.97</v>
      </c>
      <c r="AH80">
        <v>17.690000000000001</v>
      </c>
      <c r="AI80">
        <v>0.18</v>
      </c>
      <c r="AJ80">
        <v>0.23</v>
      </c>
      <c r="AK80">
        <v>78</v>
      </c>
      <c r="AL80">
        <v>20</v>
      </c>
      <c r="AM80">
        <v>10</v>
      </c>
      <c r="AN80">
        <v>-4.51</v>
      </c>
      <c r="AO80">
        <v>3.27</v>
      </c>
      <c r="AP80">
        <v>3860</v>
      </c>
      <c r="AQ80">
        <v>14</v>
      </c>
      <c r="AR80">
        <v>5.31</v>
      </c>
      <c r="AS80">
        <v>95</v>
      </c>
      <c r="AT80">
        <v>2.2200000000000002</v>
      </c>
      <c r="AU80">
        <v>99</v>
      </c>
      <c r="AV80">
        <v>-3.56</v>
      </c>
      <c r="AW80">
        <v>99</v>
      </c>
      <c r="AX80">
        <v>-0.46</v>
      </c>
      <c r="AY80">
        <v>98</v>
      </c>
      <c r="AZ80">
        <v>5.84</v>
      </c>
      <c r="BA80">
        <v>88</v>
      </c>
      <c r="BB80">
        <v>4.8600000000000003</v>
      </c>
      <c r="BC80">
        <v>46</v>
      </c>
      <c r="BD80">
        <v>-0.02</v>
      </c>
      <c r="BE80">
        <v>0.08</v>
      </c>
      <c r="BF80">
        <v>0.09</v>
      </c>
      <c r="BG80">
        <v>96</v>
      </c>
      <c r="BH80">
        <v>-0.02</v>
      </c>
      <c r="BI80">
        <v>-3.11</v>
      </c>
      <c r="BJ80">
        <v>0</v>
      </c>
      <c r="BK80">
        <v>0</v>
      </c>
      <c r="BL80">
        <v>-0.3</v>
      </c>
      <c r="BM80">
        <v>-0.35</v>
      </c>
      <c r="BN80">
        <v>-0.8</v>
      </c>
      <c r="BO80">
        <v>-0.36</v>
      </c>
      <c r="BP80">
        <v>3.6</v>
      </c>
      <c r="BQ80">
        <v>-0.72</v>
      </c>
      <c r="BR80">
        <v>1.91</v>
      </c>
      <c r="BS80">
        <v>-2.98</v>
      </c>
      <c r="BT80">
        <v>-1.89</v>
      </c>
      <c r="BU80">
        <v>-1.24</v>
      </c>
      <c r="BV80">
        <v>-1.56</v>
      </c>
      <c r="BW80">
        <v>-1.25</v>
      </c>
      <c r="BX80">
        <v>-0.81</v>
      </c>
      <c r="BY80">
        <v>-0.43</v>
      </c>
      <c r="BZ80">
        <v>-1.27</v>
      </c>
      <c r="CA80">
        <v>-2.06</v>
      </c>
      <c r="CB80">
        <v>-1.28</v>
      </c>
      <c r="CC80">
        <v>-2.36</v>
      </c>
      <c r="CD80">
        <v>0.63</v>
      </c>
      <c r="CE80">
        <v>-0.71</v>
      </c>
      <c r="CF80">
        <v>-0.83</v>
      </c>
      <c r="CG80">
        <v>0</v>
      </c>
      <c r="CH80">
        <v>-2.37</v>
      </c>
      <c r="CI80">
        <v>0</v>
      </c>
      <c r="CJ80">
        <v>-4</v>
      </c>
      <c r="CK80">
        <v>99</v>
      </c>
      <c r="CL80">
        <v>-0.54</v>
      </c>
      <c r="CM80">
        <v>99</v>
      </c>
      <c r="CN80">
        <v>-0.32</v>
      </c>
      <c r="CO80">
        <v>98</v>
      </c>
      <c r="CP80">
        <v>-0.4</v>
      </c>
      <c r="CQ80">
        <v>76</v>
      </c>
      <c r="CR80">
        <v>0</v>
      </c>
      <c r="CS80">
        <v>0</v>
      </c>
      <c r="CT80">
        <v>5.4</v>
      </c>
      <c r="CU80">
        <v>86</v>
      </c>
      <c r="CV80">
        <v>-0.01</v>
      </c>
      <c r="CW80">
        <v>47</v>
      </c>
      <c r="CX80" t="s">
        <v>6839</v>
      </c>
    </row>
    <row r="81" spans="1:102" x14ac:dyDescent="0.3">
      <c r="A81" t="str">
        <f>HYPERLINK("https://webapp.icbf.com/v2/app/bull-search/view/1038465397","RNO")</f>
        <v>RNO</v>
      </c>
      <c r="B81" t="s">
        <v>5793</v>
      </c>
      <c r="C81" t="s">
        <v>5794</v>
      </c>
      <c r="D81" s="1">
        <v>41303</v>
      </c>
      <c r="E81" t="s">
        <v>92</v>
      </c>
      <c r="F81">
        <v>81</v>
      </c>
      <c r="G81" t="s">
        <v>93</v>
      </c>
      <c r="H81">
        <v>254.57</v>
      </c>
      <c r="I81">
        <v>88</v>
      </c>
      <c r="J81">
        <v>58.51</v>
      </c>
      <c r="K81">
        <v>98</v>
      </c>
      <c r="L81">
        <v>132.62</v>
      </c>
      <c r="M81">
        <v>80</v>
      </c>
      <c r="N81">
        <v>49.21</v>
      </c>
      <c r="O81">
        <v>89</v>
      </c>
      <c r="P81">
        <v>-14.34</v>
      </c>
      <c r="Q81">
        <v>94</v>
      </c>
      <c r="R81">
        <v>8.42</v>
      </c>
      <c r="S81">
        <v>80</v>
      </c>
      <c r="T81">
        <v>11.83</v>
      </c>
      <c r="U81">
        <v>86</v>
      </c>
      <c r="V81">
        <v>8.32</v>
      </c>
      <c r="W81">
        <v>74</v>
      </c>
      <c r="X81" t="s">
        <v>94</v>
      </c>
      <c r="Y81" t="s">
        <v>389</v>
      </c>
      <c r="Z81" t="s">
        <v>96</v>
      </c>
      <c r="AA81" t="s">
        <v>2041</v>
      </c>
      <c r="AB81" t="s">
        <v>5795</v>
      </c>
      <c r="AC81">
        <v>176</v>
      </c>
      <c r="AD81">
        <v>86</v>
      </c>
      <c r="AE81">
        <v>98</v>
      </c>
      <c r="AF81">
        <v>138.61000000000001</v>
      </c>
      <c r="AG81">
        <v>9.08</v>
      </c>
      <c r="AH81">
        <v>8.86</v>
      </c>
      <c r="AI81">
        <v>0.06</v>
      </c>
      <c r="AJ81">
        <v>7.0000000000000007E-2</v>
      </c>
      <c r="AK81">
        <v>80</v>
      </c>
      <c r="AL81">
        <v>168</v>
      </c>
      <c r="AM81">
        <v>92</v>
      </c>
      <c r="AN81">
        <v>-6.14</v>
      </c>
      <c r="AO81">
        <v>4.45</v>
      </c>
      <c r="AP81">
        <v>423</v>
      </c>
      <c r="AQ81">
        <v>7</v>
      </c>
      <c r="AR81">
        <v>4.4400000000000004</v>
      </c>
      <c r="AS81">
        <v>84</v>
      </c>
      <c r="AT81">
        <v>1.98</v>
      </c>
      <c r="AU81">
        <v>92</v>
      </c>
      <c r="AV81">
        <v>-3.64</v>
      </c>
      <c r="AW81">
        <v>98</v>
      </c>
      <c r="AX81">
        <v>-0.48</v>
      </c>
      <c r="AY81">
        <v>88</v>
      </c>
      <c r="AZ81">
        <v>5.97</v>
      </c>
      <c r="BA81">
        <v>74</v>
      </c>
      <c r="BB81">
        <v>4.38</v>
      </c>
      <c r="BC81">
        <v>65</v>
      </c>
      <c r="BD81">
        <v>-0.01</v>
      </c>
      <c r="BE81">
        <v>-0.03</v>
      </c>
      <c r="BF81">
        <v>-0.12</v>
      </c>
      <c r="BG81">
        <v>90</v>
      </c>
      <c r="BH81">
        <v>0.24</v>
      </c>
      <c r="BI81">
        <v>0.91</v>
      </c>
      <c r="BJ81">
        <v>12</v>
      </c>
      <c r="BK81">
        <v>4</v>
      </c>
      <c r="BL81">
        <v>-1.69</v>
      </c>
      <c r="BM81">
        <v>-1.88</v>
      </c>
      <c r="BN81">
        <v>-3.14</v>
      </c>
      <c r="BO81">
        <v>-1.55</v>
      </c>
      <c r="BP81">
        <v>2</v>
      </c>
      <c r="BQ81">
        <v>-1.81</v>
      </c>
      <c r="BR81">
        <v>0.11</v>
      </c>
      <c r="BS81">
        <v>-2.78</v>
      </c>
      <c r="BT81">
        <v>-2.14</v>
      </c>
      <c r="BU81">
        <v>-0.55000000000000004</v>
      </c>
      <c r="BV81">
        <v>-1.36</v>
      </c>
      <c r="BW81">
        <v>-0.39</v>
      </c>
      <c r="BX81">
        <v>0.84</v>
      </c>
      <c r="BY81">
        <v>-0.78</v>
      </c>
      <c r="BZ81">
        <v>-2.79</v>
      </c>
      <c r="CA81">
        <v>-1.39</v>
      </c>
      <c r="CB81">
        <v>-1</v>
      </c>
      <c r="CC81">
        <v>-2.27</v>
      </c>
      <c r="CD81">
        <v>-0.12</v>
      </c>
      <c r="CE81">
        <v>-1.06</v>
      </c>
      <c r="CF81">
        <v>-2.29</v>
      </c>
      <c r="CG81">
        <v>0</v>
      </c>
      <c r="CH81">
        <v>0.43</v>
      </c>
      <c r="CI81">
        <v>0</v>
      </c>
      <c r="CJ81">
        <v>-5.0999999999999996</v>
      </c>
      <c r="CK81">
        <v>96</v>
      </c>
      <c r="CL81">
        <v>-0.75</v>
      </c>
      <c r="CM81">
        <v>94</v>
      </c>
      <c r="CN81">
        <v>-0.11</v>
      </c>
      <c r="CO81">
        <v>94</v>
      </c>
      <c r="CP81">
        <v>-5.7</v>
      </c>
      <c r="CQ81">
        <v>80</v>
      </c>
      <c r="CR81">
        <v>0</v>
      </c>
      <c r="CS81">
        <v>0</v>
      </c>
      <c r="CT81">
        <v>-2.2000000000000002</v>
      </c>
      <c r="CU81">
        <v>86</v>
      </c>
      <c r="CV81">
        <v>7.0000000000000007E-2</v>
      </c>
      <c r="CW81">
        <v>48</v>
      </c>
      <c r="CX81" t="s">
        <v>5796</v>
      </c>
    </row>
    <row r="82" spans="1:102" x14ac:dyDescent="0.3">
      <c r="A82" t="str">
        <f>HYPERLINK("https://webapp.icbf.com/v2/app/bull-search/view/868799691","UMG")</f>
        <v>UMG</v>
      </c>
      <c r="B82" t="s">
        <v>15234</v>
      </c>
      <c r="C82" t="s">
        <v>15235</v>
      </c>
      <c r="D82" s="1">
        <v>40615</v>
      </c>
      <c r="E82" t="s">
        <v>92</v>
      </c>
      <c r="F82">
        <v>69</v>
      </c>
      <c r="G82" t="s">
        <v>93</v>
      </c>
      <c r="H82">
        <v>253.53</v>
      </c>
      <c r="I82">
        <v>86</v>
      </c>
      <c r="J82">
        <v>52.64</v>
      </c>
      <c r="K82">
        <v>96</v>
      </c>
      <c r="L82">
        <v>144.66999999999999</v>
      </c>
      <c r="M82">
        <v>78</v>
      </c>
      <c r="N82">
        <v>36.659999999999997</v>
      </c>
      <c r="O82">
        <v>87</v>
      </c>
      <c r="P82">
        <v>-3.45</v>
      </c>
      <c r="Q82">
        <v>93</v>
      </c>
      <c r="R82">
        <v>13.08</v>
      </c>
      <c r="S82">
        <v>79</v>
      </c>
      <c r="T82">
        <v>-0.01</v>
      </c>
      <c r="U82">
        <v>84</v>
      </c>
      <c r="V82">
        <v>9.94</v>
      </c>
      <c r="W82">
        <v>76</v>
      </c>
      <c r="X82" t="s">
        <v>94</v>
      </c>
      <c r="Y82" t="s">
        <v>1860</v>
      </c>
      <c r="Z82" t="s">
        <v>330</v>
      </c>
      <c r="AA82" t="s">
        <v>1942</v>
      </c>
      <c r="AB82" t="s">
        <v>15236</v>
      </c>
      <c r="AC82">
        <v>100</v>
      </c>
      <c r="AD82">
        <v>41</v>
      </c>
      <c r="AE82">
        <v>96</v>
      </c>
      <c r="AF82">
        <v>-19.77</v>
      </c>
      <c r="AG82">
        <v>8.31</v>
      </c>
      <c r="AH82">
        <v>5.71</v>
      </c>
      <c r="AI82">
        <v>0.16</v>
      </c>
      <c r="AJ82">
        <v>0.11</v>
      </c>
      <c r="AK82">
        <v>78</v>
      </c>
      <c r="AL82">
        <v>115</v>
      </c>
      <c r="AM82">
        <v>48</v>
      </c>
      <c r="AN82">
        <v>-7.67</v>
      </c>
      <c r="AO82">
        <v>3.87</v>
      </c>
      <c r="AP82">
        <v>272</v>
      </c>
      <c r="AQ82">
        <v>4</v>
      </c>
      <c r="AR82">
        <v>6.13</v>
      </c>
      <c r="AS82">
        <v>76</v>
      </c>
      <c r="AT82">
        <v>2</v>
      </c>
      <c r="AU82">
        <v>89</v>
      </c>
      <c r="AV82">
        <v>-2.87</v>
      </c>
      <c r="AW82">
        <v>97</v>
      </c>
      <c r="AX82">
        <v>0.45</v>
      </c>
      <c r="AY82">
        <v>84</v>
      </c>
      <c r="AZ82">
        <v>6.69</v>
      </c>
      <c r="BA82">
        <v>70</v>
      </c>
      <c r="BB82">
        <v>4.33</v>
      </c>
      <c r="BC82">
        <v>67</v>
      </c>
      <c r="BD82">
        <v>-0.04</v>
      </c>
      <c r="BE82">
        <v>-0.06</v>
      </c>
      <c r="BF82">
        <v>-0.12</v>
      </c>
      <c r="BG82">
        <v>87</v>
      </c>
      <c r="BH82">
        <v>0.05</v>
      </c>
      <c r="BI82">
        <v>-26.27</v>
      </c>
      <c r="BJ82">
        <v>6</v>
      </c>
      <c r="BK82">
        <v>4</v>
      </c>
      <c r="BL82">
        <v>-0.61</v>
      </c>
      <c r="BM82">
        <v>1.37</v>
      </c>
      <c r="BN82">
        <v>-1.07</v>
      </c>
      <c r="BO82">
        <v>-1.68</v>
      </c>
      <c r="BP82">
        <v>1.42</v>
      </c>
      <c r="BQ82">
        <v>0.68</v>
      </c>
      <c r="BR82">
        <v>-1.56</v>
      </c>
      <c r="BS82">
        <v>-0.83</v>
      </c>
      <c r="BT82">
        <v>0.32</v>
      </c>
      <c r="BU82">
        <v>-1.25</v>
      </c>
      <c r="BV82">
        <v>-1.1399999999999999</v>
      </c>
      <c r="BW82">
        <v>-0.88</v>
      </c>
      <c r="BX82">
        <v>-0.53</v>
      </c>
      <c r="BY82">
        <v>-1.22</v>
      </c>
      <c r="BZ82">
        <v>-0.6</v>
      </c>
      <c r="CA82">
        <v>-0.95</v>
      </c>
      <c r="CB82">
        <v>-0.52</v>
      </c>
      <c r="CC82">
        <v>-1.56</v>
      </c>
      <c r="CD82">
        <v>1.28</v>
      </c>
      <c r="CE82">
        <v>-1.34</v>
      </c>
      <c r="CF82">
        <v>-0.17</v>
      </c>
      <c r="CG82">
        <v>0</v>
      </c>
      <c r="CH82">
        <v>-1.38</v>
      </c>
      <c r="CI82">
        <v>0</v>
      </c>
      <c r="CJ82">
        <v>-0.8</v>
      </c>
      <c r="CK82">
        <v>94</v>
      </c>
      <c r="CL82">
        <v>-0.45</v>
      </c>
      <c r="CM82">
        <v>93</v>
      </c>
      <c r="CN82">
        <v>-0.15</v>
      </c>
      <c r="CO82">
        <v>92</v>
      </c>
      <c r="CP82">
        <v>3.6</v>
      </c>
      <c r="CQ82">
        <v>84</v>
      </c>
      <c r="CR82">
        <v>0</v>
      </c>
      <c r="CS82">
        <v>0</v>
      </c>
      <c r="CT82">
        <v>13.8</v>
      </c>
      <c r="CU82">
        <v>84</v>
      </c>
      <c r="CV82">
        <v>0.13</v>
      </c>
      <c r="CW82">
        <v>47</v>
      </c>
      <c r="CX82" t="s">
        <v>11651</v>
      </c>
    </row>
    <row r="83" spans="1:102" x14ac:dyDescent="0.3">
      <c r="A83" t="str">
        <f>HYPERLINK("https://webapp.icbf.com/v2/app/bull-search/view/1475322456","FR4559")</f>
        <v>FR4559</v>
      </c>
      <c r="B83" t="s">
        <v>6202</v>
      </c>
      <c r="C83" t="s">
        <v>6203</v>
      </c>
      <c r="D83" s="1">
        <v>42772</v>
      </c>
      <c r="E83" t="s">
        <v>92</v>
      </c>
      <c r="F83">
        <v>59</v>
      </c>
      <c r="G83" t="s">
        <v>435</v>
      </c>
      <c r="H83">
        <v>253.48</v>
      </c>
      <c r="I83">
        <v>69</v>
      </c>
      <c r="J83">
        <v>81.7</v>
      </c>
      <c r="K83">
        <v>87</v>
      </c>
      <c r="L83">
        <v>118.06</v>
      </c>
      <c r="M83">
        <v>61</v>
      </c>
      <c r="N83">
        <v>38.18</v>
      </c>
      <c r="O83">
        <v>77</v>
      </c>
      <c r="P83">
        <v>-7.02</v>
      </c>
      <c r="Q83">
        <v>47</v>
      </c>
      <c r="R83">
        <v>-5.67</v>
      </c>
      <c r="S83">
        <v>61</v>
      </c>
      <c r="T83">
        <v>17.53</v>
      </c>
      <c r="U83">
        <v>46</v>
      </c>
      <c r="V83">
        <v>10.7</v>
      </c>
      <c r="W83">
        <v>56</v>
      </c>
      <c r="X83" t="s">
        <v>276</v>
      </c>
      <c r="Y83" t="s">
        <v>2384</v>
      </c>
      <c r="Z83" t="s">
        <v>330</v>
      </c>
      <c r="AA83" t="s">
        <v>6204</v>
      </c>
      <c r="AB83" t="s">
        <v>6205</v>
      </c>
      <c r="AC83">
        <v>0</v>
      </c>
      <c r="AD83">
        <v>0</v>
      </c>
      <c r="AE83">
        <v>87</v>
      </c>
      <c r="AF83">
        <v>74.87</v>
      </c>
      <c r="AG83">
        <v>10.94</v>
      </c>
      <c r="AH83">
        <v>11.17</v>
      </c>
      <c r="AI83">
        <v>0.13</v>
      </c>
      <c r="AJ83">
        <v>0.15</v>
      </c>
      <c r="AK83">
        <v>61</v>
      </c>
      <c r="AL83">
        <v>0</v>
      </c>
      <c r="AM83">
        <v>0</v>
      </c>
      <c r="AN83">
        <v>-6.08</v>
      </c>
      <c r="AO83">
        <v>3.34</v>
      </c>
      <c r="AP83">
        <v>171</v>
      </c>
      <c r="AQ83">
        <v>0</v>
      </c>
      <c r="AR83">
        <v>6.97</v>
      </c>
      <c r="AS83">
        <v>52</v>
      </c>
      <c r="AT83">
        <v>2.95</v>
      </c>
      <c r="AU83">
        <v>84</v>
      </c>
      <c r="AV83">
        <v>-3.98</v>
      </c>
      <c r="AW83">
        <v>95</v>
      </c>
      <c r="AX83">
        <v>-0.31</v>
      </c>
      <c r="AY83">
        <v>74</v>
      </c>
      <c r="AZ83">
        <v>5.98</v>
      </c>
      <c r="BA83">
        <v>42</v>
      </c>
      <c r="BB83">
        <v>4.59</v>
      </c>
      <c r="BC83">
        <v>36</v>
      </c>
      <c r="BD83">
        <v>0.02</v>
      </c>
      <c r="BE83">
        <v>0.03</v>
      </c>
      <c r="BF83">
        <v>0.04</v>
      </c>
      <c r="BG83">
        <v>71</v>
      </c>
      <c r="BH83">
        <v>0.1</v>
      </c>
      <c r="BI83">
        <v>-22.96</v>
      </c>
      <c r="BJ83">
        <v>0</v>
      </c>
      <c r="BK83">
        <v>0</v>
      </c>
      <c r="BL83">
        <v>-1.43</v>
      </c>
      <c r="BM83">
        <v>0.23</v>
      </c>
      <c r="BN83">
        <v>-1.74</v>
      </c>
      <c r="BO83">
        <v>-1.37</v>
      </c>
      <c r="BP83">
        <v>-0.27</v>
      </c>
      <c r="BQ83">
        <v>-0.14000000000000001</v>
      </c>
      <c r="BR83">
        <v>-0.56000000000000005</v>
      </c>
      <c r="BS83">
        <v>0.04</v>
      </c>
      <c r="BT83">
        <v>-0.96</v>
      </c>
      <c r="BU83">
        <v>0.59</v>
      </c>
      <c r="BV83">
        <v>-0.02</v>
      </c>
      <c r="BW83">
        <v>-0.05</v>
      </c>
      <c r="BX83">
        <v>-0.18</v>
      </c>
      <c r="BY83">
        <v>-0.5</v>
      </c>
      <c r="BZ83">
        <v>-1.24</v>
      </c>
      <c r="CA83">
        <v>0.5</v>
      </c>
      <c r="CB83">
        <v>0.51</v>
      </c>
      <c r="CC83">
        <v>-0.04</v>
      </c>
      <c r="CD83">
        <v>0.89</v>
      </c>
      <c r="CE83">
        <v>-0.74</v>
      </c>
      <c r="CF83">
        <v>-1.31</v>
      </c>
      <c r="CG83">
        <v>0</v>
      </c>
      <c r="CH83">
        <v>0.28000000000000003</v>
      </c>
      <c r="CI83">
        <v>0</v>
      </c>
      <c r="CJ83">
        <v>-1.2</v>
      </c>
      <c r="CK83">
        <v>48</v>
      </c>
      <c r="CL83">
        <v>-0.46</v>
      </c>
      <c r="CM83">
        <v>46</v>
      </c>
      <c r="CN83">
        <v>-0.06</v>
      </c>
      <c r="CO83">
        <v>46</v>
      </c>
      <c r="CP83">
        <v>-8.8000000000000007</v>
      </c>
      <c r="CQ83">
        <v>46</v>
      </c>
      <c r="CR83">
        <v>0</v>
      </c>
      <c r="CS83">
        <v>0</v>
      </c>
      <c r="CT83">
        <v>-9.9</v>
      </c>
      <c r="CU83">
        <v>46</v>
      </c>
      <c r="CV83">
        <v>0.09</v>
      </c>
      <c r="CW83">
        <v>36</v>
      </c>
      <c r="CX83" t="s">
        <v>4738</v>
      </c>
    </row>
    <row r="84" spans="1:102" x14ac:dyDescent="0.3">
      <c r="A84" t="str">
        <f>HYPERLINK("https://webapp.icbf.com/v2/app/bull-search/view/1354258545","FR4198")</f>
        <v>FR4198</v>
      </c>
      <c r="B84" t="s">
        <v>6178</v>
      </c>
      <c r="C84" t="s">
        <v>6179</v>
      </c>
      <c r="D84" s="1">
        <v>42401</v>
      </c>
      <c r="E84" t="s">
        <v>92</v>
      </c>
      <c r="F84">
        <v>69</v>
      </c>
      <c r="G84" t="s">
        <v>435</v>
      </c>
      <c r="H84">
        <v>252.38</v>
      </c>
      <c r="I84">
        <v>73</v>
      </c>
      <c r="J84">
        <v>63.78</v>
      </c>
      <c r="K84">
        <v>89</v>
      </c>
      <c r="L84">
        <v>129.85</v>
      </c>
      <c r="M84">
        <v>63</v>
      </c>
      <c r="N84">
        <v>45.06</v>
      </c>
      <c r="O84">
        <v>80</v>
      </c>
      <c r="P84">
        <v>-4.6500000000000004</v>
      </c>
      <c r="Q84">
        <v>65</v>
      </c>
      <c r="R84">
        <v>9.1</v>
      </c>
      <c r="S84">
        <v>62</v>
      </c>
      <c r="T84">
        <v>5.91</v>
      </c>
      <c r="U84">
        <v>55</v>
      </c>
      <c r="V84">
        <v>3.33</v>
      </c>
      <c r="W84">
        <v>57</v>
      </c>
      <c r="X84" t="s">
        <v>94</v>
      </c>
      <c r="Y84" t="s">
        <v>2255</v>
      </c>
      <c r="Z84" t="s">
        <v>96</v>
      </c>
      <c r="AA84" t="s">
        <v>2499</v>
      </c>
      <c r="AB84" t="s">
        <v>6180</v>
      </c>
      <c r="AC84">
        <v>0</v>
      </c>
      <c r="AD84">
        <v>0</v>
      </c>
      <c r="AE84">
        <v>89</v>
      </c>
      <c r="AF84">
        <v>164.7</v>
      </c>
      <c r="AG84">
        <v>8.8699999999999992</v>
      </c>
      <c r="AH84">
        <v>10.23</v>
      </c>
      <c r="AI84">
        <v>0.04</v>
      </c>
      <c r="AJ84">
        <v>0.08</v>
      </c>
      <c r="AK84">
        <v>63</v>
      </c>
      <c r="AL84">
        <v>0</v>
      </c>
      <c r="AM84">
        <v>0</v>
      </c>
      <c r="AN84">
        <v>-7.47</v>
      </c>
      <c r="AO84">
        <v>2.88</v>
      </c>
      <c r="AP84">
        <v>209</v>
      </c>
      <c r="AQ84">
        <v>2</v>
      </c>
      <c r="AR84">
        <v>5.26</v>
      </c>
      <c r="AS84">
        <v>63</v>
      </c>
      <c r="AT84">
        <v>1.71</v>
      </c>
      <c r="AU84">
        <v>86</v>
      </c>
      <c r="AV84">
        <v>-3.17</v>
      </c>
      <c r="AW84">
        <v>96</v>
      </c>
      <c r="AX84">
        <v>-0.14000000000000001</v>
      </c>
      <c r="AY84">
        <v>77</v>
      </c>
      <c r="AZ84">
        <v>5.52</v>
      </c>
      <c r="BA84">
        <v>43</v>
      </c>
      <c r="BB84">
        <v>4.45</v>
      </c>
      <c r="BC84">
        <v>40</v>
      </c>
      <c r="BD84">
        <v>-0.02</v>
      </c>
      <c r="BE84">
        <v>-0.04</v>
      </c>
      <c r="BF84">
        <v>-0.1</v>
      </c>
      <c r="BG84">
        <v>73</v>
      </c>
      <c r="BH84">
        <v>7.0000000000000007E-2</v>
      </c>
      <c r="BI84">
        <v>-2.65</v>
      </c>
      <c r="BJ84">
        <v>0</v>
      </c>
      <c r="BK84">
        <v>0</v>
      </c>
      <c r="BL84">
        <v>-0.71</v>
      </c>
      <c r="BM84">
        <v>2.33</v>
      </c>
      <c r="BN84">
        <v>-0.12</v>
      </c>
      <c r="BO84">
        <v>-1.54</v>
      </c>
      <c r="BP84">
        <v>0.83</v>
      </c>
      <c r="BQ84">
        <v>-0.23</v>
      </c>
      <c r="BR84">
        <v>-1.39</v>
      </c>
      <c r="BS84">
        <v>-0.69</v>
      </c>
      <c r="BT84">
        <v>1.89</v>
      </c>
      <c r="BU84">
        <v>-0.46</v>
      </c>
      <c r="BV84">
        <v>-0.59</v>
      </c>
      <c r="BW84">
        <v>-0.68</v>
      </c>
      <c r="BX84">
        <v>-0.68</v>
      </c>
      <c r="BY84">
        <v>-1.19</v>
      </c>
      <c r="BZ84">
        <v>0.38</v>
      </c>
      <c r="CA84">
        <v>-0.96</v>
      </c>
      <c r="CB84">
        <v>-0.67</v>
      </c>
      <c r="CC84">
        <v>-0.41</v>
      </c>
      <c r="CD84">
        <v>2.4900000000000002</v>
      </c>
      <c r="CE84">
        <v>-1.44</v>
      </c>
      <c r="CF84">
        <v>0.02</v>
      </c>
      <c r="CG84">
        <v>0</v>
      </c>
      <c r="CH84">
        <v>-1.93</v>
      </c>
      <c r="CI84">
        <v>0</v>
      </c>
      <c r="CJ84">
        <v>-1.6</v>
      </c>
      <c r="CK84">
        <v>70</v>
      </c>
      <c r="CL84">
        <v>-0.47</v>
      </c>
      <c r="CM84">
        <v>61</v>
      </c>
      <c r="CN84">
        <v>-0.18</v>
      </c>
      <c r="CO84">
        <v>59</v>
      </c>
      <c r="CP84">
        <v>2</v>
      </c>
      <c r="CQ84">
        <v>54</v>
      </c>
      <c r="CR84">
        <v>0</v>
      </c>
      <c r="CS84">
        <v>0</v>
      </c>
      <c r="CT84">
        <v>5.8</v>
      </c>
      <c r="CU84">
        <v>55</v>
      </c>
      <c r="CV84">
        <v>0.05</v>
      </c>
      <c r="CW84">
        <v>40</v>
      </c>
      <c r="CX84" t="s">
        <v>1942</v>
      </c>
    </row>
    <row r="85" spans="1:102" x14ac:dyDescent="0.3">
      <c r="A85" t="str">
        <f>HYPERLINK("https://webapp.icbf.com/v2/app/bull-search/view/1359483552","FR4244")</f>
        <v>FR4244</v>
      </c>
      <c r="B85" t="s">
        <v>6377</v>
      </c>
      <c r="C85" t="s">
        <v>6378</v>
      </c>
      <c r="D85" s="1">
        <v>42417</v>
      </c>
      <c r="E85" t="s">
        <v>92</v>
      </c>
      <c r="F85">
        <v>78</v>
      </c>
      <c r="G85" t="s">
        <v>435</v>
      </c>
      <c r="H85">
        <v>252.17</v>
      </c>
      <c r="I85">
        <v>73</v>
      </c>
      <c r="J85">
        <v>54.89</v>
      </c>
      <c r="K85">
        <v>88</v>
      </c>
      <c r="L85">
        <v>126.74</v>
      </c>
      <c r="M85">
        <v>63</v>
      </c>
      <c r="N85">
        <v>62.12</v>
      </c>
      <c r="O85">
        <v>89</v>
      </c>
      <c r="P85">
        <v>-19.32</v>
      </c>
      <c r="Q85">
        <v>67</v>
      </c>
      <c r="R85">
        <v>7.55</v>
      </c>
      <c r="S85">
        <v>63</v>
      </c>
      <c r="T85">
        <v>15.82</v>
      </c>
      <c r="U85">
        <v>51</v>
      </c>
      <c r="V85">
        <v>4.37</v>
      </c>
      <c r="W85">
        <v>58</v>
      </c>
      <c r="X85" t="s">
        <v>276</v>
      </c>
      <c r="Y85" t="s">
        <v>2255</v>
      </c>
      <c r="Z85" t="s">
        <v>96</v>
      </c>
      <c r="AA85" t="s">
        <v>2499</v>
      </c>
      <c r="AB85" t="s">
        <v>6379</v>
      </c>
      <c r="AC85">
        <v>1</v>
      </c>
      <c r="AD85">
        <v>1</v>
      </c>
      <c r="AE85">
        <v>88</v>
      </c>
      <c r="AF85">
        <v>58.35</v>
      </c>
      <c r="AG85">
        <v>7.23</v>
      </c>
      <c r="AH85">
        <v>7.67</v>
      </c>
      <c r="AI85">
        <v>0.08</v>
      </c>
      <c r="AJ85">
        <v>0.1</v>
      </c>
      <c r="AK85">
        <v>63</v>
      </c>
      <c r="AL85">
        <v>0</v>
      </c>
      <c r="AM85">
        <v>0</v>
      </c>
      <c r="AN85">
        <v>-7.48</v>
      </c>
      <c r="AO85">
        <v>2.62</v>
      </c>
      <c r="AP85">
        <v>2867</v>
      </c>
      <c r="AQ85">
        <v>3</v>
      </c>
      <c r="AR85">
        <v>4.55</v>
      </c>
      <c r="AS85">
        <v>98</v>
      </c>
      <c r="AT85">
        <v>1.93</v>
      </c>
      <c r="AU85">
        <v>98</v>
      </c>
      <c r="AV85">
        <v>-5.3</v>
      </c>
      <c r="AW85">
        <v>99</v>
      </c>
      <c r="AX85">
        <v>-0.9</v>
      </c>
      <c r="AY85">
        <v>97</v>
      </c>
      <c r="AZ85">
        <v>5.08</v>
      </c>
      <c r="BA85">
        <v>43</v>
      </c>
      <c r="BB85">
        <v>4.9800000000000004</v>
      </c>
      <c r="BC85">
        <v>41</v>
      </c>
      <c r="BD85">
        <v>-0.04</v>
      </c>
      <c r="BE85">
        <v>-0.03</v>
      </c>
      <c r="BF85">
        <v>-0.05</v>
      </c>
      <c r="BG85">
        <v>73</v>
      </c>
      <c r="BH85">
        <v>0.08</v>
      </c>
      <c r="BI85">
        <v>-4.83</v>
      </c>
      <c r="BJ85">
        <v>0</v>
      </c>
      <c r="BK85">
        <v>0</v>
      </c>
      <c r="BL85">
        <v>-0.83</v>
      </c>
      <c r="BM85">
        <v>-0.88</v>
      </c>
      <c r="BN85">
        <v>-1.77</v>
      </c>
      <c r="BO85">
        <v>-0.64</v>
      </c>
      <c r="BP85">
        <v>2.44</v>
      </c>
      <c r="BQ85">
        <v>-2.57</v>
      </c>
      <c r="BR85">
        <v>1.98</v>
      </c>
      <c r="BS85">
        <v>-0.91</v>
      </c>
      <c r="BT85">
        <v>-1.63</v>
      </c>
      <c r="BU85">
        <v>0.24</v>
      </c>
      <c r="BV85">
        <v>-0.67</v>
      </c>
      <c r="BW85">
        <v>-1.33</v>
      </c>
      <c r="BX85">
        <v>0.12</v>
      </c>
      <c r="BY85">
        <v>-1.45</v>
      </c>
      <c r="BZ85">
        <v>-0.84</v>
      </c>
      <c r="CA85">
        <v>-0.77</v>
      </c>
      <c r="CB85">
        <v>-0.28000000000000003</v>
      </c>
      <c r="CC85">
        <v>-1.1299999999999999</v>
      </c>
      <c r="CD85">
        <v>0.7</v>
      </c>
      <c r="CE85">
        <v>-0.44</v>
      </c>
      <c r="CF85">
        <v>-0.59</v>
      </c>
      <c r="CG85">
        <v>0</v>
      </c>
      <c r="CH85">
        <v>-1.04</v>
      </c>
      <c r="CI85">
        <v>0</v>
      </c>
      <c r="CJ85">
        <v>-10.1</v>
      </c>
      <c r="CK85">
        <v>73</v>
      </c>
      <c r="CL85">
        <v>-0.68</v>
      </c>
      <c r="CM85">
        <v>62</v>
      </c>
      <c r="CN85">
        <v>-0.27</v>
      </c>
      <c r="CO85">
        <v>61</v>
      </c>
      <c r="CP85">
        <v>-10.199999999999999</v>
      </c>
      <c r="CQ85">
        <v>52</v>
      </c>
      <c r="CR85">
        <v>0</v>
      </c>
      <c r="CS85">
        <v>0</v>
      </c>
      <c r="CT85">
        <v>-7.6</v>
      </c>
      <c r="CU85">
        <v>51</v>
      </c>
      <c r="CV85">
        <v>0.02</v>
      </c>
      <c r="CW85">
        <v>40</v>
      </c>
      <c r="CX85" t="s">
        <v>1861</v>
      </c>
    </row>
    <row r="86" spans="1:102" x14ac:dyDescent="0.3">
      <c r="A86" t="str">
        <f>HYPERLINK("https://webapp.icbf.com/v2/app/bull-search/view/1032316126","ZCE")</f>
        <v>ZCE</v>
      </c>
      <c r="B86" t="s">
        <v>5958</v>
      </c>
      <c r="C86" t="s">
        <v>5959</v>
      </c>
      <c r="D86" s="1">
        <v>41278</v>
      </c>
      <c r="E86" t="s">
        <v>92</v>
      </c>
      <c r="F86">
        <v>84</v>
      </c>
      <c r="G86" t="s">
        <v>435</v>
      </c>
      <c r="H86">
        <v>251.33</v>
      </c>
      <c r="I86">
        <v>70</v>
      </c>
      <c r="J86">
        <v>83.38</v>
      </c>
      <c r="K86">
        <v>88</v>
      </c>
      <c r="L86">
        <v>148.43</v>
      </c>
      <c r="M86">
        <v>64</v>
      </c>
      <c r="N86">
        <v>31.11</v>
      </c>
      <c r="O86">
        <v>62</v>
      </c>
      <c r="P86">
        <v>-20.87</v>
      </c>
      <c r="Q86">
        <v>61</v>
      </c>
      <c r="R86">
        <v>-7.99</v>
      </c>
      <c r="S86">
        <v>64</v>
      </c>
      <c r="T86">
        <v>11.01</v>
      </c>
      <c r="U86">
        <v>49</v>
      </c>
      <c r="V86">
        <v>6.26</v>
      </c>
      <c r="W86">
        <v>58</v>
      </c>
      <c r="X86" t="s">
        <v>251</v>
      </c>
      <c r="Y86" t="s">
        <v>389</v>
      </c>
      <c r="Z86" t="s">
        <v>96</v>
      </c>
      <c r="AA86" t="s">
        <v>2041</v>
      </c>
      <c r="AB86" t="s">
        <v>5960</v>
      </c>
      <c r="AC86">
        <v>4</v>
      </c>
      <c r="AD86">
        <v>3</v>
      </c>
      <c r="AE86">
        <v>88</v>
      </c>
      <c r="AF86">
        <v>-48.23</v>
      </c>
      <c r="AG86">
        <v>11.54</v>
      </c>
      <c r="AH86">
        <v>9.36</v>
      </c>
      <c r="AI86">
        <v>0.24</v>
      </c>
      <c r="AJ86">
        <v>0.19</v>
      </c>
      <c r="AK86">
        <v>64</v>
      </c>
      <c r="AL86">
        <v>2</v>
      </c>
      <c r="AM86">
        <v>2</v>
      </c>
      <c r="AN86">
        <v>-7.89</v>
      </c>
      <c r="AO86">
        <v>3.95</v>
      </c>
      <c r="AP86">
        <v>9</v>
      </c>
      <c r="AQ86">
        <v>0</v>
      </c>
      <c r="AR86">
        <v>7.64</v>
      </c>
      <c r="AS86">
        <v>56</v>
      </c>
      <c r="AT86">
        <v>2.6</v>
      </c>
      <c r="AU86">
        <v>63</v>
      </c>
      <c r="AV86">
        <v>-3.11</v>
      </c>
      <c r="AW86">
        <v>74</v>
      </c>
      <c r="AX86">
        <v>-0.24</v>
      </c>
      <c r="AY86">
        <v>51</v>
      </c>
      <c r="AZ86">
        <v>6.4</v>
      </c>
      <c r="BA86">
        <v>43</v>
      </c>
      <c r="BB86">
        <v>4.71</v>
      </c>
      <c r="BC86">
        <v>44</v>
      </c>
      <c r="BD86">
        <v>0.01</v>
      </c>
      <c r="BE86">
        <v>0.03</v>
      </c>
      <c r="BF86">
        <v>0.11</v>
      </c>
      <c r="BG86">
        <v>73</v>
      </c>
      <c r="BH86">
        <v>0.16</v>
      </c>
      <c r="BI86">
        <v>-1.7</v>
      </c>
      <c r="BJ86">
        <v>1</v>
      </c>
      <c r="BK86">
        <v>1</v>
      </c>
      <c r="BL86">
        <v>-1.1299999999999999</v>
      </c>
      <c r="BM86">
        <v>-0.38</v>
      </c>
      <c r="BN86">
        <v>-1.17</v>
      </c>
      <c r="BO86">
        <v>-1.07</v>
      </c>
      <c r="BP86">
        <v>-0.5</v>
      </c>
      <c r="BQ86">
        <v>0.35</v>
      </c>
      <c r="BR86">
        <v>0.26</v>
      </c>
      <c r="BS86">
        <v>-1.61</v>
      </c>
      <c r="BT86">
        <v>-1.03</v>
      </c>
      <c r="BU86">
        <v>0.94</v>
      </c>
      <c r="BV86">
        <v>0.41</v>
      </c>
      <c r="BW86">
        <v>1.29</v>
      </c>
      <c r="BX86">
        <v>-0.17</v>
      </c>
      <c r="BY86">
        <v>0</v>
      </c>
      <c r="BZ86">
        <v>-0.85</v>
      </c>
      <c r="CA86">
        <v>-0.12</v>
      </c>
      <c r="CB86">
        <v>0.57999999999999996</v>
      </c>
      <c r="CC86">
        <v>-1.66</v>
      </c>
      <c r="CD86">
        <v>-0.36</v>
      </c>
      <c r="CE86">
        <v>-0.85</v>
      </c>
      <c r="CF86">
        <v>-1.53</v>
      </c>
      <c r="CG86">
        <v>0</v>
      </c>
      <c r="CH86">
        <v>2.52</v>
      </c>
      <c r="CI86">
        <v>0</v>
      </c>
      <c r="CJ86">
        <v>-7.9</v>
      </c>
      <c r="CK86">
        <v>63</v>
      </c>
      <c r="CL86">
        <v>-0.8</v>
      </c>
      <c r="CM86">
        <v>60</v>
      </c>
      <c r="CN86">
        <v>0</v>
      </c>
      <c r="CO86">
        <v>59</v>
      </c>
      <c r="CP86">
        <v>-11.4</v>
      </c>
      <c r="CQ86">
        <v>51</v>
      </c>
      <c r="CR86">
        <v>0</v>
      </c>
      <c r="CS86">
        <v>0</v>
      </c>
      <c r="CT86">
        <v>-1.1000000000000001</v>
      </c>
      <c r="CU86">
        <v>49</v>
      </c>
      <c r="CV86">
        <v>-0.03</v>
      </c>
      <c r="CW86">
        <v>40</v>
      </c>
      <c r="CX86" t="s">
        <v>5961</v>
      </c>
    </row>
    <row r="87" spans="1:102" x14ac:dyDescent="0.3">
      <c r="A87" t="str">
        <f>HYPERLINK("https://webapp.icbf.com/v2/app/bull-search/view/1480623231","FR4531")</f>
        <v>FR4531</v>
      </c>
      <c r="B87" t="s">
        <v>13873</v>
      </c>
      <c r="C87" t="s">
        <v>13874</v>
      </c>
      <c r="D87" s="1">
        <v>42786</v>
      </c>
      <c r="E87" t="s">
        <v>92</v>
      </c>
      <c r="F87">
        <v>94</v>
      </c>
      <c r="G87" t="s">
        <v>435</v>
      </c>
      <c r="H87">
        <v>250.73</v>
      </c>
      <c r="I87">
        <v>71</v>
      </c>
      <c r="J87">
        <v>42.06</v>
      </c>
      <c r="K87">
        <v>89</v>
      </c>
      <c r="L87">
        <v>149.43</v>
      </c>
      <c r="M87">
        <v>64</v>
      </c>
      <c r="N87">
        <v>44.93</v>
      </c>
      <c r="O87">
        <v>80</v>
      </c>
      <c r="P87">
        <v>-14.49</v>
      </c>
      <c r="Q87">
        <v>49</v>
      </c>
      <c r="R87">
        <v>5.46</v>
      </c>
      <c r="S87">
        <v>63</v>
      </c>
      <c r="T87">
        <v>14.71</v>
      </c>
      <c r="U87">
        <v>41</v>
      </c>
      <c r="V87">
        <v>8.6300000000000008</v>
      </c>
      <c r="W87">
        <v>59</v>
      </c>
      <c r="X87" t="s">
        <v>94</v>
      </c>
      <c r="Y87" t="s">
        <v>2384</v>
      </c>
      <c r="Z87" t="s">
        <v>96</v>
      </c>
      <c r="AA87" t="s">
        <v>13875</v>
      </c>
      <c r="AB87" t="s">
        <v>13876</v>
      </c>
      <c r="AC87">
        <v>0</v>
      </c>
      <c r="AD87">
        <v>0</v>
      </c>
      <c r="AE87">
        <v>89</v>
      </c>
      <c r="AF87">
        <v>-119.63</v>
      </c>
      <c r="AG87">
        <v>8.8800000000000008</v>
      </c>
      <c r="AH87">
        <v>2.1800000000000002</v>
      </c>
      <c r="AI87">
        <v>0.23</v>
      </c>
      <c r="AJ87">
        <v>0.11</v>
      </c>
      <c r="AK87">
        <v>64</v>
      </c>
      <c r="AL87">
        <v>0</v>
      </c>
      <c r="AM87">
        <v>0</v>
      </c>
      <c r="AN87">
        <v>-7.93</v>
      </c>
      <c r="AO87">
        <v>3.99</v>
      </c>
      <c r="AP87">
        <v>200</v>
      </c>
      <c r="AQ87">
        <v>0</v>
      </c>
      <c r="AR87">
        <v>4.8499999999999996</v>
      </c>
      <c r="AS87">
        <v>71</v>
      </c>
      <c r="AT87">
        <v>2.59</v>
      </c>
      <c r="AU87">
        <v>86</v>
      </c>
      <c r="AV87">
        <v>-3.93</v>
      </c>
      <c r="AW87">
        <v>96</v>
      </c>
      <c r="AX87">
        <v>-0.84</v>
      </c>
      <c r="AY87">
        <v>78</v>
      </c>
      <c r="AZ87">
        <v>6.14</v>
      </c>
      <c r="BA87">
        <v>40</v>
      </c>
      <c r="BB87">
        <v>4.92</v>
      </c>
      <c r="BC87">
        <v>37</v>
      </c>
      <c r="BD87">
        <v>-0.04</v>
      </c>
      <c r="BE87">
        <v>-0.01</v>
      </c>
      <c r="BF87">
        <v>-0.04</v>
      </c>
      <c r="BG87">
        <v>73</v>
      </c>
      <c r="BH87">
        <v>0.05</v>
      </c>
      <c r="BI87">
        <v>-22.06</v>
      </c>
      <c r="BJ87">
        <v>0</v>
      </c>
      <c r="BK87">
        <v>0</v>
      </c>
      <c r="BL87">
        <v>-0.06</v>
      </c>
      <c r="BM87">
        <v>-1.1000000000000001</v>
      </c>
      <c r="BN87">
        <v>-1.24</v>
      </c>
      <c r="BO87">
        <v>-0.43</v>
      </c>
      <c r="BP87">
        <v>2.42</v>
      </c>
      <c r="BQ87">
        <v>0.7</v>
      </c>
      <c r="BR87">
        <v>1.57</v>
      </c>
      <c r="BS87">
        <v>-0.68</v>
      </c>
      <c r="BT87">
        <v>-1</v>
      </c>
      <c r="BU87">
        <v>0.19</v>
      </c>
      <c r="BV87">
        <v>-0.46</v>
      </c>
      <c r="BW87">
        <v>-0.19</v>
      </c>
      <c r="BX87">
        <v>0.4</v>
      </c>
      <c r="BY87">
        <v>0.26</v>
      </c>
      <c r="BZ87">
        <v>-1.27</v>
      </c>
      <c r="CA87">
        <v>-0.17</v>
      </c>
      <c r="CB87">
        <v>-0.11</v>
      </c>
      <c r="CC87">
        <v>-0.57999999999999996</v>
      </c>
      <c r="CD87">
        <v>0.17</v>
      </c>
      <c r="CE87">
        <v>-0.18</v>
      </c>
      <c r="CF87">
        <v>-0.17</v>
      </c>
      <c r="CG87">
        <v>0</v>
      </c>
      <c r="CH87">
        <v>0.35</v>
      </c>
      <c r="CI87">
        <v>0</v>
      </c>
      <c r="CJ87">
        <v>-7.2</v>
      </c>
      <c r="CK87">
        <v>51</v>
      </c>
      <c r="CL87">
        <v>-0.77</v>
      </c>
      <c r="CM87">
        <v>46</v>
      </c>
      <c r="CN87">
        <v>-0.36</v>
      </c>
      <c r="CO87">
        <v>46</v>
      </c>
      <c r="CP87">
        <v>-5.5</v>
      </c>
      <c r="CQ87">
        <v>42</v>
      </c>
      <c r="CR87">
        <v>0</v>
      </c>
      <c r="CS87">
        <v>0</v>
      </c>
      <c r="CT87">
        <v>-6.1</v>
      </c>
      <c r="CU87">
        <v>41</v>
      </c>
      <c r="CV87">
        <v>0.15</v>
      </c>
      <c r="CW87">
        <v>35</v>
      </c>
      <c r="CX87" t="s">
        <v>4781</v>
      </c>
    </row>
    <row r="88" spans="1:102" x14ac:dyDescent="0.3">
      <c r="A88" t="str">
        <f>HYPERLINK("https://webapp.icbf.com/v2/app/bull-search/view/1013738000","JE2455")</f>
        <v>JE2455</v>
      </c>
      <c r="B88" t="s">
        <v>2340</v>
      </c>
      <c r="C88" t="s">
        <v>2341</v>
      </c>
      <c r="D88" s="1">
        <v>40579</v>
      </c>
      <c r="E88" t="s">
        <v>227</v>
      </c>
      <c r="F88">
        <v>0</v>
      </c>
      <c r="G88" t="s">
        <v>109</v>
      </c>
      <c r="H88">
        <v>250.49</v>
      </c>
      <c r="I88">
        <v>81</v>
      </c>
      <c r="J88">
        <v>120.63</v>
      </c>
      <c r="K88">
        <v>93</v>
      </c>
      <c r="L88">
        <v>90.1</v>
      </c>
      <c r="M88">
        <v>69</v>
      </c>
      <c r="N88">
        <v>40.479999999999997</v>
      </c>
      <c r="O88">
        <v>88</v>
      </c>
      <c r="P88">
        <v>-50.78</v>
      </c>
      <c r="Q88">
        <v>83</v>
      </c>
      <c r="R88">
        <v>0.52</v>
      </c>
      <c r="S88">
        <v>74</v>
      </c>
      <c r="T88">
        <v>37.28</v>
      </c>
      <c r="U88">
        <v>72</v>
      </c>
      <c r="V88">
        <v>12.26</v>
      </c>
      <c r="W88">
        <v>75</v>
      </c>
      <c r="X88" t="s">
        <v>276</v>
      </c>
      <c r="Y88" t="s">
        <v>429</v>
      </c>
      <c r="Z88">
        <v>0</v>
      </c>
      <c r="AA88" t="s">
        <v>2276</v>
      </c>
      <c r="AB88" t="s">
        <v>2342</v>
      </c>
      <c r="AC88">
        <v>0</v>
      </c>
      <c r="AD88">
        <v>0</v>
      </c>
      <c r="AE88">
        <v>93</v>
      </c>
      <c r="AF88">
        <v>-438.74</v>
      </c>
      <c r="AG88">
        <v>22.67</v>
      </c>
      <c r="AH88">
        <v>5.78</v>
      </c>
      <c r="AI88">
        <v>0.75</v>
      </c>
      <c r="AJ88">
        <v>0.39</v>
      </c>
      <c r="AK88">
        <v>69</v>
      </c>
      <c r="AL88">
        <v>0</v>
      </c>
      <c r="AM88">
        <v>0</v>
      </c>
      <c r="AN88">
        <v>-4.58</v>
      </c>
      <c r="AO88">
        <v>2.61</v>
      </c>
      <c r="AP88">
        <v>808</v>
      </c>
      <c r="AQ88">
        <v>0</v>
      </c>
      <c r="AR88">
        <v>3.87</v>
      </c>
      <c r="AS88">
        <v>93</v>
      </c>
      <c r="AT88">
        <v>1.87</v>
      </c>
      <c r="AU88">
        <v>94</v>
      </c>
      <c r="AV88">
        <v>-3.08</v>
      </c>
      <c r="AW88">
        <v>99</v>
      </c>
      <c r="AX88">
        <v>0.35</v>
      </c>
      <c r="AY88">
        <v>92</v>
      </c>
      <c r="AZ88">
        <v>6.93</v>
      </c>
      <c r="BA88">
        <v>61</v>
      </c>
      <c r="BB88">
        <v>4.9000000000000004</v>
      </c>
      <c r="BC88">
        <v>44</v>
      </c>
      <c r="BD88">
        <v>-0.06</v>
      </c>
      <c r="BE88">
        <v>0.02</v>
      </c>
      <c r="BF88">
        <v>0.05</v>
      </c>
      <c r="BG88">
        <v>83</v>
      </c>
      <c r="BH88">
        <v>0.23</v>
      </c>
      <c r="BI88">
        <v>-12.95</v>
      </c>
      <c r="BJ88">
        <v>0</v>
      </c>
      <c r="BK88">
        <v>0</v>
      </c>
      <c r="BL88">
        <v>-3.12</v>
      </c>
      <c r="BM88">
        <v>-1.59</v>
      </c>
      <c r="BN88">
        <v>-0.14000000000000001</v>
      </c>
      <c r="BO88">
        <v>1.17</v>
      </c>
      <c r="BP88">
        <v>-0.77</v>
      </c>
      <c r="BQ88">
        <v>-5.75</v>
      </c>
      <c r="BR88">
        <v>3.18</v>
      </c>
      <c r="BS88">
        <v>6.16</v>
      </c>
      <c r="BT88">
        <v>-1.37</v>
      </c>
      <c r="BU88">
        <v>-1.51</v>
      </c>
      <c r="BV88">
        <v>-0.87</v>
      </c>
      <c r="BW88">
        <v>-2.96</v>
      </c>
      <c r="BX88">
        <v>-4.3899999999999997</v>
      </c>
      <c r="BY88">
        <v>-0.28000000000000003</v>
      </c>
      <c r="BZ88">
        <v>-0.93</v>
      </c>
      <c r="CA88">
        <v>0.51</v>
      </c>
      <c r="CB88">
        <v>-1.1100000000000001</v>
      </c>
      <c r="CC88">
        <v>3.76</v>
      </c>
      <c r="CD88">
        <v>-2.19</v>
      </c>
      <c r="CE88">
        <v>0.64</v>
      </c>
      <c r="CF88">
        <v>-3.35</v>
      </c>
      <c r="CG88">
        <v>0</v>
      </c>
      <c r="CH88">
        <v>-1.38</v>
      </c>
      <c r="CI88">
        <v>0</v>
      </c>
      <c r="CJ88">
        <v>-24.3</v>
      </c>
      <c r="CK88">
        <v>87</v>
      </c>
      <c r="CL88">
        <v>-1.17</v>
      </c>
      <c r="CM88">
        <v>83</v>
      </c>
      <c r="CN88">
        <v>0</v>
      </c>
      <c r="CO88">
        <v>81</v>
      </c>
      <c r="CP88">
        <v>-34.5</v>
      </c>
      <c r="CQ88">
        <v>60</v>
      </c>
      <c r="CR88">
        <v>0</v>
      </c>
      <c r="CS88">
        <v>0</v>
      </c>
      <c r="CT88">
        <v>-36.6</v>
      </c>
      <c r="CU88">
        <v>72</v>
      </c>
      <c r="CV88">
        <v>-0.16</v>
      </c>
      <c r="CW88">
        <v>44</v>
      </c>
      <c r="CX88" t="s">
        <v>229</v>
      </c>
    </row>
    <row r="89" spans="1:102" x14ac:dyDescent="0.3">
      <c r="A89" t="str">
        <f>HYPERLINK("https://webapp.icbf.com/v2/app/bull-search/view/1356882152","FR4123")</f>
        <v>FR4123</v>
      </c>
      <c r="B89" t="s">
        <v>6171</v>
      </c>
      <c r="C89" t="s">
        <v>6172</v>
      </c>
      <c r="D89" s="1">
        <v>42406</v>
      </c>
      <c r="E89" t="s">
        <v>92</v>
      </c>
      <c r="F89">
        <v>84</v>
      </c>
      <c r="G89" t="s">
        <v>435</v>
      </c>
      <c r="H89">
        <v>249.62</v>
      </c>
      <c r="I89">
        <v>73</v>
      </c>
      <c r="J89">
        <v>83.8</v>
      </c>
      <c r="K89">
        <v>88</v>
      </c>
      <c r="L89">
        <v>108.57</v>
      </c>
      <c r="M89">
        <v>61</v>
      </c>
      <c r="N89">
        <v>56.82</v>
      </c>
      <c r="O89">
        <v>88</v>
      </c>
      <c r="P89">
        <v>-9.18</v>
      </c>
      <c r="Q89">
        <v>75</v>
      </c>
      <c r="R89">
        <v>11.38</v>
      </c>
      <c r="S89">
        <v>60</v>
      </c>
      <c r="T89">
        <v>0.8</v>
      </c>
      <c r="U89">
        <v>52</v>
      </c>
      <c r="V89">
        <v>-2.57</v>
      </c>
      <c r="W89">
        <v>55</v>
      </c>
      <c r="X89" t="s">
        <v>102</v>
      </c>
      <c r="Y89" t="s">
        <v>436</v>
      </c>
      <c r="Z89" t="s">
        <v>96</v>
      </c>
      <c r="AA89" t="s">
        <v>2499</v>
      </c>
      <c r="AB89" t="s">
        <v>6173</v>
      </c>
      <c r="AC89">
        <v>1</v>
      </c>
      <c r="AD89">
        <v>1</v>
      </c>
      <c r="AE89">
        <v>88</v>
      </c>
      <c r="AF89">
        <v>77.790000000000006</v>
      </c>
      <c r="AG89">
        <v>10.89</v>
      </c>
      <c r="AH89">
        <v>11.59</v>
      </c>
      <c r="AI89">
        <v>0.13</v>
      </c>
      <c r="AJ89">
        <v>0.16</v>
      </c>
      <c r="AK89">
        <v>61</v>
      </c>
      <c r="AL89">
        <v>0</v>
      </c>
      <c r="AM89">
        <v>0</v>
      </c>
      <c r="AN89">
        <v>-6.54</v>
      </c>
      <c r="AO89">
        <v>2.11</v>
      </c>
      <c r="AP89">
        <v>2828</v>
      </c>
      <c r="AQ89">
        <v>8</v>
      </c>
      <c r="AR89">
        <v>4.25</v>
      </c>
      <c r="AS89">
        <v>92</v>
      </c>
      <c r="AT89">
        <v>1.92</v>
      </c>
      <c r="AU89">
        <v>98</v>
      </c>
      <c r="AV89">
        <v>-4.72</v>
      </c>
      <c r="AW89">
        <v>99</v>
      </c>
      <c r="AX89">
        <v>-0.49</v>
      </c>
      <c r="AY89">
        <v>97</v>
      </c>
      <c r="AZ89">
        <v>5.78</v>
      </c>
      <c r="BA89">
        <v>42</v>
      </c>
      <c r="BB89">
        <v>4.8</v>
      </c>
      <c r="BC89">
        <v>39</v>
      </c>
      <c r="BD89">
        <v>-0.04</v>
      </c>
      <c r="BE89">
        <v>-0.05</v>
      </c>
      <c r="BF89">
        <v>-0.1</v>
      </c>
      <c r="BG89">
        <v>71</v>
      </c>
      <c r="BH89">
        <v>-0.11</v>
      </c>
      <c r="BI89">
        <v>-4.42</v>
      </c>
      <c r="BJ89">
        <v>0</v>
      </c>
      <c r="BK89">
        <v>0</v>
      </c>
      <c r="BL89">
        <v>-0.21</v>
      </c>
      <c r="BM89">
        <v>0.54</v>
      </c>
      <c r="BN89">
        <v>-0.97</v>
      </c>
      <c r="BO89">
        <v>-0.64</v>
      </c>
      <c r="BP89">
        <v>-0.24</v>
      </c>
      <c r="BQ89">
        <v>-1.42</v>
      </c>
      <c r="BR89">
        <v>0.46</v>
      </c>
      <c r="BS89">
        <v>0.34</v>
      </c>
      <c r="BT89">
        <v>-0.85</v>
      </c>
      <c r="BU89">
        <v>1.73</v>
      </c>
      <c r="BV89">
        <v>-0.14000000000000001</v>
      </c>
      <c r="BW89">
        <v>-0.27</v>
      </c>
      <c r="BX89">
        <v>0.4</v>
      </c>
      <c r="BY89">
        <v>0.12</v>
      </c>
      <c r="BZ89">
        <v>-1.02</v>
      </c>
      <c r="CA89">
        <v>0.23</v>
      </c>
      <c r="CB89">
        <v>0.43</v>
      </c>
      <c r="CC89">
        <v>0.02</v>
      </c>
      <c r="CD89">
        <v>1.1599999999999999</v>
      </c>
      <c r="CE89">
        <v>-0.35</v>
      </c>
      <c r="CF89">
        <v>0.2</v>
      </c>
      <c r="CG89">
        <v>0</v>
      </c>
      <c r="CH89">
        <v>7.0000000000000007E-2</v>
      </c>
      <c r="CI89">
        <v>0</v>
      </c>
      <c r="CJ89">
        <v>-1.6</v>
      </c>
      <c r="CK89">
        <v>80</v>
      </c>
      <c r="CL89">
        <v>-0.84</v>
      </c>
      <c r="CM89">
        <v>73</v>
      </c>
      <c r="CN89">
        <v>-0.1</v>
      </c>
      <c r="CO89">
        <v>71</v>
      </c>
      <c r="CP89">
        <v>3.5</v>
      </c>
      <c r="CQ89">
        <v>54</v>
      </c>
      <c r="CR89">
        <v>0</v>
      </c>
      <c r="CS89">
        <v>0</v>
      </c>
      <c r="CT89">
        <v>12.7</v>
      </c>
      <c r="CU89">
        <v>52</v>
      </c>
      <c r="CV89">
        <v>0.15</v>
      </c>
      <c r="CW89">
        <v>42</v>
      </c>
      <c r="CX89" t="s">
        <v>1932</v>
      </c>
    </row>
    <row r="90" spans="1:102" x14ac:dyDescent="0.3">
      <c r="A90" t="str">
        <f>HYPERLINK("https://webapp.icbf.com/v2/app/bull-search/view/1256052111","FR2240")</f>
        <v>FR2240</v>
      </c>
      <c r="B90" t="s">
        <v>15159</v>
      </c>
      <c r="C90" t="s">
        <v>15160</v>
      </c>
      <c r="D90" s="1">
        <v>42071</v>
      </c>
      <c r="E90" t="s">
        <v>92</v>
      </c>
      <c r="F90">
        <v>56</v>
      </c>
      <c r="G90" t="s">
        <v>93</v>
      </c>
      <c r="H90">
        <v>247.42</v>
      </c>
      <c r="I90">
        <v>82</v>
      </c>
      <c r="J90">
        <v>96.78</v>
      </c>
      <c r="K90">
        <v>94</v>
      </c>
      <c r="L90">
        <v>120.92</v>
      </c>
      <c r="M90">
        <v>71</v>
      </c>
      <c r="N90">
        <v>15.64</v>
      </c>
      <c r="O90">
        <v>84</v>
      </c>
      <c r="P90">
        <v>-24.4</v>
      </c>
      <c r="Q90">
        <v>84</v>
      </c>
      <c r="R90">
        <v>6.87</v>
      </c>
      <c r="S90">
        <v>72</v>
      </c>
      <c r="T90">
        <v>20.78</v>
      </c>
      <c r="U90">
        <v>81</v>
      </c>
      <c r="V90">
        <v>10.83</v>
      </c>
      <c r="W90">
        <v>70</v>
      </c>
      <c r="X90" t="s">
        <v>94</v>
      </c>
      <c r="Y90" t="s">
        <v>416</v>
      </c>
      <c r="Z90" t="s">
        <v>330</v>
      </c>
      <c r="AA90" t="s">
        <v>2366</v>
      </c>
      <c r="AB90" t="s">
        <v>15161</v>
      </c>
      <c r="AC90">
        <v>97</v>
      </c>
      <c r="AD90">
        <v>42</v>
      </c>
      <c r="AE90">
        <v>94</v>
      </c>
      <c r="AF90">
        <v>148.65</v>
      </c>
      <c r="AG90">
        <v>15.22</v>
      </c>
      <c r="AH90">
        <v>13.35</v>
      </c>
      <c r="AI90">
        <v>0.16</v>
      </c>
      <c r="AJ90">
        <v>0.14000000000000001</v>
      </c>
      <c r="AK90">
        <v>71</v>
      </c>
      <c r="AL90">
        <v>0</v>
      </c>
      <c r="AM90">
        <v>0</v>
      </c>
      <c r="AN90">
        <v>-6.83</v>
      </c>
      <c r="AO90">
        <v>2.81</v>
      </c>
      <c r="AP90">
        <v>311</v>
      </c>
      <c r="AQ90">
        <v>0</v>
      </c>
      <c r="AR90">
        <v>6.02</v>
      </c>
      <c r="AS90">
        <v>70</v>
      </c>
      <c r="AT90">
        <v>2.2000000000000002</v>
      </c>
      <c r="AU90">
        <v>89</v>
      </c>
      <c r="AV90">
        <v>-1.05</v>
      </c>
      <c r="AW90">
        <v>97</v>
      </c>
      <c r="AX90">
        <v>-0.24</v>
      </c>
      <c r="AY90">
        <v>83</v>
      </c>
      <c r="AZ90">
        <v>7.21</v>
      </c>
      <c r="BA90">
        <v>64</v>
      </c>
      <c r="BB90">
        <v>5.6</v>
      </c>
      <c r="BC90">
        <v>44</v>
      </c>
      <c r="BD90">
        <v>-0.03</v>
      </c>
      <c r="BE90">
        <v>-0.02</v>
      </c>
      <c r="BF90">
        <v>-7.0000000000000007E-2</v>
      </c>
      <c r="BG90">
        <v>84</v>
      </c>
      <c r="BH90">
        <v>0.21</v>
      </c>
      <c r="BI90">
        <v>-10.64</v>
      </c>
      <c r="BJ90">
        <v>0</v>
      </c>
      <c r="BK90">
        <v>0</v>
      </c>
      <c r="BL90">
        <v>-2.54</v>
      </c>
      <c r="BM90">
        <v>-1.1599999999999999</v>
      </c>
      <c r="BN90">
        <v>-2.02</v>
      </c>
      <c r="BO90">
        <v>-0.7</v>
      </c>
      <c r="BP90">
        <v>1.72</v>
      </c>
      <c r="BQ90">
        <v>-3.07</v>
      </c>
      <c r="BR90">
        <v>0.82</v>
      </c>
      <c r="BS90">
        <v>0.16</v>
      </c>
      <c r="BT90">
        <v>-1.43</v>
      </c>
      <c r="BU90">
        <v>-1.62</v>
      </c>
      <c r="BV90">
        <v>-1.42</v>
      </c>
      <c r="BW90">
        <v>-1.35</v>
      </c>
      <c r="BX90">
        <v>-1.97</v>
      </c>
      <c r="BY90">
        <v>-1.8</v>
      </c>
      <c r="BZ90">
        <v>0.23</v>
      </c>
      <c r="CA90">
        <v>-1.25</v>
      </c>
      <c r="CB90">
        <v>-1.56</v>
      </c>
      <c r="CC90">
        <v>-0.12</v>
      </c>
      <c r="CD90">
        <v>0.69</v>
      </c>
      <c r="CE90">
        <v>-0.4</v>
      </c>
      <c r="CF90">
        <v>-2.57</v>
      </c>
      <c r="CG90">
        <v>0</v>
      </c>
      <c r="CH90">
        <v>-1.29</v>
      </c>
      <c r="CI90">
        <v>0</v>
      </c>
      <c r="CJ90">
        <v>-13.6</v>
      </c>
      <c r="CK90">
        <v>87</v>
      </c>
      <c r="CL90">
        <v>-0.59</v>
      </c>
      <c r="CM90">
        <v>82</v>
      </c>
      <c r="CN90">
        <v>-0.24</v>
      </c>
      <c r="CO90">
        <v>81</v>
      </c>
      <c r="CP90">
        <v>-15.7</v>
      </c>
      <c r="CQ90">
        <v>67</v>
      </c>
      <c r="CR90">
        <v>0</v>
      </c>
      <c r="CS90">
        <v>0</v>
      </c>
      <c r="CT90">
        <v>-14.3</v>
      </c>
      <c r="CU90">
        <v>81</v>
      </c>
      <c r="CV90">
        <v>-0.08</v>
      </c>
      <c r="CW90">
        <v>44</v>
      </c>
      <c r="CX90" t="s">
        <v>1229</v>
      </c>
    </row>
    <row r="91" spans="1:102" x14ac:dyDescent="0.3">
      <c r="A91" t="str">
        <f>HYPERLINK("https://webapp.icbf.com/v2/app/bull-search/view/1354258535","FR4164")</f>
        <v>FR4164</v>
      </c>
      <c r="B91" t="s">
        <v>13947</v>
      </c>
      <c r="C91" t="s">
        <v>13948</v>
      </c>
      <c r="D91" s="1">
        <v>42399</v>
      </c>
      <c r="E91" t="s">
        <v>92</v>
      </c>
      <c r="F91">
        <v>78</v>
      </c>
      <c r="G91" t="s">
        <v>435</v>
      </c>
      <c r="H91">
        <v>247.04</v>
      </c>
      <c r="I91">
        <v>74</v>
      </c>
      <c r="J91">
        <v>55.03</v>
      </c>
      <c r="K91">
        <v>88</v>
      </c>
      <c r="L91">
        <v>134.71</v>
      </c>
      <c r="M91">
        <v>62</v>
      </c>
      <c r="N91">
        <v>44.34</v>
      </c>
      <c r="O91">
        <v>87</v>
      </c>
      <c r="P91">
        <v>-17.739999999999998</v>
      </c>
      <c r="Q91">
        <v>83</v>
      </c>
      <c r="R91">
        <v>10.16</v>
      </c>
      <c r="S91">
        <v>62</v>
      </c>
      <c r="T91">
        <v>19.670000000000002</v>
      </c>
      <c r="U91">
        <v>60</v>
      </c>
      <c r="V91">
        <v>0.87</v>
      </c>
      <c r="W91">
        <v>54</v>
      </c>
      <c r="X91" t="s">
        <v>94</v>
      </c>
      <c r="Y91" t="s">
        <v>2255</v>
      </c>
      <c r="Z91" t="s">
        <v>330</v>
      </c>
      <c r="AA91" t="s">
        <v>437</v>
      </c>
      <c r="AB91" t="s">
        <v>13949</v>
      </c>
      <c r="AC91">
        <v>1</v>
      </c>
      <c r="AD91">
        <v>1</v>
      </c>
      <c r="AE91">
        <v>88</v>
      </c>
      <c r="AF91">
        <v>121.99</v>
      </c>
      <c r="AG91">
        <v>8.27</v>
      </c>
      <c r="AH91">
        <v>8.3000000000000007</v>
      </c>
      <c r="AI91">
        <v>0.06</v>
      </c>
      <c r="AJ91">
        <v>7.0000000000000007E-2</v>
      </c>
      <c r="AK91">
        <v>62</v>
      </c>
      <c r="AL91">
        <v>0</v>
      </c>
      <c r="AM91">
        <v>0</v>
      </c>
      <c r="AN91">
        <v>-6.02</v>
      </c>
      <c r="AO91">
        <v>4.74</v>
      </c>
      <c r="AP91">
        <v>1435</v>
      </c>
      <c r="AQ91">
        <v>5</v>
      </c>
      <c r="AR91">
        <v>7.02</v>
      </c>
      <c r="AS91">
        <v>77</v>
      </c>
      <c r="AT91">
        <v>2.63</v>
      </c>
      <c r="AU91">
        <v>97</v>
      </c>
      <c r="AV91">
        <v>-4.7300000000000004</v>
      </c>
      <c r="AW91">
        <v>99</v>
      </c>
      <c r="AX91">
        <v>0</v>
      </c>
      <c r="AY91">
        <v>95</v>
      </c>
      <c r="AZ91">
        <v>6.37</v>
      </c>
      <c r="BA91">
        <v>44</v>
      </c>
      <c r="BB91">
        <v>4.7699999999999996</v>
      </c>
      <c r="BC91">
        <v>44</v>
      </c>
      <c r="BD91">
        <v>-0.04</v>
      </c>
      <c r="BE91">
        <v>-0.03</v>
      </c>
      <c r="BF91">
        <v>-0.11</v>
      </c>
      <c r="BG91">
        <v>71</v>
      </c>
      <c r="BH91">
        <v>0.08</v>
      </c>
      <c r="BI91">
        <v>6.46</v>
      </c>
      <c r="BJ91">
        <v>0</v>
      </c>
      <c r="BK91">
        <v>0</v>
      </c>
      <c r="BL91">
        <v>-1.35</v>
      </c>
      <c r="BM91">
        <v>-0.3</v>
      </c>
      <c r="BN91">
        <v>-1.3</v>
      </c>
      <c r="BO91">
        <v>-1.29</v>
      </c>
      <c r="BP91">
        <v>3.01</v>
      </c>
      <c r="BQ91">
        <v>-1.77</v>
      </c>
      <c r="BR91">
        <v>0.27</v>
      </c>
      <c r="BS91">
        <v>-0.55000000000000004</v>
      </c>
      <c r="BT91">
        <v>-1.4</v>
      </c>
      <c r="BU91">
        <v>-0.39</v>
      </c>
      <c r="BV91">
        <v>-0.55000000000000004</v>
      </c>
      <c r="BW91">
        <v>0.45</v>
      </c>
      <c r="BX91">
        <v>-0.69</v>
      </c>
      <c r="BY91">
        <v>0.22</v>
      </c>
      <c r="BZ91">
        <v>-1.54</v>
      </c>
      <c r="CA91">
        <v>-0.36</v>
      </c>
      <c r="CB91">
        <v>-0.31</v>
      </c>
      <c r="CC91">
        <v>-0.47</v>
      </c>
      <c r="CD91">
        <v>1.46</v>
      </c>
      <c r="CE91">
        <v>-0.54</v>
      </c>
      <c r="CF91">
        <v>-0.67</v>
      </c>
      <c r="CG91">
        <v>0</v>
      </c>
      <c r="CH91">
        <v>-0.21</v>
      </c>
      <c r="CI91">
        <v>0</v>
      </c>
      <c r="CJ91">
        <v>-10</v>
      </c>
      <c r="CK91">
        <v>87</v>
      </c>
      <c r="CL91">
        <v>-0.64</v>
      </c>
      <c r="CM91">
        <v>82</v>
      </c>
      <c r="CN91">
        <v>-0.33</v>
      </c>
      <c r="CO91">
        <v>81</v>
      </c>
      <c r="CP91">
        <v>-8</v>
      </c>
      <c r="CQ91">
        <v>60</v>
      </c>
      <c r="CR91">
        <v>0</v>
      </c>
      <c r="CS91">
        <v>0</v>
      </c>
      <c r="CT91">
        <v>-12.8</v>
      </c>
      <c r="CU91">
        <v>60</v>
      </c>
      <c r="CV91">
        <v>0.04</v>
      </c>
      <c r="CW91">
        <v>44</v>
      </c>
      <c r="CX91" t="s">
        <v>2514</v>
      </c>
    </row>
    <row r="92" spans="1:102" x14ac:dyDescent="0.3">
      <c r="A92" t="str">
        <f>HYPERLINK("https://webapp.icbf.com/v2/app/bull-search/view/1489614739","FR4545")</f>
        <v>FR4545</v>
      </c>
      <c r="B92" t="s">
        <v>13936</v>
      </c>
      <c r="C92" t="s">
        <v>13937</v>
      </c>
      <c r="D92" s="1">
        <v>42798</v>
      </c>
      <c r="E92" t="s">
        <v>92</v>
      </c>
      <c r="F92">
        <v>84</v>
      </c>
      <c r="G92" t="s">
        <v>435</v>
      </c>
      <c r="H92">
        <v>246.45</v>
      </c>
      <c r="I92">
        <v>73</v>
      </c>
      <c r="J92">
        <v>75.95</v>
      </c>
      <c r="K92">
        <v>91</v>
      </c>
      <c r="L92">
        <v>94.6</v>
      </c>
      <c r="M92">
        <v>68</v>
      </c>
      <c r="N92">
        <v>59.79</v>
      </c>
      <c r="O92">
        <v>81</v>
      </c>
      <c r="P92">
        <v>-4.8899999999999997</v>
      </c>
      <c r="Q92">
        <v>49</v>
      </c>
      <c r="R92">
        <v>12.38</v>
      </c>
      <c r="S92">
        <v>68</v>
      </c>
      <c r="T92">
        <v>7.09</v>
      </c>
      <c r="U92">
        <v>47</v>
      </c>
      <c r="V92">
        <v>1.53</v>
      </c>
      <c r="W92">
        <v>62</v>
      </c>
      <c r="X92" t="s">
        <v>94</v>
      </c>
      <c r="Y92" t="s">
        <v>2384</v>
      </c>
      <c r="Z92" t="s">
        <v>96</v>
      </c>
      <c r="AA92" t="s">
        <v>2372</v>
      </c>
      <c r="AB92" t="s">
        <v>13938</v>
      </c>
      <c r="AC92">
        <v>0</v>
      </c>
      <c r="AD92">
        <v>0</v>
      </c>
      <c r="AE92">
        <v>91</v>
      </c>
      <c r="AF92">
        <v>453.42</v>
      </c>
      <c r="AG92">
        <v>10</v>
      </c>
      <c r="AH92">
        <v>16.32</v>
      </c>
      <c r="AI92">
        <v>-0.13</v>
      </c>
      <c r="AJ92">
        <v>0.02</v>
      </c>
      <c r="AK92">
        <v>68</v>
      </c>
      <c r="AL92">
        <v>0</v>
      </c>
      <c r="AM92">
        <v>0</v>
      </c>
      <c r="AN92">
        <v>-3.94</v>
      </c>
      <c r="AO92">
        <v>3.62</v>
      </c>
      <c r="AP92">
        <v>230</v>
      </c>
      <c r="AQ92">
        <v>5</v>
      </c>
      <c r="AR92">
        <v>4.51</v>
      </c>
      <c r="AS92">
        <v>63</v>
      </c>
      <c r="AT92">
        <v>1.8</v>
      </c>
      <c r="AU92">
        <v>87</v>
      </c>
      <c r="AV92">
        <v>-4.4800000000000004</v>
      </c>
      <c r="AW92">
        <v>96</v>
      </c>
      <c r="AX92">
        <v>-0.52</v>
      </c>
      <c r="AY92">
        <v>79</v>
      </c>
      <c r="AZ92">
        <v>4.7300000000000004</v>
      </c>
      <c r="BA92">
        <v>46</v>
      </c>
      <c r="BB92">
        <v>4.1100000000000003</v>
      </c>
      <c r="BC92">
        <v>47</v>
      </c>
      <c r="BD92">
        <v>-0.04</v>
      </c>
      <c r="BE92">
        <v>-0.02</v>
      </c>
      <c r="BF92">
        <v>-0.18</v>
      </c>
      <c r="BG92">
        <v>77</v>
      </c>
      <c r="BH92">
        <v>-0.03</v>
      </c>
      <c r="BI92">
        <v>-8.4</v>
      </c>
      <c r="BJ92">
        <v>0</v>
      </c>
      <c r="BK92">
        <v>0</v>
      </c>
      <c r="BL92">
        <v>-0.6</v>
      </c>
      <c r="BM92">
        <v>-1.02</v>
      </c>
      <c r="BN92">
        <v>-1.51</v>
      </c>
      <c r="BO92">
        <v>-0.69</v>
      </c>
      <c r="BP92">
        <v>0.91</v>
      </c>
      <c r="BQ92">
        <v>-3.29</v>
      </c>
      <c r="BR92">
        <v>2.72</v>
      </c>
      <c r="BS92">
        <v>-3.06</v>
      </c>
      <c r="BT92">
        <v>-2.58</v>
      </c>
      <c r="BU92">
        <v>-1.66</v>
      </c>
      <c r="BV92">
        <v>-2.02</v>
      </c>
      <c r="BW92">
        <v>-0.93</v>
      </c>
      <c r="BX92">
        <v>-0.08</v>
      </c>
      <c r="BY92">
        <v>-1.06</v>
      </c>
      <c r="BZ92">
        <v>-1.72</v>
      </c>
      <c r="CA92">
        <v>-1.1599999999999999</v>
      </c>
      <c r="CB92">
        <v>-0.96</v>
      </c>
      <c r="CC92">
        <v>-2.12</v>
      </c>
      <c r="CD92">
        <v>-0.43</v>
      </c>
      <c r="CE92">
        <v>0.25</v>
      </c>
      <c r="CF92">
        <v>-0.35</v>
      </c>
      <c r="CG92">
        <v>0</v>
      </c>
      <c r="CH92">
        <v>-0.39</v>
      </c>
      <c r="CI92">
        <v>0</v>
      </c>
      <c r="CJ92">
        <v>-1.1000000000000001</v>
      </c>
      <c r="CK92">
        <v>50</v>
      </c>
      <c r="CL92">
        <v>-0.87</v>
      </c>
      <c r="CM92">
        <v>47</v>
      </c>
      <c r="CN92">
        <v>-0.49</v>
      </c>
      <c r="CO92">
        <v>46</v>
      </c>
      <c r="CP92">
        <v>-0.9</v>
      </c>
      <c r="CQ92">
        <v>47</v>
      </c>
      <c r="CR92">
        <v>0</v>
      </c>
      <c r="CS92">
        <v>0</v>
      </c>
      <c r="CT92">
        <v>4.2</v>
      </c>
      <c r="CU92">
        <v>47</v>
      </c>
      <c r="CV92">
        <v>0.17</v>
      </c>
      <c r="CW92">
        <v>35</v>
      </c>
      <c r="CX92" t="s">
        <v>1861</v>
      </c>
    </row>
    <row r="93" spans="1:102" x14ac:dyDescent="0.3">
      <c r="A93" t="str">
        <f>HYPERLINK("https://webapp.icbf.com/v2/app/bull-search/view/1476102532","FR4432")</f>
        <v>FR4432</v>
      </c>
      <c r="B93" t="s">
        <v>7977</v>
      </c>
      <c r="C93" t="s">
        <v>7978</v>
      </c>
      <c r="D93" s="1">
        <v>42774</v>
      </c>
      <c r="E93" t="s">
        <v>92</v>
      </c>
      <c r="F93">
        <v>75</v>
      </c>
      <c r="G93" t="s">
        <v>435</v>
      </c>
      <c r="H93">
        <v>246.34</v>
      </c>
      <c r="I93">
        <v>71</v>
      </c>
      <c r="J93">
        <v>106.88</v>
      </c>
      <c r="K93">
        <v>89</v>
      </c>
      <c r="L93">
        <v>82.28</v>
      </c>
      <c r="M93">
        <v>63</v>
      </c>
      <c r="N93">
        <v>41.47</v>
      </c>
      <c r="O93">
        <v>85</v>
      </c>
      <c r="P93">
        <v>-9.56</v>
      </c>
      <c r="Q93">
        <v>53</v>
      </c>
      <c r="R93">
        <v>5.9</v>
      </c>
      <c r="S93">
        <v>63</v>
      </c>
      <c r="T93">
        <v>9.39</v>
      </c>
      <c r="U93">
        <v>47</v>
      </c>
      <c r="V93">
        <v>9.98</v>
      </c>
      <c r="W93">
        <v>56</v>
      </c>
      <c r="X93" t="s">
        <v>102</v>
      </c>
      <c r="Y93" t="s">
        <v>2384</v>
      </c>
      <c r="Z93" t="s">
        <v>330</v>
      </c>
      <c r="AA93" t="s">
        <v>6204</v>
      </c>
      <c r="AB93" t="s">
        <v>7979</v>
      </c>
      <c r="AC93">
        <v>0</v>
      </c>
      <c r="AD93">
        <v>0</v>
      </c>
      <c r="AE93">
        <v>89</v>
      </c>
      <c r="AF93">
        <v>278.91000000000003</v>
      </c>
      <c r="AG93">
        <v>22.97</v>
      </c>
      <c r="AH93">
        <v>14.32</v>
      </c>
      <c r="AI93">
        <v>0.2</v>
      </c>
      <c r="AJ93">
        <v>0.08</v>
      </c>
      <c r="AK93">
        <v>63</v>
      </c>
      <c r="AL93">
        <v>0</v>
      </c>
      <c r="AM93">
        <v>0</v>
      </c>
      <c r="AN93">
        <v>-3.87</v>
      </c>
      <c r="AO93">
        <v>2.7</v>
      </c>
      <c r="AP93">
        <v>764</v>
      </c>
      <c r="AQ93">
        <v>1</v>
      </c>
      <c r="AR93">
        <v>6.23</v>
      </c>
      <c r="AS93">
        <v>74</v>
      </c>
      <c r="AT93">
        <v>2.36</v>
      </c>
      <c r="AU93">
        <v>95</v>
      </c>
      <c r="AV93">
        <v>-3.39</v>
      </c>
      <c r="AW93">
        <v>99</v>
      </c>
      <c r="AX93">
        <v>0.32</v>
      </c>
      <c r="AY93">
        <v>91</v>
      </c>
      <c r="AZ93">
        <v>5.64</v>
      </c>
      <c r="BA93">
        <v>44</v>
      </c>
      <c r="BB93">
        <v>3.94</v>
      </c>
      <c r="BC93">
        <v>37</v>
      </c>
      <c r="BD93">
        <v>-0.01</v>
      </c>
      <c r="BE93">
        <v>-0.01</v>
      </c>
      <c r="BF93">
        <v>-0.1</v>
      </c>
      <c r="BG93">
        <v>74</v>
      </c>
      <c r="BH93">
        <v>0.17</v>
      </c>
      <c r="BI93">
        <v>-12.54</v>
      </c>
      <c r="BJ93">
        <v>0</v>
      </c>
      <c r="BK93">
        <v>0</v>
      </c>
      <c r="BL93">
        <v>-0.85</v>
      </c>
      <c r="BM93">
        <v>1.22</v>
      </c>
      <c r="BN93">
        <v>-0.56999999999999995</v>
      </c>
      <c r="BO93">
        <v>-0.7</v>
      </c>
      <c r="BP93">
        <v>2.12</v>
      </c>
      <c r="BQ93">
        <v>-1.21</v>
      </c>
      <c r="BR93">
        <v>0.79</v>
      </c>
      <c r="BS93">
        <v>-0.4</v>
      </c>
      <c r="BT93">
        <v>-1.5</v>
      </c>
      <c r="BU93">
        <v>0.14000000000000001</v>
      </c>
      <c r="BV93">
        <v>-0.74</v>
      </c>
      <c r="BW93">
        <v>-0.52</v>
      </c>
      <c r="BX93">
        <v>0.15</v>
      </c>
      <c r="BY93">
        <v>0.6</v>
      </c>
      <c r="BZ93">
        <v>-1.59</v>
      </c>
      <c r="CA93">
        <v>0.65</v>
      </c>
      <c r="CB93">
        <v>0.13</v>
      </c>
      <c r="CC93">
        <v>0.16</v>
      </c>
      <c r="CD93">
        <v>1.2</v>
      </c>
      <c r="CE93">
        <v>-0.75</v>
      </c>
      <c r="CF93">
        <v>-0.41</v>
      </c>
      <c r="CG93">
        <v>0</v>
      </c>
      <c r="CH93">
        <v>0.24</v>
      </c>
      <c r="CI93">
        <v>0</v>
      </c>
      <c r="CJ93">
        <v>-3.7</v>
      </c>
      <c r="CK93">
        <v>58</v>
      </c>
      <c r="CL93">
        <v>-0.78</v>
      </c>
      <c r="CM93">
        <v>46</v>
      </c>
      <c r="CN93">
        <v>-0.32</v>
      </c>
      <c r="CO93">
        <v>46</v>
      </c>
      <c r="CP93">
        <v>-1</v>
      </c>
      <c r="CQ93">
        <v>48</v>
      </c>
      <c r="CR93">
        <v>0</v>
      </c>
      <c r="CS93">
        <v>0</v>
      </c>
      <c r="CT93">
        <v>1.1000000000000001</v>
      </c>
      <c r="CU93">
        <v>47</v>
      </c>
      <c r="CV93">
        <v>0.16</v>
      </c>
      <c r="CW93">
        <v>36</v>
      </c>
      <c r="CX93" t="s">
        <v>7980</v>
      </c>
    </row>
    <row r="94" spans="1:102" x14ac:dyDescent="0.3">
      <c r="A94" t="str">
        <f>HYPERLINK("https://webapp.icbf.com/v2/app/bull-search/view/669829266","LHZ")</f>
        <v>LHZ</v>
      </c>
      <c r="B94" t="s">
        <v>5387</v>
      </c>
      <c r="C94" t="s">
        <v>2041</v>
      </c>
      <c r="D94" s="1">
        <v>39866</v>
      </c>
      <c r="E94" t="s">
        <v>92</v>
      </c>
      <c r="F94">
        <v>88</v>
      </c>
      <c r="G94" t="s">
        <v>93</v>
      </c>
      <c r="H94">
        <v>246.33</v>
      </c>
      <c r="I94">
        <v>99</v>
      </c>
      <c r="J94">
        <v>67.31</v>
      </c>
      <c r="K94">
        <v>99</v>
      </c>
      <c r="L94">
        <v>125.79</v>
      </c>
      <c r="M94">
        <v>99</v>
      </c>
      <c r="N94">
        <v>37.54</v>
      </c>
      <c r="O94">
        <v>99</v>
      </c>
      <c r="P94">
        <v>-16.28</v>
      </c>
      <c r="Q94">
        <v>99</v>
      </c>
      <c r="R94">
        <v>7.22</v>
      </c>
      <c r="S94">
        <v>99</v>
      </c>
      <c r="T94">
        <v>20.34</v>
      </c>
      <c r="U94">
        <v>99</v>
      </c>
      <c r="V94">
        <v>4.41</v>
      </c>
      <c r="W94">
        <v>93</v>
      </c>
      <c r="X94" t="s">
        <v>94</v>
      </c>
      <c r="Y94" t="s">
        <v>319</v>
      </c>
      <c r="Z94" t="s">
        <v>96</v>
      </c>
      <c r="AA94" t="s">
        <v>1514</v>
      </c>
      <c r="AB94" t="s">
        <v>5388</v>
      </c>
      <c r="AC94">
        <v>18899</v>
      </c>
      <c r="AD94">
        <v>3667</v>
      </c>
      <c r="AE94">
        <v>99</v>
      </c>
      <c r="AF94">
        <v>-53.23</v>
      </c>
      <c r="AG94">
        <v>10.44</v>
      </c>
      <c r="AH94">
        <v>6.94</v>
      </c>
      <c r="AI94">
        <v>0.22</v>
      </c>
      <c r="AJ94">
        <v>0.15</v>
      </c>
      <c r="AK94">
        <v>99</v>
      </c>
      <c r="AL94">
        <v>24366</v>
      </c>
      <c r="AM94">
        <v>5622</v>
      </c>
      <c r="AN94">
        <v>-5.42</v>
      </c>
      <c r="AO94">
        <v>4.63</v>
      </c>
      <c r="AP94">
        <v>35357</v>
      </c>
      <c r="AQ94">
        <v>297</v>
      </c>
      <c r="AR94">
        <v>5.91</v>
      </c>
      <c r="AS94">
        <v>99</v>
      </c>
      <c r="AT94">
        <v>2.35</v>
      </c>
      <c r="AU94">
        <v>99</v>
      </c>
      <c r="AV94">
        <v>-2.71</v>
      </c>
      <c r="AW94">
        <v>99</v>
      </c>
      <c r="AX94">
        <v>-0.34</v>
      </c>
      <c r="AY94">
        <v>99</v>
      </c>
      <c r="AZ94">
        <v>5.19</v>
      </c>
      <c r="BA94">
        <v>99</v>
      </c>
      <c r="BB94">
        <v>4.3099999999999996</v>
      </c>
      <c r="BC94">
        <v>99</v>
      </c>
      <c r="BD94">
        <v>-0.06</v>
      </c>
      <c r="BE94">
        <v>-0.04</v>
      </c>
      <c r="BF94">
        <v>0.01</v>
      </c>
      <c r="BG94">
        <v>99</v>
      </c>
      <c r="BH94">
        <v>0.18</v>
      </c>
      <c r="BI94">
        <v>6.61</v>
      </c>
      <c r="BJ94">
        <v>524</v>
      </c>
      <c r="BK94">
        <v>187</v>
      </c>
      <c r="BL94">
        <v>-1.26</v>
      </c>
      <c r="BM94">
        <v>-2.4</v>
      </c>
      <c r="BN94">
        <v>-3.59</v>
      </c>
      <c r="BO94">
        <v>-1.51</v>
      </c>
      <c r="BP94">
        <v>0.46</v>
      </c>
      <c r="BQ94">
        <v>-1.71</v>
      </c>
      <c r="BR94">
        <v>2.38</v>
      </c>
      <c r="BS94">
        <v>-4.22</v>
      </c>
      <c r="BT94">
        <v>-2.52</v>
      </c>
      <c r="BU94">
        <v>0.1</v>
      </c>
      <c r="BV94">
        <v>-0.82</v>
      </c>
      <c r="BW94">
        <v>0.43</v>
      </c>
      <c r="BX94">
        <v>1.48</v>
      </c>
      <c r="BY94">
        <v>1.03</v>
      </c>
      <c r="BZ94">
        <v>-2.62</v>
      </c>
      <c r="CA94">
        <v>-1.1399999999999999</v>
      </c>
      <c r="CB94">
        <v>-0.26</v>
      </c>
      <c r="CC94">
        <v>-3.02</v>
      </c>
      <c r="CD94">
        <v>-0.7</v>
      </c>
      <c r="CE94">
        <v>-1.1599999999999999</v>
      </c>
      <c r="CF94">
        <v>-2.4300000000000002</v>
      </c>
      <c r="CG94">
        <v>0</v>
      </c>
      <c r="CH94">
        <v>0.99</v>
      </c>
      <c r="CI94">
        <v>0</v>
      </c>
      <c r="CJ94">
        <v>-7.2</v>
      </c>
      <c r="CK94">
        <v>99</v>
      </c>
      <c r="CL94">
        <v>-0.74</v>
      </c>
      <c r="CM94">
        <v>99</v>
      </c>
      <c r="CN94">
        <v>-0.24</v>
      </c>
      <c r="CO94">
        <v>99</v>
      </c>
      <c r="CP94">
        <v>-10.1</v>
      </c>
      <c r="CQ94">
        <v>99</v>
      </c>
      <c r="CR94">
        <v>0</v>
      </c>
      <c r="CS94">
        <v>0</v>
      </c>
      <c r="CT94">
        <v>-13.7</v>
      </c>
      <c r="CU94">
        <v>99</v>
      </c>
      <c r="CV94">
        <v>-0.12</v>
      </c>
      <c r="CW94">
        <v>56</v>
      </c>
      <c r="CX94" t="s">
        <v>4059</v>
      </c>
    </row>
    <row r="95" spans="1:102" x14ac:dyDescent="0.3">
      <c r="A95" t="str">
        <f>HYPERLINK("https://webapp.icbf.com/v2/app/bull-search/view/1453552595","FR4600")</f>
        <v>FR4600</v>
      </c>
      <c r="B95" t="s">
        <v>6420</v>
      </c>
      <c r="C95" t="s">
        <v>6421</v>
      </c>
      <c r="D95" s="1">
        <v>42682</v>
      </c>
      <c r="E95" t="s">
        <v>92</v>
      </c>
      <c r="F95">
        <v>75</v>
      </c>
      <c r="G95" t="s">
        <v>435</v>
      </c>
      <c r="H95">
        <v>246.1</v>
      </c>
      <c r="I95">
        <v>73</v>
      </c>
      <c r="J95">
        <v>88.49</v>
      </c>
      <c r="K95">
        <v>90</v>
      </c>
      <c r="L95">
        <v>95.2</v>
      </c>
      <c r="M95">
        <v>66</v>
      </c>
      <c r="N95">
        <v>53</v>
      </c>
      <c r="O95">
        <v>86</v>
      </c>
      <c r="P95">
        <v>-14.93</v>
      </c>
      <c r="Q95">
        <v>50</v>
      </c>
      <c r="R95">
        <v>4.3499999999999996</v>
      </c>
      <c r="S95">
        <v>66</v>
      </c>
      <c r="T95">
        <v>17.600000000000001</v>
      </c>
      <c r="U95">
        <v>47</v>
      </c>
      <c r="V95">
        <v>2.39</v>
      </c>
      <c r="W95">
        <v>59</v>
      </c>
      <c r="X95" t="s">
        <v>94</v>
      </c>
      <c r="Y95" t="s">
        <v>2384</v>
      </c>
      <c r="Z95" t="s">
        <v>96</v>
      </c>
      <c r="AA95" t="s">
        <v>2372</v>
      </c>
      <c r="AB95" t="s">
        <v>6422</v>
      </c>
      <c r="AC95">
        <v>0</v>
      </c>
      <c r="AD95">
        <v>0</v>
      </c>
      <c r="AE95">
        <v>90</v>
      </c>
      <c r="AF95">
        <v>121.9</v>
      </c>
      <c r="AG95">
        <v>11.18</v>
      </c>
      <c r="AH95">
        <v>12.96</v>
      </c>
      <c r="AI95">
        <v>0.1</v>
      </c>
      <c r="AJ95">
        <v>0.15</v>
      </c>
      <c r="AK95">
        <v>66</v>
      </c>
      <c r="AL95">
        <v>0</v>
      </c>
      <c r="AM95">
        <v>0</v>
      </c>
      <c r="AN95">
        <v>-5.34</v>
      </c>
      <c r="AO95">
        <v>2.25</v>
      </c>
      <c r="AP95">
        <v>601</v>
      </c>
      <c r="AQ95">
        <v>1</v>
      </c>
      <c r="AR95">
        <v>5.38</v>
      </c>
      <c r="AS95">
        <v>81</v>
      </c>
      <c r="AT95">
        <v>1.76</v>
      </c>
      <c r="AU95">
        <v>93</v>
      </c>
      <c r="AV95">
        <v>-4.47</v>
      </c>
      <c r="AW95">
        <v>98</v>
      </c>
      <c r="AX95">
        <v>-0.56000000000000005</v>
      </c>
      <c r="AY95">
        <v>90</v>
      </c>
      <c r="AZ95">
        <v>5.34</v>
      </c>
      <c r="BA95">
        <v>46</v>
      </c>
      <c r="BB95">
        <v>5.14</v>
      </c>
      <c r="BC95">
        <v>46</v>
      </c>
      <c r="BD95">
        <v>-0.03</v>
      </c>
      <c r="BE95">
        <v>0</v>
      </c>
      <c r="BF95">
        <v>-0.05</v>
      </c>
      <c r="BG95">
        <v>75</v>
      </c>
      <c r="BH95">
        <v>0.03</v>
      </c>
      <c r="BI95">
        <v>-4.25</v>
      </c>
      <c r="BJ95">
        <v>0</v>
      </c>
      <c r="BK95">
        <v>0</v>
      </c>
      <c r="BL95">
        <v>-1.26</v>
      </c>
      <c r="BM95">
        <v>-0.52</v>
      </c>
      <c r="BN95">
        <v>-1.53</v>
      </c>
      <c r="BO95">
        <v>-1.1100000000000001</v>
      </c>
      <c r="BP95">
        <v>1.64</v>
      </c>
      <c r="BQ95">
        <v>-1.53</v>
      </c>
      <c r="BR95">
        <v>1.22</v>
      </c>
      <c r="BS95">
        <v>-0.82</v>
      </c>
      <c r="BT95">
        <v>-1.7</v>
      </c>
      <c r="BU95">
        <v>-2.0299999999999998</v>
      </c>
      <c r="BV95">
        <v>-1.88</v>
      </c>
      <c r="BW95">
        <v>-2.69</v>
      </c>
      <c r="BX95">
        <v>-0.91</v>
      </c>
      <c r="BY95">
        <v>-1.8</v>
      </c>
      <c r="BZ95">
        <v>-0.96</v>
      </c>
      <c r="CA95">
        <v>-1.38</v>
      </c>
      <c r="CB95">
        <v>-1.45</v>
      </c>
      <c r="CC95">
        <v>-0.74</v>
      </c>
      <c r="CD95">
        <v>0.77</v>
      </c>
      <c r="CE95">
        <v>-0.38</v>
      </c>
      <c r="CF95">
        <v>-0.99</v>
      </c>
      <c r="CG95">
        <v>0</v>
      </c>
      <c r="CH95">
        <v>-1.71</v>
      </c>
      <c r="CI95">
        <v>0</v>
      </c>
      <c r="CJ95">
        <v>-8.4</v>
      </c>
      <c r="CK95">
        <v>52</v>
      </c>
      <c r="CL95">
        <v>-0.57999999999999996</v>
      </c>
      <c r="CM95">
        <v>46</v>
      </c>
      <c r="CN95">
        <v>-0.33</v>
      </c>
      <c r="CO95">
        <v>46</v>
      </c>
      <c r="CP95">
        <v>-8.1</v>
      </c>
      <c r="CQ95">
        <v>47</v>
      </c>
      <c r="CR95">
        <v>0</v>
      </c>
      <c r="CS95">
        <v>0</v>
      </c>
      <c r="CT95">
        <v>-10</v>
      </c>
      <c r="CU95">
        <v>47</v>
      </c>
      <c r="CV95">
        <v>0.1</v>
      </c>
      <c r="CW95">
        <v>35</v>
      </c>
      <c r="CX95" t="s">
        <v>390</v>
      </c>
    </row>
    <row r="96" spans="1:102" x14ac:dyDescent="0.3">
      <c r="A96" t="str">
        <f>HYPERLINK("https://webapp.icbf.com/v2/app/bull-search/view/1353403288","FR4207")</f>
        <v>FR4207</v>
      </c>
      <c r="B96" t="s">
        <v>6181</v>
      </c>
      <c r="C96" t="s">
        <v>6182</v>
      </c>
      <c r="D96" s="1">
        <v>42401</v>
      </c>
      <c r="E96" t="s">
        <v>92</v>
      </c>
      <c r="F96">
        <v>81</v>
      </c>
      <c r="G96" t="s">
        <v>435</v>
      </c>
      <c r="H96">
        <v>246.07</v>
      </c>
      <c r="I96">
        <v>74</v>
      </c>
      <c r="J96">
        <v>84.7</v>
      </c>
      <c r="K96">
        <v>90</v>
      </c>
      <c r="L96">
        <v>128.4</v>
      </c>
      <c r="M96">
        <v>65</v>
      </c>
      <c r="N96">
        <v>30.71</v>
      </c>
      <c r="O96">
        <v>89</v>
      </c>
      <c r="P96">
        <v>-7.11</v>
      </c>
      <c r="Q96">
        <v>66</v>
      </c>
      <c r="R96">
        <v>0.33</v>
      </c>
      <c r="S96">
        <v>66</v>
      </c>
      <c r="T96">
        <v>6.13</v>
      </c>
      <c r="U96">
        <v>52</v>
      </c>
      <c r="V96">
        <v>2.91</v>
      </c>
      <c r="W96">
        <v>57</v>
      </c>
      <c r="X96" t="s">
        <v>94</v>
      </c>
      <c r="Y96" t="s">
        <v>2255</v>
      </c>
      <c r="Z96" t="s">
        <v>330</v>
      </c>
      <c r="AA96" t="s">
        <v>2157</v>
      </c>
      <c r="AB96" t="s">
        <v>6183</v>
      </c>
      <c r="AC96">
        <v>0</v>
      </c>
      <c r="AD96">
        <v>0</v>
      </c>
      <c r="AE96">
        <v>90</v>
      </c>
      <c r="AF96">
        <v>1.1399999999999999</v>
      </c>
      <c r="AG96">
        <v>8.1199999999999992</v>
      </c>
      <c r="AH96">
        <v>11.55</v>
      </c>
      <c r="AI96">
        <v>0.14000000000000001</v>
      </c>
      <c r="AJ96">
        <v>0.2</v>
      </c>
      <c r="AK96">
        <v>65</v>
      </c>
      <c r="AL96">
        <v>0</v>
      </c>
      <c r="AM96">
        <v>0</v>
      </c>
      <c r="AN96">
        <v>-7.73</v>
      </c>
      <c r="AO96">
        <v>2.5</v>
      </c>
      <c r="AP96">
        <v>2834</v>
      </c>
      <c r="AQ96">
        <v>2</v>
      </c>
      <c r="AR96">
        <v>4.99</v>
      </c>
      <c r="AS96">
        <v>91</v>
      </c>
      <c r="AT96">
        <v>2.5299999999999998</v>
      </c>
      <c r="AU96">
        <v>98</v>
      </c>
      <c r="AV96">
        <v>-2.12</v>
      </c>
      <c r="AW96">
        <v>99</v>
      </c>
      <c r="AX96">
        <v>-0.59</v>
      </c>
      <c r="AY96">
        <v>97</v>
      </c>
      <c r="AZ96">
        <v>6.34</v>
      </c>
      <c r="BA96">
        <v>46</v>
      </c>
      <c r="BB96">
        <v>4.72</v>
      </c>
      <c r="BC96">
        <v>46</v>
      </c>
      <c r="BD96">
        <v>-0.01</v>
      </c>
      <c r="BE96">
        <v>0.01</v>
      </c>
      <c r="BF96">
        <v>-0.01</v>
      </c>
      <c r="BG96">
        <v>74</v>
      </c>
      <c r="BH96">
        <v>0.24</v>
      </c>
      <c r="BI96">
        <v>18.38</v>
      </c>
      <c r="BJ96">
        <v>0</v>
      </c>
      <c r="BK96">
        <v>0</v>
      </c>
      <c r="BL96">
        <v>-1.03</v>
      </c>
      <c r="BM96">
        <v>-0.19</v>
      </c>
      <c r="BN96">
        <v>-2.0299999999999998</v>
      </c>
      <c r="BO96">
        <v>-1.35</v>
      </c>
      <c r="BP96">
        <v>1.6</v>
      </c>
      <c r="BQ96">
        <v>-2.15</v>
      </c>
      <c r="BR96">
        <v>-2.1800000000000002</v>
      </c>
      <c r="BS96">
        <v>-0.44</v>
      </c>
      <c r="BT96">
        <v>1.3</v>
      </c>
      <c r="BU96">
        <v>-0.7</v>
      </c>
      <c r="BV96">
        <v>-1.64</v>
      </c>
      <c r="BW96">
        <v>-1.71</v>
      </c>
      <c r="BX96">
        <v>-0.49</v>
      </c>
      <c r="BY96">
        <v>-1.9</v>
      </c>
      <c r="BZ96">
        <v>-1.43</v>
      </c>
      <c r="CA96">
        <v>-0.88</v>
      </c>
      <c r="CB96">
        <v>-1.28</v>
      </c>
      <c r="CC96">
        <v>-0.36</v>
      </c>
      <c r="CD96">
        <v>0.34</v>
      </c>
      <c r="CE96">
        <v>-1.1399999999999999</v>
      </c>
      <c r="CF96">
        <v>-0.73</v>
      </c>
      <c r="CG96">
        <v>0</v>
      </c>
      <c r="CH96">
        <v>-0.11</v>
      </c>
      <c r="CI96">
        <v>0</v>
      </c>
      <c r="CJ96">
        <v>-5.2</v>
      </c>
      <c r="CK96">
        <v>72</v>
      </c>
      <c r="CL96">
        <v>-0.55000000000000004</v>
      </c>
      <c r="CM96">
        <v>59</v>
      </c>
      <c r="CN96">
        <v>-0.52</v>
      </c>
      <c r="CO96">
        <v>58</v>
      </c>
      <c r="CP96">
        <v>-2.2999999999999998</v>
      </c>
      <c r="CQ96">
        <v>54</v>
      </c>
      <c r="CR96">
        <v>0</v>
      </c>
      <c r="CS96">
        <v>0</v>
      </c>
      <c r="CT96">
        <v>5.5</v>
      </c>
      <c r="CU96">
        <v>52</v>
      </c>
      <c r="CV96">
        <v>0.04</v>
      </c>
      <c r="CW96">
        <v>41</v>
      </c>
      <c r="CX96" t="s">
        <v>2148</v>
      </c>
    </row>
    <row r="97" spans="1:102" x14ac:dyDescent="0.3">
      <c r="A97" t="str">
        <f>HYPERLINK("https://webapp.icbf.com/v2/app/bull-search/view/1250998213","FR2426")</f>
        <v>FR2426</v>
      </c>
      <c r="B97" t="s">
        <v>2237</v>
      </c>
      <c r="C97" t="s">
        <v>2238</v>
      </c>
      <c r="D97" s="1">
        <v>42052</v>
      </c>
      <c r="E97" t="s">
        <v>92</v>
      </c>
      <c r="F97">
        <v>94</v>
      </c>
      <c r="G97" t="s">
        <v>93</v>
      </c>
      <c r="H97">
        <v>245.69</v>
      </c>
      <c r="I97">
        <v>87</v>
      </c>
      <c r="J97">
        <v>50.22</v>
      </c>
      <c r="K97">
        <v>98</v>
      </c>
      <c r="L97">
        <v>146.27000000000001</v>
      </c>
      <c r="M97">
        <v>77</v>
      </c>
      <c r="N97">
        <v>47.85</v>
      </c>
      <c r="O97">
        <v>91</v>
      </c>
      <c r="P97">
        <v>-17.57</v>
      </c>
      <c r="Q97">
        <v>95</v>
      </c>
      <c r="R97">
        <v>5.57</v>
      </c>
      <c r="S97">
        <v>81</v>
      </c>
      <c r="T97">
        <v>9.98</v>
      </c>
      <c r="U97">
        <v>83</v>
      </c>
      <c r="V97">
        <v>3.37</v>
      </c>
      <c r="W97">
        <v>75</v>
      </c>
      <c r="X97" t="s">
        <v>276</v>
      </c>
      <c r="Y97" t="s">
        <v>436</v>
      </c>
      <c r="Z97" t="s">
        <v>96</v>
      </c>
      <c r="AA97" t="s">
        <v>2239</v>
      </c>
      <c r="AB97" t="s">
        <v>2240</v>
      </c>
      <c r="AC97">
        <v>337</v>
      </c>
      <c r="AD97">
        <v>143</v>
      </c>
      <c r="AE97">
        <v>98</v>
      </c>
      <c r="AF97">
        <v>-191.39</v>
      </c>
      <c r="AG97">
        <v>14.25</v>
      </c>
      <c r="AH97">
        <v>0.56999999999999995</v>
      </c>
      <c r="AI97">
        <v>0.39</v>
      </c>
      <c r="AJ97">
        <v>0.13</v>
      </c>
      <c r="AK97">
        <v>77</v>
      </c>
      <c r="AL97">
        <v>0</v>
      </c>
      <c r="AM97">
        <v>0</v>
      </c>
      <c r="AN97">
        <v>-8.32</v>
      </c>
      <c r="AO97">
        <v>3.34</v>
      </c>
      <c r="AP97">
        <v>4095</v>
      </c>
      <c r="AQ97">
        <v>9</v>
      </c>
      <c r="AR97">
        <v>4.8</v>
      </c>
      <c r="AS97">
        <v>98</v>
      </c>
      <c r="AT97">
        <v>1.88</v>
      </c>
      <c r="AU97">
        <v>98</v>
      </c>
      <c r="AV97">
        <v>-3.76</v>
      </c>
      <c r="AW97">
        <v>99</v>
      </c>
      <c r="AX97">
        <v>-0.31</v>
      </c>
      <c r="AY97">
        <v>98</v>
      </c>
      <c r="AZ97">
        <v>5.0199999999999996</v>
      </c>
      <c r="BA97">
        <v>81</v>
      </c>
      <c r="BB97">
        <v>5.07</v>
      </c>
      <c r="BC97">
        <v>47</v>
      </c>
      <c r="BD97">
        <v>-0.03</v>
      </c>
      <c r="BE97">
        <v>-0.02</v>
      </c>
      <c r="BF97">
        <v>-0.04</v>
      </c>
      <c r="BG97">
        <v>93</v>
      </c>
      <c r="BH97">
        <v>0.05</v>
      </c>
      <c r="BI97">
        <v>-5.0999999999999996</v>
      </c>
      <c r="BJ97">
        <v>0</v>
      </c>
      <c r="BK97">
        <v>0</v>
      </c>
      <c r="BL97">
        <v>-0.8</v>
      </c>
      <c r="BM97">
        <v>-1.28</v>
      </c>
      <c r="BN97">
        <v>-1.82</v>
      </c>
      <c r="BO97">
        <v>-0.98</v>
      </c>
      <c r="BP97">
        <v>2</v>
      </c>
      <c r="BQ97">
        <v>-2.64</v>
      </c>
      <c r="BR97">
        <v>0.69</v>
      </c>
      <c r="BS97">
        <v>1.97</v>
      </c>
      <c r="BT97">
        <v>-1.01</v>
      </c>
      <c r="BU97">
        <v>1.34</v>
      </c>
      <c r="BV97">
        <v>0.16</v>
      </c>
      <c r="BW97">
        <v>-1.25</v>
      </c>
      <c r="BX97">
        <v>0.95</v>
      </c>
      <c r="BY97">
        <v>0.32</v>
      </c>
      <c r="BZ97">
        <v>-2.0699999999999998</v>
      </c>
      <c r="CA97">
        <v>0.12</v>
      </c>
      <c r="CB97">
        <v>-0.32</v>
      </c>
      <c r="CC97">
        <v>0.28999999999999998</v>
      </c>
      <c r="CD97">
        <v>0.09</v>
      </c>
      <c r="CE97">
        <v>-0.66</v>
      </c>
      <c r="CF97">
        <v>-0.93</v>
      </c>
      <c r="CG97">
        <v>0</v>
      </c>
      <c r="CH97">
        <v>0.42</v>
      </c>
      <c r="CI97">
        <v>0</v>
      </c>
      <c r="CJ97">
        <v>-7.8</v>
      </c>
      <c r="CK97">
        <v>97</v>
      </c>
      <c r="CL97">
        <v>-0.92</v>
      </c>
      <c r="CM97">
        <v>96</v>
      </c>
      <c r="CN97">
        <v>-0.31</v>
      </c>
      <c r="CO97">
        <v>96</v>
      </c>
      <c r="CP97">
        <v>-6.3</v>
      </c>
      <c r="CQ97">
        <v>75</v>
      </c>
      <c r="CR97">
        <v>0</v>
      </c>
      <c r="CS97">
        <v>0</v>
      </c>
      <c r="CT97">
        <v>0.3</v>
      </c>
      <c r="CU97">
        <v>83</v>
      </c>
      <c r="CV97">
        <v>0.08</v>
      </c>
      <c r="CW97">
        <v>47</v>
      </c>
      <c r="CX97" t="s">
        <v>1861</v>
      </c>
    </row>
    <row r="98" spans="1:102" x14ac:dyDescent="0.3">
      <c r="A98" t="str">
        <f>HYPERLINK("https://webapp.icbf.com/v2/app/bull-search/view/1244853039","FR2421")</f>
        <v>FR2421</v>
      </c>
      <c r="B98" t="s">
        <v>2233</v>
      </c>
      <c r="C98" t="s">
        <v>2234</v>
      </c>
      <c r="D98" s="1">
        <v>42038</v>
      </c>
      <c r="E98" t="s">
        <v>92</v>
      </c>
      <c r="F98">
        <v>81</v>
      </c>
      <c r="G98" t="s">
        <v>93</v>
      </c>
      <c r="H98">
        <v>245.52</v>
      </c>
      <c r="I98">
        <v>83</v>
      </c>
      <c r="J98">
        <v>67.959999999999994</v>
      </c>
      <c r="K98">
        <v>95</v>
      </c>
      <c r="L98">
        <v>118.85</v>
      </c>
      <c r="M98">
        <v>73</v>
      </c>
      <c r="N98">
        <v>56.99</v>
      </c>
      <c r="O98">
        <v>88</v>
      </c>
      <c r="P98">
        <v>-14.69</v>
      </c>
      <c r="Q98">
        <v>88</v>
      </c>
      <c r="R98">
        <v>5.94</v>
      </c>
      <c r="S98">
        <v>75</v>
      </c>
      <c r="T98">
        <v>9.76</v>
      </c>
      <c r="U98">
        <v>74</v>
      </c>
      <c r="V98">
        <v>0.71</v>
      </c>
      <c r="W98">
        <v>69</v>
      </c>
      <c r="X98" t="s">
        <v>276</v>
      </c>
      <c r="Y98" t="s">
        <v>436</v>
      </c>
      <c r="Z98" t="s">
        <v>96</v>
      </c>
      <c r="AA98" t="s">
        <v>2235</v>
      </c>
      <c r="AB98" t="s">
        <v>2236</v>
      </c>
      <c r="AC98">
        <v>121</v>
      </c>
      <c r="AD98">
        <v>69</v>
      </c>
      <c r="AE98">
        <v>95</v>
      </c>
      <c r="AF98">
        <v>-19.260000000000002</v>
      </c>
      <c r="AG98">
        <v>12.05</v>
      </c>
      <c r="AH98">
        <v>7</v>
      </c>
      <c r="AI98">
        <v>0.22</v>
      </c>
      <c r="AJ98">
        <v>0.13</v>
      </c>
      <c r="AK98">
        <v>73</v>
      </c>
      <c r="AL98">
        <v>0</v>
      </c>
      <c r="AM98">
        <v>0</v>
      </c>
      <c r="AN98">
        <v>-5.53</v>
      </c>
      <c r="AO98">
        <v>3.96</v>
      </c>
      <c r="AP98">
        <v>643</v>
      </c>
      <c r="AQ98">
        <v>0</v>
      </c>
      <c r="AR98">
        <v>4.71</v>
      </c>
      <c r="AS98">
        <v>90</v>
      </c>
      <c r="AT98">
        <v>1.76</v>
      </c>
      <c r="AU98">
        <v>92</v>
      </c>
      <c r="AV98">
        <v>-4.87</v>
      </c>
      <c r="AW98">
        <v>99</v>
      </c>
      <c r="AX98">
        <v>-0.62</v>
      </c>
      <c r="AY98">
        <v>91</v>
      </c>
      <c r="AZ98">
        <v>6.44</v>
      </c>
      <c r="BA98">
        <v>67</v>
      </c>
      <c r="BB98">
        <v>4.92</v>
      </c>
      <c r="BC98">
        <v>45</v>
      </c>
      <c r="BD98">
        <v>-7.0000000000000007E-2</v>
      </c>
      <c r="BE98">
        <v>0</v>
      </c>
      <c r="BF98">
        <v>-0.02</v>
      </c>
      <c r="BG98">
        <v>86</v>
      </c>
      <c r="BH98">
        <v>-7.0000000000000007E-2</v>
      </c>
      <c r="BI98">
        <v>-10.4</v>
      </c>
      <c r="BJ98">
        <v>0</v>
      </c>
      <c r="BK98">
        <v>0</v>
      </c>
      <c r="BL98">
        <v>-1.6</v>
      </c>
      <c r="BM98">
        <v>0.24</v>
      </c>
      <c r="BN98">
        <v>-1.5</v>
      </c>
      <c r="BO98">
        <v>-1.71</v>
      </c>
      <c r="BP98">
        <v>1.25</v>
      </c>
      <c r="BQ98">
        <v>-0.09</v>
      </c>
      <c r="BR98">
        <v>0.38</v>
      </c>
      <c r="BS98">
        <v>-0.09</v>
      </c>
      <c r="BT98">
        <v>-1.21</v>
      </c>
      <c r="BU98">
        <v>-0.93</v>
      </c>
      <c r="BV98">
        <v>-0.6</v>
      </c>
      <c r="BW98">
        <v>-0.76</v>
      </c>
      <c r="BX98">
        <v>-1.29</v>
      </c>
      <c r="BY98">
        <v>-0.63</v>
      </c>
      <c r="BZ98">
        <v>-1.57</v>
      </c>
      <c r="CA98">
        <v>-0.69</v>
      </c>
      <c r="CB98">
        <v>-0.65</v>
      </c>
      <c r="CC98">
        <v>-0.26</v>
      </c>
      <c r="CD98">
        <v>1.24</v>
      </c>
      <c r="CE98">
        <v>-1.36</v>
      </c>
      <c r="CF98">
        <v>-2.02</v>
      </c>
      <c r="CG98">
        <v>0</v>
      </c>
      <c r="CH98">
        <v>-1.1599999999999999</v>
      </c>
      <c r="CI98">
        <v>0</v>
      </c>
      <c r="CJ98">
        <v>-8.4</v>
      </c>
      <c r="CK98">
        <v>91</v>
      </c>
      <c r="CL98">
        <v>-0.41</v>
      </c>
      <c r="CM98">
        <v>88</v>
      </c>
      <c r="CN98">
        <v>-0.18</v>
      </c>
      <c r="CO98">
        <v>87</v>
      </c>
      <c r="CP98">
        <v>-6.5</v>
      </c>
      <c r="CQ98">
        <v>66</v>
      </c>
      <c r="CR98">
        <v>0</v>
      </c>
      <c r="CS98">
        <v>0</v>
      </c>
      <c r="CT98">
        <v>0.6</v>
      </c>
      <c r="CU98">
        <v>74</v>
      </c>
      <c r="CV98">
        <v>-0.16</v>
      </c>
      <c r="CW98">
        <v>46</v>
      </c>
      <c r="CX98" t="s">
        <v>2041</v>
      </c>
    </row>
    <row r="99" spans="1:102" x14ac:dyDescent="0.3">
      <c r="A99" t="str">
        <f>HYPERLINK("https://webapp.icbf.com/v2/app/bull-search/view/1474853274","FR4481")</f>
        <v>FR4481</v>
      </c>
      <c r="B99" t="s">
        <v>9412</v>
      </c>
      <c r="C99" t="s">
        <v>9413</v>
      </c>
      <c r="D99" s="1">
        <v>42765</v>
      </c>
      <c r="E99" t="s">
        <v>92</v>
      </c>
      <c r="F99">
        <v>81</v>
      </c>
      <c r="G99" t="s">
        <v>435</v>
      </c>
      <c r="H99">
        <v>244.95</v>
      </c>
      <c r="I99">
        <v>72</v>
      </c>
      <c r="J99">
        <v>104.58</v>
      </c>
      <c r="K99">
        <v>89</v>
      </c>
      <c r="L99">
        <v>85.01</v>
      </c>
      <c r="M99">
        <v>63</v>
      </c>
      <c r="N99">
        <v>55.83</v>
      </c>
      <c r="O99">
        <v>86</v>
      </c>
      <c r="P99">
        <v>-22.43</v>
      </c>
      <c r="Q99">
        <v>53</v>
      </c>
      <c r="R99">
        <v>-2.38</v>
      </c>
      <c r="S99">
        <v>64</v>
      </c>
      <c r="T99">
        <v>13.68</v>
      </c>
      <c r="U99">
        <v>46</v>
      </c>
      <c r="V99">
        <v>10.66</v>
      </c>
      <c r="W99">
        <v>59</v>
      </c>
      <c r="X99" t="s">
        <v>94</v>
      </c>
      <c r="Y99" t="s">
        <v>2384</v>
      </c>
      <c r="Z99" t="s">
        <v>96</v>
      </c>
      <c r="AA99" t="s">
        <v>2512</v>
      </c>
      <c r="AB99" t="s">
        <v>9414</v>
      </c>
      <c r="AC99">
        <v>0</v>
      </c>
      <c r="AD99">
        <v>0</v>
      </c>
      <c r="AE99">
        <v>89</v>
      </c>
      <c r="AF99">
        <v>231.01</v>
      </c>
      <c r="AG99">
        <v>13.12</v>
      </c>
      <c r="AH99">
        <v>16.68</v>
      </c>
      <c r="AI99">
        <v>0.06</v>
      </c>
      <c r="AJ99">
        <v>0.15</v>
      </c>
      <c r="AK99">
        <v>63</v>
      </c>
      <c r="AL99">
        <v>0</v>
      </c>
      <c r="AM99">
        <v>0</v>
      </c>
      <c r="AN99">
        <v>-3.81</v>
      </c>
      <c r="AO99">
        <v>2.98</v>
      </c>
      <c r="AP99">
        <v>1017</v>
      </c>
      <c r="AQ99">
        <v>1</v>
      </c>
      <c r="AR99">
        <v>4.9800000000000004</v>
      </c>
      <c r="AS99">
        <v>88</v>
      </c>
      <c r="AT99">
        <v>2.41</v>
      </c>
      <c r="AU99">
        <v>95</v>
      </c>
      <c r="AV99">
        <v>-6.43</v>
      </c>
      <c r="AW99">
        <v>99</v>
      </c>
      <c r="AX99">
        <v>0.38</v>
      </c>
      <c r="AY99">
        <v>93</v>
      </c>
      <c r="AZ99">
        <v>6.38</v>
      </c>
      <c r="BA99">
        <v>44</v>
      </c>
      <c r="BB99">
        <v>6.13</v>
      </c>
      <c r="BC99">
        <v>35</v>
      </c>
      <c r="BD99">
        <v>-0.02</v>
      </c>
      <c r="BE99">
        <v>0.02</v>
      </c>
      <c r="BF99">
        <v>0.05</v>
      </c>
      <c r="BG99">
        <v>75</v>
      </c>
      <c r="BH99">
        <v>0.2</v>
      </c>
      <c r="BI99">
        <v>-11.25</v>
      </c>
      <c r="BJ99">
        <v>0</v>
      </c>
      <c r="BK99">
        <v>0</v>
      </c>
      <c r="BL99">
        <v>-0.49</v>
      </c>
      <c r="BM99">
        <v>-0.26</v>
      </c>
      <c r="BN99">
        <v>-0.85</v>
      </c>
      <c r="BO99">
        <v>-0.08</v>
      </c>
      <c r="BP99">
        <v>1.95</v>
      </c>
      <c r="BQ99">
        <v>-0.88</v>
      </c>
      <c r="BR99">
        <v>1.06</v>
      </c>
      <c r="BS99">
        <v>-0.77</v>
      </c>
      <c r="BT99">
        <v>-1.84</v>
      </c>
      <c r="BU99">
        <v>0.82</v>
      </c>
      <c r="BV99">
        <v>0.31</v>
      </c>
      <c r="BW99">
        <v>-0.56999999999999995</v>
      </c>
      <c r="BX99">
        <v>-0.13</v>
      </c>
      <c r="BY99">
        <v>0.26</v>
      </c>
      <c r="BZ99">
        <v>0.32</v>
      </c>
      <c r="CA99">
        <v>0.57999999999999996</v>
      </c>
      <c r="CB99">
        <v>0.52</v>
      </c>
      <c r="CC99">
        <v>0.24</v>
      </c>
      <c r="CD99">
        <v>0.33</v>
      </c>
      <c r="CE99">
        <v>-0.02</v>
      </c>
      <c r="CF99">
        <v>-0.49</v>
      </c>
      <c r="CG99">
        <v>0</v>
      </c>
      <c r="CH99">
        <v>-0.28999999999999998</v>
      </c>
      <c r="CI99">
        <v>0</v>
      </c>
      <c r="CJ99">
        <v>-10.3</v>
      </c>
      <c r="CK99">
        <v>57</v>
      </c>
      <c r="CL99">
        <v>-1.1100000000000001</v>
      </c>
      <c r="CM99">
        <v>48</v>
      </c>
      <c r="CN99">
        <v>-0.38</v>
      </c>
      <c r="CO99">
        <v>46</v>
      </c>
      <c r="CP99">
        <v>-8.1</v>
      </c>
      <c r="CQ99">
        <v>46</v>
      </c>
      <c r="CR99">
        <v>0</v>
      </c>
      <c r="CS99">
        <v>0</v>
      </c>
      <c r="CT99">
        <v>-4.7</v>
      </c>
      <c r="CU99">
        <v>46</v>
      </c>
      <c r="CV99">
        <v>0.15</v>
      </c>
      <c r="CW99">
        <v>35</v>
      </c>
      <c r="CX99" t="s">
        <v>7980</v>
      </c>
    </row>
    <row r="100" spans="1:102" x14ac:dyDescent="0.3">
      <c r="A100" t="str">
        <f>HYPERLINK("https://webapp.icbf.com/v2/app/bull-search/view/1476463173","FR4544")</f>
        <v>FR4544</v>
      </c>
      <c r="B100" t="s">
        <v>13987</v>
      </c>
      <c r="C100" t="s">
        <v>13988</v>
      </c>
      <c r="D100" s="1">
        <v>42776</v>
      </c>
      <c r="E100" t="s">
        <v>92</v>
      </c>
      <c r="F100">
        <v>56</v>
      </c>
      <c r="G100" t="s">
        <v>435</v>
      </c>
      <c r="H100">
        <v>244.73</v>
      </c>
      <c r="I100">
        <v>65</v>
      </c>
      <c r="J100">
        <v>41.95</v>
      </c>
      <c r="K100">
        <v>86</v>
      </c>
      <c r="L100">
        <v>150.13</v>
      </c>
      <c r="M100">
        <v>56</v>
      </c>
      <c r="N100">
        <v>41.7</v>
      </c>
      <c r="O100">
        <v>60</v>
      </c>
      <c r="P100">
        <v>-13.73</v>
      </c>
      <c r="Q100">
        <v>49</v>
      </c>
      <c r="R100">
        <v>0.04</v>
      </c>
      <c r="S100">
        <v>57</v>
      </c>
      <c r="T100">
        <v>16.79</v>
      </c>
      <c r="U100">
        <v>49</v>
      </c>
      <c r="V100">
        <v>7.85</v>
      </c>
      <c r="W100">
        <v>52</v>
      </c>
      <c r="X100" t="s">
        <v>94</v>
      </c>
      <c r="Y100" t="s">
        <v>2384</v>
      </c>
      <c r="Z100" t="s">
        <v>330</v>
      </c>
      <c r="AA100" t="s">
        <v>6192</v>
      </c>
      <c r="AB100" t="s">
        <v>13989</v>
      </c>
      <c r="AC100">
        <v>0</v>
      </c>
      <c r="AD100">
        <v>0</v>
      </c>
      <c r="AE100">
        <v>86</v>
      </c>
      <c r="AF100">
        <v>-204.52</v>
      </c>
      <c r="AG100">
        <v>10.130000000000001</v>
      </c>
      <c r="AH100">
        <v>0.42</v>
      </c>
      <c r="AI100">
        <v>0.32</v>
      </c>
      <c r="AJ100">
        <v>0.14000000000000001</v>
      </c>
      <c r="AK100">
        <v>56</v>
      </c>
      <c r="AL100">
        <v>0</v>
      </c>
      <c r="AM100">
        <v>0</v>
      </c>
      <c r="AN100">
        <v>-9.16</v>
      </c>
      <c r="AO100">
        <v>2.8</v>
      </c>
      <c r="AP100">
        <v>11</v>
      </c>
      <c r="AQ100">
        <v>0</v>
      </c>
      <c r="AR100">
        <v>6.75</v>
      </c>
      <c r="AS100">
        <v>53</v>
      </c>
      <c r="AT100">
        <v>2.31</v>
      </c>
      <c r="AU100">
        <v>64</v>
      </c>
      <c r="AV100">
        <v>-4.63</v>
      </c>
      <c r="AW100">
        <v>72</v>
      </c>
      <c r="AX100">
        <v>1.19</v>
      </c>
      <c r="AY100">
        <v>52</v>
      </c>
      <c r="AZ100">
        <v>7.2</v>
      </c>
      <c r="BA100">
        <v>38</v>
      </c>
      <c r="BB100">
        <v>4.9000000000000004</v>
      </c>
      <c r="BC100">
        <v>30</v>
      </c>
      <c r="BD100">
        <v>0</v>
      </c>
      <c r="BE100">
        <v>0.01</v>
      </c>
      <c r="BF100">
        <v>-0.02</v>
      </c>
      <c r="BG100">
        <v>68</v>
      </c>
      <c r="BH100">
        <v>0.11</v>
      </c>
      <c r="BI100">
        <v>-12.6</v>
      </c>
      <c r="BJ100">
        <v>0</v>
      </c>
      <c r="BK100">
        <v>0</v>
      </c>
      <c r="BL100">
        <v>-1.28</v>
      </c>
      <c r="BM100">
        <v>0.36</v>
      </c>
      <c r="BN100">
        <v>-1.84</v>
      </c>
      <c r="BO100">
        <v>-0.99</v>
      </c>
      <c r="BP100">
        <v>1.72</v>
      </c>
      <c r="BQ100">
        <v>-0.87</v>
      </c>
      <c r="BR100">
        <v>0.36</v>
      </c>
      <c r="BS100">
        <v>-0.2</v>
      </c>
      <c r="BT100">
        <v>-0.43</v>
      </c>
      <c r="BU100">
        <v>-0.35</v>
      </c>
      <c r="BV100">
        <v>-1.03</v>
      </c>
      <c r="BW100">
        <v>-1.19</v>
      </c>
      <c r="BX100">
        <v>-0.12</v>
      </c>
      <c r="BY100">
        <v>0.17</v>
      </c>
      <c r="BZ100">
        <v>-1.1299999999999999</v>
      </c>
      <c r="CA100">
        <v>-1.01</v>
      </c>
      <c r="CB100">
        <v>-0.73</v>
      </c>
      <c r="CC100">
        <v>-0.72</v>
      </c>
      <c r="CD100">
        <v>0.42</v>
      </c>
      <c r="CE100">
        <v>-1</v>
      </c>
      <c r="CF100">
        <v>-1.3</v>
      </c>
      <c r="CG100">
        <v>0</v>
      </c>
      <c r="CH100">
        <v>0.16</v>
      </c>
      <c r="CI100">
        <v>0</v>
      </c>
      <c r="CJ100">
        <v>-5.4</v>
      </c>
      <c r="CK100">
        <v>52</v>
      </c>
      <c r="CL100">
        <v>-0.57999999999999996</v>
      </c>
      <c r="CM100">
        <v>46</v>
      </c>
      <c r="CN100">
        <v>-0.08</v>
      </c>
      <c r="CO100">
        <v>46</v>
      </c>
      <c r="CP100">
        <v>-8.1999999999999993</v>
      </c>
      <c r="CQ100">
        <v>45</v>
      </c>
      <c r="CR100">
        <v>0</v>
      </c>
      <c r="CS100">
        <v>0</v>
      </c>
      <c r="CT100">
        <v>-8.9</v>
      </c>
      <c r="CU100">
        <v>49</v>
      </c>
      <c r="CV100">
        <v>0.06</v>
      </c>
      <c r="CW100">
        <v>35</v>
      </c>
      <c r="CX100" t="s">
        <v>417</v>
      </c>
    </row>
    <row r="101" spans="1:102" x14ac:dyDescent="0.3">
      <c r="A101" t="str">
        <f>HYPERLINK("https://webapp.icbf.com/v2/app/bull-search/view/1140058591","FR2052")</f>
        <v>FR2052</v>
      </c>
      <c r="B101" t="s">
        <v>13546</v>
      </c>
      <c r="C101" t="s">
        <v>13547</v>
      </c>
      <c r="D101" s="1">
        <v>41678</v>
      </c>
      <c r="E101" t="s">
        <v>92</v>
      </c>
      <c r="F101">
        <v>81</v>
      </c>
      <c r="G101" t="s">
        <v>435</v>
      </c>
      <c r="H101">
        <v>244.54</v>
      </c>
      <c r="I101">
        <v>71</v>
      </c>
      <c r="J101">
        <v>77.7</v>
      </c>
      <c r="K101">
        <v>88</v>
      </c>
      <c r="L101">
        <v>119.68</v>
      </c>
      <c r="M101">
        <v>66</v>
      </c>
      <c r="N101">
        <v>47.53</v>
      </c>
      <c r="O101">
        <v>57</v>
      </c>
      <c r="P101">
        <v>-3.85</v>
      </c>
      <c r="Q101">
        <v>63</v>
      </c>
      <c r="R101">
        <v>-2.17</v>
      </c>
      <c r="S101">
        <v>65</v>
      </c>
      <c r="T101">
        <v>4.72</v>
      </c>
      <c r="U101">
        <v>50</v>
      </c>
      <c r="V101">
        <v>0.93</v>
      </c>
      <c r="W101">
        <v>59</v>
      </c>
      <c r="X101" t="s">
        <v>276</v>
      </c>
      <c r="Y101" t="s">
        <v>416</v>
      </c>
      <c r="Z101" t="s">
        <v>330</v>
      </c>
      <c r="AA101" t="s">
        <v>2514</v>
      </c>
      <c r="AB101" t="s">
        <v>13548</v>
      </c>
      <c r="AC101">
        <v>1</v>
      </c>
      <c r="AD101">
        <v>2</v>
      </c>
      <c r="AE101">
        <v>88</v>
      </c>
      <c r="AF101">
        <v>70.89</v>
      </c>
      <c r="AG101">
        <v>11.39</v>
      </c>
      <c r="AH101">
        <v>10.27</v>
      </c>
      <c r="AI101">
        <v>0.14000000000000001</v>
      </c>
      <c r="AJ101">
        <v>0.14000000000000001</v>
      </c>
      <c r="AK101">
        <v>66</v>
      </c>
      <c r="AL101">
        <v>0</v>
      </c>
      <c r="AM101">
        <v>0</v>
      </c>
      <c r="AN101">
        <v>-6.06</v>
      </c>
      <c r="AO101">
        <v>3.49</v>
      </c>
      <c r="AP101">
        <v>8</v>
      </c>
      <c r="AQ101">
        <v>0</v>
      </c>
      <c r="AR101">
        <v>6.81</v>
      </c>
      <c r="AS101">
        <v>56</v>
      </c>
      <c r="AT101">
        <v>2.63</v>
      </c>
      <c r="AU101">
        <v>66</v>
      </c>
      <c r="AV101">
        <v>-5.17</v>
      </c>
      <c r="AW101">
        <v>59</v>
      </c>
      <c r="AX101">
        <v>-0.28000000000000003</v>
      </c>
      <c r="AY101">
        <v>50</v>
      </c>
      <c r="AZ101">
        <v>7.71</v>
      </c>
      <c r="BA101">
        <v>46</v>
      </c>
      <c r="BB101">
        <v>4.68</v>
      </c>
      <c r="BC101">
        <v>46</v>
      </c>
      <c r="BD101">
        <v>0</v>
      </c>
      <c r="BE101">
        <v>0</v>
      </c>
      <c r="BF101">
        <v>0.05</v>
      </c>
      <c r="BG101">
        <v>74</v>
      </c>
      <c r="BH101">
        <v>-0.01</v>
      </c>
      <c r="BI101">
        <v>-4.1500000000000004</v>
      </c>
      <c r="BJ101">
        <v>0</v>
      </c>
      <c r="BK101">
        <v>0</v>
      </c>
      <c r="BL101">
        <v>-0.55000000000000004</v>
      </c>
      <c r="BM101">
        <v>0.69</v>
      </c>
      <c r="BN101">
        <v>-1.32</v>
      </c>
      <c r="BO101">
        <v>-1.44</v>
      </c>
      <c r="BP101">
        <v>2.4300000000000002</v>
      </c>
      <c r="BQ101">
        <v>-0.46</v>
      </c>
      <c r="BR101">
        <v>0.63</v>
      </c>
      <c r="BS101">
        <v>-0.36</v>
      </c>
      <c r="BT101">
        <v>-0.86</v>
      </c>
      <c r="BU101">
        <v>1.99</v>
      </c>
      <c r="BV101">
        <v>1.24</v>
      </c>
      <c r="BW101">
        <v>-0.41</v>
      </c>
      <c r="BX101">
        <v>0.92</v>
      </c>
      <c r="BY101">
        <v>-0.69</v>
      </c>
      <c r="BZ101">
        <v>-0.26</v>
      </c>
      <c r="CA101">
        <v>1.08</v>
      </c>
      <c r="CB101">
        <v>1.38</v>
      </c>
      <c r="CC101">
        <v>-0.43</v>
      </c>
      <c r="CD101">
        <v>1.37</v>
      </c>
      <c r="CE101">
        <v>-0.37</v>
      </c>
      <c r="CF101">
        <v>-0.75</v>
      </c>
      <c r="CG101">
        <v>0</v>
      </c>
      <c r="CH101">
        <v>0.47</v>
      </c>
      <c r="CI101">
        <v>0</v>
      </c>
      <c r="CJ101">
        <v>1.1000000000000001</v>
      </c>
      <c r="CK101">
        <v>66</v>
      </c>
      <c r="CL101">
        <v>-0.68</v>
      </c>
      <c r="CM101">
        <v>62</v>
      </c>
      <c r="CN101">
        <v>-0.15</v>
      </c>
      <c r="CO101">
        <v>61</v>
      </c>
      <c r="CP101">
        <v>-0.7</v>
      </c>
      <c r="CQ101">
        <v>52</v>
      </c>
      <c r="CR101">
        <v>0</v>
      </c>
      <c r="CS101">
        <v>0</v>
      </c>
      <c r="CT101">
        <v>7.4</v>
      </c>
      <c r="CU101">
        <v>50</v>
      </c>
      <c r="CV101">
        <v>0.2</v>
      </c>
      <c r="CW101">
        <v>40</v>
      </c>
      <c r="CX101" t="s">
        <v>5127</v>
      </c>
    </row>
    <row r="102" spans="1:102" x14ac:dyDescent="0.3">
      <c r="A102" t="str">
        <f>HYPERLINK("https://webapp.icbf.com/v2/app/bull-search/view/1167707200","ZSR")</f>
        <v>ZSR</v>
      </c>
      <c r="B102" t="s">
        <v>2064</v>
      </c>
      <c r="C102" t="s">
        <v>2065</v>
      </c>
      <c r="D102" s="1">
        <v>41244</v>
      </c>
      <c r="E102" t="s">
        <v>92</v>
      </c>
      <c r="F102">
        <v>100</v>
      </c>
      <c r="G102" t="s">
        <v>93</v>
      </c>
      <c r="H102">
        <v>244.03</v>
      </c>
      <c r="I102">
        <v>90</v>
      </c>
      <c r="J102">
        <v>100.5</v>
      </c>
      <c r="K102">
        <v>98</v>
      </c>
      <c r="L102">
        <v>96.43</v>
      </c>
      <c r="M102">
        <v>86</v>
      </c>
      <c r="N102">
        <v>42.79</v>
      </c>
      <c r="O102">
        <v>90</v>
      </c>
      <c r="P102">
        <v>-4.12</v>
      </c>
      <c r="Q102">
        <v>95</v>
      </c>
      <c r="R102">
        <v>17.239999999999998</v>
      </c>
      <c r="S102">
        <v>78</v>
      </c>
      <c r="T102">
        <v>-11.56</v>
      </c>
      <c r="U102">
        <v>79</v>
      </c>
      <c r="V102">
        <v>2.75</v>
      </c>
      <c r="W102">
        <v>72</v>
      </c>
      <c r="X102" t="s">
        <v>94</v>
      </c>
      <c r="Y102" t="s">
        <v>2066</v>
      </c>
      <c r="Z102" t="s">
        <v>96</v>
      </c>
      <c r="AA102" t="s">
        <v>2067</v>
      </c>
      <c r="AB102" t="s">
        <v>2068</v>
      </c>
      <c r="AC102">
        <v>287</v>
      </c>
      <c r="AD102">
        <v>80</v>
      </c>
      <c r="AE102">
        <v>98</v>
      </c>
      <c r="AF102">
        <v>538.76</v>
      </c>
      <c r="AG102">
        <v>17.41</v>
      </c>
      <c r="AH102">
        <v>19.18</v>
      </c>
      <c r="AI102">
        <v>-0.06</v>
      </c>
      <c r="AJ102">
        <v>0.02</v>
      </c>
      <c r="AK102">
        <v>86</v>
      </c>
      <c r="AL102">
        <v>132</v>
      </c>
      <c r="AM102">
        <v>47</v>
      </c>
      <c r="AN102">
        <v>-4.49</v>
      </c>
      <c r="AO102">
        <v>3.21</v>
      </c>
      <c r="AP102">
        <v>802</v>
      </c>
      <c r="AQ102">
        <v>4</v>
      </c>
      <c r="AR102">
        <v>5.37</v>
      </c>
      <c r="AS102">
        <v>87</v>
      </c>
      <c r="AT102">
        <v>2.79</v>
      </c>
      <c r="AU102">
        <v>95</v>
      </c>
      <c r="AV102">
        <v>-3.98</v>
      </c>
      <c r="AW102">
        <v>99</v>
      </c>
      <c r="AX102">
        <v>-0.15</v>
      </c>
      <c r="AY102">
        <v>93</v>
      </c>
      <c r="AZ102">
        <v>5.73</v>
      </c>
      <c r="BA102">
        <v>75</v>
      </c>
      <c r="BB102">
        <v>4.67</v>
      </c>
      <c r="BC102">
        <v>54</v>
      </c>
      <c r="BD102">
        <v>-0.05</v>
      </c>
      <c r="BE102">
        <v>-7.0000000000000007E-2</v>
      </c>
      <c r="BF102">
        <v>-0.18</v>
      </c>
      <c r="BG102">
        <v>93</v>
      </c>
      <c r="BH102">
        <v>0.05</v>
      </c>
      <c r="BI102">
        <v>-3.1</v>
      </c>
      <c r="BJ102">
        <v>65</v>
      </c>
      <c r="BK102">
        <v>22</v>
      </c>
      <c r="BL102">
        <v>1.3</v>
      </c>
      <c r="BM102">
        <v>-0.4</v>
      </c>
      <c r="BN102">
        <v>-0.56000000000000005</v>
      </c>
      <c r="BO102">
        <v>0.43</v>
      </c>
      <c r="BP102">
        <v>1.31</v>
      </c>
      <c r="BQ102">
        <v>-1.46</v>
      </c>
      <c r="BR102">
        <v>-1.06</v>
      </c>
      <c r="BS102">
        <v>-0.22</v>
      </c>
      <c r="BT102">
        <v>1.39</v>
      </c>
      <c r="BU102">
        <v>1.07</v>
      </c>
      <c r="BV102">
        <v>2.14</v>
      </c>
      <c r="BW102">
        <v>1.07</v>
      </c>
      <c r="BX102">
        <v>1.2</v>
      </c>
      <c r="BY102">
        <v>-0.45</v>
      </c>
      <c r="BZ102">
        <v>2.23</v>
      </c>
      <c r="CA102">
        <v>1.48</v>
      </c>
      <c r="CB102">
        <v>1.5</v>
      </c>
      <c r="CC102">
        <v>0.39</v>
      </c>
      <c r="CD102">
        <v>0.56999999999999995</v>
      </c>
      <c r="CE102">
        <v>0.6</v>
      </c>
      <c r="CF102">
        <v>0.79</v>
      </c>
      <c r="CG102">
        <v>0</v>
      </c>
      <c r="CH102">
        <v>-0.28000000000000003</v>
      </c>
      <c r="CI102">
        <v>0</v>
      </c>
      <c r="CJ102">
        <v>-1.2</v>
      </c>
      <c r="CK102">
        <v>97</v>
      </c>
      <c r="CL102">
        <v>-1.04</v>
      </c>
      <c r="CM102">
        <v>96</v>
      </c>
      <c r="CN102">
        <v>-0.56999999999999995</v>
      </c>
      <c r="CO102">
        <v>96</v>
      </c>
      <c r="CP102">
        <v>10.6</v>
      </c>
      <c r="CQ102">
        <v>73</v>
      </c>
      <c r="CR102">
        <v>0</v>
      </c>
      <c r="CS102">
        <v>0</v>
      </c>
      <c r="CT102">
        <v>29.4</v>
      </c>
      <c r="CU102">
        <v>79</v>
      </c>
      <c r="CV102">
        <v>0.16</v>
      </c>
      <c r="CW102">
        <v>45</v>
      </c>
      <c r="CX102" t="s">
        <v>380</v>
      </c>
    </row>
    <row r="103" spans="1:102" x14ac:dyDescent="0.3">
      <c r="A103" t="str">
        <f>HYPERLINK("https://webapp.icbf.com/v2/app/bull-search/view/1376473046","NR4173")</f>
        <v>NR4173</v>
      </c>
      <c r="B103" t="s">
        <v>6263</v>
      </c>
      <c r="C103" t="s">
        <v>6264</v>
      </c>
      <c r="D103" s="1">
        <v>41513</v>
      </c>
      <c r="E103" t="s">
        <v>395</v>
      </c>
      <c r="F103">
        <v>0</v>
      </c>
      <c r="G103" t="s">
        <v>109</v>
      </c>
      <c r="H103">
        <v>243.71</v>
      </c>
      <c r="I103">
        <v>68</v>
      </c>
      <c r="J103">
        <v>53.64</v>
      </c>
      <c r="K103">
        <v>78</v>
      </c>
      <c r="L103">
        <v>112.97</v>
      </c>
      <c r="M103">
        <v>69</v>
      </c>
      <c r="N103">
        <v>64</v>
      </c>
      <c r="O103">
        <v>81</v>
      </c>
      <c r="P103">
        <v>-22.74</v>
      </c>
      <c r="Q103">
        <v>61</v>
      </c>
      <c r="R103">
        <v>10.66</v>
      </c>
      <c r="S103">
        <v>41</v>
      </c>
      <c r="T103">
        <v>25.44</v>
      </c>
      <c r="U103">
        <v>41</v>
      </c>
      <c r="V103">
        <v>-0.26</v>
      </c>
      <c r="W103">
        <v>38</v>
      </c>
      <c r="X103" t="s">
        <v>102</v>
      </c>
      <c r="Y103" t="s">
        <v>2261</v>
      </c>
      <c r="Z103">
        <v>0</v>
      </c>
      <c r="AA103" t="s">
        <v>6265</v>
      </c>
      <c r="AB103" t="s">
        <v>144</v>
      </c>
      <c r="AC103">
        <v>0</v>
      </c>
      <c r="AD103">
        <v>0</v>
      </c>
      <c r="AE103">
        <v>78</v>
      </c>
      <c r="AF103">
        <v>-56.59</v>
      </c>
      <c r="AG103">
        <v>11.61</v>
      </c>
      <c r="AH103">
        <v>4.1500000000000004</v>
      </c>
      <c r="AI103">
        <v>0.24</v>
      </c>
      <c r="AJ103">
        <v>0.11</v>
      </c>
      <c r="AK103">
        <v>69</v>
      </c>
      <c r="AL103">
        <v>0</v>
      </c>
      <c r="AM103">
        <v>0</v>
      </c>
      <c r="AN103">
        <v>-5.34</v>
      </c>
      <c r="AO103">
        <v>3.68</v>
      </c>
      <c r="AP103">
        <v>489</v>
      </c>
      <c r="AQ103">
        <v>6</v>
      </c>
      <c r="AR103">
        <v>4.78</v>
      </c>
      <c r="AS103">
        <v>72</v>
      </c>
      <c r="AT103">
        <v>1.96</v>
      </c>
      <c r="AU103">
        <v>93</v>
      </c>
      <c r="AV103">
        <v>-5.88</v>
      </c>
      <c r="AW103">
        <v>98</v>
      </c>
      <c r="AX103">
        <v>-0.6</v>
      </c>
      <c r="AY103">
        <v>85</v>
      </c>
      <c r="AZ103">
        <v>5.81</v>
      </c>
      <c r="BA103">
        <v>29</v>
      </c>
      <c r="BB103">
        <v>5.03</v>
      </c>
      <c r="BC103">
        <v>26</v>
      </c>
      <c r="BD103">
        <v>-0.06</v>
      </c>
      <c r="BE103">
        <v>-0.05</v>
      </c>
      <c r="BF103">
        <v>-0.05</v>
      </c>
      <c r="BG103">
        <v>46</v>
      </c>
      <c r="BH103">
        <v>-0.06</v>
      </c>
      <c r="BI103">
        <v>-6.11</v>
      </c>
      <c r="BJ103">
        <v>0</v>
      </c>
      <c r="BK103">
        <v>0</v>
      </c>
      <c r="BL103">
        <v>-1.47</v>
      </c>
      <c r="BM103">
        <v>0.89</v>
      </c>
      <c r="BN103">
        <v>-1.51</v>
      </c>
      <c r="BO103">
        <v>-1.6</v>
      </c>
      <c r="BP103">
        <v>1.19</v>
      </c>
      <c r="BQ103">
        <v>-1.1000000000000001</v>
      </c>
      <c r="BR103">
        <v>0.63</v>
      </c>
      <c r="BS103">
        <v>0.08</v>
      </c>
      <c r="BT103">
        <v>-0.65</v>
      </c>
      <c r="BU103">
        <v>-1.5</v>
      </c>
      <c r="BV103">
        <v>-2.4500000000000002</v>
      </c>
      <c r="BW103">
        <v>-1.8</v>
      </c>
      <c r="BX103">
        <v>-1.1599999999999999</v>
      </c>
      <c r="BY103">
        <v>-0.99</v>
      </c>
      <c r="BZ103">
        <v>-1.1599999999999999</v>
      </c>
      <c r="CA103">
        <v>-1.59</v>
      </c>
      <c r="CB103">
        <v>-1.85</v>
      </c>
      <c r="CC103">
        <v>-0.51</v>
      </c>
      <c r="CD103">
        <v>1.1200000000000001</v>
      </c>
      <c r="CE103">
        <v>-1.45</v>
      </c>
      <c r="CF103">
        <v>-1.66</v>
      </c>
      <c r="CG103">
        <v>0</v>
      </c>
      <c r="CH103">
        <v>-1.25</v>
      </c>
      <c r="CI103">
        <v>0</v>
      </c>
      <c r="CJ103">
        <v>-8.9</v>
      </c>
      <c r="CK103">
        <v>67</v>
      </c>
      <c r="CL103">
        <v>-0.86</v>
      </c>
      <c r="CM103">
        <v>57</v>
      </c>
      <c r="CN103">
        <v>-0.14000000000000001</v>
      </c>
      <c r="CO103">
        <v>54</v>
      </c>
      <c r="CP103">
        <v>-21.5</v>
      </c>
      <c r="CQ103">
        <v>44</v>
      </c>
      <c r="CR103">
        <v>0</v>
      </c>
      <c r="CS103">
        <v>0</v>
      </c>
      <c r="CT103">
        <v>-20.6</v>
      </c>
      <c r="CU103">
        <v>41</v>
      </c>
      <c r="CV103">
        <v>-0.05</v>
      </c>
      <c r="CW103">
        <v>39</v>
      </c>
      <c r="CX103" t="s">
        <v>5537</v>
      </c>
    </row>
    <row r="104" spans="1:102" x14ac:dyDescent="0.3">
      <c r="A104" t="str">
        <f>HYPERLINK("https://webapp.icbf.com/v2/app/bull-search/view/1356877527","FR4242")</f>
        <v>FR4242</v>
      </c>
      <c r="B104" t="s">
        <v>14578</v>
      </c>
      <c r="C104" t="s">
        <v>14579</v>
      </c>
      <c r="D104" s="1">
        <v>42405</v>
      </c>
      <c r="E104" t="s">
        <v>92</v>
      </c>
      <c r="F104">
        <v>88</v>
      </c>
      <c r="G104" t="s">
        <v>435</v>
      </c>
      <c r="H104">
        <v>243.19</v>
      </c>
      <c r="I104">
        <v>75</v>
      </c>
      <c r="J104">
        <v>91.81</v>
      </c>
      <c r="K104">
        <v>89</v>
      </c>
      <c r="L104">
        <v>103.07</v>
      </c>
      <c r="M104">
        <v>63</v>
      </c>
      <c r="N104">
        <v>53.1</v>
      </c>
      <c r="O104">
        <v>89</v>
      </c>
      <c r="P104">
        <v>-15.95</v>
      </c>
      <c r="Q104">
        <v>79</v>
      </c>
      <c r="R104">
        <v>-3.68</v>
      </c>
      <c r="S104">
        <v>64</v>
      </c>
      <c r="T104">
        <v>9.09</v>
      </c>
      <c r="U104">
        <v>54</v>
      </c>
      <c r="V104">
        <v>5.75</v>
      </c>
      <c r="W104">
        <v>56</v>
      </c>
      <c r="X104" t="s">
        <v>276</v>
      </c>
      <c r="Y104" t="s">
        <v>2255</v>
      </c>
      <c r="Z104" t="s">
        <v>96</v>
      </c>
      <c r="AA104" t="s">
        <v>2239</v>
      </c>
      <c r="AB104" t="s">
        <v>14580</v>
      </c>
      <c r="AC104">
        <v>1</v>
      </c>
      <c r="AD104">
        <v>1</v>
      </c>
      <c r="AE104">
        <v>89</v>
      </c>
      <c r="AF104">
        <v>7.58</v>
      </c>
      <c r="AG104">
        <v>17.16</v>
      </c>
      <c r="AH104">
        <v>9.66</v>
      </c>
      <c r="AI104">
        <v>0.28999999999999998</v>
      </c>
      <c r="AJ104">
        <v>0.17</v>
      </c>
      <c r="AK104">
        <v>63</v>
      </c>
      <c r="AL104">
        <v>0</v>
      </c>
      <c r="AM104">
        <v>0</v>
      </c>
      <c r="AN104">
        <v>-5.57</v>
      </c>
      <c r="AO104">
        <v>2.65</v>
      </c>
      <c r="AP104">
        <v>2469</v>
      </c>
      <c r="AQ104">
        <v>8</v>
      </c>
      <c r="AR104">
        <v>5.66</v>
      </c>
      <c r="AS104">
        <v>96</v>
      </c>
      <c r="AT104">
        <v>2.15</v>
      </c>
      <c r="AU104">
        <v>98</v>
      </c>
      <c r="AV104">
        <v>-4.96</v>
      </c>
      <c r="AW104">
        <v>99</v>
      </c>
      <c r="AX104">
        <v>-0.32</v>
      </c>
      <c r="AY104">
        <v>97</v>
      </c>
      <c r="AZ104">
        <v>5.22</v>
      </c>
      <c r="BA104">
        <v>44</v>
      </c>
      <c r="BB104">
        <v>5.19</v>
      </c>
      <c r="BC104">
        <v>43</v>
      </c>
      <c r="BD104">
        <v>-0.02</v>
      </c>
      <c r="BE104">
        <v>0.02</v>
      </c>
      <c r="BF104">
        <v>0.08</v>
      </c>
      <c r="BG104">
        <v>74</v>
      </c>
      <c r="BH104">
        <v>-0.03</v>
      </c>
      <c r="BI104">
        <v>-22.01</v>
      </c>
      <c r="BJ104">
        <v>0</v>
      </c>
      <c r="BK104">
        <v>0</v>
      </c>
      <c r="BL104">
        <v>-1.1000000000000001</v>
      </c>
      <c r="BM104">
        <v>-0.65</v>
      </c>
      <c r="BN104">
        <v>-0.4</v>
      </c>
      <c r="BO104">
        <v>0.23</v>
      </c>
      <c r="BP104">
        <v>2.82</v>
      </c>
      <c r="BQ104">
        <v>-2.2999999999999998</v>
      </c>
      <c r="BR104">
        <v>-1.41</v>
      </c>
      <c r="BS104">
        <v>1.69</v>
      </c>
      <c r="BT104">
        <v>1.39</v>
      </c>
      <c r="BU104">
        <v>-0.48</v>
      </c>
      <c r="BV104">
        <v>-0.9</v>
      </c>
      <c r="BW104">
        <v>-1.1100000000000001</v>
      </c>
      <c r="BX104">
        <v>-0.55000000000000004</v>
      </c>
      <c r="BY104">
        <v>-0.1</v>
      </c>
      <c r="BZ104">
        <v>-3.28</v>
      </c>
      <c r="CA104">
        <v>0.08</v>
      </c>
      <c r="CB104">
        <v>-0.87</v>
      </c>
      <c r="CC104">
        <v>1.31</v>
      </c>
      <c r="CD104">
        <v>-0.16</v>
      </c>
      <c r="CE104">
        <v>-0.14000000000000001</v>
      </c>
      <c r="CF104">
        <v>-0.54</v>
      </c>
      <c r="CG104">
        <v>0</v>
      </c>
      <c r="CH104">
        <v>0.49</v>
      </c>
      <c r="CI104">
        <v>0</v>
      </c>
      <c r="CJ104">
        <v>-8.1</v>
      </c>
      <c r="CK104">
        <v>84</v>
      </c>
      <c r="CL104">
        <v>-0.68</v>
      </c>
      <c r="CM104">
        <v>77</v>
      </c>
      <c r="CN104">
        <v>-0.27</v>
      </c>
      <c r="CO104">
        <v>76</v>
      </c>
      <c r="CP104">
        <v>-6.1</v>
      </c>
      <c r="CQ104">
        <v>57</v>
      </c>
      <c r="CR104">
        <v>0</v>
      </c>
      <c r="CS104">
        <v>0</v>
      </c>
      <c r="CT104">
        <v>1.5</v>
      </c>
      <c r="CU104">
        <v>54</v>
      </c>
      <c r="CV104">
        <v>0.11</v>
      </c>
      <c r="CW104">
        <v>44</v>
      </c>
      <c r="CX104" t="s">
        <v>5809</v>
      </c>
    </row>
    <row r="105" spans="1:102" x14ac:dyDescent="0.3">
      <c r="A105" t="str">
        <f>HYPERLINK("https://webapp.icbf.com/v2/app/bull-search/view/1046709523","YKA")</f>
        <v>YKA</v>
      </c>
      <c r="B105" t="s">
        <v>13434</v>
      </c>
      <c r="C105" t="s">
        <v>13435</v>
      </c>
      <c r="D105" s="1">
        <v>41325</v>
      </c>
      <c r="E105" t="s">
        <v>92</v>
      </c>
      <c r="F105">
        <v>75</v>
      </c>
      <c r="G105" t="s">
        <v>93</v>
      </c>
      <c r="H105">
        <v>243.11</v>
      </c>
      <c r="I105">
        <v>92</v>
      </c>
      <c r="J105">
        <v>90.4</v>
      </c>
      <c r="K105">
        <v>99</v>
      </c>
      <c r="L105">
        <v>96.8</v>
      </c>
      <c r="M105">
        <v>85</v>
      </c>
      <c r="N105">
        <v>47.97</v>
      </c>
      <c r="O105">
        <v>95</v>
      </c>
      <c r="P105">
        <v>-14.34</v>
      </c>
      <c r="Q105">
        <v>98</v>
      </c>
      <c r="R105">
        <v>9.2899999999999991</v>
      </c>
      <c r="S105">
        <v>86</v>
      </c>
      <c r="T105">
        <v>11.38</v>
      </c>
      <c r="U105">
        <v>91</v>
      </c>
      <c r="V105">
        <v>1.61</v>
      </c>
      <c r="W105">
        <v>80</v>
      </c>
      <c r="X105" t="s">
        <v>94</v>
      </c>
      <c r="Y105" t="s">
        <v>389</v>
      </c>
      <c r="Z105" t="s">
        <v>330</v>
      </c>
      <c r="AA105" t="s">
        <v>2041</v>
      </c>
      <c r="AB105" t="s">
        <v>13436</v>
      </c>
      <c r="AC105">
        <v>588</v>
      </c>
      <c r="AD105">
        <v>216</v>
      </c>
      <c r="AE105">
        <v>99</v>
      </c>
      <c r="AF105">
        <v>-8.86</v>
      </c>
      <c r="AG105">
        <v>14.78</v>
      </c>
      <c r="AH105">
        <v>10.01</v>
      </c>
      <c r="AI105">
        <v>0.26</v>
      </c>
      <c r="AJ105">
        <v>0.18</v>
      </c>
      <c r="AK105">
        <v>85</v>
      </c>
      <c r="AL105">
        <v>582</v>
      </c>
      <c r="AM105">
        <v>238</v>
      </c>
      <c r="AN105">
        <v>-3.7</v>
      </c>
      <c r="AO105">
        <v>4.04</v>
      </c>
      <c r="AP105">
        <v>2856</v>
      </c>
      <c r="AQ105">
        <v>16</v>
      </c>
      <c r="AR105">
        <v>6.04</v>
      </c>
      <c r="AS105">
        <v>95</v>
      </c>
      <c r="AT105">
        <v>2.23</v>
      </c>
      <c r="AU105">
        <v>98</v>
      </c>
      <c r="AV105">
        <v>-4.41</v>
      </c>
      <c r="AW105">
        <v>99</v>
      </c>
      <c r="AX105">
        <v>-0.56999999999999995</v>
      </c>
      <c r="AY105">
        <v>98</v>
      </c>
      <c r="AZ105">
        <v>6.25</v>
      </c>
      <c r="BA105">
        <v>89</v>
      </c>
      <c r="BB105">
        <v>4.9000000000000004</v>
      </c>
      <c r="BC105">
        <v>78</v>
      </c>
      <c r="BD105">
        <v>-7.0000000000000007E-2</v>
      </c>
      <c r="BE105">
        <v>-0.03</v>
      </c>
      <c r="BF105">
        <v>-0.04</v>
      </c>
      <c r="BG105">
        <v>96</v>
      </c>
      <c r="BH105">
        <v>0.02</v>
      </c>
      <c r="BI105">
        <v>-2.88</v>
      </c>
      <c r="BJ105">
        <v>33</v>
      </c>
      <c r="BK105">
        <v>3</v>
      </c>
      <c r="BL105">
        <v>-1.1399999999999999</v>
      </c>
      <c r="BM105">
        <v>-1.07</v>
      </c>
      <c r="BN105">
        <v>-2.68</v>
      </c>
      <c r="BO105">
        <v>-1.28</v>
      </c>
      <c r="BP105">
        <v>1.69</v>
      </c>
      <c r="BQ105">
        <v>-2.73</v>
      </c>
      <c r="BR105">
        <v>1.0900000000000001</v>
      </c>
      <c r="BS105">
        <v>-1.75</v>
      </c>
      <c r="BT105">
        <v>-1.74</v>
      </c>
      <c r="BU105">
        <v>-2.02</v>
      </c>
      <c r="BV105">
        <v>-2.38</v>
      </c>
      <c r="BW105">
        <v>-1.51</v>
      </c>
      <c r="BX105">
        <v>-0.66</v>
      </c>
      <c r="BY105">
        <v>-0.89</v>
      </c>
      <c r="BZ105">
        <v>-1.83</v>
      </c>
      <c r="CA105">
        <v>-1.87</v>
      </c>
      <c r="CB105">
        <v>-1.7</v>
      </c>
      <c r="CC105">
        <v>-1.19</v>
      </c>
      <c r="CD105">
        <v>1.36</v>
      </c>
      <c r="CE105">
        <v>-1.19</v>
      </c>
      <c r="CF105">
        <v>-2.25</v>
      </c>
      <c r="CG105">
        <v>0</v>
      </c>
      <c r="CH105">
        <v>-0.7</v>
      </c>
      <c r="CI105">
        <v>0</v>
      </c>
      <c r="CJ105">
        <v>-6.5</v>
      </c>
      <c r="CK105">
        <v>99</v>
      </c>
      <c r="CL105">
        <v>-0.62</v>
      </c>
      <c r="CM105">
        <v>99</v>
      </c>
      <c r="CN105">
        <v>-0.14000000000000001</v>
      </c>
      <c r="CO105">
        <v>98</v>
      </c>
      <c r="CP105">
        <v>-4.0999999999999996</v>
      </c>
      <c r="CQ105">
        <v>88</v>
      </c>
      <c r="CR105">
        <v>0</v>
      </c>
      <c r="CS105">
        <v>0</v>
      </c>
      <c r="CT105">
        <v>-1.6</v>
      </c>
      <c r="CU105">
        <v>91</v>
      </c>
      <c r="CV105">
        <v>-0.06</v>
      </c>
      <c r="CW105">
        <v>48</v>
      </c>
      <c r="CX105" t="s">
        <v>2150</v>
      </c>
    </row>
    <row r="106" spans="1:102" x14ac:dyDescent="0.3">
      <c r="A106" t="str">
        <f>HYPERLINK("https://webapp.icbf.com/v2/app/bull-search/view/866601118","HDJ")</f>
        <v>HDJ</v>
      </c>
      <c r="B106" t="s">
        <v>5543</v>
      </c>
      <c r="C106" t="s">
        <v>5544</v>
      </c>
      <c r="D106" s="1">
        <v>40597</v>
      </c>
      <c r="E106" t="s">
        <v>92</v>
      </c>
      <c r="F106">
        <v>63</v>
      </c>
      <c r="G106" t="s">
        <v>93</v>
      </c>
      <c r="H106">
        <v>242.81</v>
      </c>
      <c r="I106">
        <v>97</v>
      </c>
      <c r="J106">
        <v>79.349999999999994</v>
      </c>
      <c r="K106">
        <v>99</v>
      </c>
      <c r="L106">
        <v>97.16</v>
      </c>
      <c r="M106">
        <v>94</v>
      </c>
      <c r="N106">
        <v>42.6</v>
      </c>
      <c r="O106">
        <v>98</v>
      </c>
      <c r="P106">
        <v>-3.81</v>
      </c>
      <c r="Q106">
        <v>99</v>
      </c>
      <c r="R106">
        <v>16.37</v>
      </c>
      <c r="S106">
        <v>96</v>
      </c>
      <c r="T106">
        <v>6.06</v>
      </c>
      <c r="U106">
        <v>99</v>
      </c>
      <c r="V106">
        <v>5.08</v>
      </c>
      <c r="W106">
        <v>84</v>
      </c>
      <c r="X106" t="s">
        <v>94</v>
      </c>
      <c r="Y106" t="s">
        <v>1860</v>
      </c>
      <c r="Z106" t="s">
        <v>96</v>
      </c>
      <c r="AA106" t="s">
        <v>1861</v>
      </c>
      <c r="AB106" t="s">
        <v>5545</v>
      </c>
      <c r="AC106">
        <v>3685</v>
      </c>
      <c r="AD106">
        <v>1284</v>
      </c>
      <c r="AE106">
        <v>99</v>
      </c>
      <c r="AF106">
        <v>-0.99</v>
      </c>
      <c r="AG106">
        <v>13.23</v>
      </c>
      <c r="AH106">
        <v>8.8000000000000007</v>
      </c>
      <c r="AI106">
        <v>0.23</v>
      </c>
      <c r="AJ106">
        <v>0.15</v>
      </c>
      <c r="AK106">
        <v>94</v>
      </c>
      <c r="AL106">
        <v>4244</v>
      </c>
      <c r="AM106">
        <v>1614</v>
      </c>
      <c r="AN106">
        <v>-4.41</v>
      </c>
      <c r="AO106">
        <v>3.35</v>
      </c>
      <c r="AP106">
        <v>6588</v>
      </c>
      <c r="AQ106">
        <v>31</v>
      </c>
      <c r="AR106">
        <v>4.92</v>
      </c>
      <c r="AS106">
        <v>99</v>
      </c>
      <c r="AT106">
        <v>1.99</v>
      </c>
      <c r="AU106">
        <v>99</v>
      </c>
      <c r="AV106">
        <v>-3.13</v>
      </c>
      <c r="AW106">
        <v>99</v>
      </c>
      <c r="AX106">
        <v>-0.72</v>
      </c>
      <c r="AY106">
        <v>99</v>
      </c>
      <c r="AZ106">
        <v>6.14</v>
      </c>
      <c r="BA106">
        <v>98</v>
      </c>
      <c r="BB106">
        <v>4.83</v>
      </c>
      <c r="BC106">
        <v>96</v>
      </c>
      <c r="BD106">
        <v>-0.05</v>
      </c>
      <c r="BE106">
        <v>-7.0000000000000007E-2</v>
      </c>
      <c r="BF106">
        <v>-0.16</v>
      </c>
      <c r="BG106">
        <v>99</v>
      </c>
      <c r="BH106">
        <v>0.13</v>
      </c>
      <c r="BI106">
        <v>-1.36</v>
      </c>
      <c r="BJ106">
        <v>119</v>
      </c>
      <c r="BK106">
        <v>55</v>
      </c>
      <c r="BL106">
        <v>0.23</v>
      </c>
      <c r="BM106">
        <v>1.22</v>
      </c>
      <c r="BN106">
        <v>-0.44</v>
      </c>
      <c r="BO106">
        <v>-1.21</v>
      </c>
      <c r="BP106">
        <v>1.21</v>
      </c>
      <c r="BQ106">
        <v>-1</v>
      </c>
      <c r="BR106">
        <v>-1.2</v>
      </c>
      <c r="BS106">
        <v>2.02</v>
      </c>
      <c r="BT106">
        <v>0.8</v>
      </c>
      <c r="BU106">
        <v>2.54</v>
      </c>
      <c r="BV106">
        <v>0.98</v>
      </c>
      <c r="BW106">
        <v>0.22</v>
      </c>
      <c r="BX106">
        <v>2.52</v>
      </c>
      <c r="BY106">
        <v>1.45</v>
      </c>
      <c r="BZ106">
        <v>-2.66</v>
      </c>
      <c r="CA106">
        <v>1.17</v>
      </c>
      <c r="CB106">
        <v>0.99</v>
      </c>
      <c r="CC106">
        <v>1.03</v>
      </c>
      <c r="CD106">
        <v>1.52</v>
      </c>
      <c r="CE106">
        <v>-0.84</v>
      </c>
      <c r="CF106">
        <v>0.16</v>
      </c>
      <c r="CG106">
        <v>0</v>
      </c>
      <c r="CH106">
        <v>1.52</v>
      </c>
      <c r="CI106">
        <v>0</v>
      </c>
      <c r="CJ106">
        <v>-0.3</v>
      </c>
      <c r="CK106">
        <v>99</v>
      </c>
      <c r="CL106">
        <v>-0.61</v>
      </c>
      <c r="CM106">
        <v>99</v>
      </c>
      <c r="CN106">
        <v>-0.23</v>
      </c>
      <c r="CO106">
        <v>99</v>
      </c>
      <c r="CP106">
        <v>1.4</v>
      </c>
      <c r="CQ106">
        <v>98</v>
      </c>
      <c r="CR106">
        <v>0</v>
      </c>
      <c r="CS106">
        <v>0</v>
      </c>
      <c r="CT106">
        <v>5.6</v>
      </c>
      <c r="CU106">
        <v>99</v>
      </c>
      <c r="CV106">
        <v>0.21</v>
      </c>
      <c r="CW106">
        <v>48</v>
      </c>
      <c r="CX106" t="s">
        <v>792</v>
      </c>
    </row>
    <row r="107" spans="1:102" x14ac:dyDescent="0.3">
      <c r="A107" t="str">
        <f>HYPERLINK("https://webapp.icbf.com/v2/app/bull-search/view/1247283079","FR2449")</f>
        <v>FR2449</v>
      </c>
      <c r="B107" t="s">
        <v>6388</v>
      </c>
      <c r="C107" t="s">
        <v>6389</v>
      </c>
      <c r="D107" s="1">
        <v>42044</v>
      </c>
      <c r="E107" t="s">
        <v>92</v>
      </c>
      <c r="F107">
        <v>69</v>
      </c>
      <c r="G107" t="s">
        <v>93</v>
      </c>
      <c r="H107">
        <v>242.68</v>
      </c>
      <c r="I107">
        <v>80</v>
      </c>
      <c r="J107">
        <v>94.18</v>
      </c>
      <c r="K107">
        <v>94</v>
      </c>
      <c r="L107">
        <v>119.74</v>
      </c>
      <c r="M107">
        <v>71</v>
      </c>
      <c r="N107">
        <v>43.71</v>
      </c>
      <c r="O107">
        <v>85</v>
      </c>
      <c r="P107">
        <v>-20.57</v>
      </c>
      <c r="Q107">
        <v>86</v>
      </c>
      <c r="R107">
        <v>-10.51</v>
      </c>
      <c r="S107">
        <v>72</v>
      </c>
      <c r="T107">
        <v>10.130000000000001</v>
      </c>
      <c r="U107">
        <v>64</v>
      </c>
      <c r="V107">
        <v>6</v>
      </c>
      <c r="W107">
        <v>66</v>
      </c>
      <c r="X107" t="s">
        <v>94</v>
      </c>
      <c r="Y107" t="s">
        <v>436</v>
      </c>
      <c r="Z107" t="s">
        <v>96</v>
      </c>
      <c r="AA107" t="s">
        <v>2157</v>
      </c>
      <c r="AB107" t="s">
        <v>6390</v>
      </c>
      <c r="AC107">
        <v>75</v>
      </c>
      <c r="AD107">
        <v>29</v>
      </c>
      <c r="AE107">
        <v>94</v>
      </c>
      <c r="AF107">
        <v>139.84</v>
      </c>
      <c r="AG107">
        <v>13.08</v>
      </c>
      <c r="AH107">
        <v>13.53</v>
      </c>
      <c r="AI107">
        <v>0.13</v>
      </c>
      <c r="AJ107">
        <v>0.15</v>
      </c>
      <c r="AK107">
        <v>71</v>
      </c>
      <c r="AL107">
        <v>0</v>
      </c>
      <c r="AM107">
        <v>0</v>
      </c>
      <c r="AN107">
        <v>-6.44</v>
      </c>
      <c r="AO107">
        <v>3.11</v>
      </c>
      <c r="AP107">
        <v>466</v>
      </c>
      <c r="AQ107">
        <v>0</v>
      </c>
      <c r="AR107">
        <v>3.56</v>
      </c>
      <c r="AS107">
        <v>80</v>
      </c>
      <c r="AT107">
        <v>2.12</v>
      </c>
      <c r="AU107">
        <v>91</v>
      </c>
      <c r="AV107">
        <v>-3.18</v>
      </c>
      <c r="AW107">
        <v>98</v>
      </c>
      <c r="AX107">
        <v>-0.87</v>
      </c>
      <c r="AY107">
        <v>88</v>
      </c>
      <c r="AZ107">
        <v>7.12</v>
      </c>
      <c r="BA107">
        <v>59</v>
      </c>
      <c r="BB107">
        <v>4.8099999999999996</v>
      </c>
      <c r="BC107">
        <v>45</v>
      </c>
      <c r="BD107">
        <v>0.01</v>
      </c>
      <c r="BE107">
        <v>0.05</v>
      </c>
      <c r="BF107">
        <v>0.13</v>
      </c>
      <c r="BG107">
        <v>82</v>
      </c>
      <c r="BH107">
        <v>0.17</v>
      </c>
      <c r="BI107">
        <v>0.3</v>
      </c>
      <c r="BJ107">
        <v>0</v>
      </c>
      <c r="BK107">
        <v>0</v>
      </c>
      <c r="BL107">
        <v>-1.69</v>
      </c>
      <c r="BM107">
        <v>-2.14</v>
      </c>
      <c r="BN107">
        <v>-2.99</v>
      </c>
      <c r="BO107">
        <v>-1.05</v>
      </c>
      <c r="BP107">
        <v>3.53</v>
      </c>
      <c r="BQ107">
        <v>-3.12</v>
      </c>
      <c r="BR107">
        <v>1.37</v>
      </c>
      <c r="BS107">
        <v>-1.95</v>
      </c>
      <c r="BT107">
        <v>-1.05</v>
      </c>
      <c r="BU107">
        <v>-1.32</v>
      </c>
      <c r="BV107">
        <v>-1.76</v>
      </c>
      <c r="BW107">
        <v>-1.02</v>
      </c>
      <c r="BX107">
        <v>-1.19</v>
      </c>
      <c r="BY107">
        <v>-0.65</v>
      </c>
      <c r="BZ107">
        <v>-3.14</v>
      </c>
      <c r="CA107">
        <v>-1.83</v>
      </c>
      <c r="CB107">
        <v>-1.6</v>
      </c>
      <c r="CC107">
        <v>-1.61</v>
      </c>
      <c r="CD107">
        <v>-7.0000000000000007E-2</v>
      </c>
      <c r="CE107">
        <v>-1.04</v>
      </c>
      <c r="CF107">
        <v>-1.18</v>
      </c>
      <c r="CG107">
        <v>0</v>
      </c>
      <c r="CH107">
        <v>0.06</v>
      </c>
      <c r="CI107">
        <v>0</v>
      </c>
      <c r="CJ107">
        <v>-9.8000000000000007</v>
      </c>
      <c r="CK107">
        <v>89</v>
      </c>
      <c r="CL107">
        <v>-0.81</v>
      </c>
      <c r="CM107">
        <v>86</v>
      </c>
      <c r="CN107">
        <v>-0.22</v>
      </c>
      <c r="CO107">
        <v>85</v>
      </c>
      <c r="CP107">
        <v>-8.4</v>
      </c>
      <c r="CQ107">
        <v>63</v>
      </c>
      <c r="CR107">
        <v>0</v>
      </c>
      <c r="CS107">
        <v>0</v>
      </c>
      <c r="CT107">
        <v>0.1</v>
      </c>
      <c r="CU107">
        <v>64</v>
      </c>
      <c r="CV107">
        <v>0.03</v>
      </c>
      <c r="CW107">
        <v>45</v>
      </c>
      <c r="CX107" t="s">
        <v>3085</v>
      </c>
    </row>
    <row r="108" spans="1:102" x14ac:dyDescent="0.3">
      <c r="A108" t="str">
        <f>HYPERLINK("https://webapp.icbf.com/v2/app/bull-search/view/508760058","SJU")</f>
        <v>SJU</v>
      </c>
      <c r="B108" t="s">
        <v>1597</v>
      </c>
      <c r="C108" t="s">
        <v>1598</v>
      </c>
      <c r="D108" s="1">
        <v>36757</v>
      </c>
      <c r="E108" t="s">
        <v>395</v>
      </c>
      <c r="F108">
        <v>0</v>
      </c>
      <c r="G108" t="s">
        <v>93</v>
      </c>
      <c r="H108">
        <v>242.62</v>
      </c>
      <c r="I108">
        <v>96</v>
      </c>
      <c r="J108">
        <v>8.9600000000000009</v>
      </c>
      <c r="K108">
        <v>99</v>
      </c>
      <c r="L108">
        <v>151.47999999999999</v>
      </c>
      <c r="M108">
        <v>93</v>
      </c>
      <c r="N108">
        <v>46.75</v>
      </c>
      <c r="O108">
        <v>97</v>
      </c>
      <c r="P108">
        <v>-2.82</v>
      </c>
      <c r="Q108">
        <v>98</v>
      </c>
      <c r="R108">
        <v>18.27</v>
      </c>
      <c r="S108">
        <v>93</v>
      </c>
      <c r="T108">
        <v>11.24</v>
      </c>
      <c r="U108">
        <v>97</v>
      </c>
      <c r="V108">
        <v>8.74</v>
      </c>
      <c r="W108">
        <v>96</v>
      </c>
      <c r="X108" t="s">
        <v>94</v>
      </c>
      <c r="Y108" t="s">
        <v>221</v>
      </c>
      <c r="Z108">
        <v>0</v>
      </c>
      <c r="AA108" t="s">
        <v>1599</v>
      </c>
      <c r="AB108" t="s">
        <v>1600</v>
      </c>
      <c r="AC108">
        <v>459</v>
      </c>
      <c r="AD108">
        <v>189</v>
      </c>
      <c r="AE108">
        <v>99</v>
      </c>
      <c r="AF108">
        <v>-183.29</v>
      </c>
      <c r="AG108">
        <v>-2.0699999999999998</v>
      </c>
      <c r="AH108">
        <v>-0.55000000000000004</v>
      </c>
      <c r="AI108">
        <v>0.09</v>
      </c>
      <c r="AJ108">
        <v>0.1</v>
      </c>
      <c r="AK108">
        <v>93</v>
      </c>
      <c r="AL108">
        <v>508</v>
      </c>
      <c r="AM108">
        <v>200</v>
      </c>
      <c r="AN108">
        <v>-7.53</v>
      </c>
      <c r="AO108">
        <v>4.5599999999999996</v>
      </c>
      <c r="AP108">
        <v>949</v>
      </c>
      <c r="AQ108">
        <v>8</v>
      </c>
      <c r="AR108">
        <v>4.33</v>
      </c>
      <c r="AS108">
        <v>95</v>
      </c>
      <c r="AT108">
        <v>1.75</v>
      </c>
      <c r="AU108">
        <v>97</v>
      </c>
      <c r="AV108">
        <v>-3.74</v>
      </c>
      <c r="AW108">
        <v>99</v>
      </c>
      <c r="AX108">
        <v>-0.03</v>
      </c>
      <c r="AY108">
        <v>96</v>
      </c>
      <c r="AZ108">
        <v>6.19</v>
      </c>
      <c r="BA108">
        <v>89</v>
      </c>
      <c r="BB108">
        <v>5.0999999999999996</v>
      </c>
      <c r="BC108">
        <v>92</v>
      </c>
      <c r="BD108">
        <v>-0.06</v>
      </c>
      <c r="BE108">
        <v>-0.1</v>
      </c>
      <c r="BF108">
        <v>-0.13</v>
      </c>
      <c r="BG108">
        <v>97</v>
      </c>
      <c r="BH108">
        <v>0.04</v>
      </c>
      <c r="BI108">
        <v>-23.58</v>
      </c>
      <c r="BJ108">
        <v>33</v>
      </c>
      <c r="BK108">
        <v>19</v>
      </c>
      <c r="BL108">
        <v>-1.65</v>
      </c>
      <c r="BM108">
        <v>0.48</v>
      </c>
      <c r="BN108">
        <v>-1.69</v>
      </c>
      <c r="BO108">
        <v>-1.42</v>
      </c>
      <c r="BP108">
        <v>0.59</v>
      </c>
      <c r="BQ108">
        <v>-0.97</v>
      </c>
      <c r="BR108">
        <v>1.1499999999999999</v>
      </c>
      <c r="BS108">
        <v>0.94</v>
      </c>
      <c r="BT108">
        <v>-0.8</v>
      </c>
      <c r="BU108">
        <v>-1.1299999999999999</v>
      </c>
      <c r="BV108">
        <v>-3.44</v>
      </c>
      <c r="BW108">
        <v>-3.15</v>
      </c>
      <c r="BX108">
        <v>-0.55000000000000004</v>
      </c>
      <c r="BY108">
        <v>-1.2</v>
      </c>
      <c r="BZ108">
        <v>-2.27</v>
      </c>
      <c r="CA108">
        <v>-1.94</v>
      </c>
      <c r="CB108">
        <v>-2.09</v>
      </c>
      <c r="CC108">
        <v>-0.9</v>
      </c>
      <c r="CD108">
        <v>1.1100000000000001</v>
      </c>
      <c r="CE108">
        <v>-1.48</v>
      </c>
      <c r="CF108">
        <v>-1.93</v>
      </c>
      <c r="CG108">
        <v>0</v>
      </c>
      <c r="CH108">
        <v>-1.3</v>
      </c>
      <c r="CI108">
        <v>0</v>
      </c>
      <c r="CJ108">
        <v>-1.5</v>
      </c>
      <c r="CK108">
        <v>99</v>
      </c>
      <c r="CL108">
        <v>-0.32</v>
      </c>
      <c r="CM108">
        <v>98</v>
      </c>
      <c r="CN108">
        <v>-0.31</v>
      </c>
      <c r="CO108">
        <v>98</v>
      </c>
      <c r="CP108">
        <v>-7.2</v>
      </c>
      <c r="CQ108">
        <v>97</v>
      </c>
      <c r="CR108">
        <v>0</v>
      </c>
      <c r="CS108">
        <v>0</v>
      </c>
      <c r="CT108">
        <v>-1.4</v>
      </c>
      <c r="CU108">
        <v>97</v>
      </c>
      <c r="CV108">
        <v>0.03</v>
      </c>
      <c r="CW108">
        <v>47</v>
      </c>
      <c r="CX108" t="s">
        <v>398</v>
      </c>
    </row>
    <row r="109" spans="1:102" x14ac:dyDescent="0.3">
      <c r="A109" t="str">
        <f>HYPERLINK("https://webapp.icbf.com/v2/app/bull-search/view/1137075665","FR2039")</f>
        <v>FR2039</v>
      </c>
      <c r="B109" t="s">
        <v>414</v>
      </c>
      <c r="C109" t="s">
        <v>415</v>
      </c>
      <c r="D109" s="1">
        <v>41670</v>
      </c>
      <c r="E109" t="s">
        <v>92</v>
      </c>
      <c r="F109">
        <v>66</v>
      </c>
      <c r="G109" t="s">
        <v>93</v>
      </c>
      <c r="H109">
        <v>242.28</v>
      </c>
      <c r="I109">
        <v>79</v>
      </c>
      <c r="J109">
        <v>16.309999999999999</v>
      </c>
      <c r="K109">
        <v>93</v>
      </c>
      <c r="L109">
        <v>157.13999999999999</v>
      </c>
      <c r="M109">
        <v>69</v>
      </c>
      <c r="N109">
        <v>43.74</v>
      </c>
      <c r="O109">
        <v>78</v>
      </c>
      <c r="P109">
        <v>-5.45</v>
      </c>
      <c r="Q109">
        <v>80</v>
      </c>
      <c r="R109">
        <v>4.45</v>
      </c>
      <c r="S109">
        <v>69</v>
      </c>
      <c r="T109">
        <v>14.27</v>
      </c>
      <c r="U109">
        <v>79</v>
      </c>
      <c r="V109">
        <v>11.82</v>
      </c>
      <c r="W109">
        <v>67</v>
      </c>
      <c r="X109" t="s">
        <v>94</v>
      </c>
      <c r="Y109" t="s">
        <v>416</v>
      </c>
      <c r="Z109" t="s">
        <v>96</v>
      </c>
      <c r="AA109" t="s">
        <v>417</v>
      </c>
      <c r="AB109" t="s">
        <v>418</v>
      </c>
      <c r="AC109">
        <v>53</v>
      </c>
      <c r="AD109">
        <v>16</v>
      </c>
      <c r="AE109">
        <v>93</v>
      </c>
      <c r="AF109">
        <v>-217.27</v>
      </c>
      <c r="AG109">
        <v>-1.36</v>
      </c>
      <c r="AH109">
        <v>-7.0000000000000007E-2</v>
      </c>
      <c r="AI109">
        <v>0.13</v>
      </c>
      <c r="AJ109">
        <v>0.13</v>
      </c>
      <c r="AK109">
        <v>69</v>
      </c>
      <c r="AL109">
        <v>33</v>
      </c>
      <c r="AM109">
        <v>12</v>
      </c>
      <c r="AN109">
        <v>-9.4600000000000009</v>
      </c>
      <c r="AO109">
        <v>3.06</v>
      </c>
      <c r="AP109">
        <v>154</v>
      </c>
      <c r="AQ109">
        <v>2</v>
      </c>
      <c r="AR109">
        <v>5.29</v>
      </c>
      <c r="AS109">
        <v>63</v>
      </c>
      <c r="AT109">
        <v>2.5299999999999998</v>
      </c>
      <c r="AU109">
        <v>83</v>
      </c>
      <c r="AV109">
        <v>-3.91</v>
      </c>
      <c r="AW109">
        <v>92</v>
      </c>
      <c r="AX109">
        <v>-0.84</v>
      </c>
      <c r="AY109">
        <v>75</v>
      </c>
      <c r="AZ109">
        <v>6.18</v>
      </c>
      <c r="BA109">
        <v>53</v>
      </c>
      <c r="BB109">
        <v>5.0199999999999996</v>
      </c>
      <c r="BC109">
        <v>46</v>
      </c>
      <c r="BD109">
        <v>-0.02</v>
      </c>
      <c r="BE109">
        <v>-0.01</v>
      </c>
      <c r="BF109">
        <v>-0.05</v>
      </c>
      <c r="BG109">
        <v>80</v>
      </c>
      <c r="BH109">
        <v>0.33</v>
      </c>
      <c r="BI109">
        <v>0.04</v>
      </c>
      <c r="BJ109">
        <v>0</v>
      </c>
      <c r="BK109">
        <v>0</v>
      </c>
      <c r="BL109">
        <v>-0.45</v>
      </c>
      <c r="BM109">
        <v>1.68</v>
      </c>
      <c r="BN109">
        <v>-1.08</v>
      </c>
      <c r="BO109">
        <v>-2</v>
      </c>
      <c r="BP109">
        <v>0.03</v>
      </c>
      <c r="BQ109">
        <v>2.2599999999999998</v>
      </c>
      <c r="BR109">
        <v>-2</v>
      </c>
      <c r="BS109">
        <v>0.85</v>
      </c>
      <c r="BT109">
        <v>1.49</v>
      </c>
      <c r="BU109">
        <v>0.38</v>
      </c>
      <c r="BV109">
        <v>-0.97</v>
      </c>
      <c r="BW109">
        <v>-0.48</v>
      </c>
      <c r="BX109">
        <v>1.78</v>
      </c>
      <c r="BY109">
        <v>-0.74</v>
      </c>
      <c r="BZ109">
        <v>-2.84</v>
      </c>
      <c r="CA109">
        <v>-0.23</v>
      </c>
      <c r="CB109">
        <v>-0.35</v>
      </c>
      <c r="CC109">
        <v>0.48</v>
      </c>
      <c r="CD109">
        <v>1.75</v>
      </c>
      <c r="CE109">
        <v>-1.48</v>
      </c>
      <c r="CF109">
        <v>-0.54</v>
      </c>
      <c r="CG109">
        <v>0</v>
      </c>
      <c r="CH109">
        <v>0.15</v>
      </c>
      <c r="CI109">
        <v>0</v>
      </c>
      <c r="CJ109">
        <v>-0.4</v>
      </c>
      <c r="CK109">
        <v>83</v>
      </c>
      <c r="CL109">
        <v>-0.43</v>
      </c>
      <c r="CM109">
        <v>79</v>
      </c>
      <c r="CN109">
        <v>-0.02</v>
      </c>
      <c r="CO109">
        <v>77</v>
      </c>
      <c r="CP109">
        <v>-4.5999999999999996</v>
      </c>
      <c r="CQ109">
        <v>71</v>
      </c>
      <c r="CR109">
        <v>0</v>
      </c>
      <c r="CS109">
        <v>0</v>
      </c>
      <c r="CT109">
        <v>-5.5</v>
      </c>
      <c r="CU109">
        <v>79</v>
      </c>
      <c r="CV109">
        <v>0.15</v>
      </c>
      <c r="CW109">
        <v>43</v>
      </c>
      <c r="CX109" t="s">
        <v>419</v>
      </c>
    </row>
    <row r="110" spans="1:102" x14ac:dyDescent="0.3">
      <c r="A110" t="str">
        <f>HYPERLINK("https://webapp.icbf.com/v2/app/bull-search/view/1146533695","FR2053")</f>
        <v>FR2053</v>
      </c>
      <c r="B110" t="s">
        <v>9763</v>
      </c>
      <c r="C110" t="s">
        <v>6204</v>
      </c>
      <c r="D110" s="1">
        <v>41700</v>
      </c>
      <c r="E110" t="s">
        <v>92</v>
      </c>
      <c r="F110">
        <v>66</v>
      </c>
      <c r="G110" t="s">
        <v>93</v>
      </c>
      <c r="H110">
        <v>242.02</v>
      </c>
      <c r="I110">
        <v>92</v>
      </c>
      <c r="J110">
        <v>110.99</v>
      </c>
      <c r="K110">
        <v>99</v>
      </c>
      <c r="L110">
        <v>65.92</v>
      </c>
      <c r="M110">
        <v>83</v>
      </c>
      <c r="N110">
        <v>59.71</v>
      </c>
      <c r="O110">
        <v>94</v>
      </c>
      <c r="P110">
        <v>-5.6</v>
      </c>
      <c r="Q110">
        <v>98</v>
      </c>
      <c r="R110">
        <v>-10.86</v>
      </c>
      <c r="S110">
        <v>89</v>
      </c>
      <c r="T110">
        <v>11.98</v>
      </c>
      <c r="U110">
        <v>97</v>
      </c>
      <c r="V110">
        <v>9.8800000000000008</v>
      </c>
      <c r="W110">
        <v>79</v>
      </c>
      <c r="X110" t="s">
        <v>276</v>
      </c>
      <c r="Y110" t="s">
        <v>416</v>
      </c>
      <c r="Z110" t="s">
        <v>330</v>
      </c>
      <c r="AA110" t="s">
        <v>2514</v>
      </c>
      <c r="AB110" t="s">
        <v>9764</v>
      </c>
      <c r="AC110">
        <v>2087</v>
      </c>
      <c r="AD110">
        <v>568</v>
      </c>
      <c r="AE110">
        <v>99</v>
      </c>
      <c r="AF110">
        <v>85.74</v>
      </c>
      <c r="AG110">
        <v>17.89</v>
      </c>
      <c r="AH110">
        <v>13.86</v>
      </c>
      <c r="AI110">
        <v>0.25</v>
      </c>
      <c r="AJ110">
        <v>0.19</v>
      </c>
      <c r="AK110">
        <v>83</v>
      </c>
      <c r="AL110">
        <v>219</v>
      </c>
      <c r="AM110">
        <v>108</v>
      </c>
      <c r="AN110">
        <v>-4.12</v>
      </c>
      <c r="AO110">
        <v>1.1299999999999999</v>
      </c>
      <c r="AP110">
        <v>13246</v>
      </c>
      <c r="AQ110">
        <v>56</v>
      </c>
      <c r="AR110">
        <v>5.56</v>
      </c>
      <c r="AS110">
        <v>98</v>
      </c>
      <c r="AT110">
        <v>2.1800000000000002</v>
      </c>
      <c r="AU110">
        <v>99</v>
      </c>
      <c r="AV110">
        <v>-5.19</v>
      </c>
      <c r="AW110">
        <v>99</v>
      </c>
      <c r="AX110">
        <v>-0.49</v>
      </c>
      <c r="AY110">
        <v>99</v>
      </c>
      <c r="AZ110">
        <v>5.71</v>
      </c>
      <c r="BA110">
        <v>96</v>
      </c>
      <c r="BB110">
        <v>4.0999999999999996</v>
      </c>
      <c r="BC110">
        <v>63</v>
      </c>
      <c r="BD110">
        <v>0.01</v>
      </c>
      <c r="BE110">
        <v>7.0000000000000007E-2</v>
      </c>
      <c r="BF110">
        <v>0.1</v>
      </c>
      <c r="BG110">
        <v>98</v>
      </c>
      <c r="BH110">
        <v>0.1</v>
      </c>
      <c r="BI110">
        <v>-20.29</v>
      </c>
      <c r="BJ110">
        <v>5</v>
      </c>
      <c r="BK110">
        <v>2</v>
      </c>
      <c r="BL110">
        <v>-1.56</v>
      </c>
      <c r="BM110">
        <v>0.24</v>
      </c>
      <c r="BN110">
        <v>-1.3</v>
      </c>
      <c r="BO110">
        <v>-1.1299999999999999</v>
      </c>
      <c r="BP110">
        <v>-0.56999999999999995</v>
      </c>
      <c r="BQ110">
        <v>-1.38</v>
      </c>
      <c r="BR110">
        <v>1.1100000000000001</v>
      </c>
      <c r="BS110">
        <v>-1.71</v>
      </c>
      <c r="BT110">
        <v>-2.2999999999999998</v>
      </c>
      <c r="BU110">
        <v>0.42</v>
      </c>
      <c r="BV110">
        <v>-0.67</v>
      </c>
      <c r="BW110">
        <v>-0.59</v>
      </c>
      <c r="BX110">
        <v>-0.22</v>
      </c>
      <c r="BY110">
        <v>-0.87</v>
      </c>
      <c r="BZ110">
        <v>-0.72</v>
      </c>
      <c r="CA110">
        <v>-0.21</v>
      </c>
      <c r="CB110">
        <v>0.38</v>
      </c>
      <c r="CC110">
        <v>-1.39</v>
      </c>
      <c r="CD110">
        <v>0.51</v>
      </c>
      <c r="CE110">
        <v>-0.69</v>
      </c>
      <c r="CF110">
        <v>-1.19</v>
      </c>
      <c r="CG110">
        <v>0</v>
      </c>
      <c r="CH110">
        <v>0</v>
      </c>
      <c r="CI110">
        <v>0</v>
      </c>
      <c r="CJ110">
        <v>-1</v>
      </c>
      <c r="CK110">
        <v>99</v>
      </c>
      <c r="CL110">
        <v>-0.62</v>
      </c>
      <c r="CM110">
        <v>99</v>
      </c>
      <c r="CN110">
        <v>-0.23</v>
      </c>
      <c r="CO110">
        <v>99</v>
      </c>
      <c r="CP110">
        <v>-3.4</v>
      </c>
      <c r="CQ110">
        <v>89</v>
      </c>
      <c r="CR110">
        <v>0</v>
      </c>
      <c r="CS110">
        <v>0</v>
      </c>
      <c r="CT110">
        <v>-2.4</v>
      </c>
      <c r="CU110">
        <v>97</v>
      </c>
      <c r="CV110">
        <v>0.14000000000000001</v>
      </c>
      <c r="CW110">
        <v>51</v>
      </c>
      <c r="CX110" t="s">
        <v>1514</v>
      </c>
    </row>
    <row r="111" spans="1:102" x14ac:dyDescent="0.3">
      <c r="A111" t="str">
        <f>HYPERLINK("https://webapp.icbf.com/v2/app/bull-search/view/1247608384","FR2298")</f>
        <v>FR2298</v>
      </c>
      <c r="B111" t="s">
        <v>7661</v>
      </c>
      <c r="C111" t="s">
        <v>7662</v>
      </c>
      <c r="D111" s="1">
        <v>42044</v>
      </c>
      <c r="E111" t="s">
        <v>92</v>
      </c>
      <c r="F111">
        <v>78</v>
      </c>
      <c r="G111" t="s">
        <v>93</v>
      </c>
      <c r="H111">
        <v>241.73</v>
      </c>
      <c r="I111">
        <v>88</v>
      </c>
      <c r="J111">
        <v>89.05</v>
      </c>
      <c r="K111">
        <v>98</v>
      </c>
      <c r="L111">
        <v>105.11</v>
      </c>
      <c r="M111">
        <v>78</v>
      </c>
      <c r="N111">
        <v>34.83</v>
      </c>
      <c r="O111">
        <v>91</v>
      </c>
      <c r="P111">
        <v>-2.12</v>
      </c>
      <c r="Q111">
        <v>97</v>
      </c>
      <c r="R111">
        <v>3.38</v>
      </c>
      <c r="S111">
        <v>81</v>
      </c>
      <c r="T111">
        <v>4.6500000000000004</v>
      </c>
      <c r="U111">
        <v>88</v>
      </c>
      <c r="V111">
        <v>6.83</v>
      </c>
      <c r="W111">
        <v>73</v>
      </c>
      <c r="X111" t="s">
        <v>94</v>
      </c>
      <c r="Y111" t="s">
        <v>416</v>
      </c>
      <c r="Z111" t="s">
        <v>96</v>
      </c>
      <c r="AA111" t="s">
        <v>2157</v>
      </c>
      <c r="AB111" t="s">
        <v>7663</v>
      </c>
      <c r="AC111">
        <v>456</v>
      </c>
      <c r="AD111">
        <v>198</v>
      </c>
      <c r="AE111">
        <v>98</v>
      </c>
      <c r="AF111">
        <v>194.26</v>
      </c>
      <c r="AG111">
        <v>11.36</v>
      </c>
      <c r="AH111">
        <v>14.1</v>
      </c>
      <c r="AI111">
        <v>0.06</v>
      </c>
      <c r="AJ111">
        <v>0.13</v>
      </c>
      <c r="AK111">
        <v>78</v>
      </c>
      <c r="AL111">
        <v>1</v>
      </c>
      <c r="AM111">
        <v>1</v>
      </c>
      <c r="AN111">
        <v>-5.12</v>
      </c>
      <c r="AO111">
        <v>3.27</v>
      </c>
      <c r="AP111">
        <v>28583</v>
      </c>
      <c r="AQ111">
        <v>57</v>
      </c>
      <c r="AR111">
        <v>5.77</v>
      </c>
      <c r="AS111">
        <v>97</v>
      </c>
      <c r="AT111">
        <v>2.5299999999999998</v>
      </c>
      <c r="AU111">
        <v>99</v>
      </c>
      <c r="AV111">
        <v>-2.87</v>
      </c>
      <c r="AW111">
        <v>99</v>
      </c>
      <c r="AX111">
        <v>-0.57999999999999996</v>
      </c>
      <c r="AY111">
        <v>99</v>
      </c>
      <c r="AZ111">
        <v>5.99</v>
      </c>
      <c r="BA111">
        <v>85</v>
      </c>
      <c r="BB111">
        <v>4.8499999999999996</v>
      </c>
      <c r="BC111">
        <v>45</v>
      </c>
      <c r="BD111">
        <v>-0.04</v>
      </c>
      <c r="BE111">
        <v>0.01</v>
      </c>
      <c r="BF111">
        <v>-0.03</v>
      </c>
      <c r="BG111">
        <v>93</v>
      </c>
      <c r="BH111">
        <v>0.26</v>
      </c>
      <c r="BI111">
        <v>8.0299999999999994</v>
      </c>
      <c r="BJ111">
        <v>1</v>
      </c>
      <c r="BK111">
        <v>1</v>
      </c>
      <c r="BL111">
        <v>-0.54</v>
      </c>
      <c r="BM111">
        <v>-0.56999999999999995</v>
      </c>
      <c r="BN111">
        <v>-2.92</v>
      </c>
      <c r="BO111">
        <v>-2.39</v>
      </c>
      <c r="BP111">
        <v>2</v>
      </c>
      <c r="BQ111">
        <v>-2.92</v>
      </c>
      <c r="BR111">
        <v>-1.08</v>
      </c>
      <c r="BS111">
        <v>-0.57999999999999996</v>
      </c>
      <c r="BT111">
        <v>-0.4</v>
      </c>
      <c r="BU111">
        <v>-1.97</v>
      </c>
      <c r="BV111">
        <v>-2.82</v>
      </c>
      <c r="BW111">
        <v>-1.58</v>
      </c>
      <c r="BX111">
        <v>-0.09</v>
      </c>
      <c r="BY111">
        <v>-2.89</v>
      </c>
      <c r="BZ111">
        <v>-0.3</v>
      </c>
      <c r="CA111">
        <v>-1.89</v>
      </c>
      <c r="CB111">
        <v>-2.12</v>
      </c>
      <c r="CC111">
        <v>-0.53</v>
      </c>
      <c r="CD111">
        <v>1.07</v>
      </c>
      <c r="CE111">
        <v>-2.25</v>
      </c>
      <c r="CF111">
        <v>-2.16</v>
      </c>
      <c r="CG111">
        <v>0</v>
      </c>
      <c r="CH111">
        <v>-1.28</v>
      </c>
      <c r="CI111">
        <v>0</v>
      </c>
      <c r="CJ111">
        <v>-2.5</v>
      </c>
      <c r="CK111">
        <v>99</v>
      </c>
      <c r="CL111">
        <v>-0.33</v>
      </c>
      <c r="CM111">
        <v>99</v>
      </c>
      <c r="CN111">
        <v>-0.36</v>
      </c>
      <c r="CO111">
        <v>99</v>
      </c>
      <c r="CP111">
        <v>3.5</v>
      </c>
      <c r="CQ111">
        <v>74</v>
      </c>
      <c r="CR111">
        <v>0</v>
      </c>
      <c r="CS111">
        <v>0</v>
      </c>
      <c r="CT111">
        <v>7.5</v>
      </c>
      <c r="CU111">
        <v>88</v>
      </c>
      <c r="CV111">
        <v>-0.04</v>
      </c>
      <c r="CW111">
        <v>48</v>
      </c>
      <c r="CX111" t="s">
        <v>1229</v>
      </c>
    </row>
    <row r="112" spans="1:102" x14ac:dyDescent="0.3">
      <c r="A112" t="str">
        <f>HYPERLINK("https://webapp.icbf.com/v2/app/bull-search/view/868797174","ZCA")</f>
        <v>ZCA</v>
      </c>
      <c r="B112" t="s">
        <v>7595</v>
      </c>
      <c r="C112" t="s">
        <v>7596</v>
      </c>
      <c r="D112" s="1">
        <v>40610</v>
      </c>
      <c r="E112" t="s">
        <v>92</v>
      </c>
      <c r="F112">
        <v>91</v>
      </c>
      <c r="G112" t="s">
        <v>93</v>
      </c>
      <c r="H112">
        <v>241.13</v>
      </c>
      <c r="I112">
        <v>88</v>
      </c>
      <c r="J112">
        <v>62.19</v>
      </c>
      <c r="K112">
        <v>98</v>
      </c>
      <c r="L112">
        <v>133.13999999999999</v>
      </c>
      <c r="M112">
        <v>81</v>
      </c>
      <c r="N112">
        <v>38.11</v>
      </c>
      <c r="O112">
        <v>89</v>
      </c>
      <c r="P112">
        <v>-2.16</v>
      </c>
      <c r="Q112">
        <v>94</v>
      </c>
      <c r="R112">
        <v>15.25</v>
      </c>
      <c r="S112">
        <v>81</v>
      </c>
      <c r="T112">
        <v>-2.75</v>
      </c>
      <c r="U112">
        <v>85</v>
      </c>
      <c r="V112">
        <v>-2.65</v>
      </c>
      <c r="W112">
        <v>74</v>
      </c>
      <c r="X112" t="s">
        <v>94</v>
      </c>
      <c r="Y112" t="s">
        <v>1860</v>
      </c>
      <c r="Z112" t="s">
        <v>96</v>
      </c>
      <c r="AA112" t="s">
        <v>5692</v>
      </c>
      <c r="AB112" t="s">
        <v>7597</v>
      </c>
      <c r="AC112">
        <v>162</v>
      </c>
      <c r="AD112">
        <v>84</v>
      </c>
      <c r="AE112">
        <v>98</v>
      </c>
      <c r="AF112">
        <v>-83.01</v>
      </c>
      <c r="AG112">
        <v>12.06</v>
      </c>
      <c r="AH112">
        <v>5.04</v>
      </c>
      <c r="AI112">
        <v>0.27</v>
      </c>
      <c r="AJ112">
        <v>0.14000000000000001</v>
      </c>
      <c r="AK112">
        <v>81</v>
      </c>
      <c r="AL112">
        <v>169</v>
      </c>
      <c r="AM112">
        <v>99</v>
      </c>
      <c r="AN112">
        <v>-7.83</v>
      </c>
      <c r="AO112">
        <v>2.78</v>
      </c>
      <c r="AP112">
        <v>319</v>
      </c>
      <c r="AQ112">
        <v>7</v>
      </c>
      <c r="AR112">
        <v>7.14</v>
      </c>
      <c r="AS112">
        <v>78</v>
      </c>
      <c r="AT112">
        <v>2.56</v>
      </c>
      <c r="AU112">
        <v>91</v>
      </c>
      <c r="AV112">
        <v>-3.61</v>
      </c>
      <c r="AW112">
        <v>98</v>
      </c>
      <c r="AX112">
        <v>-0.36</v>
      </c>
      <c r="AY112">
        <v>87</v>
      </c>
      <c r="AZ112">
        <v>5.72</v>
      </c>
      <c r="BA112">
        <v>72</v>
      </c>
      <c r="BB112">
        <v>4.67</v>
      </c>
      <c r="BC112">
        <v>72</v>
      </c>
      <c r="BD112">
        <v>-0.1</v>
      </c>
      <c r="BE112">
        <v>-0.06</v>
      </c>
      <c r="BF112">
        <v>-7.0000000000000007E-2</v>
      </c>
      <c r="BG112">
        <v>92</v>
      </c>
      <c r="BH112">
        <v>-0.16</v>
      </c>
      <c r="BI112">
        <v>-9.9700000000000006</v>
      </c>
      <c r="BJ112">
        <v>35</v>
      </c>
      <c r="BK112">
        <v>17</v>
      </c>
      <c r="BL112">
        <v>-0.34</v>
      </c>
      <c r="BM112">
        <v>0.46</v>
      </c>
      <c r="BN112">
        <v>0.3</v>
      </c>
      <c r="BO112">
        <v>-0.01</v>
      </c>
      <c r="BP112">
        <v>0.97</v>
      </c>
      <c r="BQ112">
        <v>-1.45</v>
      </c>
      <c r="BR112">
        <v>-0.68</v>
      </c>
      <c r="BS112">
        <v>-0.54</v>
      </c>
      <c r="BT112">
        <v>0.53</v>
      </c>
      <c r="BU112">
        <v>-1.07</v>
      </c>
      <c r="BV112">
        <v>-1.85</v>
      </c>
      <c r="BW112">
        <v>-2.61</v>
      </c>
      <c r="BX112">
        <v>-1.4</v>
      </c>
      <c r="BY112">
        <v>-2.2799999999999998</v>
      </c>
      <c r="BZ112">
        <v>-1.6</v>
      </c>
      <c r="CA112">
        <v>-1.53</v>
      </c>
      <c r="CB112">
        <v>-1.6</v>
      </c>
      <c r="CC112">
        <v>-0.7</v>
      </c>
      <c r="CD112">
        <v>0.32</v>
      </c>
      <c r="CE112">
        <v>-0.33</v>
      </c>
      <c r="CF112">
        <v>-0.52</v>
      </c>
      <c r="CG112">
        <v>0</v>
      </c>
      <c r="CH112">
        <v>-2.4500000000000002</v>
      </c>
      <c r="CI112">
        <v>0</v>
      </c>
      <c r="CJ112">
        <v>-0.8</v>
      </c>
      <c r="CK112">
        <v>95</v>
      </c>
      <c r="CL112">
        <v>-0.59</v>
      </c>
      <c r="CM112">
        <v>93</v>
      </c>
      <c r="CN112">
        <v>-0.37</v>
      </c>
      <c r="CO112">
        <v>93</v>
      </c>
      <c r="CP112">
        <v>4.7</v>
      </c>
      <c r="CQ112">
        <v>87</v>
      </c>
      <c r="CR112">
        <v>0</v>
      </c>
      <c r="CS112">
        <v>0</v>
      </c>
      <c r="CT112">
        <v>17.5</v>
      </c>
      <c r="CU112">
        <v>85</v>
      </c>
      <c r="CV112">
        <v>0.04</v>
      </c>
      <c r="CW112">
        <v>46</v>
      </c>
      <c r="CX112" t="s">
        <v>316</v>
      </c>
    </row>
    <row r="113" spans="1:102" x14ac:dyDescent="0.3">
      <c r="A113" t="str">
        <f>HYPERLINK("https://webapp.icbf.com/v2/app/bull-search/view/1358323315","FR4103")</f>
        <v>FR4103</v>
      </c>
      <c r="B113" t="s">
        <v>15503</v>
      </c>
      <c r="C113" t="s">
        <v>15504</v>
      </c>
      <c r="D113" s="1">
        <v>42412</v>
      </c>
      <c r="E113" t="s">
        <v>92</v>
      </c>
      <c r="F113">
        <v>88</v>
      </c>
      <c r="G113" t="s">
        <v>435</v>
      </c>
      <c r="H113">
        <v>240.64</v>
      </c>
      <c r="I113">
        <v>76</v>
      </c>
      <c r="J113">
        <v>56.96</v>
      </c>
      <c r="K113">
        <v>89</v>
      </c>
      <c r="L113">
        <v>138.41999999999999</v>
      </c>
      <c r="M113">
        <v>65</v>
      </c>
      <c r="N113">
        <v>47.65</v>
      </c>
      <c r="O113">
        <v>89</v>
      </c>
      <c r="P113">
        <v>-10.119999999999999</v>
      </c>
      <c r="Q113">
        <v>90</v>
      </c>
      <c r="R113">
        <v>-6.25</v>
      </c>
      <c r="S113">
        <v>64</v>
      </c>
      <c r="T113">
        <v>10.79</v>
      </c>
      <c r="U113">
        <v>55</v>
      </c>
      <c r="V113">
        <v>3.19</v>
      </c>
      <c r="W113">
        <v>56</v>
      </c>
      <c r="X113" t="s">
        <v>102</v>
      </c>
      <c r="Y113" t="s">
        <v>436</v>
      </c>
      <c r="Z113" t="s">
        <v>96</v>
      </c>
      <c r="AA113" t="s">
        <v>437</v>
      </c>
      <c r="AB113" t="s">
        <v>15505</v>
      </c>
      <c r="AC113">
        <v>2</v>
      </c>
      <c r="AD113">
        <v>2</v>
      </c>
      <c r="AE113">
        <v>89</v>
      </c>
      <c r="AF113">
        <v>-4.09</v>
      </c>
      <c r="AG113">
        <v>10.53</v>
      </c>
      <c r="AH113">
        <v>5.9</v>
      </c>
      <c r="AI113">
        <v>0.18</v>
      </c>
      <c r="AJ113">
        <v>0.11</v>
      </c>
      <c r="AK113">
        <v>65</v>
      </c>
      <c r="AL113">
        <v>0</v>
      </c>
      <c r="AM113">
        <v>0</v>
      </c>
      <c r="AN113">
        <v>-6.65</v>
      </c>
      <c r="AO113">
        <v>4.4000000000000004</v>
      </c>
      <c r="AP113">
        <v>2504</v>
      </c>
      <c r="AQ113">
        <v>7</v>
      </c>
      <c r="AR113">
        <v>5.83</v>
      </c>
      <c r="AS113">
        <v>93</v>
      </c>
      <c r="AT113">
        <v>2.6</v>
      </c>
      <c r="AU113">
        <v>98</v>
      </c>
      <c r="AV113">
        <v>-4.87</v>
      </c>
      <c r="AW113">
        <v>99</v>
      </c>
      <c r="AX113">
        <v>-0.56999999999999995</v>
      </c>
      <c r="AY113">
        <v>97</v>
      </c>
      <c r="AZ113">
        <v>6.07</v>
      </c>
      <c r="BA113">
        <v>45</v>
      </c>
      <c r="BB113">
        <v>5.32</v>
      </c>
      <c r="BC113">
        <v>45</v>
      </c>
      <c r="BD113">
        <v>0.04</v>
      </c>
      <c r="BE113">
        <v>0.03</v>
      </c>
      <c r="BF113">
        <v>0.02</v>
      </c>
      <c r="BG113">
        <v>72</v>
      </c>
      <c r="BH113">
        <v>7.0000000000000007E-2</v>
      </c>
      <c r="BI113">
        <v>-2.2000000000000002</v>
      </c>
      <c r="BJ113">
        <v>0</v>
      </c>
      <c r="BK113">
        <v>0</v>
      </c>
      <c r="BL113">
        <v>-0.97</v>
      </c>
      <c r="BM113">
        <v>1.48</v>
      </c>
      <c r="BN113">
        <v>-0.78</v>
      </c>
      <c r="BO113">
        <v>-1.49</v>
      </c>
      <c r="BP113">
        <v>1.06</v>
      </c>
      <c r="BQ113">
        <v>0.43</v>
      </c>
      <c r="BR113">
        <v>0.3</v>
      </c>
      <c r="BS113">
        <v>0.94</v>
      </c>
      <c r="BT113">
        <v>-0.49</v>
      </c>
      <c r="BU113">
        <v>-0.04</v>
      </c>
      <c r="BV113">
        <v>-0.03</v>
      </c>
      <c r="BW113">
        <v>-0.79</v>
      </c>
      <c r="BX113">
        <v>0.2</v>
      </c>
      <c r="BY113">
        <v>-0.05</v>
      </c>
      <c r="BZ113">
        <v>-1.63</v>
      </c>
      <c r="CA113">
        <v>-0.46</v>
      </c>
      <c r="CB113">
        <v>-0.66</v>
      </c>
      <c r="CC113">
        <v>0.28000000000000003</v>
      </c>
      <c r="CD113">
        <v>2.21</v>
      </c>
      <c r="CE113">
        <v>-1.42</v>
      </c>
      <c r="CF113">
        <v>-0.22</v>
      </c>
      <c r="CG113">
        <v>0</v>
      </c>
      <c r="CH113">
        <v>0.05</v>
      </c>
      <c r="CI113">
        <v>0</v>
      </c>
      <c r="CJ113">
        <v>-8.5</v>
      </c>
      <c r="CK113">
        <v>93</v>
      </c>
      <c r="CL113">
        <v>-0.28000000000000003</v>
      </c>
      <c r="CM113">
        <v>91</v>
      </c>
      <c r="CN113">
        <v>-0.45</v>
      </c>
      <c r="CO113">
        <v>90</v>
      </c>
      <c r="CP113">
        <v>-5.0999999999999996</v>
      </c>
      <c r="CQ113">
        <v>60</v>
      </c>
      <c r="CR113">
        <v>0</v>
      </c>
      <c r="CS113">
        <v>0</v>
      </c>
      <c r="CT113">
        <v>-0.8</v>
      </c>
      <c r="CU113">
        <v>55</v>
      </c>
      <c r="CV113">
        <v>-0.2</v>
      </c>
      <c r="CW113">
        <v>45</v>
      </c>
      <c r="CX113" t="s">
        <v>7631</v>
      </c>
    </row>
    <row r="114" spans="1:102" x14ac:dyDescent="0.3">
      <c r="A114" t="str">
        <f>HYPERLINK("https://webapp.icbf.com/v2/app/bull-search/view/1337270684","FR4128")</f>
        <v>FR4128</v>
      </c>
      <c r="B114" t="s">
        <v>7200</v>
      </c>
      <c r="C114" t="s">
        <v>7201</v>
      </c>
      <c r="D114" s="1">
        <v>41852</v>
      </c>
      <c r="E114" t="s">
        <v>92</v>
      </c>
      <c r="F114">
        <v>100</v>
      </c>
      <c r="G114" t="s">
        <v>109</v>
      </c>
      <c r="H114">
        <v>240.46</v>
      </c>
      <c r="I114">
        <v>76</v>
      </c>
      <c r="J114">
        <v>51.61</v>
      </c>
      <c r="K114">
        <v>90</v>
      </c>
      <c r="L114">
        <v>133.02000000000001</v>
      </c>
      <c r="M114">
        <v>73</v>
      </c>
      <c r="N114">
        <v>32.47</v>
      </c>
      <c r="O114">
        <v>83</v>
      </c>
      <c r="P114">
        <v>-1.4</v>
      </c>
      <c r="Q114">
        <v>69</v>
      </c>
      <c r="R114">
        <v>19.510000000000002</v>
      </c>
      <c r="S114">
        <v>68</v>
      </c>
      <c r="T114">
        <v>-4.53</v>
      </c>
      <c r="U114">
        <v>43</v>
      </c>
      <c r="V114">
        <v>9.7799999999999994</v>
      </c>
      <c r="W114">
        <v>55</v>
      </c>
      <c r="X114" t="s">
        <v>428</v>
      </c>
      <c r="Y114" t="s">
        <v>429</v>
      </c>
      <c r="Z114" t="s">
        <v>96</v>
      </c>
      <c r="AA114" t="s">
        <v>2267</v>
      </c>
      <c r="AB114" t="s">
        <v>7202</v>
      </c>
      <c r="AC114">
        <v>0</v>
      </c>
      <c r="AD114">
        <v>0</v>
      </c>
      <c r="AE114">
        <v>90</v>
      </c>
      <c r="AF114">
        <v>262.52999999999997</v>
      </c>
      <c r="AG114">
        <v>14.77</v>
      </c>
      <c r="AH114">
        <v>7.57</v>
      </c>
      <c r="AI114">
        <v>0.08</v>
      </c>
      <c r="AJ114">
        <v>-0.02</v>
      </c>
      <c r="AK114">
        <v>73</v>
      </c>
      <c r="AL114">
        <v>0</v>
      </c>
      <c r="AM114">
        <v>0</v>
      </c>
      <c r="AN114">
        <v>-7.11</v>
      </c>
      <c r="AO114">
        <v>3.5</v>
      </c>
      <c r="AP114">
        <v>447</v>
      </c>
      <c r="AQ114">
        <v>1</v>
      </c>
      <c r="AR114">
        <v>5.0599999999999996</v>
      </c>
      <c r="AS114">
        <v>89</v>
      </c>
      <c r="AT114">
        <v>2.35</v>
      </c>
      <c r="AU114">
        <v>90</v>
      </c>
      <c r="AV114">
        <v>-2.35</v>
      </c>
      <c r="AW114">
        <v>97</v>
      </c>
      <c r="AX114">
        <v>0.1</v>
      </c>
      <c r="AY114">
        <v>88</v>
      </c>
      <c r="AZ114">
        <v>5.59</v>
      </c>
      <c r="BA114">
        <v>40</v>
      </c>
      <c r="BB114">
        <v>4.82</v>
      </c>
      <c r="BC114">
        <v>35</v>
      </c>
      <c r="BD114">
        <v>-0.04</v>
      </c>
      <c r="BE114">
        <v>-0.08</v>
      </c>
      <c r="BF114">
        <v>-0.23</v>
      </c>
      <c r="BG114">
        <v>84</v>
      </c>
      <c r="BH114">
        <v>0.25</v>
      </c>
      <c r="BI114">
        <v>-2.62</v>
      </c>
      <c r="BJ114">
        <v>0</v>
      </c>
      <c r="BK114">
        <v>0</v>
      </c>
      <c r="BL114">
        <v>1.24</v>
      </c>
      <c r="BM114">
        <v>1.01</v>
      </c>
      <c r="BN114">
        <v>0.83</v>
      </c>
      <c r="BO114">
        <v>0.06</v>
      </c>
      <c r="BP114">
        <v>-0.11</v>
      </c>
      <c r="BQ114">
        <v>0.25</v>
      </c>
      <c r="BR114">
        <v>-3.25</v>
      </c>
      <c r="BS114">
        <v>3.21</v>
      </c>
      <c r="BT114">
        <v>3.59</v>
      </c>
      <c r="BU114">
        <v>3.3</v>
      </c>
      <c r="BV114">
        <v>2.2599999999999998</v>
      </c>
      <c r="BW114">
        <v>2.5</v>
      </c>
      <c r="BX114">
        <v>2.83</v>
      </c>
      <c r="BY114">
        <v>1.77</v>
      </c>
      <c r="BZ114">
        <v>0.16</v>
      </c>
      <c r="CA114">
        <v>3.46</v>
      </c>
      <c r="CB114">
        <v>2.89</v>
      </c>
      <c r="CC114">
        <v>2.65</v>
      </c>
      <c r="CD114">
        <v>1.37</v>
      </c>
      <c r="CE114">
        <v>1.04</v>
      </c>
      <c r="CF114">
        <v>0.93</v>
      </c>
      <c r="CG114">
        <v>0</v>
      </c>
      <c r="CH114">
        <v>2.0499999999999998</v>
      </c>
      <c r="CI114">
        <v>0</v>
      </c>
      <c r="CJ114">
        <v>1.7</v>
      </c>
      <c r="CK114">
        <v>74</v>
      </c>
      <c r="CL114">
        <v>-1.1499999999999999</v>
      </c>
      <c r="CM114">
        <v>67</v>
      </c>
      <c r="CN114">
        <v>-0.6</v>
      </c>
      <c r="CO114">
        <v>66</v>
      </c>
      <c r="CP114">
        <v>7.3</v>
      </c>
      <c r="CQ114">
        <v>48</v>
      </c>
      <c r="CR114">
        <v>0</v>
      </c>
      <c r="CS114">
        <v>0</v>
      </c>
      <c r="CT114">
        <v>19.899999999999999</v>
      </c>
      <c r="CU114">
        <v>43</v>
      </c>
      <c r="CV114">
        <v>0.25</v>
      </c>
      <c r="CW114">
        <v>41</v>
      </c>
      <c r="CX114" t="s">
        <v>1894</v>
      </c>
    </row>
    <row r="115" spans="1:102" x14ac:dyDescent="0.3">
      <c r="A115" t="str">
        <f>HYPERLINK("https://webapp.icbf.com/v2/app/bull-search/view/1136798572","FR2003")</f>
        <v>FR2003</v>
      </c>
      <c r="B115" t="s">
        <v>10214</v>
      </c>
      <c r="C115" t="s">
        <v>10215</v>
      </c>
      <c r="D115" s="1">
        <v>41667</v>
      </c>
      <c r="E115" t="s">
        <v>92</v>
      </c>
      <c r="F115">
        <v>66</v>
      </c>
      <c r="G115" t="s">
        <v>93</v>
      </c>
      <c r="H115">
        <v>239.84</v>
      </c>
      <c r="I115">
        <v>86</v>
      </c>
      <c r="J115">
        <v>63.02</v>
      </c>
      <c r="K115">
        <v>97</v>
      </c>
      <c r="L115">
        <v>113.23</v>
      </c>
      <c r="M115">
        <v>77</v>
      </c>
      <c r="N115">
        <v>35.9</v>
      </c>
      <c r="O115">
        <v>90</v>
      </c>
      <c r="P115">
        <v>-11.27</v>
      </c>
      <c r="Q115">
        <v>93</v>
      </c>
      <c r="R115">
        <v>11.67</v>
      </c>
      <c r="S115">
        <v>78</v>
      </c>
      <c r="T115">
        <v>17.010000000000002</v>
      </c>
      <c r="U115">
        <v>80</v>
      </c>
      <c r="V115">
        <v>10.28</v>
      </c>
      <c r="W115">
        <v>72</v>
      </c>
      <c r="X115" t="s">
        <v>94</v>
      </c>
      <c r="Y115" t="s">
        <v>416</v>
      </c>
      <c r="Z115" t="s">
        <v>330</v>
      </c>
      <c r="AA115" t="s">
        <v>1770</v>
      </c>
      <c r="AB115" t="s">
        <v>10216</v>
      </c>
      <c r="AC115">
        <v>137</v>
      </c>
      <c r="AD115">
        <v>70</v>
      </c>
      <c r="AE115">
        <v>97</v>
      </c>
      <c r="AF115">
        <v>65.650000000000006</v>
      </c>
      <c r="AG115">
        <v>8.09</v>
      </c>
      <c r="AH115">
        <v>8.86</v>
      </c>
      <c r="AI115">
        <v>0.1</v>
      </c>
      <c r="AJ115">
        <v>0.11</v>
      </c>
      <c r="AK115">
        <v>77</v>
      </c>
      <c r="AL115">
        <v>116</v>
      </c>
      <c r="AM115">
        <v>67</v>
      </c>
      <c r="AN115">
        <v>-5.39</v>
      </c>
      <c r="AO115">
        <v>3.65</v>
      </c>
      <c r="AP115">
        <v>784</v>
      </c>
      <c r="AQ115">
        <v>4</v>
      </c>
      <c r="AR115">
        <v>5.34</v>
      </c>
      <c r="AS115">
        <v>94</v>
      </c>
      <c r="AT115">
        <v>1.87</v>
      </c>
      <c r="AU115">
        <v>93</v>
      </c>
      <c r="AV115">
        <v>-2.52</v>
      </c>
      <c r="AW115">
        <v>99</v>
      </c>
      <c r="AX115">
        <v>-1.03</v>
      </c>
      <c r="AY115">
        <v>92</v>
      </c>
      <c r="AZ115">
        <v>7.12</v>
      </c>
      <c r="BA115">
        <v>70</v>
      </c>
      <c r="BB115">
        <v>5.05</v>
      </c>
      <c r="BC115">
        <v>58</v>
      </c>
      <c r="BD115">
        <v>-0.05</v>
      </c>
      <c r="BE115">
        <v>-0.05</v>
      </c>
      <c r="BF115">
        <v>-0.09</v>
      </c>
      <c r="BG115">
        <v>89</v>
      </c>
      <c r="BH115">
        <v>0.17</v>
      </c>
      <c r="BI115">
        <v>-13.5</v>
      </c>
      <c r="BJ115">
        <v>0</v>
      </c>
      <c r="BK115">
        <v>0</v>
      </c>
      <c r="BL115">
        <v>-1.63</v>
      </c>
      <c r="BM115">
        <v>1.02</v>
      </c>
      <c r="BN115">
        <v>-1.25</v>
      </c>
      <c r="BO115">
        <v>-1.55</v>
      </c>
      <c r="BP115">
        <v>0.67</v>
      </c>
      <c r="BQ115">
        <v>0.55000000000000004</v>
      </c>
      <c r="BR115">
        <v>1.07</v>
      </c>
      <c r="BS115">
        <v>-0.73</v>
      </c>
      <c r="BT115">
        <v>-1.73</v>
      </c>
      <c r="BU115">
        <v>-0.4</v>
      </c>
      <c r="BV115">
        <v>-0.9</v>
      </c>
      <c r="BW115">
        <v>-0.61</v>
      </c>
      <c r="BX115">
        <v>-1.1200000000000001</v>
      </c>
      <c r="BY115">
        <v>-1.1399999999999999</v>
      </c>
      <c r="BZ115">
        <v>1.1299999999999999</v>
      </c>
      <c r="CA115">
        <v>-0.86</v>
      </c>
      <c r="CB115">
        <v>-0.85</v>
      </c>
      <c r="CC115">
        <v>-0.88</v>
      </c>
      <c r="CD115">
        <v>2.23</v>
      </c>
      <c r="CE115">
        <v>-1.01</v>
      </c>
      <c r="CF115">
        <v>-0.68</v>
      </c>
      <c r="CG115">
        <v>0</v>
      </c>
      <c r="CH115">
        <v>-1.19</v>
      </c>
      <c r="CI115">
        <v>0</v>
      </c>
      <c r="CJ115">
        <v>-5.2</v>
      </c>
      <c r="CK115">
        <v>95</v>
      </c>
      <c r="CL115">
        <v>-0.72</v>
      </c>
      <c r="CM115">
        <v>94</v>
      </c>
      <c r="CN115">
        <v>-0.43</v>
      </c>
      <c r="CO115">
        <v>93</v>
      </c>
      <c r="CP115">
        <v>-11.3</v>
      </c>
      <c r="CQ115">
        <v>76</v>
      </c>
      <c r="CR115">
        <v>0</v>
      </c>
      <c r="CS115">
        <v>0</v>
      </c>
      <c r="CT115">
        <v>-9.1999999999999993</v>
      </c>
      <c r="CU115">
        <v>80</v>
      </c>
      <c r="CV115">
        <v>0.08</v>
      </c>
      <c r="CW115">
        <v>47</v>
      </c>
      <c r="CX115" t="s">
        <v>1939</v>
      </c>
    </row>
    <row r="116" spans="1:102" x14ac:dyDescent="0.3">
      <c r="A116" t="str">
        <f>HYPERLINK("https://webapp.icbf.com/v2/app/bull-search/view/1143307643","FR2056")</f>
        <v>FR2056</v>
      </c>
      <c r="B116" t="s">
        <v>13521</v>
      </c>
      <c r="C116" t="s">
        <v>8395</v>
      </c>
      <c r="D116" s="1">
        <v>41691</v>
      </c>
      <c r="E116" t="s">
        <v>92</v>
      </c>
      <c r="F116">
        <v>63</v>
      </c>
      <c r="G116" t="s">
        <v>93</v>
      </c>
      <c r="H116">
        <v>239.77</v>
      </c>
      <c r="I116">
        <v>91</v>
      </c>
      <c r="J116">
        <v>75.11</v>
      </c>
      <c r="K116">
        <v>99</v>
      </c>
      <c r="L116">
        <v>93.54</v>
      </c>
      <c r="M116">
        <v>82</v>
      </c>
      <c r="N116">
        <v>62.53</v>
      </c>
      <c r="O116">
        <v>93</v>
      </c>
      <c r="P116">
        <v>-9.27</v>
      </c>
      <c r="Q116">
        <v>98</v>
      </c>
      <c r="R116">
        <v>6.81</v>
      </c>
      <c r="S116">
        <v>87</v>
      </c>
      <c r="T116">
        <v>13.46</v>
      </c>
      <c r="U116">
        <v>96</v>
      </c>
      <c r="V116">
        <v>-2.41</v>
      </c>
      <c r="W116">
        <v>79</v>
      </c>
      <c r="X116" t="s">
        <v>94</v>
      </c>
      <c r="Y116" t="s">
        <v>416</v>
      </c>
      <c r="Z116" t="s">
        <v>330</v>
      </c>
      <c r="AA116" t="s">
        <v>2514</v>
      </c>
      <c r="AB116" t="s">
        <v>13522</v>
      </c>
      <c r="AC116">
        <v>1939</v>
      </c>
      <c r="AD116">
        <v>732</v>
      </c>
      <c r="AE116">
        <v>99</v>
      </c>
      <c r="AF116">
        <v>129.72999999999999</v>
      </c>
      <c r="AG116">
        <v>17.78</v>
      </c>
      <c r="AH116">
        <v>8.4700000000000006</v>
      </c>
      <c r="AI116">
        <v>0.22</v>
      </c>
      <c r="AJ116">
        <v>7.0000000000000007E-2</v>
      </c>
      <c r="AK116">
        <v>82</v>
      </c>
      <c r="AL116">
        <v>129</v>
      </c>
      <c r="AM116">
        <v>63</v>
      </c>
      <c r="AN116">
        <v>-5.09</v>
      </c>
      <c r="AO116">
        <v>2.37</v>
      </c>
      <c r="AP116">
        <v>5608</v>
      </c>
      <c r="AQ116">
        <v>26</v>
      </c>
      <c r="AR116">
        <v>4.9800000000000004</v>
      </c>
      <c r="AS116">
        <v>96</v>
      </c>
      <c r="AT116">
        <v>2.19</v>
      </c>
      <c r="AU116">
        <v>99</v>
      </c>
      <c r="AV116">
        <v>-6.43</v>
      </c>
      <c r="AW116">
        <v>99</v>
      </c>
      <c r="AX116">
        <v>-0.59</v>
      </c>
      <c r="AY116">
        <v>99</v>
      </c>
      <c r="AZ116">
        <v>6.96</v>
      </c>
      <c r="BA116">
        <v>95</v>
      </c>
      <c r="BB116">
        <v>5.47</v>
      </c>
      <c r="BC116">
        <v>59</v>
      </c>
      <c r="BD116">
        <v>-0.04</v>
      </c>
      <c r="BE116">
        <v>0</v>
      </c>
      <c r="BF116">
        <v>-0.09</v>
      </c>
      <c r="BG116">
        <v>98</v>
      </c>
      <c r="BH116">
        <v>0.03</v>
      </c>
      <c r="BI116">
        <v>11.26</v>
      </c>
      <c r="BJ116">
        <v>3</v>
      </c>
      <c r="BK116">
        <v>1</v>
      </c>
      <c r="BL116">
        <v>-1.88</v>
      </c>
      <c r="BM116">
        <v>-1.27</v>
      </c>
      <c r="BN116">
        <v>-2.0099999999999998</v>
      </c>
      <c r="BO116">
        <v>-1.31</v>
      </c>
      <c r="BP116">
        <v>0.67</v>
      </c>
      <c r="BQ116">
        <v>-2.4</v>
      </c>
      <c r="BR116">
        <v>1.3</v>
      </c>
      <c r="BS116">
        <v>-1.36</v>
      </c>
      <c r="BT116">
        <v>-1.35</v>
      </c>
      <c r="BU116">
        <v>-0.98</v>
      </c>
      <c r="BV116">
        <v>-0.25</v>
      </c>
      <c r="BW116">
        <v>-0.31</v>
      </c>
      <c r="BX116">
        <v>-1.33</v>
      </c>
      <c r="BY116">
        <v>-0.36</v>
      </c>
      <c r="BZ116">
        <v>-0.54</v>
      </c>
      <c r="CA116">
        <v>-0.78</v>
      </c>
      <c r="CB116">
        <v>-0.33</v>
      </c>
      <c r="CC116">
        <v>-1.69</v>
      </c>
      <c r="CD116">
        <v>-0.38</v>
      </c>
      <c r="CE116">
        <v>-0.66</v>
      </c>
      <c r="CF116">
        <v>-1.68</v>
      </c>
      <c r="CG116">
        <v>0</v>
      </c>
      <c r="CH116">
        <v>-0.79</v>
      </c>
      <c r="CI116">
        <v>0</v>
      </c>
      <c r="CJ116">
        <v>-2.7</v>
      </c>
      <c r="CK116">
        <v>99</v>
      </c>
      <c r="CL116">
        <v>-0.72</v>
      </c>
      <c r="CM116">
        <v>99</v>
      </c>
      <c r="CN116">
        <v>-0.22</v>
      </c>
      <c r="CO116">
        <v>99</v>
      </c>
      <c r="CP116">
        <v>-4.5999999999999996</v>
      </c>
      <c r="CQ116">
        <v>86</v>
      </c>
      <c r="CR116">
        <v>0</v>
      </c>
      <c r="CS116">
        <v>0</v>
      </c>
      <c r="CT116">
        <v>-4.4000000000000004</v>
      </c>
      <c r="CU116">
        <v>96</v>
      </c>
      <c r="CV116">
        <v>0.19</v>
      </c>
      <c r="CW116">
        <v>56</v>
      </c>
      <c r="CX116" t="s">
        <v>4059</v>
      </c>
    </row>
    <row r="117" spans="1:102" x14ac:dyDescent="0.3">
      <c r="A117" t="str">
        <f>HYPERLINK("https://webapp.icbf.com/v2/app/bull-search/view/1152234507","F262")</f>
        <v>F262</v>
      </c>
      <c r="B117" t="s">
        <v>13561</v>
      </c>
      <c r="C117" t="s">
        <v>13562</v>
      </c>
      <c r="D117" s="1">
        <v>41716</v>
      </c>
      <c r="E117" t="s">
        <v>108</v>
      </c>
      <c r="F117">
        <v>38</v>
      </c>
      <c r="G117" t="s">
        <v>93</v>
      </c>
      <c r="H117">
        <v>239.7</v>
      </c>
      <c r="I117">
        <v>74</v>
      </c>
      <c r="J117">
        <v>2.0299999999999998</v>
      </c>
      <c r="K117">
        <v>89</v>
      </c>
      <c r="L117">
        <v>179.92</v>
      </c>
      <c r="M117">
        <v>65</v>
      </c>
      <c r="N117">
        <v>45.08</v>
      </c>
      <c r="O117">
        <v>75</v>
      </c>
      <c r="P117">
        <v>-23.87</v>
      </c>
      <c r="Q117">
        <v>75</v>
      </c>
      <c r="R117">
        <v>12.64</v>
      </c>
      <c r="S117">
        <v>67</v>
      </c>
      <c r="T117">
        <v>19.52</v>
      </c>
      <c r="U117">
        <v>60</v>
      </c>
      <c r="V117">
        <v>4.38</v>
      </c>
      <c r="W117">
        <v>58</v>
      </c>
      <c r="X117" t="s">
        <v>110</v>
      </c>
      <c r="Y117" t="s">
        <v>13563</v>
      </c>
      <c r="Z117" t="s">
        <v>96</v>
      </c>
      <c r="AA117" t="s">
        <v>439</v>
      </c>
      <c r="AB117" t="s">
        <v>8180</v>
      </c>
      <c r="AC117">
        <v>19</v>
      </c>
      <c r="AD117">
        <v>2</v>
      </c>
      <c r="AE117">
        <v>89</v>
      </c>
      <c r="AF117">
        <v>-239.37</v>
      </c>
      <c r="AG117">
        <v>-3.22</v>
      </c>
      <c r="AH117">
        <v>-2.1800000000000002</v>
      </c>
      <c r="AI117">
        <v>0.11</v>
      </c>
      <c r="AJ117">
        <v>0.11</v>
      </c>
      <c r="AK117">
        <v>65</v>
      </c>
      <c r="AL117">
        <v>6</v>
      </c>
      <c r="AM117">
        <v>1</v>
      </c>
      <c r="AN117">
        <v>-10.44</v>
      </c>
      <c r="AO117">
        <v>3.9</v>
      </c>
      <c r="AP117">
        <v>80</v>
      </c>
      <c r="AQ117">
        <v>0</v>
      </c>
      <c r="AR117">
        <v>4.3499999999999996</v>
      </c>
      <c r="AS117">
        <v>75</v>
      </c>
      <c r="AT117">
        <v>1.78</v>
      </c>
      <c r="AU117">
        <v>73</v>
      </c>
      <c r="AV117">
        <v>-3.45</v>
      </c>
      <c r="AW117">
        <v>89</v>
      </c>
      <c r="AX117">
        <v>1.41</v>
      </c>
      <c r="AY117">
        <v>64</v>
      </c>
      <c r="AZ117">
        <v>5.76</v>
      </c>
      <c r="BA117">
        <v>53</v>
      </c>
      <c r="BB117">
        <v>4.25</v>
      </c>
      <c r="BC117">
        <v>48</v>
      </c>
      <c r="BD117">
        <v>-0.04</v>
      </c>
      <c r="BE117">
        <v>-0.06</v>
      </c>
      <c r="BF117">
        <v>-0.11</v>
      </c>
      <c r="BG117">
        <v>76</v>
      </c>
      <c r="BH117">
        <v>0.11</v>
      </c>
      <c r="BI117">
        <v>-1.39</v>
      </c>
      <c r="BJ117">
        <v>2</v>
      </c>
      <c r="BK117">
        <v>1</v>
      </c>
      <c r="BL117">
        <v>-3.12</v>
      </c>
      <c r="BM117">
        <v>0.06</v>
      </c>
      <c r="BN117">
        <v>-3.33</v>
      </c>
      <c r="BO117">
        <v>-3.09</v>
      </c>
      <c r="BP117">
        <v>-0.13</v>
      </c>
      <c r="BQ117">
        <v>-0.21</v>
      </c>
      <c r="BR117">
        <v>-0.91</v>
      </c>
      <c r="BS117">
        <v>0.26</v>
      </c>
      <c r="BT117">
        <v>-0.04</v>
      </c>
      <c r="BU117">
        <v>-0.34</v>
      </c>
      <c r="BV117">
        <v>-0.97</v>
      </c>
      <c r="BW117">
        <v>-1.21</v>
      </c>
      <c r="BX117">
        <v>0.56999999999999995</v>
      </c>
      <c r="BY117">
        <v>-0.05</v>
      </c>
      <c r="BZ117">
        <v>0.31</v>
      </c>
      <c r="CA117">
        <v>-1.2</v>
      </c>
      <c r="CB117">
        <v>-1.52</v>
      </c>
      <c r="CC117">
        <v>-0.64</v>
      </c>
      <c r="CD117">
        <v>2.06</v>
      </c>
      <c r="CE117">
        <v>-2.44</v>
      </c>
      <c r="CF117">
        <v>-3.16</v>
      </c>
      <c r="CG117">
        <v>0</v>
      </c>
      <c r="CH117">
        <v>-1.4</v>
      </c>
      <c r="CI117">
        <v>0</v>
      </c>
      <c r="CJ117">
        <v>-13.7</v>
      </c>
      <c r="CK117">
        <v>78</v>
      </c>
      <c r="CL117">
        <v>-0.27</v>
      </c>
      <c r="CM117">
        <v>74</v>
      </c>
      <c r="CN117">
        <v>0.09</v>
      </c>
      <c r="CO117">
        <v>72</v>
      </c>
      <c r="CP117">
        <v>-7.5</v>
      </c>
      <c r="CQ117">
        <v>61</v>
      </c>
      <c r="CR117">
        <v>0</v>
      </c>
      <c r="CS117">
        <v>0</v>
      </c>
      <c r="CT117">
        <v>-12.6</v>
      </c>
      <c r="CU117">
        <v>60</v>
      </c>
      <c r="CV117">
        <v>-0.15</v>
      </c>
      <c r="CW117">
        <v>42</v>
      </c>
      <c r="CX117" t="s">
        <v>5174</v>
      </c>
    </row>
    <row r="118" spans="1:102" x14ac:dyDescent="0.3">
      <c r="A118" t="str">
        <f>HYPERLINK("https://webapp.icbf.com/v2/app/bull-search/view/1040929926","YSC")</f>
        <v>YSC</v>
      </c>
      <c r="B118" t="s">
        <v>15470</v>
      </c>
      <c r="C118" t="s">
        <v>15471</v>
      </c>
      <c r="D118" s="1">
        <v>41312</v>
      </c>
      <c r="E118" t="s">
        <v>92</v>
      </c>
      <c r="F118">
        <v>69</v>
      </c>
      <c r="G118" t="s">
        <v>93</v>
      </c>
      <c r="H118">
        <v>239.05</v>
      </c>
      <c r="I118">
        <v>90</v>
      </c>
      <c r="J118">
        <v>119.54</v>
      </c>
      <c r="K118">
        <v>98</v>
      </c>
      <c r="L118">
        <v>70.78</v>
      </c>
      <c r="M118">
        <v>82</v>
      </c>
      <c r="N118">
        <v>43.71</v>
      </c>
      <c r="O118">
        <v>92</v>
      </c>
      <c r="P118">
        <v>-2.44</v>
      </c>
      <c r="Q118">
        <v>97</v>
      </c>
      <c r="R118">
        <v>-10.84</v>
      </c>
      <c r="S118">
        <v>83</v>
      </c>
      <c r="T118">
        <v>1.47</v>
      </c>
      <c r="U118">
        <v>87</v>
      </c>
      <c r="V118">
        <v>16.829999999999998</v>
      </c>
      <c r="W118">
        <v>77</v>
      </c>
      <c r="X118" t="s">
        <v>276</v>
      </c>
      <c r="Y118" t="s">
        <v>389</v>
      </c>
      <c r="Z118" t="s">
        <v>330</v>
      </c>
      <c r="AA118" t="s">
        <v>1770</v>
      </c>
      <c r="AB118" t="s">
        <v>15472</v>
      </c>
      <c r="AC118">
        <v>380</v>
      </c>
      <c r="AD118">
        <v>128</v>
      </c>
      <c r="AE118">
        <v>98</v>
      </c>
      <c r="AF118">
        <v>250.01</v>
      </c>
      <c r="AG118">
        <v>18.649999999999999</v>
      </c>
      <c r="AH118">
        <v>17.559999999999999</v>
      </c>
      <c r="AI118">
        <v>0.15</v>
      </c>
      <c r="AJ118">
        <v>0.15</v>
      </c>
      <c r="AK118">
        <v>82</v>
      </c>
      <c r="AL118">
        <v>269</v>
      </c>
      <c r="AM118">
        <v>104</v>
      </c>
      <c r="AN118">
        <v>-4.1900000000000004</v>
      </c>
      <c r="AO118">
        <v>1.45</v>
      </c>
      <c r="AP118">
        <v>1063</v>
      </c>
      <c r="AQ118">
        <v>4</v>
      </c>
      <c r="AR118">
        <v>5.65</v>
      </c>
      <c r="AS118">
        <v>96</v>
      </c>
      <c r="AT118">
        <v>2.2400000000000002</v>
      </c>
      <c r="AU118">
        <v>94</v>
      </c>
      <c r="AV118">
        <v>-3.98</v>
      </c>
      <c r="AW118">
        <v>99</v>
      </c>
      <c r="AX118">
        <v>-0.55000000000000004</v>
      </c>
      <c r="AY118">
        <v>95</v>
      </c>
      <c r="AZ118">
        <v>6.76</v>
      </c>
      <c r="BA118">
        <v>84</v>
      </c>
      <c r="BB118">
        <v>5.07</v>
      </c>
      <c r="BC118">
        <v>65</v>
      </c>
      <c r="BD118">
        <v>0.02</v>
      </c>
      <c r="BE118">
        <v>0.04</v>
      </c>
      <c r="BF118">
        <v>0.14000000000000001</v>
      </c>
      <c r="BG118">
        <v>94</v>
      </c>
      <c r="BH118">
        <v>0.36</v>
      </c>
      <c r="BI118">
        <v>-12.64</v>
      </c>
      <c r="BJ118">
        <v>9</v>
      </c>
      <c r="BK118">
        <v>2</v>
      </c>
      <c r="BL118">
        <v>-0.25</v>
      </c>
      <c r="BM118">
        <v>1.06</v>
      </c>
      <c r="BN118">
        <v>0.28000000000000003</v>
      </c>
      <c r="BO118">
        <v>-0.64</v>
      </c>
      <c r="BP118">
        <v>1.43</v>
      </c>
      <c r="BQ118">
        <v>0.8</v>
      </c>
      <c r="BR118">
        <v>1.59</v>
      </c>
      <c r="BS118">
        <v>-1.69</v>
      </c>
      <c r="BT118">
        <v>-2.77</v>
      </c>
      <c r="BU118">
        <v>-0.68</v>
      </c>
      <c r="BV118">
        <v>-1.43</v>
      </c>
      <c r="BW118">
        <v>-1.1299999999999999</v>
      </c>
      <c r="BX118">
        <v>-1.62</v>
      </c>
      <c r="BY118">
        <v>0.4</v>
      </c>
      <c r="BZ118">
        <v>-0.83</v>
      </c>
      <c r="CA118">
        <v>-1.71</v>
      </c>
      <c r="CB118">
        <v>-1.34</v>
      </c>
      <c r="CC118">
        <v>-1.79</v>
      </c>
      <c r="CD118">
        <v>0.32</v>
      </c>
      <c r="CE118">
        <v>-0.68</v>
      </c>
      <c r="CF118">
        <v>-0.5</v>
      </c>
      <c r="CG118">
        <v>0</v>
      </c>
      <c r="CH118">
        <v>-0.43</v>
      </c>
      <c r="CI118">
        <v>0</v>
      </c>
      <c r="CJ118">
        <v>1.5</v>
      </c>
      <c r="CK118">
        <v>98</v>
      </c>
      <c r="CL118">
        <v>-0.8</v>
      </c>
      <c r="CM118">
        <v>97</v>
      </c>
      <c r="CN118">
        <v>-0.33</v>
      </c>
      <c r="CO118">
        <v>97</v>
      </c>
      <c r="CP118">
        <v>-0.8</v>
      </c>
      <c r="CQ118">
        <v>85</v>
      </c>
      <c r="CR118">
        <v>0</v>
      </c>
      <c r="CS118">
        <v>0</v>
      </c>
      <c r="CT118">
        <v>11.8</v>
      </c>
      <c r="CU118">
        <v>87</v>
      </c>
      <c r="CV118">
        <v>0.33</v>
      </c>
      <c r="CW118">
        <v>48</v>
      </c>
      <c r="CX118" t="s">
        <v>4738</v>
      </c>
    </row>
    <row r="119" spans="1:102" x14ac:dyDescent="0.3">
      <c r="A119" t="str">
        <f>HYPERLINK("https://webapp.icbf.com/v2/app/bull-search/view/1486892370","FR4338")</f>
        <v>FR4338</v>
      </c>
      <c r="B119" t="s">
        <v>13836</v>
      </c>
      <c r="C119" t="s">
        <v>13837</v>
      </c>
      <c r="D119" s="1">
        <v>42801</v>
      </c>
      <c r="E119" t="s">
        <v>92</v>
      </c>
      <c r="F119">
        <v>59</v>
      </c>
      <c r="G119" t="s">
        <v>435</v>
      </c>
      <c r="H119">
        <v>238.66</v>
      </c>
      <c r="I119">
        <v>71</v>
      </c>
      <c r="J119">
        <v>51.54</v>
      </c>
      <c r="K119">
        <v>88</v>
      </c>
      <c r="L119">
        <v>108.82</v>
      </c>
      <c r="M119">
        <v>62</v>
      </c>
      <c r="N119">
        <v>58.21</v>
      </c>
      <c r="O119">
        <v>86</v>
      </c>
      <c r="P119">
        <v>-9.15</v>
      </c>
      <c r="Q119">
        <v>55</v>
      </c>
      <c r="R119">
        <v>6.91</v>
      </c>
      <c r="S119">
        <v>62</v>
      </c>
      <c r="T119">
        <v>19.079999999999998</v>
      </c>
      <c r="U119">
        <v>47</v>
      </c>
      <c r="V119">
        <v>3.25</v>
      </c>
      <c r="W119">
        <v>58</v>
      </c>
      <c r="X119" t="s">
        <v>94</v>
      </c>
      <c r="Y119" t="s">
        <v>2255</v>
      </c>
      <c r="Z119" t="s">
        <v>330</v>
      </c>
      <c r="AA119" t="s">
        <v>6192</v>
      </c>
      <c r="AB119" t="s">
        <v>13838</v>
      </c>
      <c r="AC119">
        <v>0</v>
      </c>
      <c r="AD119">
        <v>0</v>
      </c>
      <c r="AE119">
        <v>88</v>
      </c>
      <c r="AF119">
        <v>-204.59</v>
      </c>
      <c r="AG119">
        <v>9.14</v>
      </c>
      <c r="AH119">
        <v>2.4</v>
      </c>
      <c r="AI119">
        <v>0.3</v>
      </c>
      <c r="AJ119">
        <v>0.17</v>
      </c>
      <c r="AK119">
        <v>62</v>
      </c>
      <c r="AL119">
        <v>0</v>
      </c>
      <c r="AM119">
        <v>0</v>
      </c>
      <c r="AN119">
        <v>-5.82</v>
      </c>
      <c r="AO119">
        <v>2.86</v>
      </c>
      <c r="AP119">
        <v>789</v>
      </c>
      <c r="AQ119">
        <v>1</v>
      </c>
      <c r="AR119">
        <v>4.45</v>
      </c>
      <c r="AS119">
        <v>90</v>
      </c>
      <c r="AT119">
        <v>1.85</v>
      </c>
      <c r="AU119">
        <v>94</v>
      </c>
      <c r="AV119">
        <v>-5.78</v>
      </c>
      <c r="AW119">
        <v>99</v>
      </c>
      <c r="AX119">
        <v>-0.49</v>
      </c>
      <c r="AY119">
        <v>92</v>
      </c>
      <c r="AZ119">
        <v>8</v>
      </c>
      <c r="BA119">
        <v>43</v>
      </c>
      <c r="BB119">
        <v>5.52</v>
      </c>
      <c r="BC119">
        <v>35</v>
      </c>
      <c r="BD119">
        <v>-0.09</v>
      </c>
      <c r="BE119">
        <v>-0.01</v>
      </c>
      <c r="BF119">
        <v>0.01</v>
      </c>
      <c r="BG119">
        <v>73</v>
      </c>
      <c r="BH119">
        <v>-0.01</v>
      </c>
      <c r="BI119">
        <v>-11.64</v>
      </c>
      <c r="BJ119">
        <v>0</v>
      </c>
      <c r="BK119">
        <v>0</v>
      </c>
      <c r="BL119">
        <v>-1.42</v>
      </c>
      <c r="BM119">
        <v>-1.88</v>
      </c>
      <c r="BN119">
        <v>-2.4</v>
      </c>
      <c r="BO119">
        <v>-0.94</v>
      </c>
      <c r="BP119">
        <v>1.3</v>
      </c>
      <c r="BQ119">
        <v>-5.22</v>
      </c>
      <c r="BR119">
        <v>2.0099999999999998</v>
      </c>
      <c r="BS119">
        <v>0.18</v>
      </c>
      <c r="BT119">
        <v>-2.5</v>
      </c>
      <c r="BU119">
        <v>0.05</v>
      </c>
      <c r="BV119">
        <v>-0.63</v>
      </c>
      <c r="BW119">
        <v>-1.01</v>
      </c>
      <c r="BX119">
        <v>-0.81</v>
      </c>
      <c r="BY119">
        <v>-0.12</v>
      </c>
      <c r="BZ119">
        <v>0.61</v>
      </c>
      <c r="CA119">
        <v>-0.41</v>
      </c>
      <c r="CB119">
        <v>-7.0000000000000007E-2</v>
      </c>
      <c r="CC119">
        <v>-0.89</v>
      </c>
      <c r="CD119">
        <v>0.24</v>
      </c>
      <c r="CE119">
        <v>-0.36</v>
      </c>
      <c r="CF119">
        <v>-2.44</v>
      </c>
      <c r="CG119">
        <v>0</v>
      </c>
      <c r="CH119">
        <v>0.46</v>
      </c>
      <c r="CI119">
        <v>0</v>
      </c>
      <c r="CJ119">
        <v>-3.8</v>
      </c>
      <c r="CK119">
        <v>60</v>
      </c>
      <c r="CL119">
        <v>-0.64</v>
      </c>
      <c r="CM119">
        <v>49</v>
      </c>
      <c r="CN119">
        <v>-0.35</v>
      </c>
      <c r="CO119">
        <v>46</v>
      </c>
      <c r="CP119">
        <v>-9.3000000000000007</v>
      </c>
      <c r="CQ119">
        <v>46</v>
      </c>
      <c r="CR119">
        <v>0</v>
      </c>
      <c r="CS119">
        <v>0</v>
      </c>
      <c r="CT119">
        <v>-12</v>
      </c>
      <c r="CU119">
        <v>47</v>
      </c>
      <c r="CV119">
        <v>0.06</v>
      </c>
      <c r="CW119">
        <v>35</v>
      </c>
      <c r="CX119" t="s">
        <v>6199</v>
      </c>
    </row>
    <row r="120" spans="1:102" x14ac:dyDescent="0.3">
      <c r="A120" t="str">
        <f>HYPERLINK("https://webapp.icbf.com/v2/app/bull-search/view/1248842177","FR2237")</f>
        <v>FR2237</v>
      </c>
      <c r="B120" t="s">
        <v>9370</v>
      </c>
      <c r="C120" t="s">
        <v>9371</v>
      </c>
      <c r="D120" s="1">
        <v>42052</v>
      </c>
      <c r="E120" t="s">
        <v>92</v>
      </c>
      <c r="F120">
        <v>84</v>
      </c>
      <c r="G120" t="s">
        <v>93</v>
      </c>
      <c r="H120">
        <v>238.57</v>
      </c>
      <c r="I120">
        <v>84</v>
      </c>
      <c r="J120">
        <v>24.81</v>
      </c>
      <c r="K120">
        <v>96</v>
      </c>
      <c r="L120">
        <v>161.38999999999999</v>
      </c>
      <c r="M120">
        <v>75</v>
      </c>
      <c r="N120">
        <v>50.21</v>
      </c>
      <c r="O120">
        <v>88</v>
      </c>
      <c r="P120">
        <v>-15.27</v>
      </c>
      <c r="Q120">
        <v>91</v>
      </c>
      <c r="R120">
        <v>5.07</v>
      </c>
      <c r="S120">
        <v>76</v>
      </c>
      <c r="T120">
        <v>12.05</v>
      </c>
      <c r="U120">
        <v>76</v>
      </c>
      <c r="V120">
        <v>0.31</v>
      </c>
      <c r="W120">
        <v>70</v>
      </c>
      <c r="X120" t="s">
        <v>94</v>
      </c>
      <c r="Y120" t="s">
        <v>416</v>
      </c>
      <c r="Z120" t="s">
        <v>96</v>
      </c>
      <c r="AA120" t="s">
        <v>2235</v>
      </c>
      <c r="AB120" t="s">
        <v>9372</v>
      </c>
      <c r="AC120">
        <v>149</v>
      </c>
      <c r="AD120">
        <v>79</v>
      </c>
      <c r="AE120">
        <v>96</v>
      </c>
      <c r="AF120">
        <v>-23.21</v>
      </c>
      <c r="AG120">
        <v>-1.46</v>
      </c>
      <c r="AH120">
        <v>4.38</v>
      </c>
      <c r="AI120">
        <v>-0.01</v>
      </c>
      <c r="AJ120">
        <v>0.09</v>
      </c>
      <c r="AK120">
        <v>75</v>
      </c>
      <c r="AL120">
        <v>0</v>
      </c>
      <c r="AM120">
        <v>0</v>
      </c>
      <c r="AN120">
        <v>-7.31</v>
      </c>
      <c r="AO120">
        <v>5.58</v>
      </c>
      <c r="AP120">
        <v>634</v>
      </c>
      <c r="AQ120">
        <v>1</v>
      </c>
      <c r="AR120">
        <v>5.95</v>
      </c>
      <c r="AS120">
        <v>92</v>
      </c>
      <c r="AT120">
        <v>2.1800000000000002</v>
      </c>
      <c r="AU120">
        <v>92</v>
      </c>
      <c r="AV120">
        <v>-4.12</v>
      </c>
      <c r="AW120">
        <v>99</v>
      </c>
      <c r="AX120">
        <v>-0.43</v>
      </c>
      <c r="AY120">
        <v>90</v>
      </c>
      <c r="AZ120">
        <v>5.21</v>
      </c>
      <c r="BA120">
        <v>67</v>
      </c>
      <c r="BB120">
        <v>4.26</v>
      </c>
      <c r="BC120">
        <v>46</v>
      </c>
      <c r="BD120">
        <v>-0.04</v>
      </c>
      <c r="BE120">
        <v>0</v>
      </c>
      <c r="BF120">
        <v>-0.05</v>
      </c>
      <c r="BG120">
        <v>87</v>
      </c>
      <c r="BH120">
        <v>0.06</v>
      </c>
      <c r="BI120">
        <v>5.93</v>
      </c>
      <c r="BJ120">
        <v>0</v>
      </c>
      <c r="BK120">
        <v>0</v>
      </c>
      <c r="BL120">
        <v>-0.82</v>
      </c>
      <c r="BM120">
        <v>-0.7</v>
      </c>
      <c r="BN120">
        <v>-1.82</v>
      </c>
      <c r="BO120">
        <v>-1.37</v>
      </c>
      <c r="BP120">
        <v>4.12</v>
      </c>
      <c r="BQ120">
        <v>-1.39</v>
      </c>
      <c r="BR120">
        <v>-0.35</v>
      </c>
      <c r="BS120">
        <v>-0.5</v>
      </c>
      <c r="BT120">
        <v>-1.1599999999999999</v>
      </c>
      <c r="BU120">
        <v>-1.23</v>
      </c>
      <c r="BV120">
        <v>-1.22</v>
      </c>
      <c r="BW120">
        <v>-1.49</v>
      </c>
      <c r="BX120">
        <v>0.3</v>
      </c>
      <c r="BY120">
        <v>-1.58</v>
      </c>
      <c r="BZ120">
        <v>-1.64</v>
      </c>
      <c r="CA120">
        <v>-0.98</v>
      </c>
      <c r="CB120">
        <v>-1.04</v>
      </c>
      <c r="CC120">
        <v>-0.38</v>
      </c>
      <c r="CD120">
        <v>0.76</v>
      </c>
      <c r="CE120">
        <v>-1.06</v>
      </c>
      <c r="CF120">
        <v>-0.9</v>
      </c>
      <c r="CG120">
        <v>0</v>
      </c>
      <c r="CH120">
        <v>-1.63</v>
      </c>
      <c r="CI120">
        <v>0</v>
      </c>
      <c r="CJ120">
        <v>-7.9</v>
      </c>
      <c r="CK120">
        <v>94</v>
      </c>
      <c r="CL120">
        <v>-0.69</v>
      </c>
      <c r="CM120">
        <v>92</v>
      </c>
      <c r="CN120">
        <v>-0.34</v>
      </c>
      <c r="CO120">
        <v>91</v>
      </c>
      <c r="CP120">
        <v>-8.1999999999999993</v>
      </c>
      <c r="CQ120">
        <v>68</v>
      </c>
      <c r="CR120">
        <v>0</v>
      </c>
      <c r="CS120">
        <v>0</v>
      </c>
      <c r="CT120">
        <v>-2.5</v>
      </c>
      <c r="CU120">
        <v>76</v>
      </c>
      <c r="CV120">
        <v>-0.02</v>
      </c>
      <c r="CW120">
        <v>46</v>
      </c>
      <c r="CX120" t="s">
        <v>1861</v>
      </c>
    </row>
    <row r="121" spans="1:102" x14ac:dyDescent="0.3">
      <c r="A121" t="str">
        <f>HYPERLINK("https://webapp.icbf.com/v2/app/bull-search/view/1354262071","FR4118")</f>
        <v>FR4118</v>
      </c>
      <c r="B121" t="s">
        <v>13796</v>
      </c>
      <c r="C121" t="s">
        <v>13797</v>
      </c>
      <c r="D121" s="1">
        <v>42402</v>
      </c>
      <c r="E121" t="s">
        <v>92</v>
      </c>
      <c r="F121">
        <v>75</v>
      </c>
      <c r="G121" t="s">
        <v>435</v>
      </c>
      <c r="H121">
        <v>238.48</v>
      </c>
      <c r="I121">
        <v>77</v>
      </c>
      <c r="J121">
        <v>60.91</v>
      </c>
      <c r="K121">
        <v>90</v>
      </c>
      <c r="L121">
        <v>106.93</v>
      </c>
      <c r="M121">
        <v>66</v>
      </c>
      <c r="N121">
        <v>52.48</v>
      </c>
      <c r="O121">
        <v>88</v>
      </c>
      <c r="P121">
        <v>-11.9</v>
      </c>
      <c r="Q121">
        <v>88</v>
      </c>
      <c r="R121">
        <v>13.08</v>
      </c>
      <c r="S121">
        <v>66</v>
      </c>
      <c r="T121">
        <v>13.9</v>
      </c>
      <c r="U121">
        <v>55</v>
      </c>
      <c r="V121">
        <v>3.08</v>
      </c>
      <c r="W121">
        <v>60</v>
      </c>
      <c r="X121" t="s">
        <v>94</v>
      </c>
      <c r="Y121" t="s">
        <v>436</v>
      </c>
      <c r="Z121" t="s">
        <v>96</v>
      </c>
      <c r="AA121" t="s">
        <v>437</v>
      </c>
      <c r="AB121" t="s">
        <v>13798</v>
      </c>
      <c r="AC121">
        <v>3</v>
      </c>
      <c r="AD121">
        <v>3</v>
      </c>
      <c r="AE121">
        <v>90</v>
      </c>
      <c r="AF121">
        <v>55.23</v>
      </c>
      <c r="AG121">
        <v>10.67</v>
      </c>
      <c r="AH121">
        <v>7.43</v>
      </c>
      <c r="AI121">
        <v>0.14000000000000001</v>
      </c>
      <c r="AJ121">
        <v>0.1</v>
      </c>
      <c r="AK121">
        <v>66</v>
      </c>
      <c r="AL121">
        <v>0</v>
      </c>
      <c r="AM121">
        <v>0</v>
      </c>
      <c r="AN121">
        <v>-4.0999999999999996</v>
      </c>
      <c r="AO121">
        <v>4.45</v>
      </c>
      <c r="AP121">
        <v>1726</v>
      </c>
      <c r="AQ121">
        <v>6</v>
      </c>
      <c r="AR121">
        <v>4.82</v>
      </c>
      <c r="AS121">
        <v>88</v>
      </c>
      <c r="AT121">
        <v>1.76</v>
      </c>
      <c r="AU121">
        <v>97</v>
      </c>
      <c r="AV121">
        <v>-4.9000000000000004</v>
      </c>
      <c r="AW121">
        <v>99</v>
      </c>
      <c r="AX121">
        <v>-0.48</v>
      </c>
      <c r="AY121">
        <v>96</v>
      </c>
      <c r="AZ121">
        <v>7.66</v>
      </c>
      <c r="BA121">
        <v>48</v>
      </c>
      <c r="BB121">
        <v>5.38</v>
      </c>
      <c r="BC121">
        <v>45</v>
      </c>
      <c r="BD121">
        <v>-0.1</v>
      </c>
      <c r="BE121">
        <v>-0.06</v>
      </c>
      <c r="BF121">
        <v>-0.02</v>
      </c>
      <c r="BG121">
        <v>75</v>
      </c>
      <c r="BH121">
        <v>0.09</v>
      </c>
      <c r="BI121">
        <v>0.49</v>
      </c>
      <c r="BJ121">
        <v>0</v>
      </c>
      <c r="BK121">
        <v>0</v>
      </c>
      <c r="BL121">
        <v>-1.27</v>
      </c>
      <c r="BM121">
        <v>-0.47</v>
      </c>
      <c r="BN121">
        <v>-1.36</v>
      </c>
      <c r="BO121">
        <v>-1.08</v>
      </c>
      <c r="BP121">
        <v>2.2000000000000002</v>
      </c>
      <c r="BQ121">
        <v>-0.56000000000000005</v>
      </c>
      <c r="BR121">
        <v>-1.04</v>
      </c>
      <c r="BS121">
        <v>1.28</v>
      </c>
      <c r="BT121">
        <v>0.33</v>
      </c>
      <c r="BU121">
        <v>-0.74</v>
      </c>
      <c r="BV121">
        <v>-1.27</v>
      </c>
      <c r="BW121">
        <v>-0.43</v>
      </c>
      <c r="BX121">
        <v>0.64</v>
      </c>
      <c r="BY121">
        <v>-1.03</v>
      </c>
      <c r="BZ121">
        <v>-1.29</v>
      </c>
      <c r="CA121">
        <v>-0.41</v>
      </c>
      <c r="CB121">
        <v>-0.61</v>
      </c>
      <c r="CC121">
        <v>0.54</v>
      </c>
      <c r="CD121">
        <v>0.55000000000000004</v>
      </c>
      <c r="CE121">
        <v>-0.85</v>
      </c>
      <c r="CF121">
        <v>-0.95</v>
      </c>
      <c r="CG121">
        <v>0</v>
      </c>
      <c r="CH121">
        <v>0.85</v>
      </c>
      <c r="CI121">
        <v>0</v>
      </c>
      <c r="CJ121">
        <v>-6</v>
      </c>
      <c r="CK121">
        <v>92</v>
      </c>
      <c r="CL121">
        <v>-0.65</v>
      </c>
      <c r="CM121">
        <v>89</v>
      </c>
      <c r="CN121">
        <v>-0.3</v>
      </c>
      <c r="CO121">
        <v>88</v>
      </c>
      <c r="CP121">
        <v>-2.8</v>
      </c>
      <c r="CQ121">
        <v>59</v>
      </c>
      <c r="CR121">
        <v>0</v>
      </c>
      <c r="CS121">
        <v>0</v>
      </c>
      <c r="CT121">
        <v>-5</v>
      </c>
      <c r="CU121">
        <v>55</v>
      </c>
      <c r="CV121">
        <v>0.12</v>
      </c>
      <c r="CW121">
        <v>45</v>
      </c>
      <c r="CX121" t="s">
        <v>5393</v>
      </c>
    </row>
    <row r="122" spans="1:102" x14ac:dyDescent="0.3">
      <c r="A122" t="str">
        <f>HYPERLINK("https://webapp.icbf.com/v2/app/bull-search/view/1257237506","FR2436")</f>
        <v>FR2436</v>
      </c>
      <c r="B122" t="s">
        <v>13787</v>
      </c>
      <c r="C122" t="s">
        <v>13788</v>
      </c>
      <c r="D122" s="1">
        <v>42079</v>
      </c>
      <c r="E122" t="s">
        <v>92</v>
      </c>
      <c r="F122">
        <v>91</v>
      </c>
      <c r="G122" t="s">
        <v>93</v>
      </c>
      <c r="H122">
        <v>238.46</v>
      </c>
      <c r="I122">
        <v>83</v>
      </c>
      <c r="J122">
        <v>79.36</v>
      </c>
      <c r="K122">
        <v>95</v>
      </c>
      <c r="L122">
        <v>124.65</v>
      </c>
      <c r="M122">
        <v>74</v>
      </c>
      <c r="N122">
        <v>24.62</v>
      </c>
      <c r="O122">
        <v>89</v>
      </c>
      <c r="P122">
        <v>-15.61</v>
      </c>
      <c r="Q122">
        <v>92</v>
      </c>
      <c r="R122">
        <v>13.12</v>
      </c>
      <c r="S122">
        <v>75</v>
      </c>
      <c r="T122">
        <v>9.09</v>
      </c>
      <c r="U122">
        <v>66</v>
      </c>
      <c r="V122">
        <v>3.23</v>
      </c>
      <c r="W122">
        <v>71</v>
      </c>
      <c r="X122" t="s">
        <v>276</v>
      </c>
      <c r="Y122" t="s">
        <v>436</v>
      </c>
      <c r="Z122" t="s">
        <v>96</v>
      </c>
      <c r="AA122" t="s">
        <v>2157</v>
      </c>
      <c r="AB122" t="s">
        <v>13789</v>
      </c>
      <c r="AC122">
        <v>131</v>
      </c>
      <c r="AD122">
        <v>63</v>
      </c>
      <c r="AE122">
        <v>95</v>
      </c>
      <c r="AF122">
        <v>145.87</v>
      </c>
      <c r="AG122">
        <v>10.57</v>
      </c>
      <c r="AH122">
        <v>11.99</v>
      </c>
      <c r="AI122">
        <v>0.08</v>
      </c>
      <c r="AJ122">
        <v>0.12</v>
      </c>
      <c r="AK122">
        <v>74</v>
      </c>
      <c r="AL122">
        <v>0</v>
      </c>
      <c r="AM122">
        <v>0</v>
      </c>
      <c r="AN122">
        <v>-6.05</v>
      </c>
      <c r="AO122">
        <v>3.9</v>
      </c>
      <c r="AP122">
        <v>1616</v>
      </c>
      <c r="AQ122">
        <v>2</v>
      </c>
      <c r="AR122">
        <v>5.34</v>
      </c>
      <c r="AS122">
        <v>90</v>
      </c>
      <c r="AT122">
        <v>2.42</v>
      </c>
      <c r="AU122">
        <v>97</v>
      </c>
      <c r="AV122">
        <v>-1.05</v>
      </c>
      <c r="AW122">
        <v>99</v>
      </c>
      <c r="AX122">
        <v>-0.24</v>
      </c>
      <c r="AY122">
        <v>96</v>
      </c>
      <c r="AZ122">
        <v>5.34</v>
      </c>
      <c r="BA122">
        <v>70</v>
      </c>
      <c r="BB122">
        <v>4.3099999999999996</v>
      </c>
      <c r="BC122">
        <v>45</v>
      </c>
      <c r="BD122">
        <v>-0.04</v>
      </c>
      <c r="BE122">
        <v>-0.05</v>
      </c>
      <c r="BF122">
        <v>-0.14000000000000001</v>
      </c>
      <c r="BG122">
        <v>86</v>
      </c>
      <c r="BH122">
        <v>0.08</v>
      </c>
      <c r="BI122">
        <v>-1.18</v>
      </c>
      <c r="BJ122">
        <v>0</v>
      </c>
      <c r="BK122">
        <v>0</v>
      </c>
      <c r="BL122">
        <v>0.28000000000000003</v>
      </c>
      <c r="BM122">
        <v>0.99</v>
      </c>
      <c r="BN122">
        <v>-0.69</v>
      </c>
      <c r="BO122">
        <v>-1.18</v>
      </c>
      <c r="BP122">
        <v>1</v>
      </c>
      <c r="BQ122">
        <v>-0.73</v>
      </c>
      <c r="BR122">
        <v>-0.69</v>
      </c>
      <c r="BS122">
        <v>-1.76</v>
      </c>
      <c r="BT122">
        <v>7.0000000000000007E-2</v>
      </c>
      <c r="BU122">
        <v>-1.04</v>
      </c>
      <c r="BV122">
        <v>-1.35</v>
      </c>
      <c r="BW122">
        <v>-1.96</v>
      </c>
      <c r="BX122">
        <v>7.0000000000000007E-2</v>
      </c>
      <c r="BY122">
        <v>-2.34</v>
      </c>
      <c r="BZ122">
        <v>-2.09</v>
      </c>
      <c r="CA122">
        <v>-1.26</v>
      </c>
      <c r="CB122">
        <v>-1.21</v>
      </c>
      <c r="CC122">
        <v>-1.25</v>
      </c>
      <c r="CD122">
        <v>0.67</v>
      </c>
      <c r="CE122">
        <v>-1.07</v>
      </c>
      <c r="CF122">
        <v>-0.45</v>
      </c>
      <c r="CG122">
        <v>0</v>
      </c>
      <c r="CH122">
        <v>-1.67</v>
      </c>
      <c r="CI122">
        <v>0</v>
      </c>
      <c r="CJ122">
        <v>-8.5</v>
      </c>
      <c r="CK122">
        <v>95</v>
      </c>
      <c r="CL122">
        <v>-0.97</v>
      </c>
      <c r="CM122">
        <v>93</v>
      </c>
      <c r="CN122">
        <v>-0.56999999999999995</v>
      </c>
      <c r="CO122">
        <v>92</v>
      </c>
      <c r="CP122">
        <v>-3.6</v>
      </c>
      <c r="CQ122">
        <v>66</v>
      </c>
      <c r="CR122">
        <v>0</v>
      </c>
      <c r="CS122">
        <v>0</v>
      </c>
      <c r="CT122">
        <v>1.5</v>
      </c>
      <c r="CU122">
        <v>66</v>
      </c>
      <c r="CV122">
        <v>0.03</v>
      </c>
      <c r="CW122">
        <v>47</v>
      </c>
      <c r="CX122" t="s">
        <v>1865</v>
      </c>
    </row>
    <row r="123" spans="1:102" x14ac:dyDescent="0.3">
      <c r="A123" t="str">
        <f>HYPERLINK("https://webapp.icbf.com/v2/app/bull-search/view/1480631926","FR4588")</f>
        <v>FR4588</v>
      </c>
      <c r="B123" t="s">
        <v>15170</v>
      </c>
      <c r="C123" t="s">
        <v>15171</v>
      </c>
      <c r="D123" s="1">
        <v>42786</v>
      </c>
      <c r="E123" t="s">
        <v>92</v>
      </c>
      <c r="F123">
        <v>63</v>
      </c>
      <c r="G123" t="s">
        <v>435</v>
      </c>
      <c r="H123">
        <v>238.4</v>
      </c>
      <c r="I123">
        <v>66</v>
      </c>
      <c r="J123">
        <v>91.05</v>
      </c>
      <c r="K123">
        <v>87</v>
      </c>
      <c r="L123">
        <v>59.48</v>
      </c>
      <c r="M123">
        <v>59</v>
      </c>
      <c r="N123">
        <v>60.68</v>
      </c>
      <c r="O123">
        <v>55</v>
      </c>
      <c r="P123">
        <v>-12.71</v>
      </c>
      <c r="Q123">
        <v>46</v>
      </c>
      <c r="R123">
        <v>13.16</v>
      </c>
      <c r="S123">
        <v>60</v>
      </c>
      <c r="T123">
        <v>14.42</v>
      </c>
      <c r="U123">
        <v>46</v>
      </c>
      <c r="V123">
        <v>12.32</v>
      </c>
      <c r="W123">
        <v>55</v>
      </c>
      <c r="X123" t="s">
        <v>94</v>
      </c>
      <c r="Y123" t="s">
        <v>2384</v>
      </c>
      <c r="Z123" t="s">
        <v>6191</v>
      </c>
      <c r="AA123" t="s">
        <v>7662</v>
      </c>
      <c r="AB123" t="s">
        <v>144</v>
      </c>
      <c r="AC123">
        <v>0</v>
      </c>
      <c r="AD123">
        <v>0</v>
      </c>
      <c r="AE123">
        <v>87</v>
      </c>
      <c r="AF123">
        <v>-38.5</v>
      </c>
      <c r="AG123">
        <v>12.71</v>
      </c>
      <c r="AH123">
        <v>10.4</v>
      </c>
      <c r="AI123">
        <v>0.24</v>
      </c>
      <c r="AJ123">
        <v>0.21</v>
      </c>
      <c r="AK123">
        <v>59</v>
      </c>
      <c r="AL123">
        <v>0</v>
      </c>
      <c r="AM123">
        <v>0</v>
      </c>
      <c r="AN123">
        <v>-2.75</v>
      </c>
      <c r="AO123">
        <v>2</v>
      </c>
      <c r="AP123">
        <v>4</v>
      </c>
      <c r="AQ123">
        <v>0</v>
      </c>
      <c r="AR123">
        <v>4.54</v>
      </c>
      <c r="AS123">
        <v>52</v>
      </c>
      <c r="AT123">
        <v>2.14</v>
      </c>
      <c r="AU123">
        <v>61</v>
      </c>
      <c r="AV123">
        <v>-5.29</v>
      </c>
      <c r="AW123">
        <v>62</v>
      </c>
      <c r="AX123">
        <v>0</v>
      </c>
      <c r="AY123">
        <v>50</v>
      </c>
      <c r="AZ123">
        <v>5.34</v>
      </c>
      <c r="BA123">
        <v>41</v>
      </c>
      <c r="BB123">
        <v>4.4000000000000004</v>
      </c>
      <c r="BC123">
        <v>33</v>
      </c>
      <c r="BD123">
        <v>-7.0000000000000007E-2</v>
      </c>
      <c r="BE123">
        <v>-0.04</v>
      </c>
      <c r="BF123">
        <v>-0.11</v>
      </c>
      <c r="BG123">
        <v>70</v>
      </c>
      <c r="BH123">
        <v>0.43</v>
      </c>
      <c r="BI123">
        <v>10</v>
      </c>
      <c r="BJ123">
        <v>0</v>
      </c>
      <c r="BK123">
        <v>0</v>
      </c>
      <c r="BL123">
        <v>-1.21</v>
      </c>
      <c r="BM123">
        <v>-0.28000000000000003</v>
      </c>
      <c r="BN123">
        <v>-1.23</v>
      </c>
      <c r="BO123">
        <v>-0.79</v>
      </c>
      <c r="BP123">
        <v>1.72</v>
      </c>
      <c r="BQ123">
        <v>-2.44</v>
      </c>
      <c r="BR123">
        <v>0.19</v>
      </c>
      <c r="BS123">
        <v>1.22</v>
      </c>
      <c r="BT123">
        <v>-0.32</v>
      </c>
      <c r="BU123">
        <v>-1.28</v>
      </c>
      <c r="BV123">
        <v>-1.7</v>
      </c>
      <c r="BW123">
        <v>-2.29</v>
      </c>
      <c r="BX123">
        <v>-1.25</v>
      </c>
      <c r="BY123">
        <v>-0.63</v>
      </c>
      <c r="BZ123">
        <v>-0.88</v>
      </c>
      <c r="CA123">
        <v>-0.98</v>
      </c>
      <c r="CB123">
        <v>-1.47</v>
      </c>
      <c r="CC123">
        <v>0.34</v>
      </c>
      <c r="CD123">
        <v>-0.3</v>
      </c>
      <c r="CE123">
        <v>-1.01</v>
      </c>
      <c r="CF123">
        <v>-1.67</v>
      </c>
      <c r="CG123">
        <v>0</v>
      </c>
      <c r="CH123">
        <v>-2.27</v>
      </c>
      <c r="CI123">
        <v>0</v>
      </c>
      <c r="CJ123">
        <v>-5.8</v>
      </c>
      <c r="CK123">
        <v>47</v>
      </c>
      <c r="CL123">
        <v>-0.55000000000000004</v>
      </c>
      <c r="CM123">
        <v>46</v>
      </c>
      <c r="CN123">
        <v>-0.22</v>
      </c>
      <c r="CO123">
        <v>46</v>
      </c>
      <c r="CP123">
        <v>-10.7</v>
      </c>
      <c r="CQ123">
        <v>44</v>
      </c>
      <c r="CR123">
        <v>0</v>
      </c>
      <c r="CS123">
        <v>0</v>
      </c>
      <c r="CT123">
        <v>-5.7</v>
      </c>
      <c r="CU123">
        <v>46</v>
      </c>
      <c r="CV123">
        <v>-0.03</v>
      </c>
      <c r="CW123">
        <v>35</v>
      </c>
      <c r="CX123" t="s">
        <v>2314</v>
      </c>
    </row>
    <row r="124" spans="1:102" x14ac:dyDescent="0.3">
      <c r="A124" t="str">
        <f>HYPERLINK("https://webapp.icbf.com/v2/app/bull-search/view/1354260222","FR4204")</f>
        <v>FR4204</v>
      </c>
      <c r="B124" t="s">
        <v>2724</v>
      </c>
      <c r="C124" t="s">
        <v>2725</v>
      </c>
      <c r="D124" s="1">
        <v>42393</v>
      </c>
      <c r="E124" t="s">
        <v>92</v>
      </c>
      <c r="F124">
        <v>69</v>
      </c>
      <c r="G124" t="s">
        <v>435</v>
      </c>
      <c r="H124">
        <v>237.99</v>
      </c>
      <c r="I124">
        <v>72</v>
      </c>
      <c r="J124">
        <v>45.18</v>
      </c>
      <c r="K124">
        <v>88</v>
      </c>
      <c r="L124">
        <v>137.59</v>
      </c>
      <c r="M124">
        <v>60</v>
      </c>
      <c r="N124">
        <v>49.74</v>
      </c>
      <c r="O124">
        <v>83</v>
      </c>
      <c r="P124">
        <v>-17.18</v>
      </c>
      <c r="Q124">
        <v>74</v>
      </c>
      <c r="R124">
        <v>2.8</v>
      </c>
      <c r="S124">
        <v>60</v>
      </c>
      <c r="T124">
        <v>19.3</v>
      </c>
      <c r="U124">
        <v>57</v>
      </c>
      <c r="V124">
        <v>0.56000000000000005</v>
      </c>
      <c r="W124">
        <v>55</v>
      </c>
      <c r="X124" t="s">
        <v>234</v>
      </c>
      <c r="Y124" t="s">
        <v>2255</v>
      </c>
      <c r="Z124" t="s">
        <v>330</v>
      </c>
      <c r="AA124" t="s">
        <v>2499</v>
      </c>
      <c r="AB124" t="s">
        <v>2726</v>
      </c>
      <c r="AC124">
        <v>2</v>
      </c>
      <c r="AD124">
        <v>1</v>
      </c>
      <c r="AE124">
        <v>88</v>
      </c>
      <c r="AF124">
        <v>23.02</v>
      </c>
      <c r="AG124">
        <v>1.91</v>
      </c>
      <c r="AH124">
        <v>7.36</v>
      </c>
      <c r="AI124">
        <v>0.01</v>
      </c>
      <c r="AJ124">
        <v>0.12</v>
      </c>
      <c r="AK124">
        <v>60</v>
      </c>
      <c r="AL124">
        <v>0</v>
      </c>
      <c r="AM124">
        <v>0</v>
      </c>
      <c r="AN124">
        <v>-9.2799999999999994</v>
      </c>
      <c r="AO124">
        <v>1.67</v>
      </c>
      <c r="AP124">
        <v>444</v>
      </c>
      <c r="AQ124">
        <v>0</v>
      </c>
      <c r="AR124">
        <v>4.26</v>
      </c>
      <c r="AS124">
        <v>65</v>
      </c>
      <c r="AT124">
        <v>1.93</v>
      </c>
      <c r="AU124">
        <v>91</v>
      </c>
      <c r="AV124">
        <v>-3.91</v>
      </c>
      <c r="AW124">
        <v>98</v>
      </c>
      <c r="AX124">
        <v>-0.57999999999999996</v>
      </c>
      <c r="AY124">
        <v>86</v>
      </c>
      <c r="AZ124">
        <v>5.58</v>
      </c>
      <c r="BA124">
        <v>42</v>
      </c>
      <c r="BB124">
        <v>5.04</v>
      </c>
      <c r="BC124">
        <v>39</v>
      </c>
      <c r="BD124">
        <v>-0.02</v>
      </c>
      <c r="BE124">
        <v>0.01</v>
      </c>
      <c r="BF124">
        <v>-0.05</v>
      </c>
      <c r="BG124">
        <v>70</v>
      </c>
      <c r="BH124">
        <v>0.06</v>
      </c>
      <c r="BI124">
        <v>5.12</v>
      </c>
      <c r="BJ124">
        <v>0</v>
      </c>
      <c r="BK124">
        <v>0</v>
      </c>
      <c r="BL124">
        <v>-1.63</v>
      </c>
      <c r="BM124">
        <v>-0.18</v>
      </c>
      <c r="BN124">
        <v>-1.1000000000000001</v>
      </c>
      <c r="BO124">
        <v>-1.19</v>
      </c>
      <c r="BP124">
        <v>1.17</v>
      </c>
      <c r="BQ124">
        <v>-2.48</v>
      </c>
      <c r="BR124">
        <v>0.7</v>
      </c>
      <c r="BS124">
        <v>-1</v>
      </c>
      <c r="BT124">
        <v>-1.48</v>
      </c>
      <c r="BU124">
        <v>0.16</v>
      </c>
      <c r="BV124">
        <v>-1.03</v>
      </c>
      <c r="BW124">
        <v>-1.49</v>
      </c>
      <c r="BX124">
        <v>-1.07</v>
      </c>
      <c r="BY124">
        <v>-1.1399999999999999</v>
      </c>
      <c r="BZ124">
        <v>0.2</v>
      </c>
      <c r="CA124">
        <v>-1.07</v>
      </c>
      <c r="CB124">
        <v>-0.65</v>
      </c>
      <c r="CC124">
        <v>-1.34</v>
      </c>
      <c r="CD124">
        <v>0.59</v>
      </c>
      <c r="CE124">
        <v>-1.05</v>
      </c>
      <c r="CF124">
        <v>-1.22</v>
      </c>
      <c r="CG124">
        <v>0</v>
      </c>
      <c r="CH124">
        <v>-0.33</v>
      </c>
      <c r="CI124">
        <v>0</v>
      </c>
      <c r="CJ124">
        <v>-7.4</v>
      </c>
      <c r="CK124">
        <v>79</v>
      </c>
      <c r="CL124">
        <v>-0.63</v>
      </c>
      <c r="CM124">
        <v>71</v>
      </c>
      <c r="CN124">
        <v>-0.1</v>
      </c>
      <c r="CO124">
        <v>70</v>
      </c>
      <c r="CP124">
        <v>-10.9</v>
      </c>
      <c r="CQ124">
        <v>56</v>
      </c>
      <c r="CR124">
        <v>0</v>
      </c>
      <c r="CS124">
        <v>0</v>
      </c>
      <c r="CT124">
        <v>-12.3</v>
      </c>
      <c r="CU124">
        <v>57</v>
      </c>
      <c r="CV124">
        <v>0.1</v>
      </c>
      <c r="CW124">
        <v>42</v>
      </c>
      <c r="CX124" t="s">
        <v>2727</v>
      </c>
    </row>
    <row r="125" spans="1:102" x14ac:dyDescent="0.3">
      <c r="A125" t="str">
        <f>HYPERLINK("https://webapp.icbf.com/v2/app/bull-search/view/1240482552","FR2229")</f>
        <v>FR2229</v>
      </c>
      <c r="B125" t="s">
        <v>6004</v>
      </c>
      <c r="C125" t="s">
        <v>6005</v>
      </c>
      <c r="D125" s="1">
        <v>41585</v>
      </c>
      <c r="E125" t="s">
        <v>92</v>
      </c>
      <c r="F125">
        <v>100</v>
      </c>
      <c r="G125" t="s">
        <v>93</v>
      </c>
      <c r="H125">
        <v>237.98</v>
      </c>
      <c r="I125">
        <v>84</v>
      </c>
      <c r="J125">
        <v>54.13</v>
      </c>
      <c r="K125">
        <v>96</v>
      </c>
      <c r="L125">
        <v>123.1</v>
      </c>
      <c r="M125">
        <v>79</v>
      </c>
      <c r="N125">
        <v>42.39</v>
      </c>
      <c r="O125">
        <v>86</v>
      </c>
      <c r="P125">
        <v>-3.89</v>
      </c>
      <c r="Q125">
        <v>86</v>
      </c>
      <c r="R125">
        <v>16.89</v>
      </c>
      <c r="S125">
        <v>74</v>
      </c>
      <c r="T125">
        <v>2.13</v>
      </c>
      <c r="U125">
        <v>68</v>
      </c>
      <c r="V125">
        <v>3.23</v>
      </c>
      <c r="W125">
        <v>62</v>
      </c>
      <c r="X125" t="s">
        <v>276</v>
      </c>
      <c r="Y125" t="s">
        <v>405</v>
      </c>
      <c r="Z125" t="s">
        <v>96</v>
      </c>
      <c r="AA125" t="s">
        <v>6006</v>
      </c>
      <c r="AB125" t="s">
        <v>6007</v>
      </c>
      <c r="AC125">
        <v>182</v>
      </c>
      <c r="AD125">
        <v>68</v>
      </c>
      <c r="AE125">
        <v>96</v>
      </c>
      <c r="AF125">
        <v>160.04</v>
      </c>
      <c r="AG125">
        <v>9.06</v>
      </c>
      <c r="AH125">
        <v>8.4499999999999993</v>
      </c>
      <c r="AI125">
        <v>0.05</v>
      </c>
      <c r="AJ125">
        <v>0.05</v>
      </c>
      <c r="AK125">
        <v>79</v>
      </c>
      <c r="AL125">
        <v>0</v>
      </c>
      <c r="AM125">
        <v>0</v>
      </c>
      <c r="AN125">
        <v>-7.25</v>
      </c>
      <c r="AO125">
        <v>2.56</v>
      </c>
      <c r="AP125">
        <v>717</v>
      </c>
      <c r="AQ125">
        <v>4</v>
      </c>
      <c r="AR125">
        <v>5.25</v>
      </c>
      <c r="AS125">
        <v>92</v>
      </c>
      <c r="AT125">
        <v>2.0099999999999998</v>
      </c>
      <c r="AU125">
        <v>93</v>
      </c>
      <c r="AV125">
        <v>-3.31</v>
      </c>
      <c r="AW125">
        <v>99</v>
      </c>
      <c r="AX125">
        <v>0.67</v>
      </c>
      <c r="AY125">
        <v>92</v>
      </c>
      <c r="AZ125">
        <v>5.49</v>
      </c>
      <c r="BA125">
        <v>68</v>
      </c>
      <c r="BB125">
        <v>4.43</v>
      </c>
      <c r="BC125">
        <v>32</v>
      </c>
      <c r="BD125">
        <v>-0.05</v>
      </c>
      <c r="BE125">
        <v>-0.05</v>
      </c>
      <c r="BF125">
        <v>-0.21</v>
      </c>
      <c r="BG125">
        <v>90</v>
      </c>
      <c r="BH125">
        <v>0.13</v>
      </c>
      <c r="BI125">
        <v>4.63</v>
      </c>
      <c r="BJ125">
        <v>2</v>
      </c>
      <c r="BK125">
        <v>2</v>
      </c>
      <c r="BL125">
        <v>1.21</v>
      </c>
      <c r="BM125">
        <v>-0.56000000000000005</v>
      </c>
      <c r="BN125">
        <v>-0.5</v>
      </c>
      <c r="BO125">
        <v>0.44</v>
      </c>
      <c r="BP125">
        <v>0.78</v>
      </c>
      <c r="BQ125">
        <v>0.44</v>
      </c>
      <c r="BR125">
        <v>1.8</v>
      </c>
      <c r="BS125">
        <v>-0.11</v>
      </c>
      <c r="BT125">
        <v>-0.55000000000000004</v>
      </c>
      <c r="BU125">
        <v>2.94</v>
      </c>
      <c r="BV125">
        <v>2.61</v>
      </c>
      <c r="BW125">
        <v>1.31</v>
      </c>
      <c r="BX125">
        <v>3.47</v>
      </c>
      <c r="BY125">
        <v>2.74</v>
      </c>
      <c r="BZ125">
        <v>1.32</v>
      </c>
      <c r="CA125">
        <v>2.34</v>
      </c>
      <c r="CB125">
        <v>2.74</v>
      </c>
      <c r="CC125">
        <v>0.65</v>
      </c>
      <c r="CD125">
        <v>-0.72</v>
      </c>
      <c r="CE125">
        <v>0.52</v>
      </c>
      <c r="CF125">
        <v>0.11</v>
      </c>
      <c r="CG125">
        <v>0</v>
      </c>
      <c r="CH125">
        <v>2.4500000000000002</v>
      </c>
      <c r="CI125">
        <v>0</v>
      </c>
      <c r="CJ125">
        <v>-0.1</v>
      </c>
      <c r="CK125">
        <v>90</v>
      </c>
      <c r="CL125">
        <v>-1.04</v>
      </c>
      <c r="CM125">
        <v>87</v>
      </c>
      <c r="CN125">
        <v>-0.56000000000000005</v>
      </c>
      <c r="CO125">
        <v>86</v>
      </c>
      <c r="CP125">
        <v>2.8</v>
      </c>
      <c r="CQ125">
        <v>61</v>
      </c>
      <c r="CR125">
        <v>0</v>
      </c>
      <c r="CS125">
        <v>0</v>
      </c>
      <c r="CT125">
        <v>10.9</v>
      </c>
      <c r="CU125">
        <v>68</v>
      </c>
      <c r="CV125">
        <v>0.24</v>
      </c>
      <c r="CW125">
        <v>43</v>
      </c>
      <c r="CX125" t="s">
        <v>6008</v>
      </c>
    </row>
    <row r="126" spans="1:102" x14ac:dyDescent="0.3">
      <c r="A126" t="str">
        <f>HYPERLINK("https://webapp.icbf.com/v2/app/bull-search/view/1352019920","FR4154")</f>
        <v>FR4154</v>
      </c>
      <c r="B126" t="s">
        <v>433</v>
      </c>
      <c r="C126" t="s">
        <v>434</v>
      </c>
      <c r="D126" s="1">
        <v>42395</v>
      </c>
      <c r="E126" t="s">
        <v>92</v>
      </c>
      <c r="F126">
        <v>84</v>
      </c>
      <c r="G126" t="s">
        <v>435</v>
      </c>
      <c r="H126">
        <v>237.83</v>
      </c>
      <c r="I126">
        <v>75</v>
      </c>
      <c r="J126">
        <v>83.51</v>
      </c>
      <c r="K126">
        <v>90</v>
      </c>
      <c r="L126">
        <v>101.96</v>
      </c>
      <c r="M126">
        <v>66</v>
      </c>
      <c r="N126">
        <v>53.77</v>
      </c>
      <c r="O126">
        <v>90</v>
      </c>
      <c r="P126">
        <v>-24.51</v>
      </c>
      <c r="Q126">
        <v>67</v>
      </c>
      <c r="R126">
        <v>0.91</v>
      </c>
      <c r="S126">
        <v>65</v>
      </c>
      <c r="T126">
        <v>10.130000000000001</v>
      </c>
      <c r="U126">
        <v>51</v>
      </c>
      <c r="V126">
        <v>12.06</v>
      </c>
      <c r="W126">
        <v>57</v>
      </c>
      <c r="X126" t="s">
        <v>102</v>
      </c>
      <c r="Y126" t="s">
        <v>436</v>
      </c>
      <c r="Z126" t="s">
        <v>96</v>
      </c>
      <c r="AA126" t="s">
        <v>437</v>
      </c>
      <c r="AB126" t="s">
        <v>438</v>
      </c>
      <c r="AC126">
        <v>0</v>
      </c>
      <c r="AD126">
        <v>0</v>
      </c>
      <c r="AE126">
        <v>90</v>
      </c>
      <c r="AF126">
        <v>41.29</v>
      </c>
      <c r="AG126">
        <v>19.66</v>
      </c>
      <c r="AH126">
        <v>7.88</v>
      </c>
      <c r="AI126">
        <v>0.31</v>
      </c>
      <c r="AJ126">
        <v>0.12</v>
      </c>
      <c r="AK126">
        <v>66</v>
      </c>
      <c r="AL126">
        <v>0</v>
      </c>
      <c r="AM126">
        <v>0</v>
      </c>
      <c r="AN126">
        <v>-5.64</v>
      </c>
      <c r="AO126">
        <v>2.4900000000000002</v>
      </c>
      <c r="AP126">
        <v>5609</v>
      </c>
      <c r="AQ126">
        <v>10</v>
      </c>
      <c r="AR126">
        <v>5.09</v>
      </c>
      <c r="AS126">
        <v>99</v>
      </c>
      <c r="AT126">
        <v>2.2200000000000002</v>
      </c>
      <c r="AU126">
        <v>99</v>
      </c>
      <c r="AV126">
        <v>-4.4400000000000004</v>
      </c>
      <c r="AW126">
        <v>99</v>
      </c>
      <c r="AX126">
        <v>-0.31</v>
      </c>
      <c r="AY126">
        <v>99</v>
      </c>
      <c r="AZ126">
        <v>5.36</v>
      </c>
      <c r="BA126">
        <v>45</v>
      </c>
      <c r="BB126">
        <v>4.25</v>
      </c>
      <c r="BC126">
        <v>46</v>
      </c>
      <c r="BD126">
        <v>-0.03</v>
      </c>
      <c r="BE126">
        <v>0.01</v>
      </c>
      <c r="BF126">
        <v>0.01</v>
      </c>
      <c r="BG126">
        <v>74</v>
      </c>
      <c r="BH126">
        <v>0.23</v>
      </c>
      <c r="BI126">
        <v>-12.3</v>
      </c>
      <c r="BJ126">
        <v>0</v>
      </c>
      <c r="BK126">
        <v>0</v>
      </c>
      <c r="BL126">
        <v>-0.4</v>
      </c>
      <c r="BM126">
        <v>0.4</v>
      </c>
      <c r="BN126">
        <v>0.11</v>
      </c>
      <c r="BO126">
        <v>-0.27</v>
      </c>
      <c r="BP126">
        <v>0.43</v>
      </c>
      <c r="BQ126">
        <v>-0.05</v>
      </c>
      <c r="BR126">
        <v>0.7</v>
      </c>
      <c r="BS126">
        <v>-0.02</v>
      </c>
      <c r="BT126">
        <v>-1.62</v>
      </c>
      <c r="BU126">
        <v>-0.06</v>
      </c>
      <c r="BV126">
        <v>-0.15</v>
      </c>
      <c r="BW126">
        <v>0.25</v>
      </c>
      <c r="BX126">
        <v>0.28999999999999998</v>
      </c>
      <c r="BY126">
        <v>0.62</v>
      </c>
      <c r="BZ126">
        <v>-0.41</v>
      </c>
      <c r="CA126">
        <v>-0.15</v>
      </c>
      <c r="CB126">
        <v>-0.25</v>
      </c>
      <c r="CC126">
        <v>-0.49</v>
      </c>
      <c r="CD126">
        <v>0.48</v>
      </c>
      <c r="CE126">
        <v>-0.09</v>
      </c>
      <c r="CF126">
        <v>-0.68</v>
      </c>
      <c r="CG126">
        <v>0</v>
      </c>
      <c r="CH126">
        <v>1.21</v>
      </c>
      <c r="CI126">
        <v>0</v>
      </c>
      <c r="CJ126">
        <v>-13.7</v>
      </c>
      <c r="CK126">
        <v>72</v>
      </c>
      <c r="CL126">
        <v>-0.95</v>
      </c>
      <c r="CM126">
        <v>63</v>
      </c>
      <c r="CN126">
        <v>-0.48</v>
      </c>
      <c r="CO126">
        <v>60</v>
      </c>
      <c r="CP126">
        <v>-9.5</v>
      </c>
      <c r="CQ126">
        <v>53</v>
      </c>
      <c r="CR126">
        <v>0</v>
      </c>
      <c r="CS126">
        <v>0</v>
      </c>
      <c r="CT126">
        <v>0.1</v>
      </c>
      <c r="CU126">
        <v>51</v>
      </c>
      <c r="CV126">
        <v>0.05</v>
      </c>
      <c r="CW126">
        <v>40</v>
      </c>
      <c r="CX126" t="s">
        <v>439</v>
      </c>
    </row>
    <row r="127" spans="1:102" x14ac:dyDescent="0.3">
      <c r="A127" t="str">
        <f>HYPERLINK("https://webapp.icbf.com/v2/app/bull-search/view/1251467347","FR2339")</f>
        <v>FR2339</v>
      </c>
      <c r="B127" t="s">
        <v>14219</v>
      </c>
      <c r="C127" t="s">
        <v>6274</v>
      </c>
      <c r="D127" s="1">
        <v>42059</v>
      </c>
      <c r="E127" t="s">
        <v>92</v>
      </c>
      <c r="F127">
        <v>72</v>
      </c>
      <c r="G127" t="s">
        <v>93</v>
      </c>
      <c r="H127">
        <v>237.82</v>
      </c>
      <c r="I127">
        <v>88</v>
      </c>
      <c r="J127">
        <v>58.59</v>
      </c>
      <c r="K127">
        <v>98</v>
      </c>
      <c r="L127">
        <v>116.38</v>
      </c>
      <c r="M127">
        <v>76</v>
      </c>
      <c r="N127">
        <v>51.78</v>
      </c>
      <c r="O127">
        <v>91</v>
      </c>
      <c r="P127">
        <v>-23.42</v>
      </c>
      <c r="Q127">
        <v>95</v>
      </c>
      <c r="R127">
        <v>4.45</v>
      </c>
      <c r="S127">
        <v>80</v>
      </c>
      <c r="T127">
        <v>27.44</v>
      </c>
      <c r="U127">
        <v>97</v>
      </c>
      <c r="V127">
        <v>2.6</v>
      </c>
      <c r="W127">
        <v>74</v>
      </c>
      <c r="X127" t="s">
        <v>234</v>
      </c>
      <c r="Y127" t="s">
        <v>436</v>
      </c>
      <c r="Z127" t="s">
        <v>96</v>
      </c>
      <c r="AA127" t="s">
        <v>437</v>
      </c>
      <c r="AB127" t="s">
        <v>14220</v>
      </c>
      <c r="AC127">
        <v>377</v>
      </c>
      <c r="AD127">
        <v>90</v>
      </c>
      <c r="AE127">
        <v>98</v>
      </c>
      <c r="AF127">
        <v>60.69</v>
      </c>
      <c r="AG127">
        <v>14.88</v>
      </c>
      <c r="AH127">
        <v>5.63</v>
      </c>
      <c r="AI127">
        <v>0.22</v>
      </c>
      <c r="AJ127">
        <v>0.06</v>
      </c>
      <c r="AK127">
        <v>76</v>
      </c>
      <c r="AL127">
        <v>0</v>
      </c>
      <c r="AM127">
        <v>0</v>
      </c>
      <c r="AN127">
        <v>-5.66</v>
      </c>
      <c r="AO127">
        <v>3.63</v>
      </c>
      <c r="AP127">
        <v>3898</v>
      </c>
      <c r="AQ127">
        <v>3</v>
      </c>
      <c r="AR127">
        <v>5.21</v>
      </c>
      <c r="AS127">
        <v>97</v>
      </c>
      <c r="AT127">
        <v>1.97</v>
      </c>
      <c r="AU127">
        <v>99</v>
      </c>
      <c r="AV127">
        <v>-4.4000000000000004</v>
      </c>
      <c r="AW127">
        <v>99</v>
      </c>
      <c r="AX127">
        <v>0.03</v>
      </c>
      <c r="AY127">
        <v>98</v>
      </c>
      <c r="AZ127">
        <v>5.9</v>
      </c>
      <c r="BA127">
        <v>85</v>
      </c>
      <c r="BB127">
        <v>4.58</v>
      </c>
      <c r="BC127">
        <v>44</v>
      </c>
      <c r="BD127">
        <v>-0.05</v>
      </c>
      <c r="BE127">
        <v>-0.01</v>
      </c>
      <c r="BF127">
        <v>0</v>
      </c>
      <c r="BG127">
        <v>93</v>
      </c>
      <c r="BH127">
        <v>0.12</v>
      </c>
      <c r="BI127">
        <v>5.48</v>
      </c>
      <c r="BJ127">
        <v>0</v>
      </c>
      <c r="BK127">
        <v>0</v>
      </c>
      <c r="BL127">
        <v>-1.95</v>
      </c>
      <c r="BM127">
        <v>-0.49</v>
      </c>
      <c r="BN127">
        <v>-2</v>
      </c>
      <c r="BO127">
        <v>-1.97</v>
      </c>
      <c r="BP127">
        <v>2.2799999999999998</v>
      </c>
      <c r="BQ127">
        <v>-1.61</v>
      </c>
      <c r="BR127">
        <v>1.18</v>
      </c>
      <c r="BS127">
        <v>-1.51</v>
      </c>
      <c r="BT127">
        <v>-1.92</v>
      </c>
      <c r="BU127">
        <v>-1.01</v>
      </c>
      <c r="BV127">
        <v>-1.26</v>
      </c>
      <c r="BW127">
        <v>-1.1100000000000001</v>
      </c>
      <c r="BX127">
        <v>0.18</v>
      </c>
      <c r="BY127">
        <v>-1.18</v>
      </c>
      <c r="BZ127">
        <v>-0.46</v>
      </c>
      <c r="CA127">
        <v>-1.44</v>
      </c>
      <c r="CB127">
        <v>-1.2</v>
      </c>
      <c r="CC127">
        <v>-1.59</v>
      </c>
      <c r="CD127">
        <v>0.77</v>
      </c>
      <c r="CE127">
        <v>-1.54</v>
      </c>
      <c r="CF127">
        <v>-2.31</v>
      </c>
      <c r="CG127">
        <v>0</v>
      </c>
      <c r="CH127">
        <v>-0.81</v>
      </c>
      <c r="CI127">
        <v>0</v>
      </c>
      <c r="CJ127">
        <v>-13</v>
      </c>
      <c r="CK127">
        <v>97</v>
      </c>
      <c r="CL127">
        <v>-0.52</v>
      </c>
      <c r="CM127">
        <v>96</v>
      </c>
      <c r="CN127">
        <v>-0.2</v>
      </c>
      <c r="CO127">
        <v>96</v>
      </c>
      <c r="CP127">
        <v>-16.399999999999999</v>
      </c>
      <c r="CQ127">
        <v>74</v>
      </c>
      <c r="CR127">
        <v>0</v>
      </c>
      <c r="CS127">
        <v>0</v>
      </c>
      <c r="CT127">
        <v>-23.3</v>
      </c>
      <c r="CU127">
        <v>97</v>
      </c>
      <c r="CV127">
        <v>-0.03</v>
      </c>
      <c r="CW127">
        <v>46</v>
      </c>
      <c r="CX127" t="s">
        <v>5558</v>
      </c>
    </row>
    <row r="128" spans="1:102" x14ac:dyDescent="0.3">
      <c r="A128" t="str">
        <f>HYPERLINK("https://webapp.icbf.com/v2/app/bull-search/view/1140427948","FR2005")</f>
        <v>FR2005</v>
      </c>
      <c r="B128" t="s">
        <v>14554</v>
      </c>
      <c r="C128" t="s">
        <v>6282</v>
      </c>
      <c r="D128" s="1">
        <v>41681</v>
      </c>
      <c r="E128" t="s">
        <v>92</v>
      </c>
      <c r="F128">
        <v>66</v>
      </c>
      <c r="G128" t="s">
        <v>93</v>
      </c>
      <c r="H128">
        <v>237.33</v>
      </c>
      <c r="I128">
        <v>90</v>
      </c>
      <c r="J128">
        <v>88.97</v>
      </c>
      <c r="K128">
        <v>99</v>
      </c>
      <c r="L128">
        <v>84.7</v>
      </c>
      <c r="M128">
        <v>82</v>
      </c>
      <c r="N128">
        <v>50.02</v>
      </c>
      <c r="O128">
        <v>93</v>
      </c>
      <c r="P128">
        <v>-12.77</v>
      </c>
      <c r="Q128">
        <v>98</v>
      </c>
      <c r="R128">
        <v>6.81</v>
      </c>
      <c r="S128">
        <v>87</v>
      </c>
      <c r="T128">
        <v>13.75</v>
      </c>
      <c r="U128">
        <v>86</v>
      </c>
      <c r="V128">
        <v>5.85</v>
      </c>
      <c r="W128">
        <v>78</v>
      </c>
      <c r="X128" t="s">
        <v>94</v>
      </c>
      <c r="Y128" t="s">
        <v>416</v>
      </c>
      <c r="Z128" t="s">
        <v>330</v>
      </c>
      <c r="AA128" t="s">
        <v>2514</v>
      </c>
      <c r="AB128" t="s">
        <v>14555</v>
      </c>
      <c r="AC128">
        <v>1466</v>
      </c>
      <c r="AD128">
        <v>533</v>
      </c>
      <c r="AE128">
        <v>99</v>
      </c>
      <c r="AF128">
        <v>2.2599999999999998</v>
      </c>
      <c r="AG128">
        <v>21.64</v>
      </c>
      <c r="AH128">
        <v>7.51</v>
      </c>
      <c r="AI128">
        <v>0.38</v>
      </c>
      <c r="AJ128">
        <v>0.13</v>
      </c>
      <c r="AK128">
        <v>82</v>
      </c>
      <c r="AL128">
        <v>143</v>
      </c>
      <c r="AM128">
        <v>75</v>
      </c>
      <c r="AN128">
        <v>-4.18</v>
      </c>
      <c r="AO128">
        <v>2.58</v>
      </c>
      <c r="AP128">
        <v>7000</v>
      </c>
      <c r="AQ128">
        <v>33</v>
      </c>
      <c r="AR128">
        <v>5.67</v>
      </c>
      <c r="AS128">
        <v>96</v>
      </c>
      <c r="AT128">
        <v>2.62</v>
      </c>
      <c r="AU128">
        <v>99</v>
      </c>
      <c r="AV128">
        <v>-5.14</v>
      </c>
      <c r="AW128">
        <v>99</v>
      </c>
      <c r="AX128">
        <v>-0.38</v>
      </c>
      <c r="AY128">
        <v>99</v>
      </c>
      <c r="AZ128">
        <v>7.9</v>
      </c>
      <c r="BA128">
        <v>94</v>
      </c>
      <c r="BB128">
        <v>4.67</v>
      </c>
      <c r="BC128">
        <v>59</v>
      </c>
      <c r="BD128">
        <v>-0.04</v>
      </c>
      <c r="BE128">
        <v>0</v>
      </c>
      <c r="BF128">
        <v>-0.09</v>
      </c>
      <c r="BG128">
        <v>97</v>
      </c>
      <c r="BH128">
        <v>0.01</v>
      </c>
      <c r="BI128">
        <v>-17.71</v>
      </c>
      <c r="BJ128">
        <v>0</v>
      </c>
      <c r="BK128">
        <v>0</v>
      </c>
      <c r="BL128">
        <v>-1.25</v>
      </c>
      <c r="BM128">
        <v>-0.32</v>
      </c>
      <c r="BN128">
        <v>-2.6</v>
      </c>
      <c r="BO128">
        <v>-1.53</v>
      </c>
      <c r="BP128">
        <v>1.65</v>
      </c>
      <c r="BQ128">
        <v>-1.96</v>
      </c>
      <c r="BR128">
        <v>1.3</v>
      </c>
      <c r="BS128">
        <v>0.55000000000000004</v>
      </c>
      <c r="BT128">
        <v>-2.39</v>
      </c>
      <c r="BU128">
        <v>1.1499999999999999</v>
      </c>
      <c r="BV128">
        <v>1.27</v>
      </c>
      <c r="BW128">
        <v>0.4</v>
      </c>
      <c r="BX128">
        <v>0.32</v>
      </c>
      <c r="BY128">
        <v>-0.87</v>
      </c>
      <c r="BZ128">
        <v>-1.34</v>
      </c>
      <c r="CA128">
        <v>0.71</v>
      </c>
      <c r="CB128">
        <v>1.19</v>
      </c>
      <c r="CC128">
        <v>-0.65</v>
      </c>
      <c r="CD128">
        <v>0.59</v>
      </c>
      <c r="CE128">
        <v>-0.88</v>
      </c>
      <c r="CF128">
        <v>-2.67</v>
      </c>
      <c r="CG128">
        <v>0</v>
      </c>
      <c r="CH128">
        <v>-1.41</v>
      </c>
      <c r="CI128">
        <v>0</v>
      </c>
      <c r="CJ128">
        <v>-3.6</v>
      </c>
      <c r="CK128">
        <v>99</v>
      </c>
      <c r="CL128">
        <v>-0.81</v>
      </c>
      <c r="CM128">
        <v>99</v>
      </c>
      <c r="CN128">
        <v>-0.1</v>
      </c>
      <c r="CO128">
        <v>99</v>
      </c>
      <c r="CP128">
        <v>-4.0999999999999996</v>
      </c>
      <c r="CQ128">
        <v>83</v>
      </c>
      <c r="CR128">
        <v>0</v>
      </c>
      <c r="CS128">
        <v>0</v>
      </c>
      <c r="CT128">
        <v>-4.8</v>
      </c>
      <c r="CU128">
        <v>86</v>
      </c>
      <c r="CV128">
        <v>0.21</v>
      </c>
      <c r="CW128">
        <v>48</v>
      </c>
      <c r="CX128" t="s">
        <v>392</v>
      </c>
    </row>
    <row r="129" spans="1:102" x14ac:dyDescent="0.3">
      <c r="A129" t="str">
        <f>HYPERLINK("https://webapp.icbf.com/v2/app/bull-search/view/1574241834","FR4416")</f>
        <v>FR4416</v>
      </c>
      <c r="B129" t="s">
        <v>10297</v>
      </c>
      <c r="C129" t="s">
        <v>10298</v>
      </c>
      <c r="D129" s="1">
        <v>42508</v>
      </c>
      <c r="E129" t="s">
        <v>92</v>
      </c>
      <c r="F129">
        <v>100</v>
      </c>
      <c r="G129" t="s">
        <v>435</v>
      </c>
      <c r="H129">
        <v>237.21</v>
      </c>
      <c r="I129">
        <v>70</v>
      </c>
      <c r="J129">
        <v>124.71</v>
      </c>
      <c r="K129">
        <v>88</v>
      </c>
      <c r="L129">
        <v>50.3</v>
      </c>
      <c r="M129">
        <v>67</v>
      </c>
      <c r="N129">
        <v>47.51</v>
      </c>
      <c r="O129">
        <v>83</v>
      </c>
      <c r="P129">
        <v>-10.38</v>
      </c>
      <c r="Q129">
        <v>42</v>
      </c>
      <c r="R129">
        <v>26.07</v>
      </c>
      <c r="S129">
        <v>63</v>
      </c>
      <c r="T129">
        <v>-4.08</v>
      </c>
      <c r="U129">
        <v>35</v>
      </c>
      <c r="V129">
        <v>3.08</v>
      </c>
      <c r="W129">
        <v>54</v>
      </c>
      <c r="X129" t="s">
        <v>428</v>
      </c>
      <c r="Y129" t="s">
        <v>2261</v>
      </c>
      <c r="Z129" t="s">
        <v>96</v>
      </c>
      <c r="AA129" t="s">
        <v>9768</v>
      </c>
      <c r="AB129" t="s">
        <v>10299</v>
      </c>
      <c r="AC129">
        <v>0</v>
      </c>
      <c r="AD129">
        <v>0</v>
      </c>
      <c r="AE129">
        <v>88</v>
      </c>
      <c r="AF129">
        <v>503.14</v>
      </c>
      <c r="AG129">
        <v>23.69</v>
      </c>
      <c r="AH129">
        <v>20.53</v>
      </c>
      <c r="AI129">
        <v>0.06</v>
      </c>
      <c r="AJ129">
        <v>0.06</v>
      </c>
      <c r="AK129">
        <v>67</v>
      </c>
      <c r="AL129">
        <v>0</v>
      </c>
      <c r="AM129">
        <v>0</v>
      </c>
      <c r="AN129">
        <v>-2.09</v>
      </c>
      <c r="AO129">
        <v>1.93</v>
      </c>
      <c r="AP129">
        <v>381</v>
      </c>
      <c r="AQ129">
        <v>0</v>
      </c>
      <c r="AR129">
        <v>5.28</v>
      </c>
      <c r="AS129">
        <v>89</v>
      </c>
      <c r="AT129">
        <v>2.15</v>
      </c>
      <c r="AU129">
        <v>93</v>
      </c>
      <c r="AV129">
        <v>-3.94</v>
      </c>
      <c r="AW129">
        <v>96</v>
      </c>
      <c r="AX129">
        <v>-0.84</v>
      </c>
      <c r="AY129">
        <v>85</v>
      </c>
      <c r="AZ129">
        <v>5.87</v>
      </c>
      <c r="BA129">
        <v>39</v>
      </c>
      <c r="BB129">
        <v>4.92</v>
      </c>
      <c r="BC129">
        <v>33</v>
      </c>
      <c r="BD129">
        <v>-0.11</v>
      </c>
      <c r="BE129">
        <v>-0.14000000000000001</v>
      </c>
      <c r="BF129">
        <v>-0.15</v>
      </c>
      <c r="BG129">
        <v>75</v>
      </c>
      <c r="BH129">
        <v>-0.03</v>
      </c>
      <c r="BI129">
        <v>-13.39</v>
      </c>
      <c r="BJ129">
        <v>0</v>
      </c>
      <c r="BK129">
        <v>0</v>
      </c>
      <c r="BL129">
        <v>2.61</v>
      </c>
      <c r="BM129">
        <v>-0.8</v>
      </c>
      <c r="BN129">
        <v>0.51</v>
      </c>
      <c r="BO129">
        <v>1.85</v>
      </c>
      <c r="BP129">
        <v>-0.7</v>
      </c>
      <c r="BQ129">
        <v>1.72</v>
      </c>
      <c r="BR129">
        <v>-0.33</v>
      </c>
      <c r="BS129">
        <v>0.9</v>
      </c>
      <c r="BT129">
        <v>0.91</v>
      </c>
      <c r="BU129">
        <v>5.12</v>
      </c>
      <c r="BV129">
        <v>4.5599999999999996</v>
      </c>
      <c r="BW129">
        <v>3.67</v>
      </c>
      <c r="BX129">
        <v>3.94</v>
      </c>
      <c r="BY129">
        <v>2.36</v>
      </c>
      <c r="BZ129">
        <v>-1.94</v>
      </c>
      <c r="CA129">
        <v>4.1900000000000004</v>
      </c>
      <c r="CB129">
        <v>4.0999999999999996</v>
      </c>
      <c r="CC129">
        <v>1.66</v>
      </c>
      <c r="CD129">
        <v>-1.0900000000000001</v>
      </c>
      <c r="CE129">
        <v>0.69</v>
      </c>
      <c r="CF129">
        <v>1</v>
      </c>
      <c r="CG129">
        <v>0</v>
      </c>
      <c r="CH129">
        <v>3.41</v>
      </c>
      <c r="CI129">
        <v>0</v>
      </c>
      <c r="CJ129">
        <v>-3.3</v>
      </c>
      <c r="CK129">
        <v>43</v>
      </c>
      <c r="CL129">
        <v>-1.62</v>
      </c>
      <c r="CM129">
        <v>42</v>
      </c>
      <c r="CN129">
        <v>-0.86</v>
      </c>
      <c r="CO129">
        <v>42</v>
      </c>
      <c r="CP129">
        <v>5.5</v>
      </c>
      <c r="CQ129">
        <v>36</v>
      </c>
      <c r="CR129">
        <v>0</v>
      </c>
      <c r="CS129">
        <v>0</v>
      </c>
      <c r="CT129">
        <v>19.3</v>
      </c>
      <c r="CU129">
        <v>35</v>
      </c>
      <c r="CV129">
        <v>0.22</v>
      </c>
      <c r="CW129">
        <v>34</v>
      </c>
      <c r="CX129" t="s">
        <v>7656</v>
      </c>
    </row>
    <row r="130" spans="1:102" x14ac:dyDescent="0.3">
      <c r="A130" t="str">
        <f>HYPERLINK("https://webapp.icbf.com/v2/app/bull-search/view/1039517721","PHC")</f>
        <v>PHC</v>
      </c>
      <c r="B130" t="s">
        <v>13340</v>
      </c>
      <c r="C130" t="s">
        <v>3121</v>
      </c>
      <c r="D130" s="1">
        <v>41301</v>
      </c>
      <c r="E130" t="s">
        <v>92</v>
      </c>
      <c r="F130">
        <v>84</v>
      </c>
      <c r="G130" t="s">
        <v>93</v>
      </c>
      <c r="H130">
        <v>237.02</v>
      </c>
      <c r="I130">
        <v>95</v>
      </c>
      <c r="J130">
        <v>92.87</v>
      </c>
      <c r="K130">
        <v>99</v>
      </c>
      <c r="L130">
        <v>90.12</v>
      </c>
      <c r="M130">
        <v>90</v>
      </c>
      <c r="N130">
        <v>42.08</v>
      </c>
      <c r="O130">
        <v>98</v>
      </c>
      <c r="P130">
        <v>-11.32</v>
      </c>
      <c r="Q130">
        <v>99</v>
      </c>
      <c r="R130">
        <v>7.55</v>
      </c>
      <c r="S130">
        <v>92</v>
      </c>
      <c r="T130">
        <v>13.97</v>
      </c>
      <c r="U130">
        <v>98</v>
      </c>
      <c r="V130">
        <v>1.75</v>
      </c>
      <c r="W130">
        <v>81</v>
      </c>
      <c r="X130" t="s">
        <v>94</v>
      </c>
      <c r="Y130" t="s">
        <v>389</v>
      </c>
      <c r="Z130" t="s">
        <v>96</v>
      </c>
      <c r="AA130" t="s">
        <v>2041</v>
      </c>
      <c r="AB130" t="s">
        <v>13341</v>
      </c>
      <c r="AC130">
        <v>2577</v>
      </c>
      <c r="AD130">
        <v>927</v>
      </c>
      <c r="AE130">
        <v>99</v>
      </c>
      <c r="AF130">
        <v>-63.88</v>
      </c>
      <c r="AG130">
        <v>12.74</v>
      </c>
      <c r="AH130">
        <v>10.31</v>
      </c>
      <c r="AI130">
        <v>0.27</v>
      </c>
      <c r="AJ130">
        <v>0.22</v>
      </c>
      <c r="AK130">
        <v>90</v>
      </c>
      <c r="AL130">
        <v>2838</v>
      </c>
      <c r="AM130">
        <v>1157</v>
      </c>
      <c r="AN130">
        <v>-3.93</v>
      </c>
      <c r="AO130">
        <v>3.27</v>
      </c>
      <c r="AP130">
        <v>13172</v>
      </c>
      <c r="AQ130">
        <v>60</v>
      </c>
      <c r="AR130">
        <v>6.25</v>
      </c>
      <c r="AS130">
        <v>98</v>
      </c>
      <c r="AT130">
        <v>2.39</v>
      </c>
      <c r="AU130">
        <v>99</v>
      </c>
      <c r="AV130">
        <v>-3.53</v>
      </c>
      <c r="AW130">
        <v>99</v>
      </c>
      <c r="AX130">
        <v>-0.63</v>
      </c>
      <c r="AY130">
        <v>99</v>
      </c>
      <c r="AZ130">
        <v>5.59</v>
      </c>
      <c r="BA130">
        <v>97</v>
      </c>
      <c r="BB130">
        <v>4.5599999999999996</v>
      </c>
      <c r="BC130">
        <v>92</v>
      </c>
      <c r="BD130">
        <v>-0.04</v>
      </c>
      <c r="BE130">
        <v>-0.03</v>
      </c>
      <c r="BF130">
        <v>-0.05</v>
      </c>
      <c r="BG130">
        <v>99</v>
      </c>
      <c r="BH130">
        <v>-0.01</v>
      </c>
      <c r="BI130">
        <v>-6.79</v>
      </c>
      <c r="BJ130">
        <v>86</v>
      </c>
      <c r="BK130">
        <v>20</v>
      </c>
      <c r="BL130">
        <v>-1.17</v>
      </c>
      <c r="BM130">
        <v>-1.53</v>
      </c>
      <c r="BN130">
        <v>-2.83</v>
      </c>
      <c r="BO130">
        <v>-1.0900000000000001</v>
      </c>
      <c r="BP130">
        <v>2.31</v>
      </c>
      <c r="BQ130">
        <v>-1.8</v>
      </c>
      <c r="BR130">
        <v>1.56</v>
      </c>
      <c r="BS130">
        <v>-4.59</v>
      </c>
      <c r="BT130">
        <v>-1.67</v>
      </c>
      <c r="BU130">
        <v>-1.39</v>
      </c>
      <c r="BV130">
        <v>-2.85</v>
      </c>
      <c r="BW130">
        <v>-1.51</v>
      </c>
      <c r="BX130">
        <v>0.66</v>
      </c>
      <c r="BY130">
        <v>-0.82</v>
      </c>
      <c r="BZ130">
        <v>-3.2</v>
      </c>
      <c r="CA130">
        <v>-2.74</v>
      </c>
      <c r="CB130">
        <v>-1.65</v>
      </c>
      <c r="CC130">
        <v>-3.77</v>
      </c>
      <c r="CD130">
        <v>0.37</v>
      </c>
      <c r="CE130">
        <v>-1.1100000000000001</v>
      </c>
      <c r="CF130">
        <v>-1.78</v>
      </c>
      <c r="CG130">
        <v>0</v>
      </c>
      <c r="CH130">
        <v>-0.8</v>
      </c>
      <c r="CI130">
        <v>0</v>
      </c>
      <c r="CJ130">
        <v>-6.2</v>
      </c>
      <c r="CK130">
        <v>99</v>
      </c>
      <c r="CL130">
        <v>-0.62</v>
      </c>
      <c r="CM130">
        <v>99</v>
      </c>
      <c r="CN130">
        <v>-0.36</v>
      </c>
      <c r="CO130">
        <v>99</v>
      </c>
      <c r="CP130">
        <v>-3.9</v>
      </c>
      <c r="CQ130">
        <v>97</v>
      </c>
      <c r="CR130">
        <v>0</v>
      </c>
      <c r="CS130">
        <v>0</v>
      </c>
      <c r="CT130">
        <v>-5.0999999999999996</v>
      </c>
      <c r="CU130">
        <v>98</v>
      </c>
      <c r="CV130">
        <v>-0.01</v>
      </c>
      <c r="CW130">
        <v>49</v>
      </c>
      <c r="CX130" t="s">
        <v>5796</v>
      </c>
    </row>
    <row r="131" spans="1:102" x14ac:dyDescent="0.3">
      <c r="A131" t="str">
        <f>HYPERLINK("https://webapp.icbf.com/v2/app/bull-search/view/1250043628","FR2338")</f>
        <v>FR2338</v>
      </c>
      <c r="B131" t="s">
        <v>14927</v>
      </c>
      <c r="C131" t="s">
        <v>6290</v>
      </c>
      <c r="D131" s="1">
        <v>42039</v>
      </c>
      <c r="E131" t="s">
        <v>92</v>
      </c>
      <c r="F131">
        <v>84</v>
      </c>
      <c r="G131" t="s">
        <v>93</v>
      </c>
      <c r="H131">
        <v>237.01</v>
      </c>
      <c r="I131">
        <v>88</v>
      </c>
      <c r="J131">
        <v>34.590000000000003</v>
      </c>
      <c r="K131">
        <v>98</v>
      </c>
      <c r="L131">
        <v>132.4</v>
      </c>
      <c r="M131">
        <v>77</v>
      </c>
      <c r="N131">
        <v>55.17</v>
      </c>
      <c r="O131">
        <v>90</v>
      </c>
      <c r="P131">
        <v>-23.06</v>
      </c>
      <c r="Q131">
        <v>94</v>
      </c>
      <c r="R131">
        <v>15.05</v>
      </c>
      <c r="S131">
        <v>81</v>
      </c>
      <c r="T131">
        <v>17.16</v>
      </c>
      <c r="U131">
        <v>95</v>
      </c>
      <c r="V131">
        <v>5.7</v>
      </c>
      <c r="W131">
        <v>76</v>
      </c>
      <c r="X131" t="s">
        <v>234</v>
      </c>
      <c r="Y131" t="s">
        <v>436</v>
      </c>
      <c r="Z131" t="s">
        <v>96</v>
      </c>
      <c r="AA131" t="s">
        <v>437</v>
      </c>
      <c r="AB131" t="s">
        <v>14928</v>
      </c>
      <c r="AC131">
        <v>270</v>
      </c>
      <c r="AD131">
        <v>82</v>
      </c>
      <c r="AE131">
        <v>98</v>
      </c>
      <c r="AF131">
        <v>-9.34</v>
      </c>
      <c r="AG131">
        <v>3.93</v>
      </c>
      <c r="AH131">
        <v>4.3499999999999996</v>
      </c>
      <c r="AI131">
        <v>0.08</v>
      </c>
      <c r="AJ131">
        <v>0.08</v>
      </c>
      <c r="AK131">
        <v>77</v>
      </c>
      <c r="AL131">
        <v>0</v>
      </c>
      <c r="AM131">
        <v>0</v>
      </c>
      <c r="AN131">
        <v>-7.09</v>
      </c>
      <c r="AO131">
        <v>3.47</v>
      </c>
      <c r="AP131">
        <v>1630</v>
      </c>
      <c r="AQ131">
        <v>6</v>
      </c>
      <c r="AR131">
        <v>4.91</v>
      </c>
      <c r="AS131">
        <v>93</v>
      </c>
      <c r="AT131">
        <v>1.98</v>
      </c>
      <c r="AU131">
        <v>97</v>
      </c>
      <c r="AV131">
        <v>-4.78</v>
      </c>
      <c r="AW131">
        <v>99</v>
      </c>
      <c r="AX131">
        <v>-0.2</v>
      </c>
      <c r="AY131">
        <v>95</v>
      </c>
      <c r="AZ131">
        <v>5.46</v>
      </c>
      <c r="BA131">
        <v>80</v>
      </c>
      <c r="BB131">
        <v>4.87</v>
      </c>
      <c r="BC131">
        <v>49</v>
      </c>
      <c r="BD131">
        <v>-0.06</v>
      </c>
      <c r="BE131">
        <v>-0.04</v>
      </c>
      <c r="BF131">
        <v>-0.17</v>
      </c>
      <c r="BG131">
        <v>92</v>
      </c>
      <c r="BH131">
        <v>0.04</v>
      </c>
      <c r="BI131">
        <v>-13.76</v>
      </c>
      <c r="BJ131">
        <v>0</v>
      </c>
      <c r="BK131">
        <v>0</v>
      </c>
      <c r="BL131">
        <v>-0.86</v>
      </c>
      <c r="BM131">
        <v>0.9</v>
      </c>
      <c r="BN131">
        <v>-0.85</v>
      </c>
      <c r="BO131">
        <v>-1.07</v>
      </c>
      <c r="BP131">
        <v>4.83</v>
      </c>
      <c r="BQ131">
        <v>-1.4</v>
      </c>
      <c r="BR131">
        <v>-0.17</v>
      </c>
      <c r="BS131">
        <v>0.82</v>
      </c>
      <c r="BT131">
        <v>-0.76</v>
      </c>
      <c r="BU131">
        <v>-0.03</v>
      </c>
      <c r="BV131">
        <v>-0.25</v>
      </c>
      <c r="BW131">
        <v>0.84</v>
      </c>
      <c r="BX131">
        <v>0.37</v>
      </c>
      <c r="BY131">
        <v>0.04</v>
      </c>
      <c r="BZ131">
        <v>-3.6</v>
      </c>
      <c r="CA131">
        <v>0.01</v>
      </c>
      <c r="CB131">
        <v>-0.16</v>
      </c>
      <c r="CC131">
        <v>0.88</v>
      </c>
      <c r="CD131">
        <v>0.84</v>
      </c>
      <c r="CE131">
        <v>-0.67</v>
      </c>
      <c r="CF131">
        <v>-0.51</v>
      </c>
      <c r="CG131">
        <v>0</v>
      </c>
      <c r="CH131">
        <v>0.41</v>
      </c>
      <c r="CI131">
        <v>0</v>
      </c>
      <c r="CJ131">
        <v>-14.2</v>
      </c>
      <c r="CK131">
        <v>96</v>
      </c>
      <c r="CL131">
        <v>-0.63</v>
      </c>
      <c r="CM131">
        <v>95</v>
      </c>
      <c r="CN131">
        <v>-0.39</v>
      </c>
      <c r="CO131">
        <v>94</v>
      </c>
      <c r="CP131">
        <v>-10.199999999999999</v>
      </c>
      <c r="CQ131">
        <v>75</v>
      </c>
      <c r="CR131">
        <v>0</v>
      </c>
      <c r="CS131">
        <v>0</v>
      </c>
      <c r="CT131">
        <v>-9.4</v>
      </c>
      <c r="CU131">
        <v>95</v>
      </c>
      <c r="CV131">
        <v>-0.14000000000000001</v>
      </c>
      <c r="CW131">
        <v>46</v>
      </c>
      <c r="CX131" t="s">
        <v>1861</v>
      </c>
    </row>
    <row r="132" spans="1:102" x14ac:dyDescent="0.3">
      <c r="A132" t="str">
        <f>HYPERLINK("https://webapp.icbf.com/v2/app/bull-search/view/1124045288","FR2048")</f>
        <v>FR2048</v>
      </c>
      <c r="B132" t="s">
        <v>13592</v>
      </c>
      <c r="C132" t="s">
        <v>13593</v>
      </c>
      <c r="D132" s="1">
        <v>41584</v>
      </c>
      <c r="E132" t="s">
        <v>92</v>
      </c>
      <c r="F132">
        <v>88</v>
      </c>
      <c r="G132" t="s">
        <v>93</v>
      </c>
      <c r="H132">
        <v>236.08</v>
      </c>
      <c r="I132">
        <v>90</v>
      </c>
      <c r="J132">
        <v>71.069999999999993</v>
      </c>
      <c r="K132">
        <v>99</v>
      </c>
      <c r="L132">
        <v>96.41</v>
      </c>
      <c r="M132">
        <v>80</v>
      </c>
      <c r="N132">
        <v>48.04</v>
      </c>
      <c r="O132">
        <v>92</v>
      </c>
      <c r="P132">
        <v>-8.36</v>
      </c>
      <c r="Q132">
        <v>97</v>
      </c>
      <c r="R132">
        <v>13.1</v>
      </c>
      <c r="S132">
        <v>84</v>
      </c>
      <c r="T132">
        <v>10.57</v>
      </c>
      <c r="U132">
        <v>90</v>
      </c>
      <c r="V132">
        <v>5.25</v>
      </c>
      <c r="W132">
        <v>77</v>
      </c>
      <c r="X132" t="s">
        <v>276</v>
      </c>
      <c r="Y132" t="s">
        <v>416</v>
      </c>
      <c r="Z132" t="s">
        <v>96</v>
      </c>
      <c r="AA132" t="s">
        <v>2172</v>
      </c>
      <c r="AB132" t="s">
        <v>13594</v>
      </c>
      <c r="AC132">
        <v>831</v>
      </c>
      <c r="AD132">
        <v>325</v>
      </c>
      <c r="AE132">
        <v>99</v>
      </c>
      <c r="AF132">
        <v>-90.72</v>
      </c>
      <c r="AG132">
        <v>16.559999999999999</v>
      </c>
      <c r="AH132">
        <v>4.84</v>
      </c>
      <c r="AI132">
        <v>0.36</v>
      </c>
      <c r="AJ132">
        <v>0.14000000000000001</v>
      </c>
      <c r="AK132">
        <v>80</v>
      </c>
      <c r="AL132">
        <v>99</v>
      </c>
      <c r="AM132">
        <v>63</v>
      </c>
      <c r="AN132">
        <v>-5.9</v>
      </c>
      <c r="AO132">
        <v>1.78</v>
      </c>
      <c r="AP132">
        <v>2227</v>
      </c>
      <c r="AQ132">
        <v>23</v>
      </c>
      <c r="AR132">
        <v>6.69</v>
      </c>
      <c r="AS132">
        <v>95</v>
      </c>
      <c r="AT132">
        <v>2.5099999999999998</v>
      </c>
      <c r="AU132">
        <v>98</v>
      </c>
      <c r="AV132">
        <v>-5.0199999999999996</v>
      </c>
      <c r="AW132">
        <v>99</v>
      </c>
      <c r="AX132">
        <v>-0.88</v>
      </c>
      <c r="AY132">
        <v>97</v>
      </c>
      <c r="AZ132">
        <v>6.61</v>
      </c>
      <c r="BA132">
        <v>89</v>
      </c>
      <c r="BB132">
        <v>5.22</v>
      </c>
      <c r="BC132">
        <v>57</v>
      </c>
      <c r="BD132">
        <v>-0.05</v>
      </c>
      <c r="BE132">
        <v>-0.02</v>
      </c>
      <c r="BF132">
        <v>-0.18</v>
      </c>
      <c r="BG132">
        <v>96</v>
      </c>
      <c r="BH132">
        <v>0.09</v>
      </c>
      <c r="BI132">
        <v>-6.52</v>
      </c>
      <c r="BJ132">
        <v>3</v>
      </c>
      <c r="BK132">
        <v>2</v>
      </c>
      <c r="BL132">
        <v>-0.16</v>
      </c>
      <c r="BM132">
        <v>0.15</v>
      </c>
      <c r="BN132">
        <v>-1.41</v>
      </c>
      <c r="BO132">
        <v>-0.98</v>
      </c>
      <c r="BP132">
        <v>-0.09</v>
      </c>
      <c r="BQ132">
        <v>-0.43</v>
      </c>
      <c r="BR132">
        <v>-1.07</v>
      </c>
      <c r="BS132">
        <v>0.11</v>
      </c>
      <c r="BT132">
        <v>1</v>
      </c>
      <c r="BU132">
        <v>-0.67</v>
      </c>
      <c r="BV132">
        <v>-1.31</v>
      </c>
      <c r="BW132">
        <v>-1.04</v>
      </c>
      <c r="BX132">
        <v>1.27</v>
      </c>
      <c r="BY132">
        <v>-2.02</v>
      </c>
      <c r="BZ132">
        <v>-0.48</v>
      </c>
      <c r="CA132">
        <v>-0.18</v>
      </c>
      <c r="CB132">
        <v>-0.87</v>
      </c>
      <c r="CC132">
        <v>0.89</v>
      </c>
      <c r="CD132">
        <v>0.56000000000000005</v>
      </c>
      <c r="CE132">
        <v>-0.88</v>
      </c>
      <c r="CF132">
        <v>-1.03</v>
      </c>
      <c r="CG132">
        <v>0</v>
      </c>
      <c r="CH132">
        <v>-0.15</v>
      </c>
      <c r="CI132">
        <v>0</v>
      </c>
      <c r="CJ132">
        <v>-2</v>
      </c>
      <c r="CK132">
        <v>99</v>
      </c>
      <c r="CL132">
        <v>-0.7</v>
      </c>
      <c r="CM132">
        <v>98</v>
      </c>
      <c r="CN132">
        <v>-0.15</v>
      </c>
      <c r="CO132">
        <v>98</v>
      </c>
      <c r="CP132">
        <v>-0.9</v>
      </c>
      <c r="CQ132">
        <v>84</v>
      </c>
      <c r="CR132">
        <v>0</v>
      </c>
      <c r="CS132">
        <v>0</v>
      </c>
      <c r="CT132">
        <v>-0.5</v>
      </c>
      <c r="CU132">
        <v>90</v>
      </c>
      <c r="CV132">
        <v>0.14000000000000001</v>
      </c>
      <c r="CW132">
        <v>46</v>
      </c>
      <c r="CX132" t="s">
        <v>8830</v>
      </c>
    </row>
    <row r="133" spans="1:102" x14ac:dyDescent="0.3">
      <c r="A133" t="str">
        <f>HYPERLINK("https://webapp.icbf.com/v2/app/bull-search/view/1592653351","NR4476")</f>
        <v>NR4476</v>
      </c>
      <c r="B133" t="s">
        <v>7206</v>
      </c>
      <c r="C133" t="s">
        <v>7207</v>
      </c>
      <c r="D133" s="1">
        <v>42332</v>
      </c>
      <c r="E133" t="s">
        <v>395</v>
      </c>
      <c r="F133">
        <v>0</v>
      </c>
      <c r="G133" t="s">
        <v>435</v>
      </c>
      <c r="H133">
        <v>236.07</v>
      </c>
      <c r="I133">
        <v>56</v>
      </c>
      <c r="J133">
        <v>31.91</v>
      </c>
      <c r="K133">
        <v>69</v>
      </c>
      <c r="L133">
        <v>147.08000000000001</v>
      </c>
      <c r="M133">
        <v>50</v>
      </c>
      <c r="N133">
        <v>25.36</v>
      </c>
      <c r="O133">
        <v>74</v>
      </c>
      <c r="P133">
        <v>-6.76</v>
      </c>
      <c r="Q133">
        <v>41</v>
      </c>
      <c r="R133">
        <v>12.6</v>
      </c>
      <c r="S133">
        <v>41</v>
      </c>
      <c r="T133">
        <v>26.41</v>
      </c>
      <c r="U133">
        <v>35</v>
      </c>
      <c r="V133">
        <v>-0.53</v>
      </c>
      <c r="W133">
        <v>39</v>
      </c>
      <c r="X133" t="s">
        <v>102</v>
      </c>
      <c r="Y133" t="s">
        <v>442</v>
      </c>
      <c r="Z133">
        <v>0</v>
      </c>
      <c r="AA133" t="s">
        <v>7208</v>
      </c>
      <c r="AB133" t="s">
        <v>144</v>
      </c>
      <c r="AC133">
        <v>0</v>
      </c>
      <c r="AD133">
        <v>0</v>
      </c>
      <c r="AE133">
        <v>69</v>
      </c>
      <c r="AF133">
        <v>185.16</v>
      </c>
      <c r="AG133">
        <v>8.0299999999999994</v>
      </c>
      <c r="AH133">
        <v>5.42</v>
      </c>
      <c r="AI133">
        <v>0.01</v>
      </c>
      <c r="AJ133">
        <v>-0.01</v>
      </c>
      <c r="AK133">
        <v>50</v>
      </c>
      <c r="AL133">
        <v>0</v>
      </c>
      <c r="AM133">
        <v>0</v>
      </c>
      <c r="AN133">
        <v>-7.19</v>
      </c>
      <c r="AO133">
        <v>4.55</v>
      </c>
      <c r="AP133">
        <v>123</v>
      </c>
      <c r="AQ133">
        <v>0</v>
      </c>
      <c r="AR133">
        <v>6.18</v>
      </c>
      <c r="AS133">
        <v>54</v>
      </c>
      <c r="AT133">
        <v>2.35</v>
      </c>
      <c r="AU133">
        <v>87</v>
      </c>
      <c r="AV133">
        <v>-1.3</v>
      </c>
      <c r="AW133">
        <v>93</v>
      </c>
      <c r="AX133">
        <v>-0.96</v>
      </c>
      <c r="AY133">
        <v>69</v>
      </c>
      <c r="AZ133">
        <v>5.79</v>
      </c>
      <c r="BA133">
        <v>23</v>
      </c>
      <c r="BB133">
        <v>4.58</v>
      </c>
      <c r="BC133">
        <v>24</v>
      </c>
      <c r="BD133">
        <v>-7.0000000000000007E-2</v>
      </c>
      <c r="BE133">
        <v>-7.0000000000000007E-2</v>
      </c>
      <c r="BF133">
        <v>-0.04</v>
      </c>
      <c r="BG133">
        <v>47</v>
      </c>
      <c r="BH133">
        <v>-0.13</v>
      </c>
      <c r="BI133">
        <v>-13.33</v>
      </c>
      <c r="BJ133">
        <v>0</v>
      </c>
      <c r="BK133">
        <v>0</v>
      </c>
      <c r="BL133">
        <v>-1.8</v>
      </c>
      <c r="BM133">
        <v>0.42</v>
      </c>
      <c r="BN133">
        <v>-1.95</v>
      </c>
      <c r="BO133">
        <v>-1.7</v>
      </c>
      <c r="BP133">
        <v>1.66</v>
      </c>
      <c r="BQ133">
        <v>-1.53</v>
      </c>
      <c r="BR133">
        <v>0.66</v>
      </c>
      <c r="BS133">
        <v>0.51</v>
      </c>
      <c r="BT133">
        <v>-0.49</v>
      </c>
      <c r="BU133">
        <v>-1.48</v>
      </c>
      <c r="BV133">
        <v>-2.74</v>
      </c>
      <c r="BW133">
        <v>-2.16</v>
      </c>
      <c r="BX133">
        <v>-1.32</v>
      </c>
      <c r="BY133">
        <v>-1.32</v>
      </c>
      <c r="BZ133">
        <v>-1.77</v>
      </c>
      <c r="CA133">
        <v>-1.69</v>
      </c>
      <c r="CB133">
        <v>-2.06</v>
      </c>
      <c r="CC133">
        <v>-0.41</v>
      </c>
      <c r="CD133">
        <v>1.0900000000000001</v>
      </c>
      <c r="CE133">
        <v>-1.65</v>
      </c>
      <c r="CF133">
        <v>-2.11</v>
      </c>
      <c r="CG133">
        <v>0</v>
      </c>
      <c r="CH133">
        <v>-1.49</v>
      </c>
      <c r="CI133">
        <v>0</v>
      </c>
      <c r="CJ133">
        <v>-1.9</v>
      </c>
      <c r="CK133">
        <v>43</v>
      </c>
      <c r="CL133">
        <v>-0.46</v>
      </c>
      <c r="CM133">
        <v>38</v>
      </c>
      <c r="CN133">
        <v>-0.28999999999999998</v>
      </c>
      <c r="CO133">
        <v>37</v>
      </c>
      <c r="CP133">
        <v>-18.600000000000001</v>
      </c>
      <c r="CQ133">
        <v>36</v>
      </c>
      <c r="CR133">
        <v>0</v>
      </c>
      <c r="CS133">
        <v>0</v>
      </c>
      <c r="CT133">
        <v>-21.9</v>
      </c>
      <c r="CU133">
        <v>35</v>
      </c>
      <c r="CV133">
        <v>-0.02</v>
      </c>
      <c r="CW133">
        <v>33</v>
      </c>
      <c r="CX133" t="s">
        <v>7209</v>
      </c>
    </row>
    <row r="134" spans="1:102" x14ac:dyDescent="0.3">
      <c r="A134" t="str">
        <f>HYPERLINK("https://webapp.icbf.com/v2/app/bull-search/view/1039169947","HXF")</f>
        <v>HXF</v>
      </c>
      <c r="B134" t="s">
        <v>9221</v>
      </c>
      <c r="C134" t="s">
        <v>9222</v>
      </c>
      <c r="D134" s="1">
        <v>41308</v>
      </c>
      <c r="E134" t="s">
        <v>92</v>
      </c>
      <c r="F134">
        <v>94</v>
      </c>
      <c r="G134" t="s">
        <v>435</v>
      </c>
      <c r="H134">
        <v>235.74</v>
      </c>
      <c r="I134">
        <v>72</v>
      </c>
      <c r="J134">
        <v>79.73</v>
      </c>
      <c r="K134">
        <v>91</v>
      </c>
      <c r="L134">
        <v>105.47</v>
      </c>
      <c r="M134">
        <v>67</v>
      </c>
      <c r="N134">
        <v>39.770000000000003</v>
      </c>
      <c r="O134">
        <v>59</v>
      </c>
      <c r="P134">
        <v>0.62</v>
      </c>
      <c r="Q134">
        <v>59</v>
      </c>
      <c r="R134">
        <v>-4.26</v>
      </c>
      <c r="S134">
        <v>67</v>
      </c>
      <c r="T134">
        <v>9.39</v>
      </c>
      <c r="U134">
        <v>52</v>
      </c>
      <c r="V134">
        <v>5.0199999999999996</v>
      </c>
      <c r="W134">
        <v>62</v>
      </c>
      <c r="X134" t="s">
        <v>94</v>
      </c>
      <c r="Y134" t="s">
        <v>389</v>
      </c>
      <c r="Z134" t="s">
        <v>96</v>
      </c>
      <c r="AA134" t="s">
        <v>2041</v>
      </c>
      <c r="AB134" t="s">
        <v>9223</v>
      </c>
      <c r="AC134">
        <v>2</v>
      </c>
      <c r="AD134">
        <v>2</v>
      </c>
      <c r="AE134">
        <v>91</v>
      </c>
      <c r="AF134">
        <v>141.79</v>
      </c>
      <c r="AG134">
        <v>9.5</v>
      </c>
      <c r="AH134">
        <v>12.37</v>
      </c>
      <c r="AI134">
        <v>0.06</v>
      </c>
      <c r="AJ134">
        <v>0.13</v>
      </c>
      <c r="AK134">
        <v>67</v>
      </c>
      <c r="AL134">
        <v>0</v>
      </c>
      <c r="AM134">
        <v>0</v>
      </c>
      <c r="AN134">
        <v>-5.86</v>
      </c>
      <c r="AO134">
        <v>2.5499999999999998</v>
      </c>
      <c r="AP134">
        <v>2</v>
      </c>
      <c r="AQ134">
        <v>0</v>
      </c>
      <c r="AR134">
        <v>5.69</v>
      </c>
      <c r="AS134">
        <v>55</v>
      </c>
      <c r="AT134">
        <v>2.4</v>
      </c>
      <c r="AU134">
        <v>65</v>
      </c>
      <c r="AV134">
        <v>-3.39</v>
      </c>
      <c r="AW134">
        <v>64</v>
      </c>
      <c r="AX134">
        <v>-0.63</v>
      </c>
      <c r="AY134">
        <v>49</v>
      </c>
      <c r="AZ134">
        <v>5.79</v>
      </c>
      <c r="BA134">
        <v>46</v>
      </c>
      <c r="BB134">
        <v>5</v>
      </c>
      <c r="BC134">
        <v>47</v>
      </c>
      <c r="BD134">
        <v>0</v>
      </c>
      <c r="BE134">
        <v>0.02</v>
      </c>
      <c r="BF134">
        <v>0.06</v>
      </c>
      <c r="BG134">
        <v>76</v>
      </c>
      <c r="BH134">
        <v>0.08</v>
      </c>
      <c r="BI134">
        <v>-6.95</v>
      </c>
      <c r="BJ134">
        <v>0</v>
      </c>
      <c r="BK134">
        <v>0</v>
      </c>
      <c r="BL134">
        <v>-0.92</v>
      </c>
      <c r="BM134">
        <v>0.43</v>
      </c>
      <c r="BN134">
        <v>-1.36</v>
      </c>
      <c r="BO134">
        <v>-1.03</v>
      </c>
      <c r="BP134">
        <v>-0.14000000000000001</v>
      </c>
      <c r="BQ134">
        <v>0.59</v>
      </c>
      <c r="BR134">
        <v>0.6</v>
      </c>
      <c r="BS134">
        <v>-2.94</v>
      </c>
      <c r="BT134">
        <v>0.09</v>
      </c>
      <c r="BU134">
        <v>-0.74</v>
      </c>
      <c r="BV134">
        <v>-1.1399999999999999</v>
      </c>
      <c r="BW134">
        <v>-0.33</v>
      </c>
      <c r="BX134">
        <v>-0.23</v>
      </c>
      <c r="BY134">
        <v>-0.19</v>
      </c>
      <c r="BZ134">
        <v>-1.35</v>
      </c>
      <c r="CA134">
        <v>-1.18</v>
      </c>
      <c r="CB134">
        <v>-0.88</v>
      </c>
      <c r="CC134">
        <v>-1.58</v>
      </c>
      <c r="CD134">
        <v>-0.16</v>
      </c>
      <c r="CE134">
        <v>-0.68</v>
      </c>
      <c r="CF134">
        <v>-0.55000000000000004</v>
      </c>
      <c r="CG134">
        <v>0</v>
      </c>
      <c r="CH134">
        <v>-0.03</v>
      </c>
      <c r="CI134">
        <v>0</v>
      </c>
      <c r="CJ134">
        <v>0.8</v>
      </c>
      <c r="CK134">
        <v>61</v>
      </c>
      <c r="CL134">
        <v>-0.32</v>
      </c>
      <c r="CM134">
        <v>58</v>
      </c>
      <c r="CN134">
        <v>-0.31</v>
      </c>
      <c r="CO134">
        <v>57</v>
      </c>
      <c r="CP134">
        <v>-5.4</v>
      </c>
      <c r="CQ134">
        <v>53</v>
      </c>
      <c r="CR134">
        <v>0</v>
      </c>
      <c r="CS134">
        <v>0</v>
      </c>
      <c r="CT134">
        <v>1.1000000000000001</v>
      </c>
      <c r="CU134">
        <v>52</v>
      </c>
      <c r="CV134">
        <v>0.02</v>
      </c>
      <c r="CW134">
        <v>40</v>
      </c>
      <c r="CX134" t="s">
        <v>316</v>
      </c>
    </row>
    <row r="135" spans="1:102" x14ac:dyDescent="0.3">
      <c r="A135" t="str">
        <f>HYPERLINK("https://webapp.icbf.com/v2/app/bull-search/view/1037576594","YKZ")</f>
        <v>YKZ</v>
      </c>
      <c r="B135" t="s">
        <v>13285</v>
      </c>
      <c r="C135" t="s">
        <v>13286</v>
      </c>
      <c r="D135" s="1">
        <v>41301</v>
      </c>
      <c r="E135" t="s">
        <v>92</v>
      </c>
      <c r="F135">
        <v>91</v>
      </c>
      <c r="G135" t="s">
        <v>93</v>
      </c>
      <c r="H135">
        <v>234.87</v>
      </c>
      <c r="I135">
        <v>91</v>
      </c>
      <c r="J135">
        <v>70.36</v>
      </c>
      <c r="K135">
        <v>99</v>
      </c>
      <c r="L135">
        <v>108.95</v>
      </c>
      <c r="M135">
        <v>84</v>
      </c>
      <c r="N135">
        <v>38.229999999999997</v>
      </c>
      <c r="O135">
        <v>94</v>
      </c>
      <c r="P135">
        <v>-9.7799999999999994</v>
      </c>
      <c r="Q135">
        <v>97</v>
      </c>
      <c r="R135">
        <v>11.53</v>
      </c>
      <c r="S135">
        <v>87</v>
      </c>
      <c r="T135">
        <v>15.16</v>
      </c>
      <c r="U135">
        <v>88</v>
      </c>
      <c r="V135">
        <v>0.42</v>
      </c>
      <c r="W135">
        <v>79</v>
      </c>
      <c r="X135" t="s">
        <v>102</v>
      </c>
      <c r="Y135" t="s">
        <v>1976</v>
      </c>
      <c r="Z135" t="s">
        <v>96</v>
      </c>
      <c r="AA135" t="s">
        <v>2041</v>
      </c>
      <c r="AB135" t="s">
        <v>13287</v>
      </c>
      <c r="AC135">
        <v>434</v>
      </c>
      <c r="AD135">
        <v>129</v>
      </c>
      <c r="AE135">
        <v>99</v>
      </c>
      <c r="AF135">
        <v>-31.31</v>
      </c>
      <c r="AG135">
        <v>8.9499999999999993</v>
      </c>
      <c r="AH135">
        <v>8.32</v>
      </c>
      <c r="AI135">
        <v>0.18</v>
      </c>
      <c r="AJ135">
        <v>0.16</v>
      </c>
      <c r="AK135">
        <v>84</v>
      </c>
      <c r="AL135">
        <v>429</v>
      </c>
      <c r="AM135">
        <v>132</v>
      </c>
      <c r="AN135">
        <v>-5.05</v>
      </c>
      <c r="AO135">
        <v>3.65</v>
      </c>
      <c r="AP135">
        <v>1525</v>
      </c>
      <c r="AQ135">
        <v>5</v>
      </c>
      <c r="AR135">
        <v>7.02</v>
      </c>
      <c r="AS135">
        <v>87</v>
      </c>
      <c r="AT135">
        <v>2.72</v>
      </c>
      <c r="AU135">
        <v>97</v>
      </c>
      <c r="AV135">
        <v>-3.47</v>
      </c>
      <c r="AW135">
        <v>99</v>
      </c>
      <c r="AX135">
        <v>-0.4</v>
      </c>
      <c r="AY135">
        <v>96</v>
      </c>
      <c r="AZ135">
        <v>5.23</v>
      </c>
      <c r="BA135">
        <v>87</v>
      </c>
      <c r="BB135">
        <v>4.33</v>
      </c>
      <c r="BC135">
        <v>77</v>
      </c>
      <c r="BD135">
        <v>-0.06</v>
      </c>
      <c r="BE135">
        <v>-0.05</v>
      </c>
      <c r="BF135">
        <v>-7.0000000000000007E-2</v>
      </c>
      <c r="BG135">
        <v>95</v>
      </c>
      <c r="BH135">
        <v>0.12</v>
      </c>
      <c r="BI135">
        <v>12.54</v>
      </c>
      <c r="BJ135">
        <v>9</v>
      </c>
      <c r="BK135">
        <v>4</v>
      </c>
      <c r="BL135">
        <v>-0.38</v>
      </c>
      <c r="BM135">
        <v>-1.92</v>
      </c>
      <c r="BN135">
        <v>-2.52</v>
      </c>
      <c r="BO135">
        <v>-0.56999999999999995</v>
      </c>
      <c r="BP135">
        <v>0.69</v>
      </c>
      <c r="BQ135">
        <v>-2.77</v>
      </c>
      <c r="BR135">
        <v>1.55</v>
      </c>
      <c r="BS135">
        <v>-2.15</v>
      </c>
      <c r="BT135">
        <v>-1.99</v>
      </c>
      <c r="BU135">
        <v>0.62</v>
      </c>
      <c r="BV135">
        <v>-0.01</v>
      </c>
      <c r="BW135">
        <v>0.05</v>
      </c>
      <c r="BX135">
        <v>1.26</v>
      </c>
      <c r="BY135">
        <v>-0.01</v>
      </c>
      <c r="BZ135">
        <v>-1.41</v>
      </c>
      <c r="CA135">
        <v>-0.34</v>
      </c>
      <c r="CB135">
        <v>0.28999999999999998</v>
      </c>
      <c r="CC135">
        <v>-1.97</v>
      </c>
      <c r="CD135">
        <v>-1.01</v>
      </c>
      <c r="CE135">
        <v>-0.6</v>
      </c>
      <c r="CF135">
        <v>-1.32</v>
      </c>
      <c r="CG135">
        <v>0</v>
      </c>
      <c r="CH135">
        <v>0.12</v>
      </c>
      <c r="CI135">
        <v>0</v>
      </c>
      <c r="CJ135">
        <v>-5.9</v>
      </c>
      <c r="CK135">
        <v>98</v>
      </c>
      <c r="CL135">
        <v>-0.87</v>
      </c>
      <c r="CM135">
        <v>98</v>
      </c>
      <c r="CN135">
        <v>-0.66</v>
      </c>
      <c r="CO135">
        <v>98</v>
      </c>
      <c r="CP135">
        <v>-2.6</v>
      </c>
      <c r="CQ135">
        <v>87</v>
      </c>
      <c r="CR135">
        <v>0</v>
      </c>
      <c r="CS135">
        <v>0</v>
      </c>
      <c r="CT135">
        <v>-6.7</v>
      </c>
      <c r="CU135">
        <v>88</v>
      </c>
      <c r="CV135">
        <v>-0.01</v>
      </c>
      <c r="CW135">
        <v>48</v>
      </c>
      <c r="CX135" t="s">
        <v>13288</v>
      </c>
    </row>
    <row r="136" spans="1:102" x14ac:dyDescent="0.3">
      <c r="A136" t="str">
        <f>HYPERLINK("https://webapp.icbf.com/v2/app/bull-search/view/1242207561","FR2420")</f>
        <v>FR2420</v>
      </c>
      <c r="B136" t="s">
        <v>6151</v>
      </c>
      <c r="C136" t="s">
        <v>6152</v>
      </c>
      <c r="D136" s="1">
        <v>42024</v>
      </c>
      <c r="E136" t="s">
        <v>92</v>
      </c>
      <c r="F136">
        <v>100</v>
      </c>
      <c r="G136" t="s">
        <v>93</v>
      </c>
      <c r="H136">
        <v>234.79</v>
      </c>
      <c r="I136">
        <v>83</v>
      </c>
      <c r="J136">
        <v>75.39</v>
      </c>
      <c r="K136">
        <v>94</v>
      </c>
      <c r="L136">
        <v>125.29</v>
      </c>
      <c r="M136">
        <v>75</v>
      </c>
      <c r="N136">
        <v>16.899999999999999</v>
      </c>
      <c r="O136">
        <v>87</v>
      </c>
      <c r="P136">
        <v>0.48</v>
      </c>
      <c r="Q136">
        <v>88</v>
      </c>
      <c r="R136">
        <v>13.6</v>
      </c>
      <c r="S136">
        <v>74</v>
      </c>
      <c r="T136">
        <v>-4.53</v>
      </c>
      <c r="U136">
        <v>68</v>
      </c>
      <c r="V136">
        <v>7.66</v>
      </c>
      <c r="W136">
        <v>69</v>
      </c>
      <c r="X136" t="s">
        <v>276</v>
      </c>
      <c r="Y136" t="s">
        <v>436</v>
      </c>
      <c r="Z136" t="s">
        <v>96</v>
      </c>
      <c r="AA136" t="s">
        <v>1932</v>
      </c>
      <c r="AB136" t="s">
        <v>6153</v>
      </c>
      <c r="AC136">
        <v>81</v>
      </c>
      <c r="AD136">
        <v>56</v>
      </c>
      <c r="AE136">
        <v>94</v>
      </c>
      <c r="AF136">
        <v>158.76</v>
      </c>
      <c r="AG136">
        <v>13.01</v>
      </c>
      <c r="AH136">
        <v>10.65</v>
      </c>
      <c r="AI136">
        <v>0.12</v>
      </c>
      <c r="AJ136">
        <v>0.09</v>
      </c>
      <c r="AK136">
        <v>75</v>
      </c>
      <c r="AL136">
        <v>0</v>
      </c>
      <c r="AM136">
        <v>0</v>
      </c>
      <c r="AN136">
        <v>-5.43</v>
      </c>
      <c r="AO136">
        <v>4.58</v>
      </c>
      <c r="AP136">
        <v>785</v>
      </c>
      <c r="AQ136">
        <v>0</v>
      </c>
      <c r="AR136">
        <v>7.67</v>
      </c>
      <c r="AS136">
        <v>73</v>
      </c>
      <c r="AT136">
        <v>3.42</v>
      </c>
      <c r="AU136">
        <v>95</v>
      </c>
      <c r="AV136">
        <v>-2.0299999999999998</v>
      </c>
      <c r="AW136">
        <v>99</v>
      </c>
      <c r="AX136">
        <v>-0.35</v>
      </c>
      <c r="AY136">
        <v>92</v>
      </c>
      <c r="AZ136">
        <v>5.24</v>
      </c>
      <c r="BA136">
        <v>65</v>
      </c>
      <c r="BB136">
        <v>4.78</v>
      </c>
      <c r="BC136">
        <v>48</v>
      </c>
      <c r="BD136">
        <v>-0.04</v>
      </c>
      <c r="BE136">
        <v>-0.04</v>
      </c>
      <c r="BF136">
        <v>-0.17</v>
      </c>
      <c r="BG136">
        <v>85</v>
      </c>
      <c r="BH136">
        <v>0.02</v>
      </c>
      <c r="BI136">
        <v>-22.38</v>
      </c>
      <c r="BJ136">
        <v>0</v>
      </c>
      <c r="BK136">
        <v>0</v>
      </c>
      <c r="BL136">
        <v>1.25</v>
      </c>
      <c r="BM136">
        <v>0.84</v>
      </c>
      <c r="BN136">
        <v>0.06</v>
      </c>
      <c r="BO136">
        <v>0.23</v>
      </c>
      <c r="BP136">
        <v>-1.06</v>
      </c>
      <c r="BQ136">
        <v>2.42</v>
      </c>
      <c r="BR136">
        <v>-1.24</v>
      </c>
      <c r="BS136">
        <v>2.46</v>
      </c>
      <c r="BT136">
        <v>0.51</v>
      </c>
      <c r="BU136">
        <v>2.31</v>
      </c>
      <c r="BV136">
        <v>2.64</v>
      </c>
      <c r="BW136">
        <v>3.24</v>
      </c>
      <c r="BX136">
        <v>2.48</v>
      </c>
      <c r="BY136">
        <v>2.78</v>
      </c>
      <c r="BZ136">
        <v>-2.89</v>
      </c>
      <c r="CA136">
        <v>2.76</v>
      </c>
      <c r="CB136">
        <v>2.2000000000000002</v>
      </c>
      <c r="CC136">
        <v>2.4900000000000002</v>
      </c>
      <c r="CD136">
        <v>0.62</v>
      </c>
      <c r="CE136">
        <v>0.88</v>
      </c>
      <c r="CF136">
        <v>1.29</v>
      </c>
      <c r="CG136">
        <v>0</v>
      </c>
      <c r="CH136">
        <v>2.2000000000000002</v>
      </c>
      <c r="CI136">
        <v>0</v>
      </c>
      <c r="CJ136">
        <v>2.2999999999999998</v>
      </c>
      <c r="CK136">
        <v>91</v>
      </c>
      <c r="CL136">
        <v>-0.95</v>
      </c>
      <c r="CM136">
        <v>89</v>
      </c>
      <c r="CN136">
        <v>-0.47</v>
      </c>
      <c r="CO136">
        <v>88</v>
      </c>
      <c r="CP136">
        <v>10.7</v>
      </c>
      <c r="CQ136">
        <v>64</v>
      </c>
      <c r="CR136">
        <v>0</v>
      </c>
      <c r="CS136">
        <v>0</v>
      </c>
      <c r="CT136">
        <v>19.899999999999999</v>
      </c>
      <c r="CU136">
        <v>68</v>
      </c>
      <c r="CV136">
        <v>0.25</v>
      </c>
      <c r="CW136">
        <v>44</v>
      </c>
      <c r="CX136" t="s">
        <v>309</v>
      </c>
    </row>
    <row r="137" spans="1:102" x14ac:dyDescent="0.3">
      <c r="A137" t="str">
        <f>HYPERLINK("https://webapp.icbf.com/v2/app/bull-search/view/1356073076","FR4106")</f>
        <v>FR4106</v>
      </c>
      <c r="B137" t="s">
        <v>14575</v>
      </c>
      <c r="C137" t="s">
        <v>14576</v>
      </c>
      <c r="D137" s="1">
        <v>42408</v>
      </c>
      <c r="E137" t="s">
        <v>92</v>
      </c>
      <c r="F137">
        <v>81</v>
      </c>
      <c r="G137" t="s">
        <v>435</v>
      </c>
      <c r="H137">
        <v>234.49</v>
      </c>
      <c r="I137">
        <v>72</v>
      </c>
      <c r="J137">
        <v>50.63</v>
      </c>
      <c r="K137">
        <v>88</v>
      </c>
      <c r="L137">
        <v>133.38</v>
      </c>
      <c r="M137">
        <v>61</v>
      </c>
      <c r="N137">
        <v>42.44</v>
      </c>
      <c r="O137">
        <v>81</v>
      </c>
      <c r="P137">
        <v>-19.79</v>
      </c>
      <c r="Q137">
        <v>73</v>
      </c>
      <c r="R137">
        <v>1.55</v>
      </c>
      <c r="S137">
        <v>61</v>
      </c>
      <c r="T137">
        <v>18.71</v>
      </c>
      <c r="U137">
        <v>52</v>
      </c>
      <c r="V137">
        <v>7.57</v>
      </c>
      <c r="W137">
        <v>57</v>
      </c>
      <c r="X137" t="s">
        <v>94</v>
      </c>
      <c r="Y137" t="s">
        <v>436</v>
      </c>
      <c r="Z137" t="s">
        <v>96</v>
      </c>
      <c r="AA137" t="s">
        <v>2499</v>
      </c>
      <c r="AB137" t="s">
        <v>14577</v>
      </c>
      <c r="AC137">
        <v>0</v>
      </c>
      <c r="AD137">
        <v>0</v>
      </c>
      <c r="AE137">
        <v>88</v>
      </c>
      <c r="AF137">
        <v>-171.66</v>
      </c>
      <c r="AG137">
        <v>4.7300000000000004</v>
      </c>
      <c r="AH137">
        <v>4.3099999999999996</v>
      </c>
      <c r="AI137">
        <v>0.2</v>
      </c>
      <c r="AJ137">
        <v>0.18</v>
      </c>
      <c r="AK137">
        <v>61</v>
      </c>
      <c r="AL137">
        <v>0</v>
      </c>
      <c r="AM137">
        <v>0</v>
      </c>
      <c r="AN137">
        <v>-7.03</v>
      </c>
      <c r="AO137">
        <v>3.61</v>
      </c>
      <c r="AP137">
        <v>286</v>
      </c>
      <c r="AQ137">
        <v>1</v>
      </c>
      <c r="AR137">
        <v>5.16</v>
      </c>
      <c r="AS137">
        <v>63</v>
      </c>
      <c r="AT137">
        <v>2.06</v>
      </c>
      <c r="AU137">
        <v>88</v>
      </c>
      <c r="AV137">
        <v>-2.75</v>
      </c>
      <c r="AW137">
        <v>97</v>
      </c>
      <c r="AX137">
        <v>-0.84</v>
      </c>
      <c r="AY137">
        <v>80</v>
      </c>
      <c r="AZ137">
        <v>5.04</v>
      </c>
      <c r="BA137">
        <v>42</v>
      </c>
      <c r="BB137">
        <v>4.41</v>
      </c>
      <c r="BC137">
        <v>39</v>
      </c>
      <c r="BD137">
        <v>-0.04</v>
      </c>
      <c r="BE137">
        <v>-0.01</v>
      </c>
      <c r="BF137">
        <v>0.05</v>
      </c>
      <c r="BG137">
        <v>72</v>
      </c>
      <c r="BH137">
        <v>0.15</v>
      </c>
      <c r="BI137">
        <v>-7.08</v>
      </c>
      <c r="BJ137">
        <v>0</v>
      </c>
      <c r="BK137">
        <v>0</v>
      </c>
      <c r="BL137">
        <v>-1.03</v>
      </c>
      <c r="BM137">
        <v>-0.85</v>
      </c>
      <c r="BN137">
        <v>-1.56</v>
      </c>
      <c r="BO137">
        <v>-0.95</v>
      </c>
      <c r="BP137">
        <v>0.52</v>
      </c>
      <c r="BQ137">
        <v>-1.1200000000000001</v>
      </c>
      <c r="BR137">
        <v>2.08</v>
      </c>
      <c r="BS137">
        <v>-1.05</v>
      </c>
      <c r="BT137">
        <v>-2</v>
      </c>
      <c r="BU137">
        <v>-0.12</v>
      </c>
      <c r="BV137">
        <v>-0.43</v>
      </c>
      <c r="BW137">
        <v>0.15</v>
      </c>
      <c r="BX137">
        <v>-0.09</v>
      </c>
      <c r="BY137">
        <v>-0.22</v>
      </c>
      <c r="BZ137">
        <v>-1.05</v>
      </c>
      <c r="CA137">
        <v>-0.77</v>
      </c>
      <c r="CB137">
        <v>-0.42</v>
      </c>
      <c r="CC137">
        <v>-0.94</v>
      </c>
      <c r="CD137">
        <v>0.32</v>
      </c>
      <c r="CE137">
        <v>-0.62</v>
      </c>
      <c r="CF137">
        <v>-0.9</v>
      </c>
      <c r="CG137">
        <v>0</v>
      </c>
      <c r="CH137">
        <v>-1.1499999999999999</v>
      </c>
      <c r="CI137">
        <v>0</v>
      </c>
      <c r="CJ137">
        <v>-8.3000000000000007</v>
      </c>
      <c r="CK137">
        <v>77</v>
      </c>
      <c r="CL137">
        <v>-0.81</v>
      </c>
      <c r="CM137">
        <v>72</v>
      </c>
      <c r="CN137">
        <v>-7.0000000000000007E-2</v>
      </c>
      <c r="CO137">
        <v>70</v>
      </c>
      <c r="CP137">
        <v>-5.3</v>
      </c>
      <c r="CQ137">
        <v>54</v>
      </c>
      <c r="CR137">
        <v>0</v>
      </c>
      <c r="CS137">
        <v>0</v>
      </c>
      <c r="CT137">
        <v>-11.5</v>
      </c>
      <c r="CU137">
        <v>52</v>
      </c>
      <c r="CV137">
        <v>0.02</v>
      </c>
      <c r="CW137">
        <v>42</v>
      </c>
      <c r="CX137" t="s">
        <v>2041</v>
      </c>
    </row>
    <row r="138" spans="1:102" x14ac:dyDescent="0.3">
      <c r="A138" t="str">
        <f>HYPERLINK("https://webapp.icbf.com/v2/app/bull-search/view/1140829164","FR2101")</f>
        <v>FR2101</v>
      </c>
      <c r="B138" t="s">
        <v>3113</v>
      </c>
      <c r="C138" t="s">
        <v>3114</v>
      </c>
      <c r="D138" s="1">
        <v>41681</v>
      </c>
      <c r="E138" t="s">
        <v>92</v>
      </c>
      <c r="F138">
        <v>75</v>
      </c>
      <c r="G138" t="s">
        <v>93</v>
      </c>
      <c r="H138">
        <v>234.1</v>
      </c>
      <c r="I138">
        <v>86</v>
      </c>
      <c r="J138">
        <v>87.87</v>
      </c>
      <c r="K138">
        <v>97</v>
      </c>
      <c r="L138">
        <v>80.52</v>
      </c>
      <c r="M138">
        <v>77</v>
      </c>
      <c r="N138">
        <v>51.23</v>
      </c>
      <c r="O138">
        <v>91</v>
      </c>
      <c r="P138">
        <v>-15.82</v>
      </c>
      <c r="Q138">
        <v>94</v>
      </c>
      <c r="R138">
        <v>6.87</v>
      </c>
      <c r="S138">
        <v>77</v>
      </c>
      <c r="T138">
        <v>20.93</v>
      </c>
      <c r="U138">
        <v>75</v>
      </c>
      <c r="V138">
        <v>2.5</v>
      </c>
      <c r="W138">
        <v>69</v>
      </c>
      <c r="X138" t="s">
        <v>276</v>
      </c>
      <c r="Y138" t="s">
        <v>416</v>
      </c>
      <c r="Z138" t="s">
        <v>96</v>
      </c>
      <c r="AA138" t="s">
        <v>390</v>
      </c>
      <c r="AB138" t="s">
        <v>3115</v>
      </c>
      <c r="AC138">
        <v>146</v>
      </c>
      <c r="AD138">
        <v>70</v>
      </c>
      <c r="AE138">
        <v>97</v>
      </c>
      <c r="AF138">
        <v>14.74</v>
      </c>
      <c r="AG138">
        <v>12.86</v>
      </c>
      <c r="AH138">
        <v>10.62</v>
      </c>
      <c r="AI138">
        <v>0.21</v>
      </c>
      <c r="AJ138">
        <v>0.18</v>
      </c>
      <c r="AK138">
        <v>77</v>
      </c>
      <c r="AL138">
        <v>87</v>
      </c>
      <c r="AM138">
        <v>54</v>
      </c>
      <c r="AN138">
        <v>-5.26</v>
      </c>
      <c r="AO138">
        <v>1.1499999999999999</v>
      </c>
      <c r="AP138">
        <v>1406</v>
      </c>
      <c r="AQ138">
        <v>1</v>
      </c>
      <c r="AR138">
        <v>5.99</v>
      </c>
      <c r="AS138">
        <v>94</v>
      </c>
      <c r="AT138">
        <v>2.09</v>
      </c>
      <c r="AU138">
        <v>96</v>
      </c>
      <c r="AV138">
        <v>-4.3499999999999996</v>
      </c>
      <c r="AW138">
        <v>99</v>
      </c>
      <c r="AX138">
        <v>-0.26</v>
      </c>
      <c r="AY138">
        <v>95</v>
      </c>
      <c r="AZ138">
        <v>4.99</v>
      </c>
      <c r="BA138">
        <v>71</v>
      </c>
      <c r="BB138">
        <v>4.54</v>
      </c>
      <c r="BC138">
        <v>55</v>
      </c>
      <c r="BD138">
        <v>-0.06</v>
      </c>
      <c r="BE138">
        <v>-0.02</v>
      </c>
      <c r="BF138">
        <v>-0.02</v>
      </c>
      <c r="BG138">
        <v>88</v>
      </c>
      <c r="BH138">
        <v>-0.03</v>
      </c>
      <c r="BI138">
        <v>-11.52</v>
      </c>
      <c r="BJ138">
        <v>4</v>
      </c>
      <c r="BK138">
        <v>2</v>
      </c>
      <c r="BL138">
        <v>-1.43</v>
      </c>
      <c r="BM138">
        <v>-2.2400000000000002</v>
      </c>
      <c r="BN138">
        <v>-2.8</v>
      </c>
      <c r="BO138">
        <v>-1.05</v>
      </c>
      <c r="BP138">
        <v>2.4900000000000002</v>
      </c>
      <c r="BQ138">
        <v>-2.6</v>
      </c>
      <c r="BR138">
        <v>-1.03</v>
      </c>
      <c r="BS138">
        <v>-0.36</v>
      </c>
      <c r="BT138">
        <v>0.02</v>
      </c>
      <c r="BU138">
        <v>-1.89</v>
      </c>
      <c r="BV138">
        <v>-1.42</v>
      </c>
      <c r="BW138">
        <v>-2.0499999999999998</v>
      </c>
      <c r="BX138">
        <v>-1.5</v>
      </c>
      <c r="BY138">
        <v>-0.3</v>
      </c>
      <c r="BZ138">
        <v>0.84</v>
      </c>
      <c r="CA138">
        <v>-1.07</v>
      </c>
      <c r="CB138">
        <v>-1.01</v>
      </c>
      <c r="CC138">
        <v>-0.76</v>
      </c>
      <c r="CD138">
        <v>-0.77</v>
      </c>
      <c r="CE138">
        <v>-0.9</v>
      </c>
      <c r="CF138">
        <v>-2.35</v>
      </c>
      <c r="CG138">
        <v>0</v>
      </c>
      <c r="CH138">
        <v>-0.25</v>
      </c>
      <c r="CI138">
        <v>0</v>
      </c>
      <c r="CJ138">
        <v>-8.6</v>
      </c>
      <c r="CK138">
        <v>96</v>
      </c>
      <c r="CL138">
        <v>-0.48</v>
      </c>
      <c r="CM138">
        <v>94</v>
      </c>
      <c r="CN138">
        <v>-0.22</v>
      </c>
      <c r="CO138">
        <v>94</v>
      </c>
      <c r="CP138">
        <v>-10.5</v>
      </c>
      <c r="CQ138">
        <v>74</v>
      </c>
      <c r="CR138">
        <v>0</v>
      </c>
      <c r="CS138">
        <v>0</v>
      </c>
      <c r="CT138">
        <v>-14.5</v>
      </c>
      <c r="CU138">
        <v>75</v>
      </c>
      <c r="CV138">
        <v>-0.06</v>
      </c>
      <c r="CW138">
        <v>46</v>
      </c>
      <c r="CX138" t="s">
        <v>323</v>
      </c>
    </row>
    <row r="139" spans="1:102" x14ac:dyDescent="0.3">
      <c r="A139" t="str">
        <f>HYPERLINK("https://webapp.icbf.com/v2/app/bull-search/view/1043259252","S2117")</f>
        <v>S2117</v>
      </c>
      <c r="B139" t="s">
        <v>5899</v>
      </c>
      <c r="C139" t="s">
        <v>5900</v>
      </c>
      <c r="D139" s="1">
        <v>41320</v>
      </c>
      <c r="E139" t="s">
        <v>92</v>
      </c>
      <c r="F139">
        <v>84</v>
      </c>
      <c r="G139" t="s">
        <v>93</v>
      </c>
      <c r="H139">
        <v>233.92</v>
      </c>
      <c r="I139">
        <v>91</v>
      </c>
      <c r="J139">
        <v>78.52</v>
      </c>
      <c r="K139">
        <v>98</v>
      </c>
      <c r="L139">
        <v>95.15</v>
      </c>
      <c r="M139">
        <v>84</v>
      </c>
      <c r="N139">
        <v>47.88</v>
      </c>
      <c r="O139">
        <v>93</v>
      </c>
      <c r="P139">
        <v>-14.12</v>
      </c>
      <c r="Q139">
        <v>96</v>
      </c>
      <c r="R139">
        <v>13.08</v>
      </c>
      <c r="S139">
        <v>86</v>
      </c>
      <c r="T139">
        <v>5.61</v>
      </c>
      <c r="U139">
        <v>97</v>
      </c>
      <c r="V139">
        <v>7.8</v>
      </c>
      <c r="W139">
        <v>79</v>
      </c>
      <c r="X139" t="s">
        <v>234</v>
      </c>
      <c r="Y139" t="s">
        <v>367</v>
      </c>
      <c r="Z139" t="s">
        <v>96</v>
      </c>
      <c r="AA139" t="s">
        <v>1861</v>
      </c>
      <c r="AB139" t="s">
        <v>5901</v>
      </c>
      <c r="AC139">
        <v>336</v>
      </c>
      <c r="AD139">
        <v>77</v>
      </c>
      <c r="AE139">
        <v>98</v>
      </c>
      <c r="AF139">
        <v>264.42</v>
      </c>
      <c r="AG139">
        <v>11.68</v>
      </c>
      <c r="AH139">
        <v>13.27</v>
      </c>
      <c r="AI139">
        <v>0.02</v>
      </c>
      <c r="AJ139">
        <v>7.0000000000000007E-2</v>
      </c>
      <c r="AK139">
        <v>84</v>
      </c>
      <c r="AL139">
        <v>345</v>
      </c>
      <c r="AM139">
        <v>93</v>
      </c>
      <c r="AN139">
        <v>-4.28</v>
      </c>
      <c r="AO139">
        <v>3.32</v>
      </c>
      <c r="AP139">
        <v>848</v>
      </c>
      <c r="AQ139">
        <v>2</v>
      </c>
      <c r="AR139">
        <v>5.23</v>
      </c>
      <c r="AS139">
        <v>90</v>
      </c>
      <c r="AT139">
        <v>2.2999999999999998</v>
      </c>
      <c r="AU139">
        <v>95</v>
      </c>
      <c r="AV139">
        <v>-4.17</v>
      </c>
      <c r="AW139">
        <v>99</v>
      </c>
      <c r="AX139">
        <v>-0.71</v>
      </c>
      <c r="AY139">
        <v>93</v>
      </c>
      <c r="AZ139">
        <v>6.33</v>
      </c>
      <c r="BA139">
        <v>84</v>
      </c>
      <c r="BB139">
        <v>4.83</v>
      </c>
      <c r="BC139">
        <v>76</v>
      </c>
      <c r="BD139">
        <v>-0.04</v>
      </c>
      <c r="BE139">
        <v>-0.06</v>
      </c>
      <c r="BF139">
        <v>-0.12</v>
      </c>
      <c r="BG139">
        <v>94</v>
      </c>
      <c r="BH139">
        <v>-0.03</v>
      </c>
      <c r="BI139">
        <v>-28.63</v>
      </c>
      <c r="BJ139">
        <v>2</v>
      </c>
      <c r="BK139">
        <v>2</v>
      </c>
      <c r="BL139">
        <v>-1.46</v>
      </c>
      <c r="BM139">
        <v>0.38</v>
      </c>
      <c r="BN139">
        <v>-1.06</v>
      </c>
      <c r="BO139">
        <v>-1.1399999999999999</v>
      </c>
      <c r="BP139">
        <v>-1.34</v>
      </c>
      <c r="BQ139">
        <v>-0.66</v>
      </c>
      <c r="BR139">
        <v>1.33</v>
      </c>
      <c r="BS139">
        <v>-1.24</v>
      </c>
      <c r="BT139">
        <v>-1.63</v>
      </c>
      <c r="BU139">
        <v>-0.34</v>
      </c>
      <c r="BV139">
        <v>-0.08</v>
      </c>
      <c r="BW139">
        <v>-0.11</v>
      </c>
      <c r="BX139">
        <v>0.18</v>
      </c>
      <c r="BY139">
        <v>-0.96</v>
      </c>
      <c r="BZ139">
        <v>-2.4900000000000002</v>
      </c>
      <c r="CA139">
        <v>-0.81</v>
      </c>
      <c r="CB139">
        <v>-0.31</v>
      </c>
      <c r="CC139">
        <v>-1.66</v>
      </c>
      <c r="CD139">
        <v>0.88</v>
      </c>
      <c r="CE139">
        <v>-0.8</v>
      </c>
      <c r="CF139">
        <v>-0.96</v>
      </c>
      <c r="CG139">
        <v>0</v>
      </c>
      <c r="CH139">
        <v>-1.17</v>
      </c>
      <c r="CI139">
        <v>0</v>
      </c>
      <c r="CJ139">
        <v>-7.1</v>
      </c>
      <c r="CK139">
        <v>97</v>
      </c>
      <c r="CL139">
        <v>-0.6</v>
      </c>
      <c r="CM139">
        <v>97</v>
      </c>
      <c r="CN139">
        <v>-0.22</v>
      </c>
      <c r="CO139">
        <v>96</v>
      </c>
      <c r="CP139">
        <v>-4.7</v>
      </c>
      <c r="CQ139">
        <v>87</v>
      </c>
      <c r="CR139">
        <v>0</v>
      </c>
      <c r="CS139">
        <v>0</v>
      </c>
      <c r="CT139">
        <v>6.2</v>
      </c>
      <c r="CU139">
        <v>97</v>
      </c>
      <c r="CV139">
        <v>-0.08</v>
      </c>
      <c r="CW139">
        <v>47</v>
      </c>
      <c r="CX139" t="s">
        <v>419</v>
      </c>
    </row>
    <row r="140" spans="1:102" x14ac:dyDescent="0.3">
      <c r="A140" t="str">
        <f>HYPERLINK("https://webapp.icbf.com/v2/app/bull-search/view/483507606","PKK")</f>
        <v>PKK</v>
      </c>
      <c r="B140" t="s">
        <v>4830</v>
      </c>
      <c r="C140" t="s">
        <v>2159</v>
      </c>
      <c r="D140" s="1">
        <v>38990</v>
      </c>
      <c r="E140" t="s">
        <v>92</v>
      </c>
      <c r="F140">
        <v>97</v>
      </c>
      <c r="G140" t="s">
        <v>93</v>
      </c>
      <c r="H140">
        <v>233.74</v>
      </c>
      <c r="I140">
        <v>98</v>
      </c>
      <c r="J140">
        <v>93.39</v>
      </c>
      <c r="K140">
        <v>99</v>
      </c>
      <c r="L140">
        <v>60.53</v>
      </c>
      <c r="M140">
        <v>96</v>
      </c>
      <c r="N140">
        <v>56.91</v>
      </c>
      <c r="O140">
        <v>99</v>
      </c>
      <c r="P140">
        <v>6.88</v>
      </c>
      <c r="Q140">
        <v>99</v>
      </c>
      <c r="R140">
        <v>0.62</v>
      </c>
      <c r="S140">
        <v>97</v>
      </c>
      <c r="T140">
        <v>0.73</v>
      </c>
      <c r="U140">
        <v>99</v>
      </c>
      <c r="V140">
        <v>14.68</v>
      </c>
      <c r="W140">
        <v>96</v>
      </c>
      <c r="X140" t="s">
        <v>94</v>
      </c>
      <c r="Y140" t="s">
        <v>1113</v>
      </c>
      <c r="Z140" t="s">
        <v>96</v>
      </c>
      <c r="AA140" t="s">
        <v>1165</v>
      </c>
      <c r="AB140" t="s">
        <v>4831</v>
      </c>
      <c r="AC140">
        <v>2224</v>
      </c>
      <c r="AD140">
        <v>875</v>
      </c>
      <c r="AE140">
        <v>99</v>
      </c>
      <c r="AF140">
        <v>237.61</v>
      </c>
      <c r="AG140">
        <v>17.920000000000002</v>
      </c>
      <c r="AH140">
        <v>13.18</v>
      </c>
      <c r="AI140">
        <v>0.15</v>
      </c>
      <c r="AJ140">
        <v>0.09</v>
      </c>
      <c r="AK140">
        <v>96</v>
      </c>
      <c r="AL140">
        <v>2519</v>
      </c>
      <c r="AM140">
        <v>1094</v>
      </c>
      <c r="AN140">
        <v>-2.29</v>
      </c>
      <c r="AO140">
        <v>2.5499999999999998</v>
      </c>
      <c r="AP140">
        <v>4181</v>
      </c>
      <c r="AQ140">
        <v>36</v>
      </c>
      <c r="AR140">
        <v>3.94</v>
      </c>
      <c r="AS140">
        <v>99</v>
      </c>
      <c r="AT140">
        <v>1.73</v>
      </c>
      <c r="AU140">
        <v>99</v>
      </c>
      <c r="AV140">
        <v>-4.3</v>
      </c>
      <c r="AW140">
        <v>99</v>
      </c>
      <c r="AX140">
        <v>-0.28000000000000003</v>
      </c>
      <c r="AY140">
        <v>99</v>
      </c>
      <c r="AZ140">
        <v>5.19</v>
      </c>
      <c r="BA140">
        <v>97</v>
      </c>
      <c r="BB140">
        <v>4.47</v>
      </c>
      <c r="BC140">
        <v>97</v>
      </c>
      <c r="BD140">
        <v>-0.05</v>
      </c>
      <c r="BE140">
        <v>0.01</v>
      </c>
      <c r="BF140">
        <v>0.05</v>
      </c>
      <c r="BG140">
        <v>99</v>
      </c>
      <c r="BH140">
        <v>0.21</v>
      </c>
      <c r="BI140">
        <v>-23.06</v>
      </c>
      <c r="BJ140">
        <v>201</v>
      </c>
      <c r="BK140">
        <v>77</v>
      </c>
      <c r="BL140">
        <v>0.3</v>
      </c>
      <c r="BM140">
        <v>-0.32</v>
      </c>
      <c r="BN140">
        <v>-0.04</v>
      </c>
      <c r="BO140">
        <v>0.56999999999999995</v>
      </c>
      <c r="BP140">
        <v>2.0499999999999998</v>
      </c>
      <c r="BQ140">
        <v>0.96</v>
      </c>
      <c r="BR140">
        <v>3.94</v>
      </c>
      <c r="BS140">
        <v>-2.76</v>
      </c>
      <c r="BT140">
        <v>-4.28</v>
      </c>
      <c r="BU140">
        <v>-0.44</v>
      </c>
      <c r="BV140">
        <v>-0.11</v>
      </c>
      <c r="BW140">
        <v>-1.21</v>
      </c>
      <c r="BX140">
        <v>-0.48</v>
      </c>
      <c r="BY140">
        <v>-0.64</v>
      </c>
      <c r="BZ140">
        <v>-2.1</v>
      </c>
      <c r="CA140">
        <v>-0.86</v>
      </c>
      <c r="CB140">
        <v>-0.19</v>
      </c>
      <c r="CC140">
        <v>-1.71</v>
      </c>
      <c r="CD140">
        <v>-0.52</v>
      </c>
      <c r="CE140">
        <v>0.6</v>
      </c>
      <c r="CF140">
        <v>0.25</v>
      </c>
      <c r="CG140">
        <v>0</v>
      </c>
      <c r="CH140">
        <v>-0.64</v>
      </c>
      <c r="CI140">
        <v>0</v>
      </c>
      <c r="CJ140">
        <v>7</v>
      </c>
      <c r="CK140">
        <v>99</v>
      </c>
      <c r="CL140">
        <v>-0.74</v>
      </c>
      <c r="CM140">
        <v>99</v>
      </c>
      <c r="CN140">
        <v>-0.39</v>
      </c>
      <c r="CO140">
        <v>99</v>
      </c>
      <c r="CP140">
        <v>1.9</v>
      </c>
      <c r="CQ140">
        <v>99</v>
      </c>
      <c r="CR140">
        <v>0</v>
      </c>
      <c r="CS140">
        <v>0</v>
      </c>
      <c r="CT140">
        <v>12.8</v>
      </c>
      <c r="CU140">
        <v>99</v>
      </c>
      <c r="CV140">
        <v>0.28000000000000003</v>
      </c>
      <c r="CW140">
        <v>49</v>
      </c>
      <c r="CX140" t="s">
        <v>4796</v>
      </c>
    </row>
    <row r="141" spans="1:102" x14ac:dyDescent="0.3">
      <c r="A141" t="str">
        <f>HYPERLINK("https://webapp.icbf.com/v2/app/bull-search/view/1125377372","NR2016")</f>
        <v>NR2016</v>
      </c>
      <c r="B141" t="s">
        <v>14204</v>
      </c>
      <c r="C141" t="s">
        <v>14205</v>
      </c>
      <c r="D141" s="1">
        <v>39913</v>
      </c>
      <c r="E141" t="s">
        <v>395</v>
      </c>
      <c r="F141">
        <v>0</v>
      </c>
      <c r="G141" t="s">
        <v>93</v>
      </c>
      <c r="H141">
        <v>233.69</v>
      </c>
      <c r="I141">
        <v>86</v>
      </c>
      <c r="J141">
        <v>62.3</v>
      </c>
      <c r="K141">
        <v>96</v>
      </c>
      <c r="L141">
        <v>101.76</v>
      </c>
      <c r="M141">
        <v>81</v>
      </c>
      <c r="N141">
        <v>44.62</v>
      </c>
      <c r="O141">
        <v>86</v>
      </c>
      <c r="P141">
        <v>19.97</v>
      </c>
      <c r="Q141">
        <v>93</v>
      </c>
      <c r="R141">
        <v>11.57</v>
      </c>
      <c r="S141">
        <v>67</v>
      </c>
      <c r="T141">
        <v>-7.12</v>
      </c>
      <c r="U141">
        <v>79</v>
      </c>
      <c r="V141">
        <v>0.59</v>
      </c>
      <c r="W141">
        <v>65</v>
      </c>
      <c r="X141" t="s">
        <v>102</v>
      </c>
      <c r="Y141" t="s">
        <v>422</v>
      </c>
      <c r="Z141">
        <v>0</v>
      </c>
      <c r="AA141" t="s">
        <v>10059</v>
      </c>
      <c r="AB141" t="s">
        <v>14206</v>
      </c>
      <c r="AC141">
        <v>161</v>
      </c>
      <c r="AD141">
        <v>44</v>
      </c>
      <c r="AE141">
        <v>96</v>
      </c>
      <c r="AF141">
        <v>208.12</v>
      </c>
      <c r="AG141">
        <v>12.64</v>
      </c>
      <c r="AH141">
        <v>9.31</v>
      </c>
      <c r="AI141">
        <v>7.0000000000000007E-2</v>
      </c>
      <c r="AJ141">
        <v>0.03</v>
      </c>
      <c r="AK141">
        <v>81</v>
      </c>
      <c r="AL141">
        <v>153</v>
      </c>
      <c r="AM141">
        <v>50</v>
      </c>
      <c r="AN141">
        <v>-5.2</v>
      </c>
      <c r="AO141">
        <v>2.92</v>
      </c>
      <c r="AP141">
        <v>603</v>
      </c>
      <c r="AQ141">
        <v>5</v>
      </c>
      <c r="AR141">
        <v>8.15</v>
      </c>
      <c r="AS141">
        <v>74</v>
      </c>
      <c r="AT141">
        <v>3.24</v>
      </c>
      <c r="AU141">
        <v>94</v>
      </c>
      <c r="AV141">
        <v>-4.74</v>
      </c>
      <c r="AW141">
        <v>98</v>
      </c>
      <c r="AX141">
        <v>-1.1299999999999999</v>
      </c>
      <c r="AY141">
        <v>90</v>
      </c>
      <c r="AZ141">
        <v>4.76</v>
      </c>
      <c r="BA141">
        <v>63</v>
      </c>
      <c r="BB141">
        <v>4.04</v>
      </c>
      <c r="BC141">
        <v>45</v>
      </c>
      <c r="BD141">
        <v>-0.03</v>
      </c>
      <c r="BE141">
        <v>-0.04</v>
      </c>
      <c r="BF141">
        <v>-0.14000000000000001</v>
      </c>
      <c r="BG141">
        <v>84</v>
      </c>
      <c r="BH141">
        <v>0.04</v>
      </c>
      <c r="BI141">
        <v>2.71</v>
      </c>
      <c r="BJ141">
        <v>0</v>
      </c>
      <c r="BK141">
        <v>0</v>
      </c>
      <c r="BL141">
        <v>-1.28</v>
      </c>
      <c r="BM141">
        <v>0.83</v>
      </c>
      <c r="BN141">
        <v>-1.1599999999999999</v>
      </c>
      <c r="BO141">
        <v>-1.42</v>
      </c>
      <c r="BP141">
        <v>0.86</v>
      </c>
      <c r="BQ141">
        <v>-0.7</v>
      </c>
      <c r="BR141">
        <v>0.34</v>
      </c>
      <c r="BS141">
        <v>0.11</v>
      </c>
      <c r="BT141">
        <v>-0.51</v>
      </c>
      <c r="BU141">
        <v>-1.1399999999999999</v>
      </c>
      <c r="BV141">
        <v>-2.04</v>
      </c>
      <c r="BW141">
        <v>-1.61</v>
      </c>
      <c r="BX141">
        <v>-0.9</v>
      </c>
      <c r="BY141">
        <v>-0.86</v>
      </c>
      <c r="BZ141">
        <v>-0.66</v>
      </c>
      <c r="CA141">
        <v>-1.3</v>
      </c>
      <c r="CB141">
        <v>-1.55</v>
      </c>
      <c r="CC141">
        <v>-0.33</v>
      </c>
      <c r="CD141">
        <v>1.1599999999999999</v>
      </c>
      <c r="CE141">
        <v>-1.33</v>
      </c>
      <c r="CF141">
        <v>-1.38</v>
      </c>
      <c r="CG141">
        <v>0</v>
      </c>
      <c r="CH141">
        <v>-1.02</v>
      </c>
      <c r="CI141">
        <v>0</v>
      </c>
      <c r="CJ141">
        <v>13.8</v>
      </c>
      <c r="CK141">
        <v>95</v>
      </c>
      <c r="CL141">
        <v>-0.46</v>
      </c>
      <c r="CM141">
        <v>94</v>
      </c>
      <c r="CN141">
        <v>-0.3</v>
      </c>
      <c r="CO141">
        <v>93</v>
      </c>
      <c r="CP141">
        <v>14.4</v>
      </c>
      <c r="CQ141">
        <v>71</v>
      </c>
      <c r="CR141">
        <v>0</v>
      </c>
      <c r="CS141">
        <v>0</v>
      </c>
      <c r="CT141">
        <v>23.4</v>
      </c>
      <c r="CU141">
        <v>79</v>
      </c>
      <c r="CV141">
        <v>0.28999999999999998</v>
      </c>
      <c r="CW141">
        <v>28</v>
      </c>
      <c r="CX141" t="s">
        <v>6962</v>
      </c>
    </row>
    <row r="142" spans="1:102" x14ac:dyDescent="0.3">
      <c r="A142" t="str">
        <f>HYPERLINK("https://webapp.icbf.com/v2/app/bull-search/view/1138784019","FR2034")</f>
        <v>FR2034</v>
      </c>
      <c r="B142" t="s">
        <v>13648</v>
      </c>
      <c r="C142" t="s">
        <v>13649</v>
      </c>
      <c r="D142" s="1">
        <v>41678</v>
      </c>
      <c r="E142" t="s">
        <v>92</v>
      </c>
      <c r="F142">
        <v>72</v>
      </c>
      <c r="G142" t="s">
        <v>93</v>
      </c>
      <c r="H142">
        <v>233.65</v>
      </c>
      <c r="I142">
        <v>91</v>
      </c>
      <c r="J142">
        <v>51.03</v>
      </c>
      <c r="K142">
        <v>99</v>
      </c>
      <c r="L142">
        <v>122.51</v>
      </c>
      <c r="M142">
        <v>82</v>
      </c>
      <c r="N142">
        <v>39.28</v>
      </c>
      <c r="O142">
        <v>93</v>
      </c>
      <c r="P142">
        <v>-13.24</v>
      </c>
      <c r="Q142">
        <v>98</v>
      </c>
      <c r="R142">
        <v>11.18</v>
      </c>
      <c r="S142">
        <v>87</v>
      </c>
      <c r="T142">
        <v>13.75</v>
      </c>
      <c r="U142">
        <v>89</v>
      </c>
      <c r="V142">
        <v>9.14</v>
      </c>
      <c r="W142">
        <v>80</v>
      </c>
      <c r="X142" t="s">
        <v>94</v>
      </c>
      <c r="Y142" t="s">
        <v>416</v>
      </c>
      <c r="Z142" t="s">
        <v>330</v>
      </c>
      <c r="AA142" t="s">
        <v>2514</v>
      </c>
      <c r="AB142" t="s">
        <v>13650</v>
      </c>
      <c r="AC142">
        <v>1226</v>
      </c>
      <c r="AD142">
        <v>454</v>
      </c>
      <c r="AE142">
        <v>99</v>
      </c>
      <c r="AF142">
        <v>-149.29</v>
      </c>
      <c r="AG142">
        <v>7.39</v>
      </c>
      <c r="AH142">
        <v>3.78</v>
      </c>
      <c r="AI142">
        <v>0.24</v>
      </c>
      <c r="AJ142">
        <v>0.16</v>
      </c>
      <c r="AK142">
        <v>82</v>
      </c>
      <c r="AL142">
        <v>71</v>
      </c>
      <c r="AM142">
        <v>45</v>
      </c>
      <c r="AN142">
        <v>-6.69</v>
      </c>
      <c r="AO142">
        <v>3.08</v>
      </c>
      <c r="AP142">
        <v>3830</v>
      </c>
      <c r="AQ142">
        <v>25</v>
      </c>
      <c r="AR142">
        <v>5.23</v>
      </c>
      <c r="AS142">
        <v>95</v>
      </c>
      <c r="AT142">
        <v>2.1800000000000002</v>
      </c>
      <c r="AU142">
        <v>99</v>
      </c>
      <c r="AV142">
        <v>-3.27</v>
      </c>
      <c r="AW142">
        <v>99</v>
      </c>
      <c r="AX142">
        <v>-0.77</v>
      </c>
      <c r="AY142">
        <v>98</v>
      </c>
      <c r="AZ142">
        <v>7.25</v>
      </c>
      <c r="BA142">
        <v>94</v>
      </c>
      <c r="BB142">
        <v>5.04</v>
      </c>
      <c r="BC142">
        <v>56</v>
      </c>
      <c r="BD142">
        <v>-0.06</v>
      </c>
      <c r="BE142">
        <v>-0.03</v>
      </c>
      <c r="BF142">
        <v>-0.1</v>
      </c>
      <c r="BG142">
        <v>97</v>
      </c>
      <c r="BH142">
        <v>0</v>
      </c>
      <c r="BI142">
        <v>-29.47</v>
      </c>
      <c r="BJ142">
        <v>1</v>
      </c>
      <c r="BK142">
        <v>1</v>
      </c>
      <c r="BL142">
        <v>-1.62</v>
      </c>
      <c r="BM142">
        <v>0.45</v>
      </c>
      <c r="BN142">
        <v>-1.01</v>
      </c>
      <c r="BO142">
        <v>-0.99</v>
      </c>
      <c r="BP142">
        <v>0.67</v>
      </c>
      <c r="BQ142">
        <v>-0.81</v>
      </c>
      <c r="BR142">
        <v>1.46</v>
      </c>
      <c r="BS142">
        <v>-0.36</v>
      </c>
      <c r="BT142">
        <v>-1.85</v>
      </c>
      <c r="BU142">
        <v>0.61</v>
      </c>
      <c r="BV142">
        <v>0.69</v>
      </c>
      <c r="BW142">
        <v>0.12</v>
      </c>
      <c r="BX142">
        <v>-0.56000000000000005</v>
      </c>
      <c r="BY142">
        <v>-0.24</v>
      </c>
      <c r="BZ142">
        <v>0.36</v>
      </c>
      <c r="CA142">
        <v>0.39</v>
      </c>
      <c r="CB142">
        <v>0.94</v>
      </c>
      <c r="CC142">
        <v>-0.87</v>
      </c>
      <c r="CD142">
        <v>0.83</v>
      </c>
      <c r="CE142">
        <v>-0.48</v>
      </c>
      <c r="CF142">
        <v>-1.66</v>
      </c>
      <c r="CG142">
        <v>0</v>
      </c>
      <c r="CH142">
        <v>0.65</v>
      </c>
      <c r="CI142">
        <v>0</v>
      </c>
      <c r="CJ142">
        <v>-5.4</v>
      </c>
      <c r="CK142">
        <v>99</v>
      </c>
      <c r="CL142">
        <v>-0.61</v>
      </c>
      <c r="CM142">
        <v>99</v>
      </c>
      <c r="CN142">
        <v>-0.1</v>
      </c>
      <c r="CO142">
        <v>99</v>
      </c>
      <c r="CP142">
        <v>-4.4000000000000004</v>
      </c>
      <c r="CQ142">
        <v>82</v>
      </c>
      <c r="CR142">
        <v>0</v>
      </c>
      <c r="CS142">
        <v>0</v>
      </c>
      <c r="CT142">
        <v>-4.8</v>
      </c>
      <c r="CU142">
        <v>89</v>
      </c>
      <c r="CV142">
        <v>-0.01</v>
      </c>
      <c r="CW142">
        <v>54</v>
      </c>
      <c r="CX142" t="s">
        <v>9185</v>
      </c>
    </row>
    <row r="143" spans="1:102" x14ac:dyDescent="0.3">
      <c r="A143" t="str">
        <f>HYPERLINK("https://webapp.icbf.com/v2/app/bull-search/view/1474307030","FR4615")</f>
        <v>FR4615</v>
      </c>
      <c r="B143" t="s">
        <v>6430</v>
      </c>
      <c r="C143" t="s">
        <v>6431</v>
      </c>
      <c r="D143" s="1">
        <v>42762</v>
      </c>
      <c r="E143" t="s">
        <v>92</v>
      </c>
      <c r="F143">
        <v>94</v>
      </c>
      <c r="G143" t="s">
        <v>435</v>
      </c>
      <c r="H143">
        <v>233.22</v>
      </c>
      <c r="I143">
        <v>72</v>
      </c>
      <c r="J143">
        <v>110.48</v>
      </c>
      <c r="K143">
        <v>91</v>
      </c>
      <c r="L143">
        <v>72.97</v>
      </c>
      <c r="M143">
        <v>66</v>
      </c>
      <c r="N143">
        <v>44.62</v>
      </c>
      <c r="O143">
        <v>76</v>
      </c>
      <c r="P143">
        <v>-5.57</v>
      </c>
      <c r="Q143">
        <v>47</v>
      </c>
      <c r="R143">
        <v>3.68</v>
      </c>
      <c r="S143">
        <v>66</v>
      </c>
      <c r="T143">
        <v>3.17</v>
      </c>
      <c r="U143">
        <v>43</v>
      </c>
      <c r="V143">
        <v>3.87</v>
      </c>
      <c r="W143">
        <v>61</v>
      </c>
      <c r="X143" t="s">
        <v>94</v>
      </c>
      <c r="Y143" t="s">
        <v>2384</v>
      </c>
      <c r="Z143" t="s">
        <v>96</v>
      </c>
      <c r="AA143" t="s">
        <v>6092</v>
      </c>
      <c r="AB143" t="s">
        <v>6432</v>
      </c>
      <c r="AC143">
        <v>0</v>
      </c>
      <c r="AD143">
        <v>0</v>
      </c>
      <c r="AE143">
        <v>91</v>
      </c>
      <c r="AF143">
        <v>80.38</v>
      </c>
      <c r="AG143">
        <v>19.93</v>
      </c>
      <c r="AH143">
        <v>12.97</v>
      </c>
      <c r="AI143">
        <v>0.28000000000000003</v>
      </c>
      <c r="AJ143">
        <v>0.18</v>
      </c>
      <c r="AK143">
        <v>66</v>
      </c>
      <c r="AL143">
        <v>0</v>
      </c>
      <c r="AM143">
        <v>0</v>
      </c>
      <c r="AN143">
        <v>-3.12</v>
      </c>
      <c r="AO143">
        <v>2.71</v>
      </c>
      <c r="AP143">
        <v>100</v>
      </c>
      <c r="AQ143">
        <v>0</v>
      </c>
      <c r="AR143">
        <v>5.86</v>
      </c>
      <c r="AS143">
        <v>62</v>
      </c>
      <c r="AT143">
        <v>2.02</v>
      </c>
      <c r="AU143">
        <v>82</v>
      </c>
      <c r="AV143">
        <v>-4.46</v>
      </c>
      <c r="AW143">
        <v>92</v>
      </c>
      <c r="AX143">
        <v>0.09</v>
      </c>
      <c r="AY143">
        <v>67</v>
      </c>
      <c r="AZ143">
        <v>6.57</v>
      </c>
      <c r="BA143">
        <v>45</v>
      </c>
      <c r="BB143">
        <v>5.57</v>
      </c>
      <c r="BC143">
        <v>38</v>
      </c>
      <c r="BD143">
        <v>-0.04</v>
      </c>
      <c r="BE143">
        <v>-0.02</v>
      </c>
      <c r="BF143">
        <v>0.02</v>
      </c>
      <c r="BG143">
        <v>77</v>
      </c>
      <c r="BH143">
        <v>0.13</v>
      </c>
      <c r="BI143">
        <v>2.5499999999999998</v>
      </c>
      <c r="BJ143">
        <v>0</v>
      </c>
      <c r="BK143">
        <v>0</v>
      </c>
      <c r="BL143">
        <v>0.65</v>
      </c>
      <c r="BM143">
        <v>0.28999999999999998</v>
      </c>
      <c r="BN143">
        <v>-1.1100000000000001</v>
      </c>
      <c r="BO143">
        <v>-0.73</v>
      </c>
      <c r="BP143">
        <v>1.0900000000000001</v>
      </c>
      <c r="BQ143">
        <v>1.3</v>
      </c>
      <c r="BR143">
        <v>-1.06</v>
      </c>
      <c r="BS143">
        <v>-0.4</v>
      </c>
      <c r="BT143">
        <v>-0.28000000000000003</v>
      </c>
      <c r="BU143">
        <v>-0.23</v>
      </c>
      <c r="BV143">
        <v>-0.16</v>
      </c>
      <c r="BW143">
        <v>-1.37</v>
      </c>
      <c r="BX143">
        <v>-7.0000000000000007E-2</v>
      </c>
      <c r="BY143">
        <v>-0.61</v>
      </c>
      <c r="BZ143">
        <v>-1.43</v>
      </c>
      <c r="CA143">
        <v>-0.45</v>
      </c>
      <c r="CB143">
        <v>-0.54</v>
      </c>
      <c r="CC143">
        <v>-0.2</v>
      </c>
      <c r="CD143">
        <v>0.42</v>
      </c>
      <c r="CE143">
        <v>-0.46</v>
      </c>
      <c r="CF143">
        <v>-0.37</v>
      </c>
      <c r="CG143">
        <v>0</v>
      </c>
      <c r="CH143">
        <v>-0.7</v>
      </c>
      <c r="CI143">
        <v>0</v>
      </c>
      <c r="CJ143">
        <v>1.5</v>
      </c>
      <c r="CK143">
        <v>48</v>
      </c>
      <c r="CL143">
        <v>-0.92</v>
      </c>
      <c r="CM143">
        <v>47</v>
      </c>
      <c r="CN143">
        <v>-0.16</v>
      </c>
      <c r="CO143">
        <v>47</v>
      </c>
      <c r="CP143">
        <v>-0.1</v>
      </c>
      <c r="CQ143">
        <v>43</v>
      </c>
      <c r="CR143">
        <v>0</v>
      </c>
      <c r="CS143">
        <v>0</v>
      </c>
      <c r="CT143">
        <v>9.5</v>
      </c>
      <c r="CU143">
        <v>43</v>
      </c>
      <c r="CV143">
        <v>0.25</v>
      </c>
      <c r="CW143">
        <v>36</v>
      </c>
      <c r="CX143" t="s">
        <v>316</v>
      </c>
    </row>
    <row r="144" spans="1:102" x14ac:dyDescent="0.3">
      <c r="A144" t="str">
        <f>HYPERLINK("https://webapp.icbf.com/v2/app/bull-search/view/1350498265","FR4186")</f>
        <v>FR4186</v>
      </c>
      <c r="B144" t="s">
        <v>13808</v>
      </c>
      <c r="C144" t="s">
        <v>13809</v>
      </c>
      <c r="D144" s="1">
        <v>42382</v>
      </c>
      <c r="E144" t="s">
        <v>92</v>
      </c>
      <c r="F144">
        <v>81</v>
      </c>
      <c r="G144" t="s">
        <v>435</v>
      </c>
      <c r="H144">
        <v>233.07</v>
      </c>
      <c r="I144">
        <v>72</v>
      </c>
      <c r="J144">
        <v>29.99</v>
      </c>
      <c r="K144">
        <v>89</v>
      </c>
      <c r="L144">
        <v>149.99</v>
      </c>
      <c r="M144">
        <v>64</v>
      </c>
      <c r="N144">
        <v>48.72</v>
      </c>
      <c r="O144">
        <v>80</v>
      </c>
      <c r="P144">
        <v>-28.95</v>
      </c>
      <c r="Q144">
        <v>58</v>
      </c>
      <c r="R144">
        <v>4.84</v>
      </c>
      <c r="S144">
        <v>65</v>
      </c>
      <c r="T144">
        <v>21.74</v>
      </c>
      <c r="U144">
        <v>50</v>
      </c>
      <c r="V144">
        <v>6.74</v>
      </c>
      <c r="W144">
        <v>57</v>
      </c>
      <c r="X144" t="s">
        <v>94</v>
      </c>
      <c r="Y144" t="s">
        <v>2255</v>
      </c>
      <c r="Z144" t="s">
        <v>96</v>
      </c>
      <c r="AA144" t="s">
        <v>437</v>
      </c>
      <c r="AB144" t="s">
        <v>13810</v>
      </c>
      <c r="AC144">
        <v>0</v>
      </c>
      <c r="AD144">
        <v>0</v>
      </c>
      <c r="AE144">
        <v>89</v>
      </c>
      <c r="AF144">
        <v>27.18</v>
      </c>
      <c r="AG144">
        <v>5.05</v>
      </c>
      <c r="AH144">
        <v>3.73</v>
      </c>
      <c r="AI144">
        <v>0.06</v>
      </c>
      <c r="AJ144">
        <v>0.05</v>
      </c>
      <c r="AK144">
        <v>64</v>
      </c>
      <c r="AL144">
        <v>0</v>
      </c>
      <c r="AM144">
        <v>0</v>
      </c>
      <c r="AN144">
        <v>-8.3000000000000007</v>
      </c>
      <c r="AO144">
        <v>3.66</v>
      </c>
      <c r="AP144">
        <v>276</v>
      </c>
      <c r="AQ144">
        <v>0</v>
      </c>
      <c r="AR144">
        <v>5.53</v>
      </c>
      <c r="AS144">
        <v>91</v>
      </c>
      <c r="AT144">
        <v>2.11</v>
      </c>
      <c r="AU144">
        <v>76</v>
      </c>
      <c r="AV144">
        <v>-4.75</v>
      </c>
      <c r="AW144">
        <v>96</v>
      </c>
      <c r="AX144">
        <v>1.2</v>
      </c>
      <c r="AY144">
        <v>82</v>
      </c>
      <c r="AZ144">
        <v>6.14</v>
      </c>
      <c r="BA144">
        <v>46</v>
      </c>
      <c r="BB144">
        <v>4.7699999999999996</v>
      </c>
      <c r="BC144">
        <v>45</v>
      </c>
      <c r="BD144">
        <v>-0.02</v>
      </c>
      <c r="BE144">
        <v>-0.02</v>
      </c>
      <c r="BF144">
        <v>-0.04</v>
      </c>
      <c r="BG144">
        <v>74</v>
      </c>
      <c r="BH144">
        <v>0.22</v>
      </c>
      <c r="BI144">
        <v>3.7</v>
      </c>
      <c r="BJ144">
        <v>0</v>
      </c>
      <c r="BK144">
        <v>0</v>
      </c>
      <c r="BL144">
        <v>-1.42</v>
      </c>
      <c r="BM144">
        <v>-0.28000000000000003</v>
      </c>
      <c r="BN144">
        <v>-1.5</v>
      </c>
      <c r="BO144">
        <v>-1.62</v>
      </c>
      <c r="BP144">
        <v>1.42</v>
      </c>
      <c r="BQ144">
        <v>-0.37</v>
      </c>
      <c r="BR144">
        <v>0.77</v>
      </c>
      <c r="BS144">
        <v>-0.88</v>
      </c>
      <c r="BT144">
        <v>-1.46</v>
      </c>
      <c r="BU144">
        <v>-0.85</v>
      </c>
      <c r="BV144">
        <v>-0.45</v>
      </c>
      <c r="BW144">
        <v>-0.94</v>
      </c>
      <c r="BX144">
        <v>-0.19</v>
      </c>
      <c r="BY144">
        <v>0.35</v>
      </c>
      <c r="BZ144">
        <v>-7.0000000000000007E-2</v>
      </c>
      <c r="CA144">
        <v>-0.93</v>
      </c>
      <c r="CB144">
        <v>-1.27</v>
      </c>
      <c r="CC144">
        <v>-0.67</v>
      </c>
      <c r="CD144">
        <v>0.87</v>
      </c>
      <c r="CE144">
        <v>-0.97</v>
      </c>
      <c r="CF144">
        <v>-1.44</v>
      </c>
      <c r="CG144">
        <v>0</v>
      </c>
      <c r="CH144">
        <v>-0.56999999999999995</v>
      </c>
      <c r="CI144">
        <v>0</v>
      </c>
      <c r="CJ144">
        <v>-16.8</v>
      </c>
      <c r="CK144">
        <v>64</v>
      </c>
      <c r="CL144">
        <v>-0.86</v>
      </c>
      <c r="CM144">
        <v>51</v>
      </c>
      <c r="CN144">
        <v>-0.4</v>
      </c>
      <c r="CO144">
        <v>51</v>
      </c>
      <c r="CP144">
        <v>-10.5</v>
      </c>
      <c r="CQ144">
        <v>51</v>
      </c>
      <c r="CR144">
        <v>0</v>
      </c>
      <c r="CS144">
        <v>0</v>
      </c>
      <c r="CT144">
        <v>-15.6</v>
      </c>
      <c r="CU144">
        <v>50</v>
      </c>
      <c r="CV144">
        <v>-0.05</v>
      </c>
      <c r="CW144">
        <v>39</v>
      </c>
      <c r="CX144" t="s">
        <v>439</v>
      </c>
    </row>
    <row r="145" spans="1:102" x14ac:dyDescent="0.3">
      <c r="A145" t="str">
        <f>HYPERLINK("https://webapp.icbf.com/v2/app/bull-search/view/1150878747","JE4509")</f>
        <v>JE4509</v>
      </c>
      <c r="B145" t="s">
        <v>6299</v>
      </c>
      <c r="C145" t="s">
        <v>6300</v>
      </c>
      <c r="D145" s="1">
        <v>41476</v>
      </c>
      <c r="E145" t="s">
        <v>227</v>
      </c>
      <c r="F145">
        <v>44</v>
      </c>
      <c r="G145" t="s">
        <v>109</v>
      </c>
      <c r="H145">
        <v>232.71</v>
      </c>
      <c r="I145">
        <v>65</v>
      </c>
      <c r="J145">
        <v>101.84</v>
      </c>
      <c r="K145">
        <v>85</v>
      </c>
      <c r="L145">
        <v>81.62</v>
      </c>
      <c r="M145">
        <v>56</v>
      </c>
      <c r="N145">
        <v>34.409999999999997</v>
      </c>
      <c r="O145">
        <v>85</v>
      </c>
      <c r="P145">
        <v>-47.46</v>
      </c>
      <c r="Q145">
        <v>43</v>
      </c>
      <c r="R145">
        <v>4.74</v>
      </c>
      <c r="S145">
        <v>55</v>
      </c>
      <c r="T145">
        <v>54.3</v>
      </c>
      <c r="U145">
        <v>36</v>
      </c>
      <c r="V145">
        <v>3.26</v>
      </c>
      <c r="W145">
        <v>48</v>
      </c>
      <c r="X145" t="s">
        <v>276</v>
      </c>
      <c r="Y145" t="s">
        <v>442</v>
      </c>
      <c r="Z145">
        <v>0</v>
      </c>
      <c r="AA145" t="s">
        <v>6301</v>
      </c>
      <c r="AB145" t="s">
        <v>6302</v>
      </c>
      <c r="AC145">
        <v>0</v>
      </c>
      <c r="AD145">
        <v>0</v>
      </c>
      <c r="AE145">
        <v>85</v>
      </c>
      <c r="AF145">
        <v>-104.59</v>
      </c>
      <c r="AG145">
        <v>14.67</v>
      </c>
      <c r="AH145">
        <v>10.53</v>
      </c>
      <c r="AI145">
        <v>0.33</v>
      </c>
      <c r="AJ145">
        <v>0.25</v>
      </c>
      <c r="AK145">
        <v>56</v>
      </c>
      <c r="AL145">
        <v>0</v>
      </c>
      <c r="AM145">
        <v>0</v>
      </c>
      <c r="AN145">
        <v>-4.3899999999999997</v>
      </c>
      <c r="AO145">
        <v>2.12</v>
      </c>
      <c r="AP145">
        <v>1210</v>
      </c>
      <c r="AQ145">
        <v>0</v>
      </c>
      <c r="AR145">
        <v>3.55</v>
      </c>
      <c r="AS145">
        <v>92</v>
      </c>
      <c r="AT145">
        <v>1.59</v>
      </c>
      <c r="AU145">
        <v>96</v>
      </c>
      <c r="AV145">
        <v>-2.3199999999999998</v>
      </c>
      <c r="AW145">
        <v>99</v>
      </c>
      <c r="AX145">
        <v>-0.01</v>
      </c>
      <c r="AY145">
        <v>93</v>
      </c>
      <c r="AZ145">
        <v>7.62</v>
      </c>
      <c r="BA145">
        <v>27</v>
      </c>
      <c r="BB145">
        <v>5.28</v>
      </c>
      <c r="BC145">
        <v>27</v>
      </c>
      <c r="BD145">
        <v>-0.06</v>
      </c>
      <c r="BE145">
        <v>-0.01</v>
      </c>
      <c r="BF145">
        <v>0.01</v>
      </c>
      <c r="BG145">
        <v>67</v>
      </c>
      <c r="BH145">
        <v>0.09</v>
      </c>
      <c r="BI145">
        <v>-0.09</v>
      </c>
      <c r="BJ145">
        <v>0</v>
      </c>
      <c r="BK145">
        <v>0</v>
      </c>
      <c r="BL145">
        <v>-2.74</v>
      </c>
      <c r="BM145">
        <v>-1.37</v>
      </c>
      <c r="BN145">
        <v>-1.27</v>
      </c>
      <c r="BO145">
        <v>7.0000000000000007E-2</v>
      </c>
      <c r="BP145">
        <v>-0.5</v>
      </c>
      <c r="BQ145">
        <v>-4.6100000000000003</v>
      </c>
      <c r="BR145">
        <v>2.11</v>
      </c>
      <c r="BS145">
        <v>3.08</v>
      </c>
      <c r="BT145">
        <v>-1.45</v>
      </c>
      <c r="BU145">
        <v>-1.03</v>
      </c>
      <c r="BV145">
        <v>-0.56999999999999995</v>
      </c>
      <c r="BW145">
        <v>-1.79</v>
      </c>
      <c r="BX145">
        <v>-2.68</v>
      </c>
      <c r="BY145">
        <v>-0.86</v>
      </c>
      <c r="BZ145">
        <v>-0.47</v>
      </c>
      <c r="CA145">
        <v>0.05</v>
      </c>
      <c r="CB145">
        <v>-0.71</v>
      </c>
      <c r="CC145">
        <v>1.67</v>
      </c>
      <c r="CD145">
        <v>-1.1299999999999999</v>
      </c>
      <c r="CE145">
        <v>7.0000000000000007E-2</v>
      </c>
      <c r="CF145">
        <v>-3.01</v>
      </c>
      <c r="CG145">
        <v>0</v>
      </c>
      <c r="CH145">
        <v>-0.6</v>
      </c>
      <c r="CI145">
        <v>0</v>
      </c>
      <c r="CJ145">
        <v>-25.7</v>
      </c>
      <c r="CK145">
        <v>49</v>
      </c>
      <c r="CL145">
        <v>-0.73</v>
      </c>
      <c r="CM145">
        <v>33</v>
      </c>
      <c r="CN145">
        <v>-0.12</v>
      </c>
      <c r="CO145">
        <v>33</v>
      </c>
      <c r="CP145">
        <v>-39.1</v>
      </c>
      <c r="CQ145">
        <v>38</v>
      </c>
      <c r="CR145">
        <v>0</v>
      </c>
      <c r="CS145">
        <v>0</v>
      </c>
      <c r="CT145">
        <v>-59.6</v>
      </c>
      <c r="CU145">
        <v>36</v>
      </c>
      <c r="CV145">
        <v>-0.21</v>
      </c>
      <c r="CW145">
        <v>31</v>
      </c>
      <c r="CX145" t="s">
        <v>6303</v>
      </c>
    </row>
    <row r="146" spans="1:102" x14ac:dyDescent="0.3">
      <c r="A146" t="str">
        <f>HYPERLINK("https://webapp.icbf.com/v2/app/bull-search/view/1358318780","FR4102")</f>
        <v>FR4102</v>
      </c>
      <c r="B146" t="s">
        <v>6847</v>
      </c>
      <c r="C146" t="s">
        <v>6848</v>
      </c>
      <c r="D146" s="1">
        <v>42407</v>
      </c>
      <c r="E146" t="s">
        <v>92</v>
      </c>
      <c r="F146">
        <v>75</v>
      </c>
      <c r="G146" t="s">
        <v>435</v>
      </c>
      <c r="H146">
        <v>232.66</v>
      </c>
      <c r="I146">
        <v>76</v>
      </c>
      <c r="J146">
        <v>62.1</v>
      </c>
      <c r="K146">
        <v>89</v>
      </c>
      <c r="L146">
        <v>105.79</v>
      </c>
      <c r="M146">
        <v>65</v>
      </c>
      <c r="N146">
        <v>47.11</v>
      </c>
      <c r="O146">
        <v>89</v>
      </c>
      <c r="P146">
        <v>-15.79</v>
      </c>
      <c r="Q146">
        <v>87</v>
      </c>
      <c r="R146">
        <v>3.87</v>
      </c>
      <c r="S146">
        <v>65</v>
      </c>
      <c r="T146">
        <v>27.89</v>
      </c>
      <c r="U146">
        <v>55</v>
      </c>
      <c r="V146">
        <v>1.69</v>
      </c>
      <c r="W146">
        <v>58</v>
      </c>
      <c r="X146" t="s">
        <v>102</v>
      </c>
      <c r="Y146" t="s">
        <v>436</v>
      </c>
      <c r="Z146" t="s">
        <v>330</v>
      </c>
      <c r="AA146" t="s">
        <v>437</v>
      </c>
      <c r="AB146" t="s">
        <v>6849</v>
      </c>
      <c r="AC146">
        <v>0</v>
      </c>
      <c r="AD146">
        <v>0</v>
      </c>
      <c r="AE146">
        <v>89</v>
      </c>
      <c r="AF146">
        <v>-163.94</v>
      </c>
      <c r="AG146">
        <v>8.8800000000000008</v>
      </c>
      <c r="AH146">
        <v>4.91</v>
      </c>
      <c r="AI146">
        <v>0.27</v>
      </c>
      <c r="AJ146">
        <v>0.19</v>
      </c>
      <c r="AK146">
        <v>65</v>
      </c>
      <c r="AL146">
        <v>0</v>
      </c>
      <c r="AM146">
        <v>0</v>
      </c>
      <c r="AN146">
        <v>-6.28</v>
      </c>
      <c r="AO146">
        <v>2.15</v>
      </c>
      <c r="AP146">
        <v>2302</v>
      </c>
      <c r="AQ146">
        <v>5</v>
      </c>
      <c r="AR146">
        <v>5.87</v>
      </c>
      <c r="AS146">
        <v>94</v>
      </c>
      <c r="AT146">
        <v>2.38</v>
      </c>
      <c r="AU146">
        <v>98</v>
      </c>
      <c r="AV146">
        <v>-4.7</v>
      </c>
      <c r="AW146">
        <v>99</v>
      </c>
      <c r="AX146">
        <v>0.01</v>
      </c>
      <c r="AY146">
        <v>97</v>
      </c>
      <c r="AZ146">
        <v>6.38</v>
      </c>
      <c r="BA146">
        <v>46</v>
      </c>
      <c r="BB146">
        <v>5.07</v>
      </c>
      <c r="BC146">
        <v>46</v>
      </c>
      <c r="BD146">
        <v>-0.03</v>
      </c>
      <c r="BE146">
        <v>-0.01</v>
      </c>
      <c r="BF146">
        <v>-0.02</v>
      </c>
      <c r="BG146">
        <v>74</v>
      </c>
      <c r="BH146">
        <v>0.12</v>
      </c>
      <c r="BI146">
        <v>8.42</v>
      </c>
      <c r="BJ146">
        <v>0</v>
      </c>
      <c r="BK146">
        <v>0</v>
      </c>
      <c r="BL146">
        <v>-1.1299999999999999</v>
      </c>
      <c r="BM146">
        <v>0.25</v>
      </c>
      <c r="BN146">
        <v>-0.59</v>
      </c>
      <c r="BO146">
        <v>-1.25</v>
      </c>
      <c r="BP146">
        <v>-0.16</v>
      </c>
      <c r="BQ146">
        <v>-0.06</v>
      </c>
      <c r="BR146">
        <v>1.85</v>
      </c>
      <c r="BS146">
        <v>-0.21</v>
      </c>
      <c r="BT146">
        <v>-0.92</v>
      </c>
      <c r="BU146">
        <v>-1.21</v>
      </c>
      <c r="BV146">
        <v>-0.8</v>
      </c>
      <c r="BW146">
        <v>0.32</v>
      </c>
      <c r="BX146">
        <v>-0.57999999999999996</v>
      </c>
      <c r="BY146">
        <v>-0.45</v>
      </c>
      <c r="BZ146">
        <v>1.67</v>
      </c>
      <c r="CA146">
        <v>-1.08</v>
      </c>
      <c r="CB146">
        <v>-1.33</v>
      </c>
      <c r="CC146">
        <v>-0.05</v>
      </c>
      <c r="CD146">
        <v>1.4</v>
      </c>
      <c r="CE146">
        <v>-0.42</v>
      </c>
      <c r="CF146">
        <v>-1.62</v>
      </c>
      <c r="CG146">
        <v>0</v>
      </c>
      <c r="CH146">
        <v>-2.11</v>
      </c>
      <c r="CI146">
        <v>0</v>
      </c>
      <c r="CJ146">
        <v>-10.1</v>
      </c>
      <c r="CK146">
        <v>91</v>
      </c>
      <c r="CL146">
        <v>-0.4</v>
      </c>
      <c r="CM146">
        <v>88</v>
      </c>
      <c r="CN146">
        <v>-0.34</v>
      </c>
      <c r="CO146">
        <v>87</v>
      </c>
      <c r="CP146">
        <v>-11.4</v>
      </c>
      <c r="CQ146">
        <v>59</v>
      </c>
      <c r="CR146">
        <v>0</v>
      </c>
      <c r="CS146">
        <v>0</v>
      </c>
      <c r="CT146">
        <v>-23.9</v>
      </c>
      <c r="CU146">
        <v>55</v>
      </c>
      <c r="CV146">
        <v>-0.06</v>
      </c>
      <c r="CW146">
        <v>45</v>
      </c>
      <c r="CX146" t="s">
        <v>1830</v>
      </c>
    </row>
    <row r="147" spans="1:102" x14ac:dyDescent="0.3">
      <c r="A147" t="str">
        <f>HYPERLINK("https://webapp.icbf.com/v2/app/bull-search/view/450121766","KYF")</f>
        <v>KYF</v>
      </c>
      <c r="B147" t="s">
        <v>11977</v>
      </c>
      <c r="C147" t="s">
        <v>11978</v>
      </c>
      <c r="D147" s="1">
        <v>38772</v>
      </c>
      <c r="E147" t="s">
        <v>92</v>
      </c>
      <c r="F147">
        <v>81</v>
      </c>
      <c r="G147" t="s">
        <v>93</v>
      </c>
      <c r="H147">
        <v>232.58</v>
      </c>
      <c r="I147">
        <v>92</v>
      </c>
      <c r="J147">
        <v>8.99</v>
      </c>
      <c r="K147">
        <v>98</v>
      </c>
      <c r="L147">
        <v>122.38</v>
      </c>
      <c r="M147">
        <v>86</v>
      </c>
      <c r="N147">
        <v>52.33</v>
      </c>
      <c r="O147">
        <v>92</v>
      </c>
      <c r="P147">
        <v>1.07</v>
      </c>
      <c r="Q147">
        <v>96</v>
      </c>
      <c r="R147">
        <v>17.3</v>
      </c>
      <c r="S147">
        <v>89</v>
      </c>
      <c r="T147">
        <v>15.82</v>
      </c>
      <c r="U147">
        <v>93</v>
      </c>
      <c r="V147">
        <v>14.69</v>
      </c>
      <c r="W147">
        <v>90</v>
      </c>
      <c r="X147" t="s">
        <v>94</v>
      </c>
      <c r="Y147" t="s">
        <v>1251</v>
      </c>
      <c r="Z147" t="s">
        <v>96</v>
      </c>
      <c r="AA147" t="s">
        <v>1165</v>
      </c>
      <c r="AB147" t="s">
        <v>11979</v>
      </c>
      <c r="AC147">
        <v>202</v>
      </c>
      <c r="AD147">
        <v>160</v>
      </c>
      <c r="AE147">
        <v>98</v>
      </c>
      <c r="AF147">
        <v>-149.38999999999999</v>
      </c>
      <c r="AG147">
        <v>6.45</v>
      </c>
      <c r="AH147">
        <v>-3.04</v>
      </c>
      <c r="AI147">
        <v>0.22</v>
      </c>
      <c r="AJ147">
        <v>0.04</v>
      </c>
      <c r="AK147">
        <v>86</v>
      </c>
      <c r="AL147">
        <v>216</v>
      </c>
      <c r="AM147">
        <v>167</v>
      </c>
      <c r="AN147">
        <v>-6.66</v>
      </c>
      <c r="AO147">
        <v>3.1</v>
      </c>
      <c r="AP147">
        <v>403</v>
      </c>
      <c r="AQ147">
        <v>4</v>
      </c>
      <c r="AR147">
        <v>2.82</v>
      </c>
      <c r="AS147">
        <v>79</v>
      </c>
      <c r="AT147">
        <v>1.61</v>
      </c>
      <c r="AU147">
        <v>93</v>
      </c>
      <c r="AV147">
        <v>-3.68</v>
      </c>
      <c r="AW147">
        <v>98</v>
      </c>
      <c r="AX147">
        <v>-0.7</v>
      </c>
      <c r="AY147">
        <v>90</v>
      </c>
      <c r="AZ147">
        <v>5.51</v>
      </c>
      <c r="BA147">
        <v>77</v>
      </c>
      <c r="BB147">
        <v>5.05</v>
      </c>
      <c r="BC147">
        <v>81</v>
      </c>
      <c r="BD147">
        <v>-7.0000000000000007E-2</v>
      </c>
      <c r="BE147">
        <v>-0.09</v>
      </c>
      <c r="BF147">
        <v>-0.11</v>
      </c>
      <c r="BG147">
        <v>94</v>
      </c>
      <c r="BH147">
        <v>0.16</v>
      </c>
      <c r="BI147">
        <v>-28.89</v>
      </c>
      <c r="BJ147">
        <v>13</v>
      </c>
      <c r="BK147">
        <v>12</v>
      </c>
      <c r="BL147">
        <v>-0.28000000000000003</v>
      </c>
      <c r="BM147">
        <v>-0.68</v>
      </c>
      <c r="BN147">
        <v>-1.66</v>
      </c>
      <c r="BO147">
        <v>-1.03</v>
      </c>
      <c r="BP147">
        <v>1.52</v>
      </c>
      <c r="BQ147">
        <v>-2.11</v>
      </c>
      <c r="BR147">
        <v>2.88</v>
      </c>
      <c r="BS147">
        <v>-1.85</v>
      </c>
      <c r="BT147">
        <v>-3.47</v>
      </c>
      <c r="BU147">
        <v>0.04</v>
      </c>
      <c r="BV147">
        <v>-1.17</v>
      </c>
      <c r="BW147">
        <v>-1.6</v>
      </c>
      <c r="BX147">
        <v>0.93</v>
      </c>
      <c r="BY147">
        <v>-0.77</v>
      </c>
      <c r="BZ147">
        <v>-0.46</v>
      </c>
      <c r="CA147">
        <v>-1.22</v>
      </c>
      <c r="CB147">
        <v>-0.53</v>
      </c>
      <c r="CC147">
        <v>-2.5499999999999998</v>
      </c>
      <c r="CD147">
        <v>0.19</v>
      </c>
      <c r="CE147">
        <v>-0.41</v>
      </c>
      <c r="CF147">
        <v>-1.33</v>
      </c>
      <c r="CG147">
        <v>0</v>
      </c>
      <c r="CH147">
        <v>-0.14000000000000001</v>
      </c>
      <c r="CI147">
        <v>0</v>
      </c>
      <c r="CJ147">
        <v>0.9</v>
      </c>
      <c r="CK147">
        <v>96</v>
      </c>
      <c r="CL147">
        <v>-0.62</v>
      </c>
      <c r="CM147">
        <v>96</v>
      </c>
      <c r="CN147">
        <v>-0.61</v>
      </c>
      <c r="CO147">
        <v>95</v>
      </c>
      <c r="CP147">
        <v>-6.1</v>
      </c>
      <c r="CQ147">
        <v>94</v>
      </c>
      <c r="CR147">
        <v>0</v>
      </c>
      <c r="CS147">
        <v>0</v>
      </c>
      <c r="CT147">
        <v>-7.6</v>
      </c>
      <c r="CU147">
        <v>93</v>
      </c>
      <c r="CV147">
        <v>0.12</v>
      </c>
      <c r="CW147">
        <v>47</v>
      </c>
      <c r="CX147" t="s">
        <v>8615</v>
      </c>
    </row>
    <row r="148" spans="1:102" x14ac:dyDescent="0.3">
      <c r="A148" t="str">
        <f>HYPERLINK("https://webapp.icbf.com/v2/app/bull-search/view/229599768","OJI")</f>
        <v>OJI</v>
      </c>
      <c r="B148" t="s">
        <v>11571</v>
      </c>
      <c r="C148" t="s">
        <v>316</v>
      </c>
      <c r="D148" s="1">
        <v>35862</v>
      </c>
      <c r="E148" t="s">
        <v>92</v>
      </c>
      <c r="F148">
        <v>100</v>
      </c>
      <c r="G148" t="s">
        <v>93</v>
      </c>
      <c r="H148">
        <v>232.36</v>
      </c>
      <c r="I148">
        <v>99</v>
      </c>
      <c r="J148">
        <v>86.91</v>
      </c>
      <c r="K148">
        <v>99</v>
      </c>
      <c r="L148">
        <v>88.27</v>
      </c>
      <c r="M148">
        <v>98</v>
      </c>
      <c r="N148">
        <v>49.26</v>
      </c>
      <c r="O148">
        <v>99</v>
      </c>
      <c r="P148">
        <v>-2.62</v>
      </c>
      <c r="Q148">
        <v>99</v>
      </c>
      <c r="R148">
        <v>8.7100000000000009</v>
      </c>
      <c r="S148">
        <v>99</v>
      </c>
      <c r="T148">
        <v>-5.64</v>
      </c>
      <c r="U148">
        <v>99</v>
      </c>
      <c r="V148">
        <v>7.47</v>
      </c>
      <c r="W148">
        <v>99</v>
      </c>
      <c r="X148" t="s">
        <v>276</v>
      </c>
      <c r="Y148" t="s">
        <v>95</v>
      </c>
      <c r="Z148" t="s">
        <v>96</v>
      </c>
      <c r="AA148" t="s">
        <v>216</v>
      </c>
      <c r="AB148" t="s">
        <v>11572</v>
      </c>
      <c r="AC148">
        <v>3105</v>
      </c>
      <c r="AD148">
        <v>807</v>
      </c>
      <c r="AE148">
        <v>99</v>
      </c>
      <c r="AF148">
        <v>506.05</v>
      </c>
      <c r="AG148">
        <v>15.85</v>
      </c>
      <c r="AH148">
        <v>16.920000000000002</v>
      </c>
      <c r="AI148">
        <v>-0.06</v>
      </c>
      <c r="AJ148">
        <v>0</v>
      </c>
      <c r="AK148">
        <v>98</v>
      </c>
      <c r="AL148">
        <v>3075</v>
      </c>
      <c r="AM148">
        <v>814</v>
      </c>
      <c r="AN148">
        <v>-4.7699999999999996</v>
      </c>
      <c r="AO148">
        <v>2.27</v>
      </c>
      <c r="AP148">
        <v>4963</v>
      </c>
      <c r="AQ148">
        <v>54</v>
      </c>
      <c r="AR148">
        <v>3.9</v>
      </c>
      <c r="AS148">
        <v>99</v>
      </c>
      <c r="AT148">
        <v>1.7</v>
      </c>
      <c r="AU148">
        <v>99</v>
      </c>
      <c r="AV148">
        <v>-4.3</v>
      </c>
      <c r="AW148">
        <v>99</v>
      </c>
      <c r="AX148">
        <v>-0.33</v>
      </c>
      <c r="AY148">
        <v>99</v>
      </c>
      <c r="AZ148">
        <v>6.84</v>
      </c>
      <c r="BA148">
        <v>99</v>
      </c>
      <c r="BB148">
        <v>5.61</v>
      </c>
      <c r="BC148">
        <v>99</v>
      </c>
      <c r="BD148">
        <v>-0.02</v>
      </c>
      <c r="BE148">
        <v>-0.03</v>
      </c>
      <c r="BF148">
        <v>-0.11</v>
      </c>
      <c r="BG148">
        <v>99</v>
      </c>
      <c r="BH148">
        <v>0.11</v>
      </c>
      <c r="BI148">
        <v>-11.36</v>
      </c>
      <c r="BJ148">
        <v>1053</v>
      </c>
      <c r="BK148">
        <v>216</v>
      </c>
      <c r="BL148">
        <v>0.17</v>
      </c>
      <c r="BM148">
        <v>2.59</v>
      </c>
      <c r="BN148">
        <v>0.26</v>
      </c>
      <c r="BO148">
        <v>-1.28</v>
      </c>
      <c r="BP148">
        <v>1.52</v>
      </c>
      <c r="BQ148">
        <v>0.5</v>
      </c>
      <c r="BR148">
        <v>-2.35</v>
      </c>
      <c r="BS148">
        <v>-0.92</v>
      </c>
      <c r="BT148">
        <v>1.1000000000000001</v>
      </c>
      <c r="BU148">
        <v>-0.52</v>
      </c>
      <c r="BV148">
        <v>-1.25</v>
      </c>
      <c r="BW148">
        <v>-1.6</v>
      </c>
      <c r="BX148">
        <v>0.25</v>
      </c>
      <c r="BY148">
        <v>0.56000000000000005</v>
      </c>
      <c r="BZ148">
        <v>-0.65</v>
      </c>
      <c r="CA148">
        <v>-0.24</v>
      </c>
      <c r="CB148">
        <v>-0.44</v>
      </c>
      <c r="CC148">
        <v>0.14000000000000001</v>
      </c>
      <c r="CD148">
        <v>2.39</v>
      </c>
      <c r="CE148">
        <v>-0.79</v>
      </c>
      <c r="CF148">
        <v>1.06</v>
      </c>
      <c r="CG148">
        <v>0</v>
      </c>
      <c r="CH148">
        <v>0.27</v>
      </c>
      <c r="CI148">
        <v>0</v>
      </c>
      <c r="CJ148">
        <v>1.2</v>
      </c>
      <c r="CK148">
        <v>99</v>
      </c>
      <c r="CL148">
        <v>-0.67</v>
      </c>
      <c r="CM148">
        <v>99</v>
      </c>
      <c r="CN148">
        <v>-0.16</v>
      </c>
      <c r="CO148">
        <v>99</v>
      </c>
      <c r="CP148">
        <v>5.0999999999999996</v>
      </c>
      <c r="CQ148">
        <v>99</v>
      </c>
      <c r="CR148">
        <v>0</v>
      </c>
      <c r="CS148">
        <v>0</v>
      </c>
      <c r="CT148">
        <v>21.4</v>
      </c>
      <c r="CU148">
        <v>99</v>
      </c>
      <c r="CV148">
        <v>0.3</v>
      </c>
      <c r="CW148">
        <v>59</v>
      </c>
      <c r="CX148" t="s">
        <v>564</v>
      </c>
    </row>
    <row r="149" spans="1:102" x14ac:dyDescent="0.3">
      <c r="A149" t="str">
        <f>HYPERLINK("https://webapp.icbf.com/v2/app/bull-search/view/910797266","PYN")</f>
        <v>PYN</v>
      </c>
      <c r="B149" t="s">
        <v>13205</v>
      </c>
      <c r="C149" t="s">
        <v>13206</v>
      </c>
      <c r="D149" s="1">
        <v>40387</v>
      </c>
      <c r="E149" t="s">
        <v>227</v>
      </c>
      <c r="F149">
        <v>0</v>
      </c>
      <c r="G149" t="s">
        <v>109</v>
      </c>
      <c r="H149">
        <v>232.35</v>
      </c>
      <c r="I149">
        <v>76</v>
      </c>
      <c r="J149">
        <v>49.59</v>
      </c>
      <c r="K149">
        <v>91</v>
      </c>
      <c r="L149">
        <v>109.81</v>
      </c>
      <c r="M149">
        <v>69</v>
      </c>
      <c r="N149">
        <v>47.83</v>
      </c>
      <c r="O149">
        <v>72</v>
      </c>
      <c r="P149">
        <v>-48.99</v>
      </c>
      <c r="Q149">
        <v>76</v>
      </c>
      <c r="R149">
        <v>12.29</v>
      </c>
      <c r="S149">
        <v>71</v>
      </c>
      <c r="T149">
        <v>52.82</v>
      </c>
      <c r="U149">
        <v>57</v>
      </c>
      <c r="V149">
        <v>9</v>
      </c>
      <c r="W149">
        <v>71</v>
      </c>
      <c r="X149" t="s">
        <v>276</v>
      </c>
      <c r="Y149" t="s">
        <v>422</v>
      </c>
      <c r="Z149">
        <v>0</v>
      </c>
      <c r="AA149" t="s">
        <v>2663</v>
      </c>
      <c r="AB149" t="s">
        <v>9515</v>
      </c>
      <c r="AC149">
        <v>0</v>
      </c>
      <c r="AD149">
        <v>0</v>
      </c>
      <c r="AE149">
        <v>91</v>
      </c>
      <c r="AF149">
        <v>-610.99</v>
      </c>
      <c r="AG149">
        <v>8.26</v>
      </c>
      <c r="AH149">
        <v>-3.84</v>
      </c>
      <c r="AI149">
        <v>0.63</v>
      </c>
      <c r="AJ149">
        <v>0.33</v>
      </c>
      <c r="AK149">
        <v>69</v>
      </c>
      <c r="AL149">
        <v>0</v>
      </c>
      <c r="AM149">
        <v>0</v>
      </c>
      <c r="AN149">
        <v>-5.01</v>
      </c>
      <c r="AO149">
        <v>3.76</v>
      </c>
      <c r="AP149">
        <v>41</v>
      </c>
      <c r="AQ149">
        <v>0</v>
      </c>
      <c r="AR149">
        <v>2.48</v>
      </c>
      <c r="AS149">
        <v>73</v>
      </c>
      <c r="AT149">
        <v>0.84</v>
      </c>
      <c r="AU149">
        <v>65</v>
      </c>
      <c r="AV149">
        <v>-3.31</v>
      </c>
      <c r="AW149">
        <v>88</v>
      </c>
      <c r="AX149">
        <v>0.87</v>
      </c>
      <c r="AY149">
        <v>62</v>
      </c>
      <c r="AZ149">
        <v>6.89</v>
      </c>
      <c r="BA149">
        <v>53</v>
      </c>
      <c r="BB149">
        <v>4.91</v>
      </c>
      <c r="BC149">
        <v>51</v>
      </c>
      <c r="BD149">
        <v>-7.0000000000000007E-2</v>
      </c>
      <c r="BE149">
        <v>-0.04</v>
      </c>
      <c r="BF149">
        <v>-0.09</v>
      </c>
      <c r="BG149">
        <v>77</v>
      </c>
      <c r="BH149">
        <v>0.1</v>
      </c>
      <c r="BI149">
        <v>-17.46</v>
      </c>
      <c r="BJ149">
        <v>0</v>
      </c>
      <c r="BK149">
        <v>0</v>
      </c>
      <c r="BL149">
        <v>-2.74</v>
      </c>
      <c r="BM149">
        <v>-0.99</v>
      </c>
      <c r="BN149">
        <v>-0.52</v>
      </c>
      <c r="BO149">
        <v>0.56000000000000005</v>
      </c>
      <c r="BP149">
        <v>0.4</v>
      </c>
      <c r="BQ149">
        <v>-5.15</v>
      </c>
      <c r="BR149">
        <v>3.14</v>
      </c>
      <c r="BS149">
        <v>6.58</v>
      </c>
      <c r="BT149">
        <v>-1.34</v>
      </c>
      <c r="BU149">
        <v>-2.2799999999999998</v>
      </c>
      <c r="BV149">
        <v>-1.94</v>
      </c>
      <c r="BW149">
        <v>-4.08</v>
      </c>
      <c r="BX149">
        <v>-4.74</v>
      </c>
      <c r="BY149">
        <v>-0.9</v>
      </c>
      <c r="BZ149">
        <v>-1.77</v>
      </c>
      <c r="CA149">
        <v>0.13</v>
      </c>
      <c r="CB149">
        <v>-1.76</v>
      </c>
      <c r="CC149">
        <v>4</v>
      </c>
      <c r="CD149">
        <v>-0.77</v>
      </c>
      <c r="CE149">
        <v>-0.02</v>
      </c>
      <c r="CF149">
        <v>-2.62</v>
      </c>
      <c r="CG149">
        <v>0</v>
      </c>
      <c r="CH149">
        <v>-2.2000000000000002</v>
      </c>
      <c r="CI149">
        <v>0</v>
      </c>
      <c r="CJ149">
        <v>-27.2</v>
      </c>
      <c r="CK149">
        <v>79</v>
      </c>
      <c r="CL149">
        <v>-0.65</v>
      </c>
      <c r="CM149">
        <v>75</v>
      </c>
      <c r="CN149">
        <v>-0.12</v>
      </c>
      <c r="CO149">
        <v>73</v>
      </c>
      <c r="CP149">
        <v>-41</v>
      </c>
      <c r="CQ149">
        <v>59</v>
      </c>
      <c r="CR149">
        <v>0</v>
      </c>
      <c r="CS149">
        <v>0</v>
      </c>
      <c r="CT149">
        <v>-57.6</v>
      </c>
      <c r="CU149">
        <v>57</v>
      </c>
      <c r="CV149">
        <v>-0.3</v>
      </c>
      <c r="CW149">
        <v>41</v>
      </c>
      <c r="CX149" t="s">
        <v>1837</v>
      </c>
    </row>
    <row r="150" spans="1:102" x14ac:dyDescent="0.3">
      <c r="A150" t="str">
        <f>HYPERLINK("https://webapp.icbf.com/v2/app/bull-search/view/1495300800","FR4556")</f>
        <v>FR4556</v>
      </c>
      <c r="B150" t="s">
        <v>9492</v>
      </c>
      <c r="C150" t="s">
        <v>9493</v>
      </c>
      <c r="D150" s="1">
        <v>42311</v>
      </c>
      <c r="E150" t="s">
        <v>92</v>
      </c>
      <c r="F150">
        <v>100</v>
      </c>
      <c r="G150" t="s">
        <v>435</v>
      </c>
      <c r="H150">
        <v>232.16</v>
      </c>
      <c r="I150">
        <v>66</v>
      </c>
      <c r="J150">
        <v>75.36</v>
      </c>
      <c r="K150">
        <v>86</v>
      </c>
      <c r="L150">
        <v>87.48</v>
      </c>
      <c r="M150">
        <v>63</v>
      </c>
      <c r="N150">
        <v>44.22</v>
      </c>
      <c r="O150">
        <v>71</v>
      </c>
      <c r="P150">
        <v>0.62</v>
      </c>
      <c r="Q150">
        <v>34</v>
      </c>
      <c r="R150">
        <v>15.19</v>
      </c>
      <c r="S150">
        <v>58</v>
      </c>
      <c r="T150">
        <v>6.43</v>
      </c>
      <c r="U150">
        <v>33</v>
      </c>
      <c r="V150">
        <v>2.86</v>
      </c>
      <c r="W150">
        <v>51</v>
      </c>
      <c r="X150" t="s">
        <v>276</v>
      </c>
      <c r="Y150" t="s">
        <v>442</v>
      </c>
      <c r="Z150" t="s">
        <v>96</v>
      </c>
      <c r="AA150" t="s">
        <v>469</v>
      </c>
      <c r="AB150" t="s">
        <v>9494</v>
      </c>
      <c r="AC150">
        <v>0</v>
      </c>
      <c r="AD150">
        <v>0</v>
      </c>
      <c r="AE150">
        <v>86</v>
      </c>
      <c r="AF150">
        <v>403.81</v>
      </c>
      <c r="AG150">
        <v>9.52</v>
      </c>
      <c r="AH150">
        <v>15.63</v>
      </c>
      <c r="AI150">
        <v>-0.11</v>
      </c>
      <c r="AJ150">
        <v>0.04</v>
      </c>
      <c r="AK150">
        <v>63</v>
      </c>
      <c r="AL150">
        <v>0</v>
      </c>
      <c r="AM150">
        <v>0</v>
      </c>
      <c r="AN150">
        <v>-2.96</v>
      </c>
      <c r="AO150">
        <v>4.04</v>
      </c>
      <c r="AP150">
        <v>58</v>
      </c>
      <c r="AQ150">
        <v>0</v>
      </c>
      <c r="AR150">
        <v>5.14</v>
      </c>
      <c r="AS150">
        <v>43</v>
      </c>
      <c r="AT150">
        <v>2.3199999999999998</v>
      </c>
      <c r="AU150">
        <v>86</v>
      </c>
      <c r="AV150">
        <v>-3.66</v>
      </c>
      <c r="AW150">
        <v>87</v>
      </c>
      <c r="AX150">
        <v>-0.38</v>
      </c>
      <c r="AY150">
        <v>55</v>
      </c>
      <c r="AZ150">
        <v>5.48</v>
      </c>
      <c r="BA150">
        <v>30</v>
      </c>
      <c r="BB150">
        <v>4.83</v>
      </c>
      <c r="BC150">
        <v>31</v>
      </c>
      <c r="BD150">
        <v>-0.08</v>
      </c>
      <c r="BE150">
        <v>-0.04</v>
      </c>
      <c r="BF150">
        <v>-0.14000000000000001</v>
      </c>
      <c r="BG150">
        <v>71</v>
      </c>
      <c r="BH150">
        <v>-0.02</v>
      </c>
      <c r="BI150">
        <v>-11.54</v>
      </c>
      <c r="BJ150">
        <v>0</v>
      </c>
      <c r="BK150">
        <v>0</v>
      </c>
      <c r="BL150">
        <v>0.47</v>
      </c>
      <c r="BM150">
        <v>-0.19</v>
      </c>
      <c r="BN150">
        <v>-0.5</v>
      </c>
      <c r="BO150">
        <v>0.32</v>
      </c>
      <c r="BP150">
        <v>-0.17</v>
      </c>
      <c r="BQ150">
        <v>-1.44</v>
      </c>
      <c r="BR150">
        <v>-1.57</v>
      </c>
      <c r="BS150">
        <v>2.83</v>
      </c>
      <c r="BT150">
        <v>2.85</v>
      </c>
      <c r="BU150">
        <v>4.0599999999999996</v>
      </c>
      <c r="BV150">
        <v>2.78</v>
      </c>
      <c r="BW150">
        <v>0.87</v>
      </c>
      <c r="BX150">
        <v>4.09</v>
      </c>
      <c r="BY150">
        <v>0.5</v>
      </c>
      <c r="BZ150">
        <v>-1.36</v>
      </c>
      <c r="CA150">
        <v>3.21</v>
      </c>
      <c r="CB150">
        <v>2.58</v>
      </c>
      <c r="CC150">
        <v>2.99</v>
      </c>
      <c r="CD150">
        <v>-0.23</v>
      </c>
      <c r="CE150">
        <v>0</v>
      </c>
      <c r="CF150">
        <v>-0.65</v>
      </c>
      <c r="CG150">
        <v>0</v>
      </c>
      <c r="CH150">
        <v>1.97</v>
      </c>
      <c r="CI150">
        <v>0</v>
      </c>
      <c r="CJ150">
        <v>1.1000000000000001</v>
      </c>
      <c r="CK150">
        <v>34</v>
      </c>
      <c r="CL150">
        <v>-1.03</v>
      </c>
      <c r="CM150">
        <v>34</v>
      </c>
      <c r="CN150">
        <v>-0.8</v>
      </c>
      <c r="CO150">
        <v>34</v>
      </c>
      <c r="CP150">
        <v>2.4</v>
      </c>
      <c r="CQ150">
        <v>34</v>
      </c>
      <c r="CR150">
        <v>0</v>
      </c>
      <c r="CS150">
        <v>0</v>
      </c>
      <c r="CT150">
        <v>5.0999999999999996</v>
      </c>
      <c r="CU150">
        <v>33</v>
      </c>
      <c r="CV150">
        <v>0.19</v>
      </c>
      <c r="CW150">
        <v>31</v>
      </c>
      <c r="CX150" t="s">
        <v>9495</v>
      </c>
    </row>
    <row r="151" spans="1:102" x14ac:dyDescent="0.3">
      <c r="A151" t="str">
        <f>HYPERLINK("https://webapp.icbf.com/v2/app/bull-search/view/1148868357","FR2079")</f>
        <v>FR2079</v>
      </c>
      <c r="B151" t="s">
        <v>10246</v>
      </c>
      <c r="C151" t="s">
        <v>7682</v>
      </c>
      <c r="D151" s="1">
        <v>41705</v>
      </c>
      <c r="E151" t="s">
        <v>92</v>
      </c>
      <c r="F151">
        <v>56</v>
      </c>
      <c r="G151" t="s">
        <v>93</v>
      </c>
      <c r="H151">
        <v>231.81</v>
      </c>
      <c r="I151">
        <v>91</v>
      </c>
      <c r="J151">
        <v>86.73</v>
      </c>
      <c r="K151">
        <v>99</v>
      </c>
      <c r="L151">
        <v>96.7</v>
      </c>
      <c r="M151">
        <v>81</v>
      </c>
      <c r="N151">
        <v>55.19</v>
      </c>
      <c r="O151">
        <v>93</v>
      </c>
      <c r="P151">
        <v>-22.78</v>
      </c>
      <c r="Q151">
        <v>98</v>
      </c>
      <c r="R151">
        <v>-2.04</v>
      </c>
      <c r="S151">
        <v>87</v>
      </c>
      <c r="T151">
        <v>11.38</v>
      </c>
      <c r="U151">
        <v>94</v>
      </c>
      <c r="V151">
        <v>6.63</v>
      </c>
      <c r="W151">
        <v>78</v>
      </c>
      <c r="X151" t="s">
        <v>94</v>
      </c>
      <c r="Y151" t="s">
        <v>416</v>
      </c>
      <c r="Z151" t="s">
        <v>330</v>
      </c>
      <c r="AA151" t="s">
        <v>9167</v>
      </c>
      <c r="AB151" t="s">
        <v>10247</v>
      </c>
      <c r="AC151">
        <v>1673</v>
      </c>
      <c r="AD151">
        <v>545</v>
      </c>
      <c r="AE151">
        <v>99</v>
      </c>
      <c r="AF151">
        <v>-98.46</v>
      </c>
      <c r="AG151">
        <v>16.350000000000001</v>
      </c>
      <c r="AH151">
        <v>7.46</v>
      </c>
      <c r="AI151">
        <v>0.36</v>
      </c>
      <c r="AJ151">
        <v>0.19</v>
      </c>
      <c r="AK151">
        <v>81</v>
      </c>
      <c r="AL151">
        <v>75</v>
      </c>
      <c r="AM151">
        <v>43</v>
      </c>
      <c r="AN151">
        <v>-4.6500000000000004</v>
      </c>
      <c r="AO151">
        <v>3.07</v>
      </c>
      <c r="AP151">
        <v>8502</v>
      </c>
      <c r="AQ151">
        <v>41</v>
      </c>
      <c r="AR151">
        <v>5.51</v>
      </c>
      <c r="AS151">
        <v>98</v>
      </c>
      <c r="AT151">
        <v>2.23</v>
      </c>
      <c r="AU151">
        <v>99</v>
      </c>
      <c r="AV151">
        <v>-5.04</v>
      </c>
      <c r="AW151">
        <v>99</v>
      </c>
      <c r="AX151">
        <v>-0.93</v>
      </c>
      <c r="AY151">
        <v>99</v>
      </c>
      <c r="AZ151">
        <v>6.21</v>
      </c>
      <c r="BA151">
        <v>96</v>
      </c>
      <c r="BB151">
        <v>4.88</v>
      </c>
      <c r="BC151">
        <v>52</v>
      </c>
      <c r="BD151">
        <v>0</v>
      </c>
      <c r="BE151">
        <v>0.03</v>
      </c>
      <c r="BF151">
        <v>-0.01</v>
      </c>
      <c r="BG151">
        <v>98</v>
      </c>
      <c r="BH151">
        <v>7.0000000000000007E-2</v>
      </c>
      <c r="BI151">
        <v>-13.3</v>
      </c>
      <c r="BJ151">
        <v>1</v>
      </c>
      <c r="BK151">
        <v>1</v>
      </c>
      <c r="BL151">
        <v>-2.37</v>
      </c>
      <c r="BM151">
        <v>1.57</v>
      </c>
      <c r="BN151">
        <v>-0.08</v>
      </c>
      <c r="BO151">
        <v>-1.5</v>
      </c>
      <c r="BP151">
        <v>-0.64</v>
      </c>
      <c r="BQ151">
        <v>-0.82</v>
      </c>
      <c r="BR151">
        <v>0.84</v>
      </c>
      <c r="BS151">
        <v>-2.06</v>
      </c>
      <c r="BT151">
        <v>-1.57</v>
      </c>
      <c r="BU151">
        <v>-1.59</v>
      </c>
      <c r="BV151">
        <v>-1.99</v>
      </c>
      <c r="BW151">
        <v>-2.17</v>
      </c>
      <c r="BX151">
        <v>-2.74</v>
      </c>
      <c r="BY151">
        <v>-2.23</v>
      </c>
      <c r="BZ151">
        <v>-0.13</v>
      </c>
      <c r="CA151">
        <v>-2.34</v>
      </c>
      <c r="CB151">
        <v>-1.82</v>
      </c>
      <c r="CC151">
        <v>-1.57</v>
      </c>
      <c r="CD151">
        <v>1.02</v>
      </c>
      <c r="CE151">
        <v>-0.97</v>
      </c>
      <c r="CF151">
        <v>-1.18</v>
      </c>
      <c r="CG151">
        <v>0</v>
      </c>
      <c r="CH151">
        <v>-0.46</v>
      </c>
      <c r="CI151">
        <v>0</v>
      </c>
      <c r="CJ151">
        <v>-13.2</v>
      </c>
      <c r="CK151">
        <v>99</v>
      </c>
      <c r="CL151">
        <v>-0.66</v>
      </c>
      <c r="CM151">
        <v>99</v>
      </c>
      <c r="CN151">
        <v>-0.36</v>
      </c>
      <c r="CO151">
        <v>99</v>
      </c>
      <c r="CP151">
        <v>-13.1</v>
      </c>
      <c r="CQ151">
        <v>84</v>
      </c>
      <c r="CR151">
        <v>0</v>
      </c>
      <c r="CS151">
        <v>0</v>
      </c>
      <c r="CT151">
        <v>-1.6</v>
      </c>
      <c r="CU151">
        <v>94</v>
      </c>
      <c r="CV151">
        <v>0</v>
      </c>
      <c r="CW151">
        <v>46</v>
      </c>
      <c r="CX151" t="s">
        <v>792</v>
      </c>
    </row>
    <row r="152" spans="1:102" x14ac:dyDescent="0.3">
      <c r="A152" t="str">
        <f>HYPERLINK("https://webapp.icbf.com/v2/app/bull-search/view/1040929232","YBG")</f>
        <v>YBG</v>
      </c>
      <c r="B152" t="s">
        <v>8309</v>
      </c>
      <c r="C152" t="s">
        <v>6186</v>
      </c>
      <c r="D152" s="1">
        <v>41308</v>
      </c>
      <c r="E152" t="s">
        <v>108</v>
      </c>
      <c r="F152">
        <v>47</v>
      </c>
      <c r="G152" t="s">
        <v>93</v>
      </c>
      <c r="H152">
        <v>231.54</v>
      </c>
      <c r="I152">
        <v>93</v>
      </c>
      <c r="J152">
        <v>86.08</v>
      </c>
      <c r="K152">
        <v>99</v>
      </c>
      <c r="L152">
        <v>77.37</v>
      </c>
      <c r="M152">
        <v>86</v>
      </c>
      <c r="N152">
        <v>50.91</v>
      </c>
      <c r="O152">
        <v>95</v>
      </c>
      <c r="P152">
        <v>4.84</v>
      </c>
      <c r="Q152">
        <v>98</v>
      </c>
      <c r="R152">
        <v>4.0599999999999996</v>
      </c>
      <c r="S152">
        <v>88</v>
      </c>
      <c r="T152">
        <v>-2.31</v>
      </c>
      <c r="U152">
        <v>93</v>
      </c>
      <c r="V152">
        <v>10.59</v>
      </c>
      <c r="W152">
        <v>80</v>
      </c>
      <c r="X152" t="s">
        <v>276</v>
      </c>
      <c r="Y152" t="s">
        <v>389</v>
      </c>
      <c r="Z152" t="s">
        <v>96</v>
      </c>
      <c r="AA152" t="s">
        <v>1942</v>
      </c>
      <c r="AB152" t="s">
        <v>8310</v>
      </c>
      <c r="AC152">
        <v>1515</v>
      </c>
      <c r="AD152">
        <v>428</v>
      </c>
      <c r="AE152">
        <v>99</v>
      </c>
      <c r="AF152">
        <v>-57.11</v>
      </c>
      <c r="AG152">
        <v>16.78</v>
      </c>
      <c r="AH152">
        <v>7.83</v>
      </c>
      <c r="AI152">
        <v>0.33</v>
      </c>
      <c r="AJ152">
        <v>0.17</v>
      </c>
      <c r="AK152">
        <v>86</v>
      </c>
      <c r="AL152">
        <v>699</v>
      </c>
      <c r="AM152">
        <v>283</v>
      </c>
      <c r="AN152">
        <v>-4.25</v>
      </c>
      <c r="AO152">
        <v>1.92</v>
      </c>
      <c r="AP152">
        <v>3880</v>
      </c>
      <c r="AQ152">
        <v>13</v>
      </c>
      <c r="AR152">
        <v>7.59</v>
      </c>
      <c r="AS152">
        <v>96</v>
      </c>
      <c r="AT152">
        <v>2.98</v>
      </c>
      <c r="AU152">
        <v>99</v>
      </c>
      <c r="AV152">
        <v>-6.07</v>
      </c>
      <c r="AW152">
        <v>99</v>
      </c>
      <c r="AX152">
        <v>-0.79</v>
      </c>
      <c r="AY152">
        <v>98</v>
      </c>
      <c r="AZ152">
        <v>5.99</v>
      </c>
      <c r="BA152">
        <v>94</v>
      </c>
      <c r="BB152">
        <v>5.25</v>
      </c>
      <c r="BC152">
        <v>75</v>
      </c>
      <c r="BD152">
        <v>-0.05</v>
      </c>
      <c r="BE152">
        <v>0</v>
      </c>
      <c r="BF152">
        <v>-0.01</v>
      </c>
      <c r="BG152">
        <v>98</v>
      </c>
      <c r="BH152">
        <v>0.14000000000000001</v>
      </c>
      <c r="BI152">
        <v>-17.98</v>
      </c>
      <c r="BJ152">
        <v>12</v>
      </c>
      <c r="BK152">
        <v>7</v>
      </c>
      <c r="BL152">
        <v>-0.79</v>
      </c>
      <c r="BM152">
        <v>1.23</v>
      </c>
      <c r="BN152">
        <v>-1.32</v>
      </c>
      <c r="BO152">
        <v>-1.64</v>
      </c>
      <c r="BP152">
        <v>2.37</v>
      </c>
      <c r="BQ152">
        <v>-0.68</v>
      </c>
      <c r="BR152">
        <v>-2.37</v>
      </c>
      <c r="BS152">
        <v>0.2</v>
      </c>
      <c r="BT152">
        <v>1.37</v>
      </c>
      <c r="BU152">
        <v>1.05</v>
      </c>
      <c r="BV152">
        <v>-0.12</v>
      </c>
      <c r="BW152">
        <v>0.64</v>
      </c>
      <c r="BX152">
        <v>2.16</v>
      </c>
      <c r="BY152">
        <v>-1.0900000000000001</v>
      </c>
      <c r="BZ152">
        <v>-2.3199999999999998</v>
      </c>
      <c r="CA152">
        <v>0.3</v>
      </c>
      <c r="CB152">
        <v>0.25</v>
      </c>
      <c r="CC152">
        <v>0.09</v>
      </c>
      <c r="CD152">
        <v>1.54</v>
      </c>
      <c r="CE152">
        <v>-1.28</v>
      </c>
      <c r="CF152">
        <v>-0.43</v>
      </c>
      <c r="CG152">
        <v>0</v>
      </c>
      <c r="CH152">
        <v>-0.57999999999999996</v>
      </c>
      <c r="CI152">
        <v>0</v>
      </c>
      <c r="CJ152">
        <v>1.1000000000000001</v>
      </c>
      <c r="CK152">
        <v>99</v>
      </c>
      <c r="CL152">
        <v>-0.4</v>
      </c>
      <c r="CM152">
        <v>99</v>
      </c>
      <c r="CN152">
        <v>-0.54</v>
      </c>
      <c r="CO152">
        <v>99</v>
      </c>
      <c r="CP152">
        <v>7.5</v>
      </c>
      <c r="CQ152">
        <v>91</v>
      </c>
      <c r="CR152">
        <v>0</v>
      </c>
      <c r="CS152">
        <v>0</v>
      </c>
      <c r="CT152">
        <v>16.899999999999999</v>
      </c>
      <c r="CU152">
        <v>93</v>
      </c>
      <c r="CV152">
        <v>0.14000000000000001</v>
      </c>
      <c r="CW152">
        <v>48</v>
      </c>
      <c r="CX152" t="s">
        <v>8311</v>
      </c>
    </row>
    <row r="153" spans="1:102" x14ac:dyDescent="0.3">
      <c r="A153" t="str">
        <f>HYPERLINK("https://webapp.icbf.com/v2/app/bull-search/view/1619517244","FR4749")</f>
        <v>FR4749</v>
      </c>
      <c r="B153" t="s">
        <v>14235</v>
      </c>
      <c r="C153" t="s">
        <v>14236</v>
      </c>
      <c r="D153" s="1">
        <v>42831</v>
      </c>
      <c r="E153" t="s">
        <v>92</v>
      </c>
      <c r="F153">
        <v>100</v>
      </c>
      <c r="G153" t="s">
        <v>435</v>
      </c>
      <c r="H153">
        <v>231.54</v>
      </c>
      <c r="I153">
        <v>67</v>
      </c>
      <c r="J153">
        <v>125.86</v>
      </c>
      <c r="K153">
        <v>87</v>
      </c>
      <c r="L153">
        <v>32.659999999999997</v>
      </c>
      <c r="M153">
        <v>65</v>
      </c>
      <c r="N153">
        <v>61.79</v>
      </c>
      <c r="O153">
        <v>66</v>
      </c>
      <c r="P153">
        <v>5.92</v>
      </c>
      <c r="Q153">
        <v>36</v>
      </c>
      <c r="R153">
        <v>8.42</v>
      </c>
      <c r="S153">
        <v>61</v>
      </c>
      <c r="T153">
        <v>-10.3</v>
      </c>
      <c r="U153">
        <v>33</v>
      </c>
      <c r="V153">
        <v>7.19</v>
      </c>
      <c r="W153">
        <v>52</v>
      </c>
      <c r="X153" t="s">
        <v>94</v>
      </c>
      <c r="Y153" t="s">
        <v>442</v>
      </c>
      <c r="Z153" t="s">
        <v>96</v>
      </c>
      <c r="AA153" t="s">
        <v>14237</v>
      </c>
      <c r="AB153" t="s">
        <v>14238</v>
      </c>
      <c r="AC153">
        <v>0</v>
      </c>
      <c r="AD153">
        <v>0</v>
      </c>
      <c r="AE153">
        <v>87</v>
      </c>
      <c r="AF153">
        <v>705.6</v>
      </c>
      <c r="AG153">
        <v>26.36</v>
      </c>
      <c r="AH153">
        <v>22.88</v>
      </c>
      <c r="AI153">
        <v>-0.02</v>
      </c>
      <c r="AJ153">
        <v>-0.01</v>
      </c>
      <c r="AK153">
        <v>65</v>
      </c>
      <c r="AL153">
        <v>0</v>
      </c>
      <c r="AM153">
        <v>0</v>
      </c>
      <c r="AN153">
        <v>-0.59</v>
      </c>
      <c r="AO153">
        <v>2.0299999999999998</v>
      </c>
      <c r="AP153">
        <v>51</v>
      </c>
      <c r="AQ153">
        <v>0</v>
      </c>
      <c r="AR153">
        <v>1.96</v>
      </c>
      <c r="AS153">
        <v>56</v>
      </c>
      <c r="AT153">
        <v>1.35</v>
      </c>
      <c r="AU153">
        <v>76</v>
      </c>
      <c r="AV153">
        <v>-4.8899999999999997</v>
      </c>
      <c r="AW153">
        <v>80</v>
      </c>
      <c r="AX153">
        <v>0.36</v>
      </c>
      <c r="AY153">
        <v>51</v>
      </c>
      <c r="AZ153">
        <v>6.06</v>
      </c>
      <c r="BA153">
        <v>34</v>
      </c>
      <c r="BB153">
        <v>4.8499999999999996</v>
      </c>
      <c r="BC153">
        <v>32</v>
      </c>
      <c r="BD153">
        <v>-0.01</v>
      </c>
      <c r="BE153">
        <v>-0.03</v>
      </c>
      <c r="BF153">
        <v>-0.12</v>
      </c>
      <c r="BG153">
        <v>74</v>
      </c>
      <c r="BH153">
        <v>0.18</v>
      </c>
      <c r="BI153">
        <v>-2.36</v>
      </c>
      <c r="BJ153">
        <v>0</v>
      </c>
      <c r="BK153">
        <v>0</v>
      </c>
      <c r="BL153">
        <v>1.81</v>
      </c>
      <c r="BM153">
        <v>0.25</v>
      </c>
      <c r="BN153">
        <v>0.38</v>
      </c>
      <c r="BO153">
        <v>0.54</v>
      </c>
      <c r="BP153">
        <v>0.57999999999999996</v>
      </c>
      <c r="BQ153">
        <v>3.98</v>
      </c>
      <c r="BR153">
        <v>0.53</v>
      </c>
      <c r="BS153">
        <v>1.58</v>
      </c>
      <c r="BT153">
        <v>0.48</v>
      </c>
      <c r="BU153">
        <v>2.84</v>
      </c>
      <c r="BV153">
        <v>2.87</v>
      </c>
      <c r="BW153">
        <v>2.08</v>
      </c>
      <c r="BX153">
        <v>2.6</v>
      </c>
      <c r="BY153">
        <v>1.8</v>
      </c>
      <c r="BZ153">
        <v>1.74</v>
      </c>
      <c r="CA153">
        <v>2.33</v>
      </c>
      <c r="CB153">
        <v>2.29</v>
      </c>
      <c r="CC153">
        <v>1.32</v>
      </c>
      <c r="CD153">
        <v>0.03</v>
      </c>
      <c r="CE153">
        <v>0.89</v>
      </c>
      <c r="CF153">
        <v>1.56</v>
      </c>
      <c r="CG153">
        <v>0</v>
      </c>
      <c r="CH153">
        <v>2.0499999999999998</v>
      </c>
      <c r="CI153">
        <v>0</v>
      </c>
      <c r="CJ153">
        <v>7</v>
      </c>
      <c r="CK153">
        <v>36</v>
      </c>
      <c r="CL153">
        <v>-1.46</v>
      </c>
      <c r="CM153">
        <v>36</v>
      </c>
      <c r="CN153">
        <v>-0.86</v>
      </c>
      <c r="CO153">
        <v>35</v>
      </c>
      <c r="CP153">
        <v>8.4</v>
      </c>
      <c r="CQ153">
        <v>33</v>
      </c>
      <c r="CR153">
        <v>0</v>
      </c>
      <c r="CS153">
        <v>0</v>
      </c>
      <c r="CT153">
        <v>27.7</v>
      </c>
      <c r="CU153">
        <v>33</v>
      </c>
      <c r="CV153">
        <v>0.3</v>
      </c>
      <c r="CW153">
        <v>32</v>
      </c>
      <c r="CX153" t="s">
        <v>3135</v>
      </c>
    </row>
    <row r="154" spans="1:102" x14ac:dyDescent="0.3">
      <c r="A154" t="str">
        <f>HYPERLINK("https://webapp.icbf.com/v2/app/bull-search/view/856969887","QGH")</f>
        <v>QGH</v>
      </c>
      <c r="B154" t="s">
        <v>14520</v>
      </c>
      <c r="C154" t="s">
        <v>14521</v>
      </c>
      <c r="D154" s="1">
        <v>40557</v>
      </c>
      <c r="E154" t="s">
        <v>92</v>
      </c>
      <c r="F154">
        <v>94</v>
      </c>
      <c r="G154" t="s">
        <v>93</v>
      </c>
      <c r="H154">
        <v>231.45</v>
      </c>
      <c r="I154">
        <v>93</v>
      </c>
      <c r="J154">
        <v>52.51</v>
      </c>
      <c r="K154">
        <v>99</v>
      </c>
      <c r="L154">
        <v>119.7</v>
      </c>
      <c r="M154">
        <v>87</v>
      </c>
      <c r="N154">
        <v>52.25</v>
      </c>
      <c r="O154">
        <v>94</v>
      </c>
      <c r="P154">
        <v>-13.75</v>
      </c>
      <c r="Q154">
        <v>96</v>
      </c>
      <c r="R154">
        <v>8.77</v>
      </c>
      <c r="S154">
        <v>86</v>
      </c>
      <c r="T154">
        <v>2.58</v>
      </c>
      <c r="U154">
        <v>93</v>
      </c>
      <c r="V154">
        <v>9.39</v>
      </c>
      <c r="W154">
        <v>81</v>
      </c>
      <c r="X154" t="s">
        <v>94</v>
      </c>
      <c r="Y154" t="s">
        <v>1860</v>
      </c>
      <c r="Z154" t="s">
        <v>96</v>
      </c>
      <c r="AA154" t="s">
        <v>5435</v>
      </c>
      <c r="AB154" t="s">
        <v>14522</v>
      </c>
      <c r="AC154">
        <v>369</v>
      </c>
      <c r="AD154">
        <v>242</v>
      </c>
      <c r="AE154">
        <v>99</v>
      </c>
      <c r="AF154">
        <v>123.28</v>
      </c>
      <c r="AG154">
        <v>7.09</v>
      </c>
      <c r="AH154">
        <v>8.31</v>
      </c>
      <c r="AI154">
        <v>0.04</v>
      </c>
      <c r="AJ154">
        <v>7.0000000000000007E-2</v>
      </c>
      <c r="AK154">
        <v>87</v>
      </c>
      <c r="AL154">
        <v>411</v>
      </c>
      <c r="AM154">
        <v>266</v>
      </c>
      <c r="AN154">
        <v>-5.43</v>
      </c>
      <c r="AO154">
        <v>4.13</v>
      </c>
      <c r="AP154">
        <v>615</v>
      </c>
      <c r="AQ154">
        <v>6</v>
      </c>
      <c r="AR154">
        <v>3.73</v>
      </c>
      <c r="AS154">
        <v>91</v>
      </c>
      <c r="AT154">
        <v>1.51</v>
      </c>
      <c r="AU154">
        <v>94</v>
      </c>
      <c r="AV154">
        <v>-4.09</v>
      </c>
      <c r="AW154">
        <v>99</v>
      </c>
      <c r="AX154">
        <v>-0.41</v>
      </c>
      <c r="AY154">
        <v>93</v>
      </c>
      <c r="AZ154">
        <v>6.98</v>
      </c>
      <c r="BA154">
        <v>83</v>
      </c>
      <c r="BB154">
        <v>4.97</v>
      </c>
      <c r="BC154">
        <v>82</v>
      </c>
      <c r="BD154">
        <v>-0.04</v>
      </c>
      <c r="BE154">
        <v>-0.05</v>
      </c>
      <c r="BF154">
        <v>-0.04</v>
      </c>
      <c r="BG154">
        <v>95</v>
      </c>
      <c r="BH154">
        <v>0.1</v>
      </c>
      <c r="BI154">
        <v>-18.71</v>
      </c>
      <c r="BJ154">
        <v>33</v>
      </c>
      <c r="BK154">
        <v>27</v>
      </c>
      <c r="BL154">
        <v>-1.62</v>
      </c>
      <c r="BM154">
        <v>0.5</v>
      </c>
      <c r="BN154">
        <v>-2.69</v>
      </c>
      <c r="BO154">
        <v>-2.35</v>
      </c>
      <c r="BP154">
        <v>1.1200000000000001</v>
      </c>
      <c r="BQ154">
        <v>-0.83</v>
      </c>
      <c r="BR154">
        <v>-1.73</v>
      </c>
      <c r="BS154">
        <v>0.11</v>
      </c>
      <c r="BT154">
        <v>0.71</v>
      </c>
      <c r="BU154">
        <v>1.04</v>
      </c>
      <c r="BV154">
        <v>-0.22</v>
      </c>
      <c r="BW154">
        <v>0.23</v>
      </c>
      <c r="BX154">
        <v>1.58</v>
      </c>
      <c r="BY154">
        <v>1.42</v>
      </c>
      <c r="BZ154">
        <v>-1.74</v>
      </c>
      <c r="CA154">
        <v>0.45</v>
      </c>
      <c r="CB154">
        <v>0.19</v>
      </c>
      <c r="CC154">
        <v>0.28999999999999998</v>
      </c>
      <c r="CD154">
        <v>2.31</v>
      </c>
      <c r="CE154">
        <v>-1.68</v>
      </c>
      <c r="CF154">
        <v>-1.05</v>
      </c>
      <c r="CG154">
        <v>0</v>
      </c>
      <c r="CH154">
        <v>1.06</v>
      </c>
      <c r="CI154">
        <v>0</v>
      </c>
      <c r="CJ154">
        <v>-6.8</v>
      </c>
      <c r="CK154">
        <v>97</v>
      </c>
      <c r="CL154">
        <v>-0.62</v>
      </c>
      <c r="CM154">
        <v>97</v>
      </c>
      <c r="CN154">
        <v>-0.24</v>
      </c>
      <c r="CO154">
        <v>96</v>
      </c>
      <c r="CP154">
        <v>-5.2</v>
      </c>
      <c r="CQ154">
        <v>92</v>
      </c>
      <c r="CR154">
        <v>0</v>
      </c>
      <c r="CS154">
        <v>0</v>
      </c>
      <c r="CT154">
        <v>10.3</v>
      </c>
      <c r="CU154">
        <v>93</v>
      </c>
      <c r="CV154">
        <v>0.01</v>
      </c>
      <c r="CW154">
        <v>47</v>
      </c>
      <c r="CX154" t="s">
        <v>4532</v>
      </c>
    </row>
    <row r="155" spans="1:102" x14ac:dyDescent="0.3">
      <c r="A155" t="str">
        <f>HYPERLINK("https://webapp.icbf.com/v2/app/bull-search/view/1259160396","FR4023")</f>
        <v>FR4023</v>
      </c>
      <c r="B155" t="s">
        <v>13942</v>
      </c>
      <c r="C155" t="s">
        <v>13943</v>
      </c>
      <c r="D155" s="1">
        <v>42083</v>
      </c>
      <c r="E155" t="s">
        <v>92</v>
      </c>
      <c r="F155">
        <v>81</v>
      </c>
      <c r="G155" t="s">
        <v>93</v>
      </c>
      <c r="H155">
        <v>230.2</v>
      </c>
      <c r="I155">
        <v>79</v>
      </c>
      <c r="J155">
        <v>64.81</v>
      </c>
      <c r="K155">
        <v>91</v>
      </c>
      <c r="L155">
        <v>152.29</v>
      </c>
      <c r="M155">
        <v>70</v>
      </c>
      <c r="N155">
        <v>18.420000000000002</v>
      </c>
      <c r="O155">
        <v>85</v>
      </c>
      <c r="P155">
        <v>-19.39</v>
      </c>
      <c r="Q155">
        <v>89</v>
      </c>
      <c r="R155">
        <v>0.09</v>
      </c>
      <c r="S155">
        <v>69</v>
      </c>
      <c r="T155">
        <v>15.68</v>
      </c>
      <c r="U155">
        <v>62</v>
      </c>
      <c r="V155">
        <v>-1.7</v>
      </c>
      <c r="W155">
        <v>61</v>
      </c>
      <c r="X155" t="s">
        <v>94</v>
      </c>
      <c r="Y155" t="s">
        <v>436</v>
      </c>
      <c r="Z155" t="s">
        <v>96</v>
      </c>
      <c r="AA155" t="s">
        <v>2235</v>
      </c>
      <c r="AB155" t="s">
        <v>13944</v>
      </c>
      <c r="AC155">
        <v>48</v>
      </c>
      <c r="AD155">
        <v>37</v>
      </c>
      <c r="AE155">
        <v>91</v>
      </c>
      <c r="AF155">
        <v>-31.39</v>
      </c>
      <c r="AG155">
        <v>11.85</v>
      </c>
      <c r="AH155">
        <v>6.35</v>
      </c>
      <c r="AI155">
        <v>0.23</v>
      </c>
      <c r="AJ155">
        <v>0.13</v>
      </c>
      <c r="AK155">
        <v>70</v>
      </c>
      <c r="AL155">
        <v>0</v>
      </c>
      <c r="AM155">
        <v>0</v>
      </c>
      <c r="AN155">
        <v>-8.66</v>
      </c>
      <c r="AO155">
        <v>3.48</v>
      </c>
      <c r="AP155">
        <v>572</v>
      </c>
      <c r="AQ155">
        <v>5</v>
      </c>
      <c r="AR155">
        <v>8.52</v>
      </c>
      <c r="AS155">
        <v>67</v>
      </c>
      <c r="AT155">
        <v>2.94</v>
      </c>
      <c r="AU155">
        <v>93</v>
      </c>
      <c r="AV155">
        <v>-2.7</v>
      </c>
      <c r="AW155">
        <v>98</v>
      </c>
      <c r="AX155">
        <v>-0.83</v>
      </c>
      <c r="AY155">
        <v>89</v>
      </c>
      <c r="AZ155">
        <v>7.56</v>
      </c>
      <c r="BA155">
        <v>55</v>
      </c>
      <c r="BB155">
        <v>5.51</v>
      </c>
      <c r="BC155">
        <v>44</v>
      </c>
      <c r="BD155">
        <v>0</v>
      </c>
      <c r="BE155">
        <v>0.02</v>
      </c>
      <c r="BF155">
        <v>-0.04</v>
      </c>
      <c r="BG155">
        <v>78</v>
      </c>
      <c r="BH155">
        <v>-0.13</v>
      </c>
      <c r="BI155">
        <v>-9.56</v>
      </c>
      <c r="BJ155">
        <v>0</v>
      </c>
      <c r="BK155">
        <v>0</v>
      </c>
      <c r="BL155">
        <v>-0.75</v>
      </c>
      <c r="BM155">
        <v>1.35</v>
      </c>
      <c r="BN155">
        <v>-0.84</v>
      </c>
      <c r="BO155">
        <v>-1.36</v>
      </c>
      <c r="BP155">
        <v>2.5499999999999998</v>
      </c>
      <c r="BQ155">
        <v>-0.06</v>
      </c>
      <c r="BR155">
        <v>0.3</v>
      </c>
      <c r="BS155">
        <v>-1.68</v>
      </c>
      <c r="BT155">
        <v>-1.28</v>
      </c>
      <c r="BU155">
        <v>-2.44</v>
      </c>
      <c r="BV155">
        <v>-2.9</v>
      </c>
      <c r="BW155">
        <v>-2.21</v>
      </c>
      <c r="BX155">
        <v>-1.57</v>
      </c>
      <c r="BY155">
        <v>-2.2000000000000002</v>
      </c>
      <c r="BZ155">
        <v>-0.32</v>
      </c>
      <c r="CA155">
        <v>-2.27</v>
      </c>
      <c r="CB155">
        <v>-2.56</v>
      </c>
      <c r="CC155">
        <v>-1.01</v>
      </c>
      <c r="CD155">
        <v>1.75</v>
      </c>
      <c r="CE155">
        <v>-1.22</v>
      </c>
      <c r="CF155">
        <v>-0.81</v>
      </c>
      <c r="CG155">
        <v>0</v>
      </c>
      <c r="CH155">
        <v>-2.68</v>
      </c>
      <c r="CI155">
        <v>0</v>
      </c>
      <c r="CJ155">
        <v>-9.1999999999999993</v>
      </c>
      <c r="CK155">
        <v>92</v>
      </c>
      <c r="CL155">
        <v>-0.68</v>
      </c>
      <c r="CM155">
        <v>90</v>
      </c>
      <c r="CN155">
        <v>-0.16</v>
      </c>
      <c r="CO155">
        <v>89</v>
      </c>
      <c r="CP155">
        <v>-10.3</v>
      </c>
      <c r="CQ155">
        <v>64</v>
      </c>
      <c r="CR155">
        <v>0</v>
      </c>
      <c r="CS155">
        <v>0</v>
      </c>
      <c r="CT155">
        <v>-7.4</v>
      </c>
      <c r="CU155">
        <v>62</v>
      </c>
      <c r="CV155">
        <v>0.06</v>
      </c>
      <c r="CW155">
        <v>46</v>
      </c>
      <c r="CX155" t="s">
        <v>316</v>
      </c>
    </row>
    <row r="156" spans="1:102" x14ac:dyDescent="0.3">
      <c r="A156" t="str">
        <f>HYPERLINK("https://webapp.icbf.com/v2/app/bull-search/view/1136120495","FR2050")</f>
        <v>FR2050</v>
      </c>
      <c r="B156" t="s">
        <v>15492</v>
      </c>
      <c r="C156" t="s">
        <v>15493</v>
      </c>
      <c r="D156" s="1">
        <v>41664</v>
      </c>
      <c r="E156" t="s">
        <v>92</v>
      </c>
      <c r="F156">
        <v>75</v>
      </c>
      <c r="G156" t="s">
        <v>93</v>
      </c>
      <c r="H156">
        <v>230.16</v>
      </c>
      <c r="I156">
        <v>89</v>
      </c>
      <c r="J156">
        <v>128.19999999999999</v>
      </c>
      <c r="K156">
        <v>98</v>
      </c>
      <c r="L156">
        <v>65.680000000000007</v>
      </c>
      <c r="M156">
        <v>80</v>
      </c>
      <c r="N156">
        <v>38.880000000000003</v>
      </c>
      <c r="O156">
        <v>92</v>
      </c>
      <c r="P156">
        <v>-4.21</v>
      </c>
      <c r="Q156">
        <v>96</v>
      </c>
      <c r="R156">
        <v>-3.02</v>
      </c>
      <c r="S156">
        <v>82</v>
      </c>
      <c r="T156">
        <v>3.24</v>
      </c>
      <c r="U156">
        <v>88</v>
      </c>
      <c r="V156">
        <v>1.39</v>
      </c>
      <c r="W156">
        <v>77</v>
      </c>
      <c r="X156" t="s">
        <v>276</v>
      </c>
      <c r="Y156" t="s">
        <v>416</v>
      </c>
      <c r="Z156" t="s">
        <v>96</v>
      </c>
      <c r="AA156" t="s">
        <v>390</v>
      </c>
      <c r="AB156" t="s">
        <v>15494</v>
      </c>
      <c r="AC156">
        <v>486</v>
      </c>
      <c r="AD156">
        <v>163</v>
      </c>
      <c r="AE156">
        <v>98</v>
      </c>
      <c r="AF156">
        <v>131.66</v>
      </c>
      <c r="AG156">
        <v>20.149999999999999</v>
      </c>
      <c r="AH156">
        <v>16.690000000000001</v>
      </c>
      <c r="AI156">
        <v>0.26</v>
      </c>
      <c r="AJ156">
        <v>0.21</v>
      </c>
      <c r="AK156">
        <v>80</v>
      </c>
      <c r="AL156">
        <v>43</v>
      </c>
      <c r="AM156">
        <v>19</v>
      </c>
      <c r="AN156">
        <v>-4.2</v>
      </c>
      <c r="AO156">
        <v>1.03</v>
      </c>
      <c r="AP156">
        <v>2400</v>
      </c>
      <c r="AQ156">
        <v>7</v>
      </c>
      <c r="AR156">
        <v>5.64</v>
      </c>
      <c r="AS156">
        <v>94</v>
      </c>
      <c r="AT156">
        <v>2.2000000000000002</v>
      </c>
      <c r="AU156">
        <v>98</v>
      </c>
      <c r="AV156">
        <v>-3.17</v>
      </c>
      <c r="AW156">
        <v>99</v>
      </c>
      <c r="AX156">
        <v>-0.28999999999999998</v>
      </c>
      <c r="AY156">
        <v>97</v>
      </c>
      <c r="AZ156">
        <v>5.69</v>
      </c>
      <c r="BA156">
        <v>85</v>
      </c>
      <c r="BB156">
        <v>4.99</v>
      </c>
      <c r="BC156">
        <v>52</v>
      </c>
      <c r="BD156">
        <v>-0.01</v>
      </c>
      <c r="BE156">
        <v>0.04</v>
      </c>
      <c r="BF156">
        <v>0.01</v>
      </c>
      <c r="BG156">
        <v>94</v>
      </c>
      <c r="BH156">
        <v>0.1</v>
      </c>
      <c r="BI156">
        <v>7.09</v>
      </c>
      <c r="BJ156">
        <v>0</v>
      </c>
      <c r="BK156">
        <v>0</v>
      </c>
      <c r="BL156">
        <v>-1.48</v>
      </c>
      <c r="BM156">
        <v>1.54</v>
      </c>
      <c r="BN156">
        <v>-0.33</v>
      </c>
      <c r="BO156">
        <v>-1.01</v>
      </c>
      <c r="BP156">
        <v>-0.24</v>
      </c>
      <c r="BQ156">
        <v>0</v>
      </c>
      <c r="BR156">
        <v>-1.1100000000000001</v>
      </c>
      <c r="BS156">
        <v>-0.35</v>
      </c>
      <c r="BT156">
        <v>0.2</v>
      </c>
      <c r="BU156">
        <v>-1.86</v>
      </c>
      <c r="BV156">
        <v>-2.04</v>
      </c>
      <c r="BW156">
        <v>-1.66</v>
      </c>
      <c r="BX156">
        <v>-1.64</v>
      </c>
      <c r="BY156">
        <v>-1.21</v>
      </c>
      <c r="BZ156">
        <v>0.55000000000000004</v>
      </c>
      <c r="CA156">
        <v>-1.55</v>
      </c>
      <c r="CB156">
        <v>-1.47</v>
      </c>
      <c r="CC156">
        <v>-0.62</v>
      </c>
      <c r="CD156">
        <v>0.67</v>
      </c>
      <c r="CE156">
        <v>-0.72</v>
      </c>
      <c r="CF156">
        <v>-0.76</v>
      </c>
      <c r="CG156">
        <v>0</v>
      </c>
      <c r="CH156">
        <v>-1.33</v>
      </c>
      <c r="CI156">
        <v>0</v>
      </c>
      <c r="CJ156">
        <v>-3</v>
      </c>
      <c r="CK156">
        <v>98</v>
      </c>
      <c r="CL156">
        <v>-0.41</v>
      </c>
      <c r="CM156">
        <v>97</v>
      </c>
      <c r="CN156">
        <v>-0.34</v>
      </c>
      <c r="CO156">
        <v>97</v>
      </c>
      <c r="CP156">
        <v>1.2</v>
      </c>
      <c r="CQ156">
        <v>79</v>
      </c>
      <c r="CR156">
        <v>0</v>
      </c>
      <c r="CS156">
        <v>0</v>
      </c>
      <c r="CT156">
        <v>9.4</v>
      </c>
      <c r="CU156">
        <v>88</v>
      </c>
      <c r="CV156">
        <v>0.05</v>
      </c>
      <c r="CW156">
        <v>47</v>
      </c>
      <c r="CX156" t="s">
        <v>4532</v>
      </c>
    </row>
    <row r="157" spans="1:102" x14ac:dyDescent="0.3">
      <c r="A157" t="str">
        <f>HYPERLINK("https://webapp.icbf.com/v2/app/bull-search/view/933356827","GGP")</f>
        <v>GGP</v>
      </c>
      <c r="B157" t="s">
        <v>9290</v>
      </c>
      <c r="C157" t="s">
        <v>9291</v>
      </c>
      <c r="D157" s="1">
        <v>40768</v>
      </c>
      <c r="E157" t="s">
        <v>92</v>
      </c>
      <c r="F157">
        <v>56</v>
      </c>
      <c r="G157" t="s">
        <v>93</v>
      </c>
      <c r="H157">
        <v>229.63</v>
      </c>
      <c r="I157">
        <v>92</v>
      </c>
      <c r="J157">
        <v>94.4</v>
      </c>
      <c r="K157">
        <v>99</v>
      </c>
      <c r="L157">
        <v>73.48</v>
      </c>
      <c r="M157">
        <v>87</v>
      </c>
      <c r="N157">
        <v>54.15</v>
      </c>
      <c r="O157">
        <v>95</v>
      </c>
      <c r="P157">
        <v>-26.91</v>
      </c>
      <c r="Q157">
        <v>98</v>
      </c>
      <c r="R157">
        <v>-0.72</v>
      </c>
      <c r="S157">
        <v>84</v>
      </c>
      <c r="T157">
        <v>23.22</v>
      </c>
      <c r="U157">
        <v>92</v>
      </c>
      <c r="V157">
        <v>12.01</v>
      </c>
      <c r="W157">
        <v>76</v>
      </c>
      <c r="X157" t="s">
        <v>276</v>
      </c>
      <c r="Y157" t="s">
        <v>1775</v>
      </c>
      <c r="Z157" t="s">
        <v>330</v>
      </c>
      <c r="AA157" t="s">
        <v>6353</v>
      </c>
      <c r="AB157" t="s">
        <v>144</v>
      </c>
      <c r="AC157">
        <v>716</v>
      </c>
      <c r="AD157">
        <v>186</v>
      </c>
      <c r="AE157">
        <v>99</v>
      </c>
      <c r="AF157">
        <v>266.2</v>
      </c>
      <c r="AG157">
        <v>11.02</v>
      </c>
      <c r="AH157">
        <v>16.23</v>
      </c>
      <c r="AI157">
        <v>0.01</v>
      </c>
      <c r="AJ157">
        <v>0.12</v>
      </c>
      <c r="AK157">
        <v>87</v>
      </c>
      <c r="AL157">
        <v>763</v>
      </c>
      <c r="AM157">
        <v>223</v>
      </c>
      <c r="AN157">
        <v>-3.21</v>
      </c>
      <c r="AO157">
        <v>2.66</v>
      </c>
      <c r="AP157">
        <v>1776</v>
      </c>
      <c r="AQ157">
        <v>6</v>
      </c>
      <c r="AR157">
        <v>4.2300000000000004</v>
      </c>
      <c r="AS157">
        <v>96</v>
      </c>
      <c r="AT157">
        <v>1.88</v>
      </c>
      <c r="AU157">
        <v>97</v>
      </c>
      <c r="AV157">
        <v>-4.58</v>
      </c>
      <c r="AW157">
        <v>99</v>
      </c>
      <c r="AX157">
        <v>-1.01</v>
      </c>
      <c r="AY157">
        <v>97</v>
      </c>
      <c r="AZ157">
        <v>6.87</v>
      </c>
      <c r="BA157">
        <v>90</v>
      </c>
      <c r="BB157">
        <v>5.13</v>
      </c>
      <c r="BC157">
        <v>80</v>
      </c>
      <c r="BD157">
        <v>0.01</v>
      </c>
      <c r="BE157">
        <v>0</v>
      </c>
      <c r="BF157">
        <v>0</v>
      </c>
      <c r="BG157">
        <v>97</v>
      </c>
      <c r="BH157">
        <v>7.0000000000000007E-2</v>
      </c>
      <c r="BI157">
        <v>-30.63</v>
      </c>
      <c r="BJ157">
        <v>2</v>
      </c>
      <c r="BK157">
        <v>2</v>
      </c>
      <c r="BL157">
        <v>-2.2799999999999998</v>
      </c>
      <c r="BM157">
        <v>0.31</v>
      </c>
      <c r="BN157">
        <v>-0.98</v>
      </c>
      <c r="BO157">
        <v>-0.86</v>
      </c>
      <c r="BP157">
        <v>1.24</v>
      </c>
      <c r="BQ157">
        <v>-3.01</v>
      </c>
      <c r="BR157">
        <v>3.86</v>
      </c>
      <c r="BS157">
        <v>-3.06</v>
      </c>
      <c r="BT157">
        <v>-4.54</v>
      </c>
      <c r="BU157">
        <v>-1.49</v>
      </c>
      <c r="BV157">
        <v>-1.61</v>
      </c>
      <c r="BW157">
        <v>-2.08</v>
      </c>
      <c r="BX157">
        <v>-1.79</v>
      </c>
      <c r="BY157">
        <v>-1.65</v>
      </c>
      <c r="BZ157">
        <v>2.15</v>
      </c>
      <c r="CA157">
        <v>-2.0099999999999998</v>
      </c>
      <c r="CB157">
        <v>-1.51</v>
      </c>
      <c r="CC157">
        <v>-3.66</v>
      </c>
      <c r="CD157">
        <v>0.03</v>
      </c>
      <c r="CE157">
        <v>-0.48</v>
      </c>
      <c r="CF157">
        <v>-2.23</v>
      </c>
      <c r="CG157">
        <v>0</v>
      </c>
      <c r="CH157">
        <v>-1.74</v>
      </c>
      <c r="CI157">
        <v>0</v>
      </c>
      <c r="CJ157">
        <v>-14.5</v>
      </c>
      <c r="CK157">
        <v>99</v>
      </c>
      <c r="CL157">
        <v>-0.55000000000000004</v>
      </c>
      <c r="CM157">
        <v>98</v>
      </c>
      <c r="CN157">
        <v>-0.08</v>
      </c>
      <c r="CO157">
        <v>98</v>
      </c>
      <c r="CP157">
        <v>-14.4</v>
      </c>
      <c r="CQ157">
        <v>89</v>
      </c>
      <c r="CR157">
        <v>0</v>
      </c>
      <c r="CS157">
        <v>0</v>
      </c>
      <c r="CT157">
        <v>-17.600000000000001</v>
      </c>
      <c r="CU157">
        <v>92</v>
      </c>
      <c r="CV157">
        <v>-0.04</v>
      </c>
      <c r="CW157">
        <v>46</v>
      </c>
      <c r="CX157" t="s">
        <v>2339</v>
      </c>
    </row>
    <row r="158" spans="1:102" x14ac:dyDescent="0.3">
      <c r="A158" t="str">
        <f>HYPERLINK("https://webapp.icbf.com/v2/app/bull-search/view/1354703449","FR4174")</f>
        <v>FR4174</v>
      </c>
      <c r="B158" t="s">
        <v>14984</v>
      </c>
      <c r="C158" t="s">
        <v>14985</v>
      </c>
      <c r="D158" s="1">
        <v>42406</v>
      </c>
      <c r="E158" t="s">
        <v>92</v>
      </c>
      <c r="F158">
        <v>75</v>
      </c>
      <c r="G158" t="s">
        <v>435</v>
      </c>
      <c r="H158">
        <v>229.45</v>
      </c>
      <c r="I158">
        <v>75</v>
      </c>
      <c r="J158">
        <v>59.09</v>
      </c>
      <c r="K158">
        <v>90</v>
      </c>
      <c r="L158">
        <v>124.51</v>
      </c>
      <c r="M158">
        <v>63</v>
      </c>
      <c r="N158">
        <v>34.700000000000003</v>
      </c>
      <c r="O158">
        <v>85</v>
      </c>
      <c r="P158">
        <v>-27.18</v>
      </c>
      <c r="Q158">
        <v>79</v>
      </c>
      <c r="R158">
        <v>14.51</v>
      </c>
      <c r="S158">
        <v>64</v>
      </c>
      <c r="T158">
        <v>17.600000000000001</v>
      </c>
      <c r="U158">
        <v>58</v>
      </c>
      <c r="V158">
        <v>6.22</v>
      </c>
      <c r="W158">
        <v>57</v>
      </c>
      <c r="X158" t="s">
        <v>94</v>
      </c>
      <c r="Y158" t="s">
        <v>2255</v>
      </c>
      <c r="Z158" t="s">
        <v>96</v>
      </c>
      <c r="AA158" t="s">
        <v>437</v>
      </c>
      <c r="AB158" t="s">
        <v>14986</v>
      </c>
      <c r="AC158">
        <v>0</v>
      </c>
      <c r="AD158">
        <v>0</v>
      </c>
      <c r="AE158">
        <v>90</v>
      </c>
      <c r="AF158">
        <v>241.34</v>
      </c>
      <c r="AG158">
        <v>12.42</v>
      </c>
      <c r="AH158">
        <v>9.35</v>
      </c>
      <c r="AI158">
        <v>0.05</v>
      </c>
      <c r="AJ158">
        <v>0.02</v>
      </c>
      <c r="AK158">
        <v>63</v>
      </c>
      <c r="AL158">
        <v>0</v>
      </c>
      <c r="AM158">
        <v>0</v>
      </c>
      <c r="AN158">
        <v>-5.96</v>
      </c>
      <c r="AO158">
        <v>3.98</v>
      </c>
      <c r="AP158">
        <v>540</v>
      </c>
      <c r="AQ158">
        <v>1</v>
      </c>
      <c r="AR158">
        <v>4.75</v>
      </c>
      <c r="AS158">
        <v>73</v>
      </c>
      <c r="AT158">
        <v>2.0499999999999998</v>
      </c>
      <c r="AU158">
        <v>93</v>
      </c>
      <c r="AV158">
        <v>-2.81</v>
      </c>
      <c r="AW158">
        <v>98</v>
      </c>
      <c r="AX158">
        <v>0.86</v>
      </c>
      <c r="AY158">
        <v>88</v>
      </c>
      <c r="AZ158">
        <v>6.8</v>
      </c>
      <c r="BA158">
        <v>44</v>
      </c>
      <c r="BB158">
        <v>4.88</v>
      </c>
      <c r="BC158">
        <v>44</v>
      </c>
      <c r="BD158">
        <v>-7.0000000000000007E-2</v>
      </c>
      <c r="BE158">
        <v>-0.03</v>
      </c>
      <c r="BF158">
        <v>-0.16</v>
      </c>
      <c r="BG158">
        <v>73</v>
      </c>
      <c r="BH158">
        <v>0.06</v>
      </c>
      <c r="BI158">
        <v>-13.13</v>
      </c>
      <c r="BJ158">
        <v>0</v>
      </c>
      <c r="BK158">
        <v>0</v>
      </c>
      <c r="BL158">
        <v>-1.39</v>
      </c>
      <c r="BM158">
        <v>-0.88</v>
      </c>
      <c r="BN158">
        <v>-2</v>
      </c>
      <c r="BO158">
        <v>-1.5</v>
      </c>
      <c r="BP158">
        <v>1.35</v>
      </c>
      <c r="BQ158">
        <v>-1.44</v>
      </c>
      <c r="BR158">
        <v>0.34</v>
      </c>
      <c r="BS158">
        <v>-0.72</v>
      </c>
      <c r="BT158">
        <v>-1.33</v>
      </c>
      <c r="BU158">
        <v>0.87</v>
      </c>
      <c r="BV158">
        <v>-0.38</v>
      </c>
      <c r="BW158">
        <v>-7.0000000000000007E-2</v>
      </c>
      <c r="BX158">
        <v>1.34</v>
      </c>
      <c r="BY158">
        <v>-0.1</v>
      </c>
      <c r="BZ158">
        <v>-2.7</v>
      </c>
      <c r="CA158">
        <v>0.16</v>
      </c>
      <c r="CB158">
        <v>0.11</v>
      </c>
      <c r="CC158">
        <v>-0.48</v>
      </c>
      <c r="CD158">
        <v>1.5</v>
      </c>
      <c r="CE158">
        <v>-0.85</v>
      </c>
      <c r="CF158">
        <v>-1.1599999999999999</v>
      </c>
      <c r="CG158">
        <v>0</v>
      </c>
      <c r="CH158">
        <v>0.69</v>
      </c>
      <c r="CI158">
        <v>0</v>
      </c>
      <c r="CJ158">
        <v>-13.8</v>
      </c>
      <c r="CK158">
        <v>83</v>
      </c>
      <c r="CL158">
        <v>-0.84</v>
      </c>
      <c r="CM158">
        <v>77</v>
      </c>
      <c r="CN158">
        <v>-0.23</v>
      </c>
      <c r="CO158">
        <v>75</v>
      </c>
      <c r="CP158">
        <v>-14.4</v>
      </c>
      <c r="CQ158">
        <v>58</v>
      </c>
      <c r="CR158">
        <v>0</v>
      </c>
      <c r="CS158">
        <v>0</v>
      </c>
      <c r="CT158">
        <v>-10</v>
      </c>
      <c r="CU158">
        <v>58</v>
      </c>
      <c r="CV158">
        <v>0.08</v>
      </c>
      <c r="CW158">
        <v>43</v>
      </c>
      <c r="CX158" t="s">
        <v>1514</v>
      </c>
    </row>
    <row r="159" spans="1:102" x14ac:dyDescent="0.3">
      <c r="A159" t="str">
        <f>HYPERLINK("https://webapp.icbf.com/v2/app/bull-search/view/992922822","PWR")</f>
        <v>PWR</v>
      </c>
      <c r="B159" t="s">
        <v>10195</v>
      </c>
      <c r="C159" t="s">
        <v>10196</v>
      </c>
      <c r="D159" s="1">
        <v>40770</v>
      </c>
      <c r="E159" t="s">
        <v>227</v>
      </c>
      <c r="F159">
        <v>34</v>
      </c>
      <c r="G159" t="s">
        <v>93</v>
      </c>
      <c r="H159">
        <v>228.74</v>
      </c>
      <c r="I159">
        <v>84</v>
      </c>
      <c r="J159">
        <v>119.89</v>
      </c>
      <c r="K159">
        <v>96</v>
      </c>
      <c r="L159">
        <v>65.36</v>
      </c>
      <c r="M159">
        <v>76</v>
      </c>
      <c r="N159">
        <v>30.74</v>
      </c>
      <c r="O159">
        <v>83</v>
      </c>
      <c r="P159">
        <v>-43.54</v>
      </c>
      <c r="Q159">
        <v>90</v>
      </c>
      <c r="R159">
        <v>-4.26</v>
      </c>
      <c r="S159">
        <v>74</v>
      </c>
      <c r="T159">
        <v>55.04</v>
      </c>
      <c r="U159">
        <v>78</v>
      </c>
      <c r="V159">
        <v>5.51</v>
      </c>
      <c r="W159">
        <v>70</v>
      </c>
      <c r="X159" t="s">
        <v>276</v>
      </c>
      <c r="Y159" t="s">
        <v>1923</v>
      </c>
      <c r="Z159">
        <v>0</v>
      </c>
      <c r="AA159" t="s">
        <v>10197</v>
      </c>
      <c r="AB159" t="s">
        <v>10198</v>
      </c>
      <c r="AC159">
        <v>72</v>
      </c>
      <c r="AD159">
        <v>36</v>
      </c>
      <c r="AE159">
        <v>96</v>
      </c>
      <c r="AF159">
        <v>-162.69</v>
      </c>
      <c r="AG159">
        <v>16.34</v>
      </c>
      <c r="AH159">
        <v>12.12</v>
      </c>
      <c r="AI159">
        <v>0.41</v>
      </c>
      <c r="AJ159">
        <v>0.32</v>
      </c>
      <c r="AK159">
        <v>76</v>
      </c>
      <c r="AL159">
        <v>89</v>
      </c>
      <c r="AM159">
        <v>42</v>
      </c>
      <c r="AN159">
        <v>-2.95</v>
      </c>
      <c r="AO159">
        <v>2.27</v>
      </c>
      <c r="AP159">
        <v>182</v>
      </c>
      <c r="AQ159">
        <v>1</v>
      </c>
      <c r="AR159">
        <v>3.49</v>
      </c>
      <c r="AS159">
        <v>79</v>
      </c>
      <c r="AT159">
        <v>1.54</v>
      </c>
      <c r="AU159">
        <v>84</v>
      </c>
      <c r="AV159">
        <v>-1.89</v>
      </c>
      <c r="AW159">
        <v>96</v>
      </c>
      <c r="AX159">
        <v>0.22</v>
      </c>
      <c r="AY159">
        <v>79</v>
      </c>
      <c r="AZ159">
        <v>7.98</v>
      </c>
      <c r="BA159">
        <v>58</v>
      </c>
      <c r="BB159">
        <v>5.18</v>
      </c>
      <c r="BC159">
        <v>52</v>
      </c>
      <c r="BD159">
        <v>0</v>
      </c>
      <c r="BE159">
        <v>0.02</v>
      </c>
      <c r="BF159">
        <v>0.06</v>
      </c>
      <c r="BG159">
        <v>84</v>
      </c>
      <c r="BH159">
        <v>7.0000000000000007E-2</v>
      </c>
      <c r="BI159">
        <v>-9.68</v>
      </c>
      <c r="BJ159">
        <v>0</v>
      </c>
      <c r="BK159">
        <v>0</v>
      </c>
      <c r="BL159">
        <v>-2.61</v>
      </c>
      <c r="BM159">
        <v>-1.33</v>
      </c>
      <c r="BN159">
        <v>-0.84</v>
      </c>
      <c r="BO159">
        <v>0.32</v>
      </c>
      <c r="BP159">
        <v>-0.26</v>
      </c>
      <c r="BQ159">
        <v>-4.3</v>
      </c>
      <c r="BR159">
        <v>2.59</v>
      </c>
      <c r="BS159">
        <v>3.41</v>
      </c>
      <c r="BT159">
        <v>-1.1499999999999999</v>
      </c>
      <c r="BU159">
        <v>-1.36</v>
      </c>
      <c r="BV159">
        <v>-0.78</v>
      </c>
      <c r="BW159">
        <v>-2.06</v>
      </c>
      <c r="BX159">
        <v>-3.11</v>
      </c>
      <c r="BY159">
        <v>-0.2</v>
      </c>
      <c r="BZ159">
        <v>-1.18</v>
      </c>
      <c r="CA159">
        <v>-0.2</v>
      </c>
      <c r="CB159">
        <v>-1.06</v>
      </c>
      <c r="CC159">
        <v>1.84</v>
      </c>
      <c r="CD159">
        <v>-1.42</v>
      </c>
      <c r="CE159">
        <v>-0.01</v>
      </c>
      <c r="CF159">
        <v>-2.83</v>
      </c>
      <c r="CG159">
        <v>0</v>
      </c>
      <c r="CH159">
        <v>-1.1499999999999999</v>
      </c>
      <c r="CI159">
        <v>0</v>
      </c>
      <c r="CJ159">
        <v>-22</v>
      </c>
      <c r="CK159">
        <v>92</v>
      </c>
      <c r="CL159">
        <v>-0.93</v>
      </c>
      <c r="CM159">
        <v>90</v>
      </c>
      <c r="CN159">
        <v>-0.2</v>
      </c>
      <c r="CO159">
        <v>89</v>
      </c>
      <c r="CP159">
        <v>-39.5</v>
      </c>
      <c r="CQ159">
        <v>73</v>
      </c>
      <c r="CR159">
        <v>0</v>
      </c>
      <c r="CS159">
        <v>0</v>
      </c>
      <c r="CT159">
        <v>-60.6</v>
      </c>
      <c r="CU159">
        <v>78</v>
      </c>
      <c r="CV159">
        <v>-0.09</v>
      </c>
      <c r="CW159">
        <v>44</v>
      </c>
      <c r="CX159" t="s">
        <v>229</v>
      </c>
    </row>
    <row r="160" spans="1:102" x14ac:dyDescent="0.3">
      <c r="A160" t="str">
        <f>HYPERLINK("https://webapp.icbf.com/v2/app/bull-search/view/1359947685","FR4267")</f>
        <v>FR4267</v>
      </c>
      <c r="B160" t="s">
        <v>6384</v>
      </c>
      <c r="C160" t="s">
        <v>6385</v>
      </c>
      <c r="D160" s="1">
        <v>42416</v>
      </c>
      <c r="E160" t="s">
        <v>92</v>
      </c>
      <c r="F160">
        <v>84</v>
      </c>
      <c r="G160" t="s">
        <v>435</v>
      </c>
      <c r="H160">
        <v>228.62</v>
      </c>
      <c r="I160">
        <v>68</v>
      </c>
      <c r="J160">
        <v>64.150000000000006</v>
      </c>
      <c r="K160">
        <v>88</v>
      </c>
      <c r="L160">
        <v>111.32</v>
      </c>
      <c r="M160">
        <v>64</v>
      </c>
      <c r="N160">
        <v>55.09</v>
      </c>
      <c r="O160">
        <v>54</v>
      </c>
      <c r="P160">
        <v>-13.26</v>
      </c>
      <c r="Q160">
        <v>47</v>
      </c>
      <c r="R160">
        <v>7.02</v>
      </c>
      <c r="S160">
        <v>63</v>
      </c>
      <c r="T160">
        <v>-5.04</v>
      </c>
      <c r="U160">
        <v>49</v>
      </c>
      <c r="V160">
        <v>9.34</v>
      </c>
      <c r="W160">
        <v>57</v>
      </c>
      <c r="X160" t="s">
        <v>276</v>
      </c>
      <c r="Y160" t="s">
        <v>2255</v>
      </c>
      <c r="Z160" t="s">
        <v>96</v>
      </c>
      <c r="AA160" t="s">
        <v>6386</v>
      </c>
      <c r="AB160" t="s">
        <v>6387</v>
      </c>
      <c r="AC160">
        <v>0</v>
      </c>
      <c r="AD160">
        <v>0</v>
      </c>
      <c r="AE160">
        <v>88</v>
      </c>
      <c r="AF160">
        <v>-14.7</v>
      </c>
      <c r="AG160">
        <v>9.74</v>
      </c>
      <c r="AH160">
        <v>7.24</v>
      </c>
      <c r="AI160">
        <v>0.17</v>
      </c>
      <c r="AJ160">
        <v>0.14000000000000001</v>
      </c>
      <c r="AK160">
        <v>64</v>
      </c>
      <c r="AL160">
        <v>0</v>
      </c>
      <c r="AM160">
        <v>0</v>
      </c>
      <c r="AN160">
        <v>-5.9</v>
      </c>
      <c r="AO160">
        <v>2.98</v>
      </c>
      <c r="AP160">
        <v>2</v>
      </c>
      <c r="AQ160">
        <v>0</v>
      </c>
      <c r="AR160">
        <v>5.12</v>
      </c>
      <c r="AS160">
        <v>58</v>
      </c>
      <c r="AT160">
        <v>1.99</v>
      </c>
      <c r="AU160">
        <v>62</v>
      </c>
      <c r="AV160">
        <v>-5.17</v>
      </c>
      <c r="AW160">
        <v>55</v>
      </c>
      <c r="AX160">
        <v>-0.12</v>
      </c>
      <c r="AY160">
        <v>48</v>
      </c>
      <c r="AZ160">
        <v>6.52</v>
      </c>
      <c r="BA160">
        <v>45</v>
      </c>
      <c r="BB160">
        <v>5.0599999999999996</v>
      </c>
      <c r="BC160">
        <v>41</v>
      </c>
      <c r="BD160">
        <v>-0.02</v>
      </c>
      <c r="BE160">
        <v>-0.02</v>
      </c>
      <c r="BF160">
        <v>-0.09</v>
      </c>
      <c r="BG160">
        <v>73</v>
      </c>
      <c r="BH160">
        <v>0.11</v>
      </c>
      <c r="BI160">
        <v>-17.399999999999999</v>
      </c>
      <c r="BJ160">
        <v>0</v>
      </c>
      <c r="BK160">
        <v>0</v>
      </c>
      <c r="BL160">
        <v>0.32</v>
      </c>
      <c r="BM160">
        <v>1.55</v>
      </c>
      <c r="BN160">
        <v>0.53</v>
      </c>
      <c r="BO160">
        <v>-0.52</v>
      </c>
      <c r="BP160">
        <v>1.19</v>
      </c>
      <c r="BQ160">
        <v>-0.33</v>
      </c>
      <c r="BR160">
        <v>1.47</v>
      </c>
      <c r="BS160">
        <v>-0.28999999999999998</v>
      </c>
      <c r="BT160">
        <v>-1.18</v>
      </c>
      <c r="BU160">
        <v>0.39</v>
      </c>
      <c r="BV160">
        <v>-0.33</v>
      </c>
      <c r="BW160">
        <v>0.34</v>
      </c>
      <c r="BX160">
        <v>0.43</v>
      </c>
      <c r="BY160">
        <v>0.02</v>
      </c>
      <c r="BZ160">
        <v>-1.04</v>
      </c>
      <c r="CA160">
        <v>7.0000000000000007E-2</v>
      </c>
      <c r="CB160">
        <v>0.12</v>
      </c>
      <c r="CC160">
        <v>-0.8</v>
      </c>
      <c r="CD160">
        <v>1.29</v>
      </c>
      <c r="CE160">
        <v>-0.46</v>
      </c>
      <c r="CF160">
        <v>-0.09</v>
      </c>
      <c r="CG160">
        <v>0</v>
      </c>
      <c r="CH160">
        <v>-0.32</v>
      </c>
      <c r="CI160">
        <v>0</v>
      </c>
      <c r="CJ160">
        <v>-4.2</v>
      </c>
      <c r="CK160">
        <v>47</v>
      </c>
      <c r="CL160">
        <v>-0.93</v>
      </c>
      <c r="CM160">
        <v>46</v>
      </c>
      <c r="CN160">
        <v>-0.14000000000000001</v>
      </c>
      <c r="CO160">
        <v>46</v>
      </c>
      <c r="CP160">
        <v>3.3</v>
      </c>
      <c r="CQ160">
        <v>47</v>
      </c>
      <c r="CR160">
        <v>0</v>
      </c>
      <c r="CS160">
        <v>0</v>
      </c>
      <c r="CT160">
        <v>20.6</v>
      </c>
      <c r="CU160">
        <v>49</v>
      </c>
      <c r="CV160">
        <v>0.22</v>
      </c>
      <c r="CW160">
        <v>35</v>
      </c>
      <c r="CX160" t="s">
        <v>2711</v>
      </c>
    </row>
    <row r="161" spans="1:102" x14ac:dyDescent="0.3">
      <c r="A161" t="str">
        <f>HYPERLINK("https://webapp.icbf.com/v2/app/bull-search/view/1476454478","FR4489")</f>
        <v>FR4489</v>
      </c>
      <c r="B161" t="s">
        <v>14229</v>
      </c>
      <c r="C161" t="s">
        <v>14230</v>
      </c>
      <c r="D161" s="1">
        <v>42770</v>
      </c>
      <c r="E161" t="s">
        <v>92</v>
      </c>
      <c r="F161">
        <v>72</v>
      </c>
      <c r="G161" t="s">
        <v>435</v>
      </c>
      <c r="H161">
        <v>228.39</v>
      </c>
      <c r="I161">
        <v>69</v>
      </c>
      <c r="J161">
        <v>38.880000000000003</v>
      </c>
      <c r="K161">
        <v>88</v>
      </c>
      <c r="L161">
        <v>149.03</v>
      </c>
      <c r="M161">
        <v>59</v>
      </c>
      <c r="N161">
        <v>40.79</v>
      </c>
      <c r="O161">
        <v>81</v>
      </c>
      <c r="P161">
        <v>-26.3</v>
      </c>
      <c r="Q161">
        <v>50</v>
      </c>
      <c r="R161">
        <v>-2.13</v>
      </c>
      <c r="S161">
        <v>60</v>
      </c>
      <c r="T161">
        <v>22.93</v>
      </c>
      <c r="U161">
        <v>51</v>
      </c>
      <c r="V161">
        <v>5.19</v>
      </c>
      <c r="W161">
        <v>54</v>
      </c>
      <c r="X161" t="s">
        <v>234</v>
      </c>
      <c r="Y161" t="s">
        <v>2384</v>
      </c>
      <c r="Z161" t="s">
        <v>330</v>
      </c>
      <c r="AA161" t="s">
        <v>6274</v>
      </c>
      <c r="AB161" t="s">
        <v>14231</v>
      </c>
      <c r="AC161">
        <v>0</v>
      </c>
      <c r="AD161">
        <v>0</v>
      </c>
      <c r="AE161">
        <v>88</v>
      </c>
      <c r="AF161">
        <v>-179.52</v>
      </c>
      <c r="AG161">
        <v>7.05</v>
      </c>
      <c r="AH161">
        <v>1.37</v>
      </c>
      <c r="AI161">
        <v>0.25</v>
      </c>
      <c r="AJ161">
        <v>0.14000000000000001</v>
      </c>
      <c r="AK161">
        <v>59</v>
      </c>
      <c r="AL161">
        <v>0</v>
      </c>
      <c r="AM161">
        <v>0</v>
      </c>
      <c r="AN161">
        <v>-7.74</v>
      </c>
      <c r="AO161">
        <v>4.1500000000000004</v>
      </c>
      <c r="AP161">
        <v>378</v>
      </c>
      <c r="AQ161">
        <v>1</v>
      </c>
      <c r="AR161">
        <v>5.34</v>
      </c>
      <c r="AS161">
        <v>65</v>
      </c>
      <c r="AT161">
        <v>2.29</v>
      </c>
      <c r="AU161">
        <v>91</v>
      </c>
      <c r="AV161">
        <v>-3.28</v>
      </c>
      <c r="AW161">
        <v>97</v>
      </c>
      <c r="AX161">
        <v>-0.31</v>
      </c>
      <c r="AY161">
        <v>83</v>
      </c>
      <c r="AZ161">
        <v>6.01</v>
      </c>
      <c r="BA161">
        <v>41</v>
      </c>
      <c r="BB161">
        <v>4.6900000000000004</v>
      </c>
      <c r="BC161">
        <v>33</v>
      </c>
      <c r="BD161">
        <v>-0.03</v>
      </c>
      <c r="BE161">
        <v>0.01</v>
      </c>
      <c r="BF161">
        <v>0.08</v>
      </c>
      <c r="BG161">
        <v>72</v>
      </c>
      <c r="BH161">
        <v>0.11</v>
      </c>
      <c r="BI161">
        <v>-4.03</v>
      </c>
      <c r="BJ161">
        <v>0</v>
      </c>
      <c r="BK161">
        <v>0</v>
      </c>
      <c r="BL161">
        <v>-1.1499999999999999</v>
      </c>
      <c r="BM161">
        <v>0.41</v>
      </c>
      <c r="BN161">
        <v>-1.17</v>
      </c>
      <c r="BO161">
        <v>-1.5</v>
      </c>
      <c r="BP161">
        <v>-0.37</v>
      </c>
      <c r="BQ161">
        <v>0.27</v>
      </c>
      <c r="BR161">
        <v>1.0900000000000001</v>
      </c>
      <c r="BS161">
        <v>-1.9</v>
      </c>
      <c r="BT161">
        <v>-1.52</v>
      </c>
      <c r="BU161">
        <v>-0.95</v>
      </c>
      <c r="BV161">
        <v>-1.49</v>
      </c>
      <c r="BW161">
        <v>-1.08</v>
      </c>
      <c r="BX161">
        <v>-0.16</v>
      </c>
      <c r="BY161">
        <v>-1.6</v>
      </c>
      <c r="BZ161">
        <v>0.3</v>
      </c>
      <c r="CA161">
        <v>-1.44</v>
      </c>
      <c r="CB161">
        <v>-1.31</v>
      </c>
      <c r="CC161">
        <v>-1.86</v>
      </c>
      <c r="CD161">
        <v>0.69</v>
      </c>
      <c r="CE161">
        <v>-1.1299999999999999</v>
      </c>
      <c r="CF161">
        <v>-2.12</v>
      </c>
      <c r="CG161">
        <v>0</v>
      </c>
      <c r="CH161">
        <v>-0.52</v>
      </c>
      <c r="CI161">
        <v>0</v>
      </c>
      <c r="CJ161">
        <v>-13.2</v>
      </c>
      <c r="CK161">
        <v>53</v>
      </c>
      <c r="CL161">
        <v>-0.7</v>
      </c>
      <c r="CM161">
        <v>46</v>
      </c>
      <c r="CN161">
        <v>-0.11</v>
      </c>
      <c r="CO161">
        <v>45</v>
      </c>
      <c r="CP161">
        <v>-14.3</v>
      </c>
      <c r="CQ161">
        <v>46</v>
      </c>
      <c r="CR161">
        <v>0</v>
      </c>
      <c r="CS161">
        <v>0</v>
      </c>
      <c r="CT161">
        <v>-17.2</v>
      </c>
      <c r="CU161">
        <v>51</v>
      </c>
      <c r="CV161">
        <v>0.09</v>
      </c>
      <c r="CW161">
        <v>35</v>
      </c>
      <c r="CX161" t="s">
        <v>5764</v>
      </c>
    </row>
    <row r="162" spans="1:102" x14ac:dyDescent="0.3">
      <c r="A162" t="str">
        <f>HYPERLINK("https://webapp.icbf.com/v2/app/bull-search/view/1353402859","FR4100")</f>
        <v>FR4100</v>
      </c>
      <c r="B162" t="s">
        <v>2497</v>
      </c>
      <c r="C162" t="s">
        <v>2498</v>
      </c>
      <c r="D162" s="1">
        <v>42401</v>
      </c>
      <c r="E162" t="s">
        <v>92</v>
      </c>
      <c r="F162">
        <v>75</v>
      </c>
      <c r="G162" t="s">
        <v>435</v>
      </c>
      <c r="H162">
        <v>227.74</v>
      </c>
      <c r="I162">
        <v>75</v>
      </c>
      <c r="J162">
        <v>35.049999999999997</v>
      </c>
      <c r="K162">
        <v>90</v>
      </c>
      <c r="L162">
        <v>133.65</v>
      </c>
      <c r="M162">
        <v>63</v>
      </c>
      <c r="N162">
        <v>48.9</v>
      </c>
      <c r="O162">
        <v>86</v>
      </c>
      <c r="P162">
        <v>-11.05</v>
      </c>
      <c r="Q162">
        <v>80</v>
      </c>
      <c r="R162">
        <v>9.58</v>
      </c>
      <c r="S162">
        <v>63</v>
      </c>
      <c r="T162">
        <v>3.02</v>
      </c>
      <c r="U162">
        <v>52</v>
      </c>
      <c r="V162">
        <v>8.59</v>
      </c>
      <c r="W162">
        <v>59</v>
      </c>
      <c r="X162" t="s">
        <v>102</v>
      </c>
      <c r="Y162" t="s">
        <v>436</v>
      </c>
      <c r="Z162" t="s">
        <v>96</v>
      </c>
      <c r="AA162" t="s">
        <v>2499</v>
      </c>
      <c r="AB162" t="s">
        <v>2500</v>
      </c>
      <c r="AC162">
        <v>2</v>
      </c>
      <c r="AD162">
        <v>2</v>
      </c>
      <c r="AE162">
        <v>90</v>
      </c>
      <c r="AF162">
        <v>20.09</v>
      </c>
      <c r="AG162">
        <v>-0.71</v>
      </c>
      <c r="AH162">
        <v>6.52</v>
      </c>
      <c r="AI162">
        <v>-0.03</v>
      </c>
      <c r="AJ162">
        <v>0.1</v>
      </c>
      <c r="AK162">
        <v>63</v>
      </c>
      <c r="AL162">
        <v>0</v>
      </c>
      <c r="AM162">
        <v>0</v>
      </c>
      <c r="AN162">
        <v>-8.73</v>
      </c>
      <c r="AO162">
        <v>1.91</v>
      </c>
      <c r="AP162">
        <v>622</v>
      </c>
      <c r="AQ162">
        <v>1</v>
      </c>
      <c r="AR162">
        <v>5.27</v>
      </c>
      <c r="AS162">
        <v>91</v>
      </c>
      <c r="AT162">
        <v>2.13</v>
      </c>
      <c r="AU162">
        <v>92</v>
      </c>
      <c r="AV162">
        <v>-3.77</v>
      </c>
      <c r="AW162">
        <v>98</v>
      </c>
      <c r="AX162">
        <v>-1.01</v>
      </c>
      <c r="AY162">
        <v>90</v>
      </c>
      <c r="AZ162">
        <v>5.37</v>
      </c>
      <c r="BA162">
        <v>43</v>
      </c>
      <c r="BB162">
        <v>4.62</v>
      </c>
      <c r="BC162">
        <v>40</v>
      </c>
      <c r="BD162">
        <v>-0.05</v>
      </c>
      <c r="BE162">
        <v>-0.03</v>
      </c>
      <c r="BF162">
        <v>-0.08</v>
      </c>
      <c r="BG162">
        <v>73</v>
      </c>
      <c r="BH162">
        <v>0.15</v>
      </c>
      <c r="BI162">
        <v>-10.35</v>
      </c>
      <c r="BJ162">
        <v>0</v>
      </c>
      <c r="BK162">
        <v>0</v>
      </c>
      <c r="BL162">
        <v>-7.0000000000000007E-2</v>
      </c>
      <c r="BM162">
        <v>0.48</v>
      </c>
      <c r="BN162">
        <v>-0.51</v>
      </c>
      <c r="BO162">
        <v>-0.65</v>
      </c>
      <c r="BP162">
        <v>1.1299999999999999</v>
      </c>
      <c r="BQ162">
        <v>-1.1100000000000001</v>
      </c>
      <c r="BR162">
        <v>0.06</v>
      </c>
      <c r="BS162">
        <v>1.01</v>
      </c>
      <c r="BT162">
        <v>0.17</v>
      </c>
      <c r="BU162">
        <v>0.41</v>
      </c>
      <c r="BV162">
        <v>-0.49</v>
      </c>
      <c r="BW162">
        <v>-0.21</v>
      </c>
      <c r="BX162">
        <v>0.01</v>
      </c>
      <c r="BY162">
        <v>0.13</v>
      </c>
      <c r="BZ162">
        <v>-0.65</v>
      </c>
      <c r="CA162">
        <v>7.0000000000000007E-2</v>
      </c>
      <c r="CB162">
        <v>0.11</v>
      </c>
      <c r="CC162">
        <v>0.37</v>
      </c>
      <c r="CD162">
        <v>0.83</v>
      </c>
      <c r="CE162">
        <v>-0.73</v>
      </c>
      <c r="CF162">
        <v>0.11</v>
      </c>
      <c r="CG162">
        <v>0</v>
      </c>
      <c r="CH162">
        <v>0.12</v>
      </c>
      <c r="CI162">
        <v>0</v>
      </c>
      <c r="CJ162">
        <v>-3.5</v>
      </c>
      <c r="CK162">
        <v>84</v>
      </c>
      <c r="CL162">
        <v>-0.74</v>
      </c>
      <c r="CM162">
        <v>79</v>
      </c>
      <c r="CN162">
        <v>-0.14000000000000001</v>
      </c>
      <c r="CO162">
        <v>77</v>
      </c>
      <c r="CP162">
        <v>-1.5</v>
      </c>
      <c r="CQ162">
        <v>55</v>
      </c>
      <c r="CR162">
        <v>0</v>
      </c>
      <c r="CS162">
        <v>0</v>
      </c>
      <c r="CT162">
        <v>9.6999999999999993</v>
      </c>
      <c r="CU162">
        <v>52</v>
      </c>
      <c r="CV162">
        <v>0.11</v>
      </c>
      <c r="CW162">
        <v>43</v>
      </c>
      <c r="CX162" t="s">
        <v>1942</v>
      </c>
    </row>
    <row r="163" spans="1:102" x14ac:dyDescent="0.3">
      <c r="A163" t="str">
        <f>HYPERLINK("https://webapp.icbf.com/v2/app/bull-search/view/1244048262","FR2275")</f>
        <v>FR2275</v>
      </c>
      <c r="B163" t="s">
        <v>6081</v>
      </c>
      <c r="C163" t="s">
        <v>6082</v>
      </c>
      <c r="D163" s="1">
        <v>42033</v>
      </c>
      <c r="E163" t="s">
        <v>92</v>
      </c>
      <c r="F163">
        <v>69</v>
      </c>
      <c r="G163" t="s">
        <v>93</v>
      </c>
      <c r="H163">
        <v>227.74</v>
      </c>
      <c r="I163">
        <v>89</v>
      </c>
      <c r="J163">
        <v>66.72</v>
      </c>
      <c r="K163">
        <v>99</v>
      </c>
      <c r="L163">
        <v>101.75</v>
      </c>
      <c r="M163">
        <v>78</v>
      </c>
      <c r="N163">
        <v>47.63</v>
      </c>
      <c r="O163">
        <v>92</v>
      </c>
      <c r="P163">
        <v>0.02</v>
      </c>
      <c r="Q163">
        <v>97</v>
      </c>
      <c r="R163">
        <v>11.08</v>
      </c>
      <c r="S163">
        <v>87</v>
      </c>
      <c r="T163">
        <v>0.36</v>
      </c>
      <c r="U163">
        <v>88</v>
      </c>
      <c r="V163">
        <v>0.18</v>
      </c>
      <c r="W163">
        <v>76</v>
      </c>
      <c r="X163" t="s">
        <v>102</v>
      </c>
      <c r="Y163" t="s">
        <v>416</v>
      </c>
      <c r="Z163" t="s">
        <v>96</v>
      </c>
      <c r="AA163" t="s">
        <v>2157</v>
      </c>
      <c r="AB163" t="s">
        <v>6083</v>
      </c>
      <c r="AC163">
        <v>1178</v>
      </c>
      <c r="AD163">
        <v>399</v>
      </c>
      <c r="AE163">
        <v>99</v>
      </c>
      <c r="AF163">
        <v>110.23</v>
      </c>
      <c r="AG163">
        <v>12.11</v>
      </c>
      <c r="AH163">
        <v>8.75</v>
      </c>
      <c r="AI163">
        <v>0.13</v>
      </c>
      <c r="AJ163">
        <v>0.09</v>
      </c>
      <c r="AK163">
        <v>78</v>
      </c>
      <c r="AL163">
        <v>0</v>
      </c>
      <c r="AM163">
        <v>0</v>
      </c>
      <c r="AN163">
        <v>-4.34</v>
      </c>
      <c r="AO163">
        <v>3.79</v>
      </c>
      <c r="AP163">
        <v>10861</v>
      </c>
      <c r="AQ163">
        <v>37</v>
      </c>
      <c r="AR163">
        <v>5.16</v>
      </c>
      <c r="AS163">
        <v>97</v>
      </c>
      <c r="AT163">
        <v>2.5099999999999998</v>
      </c>
      <c r="AU163">
        <v>99</v>
      </c>
      <c r="AV163">
        <v>-4.0999999999999996</v>
      </c>
      <c r="AW163">
        <v>99</v>
      </c>
      <c r="AX163">
        <v>-0.73</v>
      </c>
      <c r="AY163">
        <v>99</v>
      </c>
      <c r="AZ163">
        <v>6.16</v>
      </c>
      <c r="BA163">
        <v>93</v>
      </c>
      <c r="BB163">
        <v>4.55</v>
      </c>
      <c r="BC163">
        <v>45</v>
      </c>
      <c r="BD163">
        <v>-0.04</v>
      </c>
      <c r="BE163">
        <v>-0.02</v>
      </c>
      <c r="BF163">
        <v>-0.15</v>
      </c>
      <c r="BG163">
        <v>97</v>
      </c>
      <c r="BH163">
        <v>0.05</v>
      </c>
      <c r="BI163">
        <v>5.21</v>
      </c>
      <c r="BJ163">
        <v>1</v>
      </c>
      <c r="BK163">
        <v>1</v>
      </c>
      <c r="BL163">
        <v>-1.1399999999999999</v>
      </c>
      <c r="BM163">
        <v>1.73</v>
      </c>
      <c r="BN163">
        <v>-2.5</v>
      </c>
      <c r="BO163">
        <v>-3.11</v>
      </c>
      <c r="BP163">
        <v>2.13</v>
      </c>
      <c r="BQ163">
        <v>-1.87</v>
      </c>
      <c r="BR163">
        <v>-3.54</v>
      </c>
      <c r="BS163">
        <v>0.06</v>
      </c>
      <c r="BT163">
        <v>2.25</v>
      </c>
      <c r="BU163">
        <v>-1.73</v>
      </c>
      <c r="BV163">
        <v>-2.67</v>
      </c>
      <c r="BW163">
        <v>-1.44</v>
      </c>
      <c r="BX163">
        <v>-0.68</v>
      </c>
      <c r="BY163">
        <v>-2.29</v>
      </c>
      <c r="BZ163">
        <v>-0.74</v>
      </c>
      <c r="CA163">
        <v>-0.83</v>
      </c>
      <c r="CB163">
        <v>-1.68</v>
      </c>
      <c r="CC163">
        <v>0.31</v>
      </c>
      <c r="CD163">
        <v>3.14</v>
      </c>
      <c r="CE163">
        <v>-2.5099999999999998</v>
      </c>
      <c r="CF163">
        <v>-1.35</v>
      </c>
      <c r="CG163">
        <v>0</v>
      </c>
      <c r="CH163">
        <v>-1.21</v>
      </c>
      <c r="CI163">
        <v>0</v>
      </c>
      <c r="CJ163">
        <v>-0.3</v>
      </c>
      <c r="CK163">
        <v>99</v>
      </c>
      <c r="CL163">
        <v>-0.13</v>
      </c>
      <c r="CM163">
        <v>99</v>
      </c>
      <c r="CN163">
        <v>-0.09</v>
      </c>
      <c r="CO163">
        <v>99</v>
      </c>
      <c r="CP163">
        <v>4.8</v>
      </c>
      <c r="CQ163">
        <v>79</v>
      </c>
      <c r="CR163">
        <v>0</v>
      </c>
      <c r="CS163">
        <v>0</v>
      </c>
      <c r="CT163">
        <v>13.3</v>
      </c>
      <c r="CU163">
        <v>88</v>
      </c>
      <c r="CV163">
        <v>0.05</v>
      </c>
      <c r="CW163">
        <v>48</v>
      </c>
      <c r="CX163" t="s">
        <v>5102</v>
      </c>
    </row>
    <row r="164" spans="1:102" x14ac:dyDescent="0.3">
      <c r="A164" t="str">
        <f>HYPERLINK("https://webapp.icbf.com/v2/app/bull-search/view/1132406649","PZP")</f>
        <v>PZP</v>
      </c>
      <c r="B164" t="s">
        <v>13215</v>
      </c>
      <c r="C164" t="s">
        <v>13216</v>
      </c>
      <c r="D164" s="1">
        <v>39593</v>
      </c>
      <c r="E164" t="s">
        <v>395</v>
      </c>
      <c r="F164">
        <v>0</v>
      </c>
      <c r="G164" t="s">
        <v>109</v>
      </c>
      <c r="H164">
        <v>227.45</v>
      </c>
      <c r="I164">
        <v>67</v>
      </c>
      <c r="J164">
        <v>14.68</v>
      </c>
      <c r="K164">
        <v>72</v>
      </c>
      <c r="L164">
        <v>146.78</v>
      </c>
      <c r="M164">
        <v>71</v>
      </c>
      <c r="N164">
        <v>25.32</v>
      </c>
      <c r="O164">
        <v>73</v>
      </c>
      <c r="P164">
        <v>14.02</v>
      </c>
      <c r="Q164">
        <v>80</v>
      </c>
      <c r="R164">
        <v>14.34</v>
      </c>
      <c r="S164">
        <v>44</v>
      </c>
      <c r="T164">
        <v>6.72</v>
      </c>
      <c r="U164">
        <v>38</v>
      </c>
      <c r="V164">
        <v>5.59</v>
      </c>
      <c r="W164">
        <v>26</v>
      </c>
      <c r="X164" t="s">
        <v>94</v>
      </c>
      <c r="Y164" t="s">
        <v>329</v>
      </c>
      <c r="Z164">
        <v>0</v>
      </c>
      <c r="AA164" t="s">
        <v>12134</v>
      </c>
      <c r="AB164" t="s">
        <v>13217</v>
      </c>
      <c r="AC164">
        <v>0</v>
      </c>
      <c r="AD164">
        <v>0</v>
      </c>
      <c r="AE164">
        <v>72</v>
      </c>
      <c r="AF164">
        <v>21.95</v>
      </c>
      <c r="AG164">
        <v>0.77</v>
      </c>
      <c r="AH164">
        <v>2.56</v>
      </c>
      <c r="AI164">
        <v>0</v>
      </c>
      <c r="AJ164">
        <v>0.03</v>
      </c>
      <c r="AK164">
        <v>71</v>
      </c>
      <c r="AL164">
        <v>0</v>
      </c>
      <c r="AM164">
        <v>0</v>
      </c>
      <c r="AN164">
        <v>-8.4499999999999993</v>
      </c>
      <c r="AO164">
        <v>3.25</v>
      </c>
      <c r="AP164">
        <v>121</v>
      </c>
      <c r="AQ164">
        <v>1</v>
      </c>
      <c r="AR164">
        <v>8.23</v>
      </c>
      <c r="AS164">
        <v>36</v>
      </c>
      <c r="AT164">
        <v>3.33</v>
      </c>
      <c r="AU164">
        <v>86</v>
      </c>
      <c r="AV164">
        <v>-3.32</v>
      </c>
      <c r="AW164">
        <v>93</v>
      </c>
      <c r="AX164">
        <v>-0.56999999999999995</v>
      </c>
      <c r="AY164">
        <v>64</v>
      </c>
      <c r="AZ164">
        <v>6.18</v>
      </c>
      <c r="BA164">
        <v>39</v>
      </c>
      <c r="BB164">
        <v>4.8600000000000003</v>
      </c>
      <c r="BC164">
        <v>22</v>
      </c>
      <c r="BD164">
        <v>-0.04</v>
      </c>
      <c r="BE164">
        <v>-7.0000000000000007E-2</v>
      </c>
      <c r="BF164">
        <v>-0.13</v>
      </c>
      <c r="BG164">
        <v>53</v>
      </c>
      <c r="BH164">
        <v>0.12</v>
      </c>
      <c r="BI164">
        <v>-4.1399999999999997</v>
      </c>
      <c r="BJ164">
        <v>0</v>
      </c>
      <c r="BK164">
        <v>0</v>
      </c>
      <c r="BL164">
        <v>-1.57</v>
      </c>
      <c r="BM164">
        <v>0.64</v>
      </c>
      <c r="BN164">
        <v>-1.49</v>
      </c>
      <c r="BO164">
        <v>-1.54</v>
      </c>
      <c r="BP164">
        <v>1.67</v>
      </c>
      <c r="BQ164">
        <v>-1.1499999999999999</v>
      </c>
      <c r="BR164">
        <v>0.66</v>
      </c>
      <c r="BS164">
        <v>0.27</v>
      </c>
      <c r="BT164">
        <v>-0.73</v>
      </c>
      <c r="BU164">
        <v>-1.28</v>
      </c>
      <c r="BV164">
        <v>-2.66</v>
      </c>
      <c r="BW164">
        <v>-2.4</v>
      </c>
      <c r="BX164">
        <v>-0.98</v>
      </c>
      <c r="BY164">
        <v>-1.37</v>
      </c>
      <c r="BZ164">
        <v>-1.71</v>
      </c>
      <c r="CA164">
        <v>-1.73</v>
      </c>
      <c r="CB164">
        <v>-1.98</v>
      </c>
      <c r="CC164">
        <v>-0.57999999999999996</v>
      </c>
      <c r="CD164">
        <v>1.0900000000000001</v>
      </c>
      <c r="CE164">
        <v>-1.54</v>
      </c>
      <c r="CF164">
        <v>-1.69</v>
      </c>
      <c r="CG164">
        <v>0</v>
      </c>
      <c r="CH164">
        <v>-1.52</v>
      </c>
      <c r="CI164">
        <v>0</v>
      </c>
      <c r="CJ164">
        <v>6.7</v>
      </c>
      <c r="CK164">
        <v>84</v>
      </c>
      <c r="CL164">
        <v>-0.16</v>
      </c>
      <c r="CM164">
        <v>81</v>
      </c>
      <c r="CN164">
        <v>-0.5</v>
      </c>
      <c r="CO164">
        <v>79</v>
      </c>
      <c r="CP164">
        <v>3.8</v>
      </c>
      <c r="CQ164">
        <v>48</v>
      </c>
      <c r="CR164">
        <v>0</v>
      </c>
      <c r="CS164">
        <v>0</v>
      </c>
      <c r="CT164">
        <v>4.7</v>
      </c>
      <c r="CU164">
        <v>38</v>
      </c>
      <c r="CV164">
        <v>0.1</v>
      </c>
      <c r="CW164">
        <v>23</v>
      </c>
      <c r="CX164" t="s">
        <v>13218</v>
      </c>
    </row>
    <row r="165" spans="1:102" x14ac:dyDescent="0.3">
      <c r="A165" t="str">
        <f>HYPERLINK("https://webapp.icbf.com/v2/app/bull-search/view/933356809","FR2447")</f>
        <v>FR2447</v>
      </c>
      <c r="B165" t="s">
        <v>10318</v>
      </c>
      <c r="C165" t="s">
        <v>10319</v>
      </c>
      <c r="D165" s="1">
        <v>40759</v>
      </c>
      <c r="E165" t="s">
        <v>92</v>
      </c>
      <c r="F165">
        <v>78</v>
      </c>
      <c r="G165" t="s">
        <v>109</v>
      </c>
      <c r="H165">
        <v>227.21</v>
      </c>
      <c r="I165">
        <v>79</v>
      </c>
      <c r="J165">
        <v>112.87</v>
      </c>
      <c r="K165">
        <v>92</v>
      </c>
      <c r="L165">
        <v>78.31</v>
      </c>
      <c r="M165">
        <v>70</v>
      </c>
      <c r="N165">
        <v>37.94</v>
      </c>
      <c r="O165">
        <v>83</v>
      </c>
      <c r="P165">
        <v>-27.15</v>
      </c>
      <c r="Q165">
        <v>79</v>
      </c>
      <c r="R165">
        <v>0.28999999999999998</v>
      </c>
      <c r="S165">
        <v>69</v>
      </c>
      <c r="T165">
        <v>19.75</v>
      </c>
      <c r="U165">
        <v>70</v>
      </c>
      <c r="V165">
        <v>5.2</v>
      </c>
      <c r="W165">
        <v>59</v>
      </c>
      <c r="X165" t="s">
        <v>276</v>
      </c>
      <c r="Y165" t="s">
        <v>1775</v>
      </c>
      <c r="Z165" t="s">
        <v>330</v>
      </c>
      <c r="AA165" t="s">
        <v>2278</v>
      </c>
      <c r="AB165" t="s">
        <v>144</v>
      </c>
      <c r="AC165">
        <v>0</v>
      </c>
      <c r="AD165">
        <v>0</v>
      </c>
      <c r="AE165">
        <v>92</v>
      </c>
      <c r="AF165">
        <v>323.87</v>
      </c>
      <c r="AG165">
        <v>16.32</v>
      </c>
      <c r="AH165">
        <v>18.38</v>
      </c>
      <c r="AI165">
        <v>0.06</v>
      </c>
      <c r="AJ165">
        <v>0.12</v>
      </c>
      <c r="AK165">
        <v>70</v>
      </c>
      <c r="AL165">
        <v>0</v>
      </c>
      <c r="AM165">
        <v>0</v>
      </c>
      <c r="AN165">
        <v>-3.09</v>
      </c>
      <c r="AO165">
        <v>3.17</v>
      </c>
      <c r="AP165">
        <v>375</v>
      </c>
      <c r="AQ165">
        <v>0</v>
      </c>
      <c r="AR165">
        <v>5.55</v>
      </c>
      <c r="AS165">
        <v>63</v>
      </c>
      <c r="AT165">
        <v>2.37</v>
      </c>
      <c r="AU165">
        <v>91</v>
      </c>
      <c r="AV165">
        <v>-3.66</v>
      </c>
      <c r="AW165">
        <v>98</v>
      </c>
      <c r="AX165">
        <v>-0.55000000000000004</v>
      </c>
      <c r="AY165">
        <v>88</v>
      </c>
      <c r="AZ165">
        <v>7.54</v>
      </c>
      <c r="BA165">
        <v>53</v>
      </c>
      <c r="BB165">
        <v>5.32</v>
      </c>
      <c r="BC165">
        <v>34</v>
      </c>
      <c r="BD165">
        <v>-0.01</v>
      </c>
      <c r="BE165">
        <v>0</v>
      </c>
      <c r="BF165">
        <v>0.01</v>
      </c>
      <c r="BG165">
        <v>86</v>
      </c>
      <c r="BH165">
        <v>0.13</v>
      </c>
      <c r="BI165">
        <v>-1.72</v>
      </c>
      <c r="BJ165">
        <v>0</v>
      </c>
      <c r="BK165">
        <v>0</v>
      </c>
      <c r="BL165">
        <v>-1.58</v>
      </c>
      <c r="BM165">
        <v>2.95</v>
      </c>
      <c r="BN165">
        <v>1.26</v>
      </c>
      <c r="BO165">
        <v>-1.32</v>
      </c>
      <c r="BP165">
        <v>-0.05</v>
      </c>
      <c r="BQ165">
        <v>-0.57999999999999996</v>
      </c>
      <c r="BR165">
        <v>0.65</v>
      </c>
      <c r="BS165">
        <v>-0.57999999999999996</v>
      </c>
      <c r="BT165">
        <v>-0.56999999999999995</v>
      </c>
      <c r="BU165">
        <v>0.73</v>
      </c>
      <c r="BV165">
        <v>0.08</v>
      </c>
      <c r="BW165">
        <v>-0.51</v>
      </c>
      <c r="BX165">
        <v>-0.03</v>
      </c>
      <c r="BY165">
        <v>-1.2</v>
      </c>
      <c r="BZ165">
        <v>-0.88</v>
      </c>
      <c r="CA165">
        <v>0.36</v>
      </c>
      <c r="CB165">
        <v>0.35</v>
      </c>
      <c r="CC165">
        <v>-0.63</v>
      </c>
      <c r="CD165">
        <v>0.6</v>
      </c>
      <c r="CE165">
        <v>-7.0000000000000007E-2</v>
      </c>
      <c r="CF165">
        <v>-0.49</v>
      </c>
      <c r="CG165">
        <v>0</v>
      </c>
      <c r="CH165">
        <v>-0.45</v>
      </c>
      <c r="CI165">
        <v>0</v>
      </c>
      <c r="CJ165">
        <v>-13.7</v>
      </c>
      <c r="CK165">
        <v>83</v>
      </c>
      <c r="CL165">
        <v>-0.83</v>
      </c>
      <c r="CM165">
        <v>77</v>
      </c>
      <c r="CN165">
        <v>-0.25</v>
      </c>
      <c r="CO165">
        <v>76</v>
      </c>
      <c r="CP165">
        <v>-17.399999999999999</v>
      </c>
      <c r="CQ165">
        <v>60</v>
      </c>
      <c r="CR165">
        <v>0</v>
      </c>
      <c r="CS165">
        <v>0</v>
      </c>
      <c r="CT165">
        <v>-12.9</v>
      </c>
      <c r="CU165">
        <v>70</v>
      </c>
      <c r="CV165">
        <v>-0.13</v>
      </c>
      <c r="CW165">
        <v>42</v>
      </c>
      <c r="CX165" t="s">
        <v>7540</v>
      </c>
    </row>
    <row r="166" spans="1:102" x14ac:dyDescent="0.3">
      <c r="A166" t="str">
        <f>HYPERLINK("https://webapp.icbf.com/v2/app/bull-search/view/1308726526","FR2226")</f>
        <v>FR2226</v>
      </c>
      <c r="B166" t="s">
        <v>9365</v>
      </c>
      <c r="C166" t="s">
        <v>9366</v>
      </c>
      <c r="D166" s="1">
        <v>41885</v>
      </c>
      <c r="E166" t="s">
        <v>92</v>
      </c>
      <c r="F166">
        <v>100</v>
      </c>
      <c r="G166" t="s">
        <v>93</v>
      </c>
      <c r="H166">
        <v>227.08</v>
      </c>
      <c r="I166">
        <v>84</v>
      </c>
      <c r="J166">
        <v>79.05</v>
      </c>
      <c r="K166">
        <v>97</v>
      </c>
      <c r="L166">
        <v>72.95</v>
      </c>
      <c r="M166">
        <v>74</v>
      </c>
      <c r="N166">
        <v>64.97</v>
      </c>
      <c r="O166">
        <v>89</v>
      </c>
      <c r="P166">
        <v>-8.41</v>
      </c>
      <c r="Q166">
        <v>91</v>
      </c>
      <c r="R166">
        <v>14.53</v>
      </c>
      <c r="S166">
        <v>75</v>
      </c>
      <c r="T166">
        <v>-5.56</v>
      </c>
      <c r="U166">
        <v>67</v>
      </c>
      <c r="V166">
        <v>9.5500000000000007</v>
      </c>
      <c r="W166">
        <v>65</v>
      </c>
      <c r="X166" t="s">
        <v>276</v>
      </c>
      <c r="Y166" t="s">
        <v>405</v>
      </c>
      <c r="Z166" t="s">
        <v>96</v>
      </c>
      <c r="AA166" t="s">
        <v>9367</v>
      </c>
      <c r="AB166" t="s">
        <v>9368</v>
      </c>
      <c r="AC166">
        <v>244</v>
      </c>
      <c r="AD166">
        <v>85</v>
      </c>
      <c r="AE166">
        <v>97</v>
      </c>
      <c r="AF166">
        <v>561.16999999999996</v>
      </c>
      <c r="AG166">
        <v>18.13</v>
      </c>
      <c r="AH166">
        <v>15.62</v>
      </c>
      <c r="AI166">
        <v>-0.06</v>
      </c>
      <c r="AJ166">
        <v>-0.05</v>
      </c>
      <c r="AK166">
        <v>74</v>
      </c>
      <c r="AL166">
        <v>22</v>
      </c>
      <c r="AM166">
        <v>11</v>
      </c>
      <c r="AN166">
        <v>-3.03</v>
      </c>
      <c r="AO166">
        <v>2.8</v>
      </c>
      <c r="AP166">
        <v>2069</v>
      </c>
      <c r="AQ166">
        <v>21</v>
      </c>
      <c r="AR166">
        <v>4.0999999999999996</v>
      </c>
      <c r="AS166">
        <v>97</v>
      </c>
      <c r="AT166">
        <v>1.96</v>
      </c>
      <c r="AU166">
        <v>97</v>
      </c>
      <c r="AV166">
        <v>-5.77</v>
      </c>
      <c r="AW166">
        <v>99</v>
      </c>
      <c r="AX166">
        <v>0.03</v>
      </c>
      <c r="AY166">
        <v>97</v>
      </c>
      <c r="AZ166">
        <v>5.48</v>
      </c>
      <c r="BA166">
        <v>78</v>
      </c>
      <c r="BB166">
        <v>4.66</v>
      </c>
      <c r="BC166">
        <v>39</v>
      </c>
      <c r="BD166">
        <v>-0.06</v>
      </c>
      <c r="BE166">
        <v>-0.06</v>
      </c>
      <c r="BF166">
        <v>-0.12</v>
      </c>
      <c r="BG166">
        <v>90</v>
      </c>
      <c r="BH166">
        <v>0.03</v>
      </c>
      <c r="BI166">
        <v>-27.35</v>
      </c>
      <c r="BJ166">
        <v>26</v>
      </c>
      <c r="BK166">
        <v>12</v>
      </c>
      <c r="BL166">
        <v>1.63</v>
      </c>
      <c r="BM166">
        <v>-0.79</v>
      </c>
      <c r="BN166">
        <v>0.09</v>
      </c>
      <c r="BO166">
        <v>1.05</v>
      </c>
      <c r="BP166">
        <v>2.6</v>
      </c>
      <c r="BQ166">
        <v>0.94</v>
      </c>
      <c r="BR166">
        <v>1.68</v>
      </c>
      <c r="BS166">
        <v>2.71</v>
      </c>
      <c r="BT166">
        <v>-0.32</v>
      </c>
      <c r="BU166">
        <v>2.02</v>
      </c>
      <c r="BV166">
        <v>1.81</v>
      </c>
      <c r="BW166">
        <v>0.81</v>
      </c>
      <c r="BX166">
        <v>2.84</v>
      </c>
      <c r="BY166">
        <v>2.52</v>
      </c>
      <c r="BZ166">
        <v>-2.33</v>
      </c>
      <c r="CA166">
        <v>2.3199999999999998</v>
      </c>
      <c r="CB166">
        <v>2.1</v>
      </c>
      <c r="CC166">
        <v>1.78</v>
      </c>
      <c r="CD166">
        <v>-0.67</v>
      </c>
      <c r="CE166">
        <v>0.94</v>
      </c>
      <c r="CF166">
        <v>1.45</v>
      </c>
      <c r="CG166">
        <v>0</v>
      </c>
      <c r="CH166">
        <v>2.27</v>
      </c>
      <c r="CI166">
        <v>0</v>
      </c>
      <c r="CJ166">
        <v>-1.7</v>
      </c>
      <c r="CK166">
        <v>94</v>
      </c>
      <c r="CL166">
        <v>-1.22</v>
      </c>
      <c r="CM166">
        <v>93</v>
      </c>
      <c r="CN166">
        <v>-0.47</v>
      </c>
      <c r="CO166">
        <v>92</v>
      </c>
      <c r="CP166">
        <v>6.8</v>
      </c>
      <c r="CQ166">
        <v>64</v>
      </c>
      <c r="CR166">
        <v>0</v>
      </c>
      <c r="CS166">
        <v>0</v>
      </c>
      <c r="CT166">
        <v>21.3</v>
      </c>
      <c r="CU166">
        <v>67</v>
      </c>
      <c r="CV166">
        <v>0.27</v>
      </c>
      <c r="CW166">
        <v>45</v>
      </c>
      <c r="CX166" t="s">
        <v>9369</v>
      </c>
    </row>
    <row r="167" spans="1:102" x14ac:dyDescent="0.3">
      <c r="A167" t="str">
        <f>HYPERLINK("https://webapp.icbf.com/v2/app/bull-search/view/1337276027","FR2330")</f>
        <v>FR2330</v>
      </c>
      <c r="B167" t="s">
        <v>2226</v>
      </c>
      <c r="C167" t="s">
        <v>2227</v>
      </c>
      <c r="D167" s="1">
        <v>41916</v>
      </c>
      <c r="E167" t="s">
        <v>92</v>
      </c>
      <c r="F167">
        <v>100</v>
      </c>
      <c r="G167" t="s">
        <v>93</v>
      </c>
      <c r="H167">
        <v>227.05</v>
      </c>
      <c r="I167">
        <v>82</v>
      </c>
      <c r="J167">
        <v>75.45</v>
      </c>
      <c r="K167">
        <v>97</v>
      </c>
      <c r="L167">
        <v>104.57</v>
      </c>
      <c r="M167">
        <v>74</v>
      </c>
      <c r="N167">
        <v>30.96</v>
      </c>
      <c r="O167">
        <v>88</v>
      </c>
      <c r="P167">
        <v>-13.17</v>
      </c>
      <c r="Q167">
        <v>90</v>
      </c>
      <c r="R167">
        <v>25.27</v>
      </c>
      <c r="S167">
        <v>74</v>
      </c>
      <c r="T167">
        <v>-0.97</v>
      </c>
      <c r="U167">
        <v>46</v>
      </c>
      <c r="V167">
        <v>4.9400000000000004</v>
      </c>
      <c r="W167">
        <v>67</v>
      </c>
      <c r="X167" t="s">
        <v>276</v>
      </c>
      <c r="Y167" t="s">
        <v>429</v>
      </c>
      <c r="Z167" t="s">
        <v>96</v>
      </c>
      <c r="AA167" t="s">
        <v>2228</v>
      </c>
      <c r="AB167" t="s">
        <v>2229</v>
      </c>
      <c r="AC167">
        <v>238</v>
      </c>
      <c r="AD167">
        <v>91</v>
      </c>
      <c r="AE167">
        <v>97</v>
      </c>
      <c r="AF167">
        <v>200.59</v>
      </c>
      <c r="AG167">
        <v>17.53</v>
      </c>
      <c r="AH167">
        <v>9.6999999999999993</v>
      </c>
      <c r="AI167">
        <v>0.16</v>
      </c>
      <c r="AJ167">
        <v>0.05</v>
      </c>
      <c r="AK167">
        <v>74</v>
      </c>
      <c r="AL167">
        <v>2</v>
      </c>
      <c r="AM167">
        <v>1</v>
      </c>
      <c r="AN167">
        <v>-5.67</v>
      </c>
      <c r="AO167">
        <v>2.67</v>
      </c>
      <c r="AP167">
        <v>984</v>
      </c>
      <c r="AQ167">
        <v>1</v>
      </c>
      <c r="AR167">
        <v>6.43</v>
      </c>
      <c r="AS167">
        <v>93</v>
      </c>
      <c r="AT167">
        <v>2.59</v>
      </c>
      <c r="AU167">
        <v>95</v>
      </c>
      <c r="AV167">
        <v>-3.04</v>
      </c>
      <c r="AW167">
        <v>99</v>
      </c>
      <c r="AX167">
        <v>-0.14000000000000001</v>
      </c>
      <c r="AY167">
        <v>94</v>
      </c>
      <c r="AZ167">
        <v>5.69</v>
      </c>
      <c r="BA167">
        <v>73</v>
      </c>
      <c r="BB167">
        <v>5.39</v>
      </c>
      <c r="BC167">
        <v>36</v>
      </c>
      <c r="BD167">
        <v>-0.09</v>
      </c>
      <c r="BE167">
        <v>-0.09</v>
      </c>
      <c r="BF167">
        <v>-0.26</v>
      </c>
      <c r="BG167">
        <v>88</v>
      </c>
      <c r="BH167">
        <v>-0.1</v>
      </c>
      <c r="BI167">
        <v>-27.51</v>
      </c>
      <c r="BJ167">
        <v>2</v>
      </c>
      <c r="BK167">
        <v>2</v>
      </c>
      <c r="BL167">
        <v>1.2</v>
      </c>
      <c r="BM167">
        <v>-1.36</v>
      </c>
      <c r="BN167">
        <v>-0.68</v>
      </c>
      <c r="BO167">
        <v>0.41</v>
      </c>
      <c r="BP167">
        <v>-1.22</v>
      </c>
      <c r="BQ167">
        <v>-0.84</v>
      </c>
      <c r="BR167">
        <v>-1.28</v>
      </c>
      <c r="BS167">
        <v>1.82</v>
      </c>
      <c r="BT167">
        <v>1.61</v>
      </c>
      <c r="BU167">
        <v>4.07</v>
      </c>
      <c r="BV167">
        <v>2.11</v>
      </c>
      <c r="BW167">
        <v>1.56</v>
      </c>
      <c r="BX167">
        <v>3.42</v>
      </c>
      <c r="BY167">
        <v>1.57</v>
      </c>
      <c r="BZ167">
        <v>-0.05</v>
      </c>
      <c r="CA167">
        <v>2.4300000000000002</v>
      </c>
      <c r="CB167">
        <v>2.23</v>
      </c>
      <c r="CC167">
        <v>1.3</v>
      </c>
      <c r="CD167">
        <v>0.39</v>
      </c>
      <c r="CE167">
        <v>1.18</v>
      </c>
      <c r="CF167">
        <v>1.26</v>
      </c>
      <c r="CG167">
        <v>0</v>
      </c>
      <c r="CH167">
        <v>1.32</v>
      </c>
      <c r="CI167">
        <v>0</v>
      </c>
      <c r="CJ167">
        <v>-3.5</v>
      </c>
      <c r="CK167">
        <v>94</v>
      </c>
      <c r="CL167">
        <v>-1.4</v>
      </c>
      <c r="CM167">
        <v>92</v>
      </c>
      <c r="CN167">
        <v>-0.49</v>
      </c>
      <c r="CO167">
        <v>92</v>
      </c>
      <c r="CP167">
        <v>2.5</v>
      </c>
      <c r="CQ167">
        <v>55</v>
      </c>
      <c r="CR167">
        <v>0</v>
      </c>
      <c r="CS167">
        <v>0</v>
      </c>
      <c r="CT167">
        <v>15.1</v>
      </c>
      <c r="CU167">
        <v>46</v>
      </c>
      <c r="CV167">
        <v>0.28999999999999998</v>
      </c>
      <c r="CW167">
        <v>45</v>
      </c>
      <c r="CX167" t="s">
        <v>401</v>
      </c>
    </row>
    <row r="168" spans="1:102" x14ac:dyDescent="0.3">
      <c r="A168" t="str">
        <f>HYPERLINK("https://webapp.icbf.com/v2/app/bull-search/view/1292341345","FR2323")</f>
        <v>FR2323</v>
      </c>
      <c r="B168" t="s">
        <v>6026</v>
      </c>
      <c r="C168" t="s">
        <v>6027</v>
      </c>
      <c r="D168" s="1">
        <v>41719</v>
      </c>
      <c r="E168" t="s">
        <v>92</v>
      </c>
      <c r="F168">
        <v>100</v>
      </c>
      <c r="G168" t="s">
        <v>93</v>
      </c>
      <c r="H168">
        <v>226.99</v>
      </c>
      <c r="I168">
        <v>82</v>
      </c>
      <c r="J168">
        <v>80.37</v>
      </c>
      <c r="K168">
        <v>96</v>
      </c>
      <c r="L168">
        <v>128.41999999999999</v>
      </c>
      <c r="M168">
        <v>76</v>
      </c>
      <c r="N168">
        <v>11.58</v>
      </c>
      <c r="O168">
        <v>85</v>
      </c>
      <c r="P168">
        <v>-21.3</v>
      </c>
      <c r="Q168">
        <v>89</v>
      </c>
      <c r="R168">
        <v>24.25</v>
      </c>
      <c r="S168">
        <v>75</v>
      </c>
      <c r="T168">
        <v>-5.64</v>
      </c>
      <c r="U168">
        <v>52</v>
      </c>
      <c r="V168">
        <v>9.31</v>
      </c>
      <c r="W168">
        <v>66</v>
      </c>
      <c r="X168" t="s">
        <v>428</v>
      </c>
      <c r="Y168" t="s">
        <v>429</v>
      </c>
      <c r="Z168" t="s">
        <v>96</v>
      </c>
      <c r="AA168" t="s">
        <v>2707</v>
      </c>
      <c r="AB168" t="s">
        <v>6028</v>
      </c>
      <c r="AC168">
        <v>134</v>
      </c>
      <c r="AD168">
        <v>49</v>
      </c>
      <c r="AE168">
        <v>96</v>
      </c>
      <c r="AF168">
        <v>415.12</v>
      </c>
      <c r="AG168">
        <v>18.41</v>
      </c>
      <c r="AH168">
        <v>13.51</v>
      </c>
      <c r="AI168">
        <v>0.04</v>
      </c>
      <c r="AJ168">
        <v>-0.01</v>
      </c>
      <c r="AK168">
        <v>76</v>
      </c>
      <c r="AL168">
        <v>0</v>
      </c>
      <c r="AM168">
        <v>0</v>
      </c>
      <c r="AN168">
        <v>-7.88</v>
      </c>
      <c r="AO168">
        <v>2.35</v>
      </c>
      <c r="AP168">
        <v>378</v>
      </c>
      <c r="AQ168">
        <v>0</v>
      </c>
      <c r="AR168">
        <v>9.0299999999999994</v>
      </c>
      <c r="AS168">
        <v>85</v>
      </c>
      <c r="AT168">
        <v>3.8</v>
      </c>
      <c r="AU168">
        <v>92</v>
      </c>
      <c r="AV168">
        <v>-2.6</v>
      </c>
      <c r="AW168">
        <v>97</v>
      </c>
      <c r="AX168">
        <v>0.13</v>
      </c>
      <c r="AY168">
        <v>86</v>
      </c>
      <c r="AZ168">
        <v>5.19</v>
      </c>
      <c r="BA168">
        <v>69</v>
      </c>
      <c r="BB168">
        <v>5.0199999999999996</v>
      </c>
      <c r="BC168">
        <v>41</v>
      </c>
      <c r="BD168">
        <v>-7.0000000000000007E-2</v>
      </c>
      <c r="BE168">
        <v>-0.09</v>
      </c>
      <c r="BF168">
        <v>-0.27</v>
      </c>
      <c r="BG168">
        <v>89</v>
      </c>
      <c r="BH168">
        <v>-0.05</v>
      </c>
      <c r="BI168">
        <v>-35.82</v>
      </c>
      <c r="BJ168">
        <v>0</v>
      </c>
      <c r="BK168">
        <v>0</v>
      </c>
      <c r="BL168">
        <v>2.56</v>
      </c>
      <c r="BM168">
        <v>0.23</v>
      </c>
      <c r="BN168">
        <v>0.16</v>
      </c>
      <c r="BO168">
        <v>0.64</v>
      </c>
      <c r="BP168">
        <v>-2.1</v>
      </c>
      <c r="BQ168">
        <v>1.05</v>
      </c>
      <c r="BR168">
        <v>0.55000000000000004</v>
      </c>
      <c r="BS168">
        <v>1.81</v>
      </c>
      <c r="BT168">
        <v>1.32</v>
      </c>
      <c r="BU168">
        <v>3.17</v>
      </c>
      <c r="BV168">
        <v>3.23</v>
      </c>
      <c r="BW168">
        <v>4.1900000000000004</v>
      </c>
      <c r="BX168">
        <v>3.42</v>
      </c>
      <c r="BY168">
        <v>2.04</v>
      </c>
      <c r="BZ168">
        <v>-3.09</v>
      </c>
      <c r="CA168">
        <v>3.22</v>
      </c>
      <c r="CB168">
        <v>3.31</v>
      </c>
      <c r="CC168">
        <v>0.88</v>
      </c>
      <c r="CD168">
        <v>-0.55000000000000004</v>
      </c>
      <c r="CE168">
        <v>0.79</v>
      </c>
      <c r="CF168">
        <v>1.71</v>
      </c>
      <c r="CG168">
        <v>0</v>
      </c>
      <c r="CH168">
        <v>2.98</v>
      </c>
      <c r="CI168">
        <v>0</v>
      </c>
      <c r="CJ168">
        <v>-8.1</v>
      </c>
      <c r="CK168">
        <v>92</v>
      </c>
      <c r="CL168">
        <v>-1.55</v>
      </c>
      <c r="CM168">
        <v>90</v>
      </c>
      <c r="CN168">
        <v>-0.54</v>
      </c>
      <c r="CO168">
        <v>89</v>
      </c>
      <c r="CP168">
        <v>-3</v>
      </c>
      <c r="CQ168">
        <v>61</v>
      </c>
      <c r="CR168">
        <v>0</v>
      </c>
      <c r="CS168">
        <v>0</v>
      </c>
      <c r="CT168">
        <v>21.4</v>
      </c>
      <c r="CU168">
        <v>52</v>
      </c>
      <c r="CV168">
        <v>0.24</v>
      </c>
      <c r="CW168">
        <v>45</v>
      </c>
      <c r="CX168" t="s">
        <v>401</v>
      </c>
    </row>
    <row r="169" spans="1:102" x14ac:dyDescent="0.3">
      <c r="A169" t="str">
        <f>HYPERLINK("https://webapp.icbf.com/v2/app/bull-search/view/1103481380","FR2440")</f>
        <v>FR2440</v>
      </c>
      <c r="B169" t="s">
        <v>6349</v>
      </c>
      <c r="C169" t="s">
        <v>6350</v>
      </c>
      <c r="D169" s="1">
        <v>40764</v>
      </c>
      <c r="E169" t="s">
        <v>92</v>
      </c>
      <c r="F169">
        <v>56</v>
      </c>
      <c r="G169" t="s">
        <v>109</v>
      </c>
      <c r="H169">
        <v>226.96</v>
      </c>
      <c r="I169">
        <v>75</v>
      </c>
      <c r="J169">
        <v>86.73</v>
      </c>
      <c r="K169">
        <v>87</v>
      </c>
      <c r="L169">
        <v>70.290000000000006</v>
      </c>
      <c r="M169">
        <v>69</v>
      </c>
      <c r="N169">
        <v>53.6</v>
      </c>
      <c r="O169">
        <v>85</v>
      </c>
      <c r="P169">
        <v>-42.46</v>
      </c>
      <c r="Q169">
        <v>69</v>
      </c>
      <c r="R169">
        <v>-4.3600000000000003</v>
      </c>
      <c r="S169">
        <v>70</v>
      </c>
      <c r="T169">
        <v>47.2</v>
      </c>
      <c r="U169">
        <v>52</v>
      </c>
      <c r="V169">
        <v>15.96</v>
      </c>
      <c r="W169">
        <v>55</v>
      </c>
      <c r="X169" t="s">
        <v>276</v>
      </c>
      <c r="Y169" t="s">
        <v>429</v>
      </c>
      <c r="Z169" t="s">
        <v>330</v>
      </c>
      <c r="AA169" t="s">
        <v>2338</v>
      </c>
      <c r="AB169" t="s">
        <v>144</v>
      </c>
      <c r="AC169">
        <v>0</v>
      </c>
      <c r="AD169">
        <v>0</v>
      </c>
      <c r="AE169">
        <v>87</v>
      </c>
      <c r="AF169">
        <v>-217.2</v>
      </c>
      <c r="AG169">
        <v>17.12</v>
      </c>
      <c r="AH169">
        <v>5.37</v>
      </c>
      <c r="AI169">
        <v>0.46</v>
      </c>
      <c r="AJ169">
        <v>0.23</v>
      </c>
      <c r="AK169">
        <v>69</v>
      </c>
      <c r="AL169">
        <v>0</v>
      </c>
      <c r="AM169">
        <v>0</v>
      </c>
      <c r="AN169">
        <v>-4.29</v>
      </c>
      <c r="AO169">
        <v>1.31</v>
      </c>
      <c r="AP169">
        <v>507</v>
      </c>
      <c r="AQ169">
        <v>13</v>
      </c>
      <c r="AR169">
        <v>3.83</v>
      </c>
      <c r="AS169">
        <v>89</v>
      </c>
      <c r="AT169">
        <v>1.91</v>
      </c>
      <c r="AU169">
        <v>90</v>
      </c>
      <c r="AV169">
        <v>-5.9</v>
      </c>
      <c r="AW169">
        <v>98</v>
      </c>
      <c r="AX169">
        <v>1.01</v>
      </c>
      <c r="AY169">
        <v>89</v>
      </c>
      <c r="AZ169">
        <v>7.31</v>
      </c>
      <c r="BA169">
        <v>43</v>
      </c>
      <c r="BB169">
        <v>6.15</v>
      </c>
      <c r="BC169">
        <v>42</v>
      </c>
      <c r="BD169">
        <v>-0.01</v>
      </c>
      <c r="BE169">
        <v>0.03</v>
      </c>
      <c r="BF169">
        <v>0.06</v>
      </c>
      <c r="BG169">
        <v>87</v>
      </c>
      <c r="BH169">
        <v>0.27</v>
      </c>
      <c r="BI169">
        <v>-20.260000000000002</v>
      </c>
      <c r="BJ169">
        <v>0</v>
      </c>
      <c r="BK169">
        <v>0</v>
      </c>
      <c r="BL169">
        <v>-2.93</v>
      </c>
      <c r="BM169">
        <v>-0.31</v>
      </c>
      <c r="BN169">
        <v>-1.3</v>
      </c>
      <c r="BO169">
        <v>0</v>
      </c>
      <c r="BP169">
        <v>-1.87</v>
      </c>
      <c r="BQ169">
        <v>-3.92</v>
      </c>
      <c r="BR169">
        <v>1.55</v>
      </c>
      <c r="BS169">
        <v>0</v>
      </c>
      <c r="BT169">
        <v>0</v>
      </c>
      <c r="BU169">
        <v>-0.68</v>
      </c>
      <c r="BV169">
        <v>0</v>
      </c>
      <c r="BW169">
        <v>-0.71</v>
      </c>
      <c r="BX169">
        <v>0</v>
      </c>
      <c r="BY169">
        <v>-0.13</v>
      </c>
      <c r="BZ169">
        <v>0</v>
      </c>
      <c r="CA169">
        <v>-0.74</v>
      </c>
      <c r="CB169">
        <v>-0.44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-23.3</v>
      </c>
      <c r="CK169">
        <v>75</v>
      </c>
      <c r="CL169">
        <v>-0.82</v>
      </c>
      <c r="CM169">
        <v>63</v>
      </c>
      <c r="CN169">
        <v>-0.3</v>
      </c>
      <c r="CO169">
        <v>61</v>
      </c>
      <c r="CP169">
        <v>-35.700000000000003</v>
      </c>
      <c r="CQ169">
        <v>54</v>
      </c>
      <c r="CR169">
        <v>0</v>
      </c>
      <c r="CS169">
        <v>0</v>
      </c>
      <c r="CT169">
        <v>-50</v>
      </c>
      <c r="CU169">
        <v>52</v>
      </c>
      <c r="CV169">
        <v>-0.14000000000000001</v>
      </c>
      <c r="CW169">
        <v>41</v>
      </c>
      <c r="CX169" t="s">
        <v>2339</v>
      </c>
    </row>
    <row r="170" spans="1:102" x14ac:dyDescent="0.3">
      <c r="A170" t="str">
        <f>HYPERLINK("https://webapp.icbf.com/v2/app/bull-search/view/753532305","WSL")</f>
        <v>WSL</v>
      </c>
      <c r="B170" t="s">
        <v>12916</v>
      </c>
      <c r="C170" t="s">
        <v>12917</v>
      </c>
      <c r="D170" s="1">
        <v>40237</v>
      </c>
      <c r="E170" t="s">
        <v>108</v>
      </c>
      <c r="F170">
        <v>47</v>
      </c>
      <c r="G170" t="s">
        <v>93</v>
      </c>
      <c r="H170">
        <v>226.94</v>
      </c>
      <c r="I170">
        <v>86</v>
      </c>
      <c r="J170">
        <v>43.29</v>
      </c>
      <c r="K170">
        <v>97</v>
      </c>
      <c r="L170">
        <v>118.39</v>
      </c>
      <c r="M170">
        <v>77</v>
      </c>
      <c r="N170">
        <v>39.369999999999997</v>
      </c>
      <c r="O170">
        <v>86</v>
      </c>
      <c r="P170">
        <v>-2.58</v>
      </c>
      <c r="Q170">
        <v>92</v>
      </c>
      <c r="R170">
        <v>3.49</v>
      </c>
      <c r="S170">
        <v>78</v>
      </c>
      <c r="T170">
        <v>12.79</v>
      </c>
      <c r="U170">
        <v>83</v>
      </c>
      <c r="V170">
        <v>12.19</v>
      </c>
      <c r="W170">
        <v>72</v>
      </c>
      <c r="X170" t="s">
        <v>94</v>
      </c>
      <c r="Y170" t="s">
        <v>1685</v>
      </c>
      <c r="Z170" t="s">
        <v>96</v>
      </c>
      <c r="AA170" t="s">
        <v>1942</v>
      </c>
      <c r="AB170" t="s">
        <v>12918</v>
      </c>
      <c r="AC170">
        <v>101</v>
      </c>
      <c r="AD170">
        <v>71</v>
      </c>
      <c r="AE170">
        <v>97</v>
      </c>
      <c r="AF170">
        <v>79.31</v>
      </c>
      <c r="AG170">
        <v>2.59</v>
      </c>
      <c r="AH170">
        <v>7.66</v>
      </c>
      <c r="AI170">
        <v>-0.01</v>
      </c>
      <c r="AJ170">
        <v>0.09</v>
      </c>
      <c r="AK170">
        <v>77</v>
      </c>
      <c r="AL170">
        <v>99</v>
      </c>
      <c r="AM170">
        <v>72</v>
      </c>
      <c r="AN170">
        <v>-5.78</v>
      </c>
      <c r="AO170">
        <v>3.67</v>
      </c>
      <c r="AP170">
        <v>198</v>
      </c>
      <c r="AQ170">
        <v>1</v>
      </c>
      <c r="AR170">
        <v>4.54</v>
      </c>
      <c r="AS170">
        <v>76</v>
      </c>
      <c r="AT170">
        <v>1.54</v>
      </c>
      <c r="AU170">
        <v>86</v>
      </c>
      <c r="AV170">
        <v>-2.5099999999999998</v>
      </c>
      <c r="AW170">
        <v>96</v>
      </c>
      <c r="AX170">
        <v>-0.49</v>
      </c>
      <c r="AY170">
        <v>82</v>
      </c>
      <c r="AZ170">
        <v>6.12</v>
      </c>
      <c r="BA170">
        <v>66</v>
      </c>
      <c r="BB170">
        <v>5.04</v>
      </c>
      <c r="BC170">
        <v>66</v>
      </c>
      <c r="BD170">
        <v>-0.02</v>
      </c>
      <c r="BE170">
        <v>-0.03</v>
      </c>
      <c r="BF170">
        <v>0.01</v>
      </c>
      <c r="BG170">
        <v>88</v>
      </c>
      <c r="BH170">
        <v>0.13</v>
      </c>
      <c r="BI170">
        <v>-24.27</v>
      </c>
      <c r="BJ170">
        <v>9</v>
      </c>
      <c r="BK170">
        <v>5</v>
      </c>
      <c r="BL170">
        <v>-1.1599999999999999</v>
      </c>
      <c r="BM170">
        <v>0.05</v>
      </c>
      <c r="BN170">
        <v>-2.67</v>
      </c>
      <c r="BO170">
        <v>-1.91</v>
      </c>
      <c r="BP170">
        <v>1.48</v>
      </c>
      <c r="BQ170">
        <v>-0.12</v>
      </c>
      <c r="BR170">
        <v>-2.72</v>
      </c>
      <c r="BS170">
        <v>0.78</v>
      </c>
      <c r="BT170">
        <v>1.66</v>
      </c>
      <c r="BU170">
        <v>-0.61</v>
      </c>
      <c r="BV170">
        <v>-1.56</v>
      </c>
      <c r="BW170">
        <v>-1.31</v>
      </c>
      <c r="BX170">
        <v>0.45</v>
      </c>
      <c r="BY170">
        <v>-1.84</v>
      </c>
      <c r="BZ170">
        <v>-2.75</v>
      </c>
      <c r="CA170">
        <v>-0.56999999999999995</v>
      </c>
      <c r="CB170">
        <v>-1.1599999999999999</v>
      </c>
      <c r="CC170">
        <v>0.59</v>
      </c>
      <c r="CD170">
        <v>1.85</v>
      </c>
      <c r="CE170">
        <v>-2.0299999999999998</v>
      </c>
      <c r="CF170">
        <v>-0.84</v>
      </c>
      <c r="CG170">
        <v>0</v>
      </c>
      <c r="CH170">
        <v>-0.64</v>
      </c>
      <c r="CI170">
        <v>0</v>
      </c>
      <c r="CJ170">
        <v>-0.2</v>
      </c>
      <c r="CK170">
        <v>94</v>
      </c>
      <c r="CL170">
        <v>-0.19</v>
      </c>
      <c r="CM170">
        <v>92</v>
      </c>
      <c r="CN170">
        <v>0</v>
      </c>
      <c r="CO170">
        <v>91</v>
      </c>
      <c r="CP170">
        <v>-2.2999999999999998</v>
      </c>
      <c r="CQ170">
        <v>85</v>
      </c>
      <c r="CR170">
        <v>0</v>
      </c>
      <c r="CS170">
        <v>0</v>
      </c>
      <c r="CT170">
        <v>-3.5</v>
      </c>
      <c r="CU170">
        <v>83</v>
      </c>
      <c r="CV170">
        <v>7.0000000000000007E-2</v>
      </c>
      <c r="CW170">
        <v>47</v>
      </c>
      <c r="CX170" t="s">
        <v>4458</v>
      </c>
    </row>
    <row r="171" spans="1:102" x14ac:dyDescent="0.3">
      <c r="A171" t="str">
        <f>HYPERLINK("https://webapp.icbf.com/v2/app/bull-search/view/1253654431","FR2249")</f>
        <v>FR2249</v>
      </c>
      <c r="B171" t="s">
        <v>10232</v>
      </c>
      <c r="C171" t="s">
        <v>2512</v>
      </c>
      <c r="D171" s="1">
        <v>42063</v>
      </c>
      <c r="E171" t="s">
        <v>92</v>
      </c>
      <c r="F171">
        <v>75</v>
      </c>
      <c r="G171" t="s">
        <v>93</v>
      </c>
      <c r="H171">
        <v>226.87</v>
      </c>
      <c r="I171">
        <v>89</v>
      </c>
      <c r="J171">
        <v>135.58000000000001</v>
      </c>
      <c r="K171">
        <v>99</v>
      </c>
      <c r="L171">
        <v>59.2</v>
      </c>
      <c r="M171">
        <v>79</v>
      </c>
      <c r="N171">
        <v>48.78</v>
      </c>
      <c r="O171">
        <v>92</v>
      </c>
      <c r="P171">
        <v>-14.97</v>
      </c>
      <c r="Q171">
        <v>97</v>
      </c>
      <c r="R171">
        <v>-14.19</v>
      </c>
      <c r="S171">
        <v>85</v>
      </c>
      <c r="T171">
        <v>2.65</v>
      </c>
      <c r="U171">
        <v>86</v>
      </c>
      <c r="V171">
        <v>9.82</v>
      </c>
      <c r="W171">
        <v>76</v>
      </c>
      <c r="X171" t="s">
        <v>102</v>
      </c>
      <c r="Y171" t="s">
        <v>416</v>
      </c>
      <c r="Z171" t="s">
        <v>96</v>
      </c>
      <c r="AA171" t="s">
        <v>6315</v>
      </c>
      <c r="AB171" t="s">
        <v>10233</v>
      </c>
      <c r="AC171">
        <v>921</v>
      </c>
      <c r="AD171">
        <v>308</v>
      </c>
      <c r="AE171">
        <v>99</v>
      </c>
      <c r="AF171">
        <v>385.33</v>
      </c>
      <c r="AG171">
        <v>15.62</v>
      </c>
      <c r="AH171">
        <v>23.43</v>
      </c>
      <c r="AI171">
        <v>0.01</v>
      </c>
      <c r="AJ171">
        <v>0.17</v>
      </c>
      <c r="AK171">
        <v>79</v>
      </c>
      <c r="AL171">
        <v>0</v>
      </c>
      <c r="AM171">
        <v>0</v>
      </c>
      <c r="AN171">
        <v>-1.73</v>
      </c>
      <c r="AO171">
        <v>3.01</v>
      </c>
      <c r="AP171">
        <v>13880</v>
      </c>
      <c r="AQ171">
        <v>51</v>
      </c>
      <c r="AR171">
        <v>6.66</v>
      </c>
      <c r="AS171">
        <v>97</v>
      </c>
      <c r="AT171">
        <v>2.5099999999999998</v>
      </c>
      <c r="AU171">
        <v>99</v>
      </c>
      <c r="AV171">
        <v>-5.36</v>
      </c>
      <c r="AW171">
        <v>99</v>
      </c>
      <c r="AX171">
        <v>-0.45</v>
      </c>
      <c r="AY171">
        <v>99</v>
      </c>
      <c r="AZ171">
        <v>6.27</v>
      </c>
      <c r="BA171">
        <v>92</v>
      </c>
      <c r="BB171">
        <v>5.5</v>
      </c>
      <c r="BC171">
        <v>45</v>
      </c>
      <c r="BD171">
        <v>-0.01</v>
      </c>
      <c r="BE171">
        <v>7.0000000000000007E-2</v>
      </c>
      <c r="BF171">
        <v>0.21</v>
      </c>
      <c r="BG171">
        <v>97</v>
      </c>
      <c r="BH171">
        <v>0.09</v>
      </c>
      <c r="BI171">
        <v>-21.27</v>
      </c>
      <c r="BJ171">
        <v>1</v>
      </c>
      <c r="BK171">
        <v>1</v>
      </c>
      <c r="BL171">
        <v>0.3</v>
      </c>
      <c r="BM171">
        <v>1.01</v>
      </c>
      <c r="BN171">
        <v>-0.09</v>
      </c>
      <c r="BO171">
        <v>-0.59</v>
      </c>
      <c r="BP171">
        <v>-0.47</v>
      </c>
      <c r="BQ171">
        <v>0.66</v>
      </c>
      <c r="BR171">
        <v>1.21</v>
      </c>
      <c r="BS171">
        <v>-3.36</v>
      </c>
      <c r="BT171">
        <v>-1.97</v>
      </c>
      <c r="BU171">
        <v>-0.17</v>
      </c>
      <c r="BV171">
        <v>-0.66</v>
      </c>
      <c r="BW171">
        <v>-1.17</v>
      </c>
      <c r="BX171">
        <v>-0.48</v>
      </c>
      <c r="BY171">
        <v>-0.86</v>
      </c>
      <c r="BZ171">
        <v>-0.14000000000000001</v>
      </c>
      <c r="CA171">
        <v>-0.52</v>
      </c>
      <c r="CB171">
        <v>-0.45</v>
      </c>
      <c r="CC171">
        <v>-0.75</v>
      </c>
      <c r="CD171">
        <v>0.3</v>
      </c>
      <c r="CE171">
        <v>0.09</v>
      </c>
      <c r="CF171">
        <v>-0.06</v>
      </c>
      <c r="CG171">
        <v>0</v>
      </c>
      <c r="CH171">
        <v>-0.93</v>
      </c>
      <c r="CI171">
        <v>0</v>
      </c>
      <c r="CJ171">
        <v>-4.3</v>
      </c>
      <c r="CK171">
        <v>99</v>
      </c>
      <c r="CL171">
        <v>-1.0900000000000001</v>
      </c>
      <c r="CM171">
        <v>99</v>
      </c>
      <c r="CN171">
        <v>-0.22</v>
      </c>
      <c r="CO171">
        <v>99</v>
      </c>
      <c r="CP171">
        <v>-2.4</v>
      </c>
      <c r="CQ171">
        <v>80</v>
      </c>
      <c r="CR171">
        <v>0</v>
      </c>
      <c r="CS171">
        <v>0</v>
      </c>
      <c r="CT171">
        <v>10.199999999999999</v>
      </c>
      <c r="CU171">
        <v>86</v>
      </c>
      <c r="CV171">
        <v>0.18</v>
      </c>
      <c r="CW171">
        <v>46</v>
      </c>
      <c r="CX171" t="s">
        <v>1939</v>
      </c>
    </row>
    <row r="172" spans="1:102" x14ac:dyDescent="0.3">
      <c r="A172" t="str">
        <f>HYPERLINK("https://webapp.icbf.com/v2/app/bull-search/view/1150913746","FR4503")</f>
        <v>FR4503</v>
      </c>
      <c r="B172" t="s">
        <v>9507</v>
      </c>
      <c r="C172" t="s">
        <v>9508</v>
      </c>
      <c r="D172" s="1">
        <v>41494</v>
      </c>
      <c r="E172" t="s">
        <v>92</v>
      </c>
      <c r="F172">
        <v>94</v>
      </c>
      <c r="G172" t="s">
        <v>109</v>
      </c>
      <c r="H172">
        <v>226.48</v>
      </c>
      <c r="I172">
        <v>69</v>
      </c>
      <c r="J172">
        <v>92.02</v>
      </c>
      <c r="K172">
        <v>87</v>
      </c>
      <c r="L172">
        <v>93.08</v>
      </c>
      <c r="M172">
        <v>64</v>
      </c>
      <c r="N172">
        <v>41.83</v>
      </c>
      <c r="O172">
        <v>79</v>
      </c>
      <c r="P172">
        <v>-32.049999999999997</v>
      </c>
      <c r="Q172">
        <v>48</v>
      </c>
      <c r="R172">
        <v>7.26</v>
      </c>
      <c r="S172">
        <v>62</v>
      </c>
      <c r="T172">
        <v>25.52</v>
      </c>
      <c r="U172">
        <v>43</v>
      </c>
      <c r="V172">
        <v>-1.18</v>
      </c>
      <c r="W172">
        <v>48</v>
      </c>
      <c r="X172" t="s">
        <v>276</v>
      </c>
      <c r="Y172" t="s">
        <v>442</v>
      </c>
      <c r="Z172" t="s">
        <v>330</v>
      </c>
      <c r="AA172" t="s">
        <v>5986</v>
      </c>
      <c r="AB172" t="s">
        <v>144</v>
      </c>
      <c r="AC172">
        <v>0</v>
      </c>
      <c r="AD172">
        <v>0</v>
      </c>
      <c r="AE172">
        <v>87</v>
      </c>
      <c r="AF172">
        <v>79.63</v>
      </c>
      <c r="AG172">
        <v>17.21</v>
      </c>
      <c r="AH172">
        <v>10.78</v>
      </c>
      <c r="AI172">
        <v>0.24</v>
      </c>
      <c r="AJ172">
        <v>0.14000000000000001</v>
      </c>
      <c r="AK172">
        <v>64</v>
      </c>
      <c r="AL172">
        <v>0</v>
      </c>
      <c r="AM172">
        <v>0</v>
      </c>
      <c r="AN172">
        <v>-3.74</v>
      </c>
      <c r="AO172">
        <v>3.7</v>
      </c>
      <c r="AP172">
        <v>268</v>
      </c>
      <c r="AQ172">
        <v>0</v>
      </c>
      <c r="AR172">
        <v>3.5</v>
      </c>
      <c r="AS172">
        <v>57</v>
      </c>
      <c r="AT172">
        <v>1.53</v>
      </c>
      <c r="AU172">
        <v>89</v>
      </c>
      <c r="AV172">
        <v>-3.07</v>
      </c>
      <c r="AW172">
        <v>97</v>
      </c>
      <c r="AX172">
        <v>0</v>
      </c>
      <c r="AY172">
        <v>82</v>
      </c>
      <c r="AZ172">
        <v>6.73</v>
      </c>
      <c r="BA172">
        <v>32</v>
      </c>
      <c r="BB172">
        <v>5.34</v>
      </c>
      <c r="BC172">
        <v>30</v>
      </c>
      <c r="BD172">
        <v>-0.09</v>
      </c>
      <c r="BE172">
        <v>-0.03</v>
      </c>
      <c r="BF172">
        <v>0.04</v>
      </c>
      <c r="BG172">
        <v>80</v>
      </c>
      <c r="BH172">
        <v>0.06</v>
      </c>
      <c r="BI172">
        <v>10.76</v>
      </c>
      <c r="BJ172">
        <v>0</v>
      </c>
      <c r="BK172">
        <v>0</v>
      </c>
      <c r="BL172">
        <v>-1.53</v>
      </c>
      <c r="BM172">
        <v>0.45</v>
      </c>
      <c r="BN172">
        <v>-0.89</v>
      </c>
      <c r="BO172">
        <v>-1.4</v>
      </c>
      <c r="BP172">
        <v>-0.83</v>
      </c>
      <c r="BQ172">
        <v>-1.5</v>
      </c>
      <c r="BR172">
        <v>1.1599999999999999</v>
      </c>
      <c r="BS172">
        <v>0.06</v>
      </c>
      <c r="BT172">
        <v>-1.59</v>
      </c>
      <c r="BU172">
        <v>-1.27</v>
      </c>
      <c r="BV172">
        <v>-0.9</v>
      </c>
      <c r="BW172">
        <v>-1.31</v>
      </c>
      <c r="BX172">
        <v>-0.61</v>
      </c>
      <c r="BY172">
        <v>-1.56</v>
      </c>
      <c r="BZ172">
        <v>1.21</v>
      </c>
      <c r="CA172">
        <v>-1.17</v>
      </c>
      <c r="CB172">
        <v>-0.95</v>
      </c>
      <c r="CC172">
        <v>-0.42</v>
      </c>
      <c r="CD172">
        <v>1.33</v>
      </c>
      <c r="CE172">
        <v>-0.76</v>
      </c>
      <c r="CF172">
        <v>-0.8</v>
      </c>
      <c r="CG172">
        <v>0</v>
      </c>
      <c r="CH172">
        <v>-2.19</v>
      </c>
      <c r="CI172">
        <v>0</v>
      </c>
      <c r="CJ172">
        <v>-18.399999999999999</v>
      </c>
      <c r="CK172">
        <v>51</v>
      </c>
      <c r="CL172">
        <v>-0.78</v>
      </c>
      <c r="CM172">
        <v>43</v>
      </c>
      <c r="CN172">
        <v>-0.42</v>
      </c>
      <c r="CO172">
        <v>43</v>
      </c>
      <c r="CP172">
        <v>-23.5</v>
      </c>
      <c r="CQ172">
        <v>43</v>
      </c>
      <c r="CR172">
        <v>0</v>
      </c>
      <c r="CS172">
        <v>0</v>
      </c>
      <c r="CT172">
        <v>-20.7</v>
      </c>
      <c r="CU172">
        <v>43</v>
      </c>
      <c r="CV172">
        <v>-0.02</v>
      </c>
      <c r="CW172">
        <v>34</v>
      </c>
      <c r="CX172" t="s">
        <v>9509</v>
      </c>
    </row>
    <row r="173" spans="1:102" x14ac:dyDescent="0.3">
      <c r="A173" t="str">
        <f>HYPERLINK("https://webapp.icbf.com/v2/app/bull-search/view/1656382752","FR4688")</f>
        <v>FR4688</v>
      </c>
      <c r="B173" t="s">
        <v>9521</v>
      </c>
      <c r="C173" t="s">
        <v>9522</v>
      </c>
      <c r="D173" s="1">
        <v>42821</v>
      </c>
      <c r="E173" t="s">
        <v>92</v>
      </c>
      <c r="F173">
        <v>100</v>
      </c>
      <c r="G173" t="s">
        <v>435</v>
      </c>
      <c r="H173">
        <v>226.01</v>
      </c>
      <c r="I173">
        <v>65</v>
      </c>
      <c r="J173">
        <v>85.59</v>
      </c>
      <c r="K173">
        <v>86</v>
      </c>
      <c r="L173">
        <v>91.52</v>
      </c>
      <c r="M173">
        <v>63</v>
      </c>
      <c r="N173">
        <v>15.18</v>
      </c>
      <c r="O173">
        <v>64</v>
      </c>
      <c r="P173">
        <v>-8.0299999999999994</v>
      </c>
      <c r="Q173">
        <v>34</v>
      </c>
      <c r="R173">
        <v>32.450000000000003</v>
      </c>
      <c r="S173">
        <v>59</v>
      </c>
      <c r="T173">
        <v>1.91</v>
      </c>
      <c r="U173">
        <v>32</v>
      </c>
      <c r="V173">
        <v>7.39</v>
      </c>
      <c r="W173">
        <v>51</v>
      </c>
      <c r="X173" t="s">
        <v>94</v>
      </c>
      <c r="Y173" t="s">
        <v>2389</v>
      </c>
      <c r="Z173" t="s">
        <v>96</v>
      </c>
      <c r="AA173" t="s">
        <v>9523</v>
      </c>
      <c r="AB173" t="s">
        <v>9503</v>
      </c>
      <c r="AC173">
        <v>0</v>
      </c>
      <c r="AD173">
        <v>0</v>
      </c>
      <c r="AE173">
        <v>86</v>
      </c>
      <c r="AF173">
        <v>482.21</v>
      </c>
      <c r="AG173">
        <v>21.76</v>
      </c>
      <c r="AH173">
        <v>14.24</v>
      </c>
      <c r="AI173">
        <v>0.04</v>
      </c>
      <c r="AJ173">
        <v>-0.03</v>
      </c>
      <c r="AK173">
        <v>63</v>
      </c>
      <c r="AL173">
        <v>0</v>
      </c>
      <c r="AM173">
        <v>0</v>
      </c>
      <c r="AN173">
        <v>-2.58</v>
      </c>
      <c r="AO173">
        <v>4.75</v>
      </c>
      <c r="AP173">
        <v>30</v>
      </c>
      <c r="AQ173">
        <v>0</v>
      </c>
      <c r="AR173">
        <v>8.07</v>
      </c>
      <c r="AS173">
        <v>48</v>
      </c>
      <c r="AT173">
        <v>3.81</v>
      </c>
      <c r="AU173">
        <v>82</v>
      </c>
      <c r="AV173">
        <v>-2.73</v>
      </c>
      <c r="AW173">
        <v>74</v>
      </c>
      <c r="AX173">
        <v>0.41</v>
      </c>
      <c r="AY173">
        <v>47</v>
      </c>
      <c r="AZ173">
        <v>5.79</v>
      </c>
      <c r="BA173">
        <v>30</v>
      </c>
      <c r="BB173">
        <v>4.7300000000000004</v>
      </c>
      <c r="BC173">
        <v>31</v>
      </c>
      <c r="BD173">
        <v>-0.09</v>
      </c>
      <c r="BE173">
        <v>-0.14000000000000001</v>
      </c>
      <c r="BF173">
        <v>-0.33</v>
      </c>
      <c r="BG173">
        <v>72</v>
      </c>
      <c r="BH173">
        <v>-0.01</v>
      </c>
      <c r="BI173">
        <v>-25</v>
      </c>
      <c r="BJ173">
        <v>0</v>
      </c>
      <c r="BK173">
        <v>0</v>
      </c>
      <c r="BL173">
        <v>1.42</v>
      </c>
      <c r="BM173">
        <v>-0.82</v>
      </c>
      <c r="BN173">
        <v>-0.81</v>
      </c>
      <c r="BO173">
        <v>0.26</v>
      </c>
      <c r="BP173">
        <v>0.1</v>
      </c>
      <c r="BQ173">
        <v>0.65</v>
      </c>
      <c r="BR173">
        <v>-3.26</v>
      </c>
      <c r="BS173">
        <v>4.8099999999999996</v>
      </c>
      <c r="BT173">
        <v>3.59</v>
      </c>
      <c r="BU173">
        <v>3.38</v>
      </c>
      <c r="BV173">
        <v>2.4900000000000002</v>
      </c>
      <c r="BW173">
        <v>1.43</v>
      </c>
      <c r="BX173">
        <v>2.83</v>
      </c>
      <c r="BY173">
        <v>1.0900000000000001</v>
      </c>
      <c r="BZ173">
        <v>-1.31</v>
      </c>
      <c r="CA173">
        <v>3.95</v>
      </c>
      <c r="CB173">
        <v>2.66</v>
      </c>
      <c r="CC173">
        <v>3.94</v>
      </c>
      <c r="CD173">
        <v>0.03</v>
      </c>
      <c r="CE173">
        <v>1.39</v>
      </c>
      <c r="CF173">
        <v>1.24</v>
      </c>
      <c r="CG173">
        <v>0</v>
      </c>
      <c r="CH173">
        <v>2.12</v>
      </c>
      <c r="CI173">
        <v>0</v>
      </c>
      <c r="CJ173">
        <v>-1.9</v>
      </c>
      <c r="CK173">
        <v>34</v>
      </c>
      <c r="CL173">
        <v>-1.54</v>
      </c>
      <c r="CM173">
        <v>33</v>
      </c>
      <c r="CN173">
        <v>-0.88</v>
      </c>
      <c r="CO173">
        <v>33</v>
      </c>
      <c r="CP173">
        <v>1.2</v>
      </c>
      <c r="CQ173">
        <v>33</v>
      </c>
      <c r="CR173">
        <v>0</v>
      </c>
      <c r="CS173">
        <v>0</v>
      </c>
      <c r="CT173">
        <v>11.2</v>
      </c>
      <c r="CU173">
        <v>32</v>
      </c>
      <c r="CV173">
        <v>0.21</v>
      </c>
      <c r="CW173">
        <v>31</v>
      </c>
      <c r="CX173" t="s">
        <v>2189</v>
      </c>
    </row>
    <row r="174" spans="1:102" x14ac:dyDescent="0.3">
      <c r="A174" t="str">
        <f>HYPERLINK("https://webapp.icbf.com/v2/app/bull-search/view/1144286248","FR2036")</f>
        <v>FR2036</v>
      </c>
      <c r="B174" t="s">
        <v>2170</v>
      </c>
      <c r="C174" t="s">
        <v>2171</v>
      </c>
      <c r="D174" s="1">
        <v>41659</v>
      </c>
      <c r="E174" t="s">
        <v>92</v>
      </c>
      <c r="F174">
        <v>69</v>
      </c>
      <c r="G174" t="s">
        <v>93</v>
      </c>
      <c r="H174">
        <v>225.7</v>
      </c>
      <c r="I174">
        <v>92</v>
      </c>
      <c r="J174">
        <v>72.680000000000007</v>
      </c>
      <c r="K174">
        <v>99</v>
      </c>
      <c r="L174">
        <v>117.46</v>
      </c>
      <c r="M174">
        <v>85</v>
      </c>
      <c r="N174">
        <v>41.72</v>
      </c>
      <c r="O174">
        <v>95</v>
      </c>
      <c r="P174">
        <v>-18.93</v>
      </c>
      <c r="Q174">
        <v>98</v>
      </c>
      <c r="R174">
        <v>8.51</v>
      </c>
      <c r="S174">
        <v>87</v>
      </c>
      <c r="T174">
        <v>5.0199999999999996</v>
      </c>
      <c r="U174">
        <v>91</v>
      </c>
      <c r="V174">
        <v>-0.76</v>
      </c>
      <c r="W174">
        <v>79</v>
      </c>
      <c r="X174" t="s">
        <v>94</v>
      </c>
      <c r="Y174" t="s">
        <v>416</v>
      </c>
      <c r="Z174" t="s">
        <v>96</v>
      </c>
      <c r="AA174" t="s">
        <v>2172</v>
      </c>
      <c r="AB174" t="s">
        <v>2173</v>
      </c>
      <c r="AC174">
        <v>1509</v>
      </c>
      <c r="AD174">
        <v>674</v>
      </c>
      <c r="AE174">
        <v>99</v>
      </c>
      <c r="AF174">
        <v>41.39</v>
      </c>
      <c r="AG174">
        <v>2.13</v>
      </c>
      <c r="AH174">
        <v>12.24</v>
      </c>
      <c r="AI174">
        <v>0.01</v>
      </c>
      <c r="AJ174">
        <v>0.19</v>
      </c>
      <c r="AK174">
        <v>85</v>
      </c>
      <c r="AL174">
        <v>439</v>
      </c>
      <c r="AM174">
        <v>243</v>
      </c>
      <c r="AN174">
        <v>-6.19</v>
      </c>
      <c r="AO174">
        <v>3.18</v>
      </c>
      <c r="AP174">
        <v>5324</v>
      </c>
      <c r="AQ174">
        <v>14</v>
      </c>
      <c r="AR174">
        <v>4.67</v>
      </c>
      <c r="AS174">
        <v>99</v>
      </c>
      <c r="AT174">
        <v>1.8</v>
      </c>
      <c r="AU174">
        <v>99</v>
      </c>
      <c r="AV174">
        <v>-2.87</v>
      </c>
      <c r="AW174">
        <v>99</v>
      </c>
      <c r="AX174">
        <v>-0.59</v>
      </c>
      <c r="AY174">
        <v>99</v>
      </c>
      <c r="AZ174">
        <v>5.92</v>
      </c>
      <c r="BA174">
        <v>94</v>
      </c>
      <c r="BB174">
        <v>4.91</v>
      </c>
      <c r="BC174">
        <v>71</v>
      </c>
      <c r="BD174">
        <v>-0.01</v>
      </c>
      <c r="BE174">
        <v>-0.01</v>
      </c>
      <c r="BF174">
        <v>-0.16</v>
      </c>
      <c r="BG174">
        <v>98</v>
      </c>
      <c r="BH174">
        <v>-0.08</v>
      </c>
      <c r="BI174">
        <v>-6.81</v>
      </c>
      <c r="BJ174">
        <v>23</v>
      </c>
      <c r="BK174">
        <v>12</v>
      </c>
      <c r="BL174">
        <v>-0.84</v>
      </c>
      <c r="BM174">
        <v>-0.8</v>
      </c>
      <c r="BN174">
        <v>-1.75</v>
      </c>
      <c r="BO174">
        <v>-0.85</v>
      </c>
      <c r="BP174">
        <v>-0.23</v>
      </c>
      <c r="BQ174">
        <v>-1.91</v>
      </c>
      <c r="BR174">
        <v>-0.83</v>
      </c>
      <c r="BS174">
        <v>0.12</v>
      </c>
      <c r="BT174">
        <v>-0.45</v>
      </c>
      <c r="BU174">
        <v>-1.69</v>
      </c>
      <c r="BV174">
        <v>-0.67</v>
      </c>
      <c r="BW174">
        <v>-0.62</v>
      </c>
      <c r="BX174">
        <v>0.12</v>
      </c>
      <c r="BY174">
        <v>-1.57</v>
      </c>
      <c r="BZ174">
        <v>1.38</v>
      </c>
      <c r="CA174">
        <v>-0.6</v>
      </c>
      <c r="CB174">
        <v>-0.85</v>
      </c>
      <c r="CC174">
        <v>-0.28000000000000003</v>
      </c>
      <c r="CD174">
        <v>0.05</v>
      </c>
      <c r="CE174">
        <v>-0.94</v>
      </c>
      <c r="CF174">
        <v>-1.22</v>
      </c>
      <c r="CG174">
        <v>0</v>
      </c>
      <c r="CH174">
        <v>-1.67</v>
      </c>
      <c r="CI174">
        <v>0</v>
      </c>
      <c r="CJ174">
        <v>-7.2</v>
      </c>
      <c r="CK174">
        <v>99</v>
      </c>
      <c r="CL174">
        <v>-0.97</v>
      </c>
      <c r="CM174">
        <v>99</v>
      </c>
      <c r="CN174">
        <v>-0.11</v>
      </c>
      <c r="CO174">
        <v>99</v>
      </c>
      <c r="CP174">
        <v>-1.8</v>
      </c>
      <c r="CQ174">
        <v>87</v>
      </c>
      <c r="CR174">
        <v>0</v>
      </c>
      <c r="CS174">
        <v>0</v>
      </c>
      <c r="CT174">
        <v>7</v>
      </c>
      <c r="CU174">
        <v>91</v>
      </c>
      <c r="CV174">
        <v>0.25</v>
      </c>
      <c r="CW174">
        <v>47</v>
      </c>
      <c r="CX174" t="s">
        <v>2174</v>
      </c>
    </row>
    <row r="175" spans="1:102" x14ac:dyDescent="0.3">
      <c r="A175" t="str">
        <f>HYPERLINK("https://webapp.icbf.com/v2/app/bull-search/view/1138101068","FFH")</f>
        <v>FFH</v>
      </c>
      <c r="B175" t="s">
        <v>5878</v>
      </c>
      <c r="C175" t="s">
        <v>5879</v>
      </c>
      <c r="D175" s="1">
        <v>41670</v>
      </c>
      <c r="E175" t="s">
        <v>92</v>
      </c>
      <c r="F175">
        <v>56</v>
      </c>
      <c r="G175" t="s">
        <v>93</v>
      </c>
      <c r="H175">
        <v>225.43</v>
      </c>
      <c r="I175">
        <v>74</v>
      </c>
      <c r="J175">
        <v>84.72</v>
      </c>
      <c r="K175">
        <v>89</v>
      </c>
      <c r="L175">
        <v>84.92</v>
      </c>
      <c r="M175">
        <v>63</v>
      </c>
      <c r="N175">
        <v>55.93</v>
      </c>
      <c r="O175">
        <v>78</v>
      </c>
      <c r="P175">
        <v>-6.56</v>
      </c>
      <c r="Q175">
        <v>86</v>
      </c>
      <c r="R175">
        <v>1.1000000000000001</v>
      </c>
      <c r="S175">
        <v>62</v>
      </c>
      <c r="T175">
        <v>3.1</v>
      </c>
      <c r="U175">
        <v>52</v>
      </c>
      <c r="V175">
        <v>2.2200000000000002</v>
      </c>
      <c r="W175">
        <v>61</v>
      </c>
      <c r="X175" t="s">
        <v>94</v>
      </c>
      <c r="Y175" t="s">
        <v>389</v>
      </c>
      <c r="Z175" t="s">
        <v>330</v>
      </c>
      <c r="AA175" t="s">
        <v>5880</v>
      </c>
      <c r="AB175" t="s">
        <v>5881</v>
      </c>
      <c r="AC175">
        <v>32</v>
      </c>
      <c r="AD175">
        <v>9</v>
      </c>
      <c r="AE175">
        <v>89</v>
      </c>
      <c r="AF175">
        <v>337.4</v>
      </c>
      <c r="AG175">
        <v>15.5</v>
      </c>
      <c r="AH175">
        <v>14.09</v>
      </c>
      <c r="AI175">
        <v>0.04</v>
      </c>
      <c r="AJ175">
        <v>0.04</v>
      </c>
      <c r="AK175">
        <v>63</v>
      </c>
      <c r="AL175">
        <v>0</v>
      </c>
      <c r="AM175">
        <v>0</v>
      </c>
      <c r="AN175">
        <v>-2.48</v>
      </c>
      <c r="AO175">
        <v>4.32</v>
      </c>
      <c r="AP175">
        <v>173</v>
      </c>
      <c r="AQ175">
        <v>1</v>
      </c>
      <c r="AR175">
        <v>5.39</v>
      </c>
      <c r="AS175">
        <v>66</v>
      </c>
      <c r="AT175">
        <v>1.95</v>
      </c>
      <c r="AU175">
        <v>82</v>
      </c>
      <c r="AV175">
        <v>-5.44</v>
      </c>
      <c r="AW175">
        <v>94</v>
      </c>
      <c r="AX175">
        <v>-0.12</v>
      </c>
      <c r="AY175">
        <v>75</v>
      </c>
      <c r="AZ175">
        <v>6.7</v>
      </c>
      <c r="BA175">
        <v>51</v>
      </c>
      <c r="BB175">
        <v>5.22</v>
      </c>
      <c r="BC175">
        <v>35</v>
      </c>
      <c r="BD175">
        <v>0.01</v>
      </c>
      <c r="BE175">
        <v>0.02</v>
      </c>
      <c r="BF175">
        <v>-0.08</v>
      </c>
      <c r="BG175">
        <v>74</v>
      </c>
      <c r="BH175">
        <v>0.04</v>
      </c>
      <c r="BI175">
        <v>-2.5299999999999998</v>
      </c>
      <c r="BJ175">
        <v>0</v>
      </c>
      <c r="BK175">
        <v>0</v>
      </c>
      <c r="BL175">
        <v>-0.63</v>
      </c>
      <c r="BM175">
        <v>0.88</v>
      </c>
      <c r="BN175">
        <v>-1.32</v>
      </c>
      <c r="BO175">
        <v>-1.89</v>
      </c>
      <c r="BP175">
        <v>1.31</v>
      </c>
      <c r="BQ175">
        <v>-1.47</v>
      </c>
      <c r="BR175">
        <v>0.63</v>
      </c>
      <c r="BS175">
        <v>-1.04</v>
      </c>
      <c r="BT175">
        <v>-1.59</v>
      </c>
      <c r="BU175">
        <v>-1.0900000000000001</v>
      </c>
      <c r="BV175">
        <v>-1.37</v>
      </c>
      <c r="BW175">
        <v>-1.89</v>
      </c>
      <c r="BX175">
        <v>-0.34</v>
      </c>
      <c r="BY175">
        <v>-3.03</v>
      </c>
      <c r="BZ175">
        <v>0.81</v>
      </c>
      <c r="CA175">
        <v>-0.91</v>
      </c>
      <c r="CB175">
        <v>-1.06</v>
      </c>
      <c r="CC175">
        <v>-1.08</v>
      </c>
      <c r="CD175">
        <v>1.82</v>
      </c>
      <c r="CE175">
        <v>-1.61</v>
      </c>
      <c r="CF175">
        <v>-0.49</v>
      </c>
      <c r="CG175">
        <v>0</v>
      </c>
      <c r="CH175">
        <v>-1.93</v>
      </c>
      <c r="CI175">
        <v>0</v>
      </c>
      <c r="CJ175">
        <v>-2.6</v>
      </c>
      <c r="CK175">
        <v>89</v>
      </c>
      <c r="CL175">
        <v>-0.46</v>
      </c>
      <c r="CM175">
        <v>87</v>
      </c>
      <c r="CN175">
        <v>-0.2</v>
      </c>
      <c r="CO175">
        <v>85</v>
      </c>
      <c r="CP175">
        <v>-3.8</v>
      </c>
      <c r="CQ175">
        <v>59</v>
      </c>
      <c r="CR175">
        <v>0</v>
      </c>
      <c r="CS175">
        <v>0</v>
      </c>
      <c r="CT175">
        <v>9.6</v>
      </c>
      <c r="CU175">
        <v>52</v>
      </c>
      <c r="CV175">
        <v>0.13</v>
      </c>
      <c r="CW175">
        <v>43</v>
      </c>
      <c r="CX175" t="s">
        <v>5882</v>
      </c>
    </row>
    <row r="176" spans="1:102" x14ac:dyDescent="0.3">
      <c r="A176" t="str">
        <f>HYPERLINK("https://webapp.icbf.com/v2/app/bull-search/view/1367283215","FR4247")</f>
        <v>FR4247</v>
      </c>
      <c r="B176" t="s">
        <v>13814</v>
      </c>
      <c r="C176" t="s">
        <v>13815</v>
      </c>
      <c r="D176" s="1">
        <v>42435</v>
      </c>
      <c r="E176" t="s">
        <v>92</v>
      </c>
      <c r="F176">
        <v>69</v>
      </c>
      <c r="G176" t="s">
        <v>435</v>
      </c>
      <c r="H176">
        <v>225.34</v>
      </c>
      <c r="I176">
        <v>74</v>
      </c>
      <c r="J176">
        <v>101.5</v>
      </c>
      <c r="K176">
        <v>89</v>
      </c>
      <c r="L176">
        <v>91.57</v>
      </c>
      <c r="M176">
        <v>67</v>
      </c>
      <c r="N176">
        <v>22.72</v>
      </c>
      <c r="O176">
        <v>86</v>
      </c>
      <c r="P176">
        <v>-27.03</v>
      </c>
      <c r="Q176">
        <v>63</v>
      </c>
      <c r="R176">
        <v>12.25</v>
      </c>
      <c r="S176">
        <v>67</v>
      </c>
      <c r="T176">
        <v>18.64</v>
      </c>
      <c r="U176">
        <v>51</v>
      </c>
      <c r="V176">
        <v>5.69</v>
      </c>
      <c r="W176">
        <v>61</v>
      </c>
      <c r="X176" t="s">
        <v>276</v>
      </c>
      <c r="Y176" t="s">
        <v>2255</v>
      </c>
      <c r="Z176" t="s">
        <v>330</v>
      </c>
      <c r="AA176" t="s">
        <v>2366</v>
      </c>
      <c r="AB176" t="s">
        <v>13816</v>
      </c>
      <c r="AC176">
        <v>0</v>
      </c>
      <c r="AD176">
        <v>0</v>
      </c>
      <c r="AE176">
        <v>89</v>
      </c>
      <c r="AF176">
        <v>90.7</v>
      </c>
      <c r="AG176">
        <v>17.47</v>
      </c>
      <c r="AH176">
        <v>12.47</v>
      </c>
      <c r="AI176">
        <v>0.23</v>
      </c>
      <c r="AJ176">
        <v>0.16</v>
      </c>
      <c r="AK176">
        <v>67</v>
      </c>
      <c r="AL176">
        <v>0</v>
      </c>
      <c r="AM176">
        <v>0</v>
      </c>
      <c r="AN176">
        <v>-3.65</v>
      </c>
      <c r="AO176">
        <v>3.67</v>
      </c>
      <c r="AP176">
        <v>589</v>
      </c>
      <c r="AQ176">
        <v>1</v>
      </c>
      <c r="AR176">
        <v>7.47</v>
      </c>
      <c r="AS176">
        <v>66</v>
      </c>
      <c r="AT176">
        <v>2.4500000000000002</v>
      </c>
      <c r="AU176">
        <v>93</v>
      </c>
      <c r="AV176">
        <v>-1.93</v>
      </c>
      <c r="AW176">
        <v>99</v>
      </c>
      <c r="AX176">
        <v>-0.19</v>
      </c>
      <c r="AY176">
        <v>91</v>
      </c>
      <c r="AZ176">
        <v>6.62</v>
      </c>
      <c r="BA176">
        <v>47</v>
      </c>
      <c r="BB176">
        <v>4.76</v>
      </c>
      <c r="BC176">
        <v>47</v>
      </c>
      <c r="BD176">
        <v>-0.04</v>
      </c>
      <c r="BE176">
        <v>-0.05</v>
      </c>
      <c r="BF176">
        <v>-0.12</v>
      </c>
      <c r="BG176">
        <v>75</v>
      </c>
      <c r="BH176">
        <v>0.16</v>
      </c>
      <c r="BI176">
        <v>0.14000000000000001</v>
      </c>
      <c r="BJ176">
        <v>0</v>
      </c>
      <c r="BK176">
        <v>0</v>
      </c>
      <c r="BL176">
        <v>-1.97</v>
      </c>
      <c r="BM176">
        <v>-0.44</v>
      </c>
      <c r="BN176">
        <v>-0.78</v>
      </c>
      <c r="BO176">
        <v>-0.45</v>
      </c>
      <c r="BP176">
        <v>1.8</v>
      </c>
      <c r="BQ176">
        <v>-2.73</v>
      </c>
      <c r="BR176">
        <v>0</v>
      </c>
      <c r="BS176">
        <v>-0.25</v>
      </c>
      <c r="BT176">
        <v>-1.1599999999999999</v>
      </c>
      <c r="BU176">
        <v>-0.11</v>
      </c>
      <c r="BV176">
        <v>-0.81</v>
      </c>
      <c r="BW176">
        <v>-0.64</v>
      </c>
      <c r="BX176">
        <v>-0.56000000000000005</v>
      </c>
      <c r="BY176">
        <v>0.36</v>
      </c>
      <c r="BZ176">
        <v>-0.17</v>
      </c>
      <c r="CA176">
        <v>-0.35</v>
      </c>
      <c r="CB176">
        <v>-0.24</v>
      </c>
      <c r="CC176">
        <v>-0.15</v>
      </c>
      <c r="CD176">
        <v>0.94</v>
      </c>
      <c r="CE176">
        <v>-0.01</v>
      </c>
      <c r="CF176">
        <v>-1.54</v>
      </c>
      <c r="CG176">
        <v>0</v>
      </c>
      <c r="CH176">
        <v>0.08</v>
      </c>
      <c r="CI176">
        <v>0</v>
      </c>
      <c r="CJ176">
        <v>-11.3</v>
      </c>
      <c r="CK176">
        <v>68</v>
      </c>
      <c r="CL176">
        <v>-0.92</v>
      </c>
      <c r="CM176">
        <v>57</v>
      </c>
      <c r="CN176">
        <v>0.03</v>
      </c>
      <c r="CO176">
        <v>56</v>
      </c>
      <c r="CP176">
        <v>-10.6</v>
      </c>
      <c r="CQ176">
        <v>52</v>
      </c>
      <c r="CR176">
        <v>0</v>
      </c>
      <c r="CS176">
        <v>0</v>
      </c>
      <c r="CT176">
        <v>-11.4</v>
      </c>
      <c r="CU176">
        <v>51</v>
      </c>
      <c r="CV176">
        <v>0.09</v>
      </c>
      <c r="CW176">
        <v>40</v>
      </c>
      <c r="CX176" t="s">
        <v>1939</v>
      </c>
    </row>
    <row r="177" spans="1:102" x14ac:dyDescent="0.3">
      <c r="A177" t="str">
        <f>HYPERLINK("https://webapp.icbf.com/v2/app/bull-search/view/1351523161","FR4126")</f>
        <v>FR4126</v>
      </c>
      <c r="B177" t="s">
        <v>2246</v>
      </c>
      <c r="C177" t="s">
        <v>2247</v>
      </c>
      <c r="D177" s="1">
        <v>42387</v>
      </c>
      <c r="E177" t="s">
        <v>92</v>
      </c>
      <c r="F177">
        <v>81</v>
      </c>
      <c r="G177" t="s">
        <v>435</v>
      </c>
      <c r="H177">
        <v>225.19</v>
      </c>
      <c r="I177">
        <v>72</v>
      </c>
      <c r="J177">
        <v>40.35</v>
      </c>
      <c r="K177">
        <v>90</v>
      </c>
      <c r="L177">
        <v>129.54</v>
      </c>
      <c r="M177">
        <v>64</v>
      </c>
      <c r="N177">
        <v>42.74</v>
      </c>
      <c r="O177">
        <v>71</v>
      </c>
      <c r="P177">
        <v>-11.77</v>
      </c>
      <c r="Q177">
        <v>62</v>
      </c>
      <c r="R177">
        <v>15.35</v>
      </c>
      <c r="S177">
        <v>64</v>
      </c>
      <c r="T177">
        <v>11.46</v>
      </c>
      <c r="U177">
        <v>50</v>
      </c>
      <c r="V177">
        <v>-2.48</v>
      </c>
      <c r="W177">
        <v>57</v>
      </c>
      <c r="X177" t="s">
        <v>94</v>
      </c>
      <c r="Y177" t="s">
        <v>436</v>
      </c>
      <c r="Z177" t="s">
        <v>96</v>
      </c>
      <c r="AA177" t="s">
        <v>437</v>
      </c>
      <c r="AB177" t="s">
        <v>2248</v>
      </c>
      <c r="AC177">
        <v>0</v>
      </c>
      <c r="AD177">
        <v>0</v>
      </c>
      <c r="AE177">
        <v>90</v>
      </c>
      <c r="AF177">
        <v>-204.88</v>
      </c>
      <c r="AG177">
        <v>3.21</v>
      </c>
      <c r="AH177">
        <v>2.59</v>
      </c>
      <c r="AI177">
        <v>0.2</v>
      </c>
      <c r="AJ177">
        <v>0.17</v>
      </c>
      <c r="AK177">
        <v>64</v>
      </c>
      <c r="AL177">
        <v>0</v>
      </c>
      <c r="AM177">
        <v>0</v>
      </c>
      <c r="AN177">
        <v>-7.12</v>
      </c>
      <c r="AO177">
        <v>3.21</v>
      </c>
      <c r="AP177">
        <v>52</v>
      </c>
      <c r="AQ177">
        <v>0</v>
      </c>
      <c r="AR177">
        <v>5</v>
      </c>
      <c r="AS177">
        <v>65</v>
      </c>
      <c r="AT177">
        <v>2.44</v>
      </c>
      <c r="AU177">
        <v>73</v>
      </c>
      <c r="AV177">
        <v>-3.72</v>
      </c>
      <c r="AW177">
        <v>86</v>
      </c>
      <c r="AX177">
        <v>0.66</v>
      </c>
      <c r="AY177">
        <v>60</v>
      </c>
      <c r="AZ177">
        <v>6.02</v>
      </c>
      <c r="BA177">
        <v>44</v>
      </c>
      <c r="BB177">
        <v>4.4000000000000004</v>
      </c>
      <c r="BC177">
        <v>44</v>
      </c>
      <c r="BD177">
        <v>-0.09</v>
      </c>
      <c r="BE177">
        <v>-7.0000000000000007E-2</v>
      </c>
      <c r="BF177">
        <v>-7.0000000000000007E-2</v>
      </c>
      <c r="BG177">
        <v>73</v>
      </c>
      <c r="BH177">
        <v>0.01</v>
      </c>
      <c r="BI177">
        <v>9.16</v>
      </c>
      <c r="BJ177">
        <v>0</v>
      </c>
      <c r="BK177">
        <v>0</v>
      </c>
      <c r="BL177">
        <v>-0.64</v>
      </c>
      <c r="BM177">
        <v>0.56999999999999995</v>
      </c>
      <c r="BN177">
        <v>-0.51</v>
      </c>
      <c r="BO177">
        <v>-1.31</v>
      </c>
      <c r="BP177">
        <v>3.27</v>
      </c>
      <c r="BQ177">
        <v>-0.49</v>
      </c>
      <c r="BR177">
        <v>1.76</v>
      </c>
      <c r="BS177">
        <v>-0.62</v>
      </c>
      <c r="BT177">
        <v>-1.79</v>
      </c>
      <c r="BU177">
        <v>-0.76</v>
      </c>
      <c r="BV177">
        <v>-1.29</v>
      </c>
      <c r="BW177">
        <v>-0.94</v>
      </c>
      <c r="BX177">
        <v>-0.11</v>
      </c>
      <c r="BY177">
        <v>-0.79</v>
      </c>
      <c r="BZ177">
        <v>-0.53</v>
      </c>
      <c r="CA177">
        <v>-1.54</v>
      </c>
      <c r="CB177">
        <v>-1.51</v>
      </c>
      <c r="CC177">
        <v>-0.63</v>
      </c>
      <c r="CD177">
        <v>0.98</v>
      </c>
      <c r="CE177">
        <v>-1.3</v>
      </c>
      <c r="CF177">
        <v>-1.99</v>
      </c>
      <c r="CG177">
        <v>0</v>
      </c>
      <c r="CH177">
        <v>-1.62</v>
      </c>
      <c r="CI177">
        <v>0</v>
      </c>
      <c r="CJ177">
        <v>-8</v>
      </c>
      <c r="CK177">
        <v>65</v>
      </c>
      <c r="CL177">
        <v>-0.4</v>
      </c>
      <c r="CM177">
        <v>61</v>
      </c>
      <c r="CN177">
        <v>-0.35</v>
      </c>
      <c r="CO177">
        <v>59</v>
      </c>
      <c r="CP177">
        <v>-4.7</v>
      </c>
      <c r="CQ177">
        <v>52</v>
      </c>
      <c r="CR177">
        <v>0</v>
      </c>
      <c r="CS177">
        <v>0</v>
      </c>
      <c r="CT177">
        <v>-1.7</v>
      </c>
      <c r="CU177">
        <v>50</v>
      </c>
      <c r="CV177">
        <v>0.02</v>
      </c>
      <c r="CW177">
        <v>39</v>
      </c>
      <c r="CX177" t="s">
        <v>2235</v>
      </c>
    </row>
    <row r="178" spans="1:102" x14ac:dyDescent="0.3">
      <c r="A178" t="str">
        <f>HYPERLINK("https://webapp.icbf.com/v2/app/bull-search/view/1246920898","FR2235")</f>
        <v>FR2235</v>
      </c>
      <c r="B178" t="s">
        <v>13642</v>
      </c>
      <c r="C178" t="s">
        <v>13643</v>
      </c>
      <c r="D178" s="1">
        <v>42033</v>
      </c>
      <c r="E178" t="s">
        <v>92</v>
      </c>
      <c r="F178">
        <v>84</v>
      </c>
      <c r="G178" t="s">
        <v>93</v>
      </c>
      <c r="H178">
        <v>225.14</v>
      </c>
      <c r="I178">
        <v>89</v>
      </c>
      <c r="J178">
        <v>75.510000000000005</v>
      </c>
      <c r="K178">
        <v>99</v>
      </c>
      <c r="L178">
        <v>110</v>
      </c>
      <c r="M178">
        <v>80</v>
      </c>
      <c r="N178">
        <v>54.16</v>
      </c>
      <c r="O178">
        <v>91</v>
      </c>
      <c r="P178">
        <v>-20.83</v>
      </c>
      <c r="Q178">
        <v>97</v>
      </c>
      <c r="R178">
        <v>11.42</v>
      </c>
      <c r="S178">
        <v>83</v>
      </c>
      <c r="T178">
        <v>4.72</v>
      </c>
      <c r="U178">
        <v>87</v>
      </c>
      <c r="V178">
        <v>-9.84</v>
      </c>
      <c r="W178">
        <v>77</v>
      </c>
      <c r="X178" t="s">
        <v>94</v>
      </c>
      <c r="Y178" t="s">
        <v>416</v>
      </c>
      <c r="Z178" t="s">
        <v>96</v>
      </c>
      <c r="AA178" t="s">
        <v>2235</v>
      </c>
      <c r="AB178" t="s">
        <v>13644</v>
      </c>
      <c r="AC178">
        <v>782</v>
      </c>
      <c r="AD178">
        <v>328</v>
      </c>
      <c r="AE178">
        <v>99</v>
      </c>
      <c r="AF178">
        <v>-37.94</v>
      </c>
      <c r="AG178">
        <v>10.32</v>
      </c>
      <c r="AH178">
        <v>8.61</v>
      </c>
      <c r="AI178">
        <v>0.21</v>
      </c>
      <c r="AJ178">
        <v>0.17</v>
      </c>
      <c r="AK178">
        <v>80</v>
      </c>
      <c r="AL178">
        <v>16</v>
      </c>
      <c r="AM178">
        <v>12</v>
      </c>
      <c r="AN178">
        <v>-6.18</v>
      </c>
      <c r="AO178">
        <v>2.59</v>
      </c>
      <c r="AP178">
        <v>2411</v>
      </c>
      <c r="AQ178">
        <v>12</v>
      </c>
      <c r="AR178">
        <v>4.83</v>
      </c>
      <c r="AS178">
        <v>94</v>
      </c>
      <c r="AT178">
        <v>1.76</v>
      </c>
      <c r="AU178">
        <v>98</v>
      </c>
      <c r="AV178">
        <v>-4.97</v>
      </c>
      <c r="AW178">
        <v>99</v>
      </c>
      <c r="AX178">
        <v>-0.33</v>
      </c>
      <c r="AY178">
        <v>97</v>
      </c>
      <c r="AZ178">
        <v>6.62</v>
      </c>
      <c r="BA178">
        <v>90</v>
      </c>
      <c r="BB178">
        <v>5.39</v>
      </c>
      <c r="BC178">
        <v>50</v>
      </c>
      <c r="BD178">
        <v>-7.0000000000000007E-2</v>
      </c>
      <c r="BE178">
        <v>-0.04</v>
      </c>
      <c r="BF178">
        <v>-7.0000000000000007E-2</v>
      </c>
      <c r="BG178">
        <v>96</v>
      </c>
      <c r="BH178">
        <v>-0.13</v>
      </c>
      <c r="BI178">
        <v>16.7</v>
      </c>
      <c r="BJ178">
        <v>3</v>
      </c>
      <c r="BK178">
        <v>3</v>
      </c>
      <c r="BL178">
        <v>-1.23</v>
      </c>
      <c r="BM178">
        <v>0.03</v>
      </c>
      <c r="BN178">
        <v>-1.36</v>
      </c>
      <c r="BO178">
        <v>-0.93</v>
      </c>
      <c r="BP178">
        <v>2.95</v>
      </c>
      <c r="BQ178">
        <v>0.5</v>
      </c>
      <c r="BR178">
        <v>-1.35</v>
      </c>
      <c r="BS178">
        <v>0.63</v>
      </c>
      <c r="BT178">
        <v>-0.02</v>
      </c>
      <c r="BU178">
        <v>0.55000000000000004</v>
      </c>
      <c r="BV178">
        <v>1</v>
      </c>
      <c r="BW178">
        <v>-0.01</v>
      </c>
      <c r="BX178">
        <v>0.37</v>
      </c>
      <c r="BY178">
        <v>-1.33</v>
      </c>
      <c r="BZ178">
        <v>1.32</v>
      </c>
      <c r="CA178">
        <v>0.71</v>
      </c>
      <c r="CB178">
        <v>0.39</v>
      </c>
      <c r="CC178">
        <v>0.93</v>
      </c>
      <c r="CD178">
        <v>0.41</v>
      </c>
      <c r="CE178">
        <v>-0.94</v>
      </c>
      <c r="CF178">
        <v>-0.97</v>
      </c>
      <c r="CG178">
        <v>0</v>
      </c>
      <c r="CH178">
        <v>-1.51</v>
      </c>
      <c r="CI178">
        <v>0</v>
      </c>
      <c r="CJ178">
        <v>-11.8</v>
      </c>
      <c r="CK178">
        <v>98</v>
      </c>
      <c r="CL178">
        <v>-0.89</v>
      </c>
      <c r="CM178">
        <v>98</v>
      </c>
      <c r="CN178">
        <v>-0.5</v>
      </c>
      <c r="CO178">
        <v>98</v>
      </c>
      <c r="CP178">
        <v>-8.1</v>
      </c>
      <c r="CQ178">
        <v>80</v>
      </c>
      <c r="CR178">
        <v>0</v>
      </c>
      <c r="CS178">
        <v>0</v>
      </c>
      <c r="CT178">
        <v>7.4</v>
      </c>
      <c r="CU178">
        <v>87</v>
      </c>
      <c r="CV178">
        <v>0.02</v>
      </c>
      <c r="CW178">
        <v>47</v>
      </c>
      <c r="CX178" t="s">
        <v>2174</v>
      </c>
    </row>
    <row r="179" spans="1:102" x14ac:dyDescent="0.3">
      <c r="A179" t="str">
        <f>HYPERLINK("https://webapp.icbf.com/v2/app/bull-search/view/1250053977","FR2337")</f>
        <v>FR2337</v>
      </c>
      <c r="B179" t="s">
        <v>6113</v>
      </c>
      <c r="C179" t="s">
        <v>6114</v>
      </c>
      <c r="D179" s="1">
        <v>42050</v>
      </c>
      <c r="E179" t="s">
        <v>92</v>
      </c>
      <c r="F179">
        <v>63</v>
      </c>
      <c r="G179" t="s">
        <v>93</v>
      </c>
      <c r="H179">
        <v>224.63</v>
      </c>
      <c r="I179">
        <v>85</v>
      </c>
      <c r="J179">
        <v>95.36</v>
      </c>
      <c r="K179">
        <v>96</v>
      </c>
      <c r="L179">
        <v>71.12</v>
      </c>
      <c r="M179">
        <v>74</v>
      </c>
      <c r="N179">
        <v>43.95</v>
      </c>
      <c r="O179">
        <v>86</v>
      </c>
      <c r="P179">
        <v>-5.79</v>
      </c>
      <c r="Q179">
        <v>86</v>
      </c>
      <c r="R179">
        <v>0.77</v>
      </c>
      <c r="S179">
        <v>75</v>
      </c>
      <c r="T179">
        <v>8.0500000000000007</v>
      </c>
      <c r="U179">
        <v>95</v>
      </c>
      <c r="V179">
        <v>11.17</v>
      </c>
      <c r="W179">
        <v>74</v>
      </c>
      <c r="X179" t="s">
        <v>234</v>
      </c>
      <c r="Y179" t="s">
        <v>436</v>
      </c>
      <c r="Z179" t="s">
        <v>330</v>
      </c>
      <c r="AA179" t="s">
        <v>1770</v>
      </c>
      <c r="AB179" t="s">
        <v>6115</v>
      </c>
      <c r="AC179">
        <v>157</v>
      </c>
      <c r="AD179">
        <v>36</v>
      </c>
      <c r="AE179">
        <v>96</v>
      </c>
      <c r="AF179">
        <v>195.89</v>
      </c>
      <c r="AG179">
        <v>15.45</v>
      </c>
      <c r="AH179">
        <v>13.75</v>
      </c>
      <c r="AI179">
        <v>0.13</v>
      </c>
      <c r="AJ179">
        <v>0.12</v>
      </c>
      <c r="AK179">
        <v>74</v>
      </c>
      <c r="AL179">
        <v>0</v>
      </c>
      <c r="AM179">
        <v>0</v>
      </c>
      <c r="AN179">
        <v>-2.48</v>
      </c>
      <c r="AO179">
        <v>3.21</v>
      </c>
      <c r="AP179">
        <v>412</v>
      </c>
      <c r="AQ179">
        <v>0</v>
      </c>
      <c r="AR179">
        <v>5.18</v>
      </c>
      <c r="AS179">
        <v>77</v>
      </c>
      <c r="AT179">
        <v>2.14</v>
      </c>
      <c r="AU179">
        <v>91</v>
      </c>
      <c r="AV179">
        <v>-4.08</v>
      </c>
      <c r="AW179">
        <v>98</v>
      </c>
      <c r="AX179">
        <v>-0.14000000000000001</v>
      </c>
      <c r="AY179">
        <v>86</v>
      </c>
      <c r="AZ179">
        <v>6.39</v>
      </c>
      <c r="BA179">
        <v>70</v>
      </c>
      <c r="BB179">
        <v>5.39</v>
      </c>
      <c r="BC179">
        <v>45</v>
      </c>
      <c r="BD179">
        <v>-0.01</v>
      </c>
      <c r="BE179">
        <v>0.01</v>
      </c>
      <c r="BF179">
        <v>-0.02</v>
      </c>
      <c r="BG179">
        <v>87</v>
      </c>
      <c r="BH179">
        <v>0.18</v>
      </c>
      <c r="BI179">
        <v>-15.22</v>
      </c>
      <c r="BJ179">
        <v>0</v>
      </c>
      <c r="BK179">
        <v>0</v>
      </c>
      <c r="BL179">
        <v>-0.8</v>
      </c>
      <c r="BM179">
        <v>1.28</v>
      </c>
      <c r="BN179">
        <v>-0.14000000000000001</v>
      </c>
      <c r="BO179">
        <v>-0.93</v>
      </c>
      <c r="BP179">
        <v>4.0599999999999996</v>
      </c>
      <c r="BQ179">
        <v>0.16</v>
      </c>
      <c r="BR179">
        <v>3.04</v>
      </c>
      <c r="BS179">
        <v>-1.1200000000000001</v>
      </c>
      <c r="BT179">
        <v>-2.02</v>
      </c>
      <c r="BU179">
        <v>-0.59</v>
      </c>
      <c r="BV179">
        <v>-1.71</v>
      </c>
      <c r="BW179">
        <v>-0.84</v>
      </c>
      <c r="BX179">
        <v>-1.3</v>
      </c>
      <c r="BY179">
        <v>-0.94</v>
      </c>
      <c r="BZ179">
        <v>1</v>
      </c>
      <c r="CA179">
        <v>-1.53</v>
      </c>
      <c r="CB179">
        <v>-1.38</v>
      </c>
      <c r="CC179">
        <v>-1.04</v>
      </c>
      <c r="CD179">
        <v>1.24</v>
      </c>
      <c r="CE179">
        <v>-0.43</v>
      </c>
      <c r="CF179">
        <v>-0.12</v>
      </c>
      <c r="CG179">
        <v>0</v>
      </c>
      <c r="CH179">
        <v>-1.21</v>
      </c>
      <c r="CI179">
        <v>0</v>
      </c>
      <c r="CJ179">
        <v>-1.6</v>
      </c>
      <c r="CK179">
        <v>89</v>
      </c>
      <c r="CL179">
        <v>-0.74</v>
      </c>
      <c r="CM179">
        <v>85</v>
      </c>
      <c r="CN179">
        <v>-0.39</v>
      </c>
      <c r="CO179">
        <v>84</v>
      </c>
      <c r="CP179">
        <v>-3.4</v>
      </c>
      <c r="CQ179">
        <v>73</v>
      </c>
      <c r="CR179">
        <v>0</v>
      </c>
      <c r="CS179">
        <v>0</v>
      </c>
      <c r="CT179">
        <v>2.9</v>
      </c>
      <c r="CU179">
        <v>95</v>
      </c>
      <c r="CV179">
        <v>0.06</v>
      </c>
      <c r="CW179">
        <v>46</v>
      </c>
      <c r="CX179" t="s">
        <v>1861</v>
      </c>
    </row>
    <row r="180" spans="1:102" x14ac:dyDescent="0.3">
      <c r="A180" t="str">
        <f>HYPERLINK("https://webapp.icbf.com/v2/app/bull-search/view/1151598829","TFZ")</f>
        <v>TFZ</v>
      </c>
      <c r="B180" t="s">
        <v>387</v>
      </c>
      <c r="C180" t="s">
        <v>388</v>
      </c>
      <c r="D180" s="1">
        <v>41718</v>
      </c>
      <c r="E180" t="s">
        <v>92</v>
      </c>
      <c r="F180">
        <v>63</v>
      </c>
      <c r="G180" t="s">
        <v>93</v>
      </c>
      <c r="H180">
        <v>224.43</v>
      </c>
      <c r="I180">
        <v>93</v>
      </c>
      <c r="J180">
        <v>117.2</v>
      </c>
      <c r="K180">
        <v>99</v>
      </c>
      <c r="L180">
        <v>76.290000000000006</v>
      </c>
      <c r="M180">
        <v>87</v>
      </c>
      <c r="N180">
        <v>30</v>
      </c>
      <c r="O180">
        <v>97</v>
      </c>
      <c r="P180">
        <v>-23.92</v>
      </c>
      <c r="Q180">
        <v>99</v>
      </c>
      <c r="R180">
        <v>2.65</v>
      </c>
      <c r="S180">
        <v>90</v>
      </c>
      <c r="T180">
        <v>19.149999999999999</v>
      </c>
      <c r="U180">
        <v>96</v>
      </c>
      <c r="V180">
        <v>3.06</v>
      </c>
      <c r="W180">
        <v>79</v>
      </c>
      <c r="X180" t="s">
        <v>102</v>
      </c>
      <c r="Y180" t="s">
        <v>389</v>
      </c>
      <c r="Z180" t="s">
        <v>330</v>
      </c>
      <c r="AA180" t="s">
        <v>390</v>
      </c>
      <c r="AB180" t="s">
        <v>391</v>
      </c>
      <c r="AC180">
        <v>2173</v>
      </c>
      <c r="AD180">
        <v>615</v>
      </c>
      <c r="AE180">
        <v>99</v>
      </c>
      <c r="AF180">
        <v>68.75</v>
      </c>
      <c r="AG180">
        <v>22.57</v>
      </c>
      <c r="AH180">
        <v>13</v>
      </c>
      <c r="AI180">
        <v>0.34</v>
      </c>
      <c r="AJ180">
        <v>0.18</v>
      </c>
      <c r="AK180">
        <v>87</v>
      </c>
      <c r="AL180">
        <v>840</v>
      </c>
      <c r="AM180">
        <v>315</v>
      </c>
      <c r="AN180">
        <v>-4.46</v>
      </c>
      <c r="AO180">
        <v>1.62</v>
      </c>
      <c r="AP180">
        <v>7819</v>
      </c>
      <c r="AQ180">
        <v>39</v>
      </c>
      <c r="AR180">
        <v>6.53</v>
      </c>
      <c r="AS180">
        <v>98</v>
      </c>
      <c r="AT180">
        <v>2.44</v>
      </c>
      <c r="AU180">
        <v>99</v>
      </c>
      <c r="AV180">
        <v>-2.19</v>
      </c>
      <c r="AW180">
        <v>99</v>
      </c>
      <c r="AX180">
        <v>-0.37</v>
      </c>
      <c r="AY180">
        <v>99</v>
      </c>
      <c r="AZ180">
        <v>5.21</v>
      </c>
      <c r="BA180">
        <v>96</v>
      </c>
      <c r="BB180">
        <v>4.6399999999999997</v>
      </c>
      <c r="BC180">
        <v>82</v>
      </c>
      <c r="BD180">
        <v>-0.03</v>
      </c>
      <c r="BE180">
        <v>0.01</v>
      </c>
      <c r="BF180">
        <v>-0.03</v>
      </c>
      <c r="BG180">
        <v>98</v>
      </c>
      <c r="BH180">
        <v>-0.05</v>
      </c>
      <c r="BI180">
        <v>-15.64</v>
      </c>
      <c r="BJ180">
        <v>1</v>
      </c>
      <c r="BK180">
        <v>1</v>
      </c>
      <c r="BL180">
        <v>-1.67</v>
      </c>
      <c r="BM180">
        <v>-1.01</v>
      </c>
      <c r="BN180">
        <v>-1.61</v>
      </c>
      <c r="BO180">
        <v>-0.47</v>
      </c>
      <c r="BP180">
        <v>2.79</v>
      </c>
      <c r="BQ180">
        <v>-2.74</v>
      </c>
      <c r="BR180">
        <v>0.61</v>
      </c>
      <c r="BS180">
        <v>1.99</v>
      </c>
      <c r="BT180">
        <v>-0.33</v>
      </c>
      <c r="BU180">
        <v>-3.93</v>
      </c>
      <c r="BV180">
        <v>-2.58</v>
      </c>
      <c r="BW180">
        <v>-4.03</v>
      </c>
      <c r="BX180">
        <v>-3.47</v>
      </c>
      <c r="BY180">
        <v>-2.71</v>
      </c>
      <c r="BZ180">
        <v>-0.18</v>
      </c>
      <c r="CA180">
        <v>-2.0299999999999998</v>
      </c>
      <c r="CB180">
        <v>-3.47</v>
      </c>
      <c r="CC180">
        <v>0.94</v>
      </c>
      <c r="CD180">
        <v>-0.12</v>
      </c>
      <c r="CE180">
        <v>-0.65</v>
      </c>
      <c r="CF180">
        <v>-1.95</v>
      </c>
      <c r="CG180">
        <v>0</v>
      </c>
      <c r="CH180">
        <v>-4.16</v>
      </c>
      <c r="CI180">
        <v>0</v>
      </c>
      <c r="CJ180">
        <v>-13.1</v>
      </c>
      <c r="CK180">
        <v>99</v>
      </c>
      <c r="CL180">
        <v>-0.45</v>
      </c>
      <c r="CM180">
        <v>99</v>
      </c>
      <c r="CN180">
        <v>-0.08</v>
      </c>
      <c r="CO180">
        <v>99</v>
      </c>
      <c r="CP180">
        <v>-14.2</v>
      </c>
      <c r="CQ180">
        <v>93</v>
      </c>
      <c r="CR180">
        <v>0</v>
      </c>
      <c r="CS180">
        <v>0</v>
      </c>
      <c r="CT180">
        <v>-12.1</v>
      </c>
      <c r="CU180">
        <v>96</v>
      </c>
      <c r="CV180">
        <v>-7.0000000000000007E-2</v>
      </c>
      <c r="CW180">
        <v>47</v>
      </c>
      <c r="CX180" t="s">
        <v>392</v>
      </c>
    </row>
    <row r="181" spans="1:102" x14ac:dyDescent="0.3">
      <c r="A181" t="str">
        <f>HYPERLINK("https://webapp.icbf.com/v2/app/bull-search/view/1276123312","FR4977")</f>
        <v>FR4977</v>
      </c>
      <c r="B181" t="s">
        <v>9535</v>
      </c>
      <c r="C181" t="s">
        <v>9536</v>
      </c>
      <c r="D181" s="1">
        <v>41851</v>
      </c>
      <c r="E181" t="s">
        <v>92</v>
      </c>
      <c r="F181">
        <v>100</v>
      </c>
      <c r="G181" t="s">
        <v>109</v>
      </c>
      <c r="H181">
        <v>224.4</v>
      </c>
      <c r="I181">
        <v>66</v>
      </c>
      <c r="J181">
        <v>80.67</v>
      </c>
      <c r="K181">
        <v>87</v>
      </c>
      <c r="L181">
        <v>89.43</v>
      </c>
      <c r="M181">
        <v>66</v>
      </c>
      <c r="N181">
        <v>55.81</v>
      </c>
      <c r="O181">
        <v>48</v>
      </c>
      <c r="P181">
        <v>-26.23</v>
      </c>
      <c r="Q181">
        <v>37</v>
      </c>
      <c r="R181">
        <v>6.81</v>
      </c>
      <c r="S181">
        <v>63</v>
      </c>
      <c r="T181">
        <v>10.72</v>
      </c>
      <c r="U181">
        <v>36</v>
      </c>
      <c r="V181">
        <v>7.19</v>
      </c>
      <c r="W181">
        <v>48</v>
      </c>
      <c r="X181" t="s">
        <v>276</v>
      </c>
      <c r="Y181" t="s">
        <v>9537</v>
      </c>
      <c r="Z181" t="s">
        <v>330</v>
      </c>
      <c r="AA181" t="s">
        <v>9401</v>
      </c>
      <c r="AB181" t="s">
        <v>9538</v>
      </c>
      <c r="AC181">
        <v>0</v>
      </c>
      <c r="AD181">
        <v>0</v>
      </c>
      <c r="AE181">
        <v>87</v>
      </c>
      <c r="AF181">
        <v>35.380000000000003</v>
      </c>
      <c r="AG181">
        <v>11.62</v>
      </c>
      <c r="AH181">
        <v>10.15</v>
      </c>
      <c r="AI181">
        <v>0.17</v>
      </c>
      <c r="AJ181">
        <v>0.16</v>
      </c>
      <c r="AK181">
        <v>66</v>
      </c>
      <c r="AL181">
        <v>0</v>
      </c>
      <c r="AM181">
        <v>0</v>
      </c>
      <c r="AN181">
        <v>-4.2699999999999996</v>
      </c>
      <c r="AO181">
        <v>2.87</v>
      </c>
      <c r="AP181">
        <v>2</v>
      </c>
      <c r="AQ181">
        <v>0</v>
      </c>
      <c r="AR181">
        <v>2.93</v>
      </c>
      <c r="AS181">
        <v>41</v>
      </c>
      <c r="AT181">
        <v>1.1399999999999999</v>
      </c>
      <c r="AU181">
        <v>68</v>
      </c>
      <c r="AV181">
        <v>-4.76</v>
      </c>
      <c r="AW181">
        <v>45</v>
      </c>
      <c r="AX181">
        <v>-0.25</v>
      </c>
      <c r="AY181">
        <v>42</v>
      </c>
      <c r="AZ181">
        <v>8.1999999999999993</v>
      </c>
      <c r="BA181">
        <v>30</v>
      </c>
      <c r="BB181">
        <v>5.41</v>
      </c>
      <c r="BC181">
        <v>30</v>
      </c>
      <c r="BD181">
        <v>-0.04</v>
      </c>
      <c r="BE181">
        <v>0</v>
      </c>
      <c r="BF181">
        <v>-0.09</v>
      </c>
      <c r="BG181">
        <v>81</v>
      </c>
      <c r="BH181">
        <v>0.06</v>
      </c>
      <c r="BI181">
        <v>-16.239999999999998</v>
      </c>
      <c r="BJ181">
        <v>0</v>
      </c>
      <c r="BK181">
        <v>0</v>
      </c>
      <c r="BL181">
        <v>-1.35</v>
      </c>
      <c r="BM181">
        <v>1.52</v>
      </c>
      <c r="BN181">
        <v>-0.23</v>
      </c>
      <c r="BO181">
        <v>-1.51</v>
      </c>
      <c r="BP181">
        <v>0.76</v>
      </c>
      <c r="BQ181">
        <v>-0.97</v>
      </c>
      <c r="BR181">
        <v>0.71</v>
      </c>
      <c r="BS181">
        <v>-1.81</v>
      </c>
      <c r="BT181">
        <v>-0.65</v>
      </c>
      <c r="BU181">
        <v>0.35</v>
      </c>
      <c r="BV181">
        <v>-0.72</v>
      </c>
      <c r="BW181">
        <v>-1.0900000000000001</v>
      </c>
      <c r="BX181">
        <v>0.87</v>
      </c>
      <c r="BY181">
        <v>-2.04</v>
      </c>
      <c r="BZ181">
        <v>-0.08</v>
      </c>
      <c r="CA181">
        <v>-0.4</v>
      </c>
      <c r="CB181">
        <v>-0.38</v>
      </c>
      <c r="CC181">
        <v>-1.06</v>
      </c>
      <c r="CD181">
        <v>1.02</v>
      </c>
      <c r="CE181">
        <v>-0.32</v>
      </c>
      <c r="CF181">
        <v>-0.99</v>
      </c>
      <c r="CG181">
        <v>0</v>
      </c>
      <c r="CH181">
        <v>-1.99</v>
      </c>
      <c r="CI181">
        <v>0</v>
      </c>
      <c r="CJ181">
        <v>-16.3</v>
      </c>
      <c r="CK181">
        <v>38</v>
      </c>
      <c r="CL181">
        <v>-0.79</v>
      </c>
      <c r="CM181">
        <v>37</v>
      </c>
      <c r="CN181">
        <v>-0.53</v>
      </c>
      <c r="CO181">
        <v>37</v>
      </c>
      <c r="CP181">
        <v>-11.9</v>
      </c>
      <c r="CQ181">
        <v>36</v>
      </c>
      <c r="CR181">
        <v>0</v>
      </c>
      <c r="CS181">
        <v>0</v>
      </c>
      <c r="CT181">
        <v>-0.7</v>
      </c>
      <c r="CU181">
        <v>36</v>
      </c>
      <c r="CV181">
        <v>-0.15</v>
      </c>
      <c r="CW181">
        <v>33</v>
      </c>
      <c r="CX181" t="s">
        <v>2278</v>
      </c>
    </row>
    <row r="182" spans="1:102" x14ac:dyDescent="0.3">
      <c r="A182" t="str">
        <f>HYPERLINK("https://webapp.icbf.com/v2/app/bull-search/view/1141572472","FR2131")</f>
        <v>FR2131</v>
      </c>
      <c r="B182" t="s">
        <v>13530</v>
      </c>
      <c r="C182" t="s">
        <v>13531</v>
      </c>
      <c r="D182" s="1">
        <v>41676</v>
      </c>
      <c r="E182" t="s">
        <v>92</v>
      </c>
      <c r="F182">
        <v>53</v>
      </c>
      <c r="G182" t="s">
        <v>93</v>
      </c>
      <c r="H182">
        <v>224.36</v>
      </c>
      <c r="I182">
        <v>88</v>
      </c>
      <c r="J182">
        <v>72.680000000000007</v>
      </c>
      <c r="K182">
        <v>98</v>
      </c>
      <c r="L182">
        <v>91.25</v>
      </c>
      <c r="M182">
        <v>79</v>
      </c>
      <c r="N182">
        <v>53.3</v>
      </c>
      <c r="O182">
        <v>91</v>
      </c>
      <c r="P182">
        <v>-17.5</v>
      </c>
      <c r="Q182">
        <v>96</v>
      </c>
      <c r="R182">
        <v>1.35</v>
      </c>
      <c r="S182">
        <v>80</v>
      </c>
      <c r="T182">
        <v>10.79</v>
      </c>
      <c r="U182">
        <v>87</v>
      </c>
      <c r="V182">
        <v>12.49</v>
      </c>
      <c r="W182">
        <v>75</v>
      </c>
      <c r="X182" t="s">
        <v>276</v>
      </c>
      <c r="Y182" t="s">
        <v>416</v>
      </c>
      <c r="Z182" t="s">
        <v>330</v>
      </c>
      <c r="AA182" t="s">
        <v>1770</v>
      </c>
      <c r="AB182" t="s">
        <v>13532</v>
      </c>
      <c r="AC182">
        <v>380</v>
      </c>
      <c r="AD182">
        <v>119</v>
      </c>
      <c r="AE182">
        <v>98</v>
      </c>
      <c r="AF182">
        <v>25.86</v>
      </c>
      <c r="AG182">
        <v>10.93</v>
      </c>
      <c r="AH182">
        <v>8.89</v>
      </c>
      <c r="AI182">
        <v>0.17</v>
      </c>
      <c r="AJ182">
        <v>0.14000000000000001</v>
      </c>
      <c r="AK182">
        <v>79</v>
      </c>
      <c r="AL182">
        <v>26</v>
      </c>
      <c r="AM182">
        <v>15</v>
      </c>
      <c r="AN182">
        <v>-3.96</v>
      </c>
      <c r="AO182">
        <v>3.33</v>
      </c>
      <c r="AP182">
        <v>2977</v>
      </c>
      <c r="AQ182">
        <v>7</v>
      </c>
      <c r="AR182">
        <v>5.75</v>
      </c>
      <c r="AS182">
        <v>98</v>
      </c>
      <c r="AT182">
        <v>1.89</v>
      </c>
      <c r="AU182">
        <v>97</v>
      </c>
      <c r="AV182">
        <v>-4.99</v>
      </c>
      <c r="AW182">
        <v>99</v>
      </c>
      <c r="AX182">
        <v>-0.18</v>
      </c>
      <c r="AY182">
        <v>98</v>
      </c>
      <c r="AZ182">
        <v>6.09</v>
      </c>
      <c r="BA182">
        <v>85</v>
      </c>
      <c r="BB182">
        <v>5.18</v>
      </c>
      <c r="BC182">
        <v>49</v>
      </c>
      <c r="BD182">
        <v>-0.06</v>
      </c>
      <c r="BE182">
        <v>0.01</v>
      </c>
      <c r="BF182">
        <v>0.05</v>
      </c>
      <c r="BG182">
        <v>93</v>
      </c>
      <c r="BH182">
        <v>0.26</v>
      </c>
      <c r="BI182">
        <v>-10.210000000000001</v>
      </c>
      <c r="BJ182">
        <v>0</v>
      </c>
      <c r="BK182">
        <v>0</v>
      </c>
      <c r="BL182">
        <v>-1.25</v>
      </c>
      <c r="BM182">
        <v>1.1399999999999999</v>
      </c>
      <c r="BN182">
        <v>-0.33</v>
      </c>
      <c r="BO182">
        <v>-1.02</v>
      </c>
      <c r="BP182">
        <v>1.68</v>
      </c>
      <c r="BQ182">
        <v>-1.44</v>
      </c>
      <c r="BR182">
        <v>3.85</v>
      </c>
      <c r="BS182">
        <v>-2.02</v>
      </c>
      <c r="BT182">
        <v>-3.42</v>
      </c>
      <c r="BU182">
        <v>-0.6</v>
      </c>
      <c r="BV182">
        <v>-1.22</v>
      </c>
      <c r="BW182">
        <v>-0.92</v>
      </c>
      <c r="BX182">
        <v>-2.54</v>
      </c>
      <c r="BY182">
        <v>-0.76</v>
      </c>
      <c r="BZ182">
        <v>0.84</v>
      </c>
      <c r="CA182">
        <v>-1.1100000000000001</v>
      </c>
      <c r="CB182">
        <v>-1.05</v>
      </c>
      <c r="CC182">
        <v>-1.44</v>
      </c>
      <c r="CD182">
        <v>0.83</v>
      </c>
      <c r="CE182">
        <v>-0.36</v>
      </c>
      <c r="CF182">
        <v>-0.86</v>
      </c>
      <c r="CG182">
        <v>0</v>
      </c>
      <c r="CH182">
        <v>-1.46</v>
      </c>
      <c r="CI182">
        <v>0</v>
      </c>
      <c r="CJ182">
        <v>-7.2</v>
      </c>
      <c r="CK182">
        <v>98</v>
      </c>
      <c r="CL182">
        <v>-1</v>
      </c>
      <c r="CM182">
        <v>97</v>
      </c>
      <c r="CN182">
        <v>-0.34</v>
      </c>
      <c r="CO182">
        <v>97</v>
      </c>
      <c r="CP182">
        <v>-8.1999999999999993</v>
      </c>
      <c r="CQ182">
        <v>73</v>
      </c>
      <c r="CR182">
        <v>0</v>
      </c>
      <c r="CS182">
        <v>0</v>
      </c>
      <c r="CT182">
        <v>-0.8</v>
      </c>
      <c r="CU182">
        <v>87</v>
      </c>
      <c r="CV182">
        <v>0.21</v>
      </c>
      <c r="CW182">
        <v>47</v>
      </c>
      <c r="CX182" t="s">
        <v>6199</v>
      </c>
    </row>
    <row r="183" spans="1:102" x14ac:dyDescent="0.3">
      <c r="A183" t="str">
        <f>HYPERLINK("https://webapp.icbf.com/v2/app/bull-search/view/1137356670","FR2084")</f>
        <v>FR2084</v>
      </c>
      <c r="B183" t="s">
        <v>10240</v>
      </c>
      <c r="C183" t="s">
        <v>10241</v>
      </c>
      <c r="D183" s="1">
        <v>41672</v>
      </c>
      <c r="E183" t="s">
        <v>92</v>
      </c>
      <c r="F183">
        <v>69</v>
      </c>
      <c r="G183" t="s">
        <v>93</v>
      </c>
      <c r="H183">
        <v>224.24</v>
      </c>
      <c r="I183">
        <v>90</v>
      </c>
      <c r="J183">
        <v>97.87</v>
      </c>
      <c r="K183">
        <v>99</v>
      </c>
      <c r="L183">
        <v>71.02</v>
      </c>
      <c r="M183">
        <v>79</v>
      </c>
      <c r="N183">
        <v>49.4</v>
      </c>
      <c r="O183">
        <v>92</v>
      </c>
      <c r="P183">
        <v>-1.83</v>
      </c>
      <c r="Q183">
        <v>96</v>
      </c>
      <c r="R183">
        <v>5.47</v>
      </c>
      <c r="S183">
        <v>82</v>
      </c>
      <c r="T183">
        <v>2.36</v>
      </c>
      <c r="U183">
        <v>98</v>
      </c>
      <c r="V183">
        <v>-0.05</v>
      </c>
      <c r="W183">
        <v>75</v>
      </c>
      <c r="X183" t="s">
        <v>234</v>
      </c>
      <c r="Y183" t="s">
        <v>416</v>
      </c>
      <c r="Z183" t="s">
        <v>330</v>
      </c>
      <c r="AA183" t="s">
        <v>2514</v>
      </c>
      <c r="AB183" t="s">
        <v>10242</v>
      </c>
      <c r="AC183">
        <v>522</v>
      </c>
      <c r="AD183">
        <v>96</v>
      </c>
      <c r="AE183">
        <v>99</v>
      </c>
      <c r="AF183">
        <v>141.35</v>
      </c>
      <c r="AG183">
        <v>24.7</v>
      </c>
      <c r="AH183">
        <v>10.07</v>
      </c>
      <c r="AI183">
        <v>0.33</v>
      </c>
      <c r="AJ183">
        <v>0.09</v>
      </c>
      <c r="AK183">
        <v>79</v>
      </c>
      <c r="AL183">
        <v>212</v>
      </c>
      <c r="AM183">
        <v>52</v>
      </c>
      <c r="AN183">
        <v>-3.41</v>
      </c>
      <c r="AO183">
        <v>2.2599999999999998</v>
      </c>
      <c r="AP183">
        <v>1877</v>
      </c>
      <c r="AQ183">
        <v>3</v>
      </c>
      <c r="AR183">
        <v>5.93</v>
      </c>
      <c r="AS183">
        <v>91</v>
      </c>
      <c r="AT183">
        <v>2.27</v>
      </c>
      <c r="AU183">
        <v>97</v>
      </c>
      <c r="AV183">
        <v>-4.5999999999999996</v>
      </c>
      <c r="AW183">
        <v>99</v>
      </c>
      <c r="AX183">
        <v>-0.49</v>
      </c>
      <c r="AY183">
        <v>96</v>
      </c>
      <c r="AZ183">
        <v>6.15</v>
      </c>
      <c r="BA183">
        <v>86</v>
      </c>
      <c r="BB183">
        <v>4.9000000000000004</v>
      </c>
      <c r="BC183">
        <v>62</v>
      </c>
      <c r="BD183">
        <v>-0.01</v>
      </c>
      <c r="BE183">
        <v>-0.01</v>
      </c>
      <c r="BF183">
        <v>-0.09</v>
      </c>
      <c r="BG183">
        <v>95</v>
      </c>
      <c r="BH183">
        <v>-7.0000000000000007E-2</v>
      </c>
      <c r="BI183">
        <v>-7.93</v>
      </c>
      <c r="BJ183">
        <v>0</v>
      </c>
      <c r="BK183">
        <v>0</v>
      </c>
      <c r="BL183">
        <v>-1.5</v>
      </c>
      <c r="BM183">
        <v>0.92</v>
      </c>
      <c r="BN183">
        <v>-1.33</v>
      </c>
      <c r="BO183">
        <v>-1.58</v>
      </c>
      <c r="BP183">
        <v>-0.35</v>
      </c>
      <c r="BQ183">
        <v>-0.13</v>
      </c>
      <c r="BR183">
        <v>-0.54</v>
      </c>
      <c r="BS183">
        <v>0.21</v>
      </c>
      <c r="BT183">
        <v>-0.04</v>
      </c>
      <c r="BU183">
        <v>0.51</v>
      </c>
      <c r="BV183">
        <v>0.65</v>
      </c>
      <c r="BW183">
        <v>0.1</v>
      </c>
      <c r="BX183">
        <v>-0.4</v>
      </c>
      <c r="BY183">
        <v>-0.95</v>
      </c>
      <c r="BZ183">
        <v>-0.54</v>
      </c>
      <c r="CA183">
        <v>0.32</v>
      </c>
      <c r="CB183">
        <v>0.54</v>
      </c>
      <c r="CC183">
        <v>0.09</v>
      </c>
      <c r="CD183">
        <v>1.34</v>
      </c>
      <c r="CE183">
        <v>-0.63</v>
      </c>
      <c r="CF183">
        <v>-1.29</v>
      </c>
      <c r="CG183">
        <v>0</v>
      </c>
      <c r="CH183">
        <v>-1.1200000000000001</v>
      </c>
      <c r="CI183">
        <v>0</v>
      </c>
      <c r="CJ183">
        <v>0.9</v>
      </c>
      <c r="CK183">
        <v>98</v>
      </c>
      <c r="CL183">
        <v>-0.26</v>
      </c>
      <c r="CM183">
        <v>97</v>
      </c>
      <c r="CN183">
        <v>0.05</v>
      </c>
      <c r="CO183">
        <v>97</v>
      </c>
      <c r="CP183">
        <v>1.3</v>
      </c>
      <c r="CQ183">
        <v>82</v>
      </c>
      <c r="CR183">
        <v>0</v>
      </c>
      <c r="CS183">
        <v>0</v>
      </c>
      <c r="CT183">
        <v>10.6</v>
      </c>
      <c r="CU183">
        <v>98</v>
      </c>
      <c r="CV183">
        <v>0.01</v>
      </c>
      <c r="CW183">
        <v>47</v>
      </c>
      <c r="CX183" t="s">
        <v>7827</v>
      </c>
    </row>
    <row r="184" spans="1:102" x14ac:dyDescent="0.3">
      <c r="A184" t="str">
        <f>HYPERLINK("https://webapp.icbf.com/v2/app/bull-search/view/678700395","NZA")</f>
        <v>NZA</v>
      </c>
      <c r="B184" t="s">
        <v>12695</v>
      </c>
      <c r="C184" t="s">
        <v>12696</v>
      </c>
      <c r="D184" s="1">
        <v>39654</v>
      </c>
      <c r="E184" t="s">
        <v>92</v>
      </c>
      <c r="F184">
        <v>34</v>
      </c>
      <c r="G184" t="s">
        <v>93</v>
      </c>
      <c r="H184">
        <v>223.72</v>
      </c>
      <c r="I184">
        <v>86</v>
      </c>
      <c r="J184">
        <v>115.53</v>
      </c>
      <c r="K184">
        <v>96</v>
      </c>
      <c r="L184">
        <v>46.43</v>
      </c>
      <c r="M184">
        <v>78</v>
      </c>
      <c r="N184">
        <v>48.5</v>
      </c>
      <c r="O184">
        <v>86</v>
      </c>
      <c r="P184">
        <v>-31.69</v>
      </c>
      <c r="Q184">
        <v>93</v>
      </c>
      <c r="R184">
        <v>-0.04</v>
      </c>
      <c r="S184">
        <v>72</v>
      </c>
      <c r="T184">
        <v>41.72</v>
      </c>
      <c r="U184">
        <v>89</v>
      </c>
      <c r="V184">
        <v>3.27</v>
      </c>
      <c r="W184">
        <v>69</v>
      </c>
      <c r="X184" t="s">
        <v>276</v>
      </c>
      <c r="Y184" t="s">
        <v>329</v>
      </c>
      <c r="Z184" t="s">
        <v>330</v>
      </c>
      <c r="AA184" t="s">
        <v>2339</v>
      </c>
      <c r="AB184" t="s">
        <v>144</v>
      </c>
      <c r="AC184">
        <v>112</v>
      </c>
      <c r="AD184">
        <v>60</v>
      </c>
      <c r="AE184">
        <v>96</v>
      </c>
      <c r="AF184">
        <v>-130.55000000000001</v>
      </c>
      <c r="AG184">
        <v>20.86</v>
      </c>
      <c r="AH184">
        <v>10.27</v>
      </c>
      <c r="AI184">
        <v>0.44</v>
      </c>
      <c r="AJ184">
        <v>0.25</v>
      </c>
      <c r="AK184">
        <v>78</v>
      </c>
      <c r="AL184">
        <v>159</v>
      </c>
      <c r="AM184">
        <v>62</v>
      </c>
      <c r="AN184">
        <v>-0.4</v>
      </c>
      <c r="AO184">
        <v>3.33</v>
      </c>
      <c r="AP184">
        <v>266</v>
      </c>
      <c r="AQ184">
        <v>2</v>
      </c>
      <c r="AR184">
        <v>3.66</v>
      </c>
      <c r="AS184">
        <v>75</v>
      </c>
      <c r="AT184">
        <v>1.68</v>
      </c>
      <c r="AU184">
        <v>87</v>
      </c>
      <c r="AV184">
        <v>-3.53</v>
      </c>
      <c r="AW184">
        <v>97</v>
      </c>
      <c r="AX184">
        <v>-0.45</v>
      </c>
      <c r="AY184">
        <v>84</v>
      </c>
      <c r="AZ184">
        <v>6.11</v>
      </c>
      <c r="BA184">
        <v>65</v>
      </c>
      <c r="BB184">
        <v>4.9400000000000004</v>
      </c>
      <c r="BC184">
        <v>64</v>
      </c>
      <c r="BD184">
        <v>-0.03</v>
      </c>
      <c r="BE184">
        <v>-0.01</v>
      </c>
      <c r="BF184">
        <v>7.0000000000000007E-2</v>
      </c>
      <c r="BG184">
        <v>86</v>
      </c>
      <c r="BH184">
        <v>0.01</v>
      </c>
      <c r="BI184">
        <v>-9.4</v>
      </c>
      <c r="BJ184">
        <v>1</v>
      </c>
      <c r="BK184">
        <v>1</v>
      </c>
      <c r="BL184">
        <v>-2.61</v>
      </c>
      <c r="BM184">
        <v>0.18</v>
      </c>
      <c r="BN184">
        <v>-0.77</v>
      </c>
      <c r="BO184">
        <v>-0.36</v>
      </c>
      <c r="BP184">
        <v>-1.38</v>
      </c>
      <c r="BQ184">
        <v>-3.55</v>
      </c>
      <c r="BR184">
        <v>1.92</v>
      </c>
      <c r="BS184">
        <v>0.74</v>
      </c>
      <c r="BT184">
        <v>-2.48</v>
      </c>
      <c r="BU184">
        <v>-3.57</v>
      </c>
      <c r="BV184">
        <v>-2.64</v>
      </c>
      <c r="BW184">
        <v>-3.09</v>
      </c>
      <c r="BX184">
        <v>-3.68</v>
      </c>
      <c r="BY184">
        <v>-1.68</v>
      </c>
      <c r="BZ184">
        <v>0.55000000000000004</v>
      </c>
      <c r="CA184">
        <v>-2.1</v>
      </c>
      <c r="CB184">
        <v>-2.6</v>
      </c>
      <c r="CC184">
        <v>-0.22</v>
      </c>
      <c r="CD184">
        <v>-0.53</v>
      </c>
      <c r="CE184">
        <v>0.21</v>
      </c>
      <c r="CF184">
        <v>-2.27</v>
      </c>
      <c r="CG184">
        <v>0</v>
      </c>
      <c r="CH184">
        <v>-0.93</v>
      </c>
      <c r="CI184">
        <v>0</v>
      </c>
      <c r="CJ184">
        <v>-17.600000000000001</v>
      </c>
      <c r="CK184">
        <v>95</v>
      </c>
      <c r="CL184">
        <v>-0.75</v>
      </c>
      <c r="CM184">
        <v>93</v>
      </c>
      <c r="CN184">
        <v>-0.38</v>
      </c>
      <c r="CO184">
        <v>92</v>
      </c>
      <c r="CP184">
        <v>-27.4</v>
      </c>
      <c r="CQ184">
        <v>84</v>
      </c>
      <c r="CR184">
        <v>0</v>
      </c>
      <c r="CS184">
        <v>0</v>
      </c>
      <c r="CT184">
        <v>-42.6</v>
      </c>
      <c r="CU184">
        <v>89</v>
      </c>
      <c r="CV184">
        <v>-0.13</v>
      </c>
      <c r="CW184">
        <v>28</v>
      </c>
      <c r="CX184" t="s">
        <v>1634</v>
      </c>
    </row>
    <row r="185" spans="1:102" x14ac:dyDescent="0.3">
      <c r="A185" t="str">
        <f>HYPERLINK("https://webapp.icbf.com/v2/app/bull-search/view/747499416","TSK")</f>
        <v>TSK</v>
      </c>
      <c r="B185" t="s">
        <v>12911</v>
      </c>
      <c r="C185" t="s">
        <v>12912</v>
      </c>
      <c r="D185" s="1">
        <v>40219</v>
      </c>
      <c r="E185" t="s">
        <v>92</v>
      </c>
      <c r="F185">
        <v>84</v>
      </c>
      <c r="G185" t="s">
        <v>93</v>
      </c>
      <c r="H185">
        <v>223.66</v>
      </c>
      <c r="I185">
        <v>98</v>
      </c>
      <c r="J185">
        <v>76.89</v>
      </c>
      <c r="K185">
        <v>99</v>
      </c>
      <c r="L185">
        <v>82.59</v>
      </c>
      <c r="M185">
        <v>97</v>
      </c>
      <c r="N185">
        <v>49.58</v>
      </c>
      <c r="O185">
        <v>99</v>
      </c>
      <c r="P185">
        <v>-12.59</v>
      </c>
      <c r="Q185">
        <v>99</v>
      </c>
      <c r="R185">
        <v>10.66</v>
      </c>
      <c r="S185">
        <v>97</v>
      </c>
      <c r="T185">
        <v>12.35</v>
      </c>
      <c r="U185">
        <v>99</v>
      </c>
      <c r="V185">
        <v>4.18</v>
      </c>
      <c r="W185">
        <v>87</v>
      </c>
      <c r="X185" t="s">
        <v>94</v>
      </c>
      <c r="Y185" t="s">
        <v>329</v>
      </c>
      <c r="Z185" t="s">
        <v>96</v>
      </c>
      <c r="AA185" t="s">
        <v>277</v>
      </c>
      <c r="AB185" t="s">
        <v>12913</v>
      </c>
      <c r="AC185">
        <v>5409</v>
      </c>
      <c r="AD185">
        <v>1888</v>
      </c>
      <c r="AE185">
        <v>99</v>
      </c>
      <c r="AF185">
        <v>8.23</v>
      </c>
      <c r="AG185">
        <v>16.66</v>
      </c>
      <c r="AH185">
        <v>7.31</v>
      </c>
      <c r="AI185">
        <v>0.28000000000000003</v>
      </c>
      <c r="AJ185">
        <v>0.12</v>
      </c>
      <c r="AK185">
        <v>97</v>
      </c>
      <c r="AL185">
        <v>6798</v>
      </c>
      <c r="AM185">
        <v>2696</v>
      </c>
      <c r="AN185">
        <v>-4.22</v>
      </c>
      <c r="AO185">
        <v>2.37</v>
      </c>
      <c r="AP185">
        <v>10194</v>
      </c>
      <c r="AQ185">
        <v>59</v>
      </c>
      <c r="AR185">
        <v>5.97</v>
      </c>
      <c r="AS185">
        <v>99</v>
      </c>
      <c r="AT185">
        <v>2.37</v>
      </c>
      <c r="AU185">
        <v>99</v>
      </c>
      <c r="AV185">
        <v>-4.5599999999999996</v>
      </c>
      <c r="AW185">
        <v>99</v>
      </c>
      <c r="AX185">
        <v>-0.01</v>
      </c>
      <c r="AY185">
        <v>99</v>
      </c>
      <c r="AZ185">
        <v>5.36</v>
      </c>
      <c r="BA185">
        <v>98</v>
      </c>
      <c r="BB185">
        <v>4.5999999999999996</v>
      </c>
      <c r="BC185">
        <v>98</v>
      </c>
      <c r="BD185">
        <v>-0.03</v>
      </c>
      <c r="BE185">
        <v>-0.05</v>
      </c>
      <c r="BF185">
        <v>-0.1</v>
      </c>
      <c r="BG185">
        <v>99</v>
      </c>
      <c r="BH185">
        <v>0</v>
      </c>
      <c r="BI185">
        <v>-13.48</v>
      </c>
      <c r="BJ185">
        <v>205</v>
      </c>
      <c r="BK185">
        <v>104</v>
      </c>
      <c r="BL185">
        <v>-0.98</v>
      </c>
      <c r="BM185">
        <v>1.1499999999999999</v>
      </c>
      <c r="BN185">
        <v>-0.3</v>
      </c>
      <c r="BO185">
        <v>-1.17</v>
      </c>
      <c r="BP185">
        <v>-0.48</v>
      </c>
      <c r="BQ185">
        <v>-1.56</v>
      </c>
      <c r="BR185">
        <v>2.08</v>
      </c>
      <c r="BS185">
        <v>0.98</v>
      </c>
      <c r="BT185">
        <v>-2.2400000000000002</v>
      </c>
      <c r="BU185">
        <v>-0.89</v>
      </c>
      <c r="BV185">
        <v>-0.42</v>
      </c>
      <c r="BW185">
        <v>-0.25</v>
      </c>
      <c r="BX185">
        <v>-0.56000000000000005</v>
      </c>
      <c r="BY185">
        <v>0.22</v>
      </c>
      <c r="BZ185">
        <v>0.23</v>
      </c>
      <c r="CA185">
        <v>-0.52</v>
      </c>
      <c r="CB185">
        <v>-0.56999999999999995</v>
      </c>
      <c r="CC185">
        <v>-0.37</v>
      </c>
      <c r="CD185">
        <v>0.55000000000000004</v>
      </c>
      <c r="CE185">
        <v>-1.21</v>
      </c>
      <c r="CF185">
        <v>-0.75</v>
      </c>
      <c r="CG185">
        <v>0</v>
      </c>
      <c r="CH185">
        <v>0.02</v>
      </c>
      <c r="CI185">
        <v>0</v>
      </c>
      <c r="CJ185">
        <v>-3.8</v>
      </c>
      <c r="CK185">
        <v>99</v>
      </c>
      <c r="CL185">
        <v>-0.73</v>
      </c>
      <c r="CM185">
        <v>99</v>
      </c>
      <c r="CN185">
        <v>-0.06</v>
      </c>
      <c r="CO185">
        <v>99</v>
      </c>
      <c r="CP185">
        <v>-3.4</v>
      </c>
      <c r="CQ185">
        <v>99</v>
      </c>
      <c r="CR185">
        <v>0</v>
      </c>
      <c r="CS185">
        <v>0</v>
      </c>
      <c r="CT185">
        <v>-2.9</v>
      </c>
      <c r="CU185">
        <v>99</v>
      </c>
      <c r="CV185">
        <v>0.18</v>
      </c>
      <c r="CW185">
        <v>48</v>
      </c>
      <c r="CX185" t="s">
        <v>256</v>
      </c>
    </row>
    <row r="186" spans="1:102" x14ac:dyDescent="0.3">
      <c r="A186" t="str">
        <f>HYPERLINK("https://webapp.icbf.com/v2/app/bull-search/view/1292341341","FR2267")</f>
        <v>FR2267</v>
      </c>
      <c r="B186" t="s">
        <v>2705</v>
      </c>
      <c r="C186" t="s">
        <v>2706</v>
      </c>
      <c r="D186" s="1">
        <v>41651</v>
      </c>
      <c r="E186" t="s">
        <v>92</v>
      </c>
      <c r="F186">
        <v>100</v>
      </c>
      <c r="G186" t="s">
        <v>93</v>
      </c>
      <c r="H186">
        <v>223.33</v>
      </c>
      <c r="I186">
        <v>89</v>
      </c>
      <c r="J186">
        <v>71.63</v>
      </c>
      <c r="K186">
        <v>99</v>
      </c>
      <c r="L186">
        <v>90.79</v>
      </c>
      <c r="M186">
        <v>80</v>
      </c>
      <c r="N186">
        <v>59.75</v>
      </c>
      <c r="O186">
        <v>91</v>
      </c>
      <c r="P186">
        <v>-9.99</v>
      </c>
      <c r="Q186">
        <v>96</v>
      </c>
      <c r="R186">
        <v>16.989999999999998</v>
      </c>
      <c r="S186">
        <v>80</v>
      </c>
      <c r="T186">
        <v>-12.37</v>
      </c>
      <c r="U186">
        <v>84</v>
      </c>
      <c r="V186">
        <v>6.53</v>
      </c>
      <c r="W186">
        <v>74</v>
      </c>
      <c r="X186" t="s">
        <v>428</v>
      </c>
      <c r="Y186" t="s">
        <v>405</v>
      </c>
      <c r="Z186" t="s">
        <v>96</v>
      </c>
      <c r="AA186" t="s">
        <v>2707</v>
      </c>
      <c r="AB186" t="s">
        <v>2708</v>
      </c>
      <c r="AC186">
        <v>966</v>
      </c>
      <c r="AD186">
        <v>227</v>
      </c>
      <c r="AE186">
        <v>99</v>
      </c>
      <c r="AF186">
        <v>328.42</v>
      </c>
      <c r="AG186">
        <v>13.37</v>
      </c>
      <c r="AH186">
        <v>12.48</v>
      </c>
      <c r="AI186">
        <v>0.01</v>
      </c>
      <c r="AJ186">
        <v>0.02</v>
      </c>
      <c r="AK186">
        <v>80</v>
      </c>
      <c r="AL186">
        <v>0</v>
      </c>
      <c r="AM186">
        <v>0</v>
      </c>
      <c r="AN186">
        <v>-5.75</v>
      </c>
      <c r="AO186">
        <v>1.48</v>
      </c>
      <c r="AP186">
        <v>3365</v>
      </c>
      <c r="AQ186">
        <v>24</v>
      </c>
      <c r="AR186">
        <v>4.8499999999999996</v>
      </c>
      <c r="AS186">
        <v>98</v>
      </c>
      <c r="AT186">
        <v>2.39</v>
      </c>
      <c r="AU186">
        <v>98</v>
      </c>
      <c r="AV186">
        <v>-5.61</v>
      </c>
      <c r="AW186">
        <v>99</v>
      </c>
      <c r="AX186">
        <v>-0.09</v>
      </c>
      <c r="AY186">
        <v>98</v>
      </c>
      <c r="AZ186">
        <v>5.65</v>
      </c>
      <c r="BA186">
        <v>91</v>
      </c>
      <c r="BB186">
        <v>4.62</v>
      </c>
      <c r="BC186">
        <v>46</v>
      </c>
      <c r="BD186">
        <v>-0.04</v>
      </c>
      <c r="BE186">
        <v>-0.06</v>
      </c>
      <c r="BF186">
        <v>-0.21</v>
      </c>
      <c r="BG186">
        <v>96</v>
      </c>
      <c r="BH186">
        <v>-0.04</v>
      </c>
      <c r="BI186">
        <v>-25.69</v>
      </c>
      <c r="BJ186">
        <v>39</v>
      </c>
      <c r="BK186">
        <v>17</v>
      </c>
      <c r="BL186">
        <v>2.16</v>
      </c>
      <c r="BM186">
        <v>-0.75</v>
      </c>
      <c r="BN186">
        <v>0.37</v>
      </c>
      <c r="BO186">
        <v>0.86</v>
      </c>
      <c r="BP186">
        <v>-2.64</v>
      </c>
      <c r="BQ186">
        <v>-0.18</v>
      </c>
      <c r="BR186">
        <v>0.52</v>
      </c>
      <c r="BS186">
        <v>0.87</v>
      </c>
      <c r="BT186">
        <v>-0.04</v>
      </c>
      <c r="BU186">
        <v>2.7</v>
      </c>
      <c r="BV186">
        <v>2.54</v>
      </c>
      <c r="BW186">
        <v>2.84</v>
      </c>
      <c r="BX186">
        <v>2.93</v>
      </c>
      <c r="BY186">
        <v>2.64</v>
      </c>
      <c r="BZ186">
        <v>-3.24</v>
      </c>
      <c r="CA186">
        <v>2.14</v>
      </c>
      <c r="CB186">
        <v>2.4500000000000002</v>
      </c>
      <c r="CC186">
        <v>0.34</v>
      </c>
      <c r="CD186">
        <v>-0.5</v>
      </c>
      <c r="CE186">
        <v>1.19</v>
      </c>
      <c r="CF186">
        <v>1.7</v>
      </c>
      <c r="CG186">
        <v>0</v>
      </c>
      <c r="CH186">
        <v>2.88</v>
      </c>
      <c r="CI186">
        <v>0</v>
      </c>
      <c r="CJ186">
        <v>-0.4</v>
      </c>
      <c r="CK186">
        <v>98</v>
      </c>
      <c r="CL186">
        <v>-1.47</v>
      </c>
      <c r="CM186">
        <v>98</v>
      </c>
      <c r="CN186">
        <v>-0.36</v>
      </c>
      <c r="CO186">
        <v>98</v>
      </c>
      <c r="CP186">
        <v>10.1</v>
      </c>
      <c r="CQ186">
        <v>75</v>
      </c>
      <c r="CR186">
        <v>0</v>
      </c>
      <c r="CS186">
        <v>0</v>
      </c>
      <c r="CT186">
        <v>30.5</v>
      </c>
      <c r="CU186">
        <v>84</v>
      </c>
      <c r="CV186">
        <v>0.41</v>
      </c>
      <c r="CW186">
        <v>47</v>
      </c>
      <c r="CX186" t="s">
        <v>2269</v>
      </c>
    </row>
    <row r="187" spans="1:102" x14ac:dyDescent="0.3">
      <c r="A187" t="str">
        <f>HYPERLINK("https://webapp.icbf.com/v2/app/bull-search/view/586150492","MHR")</f>
        <v>MHR</v>
      </c>
      <c r="B187" t="s">
        <v>7246</v>
      </c>
      <c r="C187" t="s">
        <v>7247</v>
      </c>
      <c r="D187" s="1">
        <v>39295</v>
      </c>
      <c r="E187" t="s">
        <v>92</v>
      </c>
      <c r="F187">
        <v>56</v>
      </c>
      <c r="G187" t="s">
        <v>93</v>
      </c>
      <c r="H187">
        <v>223.27</v>
      </c>
      <c r="I187">
        <v>93</v>
      </c>
      <c r="J187">
        <v>70</v>
      </c>
      <c r="K187">
        <v>99</v>
      </c>
      <c r="L187">
        <v>90.45</v>
      </c>
      <c r="M187">
        <v>88</v>
      </c>
      <c r="N187">
        <v>37.299999999999997</v>
      </c>
      <c r="O187">
        <v>93</v>
      </c>
      <c r="P187">
        <v>-21.77</v>
      </c>
      <c r="Q187">
        <v>97</v>
      </c>
      <c r="R187">
        <v>12.54</v>
      </c>
      <c r="S187">
        <v>85</v>
      </c>
      <c r="T187">
        <v>24.85</v>
      </c>
      <c r="U187">
        <v>95</v>
      </c>
      <c r="V187">
        <v>9.9</v>
      </c>
      <c r="W187">
        <v>75</v>
      </c>
      <c r="X187" t="s">
        <v>276</v>
      </c>
      <c r="Y187" t="s">
        <v>329</v>
      </c>
      <c r="Z187" t="s">
        <v>330</v>
      </c>
      <c r="AA187" t="s">
        <v>1772</v>
      </c>
      <c r="AB187" t="s">
        <v>144</v>
      </c>
      <c r="AC187">
        <v>302</v>
      </c>
      <c r="AD187">
        <v>110</v>
      </c>
      <c r="AE187">
        <v>99</v>
      </c>
      <c r="AF187">
        <v>103.82</v>
      </c>
      <c r="AG187">
        <v>19.600000000000001</v>
      </c>
      <c r="AH187">
        <v>6.56</v>
      </c>
      <c r="AI187">
        <v>0.27</v>
      </c>
      <c r="AJ187">
        <v>0.05</v>
      </c>
      <c r="AK187">
        <v>88</v>
      </c>
      <c r="AL187">
        <v>339</v>
      </c>
      <c r="AM187">
        <v>122</v>
      </c>
      <c r="AN187">
        <v>-3.61</v>
      </c>
      <c r="AO187">
        <v>3.62</v>
      </c>
      <c r="AP187">
        <v>537</v>
      </c>
      <c r="AQ187">
        <v>1</v>
      </c>
      <c r="AR187">
        <v>4.76</v>
      </c>
      <c r="AS187">
        <v>93</v>
      </c>
      <c r="AT187">
        <v>1.88</v>
      </c>
      <c r="AU187">
        <v>92</v>
      </c>
      <c r="AV187">
        <v>-2.73</v>
      </c>
      <c r="AW187">
        <v>99</v>
      </c>
      <c r="AX187">
        <v>0.16</v>
      </c>
      <c r="AY187">
        <v>93</v>
      </c>
      <c r="AZ187">
        <v>5.59</v>
      </c>
      <c r="BA187">
        <v>79</v>
      </c>
      <c r="BB187">
        <v>5.16</v>
      </c>
      <c r="BC187">
        <v>82</v>
      </c>
      <c r="BD187">
        <v>-0.08</v>
      </c>
      <c r="BE187">
        <v>-0.05</v>
      </c>
      <c r="BF187">
        <v>-0.06</v>
      </c>
      <c r="BG187">
        <v>95</v>
      </c>
      <c r="BH187">
        <v>0.12</v>
      </c>
      <c r="BI187">
        <v>-18.07</v>
      </c>
      <c r="BJ187">
        <v>4</v>
      </c>
      <c r="BK187">
        <v>4</v>
      </c>
      <c r="BL187">
        <v>-1.84</v>
      </c>
      <c r="BM187">
        <v>-0.68</v>
      </c>
      <c r="BN187">
        <v>-1.82</v>
      </c>
      <c r="BO187">
        <v>-1.07</v>
      </c>
      <c r="BP187">
        <v>-1.4</v>
      </c>
      <c r="BQ187">
        <v>-2.7</v>
      </c>
      <c r="BR187">
        <v>0.36</v>
      </c>
      <c r="BS187">
        <v>-0.67</v>
      </c>
      <c r="BT187">
        <v>-1.94</v>
      </c>
      <c r="BU187">
        <v>-1.3</v>
      </c>
      <c r="BV187">
        <v>-1.51</v>
      </c>
      <c r="BW187">
        <v>-2.5099999999999998</v>
      </c>
      <c r="BX187">
        <v>-2.67</v>
      </c>
      <c r="BY187">
        <v>-0.64</v>
      </c>
      <c r="BZ187">
        <v>-1.1100000000000001</v>
      </c>
      <c r="CA187">
        <v>-2.25</v>
      </c>
      <c r="CB187">
        <v>-1.46</v>
      </c>
      <c r="CC187">
        <v>-1.57</v>
      </c>
      <c r="CD187">
        <v>0.46</v>
      </c>
      <c r="CE187">
        <v>-0.88</v>
      </c>
      <c r="CF187">
        <v>-1.28</v>
      </c>
      <c r="CG187">
        <v>0</v>
      </c>
      <c r="CH187">
        <v>-1.05</v>
      </c>
      <c r="CI187">
        <v>0</v>
      </c>
      <c r="CJ187">
        <v>-9.5</v>
      </c>
      <c r="CK187">
        <v>98</v>
      </c>
      <c r="CL187">
        <v>-0.87</v>
      </c>
      <c r="CM187">
        <v>97</v>
      </c>
      <c r="CN187">
        <v>-0.21</v>
      </c>
      <c r="CO187">
        <v>97</v>
      </c>
      <c r="CP187">
        <v>-14.3</v>
      </c>
      <c r="CQ187">
        <v>92</v>
      </c>
      <c r="CR187">
        <v>0</v>
      </c>
      <c r="CS187">
        <v>0</v>
      </c>
      <c r="CT187">
        <v>-19.8</v>
      </c>
      <c r="CU187">
        <v>95</v>
      </c>
      <c r="CV187">
        <v>0.12</v>
      </c>
      <c r="CW187">
        <v>46</v>
      </c>
      <c r="CX187" t="s">
        <v>1451</v>
      </c>
    </row>
    <row r="188" spans="1:102" x14ac:dyDescent="0.3">
      <c r="A188" t="str">
        <f>HYPERLINK("https://webapp.icbf.com/v2/app/bull-search/view/1480163743","FR4411")</f>
        <v>FR4411</v>
      </c>
      <c r="B188" t="s">
        <v>6272</v>
      </c>
      <c r="C188" t="s">
        <v>6273</v>
      </c>
      <c r="D188" s="1">
        <v>42783</v>
      </c>
      <c r="E188" t="s">
        <v>92</v>
      </c>
      <c r="F188">
        <v>78</v>
      </c>
      <c r="G188" t="s">
        <v>435</v>
      </c>
      <c r="H188">
        <v>222.97</v>
      </c>
      <c r="I188">
        <v>69</v>
      </c>
      <c r="J188">
        <v>70.400000000000006</v>
      </c>
      <c r="K188">
        <v>88</v>
      </c>
      <c r="L188">
        <v>104.49</v>
      </c>
      <c r="M188">
        <v>58</v>
      </c>
      <c r="N188">
        <v>46.01</v>
      </c>
      <c r="O188">
        <v>76</v>
      </c>
      <c r="P188">
        <v>-14.09</v>
      </c>
      <c r="Q188">
        <v>60</v>
      </c>
      <c r="R188">
        <v>-3.2</v>
      </c>
      <c r="S188">
        <v>59</v>
      </c>
      <c r="T188">
        <v>18.64</v>
      </c>
      <c r="U188">
        <v>49</v>
      </c>
      <c r="V188">
        <v>0.72</v>
      </c>
      <c r="W188">
        <v>53</v>
      </c>
      <c r="X188" t="s">
        <v>94</v>
      </c>
      <c r="Y188" t="s">
        <v>2255</v>
      </c>
      <c r="Z188" t="s">
        <v>96</v>
      </c>
      <c r="AA188" t="s">
        <v>6274</v>
      </c>
      <c r="AB188" t="s">
        <v>6275</v>
      </c>
      <c r="AC188">
        <v>0</v>
      </c>
      <c r="AD188">
        <v>0</v>
      </c>
      <c r="AE188">
        <v>88</v>
      </c>
      <c r="AF188">
        <v>47.95</v>
      </c>
      <c r="AG188">
        <v>16.05</v>
      </c>
      <c r="AH188">
        <v>7.03</v>
      </c>
      <c r="AI188">
        <v>0.24</v>
      </c>
      <c r="AJ188">
        <v>0.1</v>
      </c>
      <c r="AK188">
        <v>58</v>
      </c>
      <c r="AL188">
        <v>0</v>
      </c>
      <c r="AM188">
        <v>0</v>
      </c>
      <c r="AN188">
        <v>-5.15</v>
      </c>
      <c r="AO188">
        <v>3.19</v>
      </c>
      <c r="AP188">
        <v>140</v>
      </c>
      <c r="AQ188">
        <v>1</v>
      </c>
      <c r="AR188">
        <v>5</v>
      </c>
      <c r="AS188">
        <v>63</v>
      </c>
      <c r="AT188">
        <v>2.44</v>
      </c>
      <c r="AU188">
        <v>82</v>
      </c>
      <c r="AV188">
        <v>-4.0199999999999996</v>
      </c>
      <c r="AW188">
        <v>94</v>
      </c>
      <c r="AX188">
        <v>0.04</v>
      </c>
      <c r="AY188">
        <v>70</v>
      </c>
      <c r="AZ188">
        <v>6.01</v>
      </c>
      <c r="BA188">
        <v>40</v>
      </c>
      <c r="BB188">
        <v>4.5599999999999996</v>
      </c>
      <c r="BC188">
        <v>32</v>
      </c>
      <c r="BD188">
        <v>-0.02</v>
      </c>
      <c r="BE188">
        <v>0.03</v>
      </c>
      <c r="BF188">
        <v>0.05</v>
      </c>
      <c r="BG188">
        <v>70</v>
      </c>
      <c r="BH188">
        <v>0.14000000000000001</v>
      </c>
      <c r="BI188">
        <v>13.86</v>
      </c>
      <c r="BJ188">
        <v>0</v>
      </c>
      <c r="BK188">
        <v>0</v>
      </c>
      <c r="BL188">
        <v>-1.01</v>
      </c>
      <c r="BM188">
        <v>7.0000000000000007E-2</v>
      </c>
      <c r="BN188">
        <v>-1.83</v>
      </c>
      <c r="BO188">
        <v>-1.61</v>
      </c>
      <c r="BP188">
        <v>3.59</v>
      </c>
      <c r="BQ188">
        <v>-2.2000000000000002</v>
      </c>
      <c r="BR188">
        <v>-1.05</v>
      </c>
      <c r="BS188">
        <v>-0.59</v>
      </c>
      <c r="BT188">
        <v>1.23</v>
      </c>
      <c r="BU188">
        <v>-0.77</v>
      </c>
      <c r="BV188">
        <v>-1.29</v>
      </c>
      <c r="BW188">
        <v>-1.07</v>
      </c>
      <c r="BX188">
        <v>0.42</v>
      </c>
      <c r="BY188">
        <v>-2.29</v>
      </c>
      <c r="BZ188">
        <v>-0.72</v>
      </c>
      <c r="CA188">
        <v>-1.27</v>
      </c>
      <c r="CB188">
        <v>-1.29</v>
      </c>
      <c r="CC188">
        <v>-0.13</v>
      </c>
      <c r="CD188">
        <v>1.22</v>
      </c>
      <c r="CE188">
        <v>-1.44</v>
      </c>
      <c r="CF188">
        <v>-1.4</v>
      </c>
      <c r="CG188">
        <v>0</v>
      </c>
      <c r="CH188">
        <v>-2.4900000000000002</v>
      </c>
      <c r="CI188">
        <v>0</v>
      </c>
      <c r="CJ188">
        <v>-7.1</v>
      </c>
      <c r="CK188">
        <v>63</v>
      </c>
      <c r="CL188">
        <v>-0.47</v>
      </c>
      <c r="CM188">
        <v>57</v>
      </c>
      <c r="CN188">
        <v>-0.15</v>
      </c>
      <c r="CO188">
        <v>56</v>
      </c>
      <c r="CP188">
        <v>-8</v>
      </c>
      <c r="CQ188">
        <v>48</v>
      </c>
      <c r="CR188">
        <v>0</v>
      </c>
      <c r="CS188">
        <v>0</v>
      </c>
      <c r="CT188">
        <v>-11.4</v>
      </c>
      <c r="CU188">
        <v>49</v>
      </c>
      <c r="CV188">
        <v>-0.03</v>
      </c>
      <c r="CW188">
        <v>38</v>
      </c>
      <c r="CX188" t="s">
        <v>2157</v>
      </c>
    </row>
    <row r="189" spans="1:102" x14ac:dyDescent="0.3">
      <c r="A189" t="str">
        <f>HYPERLINK("https://webapp.icbf.com/v2/app/bull-search/view/1243230479","FR2232")</f>
        <v>FR2232</v>
      </c>
      <c r="B189" t="s">
        <v>7747</v>
      </c>
      <c r="C189" t="s">
        <v>7748</v>
      </c>
      <c r="D189" s="1">
        <v>42030</v>
      </c>
      <c r="E189" t="s">
        <v>92</v>
      </c>
      <c r="F189">
        <v>94</v>
      </c>
      <c r="G189" t="s">
        <v>93</v>
      </c>
      <c r="H189">
        <v>222.72</v>
      </c>
      <c r="I189">
        <v>88</v>
      </c>
      <c r="J189">
        <v>97.19</v>
      </c>
      <c r="K189">
        <v>98</v>
      </c>
      <c r="L189">
        <v>78.89</v>
      </c>
      <c r="M189">
        <v>79</v>
      </c>
      <c r="N189">
        <v>50.62</v>
      </c>
      <c r="O189">
        <v>92</v>
      </c>
      <c r="P189">
        <v>-15.77</v>
      </c>
      <c r="Q189">
        <v>96</v>
      </c>
      <c r="R189">
        <v>-5.87</v>
      </c>
      <c r="S189">
        <v>83</v>
      </c>
      <c r="T189">
        <v>13.31</v>
      </c>
      <c r="U189">
        <v>85</v>
      </c>
      <c r="V189">
        <v>4.3499999999999996</v>
      </c>
      <c r="W189">
        <v>76</v>
      </c>
      <c r="X189" t="s">
        <v>102</v>
      </c>
      <c r="Y189" t="s">
        <v>416</v>
      </c>
      <c r="Z189" t="s">
        <v>96</v>
      </c>
      <c r="AA189" t="s">
        <v>2239</v>
      </c>
      <c r="AB189" t="s">
        <v>7749</v>
      </c>
      <c r="AC189">
        <v>558</v>
      </c>
      <c r="AD189">
        <v>222</v>
      </c>
      <c r="AE189">
        <v>98</v>
      </c>
      <c r="AF189">
        <v>218.78</v>
      </c>
      <c r="AG189">
        <v>17.66</v>
      </c>
      <c r="AH189">
        <v>13.63</v>
      </c>
      <c r="AI189">
        <v>0.15</v>
      </c>
      <c r="AJ189">
        <v>0.1</v>
      </c>
      <c r="AK189">
        <v>79</v>
      </c>
      <c r="AL189">
        <v>5</v>
      </c>
      <c r="AM189">
        <v>3</v>
      </c>
      <c r="AN189">
        <v>-2.85</v>
      </c>
      <c r="AO189">
        <v>3.46</v>
      </c>
      <c r="AP189">
        <v>3204</v>
      </c>
      <c r="AQ189">
        <v>9</v>
      </c>
      <c r="AR189">
        <v>3.85</v>
      </c>
      <c r="AS189">
        <v>98</v>
      </c>
      <c r="AT189">
        <v>1.86</v>
      </c>
      <c r="AU189">
        <v>98</v>
      </c>
      <c r="AV189">
        <v>-5</v>
      </c>
      <c r="AW189">
        <v>99</v>
      </c>
      <c r="AX189">
        <v>0.49</v>
      </c>
      <c r="AY189">
        <v>98</v>
      </c>
      <c r="AZ189">
        <v>6.68</v>
      </c>
      <c r="BA189">
        <v>88</v>
      </c>
      <c r="BB189">
        <v>5.89</v>
      </c>
      <c r="BC189">
        <v>50</v>
      </c>
      <c r="BD189">
        <v>0</v>
      </c>
      <c r="BE189">
        <v>0.05</v>
      </c>
      <c r="BF189">
        <v>0.04</v>
      </c>
      <c r="BG189">
        <v>95</v>
      </c>
      <c r="BH189">
        <v>-0.04</v>
      </c>
      <c r="BI189">
        <v>-18.670000000000002</v>
      </c>
      <c r="BJ189">
        <v>3</v>
      </c>
      <c r="BK189">
        <v>2</v>
      </c>
      <c r="BL189">
        <v>-1.17</v>
      </c>
      <c r="BM189">
        <v>-1.02</v>
      </c>
      <c r="BN189">
        <v>-0.45</v>
      </c>
      <c r="BO189">
        <v>-0.05</v>
      </c>
      <c r="BP189">
        <v>3</v>
      </c>
      <c r="BQ189">
        <v>-1.18</v>
      </c>
      <c r="BR189">
        <v>1.92</v>
      </c>
      <c r="BS189">
        <v>0.73</v>
      </c>
      <c r="BT189">
        <v>-1.45</v>
      </c>
      <c r="BU189">
        <v>-1.1100000000000001</v>
      </c>
      <c r="BV189">
        <v>-1.21</v>
      </c>
      <c r="BW189">
        <v>-1.59</v>
      </c>
      <c r="BX189">
        <v>-1.75</v>
      </c>
      <c r="BY189">
        <v>-0.62</v>
      </c>
      <c r="BZ189">
        <v>-4.18</v>
      </c>
      <c r="CA189">
        <v>-0.86</v>
      </c>
      <c r="CB189">
        <v>-1.26</v>
      </c>
      <c r="CC189">
        <v>0.11</v>
      </c>
      <c r="CD189">
        <v>-0.41</v>
      </c>
      <c r="CE189">
        <v>-0.38</v>
      </c>
      <c r="CF189">
        <v>-1.01</v>
      </c>
      <c r="CG189">
        <v>0</v>
      </c>
      <c r="CH189">
        <v>1.36</v>
      </c>
      <c r="CI189">
        <v>0</v>
      </c>
      <c r="CJ189">
        <v>-5.7</v>
      </c>
      <c r="CK189">
        <v>98</v>
      </c>
      <c r="CL189">
        <v>-0.87</v>
      </c>
      <c r="CM189">
        <v>98</v>
      </c>
      <c r="CN189">
        <v>-0.17</v>
      </c>
      <c r="CO189">
        <v>98</v>
      </c>
      <c r="CP189">
        <v>-6.1</v>
      </c>
      <c r="CQ189">
        <v>76</v>
      </c>
      <c r="CR189">
        <v>0</v>
      </c>
      <c r="CS189">
        <v>0</v>
      </c>
      <c r="CT189">
        <v>-4.2</v>
      </c>
      <c r="CU189">
        <v>85</v>
      </c>
      <c r="CV189">
        <v>0.12</v>
      </c>
      <c r="CW189">
        <v>48</v>
      </c>
      <c r="CX189" t="s">
        <v>1165</v>
      </c>
    </row>
    <row r="190" spans="1:102" x14ac:dyDescent="0.3">
      <c r="A190" t="str">
        <f>HYPERLINK("https://webapp.icbf.com/v2/app/bull-search/view/1483988639","FR4551")</f>
        <v>FR4551</v>
      </c>
      <c r="B190" t="s">
        <v>6342</v>
      </c>
      <c r="C190" t="s">
        <v>6343</v>
      </c>
      <c r="D190" s="1">
        <v>42786</v>
      </c>
      <c r="E190" t="s">
        <v>92</v>
      </c>
      <c r="F190">
        <v>81</v>
      </c>
      <c r="G190" t="s">
        <v>435</v>
      </c>
      <c r="H190">
        <v>222.61</v>
      </c>
      <c r="I190">
        <v>69</v>
      </c>
      <c r="J190">
        <v>99.55</v>
      </c>
      <c r="K190">
        <v>89</v>
      </c>
      <c r="L190">
        <v>77.900000000000006</v>
      </c>
      <c r="M190">
        <v>64</v>
      </c>
      <c r="N190">
        <v>48.85</v>
      </c>
      <c r="O190">
        <v>63</v>
      </c>
      <c r="P190">
        <v>-10.27</v>
      </c>
      <c r="Q190">
        <v>47</v>
      </c>
      <c r="R190">
        <v>-4.26</v>
      </c>
      <c r="S190">
        <v>65</v>
      </c>
      <c r="T190">
        <v>2.73</v>
      </c>
      <c r="U190">
        <v>46</v>
      </c>
      <c r="V190">
        <v>8.11</v>
      </c>
      <c r="W190">
        <v>58</v>
      </c>
      <c r="X190" t="s">
        <v>94</v>
      </c>
      <c r="Y190" t="s">
        <v>2384</v>
      </c>
      <c r="Z190" t="s">
        <v>330</v>
      </c>
      <c r="AA190" t="s">
        <v>6204</v>
      </c>
      <c r="AB190" t="s">
        <v>6344</v>
      </c>
      <c r="AC190">
        <v>0</v>
      </c>
      <c r="AD190">
        <v>0</v>
      </c>
      <c r="AE190">
        <v>89</v>
      </c>
      <c r="AF190">
        <v>280.60000000000002</v>
      </c>
      <c r="AG190">
        <v>19.55</v>
      </c>
      <c r="AH190">
        <v>14.31</v>
      </c>
      <c r="AI190">
        <v>0.14000000000000001</v>
      </c>
      <c r="AJ190">
        <v>0.08</v>
      </c>
      <c r="AK190">
        <v>64</v>
      </c>
      <c r="AL190">
        <v>0</v>
      </c>
      <c r="AM190">
        <v>0</v>
      </c>
      <c r="AN190">
        <v>-3.67</v>
      </c>
      <c r="AO190">
        <v>2.5499999999999998</v>
      </c>
      <c r="AP190">
        <v>14</v>
      </c>
      <c r="AQ190">
        <v>0</v>
      </c>
      <c r="AR190">
        <v>5.99</v>
      </c>
      <c r="AS190">
        <v>60</v>
      </c>
      <c r="AT190">
        <v>2.57</v>
      </c>
      <c r="AU190">
        <v>67</v>
      </c>
      <c r="AV190">
        <v>-4.4400000000000004</v>
      </c>
      <c r="AW190">
        <v>74</v>
      </c>
      <c r="AX190">
        <v>-0.48</v>
      </c>
      <c r="AY190">
        <v>50</v>
      </c>
      <c r="AZ190">
        <v>5.64</v>
      </c>
      <c r="BA190">
        <v>46</v>
      </c>
      <c r="BB190">
        <v>4.3899999999999997</v>
      </c>
      <c r="BC190">
        <v>38</v>
      </c>
      <c r="BD190">
        <v>0.03</v>
      </c>
      <c r="BE190">
        <v>0.02</v>
      </c>
      <c r="BF190">
        <v>0.01</v>
      </c>
      <c r="BG190">
        <v>75</v>
      </c>
      <c r="BH190">
        <v>0.18</v>
      </c>
      <c r="BI190">
        <v>-5.35</v>
      </c>
      <c r="BJ190">
        <v>0</v>
      </c>
      <c r="BK190">
        <v>0</v>
      </c>
      <c r="BL190">
        <v>-0.66</v>
      </c>
      <c r="BM190">
        <v>1.49</v>
      </c>
      <c r="BN190">
        <v>-0.85</v>
      </c>
      <c r="BO190">
        <v>-1.57</v>
      </c>
      <c r="BP190">
        <v>-0.28000000000000003</v>
      </c>
      <c r="BQ190">
        <v>-1.87</v>
      </c>
      <c r="BR190">
        <v>-1.55</v>
      </c>
      <c r="BS190">
        <v>-1.78</v>
      </c>
      <c r="BT190">
        <v>-0.62</v>
      </c>
      <c r="BU190">
        <v>0.34</v>
      </c>
      <c r="BV190">
        <v>-0.95</v>
      </c>
      <c r="BW190">
        <v>-0.33</v>
      </c>
      <c r="BX190">
        <v>0.57999999999999996</v>
      </c>
      <c r="BY190">
        <v>-0.71</v>
      </c>
      <c r="BZ190">
        <v>-0.52</v>
      </c>
      <c r="CA190">
        <v>-0.23</v>
      </c>
      <c r="CB190">
        <v>-0.09</v>
      </c>
      <c r="CC190">
        <v>-0.69</v>
      </c>
      <c r="CD190">
        <v>1.24</v>
      </c>
      <c r="CE190">
        <v>-0.81</v>
      </c>
      <c r="CF190">
        <v>-1.02</v>
      </c>
      <c r="CG190">
        <v>0</v>
      </c>
      <c r="CH190">
        <v>-1.05</v>
      </c>
      <c r="CI190">
        <v>0</v>
      </c>
      <c r="CJ190">
        <v>-5.0999999999999996</v>
      </c>
      <c r="CK190">
        <v>47</v>
      </c>
      <c r="CL190">
        <v>-0.85</v>
      </c>
      <c r="CM190">
        <v>46</v>
      </c>
      <c r="CN190">
        <v>-0.49</v>
      </c>
      <c r="CO190">
        <v>46</v>
      </c>
      <c r="CP190">
        <v>-1.3</v>
      </c>
      <c r="CQ190">
        <v>46</v>
      </c>
      <c r="CR190">
        <v>0</v>
      </c>
      <c r="CS190">
        <v>0</v>
      </c>
      <c r="CT190">
        <v>10.1</v>
      </c>
      <c r="CU190">
        <v>46</v>
      </c>
      <c r="CV190">
        <v>0.17</v>
      </c>
      <c r="CW190">
        <v>36</v>
      </c>
      <c r="CX190" t="s">
        <v>3094</v>
      </c>
    </row>
    <row r="191" spans="1:102" x14ac:dyDescent="0.3">
      <c r="A191" t="str">
        <f>HYPERLINK("https://webapp.icbf.com/v2/app/bull-search/view/1418736378","FR4187")</f>
        <v>FR4187</v>
      </c>
      <c r="B191" t="s">
        <v>9783</v>
      </c>
      <c r="C191" t="s">
        <v>9784</v>
      </c>
      <c r="D191" s="1">
        <v>42343</v>
      </c>
      <c r="E191" t="s">
        <v>92</v>
      </c>
      <c r="F191">
        <v>100</v>
      </c>
      <c r="G191" t="s">
        <v>435</v>
      </c>
      <c r="H191">
        <v>222.45</v>
      </c>
      <c r="I191">
        <v>74</v>
      </c>
      <c r="J191">
        <v>123.12</v>
      </c>
      <c r="K191">
        <v>89</v>
      </c>
      <c r="L191">
        <v>42.75</v>
      </c>
      <c r="M191">
        <v>70</v>
      </c>
      <c r="N191">
        <v>37.299999999999997</v>
      </c>
      <c r="O191">
        <v>88</v>
      </c>
      <c r="P191">
        <v>1.04</v>
      </c>
      <c r="Q191">
        <v>55</v>
      </c>
      <c r="R191">
        <v>15.35</v>
      </c>
      <c r="S191">
        <v>65</v>
      </c>
      <c r="T191">
        <v>-5.86</v>
      </c>
      <c r="U191">
        <v>39</v>
      </c>
      <c r="V191">
        <v>8.75</v>
      </c>
      <c r="W191">
        <v>57</v>
      </c>
      <c r="X191" t="s">
        <v>94</v>
      </c>
      <c r="Y191" t="s">
        <v>2261</v>
      </c>
      <c r="Z191" t="s">
        <v>96</v>
      </c>
      <c r="AA191" t="s">
        <v>3135</v>
      </c>
      <c r="AB191" t="s">
        <v>9785</v>
      </c>
      <c r="AC191">
        <v>2</v>
      </c>
      <c r="AD191">
        <v>2</v>
      </c>
      <c r="AE191">
        <v>89</v>
      </c>
      <c r="AF191">
        <v>557.74</v>
      </c>
      <c r="AG191">
        <v>20.03</v>
      </c>
      <c r="AH191">
        <v>22.39</v>
      </c>
      <c r="AI191">
        <v>-0.03</v>
      </c>
      <c r="AJ191">
        <v>0.06</v>
      </c>
      <c r="AK191">
        <v>70</v>
      </c>
      <c r="AL191">
        <v>0</v>
      </c>
      <c r="AM191">
        <v>0</v>
      </c>
      <c r="AN191">
        <v>0.05</v>
      </c>
      <c r="AO191">
        <v>3.49</v>
      </c>
      <c r="AP191">
        <v>2867</v>
      </c>
      <c r="AQ191">
        <v>9</v>
      </c>
      <c r="AR191">
        <v>4.55</v>
      </c>
      <c r="AS191">
        <v>98</v>
      </c>
      <c r="AT191">
        <v>2.16</v>
      </c>
      <c r="AU191">
        <v>98</v>
      </c>
      <c r="AV191">
        <v>-2.98</v>
      </c>
      <c r="AW191">
        <v>99</v>
      </c>
      <c r="AX191">
        <v>-0.21</v>
      </c>
      <c r="AY191">
        <v>98</v>
      </c>
      <c r="AZ191">
        <v>6.43</v>
      </c>
      <c r="BA191">
        <v>39</v>
      </c>
      <c r="BB191">
        <v>5.22</v>
      </c>
      <c r="BC191">
        <v>36</v>
      </c>
      <c r="BD191">
        <v>-0.03</v>
      </c>
      <c r="BE191">
        <v>-7.0000000000000007E-2</v>
      </c>
      <c r="BF191">
        <v>-0.17</v>
      </c>
      <c r="BG191">
        <v>78</v>
      </c>
      <c r="BH191">
        <v>0.11</v>
      </c>
      <c r="BI191">
        <v>-15.49</v>
      </c>
      <c r="BJ191">
        <v>0</v>
      </c>
      <c r="BK191">
        <v>0</v>
      </c>
      <c r="BL191">
        <v>1.59</v>
      </c>
      <c r="BM191">
        <v>0.46</v>
      </c>
      <c r="BN191">
        <v>0.82</v>
      </c>
      <c r="BO191">
        <v>0.63</v>
      </c>
      <c r="BP191">
        <v>-1.22</v>
      </c>
      <c r="BQ191">
        <v>1.35</v>
      </c>
      <c r="BR191">
        <v>-1.41</v>
      </c>
      <c r="BS191">
        <v>1.81</v>
      </c>
      <c r="BT191">
        <v>2.54</v>
      </c>
      <c r="BU191">
        <v>3.95</v>
      </c>
      <c r="BV191">
        <v>3.67</v>
      </c>
      <c r="BW191">
        <v>3.61</v>
      </c>
      <c r="BX191">
        <v>3.09</v>
      </c>
      <c r="BY191">
        <v>2.21</v>
      </c>
      <c r="BZ191">
        <v>-0.72</v>
      </c>
      <c r="CA191">
        <v>3.84</v>
      </c>
      <c r="CB191">
        <v>3.49</v>
      </c>
      <c r="CC191">
        <v>2.27</v>
      </c>
      <c r="CD191">
        <v>0.72</v>
      </c>
      <c r="CE191">
        <v>1.39</v>
      </c>
      <c r="CF191">
        <v>1.61</v>
      </c>
      <c r="CG191">
        <v>0</v>
      </c>
      <c r="CH191">
        <v>2.73</v>
      </c>
      <c r="CI191">
        <v>0</v>
      </c>
      <c r="CJ191">
        <v>4</v>
      </c>
      <c r="CK191">
        <v>62</v>
      </c>
      <c r="CL191">
        <v>-1.53</v>
      </c>
      <c r="CM191">
        <v>48</v>
      </c>
      <c r="CN191">
        <v>-0.87</v>
      </c>
      <c r="CO191">
        <v>46</v>
      </c>
      <c r="CP191">
        <v>7.5</v>
      </c>
      <c r="CQ191">
        <v>42</v>
      </c>
      <c r="CR191">
        <v>0</v>
      </c>
      <c r="CS191">
        <v>0</v>
      </c>
      <c r="CT191">
        <v>21.7</v>
      </c>
      <c r="CU191">
        <v>39</v>
      </c>
      <c r="CV191">
        <v>0.39</v>
      </c>
      <c r="CW191">
        <v>38</v>
      </c>
      <c r="CX191" t="s">
        <v>2216</v>
      </c>
    </row>
    <row r="192" spans="1:102" x14ac:dyDescent="0.3">
      <c r="A192" t="str">
        <f>HYPERLINK("https://webapp.icbf.com/v2/app/bull-search/view/1609681635","FR4833")</f>
        <v>FR4833</v>
      </c>
      <c r="B192" t="s">
        <v>14033</v>
      </c>
      <c r="C192" t="s">
        <v>14034</v>
      </c>
      <c r="D192" s="1">
        <v>43147</v>
      </c>
      <c r="E192" t="s">
        <v>92</v>
      </c>
      <c r="F192">
        <v>66</v>
      </c>
      <c r="G192" t="s">
        <v>435</v>
      </c>
      <c r="H192">
        <v>222.45</v>
      </c>
      <c r="I192">
        <v>67</v>
      </c>
      <c r="J192">
        <v>66.25</v>
      </c>
      <c r="K192">
        <v>88</v>
      </c>
      <c r="L192">
        <v>100.68</v>
      </c>
      <c r="M192">
        <v>62</v>
      </c>
      <c r="N192">
        <v>40.82</v>
      </c>
      <c r="O192">
        <v>55</v>
      </c>
      <c r="P192">
        <v>-6.39</v>
      </c>
      <c r="Q192">
        <v>46</v>
      </c>
      <c r="R192">
        <v>9.44</v>
      </c>
      <c r="S192">
        <v>62</v>
      </c>
      <c r="T192">
        <v>12.27</v>
      </c>
      <c r="U192">
        <v>45</v>
      </c>
      <c r="V192">
        <v>-0.62</v>
      </c>
      <c r="W192">
        <v>57</v>
      </c>
      <c r="X192" t="s">
        <v>234</v>
      </c>
      <c r="Y192" t="s">
        <v>6440</v>
      </c>
      <c r="Z192" t="s">
        <v>330</v>
      </c>
      <c r="AA192" t="s">
        <v>6253</v>
      </c>
      <c r="AB192" t="s">
        <v>14035</v>
      </c>
      <c r="AC192">
        <v>0</v>
      </c>
      <c r="AD192">
        <v>0</v>
      </c>
      <c r="AE192">
        <v>88</v>
      </c>
      <c r="AF192">
        <v>139.94</v>
      </c>
      <c r="AG192">
        <v>12.72</v>
      </c>
      <c r="AH192">
        <v>8.91</v>
      </c>
      <c r="AI192">
        <v>0.12</v>
      </c>
      <c r="AJ192">
        <v>7.0000000000000007E-2</v>
      </c>
      <c r="AK192">
        <v>62</v>
      </c>
      <c r="AL192">
        <v>0</v>
      </c>
      <c r="AM192">
        <v>0</v>
      </c>
      <c r="AN192">
        <v>-3.85</v>
      </c>
      <c r="AO192">
        <v>4.2</v>
      </c>
      <c r="AP192">
        <v>1</v>
      </c>
      <c r="AQ192">
        <v>0</v>
      </c>
      <c r="AR192">
        <v>5.89</v>
      </c>
      <c r="AS192">
        <v>55</v>
      </c>
      <c r="AT192">
        <v>2.4500000000000002</v>
      </c>
      <c r="AU192">
        <v>61</v>
      </c>
      <c r="AV192">
        <v>-4.1900000000000004</v>
      </c>
      <c r="AW192">
        <v>61</v>
      </c>
      <c r="AX192">
        <v>-0.14000000000000001</v>
      </c>
      <c r="AY192">
        <v>48</v>
      </c>
      <c r="AZ192">
        <v>7.27</v>
      </c>
      <c r="BA192">
        <v>44</v>
      </c>
      <c r="BB192">
        <v>5.2</v>
      </c>
      <c r="BC192">
        <v>33</v>
      </c>
      <c r="BD192">
        <v>-0.03</v>
      </c>
      <c r="BE192">
        <v>-0.03</v>
      </c>
      <c r="BF192">
        <v>-0.11</v>
      </c>
      <c r="BG192">
        <v>73</v>
      </c>
      <c r="BH192">
        <v>-0.03</v>
      </c>
      <c r="BI192">
        <v>-1.47</v>
      </c>
      <c r="BJ192">
        <v>0</v>
      </c>
      <c r="BK192">
        <v>0</v>
      </c>
      <c r="BL192">
        <v>-0.79</v>
      </c>
      <c r="BM192">
        <v>0.1</v>
      </c>
      <c r="BN192">
        <v>-1.91</v>
      </c>
      <c r="BO192">
        <v>-1.6</v>
      </c>
      <c r="BP192">
        <v>0.35</v>
      </c>
      <c r="BQ192">
        <v>-1.42</v>
      </c>
      <c r="BR192">
        <v>1.85</v>
      </c>
      <c r="BS192">
        <v>-0.12</v>
      </c>
      <c r="BT192">
        <v>-1.84</v>
      </c>
      <c r="BU192">
        <v>0.47</v>
      </c>
      <c r="BV192">
        <v>-0.73</v>
      </c>
      <c r="BW192">
        <v>-0.53</v>
      </c>
      <c r="BX192">
        <v>1.07</v>
      </c>
      <c r="BY192">
        <v>-0.94</v>
      </c>
      <c r="BZ192">
        <v>-0.86</v>
      </c>
      <c r="CA192">
        <v>0.11</v>
      </c>
      <c r="CB192">
        <v>0.06</v>
      </c>
      <c r="CC192">
        <v>-0.42</v>
      </c>
      <c r="CD192">
        <v>1.42</v>
      </c>
      <c r="CE192">
        <v>-0.68</v>
      </c>
      <c r="CF192">
        <v>-1.6</v>
      </c>
      <c r="CG192">
        <v>0</v>
      </c>
      <c r="CH192">
        <v>0.4</v>
      </c>
      <c r="CI192">
        <v>0</v>
      </c>
      <c r="CJ192">
        <v>-2.2999999999999998</v>
      </c>
      <c r="CK192">
        <v>46</v>
      </c>
      <c r="CL192">
        <v>-0.69</v>
      </c>
      <c r="CM192">
        <v>46</v>
      </c>
      <c r="CN192">
        <v>-0.41</v>
      </c>
      <c r="CO192">
        <v>46</v>
      </c>
      <c r="CP192">
        <v>-6</v>
      </c>
      <c r="CQ192">
        <v>43</v>
      </c>
      <c r="CR192">
        <v>0</v>
      </c>
      <c r="CS192">
        <v>0</v>
      </c>
      <c r="CT192">
        <v>-2.8</v>
      </c>
      <c r="CU192">
        <v>45</v>
      </c>
      <c r="CV192">
        <v>0.14000000000000001</v>
      </c>
      <c r="CW192">
        <v>35</v>
      </c>
      <c r="CX192" t="s">
        <v>1770</v>
      </c>
    </row>
    <row r="193" spans="1:102" x14ac:dyDescent="0.3">
      <c r="A193" t="str">
        <f>HYPERLINK("https://webapp.icbf.com/v2/app/bull-search/view/1145132109","FR2007")</f>
        <v>FR2007</v>
      </c>
      <c r="B193" t="s">
        <v>2146</v>
      </c>
      <c r="C193" t="s">
        <v>2147</v>
      </c>
      <c r="D193" s="1">
        <v>41686</v>
      </c>
      <c r="E193" t="s">
        <v>92</v>
      </c>
      <c r="F193">
        <v>75</v>
      </c>
      <c r="G193" t="s">
        <v>93</v>
      </c>
      <c r="H193">
        <v>222.43</v>
      </c>
      <c r="I193">
        <v>92</v>
      </c>
      <c r="J193">
        <v>61.85</v>
      </c>
      <c r="K193">
        <v>99</v>
      </c>
      <c r="L193">
        <v>122.31</v>
      </c>
      <c r="M193">
        <v>84</v>
      </c>
      <c r="N193">
        <v>36.04</v>
      </c>
      <c r="O193">
        <v>95</v>
      </c>
      <c r="P193">
        <v>-11.92</v>
      </c>
      <c r="Q193">
        <v>98</v>
      </c>
      <c r="R193">
        <v>4.12</v>
      </c>
      <c r="S193">
        <v>87</v>
      </c>
      <c r="T193">
        <v>10.57</v>
      </c>
      <c r="U193">
        <v>95</v>
      </c>
      <c r="V193">
        <v>-0.54</v>
      </c>
      <c r="W193">
        <v>78</v>
      </c>
      <c r="X193" t="s">
        <v>94</v>
      </c>
      <c r="Y193" t="s">
        <v>416</v>
      </c>
      <c r="Z193" t="s">
        <v>330</v>
      </c>
      <c r="AA193" t="s">
        <v>2148</v>
      </c>
      <c r="AB193" t="s">
        <v>2149</v>
      </c>
      <c r="AC193">
        <v>1564</v>
      </c>
      <c r="AD193">
        <v>592</v>
      </c>
      <c r="AE193">
        <v>99</v>
      </c>
      <c r="AF193">
        <v>-240.69</v>
      </c>
      <c r="AG193">
        <v>7.76</v>
      </c>
      <c r="AH193">
        <v>4.09</v>
      </c>
      <c r="AI193">
        <v>0.31</v>
      </c>
      <c r="AJ193">
        <v>0.22</v>
      </c>
      <c r="AK193">
        <v>84</v>
      </c>
      <c r="AL193">
        <v>499</v>
      </c>
      <c r="AM193">
        <v>191</v>
      </c>
      <c r="AN193">
        <v>-6.98</v>
      </c>
      <c r="AO193">
        <v>2.77</v>
      </c>
      <c r="AP193">
        <v>7894</v>
      </c>
      <c r="AQ193">
        <v>44</v>
      </c>
      <c r="AR193">
        <v>5.6</v>
      </c>
      <c r="AS193">
        <v>98</v>
      </c>
      <c r="AT193">
        <v>2.2400000000000002</v>
      </c>
      <c r="AU193">
        <v>99</v>
      </c>
      <c r="AV193">
        <v>-2.56</v>
      </c>
      <c r="AW193">
        <v>99</v>
      </c>
      <c r="AX193">
        <v>-0.24</v>
      </c>
      <c r="AY193">
        <v>99</v>
      </c>
      <c r="AZ193">
        <v>6.09</v>
      </c>
      <c r="BA193">
        <v>95</v>
      </c>
      <c r="BB193">
        <v>4.38</v>
      </c>
      <c r="BC193">
        <v>73</v>
      </c>
      <c r="BD193">
        <v>-0.04</v>
      </c>
      <c r="BE193">
        <v>-0.02</v>
      </c>
      <c r="BF193">
        <v>0.01</v>
      </c>
      <c r="BG193">
        <v>98</v>
      </c>
      <c r="BH193">
        <v>-0.05</v>
      </c>
      <c r="BI193">
        <v>-4.03</v>
      </c>
      <c r="BJ193">
        <v>13</v>
      </c>
      <c r="BK193">
        <v>1</v>
      </c>
      <c r="BL193">
        <v>-1.8</v>
      </c>
      <c r="BM193">
        <v>0.06</v>
      </c>
      <c r="BN193">
        <v>-2.37</v>
      </c>
      <c r="BO193">
        <v>-1.74</v>
      </c>
      <c r="BP193">
        <v>1.76</v>
      </c>
      <c r="BQ193">
        <v>-4.07</v>
      </c>
      <c r="BR193">
        <v>0.21</v>
      </c>
      <c r="BS193">
        <v>0.1</v>
      </c>
      <c r="BT193">
        <v>-1.24</v>
      </c>
      <c r="BU193">
        <v>-0.64</v>
      </c>
      <c r="BV193">
        <v>-2</v>
      </c>
      <c r="BW193">
        <v>-3.18</v>
      </c>
      <c r="BX193">
        <v>-0.83</v>
      </c>
      <c r="BY193">
        <v>-3.84</v>
      </c>
      <c r="BZ193">
        <v>-1.07</v>
      </c>
      <c r="CA193">
        <v>-0.76</v>
      </c>
      <c r="CB193">
        <v>-1.31</v>
      </c>
      <c r="CC193">
        <v>0.69</v>
      </c>
      <c r="CD193">
        <v>1.42</v>
      </c>
      <c r="CE193">
        <v>-1.1499999999999999</v>
      </c>
      <c r="CF193">
        <v>-2.2599999999999998</v>
      </c>
      <c r="CG193">
        <v>0</v>
      </c>
      <c r="CH193">
        <v>-1.97</v>
      </c>
      <c r="CI193">
        <v>0</v>
      </c>
      <c r="CJ193">
        <v>-5.6</v>
      </c>
      <c r="CK193">
        <v>99</v>
      </c>
      <c r="CL193">
        <v>-0.68</v>
      </c>
      <c r="CM193">
        <v>99</v>
      </c>
      <c r="CN193">
        <v>-0.28999999999999998</v>
      </c>
      <c r="CO193">
        <v>99</v>
      </c>
      <c r="CP193">
        <v>-3.8</v>
      </c>
      <c r="CQ193">
        <v>89</v>
      </c>
      <c r="CR193">
        <v>0</v>
      </c>
      <c r="CS193">
        <v>0</v>
      </c>
      <c r="CT193">
        <v>-0.5</v>
      </c>
      <c r="CU193">
        <v>95</v>
      </c>
      <c r="CV193">
        <v>0.01</v>
      </c>
      <c r="CW193">
        <v>50</v>
      </c>
      <c r="CX193" t="s">
        <v>2150</v>
      </c>
    </row>
    <row r="194" spans="1:102" x14ac:dyDescent="0.3">
      <c r="A194" t="str">
        <f>HYPERLINK("https://webapp.icbf.com/v2/app/bull-search/view/674921884","KDX")</f>
        <v>KDX</v>
      </c>
      <c r="B194" t="s">
        <v>6778</v>
      </c>
      <c r="C194" t="s">
        <v>6779</v>
      </c>
      <c r="D194" s="1">
        <v>39875</v>
      </c>
      <c r="E194" t="s">
        <v>92</v>
      </c>
      <c r="F194">
        <v>66</v>
      </c>
      <c r="G194" t="s">
        <v>93</v>
      </c>
      <c r="H194">
        <v>222.32</v>
      </c>
      <c r="I194">
        <v>88</v>
      </c>
      <c r="J194">
        <v>22.66</v>
      </c>
      <c r="K194">
        <v>98</v>
      </c>
      <c r="L194">
        <v>142.54</v>
      </c>
      <c r="M194">
        <v>80</v>
      </c>
      <c r="N194">
        <v>34.72</v>
      </c>
      <c r="O194">
        <v>87</v>
      </c>
      <c r="P194">
        <v>-7.29</v>
      </c>
      <c r="Q194">
        <v>93</v>
      </c>
      <c r="R194">
        <v>6.25</v>
      </c>
      <c r="S194">
        <v>81</v>
      </c>
      <c r="T194">
        <v>27.81</v>
      </c>
      <c r="U194">
        <v>86</v>
      </c>
      <c r="V194">
        <v>-4.37</v>
      </c>
      <c r="W194">
        <v>77</v>
      </c>
      <c r="X194" t="s">
        <v>94</v>
      </c>
      <c r="Y194" t="s">
        <v>1727</v>
      </c>
      <c r="Z194" t="s">
        <v>96</v>
      </c>
      <c r="AA194" t="s">
        <v>1883</v>
      </c>
      <c r="AB194" t="s">
        <v>6780</v>
      </c>
      <c r="AC194">
        <v>118</v>
      </c>
      <c r="AD194">
        <v>73</v>
      </c>
      <c r="AE194">
        <v>98</v>
      </c>
      <c r="AF194">
        <v>-121.25</v>
      </c>
      <c r="AG194">
        <v>6.89</v>
      </c>
      <c r="AH194">
        <v>-0.44</v>
      </c>
      <c r="AI194">
        <v>0.21</v>
      </c>
      <c r="AJ194">
        <v>7.0000000000000007E-2</v>
      </c>
      <c r="AK194">
        <v>80</v>
      </c>
      <c r="AL194">
        <v>118</v>
      </c>
      <c r="AM194">
        <v>71</v>
      </c>
      <c r="AN194">
        <v>-7.54</v>
      </c>
      <c r="AO194">
        <v>3.83</v>
      </c>
      <c r="AP194">
        <v>217</v>
      </c>
      <c r="AQ194">
        <v>0</v>
      </c>
      <c r="AR194">
        <v>4.4800000000000004</v>
      </c>
      <c r="AS194">
        <v>75</v>
      </c>
      <c r="AT194">
        <v>1.85</v>
      </c>
      <c r="AU194">
        <v>88</v>
      </c>
      <c r="AV194">
        <v>-1.82</v>
      </c>
      <c r="AW194">
        <v>97</v>
      </c>
      <c r="AX194">
        <v>0.16</v>
      </c>
      <c r="AY194">
        <v>84</v>
      </c>
      <c r="AZ194">
        <v>5.8</v>
      </c>
      <c r="BA194">
        <v>69</v>
      </c>
      <c r="BB194">
        <v>4.25</v>
      </c>
      <c r="BC194">
        <v>70</v>
      </c>
      <c r="BD194">
        <v>-7.0000000000000007E-2</v>
      </c>
      <c r="BE194">
        <v>-0.03</v>
      </c>
      <c r="BF194">
        <v>0.03</v>
      </c>
      <c r="BG194">
        <v>90</v>
      </c>
      <c r="BH194">
        <v>-0.12</v>
      </c>
      <c r="BI194">
        <v>0.21</v>
      </c>
      <c r="BJ194">
        <v>21</v>
      </c>
      <c r="BK194">
        <v>15</v>
      </c>
      <c r="BL194">
        <v>-1.57</v>
      </c>
      <c r="BM194">
        <v>-0.48</v>
      </c>
      <c r="BN194">
        <v>-1.55</v>
      </c>
      <c r="BO194">
        <v>-0.94</v>
      </c>
      <c r="BP194">
        <v>1.08</v>
      </c>
      <c r="BQ194">
        <v>-2.74</v>
      </c>
      <c r="BR194">
        <v>1.45</v>
      </c>
      <c r="BS194">
        <v>-1.57</v>
      </c>
      <c r="BT194">
        <v>-1.52</v>
      </c>
      <c r="BU194">
        <v>-1.79</v>
      </c>
      <c r="BV194">
        <v>-1.87</v>
      </c>
      <c r="BW194">
        <v>-1.25</v>
      </c>
      <c r="BX194">
        <v>-1.19</v>
      </c>
      <c r="BY194">
        <v>-3.03</v>
      </c>
      <c r="BZ194">
        <v>0.49</v>
      </c>
      <c r="CA194">
        <v>-1.87</v>
      </c>
      <c r="CB194">
        <v>-1.41</v>
      </c>
      <c r="CC194">
        <v>-1.66</v>
      </c>
      <c r="CD194">
        <v>0.24</v>
      </c>
      <c r="CE194">
        <v>-0.98</v>
      </c>
      <c r="CF194">
        <v>-1.98</v>
      </c>
      <c r="CG194">
        <v>0</v>
      </c>
      <c r="CH194">
        <v>-2.04</v>
      </c>
      <c r="CI194">
        <v>0</v>
      </c>
      <c r="CJ194">
        <v>-5.4</v>
      </c>
      <c r="CK194">
        <v>94</v>
      </c>
      <c r="CL194">
        <v>-0.32</v>
      </c>
      <c r="CM194">
        <v>93</v>
      </c>
      <c r="CN194">
        <v>-0.48</v>
      </c>
      <c r="CO194">
        <v>92</v>
      </c>
      <c r="CP194">
        <v>-14.4</v>
      </c>
      <c r="CQ194">
        <v>86</v>
      </c>
      <c r="CR194">
        <v>0</v>
      </c>
      <c r="CS194">
        <v>0</v>
      </c>
      <c r="CT194">
        <v>-23.8</v>
      </c>
      <c r="CU194">
        <v>86</v>
      </c>
      <c r="CV194">
        <v>-0.04</v>
      </c>
      <c r="CW194">
        <v>46</v>
      </c>
      <c r="CX194" t="s">
        <v>792</v>
      </c>
    </row>
    <row r="195" spans="1:102" x14ac:dyDescent="0.3">
      <c r="A195" t="str">
        <f>HYPERLINK("https://webapp.icbf.com/v2/app/bull-search/view/1250041581","FR4019")</f>
        <v>FR4019</v>
      </c>
      <c r="B195" t="s">
        <v>15303</v>
      </c>
      <c r="C195" t="s">
        <v>13875</v>
      </c>
      <c r="D195" s="1">
        <v>42052</v>
      </c>
      <c r="E195" t="s">
        <v>92</v>
      </c>
      <c r="F195">
        <v>91</v>
      </c>
      <c r="G195" t="s">
        <v>93</v>
      </c>
      <c r="H195">
        <v>222.27</v>
      </c>
      <c r="I195">
        <v>83</v>
      </c>
      <c r="J195">
        <v>39.72</v>
      </c>
      <c r="K195">
        <v>95</v>
      </c>
      <c r="L195">
        <v>118</v>
      </c>
      <c r="M195">
        <v>75</v>
      </c>
      <c r="N195">
        <v>48.84</v>
      </c>
      <c r="O195">
        <v>90</v>
      </c>
      <c r="P195">
        <v>-12.34</v>
      </c>
      <c r="Q195">
        <v>95</v>
      </c>
      <c r="R195">
        <v>5.22</v>
      </c>
      <c r="S195">
        <v>75</v>
      </c>
      <c r="T195">
        <v>19.600000000000001</v>
      </c>
      <c r="U195">
        <v>60</v>
      </c>
      <c r="V195">
        <v>3.23</v>
      </c>
      <c r="W195">
        <v>69</v>
      </c>
      <c r="X195" t="s">
        <v>94</v>
      </c>
      <c r="Y195" t="s">
        <v>436</v>
      </c>
      <c r="Z195" t="s">
        <v>96</v>
      </c>
      <c r="AA195" t="s">
        <v>437</v>
      </c>
      <c r="AB195" t="s">
        <v>15304</v>
      </c>
      <c r="AC195">
        <v>120</v>
      </c>
      <c r="AD195">
        <v>88</v>
      </c>
      <c r="AE195">
        <v>95</v>
      </c>
      <c r="AF195">
        <v>12.82</v>
      </c>
      <c r="AG195">
        <v>6.11</v>
      </c>
      <c r="AH195">
        <v>4.79</v>
      </c>
      <c r="AI195">
        <v>0.1</v>
      </c>
      <c r="AJ195">
        <v>0.08</v>
      </c>
      <c r="AK195">
        <v>75</v>
      </c>
      <c r="AL195">
        <v>0</v>
      </c>
      <c r="AM195">
        <v>0</v>
      </c>
      <c r="AN195">
        <v>-5.67</v>
      </c>
      <c r="AO195">
        <v>3.75</v>
      </c>
      <c r="AP195">
        <v>4270</v>
      </c>
      <c r="AQ195">
        <v>12</v>
      </c>
      <c r="AR195">
        <v>5.44</v>
      </c>
      <c r="AS195">
        <v>89</v>
      </c>
      <c r="AT195">
        <v>2.4</v>
      </c>
      <c r="AU195">
        <v>99</v>
      </c>
      <c r="AV195">
        <v>-4.68</v>
      </c>
      <c r="AW195">
        <v>99</v>
      </c>
      <c r="AX195">
        <v>-0.9</v>
      </c>
      <c r="AY195">
        <v>98</v>
      </c>
      <c r="AZ195">
        <v>6.71</v>
      </c>
      <c r="BA195">
        <v>71</v>
      </c>
      <c r="BB195">
        <v>5.2</v>
      </c>
      <c r="BC195">
        <v>47</v>
      </c>
      <c r="BD195">
        <v>-0.03</v>
      </c>
      <c r="BE195">
        <v>0</v>
      </c>
      <c r="BF195">
        <v>-7.0000000000000007E-2</v>
      </c>
      <c r="BG195">
        <v>85</v>
      </c>
      <c r="BH195">
        <v>-0.01</v>
      </c>
      <c r="BI195">
        <v>-11.59</v>
      </c>
      <c r="BJ195">
        <v>0</v>
      </c>
      <c r="BK195">
        <v>0</v>
      </c>
      <c r="BL195">
        <v>0.11</v>
      </c>
      <c r="BM195">
        <v>7.0000000000000007E-2</v>
      </c>
      <c r="BN195">
        <v>-0.86</v>
      </c>
      <c r="BO195">
        <v>-0.78</v>
      </c>
      <c r="BP195">
        <v>3.45</v>
      </c>
      <c r="BQ195">
        <v>0.32</v>
      </c>
      <c r="BR195">
        <v>0.66</v>
      </c>
      <c r="BS195">
        <v>-0.53</v>
      </c>
      <c r="BT195">
        <v>-0.98</v>
      </c>
      <c r="BU195">
        <v>1.24</v>
      </c>
      <c r="BV195">
        <v>0.53</v>
      </c>
      <c r="BW195">
        <v>0.57999999999999996</v>
      </c>
      <c r="BX195">
        <v>1.42</v>
      </c>
      <c r="BY195">
        <v>-0.22</v>
      </c>
      <c r="BZ195">
        <v>-1.17</v>
      </c>
      <c r="CA195">
        <v>-0.02</v>
      </c>
      <c r="CB195">
        <v>0.23</v>
      </c>
      <c r="CC195">
        <v>-0.57999999999999996</v>
      </c>
      <c r="CD195">
        <v>0.45</v>
      </c>
      <c r="CE195">
        <v>-0.19</v>
      </c>
      <c r="CF195">
        <v>-0.37</v>
      </c>
      <c r="CG195">
        <v>0</v>
      </c>
      <c r="CH195">
        <v>0.2</v>
      </c>
      <c r="CI195">
        <v>0</v>
      </c>
      <c r="CJ195">
        <v>-8</v>
      </c>
      <c r="CK195">
        <v>98</v>
      </c>
      <c r="CL195">
        <v>-0.77</v>
      </c>
      <c r="CM195">
        <v>97</v>
      </c>
      <c r="CN195">
        <v>-0.71</v>
      </c>
      <c r="CO195">
        <v>97</v>
      </c>
      <c r="CP195">
        <v>-11.1</v>
      </c>
      <c r="CQ195">
        <v>63</v>
      </c>
      <c r="CR195">
        <v>0</v>
      </c>
      <c r="CS195">
        <v>0</v>
      </c>
      <c r="CT195">
        <v>-12.7</v>
      </c>
      <c r="CU195">
        <v>60</v>
      </c>
      <c r="CV195">
        <v>0.04</v>
      </c>
      <c r="CW195">
        <v>46</v>
      </c>
      <c r="CX195" t="s">
        <v>13629</v>
      </c>
    </row>
    <row r="196" spans="1:102" x14ac:dyDescent="0.3">
      <c r="A196" t="str">
        <f>HYPERLINK("https://webapp.icbf.com/v2/app/bull-search/view/747869807","EGE")</f>
        <v>EGE</v>
      </c>
      <c r="B196" t="s">
        <v>10113</v>
      </c>
      <c r="C196" t="s">
        <v>10114</v>
      </c>
      <c r="D196" s="1">
        <v>38623</v>
      </c>
      <c r="E196" t="s">
        <v>395</v>
      </c>
      <c r="F196">
        <v>0</v>
      </c>
      <c r="G196" t="s">
        <v>93</v>
      </c>
      <c r="H196">
        <v>222.11</v>
      </c>
      <c r="I196">
        <v>93</v>
      </c>
      <c r="J196">
        <v>73.56</v>
      </c>
      <c r="K196">
        <v>98</v>
      </c>
      <c r="L196">
        <v>103.87</v>
      </c>
      <c r="M196">
        <v>89</v>
      </c>
      <c r="N196">
        <v>29.46</v>
      </c>
      <c r="O196">
        <v>94</v>
      </c>
      <c r="P196">
        <v>2.92</v>
      </c>
      <c r="Q196">
        <v>97</v>
      </c>
      <c r="R196">
        <v>11.09</v>
      </c>
      <c r="S196">
        <v>84</v>
      </c>
      <c r="T196">
        <v>6.94</v>
      </c>
      <c r="U196">
        <v>91</v>
      </c>
      <c r="V196">
        <v>-5.73</v>
      </c>
      <c r="W196">
        <v>79</v>
      </c>
      <c r="X196" t="s">
        <v>102</v>
      </c>
      <c r="Y196" t="s">
        <v>1756</v>
      </c>
      <c r="Z196">
        <v>0</v>
      </c>
      <c r="AA196" t="s">
        <v>5864</v>
      </c>
      <c r="AB196" t="s">
        <v>10115</v>
      </c>
      <c r="AC196">
        <v>336</v>
      </c>
      <c r="AD196">
        <v>104</v>
      </c>
      <c r="AE196">
        <v>98</v>
      </c>
      <c r="AF196">
        <v>162.56</v>
      </c>
      <c r="AG196">
        <v>9.75</v>
      </c>
      <c r="AH196">
        <v>11.55</v>
      </c>
      <c r="AI196">
        <v>0.06</v>
      </c>
      <c r="AJ196">
        <v>0.1</v>
      </c>
      <c r="AK196">
        <v>89</v>
      </c>
      <c r="AL196">
        <v>347</v>
      </c>
      <c r="AM196">
        <v>115</v>
      </c>
      <c r="AN196">
        <v>-5.94</v>
      </c>
      <c r="AO196">
        <v>2.34</v>
      </c>
      <c r="AP196">
        <v>985</v>
      </c>
      <c r="AQ196">
        <v>15</v>
      </c>
      <c r="AR196">
        <v>7.96</v>
      </c>
      <c r="AS196">
        <v>88</v>
      </c>
      <c r="AT196">
        <v>3.4</v>
      </c>
      <c r="AU196">
        <v>97</v>
      </c>
      <c r="AV196">
        <v>-3.49</v>
      </c>
      <c r="AW196">
        <v>99</v>
      </c>
      <c r="AX196">
        <v>-0.87</v>
      </c>
      <c r="AY196">
        <v>94</v>
      </c>
      <c r="AZ196">
        <v>5.33</v>
      </c>
      <c r="BA196">
        <v>83</v>
      </c>
      <c r="BB196">
        <v>4.71</v>
      </c>
      <c r="BC196">
        <v>76</v>
      </c>
      <c r="BD196">
        <v>-0.03</v>
      </c>
      <c r="BE196">
        <v>-0.05</v>
      </c>
      <c r="BF196">
        <v>-0.11</v>
      </c>
      <c r="BG196">
        <v>94</v>
      </c>
      <c r="BH196">
        <v>-7.0000000000000007E-2</v>
      </c>
      <c r="BI196">
        <v>10.38</v>
      </c>
      <c r="BJ196">
        <v>1</v>
      </c>
      <c r="BK196">
        <v>1</v>
      </c>
      <c r="BL196">
        <v>-1.23</v>
      </c>
      <c r="BM196">
        <v>1.61</v>
      </c>
      <c r="BN196">
        <v>-1.34</v>
      </c>
      <c r="BO196">
        <v>-1.99</v>
      </c>
      <c r="BP196">
        <v>0.84</v>
      </c>
      <c r="BQ196">
        <v>-0.54</v>
      </c>
      <c r="BR196">
        <v>1.1000000000000001</v>
      </c>
      <c r="BS196">
        <v>-0.13</v>
      </c>
      <c r="BT196">
        <v>-0.86</v>
      </c>
      <c r="BU196">
        <v>-1.22</v>
      </c>
      <c r="BV196">
        <v>-2.69</v>
      </c>
      <c r="BW196">
        <v>-2.1800000000000002</v>
      </c>
      <c r="BX196">
        <v>-0.89</v>
      </c>
      <c r="BY196">
        <v>-1.34</v>
      </c>
      <c r="BZ196">
        <v>-1.1599999999999999</v>
      </c>
      <c r="CA196">
        <v>-1.84</v>
      </c>
      <c r="CB196">
        <v>-1.86</v>
      </c>
      <c r="CC196">
        <v>-1.18</v>
      </c>
      <c r="CD196">
        <v>1.64</v>
      </c>
      <c r="CE196">
        <v>-1.5</v>
      </c>
      <c r="CF196">
        <v>-1.27</v>
      </c>
      <c r="CG196">
        <v>0</v>
      </c>
      <c r="CH196">
        <v>-0.73</v>
      </c>
      <c r="CI196">
        <v>0</v>
      </c>
      <c r="CJ196">
        <v>2.6</v>
      </c>
      <c r="CK196">
        <v>98</v>
      </c>
      <c r="CL196">
        <v>-0.3</v>
      </c>
      <c r="CM196">
        <v>97</v>
      </c>
      <c r="CN196">
        <v>-0.26</v>
      </c>
      <c r="CO196">
        <v>97</v>
      </c>
      <c r="CP196">
        <v>-4.0999999999999996</v>
      </c>
      <c r="CQ196">
        <v>89</v>
      </c>
      <c r="CR196">
        <v>0</v>
      </c>
      <c r="CS196">
        <v>0</v>
      </c>
      <c r="CT196">
        <v>4.4000000000000004</v>
      </c>
      <c r="CU196">
        <v>91</v>
      </c>
      <c r="CV196">
        <v>0.14000000000000001</v>
      </c>
      <c r="CW196">
        <v>45</v>
      </c>
      <c r="CX196" t="s">
        <v>6533</v>
      </c>
    </row>
    <row r="197" spans="1:102" x14ac:dyDescent="0.3">
      <c r="A197" t="str">
        <f>HYPERLINK("https://webapp.icbf.com/v2/app/bull-search/view/1482909187","FR4413")</f>
        <v>FR4413</v>
      </c>
      <c r="B197" t="s">
        <v>6316</v>
      </c>
      <c r="C197" t="s">
        <v>6317</v>
      </c>
      <c r="D197" s="1">
        <v>42791</v>
      </c>
      <c r="E197" t="s">
        <v>92</v>
      </c>
      <c r="F197">
        <v>72</v>
      </c>
      <c r="G197" t="s">
        <v>435</v>
      </c>
      <c r="H197">
        <v>222.09</v>
      </c>
      <c r="I197">
        <v>69</v>
      </c>
      <c r="J197">
        <v>49.57</v>
      </c>
      <c r="K197">
        <v>87</v>
      </c>
      <c r="L197">
        <v>138.79</v>
      </c>
      <c r="M197">
        <v>58</v>
      </c>
      <c r="N197">
        <v>47.6</v>
      </c>
      <c r="O197">
        <v>78</v>
      </c>
      <c r="P197">
        <v>-25.94</v>
      </c>
      <c r="Q197">
        <v>61</v>
      </c>
      <c r="R197">
        <v>-2.0499999999999998</v>
      </c>
      <c r="S197">
        <v>59</v>
      </c>
      <c r="T197">
        <v>14.71</v>
      </c>
      <c r="U197">
        <v>49</v>
      </c>
      <c r="V197">
        <v>-0.59</v>
      </c>
      <c r="W197">
        <v>53</v>
      </c>
      <c r="X197" t="s">
        <v>94</v>
      </c>
      <c r="Y197" t="s">
        <v>2255</v>
      </c>
      <c r="Z197" t="s">
        <v>96</v>
      </c>
      <c r="AA197" t="s">
        <v>6274</v>
      </c>
      <c r="AB197" t="s">
        <v>6318</v>
      </c>
      <c r="AC197">
        <v>0</v>
      </c>
      <c r="AD197">
        <v>0</v>
      </c>
      <c r="AE197">
        <v>87</v>
      </c>
      <c r="AF197">
        <v>-99.97</v>
      </c>
      <c r="AG197">
        <v>7.49</v>
      </c>
      <c r="AH197">
        <v>4.25</v>
      </c>
      <c r="AI197">
        <v>0.2</v>
      </c>
      <c r="AJ197">
        <v>0.14000000000000001</v>
      </c>
      <c r="AK197">
        <v>58</v>
      </c>
      <c r="AL197">
        <v>0</v>
      </c>
      <c r="AM197">
        <v>0</v>
      </c>
      <c r="AN197">
        <v>-6.66</v>
      </c>
      <c r="AO197">
        <v>4.42</v>
      </c>
      <c r="AP197">
        <v>183</v>
      </c>
      <c r="AQ197">
        <v>0</v>
      </c>
      <c r="AR197">
        <v>7.05</v>
      </c>
      <c r="AS197">
        <v>60</v>
      </c>
      <c r="AT197">
        <v>2.2599999999999998</v>
      </c>
      <c r="AU197">
        <v>85</v>
      </c>
      <c r="AV197">
        <v>-3.75</v>
      </c>
      <c r="AW197">
        <v>95</v>
      </c>
      <c r="AX197">
        <v>-0.84</v>
      </c>
      <c r="AY197">
        <v>75</v>
      </c>
      <c r="AZ197">
        <v>5.3</v>
      </c>
      <c r="BA197">
        <v>41</v>
      </c>
      <c r="BB197">
        <v>3.72</v>
      </c>
      <c r="BC197">
        <v>32</v>
      </c>
      <c r="BD197">
        <v>-0.03</v>
      </c>
      <c r="BE197">
        <v>0.03</v>
      </c>
      <c r="BF197">
        <v>0.04</v>
      </c>
      <c r="BG197">
        <v>70</v>
      </c>
      <c r="BH197">
        <v>0.1</v>
      </c>
      <c r="BI197">
        <v>13.47</v>
      </c>
      <c r="BJ197">
        <v>0</v>
      </c>
      <c r="BK197">
        <v>0</v>
      </c>
      <c r="BL197">
        <v>-1.1499999999999999</v>
      </c>
      <c r="BM197">
        <v>1.62</v>
      </c>
      <c r="BN197">
        <v>-1.3</v>
      </c>
      <c r="BO197">
        <v>-2.35</v>
      </c>
      <c r="BP197">
        <v>1.79</v>
      </c>
      <c r="BQ197">
        <v>-1.69</v>
      </c>
      <c r="BR197">
        <v>0.59</v>
      </c>
      <c r="BS197">
        <v>-1.1599999999999999</v>
      </c>
      <c r="BT197">
        <v>-1.1200000000000001</v>
      </c>
      <c r="BU197">
        <v>-0.11</v>
      </c>
      <c r="BV197">
        <v>-2.12</v>
      </c>
      <c r="BW197">
        <v>-1.82</v>
      </c>
      <c r="BX197">
        <v>0.63</v>
      </c>
      <c r="BY197">
        <v>-1.9</v>
      </c>
      <c r="BZ197">
        <v>-1.51</v>
      </c>
      <c r="CA197">
        <v>-1.6</v>
      </c>
      <c r="CB197">
        <v>-1.64</v>
      </c>
      <c r="CC197">
        <v>-1.73</v>
      </c>
      <c r="CD197">
        <v>2.04</v>
      </c>
      <c r="CE197">
        <v>-2.2400000000000002</v>
      </c>
      <c r="CF197">
        <v>-1.46</v>
      </c>
      <c r="CG197">
        <v>0</v>
      </c>
      <c r="CH197">
        <v>-0.93</v>
      </c>
      <c r="CI197">
        <v>0</v>
      </c>
      <c r="CJ197">
        <v>-14.5</v>
      </c>
      <c r="CK197">
        <v>65</v>
      </c>
      <c r="CL197">
        <v>-0.73</v>
      </c>
      <c r="CM197">
        <v>57</v>
      </c>
      <c r="CN197">
        <v>-0.28000000000000003</v>
      </c>
      <c r="CO197">
        <v>56</v>
      </c>
      <c r="CP197">
        <v>-11.2</v>
      </c>
      <c r="CQ197">
        <v>48</v>
      </c>
      <c r="CR197">
        <v>0</v>
      </c>
      <c r="CS197">
        <v>0</v>
      </c>
      <c r="CT197">
        <v>-6.1</v>
      </c>
      <c r="CU197">
        <v>49</v>
      </c>
      <c r="CV197">
        <v>-0.08</v>
      </c>
      <c r="CW197">
        <v>38</v>
      </c>
      <c r="CX197" t="s">
        <v>2157</v>
      </c>
    </row>
    <row r="198" spans="1:102" x14ac:dyDescent="0.3">
      <c r="A198" t="str">
        <f>HYPERLINK("https://webapp.icbf.com/v2/app/bull-search/view/949605035","CSW")</f>
        <v>CSW</v>
      </c>
      <c r="B198" t="s">
        <v>13170</v>
      </c>
      <c r="C198" t="s">
        <v>13171</v>
      </c>
      <c r="D198" s="1">
        <v>40936</v>
      </c>
      <c r="E198" t="s">
        <v>92</v>
      </c>
      <c r="F198">
        <v>63</v>
      </c>
      <c r="G198" t="s">
        <v>93</v>
      </c>
      <c r="H198">
        <v>221.77</v>
      </c>
      <c r="I198">
        <v>90</v>
      </c>
      <c r="J198">
        <v>82.22</v>
      </c>
      <c r="K198">
        <v>98</v>
      </c>
      <c r="L198">
        <v>96</v>
      </c>
      <c r="M198">
        <v>82</v>
      </c>
      <c r="N198">
        <v>50.42</v>
      </c>
      <c r="O198">
        <v>93</v>
      </c>
      <c r="P198">
        <v>-10</v>
      </c>
      <c r="Q198">
        <v>97</v>
      </c>
      <c r="R198">
        <v>2.8</v>
      </c>
      <c r="S198">
        <v>84</v>
      </c>
      <c r="T198">
        <v>-3.05</v>
      </c>
      <c r="U198">
        <v>90</v>
      </c>
      <c r="V198">
        <v>3.38</v>
      </c>
      <c r="W198">
        <v>78</v>
      </c>
      <c r="X198" t="s">
        <v>276</v>
      </c>
      <c r="Y198" t="s">
        <v>1923</v>
      </c>
      <c r="Z198" t="s">
        <v>96</v>
      </c>
      <c r="AA198" t="s">
        <v>1942</v>
      </c>
      <c r="AB198" t="s">
        <v>13172</v>
      </c>
      <c r="AC198">
        <v>386</v>
      </c>
      <c r="AD198">
        <v>151</v>
      </c>
      <c r="AE198">
        <v>98</v>
      </c>
      <c r="AF198">
        <v>-135.76</v>
      </c>
      <c r="AG198">
        <v>12.65</v>
      </c>
      <c r="AH198">
        <v>7.43</v>
      </c>
      <c r="AI198">
        <v>0.32</v>
      </c>
      <c r="AJ198">
        <v>0.22</v>
      </c>
      <c r="AK198">
        <v>82</v>
      </c>
      <c r="AL198">
        <v>228</v>
      </c>
      <c r="AM198">
        <v>120</v>
      </c>
      <c r="AN198">
        <v>-4.9000000000000004</v>
      </c>
      <c r="AO198">
        <v>2.76</v>
      </c>
      <c r="AP198">
        <v>1446</v>
      </c>
      <c r="AQ198">
        <v>9</v>
      </c>
      <c r="AR198">
        <v>7.47</v>
      </c>
      <c r="AS198">
        <v>91</v>
      </c>
      <c r="AT198">
        <v>2.41</v>
      </c>
      <c r="AU198">
        <v>97</v>
      </c>
      <c r="AV198">
        <v>-5.8</v>
      </c>
      <c r="AW198">
        <v>99</v>
      </c>
      <c r="AX198">
        <v>-0.03</v>
      </c>
      <c r="AY198">
        <v>95</v>
      </c>
      <c r="AZ198">
        <v>6.95</v>
      </c>
      <c r="BA198">
        <v>83</v>
      </c>
      <c r="BB198">
        <v>5.23</v>
      </c>
      <c r="BC198">
        <v>70</v>
      </c>
      <c r="BD198">
        <v>-0.02</v>
      </c>
      <c r="BE198">
        <v>0.01</v>
      </c>
      <c r="BF198">
        <v>-0.05</v>
      </c>
      <c r="BG198">
        <v>94</v>
      </c>
      <c r="BH198">
        <v>-0.02</v>
      </c>
      <c r="BI198">
        <v>-13.22</v>
      </c>
      <c r="BJ198">
        <v>30</v>
      </c>
      <c r="BK198">
        <v>14</v>
      </c>
      <c r="BL198">
        <v>-0.2</v>
      </c>
      <c r="BM198">
        <v>1.01</v>
      </c>
      <c r="BN198">
        <v>-0.81</v>
      </c>
      <c r="BO198">
        <v>-1.26</v>
      </c>
      <c r="BP198">
        <v>5.2</v>
      </c>
      <c r="BQ198">
        <v>0.14000000000000001</v>
      </c>
      <c r="BR198">
        <v>-1.95</v>
      </c>
      <c r="BS198">
        <v>0.03</v>
      </c>
      <c r="BT198">
        <v>1.38</v>
      </c>
      <c r="BU198">
        <v>-2.0099999999999998</v>
      </c>
      <c r="BV198">
        <v>-1.92</v>
      </c>
      <c r="BW198">
        <v>-1.53</v>
      </c>
      <c r="BX198">
        <v>-1.1299999999999999</v>
      </c>
      <c r="BY198">
        <v>-2.11</v>
      </c>
      <c r="BZ198">
        <v>-0.65</v>
      </c>
      <c r="CA198">
        <v>-1.27</v>
      </c>
      <c r="CB198">
        <v>-1.58</v>
      </c>
      <c r="CC198">
        <v>-0.46</v>
      </c>
      <c r="CD198">
        <v>1.1000000000000001</v>
      </c>
      <c r="CE198">
        <v>-1.32</v>
      </c>
      <c r="CF198">
        <v>-0.08</v>
      </c>
      <c r="CG198">
        <v>0</v>
      </c>
      <c r="CH198">
        <v>-1.66</v>
      </c>
      <c r="CI198">
        <v>0</v>
      </c>
      <c r="CJ198">
        <v>-2.7</v>
      </c>
      <c r="CK198">
        <v>98</v>
      </c>
      <c r="CL198">
        <v>-0.71</v>
      </c>
      <c r="CM198">
        <v>97</v>
      </c>
      <c r="CN198">
        <v>-0.05</v>
      </c>
      <c r="CO198">
        <v>97</v>
      </c>
      <c r="CP198">
        <v>3.1</v>
      </c>
      <c r="CQ198">
        <v>87</v>
      </c>
      <c r="CR198">
        <v>0</v>
      </c>
      <c r="CS198">
        <v>0</v>
      </c>
      <c r="CT198">
        <v>17.899999999999999</v>
      </c>
      <c r="CU198">
        <v>90</v>
      </c>
      <c r="CV198">
        <v>0.12</v>
      </c>
      <c r="CW198">
        <v>48</v>
      </c>
      <c r="CX198" t="s">
        <v>4059</v>
      </c>
    </row>
    <row r="199" spans="1:102" x14ac:dyDescent="0.3">
      <c r="A199" t="str">
        <f>HYPERLINK("https://webapp.icbf.com/v2/app/bull-search/view/1599961189","FR4636")</f>
        <v>FR4636</v>
      </c>
      <c r="B199" t="s">
        <v>8420</v>
      </c>
      <c r="C199" t="s">
        <v>8421</v>
      </c>
      <c r="D199" s="1">
        <v>42490</v>
      </c>
      <c r="E199" t="s">
        <v>92</v>
      </c>
      <c r="F199">
        <v>100</v>
      </c>
      <c r="G199" t="s">
        <v>435</v>
      </c>
      <c r="H199">
        <v>221.44</v>
      </c>
      <c r="I199">
        <v>68</v>
      </c>
      <c r="J199">
        <v>85.77</v>
      </c>
      <c r="K199">
        <v>88</v>
      </c>
      <c r="L199">
        <v>67.739999999999995</v>
      </c>
      <c r="M199">
        <v>69</v>
      </c>
      <c r="N199">
        <v>52.61</v>
      </c>
      <c r="O199">
        <v>65</v>
      </c>
      <c r="P199">
        <v>1.68</v>
      </c>
      <c r="Q199">
        <v>35</v>
      </c>
      <c r="R199">
        <v>9.58</v>
      </c>
      <c r="S199">
        <v>63</v>
      </c>
      <c r="T199">
        <v>-1.1200000000000001</v>
      </c>
      <c r="U199">
        <v>33</v>
      </c>
      <c r="V199">
        <v>5.18</v>
      </c>
      <c r="W199">
        <v>51</v>
      </c>
      <c r="X199" t="s">
        <v>428</v>
      </c>
      <c r="Y199" t="s">
        <v>442</v>
      </c>
      <c r="Z199" t="s">
        <v>96</v>
      </c>
      <c r="AA199" t="s">
        <v>2309</v>
      </c>
      <c r="AB199" t="s">
        <v>8422</v>
      </c>
      <c r="AC199">
        <v>0</v>
      </c>
      <c r="AD199">
        <v>0</v>
      </c>
      <c r="AE199">
        <v>88</v>
      </c>
      <c r="AF199">
        <v>407.32</v>
      </c>
      <c r="AG199">
        <v>22.14</v>
      </c>
      <c r="AH199">
        <v>12.99</v>
      </c>
      <c r="AI199">
        <v>0.1</v>
      </c>
      <c r="AJ199">
        <v>-0.01</v>
      </c>
      <c r="AK199">
        <v>69</v>
      </c>
      <c r="AL199">
        <v>0</v>
      </c>
      <c r="AM199">
        <v>0</v>
      </c>
      <c r="AN199">
        <v>-3.09</v>
      </c>
      <c r="AO199">
        <v>2.3199999999999998</v>
      </c>
      <c r="AP199">
        <v>10</v>
      </c>
      <c r="AQ199">
        <v>0</v>
      </c>
      <c r="AR199">
        <v>5.88</v>
      </c>
      <c r="AS199">
        <v>58</v>
      </c>
      <c r="AT199">
        <v>2.2799999999999998</v>
      </c>
      <c r="AU199">
        <v>88</v>
      </c>
      <c r="AV199">
        <v>-4.4000000000000004</v>
      </c>
      <c r="AW199">
        <v>71</v>
      </c>
      <c r="AX199">
        <v>-0.84</v>
      </c>
      <c r="AY199">
        <v>50</v>
      </c>
      <c r="AZ199">
        <v>5.51</v>
      </c>
      <c r="BA199">
        <v>34</v>
      </c>
      <c r="BB199">
        <v>4.25</v>
      </c>
      <c r="BC199">
        <v>31</v>
      </c>
      <c r="BD199">
        <v>-0.05</v>
      </c>
      <c r="BE199">
        <v>-0.03</v>
      </c>
      <c r="BF199">
        <v>-0.08</v>
      </c>
      <c r="BG199">
        <v>78</v>
      </c>
      <c r="BH199">
        <v>7.0000000000000007E-2</v>
      </c>
      <c r="BI199">
        <v>-8.6199999999999992</v>
      </c>
      <c r="BJ199">
        <v>0</v>
      </c>
      <c r="BK199">
        <v>0</v>
      </c>
      <c r="BL199">
        <v>0.95</v>
      </c>
      <c r="BM199">
        <v>0.45</v>
      </c>
      <c r="BN199">
        <v>0.61</v>
      </c>
      <c r="BO199">
        <v>0.88</v>
      </c>
      <c r="BP199">
        <v>2.2599999999999998</v>
      </c>
      <c r="BQ199">
        <v>2.46</v>
      </c>
      <c r="BR199">
        <v>1.07</v>
      </c>
      <c r="BS199">
        <v>2.93</v>
      </c>
      <c r="BT199">
        <v>0.1</v>
      </c>
      <c r="BU199">
        <v>2.37</v>
      </c>
      <c r="BV199">
        <v>2.37</v>
      </c>
      <c r="BW199">
        <v>2.16</v>
      </c>
      <c r="BX199">
        <v>1.66</v>
      </c>
      <c r="BY199">
        <v>1.98</v>
      </c>
      <c r="BZ199">
        <v>-0.27</v>
      </c>
      <c r="CA199">
        <v>2.97</v>
      </c>
      <c r="CB199">
        <v>2.2999999999999998</v>
      </c>
      <c r="CC199">
        <v>3.38</v>
      </c>
      <c r="CD199">
        <v>-0.62</v>
      </c>
      <c r="CE199">
        <v>1.34</v>
      </c>
      <c r="CF199">
        <v>1.2</v>
      </c>
      <c r="CG199">
        <v>0</v>
      </c>
      <c r="CH199">
        <v>2.04</v>
      </c>
      <c r="CI199">
        <v>0</v>
      </c>
      <c r="CJ199">
        <v>1.5</v>
      </c>
      <c r="CK199">
        <v>35</v>
      </c>
      <c r="CL199">
        <v>-1.21</v>
      </c>
      <c r="CM199">
        <v>35</v>
      </c>
      <c r="CN199">
        <v>-1</v>
      </c>
      <c r="CO199">
        <v>35</v>
      </c>
      <c r="CP199">
        <v>2.6</v>
      </c>
      <c r="CQ199">
        <v>33</v>
      </c>
      <c r="CR199">
        <v>0</v>
      </c>
      <c r="CS199">
        <v>0</v>
      </c>
      <c r="CT199">
        <v>15.3</v>
      </c>
      <c r="CU199">
        <v>33</v>
      </c>
      <c r="CV199">
        <v>0.19</v>
      </c>
      <c r="CW199">
        <v>32</v>
      </c>
      <c r="CX199" t="s">
        <v>465</v>
      </c>
    </row>
    <row r="200" spans="1:102" x14ac:dyDescent="0.3">
      <c r="A200" t="str">
        <f>HYPERLINK("https://webapp.icbf.com/v2/app/bull-search/view/1492470288","JE4506")</f>
        <v>JE4506</v>
      </c>
      <c r="B200" t="s">
        <v>6295</v>
      </c>
      <c r="C200" t="s">
        <v>6296</v>
      </c>
      <c r="D200" s="1">
        <v>42574</v>
      </c>
      <c r="E200" t="s">
        <v>227</v>
      </c>
      <c r="F200">
        <v>0</v>
      </c>
      <c r="G200" t="s">
        <v>435</v>
      </c>
      <c r="H200">
        <v>221.43</v>
      </c>
      <c r="I200">
        <v>66</v>
      </c>
      <c r="J200">
        <v>130.37</v>
      </c>
      <c r="K200">
        <v>83</v>
      </c>
      <c r="L200">
        <v>33.18</v>
      </c>
      <c r="M200">
        <v>61</v>
      </c>
      <c r="N200">
        <v>50.46</v>
      </c>
      <c r="O200">
        <v>74</v>
      </c>
      <c r="P200">
        <v>-43.61</v>
      </c>
      <c r="Q200">
        <v>44</v>
      </c>
      <c r="R200">
        <v>3.71</v>
      </c>
      <c r="S200">
        <v>60</v>
      </c>
      <c r="T200">
        <v>38.619999999999997</v>
      </c>
      <c r="U200">
        <v>38</v>
      </c>
      <c r="V200">
        <v>8.6999999999999993</v>
      </c>
      <c r="W200">
        <v>58</v>
      </c>
      <c r="X200" t="s">
        <v>94</v>
      </c>
      <c r="Y200" t="s">
        <v>442</v>
      </c>
      <c r="Z200">
        <v>0</v>
      </c>
      <c r="AA200" t="s">
        <v>6297</v>
      </c>
      <c r="AB200" t="s">
        <v>6298</v>
      </c>
      <c r="AC200">
        <v>0</v>
      </c>
      <c r="AD200">
        <v>0</v>
      </c>
      <c r="AE200">
        <v>83</v>
      </c>
      <c r="AF200">
        <v>-68.5</v>
      </c>
      <c r="AG200">
        <v>26.33</v>
      </c>
      <c r="AH200">
        <v>11.81</v>
      </c>
      <c r="AI200">
        <v>0.5</v>
      </c>
      <c r="AJ200">
        <v>0.25</v>
      </c>
      <c r="AK200">
        <v>61</v>
      </c>
      <c r="AL200">
        <v>0</v>
      </c>
      <c r="AM200">
        <v>0</v>
      </c>
      <c r="AN200">
        <v>0.02</v>
      </c>
      <c r="AO200">
        <v>2.69</v>
      </c>
      <c r="AP200">
        <v>84</v>
      </c>
      <c r="AQ200">
        <v>0</v>
      </c>
      <c r="AR200">
        <v>3.02</v>
      </c>
      <c r="AS200">
        <v>74</v>
      </c>
      <c r="AT200">
        <v>1.41</v>
      </c>
      <c r="AU200">
        <v>74</v>
      </c>
      <c r="AV200">
        <v>-3.88</v>
      </c>
      <c r="AW200">
        <v>91</v>
      </c>
      <c r="AX200">
        <v>-0.12</v>
      </c>
      <c r="AY200">
        <v>63</v>
      </c>
      <c r="AZ200">
        <v>6.85</v>
      </c>
      <c r="BA200">
        <v>39</v>
      </c>
      <c r="BB200">
        <v>5.19</v>
      </c>
      <c r="BC200">
        <v>39</v>
      </c>
      <c r="BD200">
        <v>-0.05</v>
      </c>
      <c r="BE200">
        <v>0.02</v>
      </c>
      <c r="BF200">
        <v>-0.04</v>
      </c>
      <c r="BG200">
        <v>65</v>
      </c>
      <c r="BH200">
        <v>0.28000000000000003</v>
      </c>
      <c r="BI200">
        <v>4.34</v>
      </c>
      <c r="BJ200">
        <v>0</v>
      </c>
      <c r="BK200">
        <v>0</v>
      </c>
      <c r="BL200">
        <v>-2.88</v>
      </c>
      <c r="BM200">
        <v>-1.2</v>
      </c>
      <c r="BN200">
        <v>0</v>
      </c>
      <c r="BO200">
        <v>1.18</v>
      </c>
      <c r="BP200">
        <v>-0.91</v>
      </c>
      <c r="BQ200">
        <v>-5.35</v>
      </c>
      <c r="BR200">
        <v>2.31</v>
      </c>
      <c r="BS200">
        <v>6.82</v>
      </c>
      <c r="BT200">
        <v>-1.19</v>
      </c>
      <c r="BU200">
        <v>-1.0900000000000001</v>
      </c>
      <c r="BV200">
        <v>-0.33</v>
      </c>
      <c r="BW200">
        <v>-2.88</v>
      </c>
      <c r="BX200">
        <v>-4.5</v>
      </c>
      <c r="BY200">
        <v>-0.23</v>
      </c>
      <c r="BZ200">
        <v>0.24</v>
      </c>
      <c r="CA200">
        <v>1.23</v>
      </c>
      <c r="CB200">
        <v>-0.6</v>
      </c>
      <c r="CC200">
        <v>4.5199999999999996</v>
      </c>
      <c r="CD200">
        <v>-1.72</v>
      </c>
      <c r="CE200">
        <v>1.1599999999999999</v>
      </c>
      <c r="CF200">
        <v>-2.7</v>
      </c>
      <c r="CG200">
        <v>0</v>
      </c>
      <c r="CH200">
        <v>-1.46</v>
      </c>
      <c r="CI200">
        <v>0</v>
      </c>
      <c r="CJ200">
        <v>-22.3</v>
      </c>
      <c r="CK200">
        <v>47</v>
      </c>
      <c r="CL200">
        <v>-0.79</v>
      </c>
      <c r="CM200">
        <v>39</v>
      </c>
      <c r="CN200">
        <v>-0.02</v>
      </c>
      <c r="CO200">
        <v>39</v>
      </c>
      <c r="CP200">
        <v>-32.799999999999997</v>
      </c>
      <c r="CQ200">
        <v>39</v>
      </c>
      <c r="CR200">
        <v>0</v>
      </c>
      <c r="CS200">
        <v>0</v>
      </c>
      <c r="CT200">
        <v>-38.4</v>
      </c>
      <c r="CU200">
        <v>38</v>
      </c>
      <c r="CV200">
        <v>-0.16</v>
      </c>
      <c r="CW200">
        <v>34</v>
      </c>
      <c r="CX200" t="s">
        <v>2111</v>
      </c>
    </row>
    <row r="201" spans="1:102" x14ac:dyDescent="0.3">
      <c r="A201" t="str">
        <f>HYPERLINK("https://webapp.icbf.com/v2/app/bull-search/view/586205010","VSN")</f>
        <v>VSN</v>
      </c>
      <c r="B201" t="s">
        <v>9042</v>
      </c>
      <c r="C201" t="s">
        <v>9043</v>
      </c>
      <c r="D201" s="1">
        <v>39332</v>
      </c>
      <c r="E201" t="s">
        <v>92</v>
      </c>
      <c r="F201">
        <v>50</v>
      </c>
      <c r="G201" t="s">
        <v>93</v>
      </c>
      <c r="H201">
        <v>221.39</v>
      </c>
      <c r="I201">
        <v>95</v>
      </c>
      <c r="J201">
        <v>39.770000000000003</v>
      </c>
      <c r="K201">
        <v>99</v>
      </c>
      <c r="L201">
        <v>100.31</v>
      </c>
      <c r="M201">
        <v>91</v>
      </c>
      <c r="N201">
        <v>59.73</v>
      </c>
      <c r="O201">
        <v>96</v>
      </c>
      <c r="P201">
        <v>-32.76</v>
      </c>
      <c r="Q201">
        <v>98</v>
      </c>
      <c r="R201">
        <v>6.1</v>
      </c>
      <c r="S201">
        <v>89</v>
      </c>
      <c r="T201">
        <v>36.99</v>
      </c>
      <c r="U201">
        <v>97</v>
      </c>
      <c r="V201">
        <v>11.25</v>
      </c>
      <c r="W201">
        <v>82</v>
      </c>
      <c r="X201" t="s">
        <v>276</v>
      </c>
      <c r="Y201" t="s">
        <v>329</v>
      </c>
      <c r="Z201">
        <v>0</v>
      </c>
      <c r="AA201" t="s">
        <v>320</v>
      </c>
      <c r="AB201" t="s">
        <v>144</v>
      </c>
      <c r="AC201">
        <v>580</v>
      </c>
      <c r="AD201">
        <v>158</v>
      </c>
      <c r="AE201">
        <v>99</v>
      </c>
      <c r="AF201">
        <v>-181.55</v>
      </c>
      <c r="AG201">
        <v>4</v>
      </c>
      <c r="AH201">
        <v>2.57</v>
      </c>
      <c r="AI201">
        <v>0.2</v>
      </c>
      <c r="AJ201">
        <v>0.16</v>
      </c>
      <c r="AK201">
        <v>91</v>
      </c>
      <c r="AL201">
        <v>676</v>
      </c>
      <c r="AM201">
        <v>175</v>
      </c>
      <c r="AN201">
        <v>-4.6900000000000004</v>
      </c>
      <c r="AO201">
        <v>3.32</v>
      </c>
      <c r="AP201">
        <v>1009</v>
      </c>
      <c r="AQ201">
        <v>10</v>
      </c>
      <c r="AR201">
        <v>3.99</v>
      </c>
      <c r="AS201">
        <v>95</v>
      </c>
      <c r="AT201">
        <v>1.58</v>
      </c>
      <c r="AU201">
        <v>96</v>
      </c>
      <c r="AV201">
        <v>-5.08</v>
      </c>
      <c r="AW201">
        <v>99</v>
      </c>
      <c r="AX201">
        <v>-0.06</v>
      </c>
      <c r="AY201">
        <v>96</v>
      </c>
      <c r="AZ201">
        <v>6.16</v>
      </c>
      <c r="BA201">
        <v>87</v>
      </c>
      <c r="BB201">
        <v>4.95</v>
      </c>
      <c r="BC201">
        <v>86</v>
      </c>
      <c r="BD201">
        <v>-0.02</v>
      </c>
      <c r="BE201">
        <v>-0.03</v>
      </c>
      <c r="BF201">
        <v>-0.05</v>
      </c>
      <c r="BG201">
        <v>97</v>
      </c>
      <c r="BH201">
        <v>0.17</v>
      </c>
      <c r="BI201">
        <v>-16.61</v>
      </c>
      <c r="BJ201">
        <v>3</v>
      </c>
      <c r="BK201">
        <v>3</v>
      </c>
      <c r="BL201">
        <v>-2.0699999999999998</v>
      </c>
      <c r="BM201">
        <v>-1.83</v>
      </c>
      <c r="BN201">
        <v>-2.48</v>
      </c>
      <c r="BO201">
        <v>-0.82</v>
      </c>
      <c r="BP201">
        <v>0.56999999999999995</v>
      </c>
      <c r="BQ201">
        <v>-1.17</v>
      </c>
      <c r="BR201">
        <v>2.4300000000000002</v>
      </c>
      <c r="BS201">
        <v>-0.49</v>
      </c>
      <c r="BT201">
        <v>-2.23</v>
      </c>
      <c r="BU201">
        <v>-1.52</v>
      </c>
      <c r="BV201">
        <v>-1.23</v>
      </c>
      <c r="BW201">
        <v>-2.1</v>
      </c>
      <c r="BX201">
        <v>-2.29</v>
      </c>
      <c r="BY201">
        <v>-0.49</v>
      </c>
      <c r="BZ201">
        <v>-1.6</v>
      </c>
      <c r="CA201">
        <v>-1.63</v>
      </c>
      <c r="CB201">
        <v>-1.32</v>
      </c>
      <c r="CC201">
        <v>-1.44</v>
      </c>
      <c r="CD201">
        <v>-0.49</v>
      </c>
      <c r="CE201">
        <v>-1.31</v>
      </c>
      <c r="CF201">
        <v>-3.52</v>
      </c>
      <c r="CG201">
        <v>0</v>
      </c>
      <c r="CH201">
        <v>-2.63</v>
      </c>
      <c r="CI201">
        <v>0</v>
      </c>
      <c r="CJ201">
        <v>-15.3</v>
      </c>
      <c r="CK201">
        <v>98</v>
      </c>
      <c r="CL201">
        <v>-0.79</v>
      </c>
      <c r="CM201">
        <v>98</v>
      </c>
      <c r="CN201">
        <v>-0.04</v>
      </c>
      <c r="CO201">
        <v>98</v>
      </c>
      <c r="CP201">
        <v>-26.4</v>
      </c>
      <c r="CQ201">
        <v>94</v>
      </c>
      <c r="CR201">
        <v>0</v>
      </c>
      <c r="CS201">
        <v>0</v>
      </c>
      <c r="CT201">
        <v>-36.200000000000003</v>
      </c>
      <c r="CU201">
        <v>97</v>
      </c>
      <c r="CV201">
        <v>-0.05</v>
      </c>
      <c r="CW201">
        <v>46</v>
      </c>
      <c r="CX201" t="s">
        <v>321</v>
      </c>
    </row>
    <row r="202" spans="1:102" x14ac:dyDescent="0.3">
      <c r="A202" t="str">
        <f>HYPERLINK("https://webapp.icbf.com/v2/app/bull-search/view/933356821","FFA")</f>
        <v>FFA</v>
      </c>
      <c r="B202" t="s">
        <v>9236</v>
      </c>
      <c r="C202" t="s">
        <v>6279</v>
      </c>
      <c r="D202" s="1">
        <v>40764</v>
      </c>
      <c r="E202" t="s">
        <v>92</v>
      </c>
      <c r="F202">
        <v>88</v>
      </c>
      <c r="G202" t="s">
        <v>93</v>
      </c>
      <c r="H202">
        <v>221.22</v>
      </c>
      <c r="I202">
        <v>89</v>
      </c>
      <c r="J202">
        <v>114.1</v>
      </c>
      <c r="K202">
        <v>98</v>
      </c>
      <c r="L202">
        <v>78.47</v>
      </c>
      <c r="M202">
        <v>82</v>
      </c>
      <c r="N202">
        <v>40.94</v>
      </c>
      <c r="O202">
        <v>91</v>
      </c>
      <c r="P202">
        <v>-8.94</v>
      </c>
      <c r="Q202">
        <v>96</v>
      </c>
      <c r="R202">
        <v>-14.09</v>
      </c>
      <c r="S202">
        <v>80</v>
      </c>
      <c r="T202">
        <v>4.13</v>
      </c>
      <c r="U202">
        <v>83</v>
      </c>
      <c r="V202">
        <v>6.61</v>
      </c>
      <c r="W202">
        <v>75</v>
      </c>
      <c r="X202" t="s">
        <v>276</v>
      </c>
      <c r="Y202" t="s">
        <v>375</v>
      </c>
      <c r="Z202" t="s">
        <v>330</v>
      </c>
      <c r="AA202" t="s">
        <v>2278</v>
      </c>
      <c r="AB202" t="s">
        <v>5636</v>
      </c>
      <c r="AC202">
        <v>377</v>
      </c>
      <c r="AD202">
        <v>128</v>
      </c>
      <c r="AE202">
        <v>98</v>
      </c>
      <c r="AF202">
        <v>-39.299999999999997</v>
      </c>
      <c r="AG202">
        <v>20.420000000000002</v>
      </c>
      <c r="AH202">
        <v>11.58</v>
      </c>
      <c r="AI202">
        <v>0.39</v>
      </c>
      <c r="AJ202">
        <v>0.23</v>
      </c>
      <c r="AK202">
        <v>82</v>
      </c>
      <c r="AL202">
        <v>143</v>
      </c>
      <c r="AM202">
        <v>51</v>
      </c>
      <c r="AN202">
        <v>-4.1399999999999997</v>
      </c>
      <c r="AO202">
        <v>2.12</v>
      </c>
      <c r="AP202">
        <v>1007</v>
      </c>
      <c r="AQ202">
        <v>2</v>
      </c>
      <c r="AR202">
        <v>6.58</v>
      </c>
      <c r="AS202">
        <v>85</v>
      </c>
      <c r="AT202">
        <v>2.4900000000000002</v>
      </c>
      <c r="AU202">
        <v>96</v>
      </c>
      <c r="AV202">
        <v>-4.2</v>
      </c>
      <c r="AW202">
        <v>99</v>
      </c>
      <c r="AX202">
        <v>0.26</v>
      </c>
      <c r="AY202">
        <v>94</v>
      </c>
      <c r="AZ202">
        <v>7.35</v>
      </c>
      <c r="BA202">
        <v>82</v>
      </c>
      <c r="BB202">
        <v>4.6100000000000003</v>
      </c>
      <c r="BC202">
        <v>60</v>
      </c>
      <c r="BD202">
        <v>0.03</v>
      </c>
      <c r="BE202">
        <v>0.06</v>
      </c>
      <c r="BF202">
        <v>0.16</v>
      </c>
      <c r="BG202">
        <v>94</v>
      </c>
      <c r="BH202">
        <v>0.19</v>
      </c>
      <c r="BI202">
        <v>0.66</v>
      </c>
      <c r="BJ202">
        <v>16</v>
      </c>
      <c r="BK202">
        <v>1</v>
      </c>
      <c r="BL202">
        <v>-0.9</v>
      </c>
      <c r="BM202">
        <v>-0.35</v>
      </c>
      <c r="BN202">
        <v>-1.1200000000000001</v>
      </c>
      <c r="BO202">
        <v>-1.2</v>
      </c>
      <c r="BP202">
        <v>-0.28000000000000003</v>
      </c>
      <c r="BQ202">
        <v>-1.18</v>
      </c>
      <c r="BR202">
        <v>0.69</v>
      </c>
      <c r="BS202">
        <v>-3.22</v>
      </c>
      <c r="BT202">
        <v>-4.6500000000000004</v>
      </c>
      <c r="BU202">
        <v>-1.79</v>
      </c>
      <c r="BV202">
        <v>-0.78</v>
      </c>
      <c r="BW202">
        <v>-1.1100000000000001</v>
      </c>
      <c r="BX202">
        <v>-1.74</v>
      </c>
      <c r="BY202">
        <v>-1.72</v>
      </c>
      <c r="BZ202">
        <v>0.16</v>
      </c>
      <c r="CA202">
        <v>-1.23</v>
      </c>
      <c r="CB202">
        <v>-1.1599999999999999</v>
      </c>
      <c r="CC202">
        <v>-2.97</v>
      </c>
      <c r="CD202">
        <v>-0.1</v>
      </c>
      <c r="CE202">
        <v>-0.43</v>
      </c>
      <c r="CF202">
        <v>-2.27</v>
      </c>
      <c r="CG202">
        <v>0</v>
      </c>
      <c r="CH202">
        <v>-2.0299999999999998</v>
      </c>
      <c r="CI202">
        <v>0</v>
      </c>
      <c r="CJ202">
        <v>-4.9000000000000004</v>
      </c>
      <c r="CK202">
        <v>98</v>
      </c>
      <c r="CL202">
        <v>-0.6</v>
      </c>
      <c r="CM202">
        <v>97</v>
      </c>
      <c r="CN202">
        <v>-0.38</v>
      </c>
      <c r="CO202">
        <v>97</v>
      </c>
      <c r="CP202">
        <v>-2.9</v>
      </c>
      <c r="CQ202">
        <v>83</v>
      </c>
      <c r="CR202">
        <v>0</v>
      </c>
      <c r="CS202">
        <v>0</v>
      </c>
      <c r="CT202">
        <v>8.1999999999999993</v>
      </c>
      <c r="CU202">
        <v>83</v>
      </c>
      <c r="CV202">
        <v>-0.02</v>
      </c>
      <c r="CW202">
        <v>46</v>
      </c>
      <c r="CX202" t="s">
        <v>2339</v>
      </c>
    </row>
    <row r="203" spans="1:102" x14ac:dyDescent="0.3">
      <c r="A203" t="str">
        <f>HYPERLINK("https://webapp.icbf.com/v2/app/bull-search/view/1356890536","JE4539")</f>
        <v>JE4539</v>
      </c>
      <c r="B203" t="s">
        <v>6335</v>
      </c>
      <c r="C203" t="s">
        <v>6336</v>
      </c>
      <c r="D203" s="1">
        <v>42412</v>
      </c>
      <c r="E203" t="s">
        <v>227</v>
      </c>
      <c r="F203">
        <v>0</v>
      </c>
      <c r="G203" t="s">
        <v>435</v>
      </c>
      <c r="H203">
        <v>220.81</v>
      </c>
      <c r="I203">
        <v>66</v>
      </c>
      <c r="J203">
        <v>90.51</v>
      </c>
      <c r="K203">
        <v>82</v>
      </c>
      <c r="L203">
        <v>81.27</v>
      </c>
      <c r="M203">
        <v>59</v>
      </c>
      <c r="N203">
        <v>37.61</v>
      </c>
      <c r="O203">
        <v>74</v>
      </c>
      <c r="P203">
        <v>-37.17</v>
      </c>
      <c r="Q203">
        <v>53</v>
      </c>
      <c r="R203">
        <v>-3.73</v>
      </c>
      <c r="S203">
        <v>58</v>
      </c>
      <c r="T203">
        <v>45.57</v>
      </c>
      <c r="U203">
        <v>39</v>
      </c>
      <c r="V203">
        <v>6.75</v>
      </c>
      <c r="W203">
        <v>57</v>
      </c>
      <c r="X203" t="s">
        <v>94</v>
      </c>
      <c r="Y203" t="s">
        <v>2384</v>
      </c>
      <c r="Z203">
        <v>0</v>
      </c>
      <c r="AA203" t="s">
        <v>6337</v>
      </c>
      <c r="AB203" t="s">
        <v>6338</v>
      </c>
      <c r="AC203">
        <v>0</v>
      </c>
      <c r="AD203">
        <v>0</v>
      </c>
      <c r="AE203">
        <v>82</v>
      </c>
      <c r="AF203">
        <v>-418.66</v>
      </c>
      <c r="AG203">
        <v>17.739999999999998</v>
      </c>
      <c r="AH203">
        <v>2.71</v>
      </c>
      <c r="AI203">
        <v>0.63</v>
      </c>
      <c r="AJ203">
        <v>0.32</v>
      </c>
      <c r="AK203">
        <v>59</v>
      </c>
      <c r="AL203">
        <v>0</v>
      </c>
      <c r="AM203">
        <v>0</v>
      </c>
      <c r="AN203">
        <v>-3.75</v>
      </c>
      <c r="AO203">
        <v>2.74</v>
      </c>
      <c r="AP203">
        <v>107</v>
      </c>
      <c r="AQ203">
        <v>0</v>
      </c>
      <c r="AR203">
        <v>2.92</v>
      </c>
      <c r="AS203">
        <v>78</v>
      </c>
      <c r="AT203">
        <v>1.67</v>
      </c>
      <c r="AU203">
        <v>69</v>
      </c>
      <c r="AV203">
        <v>-3.04</v>
      </c>
      <c r="AW203">
        <v>94</v>
      </c>
      <c r="AX203">
        <v>1.41</v>
      </c>
      <c r="AY203">
        <v>67</v>
      </c>
      <c r="AZ203">
        <v>6.85</v>
      </c>
      <c r="BA203">
        <v>37</v>
      </c>
      <c r="BB203">
        <v>5.4</v>
      </c>
      <c r="BC203">
        <v>37</v>
      </c>
      <c r="BD203">
        <v>-0.02</v>
      </c>
      <c r="BE203">
        <v>0.01</v>
      </c>
      <c r="BF203">
        <v>0.1</v>
      </c>
      <c r="BG203">
        <v>63</v>
      </c>
      <c r="BH203">
        <v>0.02</v>
      </c>
      <c r="BI203">
        <v>-19.47</v>
      </c>
      <c r="BJ203">
        <v>0</v>
      </c>
      <c r="BK203">
        <v>0</v>
      </c>
      <c r="BL203">
        <v>-2.77</v>
      </c>
      <c r="BM203">
        <v>-1.41</v>
      </c>
      <c r="BN203">
        <v>-0.48</v>
      </c>
      <c r="BO203">
        <v>0.9</v>
      </c>
      <c r="BP203">
        <v>-0.33</v>
      </c>
      <c r="BQ203">
        <v>-5.59</v>
      </c>
      <c r="BR203">
        <v>2.79</v>
      </c>
      <c r="BS203">
        <v>5.76</v>
      </c>
      <c r="BT203">
        <v>-1.28</v>
      </c>
      <c r="BU203">
        <v>-1.57</v>
      </c>
      <c r="BV203">
        <v>-0.89</v>
      </c>
      <c r="BW203">
        <v>-2.61</v>
      </c>
      <c r="BX203">
        <v>-4.22</v>
      </c>
      <c r="BY203">
        <v>-0.11</v>
      </c>
      <c r="BZ203">
        <v>-0.56999999999999995</v>
      </c>
      <c r="CA203">
        <v>0.5</v>
      </c>
      <c r="CB203">
        <v>-0.95</v>
      </c>
      <c r="CC203">
        <v>3.32</v>
      </c>
      <c r="CD203">
        <v>-1.58</v>
      </c>
      <c r="CE203">
        <v>0.71</v>
      </c>
      <c r="CF203">
        <v>-2.86</v>
      </c>
      <c r="CG203">
        <v>0</v>
      </c>
      <c r="CH203">
        <v>-0.88</v>
      </c>
      <c r="CI203">
        <v>0</v>
      </c>
      <c r="CJ203">
        <v>-22.7</v>
      </c>
      <c r="CK203">
        <v>57</v>
      </c>
      <c r="CL203">
        <v>-0.34</v>
      </c>
      <c r="CM203">
        <v>51</v>
      </c>
      <c r="CN203">
        <v>-0.28000000000000003</v>
      </c>
      <c r="CO203">
        <v>50</v>
      </c>
      <c r="CP203">
        <v>-37.4</v>
      </c>
      <c r="CQ203">
        <v>41</v>
      </c>
      <c r="CR203">
        <v>0</v>
      </c>
      <c r="CS203">
        <v>0</v>
      </c>
      <c r="CT203">
        <v>-47.8</v>
      </c>
      <c r="CU203">
        <v>39</v>
      </c>
      <c r="CV203">
        <v>-0.23</v>
      </c>
      <c r="CW203">
        <v>36</v>
      </c>
      <c r="CX203" t="s">
        <v>5626</v>
      </c>
    </row>
    <row r="204" spans="1:102" x14ac:dyDescent="0.3">
      <c r="A204" t="str">
        <f>HYPERLINK("https://webapp.icbf.com/v2/app/bull-search/view/863505179","RAZ")</f>
        <v>RAZ</v>
      </c>
      <c r="B204" t="s">
        <v>2054</v>
      </c>
      <c r="C204" t="s">
        <v>2055</v>
      </c>
      <c r="D204" s="1">
        <v>40593</v>
      </c>
      <c r="E204" t="s">
        <v>92</v>
      </c>
      <c r="F204">
        <v>44</v>
      </c>
      <c r="G204" t="s">
        <v>93</v>
      </c>
      <c r="H204">
        <v>220.57</v>
      </c>
      <c r="I204">
        <v>87</v>
      </c>
      <c r="J204">
        <v>68.78</v>
      </c>
      <c r="K204">
        <v>97</v>
      </c>
      <c r="L204">
        <v>111.95</v>
      </c>
      <c r="M204">
        <v>77</v>
      </c>
      <c r="N204">
        <v>30.97</v>
      </c>
      <c r="O204">
        <v>87</v>
      </c>
      <c r="P204">
        <v>-20.62</v>
      </c>
      <c r="Q204">
        <v>90</v>
      </c>
      <c r="R204">
        <v>3.04</v>
      </c>
      <c r="S204">
        <v>79</v>
      </c>
      <c r="T204">
        <v>23.15</v>
      </c>
      <c r="U204">
        <v>89</v>
      </c>
      <c r="V204">
        <v>3.3</v>
      </c>
      <c r="W204">
        <v>77</v>
      </c>
      <c r="X204" t="s">
        <v>94</v>
      </c>
      <c r="Y204" t="s">
        <v>1976</v>
      </c>
      <c r="Z204" t="s">
        <v>330</v>
      </c>
      <c r="AA204" t="s">
        <v>1942</v>
      </c>
      <c r="AB204" t="s">
        <v>2056</v>
      </c>
      <c r="AC204">
        <v>104</v>
      </c>
      <c r="AD204">
        <v>73</v>
      </c>
      <c r="AE204">
        <v>97</v>
      </c>
      <c r="AF204">
        <v>-20.74</v>
      </c>
      <c r="AG204">
        <v>9.3000000000000007</v>
      </c>
      <c r="AH204">
        <v>8.09</v>
      </c>
      <c r="AI204">
        <v>0.18</v>
      </c>
      <c r="AJ204">
        <v>0.15</v>
      </c>
      <c r="AK204">
        <v>77</v>
      </c>
      <c r="AL204">
        <v>108</v>
      </c>
      <c r="AM204">
        <v>71</v>
      </c>
      <c r="AN204">
        <v>-5.18</v>
      </c>
      <c r="AO204">
        <v>3.76</v>
      </c>
      <c r="AP204">
        <v>319</v>
      </c>
      <c r="AQ204">
        <v>1</v>
      </c>
      <c r="AR204">
        <v>4.82</v>
      </c>
      <c r="AS204">
        <v>79</v>
      </c>
      <c r="AT204">
        <v>1.76</v>
      </c>
      <c r="AU204">
        <v>89</v>
      </c>
      <c r="AV204">
        <v>-1.45</v>
      </c>
      <c r="AW204">
        <v>97</v>
      </c>
      <c r="AX204">
        <v>-0.56999999999999995</v>
      </c>
      <c r="AY204">
        <v>84</v>
      </c>
      <c r="AZ204">
        <v>6.07</v>
      </c>
      <c r="BA204">
        <v>65</v>
      </c>
      <c r="BB204">
        <v>4.74</v>
      </c>
      <c r="BC204">
        <v>64</v>
      </c>
      <c r="BD204">
        <v>-0.03</v>
      </c>
      <c r="BE204">
        <v>0</v>
      </c>
      <c r="BF204">
        <v>-0.02</v>
      </c>
      <c r="BG204">
        <v>88</v>
      </c>
      <c r="BH204">
        <v>0.04</v>
      </c>
      <c r="BI204">
        <v>-6.03</v>
      </c>
      <c r="BJ204">
        <v>19</v>
      </c>
      <c r="BK204">
        <v>8</v>
      </c>
      <c r="BL204">
        <v>-1.92</v>
      </c>
      <c r="BM204">
        <v>1.29</v>
      </c>
      <c r="BN204">
        <v>-1.51</v>
      </c>
      <c r="BO204">
        <v>-1.86</v>
      </c>
      <c r="BP204">
        <v>3.1</v>
      </c>
      <c r="BQ204">
        <v>-1.03</v>
      </c>
      <c r="BR204">
        <v>-1.1599999999999999</v>
      </c>
      <c r="BS204">
        <v>0.99</v>
      </c>
      <c r="BT204">
        <v>0.35</v>
      </c>
      <c r="BU204">
        <v>-0.85</v>
      </c>
      <c r="BV204">
        <v>-1.02</v>
      </c>
      <c r="BW204">
        <v>-1.74</v>
      </c>
      <c r="BX204">
        <v>-1.9</v>
      </c>
      <c r="BY204">
        <v>-1.45</v>
      </c>
      <c r="BZ204">
        <v>-0.72</v>
      </c>
      <c r="CA204">
        <v>-0.63</v>
      </c>
      <c r="CB204">
        <v>-1.02</v>
      </c>
      <c r="CC204">
        <v>0.33</v>
      </c>
      <c r="CD204">
        <v>0.98</v>
      </c>
      <c r="CE204">
        <v>-1.22</v>
      </c>
      <c r="CF204">
        <v>-1.08</v>
      </c>
      <c r="CG204">
        <v>0</v>
      </c>
      <c r="CH204">
        <v>-1.1200000000000001</v>
      </c>
      <c r="CI204">
        <v>0</v>
      </c>
      <c r="CJ204">
        <v>-11.2</v>
      </c>
      <c r="CK204">
        <v>92</v>
      </c>
      <c r="CL204">
        <v>-0.46</v>
      </c>
      <c r="CM204">
        <v>90</v>
      </c>
      <c r="CN204">
        <v>-0.18</v>
      </c>
      <c r="CO204">
        <v>88</v>
      </c>
      <c r="CP204">
        <v>-16.8</v>
      </c>
      <c r="CQ204">
        <v>81</v>
      </c>
      <c r="CR204">
        <v>0</v>
      </c>
      <c r="CS204">
        <v>0</v>
      </c>
      <c r="CT204">
        <v>-17.5</v>
      </c>
      <c r="CU204">
        <v>89</v>
      </c>
      <c r="CV204">
        <v>-0.1</v>
      </c>
      <c r="CW204">
        <v>47</v>
      </c>
      <c r="CX204" t="s">
        <v>1634</v>
      </c>
    </row>
    <row r="205" spans="1:102" x14ac:dyDescent="0.3">
      <c r="A205" t="str">
        <f>HYPERLINK("https://webapp.icbf.com/v2/app/bull-search/view/1351530326","FR4263")</f>
        <v>FR4263</v>
      </c>
      <c r="B205" t="s">
        <v>6380</v>
      </c>
      <c r="C205" t="s">
        <v>6381</v>
      </c>
      <c r="D205" s="1">
        <v>42392</v>
      </c>
      <c r="E205" t="s">
        <v>108</v>
      </c>
      <c r="F205">
        <v>41</v>
      </c>
      <c r="G205" t="s">
        <v>435</v>
      </c>
      <c r="H205">
        <v>220.54</v>
      </c>
      <c r="I205">
        <v>67</v>
      </c>
      <c r="J205">
        <v>64.239999999999995</v>
      </c>
      <c r="K205">
        <v>82</v>
      </c>
      <c r="L205">
        <v>125.82</v>
      </c>
      <c r="M205">
        <v>56</v>
      </c>
      <c r="N205">
        <v>24.33</v>
      </c>
      <c r="O205">
        <v>79</v>
      </c>
      <c r="P205">
        <v>-5.3</v>
      </c>
      <c r="Q205">
        <v>66</v>
      </c>
      <c r="R205">
        <v>9.67</v>
      </c>
      <c r="S205">
        <v>57</v>
      </c>
      <c r="T205">
        <v>6.2</v>
      </c>
      <c r="U205">
        <v>50</v>
      </c>
      <c r="V205">
        <v>-4.42</v>
      </c>
      <c r="W205">
        <v>49</v>
      </c>
      <c r="X205" t="s">
        <v>276</v>
      </c>
      <c r="Y205" t="s">
        <v>2255</v>
      </c>
      <c r="Z205" t="s">
        <v>96</v>
      </c>
      <c r="AA205" t="s">
        <v>2372</v>
      </c>
      <c r="AB205" t="s">
        <v>6382</v>
      </c>
      <c r="AC205">
        <v>0</v>
      </c>
      <c r="AD205">
        <v>0</v>
      </c>
      <c r="AE205">
        <v>82</v>
      </c>
      <c r="AF205">
        <v>112.2</v>
      </c>
      <c r="AG205">
        <v>11.26</v>
      </c>
      <c r="AH205">
        <v>8.66</v>
      </c>
      <c r="AI205">
        <v>0.11</v>
      </c>
      <c r="AJ205">
        <v>0.09</v>
      </c>
      <c r="AK205">
        <v>56</v>
      </c>
      <c r="AL205">
        <v>0</v>
      </c>
      <c r="AM205">
        <v>0</v>
      </c>
      <c r="AN205">
        <v>-7.94</v>
      </c>
      <c r="AO205">
        <v>2.08</v>
      </c>
      <c r="AP205">
        <v>259</v>
      </c>
      <c r="AQ205">
        <v>0</v>
      </c>
      <c r="AR205">
        <v>7.36</v>
      </c>
      <c r="AS205">
        <v>53</v>
      </c>
      <c r="AT205">
        <v>2.4900000000000002</v>
      </c>
      <c r="AU205">
        <v>87</v>
      </c>
      <c r="AV205">
        <v>-2.38</v>
      </c>
      <c r="AW205">
        <v>96</v>
      </c>
      <c r="AX205">
        <v>0.38</v>
      </c>
      <c r="AY205">
        <v>80</v>
      </c>
      <c r="AZ205">
        <v>5.6</v>
      </c>
      <c r="BA205">
        <v>39</v>
      </c>
      <c r="BB205">
        <v>5.15</v>
      </c>
      <c r="BC205">
        <v>39</v>
      </c>
      <c r="BD205">
        <v>-0.05</v>
      </c>
      <c r="BE205">
        <v>-0.01</v>
      </c>
      <c r="BF205">
        <v>-0.12</v>
      </c>
      <c r="BG205">
        <v>65</v>
      </c>
      <c r="BH205">
        <v>-0.19</v>
      </c>
      <c r="BI205">
        <v>-7.71</v>
      </c>
      <c r="BJ205">
        <v>0</v>
      </c>
      <c r="BK205">
        <v>0</v>
      </c>
      <c r="BL205">
        <v>-1.46</v>
      </c>
      <c r="BM205">
        <v>2.0699999999999998</v>
      </c>
      <c r="BN205">
        <v>-1.29</v>
      </c>
      <c r="BO205">
        <v>-2.04</v>
      </c>
      <c r="BP205">
        <v>1.1599999999999999</v>
      </c>
      <c r="BQ205">
        <v>0.55000000000000004</v>
      </c>
      <c r="BR205">
        <v>-0.32</v>
      </c>
      <c r="BS205">
        <v>-0.79</v>
      </c>
      <c r="BT205">
        <v>-0.97</v>
      </c>
      <c r="BU205">
        <v>-2.21</v>
      </c>
      <c r="BV205">
        <v>-2.63</v>
      </c>
      <c r="BW205">
        <v>-1.44</v>
      </c>
      <c r="BX205">
        <v>-1.26</v>
      </c>
      <c r="BY205">
        <v>-1.6</v>
      </c>
      <c r="BZ205">
        <v>0.04</v>
      </c>
      <c r="CA205">
        <v>-1.9</v>
      </c>
      <c r="CB205">
        <v>-2.06</v>
      </c>
      <c r="CC205">
        <v>-0.76</v>
      </c>
      <c r="CD205">
        <v>1.91</v>
      </c>
      <c r="CE205">
        <v>-1.35</v>
      </c>
      <c r="CF205">
        <v>-1.1399999999999999</v>
      </c>
      <c r="CG205">
        <v>0</v>
      </c>
      <c r="CH205">
        <v>-1.4</v>
      </c>
      <c r="CI205">
        <v>0</v>
      </c>
      <c r="CJ205">
        <v>-3.8</v>
      </c>
      <c r="CK205">
        <v>69</v>
      </c>
      <c r="CL205">
        <v>-0.28000000000000003</v>
      </c>
      <c r="CM205">
        <v>64</v>
      </c>
      <c r="CN205">
        <v>-0.28000000000000003</v>
      </c>
      <c r="CO205">
        <v>63</v>
      </c>
      <c r="CP205">
        <v>-3</v>
      </c>
      <c r="CQ205">
        <v>53</v>
      </c>
      <c r="CR205">
        <v>0</v>
      </c>
      <c r="CS205">
        <v>0</v>
      </c>
      <c r="CT205">
        <v>5.4</v>
      </c>
      <c r="CU205">
        <v>50</v>
      </c>
      <c r="CV205">
        <v>0.03</v>
      </c>
      <c r="CW205">
        <v>40</v>
      </c>
      <c r="CX205" t="s">
        <v>6383</v>
      </c>
    </row>
    <row r="206" spans="1:102" x14ac:dyDescent="0.3">
      <c r="A206" t="str">
        <f>HYPERLINK("https://webapp.icbf.com/v2/app/bull-search/view/1495300850","FR4345")</f>
        <v>FR4345</v>
      </c>
      <c r="B206" t="s">
        <v>6546</v>
      </c>
      <c r="C206" t="s">
        <v>6547</v>
      </c>
      <c r="D206" s="1">
        <v>42474</v>
      </c>
      <c r="E206" t="s">
        <v>92</v>
      </c>
      <c r="F206">
        <v>100</v>
      </c>
      <c r="G206" t="s">
        <v>435</v>
      </c>
      <c r="H206">
        <v>220.19</v>
      </c>
      <c r="I206">
        <v>70</v>
      </c>
      <c r="J206">
        <v>81.569999999999993</v>
      </c>
      <c r="K206">
        <v>87</v>
      </c>
      <c r="L206">
        <v>96.02</v>
      </c>
      <c r="M206">
        <v>67</v>
      </c>
      <c r="N206">
        <v>34.659999999999997</v>
      </c>
      <c r="O206">
        <v>84</v>
      </c>
      <c r="P206">
        <v>-6.19</v>
      </c>
      <c r="Q206">
        <v>41</v>
      </c>
      <c r="R206">
        <v>31.82</v>
      </c>
      <c r="S206">
        <v>62</v>
      </c>
      <c r="T206">
        <v>-16.739999999999998</v>
      </c>
      <c r="U206">
        <v>35</v>
      </c>
      <c r="V206">
        <v>-0.95</v>
      </c>
      <c r="W206">
        <v>53</v>
      </c>
      <c r="X206" t="s">
        <v>102</v>
      </c>
      <c r="Y206" t="s">
        <v>2261</v>
      </c>
      <c r="Z206" t="s">
        <v>96</v>
      </c>
      <c r="AA206" t="s">
        <v>6548</v>
      </c>
      <c r="AB206" t="s">
        <v>6549</v>
      </c>
      <c r="AC206">
        <v>0</v>
      </c>
      <c r="AD206">
        <v>0</v>
      </c>
      <c r="AE206">
        <v>87</v>
      </c>
      <c r="AF206">
        <v>348.36</v>
      </c>
      <c r="AG206">
        <v>9.4</v>
      </c>
      <c r="AH206">
        <v>15.88</v>
      </c>
      <c r="AI206">
        <v>-7.0000000000000007E-2</v>
      </c>
      <c r="AJ206">
        <v>7.0000000000000007E-2</v>
      </c>
      <c r="AK206">
        <v>67</v>
      </c>
      <c r="AL206">
        <v>0</v>
      </c>
      <c r="AM206">
        <v>0</v>
      </c>
      <c r="AN206">
        <v>-3.46</v>
      </c>
      <c r="AO206">
        <v>4.22</v>
      </c>
      <c r="AP206">
        <v>629</v>
      </c>
      <c r="AQ206">
        <v>1</v>
      </c>
      <c r="AR206">
        <v>6.09</v>
      </c>
      <c r="AS206">
        <v>89</v>
      </c>
      <c r="AT206">
        <v>2.4300000000000002</v>
      </c>
      <c r="AU206">
        <v>93</v>
      </c>
      <c r="AV206">
        <v>-3.06</v>
      </c>
      <c r="AW206">
        <v>98</v>
      </c>
      <c r="AX206">
        <v>0.49</v>
      </c>
      <c r="AY206">
        <v>89</v>
      </c>
      <c r="AZ206">
        <v>5.42</v>
      </c>
      <c r="BA206">
        <v>34</v>
      </c>
      <c r="BB206">
        <v>4.8099999999999996</v>
      </c>
      <c r="BC206">
        <v>34</v>
      </c>
      <c r="BD206">
        <v>-0.1</v>
      </c>
      <c r="BE206">
        <v>-0.15</v>
      </c>
      <c r="BF206">
        <v>-0.28000000000000003</v>
      </c>
      <c r="BG206">
        <v>74</v>
      </c>
      <c r="BH206">
        <v>-0.16</v>
      </c>
      <c r="BI206">
        <v>-15.43</v>
      </c>
      <c r="BJ206">
        <v>0</v>
      </c>
      <c r="BK206">
        <v>0</v>
      </c>
      <c r="BL206">
        <v>1.71</v>
      </c>
      <c r="BM206">
        <v>0.61</v>
      </c>
      <c r="BN206">
        <v>0.81</v>
      </c>
      <c r="BO206">
        <v>0.69</v>
      </c>
      <c r="BP206">
        <v>-0.42</v>
      </c>
      <c r="BQ206">
        <v>2.2799999999999998</v>
      </c>
      <c r="BR206">
        <v>0.94</v>
      </c>
      <c r="BS206">
        <v>1.79</v>
      </c>
      <c r="BT206">
        <v>0.03</v>
      </c>
      <c r="BU206">
        <v>3.55</v>
      </c>
      <c r="BV206">
        <v>2.38</v>
      </c>
      <c r="BW206">
        <v>1.47</v>
      </c>
      <c r="BX206">
        <v>3.2</v>
      </c>
      <c r="BY206">
        <v>0.42</v>
      </c>
      <c r="BZ206">
        <v>-0.23</v>
      </c>
      <c r="CA206">
        <v>2.6</v>
      </c>
      <c r="CB206">
        <v>2.46</v>
      </c>
      <c r="CC206">
        <v>0.9</v>
      </c>
      <c r="CD206">
        <v>0.41</v>
      </c>
      <c r="CE206">
        <v>1.17</v>
      </c>
      <c r="CF206">
        <v>1.94</v>
      </c>
      <c r="CG206">
        <v>0</v>
      </c>
      <c r="CH206">
        <v>1.23</v>
      </c>
      <c r="CI206">
        <v>0</v>
      </c>
      <c r="CJ206">
        <v>0.6</v>
      </c>
      <c r="CK206">
        <v>45</v>
      </c>
      <c r="CL206">
        <v>-1.68</v>
      </c>
      <c r="CM206">
        <v>35</v>
      </c>
      <c r="CN206">
        <v>-0.82</v>
      </c>
      <c r="CO206">
        <v>35</v>
      </c>
      <c r="CP206">
        <v>4.8</v>
      </c>
      <c r="CQ206">
        <v>37</v>
      </c>
      <c r="CR206">
        <v>0</v>
      </c>
      <c r="CS206">
        <v>0</v>
      </c>
      <c r="CT206">
        <v>36.4</v>
      </c>
      <c r="CU206">
        <v>35</v>
      </c>
      <c r="CV206">
        <v>0.3</v>
      </c>
      <c r="CW206">
        <v>34</v>
      </c>
      <c r="CX206" t="s">
        <v>6247</v>
      </c>
    </row>
    <row r="207" spans="1:102" x14ac:dyDescent="0.3">
      <c r="A207" t="str">
        <f>HYPERLINK("https://webapp.icbf.com/v2/app/bull-search/view/537517670","LFM")</f>
        <v>LFM</v>
      </c>
      <c r="B207" t="s">
        <v>6936</v>
      </c>
      <c r="C207" t="s">
        <v>3096</v>
      </c>
      <c r="D207" s="1">
        <v>39365</v>
      </c>
      <c r="E207" t="s">
        <v>92</v>
      </c>
      <c r="F207">
        <v>97</v>
      </c>
      <c r="G207" t="s">
        <v>93</v>
      </c>
      <c r="H207">
        <v>220.19</v>
      </c>
      <c r="I207">
        <v>98</v>
      </c>
      <c r="J207">
        <v>81.03</v>
      </c>
      <c r="K207">
        <v>99</v>
      </c>
      <c r="L207">
        <v>92.2</v>
      </c>
      <c r="M207">
        <v>96</v>
      </c>
      <c r="N207">
        <v>33.74</v>
      </c>
      <c r="O207">
        <v>99</v>
      </c>
      <c r="P207">
        <v>-6.51</v>
      </c>
      <c r="Q207">
        <v>99</v>
      </c>
      <c r="R207">
        <v>4.74</v>
      </c>
      <c r="S207">
        <v>96</v>
      </c>
      <c r="T207">
        <v>7.24</v>
      </c>
      <c r="U207">
        <v>99</v>
      </c>
      <c r="V207">
        <v>7.75</v>
      </c>
      <c r="W207">
        <v>95</v>
      </c>
      <c r="X207" t="s">
        <v>94</v>
      </c>
      <c r="Y207" t="s">
        <v>1513</v>
      </c>
      <c r="Z207" t="s">
        <v>96</v>
      </c>
      <c r="AA207" t="s">
        <v>316</v>
      </c>
      <c r="AB207" t="s">
        <v>6937</v>
      </c>
      <c r="AC207">
        <v>2500</v>
      </c>
      <c r="AD207">
        <v>950</v>
      </c>
      <c r="AE207">
        <v>99</v>
      </c>
      <c r="AF207">
        <v>464.9</v>
      </c>
      <c r="AG207">
        <v>12.54</v>
      </c>
      <c r="AH207">
        <v>16.46</v>
      </c>
      <c r="AI207">
        <v>-0.09</v>
      </c>
      <c r="AJ207">
        <v>0.01</v>
      </c>
      <c r="AK207">
        <v>96</v>
      </c>
      <c r="AL207">
        <v>2985</v>
      </c>
      <c r="AM207">
        <v>1254</v>
      </c>
      <c r="AN207">
        <v>-4.4400000000000004</v>
      </c>
      <c r="AO207">
        <v>2.92</v>
      </c>
      <c r="AP207">
        <v>4486</v>
      </c>
      <c r="AQ207">
        <v>42</v>
      </c>
      <c r="AR207">
        <v>4.63</v>
      </c>
      <c r="AS207">
        <v>98</v>
      </c>
      <c r="AT207">
        <v>1.86</v>
      </c>
      <c r="AU207">
        <v>99</v>
      </c>
      <c r="AV207">
        <v>-2.25</v>
      </c>
      <c r="AW207">
        <v>99</v>
      </c>
      <c r="AX207">
        <v>-0.55000000000000004</v>
      </c>
      <c r="AY207">
        <v>99</v>
      </c>
      <c r="AZ207">
        <v>6.7</v>
      </c>
      <c r="BA207">
        <v>96</v>
      </c>
      <c r="BB207">
        <v>5.21</v>
      </c>
      <c r="BC207">
        <v>97</v>
      </c>
      <c r="BD207">
        <v>-0.03</v>
      </c>
      <c r="BE207">
        <v>-0.01</v>
      </c>
      <c r="BF207">
        <v>-0.04</v>
      </c>
      <c r="BG207">
        <v>99</v>
      </c>
      <c r="BH207">
        <v>0.17</v>
      </c>
      <c r="BI207">
        <v>-5.33</v>
      </c>
      <c r="BJ207">
        <v>174</v>
      </c>
      <c r="BK207">
        <v>81</v>
      </c>
      <c r="BL207">
        <v>-0.36</v>
      </c>
      <c r="BM207">
        <v>0.78</v>
      </c>
      <c r="BN207">
        <v>-0.9</v>
      </c>
      <c r="BO207">
        <v>-1.21</v>
      </c>
      <c r="BP207">
        <v>2.3199999999999998</v>
      </c>
      <c r="BQ207">
        <v>-0.77</v>
      </c>
      <c r="BR207">
        <v>-0.93</v>
      </c>
      <c r="BS207">
        <v>-0.64</v>
      </c>
      <c r="BT207">
        <v>0.03</v>
      </c>
      <c r="BU207">
        <v>-0.25</v>
      </c>
      <c r="BV207">
        <v>-0.49</v>
      </c>
      <c r="BW207">
        <v>-0.34</v>
      </c>
      <c r="BX207">
        <v>1.1299999999999999</v>
      </c>
      <c r="BY207">
        <v>0.45</v>
      </c>
      <c r="BZ207">
        <v>-3.01</v>
      </c>
      <c r="CA207">
        <v>-0.08</v>
      </c>
      <c r="CB207">
        <v>-0.22</v>
      </c>
      <c r="CC207">
        <v>0.12</v>
      </c>
      <c r="CD207">
        <v>1.58</v>
      </c>
      <c r="CE207">
        <v>-0.99</v>
      </c>
      <c r="CF207">
        <v>-0.61</v>
      </c>
      <c r="CG207">
        <v>0</v>
      </c>
      <c r="CH207">
        <v>0.11</v>
      </c>
      <c r="CI207">
        <v>0</v>
      </c>
      <c r="CJ207">
        <v>-1.8</v>
      </c>
      <c r="CK207">
        <v>99</v>
      </c>
      <c r="CL207">
        <v>-0.53</v>
      </c>
      <c r="CM207">
        <v>99</v>
      </c>
      <c r="CN207">
        <v>-0.18</v>
      </c>
      <c r="CO207">
        <v>99</v>
      </c>
      <c r="CP207">
        <v>-4.4000000000000004</v>
      </c>
      <c r="CQ207">
        <v>99</v>
      </c>
      <c r="CR207">
        <v>0</v>
      </c>
      <c r="CS207">
        <v>0</v>
      </c>
      <c r="CT207">
        <v>4</v>
      </c>
      <c r="CU207">
        <v>99</v>
      </c>
      <c r="CV207">
        <v>0.21</v>
      </c>
      <c r="CW207">
        <v>50</v>
      </c>
      <c r="CX207" t="s">
        <v>753</v>
      </c>
    </row>
    <row r="208" spans="1:102" x14ac:dyDescent="0.3">
      <c r="A208" t="str">
        <f>HYPERLINK("https://webapp.icbf.com/v2/app/bull-search/view/1140829173","FR2040")</f>
        <v>FR2040</v>
      </c>
      <c r="B208" t="s">
        <v>13618</v>
      </c>
      <c r="C208" t="s">
        <v>13619</v>
      </c>
      <c r="D208" s="1">
        <v>41679</v>
      </c>
      <c r="E208" t="s">
        <v>92</v>
      </c>
      <c r="F208">
        <v>72</v>
      </c>
      <c r="G208" t="s">
        <v>93</v>
      </c>
      <c r="H208">
        <v>220.19</v>
      </c>
      <c r="I208">
        <v>89</v>
      </c>
      <c r="J208">
        <v>65.13</v>
      </c>
      <c r="K208">
        <v>98</v>
      </c>
      <c r="L208">
        <v>114.79</v>
      </c>
      <c r="M208">
        <v>80</v>
      </c>
      <c r="N208">
        <v>44.54</v>
      </c>
      <c r="O208">
        <v>92</v>
      </c>
      <c r="P208">
        <v>-24.82</v>
      </c>
      <c r="Q208">
        <v>96</v>
      </c>
      <c r="R208">
        <v>7.49</v>
      </c>
      <c r="S208">
        <v>82</v>
      </c>
      <c r="T208">
        <v>13.53</v>
      </c>
      <c r="U208">
        <v>92</v>
      </c>
      <c r="V208">
        <v>-0.47</v>
      </c>
      <c r="W208">
        <v>76</v>
      </c>
      <c r="X208" t="s">
        <v>94</v>
      </c>
      <c r="Y208" t="s">
        <v>416</v>
      </c>
      <c r="Z208" t="s">
        <v>96</v>
      </c>
      <c r="AA208" t="s">
        <v>2172</v>
      </c>
      <c r="AB208" t="s">
        <v>13172</v>
      </c>
      <c r="AC208">
        <v>390</v>
      </c>
      <c r="AD208">
        <v>138</v>
      </c>
      <c r="AE208">
        <v>98</v>
      </c>
      <c r="AF208">
        <v>-34.04</v>
      </c>
      <c r="AG208">
        <v>9.6</v>
      </c>
      <c r="AH208">
        <v>7.16</v>
      </c>
      <c r="AI208">
        <v>0.19</v>
      </c>
      <c r="AJ208">
        <v>0.15</v>
      </c>
      <c r="AK208">
        <v>80</v>
      </c>
      <c r="AL208">
        <v>161</v>
      </c>
      <c r="AM208">
        <v>54</v>
      </c>
      <c r="AN208">
        <v>-5.85</v>
      </c>
      <c r="AO208">
        <v>3.31</v>
      </c>
      <c r="AP208">
        <v>1081</v>
      </c>
      <c r="AQ208">
        <v>9</v>
      </c>
      <c r="AR208">
        <v>5.68</v>
      </c>
      <c r="AS208">
        <v>91</v>
      </c>
      <c r="AT208">
        <v>2.4</v>
      </c>
      <c r="AU208">
        <v>96</v>
      </c>
      <c r="AV208">
        <v>-4.26</v>
      </c>
      <c r="AW208">
        <v>99</v>
      </c>
      <c r="AX208">
        <v>-0.28999999999999998</v>
      </c>
      <c r="AY208">
        <v>95</v>
      </c>
      <c r="AZ208">
        <v>6.24</v>
      </c>
      <c r="BA208">
        <v>83</v>
      </c>
      <c r="BB208">
        <v>5.14</v>
      </c>
      <c r="BC208">
        <v>61</v>
      </c>
      <c r="BD208">
        <v>-0.05</v>
      </c>
      <c r="BE208">
        <v>-0.01</v>
      </c>
      <c r="BF208">
        <v>-7.0000000000000007E-2</v>
      </c>
      <c r="BG208">
        <v>94</v>
      </c>
      <c r="BH208">
        <v>-0.09</v>
      </c>
      <c r="BI208">
        <v>-8.91</v>
      </c>
      <c r="BJ208">
        <v>6</v>
      </c>
      <c r="BK208">
        <v>3</v>
      </c>
      <c r="BL208">
        <v>-1.08</v>
      </c>
      <c r="BM208">
        <v>-0.6</v>
      </c>
      <c r="BN208">
        <v>-0.91</v>
      </c>
      <c r="BO208">
        <v>-0.84</v>
      </c>
      <c r="BP208">
        <v>0.99</v>
      </c>
      <c r="BQ208">
        <v>-1.42</v>
      </c>
      <c r="BR208">
        <v>-0.03</v>
      </c>
      <c r="BS208">
        <v>0.33</v>
      </c>
      <c r="BT208">
        <v>-1.04</v>
      </c>
      <c r="BU208">
        <v>-1.47</v>
      </c>
      <c r="BV208">
        <v>-0.26</v>
      </c>
      <c r="BW208">
        <v>-0.56999999999999995</v>
      </c>
      <c r="BX208">
        <v>-0.89</v>
      </c>
      <c r="BY208">
        <v>-0.17</v>
      </c>
      <c r="BZ208">
        <v>1.59</v>
      </c>
      <c r="CA208">
        <v>-0.53</v>
      </c>
      <c r="CB208">
        <v>-0.93</v>
      </c>
      <c r="CC208">
        <v>0.39</v>
      </c>
      <c r="CD208">
        <v>0.1</v>
      </c>
      <c r="CE208">
        <v>-0.51</v>
      </c>
      <c r="CF208">
        <v>-1.66</v>
      </c>
      <c r="CG208">
        <v>0</v>
      </c>
      <c r="CH208">
        <v>-0.5</v>
      </c>
      <c r="CI208">
        <v>0</v>
      </c>
      <c r="CJ208">
        <v>-10.8</v>
      </c>
      <c r="CK208">
        <v>98</v>
      </c>
      <c r="CL208">
        <v>-0.85</v>
      </c>
      <c r="CM208">
        <v>97</v>
      </c>
      <c r="CN208">
        <v>-0.02</v>
      </c>
      <c r="CO208">
        <v>97</v>
      </c>
      <c r="CP208">
        <v>-9.1999999999999993</v>
      </c>
      <c r="CQ208">
        <v>80</v>
      </c>
      <c r="CR208">
        <v>0</v>
      </c>
      <c r="CS208">
        <v>0</v>
      </c>
      <c r="CT208">
        <v>-4.5</v>
      </c>
      <c r="CU208">
        <v>92</v>
      </c>
      <c r="CV208">
        <v>0.09</v>
      </c>
      <c r="CW208">
        <v>47</v>
      </c>
      <c r="CX208" t="s">
        <v>4059</v>
      </c>
    </row>
    <row r="209" spans="1:102" x14ac:dyDescent="0.3">
      <c r="A209" t="str">
        <f>HYPERLINK("https://webapp.icbf.com/v2/app/bull-search/view/1053132246","FZC")</f>
        <v>FZC</v>
      </c>
      <c r="B209" t="s">
        <v>14525</v>
      </c>
      <c r="C209" t="s">
        <v>13924</v>
      </c>
      <c r="D209" s="1">
        <v>41346</v>
      </c>
      <c r="E209" t="s">
        <v>92</v>
      </c>
      <c r="F209">
        <v>91</v>
      </c>
      <c r="G209" t="s">
        <v>93</v>
      </c>
      <c r="H209">
        <v>219.91</v>
      </c>
      <c r="I209">
        <v>92</v>
      </c>
      <c r="J209">
        <v>65.709999999999994</v>
      </c>
      <c r="K209">
        <v>99</v>
      </c>
      <c r="L209">
        <v>109.89</v>
      </c>
      <c r="M209">
        <v>86</v>
      </c>
      <c r="N209">
        <v>37.35</v>
      </c>
      <c r="O209">
        <v>95</v>
      </c>
      <c r="P209">
        <v>-6.86</v>
      </c>
      <c r="Q209">
        <v>98</v>
      </c>
      <c r="R209">
        <v>13.12</v>
      </c>
      <c r="S209">
        <v>87</v>
      </c>
      <c r="T209">
        <v>0.28000000000000003</v>
      </c>
      <c r="U209">
        <v>92</v>
      </c>
      <c r="V209">
        <v>0.42</v>
      </c>
      <c r="W209">
        <v>80</v>
      </c>
      <c r="X209" t="s">
        <v>102</v>
      </c>
      <c r="Y209" t="s">
        <v>1976</v>
      </c>
      <c r="Z209" t="s">
        <v>96</v>
      </c>
      <c r="AA209" t="s">
        <v>2041</v>
      </c>
      <c r="AB209" t="s">
        <v>13090</v>
      </c>
      <c r="AC209">
        <v>719</v>
      </c>
      <c r="AD209">
        <v>240</v>
      </c>
      <c r="AE209">
        <v>99</v>
      </c>
      <c r="AF209">
        <v>174.04</v>
      </c>
      <c r="AG209">
        <v>7.46</v>
      </c>
      <c r="AH209">
        <v>11.2</v>
      </c>
      <c r="AI209">
        <v>0.01</v>
      </c>
      <c r="AJ209">
        <v>0.09</v>
      </c>
      <c r="AK209">
        <v>86</v>
      </c>
      <c r="AL209">
        <v>601</v>
      </c>
      <c r="AM209">
        <v>226</v>
      </c>
      <c r="AN209">
        <v>-5.47</v>
      </c>
      <c r="AO209">
        <v>3.3</v>
      </c>
      <c r="AP209">
        <v>2588</v>
      </c>
      <c r="AQ209">
        <v>14</v>
      </c>
      <c r="AR209">
        <v>7.3</v>
      </c>
      <c r="AS209">
        <v>95</v>
      </c>
      <c r="AT209">
        <v>2.67</v>
      </c>
      <c r="AU209">
        <v>98</v>
      </c>
      <c r="AV209">
        <v>-3.47</v>
      </c>
      <c r="AW209">
        <v>99</v>
      </c>
      <c r="AX209">
        <v>-0.68</v>
      </c>
      <c r="AY209">
        <v>98</v>
      </c>
      <c r="AZ209">
        <v>5.69</v>
      </c>
      <c r="BA209">
        <v>90</v>
      </c>
      <c r="BB209">
        <v>4.51</v>
      </c>
      <c r="BC209">
        <v>78</v>
      </c>
      <c r="BD209">
        <v>-0.04</v>
      </c>
      <c r="BE209">
        <v>-0.05</v>
      </c>
      <c r="BF209">
        <v>-0.14000000000000001</v>
      </c>
      <c r="BG209">
        <v>97</v>
      </c>
      <c r="BH209">
        <v>-0.13</v>
      </c>
      <c r="BI209">
        <v>-16.399999999999999</v>
      </c>
      <c r="BJ209">
        <v>37</v>
      </c>
      <c r="BK209">
        <v>13</v>
      </c>
      <c r="BL209">
        <v>-0.81</v>
      </c>
      <c r="BM209">
        <v>0.18</v>
      </c>
      <c r="BN209">
        <v>-1.1000000000000001</v>
      </c>
      <c r="BO209">
        <v>-0.88</v>
      </c>
      <c r="BP209">
        <v>0.47</v>
      </c>
      <c r="BQ209">
        <v>-1.22</v>
      </c>
      <c r="BR209">
        <v>-0.53</v>
      </c>
      <c r="BS209">
        <v>-0.63</v>
      </c>
      <c r="BT209">
        <v>0</v>
      </c>
      <c r="BU209">
        <v>0.74</v>
      </c>
      <c r="BV209">
        <v>-0.27</v>
      </c>
      <c r="BW209">
        <v>0.75</v>
      </c>
      <c r="BX209">
        <v>1.39</v>
      </c>
      <c r="BY209">
        <v>1.28</v>
      </c>
      <c r="BZ209">
        <v>-2.82</v>
      </c>
      <c r="CA209">
        <v>-7.0000000000000007E-2</v>
      </c>
      <c r="CB209">
        <v>0.41</v>
      </c>
      <c r="CC209">
        <v>-0.9</v>
      </c>
      <c r="CD209">
        <v>0.43</v>
      </c>
      <c r="CE209">
        <v>-0.93</v>
      </c>
      <c r="CF209">
        <v>-0.82</v>
      </c>
      <c r="CG209">
        <v>0</v>
      </c>
      <c r="CH209">
        <v>1.8</v>
      </c>
      <c r="CI209">
        <v>0</v>
      </c>
      <c r="CJ209">
        <v>-3.6</v>
      </c>
      <c r="CK209">
        <v>99</v>
      </c>
      <c r="CL209">
        <v>-0.59</v>
      </c>
      <c r="CM209">
        <v>99</v>
      </c>
      <c r="CN209">
        <v>-0.33</v>
      </c>
      <c r="CO209">
        <v>98</v>
      </c>
      <c r="CP209">
        <v>2.2000000000000002</v>
      </c>
      <c r="CQ209">
        <v>88</v>
      </c>
      <c r="CR209">
        <v>0</v>
      </c>
      <c r="CS209">
        <v>0</v>
      </c>
      <c r="CT209">
        <v>13.4</v>
      </c>
      <c r="CU209">
        <v>92</v>
      </c>
      <c r="CV209">
        <v>-0.02</v>
      </c>
      <c r="CW209">
        <v>49</v>
      </c>
      <c r="CX209" t="s">
        <v>4532</v>
      </c>
    </row>
    <row r="210" spans="1:102" x14ac:dyDescent="0.3">
      <c r="A210" t="str">
        <f>HYPERLINK("https://webapp.icbf.com/v2/app/bull-search/view/720511208","JHC")</f>
        <v>JHC</v>
      </c>
      <c r="B210" t="s">
        <v>1926</v>
      </c>
      <c r="C210" t="s">
        <v>1927</v>
      </c>
      <c r="D210" s="1">
        <v>39301</v>
      </c>
      <c r="E210" t="s">
        <v>227</v>
      </c>
      <c r="F210">
        <v>0</v>
      </c>
      <c r="G210" t="s">
        <v>93</v>
      </c>
      <c r="H210">
        <v>219.78</v>
      </c>
      <c r="I210">
        <v>91</v>
      </c>
      <c r="J210">
        <v>61.39</v>
      </c>
      <c r="K210">
        <v>98</v>
      </c>
      <c r="L210">
        <v>83.96</v>
      </c>
      <c r="M210">
        <v>86</v>
      </c>
      <c r="N210">
        <v>49.58</v>
      </c>
      <c r="O210">
        <v>91</v>
      </c>
      <c r="P210">
        <v>-46.13</v>
      </c>
      <c r="Q210">
        <v>92</v>
      </c>
      <c r="R210">
        <v>11.71</v>
      </c>
      <c r="S210">
        <v>83</v>
      </c>
      <c r="T210">
        <v>55.04</v>
      </c>
      <c r="U210">
        <v>91</v>
      </c>
      <c r="V210">
        <v>4.2300000000000004</v>
      </c>
      <c r="W210">
        <v>81</v>
      </c>
      <c r="X210" t="s">
        <v>276</v>
      </c>
      <c r="Y210" t="s">
        <v>329</v>
      </c>
      <c r="Z210">
        <v>0</v>
      </c>
      <c r="AA210" t="s">
        <v>1928</v>
      </c>
      <c r="AB210" t="s">
        <v>1929</v>
      </c>
      <c r="AC210">
        <v>163</v>
      </c>
      <c r="AD210">
        <v>71</v>
      </c>
      <c r="AE210">
        <v>98</v>
      </c>
      <c r="AF210">
        <v>-397.64</v>
      </c>
      <c r="AG210">
        <v>13.92</v>
      </c>
      <c r="AH210">
        <v>-0.56999999999999995</v>
      </c>
      <c r="AI210">
        <v>0.55000000000000004</v>
      </c>
      <c r="AJ210">
        <v>0.24</v>
      </c>
      <c r="AK210">
        <v>86</v>
      </c>
      <c r="AL210">
        <v>157</v>
      </c>
      <c r="AM210">
        <v>77</v>
      </c>
      <c r="AN210">
        <v>-2.68</v>
      </c>
      <c r="AO210">
        <v>4.04</v>
      </c>
      <c r="AP210">
        <v>474</v>
      </c>
      <c r="AQ210">
        <v>2</v>
      </c>
      <c r="AR210">
        <v>2.78</v>
      </c>
      <c r="AS210">
        <v>91</v>
      </c>
      <c r="AT210">
        <v>1.25</v>
      </c>
      <c r="AU210">
        <v>92</v>
      </c>
      <c r="AV210">
        <v>-3.8</v>
      </c>
      <c r="AW210">
        <v>98</v>
      </c>
      <c r="AX210">
        <v>-0.24</v>
      </c>
      <c r="AY210">
        <v>88</v>
      </c>
      <c r="AZ210">
        <v>7.65</v>
      </c>
      <c r="BA210">
        <v>76</v>
      </c>
      <c r="BB210">
        <v>5.26</v>
      </c>
      <c r="BC210">
        <v>71</v>
      </c>
      <c r="BD210">
        <v>-0.08</v>
      </c>
      <c r="BE210">
        <v>-0.04</v>
      </c>
      <c r="BF210">
        <v>-0.06</v>
      </c>
      <c r="BG210">
        <v>92</v>
      </c>
      <c r="BH210">
        <v>0.04</v>
      </c>
      <c r="BI210">
        <v>-9.0299999999999994</v>
      </c>
      <c r="BJ210">
        <v>6</v>
      </c>
      <c r="BK210">
        <v>6</v>
      </c>
      <c r="BL210">
        <v>-3.57</v>
      </c>
      <c r="BM210">
        <v>-1.06</v>
      </c>
      <c r="BN210">
        <v>-1.08</v>
      </c>
      <c r="BO210">
        <v>0.21</v>
      </c>
      <c r="BP210">
        <v>-0.53</v>
      </c>
      <c r="BQ210">
        <v>-5.55</v>
      </c>
      <c r="BR210">
        <v>2.7</v>
      </c>
      <c r="BS210">
        <v>6.05</v>
      </c>
      <c r="BT210">
        <v>-1.1100000000000001</v>
      </c>
      <c r="BU210">
        <v>-1.6</v>
      </c>
      <c r="BV210">
        <v>-0.93</v>
      </c>
      <c r="BW210">
        <v>-3.32</v>
      </c>
      <c r="BX210">
        <v>-3.97</v>
      </c>
      <c r="BY210">
        <v>-0.36</v>
      </c>
      <c r="BZ210">
        <v>-0.64</v>
      </c>
      <c r="CA210">
        <v>0.19</v>
      </c>
      <c r="CB210">
        <v>-0.91</v>
      </c>
      <c r="CC210">
        <v>2.46</v>
      </c>
      <c r="CD210">
        <v>-0.24</v>
      </c>
      <c r="CE210">
        <v>0.02</v>
      </c>
      <c r="CF210">
        <v>-3.81</v>
      </c>
      <c r="CG210">
        <v>0</v>
      </c>
      <c r="CH210">
        <v>-1.64</v>
      </c>
      <c r="CI210">
        <v>0</v>
      </c>
      <c r="CJ210">
        <v>-24.8</v>
      </c>
      <c r="CK210">
        <v>94</v>
      </c>
      <c r="CL210">
        <v>-0.74</v>
      </c>
      <c r="CM210">
        <v>92</v>
      </c>
      <c r="CN210">
        <v>-0.17</v>
      </c>
      <c r="CO210">
        <v>91</v>
      </c>
      <c r="CP210">
        <v>-41.7</v>
      </c>
      <c r="CQ210">
        <v>81</v>
      </c>
      <c r="CR210">
        <v>0</v>
      </c>
      <c r="CS210">
        <v>0</v>
      </c>
      <c r="CT210">
        <v>-60.6</v>
      </c>
      <c r="CU210">
        <v>91</v>
      </c>
      <c r="CV210">
        <v>-0.32</v>
      </c>
      <c r="CW210">
        <v>45</v>
      </c>
      <c r="CX210" t="s">
        <v>1930</v>
      </c>
    </row>
    <row r="211" spans="1:102" x14ac:dyDescent="0.3">
      <c r="A211" t="str">
        <f>HYPERLINK("https://webapp.icbf.com/v2/app/bull-search/view/910797461","LKL")</f>
        <v>LKL</v>
      </c>
      <c r="B211" t="s">
        <v>5613</v>
      </c>
      <c r="C211" t="s">
        <v>5614</v>
      </c>
      <c r="D211" s="1">
        <v>40392</v>
      </c>
      <c r="E211" t="s">
        <v>92</v>
      </c>
      <c r="F211">
        <v>56</v>
      </c>
      <c r="G211" t="s">
        <v>93</v>
      </c>
      <c r="H211">
        <v>219.6</v>
      </c>
      <c r="I211">
        <v>86</v>
      </c>
      <c r="J211">
        <v>79.02</v>
      </c>
      <c r="K211">
        <v>97</v>
      </c>
      <c r="L211">
        <v>104.78</v>
      </c>
      <c r="M211">
        <v>76</v>
      </c>
      <c r="N211">
        <v>30.26</v>
      </c>
      <c r="O211">
        <v>85</v>
      </c>
      <c r="P211">
        <v>-3.69</v>
      </c>
      <c r="Q211">
        <v>90</v>
      </c>
      <c r="R211">
        <v>-1.55</v>
      </c>
      <c r="S211">
        <v>74</v>
      </c>
      <c r="T211">
        <v>6.06</v>
      </c>
      <c r="U211">
        <v>91</v>
      </c>
      <c r="V211">
        <v>4.72</v>
      </c>
      <c r="W211">
        <v>71</v>
      </c>
      <c r="X211" t="s">
        <v>276</v>
      </c>
      <c r="Y211" t="s">
        <v>1923</v>
      </c>
      <c r="Z211" t="s">
        <v>330</v>
      </c>
      <c r="AA211" t="s">
        <v>5615</v>
      </c>
      <c r="AB211" t="s">
        <v>144</v>
      </c>
      <c r="AC211">
        <v>106</v>
      </c>
      <c r="AD211">
        <v>34</v>
      </c>
      <c r="AE211">
        <v>97</v>
      </c>
      <c r="AF211">
        <v>284.04000000000002</v>
      </c>
      <c r="AG211">
        <v>11.61</v>
      </c>
      <c r="AH211">
        <v>13.68</v>
      </c>
      <c r="AI211">
        <v>0.01</v>
      </c>
      <c r="AJ211">
        <v>7.0000000000000007E-2</v>
      </c>
      <c r="AK211">
        <v>76</v>
      </c>
      <c r="AL211">
        <v>121</v>
      </c>
      <c r="AM211">
        <v>40</v>
      </c>
      <c r="AN211">
        <v>-5.39</v>
      </c>
      <c r="AO211">
        <v>2.97</v>
      </c>
      <c r="AP211">
        <v>188</v>
      </c>
      <c r="AQ211">
        <v>1</v>
      </c>
      <c r="AR211">
        <v>4.3099999999999996</v>
      </c>
      <c r="AS211">
        <v>69</v>
      </c>
      <c r="AT211">
        <v>1.69</v>
      </c>
      <c r="AU211">
        <v>87</v>
      </c>
      <c r="AV211">
        <v>-1.67</v>
      </c>
      <c r="AW211">
        <v>97</v>
      </c>
      <c r="AX211">
        <v>-0.84</v>
      </c>
      <c r="AY211">
        <v>83</v>
      </c>
      <c r="AZ211">
        <v>7.76</v>
      </c>
      <c r="BA211">
        <v>63</v>
      </c>
      <c r="BB211">
        <v>5.12</v>
      </c>
      <c r="BC211">
        <v>62</v>
      </c>
      <c r="BD211">
        <v>-0.02</v>
      </c>
      <c r="BE211">
        <v>0.01</v>
      </c>
      <c r="BF211">
        <v>0.05</v>
      </c>
      <c r="BG211">
        <v>88</v>
      </c>
      <c r="BH211">
        <v>0.1</v>
      </c>
      <c r="BI211">
        <v>-3.66</v>
      </c>
      <c r="BJ211">
        <v>0</v>
      </c>
      <c r="BK211">
        <v>0</v>
      </c>
      <c r="BL211">
        <v>-1.1499999999999999</v>
      </c>
      <c r="BM211">
        <v>0.37</v>
      </c>
      <c r="BN211">
        <v>-1.19</v>
      </c>
      <c r="BO211">
        <v>-1.06</v>
      </c>
      <c r="BP211">
        <v>0.99</v>
      </c>
      <c r="BQ211">
        <v>-1.83</v>
      </c>
      <c r="BR211">
        <v>1.1299999999999999</v>
      </c>
      <c r="BS211">
        <v>-0.84</v>
      </c>
      <c r="BT211">
        <v>-0.89</v>
      </c>
      <c r="BU211">
        <v>0.41</v>
      </c>
      <c r="BV211">
        <v>-0.87</v>
      </c>
      <c r="BW211">
        <v>-1.18</v>
      </c>
      <c r="BX211">
        <v>-0.47</v>
      </c>
      <c r="BY211">
        <v>-2.2200000000000002</v>
      </c>
      <c r="BZ211">
        <v>-2.2999999999999998</v>
      </c>
      <c r="CA211">
        <v>-0.74</v>
      </c>
      <c r="CB211">
        <v>-0.54</v>
      </c>
      <c r="CC211">
        <v>-0.7</v>
      </c>
      <c r="CD211">
        <v>0.69</v>
      </c>
      <c r="CE211">
        <v>-0.61</v>
      </c>
      <c r="CF211">
        <v>-0.94</v>
      </c>
      <c r="CG211">
        <v>0</v>
      </c>
      <c r="CH211">
        <v>-0.69</v>
      </c>
      <c r="CI211">
        <v>0</v>
      </c>
      <c r="CJ211">
        <v>-1</v>
      </c>
      <c r="CK211">
        <v>92</v>
      </c>
      <c r="CL211">
        <v>-0.45</v>
      </c>
      <c r="CM211">
        <v>90</v>
      </c>
      <c r="CN211">
        <v>-0.22</v>
      </c>
      <c r="CO211">
        <v>89</v>
      </c>
      <c r="CP211">
        <v>-1.6</v>
      </c>
      <c r="CQ211">
        <v>81</v>
      </c>
      <c r="CR211">
        <v>0</v>
      </c>
      <c r="CS211">
        <v>0</v>
      </c>
      <c r="CT211">
        <v>5.6</v>
      </c>
      <c r="CU211">
        <v>91</v>
      </c>
      <c r="CV211">
        <v>0.15</v>
      </c>
      <c r="CW211">
        <v>45</v>
      </c>
      <c r="CX211" t="s">
        <v>316</v>
      </c>
    </row>
    <row r="212" spans="1:102" x14ac:dyDescent="0.3">
      <c r="A212" t="str">
        <f>HYPERLINK("https://webapp.icbf.com/v2/app/bull-search/view/1492470237","JE4520")</f>
        <v>JE4520</v>
      </c>
      <c r="B212" t="s">
        <v>8380</v>
      </c>
      <c r="C212" t="s">
        <v>8381</v>
      </c>
      <c r="D212" s="1">
        <v>42589</v>
      </c>
      <c r="E212" t="s">
        <v>227</v>
      </c>
      <c r="F212">
        <v>28</v>
      </c>
      <c r="G212" t="s">
        <v>435</v>
      </c>
      <c r="H212">
        <v>219.37</v>
      </c>
      <c r="I212">
        <v>63</v>
      </c>
      <c r="J212">
        <v>97.94</v>
      </c>
      <c r="K212">
        <v>79</v>
      </c>
      <c r="L212">
        <v>66.41</v>
      </c>
      <c r="M212">
        <v>56</v>
      </c>
      <c r="N212">
        <v>37.71</v>
      </c>
      <c r="O212">
        <v>79</v>
      </c>
      <c r="P212">
        <v>-35.200000000000003</v>
      </c>
      <c r="Q212">
        <v>41</v>
      </c>
      <c r="R212">
        <v>5.67</v>
      </c>
      <c r="S212">
        <v>51</v>
      </c>
      <c r="T212">
        <v>31.14</v>
      </c>
      <c r="U212">
        <v>36</v>
      </c>
      <c r="V212">
        <v>15.7</v>
      </c>
      <c r="W212">
        <v>47</v>
      </c>
      <c r="X212" t="s">
        <v>94</v>
      </c>
      <c r="Y212" t="s">
        <v>442</v>
      </c>
      <c r="Z212">
        <v>0</v>
      </c>
      <c r="AA212" t="s">
        <v>8382</v>
      </c>
      <c r="AB212" t="s">
        <v>8383</v>
      </c>
      <c r="AC212">
        <v>0</v>
      </c>
      <c r="AD212">
        <v>0</v>
      </c>
      <c r="AE212">
        <v>79</v>
      </c>
      <c r="AF212">
        <v>-94.03</v>
      </c>
      <c r="AG212">
        <v>17.32</v>
      </c>
      <c r="AH212">
        <v>9.09</v>
      </c>
      <c r="AI212">
        <v>0.36</v>
      </c>
      <c r="AJ212">
        <v>0.22</v>
      </c>
      <c r="AK212">
        <v>56</v>
      </c>
      <c r="AL212">
        <v>0</v>
      </c>
      <c r="AM212">
        <v>0</v>
      </c>
      <c r="AN212">
        <v>-1.75</v>
      </c>
      <c r="AO212">
        <v>3.57</v>
      </c>
      <c r="AP212">
        <v>244</v>
      </c>
      <c r="AQ212">
        <v>0</v>
      </c>
      <c r="AR212">
        <v>4.09</v>
      </c>
      <c r="AS212">
        <v>80</v>
      </c>
      <c r="AT212">
        <v>1.81</v>
      </c>
      <c r="AU212">
        <v>84</v>
      </c>
      <c r="AV212">
        <v>-2.4</v>
      </c>
      <c r="AW212">
        <v>96</v>
      </c>
      <c r="AX212">
        <v>-0.87</v>
      </c>
      <c r="AY212">
        <v>81</v>
      </c>
      <c r="AZ212">
        <v>7.34</v>
      </c>
      <c r="BA212">
        <v>29</v>
      </c>
      <c r="BB212">
        <v>4.88</v>
      </c>
      <c r="BC212">
        <v>28</v>
      </c>
      <c r="BD212">
        <v>-0.08</v>
      </c>
      <c r="BE212">
        <v>-0.03</v>
      </c>
      <c r="BF212">
        <v>0.06</v>
      </c>
      <c r="BG212">
        <v>61</v>
      </c>
      <c r="BH212">
        <v>0.35</v>
      </c>
      <c r="BI212">
        <v>-10.16</v>
      </c>
      <c r="BJ212">
        <v>0</v>
      </c>
      <c r="BK212">
        <v>0</v>
      </c>
      <c r="BL212">
        <v>-1.81</v>
      </c>
      <c r="BM212">
        <v>0.51</v>
      </c>
      <c r="BN212">
        <v>0.28000000000000003</v>
      </c>
      <c r="BO212">
        <v>0.36</v>
      </c>
      <c r="BP212">
        <v>0.98</v>
      </c>
      <c r="BQ212">
        <v>-1.38</v>
      </c>
      <c r="BR212">
        <v>2.65</v>
      </c>
      <c r="BS212">
        <v>2.14</v>
      </c>
      <c r="BT212">
        <v>-0.56999999999999995</v>
      </c>
      <c r="BU212">
        <v>-0.63</v>
      </c>
      <c r="BV212">
        <v>-0.28000000000000003</v>
      </c>
      <c r="BW212">
        <v>-1.34</v>
      </c>
      <c r="BX212">
        <v>-1.73</v>
      </c>
      <c r="BY212">
        <v>0.34</v>
      </c>
      <c r="BZ212">
        <v>-0.21</v>
      </c>
      <c r="CA212">
        <v>0.16</v>
      </c>
      <c r="CB212">
        <v>-0.36</v>
      </c>
      <c r="CC212">
        <v>1.22</v>
      </c>
      <c r="CD212">
        <v>-0.66</v>
      </c>
      <c r="CE212">
        <v>0.26</v>
      </c>
      <c r="CF212">
        <v>-1.18</v>
      </c>
      <c r="CG212">
        <v>0</v>
      </c>
      <c r="CH212">
        <v>-0.37</v>
      </c>
      <c r="CI212">
        <v>0</v>
      </c>
      <c r="CJ212">
        <v>-20.6</v>
      </c>
      <c r="CK212">
        <v>45</v>
      </c>
      <c r="CL212">
        <v>-0.75</v>
      </c>
      <c r="CM212">
        <v>36</v>
      </c>
      <c r="CN212">
        <v>-0.4</v>
      </c>
      <c r="CO212">
        <v>36</v>
      </c>
      <c r="CP212">
        <v>-24.8</v>
      </c>
      <c r="CQ212">
        <v>37</v>
      </c>
      <c r="CR212">
        <v>0</v>
      </c>
      <c r="CS212">
        <v>0</v>
      </c>
      <c r="CT212">
        <v>-28.3</v>
      </c>
      <c r="CU212">
        <v>36</v>
      </c>
      <c r="CV212">
        <v>-0.12</v>
      </c>
      <c r="CW212">
        <v>32</v>
      </c>
      <c r="CX212" t="s">
        <v>5626</v>
      </c>
    </row>
    <row r="213" spans="1:102" x14ac:dyDescent="0.3">
      <c r="A213" t="str">
        <f>HYPERLINK("https://webapp.icbf.com/v2/app/bull-search/view/1656382728","S3308")</f>
        <v>S3308</v>
      </c>
      <c r="B213" t="s">
        <v>2733</v>
      </c>
      <c r="C213" t="s">
        <v>2734</v>
      </c>
      <c r="D213" s="1">
        <v>42805</v>
      </c>
      <c r="E213" t="s">
        <v>92</v>
      </c>
      <c r="F213">
        <v>100</v>
      </c>
      <c r="G213" t="s">
        <v>435</v>
      </c>
      <c r="H213">
        <v>219.26</v>
      </c>
      <c r="I213">
        <v>65</v>
      </c>
      <c r="J213">
        <v>110.18</v>
      </c>
      <c r="K213">
        <v>87</v>
      </c>
      <c r="L213">
        <v>33.31</v>
      </c>
      <c r="M213">
        <v>63</v>
      </c>
      <c r="N213">
        <v>63.3</v>
      </c>
      <c r="O213">
        <v>56</v>
      </c>
      <c r="P213">
        <v>-9.31</v>
      </c>
      <c r="Q213">
        <v>34</v>
      </c>
      <c r="R213">
        <v>17.96</v>
      </c>
      <c r="S213">
        <v>59</v>
      </c>
      <c r="T213">
        <v>-2.75</v>
      </c>
      <c r="U213">
        <v>33</v>
      </c>
      <c r="V213">
        <v>6.57</v>
      </c>
      <c r="W213">
        <v>51</v>
      </c>
      <c r="X213" t="s">
        <v>110</v>
      </c>
      <c r="Y213" t="s">
        <v>2394</v>
      </c>
      <c r="Z213" t="s">
        <v>96</v>
      </c>
      <c r="AA213" t="s">
        <v>2735</v>
      </c>
      <c r="AB213" t="s">
        <v>2736</v>
      </c>
      <c r="AC213">
        <v>0</v>
      </c>
      <c r="AD213">
        <v>0</v>
      </c>
      <c r="AE213">
        <v>87</v>
      </c>
      <c r="AF213">
        <v>511.7</v>
      </c>
      <c r="AG213">
        <v>25.19</v>
      </c>
      <c r="AH213">
        <v>17.66</v>
      </c>
      <c r="AI213">
        <v>0.08</v>
      </c>
      <c r="AJ213">
        <v>0.01</v>
      </c>
      <c r="AK213">
        <v>63</v>
      </c>
      <c r="AL213">
        <v>0</v>
      </c>
      <c r="AM213">
        <v>0</v>
      </c>
      <c r="AN213">
        <v>-0.77</v>
      </c>
      <c r="AO213">
        <v>1.9</v>
      </c>
      <c r="AP213">
        <v>18</v>
      </c>
      <c r="AQ213">
        <v>0</v>
      </c>
      <c r="AR213">
        <v>3.65</v>
      </c>
      <c r="AS213">
        <v>51</v>
      </c>
      <c r="AT213">
        <v>1.76</v>
      </c>
      <c r="AU213">
        <v>73</v>
      </c>
      <c r="AV213">
        <v>-5.25</v>
      </c>
      <c r="AW213">
        <v>59</v>
      </c>
      <c r="AX213">
        <v>0.3</v>
      </c>
      <c r="AY213">
        <v>44</v>
      </c>
      <c r="AZ213">
        <v>5.9</v>
      </c>
      <c r="BA213">
        <v>32</v>
      </c>
      <c r="BB213">
        <v>4.26</v>
      </c>
      <c r="BC213">
        <v>31</v>
      </c>
      <c r="BD213">
        <v>-0.06</v>
      </c>
      <c r="BE213">
        <v>-7.0000000000000007E-2</v>
      </c>
      <c r="BF213">
        <v>-0.18</v>
      </c>
      <c r="BG213">
        <v>72</v>
      </c>
      <c r="BH213">
        <v>0</v>
      </c>
      <c r="BI213">
        <v>-21.18</v>
      </c>
      <c r="BJ213">
        <v>0</v>
      </c>
      <c r="BK213">
        <v>0</v>
      </c>
      <c r="BL213">
        <v>1.25</v>
      </c>
      <c r="BM213">
        <v>-0.19</v>
      </c>
      <c r="BN213">
        <v>0.24</v>
      </c>
      <c r="BO213">
        <v>1.29</v>
      </c>
      <c r="BP213">
        <v>0.84</v>
      </c>
      <c r="BQ213">
        <v>0.48</v>
      </c>
      <c r="BR213">
        <v>-2.25</v>
      </c>
      <c r="BS213">
        <v>3.76</v>
      </c>
      <c r="BT213">
        <v>1.02</v>
      </c>
      <c r="BU213">
        <v>2.88</v>
      </c>
      <c r="BV213">
        <v>2.66</v>
      </c>
      <c r="BW213">
        <v>1.91</v>
      </c>
      <c r="BX213">
        <v>2.19</v>
      </c>
      <c r="BY213">
        <v>1.62</v>
      </c>
      <c r="BZ213">
        <v>-0.19</v>
      </c>
      <c r="CA213">
        <v>3.31</v>
      </c>
      <c r="CB213">
        <v>2.66</v>
      </c>
      <c r="CC213">
        <v>2.78</v>
      </c>
      <c r="CD213">
        <v>-0.54</v>
      </c>
      <c r="CE213">
        <v>1.66</v>
      </c>
      <c r="CF213">
        <v>1.41</v>
      </c>
      <c r="CG213">
        <v>0</v>
      </c>
      <c r="CH213">
        <v>1.66</v>
      </c>
      <c r="CI213">
        <v>0</v>
      </c>
      <c r="CJ213">
        <v>-4.5</v>
      </c>
      <c r="CK213">
        <v>35</v>
      </c>
      <c r="CL213">
        <v>-1.36</v>
      </c>
      <c r="CM213">
        <v>34</v>
      </c>
      <c r="CN213">
        <v>-0.89</v>
      </c>
      <c r="CO213">
        <v>34</v>
      </c>
      <c r="CP213">
        <v>3.4</v>
      </c>
      <c r="CQ213">
        <v>33</v>
      </c>
      <c r="CR213">
        <v>0</v>
      </c>
      <c r="CS213">
        <v>0</v>
      </c>
      <c r="CT213">
        <v>17.5</v>
      </c>
      <c r="CU213">
        <v>33</v>
      </c>
      <c r="CV213">
        <v>0.17</v>
      </c>
      <c r="CW213">
        <v>31</v>
      </c>
      <c r="CX213" t="s">
        <v>2737</v>
      </c>
    </row>
    <row r="214" spans="1:102" x14ac:dyDescent="0.3">
      <c r="A214" t="str">
        <f>HYPERLINK("https://webapp.icbf.com/v2/app/bull-search/view/1140419545","FR2129")</f>
        <v>FR2129</v>
      </c>
      <c r="B214" t="s">
        <v>13555</v>
      </c>
      <c r="C214" t="s">
        <v>13556</v>
      </c>
      <c r="D214" s="1">
        <v>41682</v>
      </c>
      <c r="E214" t="s">
        <v>92</v>
      </c>
      <c r="F214">
        <v>88</v>
      </c>
      <c r="G214" t="s">
        <v>93</v>
      </c>
      <c r="H214">
        <v>219.15</v>
      </c>
      <c r="I214">
        <v>87</v>
      </c>
      <c r="J214">
        <v>91</v>
      </c>
      <c r="K214">
        <v>97</v>
      </c>
      <c r="L214">
        <v>91.53</v>
      </c>
      <c r="M214">
        <v>79</v>
      </c>
      <c r="N214">
        <v>41.4</v>
      </c>
      <c r="O214">
        <v>89</v>
      </c>
      <c r="P214">
        <v>-10.14</v>
      </c>
      <c r="Q214">
        <v>93</v>
      </c>
      <c r="R214">
        <v>-5.77</v>
      </c>
      <c r="S214">
        <v>79</v>
      </c>
      <c r="T214">
        <v>5.76</v>
      </c>
      <c r="U214">
        <v>75</v>
      </c>
      <c r="V214">
        <v>5.37</v>
      </c>
      <c r="W214">
        <v>76</v>
      </c>
      <c r="X214" t="s">
        <v>276</v>
      </c>
      <c r="Y214" t="s">
        <v>416</v>
      </c>
      <c r="Z214" t="s">
        <v>96</v>
      </c>
      <c r="AA214" t="s">
        <v>2172</v>
      </c>
      <c r="AB214" t="s">
        <v>13557</v>
      </c>
      <c r="AC214">
        <v>160</v>
      </c>
      <c r="AD214">
        <v>61</v>
      </c>
      <c r="AE214">
        <v>97</v>
      </c>
      <c r="AF214">
        <v>-42.98</v>
      </c>
      <c r="AG214">
        <v>16.28</v>
      </c>
      <c r="AH214">
        <v>9.06</v>
      </c>
      <c r="AI214">
        <v>0.32</v>
      </c>
      <c r="AJ214">
        <v>0.19</v>
      </c>
      <c r="AK214">
        <v>79</v>
      </c>
      <c r="AL214">
        <v>39</v>
      </c>
      <c r="AM214">
        <v>24</v>
      </c>
      <c r="AN214">
        <v>-4.95</v>
      </c>
      <c r="AO214">
        <v>2.35</v>
      </c>
      <c r="AP214">
        <v>713</v>
      </c>
      <c r="AQ214">
        <v>2</v>
      </c>
      <c r="AR214">
        <v>5.4</v>
      </c>
      <c r="AS214">
        <v>86</v>
      </c>
      <c r="AT214">
        <v>2.1</v>
      </c>
      <c r="AU214">
        <v>94</v>
      </c>
      <c r="AV214">
        <v>-3.94</v>
      </c>
      <c r="AW214">
        <v>99</v>
      </c>
      <c r="AX214">
        <v>0.14000000000000001</v>
      </c>
      <c r="AY214">
        <v>91</v>
      </c>
      <c r="AZ214">
        <v>6.15</v>
      </c>
      <c r="BA214">
        <v>75</v>
      </c>
      <c r="BB214">
        <v>5.57</v>
      </c>
      <c r="BC214">
        <v>56</v>
      </c>
      <c r="BD214">
        <v>-0.02</v>
      </c>
      <c r="BE214">
        <v>0.04</v>
      </c>
      <c r="BF214">
        <v>0.09</v>
      </c>
      <c r="BG214">
        <v>89</v>
      </c>
      <c r="BH214">
        <v>-0.08</v>
      </c>
      <c r="BI214">
        <v>-26.57</v>
      </c>
      <c r="BJ214">
        <v>0</v>
      </c>
      <c r="BK214">
        <v>0</v>
      </c>
      <c r="BL214">
        <v>-0.61</v>
      </c>
      <c r="BM214">
        <v>0.43</v>
      </c>
      <c r="BN214">
        <v>-1.41</v>
      </c>
      <c r="BO214">
        <v>-1.58</v>
      </c>
      <c r="BP214">
        <v>-0.76</v>
      </c>
      <c r="BQ214">
        <v>-0.1</v>
      </c>
      <c r="BR214">
        <v>-0.02</v>
      </c>
      <c r="BS214">
        <v>-1.87</v>
      </c>
      <c r="BT214">
        <v>0.7</v>
      </c>
      <c r="BU214">
        <v>-0.66</v>
      </c>
      <c r="BV214">
        <v>-1.29</v>
      </c>
      <c r="BW214">
        <v>-1.34</v>
      </c>
      <c r="BX214">
        <v>-0.05</v>
      </c>
      <c r="BY214">
        <v>-1.58</v>
      </c>
      <c r="BZ214">
        <v>-0.02</v>
      </c>
      <c r="CA214">
        <v>-0.7</v>
      </c>
      <c r="CB214">
        <v>-0.76</v>
      </c>
      <c r="CC214">
        <v>-0.37</v>
      </c>
      <c r="CD214">
        <v>0.9</v>
      </c>
      <c r="CE214">
        <v>-1.01</v>
      </c>
      <c r="CF214">
        <v>-0.22</v>
      </c>
      <c r="CG214">
        <v>0</v>
      </c>
      <c r="CH214">
        <v>-0.79</v>
      </c>
      <c r="CI214">
        <v>0</v>
      </c>
      <c r="CJ214">
        <v>-4.0999999999999996</v>
      </c>
      <c r="CK214">
        <v>95</v>
      </c>
      <c r="CL214">
        <v>-0.77</v>
      </c>
      <c r="CM214">
        <v>93</v>
      </c>
      <c r="CN214">
        <v>-0.36</v>
      </c>
      <c r="CO214">
        <v>93</v>
      </c>
      <c r="CP214">
        <v>-5</v>
      </c>
      <c r="CQ214">
        <v>73</v>
      </c>
      <c r="CR214">
        <v>0</v>
      </c>
      <c r="CS214">
        <v>0</v>
      </c>
      <c r="CT214">
        <v>6</v>
      </c>
      <c r="CU214">
        <v>75</v>
      </c>
      <c r="CV214">
        <v>0.12</v>
      </c>
      <c r="CW214">
        <v>46</v>
      </c>
      <c r="CX214" t="s">
        <v>5102</v>
      </c>
    </row>
    <row r="215" spans="1:102" x14ac:dyDescent="0.3">
      <c r="A215" t="str">
        <f>HYPERLINK("https://webapp.icbf.com/v2/app/bull-search/view/558499121","CHQ")</f>
        <v>CHQ</v>
      </c>
      <c r="B215" t="s">
        <v>12316</v>
      </c>
      <c r="C215" t="s">
        <v>7980</v>
      </c>
      <c r="D215" s="1">
        <v>39481</v>
      </c>
      <c r="E215" t="s">
        <v>92</v>
      </c>
      <c r="F215">
        <v>72</v>
      </c>
      <c r="G215" t="s">
        <v>93</v>
      </c>
      <c r="H215">
        <v>218.87</v>
      </c>
      <c r="I215">
        <v>98</v>
      </c>
      <c r="J215">
        <v>85.73</v>
      </c>
      <c r="K215">
        <v>99</v>
      </c>
      <c r="L215">
        <v>83.54</v>
      </c>
      <c r="M215">
        <v>96</v>
      </c>
      <c r="N215">
        <v>37.549999999999997</v>
      </c>
      <c r="O215">
        <v>99</v>
      </c>
      <c r="P215">
        <v>-13.07</v>
      </c>
      <c r="Q215">
        <v>99</v>
      </c>
      <c r="R215">
        <v>11.19</v>
      </c>
      <c r="S215">
        <v>96</v>
      </c>
      <c r="T215">
        <v>8.5</v>
      </c>
      <c r="U215">
        <v>99</v>
      </c>
      <c r="V215">
        <v>5.43</v>
      </c>
      <c r="W215">
        <v>92</v>
      </c>
      <c r="X215" t="s">
        <v>94</v>
      </c>
      <c r="Y215" t="s">
        <v>4217</v>
      </c>
      <c r="Z215" t="s">
        <v>96</v>
      </c>
      <c r="AA215" t="s">
        <v>3087</v>
      </c>
      <c r="AB215" t="s">
        <v>12317</v>
      </c>
      <c r="AC215">
        <v>3313</v>
      </c>
      <c r="AD215">
        <v>1209</v>
      </c>
      <c r="AE215">
        <v>99</v>
      </c>
      <c r="AF215">
        <v>-157.87</v>
      </c>
      <c r="AG215">
        <v>19.600000000000001</v>
      </c>
      <c r="AH215">
        <v>5.23</v>
      </c>
      <c r="AI215">
        <v>0.46</v>
      </c>
      <c r="AJ215">
        <v>0.19</v>
      </c>
      <c r="AK215">
        <v>96</v>
      </c>
      <c r="AL215">
        <v>3703</v>
      </c>
      <c r="AM215">
        <v>1524</v>
      </c>
      <c r="AN215">
        <v>-3.93</v>
      </c>
      <c r="AO215">
        <v>2.74</v>
      </c>
      <c r="AP215">
        <v>6590</v>
      </c>
      <c r="AQ215">
        <v>53</v>
      </c>
      <c r="AR215">
        <v>5.7</v>
      </c>
      <c r="AS215">
        <v>98</v>
      </c>
      <c r="AT215">
        <v>2.5099999999999998</v>
      </c>
      <c r="AU215">
        <v>99</v>
      </c>
      <c r="AV215">
        <v>-3.03</v>
      </c>
      <c r="AW215">
        <v>99</v>
      </c>
      <c r="AX215">
        <v>-0.06</v>
      </c>
      <c r="AY215">
        <v>99</v>
      </c>
      <c r="AZ215">
        <v>5.53</v>
      </c>
      <c r="BA215">
        <v>97</v>
      </c>
      <c r="BB215">
        <v>4.47</v>
      </c>
      <c r="BC215">
        <v>97</v>
      </c>
      <c r="BD215">
        <v>-0.05</v>
      </c>
      <c r="BE215">
        <v>-0.06</v>
      </c>
      <c r="BF215">
        <v>-0.06</v>
      </c>
      <c r="BG215">
        <v>99</v>
      </c>
      <c r="BH215">
        <v>0.05</v>
      </c>
      <c r="BI215">
        <v>-11.73</v>
      </c>
      <c r="BJ215">
        <v>125</v>
      </c>
      <c r="BK215">
        <v>66</v>
      </c>
      <c r="BL215">
        <v>-0.44</v>
      </c>
      <c r="BM215">
        <v>1.17</v>
      </c>
      <c r="BN215">
        <v>0.67</v>
      </c>
      <c r="BO215">
        <v>0.06</v>
      </c>
      <c r="BP215">
        <v>3.35</v>
      </c>
      <c r="BQ215">
        <v>0.57999999999999996</v>
      </c>
      <c r="BR215">
        <v>2.3199999999999998</v>
      </c>
      <c r="BS215">
        <v>2.2999999999999998</v>
      </c>
      <c r="BT215">
        <v>-2.04</v>
      </c>
      <c r="BU215">
        <v>0.66</v>
      </c>
      <c r="BV215">
        <v>0.63</v>
      </c>
      <c r="BW215">
        <v>1.17</v>
      </c>
      <c r="BX215">
        <v>0.12</v>
      </c>
      <c r="BY215">
        <v>0.74</v>
      </c>
      <c r="BZ215">
        <v>-0.96</v>
      </c>
      <c r="CA215">
        <v>1.34</v>
      </c>
      <c r="CB215">
        <v>1.03</v>
      </c>
      <c r="CC215">
        <v>1.67</v>
      </c>
      <c r="CD215">
        <v>1.45</v>
      </c>
      <c r="CE215">
        <v>-0.03</v>
      </c>
      <c r="CF215">
        <v>0.37</v>
      </c>
      <c r="CG215">
        <v>0</v>
      </c>
      <c r="CH215">
        <v>0.78</v>
      </c>
      <c r="CI215">
        <v>0</v>
      </c>
      <c r="CJ215">
        <v>-6.1</v>
      </c>
      <c r="CK215">
        <v>99</v>
      </c>
      <c r="CL215">
        <v>-0.84</v>
      </c>
      <c r="CM215">
        <v>99</v>
      </c>
      <c r="CN215">
        <v>-0.42</v>
      </c>
      <c r="CO215">
        <v>99</v>
      </c>
      <c r="CP215">
        <v>-6</v>
      </c>
      <c r="CQ215">
        <v>99</v>
      </c>
      <c r="CR215">
        <v>0</v>
      </c>
      <c r="CS215">
        <v>0</v>
      </c>
      <c r="CT215">
        <v>2.2999999999999998</v>
      </c>
      <c r="CU215">
        <v>99</v>
      </c>
      <c r="CV215">
        <v>0.14000000000000001</v>
      </c>
      <c r="CW215">
        <v>47</v>
      </c>
      <c r="CX215" t="s">
        <v>2775</v>
      </c>
    </row>
    <row r="216" spans="1:102" x14ac:dyDescent="0.3">
      <c r="A216" t="str">
        <f>HYPERLINK("https://webapp.icbf.com/v2/app/bull-search/view/1276121028","JE4259")</f>
        <v>JE4259</v>
      </c>
      <c r="B216" t="s">
        <v>13965</v>
      </c>
      <c r="C216" t="s">
        <v>13966</v>
      </c>
      <c r="D216" s="1">
        <v>41437</v>
      </c>
      <c r="E216" t="s">
        <v>227</v>
      </c>
      <c r="F216">
        <v>0</v>
      </c>
      <c r="G216" t="s">
        <v>109</v>
      </c>
      <c r="H216">
        <v>218.87</v>
      </c>
      <c r="I216">
        <v>75</v>
      </c>
      <c r="J216">
        <v>107.43</v>
      </c>
      <c r="K216">
        <v>90</v>
      </c>
      <c r="L216">
        <v>67.69</v>
      </c>
      <c r="M216">
        <v>70</v>
      </c>
      <c r="N216">
        <v>36.729999999999997</v>
      </c>
      <c r="O216">
        <v>82</v>
      </c>
      <c r="P216">
        <v>-54.81</v>
      </c>
      <c r="Q216">
        <v>59</v>
      </c>
      <c r="R216">
        <v>5.59</v>
      </c>
      <c r="S216">
        <v>69</v>
      </c>
      <c r="T216">
        <v>47.42</v>
      </c>
      <c r="U216">
        <v>51</v>
      </c>
      <c r="V216">
        <v>8.82</v>
      </c>
      <c r="W216">
        <v>65</v>
      </c>
      <c r="X216" t="s">
        <v>276</v>
      </c>
      <c r="Y216" t="s">
        <v>2261</v>
      </c>
      <c r="Z216">
        <v>0</v>
      </c>
      <c r="AA216" t="s">
        <v>5638</v>
      </c>
      <c r="AB216" t="s">
        <v>13967</v>
      </c>
      <c r="AC216">
        <v>0</v>
      </c>
      <c r="AD216">
        <v>0</v>
      </c>
      <c r="AE216">
        <v>90</v>
      </c>
      <c r="AF216">
        <v>-451.18</v>
      </c>
      <c r="AG216">
        <v>20.99</v>
      </c>
      <c r="AH216">
        <v>3.94</v>
      </c>
      <c r="AI216">
        <v>0.72</v>
      </c>
      <c r="AJ216">
        <v>0.36</v>
      </c>
      <c r="AK216">
        <v>70</v>
      </c>
      <c r="AL216">
        <v>0</v>
      </c>
      <c r="AM216">
        <v>0</v>
      </c>
      <c r="AN216">
        <v>-2.02</v>
      </c>
      <c r="AO216">
        <v>3.4</v>
      </c>
      <c r="AP216">
        <v>196</v>
      </c>
      <c r="AQ216">
        <v>0</v>
      </c>
      <c r="AR216">
        <v>3.76</v>
      </c>
      <c r="AS216">
        <v>84</v>
      </c>
      <c r="AT216">
        <v>1.85</v>
      </c>
      <c r="AU216">
        <v>81</v>
      </c>
      <c r="AV216">
        <v>-3.33</v>
      </c>
      <c r="AW216">
        <v>96</v>
      </c>
      <c r="AX216">
        <v>2.81</v>
      </c>
      <c r="AY216">
        <v>78</v>
      </c>
      <c r="AZ216">
        <v>6.47</v>
      </c>
      <c r="BA216">
        <v>51</v>
      </c>
      <c r="BB216">
        <v>4.97</v>
      </c>
      <c r="BC216">
        <v>50</v>
      </c>
      <c r="BD216">
        <v>-7.0000000000000007E-2</v>
      </c>
      <c r="BE216">
        <v>0.02</v>
      </c>
      <c r="BF216">
        <v>-0.05</v>
      </c>
      <c r="BG216">
        <v>75</v>
      </c>
      <c r="BH216">
        <v>0.28000000000000003</v>
      </c>
      <c r="BI216">
        <v>3.94</v>
      </c>
      <c r="BJ216">
        <v>0</v>
      </c>
      <c r="BK216">
        <v>0</v>
      </c>
      <c r="BL216">
        <v>-2.92</v>
      </c>
      <c r="BM216">
        <v>-1.68</v>
      </c>
      <c r="BN216">
        <v>-0.05</v>
      </c>
      <c r="BO216">
        <v>1.32</v>
      </c>
      <c r="BP216">
        <v>-0.59</v>
      </c>
      <c r="BQ216">
        <v>-5.61</v>
      </c>
      <c r="BR216">
        <v>2.94</v>
      </c>
      <c r="BS216">
        <v>6.14</v>
      </c>
      <c r="BT216">
        <v>-1.35</v>
      </c>
      <c r="BU216">
        <v>-1.26</v>
      </c>
      <c r="BV216">
        <v>-0.62</v>
      </c>
      <c r="BW216">
        <v>-2.69</v>
      </c>
      <c r="BX216">
        <v>-4.2300000000000004</v>
      </c>
      <c r="BY216">
        <v>-0.15</v>
      </c>
      <c r="BZ216">
        <v>-1.02</v>
      </c>
      <c r="CA216">
        <v>0.74</v>
      </c>
      <c r="CB216">
        <v>-0.87</v>
      </c>
      <c r="CC216">
        <v>3.89</v>
      </c>
      <c r="CD216">
        <v>-2.2000000000000002</v>
      </c>
      <c r="CE216">
        <v>0.81</v>
      </c>
      <c r="CF216">
        <v>-3.02</v>
      </c>
      <c r="CG216">
        <v>0</v>
      </c>
      <c r="CH216">
        <v>-0.97</v>
      </c>
      <c r="CI216">
        <v>0</v>
      </c>
      <c r="CJ216">
        <v>-29.1</v>
      </c>
      <c r="CK216">
        <v>66</v>
      </c>
      <c r="CL216">
        <v>-0.92</v>
      </c>
      <c r="CM216">
        <v>49</v>
      </c>
      <c r="CN216">
        <v>-0.06</v>
      </c>
      <c r="CO216">
        <v>48</v>
      </c>
      <c r="CP216">
        <v>-39.1</v>
      </c>
      <c r="CQ216">
        <v>51</v>
      </c>
      <c r="CR216">
        <v>0</v>
      </c>
      <c r="CS216">
        <v>0</v>
      </c>
      <c r="CT216">
        <v>-50.3</v>
      </c>
      <c r="CU216">
        <v>51</v>
      </c>
      <c r="CV216">
        <v>-0.28000000000000003</v>
      </c>
      <c r="CW216">
        <v>40</v>
      </c>
      <c r="CX216" t="s">
        <v>229</v>
      </c>
    </row>
    <row r="217" spans="1:102" x14ac:dyDescent="0.3">
      <c r="A217" t="str">
        <f>HYPERLINK("https://webapp.icbf.com/v2/app/bull-search/view/760394796","BGJ")</f>
        <v>BGJ</v>
      </c>
      <c r="B217" t="s">
        <v>1769</v>
      </c>
      <c r="C217" t="s">
        <v>1770</v>
      </c>
      <c r="D217" s="1">
        <v>40026</v>
      </c>
      <c r="E217" t="s">
        <v>92</v>
      </c>
      <c r="F217">
        <v>50</v>
      </c>
      <c r="G217" t="s">
        <v>93</v>
      </c>
      <c r="H217">
        <v>218.3</v>
      </c>
      <c r="I217">
        <v>97</v>
      </c>
      <c r="J217">
        <v>71.040000000000006</v>
      </c>
      <c r="K217">
        <v>99</v>
      </c>
      <c r="L217">
        <v>88.9</v>
      </c>
      <c r="M217">
        <v>96</v>
      </c>
      <c r="N217">
        <v>45.07</v>
      </c>
      <c r="O217">
        <v>99</v>
      </c>
      <c r="P217">
        <v>-23.67</v>
      </c>
      <c r="Q217">
        <v>99</v>
      </c>
      <c r="R217">
        <v>7.12</v>
      </c>
      <c r="S217">
        <v>97</v>
      </c>
      <c r="T217">
        <v>16.12</v>
      </c>
      <c r="U217">
        <v>99</v>
      </c>
      <c r="V217">
        <v>13.72</v>
      </c>
      <c r="W217">
        <v>86</v>
      </c>
      <c r="X217" t="s">
        <v>276</v>
      </c>
      <c r="Y217" t="s">
        <v>422</v>
      </c>
      <c r="Z217" t="s">
        <v>330</v>
      </c>
      <c r="AA217" t="s">
        <v>331</v>
      </c>
      <c r="AB217" t="s">
        <v>1771</v>
      </c>
      <c r="AC217">
        <v>7142</v>
      </c>
      <c r="AD217">
        <v>1204</v>
      </c>
      <c r="AE217">
        <v>99</v>
      </c>
      <c r="AF217">
        <v>125.23</v>
      </c>
      <c r="AG217">
        <v>16.28</v>
      </c>
      <c r="AH217">
        <v>8.24</v>
      </c>
      <c r="AI217">
        <v>0.19</v>
      </c>
      <c r="AJ217">
        <v>7.0000000000000007E-2</v>
      </c>
      <c r="AK217">
        <v>96</v>
      </c>
      <c r="AL217">
        <v>7681</v>
      </c>
      <c r="AM217">
        <v>1485</v>
      </c>
      <c r="AN217">
        <v>-3.26</v>
      </c>
      <c r="AO217">
        <v>3.85</v>
      </c>
      <c r="AP217">
        <v>15148</v>
      </c>
      <c r="AQ217">
        <v>59</v>
      </c>
      <c r="AR217">
        <v>4.95</v>
      </c>
      <c r="AS217">
        <v>99</v>
      </c>
      <c r="AT217">
        <v>2.06</v>
      </c>
      <c r="AU217">
        <v>99</v>
      </c>
      <c r="AV217">
        <v>-3.62</v>
      </c>
      <c r="AW217">
        <v>99</v>
      </c>
      <c r="AX217">
        <v>-0.51</v>
      </c>
      <c r="AY217">
        <v>99</v>
      </c>
      <c r="AZ217">
        <v>6.2</v>
      </c>
      <c r="BA217">
        <v>99</v>
      </c>
      <c r="BB217">
        <v>4.8899999999999997</v>
      </c>
      <c r="BC217">
        <v>98</v>
      </c>
      <c r="BD217">
        <v>-0.04</v>
      </c>
      <c r="BE217">
        <v>-0.03</v>
      </c>
      <c r="BF217">
        <v>-0.04</v>
      </c>
      <c r="BG217">
        <v>99</v>
      </c>
      <c r="BH217">
        <v>0.24</v>
      </c>
      <c r="BI217">
        <v>-16.48</v>
      </c>
      <c r="BJ217">
        <v>49</v>
      </c>
      <c r="BK217">
        <v>19</v>
      </c>
      <c r="BL217">
        <v>-0.97</v>
      </c>
      <c r="BM217">
        <v>1.66</v>
      </c>
      <c r="BN217">
        <v>-0.16</v>
      </c>
      <c r="BO217">
        <v>-1.32</v>
      </c>
      <c r="BP217">
        <v>2.0299999999999998</v>
      </c>
      <c r="BQ217">
        <v>0.64</v>
      </c>
      <c r="BR217">
        <v>2.91</v>
      </c>
      <c r="BS217">
        <v>-1.02</v>
      </c>
      <c r="BT217">
        <v>-2.6</v>
      </c>
      <c r="BU217">
        <v>0</v>
      </c>
      <c r="BV217">
        <v>-1.26</v>
      </c>
      <c r="BW217">
        <v>-1.2</v>
      </c>
      <c r="BX217">
        <v>-1.4</v>
      </c>
      <c r="BY217">
        <v>-0.39</v>
      </c>
      <c r="BZ217">
        <v>-0.03</v>
      </c>
      <c r="CA217">
        <v>-1.0900000000000001</v>
      </c>
      <c r="CB217">
        <v>-0.88</v>
      </c>
      <c r="CC217">
        <v>-1.17</v>
      </c>
      <c r="CD217">
        <v>1.73</v>
      </c>
      <c r="CE217">
        <v>-0.77</v>
      </c>
      <c r="CF217">
        <v>-0.47</v>
      </c>
      <c r="CG217">
        <v>0</v>
      </c>
      <c r="CH217">
        <v>-0.7</v>
      </c>
      <c r="CI217">
        <v>0</v>
      </c>
      <c r="CJ217">
        <v>-9.4</v>
      </c>
      <c r="CK217">
        <v>99</v>
      </c>
      <c r="CL217">
        <v>-1.07</v>
      </c>
      <c r="CM217">
        <v>99</v>
      </c>
      <c r="CN217">
        <v>-0.2</v>
      </c>
      <c r="CO217">
        <v>99</v>
      </c>
      <c r="CP217">
        <v>-13.3</v>
      </c>
      <c r="CQ217">
        <v>99</v>
      </c>
      <c r="CR217">
        <v>0</v>
      </c>
      <c r="CS217">
        <v>0</v>
      </c>
      <c r="CT217">
        <v>-8</v>
      </c>
      <c r="CU217">
        <v>99</v>
      </c>
      <c r="CV217">
        <v>0.27</v>
      </c>
      <c r="CW217">
        <v>54</v>
      </c>
      <c r="CX217" t="s">
        <v>1772</v>
      </c>
    </row>
    <row r="218" spans="1:102" x14ac:dyDescent="0.3">
      <c r="A218" t="str">
        <f>HYPERLINK("https://webapp.icbf.com/v2/app/bull-search/view/947780325","KZK")</f>
        <v>KZK</v>
      </c>
      <c r="B218" t="s">
        <v>13136</v>
      </c>
      <c r="C218" t="s">
        <v>13137</v>
      </c>
      <c r="D218" s="1">
        <v>40943</v>
      </c>
      <c r="E218" t="s">
        <v>92</v>
      </c>
      <c r="F218">
        <v>78</v>
      </c>
      <c r="G218" t="s">
        <v>93</v>
      </c>
      <c r="H218">
        <v>218.27</v>
      </c>
      <c r="I218">
        <v>87</v>
      </c>
      <c r="J218">
        <v>89.54</v>
      </c>
      <c r="K218">
        <v>97</v>
      </c>
      <c r="L218">
        <v>69.150000000000006</v>
      </c>
      <c r="M218">
        <v>78</v>
      </c>
      <c r="N218">
        <v>53.85</v>
      </c>
      <c r="O218">
        <v>90</v>
      </c>
      <c r="P218">
        <v>-11.26</v>
      </c>
      <c r="Q218">
        <v>93</v>
      </c>
      <c r="R218">
        <v>1.3</v>
      </c>
      <c r="S218">
        <v>78</v>
      </c>
      <c r="T218">
        <v>9.61</v>
      </c>
      <c r="U218">
        <v>84</v>
      </c>
      <c r="V218">
        <v>6.08</v>
      </c>
      <c r="W218">
        <v>71</v>
      </c>
      <c r="X218" t="s">
        <v>94</v>
      </c>
      <c r="Y218" t="s">
        <v>1923</v>
      </c>
      <c r="Z218" t="s">
        <v>330</v>
      </c>
      <c r="AA218" t="s">
        <v>12941</v>
      </c>
      <c r="AB218" t="s">
        <v>13138</v>
      </c>
      <c r="AC218">
        <v>105</v>
      </c>
      <c r="AD218">
        <v>58</v>
      </c>
      <c r="AE218">
        <v>97</v>
      </c>
      <c r="AF218">
        <v>264.70999999999998</v>
      </c>
      <c r="AG218">
        <v>18.149999999999999</v>
      </c>
      <c r="AH218">
        <v>12.86</v>
      </c>
      <c r="AI218">
        <v>0.13</v>
      </c>
      <c r="AJ218">
        <v>7.0000000000000007E-2</v>
      </c>
      <c r="AK218">
        <v>78</v>
      </c>
      <c r="AL218">
        <v>116</v>
      </c>
      <c r="AM218">
        <v>66</v>
      </c>
      <c r="AN218">
        <v>-2.57</v>
      </c>
      <c r="AO218">
        <v>2.96</v>
      </c>
      <c r="AP218">
        <v>838</v>
      </c>
      <c r="AQ218">
        <v>3</v>
      </c>
      <c r="AR218">
        <v>6.2</v>
      </c>
      <c r="AS218">
        <v>76</v>
      </c>
      <c r="AT218">
        <v>2.5</v>
      </c>
      <c r="AU218">
        <v>95</v>
      </c>
      <c r="AV218">
        <v>-5.17</v>
      </c>
      <c r="AW218">
        <v>99</v>
      </c>
      <c r="AX218">
        <v>-0.48</v>
      </c>
      <c r="AY218">
        <v>93</v>
      </c>
      <c r="AZ218">
        <v>5.19</v>
      </c>
      <c r="BA218">
        <v>67</v>
      </c>
      <c r="BB218">
        <v>4.72</v>
      </c>
      <c r="BC218">
        <v>64</v>
      </c>
      <c r="BD218">
        <v>0</v>
      </c>
      <c r="BE218">
        <v>0</v>
      </c>
      <c r="BF218">
        <v>-0.03</v>
      </c>
      <c r="BG218">
        <v>88</v>
      </c>
      <c r="BH218">
        <v>0.1</v>
      </c>
      <c r="BI218">
        <v>-8.0399999999999991</v>
      </c>
      <c r="BJ218">
        <v>20</v>
      </c>
      <c r="BK218">
        <v>12</v>
      </c>
      <c r="BL218">
        <v>-0.67</v>
      </c>
      <c r="BM218">
        <v>0</v>
      </c>
      <c r="BN218">
        <v>-1.03</v>
      </c>
      <c r="BO218">
        <v>-0.84</v>
      </c>
      <c r="BP218">
        <v>-0.28000000000000003</v>
      </c>
      <c r="BQ218">
        <v>-1.33</v>
      </c>
      <c r="BR218">
        <v>0.34</v>
      </c>
      <c r="BS218">
        <v>-1.07</v>
      </c>
      <c r="BT218">
        <v>-0.97</v>
      </c>
      <c r="BU218">
        <v>-0.86</v>
      </c>
      <c r="BV218">
        <v>-1</v>
      </c>
      <c r="BW218">
        <v>-0.84</v>
      </c>
      <c r="BX218">
        <v>-1.22</v>
      </c>
      <c r="BY218">
        <v>-0.34</v>
      </c>
      <c r="BZ218">
        <v>-1.08</v>
      </c>
      <c r="CA218">
        <v>-0.6</v>
      </c>
      <c r="CB218">
        <v>-0.27</v>
      </c>
      <c r="CC218">
        <v>-1.79</v>
      </c>
      <c r="CD218">
        <v>-0.64</v>
      </c>
      <c r="CE218">
        <v>-0.68</v>
      </c>
      <c r="CF218">
        <v>-1.37</v>
      </c>
      <c r="CG218">
        <v>0</v>
      </c>
      <c r="CH218">
        <v>-0.49</v>
      </c>
      <c r="CI218">
        <v>0</v>
      </c>
      <c r="CJ218">
        <v>-4.9000000000000004</v>
      </c>
      <c r="CK218">
        <v>95</v>
      </c>
      <c r="CL218">
        <v>-0.78</v>
      </c>
      <c r="CM218">
        <v>93</v>
      </c>
      <c r="CN218">
        <v>-0.33</v>
      </c>
      <c r="CO218">
        <v>92</v>
      </c>
      <c r="CP218">
        <v>-2.1</v>
      </c>
      <c r="CQ218">
        <v>82</v>
      </c>
      <c r="CR218">
        <v>0</v>
      </c>
      <c r="CS218">
        <v>0</v>
      </c>
      <c r="CT218">
        <v>0.8</v>
      </c>
      <c r="CU218">
        <v>84</v>
      </c>
      <c r="CV218">
        <v>0.2</v>
      </c>
      <c r="CW218">
        <v>46</v>
      </c>
      <c r="CX218" t="s">
        <v>1165</v>
      </c>
    </row>
    <row r="219" spans="1:102" x14ac:dyDescent="0.3">
      <c r="A219" t="str">
        <f>HYPERLINK("https://webapp.icbf.com/v2/app/bull-search/view/1136113803","FOE")</f>
        <v>FOE</v>
      </c>
      <c r="B219" t="s">
        <v>7619</v>
      </c>
      <c r="C219" t="s">
        <v>7620</v>
      </c>
      <c r="D219" s="1">
        <v>41666</v>
      </c>
      <c r="E219" t="s">
        <v>108</v>
      </c>
      <c r="F219">
        <v>13</v>
      </c>
      <c r="G219" t="s">
        <v>93</v>
      </c>
      <c r="H219">
        <v>218.15</v>
      </c>
      <c r="I219">
        <v>86</v>
      </c>
      <c r="J219">
        <v>42.29</v>
      </c>
      <c r="K219">
        <v>97</v>
      </c>
      <c r="L219">
        <v>154.91</v>
      </c>
      <c r="M219">
        <v>76</v>
      </c>
      <c r="N219">
        <v>13.98</v>
      </c>
      <c r="O219">
        <v>89</v>
      </c>
      <c r="P219">
        <v>-8.27</v>
      </c>
      <c r="Q219">
        <v>96</v>
      </c>
      <c r="R219">
        <v>-0.81</v>
      </c>
      <c r="S219">
        <v>77</v>
      </c>
      <c r="T219">
        <v>9.02</v>
      </c>
      <c r="U219">
        <v>77</v>
      </c>
      <c r="V219">
        <v>7.03</v>
      </c>
      <c r="W219">
        <v>76</v>
      </c>
      <c r="X219" t="s">
        <v>102</v>
      </c>
      <c r="Y219" t="s">
        <v>389</v>
      </c>
      <c r="Z219" t="s">
        <v>96</v>
      </c>
      <c r="AA219" t="s">
        <v>4319</v>
      </c>
      <c r="AB219" t="s">
        <v>7621</v>
      </c>
      <c r="AC219">
        <v>184</v>
      </c>
      <c r="AD219">
        <v>85</v>
      </c>
      <c r="AE219">
        <v>97</v>
      </c>
      <c r="AF219">
        <v>27.37</v>
      </c>
      <c r="AG219">
        <v>12.44</v>
      </c>
      <c r="AH219">
        <v>3.21</v>
      </c>
      <c r="AI219">
        <v>0.2</v>
      </c>
      <c r="AJ219">
        <v>0.04</v>
      </c>
      <c r="AK219">
        <v>76</v>
      </c>
      <c r="AL219">
        <v>85</v>
      </c>
      <c r="AM219">
        <v>48</v>
      </c>
      <c r="AN219">
        <v>-9.5399999999999991</v>
      </c>
      <c r="AO219">
        <v>2.8</v>
      </c>
      <c r="AP219">
        <v>865</v>
      </c>
      <c r="AQ219">
        <v>5</v>
      </c>
      <c r="AR219">
        <v>6.6</v>
      </c>
      <c r="AS219">
        <v>81</v>
      </c>
      <c r="AT219">
        <v>2.84</v>
      </c>
      <c r="AU219">
        <v>95</v>
      </c>
      <c r="AV219">
        <v>-1.48</v>
      </c>
      <c r="AW219">
        <v>99</v>
      </c>
      <c r="AX219">
        <v>-0.02</v>
      </c>
      <c r="AY219">
        <v>94</v>
      </c>
      <c r="AZ219">
        <v>6.98</v>
      </c>
      <c r="BA219">
        <v>76</v>
      </c>
      <c r="BB219">
        <v>5.38</v>
      </c>
      <c r="BC219">
        <v>54</v>
      </c>
      <c r="BD219">
        <v>0.01</v>
      </c>
      <c r="BE219">
        <v>-0.02</v>
      </c>
      <c r="BF219">
        <v>0.04</v>
      </c>
      <c r="BG219">
        <v>89</v>
      </c>
      <c r="BH219">
        <v>0</v>
      </c>
      <c r="BI219">
        <v>-22.68</v>
      </c>
      <c r="BJ219">
        <v>6</v>
      </c>
      <c r="BK219">
        <v>5</v>
      </c>
      <c r="BL219">
        <v>-3.21</v>
      </c>
      <c r="BM219">
        <v>2.0099999999999998</v>
      </c>
      <c r="BN219">
        <v>-1.66</v>
      </c>
      <c r="BO219">
        <v>-2.6</v>
      </c>
      <c r="BP219">
        <v>-1.6</v>
      </c>
      <c r="BQ219">
        <v>1.29</v>
      </c>
      <c r="BR219">
        <v>-1.86</v>
      </c>
      <c r="BS219">
        <v>0.65</v>
      </c>
      <c r="BT219">
        <v>1.05</v>
      </c>
      <c r="BU219">
        <v>-1.77</v>
      </c>
      <c r="BV219">
        <v>-2.48</v>
      </c>
      <c r="BW219">
        <v>-1.86</v>
      </c>
      <c r="BX219">
        <v>-0.53</v>
      </c>
      <c r="BY219">
        <v>-1.2</v>
      </c>
      <c r="BZ219">
        <v>-0.45</v>
      </c>
      <c r="CA219">
        <v>-1.91</v>
      </c>
      <c r="CB219">
        <v>-1.93</v>
      </c>
      <c r="CC219">
        <v>-1.1100000000000001</v>
      </c>
      <c r="CD219">
        <v>2.68</v>
      </c>
      <c r="CE219">
        <v>-3.02</v>
      </c>
      <c r="CF219">
        <v>-2.2000000000000002</v>
      </c>
      <c r="CG219">
        <v>0</v>
      </c>
      <c r="CH219">
        <v>-0.5</v>
      </c>
      <c r="CI219">
        <v>0</v>
      </c>
      <c r="CJ219">
        <v>-5.8</v>
      </c>
      <c r="CK219">
        <v>98</v>
      </c>
      <c r="CL219">
        <v>-0.06</v>
      </c>
      <c r="CM219">
        <v>97</v>
      </c>
      <c r="CN219">
        <v>-0.18</v>
      </c>
      <c r="CO219">
        <v>96</v>
      </c>
      <c r="CP219">
        <v>-11.7</v>
      </c>
      <c r="CQ219">
        <v>76</v>
      </c>
      <c r="CR219">
        <v>0</v>
      </c>
      <c r="CS219">
        <v>0</v>
      </c>
      <c r="CT219">
        <v>1.6</v>
      </c>
      <c r="CU219">
        <v>77</v>
      </c>
      <c r="CV219">
        <v>0.02</v>
      </c>
      <c r="CW219">
        <v>52</v>
      </c>
      <c r="CX219" t="s">
        <v>7622</v>
      </c>
    </row>
    <row r="220" spans="1:102" x14ac:dyDescent="0.3">
      <c r="A220" t="str">
        <f>HYPERLINK("https://webapp.icbf.com/v2/app/bull-search/view/1418736476","S3235")</f>
        <v>S3235</v>
      </c>
      <c r="B220" t="s">
        <v>3133</v>
      </c>
      <c r="C220" t="s">
        <v>3134</v>
      </c>
      <c r="D220" s="1">
        <v>42311</v>
      </c>
      <c r="E220" t="s">
        <v>92</v>
      </c>
      <c r="F220">
        <v>100</v>
      </c>
      <c r="G220" t="s">
        <v>435</v>
      </c>
      <c r="H220">
        <v>218.05</v>
      </c>
      <c r="I220">
        <v>69</v>
      </c>
      <c r="J220">
        <v>94.02</v>
      </c>
      <c r="K220">
        <v>89</v>
      </c>
      <c r="L220">
        <v>75.099999999999994</v>
      </c>
      <c r="M220">
        <v>69</v>
      </c>
      <c r="N220">
        <v>38.26</v>
      </c>
      <c r="O220">
        <v>58</v>
      </c>
      <c r="P220">
        <v>1.61</v>
      </c>
      <c r="Q220">
        <v>40</v>
      </c>
      <c r="R220">
        <v>24.6</v>
      </c>
      <c r="S220">
        <v>65</v>
      </c>
      <c r="T220">
        <v>-21.92</v>
      </c>
      <c r="U220">
        <v>35</v>
      </c>
      <c r="V220">
        <v>6.38</v>
      </c>
      <c r="W220">
        <v>57</v>
      </c>
      <c r="X220" t="s">
        <v>110</v>
      </c>
      <c r="Y220" t="s">
        <v>453</v>
      </c>
      <c r="Z220" t="s">
        <v>96</v>
      </c>
      <c r="AA220" t="s">
        <v>3135</v>
      </c>
      <c r="AB220" t="s">
        <v>3136</v>
      </c>
      <c r="AC220">
        <v>0</v>
      </c>
      <c r="AD220">
        <v>0</v>
      </c>
      <c r="AE220">
        <v>89</v>
      </c>
      <c r="AF220">
        <v>468.96</v>
      </c>
      <c r="AG220">
        <v>16.7</v>
      </c>
      <c r="AH220">
        <v>17.260000000000002</v>
      </c>
      <c r="AI220">
        <v>-0.03</v>
      </c>
      <c r="AJ220">
        <v>0.03</v>
      </c>
      <c r="AK220">
        <v>69</v>
      </c>
      <c r="AL220">
        <v>0</v>
      </c>
      <c r="AM220">
        <v>0</v>
      </c>
      <c r="AN220">
        <v>-3.22</v>
      </c>
      <c r="AO220">
        <v>2.78</v>
      </c>
      <c r="AP220">
        <v>6</v>
      </c>
      <c r="AQ220">
        <v>0</v>
      </c>
      <c r="AR220">
        <v>5.18</v>
      </c>
      <c r="AS220">
        <v>57</v>
      </c>
      <c r="AT220">
        <v>2.7</v>
      </c>
      <c r="AU220">
        <v>90</v>
      </c>
      <c r="AV220">
        <v>-3.88</v>
      </c>
      <c r="AW220">
        <v>51</v>
      </c>
      <c r="AX220">
        <v>0.08</v>
      </c>
      <c r="AY220">
        <v>44</v>
      </c>
      <c r="AZ220">
        <v>6.3</v>
      </c>
      <c r="BA220">
        <v>36</v>
      </c>
      <c r="BB220">
        <v>5.35</v>
      </c>
      <c r="BC220">
        <v>35</v>
      </c>
      <c r="BD220">
        <v>-0.04</v>
      </c>
      <c r="BE220">
        <v>-0.11</v>
      </c>
      <c r="BF220">
        <v>-0.28999999999999998</v>
      </c>
      <c r="BG220">
        <v>77</v>
      </c>
      <c r="BH220">
        <v>0.06</v>
      </c>
      <c r="BI220">
        <v>-13.63</v>
      </c>
      <c r="BJ220">
        <v>0</v>
      </c>
      <c r="BK220">
        <v>0</v>
      </c>
      <c r="BL220">
        <v>2.75</v>
      </c>
      <c r="BM220">
        <v>1.42</v>
      </c>
      <c r="BN220">
        <v>1.47</v>
      </c>
      <c r="BO220">
        <v>0.93</v>
      </c>
      <c r="BP220">
        <v>1.57</v>
      </c>
      <c r="BQ220">
        <v>3.64</v>
      </c>
      <c r="BR220">
        <v>-1.45</v>
      </c>
      <c r="BS220">
        <v>3.66</v>
      </c>
      <c r="BT220">
        <v>2.79</v>
      </c>
      <c r="BU220">
        <v>4.1399999999999997</v>
      </c>
      <c r="BV220">
        <v>2.91</v>
      </c>
      <c r="BW220">
        <v>2.84</v>
      </c>
      <c r="BX220">
        <v>3.97</v>
      </c>
      <c r="BY220">
        <v>1.69</v>
      </c>
      <c r="BZ220">
        <v>-0.56999999999999995</v>
      </c>
      <c r="CA220">
        <v>3.92</v>
      </c>
      <c r="CB220">
        <v>3.6</v>
      </c>
      <c r="CC220">
        <v>2.7</v>
      </c>
      <c r="CD220">
        <v>1.37</v>
      </c>
      <c r="CE220">
        <v>1.29</v>
      </c>
      <c r="CF220">
        <v>2.06</v>
      </c>
      <c r="CG220">
        <v>0</v>
      </c>
      <c r="CH220">
        <v>2.68</v>
      </c>
      <c r="CI220">
        <v>0</v>
      </c>
      <c r="CJ220">
        <v>5.5</v>
      </c>
      <c r="CK220">
        <v>41</v>
      </c>
      <c r="CL220">
        <v>-1.51</v>
      </c>
      <c r="CM220">
        <v>40</v>
      </c>
      <c r="CN220">
        <v>-0.62</v>
      </c>
      <c r="CO220">
        <v>39</v>
      </c>
      <c r="CP220">
        <v>15.6</v>
      </c>
      <c r="CQ220">
        <v>36</v>
      </c>
      <c r="CR220">
        <v>0</v>
      </c>
      <c r="CS220">
        <v>0</v>
      </c>
      <c r="CT220">
        <v>43.4</v>
      </c>
      <c r="CU220">
        <v>35</v>
      </c>
      <c r="CV220">
        <v>0.4</v>
      </c>
      <c r="CW220">
        <v>33</v>
      </c>
      <c r="CX220" t="s">
        <v>3137</v>
      </c>
    </row>
    <row r="221" spans="1:102" x14ac:dyDescent="0.3">
      <c r="A221" t="str">
        <f>HYPERLINK("https://webapp.icbf.com/v2/app/bull-search/view/1036731757","YMO")</f>
        <v>YMO</v>
      </c>
      <c r="B221" t="s">
        <v>13458</v>
      </c>
      <c r="C221" t="s">
        <v>13459</v>
      </c>
      <c r="D221" s="1">
        <v>41298</v>
      </c>
      <c r="E221" t="s">
        <v>92</v>
      </c>
      <c r="F221">
        <v>81</v>
      </c>
      <c r="G221" t="s">
        <v>93</v>
      </c>
      <c r="H221">
        <v>218.04</v>
      </c>
      <c r="I221">
        <v>83</v>
      </c>
      <c r="J221">
        <v>73.59</v>
      </c>
      <c r="K221">
        <v>95</v>
      </c>
      <c r="L221">
        <v>94.91</v>
      </c>
      <c r="M221">
        <v>75</v>
      </c>
      <c r="N221">
        <v>53.26</v>
      </c>
      <c r="O221">
        <v>82</v>
      </c>
      <c r="P221">
        <v>-14.17</v>
      </c>
      <c r="Q221">
        <v>88</v>
      </c>
      <c r="R221">
        <v>-2.9</v>
      </c>
      <c r="S221">
        <v>75</v>
      </c>
      <c r="T221">
        <v>6.28</v>
      </c>
      <c r="U221">
        <v>67</v>
      </c>
      <c r="V221">
        <v>7.07</v>
      </c>
      <c r="W221">
        <v>71</v>
      </c>
      <c r="X221" t="s">
        <v>251</v>
      </c>
      <c r="Y221" t="s">
        <v>389</v>
      </c>
      <c r="Z221" t="s">
        <v>96</v>
      </c>
      <c r="AA221" t="s">
        <v>2041</v>
      </c>
      <c r="AB221" t="s">
        <v>13460</v>
      </c>
      <c r="AC221">
        <v>66</v>
      </c>
      <c r="AD221">
        <v>25</v>
      </c>
      <c r="AE221">
        <v>95</v>
      </c>
      <c r="AF221">
        <v>66.81</v>
      </c>
      <c r="AG221">
        <v>12.97</v>
      </c>
      <c r="AH221">
        <v>8.9499999999999993</v>
      </c>
      <c r="AI221">
        <v>0.18</v>
      </c>
      <c r="AJ221">
        <v>0.12</v>
      </c>
      <c r="AK221">
        <v>75</v>
      </c>
      <c r="AL221">
        <v>73</v>
      </c>
      <c r="AM221">
        <v>24</v>
      </c>
      <c r="AN221">
        <v>-4.3099999999999996</v>
      </c>
      <c r="AO221">
        <v>3.27</v>
      </c>
      <c r="AP221">
        <v>162</v>
      </c>
      <c r="AQ221">
        <v>0</v>
      </c>
      <c r="AR221">
        <v>3.47</v>
      </c>
      <c r="AS221">
        <v>76</v>
      </c>
      <c r="AT221">
        <v>1.66</v>
      </c>
      <c r="AU221">
        <v>84</v>
      </c>
      <c r="AV221">
        <v>-3.92</v>
      </c>
      <c r="AW221">
        <v>93</v>
      </c>
      <c r="AX221">
        <v>-0.69</v>
      </c>
      <c r="AY221">
        <v>77</v>
      </c>
      <c r="AZ221">
        <v>6.07</v>
      </c>
      <c r="BA221">
        <v>63</v>
      </c>
      <c r="BB221">
        <v>4.82</v>
      </c>
      <c r="BC221">
        <v>55</v>
      </c>
      <c r="BD221">
        <v>0.01</v>
      </c>
      <c r="BE221">
        <v>0</v>
      </c>
      <c r="BF221">
        <v>0.05</v>
      </c>
      <c r="BG221">
        <v>84</v>
      </c>
      <c r="BH221">
        <v>0.17</v>
      </c>
      <c r="BI221">
        <v>-3.15</v>
      </c>
      <c r="BJ221">
        <v>1</v>
      </c>
      <c r="BK221">
        <v>1</v>
      </c>
      <c r="BL221">
        <v>-0.36</v>
      </c>
      <c r="BM221">
        <v>1.0900000000000001</v>
      </c>
      <c r="BN221">
        <v>-0.84</v>
      </c>
      <c r="BO221">
        <v>-1.22</v>
      </c>
      <c r="BP221">
        <v>0.33</v>
      </c>
      <c r="BQ221">
        <v>0.46</v>
      </c>
      <c r="BR221">
        <v>-0.94</v>
      </c>
      <c r="BS221">
        <v>-1.66</v>
      </c>
      <c r="BT221">
        <v>0.13</v>
      </c>
      <c r="BU221">
        <v>0.68</v>
      </c>
      <c r="BV221">
        <v>0.51</v>
      </c>
      <c r="BW221">
        <v>0.68</v>
      </c>
      <c r="BX221">
        <v>1.78</v>
      </c>
      <c r="BY221">
        <v>0.01</v>
      </c>
      <c r="BZ221">
        <v>-2.54</v>
      </c>
      <c r="CA221">
        <v>0.55000000000000004</v>
      </c>
      <c r="CB221">
        <v>0.79</v>
      </c>
      <c r="CC221">
        <v>-1.1200000000000001</v>
      </c>
      <c r="CD221">
        <v>0.78</v>
      </c>
      <c r="CE221">
        <v>-1.04</v>
      </c>
      <c r="CF221">
        <v>-0.75</v>
      </c>
      <c r="CG221">
        <v>0</v>
      </c>
      <c r="CH221">
        <v>2.74</v>
      </c>
      <c r="CI221">
        <v>0</v>
      </c>
      <c r="CJ221">
        <v>-4</v>
      </c>
      <c r="CK221">
        <v>90</v>
      </c>
      <c r="CL221">
        <v>-0.78</v>
      </c>
      <c r="CM221">
        <v>88</v>
      </c>
      <c r="CN221">
        <v>0.04</v>
      </c>
      <c r="CO221">
        <v>87</v>
      </c>
      <c r="CP221">
        <v>-0.9</v>
      </c>
      <c r="CQ221">
        <v>75</v>
      </c>
      <c r="CR221">
        <v>0</v>
      </c>
      <c r="CS221">
        <v>0</v>
      </c>
      <c r="CT221">
        <v>5.3</v>
      </c>
      <c r="CU221">
        <v>67</v>
      </c>
      <c r="CV221">
        <v>0.06</v>
      </c>
      <c r="CW221">
        <v>46</v>
      </c>
      <c r="CX221" t="s">
        <v>316</v>
      </c>
    </row>
    <row r="222" spans="1:102" x14ac:dyDescent="0.3">
      <c r="A222" t="str">
        <f>HYPERLINK("https://webapp.icbf.com/v2/app/bull-search/view/933356693","LJS")</f>
        <v>LJS</v>
      </c>
      <c r="B222" t="s">
        <v>3079</v>
      </c>
      <c r="C222" t="s">
        <v>3080</v>
      </c>
      <c r="D222" s="1">
        <v>40762</v>
      </c>
      <c r="E222" t="s">
        <v>92</v>
      </c>
      <c r="F222">
        <v>56</v>
      </c>
      <c r="G222" t="s">
        <v>93</v>
      </c>
      <c r="H222">
        <v>217.82</v>
      </c>
      <c r="I222">
        <v>92</v>
      </c>
      <c r="J222">
        <v>110.02</v>
      </c>
      <c r="K222">
        <v>99</v>
      </c>
      <c r="L222">
        <v>78.39</v>
      </c>
      <c r="M222">
        <v>86</v>
      </c>
      <c r="N222">
        <v>30.69</v>
      </c>
      <c r="O222">
        <v>94</v>
      </c>
      <c r="P222">
        <v>-21.24</v>
      </c>
      <c r="Q222">
        <v>97</v>
      </c>
      <c r="R222">
        <v>0.57999999999999996</v>
      </c>
      <c r="S222">
        <v>84</v>
      </c>
      <c r="T222">
        <v>12.57</v>
      </c>
      <c r="U222">
        <v>92</v>
      </c>
      <c r="V222">
        <v>6.81</v>
      </c>
      <c r="W222">
        <v>73</v>
      </c>
      <c r="X222" t="s">
        <v>276</v>
      </c>
      <c r="Y222" t="s">
        <v>375</v>
      </c>
      <c r="Z222" t="s">
        <v>330</v>
      </c>
      <c r="AA222" t="s">
        <v>3081</v>
      </c>
      <c r="AB222" t="s">
        <v>144</v>
      </c>
      <c r="AC222">
        <v>558</v>
      </c>
      <c r="AD222">
        <v>149</v>
      </c>
      <c r="AE222">
        <v>99</v>
      </c>
      <c r="AF222">
        <v>55.36</v>
      </c>
      <c r="AG222">
        <v>13.76</v>
      </c>
      <c r="AH222">
        <v>14.69</v>
      </c>
      <c r="AI222">
        <v>0.2</v>
      </c>
      <c r="AJ222">
        <v>0.22</v>
      </c>
      <c r="AK222">
        <v>86</v>
      </c>
      <c r="AL222">
        <v>496</v>
      </c>
      <c r="AM222">
        <v>169</v>
      </c>
      <c r="AN222">
        <v>-3.63</v>
      </c>
      <c r="AO222">
        <v>2.63</v>
      </c>
      <c r="AP222">
        <v>1245</v>
      </c>
      <c r="AQ222">
        <v>3</v>
      </c>
      <c r="AR222">
        <v>4.33</v>
      </c>
      <c r="AS222">
        <v>97</v>
      </c>
      <c r="AT222">
        <v>1.85</v>
      </c>
      <c r="AU222">
        <v>95</v>
      </c>
      <c r="AV222">
        <v>-1.82</v>
      </c>
      <c r="AW222">
        <v>99</v>
      </c>
      <c r="AX222">
        <v>0.01</v>
      </c>
      <c r="AY222">
        <v>95</v>
      </c>
      <c r="AZ222">
        <v>6.65</v>
      </c>
      <c r="BA222">
        <v>89</v>
      </c>
      <c r="BB222">
        <v>4.99</v>
      </c>
      <c r="BC222">
        <v>75</v>
      </c>
      <c r="BD222">
        <v>-0.05</v>
      </c>
      <c r="BE222">
        <v>0</v>
      </c>
      <c r="BF222">
        <v>7.0000000000000007E-2</v>
      </c>
      <c r="BG222">
        <v>96</v>
      </c>
      <c r="BH222">
        <v>0.21</v>
      </c>
      <c r="BI222">
        <v>2.33</v>
      </c>
      <c r="BJ222">
        <v>2</v>
      </c>
      <c r="BK222">
        <v>2</v>
      </c>
      <c r="BL222">
        <v>-1.59</v>
      </c>
      <c r="BM222">
        <v>-0.36</v>
      </c>
      <c r="BN222">
        <v>-0.96</v>
      </c>
      <c r="BO222">
        <v>-0.77</v>
      </c>
      <c r="BP222">
        <v>-0.7</v>
      </c>
      <c r="BQ222">
        <v>-2.74</v>
      </c>
      <c r="BR222">
        <v>-0.87</v>
      </c>
      <c r="BS222">
        <v>-1.45</v>
      </c>
      <c r="BT222">
        <v>-0.8</v>
      </c>
      <c r="BU222">
        <v>0.56000000000000005</v>
      </c>
      <c r="BV222">
        <v>0.28999999999999998</v>
      </c>
      <c r="BW222">
        <v>-0.25</v>
      </c>
      <c r="BX222">
        <v>-1.58</v>
      </c>
      <c r="BY222">
        <v>-1.41</v>
      </c>
      <c r="BZ222">
        <v>-0.56999999999999995</v>
      </c>
      <c r="CA222">
        <v>-0.33</v>
      </c>
      <c r="CB222">
        <v>-0.02</v>
      </c>
      <c r="CC222">
        <v>-1.74</v>
      </c>
      <c r="CD222">
        <v>-0.09</v>
      </c>
      <c r="CE222">
        <v>-1.1299999999999999</v>
      </c>
      <c r="CF222">
        <v>-1.72</v>
      </c>
      <c r="CG222">
        <v>0</v>
      </c>
      <c r="CH222">
        <v>-1.44</v>
      </c>
      <c r="CI222">
        <v>0</v>
      </c>
      <c r="CJ222">
        <v>-10.1</v>
      </c>
      <c r="CK222">
        <v>98</v>
      </c>
      <c r="CL222">
        <v>-0.72</v>
      </c>
      <c r="CM222">
        <v>98</v>
      </c>
      <c r="CN222">
        <v>-0.14000000000000001</v>
      </c>
      <c r="CO222">
        <v>98</v>
      </c>
      <c r="CP222">
        <v>-10.1</v>
      </c>
      <c r="CQ222">
        <v>88</v>
      </c>
      <c r="CR222">
        <v>0</v>
      </c>
      <c r="CS222">
        <v>0</v>
      </c>
      <c r="CT222">
        <v>-3.2</v>
      </c>
      <c r="CU222">
        <v>92</v>
      </c>
      <c r="CV222">
        <v>0.04</v>
      </c>
      <c r="CW222">
        <v>46</v>
      </c>
      <c r="CX222" t="s">
        <v>3082</v>
      </c>
    </row>
    <row r="223" spans="1:102" x14ac:dyDescent="0.3">
      <c r="A223" t="str">
        <f>HYPERLINK("https://webapp.icbf.com/v2/app/bull-search/view/586163874","S1311")</f>
        <v>S1311</v>
      </c>
      <c r="B223" t="s">
        <v>1890</v>
      </c>
      <c r="C223" t="s">
        <v>1891</v>
      </c>
      <c r="D223" s="1">
        <v>38710</v>
      </c>
      <c r="E223" t="s">
        <v>92</v>
      </c>
      <c r="F223">
        <v>100</v>
      </c>
      <c r="G223" t="s">
        <v>93</v>
      </c>
      <c r="H223">
        <v>217.77</v>
      </c>
      <c r="I223">
        <v>90</v>
      </c>
      <c r="J223">
        <v>68.63</v>
      </c>
      <c r="K223">
        <v>98</v>
      </c>
      <c r="L223">
        <v>84.24</v>
      </c>
      <c r="M223">
        <v>88</v>
      </c>
      <c r="N223">
        <v>61.12</v>
      </c>
      <c r="O223">
        <v>87</v>
      </c>
      <c r="P223">
        <v>-17.61</v>
      </c>
      <c r="Q223">
        <v>92</v>
      </c>
      <c r="R223">
        <v>10.7</v>
      </c>
      <c r="S223">
        <v>81</v>
      </c>
      <c r="T223">
        <v>9.4600000000000009</v>
      </c>
      <c r="U223">
        <v>82</v>
      </c>
      <c r="V223">
        <v>1.23</v>
      </c>
      <c r="W223">
        <v>74</v>
      </c>
      <c r="X223" t="s">
        <v>276</v>
      </c>
      <c r="Y223" t="s">
        <v>342</v>
      </c>
      <c r="Z223" t="s">
        <v>96</v>
      </c>
      <c r="AA223" t="s">
        <v>316</v>
      </c>
      <c r="AB223">
        <v>2879</v>
      </c>
      <c r="AC223">
        <v>137</v>
      </c>
      <c r="AD223">
        <v>51</v>
      </c>
      <c r="AE223">
        <v>98</v>
      </c>
      <c r="AF223">
        <v>357.4</v>
      </c>
      <c r="AG223">
        <v>20.190000000000001</v>
      </c>
      <c r="AH223">
        <v>10</v>
      </c>
      <c r="AI223">
        <v>0.1</v>
      </c>
      <c r="AJ223">
        <v>-0.04</v>
      </c>
      <c r="AK223">
        <v>88</v>
      </c>
      <c r="AL223">
        <v>145</v>
      </c>
      <c r="AM223">
        <v>53</v>
      </c>
      <c r="AN223">
        <v>-4.43</v>
      </c>
      <c r="AO223">
        <v>2.29</v>
      </c>
      <c r="AP223">
        <v>264</v>
      </c>
      <c r="AQ223">
        <v>1</v>
      </c>
      <c r="AR223">
        <v>3.87</v>
      </c>
      <c r="AS223">
        <v>91</v>
      </c>
      <c r="AT223">
        <v>1.51</v>
      </c>
      <c r="AU223">
        <v>84</v>
      </c>
      <c r="AV223">
        <v>-5.56</v>
      </c>
      <c r="AW223">
        <v>97</v>
      </c>
      <c r="AX223">
        <v>0.36</v>
      </c>
      <c r="AY223">
        <v>83</v>
      </c>
      <c r="AZ223">
        <v>6.07</v>
      </c>
      <c r="BA223">
        <v>71</v>
      </c>
      <c r="BB223">
        <v>5.36</v>
      </c>
      <c r="BC223">
        <v>66</v>
      </c>
      <c r="BD223">
        <v>0</v>
      </c>
      <c r="BE223">
        <v>-0.04</v>
      </c>
      <c r="BF223">
        <v>-0.17</v>
      </c>
      <c r="BG223">
        <v>93</v>
      </c>
      <c r="BH223">
        <v>0.08</v>
      </c>
      <c r="BI223">
        <v>5.3</v>
      </c>
      <c r="BJ223">
        <v>7</v>
      </c>
      <c r="BK223">
        <v>4</v>
      </c>
      <c r="BL223">
        <v>-0.11</v>
      </c>
      <c r="BM223">
        <v>-0.63</v>
      </c>
      <c r="BN223">
        <v>-1.63</v>
      </c>
      <c r="BO223">
        <v>-0.68</v>
      </c>
      <c r="BP223">
        <v>0.64</v>
      </c>
      <c r="BQ223">
        <v>-0.19</v>
      </c>
      <c r="BR223">
        <v>-1.28</v>
      </c>
      <c r="BS223">
        <v>0.56000000000000005</v>
      </c>
      <c r="BT223">
        <v>0.45</v>
      </c>
      <c r="BU223">
        <v>0.21</v>
      </c>
      <c r="BV223">
        <v>-0.36</v>
      </c>
      <c r="BW223">
        <v>-1.58</v>
      </c>
      <c r="BX223">
        <v>2.3199999999999998</v>
      </c>
      <c r="BY223">
        <v>0.04</v>
      </c>
      <c r="BZ223">
        <v>0.05</v>
      </c>
      <c r="CA223">
        <v>0.49</v>
      </c>
      <c r="CB223">
        <v>-0.01</v>
      </c>
      <c r="CC223">
        <v>1.1399999999999999</v>
      </c>
      <c r="CD223">
        <v>0.45</v>
      </c>
      <c r="CE223">
        <v>-0.14000000000000001</v>
      </c>
      <c r="CF223">
        <v>0.72</v>
      </c>
      <c r="CG223">
        <v>0</v>
      </c>
      <c r="CH223">
        <v>-0.22</v>
      </c>
      <c r="CI223">
        <v>0</v>
      </c>
      <c r="CJ223">
        <v>-5.2</v>
      </c>
      <c r="CK223">
        <v>93</v>
      </c>
      <c r="CL223">
        <v>-1.1200000000000001</v>
      </c>
      <c r="CM223">
        <v>92</v>
      </c>
      <c r="CN223">
        <v>-0.14000000000000001</v>
      </c>
      <c r="CO223">
        <v>91</v>
      </c>
      <c r="CP223">
        <v>-3.4</v>
      </c>
      <c r="CQ223">
        <v>86</v>
      </c>
      <c r="CR223">
        <v>0</v>
      </c>
      <c r="CS223">
        <v>0</v>
      </c>
      <c r="CT223">
        <v>1</v>
      </c>
      <c r="CU223">
        <v>82</v>
      </c>
      <c r="CV223">
        <v>0.28999999999999998</v>
      </c>
      <c r="CW223">
        <v>47</v>
      </c>
      <c r="CX223" t="s">
        <v>1892</v>
      </c>
    </row>
    <row r="224" spans="1:102" x14ac:dyDescent="0.3">
      <c r="A224" t="str">
        <f>HYPERLINK("https://webapp.icbf.com/v2/app/bull-search/view/1037871706","FJM")</f>
        <v>FJM</v>
      </c>
      <c r="B224" t="s">
        <v>3092</v>
      </c>
      <c r="C224" t="s">
        <v>3093</v>
      </c>
      <c r="D224" s="1">
        <v>41301</v>
      </c>
      <c r="E224" t="s">
        <v>92</v>
      </c>
      <c r="F224">
        <v>94</v>
      </c>
      <c r="G224" t="s">
        <v>93</v>
      </c>
      <c r="H224">
        <v>217.51</v>
      </c>
      <c r="I224">
        <v>94</v>
      </c>
      <c r="J224">
        <v>85.12</v>
      </c>
      <c r="K224">
        <v>99</v>
      </c>
      <c r="L224">
        <v>75.33</v>
      </c>
      <c r="M224">
        <v>89</v>
      </c>
      <c r="N224">
        <v>52.84</v>
      </c>
      <c r="O224">
        <v>97</v>
      </c>
      <c r="P224">
        <v>-3.69</v>
      </c>
      <c r="Q224">
        <v>99</v>
      </c>
      <c r="R224">
        <v>1.41</v>
      </c>
      <c r="S224">
        <v>89</v>
      </c>
      <c r="T224">
        <v>5.76</v>
      </c>
      <c r="U224">
        <v>96</v>
      </c>
      <c r="V224">
        <v>0.74</v>
      </c>
      <c r="W224">
        <v>82</v>
      </c>
      <c r="X224" t="s">
        <v>102</v>
      </c>
      <c r="Y224" t="s">
        <v>1976</v>
      </c>
      <c r="Z224" t="s">
        <v>96</v>
      </c>
      <c r="AA224" t="s">
        <v>3094</v>
      </c>
      <c r="AB224" t="s">
        <v>3095</v>
      </c>
      <c r="AC224">
        <v>1498</v>
      </c>
      <c r="AD224">
        <v>428</v>
      </c>
      <c r="AE224">
        <v>99</v>
      </c>
      <c r="AF224">
        <v>24.37</v>
      </c>
      <c r="AG224">
        <v>18.260000000000002</v>
      </c>
      <c r="AH224">
        <v>8.39</v>
      </c>
      <c r="AI224">
        <v>0.3</v>
      </c>
      <c r="AJ224">
        <v>0.13</v>
      </c>
      <c r="AK224">
        <v>89</v>
      </c>
      <c r="AL224">
        <v>1086</v>
      </c>
      <c r="AM224">
        <v>386</v>
      </c>
      <c r="AN224">
        <v>-3.89</v>
      </c>
      <c r="AO224">
        <v>2.12</v>
      </c>
      <c r="AP224">
        <v>5565</v>
      </c>
      <c r="AQ224">
        <v>24</v>
      </c>
      <c r="AR224">
        <v>5.59</v>
      </c>
      <c r="AS224">
        <v>99</v>
      </c>
      <c r="AT224">
        <v>2.2799999999999998</v>
      </c>
      <c r="AU224">
        <v>99</v>
      </c>
      <c r="AV224">
        <v>-5.18</v>
      </c>
      <c r="AW224">
        <v>99</v>
      </c>
      <c r="AX224">
        <v>-0.6</v>
      </c>
      <c r="AY224">
        <v>99</v>
      </c>
      <c r="AZ224">
        <v>6.8</v>
      </c>
      <c r="BA224">
        <v>95</v>
      </c>
      <c r="BB224">
        <v>5.12</v>
      </c>
      <c r="BC224">
        <v>85</v>
      </c>
      <c r="BD224">
        <v>0.04</v>
      </c>
      <c r="BE224">
        <v>-0.01</v>
      </c>
      <c r="BF224">
        <v>-0.08</v>
      </c>
      <c r="BG224">
        <v>98</v>
      </c>
      <c r="BH224">
        <v>0.1</v>
      </c>
      <c r="BI224">
        <v>9.19</v>
      </c>
      <c r="BJ224">
        <v>18</v>
      </c>
      <c r="BK224">
        <v>8</v>
      </c>
      <c r="BL224">
        <v>-0.17</v>
      </c>
      <c r="BM224">
        <v>0.34</v>
      </c>
      <c r="BN224">
        <v>-0.84</v>
      </c>
      <c r="BO224">
        <v>-0.69</v>
      </c>
      <c r="BP224">
        <v>5.49</v>
      </c>
      <c r="BQ224">
        <v>-0.26</v>
      </c>
      <c r="BR224">
        <v>0.17</v>
      </c>
      <c r="BS224">
        <v>-2.44</v>
      </c>
      <c r="BT224">
        <v>-0.9</v>
      </c>
      <c r="BU224">
        <v>-0.41</v>
      </c>
      <c r="BV224">
        <v>-1.44</v>
      </c>
      <c r="BW224">
        <v>0.12</v>
      </c>
      <c r="BX224">
        <v>-0.06</v>
      </c>
      <c r="BY224">
        <v>0.54</v>
      </c>
      <c r="BZ224">
        <v>-2.1</v>
      </c>
      <c r="CA224">
        <v>-1.03</v>
      </c>
      <c r="CB224">
        <v>-0.42</v>
      </c>
      <c r="CC224">
        <v>-1.92</v>
      </c>
      <c r="CD224">
        <v>0.23</v>
      </c>
      <c r="CE224">
        <v>-1.05</v>
      </c>
      <c r="CF224">
        <v>-0.9</v>
      </c>
      <c r="CG224">
        <v>0</v>
      </c>
      <c r="CH224">
        <v>1.21</v>
      </c>
      <c r="CI224">
        <v>0</v>
      </c>
      <c r="CJ224">
        <v>0.6</v>
      </c>
      <c r="CK224">
        <v>99</v>
      </c>
      <c r="CL224">
        <v>-0.7</v>
      </c>
      <c r="CM224">
        <v>99</v>
      </c>
      <c r="CN224">
        <v>-0.24</v>
      </c>
      <c r="CO224">
        <v>99</v>
      </c>
      <c r="CP224">
        <v>-0.7</v>
      </c>
      <c r="CQ224">
        <v>94</v>
      </c>
      <c r="CR224">
        <v>0</v>
      </c>
      <c r="CS224">
        <v>0</v>
      </c>
      <c r="CT224">
        <v>6</v>
      </c>
      <c r="CU224">
        <v>96</v>
      </c>
      <c r="CV224">
        <v>0.27</v>
      </c>
      <c r="CW224">
        <v>48</v>
      </c>
      <c r="CX224" t="s">
        <v>3096</v>
      </c>
    </row>
    <row r="225" spans="1:102" x14ac:dyDescent="0.3">
      <c r="A225" t="str">
        <f>HYPERLINK("https://webapp.icbf.com/v2/app/bull-search/view/1022450206","FR4543")</f>
        <v>FR4543</v>
      </c>
      <c r="B225" t="s">
        <v>6197</v>
      </c>
      <c r="C225" t="s">
        <v>6198</v>
      </c>
      <c r="D225" s="1">
        <v>41126</v>
      </c>
      <c r="E225" t="s">
        <v>108</v>
      </c>
      <c r="F225">
        <v>31</v>
      </c>
      <c r="G225" t="s">
        <v>109</v>
      </c>
      <c r="H225">
        <v>217.42</v>
      </c>
      <c r="I225">
        <v>70</v>
      </c>
      <c r="J225">
        <v>81.63</v>
      </c>
      <c r="K225">
        <v>88</v>
      </c>
      <c r="L225">
        <v>79.94</v>
      </c>
      <c r="M225">
        <v>70</v>
      </c>
      <c r="N225">
        <v>42.55</v>
      </c>
      <c r="O225">
        <v>60</v>
      </c>
      <c r="P225">
        <v>-24.64</v>
      </c>
      <c r="Q225">
        <v>45</v>
      </c>
      <c r="R225">
        <v>6.25</v>
      </c>
      <c r="S225">
        <v>68</v>
      </c>
      <c r="T225">
        <v>26.63</v>
      </c>
      <c r="U225">
        <v>45</v>
      </c>
      <c r="V225">
        <v>5.0599999999999996</v>
      </c>
      <c r="W225">
        <v>53</v>
      </c>
      <c r="X225" t="s">
        <v>276</v>
      </c>
      <c r="Y225" t="s">
        <v>442</v>
      </c>
      <c r="Z225" t="s">
        <v>330</v>
      </c>
      <c r="AA225" t="s">
        <v>6199</v>
      </c>
      <c r="AB225" t="s">
        <v>6200</v>
      </c>
      <c r="AC225">
        <v>0</v>
      </c>
      <c r="AD225">
        <v>0</v>
      </c>
      <c r="AE225">
        <v>88</v>
      </c>
      <c r="AF225">
        <v>30.9</v>
      </c>
      <c r="AG225">
        <v>13.84</v>
      </c>
      <c r="AH225">
        <v>9.4600000000000009</v>
      </c>
      <c r="AI225">
        <v>0.21</v>
      </c>
      <c r="AJ225">
        <v>0.15</v>
      </c>
      <c r="AK225">
        <v>70</v>
      </c>
      <c r="AL225">
        <v>0</v>
      </c>
      <c r="AM225">
        <v>0</v>
      </c>
      <c r="AN225">
        <v>-3.18</v>
      </c>
      <c r="AO225">
        <v>3.21</v>
      </c>
      <c r="AP225">
        <v>15</v>
      </c>
      <c r="AQ225">
        <v>0</v>
      </c>
      <c r="AR225">
        <v>4.2699999999999996</v>
      </c>
      <c r="AS225">
        <v>50</v>
      </c>
      <c r="AT225">
        <v>1.8</v>
      </c>
      <c r="AU225">
        <v>79</v>
      </c>
      <c r="AV225">
        <v>-3.65</v>
      </c>
      <c r="AW225">
        <v>62</v>
      </c>
      <c r="AX225">
        <v>-0.1</v>
      </c>
      <c r="AY225">
        <v>47</v>
      </c>
      <c r="AZ225">
        <v>7.94</v>
      </c>
      <c r="BA225">
        <v>41</v>
      </c>
      <c r="BB225">
        <v>5.24</v>
      </c>
      <c r="BC225">
        <v>42</v>
      </c>
      <c r="BD225">
        <v>-0.04</v>
      </c>
      <c r="BE225">
        <v>-0.03</v>
      </c>
      <c r="BF225">
        <v>-0.02</v>
      </c>
      <c r="BG225">
        <v>85</v>
      </c>
      <c r="BH225">
        <v>0.01</v>
      </c>
      <c r="BI225">
        <v>-15.16</v>
      </c>
      <c r="BJ225">
        <v>0</v>
      </c>
      <c r="BK225">
        <v>0</v>
      </c>
      <c r="BL225">
        <v>-2.23</v>
      </c>
      <c r="BM225">
        <v>-0.75</v>
      </c>
      <c r="BN225">
        <v>-1.87</v>
      </c>
      <c r="BO225">
        <v>-0.8</v>
      </c>
      <c r="BP225">
        <v>-2.54</v>
      </c>
      <c r="BQ225">
        <v>-3.56</v>
      </c>
      <c r="BR225">
        <v>3.11</v>
      </c>
      <c r="BS225">
        <v>-0.18</v>
      </c>
      <c r="BT225">
        <v>-1.9</v>
      </c>
      <c r="BU225">
        <v>-1.0900000000000001</v>
      </c>
      <c r="BV225">
        <v>-0.78</v>
      </c>
      <c r="BW225">
        <v>-1.4</v>
      </c>
      <c r="BX225">
        <v>-0.65</v>
      </c>
      <c r="BY225">
        <v>-2.04</v>
      </c>
      <c r="BZ225">
        <v>0.92</v>
      </c>
      <c r="CA225">
        <v>-0.84</v>
      </c>
      <c r="CB225">
        <v>-0.82</v>
      </c>
      <c r="CC225">
        <v>-0.34</v>
      </c>
      <c r="CD225">
        <v>0.67</v>
      </c>
      <c r="CE225">
        <v>-0.05</v>
      </c>
      <c r="CF225">
        <v>-1.08</v>
      </c>
      <c r="CG225">
        <v>0</v>
      </c>
      <c r="CH225">
        <v>-2.21</v>
      </c>
      <c r="CI225">
        <v>0</v>
      </c>
      <c r="CJ225">
        <v>-10.9</v>
      </c>
      <c r="CK225">
        <v>45</v>
      </c>
      <c r="CL225">
        <v>-0.97</v>
      </c>
      <c r="CM225">
        <v>45</v>
      </c>
      <c r="CN225">
        <v>-0.23</v>
      </c>
      <c r="CO225">
        <v>45</v>
      </c>
      <c r="CP225">
        <v>-15.2</v>
      </c>
      <c r="CQ225">
        <v>45</v>
      </c>
      <c r="CR225">
        <v>0</v>
      </c>
      <c r="CS225">
        <v>0</v>
      </c>
      <c r="CT225">
        <v>-22.2</v>
      </c>
      <c r="CU225">
        <v>45</v>
      </c>
      <c r="CV225">
        <v>0.2</v>
      </c>
      <c r="CW225">
        <v>34</v>
      </c>
      <c r="CX225" t="s">
        <v>6201</v>
      </c>
    </row>
    <row r="226" spans="1:102" x14ac:dyDescent="0.3">
      <c r="A226" t="str">
        <f>HYPERLINK("https://webapp.icbf.com/v2/app/bull-search/view/400381271","LDU")</f>
        <v>LDU</v>
      </c>
      <c r="B226" t="s">
        <v>4484</v>
      </c>
      <c r="C226" t="s">
        <v>2174</v>
      </c>
      <c r="D226" s="1">
        <v>38411</v>
      </c>
      <c r="E226" t="s">
        <v>92</v>
      </c>
      <c r="F226">
        <v>100</v>
      </c>
      <c r="G226" t="s">
        <v>93</v>
      </c>
      <c r="H226">
        <v>217.38</v>
      </c>
      <c r="I226">
        <v>97</v>
      </c>
      <c r="J226">
        <v>81.62</v>
      </c>
      <c r="K226">
        <v>99</v>
      </c>
      <c r="L226">
        <v>71.36</v>
      </c>
      <c r="M226">
        <v>95</v>
      </c>
      <c r="N226">
        <v>49.84</v>
      </c>
      <c r="O226">
        <v>98</v>
      </c>
      <c r="P226">
        <v>-10.93</v>
      </c>
      <c r="Q226">
        <v>99</v>
      </c>
      <c r="R226">
        <v>6.83</v>
      </c>
      <c r="S226">
        <v>96</v>
      </c>
      <c r="T226">
        <v>14.2</v>
      </c>
      <c r="U226">
        <v>99</v>
      </c>
      <c r="V226">
        <v>4.46</v>
      </c>
      <c r="W226">
        <v>97</v>
      </c>
      <c r="X226" t="s">
        <v>94</v>
      </c>
      <c r="Y226" t="s">
        <v>1164</v>
      </c>
      <c r="Z226" t="s">
        <v>96</v>
      </c>
      <c r="AA226" t="s">
        <v>316</v>
      </c>
      <c r="AB226" t="s">
        <v>4485</v>
      </c>
      <c r="AC226">
        <v>1742</v>
      </c>
      <c r="AD226">
        <v>716</v>
      </c>
      <c r="AE226">
        <v>99</v>
      </c>
      <c r="AF226">
        <v>340.57</v>
      </c>
      <c r="AG226">
        <v>13.58</v>
      </c>
      <c r="AH226">
        <v>14.29</v>
      </c>
      <c r="AI226">
        <v>0.01</v>
      </c>
      <c r="AJ226">
        <v>0.05</v>
      </c>
      <c r="AK226">
        <v>95</v>
      </c>
      <c r="AL226">
        <v>1964</v>
      </c>
      <c r="AM226">
        <v>847</v>
      </c>
      <c r="AN226">
        <v>-3.97</v>
      </c>
      <c r="AO226">
        <v>1.72</v>
      </c>
      <c r="AP226">
        <v>3102</v>
      </c>
      <c r="AQ226">
        <v>23</v>
      </c>
      <c r="AR226">
        <v>4.1900000000000004</v>
      </c>
      <c r="AS226">
        <v>97</v>
      </c>
      <c r="AT226">
        <v>1.72</v>
      </c>
      <c r="AU226">
        <v>99</v>
      </c>
      <c r="AV226">
        <v>-3.81</v>
      </c>
      <c r="AW226">
        <v>99</v>
      </c>
      <c r="AX226">
        <v>-0.72</v>
      </c>
      <c r="AY226">
        <v>99</v>
      </c>
      <c r="AZ226">
        <v>5.45</v>
      </c>
      <c r="BA226">
        <v>95</v>
      </c>
      <c r="BB226">
        <v>5.24</v>
      </c>
      <c r="BC226">
        <v>96</v>
      </c>
      <c r="BD226">
        <v>-0.03</v>
      </c>
      <c r="BE226">
        <v>-0.03</v>
      </c>
      <c r="BF226">
        <v>-0.05</v>
      </c>
      <c r="BG226">
        <v>99</v>
      </c>
      <c r="BH226">
        <v>0.09</v>
      </c>
      <c r="BI226">
        <v>-3.97</v>
      </c>
      <c r="BJ226">
        <v>133</v>
      </c>
      <c r="BK226">
        <v>72</v>
      </c>
      <c r="BL226">
        <v>-0.23</v>
      </c>
      <c r="BM226">
        <v>-0.41</v>
      </c>
      <c r="BN226">
        <v>-1.1499999999999999</v>
      </c>
      <c r="BO226">
        <v>-0.16</v>
      </c>
      <c r="BP226">
        <v>3.55</v>
      </c>
      <c r="BQ226">
        <v>-1.61</v>
      </c>
      <c r="BR226">
        <v>-1.08</v>
      </c>
      <c r="BS226">
        <v>0.22</v>
      </c>
      <c r="BT226">
        <v>0.53</v>
      </c>
      <c r="BU226">
        <v>0.42</v>
      </c>
      <c r="BV226">
        <v>0.2</v>
      </c>
      <c r="BW226">
        <v>-1.1599999999999999</v>
      </c>
      <c r="BX226">
        <v>0.11</v>
      </c>
      <c r="BY226">
        <v>-1.17</v>
      </c>
      <c r="BZ226">
        <v>1.63</v>
      </c>
      <c r="CA226">
        <v>0.78</v>
      </c>
      <c r="CB226">
        <v>0.43</v>
      </c>
      <c r="CC226">
        <v>1.02</v>
      </c>
      <c r="CD226">
        <v>0.03</v>
      </c>
      <c r="CE226">
        <v>0.33</v>
      </c>
      <c r="CF226">
        <v>-0.42</v>
      </c>
      <c r="CG226">
        <v>0</v>
      </c>
      <c r="CH226">
        <v>-0.81</v>
      </c>
      <c r="CI226">
        <v>0</v>
      </c>
      <c r="CJ226">
        <v>-4.5</v>
      </c>
      <c r="CK226">
        <v>99</v>
      </c>
      <c r="CL226">
        <v>-0.84</v>
      </c>
      <c r="CM226">
        <v>99</v>
      </c>
      <c r="CN226">
        <v>-0.44</v>
      </c>
      <c r="CO226">
        <v>99</v>
      </c>
      <c r="CP226">
        <v>-8</v>
      </c>
      <c r="CQ226">
        <v>99</v>
      </c>
      <c r="CR226">
        <v>0</v>
      </c>
      <c r="CS226">
        <v>0</v>
      </c>
      <c r="CT226">
        <v>-5.4</v>
      </c>
      <c r="CU226">
        <v>99</v>
      </c>
      <c r="CV226">
        <v>0.16</v>
      </c>
      <c r="CW226">
        <v>49</v>
      </c>
      <c r="CX226" t="s">
        <v>1420</v>
      </c>
    </row>
    <row r="227" spans="1:102" x14ac:dyDescent="0.3">
      <c r="A227" t="str">
        <f>HYPERLINK("https://webapp.icbf.com/v2/app/bull-search/view/1478545673","FR4488")</f>
        <v>FR4488</v>
      </c>
      <c r="B227" t="s">
        <v>8390</v>
      </c>
      <c r="C227" t="s">
        <v>8391</v>
      </c>
      <c r="D227" s="1">
        <v>42777</v>
      </c>
      <c r="E227" t="s">
        <v>92</v>
      </c>
      <c r="F227">
        <v>75</v>
      </c>
      <c r="G227" t="s">
        <v>435</v>
      </c>
      <c r="H227">
        <v>217.26</v>
      </c>
      <c r="I227">
        <v>70</v>
      </c>
      <c r="J227">
        <v>74.56</v>
      </c>
      <c r="K227">
        <v>88</v>
      </c>
      <c r="L227">
        <v>95.61</v>
      </c>
      <c r="M227">
        <v>61</v>
      </c>
      <c r="N227">
        <v>50.93</v>
      </c>
      <c r="O227">
        <v>80</v>
      </c>
      <c r="P227">
        <v>-17.89</v>
      </c>
      <c r="Q227">
        <v>52</v>
      </c>
      <c r="R227">
        <v>-6.41</v>
      </c>
      <c r="S227">
        <v>61</v>
      </c>
      <c r="T227">
        <v>17.670000000000002</v>
      </c>
      <c r="U227">
        <v>50</v>
      </c>
      <c r="V227">
        <v>2.79</v>
      </c>
      <c r="W227">
        <v>57</v>
      </c>
      <c r="X227" t="s">
        <v>234</v>
      </c>
      <c r="Y227" t="s">
        <v>2384</v>
      </c>
      <c r="Z227" t="s">
        <v>96</v>
      </c>
      <c r="AA227" t="s">
        <v>7748</v>
      </c>
      <c r="AB227" t="s">
        <v>8392</v>
      </c>
      <c r="AC227">
        <v>0</v>
      </c>
      <c r="AD227">
        <v>0</v>
      </c>
      <c r="AE227">
        <v>88</v>
      </c>
      <c r="AF227">
        <v>162.59</v>
      </c>
      <c r="AG227">
        <v>13.37</v>
      </c>
      <c r="AH227">
        <v>10.44</v>
      </c>
      <c r="AI227">
        <v>0.11</v>
      </c>
      <c r="AJ227">
        <v>0.09</v>
      </c>
      <c r="AK227">
        <v>61</v>
      </c>
      <c r="AL227">
        <v>0</v>
      </c>
      <c r="AM227">
        <v>0</v>
      </c>
      <c r="AN227">
        <v>-4.0599999999999996</v>
      </c>
      <c r="AO227">
        <v>3.58</v>
      </c>
      <c r="AP227">
        <v>306</v>
      </c>
      <c r="AQ227">
        <v>0</v>
      </c>
      <c r="AR227">
        <v>3.74</v>
      </c>
      <c r="AS227">
        <v>59</v>
      </c>
      <c r="AT227">
        <v>1.72</v>
      </c>
      <c r="AU227">
        <v>89</v>
      </c>
      <c r="AV227">
        <v>-4.6100000000000003</v>
      </c>
      <c r="AW227">
        <v>95</v>
      </c>
      <c r="AX227">
        <v>0.06</v>
      </c>
      <c r="AY227">
        <v>81</v>
      </c>
      <c r="AZ227">
        <v>7.12</v>
      </c>
      <c r="BA227">
        <v>42</v>
      </c>
      <c r="BB227">
        <v>5.52</v>
      </c>
      <c r="BC227">
        <v>35</v>
      </c>
      <c r="BD227">
        <v>-0.01</v>
      </c>
      <c r="BE227">
        <v>0.06</v>
      </c>
      <c r="BF227">
        <v>0.05</v>
      </c>
      <c r="BG227">
        <v>72</v>
      </c>
      <c r="BH227">
        <v>-0.09</v>
      </c>
      <c r="BI227">
        <v>-19.399999999999999</v>
      </c>
      <c r="BJ227">
        <v>0</v>
      </c>
      <c r="BK227">
        <v>0</v>
      </c>
      <c r="BL227">
        <v>-1.59</v>
      </c>
      <c r="BM227">
        <v>-0.9</v>
      </c>
      <c r="BN227">
        <v>-1.1000000000000001</v>
      </c>
      <c r="BO227">
        <v>-0.63</v>
      </c>
      <c r="BP227">
        <v>2.13</v>
      </c>
      <c r="BQ227">
        <v>-1.96</v>
      </c>
      <c r="BR227">
        <v>0.57999999999999996</v>
      </c>
      <c r="BS227">
        <v>0.4</v>
      </c>
      <c r="BT227">
        <v>-1.28</v>
      </c>
      <c r="BU227">
        <v>-1.93</v>
      </c>
      <c r="BV227">
        <v>-2.25</v>
      </c>
      <c r="BW227">
        <v>-2.62</v>
      </c>
      <c r="BX227">
        <v>-2.02</v>
      </c>
      <c r="BY227">
        <v>-2.59</v>
      </c>
      <c r="BZ227">
        <v>-1.93</v>
      </c>
      <c r="CA227">
        <v>-1.47</v>
      </c>
      <c r="CB227">
        <v>-1.96</v>
      </c>
      <c r="CC227">
        <v>-0.38</v>
      </c>
      <c r="CD227">
        <v>-0.93</v>
      </c>
      <c r="CE227">
        <v>-0.53</v>
      </c>
      <c r="CF227">
        <v>-2.08</v>
      </c>
      <c r="CG227">
        <v>0</v>
      </c>
      <c r="CH227">
        <v>-1.1200000000000001</v>
      </c>
      <c r="CI227">
        <v>0</v>
      </c>
      <c r="CJ227">
        <v>-7.7</v>
      </c>
      <c r="CK227">
        <v>56</v>
      </c>
      <c r="CL227">
        <v>-0.61</v>
      </c>
      <c r="CM227">
        <v>46</v>
      </c>
      <c r="CN227">
        <v>-0.04</v>
      </c>
      <c r="CO227">
        <v>46</v>
      </c>
      <c r="CP227">
        <v>-9.6</v>
      </c>
      <c r="CQ227">
        <v>47</v>
      </c>
      <c r="CR227">
        <v>0</v>
      </c>
      <c r="CS227">
        <v>0</v>
      </c>
      <c r="CT227">
        <v>-10.1</v>
      </c>
      <c r="CU227">
        <v>50</v>
      </c>
      <c r="CV227">
        <v>0.09</v>
      </c>
      <c r="CW227">
        <v>35</v>
      </c>
      <c r="CX227" t="s">
        <v>390</v>
      </c>
    </row>
    <row r="228" spans="1:102" x14ac:dyDescent="0.3">
      <c r="A228" t="str">
        <f>HYPERLINK("https://webapp.icbf.com/v2/app/bull-search/view/720503815","HOW")</f>
        <v>HOW</v>
      </c>
      <c r="B228" t="s">
        <v>1698</v>
      </c>
      <c r="C228" t="s">
        <v>1699</v>
      </c>
      <c r="D228" s="1">
        <v>39343</v>
      </c>
      <c r="E228" t="s">
        <v>92</v>
      </c>
      <c r="F228">
        <v>50</v>
      </c>
      <c r="G228" t="s">
        <v>93</v>
      </c>
      <c r="H228">
        <v>217.16</v>
      </c>
      <c r="I228">
        <v>96</v>
      </c>
      <c r="J228">
        <v>92.14</v>
      </c>
      <c r="K228">
        <v>99</v>
      </c>
      <c r="L228">
        <v>72.150000000000006</v>
      </c>
      <c r="M228">
        <v>93</v>
      </c>
      <c r="N228">
        <v>42.56</v>
      </c>
      <c r="O228">
        <v>97</v>
      </c>
      <c r="P228">
        <v>-41.46</v>
      </c>
      <c r="Q228">
        <v>99</v>
      </c>
      <c r="R228">
        <v>2.86</v>
      </c>
      <c r="S228">
        <v>91</v>
      </c>
      <c r="T228">
        <v>39.65</v>
      </c>
      <c r="U228">
        <v>98</v>
      </c>
      <c r="V228">
        <v>9.26</v>
      </c>
      <c r="W228">
        <v>84</v>
      </c>
      <c r="X228" t="s">
        <v>276</v>
      </c>
      <c r="Y228" t="s">
        <v>319</v>
      </c>
      <c r="Z228">
        <v>0</v>
      </c>
      <c r="AA228" t="s">
        <v>1700</v>
      </c>
      <c r="AB228" t="s">
        <v>144</v>
      </c>
      <c r="AC228">
        <v>889</v>
      </c>
      <c r="AD228">
        <v>211</v>
      </c>
      <c r="AE228">
        <v>99</v>
      </c>
      <c r="AF228">
        <v>-231.96</v>
      </c>
      <c r="AG228">
        <v>18.57</v>
      </c>
      <c r="AH228">
        <v>5.55</v>
      </c>
      <c r="AI228">
        <v>0.5</v>
      </c>
      <c r="AJ228">
        <v>0.24</v>
      </c>
      <c r="AK228">
        <v>93</v>
      </c>
      <c r="AL228">
        <v>1120</v>
      </c>
      <c r="AM228">
        <v>248</v>
      </c>
      <c r="AN228">
        <v>-2.68</v>
      </c>
      <c r="AO228">
        <v>3.09</v>
      </c>
      <c r="AP228">
        <v>1801</v>
      </c>
      <c r="AQ228">
        <v>11</v>
      </c>
      <c r="AR228">
        <v>3.19</v>
      </c>
      <c r="AS228">
        <v>98</v>
      </c>
      <c r="AT228">
        <v>1.5</v>
      </c>
      <c r="AU228">
        <v>97</v>
      </c>
      <c r="AV228">
        <v>-3.21</v>
      </c>
      <c r="AW228">
        <v>99</v>
      </c>
      <c r="AX228">
        <v>-0.24</v>
      </c>
      <c r="AY228">
        <v>97</v>
      </c>
      <c r="AZ228">
        <v>7.38</v>
      </c>
      <c r="BA228">
        <v>93</v>
      </c>
      <c r="BB228">
        <v>5.44</v>
      </c>
      <c r="BC228">
        <v>92</v>
      </c>
      <c r="BD228">
        <v>-0.04</v>
      </c>
      <c r="BE228">
        <v>-0.01</v>
      </c>
      <c r="BF228">
        <v>0.02</v>
      </c>
      <c r="BG228">
        <v>98</v>
      </c>
      <c r="BH228">
        <v>0.08</v>
      </c>
      <c r="BI228">
        <v>-20.62</v>
      </c>
      <c r="BJ228">
        <v>21</v>
      </c>
      <c r="BK228">
        <v>7</v>
      </c>
      <c r="BL228">
        <v>-3.03</v>
      </c>
      <c r="BM228">
        <v>-1.1599999999999999</v>
      </c>
      <c r="BN228">
        <v>-1.9</v>
      </c>
      <c r="BO228">
        <v>-0.64</v>
      </c>
      <c r="BP228">
        <v>0.56999999999999995</v>
      </c>
      <c r="BQ228">
        <v>-4.7</v>
      </c>
      <c r="BR228">
        <v>2.8</v>
      </c>
      <c r="BS228">
        <v>2.88</v>
      </c>
      <c r="BT228">
        <v>-1.78</v>
      </c>
      <c r="BU228">
        <v>-1.49</v>
      </c>
      <c r="BV228">
        <v>-0.51</v>
      </c>
      <c r="BW228">
        <v>-1.99</v>
      </c>
      <c r="BX228">
        <v>-3.83</v>
      </c>
      <c r="BY228">
        <v>0.56000000000000005</v>
      </c>
      <c r="BZ228">
        <v>-2.5299999999999998</v>
      </c>
      <c r="CA228">
        <v>-0.14000000000000001</v>
      </c>
      <c r="CB228">
        <v>-0.9</v>
      </c>
      <c r="CC228">
        <v>1.36</v>
      </c>
      <c r="CD228">
        <v>-0.5</v>
      </c>
      <c r="CE228">
        <v>-0.91</v>
      </c>
      <c r="CF228">
        <v>-2.97</v>
      </c>
      <c r="CG228">
        <v>0</v>
      </c>
      <c r="CH228">
        <v>-1.1399999999999999</v>
      </c>
      <c r="CI228">
        <v>0</v>
      </c>
      <c r="CJ228">
        <v>-23.2</v>
      </c>
      <c r="CK228">
        <v>99</v>
      </c>
      <c r="CL228">
        <v>-0.73</v>
      </c>
      <c r="CM228">
        <v>99</v>
      </c>
      <c r="CN228">
        <v>-0.28999999999999998</v>
      </c>
      <c r="CO228">
        <v>99</v>
      </c>
      <c r="CP228">
        <v>-35.4</v>
      </c>
      <c r="CQ228">
        <v>96</v>
      </c>
      <c r="CR228">
        <v>0</v>
      </c>
      <c r="CS228">
        <v>0</v>
      </c>
      <c r="CT228">
        <v>-39.799999999999997</v>
      </c>
      <c r="CU228">
        <v>98</v>
      </c>
      <c r="CV228">
        <v>-0.2</v>
      </c>
      <c r="CW228">
        <v>46</v>
      </c>
      <c r="CX228" t="s">
        <v>1701</v>
      </c>
    </row>
    <row r="229" spans="1:102" x14ac:dyDescent="0.3">
      <c r="A229" t="str">
        <f>HYPERLINK("https://webapp.icbf.com/v2/app/bull-search/view/1354260215","JE4592")</f>
        <v>JE4592</v>
      </c>
      <c r="B229" t="s">
        <v>7742</v>
      </c>
      <c r="C229" t="s">
        <v>7743</v>
      </c>
      <c r="D229" s="1">
        <v>42388</v>
      </c>
      <c r="E229" t="s">
        <v>227</v>
      </c>
      <c r="F229">
        <v>0</v>
      </c>
      <c r="G229" t="s">
        <v>435</v>
      </c>
      <c r="H229">
        <v>216.76</v>
      </c>
      <c r="I229">
        <v>64</v>
      </c>
      <c r="J229">
        <v>97.33</v>
      </c>
      <c r="K229">
        <v>80</v>
      </c>
      <c r="L229">
        <v>69.510000000000005</v>
      </c>
      <c r="M229">
        <v>58</v>
      </c>
      <c r="N229">
        <v>49.75</v>
      </c>
      <c r="O229">
        <v>79</v>
      </c>
      <c r="P229">
        <v>-60</v>
      </c>
      <c r="Q229">
        <v>41</v>
      </c>
      <c r="R229">
        <v>-2</v>
      </c>
      <c r="S229">
        <v>56</v>
      </c>
      <c r="T229">
        <v>52.75</v>
      </c>
      <c r="U229">
        <v>35</v>
      </c>
      <c r="V229">
        <v>9.42</v>
      </c>
      <c r="W229">
        <v>55</v>
      </c>
      <c r="X229" t="s">
        <v>234</v>
      </c>
      <c r="Y229" t="s">
        <v>2384</v>
      </c>
      <c r="Z229">
        <v>0</v>
      </c>
      <c r="AA229" t="s">
        <v>7744</v>
      </c>
      <c r="AB229" t="s">
        <v>7745</v>
      </c>
      <c r="AC229">
        <v>0</v>
      </c>
      <c r="AD229">
        <v>0</v>
      </c>
      <c r="AE229">
        <v>80</v>
      </c>
      <c r="AF229">
        <v>-145.52000000000001</v>
      </c>
      <c r="AG229">
        <v>18.079999999999998</v>
      </c>
      <c r="AH229">
        <v>7.93</v>
      </c>
      <c r="AI229">
        <v>0.42</v>
      </c>
      <c r="AJ229">
        <v>0.23</v>
      </c>
      <c r="AK229">
        <v>58</v>
      </c>
      <c r="AL229">
        <v>0</v>
      </c>
      <c r="AM229">
        <v>0</v>
      </c>
      <c r="AN229">
        <v>-4.8499999999999996</v>
      </c>
      <c r="AO229">
        <v>0.68</v>
      </c>
      <c r="AP229">
        <v>220</v>
      </c>
      <c r="AQ229">
        <v>0</v>
      </c>
      <c r="AR229">
        <v>2.73</v>
      </c>
      <c r="AS229">
        <v>85</v>
      </c>
      <c r="AT229">
        <v>1.2</v>
      </c>
      <c r="AU229">
        <v>80</v>
      </c>
      <c r="AV229">
        <v>-3.94</v>
      </c>
      <c r="AW229">
        <v>96</v>
      </c>
      <c r="AX229">
        <v>0.57999999999999996</v>
      </c>
      <c r="AY229">
        <v>77</v>
      </c>
      <c r="AZ229">
        <v>7</v>
      </c>
      <c r="BA229">
        <v>35</v>
      </c>
      <c r="BB229">
        <v>5.28</v>
      </c>
      <c r="BC229">
        <v>34</v>
      </c>
      <c r="BD229">
        <v>-0.06</v>
      </c>
      <c r="BE229">
        <v>0.04</v>
      </c>
      <c r="BF229">
        <v>7.0000000000000007E-2</v>
      </c>
      <c r="BG229">
        <v>61</v>
      </c>
      <c r="BH229">
        <v>0.39</v>
      </c>
      <c r="BI229">
        <v>14.72</v>
      </c>
      <c r="BJ229">
        <v>0</v>
      </c>
      <c r="BK229">
        <v>0</v>
      </c>
      <c r="BL229">
        <v>-2.81</v>
      </c>
      <c r="BM229">
        <v>-1.88</v>
      </c>
      <c r="BN229">
        <v>-0.46</v>
      </c>
      <c r="BO229">
        <v>1.1499999999999999</v>
      </c>
      <c r="BP229">
        <v>-0.71</v>
      </c>
      <c r="BQ229">
        <v>-5.95</v>
      </c>
      <c r="BR229">
        <v>2.93</v>
      </c>
      <c r="BS229">
        <v>5.97</v>
      </c>
      <c r="BT229">
        <v>-1.44</v>
      </c>
      <c r="BU229">
        <v>-1.03</v>
      </c>
      <c r="BV229">
        <v>-0.45</v>
      </c>
      <c r="BW229">
        <v>-2.54</v>
      </c>
      <c r="BX229">
        <v>-3.89</v>
      </c>
      <c r="BY229">
        <v>-0.04</v>
      </c>
      <c r="BZ229">
        <v>-0.79</v>
      </c>
      <c r="CA229">
        <v>0.81</v>
      </c>
      <c r="CB229">
        <v>-0.66</v>
      </c>
      <c r="CC229">
        <v>3.5</v>
      </c>
      <c r="CD229">
        <v>-2.14</v>
      </c>
      <c r="CE229">
        <v>0.82</v>
      </c>
      <c r="CF229">
        <v>-3.09</v>
      </c>
      <c r="CG229">
        <v>0</v>
      </c>
      <c r="CH229">
        <v>-0.99</v>
      </c>
      <c r="CI229">
        <v>0</v>
      </c>
      <c r="CJ229">
        <v>-30</v>
      </c>
      <c r="CK229">
        <v>45</v>
      </c>
      <c r="CL229">
        <v>-1.17</v>
      </c>
      <c r="CM229">
        <v>34</v>
      </c>
      <c r="CN229">
        <v>-0.01</v>
      </c>
      <c r="CO229">
        <v>34</v>
      </c>
      <c r="CP229">
        <v>-44.3</v>
      </c>
      <c r="CQ229">
        <v>37</v>
      </c>
      <c r="CR229">
        <v>0</v>
      </c>
      <c r="CS229">
        <v>0</v>
      </c>
      <c r="CT229">
        <v>-57.5</v>
      </c>
      <c r="CU229">
        <v>35</v>
      </c>
      <c r="CV229">
        <v>-0.2</v>
      </c>
      <c r="CW229">
        <v>32</v>
      </c>
      <c r="CX229" t="s">
        <v>7746</v>
      </c>
    </row>
    <row r="230" spans="1:102" x14ac:dyDescent="0.3">
      <c r="A230" t="str">
        <f>HYPERLINK("https://webapp.icbf.com/v2/app/bull-search/view/747871184","EKE")</f>
        <v>EKE</v>
      </c>
      <c r="B230" t="s">
        <v>5536</v>
      </c>
      <c r="C230" t="s">
        <v>5537</v>
      </c>
      <c r="D230" s="1">
        <v>38571</v>
      </c>
      <c r="E230" t="s">
        <v>1061</v>
      </c>
      <c r="F230">
        <v>0</v>
      </c>
      <c r="G230" t="s">
        <v>93</v>
      </c>
      <c r="H230">
        <v>216.57</v>
      </c>
      <c r="I230">
        <v>97</v>
      </c>
      <c r="J230">
        <v>64</v>
      </c>
      <c r="K230">
        <v>99</v>
      </c>
      <c r="L230">
        <v>85.6</v>
      </c>
      <c r="M230">
        <v>95</v>
      </c>
      <c r="N230">
        <v>51.91</v>
      </c>
      <c r="O230">
        <v>98</v>
      </c>
      <c r="P230">
        <v>-6.2</v>
      </c>
      <c r="Q230">
        <v>99</v>
      </c>
      <c r="R230">
        <v>13.8</v>
      </c>
      <c r="S230">
        <v>94</v>
      </c>
      <c r="T230">
        <v>7.91</v>
      </c>
      <c r="U230">
        <v>99</v>
      </c>
      <c r="V230">
        <v>-0.45</v>
      </c>
      <c r="W230">
        <v>84</v>
      </c>
      <c r="X230" t="s">
        <v>102</v>
      </c>
      <c r="Y230" t="s">
        <v>1756</v>
      </c>
      <c r="Z230">
        <v>0</v>
      </c>
      <c r="AA230" t="s">
        <v>5538</v>
      </c>
      <c r="AB230" t="s">
        <v>5539</v>
      </c>
      <c r="AC230">
        <v>2615</v>
      </c>
      <c r="AD230">
        <v>492</v>
      </c>
      <c r="AE230">
        <v>99</v>
      </c>
      <c r="AF230">
        <v>155.62</v>
      </c>
      <c r="AG230">
        <v>5.87</v>
      </c>
      <c r="AH230">
        <v>11.19</v>
      </c>
      <c r="AI230">
        <v>0</v>
      </c>
      <c r="AJ230">
        <v>0.1</v>
      </c>
      <c r="AK230">
        <v>95</v>
      </c>
      <c r="AL230">
        <v>2694</v>
      </c>
      <c r="AM230">
        <v>584</v>
      </c>
      <c r="AN230">
        <v>-3.6</v>
      </c>
      <c r="AO230">
        <v>3.24</v>
      </c>
      <c r="AP230">
        <v>5987</v>
      </c>
      <c r="AQ230">
        <v>38</v>
      </c>
      <c r="AR230">
        <v>4.8899999999999997</v>
      </c>
      <c r="AS230">
        <v>99</v>
      </c>
      <c r="AT230">
        <v>2.2799999999999998</v>
      </c>
      <c r="AU230">
        <v>99</v>
      </c>
      <c r="AV230">
        <v>-4.66</v>
      </c>
      <c r="AW230">
        <v>99</v>
      </c>
      <c r="AX230">
        <v>-0.15</v>
      </c>
      <c r="AY230">
        <v>99</v>
      </c>
      <c r="AZ230">
        <v>5.94</v>
      </c>
      <c r="BA230">
        <v>97</v>
      </c>
      <c r="BB230">
        <v>4.78</v>
      </c>
      <c r="BC230">
        <v>96</v>
      </c>
      <c r="BD230">
        <v>-0.08</v>
      </c>
      <c r="BE230">
        <v>-0.06</v>
      </c>
      <c r="BF230">
        <v>-7.0000000000000007E-2</v>
      </c>
      <c r="BG230">
        <v>99</v>
      </c>
      <c r="BH230">
        <v>-0.14000000000000001</v>
      </c>
      <c r="BI230">
        <v>-14.74</v>
      </c>
      <c r="BJ230">
        <v>0</v>
      </c>
      <c r="BK230">
        <v>0</v>
      </c>
      <c r="BL230">
        <v>-1.69</v>
      </c>
      <c r="BM230">
        <v>1.01</v>
      </c>
      <c r="BN230">
        <v>-1.66</v>
      </c>
      <c r="BO230">
        <v>-1.71</v>
      </c>
      <c r="BP230">
        <v>0.66</v>
      </c>
      <c r="BQ230">
        <v>-0.93</v>
      </c>
      <c r="BR230">
        <v>0.94</v>
      </c>
      <c r="BS230">
        <v>-0.09</v>
      </c>
      <c r="BT230">
        <v>-0.94</v>
      </c>
      <c r="BU230">
        <v>-1.25</v>
      </c>
      <c r="BV230">
        <v>-2.3199999999999998</v>
      </c>
      <c r="BW230">
        <v>-1.82</v>
      </c>
      <c r="BX230">
        <v>-0.92</v>
      </c>
      <c r="BY230">
        <v>-1.17</v>
      </c>
      <c r="BZ230">
        <v>-0.57999999999999996</v>
      </c>
      <c r="CA230">
        <v>-1.73</v>
      </c>
      <c r="CB230">
        <v>-1.82</v>
      </c>
      <c r="CC230">
        <v>-0.94</v>
      </c>
      <c r="CD230">
        <v>0.94</v>
      </c>
      <c r="CE230">
        <v>-1.64</v>
      </c>
      <c r="CF230">
        <v>-1.92</v>
      </c>
      <c r="CG230">
        <v>0</v>
      </c>
      <c r="CH230">
        <v>-1.91</v>
      </c>
      <c r="CI230">
        <v>0</v>
      </c>
      <c r="CJ230">
        <v>-2.1</v>
      </c>
      <c r="CK230">
        <v>99</v>
      </c>
      <c r="CL230">
        <v>-0.47</v>
      </c>
      <c r="CM230">
        <v>99</v>
      </c>
      <c r="CN230">
        <v>-0.21</v>
      </c>
      <c r="CO230">
        <v>99</v>
      </c>
      <c r="CP230">
        <v>-6.1</v>
      </c>
      <c r="CQ230">
        <v>98</v>
      </c>
      <c r="CR230">
        <v>0</v>
      </c>
      <c r="CS230">
        <v>0</v>
      </c>
      <c r="CT230">
        <v>3.1</v>
      </c>
      <c r="CU230">
        <v>99</v>
      </c>
      <c r="CV230">
        <v>0</v>
      </c>
      <c r="CW230">
        <v>49</v>
      </c>
      <c r="CX230" t="s">
        <v>425</v>
      </c>
    </row>
    <row r="231" spans="1:102" x14ac:dyDescent="0.3">
      <c r="A231" t="str">
        <f>HYPERLINK("https://webapp.icbf.com/v2/app/bull-search/view/1120019243","LWR")</f>
        <v>LWR</v>
      </c>
      <c r="B231" t="s">
        <v>13472</v>
      </c>
      <c r="C231" t="s">
        <v>2372</v>
      </c>
      <c r="D231" s="1">
        <v>41576</v>
      </c>
      <c r="E231" t="s">
        <v>92</v>
      </c>
      <c r="F231">
        <v>75</v>
      </c>
      <c r="G231" t="s">
        <v>93</v>
      </c>
      <c r="H231">
        <v>216.51</v>
      </c>
      <c r="I231">
        <v>95</v>
      </c>
      <c r="J231">
        <v>99.91</v>
      </c>
      <c r="K231">
        <v>99</v>
      </c>
      <c r="L231">
        <v>65.73</v>
      </c>
      <c r="M231">
        <v>91</v>
      </c>
      <c r="N231">
        <v>49.08</v>
      </c>
      <c r="O231">
        <v>98</v>
      </c>
      <c r="P231">
        <v>-4.6399999999999997</v>
      </c>
      <c r="Q231">
        <v>99</v>
      </c>
      <c r="R231">
        <v>-0.6</v>
      </c>
      <c r="S231">
        <v>95</v>
      </c>
      <c r="T231">
        <v>3.02</v>
      </c>
      <c r="U231">
        <v>99</v>
      </c>
      <c r="V231">
        <v>4.01</v>
      </c>
      <c r="W231">
        <v>80</v>
      </c>
      <c r="X231" t="s">
        <v>94</v>
      </c>
      <c r="Y231" t="s">
        <v>389</v>
      </c>
      <c r="Z231" t="s">
        <v>96</v>
      </c>
      <c r="AA231" t="s">
        <v>2172</v>
      </c>
      <c r="AB231" t="s">
        <v>13473</v>
      </c>
      <c r="AC231">
        <v>12310</v>
      </c>
      <c r="AD231">
        <v>2730</v>
      </c>
      <c r="AE231">
        <v>99</v>
      </c>
      <c r="AF231">
        <v>412.95</v>
      </c>
      <c r="AG231">
        <v>12.87</v>
      </c>
      <c r="AH231">
        <v>18.760000000000002</v>
      </c>
      <c r="AI231">
        <v>-0.05</v>
      </c>
      <c r="AJ231">
        <v>0.08</v>
      </c>
      <c r="AK231">
        <v>91</v>
      </c>
      <c r="AL231">
        <v>3991</v>
      </c>
      <c r="AM231">
        <v>1458</v>
      </c>
      <c r="AN231">
        <v>-3.7</v>
      </c>
      <c r="AO231">
        <v>1.54</v>
      </c>
      <c r="AP231">
        <v>46536</v>
      </c>
      <c r="AQ231">
        <v>193</v>
      </c>
      <c r="AR231">
        <v>6.12</v>
      </c>
      <c r="AS231">
        <v>99</v>
      </c>
      <c r="AT231">
        <v>2.27</v>
      </c>
      <c r="AU231">
        <v>99</v>
      </c>
      <c r="AV231">
        <v>-4.3</v>
      </c>
      <c r="AW231">
        <v>99</v>
      </c>
      <c r="AX231">
        <v>-0.38</v>
      </c>
      <c r="AY231">
        <v>99</v>
      </c>
      <c r="AZ231">
        <v>5.21</v>
      </c>
      <c r="BA231">
        <v>99</v>
      </c>
      <c r="BB231">
        <v>4.59</v>
      </c>
      <c r="BC231">
        <v>94</v>
      </c>
      <c r="BD231">
        <v>-0.02</v>
      </c>
      <c r="BE231">
        <v>0.03</v>
      </c>
      <c r="BF231">
        <v>-0.01</v>
      </c>
      <c r="BG231">
        <v>99</v>
      </c>
      <c r="BH231">
        <v>-0.04</v>
      </c>
      <c r="BI231">
        <v>-17.559999999999999</v>
      </c>
      <c r="BJ231">
        <v>194</v>
      </c>
      <c r="BK231">
        <v>62</v>
      </c>
      <c r="BL231">
        <v>-0.05</v>
      </c>
      <c r="BM231">
        <v>-0.74</v>
      </c>
      <c r="BN231">
        <v>-1.25</v>
      </c>
      <c r="BO231">
        <v>-0.59</v>
      </c>
      <c r="BP231">
        <v>-1.06</v>
      </c>
      <c r="BQ231">
        <v>-0.74</v>
      </c>
      <c r="BR231">
        <v>2.1800000000000002</v>
      </c>
      <c r="BS231">
        <v>-2.6</v>
      </c>
      <c r="BT231">
        <v>-1.53</v>
      </c>
      <c r="BU231">
        <v>-1.83</v>
      </c>
      <c r="BV231">
        <v>-2.31</v>
      </c>
      <c r="BW231">
        <v>-1.3</v>
      </c>
      <c r="BX231">
        <v>-0.28999999999999998</v>
      </c>
      <c r="BY231">
        <v>-1.1200000000000001</v>
      </c>
      <c r="BZ231">
        <v>0.38</v>
      </c>
      <c r="CA231">
        <v>-1.39</v>
      </c>
      <c r="CB231">
        <v>-1.17</v>
      </c>
      <c r="CC231">
        <v>-1.48</v>
      </c>
      <c r="CD231">
        <v>-0.54</v>
      </c>
      <c r="CE231">
        <v>-0.2</v>
      </c>
      <c r="CF231">
        <v>-0.32</v>
      </c>
      <c r="CG231">
        <v>0</v>
      </c>
      <c r="CH231">
        <v>-1.2</v>
      </c>
      <c r="CI231">
        <v>0</v>
      </c>
      <c r="CJ231">
        <v>-1.4</v>
      </c>
      <c r="CK231">
        <v>99</v>
      </c>
      <c r="CL231">
        <v>-0.79</v>
      </c>
      <c r="CM231">
        <v>99</v>
      </c>
      <c r="CN231">
        <v>-0.45</v>
      </c>
      <c r="CO231">
        <v>99</v>
      </c>
      <c r="CP231">
        <v>1.2</v>
      </c>
      <c r="CQ231">
        <v>98</v>
      </c>
      <c r="CR231">
        <v>0</v>
      </c>
      <c r="CS231">
        <v>0</v>
      </c>
      <c r="CT231">
        <v>9.6999999999999993</v>
      </c>
      <c r="CU231">
        <v>99</v>
      </c>
      <c r="CV231">
        <v>0.17</v>
      </c>
      <c r="CW231">
        <v>47</v>
      </c>
      <c r="CX231" t="s">
        <v>3087</v>
      </c>
    </row>
    <row r="232" spans="1:102" x14ac:dyDescent="0.3">
      <c r="A232" t="str">
        <f>HYPERLINK("https://webapp.icbf.com/v2/app/bull-search/view/1532799416","FR4368")</f>
        <v>FR4368</v>
      </c>
      <c r="B232" t="s">
        <v>7676</v>
      </c>
      <c r="C232" t="s">
        <v>7677</v>
      </c>
      <c r="D232" s="1">
        <v>42438</v>
      </c>
      <c r="E232" t="s">
        <v>92</v>
      </c>
      <c r="F232">
        <v>100</v>
      </c>
      <c r="G232" t="s">
        <v>435</v>
      </c>
      <c r="H232">
        <v>216.49</v>
      </c>
      <c r="I232">
        <v>69</v>
      </c>
      <c r="J232">
        <v>120.87</v>
      </c>
      <c r="K232">
        <v>87</v>
      </c>
      <c r="L232">
        <v>53.66</v>
      </c>
      <c r="M232">
        <v>63</v>
      </c>
      <c r="N232">
        <v>29.11</v>
      </c>
      <c r="O232">
        <v>85</v>
      </c>
      <c r="P232">
        <v>-4.05</v>
      </c>
      <c r="Q232">
        <v>45</v>
      </c>
      <c r="R232">
        <v>16.760000000000002</v>
      </c>
      <c r="S232">
        <v>60</v>
      </c>
      <c r="T232">
        <v>-5.27</v>
      </c>
      <c r="U232">
        <v>36</v>
      </c>
      <c r="V232">
        <v>5.41</v>
      </c>
      <c r="W232">
        <v>52</v>
      </c>
      <c r="X232" t="s">
        <v>94</v>
      </c>
      <c r="Y232" t="s">
        <v>2261</v>
      </c>
      <c r="Z232" t="s">
        <v>96</v>
      </c>
      <c r="AA232" t="s">
        <v>7678</v>
      </c>
      <c r="AB232" t="s">
        <v>7679</v>
      </c>
      <c r="AC232">
        <v>0</v>
      </c>
      <c r="AD232">
        <v>0</v>
      </c>
      <c r="AE232">
        <v>87</v>
      </c>
      <c r="AF232">
        <v>237.77</v>
      </c>
      <c r="AG232">
        <v>26.7</v>
      </c>
      <c r="AH232">
        <v>14.75</v>
      </c>
      <c r="AI232">
        <v>0.28999999999999998</v>
      </c>
      <c r="AJ232">
        <v>0.11</v>
      </c>
      <c r="AK232">
        <v>63</v>
      </c>
      <c r="AL232">
        <v>0</v>
      </c>
      <c r="AM232">
        <v>0</v>
      </c>
      <c r="AN232">
        <v>-3.65</v>
      </c>
      <c r="AO232">
        <v>0.62</v>
      </c>
      <c r="AP232">
        <v>679</v>
      </c>
      <c r="AQ232">
        <v>1</v>
      </c>
      <c r="AR232">
        <v>7.66</v>
      </c>
      <c r="AS232">
        <v>86</v>
      </c>
      <c r="AT232">
        <v>3.53</v>
      </c>
      <c r="AU232">
        <v>95</v>
      </c>
      <c r="AV232">
        <v>-3.9</v>
      </c>
      <c r="AW232">
        <v>98</v>
      </c>
      <c r="AX232">
        <v>0.82</v>
      </c>
      <c r="AY232">
        <v>90</v>
      </c>
      <c r="AZ232">
        <v>4.83</v>
      </c>
      <c r="BA232">
        <v>36</v>
      </c>
      <c r="BB232">
        <v>4.6100000000000003</v>
      </c>
      <c r="BC232">
        <v>33</v>
      </c>
      <c r="BD232">
        <v>-0.08</v>
      </c>
      <c r="BE232">
        <v>-0.08</v>
      </c>
      <c r="BF232">
        <v>-0.1</v>
      </c>
      <c r="BG232">
        <v>73</v>
      </c>
      <c r="BH232">
        <v>0.16</v>
      </c>
      <c r="BI232">
        <v>1.05</v>
      </c>
      <c r="BJ232">
        <v>0</v>
      </c>
      <c r="BK232">
        <v>0</v>
      </c>
      <c r="BL232">
        <v>1.44</v>
      </c>
      <c r="BM232">
        <v>0.13</v>
      </c>
      <c r="BN232">
        <v>0.62</v>
      </c>
      <c r="BO232">
        <v>0.71</v>
      </c>
      <c r="BP232">
        <v>0.48</v>
      </c>
      <c r="BQ232">
        <v>3.12</v>
      </c>
      <c r="BR232">
        <v>-1.4</v>
      </c>
      <c r="BS232">
        <v>0.51</v>
      </c>
      <c r="BT232">
        <v>1.75</v>
      </c>
      <c r="BU232">
        <v>1.54</v>
      </c>
      <c r="BV232">
        <v>2.84</v>
      </c>
      <c r="BW232">
        <v>0.25</v>
      </c>
      <c r="BX232">
        <v>1.25</v>
      </c>
      <c r="BY232">
        <v>0.79</v>
      </c>
      <c r="BZ232">
        <v>1.24</v>
      </c>
      <c r="CA232">
        <v>1.34</v>
      </c>
      <c r="CB232">
        <v>1.24</v>
      </c>
      <c r="CC232">
        <v>1.35</v>
      </c>
      <c r="CD232">
        <v>-0.04</v>
      </c>
      <c r="CE232">
        <v>0.75</v>
      </c>
      <c r="CF232">
        <v>0.63</v>
      </c>
      <c r="CG232">
        <v>0</v>
      </c>
      <c r="CH232">
        <v>-0.28000000000000003</v>
      </c>
      <c r="CI232">
        <v>0</v>
      </c>
      <c r="CJ232">
        <v>0.5</v>
      </c>
      <c r="CK232">
        <v>49</v>
      </c>
      <c r="CL232">
        <v>-1.42</v>
      </c>
      <c r="CM232">
        <v>40</v>
      </c>
      <c r="CN232">
        <v>-0.79</v>
      </c>
      <c r="CO232">
        <v>39</v>
      </c>
      <c r="CP232">
        <v>4.4000000000000004</v>
      </c>
      <c r="CQ232">
        <v>38</v>
      </c>
      <c r="CR232">
        <v>0</v>
      </c>
      <c r="CS232">
        <v>0</v>
      </c>
      <c r="CT232">
        <v>20.9</v>
      </c>
      <c r="CU232">
        <v>36</v>
      </c>
      <c r="CV232">
        <v>0.27</v>
      </c>
      <c r="CW232">
        <v>33</v>
      </c>
      <c r="CX232" t="s">
        <v>430</v>
      </c>
    </row>
    <row r="233" spans="1:102" x14ac:dyDescent="0.3">
      <c r="A233" t="str">
        <f>HYPERLINK("https://webapp.icbf.com/v2/app/bull-search/view/949885581","PKR")</f>
        <v>PKR</v>
      </c>
      <c r="B233" t="s">
        <v>13268</v>
      </c>
      <c r="C233" t="s">
        <v>13269</v>
      </c>
      <c r="D233" s="1">
        <v>40952</v>
      </c>
      <c r="E233" t="s">
        <v>92</v>
      </c>
      <c r="F233">
        <v>91</v>
      </c>
      <c r="G233" t="s">
        <v>93</v>
      </c>
      <c r="H233">
        <v>216.04</v>
      </c>
      <c r="I233">
        <v>97</v>
      </c>
      <c r="J233">
        <v>77.56</v>
      </c>
      <c r="K233">
        <v>99</v>
      </c>
      <c r="L233">
        <v>100.41</v>
      </c>
      <c r="M233">
        <v>95</v>
      </c>
      <c r="N233">
        <v>23.96</v>
      </c>
      <c r="O233">
        <v>99</v>
      </c>
      <c r="P233">
        <v>-10.98</v>
      </c>
      <c r="Q233">
        <v>99</v>
      </c>
      <c r="R233">
        <v>5.57</v>
      </c>
      <c r="S233">
        <v>96</v>
      </c>
      <c r="T233">
        <v>15.68</v>
      </c>
      <c r="U233">
        <v>99</v>
      </c>
      <c r="V233">
        <v>3.84</v>
      </c>
      <c r="W233">
        <v>82</v>
      </c>
      <c r="X233" t="s">
        <v>94</v>
      </c>
      <c r="Y233" t="s">
        <v>1976</v>
      </c>
      <c r="Z233" t="s">
        <v>96</v>
      </c>
      <c r="AA233" t="s">
        <v>2041</v>
      </c>
      <c r="AB233" t="s">
        <v>13270</v>
      </c>
      <c r="AC233">
        <v>4006</v>
      </c>
      <c r="AD233">
        <v>1400</v>
      </c>
      <c r="AE233">
        <v>99</v>
      </c>
      <c r="AF233">
        <v>169.3</v>
      </c>
      <c r="AG233">
        <v>14.11</v>
      </c>
      <c r="AH233">
        <v>10.79</v>
      </c>
      <c r="AI233">
        <v>0.13</v>
      </c>
      <c r="AJ233">
        <v>0.09</v>
      </c>
      <c r="AK233">
        <v>95</v>
      </c>
      <c r="AL233">
        <v>4930</v>
      </c>
      <c r="AM233">
        <v>1878</v>
      </c>
      <c r="AN233">
        <v>-4.49</v>
      </c>
      <c r="AO233">
        <v>3.53</v>
      </c>
      <c r="AP233">
        <v>7323</v>
      </c>
      <c r="AQ233">
        <v>54</v>
      </c>
      <c r="AR233">
        <v>5.93</v>
      </c>
      <c r="AS233">
        <v>99</v>
      </c>
      <c r="AT233">
        <v>2.44</v>
      </c>
      <c r="AU233">
        <v>99</v>
      </c>
      <c r="AV233">
        <v>-1.46</v>
      </c>
      <c r="AW233">
        <v>99</v>
      </c>
      <c r="AX233">
        <v>-0.17</v>
      </c>
      <c r="AY233">
        <v>99</v>
      </c>
      <c r="AZ233">
        <v>5.99</v>
      </c>
      <c r="BA233">
        <v>98</v>
      </c>
      <c r="BB233">
        <v>4.6399999999999997</v>
      </c>
      <c r="BC233">
        <v>97</v>
      </c>
      <c r="BD233">
        <v>-0.06</v>
      </c>
      <c r="BE233">
        <v>-0.02</v>
      </c>
      <c r="BF233">
        <v>0.01</v>
      </c>
      <c r="BG233">
        <v>99</v>
      </c>
      <c r="BH233">
        <v>0.04</v>
      </c>
      <c r="BI233">
        <v>-7.77</v>
      </c>
      <c r="BJ233">
        <v>203</v>
      </c>
      <c r="BK233">
        <v>50</v>
      </c>
      <c r="BL233">
        <v>-0.73</v>
      </c>
      <c r="BM233">
        <v>-1.39</v>
      </c>
      <c r="BN233">
        <v>-1.68</v>
      </c>
      <c r="BO233">
        <v>-0.68</v>
      </c>
      <c r="BP233">
        <v>0.43</v>
      </c>
      <c r="BQ233">
        <v>-0.56000000000000005</v>
      </c>
      <c r="BR233">
        <v>0.95</v>
      </c>
      <c r="BS233">
        <v>-2.08</v>
      </c>
      <c r="BT233">
        <v>-1.3</v>
      </c>
      <c r="BU233">
        <v>-0.18</v>
      </c>
      <c r="BV233">
        <v>-1.36</v>
      </c>
      <c r="BW233">
        <v>-0.12</v>
      </c>
      <c r="BX233">
        <v>0.12</v>
      </c>
      <c r="BY233">
        <v>0.28000000000000003</v>
      </c>
      <c r="BZ233">
        <v>-1.49</v>
      </c>
      <c r="CA233">
        <v>-1.27</v>
      </c>
      <c r="CB233">
        <v>-0.88</v>
      </c>
      <c r="CC233">
        <v>-1.5</v>
      </c>
      <c r="CD233">
        <v>-0.94</v>
      </c>
      <c r="CE233">
        <v>-0.61</v>
      </c>
      <c r="CF233">
        <v>-1.5</v>
      </c>
      <c r="CG233">
        <v>0</v>
      </c>
      <c r="CH233">
        <v>0.1</v>
      </c>
      <c r="CI233">
        <v>0</v>
      </c>
      <c r="CJ233">
        <v>-3.9</v>
      </c>
      <c r="CK233">
        <v>99</v>
      </c>
      <c r="CL233">
        <v>-0.73</v>
      </c>
      <c r="CM233">
        <v>99</v>
      </c>
      <c r="CN233">
        <v>-0.22</v>
      </c>
      <c r="CO233">
        <v>99</v>
      </c>
      <c r="CP233">
        <v>-4.3</v>
      </c>
      <c r="CQ233">
        <v>98</v>
      </c>
      <c r="CR233">
        <v>0</v>
      </c>
      <c r="CS233">
        <v>0</v>
      </c>
      <c r="CT233">
        <v>-7.4</v>
      </c>
      <c r="CU233">
        <v>99</v>
      </c>
      <c r="CV233">
        <v>7.0000000000000007E-2</v>
      </c>
      <c r="CW233">
        <v>49</v>
      </c>
      <c r="CX233" t="s">
        <v>1883</v>
      </c>
    </row>
    <row r="234" spans="1:102" x14ac:dyDescent="0.3">
      <c r="A234" t="str">
        <f>HYPERLINK("https://webapp.icbf.com/v2/app/bull-search/view/69092428","PWC")</f>
        <v>PWC</v>
      </c>
      <c r="B234" t="s">
        <v>11791</v>
      </c>
      <c r="C234" t="s">
        <v>1936</v>
      </c>
      <c r="D234" s="1">
        <v>34186</v>
      </c>
      <c r="E234" t="s">
        <v>227</v>
      </c>
      <c r="F234">
        <v>0</v>
      </c>
      <c r="G234" t="s">
        <v>93</v>
      </c>
      <c r="H234">
        <v>215.75</v>
      </c>
      <c r="I234">
        <v>97</v>
      </c>
      <c r="J234">
        <v>59.33</v>
      </c>
      <c r="K234">
        <v>99</v>
      </c>
      <c r="L234">
        <v>98.44</v>
      </c>
      <c r="M234">
        <v>96</v>
      </c>
      <c r="N234">
        <v>33.99</v>
      </c>
      <c r="O234">
        <v>96</v>
      </c>
      <c r="P234">
        <v>-56.7</v>
      </c>
      <c r="Q234">
        <v>97</v>
      </c>
      <c r="R234">
        <v>6.73</v>
      </c>
      <c r="S234">
        <v>94</v>
      </c>
      <c r="T234">
        <v>66.069999999999993</v>
      </c>
      <c r="U234">
        <v>97</v>
      </c>
      <c r="V234">
        <v>7.89</v>
      </c>
      <c r="W234">
        <v>95</v>
      </c>
      <c r="X234" t="s">
        <v>302</v>
      </c>
      <c r="Y234" t="s">
        <v>95</v>
      </c>
      <c r="Z234">
        <v>0</v>
      </c>
      <c r="AA234" t="s">
        <v>516</v>
      </c>
      <c r="AB234" t="s">
        <v>11792</v>
      </c>
      <c r="AC234">
        <v>403</v>
      </c>
      <c r="AD234">
        <v>104</v>
      </c>
      <c r="AE234">
        <v>99</v>
      </c>
      <c r="AF234">
        <v>-219.21</v>
      </c>
      <c r="AG234">
        <v>18.329999999999998</v>
      </c>
      <c r="AH234">
        <v>0.25</v>
      </c>
      <c r="AI234">
        <v>0.49</v>
      </c>
      <c r="AJ234">
        <v>0.14000000000000001</v>
      </c>
      <c r="AK234">
        <v>96</v>
      </c>
      <c r="AL234">
        <v>437</v>
      </c>
      <c r="AM234">
        <v>110</v>
      </c>
      <c r="AN234">
        <v>-3.82</v>
      </c>
      <c r="AO234">
        <v>4.05</v>
      </c>
      <c r="AP234">
        <v>319</v>
      </c>
      <c r="AQ234">
        <v>1</v>
      </c>
      <c r="AR234">
        <v>2.14</v>
      </c>
      <c r="AS234">
        <v>94</v>
      </c>
      <c r="AT234">
        <v>1.21</v>
      </c>
      <c r="AU234">
        <v>95</v>
      </c>
      <c r="AV234">
        <v>-1.46</v>
      </c>
      <c r="AW234">
        <v>98</v>
      </c>
      <c r="AX234">
        <v>0.12</v>
      </c>
      <c r="AY234">
        <v>95</v>
      </c>
      <c r="AZ234">
        <v>5.79</v>
      </c>
      <c r="BA234">
        <v>90</v>
      </c>
      <c r="BB234">
        <v>5.26</v>
      </c>
      <c r="BC234">
        <v>93</v>
      </c>
      <c r="BD234">
        <v>-7.0000000000000007E-2</v>
      </c>
      <c r="BE234">
        <v>-0.02</v>
      </c>
      <c r="BF234">
        <v>0</v>
      </c>
      <c r="BG234">
        <v>97</v>
      </c>
      <c r="BH234">
        <v>0.28999999999999998</v>
      </c>
      <c r="BI234">
        <v>8.09</v>
      </c>
      <c r="BJ234">
        <v>3</v>
      </c>
      <c r="BK234">
        <v>3</v>
      </c>
      <c r="BL234">
        <v>-2.6</v>
      </c>
      <c r="BM234">
        <v>-1.53</v>
      </c>
      <c r="BN234">
        <v>-0.59</v>
      </c>
      <c r="BO234">
        <v>0.93</v>
      </c>
      <c r="BP234">
        <v>1.73</v>
      </c>
      <c r="BQ234">
        <v>-5.56</v>
      </c>
      <c r="BR234">
        <v>4.2</v>
      </c>
      <c r="BS234">
        <v>6.83</v>
      </c>
      <c r="BT234">
        <v>-2.06</v>
      </c>
      <c r="BU234">
        <v>-1.92</v>
      </c>
      <c r="BV234">
        <v>-1.4</v>
      </c>
      <c r="BW234">
        <v>-4.1500000000000004</v>
      </c>
      <c r="BX234">
        <v>-4.32</v>
      </c>
      <c r="BY234">
        <v>-0.16</v>
      </c>
      <c r="BZ234">
        <v>0.51</v>
      </c>
      <c r="CA234">
        <v>0.01</v>
      </c>
      <c r="CB234">
        <v>-1.75</v>
      </c>
      <c r="CC234">
        <v>3.73</v>
      </c>
      <c r="CD234">
        <v>-2.02</v>
      </c>
      <c r="CE234">
        <v>0.38</v>
      </c>
      <c r="CF234">
        <v>-2.88</v>
      </c>
      <c r="CG234">
        <v>0</v>
      </c>
      <c r="CH234">
        <v>-1.21</v>
      </c>
      <c r="CI234">
        <v>0</v>
      </c>
      <c r="CJ234">
        <v>-27.7</v>
      </c>
      <c r="CK234">
        <v>97</v>
      </c>
      <c r="CL234">
        <v>-1.01</v>
      </c>
      <c r="CM234">
        <v>97</v>
      </c>
      <c r="CN234">
        <v>0.06</v>
      </c>
      <c r="CO234">
        <v>96</v>
      </c>
      <c r="CP234">
        <v>-49</v>
      </c>
      <c r="CQ234">
        <v>97</v>
      </c>
      <c r="CR234">
        <v>0</v>
      </c>
      <c r="CS234">
        <v>0</v>
      </c>
      <c r="CT234">
        <v>-75.5</v>
      </c>
      <c r="CU234">
        <v>97</v>
      </c>
      <c r="CV234">
        <v>-0.23</v>
      </c>
      <c r="CW234">
        <v>46</v>
      </c>
      <c r="CX234" t="s">
        <v>10532</v>
      </c>
    </row>
    <row r="235" spans="1:102" x14ac:dyDescent="0.3">
      <c r="A235" t="str">
        <f>HYPERLINK("https://webapp.icbf.com/v2/app/bull-search/view/1017312452","FR4484")</f>
        <v>FR4484</v>
      </c>
      <c r="B235" t="s">
        <v>6293</v>
      </c>
      <c r="C235" t="s">
        <v>6294</v>
      </c>
      <c r="D235" s="1">
        <v>41111</v>
      </c>
      <c r="E235" t="s">
        <v>92</v>
      </c>
      <c r="F235">
        <v>56</v>
      </c>
      <c r="G235" t="s">
        <v>109</v>
      </c>
      <c r="H235">
        <v>215.33</v>
      </c>
      <c r="I235">
        <v>73</v>
      </c>
      <c r="J235">
        <v>95.11</v>
      </c>
      <c r="K235">
        <v>89</v>
      </c>
      <c r="L235">
        <v>91.15</v>
      </c>
      <c r="M235">
        <v>72</v>
      </c>
      <c r="N235">
        <v>28.71</v>
      </c>
      <c r="O235">
        <v>70</v>
      </c>
      <c r="P235">
        <v>-33.83</v>
      </c>
      <c r="Q235">
        <v>49</v>
      </c>
      <c r="R235">
        <v>2.12</v>
      </c>
      <c r="S235">
        <v>70</v>
      </c>
      <c r="T235">
        <v>25.3</v>
      </c>
      <c r="U235">
        <v>46</v>
      </c>
      <c r="V235">
        <v>6.77</v>
      </c>
      <c r="W235">
        <v>55</v>
      </c>
      <c r="X235" t="s">
        <v>276</v>
      </c>
      <c r="Y235" t="s">
        <v>442</v>
      </c>
      <c r="Z235" t="s">
        <v>330</v>
      </c>
      <c r="AA235" t="s">
        <v>6199</v>
      </c>
      <c r="AB235" t="s">
        <v>144</v>
      </c>
      <c r="AC235">
        <v>0</v>
      </c>
      <c r="AD235">
        <v>0</v>
      </c>
      <c r="AE235">
        <v>89</v>
      </c>
      <c r="AF235">
        <v>134.9</v>
      </c>
      <c r="AG235">
        <v>12.44</v>
      </c>
      <c r="AH235">
        <v>13.84</v>
      </c>
      <c r="AI235">
        <v>0.12</v>
      </c>
      <c r="AJ235">
        <v>0.16</v>
      </c>
      <c r="AK235">
        <v>72</v>
      </c>
      <c r="AL235">
        <v>0</v>
      </c>
      <c r="AM235">
        <v>0</v>
      </c>
      <c r="AN235">
        <v>-5.67</v>
      </c>
      <c r="AO235">
        <v>1.59</v>
      </c>
      <c r="AP235">
        <v>30</v>
      </c>
      <c r="AQ235">
        <v>0</v>
      </c>
      <c r="AR235">
        <v>5.61</v>
      </c>
      <c r="AS235">
        <v>52</v>
      </c>
      <c r="AT235">
        <v>1.89</v>
      </c>
      <c r="AU235">
        <v>80</v>
      </c>
      <c r="AV235">
        <v>-2.82</v>
      </c>
      <c r="AW235">
        <v>81</v>
      </c>
      <c r="AX235">
        <v>0.28999999999999998</v>
      </c>
      <c r="AY235">
        <v>57</v>
      </c>
      <c r="AZ235">
        <v>8.3699999999999992</v>
      </c>
      <c r="BA235">
        <v>43</v>
      </c>
      <c r="BB235">
        <v>5.69</v>
      </c>
      <c r="BC235">
        <v>43</v>
      </c>
      <c r="BD235">
        <v>-0.04</v>
      </c>
      <c r="BE235">
        <v>0.02</v>
      </c>
      <c r="BF235">
        <v>-0.02</v>
      </c>
      <c r="BG235">
        <v>87</v>
      </c>
      <c r="BH235">
        <v>0.06</v>
      </c>
      <c r="BI235">
        <v>-14.9</v>
      </c>
      <c r="BJ235">
        <v>0</v>
      </c>
      <c r="BK235">
        <v>0</v>
      </c>
      <c r="BL235">
        <v>-1.73</v>
      </c>
      <c r="BM235">
        <v>-0.42</v>
      </c>
      <c r="BN235">
        <v>-1.1100000000000001</v>
      </c>
      <c r="BO235">
        <v>-0.39</v>
      </c>
      <c r="BP235">
        <v>-1.94</v>
      </c>
      <c r="BQ235">
        <v>-3.58</v>
      </c>
      <c r="BR235">
        <v>2.02</v>
      </c>
      <c r="BS235">
        <v>-0.79</v>
      </c>
      <c r="BT235">
        <v>-1.85</v>
      </c>
      <c r="BU235">
        <v>0.76</v>
      </c>
      <c r="BV235">
        <v>-0.33</v>
      </c>
      <c r="BW235">
        <v>0.54</v>
      </c>
      <c r="BX235">
        <v>-0.62</v>
      </c>
      <c r="BY235">
        <v>0.81</v>
      </c>
      <c r="BZ235">
        <v>0.82</v>
      </c>
      <c r="CA235">
        <v>-0.34</v>
      </c>
      <c r="CB235">
        <v>0.35</v>
      </c>
      <c r="CC235">
        <v>-0.75</v>
      </c>
      <c r="CD235">
        <v>-0.48</v>
      </c>
      <c r="CE235">
        <v>-0.65</v>
      </c>
      <c r="CF235">
        <v>-1.1599999999999999</v>
      </c>
      <c r="CG235">
        <v>0</v>
      </c>
      <c r="CH235">
        <v>0.51</v>
      </c>
      <c r="CI235">
        <v>0</v>
      </c>
      <c r="CJ235">
        <v>-18.100000000000001</v>
      </c>
      <c r="CK235">
        <v>51</v>
      </c>
      <c r="CL235">
        <v>-0.96</v>
      </c>
      <c r="CM235">
        <v>45</v>
      </c>
      <c r="CN235">
        <v>-0.35</v>
      </c>
      <c r="CO235">
        <v>45</v>
      </c>
      <c r="CP235">
        <v>-20.3</v>
      </c>
      <c r="CQ235">
        <v>46</v>
      </c>
      <c r="CR235">
        <v>0</v>
      </c>
      <c r="CS235">
        <v>0</v>
      </c>
      <c r="CT235">
        <v>-20.399999999999999</v>
      </c>
      <c r="CU235">
        <v>46</v>
      </c>
      <c r="CV235">
        <v>-0.02</v>
      </c>
      <c r="CW235">
        <v>35</v>
      </c>
      <c r="CX235" t="s">
        <v>2278</v>
      </c>
    </row>
    <row r="236" spans="1:102" x14ac:dyDescent="0.3">
      <c r="A236" t="str">
        <f>HYPERLINK("https://webapp.icbf.com/v2/app/bull-search/view/1276131637","FR4150")</f>
        <v>FR4150</v>
      </c>
      <c r="B236" t="s">
        <v>6259</v>
      </c>
      <c r="C236" t="s">
        <v>6260</v>
      </c>
      <c r="D236" s="1">
        <v>41847</v>
      </c>
      <c r="E236" t="s">
        <v>92</v>
      </c>
      <c r="F236">
        <v>69</v>
      </c>
      <c r="G236" t="s">
        <v>109</v>
      </c>
      <c r="H236">
        <v>215.14</v>
      </c>
      <c r="I236">
        <v>69</v>
      </c>
      <c r="J236">
        <v>101.06</v>
      </c>
      <c r="K236">
        <v>86</v>
      </c>
      <c r="L236">
        <v>81</v>
      </c>
      <c r="M236">
        <v>66</v>
      </c>
      <c r="N236">
        <v>44.47</v>
      </c>
      <c r="O236">
        <v>76</v>
      </c>
      <c r="P236">
        <v>-20.37</v>
      </c>
      <c r="Q236">
        <v>46</v>
      </c>
      <c r="R236">
        <v>-0.16</v>
      </c>
      <c r="S236">
        <v>64</v>
      </c>
      <c r="T236">
        <v>6.13</v>
      </c>
      <c r="U236">
        <v>40</v>
      </c>
      <c r="V236">
        <v>3.01</v>
      </c>
      <c r="W236">
        <v>51</v>
      </c>
      <c r="X236" t="s">
        <v>94</v>
      </c>
      <c r="Y236" t="s">
        <v>429</v>
      </c>
      <c r="Z236" t="s">
        <v>330</v>
      </c>
      <c r="AA236" t="s">
        <v>6261</v>
      </c>
      <c r="AB236" t="s">
        <v>6262</v>
      </c>
      <c r="AC236">
        <v>0</v>
      </c>
      <c r="AD236">
        <v>0</v>
      </c>
      <c r="AE236">
        <v>86</v>
      </c>
      <c r="AF236">
        <v>247.42</v>
      </c>
      <c r="AG236">
        <v>15.36</v>
      </c>
      <c r="AH236">
        <v>15.54</v>
      </c>
      <c r="AI236">
        <v>0.09</v>
      </c>
      <c r="AJ236">
        <v>0.12</v>
      </c>
      <c r="AK236">
        <v>66</v>
      </c>
      <c r="AL236">
        <v>0</v>
      </c>
      <c r="AM236">
        <v>0</v>
      </c>
      <c r="AN236">
        <v>-2.86</v>
      </c>
      <c r="AO236">
        <v>3.62</v>
      </c>
      <c r="AP236">
        <v>114</v>
      </c>
      <c r="AQ236">
        <v>1</v>
      </c>
      <c r="AR236">
        <v>5.84</v>
      </c>
      <c r="AS236">
        <v>63</v>
      </c>
      <c r="AT236">
        <v>1.95</v>
      </c>
      <c r="AU236">
        <v>82</v>
      </c>
      <c r="AV236">
        <v>-4.09</v>
      </c>
      <c r="AW236">
        <v>94</v>
      </c>
      <c r="AX236">
        <v>-0.39</v>
      </c>
      <c r="AY236">
        <v>70</v>
      </c>
      <c r="AZ236">
        <v>7.25</v>
      </c>
      <c r="BA236">
        <v>33</v>
      </c>
      <c r="BB236">
        <v>5.17</v>
      </c>
      <c r="BC236">
        <v>33</v>
      </c>
      <c r="BD236">
        <v>-0.05</v>
      </c>
      <c r="BE236">
        <v>0.03</v>
      </c>
      <c r="BF236">
        <v>0.03</v>
      </c>
      <c r="BG236">
        <v>81</v>
      </c>
      <c r="BH236">
        <v>0.09</v>
      </c>
      <c r="BI236">
        <v>0.69</v>
      </c>
      <c r="BJ236">
        <v>0</v>
      </c>
      <c r="BK236">
        <v>0</v>
      </c>
      <c r="BL236">
        <v>-1.86</v>
      </c>
      <c r="BM236">
        <v>0.54</v>
      </c>
      <c r="BN236">
        <v>-0.59</v>
      </c>
      <c r="BO236">
        <v>0</v>
      </c>
      <c r="BP236">
        <v>-0.75</v>
      </c>
      <c r="BQ236">
        <v>-0.81</v>
      </c>
      <c r="BR236">
        <v>0.33</v>
      </c>
      <c r="BS236">
        <v>0</v>
      </c>
      <c r="BT236">
        <v>0</v>
      </c>
      <c r="BU236">
        <v>-0.79</v>
      </c>
      <c r="BV236">
        <v>-0.89</v>
      </c>
      <c r="BW236">
        <v>-0.97</v>
      </c>
      <c r="BX236">
        <v>0</v>
      </c>
      <c r="BY236">
        <v>0.08</v>
      </c>
      <c r="BZ236">
        <v>0</v>
      </c>
      <c r="CA236">
        <v>-0.68</v>
      </c>
      <c r="CB236">
        <v>-0.43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-10.6</v>
      </c>
      <c r="CK236">
        <v>51</v>
      </c>
      <c r="CL236">
        <v>-0.96</v>
      </c>
      <c r="CM236">
        <v>40</v>
      </c>
      <c r="CN236">
        <v>-0.48</v>
      </c>
      <c r="CO236">
        <v>40</v>
      </c>
      <c r="CP236">
        <v>-9.6999999999999993</v>
      </c>
      <c r="CQ236">
        <v>41</v>
      </c>
      <c r="CR236">
        <v>0</v>
      </c>
      <c r="CS236">
        <v>0</v>
      </c>
      <c r="CT236">
        <v>5.5</v>
      </c>
      <c r="CU236">
        <v>40</v>
      </c>
      <c r="CV236">
        <v>-0.01</v>
      </c>
      <c r="CW236">
        <v>36</v>
      </c>
      <c r="CX236" t="s">
        <v>2278</v>
      </c>
    </row>
    <row r="237" spans="1:102" x14ac:dyDescent="0.3">
      <c r="A237" t="str">
        <f>HYPERLINK("https://webapp.icbf.com/v2/app/bull-search/view/1478552739","FR4472")</f>
        <v>FR4472</v>
      </c>
      <c r="B237" t="s">
        <v>7691</v>
      </c>
      <c r="C237" t="s">
        <v>7692</v>
      </c>
      <c r="D237" s="1">
        <v>42781</v>
      </c>
      <c r="E237" t="s">
        <v>92</v>
      </c>
      <c r="F237">
        <v>72</v>
      </c>
      <c r="G237" t="s">
        <v>435</v>
      </c>
      <c r="H237">
        <v>214.94</v>
      </c>
      <c r="I237">
        <v>68</v>
      </c>
      <c r="J237">
        <v>26.96</v>
      </c>
      <c r="K237">
        <v>86</v>
      </c>
      <c r="L237">
        <v>127.99</v>
      </c>
      <c r="M237">
        <v>59</v>
      </c>
      <c r="N237">
        <v>61.66</v>
      </c>
      <c r="O237">
        <v>83</v>
      </c>
      <c r="P237">
        <v>-14.26</v>
      </c>
      <c r="Q237">
        <v>51</v>
      </c>
      <c r="R237">
        <v>-2.15</v>
      </c>
      <c r="S237">
        <v>59</v>
      </c>
      <c r="T237">
        <v>13.31</v>
      </c>
      <c r="U237">
        <v>45</v>
      </c>
      <c r="V237">
        <v>1.43</v>
      </c>
      <c r="W237">
        <v>56</v>
      </c>
      <c r="X237" t="s">
        <v>102</v>
      </c>
      <c r="Y237" t="s">
        <v>2384</v>
      </c>
      <c r="Z237" t="s">
        <v>330</v>
      </c>
      <c r="AA237" t="s">
        <v>6192</v>
      </c>
      <c r="AB237" t="s">
        <v>7693</v>
      </c>
      <c r="AC237">
        <v>0</v>
      </c>
      <c r="AD237">
        <v>0</v>
      </c>
      <c r="AE237">
        <v>86</v>
      </c>
      <c r="AF237">
        <v>-105.78</v>
      </c>
      <c r="AG237">
        <v>5.98</v>
      </c>
      <c r="AH237">
        <v>0.85</v>
      </c>
      <c r="AI237">
        <v>0.17</v>
      </c>
      <c r="AJ237">
        <v>0.08</v>
      </c>
      <c r="AK237">
        <v>59</v>
      </c>
      <c r="AL237">
        <v>0</v>
      </c>
      <c r="AM237">
        <v>0</v>
      </c>
      <c r="AN237">
        <v>-5.95</v>
      </c>
      <c r="AO237">
        <v>4.2699999999999996</v>
      </c>
      <c r="AP237">
        <v>528</v>
      </c>
      <c r="AQ237">
        <v>2</v>
      </c>
      <c r="AR237">
        <v>4.9400000000000004</v>
      </c>
      <c r="AS237">
        <v>84</v>
      </c>
      <c r="AT237">
        <v>2.1</v>
      </c>
      <c r="AU237">
        <v>92</v>
      </c>
      <c r="AV237">
        <v>-5.96</v>
      </c>
      <c r="AW237">
        <v>98</v>
      </c>
      <c r="AX237">
        <v>-0.14000000000000001</v>
      </c>
      <c r="AY237">
        <v>88</v>
      </c>
      <c r="AZ237">
        <v>7.27</v>
      </c>
      <c r="BA237">
        <v>41</v>
      </c>
      <c r="BB237">
        <v>4.7300000000000004</v>
      </c>
      <c r="BC237">
        <v>31</v>
      </c>
      <c r="BD237">
        <v>-0.04</v>
      </c>
      <c r="BE237">
        <v>0.04</v>
      </c>
      <c r="BF237">
        <v>0.04</v>
      </c>
      <c r="BG237">
        <v>70</v>
      </c>
      <c r="BH237">
        <v>-0.02</v>
      </c>
      <c r="BI237">
        <v>-6.92</v>
      </c>
      <c r="BJ237">
        <v>0</v>
      </c>
      <c r="BK237">
        <v>0</v>
      </c>
      <c r="BL237">
        <v>-1.2</v>
      </c>
      <c r="BM237">
        <v>-0.55000000000000004</v>
      </c>
      <c r="BN237">
        <v>-1.59</v>
      </c>
      <c r="BO237">
        <v>-1.19</v>
      </c>
      <c r="BP237">
        <v>5.17</v>
      </c>
      <c r="BQ237">
        <v>-2.81</v>
      </c>
      <c r="BR237">
        <v>1.69</v>
      </c>
      <c r="BS237">
        <v>-1.03</v>
      </c>
      <c r="BT237">
        <v>-2.19</v>
      </c>
      <c r="BU237">
        <v>-0.28000000000000003</v>
      </c>
      <c r="BV237">
        <v>-0.26</v>
      </c>
      <c r="BW237">
        <v>-0.3</v>
      </c>
      <c r="BX237">
        <v>-1.25</v>
      </c>
      <c r="BY237">
        <v>-0.05</v>
      </c>
      <c r="BZ237">
        <v>-0.34</v>
      </c>
      <c r="CA237">
        <v>-0.79</v>
      </c>
      <c r="CB237">
        <v>-0.28999999999999998</v>
      </c>
      <c r="CC237">
        <v>-1.05</v>
      </c>
      <c r="CD237">
        <v>0.95</v>
      </c>
      <c r="CE237">
        <v>-0.8</v>
      </c>
      <c r="CF237">
        <v>-1.42</v>
      </c>
      <c r="CG237">
        <v>0</v>
      </c>
      <c r="CH237">
        <v>-0.63</v>
      </c>
      <c r="CI237">
        <v>0</v>
      </c>
      <c r="CJ237">
        <v>-6.7</v>
      </c>
      <c r="CK237">
        <v>55</v>
      </c>
      <c r="CL237">
        <v>-0.68</v>
      </c>
      <c r="CM237">
        <v>46</v>
      </c>
      <c r="CN237">
        <v>-0.28999999999999998</v>
      </c>
      <c r="CO237">
        <v>46</v>
      </c>
      <c r="CP237">
        <v>-9.3000000000000007</v>
      </c>
      <c r="CQ237">
        <v>44</v>
      </c>
      <c r="CR237">
        <v>0</v>
      </c>
      <c r="CS237">
        <v>0</v>
      </c>
      <c r="CT237">
        <v>-4.2</v>
      </c>
      <c r="CU237">
        <v>45</v>
      </c>
      <c r="CV237">
        <v>-0.02</v>
      </c>
      <c r="CW237">
        <v>35</v>
      </c>
      <c r="CX237" t="s">
        <v>7694</v>
      </c>
    </row>
    <row r="238" spans="1:102" x14ac:dyDescent="0.3">
      <c r="A238" t="str">
        <f>HYPERLINK("https://webapp.icbf.com/v2/app/bull-search/view/1060003998","OMG")</f>
        <v>OMG</v>
      </c>
      <c r="B238" t="s">
        <v>13259</v>
      </c>
      <c r="C238" t="s">
        <v>13260</v>
      </c>
      <c r="D238" s="1">
        <v>41364</v>
      </c>
      <c r="E238" t="s">
        <v>92</v>
      </c>
      <c r="F238">
        <v>69</v>
      </c>
      <c r="G238" t="s">
        <v>93</v>
      </c>
      <c r="H238">
        <v>214.94</v>
      </c>
      <c r="I238">
        <v>92</v>
      </c>
      <c r="J238">
        <v>51.45</v>
      </c>
      <c r="K238">
        <v>99</v>
      </c>
      <c r="L238">
        <v>109.33</v>
      </c>
      <c r="M238">
        <v>86</v>
      </c>
      <c r="N238">
        <v>44.31</v>
      </c>
      <c r="O238">
        <v>95</v>
      </c>
      <c r="P238">
        <v>-11.08</v>
      </c>
      <c r="Q238">
        <v>98</v>
      </c>
      <c r="R238">
        <v>4.3099999999999996</v>
      </c>
      <c r="S238">
        <v>86</v>
      </c>
      <c r="T238">
        <v>6.06</v>
      </c>
      <c r="U238">
        <v>89</v>
      </c>
      <c r="V238">
        <v>10.56</v>
      </c>
      <c r="W238">
        <v>79</v>
      </c>
      <c r="X238" t="s">
        <v>94</v>
      </c>
      <c r="Y238" t="s">
        <v>389</v>
      </c>
      <c r="Z238" t="s">
        <v>330</v>
      </c>
      <c r="AA238" t="s">
        <v>1770</v>
      </c>
      <c r="AB238" t="s">
        <v>13261</v>
      </c>
      <c r="AC238">
        <v>577</v>
      </c>
      <c r="AD238">
        <v>210</v>
      </c>
      <c r="AE238">
        <v>99</v>
      </c>
      <c r="AF238">
        <v>-33.6</v>
      </c>
      <c r="AG238">
        <v>11.41</v>
      </c>
      <c r="AH238">
        <v>4.2</v>
      </c>
      <c r="AI238">
        <v>0.22</v>
      </c>
      <c r="AJ238">
        <v>0.09</v>
      </c>
      <c r="AK238">
        <v>86</v>
      </c>
      <c r="AL238">
        <v>609</v>
      </c>
      <c r="AM238">
        <v>252</v>
      </c>
      <c r="AN238">
        <v>-5.0999999999999996</v>
      </c>
      <c r="AO238">
        <v>3.63</v>
      </c>
      <c r="AP238">
        <v>1786</v>
      </c>
      <c r="AQ238">
        <v>2</v>
      </c>
      <c r="AR238">
        <v>5.51</v>
      </c>
      <c r="AS238">
        <v>95</v>
      </c>
      <c r="AT238">
        <v>2.0099999999999998</v>
      </c>
      <c r="AU238">
        <v>97</v>
      </c>
      <c r="AV238">
        <v>-4.1399999999999997</v>
      </c>
      <c r="AW238">
        <v>99</v>
      </c>
      <c r="AX238">
        <v>-0.56000000000000005</v>
      </c>
      <c r="AY238">
        <v>96</v>
      </c>
      <c r="AZ238">
        <v>6.64</v>
      </c>
      <c r="BA238">
        <v>89</v>
      </c>
      <c r="BB238">
        <v>5.57</v>
      </c>
      <c r="BC238">
        <v>76</v>
      </c>
      <c r="BD238">
        <v>-0.03</v>
      </c>
      <c r="BE238">
        <v>-0.01</v>
      </c>
      <c r="BF238">
        <v>-0.03</v>
      </c>
      <c r="BG238">
        <v>96</v>
      </c>
      <c r="BH238">
        <v>0.16</v>
      </c>
      <c r="BI238">
        <v>-15.57</v>
      </c>
      <c r="BJ238">
        <v>0</v>
      </c>
      <c r="BK238">
        <v>0</v>
      </c>
      <c r="BL238">
        <v>-0.82</v>
      </c>
      <c r="BM238">
        <v>1.88</v>
      </c>
      <c r="BN238">
        <v>-0.61</v>
      </c>
      <c r="BO238">
        <v>-1.7</v>
      </c>
      <c r="BP238">
        <v>2.9</v>
      </c>
      <c r="BQ238">
        <v>-1.1399999999999999</v>
      </c>
      <c r="BR238">
        <v>1</v>
      </c>
      <c r="BS238">
        <v>-0.42</v>
      </c>
      <c r="BT238">
        <v>-1.43</v>
      </c>
      <c r="BU238">
        <v>0.74</v>
      </c>
      <c r="BV238">
        <v>-0.27</v>
      </c>
      <c r="BW238">
        <v>-0.68</v>
      </c>
      <c r="BX238">
        <v>-0.18</v>
      </c>
      <c r="BY238">
        <v>-0.14000000000000001</v>
      </c>
      <c r="BZ238">
        <v>-1.1200000000000001</v>
      </c>
      <c r="CA238">
        <v>-0.31</v>
      </c>
      <c r="CB238">
        <v>-0.18</v>
      </c>
      <c r="CC238">
        <v>-0.66</v>
      </c>
      <c r="CD238">
        <v>1.83</v>
      </c>
      <c r="CE238">
        <v>-1</v>
      </c>
      <c r="CF238">
        <v>-0.88</v>
      </c>
      <c r="CG238">
        <v>0</v>
      </c>
      <c r="CH238">
        <v>-0.2</v>
      </c>
      <c r="CI238">
        <v>0</v>
      </c>
      <c r="CJ238">
        <v>-3.6</v>
      </c>
      <c r="CK238">
        <v>99</v>
      </c>
      <c r="CL238">
        <v>-0.9</v>
      </c>
      <c r="CM238">
        <v>98</v>
      </c>
      <c r="CN238">
        <v>-0.36</v>
      </c>
      <c r="CO238">
        <v>98</v>
      </c>
      <c r="CP238">
        <v>-6.9</v>
      </c>
      <c r="CQ238">
        <v>88</v>
      </c>
      <c r="CR238">
        <v>0</v>
      </c>
      <c r="CS238">
        <v>0</v>
      </c>
      <c r="CT238">
        <v>5.6</v>
      </c>
      <c r="CU238">
        <v>89</v>
      </c>
      <c r="CV238">
        <v>0.19</v>
      </c>
      <c r="CW238">
        <v>48</v>
      </c>
      <c r="CX238" t="s">
        <v>4532</v>
      </c>
    </row>
    <row r="239" spans="1:102" x14ac:dyDescent="0.3">
      <c r="A239" t="str">
        <f>HYPERLINK("https://webapp.icbf.com/v2/app/bull-search/view/1251467841","FR2369")</f>
        <v>FR2369</v>
      </c>
      <c r="B239" t="s">
        <v>6127</v>
      </c>
      <c r="C239" t="s">
        <v>6128</v>
      </c>
      <c r="D239" s="1">
        <v>42044</v>
      </c>
      <c r="E239" t="s">
        <v>92</v>
      </c>
      <c r="F239">
        <v>78</v>
      </c>
      <c r="G239" t="s">
        <v>93</v>
      </c>
      <c r="H239">
        <v>214.78</v>
      </c>
      <c r="I239">
        <v>82</v>
      </c>
      <c r="J239">
        <v>58.91</v>
      </c>
      <c r="K239">
        <v>95</v>
      </c>
      <c r="L239">
        <v>141.79</v>
      </c>
      <c r="M239">
        <v>73</v>
      </c>
      <c r="N239">
        <v>36.25</v>
      </c>
      <c r="O239">
        <v>86</v>
      </c>
      <c r="P239">
        <v>-26.01</v>
      </c>
      <c r="Q239">
        <v>91</v>
      </c>
      <c r="R239">
        <v>-2.96</v>
      </c>
      <c r="S239">
        <v>73</v>
      </c>
      <c r="T239">
        <v>11.24</v>
      </c>
      <c r="U239">
        <v>62</v>
      </c>
      <c r="V239">
        <v>-4.4400000000000004</v>
      </c>
      <c r="W239">
        <v>70</v>
      </c>
      <c r="X239" t="s">
        <v>94</v>
      </c>
      <c r="Y239" t="s">
        <v>436</v>
      </c>
      <c r="Z239" t="s">
        <v>330</v>
      </c>
      <c r="AA239" t="s">
        <v>2235</v>
      </c>
      <c r="AB239" t="s">
        <v>6129</v>
      </c>
      <c r="AC239">
        <v>124</v>
      </c>
      <c r="AD239">
        <v>66</v>
      </c>
      <c r="AE239">
        <v>95</v>
      </c>
      <c r="AF239">
        <v>-143.61000000000001</v>
      </c>
      <c r="AG239">
        <v>9.0500000000000007</v>
      </c>
      <c r="AH239">
        <v>4.62</v>
      </c>
      <c r="AI239">
        <v>0.26</v>
      </c>
      <c r="AJ239">
        <v>0.17</v>
      </c>
      <c r="AK239">
        <v>73</v>
      </c>
      <c r="AL239">
        <v>0</v>
      </c>
      <c r="AM239">
        <v>0</v>
      </c>
      <c r="AN239">
        <v>-7.54</v>
      </c>
      <c r="AO239">
        <v>3.77</v>
      </c>
      <c r="AP239">
        <v>545</v>
      </c>
      <c r="AQ239">
        <v>0</v>
      </c>
      <c r="AR239">
        <v>6.22</v>
      </c>
      <c r="AS239">
        <v>78</v>
      </c>
      <c r="AT239">
        <v>2.2200000000000002</v>
      </c>
      <c r="AU239">
        <v>93</v>
      </c>
      <c r="AV239">
        <v>-2.89</v>
      </c>
      <c r="AW239">
        <v>98</v>
      </c>
      <c r="AX239">
        <v>-0.18</v>
      </c>
      <c r="AY239">
        <v>88</v>
      </c>
      <c r="AZ239">
        <v>6.07</v>
      </c>
      <c r="BA239">
        <v>69</v>
      </c>
      <c r="BB239">
        <v>4.62</v>
      </c>
      <c r="BC239">
        <v>43</v>
      </c>
      <c r="BD239">
        <v>-0.06</v>
      </c>
      <c r="BE239">
        <v>0.02</v>
      </c>
      <c r="BF239">
        <v>0.13</v>
      </c>
      <c r="BG239">
        <v>85</v>
      </c>
      <c r="BH239">
        <v>-0.06</v>
      </c>
      <c r="BI239">
        <v>7.39</v>
      </c>
      <c r="BJ239">
        <v>0</v>
      </c>
      <c r="BK239">
        <v>0</v>
      </c>
      <c r="BL239">
        <v>-2.11</v>
      </c>
      <c r="BM239">
        <v>-1.61</v>
      </c>
      <c r="BN239">
        <v>-3.07</v>
      </c>
      <c r="BO239">
        <v>-1.79</v>
      </c>
      <c r="BP239">
        <v>1.73</v>
      </c>
      <c r="BQ239">
        <v>-1.77</v>
      </c>
      <c r="BR239">
        <v>-1.2</v>
      </c>
      <c r="BS239">
        <v>0.5</v>
      </c>
      <c r="BT239">
        <v>-0.54</v>
      </c>
      <c r="BU239">
        <v>-0.99</v>
      </c>
      <c r="BV239">
        <v>-1.64</v>
      </c>
      <c r="BW239">
        <v>-2.2200000000000002</v>
      </c>
      <c r="BX239">
        <v>-1.01</v>
      </c>
      <c r="BY239">
        <v>-1.67</v>
      </c>
      <c r="BZ239">
        <v>1.66</v>
      </c>
      <c r="CA239">
        <v>-1.35</v>
      </c>
      <c r="CB239">
        <v>-1.47</v>
      </c>
      <c r="CC239">
        <v>-0.04</v>
      </c>
      <c r="CD239">
        <v>0.99</v>
      </c>
      <c r="CE239">
        <v>-1.1299999999999999</v>
      </c>
      <c r="CF239">
        <v>-1.1000000000000001</v>
      </c>
      <c r="CG239">
        <v>0</v>
      </c>
      <c r="CH239">
        <v>-2.34</v>
      </c>
      <c r="CI239">
        <v>0</v>
      </c>
      <c r="CJ239">
        <v>-12.9</v>
      </c>
      <c r="CK239">
        <v>94</v>
      </c>
      <c r="CL239">
        <v>-0.78</v>
      </c>
      <c r="CM239">
        <v>92</v>
      </c>
      <c r="CN239">
        <v>-0.12</v>
      </c>
      <c r="CO239">
        <v>91</v>
      </c>
      <c r="CP239">
        <v>-10.4</v>
      </c>
      <c r="CQ239">
        <v>65</v>
      </c>
      <c r="CR239">
        <v>0</v>
      </c>
      <c r="CS239">
        <v>0</v>
      </c>
      <c r="CT239">
        <v>-1.4</v>
      </c>
      <c r="CU239">
        <v>62</v>
      </c>
      <c r="CV239">
        <v>-0.05</v>
      </c>
      <c r="CW239">
        <v>46</v>
      </c>
      <c r="CX239" t="s">
        <v>2245</v>
      </c>
    </row>
    <row r="240" spans="1:102" x14ac:dyDescent="0.3">
      <c r="A240" t="str">
        <f>HYPERLINK("https://webapp.icbf.com/v2/app/bull-search/view/863507874","ZDD")</f>
        <v>ZDD</v>
      </c>
      <c r="B240" t="s">
        <v>5555</v>
      </c>
      <c r="C240" t="s">
        <v>5556</v>
      </c>
      <c r="D240" s="1">
        <v>40593</v>
      </c>
      <c r="E240" t="s">
        <v>92</v>
      </c>
      <c r="F240">
        <v>59</v>
      </c>
      <c r="G240" t="s">
        <v>93</v>
      </c>
      <c r="H240">
        <v>214.71</v>
      </c>
      <c r="I240">
        <v>81</v>
      </c>
      <c r="J240">
        <v>53.43</v>
      </c>
      <c r="K240">
        <v>94</v>
      </c>
      <c r="L240">
        <v>124.23</v>
      </c>
      <c r="M240">
        <v>72</v>
      </c>
      <c r="N240">
        <v>18.010000000000002</v>
      </c>
      <c r="O240">
        <v>80</v>
      </c>
      <c r="P240">
        <v>-10.29</v>
      </c>
      <c r="Q240">
        <v>86</v>
      </c>
      <c r="R240">
        <v>7.74</v>
      </c>
      <c r="S240">
        <v>73</v>
      </c>
      <c r="T240">
        <v>14.94</v>
      </c>
      <c r="U240">
        <v>66</v>
      </c>
      <c r="V240">
        <v>6.65</v>
      </c>
      <c r="W240">
        <v>70</v>
      </c>
      <c r="X240" t="s">
        <v>94</v>
      </c>
      <c r="Y240" t="s">
        <v>1860</v>
      </c>
      <c r="Z240" t="s">
        <v>96</v>
      </c>
      <c r="AA240" t="s">
        <v>1942</v>
      </c>
      <c r="AB240" t="s">
        <v>5557</v>
      </c>
      <c r="AC240">
        <v>43</v>
      </c>
      <c r="AD240">
        <v>36</v>
      </c>
      <c r="AE240">
        <v>94</v>
      </c>
      <c r="AF240">
        <v>120.71</v>
      </c>
      <c r="AG240">
        <v>9.23</v>
      </c>
      <c r="AH240">
        <v>7.67</v>
      </c>
      <c r="AI240">
        <v>0.08</v>
      </c>
      <c r="AJ240">
        <v>0.06</v>
      </c>
      <c r="AK240">
        <v>72</v>
      </c>
      <c r="AL240">
        <v>38</v>
      </c>
      <c r="AM240">
        <v>28</v>
      </c>
      <c r="AN240">
        <v>-6.57</v>
      </c>
      <c r="AO240">
        <v>3.34</v>
      </c>
      <c r="AP240">
        <v>115</v>
      </c>
      <c r="AQ240">
        <v>0</v>
      </c>
      <c r="AR240">
        <v>5.94</v>
      </c>
      <c r="AS240">
        <v>63</v>
      </c>
      <c r="AT240">
        <v>2.54</v>
      </c>
      <c r="AU240">
        <v>82</v>
      </c>
      <c r="AV240">
        <v>-0.65</v>
      </c>
      <c r="AW240">
        <v>94</v>
      </c>
      <c r="AX240">
        <v>-0.84</v>
      </c>
      <c r="AY240">
        <v>72</v>
      </c>
      <c r="AZ240">
        <v>6.29</v>
      </c>
      <c r="BA240">
        <v>57</v>
      </c>
      <c r="BB240">
        <v>4.66</v>
      </c>
      <c r="BC240">
        <v>57</v>
      </c>
      <c r="BD240">
        <v>0</v>
      </c>
      <c r="BE240">
        <v>-0.02</v>
      </c>
      <c r="BF240">
        <v>-0.14000000000000001</v>
      </c>
      <c r="BG240">
        <v>82</v>
      </c>
      <c r="BH240">
        <v>0.11</v>
      </c>
      <c r="BI240">
        <v>-8.74</v>
      </c>
      <c r="BJ240">
        <v>4</v>
      </c>
      <c r="BK240">
        <v>4</v>
      </c>
      <c r="BL240">
        <v>-2.15</v>
      </c>
      <c r="BM240">
        <v>0.62</v>
      </c>
      <c r="BN240">
        <v>-2.95</v>
      </c>
      <c r="BO240">
        <v>-3.03</v>
      </c>
      <c r="BP240">
        <v>3.18</v>
      </c>
      <c r="BQ240">
        <v>-1.75</v>
      </c>
      <c r="BR240">
        <v>-2.16</v>
      </c>
      <c r="BS240">
        <v>0.05</v>
      </c>
      <c r="BT240">
        <v>0.96</v>
      </c>
      <c r="BU240">
        <v>-0.99</v>
      </c>
      <c r="BV240">
        <v>-2.39</v>
      </c>
      <c r="BW240">
        <v>-2.64</v>
      </c>
      <c r="BX240">
        <v>-0.64</v>
      </c>
      <c r="BY240">
        <v>-2.5299999999999998</v>
      </c>
      <c r="BZ240">
        <v>-0.02</v>
      </c>
      <c r="CA240">
        <v>-1</v>
      </c>
      <c r="CB240">
        <v>-1.72</v>
      </c>
      <c r="CC240">
        <v>0.11</v>
      </c>
      <c r="CD240">
        <v>2.0099999999999998</v>
      </c>
      <c r="CE240">
        <v>-2.17</v>
      </c>
      <c r="CF240">
        <v>-1.65</v>
      </c>
      <c r="CG240">
        <v>0</v>
      </c>
      <c r="CH240">
        <v>-0.75</v>
      </c>
      <c r="CI240">
        <v>0</v>
      </c>
      <c r="CJ240">
        <v>-6.1</v>
      </c>
      <c r="CK240">
        <v>89</v>
      </c>
      <c r="CL240">
        <v>-0.39</v>
      </c>
      <c r="CM240">
        <v>86</v>
      </c>
      <c r="CN240">
        <v>-0.27</v>
      </c>
      <c r="CO240">
        <v>84</v>
      </c>
      <c r="CP240">
        <v>-6.7</v>
      </c>
      <c r="CQ240">
        <v>72</v>
      </c>
      <c r="CR240">
        <v>0</v>
      </c>
      <c r="CS240">
        <v>0</v>
      </c>
      <c r="CT240">
        <v>-6.4</v>
      </c>
      <c r="CU240">
        <v>66</v>
      </c>
      <c r="CV240">
        <v>-0.02</v>
      </c>
      <c r="CW240">
        <v>45</v>
      </c>
      <c r="CX240" t="s">
        <v>5558</v>
      </c>
    </row>
    <row r="241" spans="1:102" x14ac:dyDescent="0.3">
      <c r="A241" t="str">
        <f>HYPERLINK("https://webapp.icbf.com/v2/app/bull-search/view/1041680334","OET")</f>
        <v>OET</v>
      </c>
      <c r="B241" t="s">
        <v>13378</v>
      </c>
      <c r="C241" t="s">
        <v>13379</v>
      </c>
      <c r="D241" s="1">
        <v>41318</v>
      </c>
      <c r="E241" t="s">
        <v>92</v>
      </c>
      <c r="F241">
        <v>94</v>
      </c>
      <c r="G241" t="s">
        <v>93</v>
      </c>
      <c r="H241">
        <v>214.47</v>
      </c>
      <c r="I241">
        <v>88</v>
      </c>
      <c r="J241">
        <v>56.91</v>
      </c>
      <c r="K241">
        <v>98</v>
      </c>
      <c r="L241">
        <v>115.09</v>
      </c>
      <c r="M241">
        <v>81</v>
      </c>
      <c r="N241">
        <v>42.22</v>
      </c>
      <c r="O241">
        <v>88</v>
      </c>
      <c r="P241">
        <v>-10.4</v>
      </c>
      <c r="Q241">
        <v>93</v>
      </c>
      <c r="R241">
        <v>1.2</v>
      </c>
      <c r="S241">
        <v>82</v>
      </c>
      <c r="T241">
        <v>11.24</v>
      </c>
      <c r="U241">
        <v>78</v>
      </c>
      <c r="V241">
        <v>-1.79</v>
      </c>
      <c r="W241">
        <v>76</v>
      </c>
      <c r="X241" t="s">
        <v>94</v>
      </c>
      <c r="Y241" t="s">
        <v>389</v>
      </c>
      <c r="Z241" t="s">
        <v>96</v>
      </c>
      <c r="AA241" t="s">
        <v>2041</v>
      </c>
      <c r="AB241" t="s">
        <v>13380</v>
      </c>
      <c r="AC241">
        <v>132</v>
      </c>
      <c r="AD241">
        <v>81</v>
      </c>
      <c r="AE241">
        <v>98</v>
      </c>
      <c r="AF241">
        <v>178.55</v>
      </c>
      <c r="AG241">
        <v>7.78</v>
      </c>
      <c r="AH241">
        <v>9.66</v>
      </c>
      <c r="AI241">
        <v>0.01</v>
      </c>
      <c r="AJ241">
        <v>0.06</v>
      </c>
      <c r="AK241">
        <v>81</v>
      </c>
      <c r="AL241">
        <v>151</v>
      </c>
      <c r="AM241">
        <v>88</v>
      </c>
      <c r="AN241">
        <v>-5.36</v>
      </c>
      <c r="AO241">
        <v>3.83</v>
      </c>
      <c r="AP241">
        <v>328</v>
      </c>
      <c r="AQ241">
        <v>1</v>
      </c>
      <c r="AR241">
        <v>4.91</v>
      </c>
      <c r="AS241">
        <v>80</v>
      </c>
      <c r="AT241">
        <v>1.95</v>
      </c>
      <c r="AU241">
        <v>91</v>
      </c>
      <c r="AV241">
        <v>-3.51</v>
      </c>
      <c r="AW241">
        <v>98</v>
      </c>
      <c r="AX241">
        <v>7.0000000000000007E-2</v>
      </c>
      <c r="AY241">
        <v>85</v>
      </c>
      <c r="AZ241">
        <v>6.89</v>
      </c>
      <c r="BA241">
        <v>73</v>
      </c>
      <c r="BB241">
        <v>4.93</v>
      </c>
      <c r="BC241">
        <v>66</v>
      </c>
      <c r="BD241">
        <v>-0.01</v>
      </c>
      <c r="BE241">
        <v>0.01</v>
      </c>
      <c r="BF241">
        <v>-0.03</v>
      </c>
      <c r="BG241">
        <v>91</v>
      </c>
      <c r="BH241">
        <v>0.12</v>
      </c>
      <c r="BI241">
        <v>19.649999999999999</v>
      </c>
      <c r="BJ241">
        <v>20</v>
      </c>
      <c r="BK241">
        <v>5</v>
      </c>
      <c r="BL241">
        <v>-0.63</v>
      </c>
      <c r="BM241">
        <v>1.74</v>
      </c>
      <c r="BN241">
        <v>-0.98</v>
      </c>
      <c r="BO241">
        <v>-1.96</v>
      </c>
      <c r="BP241">
        <v>0.31</v>
      </c>
      <c r="BQ241">
        <v>1.53</v>
      </c>
      <c r="BR241">
        <v>1.64</v>
      </c>
      <c r="BS241">
        <v>-4.34</v>
      </c>
      <c r="BT241">
        <v>-2.02</v>
      </c>
      <c r="BU241">
        <v>-0.6</v>
      </c>
      <c r="BV241">
        <v>-1.36</v>
      </c>
      <c r="BW241">
        <v>-0.71</v>
      </c>
      <c r="BX241">
        <v>-0.02</v>
      </c>
      <c r="BY241">
        <v>-1.24</v>
      </c>
      <c r="BZ241">
        <v>-2.5299999999999998</v>
      </c>
      <c r="CA241">
        <v>-1.59</v>
      </c>
      <c r="CB241">
        <v>-1.05</v>
      </c>
      <c r="CC241">
        <v>-2.5099999999999998</v>
      </c>
      <c r="CD241">
        <v>2.0499999999999998</v>
      </c>
      <c r="CE241">
        <v>-1.84</v>
      </c>
      <c r="CF241">
        <v>-0.77</v>
      </c>
      <c r="CG241">
        <v>0</v>
      </c>
      <c r="CH241">
        <v>0.08</v>
      </c>
      <c r="CI241">
        <v>0</v>
      </c>
      <c r="CJ241">
        <v>-2.9</v>
      </c>
      <c r="CK241">
        <v>95</v>
      </c>
      <c r="CL241">
        <v>-0.79</v>
      </c>
      <c r="CM241">
        <v>94</v>
      </c>
      <c r="CN241">
        <v>-0.21</v>
      </c>
      <c r="CO241">
        <v>93</v>
      </c>
      <c r="CP241">
        <v>-4.7</v>
      </c>
      <c r="CQ241">
        <v>80</v>
      </c>
      <c r="CR241">
        <v>0</v>
      </c>
      <c r="CS241">
        <v>0</v>
      </c>
      <c r="CT241">
        <v>-1.4</v>
      </c>
      <c r="CU241">
        <v>78</v>
      </c>
      <c r="CV241">
        <v>7.0000000000000007E-2</v>
      </c>
      <c r="CW241">
        <v>48</v>
      </c>
      <c r="CX241" t="s">
        <v>316</v>
      </c>
    </row>
    <row r="242" spans="1:102" x14ac:dyDescent="0.3">
      <c r="A242" t="str">
        <f>HYPERLINK("https://webapp.icbf.com/v2/app/bull-search/view/745942725","BXH")</f>
        <v>BXH</v>
      </c>
      <c r="B242" t="s">
        <v>1826</v>
      </c>
      <c r="C242" t="s">
        <v>1827</v>
      </c>
      <c r="D242" s="1">
        <v>40209</v>
      </c>
      <c r="E242" t="s">
        <v>92</v>
      </c>
      <c r="F242">
        <v>94</v>
      </c>
      <c r="G242" t="s">
        <v>93</v>
      </c>
      <c r="H242">
        <v>214.46</v>
      </c>
      <c r="I242">
        <v>95</v>
      </c>
      <c r="J242">
        <v>27.57</v>
      </c>
      <c r="K242">
        <v>99</v>
      </c>
      <c r="L242">
        <v>96.6</v>
      </c>
      <c r="M242">
        <v>92</v>
      </c>
      <c r="N242">
        <v>65.47</v>
      </c>
      <c r="O242">
        <v>97</v>
      </c>
      <c r="P242">
        <v>-15.22</v>
      </c>
      <c r="Q242">
        <v>99</v>
      </c>
      <c r="R242">
        <v>11.28</v>
      </c>
      <c r="S242">
        <v>92</v>
      </c>
      <c r="T242">
        <v>23.08</v>
      </c>
      <c r="U242">
        <v>98</v>
      </c>
      <c r="V242">
        <v>5.68</v>
      </c>
      <c r="W242">
        <v>83</v>
      </c>
      <c r="X242" t="s">
        <v>276</v>
      </c>
      <c r="Y242" t="s">
        <v>329</v>
      </c>
      <c r="Z242" t="s">
        <v>96</v>
      </c>
      <c r="AA242" t="s">
        <v>277</v>
      </c>
      <c r="AB242" t="s">
        <v>1828</v>
      </c>
      <c r="AC242">
        <v>1089</v>
      </c>
      <c r="AD242">
        <v>396</v>
      </c>
      <c r="AE242">
        <v>99</v>
      </c>
      <c r="AF242">
        <v>-44.22</v>
      </c>
      <c r="AG242">
        <v>0.94</v>
      </c>
      <c r="AH242">
        <v>3.68</v>
      </c>
      <c r="AI242">
        <v>0.05</v>
      </c>
      <c r="AJ242">
        <v>0.09</v>
      </c>
      <c r="AK242">
        <v>92</v>
      </c>
      <c r="AL242">
        <v>1295</v>
      </c>
      <c r="AM242">
        <v>467</v>
      </c>
      <c r="AN242">
        <v>-3.99</v>
      </c>
      <c r="AO242">
        <v>3.73</v>
      </c>
      <c r="AP242">
        <v>1862</v>
      </c>
      <c r="AQ242">
        <v>6</v>
      </c>
      <c r="AR242">
        <v>4.3099999999999996</v>
      </c>
      <c r="AS242">
        <v>98</v>
      </c>
      <c r="AT242">
        <v>1.82</v>
      </c>
      <c r="AU242">
        <v>97</v>
      </c>
      <c r="AV242">
        <v>-5.7</v>
      </c>
      <c r="AW242">
        <v>99</v>
      </c>
      <c r="AX242">
        <v>-0.34</v>
      </c>
      <c r="AY242">
        <v>97</v>
      </c>
      <c r="AZ242">
        <v>5.47</v>
      </c>
      <c r="BA242">
        <v>93</v>
      </c>
      <c r="BB242">
        <v>4.74</v>
      </c>
      <c r="BC242">
        <v>92</v>
      </c>
      <c r="BD242">
        <v>-0.05</v>
      </c>
      <c r="BE242">
        <v>-0.04</v>
      </c>
      <c r="BF242">
        <v>-0.1</v>
      </c>
      <c r="BG242">
        <v>98</v>
      </c>
      <c r="BH242">
        <v>-0.1</v>
      </c>
      <c r="BI242">
        <v>-29.89</v>
      </c>
      <c r="BJ242">
        <v>68</v>
      </c>
      <c r="BK242">
        <v>33</v>
      </c>
      <c r="BL242">
        <v>-1.02</v>
      </c>
      <c r="BM242">
        <v>-2.5099999999999998</v>
      </c>
      <c r="BN242">
        <v>-2.82</v>
      </c>
      <c r="BO242">
        <v>-0.76</v>
      </c>
      <c r="BP242">
        <v>1.22</v>
      </c>
      <c r="BQ242">
        <v>-3.05</v>
      </c>
      <c r="BR242">
        <v>0.66</v>
      </c>
      <c r="BS242">
        <v>-1.01</v>
      </c>
      <c r="BT242">
        <v>-1.94</v>
      </c>
      <c r="BU242">
        <v>-1.51</v>
      </c>
      <c r="BV242">
        <v>-1.0900000000000001</v>
      </c>
      <c r="BW242">
        <v>-2.14</v>
      </c>
      <c r="BX242">
        <v>-0.24</v>
      </c>
      <c r="BY242">
        <v>-2.38</v>
      </c>
      <c r="BZ242">
        <v>0.35</v>
      </c>
      <c r="CA242">
        <v>-1.52</v>
      </c>
      <c r="CB242">
        <v>-1.9</v>
      </c>
      <c r="CC242">
        <v>-0.37</v>
      </c>
      <c r="CD242">
        <v>-0.78</v>
      </c>
      <c r="CE242">
        <v>-1.0900000000000001</v>
      </c>
      <c r="CF242">
        <v>-2.29</v>
      </c>
      <c r="CG242">
        <v>0</v>
      </c>
      <c r="CH242">
        <v>-2.08</v>
      </c>
      <c r="CI242">
        <v>0</v>
      </c>
      <c r="CJ242">
        <v>-6</v>
      </c>
      <c r="CK242">
        <v>99</v>
      </c>
      <c r="CL242">
        <v>-0.67</v>
      </c>
      <c r="CM242">
        <v>99</v>
      </c>
      <c r="CN242">
        <v>-0.15</v>
      </c>
      <c r="CO242">
        <v>99</v>
      </c>
      <c r="CP242">
        <v>-11.9</v>
      </c>
      <c r="CQ242">
        <v>97</v>
      </c>
      <c r="CR242">
        <v>0</v>
      </c>
      <c r="CS242">
        <v>0</v>
      </c>
      <c r="CT242">
        <v>-17.399999999999999</v>
      </c>
      <c r="CU242">
        <v>98</v>
      </c>
      <c r="CV242">
        <v>0.02</v>
      </c>
      <c r="CW242">
        <v>46</v>
      </c>
      <c r="CX242" t="s">
        <v>1390</v>
      </c>
    </row>
    <row r="243" spans="1:102" x14ac:dyDescent="0.3">
      <c r="A243" t="str">
        <f>HYPERLINK("https://webapp.icbf.com/v2/app/bull-search/view/1353735295","FR4485")</f>
        <v>FR4485</v>
      </c>
      <c r="B243" t="s">
        <v>13773</v>
      </c>
      <c r="C243" t="s">
        <v>13774</v>
      </c>
      <c r="D243" s="1">
        <v>42394</v>
      </c>
      <c r="E243" t="s">
        <v>108</v>
      </c>
      <c r="F243">
        <v>28</v>
      </c>
      <c r="G243" t="s">
        <v>435</v>
      </c>
      <c r="H243">
        <v>214.23</v>
      </c>
      <c r="I243">
        <v>68</v>
      </c>
      <c r="J243">
        <v>28.07</v>
      </c>
      <c r="K243">
        <v>85</v>
      </c>
      <c r="L243">
        <v>143.69999999999999</v>
      </c>
      <c r="M243">
        <v>60</v>
      </c>
      <c r="N243">
        <v>36.08</v>
      </c>
      <c r="O243">
        <v>79</v>
      </c>
      <c r="P243">
        <v>-6.45</v>
      </c>
      <c r="Q243">
        <v>47</v>
      </c>
      <c r="R243">
        <v>5.18</v>
      </c>
      <c r="S243">
        <v>60</v>
      </c>
      <c r="T243">
        <v>2.87</v>
      </c>
      <c r="U243">
        <v>46</v>
      </c>
      <c r="V243">
        <v>4.78</v>
      </c>
      <c r="W243">
        <v>54</v>
      </c>
      <c r="X243" t="s">
        <v>276</v>
      </c>
      <c r="Y243" t="s">
        <v>2384</v>
      </c>
      <c r="Z243" t="s">
        <v>96</v>
      </c>
      <c r="AA243" t="s">
        <v>2376</v>
      </c>
      <c r="AB243" t="s">
        <v>13775</v>
      </c>
      <c r="AC243">
        <v>0</v>
      </c>
      <c r="AD243">
        <v>0</v>
      </c>
      <c r="AE243">
        <v>85</v>
      </c>
      <c r="AF243">
        <v>-188.66</v>
      </c>
      <c r="AG243">
        <v>3.38</v>
      </c>
      <c r="AH243">
        <v>0.69</v>
      </c>
      <c r="AI243">
        <v>0.19</v>
      </c>
      <c r="AJ243">
        <v>0.13</v>
      </c>
      <c r="AK243">
        <v>60</v>
      </c>
      <c r="AL243">
        <v>0</v>
      </c>
      <c r="AM243">
        <v>0</v>
      </c>
      <c r="AN243">
        <v>-9.3699999999999992</v>
      </c>
      <c r="AO243">
        <v>2.0699999999999998</v>
      </c>
      <c r="AP243">
        <v>240</v>
      </c>
      <c r="AQ243">
        <v>0</v>
      </c>
      <c r="AR243">
        <v>5.95</v>
      </c>
      <c r="AS243">
        <v>63</v>
      </c>
      <c r="AT243">
        <v>2.6</v>
      </c>
      <c r="AU243">
        <v>87</v>
      </c>
      <c r="AV243">
        <v>-3.57</v>
      </c>
      <c r="AW243">
        <v>93</v>
      </c>
      <c r="AX243">
        <v>-1.01</v>
      </c>
      <c r="AY243">
        <v>79</v>
      </c>
      <c r="AZ243">
        <v>6.2</v>
      </c>
      <c r="BA243">
        <v>42</v>
      </c>
      <c r="BB243">
        <v>5.68</v>
      </c>
      <c r="BC243">
        <v>40</v>
      </c>
      <c r="BD243">
        <v>0</v>
      </c>
      <c r="BE243">
        <v>-0.01</v>
      </c>
      <c r="BF243">
        <v>-0.1</v>
      </c>
      <c r="BG243">
        <v>68</v>
      </c>
      <c r="BH243">
        <v>7.0000000000000007E-2</v>
      </c>
      <c r="BI243">
        <v>-7.33</v>
      </c>
      <c r="BJ243">
        <v>0</v>
      </c>
      <c r="BK243">
        <v>0</v>
      </c>
      <c r="BL243">
        <v>-1.32</v>
      </c>
      <c r="BM243">
        <v>4.09</v>
      </c>
      <c r="BN243">
        <v>0.16</v>
      </c>
      <c r="BO243">
        <v>-1.94</v>
      </c>
      <c r="BP243">
        <v>-1.34</v>
      </c>
      <c r="BQ243">
        <v>4.3899999999999997</v>
      </c>
      <c r="BR243">
        <v>-2.21</v>
      </c>
      <c r="BS243">
        <v>-0.06</v>
      </c>
      <c r="BT243">
        <v>0.68</v>
      </c>
      <c r="BU243">
        <v>-0.76</v>
      </c>
      <c r="BV243">
        <v>-1.36</v>
      </c>
      <c r="BW243">
        <v>-0.56000000000000005</v>
      </c>
      <c r="BX243">
        <v>-0.42</v>
      </c>
      <c r="BY243">
        <v>-0.63</v>
      </c>
      <c r="BZ243">
        <v>0.31</v>
      </c>
      <c r="CA243">
        <v>-0.56999999999999995</v>
      </c>
      <c r="CB243">
        <v>-0.49</v>
      </c>
      <c r="CC243">
        <v>-0.48</v>
      </c>
      <c r="CD243">
        <v>2.67</v>
      </c>
      <c r="CE243">
        <v>-1.26</v>
      </c>
      <c r="CF243">
        <v>0.08</v>
      </c>
      <c r="CG243">
        <v>0</v>
      </c>
      <c r="CH243">
        <v>-0.56000000000000005</v>
      </c>
      <c r="CI243">
        <v>0</v>
      </c>
      <c r="CJ243">
        <v>-0.6</v>
      </c>
      <c r="CK243">
        <v>48</v>
      </c>
      <c r="CL243">
        <v>-0.53</v>
      </c>
      <c r="CM243">
        <v>46</v>
      </c>
      <c r="CN243">
        <v>-0.02</v>
      </c>
      <c r="CO243">
        <v>46</v>
      </c>
      <c r="CP243">
        <v>-2.6</v>
      </c>
      <c r="CQ243">
        <v>46</v>
      </c>
      <c r="CR243">
        <v>0</v>
      </c>
      <c r="CS243">
        <v>0</v>
      </c>
      <c r="CT243">
        <v>9.9</v>
      </c>
      <c r="CU243">
        <v>46</v>
      </c>
      <c r="CV243">
        <v>0.21</v>
      </c>
      <c r="CW243">
        <v>35</v>
      </c>
      <c r="CX243" t="s">
        <v>1229</v>
      </c>
    </row>
    <row r="244" spans="1:102" x14ac:dyDescent="0.3">
      <c r="A244" t="str">
        <f>HYPERLINK("https://webapp.icbf.com/v2/app/bull-search/view/1449989974","FR4380")</f>
        <v>FR4380</v>
      </c>
      <c r="B244" t="s">
        <v>13718</v>
      </c>
      <c r="C244" t="s">
        <v>13719</v>
      </c>
      <c r="D244" s="1">
        <v>42675</v>
      </c>
      <c r="E244" t="s">
        <v>92</v>
      </c>
      <c r="F244">
        <v>100</v>
      </c>
      <c r="G244" t="s">
        <v>435</v>
      </c>
      <c r="H244">
        <v>214.22</v>
      </c>
      <c r="I244">
        <v>74</v>
      </c>
      <c r="J244">
        <v>106.41</v>
      </c>
      <c r="K244">
        <v>90</v>
      </c>
      <c r="L244">
        <v>82.92</v>
      </c>
      <c r="M244">
        <v>72</v>
      </c>
      <c r="N244">
        <v>20.170000000000002</v>
      </c>
      <c r="O244">
        <v>86</v>
      </c>
      <c r="P244">
        <v>-1.39</v>
      </c>
      <c r="Q244">
        <v>48</v>
      </c>
      <c r="R244">
        <v>10.16</v>
      </c>
      <c r="S244">
        <v>67</v>
      </c>
      <c r="T244">
        <v>1.02</v>
      </c>
      <c r="U244">
        <v>39</v>
      </c>
      <c r="V244">
        <v>-5.07</v>
      </c>
      <c r="W244">
        <v>57</v>
      </c>
      <c r="X244" t="s">
        <v>94</v>
      </c>
      <c r="Y244" t="s">
        <v>2255</v>
      </c>
      <c r="Z244" t="s">
        <v>96</v>
      </c>
      <c r="AA244" t="s">
        <v>2293</v>
      </c>
      <c r="AB244" t="s">
        <v>13720</v>
      </c>
      <c r="AC244">
        <v>0</v>
      </c>
      <c r="AD244">
        <v>0</v>
      </c>
      <c r="AE244">
        <v>90</v>
      </c>
      <c r="AF244">
        <v>421.82</v>
      </c>
      <c r="AG244">
        <v>15.16</v>
      </c>
      <c r="AH244">
        <v>19.190000000000001</v>
      </c>
      <c r="AI244">
        <v>-0.03</v>
      </c>
      <c r="AJ244">
        <v>0.08</v>
      </c>
      <c r="AK244">
        <v>72</v>
      </c>
      <c r="AL244">
        <v>0</v>
      </c>
      <c r="AM244">
        <v>0</v>
      </c>
      <c r="AN244">
        <v>-3.98</v>
      </c>
      <c r="AO244">
        <v>2.64</v>
      </c>
      <c r="AP244">
        <v>711</v>
      </c>
      <c r="AQ244">
        <v>0</v>
      </c>
      <c r="AR244">
        <v>7.17</v>
      </c>
      <c r="AS244">
        <v>77</v>
      </c>
      <c r="AT244">
        <v>2.9</v>
      </c>
      <c r="AU244">
        <v>95</v>
      </c>
      <c r="AV244">
        <v>-2.0699999999999998</v>
      </c>
      <c r="AW244">
        <v>99</v>
      </c>
      <c r="AX244">
        <v>-0.77</v>
      </c>
      <c r="AY244">
        <v>91</v>
      </c>
      <c r="AZ244">
        <v>5.77</v>
      </c>
      <c r="BA244">
        <v>42</v>
      </c>
      <c r="BB244">
        <v>5.46</v>
      </c>
      <c r="BC244">
        <v>39</v>
      </c>
      <c r="BD244">
        <v>-0.01</v>
      </c>
      <c r="BE244">
        <v>-0.03</v>
      </c>
      <c r="BF244">
        <v>-0.16</v>
      </c>
      <c r="BG244">
        <v>79</v>
      </c>
      <c r="BH244">
        <v>-0.04</v>
      </c>
      <c r="BI244">
        <v>11.73</v>
      </c>
      <c r="BJ244">
        <v>0</v>
      </c>
      <c r="BK244">
        <v>0</v>
      </c>
      <c r="BL244">
        <v>1.08</v>
      </c>
      <c r="BM244">
        <v>0.4</v>
      </c>
      <c r="BN244">
        <v>0.54</v>
      </c>
      <c r="BO244">
        <v>0.78</v>
      </c>
      <c r="BP244">
        <v>-2.48</v>
      </c>
      <c r="BQ244">
        <v>2.71</v>
      </c>
      <c r="BR244">
        <v>0.28999999999999998</v>
      </c>
      <c r="BS244">
        <v>0.19</v>
      </c>
      <c r="BT244">
        <v>0.46</v>
      </c>
      <c r="BU244">
        <v>3.09</v>
      </c>
      <c r="BV244">
        <v>3.05</v>
      </c>
      <c r="BW244">
        <v>3.04</v>
      </c>
      <c r="BX244">
        <v>1.76</v>
      </c>
      <c r="BY244">
        <v>2.4700000000000002</v>
      </c>
      <c r="BZ244">
        <v>-0.12</v>
      </c>
      <c r="CA244">
        <v>2.3199999999999998</v>
      </c>
      <c r="CB244">
        <v>2.63</v>
      </c>
      <c r="CC244">
        <v>0.79</v>
      </c>
      <c r="CD244">
        <v>-0.02</v>
      </c>
      <c r="CE244">
        <v>1.3</v>
      </c>
      <c r="CF244">
        <v>2.1</v>
      </c>
      <c r="CG244">
        <v>0</v>
      </c>
      <c r="CH244">
        <v>2.89</v>
      </c>
      <c r="CI244">
        <v>0</v>
      </c>
      <c r="CJ244">
        <v>3.3</v>
      </c>
      <c r="CK244">
        <v>52</v>
      </c>
      <c r="CL244">
        <v>-1.26</v>
      </c>
      <c r="CM244">
        <v>44</v>
      </c>
      <c r="CN244">
        <v>-0.59</v>
      </c>
      <c r="CO244">
        <v>44</v>
      </c>
      <c r="CP244">
        <v>1</v>
      </c>
      <c r="CQ244">
        <v>41</v>
      </c>
      <c r="CR244">
        <v>0</v>
      </c>
      <c r="CS244">
        <v>0</v>
      </c>
      <c r="CT244">
        <v>12.4</v>
      </c>
      <c r="CU244">
        <v>39</v>
      </c>
      <c r="CV244">
        <v>0.28000000000000003</v>
      </c>
      <c r="CW244">
        <v>34</v>
      </c>
      <c r="CX244" t="s">
        <v>2187</v>
      </c>
    </row>
    <row r="245" spans="1:102" x14ac:dyDescent="0.3">
      <c r="A245" t="str">
        <f>HYPERLINK("https://webapp.icbf.com/v2/app/bull-search/view/1361575596","FR4221")</f>
        <v>FR4221</v>
      </c>
      <c r="B245" t="s">
        <v>15172</v>
      </c>
      <c r="C245" t="s">
        <v>15173</v>
      </c>
      <c r="D245" s="1">
        <v>42268</v>
      </c>
      <c r="E245" t="s">
        <v>92</v>
      </c>
      <c r="F245">
        <v>100</v>
      </c>
      <c r="G245" t="s">
        <v>435</v>
      </c>
      <c r="H245">
        <v>213.78</v>
      </c>
      <c r="I245">
        <v>71</v>
      </c>
      <c r="J245">
        <v>54.66</v>
      </c>
      <c r="K245">
        <v>89</v>
      </c>
      <c r="L245">
        <v>68.040000000000006</v>
      </c>
      <c r="M245">
        <v>63</v>
      </c>
      <c r="N245">
        <v>61.69</v>
      </c>
      <c r="O245">
        <v>83</v>
      </c>
      <c r="P245">
        <v>8.3699999999999992</v>
      </c>
      <c r="Q245">
        <v>63</v>
      </c>
      <c r="R245">
        <v>24.21</v>
      </c>
      <c r="S245">
        <v>63</v>
      </c>
      <c r="T245">
        <v>-2.75</v>
      </c>
      <c r="U245">
        <v>39</v>
      </c>
      <c r="V245">
        <v>-0.44</v>
      </c>
      <c r="W245">
        <v>52</v>
      </c>
      <c r="X245" t="s">
        <v>428</v>
      </c>
      <c r="Y245" t="s">
        <v>2261</v>
      </c>
      <c r="Z245" t="s">
        <v>96</v>
      </c>
      <c r="AA245" t="s">
        <v>15174</v>
      </c>
      <c r="AB245" t="s">
        <v>15175</v>
      </c>
      <c r="AC245">
        <v>0</v>
      </c>
      <c r="AD245">
        <v>0</v>
      </c>
      <c r="AE245">
        <v>89</v>
      </c>
      <c r="AF245">
        <v>217.24</v>
      </c>
      <c r="AG245">
        <v>13.26</v>
      </c>
      <c r="AH245">
        <v>7.93</v>
      </c>
      <c r="AI245">
        <v>0.08</v>
      </c>
      <c r="AJ245">
        <v>0.01</v>
      </c>
      <c r="AK245">
        <v>63</v>
      </c>
      <c r="AL245">
        <v>0</v>
      </c>
      <c r="AM245">
        <v>0</v>
      </c>
      <c r="AN245">
        <v>-2.63</v>
      </c>
      <c r="AO245">
        <v>2.81</v>
      </c>
      <c r="AP245">
        <v>627</v>
      </c>
      <c r="AQ245">
        <v>1</v>
      </c>
      <c r="AR245">
        <v>4.05</v>
      </c>
      <c r="AS245">
        <v>78</v>
      </c>
      <c r="AT245">
        <v>2.19</v>
      </c>
      <c r="AU245">
        <v>93</v>
      </c>
      <c r="AV245">
        <v>-5.42</v>
      </c>
      <c r="AW245">
        <v>98</v>
      </c>
      <c r="AX245">
        <v>-0.27</v>
      </c>
      <c r="AY245">
        <v>90</v>
      </c>
      <c r="AZ245">
        <v>5.76</v>
      </c>
      <c r="BA245">
        <v>32</v>
      </c>
      <c r="BB245">
        <v>4.57</v>
      </c>
      <c r="BC245">
        <v>32</v>
      </c>
      <c r="BD245">
        <v>-0.04</v>
      </c>
      <c r="BE245">
        <v>-0.1</v>
      </c>
      <c r="BF245">
        <v>-0.3</v>
      </c>
      <c r="BG245">
        <v>77</v>
      </c>
      <c r="BH245">
        <v>-0.02</v>
      </c>
      <c r="BI245">
        <v>-0.9</v>
      </c>
      <c r="BJ245">
        <v>0</v>
      </c>
      <c r="BK245">
        <v>0</v>
      </c>
      <c r="BL245">
        <v>0.81</v>
      </c>
      <c r="BM245">
        <v>7.0000000000000007E-2</v>
      </c>
      <c r="BN245">
        <v>-1.31</v>
      </c>
      <c r="BO245">
        <v>-0.41</v>
      </c>
      <c r="BP245">
        <v>0.19</v>
      </c>
      <c r="BQ245">
        <v>0.99</v>
      </c>
      <c r="BR245">
        <v>-0.86</v>
      </c>
      <c r="BS245">
        <v>1.24</v>
      </c>
      <c r="BT245">
        <v>0.82</v>
      </c>
      <c r="BU245">
        <v>3.28</v>
      </c>
      <c r="BV245">
        <v>1.29</v>
      </c>
      <c r="BW245">
        <v>-0.44</v>
      </c>
      <c r="BX245">
        <v>3.98</v>
      </c>
      <c r="BY245">
        <v>1.49</v>
      </c>
      <c r="BZ245">
        <v>-0.5</v>
      </c>
      <c r="CA245">
        <v>2.82</v>
      </c>
      <c r="CB245">
        <v>1.97</v>
      </c>
      <c r="CC245">
        <v>1.71</v>
      </c>
      <c r="CD245">
        <v>1.18</v>
      </c>
      <c r="CE245">
        <v>0.6</v>
      </c>
      <c r="CF245">
        <v>1.29</v>
      </c>
      <c r="CG245">
        <v>0</v>
      </c>
      <c r="CH245">
        <v>1.28</v>
      </c>
      <c r="CI245">
        <v>0</v>
      </c>
      <c r="CJ245">
        <v>5.4</v>
      </c>
      <c r="CK245">
        <v>68</v>
      </c>
      <c r="CL245">
        <v>-0.79</v>
      </c>
      <c r="CM245">
        <v>60</v>
      </c>
      <c r="CN245">
        <v>-0.67</v>
      </c>
      <c r="CO245">
        <v>59</v>
      </c>
      <c r="CP245">
        <v>8.1999999999999993</v>
      </c>
      <c r="CQ245">
        <v>43</v>
      </c>
      <c r="CR245">
        <v>0</v>
      </c>
      <c r="CS245">
        <v>0</v>
      </c>
      <c r="CT245">
        <v>17.5</v>
      </c>
      <c r="CU245">
        <v>39</v>
      </c>
      <c r="CV245">
        <v>0.23</v>
      </c>
      <c r="CW245">
        <v>39</v>
      </c>
      <c r="CX245" t="s">
        <v>2295</v>
      </c>
    </row>
    <row r="246" spans="1:102" x14ac:dyDescent="0.3">
      <c r="A246" t="str">
        <f>HYPERLINK("https://webapp.icbf.com/v2/app/bull-search/view/1017312460","FR2390")</f>
        <v>FR2390</v>
      </c>
      <c r="B246" t="s">
        <v>9400</v>
      </c>
      <c r="C246" t="s">
        <v>9401</v>
      </c>
      <c r="D246" s="1">
        <v>41142</v>
      </c>
      <c r="E246" t="s">
        <v>92</v>
      </c>
      <c r="F246">
        <v>56</v>
      </c>
      <c r="G246" t="s">
        <v>109</v>
      </c>
      <c r="H246">
        <v>213.54</v>
      </c>
      <c r="I246">
        <v>73</v>
      </c>
      <c r="J246">
        <v>120.7</v>
      </c>
      <c r="K246">
        <v>89</v>
      </c>
      <c r="L246">
        <v>58.81</v>
      </c>
      <c r="M246">
        <v>72</v>
      </c>
      <c r="N246">
        <v>37.53</v>
      </c>
      <c r="O246">
        <v>77</v>
      </c>
      <c r="P246">
        <v>-24.51</v>
      </c>
      <c r="Q246">
        <v>52</v>
      </c>
      <c r="R246">
        <v>-0.28999999999999998</v>
      </c>
      <c r="S246">
        <v>68</v>
      </c>
      <c r="T246">
        <v>14.79</v>
      </c>
      <c r="U246">
        <v>45</v>
      </c>
      <c r="V246">
        <v>6.51</v>
      </c>
      <c r="W246">
        <v>52</v>
      </c>
      <c r="X246" t="s">
        <v>276</v>
      </c>
      <c r="Y246" t="s">
        <v>429</v>
      </c>
      <c r="Z246" t="s">
        <v>330</v>
      </c>
      <c r="AA246" t="s">
        <v>5635</v>
      </c>
      <c r="AB246" t="s">
        <v>144</v>
      </c>
      <c r="AC246">
        <v>0</v>
      </c>
      <c r="AD246">
        <v>0</v>
      </c>
      <c r="AE246">
        <v>89</v>
      </c>
      <c r="AF246">
        <v>87.98</v>
      </c>
      <c r="AG246">
        <v>16.66</v>
      </c>
      <c r="AH246">
        <v>15.98</v>
      </c>
      <c r="AI246">
        <v>0.23</v>
      </c>
      <c r="AJ246">
        <v>0.22</v>
      </c>
      <c r="AK246">
        <v>72</v>
      </c>
      <c r="AL246">
        <v>0</v>
      </c>
      <c r="AM246">
        <v>0</v>
      </c>
      <c r="AN246">
        <v>-2.4500000000000002</v>
      </c>
      <c r="AO246">
        <v>2.25</v>
      </c>
      <c r="AP246">
        <v>138</v>
      </c>
      <c r="AQ246">
        <v>0</v>
      </c>
      <c r="AR246">
        <v>5.72</v>
      </c>
      <c r="AS246">
        <v>50</v>
      </c>
      <c r="AT246">
        <v>2.5099999999999998</v>
      </c>
      <c r="AU246">
        <v>87</v>
      </c>
      <c r="AV246">
        <v>-4.37</v>
      </c>
      <c r="AW246">
        <v>94</v>
      </c>
      <c r="AX246">
        <v>-0.32</v>
      </c>
      <c r="AY246">
        <v>73</v>
      </c>
      <c r="AZ246">
        <v>8.59</v>
      </c>
      <c r="BA246">
        <v>38</v>
      </c>
      <c r="BB246">
        <v>5.73</v>
      </c>
      <c r="BC246">
        <v>36</v>
      </c>
      <c r="BD246">
        <v>-0.02</v>
      </c>
      <c r="BE246">
        <v>0</v>
      </c>
      <c r="BF246">
        <v>0.04</v>
      </c>
      <c r="BG246">
        <v>88</v>
      </c>
      <c r="BH246">
        <v>0.1</v>
      </c>
      <c r="BI246">
        <v>-9.44</v>
      </c>
      <c r="BJ246">
        <v>0</v>
      </c>
      <c r="BK246">
        <v>0</v>
      </c>
      <c r="BL246">
        <v>-1.71</v>
      </c>
      <c r="BM246">
        <v>1.89</v>
      </c>
      <c r="BN246">
        <v>-7.0000000000000007E-2</v>
      </c>
      <c r="BO246">
        <v>-1.92</v>
      </c>
      <c r="BP246">
        <v>-1.51</v>
      </c>
      <c r="BQ246">
        <v>-0.06</v>
      </c>
      <c r="BR246">
        <v>-1.82</v>
      </c>
      <c r="BS246">
        <v>-1.34</v>
      </c>
      <c r="BT246">
        <v>0.1</v>
      </c>
      <c r="BU246">
        <v>1.58</v>
      </c>
      <c r="BV246">
        <v>-0.03</v>
      </c>
      <c r="BW246">
        <v>-0.54</v>
      </c>
      <c r="BX246">
        <v>-0.56999999999999995</v>
      </c>
      <c r="BY246">
        <v>-0.48</v>
      </c>
      <c r="BZ246">
        <v>0.93</v>
      </c>
      <c r="CA246">
        <v>-0.01</v>
      </c>
      <c r="CB246">
        <v>0.18</v>
      </c>
      <c r="CC246">
        <v>-0.33</v>
      </c>
      <c r="CD246">
        <v>1.73</v>
      </c>
      <c r="CE246">
        <v>-0.48</v>
      </c>
      <c r="CF246">
        <v>-1.1599999999999999</v>
      </c>
      <c r="CG246">
        <v>0</v>
      </c>
      <c r="CH246">
        <v>-0.55000000000000004</v>
      </c>
      <c r="CI246">
        <v>0</v>
      </c>
      <c r="CJ246">
        <v>-13.3</v>
      </c>
      <c r="CK246">
        <v>55</v>
      </c>
      <c r="CL246">
        <v>-0.77</v>
      </c>
      <c r="CM246">
        <v>49</v>
      </c>
      <c r="CN246">
        <v>-0.28999999999999998</v>
      </c>
      <c r="CO246">
        <v>49</v>
      </c>
      <c r="CP246">
        <v>-10.7</v>
      </c>
      <c r="CQ246">
        <v>46</v>
      </c>
      <c r="CR246">
        <v>0</v>
      </c>
      <c r="CS246">
        <v>0</v>
      </c>
      <c r="CT246">
        <v>-6.2</v>
      </c>
      <c r="CU246">
        <v>45</v>
      </c>
      <c r="CV246">
        <v>0.01</v>
      </c>
      <c r="CW246">
        <v>36</v>
      </c>
      <c r="CX246" t="s">
        <v>7540</v>
      </c>
    </row>
    <row r="247" spans="1:102" x14ac:dyDescent="0.3">
      <c r="A247" t="str">
        <f>HYPERLINK("https://webapp.icbf.com/v2/app/bull-search/view/1492480435","FR4403")</f>
        <v>FR4403</v>
      </c>
      <c r="B247" t="s">
        <v>14737</v>
      </c>
      <c r="C247" t="s">
        <v>14738</v>
      </c>
      <c r="D247" s="1">
        <v>42284</v>
      </c>
      <c r="E247" t="s">
        <v>92</v>
      </c>
      <c r="F247">
        <v>100</v>
      </c>
      <c r="G247" t="s">
        <v>435</v>
      </c>
      <c r="H247">
        <v>213.54</v>
      </c>
      <c r="I247">
        <v>69</v>
      </c>
      <c r="J247">
        <v>63.25</v>
      </c>
      <c r="K247">
        <v>88</v>
      </c>
      <c r="L247">
        <v>100.58</v>
      </c>
      <c r="M247">
        <v>65</v>
      </c>
      <c r="N247">
        <v>31.33</v>
      </c>
      <c r="O247">
        <v>85</v>
      </c>
      <c r="P247">
        <v>-6.51</v>
      </c>
      <c r="Q247">
        <v>35</v>
      </c>
      <c r="R247">
        <v>21.7</v>
      </c>
      <c r="S247">
        <v>62</v>
      </c>
      <c r="T247">
        <v>2.21</v>
      </c>
      <c r="U247">
        <v>33</v>
      </c>
      <c r="V247">
        <v>0.98</v>
      </c>
      <c r="W247">
        <v>52</v>
      </c>
      <c r="X247" t="s">
        <v>428</v>
      </c>
      <c r="Y247" t="s">
        <v>2261</v>
      </c>
      <c r="Z247" t="s">
        <v>96</v>
      </c>
      <c r="AA247" t="s">
        <v>9531</v>
      </c>
      <c r="AB247" t="s">
        <v>14739</v>
      </c>
      <c r="AC247">
        <v>0</v>
      </c>
      <c r="AD247">
        <v>0</v>
      </c>
      <c r="AE247">
        <v>88</v>
      </c>
      <c r="AF247">
        <v>373.76</v>
      </c>
      <c r="AG247">
        <v>8.0500000000000007</v>
      </c>
      <c r="AH247">
        <v>13.63</v>
      </c>
      <c r="AI247">
        <v>-0.11</v>
      </c>
      <c r="AJ247">
        <v>0.02</v>
      </c>
      <c r="AK247">
        <v>65</v>
      </c>
      <c r="AL247">
        <v>0</v>
      </c>
      <c r="AM247">
        <v>0</v>
      </c>
      <c r="AN247">
        <v>-4.01</v>
      </c>
      <c r="AO247">
        <v>4.03</v>
      </c>
      <c r="AP247">
        <v>812</v>
      </c>
      <c r="AQ247">
        <v>7</v>
      </c>
      <c r="AR247">
        <v>6.12</v>
      </c>
      <c r="AS247">
        <v>88</v>
      </c>
      <c r="AT247">
        <v>3.12</v>
      </c>
      <c r="AU247">
        <v>95</v>
      </c>
      <c r="AV247">
        <v>-2.83</v>
      </c>
      <c r="AW247">
        <v>98</v>
      </c>
      <c r="AX247">
        <v>-0.06</v>
      </c>
      <c r="AY247">
        <v>92</v>
      </c>
      <c r="AZ247">
        <v>4.8499999999999996</v>
      </c>
      <c r="BA247">
        <v>32</v>
      </c>
      <c r="BB247">
        <v>4.42</v>
      </c>
      <c r="BC247">
        <v>32</v>
      </c>
      <c r="BD247">
        <v>-0.09</v>
      </c>
      <c r="BE247">
        <v>-0.11</v>
      </c>
      <c r="BF247">
        <v>-0.14000000000000001</v>
      </c>
      <c r="BG247">
        <v>76</v>
      </c>
      <c r="BH247">
        <v>-0.05</v>
      </c>
      <c r="BI247">
        <v>-8.94</v>
      </c>
      <c r="BJ247">
        <v>0</v>
      </c>
      <c r="BK247">
        <v>0</v>
      </c>
      <c r="BL247">
        <v>1.94</v>
      </c>
      <c r="BM247">
        <v>-0.21</v>
      </c>
      <c r="BN247">
        <v>0.76</v>
      </c>
      <c r="BO247">
        <v>1.32</v>
      </c>
      <c r="BP247">
        <v>1.01</v>
      </c>
      <c r="BQ247">
        <v>1.59</v>
      </c>
      <c r="BR247">
        <v>-1.57</v>
      </c>
      <c r="BS247">
        <v>1.1200000000000001</v>
      </c>
      <c r="BT247">
        <v>0.1</v>
      </c>
      <c r="BU247">
        <v>3.56</v>
      </c>
      <c r="BV247">
        <v>3.95</v>
      </c>
      <c r="BW247">
        <v>1.72</v>
      </c>
      <c r="BX247">
        <v>3.23</v>
      </c>
      <c r="BY247">
        <v>1.1499999999999999</v>
      </c>
      <c r="BZ247">
        <v>-0.32</v>
      </c>
      <c r="CA247">
        <v>3.26</v>
      </c>
      <c r="CB247">
        <v>2.94</v>
      </c>
      <c r="CC247">
        <v>1.1399999999999999</v>
      </c>
      <c r="CD247">
        <v>-0.31</v>
      </c>
      <c r="CE247">
        <v>1.07</v>
      </c>
      <c r="CF247">
        <v>1.43</v>
      </c>
      <c r="CG247">
        <v>0</v>
      </c>
      <c r="CH247">
        <v>1.35</v>
      </c>
      <c r="CI247">
        <v>0</v>
      </c>
      <c r="CJ247">
        <v>-1.3</v>
      </c>
      <c r="CK247">
        <v>36</v>
      </c>
      <c r="CL247">
        <v>-1.45</v>
      </c>
      <c r="CM247">
        <v>34</v>
      </c>
      <c r="CN247">
        <v>-0.83</v>
      </c>
      <c r="CO247">
        <v>34</v>
      </c>
      <c r="CP247">
        <v>3.5</v>
      </c>
      <c r="CQ247">
        <v>34</v>
      </c>
      <c r="CR247">
        <v>0</v>
      </c>
      <c r="CS247">
        <v>0</v>
      </c>
      <c r="CT247">
        <v>10.8</v>
      </c>
      <c r="CU247">
        <v>33</v>
      </c>
      <c r="CV247">
        <v>0.32</v>
      </c>
      <c r="CW247">
        <v>31</v>
      </c>
      <c r="CX247" t="s">
        <v>5939</v>
      </c>
    </row>
    <row r="248" spans="1:102" x14ac:dyDescent="0.3">
      <c r="A248" t="str">
        <f>HYPERLINK("https://webapp.icbf.com/v2/app/bull-search/view/1276131090","S3136")</f>
        <v>S3136</v>
      </c>
      <c r="B248" t="s">
        <v>7667</v>
      </c>
      <c r="C248" t="s">
        <v>7668</v>
      </c>
      <c r="D248" s="1">
        <v>41659</v>
      </c>
      <c r="E248" t="s">
        <v>92</v>
      </c>
      <c r="F248">
        <v>100</v>
      </c>
      <c r="G248" t="s">
        <v>109</v>
      </c>
      <c r="H248">
        <v>213.4</v>
      </c>
      <c r="I248">
        <v>80</v>
      </c>
      <c r="J248">
        <v>104.02</v>
      </c>
      <c r="K248">
        <v>92</v>
      </c>
      <c r="L248">
        <v>57.4</v>
      </c>
      <c r="M248">
        <v>81</v>
      </c>
      <c r="N248">
        <v>31.04</v>
      </c>
      <c r="O248">
        <v>85</v>
      </c>
      <c r="P248">
        <v>-2.16</v>
      </c>
      <c r="Q248">
        <v>68</v>
      </c>
      <c r="R248">
        <v>23.78</v>
      </c>
      <c r="S248">
        <v>71</v>
      </c>
      <c r="T248">
        <v>-10.74</v>
      </c>
      <c r="U248">
        <v>43</v>
      </c>
      <c r="V248">
        <v>10.06</v>
      </c>
      <c r="W248">
        <v>56</v>
      </c>
      <c r="X248" t="s">
        <v>110</v>
      </c>
      <c r="Y248" t="s">
        <v>457</v>
      </c>
      <c r="Z248" t="s">
        <v>96</v>
      </c>
      <c r="AA248" t="s">
        <v>2267</v>
      </c>
      <c r="AB248" t="s">
        <v>7669</v>
      </c>
      <c r="AC248">
        <v>0</v>
      </c>
      <c r="AD248">
        <v>0</v>
      </c>
      <c r="AE248">
        <v>92</v>
      </c>
      <c r="AF248">
        <v>638.26</v>
      </c>
      <c r="AG248">
        <v>21.26</v>
      </c>
      <c r="AH248">
        <v>19.940000000000001</v>
      </c>
      <c r="AI248">
        <v>-0.06</v>
      </c>
      <c r="AJ248">
        <v>-0.03</v>
      </c>
      <c r="AK248">
        <v>81</v>
      </c>
      <c r="AL248">
        <v>0</v>
      </c>
      <c r="AM248">
        <v>0</v>
      </c>
      <c r="AN248">
        <v>-2.17</v>
      </c>
      <c r="AO248">
        <v>2.42</v>
      </c>
      <c r="AP248">
        <v>543</v>
      </c>
      <c r="AQ248">
        <v>2</v>
      </c>
      <c r="AR248">
        <v>5.09</v>
      </c>
      <c r="AS248">
        <v>92</v>
      </c>
      <c r="AT248">
        <v>2.4</v>
      </c>
      <c r="AU248">
        <v>92</v>
      </c>
      <c r="AV248">
        <v>-2.2799999999999998</v>
      </c>
      <c r="AW248">
        <v>98</v>
      </c>
      <c r="AX248">
        <v>-0.19</v>
      </c>
      <c r="AY248">
        <v>90</v>
      </c>
      <c r="AZ248">
        <v>6.22</v>
      </c>
      <c r="BA248">
        <v>41</v>
      </c>
      <c r="BB248">
        <v>4.88</v>
      </c>
      <c r="BC248">
        <v>35</v>
      </c>
      <c r="BD248">
        <v>-7.0000000000000007E-2</v>
      </c>
      <c r="BE248">
        <v>-0.1</v>
      </c>
      <c r="BF248">
        <v>-0.24</v>
      </c>
      <c r="BG248">
        <v>89</v>
      </c>
      <c r="BH248">
        <v>-0.05</v>
      </c>
      <c r="BI248">
        <v>-38.22</v>
      </c>
      <c r="BJ248">
        <v>0</v>
      </c>
      <c r="BK248">
        <v>0</v>
      </c>
      <c r="BL248">
        <v>1.65</v>
      </c>
      <c r="BM248">
        <v>-0.77</v>
      </c>
      <c r="BN248">
        <v>0.48</v>
      </c>
      <c r="BO248">
        <v>1.21</v>
      </c>
      <c r="BP248">
        <v>-0.47</v>
      </c>
      <c r="BQ248">
        <v>0.91</v>
      </c>
      <c r="BR248">
        <v>-1.18</v>
      </c>
      <c r="BS248">
        <v>2.4700000000000002</v>
      </c>
      <c r="BT248">
        <v>1.75</v>
      </c>
      <c r="BU248">
        <v>2.4300000000000002</v>
      </c>
      <c r="BV248">
        <v>2.16</v>
      </c>
      <c r="BW248">
        <v>2.7</v>
      </c>
      <c r="BX248">
        <v>2.71</v>
      </c>
      <c r="BY248">
        <v>2.08</v>
      </c>
      <c r="BZ248">
        <v>-1.59</v>
      </c>
      <c r="CA248">
        <v>2.93</v>
      </c>
      <c r="CB248">
        <v>2.86</v>
      </c>
      <c r="CC248">
        <v>1.68</v>
      </c>
      <c r="CD248">
        <v>-0.53</v>
      </c>
      <c r="CE248">
        <v>0.6</v>
      </c>
      <c r="CF248">
        <v>0.06</v>
      </c>
      <c r="CG248">
        <v>0</v>
      </c>
      <c r="CH248">
        <v>2.16</v>
      </c>
      <c r="CI248">
        <v>0</v>
      </c>
      <c r="CJ248">
        <v>2.4</v>
      </c>
      <c r="CK248">
        <v>74</v>
      </c>
      <c r="CL248">
        <v>-1.47</v>
      </c>
      <c r="CM248">
        <v>65</v>
      </c>
      <c r="CN248">
        <v>-0.71</v>
      </c>
      <c r="CO248">
        <v>63</v>
      </c>
      <c r="CP248">
        <v>9.1999999999999993</v>
      </c>
      <c r="CQ248">
        <v>47</v>
      </c>
      <c r="CR248">
        <v>0</v>
      </c>
      <c r="CS248">
        <v>0</v>
      </c>
      <c r="CT248">
        <v>28.3</v>
      </c>
      <c r="CU248">
        <v>43</v>
      </c>
      <c r="CV248">
        <v>0.31</v>
      </c>
      <c r="CW248">
        <v>41</v>
      </c>
      <c r="CX248" t="s">
        <v>1847</v>
      </c>
    </row>
    <row r="249" spans="1:102" x14ac:dyDescent="0.3">
      <c r="A249" t="str">
        <f>HYPERLINK("https://webapp.icbf.com/v2/app/bull-search/view/864325629","OCP")</f>
        <v>OCP</v>
      </c>
      <c r="B249" t="s">
        <v>13164</v>
      </c>
      <c r="C249" t="s">
        <v>13165</v>
      </c>
      <c r="D249" s="1">
        <v>40592</v>
      </c>
      <c r="E249" t="s">
        <v>92</v>
      </c>
      <c r="F249">
        <v>84</v>
      </c>
      <c r="G249" t="s">
        <v>93</v>
      </c>
      <c r="H249">
        <v>213.4</v>
      </c>
      <c r="I249">
        <v>97</v>
      </c>
      <c r="J249">
        <v>58.17</v>
      </c>
      <c r="K249">
        <v>99</v>
      </c>
      <c r="L249">
        <v>77.45</v>
      </c>
      <c r="M249">
        <v>95</v>
      </c>
      <c r="N249">
        <v>56.44</v>
      </c>
      <c r="O249">
        <v>99</v>
      </c>
      <c r="P249">
        <v>-2.63</v>
      </c>
      <c r="Q249">
        <v>99</v>
      </c>
      <c r="R249">
        <v>8.81</v>
      </c>
      <c r="S249">
        <v>96</v>
      </c>
      <c r="T249">
        <v>6.8</v>
      </c>
      <c r="U249">
        <v>99</v>
      </c>
      <c r="V249">
        <v>8.36</v>
      </c>
      <c r="W249">
        <v>83</v>
      </c>
      <c r="X249" t="s">
        <v>94</v>
      </c>
      <c r="Y249" t="s">
        <v>1775</v>
      </c>
      <c r="Z249" t="s">
        <v>96</v>
      </c>
      <c r="AA249" t="s">
        <v>3094</v>
      </c>
      <c r="AB249" t="s">
        <v>13166</v>
      </c>
      <c r="AC249">
        <v>4628</v>
      </c>
      <c r="AD249">
        <v>1582</v>
      </c>
      <c r="AE249">
        <v>99</v>
      </c>
      <c r="AF249">
        <v>247.16</v>
      </c>
      <c r="AG249">
        <v>18.420000000000002</v>
      </c>
      <c r="AH249">
        <v>7.16</v>
      </c>
      <c r="AI249">
        <v>0.15</v>
      </c>
      <c r="AJ249">
        <v>-0.02</v>
      </c>
      <c r="AK249">
        <v>95</v>
      </c>
      <c r="AL249">
        <v>5398</v>
      </c>
      <c r="AM249">
        <v>2029</v>
      </c>
      <c r="AN249">
        <v>-3.15</v>
      </c>
      <c r="AO249">
        <v>3.04</v>
      </c>
      <c r="AP249">
        <v>8843</v>
      </c>
      <c r="AQ249">
        <v>46</v>
      </c>
      <c r="AR249">
        <v>4.55</v>
      </c>
      <c r="AS249">
        <v>99</v>
      </c>
      <c r="AT249">
        <v>1.92</v>
      </c>
      <c r="AU249">
        <v>99</v>
      </c>
      <c r="AV249">
        <v>-4.54</v>
      </c>
      <c r="AW249">
        <v>99</v>
      </c>
      <c r="AX249">
        <v>-0.63</v>
      </c>
      <c r="AY249">
        <v>99</v>
      </c>
      <c r="AZ249">
        <v>5.33</v>
      </c>
      <c r="BA249">
        <v>98</v>
      </c>
      <c r="BB249">
        <v>4.7</v>
      </c>
      <c r="BC249">
        <v>97</v>
      </c>
      <c r="BD249">
        <v>-0.04</v>
      </c>
      <c r="BE249">
        <v>-0.04</v>
      </c>
      <c r="BF249">
        <v>-0.06</v>
      </c>
      <c r="BG249">
        <v>99</v>
      </c>
      <c r="BH249">
        <v>0.17</v>
      </c>
      <c r="BI249">
        <v>-7.3</v>
      </c>
      <c r="BJ249">
        <v>200</v>
      </c>
      <c r="BK249">
        <v>73</v>
      </c>
      <c r="BL249">
        <v>-0.65</v>
      </c>
      <c r="BM249">
        <v>-0.38</v>
      </c>
      <c r="BN249">
        <v>-1.17</v>
      </c>
      <c r="BO249">
        <v>-0.72</v>
      </c>
      <c r="BP249">
        <v>3.9</v>
      </c>
      <c r="BQ249">
        <v>-1.63</v>
      </c>
      <c r="BR249">
        <v>2.12</v>
      </c>
      <c r="BS249">
        <v>-2.31</v>
      </c>
      <c r="BT249">
        <v>-3.02</v>
      </c>
      <c r="BU249">
        <v>-1.47</v>
      </c>
      <c r="BV249">
        <v>-2.59</v>
      </c>
      <c r="BW249">
        <v>-2.79</v>
      </c>
      <c r="BX249">
        <v>-1.07</v>
      </c>
      <c r="BY249">
        <v>-3.01</v>
      </c>
      <c r="BZ249">
        <v>-0.31</v>
      </c>
      <c r="CA249">
        <v>-1.62</v>
      </c>
      <c r="CB249">
        <v>-1.2</v>
      </c>
      <c r="CC249">
        <v>-1.9</v>
      </c>
      <c r="CD249">
        <v>-0.13</v>
      </c>
      <c r="CE249">
        <v>-0.42</v>
      </c>
      <c r="CF249">
        <v>-1.17</v>
      </c>
      <c r="CG249">
        <v>0</v>
      </c>
      <c r="CH249">
        <v>-2.95</v>
      </c>
      <c r="CI249">
        <v>0</v>
      </c>
      <c r="CJ249">
        <v>-1.7</v>
      </c>
      <c r="CK249">
        <v>99</v>
      </c>
      <c r="CL249">
        <v>-0.49</v>
      </c>
      <c r="CM249">
        <v>99</v>
      </c>
      <c r="CN249">
        <v>-0.45</v>
      </c>
      <c r="CO249">
        <v>99</v>
      </c>
      <c r="CP249">
        <v>-3.3</v>
      </c>
      <c r="CQ249">
        <v>99</v>
      </c>
      <c r="CR249">
        <v>0</v>
      </c>
      <c r="CS249">
        <v>0</v>
      </c>
      <c r="CT249">
        <v>4.5999999999999996</v>
      </c>
      <c r="CU249">
        <v>99</v>
      </c>
      <c r="CV249">
        <v>0.11</v>
      </c>
      <c r="CW249">
        <v>48</v>
      </c>
      <c r="CX249" t="s">
        <v>2159</v>
      </c>
    </row>
    <row r="250" spans="1:102" x14ac:dyDescent="0.3">
      <c r="A250" t="str">
        <f>HYPERLINK("https://webapp.icbf.com/v2/app/bull-search/view/1367273669","FR4246")</f>
        <v>FR4246</v>
      </c>
      <c r="B250" t="s">
        <v>13831</v>
      </c>
      <c r="C250" t="s">
        <v>13832</v>
      </c>
      <c r="D250" s="1">
        <v>42425</v>
      </c>
      <c r="E250" t="s">
        <v>92</v>
      </c>
      <c r="F250">
        <v>69</v>
      </c>
      <c r="G250" t="s">
        <v>435</v>
      </c>
      <c r="H250">
        <v>213.29</v>
      </c>
      <c r="I250">
        <v>72</v>
      </c>
      <c r="J250">
        <v>80.989999999999995</v>
      </c>
      <c r="K250">
        <v>87</v>
      </c>
      <c r="L250">
        <v>106.01</v>
      </c>
      <c r="M250">
        <v>63</v>
      </c>
      <c r="N250">
        <v>28.7</v>
      </c>
      <c r="O250">
        <v>86</v>
      </c>
      <c r="P250">
        <v>-18.399999999999999</v>
      </c>
      <c r="Q250">
        <v>69</v>
      </c>
      <c r="R250">
        <v>-3.02</v>
      </c>
      <c r="S250">
        <v>63</v>
      </c>
      <c r="T250">
        <v>10.94</v>
      </c>
      <c r="U250">
        <v>51</v>
      </c>
      <c r="V250">
        <v>8.07</v>
      </c>
      <c r="W250">
        <v>56</v>
      </c>
      <c r="X250" t="s">
        <v>276</v>
      </c>
      <c r="Y250" t="s">
        <v>2255</v>
      </c>
      <c r="Z250" t="s">
        <v>330</v>
      </c>
      <c r="AA250" t="s">
        <v>388</v>
      </c>
      <c r="AB250" t="s">
        <v>13833</v>
      </c>
      <c r="AC250">
        <v>0</v>
      </c>
      <c r="AD250">
        <v>0</v>
      </c>
      <c r="AE250">
        <v>87</v>
      </c>
      <c r="AF250">
        <v>173.72</v>
      </c>
      <c r="AG250">
        <v>12.36</v>
      </c>
      <c r="AH250">
        <v>12.06</v>
      </c>
      <c r="AI250">
        <v>0.09</v>
      </c>
      <c r="AJ250">
        <v>0.11</v>
      </c>
      <c r="AK250">
        <v>63</v>
      </c>
      <c r="AL250">
        <v>0</v>
      </c>
      <c r="AM250">
        <v>0</v>
      </c>
      <c r="AN250">
        <v>-6.09</v>
      </c>
      <c r="AO250">
        <v>2.36</v>
      </c>
      <c r="AP250">
        <v>1185</v>
      </c>
      <c r="AQ250">
        <v>3</v>
      </c>
      <c r="AR250">
        <v>6.22</v>
      </c>
      <c r="AS250">
        <v>68</v>
      </c>
      <c r="AT250">
        <v>2.75</v>
      </c>
      <c r="AU250">
        <v>96</v>
      </c>
      <c r="AV250">
        <v>-2.44</v>
      </c>
      <c r="AW250">
        <v>99</v>
      </c>
      <c r="AX250">
        <v>-0.12</v>
      </c>
      <c r="AY250">
        <v>95</v>
      </c>
      <c r="AZ250">
        <v>5.43</v>
      </c>
      <c r="BA250">
        <v>45</v>
      </c>
      <c r="BB250">
        <v>4.78</v>
      </c>
      <c r="BC250">
        <v>42</v>
      </c>
      <c r="BD250">
        <v>0.02</v>
      </c>
      <c r="BE250">
        <v>0.04</v>
      </c>
      <c r="BF250">
        <v>-0.04</v>
      </c>
      <c r="BG250">
        <v>73</v>
      </c>
      <c r="BH250">
        <v>0.06</v>
      </c>
      <c r="BI250">
        <v>-19.100000000000001</v>
      </c>
      <c r="BJ250">
        <v>0</v>
      </c>
      <c r="BK250">
        <v>0</v>
      </c>
      <c r="BL250">
        <v>-1.38</v>
      </c>
      <c r="BM250">
        <v>-1</v>
      </c>
      <c r="BN250">
        <v>-2.54</v>
      </c>
      <c r="BO250">
        <v>-1.01</v>
      </c>
      <c r="BP250">
        <v>3.93</v>
      </c>
      <c r="BQ250">
        <v>-2.21</v>
      </c>
      <c r="BR250">
        <v>0.44</v>
      </c>
      <c r="BS250">
        <v>0.53</v>
      </c>
      <c r="BT250">
        <v>-0.47</v>
      </c>
      <c r="BU250">
        <v>-1.74</v>
      </c>
      <c r="BV250">
        <v>-1.31</v>
      </c>
      <c r="BW250">
        <v>-2.4700000000000002</v>
      </c>
      <c r="BX250">
        <v>-1.79</v>
      </c>
      <c r="BY250">
        <v>-1.67</v>
      </c>
      <c r="BZ250">
        <v>-2.25</v>
      </c>
      <c r="CA250">
        <v>-1.01</v>
      </c>
      <c r="CB250">
        <v>-1.86</v>
      </c>
      <c r="CC250">
        <v>0.19</v>
      </c>
      <c r="CD250">
        <v>-0.16</v>
      </c>
      <c r="CE250">
        <v>-0.55000000000000004</v>
      </c>
      <c r="CF250">
        <v>-1.99</v>
      </c>
      <c r="CG250">
        <v>0</v>
      </c>
      <c r="CH250">
        <v>-2.0299999999999998</v>
      </c>
      <c r="CI250">
        <v>0</v>
      </c>
      <c r="CJ250">
        <v>-8.6</v>
      </c>
      <c r="CK250">
        <v>74</v>
      </c>
      <c r="CL250">
        <v>-0.55000000000000004</v>
      </c>
      <c r="CM250">
        <v>65</v>
      </c>
      <c r="CN250">
        <v>-0.05</v>
      </c>
      <c r="CO250">
        <v>64</v>
      </c>
      <c r="CP250">
        <v>-9.6</v>
      </c>
      <c r="CQ250">
        <v>53</v>
      </c>
      <c r="CR250">
        <v>0</v>
      </c>
      <c r="CS250">
        <v>0</v>
      </c>
      <c r="CT250">
        <v>-1</v>
      </c>
      <c r="CU250">
        <v>51</v>
      </c>
      <c r="CV250">
        <v>0.02</v>
      </c>
      <c r="CW250">
        <v>41</v>
      </c>
      <c r="CX250" t="s">
        <v>12941</v>
      </c>
    </row>
    <row r="251" spans="1:102" x14ac:dyDescent="0.3">
      <c r="A251" t="str">
        <f>HYPERLINK("https://webapp.icbf.com/v2/app/bull-search/view/946051001","SPG")</f>
        <v>SPG</v>
      </c>
      <c r="B251" t="s">
        <v>5925</v>
      </c>
      <c r="C251" t="s">
        <v>5926</v>
      </c>
      <c r="D251" s="1">
        <v>40935</v>
      </c>
      <c r="E251" t="s">
        <v>92</v>
      </c>
      <c r="F251">
        <v>75</v>
      </c>
      <c r="G251" t="s">
        <v>93</v>
      </c>
      <c r="H251">
        <v>213.28</v>
      </c>
      <c r="I251">
        <v>93</v>
      </c>
      <c r="J251">
        <v>56.69</v>
      </c>
      <c r="K251">
        <v>99</v>
      </c>
      <c r="L251">
        <v>127.15</v>
      </c>
      <c r="M251">
        <v>86</v>
      </c>
      <c r="N251">
        <v>27.96</v>
      </c>
      <c r="O251">
        <v>95</v>
      </c>
      <c r="P251">
        <v>-14.82</v>
      </c>
      <c r="Q251">
        <v>98</v>
      </c>
      <c r="R251">
        <v>12.83</v>
      </c>
      <c r="S251">
        <v>87</v>
      </c>
      <c r="T251">
        <v>5.39</v>
      </c>
      <c r="U251">
        <v>94</v>
      </c>
      <c r="V251">
        <v>-1.92</v>
      </c>
      <c r="W251">
        <v>79</v>
      </c>
      <c r="X251" t="s">
        <v>276</v>
      </c>
      <c r="Y251" t="s">
        <v>1923</v>
      </c>
      <c r="Z251" t="s">
        <v>96</v>
      </c>
      <c r="AA251" t="s">
        <v>5742</v>
      </c>
      <c r="AB251" t="s">
        <v>5927</v>
      </c>
      <c r="AC251">
        <v>635</v>
      </c>
      <c r="AD251">
        <v>229</v>
      </c>
      <c r="AE251">
        <v>99</v>
      </c>
      <c r="AF251">
        <v>-190.69</v>
      </c>
      <c r="AG251">
        <v>13.04</v>
      </c>
      <c r="AH251">
        <v>2.11</v>
      </c>
      <c r="AI251">
        <v>0.37</v>
      </c>
      <c r="AJ251">
        <v>0.15</v>
      </c>
      <c r="AK251">
        <v>86</v>
      </c>
      <c r="AL251">
        <v>678</v>
      </c>
      <c r="AM251">
        <v>269</v>
      </c>
      <c r="AN251">
        <v>-6.94</v>
      </c>
      <c r="AO251">
        <v>3.2</v>
      </c>
      <c r="AP251">
        <v>1545</v>
      </c>
      <c r="AQ251">
        <v>7</v>
      </c>
      <c r="AR251">
        <v>6.15</v>
      </c>
      <c r="AS251">
        <v>90</v>
      </c>
      <c r="AT251">
        <v>2.63</v>
      </c>
      <c r="AU251">
        <v>97</v>
      </c>
      <c r="AV251">
        <v>-2.46</v>
      </c>
      <c r="AW251">
        <v>99</v>
      </c>
      <c r="AX251">
        <v>0.27</v>
      </c>
      <c r="AY251">
        <v>96</v>
      </c>
      <c r="AZ251">
        <v>5.53</v>
      </c>
      <c r="BA251">
        <v>89</v>
      </c>
      <c r="BB251">
        <v>4.96</v>
      </c>
      <c r="BC251">
        <v>81</v>
      </c>
      <c r="BD251">
        <v>-0.06</v>
      </c>
      <c r="BE251">
        <v>-0.05</v>
      </c>
      <c r="BF251">
        <v>-0.1</v>
      </c>
      <c r="BG251">
        <v>96</v>
      </c>
      <c r="BH251">
        <v>0.03</v>
      </c>
      <c r="BI251">
        <v>9.66</v>
      </c>
      <c r="BJ251">
        <v>30</v>
      </c>
      <c r="BK251">
        <v>10</v>
      </c>
      <c r="BL251">
        <v>-1.94</v>
      </c>
      <c r="BM251">
        <v>1.73</v>
      </c>
      <c r="BN251">
        <v>-1.94</v>
      </c>
      <c r="BO251">
        <v>-2.33</v>
      </c>
      <c r="BP251">
        <v>-1.7</v>
      </c>
      <c r="BQ251">
        <v>7.0000000000000007E-2</v>
      </c>
      <c r="BR251">
        <v>0.59</v>
      </c>
      <c r="BS251">
        <v>-1.01</v>
      </c>
      <c r="BT251">
        <v>-0.1</v>
      </c>
      <c r="BU251">
        <v>-2.79</v>
      </c>
      <c r="BV251">
        <v>-1.64</v>
      </c>
      <c r="BW251">
        <v>-1.34</v>
      </c>
      <c r="BX251">
        <v>-2.2999999999999998</v>
      </c>
      <c r="BY251">
        <v>-1.58</v>
      </c>
      <c r="BZ251">
        <v>-1.99</v>
      </c>
      <c r="CA251">
        <v>-2.4</v>
      </c>
      <c r="CB251">
        <v>-2.37</v>
      </c>
      <c r="CC251">
        <v>-1.34</v>
      </c>
      <c r="CD251">
        <v>1.79</v>
      </c>
      <c r="CE251">
        <v>-1.52</v>
      </c>
      <c r="CF251">
        <v>-1.93</v>
      </c>
      <c r="CG251">
        <v>0</v>
      </c>
      <c r="CH251">
        <v>-2.16</v>
      </c>
      <c r="CI251">
        <v>0</v>
      </c>
      <c r="CJ251">
        <v>-6.5</v>
      </c>
      <c r="CK251">
        <v>99</v>
      </c>
      <c r="CL251">
        <v>-0.54</v>
      </c>
      <c r="CM251">
        <v>99</v>
      </c>
      <c r="CN251">
        <v>-0.04</v>
      </c>
      <c r="CO251">
        <v>98</v>
      </c>
      <c r="CP251">
        <v>-5</v>
      </c>
      <c r="CQ251">
        <v>92</v>
      </c>
      <c r="CR251">
        <v>0</v>
      </c>
      <c r="CS251">
        <v>0</v>
      </c>
      <c r="CT251">
        <v>6.5</v>
      </c>
      <c r="CU251">
        <v>94</v>
      </c>
      <c r="CV251">
        <v>0.1</v>
      </c>
      <c r="CW251">
        <v>47</v>
      </c>
      <c r="CX251" t="s">
        <v>5928</v>
      </c>
    </row>
    <row r="252" spans="1:102" x14ac:dyDescent="0.3">
      <c r="A252" t="str">
        <f>HYPERLINK("https://webapp.icbf.com/v2/app/bull-search/view/1479530578","FR4572")</f>
        <v>FR4572</v>
      </c>
      <c r="B252" t="s">
        <v>14954</v>
      </c>
      <c r="C252" t="s">
        <v>14955</v>
      </c>
      <c r="D252" s="1">
        <v>42777</v>
      </c>
      <c r="E252" t="s">
        <v>92</v>
      </c>
      <c r="F252">
        <v>84</v>
      </c>
      <c r="G252" t="s">
        <v>435</v>
      </c>
      <c r="H252">
        <v>213.28</v>
      </c>
      <c r="I252">
        <v>72</v>
      </c>
      <c r="J252">
        <v>39.75</v>
      </c>
      <c r="K252">
        <v>91</v>
      </c>
      <c r="L252">
        <v>110.15</v>
      </c>
      <c r="M252">
        <v>64</v>
      </c>
      <c r="N252">
        <v>54.2</v>
      </c>
      <c r="O252">
        <v>73</v>
      </c>
      <c r="P252">
        <v>-7.37</v>
      </c>
      <c r="Q252">
        <v>59</v>
      </c>
      <c r="R252">
        <v>6.15</v>
      </c>
      <c r="S252">
        <v>67</v>
      </c>
      <c r="T252">
        <v>6.72</v>
      </c>
      <c r="U252">
        <v>48</v>
      </c>
      <c r="V252">
        <v>3.68</v>
      </c>
      <c r="W252">
        <v>62</v>
      </c>
      <c r="X252" t="s">
        <v>94</v>
      </c>
      <c r="Y252" t="s">
        <v>2384</v>
      </c>
      <c r="Z252" t="s">
        <v>96</v>
      </c>
      <c r="AA252" t="s">
        <v>6082</v>
      </c>
      <c r="AB252" t="s">
        <v>14956</v>
      </c>
      <c r="AC252">
        <v>0</v>
      </c>
      <c r="AD252">
        <v>0</v>
      </c>
      <c r="AE252">
        <v>91</v>
      </c>
      <c r="AF252">
        <v>169.51</v>
      </c>
      <c r="AG252">
        <v>9.68</v>
      </c>
      <c r="AH252">
        <v>5.93</v>
      </c>
      <c r="AI252">
        <v>0.05</v>
      </c>
      <c r="AJ252">
        <v>0.01</v>
      </c>
      <c r="AK252">
        <v>64</v>
      </c>
      <c r="AL252">
        <v>0</v>
      </c>
      <c r="AM252">
        <v>0</v>
      </c>
      <c r="AN252">
        <v>-3.99</v>
      </c>
      <c r="AO252">
        <v>4.82</v>
      </c>
      <c r="AP252">
        <v>72</v>
      </c>
      <c r="AQ252">
        <v>1</v>
      </c>
      <c r="AR252">
        <v>5.2</v>
      </c>
      <c r="AS252">
        <v>61</v>
      </c>
      <c r="AT252">
        <v>2.44</v>
      </c>
      <c r="AU252">
        <v>78</v>
      </c>
      <c r="AV252">
        <v>-5.33</v>
      </c>
      <c r="AW252">
        <v>89</v>
      </c>
      <c r="AX252">
        <v>-0.82</v>
      </c>
      <c r="AY252">
        <v>64</v>
      </c>
      <c r="AZ252">
        <v>6.4</v>
      </c>
      <c r="BA252">
        <v>48</v>
      </c>
      <c r="BB252">
        <v>5.27</v>
      </c>
      <c r="BC252">
        <v>36</v>
      </c>
      <c r="BD252">
        <v>-0.02</v>
      </c>
      <c r="BE252">
        <v>-0.02</v>
      </c>
      <c r="BF252">
        <v>-7.0000000000000007E-2</v>
      </c>
      <c r="BG252">
        <v>78</v>
      </c>
      <c r="BH252">
        <v>-0.05</v>
      </c>
      <c r="BI252">
        <v>-17.649999999999999</v>
      </c>
      <c r="BJ252">
        <v>0</v>
      </c>
      <c r="BK252">
        <v>0</v>
      </c>
      <c r="BL252">
        <v>-0.5</v>
      </c>
      <c r="BM252">
        <v>0.91</v>
      </c>
      <c r="BN252">
        <v>-0.99</v>
      </c>
      <c r="BO252">
        <v>-1.24</v>
      </c>
      <c r="BP252">
        <v>1.55</v>
      </c>
      <c r="BQ252">
        <v>-1.24</v>
      </c>
      <c r="BR252">
        <v>-2.2799999999999998</v>
      </c>
      <c r="BS252">
        <v>0.49</v>
      </c>
      <c r="BT252">
        <v>1.92</v>
      </c>
      <c r="BU252">
        <v>-1.23</v>
      </c>
      <c r="BV252">
        <v>-0.33</v>
      </c>
      <c r="BW252">
        <v>0</v>
      </c>
      <c r="BX252">
        <v>-0.33</v>
      </c>
      <c r="BY252">
        <v>-0.63</v>
      </c>
      <c r="BZ252">
        <v>-1.98</v>
      </c>
      <c r="CA252">
        <v>0.5</v>
      </c>
      <c r="CB252">
        <v>0.01</v>
      </c>
      <c r="CC252">
        <v>0.74</v>
      </c>
      <c r="CD252">
        <v>1.61</v>
      </c>
      <c r="CE252">
        <v>-0.96</v>
      </c>
      <c r="CF252">
        <v>-0.25</v>
      </c>
      <c r="CG252">
        <v>0</v>
      </c>
      <c r="CH252">
        <v>-0.5</v>
      </c>
      <c r="CI252">
        <v>0</v>
      </c>
      <c r="CJ252">
        <v>-2.4</v>
      </c>
      <c r="CK252">
        <v>62</v>
      </c>
      <c r="CL252">
        <v>-0.45</v>
      </c>
      <c r="CM252">
        <v>58</v>
      </c>
      <c r="CN252">
        <v>-0.06</v>
      </c>
      <c r="CO252">
        <v>57</v>
      </c>
      <c r="CP252">
        <v>-0.8</v>
      </c>
      <c r="CQ252">
        <v>49</v>
      </c>
      <c r="CR252">
        <v>0</v>
      </c>
      <c r="CS252">
        <v>0</v>
      </c>
      <c r="CT252">
        <v>4.7</v>
      </c>
      <c r="CU252">
        <v>48</v>
      </c>
      <c r="CV252">
        <v>0.13</v>
      </c>
      <c r="CW252">
        <v>39</v>
      </c>
      <c r="CX252" t="s">
        <v>1165</v>
      </c>
    </row>
    <row r="253" spans="1:102" x14ac:dyDescent="0.3">
      <c r="A253" t="str">
        <f>HYPERLINK("https://webapp.icbf.com/v2/app/bull-search/view/1051658643","JBF")</f>
        <v>JBF</v>
      </c>
      <c r="B253" t="s">
        <v>13347</v>
      </c>
      <c r="C253" t="s">
        <v>13348</v>
      </c>
      <c r="D253" s="1">
        <v>41327</v>
      </c>
      <c r="E253" t="s">
        <v>92</v>
      </c>
      <c r="F253">
        <v>97</v>
      </c>
      <c r="G253" t="s">
        <v>93</v>
      </c>
      <c r="H253">
        <v>212.93</v>
      </c>
      <c r="I253">
        <v>89</v>
      </c>
      <c r="J253">
        <v>55.52</v>
      </c>
      <c r="K253">
        <v>98</v>
      </c>
      <c r="L253">
        <v>94.13</v>
      </c>
      <c r="M253">
        <v>82</v>
      </c>
      <c r="N253">
        <v>56.11</v>
      </c>
      <c r="O253">
        <v>92</v>
      </c>
      <c r="P253">
        <v>-16.350000000000001</v>
      </c>
      <c r="Q253">
        <v>97</v>
      </c>
      <c r="R253">
        <v>-1.35</v>
      </c>
      <c r="S253">
        <v>83</v>
      </c>
      <c r="T253">
        <v>17.010000000000002</v>
      </c>
      <c r="U253">
        <v>84</v>
      </c>
      <c r="V253">
        <v>7.86</v>
      </c>
      <c r="W253">
        <v>75</v>
      </c>
      <c r="X253" t="s">
        <v>94</v>
      </c>
      <c r="Y253" t="s">
        <v>389</v>
      </c>
      <c r="Z253" t="s">
        <v>330</v>
      </c>
      <c r="AA253" t="s">
        <v>5541</v>
      </c>
      <c r="AB253" t="s">
        <v>13349</v>
      </c>
      <c r="AC253">
        <v>321</v>
      </c>
      <c r="AD253">
        <v>133</v>
      </c>
      <c r="AE253">
        <v>98</v>
      </c>
      <c r="AF253">
        <v>-204.25</v>
      </c>
      <c r="AG253">
        <v>8.64</v>
      </c>
      <c r="AH253">
        <v>3.26</v>
      </c>
      <c r="AI253">
        <v>0.3</v>
      </c>
      <c r="AJ253">
        <v>0.18</v>
      </c>
      <c r="AK253">
        <v>82</v>
      </c>
      <c r="AL253">
        <v>293</v>
      </c>
      <c r="AM253">
        <v>133</v>
      </c>
      <c r="AN253">
        <v>-4.12</v>
      </c>
      <c r="AO253">
        <v>3.4</v>
      </c>
      <c r="AP253">
        <v>842</v>
      </c>
      <c r="AQ253">
        <v>15</v>
      </c>
      <c r="AR253">
        <v>5.05</v>
      </c>
      <c r="AS253">
        <v>93</v>
      </c>
      <c r="AT253">
        <v>1.92</v>
      </c>
      <c r="AU253">
        <v>94</v>
      </c>
      <c r="AV253">
        <v>-4.82</v>
      </c>
      <c r="AW253">
        <v>99</v>
      </c>
      <c r="AX253">
        <v>0.33</v>
      </c>
      <c r="AY253">
        <v>93</v>
      </c>
      <c r="AZ253">
        <v>5.21</v>
      </c>
      <c r="BA253">
        <v>82</v>
      </c>
      <c r="BB253">
        <v>4.53</v>
      </c>
      <c r="BC253">
        <v>70</v>
      </c>
      <c r="BD253">
        <v>-0.03</v>
      </c>
      <c r="BE253">
        <v>-0.01</v>
      </c>
      <c r="BF253">
        <v>0.1</v>
      </c>
      <c r="BG253">
        <v>93</v>
      </c>
      <c r="BH253">
        <v>0.12</v>
      </c>
      <c r="BI253">
        <v>-11.47</v>
      </c>
      <c r="BJ253">
        <v>4</v>
      </c>
      <c r="BK253">
        <v>1</v>
      </c>
      <c r="BL253">
        <v>-1.04</v>
      </c>
      <c r="BM253">
        <v>-1.1299999999999999</v>
      </c>
      <c r="BN253">
        <v>-2.46</v>
      </c>
      <c r="BO253">
        <v>-1.23</v>
      </c>
      <c r="BP253">
        <v>0.16</v>
      </c>
      <c r="BQ253">
        <v>-0.45</v>
      </c>
      <c r="BR253">
        <v>0.06</v>
      </c>
      <c r="BS253">
        <v>-1.46</v>
      </c>
      <c r="BT253">
        <v>-0.86</v>
      </c>
      <c r="BU253">
        <v>-0.56999999999999995</v>
      </c>
      <c r="BV253">
        <v>-1.91</v>
      </c>
      <c r="BW253">
        <v>-1.64</v>
      </c>
      <c r="BX253">
        <v>-0.52</v>
      </c>
      <c r="BY253">
        <v>-2.2799999999999998</v>
      </c>
      <c r="BZ253">
        <v>-1.65</v>
      </c>
      <c r="CA253">
        <v>-1.35</v>
      </c>
      <c r="CB253">
        <v>-1.2</v>
      </c>
      <c r="CC253">
        <v>-0.99</v>
      </c>
      <c r="CD253">
        <v>-0.2</v>
      </c>
      <c r="CE253">
        <v>-1.41</v>
      </c>
      <c r="CF253">
        <v>-2.23</v>
      </c>
      <c r="CG253">
        <v>0</v>
      </c>
      <c r="CH253">
        <v>-0.6</v>
      </c>
      <c r="CI253">
        <v>0</v>
      </c>
      <c r="CJ253">
        <v>-6.9</v>
      </c>
      <c r="CK253">
        <v>98</v>
      </c>
      <c r="CL253">
        <v>-0.83</v>
      </c>
      <c r="CM253">
        <v>97</v>
      </c>
      <c r="CN253">
        <v>-0.26</v>
      </c>
      <c r="CO253">
        <v>97</v>
      </c>
      <c r="CP253">
        <v>-8.6999999999999993</v>
      </c>
      <c r="CQ253">
        <v>84</v>
      </c>
      <c r="CR253">
        <v>0</v>
      </c>
      <c r="CS253">
        <v>0</v>
      </c>
      <c r="CT253">
        <v>-9.1999999999999993</v>
      </c>
      <c r="CU253">
        <v>84</v>
      </c>
      <c r="CV253">
        <v>0.1</v>
      </c>
      <c r="CW253">
        <v>46</v>
      </c>
      <c r="CX253" t="s">
        <v>1165</v>
      </c>
    </row>
    <row r="254" spans="1:102" x14ac:dyDescent="0.3">
      <c r="A254" t="str">
        <f>HYPERLINK("https://webapp.icbf.com/v2/app/bull-search/view/1051186969","FYK")</f>
        <v>FYK</v>
      </c>
      <c r="B254" t="s">
        <v>5896</v>
      </c>
      <c r="C254" t="s">
        <v>5897</v>
      </c>
      <c r="D254" s="1">
        <v>41339</v>
      </c>
      <c r="E254" t="s">
        <v>92</v>
      </c>
      <c r="F254">
        <v>91</v>
      </c>
      <c r="G254" t="s">
        <v>93</v>
      </c>
      <c r="H254">
        <v>212.62</v>
      </c>
      <c r="I254">
        <v>95</v>
      </c>
      <c r="J254">
        <v>56.64</v>
      </c>
      <c r="K254">
        <v>99</v>
      </c>
      <c r="L254">
        <v>113.14</v>
      </c>
      <c r="M254">
        <v>91</v>
      </c>
      <c r="N254">
        <v>42.54</v>
      </c>
      <c r="O254">
        <v>98</v>
      </c>
      <c r="P254">
        <v>-17.29</v>
      </c>
      <c r="Q254">
        <v>99</v>
      </c>
      <c r="R254">
        <v>-0.33</v>
      </c>
      <c r="S254">
        <v>93</v>
      </c>
      <c r="T254">
        <v>10.94</v>
      </c>
      <c r="U254">
        <v>98</v>
      </c>
      <c r="V254">
        <v>6.98</v>
      </c>
      <c r="W254">
        <v>80</v>
      </c>
      <c r="X254" t="s">
        <v>94</v>
      </c>
      <c r="Y254" t="s">
        <v>389</v>
      </c>
      <c r="Z254" t="s">
        <v>96</v>
      </c>
      <c r="AA254" t="s">
        <v>2041</v>
      </c>
      <c r="AB254" t="s">
        <v>5898</v>
      </c>
      <c r="AC254">
        <v>3989</v>
      </c>
      <c r="AD254">
        <v>1414</v>
      </c>
      <c r="AE254">
        <v>99</v>
      </c>
      <c r="AF254">
        <v>3.23</v>
      </c>
      <c r="AG254">
        <v>4.87</v>
      </c>
      <c r="AH254">
        <v>7.96</v>
      </c>
      <c r="AI254">
        <v>0.08</v>
      </c>
      <c r="AJ254">
        <v>0.14000000000000001</v>
      </c>
      <c r="AK254">
        <v>91</v>
      </c>
      <c r="AL254">
        <v>4365</v>
      </c>
      <c r="AM254">
        <v>1726</v>
      </c>
      <c r="AN254">
        <v>-6.4</v>
      </c>
      <c r="AO254">
        <v>2.62</v>
      </c>
      <c r="AP254">
        <v>8074</v>
      </c>
      <c r="AQ254">
        <v>51</v>
      </c>
      <c r="AR254">
        <v>5.52</v>
      </c>
      <c r="AS254">
        <v>98</v>
      </c>
      <c r="AT254">
        <v>2.34</v>
      </c>
      <c r="AU254">
        <v>99</v>
      </c>
      <c r="AV254">
        <v>-3.84</v>
      </c>
      <c r="AW254">
        <v>99</v>
      </c>
      <c r="AX254">
        <v>-0.2</v>
      </c>
      <c r="AY254">
        <v>99</v>
      </c>
      <c r="AZ254">
        <v>5.9</v>
      </c>
      <c r="BA254">
        <v>98</v>
      </c>
      <c r="BB254">
        <v>5.07</v>
      </c>
      <c r="BC254">
        <v>94</v>
      </c>
      <c r="BD254">
        <v>-0.05</v>
      </c>
      <c r="BE254">
        <v>-0.01</v>
      </c>
      <c r="BF254">
        <v>0.11</v>
      </c>
      <c r="BG254">
        <v>99</v>
      </c>
      <c r="BH254">
        <v>0.18</v>
      </c>
      <c r="BI254">
        <v>-1.71</v>
      </c>
      <c r="BJ254">
        <v>93</v>
      </c>
      <c r="BK254">
        <v>25</v>
      </c>
      <c r="BL254">
        <v>-0.31</v>
      </c>
      <c r="BM254">
        <v>-0.83</v>
      </c>
      <c r="BN254">
        <v>-1.84</v>
      </c>
      <c r="BO254">
        <v>-1.19</v>
      </c>
      <c r="BP254">
        <v>-1.22</v>
      </c>
      <c r="BQ254">
        <v>0.49</v>
      </c>
      <c r="BR254">
        <v>-0.47</v>
      </c>
      <c r="BS254">
        <v>-2.9</v>
      </c>
      <c r="BT254">
        <v>0.18</v>
      </c>
      <c r="BU254">
        <v>-0.47</v>
      </c>
      <c r="BV254">
        <v>-0.82</v>
      </c>
      <c r="BW254">
        <v>1.3</v>
      </c>
      <c r="BX254">
        <v>1.45</v>
      </c>
      <c r="BY254">
        <v>0.42</v>
      </c>
      <c r="BZ254">
        <v>-0.28000000000000003</v>
      </c>
      <c r="CA254">
        <v>-1</v>
      </c>
      <c r="CB254">
        <v>-0.41</v>
      </c>
      <c r="CC254">
        <v>-1.79</v>
      </c>
      <c r="CD254">
        <v>0.17</v>
      </c>
      <c r="CE254">
        <v>-1.05</v>
      </c>
      <c r="CF254">
        <v>-1.07</v>
      </c>
      <c r="CG254">
        <v>0</v>
      </c>
      <c r="CH254">
        <v>0.6</v>
      </c>
      <c r="CI254">
        <v>0</v>
      </c>
      <c r="CJ254">
        <v>-8</v>
      </c>
      <c r="CK254">
        <v>99</v>
      </c>
      <c r="CL254">
        <v>-0.86</v>
      </c>
      <c r="CM254">
        <v>99</v>
      </c>
      <c r="CN254">
        <v>-0.27</v>
      </c>
      <c r="CO254">
        <v>99</v>
      </c>
      <c r="CP254">
        <v>-3.6</v>
      </c>
      <c r="CQ254">
        <v>97</v>
      </c>
      <c r="CR254">
        <v>0</v>
      </c>
      <c r="CS254">
        <v>0</v>
      </c>
      <c r="CT254">
        <v>-1</v>
      </c>
      <c r="CU254">
        <v>98</v>
      </c>
      <c r="CV254">
        <v>-0.01</v>
      </c>
      <c r="CW254">
        <v>49</v>
      </c>
      <c r="CX254" t="s">
        <v>1165</v>
      </c>
    </row>
    <row r="255" spans="1:102" x14ac:dyDescent="0.3">
      <c r="A255" t="str">
        <f>HYPERLINK("https://webapp.icbf.com/v2/app/bull-search/view/408746310","FJD")</f>
        <v>FJD</v>
      </c>
      <c r="B255" t="s">
        <v>7948</v>
      </c>
      <c r="C255" t="s">
        <v>7949</v>
      </c>
      <c r="D255" s="1">
        <v>35646</v>
      </c>
      <c r="E255" t="s">
        <v>395</v>
      </c>
      <c r="F255">
        <v>0</v>
      </c>
      <c r="G255" t="s">
        <v>93</v>
      </c>
      <c r="H255">
        <v>212.62</v>
      </c>
      <c r="I255">
        <v>94</v>
      </c>
      <c r="J255">
        <v>22.02</v>
      </c>
      <c r="K255">
        <v>98</v>
      </c>
      <c r="L255">
        <v>132.22999999999999</v>
      </c>
      <c r="M255">
        <v>90</v>
      </c>
      <c r="N255">
        <v>26.79</v>
      </c>
      <c r="O255">
        <v>94</v>
      </c>
      <c r="P255">
        <v>7.53</v>
      </c>
      <c r="Q255">
        <v>97</v>
      </c>
      <c r="R255">
        <v>13.13</v>
      </c>
      <c r="S255">
        <v>89</v>
      </c>
      <c r="T255">
        <v>10.87</v>
      </c>
      <c r="U255">
        <v>96</v>
      </c>
      <c r="V255">
        <v>0.05</v>
      </c>
      <c r="W255">
        <v>92</v>
      </c>
      <c r="X255" t="s">
        <v>94</v>
      </c>
      <c r="Y255" t="s">
        <v>95</v>
      </c>
      <c r="Z255">
        <v>0</v>
      </c>
      <c r="AA255" t="s">
        <v>6964</v>
      </c>
      <c r="AB255" t="s">
        <v>7950</v>
      </c>
      <c r="AC255">
        <v>230</v>
      </c>
      <c r="AD255">
        <v>117</v>
      </c>
      <c r="AE255">
        <v>98</v>
      </c>
      <c r="AF255">
        <v>-237.7</v>
      </c>
      <c r="AG255">
        <v>4.0599999999999996</v>
      </c>
      <c r="AH255">
        <v>-1.33</v>
      </c>
      <c r="AI255">
        <v>0.24</v>
      </c>
      <c r="AJ255">
        <v>0.12</v>
      </c>
      <c r="AK255">
        <v>90</v>
      </c>
      <c r="AL255">
        <v>266</v>
      </c>
      <c r="AM255">
        <v>118</v>
      </c>
      <c r="AN255">
        <v>-6.07</v>
      </c>
      <c r="AO255">
        <v>4.49</v>
      </c>
      <c r="AP255">
        <v>464</v>
      </c>
      <c r="AQ255">
        <v>3</v>
      </c>
      <c r="AR255">
        <v>7.15</v>
      </c>
      <c r="AS255">
        <v>89</v>
      </c>
      <c r="AT255">
        <v>3.05</v>
      </c>
      <c r="AU255">
        <v>94</v>
      </c>
      <c r="AV255">
        <v>-3.05</v>
      </c>
      <c r="AW255">
        <v>99</v>
      </c>
      <c r="AX255">
        <v>0.55000000000000004</v>
      </c>
      <c r="AY255">
        <v>93</v>
      </c>
      <c r="AZ255">
        <v>6.51</v>
      </c>
      <c r="BA255">
        <v>83</v>
      </c>
      <c r="BB255">
        <v>4.54</v>
      </c>
      <c r="BC255">
        <v>86</v>
      </c>
      <c r="BD255">
        <v>-0.06</v>
      </c>
      <c r="BE255">
        <v>-0.08</v>
      </c>
      <c r="BF255">
        <v>-0.05</v>
      </c>
      <c r="BG255">
        <v>95</v>
      </c>
      <c r="BH255">
        <v>-0.05</v>
      </c>
      <c r="BI255">
        <v>-5.93</v>
      </c>
      <c r="BJ255">
        <v>4</v>
      </c>
      <c r="BK255">
        <v>4</v>
      </c>
      <c r="BL255">
        <v>-1.74</v>
      </c>
      <c r="BM255">
        <v>1.56</v>
      </c>
      <c r="BN255">
        <v>-1.97</v>
      </c>
      <c r="BO255">
        <v>-2.39</v>
      </c>
      <c r="BP255">
        <v>1.39</v>
      </c>
      <c r="BQ255">
        <v>-0.61</v>
      </c>
      <c r="BR255">
        <v>0.32</v>
      </c>
      <c r="BS255">
        <v>0.99</v>
      </c>
      <c r="BT255">
        <v>-0.51</v>
      </c>
      <c r="BU255">
        <v>0.08</v>
      </c>
      <c r="BV255">
        <v>-2.0699999999999998</v>
      </c>
      <c r="BW255">
        <v>-2.0499999999999998</v>
      </c>
      <c r="BX255">
        <v>-1.02</v>
      </c>
      <c r="BY255">
        <v>-0.73</v>
      </c>
      <c r="BZ255">
        <v>-1.46</v>
      </c>
      <c r="CA255">
        <v>-1.08</v>
      </c>
      <c r="CB255">
        <v>-1.65</v>
      </c>
      <c r="CC255">
        <v>0.28000000000000003</v>
      </c>
      <c r="CD255">
        <v>2</v>
      </c>
      <c r="CE255">
        <v>-2.3199999999999998</v>
      </c>
      <c r="CF255">
        <v>-1.7</v>
      </c>
      <c r="CG255">
        <v>0</v>
      </c>
      <c r="CH255">
        <v>-0.28000000000000003</v>
      </c>
      <c r="CI255">
        <v>0</v>
      </c>
      <c r="CJ255">
        <v>3.6</v>
      </c>
      <c r="CK255">
        <v>97</v>
      </c>
      <c r="CL255">
        <v>0.01</v>
      </c>
      <c r="CM255">
        <v>97</v>
      </c>
      <c r="CN255">
        <v>-0.2</v>
      </c>
      <c r="CO255">
        <v>96</v>
      </c>
      <c r="CP255">
        <v>0.8</v>
      </c>
      <c r="CQ255">
        <v>94</v>
      </c>
      <c r="CR255">
        <v>0</v>
      </c>
      <c r="CS255">
        <v>0</v>
      </c>
      <c r="CT255">
        <v>-0.9</v>
      </c>
      <c r="CU255">
        <v>96</v>
      </c>
      <c r="CV255">
        <v>-0.09</v>
      </c>
      <c r="CW255">
        <v>46</v>
      </c>
      <c r="CX255" t="s">
        <v>2426</v>
      </c>
    </row>
    <row r="256" spans="1:102" x14ac:dyDescent="0.3">
      <c r="A256" t="str">
        <f>HYPERLINK("https://webapp.icbf.com/v2/app/bull-search/view/1619516261","S3309")</f>
        <v>S3309</v>
      </c>
      <c r="B256" t="s">
        <v>7897</v>
      </c>
      <c r="C256" t="s">
        <v>7898</v>
      </c>
      <c r="D256" s="1">
        <v>42696</v>
      </c>
      <c r="E256" t="s">
        <v>92</v>
      </c>
      <c r="F256">
        <v>100</v>
      </c>
      <c r="G256" t="s">
        <v>435</v>
      </c>
      <c r="H256">
        <v>212.55</v>
      </c>
      <c r="I256">
        <v>66</v>
      </c>
      <c r="J256">
        <v>138.59</v>
      </c>
      <c r="K256">
        <v>87</v>
      </c>
      <c r="L256">
        <v>7.76</v>
      </c>
      <c r="M256">
        <v>65</v>
      </c>
      <c r="N256">
        <v>52.67</v>
      </c>
      <c r="O256">
        <v>54</v>
      </c>
      <c r="P256">
        <v>-7.95</v>
      </c>
      <c r="Q256">
        <v>38</v>
      </c>
      <c r="R256">
        <v>16.7</v>
      </c>
      <c r="S256">
        <v>60</v>
      </c>
      <c r="T256">
        <v>3.76</v>
      </c>
      <c r="U256">
        <v>34</v>
      </c>
      <c r="V256">
        <v>1.02</v>
      </c>
      <c r="W256">
        <v>51</v>
      </c>
      <c r="X256" t="s">
        <v>110</v>
      </c>
      <c r="Y256" t="s">
        <v>2394</v>
      </c>
      <c r="Z256" t="s">
        <v>96</v>
      </c>
      <c r="AA256" t="s">
        <v>448</v>
      </c>
      <c r="AB256" t="s">
        <v>7899</v>
      </c>
      <c r="AC256">
        <v>0</v>
      </c>
      <c r="AD256">
        <v>0</v>
      </c>
      <c r="AE256">
        <v>87</v>
      </c>
      <c r="AF256">
        <v>691.19</v>
      </c>
      <c r="AG256">
        <v>28.86</v>
      </c>
      <c r="AH256">
        <v>23.94</v>
      </c>
      <c r="AI256">
        <v>0.03</v>
      </c>
      <c r="AJ256">
        <v>0.01</v>
      </c>
      <c r="AK256">
        <v>65</v>
      </c>
      <c r="AL256">
        <v>0</v>
      </c>
      <c r="AM256">
        <v>0</v>
      </c>
      <c r="AN256">
        <v>2</v>
      </c>
      <c r="AO256">
        <v>2.65</v>
      </c>
      <c r="AP256">
        <v>6</v>
      </c>
      <c r="AQ256">
        <v>0</v>
      </c>
      <c r="AR256">
        <v>5.05</v>
      </c>
      <c r="AS256">
        <v>54</v>
      </c>
      <c r="AT256">
        <v>1.52</v>
      </c>
      <c r="AU256">
        <v>87</v>
      </c>
      <c r="AV256">
        <v>-4.09</v>
      </c>
      <c r="AW256">
        <v>47</v>
      </c>
      <c r="AX256">
        <v>-0.06</v>
      </c>
      <c r="AY256">
        <v>43</v>
      </c>
      <c r="AZ256">
        <v>5.46</v>
      </c>
      <c r="BA256">
        <v>32</v>
      </c>
      <c r="BB256">
        <v>4.6900000000000004</v>
      </c>
      <c r="BC256">
        <v>30</v>
      </c>
      <c r="BD256">
        <v>-0.09</v>
      </c>
      <c r="BE256">
        <v>-0.06</v>
      </c>
      <c r="BF256">
        <v>-0.12</v>
      </c>
      <c r="BG256">
        <v>74</v>
      </c>
      <c r="BH256">
        <v>-0.01</v>
      </c>
      <c r="BI256">
        <v>-4.46</v>
      </c>
      <c r="BJ256">
        <v>0</v>
      </c>
      <c r="BK256">
        <v>0</v>
      </c>
      <c r="BL256">
        <v>1.1499999999999999</v>
      </c>
      <c r="BM256">
        <v>0.6</v>
      </c>
      <c r="BN256">
        <v>1.05</v>
      </c>
      <c r="BO256">
        <v>1.26</v>
      </c>
      <c r="BP256">
        <v>-0.65</v>
      </c>
      <c r="BQ256">
        <v>0.39</v>
      </c>
      <c r="BR256">
        <v>-1.36</v>
      </c>
      <c r="BS256">
        <v>2.15</v>
      </c>
      <c r="BT256">
        <v>1.1299999999999999</v>
      </c>
      <c r="BU256">
        <v>3.97</v>
      </c>
      <c r="BV256">
        <v>4.4800000000000004</v>
      </c>
      <c r="BW256">
        <v>2.91</v>
      </c>
      <c r="BX256">
        <v>3.11</v>
      </c>
      <c r="BY256">
        <v>2.67</v>
      </c>
      <c r="BZ256">
        <v>-0.09</v>
      </c>
      <c r="CA256">
        <v>4.1100000000000003</v>
      </c>
      <c r="CB256">
        <v>3.92</v>
      </c>
      <c r="CC256">
        <v>2.0099999999999998</v>
      </c>
      <c r="CD256">
        <v>-0.2</v>
      </c>
      <c r="CE256">
        <v>1.73</v>
      </c>
      <c r="CF256">
        <v>1.42</v>
      </c>
      <c r="CG256">
        <v>0</v>
      </c>
      <c r="CH256">
        <v>1.66</v>
      </c>
      <c r="CI256">
        <v>0</v>
      </c>
      <c r="CJ256">
        <v>-3.5</v>
      </c>
      <c r="CK256">
        <v>39</v>
      </c>
      <c r="CL256">
        <v>-1.38</v>
      </c>
      <c r="CM256">
        <v>38</v>
      </c>
      <c r="CN256">
        <v>-0.97</v>
      </c>
      <c r="CO256">
        <v>38</v>
      </c>
      <c r="CP256">
        <v>-1.6</v>
      </c>
      <c r="CQ256">
        <v>35</v>
      </c>
      <c r="CR256">
        <v>0</v>
      </c>
      <c r="CS256">
        <v>0</v>
      </c>
      <c r="CT256">
        <v>8.6999999999999993</v>
      </c>
      <c r="CU256">
        <v>34</v>
      </c>
      <c r="CV256">
        <v>0.19</v>
      </c>
      <c r="CW256">
        <v>33</v>
      </c>
      <c r="CX256" t="s">
        <v>7900</v>
      </c>
    </row>
    <row r="257" spans="1:102" x14ac:dyDescent="0.3">
      <c r="A257" t="str">
        <f>HYPERLINK("https://webapp.icbf.com/v2/app/bull-search/view/862138844","S1553")</f>
        <v>S1553</v>
      </c>
      <c r="B257" t="s">
        <v>15138</v>
      </c>
      <c r="C257" t="s">
        <v>15139</v>
      </c>
      <c r="D257" s="1">
        <v>40588</v>
      </c>
      <c r="E257" t="s">
        <v>92</v>
      </c>
      <c r="F257">
        <v>63</v>
      </c>
      <c r="G257" t="s">
        <v>93</v>
      </c>
      <c r="H257">
        <v>212.55</v>
      </c>
      <c r="I257">
        <v>86</v>
      </c>
      <c r="J257">
        <v>4.75</v>
      </c>
      <c r="K257">
        <v>96</v>
      </c>
      <c r="L257">
        <v>162.37</v>
      </c>
      <c r="M257">
        <v>77</v>
      </c>
      <c r="N257">
        <v>38.090000000000003</v>
      </c>
      <c r="O257">
        <v>83</v>
      </c>
      <c r="P257">
        <v>-10.45</v>
      </c>
      <c r="Q257">
        <v>85</v>
      </c>
      <c r="R257">
        <v>2.71</v>
      </c>
      <c r="S257">
        <v>74</v>
      </c>
      <c r="T257">
        <v>11.53</v>
      </c>
      <c r="U257">
        <v>94</v>
      </c>
      <c r="V257">
        <v>3.55</v>
      </c>
      <c r="W257">
        <v>73</v>
      </c>
      <c r="X257" t="s">
        <v>234</v>
      </c>
      <c r="Y257" t="s">
        <v>362</v>
      </c>
      <c r="Z257" t="s">
        <v>96</v>
      </c>
      <c r="AA257" t="s">
        <v>5393</v>
      </c>
      <c r="AB257" t="s">
        <v>15140</v>
      </c>
      <c r="AC257">
        <v>76</v>
      </c>
      <c r="AD257">
        <v>20</v>
      </c>
      <c r="AE257">
        <v>96</v>
      </c>
      <c r="AF257">
        <v>-48.55</v>
      </c>
      <c r="AG257">
        <v>-2.0499999999999998</v>
      </c>
      <c r="AH257">
        <v>0.79</v>
      </c>
      <c r="AI257">
        <v>0</v>
      </c>
      <c r="AJ257">
        <v>0.04</v>
      </c>
      <c r="AK257">
        <v>77</v>
      </c>
      <c r="AL257">
        <v>98</v>
      </c>
      <c r="AM257">
        <v>21</v>
      </c>
      <c r="AN257">
        <v>-8.77</v>
      </c>
      <c r="AO257">
        <v>4.18</v>
      </c>
      <c r="AP257">
        <v>126</v>
      </c>
      <c r="AQ257">
        <v>0</v>
      </c>
      <c r="AR257">
        <v>3.82</v>
      </c>
      <c r="AS257">
        <v>67</v>
      </c>
      <c r="AT257">
        <v>1.84</v>
      </c>
      <c r="AU257">
        <v>84</v>
      </c>
      <c r="AV257">
        <v>-2.87</v>
      </c>
      <c r="AW257">
        <v>95</v>
      </c>
      <c r="AX257">
        <v>-0.35</v>
      </c>
      <c r="AY257">
        <v>79</v>
      </c>
      <c r="AZ257">
        <v>6.39</v>
      </c>
      <c r="BA257">
        <v>65</v>
      </c>
      <c r="BB257">
        <v>5.6</v>
      </c>
      <c r="BC257">
        <v>61</v>
      </c>
      <c r="BD257">
        <v>-0.02</v>
      </c>
      <c r="BE257">
        <v>-0.01</v>
      </c>
      <c r="BF257">
        <v>-0.01</v>
      </c>
      <c r="BG257">
        <v>85</v>
      </c>
      <c r="BH257">
        <v>0.09</v>
      </c>
      <c r="BI257">
        <v>-1.05</v>
      </c>
      <c r="BJ257">
        <v>0</v>
      </c>
      <c r="BK257">
        <v>0</v>
      </c>
      <c r="BL257">
        <v>-0.56000000000000005</v>
      </c>
      <c r="BM257">
        <v>0.91</v>
      </c>
      <c r="BN257">
        <v>-0.98</v>
      </c>
      <c r="BO257">
        <v>-1.4</v>
      </c>
      <c r="BP257">
        <v>3.08</v>
      </c>
      <c r="BQ257">
        <v>0.82</v>
      </c>
      <c r="BR257">
        <v>-2.36</v>
      </c>
      <c r="BS257">
        <v>-0.71</v>
      </c>
      <c r="BT257">
        <v>1.67</v>
      </c>
      <c r="BU257">
        <v>-1.58</v>
      </c>
      <c r="BV257">
        <v>-0.92</v>
      </c>
      <c r="BW257">
        <v>-1.1299999999999999</v>
      </c>
      <c r="BX257">
        <v>-0.88</v>
      </c>
      <c r="BY257">
        <v>-2.08</v>
      </c>
      <c r="BZ257">
        <v>1.0900000000000001</v>
      </c>
      <c r="CA257">
        <v>-1.21</v>
      </c>
      <c r="CB257">
        <v>-1.3</v>
      </c>
      <c r="CC257">
        <v>-0.17</v>
      </c>
      <c r="CD257">
        <v>1.59</v>
      </c>
      <c r="CE257">
        <v>-0.99</v>
      </c>
      <c r="CF257">
        <v>-0.74</v>
      </c>
      <c r="CG257">
        <v>0</v>
      </c>
      <c r="CH257">
        <v>-1.97</v>
      </c>
      <c r="CI257">
        <v>0</v>
      </c>
      <c r="CJ257">
        <v>-5.4</v>
      </c>
      <c r="CK257">
        <v>87</v>
      </c>
      <c r="CL257">
        <v>-0.62</v>
      </c>
      <c r="CM257">
        <v>83</v>
      </c>
      <c r="CN257">
        <v>-0.37</v>
      </c>
      <c r="CO257">
        <v>81</v>
      </c>
      <c r="CP257">
        <v>-6.2</v>
      </c>
      <c r="CQ257">
        <v>83</v>
      </c>
      <c r="CR257">
        <v>0</v>
      </c>
      <c r="CS257">
        <v>0</v>
      </c>
      <c r="CT257">
        <v>-1.8</v>
      </c>
      <c r="CU257">
        <v>94</v>
      </c>
      <c r="CV257">
        <v>0.04</v>
      </c>
      <c r="CW257">
        <v>45</v>
      </c>
      <c r="CX257" t="s">
        <v>1229</v>
      </c>
    </row>
    <row r="258" spans="1:102" x14ac:dyDescent="0.3">
      <c r="A258" t="str">
        <f>HYPERLINK("https://webapp.icbf.com/v2/app/bull-search/view/910796869","JE2442")</f>
        <v>JE2442</v>
      </c>
      <c r="B258" t="s">
        <v>9418</v>
      </c>
      <c r="C258" t="s">
        <v>9419</v>
      </c>
      <c r="D258" s="1">
        <v>40376</v>
      </c>
      <c r="E258" t="s">
        <v>227</v>
      </c>
      <c r="F258">
        <v>34</v>
      </c>
      <c r="G258" t="s">
        <v>93</v>
      </c>
      <c r="H258">
        <v>212.12</v>
      </c>
      <c r="I258">
        <v>81</v>
      </c>
      <c r="J258">
        <v>76.66</v>
      </c>
      <c r="K258">
        <v>95</v>
      </c>
      <c r="L258">
        <v>89.25</v>
      </c>
      <c r="M258">
        <v>65</v>
      </c>
      <c r="N258">
        <v>44.96</v>
      </c>
      <c r="O258">
        <v>83</v>
      </c>
      <c r="P258">
        <v>-30.4</v>
      </c>
      <c r="Q258">
        <v>84</v>
      </c>
      <c r="R258">
        <v>-2.48</v>
      </c>
      <c r="S258">
        <v>74</v>
      </c>
      <c r="T258">
        <v>23.89</v>
      </c>
      <c r="U258">
        <v>88</v>
      </c>
      <c r="V258">
        <v>10.24</v>
      </c>
      <c r="W258">
        <v>72</v>
      </c>
      <c r="X258" t="s">
        <v>276</v>
      </c>
      <c r="Y258" t="s">
        <v>429</v>
      </c>
      <c r="Z258">
        <v>0</v>
      </c>
      <c r="AA258" t="s">
        <v>5465</v>
      </c>
      <c r="AB258" t="s">
        <v>144</v>
      </c>
      <c r="AC258">
        <v>119</v>
      </c>
      <c r="AD258">
        <v>39</v>
      </c>
      <c r="AE258">
        <v>95</v>
      </c>
      <c r="AF258">
        <v>-163.76</v>
      </c>
      <c r="AG258">
        <v>12.13</v>
      </c>
      <c r="AH258">
        <v>6.24</v>
      </c>
      <c r="AI258">
        <v>0.33</v>
      </c>
      <c r="AJ258">
        <v>0.21</v>
      </c>
      <c r="AK258">
        <v>65</v>
      </c>
      <c r="AL258">
        <v>0</v>
      </c>
      <c r="AM258">
        <v>0</v>
      </c>
      <c r="AN258">
        <v>-4.6500000000000004</v>
      </c>
      <c r="AO258">
        <v>2.4700000000000002</v>
      </c>
      <c r="AP258">
        <v>282</v>
      </c>
      <c r="AQ258">
        <v>2</v>
      </c>
      <c r="AR258">
        <v>4.82</v>
      </c>
      <c r="AS258">
        <v>80</v>
      </c>
      <c r="AT258">
        <v>1.93</v>
      </c>
      <c r="AU258">
        <v>87</v>
      </c>
      <c r="AV258">
        <v>-4.3</v>
      </c>
      <c r="AW258">
        <v>97</v>
      </c>
      <c r="AX258">
        <v>0.25</v>
      </c>
      <c r="AY258">
        <v>82</v>
      </c>
      <c r="AZ258">
        <v>6.67</v>
      </c>
      <c r="BA258">
        <v>64</v>
      </c>
      <c r="BB258">
        <v>5.65</v>
      </c>
      <c r="BC258">
        <v>43</v>
      </c>
      <c r="BD258">
        <v>0.03</v>
      </c>
      <c r="BE258">
        <v>0.03</v>
      </c>
      <c r="BF258">
        <v>-0.05</v>
      </c>
      <c r="BG258">
        <v>85</v>
      </c>
      <c r="BH258">
        <v>0.21</v>
      </c>
      <c r="BI258">
        <v>-8.73</v>
      </c>
      <c r="BJ258">
        <v>0</v>
      </c>
      <c r="BK258">
        <v>0</v>
      </c>
      <c r="BL258">
        <v>-2.34</v>
      </c>
      <c r="BM258">
        <v>-0.26</v>
      </c>
      <c r="BN258">
        <v>-0.44</v>
      </c>
      <c r="BO258">
        <v>-0.19</v>
      </c>
      <c r="BP258">
        <v>-1.6</v>
      </c>
      <c r="BQ258">
        <v>-3.3</v>
      </c>
      <c r="BR258">
        <v>1.43</v>
      </c>
      <c r="BS258">
        <v>3.95</v>
      </c>
      <c r="BT258">
        <v>-0.49</v>
      </c>
      <c r="BU258">
        <v>-0.85</v>
      </c>
      <c r="BV258">
        <v>-0.54</v>
      </c>
      <c r="BW258">
        <v>-2.11</v>
      </c>
      <c r="BX258">
        <v>-2.77</v>
      </c>
      <c r="BY258">
        <v>-0.53</v>
      </c>
      <c r="BZ258">
        <v>-0.43</v>
      </c>
      <c r="CA258">
        <v>0.21</v>
      </c>
      <c r="CB258">
        <v>-0.89</v>
      </c>
      <c r="CC258">
        <v>2.29</v>
      </c>
      <c r="CD258">
        <v>-0.12</v>
      </c>
      <c r="CE258">
        <v>-0.1</v>
      </c>
      <c r="CF258">
        <v>-2.16</v>
      </c>
      <c r="CG258">
        <v>0</v>
      </c>
      <c r="CH258">
        <v>-0.86</v>
      </c>
      <c r="CI258">
        <v>0</v>
      </c>
      <c r="CJ258">
        <v>-15.8</v>
      </c>
      <c r="CK258">
        <v>87</v>
      </c>
      <c r="CL258">
        <v>-0.63</v>
      </c>
      <c r="CM258">
        <v>83</v>
      </c>
      <c r="CN258">
        <v>-0.12</v>
      </c>
      <c r="CO258">
        <v>82</v>
      </c>
      <c r="CP258">
        <v>-23.3</v>
      </c>
      <c r="CQ258">
        <v>69</v>
      </c>
      <c r="CR258">
        <v>0</v>
      </c>
      <c r="CS258">
        <v>0</v>
      </c>
      <c r="CT258">
        <v>-18.5</v>
      </c>
      <c r="CU258">
        <v>88</v>
      </c>
      <c r="CV258">
        <v>0.12</v>
      </c>
      <c r="CW258">
        <v>48</v>
      </c>
      <c r="CX258" t="s">
        <v>9420</v>
      </c>
    </row>
    <row r="259" spans="1:102" x14ac:dyDescent="0.3">
      <c r="A259" t="str">
        <f>HYPERLINK("https://webapp.icbf.com/v2/app/bull-search/view/1040933628","FR2018")</f>
        <v>FR2018</v>
      </c>
      <c r="B259" t="s">
        <v>13615</v>
      </c>
      <c r="C259" t="s">
        <v>13616</v>
      </c>
      <c r="D259" s="1">
        <v>41305</v>
      </c>
      <c r="E259" t="s">
        <v>92</v>
      </c>
      <c r="F259">
        <v>66</v>
      </c>
      <c r="G259" t="s">
        <v>93</v>
      </c>
      <c r="H259">
        <v>212.03</v>
      </c>
      <c r="I259">
        <v>90</v>
      </c>
      <c r="J259">
        <v>107.61</v>
      </c>
      <c r="K259">
        <v>99</v>
      </c>
      <c r="L259">
        <v>92.51</v>
      </c>
      <c r="M259">
        <v>81</v>
      </c>
      <c r="N259">
        <v>20.51</v>
      </c>
      <c r="O259">
        <v>93</v>
      </c>
      <c r="P259">
        <v>-24.74</v>
      </c>
      <c r="Q259">
        <v>98</v>
      </c>
      <c r="R259">
        <v>-0.15</v>
      </c>
      <c r="S259">
        <v>82</v>
      </c>
      <c r="T259">
        <v>13.38</v>
      </c>
      <c r="U259">
        <v>84</v>
      </c>
      <c r="V259">
        <v>2.91</v>
      </c>
      <c r="W259">
        <v>74</v>
      </c>
      <c r="X259" t="s">
        <v>102</v>
      </c>
      <c r="Y259" t="s">
        <v>416</v>
      </c>
      <c r="Z259" t="s">
        <v>330</v>
      </c>
      <c r="AA259" t="s">
        <v>1830</v>
      </c>
      <c r="AB259" t="s">
        <v>13617</v>
      </c>
      <c r="AC259">
        <v>432</v>
      </c>
      <c r="AD259">
        <v>161</v>
      </c>
      <c r="AE259">
        <v>99</v>
      </c>
      <c r="AF259">
        <v>232.33</v>
      </c>
      <c r="AG259">
        <v>8.5299999999999994</v>
      </c>
      <c r="AH259">
        <v>18.84</v>
      </c>
      <c r="AI259">
        <v>-0.01</v>
      </c>
      <c r="AJ259">
        <v>0.18</v>
      </c>
      <c r="AK259">
        <v>81</v>
      </c>
      <c r="AL259">
        <v>433</v>
      </c>
      <c r="AM259">
        <v>193</v>
      </c>
      <c r="AN259">
        <v>-4.07</v>
      </c>
      <c r="AO259">
        <v>3.32</v>
      </c>
      <c r="AP259">
        <v>1123</v>
      </c>
      <c r="AQ259">
        <v>16</v>
      </c>
      <c r="AR259">
        <v>7.39</v>
      </c>
      <c r="AS259">
        <v>93</v>
      </c>
      <c r="AT259">
        <v>3.01</v>
      </c>
      <c r="AU259">
        <v>96</v>
      </c>
      <c r="AV259">
        <v>-2.12</v>
      </c>
      <c r="AW259">
        <v>99</v>
      </c>
      <c r="AX259">
        <v>0.3</v>
      </c>
      <c r="AY259">
        <v>95</v>
      </c>
      <c r="AZ259">
        <v>5.8</v>
      </c>
      <c r="BA259">
        <v>85</v>
      </c>
      <c r="BB259">
        <v>4.58</v>
      </c>
      <c r="BC259">
        <v>70</v>
      </c>
      <c r="BD259">
        <v>-0.04</v>
      </c>
      <c r="BE259">
        <v>0</v>
      </c>
      <c r="BF259">
        <v>7.0000000000000007E-2</v>
      </c>
      <c r="BG259">
        <v>94</v>
      </c>
      <c r="BH259">
        <v>0</v>
      </c>
      <c r="BI259">
        <v>-9.4</v>
      </c>
      <c r="BJ259">
        <v>7</v>
      </c>
      <c r="BK259">
        <v>5</v>
      </c>
      <c r="BL259">
        <v>-3.27</v>
      </c>
      <c r="BM259">
        <v>-0.03</v>
      </c>
      <c r="BN259">
        <v>-1.89</v>
      </c>
      <c r="BO259">
        <v>-1.4</v>
      </c>
      <c r="BP259">
        <v>-0.28999999999999998</v>
      </c>
      <c r="BQ259">
        <v>-1.73</v>
      </c>
      <c r="BR259">
        <v>0.34</v>
      </c>
      <c r="BS259">
        <v>1.7</v>
      </c>
      <c r="BT259">
        <v>-0.92</v>
      </c>
      <c r="BU259">
        <v>-2.62</v>
      </c>
      <c r="BV259">
        <v>-1.55</v>
      </c>
      <c r="BW259">
        <v>-1.47</v>
      </c>
      <c r="BX259">
        <v>-3.85</v>
      </c>
      <c r="BY259">
        <v>-1.19</v>
      </c>
      <c r="BZ259">
        <v>3.1</v>
      </c>
      <c r="CA259">
        <v>-1.64</v>
      </c>
      <c r="CB259">
        <v>-2.06</v>
      </c>
      <c r="CC259">
        <v>0.42</v>
      </c>
      <c r="CD259">
        <v>1.53</v>
      </c>
      <c r="CE259">
        <v>-0.59</v>
      </c>
      <c r="CF259">
        <v>-3.13</v>
      </c>
      <c r="CG259">
        <v>0</v>
      </c>
      <c r="CH259">
        <v>-2.1800000000000002</v>
      </c>
      <c r="CI259">
        <v>0</v>
      </c>
      <c r="CJ259">
        <v>-12.6</v>
      </c>
      <c r="CK259">
        <v>99</v>
      </c>
      <c r="CL259">
        <v>-0.66</v>
      </c>
      <c r="CM259">
        <v>98</v>
      </c>
      <c r="CN259">
        <v>-0.1</v>
      </c>
      <c r="CO259">
        <v>98</v>
      </c>
      <c r="CP259">
        <v>-11.4</v>
      </c>
      <c r="CQ259">
        <v>85</v>
      </c>
      <c r="CR259">
        <v>0</v>
      </c>
      <c r="CS259">
        <v>0</v>
      </c>
      <c r="CT259">
        <v>-4.3</v>
      </c>
      <c r="CU259">
        <v>84</v>
      </c>
      <c r="CV259">
        <v>-0.03</v>
      </c>
      <c r="CW259">
        <v>47</v>
      </c>
      <c r="CX259" t="s">
        <v>3087</v>
      </c>
    </row>
    <row r="260" spans="1:102" x14ac:dyDescent="0.3">
      <c r="A260" t="str">
        <f>HYPERLINK("https://webapp.icbf.com/v2/app/bull-search/view/1276118455","JE4190")</f>
        <v>JE4190</v>
      </c>
      <c r="B260" t="s">
        <v>2274</v>
      </c>
      <c r="C260" t="s">
        <v>2275</v>
      </c>
      <c r="D260" s="1">
        <v>41862</v>
      </c>
      <c r="E260" t="s">
        <v>227</v>
      </c>
      <c r="F260">
        <v>38</v>
      </c>
      <c r="G260" t="s">
        <v>109</v>
      </c>
      <c r="H260">
        <v>211.95</v>
      </c>
      <c r="I260">
        <v>73</v>
      </c>
      <c r="J260">
        <v>92.78</v>
      </c>
      <c r="K260">
        <v>88</v>
      </c>
      <c r="L260">
        <v>85.01</v>
      </c>
      <c r="M260">
        <v>62</v>
      </c>
      <c r="N260">
        <v>43.76</v>
      </c>
      <c r="O260">
        <v>86</v>
      </c>
      <c r="P260">
        <v>-40.75</v>
      </c>
      <c r="Q260">
        <v>78</v>
      </c>
      <c r="R260">
        <v>-8.24</v>
      </c>
      <c r="S260">
        <v>59</v>
      </c>
      <c r="T260">
        <v>29.51</v>
      </c>
      <c r="U260">
        <v>48</v>
      </c>
      <c r="V260">
        <v>9.8800000000000008</v>
      </c>
      <c r="W260">
        <v>53</v>
      </c>
      <c r="X260" t="s">
        <v>94</v>
      </c>
      <c r="Y260" t="s">
        <v>2261</v>
      </c>
      <c r="Z260">
        <v>0</v>
      </c>
      <c r="AA260" t="s">
        <v>2276</v>
      </c>
      <c r="AB260" t="s">
        <v>2277</v>
      </c>
      <c r="AC260">
        <v>0</v>
      </c>
      <c r="AD260">
        <v>0</v>
      </c>
      <c r="AE260">
        <v>88</v>
      </c>
      <c r="AF260">
        <v>-52.02</v>
      </c>
      <c r="AG260">
        <v>13.72</v>
      </c>
      <c r="AH260">
        <v>10.130000000000001</v>
      </c>
      <c r="AI260">
        <v>0.27</v>
      </c>
      <c r="AJ260">
        <v>0.21</v>
      </c>
      <c r="AK260">
        <v>62</v>
      </c>
      <c r="AL260">
        <v>0</v>
      </c>
      <c r="AM260">
        <v>0</v>
      </c>
      <c r="AN260">
        <v>-4.59</v>
      </c>
      <c r="AO260">
        <v>2.19</v>
      </c>
      <c r="AP260">
        <v>1020</v>
      </c>
      <c r="AQ260">
        <v>5</v>
      </c>
      <c r="AR260">
        <v>4.4000000000000004</v>
      </c>
      <c r="AS260">
        <v>92</v>
      </c>
      <c r="AT260">
        <v>1.76</v>
      </c>
      <c r="AU260">
        <v>95</v>
      </c>
      <c r="AV260">
        <v>-3.61</v>
      </c>
      <c r="AW260">
        <v>99</v>
      </c>
      <c r="AX260">
        <v>0.21</v>
      </c>
      <c r="AY260">
        <v>93</v>
      </c>
      <c r="AZ260">
        <v>7.28</v>
      </c>
      <c r="BA260">
        <v>39</v>
      </c>
      <c r="BB260">
        <v>4.99</v>
      </c>
      <c r="BC260">
        <v>36</v>
      </c>
      <c r="BD260">
        <v>-0.04</v>
      </c>
      <c r="BE260">
        <v>0.04</v>
      </c>
      <c r="BF260">
        <v>0.18</v>
      </c>
      <c r="BG260">
        <v>70</v>
      </c>
      <c r="BH260">
        <v>0.15</v>
      </c>
      <c r="BI260">
        <v>-14.52</v>
      </c>
      <c r="BJ260">
        <v>0</v>
      </c>
      <c r="BK260">
        <v>0</v>
      </c>
      <c r="BL260">
        <v>-2.27</v>
      </c>
      <c r="BM260">
        <v>-0.4</v>
      </c>
      <c r="BN260">
        <v>-0.22</v>
      </c>
      <c r="BO260">
        <v>0.27</v>
      </c>
      <c r="BP260">
        <v>-0.85</v>
      </c>
      <c r="BQ260">
        <v>-3.6</v>
      </c>
      <c r="BR260">
        <v>2.37</v>
      </c>
      <c r="BS260">
        <v>2.56</v>
      </c>
      <c r="BT260">
        <v>-1.87</v>
      </c>
      <c r="BU260">
        <v>-0.59</v>
      </c>
      <c r="BV260">
        <v>-0.11</v>
      </c>
      <c r="BW260">
        <v>-1.37</v>
      </c>
      <c r="BX260">
        <v>-2.85</v>
      </c>
      <c r="BY260">
        <v>-0.75</v>
      </c>
      <c r="BZ260">
        <v>-0.87</v>
      </c>
      <c r="CA260">
        <v>0.32</v>
      </c>
      <c r="CB260">
        <v>-0.35</v>
      </c>
      <c r="CC260">
        <v>1.45</v>
      </c>
      <c r="CD260">
        <v>-1.01</v>
      </c>
      <c r="CE260">
        <v>0.2</v>
      </c>
      <c r="CF260">
        <v>-2.48</v>
      </c>
      <c r="CG260">
        <v>0</v>
      </c>
      <c r="CH260">
        <v>-0.56999999999999995</v>
      </c>
      <c r="CI260">
        <v>0</v>
      </c>
      <c r="CJ260">
        <v>-22.8</v>
      </c>
      <c r="CK260">
        <v>83</v>
      </c>
      <c r="CL260">
        <v>-0.84</v>
      </c>
      <c r="CM260">
        <v>77</v>
      </c>
      <c r="CN260">
        <v>-0.26</v>
      </c>
      <c r="CO260">
        <v>75</v>
      </c>
      <c r="CP260">
        <v>-24.4</v>
      </c>
      <c r="CQ260">
        <v>51</v>
      </c>
      <c r="CR260">
        <v>0</v>
      </c>
      <c r="CS260">
        <v>0</v>
      </c>
      <c r="CT260">
        <v>-26.1</v>
      </c>
      <c r="CU260">
        <v>48</v>
      </c>
      <c r="CV260">
        <v>-0.27</v>
      </c>
      <c r="CW260">
        <v>43</v>
      </c>
      <c r="CX260" t="s">
        <v>2278</v>
      </c>
    </row>
    <row r="261" spans="1:102" x14ac:dyDescent="0.3">
      <c r="A261" t="str">
        <f>HYPERLINK("https://webapp.icbf.com/v2/app/bull-search/view/865544886","XRY")</f>
        <v>XRY</v>
      </c>
      <c r="B261" t="s">
        <v>13028</v>
      </c>
      <c r="C261" t="s">
        <v>13029</v>
      </c>
      <c r="D261" s="1">
        <v>40600</v>
      </c>
      <c r="E261" t="s">
        <v>92</v>
      </c>
      <c r="F261">
        <v>81</v>
      </c>
      <c r="G261" t="s">
        <v>93</v>
      </c>
      <c r="H261">
        <v>211.91</v>
      </c>
      <c r="I261">
        <v>84</v>
      </c>
      <c r="J261">
        <v>44.28</v>
      </c>
      <c r="K261">
        <v>96</v>
      </c>
      <c r="L261">
        <v>85.62</v>
      </c>
      <c r="M261">
        <v>76</v>
      </c>
      <c r="N261">
        <v>59.2</v>
      </c>
      <c r="O261">
        <v>82</v>
      </c>
      <c r="P261">
        <v>-10.88</v>
      </c>
      <c r="Q261">
        <v>86</v>
      </c>
      <c r="R261">
        <v>17.77</v>
      </c>
      <c r="S261">
        <v>77</v>
      </c>
      <c r="T261">
        <v>13.6</v>
      </c>
      <c r="U261">
        <v>80</v>
      </c>
      <c r="V261">
        <v>2.3199999999999998</v>
      </c>
      <c r="W261">
        <v>72</v>
      </c>
      <c r="X261" t="s">
        <v>94</v>
      </c>
      <c r="Y261" t="s">
        <v>1860</v>
      </c>
      <c r="Z261" t="s">
        <v>96</v>
      </c>
      <c r="AA261" t="s">
        <v>1942</v>
      </c>
      <c r="AB261" t="s">
        <v>13030</v>
      </c>
      <c r="AC261">
        <v>52</v>
      </c>
      <c r="AD261">
        <v>35</v>
      </c>
      <c r="AE261">
        <v>96</v>
      </c>
      <c r="AF261">
        <v>46.19</v>
      </c>
      <c r="AG261">
        <v>4.97</v>
      </c>
      <c r="AH261">
        <v>6.48</v>
      </c>
      <c r="AI261">
        <v>0.06</v>
      </c>
      <c r="AJ261">
        <v>0.09</v>
      </c>
      <c r="AK261">
        <v>76</v>
      </c>
      <c r="AL261">
        <v>56</v>
      </c>
      <c r="AM261">
        <v>38</v>
      </c>
      <c r="AN261">
        <v>-5.32</v>
      </c>
      <c r="AO261">
        <v>1.5</v>
      </c>
      <c r="AP261">
        <v>110</v>
      </c>
      <c r="AQ261">
        <v>1</v>
      </c>
      <c r="AR261">
        <v>4.6500000000000004</v>
      </c>
      <c r="AS261">
        <v>68</v>
      </c>
      <c r="AT261">
        <v>2.09</v>
      </c>
      <c r="AU261">
        <v>84</v>
      </c>
      <c r="AV261">
        <v>-5.12</v>
      </c>
      <c r="AW261">
        <v>94</v>
      </c>
      <c r="AX261">
        <v>-0.14000000000000001</v>
      </c>
      <c r="AY261">
        <v>74</v>
      </c>
      <c r="AZ261">
        <v>5.33</v>
      </c>
      <c r="BA261">
        <v>60</v>
      </c>
      <c r="BB261">
        <v>4.54</v>
      </c>
      <c r="BC261">
        <v>61</v>
      </c>
      <c r="BD261">
        <v>-7.0000000000000007E-2</v>
      </c>
      <c r="BE261">
        <v>-0.08</v>
      </c>
      <c r="BF261">
        <v>-0.14000000000000001</v>
      </c>
      <c r="BG261">
        <v>86</v>
      </c>
      <c r="BH261">
        <v>0.03</v>
      </c>
      <c r="BI261">
        <v>-4</v>
      </c>
      <c r="BJ261">
        <v>3</v>
      </c>
      <c r="BK261">
        <v>3</v>
      </c>
      <c r="BL261">
        <v>0.39</v>
      </c>
      <c r="BM261">
        <v>0.3</v>
      </c>
      <c r="BN261">
        <v>-0.61</v>
      </c>
      <c r="BO261">
        <v>-0.57999999999999996</v>
      </c>
      <c r="BP261">
        <v>3.31</v>
      </c>
      <c r="BQ261">
        <v>1.05</v>
      </c>
      <c r="BR261">
        <v>0.22</v>
      </c>
      <c r="BS261">
        <v>0.22</v>
      </c>
      <c r="BT261">
        <v>0.32</v>
      </c>
      <c r="BU261">
        <v>-0.4</v>
      </c>
      <c r="BV261">
        <v>0.28000000000000003</v>
      </c>
      <c r="BW261">
        <v>0.68</v>
      </c>
      <c r="BX261">
        <v>0.97</v>
      </c>
      <c r="BY261">
        <v>-0.28000000000000003</v>
      </c>
      <c r="BZ261">
        <v>-0.34</v>
      </c>
      <c r="CA261">
        <v>-0.25</v>
      </c>
      <c r="CB261">
        <v>0.06</v>
      </c>
      <c r="CC261">
        <v>-0.41</v>
      </c>
      <c r="CD261">
        <v>0.17</v>
      </c>
      <c r="CE261">
        <v>-0.65</v>
      </c>
      <c r="CF261">
        <v>0.04</v>
      </c>
      <c r="CG261">
        <v>0</v>
      </c>
      <c r="CH261">
        <v>0.57999999999999996</v>
      </c>
      <c r="CI261">
        <v>0</v>
      </c>
      <c r="CJ261">
        <v>-4.2</v>
      </c>
      <c r="CK261">
        <v>88</v>
      </c>
      <c r="CL261">
        <v>-0.84</v>
      </c>
      <c r="CM261">
        <v>86</v>
      </c>
      <c r="CN261">
        <v>-0.37</v>
      </c>
      <c r="CO261">
        <v>84</v>
      </c>
      <c r="CP261">
        <v>-5</v>
      </c>
      <c r="CQ261">
        <v>79</v>
      </c>
      <c r="CR261">
        <v>0</v>
      </c>
      <c r="CS261">
        <v>0</v>
      </c>
      <c r="CT261">
        <v>-4.5999999999999996</v>
      </c>
      <c r="CU261">
        <v>80</v>
      </c>
      <c r="CV261">
        <v>0.09</v>
      </c>
      <c r="CW261">
        <v>46</v>
      </c>
      <c r="CX261" t="s">
        <v>8862</v>
      </c>
    </row>
    <row r="262" spans="1:102" x14ac:dyDescent="0.3">
      <c r="A262" t="str">
        <f>HYPERLINK("https://webapp.icbf.com/v2/app/bull-search/view/558103848","BEQ")</f>
        <v>BEQ</v>
      </c>
      <c r="B262" t="s">
        <v>239</v>
      </c>
      <c r="C262" t="s">
        <v>240</v>
      </c>
      <c r="D262" s="1">
        <v>39491</v>
      </c>
      <c r="E262" t="s">
        <v>227</v>
      </c>
      <c r="F262">
        <v>0</v>
      </c>
      <c r="G262" t="s">
        <v>93</v>
      </c>
      <c r="H262">
        <v>211.79</v>
      </c>
      <c r="I262">
        <v>84</v>
      </c>
      <c r="J262">
        <v>45.07</v>
      </c>
      <c r="K262">
        <v>95</v>
      </c>
      <c r="L262">
        <v>96.75</v>
      </c>
      <c r="M262">
        <v>76</v>
      </c>
      <c r="N262">
        <v>31.36</v>
      </c>
      <c r="O262">
        <v>82</v>
      </c>
      <c r="P262">
        <v>-56.82</v>
      </c>
      <c r="Q262">
        <v>86</v>
      </c>
      <c r="R262">
        <v>11.96</v>
      </c>
      <c r="S262">
        <v>78</v>
      </c>
      <c r="T262">
        <v>71.400000000000006</v>
      </c>
      <c r="U262">
        <v>81</v>
      </c>
      <c r="V262">
        <v>12.07</v>
      </c>
      <c r="W262">
        <v>79</v>
      </c>
      <c r="X262" t="s">
        <v>94</v>
      </c>
      <c r="Y262" t="s">
        <v>241</v>
      </c>
      <c r="Z262">
        <v>0</v>
      </c>
      <c r="AA262" t="s">
        <v>242</v>
      </c>
      <c r="AB262" t="s">
        <v>243</v>
      </c>
      <c r="AC262">
        <v>46</v>
      </c>
      <c r="AD262">
        <v>35</v>
      </c>
      <c r="AE262">
        <v>95</v>
      </c>
      <c r="AF262">
        <v>-594.77</v>
      </c>
      <c r="AG262">
        <v>12.44</v>
      </c>
      <c r="AH262">
        <v>-5.84</v>
      </c>
      <c r="AI262">
        <v>0.69</v>
      </c>
      <c r="AJ262">
        <v>0.28000000000000003</v>
      </c>
      <c r="AK262">
        <v>76</v>
      </c>
      <c r="AL262">
        <v>56</v>
      </c>
      <c r="AM262">
        <v>36</v>
      </c>
      <c r="AN262">
        <v>-4.16</v>
      </c>
      <c r="AO262">
        <v>3.57</v>
      </c>
      <c r="AP262">
        <v>93</v>
      </c>
      <c r="AQ262">
        <v>1</v>
      </c>
      <c r="AR262">
        <v>2.5299999999999998</v>
      </c>
      <c r="AS262">
        <v>74</v>
      </c>
      <c r="AT262">
        <v>1.26</v>
      </c>
      <c r="AU262">
        <v>80</v>
      </c>
      <c r="AV262">
        <v>-2.2000000000000002</v>
      </c>
      <c r="AW262">
        <v>94</v>
      </c>
      <c r="AX262">
        <v>2.36</v>
      </c>
      <c r="AY262">
        <v>75</v>
      </c>
      <c r="AZ262">
        <v>7.06</v>
      </c>
      <c r="BA262">
        <v>61</v>
      </c>
      <c r="BB262">
        <v>5.27</v>
      </c>
      <c r="BC262">
        <v>65</v>
      </c>
      <c r="BD262">
        <v>-0.09</v>
      </c>
      <c r="BE262">
        <v>-0.05</v>
      </c>
      <c r="BF262">
        <v>-0.03</v>
      </c>
      <c r="BG262">
        <v>86</v>
      </c>
      <c r="BH262">
        <v>0.19</v>
      </c>
      <c r="BI262">
        <v>-16.97</v>
      </c>
      <c r="BJ262">
        <v>17</v>
      </c>
      <c r="BK262">
        <v>11</v>
      </c>
      <c r="BL262">
        <v>-3.96</v>
      </c>
      <c r="BM262">
        <v>-2.63</v>
      </c>
      <c r="BN262">
        <v>-3.12</v>
      </c>
      <c r="BO262">
        <v>-0.34</v>
      </c>
      <c r="BP262">
        <v>-1.48</v>
      </c>
      <c r="BQ262">
        <v>-8.5500000000000007</v>
      </c>
      <c r="BR262">
        <v>1.62</v>
      </c>
      <c r="BS262">
        <v>6.56</v>
      </c>
      <c r="BT262">
        <v>-0.54</v>
      </c>
      <c r="BU262">
        <v>-0.85</v>
      </c>
      <c r="BV262">
        <v>0.32</v>
      </c>
      <c r="BW262">
        <v>-1.41</v>
      </c>
      <c r="BX262">
        <v>-3.17</v>
      </c>
      <c r="BY262">
        <v>-0.06</v>
      </c>
      <c r="BZ262">
        <v>-5.87</v>
      </c>
      <c r="CA262">
        <v>2.27</v>
      </c>
      <c r="CB262">
        <v>0.05</v>
      </c>
      <c r="CC262">
        <v>5.34</v>
      </c>
      <c r="CD262">
        <v>-1.82</v>
      </c>
      <c r="CE262">
        <v>0</v>
      </c>
      <c r="CF262">
        <v>-5.43</v>
      </c>
      <c r="CG262">
        <v>0</v>
      </c>
      <c r="CH262">
        <v>-1.1100000000000001</v>
      </c>
      <c r="CI262">
        <v>0</v>
      </c>
      <c r="CJ262">
        <v>-29.2</v>
      </c>
      <c r="CK262">
        <v>88</v>
      </c>
      <c r="CL262">
        <v>-0.84</v>
      </c>
      <c r="CM262">
        <v>85</v>
      </c>
      <c r="CN262">
        <v>0</v>
      </c>
      <c r="CO262">
        <v>84</v>
      </c>
      <c r="CP262">
        <v>-52.4</v>
      </c>
      <c r="CQ262">
        <v>80</v>
      </c>
      <c r="CR262">
        <v>0</v>
      </c>
      <c r="CS262">
        <v>0</v>
      </c>
      <c r="CT262">
        <v>-82.7</v>
      </c>
      <c r="CU262">
        <v>81</v>
      </c>
      <c r="CV262">
        <v>-0.36</v>
      </c>
      <c r="CW262">
        <v>43</v>
      </c>
      <c r="CX262" t="s">
        <v>244</v>
      </c>
    </row>
    <row r="263" spans="1:102" x14ac:dyDescent="0.3">
      <c r="A263" t="str">
        <f>HYPERLINK("https://webapp.icbf.com/v2/app/bull-search/view/1242923186","FR2371")</f>
        <v>FR2371</v>
      </c>
      <c r="B263" t="s">
        <v>10262</v>
      </c>
      <c r="C263" t="s">
        <v>10263</v>
      </c>
      <c r="D263" s="1">
        <v>42025</v>
      </c>
      <c r="E263" t="s">
        <v>92</v>
      </c>
      <c r="F263">
        <v>81</v>
      </c>
      <c r="G263" t="s">
        <v>93</v>
      </c>
      <c r="H263">
        <v>211.76</v>
      </c>
      <c r="I263">
        <v>88</v>
      </c>
      <c r="J263">
        <v>40.39</v>
      </c>
      <c r="K263">
        <v>98</v>
      </c>
      <c r="L263">
        <v>116.68</v>
      </c>
      <c r="M263">
        <v>77</v>
      </c>
      <c r="N263">
        <v>59.86</v>
      </c>
      <c r="O263">
        <v>92</v>
      </c>
      <c r="P263">
        <v>-14.29</v>
      </c>
      <c r="Q263">
        <v>97</v>
      </c>
      <c r="R263">
        <v>-3.1</v>
      </c>
      <c r="S263">
        <v>80</v>
      </c>
      <c r="T263">
        <v>13.97</v>
      </c>
      <c r="U263">
        <v>89</v>
      </c>
      <c r="V263">
        <v>-1.75</v>
      </c>
      <c r="W263">
        <v>73</v>
      </c>
      <c r="X263" t="s">
        <v>94</v>
      </c>
      <c r="Y263" t="s">
        <v>436</v>
      </c>
      <c r="Z263" t="s">
        <v>96</v>
      </c>
      <c r="AA263" t="s">
        <v>437</v>
      </c>
      <c r="AB263" t="s">
        <v>10264</v>
      </c>
      <c r="AC263">
        <v>430</v>
      </c>
      <c r="AD263">
        <v>248</v>
      </c>
      <c r="AE263">
        <v>98</v>
      </c>
      <c r="AF263">
        <v>-66.430000000000007</v>
      </c>
      <c r="AG263">
        <v>5.49</v>
      </c>
      <c r="AH263">
        <v>3.91</v>
      </c>
      <c r="AI263">
        <v>0.14000000000000001</v>
      </c>
      <c r="AJ263">
        <v>0.11</v>
      </c>
      <c r="AK263">
        <v>77</v>
      </c>
      <c r="AL263">
        <v>0</v>
      </c>
      <c r="AM263">
        <v>0</v>
      </c>
      <c r="AN263">
        <v>-6.77</v>
      </c>
      <c r="AO263">
        <v>2.5299999999999998</v>
      </c>
      <c r="AP263">
        <v>21158</v>
      </c>
      <c r="AQ263">
        <v>49</v>
      </c>
      <c r="AR263">
        <v>4.47</v>
      </c>
      <c r="AS263">
        <v>99</v>
      </c>
      <c r="AT263">
        <v>1.85</v>
      </c>
      <c r="AU263">
        <v>99</v>
      </c>
      <c r="AV263">
        <v>-5.59</v>
      </c>
      <c r="AW263">
        <v>99</v>
      </c>
      <c r="AX263">
        <v>-0.52</v>
      </c>
      <c r="AY263">
        <v>99</v>
      </c>
      <c r="AZ263">
        <v>6.18</v>
      </c>
      <c r="BA263">
        <v>83</v>
      </c>
      <c r="BB263">
        <v>5.49</v>
      </c>
      <c r="BC263">
        <v>46</v>
      </c>
      <c r="BD263">
        <v>-0.01</v>
      </c>
      <c r="BE263">
        <v>0.02</v>
      </c>
      <c r="BF263">
        <v>0.05</v>
      </c>
      <c r="BG263">
        <v>93</v>
      </c>
      <c r="BH263">
        <v>0.1</v>
      </c>
      <c r="BI263">
        <v>17.22</v>
      </c>
      <c r="BJ263">
        <v>0</v>
      </c>
      <c r="BK263">
        <v>0</v>
      </c>
      <c r="BL263">
        <v>-0.55000000000000004</v>
      </c>
      <c r="BM263">
        <v>-0.36</v>
      </c>
      <c r="BN263">
        <v>-1.48</v>
      </c>
      <c r="BO263">
        <v>-1.06</v>
      </c>
      <c r="BP263">
        <v>1.27</v>
      </c>
      <c r="BQ263">
        <v>0.3</v>
      </c>
      <c r="BR263">
        <v>0.48</v>
      </c>
      <c r="BS263">
        <v>-1.22</v>
      </c>
      <c r="BT263">
        <v>-0.83</v>
      </c>
      <c r="BU263">
        <v>0.42</v>
      </c>
      <c r="BV263">
        <v>-0.89</v>
      </c>
      <c r="BW263">
        <v>-0.27</v>
      </c>
      <c r="BX263">
        <v>1.01</v>
      </c>
      <c r="BY263">
        <v>-0.48</v>
      </c>
      <c r="BZ263">
        <v>-2.34</v>
      </c>
      <c r="CA263">
        <v>-0.71</v>
      </c>
      <c r="CB263">
        <v>-0.2</v>
      </c>
      <c r="CC263">
        <v>-1.17</v>
      </c>
      <c r="CD263">
        <v>0.8</v>
      </c>
      <c r="CE263">
        <v>-0.56000000000000005</v>
      </c>
      <c r="CF263">
        <v>-0.9</v>
      </c>
      <c r="CG263">
        <v>0</v>
      </c>
      <c r="CH263">
        <v>0.93</v>
      </c>
      <c r="CI263">
        <v>0</v>
      </c>
      <c r="CJ263">
        <v>-6.8</v>
      </c>
      <c r="CK263">
        <v>99</v>
      </c>
      <c r="CL263">
        <v>-0.74</v>
      </c>
      <c r="CM263">
        <v>99</v>
      </c>
      <c r="CN263">
        <v>-0.24</v>
      </c>
      <c r="CO263">
        <v>99</v>
      </c>
      <c r="CP263">
        <v>-0.5</v>
      </c>
      <c r="CQ263">
        <v>74</v>
      </c>
      <c r="CR263">
        <v>0</v>
      </c>
      <c r="CS263">
        <v>0</v>
      </c>
      <c r="CT263">
        <v>-5.0999999999999996</v>
      </c>
      <c r="CU263">
        <v>89</v>
      </c>
      <c r="CV263">
        <v>0.13</v>
      </c>
      <c r="CW263">
        <v>47</v>
      </c>
      <c r="CX263" t="s">
        <v>5796</v>
      </c>
    </row>
    <row r="264" spans="1:102" x14ac:dyDescent="0.3">
      <c r="A264" t="str">
        <f>HYPERLINK("https://webapp.icbf.com/v2/app/bull-search/view/862145228","AYD")</f>
        <v>AYD</v>
      </c>
      <c r="B264" t="s">
        <v>9749</v>
      </c>
      <c r="C264" t="s">
        <v>9750</v>
      </c>
      <c r="D264" s="1">
        <v>40586</v>
      </c>
      <c r="E264" t="s">
        <v>92</v>
      </c>
      <c r="F264">
        <v>63</v>
      </c>
      <c r="G264" t="s">
        <v>93</v>
      </c>
      <c r="H264">
        <v>211.66</v>
      </c>
      <c r="I264">
        <v>93</v>
      </c>
      <c r="J264">
        <v>114.77</v>
      </c>
      <c r="K264">
        <v>99</v>
      </c>
      <c r="L264">
        <v>47.5</v>
      </c>
      <c r="M264">
        <v>86</v>
      </c>
      <c r="N264">
        <v>44.99</v>
      </c>
      <c r="O264">
        <v>95</v>
      </c>
      <c r="P264">
        <v>-10.43</v>
      </c>
      <c r="Q264">
        <v>98</v>
      </c>
      <c r="R264">
        <v>4.6399999999999997</v>
      </c>
      <c r="S264">
        <v>88</v>
      </c>
      <c r="T264">
        <v>3.76</v>
      </c>
      <c r="U264">
        <v>93</v>
      </c>
      <c r="V264">
        <v>6.43</v>
      </c>
      <c r="W264">
        <v>81</v>
      </c>
      <c r="X264" t="s">
        <v>94</v>
      </c>
      <c r="Y264" t="s">
        <v>1860</v>
      </c>
      <c r="Z264" t="s">
        <v>96</v>
      </c>
      <c r="AA264" t="s">
        <v>1942</v>
      </c>
      <c r="AB264" t="s">
        <v>9751</v>
      </c>
      <c r="AC264">
        <v>814</v>
      </c>
      <c r="AD264">
        <v>334</v>
      </c>
      <c r="AE264">
        <v>99</v>
      </c>
      <c r="AF264">
        <v>114.69</v>
      </c>
      <c r="AG264">
        <v>15.42</v>
      </c>
      <c r="AH264">
        <v>15.82</v>
      </c>
      <c r="AI264">
        <v>0.19</v>
      </c>
      <c r="AJ264">
        <v>0.2</v>
      </c>
      <c r="AK264">
        <v>86</v>
      </c>
      <c r="AL264">
        <v>352</v>
      </c>
      <c r="AM264">
        <v>179</v>
      </c>
      <c r="AN264">
        <v>-1.66</v>
      </c>
      <c r="AO264">
        <v>2.14</v>
      </c>
      <c r="AP264">
        <v>2496</v>
      </c>
      <c r="AQ264">
        <v>14</v>
      </c>
      <c r="AR264">
        <v>5.45</v>
      </c>
      <c r="AS264">
        <v>95</v>
      </c>
      <c r="AT264">
        <v>2.08</v>
      </c>
      <c r="AU264">
        <v>98</v>
      </c>
      <c r="AV264">
        <v>-4.46</v>
      </c>
      <c r="AW264">
        <v>99</v>
      </c>
      <c r="AX264">
        <v>0.32</v>
      </c>
      <c r="AY264">
        <v>98</v>
      </c>
      <c r="AZ264">
        <v>6.65</v>
      </c>
      <c r="BA264">
        <v>90</v>
      </c>
      <c r="BB264">
        <v>5.43</v>
      </c>
      <c r="BC264">
        <v>80</v>
      </c>
      <c r="BD264">
        <v>-0.04</v>
      </c>
      <c r="BE264">
        <v>0</v>
      </c>
      <c r="BF264">
        <v>-0.04</v>
      </c>
      <c r="BG264">
        <v>97</v>
      </c>
      <c r="BH264">
        <v>-0.08</v>
      </c>
      <c r="BI264">
        <v>-29.98</v>
      </c>
      <c r="BJ264">
        <v>10</v>
      </c>
      <c r="BK264">
        <v>8</v>
      </c>
      <c r="BL264">
        <v>-0.82</v>
      </c>
      <c r="BM264">
        <v>1.44</v>
      </c>
      <c r="BN264">
        <v>0.06</v>
      </c>
      <c r="BO264">
        <v>-1.28</v>
      </c>
      <c r="BP264">
        <v>1.05</v>
      </c>
      <c r="BQ264">
        <v>-0.53</v>
      </c>
      <c r="BR264">
        <v>-1.8</v>
      </c>
      <c r="BS264">
        <v>-1.19</v>
      </c>
      <c r="BT264">
        <v>0.62</v>
      </c>
      <c r="BU264">
        <v>-1.0900000000000001</v>
      </c>
      <c r="BV264">
        <v>-1.39</v>
      </c>
      <c r="BW264">
        <v>-0.78</v>
      </c>
      <c r="BX264">
        <v>-0.84</v>
      </c>
      <c r="BY264">
        <v>-1.41</v>
      </c>
      <c r="BZ264">
        <v>0.45</v>
      </c>
      <c r="CA264">
        <v>-1.07</v>
      </c>
      <c r="CB264">
        <v>-0.97</v>
      </c>
      <c r="CC264">
        <v>-1.1000000000000001</v>
      </c>
      <c r="CD264">
        <v>1.38</v>
      </c>
      <c r="CE264">
        <v>-1.08</v>
      </c>
      <c r="CF264">
        <v>-0.69</v>
      </c>
      <c r="CG264">
        <v>0</v>
      </c>
      <c r="CH264">
        <v>-0.87</v>
      </c>
      <c r="CI264">
        <v>0</v>
      </c>
      <c r="CJ264">
        <v>-2.2000000000000002</v>
      </c>
      <c r="CK264">
        <v>99</v>
      </c>
      <c r="CL264">
        <v>-0.67</v>
      </c>
      <c r="CM264">
        <v>99</v>
      </c>
      <c r="CN264">
        <v>0</v>
      </c>
      <c r="CO264">
        <v>99</v>
      </c>
      <c r="CP264">
        <v>-3.2</v>
      </c>
      <c r="CQ264">
        <v>91</v>
      </c>
      <c r="CR264">
        <v>0</v>
      </c>
      <c r="CS264">
        <v>0</v>
      </c>
      <c r="CT264">
        <v>8.6999999999999993</v>
      </c>
      <c r="CU264">
        <v>93</v>
      </c>
      <c r="CV264">
        <v>0.17</v>
      </c>
      <c r="CW264">
        <v>48</v>
      </c>
      <c r="CX264" t="s">
        <v>4059</v>
      </c>
    </row>
    <row r="265" spans="1:102" x14ac:dyDescent="0.3">
      <c r="A265" t="str">
        <f>HYPERLINK("https://webapp.icbf.com/v2/app/bull-search/view/1354000635","FR4197")</f>
        <v>FR4197</v>
      </c>
      <c r="B265" t="s">
        <v>6174</v>
      </c>
      <c r="C265" t="s">
        <v>6175</v>
      </c>
      <c r="D265" s="1">
        <v>42402</v>
      </c>
      <c r="E265" t="s">
        <v>92</v>
      </c>
      <c r="F265">
        <v>81</v>
      </c>
      <c r="G265" t="s">
        <v>435</v>
      </c>
      <c r="H265">
        <v>211.51</v>
      </c>
      <c r="I265">
        <v>75</v>
      </c>
      <c r="J265">
        <v>47.39</v>
      </c>
      <c r="K265">
        <v>90</v>
      </c>
      <c r="L265">
        <v>112.06</v>
      </c>
      <c r="M265">
        <v>66</v>
      </c>
      <c r="N265">
        <v>53.79</v>
      </c>
      <c r="O265">
        <v>88</v>
      </c>
      <c r="P265">
        <v>-18.95</v>
      </c>
      <c r="Q265">
        <v>74</v>
      </c>
      <c r="R265">
        <v>11.24</v>
      </c>
      <c r="S265">
        <v>65</v>
      </c>
      <c r="T265">
        <v>7.98</v>
      </c>
      <c r="U265">
        <v>53</v>
      </c>
      <c r="V265">
        <v>-2</v>
      </c>
      <c r="W265">
        <v>58</v>
      </c>
      <c r="X265" t="s">
        <v>94</v>
      </c>
      <c r="Y265" t="s">
        <v>2255</v>
      </c>
      <c r="Z265" t="s">
        <v>96</v>
      </c>
      <c r="AA265" t="s">
        <v>2157</v>
      </c>
      <c r="AB265" t="s">
        <v>6176</v>
      </c>
      <c r="AC265">
        <v>0</v>
      </c>
      <c r="AD265">
        <v>0</v>
      </c>
      <c r="AE265">
        <v>90</v>
      </c>
      <c r="AF265">
        <v>-128.99</v>
      </c>
      <c r="AG265">
        <v>1.43</v>
      </c>
      <c r="AH265">
        <v>5.58</v>
      </c>
      <c r="AI265">
        <v>0.11</v>
      </c>
      <c r="AJ265">
        <v>0.18</v>
      </c>
      <c r="AK265">
        <v>66</v>
      </c>
      <c r="AL265">
        <v>0</v>
      </c>
      <c r="AM265">
        <v>0</v>
      </c>
      <c r="AN265">
        <v>-5.0999999999999996</v>
      </c>
      <c r="AO265">
        <v>3.85</v>
      </c>
      <c r="AP265">
        <v>833</v>
      </c>
      <c r="AQ265">
        <v>1</v>
      </c>
      <c r="AR265">
        <v>3.73</v>
      </c>
      <c r="AS265">
        <v>92</v>
      </c>
      <c r="AT265">
        <v>1.69</v>
      </c>
      <c r="AU265">
        <v>94</v>
      </c>
      <c r="AV265">
        <v>-4.25</v>
      </c>
      <c r="AW265">
        <v>99</v>
      </c>
      <c r="AX265">
        <v>-0.24</v>
      </c>
      <c r="AY265">
        <v>92</v>
      </c>
      <c r="AZ265">
        <v>6.45</v>
      </c>
      <c r="BA265">
        <v>46</v>
      </c>
      <c r="BB265">
        <v>4.79</v>
      </c>
      <c r="BC265">
        <v>46</v>
      </c>
      <c r="BD265">
        <v>-0.02</v>
      </c>
      <c r="BE265">
        <v>-0.05</v>
      </c>
      <c r="BF265">
        <v>-0.13</v>
      </c>
      <c r="BG265">
        <v>74</v>
      </c>
      <c r="BH265">
        <v>0.08</v>
      </c>
      <c r="BI265">
        <v>15.7</v>
      </c>
      <c r="BJ265">
        <v>0</v>
      </c>
      <c r="BK265">
        <v>0</v>
      </c>
      <c r="BL265">
        <v>-0.81</v>
      </c>
      <c r="BM265">
        <v>-0.16</v>
      </c>
      <c r="BN265">
        <v>-2.23</v>
      </c>
      <c r="BO265">
        <v>-2.29</v>
      </c>
      <c r="BP265">
        <v>0.62</v>
      </c>
      <c r="BQ265">
        <v>-1.25</v>
      </c>
      <c r="BR265">
        <v>-1.84</v>
      </c>
      <c r="BS265">
        <v>-1.3</v>
      </c>
      <c r="BT265">
        <v>0.97</v>
      </c>
      <c r="BU265">
        <v>-1.17</v>
      </c>
      <c r="BV265">
        <v>-2.4300000000000002</v>
      </c>
      <c r="BW265">
        <v>-2.21</v>
      </c>
      <c r="BX265">
        <v>-0.32</v>
      </c>
      <c r="BY265">
        <v>-2.67</v>
      </c>
      <c r="BZ265">
        <v>-2.08</v>
      </c>
      <c r="CA265">
        <v>-1.48</v>
      </c>
      <c r="CB265">
        <v>-1.73</v>
      </c>
      <c r="CC265">
        <v>-0.69</v>
      </c>
      <c r="CD265">
        <v>2.0099999999999998</v>
      </c>
      <c r="CE265">
        <v>-1.77</v>
      </c>
      <c r="CF265">
        <v>-0.74</v>
      </c>
      <c r="CG265">
        <v>0</v>
      </c>
      <c r="CH265">
        <v>-1.02</v>
      </c>
      <c r="CI265">
        <v>0</v>
      </c>
      <c r="CJ265">
        <v>-11.1</v>
      </c>
      <c r="CK265">
        <v>79</v>
      </c>
      <c r="CL265">
        <v>-0.53</v>
      </c>
      <c r="CM265">
        <v>71</v>
      </c>
      <c r="CN265">
        <v>-0.24</v>
      </c>
      <c r="CO265">
        <v>69</v>
      </c>
      <c r="CP265">
        <v>-6.5</v>
      </c>
      <c r="CQ265">
        <v>56</v>
      </c>
      <c r="CR265">
        <v>0</v>
      </c>
      <c r="CS265">
        <v>0</v>
      </c>
      <c r="CT265">
        <v>3</v>
      </c>
      <c r="CU265">
        <v>53</v>
      </c>
      <c r="CV265">
        <v>-0.06</v>
      </c>
      <c r="CW265">
        <v>43</v>
      </c>
      <c r="CX265" t="s">
        <v>6177</v>
      </c>
    </row>
    <row r="266" spans="1:102" x14ac:dyDescent="0.3">
      <c r="A266" t="str">
        <f>HYPERLINK("https://webapp.icbf.com/v2/app/bull-search/view/954583346","WWT")</f>
        <v>WWT</v>
      </c>
      <c r="B266" t="s">
        <v>7629</v>
      </c>
      <c r="C266" t="s">
        <v>7630</v>
      </c>
      <c r="D266" s="1">
        <v>40974</v>
      </c>
      <c r="E266" t="s">
        <v>92</v>
      </c>
      <c r="F266">
        <v>88</v>
      </c>
      <c r="G266" t="s">
        <v>93</v>
      </c>
      <c r="H266">
        <v>211.24</v>
      </c>
      <c r="I266">
        <v>94</v>
      </c>
      <c r="J266">
        <v>98.57</v>
      </c>
      <c r="K266">
        <v>99</v>
      </c>
      <c r="L266">
        <v>72.650000000000006</v>
      </c>
      <c r="M266">
        <v>90</v>
      </c>
      <c r="N266">
        <v>41.71</v>
      </c>
      <c r="O266">
        <v>97</v>
      </c>
      <c r="P266">
        <v>-8.82</v>
      </c>
      <c r="Q266">
        <v>99</v>
      </c>
      <c r="R266">
        <v>-5.65</v>
      </c>
      <c r="S266">
        <v>92</v>
      </c>
      <c r="T266">
        <v>6.43</v>
      </c>
      <c r="U266">
        <v>95</v>
      </c>
      <c r="V266">
        <v>6.35</v>
      </c>
      <c r="W266">
        <v>80</v>
      </c>
      <c r="X266" t="s">
        <v>94</v>
      </c>
      <c r="Y266" t="s">
        <v>1976</v>
      </c>
      <c r="Z266" t="s">
        <v>96</v>
      </c>
      <c r="AA266" t="s">
        <v>7631</v>
      </c>
      <c r="AB266" t="s">
        <v>7632</v>
      </c>
      <c r="AC266">
        <v>1149</v>
      </c>
      <c r="AD266">
        <v>457</v>
      </c>
      <c r="AE266">
        <v>99</v>
      </c>
      <c r="AF266">
        <v>-1.35</v>
      </c>
      <c r="AG266">
        <v>23.3</v>
      </c>
      <c r="AH266">
        <v>8.5</v>
      </c>
      <c r="AI266">
        <v>0.41</v>
      </c>
      <c r="AJ266">
        <v>0.15</v>
      </c>
      <c r="AK266">
        <v>90</v>
      </c>
      <c r="AL266">
        <v>1172</v>
      </c>
      <c r="AM266">
        <v>522</v>
      </c>
      <c r="AN266">
        <v>-3.45</v>
      </c>
      <c r="AO266">
        <v>2.35</v>
      </c>
      <c r="AP266">
        <v>6599</v>
      </c>
      <c r="AQ266">
        <v>22</v>
      </c>
      <c r="AR266">
        <v>5.09</v>
      </c>
      <c r="AS266">
        <v>99</v>
      </c>
      <c r="AT266">
        <v>1.83</v>
      </c>
      <c r="AU266">
        <v>99</v>
      </c>
      <c r="AV266">
        <v>-2.71</v>
      </c>
      <c r="AW266">
        <v>99</v>
      </c>
      <c r="AX266">
        <v>-0.56999999999999995</v>
      </c>
      <c r="AY266">
        <v>99</v>
      </c>
      <c r="AZ266">
        <v>5.62</v>
      </c>
      <c r="BA266">
        <v>93</v>
      </c>
      <c r="BB266">
        <v>4.5199999999999996</v>
      </c>
      <c r="BC266">
        <v>88</v>
      </c>
      <c r="BD266">
        <v>0</v>
      </c>
      <c r="BE266">
        <v>0</v>
      </c>
      <c r="BF266">
        <v>0.13</v>
      </c>
      <c r="BG266">
        <v>98</v>
      </c>
      <c r="BH266">
        <v>0.03</v>
      </c>
      <c r="BI266">
        <v>-17.010000000000002</v>
      </c>
      <c r="BJ266">
        <v>28</v>
      </c>
      <c r="BK266">
        <v>10</v>
      </c>
      <c r="BL266">
        <v>-1.82</v>
      </c>
      <c r="BM266">
        <v>0.45</v>
      </c>
      <c r="BN266">
        <v>-1.57</v>
      </c>
      <c r="BO266">
        <v>-1.64</v>
      </c>
      <c r="BP266">
        <v>-0.97</v>
      </c>
      <c r="BQ266">
        <v>0.04</v>
      </c>
      <c r="BR266">
        <v>-1.34</v>
      </c>
      <c r="BS266">
        <v>-1.18</v>
      </c>
      <c r="BT266">
        <v>-0.69</v>
      </c>
      <c r="BU266">
        <v>0.2</v>
      </c>
      <c r="BV266">
        <v>-0.77</v>
      </c>
      <c r="BW266">
        <v>-1.36</v>
      </c>
      <c r="BX266">
        <v>-0.69</v>
      </c>
      <c r="BY266">
        <v>0.01</v>
      </c>
      <c r="BZ266">
        <v>-2.42</v>
      </c>
      <c r="CA266">
        <v>-1.41</v>
      </c>
      <c r="CB266">
        <v>-1.22</v>
      </c>
      <c r="CC266">
        <v>-1.1599999999999999</v>
      </c>
      <c r="CD266">
        <v>1.07</v>
      </c>
      <c r="CE266">
        <v>-1.26</v>
      </c>
      <c r="CF266">
        <v>-0.93</v>
      </c>
      <c r="CG266">
        <v>0</v>
      </c>
      <c r="CH266">
        <v>-0.24</v>
      </c>
      <c r="CI266">
        <v>0</v>
      </c>
      <c r="CJ266">
        <v>-6.5</v>
      </c>
      <c r="CK266">
        <v>99</v>
      </c>
      <c r="CL266">
        <v>-0.18</v>
      </c>
      <c r="CM266">
        <v>99</v>
      </c>
      <c r="CN266">
        <v>-0.23</v>
      </c>
      <c r="CO266">
        <v>99</v>
      </c>
      <c r="CP266">
        <v>-4.5999999999999996</v>
      </c>
      <c r="CQ266">
        <v>95</v>
      </c>
      <c r="CR266">
        <v>0</v>
      </c>
      <c r="CS266">
        <v>0</v>
      </c>
      <c r="CT266">
        <v>5.0999999999999996</v>
      </c>
      <c r="CU266">
        <v>95</v>
      </c>
      <c r="CV266">
        <v>-0.26</v>
      </c>
      <c r="CW266">
        <v>47</v>
      </c>
      <c r="CX266" t="s">
        <v>4532</v>
      </c>
    </row>
    <row r="267" spans="1:102" x14ac:dyDescent="0.3">
      <c r="A267" t="str">
        <f>HYPERLINK("https://webapp.icbf.com/v2/app/bull-search/view/1035825305","YBF")</f>
        <v>YBF</v>
      </c>
      <c r="B267" t="s">
        <v>5730</v>
      </c>
      <c r="C267" t="s">
        <v>5731</v>
      </c>
      <c r="D267" s="1">
        <v>41297</v>
      </c>
      <c r="E267" t="s">
        <v>92</v>
      </c>
      <c r="F267">
        <v>91</v>
      </c>
      <c r="G267" t="s">
        <v>93</v>
      </c>
      <c r="H267">
        <v>211.08</v>
      </c>
      <c r="I267">
        <v>78</v>
      </c>
      <c r="J267">
        <v>40.11</v>
      </c>
      <c r="K267">
        <v>92</v>
      </c>
      <c r="L267">
        <v>114.81</v>
      </c>
      <c r="M267">
        <v>71</v>
      </c>
      <c r="N267">
        <v>46.62</v>
      </c>
      <c r="O267">
        <v>72</v>
      </c>
      <c r="P267">
        <v>-3.44</v>
      </c>
      <c r="Q267">
        <v>76</v>
      </c>
      <c r="R267">
        <v>9.7899999999999991</v>
      </c>
      <c r="S267">
        <v>70</v>
      </c>
      <c r="T267">
        <v>-5.49</v>
      </c>
      <c r="U267">
        <v>73</v>
      </c>
      <c r="V267">
        <v>8.68</v>
      </c>
      <c r="W267">
        <v>65</v>
      </c>
      <c r="X267" t="s">
        <v>251</v>
      </c>
      <c r="Y267" t="s">
        <v>389</v>
      </c>
      <c r="Z267" t="s">
        <v>96</v>
      </c>
      <c r="AA267" t="s">
        <v>3085</v>
      </c>
      <c r="AB267" t="s">
        <v>5732</v>
      </c>
      <c r="AC267">
        <v>16</v>
      </c>
      <c r="AD267">
        <v>6</v>
      </c>
      <c r="AE267">
        <v>92</v>
      </c>
      <c r="AF267">
        <v>179.68</v>
      </c>
      <c r="AG267">
        <v>8.91</v>
      </c>
      <c r="AH267">
        <v>6.42</v>
      </c>
      <c r="AI267">
        <v>0.03</v>
      </c>
      <c r="AJ267">
        <v>0.01</v>
      </c>
      <c r="AK267">
        <v>71</v>
      </c>
      <c r="AL267">
        <v>13</v>
      </c>
      <c r="AM267">
        <v>5</v>
      </c>
      <c r="AN267">
        <v>-6.71</v>
      </c>
      <c r="AO267">
        <v>2.44</v>
      </c>
      <c r="AP267">
        <v>32</v>
      </c>
      <c r="AQ267">
        <v>0</v>
      </c>
      <c r="AR267">
        <v>3.46</v>
      </c>
      <c r="AS267">
        <v>62</v>
      </c>
      <c r="AT267">
        <v>1.93</v>
      </c>
      <c r="AU267">
        <v>73</v>
      </c>
      <c r="AV267">
        <v>-3.63</v>
      </c>
      <c r="AW267">
        <v>86</v>
      </c>
      <c r="AX267">
        <v>-0.84</v>
      </c>
      <c r="AY267">
        <v>60</v>
      </c>
      <c r="AZ267">
        <v>7.07</v>
      </c>
      <c r="BA267">
        <v>53</v>
      </c>
      <c r="BB267">
        <v>5.19</v>
      </c>
      <c r="BC267">
        <v>50</v>
      </c>
      <c r="BD267">
        <v>-0.03</v>
      </c>
      <c r="BE267">
        <v>-0.05</v>
      </c>
      <c r="BF267">
        <v>-0.08</v>
      </c>
      <c r="BG267">
        <v>79</v>
      </c>
      <c r="BH267">
        <v>0.11</v>
      </c>
      <c r="BI267">
        <v>-15.27</v>
      </c>
      <c r="BJ267">
        <v>0</v>
      </c>
      <c r="BK267">
        <v>0</v>
      </c>
      <c r="BL267">
        <v>-0.17</v>
      </c>
      <c r="BM267">
        <v>2.41</v>
      </c>
      <c r="BN267">
        <v>1.26</v>
      </c>
      <c r="BO267">
        <v>-0.3</v>
      </c>
      <c r="BP267">
        <v>2.59</v>
      </c>
      <c r="BQ267">
        <v>-0.17</v>
      </c>
      <c r="BR267">
        <v>1.18</v>
      </c>
      <c r="BS267">
        <v>-1.28</v>
      </c>
      <c r="BT267">
        <v>-1.1299999999999999</v>
      </c>
      <c r="BU267">
        <v>-0.09</v>
      </c>
      <c r="BV267">
        <v>-0.66</v>
      </c>
      <c r="BW267">
        <v>0.12</v>
      </c>
      <c r="BX267">
        <v>-0.73</v>
      </c>
      <c r="BY267">
        <v>0.86</v>
      </c>
      <c r="BZ267">
        <v>-1.55</v>
      </c>
      <c r="CA267">
        <v>-0.59</v>
      </c>
      <c r="CB267">
        <v>-0.65</v>
      </c>
      <c r="CC267">
        <v>-1.1599999999999999</v>
      </c>
      <c r="CD267">
        <v>1.57</v>
      </c>
      <c r="CE267">
        <v>-0.53</v>
      </c>
      <c r="CF267">
        <v>0.45</v>
      </c>
      <c r="CG267">
        <v>0</v>
      </c>
      <c r="CH267">
        <v>-1.1000000000000001</v>
      </c>
      <c r="CI267">
        <v>0</v>
      </c>
      <c r="CJ267">
        <v>1.3</v>
      </c>
      <c r="CK267">
        <v>79</v>
      </c>
      <c r="CL267">
        <v>-0.55000000000000004</v>
      </c>
      <c r="CM267">
        <v>75</v>
      </c>
      <c r="CN267">
        <v>0.01</v>
      </c>
      <c r="CO267">
        <v>73</v>
      </c>
      <c r="CP267">
        <v>3.7</v>
      </c>
      <c r="CQ267">
        <v>66</v>
      </c>
      <c r="CR267">
        <v>0</v>
      </c>
      <c r="CS267">
        <v>0</v>
      </c>
      <c r="CT267">
        <v>21.2</v>
      </c>
      <c r="CU267">
        <v>73</v>
      </c>
      <c r="CV267">
        <v>0.12</v>
      </c>
      <c r="CW267">
        <v>42</v>
      </c>
      <c r="CX267" t="s">
        <v>1165</v>
      </c>
    </row>
    <row r="268" spans="1:102" x14ac:dyDescent="0.3">
      <c r="A268" t="str">
        <f>HYPERLINK("https://webapp.icbf.com/v2/app/bull-search/view/1255093761","FR2394")</f>
        <v>FR2394</v>
      </c>
      <c r="B268" t="s">
        <v>7664</v>
      </c>
      <c r="C268" t="s">
        <v>7665</v>
      </c>
      <c r="D268" s="1">
        <v>42063</v>
      </c>
      <c r="E268" t="s">
        <v>92</v>
      </c>
      <c r="F268">
        <v>75</v>
      </c>
      <c r="G268" t="s">
        <v>93</v>
      </c>
      <c r="H268">
        <v>210.77</v>
      </c>
      <c r="I268">
        <v>79</v>
      </c>
      <c r="J268">
        <v>52.79</v>
      </c>
      <c r="K268">
        <v>93</v>
      </c>
      <c r="L268">
        <v>132.53</v>
      </c>
      <c r="M268">
        <v>69</v>
      </c>
      <c r="N268">
        <v>29.04</v>
      </c>
      <c r="O268">
        <v>86</v>
      </c>
      <c r="P268">
        <v>-10.18</v>
      </c>
      <c r="Q268">
        <v>89</v>
      </c>
      <c r="R268">
        <v>12.15</v>
      </c>
      <c r="S268">
        <v>69</v>
      </c>
      <c r="T268">
        <v>3.69</v>
      </c>
      <c r="U268">
        <v>58</v>
      </c>
      <c r="V268">
        <v>-9.25</v>
      </c>
      <c r="W268">
        <v>60</v>
      </c>
      <c r="X268" t="s">
        <v>94</v>
      </c>
      <c r="Y268" t="s">
        <v>436</v>
      </c>
      <c r="Z268" t="s">
        <v>96</v>
      </c>
      <c r="AA268" t="s">
        <v>2157</v>
      </c>
      <c r="AB268" t="s">
        <v>7666</v>
      </c>
      <c r="AC268">
        <v>56</v>
      </c>
      <c r="AD268">
        <v>27</v>
      </c>
      <c r="AE268">
        <v>93</v>
      </c>
      <c r="AF268">
        <v>-75.77</v>
      </c>
      <c r="AG268">
        <v>1.52</v>
      </c>
      <c r="AH268">
        <v>7.28</v>
      </c>
      <c r="AI268">
        <v>0.08</v>
      </c>
      <c r="AJ268">
        <v>0.17</v>
      </c>
      <c r="AK268">
        <v>69</v>
      </c>
      <c r="AL268">
        <v>0</v>
      </c>
      <c r="AM268">
        <v>0</v>
      </c>
      <c r="AN268">
        <v>-7.91</v>
      </c>
      <c r="AO268">
        <v>2.65</v>
      </c>
      <c r="AP268">
        <v>755</v>
      </c>
      <c r="AQ268">
        <v>8</v>
      </c>
      <c r="AR268">
        <v>4.87</v>
      </c>
      <c r="AS268">
        <v>71</v>
      </c>
      <c r="AT268">
        <v>2.4900000000000002</v>
      </c>
      <c r="AU268">
        <v>95</v>
      </c>
      <c r="AV268">
        <v>-1.94</v>
      </c>
      <c r="AW268">
        <v>99</v>
      </c>
      <c r="AX268">
        <v>-0.26</v>
      </c>
      <c r="AY268">
        <v>91</v>
      </c>
      <c r="AZ268">
        <v>6.37</v>
      </c>
      <c r="BA268">
        <v>58</v>
      </c>
      <c r="BB268">
        <v>4.7</v>
      </c>
      <c r="BC268">
        <v>43</v>
      </c>
      <c r="BD268">
        <v>-0.02</v>
      </c>
      <c r="BE268">
        <v>-0.04</v>
      </c>
      <c r="BF268">
        <v>-0.17</v>
      </c>
      <c r="BG268">
        <v>79</v>
      </c>
      <c r="BH268">
        <v>-0.04</v>
      </c>
      <c r="BI268">
        <v>25.22</v>
      </c>
      <c r="BJ268">
        <v>0</v>
      </c>
      <c r="BK268">
        <v>0</v>
      </c>
      <c r="BL268">
        <v>-1.33</v>
      </c>
      <c r="BM268">
        <v>1.01</v>
      </c>
      <c r="BN268">
        <v>-1.67</v>
      </c>
      <c r="BO268">
        <v>-2.13</v>
      </c>
      <c r="BP268">
        <v>2.5</v>
      </c>
      <c r="BQ268">
        <v>-2.77</v>
      </c>
      <c r="BR268">
        <v>-1.9</v>
      </c>
      <c r="BS268">
        <v>-0.63</v>
      </c>
      <c r="BT268">
        <v>0.51</v>
      </c>
      <c r="BU268">
        <v>-0.51</v>
      </c>
      <c r="BV268">
        <v>-2.39</v>
      </c>
      <c r="BW268">
        <v>-1.95</v>
      </c>
      <c r="BX268">
        <v>0.04</v>
      </c>
      <c r="BY268">
        <v>-3.09</v>
      </c>
      <c r="BZ268">
        <v>-1.79</v>
      </c>
      <c r="CA268">
        <v>-1.3</v>
      </c>
      <c r="CB268">
        <v>-1.68</v>
      </c>
      <c r="CC268">
        <v>-0.62</v>
      </c>
      <c r="CD268">
        <v>2.0299999999999998</v>
      </c>
      <c r="CE268">
        <v>-2</v>
      </c>
      <c r="CF268">
        <v>-2</v>
      </c>
      <c r="CG268">
        <v>0</v>
      </c>
      <c r="CH268">
        <v>-1.63</v>
      </c>
      <c r="CI268">
        <v>0</v>
      </c>
      <c r="CJ268">
        <v>-7.3</v>
      </c>
      <c r="CK268">
        <v>92</v>
      </c>
      <c r="CL268">
        <v>-0.52</v>
      </c>
      <c r="CM268">
        <v>90</v>
      </c>
      <c r="CN268">
        <v>-0.47</v>
      </c>
      <c r="CO268">
        <v>89</v>
      </c>
      <c r="CP268">
        <v>-1.6</v>
      </c>
      <c r="CQ268">
        <v>60</v>
      </c>
      <c r="CR268">
        <v>0</v>
      </c>
      <c r="CS268">
        <v>0</v>
      </c>
      <c r="CT268">
        <v>8.8000000000000007</v>
      </c>
      <c r="CU268">
        <v>58</v>
      </c>
      <c r="CV268">
        <v>-0.05</v>
      </c>
      <c r="CW268">
        <v>46</v>
      </c>
      <c r="CX268" t="s">
        <v>2235</v>
      </c>
    </row>
    <row r="269" spans="1:102" x14ac:dyDescent="0.3">
      <c r="A269" t="str">
        <f>HYPERLINK("https://webapp.icbf.com/v2/app/bull-search/view/394224700","SXL")</f>
        <v>SXL</v>
      </c>
      <c r="B269" t="s">
        <v>8142</v>
      </c>
      <c r="C269" t="s">
        <v>8143</v>
      </c>
      <c r="D269" s="1">
        <v>38393</v>
      </c>
      <c r="E269" t="s">
        <v>92</v>
      </c>
      <c r="F269">
        <v>75</v>
      </c>
      <c r="G269" t="s">
        <v>93</v>
      </c>
      <c r="H269">
        <v>210.65</v>
      </c>
      <c r="I269">
        <v>90</v>
      </c>
      <c r="J269">
        <v>22.68</v>
      </c>
      <c r="K269">
        <v>98</v>
      </c>
      <c r="L269">
        <v>117.37</v>
      </c>
      <c r="M269">
        <v>82</v>
      </c>
      <c r="N269">
        <v>50.92</v>
      </c>
      <c r="O269">
        <v>88</v>
      </c>
      <c r="P269">
        <v>-6.32</v>
      </c>
      <c r="Q269">
        <v>94</v>
      </c>
      <c r="R269">
        <v>7.8</v>
      </c>
      <c r="S269">
        <v>85</v>
      </c>
      <c r="T269">
        <v>13.97</v>
      </c>
      <c r="U269">
        <v>88</v>
      </c>
      <c r="V269">
        <v>4.2300000000000004</v>
      </c>
      <c r="W269">
        <v>86</v>
      </c>
      <c r="X269" t="s">
        <v>251</v>
      </c>
      <c r="Y269" t="s">
        <v>228</v>
      </c>
      <c r="Z269" t="s">
        <v>96</v>
      </c>
      <c r="AA269" t="s">
        <v>4532</v>
      </c>
      <c r="AB269" t="s">
        <v>8144</v>
      </c>
      <c r="AC269">
        <v>128</v>
      </c>
      <c r="AD269">
        <v>74</v>
      </c>
      <c r="AE269">
        <v>98</v>
      </c>
      <c r="AF269">
        <v>92.84</v>
      </c>
      <c r="AG269">
        <v>2.65</v>
      </c>
      <c r="AH269">
        <v>4.34</v>
      </c>
      <c r="AI269">
        <v>-0.02</v>
      </c>
      <c r="AJ269">
        <v>0.02</v>
      </c>
      <c r="AK269">
        <v>82</v>
      </c>
      <c r="AL269">
        <v>141</v>
      </c>
      <c r="AM269">
        <v>81</v>
      </c>
      <c r="AN269">
        <v>-4.8499999999999996</v>
      </c>
      <c r="AO269">
        <v>4.53</v>
      </c>
      <c r="AP269">
        <v>216</v>
      </c>
      <c r="AQ269">
        <v>2</v>
      </c>
      <c r="AR269">
        <v>3.74</v>
      </c>
      <c r="AS269">
        <v>76</v>
      </c>
      <c r="AT269">
        <v>1.83</v>
      </c>
      <c r="AU269">
        <v>89</v>
      </c>
      <c r="AV269">
        <v>-4.42</v>
      </c>
      <c r="AW269">
        <v>97</v>
      </c>
      <c r="AX269">
        <v>-1.1000000000000001</v>
      </c>
      <c r="AY269">
        <v>87</v>
      </c>
      <c r="AZ269">
        <v>7.13</v>
      </c>
      <c r="BA269">
        <v>71</v>
      </c>
      <c r="BB269">
        <v>5.68</v>
      </c>
      <c r="BC269">
        <v>74</v>
      </c>
      <c r="BD269">
        <v>-0.05</v>
      </c>
      <c r="BE269">
        <v>-0.04</v>
      </c>
      <c r="BF269">
        <v>-0.02</v>
      </c>
      <c r="BG269">
        <v>91</v>
      </c>
      <c r="BH269">
        <v>0.02</v>
      </c>
      <c r="BI269">
        <v>-11.34</v>
      </c>
      <c r="BJ269">
        <v>26</v>
      </c>
      <c r="BK269">
        <v>17</v>
      </c>
      <c r="BL269">
        <v>-0.17</v>
      </c>
      <c r="BM269">
        <v>-0.04</v>
      </c>
      <c r="BN269">
        <v>-1.59</v>
      </c>
      <c r="BO269">
        <v>-0.85</v>
      </c>
      <c r="BP269">
        <v>2.81</v>
      </c>
      <c r="BQ269">
        <v>-1.1499999999999999</v>
      </c>
      <c r="BR269">
        <v>1.21</v>
      </c>
      <c r="BS269">
        <v>-2.4500000000000002</v>
      </c>
      <c r="BT269">
        <v>-2.33</v>
      </c>
      <c r="BU269">
        <v>-0.18</v>
      </c>
      <c r="BV269">
        <v>-1.44</v>
      </c>
      <c r="BW269">
        <v>-0.61</v>
      </c>
      <c r="BX269">
        <v>0.39</v>
      </c>
      <c r="BY269">
        <v>-1.82</v>
      </c>
      <c r="BZ269">
        <v>-0.33</v>
      </c>
      <c r="CA269">
        <v>-1.88</v>
      </c>
      <c r="CB269">
        <v>-1.5</v>
      </c>
      <c r="CC269">
        <v>-2.09</v>
      </c>
      <c r="CD269">
        <v>0.3</v>
      </c>
      <c r="CE269">
        <v>-0.83</v>
      </c>
      <c r="CF269">
        <v>-0.36</v>
      </c>
      <c r="CG269">
        <v>0</v>
      </c>
      <c r="CH269">
        <v>-1.87</v>
      </c>
      <c r="CI269">
        <v>0</v>
      </c>
      <c r="CJ269">
        <v>-2.1</v>
      </c>
      <c r="CK269">
        <v>95</v>
      </c>
      <c r="CL269">
        <v>-0.68</v>
      </c>
      <c r="CM269">
        <v>94</v>
      </c>
      <c r="CN269">
        <v>-0.36</v>
      </c>
      <c r="CO269">
        <v>93</v>
      </c>
      <c r="CP269">
        <v>-4.0999999999999996</v>
      </c>
      <c r="CQ269">
        <v>91</v>
      </c>
      <c r="CR269">
        <v>0</v>
      </c>
      <c r="CS269">
        <v>0</v>
      </c>
      <c r="CT269">
        <v>-5.0999999999999996</v>
      </c>
      <c r="CU269">
        <v>88</v>
      </c>
      <c r="CV269">
        <v>0.26</v>
      </c>
      <c r="CW269">
        <v>46</v>
      </c>
      <c r="CX269" t="s">
        <v>1035</v>
      </c>
    </row>
    <row r="270" spans="1:102" x14ac:dyDescent="0.3">
      <c r="A270" t="str">
        <f>HYPERLINK("https://webapp.icbf.com/v2/app/bull-search/view/1255581654","FR2435")</f>
        <v>FR2435</v>
      </c>
      <c r="B270" t="s">
        <v>2241</v>
      </c>
      <c r="C270" t="s">
        <v>2242</v>
      </c>
      <c r="D270" s="1">
        <v>42058</v>
      </c>
      <c r="E270" t="s">
        <v>92</v>
      </c>
      <c r="F270">
        <v>78</v>
      </c>
      <c r="G270" t="s">
        <v>93</v>
      </c>
      <c r="H270">
        <v>210.48</v>
      </c>
      <c r="I270">
        <v>79</v>
      </c>
      <c r="J270">
        <v>90.2</v>
      </c>
      <c r="K270">
        <v>93</v>
      </c>
      <c r="L270">
        <v>97.46</v>
      </c>
      <c r="M270">
        <v>70</v>
      </c>
      <c r="N270">
        <v>29.96</v>
      </c>
      <c r="O270">
        <v>85</v>
      </c>
      <c r="P270">
        <v>-12.02</v>
      </c>
      <c r="Q270">
        <v>87</v>
      </c>
      <c r="R270">
        <v>4.26</v>
      </c>
      <c r="S270">
        <v>71</v>
      </c>
      <c r="T270">
        <v>4.0599999999999996</v>
      </c>
      <c r="U270">
        <v>57</v>
      </c>
      <c r="V270">
        <v>-3.44</v>
      </c>
      <c r="W270">
        <v>68</v>
      </c>
      <c r="X270" t="s">
        <v>276</v>
      </c>
      <c r="Y270" t="s">
        <v>436</v>
      </c>
      <c r="Z270" t="s">
        <v>330</v>
      </c>
      <c r="AA270" t="s">
        <v>2243</v>
      </c>
      <c r="AB270" t="s">
        <v>2244</v>
      </c>
      <c r="AC270">
        <v>78</v>
      </c>
      <c r="AD270">
        <v>40</v>
      </c>
      <c r="AE270">
        <v>93</v>
      </c>
      <c r="AF270">
        <v>-224.86</v>
      </c>
      <c r="AG270">
        <v>13.93</v>
      </c>
      <c r="AH270">
        <v>6.97</v>
      </c>
      <c r="AI270">
        <v>0.41</v>
      </c>
      <c r="AJ270">
        <v>0.26</v>
      </c>
      <c r="AK270">
        <v>70</v>
      </c>
      <c r="AL270">
        <v>0</v>
      </c>
      <c r="AM270">
        <v>0</v>
      </c>
      <c r="AN270">
        <v>-4.7</v>
      </c>
      <c r="AO270">
        <v>3.08</v>
      </c>
      <c r="AP270">
        <v>563</v>
      </c>
      <c r="AQ270">
        <v>2</v>
      </c>
      <c r="AR270">
        <v>6.69</v>
      </c>
      <c r="AS270">
        <v>75</v>
      </c>
      <c r="AT270">
        <v>2.94</v>
      </c>
      <c r="AU270">
        <v>93</v>
      </c>
      <c r="AV270">
        <v>-2.94</v>
      </c>
      <c r="AW270">
        <v>98</v>
      </c>
      <c r="AX270">
        <v>-0.1</v>
      </c>
      <c r="AY270">
        <v>89</v>
      </c>
      <c r="AZ270">
        <v>5.66</v>
      </c>
      <c r="BA270">
        <v>58</v>
      </c>
      <c r="BB270">
        <v>4.7300000000000004</v>
      </c>
      <c r="BC270">
        <v>41</v>
      </c>
      <c r="BD270">
        <v>-0.03</v>
      </c>
      <c r="BE270">
        <v>-0.02</v>
      </c>
      <c r="BF270">
        <v>-0.01</v>
      </c>
      <c r="BG270">
        <v>83</v>
      </c>
      <c r="BH270">
        <v>-0.22</v>
      </c>
      <c r="BI270">
        <v>-14.36</v>
      </c>
      <c r="BJ270">
        <v>0</v>
      </c>
      <c r="BK270">
        <v>0</v>
      </c>
      <c r="BL270">
        <v>-0.95</v>
      </c>
      <c r="BM270">
        <v>0.55000000000000004</v>
      </c>
      <c r="BN270">
        <v>-1.05</v>
      </c>
      <c r="BO270">
        <v>-1.1599999999999999</v>
      </c>
      <c r="BP270">
        <v>-0.39</v>
      </c>
      <c r="BQ270">
        <v>0.05</v>
      </c>
      <c r="BR270">
        <v>-0.31</v>
      </c>
      <c r="BS270">
        <v>0.63</v>
      </c>
      <c r="BT270">
        <v>0.41</v>
      </c>
      <c r="BU270">
        <v>0.75</v>
      </c>
      <c r="BV270">
        <v>0.7</v>
      </c>
      <c r="BW270">
        <v>0.59</v>
      </c>
      <c r="BX270">
        <v>-0.37</v>
      </c>
      <c r="BY270">
        <v>0.39</v>
      </c>
      <c r="BZ270">
        <v>-1.7</v>
      </c>
      <c r="CA270">
        <v>0.5</v>
      </c>
      <c r="CB270">
        <v>0.39</v>
      </c>
      <c r="CC270">
        <v>0.31</v>
      </c>
      <c r="CD270">
        <v>0.89</v>
      </c>
      <c r="CE270">
        <v>-1.18</v>
      </c>
      <c r="CF270">
        <v>-0.96</v>
      </c>
      <c r="CG270">
        <v>0</v>
      </c>
      <c r="CH270">
        <v>0.99</v>
      </c>
      <c r="CI270">
        <v>0</v>
      </c>
      <c r="CJ270">
        <v>-6.8</v>
      </c>
      <c r="CK270">
        <v>90</v>
      </c>
      <c r="CL270">
        <v>-0.6</v>
      </c>
      <c r="CM270">
        <v>88</v>
      </c>
      <c r="CN270">
        <v>-0.37</v>
      </c>
      <c r="CO270">
        <v>86</v>
      </c>
      <c r="CP270">
        <v>-5.2</v>
      </c>
      <c r="CQ270">
        <v>60</v>
      </c>
      <c r="CR270">
        <v>0</v>
      </c>
      <c r="CS270">
        <v>0</v>
      </c>
      <c r="CT270">
        <v>8.3000000000000007</v>
      </c>
      <c r="CU270">
        <v>57</v>
      </c>
      <c r="CV270">
        <v>-0.1</v>
      </c>
      <c r="CW270">
        <v>44</v>
      </c>
      <c r="CX270" t="s">
        <v>2245</v>
      </c>
    </row>
    <row r="271" spans="1:102" x14ac:dyDescent="0.3">
      <c r="A271" t="str">
        <f>HYPERLINK("https://webapp.icbf.com/v2/app/bull-search/view/1137071512","FR2032")</f>
        <v>FR2032</v>
      </c>
      <c r="B271" t="s">
        <v>14207</v>
      </c>
      <c r="C271" t="s">
        <v>6386</v>
      </c>
      <c r="D271" s="1">
        <v>41672</v>
      </c>
      <c r="E271" t="s">
        <v>92</v>
      </c>
      <c r="F271">
        <v>88</v>
      </c>
      <c r="G271" t="s">
        <v>93</v>
      </c>
      <c r="H271">
        <v>210.31</v>
      </c>
      <c r="I271">
        <v>92</v>
      </c>
      <c r="J271">
        <v>97.38</v>
      </c>
      <c r="K271">
        <v>99</v>
      </c>
      <c r="L271">
        <v>78.28</v>
      </c>
      <c r="M271">
        <v>84</v>
      </c>
      <c r="N271">
        <v>49.83</v>
      </c>
      <c r="O271">
        <v>95</v>
      </c>
      <c r="P271">
        <v>-13.82</v>
      </c>
      <c r="Q271">
        <v>98</v>
      </c>
      <c r="R271">
        <v>0.77</v>
      </c>
      <c r="S271">
        <v>88</v>
      </c>
      <c r="T271">
        <v>0.95</v>
      </c>
      <c r="U271">
        <v>93</v>
      </c>
      <c r="V271">
        <v>-3.08</v>
      </c>
      <c r="W271">
        <v>78</v>
      </c>
      <c r="X271" t="s">
        <v>94</v>
      </c>
      <c r="Y271" t="s">
        <v>416</v>
      </c>
      <c r="Z271" t="s">
        <v>96</v>
      </c>
      <c r="AA271" t="s">
        <v>7865</v>
      </c>
      <c r="AB271" t="s">
        <v>14208</v>
      </c>
      <c r="AC271">
        <v>1998</v>
      </c>
      <c r="AD271">
        <v>783</v>
      </c>
      <c r="AE271">
        <v>99</v>
      </c>
      <c r="AF271">
        <v>-69.459999999999994</v>
      </c>
      <c r="AG271">
        <v>21.17</v>
      </c>
      <c r="AH271">
        <v>8.01</v>
      </c>
      <c r="AI271">
        <v>0.42</v>
      </c>
      <c r="AJ271">
        <v>0.18</v>
      </c>
      <c r="AK271">
        <v>84</v>
      </c>
      <c r="AL271">
        <v>415</v>
      </c>
      <c r="AM271">
        <v>148</v>
      </c>
      <c r="AN271">
        <v>-3.69</v>
      </c>
      <c r="AO271">
        <v>2.56</v>
      </c>
      <c r="AP271">
        <v>6907</v>
      </c>
      <c r="AQ271">
        <v>34</v>
      </c>
      <c r="AR271">
        <v>6.18</v>
      </c>
      <c r="AS271">
        <v>96</v>
      </c>
      <c r="AT271">
        <v>2.74</v>
      </c>
      <c r="AU271">
        <v>99</v>
      </c>
      <c r="AV271">
        <v>-5.45</v>
      </c>
      <c r="AW271">
        <v>99</v>
      </c>
      <c r="AX271">
        <v>0.05</v>
      </c>
      <c r="AY271">
        <v>99</v>
      </c>
      <c r="AZ271">
        <v>6.43</v>
      </c>
      <c r="BA271">
        <v>95</v>
      </c>
      <c r="BB271">
        <v>5</v>
      </c>
      <c r="BC271">
        <v>71</v>
      </c>
      <c r="BD271">
        <v>-0.01</v>
      </c>
      <c r="BE271">
        <v>0.01</v>
      </c>
      <c r="BF271">
        <v>-0.02</v>
      </c>
      <c r="BG271">
        <v>98</v>
      </c>
      <c r="BH271">
        <v>-0.05</v>
      </c>
      <c r="BI271">
        <v>4.1399999999999997</v>
      </c>
      <c r="BJ271">
        <v>10</v>
      </c>
      <c r="BK271">
        <v>8</v>
      </c>
      <c r="BL271">
        <v>0.36</v>
      </c>
      <c r="BM271">
        <v>0.42</v>
      </c>
      <c r="BN271">
        <v>-0.41</v>
      </c>
      <c r="BO271">
        <v>-0.31</v>
      </c>
      <c r="BP271">
        <v>2.2999999999999998</v>
      </c>
      <c r="BQ271">
        <v>-0.24</v>
      </c>
      <c r="BR271">
        <v>-0.85</v>
      </c>
      <c r="BS271">
        <v>-0.01</v>
      </c>
      <c r="BT271">
        <v>-0.74</v>
      </c>
      <c r="BU271">
        <v>-0.21</v>
      </c>
      <c r="BV271">
        <v>-0.55000000000000004</v>
      </c>
      <c r="BW271">
        <v>0.27</v>
      </c>
      <c r="BX271">
        <v>0.28000000000000003</v>
      </c>
      <c r="BY271">
        <v>-1.36</v>
      </c>
      <c r="BZ271">
        <v>-1.48</v>
      </c>
      <c r="CA271">
        <v>7.0000000000000007E-2</v>
      </c>
      <c r="CB271">
        <v>0</v>
      </c>
      <c r="CC271">
        <v>-0.34</v>
      </c>
      <c r="CD271">
        <v>0.85</v>
      </c>
      <c r="CE271">
        <v>0.02</v>
      </c>
      <c r="CF271">
        <v>0.39</v>
      </c>
      <c r="CG271">
        <v>0</v>
      </c>
      <c r="CH271">
        <v>-0.67</v>
      </c>
      <c r="CI271">
        <v>0</v>
      </c>
      <c r="CJ271">
        <v>-3.5</v>
      </c>
      <c r="CK271">
        <v>99</v>
      </c>
      <c r="CL271">
        <v>-0.92</v>
      </c>
      <c r="CM271">
        <v>99</v>
      </c>
      <c r="CN271">
        <v>0.02</v>
      </c>
      <c r="CO271">
        <v>99</v>
      </c>
      <c r="CP271">
        <v>4.9000000000000004</v>
      </c>
      <c r="CQ271">
        <v>88</v>
      </c>
      <c r="CR271">
        <v>0</v>
      </c>
      <c r="CS271">
        <v>0</v>
      </c>
      <c r="CT271">
        <v>12.5</v>
      </c>
      <c r="CU271">
        <v>93</v>
      </c>
      <c r="CV271">
        <v>0.3</v>
      </c>
      <c r="CW271">
        <v>47</v>
      </c>
      <c r="CX271" t="s">
        <v>3094</v>
      </c>
    </row>
    <row r="272" spans="1:102" x14ac:dyDescent="0.3">
      <c r="A272" t="str">
        <f>HYPERLINK("https://webapp.icbf.com/v2/app/bull-search/view/1125370479","FR4527")</f>
        <v>FR4527</v>
      </c>
      <c r="B272" t="s">
        <v>13869</v>
      </c>
      <c r="C272" t="s">
        <v>13870</v>
      </c>
      <c r="D272" s="1">
        <v>41157</v>
      </c>
      <c r="E272" t="s">
        <v>92</v>
      </c>
      <c r="F272">
        <v>56</v>
      </c>
      <c r="G272" t="s">
        <v>109</v>
      </c>
      <c r="H272">
        <v>210.2</v>
      </c>
      <c r="I272">
        <v>67</v>
      </c>
      <c r="J272">
        <v>71.22</v>
      </c>
      <c r="K272">
        <v>85</v>
      </c>
      <c r="L272">
        <v>75.22</v>
      </c>
      <c r="M272">
        <v>61</v>
      </c>
      <c r="N272">
        <v>61.71</v>
      </c>
      <c r="O272">
        <v>69</v>
      </c>
      <c r="P272">
        <v>-52.53</v>
      </c>
      <c r="Q272">
        <v>48</v>
      </c>
      <c r="R272">
        <v>-2.38</v>
      </c>
      <c r="S272">
        <v>63</v>
      </c>
      <c r="T272">
        <v>49.2</v>
      </c>
      <c r="U272">
        <v>45</v>
      </c>
      <c r="V272">
        <v>7.76</v>
      </c>
      <c r="W272">
        <v>51</v>
      </c>
      <c r="X272" t="s">
        <v>276</v>
      </c>
      <c r="Y272" t="s">
        <v>442</v>
      </c>
      <c r="Z272">
        <v>0</v>
      </c>
      <c r="AA272" t="s">
        <v>5622</v>
      </c>
      <c r="AB272" t="s">
        <v>13871</v>
      </c>
      <c r="AC272">
        <v>0</v>
      </c>
      <c r="AD272">
        <v>0</v>
      </c>
      <c r="AE272">
        <v>85</v>
      </c>
      <c r="AF272">
        <v>-52.67</v>
      </c>
      <c r="AG272">
        <v>14.01</v>
      </c>
      <c r="AH272">
        <v>6.35</v>
      </c>
      <c r="AI272">
        <v>0.28000000000000003</v>
      </c>
      <c r="AJ272">
        <v>0.15</v>
      </c>
      <c r="AK272">
        <v>61</v>
      </c>
      <c r="AL272">
        <v>0</v>
      </c>
      <c r="AM272">
        <v>0</v>
      </c>
      <c r="AN272">
        <v>-3.99</v>
      </c>
      <c r="AO272">
        <v>2.0099999999999998</v>
      </c>
      <c r="AP272">
        <v>51</v>
      </c>
      <c r="AQ272">
        <v>0</v>
      </c>
      <c r="AR272">
        <v>3.31</v>
      </c>
      <c r="AS272">
        <v>72</v>
      </c>
      <c r="AT272">
        <v>1.35</v>
      </c>
      <c r="AU272">
        <v>68</v>
      </c>
      <c r="AV272">
        <v>-5.17</v>
      </c>
      <c r="AW272">
        <v>84</v>
      </c>
      <c r="AX272">
        <v>-0.36</v>
      </c>
      <c r="AY272">
        <v>59</v>
      </c>
      <c r="AZ272">
        <v>6.78</v>
      </c>
      <c r="BA272">
        <v>39</v>
      </c>
      <c r="BB272">
        <v>5.0999999999999996</v>
      </c>
      <c r="BC272">
        <v>39</v>
      </c>
      <c r="BD272">
        <v>0.01</v>
      </c>
      <c r="BE272">
        <v>0.02</v>
      </c>
      <c r="BF272">
        <v>0</v>
      </c>
      <c r="BG272">
        <v>78</v>
      </c>
      <c r="BH272">
        <v>0.21</v>
      </c>
      <c r="BI272">
        <v>-0.75</v>
      </c>
      <c r="BJ272">
        <v>0</v>
      </c>
      <c r="BK272">
        <v>0</v>
      </c>
      <c r="BL272">
        <v>-3.18</v>
      </c>
      <c r="BM272">
        <v>0.08</v>
      </c>
      <c r="BN272">
        <v>-1.1299999999999999</v>
      </c>
      <c r="BO272">
        <v>0</v>
      </c>
      <c r="BP272">
        <v>-3.16</v>
      </c>
      <c r="BQ272">
        <v>-4.33</v>
      </c>
      <c r="BR272">
        <v>1.27</v>
      </c>
      <c r="BS272">
        <v>0</v>
      </c>
      <c r="BT272">
        <v>0</v>
      </c>
      <c r="BU272">
        <v>-1.23</v>
      </c>
      <c r="BV272">
        <v>-0.13</v>
      </c>
      <c r="BW272">
        <v>-1.08</v>
      </c>
      <c r="BX272">
        <v>0</v>
      </c>
      <c r="BY272">
        <v>-0.99</v>
      </c>
      <c r="BZ272">
        <v>0</v>
      </c>
      <c r="CA272">
        <v>-0.88</v>
      </c>
      <c r="CB272">
        <v>-0.63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-26.3</v>
      </c>
      <c r="CK272">
        <v>51</v>
      </c>
      <c r="CL272">
        <v>-1</v>
      </c>
      <c r="CM272">
        <v>44</v>
      </c>
      <c r="CN272">
        <v>0.03</v>
      </c>
      <c r="CO272">
        <v>44</v>
      </c>
      <c r="CP272">
        <v>-37.1</v>
      </c>
      <c r="CQ272">
        <v>46</v>
      </c>
      <c r="CR272">
        <v>0</v>
      </c>
      <c r="CS272">
        <v>0</v>
      </c>
      <c r="CT272">
        <v>-52.7</v>
      </c>
      <c r="CU272">
        <v>45</v>
      </c>
      <c r="CV272">
        <v>-0.17</v>
      </c>
      <c r="CW272">
        <v>34</v>
      </c>
      <c r="CX272" t="s">
        <v>13872</v>
      </c>
    </row>
    <row r="273" spans="1:102" x14ac:dyDescent="0.3">
      <c r="A273" t="str">
        <f>HYPERLINK("https://webapp.icbf.com/v2/app/bull-search/view/1150930482","AY4406")</f>
        <v>AY4406</v>
      </c>
      <c r="B273" t="s">
        <v>13721</v>
      </c>
      <c r="C273" t="s">
        <v>13722</v>
      </c>
      <c r="D273" s="1">
        <v>40801</v>
      </c>
      <c r="E273" t="s">
        <v>1061</v>
      </c>
      <c r="F273">
        <v>0</v>
      </c>
      <c r="G273" t="s">
        <v>109</v>
      </c>
      <c r="H273">
        <v>209.89</v>
      </c>
      <c r="I273">
        <v>60</v>
      </c>
      <c r="J273">
        <v>34.909999999999997</v>
      </c>
      <c r="K273">
        <v>78</v>
      </c>
      <c r="L273">
        <v>124.18</v>
      </c>
      <c r="M273">
        <v>65</v>
      </c>
      <c r="N273">
        <v>31.83</v>
      </c>
      <c r="O273">
        <v>56</v>
      </c>
      <c r="P273">
        <v>-15.46</v>
      </c>
      <c r="Q273">
        <v>32</v>
      </c>
      <c r="R273">
        <v>11.24</v>
      </c>
      <c r="S273">
        <v>32</v>
      </c>
      <c r="T273">
        <v>29.51</v>
      </c>
      <c r="U273">
        <v>32</v>
      </c>
      <c r="V273">
        <v>-6.32</v>
      </c>
      <c r="W273">
        <v>31</v>
      </c>
      <c r="X273" t="s">
        <v>94</v>
      </c>
      <c r="Y273" t="s">
        <v>1923</v>
      </c>
      <c r="Z273">
        <v>0</v>
      </c>
      <c r="AA273" t="s">
        <v>2061</v>
      </c>
      <c r="AB273" t="s">
        <v>144</v>
      </c>
      <c r="AC273">
        <v>0</v>
      </c>
      <c r="AD273">
        <v>0</v>
      </c>
      <c r="AE273">
        <v>78</v>
      </c>
      <c r="AF273">
        <v>68.760000000000005</v>
      </c>
      <c r="AG273">
        <v>6.64</v>
      </c>
      <c r="AH273">
        <v>4.6399999999999997</v>
      </c>
      <c r="AI273">
        <v>0.06</v>
      </c>
      <c r="AJ273">
        <v>0.04</v>
      </c>
      <c r="AK273">
        <v>65</v>
      </c>
      <c r="AL273">
        <v>0</v>
      </c>
      <c r="AM273">
        <v>0</v>
      </c>
      <c r="AN273">
        <v>-5.44</v>
      </c>
      <c r="AO273">
        <v>4.4800000000000004</v>
      </c>
      <c r="AP273">
        <v>19</v>
      </c>
      <c r="AQ273">
        <v>0</v>
      </c>
      <c r="AR273">
        <v>4.8499999999999996</v>
      </c>
      <c r="AS273">
        <v>33</v>
      </c>
      <c r="AT273">
        <v>2.4700000000000002</v>
      </c>
      <c r="AU273">
        <v>72</v>
      </c>
      <c r="AV273">
        <v>-3.04</v>
      </c>
      <c r="AW273">
        <v>70</v>
      </c>
      <c r="AX273">
        <v>-0.72</v>
      </c>
      <c r="AY273">
        <v>40</v>
      </c>
      <c r="AZ273">
        <v>7.28</v>
      </c>
      <c r="BA273">
        <v>19</v>
      </c>
      <c r="BB273">
        <v>5.83</v>
      </c>
      <c r="BC273">
        <v>20</v>
      </c>
      <c r="BD273">
        <v>-0.02</v>
      </c>
      <c r="BE273">
        <v>-0.05</v>
      </c>
      <c r="BF273">
        <v>-0.13</v>
      </c>
      <c r="BG273">
        <v>38</v>
      </c>
      <c r="BH273">
        <v>-0.15</v>
      </c>
      <c r="BI273">
        <v>3.04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-5.3</v>
      </c>
      <c r="CK273">
        <v>32</v>
      </c>
      <c r="CL273">
        <v>-0.8</v>
      </c>
      <c r="CM273">
        <v>32</v>
      </c>
      <c r="CN273">
        <v>-0.28000000000000003</v>
      </c>
      <c r="CO273">
        <v>32</v>
      </c>
      <c r="CP273">
        <v>-21.1</v>
      </c>
      <c r="CQ273">
        <v>32</v>
      </c>
      <c r="CR273">
        <v>0</v>
      </c>
      <c r="CS273">
        <v>0</v>
      </c>
      <c r="CT273">
        <v>-26.1</v>
      </c>
      <c r="CU273">
        <v>32</v>
      </c>
      <c r="CV273">
        <v>-0.02</v>
      </c>
      <c r="CW273">
        <v>31</v>
      </c>
      <c r="CX273" t="s">
        <v>13723</v>
      </c>
    </row>
    <row r="274" spans="1:102" x14ac:dyDescent="0.3">
      <c r="A274" t="str">
        <f>HYPERLINK("https://webapp.icbf.com/v2/app/bull-search/view/670874720","IGG")</f>
        <v>IGG</v>
      </c>
      <c r="B274" t="s">
        <v>12763</v>
      </c>
      <c r="C274" t="s">
        <v>12764</v>
      </c>
      <c r="D274" s="1">
        <v>39853</v>
      </c>
      <c r="E274" t="s">
        <v>92</v>
      </c>
      <c r="F274">
        <v>94</v>
      </c>
      <c r="G274" t="s">
        <v>93</v>
      </c>
      <c r="H274">
        <v>209.83</v>
      </c>
      <c r="I274">
        <v>92</v>
      </c>
      <c r="J274">
        <v>83.24</v>
      </c>
      <c r="K274">
        <v>99</v>
      </c>
      <c r="L274">
        <v>71.180000000000007</v>
      </c>
      <c r="M274">
        <v>86</v>
      </c>
      <c r="N274">
        <v>48.58</v>
      </c>
      <c r="O274">
        <v>94</v>
      </c>
      <c r="P274">
        <v>-12.27</v>
      </c>
      <c r="Q274">
        <v>97</v>
      </c>
      <c r="R274">
        <v>-0.39</v>
      </c>
      <c r="S274">
        <v>84</v>
      </c>
      <c r="T274">
        <v>13.09</v>
      </c>
      <c r="U274">
        <v>95</v>
      </c>
      <c r="V274">
        <v>6.4</v>
      </c>
      <c r="W274">
        <v>81</v>
      </c>
      <c r="X274" t="s">
        <v>94</v>
      </c>
      <c r="Y274" t="s">
        <v>1685</v>
      </c>
      <c r="Z274" t="s">
        <v>330</v>
      </c>
      <c r="AA274" t="s">
        <v>1086</v>
      </c>
      <c r="AB274" t="s">
        <v>12765</v>
      </c>
      <c r="AC274">
        <v>537</v>
      </c>
      <c r="AD274">
        <v>221</v>
      </c>
      <c r="AE274">
        <v>99</v>
      </c>
      <c r="AF274">
        <v>288.63</v>
      </c>
      <c r="AG274">
        <v>21.92</v>
      </c>
      <c r="AH274">
        <v>10.82</v>
      </c>
      <c r="AI274">
        <v>0.18</v>
      </c>
      <c r="AJ274">
        <v>0.02</v>
      </c>
      <c r="AK274">
        <v>86</v>
      </c>
      <c r="AL274">
        <v>570</v>
      </c>
      <c r="AM274">
        <v>247</v>
      </c>
      <c r="AN274">
        <v>-4.41</v>
      </c>
      <c r="AO274">
        <v>1.26</v>
      </c>
      <c r="AP274">
        <v>1081</v>
      </c>
      <c r="AQ274">
        <v>14</v>
      </c>
      <c r="AR274">
        <v>4.88</v>
      </c>
      <c r="AS274">
        <v>87</v>
      </c>
      <c r="AT274">
        <v>2.27</v>
      </c>
      <c r="AU274">
        <v>96</v>
      </c>
      <c r="AV274">
        <v>-4</v>
      </c>
      <c r="AW274">
        <v>99</v>
      </c>
      <c r="AX274">
        <v>0.05</v>
      </c>
      <c r="AY274">
        <v>95</v>
      </c>
      <c r="AZ274">
        <v>5.21</v>
      </c>
      <c r="BA274">
        <v>86</v>
      </c>
      <c r="BB274">
        <v>4.49</v>
      </c>
      <c r="BC274">
        <v>80</v>
      </c>
      <c r="BD274">
        <v>-0.03</v>
      </c>
      <c r="BE274">
        <v>0.01</v>
      </c>
      <c r="BF274">
        <v>0.04</v>
      </c>
      <c r="BG274">
        <v>96</v>
      </c>
      <c r="BH274">
        <v>0.08</v>
      </c>
      <c r="BI274">
        <v>-11.38</v>
      </c>
      <c r="BJ274">
        <v>30</v>
      </c>
      <c r="BK274">
        <v>14</v>
      </c>
      <c r="BL274">
        <v>-0.48</v>
      </c>
      <c r="BM274">
        <v>2.68</v>
      </c>
      <c r="BN274">
        <v>1.89</v>
      </c>
      <c r="BO274">
        <v>-0.38</v>
      </c>
      <c r="BP274">
        <v>0.55000000000000004</v>
      </c>
      <c r="BQ274">
        <v>0.39</v>
      </c>
      <c r="BR274">
        <v>-0.15</v>
      </c>
      <c r="BS274">
        <v>1.26</v>
      </c>
      <c r="BT274">
        <v>-0.23</v>
      </c>
      <c r="BU274">
        <v>-0.37</v>
      </c>
      <c r="BV274">
        <v>-0.82</v>
      </c>
      <c r="BW274">
        <v>-1.21</v>
      </c>
      <c r="BX274">
        <v>-0.98</v>
      </c>
      <c r="BY274">
        <v>-0.99</v>
      </c>
      <c r="BZ274">
        <v>0.39</v>
      </c>
      <c r="CA274">
        <v>-0.79</v>
      </c>
      <c r="CB274">
        <v>-1.1399999999999999</v>
      </c>
      <c r="CC274">
        <v>0.35</v>
      </c>
      <c r="CD274">
        <v>0.96</v>
      </c>
      <c r="CE274">
        <v>-0.06</v>
      </c>
      <c r="CF274">
        <v>0.5</v>
      </c>
      <c r="CG274">
        <v>0</v>
      </c>
      <c r="CH274">
        <v>-0.75</v>
      </c>
      <c r="CI274">
        <v>0</v>
      </c>
      <c r="CJ274">
        <v>-7</v>
      </c>
      <c r="CK274">
        <v>98</v>
      </c>
      <c r="CL274">
        <v>-0.75</v>
      </c>
      <c r="CM274">
        <v>98</v>
      </c>
      <c r="CN274">
        <v>-0.51</v>
      </c>
      <c r="CO274">
        <v>98</v>
      </c>
      <c r="CP274">
        <v>-5.6</v>
      </c>
      <c r="CQ274">
        <v>91</v>
      </c>
      <c r="CR274">
        <v>0</v>
      </c>
      <c r="CS274">
        <v>0</v>
      </c>
      <c r="CT274">
        <v>-3.9</v>
      </c>
      <c r="CU274">
        <v>95</v>
      </c>
      <c r="CV274">
        <v>0.01</v>
      </c>
      <c r="CW274">
        <v>46</v>
      </c>
      <c r="CX274" t="s">
        <v>4996</v>
      </c>
    </row>
    <row r="275" spans="1:102" x14ac:dyDescent="0.3">
      <c r="A275" t="str">
        <f>HYPERLINK("https://webapp.icbf.com/v2/app/bull-search/view/1361727809","FR4245")</f>
        <v>FR4245</v>
      </c>
      <c r="B275" t="s">
        <v>13828</v>
      </c>
      <c r="C275" t="s">
        <v>13829</v>
      </c>
      <c r="D275" s="1">
        <v>42425</v>
      </c>
      <c r="E275" t="s">
        <v>92</v>
      </c>
      <c r="F275">
        <v>69</v>
      </c>
      <c r="G275" t="s">
        <v>435</v>
      </c>
      <c r="H275">
        <v>209.78</v>
      </c>
      <c r="I275">
        <v>64</v>
      </c>
      <c r="J275">
        <v>83.63</v>
      </c>
      <c r="K275">
        <v>83</v>
      </c>
      <c r="L275">
        <v>129.12</v>
      </c>
      <c r="M275">
        <v>57</v>
      </c>
      <c r="N275">
        <v>10.199999999999999</v>
      </c>
      <c r="O275">
        <v>66</v>
      </c>
      <c r="P275">
        <v>-22.27</v>
      </c>
      <c r="Q275">
        <v>46</v>
      </c>
      <c r="R275">
        <v>5.42</v>
      </c>
      <c r="S275">
        <v>57</v>
      </c>
      <c r="T275">
        <v>2.5</v>
      </c>
      <c r="U275">
        <v>44</v>
      </c>
      <c r="V275">
        <v>1.18</v>
      </c>
      <c r="W275">
        <v>51</v>
      </c>
      <c r="X275" t="s">
        <v>276</v>
      </c>
      <c r="Y275" t="s">
        <v>2255</v>
      </c>
      <c r="Z275" t="s">
        <v>330</v>
      </c>
      <c r="AA275" t="s">
        <v>13616</v>
      </c>
      <c r="AB275" t="s">
        <v>13830</v>
      </c>
      <c r="AC275">
        <v>0</v>
      </c>
      <c r="AD275">
        <v>0</v>
      </c>
      <c r="AE275">
        <v>83</v>
      </c>
      <c r="AF275">
        <v>-53.47</v>
      </c>
      <c r="AG275">
        <v>8.18</v>
      </c>
      <c r="AH275">
        <v>10.51</v>
      </c>
      <c r="AI275">
        <v>0.18</v>
      </c>
      <c r="AJ275">
        <v>0.22</v>
      </c>
      <c r="AK275">
        <v>57</v>
      </c>
      <c r="AL275">
        <v>0</v>
      </c>
      <c r="AM275">
        <v>0</v>
      </c>
      <c r="AN275">
        <v>-8.3699999999999992</v>
      </c>
      <c r="AO275">
        <v>1.91</v>
      </c>
      <c r="AP275">
        <v>37</v>
      </c>
      <c r="AQ275">
        <v>0</v>
      </c>
      <c r="AR275">
        <v>6.68</v>
      </c>
      <c r="AS275">
        <v>52</v>
      </c>
      <c r="AT275">
        <v>2.88</v>
      </c>
      <c r="AU275">
        <v>69</v>
      </c>
      <c r="AV275">
        <v>-0.81</v>
      </c>
      <c r="AW275">
        <v>81</v>
      </c>
      <c r="AX275">
        <v>1.52</v>
      </c>
      <c r="AY275">
        <v>55</v>
      </c>
      <c r="AZ275">
        <v>6.11</v>
      </c>
      <c r="BA275">
        <v>38</v>
      </c>
      <c r="BB275">
        <v>4.42</v>
      </c>
      <c r="BC275">
        <v>36</v>
      </c>
      <c r="BD275">
        <v>-0.04</v>
      </c>
      <c r="BE275">
        <v>-0.02</v>
      </c>
      <c r="BF275">
        <v>-0.02</v>
      </c>
      <c r="BG275">
        <v>67</v>
      </c>
      <c r="BH275">
        <v>0.03</v>
      </c>
      <c r="BI275">
        <v>-0.35</v>
      </c>
      <c r="BJ275">
        <v>0</v>
      </c>
      <c r="BK275">
        <v>0</v>
      </c>
      <c r="BL275">
        <v>-2.0099999999999998</v>
      </c>
      <c r="BM275">
        <v>0.8</v>
      </c>
      <c r="BN275">
        <v>-1.2</v>
      </c>
      <c r="BO275">
        <v>-1.29</v>
      </c>
      <c r="BP275">
        <v>0.53</v>
      </c>
      <c r="BQ275">
        <v>-0.8</v>
      </c>
      <c r="BR275">
        <v>0.19</v>
      </c>
      <c r="BS275">
        <v>1.46</v>
      </c>
      <c r="BT275">
        <v>-0.69</v>
      </c>
      <c r="BU275">
        <v>-1.61</v>
      </c>
      <c r="BV275">
        <v>-2</v>
      </c>
      <c r="BW275">
        <v>-0.96</v>
      </c>
      <c r="BX275">
        <v>-2.39</v>
      </c>
      <c r="BY275">
        <v>-1.29</v>
      </c>
      <c r="BZ275">
        <v>1.83</v>
      </c>
      <c r="CA275">
        <v>-1.1299999999999999</v>
      </c>
      <c r="CB275">
        <v>-1.47</v>
      </c>
      <c r="CC275">
        <v>0.38</v>
      </c>
      <c r="CD275">
        <v>1.97</v>
      </c>
      <c r="CE275">
        <v>-0.96</v>
      </c>
      <c r="CF275">
        <v>-1.61</v>
      </c>
      <c r="CG275">
        <v>0</v>
      </c>
      <c r="CH275">
        <v>-1.63</v>
      </c>
      <c r="CI275">
        <v>0</v>
      </c>
      <c r="CJ275">
        <v>-9.9</v>
      </c>
      <c r="CK275">
        <v>46</v>
      </c>
      <c r="CL275">
        <v>-0.92</v>
      </c>
      <c r="CM275">
        <v>46</v>
      </c>
      <c r="CN275">
        <v>-0.14000000000000001</v>
      </c>
      <c r="CO275">
        <v>46</v>
      </c>
      <c r="CP275">
        <v>-5</v>
      </c>
      <c r="CQ275">
        <v>44</v>
      </c>
      <c r="CR275">
        <v>0</v>
      </c>
      <c r="CS275">
        <v>0</v>
      </c>
      <c r="CT275">
        <v>10.4</v>
      </c>
      <c r="CU275">
        <v>44</v>
      </c>
      <c r="CV275">
        <v>0.06</v>
      </c>
      <c r="CW275">
        <v>35</v>
      </c>
      <c r="CX275" t="s">
        <v>5735</v>
      </c>
    </row>
    <row r="276" spans="1:102" x14ac:dyDescent="0.3">
      <c r="A276" t="str">
        <f>HYPERLINK("https://webapp.icbf.com/v2/app/bull-search/view/1474046515","FR4412")</f>
        <v>FR4412</v>
      </c>
      <c r="B276" t="s">
        <v>10312</v>
      </c>
      <c r="C276" t="s">
        <v>10313</v>
      </c>
      <c r="D276" s="1">
        <v>42767</v>
      </c>
      <c r="E276" t="s">
        <v>92</v>
      </c>
      <c r="F276">
        <v>72</v>
      </c>
      <c r="G276" t="s">
        <v>435</v>
      </c>
      <c r="H276">
        <v>209.57</v>
      </c>
      <c r="I276">
        <v>70</v>
      </c>
      <c r="J276">
        <v>78.53</v>
      </c>
      <c r="K276">
        <v>88</v>
      </c>
      <c r="L276">
        <v>81.59</v>
      </c>
      <c r="M276">
        <v>59</v>
      </c>
      <c r="N276">
        <v>43.09</v>
      </c>
      <c r="O276">
        <v>77</v>
      </c>
      <c r="P276">
        <v>-28.78</v>
      </c>
      <c r="Q276">
        <v>61</v>
      </c>
      <c r="R276">
        <v>-1.41</v>
      </c>
      <c r="S276">
        <v>61</v>
      </c>
      <c r="T276">
        <v>26.78</v>
      </c>
      <c r="U276">
        <v>49</v>
      </c>
      <c r="V276">
        <v>9.77</v>
      </c>
      <c r="W276">
        <v>55</v>
      </c>
      <c r="X276" t="s">
        <v>94</v>
      </c>
      <c r="Y276" t="s">
        <v>2255</v>
      </c>
      <c r="Z276" t="s">
        <v>96</v>
      </c>
      <c r="AA276" t="s">
        <v>6274</v>
      </c>
      <c r="AB276" t="s">
        <v>10314</v>
      </c>
      <c r="AC276">
        <v>0</v>
      </c>
      <c r="AD276">
        <v>0</v>
      </c>
      <c r="AE276">
        <v>88</v>
      </c>
      <c r="AF276">
        <v>197.51</v>
      </c>
      <c r="AG276">
        <v>12.01</v>
      </c>
      <c r="AH276">
        <v>12.13</v>
      </c>
      <c r="AI276">
        <v>7.0000000000000007E-2</v>
      </c>
      <c r="AJ276">
        <v>0.09</v>
      </c>
      <c r="AK276">
        <v>59</v>
      </c>
      <c r="AL276">
        <v>0</v>
      </c>
      <c r="AM276">
        <v>0</v>
      </c>
      <c r="AN276">
        <v>-3.44</v>
      </c>
      <c r="AO276">
        <v>3.08</v>
      </c>
      <c r="AP276">
        <v>173</v>
      </c>
      <c r="AQ276">
        <v>0</v>
      </c>
      <c r="AR276">
        <v>8.2100000000000009</v>
      </c>
      <c r="AS276">
        <v>60</v>
      </c>
      <c r="AT276">
        <v>2.5</v>
      </c>
      <c r="AU276">
        <v>84</v>
      </c>
      <c r="AV276">
        <v>-4.66</v>
      </c>
      <c r="AW276">
        <v>95</v>
      </c>
      <c r="AX276">
        <v>-0.23</v>
      </c>
      <c r="AY276">
        <v>73</v>
      </c>
      <c r="AZ276">
        <v>6.45</v>
      </c>
      <c r="BA276">
        <v>42</v>
      </c>
      <c r="BB276">
        <v>4.6399999999999997</v>
      </c>
      <c r="BC276">
        <v>33</v>
      </c>
      <c r="BD276">
        <v>-0.04</v>
      </c>
      <c r="BE276">
        <v>0.01</v>
      </c>
      <c r="BF276">
        <v>0.08</v>
      </c>
      <c r="BG276">
        <v>72</v>
      </c>
      <c r="BH276">
        <v>0.16</v>
      </c>
      <c r="BI276">
        <v>-13.01</v>
      </c>
      <c r="BJ276">
        <v>0</v>
      </c>
      <c r="BK276">
        <v>0</v>
      </c>
      <c r="BL276">
        <v>-0.31</v>
      </c>
      <c r="BM276">
        <v>-0.6</v>
      </c>
      <c r="BN276">
        <v>-0.73</v>
      </c>
      <c r="BO276">
        <v>-0.54</v>
      </c>
      <c r="BP276">
        <v>0.79</v>
      </c>
      <c r="BQ276">
        <v>-0.03</v>
      </c>
      <c r="BR276">
        <v>1.92</v>
      </c>
      <c r="BS276">
        <v>-2.0499999999999998</v>
      </c>
      <c r="BT276">
        <v>-2.52</v>
      </c>
      <c r="BU276">
        <v>0.06</v>
      </c>
      <c r="BV276">
        <v>-0.68</v>
      </c>
      <c r="BW276">
        <v>-0.64</v>
      </c>
      <c r="BX276">
        <v>0.06</v>
      </c>
      <c r="BY276">
        <v>-1.73</v>
      </c>
      <c r="BZ276">
        <v>0.23</v>
      </c>
      <c r="CA276">
        <v>-1.1599999999999999</v>
      </c>
      <c r="CB276">
        <v>-0.31</v>
      </c>
      <c r="CC276">
        <v>-1.95</v>
      </c>
      <c r="CD276">
        <v>-0.32</v>
      </c>
      <c r="CE276">
        <v>-0.47</v>
      </c>
      <c r="CF276">
        <v>-1.08</v>
      </c>
      <c r="CG276">
        <v>0</v>
      </c>
      <c r="CH276">
        <v>0.32</v>
      </c>
      <c r="CI276">
        <v>0</v>
      </c>
      <c r="CJ276">
        <v>-13.8</v>
      </c>
      <c r="CK276">
        <v>65</v>
      </c>
      <c r="CL276">
        <v>-0.86</v>
      </c>
      <c r="CM276">
        <v>57</v>
      </c>
      <c r="CN276">
        <v>-0.13</v>
      </c>
      <c r="CO276">
        <v>56</v>
      </c>
      <c r="CP276">
        <v>-15.9</v>
      </c>
      <c r="CQ276">
        <v>48</v>
      </c>
      <c r="CR276">
        <v>0</v>
      </c>
      <c r="CS276">
        <v>0</v>
      </c>
      <c r="CT276">
        <v>-22.4</v>
      </c>
      <c r="CU276">
        <v>49</v>
      </c>
      <c r="CV276">
        <v>0.04</v>
      </c>
      <c r="CW276">
        <v>38</v>
      </c>
      <c r="CX276" t="s">
        <v>6156</v>
      </c>
    </row>
    <row r="277" spans="1:102" x14ac:dyDescent="0.3">
      <c r="A277" t="str">
        <f>HYPERLINK("https://webapp.icbf.com/v2/app/bull-search/view/1276118459","JE4153")</f>
        <v>JE4153</v>
      </c>
      <c r="B277" t="s">
        <v>15185</v>
      </c>
      <c r="C277" t="s">
        <v>6297</v>
      </c>
      <c r="D277" s="1">
        <v>41867</v>
      </c>
      <c r="E277" t="s">
        <v>227</v>
      </c>
      <c r="F277">
        <v>0</v>
      </c>
      <c r="G277" t="s">
        <v>109</v>
      </c>
      <c r="H277">
        <v>209.51</v>
      </c>
      <c r="I277">
        <v>75</v>
      </c>
      <c r="J277">
        <v>104.77</v>
      </c>
      <c r="K277">
        <v>90</v>
      </c>
      <c r="L277">
        <v>57.82</v>
      </c>
      <c r="M277">
        <v>67</v>
      </c>
      <c r="N277">
        <v>48.33</v>
      </c>
      <c r="O277">
        <v>88</v>
      </c>
      <c r="P277">
        <v>-44.47</v>
      </c>
      <c r="Q277">
        <v>66</v>
      </c>
      <c r="R277">
        <v>5.12</v>
      </c>
      <c r="S277">
        <v>66</v>
      </c>
      <c r="T277">
        <v>32.770000000000003</v>
      </c>
      <c r="U277">
        <v>48</v>
      </c>
      <c r="V277">
        <v>5.17</v>
      </c>
      <c r="W277">
        <v>62</v>
      </c>
      <c r="X277" t="s">
        <v>94</v>
      </c>
      <c r="Y277" t="s">
        <v>429</v>
      </c>
      <c r="Z277">
        <v>0</v>
      </c>
      <c r="AA277" t="s">
        <v>2276</v>
      </c>
      <c r="AB277" t="s">
        <v>15186</v>
      </c>
      <c r="AC277">
        <v>0</v>
      </c>
      <c r="AD277">
        <v>0</v>
      </c>
      <c r="AE277">
        <v>90</v>
      </c>
      <c r="AF277">
        <v>-87</v>
      </c>
      <c r="AG277">
        <v>20.74</v>
      </c>
      <c r="AH277">
        <v>9.15</v>
      </c>
      <c r="AI277">
        <v>0.43</v>
      </c>
      <c r="AJ277">
        <v>0.21</v>
      </c>
      <c r="AK277">
        <v>67</v>
      </c>
      <c r="AL277">
        <v>0</v>
      </c>
      <c r="AM277">
        <v>0</v>
      </c>
      <c r="AN277">
        <v>-2.4500000000000002</v>
      </c>
      <c r="AO277">
        <v>2.17</v>
      </c>
      <c r="AP277">
        <v>1119</v>
      </c>
      <c r="AQ277">
        <v>3</v>
      </c>
      <c r="AR277">
        <v>3.48</v>
      </c>
      <c r="AS277">
        <v>96</v>
      </c>
      <c r="AT277">
        <v>1.64</v>
      </c>
      <c r="AU277">
        <v>95</v>
      </c>
      <c r="AV277">
        <v>-4.47</v>
      </c>
      <c r="AW277">
        <v>99</v>
      </c>
      <c r="AX277">
        <v>2.17</v>
      </c>
      <c r="AY277">
        <v>94</v>
      </c>
      <c r="AZ277">
        <v>6.86</v>
      </c>
      <c r="BA277">
        <v>45</v>
      </c>
      <c r="BB277">
        <v>5</v>
      </c>
      <c r="BC277">
        <v>43</v>
      </c>
      <c r="BD277">
        <v>-7.0000000000000007E-2</v>
      </c>
      <c r="BE277">
        <v>0.01</v>
      </c>
      <c r="BF277">
        <v>-0.02</v>
      </c>
      <c r="BG277">
        <v>74</v>
      </c>
      <c r="BH277">
        <v>0.19</v>
      </c>
      <c r="BI277">
        <v>5.3</v>
      </c>
      <c r="BJ277">
        <v>0</v>
      </c>
      <c r="BK277">
        <v>0</v>
      </c>
      <c r="BL277">
        <v>-2.89</v>
      </c>
      <c r="BM277">
        <v>-1.18</v>
      </c>
      <c r="BN277">
        <v>-7.0000000000000007E-2</v>
      </c>
      <c r="BO277">
        <v>1.0900000000000001</v>
      </c>
      <c r="BP277">
        <v>-0.89</v>
      </c>
      <c r="BQ277">
        <v>-5.33</v>
      </c>
      <c r="BR277">
        <v>2.37</v>
      </c>
      <c r="BS277">
        <v>6.6</v>
      </c>
      <c r="BT277">
        <v>-1.1599999999999999</v>
      </c>
      <c r="BU277">
        <v>-1.08</v>
      </c>
      <c r="BV277">
        <v>-0.38</v>
      </c>
      <c r="BW277">
        <v>-2.7</v>
      </c>
      <c r="BX277">
        <v>-4.2699999999999996</v>
      </c>
      <c r="BY277">
        <v>-0.28999999999999998</v>
      </c>
      <c r="BZ277">
        <v>-0.1</v>
      </c>
      <c r="CA277">
        <v>1.1499999999999999</v>
      </c>
      <c r="CB277">
        <v>-0.61</v>
      </c>
      <c r="CC277">
        <v>4.3600000000000003</v>
      </c>
      <c r="CD277">
        <v>-1.74</v>
      </c>
      <c r="CE277">
        <v>0.96</v>
      </c>
      <c r="CF277">
        <v>-2.75</v>
      </c>
      <c r="CG277">
        <v>0</v>
      </c>
      <c r="CH277">
        <v>-1.3</v>
      </c>
      <c r="CI277">
        <v>0</v>
      </c>
      <c r="CJ277">
        <v>-23.3</v>
      </c>
      <c r="CK277">
        <v>73</v>
      </c>
      <c r="CL277">
        <v>-0.97</v>
      </c>
      <c r="CM277">
        <v>59</v>
      </c>
      <c r="CN277">
        <v>-0.23</v>
      </c>
      <c r="CO277">
        <v>57</v>
      </c>
      <c r="CP277">
        <v>-33.299999999999997</v>
      </c>
      <c r="CQ277">
        <v>49</v>
      </c>
      <c r="CR277">
        <v>0</v>
      </c>
      <c r="CS277">
        <v>0</v>
      </c>
      <c r="CT277">
        <v>-30.5</v>
      </c>
      <c r="CU277">
        <v>48</v>
      </c>
      <c r="CV277">
        <v>-0.17</v>
      </c>
      <c r="CW277">
        <v>41</v>
      </c>
      <c r="CX277" t="s">
        <v>2111</v>
      </c>
    </row>
    <row r="278" spans="1:102" x14ac:dyDescent="0.3">
      <c r="A278" t="str">
        <f>HYPERLINK("https://webapp.icbf.com/v2/app/bull-search/view/1138784543","XTG")</f>
        <v>XTG</v>
      </c>
      <c r="B278" t="s">
        <v>14545</v>
      </c>
      <c r="C278" t="s">
        <v>13964</v>
      </c>
      <c r="D278" s="1">
        <v>41678</v>
      </c>
      <c r="E278" t="s">
        <v>92</v>
      </c>
      <c r="F278">
        <v>84</v>
      </c>
      <c r="G278" t="s">
        <v>93</v>
      </c>
      <c r="H278">
        <v>209.42</v>
      </c>
      <c r="I278">
        <v>92</v>
      </c>
      <c r="J278">
        <v>69.599999999999994</v>
      </c>
      <c r="K278">
        <v>99</v>
      </c>
      <c r="L278">
        <v>92.18</v>
      </c>
      <c r="M278">
        <v>84</v>
      </c>
      <c r="N278">
        <v>47.97</v>
      </c>
      <c r="O278">
        <v>95</v>
      </c>
      <c r="P278">
        <v>-11.47</v>
      </c>
      <c r="Q278">
        <v>98</v>
      </c>
      <c r="R278">
        <v>11.05</v>
      </c>
      <c r="S278">
        <v>86</v>
      </c>
      <c r="T278">
        <v>-1.57</v>
      </c>
      <c r="U278">
        <v>95</v>
      </c>
      <c r="V278">
        <v>1.66</v>
      </c>
      <c r="W278">
        <v>78</v>
      </c>
      <c r="X278" t="s">
        <v>102</v>
      </c>
      <c r="Y278" t="s">
        <v>389</v>
      </c>
      <c r="Z278" t="s">
        <v>96</v>
      </c>
      <c r="AA278" t="s">
        <v>2711</v>
      </c>
      <c r="AB278" t="s">
        <v>14546</v>
      </c>
      <c r="AC278">
        <v>952</v>
      </c>
      <c r="AD278">
        <v>317</v>
      </c>
      <c r="AE278">
        <v>99</v>
      </c>
      <c r="AF278">
        <v>8.0399999999999991</v>
      </c>
      <c r="AG278">
        <v>11.76</v>
      </c>
      <c r="AH278">
        <v>7.8</v>
      </c>
      <c r="AI278">
        <v>0.2</v>
      </c>
      <c r="AJ278">
        <v>0.13</v>
      </c>
      <c r="AK278">
        <v>84</v>
      </c>
      <c r="AL278">
        <v>429</v>
      </c>
      <c r="AM278">
        <v>182</v>
      </c>
      <c r="AN278">
        <v>-5.13</v>
      </c>
      <c r="AO278">
        <v>2.2200000000000002</v>
      </c>
      <c r="AP278">
        <v>2617</v>
      </c>
      <c r="AQ278">
        <v>11</v>
      </c>
      <c r="AR278">
        <v>4.9800000000000004</v>
      </c>
      <c r="AS278">
        <v>98</v>
      </c>
      <c r="AT278">
        <v>2.19</v>
      </c>
      <c r="AU278">
        <v>98</v>
      </c>
      <c r="AV278">
        <v>-3.94</v>
      </c>
      <c r="AW278">
        <v>99</v>
      </c>
      <c r="AX278">
        <v>-0.62</v>
      </c>
      <c r="AY278">
        <v>98</v>
      </c>
      <c r="AZ278">
        <v>5.31</v>
      </c>
      <c r="BA278">
        <v>92</v>
      </c>
      <c r="BB278">
        <v>4.95</v>
      </c>
      <c r="BC278">
        <v>72</v>
      </c>
      <c r="BD278">
        <v>-0.06</v>
      </c>
      <c r="BE278">
        <v>-0.06</v>
      </c>
      <c r="BF278">
        <v>-0.04</v>
      </c>
      <c r="BG278">
        <v>97</v>
      </c>
      <c r="BH278">
        <v>0.08</v>
      </c>
      <c r="BI278">
        <v>3.89</v>
      </c>
      <c r="BJ278">
        <v>11</v>
      </c>
      <c r="BK278">
        <v>7</v>
      </c>
      <c r="BL278">
        <v>0.46</v>
      </c>
      <c r="BM278">
        <v>1.51</v>
      </c>
      <c r="BN278">
        <v>1.65</v>
      </c>
      <c r="BO278">
        <v>0.47</v>
      </c>
      <c r="BP278">
        <v>0.13</v>
      </c>
      <c r="BQ278">
        <v>1.25</v>
      </c>
      <c r="BR278">
        <v>1.48</v>
      </c>
      <c r="BS278">
        <v>0.34</v>
      </c>
      <c r="BT278">
        <v>-0.19</v>
      </c>
      <c r="BU278">
        <v>2.42</v>
      </c>
      <c r="BV278">
        <v>0.28000000000000003</v>
      </c>
      <c r="BW278">
        <v>-1.1100000000000001</v>
      </c>
      <c r="BX278">
        <v>1.54</v>
      </c>
      <c r="BY278">
        <v>-0.09</v>
      </c>
      <c r="BZ278">
        <v>0.83</v>
      </c>
      <c r="CA278">
        <v>0.42</v>
      </c>
      <c r="CB278">
        <v>0.69</v>
      </c>
      <c r="CC278">
        <v>-0.21</v>
      </c>
      <c r="CD278">
        <v>0.54</v>
      </c>
      <c r="CE278">
        <v>0.01</v>
      </c>
      <c r="CF278">
        <v>0.98</v>
      </c>
      <c r="CG278">
        <v>0</v>
      </c>
      <c r="CH278">
        <v>0.27</v>
      </c>
      <c r="CI278">
        <v>0</v>
      </c>
      <c r="CJ278">
        <v>-2.2999999999999998</v>
      </c>
      <c r="CK278">
        <v>99</v>
      </c>
      <c r="CL278">
        <v>-1</v>
      </c>
      <c r="CM278">
        <v>98</v>
      </c>
      <c r="CN278">
        <v>-0.11</v>
      </c>
      <c r="CO278">
        <v>98</v>
      </c>
      <c r="CP278">
        <v>4.9000000000000004</v>
      </c>
      <c r="CQ278">
        <v>88</v>
      </c>
      <c r="CR278">
        <v>0</v>
      </c>
      <c r="CS278">
        <v>0</v>
      </c>
      <c r="CT278">
        <v>15.9</v>
      </c>
      <c r="CU278">
        <v>95</v>
      </c>
      <c r="CV278">
        <v>0.25</v>
      </c>
      <c r="CW278">
        <v>47</v>
      </c>
      <c r="CX278" t="s">
        <v>316</v>
      </c>
    </row>
    <row r="279" spans="1:102" x14ac:dyDescent="0.3">
      <c r="A279" t="str">
        <f>HYPERLINK("https://webapp.icbf.com/v2/app/bull-search/view/869803969","ZLR")</f>
        <v>ZLR</v>
      </c>
      <c r="B279" t="s">
        <v>6781</v>
      </c>
      <c r="C279" t="s">
        <v>6782</v>
      </c>
      <c r="D279" s="1">
        <v>40613</v>
      </c>
      <c r="E279" t="s">
        <v>92</v>
      </c>
      <c r="F279">
        <v>59</v>
      </c>
      <c r="G279" t="s">
        <v>93</v>
      </c>
      <c r="H279">
        <v>209.16</v>
      </c>
      <c r="I279">
        <v>82</v>
      </c>
      <c r="J279">
        <v>72.040000000000006</v>
      </c>
      <c r="K279">
        <v>94</v>
      </c>
      <c r="L279">
        <v>102.36</v>
      </c>
      <c r="M279">
        <v>72</v>
      </c>
      <c r="N279">
        <v>30.76</v>
      </c>
      <c r="O279">
        <v>88</v>
      </c>
      <c r="P279">
        <v>-12.12</v>
      </c>
      <c r="Q279">
        <v>85</v>
      </c>
      <c r="R279">
        <v>1.94</v>
      </c>
      <c r="S279">
        <v>73</v>
      </c>
      <c r="T279">
        <v>16.34</v>
      </c>
      <c r="U279">
        <v>76</v>
      </c>
      <c r="V279">
        <v>-2.16</v>
      </c>
      <c r="W279">
        <v>70</v>
      </c>
      <c r="X279" t="s">
        <v>94</v>
      </c>
      <c r="Y279" t="s">
        <v>1860</v>
      </c>
      <c r="Z279" t="s">
        <v>96</v>
      </c>
      <c r="AA279" t="s">
        <v>5558</v>
      </c>
      <c r="AB279" t="s">
        <v>6783</v>
      </c>
      <c r="AC279">
        <v>45</v>
      </c>
      <c r="AD279">
        <v>31</v>
      </c>
      <c r="AE279">
        <v>94</v>
      </c>
      <c r="AF279">
        <v>-169.89</v>
      </c>
      <c r="AG279">
        <v>11.48</v>
      </c>
      <c r="AH279">
        <v>5.59</v>
      </c>
      <c r="AI279">
        <v>0.33</v>
      </c>
      <c r="AJ279">
        <v>0.2</v>
      </c>
      <c r="AK279">
        <v>72</v>
      </c>
      <c r="AL279">
        <v>40</v>
      </c>
      <c r="AM279">
        <v>26</v>
      </c>
      <c r="AN279">
        <v>-5.8</v>
      </c>
      <c r="AO279">
        <v>2.36</v>
      </c>
      <c r="AP279">
        <v>675</v>
      </c>
      <c r="AQ279">
        <v>2</v>
      </c>
      <c r="AR279">
        <v>5.38</v>
      </c>
      <c r="AS279">
        <v>84</v>
      </c>
      <c r="AT279">
        <v>2.2599999999999998</v>
      </c>
      <c r="AU279">
        <v>94</v>
      </c>
      <c r="AV279">
        <v>-2.81</v>
      </c>
      <c r="AW279">
        <v>99</v>
      </c>
      <c r="AX279">
        <v>-0.37</v>
      </c>
      <c r="AY279">
        <v>90</v>
      </c>
      <c r="AZ279">
        <v>7.48</v>
      </c>
      <c r="BA279">
        <v>56</v>
      </c>
      <c r="BB279">
        <v>5.53</v>
      </c>
      <c r="BC279">
        <v>53</v>
      </c>
      <c r="BD279">
        <v>-0.04</v>
      </c>
      <c r="BE279">
        <v>-0.02</v>
      </c>
      <c r="BF279">
        <v>0.06</v>
      </c>
      <c r="BG279">
        <v>83</v>
      </c>
      <c r="BH279">
        <v>0.06</v>
      </c>
      <c r="BI279">
        <v>13.92</v>
      </c>
      <c r="BJ279">
        <v>5</v>
      </c>
      <c r="BK279">
        <v>4</v>
      </c>
      <c r="BL279">
        <v>-2.29</v>
      </c>
      <c r="BM279">
        <v>1.1499999999999999</v>
      </c>
      <c r="BN279">
        <v>-1.41</v>
      </c>
      <c r="BO279">
        <v>-2.4300000000000002</v>
      </c>
      <c r="BP279">
        <v>4.26</v>
      </c>
      <c r="BQ279">
        <v>-3.91</v>
      </c>
      <c r="BR279">
        <v>-0.35</v>
      </c>
      <c r="BS279">
        <v>-2.0699999999999998</v>
      </c>
      <c r="BT279">
        <v>-1.02</v>
      </c>
      <c r="BU279">
        <v>-0.48</v>
      </c>
      <c r="BV279">
        <v>-2.0099999999999998</v>
      </c>
      <c r="BW279">
        <v>-1.96</v>
      </c>
      <c r="BX279">
        <v>-1.46</v>
      </c>
      <c r="BY279">
        <v>-1.53</v>
      </c>
      <c r="BZ279">
        <v>2.76</v>
      </c>
      <c r="CA279">
        <v>-1.52</v>
      </c>
      <c r="CB279">
        <v>-1.5</v>
      </c>
      <c r="CC279">
        <v>-1.47</v>
      </c>
      <c r="CD279">
        <v>1.08</v>
      </c>
      <c r="CE279">
        <v>-1.71</v>
      </c>
      <c r="CF279">
        <v>-2.93</v>
      </c>
      <c r="CG279">
        <v>0</v>
      </c>
      <c r="CH279">
        <v>-1.68</v>
      </c>
      <c r="CI279">
        <v>0</v>
      </c>
      <c r="CJ279">
        <v>-5.4</v>
      </c>
      <c r="CK279">
        <v>88</v>
      </c>
      <c r="CL279">
        <v>-0.48</v>
      </c>
      <c r="CM279">
        <v>84</v>
      </c>
      <c r="CN279">
        <v>-0.2</v>
      </c>
      <c r="CO279">
        <v>82</v>
      </c>
      <c r="CP279">
        <v>-13.7</v>
      </c>
      <c r="CQ279">
        <v>74</v>
      </c>
      <c r="CR279">
        <v>0</v>
      </c>
      <c r="CS279">
        <v>0</v>
      </c>
      <c r="CT279">
        <v>-8.3000000000000007</v>
      </c>
      <c r="CU279">
        <v>76</v>
      </c>
      <c r="CV279">
        <v>0.02</v>
      </c>
      <c r="CW279">
        <v>44</v>
      </c>
      <c r="CX279" t="s">
        <v>4059</v>
      </c>
    </row>
    <row r="280" spans="1:102" x14ac:dyDescent="0.3">
      <c r="A280" t="str">
        <f>HYPERLINK("https://webapp.icbf.com/v2/app/bull-search/view/1027073820","S2319")</f>
        <v>S2319</v>
      </c>
      <c r="B280" t="s">
        <v>6107</v>
      </c>
      <c r="C280" t="s">
        <v>6108</v>
      </c>
      <c r="D280" s="1">
        <v>40336</v>
      </c>
      <c r="E280" t="s">
        <v>92</v>
      </c>
      <c r="F280">
        <v>100</v>
      </c>
      <c r="G280" t="s">
        <v>109</v>
      </c>
      <c r="H280">
        <v>209.07</v>
      </c>
      <c r="I280">
        <v>68</v>
      </c>
      <c r="J280">
        <v>52.07</v>
      </c>
      <c r="K280">
        <v>80</v>
      </c>
      <c r="L280">
        <v>123.76</v>
      </c>
      <c r="M280">
        <v>74</v>
      </c>
      <c r="N280">
        <v>29.19</v>
      </c>
      <c r="O280">
        <v>65</v>
      </c>
      <c r="P280">
        <v>-13.37</v>
      </c>
      <c r="Q280">
        <v>54</v>
      </c>
      <c r="R280">
        <v>9.77</v>
      </c>
      <c r="S280">
        <v>60</v>
      </c>
      <c r="T280">
        <v>4.0599999999999996</v>
      </c>
      <c r="U280">
        <v>31</v>
      </c>
      <c r="V280">
        <v>3.59</v>
      </c>
      <c r="W280">
        <v>44</v>
      </c>
      <c r="X280" t="s">
        <v>428</v>
      </c>
      <c r="Y280" t="s">
        <v>411</v>
      </c>
      <c r="Z280" t="s">
        <v>96</v>
      </c>
      <c r="AA280" t="s">
        <v>1848</v>
      </c>
      <c r="AB280" t="s">
        <v>6109</v>
      </c>
      <c r="AC280">
        <v>0</v>
      </c>
      <c r="AD280">
        <v>0</v>
      </c>
      <c r="AE280">
        <v>80</v>
      </c>
      <c r="AF280">
        <v>459.83</v>
      </c>
      <c r="AG280">
        <v>6.71</v>
      </c>
      <c r="AH280">
        <v>13.52</v>
      </c>
      <c r="AI280">
        <v>-0.17</v>
      </c>
      <c r="AJ280">
        <v>-0.03</v>
      </c>
      <c r="AK280">
        <v>74</v>
      </c>
      <c r="AL280">
        <v>0</v>
      </c>
      <c r="AM280">
        <v>0</v>
      </c>
      <c r="AN280">
        <v>-6.74</v>
      </c>
      <c r="AO280">
        <v>3.13</v>
      </c>
      <c r="AP280">
        <v>44</v>
      </c>
      <c r="AQ280">
        <v>0</v>
      </c>
      <c r="AR280">
        <v>6.78</v>
      </c>
      <c r="AS280">
        <v>59</v>
      </c>
      <c r="AT280">
        <v>3.07</v>
      </c>
      <c r="AU280">
        <v>72</v>
      </c>
      <c r="AV280">
        <v>-3.06</v>
      </c>
      <c r="AW280">
        <v>78</v>
      </c>
      <c r="AX280">
        <v>-0.51</v>
      </c>
      <c r="AY280">
        <v>58</v>
      </c>
      <c r="AZ280">
        <v>6.84</v>
      </c>
      <c r="BA280">
        <v>34</v>
      </c>
      <c r="BB280">
        <v>4.6900000000000004</v>
      </c>
      <c r="BC280">
        <v>26</v>
      </c>
      <c r="BD280">
        <v>-0.01</v>
      </c>
      <c r="BE280">
        <v>-0.02</v>
      </c>
      <c r="BF280">
        <v>-0.17</v>
      </c>
      <c r="BG280">
        <v>82</v>
      </c>
      <c r="BH280">
        <v>7.0000000000000007E-2</v>
      </c>
      <c r="BI280">
        <v>-3.49</v>
      </c>
      <c r="BJ280">
        <v>2</v>
      </c>
      <c r="BK280">
        <v>1</v>
      </c>
      <c r="BL280">
        <v>0.75</v>
      </c>
      <c r="BM280">
        <v>-1.01</v>
      </c>
      <c r="BN280">
        <v>0.17</v>
      </c>
      <c r="BO280">
        <v>0.65</v>
      </c>
      <c r="BP280">
        <v>-1.71</v>
      </c>
      <c r="BQ280">
        <v>-0.54</v>
      </c>
      <c r="BR280">
        <v>0.88</v>
      </c>
      <c r="BS280">
        <v>-0.81</v>
      </c>
      <c r="BT280">
        <v>0.14000000000000001</v>
      </c>
      <c r="BU280">
        <v>1.95</v>
      </c>
      <c r="BV280">
        <v>1.54</v>
      </c>
      <c r="BW280">
        <v>1.78</v>
      </c>
      <c r="BX280">
        <v>1.27</v>
      </c>
      <c r="BY280">
        <v>2.5099999999999998</v>
      </c>
      <c r="BZ280">
        <v>0.1</v>
      </c>
      <c r="CA280">
        <v>1.19</v>
      </c>
      <c r="CB280">
        <v>1.59</v>
      </c>
      <c r="CC280">
        <v>-0.23</v>
      </c>
      <c r="CD280">
        <v>-0.09</v>
      </c>
      <c r="CE280">
        <v>0.73</v>
      </c>
      <c r="CF280">
        <v>0.67</v>
      </c>
      <c r="CG280">
        <v>0</v>
      </c>
      <c r="CH280">
        <v>0.6</v>
      </c>
      <c r="CI280">
        <v>0</v>
      </c>
      <c r="CJ280">
        <v>-5.2</v>
      </c>
      <c r="CK280">
        <v>58</v>
      </c>
      <c r="CL280">
        <v>-1.23</v>
      </c>
      <c r="CM280">
        <v>53</v>
      </c>
      <c r="CN280">
        <v>-0.55000000000000004</v>
      </c>
      <c r="CO280">
        <v>52</v>
      </c>
      <c r="CP280">
        <v>0.4</v>
      </c>
      <c r="CQ280">
        <v>36</v>
      </c>
      <c r="CR280">
        <v>0</v>
      </c>
      <c r="CS280">
        <v>0</v>
      </c>
      <c r="CT280">
        <v>8.3000000000000007</v>
      </c>
      <c r="CU280">
        <v>31</v>
      </c>
      <c r="CV280">
        <v>0.27</v>
      </c>
      <c r="CW280">
        <v>16</v>
      </c>
      <c r="CX280" t="s">
        <v>350</v>
      </c>
    </row>
    <row r="281" spans="1:102" x14ac:dyDescent="0.3">
      <c r="A281" t="str">
        <f>HYPERLINK("https://webapp.icbf.com/v2/app/bull-search/view/760393509","SPD")</f>
        <v>SPD</v>
      </c>
      <c r="B281" t="s">
        <v>5464</v>
      </c>
      <c r="C281" t="s">
        <v>2338</v>
      </c>
      <c r="D281" s="1">
        <v>40025</v>
      </c>
      <c r="E281" t="s">
        <v>227</v>
      </c>
      <c r="F281">
        <v>13</v>
      </c>
      <c r="G281" t="s">
        <v>93</v>
      </c>
      <c r="H281">
        <v>208.93</v>
      </c>
      <c r="I281">
        <v>96</v>
      </c>
      <c r="J281">
        <v>93.58</v>
      </c>
      <c r="K281">
        <v>99</v>
      </c>
      <c r="L281">
        <v>42.99</v>
      </c>
      <c r="M281">
        <v>93</v>
      </c>
      <c r="N281">
        <v>63.75</v>
      </c>
      <c r="O281">
        <v>98</v>
      </c>
      <c r="P281">
        <v>-41.7</v>
      </c>
      <c r="Q281">
        <v>99</v>
      </c>
      <c r="R281">
        <v>1.39</v>
      </c>
      <c r="S281">
        <v>92</v>
      </c>
      <c r="T281">
        <v>34.32</v>
      </c>
      <c r="U281">
        <v>99</v>
      </c>
      <c r="V281">
        <v>14.6</v>
      </c>
      <c r="W281">
        <v>82</v>
      </c>
      <c r="X281" t="s">
        <v>276</v>
      </c>
      <c r="Y281" t="s">
        <v>329</v>
      </c>
      <c r="Z281">
        <v>0</v>
      </c>
      <c r="AA281" t="s">
        <v>5465</v>
      </c>
      <c r="AB281" t="s">
        <v>144</v>
      </c>
      <c r="AC281">
        <v>1799</v>
      </c>
      <c r="AD281">
        <v>331</v>
      </c>
      <c r="AE281">
        <v>99</v>
      </c>
      <c r="AF281">
        <v>112.26</v>
      </c>
      <c r="AG281">
        <v>17.510000000000002</v>
      </c>
      <c r="AH281">
        <v>11.44</v>
      </c>
      <c r="AI281">
        <v>0.22</v>
      </c>
      <c r="AJ281">
        <v>0.13</v>
      </c>
      <c r="AK281">
        <v>93</v>
      </c>
      <c r="AL281">
        <v>1076</v>
      </c>
      <c r="AM281">
        <v>192</v>
      </c>
      <c r="AN281">
        <v>-1.43</v>
      </c>
      <c r="AO281">
        <v>2.0099999999999998</v>
      </c>
      <c r="AP281">
        <v>5715</v>
      </c>
      <c r="AQ281">
        <v>30</v>
      </c>
      <c r="AR281">
        <v>3.45</v>
      </c>
      <c r="AS281">
        <v>99</v>
      </c>
      <c r="AT281">
        <v>1.68</v>
      </c>
      <c r="AU281">
        <v>99</v>
      </c>
      <c r="AV281">
        <v>-6.17</v>
      </c>
      <c r="AW281">
        <v>99</v>
      </c>
      <c r="AX281">
        <v>0.77</v>
      </c>
      <c r="AY281">
        <v>99</v>
      </c>
      <c r="AZ281">
        <v>6.7</v>
      </c>
      <c r="BA281">
        <v>96</v>
      </c>
      <c r="BB281">
        <v>5.33</v>
      </c>
      <c r="BC281">
        <v>93</v>
      </c>
      <c r="BD281">
        <v>0</v>
      </c>
      <c r="BE281">
        <v>0.02</v>
      </c>
      <c r="BF281">
        <v>-7.0000000000000007E-2</v>
      </c>
      <c r="BG281">
        <v>98</v>
      </c>
      <c r="BH281">
        <v>0.31</v>
      </c>
      <c r="BI281">
        <v>-11.23</v>
      </c>
      <c r="BJ281">
        <v>2</v>
      </c>
      <c r="BK281">
        <v>2</v>
      </c>
      <c r="BL281">
        <v>-2.5299999999999998</v>
      </c>
      <c r="BM281">
        <v>-0.82</v>
      </c>
      <c r="BN281">
        <v>-1.07</v>
      </c>
      <c r="BO281">
        <v>-0.19</v>
      </c>
      <c r="BP281">
        <v>-2.35</v>
      </c>
      <c r="BQ281">
        <v>-3.98</v>
      </c>
      <c r="BR281">
        <v>1.23</v>
      </c>
      <c r="BS281">
        <v>4.22</v>
      </c>
      <c r="BT281">
        <v>-0.56000000000000005</v>
      </c>
      <c r="BU281">
        <v>-0.36</v>
      </c>
      <c r="BV281">
        <v>0.15</v>
      </c>
      <c r="BW281">
        <v>-1.58</v>
      </c>
      <c r="BX281">
        <v>-2.86</v>
      </c>
      <c r="BY281">
        <v>0.4</v>
      </c>
      <c r="BZ281">
        <v>-1.79</v>
      </c>
      <c r="CA281">
        <v>0.8</v>
      </c>
      <c r="CB281">
        <v>-0.41</v>
      </c>
      <c r="CC281">
        <v>2.82</v>
      </c>
      <c r="CD281">
        <v>-0.24</v>
      </c>
      <c r="CE281">
        <v>7.0000000000000007E-2</v>
      </c>
      <c r="CF281">
        <v>-2.44</v>
      </c>
      <c r="CG281">
        <v>0</v>
      </c>
      <c r="CH281">
        <v>0.08</v>
      </c>
      <c r="CI281">
        <v>0</v>
      </c>
      <c r="CJ281">
        <v>-21.7</v>
      </c>
      <c r="CK281">
        <v>99</v>
      </c>
      <c r="CL281">
        <v>-0.94</v>
      </c>
      <c r="CM281">
        <v>99</v>
      </c>
      <c r="CN281">
        <v>-0.26</v>
      </c>
      <c r="CO281">
        <v>99</v>
      </c>
      <c r="CP281">
        <v>-34</v>
      </c>
      <c r="CQ281">
        <v>96</v>
      </c>
      <c r="CR281">
        <v>0</v>
      </c>
      <c r="CS281">
        <v>0</v>
      </c>
      <c r="CT281">
        <v>-32.6</v>
      </c>
      <c r="CU281">
        <v>99</v>
      </c>
      <c r="CV281">
        <v>0.01</v>
      </c>
      <c r="CW281">
        <v>47</v>
      </c>
      <c r="CX281" t="s">
        <v>333</v>
      </c>
    </row>
    <row r="282" spans="1:102" x14ac:dyDescent="0.3">
      <c r="A282" t="str">
        <f>HYPERLINK("https://webapp.icbf.com/v2/app/bull-search/view/863510461","ZPB")</f>
        <v>ZPB</v>
      </c>
      <c r="B282" t="s">
        <v>13158</v>
      </c>
      <c r="C282" t="s">
        <v>417</v>
      </c>
      <c r="D282" s="1">
        <v>40583</v>
      </c>
      <c r="E282" t="s">
        <v>92</v>
      </c>
      <c r="F282">
        <v>75</v>
      </c>
      <c r="G282" t="s">
        <v>93</v>
      </c>
      <c r="H282">
        <v>208.81</v>
      </c>
      <c r="I282">
        <v>97</v>
      </c>
      <c r="J282">
        <v>88.5</v>
      </c>
      <c r="K282">
        <v>99</v>
      </c>
      <c r="L282">
        <v>52.02</v>
      </c>
      <c r="M282">
        <v>95</v>
      </c>
      <c r="N282">
        <v>53.91</v>
      </c>
      <c r="O282">
        <v>99</v>
      </c>
      <c r="P282">
        <v>-2.0099999999999998</v>
      </c>
      <c r="Q282">
        <v>99</v>
      </c>
      <c r="R282">
        <v>10.26</v>
      </c>
      <c r="S282">
        <v>97</v>
      </c>
      <c r="T282">
        <v>-5.86</v>
      </c>
      <c r="U282">
        <v>99</v>
      </c>
      <c r="V282">
        <v>11.99</v>
      </c>
      <c r="W282">
        <v>86</v>
      </c>
      <c r="X282" t="s">
        <v>102</v>
      </c>
      <c r="Y282" t="s">
        <v>1860</v>
      </c>
      <c r="Z282" t="s">
        <v>96</v>
      </c>
      <c r="AA282" t="s">
        <v>1942</v>
      </c>
      <c r="AB282" t="s">
        <v>13159</v>
      </c>
      <c r="AC282">
        <v>3698</v>
      </c>
      <c r="AD282">
        <v>961</v>
      </c>
      <c r="AE282">
        <v>99</v>
      </c>
      <c r="AF282">
        <v>4.5199999999999996</v>
      </c>
      <c r="AG282">
        <v>12.75</v>
      </c>
      <c r="AH282">
        <v>10.61</v>
      </c>
      <c r="AI282">
        <v>0.22</v>
      </c>
      <c r="AJ282">
        <v>0.18</v>
      </c>
      <c r="AK282">
        <v>95</v>
      </c>
      <c r="AL282">
        <v>4295</v>
      </c>
      <c r="AM282">
        <v>1207</v>
      </c>
      <c r="AN282">
        <v>-2.71</v>
      </c>
      <c r="AO282">
        <v>1.44</v>
      </c>
      <c r="AP282">
        <v>8494</v>
      </c>
      <c r="AQ282">
        <v>46</v>
      </c>
      <c r="AR282">
        <v>4.83</v>
      </c>
      <c r="AS282">
        <v>99</v>
      </c>
      <c r="AT282">
        <v>1.93</v>
      </c>
      <c r="AU282">
        <v>99</v>
      </c>
      <c r="AV282">
        <v>-4.8899999999999997</v>
      </c>
      <c r="AW282">
        <v>99</v>
      </c>
      <c r="AX282">
        <v>-0.15</v>
      </c>
      <c r="AY282">
        <v>99</v>
      </c>
      <c r="AZ282">
        <v>6.78</v>
      </c>
      <c r="BA282">
        <v>98</v>
      </c>
      <c r="BB282">
        <v>4.97</v>
      </c>
      <c r="BC282">
        <v>97</v>
      </c>
      <c r="BD282">
        <v>-0.03</v>
      </c>
      <c r="BE282">
        <v>-0.04</v>
      </c>
      <c r="BF282">
        <v>-0.11</v>
      </c>
      <c r="BG282">
        <v>99</v>
      </c>
      <c r="BH282">
        <v>0.22</v>
      </c>
      <c r="BI282">
        <v>-13.22</v>
      </c>
      <c r="BJ282">
        <v>128</v>
      </c>
      <c r="BK282">
        <v>62</v>
      </c>
      <c r="BL282">
        <v>0.38</v>
      </c>
      <c r="BM282">
        <v>2.2799999999999998</v>
      </c>
      <c r="BN282">
        <v>0.44</v>
      </c>
      <c r="BO282">
        <v>-1.05</v>
      </c>
      <c r="BP282">
        <v>1.64</v>
      </c>
      <c r="BQ282">
        <v>3.06</v>
      </c>
      <c r="BR282">
        <v>-3.68</v>
      </c>
      <c r="BS282">
        <v>1.89</v>
      </c>
      <c r="BT282">
        <v>3.15</v>
      </c>
      <c r="BU282">
        <v>1.83</v>
      </c>
      <c r="BV282">
        <v>0.18</v>
      </c>
      <c r="BW282">
        <v>0.99</v>
      </c>
      <c r="BX282">
        <v>2.16</v>
      </c>
      <c r="BY282">
        <v>1.41</v>
      </c>
      <c r="BZ282">
        <v>-3.97</v>
      </c>
      <c r="CA282">
        <v>1.18</v>
      </c>
      <c r="CB282">
        <v>0.97</v>
      </c>
      <c r="CC282">
        <v>1.1599999999999999</v>
      </c>
      <c r="CD282">
        <v>1.37</v>
      </c>
      <c r="CE282">
        <v>-0.91</v>
      </c>
      <c r="CF282">
        <v>1.6</v>
      </c>
      <c r="CG282">
        <v>0</v>
      </c>
      <c r="CH282">
        <v>1.24</v>
      </c>
      <c r="CI282">
        <v>0</v>
      </c>
      <c r="CJ282">
        <v>2.9</v>
      </c>
      <c r="CK282">
        <v>99</v>
      </c>
      <c r="CL282">
        <v>-0.65</v>
      </c>
      <c r="CM282">
        <v>99</v>
      </c>
      <c r="CN282">
        <v>0.06</v>
      </c>
      <c r="CO282">
        <v>99</v>
      </c>
      <c r="CP282">
        <v>9.3000000000000007</v>
      </c>
      <c r="CQ282">
        <v>99</v>
      </c>
      <c r="CR282">
        <v>0</v>
      </c>
      <c r="CS282">
        <v>0</v>
      </c>
      <c r="CT282">
        <v>21.7</v>
      </c>
      <c r="CU282">
        <v>99</v>
      </c>
      <c r="CV282">
        <v>0.26</v>
      </c>
      <c r="CW282">
        <v>48</v>
      </c>
      <c r="CX282" t="s">
        <v>4738</v>
      </c>
    </row>
    <row r="283" spans="1:102" x14ac:dyDescent="0.3">
      <c r="A283" t="str">
        <f>HYPERLINK("https://webapp.icbf.com/v2/app/bull-search/view/1017312514","FR4389")</f>
        <v>FR4389</v>
      </c>
      <c r="B283" t="s">
        <v>9452</v>
      </c>
      <c r="C283" t="s">
        <v>9453</v>
      </c>
      <c r="D283" s="1">
        <v>41123</v>
      </c>
      <c r="E283" t="s">
        <v>92</v>
      </c>
      <c r="F283">
        <v>56</v>
      </c>
      <c r="G283" t="s">
        <v>109</v>
      </c>
      <c r="H283">
        <v>208.73</v>
      </c>
      <c r="I283">
        <v>71</v>
      </c>
      <c r="J283">
        <v>66.03</v>
      </c>
      <c r="K283">
        <v>87</v>
      </c>
      <c r="L283">
        <v>101.89</v>
      </c>
      <c r="M283">
        <v>69</v>
      </c>
      <c r="N283">
        <v>41.15</v>
      </c>
      <c r="O283">
        <v>75</v>
      </c>
      <c r="P283">
        <v>-17.95</v>
      </c>
      <c r="Q283">
        <v>48</v>
      </c>
      <c r="R283">
        <v>-2.33</v>
      </c>
      <c r="S283">
        <v>65</v>
      </c>
      <c r="T283">
        <v>17.600000000000001</v>
      </c>
      <c r="U283">
        <v>45</v>
      </c>
      <c r="V283">
        <v>2.34</v>
      </c>
      <c r="W283">
        <v>49</v>
      </c>
      <c r="X283" t="s">
        <v>276</v>
      </c>
      <c r="Y283" t="s">
        <v>1923</v>
      </c>
      <c r="Z283" t="s">
        <v>330</v>
      </c>
      <c r="AA283" t="s">
        <v>5635</v>
      </c>
      <c r="AB283" t="s">
        <v>144</v>
      </c>
      <c r="AC283">
        <v>0</v>
      </c>
      <c r="AD283">
        <v>0</v>
      </c>
      <c r="AE283">
        <v>87</v>
      </c>
      <c r="AF283">
        <v>-46.09</v>
      </c>
      <c r="AG283">
        <v>13.72</v>
      </c>
      <c r="AH283">
        <v>5.67</v>
      </c>
      <c r="AI283">
        <v>0.27</v>
      </c>
      <c r="AJ283">
        <v>0.13</v>
      </c>
      <c r="AK283">
        <v>69</v>
      </c>
      <c r="AL283">
        <v>0</v>
      </c>
      <c r="AM283">
        <v>0</v>
      </c>
      <c r="AN283">
        <v>-5.19</v>
      </c>
      <c r="AO283">
        <v>2.94</v>
      </c>
      <c r="AP283">
        <v>155</v>
      </c>
      <c r="AQ283">
        <v>0</v>
      </c>
      <c r="AR283">
        <v>5.05</v>
      </c>
      <c r="AS283">
        <v>72</v>
      </c>
      <c r="AT283">
        <v>2.37</v>
      </c>
      <c r="AU283">
        <v>80</v>
      </c>
      <c r="AV283">
        <v>-4.57</v>
      </c>
      <c r="AW283">
        <v>92</v>
      </c>
      <c r="AX283">
        <v>-0.84</v>
      </c>
      <c r="AY283">
        <v>72</v>
      </c>
      <c r="AZ283">
        <v>8.3000000000000007</v>
      </c>
      <c r="BA283">
        <v>34</v>
      </c>
      <c r="BB283">
        <v>6.11</v>
      </c>
      <c r="BC283">
        <v>33</v>
      </c>
      <c r="BD283">
        <v>0.01</v>
      </c>
      <c r="BE283">
        <v>0.03</v>
      </c>
      <c r="BF283">
        <v>-0.02</v>
      </c>
      <c r="BG283">
        <v>85</v>
      </c>
      <c r="BH283">
        <v>0.08</v>
      </c>
      <c r="BI283">
        <v>1.69</v>
      </c>
      <c r="BJ283">
        <v>0</v>
      </c>
      <c r="BK283">
        <v>0</v>
      </c>
      <c r="BL283">
        <v>-1</v>
      </c>
      <c r="BM283">
        <v>0.5</v>
      </c>
      <c r="BN283">
        <v>-0.66</v>
      </c>
      <c r="BO283">
        <v>-1.02</v>
      </c>
      <c r="BP283">
        <v>-1.72</v>
      </c>
      <c r="BQ283">
        <v>-1.23</v>
      </c>
      <c r="BR283">
        <v>-0.15</v>
      </c>
      <c r="BS283">
        <v>-0.23</v>
      </c>
      <c r="BT283">
        <v>-0.63</v>
      </c>
      <c r="BU283">
        <v>-0.25</v>
      </c>
      <c r="BV283">
        <v>-0.61</v>
      </c>
      <c r="BW283">
        <v>-1.05</v>
      </c>
      <c r="BX283">
        <v>-0.2</v>
      </c>
      <c r="BY283">
        <v>-2.0499999999999998</v>
      </c>
      <c r="BZ283">
        <v>1.53</v>
      </c>
      <c r="CA283">
        <v>-0.57999999999999996</v>
      </c>
      <c r="CB283">
        <v>-0.69</v>
      </c>
      <c r="CC283">
        <v>-0.62</v>
      </c>
      <c r="CD283">
        <v>0.81</v>
      </c>
      <c r="CE283">
        <v>-0.73</v>
      </c>
      <c r="CF283">
        <v>-1.41</v>
      </c>
      <c r="CG283">
        <v>0</v>
      </c>
      <c r="CH283">
        <v>-1.02</v>
      </c>
      <c r="CI283">
        <v>0</v>
      </c>
      <c r="CJ283">
        <v>-8.4</v>
      </c>
      <c r="CK283">
        <v>51</v>
      </c>
      <c r="CL283">
        <v>-0.64</v>
      </c>
      <c r="CM283">
        <v>44</v>
      </c>
      <c r="CN283">
        <v>-0.18</v>
      </c>
      <c r="CO283">
        <v>44</v>
      </c>
      <c r="CP283">
        <v>-12.4</v>
      </c>
      <c r="CQ283">
        <v>45</v>
      </c>
      <c r="CR283">
        <v>0</v>
      </c>
      <c r="CS283">
        <v>0</v>
      </c>
      <c r="CT283">
        <v>-10</v>
      </c>
      <c r="CU283">
        <v>45</v>
      </c>
      <c r="CV283">
        <v>0.05</v>
      </c>
      <c r="CW283">
        <v>34</v>
      </c>
      <c r="CX283" t="s">
        <v>1772</v>
      </c>
    </row>
    <row r="284" spans="1:102" x14ac:dyDescent="0.3">
      <c r="A284" t="str">
        <f>HYPERLINK("https://webapp.icbf.com/v2/app/bull-search/view/1419447087","FR4355")</f>
        <v>FR4355</v>
      </c>
      <c r="B284" t="s">
        <v>15307</v>
      </c>
      <c r="C284" t="s">
        <v>15308</v>
      </c>
      <c r="D284" s="1">
        <v>42201</v>
      </c>
      <c r="E284" t="s">
        <v>92</v>
      </c>
      <c r="F284">
        <v>100</v>
      </c>
      <c r="G284" t="s">
        <v>435</v>
      </c>
      <c r="H284">
        <v>208.37</v>
      </c>
      <c r="I284">
        <v>69</v>
      </c>
      <c r="J284">
        <v>126.32</v>
      </c>
      <c r="K284">
        <v>87</v>
      </c>
      <c r="L284">
        <v>8.81</v>
      </c>
      <c r="M284">
        <v>66</v>
      </c>
      <c r="N284">
        <v>57.1</v>
      </c>
      <c r="O284">
        <v>77</v>
      </c>
      <c r="P284">
        <v>-2.5099999999999998</v>
      </c>
      <c r="Q284">
        <v>42</v>
      </c>
      <c r="R284">
        <v>13.18</v>
      </c>
      <c r="S284">
        <v>61</v>
      </c>
      <c r="T284">
        <v>1.62</v>
      </c>
      <c r="U284">
        <v>36</v>
      </c>
      <c r="V284">
        <v>3.85</v>
      </c>
      <c r="W284">
        <v>52</v>
      </c>
      <c r="X284" t="s">
        <v>94</v>
      </c>
      <c r="Y284" t="s">
        <v>2261</v>
      </c>
      <c r="Z284" t="s">
        <v>96</v>
      </c>
      <c r="AA284" t="s">
        <v>430</v>
      </c>
      <c r="AB284" t="s">
        <v>15309</v>
      </c>
      <c r="AC284">
        <v>0</v>
      </c>
      <c r="AD284">
        <v>0</v>
      </c>
      <c r="AE284">
        <v>87</v>
      </c>
      <c r="AF284">
        <v>398.11</v>
      </c>
      <c r="AG284">
        <v>30.01</v>
      </c>
      <c r="AH284">
        <v>16.96</v>
      </c>
      <c r="AI284">
        <v>0.23</v>
      </c>
      <c r="AJ284">
        <v>0.06</v>
      </c>
      <c r="AK284">
        <v>66</v>
      </c>
      <c r="AL284">
        <v>0</v>
      </c>
      <c r="AM284">
        <v>0</v>
      </c>
      <c r="AN284">
        <v>0.09</v>
      </c>
      <c r="AO284">
        <v>0.8</v>
      </c>
      <c r="AP284">
        <v>151</v>
      </c>
      <c r="AQ284">
        <v>0</v>
      </c>
      <c r="AR284">
        <v>3.33</v>
      </c>
      <c r="AS284">
        <v>58</v>
      </c>
      <c r="AT284">
        <v>1.71</v>
      </c>
      <c r="AU284">
        <v>92</v>
      </c>
      <c r="AV284">
        <v>-4.0599999999999996</v>
      </c>
      <c r="AW284">
        <v>92</v>
      </c>
      <c r="AX284">
        <v>-0.61</v>
      </c>
      <c r="AY284">
        <v>72</v>
      </c>
      <c r="AZ284">
        <v>6.24</v>
      </c>
      <c r="BA284">
        <v>34</v>
      </c>
      <c r="BB284">
        <v>4.1399999999999997</v>
      </c>
      <c r="BC284">
        <v>33</v>
      </c>
      <c r="BD284">
        <v>-0.03</v>
      </c>
      <c r="BE284">
        <v>-7.0000000000000007E-2</v>
      </c>
      <c r="BF284">
        <v>-0.12</v>
      </c>
      <c r="BG284">
        <v>75</v>
      </c>
      <c r="BH284">
        <v>-0.04</v>
      </c>
      <c r="BI284">
        <v>-17.059999999999999</v>
      </c>
      <c r="BJ284">
        <v>0</v>
      </c>
      <c r="BK284">
        <v>0</v>
      </c>
      <c r="BL284">
        <v>1.55</v>
      </c>
      <c r="BM284">
        <v>-0.09</v>
      </c>
      <c r="BN284">
        <v>0.91</v>
      </c>
      <c r="BO284">
        <v>1.66</v>
      </c>
      <c r="BP284">
        <v>2.38</v>
      </c>
      <c r="BQ284">
        <v>3.01</v>
      </c>
      <c r="BR284">
        <v>-1.55</v>
      </c>
      <c r="BS284">
        <v>3.27</v>
      </c>
      <c r="BT284">
        <v>0.31</v>
      </c>
      <c r="BU284">
        <v>1.7</v>
      </c>
      <c r="BV284">
        <v>3.31</v>
      </c>
      <c r="BW284">
        <v>2.11</v>
      </c>
      <c r="BX284">
        <v>0.66</v>
      </c>
      <c r="BY284">
        <v>1.98</v>
      </c>
      <c r="BZ284">
        <v>-0.84</v>
      </c>
      <c r="CA284">
        <v>2.2400000000000002</v>
      </c>
      <c r="CB284">
        <v>2.14</v>
      </c>
      <c r="CC284">
        <v>2.12</v>
      </c>
      <c r="CD284">
        <v>-1.08</v>
      </c>
      <c r="CE284">
        <v>1.04</v>
      </c>
      <c r="CF284">
        <v>0.23</v>
      </c>
      <c r="CG284">
        <v>0</v>
      </c>
      <c r="CH284">
        <v>2.4500000000000002</v>
      </c>
      <c r="CI284">
        <v>0</v>
      </c>
      <c r="CJ284">
        <v>1.3</v>
      </c>
      <c r="CK284">
        <v>45</v>
      </c>
      <c r="CL284">
        <v>-1.26</v>
      </c>
      <c r="CM284">
        <v>37</v>
      </c>
      <c r="CN284">
        <v>-0.72</v>
      </c>
      <c r="CO284">
        <v>37</v>
      </c>
      <c r="CP284">
        <v>1.8</v>
      </c>
      <c r="CQ284">
        <v>38</v>
      </c>
      <c r="CR284">
        <v>0</v>
      </c>
      <c r="CS284">
        <v>0</v>
      </c>
      <c r="CT284">
        <v>11.6</v>
      </c>
      <c r="CU284">
        <v>36</v>
      </c>
      <c r="CV284">
        <v>0.22</v>
      </c>
      <c r="CW284">
        <v>32</v>
      </c>
      <c r="CX284" t="s">
        <v>465</v>
      </c>
    </row>
    <row r="285" spans="1:102" x14ac:dyDescent="0.3">
      <c r="A285" t="str">
        <f>HYPERLINK("https://webapp.icbf.com/v2/app/bull-search/view/1150872560","NR4555")</f>
        <v>NR4555</v>
      </c>
      <c r="B285" t="s">
        <v>2387</v>
      </c>
      <c r="C285" t="s">
        <v>2388</v>
      </c>
      <c r="D285" s="1">
        <v>40146</v>
      </c>
      <c r="E285" t="s">
        <v>395</v>
      </c>
      <c r="F285">
        <v>0</v>
      </c>
      <c r="G285" t="s">
        <v>109</v>
      </c>
      <c r="H285">
        <v>207.92</v>
      </c>
      <c r="I285">
        <v>70</v>
      </c>
      <c r="J285">
        <v>48.94</v>
      </c>
      <c r="K285">
        <v>82</v>
      </c>
      <c r="L285">
        <v>114.93</v>
      </c>
      <c r="M285">
        <v>76</v>
      </c>
      <c r="N285">
        <v>28.56</v>
      </c>
      <c r="O285">
        <v>70</v>
      </c>
      <c r="P285">
        <v>-5.14</v>
      </c>
      <c r="Q285">
        <v>45</v>
      </c>
      <c r="R285">
        <v>8</v>
      </c>
      <c r="S285">
        <v>52</v>
      </c>
      <c r="T285">
        <v>15.82</v>
      </c>
      <c r="U285">
        <v>45</v>
      </c>
      <c r="V285">
        <v>-3.19</v>
      </c>
      <c r="W285">
        <v>49</v>
      </c>
      <c r="X285" t="s">
        <v>102</v>
      </c>
      <c r="Y285" t="s">
        <v>2389</v>
      </c>
      <c r="Z285">
        <v>0</v>
      </c>
      <c r="AA285" t="s">
        <v>2390</v>
      </c>
      <c r="AB285" t="s">
        <v>2391</v>
      </c>
      <c r="AC285">
        <v>0</v>
      </c>
      <c r="AD285">
        <v>0</v>
      </c>
      <c r="AE285">
        <v>82</v>
      </c>
      <c r="AF285">
        <v>49.21</v>
      </c>
      <c r="AG285">
        <v>8.1300000000000008</v>
      </c>
      <c r="AH285">
        <v>6.2</v>
      </c>
      <c r="AI285">
        <v>0.1</v>
      </c>
      <c r="AJ285">
        <v>0.08</v>
      </c>
      <c r="AK285">
        <v>76</v>
      </c>
      <c r="AL285">
        <v>0</v>
      </c>
      <c r="AM285">
        <v>0</v>
      </c>
      <c r="AN285">
        <v>-5.9</v>
      </c>
      <c r="AO285">
        <v>3.27</v>
      </c>
      <c r="AP285">
        <v>39</v>
      </c>
      <c r="AQ285">
        <v>0</v>
      </c>
      <c r="AR285">
        <v>7.52</v>
      </c>
      <c r="AS285">
        <v>47</v>
      </c>
      <c r="AT285">
        <v>3.01</v>
      </c>
      <c r="AU285">
        <v>87</v>
      </c>
      <c r="AV285">
        <v>-3.41</v>
      </c>
      <c r="AW285">
        <v>79</v>
      </c>
      <c r="AX285">
        <v>0.03</v>
      </c>
      <c r="AY285">
        <v>58</v>
      </c>
      <c r="AZ285">
        <v>6.24</v>
      </c>
      <c r="BA285">
        <v>40</v>
      </c>
      <c r="BB285">
        <v>4.9800000000000004</v>
      </c>
      <c r="BC285">
        <v>40</v>
      </c>
      <c r="BD285">
        <v>-0.03</v>
      </c>
      <c r="BE285">
        <v>-0.06</v>
      </c>
      <c r="BF285">
        <v>-0.02</v>
      </c>
      <c r="BG285">
        <v>58</v>
      </c>
      <c r="BH285">
        <v>-0.18</v>
      </c>
      <c r="BI285">
        <v>-10.54</v>
      </c>
      <c r="BJ285">
        <v>0</v>
      </c>
      <c r="BK285">
        <v>0</v>
      </c>
      <c r="BL285">
        <v>-2.3199999999999998</v>
      </c>
      <c r="BM285">
        <v>0.79</v>
      </c>
      <c r="BN285">
        <v>-2.2999999999999998</v>
      </c>
      <c r="BO285">
        <v>-2.2999999999999998</v>
      </c>
      <c r="BP285">
        <v>2.14</v>
      </c>
      <c r="BQ285">
        <v>-1.92</v>
      </c>
      <c r="BR285">
        <v>0.61</v>
      </c>
      <c r="BS285">
        <v>0.25</v>
      </c>
      <c r="BT285">
        <v>-0.55000000000000004</v>
      </c>
      <c r="BU285">
        <v>-1.58</v>
      </c>
      <c r="BV285">
        <v>-2.65</v>
      </c>
      <c r="BW285">
        <v>-2.31</v>
      </c>
      <c r="BX285">
        <v>-1.76</v>
      </c>
      <c r="BY285">
        <v>-1.49</v>
      </c>
      <c r="BZ285">
        <v>-1.41</v>
      </c>
      <c r="CA285">
        <v>-1.8</v>
      </c>
      <c r="CB285">
        <v>-2.17</v>
      </c>
      <c r="CC285">
        <v>-0.5</v>
      </c>
      <c r="CD285">
        <v>1.43</v>
      </c>
      <c r="CE285">
        <v>-1.89</v>
      </c>
      <c r="CF285">
        <v>-2.5</v>
      </c>
      <c r="CG285">
        <v>0</v>
      </c>
      <c r="CH285">
        <v>-1.38</v>
      </c>
      <c r="CI285">
        <v>0</v>
      </c>
      <c r="CJ285">
        <v>0.9</v>
      </c>
      <c r="CK285">
        <v>45</v>
      </c>
      <c r="CL285">
        <v>-0.44</v>
      </c>
      <c r="CM285">
        <v>45</v>
      </c>
      <c r="CN285">
        <v>0.03</v>
      </c>
      <c r="CO285">
        <v>45</v>
      </c>
      <c r="CP285">
        <v>-9.9</v>
      </c>
      <c r="CQ285">
        <v>44</v>
      </c>
      <c r="CR285">
        <v>0</v>
      </c>
      <c r="CS285">
        <v>0</v>
      </c>
      <c r="CT285">
        <v>-7.6</v>
      </c>
      <c r="CU285">
        <v>45</v>
      </c>
      <c r="CV285">
        <v>0.05</v>
      </c>
      <c r="CW285">
        <v>35</v>
      </c>
      <c r="CX285" t="s">
        <v>1855</v>
      </c>
    </row>
    <row r="286" spans="1:102" x14ac:dyDescent="0.3">
      <c r="A286" t="str">
        <f>HYPERLINK("https://webapp.icbf.com/v2/app/bull-search/view/1231258330","S3013")</f>
        <v>S3013</v>
      </c>
      <c r="B286" t="s">
        <v>9344</v>
      </c>
      <c r="C286" t="s">
        <v>9345</v>
      </c>
      <c r="D286" s="1">
        <v>41460</v>
      </c>
      <c r="E286" t="s">
        <v>92</v>
      </c>
      <c r="F286">
        <v>100</v>
      </c>
      <c r="G286" t="s">
        <v>109</v>
      </c>
      <c r="H286">
        <v>207.79</v>
      </c>
      <c r="I286">
        <v>75</v>
      </c>
      <c r="J286">
        <v>113.66</v>
      </c>
      <c r="K286">
        <v>91</v>
      </c>
      <c r="L286">
        <v>56.62</v>
      </c>
      <c r="M286">
        <v>81</v>
      </c>
      <c r="N286">
        <v>32.65</v>
      </c>
      <c r="O286">
        <v>62</v>
      </c>
      <c r="P286">
        <v>-2.78</v>
      </c>
      <c r="Q286">
        <v>52</v>
      </c>
      <c r="R286">
        <v>11.28</v>
      </c>
      <c r="S286">
        <v>70</v>
      </c>
      <c r="T286">
        <v>-9.56</v>
      </c>
      <c r="U286">
        <v>38</v>
      </c>
      <c r="V286">
        <v>5.92</v>
      </c>
      <c r="W286">
        <v>53</v>
      </c>
      <c r="X286" t="s">
        <v>110</v>
      </c>
      <c r="Y286" t="s">
        <v>411</v>
      </c>
      <c r="Z286" t="s">
        <v>96</v>
      </c>
      <c r="AA286" t="s">
        <v>5654</v>
      </c>
      <c r="AB286" t="s">
        <v>5848</v>
      </c>
      <c r="AC286">
        <v>0</v>
      </c>
      <c r="AD286">
        <v>0</v>
      </c>
      <c r="AE286">
        <v>91</v>
      </c>
      <c r="AF286">
        <v>681.92</v>
      </c>
      <c r="AG286">
        <v>19.3</v>
      </c>
      <c r="AH286">
        <v>22.94</v>
      </c>
      <c r="AI286">
        <v>-0.11</v>
      </c>
      <c r="AJ286">
        <v>0</v>
      </c>
      <c r="AK286">
        <v>81</v>
      </c>
      <c r="AL286">
        <v>0</v>
      </c>
      <c r="AM286">
        <v>0</v>
      </c>
      <c r="AN286">
        <v>-1.97</v>
      </c>
      <c r="AO286">
        <v>2.56</v>
      </c>
      <c r="AP286">
        <v>6</v>
      </c>
      <c r="AQ286">
        <v>0</v>
      </c>
      <c r="AR286">
        <v>2.82</v>
      </c>
      <c r="AS286">
        <v>54</v>
      </c>
      <c r="AT286">
        <v>1.87</v>
      </c>
      <c r="AU286">
        <v>85</v>
      </c>
      <c r="AV286">
        <v>-1.31</v>
      </c>
      <c r="AW286">
        <v>63</v>
      </c>
      <c r="AX286">
        <v>-0.44</v>
      </c>
      <c r="AY286">
        <v>48</v>
      </c>
      <c r="AZ286">
        <v>5.4</v>
      </c>
      <c r="BA286">
        <v>39</v>
      </c>
      <c r="BB286">
        <v>4.8600000000000003</v>
      </c>
      <c r="BC286">
        <v>35</v>
      </c>
      <c r="BD286">
        <v>-0.05</v>
      </c>
      <c r="BE286">
        <v>-0.04</v>
      </c>
      <c r="BF286">
        <v>-0.1</v>
      </c>
      <c r="BG286">
        <v>89</v>
      </c>
      <c r="BH286">
        <v>-0.01</v>
      </c>
      <c r="BI286">
        <v>-20.239999999999998</v>
      </c>
      <c r="BJ286">
        <v>3</v>
      </c>
      <c r="BK286">
        <v>1</v>
      </c>
      <c r="BL286">
        <v>1.0900000000000001</v>
      </c>
      <c r="BM286">
        <v>-1.66</v>
      </c>
      <c r="BN286">
        <v>-0.5</v>
      </c>
      <c r="BO286">
        <v>1.18</v>
      </c>
      <c r="BP286">
        <v>0.69</v>
      </c>
      <c r="BQ286">
        <v>0.56999999999999995</v>
      </c>
      <c r="BR286">
        <v>-0.14000000000000001</v>
      </c>
      <c r="BS286">
        <v>0.67</v>
      </c>
      <c r="BT286">
        <v>-0.53</v>
      </c>
      <c r="BU286">
        <v>2.2400000000000002</v>
      </c>
      <c r="BV286">
        <v>2.6</v>
      </c>
      <c r="BW286">
        <v>1.98</v>
      </c>
      <c r="BX286">
        <v>1.47</v>
      </c>
      <c r="BY286">
        <v>1.55</v>
      </c>
      <c r="BZ286">
        <v>-0.8</v>
      </c>
      <c r="CA286">
        <v>2.31</v>
      </c>
      <c r="CB286">
        <v>2.2999999999999998</v>
      </c>
      <c r="CC286">
        <v>0.68</v>
      </c>
      <c r="CD286">
        <v>-1.05</v>
      </c>
      <c r="CE286">
        <v>1.6</v>
      </c>
      <c r="CF286">
        <v>1.52</v>
      </c>
      <c r="CG286">
        <v>0</v>
      </c>
      <c r="CH286">
        <v>0.96</v>
      </c>
      <c r="CI286">
        <v>0</v>
      </c>
      <c r="CJ286">
        <v>1.1000000000000001</v>
      </c>
      <c r="CK286">
        <v>54</v>
      </c>
      <c r="CL286">
        <v>-1.44</v>
      </c>
      <c r="CM286">
        <v>52</v>
      </c>
      <c r="CN286">
        <v>-0.83</v>
      </c>
      <c r="CO286">
        <v>51</v>
      </c>
      <c r="CP286">
        <v>5.6</v>
      </c>
      <c r="CQ286">
        <v>41</v>
      </c>
      <c r="CR286">
        <v>0</v>
      </c>
      <c r="CS286">
        <v>0</v>
      </c>
      <c r="CT286">
        <v>26.7</v>
      </c>
      <c r="CU286">
        <v>38</v>
      </c>
      <c r="CV286">
        <v>0.19</v>
      </c>
      <c r="CW286">
        <v>36</v>
      </c>
      <c r="CX286" t="s">
        <v>2423</v>
      </c>
    </row>
    <row r="287" spans="1:102" x14ac:dyDescent="0.3">
      <c r="A287" t="str">
        <f>HYPERLINK("https://webapp.icbf.com/v2/app/bull-search/view/568094124","BSH")</f>
        <v>BSH</v>
      </c>
      <c r="B287" t="s">
        <v>5066</v>
      </c>
      <c r="C287" t="s">
        <v>5067</v>
      </c>
      <c r="D287" s="1">
        <v>39510</v>
      </c>
      <c r="E287" t="s">
        <v>92</v>
      </c>
      <c r="F287">
        <v>75</v>
      </c>
      <c r="G287" t="s">
        <v>93</v>
      </c>
      <c r="H287">
        <v>207.63</v>
      </c>
      <c r="I287">
        <v>98</v>
      </c>
      <c r="J287">
        <v>21.3</v>
      </c>
      <c r="K287">
        <v>99</v>
      </c>
      <c r="L287">
        <v>118.41</v>
      </c>
      <c r="M287">
        <v>96</v>
      </c>
      <c r="N287">
        <v>52.72</v>
      </c>
      <c r="O287">
        <v>99</v>
      </c>
      <c r="P287">
        <v>-7.87</v>
      </c>
      <c r="Q287">
        <v>99</v>
      </c>
      <c r="R287">
        <v>8.1300000000000008</v>
      </c>
      <c r="S287">
        <v>96</v>
      </c>
      <c r="T287">
        <v>16.34</v>
      </c>
      <c r="U287">
        <v>99</v>
      </c>
      <c r="V287">
        <v>-1.4</v>
      </c>
      <c r="W287">
        <v>91</v>
      </c>
      <c r="X287" t="s">
        <v>94</v>
      </c>
      <c r="Y287" t="s">
        <v>4217</v>
      </c>
      <c r="Z287" t="s">
        <v>96</v>
      </c>
      <c r="AA287" t="s">
        <v>1883</v>
      </c>
      <c r="AB287" t="s">
        <v>5068</v>
      </c>
      <c r="AC287">
        <v>3366</v>
      </c>
      <c r="AD287">
        <v>1441</v>
      </c>
      <c r="AE287">
        <v>99</v>
      </c>
      <c r="AF287">
        <v>129</v>
      </c>
      <c r="AG287">
        <v>6.58</v>
      </c>
      <c r="AH287">
        <v>3.27</v>
      </c>
      <c r="AI287">
        <v>0.03</v>
      </c>
      <c r="AJ287">
        <v>-0.02</v>
      </c>
      <c r="AK287">
        <v>96</v>
      </c>
      <c r="AL287">
        <v>4117</v>
      </c>
      <c r="AM287">
        <v>1884</v>
      </c>
      <c r="AN287">
        <v>-5.15</v>
      </c>
      <c r="AO287">
        <v>4.3099999999999996</v>
      </c>
      <c r="AP287">
        <v>5848</v>
      </c>
      <c r="AQ287">
        <v>34</v>
      </c>
      <c r="AR287">
        <v>4.1500000000000004</v>
      </c>
      <c r="AS287">
        <v>99</v>
      </c>
      <c r="AT287">
        <v>1.78</v>
      </c>
      <c r="AU287">
        <v>99</v>
      </c>
      <c r="AV287">
        <v>-4.09</v>
      </c>
      <c r="AW287">
        <v>99</v>
      </c>
      <c r="AX287">
        <v>-0.77</v>
      </c>
      <c r="AY287">
        <v>99</v>
      </c>
      <c r="AZ287">
        <v>5.95</v>
      </c>
      <c r="BA287">
        <v>97</v>
      </c>
      <c r="BB287">
        <v>4.93</v>
      </c>
      <c r="BC287">
        <v>98</v>
      </c>
      <c r="BD287">
        <v>-0.06</v>
      </c>
      <c r="BE287">
        <v>-0.03</v>
      </c>
      <c r="BF287">
        <v>-0.03</v>
      </c>
      <c r="BG287">
        <v>99</v>
      </c>
      <c r="BH287">
        <v>-0.05</v>
      </c>
      <c r="BI287">
        <v>-1.27</v>
      </c>
      <c r="BJ287">
        <v>143</v>
      </c>
      <c r="BK287">
        <v>87</v>
      </c>
      <c r="BL287">
        <v>-1.49</v>
      </c>
      <c r="BM287">
        <v>1.05</v>
      </c>
      <c r="BN287">
        <v>-0.91</v>
      </c>
      <c r="BO287">
        <v>-1.17</v>
      </c>
      <c r="BP287">
        <v>2.99</v>
      </c>
      <c r="BQ287">
        <v>-1.45</v>
      </c>
      <c r="BR287">
        <v>2.88</v>
      </c>
      <c r="BS287">
        <v>-1.63</v>
      </c>
      <c r="BT287">
        <v>-2.39</v>
      </c>
      <c r="BU287">
        <v>-1.5</v>
      </c>
      <c r="BV287">
        <v>-3.49</v>
      </c>
      <c r="BW287">
        <v>-1.54</v>
      </c>
      <c r="BX287">
        <v>-0.27</v>
      </c>
      <c r="BY287">
        <v>-2.4500000000000002</v>
      </c>
      <c r="BZ287">
        <v>0.19</v>
      </c>
      <c r="CA287">
        <v>-1.9</v>
      </c>
      <c r="CB287">
        <v>-1.76</v>
      </c>
      <c r="CC287">
        <v>-1.48</v>
      </c>
      <c r="CD287">
        <v>0.75</v>
      </c>
      <c r="CE287">
        <v>-1.17</v>
      </c>
      <c r="CF287">
        <v>-1.43</v>
      </c>
      <c r="CG287">
        <v>0</v>
      </c>
      <c r="CH287">
        <v>-2.4300000000000002</v>
      </c>
      <c r="CI287">
        <v>0</v>
      </c>
      <c r="CJ287">
        <v>-6.2</v>
      </c>
      <c r="CK287">
        <v>99</v>
      </c>
      <c r="CL287">
        <v>-0.51</v>
      </c>
      <c r="CM287">
        <v>99</v>
      </c>
      <c r="CN287">
        <v>-0.6</v>
      </c>
      <c r="CO287">
        <v>99</v>
      </c>
      <c r="CP287">
        <v>-7.2</v>
      </c>
      <c r="CQ287">
        <v>99</v>
      </c>
      <c r="CR287">
        <v>0</v>
      </c>
      <c r="CS287">
        <v>0</v>
      </c>
      <c r="CT287">
        <v>-8.3000000000000007</v>
      </c>
      <c r="CU287">
        <v>99</v>
      </c>
      <c r="CV287">
        <v>0.15</v>
      </c>
      <c r="CW287">
        <v>48</v>
      </c>
      <c r="CX287" t="s">
        <v>4532</v>
      </c>
    </row>
    <row r="288" spans="1:102" x14ac:dyDescent="0.3">
      <c r="A288" t="str">
        <f>HYPERLINK("https://webapp.icbf.com/v2/app/bull-search/view/586041758","MWW")</f>
        <v>MWW</v>
      </c>
      <c r="B288" t="s">
        <v>5285</v>
      </c>
      <c r="C288" t="s">
        <v>5286</v>
      </c>
      <c r="D288" s="1">
        <v>39283</v>
      </c>
      <c r="E288" t="s">
        <v>92</v>
      </c>
      <c r="F288">
        <v>63</v>
      </c>
      <c r="G288" t="s">
        <v>93</v>
      </c>
      <c r="H288">
        <v>207.55</v>
      </c>
      <c r="I288">
        <v>96</v>
      </c>
      <c r="J288">
        <v>63.11</v>
      </c>
      <c r="K288">
        <v>99</v>
      </c>
      <c r="L288">
        <v>84.53</v>
      </c>
      <c r="M288">
        <v>93</v>
      </c>
      <c r="N288">
        <v>35.049999999999997</v>
      </c>
      <c r="O288">
        <v>96</v>
      </c>
      <c r="P288">
        <v>-22.15</v>
      </c>
      <c r="Q288">
        <v>99</v>
      </c>
      <c r="R288">
        <v>5.23</v>
      </c>
      <c r="S288">
        <v>89</v>
      </c>
      <c r="T288">
        <v>27.89</v>
      </c>
      <c r="U288">
        <v>97</v>
      </c>
      <c r="V288">
        <v>13.89</v>
      </c>
      <c r="W288">
        <v>87</v>
      </c>
      <c r="X288" t="s">
        <v>276</v>
      </c>
      <c r="Y288" t="s">
        <v>329</v>
      </c>
      <c r="Z288" t="s">
        <v>330</v>
      </c>
      <c r="AA288" t="s">
        <v>320</v>
      </c>
      <c r="AB288" t="s">
        <v>144</v>
      </c>
      <c r="AC288">
        <v>596</v>
      </c>
      <c r="AD288">
        <v>176</v>
      </c>
      <c r="AE288">
        <v>99</v>
      </c>
      <c r="AF288">
        <v>219.84</v>
      </c>
      <c r="AG288">
        <v>8.8699999999999992</v>
      </c>
      <c r="AH288">
        <v>10.96</v>
      </c>
      <c r="AI288">
        <v>0.01</v>
      </c>
      <c r="AJ288">
        <v>0.06</v>
      </c>
      <c r="AK288">
        <v>93</v>
      </c>
      <c r="AL288">
        <v>655</v>
      </c>
      <c r="AM288">
        <v>180</v>
      </c>
      <c r="AN288">
        <v>-3.91</v>
      </c>
      <c r="AO288">
        <v>2.84</v>
      </c>
      <c r="AP288">
        <v>1173</v>
      </c>
      <c r="AQ288">
        <v>10</v>
      </c>
      <c r="AR288">
        <v>5.97</v>
      </c>
      <c r="AS288">
        <v>94</v>
      </c>
      <c r="AT288">
        <v>2.2799999999999998</v>
      </c>
      <c r="AU288">
        <v>97</v>
      </c>
      <c r="AV288">
        <v>-2.86</v>
      </c>
      <c r="AW288">
        <v>99</v>
      </c>
      <c r="AX288">
        <v>-0.62</v>
      </c>
      <c r="AY288">
        <v>96</v>
      </c>
      <c r="AZ288">
        <v>6.52</v>
      </c>
      <c r="BA288">
        <v>88</v>
      </c>
      <c r="BB288">
        <v>4.9400000000000004</v>
      </c>
      <c r="BC288">
        <v>90</v>
      </c>
      <c r="BD288">
        <v>-0.05</v>
      </c>
      <c r="BE288">
        <v>-0.03</v>
      </c>
      <c r="BF288">
        <v>0.02</v>
      </c>
      <c r="BG288">
        <v>98</v>
      </c>
      <c r="BH288">
        <v>0.21</v>
      </c>
      <c r="BI288">
        <v>-20.5</v>
      </c>
      <c r="BJ288">
        <v>2</v>
      </c>
      <c r="BK288">
        <v>2</v>
      </c>
      <c r="BL288">
        <v>-2.76</v>
      </c>
      <c r="BM288">
        <v>-1.59</v>
      </c>
      <c r="BN288">
        <v>-2.62</v>
      </c>
      <c r="BO288">
        <v>-0.91</v>
      </c>
      <c r="BP288">
        <v>-2.66</v>
      </c>
      <c r="BQ288">
        <v>-2.65</v>
      </c>
      <c r="BR288">
        <v>2.66</v>
      </c>
      <c r="BS288">
        <v>-2.2000000000000002</v>
      </c>
      <c r="BT288">
        <v>-4.3600000000000003</v>
      </c>
      <c r="BU288">
        <v>-0.46</v>
      </c>
      <c r="BV288">
        <v>-1.66</v>
      </c>
      <c r="BW288">
        <v>-2.57</v>
      </c>
      <c r="BX288">
        <v>-1.44</v>
      </c>
      <c r="BY288">
        <v>-2.61</v>
      </c>
      <c r="BZ288">
        <v>2.23</v>
      </c>
      <c r="CA288">
        <v>-2.33</v>
      </c>
      <c r="CB288">
        <v>-1.66</v>
      </c>
      <c r="CC288">
        <v>-2.15</v>
      </c>
      <c r="CD288">
        <v>-0.43</v>
      </c>
      <c r="CE288">
        <v>-0.84</v>
      </c>
      <c r="CF288">
        <v>-2.77</v>
      </c>
      <c r="CG288">
        <v>0</v>
      </c>
      <c r="CH288">
        <v>-2.57</v>
      </c>
      <c r="CI288">
        <v>0</v>
      </c>
      <c r="CJ288">
        <v>-11.3</v>
      </c>
      <c r="CK288">
        <v>99</v>
      </c>
      <c r="CL288">
        <v>-0.57999999999999996</v>
      </c>
      <c r="CM288">
        <v>99</v>
      </c>
      <c r="CN288">
        <v>-0.2</v>
      </c>
      <c r="CO288">
        <v>98</v>
      </c>
      <c r="CP288">
        <v>-19.399999999999999</v>
      </c>
      <c r="CQ288">
        <v>96</v>
      </c>
      <c r="CR288">
        <v>0</v>
      </c>
      <c r="CS288">
        <v>0</v>
      </c>
      <c r="CT288">
        <v>-23.9</v>
      </c>
      <c r="CU288">
        <v>97</v>
      </c>
      <c r="CV288">
        <v>0.01</v>
      </c>
      <c r="CW288">
        <v>46</v>
      </c>
      <c r="CX288" t="s">
        <v>1229</v>
      </c>
    </row>
    <row r="289" spans="1:102" x14ac:dyDescent="0.3">
      <c r="A289" t="str">
        <f>HYPERLINK("https://webapp.icbf.com/v2/app/bull-search/view/666757278","MKK")</f>
        <v>MKK</v>
      </c>
      <c r="B289" t="s">
        <v>1639</v>
      </c>
      <c r="C289" t="s">
        <v>1640</v>
      </c>
      <c r="D289" s="1">
        <v>39836</v>
      </c>
      <c r="E289" t="s">
        <v>92</v>
      </c>
      <c r="F289">
        <v>78</v>
      </c>
      <c r="G289" t="s">
        <v>93</v>
      </c>
      <c r="H289">
        <v>207.48</v>
      </c>
      <c r="I289">
        <v>95</v>
      </c>
      <c r="J289">
        <v>38.049999999999997</v>
      </c>
      <c r="K289">
        <v>99</v>
      </c>
      <c r="L289">
        <v>108.87</v>
      </c>
      <c r="M289">
        <v>90</v>
      </c>
      <c r="N289">
        <v>63.69</v>
      </c>
      <c r="O289">
        <v>97</v>
      </c>
      <c r="P289">
        <v>-36.58</v>
      </c>
      <c r="Q289">
        <v>99</v>
      </c>
      <c r="R289">
        <v>3.87</v>
      </c>
      <c r="S289">
        <v>91</v>
      </c>
      <c r="T289">
        <v>21.37</v>
      </c>
      <c r="U289">
        <v>97</v>
      </c>
      <c r="V289">
        <v>8.2100000000000009</v>
      </c>
      <c r="W289">
        <v>82</v>
      </c>
      <c r="X289" t="s">
        <v>94</v>
      </c>
      <c r="Y289" t="s">
        <v>319</v>
      </c>
      <c r="Z289" t="s">
        <v>96</v>
      </c>
      <c r="AA289" t="s">
        <v>1641</v>
      </c>
      <c r="AB289" t="s">
        <v>1642</v>
      </c>
      <c r="AC289">
        <v>932</v>
      </c>
      <c r="AD289">
        <v>426</v>
      </c>
      <c r="AE289">
        <v>99</v>
      </c>
      <c r="AF289">
        <v>-202.96</v>
      </c>
      <c r="AG289">
        <v>11.29</v>
      </c>
      <c r="AH289">
        <v>-0.63</v>
      </c>
      <c r="AI289">
        <v>0.35</v>
      </c>
      <c r="AJ289">
        <v>0.11</v>
      </c>
      <c r="AK289">
        <v>90</v>
      </c>
      <c r="AL289">
        <v>909</v>
      </c>
      <c r="AM289">
        <v>465</v>
      </c>
      <c r="AN289">
        <v>-6.11</v>
      </c>
      <c r="AO289">
        <v>2.57</v>
      </c>
      <c r="AP289">
        <v>1700</v>
      </c>
      <c r="AQ289">
        <v>13</v>
      </c>
      <c r="AR289">
        <v>4.4800000000000004</v>
      </c>
      <c r="AS289">
        <v>98</v>
      </c>
      <c r="AT289">
        <v>2.06</v>
      </c>
      <c r="AU289">
        <v>97</v>
      </c>
      <c r="AV289">
        <v>-5.5</v>
      </c>
      <c r="AW289">
        <v>99</v>
      </c>
      <c r="AX289">
        <v>-0.48</v>
      </c>
      <c r="AY289">
        <v>97</v>
      </c>
      <c r="AZ289">
        <v>5.33</v>
      </c>
      <c r="BA289">
        <v>92</v>
      </c>
      <c r="BB289">
        <v>4.51</v>
      </c>
      <c r="BC289">
        <v>89</v>
      </c>
      <c r="BD289">
        <v>-0.06</v>
      </c>
      <c r="BE289">
        <v>-0.01</v>
      </c>
      <c r="BF289">
        <v>0.03</v>
      </c>
      <c r="BG289">
        <v>98</v>
      </c>
      <c r="BH289">
        <v>0.08</v>
      </c>
      <c r="BI289">
        <v>-17.22</v>
      </c>
      <c r="BJ289">
        <v>24</v>
      </c>
      <c r="BK289">
        <v>23</v>
      </c>
      <c r="BL289">
        <v>-2.63</v>
      </c>
      <c r="BM289">
        <v>-0.76</v>
      </c>
      <c r="BN289">
        <v>-3.19</v>
      </c>
      <c r="BO289">
        <v>-2.42</v>
      </c>
      <c r="BP289">
        <v>1.72</v>
      </c>
      <c r="BQ289">
        <v>-4.3099999999999996</v>
      </c>
      <c r="BR289">
        <v>2.06</v>
      </c>
      <c r="BS289">
        <v>-3.07</v>
      </c>
      <c r="BT289">
        <v>-3.7</v>
      </c>
      <c r="BU289">
        <v>-2.2799999999999998</v>
      </c>
      <c r="BV289">
        <v>-3.1</v>
      </c>
      <c r="BW289">
        <v>-4.09</v>
      </c>
      <c r="BX289">
        <v>-2.69</v>
      </c>
      <c r="BY289">
        <v>-3.09</v>
      </c>
      <c r="BZ289">
        <v>-0.82</v>
      </c>
      <c r="CA289">
        <v>-2.37</v>
      </c>
      <c r="CB289">
        <v>-2.54</v>
      </c>
      <c r="CC289">
        <v>-1.9</v>
      </c>
      <c r="CD289">
        <v>0.92</v>
      </c>
      <c r="CE289">
        <v>-1.92</v>
      </c>
      <c r="CF289">
        <v>-3.05</v>
      </c>
      <c r="CG289">
        <v>0</v>
      </c>
      <c r="CH289">
        <v>-2.9</v>
      </c>
      <c r="CI289">
        <v>0</v>
      </c>
      <c r="CJ289">
        <v>-17.899999999999999</v>
      </c>
      <c r="CK289">
        <v>99</v>
      </c>
      <c r="CL289">
        <v>-0.71</v>
      </c>
      <c r="CM289">
        <v>99</v>
      </c>
      <c r="CN289">
        <v>0.15</v>
      </c>
      <c r="CO289">
        <v>99</v>
      </c>
      <c r="CP289">
        <v>-18.600000000000001</v>
      </c>
      <c r="CQ289">
        <v>95</v>
      </c>
      <c r="CR289">
        <v>0</v>
      </c>
      <c r="CS289">
        <v>0</v>
      </c>
      <c r="CT289">
        <v>-15.1</v>
      </c>
      <c r="CU289">
        <v>97</v>
      </c>
      <c r="CV289">
        <v>-0.02</v>
      </c>
      <c r="CW289">
        <v>46</v>
      </c>
      <c r="CX289" t="s">
        <v>1094</v>
      </c>
    </row>
    <row r="290" spans="1:102" x14ac:dyDescent="0.3">
      <c r="A290" t="str">
        <f>HYPERLINK("https://webapp.icbf.com/v2/app/bull-search/view/1249237462","FR4018")</f>
        <v>FR4018</v>
      </c>
      <c r="B290" t="s">
        <v>13842</v>
      </c>
      <c r="C290" t="s">
        <v>13843</v>
      </c>
      <c r="D290" s="1">
        <v>42031</v>
      </c>
      <c r="E290" t="s">
        <v>92</v>
      </c>
      <c r="F290">
        <v>69</v>
      </c>
      <c r="G290" t="s">
        <v>435</v>
      </c>
      <c r="H290">
        <v>207.37</v>
      </c>
      <c r="I290">
        <v>78</v>
      </c>
      <c r="J290">
        <v>86.98</v>
      </c>
      <c r="K290">
        <v>89</v>
      </c>
      <c r="L290">
        <v>73.48</v>
      </c>
      <c r="M290">
        <v>68</v>
      </c>
      <c r="N290">
        <v>39.49</v>
      </c>
      <c r="O290">
        <v>90</v>
      </c>
      <c r="P290">
        <v>-19.440000000000001</v>
      </c>
      <c r="Q290">
        <v>93</v>
      </c>
      <c r="R290">
        <v>5.61</v>
      </c>
      <c r="S290">
        <v>67</v>
      </c>
      <c r="T290">
        <v>19.75</v>
      </c>
      <c r="U290">
        <v>56</v>
      </c>
      <c r="V290">
        <v>1.5</v>
      </c>
      <c r="W290">
        <v>61</v>
      </c>
      <c r="X290" t="s">
        <v>94</v>
      </c>
      <c r="Y290" t="s">
        <v>436</v>
      </c>
      <c r="Z290" t="s">
        <v>330</v>
      </c>
      <c r="AA290" t="s">
        <v>7873</v>
      </c>
      <c r="AB290" t="s">
        <v>13844</v>
      </c>
      <c r="AC290">
        <v>13</v>
      </c>
      <c r="AD290">
        <v>10</v>
      </c>
      <c r="AE290">
        <v>89</v>
      </c>
      <c r="AF290">
        <v>277.41000000000003</v>
      </c>
      <c r="AG290">
        <v>15.8</v>
      </c>
      <c r="AH290">
        <v>13.45</v>
      </c>
      <c r="AI290">
        <v>0.08</v>
      </c>
      <c r="AJ290">
        <v>7.0000000000000007E-2</v>
      </c>
      <c r="AK290">
        <v>68</v>
      </c>
      <c r="AL290">
        <v>0</v>
      </c>
      <c r="AM290">
        <v>0</v>
      </c>
      <c r="AN290">
        <v>-2.46</v>
      </c>
      <c r="AO290">
        <v>3.42</v>
      </c>
      <c r="AP290">
        <v>4347</v>
      </c>
      <c r="AQ290">
        <v>2</v>
      </c>
      <c r="AR290">
        <v>7.05</v>
      </c>
      <c r="AS290">
        <v>95</v>
      </c>
      <c r="AT290">
        <v>2.4</v>
      </c>
      <c r="AU290">
        <v>99</v>
      </c>
      <c r="AV290">
        <v>-4.24</v>
      </c>
      <c r="AW290">
        <v>99</v>
      </c>
      <c r="AX290">
        <v>-0.25</v>
      </c>
      <c r="AY290">
        <v>98</v>
      </c>
      <c r="AZ290">
        <v>6.37</v>
      </c>
      <c r="BA290">
        <v>50</v>
      </c>
      <c r="BB290">
        <v>5.43</v>
      </c>
      <c r="BC290">
        <v>46</v>
      </c>
      <c r="BD290">
        <v>-0.06</v>
      </c>
      <c r="BE290">
        <v>-0.01</v>
      </c>
      <c r="BF290">
        <v>-0.01</v>
      </c>
      <c r="BG290">
        <v>76</v>
      </c>
      <c r="BH290">
        <v>0.03</v>
      </c>
      <c r="BI290">
        <v>-1.36</v>
      </c>
      <c r="BJ290">
        <v>0</v>
      </c>
      <c r="BK290">
        <v>0</v>
      </c>
      <c r="BL290">
        <v>-2.1800000000000002</v>
      </c>
      <c r="BM290">
        <v>1.43</v>
      </c>
      <c r="BN290">
        <v>-0.34</v>
      </c>
      <c r="BO290">
        <v>-1.4</v>
      </c>
      <c r="BP290">
        <v>-2.4900000000000002</v>
      </c>
      <c r="BQ290">
        <v>-2.56</v>
      </c>
      <c r="BR290">
        <v>-0.59</v>
      </c>
      <c r="BS290">
        <v>-1.1399999999999999</v>
      </c>
      <c r="BT290">
        <v>-1.46</v>
      </c>
      <c r="BU290">
        <v>-1.65</v>
      </c>
      <c r="BV290">
        <v>-1.08</v>
      </c>
      <c r="BW290">
        <v>-2.37</v>
      </c>
      <c r="BX290">
        <v>-3.19</v>
      </c>
      <c r="BY290">
        <v>-2.19</v>
      </c>
      <c r="BZ290">
        <v>3.78</v>
      </c>
      <c r="CA290">
        <v>-1.59</v>
      </c>
      <c r="CB290">
        <v>-1.81</v>
      </c>
      <c r="CC290">
        <v>-1.27</v>
      </c>
      <c r="CD290">
        <v>0.71</v>
      </c>
      <c r="CE290">
        <v>-1.35</v>
      </c>
      <c r="CF290">
        <v>-1.74</v>
      </c>
      <c r="CG290">
        <v>0</v>
      </c>
      <c r="CH290">
        <v>-1.7</v>
      </c>
      <c r="CI290">
        <v>0</v>
      </c>
      <c r="CJ290">
        <v>-10.4</v>
      </c>
      <c r="CK290">
        <v>96</v>
      </c>
      <c r="CL290">
        <v>-0.54</v>
      </c>
      <c r="CM290">
        <v>95</v>
      </c>
      <c r="CN290">
        <v>-0.23</v>
      </c>
      <c r="CO290">
        <v>94</v>
      </c>
      <c r="CP290">
        <v>-14.7</v>
      </c>
      <c r="CQ290">
        <v>61</v>
      </c>
      <c r="CR290">
        <v>0</v>
      </c>
      <c r="CS290">
        <v>0</v>
      </c>
      <c r="CT290">
        <v>-12.9</v>
      </c>
      <c r="CU290">
        <v>56</v>
      </c>
      <c r="CV290">
        <v>-0.05</v>
      </c>
      <c r="CW290">
        <v>47</v>
      </c>
      <c r="CX290" t="s">
        <v>4088</v>
      </c>
    </row>
    <row r="291" spans="1:102" x14ac:dyDescent="0.3">
      <c r="A291" t="str">
        <f>HYPERLINK("https://webapp.icbf.com/v2/app/bull-search/view/1040513279","S2115")</f>
        <v>S2115</v>
      </c>
      <c r="B291" t="s">
        <v>5943</v>
      </c>
      <c r="C291" t="s">
        <v>5944</v>
      </c>
      <c r="D291" s="1">
        <v>41310</v>
      </c>
      <c r="E291" t="s">
        <v>92</v>
      </c>
      <c r="F291">
        <v>59</v>
      </c>
      <c r="G291" t="s">
        <v>93</v>
      </c>
      <c r="H291">
        <v>207.28</v>
      </c>
      <c r="I291">
        <v>87</v>
      </c>
      <c r="J291">
        <v>74.599999999999994</v>
      </c>
      <c r="K291">
        <v>97</v>
      </c>
      <c r="L291">
        <v>90.9</v>
      </c>
      <c r="M291">
        <v>77</v>
      </c>
      <c r="N291">
        <v>41.32</v>
      </c>
      <c r="O291">
        <v>88</v>
      </c>
      <c r="P291">
        <v>-20.190000000000001</v>
      </c>
      <c r="Q291">
        <v>95</v>
      </c>
      <c r="R291">
        <v>-7.12</v>
      </c>
      <c r="S291">
        <v>76</v>
      </c>
      <c r="T291">
        <v>19.670000000000002</v>
      </c>
      <c r="U291">
        <v>94</v>
      </c>
      <c r="V291">
        <v>8.1</v>
      </c>
      <c r="W291">
        <v>70</v>
      </c>
      <c r="X291" t="s">
        <v>234</v>
      </c>
      <c r="Y291" t="s">
        <v>367</v>
      </c>
      <c r="Z291" t="s">
        <v>330</v>
      </c>
      <c r="AA291" t="s">
        <v>5945</v>
      </c>
      <c r="AB291" t="s">
        <v>5946</v>
      </c>
      <c r="AC291">
        <v>158</v>
      </c>
      <c r="AD291">
        <v>29</v>
      </c>
      <c r="AE291">
        <v>97</v>
      </c>
      <c r="AF291">
        <v>41.87</v>
      </c>
      <c r="AG291">
        <v>16.079999999999998</v>
      </c>
      <c r="AH291">
        <v>7.64</v>
      </c>
      <c r="AI291">
        <v>0.25</v>
      </c>
      <c r="AJ291">
        <v>0.11</v>
      </c>
      <c r="AK291">
        <v>77</v>
      </c>
      <c r="AL291">
        <v>169</v>
      </c>
      <c r="AM291">
        <v>42</v>
      </c>
      <c r="AN291">
        <v>-4.92</v>
      </c>
      <c r="AO291">
        <v>2.33</v>
      </c>
      <c r="AP291">
        <v>518</v>
      </c>
      <c r="AQ291">
        <v>2</v>
      </c>
      <c r="AR291">
        <v>4.88</v>
      </c>
      <c r="AS291">
        <v>83</v>
      </c>
      <c r="AT291">
        <v>2.13</v>
      </c>
      <c r="AU291">
        <v>93</v>
      </c>
      <c r="AV291">
        <v>-3.51</v>
      </c>
      <c r="AW291">
        <v>97</v>
      </c>
      <c r="AX291">
        <v>-7.0000000000000007E-2</v>
      </c>
      <c r="AY291">
        <v>90</v>
      </c>
      <c r="AZ291">
        <v>5.84</v>
      </c>
      <c r="BA291">
        <v>74</v>
      </c>
      <c r="BB291">
        <v>5.28</v>
      </c>
      <c r="BC291">
        <v>59</v>
      </c>
      <c r="BD291">
        <v>0.01</v>
      </c>
      <c r="BE291">
        <v>0.03</v>
      </c>
      <c r="BF291">
        <v>0.09</v>
      </c>
      <c r="BG291">
        <v>89</v>
      </c>
      <c r="BH291">
        <v>0.13</v>
      </c>
      <c r="BI291">
        <v>-11.09</v>
      </c>
      <c r="BJ291">
        <v>0</v>
      </c>
      <c r="BK291">
        <v>0</v>
      </c>
      <c r="BL291">
        <v>-1.5</v>
      </c>
      <c r="BM291">
        <v>-1.1200000000000001</v>
      </c>
      <c r="BN291">
        <v>-1.95</v>
      </c>
      <c r="BO291">
        <v>-1.1499999999999999</v>
      </c>
      <c r="BP291">
        <v>1.21</v>
      </c>
      <c r="BQ291">
        <v>-3.09</v>
      </c>
      <c r="BR291">
        <v>1.06</v>
      </c>
      <c r="BS291">
        <v>-1.1100000000000001</v>
      </c>
      <c r="BT291">
        <v>-1.66</v>
      </c>
      <c r="BU291">
        <v>-2.06</v>
      </c>
      <c r="BV291">
        <v>-1.65</v>
      </c>
      <c r="BW291">
        <v>-2.13</v>
      </c>
      <c r="BX291">
        <v>-2.2999999999999998</v>
      </c>
      <c r="BY291">
        <v>-0.84</v>
      </c>
      <c r="BZ291">
        <v>1.66</v>
      </c>
      <c r="CA291">
        <v>-2.11</v>
      </c>
      <c r="CB291">
        <v>-1.81</v>
      </c>
      <c r="CC291">
        <v>-1.26</v>
      </c>
      <c r="CD291">
        <v>0.34</v>
      </c>
      <c r="CE291">
        <v>-0.37</v>
      </c>
      <c r="CF291">
        <v>-0.86</v>
      </c>
      <c r="CG291">
        <v>0</v>
      </c>
      <c r="CH291">
        <v>-1.25</v>
      </c>
      <c r="CI291">
        <v>0</v>
      </c>
      <c r="CJ291">
        <v>-10.4</v>
      </c>
      <c r="CK291">
        <v>96</v>
      </c>
      <c r="CL291">
        <v>-0.46</v>
      </c>
      <c r="CM291">
        <v>95</v>
      </c>
      <c r="CN291">
        <v>-0.1</v>
      </c>
      <c r="CO291">
        <v>95</v>
      </c>
      <c r="CP291">
        <v>-15.1</v>
      </c>
      <c r="CQ291">
        <v>85</v>
      </c>
      <c r="CR291">
        <v>0</v>
      </c>
      <c r="CS291">
        <v>0</v>
      </c>
      <c r="CT291">
        <v>-12.8</v>
      </c>
      <c r="CU291">
        <v>94</v>
      </c>
      <c r="CV291">
        <v>-0.08</v>
      </c>
      <c r="CW291">
        <v>45</v>
      </c>
      <c r="CX291" t="s">
        <v>5947</v>
      </c>
    </row>
    <row r="292" spans="1:102" x14ac:dyDescent="0.3">
      <c r="A292" t="str">
        <f>HYPERLINK("https://webapp.icbf.com/v2/app/bull-search/view/966368776","JMR")</f>
        <v>JMR</v>
      </c>
      <c r="B292" t="s">
        <v>8312</v>
      </c>
      <c r="C292" t="s">
        <v>8313</v>
      </c>
      <c r="D292" s="1">
        <v>41010</v>
      </c>
      <c r="E292" t="s">
        <v>108</v>
      </c>
      <c r="F292">
        <v>47</v>
      </c>
      <c r="G292" t="s">
        <v>93</v>
      </c>
      <c r="H292">
        <v>207.28</v>
      </c>
      <c r="I292">
        <v>83</v>
      </c>
      <c r="J292">
        <v>83.56</v>
      </c>
      <c r="K292">
        <v>96</v>
      </c>
      <c r="L292">
        <v>83.69</v>
      </c>
      <c r="M292">
        <v>73</v>
      </c>
      <c r="N292">
        <v>27.56</v>
      </c>
      <c r="O292">
        <v>86</v>
      </c>
      <c r="P292">
        <v>-11.53</v>
      </c>
      <c r="Q292">
        <v>90</v>
      </c>
      <c r="R292">
        <v>7.55</v>
      </c>
      <c r="S292">
        <v>74</v>
      </c>
      <c r="T292">
        <v>12.72</v>
      </c>
      <c r="U292">
        <v>74</v>
      </c>
      <c r="V292">
        <v>3.73</v>
      </c>
      <c r="W292">
        <v>68</v>
      </c>
      <c r="X292" t="s">
        <v>94</v>
      </c>
      <c r="Y292" t="s">
        <v>1976</v>
      </c>
      <c r="Z292" t="s">
        <v>330</v>
      </c>
      <c r="AA292" t="s">
        <v>6199</v>
      </c>
      <c r="AB292" t="s">
        <v>8314</v>
      </c>
      <c r="AC292">
        <v>70</v>
      </c>
      <c r="AD292">
        <v>41</v>
      </c>
      <c r="AE292">
        <v>96</v>
      </c>
      <c r="AF292">
        <v>160.27000000000001</v>
      </c>
      <c r="AG292">
        <v>11.6</v>
      </c>
      <c r="AH292">
        <v>12.56</v>
      </c>
      <c r="AI292">
        <v>0.09</v>
      </c>
      <c r="AJ292">
        <v>0.12</v>
      </c>
      <c r="AK292">
        <v>73</v>
      </c>
      <c r="AL292">
        <v>74</v>
      </c>
      <c r="AM292">
        <v>45</v>
      </c>
      <c r="AN292">
        <v>-4.8600000000000003</v>
      </c>
      <c r="AO292">
        <v>1.81</v>
      </c>
      <c r="AP292">
        <v>323</v>
      </c>
      <c r="AQ292">
        <v>1</v>
      </c>
      <c r="AR292">
        <v>5.64</v>
      </c>
      <c r="AS292">
        <v>69</v>
      </c>
      <c r="AT292">
        <v>2.2799999999999998</v>
      </c>
      <c r="AU292">
        <v>90</v>
      </c>
      <c r="AV292">
        <v>-2</v>
      </c>
      <c r="AW292">
        <v>98</v>
      </c>
      <c r="AX292">
        <v>-0.53</v>
      </c>
      <c r="AY292">
        <v>85</v>
      </c>
      <c r="AZ292">
        <v>6.72</v>
      </c>
      <c r="BA292">
        <v>61</v>
      </c>
      <c r="BB292">
        <v>5.1100000000000003</v>
      </c>
      <c r="BC292">
        <v>58</v>
      </c>
      <c r="BD292">
        <v>-0.04</v>
      </c>
      <c r="BE292">
        <v>-0.03</v>
      </c>
      <c r="BF292">
        <v>-0.05</v>
      </c>
      <c r="BG292">
        <v>85</v>
      </c>
      <c r="BH292">
        <v>-0.04</v>
      </c>
      <c r="BI292">
        <v>-16.649999999999999</v>
      </c>
      <c r="BJ292">
        <v>15</v>
      </c>
      <c r="BK292">
        <v>7</v>
      </c>
      <c r="BL292">
        <v>-2.0099999999999998</v>
      </c>
      <c r="BM292">
        <v>-0.51</v>
      </c>
      <c r="BN292">
        <v>-2.1</v>
      </c>
      <c r="BO292">
        <v>-1.63</v>
      </c>
      <c r="BP292">
        <v>-0.46</v>
      </c>
      <c r="BQ292">
        <v>-2.33</v>
      </c>
      <c r="BR292">
        <v>-0.81</v>
      </c>
      <c r="BS292">
        <v>-1.03</v>
      </c>
      <c r="BT292">
        <v>-0.37</v>
      </c>
      <c r="BU292">
        <v>-0.82</v>
      </c>
      <c r="BV292">
        <v>-1.48</v>
      </c>
      <c r="BW292">
        <v>-0.74</v>
      </c>
      <c r="BX292">
        <v>-1.21</v>
      </c>
      <c r="BY292">
        <v>-1.1399999999999999</v>
      </c>
      <c r="BZ292">
        <v>1.63</v>
      </c>
      <c r="CA292">
        <v>-0.77</v>
      </c>
      <c r="CB292">
        <v>-1.02</v>
      </c>
      <c r="CC292">
        <v>-0.76</v>
      </c>
      <c r="CD292">
        <v>-0.15</v>
      </c>
      <c r="CE292">
        <v>-1.31</v>
      </c>
      <c r="CF292">
        <v>-1.73</v>
      </c>
      <c r="CG292">
        <v>0</v>
      </c>
      <c r="CH292">
        <v>-2.69</v>
      </c>
      <c r="CI292">
        <v>0</v>
      </c>
      <c r="CJ292">
        <v>-3.1</v>
      </c>
      <c r="CK292">
        <v>92</v>
      </c>
      <c r="CL292">
        <v>-0.63</v>
      </c>
      <c r="CM292">
        <v>90</v>
      </c>
      <c r="CN292">
        <v>0.01</v>
      </c>
      <c r="CO292">
        <v>89</v>
      </c>
      <c r="CP292">
        <v>-4.2</v>
      </c>
      <c r="CQ292">
        <v>75</v>
      </c>
      <c r="CR292">
        <v>0</v>
      </c>
      <c r="CS292">
        <v>0</v>
      </c>
      <c r="CT292">
        <v>-3.4</v>
      </c>
      <c r="CU292">
        <v>74</v>
      </c>
      <c r="CV292">
        <v>0.19</v>
      </c>
      <c r="CW292">
        <v>44</v>
      </c>
      <c r="CX292" t="s">
        <v>1434</v>
      </c>
    </row>
    <row r="293" spans="1:102" x14ac:dyDescent="0.3">
      <c r="A293" t="str">
        <f>HYPERLINK("https://webapp.icbf.com/v2/app/bull-search/view/863180282","KPV")</f>
        <v>KPV</v>
      </c>
      <c r="B293" t="s">
        <v>13022</v>
      </c>
      <c r="C293" t="s">
        <v>13023</v>
      </c>
      <c r="D293" s="1">
        <v>40588</v>
      </c>
      <c r="E293" t="s">
        <v>92</v>
      </c>
      <c r="F293">
        <v>78</v>
      </c>
      <c r="G293" t="s">
        <v>93</v>
      </c>
      <c r="H293">
        <v>206.92</v>
      </c>
      <c r="I293">
        <v>92</v>
      </c>
      <c r="J293">
        <v>54.34</v>
      </c>
      <c r="K293">
        <v>98</v>
      </c>
      <c r="L293">
        <v>109.85</v>
      </c>
      <c r="M293">
        <v>86</v>
      </c>
      <c r="N293">
        <v>37.1</v>
      </c>
      <c r="O293">
        <v>93</v>
      </c>
      <c r="P293">
        <v>-11.37</v>
      </c>
      <c r="Q293">
        <v>96</v>
      </c>
      <c r="R293">
        <v>11.92</v>
      </c>
      <c r="S293">
        <v>87</v>
      </c>
      <c r="T293">
        <v>2.21</v>
      </c>
      <c r="U293">
        <v>92</v>
      </c>
      <c r="V293">
        <v>2.87</v>
      </c>
      <c r="W293">
        <v>81</v>
      </c>
      <c r="X293" t="s">
        <v>94</v>
      </c>
      <c r="Y293" t="s">
        <v>1860</v>
      </c>
      <c r="Z293" t="s">
        <v>96</v>
      </c>
      <c r="AA293" t="s">
        <v>1939</v>
      </c>
      <c r="AB293" t="s">
        <v>13024</v>
      </c>
      <c r="AC293">
        <v>285</v>
      </c>
      <c r="AD293">
        <v>151</v>
      </c>
      <c r="AE293">
        <v>98</v>
      </c>
      <c r="AF293">
        <v>-317.29000000000002</v>
      </c>
      <c r="AG293">
        <v>11.86</v>
      </c>
      <c r="AH293">
        <v>0.19</v>
      </c>
      <c r="AI293">
        <v>0.45</v>
      </c>
      <c r="AJ293">
        <v>0.2</v>
      </c>
      <c r="AK293">
        <v>86</v>
      </c>
      <c r="AL293">
        <v>330</v>
      </c>
      <c r="AM293">
        <v>172</v>
      </c>
      <c r="AN293">
        <v>-5.99</v>
      </c>
      <c r="AO293">
        <v>2.77</v>
      </c>
      <c r="AP293">
        <v>529</v>
      </c>
      <c r="AQ293">
        <v>7</v>
      </c>
      <c r="AR293">
        <v>7.89</v>
      </c>
      <c r="AS293">
        <v>87</v>
      </c>
      <c r="AT293">
        <v>2.58</v>
      </c>
      <c r="AU293">
        <v>94</v>
      </c>
      <c r="AV293">
        <v>-3.76</v>
      </c>
      <c r="AW293">
        <v>99</v>
      </c>
      <c r="AX293">
        <v>-0.49</v>
      </c>
      <c r="AY293">
        <v>92</v>
      </c>
      <c r="AZ293">
        <v>6.81</v>
      </c>
      <c r="BA293">
        <v>81</v>
      </c>
      <c r="BB293">
        <v>4.46</v>
      </c>
      <c r="BC293">
        <v>80</v>
      </c>
      <c r="BD293">
        <v>-0.06</v>
      </c>
      <c r="BE293">
        <v>-0.06</v>
      </c>
      <c r="BF293">
        <v>-0.06</v>
      </c>
      <c r="BG293">
        <v>94</v>
      </c>
      <c r="BH293">
        <v>0.01</v>
      </c>
      <c r="BI293">
        <v>-8.11</v>
      </c>
      <c r="BJ293">
        <v>20</v>
      </c>
      <c r="BK293">
        <v>12</v>
      </c>
      <c r="BL293">
        <v>-0.22</v>
      </c>
      <c r="BM293">
        <v>0.54</v>
      </c>
      <c r="BN293">
        <v>-0.22</v>
      </c>
      <c r="BO293">
        <v>-0.38</v>
      </c>
      <c r="BP293">
        <v>2.61</v>
      </c>
      <c r="BQ293">
        <v>-0.42</v>
      </c>
      <c r="BR293">
        <v>-0.5</v>
      </c>
      <c r="BS293">
        <v>0.57999999999999996</v>
      </c>
      <c r="BT293">
        <v>0.7</v>
      </c>
      <c r="BU293">
        <v>1.41</v>
      </c>
      <c r="BV293">
        <v>0.03</v>
      </c>
      <c r="BW293">
        <v>0.6</v>
      </c>
      <c r="BX293">
        <v>1.05</v>
      </c>
      <c r="BY293">
        <v>1.44</v>
      </c>
      <c r="BZ293">
        <v>-1.74</v>
      </c>
      <c r="CA293">
        <v>1.21</v>
      </c>
      <c r="CB293">
        <v>1.21</v>
      </c>
      <c r="CC293">
        <v>0.33</v>
      </c>
      <c r="CD293">
        <v>1.23</v>
      </c>
      <c r="CE293">
        <v>0.09</v>
      </c>
      <c r="CF293">
        <v>0.06</v>
      </c>
      <c r="CG293">
        <v>0</v>
      </c>
      <c r="CH293">
        <v>2.11</v>
      </c>
      <c r="CI293">
        <v>0</v>
      </c>
      <c r="CJ293">
        <v>-4</v>
      </c>
      <c r="CK293">
        <v>97</v>
      </c>
      <c r="CL293">
        <v>-0.76</v>
      </c>
      <c r="CM293">
        <v>97</v>
      </c>
      <c r="CN293">
        <v>-0.15</v>
      </c>
      <c r="CO293">
        <v>96</v>
      </c>
      <c r="CP293">
        <v>1.6</v>
      </c>
      <c r="CQ293">
        <v>91</v>
      </c>
      <c r="CR293">
        <v>0</v>
      </c>
      <c r="CS293">
        <v>0</v>
      </c>
      <c r="CT293">
        <v>10.8</v>
      </c>
      <c r="CU293">
        <v>92</v>
      </c>
      <c r="CV293">
        <v>0.12</v>
      </c>
      <c r="CW293">
        <v>48</v>
      </c>
      <c r="CX293" t="s">
        <v>1165</v>
      </c>
    </row>
    <row r="294" spans="1:102" x14ac:dyDescent="0.3">
      <c r="A294" t="str">
        <f>HYPERLINK("https://webapp.icbf.com/v2/app/bull-search/view/863511098","KZY")</f>
        <v>KZY</v>
      </c>
      <c r="B294" t="s">
        <v>15458</v>
      </c>
      <c r="C294" t="s">
        <v>15459</v>
      </c>
      <c r="D294" s="1">
        <v>40588</v>
      </c>
      <c r="E294" t="s">
        <v>92</v>
      </c>
      <c r="F294">
        <v>59</v>
      </c>
      <c r="G294" t="s">
        <v>93</v>
      </c>
      <c r="H294">
        <v>206.78</v>
      </c>
      <c r="I294">
        <v>88</v>
      </c>
      <c r="J294">
        <v>62.86</v>
      </c>
      <c r="K294">
        <v>98</v>
      </c>
      <c r="L294">
        <v>96.04</v>
      </c>
      <c r="M294">
        <v>79</v>
      </c>
      <c r="N294">
        <v>47.19</v>
      </c>
      <c r="O294">
        <v>92</v>
      </c>
      <c r="P294">
        <v>-19.260000000000002</v>
      </c>
      <c r="Q294">
        <v>95</v>
      </c>
      <c r="R294">
        <v>9</v>
      </c>
      <c r="S294">
        <v>80</v>
      </c>
      <c r="T294">
        <v>10.050000000000001</v>
      </c>
      <c r="U294">
        <v>81</v>
      </c>
      <c r="V294">
        <v>0.9</v>
      </c>
      <c r="W294">
        <v>76</v>
      </c>
      <c r="X294" t="s">
        <v>102</v>
      </c>
      <c r="Y294" t="s">
        <v>1860</v>
      </c>
      <c r="Z294" t="s">
        <v>330</v>
      </c>
      <c r="AA294" t="s">
        <v>5685</v>
      </c>
      <c r="AB294" t="s">
        <v>15460</v>
      </c>
      <c r="AC294">
        <v>173</v>
      </c>
      <c r="AD294">
        <v>58</v>
      </c>
      <c r="AE294">
        <v>98</v>
      </c>
      <c r="AF294">
        <v>-123.79</v>
      </c>
      <c r="AG294">
        <v>7.11</v>
      </c>
      <c r="AH294">
        <v>6.28</v>
      </c>
      <c r="AI294">
        <v>0.21</v>
      </c>
      <c r="AJ294">
        <v>0.19</v>
      </c>
      <c r="AK294">
        <v>79</v>
      </c>
      <c r="AL294">
        <v>202</v>
      </c>
      <c r="AM294">
        <v>76</v>
      </c>
      <c r="AN294">
        <v>-5.18</v>
      </c>
      <c r="AO294">
        <v>2.48</v>
      </c>
      <c r="AP294">
        <v>1704</v>
      </c>
      <c r="AQ294">
        <v>0</v>
      </c>
      <c r="AR294">
        <v>4.79</v>
      </c>
      <c r="AS294">
        <v>92</v>
      </c>
      <c r="AT294">
        <v>2.23</v>
      </c>
      <c r="AU294">
        <v>97</v>
      </c>
      <c r="AV294">
        <v>-3.73</v>
      </c>
      <c r="AW294">
        <v>99</v>
      </c>
      <c r="AX294">
        <v>-0.53</v>
      </c>
      <c r="AY294">
        <v>96</v>
      </c>
      <c r="AZ294">
        <v>5.21</v>
      </c>
      <c r="BA294">
        <v>76</v>
      </c>
      <c r="BB294">
        <v>4.76</v>
      </c>
      <c r="BC294">
        <v>64</v>
      </c>
      <c r="BD294">
        <v>-0.09</v>
      </c>
      <c r="BE294">
        <v>-0.03</v>
      </c>
      <c r="BF294">
        <v>0</v>
      </c>
      <c r="BG294">
        <v>90</v>
      </c>
      <c r="BH294">
        <v>-0.01</v>
      </c>
      <c r="BI294">
        <v>-4.0599999999999996</v>
      </c>
      <c r="BJ294">
        <v>1</v>
      </c>
      <c r="BK294">
        <v>1</v>
      </c>
      <c r="BL294">
        <v>-1.72</v>
      </c>
      <c r="BM294">
        <v>0.66</v>
      </c>
      <c r="BN294">
        <v>-1.34</v>
      </c>
      <c r="BO294">
        <v>-1.77</v>
      </c>
      <c r="BP294">
        <v>-1.78</v>
      </c>
      <c r="BQ294">
        <v>0.42</v>
      </c>
      <c r="BR294">
        <v>0.99</v>
      </c>
      <c r="BS294">
        <v>-0.66</v>
      </c>
      <c r="BT294">
        <v>-1.1200000000000001</v>
      </c>
      <c r="BU294">
        <v>-0.64</v>
      </c>
      <c r="BV294">
        <v>-1.64</v>
      </c>
      <c r="BW294">
        <v>-1.67</v>
      </c>
      <c r="BX294">
        <v>-0.78</v>
      </c>
      <c r="BY294">
        <v>-2.16</v>
      </c>
      <c r="BZ294">
        <v>1.52</v>
      </c>
      <c r="CA294">
        <v>-1.59</v>
      </c>
      <c r="CB294">
        <v>-1.52</v>
      </c>
      <c r="CC294">
        <v>-1.44</v>
      </c>
      <c r="CD294">
        <v>0.72</v>
      </c>
      <c r="CE294">
        <v>-1.34</v>
      </c>
      <c r="CF294">
        <v>-1.1299999999999999</v>
      </c>
      <c r="CG294">
        <v>0</v>
      </c>
      <c r="CH294">
        <v>-0.51</v>
      </c>
      <c r="CI294">
        <v>0</v>
      </c>
      <c r="CJ294">
        <v>-8.6999999999999993</v>
      </c>
      <c r="CK294">
        <v>97</v>
      </c>
      <c r="CL294">
        <v>-0.82</v>
      </c>
      <c r="CM294">
        <v>96</v>
      </c>
      <c r="CN294">
        <v>-0.17</v>
      </c>
      <c r="CO294">
        <v>96</v>
      </c>
      <c r="CP294">
        <v>-5.2</v>
      </c>
      <c r="CQ294">
        <v>81</v>
      </c>
      <c r="CR294">
        <v>0</v>
      </c>
      <c r="CS294">
        <v>0</v>
      </c>
      <c r="CT294">
        <v>0.2</v>
      </c>
      <c r="CU294">
        <v>81</v>
      </c>
      <c r="CV294">
        <v>0.16</v>
      </c>
      <c r="CW294">
        <v>46</v>
      </c>
      <c r="CX294" t="s">
        <v>1762</v>
      </c>
    </row>
    <row r="295" spans="1:102" x14ac:dyDescent="0.3">
      <c r="A295" t="str">
        <f>HYPERLINK("https://webapp.icbf.com/v2/app/bull-search/view/1479509983","FR4538")</f>
        <v>FR4538</v>
      </c>
      <c r="B295" t="s">
        <v>13880</v>
      </c>
      <c r="C295" t="s">
        <v>13881</v>
      </c>
      <c r="D295" s="1">
        <v>42776</v>
      </c>
      <c r="E295" t="s">
        <v>92</v>
      </c>
      <c r="F295">
        <v>56</v>
      </c>
      <c r="G295" t="s">
        <v>435</v>
      </c>
      <c r="H295">
        <v>206.74</v>
      </c>
      <c r="I295">
        <v>69</v>
      </c>
      <c r="J295">
        <v>75.56</v>
      </c>
      <c r="K295">
        <v>89</v>
      </c>
      <c r="L295">
        <v>75.36</v>
      </c>
      <c r="M295">
        <v>63</v>
      </c>
      <c r="N295">
        <v>45.73</v>
      </c>
      <c r="O295">
        <v>62</v>
      </c>
      <c r="P295">
        <v>-0.11</v>
      </c>
      <c r="Q295">
        <v>48</v>
      </c>
      <c r="R295">
        <v>-9.06</v>
      </c>
      <c r="S295">
        <v>63</v>
      </c>
      <c r="T295">
        <v>10.27</v>
      </c>
      <c r="U295">
        <v>46</v>
      </c>
      <c r="V295">
        <v>8.99</v>
      </c>
      <c r="W295">
        <v>59</v>
      </c>
      <c r="X295" t="s">
        <v>94</v>
      </c>
      <c r="Y295" t="s">
        <v>2384</v>
      </c>
      <c r="Z295" t="s">
        <v>330</v>
      </c>
      <c r="AA295" t="s">
        <v>6204</v>
      </c>
      <c r="AB295" t="s">
        <v>13882</v>
      </c>
      <c r="AC295">
        <v>0</v>
      </c>
      <c r="AD295">
        <v>0</v>
      </c>
      <c r="AE295">
        <v>89</v>
      </c>
      <c r="AF295">
        <v>91.78</v>
      </c>
      <c r="AG295">
        <v>8.27</v>
      </c>
      <c r="AH295">
        <v>11.33</v>
      </c>
      <c r="AI295">
        <v>0.08</v>
      </c>
      <c r="AJ295">
        <v>0.14000000000000001</v>
      </c>
      <c r="AK295">
        <v>63</v>
      </c>
      <c r="AL295">
        <v>0</v>
      </c>
      <c r="AM295">
        <v>0</v>
      </c>
      <c r="AN295">
        <v>-2.57</v>
      </c>
      <c r="AO295">
        <v>3.46</v>
      </c>
      <c r="AP295">
        <v>13</v>
      </c>
      <c r="AQ295">
        <v>0</v>
      </c>
      <c r="AR295">
        <v>5.67</v>
      </c>
      <c r="AS295">
        <v>59</v>
      </c>
      <c r="AT295">
        <v>2.2799999999999998</v>
      </c>
      <c r="AU295">
        <v>65</v>
      </c>
      <c r="AV295">
        <v>-4.17</v>
      </c>
      <c r="AW295">
        <v>73</v>
      </c>
      <c r="AX295">
        <v>-0.36</v>
      </c>
      <c r="AY295">
        <v>51</v>
      </c>
      <c r="AZ295">
        <v>6.88</v>
      </c>
      <c r="BA295">
        <v>44</v>
      </c>
      <c r="BB295">
        <v>4.76</v>
      </c>
      <c r="BC295">
        <v>38</v>
      </c>
      <c r="BD295">
        <v>-0.01</v>
      </c>
      <c r="BE295">
        <v>0.05</v>
      </c>
      <c r="BF295">
        <v>0.13</v>
      </c>
      <c r="BG295">
        <v>73</v>
      </c>
      <c r="BH295">
        <v>0.13</v>
      </c>
      <c r="BI295">
        <v>-13.95</v>
      </c>
      <c r="BJ295">
        <v>0</v>
      </c>
      <c r="BK295">
        <v>0</v>
      </c>
      <c r="BL295">
        <v>-1.32</v>
      </c>
      <c r="BM295">
        <v>1.52</v>
      </c>
      <c r="BN295">
        <v>-1.66</v>
      </c>
      <c r="BO295">
        <v>-1.58</v>
      </c>
      <c r="BP295">
        <v>-0.35</v>
      </c>
      <c r="BQ295">
        <v>-0.97</v>
      </c>
      <c r="BR295">
        <v>-1.28</v>
      </c>
      <c r="BS295">
        <v>-1.47</v>
      </c>
      <c r="BT295">
        <v>-0.27</v>
      </c>
      <c r="BU295">
        <v>-0.13</v>
      </c>
      <c r="BV295">
        <v>-1.04</v>
      </c>
      <c r="BW295">
        <v>-0.87</v>
      </c>
      <c r="BX295">
        <v>0.51</v>
      </c>
      <c r="BY295">
        <v>-0.99</v>
      </c>
      <c r="BZ295">
        <v>0.43</v>
      </c>
      <c r="CA295">
        <v>-0.39</v>
      </c>
      <c r="CB295">
        <v>-0.35</v>
      </c>
      <c r="CC295">
        <v>-0.38</v>
      </c>
      <c r="CD295">
        <v>1.86</v>
      </c>
      <c r="CE295">
        <v>-0.92</v>
      </c>
      <c r="CF295">
        <v>-1.01</v>
      </c>
      <c r="CG295">
        <v>0</v>
      </c>
      <c r="CH295">
        <v>-0.86</v>
      </c>
      <c r="CI295">
        <v>0</v>
      </c>
      <c r="CJ295">
        <v>2.6</v>
      </c>
      <c r="CK295">
        <v>49</v>
      </c>
      <c r="CL295">
        <v>-0.41</v>
      </c>
      <c r="CM295">
        <v>46</v>
      </c>
      <c r="CN295">
        <v>-0.08</v>
      </c>
      <c r="CO295">
        <v>46</v>
      </c>
      <c r="CP295">
        <v>-2.7</v>
      </c>
      <c r="CQ295">
        <v>46</v>
      </c>
      <c r="CR295">
        <v>0</v>
      </c>
      <c r="CS295">
        <v>0</v>
      </c>
      <c r="CT295">
        <v>-0.1</v>
      </c>
      <c r="CU295">
        <v>46</v>
      </c>
      <c r="CV295">
        <v>0.16</v>
      </c>
      <c r="CW295">
        <v>36</v>
      </c>
      <c r="CX295" t="s">
        <v>5174</v>
      </c>
    </row>
    <row r="296" spans="1:102" x14ac:dyDescent="0.3">
      <c r="A296" t="str">
        <f>HYPERLINK("https://webapp.icbf.com/v2/app/bull-search/view/1265715521","FR2317")</f>
        <v>FR2317</v>
      </c>
      <c r="B296" t="s">
        <v>14924</v>
      </c>
      <c r="C296" t="s">
        <v>14925</v>
      </c>
      <c r="D296" s="1">
        <v>42094</v>
      </c>
      <c r="E296" t="s">
        <v>92</v>
      </c>
      <c r="F296">
        <v>84</v>
      </c>
      <c r="G296" t="s">
        <v>93</v>
      </c>
      <c r="H296">
        <v>206.62</v>
      </c>
      <c r="I296">
        <v>86</v>
      </c>
      <c r="J296">
        <v>34.93</v>
      </c>
      <c r="K296">
        <v>98</v>
      </c>
      <c r="L296">
        <v>131.12</v>
      </c>
      <c r="M296">
        <v>75</v>
      </c>
      <c r="N296">
        <v>32.869999999999997</v>
      </c>
      <c r="O296">
        <v>88</v>
      </c>
      <c r="P296">
        <v>-10.15</v>
      </c>
      <c r="Q296">
        <v>94</v>
      </c>
      <c r="R296">
        <v>2.75</v>
      </c>
      <c r="S296">
        <v>78</v>
      </c>
      <c r="T296">
        <v>14.49</v>
      </c>
      <c r="U296">
        <v>81</v>
      </c>
      <c r="V296">
        <v>0.61</v>
      </c>
      <c r="W296">
        <v>74</v>
      </c>
      <c r="X296" t="s">
        <v>102</v>
      </c>
      <c r="Y296" t="s">
        <v>436</v>
      </c>
      <c r="Z296" t="s">
        <v>96</v>
      </c>
      <c r="AA296" t="s">
        <v>13924</v>
      </c>
      <c r="AB296" t="s">
        <v>14926</v>
      </c>
      <c r="AC296">
        <v>305</v>
      </c>
      <c r="AD296">
        <v>130</v>
      </c>
      <c r="AE296">
        <v>98</v>
      </c>
      <c r="AF296">
        <v>112.38</v>
      </c>
      <c r="AG296">
        <v>-0.31</v>
      </c>
      <c r="AH296">
        <v>7.77</v>
      </c>
      <c r="AI296">
        <v>-0.08</v>
      </c>
      <c r="AJ296">
        <v>7.0000000000000007E-2</v>
      </c>
      <c r="AK296">
        <v>75</v>
      </c>
      <c r="AL296">
        <v>0</v>
      </c>
      <c r="AM296">
        <v>0</v>
      </c>
      <c r="AN296">
        <v>-6.09</v>
      </c>
      <c r="AO296">
        <v>4.38</v>
      </c>
      <c r="AP296">
        <v>917</v>
      </c>
      <c r="AQ296">
        <v>4</v>
      </c>
      <c r="AR296">
        <v>5.72</v>
      </c>
      <c r="AS296">
        <v>89</v>
      </c>
      <c r="AT296">
        <v>2.1800000000000002</v>
      </c>
      <c r="AU296">
        <v>95</v>
      </c>
      <c r="AV296">
        <v>-2.99</v>
      </c>
      <c r="AW296">
        <v>99</v>
      </c>
      <c r="AX296">
        <v>-0.78</v>
      </c>
      <c r="AY296">
        <v>93</v>
      </c>
      <c r="AZ296">
        <v>7.66</v>
      </c>
      <c r="BA296">
        <v>82</v>
      </c>
      <c r="BB296">
        <v>5.53</v>
      </c>
      <c r="BC296">
        <v>41</v>
      </c>
      <c r="BD296">
        <v>-0.02</v>
      </c>
      <c r="BE296">
        <v>0</v>
      </c>
      <c r="BF296">
        <v>-0.03</v>
      </c>
      <c r="BG296">
        <v>92</v>
      </c>
      <c r="BH296">
        <v>0.03</v>
      </c>
      <c r="BI296">
        <v>1.51</v>
      </c>
      <c r="BJ296">
        <v>0</v>
      </c>
      <c r="BK296">
        <v>0</v>
      </c>
      <c r="BL296">
        <v>-1.2</v>
      </c>
      <c r="BM296">
        <v>1.67</v>
      </c>
      <c r="BN296">
        <v>-0.52</v>
      </c>
      <c r="BO296">
        <v>-1.6</v>
      </c>
      <c r="BP296">
        <v>0.12</v>
      </c>
      <c r="BQ296">
        <v>-0.46</v>
      </c>
      <c r="BR296">
        <v>-1.29</v>
      </c>
      <c r="BS296">
        <v>0.71</v>
      </c>
      <c r="BT296">
        <v>1.35</v>
      </c>
      <c r="BU296">
        <v>-0.55000000000000004</v>
      </c>
      <c r="BV296">
        <v>-1.17</v>
      </c>
      <c r="BW296">
        <v>-0.39</v>
      </c>
      <c r="BX296">
        <v>-0.03</v>
      </c>
      <c r="BY296">
        <v>-0.33</v>
      </c>
      <c r="BZ296">
        <v>-2.09</v>
      </c>
      <c r="CA296">
        <v>-0.5</v>
      </c>
      <c r="CB296">
        <v>-0.69</v>
      </c>
      <c r="CC296">
        <v>0.09</v>
      </c>
      <c r="CD296">
        <v>2.4300000000000002</v>
      </c>
      <c r="CE296">
        <v>-1.29</v>
      </c>
      <c r="CF296">
        <v>-0.56000000000000005</v>
      </c>
      <c r="CG296">
        <v>0</v>
      </c>
      <c r="CH296">
        <v>-0.32</v>
      </c>
      <c r="CI296">
        <v>0</v>
      </c>
      <c r="CJ296">
        <v>-5.4</v>
      </c>
      <c r="CK296">
        <v>97</v>
      </c>
      <c r="CL296">
        <v>-0.51</v>
      </c>
      <c r="CM296">
        <v>96</v>
      </c>
      <c r="CN296">
        <v>-0.35</v>
      </c>
      <c r="CO296">
        <v>96</v>
      </c>
      <c r="CP296">
        <v>-10.199999999999999</v>
      </c>
      <c r="CQ296">
        <v>70</v>
      </c>
      <c r="CR296">
        <v>0</v>
      </c>
      <c r="CS296">
        <v>0</v>
      </c>
      <c r="CT296">
        <v>-5.8</v>
      </c>
      <c r="CU296">
        <v>81</v>
      </c>
      <c r="CV296">
        <v>-0.19</v>
      </c>
      <c r="CW296">
        <v>50</v>
      </c>
      <c r="CX296" t="s">
        <v>1939</v>
      </c>
    </row>
    <row r="297" spans="1:102" x14ac:dyDescent="0.3">
      <c r="A297" t="str">
        <f>HYPERLINK("https://webapp.icbf.com/v2/app/bull-search/view/408750229","HGZ")</f>
        <v>HGZ</v>
      </c>
      <c r="B297" t="s">
        <v>4486</v>
      </c>
      <c r="C297" t="s">
        <v>396</v>
      </c>
      <c r="D297" s="1">
        <v>36379</v>
      </c>
      <c r="E297" t="s">
        <v>395</v>
      </c>
      <c r="F297">
        <v>0</v>
      </c>
      <c r="G297" t="s">
        <v>93</v>
      </c>
      <c r="H297">
        <v>206.39</v>
      </c>
      <c r="I297">
        <v>95</v>
      </c>
      <c r="J297">
        <v>4.45</v>
      </c>
      <c r="K297">
        <v>99</v>
      </c>
      <c r="L297">
        <v>114.17</v>
      </c>
      <c r="M297">
        <v>90</v>
      </c>
      <c r="N297">
        <v>46.87</v>
      </c>
      <c r="O297">
        <v>94</v>
      </c>
      <c r="P297">
        <v>-1.39</v>
      </c>
      <c r="Q297">
        <v>97</v>
      </c>
      <c r="R297">
        <v>9.99</v>
      </c>
      <c r="S297">
        <v>89</v>
      </c>
      <c r="T297">
        <v>21.15</v>
      </c>
      <c r="U297">
        <v>97</v>
      </c>
      <c r="V297">
        <v>11.15</v>
      </c>
      <c r="W297">
        <v>92</v>
      </c>
      <c r="X297" t="s">
        <v>131</v>
      </c>
      <c r="Y297" t="s">
        <v>95</v>
      </c>
      <c r="Z297">
        <v>0</v>
      </c>
      <c r="AA297" t="s">
        <v>1599</v>
      </c>
      <c r="AB297" t="s">
        <v>4487</v>
      </c>
      <c r="AC297">
        <v>277</v>
      </c>
      <c r="AD297">
        <v>84</v>
      </c>
      <c r="AE297">
        <v>99</v>
      </c>
      <c r="AF297">
        <v>-206.68</v>
      </c>
      <c r="AG297">
        <v>-1.1200000000000001</v>
      </c>
      <c r="AH297">
        <v>-2.0099999999999998</v>
      </c>
      <c r="AI297">
        <v>0.12</v>
      </c>
      <c r="AJ297">
        <v>0.09</v>
      </c>
      <c r="AK297">
        <v>90</v>
      </c>
      <c r="AL297">
        <v>268</v>
      </c>
      <c r="AM297">
        <v>79</v>
      </c>
      <c r="AN297">
        <v>-5.8</v>
      </c>
      <c r="AO297">
        <v>3.31</v>
      </c>
      <c r="AP297">
        <v>469</v>
      </c>
      <c r="AQ297">
        <v>2</v>
      </c>
      <c r="AR297">
        <v>3.84</v>
      </c>
      <c r="AS297">
        <v>92</v>
      </c>
      <c r="AT297">
        <v>1.75</v>
      </c>
      <c r="AU297">
        <v>95</v>
      </c>
      <c r="AV297">
        <v>-3.52</v>
      </c>
      <c r="AW297">
        <v>98</v>
      </c>
      <c r="AX297">
        <v>0.34</v>
      </c>
      <c r="AY297">
        <v>93</v>
      </c>
      <c r="AZ297">
        <v>6.33</v>
      </c>
      <c r="BA297">
        <v>82</v>
      </c>
      <c r="BB297">
        <v>4.6399999999999997</v>
      </c>
      <c r="BC297">
        <v>86</v>
      </c>
      <c r="BD297">
        <v>-0.01</v>
      </c>
      <c r="BE297">
        <v>-7.0000000000000007E-2</v>
      </c>
      <c r="BF297">
        <v>-0.08</v>
      </c>
      <c r="BG297">
        <v>94</v>
      </c>
      <c r="BH297">
        <v>0.11</v>
      </c>
      <c r="BI297">
        <v>-23.24</v>
      </c>
      <c r="BJ297">
        <v>9</v>
      </c>
      <c r="BK297">
        <v>7</v>
      </c>
      <c r="BL297">
        <v>-2</v>
      </c>
      <c r="BM297">
        <v>-0.93</v>
      </c>
      <c r="BN297">
        <v>-2.81</v>
      </c>
      <c r="BO297">
        <v>-1.47</v>
      </c>
      <c r="BP297">
        <v>2.34</v>
      </c>
      <c r="BQ297">
        <v>-3</v>
      </c>
      <c r="BR297">
        <v>-0.68</v>
      </c>
      <c r="BS297">
        <v>0.71</v>
      </c>
      <c r="BT297">
        <v>-0.13</v>
      </c>
      <c r="BU297">
        <v>-2.75</v>
      </c>
      <c r="BV297">
        <v>-3.9</v>
      </c>
      <c r="BW297">
        <v>-4.1100000000000003</v>
      </c>
      <c r="BX297">
        <v>-1.76</v>
      </c>
      <c r="BY297">
        <v>-2.13</v>
      </c>
      <c r="BZ297">
        <v>-4.0599999999999996</v>
      </c>
      <c r="CA297">
        <v>-2.6</v>
      </c>
      <c r="CB297">
        <v>-2.98</v>
      </c>
      <c r="CC297">
        <v>-0.96</v>
      </c>
      <c r="CD297">
        <v>7.0000000000000007E-2</v>
      </c>
      <c r="CE297">
        <v>-2.06</v>
      </c>
      <c r="CF297">
        <v>-3.02</v>
      </c>
      <c r="CG297">
        <v>0</v>
      </c>
      <c r="CH297">
        <v>-3.41</v>
      </c>
      <c r="CI297">
        <v>0</v>
      </c>
      <c r="CJ297">
        <v>0.5</v>
      </c>
      <c r="CK297">
        <v>98</v>
      </c>
      <c r="CL297">
        <v>0</v>
      </c>
      <c r="CM297">
        <v>97</v>
      </c>
      <c r="CN297">
        <v>0.06</v>
      </c>
      <c r="CO297">
        <v>97</v>
      </c>
      <c r="CP297">
        <v>-9.1999999999999993</v>
      </c>
      <c r="CQ297">
        <v>96</v>
      </c>
      <c r="CR297">
        <v>0</v>
      </c>
      <c r="CS297">
        <v>0</v>
      </c>
      <c r="CT297">
        <v>-14.8</v>
      </c>
      <c r="CU297">
        <v>97</v>
      </c>
      <c r="CV297">
        <v>-0.03</v>
      </c>
      <c r="CW297">
        <v>29</v>
      </c>
      <c r="CX297" t="s">
        <v>4488</v>
      </c>
    </row>
    <row r="298" spans="1:102" x14ac:dyDescent="0.3">
      <c r="A298" t="str">
        <f>HYPERLINK("https://webapp.icbf.com/v2/app/bull-search/view/733691279","TYC")</f>
        <v>TYC</v>
      </c>
      <c r="B298" t="s">
        <v>13012</v>
      </c>
      <c r="C298" t="s">
        <v>13013</v>
      </c>
      <c r="D298" s="1">
        <v>40133</v>
      </c>
      <c r="E298" t="s">
        <v>92</v>
      </c>
      <c r="F298">
        <v>100</v>
      </c>
      <c r="G298" t="s">
        <v>93</v>
      </c>
      <c r="H298">
        <v>206.39</v>
      </c>
      <c r="I298">
        <v>87</v>
      </c>
      <c r="J298">
        <v>28.56</v>
      </c>
      <c r="K298">
        <v>97</v>
      </c>
      <c r="L298">
        <v>105.51</v>
      </c>
      <c r="M298">
        <v>80</v>
      </c>
      <c r="N298">
        <v>43.66</v>
      </c>
      <c r="O298">
        <v>86</v>
      </c>
      <c r="P298">
        <v>-10.42</v>
      </c>
      <c r="Q298">
        <v>90</v>
      </c>
      <c r="R298">
        <v>18.309999999999999</v>
      </c>
      <c r="S298">
        <v>81</v>
      </c>
      <c r="T298">
        <v>14.94</v>
      </c>
      <c r="U298">
        <v>83</v>
      </c>
      <c r="V298">
        <v>5.83</v>
      </c>
      <c r="W298">
        <v>75</v>
      </c>
      <c r="X298" t="s">
        <v>94</v>
      </c>
      <c r="Y298" t="s">
        <v>1685</v>
      </c>
      <c r="Z298" t="s">
        <v>96</v>
      </c>
      <c r="AA298" t="s">
        <v>277</v>
      </c>
      <c r="AB298" t="s">
        <v>13014</v>
      </c>
      <c r="AC298">
        <v>83</v>
      </c>
      <c r="AD298">
        <v>57</v>
      </c>
      <c r="AE298">
        <v>97</v>
      </c>
      <c r="AF298">
        <v>-161.32</v>
      </c>
      <c r="AG298">
        <v>1.52</v>
      </c>
      <c r="AH298">
        <v>1.85</v>
      </c>
      <c r="AI298">
        <v>0.14000000000000001</v>
      </c>
      <c r="AJ298">
        <v>0.13</v>
      </c>
      <c r="AK298">
        <v>80</v>
      </c>
      <c r="AL298">
        <v>83</v>
      </c>
      <c r="AM298">
        <v>53</v>
      </c>
      <c r="AN298">
        <v>-6.06</v>
      </c>
      <c r="AO298">
        <v>2.35</v>
      </c>
      <c r="AP298">
        <v>200</v>
      </c>
      <c r="AQ298">
        <v>1</v>
      </c>
      <c r="AR298">
        <v>4.63</v>
      </c>
      <c r="AS298">
        <v>75</v>
      </c>
      <c r="AT298">
        <v>1.88</v>
      </c>
      <c r="AU298">
        <v>88</v>
      </c>
      <c r="AV298">
        <v>-2.88</v>
      </c>
      <c r="AW298">
        <v>96</v>
      </c>
      <c r="AX298">
        <v>-0.68</v>
      </c>
      <c r="AY298">
        <v>80</v>
      </c>
      <c r="AZ298">
        <v>5.43</v>
      </c>
      <c r="BA298">
        <v>67</v>
      </c>
      <c r="BB298">
        <v>4.63</v>
      </c>
      <c r="BC298">
        <v>66</v>
      </c>
      <c r="BD298">
        <v>-0.06</v>
      </c>
      <c r="BE298">
        <v>-0.09</v>
      </c>
      <c r="BF298">
        <v>-0.15</v>
      </c>
      <c r="BG298">
        <v>89</v>
      </c>
      <c r="BH298">
        <v>0.16</v>
      </c>
      <c r="BI298">
        <v>-0.31</v>
      </c>
      <c r="BJ298">
        <v>5</v>
      </c>
      <c r="BK298">
        <v>4</v>
      </c>
      <c r="BL298">
        <v>-0.68</v>
      </c>
      <c r="BM298">
        <v>-0.69</v>
      </c>
      <c r="BN298">
        <v>-1.44</v>
      </c>
      <c r="BO298">
        <v>-0.51</v>
      </c>
      <c r="BP298">
        <v>-0.56000000000000005</v>
      </c>
      <c r="BQ298">
        <v>-2.5499999999999998</v>
      </c>
      <c r="BR298">
        <v>0.01</v>
      </c>
      <c r="BS298">
        <v>0.66</v>
      </c>
      <c r="BT298">
        <v>-0.42</v>
      </c>
      <c r="BU298">
        <v>0.87</v>
      </c>
      <c r="BV298">
        <v>-0.12</v>
      </c>
      <c r="BW298">
        <v>-1.27</v>
      </c>
      <c r="BX298">
        <v>1.01</v>
      </c>
      <c r="BY298">
        <v>-1.36</v>
      </c>
      <c r="BZ298">
        <v>1.81</v>
      </c>
      <c r="CA298">
        <v>0.35</v>
      </c>
      <c r="CB298">
        <v>7.0000000000000007E-2</v>
      </c>
      <c r="CC298">
        <v>0.31</v>
      </c>
      <c r="CD298">
        <v>0.24</v>
      </c>
      <c r="CE298">
        <v>0.43</v>
      </c>
      <c r="CF298">
        <v>-0.76</v>
      </c>
      <c r="CG298">
        <v>0</v>
      </c>
      <c r="CH298">
        <v>-0.19</v>
      </c>
      <c r="CI298">
        <v>0</v>
      </c>
      <c r="CJ298">
        <v>-3.3</v>
      </c>
      <c r="CK298">
        <v>92</v>
      </c>
      <c r="CL298">
        <v>-0.85</v>
      </c>
      <c r="CM298">
        <v>90</v>
      </c>
      <c r="CN298">
        <v>-0.33</v>
      </c>
      <c r="CO298">
        <v>89</v>
      </c>
      <c r="CP298">
        <v>-6.4</v>
      </c>
      <c r="CQ298">
        <v>83</v>
      </c>
      <c r="CR298">
        <v>0</v>
      </c>
      <c r="CS298">
        <v>0</v>
      </c>
      <c r="CT298">
        <v>-6.4</v>
      </c>
      <c r="CU298">
        <v>83</v>
      </c>
      <c r="CV298">
        <v>0.1</v>
      </c>
      <c r="CW298">
        <v>44</v>
      </c>
      <c r="CX298" t="s">
        <v>1420</v>
      </c>
    </row>
    <row r="299" spans="1:102" x14ac:dyDescent="0.3">
      <c r="A299" t="str">
        <f>HYPERLINK("https://webapp.icbf.com/v2/app/bull-search/view/487000239","WIJ")</f>
        <v>WIJ</v>
      </c>
      <c r="B299" t="s">
        <v>2459</v>
      </c>
      <c r="C299" t="s">
        <v>2460</v>
      </c>
      <c r="D299" s="1">
        <v>38582</v>
      </c>
      <c r="E299" t="s">
        <v>227</v>
      </c>
      <c r="F299">
        <v>38</v>
      </c>
      <c r="G299" t="s">
        <v>93</v>
      </c>
      <c r="H299">
        <v>205.97</v>
      </c>
      <c r="I299">
        <v>92</v>
      </c>
      <c r="J299">
        <v>58.31</v>
      </c>
      <c r="K299">
        <v>98</v>
      </c>
      <c r="L299">
        <v>84.84</v>
      </c>
      <c r="M299">
        <v>86</v>
      </c>
      <c r="N299">
        <v>46.17</v>
      </c>
      <c r="O299">
        <v>91</v>
      </c>
      <c r="P299">
        <v>-39.32</v>
      </c>
      <c r="Q299">
        <v>95</v>
      </c>
      <c r="R299">
        <v>3</v>
      </c>
      <c r="S299">
        <v>86</v>
      </c>
      <c r="T299">
        <v>39.799999999999997</v>
      </c>
      <c r="U299">
        <v>94</v>
      </c>
      <c r="V299">
        <v>13.17</v>
      </c>
      <c r="W299">
        <v>89</v>
      </c>
      <c r="X299" t="s">
        <v>276</v>
      </c>
      <c r="Y299" t="s">
        <v>1524</v>
      </c>
      <c r="Z299">
        <v>0</v>
      </c>
      <c r="AA299" t="s">
        <v>1451</v>
      </c>
      <c r="AB299" t="s">
        <v>144</v>
      </c>
      <c r="AC299">
        <v>198</v>
      </c>
      <c r="AD299">
        <v>96</v>
      </c>
      <c r="AE299">
        <v>98</v>
      </c>
      <c r="AF299">
        <v>-205.16</v>
      </c>
      <c r="AG299">
        <v>9.2899999999999991</v>
      </c>
      <c r="AH299">
        <v>3.49</v>
      </c>
      <c r="AI299">
        <v>0.31</v>
      </c>
      <c r="AJ299">
        <v>0.19</v>
      </c>
      <c r="AK299">
        <v>86</v>
      </c>
      <c r="AL299">
        <v>219</v>
      </c>
      <c r="AM299">
        <v>88</v>
      </c>
      <c r="AN299">
        <v>-3.52</v>
      </c>
      <c r="AO299">
        <v>3.26</v>
      </c>
      <c r="AP299">
        <v>379</v>
      </c>
      <c r="AQ299">
        <v>1</v>
      </c>
      <c r="AR299">
        <v>3.26</v>
      </c>
      <c r="AS299">
        <v>88</v>
      </c>
      <c r="AT299">
        <v>1.63</v>
      </c>
      <c r="AU299">
        <v>91</v>
      </c>
      <c r="AV299">
        <v>-3.21</v>
      </c>
      <c r="AW299">
        <v>98</v>
      </c>
      <c r="AX299">
        <v>-0.38</v>
      </c>
      <c r="AY299">
        <v>90</v>
      </c>
      <c r="AZ299">
        <v>6.15</v>
      </c>
      <c r="BA299">
        <v>77</v>
      </c>
      <c r="BB299">
        <v>5.05</v>
      </c>
      <c r="BC299">
        <v>78</v>
      </c>
      <c r="BD299">
        <v>-0.06</v>
      </c>
      <c r="BE299">
        <v>-0.01</v>
      </c>
      <c r="BF299">
        <v>0.05</v>
      </c>
      <c r="BG299">
        <v>93</v>
      </c>
      <c r="BH299">
        <v>0.17</v>
      </c>
      <c r="BI299">
        <v>-22.82</v>
      </c>
      <c r="BJ299">
        <v>6</v>
      </c>
      <c r="BK299">
        <v>6</v>
      </c>
      <c r="BL299">
        <v>-2.09</v>
      </c>
      <c r="BM299">
        <v>-0.98</v>
      </c>
      <c r="BN299">
        <v>-1.62</v>
      </c>
      <c r="BO299">
        <v>-0.08</v>
      </c>
      <c r="BP299">
        <v>-0.01</v>
      </c>
      <c r="BQ299">
        <v>-2.83</v>
      </c>
      <c r="BR299">
        <v>1.1599999999999999</v>
      </c>
      <c r="BS299">
        <v>1.5</v>
      </c>
      <c r="BT299">
        <v>-1.36</v>
      </c>
      <c r="BU299">
        <v>-1.81</v>
      </c>
      <c r="BV299">
        <v>-1.1100000000000001</v>
      </c>
      <c r="BW299">
        <v>-1.71</v>
      </c>
      <c r="BX299">
        <v>-4.26</v>
      </c>
      <c r="BY299">
        <v>-0.7</v>
      </c>
      <c r="BZ299">
        <v>-1.39</v>
      </c>
      <c r="CA299">
        <v>-1.41</v>
      </c>
      <c r="CB299">
        <v>-1.1200000000000001</v>
      </c>
      <c r="CC299">
        <v>0.33</v>
      </c>
      <c r="CD299">
        <v>-0.85</v>
      </c>
      <c r="CE299">
        <v>0.24</v>
      </c>
      <c r="CF299">
        <v>-2.99</v>
      </c>
      <c r="CG299">
        <v>0</v>
      </c>
      <c r="CH299">
        <v>-0.8</v>
      </c>
      <c r="CI299">
        <v>0</v>
      </c>
      <c r="CJ299">
        <v>-19.7</v>
      </c>
      <c r="CK299">
        <v>96</v>
      </c>
      <c r="CL299">
        <v>-0.87</v>
      </c>
      <c r="CM299">
        <v>95</v>
      </c>
      <c r="CN299">
        <v>-0.12</v>
      </c>
      <c r="CO299">
        <v>94</v>
      </c>
      <c r="CP299">
        <v>-30.4</v>
      </c>
      <c r="CQ299">
        <v>92</v>
      </c>
      <c r="CR299">
        <v>0</v>
      </c>
      <c r="CS299">
        <v>0</v>
      </c>
      <c r="CT299">
        <v>-40</v>
      </c>
      <c r="CU299">
        <v>94</v>
      </c>
      <c r="CV299">
        <v>-7.0000000000000007E-2</v>
      </c>
      <c r="CW299">
        <v>45</v>
      </c>
      <c r="CX299" t="s">
        <v>321</v>
      </c>
    </row>
    <row r="300" spans="1:102" x14ac:dyDescent="0.3">
      <c r="A300" t="str">
        <f>HYPERLINK("https://webapp.icbf.com/v2/app/bull-search/view/1361575486","FR4522")</f>
        <v>FR4522</v>
      </c>
      <c r="B300" t="s">
        <v>13932</v>
      </c>
      <c r="C300" t="s">
        <v>13933</v>
      </c>
      <c r="D300" s="1">
        <v>41905</v>
      </c>
      <c r="E300" t="s">
        <v>92</v>
      </c>
      <c r="F300">
        <v>100</v>
      </c>
      <c r="G300" t="s">
        <v>109</v>
      </c>
      <c r="H300">
        <v>205.91</v>
      </c>
      <c r="I300">
        <v>72</v>
      </c>
      <c r="J300">
        <v>68.75</v>
      </c>
      <c r="K300">
        <v>90</v>
      </c>
      <c r="L300">
        <v>95.29</v>
      </c>
      <c r="M300">
        <v>72</v>
      </c>
      <c r="N300">
        <v>35.57</v>
      </c>
      <c r="O300">
        <v>78</v>
      </c>
      <c r="P300">
        <v>-5.33</v>
      </c>
      <c r="Q300">
        <v>37</v>
      </c>
      <c r="R300">
        <v>12.83</v>
      </c>
      <c r="S300">
        <v>68</v>
      </c>
      <c r="T300">
        <v>-8.89</v>
      </c>
      <c r="U300">
        <v>36</v>
      </c>
      <c r="V300">
        <v>7.69</v>
      </c>
      <c r="W300">
        <v>56</v>
      </c>
      <c r="X300" t="s">
        <v>94</v>
      </c>
      <c r="Y300" t="s">
        <v>442</v>
      </c>
      <c r="Z300" t="s">
        <v>96</v>
      </c>
      <c r="AA300" t="s">
        <v>13934</v>
      </c>
      <c r="AB300" t="s">
        <v>13935</v>
      </c>
      <c r="AC300">
        <v>0</v>
      </c>
      <c r="AD300">
        <v>0</v>
      </c>
      <c r="AE300">
        <v>90</v>
      </c>
      <c r="AF300">
        <v>370.65</v>
      </c>
      <c r="AG300">
        <v>14.29</v>
      </c>
      <c r="AH300">
        <v>12.31</v>
      </c>
      <c r="AI300">
        <v>-0.01</v>
      </c>
      <c r="AJ300">
        <v>0</v>
      </c>
      <c r="AK300">
        <v>72</v>
      </c>
      <c r="AL300">
        <v>0</v>
      </c>
      <c r="AM300">
        <v>0</v>
      </c>
      <c r="AN300">
        <v>-3.59</v>
      </c>
      <c r="AO300">
        <v>4.03</v>
      </c>
      <c r="AP300">
        <v>117</v>
      </c>
      <c r="AQ300">
        <v>0</v>
      </c>
      <c r="AR300">
        <v>5.46</v>
      </c>
      <c r="AS300">
        <v>82</v>
      </c>
      <c r="AT300">
        <v>1.84</v>
      </c>
      <c r="AU300">
        <v>81</v>
      </c>
      <c r="AV300">
        <v>-2.38</v>
      </c>
      <c r="AW300">
        <v>93</v>
      </c>
      <c r="AX300">
        <v>0.26</v>
      </c>
      <c r="AY300">
        <v>72</v>
      </c>
      <c r="AZ300">
        <v>5.03</v>
      </c>
      <c r="BA300">
        <v>38</v>
      </c>
      <c r="BB300">
        <v>4.83</v>
      </c>
      <c r="BC300">
        <v>37</v>
      </c>
      <c r="BD300">
        <v>-0.06</v>
      </c>
      <c r="BE300">
        <v>-0.05</v>
      </c>
      <c r="BF300">
        <v>-0.1</v>
      </c>
      <c r="BG300">
        <v>83</v>
      </c>
      <c r="BH300">
        <v>0.03</v>
      </c>
      <c r="BI300">
        <v>-21.35</v>
      </c>
      <c r="BJ300">
        <v>0</v>
      </c>
      <c r="BK300">
        <v>0</v>
      </c>
      <c r="BL300">
        <v>0.73</v>
      </c>
      <c r="BM300">
        <v>1.08</v>
      </c>
      <c r="BN300">
        <v>0.5</v>
      </c>
      <c r="BO300">
        <v>0.16</v>
      </c>
      <c r="BP300">
        <v>0.91</v>
      </c>
      <c r="BQ300">
        <v>1.35</v>
      </c>
      <c r="BR300">
        <v>-1.8</v>
      </c>
      <c r="BS300">
        <v>1.86</v>
      </c>
      <c r="BT300">
        <v>1.67</v>
      </c>
      <c r="BU300">
        <v>3.23</v>
      </c>
      <c r="BV300">
        <v>2.75</v>
      </c>
      <c r="BW300">
        <v>0.96</v>
      </c>
      <c r="BX300">
        <v>2.59</v>
      </c>
      <c r="BY300">
        <v>1.36</v>
      </c>
      <c r="BZ300">
        <v>-1.34</v>
      </c>
      <c r="CA300">
        <v>2.69</v>
      </c>
      <c r="CB300">
        <v>2.52</v>
      </c>
      <c r="CC300">
        <v>2.0699999999999998</v>
      </c>
      <c r="CD300">
        <v>0.46</v>
      </c>
      <c r="CE300">
        <v>0.9</v>
      </c>
      <c r="CF300">
        <v>1.3</v>
      </c>
      <c r="CG300">
        <v>0</v>
      </c>
      <c r="CH300">
        <v>1.78</v>
      </c>
      <c r="CI300">
        <v>0</v>
      </c>
      <c r="CJ300">
        <v>-0.7</v>
      </c>
      <c r="CK300">
        <v>38</v>
      </c>
      <c r="CL300">
        <v>-1.41</v>
      </c>
      <c r="CM300">
        <v>37</v>
      </c>
      <c r="CN300">
        <v>-0.77</v>
      </c>
      <c r="CO300">
        <v>37</v>
      </c>
      <c r="CP300">
        <v>7.8</v>
      </c>
      <c r="CQ300">
        <v>36</v>
      </c>
      <c r="CR300">
        <v>0</v>
      </c>
      <c r="CS300">
        <v>0</v>
      </c>
      <c r="CT300">
        <v>25.8</v>
      </c>
      <c r="CU300">
        <v>36</v>
      </c>
      <c r="CV300">
        <v>0.26</v>
      </c>
      <c r="CW300">
        <v>32</v>
      </c>
      <c r="CX300" t="s">
        <v>401</v>
      </c>
    </row>
    <row r="301" spans="1:102" x14ac:dyDescent="0.3">
      <c r="A301" t="str">
        <f>HYPERLINK("https://webapp.icbf.com/v2/app/bull-search/view/1656382724","FR4689")</f>
        <v>FR4689</v>
      </c>
      <c r="B301" t="s">
        <v>15512</v>
      </c>
      <c r="C301" t="s">
        <v>15513</v>
      </c>
      <c r="D301" s="1">
        <v>42800</v>
      </c>
      <c r="E301" t="s">
        <v>92</v>
      </c>
      <c r="F301">
        <v>100</v>
      </c>
      <c r="G301" t="s">
        <v>435</v>
      </c>
      <c r="H301">
        <v>205.8</v>
      </c>
      <c r="I301">
        <v>66</v>
      </c>
      <c r="J301">
        <v>93.73</v>
      </c>
      <c r="K301">
        <v>86</v>
      </c>
      <c r="L301">
        <v>50.08</v>
      </c>
      <c r="M301">
        <v>63</v>
      </c>
      <c r="N301">
        <v>44.5</v>
      </c>
      <c r="O301">
        <v>69</v>
      </c>
      <c r="P301">
        <v>-3.44</v>
      </c>
      <c r="Q301">
        <v>35</v>
      </c>
      <c r="R301">
        <v>20.149999999999999</v>
      </c>
      <c r="S301">
        <v>59</v>
      </c>
      <c r="T301">
        <v>-3.64</v>
      </c>
      <c r="U301">
        <v>33</v>
      </c>
      <c r="V301">
        <v>4.42</v>
      </c>
      <c r="W301">
        <v>50</v>
      </c>
      <c r="X301" t="s">
        <v>94</v>
      </c>
      <c r="Y301" t="s">
        <v>2389</v>
      </c>
      <c r="Z301" t="s">
        <v>96</v>
      </c>
      <c r="AA301" t="s">
        <v>15514</v>
      </c>
      <c r="AB301" t="s">
        <v>15515</v>
      </c>
      <c r="AC301">
        <v>0</v>
      </c>
      <c r="AD301">
        <v>0</v>
      </c>
      <c r="AE301">
        <v>86</v>
      </c>
      <c r="AF301">
        <v>266.11</v>
      </c>
      <c r="AG301">
        <v>20.59</v>
      </c>
      <c r="AH301">
        <v>12.73</v>
      </c>
      <c r="AI301">
        <v>0.16</v>
      </c>
      <c r="AJ301">
        <v>7.0000000000000007E-2</v>
      </c>
      <c r="AK301">
        <v>63</v>
      </c>
      <c r="AL301">
        <v>0</v>
      </c>
      <c r="AM301">
        <v>0</v>
      </c>
      <c r="AN301">
        <v>-1.49</v>
      </c>
      <c r="AO301">
        <v>2.52</v>
      </c>
      <c r="AP301">
        <v>41</v>
      </c>
      <c r="AQ301">
        <v>0</v>
      </c>
      <c r="AR301">
        <v>5.67</v>
      </c>
      <c r="AS301">
        <v>59</v>
      </c>
      <c r="AT301">
        <v>2.68</v>
      </c>
      <c r="AU301">
        <v>80</v>
      </c>
      <c r="AV301">
        <v>-3.98</v>
      </c>
      <c r="AW301">
        <v>84</v>
      </c>
      <c r="AX301">
        <v>-0.45</v>
      </c>
      <c r="AY301">
        <v>56</v>
      </c>
      <c r="AZ301">
        <v>4.82</v>
      </c>
      <c r="BA301">
        <v>30</v>
      </c>
      <c r="BB301">
        <v>4.76</v>
      </c>
      <c r="BC301">
        <v>29</v>
      </c>
      <c r="BD301">
        <v>-0.02</v>
      </c>
      <c r="BE301">
        <v>-0.1</v>
      </c>
      <c r="BF301">
        <v>-0.24</v>
      </c>
      <c r="BG301">
        <v>72</v>
      </c>
      <c r="BH301">
        <v>-0.08</v>
      </c>
      <c r="BI301">
        <v>-23.5</v>
      </c>
      <c r="BJ301">
        <v>0</v>
      </c>
      <c r="BK301">
        <v>0</v>
      </c>
      <c r="BL301">
        <v>1.74</v>
      </c>
      <c r="BM301">
        <v>-2.4700000000000002</v>
      </c>
      <c r="BN301">
        <v>-1.1299999999999999</v>
      </c>
      <c r="BO301">
        <v>1.28</v>
      </c>
      <c r="BP301">
        <v>1.58</v>
      </c>
      <c r="BQ301">
        <v>1.22</v>
      </c>
      <c r="BR301">
        <v>-0.05</v>
      </c>
      <c r="BS301">
        <v>1.06</v>
      </c>
      <c r="BT301">
        <v>-0.01</v>
      </c>
      <c r="BU301">
        <v>3.59</v>
      </c>
      <c r="BV301">
        <v>3.26</v>
      </c>
      <c r="BW301">
        <v>1.93</v>
      </c>
      <c r="BX301">
        <v>3.74</v>
      </c>
      <c r="BY301">
        <v>1.33</v>
      </c>
      <c r="BZ301">
        <v>-2</v>
      </c>
      <c r="CA301">
        <v>3.09</v>
      </c>
      <c r="CB301">
        <v>3.07</v>
      </c>
      <c r="CC301">
        <v>0.78</v>
      </c>
      <c r="CD301">
        <v>-1.1000000000000001</v>
      </c>
      <c r="CE301">
        <v>1.1399999999999999</v>
      </c>
      <c r="CF301">
        <v>1.25</v>
      </c>
      <c r="CG301">
        <v>0</v>
      </c>
      <c r="CH301">
        <v>1.37</v>
      </c>
      <c r="CI301">
        <v>0</v>
      </c>
      <c r="CJ301">
        <v>0.2</v>
      </c>
      <c r="CK301">
        <v>35</v>
      </c>
      <c r="CL301">
        <v>-1.43</v>
      </c>
      <c r="CM301">
        <v>35</v>
      </c>
      <c r="CN301">
        <v>-0.88</v>
      </c>
      <c r="CO301">
        <v>35</v>
      </c>
      <c r="CP301">
        <v>4.9000000000000004</v>
      </c>
      <c r="CQ301">
        <v>33</v>
      </c>
      <c r="CR301">
        <v>0</v>
      </c>
      <c r="CS301">
        <v>0</v>
      </c>
      <c r="CT301">
        <v>18.7</v>
      </c>
      <c r="CU301">
        <v>33</v>
      </c>
      <c r="CV301">
        <v>0.26</v>
      </c>
      <c r="CW301">
        <v>32</v>
      </c>
      <c r="CX301" t="s">
        <v>2329</v>
      </c>
    </row>
    <row r="302" spans="1:102" x14ac:dyDescent="0.3">
      <c r="A302" t="str">
        <f>HYPERLINK("https://webapp.icbf.com/v2/app/bull-search/view/1419447063","FR4308")</f>
        <v>FR4308</v>
      </c>
      <c r="B302" t="s">
        <v>13707</v>
      </c>
      <c r="C302" t="s">
        <v>13708</v>
      </c>
      <c r="D302" s="1">
        <v>42274</v>
      </c>
      <c r="E302" t="s">
        <v>92</v>
      </c>
      <c r="F302">
        <v>100</v>
      </c>
      <c r="G302" t="s">
        <v>435</v>
      </c>
      <c r="H302">
        <v>205.68</v>
      </c>
      <c r="I302">
        <v>69</v>
      </c>
      <c r="J302">
        <v>100.72</v>
      </c>
      <c r="K302">
        <v>87</v>
      </c>
      <c r="L302">
        <v>66.260000000000005</v>
      </c>
      <c r="M302">
        <v>64</v>
      </c>
      <c r="N302">
        <v>23.27</v>
      </c>
      <c r="O302">
        <v>83</v>
      </c>
      <c r="P302">
        <v>-7</v>
      </c>
      <c r="Q302">
        <v>44</v>
      </c>
      <c r="R302">
        <v>31.18</v>
      </c>
      <c r="S302">
        <v>61</v>
      </c>
      <c r="T302">
        <v>-4.3</v>
      </c>
      <c r="U302">
        <v>37</v>
      </c>
      <c r="V302">
        <v>-4.45</v>
      </c>
      <c r="W302">
        <v>52</v>
      </c>
      <c r="X302" t="s">
        <v>94</v>
      </c>
      <c r="Y302" t="s">
        <v>2261</v>
      </c>
      <c r="Z302" t="s">
        <v>96</v>
      </c>
      <c r="AA302" t="s">
        <v>13709</v>
      </c>
      <c r="AB302" t="s">
        <v>13710</v>
      </c>
      <c r="AC302">
        <v>0</v>
      </c>
      <c r="AD302">
        <v>0</v>
      </c>
      <c r="AE302">
        <v>87</v>
      </c>
      <c r="AF302">
        <v>308.83999999999997</v>
      </c>
      <c r="AG302">
        <v>17.77</v>
      </c>
      <c r="AH302">
        <v>15.57</v>
      </c>
      <c r="AI302">
        <v>0.09</v>
      </c>
      <c r="AJ302">
        <v>0.09</v>
      </c>
      <c r="AK302">
        <v>64</v>
      </c>
      <c r="AL302">
        <v>0</v>
      </c>
      <c r="AM302">
        <v>0</v>
      </c>
      <c r="AN302">
        <v>-2.37</v>
      </c>
      <c r="AO302">
        <v>2.93</v>
      </c>
      <c r="AP302">
        <v>459</v>
      </c>
      <c r="AQ302">
        <v>3</v>
      </c>
      <c r="AR302">
        <v>9.69</v>
      </c>
      <c r="AS302">
        <v>84</v>
      </c>
      <c r="AT302">
        <v>3.84</v>
      </c>
      <c r="AU302">
        <v>91</v>
      </c>
      <c r="AV302">
        <v>-4.13</v>
      </c>
      <c r="AW302">
        <v>98</v>
      </c>
      <c r="AX302">
        <v>-0.79</v>
      </c>
      <c r="AY302">
        <v>89</v>
      </c>
      <c r="AZ302">
        <v>6.38</v>
      </c>
      <c r="BA302">
        <v>31</v>
      </c>
      <c r="BB302">
        <v>4.72</v>
      </c>
      <c r="BC302">
        <v>31</v>
      </c>
      <c r="BD302">
        <v>-0.12</v>
      </c>
      <c r="BE302">
        <v>-0.13</v>
      </c>
      <c r="BF302">
        <v>-0.27</v>
      </c>
      <c r="BG302">
        <v>75</v>
      </c>
      <c r="BH302">
        <v>-0.23</v>
      </c>
      <c r="BI302">
        <v>-12.24</v>
      </c>
      <c r="BJ302">
        <v>0</v>
      </c>
      <c r="BK302">
        <v>0</v>
      </c>
      <c r="BL302">
        <v>1.52</v>
      </c>
      <c r="BM302">
        <v>-0.33</v>
      </c>
      <c r="BN302">
        <v>0.14000000000000001</v>
      </c>
      <c r="BO302">
        <v>0.68</v>
      </c>
      <c r="BP302">
        <v>0.97</v>
      </c>
      <c r="BQ302">
        <v>0.56000000000000005</v>
      </c>
      <c r="BR302">
        <v>0.65</v>
      </c>
      <c r="BS302">
        <v>0.51</v>
      </c>
      <c r="BT302">
        <v>-0.45</v>
      </c>
      <c r="BU302">
        <v>3.59</v>
      </c>
      <c r="BV302">
        <v>3.2</v>
      </c>
      <c r="BW302">
        <v>4.03</v>
      </c>
      <c r="BX302">
        <v>3.32</v>
      </c>
      <c r="BY302">
        <v>2.73</v>
      </c>
      <c r="BZ302">
        <v>1.06</v>
      </c>
      <c r="CA302">
        <v>2.85</v>
      </c>
      <c r="CB302">
        <v>3.18</v>
      </c>
      <c r="CC302">
        <v>0.59</v>
      </c>
      <c r="CD302">
        <v>-0.6</v>
      </c>
      <c r="CE302">
        <v>0.78</v>
      </c>
      <c r="CF302">
        <v>1.71</v>
      </c>
      <c r="CG302">
        <v>0</v>
      </c>
      <c r="CH302">
        <v>3.05</v>
      </c>
      <c r="CI302">
        <v>0</v>
      </c>
      <c r="CJ302">
        <v>0.1</v>
      </c>
      <c r="CK302">
        <v>50</v>
      </c>
      <c r="CL302">
        <v>-1.5</v>
      </c>
      <c r="CM302">
        <v>35</v>
      </c>
      <c r="CN302">
        <v>-0.62</v>
      </c>
      <c r="CO302">
        <v>35</v>
      </c>
      <c r="CP302">
        <v>7.2</v>
      </c>
      <c r="CQ302">
        <v>38</v>
      </c>
      <c r="CR302">
        <v>0</v>
      </c>
      <c r="CS302">
        <v>0</v>
      </c>
      <c r="CT302">
        <v>19.600000000000001</v>
      </c>
      <c r="CU302">
        <v>37</v>
      </c>
      <c r="CV302">
        <v>0.28999999999999998</v>
      </c>
      <c r="CW302">
        <v>35</v>
      </c>
      <c r="CX302" t="s">
        <v>6247</v>
      </c>
    </row>
    <row r="303" spans="1:102" x14ac:dyDescent="0.3">
      <c r="A303" t="str">
        <f>HYPERLINK("https://webapp.icbf.com/v2/app/bull-search/view/1356868434","FR4101")</f>
        <v>FR4101</v>
      </c>
      <c r="B303" t="s">
        <v>6230</v>
      </c>
      <c r="C303" t="s">
        <v>6231</v>
      </c>
      <c r="D303" s="1">
        <v>42410</v>
      </c>
      <c r="E303" t="s">
        <v>92</v>
      </c>
      <c r="F303">
        <v>78</v>
      </c>
      <c r="G303" t="s">
        <v>435</v>
      </c>
      <c r="H303">
        <v>205.35</v>
      </c>
      <c r="I303">
        <v>71</v>
      </c>
      <c r="J303">
        <v>43.19</v>
      </c>
      <c r="K303">
        <v>90</v>
      </c>
      <c r="L303">
        <v>109.22</v>
      </c>
      <c r="M303">
        <v>66</v>
      </c>
      <c r="N303">
        <v>43.93</v>
      </c>
      <c r="O303">
        <v>66</v>
      </c>
      <c r="P303">
        <v>-19.649999999999999</v>
      </c>
      <c r="Q303">
        <v>48</v>
      </c>
      <c r="R303">
        <v>5.22</v>
      </c>
      <c r="S303">
        <v>66</v>
      </c>
      <c r="T303">
        <v>17.97</v>
      </c>
      <c r="U303">
        <v>47</v>
      </c>
      <c r="V303">
        <v>5.47</v>
      </c>
      <c r="W303">
        <v>58</v>
      </c>
      <c r="X303" t="s">
        <v>102</v>
      </c>
      <c r="Y303" t="s">
        <v>436</v>
      </c>
      <c r="Z303" t="s">
        <v>96</v>
      </c>
      <c r="AA303" t="s">
        <v>437</v>
      </c>
      <c r="AB303" t="s">
        <v>6232</v>
      </c>
      <c r="AC303">
        <v>0</v>
      </c>
      <c r="AD303">
        <v>0</v>
      </c>
      <c r="AE303">
        <v>90</v>
      </c>
      <c r="AF303">
        <v>126.48</v>
      </c>
      <c r="AG303">
        <v>9.8699999999999992</v>
      </c>
      <c r="AH303">
        <v>5.79</v>
      </c>
      <c r="AI303">
        <v>0.08</v>
      </c>
      <c r="AJ303">
        <v>0.03</v>
      </c>
      <c r="AK303">
        <v>66</v>
      </c>
      <c r="AL303">
        <v>0</v>
      </c>
      <c r="AM303">
        <v>0</v>
      </c>
      <c r="AN303">
        <v>-5.98</v>
      </c>
      <c r="AO303">
        <v>2.73</v>
      </c>
      <c r="AP303">
        <v>18</v>
      </c>
      <c r="AQ303">
        <v>0</v>
      </c>
      <c r="AR303">
        <v>5.8</v>
      </c>
      <c r="AS303">
        <v>58</v>
      </c>
      <c r="AT303">
        <v>1.95</v>
      </c>
      <c r="AU303">
        <v>67</v>
      </c>
      <c r="AV303">
        <v>-3.86</v>
      </c>
      <c r="AW303">
        <v>78</v>
      </c>
      <c r="AX303">
        <v>-0.27</v>
      </c>
      <c r="AY303">
        <v>56</v>
      </c>
      <c r="AZ303">
        <v>6.7</v>
      </c>
      <c r="BA303">
        <v>46</v>
      </c>
      <c r="BB303">
        <v>5.03</v>
      </c>
      <c r="BC303">
        <v>46</v>
      </c>
      <c r="BD303">
        <v>-0.03</v>
      </c>
      <c r="BE303">
        <v>0</v>
      </c>
      <c r="BF303">
        <v>-7.0000000000000007E-2</v>
      </c>
      <c r="BG303">
        <v>74</v>
      </c>
      <c r="BH303">
        <v>0.11</v>
      </c>
      <c r="BI303">
        <v>-4.93</v>
      </c>
      <c r="BJ303">
        <v>0</v>
      </c>
      <c r="BK303">
        <v>0</v>
      </c>
      <c r="BL303">
        <v>-1.21</v>
      </c>
      <c r="BM303">
        <v>-0.38</v>
      </c>
      <c r="BN303">
        <v>-1.27</v>
      </c>
      <c r="BO303">
        <v>-0.49</v>
      </c>
      <c r="BP303">
        <v>1.9</v>
      </c>
      <c r="BQ303">
        <v>0.42</v>
      </c>
      <c r="BR303">
        <v>0.9</v>
      </c>
      <c r="BS303">
        <v>0.59</v>
      </c>
      <c r="BT303">
        <v>-0.76</v>
      </c>
      <c r="BU303">
        <v>0.1</v>
      </c>
      <c r="BV303">
        <v>-0.36</v>
      </c>
      <c r="BW303">
        <v>0.34</v>
      </c>
      <c r="BX303">
        <v>1.87</v>
      </c>
      <c r="BY303">
        <v>0.57999999999999996</v>
      </c>
      <c r="BZ303">
        <v>-2.72</v>
      </c>
      <c r="CA303">
        <v>0.21</v>
      </c>
      <c r="CB303">
        <v>-0.09</v>
      </c>
      <c r="CC303">
        <v>0.56999999999999995</v>
      </c>
      <c r="CD303">
        <v>0.81</v>
      </c>
      <c r="CE303">
        <v>-0.36</v>
      </c>
      <c r="CF303">
        <v>-0.61</v>
      </c>
      <c r="CG303">
        <v>0</v>
      </c>
      <c r="CH303">
        <v>1.25</v>
      </c>
      <c r="CI303">
        <v>0</v>
      </c>
      <c r="CJ303">
        <v>-10.199999999999999</v>
      </c>
      <c r="CK303">
        <v>50</v>
      </c>
      <c r="CL303">
        <v>-0.67</v>
      </c>
      <c r="CM303">
        <v>46</v>
      </c>
      <c r="CN303">
        <v>-0.25</v>
      </c>
      <c r="CO303">
        <v>46</v>
      </c>
      <c r="CP303">
        <v>-10.6</v>
      </c>
      <c r="CQ303">
        <v>47</v>
      </c>
      <c r="CR303">
        <v>0</v>
      </c>
      <c r="CS303">
        <v>0</v>
      </c>
      <c r="CT303">
        <v>-10.5</v>
      </c>
      <c r="CU303">
        <v>47</v>
      </c>
      <c r="CV303">
        <v>0.14000000000000001</v>
      </c>
      <c r="CW303">
        <v>36</v>
      </c>
      <c r="CX303" t="s">
        <v>2711</v>
      </c>
    </row>
    <row r="304" spans="1:102" x14ac:dyDescent="0.3">
      <c r="A304" t="str">
        <f>HYPERLINK("https://webapp.icbf.com/v2/app/bull-search/view/760399143","WEZ")</f>
        <v>WEZ</v>
      </c>
      <c r="B304" t="s">
        <v>9129</v>
      </c>
      <c r="C304" t="s">
        <v>9130</v>
      </c>
      <c r="D304" s="1">
        <v>40031</v>
      </c>
      <c r="E304" t="s">
        <v>92</v>
      </c>
      <c r="F304">
        <v>50</v>
      </c>
      <c r="G304" t="s">
        <v>93</v>
      </c>
      <c r="H304">
        <v>205.21</v>
      </c>
      <c r="I304">
        <v>94</v>
      </c>
      <c r="J304">
        <v>109.95</v>
      </c>
      <c r="K304">
        <v>99</v>
      </c>
      <c r="L304">
        <v>41.7</v>
      </c>
      <c r="M304">
        <v>89</v>
      </c>
      <c r="N304">
        <v>48.8</v>
      </c>
      <c r="O304">
        <v>95</v>
      </c>
      <c r="P304">
        <v>-12.31</v>
      </c>
      <c r="Q304">
        <v>98</v>
      </c>
      <c r="R304">
        <v>2.3199999999999998</v>
      </c>
      <c r="S304">
        <v>87</v>
      </c>
      <c r="T304">
        <v>7.02</v>
      </c>
      <c r="U304">
        <v>95</v>
      </c>
      <c r="V304">
        <v>7.73</v>
      </c>
      <c r="W304">
        <v>78</v>
      </c>
      <c r="X304" t="s">
        <v>276</v>
      </c>
      <c r="Y304" t="s">
        <v>329</v>
      </c>
      <c r="Z304" t="s">
        <v>330</v>
      </c>
      <c r="AA304" t="s">
        <v>2339</v>
      </c>
      <c r="AB304" t="s">
        <v>9131</v>
      </c>
      <c r="AC304">
        <v>609</v>
      </c>
      <c r="AD304">
        <v>199</v>
      </c>
      <c r="AE304">
        <v>99</v>
      </c>
      <c r="AF304">
        <v>182.29</v>
      </c>
      <c r="AG304">
        <v>18.88</v>
      </c>
      <c r="AH304">
        <v>14.81</v>
      </c>
      <c r="AI304">
        <v>0.2</v>
      </c>
      <c r="AJ304">
        <v>0.15</v>
      </c>
      <c r="AK304">
        <v>89</v>
      </c>
      <c r="AL304">
        <v>545</v>
      </c>
      <c r="AM304">
        <v>210</v>
      </c>
      <c r="AN304">
        <v>-1.1399999999999999</v>
      </c>
      <c r="AO304">
        <v>2.2000000000000002</v>
      </c>
      <c r="AP304">
        <v>1500</v>
      </c>
      <c r="AQ304">
        <v>11</v>
      </c>
      <c r="AR304">
        <v>4.93</v>
      </c>
      <c r="AS304">
        <v>90</v>
      </c>
      <c r="AT304">
        <v>2.48</v>
      </c>
      <c r="AU304">
        <v>97</v>
      </c>
      <c r="AV304">
        <v>-4.8</v>
      </c>
      <c r="AW304">
        <v>99</v>
      </c>
      <c r="AX304">
        <v>-0.46</v>
      </c>
      <c r="AY304">
        <v>96</v>
      </c>
      <c r="AZ304">
        <v>7.13</v>
      </c>
      <c r="BA304">
        <v>88</v>
      </c>
      <c r="BB304">
        <v>5.16</v>
      </c>
      <c r="BC304">
        <v>83</v>
      </c>
      <c r="BD304">
        <v>-0.02</v>
      </c>
      <c r="BE304">
        <v>0</v>
      </c>
      <c r="BF304">
        <v>-0.02</v>
      </c>
      <c r="BG304">
        <v>97</v>
      </c>
      <c r="BH304">
        <v>0.02</v>
      </c>
      <c r="BI304">
        <v>-22.63</v>
      </c>
      <c r="BJ304">
        <v>4</v>
      </c>
      <c r="BK304">
        <v>3</v>
      </c>
      <c r="BL304">
        <v>-1.17</v>
      </c>
      <c r="BM304">
        <v>3.53</v>
      </c>
      <c r="BN304">
        <v>1.7</v>
      </c>
      <c r="BO304">
        <v>-1.51</v>
      </c>
      <c r="BP304">
        <v>-2.44</v>
      </c>
      <c r="BQ304">
        <v>-1.75</v>
      </c>
      <c r="BR304">
        <v>1.67</v>
      </c>
      <c r="BS304">
        <v>-0.46</v>
      </c>
      <c r="BT304">
        <v>-2.04</v>
      </c>
      <c r="BU304">
        <v>-1.53</v>
      </c>
      <c r="BV304">
        <v>-2.13</v>
      </c>
      <c r="BW304">
        <v>-1.27</v>
      </c>
      <c r="BX304">
        <v>-2.57</v>
      </c>
      <c r="BY304">
        <v>-1.22</v>
      </c>
      <c r="BZ304">
        <v>0.48</v>
      </c>
      <c r="CA304">
        <v>-0.96</v>
      </c>
      <c r="CB304">
        <v>-1.41</v>
      </c>
      <c r="CC304">
        <v>-1.39</v>
      </c>
      <c r="CD304">
        <v>1.49</v>
      </c>
      <c r="CE304">
        <v>-0.05</v>
      </c>
      <c r="CF304">
        <v>-0.96</v>
      </c>
      <c r="CG304">
        <v>0</v>
      </c>
      <c r="CH304">
        <v>-1.18</v>
      </c>
      <c r="CI304">
        <v>0</v>
      </c>
      <c r="CJ304">
        <v>-5.9</v>
      </c>
      <c r="CK304">
        <v>99</v>
      </c>
      <c r="CL304">
        <v>-0.67</v>
      </c>
      <c r="CM304">
        <v>98</v>
      </c>
      <c r="CN304">
        <v>-0.28999999999999998</v>
      </c>
      <c r="CO304">
        <v>98</v>
      </c>
      <c r="CP304">
        <v>-4.3</v>
      </c>
      <c r="CQ304">
        <v>94</v>
      </c>
      <c r="CR304">
        <v>0</v>
      </c>
      <c r="CS304">
        <v>0</v>
      </c>
      <c r="CT304">
        <v>4.3</v>
      </c>
      <c r="CU304">
        <v>95</v>
      </c>
      <c r="CV304">
        <v>0.16</v>
      </c>
      <c r="CW304">
        <v>46</v>
      </c>
      <c r="CX304" t="s">
        <v>7540</v>
      </c>
    </row>
    <row r="305" spans="1:102" x14ac:dyDescent="0.3">
      <c r="A305" t="str">
        <f>HYPERLINK("https://webapp.icbf.com/v2/app/bull-search/view/910797659","FR2457")</f>
        <v>FR2457</v>
      </c>
      <c r="B305" t="s">
        <v>6358</v>
      </c>
      <c r="C305" t="s">
        <v>6359</v>
      </c>
      <c r="D305" s="1">
        <v>40403</v>
      </c>
      <c r="E305" t="s">
        <v>92</v>
      </c>
      <c r="F305">
        <v>41</v>
      </c>
      <c r="G305" t="s">
        <v>109</v>
      </c>
      <c r="H305">
        <v>204.72</v>
      </c>
      <c r="I305">
        <v>75</v>
      </c>
      <c r="J305">
        <v>90.66</v>
      </c>
      <c r="K305">
        <v>91</v>
      </c>
      <c r="L305">
        <v>82.89</v>
      </c>
      <c r="M305">
        <v>64</v>
      </c>
      <c r="N305">
        <v>30.21</v>
      </c>
      <c r="O305">
        <v>78</v>
      </c>
      <c r="P305">
        <v>-39.26</v>
      </c>
      <c r="Q305">
        <v>81</v>
      </c>
      <c r="R305">
        <v>-2.87</v>
      </c>
      <c r="S305">
        <v>67</v>
      </c>
      <c r="T305">
        <v>40.020000000000003</v>
      </c>
      <c r="U305">
        <v>56</v>
      </c>
      <c r="V305">
        <v>3.07</v>
      </c>
      <c r="W305">
        <v>66</v>
      </c>
      <c r="X305" t="s">
        <v>276</v>
      </c>
      <c r="Y305" t="s">
        <v>429</v>
      </c>
      <c r="Z305">
        <v>0</v>
      </c>
      <c r="AA305" t="s">
        <v>6360</v>
      </c>
      <c r="AB305" t="s">
        <v>144</v>
      </c>
      <c r="AC305">
        <v>0</v>
      </c>
      <c r="AD305">
        <v>0</v>
      </c>
      <c r="AE305">
        <v>91</v>
      </c>
      <c r="AF305">
        <v>-140.63999999999999</v>
      </c>
      <c r="AG305">
        <v>13.19</v>
      </c>
      <c r="AH305">
        <v>8.6</v>
      </c>
      <c r="AI305">
        <v>0.33</v>
      </c>
      <c r="AJ305">
        <v>0.24</v>
      </c>
      <c r="AK305">
        <v>64</v>
      </c>
      <c r="AL305">
        <v>0</v>
      </c>
      <c r="AM305">
        <v>0</v>
      </c>
      <c r="AN305">
        <v>-5.35</v>
      </c>
      <c r="AO305">
        <v>1.25</v>
      </c>
      <c r="AP305">
        <v>138</v>
      </c>
      <c r="AQ305">
        <v>1</v>
      </c>
      <c r="AR305">
        <v>2.92</v>
      </c>
      <c r="AS305">
        <v>77</v>
      </c>
      <c r="AT305">
        <v>1.53</v>
      </c>
      <c r="AU305">
        <v>78</v>
      </c>
      <c r="AV305">
        <v>-1.91</v>
      </c>
      <c r="AW305">
        <v>95</v>
      </c>
      <c r="AX305">
        <v>0.35</v>
      </c>
      <c r="AY305">
        <v>72</v>
      </c>
      <c r="AZ305">
        <v>7.66</v>
      </c>
      <c r="BA305">
        <v>54</v>
      </c>
      <c r="BB305">
        <v>5.51</v>
      </c>
      <c r="BC305">
        <v>39</v>
      </c>
      <c r="BD305">
        <v>-0.03</v>
      </c>
      <c r="BE305">
        <v>0.04</v>
      </c>
      <c r="BF305">
        <v>0.04</v>
      </c>
      <c r="BG305">
        <v>77</v>
      </c>
      <c r="BH305">
        <v>-0.11</v>
      </c>
      <c r="BI305">
        <v>-22.62</v>
      </c>
      <c r="BJ305">
        <v>0</v>
      </c>
      <c r="BK305">
        <v>0</v>
      </c>
      <c r="BL305">
        <v>-2.5099999999999998</v>
      </c>
      <c r="BM305">
        <v>-1.24</v>
      </c>
      <c r="BN305">
        <v>-0.85</v>
      </c>
      <c r="BO305">
        <v>0.3</v>
      </c>
      <c r="BP305">
        <v>-0.33</v>
      </c>
      <c r="BQ305">
        <v>-4.47</v>
      </c>
      <c r="BR305">
        <v>2.69</v>
      </c>
      <c r="BS305">
        <v>2.23</v>
      </c>
      <c r="BT305">
        <v>-1.89</v>
      </c>
      <c r="BU305">
        <v>-0.92</v>
      </c>
      <c r="BV305">
        <v>-0.73</v>
      </c>
      <c r="BW305">
        <v>-1.6</v>
      </c>
      <c r="BX305">
        <v>-2.67</v>
      </c>
      <c r="BY305">
        <v>-0.59</v>
      </c>
      <c r="BZ305">
        <v>-1.07</v>
      </c>
      <c r="CA305">
        <v>-0.25</v>
      </c>
      <c r="CB305">
        <v>-0.68</v>
      </c>
      <c r="CC305">
        <v>0.97</v>
      </c>
      <c r="CD305">
        <v>-1.35</v>
      </c>
      <c r="CE305">
        <v>7.0000000000000007E-2</v>
      </c>
      <c r="CF305">
        <v>-2.87</v>
      </c>
      <c r="CG305">
        <v>0</v>
      </c>
      <c r="CH305">
        <v>-0.52</v>
      </c>
      <c r="CI305">
        <v>0</v>
      </c>
      <c r="CJ305">
        <v>-19.600000000000001</v>
      </c>
      <c r="CK305">
        <v>85</v>
      </c>
      <c r="CL305">
        <v>-0.91</v>
      </c>
      <c r="CM305">
        <v>81</v>
      </c>
      <c r="CN305">
        <v>-0.21</v>
      </c>
      <c r="CO305">
        <v>79</v>
      </c>
      <c r="CP305">
        <v>-35.200000000000003</v>
      </c>
      <c r="CQ305">
        <v>56</v>
      </c>
      <c r="CR305">
        <v>0</v>
      </c>
      <c r="CS305">
        <v>0</v>
      </c>
      <c r="CT305">
        <v>-40.299999999999997</v>
      </c>
      <c r="CU305">
        <v>56</v>
      </c>
      <c r="CV305">
        <v>-0.12</v>
      </c>
      <c r="CW305">
        <v>43</v>
      </c>
      <c r="CX305" t="s">
        <v>333</v>
      </c>
    </row>
    <row r="306" spans="1:102" x14ac:dyDescent="0.3">
      <c r="A306" t="str">
        <f>HYPERLINK("https://webapp.icbf.com/v2/app/bull-search/view/1600751045","S3329")</f>
        <v>S3329</v>
      </c>
      <c r="B306" t="s">
        <v>2515</v>
      </c>
      <c r="C306" t="s">
        <v>2516</v>
      </c>
      <c r="D306" s="1">
        <v>42774</v>
      </c>
      <c r="E306" t="s">
        <v>92</v>
      </c>
      <c r="F306">
        <v>100</v>
      </c>
      <c r="G306" t="s">
        <v>435</v>
      </c>
      <c r="H306">
        <v>204.43</v>
      </c>
      <c r="I306">
        <v>67</v>
      </c>
      <c r="J306">
        <v>108.01</v>
      </c>
      <c r="K306">
        <v>87</v>
      </c>
      <c r="L306">
        <v>55.94</v>
      </c>
      <c r="M306">
        <v>66</v>
      </c>
      <c r="N306">
        <v>34.79</v>
      </c>
      <c r="O306">
        <v>60</v>
      </c>
      <c r="P306">
        <v>-2.78</v>
      </c>
      <c r="Q306">
        <v>37</v>
      </c>
      <c r="R306">
        <v>14.4</v>
      </c>
      <c r="S306">
        <v>61</v>
      </c>
      <c r="T306">
        <v>-7.86</v>
      </c>
      <c r="U306">
        <v>34</v>
      </c>
      <c r="V306">
        <v>1.93</v>
      </c>
      <c r="W306">
        <v>52</v>
      </c>
      <c r="X306" t="s">
        <v>110</v>
      </c>
      <c r="Y306" t="s">
        <v>2394</v>
      </c>
      <c r="Z306" t="s">
        <v>96</v>
      </c>
      <c r="AA306" t="s">
        <v>2517</v>
      </c>
      <c r="AB306" t="s">
        <v>2518</v>
      </c>
      <c r="AC306">
        <v>0</v>
      </c>
      <c r="AD306">
        <v>0</v>
      </c>
      <c r="AE306">
        <v>87</v>
      </c>
      <c r="AF306">
        <v>491.16</v>
      </c>
      <c r="AG306">
        <v>21.25</v>
      </c>
      <c r="AH306">
        <v>18.37</v>
      </c>
      <c r="AI306">
        <v>0.03</v>
      </c>
      <c r="AJ306">
        <v>0.03</v>
      </c>
      <c r="AK306">
        <v>66</v>
      </c>
      <c r="AL306">
        <v>0</v>
      </c>
      <c r="AM306">
        <v>0</v>
      </c>
      <c r="AN306">
        <v>-2.38</v>
      </c>
      <c r="AO306">
        <v>2.09</v>
      </c>
      <c r="AP306">
        <v>19</v>
      </c>
      <c r="AQ306">
        <v>0</v>
      </c>
      <c r="AR306">
        <v>5.25</v>
      </c>
      <c r="AS306">
        <v>62</v>
      </c>
      <c r="AT306">
        <v>2.4300000000000002</v>
      </c>
      <c r="AU306">
        <v>67</v>
      </c>
      <c r="AV306">
        <v>-3.09</v>
      </c>
      <c r="AW306">
        <v>71</v>
      </c>
      <c r="AX306">
        <v>1.05</v>
      </c>
      <c r="AY306">
        <v>43</v>
      </c>
      <c r="AZ306">
        <v>5.66</v>
      </c>
      <c r="BA306">
        <v>34</v>
      </c>
      <c r="BB306">
        <v>4.83</v>
      </c>
      <c r="BC306">
        <v>33</v>
      </c>
      <c r="BD306">
        <v>-0.03</v>
      </c>
      <c r="BE306">
        <v>-0.09</v>
      </c>
      <c r="BF306">
        <v>-0.11</v>
      </c>
      <c r="BG306">
        <v>74</v>
      </c>
      <c r="BH306">
        <v>-0.18</v>
      </c>
      <c r="BI306">
        <v>-27.04</v>
      </c>
      <c r="BJ306">
        <v>0</v>
      </c>
      <c r="BK306">
        <v>0</v>
      </c>
      <c r="BL306">
        <v>1.44</v>
      </c>
      <c r="BM306">
        <v>-0.11</v>
      </c>
      <c r="BN306">
        <v>1.37</v>
      </c>
      <c r="BO306">
        <v>0.97</v>
      </c>
      <c r="BP306">
        <v>-0.87</v>
      </c>
      <c r="BQ306">
        <v>1.63</v>
      </c>
      <c r="BR306">
        <v>0.5</v>
      </c>
      <c r="BS306">
        <v>1.59</v>
      </c>
      <c r="BT306">
        <v>1.01</v>
      </c>
      <c r="BU306">
        <v>2.33</v>
      </c>
      <c r="BV306">
        <v>2.42</v>
      </c>
      <c r="BW306">
        <v>1.37</v>
      </c>
      <c r="BX306">
        <v>1.42</v>
      </c>
      <c r="BY306">
        <v>0.56999999999999995</v>
      </c>
      <c r="BZ306">
        <v>-0.03</v>
      </c>
      <c r="CA306">
        <v>1.54</v>
      </c>
      <c r="CB306">
        <v>1.7</v>
      </c>
      <c r="CC306">
        <v>1.06</v>
      </c>
      <c r="CD306">
        <v>-1.06</v>
      </c>
      <c r="CE306">
        <v>0.73</v>
      </c>
      <c r="CF306">
        <v>1.28</v>
      </c>
      <c r="CG306">
        <v>0</v>
      </c>
      <c r="CH306">
        <v>0.93</v>
      </c>
      <c r="CI306">
        <v>0</v>
      </c>
      <c r="CJ306">
        <v>1.5</v>
      </c>
      <c r="CK306">
        <v>37</v>
      </c>
      <c r="CL306">
        <v>-1.57</v>
      </c>
      <c r="CM306">
        <v>37</v>
      </c>
      <c r="CN306">
        <v>-0.9</v>
      </c>
      <c r="CO306">
        <v>36</v>
      </c>
      <c r="CP306">
        <v>5.4</v>
      </c>
      <c r="CQ306">
        <v>35</v>
      </c>
      <c r="CR306">
        <v>0</v>
      </c>
      <c r="CS306">
        <v>0</v>
      </c>
      <c r="CT306">
        <v>24.4</v>
      </c>
      <c r="CU306">
        <v>34</v>
      </c>
      <c r="CV306">
        <v>0.28999999999999998</v>
      </c>
      <c r="CW306">
        <v>32</v>
      </c>
      <c r="CX306" t="s">
        <v>450</v>
      </c>
    </row>
    <row r="307" spans="1:102" x14ac:dyDescent="0.3">
      <c r="A307" t="str">
        <f>HYPERLINK("https://webapp.icbf.com/v2/app/bull-search/view/984854628","ZTG")</f>
        <v>ZTG</v>
      </c>
      <c r="B307" t="s">
        <v>1931</v>
      </c>
      <c r="C307" t="s">
        <v>1932</v>
      </c>
      <c r="D307" s="1">
        <v>40783</v>
      </c>
      <c r="E307" t="s">
        <v>92</v>
      </c>
      <c r="F307">
        <v>100</v>
      </c>
      <c r="G307" t="s">
        <v>93</v>
      </c>
      <c r="H307">
        <v>204.4</v>
      </c>
      <c r="I307">
        <v>95</v>
      </c>
      <c r="J307">
        <v>84.16</v>
      </c>
      <c r="K307">
        <v>99</v>
      </c>
      <c r="L307">
        <v>74.239999999999995</v>
      </c>
      <c r="M307">
        <v>92</v>
      </c>
      <c r="N307">
        <v>31.23</v>
      </c>
      <c r="O307">
        <v>97</v>
      </c>
      <c r="P307">
        <v>10.46</v>
      </c>
      <c r="Q307">
        <v>99</v>
      </c>
      <c r="R307">
        <v>9.35</v>
      </c>
      <c r="S307">
        <v>93</v>
      </c>
      <c r="T307">
        <v>-14.89</v>
      </c>
      <c r="U307">
        <v>96</v>
      </c>
      <c r="V307">
        <v>9.85</v>
      </c>
      <c r="W307">
        <v>80</v>
      </c>
      <c r="X307" t="s">
        <v>94</v>
      </c>
      <c r="Y307" t="s">
        <v>1923</v>
      </c>
      <c r="Z307" t="s">
        <v>96</v>
      </c>
      <c r="AA307" t="s">
        <v>432</v>
      </c>
      <c r="AB307" t="s">
        <v>1933</v>
      </c>
      <c r="AC307">
        <v>1897</v>
      </c>
      <c r="AD307">
        <v>482</v>
      </c>
      <c r="AE307">
        <v>99</v>
      </c>
      <c r="AF307">
        <v>320.77</v>
      </c>
      <c r="AG307">
        <v>9.31</v>
      </c>
      <c r="AH307">
        <v>15.93</v>
      </c>
      <c r="AI307">
        <v>-0.05</v>
      </c>
      <c r="AJ307">
        <v>0.08</v>
      </c>
      <c r="AK307">
        <v>92</v>
      </c>
      <c r="AL307">
        <v>1730</v>
      </c>
      <c r="AM307">
        <v>515</v>
      </c>
      <c r="AN307">
        <v>-3.31</v>
      </c>
      <c r="AO307">
        <v>2.62</v>
      </c>
      <c r="AP307">
        <v>3080</v>
      </c>
      <c r="AQ307">
        <v>18</v>
      </c>
      <c r="AR307">
        <v>6.43</v>
      </c>
      <c r="AS307">
        <v>98</v>
      </c>
      <c r="AT307">
        <v>2.61</v>
      </c>
      <c r="AU307">
        <v>98</v>
      </c>
      <c r="AV307">
        <v>-2.63</v>
      </c>
      <c r="AW307">
        <v>99</v>
      </c>
      <c r="AX307">
        <v>0.38</v>
      </c>
      <c r="AY307">
        <v>98</v>
      </c>
      <c r="AZ307">
        <v>5.23</v>
      </c>
      <c r="BA307">
        <v>95</v>
      </c>
      <c r="BB307">
        <v>4.47</v>
      </c>
      <c r="BC307">
        <v>91</v>
      </c>
      <c r="BD307">
        <v>-0.03</v>
      </c>
      <c r="BE307">
        <v>-0.05</v>
      </c>
      <c r="BF307">
        <v>-7.0000000000000007E-2</v>
      </c>
      <c r="BG307">
        <v>99</v>
      </c>
      <c r="BH307">
        <v>0</v>
      </c>
      <c r="BI307">
        <v>-31.77</v>
      </c>
      <c r="BJ307">
        <v>255</v>
      </c>
      <c r="BK307">
        <v>86</v>
      </c>
      <c r="BL307">
        <v>1.1299999999999999</v>
      </c>
      <c r="BM307">
        <v>2.42</v>
      </c>
      <c r="BN307">
        <v>0.53</v>
      </c>
      <c r="BO307">
        <v>-0.44</v>
      </c>
      <c r="BP307">
        <v>-2.4700000000000002</v>
      </c>
      <c r="BQ307">
        <v>3.6</v>
      </c>
      <c r="BR307">
        <v>-1</v>
      </c>
      <c r="BS307">
        <v>-0.41</v>
      </c>
      <c r="BT307">
        <v>0.12</v>
      </c>
      <c r="BU307">
        <v>2.71</v>
      </c>
      <c r="BV307">
        <v>2.2000000000000002</v>
      </c>
      <c r="BW307">
        <v>2.27</v>
      </c>
      <c r="BX307">
        <v>3.1</v>
      </c>
      <c r="BY307">
        <v>1.25</v>
      </c>
      <c r="BZ307">
        <v>-4.74</v>
      </c>
      <c r="CA307">
        <v>1.39</v>
      </c>
      <c r="CB307">
        <v>1.74</v>
      </c>
      <c r="CC307">
        <v>-0.05</v>
      </c>
      <c r="CD307">
        <v>1.48</v>
      </c>
      <c r="CE307">
        <v>-0.02</v>
      </c>
      <c r="CF307">
        <v>1.38</v>
      </c>
      <c r="CG307">
        <v>0</v>
      </c>
      <c r="CH307">
        <v>1.29</v>
      </c>
      <c r="CI307">
        <v>0</v>
      </c>
      <c r="CJ307">
        <v>9</v>
      </c>
      <c r="CK307">
        <v>99</v>
      </c>
      <c r="CL307">
        <v>-0.83</v>
      </c>
      <c r="CM307">
        <v>99</v>
      </c>
      <c r="CN307">
        <v>-0.33</v>
      </c>
      <c r="CO307">
        <v>99</v>
      </c>
      <c r="CP307">
        <v>18.3</v>
      </c>
      <c r="CQ307">
        <v>97</v>
      </c>
      <c r="CR307">
        <v>0</v>
      </c>
      <c r="CS307">
        <v>0</v>
      </c>
      <c r="CT307">
        <v>33.9</v>
      </c>
      <c r="CU307">
        <v>96</v>
      </c>
      <c r="CV307">
        <v>0.39</v>
      </c>
      <c r="CW307">
        <v>46</v>
      </c>
      <c r="CX307" t="s">
        <v>1376</v>
      </c>
    </row>
    <row r="308" spans="1:102" x14ac:dyDescent="0.3">
      <c r="A308" t="str">
        <f>HYPERLINK("https://webapp.icbf.com/v2/app/bull-search/view/992945347","JGB")</f>
        <v>JGB</v>
      </c>
      <c r="B308" t="s">
        <v>5829</v>
      </c>
      <c r="C308" t="s">
        <v>5830</v>
      </c>
      <c r="D308" s="1">
        <v>40764</v>
      </c>
      <c r="E308" t="s">
        <v>227</v>
      </c>
      <c r="F308">
        <v>0</v>
      </c>
      <c r="G308" t="s">
        <v>109</v>
      </c>
      <c r="H308">
        <v>204.24</v>
      </c>
      <c r="I308">
        <v>81</v>
      </c>
      <c r="J308">
        <v>150.22999999999999</v>
      </c>
      <c r="K308">
        <v>94</v>
      </c>
      <c r="L308">
        <v>6.87</v>
      </c>
      <c r="M308">
        <v>74</v>
      </c>
      <c r="N308">
        <v>43.7</v>
      </c>
      <c r="O308">
        <v>76</v>
      </c>
      <c r="P308">
        <v>-44.39</v>
      </c>
      <c r="Q308">
        <v>81</v>
      </c>
      <c r="R308">
        <v>-0.2</v>
      </c>
      <c r="S308">
        <v>71</v>
      </c>
      <c r="T308">
        <v>40.76</v>
      </c>
      <c r="U308">
        <v>73</v>
      </c>
      <c r="V308">
        <v>7.27</v>
      </c>
      <c r="W308">
        <v>68</v>
      </c>
      <c r="X308" t="s">
        <v>276</v>
      </c>
      <c r="Y308" t="s">
        <v>1923</v>
      </c>
      <c r="Z308">
        <v>0</v>
      </c>
      <c r="AA308" t="s">
        <v>5831</v>
      </c>
      <c r="AB308" t="s">
        <v>5832</v>
      </c>
      <c r="AC308">
        <v>29</v>
      </c>
      <c r="AD308">
        <v>12</v>
      </c>
      <c r="AE308">
        <v>94</v>
      </c>
      <c r="AF308">
        <v>-264.81</v>
      </c>
      <c r="AG308">
        <v>30.72</v>
      </c>
      <c r="AH308">
        <v>10.63</v>
      </c>
      <c r="AI308">
        <v>0.75</v>
      </c>
      <c r="AJ308">
        <v>0.36</v>
      </c>
      <c r="AK308">
        <v>74</v>
      </c>
      <c r="AL308">
        <v>35</v>
      </c>
      <c r="AM308">
        <v>14</v>
      </c>
      <c r="AN308">
        <v>-0.23</v>
      </c>
      <c r="AO308">
        <v>0.32</v>
      </c>
      <c r="AP308">
        <v>86</v>
      </c>
      <c r="AQ308">
        <v>0</v>
      </c>
      <c r="AR308">
        <v>2.42</v>
      </c>
      <c r="AS308">
        <v>73</v>
      </c>
      <c r="AT308">
        <v>1</v>
      </c>
      <c r="AU308">
        <v>73</v>
      </c>
      <c r="AV308">
        <v>-3.12</v>
      </c>
      <c r="AW308">
        <v>93</v>
      </c>
      <c r="AX308">
        <v>1.72</v>
      </c>
      <c r="AY308">
        <v>68</v>
      </c>
      <c r="AZ308">
        <v>6.59</v>
      </c>
      <c r="BA308">
        <v>52</v>
      </c>
      <c r="BB308">
        <v>4.9800000000000004</v>
      </c>
      <c r="BC308">
        <v>46</v>
      </c>
      <c r="BD308">
        <v>-0.05</v>
      </c>
      <c r="BE308">
        <v>0.02</v>
      </c>
      <c r="BF308">
        <v>0.05</v>
      </c>
      <c r="BG308">
        <v>78</v>
      </c>
      <c r="BH308">
        <v>0.17</v>
      </c>
      <c r="BI308">
        <v>-3.78</v>
      </c>
      <c r="BJ308">
        <v>0</v>
      </c>
      <c r="BK308">
        <v>0</v>
      </c>
      <c r="BL308">
        <v>-3.02</v>
      </c>
      <c r="BM308">
        <v>-2</v>
      </c>
      <c r="BN308">
        <v>-0.34</v>
      </c>
      <c r="BO308">
        <v>1.3</v>
      </c>
      <c r="BP308">
        <v>-0.97</v>
      </c>
      <c r="BQ308">
        <v>-6.2</v>
      </c>
      <c r="BR308">
        <v>3.4</v>
      </c>
      <c r="BS308">
        <v>5.95</v>
      </c>
      <c r="BT308">
        <v>-1.75</v>
      </c>
      <c r="BU308">
        <v>-0.41</v>
      </c>
      <c r="BV308">
        <v>0.04</v>
      </c>
      <c r="BW308">
        <v>-2.13</v>
      </c>
      <c r="BX308">
        <v>-3.55</v>
      </c>
      <c r="BY308">
        <v>0.23</v>
      </c>
      <c r="BZ308">
        <v>-1.07</v>
      </c>
      <c r="CA308">
        <v>1.24</v>
      </c>
      <c r="CB308">
        <v>-0.15</v>
      </c>
      <c r="CC308">
        <v>3.62</v>
      </c>
      <c r="CD308">
        <v>-2.42</v>
      </c>
      <c r="CE308">
        <v>0.97</v>
      </c>
      <c r="CF308">
        <v>-3.22</v>
      </c>
      <c r="CG308">
        <v>0</v>
      </c>
      <c r="CH308">
        <v>-0.36</v>
      </c>
      <c r="CI308">
        <v>0</v>
      </c>
      <c r="CJ308">
        <v>-24.1</v>
      </c>
      <c r="CK308">
        <v>84</v>
      </c>
      <c r="CL308">
        <v>-0.81</v>
      </c>
      <c r="CM308">
        <v>80</v>
      </c>
      <c r="CN308">
        <v>-0.2</v>
      </c>
      <c r="CO308">
        <v>78</v>
      </c>
      <c r="CP308">
        <v>-34.1</v>
      </c>
      <c r="CQ308">
        <v>66</v>
      </c>
      <c r="CR308">
        <v>0</v>
      </c>
      <c r="CS308">
        <v>0</v>
      </c>
      <c r="CT308">
        <v>-41.3</v>
      </c>
      <c r="CU308">
        <v>73</v>
      </c>
      <c r="CV308">
        <v>-0.22</v>
      </c>
      <c r="CW308">
        <v>42</v>
      </c>
      <c r="CX308" t="s">
        <v>1525</v>
      </c>
    </row>
    <row r="309" spans="1:102" x14ac:dyDescent="0.3">
      <c r="A309" t="str">
        <f>HYPERLINK("https://webapp.icbf.com/v2/app/bull-search/view/586201212","GJM")</f>
        <v>GJM</v>
      </c>
      <c r="B309" t="s">
        <v>15625</v>
      </c>
      <c r="C309" t="s">
        <v>7161</v>
      </c>
      <c r="D309" s="1">
        <v>38220</v>
      </c>
      <c r="E309" t="s">
        <v>92</v>
      </c>
      <c r="F309">
        <v>100</v>
      </c>
      <c r="G309" t="s">
        <v>93</v>
      </c>
      <c r="H309">
        <v>204.01</v>
      </c>
      <c r="I309">
        <v>98</v>
      </c>
      <c r="J309">
        <v>53.66</v>
      </c>
      <c r="K309">
        <v>99</v>
      </c>
      <c r="L309">
        <v>90.62</v>
      </c>
      <c r="M309">
        <v>97</v>
      </c>
      <c r="N309">
        <v>47.94</v>
      </c>
      <c r="O309">
        <v>99</v>
      </c>
      <c r="P309">
        <v>-11.46</v>
      </c>
      <c r="Q309">
        <v>99</v>
      </c>
      <c r="R309">
        <v>14.34</v>
      </c>
      <c r="S309">
        <v>97</v>
      </c>
      <c r="T309">
        <v>1.54</v>
      </c>
      <c r="U309">
        <v>99</v>
      </c>
      <c r="V309">
        <v>7.37</v>
      </c>
      <c r="W309">
        <v>94</v>
      </c>
      <c r="X309" t="s">
        <v>251</v>
      </c>
      <c r="Y309" t="s">
        <v>235</v>
      </c>
      <c r="Z309" t="s">
        <v>96</v>
      </c>
      <c r="AA309" t="s">
        <v>316</v>
      </c>
      <c r="AB309" t="s">
        <v>15626</v>
      </c>
      <c r="AC309">
        <v>6082</v>
      </c>
      <c r="AD309">
        <v>1003</v>
      </c>
      <c r="AE309">
        <v>99</v>
      </c>
      <c r="AF309">
        <v>130.66</v>
      </c>
      <c r="AG309">
        <v>13.98</v>
      </c>
      <c r="AH309">
        <v>6.18</v>
      </c>
      <c r="AI309">
        <v>0.15</v>
      </c>
      <c r="AJ309">
        <v>0.03</v>
      </c>
      <c r="AK309">
        <v>97</v>
      </c>
      <c r="AL309">
        <v>6213</v>
      </c>
      <c r="AM309">
        <v>1148</v>
      </c>
      <c r="AN309">
        <v>-4.72</v>
      </c>
      <c r="AO309">
        <v>2.5099999999999998</v>
      </c>
      <c r="AP309">
        <v>11395</v>
      </c>
      <c r="AQ309">
        <v>61</v>
      </c>
      <c r="AR309">
        <v>4.3899999999999997</v>
      </c>
      <c r="AS309">
        <v>99</v>
      </c>
      <c r="AT309">
        <v>1.88</v>
      </c>
      <c r="AU309">
        <v>99</v>
      </c>
      <c r="AV309">
        <v>-3.77</v>
      </c>
      <c r="AW309">
        <v>99</v>
      </c>
      <c r="AX309">
        <v>0.03</v>
      </c>
      <c r="AY309">
        <v>99</v>
      </c>
      <c r="AZ309">
        <v>6.04</v>
      </c>
      <c r="BA309">
        <v>99</v>
      </c>
      <c r="BB309">
        <v>4.7300000000000004</v>
      </c>
      <c r="BC309">
        <v>98</v>
      </c>
      <c r="BD309">
        <v>-7.0000000000000007E-2</v>
      </c>
      <c r="BE309">
        <v>-7.0000000000000007E-2</v>
      </c>
      <c r="BF309">
        <v>-0.08</v>
      </c>
      <c r="BG309">
        <v>99</v>
      </c>
      <c r="BH309">
        <v>-0.01</v>
      </c>
      <c r="BI309">
        <v>-24.94</v>
      </c>
      <c r="BJ309">
        <v>1044</v>
      </c>
      <c r="BK309">
        <v>250</v>
      </c>
      <c r="BL309">
        <v>0.74</v>
      </c>
      <c r="BM309">
        <v>-1.8</v>
      </c>
      <c r="BN309">
        <v>-1.28</v>
      </c>
      <c r="BO309">
        <v>-0.21</v>
      </c>
      <c r="BP309">
        <v>0.93</v>
      </c>
      <c r="BQ309">
        <v>-0.7</v>
      </c>
      <c r="BR309">
        <v>1.58</v>
      </c>
      <c r="BS309">
        <v>-0.76</v>
      </c>
      <c r="BT309">
        <v>-1.56</v>
      </c>
      <c r="BU309">
        <v>1.0900000000000001</v>
      </c>
      <c r="BV309">
        <v>1.3</v>
      </c>
      <c r="BW309">
        <v>1.69</v>
      </c>
      <c r="BX309">
        <v>2.11</v>
      </c>
      <c r="BY309">
        <v>0.79</v>
      </c>
      <c r="BZ309">
        <v>0.35</v>
      </c>
      <c r="CA309">
        <v>0.88</v>
      </c>
      <c r="CB309">
        <v>1.1399999999999999</v>
      </c>
      <c r="CC309">
        <v>-0.35</v>
      </c>
      <c r="CD309">
        <v>-0.19</v>
      </c>
      <c r="CE309">
        <v>-0.13</v>
      </c>
      <c r="CF309">
        <v>0.06</v>
      </c>
      <c r="CG309">
        <v>0</v>
      </c>
      <c r="CH309">
        <v>0.8</v>
      </c>
      <c r="CI309">
        <v>0</v>
      </c>
      <c r="CJ309">
        <v>-4.4000000000000004</v>
      </c>
      <c r="CK309">
        <v>99</v>
      </c>
      <c r="CL309">
        <v>-1.01</v>
      </c>
      <c r="CM309">
        <v>99</v>
      </c>
      <c r="CN309">
        <v>-0.42</v>
      </c>
      <c r="CO309">
        <v>99</v>
      </c>
      <c r="CP309">
        <v>0.8</v>
      </c>
      <c r="CQ309">
        <v>99</v>
      </c>
      <c r="CR309">
        <v>0</v>
      </c>
      <c r="CS309">
        <v>0</v>
      </c>
      <c r="CT309">
        <v>11.7</v>
      </c>
      <c r="CU309">
        <v>99</v>
      </c>
      <c r="CV309">
        <v>0.22</v>
      </c>
      <c r="CW309">
        <v>50</v>
      </c>
      <c r="CX309" t="s">
        <v>311</v>
      </c>
    </row>
    <row r="310" spans="1:102" x14ac:dyDescent="0.3">
      <c r="A310" t="str">
        <f>HYPERLINK("https://webapp.icbf.com/v2/app/bull-search/view/1246205923","FR4017")</f>
        <v>FR4017</v>
      </c>
      <c r="B310" t="s">
        <v>6365</v>
      </c>
      <c r="C310" t="s">
        <v>6366</v>
      </c>
      <c r="D310" s="1">
        <v>42037</v>
      </c>
      <c r="E310" t="s">
        <v>92</v>
      </c>
      <c r="F310">
        <v>81</v>
      </c>
      <c r="G310" t="s">
        <v>93</v>
      </c>
      <c r="H310">
        <v>203.7</v>
      </c>
      <c r="I310">
        <v>83</v>
      </c>
      <c r="J310">
        <v>86.31</v>
      </c>
      <c r="K310">
        <v>94</v>
      </c>
      <c r="L310">
        <v>85.02</v>
      </c>
      <c r="M310">
        <v>74</v>
      </c>
      <c r="N310">
        <v>41.28</v>
      </c>
      <c r="O310">
        <v>90</v>
      </c>
      <c r="P310">
        <v>-11.02</v>
      </c>
      <c r="Q310">
        <v>93</v>
      </c>
      <c r="R310">
        <v>-8.81</v>
      </c>
      <c r="S310">
        <v>74</v>
      </c>
      <c r="T310">
        <v>7.02</v>
      </c>
      <c r="U310">
        <v>67</v>
      </c>
      <c r="V310">
        <v>3.9</v>
      </c>
      <c r="W310">
        <v>67</v>
      </c>
      <c r="X310" t="s">
        <v>94</v>
      </c>
      <c r="Y310" t="s">
        <v>436</v>
      </c>
      <c r="Z310" t="s">
        <v>96</v>
      </c>
      <c r="AA310" t="s">
        <v>2239</v>
      </c>
      <c r="AB310" t="s">
        <v>6367</v>
      </c>
      <c r="AC310">
        <v>87</v>
      </c>
      <c r="AD310">
        <v>70</v>
      </c>
      <c r="AE310">
        <v>94</v>
      </c>
      <c r="AF310">
        <v>112.72</v>
      </c>
      <c r="AG310">
        <v>15.39</v>
      </c>
      <c r="AH310">
        <v>10.96</v>
      </c>
      <c r="AI310">
        <v>0.19</v>
      </c>
      <c r="AJ310">
        <v>0.12</v>
      </c>
      <c r="AK310">
        <v>74</v>
      </c>
      <c r="AL310">
        <v>0</v>
      </c>
      <c r="AM310">
        <v>0</v>
      </c>
      <c r="AN310">
        <v>-3.9</v>
      </c>
      <c r="AO310">
        <v>2.89</v>
      </c>
      <c r="AP310">
        <v>4036</v>
      </c>
      <c r="AQ310">
        <v>6</v>
      </c>
      <c r="AR310">
        <v>5.56</v>
      </c>
      <c r="AS310">
        <v>98</v>
      </c>
      <c r="AT310">
        <v>2.0099999999999998</v>
      </c>
      <c r="AU310">
        <v>98</v>
      </c>
      <c r="AV310">
        <v>-3.53</v>
      </c>
      <c r="AW310">
        <v>99</v>
      </c>
      <c r="AX310">
        <v>0.08</v>
      </c>
      <c r="AY310">
        <v>98</v>
      </c>
      <c r="AZ310">
        <v>5.81</v>
      </c>
      <c r="BA310">
        <v>65</v>
      </c>
      <c r="BB310">
        <v>5.14</v>
      </c>
      <c r="BC310">
        <v>47</v>
      </c>
      <c r="BD310">
        <v>0.01</v>
      </c>
      <c r="BE310">
        <v>0.04</v>
      </c>
      <c r="BF310">
        <v>0.11</v>
      </c>
      <c r="BG310">
        <v>84</v>
      </c>
      <c r="BH310">
        <v>-0.09</v>
      </c>
      <c r="BI310">
        <v>-22.99</v>
      </c>
      <c r="BJ310">
        <v>0</v>
      </c>
      <c r="BK310">
        <v>0</v>
      </c>
      <c r="BL310">
        <v>-1.48</v>
      </c>
      <c r="BM310">
        <v>0.42</v>
      </c>
      <c r="BN310">
        <v>-0.41</v>
      </c>
      <c r="BO310">
        <v>-0.87</v>
      </c>
      <c r="BP310">
        <v>1.75</v>
      </c>
      <c r="BQ310">
        <v>-0.78</v>
      </c>
      <c r="BR310">
        <v>-0.38</v>
      </c>
      <c r="BS310">
        <v>1.03</v>
      </c>
      <c r="BT310">
        <v>0.4</v>
      </c>
      <c r="BU310">
        <v>-0.43</v>
      </c>
      <c r="BV310">
        <v>-0.43</v>
      </c>
      <c r="BW310">
        <v>-1.1599999999999999</v>
      </c>
      <c r="BX310">
        <v>-0.64</v>
      </c>
      <c r="BY310">
        <v>-0.22</v>
      </c>
      <c r="BZ310">
        <v>-4.28</v>
      </c>
      <c r="CA310">
        <v>-0.15</v>
      </c>
      <c r="CB310">
        <v>-0.52</v>
      </c>
      <c r="CC310">
        <v>0.82</v>
      </c>
      <c r="CD310">
        <v>0.94</v>
      </c>
      <c r="CE310">
        <v>-0.85</v>
      </c>
      <c r="CF310">
        <v>-1.1599999999999999</v>
      </c>
      <c r="CG310">
        <v>0</v>
      </c>
      <c r="CH310">
        <v>2.25</v>
      </c>
      <c r="CI310">
        <v>0</v>
      </c>
      <c r="CJ310">
        <v>-3.1</v>
      </c>
      <c r="CK310">
        <v>96</v>
      </c>
      <c r="CL310">
        <v>-0.74</v>
      </c>
      <c r="CM310">
        <v>95</v>
      </c>
      <c r="CN310">
        <v>-0.06</v>
      </c>
      <c r="CO310">
        <v>95</v>
      </c>
      <c r="CP310">
        <v>1.3</v>
      </c>
      <c r="CQ310">
        <v>64</v>
      </c>
      <c r="CR310">
        <v>0</v>
      </c>
      <c r="CS310">
        <v>0</v>
      </c>
      <c r="CT310">
        <v>4.3</v>
      </c>
      <c r="CU310">
        <v>67</v>
      </c>
      <c r="CV310">
        <v>0.33</v>
      </c>
      <c r="CW310">
        <v>53</v>
      </c>
      <c r="CX310" t="s">
        <v>1689</v>
      </c>
    </row>
    <row r="311" spans="1:102" x14ac:dyDescent="0.3">
      <c r="A311" t="str">
        <f>HYPERLINK("https://webapp.icbf.com/v2/app/bull-search/view/1141981360","FR2085")</f>
        <v>FR2085</v>
      </c>
      <c r="B311" t="s">
        <v>13626</v>
      </c>
      <c r="C311" t="s">
        <v>13627</v>
      </c>
      <c r="D311" s="1">
        <v>41686</v>
      </c>
      <c r="E311" t="s">
        <v>92</v>
      </c>
      <c r="F311">
        <v>75</v>
      </c>
      <c r="G311" t="s">
        <v>93</v>
      </c>
      <c r="H311">
        <v>203.59</v>
      </c>
      <c r="I311">
        <v>88</v>
      </c>
      <c r="J311">
        <v>86.49</v>
      </c>
      <c r="K311">
        <v>98</v>
      </c>
      <c r="L311">
        <v>72.31</v>
      </c>
      <c r="M311">
        <v>78</v>
      </c>
      <c r="N311">
        <v>35.42</v>
      </c>
      <c r="O311">
        <v>90</v>
      </c>
      <c r="P311">
        <v>-12.97</v>
      </c>
      <c r="Q311">
        <v>93</v>
      </c>
      <c r="R311">
        <v>9.5399999999999991</v>
      </c>
      <c r="S311">
        <v>80</v>
      </c>
      <c r="T311">
        <v>12.72</v>
      </c>
      <c r="U311">
        <v>97</v>
      </c>
      <c r="V311">
        <v>0.08</v>
      </c>
      <c r="W311">
        <v>75</v>
      </c>
      <c r="X311" t="s">
        <v>234</v>
      </c>
      <c r="Y311" t="s">
        <v>416</v>
      </c>
      <c r="Z311" t="s">
        <v>330</v>
      </c>
      <c r="AA311" t="s">
        <v>2514</v>
      </c>
      <c r="AB311" t="s">
        <v>13628</v>
      </c>
      <c r="AC311">
        <v>244</v>
      </c>
      <c r="AD311">
        <v>54</v>
      </c>
      <c r="AE311">
        <v>98</v>
      </c>
      <c r="AF311">
        <v>224.72</v>
      </c>
      <c r="AG311">
        <v>16.62</v>
      </c>
      <c r="AH311">
        <v>12.27</v>
      </c>
      <c r="AI311">
        <v>0.13</v>
      </c>
      <c r="AJ311">
        <v>0.08</v>
      </c>
      <c r="AK311">
        <v>78</v>
      </c>
      <c r="AL311">
        <v>152</v>
      </c>
      <c r="AM311">
        <v>39</v>
      </c>
      <c r="AN311">
        <v>-3.69</v>
      </c>
      <c r="AO311">
        <v>2.08</v>
      </c>
      <c r="AP311">
        <v>849</v>
      </c>
      <c r="AQ311">
        <v>1</v>
      </c>
      <c r="AR311">
        <v>5.1100000000000003</v>
      </c>
      <c r="AS311">
        <v>84</v>
      </c>
      <c r="AT311">
        <v>2.08</v>
      </c>
      <c r="AU311">
        <v>95</v>
      </c>
      <c r="AV311">
        <v>-2.81</v>
      </c>
      <c r="AW311">
        <v>99</v>
      </c>
      <c r="AX311">
        <v>0.1</v>
      </c>
      <c r="AY311">
        <v>92</v>
      </c>
      <c r="AZ311">
        <v>7.08</v>
      </c>
      <c r="BA311">
        <v>79</v>
      </c>
      <c r="BB311">
        <v>4.8600000000000003</v>
      </c>
      <c r="BC311">
        <v>61</v>
      </c>
      <c r="BD311">
        <v>-0.05</v>
      </c>
      <c r="BE311">
        <v>-0.04</v>
      </c>
      <c r="BF311">
        <v>-0.06</v>
      </c>
      <c r="BG311">
        <v>92</v>
      </c>
      <c r="BH311">
        <v>-0.1</v>
      </c>
      <c r="BI311">
        <v>-11.82</v>
      </c>
      <c r="BJ311">
        <v>6</v>
      </c>
      <c r="BK311">
        <v>1</v>
      </c>
      <c r="BL311">
        <v>-1.57</v>
      </c>
      <c r="BM311">
        <v>1.1499999999999999</v>
      </c>
      <c r="BN311">
        <v>-0.63</v>
      </c>
      <c r="BO311">
        <v>-1.54</v>
      </c>
      <c r="BP311">
        <v>0.54</v>
      </c>
      <c r="BQ311">
        <v>-2.57</v>
      </c>
      <c r="BR311">
        <v>1.66</v>
      </c>
      <c r="BS311">
        <v>-1.23</v>
      </c>
      <c r="BT311">
        <v>-1.7</v>
      </c>
      <c r="BU311">
        <v>0.46</v>
      </c>
      <c r="BV311">
        <v>-0.75</v>
      </c>
      <c r="BW311">
        <v>-1.78</v>
      </c>
      <c r="BX311">
        <v>-0.56999999999999995</v>
      </c>
      <c r="BY311">
        <v>-2.64</v>
      </c>
      <c r="BZ311">
        <v>-1.05</v>
      </c>
      <c r="CA311">
        <v>-0.76</v>
      </c>
      <c r="CB311">
        <v>-0.32</v>
      </c>
      <c r="CC311">
        <v>-1.21</v>
      </c>
      <c r="CD311">
        <v>2.0499999999999998</v>
      </c>
      <c r="CE311">
        <v>-0.69</v>
      </c>
      <c r="CF311">
        <v>-0.82</v>
      </c>
      <c r="CG311">
        <v>0</v>
      </c>
      <c r="CH311">
        <v>-2</v>
      </c>
      <c r="CI311">
        <v>0</v>
      </c>
      <c r="CJ311">
        <v>-5.9</v>
      </c>
      <c r="CK311">
        <v>95</v>
      </c>
      <c r="CL311">
        <v>-0.57999999999999996</v>
      </c>
      <c r="CM311">
        <v>94</v>
      </c>
      <c r="CN311">
        <v>-0.2</v>
      </c>
      <c r="CO311">
        <v>93</v>
      </c>
      <c r="CP311">
        <v>-7.9</v>
      </c>
      <c r="CQ311">
        <v>77</v>
      </c>
      <c r="CR311">
        <v>0</v>
      </c>
      <c r="CS311">
        <v>0</v>
      </c>
      <c r="CT311">
        <v>-3.4</v>
      </c>
      <c r="CU311">
        <v>97</v>
      </c>
      <c r="CV311">
        <v>0.05</v>
      </c>
      <c r="CW311">
        <v>47</v>
      </c>
      <c r="CX311" t="s">
        <v>13629</v>
      </c>
    </row>
    <row r="312" spans="1:102" x14ac:dyDescent="0.3">
      <c r="A312" t="str">
        <f>HYPERLINK("https://webapp.icbf.com/v2/app/bull-search/view/1447297755","FR4667")</f>
        <v>FR4667</v>
      </c>
      <c r="B312" t="s">
        <v>461</v>
      </c>
      <c r="C312" t="s">
        <v>462</v>
      </c>
      <c r="D312" s="1">
        <v>42264</v>
      </c>
      <c r="E312" t="s">
        <v>92</v>
      </c>
      <c r="F312">
        <v>100</v>
      </c>
      <c r="G312" t="s">
        <v>435</v>
      </c>
      <c r="H312">
        <v>203.48</v>
      </c>
      <c r="I312">
        <v>69</v>
      </c>
      <c r="J312">
        <v>74.099999999999994</v>
      </c>
      <c r="K312">
        <v>89</v>
      </c>
      <c r="L312">
        <v>57.47</v>
      </c>
      <c r="M312">
        <v>69</v>
      </c>
      <c r="N312">
        <v>56.23</v>
      </c>
      <c r="O312">
        <v>56</v>
      </c>
      <c r="P312">
        <v>-8.1199999999999992</v>
      </c>
      <c r="Q312">
        <v>41</v>
      </c>
      <c r="R312">
        <v>25.6</v>
      </c>
      <c r="S312">
        <v>64</v>
      </c>
      <c r="T312">
        <v>-5.56</v>
      </c>
      <c r="U312">
        <v>36</v>
      </c>
      <c r="V312">
        <v>3.76</v>
      </c>
      <c r="W312">
        <v>55</v>
      </c>
      <c r="X312" t="s">
        <v>276</v>
      </c>
      <c r="Y312" t="s">
        <v>442</v>
      </c>
      <c r="Z312" t="s">
        <v>96</v>
      </c>
      <c r="AA312" t="s">
        <v>463</v>
      </c>
      <c r="AB312" t="s">
        <v>464</v>
      </c>
      <c r="AC312">
        <v>0</v>
      </c>
      <c r="AD312">
        <v>0</v>
      </c>
      <c r="AE312">
        <v>89</v>
      </c>
      <c r="AF312">
        <v>406.89</v>
      </c>
      <c r="AG312">
        <v>16.170000000000002</v>
      </c>
      <c r="AH312">
        <v>13.11</v>
      </c>
      <c r="AI312">
        <v>0</v>
      </c>
      <c r="AJ312">
        <v>-0.01</v>
      </c>
      <c r="AK312">
        <v>69</v>
      </c>
      <c r="AL312">
        <v>0</v>
      </c>
      <c r="AM312">
        <v>0</v>
      </c>
      <c r="AN312">
        <v>-2.58</v>
      </c>
      <c r="AO312">
        <v>2.0099999999999998</v>
      </c>
      <c r="AP312">
        <v>3</v>
      </c>
      <c r="AQ312">
        <v>0</v>
      </c>
      <c r="AR312">
        <v>5.45</v>
      </c>
      <c r="AS312">
        <v>54</v>
      </c>
      <c r="AT312">
        <v>2.4300000000000002</v>
      </c>
      <c r="AU312">
        <v>71</v>
      </c>
      <c r="AV312">
        <v>-5.29</v>
      </c>
      <c r="AW312">
        <v>59</v>
      </c>
      <c r="AX312">
        <v>-0.36</v>
      </c>
      <c r="AY312">
        <v>46</v>
      </c>
      <c r="AZ312">
        <v>6.33</v>
      </c>
      <c r="BA312">
        <v>37</v>
      </c>
      <c r="BB312">
        <v>4.47</v>
      </c>
      <c r="BC312">
        <v>35</v>
      </c>
      <c r="BD312">
        <v>-0.1</v>
      </c>
      <c r="BE312">
        <v>-0.08</v>
      </c>
      <c r="BF312">
        <v>-0.27</v>
      </c>
      <c r="BG312">
        <v>77</v>
      </c>
      <c r="BH312">
        <v>0.05</v>
      </c>
      <c r="BI312">
        <v>-6.36</v>
      </c>
      <c r="BJ312">
        <v>0</v>
      </c>
      <c r="BK312">
        <v>0</v>
      </c>
      <c r="BL312">
        <v>1.37</v>
      </c>
      <c r="BM312">
        <v>0.31</v>
      </c>
      <c r="BN312">
        <v>0.83</v>
      </c>
      <c r="BO312">
        <v>0.74</v>
      </c>
      <c r="BP312">
        <v>3.28</v>
      </c>
      <c r="BQ312">
        <v>0.34</v>
      </c>
      <c r="BR312">
        <v>-1.63</v>
      </c>
      <c r="BS312">
        <v>3.54</v>
      </c>
      <c r="BT312">
        <v>1.8</v>
      </c>
      <c r="BU312">
        <v>2.38</v>
      </c>
      <c r="BV312">
        <v>2.5499999999999998</v>
      </c>
      <c r="BW312">
        <v>1.29</v>
      </c>
      <c r="BX312">
        <v>2.1</v>
      </c>
      <c r="BY312">
        <v>2.5099999999999998</v>
      </c>
      <c r="BZ312">
        <v>-0.25</v>
      </c>
      <c r="CA312">
        <v>2.4</v>
      </c>
      <c r="CB312">
        <v>1.75</v>
      </c>
      <c r="CC312">
        <v>2.97</v>
      </c>
      <c r="CD312">
        <v>-0.06</v>
      </c>
      <c r="CE312">
        <v>1.33</v>
      </c>
      <c r="CF312">
        <v>1.02</v>
      </c>
      <c r="CG312">
        <v>0</v>
      </c>
      <c r="CH312">
        <v>1.44</v>
      </c>
      <c r="CI312">
        <v>0</v>
      </c>
      <c r="CJ312">
        <v>-3.1</v>
      </c>
      <c r="CK312">
        <v>42</v>
      </c>
      <c r="CL312">
        <v>-1.17</v>
      </c>
      <c r="CM312">
        <v>41</v>
      </c>
      <c r="CN312">
        <v>-0.67</v>
      </c>
      <c r="CO312">
        <v>41</v>
      </c>
      <c r="CP312">
        <v>2.6</v>
      </c>
      <c r="CQ312">
        <v>37</v>
      </c>
      <c r="CR312">
        <v>0</v>
      </c>
      <c r="CS312">
        <v>0</v>
      </c>
      <c r="CT312">
        <v>21.3</v>
      </c>
      <c r="CU312">
        <v>36</v>
      </c>
      <c r="CV312">
        <v>0.23</v>
      </c>
      <c r="CW312">
        <v>34</v>
      </c>
      <c r="CX312" t="s">
        <v>465</v>
      </c>
    </row>
    <row r="313" spans="1:102" x14ac:dyDescent="0.3">
      <c r="A313" t="str">
        <f>HYPERLINK("https://webapp.icbf.com/v2/app/bull-search/view/864924676","ZBG")</f>
        <v>ZBG</v>
      </c>
      <c r="B313" t="s">
        <v>1884</v>
      </c>
      <c r="C313" t="s">
        <v>1885</v>
      </c>
      <c r="D313" s="1">
        <v>40579</v>
      </c>
      <c r="E313" t="s">
        <v>92</v>
      </c>
      <c r="F313">
        <v>94</v>
      </c>
      <c r="G313" t="s">
        <v>93</v>
      </c>
      <c r="H313">
        <v>203.39</v>
      </c>
      <c r="I313">
        <v>87</v>
      </c>
      <c r="J313">
        <v>64.2</v>
      </c>
      <c r="K313">
        <v>97</v>
      </c>
      <c r="L313">
        <v>80.739999999999995</v>
      </c>
      <c r="M313">
        <v>79</v>
      </c>
      <c r="N313">
        <v>39.729999999999997</v>
      </c>
      <c r="O313">
        <v>89</v>
      </c>
      <c r="P313">
        <v>-16.05</v>
      </c>
      <c r="Q313">
        <v>94</v>
      </c>
      <c r="R313">
        <v>19.079999999999998</v>
      </c>
      <c r="S313">
        <v>78</v>
      </c>
      <c r="T313">
        <v>7.54</v>
      </c>
      <c r="U313">
        <v>82</v>
      </c>
      <c r="V313">
        <v>8.15</v>
      </c>
      <c r="W313">
        <v>71</v>
      </c>
      <c r="X313" t="s">
        <v>276</v>
      </c>
      <c r="Y313" t="s">
        <v>1775</v>
      </c>
      <c r="Z313" t="s">
        <v>96</v>
      </c>
      <c r="AA313" t="s">
        <v>1376</v>
      </c>
      <c r="AB313" t="s">
        <v>1886</v>
      </c>
      <c r="AC313">
        <v>95</v>
      </c>
      <c r="AD313">
        <v>60</v>
      </c>
      <c r="AE313">
        <v>97</v>
      </c>
      <c r="AF313">
        <v>318.89</v>
      </c>
      <c r="AG313">
        <v>8.6199999999999992</v>
      </c>
      <c r="AH313">
        <v>12.75</v>
      </c>
      <c r="AI313">
        <v>-0.06</v>
      </c>
      <c r="AJ313">
        <v>0.03</v>
      </c>
      <c r="AK313">
        <v>79</v>
      </c>
      <c r="AL313">
        <v>117</v>
      </c>
      <c r="AM313">
        <v>70</v>
      </c>
      <c r="AN313">
        <v>-2.76</v>
      </c>
      <c r="AO313">
        <v>3.7</v>
      </c>
      <c r="AP313">
        <v>437</v>
      </c>
      <c r="AQ313">
        <v>1</v>
      </c>
      <c r="AR313">
        <v>6.18</v>
      </c>
      <c r="AS313">
        <v>83</v>
      </c>
      <c r="AT313">
        <v>2.08</v>
      </c>
      <c r="AU313">
        <v>92</v>
      </c>
      <c r="AV313">
        <v>-3</v>
      </c>
      <c r="AW313">
        <v>98</v>
      </c>
      <c r="AX313">
        <v>-1.03</v>
      </c>
      <c r="AY313">
        <v>88</v>
      </c>
      <c r="AZ313">
        <v>5.81</v>
      </c>
      <c r="BA313">
        <v>67</v>
      </c>
      <c r="BB313">
        <v>4.83</v>
      </c>
      <c r="BC313">
        <v>66</v>
      </c>
      <c r="BD313">
        <v>-7.0000000000000007E-2</v>
      </c>
      <c r="BE313">
        <v>-0.08</v>
      </c>
      <c r="BF313">
        <v>-0.17</v>
      </c>
      <c r="BG313">
        <v>88</v>
      </c>
      <c r="BH313">
        <v>0.14000000000000001</v>
      </c>
      <c r="BI313">
        <v>-10.08</v>
      </c>
      <c r="BJ313">
        <v>3</v>
      </c>
      <c r="BK313">
        <v>3</v>
      </c>
      <c r="BL313">
        <v>0.13</v>
      </c>
      <c r="BM313">
        <v>-0.45</v>
      </c>
      <c r="BN313">
        <v>-0.97</v>
      </c>
      <c r="BO313">
        <v>-0.56000000000000005</v>
      </c>
      <c r="BP313">
        <v>1</v>
      </c>
      <c r="BQ313">
        <v>-0.45</v>
      </c>
      <c r="BR313">
        <v>-0.67</v>
      </c>
      <c r="BS313">
        <v>0</v>
      </c>
      <c r="BT313">
        <v>-0.42</v>
      </c>
      <c r="BU313">
        <v>0.63</v>
      </c>
      <c r="BV313">
        <v>0.54</v>
      </c>
      <c r="BW313">
        <v>0.41</v>
      </c>
      <c r="BX313">
        <v>0.38</v>
      </c>
      <c r="BY313">
        <v>-0.92</v>
      </c>
      <c r="BZ313">
        <v>-0.44</v>
      </c>
      <c r="CA313">
        <v>0.14000000000000001</v>
      </c>
      <c r="CB313">
        <v>0.18</v>
      </c>
      <c r="CC313">
        <v>-0.65</v>
      </c>
      <c r="CD313">
        <v>0.27</v>
      </c>
      <c r="CE313">
        <v>-0.12</v>
      </c>
      <c r="CF313">
        <v>-0.04</v>
      </c>
      <c r="CG313">
        <v>0</v>
      </c>
      <c r="CH313">
        <v>-0.94</v>
      </c>
      <c r="CI313">
        <v>0</v>
      </c>
      <c r="CJ313">
        <v>-6.7</v>
      </c>
      <c r="CK313">
        <v>95</v>
      </c>
      <c r="CL313">
        <v>-0.92</v>
      </c>
      <c r="CM313">
        <v>94</v>
      </c>
      <c r="CN313">
        <v>-0.33</v>
      </c>
      <c r="CO313">
        <v>94</v>
      </c>
      <c r="CP313">
        <v>-7.8</v>
      </c>
      <c r="CQ313">
        <v>82</v>
      </c>
      <c r="CR313">
        <v>0</v>
      </c>
      <c r="CS313">
        <v>0</v>
      </c>
      <c r="CT313">
        <v>3.6</v>
      </c>
      <c r="CU313">
        <v>82</v>
      </c>
      <c r="CV313">
        <v>0.09</v>
      </c>
      <c r="CW313">
        <v>45</v>
      </c>
      <c r="CX313" t="s">
        <v>277</v>
      </c>
    </row>
    <row r="314" spans="1:102" x14ac:dyDescent="0.3">
      <c r="A314" t="str">
        <f>HYPERLINK("https://webapp.icbf.com/v2/app/bull-search/view/586041736","MWX")</f>
        <v>MWX</v>
      </c>
      <c r="B314" t="s">
        <v>15103</v>
      </c>
      <c r="C314" t="s">
        <v>15104</v>
      </c>
      <c r="D314" s="1">
        <v>39275</v>
      </c>
      <c r="E314" t="s">
        <v>92</v>
      </c>
      <c r="F314">
        <v>63</v>
      </c>
      <c r="G314" t="s">
        <v>93</v>
      </c>
      <c r="H314">
        <v>203.3</v>
      </c>
      <c r="I314">
        <v>88</v>
      </c>
      <c r="J314">
        <v>60.27</v>
      </c>
      <c r="K314">
        <v>96</v>
      </c>
      <c r="L314">
        <v>82.64</v>
      </c>
      <c r="M314">
        <v>83</v>
      </c>
      <c r="N314">
        <v>25.93</v>
      </c>
      <c r="O314">
        <v>83</v>
      </c>
      <c r="P314">
        <v>-12.7</v>
      </c>
      <c r="Q314">
        <v>89</v>
      </c>
      <c r="R314">
        <v>7.8</v>
      </c>
      <c r="S314">
        <v>75</v>
      </c>
      <c r="T314">
        <v>25.52</v>
      </c>
      <c r="U314">
        <v>89</v>
      </c>
      <c r="V314">
        <v>13.84</v>
      </c>
      <c r="W314">
        <v>75</v>
      </c>
      <c r="X314" t="s">
        <v>276</v>
      </c>
      <c r="Y314" t="s">
        <v>329</v>
      </c>
      <c r="Z314" t="s">
        <v>330</v>
      </c>
      <c r="AA314" t="s">
        <v>320</v>
      </c>
      <c r="AB314" t="s">
        <v>144</v>
      </c>
      <c r="AC314">
        <v>69</v>
      </c>
      <c r="AD314">
        <v>22</v>
      </c>
      <c r="AE314">
        <v>96</v>
      </c>
      <c r="AF314">
        <v>278.81</v>
      </c>
      <c r="AG314">
        <v>5.1100000000000003</v>
      </c>
      <c r="AH314">
        <v>12.71</v>
      </c>
      <c r="AI314">
        <v>-0.1</v>
      </c>
      <c r="AJ314">
        <v>0.05</v>
      </c>
      <c r="AK314">
        <v>83</v>
      </c>
      <c r="AL314">
        <v>76</v>
      </c>
      <c r="AM314">
        <v>29</v>
      </c>
      <c r="AN314">
        <v>-4.57</v>
      </c>
      <c r="AO314">
        <v>2.02</v>
      </c>
      <c r="AP314">
        <v>145</v>
      </c>
      <c r="AQ314">
        <v>0</v>
      </c>
      <c r="AR314">
        <v>5.81</v>
      </c>
      <c r="AS314">
        <v>76</v>
      </c>
      <c r="AT314">
        <v>2.0299999999999998</v>
      </c>
      <c r="AU314">
        <v>84</v>
      </c>
      <c r="AV314">
        <v>-1.67</v>
      </c>
      <c r="AW314">
        <v>94</v>
      </c>
      <c r="AX314">
        <v>-0.35</v>
      </c>
      <c r="AY314">
        <v>76</v>
      </c>
      <c r="AZ314">
        <v>6.97</v>
      </c>
      <c r="BA314">
        <v>62</v>
      </c>
      <c r="BB314">
        <v>5.01</v>
      </c>
      <c r="BC314">
        <v>65</v>
      </c>
      <c r="BD314">
        <v>-0.05</v>
      </c>
      <c r="BE314">
        <v>-0.04</v>
      </c>
      <c r="BF314">
        <v>-0.02</v>
      </c>
      <c r="BG314">
        <v>84</v>
      </c>
      <c r="BH314">
        <v>0.12</v>
      </c>
      <c r="BI314">
        <v>-30.75</v>
      </c>
      <c r="BJ314">
        <v>0</v>
      </c>
      <c r="BK314">
        <v>0</v>
      </c>
      <c r="BL314">
        <v>-2.48</v>
      </c>
      <c r="BM314">
        <v>-0.05</v>
      </c>
      <c r="BN314">
        <v>-2.11</v>
      </c>
      <c r="BO314">
        <v>-1.24</v>
      </c>
      <c r="BP314">
        <v>-1.85</v>
      </c>
      <c r="BQ314">
        <v>-2.66</v>
      </c>
      <c r="BR314">
        <v>1.24</v>
      </c>
      <c r="BS314">
        <v>-0.77</v>
      </c>
      <c r="BT314">
        <v>-1.54</v>
      </c>
      <c r="BU314">
        <v>-0.47</v>
      </c>
      <c r="BV314">
        <v>-1.37</v>
      </c>
      <c r="BW314">
        <v>-1.78</v>
      </c>
      <c r="BX314">
        <v>-0.22</v>
      </c>
      <c r="BY314">
        <v>-2.1</v>
      </c>
      <c r="BZ314">
        <v>1.75</v>
      </c>
      <c r="CA314">
        <v>-1.45</v>
      </c>
      <c r="CB314">
        <v>-1.06</v>
      </c>
      <c r="CC314">
        <v>-0.93</v>
      </c>
      <c r="CD314">
        <v>0.71</v>
      </c>
      <c r="CE314">
        <v>-0.13</v>
      </c>
      <c r="CF314">
        <v>-0.31</v>
      </c>
      <c r="CG314">
        <v>0</v>
      </c>
      <c r="CH314">
        <v>-1.62</v>
      </c>
      <c r="CI314">
        <v>0</v>
      </c>
      <c r="CJ314">
        <v>-6.2</v>
      </c>
      <c r="CK314">
        <v>91</v>
      </c>
      <c r="CL314">
        <v>-0.54</v>
      </c>
      <c r="CM314">
        <v>88</v>
      </c>
      <c r="CN314">
        <v>-0.34</v>
      </c>
      <c r="CO314">
        <v>87</v>
      </c>
      <c r="CP314">
        <v>-17</v>
      </c>
      <c r="CQ314">
        <v>81</v>
      </c>
      <c r="CR314">
        <v>0</v>
      </c>
      <c r="CS314">
        <v>0</v>
      </c>
      <c r="CT314">
        <v>-20.7</v>
      </c>
      <c r="CU314">
        <v>89</v>
      </c>
      <c r="CV314">
        <v>0.04</v>
      </c>
      <c r="CW314">
        <v>44</v>
      </c>
      <c r="CX314" t="s">
        <v>1229</v>
      </c>
    </row>
    <row r="315" spans="1:102" x14ac:dyDescent="0.3">
      <c r="A315" t="str">
        <f>HYPERLINK("https://webapp.icbf.com/v2/app/bull-search/view/992886241","YPS")</f>
        <v>YPS</v>
      </c>
      <c r="B315" t="s">
        <v>13358</v>
      </c>
      <c r="C315" t="s">
        <v>13359</v>
      </c>
      <c r="D315" s="1">
        <v>40757</v>
      </c>
      <c r="E315" t="s">
        <v>227</v>
      </c>
      <c r="F315">
        <v>9</v>
      </c>
      <c r="G315" t="s">
        <v>93</v>
      </c>
      <c r="H315">
        <v>203.22</v>
      </c>
      <c r="I315">
        <v>91</v>
      </c>
      <c r="J315">
        <v>39.4</v>
      </c>
      <c r="K315">
        <v>98</v>
      </c>
      <c r="L315">
        <v>87.39</v>
      </c>
      <c r="M315">
        <v>85</v>
      </c>
      <c r="N315">
        <v>65.27</v>
      </c>
      <c r="O315">
        <v>92</v>
      </c>
      <c r="P315">
        <v>-45.79</v>
      </c>
      <c r="Q315">
        <v>93</v>
      </c>
      <c r="R315">
        <v>14.48</v>
      </c>
      <c r="S315">
        <v>84</v>
      </c>
      <c r="T315">
        <v>35.729999999999997</v>
      </c>
      <c r="U315">
        <v>90</v>
      </c>
      <c r="V315">
        <v>6.74</v>
      </c>
      <c r="W315">
        <v>79</v>
      </c>
      <c r="X315" t="s">
        <v>276</v>
      </c>
      <c r="Y315" t="s">
        <v>1923</v>
      </c>
      <c r="Z315">
        <v>0</v>
      </c>
      <c r="AA315" t="s">
        <v>5465</v>
      </c>
      <c r="AB315" t="s">
        <v>13360</v>
      </c>
      <c r="AC315">
        <v>244</v>
      </c>
      <c r="AD315">
        <v>52</v>
      </c>
      <c r="AE315">
        <v>98</v>
      </c>
      <c r="AF315">
        <v>-383.57</v>
      </c>
      <c r="AG315">
        <v>4.5199999999999996</v>
      </c>
      <c r="AH315">
        <v>-0.77</v>
      </c>
      <c r="AI315">
        <v>0.36</v>
      </c>
      <c r="AJ315">
        <v>0.23</v>
      </c>
      <c r="AK315">
        <v>85</v>
      </c>
      <c r="AL315">
        <v>288</v>
      </c>
      <c r="AM315">
        <v>56</v>
      </c>
      <c r="AN315">
        <v>-4.7</v>
      </c>
      <c r="AO315">
        <v>2.27</v>
      </c>
      <c r="AP315">
        <v>479</v>
      </c>
      <c r="AQ315">
        <v>2</v>
      </c>
      <c r="AR315">
        <v>3.24</v>
      </c>
      <c r="AS315">
        <v>89</v>
      </c>
      <c r="AT315">
        <v>1.44</v>
      </c>
      <c r="AU315">
        <v>93</v>
      </c>
      <c r="AV315">
        <v>-5.24</v>
      </c>
      <c r="AW315">
        <v>98</v>
      </c>
      <c r="AX315">
        <v>-1.67</v>
      </c>
      <c r="AY315">
        <v>87</v>
      </c>
      <c r="AZ315">
        <v>5.98</v>
      </c>
      <c r="BA315">
        <v>83</v>
      </c>
      <c r="BB315">
        <v>5.36</v>
      </c>
      <c r="BC315">
        <v>76</v>
      </c>
      <c r="BD315">
        <v>-0.06</v>
      </c>
      <c r="BE315">
        <v>-7.0000000000000007E-2</v>
      </c>
      <c r="BF315">
        <v>-0.1</v>
      </c>
      <c r="BG315">
        <v>94</v>
      </c>
      <c r="BH315">
        <v>0.09</v>
      </c>
      <c r="BI315">
        <v>-11.32</v>
      </c>
      <c r="BJ315">
        <v>0</v>
      </c>
      <c r="BK315">
        <v>0</v>
      </c>
      <c r="BL315">
        <v>-2.71</v>
      </c>
      <c r="BM315">
        <v>-0.63</v>
      </c>
      <c r="BN315">
        <v>-0.76</v>
      </c>
      <c r="BO315">
        <v>-0.08</v>
      </c>
      <c r="BP315">
        <v>-1.84</v>
      </c>
      <c r="BQ315">
        <v>-3.93</v>
      </c>
      <c r="BR315">
        <v>1.57</v>
      </c>
      <c r="BS315">
        <v>3.87</v>
      </c>
      <c r="BT315">
        <v>-0.47</v>
      </c>
      <c r="BU315">
        <v>-0.97</v>
      </c>
      <c r="BV315">
        <v>-0.52</v>
      </c>
      <c r="BW315">
        <v>-2.1</v>
      </c>
      <c r="BX315">
        <v>-3.22</v>
      </c>
      <c r="BY315">
        <v>-0.44</v>
      </c>
      <c r="BZ315">
        <v>-0.47</v>
      </c>
      <c r="CA315">
        <v>0.09</v>
      </c>
      <c r="CB315">
        <v>-0.9</v>
      </c>
      <c r="CC315">
        <v>2.2799999999999998</v>
      </c>
      <c r="CD315">
        <v>-0.41</v>
      </c>
      <c r="CE315">
        <v>0.03</v>
      </c>
      <c r="CF315">
        <v>-2.66</v>
      </c>
      <c r="CG315">
        <v>0</v>
      </c>
      <c r="CH315">
        <v>-0.56000000000000005</v>
      </c>
      <c r="CI315">
        <v>0</v>
      </c>
      <c r="CJ315">
        <v>-25.4</v>
      </c>
      <c r="CK315">
        <v>95</v>
      </c>
      <c r="CL315">
        <v>-0.83</v>
      </c>
      <c r="CM315">
        <v>93</v>
      </c>
      <c r="CN315">
        <v>-0.21</v>
      </c>
      <c r="CO315">
        <v>92</v>
      </c>
      <c r="CP315">
        <v>-30.9</v>
      </c>
      <c r="CQ315">
        <v>84</v>
      </c>
      <c r="CR315">
        <v>0</v>
      </c>
      <c r="CS315">
        <v>0</v>
      </c>
      <c r="CT315">
        <v>-34.5</v>
      </c>
      <c r="CU315">
        <v>90</v>
      </c>
      <c r="CV315">
        <v>-0.11</v>
      </c>
      <c r="CW315">
        <v>46</v>
      </c>
      <c r="CX315" t="s">
        <v>333</v>
      </c>
    </row>
    <row r="316" spans="1:102" x14ac:dyDescent="0.3">
      <c r="A316" t="str">
        <f>HYPERLINK("https://webapp.icbf.com/v2/app/bull-search/view/1678804062","FR5076")</f>
        <v>FR5076</v>
      </c>
      <c r="B316" t="s">
        <v>8415</v>
      </c>
      <c r="C316" t="s">
        <v>8416</v>
      </c>
      <c r="D316" s="1">
        <v>42833</v>
      </c>
      <c r="E316" t="s">
        <v>92</v>
      </c>
      <c r="F316">
        <v>100</v>
      </c>
      <c r="G316" t="s">
        <v>435</v>
      </c>
      <c r="H316">
        <v>203</v>
      </c>
      <c r="I316">
        <v>58</v>
      </c>
      <c r="J316">
        <v>91.42</v>
      </c>
      <c r="K316">
        <v>77</v>
      </c>
      <c r="L316">
        <v>46.83</v>
      </c>
      <c r="M316">
        <v>56</v>
      </c>
      <c r="N316">
        <v>51.48</v>
      </c>
      <c r="O316">
        <v>47</v>
      </c>
      <c r="P316">
        <v>-12.32</v>
      </c>
      <c r="Q316">
        <v>33</v>
      </c>
      <c r="R316">
        <v>22.27</v>
      </c>
      <c r="S316">
        <v>52</v>
      </c>
      <c r="T316">
        <v>5.09</v>
      </c>
      <c r="U316">
        <v>32</v>
      </c>
      <c r="V316">
        <v>-1.77</v>
      </c>
      <c r="W316">
        <v>44</v>
      </c>
      <c r="X316" t="s">
        <v>428</v>
      </c>
      <c r="Y316" t="s">
        <v>8417</v>
      </c>
      <c r="Z316" t="s">
        <v>96</v>
      </c>
      <c r="AA316" t="s">
        <v>8418</v>
      </c>
      <c r="AB316" t="s">
        <v>8419</v>
      </c>
      <c r="AC316">
        <v>0</v>
      </c>
      <c r="AD316">
        <v>0</v>
      </c>
      <c r="AE316">
        <v>77</v>
      </c>
      <c r="AF316">
        <v>351.31</v>
      </c>
      <c r="AG316">
        <v>21.16</v>
      </c>
      <c r="AH316">
        <v>13.44</v>
      </c>
      <c r="AI316">
        <v>0.12</v>
      </c>
      <c r="AJ316">
        <v>0.03</v>
      </c>
      <c r="AK316">
        <v>56</v>
      </c>
      <c r="AL316">
        <v>0</v>
      </c>
      <c r="AM316">
        <v>0</v>
      </c>
      <c r="AN316">
        <v>-1.33</v>
      </c>
      <c r="AO316">
        <v>2.42</v>
      </c>
      <c r="AP316">
        <v>2</v>
      </c>
      <c r="AQ316">
        <v>0</v>
      </c>
      <c r="AR316">
        <v>6.14</v>
      </c>
      <c r="AS316">
        <v>41</v>
      </c>
      <c r="AT316">
        <v>2.74</v>
      </c>
      <c r="AU316">
        <v>77</v>
      </c>
      <c r="AV316">
        <v>-5.18</v>
      </c>
      <c r="AW316">
        <v>40</v>
      </c>
      <c r="AX316">
        <v>-0.39</v>
      </c>
      <c r="AY316">
        <v>36</v>
      </c>
      <c r="AZ316">
        <v>5.93</v>
      </c>
      <c r="BA316">
        <v>28</v>
      </c>
      <c r="BB316">
        <v>4.62</v>
      </c>
      <c r="BC316">
        <v>27</v>
      </c>
      <c r="BD316">
        <v>-0.09</v>
      </c>
      <c r="BE316">
        <v>-0.08</v>
      </c>
      <c r="BF316">
        <v>-0.21</v>
      </c>
      <c r="BG316">
        <v>63</v>
      </c>
      <c r="BH316">
        <v>-0.12</v>
      </c>
      <c r="BI316">
        <v>-8.16</v>
      </c>
      <c r="BJ316">
        <v>0</v>
      </c>
      <c r="BK316">
        <v>0</v>
      </c>
      <c r="BL316">
        <v>1.33</v>
      </c>
      <c r="BM316">
        <v>-0.53</v>
      </c>
      <c r="BN316">
        <v>7.0000000000000007E-2</v>
      </c>
      <c r="BO316">
        <v>1.41</v>
      </c>
      <c r="BP316">
        <v>-1.44</v>
      </c>
      <c r="BQ316">
        <v>1.61</v>
      </c>
      <c r="BR316">
        <v>0.96</v>
      </c>
      <c r="BS316">
        <v>2.57</v>
      </c>
      <c r="BT316">
        <v>0.37</v>
      </c>
      <c r="BU316">
        <v>3.24</v>
      </c>
      <c r="BV316">
        <v>2.9</v>
      </c>
      <c r="BW316">
        <v>1.61</v>
      </c>
      <c r="BX316">
        <v>2.57</v>
      </c>
      <c r="BY316">
        <v>1.54</v>
      </c>
      <c r="BZ316">
        <v>0.54</v>
      </c>
      <c r="CA316">
        <v>2.99</v>
      </c>
      <c r="CB316">
        <v>2.78</v>
      </c>
      <c r="CC316">
        <v>1.88</v>
      </c>
      <c r="CD316">
        <v>-0.63</v>
      </c>
      <c r="CE316">
        <v>1.65</v>
      </c>
      <c r="CF316">
        <v>0.79</v>
      </c>
      <c r="CG316">
        <v>0</v>
      </c>
      <c r="CH316">
        <v>1.1200000000000001</v>
      </c>
      <c r="CI316">
        <v>0</v>
      </c>
      <c r="CJ316">
        <v>-4.9000000000000004</v>
      </c>
      <c r="CK316">
        <v>34</v>
      </c>
      <c r="CL316">
        <v>-1.65</v>
      </c>
      <c r="CM316">
        <v>33</v>
      </c>
      <c r="CN316">
        <v>-1</v>
      </c>
      <c r="CO316">
        <v>33</v>
      </c>
      <c r="CP316">
        <v>-1.6</v>
      </c>
      <c r="CQ316">
        <v>32</v>
      </c>
      <c r="CR316">
        <v>0</v>
      </c>
      <c r="CS316">
        <v>0</v>
      </c>
      <c r="CT316">
        <v>6.9</v>
      </c>
      <c r="CU316">
        <v>32</v>
      </c>
      <c r="CV316">
        <v>0.19</v>
      </c>
      <c r="CW316">
        <v>31</v>
      </c>
      <c r="CX316" t="s">
        <v>458</v>
      </c>
    </row>
    <row r="317" spans="1:102" x14ac:dyDescent="0.3">
      <c r="A317" t="str">
        <f>HYPERLINK("https://webapp.icbf.com/v2/app/bull-search/view/1547629281","FR4415")</f>
        <v>FR4415</v>
      </c>
      <c r="B317" t="s">
        <v>13915</v>
      </c>
      <c r="C317" t="s">
        <v>13916</v>
      </c>
      <c r="D317" s="1">
        <v>42418</v>
      </c>
      <c r="E317" t="s">
        <v>92</v>
      </c>
      <c r="F317">
        <v>100</v>
      </c>
      <c r="G317" t="s">
        <v>435</v>
      </c>
      <c r="H317">
        <v>202.95</v>
      </c>
      <c r="I317">
        <v>68</v>
      </c>
      <c r="J317">
        <v>102.35</v>
      </c>
      <c r="K317">
        <v>87</v>
      </c>
      <c r="L317">
        <v>60.85</v>
      </c>
      <c r="M317">
        <v>66</v>
      </c>
      <c r="N317">
        <v>33.479999999999997</v>
      </c>
      <c r="O317">
        <v>79</v>
      </c>
      <c r="P317">
        <v>-5.81</v>
      </c>
      <c r="Q317">
        <v>35</v>
      </c>
      <c r="R317">
        <v>20.149999999999999</v>
      </c>
      <c r="S317">
        <v>62</v>
      </c>
      <c r="T317">
        <v>-6.01</v>
      </c>
      <c r="U317">
        <v>33</v>
      </c>
      <c r="V317">
        <v>-2.06</v>
      </c>
      <c r="W317">
        <v>52</v>
      </c>
      <c r="X317" t="s">
        <v>428</v>
      </c>
      <c r="Y317" t="s">
        <v>2261</v>
      </c>
      <c r="Z317" t="s">
        <v>96</v>
      </c>
      <c r="AA317" t="s">
        <v>2309</v>
      </c>
      <c r="AB317" t="s">
        <v>13917</v>
      </c>
      <c r="AC317">
        <v>0</v>
      </c>
      <c r="AD317">
        <v>0</v>
      </c>
      <c r="AE317">
        <v>87</v>
      </c>
      <c r="AF317">
        <v>403.3</v>
      </c>
      <c r="AG317">
        <v>16.309999999999999</v>
      </c>
      <c r="AH317">
        <v>17.809999999999999</v>
      </c>
      <c r="AI317">
        <v>0.01</v>
      </c>
      <c r="AJ317">
        <v>7.0000000000000007E-2</v>
      </c>
      <c r="AK317">
        <v>66</v>
      </c>
      <c r="AL317">
        <v>0</v>
      </c>
      <c r="AM317">
        <v>0</v>
      </c>
      <c r="AN317">
        <v>-1.2</v>
      </c>
      <c r="AO317">
        <v>3.68</v>
      </c>
      <c r="AP317">
        <v>154</v>
      </c>
      <c r="AQ317">
        <v>1</v>
      </c>
      <c r="AR317">
        <v>6.81</v>
      </c>
      <c r="AS317">
        <v>81</v>
      </c>
      <c r="AT317">
        <v>2.76</v>
      </c>
      <c r="AU317">
        <v>89</v>
      </c>
      <c r="AV317">
        <v>-3.13</v>
      </c>
      <c r="AW317">
        <v>93</v>
      </c>
      <c r="AX317">
        <v>-0.84</v>
      </c>
      <c r="AY317">
        <v>72</v>
      </c>
      <c r="AZ317">
        <v>5.94</v>
      </c>
      <c r="BA317">
        <v>33</v>
      </c>
      <c r="BB317">
        <v>4.8600000000000003</v>
      </c>
      <c r="BC317">
        <v>32</v>
      </c>
      <c r="BD317">
        <v>-0.08</v>
      </c>
      <c r="BE317">
        <v>-0.1</v>
      </c>
      <c r="BF317">
        <v>-0.14000000000000001</v>
      </c>
      <c r="BG317">
        <v>75</v>
      </c>
      <c r="BH317">
        <v>-0.06</v>
      </c>
      <c r="BI317">
        <v>-0.28999999999999998</v>
      </c>
      <c r="BJ317">
        <v>0</v>
      </c>
      <c r="BK317">
        <v>0</v>
      </c>
      <c r="BL317">
        <v>1.34</v>
      </c>
      <c r="BM317">
        <v>0.73</v>
      </c>
      <c r="BN317">
        <v>0.37</v>
      </c>
      <c r="BO317">
        <v>0.17</v>
      </c>
      <c r="BP317">
        <v>-1.33</v>
      </c>
      <c r="BQ317">
        <v>0.31</v>
      </c>
      <c r="BR317">
        <v>-1.1299999999999999</v>
      </c>
      <c r="BS317">
        <v>2.2999999999999998</v>
      </c>
      <c r="BT317">
        <v>1.45</v>
      </c>
      <c r="BU317">
        <v>4.63</v>
      </c>
      <c r="BV317">
        <v>3.93</v>
      </c>
      <c r="BW317">
        <v>1.44</v>
      </c>
      <c r="BX317">
        <v>3.42</v>
      </c>
      <c r="BY317">
        <v>1.43</v>
      </c>
      <c r="BZ317">
        <v>0.19</v>
      </c>
      <c r="CA317">
        <v>3.27</v>
      </c>
      <c r="CB317">
        <v>3</v>
      </c>
      <c r="CC317">
        <v>2.04</v>
      </c>
      <c r="CD317">
        <v>0.74</v>
      </c>
      <c r="CE317">
        <v>0.73</v>
      </c>
      <c r="CF317">
        <v>1.42</v>
      </c>
      <c r="CG317">
        <v>0</v>
      </c>
      <c r="CH317">
        <v>1.54</v>
      </c>
      <c r="CI317">
        <v>0</v>
      </c>
      <c r="CJ317">
        <v>0.1</v>
      </c>
      <c r="CK317">
        <v>35</v>
      </c>
      <c r="CL317">
        <v>-1.46</v>
      </c>
      <c r="CM317">
        <v>35</v>
      </c>
      <c r="CN317">
        <v>-0.72</v>
      </c>
      <c r="CO317">
        <v>35</v>
      </c>
      <c r="CP317">
        <v>4.5999999999999996</v>
      </c>
      <c r="CQ317">
        <v>34</v>
      </c>
      <c r="CR317">
        <v>0</v>
      </c>
      <c r="CS317">
        <v>0</v>
      </c>
      <c r="CT317">
        <v>21.9</v>
      </c>
      <c r="CU317">
        <v>33</v>
      </c>
      <c r="CV317">
        <v>0.22</v>
      </c>
      <c r="CW317">
        <v>32</v>
      </c>
      <c r="CX317" t="s">
        <v>6247</v>
      </c>
    </row>
    <row r="318" spans="1:102" x14ac:dyDescent="0.3">
      <c r="A318" t="str">
        <f>HYPERLINK("https://webapp.icbf.com/v2/app/bull-search/view/760395968","WFM")</f>
        <v>WFM</v>
      </c>
      <c r="B318" t="s">
        <v>2661</v>
      </c>
      <c r="C318" t="s">
        <v>2662</v>
      </c>
      <c r="D318" s="1">
        <v>40031</v>
      </c>
      <c r="E318" t="s">
        <v>227</v>
      </c>
      <c r="F318">
        <v>0</v>
      </c>
      <c r="G318" t="s">
        <v>93</v>
      </c>
      <c r="H318">
        <v>202.88</v>
      </c>
      <c r="I318">
        <v>91</v>
      </c>
      <c r="J318">
        <v>68.510000000000005</v>
      </c>
      <c r="K318">
        <v>98</v>
      </c>
      <c r="L318">
        <v>72.319999999999993</v>
      </c>
      <c r="M318">
        <v>86</v>
      </c>
      <c r="N318">
        <v>44.25</v>
      </c>
      <c r="O318">
        <v>89</v>
      </c>
      <c r="P318">
        <v>-49.7</v>
      </c>
      <c r="Q318">
        <v>93</v>
      </c>
      <c r="R318">
        <v>6.73</v>
      </c>
      <c r="S318">
        <v>83</v>
      </c>
      <c r="T318">
        <v>53.05</v>
      </c>
      <c r="U318">
        <v>92</v>
      </c>
      <c r="V318">
        <v>7.72</v>
      </c>
      <c r="W318">
        <v>82</v>
      </c>
      <c r="X318" t="s">
        <v>276</v>
      </c>
      <c r="Y318" t="s">
        <v>329</v>
      </c>
      <c r="Z318">
        <v>0</v>
      </c>
      <c r="AA318" t="s">
        <v>2663</v>
      </c>
      <c r="AB318" t="s">
        <v>2664</v>
      </c>
      <c r="AC318">
        <v>150</v>
      </c>
      <c r="AD318">
        <v>49</v>
      </c>
      <c r="AE318">
        <v>98</v>
      </c>
      <c r="AF318">
        <v>-433.16</v>
      </c>
      <c r="AG318">
        <v>11.31</v>
      </c>
      <c r="AH318">
        <v>1.02</v>
      </c>
      <c r="AI318">
        <v>0.53</v>
      </c>
      <c r="AJ318">
        <v>0.3</v>
      </c>
      <c r="AK318">
        <v>86</v>
      </c>
      <c r="AL318">
        <v>153</v>
      </c>
      <c r="AM318">
        <v>46</v>
      </c>
      <c r="AN318">
        <v>-2.2000000000000002</v>
      </c>
      <c r="AO318">
        <v>3.59</v>
      </c>
      <c r="AP318">
        <v>243</v>
      </c>
      <c r="AQ318">
        <v>2</v>
      </c>
      <c r="AR318">
        <v>3.36</v>
      </c>
      <c r="AS318">
        <v>84</v>
      </c>
      <c r="AT318">
        <v>1.33</v>
      </c>
      <c r="AU318">
        <v>89</v>
      </c>
      <c r="AV318">
        <v>-2.7</v>
      </c>
      <c r="AW318">
        <v>97</v>
      </c>
      <c r="AX318">
        <v>0.17</v>
      </c>
      <c r="AY318">
        <v>86</v>
      </c>
      <c r="AZ318">
        <v>5.53</v>
      </c>
      <c r="BA318">
        <v>75</v>
      </c>
      <c r="BB318">
        <v>4.76</v>
      </c>
      <c r="BC318">
        <v>76</v>
      </c>
      <c r="BD318">
        <v>-7.0000000000000007E-2</v>
      </c>
      <c r="BE318">
        <v>-0.02</v>
      </c>
      <c r="BF318">
        <v>0</v>
      </c>
      <c r="BG318">
        <v>93</v>
      </c>
      <c r="BH318">
        <v>0.1</v>
      </c>
      <c r="BI318">
        <v>-13.35</v>
      </c>
      <c r="BJ318">
        <v>1</v>
      </c>
      <c r="BK318">
        <v>1</v>
      </c>
      <c r="BL318">
        <v>-3.23</v>
      </c>
      <c r="BM318">
        <v>-0.08</v>
      </c>
      <c r="BN318">
        <v>-0.41</v>
      </c>
      <c r="BO318">
        <v>-0.05</v>
      </c>
      <c r="BP318">
        <v>0.8</v>
      </c>
      <c r="BQ318">
        <v>-5.23</v>
      </c>
      <c r="BR318">
        <v>2.91</v>
      </c>
      <c r="BS318">
        <v>7.08</v>
      </c>
      <c r="BT318">
        <v>-1.06</v>
      </c>
      <c r="BU318">
        <v>-2.08</v>
      </c>
      <c r="BV318">
        <v>-1.57</v>
      </c>
      <c r="BW318">
        <v>-3.74</v>
      </c>
      <c r="BX318">
        <v>-4.58</v>
      </c>
      <c r="BY318">
        <v>-0.78</v>
      </c>
      <c r="BZ318">
        <v>-2.0299999999999998</v>
      </c>
      <c r="CA318">
        <v>0.37</v>
      </c>
      <c r="CB318">
        <v>-1.65</v>
      </c>
      <c r="CC318">
        <v>4.4400000000000004</v>
      </c>
      <c r="CD318">
        <v>-0.21</v>
      </c>
      <c r="CE318">
        <v>-0.41</v>
      </c>
      <c r="CF318">
        <v>-2.84</v>
      </c>
      <c r="CG318">
        <v>0</v>
      </c>
      <c r="CH318">
        <v>-2.04</v>
      </c>
      <c r="CI318">
        <v>0</v>
      </c>
      <c r="CJ318">
        <v>-25.8</v>
      </c>
      <c r="CK318">
        <v>94</v>
      </c>
      <c r="CL318">
        <v>-0.89</v>
      </c>
      <c r="CM318">
        <v>93</v>
      </c>
      <c r="CN318">
        <v>-0.06</v>
      </c>
      <c r="CO318">
        <v>92</v>
      </c>
      <c r="CP318">
        <v>-37.4</v>
      </c>
      <c r="CQ318">
        <v>88</v>
      </c>
      <c r="CR318">
        <v>0</v>
      </c>
      <c r="CS318">
        <v>0</v>
      </c>
      <c r="CT318">
        <v>-57.9</v>
      </c>
      <c r="CU318">
        <v>92</v>
      </c>
      <c r="CV318">
        <v>-0.27</v>
      </c>
      <c r="CW318">
        <v>45</v>
      </c>
      <c r="CX318" t="s">
        <v>1837</v>
      </c>
    </row>
    <row r="319" spans="1:102" x14ac:dyDescent="0.3">
      <c r="A319" t="str">
        <f>HYPERLINK("https://webapp.icbf.com/v2/app/bull-search/view/1055491957","S2145")</f>
        <v>S2145</v>
      </c>
      <c r="B319" t="s">
        <v>5772</v>
      </c>
      <c r="C319" t="s">
        <v>5773</v>
      </c>
      <c r="D319" s="1">
        <v>41347</v>
      </c>
      <c r="E319" t="s">
        <v>92</v>
      </c>
      <c r="F319">
        <v>72</v>
      </c>
      <c r="G319" t="s">
        <v>93</v>
      </c>
      <c r="H319">
        <v>202.85</v>
      </c>
      <c r="I319">
        <v>85</v>
      </c>
      <c r="J319">
        <v>88.85</v>
      </c>
      <c r="K319">
        <v>95</v>
      </c>
      <c r="L319">
        <v>87.93</v>
      </c>
      <c r="M319">
        <v>78</v>
      </c>
      <c r="N319">
        <v>23.36</v>
      </c>
      <c r="O319">
        <v>82</v>
      </c>
      <c r="P319">
        <v>-13.23</v>
      </c>
      <c r="Q319">
        <v>88</v>
      </c>
      <c r="R319">
        <v>6.78</v>
      </c>
      <c r="S319">
        <v>75</v>
      </c>
      <c r="T319">
        <v>15.75</v>
      </c>
      <c r="U319">
        <v>90</v>
      </c>
      <c r="V319">
        <v>-6.59</v>
      </c>
      <c r="W319">
        <v>74</v>
      </c>
      <c r="X319" t="s">
        <v>234</v>
      </c>
      <c r="Y319" t="s">
        <v>367</v>
      </c>
      <c r="Z319" t="s">
        <v>96</v>
      </c>
      <c r="AA319" t="s">
        <v>5692</v>
      </c>
      <c r="AB319" t="s">
        <v>5774</v>
      </c>
      <c r="AC319">
        <v>63</v>
      </c>
      <c r="AD319">
        <v>22</v>
      </c>
      <c r="AE319">
        <v>95</v>
      </c>
      <c r="AF319">
        <v>74.22</v>
      </c>
      <c r="AG319">
        <v>18.420000000000002</v>
      </c>
      <c r="AH319">
        <v>9.73</v>
      </c>
      <c r="AI319">
        <v>0.27</v>
      </c>
      <c r="AJ319">
        <v>0.12</v>
      </c>
      <c r="AK319">
        <v>78</v>
      </c>
      <c r="AL319">
        <v>69</v>
      </c>
      <c r="AM319">
        <v>25</v>
      </c>
      <c r="AN319">
        <v>-4.21</v>
      </c>
      <c r="AO319">
        <v>2.81</v>
      </c>
      <c r="AP319">
        <v>156</v>
      </c>
      <c r="AQ319">
        <v>0</v>
      </c>
      <c r="AR319">
        <v>5.3</v>
      </c>
      <c r="AS319">
        <v>68</v>
      </c>
      <c r="AT319">
        <v>2.48</v>
      </c>
      <c r="AU319">
        <v>85</v>
      </c>
      <c r="AV319">
        <v>-1.3</v>
      </c>
      <c r="AW319">
        <v>94</v>
      </c>
      <c r="AX319">
        <v>0.13</v>
      </c>
      <c r="AY319">
        <v>79</v>
      </c>
      <c r="AZ319">
        <v>5.3</v>
      </c>
      <c r="BA319">
        <v>65</v>
      </c>
      <c r="BB319">
        <v>4.75</v>
      </c>
      <c r="BC319">
        <v>56</v>
      </c>
      <c r="BD319">
        <v>-0.06</v>
      </c>
      <c r="BE319">
        <v>-0.04</v>
      </c>
      <c r="BF319">
        <v>0.02</v>
      </c>
      <c r="BG319">
        <v>85</v>
      </c>
      <c r="BH319">
        <v>-0.23</v>
      </c>
      <c r="BI319">
        <v>-5.34</v>
      </c>
      <c r="BJ319">
        <v>0</v>
      </c>
      <c r="BK319">
        <v>0</v>
      </c>
      <c r="BL319">
        <v>-1.62</v>
      </c>
      <c r="BM319">
        <v>1.2</v>
      </c>
      <c r="BN319">
        <v>0.4</v>
      </c>
      <c r="BO319">
        <v>-1.06</v>
      </c>
      <c r="BP319">
        <v>0.78</v>
      </c>
      <c r="BQ319">
        <v>-2.4300000000000002</v>
      </c>
      <c r="BR319">
        <v>0.63</v>
      </c>
      <c r="BS319">
        <v>0.09</v>
      </c>
      <c r="BT319">
        <v>-1.05</v>
      </c>
      <c r="BU319">
        <v>-2.36</v>
      </c>
      <c r="BV319">
        <v>-2.64</v>
      </c>
      <c r="BW319">
        <v>-3.15</v>
      </c>
      <c r="BX319">
        <v>-3.38</v>
      </c>
      <c r="BY319">
        <v>-3.42</v>
      </c>
      <c r="BZ319">
        <v>2.62</v>
      </c>
      <c r="CA319">
        <v>-2.64</v>
      </c>
      <c r="CB319">
        <v>-2.8</v>
      </c>
      <c r="CC319">
        <v>-0.52</v>
      </c>
      <c r="CD319">
        <v>1.19</v>
      </c>
      <c r="CE319">
        <v>-1.07</v>
      </c>
      <c r="CF319">
        <v>-1.04</v>
      </c>
      <c r="CG319">
        <v>0</v>
      </c>
      <c r="CH319">
        <v>-3.8</v>
      </c>
      <c r="CI319">
        <v>0</v>
      </c>
      <c r="CJ319">
        <v>-4.0999999999999996</v>
      </c>
      <c r="CK319">
        <v>90</v>
      </c>
      <c r="CL319">
        <v>-0.68</v>
      </c>
      <c r="CM319">
        <v>87</v>
      </c>
      <c r="CN319">
        <v>-0.06</v>
      </c>
      <c r="CO319">
        <v>86</v>
      </c>
      <c r="CP319">
        <v>-8.4</v>
      </c>
      <c r="CQ319">
        <v>76</v>
      </c>
      <c r="CR319">
        <v>0</v>
      </c>
      <c r="CS319">
        <v>0</v>
      </c>
      <c r="CT319">
        <v>-7.5</v>
      </c>
      <c r="CU319">
        <v>90</v>
      </c>
      <c r="CV319">
        <v>0.15</v>
      </c>
      <c r="CW319">
        <v>45</v>
      </c>
      <c r="CX319" t="s">
        <v>1229</v>
      </c>
    </row>
    <row r="320" spans="1:102" x14ac:dyDescent="0.3">
      <c r="A320" t="str">
        <f>HYPERLINK("https://webapp.icbf.com/v2/app/bull-search/view/1095655422","S1591")</f>
        <v>S1591</v>
      </c>
      <c r="B320" t="s">
        <v>8352</v>
      </c>
      <c r="C320" t="s">
        <v>2267</v>
      </c>
      <c r="D320" s="1">
        <v>40927</v>
      </c>
      <c r="E320" t="s">
        <v>92</v>
      </c>
      <c r="F320">
        <v>100</v>
      </c>
      <c r="G320" t="s">
        <v>109</v>
      </c>
      <c r="H320">
        <v>202.83</v>
      </c>
      <c r="I320">
        <v>70</v>
      </c>
      <c r="J320">
        <v>64.11</v>
      </c>
      <c r="K320">
        <v>80</v>
      </c>
      <c r="L320">
        <v>90.12</v>
      </c>
      <c r="M320">
        <v>78</v>
      </c>
      <c r="N320">
        <v>30.41</v>
      </c>
      <c r="O320">
        <v>70</v>
      </c>
      <c r="P320">
        <v>9.0299999999999994</v>
      </c>
      <c r="Q320">
        <v>61</v>
      </c>
      <c r="R320">
        <v>10.35</v>
      </c>
      <c r="S320">
        <v>59</v>
      </c>
      <c r="T320">
        <v>-4.38</v>
      </c>
      <c r="U320">
        <v>32</v>
      </c>
      <c r="V320">
        <v>3.19</v>
      </c>
      <c r="W320">
        <v>14</v>
      </c>
      <c r="X320" t="s">
        <v>94</v>
      </c>
      <c r="Y320" t="s">
        <v>362</v>
      </c>
      <c r="Z320" t="s">
        <v>96</v>
      </c>
      <c r="AA320" t="s">
        <v>5885</v>
      </c>
      <c r="AB320" t="s">
        <v>8353</v>
      </c>
      <c r="AC320">
        <v>0</v>
      </c>
      <c r="AD320">
        <v>0</v>
      </c>
      <c r="AE320">
        <v>80</v>
      </c>
      <c r="AF320">
        <v>467.32</v>
      </c>
      <c r="AG320">
        <v>16.329999999999998</v>
      </c>
      <c r="AH320">
        <v>12.28</v>
      </c>
      <c r="AI320">
        <v>-0.03</v>
      </c>
      <c r="AJ320">
        <v>-0.06</v>
      </c>
      <c r="AK320">
        <v>78</v>
      </c>
      <c r="AL320">
        <v>0</v>
      </c>
      <c r="AM320">
        <v>0</v>
      </c>
      <c r="AN320">
        <v>-4.66</v>
      </c>
      <c r="AO320">
        <v>2.5299999999999998</v>
      </c>
      <c r="AP320">
        <v>21</v>
      </c>
      <c r="AQ320">
        <v>0</v>
      </c>
      <c r="AR320">
        <v>5.17</v>
      </c>
      <c r="AS320">
        <v>56</v>
      </c>
      <c r="AT320">
        <v>2.33</v>
      </c>
      <c r="AU320">
        <v>95</v>
      </c>
      <c r="AV320">
        <v>-2.61</v>
      </c>
      <c r="AW320">
        <v>81</v>
      </c>
      <c r="AX320">
        <v>-0.55000000000000004</v>
      </c>
      <c r="AY320">
        <v>63</v>
      </c>
      <c r="AZ320">
        <v>7.18</v>
      </c>
      <c r="BA320">
        <v>27</v>
      </c>
      <c r="BB320">
        <v>5.48</v>
      </c>
      <c r="BC320">
        <v>15</v>
      </c>
      <c r="BD320">
        <v>0</v>
      </c>
      <c r="BE320">
        <v>-0.02</v>
      </c>
      <c r="BF320">
        <v>-0.2</v>
      </c>
      <c r="BG320">
        <v>87</v>
      </c>
      <c r="BH320">
        <v>-0.04</v>
      </c>
      <c r="BI320">
        <v>-14.93</v>
      </c>
      <c r="BJ320">
        <v>7</v>
      </c>
      <c r="BK320">
        <v>5</v>
      </c>
      <c r="BL320">
        <v>1.57</v>
      </c>
      <c r="BM320">
        <v>0.73</v>
      </c>
      <c r="BN320">
        <v>0.7</v>
      </c>
      <c r="BO320">
        <v>0.23</v>
      </c>
      <c r="BP320">
        <v>-1.48</v>
      </c>
      <c r="BQ320">
        <v>0.21</v>
      </c>
      <c r="BR320">
        <v>-2.2000000000000002</v>
      </c>
      <c r="BS320">
        <v>2.29</v>
      </c>
      <c r="BT320">
        <v>2.33</v>
      </c>
      <c r="BU320">
        <v>1.59</v>
      </c>
      <c r="BV320">
        <v>0.9</v>
      </c>
      <c r="BW320">
        <v>1.68</v>
      </c>
      <c r="BX320">
        <v>1.98</v>
      </c>
      <c r="BY320">
        <v>1.49</v>
      </c>
      <c r="BZ320">
        <v>2.11</v>
      </c>
      <c r="CA320">
        <v>2.1800000000000002</v>
      </c>
      <c r="CB320">
        <v>1.89</v>
      </c>
      <c r="CC320">
        <v>1.61</v>
      </c>
      <c r="CD320">
        <v>0.66</v>
      </c>
      <c r="CE320">
        <v>0.38</v>
      </c>
      <c r="CF320">
        <v>0.9</v>
      </c>
      <c r="CG320">
        <v>0</v>
      </c>
      <c r="CH320">
        <v>0.57999999999999996</v>
      </c>
      <c r="CI320">
        <v>0</v>
      </c>
      <c r="CJ320">
        <v>7.4</v>
      </c>
      <c r="CK320">
        <v>65</v>
      </c>
      <c r="CL320">
        <v>-0.76</v>
      </c>
      <c r="CM320">
        <v>59</v>
      </c>
      <c r="CN320">
        <v>-0.45</v>
      </c>
      <c r="CO320">
        <v>57</v>
      </c>
      <c r="CP320">
        <v>9.3000000000000007</v>
      </c>
      <c r="CQ320">
        <v>43</v>
      </c>
      <c r="CR320">
        <v>0</v>
      </c>
      <c r="CS320">
        <v>0</v>
      </c>
      <c r="CT320">
        <v>19.7</v>
      </c>
      <c r="CU320">
        <v>32</v>
      </c>
      <c r="CV320">
        <v>0.39</v>
      </c>
      <c r="CW320">
        <v>18</v>
      </c>
      <c r="CX320" t="s">
        <v>1924</v>
      </c>
    </row>
    <row r="321" spans="1:102" x14ac:dyDescent="0.3">
      <c r="A321" t="str">
        <f>HYPERLINK("https://webapp.icbf.com/v2/app/bull-search/view/1367105776","FR2401")</f>
        <v>FR2401</v>
      </c>
      <c r="B321" t="s">
        <v>6136</v>
      </c>
      <c r="C321" t="s">
        <v>6137</v>
      </c>
      <c r="D321" s="1">
        <v>41812</v>
      </c>
      <c r="E321" t="s">
        <v>92</v>
      </c>
      <c r="F321">
        <v>100</v>
      </c>
      <c r="G321" t="s">
        <v>109</v>
      </c>
      <c r="H321">
        <v>202.76</v>
      </c>
      <c r="I321">
        <v>75</v>
      </c>
      <c r="J321">
        <v>85.15</v>
      </c>
      <c r="K321">
        <v>91</v>
      </c>
      <c r="L321">
        <v>49.35</v>
      </c>
      <c r="M321">
        <v>78</v>
      </c>
      <c r="N321">
        <v>49.52</v>
      </c>
      <c r="O321">
        <v>77</v>
      </c>
      <c r="P321">
        <v>-1.54</v>
      </c>
      <c r="Q321">
        <v>51</v>
      </c>
      <c r="R321">
        <v>21.66</v>
      </c>
      <c r="S321">
        <v>69</v>
      </c>
      <c r="T321">
        <v>-6.15</v>
      </c>
      <c r="U321">
        <v>38</v>
      </c>
      <c r="V321">
        <v>4.7699999999999996</v>
      </c>
      <c r="W321">
        <v>53</v>
      </c>
      <c r="X321" t="s">
        <v>428</v>
      </c>
      <c r="Y321" t="s">
        <v>429</v>
      </c>
      <c r="Z321" t="s">
        <v>96</v>
      </c>
      <c r="AA321" t="s">
        <v>6138</v>
      </c>
      <c r="AB321" t="s">
        <v>6139</v>
      </c>
      <c r="AC321">
        <v>0</v>
      </c>
      <c r="AD321">
        <v>0</v>
      </c>
      <c r="AE321">
        <v>91</v>
      </c>
      <c r="AF321">
        <v>646.28</v>
      </c>
      <c r="AG321">
        <v>17.45</v>
      </c>
      <c r="AH321">
        <v>18.2</v>
      </c>
      <c r="AI321">
        <v>-0.12</v>
      </c>
      <c r="AJ321">
        <v>-0.06</v>
      </c>
      <c r="AK321">
        <v>78</v>
      </c>
      <c r="AL321">
        <v>0</v>
      </c>
      <c r="AM321">
        <v>0</v>
      </c>
      <c r="AN321">
        <v>-0.78</v>
      </c>
      <c r="AO321">
        <v>3.18</v>
      </c>
      <c r="AP321">
        <v>131</v>
      </c>
      <c r="AQ321">
        <v>0</v>
      </c>
      <c r="AR321">
        <v>3.27</v>
      </c>
      <c r="AS321">
        <v>82</v>
      </c>
      <c r="AT321">
        <v>1.32</v>
      </c>
      <c r="AU321">
        <v>87</v>
      </c>
      <c r="AV321">
        <v>-3.2</v>
      </c>
      <c r="AW321">
        <v>91</v>
      </c>
      <c r="AX321">
        <v>-0.31</v>
      </c>
      <c r="AY321">
        <v>68</v>
      </c>
      <c r="AZ321">
        <v>5.85</v>
      </c>
      <c r="BA321">
        <v>34</v>
      </c>
      <c r="BB321">
        <v>4.7</v>
      </c>
      <c r="BC321">
        <v>34</v>
      </c>
      <c r="BD321">
        <v>-0.09</v>
      </c>
      <c r="BE321">
        <v>-0.12</v>
      </c>
      <c r="BF321">
        <v>-0.12</v>
      </c>
      <c r="BG321">
        <v>88</v>
      </c>
      <c r="BH321">
        <v>0.09</v>
      </c>
      <c r="BI321">
        <v>-4.96</v>
      </c>
      <c r="BJ321">
        <v>0</v>
      </c>
      <c r="BK321">
        <v>0</v>
      </c>
      <c r="BL321">
        <v>1.01</v>
      </c>
      <c r="BM321">
        <v>-0.93</v>
      </c>
      <c r="BN321">
        <v>-1.03</v>
      </c>
      <c r="BO321">
        <v>0.57999999999999996</v>
      </c>
      <c r="BP321">
        <v>-1.1499999999999999</v>
      </c>
      <c r="BQ321">
        <v>0.96</v>
      </c>
      <c r="BR321">
        <v>-2.19</v>
      </c>
      <c r="BS321">
        <v>2.99</v>
      </c>
      <c r="BT321">
        <v>1.58</v>
      </c>
      <c r="BU321">
        <v>4.54</v>
      </c>
      <c r="BV321">
        <v>3.44</v>
      </c>
      <c r="BW321">
        <v>1.7</v>
      </c>
      <c r="BX321">
        <v>3.33</v>
      </c>
      <c r="BY321">
        <v>1.63</v>
      </c>
      <c r="BZ321">
        <v>-0.25</v>
      </c>
      <c r="CA321">
        <v>3.7</v>
      </c>
      <c r="CB321">
        <v>3.4</v>
      </c>
      <c r="CC321">
        <v>1.9</v>
      </c>
      <c r="CD321">
        <v>0.62</v>
      </c>
      <c r="CE321">
        <v>0.5</v>
      </c>
      <c r="CF321">
        <v>0.48</v>
      </c>
      <c r="CG321">
        <v>0</v>
      </c>
      <c r="CH321">
        <v>1.86</v>
      </c>
      <c r="CI321">
        <v>0</v>
      </c>
      <c r="CJ321">
        <v>-1.9</v>
      </c>
      <c r="CK321">
        <v>56</v>
      </c>
      <c r="CL321">
        <v>-1.24</v>
      </c>
      <c r="CM321">
        <v>45</v>
      </c>
      <c r="CN321">
        <v>-1.1200000000000001</v>
      </c>
      <c r="CO321">
        <v>44</v>
      </c>
      <c r="CP321">
        <v>5.0999999999999996</v>
      </c>
      <c r="CQ321">
        <v>40</v>
      </c>
      <c r="CR321">
        <v>0</v>
      </c>
      <c r="CS321">
        <v>0</v>
      </c>
      <c r="CT321">
        <v>22.1</v>
      </c>
      <c r="CU321">
        <v>38</v>
      </c>
      <c r="CV321">
        <v>0.17</v>
      </c>
      <c r="CW321">
        <v>37</v>
      </c>
      <c r="CX321" t="s">
        <v>1894</v>
      </c>
    </row>
    <row r="322" spans="1:102" x14ac:dyDescent="0.3">
      <c r="A322" t="str">
        <f>HYPERLINK("https://webapp.icbf.com/v2/app/bull-search/view/1547629900","S3241")</f>
        <v>S3241</v>
      </c>
      <c r="B322" t="s">
        <v>9501</v>
      </c>
      <c r="C322" t="s">
        <v>9502</v>
      </c>
      <c r="D322" s="1">
        <v>42467</v>
      </c>
      <c r="E322" t="s">
        <v>92</v>
      </c>
      <c r="F322">
        <v>100</v>
      </c>
      <c r="G322" t="s">
        <v>435</v>
      </c>
      <c r="H322">
        <v>202.76</v>
      </c>
      <c r="I322">
        <v>67</v>
      </c>
      <c r="J322">
        <v>112.37</v>
      </c>
      <c r="K322">
        <v>87</v>
      </c>
      <c r="L322">
        <v>11.75</v>
      </c>
      <c r="M322">
        <v>66</v>
      </c>
      <c r="N322">
        <v>56.69</v>
      </c>
      <c r="O322">
        <v>56</v>
      </c>
      <c r="P322">
        <v>1.84</v>
      </c>
      <c r="Q322">
        <v>42</v>
      </c>
      <c r="R322">
        <v>18.190000000000001</v>
      </c>
      <c r="S322">
        <v>61</v>
      </c>
      <c r="T322">
        <v>-3.05</v>
      </c>
      <c r="U322">
        <v>35</v>
      </c>
      <c r="V322">
        <v>4.97</v>
      </c>
      <c r="W322">
        <v>52</v>
      </c>
      <c r="X322" t="s">
        <v>110</v>
      </c>
      <c r="Y322" t="s">
        <v>453</v>
      </c>
      <c r="Z322" t="s">
        <v>96</v>
      </c>
      <c r="AA322" t="s">
        <v>2272</v>
      </c>
      <c r="AB322" t="s">
        <v>9503</v>
      </c>
      <c r="AC322">
        <v>0</v>
      </c>
      <c r="AD322">
        <v>0</v>
      </c>
      <c r="AE322">
        <v>87</v>
      </c>
      <c r="AF322">
        <v>645.38</v>
      </c>
      <c r="AG322">
        <v>23.66</v>
      </c>
      <c r="AH322">
        <v>20.62</v>
      </c>
      <c r="AI322">
        <v>-0.03</v>
      </c>
      <c r="AJ322">
        <v>-0.02</v>
      </c>
      <c r="AK322">
        <v>66</v>
      </c>
      <c r="AL322">
        <v>0</v>
      </c>
      <c r="AM322">
        <v>0</v>
      </c>
      <c r="AN322">
        <v>1.1499999999999999</v>
      </c>
      <c r="AO322">
        <v>2.11</v>
      </c>
      <c r="AP322">
        <v>15</v>
      </c>
      <c r="AQ322">
        <v>0</v>
      </c>
      <c r="AR322">
        <v>5.43</v>
      </c>
      <c r="AS322">
        <v>55</v>
      </c>
      <c r="AT322">
        <v>2.0499999999999998</v>
      </c>
      <c r="AU322">
        <v>90</v>
      </c>
      <c r="AV322">
        <v>-4.7</v>
      </c>
      <c r="AW322">
        <v>47</v>
      </c>
      <c r="AX322">
        <v>-0.39</v>
      </c>
      <c r="AY322">
        <v>54</v>
      </c>
      <c r="AZ322">
        <v>5.81</v>
      </c>
      <c r="BA322">
        <v>35</v>
      </c>
      <c r="BB322">
        <v>4.07</v>
      </c>
      <c r="BC322">
        <v>31</v>
      </c>
      <c r="BD322">
        <v>-0.05</v>
      </c>
      <c r="BE322">
        <v>-0.05</v>
      </c>
      <c r="BF322">
        <v>-0.24</v>
      </c>
      <c r="BG322">
        <v>74</v>
      </c>
      <c r="BH322">
        <v>-0.03</v>
      </c>
      <c r="BI322">
        <v>-19.489999999999998</v>
      </c>
      <c r="BJ322">
        <v>0</v>
      </c>
      <c r="BK322">
        <v>0</v>
      </c>
      <c r="BL322">
        <v>0.89</v>
      </c>
      <c r="BM322">
        <v>-0.11</v>
      </c>
      <c r="BN322">
        <v>0.17</v>
      </c>
      <c r="BO322">
        <v>0.79</v>
      </c>
      <c r="BP322">
        <v>-0.45</v>
      </c>
      <c r="BQ322">
        <v>0.5</v>
      </c>
      <c r="BR322">
        <v>-1.04</v>
      </c>
      <c r="BS322">
        <v>2.77</v>
      </c>
      <c r="BT322">
        <v>0.63</v>
      </c>
      <c r="BU322">
        <v>2.82</v>
      </c>
      <c r="BV322">
        <v>2.75</v>
      </c>
      <c r="BW322">
        <v>2.02</v>
      </c>
      <c r="BX322">
        <v>1.24</v>
      </c>
      <c r="BY322">
        <v>1.92</v>
      </c>
      <c r="BZ322">
        <v>0.6</v>
      </c>
      <c r="CA322">
        <v>2.31</v>
      </c>
      <c r="CB322">
        <v>1.94</v>
      </c>
      <c r="CC322">
        <v>2.2799999999999998</v>
      </c>
      <c r="CD322">
        <v>-0.25</v>
      </c>
      <c r="CE322">
        <v>1.31</v>
      </c>
      <c r="CF322">
        <v>1.32</v>
      </c>
      <c r="CG322">
        <v>0</v>
      </c>
      <c r="CH322">
        <v>2.5099999999999998</v>
      </c>
      <c r="CI322">
        <v>0</v>
      </c>
      <c r="CJ322">
        <v>1.8</v>
      </c>
      <c r="CK322">
        <v>43</v>
      </c>
      <c r="CL322">
        <v>-1.1100000000000001</v>
      </c>
      <c r="CM322">
        <v>42</v>
      </c>
      <c r="CN322">
        <v>-0.85</v>
      </c>
      <c r="CO322">
        <v>42</v>
      </c>
      <c r="CP322">
        <v>5.7</v>
      </c>
      <c r="CQ322">
        <v>36</v>
      </c>
      <c r="CR322">
        <v>0</v>
      </c>
      <c r="CS322">
        <v>0</v>
      </c>
      <c r="CT322">
        <v>17.899999999999999</v>
      </c>
      <c r="CU322">
        <v>35</v>
      </c>
      <c r="CV322">
        <v>0.26</v>
      </c>
      <c r="CW322">
        <v>34</v>
      </c>
      <c r="CX322" t="s">
        <v>2189</v>
      </c>
    </row>
    <row r="323" spans="1:102" x14ac:dyDescent="0.3">
      <c r="A323" t="str">
        <f>HYPERLINK("https://webapp.icbf.com/v2/app/bull-search/view/815248844","SR2026")</f>
        <v>SR2026</v>
      </c>
      <c r="B323" t="s">
        <v>10252</v>
      </c>
      <c r="C323" t="s">
        <v>10253</v>
      </c>
      <c r="D323" s="1">
        <v>39665</v>
      </c>
      <c r="E323" t="s">
        <v>210</v>
      </c>
      <c r="F323">
        <v>0</v>
      </c>
      <c r="G323" t="s">
        <v>109</v>
      </c>
      <c r="H323">
        <v>202.73</v>
      </c>
      <c r="I323">
        <v>57</v>
      </c>
      <c r="J323">
        <v>13.12</v>
      </c>
      <c r="K323">
        <v>70</v>
      </c>
      <c r="L323">
        <v>113.82</v>
      </c>
      <c r="M323">
        <v>66</v>
      </c>
      <c r="N323">
        <v>48.45</v>
      </c>
      <c r="O323">
        <v>50</v>
      </c>
      <c r="P323">
        <v>-4.26</v>
      </c>
      <c r="Q323">
        <v>41</v>
      </c>
      <c r="R323">
        <v>9.15</v>
      </c>
      <c r="S323">
        <v>28</v>
      </c>
      <c r="T323">
        <v>26.7</v>
      </c>
      <c r="U323">
        <v>27</v>
      </c>
      <c r="V323">
        <v>-4.25</v>
      </c>
      <c r="W323">
        <v>24</v>
      </c>
      <c r="X323" t="s">
        <v>251</v>
      </c>
      <c r="Y323" t="s">
        <v>422</v>
      </c>
      <c r="Z323">
        <v>0</v>
      </c>
      <c r="AA323" t="s">
        <v>2061</v>
      </c>
      <c r="AB323" t="s">
        <v>10254</v>
      </c>
      <c r="AC323">
        <v>0</v>
      </c>
      <c r="AD323">
        <v>0</v>
      </c>
      <c r="AE323">
        <v>70</v>
      </c>
      <c r="AF323">
        <v>12</v>
      </c>
      <c r="AG323">
        <v>5.33</v>
      </c>
      <c r="AH323">
        <v>0.53</v>
      </c>
      <c r="AI323">
        <v>0.08</v>
      </c>
      <c r="AJ323">
        <v>0</v>
      </c>
      <c r="AK323">
        <v>66</v>
      </c>
      <c r="AL323">
        <v>0</v>
      </c>
      <c r="AM323">
        <v>0</v>
      </c>
      <c r="AN323">
        <v>-5.2</v>
      </c>
      <c r="AO323">
        <v>3.89</v>
      </c>
      <c r="AP323">
        <v>2</v>
      </c>
      <c r="AQ323">
        <v>1</v>
      </c>
      <c r="AR323">
        <v>3.84</v>
      </c>
      <c r="AS323">
        <v>26</v>
      </c>
      <c r="AT323">
        <v>1.57</v>
      </c>
      <c r="AU323">
        <v>56</v>
      </c>
      <c r="AV323">
        <v>-3.66</v>
      </c>
      <c r="AW323">
        <v>70</v>
      </c>
      <c r="AX323">
        <v>-0.96</v>
      </c>
      <c r="AY323">
        <v>32</v>
      </c>
      <c r="AZ323">
        <v>6.63</v>
      </c>
      <c r="BA323">
        <v>22</v>
      </c>
      <c r="BB323">
        <v>5.33</v>
      </c>
      <c r="BC323">
        <v>16</v>
      </c>
      <c r="BD323">
        <v>-0.02</v>
      </c>
      <c r="BE323">
        <v>-0.03</v>
      </c>
      <c r="BF323">
        <v>-0.12</v>
      </c>
      <c r="BG323">
        <v>35</v>
      </c>
      <c r="BH323">
        <v>-0.05</v>
      </c>
      <c r="BI323">
        <v>7.94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-3.4</v>
      </c>
      <c r="CK323">
        <v>44</v>
      </c>
      <c r="CL323">
        <v>-0.23</v>
      </c>
      <c r="CM323">
        <v>41</v>
      </c>
      <c r="CN323">
        <v>-0.37</v>
      </c>
      <c r="CO323">
        <v>39</v>
      </c>
      <c r="CP323">
        <v>-10.199999999999999</v>
      </c>
      <c r="CQ323">
        <v>28</v>
      </c>
      <c r="CR323">
        <v>0</v>
      </c>
      <c r="CS323">
        <v>0</v>
      </c>
      <c r="CT323">
        <v>-22.3</v>
      </c>
      <c r="CU323">
        <v>27</v>
      </c>
      <c r="CV323">
        <v>-0.13</v>
      </c>
      <c r="CW323">
        <v>12</v>
      </c>
      <c r="CX323" t="s">
        <v>10255</v>
      </c>
    </row>
    <row r="324" spans="1:102" x14ac:dyDescent="0.3">
      <c r="A324" t="str">
        <f>HYPERLINK("https://webapp.icbf.com/v2/app/bull-search/view/508759242","KXT")</f>
        <v>KXT</v>
      </c>
      <c r="B324" t="s">
        <v>10036</v>
      </c>
      <c r="C324" t="s">
        <v>10037</v>
      </c>
      <c r="D324" s="1">
        <v>37580</v>
      </c>
      <c r="E324" t="s">
        <v>395</v>
      </c>
      <c r="F324">
        <v>0</v>
      </c>
      <c r="G324" t="s">
        <v>93</v>
      </c>
      <c r="H324">
        <v>202.52</v>
      </c>
      <c r="I324">
        <v>79</v>
      </c>
      <c r="J324">
        <v>5.57</v>
      </c>
      <c r="K324">
        <v>91</v>
      </c>
      <c r="L324">
        <v>123.06</v>
      </c>
      <c r="M324">
        <v>71</v>
      </c>
      <c r="N324">
        <v>35.29</v>
      </c>
      <c r="O324">
        <v>73</v>
      </c>
      <c r="P324">
        <v>-2.9</v>
      </c>
      <c r="Q324">
        <v>83</v>
      </c>
      <c r="R324">
        <v>15.02</v>
      </c>
      <c r="S324">
        <v>62</v>
      </c>
      <c r="T324">
        <v>20.04</v>
      </c>
      <c r="U324">
        <v>81</v>
      </c>
      <c r="V324">
        <v>6.44</v>
      </c>
      <c r="W324">
        <v>68</v>
      </c>
      <c r="X324" t="s">
        <v>94</v>
      </c>
      <c r="Y324" t="s">
        <v>95</v>
      </c>
      <c r="Z324">
        <v>0</v>
      </c>
      <c r="AA324" t="s">
        <v>1599</v>
      </c>
      <c r="AB324" t="s">
        <v>10038</v>
      </c>
      <c r="AC324">
        <v>41</v>
      </c>
      <c r="AD324">
        <v>19</v>
      </c>
      <c r="AE324">
        <v>91</v>
      </c>
      <c r="AF324">
        <v>-127.31</v>
      </c>
      <c r="AG324">
        <v>-0.71</v>
      </c>
      <c r="AH324">
        <v>-0.75</v>
      </c>
      <c r="AI324">
        <v>7.0000000000000007E-2</v>
      </c>
      <c r="AJ324">
        <v>0.06</v>
      </c>
      <c r="AK324">
        <v>71</v>
      </c>
      <c r="AL324">
        <v>49</v>
      </c>
      <c r="AM324">
        <v>17</v>
      </c>
      <c r="AN324">
        <v>-7</v>
      </c>
      <c r="AO324">
        <v>2.81</v>
      </c>
      <c r="AP324">
        <v>72</v>
      </c>
      <c r="AQ324">
        <v>2</v>
      </c>
      <c r="AR324">
        <v>3.84</v>
      </c>
      <c r="AS324">
        <v>65</v>
      </c>
      <c r="AT324">
        <v>1.57</v>
      </c>
      <c r="AU324">
        <v>66</v>
      </c>
      <c r="AV324">
        <v>-2.08</v>
      </c>
      <c r="AW324">
        <v>91</v>
      </c>
      <c r="AX324">
        <v>-0.38</v>
      </c>
      <c r="AY324">
        <v>63</v>
      </c>
      <c r="AZ324">
        <v>6.37</v>
      </c>
      <c r="BA324">
        <v>39</v>
      </c>
      <c r="BB324">
        <v>5.24</v>
      </c>
      <c r="BC324">
        <v>48</v>
      </c>
      <c r="BD324">
        <v>-0.05</v>
      </c>
      <c r="BE324">
        <v>-0.08</v>
      </c>
      <c r="BF324">
        <v>-0.11</v>
      </c>
      <c r="BG324">
        <v>69</v>
      </c>
      <c r="BH324">
        <v>0.05</v>
      </c>
      <c r="BI324">
        <v>-15</v>
      </c>
      <c r="BJ324">
        <v>2</v>
      </c>
      <c r="BK324">
        <v>2</v>
      </c>
      <c r="BL324">
        <v>-1.46</v>
      </c>
      <c r="BM324">
        <v>0.78</v>
      </c>
      <c r="BN324">
        <v>-1.66</v>
      </c>
      <c r="BO324">
        <v>-1.68</v>
      </c>
      <c r="BP324">
        <v>0.66</v>
      </c>
      <c r="BQ324">
        <v>-0.76</v>
      </c>
      <c r="BR324">
        <v>-0.1</v>
      </c>
      <c r="BS324">
        <v>0.82</v>
      </c>
      <c r="BT324">
        <v>-0.1</v>
      </c>
      <c r="BU324">
        <v>-1.25</v>
      </c>
      <c r="BV324">
        <v>-2.64</v>
      </c>
      <c r="BW324">
        <v>-2.42</v>
      </c>
      <c r="BX324">
        <v>-0.98</v>
      </c>
      <c r="BY324">
        <v>-0.91</v>
      </c>
      <c r="BZ324">
        <v>-1.48</v>
      </c>
      <c r="CA324">
        <v>-1.27</v>
      </c>
      <c r="CB324">
        <v>-1.91</v>
      </c>
      <c r="CC324">
        <v>0.38</v>
      </c>
      <c r="CD324">
        <v>1.1599999999999999</v>
      </c>
      <c r="CE324">
        <v>-1.63</v>
      </c>
      <c r="CF324">
        <v>-1.7</v>
      </c>
      <c r="CG324">
        <v>0</v>
      </c>
      <c r="CH324">
        <v>-1.35</v>
      </c>
      <c r="CI324">
        <v>0</v>
      </c>
      <c r="CJ324">
        <v>-1.7</v>
      </c>
      <c r="CK324">
        <v>85</v>
      </c>
      <c r="CL324">
        <v>-0.06</v>
      </c>
      <c r="CM324">
        <v>82</v>
      </c>
      <c r="CN324">
        <v>-0.1</v>
      </c>
      <c r="CO324">
        <v>79</v>
      </c>
      <c r="CP324">
        <v>-7.4</v>
      </c>
      <c r="CQ324">
        <v>79</v>
      </c>
      <c r="CR324">
        <v>0</v>
      </c>
      <c r="CS324">
        <v>0</v>
      </c>
      <c r="CT324">
        <v>-13.3</v>
      </c>
      <c r="CU324">
        <v>81</v>
      </c>
      <c r="CV324">
        <v>0.03</v>
      </c>
      <c r="CW324">
        <v>26</v>
      </c>
      <c r="CX324" t="s">
        <v>10020</v>
      </c>
    </row>
    <row r="325" spans="1:102" x14ac:dyDescent="0.3">
      <c r="A325" t="str">
        <f>HYPERLINK("https://webapp.icbf.com/v2/app/bull-search/view/1354258543","FR4166")</f>
        <v>FR4166</v>
      </c>
      <c r="B325" t="s">
        <v>13950</v>
      </c>
      <c r="C325" t="s">
        <v>13951</v>
      </c>
      <c r="D325" s="1">
        <v>42400</v>
      </c>
      <c r="E325" t="s">
        <v>92</v>
      </c>
      <c r="F325">
        <v>69</v>
      </c>
      <c r="G325" t="s">
        <v>435</v>
      </c>
      <c r="H325">
        <v>202.45</v>
      </c>
      <c r="I325">
        <v>75</v>
      </c>
      <c r="J325">
        <v>34.89</v>
      </c>
      <c r="K325">
        <v>90</v>
      </c>
      <c r="L325">
        <v>113.58</v>
      </c>
      <c r="M325">
        <v>65</v>
      </c>
      <c r="N325">
        <v>51.64</v>
      </c>
      <c r="O325">
        <v>83</v>
      </c>
      <c r="P325">
        <v>-14.4</v>
      </c>
      <c r="Q325">
        <v>74</v>
      </c>
      <c r="R325">
        <v>1.1599999999999999</v>
      </c>
      <c r="S325">
        <v>64</v>
      </c>
      <c r="T325">
        <v>13.16</v>
      </c>
      <c r="U325">
        <v>57</v>
      </c>
      <c r="V325">
        <v>2.42</v>
      </c>
      <c r="W325">
        <v>59</v>
      </c>
      <c r="X325" t="s">
        <v>94</v>
      </c>
      <c r="Y325" t="s">
        <v>2255</v>
      </c>
      <c r="Z325" t="s">
        <v>96</v>
      </c>
      <c r="AA325" t="s">
        <v>2499</v>
      </c>
      <c r="AB325" t="s">
        <v>13952</v>
      </c>
      <c r="AC325">
        <v>0</v>
      </c>
      <c r="AD325">
        <v>0</v>
      </c>
      <c r="AE325">
        <v>90</v>
      </c>
      <c r="AF325">
        <v>83.32</v>
      </c>
      <c r="AG325">
        <v>-2.97</v>
      </c>
      <c r="AH325">
        <v>8.26</v>
      </c>
      <c r="AI325">
        <v>-0.11</v>
      </c>
      <c r="AJ325">
        <v>0.1</v>
      </c>
      <c r="AK325">
        <v>65</v>
      </c>
      <c r="AL325">
        <v>0</v>
      </c>
      <c r="AM325">
        <v>0</v>
      </c>
      <c r="AN325">
        <v>-6.04</v>
      </c>
      <c r="AO325">
        <v>3.02</v>
      </c>
      <c r="AP325">
        <v>458</v>
      </c>
      <c r="AQ325">
        <v>0</v>
      </c>
      <c r="AR325">
        <v>4.87</v>
      </c>
      <c r="AS325">
        <v>61</v>
      </c>
      <c r="AT325">
        <v>2.11</v>
      </c>
      <c r="AU325">
        <v>92</v>
      </c>
      <c r="AV325">
        <v>-4.1100000000000003</v>
      </c>
      <c r="AW325">
        <v>98</v>
      </c>
      <c r="AX325">
        <v>-0.44</v>
      </c>
      <c r="AY325">
        <v>86</v>
      </c>
      <c r="AZ325">
        <v>5.39</v>
      </c>
      <c r="BA325">
        <v>44</v>
      </c>
      <c r="BB325">
        <v>4.4800000000000004</v>
      </c>
      <c r="BC325">
        <v>41</v>
      </c>
      <c r="BD325">
        <v>-0.01</v>
      </c>
      <c r="BE325">
        <v>0</v>
      </c>
      <c r="BF325">
        <v>-0.01</v>
      </c>
      <c r="BG325">
        <v>75</v>
      </c>
      <c r="BH325">
        <v>7.0000000000000007E-2</v>
      </c>
      <c r="BI325">
        <v>0.28999999999999998</v>
      </c>
      <c r="BJ325">
        <v>0</v>
      </c>
      <c r="BK325">
        <v>0</v>
      </c>
      <c r="BL325">
        <v>-0.35</v>
      </c>
      <c r="BM325">
        <v>0.82</v>
      </c>
      <c r="BN325">
        <v>-0.57999999999999996</v>
      </c>
      <c r="BO325">
        <v>-0.33</v>
      </c>
      <c r="BP325">
        <v>0.74</v>
      </c>
      <c r="BQ325">
        <v>-0.38</v>
      </c>
      <c r="BR325">
        <v>-1.96</v>
      </c>
      <c r="BS325">
        <v>1.31</v>
      </c>
      <c r="BT325">
        <v>1.05</v>
      </c>
      <c r="BU325">
        <v>-0.27</v>
      </c>
      <c r="BV325">
        <v>-0.84</v>
      </c>
      <c r="BW325">
        <v>-0.92</v>
      </c>
      <c r="BX325">
        <v>-0.73</v>
      </c>
      <c r="BY325">
        <v>-1.21</v>
      </c>
      <c r="BZ325">
        <v>1.1499999999999999</v>
      </c>
      <c r="CA325">
        <v>-0.41</v>
      </c>
      <c r="CB325">
        <v>-0.59</v>
      </c>
      <c r="CC325">
        <v>1.1000000000000001</v>
      </c>
      <c r="CD325">
        <v>0.47</v>
      </c>
      <c r="CE325">
        <v>-0.93</v>
      </c>
      <c r="CF325">
        <v>-0.06</v>
      </c>
      <c r="CG325">
        <v>0</v>
      </c>
      <c r="CH325">
        <v>-1.81</v>
      </c>
      <c r="CI325">
        <v>0</v>
      </c>
      <c r="CJ325">
        <v>-6.9</v>
      </c>
      <c r="CK325">
        <v>79</v>
      </c>
      <c r="CL325">
        <v>-0.61</v>
      </c>
      <c r="CM325">
        <v>71</v>
      </c>
      <c r="CN325">
        <v>-0.19</v>
      </c>
      <c r="CO325">
        <v>70</v>
      </c>
      <c r="CP325">
        <v>-5.4</v>
      </c>
      <c r="CQ325">
        <v>56</v>
      </c>
      <c r="CR325">
        <v>0</v>
      </c>
      <c r="CS325">
        <v>0</v>
      </c>
      <c r="CT325">
        <v>-4</v>
      </c>
      <c r="CU325">
        <v>57</v>
      </c>
      <c r="CV325">
        <v>0.06</v>
      </c>
      <c r="CW325">
        <v>42</v>
      </c>
      <c r="CX325" t="s">
        <v>1942</v>
      </c>
    </row>
    <row r="326" spans="1:102" x14ac:dyDescent="0.3">
      <c r="A326" t="str">
        <f>HYPERLINK("https://webapp.icbf.com/v2/app/bull-search/view/1430654312","S3249")</f>
        <v>S3249</v>
      </c>
      <c r="B326" t="s">
        <v>13984</v>
      </c>
      <c r="C326" t="s">
        <v>13985</v>
      </c>
      <c r="D326" s="1">
        <v>42218</v>
      </c>
      <c r="E326" t="s">
        <v>92</v>
      </c>
      <c r="F326">
        <v>100</v>
      </c>
      <c r="G326" t="s">
        <v>109</v>
      </c>
      <c r="H326">
        <v>202.42</v>
      </c>
      <c r="I326">
        <v>71</v>
      </c>
      <c r="J326">
        <v>96.59</v>
      </c>
      <c r="K326">
        <v>90</v>
      </c>
      <c r="L326">
        <v>70.89</v>
      </c>
      <c r="M326">
        <v>69</v>
      </c>
      <c r="N326">
        <v>23.92</v>
      </c>
      <c r="O326">
        <v>81</v>
      </c>
      <c r="P326">
        <v>-12.45</v>
      </c>
      <c r="Q326">
        <v>39</v>
      </c>
      <c r="R326">
        <v>21.02</v>
      </c>
      <c r="S326">
        <v>66</v>
      </c>
      <c r="T326">
        <v>-0.9</v>
      </c>
      <c r="U326">
        <v>36</v>
      </c>
      <c r="V326">
        <v>3.35</v>
      </c>
      <c r="W326">
        <v>54</v>
      </c>
      <c r="X326" t="s">
        <v>110</v>
      </c>
      <c r="Y326" t="s">
        <v>2394</v>
      </c>
      <c r="Z326" t="s">
        <v>96</v>
      </c>
      <c r="AA326" t="s">
        <v>6437</v>
      </c>
      <c r="AB326" t="s">
        <v>13986</v>
      </c>
      <c r="AC326">
        <v>0</v>
      </c>
      <c r="AD326">
        <v>0</v>
      </c>
      <c r="AE326">
        <v>90</v>
      </c>
      <c r="AF326">
        <v>249.26</v>
      </c>
      <c r="AG326">
        <v>32.119999999999997</v>
      </c>
      <c r="AH326">
        <v>8.8800000000000008</v>
      </c>
      <c r="AI326">
        <v>0.37</v>
      </c>
      <c r="AJ326">
        <v>0.01</v>
      </c>
      <c r="AK326">
        <v>69</v>
      </c>
      <c r="AL326">
        <v>0</v>
      </c>
      <c r="AM326">
        <v>0</v>
      </c>
      <c r="AN326">
        <v>-2.5499999999999998</v>
      </c>
      <c r="AO326">
        <v>3.12</v>
      </c>
      <c r="AP326">
        <v>232</v>
      </c>
      <c r="AQ326">
        <v>0</v>
      </c>
      <c r="AR326">
        <v>7.23</v>
      </c>
      <c r="AS326">
        <v>74</v>
      </c>
      <c r="AT326">
        <v>2.9</v>
      </c>
      <c r="AU326">
        <v>92</v>
      </c>
      <c r="AV326">
        <v>-2.0499999999999998</v>
      </c>
      <c r="AW326">
        <v>95</v>
      </c>
      <c r="AX326">
        <v>-0.61</v>
      </c>
      <c r="AY326">
        <v>78</v>
      </c>
      <c r="AZ326">
        <v>5.34</v>
      </c>
      <c r="BA326">
        <v>36</v>
      </c>
      <c r="BB326">
        <v>4.6500000000000004</v>
      </c>
      <c r="BC326">
        <v>35</v>
      </c>
      <c r="BD326">
        <v>-0.05</v>
      </c>
      <c r="BE326">
        <v>-0.1</v>
      </c>
      <c r="BF326">
        <v>-0.21</v>
      </c>
      <c r="BG326">
        <v>81</v>
      </c>
      <c r="BH326">
        <v>-0.22</v>
      </c>
      <c r="BI326">
        <v>-36.25</v>
      </c>
      <c r="BJ326">
        <v>0</v>
      </c>
      <c r="BK326">
        <v>0</v>
      </c>
      <c r="BL326">
        <v>1.51</v>
      </c>
      <c r="BM326">
        <v>-0.6</v>
      </c>
      <c r="BN326">
        <v>0.86</v>
      </c>
      <c r="BO326">
        <v>1.54</v>
      </c>
      <c r="BP326">
        <v>-2.56</v>
      </c>
      <c r="BQ326">
        <v>1.01</v>
      </c>
      <c r="BR326">
        <v>-0.09</v>
      </c>
      <c r="BS326">
        <v>2.2999999999999998</v>
      </c>
      <c r="BT326">
        <v>1.1299999999999999</v>
      </c>
      <c r="BU326">
        <v>3.71</v>
      </c>
      <c r="BV326">
        <v>4.76</v>
      </c>
      <c r="BW326">
        <v>2.76</v>
      </c>
      <c r="BX326">
        <v>2.73</v>
      </c>
      <c r="BY326">
        <v>1.81</v>
      </c>
      <c r="BZ326">
        <v>0.49</v>
      </c>
      <c r="CA326">
        <v>3.37</v>
      </c>
      <c r="CB326">
        <v>3.29</v>
      </c>
      <c r="CC326">
        <v>1.66</v>
      </c>
      <c r="CD326">
        <v>-1.1399999999999999</v>
      </c>
      <c r="CE326">
        <v>0.65</v>
      </c>
      <c r="CF326">
        <v>0.74</v>
      </c>
      <c r="CG326">
        <v>0</v>
      </c>
      <c r="CH326">
        <v>1.53</v>
      </c>
      <c r="CI326">
        <v>0</v>
      </c>
      <c r="CJ326">
        <v>-3.7</v>
      </c>
      <c r="CK326">
        <v>40</v>
      </c>
      <c r="CL326">
        <v>-1.74</v>
      </c>
      <c r="CM326">
        <v>37</v>
      </c>
      <c r="CN326">
        <v>-0.89</v>
      </c>
      <c r="CO326">
        <v>37</v>
      </c>
      <c r="CP326">
        <v>1.3</v>
      </c>
      <c r="CQ326">
        <v>37</v>
      </c>
      <c r="CR326">
        <v>0</v>
      </c>
      <c r="CS326">
        <v>0</v>
      </c>
      <c r="CT326">
        <v>15</v>
      </c>
      <c r="CU326">
        <v>36</v>
      </c>
      <c r="CV326">
        <v>0.21</v>
      </c>
      <c r="CW326">
        <v>32</v>
      </c>
      <c r="CX326" t="s">
        <v>401</v>
      </c>
    </row>
    <row r="327" spans="1:102" x14ac:dyDescent="0.3">
      <c r="A327" t="str">
        <f>HYPERLINK("https://webapp.icbf.com/v2/app/bull-search/view/1343454289","FR4029")</f>
        <v>FR4029</v>
      </c>
      <c r="B327" t="s">
        <v>6023</v>
      </c>
      <c r="C327" t="s">
        <v>6024</v>
      </c>
      <c r="D327" s="1">
        <v>41937</v>
      </c>
      <c r="E327" t="s">
        <v>92</v>
      </c>
      <c r="F327">
        <v>100</v>
      </c>
      <c r="G327" t="s">
        <v>109</v>
      </c>
      <c r="H327">
        <v>202.31</v>
      </c>
      <c r="I327">
        <v>76</v>
      </c>
      <c r="J327">
        <v>85.14</v>
      </c>
      <c r="K327">
        <v>91</v>
      </c>
      <c r="L327">
        <v>69.900000000000006</v>
      </c>
      <c r="M327">
        <v>73</v>
      </c>
      <c r="N327">
        <v>37.130000000000003</v>
      </c>
      <c r="O327">
        <v>83</v>
      </c>
      <c r="P327">
        <v>4.7</v>
      </c>
      <c r="Q327">
        <v>70</v>
      </c>
      <c r="R327">
        <v>10.6</v>
      </c>
      <c r="S327">
        <v>71</v>
      </c>
      <c r="T327">
        <v>-5.64</v>
      </c>
      <c r="U327">
        <v>42</v>
      </c>
      <c r="V327">
        <v>0.48</v>
      </c>
      <c r="W327">
        <v>55</v>
      </c>
      <c r="X327" t="s">
        <v>234</v>
      </c>
      <c r="Y327" t="s">
        <v>411</v>
      </c>
      <c r="Z327" t="s">
        <v>96</v>
      </c>
      <c r="AA327" t="s">
        <v>2189</v>
      </c>
      <c r="AB327" t="s">
        <v>6025</v>
      </c>
      <c r="AC327">
        <v>0</v>
      </c>
      <c r="AD327">
        <v>0</v>
      </c>
      <c r="AE327">
        <v>91</v>
      </c>
      <c r="AF327">
        <v>566.22</v>
      </c>
      <c r="AG327">
        <v>21.25</v>
      </c>
      <c r="AH327">
        <v>15.63</v>
      </c>
      <c r="AI327">
        <v>-0.01</v>
      </c>
      <c r="AJ327">
        <v>-0.06</v>
      </c>
      <c r="AK327">
        <v>73</v>
      </c>
      <c r="AL327">
        <v>0</v>
      </c>
      <c r="AM327">
        <v>0</v>
      </c>
      <c r="AN327">
        <v>-2.61</v>
      </c>
      <c r="AO327">
        <v>2.98</v>
      </c>
      <c r="AP327">
        <v>367</v>
      </c>
      <c r="AQ327">
        <v>0</v>
      </c>
      <c r="AR327">
        <v>6.46</v>
      </c>
      <c r="AS327">
        <v>79</v>
      </c>
      <c r="AT327">
        <v>2.5299999999999998</v>
      </c>
      <c r="AU327">
        <v>94</v>
      </c>
      <c r="AV327">
        <v>-3.25</v>
      </c>
      <c r="AW327">
        <v>96</v>
      </c>
      <c r="AX327">
        <v>-0.84</v>
      </c>
      <c r="AY327">
        <v>85</v>
      </c>
      <c r="AZ327">
        <v>5.99</v>
      </c>
      <c r="BA327">
        <v>43</v>
      </c>
      <c r="BB327">
        <v>4.84</v>
      </c>
      <c r="BC327">
        <v>36</v>
      </c>
      <c r="BD327">
        <v>-0.01</v>
      </c>
      <c r="BE327">
        <v>-0.03</v>
      </c>
      <c r="BF327">
        <v>-0.17</v>
      </c>
      <c r="BG327">
        <v>88</v>
      </c>
      <c r="BH327">
        <v>-7.0000000000000007E-2</v>
      </c>
      <c r="BI327">
        <v>-9.66</v>
      </c>
      <c r="BJ327">
        <v>0</v>
      </c>
      <c r="BK327">
        <v>0</v>
      </c>
      <c r="BL327">
        <v>1.1000000000000001</v>
      </c>
      <c r="BM327">
        <v>-0.6</v>
      </c>
      <c r="BN327">
        <v>-0.24</v>
      </c>
      <c r="BO327">
        <v>0.62</v>
      </c>
      <c r="BP327">
        <v>0.5</v>
      </c>
      <c r="BQ327">
        <v>0.86</v>
      </c>
      <c r="BR327">
        <v>-2.56</v>
      </c>
      <c r="BS327">
        <v>3.34</v>
      </c>
      <c r="BT327">
        <v>2.2000000000000002</v>
      </c>
      <c r="BU327">
        <v>4.03</v>
      </c>
      <c r="BV327">
        <v>3.2</v>
      </c>
      <c r="BW327">
        <v>2.75</v>
      </c>
      <c r="BX327">
        <v>2.92</v>
      </c>
      <c r="BY327">
        <v>1.84</v>
      </c>
      <c r="BZ327">
        <v>0.06</v>
      </c>
      <c r="CA327">
        <v>3.44</v>
      </c>
      <c r="CB327">
        <v>3.12</v>
      </c>
      <c r="CC327">
        <v>1.97</v>
      </c>
      <c r="CD327">
        <v>0.62</v>
      </c>
      <c r="CE327">
        <v>0.57999999999999996</v>
      </c>
      <c r="CF327">
        <v>1.07</v>
      </c>
      <c r="CG327">
        <v>0</v>
      </c>
      <c r="CH327">
        <v>2.0099999999999998</v>
      </c>
      <c r="CI327">
        <v>0</v>
      </c>
      <c r="CJ327">
        <v>4.7</v>
      </c>
      <c r="CK327">
        <v>74</v>
      </c>
      <c r="CL327">
        <v>-0.88</v>
      </c>
      <c r="CM327">
        <v>70</v>
      </c>
      <c r="CN327">
        <v>-0.5</v>
      </c>
      <c r="CO327">
        <v>68</v>
      </c>
      <c r="CP327">
        <v>9.6</v>
      </c>
      <c r="CQ327">
        <v>47</v>
      </c>
      <c r="CR327">
        <v>0</v>
      </c>
      <c r="CS327">
        <v>0</v>
      </c>
      <c r="CT327">
        <v>21.4</v>
      </c>
      <c r="CU327">
        <v>42</v>
      </c>
      <c r="CV327">
        <v>0.28000000000000003</v>
      </c>
      <c r="CW327">
        <v>40</v>
      </c>
      <c r="CX327" t="s">
        <v>401</v>
      </c>
    </row>
    <row r="328" spans="1:102" x14ac:dyDescent="0.3">
      <c r="A328" t="str">
        <f>HYPERLINK("https://webapp.icbf.com/v2/app/bull-search/view/1474300878","FR4514")</f>
        <v>FR4514</v>
      </c>
      <c r="B328" t="s">
        <v>6189</v>
      </c>
      <c r="C328" t="s">
        <v>6190</v>
      </c>
      <c r="D328" s="1">
        <v>42768</v>
      </c>
      <c r="E328" t="s">
        <v>92</v>
      </c>
      <c r="F328">
        <v>38</v>
      </c>
      <c r="G328" t="s">
        <v>435</v>
      </c>
      <c r="H328">
        <v>201.7</v>
      </c>
      <c r="I328">
        <v>67</v>
      </c>
      <c r="J328">
        <v>47.26</v>
      </c>
      <c r="K328">
        <v>85</v>
      </c>
      <c r="L328">
        <v>84.32</v>
      </c>
      <c r="M328">
        <v>54</v>
      </c>
      <c r="N328">
        <v>50.98</v>
      </c>
      <c r="O328">
        <v>83</v>
      </c>
      <c r="P328">
        <v>-23.07</v>
      </c>
      <c r="Q328">
        <v>54</v>
      </c>
      <c r="R328">
        <v>4.88</v>
      </c>
      <c r="S328">
        <v>55</v>
      </c>
      <c r="T328">
        <v>25.59</v>
      </c>
      <c r="U328">
        <v>52</v>
      </c>
      <c r="V328">
        <v>11.74</v>
      </c>
      <c r="W328">
        <v>53</v>
      </c>
      <c r="X328" t="s">
        <v>234</v>
      </c>
      <c r="Y328" t="s">
        <v>2384</v>
      </c>
      <c r="Z328" t="s">
        <v>6191</v>
      </c>
      <c r="AA328" t="s">
        <v>6192</v>
      </c>
      <c r="AB328" t="s">
        <v>144</v>
      </c>
      <c r="AC328">
        <v>0</v>
      </c>
      <c r="AD328">
        <v>0</v>
      </c>
      <c r="AE328">
        <v>85</v>
      </c>
      <c r="AF328">
        <v>-101.26</v>
      </c>
      <c r="AG328">
        <v>12.15</v>
      </c>
      <c r="AH328">
        <v>2.19</v>
      </c>
      <c r="AI328">
        <v>0.28000000000000003</v>
      </c>
      <c r="AJ328">
        <v>0.1</v>
      </c>
      <c r="AK328">
        <v>54</v>
      </c>
      <c r="AL328">
        <v>0</v>
      </c>
      <c r="AM328">
        <v>0</v>
      </c>
      <c r="AN328">
        <v>-3.39</v>
      </c>
      <c r="AO328">
        <v>3.35</v>
      </c>
      <c r="AP328">
        <v>576</v>
      </c>
      <c r="AQ328">
        <v>0</v>
      </c>
      <c r="AR328">
        <v>5.72</v>
      </c>
      <c r="AS328">
        <v>81</v>
      </c>
      <c r="AT328">
        <v>2.14</v>
      </c>
      <c r="AU328">
        <v>92</v>
      </c>
      <c r="AV328">
        <v>-4.95</v>
      </c>
      <c r="AW328">
        <v>98</v>
      </c>
      <c r="AX328">
        <v>0.2</v>
      </c>
      <c r="AY328">
        <v>88</v>
      </c>
      <c r="AZ328">
        <v>7.16</v>
      </c>
      <c r="BA328">
        <v>37</v>
      </c>
      <c r="BB328">
        <v>4.76</v>
      </c>
      <c r="BC328">
        <v>29</v>
      </c>
      <c r="BD328">
        <v>-0.08</v>
      </c>
      <c r="BE328">
        <v>-0.01</v>
      </c>
      <c r="BF328">
        <v>0.04</v>
      </c>
      <c r="BG328">
        <v>66</v>
      </c>
      <c r="BH328">
        <v>0.21</v>
      </c>
      <c r="BI328">
        <v>-13.57</v>
      </c>
      <c r="BJ328">
        <v>0</v>
      </c>
      <c r="BK328">
        <v>0</v>
      </c>
      <c r="BL328">
        <v>-2.29</v>
      </c>
      <c r="BM328">
        <v>-0.56999999999999995</v>
      </c>
      <c r="BN328">
        <v>-1.44</v>
      </c>
      <c r="BO328">
        <v>-0.72</v>
      </c>
      <c r="BP328">
        <v>0.53</v>
      </c>
      <c r="BQ328">
        <v>-3.42</v>
      </c>
      <c r="BR328">
        <v>2.0299999999999998</v>
      </c>
      <c r="BS328">
        <v>1.36</v>
      </c>
      <c r="BT328">
        <v>-1.82</v>
      </c>
      <c r="BU328">
        <v>-1.32</v>
      </c>
      <c r="BV328">
        <v>-1.05</v>
      </c>
      <c r="BW328">
        <v>-1.95</v>
      </c>
      <c r="BX328">
        <v>-2.13</v>
      </c>
      <c r="BY328">
        <v>-1.1100000000000001</v>
      </c>
      <c r="BZ328">
        <v>0.64</v>
      </c>
      <c r="CA328">
        <v>-0.79</v>
      </c>
      <c r="CB328">
        <v>-1.17</v>
      </c>
      <c r="CC328">
        <v>0.24</v>
      </c>
      <c r="CD328">
        <v>-0.23</v>
      </c>
      <c r="CE328">
        <v>-0.62</v>
      </c>
      <c r="CF328">
        <v>-2.72</v>
      </c>
      <c r="CG328">
        <v>0</v>
      </c>
      <c r="CH328">
        <v>-1.53</v>
      </c>
      <c r="CI328">
        <v>0</v>
      </c>
      <c r="CJ328">
        <v>-9.6999999999999993</v>
      </c>
      <c r="CK328">
        <v>60</v>
      </c>
      <c r="CL328">
        <v>-0.77</v>
      </c>
      <c r="CM328">
        <v>46</v>
      </c>
      <c r="CN328">
        <v>-0.14000000000000001</v>
      </c>
      <c r="CO328">
        <v>46</v>
      </c>
      <c r="CP328">
        <v>-22.5</v>
      </c>
      <c r="CQ328">
        <v>48</v>
      </c>
      <c r="CR328">
        <v>0</v>
      </c>
      <c r="CS328">
        <v>0</v>
      </c>
      <c r="CT328">
        <v>-20.8</v>
      </c>
      <c r="CU328">
        <v>52</v>
      </c>
      <c r="CV328">
        <v>0</v>
      </c>
      <c r="CW328">
        <v>35</v>
      </c>
      <c r="CX328" t="s">
        <v>6193</v>
      </c>
    </row>
    <row r="329" spans="1:102" x14ac:dyDescent="0.3">
      <c r="A329" t="str">
        <f>HYPERLINK("https://webapp.icbf.com/v2/app/bull-search/view/1244046478","FR2248")</f>
        <v>FR2248</v>
      </c>
      <c r="B329" t="s">
        <v>13558</v>
      </c>
      <c r="C329" t="s">
        <v>13559</v>
      </c>
      <c r="D329" s="1">
        <v>42032</v>
      </c>
      <c r="E329" t="s">
        <v>92</v>
      </c>
      <c r="F329">
        <v>72</v>
      </c>
      <c r="G329" t="s">
        <v>93</v>
      </c>
      <c r="H329">
        <v>201.59</v>
      </c>
      <c r="I329">
        <v>83</v>
      </c>
      <c r="J329">
        <v>46.5</v>
      </c>
      <c r="K329">
        <v>95</v>
      </c>
      <c r="L329">
        <v>121.59</v>
      </c>
      <c r="M329">
        <v>73</v>
      </c>
      <c r="N329">
        <v>43.65</v>
      </c>
      <c r="O329">
        <v>84</v>
      </c>
      <c r="P329">
        <v>-16.32</v>
      </c>
      <c r="Q329">
        <v>88</v>
      </c>
      <c r="R329">
        <v>1.84</v>
      </c>
      <c r="S329">
        <v>75</v>
      </c>
      <c r="T329">
        <v>7.31</v>
      </c>
      <c r="U329">
        <v>81</v>
      </c>
      <c r="V329">
        <v>-2.98</v>
      </c>
      <c r="W329">
        <v>71</v>
      </c>
      <c r="X329" t="s">
        <v>102</v>
      </c>
      <c r="Y329" t="s">
        <v>416</v>
      </c>
      <c r="Z329" t="s">
        <v>330</v>
      </c>
      <c r="AA329" t="s">
        <v>2235</v>
      </c>
      <c r="AB329" t="s">
        <v>13560</v>
      </c>
      <c r="AC329">
        <v>113</v>
      </c>
      <c r="AD329">
        <v>61</v>
      </c>
      <c r="AE329">
        <v>95</v>
      </c>
      <c r="AF329">
        <v>-188.27</v>
      </c>
      <c r="AG329">
        <v>6.69</v>
      </c>
      <c r="AH329">
        <v>2.66</v>
      </c>
      <c r="AI329">
        <v>0.25</v>
      </c>
      <c r="AJ329">
        <v>0.16</v>
      </c>
      <c r="AK329">
        <v>73</v>
      </c>
      <c r="AL329">
        <v>0</v>
      </c>
      <c r="AM329">
        <v>0</v>
      </c>
      <c r="AN329">
        <v>-6.35</v>
      </c>
      <c r="AO329">
        <v>3.35</v>
      </c>
      <c r="AP329">
        <v>298</v>
      </c>
      <c r="AQ329">
        <v>0</v>
      </c>
      <c r="AR329">
        <v>6.57</v>
      </c>
      <c r="AS329">
        <v>71</v>
      </c>
      <c r="AT329">
        <v>2.68</v>
      </c>
      <c r="AU329">
        <v>89</v>
      </c>
      <c r="AV329">
        <v>-5.36</v>
      </c>
      <c r="AW329">
        <v>97</v>
      </c>
      <c r="AX329">
        <v>-0.63</v>
      </c>
      <c r="AY329">
        <v>83</v>
      </c>
      <c r="AZ329">
        <v>7.31</v>
      </c>
      <c r="BA329">
        <v>66</v>
      </c>
      <c r="BB329">
        <v>6.01</v>
      </c>
      <c r="BC329">
        <v>45</v>
      </c>
      <c r="BD329">
        <v>-0.02</v>
      </c>
      <c r="BE329">
        <v>-0.01</v>
      </c>
      <c r="BF329">
        <v>0.01</v>
      </c>
      <c r="BG329">
        <v>86</v>
      </c>
      <c r="BH329">
        <v>-0.03</v>
      </c>
      <c r="BI329">
        <v>6.14</v>
      </c>
      <c r="BJ329">
        <v>0</v>
      </c>
      <c r="BK329">
        <v>0</v>
      </c>
      <c r="BL329">
        <v>-1.97</v>
      </c>
      <c r="BM329">
        <v>-0.04</v>
      </c>
      <c r="BN329">
        <v>-1.37</v>
      </c>
      <c r="BO329">
        <v>-1.56</v>
      </c>
      <c r="BP329">
        <v>-0.95</v>
      </c>
      <c r="BQ329">
        <v>-0.06</v>
      </c>
      <c r="BR329">
        <v>0.63</v>
      </c>
      <c r="BS329">
        <v>-0.06</v>
      </c>
      <c r="BT329">
        <v>-1.37</v>
      </c>
      <c r="BU329">
        <v>-1.86</v>
      </c>
      <c r="BV329">
        <v>-1.37</v>
      </c>
      <c r="BW329">
        <v>-1.18</v>
      </c>
      <c r="BX329">
        <v>-0.89</v>
      </c>
      <c r="BY329">
        <v>-0.99</v>
      </c>
      <c r="BZ329">
        <v>1.29</v>
      </c>
      <c r="CA329">
        <v>-1.17</v>
      </c>
      <c r="CB329">
        <v>-1.45</v>
      </c>
      <c r="CC329">
        <v>0.11</v>
      </c>
      <c r="CD329">
        <v>1.2</v>
      </c>
      <c r="CE329">
        <v>-1.26</v>
      </c>
      <c r="CF329">
        <v>-0.85</v>
      </c>
      <c r="CG329">
        <v>0</v>
      </c>
      <c r="CH329">
        <v>-1.96</v>
      </c>
      <c r="CI329">
        <v>0</v>
      </c>
      <c r="CJ329">
        <v>-9.5</v>
      </c>
      <c r="CK329">
        <v>91</v>
      </c>
      <c r="CL329">
        <v>-0.6</v>
      </c>
      <c r="CM329">
        <v>89</v>
      </c>
      <c r="CN329">
        <v>-0.37</v>
      </c>
      <c r="CO329">
        <v>88</v>
      </c>
      <c r="CP329">
        <v>-9</v>
      </c>
      <c r="CQ329">
        <v>68</v>
      </c>
      <c r="CR329">
        <v>0</v>
      </c>
      <c r="CS329">
        <v>0</v>
      </c>
      <c r="CT329">
        <v>3.9</v>
      </c>
      <c r="CU329">
        <v>81</v>
      </c>
      <c r="CV329">
        <v>-7.0000000000000007E-2</v>
      </c>
      <c r="CW329">
        <v>45</v>
      </c>
      <c r="CX329" t="s">
        <v>6284</v>
      </c>
    </row>
    <row r="330" spans="1:102" x14ac:dyDescent="0.3">
      <c r="A330" t="str">
        <f>HYPERLINK("https://webapp.icbf.com/v2/app/bull-search/view/864642117","KAZ")</f>
        <v>KAZ</v>
      </c>
      <c r="B330" t="s">
        <v>13054</v>
      </c>
      <c r="C330" t="s">
        <v>6177</v>
      </c>
      <c r="D330" s="1">
        <v>40586</v>
      </c>
      <c r="E330" t="s">
        <v>92</v>
      </c>
      <c r="F330">
        <v>72</v>
      </c>
      <c r="G330" t="s">
        <v>93</v>
      </c>
      <c r="H330">
        <v>201.16</v>
      </c>
      <c r="I330">
        <v>93</v>
      </c>
      <c r="J330">
        <v>66.260000000000005</v>
      </c>
      <c r="K330">
        <v>99</v>
      </c>
      <c r="L330">
        <v>81.96</v>
      </c>
      <c r="M330">
        <v>88</v>
      </c>
      <c r="N330">
        <v>43.71</v>
      </c>
      <c r="O330">
        <v>96</v>
      </c>
      <c r="P330">
        <v>-4.16</v>
      </c>
      <c r="Q330">
        <v>98</v>
      </c>
      <c r="R330">
        <v>4.99</v>
      </c>
      <c r="S330">
        <v>87</v>
      </c>
      <c r="T330">
        <v>5.46</v>
      </c>
      <c r="U330">
        <v>93</v>
      </c>
      <c r="V330">
        <v>2.94</v>
      </c>
      <c r="W330">
        <v>80</v>
      </c>
      <c r="X330" t="s">
        <v>94</v>
      </c>
      <c r="Y330" t="s">
        <v>1775</v>
      </c>
      <c r="Z330" t="s">
        <v>96</v>
      </c>
      <c r="AA330" t="s">
        <v>4738</v>
      </c>
      <c r="AB330" t="s">
        <v>13055</v>
      </c>
      <c r="AC330">
        <v>824</v>
      </c>
      <c r="AD330">
        <v>236</v>
      </c>
      <c r="AE330">
        <v>99</v>
      </c>
      <c r="AF330">
        <v>66.88</v>
      </c>
      <c r="AG330">
        <v>16.149999999999999</v>
      </c>
      <c r="AH330">
        <v>6.58</v>
      </c>
      <c r="AI330">
        <v>0.23</v>
      </c>
      <c r="AJ330">
        <v>7.0000000000000007E-2</v>
      </c>
      <c r="AK330">
        <v>88</v>
      </c>
      <c r="AL330">
        <v>793</v>
      </c>
      <c r="AM330">
        <v>210</v>
      </c>
      <c r="AN330">
        <v>-3.41</v>
      </c>
      <c r="AO330">
        <v>3.14</v>
      </c>
      <c r="AP330">
        <v>2058</v>
      </c>
      <c r="AQ330">
        <v>15</v>
      </c>
      <c r="AR330">
        <v>5.37</v>
      </c>
      <c r="AS330">
        <v>98</v>
      </c>
      <c r="AT330">
        <v>1.83</v>
      </c>
      <c r="AU330">
        <v>97</v>
      </c>
      <c r="AV330">
        <v>-4.05</v>
      </c>
      <c r="AW330">
        <v>99</v>
      </c>
      <c r="AX330">
        <v>0</v>
      </c>
      <c r="AY330">
        <v>97</v>
      </c>
      <c r="AZ330">
        <v>7.6</v>
      </c>
      <c r="BA330">
        <v>92</v>
      </c>
      <c r="BB330">
        <v>5.28</v>
      </c>
      <c r="BC330">
        <v>86</v>
      </c>
      <c r="BD330">
        <v>-0.01</v>
      </c>
      <c r="BE330">
        <v>-0.02</v>
      </c>
      <c r="BF330">
        <v>-0.06</v>
      </c>
      <c r="BG330">
        <v>97</v>
      </c>
      <c r="BH330">
        <v>0.16</v>
      </c>
      <c r="BI330">
        <v>9.01</v>
      </c>
      <c r="BJ330">
        <v>22</v>
      </c>
      <c r="BK330">
        <v>13</v>
      </c>
      <c r="BL330">
        <v>-1.3</v>
      </c>
      <c r="BM330">
        <v>1.58</v>
      </c>
      <c r="BN330">
        <v>-0.24</v>
      </c>
      <c r="BO330">
        <v>-1.06</v>
      </c>
      <c r="BP330">
        <v>0.74</v>
      </c>
      <c r="BQ330">
        <v>0.32</v>
      </c>
      <c r="BR330">
        <v>-3.3</v>
      </c>
      <c r="BS330">
        <v>-1.95</v>
      </c>
      <c r="BT330">
        <v>1.27</v>
      </c>
      <c r="BU330">
        <v>0.34</v>
      </c>
      <c r="BV330">
        <v>-1.42</v>
      </c>
      <c r="BW330">
        <v>-0.97</v>
      </c>
      <c r="BX330">
        <v>1.06</v>
      </c>
      <c r="BY330">
        <v>0.52</v>
      </c>
      <c r="BZ330">
        <v>-2.1800000000000002</v>
      </c>
      <c r="CA330">
        <v>-0.42</v>
      </c>
      <c r="CB330">
        <v>-0.16</v>
      </c>
      <c r="CC330">
        <v>-0.61</v>
      </c>
      <c r="CD330">
        <v>1.0900000000000001</v>
      </c>
      <c r="CE330">
        <v>-0.68</v>
      </c>
      <c r="CF330">
        <v>-0.6</v>
      </c>
      <c r="CG330">
        <v>0</v>
      </c>
      <c r="CH330">
        <v>0.3</v>
      </c>
      <c r="CI330">
        <v>0</v>
      </c>
      <c r="CJ330">
        <v>-0.8</v>
      </c>
      <c r="CK330">
        <v>99</v>
      </c>
      <c r="CL330">
        <v>-0.28999999999999998</v>
      </c>
      <c r="CM330">
        <v>99</v>
      </c>
      <c r="CN330">
        <v>0</v>
      </c>
      <c r="CO330">
        <v>98</v>
      </c>
      <c r="CP330">
        <v>-0.4</v>
      </c>
      <c r="CQ330">
        <v>94</v>
      </c>
      <c r="CR330">
        <v>0</v>
      </c>
      <c r="CS330">
        <v>0</v>
      </c>
      <c r="CT330">
        <v>6.4</v>
      </c>
      <c r="CU330">
        <v>93</v>
      </c>
      <c r="CV330">
        <v>0.09</v>
      </c>
      <c r="CW330">
        <v>47</v>
      </c>
      <c r="CX330" t="s">
        <v>316</v>
      </c>
    </row>
    <row r="331" spans="1:102" x14ac:dyDescent="0.3">
      <c r="A331" t="str">
        <f>HYPERLINK("https://webapp.icbf.com/v2/app/bull-search/view/1354260213","JE4469")</f>
        <v>JE4469</v>
      </c>
      <c r="B331" t="s">
        <v>9465</v>
      </c>
      <c r="C331" t="s">
        <v>9466</v>
      </c>
      <c r="D331" s="1">
        <v>42387</v>
      </c>
      <c r="E331" t="s">
        <v>227</v>
      </c>
      <c r="F331">
        <v>0</v>
      </c>
      <c r="G331" t="s">
        <v>435</v>
      </c>
      <c r="H331">
        <v>201.02</v>
      </c>
      <c r="I331">
        <v>70</v>
      </c>
      <c r="J331">
        <v>63.3</v>
      </c>
      <c r="K331">
        <v>85</v>
      </c>
      <c r="L331">
        <v>87.12</v>
      </c>
      <c r="M331">
        <v>66</v>
      </c>
      <c r="N331">
        <v>38.92</v>
      </c>
      <c r="O331">
        <v>79</v>
      </c>
      <c r="P331">
        <v>-48.01</v>
      </c>
      <c r="Q331">
        <v>48</v>
      </c>
      <c r="R331">
        <v>6.38</v>
      </c>
      <c r="S331">
        <v>65</v>
      </c>
      <c r="T331">
        <v>42.46</v>
      </c>
      <c r="U331">
        <v>45</v>
      </c>
      <c r="V331">
        <v>10.85</v>
      </c>
      <c r="W331">
        <v>64</v>
      </c>
      <c r="X331" t="s">
        <v>102</v>
      </c>
      <c r="Y331" t="s">
        <v>2384</v>
      </c>
      <c r="Z331">
        <v>0</v>
      </c>
      <c r="AA331" t="s">
        <v>2314</v>
      </c>
      <c r="AB331" t="s">
        <v>9467</v>
      </c>
      <c r="AC331">
        <v>0</v>
      </c>
      <c r="AD331">
        <v>0</v>
      </c>
      <c r="AE331">
        <v>85</v>
      </c>
      <c r="AF331">
        <v>-325.29000000000002</v>
      </c>
      <c r="AG331">
        <v>15.54</v>
      </c>
      <c r="AH331">
        <v>0.28999999999999998</v>
      </c>
      <c r="AI331">
        <v>0.51</v>
      </c>
      <c r="AJ331">
        <v>0.21</v>
      </c>
      <c r="AK331">
        <v>66</v>
      </c>
      <c r="AL331">
        <v>0</v>
      </c>
      <c r="AM331">
        <v>0</v>
      </c>
      <c r="AN331">
        <v>-4.5999999999999996</v>
      </c>
      <c r="AO331">
        <v>2.35</v>
      </c>
      <c r="AP331">
        <v>129</v>
      </c>
      <c r="AQ331">
        <v>0</v>
      </c>
      <c r="AR331">
        <v>2.7</v>
      </c>
      <c r="AS331">
        <v>69</v>
      </c>
      <c r="AT331">
        <v>1.38</v>
      </c>
      <c r="AU331">
        <v>81</v>
      </c>
      <c r="AV331">
        <v>-2.59</v>
      </c>
      <c r="AW331">
        <v>94</v>
      </c>
      <c r="AX331">
        <v>0.23</v>
      </c>
      <c r="AY331">
        <v>70</v>
      </c>
      <c r="AZ331">
        <v>7.21</v>
      </c>
      <c r="BA331">
        <v>49</v>
      </c>
      <c r="BB331">
        <v>5.27</v>
      </c>
      <c r="BC331">
        <v>49</v>
      </c>
      <c r="BD331">
        <v>-7.0000000000000007E-2</v>
      </c>
      <c r="BE331">
        <v>0</v>
      </c>
      <c r="BF331">
        <v>-0.03</v>
      </c>
      <c r="BG331">
        <v>70</v>
      </c>
      <c r="BH331">
        <v>0.27</v>
      </c>
      <c r="BI331">
        <v>-3.77</v>
      </c>
      <c r="BJ331">
        <v>0</v>
      </c>
      <c r="BK331">
        <v>0</v>
      </c>
      <c r="BL331">
        <v>-2.8</v>
      </c>
      <c r="BM331">
        <v>-1.97</v>
      </c>
      <c r="BN331">
        <v>-0.03</v>
      </c>
      <c r="BO331">
        <v>1.53</v>
      </c>
      <c r="BP331">
        <v>-0.69</v>
      </c>
      <c r="BQ331">
        <v>-5.41</v>
      </c>
      <c r="BR331">
        <v>2.87</v>
      </c>
      <c r="BS331">
        <v>6.34</v>
      </c>
      <c r="BT331">
        <v>-1.1100000000000001</v>
      </c>
      <c r="BU331">
        <v>-1.18</v>
      </c>
      <c r="BV331">
        <v>-0.94</v>
      </c>
      <c r="BW331">
        <v>-2.98</v>
      </c>
      <c r="BX331">
        <v>-3.62</v>
      </c>
      <c r="BY331">
        <v>0.41</v>
      </c>
      <c r="BZ331">
        <v>-0.94</v>
      </c>
      <c r="CA331">
        <v>0.34</v>
      </c>
      <c r="CB331">
        <v>-1.05</v>
      </c>
      <c r="CC331">
        <v>3.25</v>
      </c>
      <c r="CD331">
        <v>-3.1</v>
      </c>
      <c r="CE331">
        <v>0.57999999999999996</v>
      </c>
      <c r="CF331">
        <v>-2.95</v>
      </c>
      <c r="CG331">
        <v>0</v>
      </c>
      <c r="CH331">
        <v>-1.1599999999999999</v>
      </c>
      <c r="CI331">
        <v>0</v>
      </c>
      <c r="CJ331">
        <v>-23</v>
      </c>
      <c r="CK331">
        <v>50</v>
      </c>
      <c r="CL331">
        <v>-0.96</v>
      </c>
      <c r="CM331">
        <v>44</v>
      </c>
      <c r="CN331">
        <v>0.05</v>
      </c>
      <c r="CO331">
        <v>44</v>
      </c>
      <c r="CP331">
        <v>-38.5</v>
      </c>
      <c r="CQ331">
        <v>46</v>
      </c>
      <c r="CR331">
        <v>0</v>
      </c>
      <c r="CS331">
        <v>0</v>
      </c>
      <c r="CT331">
        <v>-43.6</v>
      </c>
      <c r="CU331">
        <v>45</v>
      </c>
      <c r="CV331">
        <v>-0.09</v>
      </c>
      <c r="CW331">
        <v>35</v>
      </c>
      <c r="CX331" t="s">
        <v>9468</v>
      </c>
    </row>
    <row r="332" spans="1:102" x14ac:dyDescent="0.3">
      <c r="A332" t="str">
        <f>HYPERLINK("https://webapp.icbf.com/v2/app/bull-search/view/469433084","KGB")</f>
        <v>KGB</v>
      </c>
      <c r="B332" t="s">
        <v>12321</v>
      </c>
      <c r="C332" t="s">
        <v>1637</v>
      </c>
      <c r="D332" s="1">
        <v>36751</v>
      </c>
      <c r="E332" t="s">
        <v>227</v>
      </c>
      <c r="F332">
        <v>0</v>
      </c>
      <c r="G332" t="s">
        <v>93</v>
      </c>
      <c r="H332">
        <v>200.98</v>
      </c>
      <c r="I332">
        <v>91</v>
      </c>
      <c r="J332">
        <v>94.82</v>
      </c>
      <c r="K332">
        <v>98</v>
      </c>
      <c r="L332">
        <v>62.07</v>
      </c>
      <c r="M332">
        <v>87</v>
      </c>
      <c r="N332">
        <v>23.45</v>
      </c>
      <c r="O332">
        <v>86</v>
      </c>
      <c r="P332">
        <v>-35.67</v>
      </c>
      <c r="Q332">
        <v>91</v>
      </c>
      <c r="R332">
        <v>8.4700000000000006</v>
      </c>
      <c r="S332">
        <v>85</v>
      </c>
      <c r="T332">
        <v>46.09</v>
      </c>
      <c r="U332">
        <v>91</v>
      </c>
      <c r="V332">
        <v>1.75</v>
      </c>
      <c r="W332">
        <v>87</v>
      </c>
      <c r="X332" t="s">
        <v>94</v>
      </c>
      <c r="Y332" t="s">
        <v>95</v>
      </c>
      <c r="Z332">
        <v>0</v>
      </c>
      <c r="AA332" t="s">
        <v>8129</v>
      </c>
      <c r="AB332" t="s">
        <v>12322</v>
      </c>
      <c r="AC332">
        <v>115</v>
      </c>
      <c r="AD332">
        <v>38</v>
      </c>
      <c r="AE332">
        <v>98</v>
      </c>
      <c r="AF332">
        <v>-279.10000000000002</v>
      </c>
      <c r="AG332">
        <v>18.61</v>
      </c>
      <c r="AH332">
        <v>5.27</v>
      </c>
      <c r="AI332">
        <v>0.54</v>
      </c>
      <c r="AJ332">
        <v>0.27</v>
      </c>
      <c r="AK332">
        <v>87</v>
      </c>
      <c r="AL332">
        <v>142</v>
      </c>
      <c r="AM332">
        <v>45</v>
      </c>
      <c r="AN332">
        <v>-2.61</v>
      </c>
      <c r="AO332">
        <v>2.35</v>
      </c>
      <c r="AP332">
        <v>106</v>
      </c>
      <c r="AQ332">
        <v>41</v>
      </c>
      <c r="AR332">
        <v>3.65</v>
      </c>
      <c r="AS332">
        <v>81</v>
      </c>
      <c r="AT332">
        <v>1.68</v>
      </c>
      <c r="AU332">
        <v>82</v>
      </c>
      <c r="AV332">
        <v>-0.86</v>
      </c>
      <c r="AW332">
        <v>95</v>
      </c>
      <c r="AX332">
        <v>0.25</v>
      </c>
      <c r="AY332">
        <v>84</v>
      </c>
      <c r="AZ332">
        <v>6.03</v>
      </c>
      <c r="BA332">
        <v>66</v>
      </c>
      <c r="BB332">
        <v>5.39</v>
      </c>
      <c r="BC332">
        <v>72</v>
      </c>
      <c r="BD332">
        <v>-0.1</v>
      </c>
      <c r="BE332">
        <v>-0.02</v>
      </c>
      <c r="BF332">
        <v>0.01</v>
      </c>
      <c r="BG332">
        <v>91</v>
      </c>
      <c r="BH332">
        <v>0.22</v>
      </c>
      <c r="BI332">
        <v>19.79</v>
      </c>
      <c r="BJ332">
        <v>18</v>
      </c>
      <c r="BK332">
        <v>8</v>
      </c>
      <c r="BL332">
        <v>-3.39</v>
      </c>
      <c r="BM332">
        <v>-2.4500000000000002</v>
      </c>
      <c r="BN332">
        <v>-0.73</v>
      </c>
      <c r="BO332">
        <v>1.1499999999999999</v>
      </c>
      <c r="BP332">
        <v>-1.97</v>
      </c>
      <c r="BQ332">
        <v>-7.3</v>
      </c>
      <c r="BR332">
        <v>3.7</v>
      </c>
      <c r="BS332">
        <v>4.66</v>
      </c>
      <c r="BT332">
        <v>-2.89</v>
      </c>
      <c r="BU332">
        <v>-1.07</v>
      </c>
      <c r="BV332">
        <v>-0.13</v>
      </c>
      <c r="BW332">
        <v>-2.36</v>
      </c>
      <c r="BX332">
        <v>-4.37</v>
      </c>
      <c r="BY332">
        <v>-0.54</v>
      </c>
      <c r="BZ332">
        <v>-1.03</v>
      </c>
      <c r="CA332">
        <v>0.61</v>
      </c>
      <c r="CB332">
        <v>-0.16</v>
      </c>
      <c r="CC332">
        <v>2.02</v>
      </c>
      <c r="CD332">
        <v>-2.14</v>
      </c>
      <c r="CE332">
        <v>1.04</v>
      </c>
      <c r="CF332">
        <v>-4.08</v>
      </c>
      <c r="CG332">
        <v>0</v>
      </c>
      <c r="CH332">
        <v>-0.6</v>
      </c>
      <c r="CI332">
        <v>0</v>
      </c>
      <c r="CJ332">
        <v>-15.9</v>
      </c>
      <c r="CK332">
        <v>92</v>
      </c>
      <c r="CL332">
        <v>-0.62</v>
      </c>
      <c r="CM332">
        <v>91</v>
      </c>
      <c r="CN332">
        <v>0.11</v>
      </c>
      <c r="CO332">
        <v>89</v>
      </c>
      <c r="CP332">
        <v>-40.299999999999997</v>
      </c>
      <c r="CQ332">
        <v>89</v>
      </c>
      <c r="CR332">
        <v>0</v>
      </c>
      <c r="CS332">
        <v>0</v>
      </c>
      <c r="CT332">
        <v>-48.5</v>
      </c>
      <c r="CU332">
        <v>91</v>
      </c>
      <c r="CV332">
        <v>-7.0000000000000007E-2</v>
      </c>
      <c r="CW332">
        <v>44</v>
      </c>
      <c r="CX332" t="s">
        <v>514</v>
      </c>
    </row>
    <row r="333" spans="1:102" x14ac:dyDescent="0.3">
      <c r="A333" t="str">
        <f>HYPERLINK("https://webapp.icbf.com/v2/app/bull-search/view/953373632","RPA")</f>
        <v>RPA</v>
      </c>
      <c r="B333" t="s">
        <v>7872</v>
      </c>
      <c r="C333" t="s">
        <v>7873</v>
      </c>
      <c r="D333" s="1">
        <v>40964</v>
      </c>
      <c r="E333" t="s">
        <v>92</v>
      </c>
      <c r="F333">
        <v>72</v>
      </c>
      <c r="G333" t="s">
        <v>93</v>
      </c>
      <c r="H333">
        <v>200.95</v>
      </c>
      <c r="I333">
        <v>97</v>
      </c>
      <c r="J333">
        <v>86.56</v>
      </c>
      <c r="K333">
        <v>99</v>
      </c>
      <c r="L333">
        <v>70.86</v>
      </c>
      <c r="M333">
        <v>95</v>
      </c>
      <c r="N333">
        <v>58.23</v>
      </c>
      <c r="O333">
        <v>99</v>
      </c>
      <c r="P333">
        <v>-24.06</v>
      </c>
      <c r="Q333">
        <v>99</v>
      </c>
      <c r="R333">
        <v>0.68</v>
      </c>
      <c r="S333">
        <v>97</v>
      </c>
      <c r="T333">
        <v>3.17</v>
      </c>
      <c r="U333">
        <v>99</v>
      </c>
      <c r="V333">
        <v>5.51</v>
      </c>
      <c r="W333">
        <v>84</v>
      </c>
      <c r="X333" t="s">
        <v>94</v>
      </c>
      <c r="Y333" t="s">
        <v>1923</v>
      </c>
      <c r="Z333" t="s">
        <v>96</v>
      </c>
      <c r="AA333" t="s">
        <v>5742</v>
      </c>
      <c r="AB333" t="s">
        <v>7874</v>
      </c>
      <c r="AC333">
        <v>6049</v>
      </c>
      <c r="AD333">
        <v>1866</v>
      </c>
      <c r="AE333">
        <v>99</v>
      </c>
      <c r="AF333">
        <v>113.54</v>
      </c>
      <c r="AG333">
        <v>20.010000000000002</v>
      </c>
      <c r="AH333">
        <v>9.3800000000000008</v>
      </c>
      <c r="AI333">
        <v>0.27</v>
      </c>
      <c r="AJ333">
        <v>0.1</v>
      </c>
      <c r="AK333">
        <v>95</v>
      </c>
      <c r="AL333">
        <v>7081</v>
      </c>
      <c r="AM333">
        <v>2448</v>
      </c>
      <c r="AN333">
        <v>-3.91</v>
      </c>
      <c r="AO333">
        <v>1.74</v>
      </c>
      <c r="AP333">
        <v>11931</v>
      </c>
      <c r="AQ333">
        <v>94</v>
      </c>
      <c r="AR333">
        <v>5.64</v>
      </c>
      <c r="AS333">
        <v>99</v>
      </c>
      <c r="AT333">
        <v>2.2999999999999998</v>
      </c>
      <c r="AU333">
        <v>99</v>
      </c>
      <c r="AV333">
        <v>-5.35</v>
      </c>
      <c r="AW333">
        <v>99</v>
      </c>
      <c r="AX333">
        <v>-0.52</v>
      </c>
      <c r="AY333">
        <v>99</v>
      </c>
      <c r="AZ333">
        <v>5.24</v>
      </c>
      <c r="BA333">
        <v>99</v>
      </c>
      <c r="BB333">
        <v>4.6500000000000004</v>
      </c>
      <c r="BC333">
        <v>98</v>
      </c>
      <c r="BD333">
        <v>-0.04</v>
      </c>
      <c r="BE333">
        <v>-0.01</v>
      </c>
      <c r="BF333">
        <v>7.0000000000000007E-2</v>
      </c>
      <c r="BG333">
        <v>99</v>
      </c>
      <c r="BH333">
        <v>0.08</v>
      </c>
      <c r="BI333">
        <v>-8.5299999999999994</v>
      </c>
      <c r="BJ333">
        <v>187</v>
      </c>
      <c r="BK333">
        <v>57</v>
      </c>
      <c r="BL333">
        <v>-1.91</v>
      </c>
      <c r="BM333">
        <v>3.73</v>
      </c>
      <c r="BN333">
        <v>0.35</v>
      </c>
      <c r="BO333">
        <v>-2.2000000000000002</v>
      </c>
      <c r="BP333">
        <v>-1.43</v>
      </c>
      <c r="BQ333">
        <v>0.28000000000000003</v>
      </c>
      <c r="BR333">
        <v>-0.99</v>
      </c>
      <c r="BS333">
        <v>-1.63</v>
      </c>
      <c r="BT333">
        <v>0.26</v>
      </c>
      <c r="BU333">
        <v>-3.27</v>
      </c>
      <c r="BV333">
        <v>-2.66</v>
      </c>
      <c r="BW333">
        <v>-3.36</v>
      </c>
      <c r="BX333">
        <v>-4.1900000000000004</v>
      </c>
      <c r="BY333">
        <v>-3.4</v>
      </c>
      <c r="BZ333">
        <v>4.55</v>
      </c>
      <c r="CA333">
        <v>-3.01</v>
      </c>
      <c r="CB333">
        <v>-3.05</v>
      </c>
      <c r="CC333">
        <v>-1.38</v>
      </c>
      <c r="CD333">
        <v>2.0699999999999998</v>
      </c>
      <c r="CE333">
        <v>-1.96</v>
      </c>
      <c r="CF333">
        <v>-0.71</v>
      </c>
      <c r="CG333">
        <v>0</v>
      </c>
      <c r="CH333">
        <v>-3.16</v>
      </c>
      <c r="CI333">
        <v>0</v>
      </c>
      <c r="CJ333">
        <v>-12.2</v>
      </c>
      <c r="CK333">
        <v>99</v>
      </c>
      <c r="CL333">
        <v>-0.8</v>
      </c>
      <c r="CM333">
        <v>99</v>
      </c>
      <c r="CN333">
        <v>-0.21</v>
      </c>
      <c r="CO333">
        <v>99</v>
      </c>
      <c r="CP333">
        <v>-9.5</v>
      </c>
      <c r="CQ333">
        <v>99</v>
      </c>
      <c r="CR333">
        <v>0</v>
      </c>
      <c r="CS333">
        <v>0</v>
      </c>
      <c r="CT333">
        <v>9.5</v>
      </c>
      <c r="CU333">
        <v>99</v>
      </c>
      <c r="CV333">
        <v>0.09</v>
      </c>
      <c r="CW333">
        <v>51</v>
      </c>
      <c r="CX333" t="s">
        <v>3094</v>
      </c>
    </row>
    <row r="334" spans="1:102" x14ac:dyDescent="0.3">
      <c r="A334" t="str">
        <f>HYPERLINK("https://webapp.icbf.com/v2/app/bull-search/view/586052799","ORL")</f>
        <v>ORL</v>
      </c>
      <c r="B334" t="s">
        <v>14663</v>
      </c>
      <c r="C334" t="s">
        <v>6348</v>
      </c>
      <c r="D334" s="1">
        <v>38323</v>
      </c>
      <c r="E334" t="s">
        <v>92</v>
      </c>
      <c r="F334">
        <v>100</v>
      </c>
      <c r="G334" t="s">
        <v>93</v>
      </c>
      <c r="H334">
        <v>200.93</v>
      </c>
      <c r="I334">
        <v>98</v>
      </c>
      <c r="J334">
        <v>86.11</v>
      </c>
      <c r="K334">
        <v>99</v>
      </c>
      <c r="L334">
        <v>66.75</v>
      </c>
      <c r="M334">
        <v>96</v>
      </c>
      <c r="N334">
        <v>35.729999999999997</v>
      </c>
      <c r="O334">
        <v>99</v>
      </c>
      <c r="P334">
        <v>-6.07</v>
      </c>
      <c r="Q334">
        <v>99</v>
      </c>
      <c r="R334">
        <v>14.09</v>
      </c>
      <c r="S334">
        <v>96</v>
      </c>
      <c r="T334">
        <v>-2.82</v>
      </c>
      <c r="U334">
        <v>99</v>
      </c>
      <c r="V334">
        <v>7.14</v>
      </c>
      <c r="W334">
        <v>95</v>
      </c>
      <c r="X334" t="s">
        <v>276</v>
      </c>
      <c r="Y334" t="s">
        <v>282</v>
      </c>
      <c r="Z334" t="s">
        <v>96</v>
      </c>
      <c r="AA334" t="s">
        <v>316</v>
      </c>
      <c r="AB334" t="s">
        <v>144</v>
      </c>
      <c r="AC334">
        <v>3201</v>
      </c>
      <c r="AD334">
        <v>864</v>
      </c>
      <c r="AE334">
        <v>99</v>
      </c>
      <c r="AF334">
        <v>202.56</v>
      </c>
      <c r="AG334">
        <v>18.05</v>
      </c>
      <c r="AH334">
        <v>11.36</v>
      </c>
      <c r="AI334">
        <v>0.17</v>
      </c>
      <c r="AJ334">
        <v>0.08</v>
      </c>
      <c r="AK334">
        <v>96</v>
      </c>
      <c r="AL334">
        <v>3692</v>
      </c>
      <c r="AM334">
        <v>1083</v>
      </c>
      <c r="AN334">
        <v>-3.92</v>
      </c>
      <c r="AO334">
        <v>1.4</v>
      </c>
      <c r="AP334">
        <v>6120</v>
      </c>
      <c r="AQ334">
        <v>33</v>
      </c>
      <c r="AR334">
        <v>5.05</v>
      </c>
      <c r="AS334">
        <v>99</v>
      </c>
      <c r="AT334">
        <v>2.12</v>
      </c>
      <c r="AU334">
        <v>99</v>
      </c>
      <c r="AV334">
        <v>-2.19</v>
      </c>
      <c r="AW334">
        <v>99</v>
      </c>
      <c r="AX334">
        <v>-0.54</v>
      </c>
      <c r="AY334">
        <v>99</v>
      </c>
      <c r="AZ334">
        <v>5.85</v>
      </c>
      <c r="BA334">
        <v>97</v>
      </c>
      <c r="BB334">
        <v>4.46</v>
      </c>
      <c r="BC334">
        <v>97</v>
      </c>
      <c r="BD334">
        <v>-0.03</v>
      </c>
      <c r="BE334">
        <v>-0.06</v>
      </c>
      <c r="BF334">
        <v>-0.16</v>
      </c>
      <c r="BG334">
        <v>99</v>
      </c>
      <c r="BH334">
        <v>0.11</v>
      </c>
      <c r="BI334">
        <v>-10.31</v>
      </c>
      <c r="BJ334">
        <v>120</v>
      </c>
      <c r="BK334">
        <v>44</v>
      </c>
      <c r="BL334">
        <v>-0.03</v>
      </c>
      <c r="BM334">
        <v>3.26</v>
      </c>
      <c r="BN334">
        <v>0.53</v>
      </c>
      <c r="BO334">
        <v>-1.51</v>
      </c>
      <c r="BP334">
        <v>2.4</v>
      </c>
      <c r="BQ334">
        <v>0.7</v>
      </c>
      <c r="BR334">
        <v>-1.58</v>
      </c>
      <c r="BS334">
        <v>0.05</v>
      </c>
      <c r="BT334">
        <v>1.07</v>
      </c>
      <c r="BU334">
        <v>-0.93</v>
      </c>
      <c r="BV334">
        <v>-1.26</v>
      </c>
      <c r="BW334">
        <v>-1.05</v>
      </c>
      <c r="BX334">
        <v>-0.24</v>
      </c>
      <c r="BY334">
        <v>-1.1200000000000001</v>
      </c>
      <c r="BZ334">
        <v>-1.31</v>
      </c>
      <c r="CA334">
        <v>-0.5</v>
      </c>
      <c r="CB334">
        <v>-0.91</v>
      </c>
      <c r="CC334">
        <v>0.4</v>
      </c>
      <c r="CD334">
        <v>3.12</v>
      </c>
      <c r="CE334">
        <v>-1.7</v>
      </c>
      <c r="CF334">
        <v>1.06</v>
      </c>
      <c r="CG334">
        <v>0</v>
      </c>
      <c r="CH334">
        <v>-1.04</v>
      </c>
      <c r="CI334">
        <v>0</v>
      </c>
      <c r="CJ334">
        <v>1.2</v>
      </c>
      <c r="CK334">
        <v>99</v>
      </c>
      <c r="CL334">
        <v>-0.69</v>
      </c>
      <c r="CM334">
        <v>99</v>
      </c>
      <c r="CN334">
        <v>0.14000000000000001</v>
      </c>
      <c r="CO334">
        <v>99</v>
      </c>
      <c r="CP334">
        <v>6.9</v>
      </c>
      <c r="CQ334">
        <v>99</v>
      </c>
      <c r="CR334">
        <v>0</v>
      </c>
      <c r="CS334">
        <v>0</v>
      </c>
      <c r="CT334">
        <v>17.600000000000001</v>
      </c>
      <c r="CU334">
        <v>99</v>
      </c>
      <c r="CV334">
        <v>0.28999999999999998</v>
      </c>
      <c r="CW334">
        <v>49</v>
      </c>
      <c r="CX334" t="s">
        <v>1892</v>
      </c>
    </row>
    <row r="335" spans="1:102" x14ac:dyDescent="0.3">
      <c r="A335" t="str">
        <f>HYPERLINK("https://webapp.icbf.com/v2/app/bull-search/view/720517770","PSQ")</f>
        <v>PSQ</v>
      </c>
      <c r="B335" t="s">
        <v>12769</v>
      </c>
      <c r="C335" t="s">
        <v>5465</v>
      </c>
      <c r="D335" s="1">
        <v>39297</v>
      </c>
      <c r="E335" t="s">
        <v>227</v>
      </c>
      <c r="F335">
        <v>19</v>
      </c>
      <c r="G335" t="s">
        <v>93</v>
      </c>
      <c r="H335">
        <v>200.8</v>
      </c>
      <c r="I335">
        <v>98</v>
      </c>
      <c r="J335">
        <v>65.13</v>
      </c>
      <c r="K335">
        <v>99</v>
      </c>
      <c r="L335">
        <v>65.95</v>
      </c>
      <c r="M335">
        <v>96</v>
      </c>
      <c r="N335">
        <v>54.3</v>
      </c>
      <c r="O335">
        <v>99</v>
      </c>
      <c r="P335">
        <v>-38.25</v>
      </c>
      <c r="Q335">
        <v>99</v>
      </c>
      <c r="R335">
        <v>10.54</v>
      </c>
      <c r="S335">
        <v>96</v>
      </c>
      <c r="T335">
        <v>24.7</v>
      </c>
      <c r="U335">
        <v>99</v>
      </c>
      <c r="V335">
        <v>18.43</v>
      </c>
      <c r="W335">
        <v>93</v>
      </c>
      <c r="X335" t="s">
        <v>276</v>
      </c>
      <c r="Y335" t="s">
        <v>319</v>
      </c>
      <c r="Z335">
        <v>0</v>
      </c>
      <c r="AA335" t="s">
        <v>1700</v>
      </c>
      <c r="AB335" t="s">
        <v>144</v>
      </c>
      <c r="AC335">
        <v>5507</v>
      </c>
      <c r="AD335">
        <v>655</v>
      </c>
      <c r="AE335">
        <v>99</v>
      </c>
      <c r="AF335">
        <v>-61.17</v>
      </c>
      <c r="AG335">
        <v>9.1300000000000008</v>
      </c>
      <c r="AH335">
        <v>6.91</v>
      </c>
      <c r="AI335">
        <v>0.2</v>
      </c>
      <c r="AJ335">
        <v>0.16</v>
      </c>
      <c r="AK335">
        <v>96</v>
      </c>
      <c r="AL335">
        <v>2711</v>
      </c>
      <c r="AM335">
        <v>484</v>
      </c>
      <c r="AN335">
        <v>-2.76</v>
      </c>
      <c r="AO335">
        <v>2.5099999999999998</v>
      </c>
      <c r="AP335">
        <v>20262</v>
      </c>
      <c r="AQ335">
        <v>79</v>
      </c>
      <c r="AR335">
        <v>3.76</v>
      </c>
      <c r="AS335">
        <v>99</v>
      </c>
      <c r="AT335">
        <v>1.69</v>
      </c>
      <c r="AU335">
        <v>99</v>
      </c>
      <c r="AV335">
        <v>-4.62</v>
      </c>
      <c r="AW335">
        <v>99</v>
      </c>
      <c r="AX335">
        <v>-0.13</v>
      </c>
      <c r="AY335">
        <v>99</v>
      </c>
      <c r="AZ335">
        <v>6.5</v>
      </c>
      <c r="BA335">
        <v>98</v>
      </c>
      <c r="BB335">
        <v>5.19</v>
      </c>
      <c r="BC335">
        <v>97</v>
      </c>
      <c r="BD335">
        <v>-0.02</v>
      </c>
      <c r="BE335">
        <v>-0.01</v>
      </c>
      <c r="BF335">
        <v>-0.19</v>
      </c>
      <c r="BG335">
        <v>99</v>
      </c>
      <c r="BH335">
        <v>0.34</v>
      </c>
      <c r="BI335">
        <v>-20.12</v>
      </c>
      <c r="BJ335">
        <v>35</v>
      </c>
      <c r="BK335">
        <v>13</v>
      </c>
      <c r="BL335">
        <v>-2.2999999999999998</v>
      </c>
      <c r="BM335">
        <v>0.25</v>
      </c>
      <c r="BN335">
        <v>-0.09</v>
      </c>
      <c r="BO335">
        <v>-0.31</v>
      </c>
      <c r="BP335">
        <v>-3.51</v>
      </c>
      <c r="BQ335">
        <v>-2.64</v>
      </c>
      <c r="BR335">
        <v>0.92</v>
      </c>
      <c r="BS335">
        <v>4.7300000000000004</v>
      </c>
      <c r="BT335">
        <v>0.47</v>
      </c>
      <c r="BU335">
        <v>-0.48</v>
      </c>
      <c r="BV335">
        <v>-0.1</v>
      </c>
      <c r="BW335">
        <v>-2.09</v>
      </c>
      <c r="BX335">
        <v>-2.91</v>
      </c>
      <c r="BY335">
        <v>0.41</v>
      </c>
      <c r="BZ335">
        <v>-0.68</v>
      </c>
      <c r="CA335">
        <v>0.57999999999999996</v>
      </c>
      <c r="CB335">
        <v>-0.68</v>
      </c>
      <c r="CC335">
        <v>2.93</v>
      </c>
      <c r="CD335">
        <v>0.5</v>
      </c>
      <c r="CE335">
        <v>-0.06</v>
      </c>
      <c r="CF335">
        <v>-1.87</v>
      </c>
      <c r="CG335">
        <v>0</v>
      </c>
      <c r="CH335">
        <v>-0.34</v>
      </c>
      <c r="CI335">
        <v>0</v>
      </c>
      <c r="CJ335">
        <v>-20.9</v>
      </c>
      <c r="CK335">
        <v>99</v>
      </c>
      <c r="CL335">
        <v>-0.78</v>
      </c>
      <c r="CM335">
        <v>99</v>
      </c>
      <c r="CN335">
        <v>-0.25</v>
      </c>
      <c r="CO335">
        <v>99</v>
      </c>
      <c r="CP335">
        <v>-28.6</v>
      </c>
      <c r="CQ335">
        <v>99</v>
      </c>
      <c r="CR335">
        <v>0</v>
      </c>
      <c r="CS335">
        <v>0</v>
      </c>
      <c r="CT335">
        <v>-19.600000000000001</v>
      </c>
      <c r="CU335">
        <v>99</v>
      </c>
      <c r="CV335">
        <v>0.05</v>
      </c>
      <c r="CW335">
        <v>51</v>
      </c>
      <c r="CX335" t="s">
        <v>4975</v>
      </c>
    </row>
    <row r="336" spans="1:102" x14ac:dyDescent="0.3">
      <c r="A336" t="str">
        <f>HYPERLINK("https://webapp.icbf.com/v2/app/bull-search/view/1145135378","THM")</f>
        <v>THM</v>
      </c>
      <c r="B336" t="s">
        <v>6827</v>
      </c>
      <c r="C336" t="s">
        <v>6828</v>
      </c>
      <c r="D336" s="1">
        <v>41688</v>
      </c>
      <c r="E336" t="s">
        <v>92</v>
      </c>
      <c r="F336">
        <v>78</v>
      </c>
      <c r="G336" t="s">
        <v>93</v>
      </c>
      <c r="H336">
        <v>200.73</v>
      </c>
      <c r="I336">
        <v>84</v>
      </c>
      <c r="J336">
        <v>122.57</v>
      </c>
      <c r="K336">
        <v>97</v>
      </c>
      <c r="L336">
        <v>40.86</v>
      </c>
      <c r="M336">
        <v>74</v>
      </c>
      <c r="N336">
        <v>50.41</v>
      </c>
      <c r="O336">
        <v>86</v>
      </c>
      <c r="P336">
        <v>-6.97</v>
      </c>
      <c r="Q336">
        <v>93</v>
      </c>
      <c r="R336">
        <v>-11.03</v>
      </c>
      <c r="S336">
        <v>75</v>
      </c>
      <c r="T336">
        <v>-0.09</v>
      </c>
      <c r="U336">
        <v>79</v>
      </c>
      <c r="V336">
        <v>4.9800000000000004</v>
      </c>
      <c r="W336">
        <v>65</v>
      </c>
      <c r="X336" t="s">
        <v>94</v>
      </c>
      <c r="Y336" t="s">
        <v>389</v>
      </c>
      <c r="Z336" t="s">
        <v>96</v>
      </c>
      <c r="AA336" t="s">
        <v>6829</v>
      </c>
      <c r="AB336" t="s">
        <v>6830</v>
      </c>
      <c r="AC336">
        <v>146</v>
      </c>
      <c r="AD336">
        <v>86</v>
      </c>
      <c r="AE336">
        <v>97</v>
      </c>
      <c r="AF336">
        <v>264.32</v>
      </c>
      <c r="AG336">
        <v>20.5</v>
      </c>
      <c r="AH336">
        <v>17.64</v>
      </c>
      <c r="AI336">
        <v>0.17</v>
      </c>
      <c r="AJ336">
        <v>0.14000000000000001</v>
      </c>
      <c r="AK336">
        <v>74</v>
      </c>
      <c r="AL336">
        <v>92</v>
      </c>
      <c r="AM336">
        <v>64</v>
      </c>
      <c r="AN336">
        <v>-0.56000000000000005</v>
      </c>
      <c r="AO336">
        <v>2.72</v>
      </c>
      <c r="AP336">
        <v>367</v>
      </c>
      <c r="AQ336">
        <v>2</v>
      </c>
      <c r="AR336">
        <v>4.54</v>
      </c>
      <c r="AS336">
        <v>77</v>
      </c>
      <c r="AT336">
        <v>2.09</v>
      </c>
      <c r="AU336">
        <v>90</v>
      </c>
      <c r="AV336">
        <v>-4.91</v>
      </c>
      <c r="AW336">
        <v>98</v>
      </c>
      <c r="AX336">
        <v>-0.01</v>
      </c>
      <c r="AY336">
        <v>85</v>
      </c>
      <c r="AZ336">
        <v>6.7</v>
      </c>
      <c r="BA336">
        <v>71</v>
      </c>
      <c r="BB336">
        <v>5.56</v>
      </c>
      <c r="BC336">
        <v>52</v>
      </c>
      <c r="BD336">
        <v>0.01</v>
      </c>
      <c r="BE336">
        <v>0.03</v>
      </c>
      <c r="BF336">
        <v>0.18</v>
      </c>
      <c r="BG336">
        <v>87</v>
      </c>
      <c r="BH336">
        <v>-0.03</v>
      </c>
      <c r="BI336">
        <v>-19.55</v>
      </c>
      <c r="BJ336">
        <v>3</v>
      </c>
      <c r="BK336">
        <v>3</v>
      </c>
      <c r="BL336">
        <v>-1.81</v>
      </c>
      <c r="BM336">
        <v>2.35</v>
      </c>
      <c r="BN336">
        <v>-0.95</v>
      </c>
      <c r="BO336">
        <v>-2.4300000000000002</v>
      </c>
      <c r="BP336">
        <v>-0.72</v>
      </c>
      <c r="BQ336">
        <v>1.3</v>
      </c>
      <c r="BR336">
        <v>0.36</v>
      </c>
      <c r="BS336">
        <v>-0.56999999999999995</v>
      </c>
      <c r="BT336">
        <v>-1.1399999999999999</v>
      </c>
      <c r="BU336">
        <v>-1.92</v>
      </c>
      <c r="BV336">
        <v>-1.55</v>
      </c>
      <c r="BW336">
        <v>-1.2</v>
      </c>
      <c r="BX336">
        <v>-2.79</v>
      </c>
      <c r="BY336">
        <v>-1.37</v>
      </c>
      <c r="BZ336">
        <v>-0.81</v>
      </c>
      <c r="CA336">
        <v>-1.63</v>
      </c>
      <c r="CB336">
        <v>-1.9</v>
      </c>
      <c r="CC336">
        <v>-1.32</v>
      </c>
      <c r="CD336">
        <v>2.37</v>
      </c>
      <c r="CE336">
        <v>-1.66</v>
      </c>
      <c r="CF336">
        <v>-1.18</v>
      </c>
      <c r="CG336">
        <v>0</v>
      </c>
      <c r="CH336">
        <v>-0.95</v>
      </c>
      <c r="CI336">
        <v>0</v>
      </c>
      <c r="CJ336">
        <v>-3.4</v>
      </c>
      <c r="CK336">
        <v>95</v>
      </c>
      <c r="CL336">
        <v>-0.35</v>
      </c>
      <c r="CM336">
        <v>94</v>
      </c>
      <c r="CN336">
        <v>-0.16</v>
      </c>
      <c r="CO336">
        <v>93</v>
      </c>
      <c r="CP336">
        <v>-3.6</v>
      </c>
      <c r="CQ336">
        <v>74</v>
      </c>
      <c r="CR336">
        <v>0</v>
      </c>
      <c r="CS336">
        <v>0</v>
      </c>
      <c r="CT336">
        <v>13.9</v>
      </c>
      <c r="CU336">
        <v>79</v>
      </c>
      <c r="CV336">
        <v>-0.06</v>
      </c>
      <c r="CW336">
        <v>45</v>
      </c>
      <c r="CX336" t="s">
        <v>5742</v>
      </c>
    </row>
    <row r="337" spans="1:102" x14ac:dyDescent="0.3">
      <c r="A337" t="str">
        <f>HYPERLINK("https://webapp.icbf.com/v2/app/bull-search/view/1253638731","FR2427")</f>
        <v>FR2427</v>
      </c>
      <c r="B337" t="s">
        <v>13688</v>
      </c>
      <c r="C337" t="s">
        <v>13689</v>
      </c>
      <c r="D337" s="1">
        <v>42038</v>
      </c>
      <c r="E337" t="s">
        <v>92</v>
      </c>
      <c r="F337">
        <v>75</v>
      </c>
      <c r="G337" t="s">
        <v>93</v>
      </c>
      <c r="H337">
        <v>200.64</v>
      </c>
      <c r="I337">
        <v>84</v>
      </c>
      <c r="J337">
        <v>94.79</v>
      </c>
      <c r="K337">
        <v>96</v>
      </c>
      <c r="L337">
        <v>87.78</v>
      </c>
      <c r="M337">
        <v>74</v>
      </c>
      <c r="N337">
        <v>30.45</v>
      </c>
      <c r="O337">
        <v>86</v>
      </c>
      <c r="P337">
        <v>-19.7</v>
      </c>
      <c r="Q337">
        <v>90</v>
      </c>
      <c r="R337">
        <v>2.2200000000000002</v>
      </c>
      <c r="S337">
        <v>76</v>
      </c>
      <c r="T337">
        <v>4.0599999999999996</v>
      </c>
      <c r="U337">
        <v>79</v>
      </c>
      <c r="V337">
        <v>1.04</v>
      </c>
      <c r="W337">
        <v>70</v>
      </c>
      <c r="X337" t="s">
        <v>276</v>
      </c>
      <c r="Y337" t="s">
        <v>436</v>
      </c>
      <c r="Z337" t="s">
        <v>96</v>
      </c>
      <c r="AA337" t="s">
        <v>7873</v>
      </c>
      <c r="AB337" t="s">
        <v>13690</v>
      </c>
      <c r="AC337">
        <v>149</v>
      </c>
      <c r="AD337">
        <v>74</v>
      </c>
      <c r="AE337">
        <v>96</v>
      </c>
      <c r="AF337">
        <v>100.76</v>
      </c>
      <c r="AG337">
        <v>16.97</v>
      </c>
      <c r="AH337">
        <v>11.66</v>
      </c>
      <c r="AI337">
        <v>0.22</v>
      </c>
      <c r="AJ337">
        <v>0.14000000000000001</v>
      </c>
      <c r="AK337">
        <v>74</v>
      </c>
      <c r="AL337">
        <v>0</v>
      </c>
      <c r="AM337">
        <v>0</v>
      </c>
      <c r="AN337">
        <v>-4.79</v>
      </c>
      <c r="AO337">
        <v>2.21</v>
      </c>
      <c r="AP337">
        <v>550</v>
      </c>
      <c r="AQ337">
        <v>2</v>
      </c>
      <c r="AR337">
        <v>7.38</v>
      </c>
      <c r="AS337">
        <v>78</v>
      </c>
      <c r="AT337">
        <v>2.81</v>
      </c>
      <c r="AU337">
        <v>93</v>
      </c>
      <c r="AV337">
        <v>-3.06</v>
      </c>
      <c r="AW337">
        <v>98</v>
      </c>
      <c r="AX337">
        <v>-0.41</v>
      </c>
      <c r="AY337">
        <v>88</v>
      </c>
      <c r="AZ337">
        <v>5.53</v>
      </c>
      <c r="BA337">
        <v>72</v>
      </c>
      <c r="BB337">
        <v>4.8899999999999997</v>
      </c>
      <c r="BC337">
        <v>45</v>
      </c>
      <c r="BD337">
        <v>-0.06</v>
      </c>
      <c r="BE337">
        <v>0.01</v>
      </c>
      <c r="BF337">
        <v>0.03</v>
      </c>
      <c r="BG337">
        <v>87</v>
      </c>
      <c r="BH337">
        <v>0</v>
      </c>
      <c r="BI337">
        <v>-3.36</v>
      </c>
      <c r="BJ337">
        <v>0</v>
      </c>
      <c r="BK337">
        <v>0</v>
      </c>
      <c r="BL337">
        <v>-1.33</v>
      </c>
      <c r="BM337">
        <v>1.99</v>
      </c>
      <c r="BN337">
        <v>0.28999999999999998</v>
      </c>
      <c r="BO337">
        <v>-0.92</v>
      </c>
      <c r="BP337">
        <v>-1.83</v>
      </c>
      <c r="BQ337">
        <v>0.66</v>
      </c>
      <c r="BR337">
        <v>-0.09</v>
      </c>
      <c r="BS337">
        <v>0.42</v>
      </c>
      <c r="BT337">
        <v>0.1</v>
      </c>
      <c r="BU337">
        <v>-1.1499999999999999</v>
      </c>
      <c r="BV337">
        <v>-0.86</v>
      </c>
      <c r="BW337">
        <v>-1.79</v>
      </c>
      <c r="BX337">
        <v>-2</v>
      </c>
      <c r="BY337">
        <v>-1.6</v>
      </c>
      <c r="BZ337">
        <v>2.12</v>
      </c>
      <c r="CA337">
        <v>-1.1100000000000001</v>
      </c>
      <c r="CB337">
        <v>-1.1000000000000001</v>
      </c>
      <c r="CC337">
        <v>-0.06</v>
      </c>
      <c r="CD337">
        <v>0.83</v>
      </c>
      <c r="CE337">
        <v>-1.39</v>
      </c>
      <c r="CF337">
        <v>-1.2</v>
      </c>
      <c r="CG337">
        <v>0</v>
      </c>
      <c r="CH337">
        <v>-0.89</v>
      </c>
      <c r="CI337">
        <v>0</v>
      </c>
      <c r="CJ337">
        <v>-9.6</v>
      </c>
      <c r="CK337">
        <v>93</v>
      </c>
      <c r="CL337">
        <v>-0.89</v>
      </c>
      <c r="CM337">
        <v>91</v>
      </c>
      <c r="CN337">
        <v>-0.35</v>
      </c>
      <c r="CO337">
        <v>91</v>
      </c>
      <c r="CP337">
        <v>-9.1</v>
      </c>
      <c r="CQ337">
        <v>69</v>
      </c>
      <c r="CR337">
        <v>0</v>
      </c>
      <c r="CS337">
        <v>0</v>
      </c>
      <c r="CT337">
        <v>8.3000000000000007</v>
      </c>
      <c r="CU337">
        <v>79</v>
      </c>
      <c r="CV337">
        <v>7.0000000000000007E-2</v>
      </c>
      <c r="CW337">
        <v>46</v>
      </c>
      <c r="CX337" t="s">
        <v>1939</v>
      </c>
    </row>
    <row r="338" spans="1:102" x14ac:dyDescent="0.3">
      <c r="A338" t="str">
        <f>HYPERLINK("https://webapp.icbf.com/v2/app/bull-search/view/1040513906","JRE")</f>
        <v>JRE</v>
      </c>
      <c r="B338" t="s">
        <v>3066</v>
      </c>
      <c r="C338" t="s">
        <v>3067</v>
      </c>
      <c r="D338" s="1">
        <v>41304</v>
      </c>
      <c r="E338" t="s">
        <v>92</v>
      </c>
      <c r="F338">
        <v>84</v>
      </c>
      <c r="G338" t="s">
        <v>93</v>
      </c>
      <c r="H338">
        <v>200.62</v>
      </c>
      <c r="I338">
        <v>95</v>
      </c>
      <c r="J338">
        <v>66</v>
      </c>
      <c r="K338">
        <v>99</v>
      </c>
      <c r="L338">
        <v>110.99</v>
      </c>
      <c r="M338">
        <v>90</v>
      </c>
      <c r="N338">
        <v>31.08</v>
      </c>
      <c r="O338">
        <v>97</v>
      </c>
      <c r="P338">
        <v>-17.190000000000001</v>
      </c>
      <c r="Q338">
        <v>99</v>
      </c>
      <c r="R338">
        <v>0.28999999999999998</v>
      </c>
      <c r="S338">
        <v>91</v>
      </c>
      <c r="T338">
        <v>9.09</v>
      </c>
      <c r="U338">
        <v>97</v>
      </c>
      <c r="V338">
        <v>0.36</v>
      </c>
      <c r="W338">
        <v>81</v>
      </c>
      <c r="X338" t="s">
        <v>102</v>
      </c>
      <c r="Y338" t="s">
        <v>1976</v>
      </c>
      <c r="Z338" t="s">
        <v>96</v>
      </c>
      <c r="AA338" t="s">
        <v>2041</v>
      </c>
      <c r="AB338" t="s">
        <v>3068</v>
      </c>
      <c r="AC338">
        <v>1561</v>
      </c>
      <c r="AD338">
        <v>525</v>
      </c>
      <c r="AE338">
        <v>99</v>
      </c>
      <c r="AF338">
        <v>-122.77</v>
      </c>
      <c r="AG338">
        <v>9.5399999999999991</v>
      </c>
      <c r="AH338">
        <v>5.97</v>
      </c>
      <c r="AI338">
        <v>0.26</v>
      </c>
      <c r="AJ338">
        <v>0.18</v>
      </c>
      <c r="AK338">
        <v>90</v>
      </c>
      <c r="AL338">
        <v>1529</v>
      </c>
      <c r="AM338">
        <v>586</v>
      </c>
      <c r="AN338">
        <v>-5.37</v>
      </c>
      <c r="AO338">
        <v>3.49</v>
      </c>
      <c r="AP338">
        <v>3477</v>
      </c>
      <c r="AQ338">
        <v>36</v>
      </c>
      <c r="AR338">
        <v>5.41</v>
      </c>
      <c r="AS338">
        <v>98</v>
      </c>
      <c r="AT338">
        <v>2.33</v>
      </c>
      <c r="AU338">
        <v>99</v>
      </c>
      <c r="AV338">
        <v>-2.1</v>
      </c>
      <c r="AW338">
        <v>99</v>
      </c>
      <c r="AX338">
        <v>0.03</v>
      </c>
      <c r="AY338">
        <v>98</v>
      </c>
      <c r="AZ338">
        <v>5.62</v>
      </c>
      <c r="BA338">
        <v>95</v>
      </c>
      <c r="BB338">
        <v>4.59</v>
      </c>
      <c r="BC338">
        <v>88</v>
      </c>
      <c r="BD338">
        <v>-0.04</v>
      </c>
      <c r="BE338">
        <v>0</v>
      </c>
      <c r="BF338">
        <v>0.06</v>
      </c>
      <c r="BG338">
        <v>98</v>
      </c>
      <c r="BH338">
        <v>0.17</v>
      </c>
      <c r="BI338">
        <v>18.489999999999998</v>
      </c>
      <c r="BJ338">
        <v>29</v>
      </c>
      <c r="BK338">
        <v>14</v>
      </c>
      <c r="BL338">
        <v>-0.54</v>
      </c>
      <c r="BM338">
        <v>0.18</v>
      </c>
      <c r="BN338">
        <v>-0.97</v>
      </c>
      <c r="BO338">
        <v>-0.98</v>
      </c>
      <c r="BP338">
        <v>0.89</v>
      </c>
      <c r="BQ338">
        <v>-0.93</v>
      </c>
      <c r="BR338">
        <v>0.26</v>
      </c>
      <c r="BS338">
        <v>-1.36</v>
      </c>
      <c r="BT338">
        <v>-0.92</v>
      </c>
      <c r="BU338">
        <v>-0.17</v>
      </c>
      <c r="BV338">
        <v>-1.26</v>
      </c>
      <c r="BW338">
        <v>-0.69</v>
      </c>
      <c r="BX338">
        <v>0.26</v>
      </c>
      <c r="BY338">
        <v>0.17</v>
      </c>
      <c r="BZ338">
        <v>-2.38</v>
      </c>
      <c r="CA338">
        <v>-0.76</v>
      </c>
      <c r="CB338">
        <v>-0.7</v>
      </c>
      <c r="CC338">
        <v>-1.07</v>
      </c>
      <c r="CD338">
        <v>0.76</v>
      </c>
      <c r="CE338">
        <v>-1.02</v>
      </c>
      <c r="CF338">
        <v>-0.52</v>
      </c>
      <c r="CG338">
        <v>0</v>
      </c>
      <c r="CH338">
        <v>0.67</v>
      </c>
      <c r="CI338">
        <v>0</v>
      </c>
      <c r="CJ338">
        <v>-7.6</v>
      </c>
      <c r="CK338">
        <v>99</v>
      </c>
      <c r="CL338">
        <v>-0.67</v>
      </c>
      <c r="CM338">
        <v>99</v>
      </c>
      <c r="CN338">
        <v>-0.08</v>
      </c>
      <c r="CO338">
        <v>99</v>
      </c>
      <c r="CP338">
        <v>-4.8</v>
      </c>
      <c r="CQ338">
        <v>95</v>
      </c>
      <c r="CR338">
        <v>0</v>
      </c>
      <c r="CS338">
        <v>0</v>
      </c>
      <c r="CT338">
        <v>1.5</v>
      </c>
      <c r="CU338">
        <v>97</v>
      </c>
      <c r="CV338">
        <v>-0.03</v>
      </c>
      <c r="CW338">
        <v>48</v>
      </c>
      <c r="CX338" t="s">
        <v>3069</v>
      </c>
    </row>
    <row r="339" spans="1:102" x14ac:dyDescent="0.3">
      <c r="A339" t="str">
        <f>HYPERLINK("https://webapp.icbf.com/v2/app/bull-search/view/69092860","VAA")</f>
        <v>VAA</v>
      </c>
      <c r="B339" t="s">
        <v>9810</v>
      </c>
      <c r="C339" t="s">
        <v>1446</v>
      </c>
      <c r="D339" s="1">
        <v>34188</v>
      </c>
      <c r="E339" t="s">
        <v>395</v>
      </c>
      <c r="F339">
        <v>0</v>
      </c>
      <c r="G339" t="s">
        <v>93</v>
      </c>
      <c r="H339">
        <v>200.54</v>
      </c>
      <c r="I339">
        <v>86</v>
      </c>
      <c r="J339">
        <v>-31.97</v>
      </c>
      <c r="K339">
        <v>95</v>
      </c>
      <c r="L339">
        <v>131.06</v>
      </c>
      <c r="M339">
        <v>82</v>
      </c>
      <c r="N339">
        <v>41.94</v>
      </c>
      <c r="O339">
        <v>79</v>
      </c>
      <c r="P339">
        <v>-1.26</v>
      </c>
      <c r="Q339">
        <v>86</v>
      </c>
      <c r="R339">
        <v>24.54</v>
      </c>
      <c r="S339">
        <v>70</v>
      </c>
      <c r="T339">
        <v>36.99</v>
      </c>
      <c r="U339">
        <v>88</v>
      </c>
      <c r="V339">
        <v>-0.76</v>
      </c>
      <c r="W339">
        <v>67</v>
      </c>
      <c r="X339" t="s">
        <v>94</v>
      </c>
      <c r="Y339" t="s">
        <v>95</v>
      </c>
      <c r="Z339">
        <v>0</v>
      </c>
      <c r="AA339" t="s">
        <v>9811</v>
      </c>
      <c r="AB339" t="s">
        <v>9812</v>
      </c>
      <c r="AC339">
        <v>75</v>
      </c>
      <c r="AD339">
        <v>34</v>
      </c>
      <c r="AE339">
        <v>95</v>
      </c>
      <c r="AF339">
        <v>-207.79</v>
      </c>
      <c r="AG339">
        <v>-11.44</v>
      </c>
      <c r="AH339">
        <v>-4.57</v>
      </c>
      <c r="AI339">
        <v>-0.06</v>
      </c>
      <c r="AJ339">
        <v>0.04</v>
      </c>
      <c r="AK339">
        <v>82</v>
      </c>
      <c r="AL339">
        <v>79</v>
      </c>
      <c r="AM339">
        <v>29</v>
      </c>
      <c r="AN339">
        <v>-6.53</v>
      </c>
      <c r="AO339">
        <v>3.93</v>
      </c>
      <c r="AP339">
        <v>46</v>
      </c>
      <c r="AQ339">
        <v>1</v>
      </c>
      <c r="AR339">
        <v>3.84</v>
      </c>
      <c r="AS339">
        <v>51</v>
      </c>
      <c r="AT339">
        <v>1.57</v>
      </c>
      <c r="AU339">
        <v>89</v>
      </c>
      <c r="AV339">
        <v>-2.25</v>
      </c>
      <c r="AW339">
        <v>87</v>
      </c>
      <c r="AX339">
        <v>-0.64</v>
      </c>
      <c r="AY339">
        <v>77</v>
      </c>
      <c r="AZ339">
        <v>4.76</v>
      </c>
      <c r="BA339">
        <v>48</v>
      </c>
      <c r="BB339">
        <v>4.76</v>
      </c>
      <c r="BC339">
        <v>63</v>
      </c>
      <c r="BD339">
        <v>-0.05</v>
      </c>
      <c r="BE339">
        <v>-0.09</v>
      </c>
      <c r="BF339">
        <v>-0.31</v>
      </c>
      <c r="BG339">
        <v>82</v>
      </c>
      <c r="BH339">
        <v>-0.12</v>
      </c>
      <c r="BI339">
        <v>-11.43</v>
      </c>
      <c r="BJ339">
        <v>0</v>
      </c>
      <c r="BK339">
        <v>0</v>
      </c>
      <c r="BL339">
        <v>-2.02</v>
      </c>
      <c r="BM339">
        <v>1.05</v>
      </c>
      <c r="BN339">
        <v>-2.06</v>
      </c>
      <c r="BO339">
        <v>-2.2200000000000002</v>
      </c>
      <c r="BP339">
        <v>2.44</v>
      </c>
      <c r="BQ339">
        <v>-1.1200000000000001</v>
      </c>
      <c r="BR339">
        <v>0.42</v>
      </c>
      <c r="BS339">
        <v>0.26</v>
      </c>
      <c r="BT339">
        <v>-0.24</v>
      </c>
      <c r="BU339">
        <v>-0.56000000000000005</v>
      </c>
      <c r="BV339">
        <v>-2.0099999999999998</v>
      </c>
      <c r="BW339">
        <v>-1.77</v>
      </c>
      <c r="BX339">
        <v>-0.25</v>
      </c>
      <c r="BY339">
        <v>-1.49</v>
      </c>
      <c r="BZ339">
        <v>-1.92</v>
      </c>
      <c r="CA339">
        <v>-1.31</v>
      </c>
      <c r="CB339">
        <v>-1.94</v>
      </c>
      <c r="CC339">
        <v>0.32</v>
      </c>
      <c r="CD339">
        <v>1.69</v>
      </c>
      <c r="CE339">
        <v>-2.46</v>
      </c>
      <c r="CF339">
        <v>-2.67</v>
      </c>
      <c r="CG339">
        <v>0</v>
      </c>
      <c r="CH339">
        <v>-2.1</v>
      </c>
      <c r="CI339">
        <v>0</v>
      </c>
      <c r="CJ339">
        <v>-2.2000000000000002</v>
      </c>
      <c r="CK339">
        <v>87</v>
      </c>
      <c r="CL339">
        <v>0.22</v>
      </c>
      <c r="CM339">
        <v>84</v>
      </c>
      <c r="CN339">
        <v>-0.11</v>
      </c>
      <c r="CO339">
        <v>82</v>
      </c>
      <c r="CP339">
        <v>-11.9</v>
      </c>
      <c r="CQ339">
        <v>86</v>
      </c>
      <c r="CR339">
        <v>0</v>
      </c>
      <c r="CS339">
        <v>0</v>
      </c>
      <c r="CT339">
        <v>-36.200000000000003</v>
      </c>
      <c r="CU339">
        <v>88</v>
      </c>
      <c r="CV339">
        <v>-0.13</v>
      </c>
      <c r="CW339">
        <v>25</v>
      </c>
      <c r="CX339" t="s">
        <v>9813</v>
      </c>
    </row>
    <row r="340" spans="1:102" x14ac:dyDescent="0.3">
      <c r="A340" t="str">
        <f>HYPERLINK("https://webapp.icbf.com/v2/app/bull-search/view/393048350","HMY")</f>
        <v>HMY</v>
      </c>
      <c r="B340" t="s">
        <v>14862</v>
      </c>
      <c r="C340" t="s">
        <v>3094</v>
      </c>
      <c r="D340" s="1">
        <v>38387</v>
      </c>
      <c r="E340" t="s">
        <v>92</v>
      </c>
      <c r="F340">
        <v>97</v>
      </c>
      <c r="G340" t="s">
        <v>93</v>
      </c>
      <c r="H340">
        <v>200.52</v>
      </c>
      <c r="I340">
        <v>99</v>
      </c>
      <c r="J340">
        <v>95.44</v>
      </c>
      <c r="K340">
        <v>99</v>
      </c>
      <c r="L340">
        <v>41.83</v>
      </c>
      <c r="M340">
        <v>98</v>
      </c>
      <c r="N340">
        <v>58.39</v>
      </c>
      <c r="O340">
        <v>99</v>
      </c>
      <c r="P340">
        <v>-9.9499999999999993</v>
      </c>
      <c r="Q340">
        <v>99</v>
      </c>
      <c r="R340">
        <v>1.03</v>
      </c>
      <c r="S340">
        <v>99</v>
      </c>
      <c r="T340">
        <v>3.69</v>
      </c>
      <c r="U340">
        <v>99</v>
      </c>
      <c r="V340">
        <v>10.09</v>
      </c>
      <c r="W340">
        <v>98</v>
      </c>
      <c r="X340" t="s">
        <v>94</v>
      </c>
      <c r="Y340" t="s">
        <v>1164</v>
      </c>
      <c r="Z340" t="s">
        <v>96</v>
      </c>
      <c r="AA340" t="s">
        <v>4532</v>
      </c>
      <c r="AB340" t="s">
        <v>14863</v>
      </c>
      <c r="AC340">
        <v>19144</v>
      </c>
      <c r="AD340">
        <v>3728</v>
      </c>
      <c r="AE340">
        <v>99</v>
      </c>
      <c r="AF340">
        <v>-35.659999999999997</v>
      </c>
      <c r="AG340">
        <v>23.96</v>
      </c>
      <c r="AH340">
        <v>7.21</v>
      </c>
      <c r="AI340">
        <v>0.44</v>
      </c>
      <c r="AJ340">
        <v>0.15</v>
      </c>
      <c r="AK340">
        <v>98</v>
      </c>
      <c r="AL340">
        <v>22318</v>
      </c>
      <c r="AM340">
        <v>5315</v>
      </c>
      <c r="AN340">
        <v>-1.93</v>
      </c>
      <c r="AO340">
        <v>1.41</v>
      </c>
      <c r="AP340">
        <v>34696</v>
      </c>
      <c r="AQ340">
        <v>210</v>
      </c>
      <c r="AR340">
        <v>4.1399999999999997</v>
      </c>
      <c r="AS340">
        <v>99</v>
      </c>
      <c r="AT340">
        <v>1.72</v>
      </c>
      <c r="AU340">
        <v>99</v>
      </c>
      <c r="AV340">
        <v>-4.91</v>
      </c>
      <c r="AW340">
        <v>99</v>
      </c>
      <c r="AX340">
        <v>-0.6</v>
      </c>
      <c r="AY340">
        <v>99</v>
      </c>
      <c r="AZ340">
        <v>5.81</v>
      </c>
      <c r="BA340">
        <v>99</v>
      </c>
      <c r="BB340">
        <v>5.12</v>
      </c>
      <c r="BC340">
        <v>99</v>
      </c>
      <c r="BD340">
        <v>0.05</v>
      </c>
      <c r="BE340">
        <v>-0.03</v>
      </c>
      <c r="BF340">
        <v>-0.05</v>
      </c>
      <c r="BG340">
        <v>99</v>
      </c>
      <c r="BH340">
        <v>0.23</v>
      </c>
      <c r="BI340">
        <v>-5.93</v>
      </c>
      <c r="BJ340">
        <v>588</v>
      </c>
      <c r="BK340">
        <v>229</v>
      </c>
      <c r="BL340">
        <v>-0.18</v>
      </c>
      <c r="BM340">
        <v>0.28000000000000003</v>
      </c>
      <c r="BN340">
        <v>-0.32</v>
      </c>
      <c r="BO340">
        <v>-0.41</v>
      </c>
      <c r="BP340">
        <v>5.33</v>
      </c>
      <c r="BQ340">
        <v>-2</v>
      </c>
      <c r="BR340">
        <v>0.84</v>
      </c>
      <c r="BS340">
        <v>-2.79</v>
      </c>
      <c r="BT340">
        <v>-2.0099999999999998</v>
      </c>
      <c r="BU340">
        <v>-1.04</v>
      </c>
      <c r="BV340">
        <v>-1.82</v>
      </c>
      <c r="BW340">
        <v>-0.28999999999999998</v>
      </c>
      <c r="BX340">
        <v>-0.26</v>
      </c>
      <c r="BY340">
        <v>-1.41</v>
      </c>
      <c r="BZ340">
        <v>-1.04</v>
      </c>
      <c r="CA340">
        <v>-1.28</v>
      </c>
      <c r="CB340">
        <v>-0.75</v>
      </c>
      <c r="CC340">
        <v>-1.78</v>
      </c>
      <c r="CD340">
        <v>0.21</v>
      </c>
      <c r="CE340">
        <v>-0.44</v>
      </c>
      <c r="CF340">
        <v>-0.35</v>
      </c>
      <c r="CG340">
        <v>0</v>
      </c>
      <c r="CH340">
        <v>-1.33</v>
      </c>
      <c r="CI340">
        <v>0</v>
      </c>
      <c r="CJ340">
        <v>-2.7</v>
      </c>
      <c r="CK340">
        <v>99</v>
      </c>
      <c r="CL340">
        <v>-0.87</v>
      </c>
      <c r="CM340">
        <v>99</v>
      </c>
      <c r="CN340">
        <v>-0.28999999999999998</v>
      </c>
      <c r="CO340">
        <v>99</v>
      </c>
      <c r="CP340">
        <v>-4.3</v>
      </c>
      <c r="CQ340">
        <v>99</v>
      </c>
      <c r="CR340">
        <v>0</v>
      </c>
      <c r="CS340">
        <v>0</v>
      </c>
      <c r="CT340">
        <v>8.8000000000000007</v>
      </c>
      <c r="CU340">
        <v>99</v>
      </c>
      <c r="CV340">
        <v>0.28000000000000003</v>
      </c>
      <c r="CW340">
        <v>53</v>
      </c>
      <c r="CX340" t="s">
        <v>2775</v>
      </c>
    </row>
    <row r="341" spans="1:102" x14ac:dyDescent="0.3">
      <c r="A341" t="str">
        <f>HYPERLINK("https://webapp.icbf.com/v2/app/bull-search/view/910800153","OKT")</f>
        <v>OKT</v>
      </c>
      <c r="B341" t="s">
        <v>5637</v>
      </c>
      <c r="C341" t="s">
        <v>5638</v>
      </c>
      <c r="D341" s="1">
        <v>40384</v>
      </c>
      <c r="E341" t="s">
        <v>227</v>
      </c>
      <c r="F341">
        <v>0</v>
      </c>
      <c r="G341" t="s">
        <v>93</v>
      </c>
      <c r="H341">
        <v>200.39</v>
      </c>
      <c r="I341">
        <v>96</v>
      </c>
      <c r="J341">
        <v>142.52000000000001</v>
      </c>
      <c r="K341">
        <v>99</v>
      </c>
      <c r="L341">
        <v>30.58</v>
      </c>
      <c r="M341">
        <v>93</v>
      </c>
      <c r="N341">
        <v>38.44</v>
      </c>
      <c r="O341">
        <v>98</v>
      </c>
      <c r="P341">
        <v>-53.13</v>
      </c>
      <c r="Q341">
        <v>99</v>
      </c>
      <c r="R341">
        <v>0.56000000000000005</v>
      </c>
      <c r="S341">
        <v>92</v>
      </c>
      <c r="T341">
        <v>37.51</v>
      </c>
      <c r="U341">
        <v>99</v>
      </c>
      <c r="V341">
        <v>3.91</v>
      </c>
      <c r="W341">
        <v>81</v>
      </c>
      <c r="X341" t="s">
        <v>276</v>
      </c>
      <c r="Y341" t="s">
        <v>422</v>
      </c>
      <c r="Z341">
        <v>0</v>
      </c>
      <c r="AA341" t="s">
        <v>2276</v>
      </c>
      <c r="AB341" t="s">
        <v>5639</v>
      </c>
      <c r="AC341">
        <v>2115</v>
      </c>
      <c r="AD341">
        <v>348</v>
      </c>
      <c r="AE341">
        <v>99</v>
      </c>
      <c r="AF341">
        <v>-100.61</v>
      </c>
      <c r="AG341">
        <v>30.47</v>
      </c>
      <c r="AH341">
        <v>11.92</v>
      </c>
      <c r="AI341">
        <v>0.61</v>
      </c>
      <c r="AJ341">
        <v>0.27</v>
      </c>
      <c r="AK341">
        <v>93</v>
      </c>
      <c r="AL341">
        <v>1177</v>
      </c>
      <c r="AM341">
        <v>259</v>
      </c>
      <c r="AN341">
        <v>-0.01</v>
      </c>
      <c r="AO341">
        <v>2.4500000000000002</v>
      </c>
      <c r="AP341">
        <v>9340</v>
      </c>
      <c r="AQ341">
        <v>18</v>
      </c>
      <c r="AR341">
        <v>3.54</v>
      </c>
      <c r="AS341">
        <v>99</v>
      </c>
      <c r="AT341">
        <v>1.69</v>
      </c>
      <c r="AU341">
        <v>99</v>
      </c>
      <c r="AV341">
        <v>-2.54</v>
      </c>
      <c r="AW341">
        <v>99</v>
      </c>
      <c r="AX341">
        <v>1.04</v>
      </c>
      <c r="AY341">
        <v>99</v>
      </c>
      <c r="AZ341">
        <v>5.49</v>
      </c>
      <c r="BA341">
        <v>97</v>
      </c>
      <c r="BB341">
        <v>4.82</v>
      </c>
      <c r="BC341">
        <v>90</v>
      </c>
      <c r="BD341">
        <v>-0.06</v>
      </c>
      <c r="BE341">
        <v>0.03</v>
      </c>
      <c r="BF341">
        <v>0.03</v>
      </c>
      <c r="BG341">
        <v>98</v>
      </c>
      <c r="BH341">
        <v>0.17</v>
      </c>
      <c r="BI341">
        <v>7.05</v>
      </c>
      <c r="BJ341">
        <v>3</v>
      </c>
      <c r="BK341">
        <v>3</v>
      </c>
      <c r="BL341">
        <v>-2.96</v>
      </c>
      <c r="BM341">
        <v>-1.4</v>
      </c>
      <c r="BN341">
        <v>-0.05</v>
      </c>
      <c r="BO341">
        <v>1.22</v>
      </c>
      <c r="BP341">
        <v>-0.4</v>
      </c>
      <c r="BQ341">
        <v>-5.67</v>
      </c>
      <c r="BR341">
        <v>2.65</v>
      </c>
      <c r="BS341">
        <v>5.76</v>
      </c>
      <c r="BT341">
        <v>-1.65</v>
      </c>
      <c r="BU341">
        <v>-0.9</v>
      </c>
      <c r="BV341">
        <v>-0.26</v>
      </c>
      <c r="BW341">
        <v>-2.3199999999999998</v>
      </c>
      <c r="BX341">
        <v>-4.3099999999999996</v>
      </c>
      <c r="BY341">
        <v>-0.3</v>
      </c>
      <c r="BZ341">
        <v>-1.21</v>
      </c>
      <c r="CA341">
        <v>1.06</v>
      </c>
      <c r="CB341">
        <v>-0.42</v>
      </c>
      <c r="CC341">
        <v>3.84</v>
      </c>
      <c r="CD341">
        <v>-1.81</v>
      </c>
      <c r="CE341">
        <v>0.8</v>
      </c>
      <c r="CF341">
        <v>-2.82</v>
      </c>
      <c r="CG341">
        <v>0</v>
      </c>
      <c r="CH341">
        <v>-0.42</v>
      </c>
      <c r="CI341">
        <v>0</v>
      </c>
      <c r="CJ341">
        <v>-28.1</v>
      </c>
      <c r="CK341">
        <v>99</v>
      </c>
      <c r="CL341">
        <v>-0.85</v>
      </c>
      <c r="CM341">
        <v>99</v>
      </c>
      <c r="CN341">
        <v>0.01</v>
      </c>
      <c r="CO341">
        <v>99</v>
      </c>
      <c r="CP341">
        <v>-36.4</v>
      </c>
      <c r="CQ341">
        <v>94</v>
      </c>
      <c r="CR341">
        <v>0</v>
      </c>
      <c r="CS341">
        <v>0</v>
      </c>
      <c r="CT341">
        <v>-36.9</v>
      </c>
      <c r="CU341">
        <v>99</v>
      </c>
      <c r="CV341">
        <v>-0.34</v>
      </c>
      <c r="CW341">
        <v>50</v>
      </c>
      <c r="CX341" t="s">
        <v>1634</v>
      </c>
    </row>
    <row r="342" spans="1:102" x14ac:dyDescent="0.3">
      <c r="A342" t="str">
        <f>HYPERLINK("https://webapp.icbf.com/v2/app/bull-search/view/1354702926","JE4625")</f>
        <v>JE4625</v>
      </c>
      <c r="B342" t="s">
        <v>14025</v>
      </c>
      <c r="C342" t="s">
        <v>14026</v>
      </c>
      <c r="D342" s="1">
        <v>42406</v>
      </c>
      <c r="E342" t="s">
        <v>227</v>
      </c>
      <c r="F342">
        <v>0</v>
      </c>
      <c r="G342" t="s">
        <v>435</v>
      </c>
      <c r="H342">
        <v>200.32</v>
      </c>
      <c r="I342">
        <v>67</v>
      </c>
      <c r="J342">
        <v>101.87</v>
      </c>
      <c r="K342">
        <v>85</v>
      </c>
      <c r="L342">
        <v>51.84</v>
      </c>
      <c r="M342">
        <v>66</v>
      </c>
      <c r="N342">
        <v>44.22</v>
      </c>
      <c r="O342">
        <v>49</v>
      </c>
      <c r="P342">
        <v>-58.27</v>
      </c>
      <c r="Q342">
        <v>53</v>
      </c>
      <c r="R342">
        <v>-2.0499999999999998</v>
      </c>
      <c r="S342">
        <v>65</v>
      </c>
      <c r="T342">
        <v>54.01</v>
      </c>
      <c r="U342">
        <v>39</v>
      </c>
      <c r="V342">
        <v>8.6999999999999993</v>
      </c>
      <c r="W342">
        <v>64</v>
      </c>
      <c r="X342" t="s">
        <v>276</v>
      </c>
      <c r="Y342" t="s">
        <v>2384</v>
      </c>
      <c r="Z342">
        <v>0</v>
      </c>
      <c r="AA342" t="s">
        <v>2325</v>
      </c>
      <c r="AB342" t="s">
        <v>7745</v>
      </c>
      <c r="AC342">
        <v>0</v>
      </c>
      <c r="AD342">
        <v>0</v>
      </c>
      <c r="AE342">
        <v>85</v>
      </c>
      <c r="AF342">
        <v>-139.36000000000001</v>
      </c>
      <c r="AG342">
        <v>21.94</v>
      </c>
      <c r="AH342">
        <v>7.43</v>
      </c>
      <c r="AI342">
        <v>0.48</v>
      </c>
      <c r="AJ342">
        <v>0.22</v>
      </c>
      <c r="AK342">
        <v>66</v>
      </c>
      <c r="AL342">
        <v>0</v>
      </c>
      <c r="AM342">
        <v>0</v>
      </c>
      <c r="AN342">
        <v>-1.6</v>
      </c>
      <c r="AO342">
        <v>2.5499999999999998</v>
      </c>
      <c r="AP342">
        <v>2</v>
      </c>
      <c r="AQ342">
        <v>0</v>
      </c>
      <c r="AR342">
        <v>2.9</v>
      </c>
      <c r="AS342">
        <v>56</v>
      </c>
      <c r="AT342">
        <v>1.3</v>
      </c>
      <c r="AU342">
        <v>58</v>
      </c>
      <c r="AV342">
        <v>-3.36</v>
      </c>
      <c r="AW342">
        <v>46</v>
      </c>
      <c r="AX342">
        <v>0.59</v>
      </c>
      <c r="AY342">
        <v>46</v>
      </c>
      <c r="AZ342">
        <v>7.19</v>
      </c>
      <c r="BA342">
        <v>43</v>
      </c>
      <c r="BB342">
        <v>5.27</v>
      </c>
      <c r="BC342">
        <v>42</v>
      </c>
      <c r="BD342">
        <v>-0.06</v>
      </c>
      <c r="BE342">
        <v>0.03</v>
      </c>
      <c r="BF342">
        <v>0.09</v>
      </c>
      <c r="BG342">
        <v>70</v>
      </c>
      <c r="BH342">
        <v>0.28999999999999998</v>
      </c>
      <c r="BI342">
        <v>5.47</v>
      </c>
      <c r="BJ342">
        <v>0</v>
      </c>
      <c r="BK342">
        <v>0</v>
      </c>
      <c r="BL342">
        <v>-2.91</v>
      </c>
      <c r="BM342">
        <v>-1.95</v>
      </c>
      <c r="BN342">
        <v>-0.24</v>
      </c>
      <c r="BO342">
        <v>1.33</v>
      </c>
      <c r="BP342">
        <v>-0.77</v>
      </c>
      <c r="BQ342">
        <v>-5.72</v>
      </c>
      <c r="BR342">
        <v>2.99</v>
      </c>
      <c r="BS342">
        <v>6.13</v>
      </c>
      <c r="BT342">
        <v>-1.41</v>
      </c>
      <c r="BU342">
        <v>-1.1599999999999999</v>
      </c>
      <c r="BV342">
        <v>-0.5</v>
      </c>
      <c r="BW342">
        <v>-2.56</v>
      </c>
      <c r="BX342">
        <v>-3.86</v>
      </c>
      <c r="BY342">
        <v>0</v>
      </c>
      <c r="BZ342">
        <v>-0.85</v>
      </c>
      <c r="CA342">
        <v>0.69</v>
      </c>
      <c r="CB342">
        <v>-0.85</v>
      </c>
      <c r="CC342">
        <v>3.67</v>
      </c>
      <c r="CD342">
        <v>-2.39</v>
      </c>
      <c r="CE342">
        <v>0.85</v>
      </c>
      <c r="CF342">
        <v>-3.17</v>
      </c>
      <c r="CG342">
        <v>0</v>
      </c>
      <c r="CH342">
        <v>-1.1499999999999999</v>
      </c>
      <c r="CI342">
        <v>0</v>
      </c>
      <c r="CJ342">
        <v>-29</v>
      </c>
      <c r="CK342">
        <v>56</v>
      </c>
      <c r="CL342">
        <v>-1.21</v>
      </c>
      <c r="CM342">
        <v>51</v>
      </c>
      <c r="CN342">
        <v>-0.1</v>
      </c>
      <c r="CO342">
        <v>50</v>
      </c>
      <c r="CP342">
        <v>-46.2</v>
      </c>
      <c r="CQ342">
        <v>41</v>
      </c>
      <c r="CR342">
        <v>0</v>
      </c>
      <c r="CS342">
        <v>0</v>
      </c>
      <c r="CT342">
        <v>-59.2</v>
      </c>
      <c r="CU342">
        <v>39</v>
      </c>
      <c r="CV342">
        <v>-0.22</v>
      </c>
      <c r="CW342">
        <v>36</v>
      </c>
      <c r="CX342" t="s">
        <v>7746</v>
      </c>
    </row>
    <row r="343" spans="1:102" x14ac:dyDescent="0.3">
      <c r="A343" t="str">
        <f>HYPERLINK("https://webapp.icbf.com/v2/app/bull-search/view/720498835","ABT")</f>
        <v>ABT</v>
      </c>
      <c r="B343" t="s">
        <v>12770</v>
      </c>
      <c r="C343" t="s">
        <v>2663</v>
      </c>
      <c r="D343" s="1">
        <v>39287</v>
      </c>
      <c r="E343" t="s">
        <v>227</v>
      </c>
      <c r="F343">
        <v>0</v>
      </c>
      <c r="G343" t="s">
        <v>93</v>
      </c>
      <c r="H343">
        <v>200.17</v>
      </c>
      <c r="I343">
        <v>96</v>
      </c>
      <c r="J343">
        <v>60.81</v>
      </c>
      <c r="K343">
        <v>99</v>
      </c>
      <c r="L343">
        <v>68.61</v>
      </c>
      <c r="M343">
        <v>93</v>
      </c>
      <c r="N343">
        <v>50.09</v>
      </c>
      <c r="O343">
        <v>98</v>
      </c>
      <c r="P343">
        <v>-47.72</v>
      </c>
      <c r="Q343">
        <v>99</v>
      </c>
      <c r="R343">
        <v>5.17</v>
      </c>
      <c r="S343">
        <v>93</v>
      </c>
      <c r="T343">
        <v>49.27</v>
      </c>
      <c r="U343">
        <v>99</v>
      </c>
      <c r="V343">
        <v>13.94</v>
      </c>
      <c r="W343">
        <v>92</v>
      </c>
      <c r="X343" t="s">
        <v>276</v>
      </c>
      <c r="Y343" t="s">
        <v>319</v>
      </c>
      <c r="Z343">
        <v>0</v>
      </c>
      <c r="AA343" t="s">
        <v>12771</v>
      </c>
      <c r="AB343" t="s">
        <v>144</v>
      </c>
      <c r="AC343">
        <v>786</v>
      </c>
      <c r="AD343">
        <v>167</v>
      </c>
      <c r="AE343">
        <v>99</v>
      </c>
      <c r="AF343">
        <v>-542.1</v>
      </c>
      <c r="AG343">
        <v>12.82</v>
      </c>
      <c r="AH343">
        <v>-2.4900000000000002</v>
      </c>
      <c r="AI343">
        <v>0.65</v>
      </c>
      <c r="AJ343">
        <v>0.31</v>
      </c>
      <c r="AK343">
        <v>93</v>
      </c>
      <c r="AL343">
        <v>815</v>
      </c>
      <c r="AM343">
        <v>183</v>
      </c>
      <c r="AN343">
        <v>-2.33</v>
      </c>
      <c r="AO343">
        <v>3.16</v>
      </c>
      <c r="AP343">
        <v>1390</v>
      </c>
      <c r="AQ343">
        <v>7</v>
      </c>
      <c r="AR343">
        <v>3.24</v>
      </c>
      <c r="AS343">
        <v>97</v>
      </c>
      <c r="AT343">
        <v>1.31</v>
      </c>
      <c r="AU343">
        <v>98</v>
      </c>
      <c r="AV343">
        <v>-3.98</v>
      </c>
      <c r="AW343">
        <v>99</v>
      </c>
      <c r="AX343">
        <v>0.48</v>
      </c>
      <c r="AY343">
        <v>97</v>
      </c>
      <c r="AZ343">
        <v>6.39</v>
      </c>
      <c r="BA343">
        <v>92</v>
      </c>
      <c r="BB343">
        <v>5.29</v>
      </c>
      <c r="BC343">
        <v>94</v>
      </c>
      <c r="BD343">
        <v>-0.06</v>
      </c>
      <c r="BE343">
        <v>-0.01</v>
      </c>
      <c r="BF343">
        <v>0</v>
      </c>
      <c r="BG343">
        <v>98</v>
      </c>
      <c r="BH343">
        <v>0.25</v>
      </c>
      <c r="BI343">
        <v>-16.059999999999999</v>
      </c>
      <c r="BJ343">
        <v>36</v>
      </c>
      <c r="BK343">
        <v>12</v>
      </c>
      <c r="BL343">
        <v>-2.9</v>
      </c>
      <c r="BM343">
        <v>-0.3</v>
      </c>
      <c r="BN343">
        <v>-0.39</v>
      </c>
      <c r="BO343">
        <v>0.15</v>
      </c>
      <c r="BP343">
        <v>1.53</v>
      </c>
      <c r="BQ343">
        <v>-4.55</v>
      </c>
      <c r="BR343">
        <v>4.51</v>
      </c>
      <c r="BS343">
        <v>6.71</v>
      </c>
      <c r="BT343">
        <v>-2.2200000000000002</v>
      </c>
      <c r="BU343">
        <v>-2.9</v>
      </c>
      <c r="BV343">
        <v>-2.96</v>
      </c>
      <c r="BW343">
        <v>-5.56</v>
      </c>
      <c r="BX343">
        <v>-5.39</v>
      </c>
      <c r="BY343">
        <v>-1.26</v>
      </c>
      <c r="BZ343">
        <v>-3.51</v>
      </c>
      <c r="CA343">
        <v>-0.39</v>
      </c>
      <c r="CB343">
        <v>-2.46</v>
      </c>
      <c r="CC343">
        <v>4.13</v>
      </c>
      <c r="CD343">
        <v>0.1</v>
      </c>
      <c r="CE343">
        <v>-0.8</v>
      </c>
      <c r="CF343">
        <v>-2.38</v>
      </c>
      <c r="CG343">
        <v>0</v>
      </c>
      <c r="CH343">
        <v>-3.28</v>
      </c>
      <c r="CI343">
        <v>0</v>
      </c>
      <c r="CJ343">
        <v>-25.2</v>
      </c>
      <c r="CK343">
        <v>99</v>
      </c>
      <c r="CL343">
        <v>-0.84</v>
      </c>
      <c r="CM343">
        <v>99</v>
      </c>
      <c r="CN343">
        <v>-0.14000000000000001</v>
      </c>
      <c r="CO343">
        <v>98</v>
      </c>
      <c r="CP343">
        <v>-39.4</v>
      </c>
      <c r="CQ343">
        <v>97</v>
      </c>
      <c r="CR343">
        <v>0</v>
      </c>
      <c r="CS343">
        <v>0</v>
      </c>
      <c r="CT343">
        <v>-52.8</v>
      </c>
      <c r="CU343">
        <v>99</v>
      </c>
      <c r="CV343">
        <v>-0.27</v>
      </c>
      <c r="CW343">
        <v>46</v>
      </c>
      <c r="CX343" t="s">
        <v>12772</v>
      </c>
    </row>
    <row r="344" spans="1:102" x14ac:dyDescent="0.3">
      <c r="A344" t="str">
        <f>HYPERLINK("https://webapp.icbf.com/v2/app/bull-search/view/953059388","YDE")</f>
        <v>YDE</v>
      </c>
      <c r="B344" t="s">
        <v>9237</v>
      </c>
      <c r="C344" t="s">
        <v>9238</v>
      </c>
      <c r="D344" s="1">
        <v>40959</v>
      </c>
      <c r="E344" t="s">
        <v>92</v>
      </c>
      <c r="F344">
        <v>56</v>
      </c>
      <c r="G344" t="s">
        <v>93</v>
      </c>
      <c r="H344">
        <v>200.01</v>
      </c>
      <c r="I344">
        <v>90</v>
      </c>
      <c r="J344">
        <v>90.1</v>
      </c>
      <c r="K344">
        <v>98</v>
      </c>
      <c r="L344">
        <v>83.87</v>
      </c>
      <c r="M344">
        <v>82</v>
      </c>
      <c r="N344">
        <v>23.75</v>
      </c>
      <c r="O344">
        <v>92</v>
      </c>
      <c r="P344">
        <v>-6.37</v>
      </c>
      <c r="Q344">
        <v>97</v>
      </c>
      <c r="R344">
        <v>1.1599999999999999</v>
      </c>
      <c r="S344">
        <v>83</v>
      </c>
      <c r="T344">
        <v>6.13</v>
      </c>
      <c r="U344">
        <v>89</v>
      </c>
      <c r="V344">
        <v>1.37</v>
      </c>
      <c r="W344">
        <v>79</v>
      </c>
      <c r="X344" t="s">
        <v>276</v>
      </c>
      <c r="Y344" t="s">
        <v>1923</v>
      </c>
      <c r="Z344" t="s">
        <v>96</v>
      </c>
      <c r="AA344" t="s">
        <v>1942</v>
      </c>
      <c r="AB344" t="s">
        <v>9239</v>
      </c>
      <c r="AC344">
        <v>243</v>
      </c>
      <c r="AD344">
        <v>106</v>
      </c>
      <c r="AE344">
        <v>98</v>
      </c>
      <c r="AF344">
        <v>-13.67</v>
      </c>
      <c r="AG344">
        <v>15.73</v>
      </c>
      <c r="AH344">
        <v>9.5500000000000007</v>
      </c>
      <c r="AI344">
        <v>0.28000000000000003</v>
      </c>
      <c r="AJ344">
        <v>0.18</v>
      </c>
      <c r="AK344">
        <v>82</v>
      </c>
      <c r="AL344">
        <v>228</v>
      </c>
      <c r="AM344">
        <v>109</v>
      </c>
      <c r="AN344">
        <v>-4.45</v>
      </c>
      <c r="AO344">
        <v>2.2400000000000002</v>
      </c>
      <c r="AP344">
        <v>933</v>
      </c>
      <c r="AQ344">
        <v>3</v>
      </c>
      <c r="AR344">
        <v>7.05</v>
      </c>
      <c r="AS344">
        <v>82</v>
      </c>
      <c r="AT344">
        <v>2.66</v>
      </c>
      <c r="AU344">
        <v>96</v>
      </c>
      <c r="AV344">
        <v>-2.09</v>
      </c>
      <c r="AW344">
        <v>99</v>
      </c>
      <c r="AX344">
        <v>-0.75</v>
      </c>
      <c r="AY344">
        <v>94</v>
      </c>
      <c r="AZ344">
        <v>7.11</v>
      </c>
      <c r="BA344">
        <v>77</v>
      </c>
      <c r="BB344">
        <v>4.8099999999999996</v>
      </c>
      <c r="BC344">
        <v>71</v>
      </c>
      <c r="BD344">
        <v>-0.04</v>
      </c>
      <c r="BE344">
        <v>0</v>
      </c>
      <c r="BF344">
        <v>0.04</v>
      </c>
      <c r="BG344">
        <v>92</v>
      </c>
      <c r="BH344">
        <v>0.06</v>
      </c>
      <c r="BI344">
        <v>2.5299999999999998</v>
      </c>
      <c r="BJ344">
        <v>13</v>
      </c>
      <c r="BK344">
        <v>3</v>
      </c>
      <c r="BL344">
        <v>-1.31</v>
      </c>
      <c r="BM344">
        <v>1.55</v>
      </c>
      <c r="BN344">
        <v>-1.0900000000000001</v>
      </c>
      <c r="BO344">
        <v>-1.46</v>
      </c>
      <c r="BP344">
        <v>5.17</v>
      </c>
      <c r="BQ344">
        <v>0.4</v>
      </c>
      <c r="BR344">
        <v>-2.2999999999999998</v>
      </c>
      <c r="BS344">
        <v>0.57999999999999996</v>
      </c>
      <c r="BT344">
        <v>1.54</v>
      </c>
      <c r="BU344">
        <v>-1.86</v>
      </c>
      <c r="BV344">
        <v>-1.93</v>
      </c>
      <c r="BW344">
        <v>-1.76</v>
      </c>
      <c r="BX344">
        <v>-1.44</v>
      </c>
      <c r="BY344">
        <v>-1.91</v>
      </c>
      <c r="BZ344">
        <v>-1.59</v>
      </c>
      <c r="CA344">
        <v>-1.05</v>
      </c>
      <c r="CB344">
        <v>-1.52</v>
      </c>
      <c r="CC344">
        <v>7.0000000000000007E-2</v>
      </c>
      <c r="CD344">
        <v>1.75</v>
      </c>
      <c r="CE344">
        <v>-0.77</v>
      </c>
      <c r="CF344">
        <v>-0.46</v>
      </c>
      <c r="CG344">
        <v>0</v>
      </c>
      <c r="CH344">
        <v>0.2</v>
      </c>
      <c r="CI344">
        <v>0</v>
      </c>
      <c r="CJ344">
        <v>-1.7</v>
      </c>
      <c r="CK344">
        <v>98</v>
      </c>
      <c r="CL344">
        <v>-0.4</v>
      </c>
      <c r="CM344">
        <v>97</v>
      </c>
      <c r="CN344">
        <v>-0.01</v>
      </c>
      <c r="CO344">
        <v>97</v>
      </c>
      <c r="CP344">
        <v>-0.1</v>
      </c>
      <c r="CQ344">
        <v>86</v>
      </c>
      <c r="CR344">
        <v>0</v>
      </c>
      <c r="CS344">
        <v>0</v>
      </c>
      <c r="CT344">
        <v>5.5</v>
      </c>
      <c r="CU344">
        <v>89</v>
      </c>
      <c r="CV344">
        <v>0.12</v>
      </c>
      <c r="CW344">
        <v>48</v>
      </c>
      <c r="CX344" t="s">
        <v>792</v>
      </c>
    </row>
    <row r="345" spans="1:102" x14ac:dyDescent="0.3">
      <c r="A345" t="str">
        <f>HYPERLINK("https://webapp.icbf.com/v2/app/bull-search/view/1126966051","FR2023")</f>
        <v>FR2023</v>
      </c>
      <c r="B345" t="s">
        <v>9359</v>
      </c>
      <c r="C345" t="s">
        <v>9360</v>
      </c>
      <c r="D345" s="1">
        <v>41592</v>
      </c>
      <c r="E345" t="s">
        <v>92</v>
      </c>
      <c r="F345">
        <v>94</v>
      </c>
      <c r="G345" t="s">
        <v>93</v>
      </c>
      <c r="H345">
        <v>199.33</v>
      </c>
      <c r="I345">
        <v>90</v>
      </c>
      <c r="J345">
        <v>79.53</v>
      </c>
      <c r="K345">
        <v>99</v>
      </c>
      <c r="L345">
        <v>89.45</v>
      </c>
      <c r="M345">
        <v>82</v>
      </c>
      <c r="N345">
        <v>36.979999999999997</v>
      </c>
      <c r="O345">
        <v>92</v>
      </c>
      <c r="P345">
        <v>-24.84</v>
      </c>
      <c r="Q345">
        <v>97</v>
      </c>
      <c r="R345">
        <v>3.33</v>
      </c>
      <c r="S345">
        <v>84</v>
      </c>
      <c r="T345">
        <v>12.27</v>
      </c>
      <c r="U345">
        <v>84</v>
      </c>
      <c r="V345">
        <v>2.61</v>
      </c>
      <c r="W345">
        <v>76</v>
      </c>
      <c r="X345" t="s">
        <v>94</v>
      </c>
      <c r="Y345" t="s">
        <v>416</v>
      </c>
      <c r="Z345" t="s">
        <v>96</v>
      </c>
      <c r="AA345" t="s">
        <v>5396</v>
      </c>
      <c r="AB345" t="s">
        <v>9361</v>
      </c>
      <c r="AC345">
        <v>692</v>
      </c>
      <c r="AD345">
        <v>312</v>
      </c>
      <c r="AE345">
        <v>99</v>
      </c>
      <c r="AF345">
        <v>-22.94</v>
      </c>
      <c r="AG345">
        <v>15.08</v>
      </c>
      <c r="AH345">
        <v>7.84</v>
      </c>
      <c r="AI345">
        <v>0.28000000000000003</v>
      </c>
      <c r="AJ345">
        <v>0.15</v>
      </c>
      <c r="AK345">
        <v>82</v>
      </c>
      <c r="AL345">
        <v>252</v>
      </c>
      <c r="AM345">
        <v>142</v>
      </c>
      <c r="AN345">
        <v>-4.4000000000000004</v>
      </c>
      <c r="AO345">
        <v>2.74</v>
      </c>
      <c r="AP345">
        <v>1679</v>
      </c>
      <c r="AQ345">
        <v>9</v>
      </c>
      <c r="AR345">
        <v>7.23</v>
      </c>
      <c r="AS345">
        <v>92</v>
      </c>
      <c r="AT345">
        <v>2.13</v>
      </c>
      <c r="AU345">
        <v>97</v>
      </c>
      <c r="AV345">
        <v>-3.13</v>
      </c>
      <c r="AW345">
        <v>99</v>
      </c>
      <c r="AX345">
        <v>0.02</v>
      </c>
      <c r="AY345">
        <v>96</v>
      </c>
      <c r="AZ345">
        <v>5.28</v>
      </c>
      <c r="BA345">
        <v>89</v>
      </c>
      <c r="BB345">
        <v>4.67</v>
      </c>
      <c r="BC345">
        <v>62</v>
      </c>
      <c r="BD345">
        <v>-0.04</v>
      </c>
      <c r="BE345">
        <v>0</v>
      </c>
      <c r="BF345">
        <v>-0.01</v>
      </c>
      <c r="BG345">
        <v>96</v>
      </c>
      <c r="BH345">
        <v>0.04</v>
      </c>
      <c r="BI345">
        <v>-3.79</v>
      </c>
      <c r="BJ345">
        <v>10</v>
      </c>
      <c r="BK345">
        <v>8</v>
      </c>
      <c r="BL345">
        <v>-1.25</v>
      </c>
      <c r="BM345">
        <v>-0.97</v>
      </c>
      <c r="BN345">
        <v>-1.48</v>
      </c>
      <c r="BO345">
        <v>-0.47</v>
      </c>
      <c r="BP345">
        <v>0.47</v>
      </c>
      <c r="BQ345">
        <v>-2.09</v>
      </c>
      <c r="BR345">
        <v>0.63</v>
      </c>
      <c r="BS345">
        <v>-1.31</v>
      </c>
      <c r="BT345">
        <v>-1.85</v>
      </c>
      <c r="BU345">
        <v>-2.3199999999999998</v>
      </c>
      <c r="BV345">
        <v>-2.04</v>
      </c>
      <c r="BW345">
        <v>-2.2599999999999998</v>
      </c>
      <c r="BX345">
        <v>-2.98</v>
      </c>
      <c r="BY345">
        <v>-1.51</v>
      </c>
      <c r="BZ345">
        <v>-0.03</v>
      </c>
      <c r="CA345">
        <v>-1.79</v>
      </c>
      <c r="CB345">
        <v>-1.95</v>
      </c>
      <c r="CC345">
        <v>-1.29</v>
      </c>
      <c r="CD345">
        <v>-0.15</v>
      </c>
      <c r="CE345">
        <v>-0.82</v>
      </c>
      <c r="CF345">
        <v>-1.72</v>
      </c>
      <c r="CG345">
        <v>0</v>
      </c>
      <c r="CH345">
        <v>-2.35</v>
      </c>
      <c r="CI345">
        <v>0</v>
      </c>
      <c r="CJ345">
        <v>-11.9</v>
      </c>
      <c r="CK345">
        <v>99</v>
      </c>
      <c r="CL345">
        <v>-0.79</v>
      </c>
      <c r="CM345">
        <v>98</v>
      </c>
      <c r="CN345">
        <v>-7.0000000000000007E-2</v>
      </c>
      <c r="CO345">
        <v>98</v>
      </c>
      <c r="CP345">
        <v>-7.2</v>
      </c>
      <c r="CQ345">
        <v>82</v>
      </c>
      <c r="CR345">
        <v>0</v>
      </c>
      <c r="CS345">
        <v>0</v>
      </c>
      <c r="CT345">
        <v>-2.8</v>
      </c>
      <c r="CU345">
        <v>84</v>
      </c>
      <c r="CV345">
        <v>-0.01</v>
      </c>
      <c r="CW345">
        <v>46</v>
      </c>
      <c r="CX345" t="s">
        <v>1861</v>
      </c>
    </row>
    <row r="346" spans="1:102" x14ac:dyDescent="0.3">
      <c r="A346" t="str">
        <f>HYPERLINK("https://webapp.icbf.com/v2/app/bull-search/view/1245786458","FR2234")</f>
        <v>FR2234</v>
      </c>
      <c r="B346" t="s">
        <v>6034</v>
      </c>
      <c r="C346" t="s">
        <v>6035</v>
      </c>
      <c r="D346" s="1">
        <v>42027</v>
      </c>
      <c r="E346" t="s">
        <v>92</v>
      </c>
      <c r="F346">
        <v>69</v>
      </c>
      <c r="G346" t="s">
        <v>93</v>
      </c>
      <c r="H346">
        <v>199.3</v>
      </c>
      <c r="I346">
        <v>89</v>
      </c>
      <c r="J346">
        <v>75.98</v>
      </c>
      <c r="K346">
        <v>99</v>
      </c>
      <c r="L346">
        <v>90.21</v>
      </c>
      <c r="M346">
        <v>78</v>
      </c>
      <c r="N346">
        <v>41.34</v>
      </c>
      <c r="O346">
        <v>91</v>
      </c>
      <c r="P346">
        <v>-7.6</v>
      </c>
      <c r="Q346">
        <v>97</v>
      </c>
      <c r="R346">
        <v>5.94</v>
      </c>
      <c r="S346">
        <v>83</v>
      </c>
      <c r="T346">
        <v>2.95</v>
      </c>
      <c r="U346">
        <v>90</v>
      </c>
      <c r="V346">
        <v>-9.52</v>
      </c>
      <c r="W346">
        <v>75</v>
      </c>
      <c r="X346" t="s">
        <v>94</v>
      </c>
      <c r="Y346" t="s">
        <v>416</v>
      </c>
      <c r="Z346" t="s">
        <v>96</v>
      </c>
      <c r="AA346" t="s">
        <v>2235</v>
      </c>
      <c r="AB346" t="s">
        <v>6036</v>
      </c>
      <c r="AC346">
        <v>764</v>
      </c>
      <c r="AD346">
        <v>339</v>
      </c>
      <c r="AE346">
        <v>99</v>
      </c>
      <c r="AF346">
        <v>-12.81</v>
      </c>
      <c r="AG346">
        <v>14.01</v>
      </c>
      <c r="AH346">
        <v>7.77</v>
      </c>
      <c r="AI346">
        <v>0.25</v>
      </c>
      <c r="AJ346">
        <v>0.14000000000000001</v>
      </c>
      <c r="AK346">
        <v>78</v>
      </c>
      <c r="AL346">
        <v>6</v>
      </c>
      <c r="AM346">
        <v>6</v>
      </c>
      <c r="AN346">
        <v>-4.4800000000000004</v>
      </c>
      <c r="AO346">
        <v>2.72</v>
      </c>
      <c r="AP346">
        <v>2605</v>
      </c>
      <c r="AQ346">
        <v>10</v>
      </c>
      <c r="AR346">
        <v>7.07</v>
      </c>
      <c r="AS346">
        <v>95</v>
      </c>
      <c r="AT346">
        <v>2.71</v>
      </c>
      <c r="AU346">
        <v>98</v>
      </c>
      <c r="AV346">
        <v>-4.41</v>
      </c>
      <c r="AW346">
        <v>99</v>
      </c>
      <c r="AX346">
        <v>-0.4</v>
      </c>
      <c r="AY346">
        <v>97</v>
      </c>
      <c r="AZ346">
        <v>6.25</v>
      </c>
      <c r="BA346">
        <v>89</v>
      </c>
      <c r="BB346">
        <v>4.97</v>
      </c>
      <c r="BC346">
        <v>46</v>
      </c>
      <c r="BD346">
        <v>-0.04</v>
      </c>
      <c r="BE346">
        <v>0</v>
      </c>
      <c r="BF346">
        <v>-7.0000000000000007E-2</v>
      </c>
      <c r="BG346">
        <v>96</v>
      </c>
      <c r="BH346">
        <v>-0.26</v>
      </c>
      <c r="BI346">
        <v>0.64</v>
      </c>
      <c r="BJ346">
        <v>1</v>
      </c>
      <c r="BK346">
        <v>1</v>
      </c>
      <c r="BL346">
        <v>-1.29</v>
      </c>
      <c r="BM346">
        <v>1.61</v>
      </c>
      <c r="BN346">
        <v>-0.66</v>
      </c>
      <c r="BO346">
        <v>-1.63</v>
      </c>
      <c r="BP346">
        <v>-7.0000000000000007E-2</v>
      </c>
      <c r="BQ346">
        <v>0.28999999999999998</v>
      </c>
      <c r="BR346">
        <v>0.63</v>
      </c>
      <c r="BS346">
        <v>-1.5</v>
      </c>
      <c r="BT346">
        <v>-1.55</v>
      </c>
      <c r="BU346">
        <v>-0.23</v>
      </c>
      <c r="BV346">
        <v>-0.63</v>
      </c>
      <c r="BW346">
        <v>-0.7</v>
      </c>
      <c r="BX346">
        <v>-0.73</v>
      </c>
      <c r="BY346">
        <v>-1.42</v>
      </c>
      <c r="BZ346">
        <v>1.22</v>
      </c>
      <c r="CA346">
        <v>-0.67</v>
      </c>
      <c r="CB346">
        <v>-0.25</v>
      </c>
      <c r="CC346">
        <v>-1.21</v>
      </c>
      <c r="CD346">
        <v>1.36</v>
      </c>
      <c r="CE346">
        <v>-1.19</v>
      </c>
      <c r="CF346">
        <v>-1.19</v>
      </c>
      <c r="CG346">
        <v>0</v>
      </c>
      <c r="CH346">
        <v>-1.64</v>
      </c>
      <c r="CI346">
        <v>0</v>
      </c>
      <c r="CJ346">
        <v>-2.1</v>
      </c>
      <c r="CK346">
        <v>99</v>
      </c>
      <c r="CL346">
        <v>-0.56000000000000005</v>
      </c>
      <c r="CM346">
        <v>99</v>
      </c>
      <c r="CN346">
        <v>-0.13</v>
      </c>
      <c r="CO346">
        <v>98</v>
      </c>
      <c r="CP346">
        <v>-3</v>
      </c>
      <c r="CQ346">
        <v>80</v>
      </c>
      <c r="CR346">
        <v>0</v>
      </c>
      <c r="CS346">
        <v>0</v>
      </c>
      <c r="CT346">
        <v>9.8000000000000007</v>
      </c>
      <c r="CU346">
        <v>90</v>
      </c>
      <c r="CV346">
        <v>0.16</v>
      </c>
      <c r="CW346">
        <v>50</v>
      </c>
      <c r="CX346" t="s">
        <v>5742</v>
      </c>
    </row>
    <row r="347" spans="1:102" x14ac:dyDescent="0.3">
      <c r="A347" t="str">
        <f>HYPERLINK("https://webapp.icbf.com/v2/app/bull-search/view/1276123659","FR2318")</f>
        <v>FR2318</v>
      </c>
      <c r="B347" t="s">
        <v>6095</v>
      </c>
      <c r="C347" t="s">
        <v>6096</v>
      </c>
      <c r="D347" s="1">
        <v>41509</v>
      </c>
      <c r="E347" t="s">
        <v>92</v>
      </c>
      <c r="F347">
        <v>100</v>
      </c>
      <c r="G347" t="s">
        <v>109</v>
      </c>
      <c r="H347">
        <v>199.21</v>
      </c>
      <c r="I347">
        <v>79</v>
      </c>
      <c r="J347">
        <v>86.37</v>
      </c>
      <c r="K347">
        <v>92</v>
      </c>
      <c r="L347">
        <v>30.85</v>
      </c>
      <c r="M347">
        <v>79</v>
      </c>
      <c r="N347">
        <v>48.48</v>
      </c>
      <c r="O347">
        <v>83</v>
      </c>
      <c r="P347">
        <v>10.69</v>
      </c>
      <c r="Q347">
        <v>75</v>
      </c>
      <c r="R347">
        <v>16.32</v>
      </c>
      <c r="S347">
        <v>71</v>
      </c>
      <c r="T347">
        <v>-2.38</v>
      </c>
      <c r="U347">
        <v>44</v>
      </c>
      <c r="V347">
        <v>8.8800000000000008</v>
      </c>
      <c r="W347">
        <v>56</v>
      </c>
      <c r="X347" t="s">
        <v>102</v>
      </c>
      <c r="Y347" t="s">
        <v>429</v>
      </c>
      <c r="Z347" t="s">
        <v>96</v>
      </c>
      <c r="AA347" t="s">
        <v>2094</v>
      </c>
      <c r="AB347" t="s">
        <v>6097</v>
      </c>
      <c r="AC347">
        <v>27</v>
      </c>
      <c r="AD347">
        <v>12</v>
      </c>
      <c r="AE347">
        <v>92</v>
      </c>
      <c r="AF347">
        <v>281.99</v>
      </c>
      <c r="AG347">
        <v>19.350000000000001</v>
      </c>
      <c r="AH347">
        <v>12.16</v>
      </c>
      <c r="AI347">
        <v>0.14000000000000001</v>
      </c>
      <c r="AJ347">
        <v>0.04</v>
      </c>
      <c r="AK347">
        <v>79</v>
      </c>
      <c r="AL347">
        <v>0</v>
      </c>
      <c r="AM347">
        <v>0</v>
      </c>
      <c r="AN347">
        <v>-0.15</v>
      </c>
      <c r="AO347">
        <v>2.33</v>
      </c>
      <c r="AP347">
        <v>339</v>
      </c>
      <c r="AQ347">
        <v>0</v>
      </c>
      <c r="AR347">
        <v>3.63</v>
      </c>
      <c r="AS347">
        <v>83</v>
      </c>
      <c r="AT347">
        <v>2.16</v>
      </c>
      <c r="AU347">
        <v>90</v>
      </c>
      <c r="AV347">
        <v>-3.95</v>
      </c>
      <c r="AW347">
        <v>96</v>
      </c>
      <c r="AX347">
        <v>-0.43</v>
      </c>
      <c r="AY347">
        <v>84</v>
      </c>
      <c r="AZ347">
        <v>6.25</v>
      </c>
      <c r="BA347">
        <v>50</v>
      </c>
      <c r="BB347">
        <v>5.03</v>
      </c>
      <c r="BC347">
        <v>36</v>
      </c>
      <c r="BD347">
        <v>-0.05</v>
      </c>
      <c r="BE347">
        <v>-0.08</v>
      </c>
      <c r="BF347">
        <v>-0.14000000000000001</v>
      </c>
      <c r="BG347">
        <v>87</v>
      </c>
      <c r="BH347">
        <v>0.16</v>
      </c>
      <c r="BI347">
        <v>-10.15</v>
      </c>
      <c r="BJ347">
        <v>0</v>
      </c>
      <c r="BK347">
        <v>0</v>
      </c>
      <c r="BL347">
        <v>-0.56999999999999995</v>
      </c>
      <c r="BM347">
        <v>0.72</v>
      </c>
      <c r="BN347">
        <v>-0.25</v>
      </c>
      <c r="BO347">
        <v>-0.6</v>
      </c>
      <c r="BP347">
        <v>-2.36</v>
      </c>
      <c r="BQ347">
        <v>0.35</v>
      </c>
      <c r="BR347">
        <v>0.68</v>
      </c>
      <c r="BS347">
        <v>1.32</v>
      </c>
      <c r="BT347">
        <v>-0.26</v>
      </c>
      <c r="BU347">
        <v>3.58</v>
      </c>
      <c r="BV347">
        <v>1.92</v>
      </c>
      <c r="BW347">
        <v>0.92</v>
      </c>
      <c r="BX347">
        <v>1.79</v>
      </c>
      <c r="BY347">
        <v>1.95</v>
      </c>
      <c r="BZ347">
        <v>-1.51</v>
      </c>
      <c r="CA347">
        <v>2</v>
      </c>
      <c r="CB347">
        <v>2.2999999999999998</v>
      </c>
      <c r="CC347">
        <v>0.96</v>
      </c>
      <c r="CD347">
        <v>1.77</v>
      </c>
      <c r="CE347">
        <v>0.27</v>
      </c>
      <c r="CF347">
        <v>0.35</v>
      </c>
      <c r="CG347">
        <v>0</v>
      </c>
      <c r="CH347">
        <v>1.57</v>
      </c>
      <c r="CI347">
        <v>0</v>
      </c>
      <c r="CJ347">
        <v>6.7</v>
      </c>
      <c r="CK347">
        <v>79</v>
      </c>
      <c r="CL347">
        <v>-0.6</v>
      </c>
      <c r="CM347">
        <v>74</v>
      </c>
      <c r="CN347">
        <v>-0.53</v>
      </c>
      <c r="CO347">
        <v>72</v>
      </c>
      <c r="CP347">
        <v>9.5</v>
      </c>
      <c r="CQ347">
        <v>50</v>
      </c>
      <c r="CR347">
        <v>0</v>
      </c>
      <c r="CS347">
        <v>0</v>
      </c>
      <c r="CT347">
        <v>17</v>
      </c>
      <c r="CU347">
        <v>44</v>
      </c>
      <c r="CV347">
        <v>0.23</v>
      </c>
      <c r="CW347">
        <v>42</v>
      </c>
      <c r="CX347" t="s">
        <v>2423</v>
      </c>
    </row>
    <row r="348" spans="1:102" x14ac:dyDescent="0.3">
      <c r="A348" t="str">
        <f>HYPERLINK("https://webapp.icbf.com/v2/app/bull-search/view/1360929293","FR4206")</f>
        <v>FR4206</v>
      </c>
      <c r="B348" t="s">
        <v>15506</v>
      </c>
      <c r="C348" t="s">
        <v>15507</v>
      </c>
      <c r="D348" s="1">
        <v>42403</v>
      </c>
      <c r="E348" t="s">
        <v>92</v>
      </c>
      <c r="F348">
        <v>78</v>
      </c>
      <c r="G348" t="s">
        <v>435</v>
      </c>
      <c r="H348">
        <v>199.11</v>
      </c>
      <c r="I348">
        <v>76</v>
      </c>
      <c r="J348">
        <v>77.67</v>
      </c>
      <c r="K348">
        <v>89</v>
      </c>
      <c r="L348">
        <v>61.54</v>
      </c>
      <c r="M348">
        <v>65</v>
      </c>
      <c r="N348">
        <v>46.8</v>
      </c>
      <c r="O348">
        <v>88</v>
      </c>
      <c r="P348">
        <v>-21.3</v>
      </c>
      <c r="Q348">
        <v>81</v>
      </c>
      <c r="R348">
        <v>11.42</v>
      </c>
      <c r="S348">
        <v>65</v>
      </c>
      <c r="T348">
        <v>19.600000000000001</v>
      </c>
      <c r="U348">
        <v>57</v>
      </c>
      <c r="V348">
        <v>3.38</v>
      </c>
      <c r="W348">
        <v>58</v>
      </c>
      <c r="X348" t="s">
        <v>234</v>
      </c>
      <c r="Y348" t="s">
        <v>2255</v>
      </c>
      <c r="Z348" t="s">
        <v>330</v>
      </c>
      <c r="AA348" t="s">
        <v>437</v>
      </c>
      <c r="AB348" t="s">
        <v>15508</v>
      </c>
      <c r="AC348">
        <v>1</v>
      </c>
      <c r="AD348">
        <v>1</v>
      </c>
      <c r="AE348">
        <v>89</v>
      </c>
      <c r="AF348">
        <v>36.090000000000003</v>
      </c>
      <c r="AG348">
        <v>18.04</v>
      </c>
      <c r="AH348">
        <v>7.38</v>
      </c>
      <c r="AI348">
        <v>0.28000000000000003</v>
      </c>
      <c r="AJ348">
        <v>0.11</v>
      </c>
      <c r="AK348">
        <v>65</v>
      </c>
      <c r="AL348">
        <v>0</v>
      </c>
      <c r="AM348">
        <v>0</v>
      </c>
      <c r="AN348">
        <v>-3.16</v>
      </c>
      <c r="AO348">
        <v>1.75</v>
      </c>
      <c r="AP348">
        <v>1592</v>
      </c>
      <c r="AQ348">
        <v>4</v>
      </c>
      <c r="AR348">
        <v>5.19</v>
      </c>
      <c r="AS348">
        <v>91</v>
      </c>
      <c r="AT348">
        <v>1.97</v>
      </c>
      <c r="AU348">
        <v>97</v>
      </c>
      <c r="AV348">
        <v>-4.49</v>
      </c>
      <c r="AW348">
        <v>99</v>
      </c>
      <c r="AX348">
        <v>-0.42</v>
      </c>
      <c r="AY348">
        <v>95</v>
      </c>
      <c r="AZ348">
        <v>7.06</v>
      </c>
      <c r="BA348">
        <v>46</v>
      </c>
      <c r="BB348">
        <v>5.61</v>
      </c>
      <c r="BC348">
        <v>45</v>
      </c>
      <c r="BD348">
        <v>-7.0000000000000007E-2</v>
      </c>
      <c r="BE348">
        <v>-0.04</v>
      </c>
      <c r="BF348">
        <v>-7.0000000000000007E-2</v>
      </c>
      <c r="BG348">
        <v>74</v>
      </c>
      <c r="BH348">
        <v>0.04</v>
      </c>
      <c r="BI348">
        <v>-6.26</v>
      </c>
      <c r="BJ348">
        <v>0</v>
      </c>
      <c r="BK348">
        <v>0</v>
      </c>
      <c r="BL348">
        <v>-1.36</v>
      </c>
      <c r="BM348">
        <v>-1.6</v>
      </c>
      <c r="BN348">
        <v>-1.42</v>
      </c>
      <c r="BO348">
        <v>-0.72</v>
      </c>
      <c r="BP348">
        <v>0.64</v>
      </c>
      <c r="BQ348">
        <v>-1.64</v>
      </c>
      <c r="BR348">
        <v>3.15</v>
      </c>
      <c r="BS348">
        <v>-0.93</v>
      </c>
      <c r="BT348">
        <v>-1.88</v>
      </c>
      <c r="BU348">
        <v>-0.75</v>
      </c>
      <c r="BV348">
        <v>0.12</v>
      </c>
      <c r="BW348">
        <v>0.26</v>
      </c>
      <c r="BX348">
        <v>-0.68</v>
      </c>
      <c r="BY348">
        <v>-0.35</v>
      </c>
      <c r="BZ348">
        <v>0.01</v>
      </c>
      <c r="CA348">
        <v>-0.57999999999999996</v>
      </c>
      <c r="CB348">
        <v>-0.28000000000000003</v>
      </c>
      <c r="CC348">
        <v>-0.76</v>
      </c>
      <c r="CD348">
        <v>0</v>
      </c>
      <c r="CE348">
        <v>-0.59</v>
      </c>
      <c r="CF348">
        <v>-1.78</v>
      </c>
      <c r="CG348">
        <v>0</v>
      </c>
      <c r="CH348">
        <v>-0.04</v>
      </c>
      <c r="CI348">
        <v>0</v>
      </c>
      <c r="CJ348">
        <v>-12.1</v>
      </c>
      <c r="CK348">
        <v>85</v>
      </c>
      <c r="CL348">
        <v>-0.82</v>
      </c>
      <c r="CM348">
        <v>80</v>
      </c>
      <c r="CN348">
        <v>-0.43</v>
      </c>
      <c r="CO348">
        <v>78</v>
      </c>
      <c r="CP348">
        <v>-7.8</v>
      </c>
      <c r="CQ348">
        <v>59</v>
      </c>
      <c r="CR348">
        <v>0</v>
      </c>
      <c r="CS348">
        <v>0</v>
      </c>
      <c r="CT348">
        <v>-12.7</v>
      </c>
      <c r="CU348">
        <v>57</v>
      </c>
      <c r="CV348">
        <v>0.02</v>
      </c>
      <c r="CW348">
        <v>44</v>
      </c>
      <c r="CX348" t="s">
        <v>2514</v>
      </c>
    </row>
    <row r="349" spans="1:102" x14ac:dyDescent="0.3">
      <c r="A349" t="str">
        <f>HYPERLINK("https://webapp.icbf.com/v2/app/bull-search/view/1522115196","FR4317")</f>
        <v>FR4317</v>
      </c>
      <c r="B349" t="s">
        <v>14560</v>
      </c>
      <c r="C349" t="s">
        <v>14561</v>
      </c>
      <c r="D349" s="1">
        <v>42217</v>
      </c>
      <c r="E349" t="s">
        <v>108</v>
      </c>
      <c r="F349">
        <v>0</v>
      </c>
      <c r="G349" t="s">
        <v>435</v>
      </c>
      <c r="H349">
        <v>199.03</v>
      </c>
      <c r="I349">
        <v>61</v>
      </c>
      <c r="J349">
        <v>8.75</v>
      </c>
      <c r="K349">
        <v>78</v>
      </c>
      <c r="L349">
        <v>139.36000000000001</v>
      </c>
      <c r="M349">
        <v>54</v>
      </c>
      <c r="N349">
        <v>28.3</v>
      </c>
      <c r="O349">
        <v>75</v>
      </c>
      <c r="P349">
        <v>-3.15</v>
      </c>
      <c r="Q349">
        <v>42</v>
      </c>
      <c r="R349">
        <v>-5.38</v>
      </c>
      <c r="S349">
        <v>53</v>
      </c>
      <c r="T349">
        <v>26.11</v>
      </c>
      <c r="U349">
        <v>35</v>
      </c>
      <c r="V349">
        <v>5.04</v>
      </c>
      <c r="W349">
        <v>48</v>
      </c>
      <c r="X349" t="s">
        <v>102</v>
      </c>
      <c r="Y349" t="s">
        <v>2261</v>
      </c>
      <c r="Z349" t="s">
        <v>96</v>
      </c>
      <c r="AA349" t="s">
        <v>9209</v>
      </c>
      <c r="AB349" t="s">
        <v>5994</v>
      </c>
      <c r="AC349">
        <v>0</v>
      </c>
      <c r="AD349">
        <v>0</v>
      </c>
      <c r="AE349">
        <v>78</v>
      </c>
      <c r="AF349">
        <v>-159.77000000000001</v>
      </c>
      <c r="AG349">
        <v>-0.16</v>
      </c>
      <c r="AH349">
        <v>-0.9</v>
      </c>
      <c r="AI349">
        <v>0.1</v>
      </c>
      <c r="AJ349">
        <v>0.08</v>
      </c>
      <c r="AK349">
        <v>54</v>
      </c>
      <c r="AL349">
        <v>0</v>
      </c>
      <c r="AM349">
        <v>0</v>
      </c>
      <c r="AN349">
        <v>-7.92</v>
      </c>
      <c r="AO349">
        <v>3.19</v>
      </c>
      <c r="AP349">
        <v>178</v>
      </c>
      <c r="AQ349">
        <v>0</v>
      </c>
      <c r="AR349">
        <v>4.9800000000000004</v>
      </c>
      <c r="AS349">
        <v>37</v>
      </c>
      <c r="AT349">
        <v>2.52</v>
      </c>
      <c r="AU349">
        <v>84</v>
      </c>
      <c r="AV349">
        <v>-3.2</v>
      </c>
      <c r="AW349">
        <v>95</v>
      </c>
      <c r="AX349">
        <v>-0.75</v>
      </c>
      <c r="AY349">
        <v>77</v>
      </c>
      <c r="AZ349">
        <v>7.52</v>
      </c>
      <c r="BA349">
        <v>28</v>
      </c>
      <c r="BB349">
        <v>6.48</v>
      </c>
      <c r="BC349">
        <v>28</v>
      </c>
      <c r="BD349">
        <v>0.04</v>
      </c>
      <c r="BE349">
        <v>0.03</v>
      </c>
      <c r="BF349">
        <v>0</v>
      </c>
      <c r="BG349">
        <v>63</v>
      </c>
      <c r="BH349">
        <v>0.01</v>
      </c>
      <c r="BI349">
        <v>-15.09</v>
      </c>
      <c r="BJ349">
        <v>0</v>
      </c>
      <c r="BK349">
        <v>0</v>
      </c>
      <c r="BL349">
        <v>-4.0599999999999996</v>
      </c>
      <c r="BM349">
        <v>2.29</v>
      </c>
      <c r="BN349">
        <v>-3.31</v>
      </c>
      <c r="BO349">
        <v>-3.84</v>
      </c>
      <c r="BP349">
        <v>-1.32</v>
      </c>
      <c r="BQ349">
        <v>2.5</v>
      </c>
      <c r="BR349">
        <v>-2.74</v>
      </c>
      <c r="BS349">
        <v>0.42</v>
      </c>
      <c r="BT349">
        <v>0.9</v>
      </c>
      <c r="BU349">
        <v>-2.85</v>
      </c>
      <c r="BV349">
        <v>-4.43</v>
      </c>
      <c r="BW349">
        <v>-3.41</v>
      </c>
      <c r="BX349">
        <v>-1.47</v>
      </c>
      <c r="BY349">
        <v>-1.43</v>
      </c>
      <c r="BZ349">
        <v>-1.1299999999999999</v>
      </c>
      <c r="CA349">
        <v>-2.76</v>
      </c>
      <c r="CB349">
        <v>-3.03</v>
      </c>
      <c r="CC349">
        <v>-1.38</v>
      </c>
      <c r="CD349">
        <v>3.8</v>
      </c>
      <c r="CE349">
        <v>-3.43</v>
      </c>
      <c r="CF349">
        <v>-3.16</v>
      </c>
      <c r="CG349">
        <v>0</v>
      </c>
      <c r="CH349">
        <v>-0.49</v>
      </c>
      <c r="CI349">
        <v>0</v>
      </c>
      <c r="CJ349">
        <v>-3.8</v>
      </c>
      <c r="CK349">
        <v>44</v>
      </c>
      <c r="CL349">
        <v>0.12</v>
      </c>
      <c r="CM349">
        <v>39</v>
      </c>
      <c r="CN349">
        <v>-0.22</v>
      </c>
      <c r="CO349">
        <v>39</v>
      </c>
      <c r="CP349">
        <v>-11.5</v>
      </c>
      <c r="CQ349">
        <v>36</v>
      </c>
      <c r="CR349">
        <v>0</v>
      </c>
      <c r="CS349">
        <v>0</v>
      </c>
      <c r="CT349">
        <v>-21.5</v>
      </c>
      <c r="CU349">
        <v>35</v>
      </c>
      <c r="CV349">
        <v>7.0000000000000007E-2</v>
      </c>
      <c r="CW349">
        <v>33</v>
      </c>
      <c r="CX349" t="s">
        <v>4320</v>
      </c>
    </row>
    <row r="350" spans="1:102" x14ac:dyDescent="0.3">
      <c r="A350" t="str">
        <f>HYPERLINK("https://webapp.icbf.com/v2/app/bull-search/view/1474873999","FR4417")</f>
        <v>FR4417</v>
      </c>
      <c r="B350" t="s">
        <v>6280</v>
      </c>
      <c r="C350" t="s">
        <v>6281</v>
      </c>
      <c r="D350" s="1">
        <v>42771</v>
      </c>
      <c r="E350" t="s">
        <v>92</v>
      </c>
      <c r="F350">
        <v>72</v>
      </c>
      <c r="G350" t="s">
        <v>435</v>
      </c>
      <c r="H350">
        <v>199.02</v>
      </c>
      <c r="I350">
        <v>70</v>
      </c>
      <c r="J350">
        <v>37.409999999999997</v>
      </c>
      <c r="K350">
        <v>88</v>
      </c>
      <c r="L350">
        <v>100.13</v>
      </c>
      <c r="M350">
        <v>62</v>
      </c>
      <c r="N350">
        <v>57.16</v>
      </c>
      <c r="O350">
        <v>80</v>
      </c>
      <c r="P350">
        <v>-8.93</v>
      </c>
      <c r="Q350">
        <v>50</v>
      </c>
      <c r="R350">
        <v>0.96</v>
      </c>
      <c r="S350">
        <v>61</v>
      </c>
      <c r="T350">
        <v>10.42</v>
      </c>
      <c r="U350">
        <v>45</v>
      </c>
      <c r="V350">
        <v>1.87</v>
      </c>
      <c r="W350">
        <v>58</v>
      </c>
      <c r="X350" t="s">
        <v>102</v>
      </c>
      <c r="Y350" t="s">
        <v>2255</v>
      </c>
      <c r="Z350" t="s">
        <v>330</v>
      </c>
      <c r="AA350" t="s">
        <v>6282</v>
      </c>
      <c r="AB350" t="s">
        <v>6283</v>
      </c>
      <c r="AC350">
        <v>0</v>
      </c>
      <c r="AD350">
        <v>0</v>
      </c>
      <c r="AE350">
        <v>88</v>
      </c>
      <c r="AF350">
        <v>-85.36</v>
      </c>
      <c r="AG350">
        <v>7.28</v>
      </c>
      <c r="AH350">
        <v>2.48</v>
      </c>
      <c r="AI350">
        <v>0.18</v>
      </c>
      <c r="AJ350">
        <v>0.1</v>
      </c>
      <c r="AK350">
        <v>62</v>
      </c>
      <c r="AL350">
        <v>0</v>
      </c>
      <c r="AM350">
        <v>0</v>
      </c>
      <c r="AN350">
        <v>-4.3</v>
      </c>
      <c r="AO350">
        <v>3.7</v>
      </c>
      <c r="AP350">
        <v>206</v>
      </c>
      <c r="AQ350">
        <v>0</v>
      </c>
      <c r="AR350">
        <v>4.04</v>
      </c>
      <c r="AS350">
        <v>68</v>
      </c>
      <c r="AT350">
        <v>1.82</v>
      </c>
      <c r="AU350">
        <v>85</v>
      </c>
      <c r="AV350">
        <v>-4.8600000000000003</v>
      </c>
      <c r="AW350">
        <v>96</v>
      </c>
      <c r="AX350">
        <v>-0.52</v>
      </c>
      <c r="AY350">
        <v>78</v>
      </c>
      <c r="AZ350">
        <v>7.04</v>
      </c>
      <c r="BA350">
        <v>43</v>
      </c>
      <c r="BB350">
        <v>4.8</v>
      </c>
      <c r="BC350">
        <v>36</v>
      </c>
      <c r="BD350">
        <v>-0.03</v>
      </c>
      <c r="BE350">
        <v>0.02</v>
      </c>
      <c r="BF350">
        <v>-0.01</v>
      </c>
      <c r="BG350">
        <v>72</v>
      </c>
      <c r="BH350">
        <v>0.01</v>
      </c>
      <c r="BI350">
        <v>-4.88</v>
      </c>
      <c r="BJ350">
        <v>0</v>
      </c>
      <c r="BK350">
        <v>0</v>
      </c>
      <c r="BL350">
        <v>-0.88</v>
      </c>
      <c r="BM350">
        <v>-0.46</v>
      </c>
      <c r="BN350">
        <v>-2.48</v>
      </c>
      <c r="BO350">
        <v>-1.49</v>
      </c>
      <c r="BP350">
        <v>-1.18</v>
      </c>
      <c r="BQ350">
        <v>0.05</v>
      </c>
      <c r="BR350">
        <v>0.17</v>
      </c>
      <c r="BS350">
        <v>0.59</v>
      </c>
      <c r="BT350">
        <v>-0.37</v>
      </c>
      <c r="BU350">
        <v>0.38</v>
      </c>
      <c r="BV350">
        <v>-0.37</v>
      </c>
      <c r="BW350">
        <v>0.38</v>
      </c>
      <c r="BX350">
        <v>-0.08</v>
      </c>
      <c r="BY350">
        <v>-0.66</v>
      </c>
      <c r="BZ350">
        <v>-0.19</v>
      </c>
      <c r="CA350">
        <v>0.17</v>
      </c>
      <c r="CB350">
        <v>0.54</v>
      </c>
      <c r="CC350">
        <v>0.04</v>
      </c>
      <c r="CD350">
        <v>0.54</v>
      </c>
      <c r="CE350">
        <v>-0.81</v>
      </c>
      <c r="CF350">
        <v>-1.23</v>
      </c>
      <c r="CG350">
        <v>0</v>
      </c>
      <c r="CH350">
        <v>-0.27</v>
      </c>
      <c r="CI350">
        <v>0</v>
      </c>
      <c r="CJ350">
        <v>-0.9</v>
      </c>
      <c r="CK350">
        <v>53</v>
      </c>
      <c r="CL350">
        <v>-0.74</v>
      </c>
      <c r="CM350">
        <v>46</v>
      </c>
      <c r="CN350">
        <v>-0.03</v>
      </c>
      <c r="CO350">
        <v>46</v>
      </c>
      <c r="CP350">
        <v>-2.7</v>
      </c>
      <c r="CQ350">
        <v>46</v>
      </c>
      <c r="CR350">
        <v>0</v>
      </c>
      <c r="CS350">
        <v>0</v>
      </c>
      <c r="CT350">
        <v>-0.3</v>
      </c>
      <c r="CU350">
        <v>45</v>
      </c>
      <c r="CV350">
        <v>0.18</v>
      </c>
      <c r="CW350">
        <v>35</v>
      </c>
      <c r="CX350" t="s">
        <v>6284</v>
      </c>
    </row>
    <row r="351" spans="1:102" x14ac:dyDescent="0.3">
      <c r="A351" t="str">
        <f>HYPERLINK("https://webapp.icbf.com/v2/app/bull-search/view/572122729","DJB")</f>
        <v>DJB</v>
      </c>
      <c r="B351" t="s">
        <v>6506</v>
      </c>
      <c r="C351" t="s">
        <v>6507</v>
      </c>
      <c r="D351" s="1">
        <v>37029</v>
      </c>
      <c r="E351" t="s">
        <v>227</v>
      </c>
      <c r="F351">
        <v>0</v>
      </c>
      <c r="G351" t="s">
        <v>93</v>
      </c>
      <c r="H351">
        <v>198.94</v>
      </c>
      <c r="I351">
        <v>97</v>
      </c>
      <c r="J351">
        <v>64.16</v>
      </c>
      <c r="K351">
        <v>99</v>
      </c>
      <c r="L351">
        <v>102.07</v>
      </c>
      <c r="M351">
        <v>94</v>
      </c>
      <c r="N351">
        <v>21.14</v>
      </c>
      <c r="O351">
        <v>96</v>
      </c>
      <c r="P351">
        <v>-51.23</v>
      </c>
      <c r="Q351">
        <v>98</v>
      </c>
      <c r="R351">
        <v>3.97</v>
      </c>
      <c r="S351">
        <v>95</v>
      </c>
      <c r="T351">
        <v>52.97</v>
      </c>
      <c r="U351">
        <v>97</v>
      </c>
      <c r="V351">
        <v>5.86</v>
      </c>
      <c r="W351">
        <v>96</v>
      </c>
      <c r="X351" t="s">
        <v>94</v>
      </c>
      <c r="Y351" t="s">
        <v>270</v>
      </c>
      <c r="Z351">
        <v>0</v>
      </c>
      <c r="AA351" t="s">
        <v>6508</v>
      </c>
      <c r="AB351" t="s">
        <v>144</v>
      </c>
      <c r="AC351">
        <v>590</v>
      </c>
      <c r="AD351">
        <v>282</v>
      </c>
      <c r="AE351">
        <v>99</v>
      </c>
      <c r="AF351">
        <v>-330.66</v>
      </c>
      <c r="AG351">
        <v>13.06</v>
      </c>
      <c r="AH351">
        <v>1.23</v>
      </c>
      <c r="AI351">
        <v>0.48</v>
      </c>
      <c r="AJ351">
        <v>0.23</v>
      </c>
      <c r="AK351">
        <v>94</v>
      </c>
      <c r="AL351">
        <v>719</v>
      </c>
      <c r="AM351">
        <v>345</v>
      </c>
      <c r="AN351">
        <v>-3.99</v>
      </c>
      <c r="AO351">
        <v>4.17</v>
      </c>
      <c r="AP351">
        <v>831</v>
      </c>
      <c r="AQ351">
        <v>6</v>
      </c>
      <c r="AR351">
        <v>2.91</v>
      </c>
      <c r="AS351">
        <v>96</v>
      </c>
      <c r="AT351">
        <v>1.67</v>
      </c>
      <c r="AU351">
        <v>96</v>
      </c>
      <c r="AV351">
        <v>-1.65</v>
      </c>
      <c r="AW351">
        <v>99</v>
      </c>
      <c r="AX351">
        <v>3.2</v>
      </c>
      <c r="AY351">
        <v>96</v>
      </c>
      <c r="AZ351">
        <v>7.46</v>
      </c>
      <c r="BA351">
        <v>89</v>
      </c>
      <c r="BB351">
        <v>5.37</v>
      </c>
      <c r="BC351">
        <v>92</v>
      </c>
      <c r="BD351">
        <v>-0.05</v>
      </c>
      <c r="BE351">
        <v>-0.02</v>
      </c>
      <c r="BF351">
        <v>0.03</v>
      </c>
      <c r="BG351">
        <v>98</v>
      </c>
      <c r="BH351">
        <v>0.1</v>
      </c>
      <c r="BI351">
        <v>-7.32</v>
      </c>
      <c r="BJ351">
        <v>30</v>
      </c>
      <c r="BK351">
        <v>12</v>
      </c>
      <c r="BL351">
        <v>-1.59</v>
      </c>
      <c r="BM351">
        <v>-1.1499999999999999</v>
      </c>
      <c r="BN351">
        <v>-1.48</v>
      </c>
      <c r="BO351">
        <v>0.35</v>
      </c>
      <c r="BP351">
        <v>2.2599999999999998</v>
      </c>
      <c r="BQ351">
        <v>-5.81</v>
      </c>
      <c r="BR351">
        <v>1.94</v>
      </c>
      <c r="BS351">
        <v>6.71</v>
      </c>
      <c r="BT351">
        <v>-1.7</v>
      </c>
      <c r="BU351">
        <v>0.18</v>
      </c>
      <c r="BV351">
        <v>-0.33</v>
      </c>
      <c r="BW351">
        <v>-2.4300000000000002</v>
      </c>
      <c r="BX351">
        <v>-1.97</v>
      </c>
      <c r="BY351">
        <v>-1.53</v>
      </c>
      <c r="BZ351">
        <v>2.62</v>
      </c>
      <c r="CA351">
        <v>1.3</v>
      </c>
      <c r="CB351">
        <v>-0.13</v>
      </c>
      <c r="CC351">
        <v>3.41</v>
      </c>
      <c r="CD351">
        <v>-1.0900000000000001</v>
      </c>
      <c r="CE351">
        <v>0.14000000000000001</v>
      </c>
      <c r="CF351">
        <v>-2.0299999999999998</v>
      </c>
      <c r="CG351">
        <v>0</v>
      </c>
      <c r="CH351">
        <v>-1.19</v>
      </c>
      <c r="CI351">
        <v>0</v>
      </c>
      <c r="CJ351">
        <v>-23.4</v>
      </c>
      <c r="CK351">
        <v>98</v>
      </c>
      <c r="CL351">
        <v>-1.04</v>
      </c>
      <c r="CM351">
        <v>98</v>
      </c>
      <c r="CN351">
        <v>0.15</v>
      </c>
      <c r="CO351">
        <v>98</v>
      </c>
      <c r="CP351">
        <v>-43</v>
      </c>
      <c r="CQ351">
        <v>97</v>
      </c>
      <c r="CR351">
        <v>0</v>
      </c>
      <c r="CS351">
        <v>0</v>
      </c>
      <c r="CT351">
        <v>-57.8</v>
      </c>
      <c r="CU351">
        <v>97</v>
      </c>
      <c r="CV351">
        <v>-0.09</v>
      </c>
      <c r="CW351">
        <v>46</v>
      </c>
      <c r="CX351" t="s">
        <v>6509</v>
      </c>
    </row>
    <row r="352" spans="1:102" x14ac:dyDescent="0.3">
      <c r="A352" t="str">
        <f>HYPERLINK("https://webapp.icbf.com/v2/app/bull-search/view/933356803","FR2446")</f>
        <v>FR2446</v>
      </c>
      <c r="B352" t="s">
        <v>6351</v>
      </c>
      <c r="C352" t="s">
        <v>6352</v>
      </c>
      <c r="D352" s="1">
        <v>40754</v>
      </c>
      <c r="E352" t="s">
        <v>92</v>
      </c>
      <c r="F352">
        <v>63</v>
      </c>
      <c r="G352" t="s">
        <v>93</v>
      </c>
      <c r="H352">
        <v>198.84</v>
      </c>
      <c r="I352">
        <v>83</v>
      </c>
      <c r="J352">
        <v>93.2</v>
      </c>
      <c r="K352">
        <v>95</v>
      </c>
      <c r="L352">
        <v>67.959999999999994</v>
      </c>
      <c r="M352">
        <v>71</v>
      </c>
      <c r="N352">
        <v>30.62</v>
      </c>
      <c r="O352">
        <v>87</v>
      </c>
      <c r="P352">
        <v>-42.5</v>
      </c>
      <c r="Q352">
        <v>92</v>
      </c>
      <c r="R352">
        <v>-3.06</v>
      </c>
      <c r="S352">
        <v>72</v>
      </c>
      <c r="T352">
        <v>43.2</v>
      </c>
      <c r="U352">
        <v>80</v>
      </c>
      <c r="V352">
        <v>9.42</v>
      </c>
      <c r="W352">
        <v>69</v>
      </c>
      <c r="X352" t="s">
        <v>276</v>
      </c>
      <c r="Y352" t="s">
        <v>1775</v>
      </c>
      <c r="Z352" t="s">
        <v>330</v>
      </c>
      <c r="AA352" t="s">
        <v>6353</v>
      </c>
      <c r="AB352" t="s">
        <v>144</v>
      </c>
      <c r="AC352">
        <v>159</v>
      </c>
      <c r="AD352">
        <v>36</v>
      </c>
      <c r="AE352">
        <v>95</v>
      </c>
      <c r="AF352">
        <v>247.15</v>
      </c>
      <c r="AG352">
        <v>9.34</v>
      </c>
      <c r="AH352">
        <v>16.329999999999998</v>
      </c>
      <c r="AI352">
        <v>-0.01</v>
      </c>
      <c r="AJ352">
        <v>0.13</v>
      </c>
      <c r="AK352">
        <v>71</v>
      </c>
      <c r="AL352">
        <v>0</v>
      </c>
      <c r="AM352">
        <v>0</v>
      </c>
      <c r="AN352">
        <v>-2.12</v>
      </c>
      <c r="AO352">
        <v>3.32</v>
      </c>
      <c r="AP352">
        <v>966</v>
      </c>
      <c r="AQ352">
        <v>2</v>
      </c>
      <c r="AR352">
        <v>4.2300000000000004</v>
      </c>
      <c r="AS352">
        <v>94</v>
      </c>
      <c r="AT352">
        <v>1.9</v>
      </c>
      <c r="AU352">
        <v>94</v>
      </c>
      <c r="AV352">
        <v>-2.23</v>
      </c>
      <c r="AW352">
        <v>99</v>
      </c>
      <c r="AX352">
        <v>-0.79</v>
      </c>
      <c r="AY352">
        <v>94</v>
      </c>
      <c r="AZ352">
        <v>7.18</v>
      </c>
      <c r="BA352">
        <v>75</v>
      </c>
      <c r="BB352">
        <v>5.81</v>
      </c>
      <c r="BC352">
        <v>32</v>
      </c>
      <c r="BD352">
        <v>0.02</v>
      </c>
      <c r="BE352">
        <v>0.03</v>
      </c>
      <c r="BF352">
        <v>-0.02</v>
      </c>
      <c r="BG352">
        <v>88</v>
      </c>
      <c r="BH352">
        <v>0.09</v>
      </c>
      <c r="BI352">
        <v>-19.989999999999998</v>
      </c>
      <c r="BJ352">
        <v>0</v>
      </c>
      <c r="BK352">
        <v>0</v>
      </c>
      <c r="BL352">
        <v>-3.34</v>
      </c>
      <c r="BM352">
        <v>0.09</v>
      </c>
      <c r="BN352">
        <v>-1.41</v>
      </c>
      <c r="BO352">
        <v>-0.96</v>
      </c>
      <c r="BP352">
        <v>-1.37</v>
      </c>
      <c r="BQ352">
        <v>-2.2200000000000002</v>
      </c>
      <c r="BR352">
        <v>1.17</v>
      </c>
      <c r="BS352">
        <v>-1.1100000000000001</v>
      </c>
      <c r="BT352">
        <v>-0.25</v>
      </c>
      <c r="BU352">
        <v>-0.98</v>
      </c>
      <c r="BV352">
        <v>-0.94</v>
      </c>
      <c r="BW352">
        <v>-1.94</v>
      </c>
      <c r="BX352">
        <v>-0.4</v>
      </c>
      <c r="BY352">
        <v>-1.98</v>
      </c>
      <c r="BZ352">
        <v>-1.01</v>
      </c>
      <c r="CA352">
        <v>-1.73</v>
      </c>
      <c r="CB352">
        <v>-1.39</v>
      </c>
      <c r="CC352">
        <v>-1.4</v>
      </c>
      <c r="CD352">
        <v>1.06</v>
      </c>
      <c r="CE352">
        <v>-0.37</v>
      </c>
      <c r="CF352">
        <v>-1.04</v>
      </c>
      <c r="CG352">
        <v>0</v>
      </c>
      <c r="CH352">
        <v>-1.8</v>
      </c>
      <c r="CI352">
        <v>0</v>
      </c>
      <c r="CJ352">
        <v>-21.9</v>
      </c>
      <c r="CK352">
        <v>95</v>
      </c>
      <c r="CL352">
        <v>-0.73</v>
      </c>
      <c r="CM352">
        <v>94</v>
      </c>
      <c r="CN352">
        <v>-0.08</v>
      </c>
      <c r="CO352">
        <v>93</v>
      </c>
      <c r="CP352">
        <v>-37.9</v>
      </c>
      <c r="CQ352">
        <v>67</v>
      </c>
      <c r="CR352">
        <v>0</v>
      </c>
      <c r="CS352">
        <v>0</v>
      </c>
      <c r="CT352">
        <v>-44.6</v>
      </c>
      <c r="CU352">
        <v>80</v>
      </c>
      <c r="CV352">
        <v>-0.18</v>
      </c>
      <c r="CW352">
        <v>45</v>
      </c>
      <c r="CX352" t="s">
        <v>1451</v>
      </c>
    </row>
    <row r="353" spans="1:102" x14ac:dyDescent="0.3">
      <c r="A353" t="str">
        <f>HYPERLINK("https://webapp.icbf.com/v2/app/bull-search/view/586065772","HRH")</f>
        <v>HRH</v>
      </c>
      <c r="B353" t="s">
        <v>12760</v>
      </c>
      <c r="C353" t="s">
        <v>5588</v>
      </c>
      <c r="D353" s="1">
        <v>37715</v>
      </c>
      <c r="E353" t="s">
        <v>92</v>
      </c>
      <c r="F353">
        <v>97</v>
      </c>
      <c r="G353" t="s">
        <v>93</v>
      </c>
      <c r="H353">
        <v>198.84</v>
      </c>
      <c r="I353">
        <v>90</v>
      </c>
      <c r="J353">
        <v>56.78</v>
      </c>
      <c r="K353">
        <v>98</v>
      </c>
      <c r="L353">
        <v>110.03</v>
      </c>
      <c r="M353">
        <v>88</v>
      </c>
      <c r="N353">
        <v>17.71</v>
      </c>
      <c r="O353">
        <v>87</v>
      </c>
      <c r="P353">
        <v>-9.6199999999999992</v>
      </c>
      <c r="Q353">
        <v>92</v>
      </c>
      <c r="R353">
        <v>15.02</v>
      </c>
      <c r="S353">
        <v>78</v>
      </c>
      <c r="T353">
        <v>9.5299999999999994</v>
      </c>
      <c r="U353">
        <v>83</v>
      </c>
      <c r="V353">
        <v>-0.61</v>
      </c>
      <c r="W353">
        <v>69</v>
      </c>
      <c r="X353" t="s">
        <v>94</v>
      </c>
      <c r="Y353" t="s">
        <v>1756</v>
      </c>
      <c r="Z353" t="s">
        <v>96</v>
      </c>
      <c r="AA353" t="s">
        <v>2009</v>
      </c>
      <c r="AB353" t="s">
        <v>12761</v>
      </c>
      <c r="AC353">
        <v>140</v>
      </c>
      <c r="AD353">
        <v>54</v>
      </c>
      <c r="AE353">
        <v>98</v>
      </c>
      <c r="AF353">
        <v>201.42</v>
      </c>
      <c r="AG353">
        <v>8.93</v>
      </c>
      <c r="AH353">
        <v>9.58</v>
      </c>
      <c r="AI353">
        <v>0.02</v>
      </c>
      <c r="AJ353">
        <v>0.05</v>
      </c>
      <c r="AK353">
        <v>88</v>
      </c>
      <c r="AL353">
        <v>152</v>
      </c>
      <c r="AM353">
        <v>58</v>
      </c>
      <c r="AN353">
        <v>-6.36</v>
      </c>
      <c r="AO353">
        <v>2.41</v>
      </c>
      <c r="AP353">
        <v>206</v>
      </c>
      <c r="AQ353">
        <v>6</v>
      </c>
      <c r="AR353">
        <v>7.39</v>
      </c>
      <c r="AS353">
        <v>80</v>
      </c>
      <c r="AT353">
        <v>3.01</v>
      </c>
      <c r="AU353">
        <v>92</v>
      </c>
      <c r="AV353">
        <v>-1.7</v>
      </c>
      <c r="AW353">
        <v>96</v>
      </c>
      <c r="AX353">
        <v>-0.84</v>
      </c>
      <c r="AY353">
        <v>84</v>
      </c>
      <c r="AZ353">
        <v>5.62</v>
      </c>
      <c r="BA353">
        <v>67</v>
      </c>
      <c r="BB353">
        <v>5.14</v>
      </c>
      <c r="BC353">
        <v>62</v>
      </c>
      <c r="BD353">
        <v>-0.11</v>
      </c>
      <c r="BE353">
        <v>-0.08</v>
      </c>
      <c r="BF353">
        <v>-0.01</v>
      </c>
      <c r="BG353">
        <v>92</v>
      </c>
      <c r="BH353">
        <v>-0.1</v>
      </c>
      <c r="BI353">
        <v>-9.59</v>
      </c>
      <c r="BJ353">
        <v>49</v>
      </c>
      <c r="BK353">
        <v>16</v>
      </c>
      <c r="BL353">
        <v>0.11</v>
      </c>
      <c r="BM353">
        <v>-1.76</v>
      </c>
      <c r="BN353">
        <v>-1.53</v>
      </c>
      <c r="BO353">
        <v>-0.25</v>
      </c>
      <c r="BP353">
        <v>-2.68</v>
      </c>
      <c r="BQ353">
        <v>-1.1299999999999999</v>
      </c>
      <c r="BR353">
        <v>-2.57</v>
      </c>
      <c r="BS353">
        <v>1.64</v>
      </c>
      <c r="BT353">
        <v>2.75</v>
      </c>
      <c r="BU353">
        <v>0.49</v>
      </c>
      <c r="BV353">
        <v>-0.63</v>
      </c>
      <c r="BW353">
        <v>-1.48</v>
      </c>
      <c r="BX353">
        <v>0.89</v>
      </c>
      <c r="BY353">
        <v>0.25</v>
      </c>
      <c r="BZ353">
        <v>-0.93</v>
      </c>
      <c r="CA353">
        <v>0.32</v>
      </c>
      <c r="CB353">
        <v>-0.19</v>
      </c>
      <c r="CC353">
        <v>0.81</v>
      </c>
      <c r="CD353">
        <v>-0.21</v>
      </c>
      <c r="CE353">
        <v>0.1</v>
      </c>
      <c r="CF353">
        <v>-0.96</v>
      </c>
      <c r="CG353">
        <v>0</v>
      </c>
      <c r="CH353">
        <v>0.2</v>
      </c>
      <c r="CI353">
        <v>0</v>
      </c>
      <c r="CJ353">
        <v>-2.8</v>
      </c>
      <c r="CK353">
        <v>93</v>
      </c>
      <c r="CL353">
        <v>-0.76</v>
      </c>
      <c r="CM353">
        <v>92</v>
      </c>
      <c r="CN353">
        <v>-0.26</v>
      </c>
      <c r="CO353">
        <v>91</v>
      </c>
      <c r="CP353">
        <v>-6.4</v>
      </c>
      <c r="CQ353">
        <v>84</v>
      </c>
      <c r="CR353">
        <v>0</v>
      </c>
      <c r="CS353">
        <v>0</v>
      </c>
      <c r="CT353">
        <v>0.9</v>
      </c>
      <c r="CU353">
        <v>83</v>
      </c>
      <c r="CV353">
        <v>0.09</v>
      </c>
      <c r="CW353">
        <v>45</v>
      </c>
      <c r="CX353" t="s">
        <v>12762</v>
      </c>
    </row>
    <row r="354" spans="1:102" x14ac:dyDescent="0.3">
      <c r="A354" t="str">
        <f>HYPERLINK("https://webapp.icbf.com/v2/app/bull-search/view/1354260218","JE4612")</f>
        <v>JE4612</v>
      </c>
      <c r="B354" t="s">
        <v>14239</v>
      </c>
      <c r="C354" t="s">
        <v>14240</v>
      </c>
      <c r="D354" s="1">
        <v>42392</v>
      </c>
      <c r="E354" t="s">
        <v>227</v>
      </c>
      <c r="F354">
        <v>0</v>
      </c>
      <c r="G354" t="s">
        <v>435</v>
      </c>
      <c r="H354">
        <v>198.66</v>
      </c>
      <c r="I354">
        <v>63</v>
      </c>
      <c r="J354">
        <v>54.09</v>
      </c>
      <c r="K354">
        <v>81</v>
      </c>
      <c r="L354">
        <v>87.89</v>
      </c>
      <c r="M354">
        <v>58</v>
      </c>
      <c r="N354">
        <v>41.67</v>
      </c>
      <c r="O354">
        <v>45</v>
      </c>
      <c r="P354">
        <v>-39.42</v>
      </c>
      <c r="Q354">
        <v>56</v>
      </c>
      <c r="R354">
        <v>5.46</v>
      </c>
      <c r="S354">
        <v>59</v>
      </c>
      <c r="T354">
        <v>47.05</v>
      </c>
      <c r="U354">
        <v>42</v>
      </c>
      <c r="V354">
        <v>1.92</v>
      </c>
      <c r="W354">
        <v>58</v>
      </c>
      <c r="X354" t="s">
        <v>276</v>
      </c>
      <c r="Y354" t="s">
        <v>2384</v>
      </c>
      <c r="Z354">
        <v>0</v>
      </c>
      <c r="AA354" t="s">
        <v>13206</v>
      </c>
      <c r="AB354" t="s">
        <v>14241</v>
      </c>
      <c r="AC354">
        <v>0</v>
      </c>
      <c r="AD354">
        <v>0</v>
      </c>
      <c r="AE354">
        <v>81</v>
      </c>
      <c r="AF354">
        <v>-641.15</v>
      </c>
      <c r="AG354">
        <v>11.52</v>
      </c>
      <c r="AH354">
        <v>-4.6900000000000004</v>
      </c>
      <c r="AI354">
        <v>0.7</v>
      </c>
      <c r="AJ354">
        <v>0.34</v>
      </c>
      <c r="AK354">
        <v>58</v>
      </c>
      <c r="AL354">
        <v>0</v>
      </c>
      <c r="AM354">
        <v>0</v>
      </c>
      <c r="AN354">
        <v>-3.18</v>
      </c>
      <c r="AO354">
        <v>3.85</v>
      </c>
      <c r="AP354">
        <v>5</v>
      </c>
      <c r="AQ354">
        <v>0</v>
      </c>
      <c r="AR354">
        <v>2.7</v>
      </c>
      <c r="AS354">
        <v>53</v>
      </c>
      <c r="AT354">
        <v>1.29</v>
      </c>
      <c r="AU354">
        <v>50</v>
      </c>
      <c r="AV354">
        <v>-2.99</v>
      </c>
      <c r="AW354">
        <v>44</v>
      </c>
      <c r="AX354">
        <v>0.57999999999999996</v>
      </c>
      <c r="AY354">
        <v>41</v>
      </c>
      <c r="AZ354">
        <v>7.32</v>
      </c>
      <c r="BA354">
        <v>39</v>
      </c>
      <c r="BB354">
        <v>5.23</v>
      </c>
      <c r="BC354">
        <v>38</v>
      </c>
      <c r="BD354">
        <v>-7.0000000000000007E-2</v>
      </c>
      <c r="BE354">
        <v>-0.01</v>
      </c>
      <c r="BF354">
        <v>0.01</v>
      </c>
      <c r="BG354">
        <v>64</v>
      </c>
      <c r="BH354">
        <v>0.11</v>
      </c>
      <c r="BI354">
        <v>6.52</v>
      </c>
      <c r="BJ354">
        <v>0</v>
      </c>
      <c r="BK354">
        <v>0</v>
      </c>
      <c r="BL354">
        <v>-3.04</v>
      </c>
      <c r="BM354">
        <v>-1.17</v>
      </c>
      <c r="BN354">
        <v>-0.56000000000000005</v>
      </c>
      <c r="BO354">
        <v>0.53</v>
      </c>
      <c r="BP354">
        <v>-0.24</v>
      </c>
      <c r="BQ354">
        <v>-5.32</v>
      </c>
      <c r="BR354">
        <v>3.23</v>
      </c>
      <c r="BS354">
        <v>6.41</v>
      </c>
      <c r="BT354">
        <v>-1.74</v>
      </c>
      <c r="BU354">
        <v>-1.59</v>
      </c>
      <c r="BV354">
        <v>-1.27</v>
      </c>
      <c r="BW354">
        <v>-3.4</v>
      </c>
      <c r="BX354">
        <v>-4.0199999999999996</v>
      </c>
      <c r="BY354">
        <v>-0.48</v>
      </c>
      <c r="BZ354">
        <v>-0.99</v>
      </c>
      <c r="CA354">
        <v>0.5</v>
      </c>
      <c r="CB354">
        <v>-1.21</v>
      </c>
      <c r="CC354">
        <v>3.8</v>
      </c>
      <c r="CD354">
        <v>-1.19</v>
      </c>
      <c r="CE354">
        <v>0.11</v>
      </c>
      <c r="CF354">
        <v>-2.96</v>
      </c>
      <c r="CG354">
        <v>0</v>
      </c>
      <c r="CH354">
        <v>-1.84</v>
      </c>
      <c r="CI354">
        <v>0</v>
      </c>
      <c r="CJ354">
        <v>-21.2</v>
      </c>
      <c r="CK354">
        <v>59</v>
      </c>
      <c r="CL354">
        <v>-0.56999999999999995</v>
      </c>
      <c r="CM354">
        <v>55</v>
      </c>
      <c r="CN354">
        <v>-0.12</v>
      </c>
      <c r="CO354">
        <v>54</v>
      </c>
      <c r="CP354">
        <v>-37.9</v>
      </c>
      <c r="CQ354">
        <v>44</v>
      </c>
      <c r="CR354">
        <v>0</v>
      </c>
      <c r="CS354">
        <v>0</v>
      </c>
      <c r="CT354">
        <v>-49.8</v>
      </c>
      <c r="CU354">
        <v>42</v>
      </c>
      <c r="CV354">
        <v>-0.23</v>
      </c>
      <c r="CW354">
        <v>37</v>
      </c>
      <c r="CX354" t="s">
        <v>5349</v>
      </c>
    </row>
    <row r="355" spans="1:102" x14ac:dyDescent="0.3">
      <c r="A355" t="str">
        <f>HYPERLINK("https://webapp.icbf.com/v2/app/bull-search/view/1276117807","FR2270")</f>
        <v>FR2270</v>
      </c>
      <c r="B355" t="s">
        <v>7970</v>
      </c>
      <c r="C355" t="s">
        <v>7971</v>
      </c>
      <c r="D355" s="1">
        <v>41699</v>
      </c>
      <c r="E355" t="s">
        <v>92</v>
      </c>
      <c r="F355">
        <v>100</v>
      </c>
      <c r="G355" t="s">
        <v>93</v>
      </c>
      <c r="H355">
        <v>198.56</v>
      </c>
      <c r="I355">
        <v>84</v>
      </c>
      <c r="J355">
        <v>74.66</v>
      </c>
      <c r="K355">
        <v>97</v>
      </c>
      <c r="L355">
        <v>90.96</v>
      </c>
      <c r="M355">
        <v>76</v>
      </c>
      <c r="N355">
        <v>22.51</v>
      </c>
      <c r="O355">
        <v>88</v>
      </c>
      <c r="P355">
        <v>-14.18</v>
      </c>
      <c r="Q355">
        <v>92</v>
      </c>
      <c r="R355">
        <v>18.45</v>
      </c>
      <c r="S355">
        <v>75</v>
      </c>
      <c r="T355">
        <v>1.47</v>
      </c>
      <c r="U355">
        <v>60</v>
      </c>
      <c r="V355">
        <v>4.6900000000000004</v>
      </c>
      <c r="W355">
        <v>64</v>
      </c>
      <c r="X355" t="s">
        <v>94</v>
      </c>
      <c r="Y355" t="s">
        <v>405</v>
      </c>
      <c r="Z355" t="s">
        <v>96</v>
      </c>
      <c r="AA355" t="s">
        <v>2318</v>
      </c>
      <c r="AB355" t="s">
        <v>7972</v>
      </c>
      <c r="AC355">
        <v>237</v>
      </c>
      <c r="AD355">
        <v>86</v>
      </c>
      <c r="AE355">
        <v>97</v>
      </c>
      <c r="AF355">
        <v>367.18</v>
      </c>
      <c r="AG355">
        <v>15.03</v>
      </c>
      <c r="AH355">
        <v>13</v>
      </c>
      <c r="AI355">
        <v>0.01</v>
      </c>
      <c r="AJ355">
        <v>0.01</v>
      </c>
      <c r="AK355">
        <v>76</v>
      </c>
      <c r="AL355">
        <v>0</v>
      </c>
      <c r="AM355">
        <v>0</v>
      </c>
      <c r="AN355">
        <v>-5.27</v>
      </c>
      <c r="AO355">
        <v>1.98</v>
      </c>
      <c r="AP355">
        <v>676</v>
      </c>
      <c r="AQ355">
        <v>3</v>
      </c>
      <c r="AR355">
        <v>7.14</v>
      </c>
      <c r="AS355">
        <v>92</v>
      </c>
      <c r="AT355">
        <v>3.35</v>
      </c>
      <c r="AU355">
        <v>94</v>
      </c>
      <c r="AV355">
        <v>-2.84</v>
      </c>
      <c r="AW355">
        <v>98</v>
      </c>
      <c r="AX355">
        <v>0.17</v>
      </c>
      <c r="AY355">
        <v>93</v>
      </c>
      <c r="AZ355">
        <v>6.54</v>
      </c>
      <c r="BA355">
        <v>77</v>
      </c>
      <c r="BB355">
        <v>4.7300000000000004</v>
      </c>
      <c r="BC355">
        <v>42</v>
      </c>
      <c r="BD355">
        <v>-0.08</v>
      </c>
      <c r="BE355">
        <v>-0.09</v>
      </c>
      <c r="BF355">
        <v>-0.12</v>
      </c>
      <c r="BG355">
        <v>89</v>
      </c>
      <c r="BH355">
        <v>0.08</v>
      </c>
      <c r="BI355">
        <v>-5.86</v>
      </c>
      <c r="BJ355">
        <v>8</v>
      </c>
      <c r="BK355">
        <v>7</v>
      </c>
      <c r="BL355">
        <v>2.11</v>
      </c>
      <c r="BM355">
        <v>-1.45</v>
      </c>
      <c r="BN355">
        <v>0.49</v>
      </c>
      <c r="BO355">
        <v>1.21</v>
      </c>
      <c r="BP355">
        <v>-1.46</v>
      </c>
      <c r="BQ355">
        <v>1.1100000000000001</v>
      </c>
      <c r="BR355">
        <v>0.24</v>
      </c>
      <c r="BS355">
        <v>1.89</v>
      </c>
      <c r="BT355">
        <v>0.51</v>
      </c>
      <c r="BU355">
        <v>1.91</v>
      </c>
      <c r="BV355">
        <v>2.58</v>
      </c>
      <c r="BW355">
        <v>2.27</v>
      </c>
      <c r="BX355">
        <v>1.8</v>
      </c>
      <c r="BY355">
        <v>1.54</v>
      </c>
      <c r="BZ355">
        <v>0.37</v>
      </c>
      <c r="CA355">
        <v>2.0299999999999998</v>
      </c>
      <c r="CB355">
        <v>1.7</v>
      </c>
      <c r="CC355">
        <v>1.94</v>
      </c>
      <c r="CD355">
        <v>-0.82</v>
      </c>
      <c r="CE355">
        <v>1.1499999999999999</v>
      </c>
      <c r="CF355">
        <v>1.83</v>
      </c>
      <c r="CG355">
        <v>0</v>
      </c>
      <c r="CH355">
        <v>1.17</v>
      </c>
      <c r="CI355">
        <v>0</v>
      </c>
      <c r="CJ355">
        <v>-4.2</v>
      </c>
      <c r="CK355">
        <v>95</v>
      </c>
      <c r="CL355">
        <v>-1.36</v>
      </c>
      <c r="CM355">
        <v>94</v>
      </c>
      <c r="CN355">
        <v>-0.53</v>
      </c>
      <c r="CO355">
        <v>93</v>
      </c>
      <c r="CP355">
        <v>-3.7</v>
      </c>
      <c r="CQ355">
        <v>64</v>
      </c>
      <c r="CR355">
        <v>0</v>
      </c>
      <c r="CS355">
        <v>0</v>
      </c>
      <c r="CT355">
        <v>11.8</v>
      </c>
      <c r="CU355">
        <v>60</v>
      </c>
      <c r="CV355">
        <v>0.28999999999999998</v>
      </c>
      <c r="CW355">
        <v>45</v>
      </c>
      <c r="CX355" t="s">
        <v>1847</v>
      </c>
    </row>
    <row r="356" spans="1:102" x14ac:dyDescent="0.3">
      <c r="A356" t="str">
        <f>HYPERLINK("https://webapp.icbf.com/v2/app/bull-search/view/1042470627","S2116")</f>
        <v>S2116</v>
      </c>
      <c r="B356" t="s">
        <v>5948</v>
      </c>
      <c r="C356" t="s">
        <v>5949</v>
      </c>
      <c r="D356" s="1">
        <v>41312</v>
      </c>
      <c r="E356" t="s">
        <v>92</v>
      </c>
      <c r="F356">
        <v>84</v>
      </c>
      <c r="G356" t="s">
        <v>93</v>
      </c>
      <c r="H356">
        <v>198.49</v>
      </c>
      <c r="I356">
        <v>92</v>
      </c>
      <c r="J356">
        <v>42.87</v>
      </c>
      <c r="K356">
        <v>99</v>
      </c>
      <c r="L356">
        <v>107.31</v>
      </c>
      <c r="M356">
        <v>84</v>
      </c>
      <c r="N356">
        <v>31.96</v>
      </c>
      <c r="O356">
        <v>93</v>
      </c>
      <c r="P356">
        <v>-28.01</v>
      </c>
      <c r="Q356">
        <v>96</v>
      </c>
      <c r="R356">
        <v>11.57</v>
      </c>
      <c r="S356">
        <v>84</v>
      </c>
      <c r="T356">
        <v>25.3</v>
      </c>
      <c r="U356">
        <v>98</v>
      </c>
      <c r="V356">
        <v>7.49</v>
      </c>
      <c r="W356">
        <v>79</v>
      </c>
      <c r="X356" t="s">
        <v>234</v>
      </c>
      <c r="Y356" t="s">
        <v>367</v>
      </c>
      <c r="Z356" t="s">
        <v>96</v>
      </c>
      <c r="AA356" t="s">
        <v>2041</v>
      </c>
      <c r="AB356" t="s">
        <v>5950</v>
      </c>
      <c r="AC356">
        <v>372</v>
      </c>
      <c r="AD356">
        <v>83</v>
      </c>
      <c r="AE356">
        <v>99</v>
      </c>
      <c r="AF356">
        <v>-130.77000000000001</v>
      </c>
      <c r="AG356">
        <v>4.5199999999999996</v>
      </c>
      <c r="AH356">
        <v>3.69</v>
      </c>
      <c r="AI356">
        <v>0.17</v>
      </c>
      <c r="AJ356">
        <v>0.15</v>
      </c>
      <c r="AK356">
        <v>84</v>
      </c>
      <c r="AL356">
        <v>368</v>
      </c>
      <c r="AM356">
        <v>86</v>
      </c>
      <c r="AN356">
        <v>-4.9000000000000004</v>
      </c>
      <c r="AO356">
        <v>3.67</v>
      </c>
      <c r="AP356">
        <v>998</v>
      </c>
      <c r="AQ356">
        <v>5</v>
      </c>
      <c r="AR356">
        <v>6.49</v>
      </c>
      <c r="AS356">
        <v>86</v>
      </c>
      <c r="AT356">
        <v>2.64</v>
      </c>
      <c r="AU356">
        <v>96</v>
      </c>
      <c r="AV356">
        <v>-3.45</v>
      </c>
      <c r="AW356">
        <v>99</v>
      </c>
      <c r="AX356">
        <v>1.1499999999999999</v>
      </c>
      <c r="AY356">
        <v>94</v>
      </c>
      <c r="AZ356">
        <v>6.83</v>
      </c>
      <c r="BA356">
        <v>85</v>
      </c>
      <c r="BB356">
        <v>4.71</v>
      </c>
      <c r="BC356">
        <v>74</v>
      </c>
      <c r="BD356">
        <v>-0.09</v>
      </c>
      <c r="BE356">
        <v>-0.04</v>
      </c>
      <c r="BF356">
        <v>-0.04</v>
      </c>
      <c r="BG356">
        <v>94</v>
      </c>
      <c r="BH356">
        <v>0.17</v>
      </c>
      <c r="BI356">
        <v>-4.49</v>
      </c>
      <c r="BJ356">
        <v>0</v>
      </c>
      <c r="BK356">
        <v>0</v>
      </c>
      <c r="BL356">
        <v>-1.22</v>
      </c>
      <c r="BM356">
        <v>-3.25</v>
      </c>
      <c r="BN356">
        <v>-3.05</v>
      </c>
      <c r="BO356">
        <v>-0.82</v>
      </c>
      <c r="BP356">
        <v>2.5</v>
      </c>
      <c r="BQ356">
        <v>-3.99</v>
      </c>
      <c r="BR356">
        <v>0.55000000000000004</v>
      </c>
      <c r="BS356">
        <v>-2.46</v>
      </c>
      <c r="BT356">
        <v>-1.55</v>
      </c>
      <c r="BU356">
        <v>-0.18</v>
      </c>
      <c r="BV356">
        <v>-0.11</v>
      </c>
      <c r="BW356">
        <v>7.0000000000000007E-2</v>
      </c>
      <c r="BX356">
        <v>0.95</v>
      </c>
      <c r="BY356">
        <v>0.15</v>
      </c>
      <c r="BZ356">
        <v>-1.39</v>
      </c>
      <c r="CA356">
        <v>-0.69</v>
      </c>
      <c r="CB356">
        <v>-0.6</v>
      </c>
      <c r="CC356">
        <v>-1.1399999999999999</v>
      </c>
      <c r="CD356">
        <v>-1.61</v>
      </c>
      <c r="CE356">
        <v>-0.7</v>
      </c>
      <c r="CF356">
        <v>-1.99</v>
      </c>
      <c r="CG356">
        <v>0</v>
      </c>
      <c r="CH356">
        <v>-0.56000000000000005</v>
      </c>
      <c r="CI356">
        <v>0</v>
      </c>
      <c r="CJ356">
        <v>-15.3</v>
      </c>
      <c r="CK356">
        <v>97</v>
      </c>
      <c r="CL356">
        <v>-0.85</v>
      </c>
      <c r="CM356">
        <v>97</v>
      </c>
      <c r="CN356">
        <v>-0.35</v>
      </c>
      <c r="CO356">
        <v>96</v>
      </c>
      <c r="CP356">
        <v>-14.8</v>
      </c>
      <c r="CQ356">
        <v>88</v>
      </c>
      <c r="CR356">
        <v>0</v>
      </c>
      <c r="CS356">
        <v>0</v>
      </c>
      <c r="CT356">
        <v>-20.399999999999999</v>
      </c>
      <c r="CU356">
        <v>98</v>
      </c>
      <c r="CV356">
        <v>-0.18</v>
      </c>
      <c r="CW356">
        <v>48</v>
      </c>
      <c r="CX356" t="s">
        <v>5951</v>
      </c>
    </row>
    <row r="357" spans="1:102" x14ac:dyDescent="0.3">
      <c r="A357" t="str">
        <f>HYPERLINK("https://webapp.icbf.com/v2/app/bull-search/view/866886808","FKE")</f>
        <v>FKE</v>
      </c>
      <c r="B357" t="s">
        <v>1863</v>
      </c>
      <c r="C357" t="s">
        <v>1864</v>
      </c>
      <c r="D357" s="1">
        <v>40608</v>
      </c>
      <c r="E357" t="s">
        <v>92</v>
      </c>
      <c r="F357">
        <v>91</v>
      </c>
      <c r="G357" t="s">
        <v>93</v>
      </c>
      <c r="H357">
        <v>198.43</v>
      </c>
      <c r="I357">
        <v>77</v>
      </c>
      <c r="J357">
        <v>71.989999999999995</v>
      </c>
      <c r="K357">
        <v>94</v>
      </c>
      <c r="L357">
        <v>81.56</v>
      </c>
      <c r="M357">
        <v>71</v>
      </c>
      <c r="N357">
        <v>28.29</v>
      </c>
      <c r="O357">
        <v>70</v>
      </c>
      <c r="P357">
        <v>-9.67</v>
      </c>
      <c r="Q357">
        <v>72</v>
      </c>
      <c r="R357">
        <v>8.52</v>
      </c>
      <c r="S357">
        <v>71</v>
      </c>
      <c r="T357">
        <v>13.53</v>
      </c>
      <c r="U357">
        <v>59</v>
      </c>
      <c r="V357">
        <v>4.21</v>
      </c>
      <c r="W357">
        <v>66</v>
      </c>
      <c r="X357" t="s">
        <v>94</v>
      </c>
      <c r="Y357" t="s">
        <v>1860</v>
      </c>
      <c r="Z357" t="s">
        <v>96</v>
      </c>
      <c r="AA357" t="s">
        <v>1865</v>
      </c>
      <c r="AB357" t="s">
        <v>1866</v>
      </c>
      <c r="AC357">
        <v>27</v>
      </c>
      <c r="AD357">
        <v>2</v>
      </c>
      <c r="AE357">
        <v>94</v>
      </c>
      <c r="AF357">
        <v>185.45</v>
      </c>
      <c r="AG357">
        <v>14.93</v>
      </c>
      <c r="AH357">
        <v>9.8000000000000007</v>
      </c>
      <c r="AI357">
        <v>0.13</v>
      </c>
      <c r="AJ357">
        <v>0.06</v>
      </c>
      <c r="AK357">
        <v>71</v>
      </c>
      <c r="AL357">
        <v>26</v>
      </c>
      <c r="AM357">
        <v>3</v>
      </c>
      <c r="AN357">
        <v>-3.99</v>
      </c>
      <c r="AO357">
        <v>2.52</v>
      </c>
      <c r="AP357">
        <v>51</v>
      </c>
      <c r="AQ357">
        <v>0</v>
      </c>
      <c r="AR357">
        <v>5.0599999999999996</v>
      </c>
      <c r="AS357">
        <v>71</v>
      </c>
      <c r="AT357">
        <v>2.46</v>
      </c>
      <c r="AU357">
        <v>72</v>
      </c>
      <c r="AV357">
        <v>-2.09</v>
      </c>
      <c r="AW357">
        <v>78</v>
      </c>
      <c r="AX357">
        <v>-0.02</v>
      </c>
      <c r="AY357">
        <v>61</v>
      </c>
      <c r="AZ357">
        <v>5.65</v>
      </c>
      <c r="BA357">
        <v>53</v>
      </c>
      <c r="BB357">
        <v>5.14</v>
      </c>
      <c r="BC357">
        <v>53</v>
      </c>
      <c r="BD357">
        <v>-0.03</v>
      </c>
      <c r="BE357">
        <v>-0.04</v>
      </c>
      <c r="BF357">
        <v>-7.0000000000000007E-2</v>
      </c>
      <c r="BG357">
        <v>81</v>
      </c>
      <c r="BH357">
        <v>-0.1</v>
      </c>
      <c r="BI357">
        <v>-25.16</v>
      </c>
      <c r="BJ357">
        <v>12</v>
      </c>
      <c r="BK357">
        <v>1</v>
      </c>
      <c r="BL357">
        <v>-0.85</v>
      </c>
      <c r="BM357">
        <v>0.45</v>
      </c>
      <c r="BN357">
        <v>-1.2</v>
      </c>
      <c r="BO357">
        <v>-1.47</v>
      </c>
      <c r="BP357">
        <v>0.77</v>
      </c>
      <c r="BQ357">
        <v>0.04</v>
      </c>
      <c r="BR357">
        <v>-0.5</v>
      </c>
      <c r="BS357">
        <v>-0.12</v>
      </c>
      <c r="BT357">
        <v>0.47</v>
      </c>
      <c r="BU357">
        <v>-0.48</v>
      </c>
      <c r="BV357">
        <v>-1.41</v>
      </c>
      <c r="BW357">
        <v>-1.46</v>
      </c>
      <c r="BX357">
        <v>-0.48</v>
      </c>
      <c r="BY357">
        <v>-1.49</v>
      </c>
      <c r="BZ357">
        <v>-2.2400000000000002</v>
      </c>
      <c r="CA357">
        <v>-0.56999999999999995</v>
      </c>
      <c r="CB357">
        <v>-0.74</v>
      </c>
      <c r="CC357">
        <v>0.09</v>
      </c>
      <c r="CD357">
        <v>1.85</v>
      </c>
      <c r="CE357">
        <v>-1.04</v>
      </c>
      <c r="CF357">
        <v>-0.87</v>
      </c>
      <c r="CG357">
        <v>0</v>
      </c>
      <c r="CH357">
        <v>-0.7</v>
      </c>
      <c r="CI357">
        <v>0</v>
      </c>
      <c r="CJ357">
        <v>-3.4</v>
      </c>
      <c r="CK357">
        <v>74</v>
      </c>
      <c r="CL357">
        <v>-0.66</v>
      </c>
      <c r="CM357">
        <v>71</v>
      </c>
      <c r="CN357">
        <v>-0.18</v>
      </c>
      <c r="CO357">
        <v>69</v>
      </c>
      <c r="CP357">
        <v>-1.8</v>
      </c>
      <c r="CQ357">
        <v>62</v>
      </c>
      <c r="CR357">
        <v>0</v>
      </c>
      <c r="CS357">
        <v>0</v>
      </c>
      <c r="CT357">
        <v>-4.5</v>
      </c>
      <c r="CU357">
        <v>59</v>
      </c>
      <c r="CV357">
        <v>0.09</v>
      </c>
      <c r="CW357">
        <v>43</v>
      </c>
      <c r="CX357" t="s">
        <v>1165</v>
      </c>
    </row>
    <row r="358" spans="1:102" x14ac:dyDescent="0.3">
      <c r="A358" t="str">
        <f>HYPERLINK("https://webapp.icbf.com/v2/app/bull-search/view/720503632","PKU")</f>
        <v>PKU</v>
      </c>
      <c r="B358" t="s">
        <v>15275</v>
      </c>
      <c r="C358" t="s">
        <v>13223</v>
      </c>
      <c r="D358" s="1">
        <v>39301</v>
      </c>
      <c r="E358" t="s">
        <v>227</v>
      </c>
      <c r="F358">
        <v>0</v>
      </c>
      <c r="G358" t="s">
        <v>93</v>
      </c>
      <c r="H358">
        <v>198.42</v>
      </c>
      <c r="I358">
        <v>97</v>
      </c>
      <c r="J358">
        <v>83.75</v>
      </c>
      <c r="K358">
        <v>99</v>
      </c>
      <c r="L358">
        <v>51.81</v>
      </c>
      <c r="M358">
        <v>95</v>
      </c>
      <c r="N358">
        <v>41.31</v>
      </c>
      <c r="O358">
        <v>98</v>
      </c>
      <c r="P358">
        <v>-47.2</v>
      </c>
      <c r="Q358">
        <v>99</v>
      </c>
      <c r="R358">
        <v>3.04</v>
      </c>
      <c r="S358">
        <v>95</v>
      </c>
      <c r="T358">
        <v>48.24</v>
      </c>
      <c r="U358">
        <v>99</v>
      </c>
      <c r="V358">
        <v>17.47</v>
      </c>
      <c r="W358">
        <v>94</v>
      </c>
      <c r="X358" t="s">
        <v>276</v>
      </c>
      <c r="Y358" t="s">
        <v>319</v>
      </c>
      <c r="Z358">
        <v>0</v>
      </c>
      <c r="AA358" t="s">
        <v>1928</v>
      </c>
      <c r="AB358" t="s">
        <v>9464</v>
      </c>
      <c r="AC358">
        <v>1396</v>
      </c>
      <c r="AD358">
        <v>337</v>
      </c>
      <c r="AE358">
        <v>99</v>
      </c>
      <c r="AF358">
        <v>-180.32</v>
      </c>
      <c r="AG358">
        <v>20.9</v>
      </c>
      <c r="AH358">
        <v>4.09</v>
      </c>
      <c r="AI358">
        <v>0.5</v>
      </c>
      <c r="AJ358">
        <v>0.18</v>
      </c>
      <c r="AK358">
        <v>95</v>
      </c>
      <c r="AL358">
        <v>1439</v>
      </c>
      <c r="AM358">
        <v>323</v>
      </c>
      <c r="AN358">
        <v>-1.44</v>
      </c>
      <c r="AO358">
        <v>2.71</v>
      </c>
      <c r="AP358">
        <v>2491</v>
      </c>
      <c r="AQ358">
        <v>11</v>
      </c>
      <c r="AR358">
        <v>2.5</v>
      </c>
      <c r="AS358">
        <v>98</v>
      </c>
      <c r="AT358">
        <v>1.31</v>
      </c>
      <c r="AU358">
        <v>98</v>
      </c>
      <c r="AV358">
        <v>-2.77</v>
      </c>
      <c r="AW358">
        <v>99</v>
      </c>
      <c r="AX358">
        <v>0.32</v>
      </c>
      <c r="AY358">
        <v>98</v>
      </c>
      <c r="AZ358">
        <v>7</v>
      </c>
      <c r="BA358">
        <v>95</v>
      </c>
      <c r="BB358">
        <v>5.22</v>
      </c>
      <c r="BC358">
        <v>96</v>
      </c>
      <c r="BD358">
        <v>-0.03</v>
      </c>
      <c r="BE358">
        <v>0</v>
      </c>
      <c r="BF358">
        <v>-0.02</v>
      </c>
      <c r="BG358">
        <v>99</v>
      </c>
      <c r="BH358">
        <v>0.3</v>
      </c>
      <c r="BI358">
        <v>-21.64</v>
      </c>
      <c r="BJ358">
        <v>47</v>
      </c>
      <c r="BK358">
        <v>17</v>
      </c>
      <c r="BL358">
        <v>-3.23</v>
      </c>
      <c r="BM358">
        <v>-1.53</v>
      </c>
      <c r="BN358">
        <v>0.34</v>
      </c>
      <c r="BO358">
        <v>1.41</v>
      </c>
      <c r="BP358">
        <v>-0.91</v>
      </c>
      <c r="BQ358">
        <v>-4.12</v>
      </c>
      <c r="BR358">
        <v>1.73</v>
      </c>
      <c r="BS358">
        <v>6.64</v>
      </c>
      <c r="BT358">
        <v>-1.34</v>
      </c>
      <c r="BU358">
        <v>-0.48</v>
      </c>
      <c r="BV358">
        <v>0.78</v>
      </c>
      <c r="BW358">
        <v>-1.77</v>
      </c>
      <c r="BX358">
        <v>-3.02</v>
      </c>
      <c r="BY358">
        <v>-0.11</v>
      </c>
      <c r="BZ358">
        <v>-0.05</v>
      </c>
      <c r="CA358">
        <v>1.21</v>
      </c>
      <c r="CB358">
        <v>-0.23</v>
      </c>
      <c r="CC358">
        <v>4</v>
      </c>
      <c r="CD358">
        <v>-1.81</v>
      </c>
      <c r="CE358">
        <v>0.88</v>
      </c>
      <c r="CF358">
        <v>-2.91</v>
      </c>
      <c r="CG358">
        <v>0</v>
      </c>
      <c r="CH358">
        <v>-1.21</v>
      </c>
      <c r="CI358">
        <v>0</v>
      </c>
      <c r="CJ358">
        <v>-25.6</v>
      </c>
      <c r="CK358">
        <v>99</v>
      </c>
      <c r="CL358">
        <v>-0.93</v>
      </c>
      <c r="CM358">
        <v>99</v>
      </c>
      <c r="CN358">
        <v>-0.34</v>
      </c>
      <c r="CO358">
        <v>99</v>
      </c>
      <c r="CP358">
        <v>-41.7</v>
      </c>
      <c r="CQ358">
        <v>98</v>
      </c>
      <c r="CR358">
        <v>0</v>
      </c>
      <c r="CS358">
        <v>0</v>
      </c>
      <c r="CT358">
        <v>-51.4</v>
      </c>
      <c r="CU358">
        <v>99</v>
      </c>
      <c r="CV358">
        <v>-0.3</v>
      </c>
      <c r="CW358">
        <v>47</v>
      </c>
      <c r="CX358" t="s">
        <v>1525</v>
      </c>
    </row>
    <row r="359" spans="1:102" x14ac:dyDescent="0.3">
      <c r="A359" t="str">
        <f>HYPERLINK("https://webapp.icbf.com/v2/app/bull-search/view/949897325","CTK")</f>
        <v>CTK</v>
      </c>
      <c r="B359" t="s">
        <v>5740</v>
      </c>
      <c r="C359" t="s">
        <v>5741</v>
      </c>
      <c r="D359" s="1">
        <v>40951</v>
      </c>
      <c r="E359" t="s">
        <v>92</v>
      </c>
      <c r="F359">
        <v>78</v>
      </c>
      <c r="G359" t="s">
        <v>93</v>
      </c>
      <c r="H359">
        <v>198.4</v>
      </c>
      <c r="I359">
        <v>89</v>
      </c>
      <c r="J359">
        <v>34.9</v>
      </c>
      <c r="K359">
        <v>98</v>
      </c>
      <c r="L359">
        <v>104.83</v>
      </c>
      <c r="M359">
        <v>81</v>
      </c>
      <c r="N359">
        <v>61.62</v>
      </c>
      <c r="O359">
        <v>90</v>
      </c>
      <c r="P359">
        <v>-18.48</v>
      </c>
      <c r="Q359">
        <v>94</v>
      </c>
      <c r="R359">
        <v>11.53</v>
      </c>
      <c r="S359">
        <v>82</v>
      </c>
      <c r="T359">
        <v>9.61</v>
      </c>
      <c r="U359">
        <v>91</v>
      </c>
      <c r="V359">
        <v>-5.61</v>
      </c>
      <c r="W359">
        <v>75</v>
      </c>
      <c r="X359" t="s">
        <v>251</v>
      </c>
      <c r="Y359" t="s">
        <v>1976</v>
      </c>
      <c r="Z359" t="s">
        <v>96</v>
      </c>
      <c r="AA359" t="s">
        <v>5742</v>
      </c>
      <c r="AB359" t="s">
        <v>5743</v>
      </c>
      <c r="AC359">
        <v>205</v>
      </c>
      <c r="AD359">
        <v>66</v>
      </c>
      <c r="AE359">
        <v>98</v>
      </c>
      <c r="AF359">
        <v>118.12</v>
      </c>
      <c r="AG359">
        <v>3.26</v>
      </c>
      <c r="AH359">
        <v>6.59</v>
      </c>
      <c r="AI359">
        <v>-0.02</v>
      </c>
      <c r="AJ359">
        <v>0.04</v>
      </c>
      <c r="AK359">
        <v>81</v>
      </c>
      <c r="AL359">
        <v>215</v>
      </c>
      <c r="AM359">
        <v>79</v>
      </c>
      <c r="AN359">
        <v>-6.49</v>
      </c>
      <c r="AO359">
        <v>1.86</v>
      </c>
      <c r="AP359">
        <v>400</v>
      </c>
      <c r="AQ359">
        <v>3</v>
      </c>
      <c r="AR359">
        <v>4.42</v>
      </c>
      <c r="AS359">
        <v>91</v>
      </c>
      <c r="AT359">
        <v>1.78</v>
      </c>
      <c r="AU359">
        <v>90</v>
      </c>
      <c r="AV359">
        <v>-4.97</v>
      </c>
      <c r="AW359">
        <v>97</v>
      </c>
      <c r="AX359">
        <v>-0.93</v>
      </c>
      <c r="AY359">
        <v>88</v>
      </c>
      <c r="AZ359">
        <v>5.32</v>
      </c>
      <c r="BA359">
        <v>77</v>
      </c>
      <c r="BB359">
        <v>4.7</v>
      </c>
      <c r="BC359">
        <v>70</v>
      </c>
      <c r="BD359">
        <v>-0.06</v>
      </c>
      <c r="BE359">
        <v>-0.05</v>
      </c>
      <c r="BF359">
        <v>-7.0000000000000007E-2</v>
      </c>
      <c r="BG359">
        <v>92</v>
      </c>
      <c r="BH359">
        <v>-0.1</v>
      </c>
      <c r="BI359">
        <v>6.53</v>
      </c>
      <c r="BJ359">
        <v>18</v>
      </c>
      <c r="BK359">
        <v>3</v>
      </c>
      <c r="BL359">
        <v>-1.77</v>
      </c>
      <c r="BM359">
        <v>2.48</v>
      </c>
      <c r="BN359">
        <v>-1.1299999999999999</v>
      </c>
      <c r="BO359">
        <v>-2.79</v>
      </c>
      <c r="BP359">
        <v>-3.7</v>
      </c>
      <c r="BQ359">
        <v>-0.67</v>
      </c>
      <c r="BR359">
        <v>2.08</v>
      </c>
      <c r="BS359">
        <v>-2.1</v>
      </c>
      <c r="BT359">
        <v>-3.49</v>
      </c>
      <c r="BU359">
        <v>-0.61</v>
      </c>
      <c r="BV359">
        <v>-1.39</v>
      </c>
      <c r="BW359">
        <v>-2.14</v>
      </c>
      <c r="BX359">
        <v>-1.7</v>
      </c>
      <c r="BY359">
        <v>-2.52</v>
      </c>
      <c r="BZ359">
        <v>2.27</v>
      </c>
      <c r="CA359">
        <v>-1.53</v>
      </c>
      <c r="CB359">
        <v>-1.32</v>
      </c>
      <c r="CC359">
        <v>-1.93</v>
      </c>
      <c r="CD359">
        <v>2.09</v>
      </c>
      <c r="CE359">
        <v>-1.87</v>
      </c>
      <c r="CF359">
        <v>-1.56</v>
      </c>
      <c r="CG359">
        <v>0</v>
      </c>
      <c r="CH359">
        <v>-2.63</v>
      </c>
      <c r="CI359">
        <v>0</v>
      </c>
      <c r="CJ359">
        <v>-5.9</v>
      </c>
      <c r="CK359">
        <v>96</v>
      </c>
      <c r="CL359">
        <v>-0.79</v>
      </c>
      <c r="CM359">
        <v>94</v>
      </c>
      <c r="CN359">
        <v>0.06</v>
      </c>
      <c r="CO359">
        <v>94</v>
      </c>
      <c r="CP359">
        <v>-9.9</v>
      </c>
      <c r="CQ359">
        <v>84</v>
      </c>
      <c r="CR359">
        <v>0</v>
      </c>
      <c r="CS359">
        <v>0</v>
      </c>
      <c r="CT359">
        <v>0.8</v>
      </c>
      <c r="CU359">
        <v>91</v>
      </c>
      <c r="CV359">
        <v>0.21</v>
      </c>
      <c r="CW359">
        <v>46</v>
      </c>
      <c r="CX359" t="s">
        <v>1418</v>
      </c>
    </row>
    <row r="360" spans="1:102" x14ac:dyDescent="0.3">
      <c r="A360" t="str">
        <f>HYPERLINK("https://webapp.icbf.com/v2/app/bull-search/view/550983841","OKD")</f>
        <v>OKD</v>
      </c>
      <c r="B360" t="s">
        <v>12862</v>
      </c>
      <c r="C360" t="s">
        <v>12863</v>
      </c>
      <c r="D360" s="1">
        <v>38442</v>
      </c>
      <c r="E360" t="s">
        <v>227</v>
      </c>
      <c r="F360">
        <v>0</v>
      </c>
      <c r="G360" t="s">
        <v>93</v>
      </c>
      <c r="H360">
        <v>198.38</v>
      </c>
      <c r="I360">
        <v>91</v>
      </c>
      <c r="J360">
        <v>78.72</v>
      </c>
      <c r="K360">
        <v>98</v>
      </c>
      <c r="L360">
        <v>38.22</v>
      </c>
      <c r="M360">
        <v>87</v>
      </c>
      <c r="N360">
        <v>53.96</v>
      </c>
      <c r="O360">
        <v>87</v>
      </c>
      <c r="P360">
        <v>-54.22</v>
      </c>
      <c r="Q360">
        <v>92</v>
      </c>
      <c r="R360">
        <v>8.8000000000000007</v>
      </c>
      <c r="S360">
        <v>84</v>
      </c>
      <c r="T360">
        <v>65.33</v>
      </c>
      <c r="U360">
        <v>89</v>
      </c>
      <c r="V360">
        <v>7.57</v>
      </c>
      <c r="W360">
        <v>85</v>
      </c>
      <c r="X360" t="s">
        <v>276</v>
      </c>
      <c r="Y360" t="s">
        <v>282</v>
      </c>
      <c r="Z360">
        <v>0</v>
      </c>
      <c r="AA360" t="s">
        <v>1525</v>
      </c>
      <c r="AB360" t="s">
        <v>2467</v>
      </c>
      <c r="AC360">
        <v>110</v>
      </c>
      <c r="AD360">
        <v>39</v>
      </c>
      <c r="AE360">
        <v>98</v>
      </c>
      <c r="AF360">
        <v>-165.8</v>
      </c>
      <c r="AG360">
        <v>14.22</v>
      </c>
      <c r="AH360">
        <v>5.82</v>
      </c>
      <c r="AI360">
        <v>0.37</v>
      </c>
      <c r="AJ360">
        <v>0.21</v>
      </c>
      <c r="AK360">
        <v>87</v>
      </c>
      <c r="AL360">
        <v>123</v>
      </c>
      <c r="AM360">
        <v>35</v>
      </c>
      <c r="AN360">
        <v>-0.37</v>
      </c>
      <c r="AO360">
        <v>2.7</v>
      </c>
      <c r="AP360">
        <v>106</v>
      </c>
      <c r="AQ360">
        <v>0</v>
      </c>
      <c r="AR360">
        <v>2.38</v>
      </c>
      <c r="AS360">
        <v>83</v>
      </c>
      <c r="AT360">
        <v>1.29</v>
      </c>
      <c r="AU360">
        <v>84</v>
      </c>
      <c r="AV360">
        <v>-4.07</v>
      </c>
      <c r="AW360">
        <v>95</v>
      </c>
      <c r="AX360">
        <v>0.22</v>
      </c>
      <c r="AY360">
        <v>84</v>
      </c>
      <c r="AZ360">
        <v>6.07</v>
      </c>
      <c r="BA360">
        <v>73</v>
      </c>
      <c r="BB360">
        <v>5.14</v>
      </c>
      <c r="BC360">
        <v>75</v>
      </c>
      <c r="BD360">
        <v>-0.08</v>
      </c>
      <c r="BE360">
        <v>-0.01</v>
      </c>
      <c r="BF360">
        <v>-0.05</v>
      </c>
      <c r="BG360">
        <v>91</v>
      </c>
      <c r="BH360">
        <v>0.1</v>
      </c>
      <c r="BI360">
        <v>-12.84</v>
      </c>
      <c r="BJ360">
        <v>7</v>
      </c>
      <c r="BK360">
        <v>4</v>
      </c>
      <c r="BL360">
        <v>-3.64</v>
      </c>
      <c r="BM360">
        <v>-2.38</v>
      </c>
      <c r="BN360">
        <v>-1.34</v>
      </c>
      <c r="BO360">
        <v>0.74</v>
      </c>
      <c r="BP360">
        <v>-0.64</v>
      </c>
      <c r="BQ360">
        <v>-6.83</v>
      </c>
      <c r="BR360">
        <v>3.68</v>
      </c>
      <c r="BS360">
        <v>3.35</v>
      </c>
      <c r="BT360">
        <v>-2.65</v>
      </c>
      <c r="BU360">
        <v>-1.79</v>
      </c>
      <c r="BV360">
        <v>-1.28</v>
      </c>
      <c r="BW360">
        <v>-3.2</v>
      </c>
      <c r="BX360">
        <v>-4.4000000000000004</v>
      </c>
      <c r="BY360">
        <v>-0.35</v>
      </c>
      <c r="BZ360">
        <v>-2.08</v>
      </c>
      <c r="CA360">
        <v>-0.39</v>
      </c>
      <c r="CB360">
        <v>-1.28</v>
      </c>
      <c r="CC360">
        <v>1.68</v>
      </c>
      <c r="CD360">
        <v>-2.4</v>
      </c>
      <c r="CE360">
        <v>0.48</v>
      </c>
      <c r="CF360">
        <v>-4.74</v>
      </c>
      <c r="CG360">
        <v>0</v>
      </c>
      <c r="CH360">
        <v>-1.66</v>
      </c>
      <c r="CI360">
        <v>0</v>
      </c>
      <c r="CJ360">
        <v>-29</v>
      </c>
      <c r="CK360">
        <v>93</v>
      </c>
      <c r="CL360">
        <v>-0.89</v>
      </c>
      <c r="CM360">
        <v>91</v>
      </c>
      <c r="CN360">
        <v>-0.16</v>
      </c>
      <c r="CO360">
        <v>90</v>
      </c>
      <c r="CP360">
        <v>-45.9</v>
      </c>
      <c r="CQ360">
        <v>86</v>
      </c>
      <c r="CR360">
        <v>0</v>
      </c>
      <c r="CS360">
        <v>0</v>
      </c>
      <c r="CT360">
        <v>-74.5</v>
      </c>
      <c r="CU360">
        <v>89</v>
      </c>
      <c r="CV360">
        <v>-0.34</v>
      </c>
      <c r="CW360">
        <v>45</v>
      </c>
      <c r="CX360" t="s">
        <v>1746</v>
      </c>
    </row>
    <row r="361" spans="1:102" x14ac:dyDescent="0.3">
      <c r="A361" t="str">
        <f>HYPERLINK("https://webapp.icbf.com/v2/app/bull-search/view/1041693075","OMM")</f>
        <v>OMM</v>
      </c>
      <c r="B361" t="s">
        <v>14896</v>
      </c>
      <c r="C361" t="s">
        <v>14897</v>
      </c>
      <c r="D361" s="1">
        <v>41313</v>
      </c>
      <c r="E361" t="s">
        <v>92</v>
      </c>
      <c r="F361">
        <v>66</v>
      </c>
      <c r="G361" t="s">
        <v>93</v>
      </c>
      <c r="H361">
        <v>198.34</v>
      </c>
      <c r="I361">
        <v>88</v>
      </c>
      <c r="J361">
        <v>109.52</v>
      </c>
      <c r="K361">
        <v>98</v>
      </c>
      <c r="L361">
        <v>41.16</v>
      </c>
      <c r="M361">
        <v>80</v>
      </c>
      <c r="N361">
        <v>54.72</v>
      </c>
      <c r="O361">
        <v>90</v>
      </c>
      <c r="P361">
        <v>-16.170000000000002</v>
      </c>
      <c r="Q361">
        <v>95</v>
      </c>
      <c r="R361">
        <v>-5.86</v>
      </c>
      <c r="S361">
        <v>81</v>
      </c>
      <c r="T361">
        <v>6.2</v>
      </c>
      <c r="U361">
        <v>80</v>
      </c>
      <c r="V361">
        <v>8.77</v>
      </c>
      <c r="W361">
        <v>77</v>
      </c>
      <c r="X361" t="s">
        <v>276</v>
      </c>
      <c r="Y361" t="s">
        <v>389</v>
      </c>
      <c r="Z361" t="s">
        <v>330</v>
      </c>
      <c r="AA361" t="s">
        <v>392</v>
      </c>
      <c r="AB361" t="s">
        <v>14898</v>
      </c>
      <c r="AC361">
        <v>188</v>
      </c>
      <c r="AD361">
        <v>74</v>
      </c>
      <c r="AE361">
        <v>98</v>
      </c>
      <c r="AF361">
        <v>76.8</v>
      </c>
      <c r="AG361">
        <v>13.97</v>
      </c>
      <c r="AH361">
        <v>14.86</v>
      </c>
      <c r="AI361">
        <v>0.19</v>
      </c>
      <c r="AJ361">
        <v>0.21</v>
      </c>
      <c r="AK361">
        <v>80</v>
      </c>
      <c r="AL361">
        <v>192</v>
      </c>
      <c r="AM361">
        <v>83</v>
      </c>
      <c r="AN361">
        <v>-2.42</v>
      </c>
      <c r="AO361">
        <v>0.86</v>
      </c>
      <c r="AP361">
        <v>661</v>
      </c>
      <c r="AQ361">
        <v>6</v>
      </c>
      <c r="AR361">
        <v>5.52</v>
      </c>
      <c r="AS361">
        <v>86</v>
      </c>
      <c r="AT361">
        <v>2.4300000000000002</v>
      </c>
      <c r="AU361">
        <v>94</v>
      </c>
      <c r="AV361">
        <v>-5.38</v>
      </c>
      <c r="AW361">
        <v>99</v>
      </c>
      <c r="AX361">
        <v>-0.26</v>
      </c>
      <c r="AY361">
        <v>91</v>
      </c>
      <c r="AZ361">
        <v>5.56</v>
      </c>
      <c r="BA361">
        <v>75</v>
      </c>
      <c r="BB361">
        <v>5.08</v>
      </c>
      <c r="BC361">
        <v>62</v>
      </c>
      <c r="BD361">
        <v>-0.02</v>
      </c>
      <c r="BE361">
        <v>0.02</v>
      </c>
      <c r="BF361">
        <v>0.13</v>
      </c>
      <c r="BG361">
        <v>91</v>
      </c>
      <c r="BH361">
        <v>0.05</v>
      </c>
      <c r="BI361">
        <v>-22.52</v>
      </c>
      <c r="BJ361">
        <v>0</v>
      </c>
      <c r="BK361">
        <v>0</v>
      </c>
      <c r="BL361">
        <v>-1.47</v>
      </c>
      <c r="BM361">
        <v>-1.18</v>
      </c>
      <c r="BN361">
        <v>-2.13</v>
      </c>
      <c r="BO361">
        <v>-1.1100000000000001</v>
      </c>
      <c r="BP361">
        <v>1.03</v>
      </c>
      <c r="BQ361">
        <v>-2.72</v>
      </c>
      <c r="BR361">
        <v>1.0900000000000001</v>
      </c>
      <c r="BS361">
        <v>1.43</v>
      </c>
      <c r="BT361">
        <v>-1.37</v>
      </c>
      <c r="BU361">
        <v>-1.41</v>
      </c>
      <c r="BV361">
        <v>-1.69</v>
      </c>
      <c r="BW361">
        <v>-1.53</v>
      </c>
      <c r="BX361">
        <v>-1.1200000000000001</v>
      </c>
      <c r="BY361">
        <v>-1.26</v>
      </c>
      <c r="BZ361">
        <v>-1</v>
      </c>
      <c r="CA361">
        <v>-0.89</v>
      </c>
      <c r="CB361">
        <v>-1.25</v>
      </c>
      <c r="CC361">
        <v>0.7</v>
      </c>
      <c r="CD361">
        <v>0.46</v>
      </c>
      <c r="CE361">
        <v>-0.47</v>
      </c>
      <c r="CF361">
        <v>-2.15</v>
      </c>
      <c r="CG361">
        <v>0</v>
      </c>
      <c r="CH361">
        <v>-1.1200000000000001</v>
      </c>
      <c r="CI361">
        <v>0</v>
      </c>
      <c r="CJ361">
        <v>-7.2</v>
      </c>
      <c r="CK361">
        <v>97</v>
      </c>
      <c r="CL361">
        <v>-0.87</v>
      </c>
      <c r="CM361">
        <v>96</v>
      </c>
      <c r="CN361">
        <v>-0.27</v>
      </c>
      <c r="CO361">
        <v>95</v>
      </c>
      <c r="CP361">
        <v>-2.8</v>
      </c>
      <c r="CQ361">
        <v>82</v>
      </c>
      <c r="CR361">
        <v>0</v>
      </c>
      <c r="CS361">
        <v>0</v>
      </c>
      <c r="CT361">
        <v>5.4</v>
      </c>
      <c r="CU361">
        <v>80</v>
      </c>
      <c r="CV361">
        <v>0.19</v>
      </c>
      <c r="CW361">
        <v>46</v>
      </c>
      <c r="CX361" t="s">
        <v>14874</v>
      </c>
    </row>
    <row r="362" spans="1:102" x14ac:dyDescent="0.3">
      <c r="A362" t="str">
        <f>HYPERLINK("https://webapp.icbf.com/v2/app/bull-search/view/1137362454","FR2051")</f>
        <v>FR2051</v>
      </c>
      <c r="B362" t="s">
        <v>2709</v>
      </c>
      <c r="C362" t="s">
        <v>2710</v>
      </c>
      <c r="D362" s="1">
        <v>41669</v>
      </c>
      <c r="E362" t="s">
        <v>92</v>
      </c>
      <c r="F362">
        <v>84</v>
      </c>
      <c r="G362" t="s">
        <v>93</v>
      </c>
      <c r="H362">
        <v>198.26</v>
      </c>
      <c r="I362">
        <v>87</v>
      </c>
      <c r="J362">
        <v>69.849999999999994</v>
      </c>
      <c r="K362">
        <v>98</v>
      </c>
      <c r="L362">
        <v>75.150000000000006</v>
      </c>
      <c r="M362">
        <v>78</v>
      </c>
      <c r="N362">
        <v>53.43</v>
      </c>
      <c r="O362">
        <v>91</v>
      </c>
      <c r="P362">
        <v>-4.2699999999999996</v>
      </c>
      <c r="Q362">
        <v>95</v>
      </c>
      <c r="R362">
        <v>1.3</v>
      </c>
      <c r="S362">
        <v>80</v>
      </c>
      <c r="T362">
        <v>-3.05</v>
      </c>
      <c r="U362">
        <v>78</v>
      </c>
      <c r="V362">
        <v>5.85</v>
      </c>
      <c r="W362">
        <v>75</v>
      </c>
      <c r="X362" t="s">
        <v>276</v>
      </c>
      <c r="Y362" t="s">
        <v>416</v>
      </c>
      <c r="Z362" t="s">
        <v>96</v>
      </c>
      <c r="AA362" t="s">
        <v>2711</v>
      </c>
      <c r="AB362" t="s">
        <v>2712</v>
      </c>
      <c r="AC362">
        <v>279</v>
      </c>
      <c r="AD362">
        <v>113</v>
      </c>
      <c r="AE362">
        <v>98</v>
      </c>
      <c r="AF362">
        <v>284.24</v>
      </c>
      <c r="AG362">
        <v>7.8</v>
      </c>
      <c r="AH362">
        <v>13.47</v>
      </c>
      <c r="AI362">
        <v>-0.05</v>
      </c>
      <c r="AJ362">
        <v>0.06</v>
      </c>
      <c r="AK362">
        <v>78</v>
      </c>
      <c r="AL362">
        <v>54</v>
      </c>
      <c r="AM362">
        <v>38</v>
      </c>
      <c r="AN362">
        <v>-4.33</v>
      </c>
      <c r="AO362">
        <v>1.66</v>
      </c>
      <c r="AP362">
        <v>1534</v>
      </c>
      <c r="AQ362">
        <v>3</v>
      </c>
      <c r="AR362">
        <v>6.15</v>
      </c>
      <c r="AS362">
        <v>93</v>
      </c>
      <c r="AT362">
        <v>2.59</v>
      </c>
      <c r="AU362">
        <v>97</v>
      </c>
      <c r="AV362">
        <v>-5.1100000000000003</v>
      </c>
      <c r="AW362">
        <v>99</v>
      </c>
      <c r="AX362">
        <v>-0.59</v>
      </c>
      <c r="AY362">
        <v>96</v>
      </c>
      <c r="AZ362">
        <v>5.23</v>
      </c>
      <c r="BA362">
        <v>79</v>
      </c>
      <c r="BB362">
        <v>4.63</v>
      </c>
      <c r="BC362">
        <v>53</v>
      </c>
      <c r="BD362">
        <v>-0.03</v>
      </c>
      <c r="BE362">
        <v>0</v>
      </c>
      <c r="BF362">
        <v>0.02</v>
      </c>
      <c r="BG362">
        <v>92</v>
      </c>
      <c r="BH362">
        <v>0.1</v>
      </c>
      <c r="BI362">
        <v>-7.3</v>
      </c>
      <c r="BJ362">
        <v>4</v>
      </c>
      <c r="BK362">
        <v>2</v>
      </c>
      <c r="BL362">
        <v>-0.01</v>
      </c>
      <c r="BM362">
        <v>0.03</v>
      </c>
      <c r="BN362">
        <v>-7.0000000000000007E-2</v>
      </c>
      <c r="BO362">
        <v>0.2</v>
      </c>
      <c r="BP362">
        <v>0.84</v>
      </c>
      <c r="BQ362">
        <v>-0.28000000000000003</v>
      </c>
      <c r="BR362">
        <v>2.16</v>
      </c>
      <c r="BS362">
        <v>0.63</v>
      </c>
      <c r="BT362">
        <v>-1.93</v>
      </c>
      <c r="BU362">
        <v>0.74</v>
      </c>
      <c r="BV362">
        <v>0.8</v>
      </c>
      <c r="BW362">
        <v>-0.38</v>
      </c>
      <c r="BX362">
        <v>-0.2</v>
      </c>
      <c r="BY362">
        <v>-2.19</v>
      </c>
      <c r="BZ362">
        <v>1.1000000000000001</v>
      </c>
      <c r="CA362">
        <v>-0.18</v>
      </c>
      <c r="CB362">
        <v>0.05</v>
      </c>
      <c r="CC362">
        <v>-0.27</v>
      </c>
      <c r="CD362">
        <v>0.01</v>
      </c>
      <c r="CE362">
        <v>-0.3</v>
      </c>
      <c r="CF362">
        <v>-0.17</v>
      </c>
      <c r="CG362">
        <v>0</v>
      </c>
      <c r="CH362">
        <v>-1.31</v>
      </c>
      <c r="CI362">
        <v>0</v>
      </c>
      <c r="CJ362">
        <v>0.9</v>
      </c>
      <c r="CK362">
        <v>97</v>
      </c>
      <c r="CL362">
        <v>-0.84</v>
      </c>
      <c r="CM362">
        <v>96</v>
      </c>
      <c r="CN362">
        <v>-0.23</v>
      </c>
      <c r="CO362">
        <v>96</v>
      </c>
      <c r="CP362">
        <v>3.1</v>
      </c>
      <c r="CQ362">
        <v>75</v>
      </c>
      <c r="CR362">
        <v>0</v>
      </c>
      <c r="CS362">
        <v>0</v>
      </c>
      <c r="CT362">
        <v>17.899999999999999</v>
      </c>
      <c r="CU362">
        <v>78</v>
      </c>
      <c r="CV362">
        <v>0.23</v>
      </c>
      <c r="CW362">
        <v>46</v>
      </c>
      <c r="CX362" t="s">
        <v>2713</v>
      </c>
    </row>
    <row r="363" spans="1:102" x14ac:dyDescent="0.3">
      <c r="A363" t="str">
        <f>HYPERLINK("https://webapp.icbf.com/v2/app/bull-search/view/1354260233","FR4170")</f>
        <v>FR4170</v>
      </c>
      <c r="B363" t="s">
        <v>6206</v>
      </c>
      <c r="C363" t="s">
        <v>6207</v>
      </c>
      <c r="D363" s="1">
        <v>42397</v>
      </c>
      <c r="E363" t="s">
        <v>92</v>
      </c>
      <c r="F363">
        <v>75</v>
      </c>
      <c r="G363" t="s">
        <v>435</v>
      </c>
      <c r="H363">
        <v>198.18</v>
      </c>
      <c r="I363">
        <v>74</v>
      </c>
      <c r="J363">
        <v>55.77</v>
      </c>
      <c r="K363">
        <v>90</v>
      </c>
      <c r="L363">
        <v>90.17</v>
      </c>
      <c r="M363">
        <v>65</v>
      </c>
      <c r="N363">
        <v>36.86</v>
      </c>
      <c r="O363">
        <v>79</v>
      </c>
      <c r="P363">
        <v>-14.03</v>
      </c>
      <c r="Q363">
        <v>71</v>
      </c>
      <c r="R363">
        <v>9.93</v>
      </c>
      <c r="S363">
        <v>64</v>
      </c>
      <c r="T363">
        <v>19.079999999999998</v>
      </c>
      <c r="U363">
        <v>56</v>
      </c>
      <c r="V363">
        <v>0.4</v>
      </c>
      <c r="W363">
        <v>60</v>
      </c>
      <c r="X363" t="s">
        <v>94</v>
      </c>
      <c r="Y363" t="s">
        <v>2255</v>
      </c>
      <c r="Z363" t="s">
        <v>96</v>
      </c>
      <c r="AA363" t="s">
        <v>2499</v>
      </c>
      <c r="AB363" t="s">
        <v>6208</v>
      </c>
      <c r="AC363">
        <v>0</v>
      </c>
      <c r="AD363">
        <v>0</v>
      </c>
      <c r="AE363">
        <v>90</v>
      </c>
      <c r="AF363">
        <v>-31.4</v>
      </c>
      <c r="AG363">
        <v>9.68</v>
      </c>
      <c r="AH363">
        <v>5.58</v>
      </c>
      <c r="AI363">
        <v>0.19</v>
      </c>
      <c r="AJ363">
        <v>0.12</v>
      </c>
      <c r="AK363">
        <v>65</v>
      </c>
      <c r="AL363">
        <v>0</v>
      </c>
      <c r="AM363">
        <v>0</v>
      </c>
      <c r="AN363">
        <v>-4.24</v>
      </c>
      <c r="AO363">
        <v>2.96</v>
      </c>
      <c r="AP363">
        <v>194</v>
      </c>
      <c r="AQ363">
        <v>0</v>
      </c>
      <c r="AR363">
        <v>8.4600000000000009</v>
      </c>
      <c r="AS363">
        <v>55</v>
      </c>
      <c r="AT363">
        <v>2.91</v>
      </c>
      <c r="AU363">
        <v>86</v>
      </c>
      <c r="AV363">
        <v>-3.96</v>
      </c>
      <c r="AW363">
        <v>95</v>
      </c>
      <c r="AX363">
        <v>0.13</v>
      </c>
      <c r="AY363">
        <v>74</v>
      </c>
      <c r="AZ363">
        <v>5.04</v>
      </c>
      <c r="BA363">
        <v>45</v>
      </c>
      <c r="BB363">
        <v>4.07</v>
      </c>
      <c r="BC363">
        <v>42</v>
      </c>
      <c r="BD363">
        <v>-0.05</v>
      </c>
      <c r="BE363">
        <v>-0.05</v>
      </c>
      <c r="BF363">
        <v>-0.05</v>
      </c>
      <c r="BG363">
        <v>74</v>
      </c>
      <c r="BH363">
        <v>-0.01</v>
      </c>
      <c r="BI363">
        <v>-2.4500000000000002</v>
      </c>
      <c r="BJ363">
        <v>0</v>
      </c>
      <c r="BK363">
        <v>0</v>
      </c>
      <c r="BL363">
        <v>-0.94</v>
      </c>
      <c r="BM363">
        <v>-1.67</v>
      </c>
      <c r="BN363">
        <v>-2.11</v>
      </c>
      <c r="BO363">
        <v>-0.84</v>
      </c>
      <c r="BP363">
        <v>-0.54</v>
      </c>
      <c r="BQ363">
        <v>-1</v>
      </c>
      <c r="BR363">
        <v>2.7</v>
      </c>
      <c r="BS363">
        <v>-1.39</v>
      </c>
      <c r="BT363">
        <v>-1.68</v>
      </c>
      <c r="BU363">
        <v>-0.59</v>
      </c>
      <c r="BV363">
        <v>-1.18</v>
      </c>
      <c r="BW363">
        <v>-0.5</v>
      </c>
      <c r="BX363">
        <v>0.27</v>
      </c>
      <c r="BY363">
        <v>-0.45</v>
      </c>
      <c r="BZ363">
        <v>-0.32</v>
      </c>
      <c r="CA363">
        <v>-1.26</v>
      </c>
      <c r="CB363">
        <v>-0.78</v>
      </c>
      <c r="CC363">
        <v>-1.45</v>
      </c>
      <c r="CD363">
        <v>0.38</v>
      </c>
      <c r="CE363">
        <v>-0.87</v>
      </c>
      <c r="CF363">
        <v>-1.32</v>
      </c>
      <c r="CG363">
        <v>0</v>
      </c>
      <c r="CH363">
        <v>-0.05</v>
      </c>
      <c r="CI363">
        <v>0</v>
      </c>
      <c r="CJ363">
        <v>-6.8</v>
      </c>
      <c r="CK363">
        <v>75</v>
      </c>
      <c r="CL363">
        <v>-0.54</v>
      </c>
      <c r="CM363">
        <v>68</v>
      </c>
      <c r="CN363">
        <v>-0.22</v>
      </c>
      <c r="CO363">
        <v>67</v>
      </c>
      <c r="CP363">
        <v>-11</v>
      </c>
      <c r="CQ363">
        <v>55</v>
      </c>
      <c r="CR363">
        <v>0</v>
      </c>
      <c r="CS363">
        <v>0</v>
      </c>
      <c r="CT363">
        <v>-12</v>
      </c>
      <c r="CU363">
        <v>56</v>
      </c>
      <c r="CV363">
        <v>-0.04</v>
      </c>
      <c r="CW363">
        <v>41</v>
      </c>
      <c r="CX363" t="s">
        <v>2041</v>
      </c>
    </row>
    <row r="364" spans="1:102" x14ac:dyDescent="0.3">
      <c r="A364" t="str">
        <f>HYPERLINK("https://webapp.icbf.com/v2/app/bull-search/view/1276139042","FR4193")</f>
        <v>FR4193</v>
      </c>
      <c r="B364" t="s">
        <v>13956</v>
      </c>
      <c r="C364" t="s">
        <v>13957</v>
      </c>
      <c r="D364" s="1">
        <v>41496</v>
      </c>
      <c r="E364" t="s">
        <v>92</v>
      </c>
      <c r="F364">
        <v>66</v>
      </c>
      <c r="G364" t="s">
        <v>109</v>
      </c>
      <c r="H364">
        <v>198.06</v>
      </c>
      <c r="I364">
        <v>72</v>
      </c>
      <c r="J364">
        <v>108.9</v>
      </c>
      <c r="K364">
        <v>88</v>
      </c>
      <c r="L364">
        <v>55.49</v>
      </c>
      <c r="M364">
        <v>70</v>
      </c>
      <c r="N364">
        <v>35.92</v>
      </c>
      <c r="O364">
        <v>80</v>
      </c>
      <c r="P364">
        <v>-42.24</v>
      </c>
      <c r="Q364">
        <v>51</v>
      </c>
      <c r="R364">
        <v>-1.65</v>
      </c>
      <c r="S364">
        <v>65</v>
      </c>
      <c r="T364">
        <v>30.48</v>
      </c>
      <c r="U364">
        <v>40</v>
      </c>
      <c r="V364">
        <v>11.16</v>
      </c>
      <c r="W364">
        <v>50</v>
      </c>
      <c r="X364" t="s">
        <v>276</v>
      </c>
      <c r="Y364" t="s">
        <v>2261</v>
      </c>
      <c r="Z364" t="s">
        <v>330</v>
      </c>
      <c r="AA364" t="s">
        <v>13958</v>
      </c>
      <c r="AB364" t="s">
        <v>13959</v>
      </c>
      <c r="AC364">
        <v>0</v>
      </c>
      <c r="AD364">
        <v>0</v>
      </c>
      <c r="AE364">
        <v>88</v>
      </c>
      <c r="AF364">
        <v>89.45</v>
      </c>
      <c r="AG364">
        <v>19.899999999999999</v>
      </c>
      <c r="AH364">
        <v>12.85</v>
      </c>
      <c r="AI364">
        <v>0.28000000000000003</v>
      </c>
      <c r="AJ364">
        <v>0.17</v>
      </c>
      <c r="AK364">
        <v>70</v>
      </c>
      <c r="AL364">
        <v>0</v>
      </c>
      <c r="AM364">
        <v>0</v>
      </c>
      <c r="AN364">
        <v>-4.2300000000000004</v>
      </c>
      <c r="AO364">
        <v>0.18</v>
      </c>
      <c r="AP364">
        <v>305</v>
      </c>
      <c r="AQ364">
        <v>0</v>
      </c>
      <c r="AR364">
        <v>4.7699999999999996</v>
      </c>
      <c r="AS364">
        <v>82</v>
      </c>
      <c r="AT364">
        <v>1.58</v>
      </c>
      <c r="AU364">
        <v>86</v>
      </c>
      <c r="AV364">
        <v>-3.6</v>
      </c>
      <c r="AW364">
        <v>96</v>
      </c>
      <c r="AX364">
        <v>-0.48</v>
      </c>
      <c r="AY364">
        <v>84</v>
      </c>
      <c r="AZ364">
        <v>8.44</v>
      </c>
      <c r="BA364">
        <v>29</v>
      </c>
      <c r="BB364">
        <v>6.42</v>
      </c>
      <c r="BC364">
        <v>31</v>
      </c>
      <c r="BD364">
        <v>0</v>
      </c>
      <c r="BE364">
        <v>0.02</v>
      </c>
      <c r="BF364">
        <v>0</v>
      </c>
      <c r="BG364">
        <v>84</v>
      </c>
      <c r="BH364">
        <v>0.2</v>
      </c>
      <c r="BI364">
        <v>-12.86</v>
      </c>
      <c r="BJ364">
        <v>0</v>
      </c>
      <c r="BK364">
        <v>0</v>
      </c>
      <c r="BL364">
        <v>-0.96</v>
      </c>
      <c r="BM364">
        <v>0.1</v>
      </c>
      <c r="BN364">
        <v>-0.96</v>
      </c>
      <c r="BO364">
        <v>0</v>
      </c>
      <c r="BP364">
        <v>3.05</v>
      </c>
      <c r="BQ364">
        <v>-0.79</v>
      </c>
      <c r="BR364">
        <v>0.46</v>
      </c>
      <c r="BS364">
        <v>0</v>
      </c>
      <c r="BT364">
        <v>0</v>
      </c>
      <c r="BU364">
        <v>-1.27</v>
      </c>
      <c r="BV364">
        <v>-0.4</v>
      </c>
      <c r="BW364">
        <v>-1.1299999999999999</v>
      </c>
      <c r="BX364">
        <v>0</v>
      </c>
      <c r="BY364">
        <v>0.35</v>
      </c>
      <c r="BZ364">
        <v>0</v>
      </c>
      <c r="CA364">
        <v>-0.69</v>
      </c>
      <c r="CB364">
        <v>-0.61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-20.8</v>
      </c>
      <c r="CK364">
        <v>57</v>
      </c>
      <c r="CL364">
        <v>-0.9</v>
      </c>
      <c r="CM364">
        <v>44</v>
      </c>
      <c r="CN364">
        <v>0.09</v>
      </c>
      <c r="CO364">
        <v>43</v>
      </c>
      <c r="CP364">
        <v>-21.3</v>
      </c>
      <c r="CQ364">
        <v>43</v>
      </c>
      <c r="CR364">
        <v>0</v>
      </c>
      <c r="CS364">
        <v>0</v>
      </c>
      <c r="CT364">
        <v>-27.4</v>
      </c>
      <c r="CU364">
        <v>40</v>
      </c>
      <c r="CV364">
        <v>-0.01</v>
      </c>
      <c r="CW364">
        <v>37</v>
      </c>
      <c r="CX364" t="s">
        <v>316</v>
      </c>
    </row>
    <row r="365" spans="1:102" x14ac:dyDescent="0.3">
      <c r="A365" t="str">
        <f>HYPERLINK("https://webapp.icbf.com/v2/app/bull-search/view/146113979","WAU")</f>
        <v>WAU</v>
      </c>
      <c r="B365" t="s">
        <v>11635</v>
      </c>
      <c r="C365" t="s">
        <v>5558</v>
      </c>
      <c r="D365" s="1">
        <v>36016</v>
      </c>
      <c r="E365" t="s">
        <v>108</v>
      </c>
      <c r="F365">
        <v>44</v>
      </c>
      <c r="G365" t="s">
        <v>93</v>
      </c>
      <c r="H365">
        <v>197.97</v>
      </c>
      <c r="I365">
        <v>97</v>
      </c>
      <c r="J365">
        <v>31.05</v>
      </c>
      <c r="K365">
        <v>99</v>
      </c>
      <c r="L365">
        <v>124.11</v>
      </c>
      <c r="M365">
        <v>93</v>
      </c>
      <c r="N365">
        <v>33.42</v>
      </c>
      <c r="O365">
        <v>98</v>
      </c>
      <c r="P365">
        <v>-14.99</v>
      </c>
      <c r="Q365">
        <v>99</v>
      </c>
      <c r="R365">
        <v>1.65</v>
      </c>
      <c r="S365">
        <v>95</v>
      </c>
      <c r="T365">
        <v>26.7</v>
      </c>
      <c r="U365">
        <v>99</v>
      </c>
      <c r="V365">
        <v>-3.97</v>
      </c>
      <c r="W365">
        <v>96</v>
      </c>
      <c r="X365" t="s">
        <v>302</v>
      </c>
      <c r="Y365" t="s">
        <v>95</v>
      </c>
      <c r="Z365" t="s">
        <v>96</v>
      </c>
      <c r="AA365" t="s">
        <v>2740</v>
      </c>
      <c r="AB365" t="s">
        <v>11636</v>
      </c>
      <c r="AC365">
        <v>1106</v>
      </c>
      <c r="AD365">
        <v>353</v>
      </c>
      <c r="AE365">
        <v>99</v>
      </c>
      <c r="AF365">
        <v>-185.26</v>
      </c>
      <c r="AG365">
        <v>6.91</v>
      </c>
      <c r="AH365">
        <v>0</v>
      </c>
      <c r="AI365">
        <v>0.25</v>
      </c>
      <c r="AJ365">
        <v>0.11</v>
      </c>
      <c r="AK365">
        <v>93</v>
      </c>
      <c r="AL365">
        <v>1232</v>
      </c>
      <c r="AM365">
        <v>377</v>
      </c>
      <c r="AN365">
        <v>-6.56</v>
      </c>
      <c r="AO365">
        <v>3.34</v>
      </c>
      <c r="AP365">
        <v>1859</v>
      </c>
      <c r="AQ365">
        <v>5</v>
      </c>
      <c r="AR365">
        <v>4.41</v>
      </c>
      <c r="AS365">
        <v>97</v>
      </c>
      <c r="AT365">
        <v>1.89</v>
      </c>
      <c r="AU365">
        <v>98</v>
      </c>
      <c r="AV365">
        <v>-1.88</v>
      </c>
      <c r="AW365">
        <v>99</v>
      </c>
      <c r="AX365">
        <v>-0.64</v>
      </c>
      <c r="AY365">
        <v>98</v>
      </c>
      <c r="AZ365">
        <v>6.54</v>
      </c>
      <c r="BA365">
        <v>94</v>
      </c>
      <c r="BB365">
        <v>4.82</v>
      </c>
      <c r="BC365">
        <v>95</v>
      </c>
      <c r="BD365">
        <v>-0.03</v>
      </c>
      <c r="BE365">
        <v>-0.02</v>
      </c>
      <c r="BF365">
        <v>0.05</v>
      </c>
      <c r="BG365">
        <v>98</v>
      </c>
      <c r="BH365">
        <v>0</v>
      </c>
      <c r="BI365">
        <v>12.8</v>
      </c>
      <c r="BJ365">
        <v>47</v>
      </c>
      <c r="BK365">
        <v>28</v>
      </c>
      <c r="BL365">
        <v>-3.07</v>
      </c>
      <c r="BM365">
        <v>0.77</v>
      </c>
      <c r="BN365">
        <v>-2.16</v>
      </c>
      <c r="BO365">
        <v>-2.88</v>
      </c>
      <c r="BP365">
        <v>2.9</v>
      </c>
      <c r="BQ365">
        <v>-3.52</v>
      </c>
      <c r="BR365">
        <v>1.06</v>
      </c>
      <c r="BS365">
        <v>-1.02</v>
      </c>
      <c r="BT365">
        <v>-3.11</v>
      </c>
      <c r="BU365">
        <v>-1.94</v>
      </c>
      <c r="BV365">
        <v>-3.32</v>
      </c>
      <c r="BW365">
        <v>-3.67</v>
      </c>
      <c r="BX365">
        <v>-3.31</v>
      </c>
      <c r="BY365">
        <v>-3.18</v>
      </c>
      <c r="BZ365">
        <v>4.04</v>
      </c>
      <c r="CA365">
        <v>-2.6</v>
      </c>
      <c r="CB365">
        <v>-2.84</v>
      </c>
      <c r="CC365">
        <v>-1.38</v>
      </c>
      <c r="CD365">
        <v>0.69</v>
      </c>
      <c r="CE365">
        <v>-2.1800000000000002</v>
      </c>
      <c r="CF365">
        <v>-3.29</v>
      </c>
      <c r="CG365">
        <v>0</v>
      </c>
      <c r="CH365">
        <v>-2.66</v>
      </c>
      <c r="CI365">
        <v>0</v>
      </c>
      <c r="CJ365">
        <v>-7.6</v>
      </c>
      <c r="CK365">
        <v>99</v>
      </c>
      <c r="CL365">
        <v>-0.32</v>
      </c>
      <c r="CM365">
        <v>99</v>
      </c>
      <c r="CN365">
        <v>-0.15</v>
      </c>
      <c r="CO365">
        <v>99</v>
      </c>
      <c r="CP365">
        <v>-19.7</v>
      </c>
      <c r="CQ365">
        <v>99</v>
      </c>
      <c r="CR365">
        <v>0</v>
      </c>
      <c r="CS365">
        <v>0</v>
      </c>
      <c r="CT365">
        <v>-22.3</v>
      </c>
      <c r="CU365">
        <v>99</v>
      </c>
      <c r="CV365">
        <v>0.08</v>
      </c>
      <c r="CW365">
        <v>46</v>
      </c>
      <c r="CX365" t="s">
        <v>531</v>
      </c>
    </row>
    <row r="366" spans="1:102" x14ac:dyDescent="0.3">
      <c r="A366" t="str">
        <f>HYPERLINK("https://webapp.icbf.com/v2/app/bull-search/view/1376535584","S3142")</f>
        <v>S3142</v>
      </c>
      <c r="B366" t="s">
        <v>7210</v>
      </c>
      <c r="C366" t="s">
        <v>7211</v>
      </c>
      <c r="D366" s="1">
        <v>42096</v>
      </c>
      <c r="E366" t="s">
        <v>92</v>
      </c>
      <c r="F366">
        <v>100</v>
      </c>
      <c r="G366" t="s">
        <v>109</v>
      </c>
      <c r="H366">
        <v>197.94</v>
      </c>
      <c r="I366">
        <v>70</v>
      </c>
      <c r="J366">
        <v>65.98</v>
      </c>
      <c r="K366">
        <v>91</v>
      </c>
      <c r="L366">
        <v>77.239999999999995</v>
      </c>
      <c r="M366">
        <v>74</v>
      </c>
      <c r="N366">
        <v>52.24</v>
      </c>
      <c r="O366">
        <v>51</v>
      </c>
      <c r="P366">
        <v>-1.83</v>
      </c>
      <c r="Q366">
        <v>36</v>
      </c>
      <c r="R366">
        <v>16.899999999999999</v>
      </c>
      <c r="S366">
        <v>69</v>
      </c>
      <c r="T366">
        <v>-15.03</v>
      </c>
      <c r="U366">
        <v>35</v>
      </c>
      <c r="V366">
        <v>2.44</v>
      </c>
      <c r="W366">
        <v>57</v>
      </c>
      <c r="X366" t="s">
        <v>110</v>
      </c>
      <c r="Y366" t="s">
        <v>457</v>
      </c>
      <c r="Z366" t="s">
        <v>96</v>
      </c>
      <c r="AA366" t="s">
        <v>2084</v>
      </c>
      <c r="AB366" t="s">
        <v>7212</v>
      </c>
      <c r="AC366">
        <v>0</v>
      </c>
      <c r="AD366">
        <v>0</v>
      </c>
      <c r="AE366">
        <v>91</v>
      </c>
      <c r="AF366">
        <v>276.47000000000003</v>
      </c>
      <c r="AG366">
        <v>13.01</v>
      </c>
      <c r="AH366">
        <v>10.85</v>
      </c>
      <c r="AI366">
        <v>0.03</v>
      </c>
      <c r="AJ366">
        <v>0.03</v>
      </c>
      <c r="AK366">
        <v>74</v>
      </c>
      <c r="AL366">
        <v>0</v>
      </c>
      <c r="AM366">
        <v>0</v>
      </c>
      <c r="AN366">
        <v>-4.22</v>
      </c>
      <c r="AO366">
        <v>1.94</v>
      </c>
      <c r="AP366">
        <v>5</v>
      </c>
      <c r="AQ366">
        <v>0</v>
      </c>
      <c r="AR366">
        <v>3.81</v>
      </c>
      <c r="AS366">
        <v>54</v>
      </c>
      <c r="AT366">
        <v>2.12</v>
      </c>
      <c r="AU366">
        <v>87</v>
      </c>
      <c r="AV366">
        <v>-4.3899999999999997</v>
      </c>
      <c r="AW366">
        <v>39</v>
      </c>
      <c r="AX366">
        <v>0.91</v>
      </c>
      <c r="AY366">
        <v>39</v>
      </c>
      <c r="AZ366">
        <v>5.28</v>
      </c>
      <c r="BA366">
        <v>37</v>
      </c>
      <c r="BB366">
        <v>4.51</v>
      </c>
      <c r="BC366">
        <v>36</v>
      </c>
      <c r="BD366">
        <v>-7.0000000000000007E-2</v>
      </c>
      <c r="BE366">
        <v>-0.08</v>
      </c>
      <c r="BF366">
        <v>-0.12</v>
      </c>
      <c r="BG366">
        <v>86</v>
      </c>
      <c r="BH366">
        <v>0.06</v>
      </c>
      <c r="BI366">
        <v>-0.93</v>
      </c>
      <c r="BJ366">
        <v>0</v>
      </c>
      <c r="BK366">
        <v>0</v>
      </c>
      <c r="BL366">
        <v>2.5</v>
      </c>
      <c r="BM366">
        <v>-1.03</v>
      </c>
      <c r="BN366">
        <v>0.41</v>
      </c>
      <c r="BO366">
        <v>1.68</v>
      </c>
      <c r="BP366">
        <v>-2.4700000000000002</v>
      </c>
      <c r="BQ366">
        <v>2.2400000000000002</v>
      </c>
      <c r="BR366">
        <v>-7.0000000000000007E-2</v>
      </c>
      <c r="BS366">
        <v>2.97</v>
      </c>
      <c r="BT366">
        <v>1.66</v>
      </c>
      <c r="BU366">
        <v>4.72</v>
      </c>
      <c r="BV366">
        <v>4.0599999999999996</v>
      </c>
      <c r="BW366">
        <v>3.38</v>
      </c>
      <c r="BX366">
        <v>4.3</v>
      </c>
      <c r="BY366">
        <v>2.77</v>
      </c>
      <c r="BZ366">
        <v>0.49</v>
      </c>
      <c r="CA366">
        <v>3.73</v>
      </c>
      <c r="CB366">
        <v>3.66</v>
      </c>
      <c r="CC366">
        <v>2.75</v>
      </c>
      <c r="CD366">
        <v>-0.91</v>
      </c>
      <c r="CE366">
        <v>0.63</v>
      </c>
      <c r="CF366">
        <v>1.55</v>
      </c>
      <c r="CG366">
        <v>0</v>
      </c>
      <c r="CH366">
        <v>3.07</v>
      </c>
      <c r="CI366">
        <v>0</v>
      </c>
      <c r="CJ366">
        <v>4</v>
      </c>
      <c r="CK366">
        <v>36</v>
      </c>
      <c r="CL366">
        <v>-1.81</v>
      </c>
      <c r="CM366">
        <v>35</v>
      </c>
      <c r="CN366">
        <v>-0.81</v>
      </c>
      <c r="CO366">
        <v>35</v>
      </c>
      <c r="CP366">
        <v>12.3</v>
      </c>
      <c r="CQ366">
        <v>35</v>
      </c>
      <c r="CR366">
        <v>0</v>
      </c>
      <c r="CS366">
        <v>0</v>
      </c>
      <c r="CT366">
        <v>34.1</v>
      </c>
      <c r="CU366">
        <v>35</v>
      </c>
      <c r="CV366">
        <v>0.28000000000000003</v>
      </c>
      <c r="CW366">
        <v>32</v>
      </c>
      <c r="CX366" t="s">
        <v>7213</v>
      </c>
    </row>
    <row r="367" spans="1:102" x14ac:dyDescent="0.3">
      <c r="A367" t="str">
        <f>HYPERLINK("https://webapp.icbf.com/v2/app/bull-search/view/1196694087","S2318")</f>
        <v>S2318</v>
      </c>
      <c r="B367" t="s">
        <v>13491</v>
      </c>
      <c r="C367" t="s">
        <v>13492</v>
      </c>
      <c r="D367" s="1">
        <v>41201</v>
      </c>
      <c r="E367" t="s">
        <v>92</v>
      </c>
      <c r="F367">
        <v>100</v>
      </c>
      <c r="G367" t="s">
        <v>93</v>
      </c>
      <c r="H367">
        <v>197.51</v>
      </c>
      <c r="I367">
        <v>86</v>
      </c>
      <c r="J367">
        <v>61.26</v>
      </c>
      <c r="K367">
        <v>98</v>
      </c>
      <c r="L367">
        <v>80.430000000000007</v>
      </c>
      <c r="M367">
        <v>83</v>
      </c>
      <c r="N367">
        <v>23.47</v>
      </c>
      <c r="O367">
        <v>89</v>
      </c>
      <c r="P367">
        <v>-5.97</v>
      </c>
      <c r="Q367">
        <v>94</v>
      </c>
      <c r="R367">
        <v>27.07</v>
      </c>
      <c r="S367">
        <v>76</v>
      </c>
      <c r="T367">
        <v>6.57</v>
      </c>
      <c r="U367">
        <v>56</v>
      </c>
      <c r="V367">
        <v>4.68</v>
      </c>
      <c r="W367">
        <v>66</v>
      </c>
      <c r="X367" t="s">
        <v>428</v>
      </c>
      <c r="Y367" t="s">
        <v>411</v>
      </c>
      <c r="Z367" t="s">
        <v>96</v>
      </c>
      <c r="AA367" t="s">
        <v>1894</v>
      </c>
      <c r="AB367" t="s">
        <v>13493</v>
      </c>
      <c r="AC367">
        <v>233</v>
      </c>
      <c r="AD367">
        <v>85</v>
      </c>
      <c r="AE367">
        <v>98</v>
      </c>
      <c r="AF367">
        <v>224.99</v>
      </c>
      <c r="AG367">
        <v>12.84</v>
      </c>
      <c r="AH367">
        <v>9.32</v>
      </c>
      <c r="AI367">
        <v>7.0000000000000007E-2</v>
      </c>
      <c r="AJ367">
        <v>0.03</v>
      </c>
      <c r="AK367">
        <v>83</v>
      </c>
      <c r="AL367">
        <v>52</v>
      </c>
      <c r="AM367">
        <v>23</v>
      </c>
      <c r="AN367">
        <v>-3.91</v>
      </c>
      <c r="AO367">
        <v>2.5099999999999998</v>
      </c>
      <c r="AP367">
        <v>1110</v>
      </c>
      <c r="AQ367">
        <v>5</v>
      </c>
      <c r="AR367">
        <v>7.81</v>
      </c>
      <c r="AS367">
        <v>86</v>
      </c>
      <c r="AT367">
        <v>3.1</v>
      </c>
      <c r="AU367">
        <v>96</v>
      </c>
      <c r="AV367">
        <v>-2.75</v>
      </c>
      <c r="AW367">
        <v>99</v>
      </c>
      <c r="AX367">
        <v>-0.18</v>
      </c>
      <c r="AY367">
        <v>95</v>
      </c>
      <c r="AZ367">
        <v>5.68</v>
      </c>
      <c r="BA367">
        <v>76</v>
      </c>
      <c r="BB367">
        <v>4.93</v>
      </c>
      <c r="BC367">
        <v>47</v>
      </c>
      <c r="BD367">
        <v>-0.11</v>
      </c>
      <c r="BE367">
        <v>-0.11</v>
      </c>
      <c r="BF367">
        <v>-0.23</v>
      </c>
      <c r="BG367">
        <v>91</v>
      </c>
      <c r="BH367">
        <v>0.08</v>
      </c>
      <c r="BI367">
        <v>-5.85</v>
      </c>
      <c r="BJ367">
        <v>45</v>
      </c>
      <c r="BK367">
        <v>24</v>
      </c>
      <c r="BL367">
        <v>1.3</v>
      </c>
      <c r="BM367">
        <v>1.19</v>
      </c>
      <c r="BN367">
        <v>1.79</v>
      </c>
      <c r="BO367">
        <v>0.65</v>
      </c>
      <c r="BP367">
        <v>0.64</v>
      </c>
      <c r="BQ367">
        <v>1.08</v>
      </c>
      <c r="BR367">
        <v>-1.01</v>
      </c>
      <c r="BS367">
        <v>3.34</v>
      </c>
      <c r="BT367">
        <v>1.64</v>
      </c>
      <c r="BU367">
        <v>3.77</v>
      </c>
      <c r="BV367">
        <v>2.68</v>
      </c>
      <c r="BW367">
        <v>1.87</v>
      </c>
      <c r="BX367">
        <v>3.32</v>
      </c>
      <c r="BY367">
        <v>2.35</v>
      </c>
      <c r="BZ367">
        <v>-1.76</v>
      </c>
      <c r="CA367">
        <v>2.74</v>
      </c>
      <c r="CB367">
        <v>2.61</v>
      </c>
      <c r="CC367">
        <v>1.92</v>
      </c>
      <c r="CD367">
        <v>0.76</v>
      </c>
      <c r="CE367">
        <v>0.94</v>
      </c>
      <c r="CF367">
        <v>2.2400000000000002</v>
      </c>
      <c r="CG367">
        <v>0</v>
      </c>
      <c r="CH367">
        <v>2.2799999999999998</v>
      </c>
      <c r="CI367">
        <v>0</v>
      </c>
      <c r="CJ367">
        <v>-1.3</v>
      </c>
      <c r="CK367">
        <v>96</v>
      </c>
      <c r="CL367">
        <v>-0.95</v>
      </c>
      <c r="CM367">
        <v>95</v>
      </c>
      <c r="CN367">
        <v>-0.5</v>
      </c>
      <c r="CO367">
        <v>95</v>
      </c>
      <c r="CP367">
        <v>-1.5</v>
      </c>
      <c r="CQ367">
        <v>71</v>
      </c>
      <c r="CR367">
        <v>0</v>
      </c>
      <c r="CS367">
        <v>0</v>
      </c>
      <c r="CT367">
        <v>4.9000000000000004</v>
      </c>
      <c r="CU367">
        <v>56</v>
      </c>
      <c r="CV367">
        <v>0.22</v>
      </c>
      <c r="CW367">
        <v>45</v>
      </c>
      <c r="CX367" t="s">
        <v>2693</v>
      </c>
    </row>
    <row r="368" spans="1:102" x14ac:dyDescent="0.3">
      <c r="A368" t="str">
        <f>HYPERLINK("https://webapp.icbf.com/v2/app/bull-search/view/1125358719","JE2049")</f>
        <v>JE2049</v>
      </c>
      <c r="B368" t="s">
        <v>6992</v>
      </c>
      <c r="C368" t="s">
        <v>6993</v>
      </c>
      <c r="D368" s="1">
        <v>41083</v>
      </c>
      <c r="E368" t="s">
        <v>227</v>
      </c>
      <c r="F368">
        <v>0</v>
      </c>
      <c r="G368" t="s">
        <v>109</v>
      </c>
      <c r="H368">
        <v>197.5</v>
      </c>
      <c r="I368">
        <v>84</v>
      </c>
      <c r="J368">
        <v>94.13</v>
      </c>
      <c r="K368">
        <v>95</v>
      </c>
      <c r="L368">
        <v>55.38</v>
      </c>
      <c r="M368">
        <v>78</v>
      </c>
      <c r="N368">
        <v>30.9</v>
      </c>
      <c r="O368">
        <v>82</v>
      </c>
      <c r="P368">
        <v>-40.76</v>
      </c>
      <c r="Q368">
        <v>82</v>
      </c>
      <c r="R368">
        <v>9.19</v>
      </c>
      <c r="S368">
        <v>75</v>
      </c>
      <c r="T368">
        <v>41.43</v>
      </c>
      <c r="U368">
        <v>82</v>
      </c>
      <c r="V368">
        <v>7.23</v>
      </c>
      <c r="W368">
        <v>75</v>
      </c>
      <c r="X368" t="s">
        <v>276</v>
      </c>
      <c r="Y368" t="s">
        <v>405</v>
      </c>
      <c r="Z368">
        <v>0</v>
      </c>
      <c r="AA368" t="s">
        <v>6562</v>
      </c>
      <c r="AB368" t="s">
        <v>6994</v>
      </c>
      <c r="AC368">
        <v>78</v>
      </c>
      <c r="AD368">
        <v>40</v>
      </c>
      <c r="AE368">
        <v>95</v>
      </c>
      <c r="AF368">
        <v>-362.99</v>
      </c>
      <c r="AG368">
        <v>16.260000000000002</v>
      </c>
      <c r="AH368">
        <v>4.7</v>
      </c>
      <c r="AI368">
        <v>0.56999999999999995</v>
      </c>
      <c r="AJ368">
        <v>0.32</v>
      </c>
      <c r="AK368">
        <v>78</v>
      </c>
      <c r="AL368">
        <v>25</v>
      </c>
      <c r="AM368">
        <v>10</v>
      </c>
      <c r="AN368">
        <v>-2.76</v>
      </c>
      <c r="AO368">
        <v>1.66</v>
      </c>
      <c r="AP368">
        <v>180</v>
      </c>
      <c r="AQ368">
        <v>0</v>
      </c>
      <c r="AR368">
        <v>2.63</v>
      </c>
      <c r="AS368">
        <v>81</v>
      </c>
      <c r="AT368">
        <v>1.22</v>
      </c>
      <c r="AU368">
        <v>82</v>
      </c>
      <c r="AV368">
        <v>-1.71</v>
      </c>
      <c r="AW368">
        <v>96</v>
      </c>
      <c r="AX368">
        <v>1.1599999999999999</v>
      </c>
      <c r="AY368">
        <v>77</v>
      </c>
      <c r="AZ368">
        <v>7.06</v>
      </c>
      <c r="BA368">
        <v>64</v>
      </c>
      <c r="BB368">
        <v>5.21</v>
      </c>
      <c r="BC368">
        <v>44</v>
      </c>
      <c r="BD368">
        <v>-0.05</v>
      </c>
      <c r="BE368">
        <v>-0.02</v>
      </c>
      <c r="BF368">
        <v>-0.09</v>
      </c>
      <c r="BG368">
        <v>84</v>
      </c>
      <c r="BH368">
        <v>0.28000000000000003</v>
      </c>
      <c r="BI368">
        <v>9.06</v>
      </c>
      <c r="BJ368">
        <v>0</v>
      </c>
      <c r="BK368">
        <v>0</v>
      </c>
      <c r="BL368">
        <v>-3.45</v>
      </c>
      <c r="BM368">
        <v>-2.21</v>
      </c>
      <c r="BN368">
        <v>-0.71</v>
      </c>
      <c r="BO368">
        <v>1.1100000000000001</v>
      </c>
      <c r="BP368">
        <v>-1.41</v>
      </c>
      <c r="BQ368">
        <v>-6.43</v>
      </c>
      <c r="BR368">
        <v>3.48</v>
      </c>
      <c r="BS368">
        <v>5.6</v>
      </c>
      <c r="BT368">
        <v>-2.2200000000000002</v>
      </c>
      <c r="BU368">
        <v>-1.02</v>
      </c>
      <c r="BV368">
        <v>-0.36</v>
      </c>
      <c r="BW368">
        <v>-2.4300000000000002</v>
      </c>
      <c r="BX368">
        <v>-3.85</v>
      </c>
      <c r="BY368">
        <v>-0.04</v>
      </c>
      <c r="BZ368">
        <v>-1.23</v>
      </c>
      <c r="CA368">
        <v>0.92</v>
      </c>
      <c r="CB368">
        <v>-0.42</v>
      </c>
      <c r="CC368">
        <v>3.35</v>
      </c>
      <c r="CD368">
        <v>-2.2000000000000002</v>
      </c>
      <c r="CE368">
        <v>0.85</v>
      </c>
      <c r="CF368">
        <v>-3.73</v>
      </c>
      <c r="CG368">
        <v>0</v>
      </c>
      <c r="CH368">
        <v>-0.66</v>
      </c>
      <c r="CI368">
        <v>0</v>
      </c>
      <c r="CJ368">
        <v>-21.4</v>
      </c>
      <c r="CK368">
        <v>85</v>
      </c>
      <c r="CL368">
        <v>-0.83</v>
      </c>
      <c r="CM368">
        <v>80</v>
      </c>
      <c r="CN368">
        <v>-0.23</v>
      </c>
      <c r="CO368">
        <v>78</v>
      </c>
      <c r="CP368">
        <v>-35.700000000000003</v>
      </c>
      <c r="CQ368">
        <v>68</v>
      </c>
      <c r="CR368">
        <v>0</v>
      </c>
      <c r="CS368">
        <v>0</v>
      </c>
      <c r="CT368">
        <v>-42.2</v>
      </c>
      <c r="CU368">
        <v>82</v>
      </c>
      <c r="CV368">
        <v>-0.23</v>
      </c>
      <c r="CW368">
        <v>46</v>
      </c>
      <c r="CX368" t="s">
        <v>1637</v>
      </c>
    </row>
    <row r="369" spans="1:102" x14ac:dyDescent="0.3">
      <c r="A369" t="str">
        <f>HYPERLINK("https://webapp.icbf.com/v2/app/bull-search/view/1141980978","FR2119")</f>
        <v>FR2119</v>
      </c>
      <c r="B369" t="s">
        <v>13633</v>
      </c>
      <c r="C369" t="s">
        <v>13634</v>
      </c>
      <c r="D369" s="1">
        <v>41688</v>
      </c>
      <c r="E369" t="s">
        <v>92</v>
      </c>
      <c r="F369">
        <v>63</v>
      </c>
      <c r="G369" t="s">
        <v>93</v>
      </c>
      <c r="H369">
        <v>197.32</v>
      </c>
      <c r="I369">
        <v>88</v>
      </c>
      <c r="J369">
        <v>92.21</v>
      </c>
      <c r="K369">
        <v>99</v>
      </c>
      <c r="L369">
        <v>73.31</v>
      </c>
      <c r="M369">
        <v>78</v>
      </c>
      <c r="N369">
        <v>19.829999999999998</v>
      </c>
      <c r="O369">
        <v>91</v>
      </c>
      <c r="P369">
        <v>-14.77</v>
      </c>
      <c r="Q369">
        <v>97</v>
      </c>
      <c r="R369">
        <v>5.61</v>
      </c>
      <c r="S369">
        <v>84</v>
      </c>
      <c r="T369">
        <v>17.97</v>
      </c>
      <c r="U369">
        <v>81</v>
      </c>
      <c r="V369">
        <v>3.16</v>
      </c>
      <c r="W369">
        <v>77</v>
      </c>
      <c r="X369" t="s">
        <v>94</v>
      </c>
      <c r="Y369" t="s">
        <v>416</v>
      </c>
      <c r="Z369" t="s">
        <v>330</v>
      </c>
      <c r="AA369" t="s">
        <v>2514</v>
      </c>
      <c r="AB369" t="s">
        <v>13635</v>
      </c>
      <c r="AC369">
        <v>795</v>
      </c>
      <c r="AD369">
        <v>266</v>
      </c>
      <c r="AE369">
        <v>99</v>
      </c>
      <c r="AF369">
        <v>-9.65</v>
      </c>
      <c r="AG369">
        <v>15.87</v>
      </c>
      <c r="AH369">
        <v>9.92</v>
      </c>
      <c r="AI369">
        <v>0.28000000000000003</v>
      </c>
      <c r="AJ369">
        <v>0.18</v>
      </c>
      <c r="AK369">
        <v>78</v>
      </c>
      <c r="AL369">
        <v>10</v>
      </c>
      <c r="AM369">
        <v>1</v>
      </c>
      <c r="AN369">
        <v>-2.93</v>
      </c>
      <c r="AO369">
        <v>2.93</v>
      </c>
      <c r="AP369">
        <v>2276</v>
      </c>
      <c r="AQ369">
        <v>16</v>
      </c>
      <c r="AR369">
        <v>7.64</v>
      </c>
      <c r="AS369">
        <v>92</v>
      </c>
      <c r="AT369">
        <v>3.11</v>
      </c>
      <c r="AU369">
        <v>98</v>
      </c>
      <c r="AV369">
        <v>-2.4900000000000002</v>
      </c>
      <c r="AW369">
        <v>99</v>
      </c>
      <c r="AX369">
        <v>0.1</v>
      </c>
      <c r="AY369">
        <v>97</v>
      </c>
      <c r="AZ369">
        <v>7.43</v>
      </c>
      <c r="BA369">
        <v>91</v>
      </c>
      <c r="BB369">
        <v>4.6500000000000004</v>
      </c>
      <c r="BC369">
        <v>47</v>
      </c>
      <c r="BD369">
        <v>0</v>
      </c>
      <c r="BE369">
        <v>-0.01</v>
      </c>
      <c r="BF369">
        <v>-0.11</v>
      </c>
      <c r="BG369">
        <v>96</v>
      </c>
      <c r="BH369">
        <v>-0.13</v>
      </c>
      <c r="BI369">
        <v>-25.24</v>
      </c>
      <c r="BJ369">
        <v>0</v>
      </c>
      <c r="BK369">
        <v>0</v>
      </c>
      <c r="BL369">
        <v>-1.28</v>
      </c>
      <c r="BM369">
        <v>0.35</v>
      </c>
      <c r="BN369">
        <v>-1.69</v>
      </c>
      <c r="BO369">
        <v>-1.65</v>
      </c>
      <c r="BP369">
        <v>-0.49</v>
      </c>
      <c r="BQ369">
        <v>-1.36</v>
      </c>
      <c r="BR369">
        <v>1.49</v>
      </c>
      <c r="BS369">
        <v>0.28999999999999998</v>
      </c>
      <c r="BT369">
        <v>-1.97</v>
      </c>
      <c r="BU369">
        <v>-0.12</v>
      </c>
      <c r="BV369">
        <v>-0.34</v>
      </c>
      <c r="BW369">
        <v>-0.86</v>
      </c>
      <c r="BX369">
        <v>-1.68</v>
      </c>
      <c r="BY369">
        <v>-1.06</v>
      </c>
      <c r="BZ369">
        <v>0.1</v>
      </c>
      <c r="CA369">
        <v>0.21</v>
      </c>
      <c r="CB369">
        <v>0.17</v>
      </c>
      <c r="CC369">
        <v>-1.01</v>
      </c>
      <c r="CD369">
        <v>0.7</v>
      </c>
      <c r="CE369">
        <v>-0.9</v>
      </c>
      <c r="CF369">
        <v>-2.13</v>
      </c>
      <c r="CG369">
        <v>0</v>
      </c>
      <c r="CH369">
        <v>-0.11</v>
      </c>
      <c r="CI369">
        <v>0</v>
      </c>
      <c r="CJ369">
        <v>-3.8</v>
      </c>
      <c r="CK369">
        <v>99</v>
      </c>
      <c r="CL369">
        <v>-0.75</v>
      </c>
      <c r="CM369">
        <v>99</v>
      </c>
      <c r="CN369">
        <v>0.06</v>
      </c>
      <c r="CO369">
        <v>98</v>
      </c>
      <c r="CP369">
        <v>-7.2</v>
      </c>
      <c r="CQ369">
        <v>80</v>
      </c>
      <c r="CR369">
        <v>0</v>
      </c>
      <c r="CS369">
        <v>0</v>
      </c>
      <c r="CT369">
        <v>-10.5</v>
      </c>
      <c r="CU369">
        <v>81</v>
      </c>
      <c r="CV369">
        <v>0.33</v>
      </c>
      <c r="CW369">
        <v>51</v>
      </c>
      <c r="CX369" t="s">
        <v>4821</v>
      </c>
    </row>
    <row r="370" spans="1:102" x14ac:dyDescent="0.3">
      <c r="A370" t="str">
        <f>HYPERLINK("https://webapp.icbf.com/v2/app/bull-search/view/552732631","BFQ")</f>
        <v>BFQ</v>
      </c>
      <c r="B370" t="s">
        <v>12123</v>
      </c>
      <c r="C370" t="s">
        <v>12124</v>
      </c>
      <c r="D370" s="1">
        <v>39475</v>
      </c>
      <c r="E370" t="s">
        <v>227</v>
      </c>
      <c r="F370">
        <v>0</v>
      </c>
      <c r="G370" t="s">
        <v>93</v>
      </c>
      <c r="H370">
        <v>197.13</v>
      </c>
      <c r="I370">
        <v>86</v>
      </c>
      <c r="J370">
        <v>45.96</v>
      </c>
      <c r="K370">
        <v>96</v>
      </c>
      <c r="L370">
        <v>73.77</v>
      </c>
      <c r="M370">
        <v>79</v>
      </c>
      <c r="N370">
        <v>52.9</v>
      </c>
      <c r="O370">
        <v>83</v>
      </c>
      <c r="P370">
        <v>-61.18</v>
      </c>
      <c r="Q370">
        <v>87</v>
      </c>
      <c r="R370">
        <v>7.99</v>
      </c>
      <c r="S370">
        <v>80</v>
      </c>
      <c r="T370">
        <v>68.510000000000005</v>
      </c>
      <c r="U370">
        <v>83</v>
      </c>
      <c r="V370">
        <v>9.18</v>
      </c>
      <c r="W370">
        <v>83</v>
      </c>
      <c r="X370" t="s">
        <v>94</v>
      </c>
      <c r="Y370" t="s">
        <v>319</v>
      </c>
      <c r="Z370">
        <v>0</v>
      </c>
      <c r="AA370" t="s">
        <v>4189</v>
      </c>
      <c r="AB370" t="s">
        <v>12125</v>
      </c>
      <c r="AC370">
        <v>64</v>
      </c>
      <c r="AD370">
        <v>34</v>
      </c>
      <c r="AE370">
        <v>96</v>
      </c>
      <c r="AF370">
        <v>-540.44000000000005</v>
      </c>
      <c r="AG370">
        <v>12.28</v>
      </c>
      <c r="AH370">
        <v>-4.8</v>
      </c>
      <c r="AI370">
        <v>0.64</v>
      </c>
      <c r="AJ370">
        <v>0.26</v>
      </c>
      <c r="AK370">
        <v>79</v>
      </c>
      <c r="AL370">
        <v>69</v>
      </c>
      <c r="AM370">
        <v>33</v>
      </c>
      <c r="AN370">
        <v>-2.72</v>
      </c>
      <c r="AO370">
        <v>3.18</v>
      </c>
      <c r="AP370">
        <v>87</v>
      </c>
      <c r="AQ370">
        <v>0</v>
      </c>
      <c r="AR370">
        <v>2.68</v>
      </c>
      <c r="AS370">
        <v>76</v>
      </c>
      <c r="AT370">
        <v>1.35</v>
      </c>
      <c r="AU370">
        <v>79</v>
      </c>
      <c r="AV370">
        <v>-4.12</v>
      </c>
      <c r="AW370">
        <v>95</v>
      </c>
      <c r="AX370">
        <v>-0.87</v>
      </c>
      <c r="AY370">
        <v>80</v>
      </c>
      <c r="AZ370">
        <v>8.1</v>
      </c>
      <c r="BA370">
        <v>62</v>
      </c>
      <c r="BB370">
        <v>5.22</v>
      </c>
      <c r="BC370">
        <v>66</v>
      </c>
      <c r="BD370">
        <v>-7.0000000000000007E-2</v>
      </c>
      <c r="BE370">
        <v>-0.03</v>
      </c>
      <c r="BF370">
        <v>-0.01</v>
      </c>
      <c r="BG370">
        <v>87</v>
      </c>
      <c r="BH370">
        <v>0.24</v>
      </c>
      <c r="BI370">
        <v>-1.84</v>
      </c>
      <c r="BJ370">
        <v>25</v>
      </c>
      <c r="BK370">
        <v>8</v>
      </c>
      <c r="BL370">
        <v>-3.64</v>
      </c>
      <c r="BM370">
        <v>-1.87</v>
      </c>
      <c r="BN370">
        <v>-1.67</v>
      </c>
      <c r="BO370">
        <v>-0.22</v>
      </c>
      <c r="BP370">
        <v>-1.05</v>
      </c>
      <c r="BQ370">
        <v>-5.46</v>
      </c>
      <c r="BR370">
        <v>2.14</v>
      </c>
      <c r="BS370">
        <v>5.83</v>
      </c>
      <c r="BT370">
        <v>-1.99</v>
      </c>
      <c r="BU370">
        <v>-1.1599999999999999</v>
      </c>
      <c r="BV370">
        <v>-0.63</v>
      </c>
      <c r="BW370">
        <v>-2.78</v>
      </c>
      <c r="BX370">
        <v>-3.49</v>
      </c>
      <c r="BY370">
        <v>-1.67</v>
      </c>
      <c r="BZ370">
        <v>-1.01</v>
      </c>
      <c r="CA370">
        <v>0.7</v>
      </c>
      <c r="CB370">
        <v>-0.56999999999999995</v>
      </c>
      <c r="CC370">
        <v>2.95</v>
      </c>
      <c r="CD370">
        <v>-1.52</v>
      </c>
      <c r="CE370">
        <v>-0.35</v>
      </c>
      <c r="CF370">
        <v>-3.54</v>
      </c>
      <c r="CG370">
        <v>0</v>
      </c>
      <c r="CH370">
        <v>-0.86</v>
      </c>
      <c r="CI370">
        <v>0</v>
      </c>
      <c r="CJ370">
        <v>-33.6</v>
      </c>
      <c r="CK370">
        <v>89</v>
      </c>
      <c r="CL370">
        <v>-0.96</v>
      </c>
      <c r="CM370">
        <v>86</v>
      </c>
      <c r="CN370">
        <v>-0.25</v>
      </c>
      <c r="CO370">
        <v>84</v>
      </c>
      <c r="CP370">
        <v>-52.2</v>
      </c>
      <c r="CQ370">
        <v>82</v>
      </c>
      <c r="CR370">
        <v>0</v>
      </c>
      <c r="CS370">
        <v>0</v>
      </c>
      <c r="CT370">
        <v>-78.8</v>
      </c>
      <c r="CU370">
        <v>83</v>
      </c>
      <c r="CV370">
        <v>-0.33</v>
      </c>
      <c r="CW370">
        <v>43</v>
      </c>
      <c r="CX370" t="s">
        <v>5426</v>
      </c>
    </row>
    <row r="371" spans="1:102" x14ac:dyDescent="0.3">
      <c r="A371" t="str">
        <f>HYPERLINK("https://webapp.icbf.com/v2/app/bull-search/view/866064550","PGF")</f>
        <v>PGF</v>
      </c>
      <c r="B371" t="s">
        <v>13091</v>
      </c>
      <c r="C371" t="s">
        <v>13092</v>
      </c>
      <c r="D371" s="1">
        <v>40604</v>
      </c>
      <c r="E371" t="s">
        <v>92</v>
      </c>
      <c r="F371">
        <v>63</v>
      </c>
      <c r="G371" t="s">
        <v>93</v>
      </c>
      <c r="H371">
        <v>197.05</v>
      </c>
      <c r="I371">
        <v>88</v>
      </c>
      <c r="J371">
        <v>101.83</v>
      </c>
      <c r="K371">
        <v>98</v>
      </c>
      <c r="L371">
        <v>60.11</v>
      </c>
      <c r="M371">
        <v>79</v>
      </c>
      <c r="N371">
        <v>30.83</v>
      </c>
      <c r="O371">
        <v>89</v>
      </c>
      <c r="P371">
        <v>-19.36</v>
      </c>
      <c r="Q371">
        <v>94</v>
      </c>
      <c r="R371">
        <v>4.41</v>
      </c>
      <c r="S371">
        <v>80</v>
      </c>
      <c r="T371">
        <v>17.010000000000002</v>
      </c>
      <c r="U371">
        <v>85</v>
      </c>
      <c r="V371">
        <v>2.2200000000000002</v>
      </c>
      <c r="W371">
        <v>77</v>
      </c>
      <c r="X371" t="s">
        <v>94</v>
      </c>
      <c r="Y371" t="s">
        <v>1860</v>
      </c>
      <c r="Z371" t="s">
        <v>330</v>
      </c>
      <c r="AA371" t="s">
        <v>392</v>
      </c>
      <c r="AB371" t="s">
        <v>13093</v>
      </c>
      <c r="AC371">
        <v>155</v>
      </c>
      <c r="AD371">
        <v>76</v>
      </c>
      <c r="AE371">
        <v>98</v>
      </c>
      <c r="AF371">
        <v>122.76</v>
      </c>
      <c r="AG371">
        <v>21.76</v>
      </c>
      <c r="AH371">
        <v>11.5</v>
      </c>
      <c r="AI371">
        <v>0.28999999999999998</v>
      </c>
      <c r="AJ371">
        <v>0.13</v>
      </c>
      <c r="AK371">
        <v>79</v>
      </c>
      <c r="AL371">
        <v>153</v>
      </c>
      <c r="AM371">
        <v>82</v>
      </c>
      <c r="AN371">
        <v>-2.81</v>
      </c>
      <c r="AO371">
        <v>1.99</v>
      </c>
      <c r="AP371">
        <v>353</v>
      </c>
      <c r="AQ371">
        <v>11</v>
      </c>
      <c r="AR371">
        <v>6.87</v>
      </c>
      <c r="AS371">
        <v>76</v>
      </c>
      <c r="AT371">
        <v>2.57</v>
      </c>
      <c r="AU371">
        <v>91</v>
      </c>
      <c r="AV371">
        <v>-3.14</v>
      </c>
      <c r="AW371">
        <v>98</v>
      </c>
      <c r="AX371">
        <v>0.59</v>
      </c>
      <c r="AY371">
        <v>87</v>
      </c>
      <c r="AZ371">
        <v>6.37</v>
      </c>
      <c r="BA371">
        <v>73</v>
      </c>
      <c r="BB371">
        <v>4.8099999999999996</v>
      </c>
      <c r="BC371">
        <v>69</v>
      </c>
      <c r="BD371">
        <v>-0.05</v>
      </c>
      <c r="BE371">
        <v>-0.02</v>
      </c>
      <c r="BF371">
        <v>0.02</v>
      </c>
      <c r="BG371">
        <v>91</v>
      </c>
      <c r="BH371">
        <v>-0.11</v>
      </c>
      <c r="BI371">
        <v>-19.899999999999999</v>
      </c>
      <c r="BJ371">
        <v>0</v>
      </c>
      <c r="BK371">
        <v>0</v>
      </c>
      <c r="BL371">
        <v>-1.72</v>
      </c>
      <c r="BM371">
        <v>-7.0000000000000007E-2</v>
      </c>
      <c r="BN371">
        <v>-1.75</v>
      </c>
      <c r="BO371">
        <v>-1.71</v>
      </c>
      <c r="BP371">
        <v>3.49</v>
      </c>
      <c r="BQ371">
        <v>-2.02</v>
      </c>
      <c r="BR371">
        <v>2.83</v>
      </c>
      <c r="BS371">
        <v>-0.39</v>
      </c>
      <c r="BT371">
        <v>-2.38</v>
      </c>
      <c r="BU371">
        <v>-2.39</v>
      </c>
      <c r="BV371">
        <v>-2.54</v>
      </c>
      <c r="BW371">
        <v>-3.15</v>
      </c>
      <c r="BX371">
        <v>-1.34</v>
      </c>
      <c r="BY371">
        <v>-2.75</v>
      </c>
      <c r="BZ371">
        <v>-0.17</v>
      </c>
      <c r="CA371">
        <v>-2.9</v>
      </c>
      <c r="CB371">
        <v>-2.88</v>
      </c>
      <c r="CC371">
        <v>-1.51</v>
      </c>
      <c r="CD371">
        <v>1.17</v>
      </c>
      <c r="CE371">
        <v>-1.1299999999999999</v>
      </c>
      <c r="CF371">
        <v>-2.79</v>
      </c>
      <c r="CG371">
        <v>0</v>
      </c>
      <c r="CH371">
        <v>-3.4</v>
      </c>
      <c r="CI371">
        <v>0</v>
      </c>
      <c r="CJ371">
        <v>-6.7</v>
      </c>
      <c r="CK371">
        <v>95</v>
      </c>
      <c r="CL371">
        <v>-0.93</v>
      </c>
      <c r="CM371">
        <v>94</v>
      </c>
      <c r="CN371">
        <v>-7.0000000000000007E-2</v>
      </c>
      <c r="CO371">
        <v>93</v>
      </c>
      <c r="CP371">
        <v>-8.9</v>
      </c>
      <c r="CQ371">
        <v>85</v>
      </c>
      <c r="CR371">
        <v>0</v>
      </c>
      <c r="CS371">
        <v>0</v>
      </c>
      <c r="CT371">
        <v>-9.1999999999999993</v>
      </c>
      <c r="CU371">
        <v>85</v>
      </c>
      <c r="CV371">
        <v>0.25</v>
      </c>
      <c r="CW371">
        <v>45</v>
      </c>
      <c r="CX371" t="s">
        <v>1242</v>
      </c>
    </row>
    <row r="372" spans="1:102" x14ac:dyDescent="0.3">
      <c r="A372" t="str">
        <f>HYPERLINK("https://webapp.icbf.com/v2/app/bull-search/view/910807616","ZBA")</f>
        <v>ZBA</v>
      </c>
      <c r="B372" t="s">
        <v>9320</v>
      </c>
      <c r="C372" t="s">
        <v>9321</v>
      </c>
      <c r="D372" s="1">
        <v>40382</v>
      </c>
      <c r="E372" t="s">
        <v>108</v>
      </c>
      <c r="F372">
        <v>44</v>
      </c>
      <c r="G372" t="s">
        <v>93</v>
      </c>
      <c r="H372">
        <v>196.83</v>
      </c>
      <c r="I372">
        <v>84</v>
      </c>
      <c r="J372">
        <v>41.75</v>
      </c>
      <c r="K372">
        <v>97</v>
      </c>
      <c r="L372">
        <v>99.44</v>
      </c>
      <c r="M372">
        <v>76</v>
      </c>
      <c r="N372">
        <v>42.56</v>
      </c>
      <c r="O372">
        <v>82</v>
      </c>
      <c r="P372">
        <v>-35.130000000000003</v>
      </c>
      <c r="Q372">
        <v>92</v>
      </c>
      <c r="R372">
        <v>14.86</v>
      </c>
      <c r="S372">
        <v>69</v>
      </c>
      <c r="T372">
        <v>27.44</v>
      </c>
      <c r="U372">
        <v>79</v>
      </c>
      <c r="V372">
        <v>5.91</v>
      </c>
      <c r="W372">
        <v>65</v>
      </c>
      <c r="X372" t="s">
        <v>276</v>
      </c>
      <c r="Y372" t="s">
        <v>2066</v>
      </c>
      <c r="Z372" t="s">
        <v>330</v>
      </c>
      <c r="AA372" t="s">
        <v>9322</v>
      </c>
      <c r="AB372" t="s">
        <v>144</v>
      </c>
      <c r="AC372">
        <v>118</v>
      </c>
      <c r="AD372">
        <v>38</v>
      </c>
      <c r="AE372">
        <v>97</v>
      </c>
      <c r="AF372">
        <v>-43.1</v>
      </c>
      <c r="AG372">
        <v>9.36</v>
      </c>
      <c r="AH372">
        <v>3.13</v>
      </c>
      <c r="AI372">
        <v>0.19</v>
      </c>
      <c r="AJ372">
        <v>0.08</v>
      </c>
      <c r="AK372">
        <v>76</v>
      </c>
      <c r="AL372">
        <v>118</v>
      </c>
      <c r="AM372">
        <v>43</v>
      </c>
      <c r="AN372">
        <v>-4.63</v>
      </c>
      <c r="AO372">
        <v>3.31</v>
      </c>
      <c r="AP372">
        <v>215</v>
      </c>
      <c r="AQ372">
        <v>0</v>
      </c>
      <c r="AR372">
        <v>4.74</v>
      </c>
      <c r="AS372">
        <v>79</v>
      </c>
      <c r="AT372">
        <v>2.15</v>
      </c>
      <c r="AU372">
        <v>83</v>
      </c>
      <c r="AV372">
        <v>-3.36</v>
      </c>
      <c r="AW372">
        <v>97</v>
      </c>
      <c r="AX372">
        <v>-1.03</v>
      </c>
      <c r="AY372">
        <v>82</v>
      </c>
      <c r="AZ372">
        <v>6.78</v>
      </c>
      <c r="BA372">
        <v>62</v>
      </c>
      <c r="BB372">
        <v>5.03</v>
      </c>
      <c r="BC372">
        <v>43</v>
      </c>
      <c r="BD372">
        <v>-0.04</v>
      </c>
      <c r="BE372">
        <v>-0.05</v>
      </c>
      <c r="BF372">
        <v>-0.18</v>
      </c>
      <c r="BG372">
        <v>84</v>
      </c>
      <c r="BH372">
        <v>0.14000000000000001</v>
      </c>
      <c r="BI372">
        <v>-2.87</v>
      </c>
      <c r="BJ372">
        <v>0</v>
      </c>
      <c r="BK372">
        <v>0</v>
      </c>
      <c r="BL372">
        <v>-2.8</v>
      </c>
      <c r="BM372">
        <v>0.65</v>
      </c>
      <c r="BN372">
        <v>-1.37</v>
      </c>
      <c r="BO372">
        <v>-1.35</v>
      </c>
      <c r="BP372">
        <v>-1.48</v>
      </c>
      <c r="BQ372">
        <v>-2.94</v>
      </c>
      <c r="BR372">
        <v>2.02</v>
      </c>
      <c r="BS372">
        <v>-0.83</v>
      </c>
      <c r="BT372">
        <v>-0.56000000000000005</v>
      </c>
      <c r="BU372">
        <v>-0.43</v>
      </c>
      <c r="BV372">
        <v>-1.99</v>
      </c>
      <c r="BW372">
        <v>-2.1800000000000002</v>
      </c>
      <c r="BX372">
        <v>-0.32</v>
      </c>
      <c r="BY372">
        <v>-0.81</v>
      </c>
      <c r="BZ372">
        <v>0.86</v>
      </c>
      <c r="CA372">
        <v>-1.58</v>
      </c>
      <c r="CB372">
        <v>-1.2</v>
      </c>
      <c r="CC372">
        <v>-1.02</v>
      </c>
      <c r="CD372">
        <v>0.76</v>
      </c>
      <c r="CE372">
        <v>-0.8</v>
      </c>
      <c r="CF372">
        <v>-0.87</v>
      </c>
      <c r="CG372">
        <v>0</v>
      </c>
      <c r="CH372">
        <v>-1.24</v>
      </c>
      <c r="CI372">
        <v>0</v>
      </c>
      <c r="CJ372">
        <v>-15</v>
      </c>
      <c r="CK372">
        <v>94</v>
      </c>
      <c r="CL372">
        <v>-0.91</v>
      </c>
      <c r="CM372">
        <v>93</v>
      </c>
      <c r="CN372">
        <v>0.15</v>
      </c>
      <c r="CO372">
        <v>92</v>
      </c>
      <c r="CP372">
        <v>-21.9</v>
      </c>
      <c r="CQ372">
        <v>69</v>
      </c>
      <c r="CR372">
        <v>0</v>
      </c>
      <c r="CS372">
        <v>0</v>
      </c>
      <c r="CT372">
        <v>-23.3</v>
      </c>
      <c r="CU372">
        <v>79</v>
      </c>
      <c r="CV372">
        <v>0.11</v>
      </c>
      <c r="CW372">
        <v>44</v>
      </c>
      <c r="CX372" t="s">
        <v>331</v>
      </c>
    </row>
    <row r="373" spans="1:102" x14ac:dyDescent="0.3">
      <c r="A373" t="str">
        <f>HYPERLINK("https://webapp.icbf.com/v2/app/bull-search/view/760402252","GFM")</f>
        <v>GFM</v>
      </c>
      <c r="B373" t="s">
        <v>7568</v>
      </c>
      <c r="C373" t="s">
        <v>7569</v>
      </c>
      <c r="D373" s="1">
        <v>40030</v>
      </c>
      <c r="E373" t="s">
        <v>92</v>
      </c>
      <c r="F373">
        <v>50</v>
      </c>
      <c r="G373" t="s">
        <v>109</v>
      </c>
      <c r="H373">
        <v>196.73</v>
      </c>
      <c r="I373">
        <v>77</v>
      </c>
      <c r="J373">
        <v>73.03</v>
      </c>
      <c r="K373">
        <v>90</v>
      </c>
      <c r="L373">
        <v>74.78</v>
      </c>
      <c r="M373">
        <v>77</v>
      </c>
      <c r="N373">
        <v>44.01</v>
      </c>
      <c r="O373">
        <v>66</v>
      </c>
      <c r="P373">
        <v>-19.190000000000001</v>
      </c>
      <c r="Q373">
        <v>74</v>
      </c>
      <c r="R373">
        <v>-0.97</v>
      </c>
      <c r="S373">
        <v>70</v>
      </c>
      <c r="T373">
        <v>14.2</v>
      </c>
      <c r="U373">
        <v>49</v>
      </c>
      <c r="V373">
        <v>10.87</v>
      </c>
      <c r="W373">
        <v>56</v>
      </c>
      <c r="X373" t="s">
        <v>276</v>
      </c>
      <c r="Y373" t="s">
        <v>329</v>
      </c>
      <c r="Z373" t="s">
        <v>330</v>
      </c>
      <c r="AA373" t="s">
        <v>331</v>
      </c>
      <c r="AB373" t="s">
        <v>7570</v>
      </c>
      <c r="AC373">
        <v>0</v>
      </c>
      <c r="AD373">
        <v>0</v>
      </c>
      <c r="AE373">
        <v>90</v>
      </c>
      <c r="AF373">
        <v>370.97</v>
      </c>
      <c r="AG373">
        <v>8.9</v>
      </c>
      <c r="AH373">
        <v>14.95</v>
      </c>
      <c r="AI373">
        <v>-0.09</v>
      </c>
      <c r="AJ373">
        <v>0.04</v>
      </c>
      <c r="AK373">
        <v>77</v>
      </c>
      <c r="AL373">
        <v>0</v>
      </c>
      <c r="AM373">
        <v>0</v>
      </c>
      <c r="AN373">
        <v>-5.1100000000000003</v>
      </c>
      <c r="AO373">
        <v>0.84</v>
      </c>
      <c r="AP373">
        <v>13</v>
      </c>
      <c r="AQ373">
        <v>0</v>
      </c>
      <c r="AR373">
        <v>4.6900000000000004</v>
      </c>
      <c r="AS373">
        <v>49</v>
      </c>
      <c r="AT373">
        <v>1.71</v>
      </c>
      <c r="AU373">
        <v>79</v>
      </c>
      <c r="AV373">
        <v>-3.58</v>
      </c>
      <c r="AW373">
        <v>76</v>
      </c>
      <c r="AX373">
        <v>0.06</v>
      </c>
      <c r="AY373">
        <v>55</v>
      </c>
      <c r="AZ373">
        <v>6.52</v>
      </c>
      <c r="BA373">
        <v>39</v>
      </c>
      <c r="BB373">
        <v>5.16</v>
      </c>
      <c r="BC373">
        <v>39</v>
      </c>
      <c r="BD373">
        <v>-0.01</v>
      </c>
      <c r="BE373">
        <v>0.01</v>
      </c>
      <c r="BF373">
        <v>0.02</v>
      </c>
      <c r="BG373">
        <v>90</v>
      </c>
      <c r="BH373">
        <v>0.21</v>
      </c>
      <c r="BI373">
        <v>-10.77</v>
      </c>
      <c r="BJ373">
        <v>0</v>
      </c>
      <c r="BK373">
        <v>0</v>
      </c>
      <c r="BL373">
        <v>-1.91</v>
      </c>
      <c r="BM373">
        <v>1.4</v>
      </c>
      <c r="BN373">
        <v>-0.37</v>
      </c>
      <c r="BO373">
        <v>-0.95</v>
      </c>
      <c r="BP373">
        <v>0</v>
      </c>
      <c r="BQ373">
        <v>-1.31</v>
      </c>
      <c r="BR373">
        <v>1.59</v>
      </c>
      <c r="BS373">
        <v>-0.74</v>
      </c>
      <c r="BT373">
        <v>-0.52</v>
      </c>
      <c r="BU373">
        <v>-1.97</v>
      </c>
      <c r="BV373">
        <v>-2.66</v>
      </c>
      <c r="BW373">
        <v>-2.48</v>
      </c>
      <c r="BX373">
        <v>-1.9</v>
      </c>
      <c r="BY373">
        <v>-0.73</v>
      </c>
      <c r="BZ373">
        <v>-0.25</v>
      </c>
      <c r="CA373">
        <v>-2.15</v>
      </c>
      <c r="CB373">
        <v>-2.0699999999999998</v>
      </c>
      <c r="CC373">
        <v>-1.0900000000000001</v>
      </c>
      <c r="CD373">
        <v>0.97</v>
      </c>
      <c r="CE373">
        <v>-0.31</v>
      </c>
      <c r="CF373">
        <v>-0.64</v>
      </c>
      <c r="CG373">
        <v>0</v>
      </c>
      <c r="CH373">
        <v>-0.52</v>
      </c>
      <c r="CI373">
        <v>0</v>
      </c>
      <c r="CJ373">
        <v>-4.0999999999999996</v>
      </c>
      <c r="CK373">
        <v>77</v>
      </c>
      <c r="CL373">
        <v>-0.93</v>
      </c>
      <c r="CM373">
        <v>73</v>
      </c>
      <c r="CN373">
        <v>0.19</v>
      </c>
      <c r="CO373">
        <v>71</v>
      </c>
      <c r="CP373">
        <v>-11.4</v>
      </c>
      <c r="CQ373">
        <v>55</v>
      </c>
      <c r="CR373">
        <v>0</v>
      </c>
      <c r="CS373">
        <v>0</v>
      </c>
      <c r="CT373">
        <v>-5.4</v>
      </c>
      <c r="CU373">
        <v>49</v>
      </c>
      <c r="CV373">
        <v>0.3</v>
      </c>
      <c r="CW373">
        <v>41</v>
      </c>
      <c r="CX373" t="s">
        <v>320</v>
      </c>
    </row>
    <row r="374" spans="1:102" x14ac:dyDescent="0.3">
      <c r="A374" t="str">
        <f>HYPERLINK("https://webapp.icbf.com/v2/app/bull-search/view/860903453","WKY")</f>
        <v>WKY</v>
      </c>
      <c r="B374" t="s">
        <v>15461</v>
      </c>
      <c r="C374" t="s">
        <v>15462</v>
      </c>
      <c r="D374" s="1">
        <v>40581</v>
      </c>
      <c r="E374" t="s">
        <v>92</v>
      </c>
      <c r="F374">
        <v>59</v>
      </c>
      <c r="G374" t="s">
        <v>435</v>
      </c>
      <c r="H374">
        <v>196.67</v>
      </c>
      <c r="I374">
        <v>66</v>
      </c>
      <c r="J374">
        <v>49.06</v>
      </c>
      <c r="K374">
        <v>81</v>
      </c>
      <c r="L374">
        <v>97.95</v>
      </c>
      <c r="M374">
        <v>54</v>
      </c>
      <c r="N374">
        <v>43.12</v>
      </c>
      <c r="O374">
        <v>62</v>
      </c>
      <c r="P374">
        <v>-19.54</v>
      </c>
      <c r="Q374">
        <v>74</v>
      </c>
      <c r="R374">
        <v>-0.72</v>
      </c>
      <c r="S374">
        <v>54</v>
      </c>
      <c r="T374">
        <v>25.81</v>
      </c>
      <c r="U374">
        <v>59</v>
      </c>
      <c r="V374">
        <v>0.99</v>
      </c>
      <c r="W374">
        <v>55</v>
      </c>
      <c r="X374" t="s">
        <v>102</v>
      </c>
      <c r="Y374" t="s">
        <v>1860</v>
      </c>
      <c r="Z374" t="s">
        <v>330</v>
      </c>
      <c r="AA374" t="s">
        <v>2727</v>
      </c>
      <c r="AB374" t="s">
        <v>15463</v>
      </c>
      <c r="AC374">
        <v>7</v>
      </c>
      <c r="AD374">
        <v>3</v>
      </c>
      <c r="AE374">
        <v>81</v>
      </c>
      <c r="AF374">
        <v>-91.34</v>
      </c>
      <c r="AG374">
        <v>10.050000000000001</v>
      </c>
      <c r="AH374">
        <v>3.39</v>
      </c>
      <c r="AI374">
        <v>0.24</v>
      </c>
      <c r="AJ374">
        <v>0.12</v>
      </c>
      <c r="AK374">
        <v>54</v>
      </c>
      <c r="AL374">
        <v>12</v>
      </c>
      <c r="AM374">
        <v>6</v>
      </c>
      <c r="AN374">
        <v>-5.44</v>
      </c>
      <c r="AO374">
        <v>2.37</v>
      </c>
      <c r="AP374">
        <v>20</v>
      </c>
      <c r="AQ374">
        <v>0</v>
      </c>
      <c r="AR374">
        <v>5.34</v>
      </c>
      <c r="AS374">
        <v>47</v>
      </c>
      <c r="AT374">
        <v>1.73</v>
      </c>
      <c r="AU374">
        <v>62</v>
      </c>
      <c r="AV374">
        <v>-3.8</v>
      </c>
      <c r="AW374">
        <v>74</v>
      </c>
      <c r="AX374">
        <v>0.03</v>
      </c>
      <c r="AY374">
        <v>62</v>
      </c>
      <c r="AZ374">
        <v>7.13</v>
      </c>
      <c r="BA374">
        <v>37</v>
      </c>
      <c r="BB374">
        <v>5.26</v>
      </c>
      <c r="BC374">
        <v>37</v>
      </c>
      <c r="BD374">
        <v>0.01</v>
      </c>
      <c r="BE374">
        <v>0</v>
      </c>
      <c r="BF374">
        <v>0</v>
      </c>
      <c r="BG374">
        <v>64</v>
      </c>
      <c r="BH374">
        <v>-0.12</v>
      </c>
      <c r="BI374">
        <v>-17.079999999999998</v>
      </c>
      <c r="BJ374">
        <v>0</v>
      </c>
      <c r="BK374">
        <v>0</v>
      </c>
      <c r="BL374">
        <v>-2.4700000000000002</v>
      </c>
      <c r="BM374">
        <v>1.02</v>
      </c>
      <c r="BN374">
        <v>-0.52</v>
      </c>
      <c r="BO374">
        <v>-2.02</v>
      </c>
      <c r="BP374">
        <v>-0.47</v>
      </c>
      <c r="BQ374">
        <v>-2.2999999999999998</v>
      </c>
      <c r="BR374">
        <v>1.1299999999999999</v>
      </c>
      <c r="BS374">
        <v>-1.68</v>
      </c>
      <c r="BT374">
        <v>-2.06</v>
      </c>
      <c r="BU374">
        <v>-0.87</v>
      </c>
      <c r="BV374">
        <v>-0.74</v>
      </c>
      <c r="BW374">
        <v>-0.63</v>
      </c>
      <c r="BX374">
        <v>-1.69</v>
      </c>
      <c r="BY374">
        <v>-0.45</v>
      </c>
      <c r="BZ374">
        <v>0.66</v>
      </c>
      <c r="CA374">
        <v>-0.89</v>
      </c>
      <c r="CB374">
        <v>-0.63</v>
      </c>
      <c r="CC374">
        <v>-1.1299999999999999</v>
      </c>
      <c r="CD374">
        <v>1.53</v>
      </c>
      <c r="CE374">
        <v>-0.84</v>
      </c>
      <c r="CF374">
        <v>-1.31</v>
      </c>
      <c r="CG374">
        <v>0</v>
      </c>
      <c r="CH374">
        <v>-1.05</v>
      </c>
      <c r="CI374">
        <v>0</v>
      </c>
      <c r="CJ374">
        <v>-9.6</v>
      </c>
      <c r="CK374">
        <v>77</v>
      </c>
      <c r="CL374">
        <v>-0.64</v>
      </c>
      <c r="CM374">
        <v>73</v>
      </c>
      <c r="CN374">
        <v>-0.26</v>
      </c>
      <c r="CO374">
        <v>71</v>
      </c>
      <c r="CP374">
        <v>-18.2</v>
      </c>
      <c r="CQ374">
        <v>60</v>
      </c>
      <c r="CR374">
        <v>0</v>
      </c>
      <c r="CS374">
        <v>0</v>
      </c>
      <c r="CT374">
        <v>-21.1</v>
      </c>
      <c r="CU374">
        <v>59</v>
      </c>
      <c r="CV374">
        <v>0.02</v>
      </c>
      <c r="CW374">
        <v>41</v>
      </c>
      <c r="CX374" t="s">
        <v>14348</v>
      </c>
    </row>
    <row r="375" spans="1:102" x14ac:dyDescent="0.3">
      <c r="A375" t="str">
        <f>HYPERLINK("https://webapp.icbf.com/v2/app/bull-search/view/1141510060","ZSP")</f>
        <v>ZSP</v>
      </c>
      <c r="B375" t="s">
        <v>13432</v>
      </c>
      <c r="C375" t="s">
        <v>13433</v>
      </c>
      <c r="D375" s="1">
        <v>40379</v>
      </c>
      <c r="E375" t="s">
        <v>92</v>
      </c>
      <c r="F375">
        <v>63</v>
      </c>
      <c r="G375" t="s">
        <v>93</v>
      </c>
      <c r="H375">
        <v>196.61</v>
      </c>
      <c r="I375">
        <v>94</v>
      </c>
      <c r="J375">
        <v>100.24</v>
      </c>
      <c r="K375">
        <v>99</v>
      </c>
      <c r="L375">
        <v>60.24</v>
      </c>
      <c r="M375">
        <v>89</v>
      </c>
      <c r="N375">
        <v>47.18</v>
      </c>
      <c r="O375">
        <v>97</v>
      </c>
      <c r="P375">
        <v>-29.21</v>
      </c>
      <c r="Q375">
        <v>98</v>
      </c>
      <c r="R375">
        <v>-2.81</v>
      </c>
      <c r="S375">
        <v>87</v>
      </c>
      <c r="T375">
        <v>14.71</v>
      </c>
      <c r="U375">
        <v>97</v>
      </c>
      <c r="V375">
        <v>6.26</v>
      </c>
      <c r="W375">
        <v>77</v>
      </c>
      <c r="X375" t="s">
        <v>276</v>
      </c>
      <c r="Y375" t="s">
        <v>422</v>
      </c>
      <c r="Z375" t="s">
        <v>2130</v>
      </c>
      <c r="AA375" t="s">
        <v>2278</v>
      </c>
      <c r="AB375" t="s">
        <v>144</v>
      </c>
      <c r="AC375">
        <v>757</v>
      </c>
      <c r="AD375">
        <v>158</v>
      </c>
      <c r="AE375">
        <v>99</v>
      </c>
      <c r="AF375">
        <v>3.29</v>
      </c>
      <c r="AG375">
        <v>19.5</v>
      </c>
      <c r="AH375">
        <v>10.199999999999999</v>
      </c>
      <c r="AI375">
        <v>0.34</v>
      </c>
      <c r="AJ375">
        <v>0.18</v>
      </c>
      <c r="AK375">
        <v>89</v>
      </c>
      <c r="AL375">
        <v>880</v>
      </c>
      <c r="AM375">
        <v>179</v>
      </c>
      <c r="AN375">
        <v>-2.84</v>
      </c>
      <c r="AO375">
        <v>1.97</v>
      </c>
      <c r="AP375">
        <v>6975</v>
      </c>
      <c r="AQ375">
        <v>20</v>
      </c>
      <c r="AR375">
        <v>5.27</v>
      </c>
      <c r="AS375">
        <v>99</v>
      </c>
      <c r="AT375">
        <v>2.0499999999999998</v>
      </c>
      <c r="AU375">
        <v>99</v>
      </c>
      <c r="AV375">
        <v>-4.6100000000000003</v>
      </c>
      <c r="AW375">
        <v>99</v>
      </c>
      <c r="AX375">
        <v>0.11</v>
      </c>
      <c r="AY375">
        <v>99</v>
      </c>
      <c r="AZ375">
        <v>7.59</v>
      </c>
      <c r="BA375">
        <v>89</v>
      </c>
      <c r="BB375">
        <v>5.18</v>
      </c>
      <c r="BC375">
        <v>85</v>
      </c>
      <c r="BD375">
        <v>0.01</v>
      </c>
      <c r="BE375">
        <v>0.02</v>
      </c>
      <c r="BF375">
        <v>0.01</v>
      </c>
      <c r="BG375">
        <v>97</v>
      </c>
      <c r="BH375">
        <v>0.21</v>
      </c>
      <c r="BI375">
        <v>4.09</v>
      </c>
      <c r="BJ375">
        <v>0</v>
      </c>
      <c r="BK375">
        <v>0</v>
      </c>
      <c r="BL375">
        <v>-1.51</v>
      </c>
      <c r="BM375">
        <v>1.68</v>
      </c>
      <c r="BN375">
        <v>0.31</v>
      </c>
      <c r="BO375">
        <v>0</v>
      </c>
      <c r="BP375">
        <v>-0.4</v>
      </c>
      <c r="BQ375">
        <v>-2.1</v>
      </c>
      <c r="BR375">
        <v>2.61</v>
      </c>
      <c r="BS375">
        <v>0</v>
      </c>
      <c r="BT375">
        <v>0</v>
      </c>
      <c r="BU375">
        <v>-0.13</v>
      </c>
      <c r="BV375">
        <v>0.21</v>
      </c>
      <c r="BW375">
        <v>-0.51</v>
      </c>
      <c r="BX375">
        <v>0</v>
      </c>
      <c r="BY375">
        <v>-0.13</v>
      </c>
      <c r="BZ375">
        <v>0</v>
      </c>
      <c r="CA375">
        <v>-0.33</v>
      </c>
      <c r="CB375">
        <v>-0.27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-15.7</v>
      </c>
      <c r="CK375">
        <v>99</v>
      </c>
      <c r="CL375">
        <v>-0.8</v>
      </c>
      <c r="CM375">
        <v>99</v>
      </c>
      <c r="CN375">
        <v>-0.28000000000000003</v>
      </c>
      <c r="CO375">
        <v>98</v>
      </c>
      <c r="CP375">
        <v>-17.100000000000001</v>
      </c>
      <c r="CQ375">
        <v>93</v>
      </c>
      <c r="CR375">
        <v>0</v>
      </c>
      <c r="CS375">
        <v>0</v>
      </c>
      <c r="CT375">
        <v>-6.1</v>
      </c>
      <c r="CU375">
        <v>97</v>
      </c>
      <c r="CV375">
        <v>-7.0000000000000007E-2</v>
      </c>
      <c r="CW375">
        <v>47</v>
      </c>
      <c r="CX375" t="s">
        <v>1700</v>
      </c>
    </row>
    <row r="376" spans="1:102" x14ac:dyDescent="0.3">
      <c r="A376" t="str">
        <f>HYPERLINK("https://webapp.icbf.com/v2/app/bull-search/view/501133434","MJI")</f>
        <v>MJI</v>
      </c>
      <c r="B376" t="s">
        <v>12091</v>
      </c>
      <c r="C376" t="s">
        <v>6284</v>
      </c>
      <c r="D376" s="1">
        <v>39137</v>
      </c>
      <c r="E376" t="s">
        <v>92</v>
      </c>
      <c r="F376">
        <v>88</v>
      </c>
      <c r="G376" t="s">
        <v>93</v>
      </c>
      <c r="H376">
        <v>196.57</v>
      </c>
      <c r="I376">
        <v>99</v>
      </c>
      <c r="J376">
        <v>34.04</v>
      </c>
      <c r="K376">
        <v>99</v>
      </c>
      <c r="L376">
        <v>113.62</v>
      </c>
      <c r="M376">
        <v>98</v>
      </c>
      <c r="N376">
        <v>43.95</v>
      </c>
      <c r="O376">
        <v>99</v>
      </c>
      <c r="P376">
        <v>-8.5500000000000007</v>
      </c>
      <c r="Q376">
        <v>99</v>
      </c>
      <c r="R376">
        <v>10.18</v>
      </c>
      <c r="S376">
        <v>98</v>
      </c>
      <c r="T376">
        <v>3.47</v>
      </c>
      <c r="U376">
        <v>99</v>
      </c>
      <c r="V376">
        <v>-0.14000000000000001</v>
      </c>
      <c r="W376">
        <v>98</v>
      </c>
      <c r="X376" t="s">
        <v>276</v>
      </c>
      <c r="Y376" t="s">
        <v>228</v>
      </c>
      <c r="Z376" t="s">
        <v>96</v>
      </c>
      <c r="AA376" t="s">
        <v>316</v>
      </c>
      <c r="AB376" t="s">
        <v>5917</v>
      </c>
      <c r="AC376">
        <v>6691</v>
      </c>
      <c r="AD376">
        <v>1545</v>
      </c>
      <c r="AE376">
        <v>99</v>
      </c>
      <c r="AF376">
        <v>36.93</v>
      </c>
      <c r="AG376">
        <v>7.42</v>
      </c>
      <c r="AH376">
        <v>3.73</v>
      </c>
      <c r="AI376">
        <v>0.1</v>
      </c>
      <c r="AJ376">
        <v>0.04</v>
      </c>
      <c r="AK376">
        <v>98</v>
      </c>
      <c r="AL376">
        <v>7476</v>
      </c>
      <c r="AM376">
        <v>1887</v>
      </c>
      <c r="AN376">
        <v>-5.52</v>
      </c>
      <c r="AO376">
        <v>3.55</v>
      </c>
      <c r="AP376">
        <v>12725</v>
      </c>
      <c r="AQ376">
        <v>136</v>
      </c>
      <c r="AR376">
        <v>3.95</v>
      </c>
      <c r="AS376">
        <v>99</v>
      </c>
      <c r="AT376">
        <v>1.73</v>
      </c>
      <c r="AU376">
        <v>99</v>
      </c>
      <c r="AV376">
        <v>-4.05</v>
      </c>
      <c r="AW376">
        <v>99</v>
      </c>
      <c r="AX376">
        <v>-0.36</v>
      </c>
      <c r="AY376">
        <v>99</v>
      </c>
      <c r="AZ376">
        <v>7.69</v>
      </c>
      <c r="BA376">
        <v>99</v>
      </c>
      <c r="BB376">
        <v>5.93</v>
      </c>
      <c r="BC376">
        <v>99</v>
      </c>
      <c r="BD376">
        <v>0</v>
      </c>
      <c r="BE376">
        <v>-0.06</v>
      </c>
      <c r="BF376">
        <v>-0.12</v>
      </c>
      <c r="BG376">
        <v>99</v>
      </c>
      <c r="BH376">
        <v>0.05</v>
      </c>
      <c r="BI376">
        <v>6.24</v>
      </c>
      <c r="BJ376">
        <v>292</v>
      </c>
      <c r="BK376">
        <v>99</v>
      </c>
      <c r="BL376">
        <v>-0.75</v>
      </c>
      <c r="BM376">
        <v>2.38</v>
      </c>
      <c r="BN376">
        <v>-1.3</v>
      </c>
      <c r="BO376">
        <v>-2.74</v>
      </c>
      <c r="BP376">
        <v>-0.16</v>
      </c>
      <c r="BQ376">
        <v>-0.15</v>
      </c>
      <c r="BR376">
        <v>-2.77</v>
      </c>
      <c r="BS376">
        <v>-1.39</v>
      </c>
      <c r="BT376">
        <v>1.41</v>
      </c>
      <c r="BU376">
        <v>-1.07</v>
      </c>
      <c r="BV376">
        <v>-1.21</v>
      </c>
      <c r="BW376">
        <v>-1.49</v>
      </c>
      <c r="BX376">
        <v>0.1</v>
      </c>
      <c r="BY376">
        <v>0.23</v>
      </c>
      <c r="BZ376">
        <v>-1.1200000000000001</v>
      </c>
      <c r="CA376">
        <v>-0.7</v>
      </c>
      <c r="CB376">
        <v>-0.76</v>
      </c>
      <c r="CC376">
        <v>-0.53</v>
      </c>
      <c r="CD376">
        <v>3.07</v>
      </c>
      <c r="CE376">
        <v>-2.37</v>
      </c>
      <c r="CF376">
        <v>-0.39</v>
      </c>
      <c r="CG376">
        <v>0</v>
      </c>
      <c r="CH376">
        <v>0.17</v>
      </c>
      <c r="CI376">
        <v>0</v>
      </c>
      <c r="CJ376">
        <v>-1.7</v>
      </c>
      <c r="CK376">
        <v>99</v>
      </c>
      <c r="CL376">
        <v>-0.45</v>
      </c>
      <c r="CM376">
        <v>99</v>
      </c>
      <c r="CN376">
        <v>0.11</v>
      </c>
      <c r="CO376">
        <v>99</v>
      </c>
      <c r="CP376">
        <v>-1.8</v>
      </c>
      <c r="CQ376">
        <v>99</v>
      </c>
      <c r="CR376">
        <v>0</v>
      </c>
      <c r="CS376">
        <v>0</v>
      </c>
      <c r="CT376">
        <v>9.1</v>
      </c>
      <c r="CU376">
        <v>99</v>
      </c>
      <c r="CV376">
        <v>0.15</v>
      </c>
      <c r="CW376">
        <v>50</v>
      </c>
      <c r="CX376" t="s">
        <v>1390</v>
      </c>
    </row>
    <row r="377" spans="1:102" x14ac:dyDescent="0.3">
      <c r="A377" t="str">
        <f>HYPERLINK("https://webapp.icbf.com/v2/app/bull-search/view/910813354","JE4270")</f>
        <v>JE4270</v>
      </c>
      <c r="B377" t="s">
        <v>13817</v>
      </c>
      <c r="C377" t="s">
        <v>13818</v>
      </c>
      <c r="D377" s="1">
        <v>40372</v>
      </c>
      <c r="E377" t="s">
        <v>227</v>
      </c>
      <c r="F377">
        <v>44</v>
      </c>
      <c r="G377" t="s">
        <v>109</v>
      </c>
      <c r="H377">
        <v>196.43</v>
      </c>
      <c r="I377">
        <v>76</v>
      </c>
      <c r="J377">
        <v>90.28</v>
      </c>
      <c r="K377">
        <v>88</v>
      </c>
      <c r="L377">
        <v>63.38</v>
      </c>
      <c r="M377">
        <v>69</v>
      </c>
      <c r="N377">
        <v>42.75</v>
      </c>
      <c r="O377">
        <v>88</v>
      </c>
      <c r="P377">
        <v>-36.33</v>
      </c>
      <c r="Q377">
        <v>86</v>
      </c>
      <c r="R377">
        <v>-0.89</v>
      </c>
      <c r="S377">
        <v>68</v>
      </c>
      <c r="T377">
        <v>26.78</v>
      </c>
      <c r="U377">
        <v>50</v>
      </c>
      <c r="V377">
        <v>10.46</v>
      </c>
      <c r="W377">
        <v>52</v>
      </c>
      <c r="X377" t="s">
        <v>276</v>
      </c>
      <c r="Y377" t="s">
        <v>1923</v>
      </c>
      <c r="Z377">
        <v>0</v>
      </c>
      <c r="AA377" t="s">
        <v>6360</v>
      </c>
      <c r="AB377" t="s">
        <v>13819</v>
      </c>
      <c r="AC377">
        <v>0</v>
      </c>
      <c r="AD377">
        <v>0</v>
      </c>
      <c r="AE377">
        <v>88</v>
      </c>
      <c r="AF377">
        <v>27.81</v>
      </c>
      <c r="AG377">
        <v>13.99</v>
      </c>
      <c r="AH377">
        <v>10.83</v>
      </c>
      <c r="AI377">
        <v>0.22</v>
      </c>
      <c r="AJ377">
        <v>0.17</v>
      </c>
      <c r="AK377">
        <v>69</v>
      </c>
      <c r="AL377">
        <v>0</v>
      </c>
      <c r="AM377">
        <v>0</v>
      </c>
      <c r="AN377">
        <v>-1.5</v>
      </c>
      <c r="AO377">
        <v>3.58</v>
      </c>
      <c r="AP377">
        <v>4762</v>
      </c>
      <c r="AQ377">
        <v>7</v>
      </c>
      <c r="AR377">
        <v>4.42</v>
      </c>
      <c r="AS377">
        <v>99</v>
      </c>
      <c r="AT377">
        <v>1.98</v>
      </c>
      <c r="AU377">
        <v>98</v>
      </c>
      <c r="AV377">
        <v>-4.04</v>
      </c>
      <c r="AW377">
        <v>99</v>
      </c>
      <c r="AX377">
        <v>0.38</v>
      </c>
      <c r="AY377">
        <v>98</v>
      </c>
      <c r="AZ377">
        <v>7.04</v>
      </c>
      <c r="BA377">
        <v>34</v>
      </c>
      <c r="BB377">
        <v>5.57</v>
      </c>
      <c r="BC377">
        <v>35</v>
      </c>
      <c r="BD377">
        <v>-0.01</v>
      </c>
      <c r="BE377">
        <v>0.03</v>
      </c>
      <c r="BF377">
        <v>-0.02</v>
      </c>
      <c r="BG377">
        <v>87</v>
      </c>
      <c r="BH377">
        <v>0.16</v>
      </c>
      <c r="BI377">
        <v>-15.24</v>
      </c>
      <c r="BJ377">
        <v>0</v>
      </c>
      <c r="BK377">
        <v>0</v>
      </c>
      <c r="BL377">
        <v>-2.65</v>
      </c>
      <c r="BM377">
        <v>1.07</v>
      </c>
      <c r="BN377">
        <v>0.02</v>
      </c>
      <c r="BO377">
        <v>0</v>
      </c>
      <c r="BP377">
        <v>1.29</v>
      </c>
      <c r="BQ377">
        <v>-4.0199999999999996</v>
      </c>
      <c r="BR377">
        <v>1.42</v>
      </c>
      <c r="BS377">
        <v>0</v>
      </c>
      <c r="BT377">
        <v>0</v>
      </c>
      <c r="BU377">
        <v>-0.18</v>
      </c>
      <c r="BV377">
        <v>-1.32</v>
      </c>
      <c r="BW377">
        <v>-1.37</v>
      </c>
      <c r="BX377">
        <v>0</v>
      </c>
      <c r="BY377">
        <v>-1.43</v>
      </c>
      <c r="BZ377">
        <v>0</v>
      </c>
      <c r="CA377">
        <v>-0.8</v>
      </c>
      <c r="CB377">
        <v>-0.82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-18.7</v>
      </c>
      <c r="CK377">
        <v>90</v>
      </c>
      <c r="CL377">
        <v>-1.04</v>
      </c>
      <c r="CM377">
        <v>87</v>
      </c>
      <c r="CN377">
        <v>-0.37</v>
      </c>
      <c r="CO377">
        <v>85</v>
      </c>
      <c r="CP377">
        <v>-27.5</v>
      </c>
      <c r="CQ377">
        <v>54</v>
      </c>
      <c r="CR377">
        <v>0</v>
      </c>
      <c r="CS377">
        <v>0</v>
      </c>
      <c r="CT377">
        <v>-22.4</v>
      </c>
      <c r="CU377">
        <v>50</v>
      </c>
      <c r="CV377">
        <v>-0.08</v>
      </c>
      <c r="CW377">
        <v>45</v>
      </c>
      <c r="CX377" t="s">
        <v>1831</v>
      </c>
    </row>
    <row r="378" spans="1:102" x14ac:dyDescent="0.3">
      <c r="A378" t="str">
        <f>HYPERLINK("https://webapp.icbf.com/v2/app/bull-search/view/861452540","KYZ")</f>
        <v>KYZ</v>
      </c>
      <c r="B378" t="s">
        <v>13025</v>
      </c>
      <c r="C378" t="s">
        <v>13026</v>
      </c>
      <c r="D378" s="1">
        <v>40582</v>
      </c>
      <c r="E378" t="s">
        <v>92</v>
      </c>
      <c r="F378">
        <v>75</v>
      </c>
      <c r="G378" t="s">
        <v>93</v>
      </c>
      <c r="H378">
        <v>196.39</v>
      </c>
      <c r="I378">
        <v>94</v>
      </c>
      <c r="J378">
        <v>100.19</v>
      </c>
      <c r="K378">
        <v>99</v>
      </c>
      <c r="L378">
        <v>63.44</v>
      </c>
      <c r="M378">
        <v>89</v>
      </c>
      <c r="N378">
        <v>29.49</v>
      </c>
      <c r="O378">
        <v>96</v>
      </c>
      <c r="P378">
        <v>-14.93</v>
      </c>
      <c r="Q378">
        <v>98</v>
      </c>
      <c r="R378">
        <v>4.45</v>
      </c>
      <c r="S378">
        <v>89</v>
      </c>
      <c r="T378">
        <v>11.09</v>
      </c>
      <c r="U378">
        <v>96</v>
      </c>
      <c r="V378">
        <v>2.66</v>
      </c>
      <c r="W378">
        <v>82</v>
      </c>
      <c r="X378" t="s">
        <v>94</v>
      </c>
      <c r="Y378" t="s">
        <v>1860</v>
      </c>
      <c r="Z378" t="s">
        <v>96</v>
      </c>
      <c r="AA378" t="s">
        <v>1942</v>
      </c>
      <c r="AB378" t="s">
        <v>13027</v>
      </c>
      <c r="AC378">
        <v>882</v>
      </c>
      <c r="AD378">
        <v>376</v>
      </c>
      <c r="AE378">
        <v>99</v>
      </c>
      <c r="AF378">
        <v>288.2</v>
      </c>
      <c r="AG378">
        <v>14.9</v>
      </c>
      <c r="AH378">
        <v>16.18</v>
      </c>
      <c r="AI378">
        <v>0.06</v>
      </c>
      <c r="AJ378">
        <v>0.11</v>
      </c>
      <c r="AK378">
        <v>89</v>
      </c>
      <c r="AL378">
        <v>634</v>
      </c>
      <c r="AM378">
        <v>281</v>
      </c>
      <c r="AN378">
        <v>-1.84</v>
      </c>
      <c r="AO378">
        <v>3.24</v>
      </c>
      <c r="AP378">
        <v>1788</v>
      </c>
      <c r="AQ378">
        <v>12</v>
      </c>
      <c r="AR378">
        <v>6.42</v>
      </c>
      <c r="AS378">
        <v>92</v>
      </c>
      <c r="AT378">
        <v>2.13</v>
      </c>
      <c r="AU378">
        <v>98</v>
      </c>
      <c r="AV378">
        <v>-1.78</v>
      </c>
      <c r="AW378">
        <v>99</v>
      </c>
      <c r="AX378">
        <v>0.01</v>
      </c>
      <c r="AY378">
        <v>97</v>
      </c>
      <c r="AZ378">
        <v>5.24</v>
      </c>
      <c r="BA378">
        <v>91</v>
      </c>
      <c r="BB378">
        <v>4.34</v>
      </c>
      <c r="BC378">
        <v>86</v>
      </c>
      <c r="BD378">
        <v>-0.02</v>
      </c>
      <c r="BE378">
        <v>-0.01</v>
      </c>
      <c r="BF378">
        <v>-0.05</v>
      </c>
      <c r="BG378">
        <v>97</v>
      </c>
      <c r="BH378">
        <v>0.04</v>
      </c>
      <c r="BI378">
        <v>-3.95</v>
      </c>
      <c r="BJ378">
        <v>37</v>
      </c>
      <c r="BK378">
        <v>17</v>
      </c>
      <c r="BL378">
        <v>0.11</v>
      </c>
      <c r="BM378">
        <v>-1.1000000000000001</v>
      </c>
      <c r="BN378">
        <v>-2.25</v>
      </c>
      <c r="BO378">
        <v>-0.85</v>
      </c>
      <c r="BP378">
        <v>2.63</v>
      </c>
      <c r="BQ378">
        <v>-1.08</v>
      </c>
      <c r="BR378">
        <v>-1.0900000000000001</v>
      </c>
      <c r="BS378">
        <v>-2.06</v>
      </c>
      <c r="BT378">
        <v>-0.11</v>
      </c>
      <c r="BU378">
        <v>-1.1599999999999999</v>
      </c>
      <c r="BV378">
        <v>-0.87</v>
      </c>
      <c r="BW378">
        <v>-0.39</v>
      </c>
      <c r="BX378">
        <v>0.01</v>
      </c>
      <c r="BY378">
        <v>-0.85</v>
      </c>
      <c r="BZ378">
        <v>-0.71</v>
      </c>
      <c r="CA378">
        <v>-1.37</v>
      </c>
      <c r="CB378">
        <v>-0.93</v>
      </c>
      <c r="CC378">
        <v>-1.93</v>
      </c>
      <c r="CD378">
        <v>-0.28000000000000003</v>
      </c>
      <c r="CE378">
        <v>-0.37</v>
      </c>
      <c r="CF378">
        <v>-1.1299999999999999</v>
      </c>
      <c r="CG378">
        <v>0</v>
      </c>
      <c r="CH378">
        <v>-0.86</v>
      </c>
      <c r="CI378">
        <v>0</v>
      </c>
      <c r="CJ378">
        <v>-3.4</v>
      </c>
      <c r="CK378">
        <v>99</v>
      </c>
      <c r="CL378">
        <v>-0.93</v>
      </c>
      <c r="CM378">
        <v>99</v>
      </c>
      <c r="CN378">
        <v>-0.02</v>
      </c>
      <c r="CO378">
        <v>98</v>
      </c>
      <c r="CP378">
        <v>-5.8</v>
      </c>
      <c r="CQ378">
        <v>94</v>
      </c>
      <c r="CR378">
        <v>0</v>
      </c>
      <c r="CS378">
        <v>0</v>
      </c>
      <c r="CT378">
        <v>-1.2</v>
      </c>
      <c r="CU378">
        <v>96</v>
      </c>
      <c r="CV378">
        <v>0.14000000000000001</v>
      </c>
      <c r="CW378">
        <v>49</v>
      </c>
      <c r="CX378" t="s">
        <v>7828</v>
      </c>
    </row>
    <row r="379" spans="1:102" x14ac:dyDescent="0.3">
      <c r="A379" t="str">
        <f>HYPERLINK("https://webapp.icbf.com/v2/app/bull-search/view/1353022828","FR4133")</f>
        <v>FR4133</v>
      </c>
      <c r="B379" t="s">
        <v>7927</v>
      </c>
      <c r="C379" t="s">
        <v>7928</v>
      </c>
      <c r="D379" s="1">
        <v>42397</v>
      </c>
      <c r="E379" t="s">
        <v>108</v>
      </c>
      <c r="F379">
        <v>6</v>
      </c>
      <c r="G379" t="s">
        <v>435</v>
      </c>
      <c r="H379">
        <v>196.25</v>
      </c>
      <c r="I379">
        <v>67</v>
      </c>
      <c r="J379">
        <v>37.979999999999997</v>
      </c>
      <c r="K379">
        <v>83</v>
      </c>
      <c r="L379">
        <v>141</v>
      </c>
      <c r="M379">
        <v>57</v>
      </c>
      <c r="N379">
        <v>24.52</v>
      </c>
      <c r="O379">
        <v>75</v>
      </c>
      <c r="P379">
        <v>-16.14</v>
      </c>
      <c r="Q379">
        <v>56</v>
      </c>
      <c r="R379">
        <v>-0.09</v>
      </c>
      <c r="S379">
        <v>57</v>
      </c>
      <c r="T379">
        <v>6.94</v>
      </c>
      <c r="U379">
        <v>49</v>
      </c>
      <c r="V379">
        <v>2.04</v>
      </c>
      <c r="W379">
        <v>53</v>
      </c>
      <c r="X379" t="s">
        <v>102</v>
      </c>
      <c r="Y379" t="s">
        <v>436</v>
      </c>
      <c r="Z379" t="s">
        <v>96</v>
      </c>
      <c r="AA379" t="s">
        <v>7620</v>
      </c>
      <c r="AB379" t="s">
        <v>7929</v>
      </c>
      <c r="AC379">
        <v>0</v>
      </c>
      <c r="AD379">
        <v>0</v>
      </c>
      <c r="AE379">
        <v>83</v>
      </c>
      <c r="AF379">
        <v>-115.24</v>
      </c>
      <c r="AG379">
        <v>4.03</v>
      </c>
      <c r="AH379">
        <v>3.27</v>
      </c>
      <c r="AI379">
        <v>0.15</v>
      </c>
      <c r="AJ379">
        <v>0.13</v>
      </c>
      <c r="AK379">
        <v>57</v>
      </c>
      <c r="AL379">
        <v>0</v>
      </c>
      <c r="AM379">
        <v>0</v>
      </c>
      <c r="AN379">
        <v>-8.82</v>
      </c>
      <c r="AO379">
        <v>2.41</v>
      </c>
      <c r="AP379">
        <v>130</v>
      </c>
      <c r="AQ379">
        <v>0</v>
      </c>
      <c r="AR379">
        <v>6.98</v>
      </c>
      <c r="AS379">
        <v>50</v>
      </c>
      <c r="AT379">
        <v>2.84</v>
      </c>
      <c r="AU379">
        <v>81</v>
      </c>
      <c r="AV379">
        <v>-3.08</v>
      </c>
      <c r="AW379">
        <v>92</v>
      </c>
      <c r="AX379">
        <v>-0.4</v>
      </c>
      <c r="AY379">
        <v>72</v>
      </c>
      <c r="AZ379">
        <v>7.39</v>
      </c>
      <c r="BA379">
        <v>39</v>
      </c>
      <c r="BB379">
        <v>5.66</v>
      </c>
      <c r="BC379">
        <v>35</v>
      </c>
      <c r="BD379">
        <v>0</v>
      </c>
      <c r="BE379">
        <v>-0.02</v>
      </c>
      <c r="BF379">
        <v>0.04</v>
      </c>
      <c r="BG379">
        <v>65</v>
      </c>
      <c r="BH379">
        <v>7.0000000000000007E-2</v>
      </c>
      <c r="BI379">
        <v>1.52</v>
      </c>
      <c r="BJ379">
        <v>0</v>
      </c>
      <c r="BK379">
        <v>0</v>
      </c>
      <c r="BL379">
        <v>-3.05</v>
      </c>
      <c r="BM379">
        <v>1.4</v>
      </c>
      <c r="BN379">
        <v>-2.29</v>
      </c>
      <c r="BO379">
        <v>-2.68</v>
      </c>
      <c r="BP379">
        <v>-1.95</v>
      </c>
      <c r="BQ379">
        <v>0.74</v>
      </c>
      <c r="BR379">
        <v>-2.98</v>
      </c>
      <c r="BS379">
        <v>1.26</v>
      </c>
      <c r="BT379">
        <v>1.71</v>
      </c>
      <c r="BU379">
        <v>-2.65</v>
      </c>
      <c r="BV379">
        <v>-2.16</v>
      </c>
      <c r="BW379">
        <v>-1.1200000000000001</v>
      </c>
      <c r="BX379">
        <v>-1.23</v>
      </c>
      <c r="BY379">
        <v>-0.95</v>
      </c>
      <c r="BZ379">
        <v>-0.38</v>
      </c>
      <c r="CA379">
        <v>-1.38</v>
      </c>
      <c r="CB379">
        <v>-1.82</v>
      </c>
      <c r="CC379">
        <v>-0.46</v>
      </c>
      <c r="CD379">
        <v>2.2999999999999998</v>
      </c>
      <c r="CE379">
        <v>-2.56</v>
      </c>
      <c r="CF379">
        <v>-2.21</v>
      </c>
      <c r="CG379">
        <v>0</v>
      </c>
      <c r="CH379">
        <v>-0.27</v>
      </c>
      <c r="CI379">
        <v>0</v>
      </c>
      <c r="CJ379">
        <v>-10.7</v>
      </c>
      <c r="CK379">
        <v>60</v>
      </c>
      <c r="CL379">
        <v>-0.3</v>
      </c>
      <c r="CM379">
        <v>50</v>
      </c>
      <c r="CN379">
        <v>-0.28000000000000003</v>
      </c>
      <c r="CO379">
        <v>50</v>
      </c>
      <c r="CP379">
        <v>-10.4</v>
      </c>
      <c r="CQ379">
        <v>48</v>
      </c>
      <c r="CR379">
        <v>0</v>
      </c>
      <c r="CS379">
        <v>0</v>
      </c>
      <c r="CT379">
        <v>4.4000000000000004</v>
      </c>
      <c r="CU379">
        <v>49</v>
      </c>
      <c r="CV379">
        <v>-0.03</v>
      </c>
      <c r="CW379">
        <v>39</v>
      </c>
      <c r="CX379" t="s">
        <v>7930</v>
      </c>
    </row>
    <row r="380" spans="1:102" x14ac:dyDescent="0.3">
      <c r="A380" t="str">
        <f>HYPERLINK("https://webapp.icbf.com/v2/app/bull-search/view/864325371","FLG")</f>
        <v>FLG</v>
      </c>
      <c r="B380" t="s">
        <v>9141</v>
      </c>
      <c r="C380" t="s">
        <v>9142</v>
      </c>
      <c r="D380" s="1">
        <v>40586</v>
      </c>
      <c r="E380" t="s">
        <v>92</v>
      </c>
      <c r="F380">
        <v>66</v>
      </c>
      <c r="G380" t="s">
        <v>93</v>
      </c>
      <c r="H380">
        <v>196.13</v>
      </c>
      <c r="I380">
        <v>88</v>
      </c>
      <c r="J380">
        <v>64.680000000000007</v>
      </c>
      <c r="K380">
        <v>98</v>
      </c>
      <c r="L380">
        <v>84.61</v>
      </c>
      <c r="M380">
        <v>78</v>
      </c>
      <c r="N380">
        <v>41.03</v>
      </c>
      <c r="O380">
        <v>89</v>
      </c>
      <c r="P380">
        <v>-20.27</v>
      </c>
      <c r="Q380">
        <v>95</v>
      </c>
      <c r="R380">
        <v>8.3800000000000008</v>
      </c>
      <c r="S380">
        <v>80</v>
      </c>
      <c r="T380">
        <v>14.27</v>
      </c>
      <c r="U380">
        <v>89</v>
      </c>
      <c r="V380">
        <v>3.43</v>
      </c>
      <c r="W380">
        <v>75</v>
      </c>
      <c r="X380" t="s">
        <v>102</v>
      </c>
      <c r="Y380" t="s">
        <v>1860</v>
      </c>
      <c r="Z380" t="s">
        <v>330</v>
      </c>
      <c r="AA380" t="s">
        <v>392</v>
      </c>
      <c r="AB380" t="s">
        <v>9143</v>
      </c>
      <c r="AC380">
        <v>146</v>
      </c>
      <c r="AD380">
        <v>47</v>
      </c>
      <c r="AE380">
        <v>98</v>
      </c>
      <c r="AF380">
        <v>23.92</v>
      </c>
      <c r="AG380">
        <v>13.53</v>
      </c>
      <c r="AH380">
        <v>6.58</v>
      </c>
      <c r="AI380">
        <v>0.22</v>
      </c>
      <c r="AJ380">
        <v>0.1</v>
      </c>
      <c r="AK380">
        <v>78</v>
      </c>
      <c r="AL380">
        <v>179</v>
      </c>
      <c r="AM380">
        <v>68</v>
      </c>
      <c r="AN380">
        <v>-5.99</v>
      </c>
      <c r="AO380">
        <v>0.74</v>
      </c>
      <c r="AP380">
        <v>353</v>
      </c>
      <c r="AQ380">
        <v>3</v>
      </c>
      <c r="AR380">
        <v>4.6900000000000004</v>
      </c>
      <c r="AS380">
        <v>85</v>
      </c>
      <c r="AT380">
        <v>2.2200000000000002</v>
      </c>
      <c r="AU380">
        <v>90</v>
      </c>
      <c r="AV380">
        <v>-3.11</v>
      </c>
      <c r="AW380">
        <v>98</v>
      </c>
      <c r="AX380">
        <v>-0.23</v>
      </c>
      <c r="AY380">
        <v>87</v>
      </c>
      <c r="AZ380">
        <v>6.65</v>
      </c>
      <c r="BA380">
        <v>73</v>
      </c>
      <c r="BB380">
        <v>4.4800000000000004</v>
      </c>
      <c r="BC380">
        <v>68</v>
      </c>
      <c r="BD380">
        <v>-0.04</v>
      </c>
      <c r="BE380">
        <v>-0.04</v>
      </c>
      <c r="BF380">
        <v>-0.05</v>
      </c>
      <c r="BG380">
        <v>90</v>
      </c>
      <c r="BH380">
        <v>-0.08</v>
      </c>
      <c r="BI380">
        <v>-20.309999999999999</v>
      </c>
      <c r="BJ380">
        <v>0</v>
      </c>
      <c r="BK380">
        <v>0</v>
      </c>
      <c r="BL380">
        <v>-1.95</v>
      </c>
      <c r="BM380">
        <v>0.34</v>
      </c>
      <c r="BN380">
        <v>-1.32</v>
      </c>
      <c r="BO380">
        <v>-1.54</v>
      </c>
      <c r="BP380">
        <v>2.74</v>
      </c>
      <c r="BQ380">
        <v>-1.96</v>
      </c>
      <c r="BR380">
        <v>1.35</v>
      </c>
      <c r="BS380">
        <v>0.53</v>
      </c>
      <c r="BT380">
        <v>-2.5</v>
      </c>
      <c r="BU380">
        <v>-3.53</v>
      </c>
      <c r="BV380">
        <v>-2.88</v>
      </c>
      <c r="BW380">
        <v>-4.26</v>
      </c>
      <c r="BX380">
        <v>-3.23</v>
      </c>
      <c r="BY380">
        <v>-2.4</v>
      </c>
      <c r="BZ380">
        <v>1.24</v>
      </c>
      <c r="CA380">
        <v>-2.64</v>
      </c>
      <c r="CB380">
        <v>-3.51</v>
      </c>
      <c r="CC380">
        <v>-0.27</v>
      </c>
      <c r="CD380">
        <v>1.17</v>
      </c>
      <c r="CE380">
        <v>-0.89</v>
      </c>
      <c r="CF380">
        <v>-2.6</v>
      </c>
      <c r="CG380">
        <v>0</v>
      </c>
      <c r="CH380">
        <v>-4.1500000000000004</v>
      </c>
      <c r="CI380">
        <v>0</v>
      </c>
      <c r="CJ380">
        <v>-10.7</v>
      </c>
      <c r="CK380">
        <v>96</v>
      </c>
      <c r="CL380">
        <v>-0.67</v>
      </c>
      <c r="CM380">
        <v>95</v>
      </c>
      <c r="CN380">
        <v>-0.27</v>
      </c>
      <c r="CO380">
        <v>94</v>
      </c>
      <c r="CP380">
        <v>-11.7</v>
      </c>
      <c r="CQ380">
        <v>84</v>
      </c>
      <c r="CR380">
        <v>0</v>
      </c>
      <c r="CS380">
        <v>0</v>
      </c>
      <c r="CT380">
        <v>-5.5</v>
      </c>
      <c r="CU380">
        <v>89</v>
      </c>
      <c r="CV380">
        <v>-0.03</v>
      </c>
      <c r="CW380">
        <v>45</v>
      </c>
      <c r="CX380" t="s">
        <v>1094</v>
      </c>
    </row>
    <row r="381" spans="1:102" x14ac:dyDescent="0.3">
      <c r="A381" t="str">
        <f>HYPERLINK("https://webapp.icbf.com/v2/app/bull-search/view/1140843522","FR2035")</f>
        <v>FR2035</v>
      </c>
      <c r="B381" t="s">
        <v>7309</v>
      </c>
      <c r="C381" t="s">
        <v>7310</v>
      </c>
      <c r="D381" s="1">
        <v>41681</v>
      </c>
      <c r="E381" t="s">
        <v>92</v>
      </c>
      <c r="F381">
        <v>66</v>
      </c>
      <c r="G381" t="s">
        <v>93</v>
      </c>
      <c r="H381">
        <v>195.91</v>
      </c>
      <c r="I381">
        <v>91</v>
      </c>
      <c r="J381">
        <v>124.53</v>
      </c>
      <c r="K381">
        <v>99</v>
      </c>
      <c r="L381">
        <v>38.47</v>
      </c>
      <c r="M381">
        <v>84</v>
      </c>
      <c r="N381">
        <v>40.92</v>
      </c>
      <c r="O381">
        <v>93</v>
      </c>
      <c r="P381">
        <v>-22.18</v>
      </c>
      <c r="Q381">
        <v>98</v>
      </c>
      <c r="R381">
        <v>-1.47</v>
      </c>
      <c r="S381">
        <v>85</v>
      </c>
      <c r="T381">
        <v>15.82</v>
      </c>
      <c r="U381">
        <v>84</v>
      </c>
      <c r="V381">
        <v>-0.18</v>
      </c>
      <c r="W381">
        <v>78</v>
      </c>
      <c r="X381" t="s">
        <v>94</v>
      </c>
      <c r="Y381" t="s">
        <v>416</v>
      </c>
      <c r="Z381" t="s">
        <v>96</v>
      </c>
      <c r="AA381" t="s">
        <v>2172</v>
      </c>
      <c r="AB381" t="s">
        <v>7311</v>
      </c>
      <c r="AC381">
        <v>686</v>
      </c>
      <c r="AD381">
        <v>266</v>
      </c>
      <c r="AE381">
        <v>99</v>
      </c>
      <c r="AF381">
        <v>147.1</v>
      </c>
      <c r="AG381">
        <v>15.72</v>
      </c>
      <c r="AH381">
        <v>17.87</v>
      </c>
      <c r="AI381">
        <v>0.17</v>
      </c>
      <c r="AJ381">
        <v>0.22</v>
      </c>
      <c r="AK381">
        <v>84</v>
      </c>
      <c r="AL381">
        <v>260</v>
      </c>
      <c r="AM381">
        <v>112</v>
      </c>
      <c r="AN381">
        <v>-1.1299999999999999</v>
      </c>
      <c r="AO381">
        <v>1.95</v>
      </c>
      <c r="AP381">
        <v>1889</v>
      </c>
      <c r="AQ381">
        <v>23</v>
      </c>
      <c r="AR381">
        <v>5.85</v>
      </c>
      <c r="AS381">
        <v>91</v>
      </c>
      <c r="AT381">
        <v>2.34</v>
      </c>
      <c r="AU381">
        <v>98</v>
      </c>
      <c r="AV381">
        <v>-3.79</v>
      </c>
      <c r="AW381">
        <v>99</v>
      </c>
      <c r="AX381">
        <v>-0.28000000000000003</v>
      </c>
      <c r="AY381">
        <v>96</v>
      </c>
      <c r="AZ381">
        <v>5.45</v>
      </c>
      <c r="BA381">
        <v>90</v>
      </c>
      <c r="BB381">
        <v>5.35</v>
      </c>
      <c r="BC381">
        <v>66</v>
      </c>
      <c r="BD381">
        <v>-0.05</v>
      </c>
      <c r="BE381">
        <v>0.03</v>
      </c>
      <c r="BF381">
        <v>0.06</v>
      </c>
      <c r="BG381">
        <v>96</v>
      </c>
      <c r="BH381">
        <v>-0.11</v>
      </c>
      <c r="BI381">
        <v>-12.14</v>
      </c>
      <c r="BJ381">
        <v>4</v>
      </c>
      <c r="BK381">
        <v>4</v>
      </c>
      <c r="BL381">
        <v>-1.77</v>
      </c>
      <c r="BM381">
        <v>-0.12</v>
      </c>
      <c r="BN381">
        <v>-1.1599999999999999</v>
      </c>
      <c r="BO381">
        <v>-0.96</v>
      </c>
      <c r="BP381">
        <v>-1.73</v>
      </c>
      <c r="BQ381">
        <v>-1.32</v>
      </c>
      <c r="BR381">
        <v>2.25</v>
      </c>
      <c r="BS381">
        <v>-1.37</v>
      </c>
      <c r="BT381">
        <v>-3.46</v>
      </c>
      <c r="BU381">
        <v>-2.39</v>
      </c>
      <c r="BV381">
        <v>-2.3199999999999998</v>
      </c>
      <c r="BW381">
        <v>-1.45</v>
      </c>
      <c r="BX381">
        <v>-1.1200000000000001</v>
      </c>
      <c r="BY381">
        <v>-2.1800000000000002</v>
      </c>
      <c r="BZ381">
        <v>1.45</v>
      </c>
      <c r="CA381">
        <v>-1.74</v>
      </c>
      <c r="CB381">
        <v>-2.1</v>
      </c>
      <c r="CC381">
        <v>-0.91</v>
      </c>
      <c r="CD381">
        <v>-0.02</v>
      </c>
      <c r="CE381">
        <v>-1.08</v>
      </c>
      <c r="CF381">
        <v>-1.99</v>
      </c>
      <c r="CG381">
        <v>0</v>
      </c>
      <c r="CH381">
        <v>-0.86</v>
      </c>
      <c r="CI381">
        <v>0</v>
      </c>
      <c r="CJ381">
        <v>-10.3</v>
      </c>
      <c r="CK381">
        <v>99</v>
      </c>
      <c r="CL381">
        <v>-0.82</v>
      </c>
      <c r="CM381">
        <v>99</v>
      </c>
      <c r="CN381">
        <v>-0.19</v>
      </c>
      <c r="CO381">
        <v>99</v>
      </c>
      <c r="CP381">
        <v>-11.5</v>
      </c>
      <c r="CQ381">
        <v>84</v>
      </c>
      <c r="CR381">
        <v>0</v>
      </c>
      <c r="CS381">
        <v>0</v>
      </c>
      <c r="CT381">
        <v>-7.6</v>
      </c>
      <c r="CU381">
        <v>84</v>
      </c>
      <c r="CV381">
        <v>0.1</v>
      </c>
      <c r="CW381">
        <v>47</v>
      </c>
      <c r="CX381" t="s">
        <v>1229</v>
      </c>
    </row>
    <row r="382" spans="1:102" x14ac:dyDescent="0.3">
      <c r="A382" t="str">
        <f>HYPERLINK("https://webapp.icbf.com/v2/app/bull-search/view/1599957872","FR4712")</f>
        <v>FR4712</v>
      </c>
      <c r="B382" t="s">
        <v>9545</v>
      </c>
      <c r="C382" t="s">
        <v>9546</v>
      </c>
      <c r="D382" s="1">
        <v>42421</v>
      </c>
      <c r="E382" t="s">
        <v>92</v>
      </c>
      <c r="F382">
        <v>100</v>
      </c>
      <c r="G382" t="s">
        <v>435</v>
      </c>
      <c r="H382">
        <v>195.75</v>
      </c>
      <c r="I382">
        <v>66</v>
      </c>
      <c r="J382">
        <v>95.98</v>
      </c>
      <c r="K382">
        <v>86</v>
      </c>
      <c r="L382">
        <v>48.61</v>
      </c>
      <c r="M382">
        <v>65</v>
      </c>
      <c r="N382">
        <v>40.43</v>
      </c>
      <c r="O382">
        <v>63</v>
      </c>
      <c r="P382">
        <v>4.54</v>
      </c>
      <c r="Q382">
        <v>35</v>
      </c>
      <c r="R382">
        <v>18.64</v>
      </c>
      <c r="S382">
        <v>61</v>
      </c>
      <c r="T382">
        <v>-17.48</v>
      </c>
      <c r="U382">
        <v>33</v>
      </c>
      <c r="V382">
        <v>5.03</v>
      </c>
      <c r="W382">
        <v>53</v>
      </c>
      <c r="X382" t="s">
        <v>428</v>
      </c>
      <c r="Y382" t="s">
        <v>442</v>
      </c>
      <c r="Z382" t="s">
        <v>96</v>
      </c>
      <c r="AA382" t="s">
        <v>9547</v>
      </c>
      <c r="AB382" t="s">
        <v>9548</v>
      </c>
      <c r="AC382">
        <v>0</v>
      </c>
      <c r="AD382">
        <v>0</v>
      </c>
      <c r="AE382">
        <v>86</v>
      </c>
      <c r="AF382">
        <v>498.42</v>
      </c>
      <c r="AG382">
        <v>20.7</v>
      </c>
      <c r="AH382">
        <v>16.63</v>
      </c>
      <c r="AI382">
        <v>0.02</v>
      </c>
      <c r="AJ382">
        <v>0</v>
      </c>
      <c r="AK382">
        <v>65</v>
      </c>
      <c r="AL382">
        <v>0</v>
      </c>
      <c r="AM382">
        <v>0</v>
      </c>
      <c r="AN382">
        <v>0.72</v>
      </c>
      <c r="AO382">
        <v>4.6399999999999997</v>
      </c>
      <c r="AP382">
        <v>13</v>
      </c>
      <c r="AQ382">
        <v>0</v>
      </c>
      <c r="AR382">
        <v>7.48</v>
      </c>
      <c r="AS382">
        <v>45</v>
      </c>
      <c r="AT382">
        <v>2.4900000000000002</v>
      </c>
      <c r="AU382">
        <v>87</v>
      </c>
      <c r="AV382">
        <v>-4.21</v>
      </c>
      <c r="AW382">
        <v>70</v>
      </c>
      <c r="AX382">
        <v>-0.48</v>
      </c>
      <c r="AY382">
        <v>45</v>
      </c>
      <c r="AZ382">
        <v>6.99</v>
      </c>
      <c r="BA382">
        <v>32</v>
      </c>
      <c r="BB382">
        <v>4.79</v>
      </c>
      <c r="BC382">
        <v>32</v>
      </c>
      <c r="BD382">
        <v>-7.0000000000000007E-2</v>
      </c>
      <c r="BE382">
        <v>-0.08</v>
      </c>
      <c r="BF382">
        <v>-0.16</v>
      </c>
      <c r="BG382">
        <v>74</v>
      </c>
      <c r="BH382">
        <v>0.1</v>
      </c>
      <c r="BI382">
        <v>-4.67</v>
      </c>
      <c r="BJ382">
        <v>0</v>
      </c>
      <c r="BK382">
        <v>0</v>
      </c>
      <c r="BL382">
        <v>1.42</v>
      </c>
      <c r="BM382">
        <v>0.26</v>
      </c>
      <c r="BN382">
        <v>0.53</v>
      </c>
      <c r="BO382">
        <v>1.1499999999999999</v>
      </c>
      <c r="BP382">
        <v>-0.24</v>
      </c>
      <c r="BQ382">
        <v>2.0299999999999998</v>
      </c>
      <c r="BR382">
        <v>0.94</v>
      </c>
      <c r="BS382">
        <v>0.97</v>
      </c>
      <c r="BT382">
        <v>1.58</v>
      </c>
      <c r="BU382">
        <v>3.4</v>
      </c>
      <c r="BV382">
        <v>2.91</v>
      </c>
      <c r="BW382">
        <v>1.84</v>
      </c>
      <c r="BX382">
        <v>2.52</v>
      </c>
      <c r="BY382">
        <v>2.66</v>
      </c>
      <c r="BZ382">
        <v>-0.01</v>
      </c>
      <c r="CA382">
        <v>2.92</v>
      </c>
      <c r="CB382">
        <v>3.15</v>
      </c>
      <c r="CC382">
        <v>1.32</v>
      </c>
      <c r="CD382">
        <v>0.31</v>
      </c>
      <c r="CE382">
        <v>1.19</v>
      </c>
      <c r="CF382">
        <v>2.2200000000000002</v>
      </c>
      <c r="CG382">
        <v>0</v>
      </c>
      <c r="CH382">
        <v>4.25</v>
      </c>
      <c r="CI382">
        <v>0</v>
      </c>
      <c r="CJ382">
        <v>3.4</v>
      </c>
      <c r="CK382">
        <v>35</v>
      </c>
      <c r="CL382">
        <v>-1.35</v>
      </c>
      <c r="CM382">
        <v>34</v>
      </c>
      <c r="CN382">
        <v>-0.99</v>
      </c>
      <c r="CO382">
        <v>34</v>
      </c>
      <c r="CP382">
        <v>14.6</v>
      </c>
      <c r="CQ382">
        <v>34</v>
      </c>
      <c r="CR382">
        <v>0</v>
      </c>
      <c r="CS382">
        <v>0</v>
      </c>
      <c r="CT382">
        <v>37.4</v>
      </c>
      <c r="CU382">
        <v>33</v>
      </c>
      <c r="CV382">
        <v>0.17</v>
      </c>
      <c r="CW382">
        <v>32</v>
      </c>
      <c r="CX382" t="s">
        <v>2203</v>
      </c>
    </row>
    <row r="383" spans="1:102" x14ac:dyDescent="0.3">
      <c r="A383" t="str">
        <f>HYPERLINK("https://webapp.icbf.com/v2/app/bull-search/view/1419037347","S3221")</f>
        <v>S3221</v>
      </c>
      <c r="B383" t="s">
        <v>14565</v>
      </c>
      <c r="C383" t="s">
        <v>14566</v>
      </c>
      <c r="D383" s="1">
        <v>42361</v>
      </c>
      <c r="E383" t="s">
        <v>92</v>
      </c>
      <c r="F383">
        <v>100</v>
      </c>
      <c r="G383" t="s">
        <v>435</v>
      </c>
      <c r="H383">
        <v>195.69</v>
      </c>
      <c r="I383">
        <v>64</v>
      </c>
      <c r="J383">
        <v>100.91</v>
      </c>
      <c r="K383">
        <v>85</v>
      </c>
      <c r="L383">
        <v>28.21</v>
      </c>
      <c r="M383">
        <v>63</v>
      </c>
      <c r="N383">
        <v>47.7</v>
      </c>
      <c r="O383">
        <v>50</v>
      </c>
      <c r="P383">
        <v>-15.74</v>
      </c>
      <c r="Q383">
        <v>35</v>
      </c>
      <c r="R383">
        <v>30.6</v>
      </c>
      <c r="S383">
        <v>58</v>
      </c>
      <c r="T383">
        <v>-2.23</v>
      </c>
      <c r="U383">
        <v>34</v>
      </c>
      <c r="V383">
        <v>6.24</v>
      </c>
      <c r="W383">
        <v>50</v>
      </c>
      <c r="X383" t="s">
        <v>110</v>
      </c>
      <c r="Y383" t="s">
        <v>453</v>
      </c>
      <c r="Z383" t="s">
        <v>96</v>
      </c>
      <c r="AA383" t="s">
        <v>14567</v>
      </c>
      <c r="AB383" t="s">
        <v>14568</v>
      </c>
      <c r="AC383">
        <v>0</v>
      </c>
      <c r="AD383">
        <v>0</v>
      </c>
      <c r="AE383">
        <v>85</v>
      </c>
      <c r="AF383">
        <v>301.25</v>
      </c>
      <c r="AG383">
        <v>20.87</v>
      </c>
      <c r="AH383">
        <v>14.39</v>
      </c>
      <c r="AI383">
        <v>0.15</v>
      </c>
      <c r="AJ383">
        <v>7.0000000000000007E-2</v>
      </c>
      <c r="AK383">
        <v>63</v>
      </c>
      <c r="AL383">
        <v>0</v>
      </c>
      <c r="AM383">
        <v>0</v>
      </c>
      <c r="AN383">
        <v>-0.72</v>
      </c>
      <c r="AO383">
        <v>1.54</v>
      </c>
      <c r="AP383">
        <v>1</v>
      </c>
      <c r="AQ383">
        <v>0</v>
      </c>
      <c r="AR383">
        <v>3.86</v>
      </c>
      <c r="AS383">
        <v>44</v>
      </c>
      <c r="AT383">
        <v>1.53</v>
      </c>
      <c r="AU383">
        <v>91</v>
      </c>
      <c r="AV383">
        <v>-3.6</v>
      </c>
      <c r="AW383">
        <v>35</v>
      </c>
      <c r="AX383">
        <v>0.51</v>
      </c>
      <c r="AY383">
        <v>42</v>
      </c>
      <c r="AZ383">
        <v>6.38</v>
      </c>
      <c r="BA383">
        <v>32</v>
      </c>
      <c r="BB383">
        <v>4.7300000000000004</v>
      </c>
      <c r="BC383">
        <v>32</v>
      </c>
      <c r="BD383">
        <v>-0.13</v>
      </c>
      <c r="BE383">
        <v>-0.13</v>
      </c>
      <c r="BF383">
        <v>-0.24</v>
      </c>
      <c r="BG383">
        <v>71</v>
      </c>
      <c r="BH383">
        <v>0.16</v>
      </c>
      <c r="BI383">
        <v>-1.62</v>
      </c>
      <c r="BJ383">
        <v>0</v>
      </c>
      <c r="BK383">
        <v>0</v>
      </c>
      <c r="BL383">
        <v>1.42</v>
      </c>
      <c r="BM383">
        <v>-1.54</v>
      </c>
      <c r="BN383">
        <v>-0.53</v>
      </c>
      <c r="BO383">
        <v>1.26</v>
      </c>
      <c r="BP383">
        <v>1.94</v>
      </c>
      <c r="BQ383">
        <v>0.97</v>
      </c>
      <c r="BR383">
        <v>1.26</v>
      </c>
      <c r="BS383">
        <v>2.93</v>
      </c>
      <c r="BT383">
        <v>0.25</v>
      </c>
      <c r="BU383">
        <v>2.42</v>
      </c>
      <c r="BV383">
        <v>2.42</v>
      </c>
      <c r="BW383">
        <v>1.79</v>
      </c>
      <c r="BX383">
        <v>1.32</v>
      </c>
      <c r="BY383">
        <v>2.0699999999999998</v>
      </c>
      <c r="BZ383">
        <v>0.04</v>
      </c>
      <c r="CA383">
        <v>2.67</v>
      </c>
      <c r="CB383">
        <v>2.4</v>
      </c>
      <c r="CC383">
        <v>1.54</v>
      </c>
      <c r="CD383">
        <v>-1.58</v>
      </c>
      <c r="CE383">
        <v>1.41</v>
      </c>
      <c r="CF383">
        <v>0.28000000000000003</v>
      </c>
      <c r="CG383">
        <v>0</v>
      </c>
      <c r="CH383">
        <v>2.48</v>
      </c>
      <c r="CI383">
        <v>0</v>
      </c>
      <c r="CJ383">
        <v>-5.5</v>
      </c>
      <c r="CK383">
        <v>35</v>
      </c>
      <c r="CL383">
        <v>-1.55</v>
      </c>
      <c r="CM383">
        <v>35</v>
      </c>
      <c r="CN383">
        <v>-0.63</v>
      </c>
      <c r="CO383">
        <v>35</v>
      </c>
      <c r="CP383">
        <v>3.1</v>
      </c>
      <c r="CQ383">
        <v>34</v>
      </c>
      <c r="CR383">
        <v>0</v>
      </c>
      <c r="CS383">
        <v>0</v>
      </c>
      <c r="CT383">
        <v>16.8</v>
      </c>
      <c r="CU383">
        <v>34</v>
      </c>
      <c r="CV383">
        <v>0.23</v>
      </c>
      <c r="CW383">
        <v>32</v>
      </c>
      <c r="CX383" t="s">
        <v>5907</v>
      </c>
    </row>
    <row r="384" spans="1:102" x14ac:dyDescent="0.3">
      <c r="A384" t="str">
        <f>HYPERLINK("https://webapp.icbf.com/v2/app/bull-search/view/1028306624","ZDL")</f>
        <v>ZDL</v>
      </c>
      <c r="B384" t="s">
        <v>14539</v>
      </c>
      <c r="C384" t="s">
        <v>14540</v>
      </c>
      <c r="D384" s="1">
        <v>41248</v>
      </c>
      <c r="E384" t="s">
        <v>92</v>
      </c>
      <c r="F384">
        <v>81</v>
      </c>
      <c r="G384" t="s">
        <v>93</v>
      </c>
      <c r="H384">
        <v>195.24</v>
      </c>
      <c r="I384">
        <v>94</v>
      </c>
      <c r="J384">
        <v>60.52</v>
      </c>
      <c r="K384">
        <v>99</v>
      </c>
      <c r="L384">
        <v>83.62</v>
      </c>
      <c r="M384">
        <v>88</v>
      </c>
      <c r="N384">
        <v>33.6</v>
      </c>
      <c r="O384">
        <v>96</v>
      </c>
      <c r="P384">
        <v>-1.94</v>
      </c>
      <c r="Q384">
        <v>99</v>
      </c>
      <c r="R384">
        <v>1.51</v>
      </c>
      <c r="S384">
        <v>89</v>
      </c>
      <c r="T384">
        <v>11.68</v>
      </c>
      <c r="U384">
        <v>96</v>
      </c>
      <c r="V384">
        <v>6.25</v>
      </c>
      <c r="W384">
        <v>80</v>
      </c>
      <c r="X384" t="s">
        <v>94</v>
      </c>
      <c r="Y384" t="s">
        <v>389</v>
      </c>
      <c r="Z384" t="s">
        <v>96</v>
      </c>
      <c r="AA384" t="s">
        <v>2041</v>
      </c>
      <c r="AB384" t="s">
        <v>14541</v>
      </c>
      <c r="AC384">
        <v>1498</v>
      </c>
      <c r="AD384">
        <v>689</v>
      </c>
      <c r="AE384">
        <v>99</v>
      </c>
      <c r="AF384">
        <v>137.80000000000001</v>
      </c>
      <c r="AG384">
        <v>7.3</v>
      </c>
      <c r="AH384">
        <v>9.82</v>
      </c>
      <c r="AI384">
        <v>0.03</v>
      </c>
      <c r="AJ384">
        <v>0.09</v>
      </c>
      <c r="AK384">
        <v>88</v>
      </c>
      <c r="AL384">
        <v>1276</v>
      </c>
      <c r="AM384">
        <v>668</v>
      </c>
      <c r="AN384">
        <v>-3.7</v>
      </c>
      <c r="AO384">
        <v>2.98</v>
      </c>
      <c r="AP384">
        <v>3317</v>
      </c>
      <c r="AQ384">
        <v>18</v>
      </c>
      <c r="AR384">
        <v>6.16</v>
      </c>
      <c r="AS384">
        <v>97</v>
      </c>
      <c r="AT384">
        <v>2.35</v>
      </c>
      <c r="AU384">
        <v>98</v>
      </c>
      <c r="AV384">
        <v>-2.65</v>
      </c>
      <c r="AW384">
        <v>99</v>
      </c>
      <c r="AX384">
        <v>0.61</v>
      </c>
      <c r="AY384">
        <v>98</v>
      </c>
      <c r="AZ384">
        <v>5.2</v>
      </c>
      <c r="BA384">
        <v>94</v>
      </c>
      <c r="BB384">
        <v>4.41</v>
      </c>
      <c r="BC384">
        <v>84</v>
      </c>
      <c r="BD384">
        <v>-0.04</v>
      </c>
      <c r="BE384">
        <v>-0.02</v>
      </c>
      <c r="BF384">
        <v>7.0000000000000007E-2</v>
      </c>
      <c r="BG384">
        <v>98</v>
      </c>
      <c r="BH384">
        <v>0.25</v>
      </c>
      <c r="BI384">
        <v>8.76</v>
      </c>
      <c r="BJ384">
        <v>36</v>
      </c>
      <c r="BK384">
        <v>10</v>
      </c>
      <c r="BL384">
        <v>-1.73</v>
      </c>
      <c r="BM384">
        <v>-0.9</v>
      </c>
      <c r="BN384">
        <v>-2.0099999999999998</v>
      </c>
      <c r="BO384">
        <v>-1.38</v>
      </c>
      <c r="BP384">
        <v>-1.0900000000000001</v>
      </c>
      <c r="BQ384">
        <v>-0.43</v>
      </c>
      <c r="BR384">
        <v>2.42</v>
      </c>
      <c r="BS384">
        <v>-3.17</v>
      </c>
      <c r="BT384">
        <v>-2.04</v>
      </c>
      <c r="BU384">
        <v>0.81</v>
      </c>
      <c r="BV384">
        <v>0</v>
      </c>
      <c r="BW384">
        <v>0.47</v>
      </c>
      <c r="BX384">
        <v>1.1299999999999999</v>
      </c>
      <c r="BY384">
        <v>0.61</v>
      </c>
      <c r="BZ384">
        <v>-3.2</v>
      </c>
      <c r="CA384">
        <v>-0.95</v>
      </c>
      <c r="CB384">
        <v>-0.09</v>
      </c>
      <c r="CC384">
        <v>-2.65</v>
      </c>
      <c r="CD384">
        <v>-0.74</v>
      </c>
      <c r="CE384">
        <v>-1.1299999999999999</v>
      </c>
      <c r="CF384">
        <v>-2</v>
      </c>
      <c r="CG384">
        <v>0</v>
      </c>
      <c r="CH384">
        <v>-0.26</v>
      </c>
      <c r="CI384">
        <v>0</v>
      </c>
      <c r="CJ384">
        <v>-0.7</v>
      </c>
      <c r="CK384">
        <v>99</v>
      </c>
      <c r="CL384">
        <v>-0.54</v>
      </c>
      <c r="CM384">
        <v>99</v>
      </c>
      <c r="CN384">
        <v>-0.42</v>
      </c>
      <c r="CO384">
        <v>99</v>
      </c>
      <c r="CP384">
        <v>-2.1</v>
      </c>
      <c r="CQ384">
        <v>93</v>
      </c>
      <c r="CR384">
        <v>0</v>
      </c>
      <c r="CS384">
        <v>0</v>
      </c>
      <c r="CT384">
        <v>-2</v>
      </c>
      <c r="CU384">
        <v>96</v>
      </c>
      <c r="CV384">
        <v>0.02</v>
      </c>
      <c r="CW384">
        <v>48</v>
      </c>
      <c r="CX384" t="s">
        <v>7811</v>
      </c>
    </row>
    <row r="385" spans="1:102" x14ac:dyDescent="0.3">
      <c r="A385" t="str">
        <f>HYPERLINK("https://webapp.icbf.com/v2/app/bull-search/view/1276117523","JE4516")</f>
        <v>JE4516</v>
      </c>
      <c r="B385" t="s">
        <v>13928</v>
      </c>
      <c r="C385" t="s">
        <v>13929</v>
      </c>
      <c r="D385" s="1">
        <v>41448</v>
      </c>
      <c r="E385" t="s">
        <v>227</v>
      </c>
      <c r="F385">
        <v>0</v>
      </c>
      <c r="G385" t="s">
        <v>109</v>
      </c>
      <c r="H385">
        <v>195.23</v>
      </c>
      <c r="I385">
        <v>69</v>
      </c>
      <c r="J385">
        <v>99.27</v>
      </c>
      <c r="K385">
        <v>87</v>
      </c>
      <c r="L385">
        <v>39.81</v>
      </c>
      <c r="M385">
        <v>62</v>
      </c>
      <c r="N385">
        <v>34.25</v>
      </c>
      <c r="O385">
        <v>87</v>
      </c>
      <c r="P385">
        <v>-45.69</v>
      </c>
      <c r="Q385">
        <v>43</v>
      </c>
      <c r="R385">
        <v>5.9</v>
      </c>
      <c r="S385">
        <v>62</v>
      </c>
      <c r="T385">
        <v>49.49</v>
      </c>
      <c r="U385">
        <v>36</v>
      </c>
      <c r="V385">
        <v>12.2</v>
      </c>
      <c r="W385">
        <v>57</v>
      </c>
      <c r="X385" t="s">
        <v>276</v>
      </c>
      <c r="Y385" t="s">
        <v>442</v>
      </c>
      <c r="Z385">
        <v>0</v>
      </c>
      <c r="AA385" t="s">
        <v>13930</v>
      </c>
      <c r="AB385" t="s">
        <v>13931</v>
      </c>
      <c r="AC385">
        <v>0</v>
      </c>
      <c r="AD385">
        <v>0</v>
      </c>
      <c r="AE385">
        <v>87</v>
      </c>
      <c r="AF385">
        <v>-646.6</v>
      </c>
      <c r="AG385">
        <v>18.45</v>
      </c>
      <c r="AH385">
        <v>0.46</v>
      </c>
      <c r="AI385">
        <v>0.84</v>
      </c>
      <c r="AJ385">
        <v>0.44</v>
      </c>
      <c r="AK385">
        <v>62</v>
      </c>
      <c r="AL385">
        <v>0</v>
      </c>
      <c r="AM385">
        <v>0</v>
      </c>
      <c r="AN385">
        <v>-0.22</v>
      </c>
      <c r="AO385">
        <v>2.98</v>
      </c>
      <c r="AP385">
        <v>1207</v>
      </c>
      <c r="AQ385">
        <v>0</v>
      </c>
      <c r="AR385">
        <v>4.05</v>
      </c>
      <c r="AS385">
        <v>92</v>
      </c>
      <c r="AT385">
        <v>1.76</v>
      </c>
      <c r="AU385">
        <v>96</v>
      </c>
      <c r="AV385">
        <v>-2.2000000000000002</v>
      </c>
      <c r="AW385">
        <v>99</v>
      </c>
      <c r="AX385">
        <v>-0.34</v>
      </c>
      <c r="AY385">
        <v>93</v>
      </c>
      <c r="AZ385">
        <v>7.15</v>
      </c>
      <c r="BA385">
        <v>37</v>
      </c>
      <c r="BB385">
        <v>5.0999999999999996</v>
      </c>
      <c r="BC385">
        <v>37</v>
      </c>
      <c r="BD385">
        <v>-7.0000000000000007E-2</v>
      </c>
      <c r="BE385">
        <v>-0.01</v>
      </c>
      <c r="BF385">
        <v>0</v>
      </c>
      <c r="BG385">
        <v>70</v>
      </c>
      <c r="BH385">
        <v>0.21</v>
      </c>
      <c r="BI385">
        <v>-15.07</v>
      </c>
      <c r="BJ385">
        <v>0</v>
      </c>
      <c r="BK385">
        <v>0</v>
      </c>
      <c r="BL385">
        <v>-3.06</v>
      </c>
      <c r="BM385">
        <v>-1.66</v>
      </c>
      <c r="BN385">
        <v>-0.64</v>
      </c>
      <c r="BO385">
        <v>0.86</v>
      </c>
      <c r="BP385">
        <v>-1.1200000000000001</v>
      </c>
      <c r="BQ385">
        <v>-5.81</v>
      </c>
      <c r="BR385">
        <v>2.52</v>
      </c>
      <c r="BS385">
        <v>6.45</v>
      </c>
      <c r="BT385">
        <v>-1.07</v>
      </c>
      <c r="BU385">
        <v>-1.59</v>
      </c>
      <c r="BV385">
        <v>-0.83</v>
      </c>
      <c r="BW385">
        <v>-2.85</v>
      </c>
      <c r="BX385">
        <v>-4.2699999999999996</v>
      </c>
      <c r="BY385">
        <v>-0.41</v>
      </c>
      <c r="BZ385">
        <v>-0.53</v>
      </c>
      <c r="CA385">
        <v>0.59</v>
      </c>
      <c r="CB385">
        <v>-1.07</v>
      </c>
      <c r="CC385">
        <v>3.77</v>
      </c>
      <c r="CD385">
        <v>-1.81</v>
      </c>
      <c r="CE385">
        <v>0.56000000000000005</v>
      </c>
      <c r="CF385">
        <v>-3.39</v>
      </c>
      <c r="CG385">
        <v>0</v>
      </c>
      <c r="CH385">
        <v>-1.2</v>
      </c>
      <c r="CI385">
        <v>0</v>
      </c>
      <c r="CJ385">
        <v>-23.3</v>
      </c>
      <c r="CK385">
        <v>50</v>
      </c>
      <c r="CL385">
        <v>-0.96</v>
      </c>
      <c r="CM385">
        <v>34</v>
      </c>
      <c r="CN385">
        <v>-0.19</v>
      </c>
      <c r="CO385">
        <v>34</v>
      </c>
      <c r="CP385">
        <v>-39</v>
      </c>
      <c r="CQ385">
        <v>38</v>
      </c>
      <c r="CR385">
        <v>0</v>
      </c>
      <c r="CS385">
        <v>0</v>
      </c>
      <c r="CT385">
        <v>-53.1</v>
      </c>
      <c r="CU385">
        <v>36</v>
      </c>
      <c r="CV385">
        <v>-0.19</v>
      </c>
      <c r="CW385">
        <v>31</v>
      </c>
      <c r="CX385" t="s">
        <v>7166</v>
      </c>
    </row>
    <row r="386" spans="1:102" x14ac:dyDescent="0.3">
      <c r="A386" t="str">
        <f>HYPERLINK("https://webapp.icbf.com/v2/app/bull-search/view/861656121","FHS")</f>
        <v>FHS</v>
      </c>
      <c r="B386" t="s">
        <v>13144</v>
      </c>
      <c r="C386" t="s">
        <v>13145</v>
      </c>
      <c r="D386" s="1">
        <v>40579</v>
      </c>
      <c r="E386" t="s">
        <v>92</v>
      </c>
      <c r="F386">
        <v>69</v>
      </c>
      <c r="G386" t="s">
        <v>93</v>
      </c>
      <c r="H386">
        <v>195.11</v>
      </c>
      <c r="I386">
        <v>84</v>
      </c>
      <c r="J386">
        <v>89.85</v>
      </c>
      <c r="K386">
        <v>95</v>
      </c>
      <c r="L386">
        <v>53.02</v>
      </c>
      <c r="M386">
        <v>75</v>
      </c>
      <c r="N386">
        <v>37.340000000000003</v>
      </c>
      <c r="O386">
        <v>85</v>
      </c>
      <c r="P386">
        <v>-14.34</v>
      </c>
      <c r="Q386">
        <v>87</v>
      </c>
      <c r="R386">
        <v>1.75</v>
      </c>
      <c r="S386">
        <v>76</v>
      </c>
      <c r="T386">
        <v>22.26</v>
      </c>
      <c r="U386">
        <v>76</v>
      </c>
      <c r="V386">
        <v>5.23</v>
      </c>
      <c r="W386">
        <v>73</v>
      </c>
      <c r="X386" t="s">
        <v>94</v>
      </c>
      <c r="Y386" t="s">
        <v>1860</v>
      </c>
      <c r="Z386" t="s">
        <v>330</v>
      </c>
      <c r="AA386" t="s">
        <v>2150</v>
      </c>
      <c r="AB386" t="s">
        <v>13146</v>
      </c>
      <c r="AC386">
        <v>58</v>
      </c>
      <c r="AD386">
        <v>38</v>
      </c>
      <c r="AE386">
        <v>95</v>
      </c>
      <c r="AF386">
        <v>16.36</v>
      </c>
      <c r="AG386">
        <v>13.46</v>
      </c>
      <c r="AH386">
        <v>10.77</v>
      </c>
      <c r="AI386">
        <v>0.22</v>
      </c>
      <c r="AJ386">
        <v>0.18</v>
      </c>
      <c r="AK386">
        <v>75</v>
      </c>
      <c r="AL386">
        <v>47</v>
      </c>
      <c r="AM386">
        <v>35</v>
      </c>
      <c r="AN386">
        <v>-2.78</v>
      </c>
      <c r="AO386">
        <v>1.45</v>
      </c>
      <c r="AP386">
        <v>219</v>
      </c>
      <c r="AQ386">
        <v>2</v>
      </c>
      <c r="AR386">
        <v>4.88</v>
      </c>
      <c r="AS386">
        <v>78</v>
      </c>
      <c r="AT386">
        <v>2</v>
      </c>
      <c r="AU386">
        <v>87</v>
      </c>
      <c r="AV386">
        <v>-2.84</v>
      </c>
      <c r="AW386">
        <v>97</v>
      </c>
      <c r="AX386">
        <v>-0.19</v>
      </c>
      <c r="AY386">
        <v>81</v>
      </c>
      <c r="AZ386">
        <v>6.56</v>
      </c>
      <c r="BA386">
        <v>61</v>
      </c>
      <c r="BB386">
        <v>5.03</v>
      </c>
      <c r="BC386">
        <v>59</v>
      </c>
      <c r="BD386">
        <v>-0.05</v>
      </c>
      <c r="BE386">
        <v>-0.03</v>
      </c>
      <c r="BF386">
        <v>0.1</v>
      </c>
      <c r="BG386">
        <v>85</v>
      </c>
      <c r="BH386">
        <v>-0.01</v>
      </c>
      <c r="BI386">
        <v>-18.04</v>
      </c>
      <c r="BJ386">
        <v>0</v>
      </c>
      <c r="BK386">
        <v>0</v>
      </c>
      <c r="BL386">
        <v>-1.35</v>
      </c>
      <c r="BM386">
        <v>-0.66</v>
      </c>
      <c r="BN386">
        <v>-1.27</v>
      </c>
      <c r="BO386">
        <v>-0.4</v>
      </c>
      <c r="BP386">
        <v>0.31</v>
      </c>
      <c r="BQ386">
        <v>-0.05</v>
      </c>
      <c r="BR386">
        <v>0.92</v>
      </c>
      <c r="BS386">
        <v>-0.02</v>
      </c>
      <c r="BT386">
        <v>-2.25</v>
      </c>
      <c r="BU386">
        <v>0.27</v>
      </c>
      <c r="BV386">
        <v>-0.95</v>
      </c>
      <c r="BW386">
        <v>-1.01</v>
      </c>
      <c r="BX386">
        <v>-0.52</v>
      </c>
      <c r="BY386">
        <v>-1.38</v>
      </c>
      <c r="BZ386">
        <v>-1.56</v>
      </c>
      <c r="CA386">
        <v>-0.31</v>
      </c>
      <c r="CB386">
        <v>-0.62</v>
      </c>
      <c r="CC386">
        <v>-0.18</v>
      </c>
      <c r="CD386">
        <v>-0.3</v>
      </c>
      <c r="CE386">
        <v>-0.67</v>
      </c>
      <c r="CF386">
        <v>-1.48</v>
      </c>
      <c r="CG386">
        <v>0</v>
      </c>
      <c r="CH386">
        <v>-1.56</v>
      </c>
      <c r="CI386">
        <v>0</v>
      </c>
      <c r="CJ386">
        <v>-6.6</v>
      </c>
      <c r="CK386">
        <v>89</v>
      </c>
      <c r="CL386">
        <v>-0.56999999999999995</v>
      </c>
      <c r="CM386">
        <v>86</v>
      </c>
      <c r="CN386">
        <v>-0.28000000000000003</v>
      </c>
      <c r="CO386">
        <v>85</v>
      </c>
      <c r="CP386">
        <v>-17.5</v>
      </c>
      <c r="CQ386">
        <v>77</v>
      </c>
      <c r="CR386">
        <v>0</v>
      </c>
      <c r="CS386">
        <v>0</v>
      </c>
      <c r="CT386">
        <v>-16.3</v>
      </c>
      <c r="CU386">
        <v>76</v>
      </c>
      <c r="CV386">
        <v>0.1</v>
      </c>
      <c r="CW386">
        <v>44</v>
      </c>
      <c r="CX386" t="s">
        <v>4532</v>
      </c>
    </row>
    <row r="387" spans="1:102" x14ac:dyDescent="0.3">
      <c r="A387" t="str">
        <f>HYPERLINK("https://webapp.icbf.com/v2/app/bull-search/view/760395706","FR2046")</f>
        <v>FR2046</v>
      </c>
      <c r="B387" t="s">
        <v>13620</v>
      </c>
      <c r="C387" t="s">
        <v>13621</v>
      </c>
      <c r="D387" s="1">
        <v>40015</v>
      </c>
      <c r="E387" t="s">
        <v>108</v>
      </c>
      <c r="F387">
        <v>44</v>
      </c>
      <c r="G387" t="s">
        <v>109</v>
      </c>
      <c r="H387">
        <v>195.06</v>
      </c>
      <c r="I387">
        <v>72</v>
      </c>
      <c r="J387">
        <v>68.489999999999995</v>
      </c>
      <c r="K387">
        <v>89</v>
      </c>
      <c r="L387">
        <v>88.55</v>
      </c>
      <c r="M387">
        <v>70</v>
      </c>
      <c r="N387">
        <v>42.46</v>
      </c>
      <c r="O387">
        <v>62</v>
      </c>
      <c r="P387">
        <v>-33.369999999999997</v>
      </c>
      <c r="Q387">
        <v>59</v>
      </c>
      <c r="R387">
        <v>4.78</v>
      </c>
      <c r="S387">
        <v>68</v>
      </c>
      <c r="T387">
        <v>19.149999999999999</v>
      </c>
      <c r="U387">
        <v>46</v>
      </c>
      <c r="V387">
        <v>5</v>
      </c>
      <c r="W387">
        <v>56</v>
      </c>
      <c r="X387" t="s">
        <v>276</v>
      </c>
      <c r="Y387" t="s">
        <v>422</v>
      </c>
      <c r="Z387" t="s">
        <v>330</v>
      </c>
      <c r="AA387" t="s">
        <v>331</v>
      </c>
      <c r="AB387" t="s">
        <v>13622</v>
      </c>
      <c r="AC387">
        <v>0</v>
      </c>
      <c r="AD387">
        <v>0</v>
      </c>
      <c r="AE387">
        <v>89</v>
      </c>
      <c r="AF387">
        <v>166.86</v>
      </c>
      <c r="AG387">
        <v>7.1</v>
      </c>
      <c r="AH387">
        <v>11.69</v>
      </c>
      <c r="AI387">
        <v>0.01</v>
      </c>
      <c r="AJ387">
        <v>0.1</v>
      </c>
      <c r="AK387">
        <v>70</v>
      </c>
      <c r="AL387">
        <v>0</v>
      </c>
      <c r="AM387">
        <v>0</v>
      </c>
      <c r="AN387">
        <v>-4.9400000000000004</v>
      </c>
      <c r="AO387">
        <v>2.12</v>
      </c>
      <c r="AP387">
        <v>24</v>
      </c>
      <c r="AQ387">
        <v>0</v>
      </c>
      <c r="AR387">
        <v>4.7</v>
      </c>
      <c r="AS387">
        <v>52</v>
      </c>
      <c r="AT387">
        <v>1.61</v>
      </c>
      <c r="AU387">
        <v>67</v>
      </c>
      <c r="AV387">
        <v>-3.33</v>
      </c>
      <c r="AW387">
        <v>72</v>
      </c>
      <c r="AX387">
        <v>0.43</v>
      </c>
      <c r="AY387">
        <v>51</v>
      </c>
      <c r="AZ387">
        <v>6.19</v>
      </c>
      <c r="BA387">
        <v>41</v>
      </c>
      <c r="BB387">
        <v>5.0999999999999996</v>
      </c>
      <c r="BC387">
        <v>39</v>
      </c>
      <c r="BD387">
        <v>-0.03</v>
      </c>
      <c r="BE387">
        <v>0</v>
      </c>
      <c r="BF387">
        <v>-0.06</v>
      </c>
      <c r="BG387">
        <v>83</v>
      </c>
      <c r="BH387">
        <v>0.02</v>
      </c>
      <c r="BI387">
        <v>-13.82</v>
      </c>
      <c r="BJ387">
        <v>0</v>
      </c>
      <c r="BK387">
        <v>0</v>
      </c>
      <c r="BL387">
        <v>-1.61</v>
      </c>
      <c r="BM387">
        <v>7.0000000000000007E-2</v>
      </c>
      <c r="BN387">
        <v>-0.83</v>
      </c>
      <c r="BO387">
        <v>-0.57999999999999996</v>
      </c>
      <c r="BP387">
        <v>0.97</v>
      </c>
      <c r="BQ387">
        <v>-1.98</v>
      </c>
      <c r="BR387">
        <v>1.96</v>
      </c>
      <c r="BS387">
        <v>0.26</v>
      </c>
      <c r="BT387">
        <v>-0.24</v>
      </c>
      <c r="BU387">
        <v>-1.06</v>
      </c>
      <c r="BV387">
        <v>-1.32</v>
      </c>
      <c r="BW387">
        <v>-1.44</v>
      </c>
      <c r="BX387">
        <v>-0.11</v>
      </c>
      <c r="BY387">
        <v>-2.38</v>
      </c>
      <c r="BZ387">
        <v>-0.65</v>
      </c>
      <c r="CA387">
        <v>-1.32</v>
      </c>
      <c r="CB387">
        <v>-1.5</v>
      </c>
      <c r="CC387">
        <v>-0.12</v>
      </c>
      <c r="CD387">
        <v>0.85</v>
      </c>
      <c r="CE387">
        <v>-0.28999999999999998</v>
      </c>
      <c r="CF387">
        <v>-0.8</v>
      </c>
      <c r="CG387">
        <v>0</v>
      </c>
      <c r="CH387">
        <v>-2.58</v>
      </c>
      <c r="CI387">
        <v>0</v>
      </c>
      <c r="CJ387">
        <v>-16.3</v>
      </c>
      <c r="CK387">
        <v>62</v>
      </c>
      <c r="CL387">
        <v>-1.1100000000000001</v>
      </c>
      <c r="CM387">
        <v>58</v>
      </c>
      <c r="CN387">
        <v>-0.24</v>
      </c>
      <c r="CO387">
        <v>56</v>
      </c>
      <c r="CP387">
        <v>-14.9</v>
      </c>
      <c r="CQ387">
        <v>49</v>
      </c>
      <c r="CR387">
        <v>0</v>
      </c>
      <c r="CS387">
        <v>0</v>
      </c>
      <c r="CT387">
        <v>-12.1</v>
      </c>
      <c r="CU387">
        <v>46</v>
      </c>
      <c r="CV387">
        <v>0.16</v>
      </c>
      <c r="CW387">
        <v>38</v>
      </c>
      <c r="CX387" t="s">
        <v>6978</v>
      </c>
    </row>
    <row r="388" spans="1:102" x14ac:dyDescent="0.3">
      <c r="A388" t="str">
        <f>HYPERLINK("https://webapp.icbf.com/v2/app/bull-search/view/1013734441","JE2438")</f>
        <v>JE2438</v>
      </c>
      <c r="B388" t="s">
        <v>2332</v>
      </c>
      <c r="C388" t="s">
        <v>2333</v>
      </c>
      <c r="D388" s="1">
        <v>40754</v>
      </c>
      <c r="E388" t="s">
        <v>227</v>
      </c>
      <c r="F388">
        <v>6</v>
      </c>
      <c r="G388" t="s">
        <v>93</v>
      </c>
      <c r="H388">
        <v>194.93</v>
      </c>
      <c r="I388">
        <v>85</v>
      </c>
      <c r="J388">
        <v>64.290000000000006</v>
      </c>
      <c r="K388">
        <v>97</v>
      </c>
      <c r="L388">
        <v>77.17</v>
      </c>
      <c r="M388">
        <v>73</v>
      </c>
      <c r="N388">
        <v>52.45</v>
      </c>
      <c r="O388">
        <v>89</v>
      </c>
      <c r="P388">
        <v>-40.98</v>
      </c>
      <c r="Q388">
        <v>86</v>
      </c>
      <c r="R388">
        <v>-4.42</v>
      </c>
      <c r="S388">
        <v>78</v>
      </c>
      <c r="T388">
        <v>34.25</v>
      </c>
      <c r="U388">
        <v>88</v>
      </c>
      <c r="V388">
        <v>12.17</v>
      </c>
      <c r="W388">
        <v>74</v>
      </c>
      <c r="X388" t="s">
        <v>276</v>
      </c>
      <c r="Y388" t="s">
        <v>429</v>
      </c>
      <c r="Z388">
        <v>0</v>
      </c>
      <c r="AA388" t="s">
        <v>2334</v>
      </c>
      <c r="AB388" t="s">
        <v>2335</v>
      </c>
      <c r="AC388">
        <v>204</v>
      </c>
      <c r="AD388">
        <v>64</v>
      </c>
      <c r="AE388">
        <v>97</v>
      </c>
      <c r="AF388">
        <v>-228.47</v>
      </c>
      <c r="AG388">
        <v>10.48</v>
      </c>
      <c r="AH388">
        <v>3.73</v>
      </c>
      <c r="AI388">
        <v>0.35</v>
      </c>
      <c r="AJ388">
        <v>0.21</v>
      </c>
      <c r="AK388">
        <v>73</v>
      </c>
      <c r="AL388">
        <v>0</v>
      </c>
      <c r="AM388">
        <v>0</v>
      </c>
      <c r="AN388">
        <v>-2.2000000000000002</v>
      </c>
      <c r="AO388">
        <v>3.98</v>
      </c>
      <c r="AP388">
        <v>3427</v>
      </c>
      <c r="AQ388">
        <v>6</v>
      </c>
      <c r="AR388">
        <v>3.78</v>
      </c>
      <c r="AS388">
        <v>98</v>
      </c>
      <c r="AT388">
        <v>1.67</v>
      </c>
      <c r="AU388">
        <v>98</v>
      </c>
      <c r="AV388">
        <v>-4.74</v>
      </c>
      <c r="AW388">
        <v>99</v>
      </c>
      <c r="AX388">
        <v>0.22</v>
      </c>
      <c r="AY388">
        <v>98</v>
      </c>
      <c r="AZ388">
        <v>7.38</v>
      </c>
      <c r="BA388">
        <v>77</v>
      </c>
      <c r="BB388">
        <v>5.3</v>
      </c>
      <c r="BC388">
        <v>35</v>
      </c>
      <c r="BD388">
        <v>-0.02</v>
      </c>
      <c r="BE388">
        <v>0.05</v>
      </c>
      <c r="BF388">
        <v>0.04</v>
      </c>
      <c r="BG388">
        <v>90</v>
      </c>
      <c r="BH388">
        <v>0.35</v>
      </c>
      <c r="BI388">
        <v>1.24</v>
      </c>
      <c r="BJ388">
        <v>0</v>
      </c>
      <c r="BK388">
        <v>0</v>
      </c>
      <c r="BL388">
        <v>-3.11</v>
      </c>
      <c r="BM388">
        <v>-1.92</v>
      </c>
      <c r="BN388">
        <v>-0.61</v>
      </c>
      <c r="BO388">
        <v>1.05</v>
      </c>
      <c r="BP388">
        <v>-0.68</v>
      </c>
      <c r="BQ388">
        <v>-5.77</v>
      </c>
      <c r="BR388">
        <v>2.76</v>
      </c>
      <c r="BS388">
        <v>5.36</v>
      </c>
      <c r="BT388">
        <v>-1.41</v>
      </c>
      <c r="BU388">
        <v>-1.3</v>
      </c>
      <c r="BV388">
        <v>-0.56999999999999995</v>
      </c>
      <c r="BW388">
        <v>-2.66</v>
      </c>
      <c r="BX388">
        <v>-4.0599999999999996</v>
      </c>
      <c r="BY388">
        <v>-0.17</v>
      </c>
      <c r="BZ388">
        <v>-0.66</v>
      </c>
      <c r="CA388">
        <v>0.4</v>
      </c>
      <c r="CB388">
        <v>-0.72</v>
      </c>
      <c r="CC388">
        <v>2.76</v>
      </c>
      <c r="CD388">
        <v>-1.76</v>
      </c>
      <c r="CE388">
        <v>0.75</v>
      </c>
      <c r="CF388">
        <v>-3.43</v>
      </c>
      <c r="CG388">
        <v>0</v>
      </c>
      <c r="CH388">
        <v>-1.1000000000000001</v>
      </c>
      <c r="CI388">
        <v>0</v>
      </c>
      <c r="CJ388">
        <v>-21</v>
      </c>
      <c r="CK388">
        <v>89</v>
      </c>
      <c r="CL388">
        <v>-0.92</v>
      </c>
      <c r="CM388">
        <v>86</v>
      </c>
      <c r="CN388">
        <v>-0.2</v>
      </c>
      <c r="CO388">
        <v>84</v>
      </c>
      <c r="CP388">
        <v>-32.299999999999997</v>
      </c>
      <c r="CQ388">
        <v>67</v>
      </c>
      <c r="CR388">
        <v>0</v>
      </c>
      <c r="CS388">
        <v>0</v>
      </c>
      <c r="CT388">
        <v>-32.5</v>
      </c>
      <c r="CU388">
        <v>88</v>
      </c>
      <c r="CV388">
        <v>-0.18</v>
      </c>
      <c r="CW388">
        <v>44</v>
      </c>
      <c r="CX388" t="s">
        <v>1928</v>
      </c>
    </row>
    <row r="389" spans="1:102" x14ac:dyDescent="0.3">
      <c r="A389" t="str">
        <f>HYPERLINK("https://webapp.icbf.com/v2/app/bull-search/view/1246926245","FR2423")</f>
        <v>FR2423</v>
      </c>
      <c r="B389" t="s">
        <v>8373</v>
      </c>
      <c r="C389" t="s">
        <v>8374</v>
      </c>
      <c r="D389" s="1">
        <v>42036</v>
      </c>
      <c r="E389" t="s">
        <v>92</v>
      </c>
      <c r="F389">
        <v>78</v>
      </c>
      <c r="G389" t="s">
        <v>93</v>
      </c>
      <c r="H389">
        <v>194.9</v>
      </c>
      <c r="I389">
        <v>83</v>
      </c>
      <c r="J389">
        <v>73.37</v>
      </c>
      <c r="K389">
        <v>95</v>
      </c>
      <c r="L389">
        <v>108.42</v>
      </c>
      <c r="M389">
        <v>74</v>
      </c>
      <c r="N389">
        <v>24.04</v>
      </c>
      <c r="O389">
        <v>88</v>
      </c>
      <c r="P389">
        <v>-16.670000000000002</v>
      </c>
      <c r="Q389">
        <v>89</v>
      </c>
      <c r="R389">
        <v>5.46</v>
      </c>
      <c r="S389">
        <v>75</v>
      </c>
      <c r="T389">
        <v>9.39</v>
      </c>
      <c r="U389">
        <v>73</v>
      </c>
      <c r="V389">
        <v>-9.11</v>
      </c>
      <c r="W389">
        <v>66</v>
      </c>
      <c r="X389" t="s">
        <v>276</v>
      </c>
      <c r="Y389" t="s">
        <v>436</v>
      </c>
      <c r="Z389" t="s">
        <v>96</v>
      </c>
      <c r="AA389" t="s">
        <v>2235</v>
      </c>
      <c r="AB389" t="s">
        <v>8375</v>
      </c>
      <c r="AC389">
        <v>102</v>
      </c>
      <c r="AD389">
        <v>61</v>
      </c>
      <c r="AE389">
        <v>95</v>
      </c>
      <c r="AF389">
        <v>-8.6999999999999993</v>
      </c>
      <c r="AG389">
        <v>9.8800000000000008</v>
      </c>
      <c r="AH389">
        <v>8.85</v>
      </c>
      <c r="AI389">
        <v>0.18</v>
      </c>
      <c r="AJ389">
        <v>0.16</v>
      </c>
      <c r="AK389">
        <v>74</v>
      </c>
      <c r="AL389">
        <v>0</v>
      </c>
      <c r="AM389">
        <v>0</v>
      </c>
      <c r="AN389">
        <v>-6.38</v>
      </c>
      <c r="AO389">
        <v>2.2599999999999998</v>
      </c>
      <c r="AP389">
        <v>799</v>
      </c>
      <c r="AQ389">
        <v>1</v>
      </c>
      <c r="AR389">
        <v>8.5299999999999994</v>
      </c>
      <c r="AS389">
        <v>78</v>
      </c>
      <c r="AT389">
        <v>3.25</v>
      </c>
      <c r="AU389">
        <v>95</v>
      </c>
      <c r="AV389">
        <v>-3.45</v>
      </c>
      <c r="AW389">
        <v>99</v>
      </c>
      <c r="AX389">
        <v>0.13</v>
      </c>
      <c r="AY389">
        <v>92</v>
      </c>
      <c r="AZ389">
        <v>6.39</v>
      </c>
      <c r="BA389">
        <v>68</v>
      </c>
      <c r="BB389">
        <v>4.8899999999999997</v>
      </c>
      <c r="BC389">
        <v>48</v>
      </c>
      <c r="BD389">
        <v>-0.04</v>
      </c>
      <c r="BE389">
        <v>-0.01</v>
      </c>
      <c r="BF389">
        <v>-0.04</v>
      </c>
      <c r="BG389">
        <v>85</v>
      </c>
      <c r="BH389">
        <v>-0.3</v>
      </c>
      <c r="BI389">
        <v>-5.33</v>
      </c>
      <c r="BJ389">
        <v>0</v>
      </c>
      <c r="BK389">
        <v>0</v>
      </c>
      <c r="BL389">
        <v>-0.62</v>
      </c>
      <c r="BM389">
        <v>-0.48</v>
      </c>
      <c r="BN389">
        <v>-1.46</v>
      </c>
      <c r="BO389">
        <v>-1.1000000000000001</v>
      </c>
      <c r="BP389">
        <v>3.24</v>
      </c>
      <c r="BQ389">
        <v>-0.46</v>
      </c>
      <c r="BR389">
        <v>-0.37</v>
      </c>
      <c r="BS389">
        <v>-0.21</v>
      </c>
      <c r="BT389">
        <v>-0.04</v>
      </c>
      <c r="BU389">
        <v>-1.1299999999999999</v>
      </c>
      <c r="BV389">
        <v>-0.54</v>
      </c>
      <c r="BW389">
        <v>-0.85</v>
      </c>
      <c r="BX389">
        <v>-0.61</v>
      </c>
      <c r="BY389">
        <v>-1.6</v>
      </c>
      <c r="BZ389">
        <v>0.64</v>
      </c>
      <c r="CA389">
        <v>-0.62</v>
      </c>
      <c r="CB389">
        <v>-0.89</v>
      </c>
      <c r="CC389">
        <v>-0.16</v>
      </c>
      <c r="CD389">
        <v>1.0900000000000001</v>
      </c>
      <c r="CE389">
        <v>-0.86</v>
      </c>
      <c r="CF389">
        <v>-0.76</v>
      </c>
      <c r="CG389">
        <v>0</v>
      </c>
      <c r="CH389">
        <v>-1.95</v>
      </c>
      <c r="CI389">
        <v>0</v>
      </c>
      <c r="CJ389">
        <v>-6</v>
      </c>
      <c r="CK389">
        <v>92</v>
      </c>
      <c r="CL389">
        <v>-0.67</v>
      </c>
      <c r="CM389">
        <v>90</v>
      </c>
      <c r="CN389">
        <v>0.03</v>
      </c>
      <c r="CO389">
        <v>89</v>
      </c>
      <c r="CP389">
        <v>-7.5</v>
      </c>
      <c r="CQ389">
        <v>67</v>
      </c>
      <c r="CR389">
        <v>0</v>
      </c>
      <c r="CS389">
        <v>0</v>
      </c>
      <c r="CT389">
        <v>1.1000000000000001</v>
      </c>
      <c r="CU389">
        <v>73</v>
      </c>
      <c r="CV389">
        <v>0.02</v>
      </c>
      <c r="CW389">
        <v>45</v>
      </c>
      <c r="CX389" t="s">
        <v>1376</v>
      </c>
    </row>
    <row r="390" spans="1:102" x14ac:dyDescent="0.3">
      <c r="A390" t="str">
        <f>HYPERLINK("https://webapp.icbf.com/v2/app/bull-search/view/1263969530","FR2380")</f>
        <v>FR2380</v>
      </c>
      <c r="B390" t="s">
        <v>13669</v>
      </c>
      <c r="C390" t="s">
        <v>13670</v>
      </c>
      <c r="D390" s="1">
        <v>42092</v>
      </c>
      <c r="E390" t="s">
        <v>92</v>
      </c>
      <c r="F390">
        <v>88</v>
      </c>
      <c r="G390" t="s">
        <v>435</v>
      </c>
      <c r="H390">
        <v>194.68</v>
      </c>
      <c r="I390">
        <v>72</v>
      </c>
      <c r="J390">
        <v>55.39</v>
      </c>
      <c r="K390">
        <v>90</v>
      </c>
      <c r="L390">
        <v>111.36</v>
      </c>
      <c r="M390">
        <v>65</v>
      </c>
      <c r="N390">
        <v>32.06</v>
      </c>
      <c r="O390">
        <v>66</v>
      </c>
      <c r="P390">
        <v>-23.81</v>
      </c>
      <c r="Q390">
        <v>62</v>
      </c>
      <c r="R390">
        <v>9.41</v>
      </c>
      <c r="S390">
        <v>65</v>
      </c>
      <c r="T390">
        <v>5.0199999999999996</v>
      </c>
      <c r="U390">
        <v>50</v>
      </c>
      <c r="V390">
        <v>5.25</v>
      </c>
      <c r="W390">
        <v>58</v>
      </c>
      <c r="X390" t="s">
        <v>102</v>
      </c>
      <c r="Y390" t="s">
        <v>436</v>
      </c>
      <c r="Z390" t="s">
        <v>96</v>
      </c>
      <c r="AA390" t="s">
        <v>2157</v>
      </c>
      <c r="AB390" t="s">
        <v>13671</v>
      </c>
      <c r="AC390">
        <v>3</v>
      </c>
      <c r="AD390">
        <v>2</v>
      </c>
      <c r="AE390">
        <v>90</v>
      </c>
      <c r="AF390">
        <v>-280.14999999999998</v>
      </c>
      <c r="AG390">
        <v>4.22</v>
      </c>
      <c r="AH390">
        <v>3.64</v>
      </c>
      <c r="AI390">
        <v>0.27</v>
      </c>
      <c r="AJ390">
        <v>0.24</v>
      </c>
      <c r="AK390">
        <v>65</v>
      </c>
      <c r="AL390">
        <v>0</v>
      </c>
      <c r="AM390">
        <v>0</v>
      </c>
      <c r="AN390">
        <v>-5.33</v>
      </c>
      <c r="AO390">
        <v>3.56</v>
      </c>
      <c r="AP390">
        <v>12</v>
      </c>
      <c r="AQ390">
        <v>0</v>
      </c>
      <c r="AR390">
        <v>6.25</v>
      </c>
      <c r="AS390">
        <v>57</v>
      </c>
      <c r="AT390">
        <v>2.37</v>
      </c>
      <c r="AU390">
        <v>65</v>
      </c>
      <c r="AV390">
        <v>-2.31</v>
      </c>
      <c r="AW390">
        <v>79</v>
      </c>
      <c r="AX390">
        <v>0.05</v>
      </c>
      <c r="AY390">
        <v>54</v>
      </c>
      <c r="AZ390">
        <v>5.26</v>
      </c>
      <c r="BA390">
        <v>46</v>
      </c>
      <c r="BB390">
        <v>4.3899999999999997</v>
      </c>
      <c r="BC390">
        <v>45</v>
      </c>
      <c r="BD390">
        <v>-0.05</v>
      </c>
      <c r="BE390">
        <v>-7.0000000000000007E-2</v>
      </c>
      <c r="BF390">
        <v>0</v>
      </c>
      <c r="BG390">
        <v>74</v>
      </c>
      <c r="BH390">
        <v>0.19</v>
      </c>
      <c r="BI390">
        <v>5.03</v>
      </c>
      <c r="BJ390">
        <v>0</v>
      </c>
      <c r="BK390">
        <v>0</v>
      </c>
      <c r="BL390">
        <v>-0.1</v>
      </c>
      <c r="BM390">
        <v>0.36</v>
      </c>
      <c r="BN390">
        <v>-0.61</v>
      </c>
      <c r="BO390">
        <v>-1.1200000000000001</v>
      </c>
      <c r="BP390">
        <v>1.45</v>
      </c>
      <c r="BQ390">
        <v>-0.17</v>
      </c>
      <c r="BR390">
        <v>0.21</v>
      </c>
      <c r="BS390">
        <v>-0.81</v>
      </c>
      <c r="BT390">
        <v>-0.23</v>
      </c>
      <c r="BU390">
        <v>-0.89</v>
      </c>
      <c r="BV390">
        <v>-1.36</v>
      </c>
      <c r="BW390">
        <v>-1.6</v>
      </c>
      <c r="BX390">
        <v>-0.84</v>
      </c>
      <c r="BY390">
        <v>-1.73</v>
      </c>
      <c r="BZ390">
        <v>-1.85</v>
      </c>
      <c r="CA390">
        <v>-1.0900000000000001</v>
      </c>
      <c r="CB390">
        <v>-1.1499999999999999</v>
      </c>
      <c r="CC390">
        <v>-0.9</v>
      </c>
      <c r="CD390">
        <v>1.1000000000000001</v>
      </c>
      <c r="CE390">
        <v>-0.91</v>
      </c>
      <c r="CF390">
        <v>-0.15</v>
      </c>
      <c r="CG390">
        <v>0</v>
      </c>
      <c r="CH390">
        <v>-0.01</v>
      </c>
      <c r="CI390">
        <v>0</v>
      </c>
      <c r="CJ390">
        <v>-11.7</v>
      </c>
      <c r="CK390">
        <v>65</v>
      </c>
      <c r="CL390">
        <v>-1.02</v>
      </c>
      <c r="CM390">
        <v>60</v>
      </c>
      <c r="CN390">
        <v>-0.31</v>
      </c>
      <c r="CO390">
        <v>59</v>
      </c>
      <c r="CP390">
        <v>-5.0999999999999996</v>
      </c>
      <c r="CQ390">
        <v>52</v>
      </c>
      <c r="CR390">
        <v>0</v>
      </c>
      <c r="CS390">
        <v>0</v>
      </c>
      <c r="CT390">
        <v>7</v>
      </c>
      <c r="CU390">
        <v>50</v>
      </c>
      <c r="CV390">
        <v>0.02</v>
      </c>
      <c r="CW390">
        <v>40</v>
      </c>
      <c r="CX390" t="s">
        <v>2159</v>
      </c>
    </row>
    <row r="391" spans="1:102" x14ac:dyDescent="0.3">
      <c r="A391" t="str">
        <f>HYPERLINK("https://webapp.icbf.com/v2/app/bull-search/view/1619030966","AY4576")</f>
        <v>AY4576</v>
      </c>
      <c r="B391" t="s">
        <v>13998</v>
      </c>
      <c r="C391" t="s">
        <v>13999</v>
      </c>
      <c r="D391" s="1">
        <v>42212</v>
      </c>
      <c r="E391" t="s">
        <v>1061</v>
      </c>
      <c r="F391">
        <v>0</v>
      </c>
      <c r="G391" t="s">
        <v>435</v>
      </c>
      <c r="H391">
        <v>194.5</v>
      </c>
      <c r="I391">
        <v>46</v>
      </c>
      <c r="J391">
        <v>16.34</v>
      </c>
      <c r="K391">
        <v>64</v>
      </c>
      <c r="L391">
        <v>122.11</v>
      </c>
      <c r="M391">
        <v>42</v>
      </c>
      <c r="N391">
        <v>27.31</v>
      </c>
      <c r="O391">
        <v>33</v>
      </c>
      <c r="P391">
        <v>-7.53</v>
      </c>
      <c r="Q391">
        <v>32</v>
      </c>
      <c r="R391">
        <v>19.96</v>
      </c>
      <c r="S391">
        <v>33</v>
      </c>
      <c r="T391">
        <v>17.3</v>
      </c>
      <c r="U391">
        <v>31</v>
      </c>
      <c r="V391">
        <v>-0.99</v>
      </c>
      <c r="W391">
        <v>31</v>
      </c>
      <c r="X391" t="s">
        <v>276</v>
      </c>
      <c r="Y391" t="s">
        <v>2384</v>
      </c>
      <c r="Z391">
        <v>0</v>
      </c>
      <c r="AA391" t="s">
        <v>14000</v>
      </c>
      <c r="AB391" t="s">
        <v>14001</v>
      </c>
      <c r="AC391">
        <v>0</v>
      </c>
      <c r="AD391">
        <v>0</v>
      </c>
      <c r="AE391">
        <v>64</v>
      </c>
      <c r="AF391">
        <v>-44.07</v>
      </c>
      <c r="AG391">
        <v>2.19</v>
      </c>
      <c r="AH391">
        <v>1.33</v>
      </c>
      <c r="AI391">
        <v>0.06</v>
      </c>
      <c r="AJ391">
        <v>0.05</v>
      </c>
      <c r="AK391">
        <v>42</v>
      </c>
      <c r="AL391">
        <v>0</v>
      </c>
      <c r="AM391">
        <v>0</v>
      </c>
      <c r="AN391">
        <v>-5.71</v>
      </c>
      <c r="AO391">
        <v>4.04</v>
      </c>
      <c r="AP391">
        <v>1</v>
      </c>
      <c r="AQ391">
        <v>0</v>
      </c>
      <c r="AR391">
        <v>6.02</v>
      </c>
      <c r="AS391">
        <v>25</v>
      </c>
      <c r="AT391">
        <v>2.5499999999999998</v>
      </c>
      <c r="AU391">
        <v>45</v>
      </c>
      <c r="AV391">
        <v>-2.4500000000000002</v>
      </c>
      <c r="AW391">
        <v>32</v>
      </c>
      <c r="AX391">
        <v>-0.37</v>
      </c>
      <c r="AY391">
        <v>38</v>
      </c>
      <c r="AZ391">
        <v>6.47</v>
      </c>
      <c r="BA391">
        <v>19</v>
      </c>
      <c r="BB391">
        <v>5.3</v>
      </c>
      <c r="BC391">
        <v>19</v>
      </c>
      <c r="BD391">
        <v>-0.09</v>
      </c>
      <c r="BE391">
        <v>-0.11</v>
      </c>
      <c r="BF391">
        <v>-0.1</v>
      </c>
      <c r="BG391">
        <v>38</v>
      </c>
      <c r="BH391">
        <v>-0.18</v>
      </c>
      <c r="BI391">
        <v>-17.63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-2.5</v>
      </c>
      <c r="CK391">
        <v>32</v>
      </c>
      <c r="CL391">
        <v>-0.56000000000000005</v>
      </c>
      <c r="CM391">
        <v>31</v>
      </c>
      <c r="CN391">
        <v>-0.39</v>
      </c>
      <c r="CO391">
        <v>31</v>
      </c>
      <c r="CP391">
        <v>-19.100000000000001</v>
      </c>
      <c r="CQ391">
        <v>31</v>
      </c>
      <c r="CR391">
        <v>0</v>
      </c>
      <c r="CS391">
        <v>0</v>
      </c>
      <c r="CT391">
        <v>-9.6</v>
      </c>
      <c r="CU391">
        <v>31</v>
      </c>
      <c r="CV391">
        <v>-0.02</v>
      </c>
      <c r="CW391">
        <v>31</v>
      </c>
      <c r="CX391" t="s">
        <v>14002</v>
      </c>
    </row>
    <row r="392" spans="1:102" x14ac:dyDescent="0.3">
      <c r="A392" t="str">
        <f>HYPERLINK("https://webapp.icbf.com/v2/app/bull-search/view/1365488026","JE2402")</f>
        <v>JE2402</v>
      </c>
      <c r="B392" t="s">
        <v>15603</v>
      </c>
      <c r="C392" t="s">
        <v>15604</v>
      </c>
      <c r="D392" s="1">
        <v>41813</v>
      </c>
      <c r="E392" t="s">
        <v>227</v>
      </c>
      <c r="F392">
        <v>0</v>
      </c>
      <c r="G392" t="s">
        <v>109</v>
      </c>
      <c r="H392">
        <v>194.32</v>
      </c>
      <c r="I392">
        <v>68</v>
      </c>
      <c r="J392">
        <v>63.93</v>
      </c>
      <c r="K392">
        <v>85</v>
      </c>
      <c r="L392">
        <v>84.47</v>
      </c>
      <c r="M392">
        <v>71</v>
      </c>
      <c r="N392">
        <v>18.82</v>
      </c>
      <c r="O392">
        <v>60</v>
      </c>
      <c r="P392">
        <v>-50.27</v>
      </c>
      <c r="Q392">
        <v>38</v>
      </c>
      <c r="R392">
        <v>6.77</v>
      </c>
      <c r="S392">
        <v>57</v>
      </c>
      <c r="T392">
        <v>66.37</v>
      </c>
      <c r="U392">
        <v>35</v>
      </c>
      <c r="V392">
        <v>4.2300000000000004</v>
      </c>
      <c r="W392">
        <v>53</v>
      </c>
      <c r="X392" t="s">
        <v>94</v>
      </c>
      <c r="Y392" t="s">
        <v>429</v>
      </c>
      <c r="Z392">
        <v>0</v>
      </c>
      <c r="AA392" t="s">
        <v>15605</v>
      </c>
      <c r="AB392" t="s">
        <v>144</v>
      </c>
      <c r="AC392">
        <v>0</v>
      </c>
      <c r="AD392">
        <v>0</v>
      </c>
      <c r="AE392">
        <v>85</v>
      </c>
      <c r="AF392">
        <v>-253.15</v>
      </c>
      <c r="AG392">
        <v>14.95</v>
      </c>
      <c r="AH392">
        <v>1.71</v>
      </c>
      <c r="AI392">
        <v>0.45</v>
      </c>
      <c r="AJ392">
        <v>0.19</v>
      </c>
      <c r="AK392">
        <v>71</v>
      </c>
      <c r="AL392">
        <v>0</v>
      </c>
      <c r="AM392">
        <v>0</v>
      </c>
      <c r="AN392">
        <v>-2.77</v>
      </c>
      <c r="AO392">
        <v>3.99</v>
      </c>
      <c r="AP392">
        <v>24</v>
      </c>
      <c r="AQ392">
        <v>0</v>
      </c>
      <c r="AR392">
        <v>1.86</v>
      </c>
      <c r="AS392">
        <v>54</v>
      </c>
      <c r="AT392">
        <v>1.35</v>
      </c>
      <c r="AU392">
        <v>55</v>
      </c>
      <c r="AV392">
        <v>-2.2599999999999998</v>
      </c>
      <c r="AW392">
        <v>78</v>
      </c>
      <c r="AX392">
        <v>8.6300000000000008</v>
      </c>
      <c r="AY392">
        <v>45</v>
      </c>
      <c r="AZ392">
        <v>6.9</v>
      </c>
      <c r="BA392">
        <v>40</v>
      </c>
      <c r="BB392">
        <v>4.78</v>
      </c>
      <c r="BC392">
        <v>34</v>
      </c>
      <c r="BD392">
        <v>-7.0000000000000007E-2</v>
      </c>
      <c r="BE392">
        <v>-0.01</v>
      </c>
      <c r="BF392">
        <v>-0.02</v>
      </c>
      <c r="BG392">
        <v>63</v>
      </c>
      <c r="BH392">
        <v>0.11</v>
      </c>
      <c r="BI392">
        <v>-0.93</v>
      </c>
      <c r="BJ392">
        <v>0</v>
      </c>
      <c r="BK392">
        <v>0</v>
      </c>
      <c r="BL392">
        <v>-1.1000000000000001</v>
      </c>
      <c r="BM392">
        <v>-1.56</v>
      </c>
      <c r="BN392">
        <v>-0.36</v>
      </c>
      <c r="BO392">
        <v>1.22</v>
      </c>
      <c r="BP392">
        <v>0.02</v>
      </c>
      <c r="BQ392">
        <v>-4.57</v>
      </c>
      <c r="BR392">
        <v>2.12</v>
      </c>
      <c r="BS392">
        <v>5.45</v>
      </c>
      <c r="BT392">
        <v>-1.19</v>
      </c>
      <c r="BU392">
        <v>0.86</v>
      </c>
      <c r="BV392">
        <v>0.83</v>
      </c>
      <c r="BW392">
        <v>-1.04</v>
      </c>
      <c r="BX392">
        <v>-1.49</v>
      </c>
      <c r="BY392">
        <v>0.18</v>
      </c>
      <c r="BZ392">
        <v>-0.24</v>
      </c>
      <c r="CA392">
        <v>1.93</v>
      </c>
      <c r="CB392">
        <v>0.79</v>
      </c>
      <c r="CC392">
        <v>3.32</v>
      </c>
      <c r="CD392">
        <v>-1.95</v>
      </c>
      <c r="CE392">
        <v>1.1200000000000001</v>
      </c>
      <c r="CF392">
        <v>-1.05</v>
      </c>
      <c r="CG392">
        <v>0</v>
      </c>
      <c r="CH392">
        <v>-0.43</v>
      </c>
      <c r="CI392">
        <v>0</v>
      </c>
      <c r="CJ392">
        <v>-25.2</v>
      </c>
      <c r="CK392">
        <v>39</v>
      </c>
      <c r="CL392">
        <v>-1.04</v>
      </c>
      <c r="CM392">
        <v>38</v>
      </c>
      <c r="CN392">
        <v>-0.22</v>
      </c>
      <c r="CO392">
        <v>38</v>
      </c>
      <c r="CP392">
        <v>-48.9</v>
      </c>
      <c r="CQ392">
        <v>36</v>
      </c>
      <c r="CR392">
        <v>0</v>
      </c>
      <c r="CS392">
        <v>0</v>
      </c>
      <c r="CT392">
        <v>-75.900000000000006</v>
      </c>
      <c r="CU392">
        <v>35</v>
      </c>
      <c r="CV392">
        <v>-0.22</v>
      </c>
      <c r="CW392">
        <v>32</v>
      </c>
      <c r="CX392" t="s">
        <v>454</v>
      </c>
    </row>
    <row r="393" spans="1:102" x14ac:dyDescent="0.3">
      <c r="A393" t="str">
        <f>HYPERLINK("https://webapp.icbf.com/v2/app/bull-search/view/1152228483","FR2429")</f>
        <v>FR2429</v>
      </c>
      <c r="B393" t="s">
        <v>7673</v>
      </c>
      <c r="C393" t="s">
        <v>7674</v>
      </c>
      <c r="D393" s="1">
        <v>41716</v>
      </c>
      <c r="E393" t="s">
        <v>92</v>
      </c>
      <c r="F393">
        <v>75</v>
      </c>
      <c r="G393" t="s">
        <v>93</v>
      </c>
      <c r="H393">
        <v>194.31</v>
      </c>
      <c r="I393">
        <v>85</v>
      </c>
      <c r="J393">
        <v>79.53</v>
      </c>
      <c r="K393">
        <v>96</v>
      </c>
      <c r="L393">
        <v>64.8</v>
      </c>
      <c r="M393">
        <v>76</v>
      </c>
      <c r="N393">
        <v>51.1</v>
      </c>
      <c r="O393">
        <v>88</v>
      </c>
      <c r="P393">
        <v>-14.46</v>
      </c>
      <c r="Q393">
        <v>91</v>
      </c>
      <c r="R393">
        <v>-7.67</v>
      </c>
      <c r="S393">
        <v>76</v>
      </c>
      <c r="T393">
        <v>16.71</v>
      </c>
      <c r="U393">
        <v>78</v>
      </c>
      <c r="V393">
        <v>4.3</v>
      </c>
      <c r="W393">
        <v>72</v>
      </c>
      <c r="X393" t="s">
        <v>276</v>
      </c>
      <c r="Y393" t="s">
        <v>436</v>
      </c>
      <c r="Z393" t="s">
        <v>96</v>
      </c>
      <c r="AA393" t="s">
        <v>5809</v>
      </c>
      <c r="AB393" t="s">
        <v>7675</v>
      </c>
      <c r="AC393">
        <v>131</v>
      </c>
      <c r="AD393">
        <v>79</v>
      </c>
      <c r="AE393">
        <v>96</v>
      </c>
      <c r="AF393">
        <v>229.74</v>
      </c>
      <c r="AG393">
        <v>9.9</v>
      </c>
      <c r="AH393">
        <v>13.54</v>
      </c>
      <c r="AI393">
        <v>0.02</v>
      </c>
      <c r="AJ393">
        <v>0.1</v>
      </c>
      <c r="AK393">
        <v>76</v>
      </c>
      <c r="AL393">
        <v>0</v>
      </c>
      <c r="AM393">
        <v>0</v>
      </c>
      <c r="AN393">
        <v>-3.34</v>
      </c>
      <c r="AO393">
        <v>1.83</v>
      </c>
      <c r="AP393">
        <v>983</v>
      </c>
      <c r="AQ393">
        <v>0</v>
      </c>
      <c r="AR393">
        <v>5.03</v>
      </c>
      <c r="AS393">
        <v>84</v>
      </c>
      <c r="AT393">
        <v>2.1</v>
      </c>
      <c r="AU393">
        <v>95</v>
      </c>
      <c r="AV393">
        <v>-4.1100000000000003</v>
      </c>
      <c r="AW393">
        <v>99</v>
      </c>
      <c r="AX393">
        <v>-0.76</v>
      </c>
      <c r="AY393">
        <v>93</v>
      </c>
      <c r="AZ393">
        <v>5.39</v>
      </c>
      <c r="BA393">
        <v>71</v>
      </c>
      <c r="BB393">
        <v>4.7300000000000004</v>
      </c>
      <c r="BC393">
        <v>47</v>
      </c>
      <c r="BD393">
        <v>0.02</v>
      </c>
      <c r="BE393">
        <v>7.0000000000000007E-2</v>
      </c>
      <c r="BF393">
        <v>0.01</v>
      </c>
      <c r="BG393">
        <v>87</v>
      </c>
      <c r="BH393">
        <v>0.01</v>
      </c>
      <c r="BI393">
        <v>-12.73</v>
      </c>
      <c r="BJ393">
        <v>0</v>
      </c>
      <c r="BK393">
        <v>0</v>
      </c>
      <c r="BL393">
        <v>0.02</v>
      </c>
      <c r="BM393">
        <v>-0.12</v>
      </c>
      <c r="BN393">
        <v>-1.26</v>
      </c>
      <c r="BO393">
        <v>-0.89</v>
      </c>
      <c r="BP393">
        <v>2.21</v>
      </c>
      <c r="BQ393">
        <v>0.16</v>
      </c>
      <c r="BR393">
        <v>-0.52</v>
      </c>
      <c r="BS393">
        <v>-0.03</v>
      </c>
      <c r="BT393">
        <v>-1.1499999999999999</v>
      </c>
      <c r="BU393">
        <v>-0.52</v>
      </c>
      <c r="BV393">
        <v>-0.5</v>
      </c>
      <c r="BW393">
        <v>-0.56000000000000005</v>
      </c>
      <c r="BX393">
        <v>-0.31</v>
      </c>
      <c r="BY393">
        <v>-0.35</v>
      </c>
      <c r="BZ393">
        <v>-1.71</v>
      </c>
      <c r="CA393">
        <v>0</v>
      </c>
      <c r="CB393">
        <v>-0.52</v>
      </c>
      <c r="CC393">
        <v>-0.34</v>
      </c>
      <c r="CD393">
        <v>-0.14000000000000001</v>
      </c>
      <c r="CE393">
        <v>-0.28000000000000003</v>
      </c>
      <c r="CF393">
        <v>-0.56000000000000005</v>
      </c>
      <c r="CG393">
        <v>0</v>
      </c>
      <c r="CH393">
        <v>0.98</v>
      </c>
      <c r="CI393">
        <v>0</v>
      </c>
      <c r="CJ393">
        <v>-5.2</v>
      </c>
      <c r="CK393">
        <v>94</v>
      </c>
      <c r="CL393">
        <v>-0.7</v>
      </c>
      <c r="CM393">
        <v>92</v>
      </c>
      <c r="CN393">
        <v>-0.1</v>
      </c>
      <c r="CO393">
        <v>91</v>
      </c>
      <c r="CP393">
        <v>-8.1999999999999993</v>
      </c>
      <c r="CQ393">
        <v>68</v>
      </c>
      <c r="CR393">
        <v>0</v>
      </c>
      <c r="CS393">
        <v>0</v>
      </c>
      <c r="CT393">
        <v>-8.8000000000000007</v>
      </c>
      <c r="CU393">
        <v>78</v>
      </c>
      <c r="CV393">
        <v>0.16</v>
      </c>
      <c r="CW393">
        <v>46</v>
      </c>
      <c r="CX393" t="s">
        <v>4532</v>
      </c>
    </row>
    <row r="394" spans="1:102" x14ac:dyDescent="0.3">
      <c r="A394" t="str">
        <f>HYPERLINK("https://webapp.icbf.com/v2/app/bull-search/view/720497751","SYI")</f>
        <v>SYI</v>
      </c>
      <c r="B394" t="s">
        <v>15445</v>
      </c>
      <c r="C394" t="s">
        <v>15446</v>
      </c>
      <c r="D394" s="1">
        <v>39331</v>
      </c>
      <c r="E394" t="s">
        <v>227</v>
      </c>
      <c r="F394">
        <v>0</v>
      </c>
      <c r="G394" t="s">
        <v>93</v>
      </c>
      <c r="H394">
        <v>194.22</v>
      </c>
      <c r="I394">
        <v>94</v>
      </c>
      <c r="J394">
        <v>128.63</v>
      </c>
      <c r="K394">
        <v>99</v>
      </c>
      <c r="L394">
        <v>9.24</v>
      </c>
      <c r="M394">
        <v>89</v>
      </c>
      <c r="N394">
        <v>39.409999999999997</v>
      </c>
      <c r="O394">
        <v>94</v>
      </c>
      <c r="P394">
        <v>-47.78</v>
      </c>
      <c r="Q394">
        <v>97</v>
      </c>
      <c r="R394">
        <v>3.62</v>
      </c>
      <c r="S394">
        <v>88</v>
      </c>
      <c r="T394">
        <v>52.08</v>
      </c>
      <c r="U394">
        <v>96</v>
      </c>
      <c r="V394">
        <v>9.02</v>
      </c>
      <c r="W394">
        <v>86</v>
      </c>
      <c r="X394" t="s">
        <v>276</v>
      </c>
      <c r="Y394" t="s">
        <v>319</v>
      </c>
      <c r="Z394">
        <v>0</v>
      </c>
      <c r="AA394" t="s">
        <v>12863</v>
      </c>
      <c r="AB394" t="s">
        <v>15447</v>
      </c>
      <c r="AC394">
        <v>356</v>
      </c>
      <c r="AD394">
        <v>116</v>
      </c>
      <c r="AE394">
        <v>99</v>
      </c>
      <c r="AF394">
        <v>-68.08</v>
      </c>
      <c r="AG394">
        <v>28.62</v>
      </c>
      <c r="AH394">
        <v>10.71</v>
      </c>
      <c r="AI394">
        <v>0.55000000000000004</v>
      </c>
      <c r="AJ394">
        <v>0.23</v>
      </c>
      <c r="AK394">
        <v>89</v>
      </c>
      <c r="AL394">
        <v>348</v>
      </c>
      <c r="AM394">
        <v>118</v>
      </c>
      <c r="AN394">
        <v>-0.26</v>
      </c>
      <c r="AO394">
        <v>0.48</v>
      </c>
      <c r="AP394">
        <v>630</v>
      </c>
      <c r="AQ394">
        <v>2</v>
      </c>
      <c r="AR394">
        <v>3.68</v>
      </c>
      <c r="AS394">
        <v>93</v>
      </c>
      <c r="AT394">
        <v>2.08</v>
      </c>
      <c r="AU394">
        <v>94</v>
      </c>
      <c r="AV394">
        <v>-2.99</v>
      </c>
      <c r="AW394">
        <v>99</v>
      </c>
      <c r="AX394">
        <v>0.68</v>
      </c>
      <c r="AY394">
        <v>93</v>
      </c>
      <c r="AZ394">
        <v>5.86</v>
      </c>
      <c r="BA394">
        <v>85</v>
      </c>
      <c r="BB394">
        <v>4.9400000000000004</v>
      </c>
      <c r="BC394">
        <v>84</v>
      </c>
      <c r="BD394">
        <v>-0.05</v>
      </c>
      <c r="BE394">
        <v>0</v>
      </c>
      <c r="BF394">
        <v>0</v>
      </c>
      <c r="BG394">
        <v>96</v>
      </c>
      <c r="BH394">
        <v>0.13</v>
      </c>
      <c r="BI394">
        <v>-14.06</v>
      </c>
      <c r="BJ394">
        <v>34</v>
      </c>
      <c r="BK394">
        <v>11</v>
      </c>
      <c r="BL394">
        <v>-3.71</v>
      </c>
      <c r="BM394">
        <v>-2.48</v>
      </c>
      <c r="BN394">
        <v>-0.77</v>
      </c>
      <c r="BO394">
        <v>1.1499999999999999</v>
      </c>
      <c r="BP394">
        <v>-1.53</v>
      </c>
      <c r="BQ394">
        <v>-6</v>
      </c>
      <c r="BR394">
        <v>3.84</v>
      </c>
      <c r="BS394">
        <v>2.85</v>
      </c>
      <c r="BT394">
        <v>-2.86</v>
      </c>
      <c r="BU394">
        <v>-2.98</v>
      </c>
      <c r="BV394">
        <v>-2.12</v>
      </c>
      <c r="BW394">
        <v>-4.1500000000000004</v>
      </c>
      <c r="BX394">
        <v>-5.23</v>
      </c>
      <c r="BY394">
        <v>-2.21</v>
      </c>
      <c r="BZ394">
        <v>-1.1200000000000001</v>
      </c>
      <c r="CA394">
        <v>-0.9</v>
      </c>
      <c r="CB394">
        <v>-1.67</v>
      </c>
      <c r="CC394">
        <v>1.3</v>
      </c>
      <c r="CD394">
        <v>-2.64</v>
      </c>
      <c r="CE394">
        <v>0.97</v>
      </c>
      <c r="CF394">
        <v>-4.33</v>
      </c>
      <c r="CG394">
        <v>0</v>
      </c>
      <c r="CH394">
        <v>-2.54</v>
      </c>
      <c r="CI394">
        <v>0</v>
      </c>
      <c r="CJ394">
        <v>-24</v>
      </c>
      <c r="CK394">
        <v>97</v>
      </c>
      <c r="CL394">
        <v>-0.97</v>
      </c>
      <c r="CM394">
        <v>97</v>
      </c>
      <c r="CN394">
        <v>-0.14000000000000001</v>
      </c>
      <c r="CO394">
        <v>96</v>
      </c>
      <c r="CP394">
        <v>-41.9</v>
      </c>
      <c r="CQ394">
        <v>94</v>
      </c>
      <c r="CR394">
        <v>0</v>
      </c>
      <c r="CS394">
        <v>0</v>
      </c>
      <c r="CT394">
        <v>-56.6</v>
      </c>
      <c r="CU394">
        <v>96</v>
      </c>
      <c r="CV394">
        <v>-0.13</v>
      </c>
      <c r="CW394">
        <v>46</v>
      </c>
      <c r="CX394" t="s">
        <v>7790</v>
      </c>
    </row>
    <row r="395" spans="1:102" x14ac:dyDescent="0.3">
      <c r="A395" t="str">
        <f>HYPERLINK("https://webapp.icbf.com/v2/app/bull-search/view/550984303","SDF")</f>
        <v>SDF</v>
      </c>
      <c r="B395" t="s">
        <v>14856</v>
      </c>
      <c r="C395" t="s">
        <v>14857</v>
      </c>
      <c r="D395" s="1">
        <v>38585</v>
      </c>
      <c r="E395" t="s">
        <v>227</v>
      </c>
      <c r="F395">
        <v>0</v>
      </c>
      <c r="G395" t="s">
        <v>93</v>
      </c>
      <c r="H395">
        <v>194.01</v>
      </c>
      <c r="I395">
        <v>85</v>
      </c>
      <c r="J395">
        <v>54.42</v>
      </c>
      <c r="K395">
        <v>95</v>
      </c>
      <c r="L395">
        <v>81.849999999999994</v>
      </c>
      <c r="M395">
        <v>77</v>
      </c>
      <c r="N395">
        <v>35.6</v>
      </c>
      <c r="O395">
        <v>81</v>
      </c>
      <c r="P395">
        <v>-53.17</v>
      </c>
      <c r="Q395">
        <v>80</v>
      </c>
      <c r="R395">
        <v>11.19</v>
      </c>
      <c r="S395">
        <v>79</v>
      </c>
      <c r="T395">
        <v>58.82</v>
      </c>
      <c r="U395">
        <v>88</v>
      </c>
      <c r="V395">
        <v>5.3</v>
      </c>
      <c r="W395">
        <v>81</v>
      </c>
      <c r="X395" t="s">
        <v>276</v>
      </c>
      <c r="Y395" t="s">
        <v>329</v>
      </c>
      <c r="Z395">
        <v>0</v>
      </c>
      <c r="AA395" t="s">
        <v>229</v>
      </c>
      <c r="AB395" t="s">
        <v>14858</v>
      </c>
      <c r="AC395">
        <v>43</v>
      </c>
      <c r="AD395">
        <v>24</v>
      </c>
      <c r="AE395">
        <v>95</v>
      </c>
      <c r="AF395">
        <v>-591.08000000000004</v>
      </c>
      <c r="AG395">
        <v>12.83</v>
      </c>
      <c r="AH395">
        <v>-4.33</v>
      </c>
      <c r="AI395">
        <v>0.7</v>
      </c>
      <c r="AJ395">
        <v>0.31</v>
      </c>
      <c r="AK395">
        <v>77</v>
      </c>
      <c r="AL395">
        <v>39</v>
      </c>
      <c r="AM395">
        <v>17</v>
      </c>
      <c r="AN395">
        <v>-4.29</v>
      </c>
      <c r="AO395">
        <v>2.2400000000000002</v>
      </c>
      <c r="AP395">
        <v>85</v>
      </c>
      <c r="AQ395">
        <v>3</v>
      </c>
      <c r="AR395">
        <v>2.27</v>
      </c>
      <c r="AS395">
        <v>73</v>
      </c>
      <c r="AT395">
        <v>1.38</v>
      </c>
      <c r="AU395">
        <v>79</v>
      </c>
      <c r="AV395">
        <v>-2.54</v>
      </c>
      <c r="AW395">
        <v>93</v>
      </c>
      <c r="AX395">
        <v>1.24</v>
      </c>
      <c r="AY395">
        <v>71</v>
      </c>
      <c r="AZ395">
        <v>7.81</v>
      </c>
      <c r="BA395">
        <v>62</v>
      </c>
      <c r="BB395">
        <v>5.27</v>
      </c>
      <c r="BC395">
        <v>64</v>
      </c>
      <c r="BD395">
        <v>-0.08</v>
      </c>
      <c r="BE395">
        <v>-0.06</v>
      </c>
      <c r="BF395">
        <v>-0.01</v>
      </c>
      <c r="BG395">
        <v>85</v>
      </c>
      <c r="BH395">
        <v>0.23</v>
      </c>
      <c r="BI395">
        <v>9.51</v>
      </c>
      <c r="BJ395">
        <v>3</v>
      </c>
      <c r="BK395">
        <v>3</v>
      </c>
      <c r="BL395">
        <v>-3.12</v>
      </c>
      <c r="BM395">
        <v>-1.96</v>
      </c>
      <c r="BN395">
        <v>0.21</v>
      </c>
      <c r="BO395">
        <v>1.52</v>
      </c>
      <c r="BP395">
        <v>-1.54</v>
      </c>
      <c r="BQ395">
        <v>-5.79</v>
      </c>
      <c r="BR395">
        <v>3.37</v>
      </c>
      <c r="BS395">
        <v>6.45</v>
      </c>
      <c r="BT395">
        <v>-1.47</v>
      </c>
      <c r="BU395">
        <v>-1.23</v>
      </c>
      <c r="BV395">
        <v>-0.71</v>
      </c>
      <c r="BW395">
        <v>-3.07</v>
      </c>
      <c r="BX395">
        <v>-4.01</v>
      </c>
      <c r="BY395">
        <v>-0.95</v>
      </c>
      <c r="BZ395">
        <v>-0.7</v>
      </c>
      <c r="CA395">
        <v>0.28999999999999998</v>
      </c>
      <c r="CB395">
        <v>-1.33</v>
      </c>
      <c r="CC395">
        <v>3.76</v>
      </c>
      <c r="CD395">
        <v>-2.58</v>
      </c>
      <c r="CE395">
        <v>0.74</v>
      </c>
      <c r="CF395">
        <v>-3.58</v>
      </c>
      <c r="CG395">
        <v>0</v>
      </c>
      <c r="CH395">
        <v>-1.19</v>
      </c>
      <c r="CI395">
        <v>0</v>
      </c>
      <c r="CJ395">
        <v>-26.5</v>
      </c>
      <c r="CK395">
        <v>82</v>
      </c>
      <c r="CL395">
        <v>-0.82</v>
      </c>
      <c r="CM395">
        <v>77</v>
      </c>
      <c r="CN395">
        <v>7.0000000000000007E-2</v>
      </c>
      <c r="CO395">
        <v>74</v>
      </c>
      <c r="CP395">
        <v>-48.8</v>
      </c>
      <c r="CQ395">
        <v>80</v>
      </c>
      <c r="CR395">
        <v>0</v>
      </c>
      <c r="CS395">
        <v>0</v>
      </c>
      <c r="CT395">
        <v>-65.7</v>
      </c>
      <c r="CU395">
        <v>88</v>
      </c>
      <c r="CV395">
        <v>-0.15</v>
      </c>
      <c r="CW395">
        <v>42</v>
      </c>
      <c r="CX395" t="s">
        <v>8129</v>
      </c>
    </row>
    <row r="396" spans="1:102" x14ac:dyDescent="0.3">
      <c r="A396" t="str">
        <f>HYPERLINK("https://webapp.icbf.com/v2/app/bull-search/view/1354258541","FR4121")</f>
        <v>FR4121</v>
      </c>
      <c r="B396" t="s">
        <v>10309</v>
      </c>
      <c r="C396" t="s">
        <v>10310</v>
      </c>
      <c r="D396" s="1">
        <v>42400</v>
      </c>
      <c r="E396" t="s">
        <v>92</v>
      </c>
      <c r="F396">
        <v>59</v>
      </c>
      <c r="G396" t="s">
        <v>435</v>
      </c>
      <c r="H396">
        <v>194</v>
      </c>
      <c r="I396">
        <v>72</v>
      </c>
      <c r="J396">
        <v>31.76</v>
      </c>
      <c r="K396">
        <v>89</v>
      </c>
      <c r="L396">
        <v>122.09</v>
      </c>
      <c r="M396">
        <v>60</v>
      </c>
      <c r="N396">
        <v>45.22</v>
      </c>
      <c r="O396">
        <v>79</v>
      </c>
      <c r="P396">
        <v>-17.64</v>
      </c>
      <c r="Q396">
        <v>74</v>
      </c>
      <c r="R396">
        <v>4.16</v>
      </c>
      <c r="S396">
        <v>60</v>
      </c>
      <c r="T396">
        <v>9.83</v>
      </c>
      <c r="U396">
        <v>57</v>
      </c>
      <c r="V396">
        <v>-1.42</v>
      </c>
      <c r="W396">
        <v>55</v>
      </c>
      <c r="X396" t="s">
        <v>94</v>
      </c>
      <c r="Y396" t="s">
        <v>436</v>
      </c>
      <c r="Z396" t="s">
        <v>96</v>
      </c>
      <c r="AA396" t="s">
        <v>2499</v>
      </c>
      <c r="AB396" t="s">
        <v>10311</v>
      </c>
      <c r="AC396">
        <v>0</v>
      </c>
      <c r="AD396">
        <v>0</v>
      </c>
      <c r="AE396">
        <v>89</v>
      </c>
      <c r="AF396">
        <v>172.12</v>
      </c>
      <c r="AG396">
        <v>4.17</v>
      </c>
      <c r="AH396">
        <v>6.56</v>
      </c>
      <c r="AI396">
        <v>-0.05</v>
      </c>
      <c r="AJ396">
        <v>0.02</v>
      </c>
      <c r="AK396">
        <v>60</v>
      </c>
      <c r="AL396">
        <v>0</v>
      </c>
      <c r="AM396">
        <v>0</v>
      </c>
      <c r="AN396">
        <v>-7.97</v>
      </c>
      <c r="AO396">
        <v>1.75</v>
      </c>
      <c r="AP396">
        <v>226</v>
      </c>
      <c r="AQ396">
        <v>0</v>
      </c>
      <c r="AR396">
        <v>6.09</v>
      </c>
      <c r="AS396">
        <v>58</v>
      </c>
      <c r="AT396">
        <v>2.0299999999999998</v>
      </c>
      <c r="AU396">
        <v>86</v>
      </c>
      <c r="AV396">
        <v>-3.46</v>
      </c>
      <c r="AW396">
        <v>96</v>
      </c>
      <c r="AX396">
        <v>-0.41</v>
      </c>
      <c r="AY396">
        <v>76</v>
      </c>
      <c r="AZ396">
        <v>5.29</v>
      </c>
      <c r="BA396">
        <v>42</v>
      </c>
      <c r="BB396">
        <v>4.3600000000000003</v>
      </c>
      <c r="BC396">
        <v>38</v>
      </c>
      <c r="BD396">
        <v>-0.01</v>
      </c>
      <c r="BE396">
        <v>-0.01</v>
      </c>
      <c r="BF396">
        <v>-0.06</v>
      </c>
      <c r="BG396">
        <v>71</v>
      </c>
      <c r="BH396">
        <v>0.03</v>
      </c>
      <c r="BI396">
        <v>8.0399999999999991</v>
      </c>
      <c r="BJ396">
        <v>0</v>
      </c>
      <c r="BK396">
        <v>0</v>
      </c>
      <c r="BL396">
        <v>-1.42</v>
      </c>
      <c r="BM396">
        <v>1.93</v>
      </c>
      <c r="BN396">
        <v>-1.2</v>
      </c>
      <c r="BO396">
        <v>-2.02</v>
      </c>
      <c r="BP396">
        <v>0.52</v>
      </c>
      <c r="BQ396">
        <v>0.14000000000000001</v>
      </c>
      <c r="BR396">
        <v>-0.03</v>
      </c>
      <c r="BS396">
        <v>0.49</v>
      </c>
      <c r="BT396">
        <v>0.2</v>
      </c>
      <c r="BU396">
        <v>-0.12</v>
      </c>
      <c r="BV396">
        <v>-0.91</v>
      </c>
      <c r="BW396">
        <v>-1.31</v>
      </c>
      <c r="BX396">
        <v>-0.56999999999999995</v>
      </c>
      <c r="BY396">
        <v>-1.23</v>
      </c>
      <c r="BZ396">
        <v>0.2</v>
      </c>
      <c r="CA396">
        <v>-0.76</v>
      </c>
      <c r="CB396">
        <v>-0.85</v>
      </c>
      <c r="CC396">
        <v>-0.12</v>
      </c>
      <c r="CD396">
        <v>2.13</v>
      </c>
      <c r="CE396">
        <v>-2.0099999999999998</v>
      </c>
      <c r="CF396">
        <v>-0.64</v>
      </c>
      <c r="CG396">
        <v>0</v>
      </c>
      <c r="CH396">
        <v>-0.62</v>
      </c>
      <c r="CI396">
        <v>0</v>
      </c>
      <c r="CJ396">
        <v>-8.6</v>
      </c>
      <c r="CK396">
        <v>78</v>
      </c>
      <c r="CL396">
        <v>-0.61</v>
      </c>
      <c r="CM396">
        <v>71</v>
      </c>
      <c r="CN396">
        <v>-0.12</v>
      </c>
      <c r="CO396">
        <v>70</v>
      </c>
      <c r="CP396">
        <v>-5.9</v>
      </c>
      <c r="CQ396">
        <v>55</v>
      </c>
      <c r="CR396">
        <v>0</v>
      </c>
      <c r="CS396">
        <v>0</v>
      </c>
      <c r="CT396">
        <v>0.5</v>
      </c>
      <c r="CU396">
        <v>57</v>
      </c>
      <c r="CV396">
        <v>0.04</v>
      </c>
      <c r="CW396">
        <v>42</v>
      </c>
      <c r="CX396" t="s">
        <v>1942</v>
      </c>
    </row>
    <row r="397" spans="1:102" x14ac:dyDescent="0.3">
      <c r="A397" t="str">
        <f>HYPERLINK("https://webapp.icbf.com/v2/app/bull-search/view/950736940","PKX")</f>
        <v>PKX</v>
      </c>
      <c r="B397" t="s">
        <v>5808</v>
      </c>
      <c r="C397" t="s">
        <v>5809</v>
      </c>
      <c r="D397" s="1">
        <v>40954</v>
      </c>
      <c r="E397" t="s">
        <v>92</v>
      </c>
      <c r="F397">
        <v>81</v>
      </c>
      <c r="G397" t="s">
        <v>93</v>
      </c>
      <c r="H397">
        <v>193.99</v>
      </c>
      <c r="I397">
        <v>96</v>
      </c>
      <c r="J397">
        <v>55.42</v>
      </c>
      <c r="K397">
        <v>99</v>
      </c>
      <c r="L397">
        <v>76.430000000000007</v>
      </c>
      <c r="M397">
        <v>94</v>
      </c>
      <c r="N397">
        <v>47.08</v>
      </c>
      <c r="O397">
        <v>98</v>
      </c>
      <c r="P397">
        <v>-5.04</v>
      </c>
      <c r="Q397">
        <v>99</v>
      </c>
      <c r="R397">
        <v>8.4700000000000006</v>
      </c>
      <c r="S397">
        <v>96</v>
      </c>
      <c r="T397">
        <v>3.24</v>
      </c>
      <c r="U397">
        <v>99</v>
      </c>
      <c r="V397">
        <v>8.39</v>
      </c>
      <c r="W397">
        <v>83</v>
      </c>
      <c r="X397" t="s">
        <v>276</v>
      </c>
      <c r="Y397" t="s">
        <v>1923</v>
      </c>
      <c r="Z397" t="s">
        <v>96</v>
      </c>
      <c r="AA397" t="s">
        <v>1942</v>
      </c>
      <c r="AB397" t="s">
        <v>5810</v>
      </c>
      <c r="AC397">
        <v>3956</v>
      </c>
      <c r="AD397">
        <v>1042</v>
      </c>
      <c r="AE397">
        <v>99</v>
      </c>
      <c r="AF397">
        <v>107.48</v>
      </c>
      <c r="AG397">
        <v>8.51</v>
      </c>
      <c r="AH397">
        <v>8.06</v>
      </c>
      <c r="AI397">
        <v>7.0000000000000007E-2</v>
      </c>
      <c r="AJ397">
        <v>0.08</v>
      </c>
      <c r="AK397">
        <v>94</v>
      </c>
      <c r="AL397">
        <v>3686</v>
      </c>
      <c r="AM397">
        <v>1114</v>
      </c>
      <c r="AN397">
        <v>-3.8</v>
      </c>
      <c r="AO397">
        <v>2.2999999999999998</v>
      </c>
      <c r="AP397">
        <v>8346</v>
      </c>
      <c r="AQ397">
        <v>67</v>
      </c>
      <c r="AR397">
        <v>5.94</v>
      </c>
      <c r="AS397">
        <v>99</v>
      </c>
      <c r="AT397">
        <v>2.27</v>
      </c>
      <c r="AU397">
        <v>99</v>
      </c>
      <c r="AV397">
        <v>-4.1399999999999997</v>
      </c>
      <c r="AW397">
        <v>99</v>
      </c>
      <c r="AX397">
        <v>-0.64</v>
      </c>
      <c r="AY397">
        <v>99</v>
      </c>
      <c r="AZ397">
        <v>5.27</v>
      </c>
      <c r="BA397">
        <v>98</v>
      </c>
      <c r="BB397">
        <v>4.97</v>
      </c>
      <c r="BC397">
        <v>95</v>
      </c>
      <c r="BD397">
        <v>-0.01</v>
      </c>
      <c r="BE397">
        <v>-0.02</v>
      </c>
      <c r="BF397">
        <v>-0.14000000000000001</v>
      </c>
      <c r="BG397">
        <v>99</v>
      </c>
      <c r="BH397">
        <v>0.05</v>
      </c>
      <c r="BI397">
        <v>-21.28</v>
      </c>
      <c r="BJ397">
        <v>128</v>
      </c>
      <c r="BK397">
        <v>43</v>
      </c>
      <c r="BL397">
        <v>0.09</v>
      </c>
      <c r="BM397">
        <v>0.24</v>
      </c>
      <c r="BN397">
        <v>-0.82</v>
      </c>
      <c r="BO397">
        <v>-0.82</v>
      </c>
      <c r="BP397">
        <v>4.78</v>
      </c>
      <c r="BQ397">
        <v>0.89</v>
      </c>
      <c r="BR397">
        <v>-2.92</v>
      </c>
      <c r="BS397">
        <v>1.59</v>
      </c>
      <c r="BT397">
        <v>1.22</v>
      </c>
      <c r="BU397">
        <v>-0.43</v>
      </c>
      <c r="BV397">
        <v>-0.86</v>
      </c>
      <c r="BW397">
        <v>0.08</v>
      </c>
      <c r="BX397">
        <v>0.56999999999999995</v>
      </c>
      <c r="BY397">
        <v>1.17</v>
      </c>
      <c r="BZ397">
        <v>-1.54</v>
      </c>
      <c r="CA397">
        <v>0.01</v>
      </c>
      <c r="CB397">
        <v>-0.54</v>
      </c>
      <c r="CC397">
        <v>1.25</v>
      </c>
      <c r="CD397">
        <v>0.97</v>
      </c>
      <c r="CE397">
        <v>-0.56999999999999995</v>
      </c>
      <c r="CF397">
        <v>0.14000000000000001</v>
      </c>
      <c r="CG397">
        <v>0</v>
      </c>
      <c r="CH397">
        <v>1.1200000000000001</v>
      </c>
      <c r="CI397">
        <v>0</v>
      </c>
      <c r="CJ397">
        <v>-2.4</v>
      </c>
      <c r="CK397">
        <v>99</v>
      </c>
      <c r="CL397">
        <v>-0.61</v>
      </c>
      <c r="CM397">
        <v>99</v>
      </c>
      <c r="CN397">
        <v>-0.35</v>
      </c>
      <c r="CO397">
        <v>99</v>
      </c>
      <c r="CP397">
        <v>3.1</v>
      </c>
      <c r="CQ397">
        <v>98</v>
      </c>
      <c r="CR397">
        <v>0</v>
      </c>
      <c r="CS397">
        <v>0</v>
      </c>
      <c r="CT397">
        <v>9.4</v>
      </c>
      <c r="CU397">
        <v>99</v>
      </c>
      <c r="CV397">
        <v>0.1</v>
      </c>
      <c r="CW397">
        <v>49</v>
      </c>
      <c r="CX397" t="s">
        <v>1165</v>
      </c>
    </row>
    <row r="398" spans="1:102" x14ac:dyDescent="0.3">
      <c r="A398" t="str">
        <f>HYPERLINK("https://webapp.icbf.com/v2/app/bull-search/view/391322828","GYK")</f>
        <v>GYK</v>
      </c>
      <c r="B398" t="s">
        <v>4737</v>
      </c>
      <c r="C398" t="s">
        <v>4738</v>
      </c>
      <c r="D398" s="1">
        <v>38367</v>
      </c>
      <c r="E398" t="s">
        <v>92</v>
      </c>
      <c r="F398">
        <v>78</v>
      </c>
      <c r="G398" t="s">
        <v>93</v>
      </c>
      <c r="H398">
        <v>193.94</v>
      </c>
      <c r="I398">
        <v>98</v>
      </c>
      <c r="J398">
        <v>88.14</v>
      </c>
      <c r="K398">
        <v>99</v>
      </c>
      <c r="L398">
        <v>40.25</v>
      </c>
      <c r="M398">
        <v>97</v>
      </c>
      <c r="N398">
        <v>39.89</v>
      </c>
      <c r="O398">
        <v>99</v>
      </c>
      <c r="P398">
        <v>-13.02</v>
      </c>
      <c r="Q398">
        <v>99</v>
      </c>
      <c r="R398">
        <v>2.62</v>
      </c>
      <c r="S398">
        <v>98</v>
      </c>
      <c r="T398">
        <v>22.26</v>
      </c>
      <c r="U398">
        <v>99</v>
      </c>
      <c r="V398">
        <v>13.8</v>
      </c>
      <c r="W398">
        <v>99</v>
      </c>
      <c r="X398" t="s">
        <v>94</v>
      </c>
      <c r="Y398" t="s">
        <v>1164</v>
      </c>
      <c r="Z398" t="s">
        <v>96</v>
      </c>
      <c r="AA398" t="s">
        <v>4532</v>
      </c>
      <c r="AB398" t="s">
        <v>4739</v>
      </c>
      <c r="AC398">
        <v>3734</v>
      </c>
      <c r="AD398">
        <v>1387</v>
      </c>
      <c r="AE398">
        <v>99</v>
      </c>
      <c r="AF398">
        <v>-52.92</v>
      </c>
      <c r="AG398">
        <v>20.92</v>
      </c>
      <c r="AH398">
        <v>6.78</v>
      </c>
      <c r="AI398">
        <v>0.4</v>
      </c>
      <c r="AJ398">
        <v>0.15</v>
      </c>
      <c r="AK398">
        <v>97</v>
      </c>
      <c r="AL398">
        <v>4016</v>
      </c>
      <c r="AM398">
        <v>1554</v>
      </c>
      <c r="AN398">
        <v>-1.4</v>
      </c>
      <c r="AO398">
        <v>1.82</v>
      </c>
      <c r="AP398">
        <v>6836</v>
      </c>
      <c r="AQ398">
        <v>52</v>
      </c>
      <c r="AR398">
        <v>4.75</v>
      </c>
      <c r="AS398">
        <v>99</v>
      </c>
      <c r="AT398">
        <v>1.88</v>
      </c>
      <c r="AU398">
        <v>99</v>
      </c>
      <c r="AV398">
        <v>-3.4</v>
      </c>
      <c r="AW398">
        <v>99</v>
      </c>
      <c r="AX398">
        <v>-0.59</v>
      </c>
      <c r="AY398">
        <v>99</v>
      </c>
      <c r="AZ398">
        <v>7.65</v>
      </c>
      <c r="BA398">
        <v>98</v>
      </c>
      <c r="BB398">
        <v>5.44</v>
      </c>
      <c r="BC398">
        <v>98</v>
      </c>
      <c r="BD398">
        <v>0.01</v>
      </c>
      <c r="BE398">
        <v>-0.03</v>
      </c>
      <c r="BF398">
        <v>-0.02</v>
      </c>
      <c r="BG398">
        <v>99</v>
      </c>
      <c r="BH398">
        <v>0.19</v>
      </c>
      <c r="BI398">
        <v>-22.55</v>
      </c>
      <c r="BJ398">
        <v>151</v>
      </c>
      <c r="BK398">
        <v>86</v>
      </c>
      <c r="BL398">
        <v>-1.3</v>
      </c>
      <c r="BM398">
        <v>-1.04</v>
      </c>
      <c r="BN398">
        <v>-1.72</v>
      </c>
      <c r="BO398">
        <v>-0.49</v>
      </c>
      <c r="BP398">
        <v>1.88</v>
      </c>
      <c r="BQ398">
        <v>-1.59</v>
      </c>
      <c r="BR398">
        <v>-2.4300000000000002</v>
      </c>
      <c r="BS398">
        <v>0.31</v>
      </c>
      <c r="BT398">
        <v>1.31</v>
      </c>
      <c r="BU398">
        <v>2.12</v>
      </c>
      <c r="BV398">
        <v>-0.05</v>
      </c>
      <c r="BW398">
        <v>0.8</v>
      </c>
      <c r="BX398">
        <v>2.15</v>
      </c>
      <c r="BY398">
        <v>0.69</v>
      </c>
      <c r="BZ398">
        <v>-4.28</v>
      </c>
      <c r="CA398">
        <v>0.69</v>
      </c>
      <c r="CB398">
        <v>0.82</v>
      </c>
      <c r="CC398">
        <v>-0.12</v>
      </c>
      <c r="CD398">
        <v>-0.77</v>
      </c>
      <c r="CE398">
        <v>-0.11</v>
      </c>
      <c r="CF398">
        <v>-1.45</v>
      </c>
      <c r="CG398">
        <v>0</v>
      </c>
      <c r="CH398">
        <v>0.68</v>
      </c>
      <c r="CI398">
        <v>0</v>
      </c>
      <c r="CJ398">
        <v>-5.2</v>
      </c>
      <c r="CK398">
        <v>99</v>
      </c>
      <c r="CL398">
        <v>-0.53</v>
      </c>
      <c r="CM398">
        <v>99</v>
      </c>
      <c r="CN398">
        <v>-0.14000000000000001</v>
      </c>
      <c r="CO398">
        <v>99</v>
      </c>
      <c r="CP398">
        <v>-13.4</v>
      </c>
      <c r="CQ398">
        <v>99</v>
      </c>
      <c r="CR398">
        <v>0</v>
      </c>
      <c r="CS398">
        <v>0</v>
      </c>
      <c r="CT398">
        <v>-16.3</v>
      </c>
      <c r="CU398">
        <v>99</v>
      </c>
      <c r="CV398">
        <v>0.13</v>
      </c>
      <c r="CW398">
        <v>49</v>
      </c>
      <c r="CX398" t="s">
        <v>792</v>
      </c>
    </row>
    <row r="399" spans="1:102" x14ac:dyDescent="0.3">
      <c r="A399" t="str">
        <f>HYPERLINK("https://webapp.icbf.com/v2/app/bull-search/view/1150924551","S3255")</f>
        <v>S3255</v>
      </c>
      <c r="B399" t="s">
        <v>10323</v>
      </c>
      <c r="C399" t="s">
        <v>10324</v>
      </c>
      <c r="D399" s="1">
        <v>39996</v>
      </c>
      <c r="E399" t="s">
        <v>395</v>
      </c>
      <c r="F399">
        <v>0</v>
      </c>
      <c r="G399" t="s">
        <v>109</v>
      </c>
      <c r="H399">
        <v>193.74</v>
      </c>
      <c r="I399">
        <v>73</v>
      </c>
      <c r="J399">
        <v>5.67</v>
      </c>
      <c r="K399">
        <v>85</v>
      </c>
      <c r="L399">
        <v>126.12</v>
      </c>
      <c r="M399">
        <v>78</v>
      </c>
      <c r="N399">
        <v>39.32</v>
      </c>
      <c r="O399">
        <v>75</v>
      </c>
      <c r="P399">
        <v>-6</v>
      </c>
      <c r="Q399">
        <v>48</v>
      </c>
      <c r="R399">
        <v>14</v>
      </c>
      <c r="S399">
        <v>51</v>
      </c>
      <c r="T399">
        <v>10.79</v>
      </c>
      <c r="U399">
        <v>45</v>
      </c>
      <c r="V399">
        <v>3.84</v>
      </c>
      <c r="W399">
        <v>49</v>
      </c>
      <c r="X399" t="s">
        <v>110</v>
      </c>
      <c r="Y399" t="s">
        <v>2394</v>
      </c>
      <c r="Z399">
        <v>0</v>
      </c>
      <c r="AA399" t="s">
        <v>2390</v>
      </c>
      <c r="AB399" t="s">
        <v>10325</v>
      </c>
      <c r="AC399">
        <v>0</v>
      </c>
      <c r="AD399">
        <v>0</v>
      </c>
      <c r="AE399">
        <v>85</v>
      </c>
      <c r="AF399">
        <v>-159.01</v>
      </c>
      <c r="AG399">
        <v>1.98</v>
      </c>
      <c r="AH399">
        <v>-2.17</v>
      </c>
      <c r="AI399">
        <v>0.14000000000000001</v>
      </c>
      <c r="AJ399">
        <v>0.06</v>
      </c>
      <c r="AK399">
        <v>78</v>
      </c>
      <c r="AL399">
        <v>0</v>
      </c>
      <c r="AM399">
        <v>0</v>
      </c>
      <c r="AN399">
        <v>-6.74</v>
      </c>
      <c r="AO399">
        <v>3.32</v>
      </c>
      <c r="AP399">
        <v>53</v>
      </c>
      <c r="AQ399">
        <v>0</v>
      </c>
      <c r="AR399">
        <v>5.49</v>
      </c>
      <c r="AS399">
        <v>72</v>
      </c>
      <c r="AT399">
        <v>2.5299999999999998</v>
      </c>
      <c r="AU399">
        <v>88</v>
      </c>
      <c r="AV399">
        <v>-3.94</v>
      </c>
      <c r="AW399">
        <v>83</v>
      </c>
      <c r="AX399">
        <v>0.66</v>
      </c>
      <c r="AY399">
        <v>68</v>
      </c>
      <c r="AZ399">
        <v>6.06</v>
      </c>
      <c r="BA399">
        <v>42</v>
      </c>
      <c r="BB399">
        <v>5.13</v>
      </c>
      <c r="BC399">
        <v>41</v>
      </c>
      <c r="BD399">
        <v>-0.06</v>
      </c>
      <c r="BE399">
        <v>-0.08</v>
      </c>
      <c r="BF399">
        <v>-7.0000000000000007E-2</v>
      </c>
      <c r="BG399">
        <v>57</v>
      </c>
      <c r="BH399">
        <v>-0.08</v>
      </c>
      <c r="BI399">
        <v>-21.63</v>
      </c>
      <c r="BJ399">
        <v>0</v>
      </c>
      <c r="BK399">
        <v>0</v>
      </c>
      <c r="BL399">
        <v>-1.98</v>
      </c>
      <c r="BM399">
        <v>1.17</v>
      </c>
      <c r="BN399">
        <v>-1.97</v>
      </c>
      <c r="BO399">
        <v>-2.2999999999999998</v>
      </c>
      <c r="BP399">
        <v>1.5</v>
      </c>
      <c r="BQ399">
        <v>-1.31</v>
      </c>
      <c r="BR399">
        <v>0.14000000000000001</v>
      </c>
      <c r="BS399">
        <v>0.43</v>
      </c>
      <c r="BT399">
        <v>-0.17</v>
      </c>
      <c r="BU399">
        <v>-1.25</v>
      </c>
      <c r="BV399">
        <v>-2.1800000000000002</v>
      </c>
      <c r="BW399">
        <v>-2.04</v>
      </c>
      <c r="BX399">
        <v>-1.24</v>
      </c>
      <c r="BY399">
        <v>-1.51</v>
      </c>
      <c r="BZ399">
        <v>-0.74</v>
      </c>
      <c r="CA399">
        <v>-1.39</v>
      </c>
      <c r="CB399">
        <v>-1.79</v>
      </c>
      <c r="CC399">
        <v>-0.2</v>
      </c>
      <c r="CD399">
        <v>1.5</v>
      </c>
      <c r="CE399">
        <v>-1.98</v>
      </c>
      <c r="CF399">
        <v>-2.0299999999999998</v>
      </c>
      <c r="CG399">
        <v>0</v>
      </c>
      <c r="CH399">
        <v>-1.34</v>
      </c>
      <c r="CI399">
        <v>0</v>
      </c>
      <c r="CJ399">
        <v>1.9</v>
      </c>
      <c r="CK399">
        <v>50</v>
      </c>
      <c r="CL399">
        <v>-0.81</v>
      </c>
      <c r="CM399">
        <v>46</v>
      </c>
      <c r="CN399">
        <v>-7.0000000000000007E-2</v>
      </c>
      <c r="CO399">
        <v>46</v>
      </c>
      <c r="CP399">
        <v>-7.2</v>
      </c>
      <c r="CQ399">
        <v>46</v>
      </c>
      <c r="CR399">
        <v>0</v>
      </c>
      <c r="CS399">
        <v>0</v>
      </c>
      <c r="CT399">
        <v>-0.8</v>
      </c>
      <c r="CU399">
        <v>45</v>
      </c>
      <c r="CV399">
        <v>0.13</v>
      </c>
      <c r="CW399">
        <v>35</v>
      </c>
      <c r="CX399" t="s">
        <v>1983</v>
      </c>
    </row>
    <row r="400" spans="1:102" x14ac:dyDescent="0.3">
      <c r="A400" t="str">
        <f>HYPERLINK("https://webapp.icbf.com/v2/app/bull-search/view/487000017","FMV")</f>
        <v>FMV</v>
      </c>
      <c r="B400" t="s">
        <v>1449</v>
      </c>
      <c r="C400" t="s">
        <v>1450</v>
      </c>
      <c r="D400" s="1">
        <v>38593</v>
      </c>
      <c r="E400" t="s">
        <v>92</v>
      </c>
      <c r="F400">
        <v>50</v>
      </c>
      <c r="G400" t="s">
        <v>109</v>
      </c>
      <c r="H400">
        <v>193.73</v>
      </c>
      <c r="I400">
        <v>84</v>
      </c>
      <c r="J400">
        <v>56.44</v>
      </c>
      <c r="K400">
        <v>94</v>
      </c>
      <c r="L400">
        <v>89.67</v>
      </c>
      <c r="M400">
        <v>81</v>
      </c>
      <c r="N400">
        <v>30.01</v>
      </c>
      <c r="O400">
        <v>77</v>
      </c>
      <c r="P400">
        <v>-30.96</v>
      </c>
      <c r="Q400">
        <v>84</v>
      </c>
      <c r="R400">
        <v>2.46</v>
      </c>
      <c r="S400">
        <v>78</v>
      </c>
      <c r="T400">
        <v>41.5</v>
      </c>
      <c r="U400">
        <v>76</v>
      </c>
      <c r="V400">
        <v>4.6100000000000003</v>
      </c>
      <c r="W400">
        <v>76</v>
      </c>
      <c r="X400" t="s">
        <v>276</v>
      </c>
      <c r="Y400" t="s">
        <v>435</v>
      </c>
      <c r="Z400" t="s">
        <v>330</v>
      </c>
      <c r="AA400" t="s">
        <v>1451</v>
      </c>
      <c r="AB400" t="s">
        <v>144</v>
      </c>
      <c r="AC400">
        <v>32</v>
      </c>
      <c r="AD400">
        <v>21</v>
      </c>
      <c r="AE400">
        <v>94</v>
      </c>
      <c r="AF400">
        <v>-197.79</v>
      </c>
      <c r="AG400">
        <v>14.11</v>
      </c>
      <c r="AH400">
        <v>1.58</v>
      </c>
      <c r="AI400">
        <v>0.39</v>
      </c>
      <c r="AJ400">
        <v>0.15</v>
      </c>
      <c r="AK400">
        <v>81</v>
      </c>
      <c r="AL400">
        <v>40</v>
      </c>
      <c r="AM400">
        <v>24</v>
      </c>
      <c r="AN400">
        <v>-5.77</v>
      </c>
      <c r="AO400">
        <v>1.37</v>
      </c>
      <c r="AP400">
        <v>54</v>
      </c>
      <c r="AQ400">
        <v>1</v>
      </c>
      <c r="AR400">
        <v>4.8499999999999996</v>
      </c>
      <c r="AS400">
        <v>67</v>
      </c>
      <c r="AT400">
        <v>1.53</v>
      </c>
      <c r="AU400">
        <v>75</v>
      </c>
      <c r="AV400">
        <v>-1.46</v>
      </c>
      <c r="AW400">
        <v>91</v>
      </c>
      <c r="AX400">
        <v>-0.84</v>
      </c>
      <c r="AY400">
        <v>70</v>
      </c>
      <c r="AZ400">
        <v>6.74</v>
      </c>
      <c r="BA400">
        <v>54</v>
      </c>
      <c r="BB400">
        <v>5.15</v>
      </c>
      <c r="BC400">
        <v>57</v>
      </c>
      <c r="BD400">
        <v>-0.01</v>
      </c>
      <c r="BE400">
        <v>0</v>
      </c>
      <c r="BF400">
        <v>-0.04</v>
      </c>
      <c r="BG400">
        <v>89</v>
      </c>
      <c r="BH400">
        <v>-0.01</v>
      </c>
      <c r="BI400">
        <v>-16.04</v>
      </c>
      <c r="BJ400">
        <v>0</v>
      </c>
      <c r="BK400">
        <v>0</v>
      </c>
      <c r="BL400">
        <v>-2.15</v>
      </c>
      <c r="BM400">
        <v>0.11</v>
      </c>
      <c r="BN400">
        <v>-0.62</v>
      </c>
      <c r="BO400">
        <v>-0.36</v>
      </c>
      <c r="BP400">
        <v>-1.1299999999999999</v>
      </c>
      <c r="BQ400">
        <v>-3.4</v>
      </c>
      <c r="BR400">
        <v>0.9</v>
      </c>
      <c r="BS400">
        <v>-0.19</v>
      </c>
      <c r="BT400">
        <v>-1.59</v>
      </c>
      <c r="BU400">
        <v>-1.27</v>
      </c>
      <c r="BV400">
        <v>-1.52</v>
      </c>
      <c r="BW400">
        <v>-0.9</v>
      </c>
      <c r="BX400">
        <v>-1.7</v>
      </c>
      <c r="BY400">
        <v>-0.97</v>
      </c>
      <c r="BZ400">
        <v>-0.55000000000000004</v>
      </c>
      <c r="CA400">
        <v>-1.27</v>
      </c>
      <c r="CB400">
        <v>-0.86</v>
      </c>
      <c r="CC400">
        <v>-0.2</v>
      </c>
      <c r="CD400">
        <v>0.78</v>
      </c>
      <c r="CE400">
        <v>-0.02</v>
      </c>
      <c r="CF400">
        <v>-0.31</v>
      </c>
      <c r="CG400">
        <v>0</v>
      </c>
      <c r="CH400">
        <v>-0.88</v>
      </c>
      <c r="CI400">
        <v>0</v>
      </c>
      <c r="CJ400">
        <v>-14.4</v>
      </c>
      <c r="CK400">
        <v>86</v>
      </c>
      <c r="CL400">
        <v>-0.6</v>
      </c>
      <c r="CM400">
        <v>83</v>
      </c>
      <c r="CN400">
        <v>0.09</v>
      </c>
      <c r="CO400">
        <v>81</v>
      </c>
      <c r="CP400">
        <v>-25.6</v>
      </c>
      <c r="CQ400">
        <v>79</v>
      </c>
      <c r="CR400">
        <v>0</v>
      </c>
      <c r="CS400">
        <v>0</v>
      </c>
      <c r="CT400">
        <v>-42.3</v>
      </c>
      <c r="CU400">
        <v>76</v>
      </c>
      <c r="CV400">
        <v>0.02</v>
      </c>
      <c r="CW400">
        <v>43</v>
      </c>
      <c r="CX400" t="s">
        <v>792</v>
      </c>
    </row>
    <row r="401" spans="1:102" x14ac:dyDescent="0.3">
      <c r="A401" t="str">
        <f>HYPERLINK("https://webapp.icbf.com/v2/app/bull-search/view/1125372536","JE2047")</f>
        <v>JE2047</v>
      </c>
      <c r="B401" t="s">
        <v>15498</v>
      </c>
      <c r="C401" t="s">
        <v>15499</v>
      </c>
      <c r="D401" s="1">
        <v>41138</v>
      </c>
      <c r="E401" t="s">
        <v>227</v>
      </c>
      <c r="F401">
        <v>25</v>
      </c>
      <c r="G401" t="s">
        <v>93</v>
      </c>
      <c r="H401">
        <v>193.51</v>
      </c>
      <c r="I401">
        <v>86</v>
      </c>
      <c r="J401">
        <v>86.06</v>
      </c>
      <c r="K401">
        <v>99</v>
      </c>
      <c r="L401">
        <v>41.94</v>
      </c>
      <c r="M401">
        <v>76</v>
      </c>
      <c r="N401">
        <v>51.24</v>
      </c>
      <c r="O401">
        <v>93</v>
      </c>
      <c r="P401">
        <v>-48.91</v>
      </c>
      <c r="Q401">
        <v>96</v>
      </c>
      <c r="R401">
        <v>4.25</v>
      </c>
      <c r="S401">
        <v>70</v>
      </c>
      <c r="T401">
        <v>46.98</v>
      </c>
      <c r="U401">
        <v>94</v>
      </c>
      <c r="V401">
        <v>11.95</v>
      </c>
      <c r="W401">
        <v>21</v>
      </c>
      <c r="X401" t="s">
        <v>276</v>
      </c>
      <c r="Y401" t="s">
        <v>405</v>
      </c>
      <c r="Z401">
        <v>0</v>
      </c>
      <c r="AA401" t="s">
        <v>2508</v>
      </c>
      <c r="AB401" t="s">
        <v>144</v>
      </c>
      <c r="AC401">
        <v>433</v>
      </c>
      <c r="AD401">
        <v>84</v>
      </c>
      <c r="AE401">
        <v>99</v>
      </c>
      <c r="AF401">
        <v>-158.63</v>
      </c>
      <c r="AG401">
        <v>20.350000000000001</v>
      </c>
      <c r="AH401">
        <v>5.01</v>
      </c>
      <c r="AI401">
        <v>0.45</v>
      </c>
      <c r="AJ401">
        <v>0.18</v>
      </c>
      <c r="AK401">
        <v>76</v>
      </c>
      <c r="AL401">
        <v>482</v>
      </c>
      <c r="AM401">
        <v>85</v>
      </c>
      <c r="AN401">
        <v>-1.89</v>
      </c>
      <c r="AO401">
        <v>1.46</v>
      </c>
      <c r="AP401">
        <v>1899</v>
      </c>
      <c r="AQ401">
        <v>8</v>
      </c>
      <c r="AR401">
        <v>3.53</v>
      </c>
      <c r="AS401">
        <v>97</v>
      </c>
      <c r="AT401">
        <v>1.68</v>
      </c>
      <c r="AU401">
        <v>97</v>
      </c>
      <c r="AV401">
        <v>-3.93</v>
      </c>
      <c r="AW401">
        <v>99</v>
      </c>
      <c r="AX401">
        <v>0.02</v>
      </c>
      <c r="AY401">
        <v>96</v>
      </c>
      <c r="AZ401">
        <v>6.26</v>
      </c>
      <c r="BA401">
        <v>85</v>
      </c>
      <c r="BB401">
        <v>4.78</v>
      </c>
      <c r="BC401">
        <v>65</v>
      </c>
      <c r="BD401">
        <v>-0.04</v>
      </c>
      <c r="BE401">
        <v>0.01</v>
      </c>
      <c r="BF401">
        <v>-0.05</v>
      </c>
      <c r="BG401">
        <v>93</v>
      </c>
      <c r="BH401">
        <v>0.22</v>
      </c>
      <c r="BI401">
        <v>-13.1</v>
      </c>
      <c r="BJ401">
        <v>0</v>
      </c>
      <c r="BK401">
        <v>0</v>
      </c>
      <c r="BL401">
        <v>-2.79</v>
      </c>
      <c r="BM401">
        <v>-0.88</v>
      </c>
      <c r="BN401">
        <v>-1.1100000000000001</v>
      </c>
      <c r="BO401">
        <v>0.08</v>
      </c>
      <c r="BP401">
        <v>-0.57999999999999996</v>
      </c>
      <c r="BQ401">
        <v>-4.1900000000000004</v>
      </c>
      <c r="BR401">
        <v>2.2000000000000002</v>
      </c>
      <c r="BS401">
        <v>3.9</v>
      </c>
      <c r="BT401">
        <v>-1.41</v>
      </c>
      <c r="BU401">
        <v>-1.84</v>
      </c>
      <c r="BV401">
        <v>-0.79</v>
      </c>
      <c r="BW401">
        <v>-2.25</v>
      </c>
      <c r="BX401">
        <v>-3.91</v>
      </c>
      <c r="BY401">
        <v>-0.72</v>
      </c>
      <c r="BZ401">
        <v>0.22</v>
      </c>
      <c r="CA401">
        <v>-0.49</v>
      </c>
      <c r="CB401">
        <v>-1.27</v>
      </c>
      <c r="CC401">
        <v>1.73</v>
      </c>
      <c r="CD401">
        <v>-0.7</v>
      </c>
      <c r="CE401">
        <v>0.01</v>
      </c>
      <c r="CF401">
        <v>-3.08</v>
      </c>
      <c r="CG401">
        <v>0</v>
      </c>
      <c r="CH401">
        <v>-1.56</v>
      </c>
      <c r="CI401">
        <v>0</v>
      </c>
      <c r="CJ401">
        <v>-25.7</v>
      </c>
      <c r="CK401">
        <v>98</v>
      </c>
      <c r="CL401">
        <v>-0.95</v>
      </c>
      <c r="CM401">
        <v>97</v>
      </c>
      <c r="CN401">
        <v>-7.0000000000000007E-2</v>
      </c>
      <c r="CO401">
        <v>96</v>
      </c>
      <c r="CP401">
        <v>-29.7</v>
      </c>
      <c r="CQ401">
        <v>84</v>
      </c>
      <c r="CR401">
        <v>0</v>
      </c>
      <c r="CS401">
        <v>0</v>
      </c>
      <c r="CT401">
        <v>-49.7</v>
      </c>
      <c r="CU401">
        <v>94</v>
      </c>
      <c r="CV401">
        <v>-0.26</v>
      </c>
      <c r="CW401">
        <v>51</v>
      </c>
      <c r="CX401" t="s">
        <v>1928</v>
      </c>
    </row>
    <row r="402" spans="1:102" x14ac:dyDescent="0.3">
      <c r="A402" t="str">
        <f>HYPERLINK("https://webapp.icbf.com/v2/app/bull-search/view/678697008","RKP")</f>
        <v>RKP</v>
      </c>
      <c r="B402" t="s">
        <v>9007</v>
      </c>
      <c r="C402" t="s">
        <v>9008</v>
      </c>
      <c r="D402" s="1">
        <v>39677</v>
      </c>
      <c r="E402" t="s">
        <v>92</v>
      </c>
      <c r="F402">
        <v>75</v>
      </c>
      <c r="G402" t="s">
        <v>93</v>
      </c>
      <c r="H402">
        <v>193.42</v>
      </c>
      <c r="I402">
        <v>93</v>
      </c>
      <c r="J402">
        <v>52.32</v>
      </c>
      <c r="K402">
        <v>99</v>
      </c>
      <c r="L402">
        <v>93.4</v>
      </c>
      <c r="M402">
        <v>88</v>
      </c>
      <c r="N402">
        <v>50.11</v>
      </c>
      <c r="O402">
        <v>95</v>
      </c>
      <c r="P402">
        <v>-42.13</v>
      </c>
      <c r="Q402">
        <v>98</v>
      </c>
      <c r="R402">
        <v>2.23</v>
      </c>
      <c r="S402">
        <v>83</v>
      </c>
      <c r="T402">
        <v>39.28</v>
      </c>
      <c r="U402">
        <v>95</v>
      </c>
      <c r="V402">
        <v>-1.79</v>
      </c>
      <c r="W402">
        <v>74</v>
      </c>
      <c r="X402" t="s">
        <v>276</v>
      </c>
      <c r="Y402" t="s">
        <v>329</v>
      </c>
      <c r="Z402" t="s">
        <v>330</v>
      </c>
      <c r="AA402" t="s">
        <v>2339</v>
      </c>
      <c r="AB402" t="s">
        <v>144</v>
      </c>
      <c r="AC402">
        <v>445</v>
      </c>
      <c r="AD402">
        <v>142</v>
      </c>
      <c r="AE402">
        <v>99</v>
      </c>
      <c r="AF402">
        <v>-201.07</v>
      </c>
      <c r="AG402">
        <v>8.0299999999999994</v>
      </c>
      <c r="AH402">
        <v>2.98</v>
      </c>
      <c r="AI402">
        <v>0.27</v>
      </c>
      <c r="AJ402">
        <v>0.17</v>
      </c>
      <c r="AK402">
        <v>88</v>
      </c>
      <c r="AL402">
        <v>534</v>
      </c>
      <c r="AM402">
        <v>150</v>
      </c>
      <c r="AN402">
        <v>-4.21</v>
      </c>
      <c r="AO402">
        <v>3.25</v>
      </c>
      <c r="AP402">
        <v>799</v>
      </c>
      <c r="AQ402">
        <v>2</v>
      </c>
      <c r="AR402">
        <v>3.5</v>
      </c>
      <c r="AS402">
        <v>90</v>
      </c>
      <c r="AT402">
        <v>1.67</v>
      </c>
      <c r="AU402">
        <v>95</v>
      </c>
      <c r="AV402">
        <v>-4.16</v>
      </c>
      <c r="AW402">
        <v>99</v>
      </c>
      <c r="AX402">
        <v>-0.28000000000000003</v>
      </c>
      <c r="AY402">
        <v>95</v>
      </c>
      <c r="AZ402">
        <v>6.63</v>
      </c>
      <c r="BA402">
        <v>82</v>
      </c>
      <c r="BB402">
        <v>5.44</v>
      </c>
      <c r="BC402">
        <v>86</v>
      </c>
      <c r="BD402">
        <v>-0.05</v>
      </c>
      <c r="BE402">
        <v>-0.02</v>
      </c>
      <c r="BF402">
        <v>7.0000000000000007E-2</v>
      </c>
      <c r="BG402">
        <v>95</v>
      </c>
      <c r="BH402">
        <v>-0.1</v>
      </c>
      <c r="BI402">
        <v>-5.8</v>
      </c>
      <c r="BJ402">
        <v>0</v>
      </c>
      <c r="BK402">
        <v>0</v>
      </c>
      <c r="BL402">
        <v>-2.52</v>
      </c>
      <c r="BM402">
        <v>0.05</v>
      </c>
      <c r="BN402">
        <v>-0.98</v>
      </c>
      <c r="BO402">
        <v>-0.19</v>
      </c>
      <c r="BP402">
        <v>-0.81</v>
      </c>
      <c r="BQ402">
        <v>-4.18</v>
      </c>
      <c r="BR402">
        <v>1.3</v>
      </c>
      <c r="BS402">
        <v>0.82</v>
      </c>
      <c r="BT402">
        <v>-2.4700000000000002</v>
      </c>
      <c r="BU402">
        <v>-1.92</v>
      </c>
      <c r="BV402">
        <v>-1.49</v>
      </c>
      <c r="BW402">
        <v>-1.56</v>
      </c>
      <c r="BX402">
        <v>-3.2</v>
      </c>
      <c r="BY402">
        <v>-0.9</v>
      </c>
      <c r="BZ402">
        <v>1.8</v>
      </c>
      <c r="CA402">
        <v>-1.38</v>
      </c>
      <c r="CB402">
        <v>-1.36</v>
      </c>
      <c r="CC402">
        <v>-0.31</v>
      </c>
      <c r="CD402">
        <v>-0.62</v>
      </c>
      <c r="CE402">
        <v>0.25</v>
      </c>
      <c r="CF402">
        <v>-2.11</v>
      </c>
      <c r="CG402">
        <v>0</v>
      </c>
      <c r="CH402">
        <v>-0.59</v>
      </c>
      <c r="CI402">
        <v>0</v>
      </c>
      <c r="CJ402">
        <v>-22.7</v>
      </c>
      <c r="CK402">
        <v>99</v>
      </c>
      <c r="CL402">
        <v>-0.74</v>
      </c>
      <c r="CM402">
        <v>98</v>
      </c>
      <c r="CN402">
        <v>-0.05</v>
      </c>
      <c r="CO402">
        <v>98</v>
      </c>
      <c r="CP402">
        <v>-25</v>
      </c>
      <c r="CQ402">
        <v>95</v>
      </c>
      <c r="CR402">
        <v>0</v>
      </c>
      <c r="CS402">
        <v>0</v>
      </c>
      <c r="CT402">
        <v>-39.299999999999997</v>
      </c>
      <c r="CU402">
        <v>95</v>
      </c>
      <c r="CV402">
        <v>-0.16</v>
      </c>
      <c r="CW402">
        <v>30</v>
      </c>
      <c r="CX402" t="s">
        <v>1634</v>
      </c>
    </row>
    <row r="403" spans="1:102" x14ac:dyDescent="0.3">
      <c r="A403" t="str">
        <f>HYPERLINK("https://webapp.icbf.com/v2/app/bull-search/view/867776181","ZBK")</f>
        <v>ZBK</v>
      </c>
      <c r="B403" t="s">
        <v>13160</v>
      </c>
      <c r="C403" t="s">
        <v>13161</v>
      </c>
      <c r="D403" s="1">
        <v>40607</v>
      </c>
      <c r="E403" t="s">
        <v>92</v>
      </c>
      <c r="F403">
        <v>69</v>
      </c>
      <c r="G403" t="s">
        <v>93</v>
      </c>
      <c r="H403">
        <v>193.09</v>
      </c>
      <c r="I403">
        <v>87</v>
      </c>
      <c r="J403">
        <v>26.08</v>
      </c>
      <c r="K403">
        <v>98</v>
      </c>
      <c r="L403">
        <v>115.49</v>
      </c>
      <c r="M403">
        <v>79</v>
      </c>
      <c r="N403">
        <v>35.700000000000003</v>
      </c>
      <c r="O403">
        <v>86</v>
      </c>
      <c r="P403">
        <v>-22.8</v>
      </c>
      <c r="Q403">
        <v>92</v>
      </c>
      <c r="R403">
        <v>11.09</v>
      </c>
      <c r="S403">
        <v>80</v>
      </c>
      <c r="T403">
        <v>19.75</v>
      </c>
      <c r="U403">
        <v>81</v>
      </c>
      <c r="V403">
        <v>7.78</v>
      </c>
      <c r="W403">
        <v>77</v>
      </c>
      <c r="X403" t="s">
        <v>276</v>
      </c>
      <c r="Y403" t="s">
        <v>1775</v>
      </c>
      <c r="Z403" t="s">
        <v>330</v>
      </c>
      <c r="AA403" t="s">
        <v>2150</v>
      </c>
      <c r="AB403" t="s">
        <v>13162</v>
      </c>
      <c r="AC403">
        <v>128</v>
      </c>
      <c r="AD403">
        <v>66</v>
      </c>
      <c r="AE403">
        <v>98</v>
      </c>
      <c r="AF403">
        <v>68.39</v>
      </c>
      <c r="AG403">
        <v>1.73</v>
      </c>
      <c r="AH403">
        <v>4.87</v>
      </c>
      <c r="AI403">
        <v>-0.02</v>
      </c>
      <c r="AJ403">
        <v>0.04</v>
      </c>
      <c r="AK403">
        <v>79</v>
      </c>
      <c r="AL403">
        <v>127</v>
      </c>
      <c r="AM403">
        <v>71</v>
      </c>
      <c r="AN403">
        <v>-5.52</v>
      </c>
      <c r="AO403">
        <v>3.7</v>
      </c>
      <c r="AP403">
        <v>223</v>
      </c>
      <c r="AQ403">
        <v>1</v>
      </c>
      <c r="AR403">
        <v>4.8499999999999996</v>
      </c>
      <c r="AS403">
        <v>74</v>
      </c>
      <c r="AT403">
        <v>2.11</v>
      </c>
      <c r="AU403">
        <v>88</v>
      </c>
      <c r="AV403">
        <v>-3.17</v>
      </c>
      <c r="AW403">
        <v>97</v>
      </c>
      <c r="AX403">
        <v>0</v>
      </c>
      <c r="AY403">
        <v>85</v>
      </c>
      <c r="AZ403">
        <v>7.02</v>
      </c>
      <c r="BA403">
        <v>66</v>
      </c>
      <c r="BB403">
        <v>5.49</v>
      </c>
      <c r="BC403">
        <v>64</v>
      </c>
      <c r="BD403">
        <v>-0.06</v>
      </c>
      <c r="BE403">
        <v>-0.05</v>
      </c>
      <c r="BF403">
        <v>-0.06</v>
      </c>
      <c r="BG403">
        <v>89</v>
      </c>
      <c r="BH403">
        <v>0.1</v>
      </c>
      <c r="BI403">
        <v>-13.53</v>
      </c>
      <c r="BJ403">
        <v>0</v>
      </c>
      <c r="BK403">
        <v>0</v>
      </c>
      <c r="BL403">
        <v>-1.94</v>
      </c>
      <c r="BM403">
        <v>0.06</v>
      </c>
      <c r="BN403">
        <v>-1.1599999999999999</v>
      </c>
      <c r="BO403">
        <v>-0.88</v>
      </c>
      <c r="BP403">
        <v>-0.69</v>
      </c>
      <c r="BQ403">
        <v>-2.59</v>
      </c>
      <c r="BR403">
        <v>1.42</v>
      </c>
      <c r="BS403">
        <v>0.41</v>
      </c>
      <c r="BT403">
        <v>-1.84</v>
      </c>
      <c r="BU403">
        <v>-0.09</v>
      </c>
      <c r="BV403">
        <v>-0.76</v>
      </c>
      <c r="BW403">
        <v>-1.26</v>
      </c>
      <c r="BX403">
        <v>-0.68</v>
      </c>
      <c r="BY403">
        <v>-1.92</v>
      </c>
      <c r="BZ403">
        <v>-0.65</v>
      </c>
      <c r="CA403">
        <v>-0.28000000000000003</v>
      </c>
      <c r="CB403">
        <v>-0.72</v>
      </c>
      <c r="CC403">
        <v>0.95</v>
      </c>
      <c r="CD403">
        <v>0.59</v>
      </c>
      <c r="CE403">
        <v>-0.84</v>
      </c>
      <c r="CF403">
        <v>-0.97</v>
      </c>
      <c r="CG403">
        <v>0</v>
      </c>
      <c r="CH403">
        <v>-0.85</v>
      </c>
      <c r="CI403">
        <v>0</v>
      </c>
      <c r="CJ403">
        <v>-10.1</v>
      </c>
      <c r="CK403">
        <v>94</v>
      </c>
      <c r="CL403">
        <v>-0.74</v>
      </c>
      <c r="CM403">
        <v>92</v>
      </c>
      <c r="CN403">
        <v>-0.03</v>
      </c>
      <c r="CO403">
        <v>92</v>
      </c>
      <c r="CP403">
        <v>-10.5</v>
      </c>
      <c r="CQ403">
        <v>78</v>
      </c>
      <c r="CR403">
        <v>0</v>
      </c>
      <c r="CS403">
        <v>0</v>
      </c>
      <c r="CT403">
        <v>-12.9</v>
      </c>
      <c r="CU403">
        <v>81</v>
      </c>
      <c r="CV403">
        <v>0.03</v>
      </c>
      <c r="CW403">
        <v>45</v>
      </c>
      <c r="CX403" t="s">
        <v>4023</v>
      </c>
    </row>
    <row r="404" spans="1:102" x14ac:dyDescent="0.3">
      <c r="A404" t="str">
        <f>HYPERLINK("https://webapp.icbf.com/v2/app/bull-search/view/400142609","DZL")</f>
        <v>DZL</v>
      </c>
      <c r="B404" t="s">
        <v>4501</v>
      </c>
      <c r="C404" t="s">
        <v>4502</v>
      </c>
      <c r="D404" s="1">
        <v>38417</v>
      </c>
      <c r="E404" t="s">
        <v>92</v>
      </c>
      <c r="F404">
        <v>69</v>
      </c>
      <c r="G404" t="s">
        <v>93</v>
      </c>
      <c r="H404">
        <v>193.06</v>
      </c>
      <c r="I404">
        <v>60</v>
      </c>
      <c r="J404">
        <v>52.36</v>
      </c>
      <c r="K404">
        <v>76</v>
      </c>
      <c r="L404">
        <v>112.41</v>
      </c>
      <c r="M404">
        <v>46</v>
      </c>
      <c r="N404">
        <v>14.89</v>
      </c>
      <c r="O404">
        <v>57</v>
      </c>
      <c r="P404">
        <v>-10.59</v>
      </c>
      <c r="Q404">
        <v>74</v>
      </c>
      <c r="R404">
        <v>13.55</v>
      </c>
      <c r="S404">
        <v>51</v>
      </c>
      <c r="T404">
        <v>5.17</v>
      </c>
      <c r="U404">
        <v>52</v>
      </c>
      <c r="V404">
        <v>5.27</v>
      </c>
      <c r="W404">
        <v>51</v>
      </c>
      <c r="X404" t="s">
        <v>251</v>
      </c>
      <c r="Y404" t="s">
        <v>1164</v>
      </c>
      <c r="Z404" t="s">
        <v>96</v>
      </c>
      <c r="AA404" t="s">
        <v>1229</v>
      </c>
      <c r="AB404" t="s">
        <v>4503</v>
      </c>
      <c r="AC404">
        <v>15</v>
      </c>
      <c r="AD404">
        <v>8</v>
      </c>
      <c r="AE404">
        <v>76</v>
      </c>
      <c r="AF404">
        <v>114.07</v>
      </c>
      <c r="AG404">
        <v>4.47</v>
      </c>
      <c r="AH404">
        <v>9.07</v>
      </c>
      <c r="AI404">
        <v>0</v>
      </c>
      <c r="AJ404">
        <v>0.08</v>
      </c>
      <c r="AK404">
        <v>46</v>
      </c>
      <c r="AL404">
        <v>17</v>
      </c>
      <c r="AM404">
        <v>8</v>
      </c>
      <c r="AN404">
        <v>-7.24</v>
      </c>
      <c r="AO404">
        <v>1.71</v>
      </c>
      <c r="AP404">
        <v>32</v>
      </c>
      <c r="AQ404">
        <v>0</v>
      </c>
      <c r="AR404">
        <v>6.04</v>
      </c>
      <c r="AS404">
        <v>38</v>
      </c>
      <c r="AT404">
        <v>2.58</v>
      </c>
      <c r="AU404">
        <v>56</v>
      </c>
      <c r="AV404">
        <v>-0.77</v>
      </c>
      <c r="AW404">
        <v>70</v>
      </c>
      <c r="AX404">
        <v>0.3</v>
      </c>
      <c r="AY404">
        <v>52</v>
      </c>
      <c r="AZ404">
        <v>6.61</v>
      </c>
      <c r="BA404">
        <v>39</v>
      </c>
      <c r="BB404">
        <v>4.68</v>
      </c>
      <c r="BC404">
        <v>40</v>
      </c>
      <c r="BD404">
        <v>-7.0000000000000007E-2</v>
      </c>
      <c r="BE404">
        <v>-0.05</v>
      </c>
      <c r="BF404">
        <v>-0.1</v>
      </c>
      <c r="BG404">
        <v>56</v>
      </c>
      <c r="BH404">
        <v>-0.09</v>
      </c>
      <c r="BI404">
        <v>-27.41</v>
      </c>
      <c r="BJ404">
        <v>1</v>
      </c>
      <c r="BK404">
        <v>1</v>
      </c>
      <c r="BL404">
        <v>-1.17</v>
      </c>
      <c r="BM404">
        <v>0.89</v>
      </c>
      <c r="BN404">
        <v>-0.87</v>
      </c>
      <c r="BO404">
        <v>-1.21</v>
      </c>
      <c r="BP404">
        <v>-0.96</v>
      </c>
      <c r="BQ404">
        <v>-0.55000000000000004</v>
      </c>
      <c r="BR404">
        <v>0.23</v>
      </c>
      <c r="BS404">
        <v>-0.69</v>
      </c>
      <c r="BT404">
        <v>-1.1599999999999999</v>
      </c>
      <c r="BU404">
        <v>-0.21</v>
      </c>
      <c r="BV404">
        <v>-0.63</v>
      </c>
      <c r="BW404">
        <v>-0.81</v>
      </c>
      <c r="BX404">
        <v>-0.45</v>
      </c>
      <c r="BY404">
        <v>-1.32</v>
      </c>
      <c r="BZ404">
        <v>0.06</v>
      </c>
      <c r="CA404">
        <v>-0.96</v>
      </c>
      <c r="CB404">
        <v>-0.85</v>
      </c>
      <c r="CC404">
        <v>-0.86</v>
      </c>
      <c r="CD404">
        <v>1.07</v>
      </c>
      <c r="CE404">
        <v>-1.1000000000000001</v>
      </c>
      <c r="CF404">
        <v>-1.25</v>
      </c>
      <c r="CG404">
        <v>0</v>
      </c>
      <c r="CH404">
        <v>-0.93</v>
      </c>
      <c r="CI404">
        <v>0</v>
      </c>
      <c r="CJ404">
        <v>-3.9</v>
      </c>
      <c r="CK404">
        <v>77</v>
      </c>
      <c r="CL404">
        <v>-0.74</v>
      </c>
      <c r="CM404">
        <v>74</v>
      </c>
      <c r="CN404">
        <v>-0.25</v>
      </c>
      <c r="CO404">
        <v>72</v>
      </c>
      <c r="CP404">
        <v>-3.3</v>
      </c>
      <c r="CQ404">
        <v>59</v>
      </c>
      <c r="CR404">
        <v>0</v>
      </c>
      <c r="CS404">
        <v>0</v>
      </c>
      <c r="CT404">
        <v>6.8</v>
      </c>
      <c r="CU404">
        <v>52</v>
      </c>
      <c r="CV404">
        <v>0.14000000000000001</v>
      </c>
      <c r="CW404">
        <v>23</v>
      </c>
      <c r="CX404" t="s">
        <v>1037</v>
      </c>
    </row>
    <row r="405" spans="1:102" x14ac:dyDescent="0.3">
      <c r="A405" t="str">
        <f>HYPERLINK("https://webapp.icbf.com/v2/app/bull-search/view/1276122021","JE4155")</f>
        <v>JE4155</v>
      </c>
      <c r="B405" t="s">
        <v>13855</v>
      </c>
      <c r="C405" t="s">
        <v>13856</v>
      </c>
      <c r="D405" s="1">
        <v>41866</v>
      </c>
      <c r="E405" t="s">
        <v>227</v>
      </c>
      <c r="F405">
        <v>0</v>
      </c>
      <c r="G405" t="s">
        <v>109</v>
      </c>
      <c r="H405">
        <v>193</v>
      </c>
      <c r="I405">
        <v>74</v>
      </c>
      <c r="J405">
        <v>96.84</v>
      </c>
      <c r="K405">
        <v>89</v>
      </c>
      <c r="L405">
        <v>39.049999999999997</v>
      </c>
      <c r="M405">
        <v>64</v>
      </c>
      <c r="N405">
        <v>28.02</v>
      </c>
      <c r="O405">
        <v>88</v>
      </c>
      <c r="P405">
        <v>-43.91</v>
      </c>
      <c r="Q405">
        <v>78</v>
      </c>
      <c r="R405">
        <v>8.99</v>
      </c>
      <c r="S405">
        <v>64</v>
      </c>
      <c r="T405">
        <v>55.49</v>
      </c>
      <c r="U405">
        <v>48</v>
      </c>
      <c r="V405">
        <v>8.52</v>
      </c>
      <c r="W405">
        <v>60</v>
      </c>
      <c r="X405" t="s">
        <v>94</v>
      </c>
      <c r="Y405" t="s">
        <v>429</v>
      </c>
      <c r="Z405">
        <v>0</v>
      </c>
      <c r="AA405" t="s">
        <v>7892</v>
      </c>
      <c r="AB405" t="s">
        <v>13857</v>
      </c>
      <c r="AC405">
        <v>0</v>
      </c>
      <c r="AD405">
        <v>0</v>
      </c>
      <c r="AE405">
        <v>89</v>
      </c>
      <c r="AF405">
        <v>-366.47</v>
      </c>
      <c r="AG405">
        <v>20.27</v>
      </c>
      <c r="AH405">
        <v>3.69</v>
      </c>
      <c r="AI405">
        <v>0.63</v>
      </c>
      <c r="AJ405">
        <v>0.3</v>
      </c>
      <c r="AK405">
        <v>64</v>
      </c>
      <c r="AL405">
        <v>0</v>
      </c>
      <c r="AM405">
        <v>0</v>
      </c>
      <c r="AN405">
        <v>-0.14000000000000001</v>
      </c>
      <c r="AO405">
        <v>3</v>
      </c>
      <c r="AP405">
        <v>2277</v>
      </c>
      <c r="AQ405">
        <v>0</v>
      </c>
      <c r="AR405">
        <v>3.71</v>
      </c>
      <c r="AS405">
        <v>98</v>
      </c>
      <c r="AT405">
        <v>1.77</v>
      </c>
      <c r="AU405">
        <v>97</v>
      </c>
      <c r="AV405">
        <v>-2.61</v>
      </c>
      <c r="AW405">
        <v>99</v>
      </c>
      <c r="AX405">
        <v>2.98</v>
      </c>
      <c r="AY405">
        <v>97</v>
      </c>
      <c r="AZ405">
        <v>7.2</v>
      </c>
      <c r="BA405">
        <v>44</v>
      </c>
      <c r="BB405">
        <v>5.35</v>
      </c>
      <c r="BC405">
        <v>38</v>
      </c>
      <c r="BD405">
        <v>-7.0000000000000007E-2</v>
      </c>
      <c r="BE405">
        <v>0</v>
      </c>
      <c r="BF405">
        <v>-0.09</v>
      </c>
      <c r="BG405">
        <v>72</v>
      </c>
      <c r="BH405">
        <v>0.19</v>
      </c>
      <c r="BI405">
        <v>-5.49</v>
      </c>
      <c r="BJ405">
        <v>0</v>
      </c>
      <c r="BK405">
        <v>0</v>
      </c>
      <c r="BL405">
        <v>-2.78</v>
      </c>
      <c r="BM405">
        <v>-1.73</v>
      </c>
      <c r="BN405">
        <v>-0.32</v>
      </c>
      <c r="BO405">
        <v>1.27</v>
      </c>
      <c r="BP405">
        <v>-0.66</v>
      </c>
      <c r="BQ405">
        <v>-5.5</v>
      </c>
      <c r="BR405">
        <v>2.67</v>
      </c>
      <c r="BS405">
        <v>6.21</v>
      </c>
      <c r="BT405">
        <v>-1.58</v>
      </c>
      <c r="BU405">
        <v>-0.76</v>
      </c>
      <c r="BV405">
        <v>-0.21</v>
      </c>
      <c r="BW405">
        <v>-2.59</v>
      </c>
      <c r="BX405">
        <v>-3.84</v>
      </c>
      <c r="BY405">
        <v>0.15</v>
      </c>
      <c r="BZ405">
        <v>-0.46</v>
      </c>
      <c r="CA405">
        <v>1.23</v>
      </c>
      <c r="CB405">
        <v>-0.34</v>
      </c>
      <c r="CC405">
        <v>3.96</v>
      </c>
      <c r="CD405">
        <v>-2.08</v>
      </c>
      <c r="CE405">
        <v>1.17</v>
      </c>
      <c r="CF405">
        <v>-2.83</v>
      </c>
      <c r="CG405">
        <v>0</v>
      </c>
      <c r="CH405">
        <v>-1.03</v>
      </c>
      <c r="CI405">
        <v>0</v>
      </c>
      <c r="CJ405">
        <v>-22</v>
      </c>
      <c r="CK405">
        <v>83</v>
      </c>
      <c r="CL405">
        <v>-0.97</v>
      </c>
      <c r="CM405">
        <v>76</v>
      </c>
      <c r="CN405">
        <v>-0.21</v>
      </c>
      <c r="CO405">
        <v>75</v>
      </c>
      <c r="CP405">
        <v>-40</v>
      </c>
      <c r="CQ405">
        <v>50</v>
      </c>
      <c r="CR405">
        <v>0</v>
      </c>
      <c r="CS405">
        <v>0</v>
      </c>
      <c r="CT405">
        <v>-61.2</v>
      </c>
      <c r="CU405">
        <v>48</v>
      </c>
      <c r="CV405">
        <v>-0.16</v>
      </c>
      <c r="CW405">
        <v>43</v>
      </c>
      <c r="CX405" t="s">
        <v>13858</v>
      </c>
    </row>
    <row r="406" spans="1:102" x14ac:dyDescent="0.3">
      <c r="A406" t="str">
        <f>HYPERLINK("https://webapp.icbf.com/v2/app/bull-search/view/1195903396","S2181")</f>
        <v>S2181</v>
      </c>
      <c r="B406" t="s">
        <v>14549</v>
      </c>
      <c r="C406" t="s">
        <v>14550</v>
      </c>
      <c r="D406" s="1">
        <v>41250</v>
      </c>
      <c r="E406" t="s">
        <v>92</v>
      </c>
      <c r="F406">
        <v>100</v>
      </c>
      <c r="G406" t="s">
        <v>109</v>
      </c>
      <c r="H406">
        <v>192.62</v>
      </c>
      <c r="I406">
        <v>75</v>
      </c>
      <c r="J406">
        <v>58.66</v>
      </c>
      <c r="K406">
        <v>92</v>
      </c>
      <c r="L406">
        <v>96.61</v>
      </c>
      <c r="M406">
        <v>77</v>
      </c>
      <c r="N406">
        <v>32.229999999999997</v>
      </c>
      <c r="O406">
        <v>65</v>
      </c>
      <c r="P406">
        <v>5.5</v>
      </c>
      <c r="Q406">
        <v>52</v>
      </c>
      <c r="R406">
        <v>4.5999999999999996</v>
      </c>
      <c r="S406">
        <v>71</v>
      </c>
      <c r="T406">
        <v>-0.31</v>
      </c>
      <c r="U406">
        <v>41</v>
      </c>
      <c r="V406">
        <v>-4.67</v>
      </c>
      <c r="W406">
        <v>58</v>
      </c>
      <c r="X406" t="s">
        <v>102</v>
      </c>
      <c r="Y406" t="s">
        <v>367</v>
      </c>
      <c r="Z406" t="s">
        <v>96</v>
      </c>
      <c r="AA406" t="s">
        <v>2699</v>
      </c>
      <c r="AB406" t="s">
        <v>14551</v>
      </c>
      <c r="AC406">
        <v>0</v>
      </c>
      <c r="AD406">
        <v>0</v>
      </c>
      <c r="AE406">
        <v>92</v>
      </c>
      <c r="AF406">
        <v>169.34</v>
      </c>
      <c r="AG406">
        <v>8.39</v>
      </c>
      <c r="AH406">
        <v>9.6</v>
      </c>
      <c r="AI406">
        <v>0.03</v>
      </c>
      <c r="AJ406">
        <v>7.0000000000000007E-2</v>
      </c>
      <c r="AK406">
        <v>77</v>
      </c>
      <c r="AL406">
        <v>0</v>
      </c>
      <c r="AM406">
        <v>0</v>
      </c>
      <c r="AN406">
        <v>-4.04</v>
      </c>
      <c r="AO406">
        <v>3.68</v>
      </c>
      <c r="AP406">
        <v>30</v>
      </c>
      <c r="AQ406">
        <v>0</v>
      </c>
      <c r="AR406">
        <v>5.62</v>
      </c>
      <c r="AS406">
        <v>62</v>
      </c>
      <c r="AT406">
        <v>2.56</v>
      </c>
      <c r="AU406">
        <v>86</v>
      </c>
      <c r="AV406">
        <v>-3.87</v>
      </c>
      <c r="AW406">
        <v>66</v>
      </c>
      <c r="AX406">
        <v>1.38</v>
      </c>
      <c r="AY406">
        <v>54</v>
      </c>
      <c r="AZ406">
        <v>6.63</v>
      </c>
      <c r="BA406">
        <v>38</v>
      </c>
      <c r="BB406">
        <v>5.76</v>
      </c>
      <c r="BC406">
        <v>38</v>
      </c>
      <c r="BD406">
        <v>-0.01</v>
      </c>
      <c r="BE406">
        <v>-0.01</v>
      </c>
      <c r="BF406">
        <v>-7.0000000000000007E-2</v>
      </c>
      <c r="BG406">
        <v>88</v>
      </c>
      <c r="BH406">
        <v>-0.16</v>
      </c>
      <c r="BI406">
        <v>-3.46</v>
      </c>
      <c r="BJ406">
        <v>0</v>
      </c>
      <c r="BK406">
        <v>0</v>
      </c>
      <c r="BL406">
        <v>0.38</v>
      </c>
      <c r="BM406">
        <v>2.1</v>
      </c>
      <c r="BN406">
        <v>-0.72</v>
      </c>
      <c r="BO406">
        <v>-0.66</v>
      </c>
      <c r="BP406">
        <v>0.5</v>
      </c>
      <c r="BQ406">
        <v>-2.77</v>
      </c>
      <c r="BR406">
        <v>-0.98</v>
      </c>
      <c r="BS406">
        <v>0.26</v>
      </c>
      <c r="BT406">
        <v>0.24</v>
      </c>
      <c r="BU406">
        <v>1.1499999999999999</v>
      </c>
      <c r="BV406">
        <v>0.48</v>
      </c>
      <c r="BW406">
        <v>-1.38</v>
      </c>
      <c r="BX406">
        <v>1.31</v>
      </c>
      <c r="BY406">
        <v>-1.5</v>
      </c>
      <c r="BZ406">
        <v>1.33</v>
      </c>
      <c r="CA406">
        <v>0.78</v>
      </c>
      <c r="CB406">
        <v>0.57999999999999996</v>
      </c>
      <c r="CC406">
        <v>0.38</v>
      </c>
      <c r="CD406">
        <v>2.21</v>
      </c>
      <c r="CE406">
        <v>-0.28000000000000003</v>
      </c>
      <c r="CF406">
        <v>0.13</v>
      </c>
      <c r="CG406">
        <v>0</v>
      </c>
      <c r="CH406">
        <v>-0.73</v>
      </c>
      <c r="CI406">
        <v>0</v>
      </c>
      <c r="CJ406">
        <v>3.7</v>
      </c>
      <c r="CK406">
        <v>55</v>
      </c>
      <c r="CL406">
        <v>-0.6</v>
      </c>
      <c r="CM406">
        <v>50</v>
      </c>
      <c r="CN406">
        <v>-0.56000000000000005</v>
      </c>
      <c r="CO406">
        <v>49</v>
      </c>
      <c r="CP406">
        <v>0.2</v>
      </c>
      <c r="CQ406">
        <v>43</v>
      </c>
      <c r="CR406">
        <v>0</v>
      </c>
      <c r="CS406">
        <v>0</v>
      </c>
      <c r="CT406">
        <v>14.2</v>
      </c>
      <c r="CU406">
        <v>41</v>
      </c>
      <c r="CV406">
        <v>0.13</v>
      </c>
      <c r="CW406">
        <v>37</v>
      </c>
      <c r="CX406" t="s">
        <v>316</v>
      </c>
    </row>
    <row r="407" spans="1:102" x14ac:dyDescent="0.3">
      <c r="A407" t="str">
        <f>HYPERLINK("https://webapp.icbf.com/v2/app/bull-search/view/1356895194","FR4178")</f>
        <v>FR4178</v>
      </c>
      <c r="B407" t="s">
        <v>6856</v>
      </c>
      <c r="C407" t="s">
        <v>6857</v>
      </c>
      <c r="D407" s="1">
        <v>42409</v>
      </c>
      <c r="E407" t="s">
        <v>92</v>
      </c>
      <c r="F407">
        <v>75</v>
      </c>
      <c r="G407" t="s">
        <v>435</v>
      </c>
      <c r="H407">
        <v>192.61</v>
      </c>
      <c r="I407">
        <v>76</v>
      </c>
      <c r="J407">
        <v>88.18</v>
      </c>
      <c r="K407">
        <v>90</v>
      </c>
      <c r="L407">
        <v>62.15</v>
      </c>
      <c r="M407">
        <v>65</v>
      </c>
      <c r="N407">
        <v>47.95</v>
      </c>
      <c r="O407">
        <v>88</v>
      </c>
      <c r="P407">
        <v>-17.079999999999998</v>
      </c>
      <c r="Q407">
        <v>85</v>
      </c>
      <c r="R407">
        <v>-12.16</v>
      </c>
      <c r="S407">
        <v>66</v>
      </c>
      <c r="T407">
        <v>19.75</v>
      </c>
      <c r="U407">
        <v>55</v>
      </c>
      <c r="V407">
        <v>3.82</v>
      </c>
      <c r="W407">
        <v>59</v>
      </c>
      <c r="X407" t="s">
        <v>94</v>
      </c>
      <c r="Y407" t="s">
        <v>2255</v>
      </c>
      <c r="Z407" t="s">
        <v>96</v>
      </c>
      <c r="AA407" t="s">
        <v>2239</v>
      </c>
      <c r="AB407" t="s">
        <v>6858</v>
      </c>
      <c r="AC407">
        <v>0</v>
      </c>
      <c r="AD407">
        <v>0</v>
      </c>
      <c r="AE407">
        <v>90</v>
      </c>
      <c r="AF407">
        <v>100</v>
      </c>
      <c r="AG407">
        <v>13.42</v>
      </c>
      <c r="AH407">
        <v>11.78</v>
      </c>
      <c r="AI407">
        <v>0.16</v>
      </c>
      <c r="AJ407">
        <v>0.15</v>
      </c>
      <c r="AK407">
        <v>65</v>
      </c>
      <c r="AL407">
        <v>0</v>
      </c>
      <c r="AM407">
        <v>0</v>
      </c>
      <c r="AN407">
        <v>-3.09</v>
      </c>
      <c r="AO407">
        <v>1.87</v>
      </c>
      <c r="AP407">
        <v>1928</v>
      </c>
      <c r="AQ407">
        <v>4</v>
      </c>
      <c r="AR407">
        <v>3.73</v>
      </c>
      <c r="AS407">
        <v>90</v>
      </c>
      <c r="AT407">
        <v>1.7</v>
      </c>
      <c r="AU407">
        <v>97</v>
      </c>
      <c r="AV407">
        <v>-4.12</v>
      </c>
      <c r="AW407">
        <v>99</v>
      </c>
      <c r="AX407">
        <v>1.2</v>
      </c>
      <c r="AY407">
        <v>96</v>
      </c>
      <c r="AZ407">
        <v>6.81</v>
      </c>
      <c r="BA407">
        <v>46</v>
      </c>
      <c r="BB407">
        <v>4.8899999999999997</v>
      </c>
      <c r="BC407">
        <v>45</v>
      </c>
      <c r="BD407">
        <v>0.01</v>
      </c>
      <c r="BE407">
        <v>7.0000000000000007E-2</v>
      </c>
      <c r="BF407">
        <v>0.13</v>
      </c>
      <c r="BG407">
        <v>75</v>
      </c>
      <c r="BH407">
        <v>0.06</v>
      </c>
      <c r="BI407">
        <v>-5.38</v>
      </c>
      <c r="BJ407">
        <v>0</v>
      </c>
      <c r="BK407">
        <v>0</v>
      </c>
      <c r="BL407">
        <v>-1.82</v>
      </c>
      <c r="BM407">
        <v>-0.74</v>
      </c>
      <c r="BN407">
        <v>-0.87</v>
      </c>
      <c r="BO407">
        <v>-0.41</v>
      </c>
      <c r="BP407">
        <v>2.59</v>
      </c>
      <c r="BQ407">
        <v>-3.58</v>
      </c>
      <c r="BR407">
        <v>-0.95</v>
      </c>
      <c r="BS407">
        <v>1.62</v>
      </c>
      <c r="BT407">
        <v>1.33</v>
      </c>
      <c r="BU407">
        <v>-2.1800000000000002</v>
      </c>
      <c r="BV407">
        <v>-1.58</v>
      </c>
      <c r="BW407">
        <v>-2.34</v>
      </c>
      <c r="BX407">
        <v>-2.19</v>
      </c>
      <c r="BY407">
        <v>-0.71</v>
      </c>
      <c r="BZ407">
        <v>-3.33</v>
      </c>
      <c r="CA407">
        <v>-1.46</v>
      </c>
      <c r="CB407">
        <v>-2.14</v>
      </c>
      <c r="CC407">
        <v>0.49</v>
      </c>
      <c r="CD407">
        <v>-0.31</v>
      </c>
      <c r="CE407">
        <v>-0.38</v>
      </c>
      <c r="CF407">
        <v>-1.56</v>
      </c>
      <c r="CG407">
        <v>0</v>
      </c>
      <c r="CH407">
        <v>-0.66</v>
      </c>
      <c r="CI407">
        <v>0</v>
      </c>
      <c r="CJ407">
        <v>-10.7</v>
      </c>
      <c r="CK407">
        <v>89</v>
      </c>
      <c r="CL407">
        <v>-0.33</v>
      </c>
      <c r="CM407">
        <v>86</v>
      </c>
      <c r="CN407">
        <v>-0.23</v>
      </c>
      <c r="CO407">
        <v>84</v>
      </c>
      <c r="CP407">
        <v>-10.7</v>
      </c>
      <c r="CQ407">
        <v>58</v>
      </c>
      <c r="CR407">
        <v>0</v>
      </c>
      <c r="CS407">
        <v>0</v>
      </c>
      <c r="CT407">
        <v>-12.9</v>
      </c>
      <c r="CU407">
        <v>55</v>
      </c>
      <c r="CV407">
        <v>-0.09</v>
      </c>
      <c r="CW407">
        <v>46</v>
      </c>
      <c r="CX407" t="s">
        <v>390</v>
      </c>
    </row>
    <row r="408" spans="1:102" x14ac:dyDescent="0.3">
      <c r="A408" t="str">
        <f>HYPERLINK("https://webapp.icbf.com/v2/app/bull-search/view/386618703","MRY")</f>
        <v>MRY</v>
      </c>
      <c r="B408" t="s">
        <v>9964</v>
      </c>
      <c r="C408" t="s">
        <v>242</v>
      </c>
      <c r="D408" s="1">
        <v>36372</v>
      </c>
      <c r="E408" t="s">
        <v>227</v>
      </c>
      <c r="F408">
        <v>0</v>
      </c>
      <c r="G408" t="s">
        <v>93</v>
      </c>
      <c r="H408">
        <v>192.23</v>
      </c>
      <c r="I408">
        <v>95</v>
      </c>
      <c r="J408">
        <v>63.15</v>
      </c>
      <c r="K408">
        <v>98</v>
      </c>
      <c r="L408">
        <v>64.17</v>
      </c>
      <c r="M408">
        <v>92</v>
      </c>
      <c r="N408">
        <v>36.67</v>
      </c>
      <c r="O408">
        <v>94</v>
      </c>
      <c r="P408">
        <v>-57.8</v>
      </c>
      <c r="Q408">
        <v>96</v>
      </c>
      <c r="R408">
        <v>11.28</v>
      </c>
      <c r="S408">
        <v>91</v>
      </c>
      <c r="T408">
        <v>63.92</v>
      </c>
      <c r="U408">
        <v>95</v>
      </c>
      <c r="V408">
        <v>10.84</v>
      </c>
      <c r="W408">
        <v>94</v>
      </c>
      <c r="X408" t="s">
        <v>302</v>
      </c>
      <c r="Y408" t="s">
        <v>95</v>
      </c>
      <c r="Z408">
        <v>0</v>
      </c>
      <c r="AA408" t="s">
        <v>3240</v>
      </c>
      <c r="AB408" t="s">
        <v>9965</v>
      </c>
      <c r="AC408">
        <v>259</v>
      </c>
      <c r="AD408">
        <v>87</v>
      </c>
      <c r="AE408">
        <v>98</v>
      </c>
      <c r="AF408">
        <v>-389.91</v>
      </c>
      <c r="AG408">
        <v>12.33</v>
      </c>
      <c r="AH408">
        <v>0.41</v>
      </c>
      <c r="AI408">
        <v>0.51</v>
      </c>
      <c r="AJ408">
        <v>0.26</v>
      </c>
      <c r="AK408">
        <v>92</v>
      </c>
      <c r="AL408">
        <v>235</v>
      </c>
      <c r="AM408">
        <v>64</v>
      </c>
      <c r="AN408">
        <v>-1.74</v>
      </c>
      <c r="AO408">
        <v>3.4</v>
      </c>
      <c r="AP408">
        <v>475</v>
      </c>
      <c r="AQ408">
        <v>2</v>
      </c>
      <c r="AR408">
        <v>2.04</v>
      </c>
      <c r="AS408">
        <v>95</v>
      </c>
      <c r="AT408">
        <v>1.1100000000000001</v>
      </c>
      <c r="AU408">
        <v>92</v>
      </c>
      <c r="AV408">
        <v>-2.62</v>
      </c>
      <c r="AW408">
        <v>98</v>
      </c>
      <c r="AX408">
        <v>1.57</v>
      </c>
      <c r="AY408">
        <v>92</v>
      </c>
      <c r="AZ408">
        <v>6.76</v>
      </c>
      <c r="BA408">
        <v>82</v>
      </c>
      <c r="BB408">
        <v>5.6</v>
      </c>
      <c r="BC408">
        <v>86</v>
      </c>
      <c r="BD408">
        <v>-0.11</v>
      </c>
      <c r="BE408">
        <v>-0.04</v>
      </c>
      <c r="BF408">
        <v>0</v>
      </c>
      <c r="BG408">
        <v>95</v>
      </c>
      <c r="BH408">
        <v>0.26</v>
      </c>
      <c r="BI408">
        <v>-4.88</v>
      </c>
      <c r="BJ408">
        <v>2</v>
      </c>
      <c r="BK408">
        <v>2</v>
      </c>
      <c r="BL408">
        <v>-4.12</v>
      </c>
      <c r="BM408">
        <v>-2.65</v>
      </c>
      <c r="BN408">
        <v>-1.57</v>
      </c>
      <c r="BO408">
        <v>0.73</v>
      </c>
      <c r="BP408">
        <v>-1.77</v>
      </c>
      <c r="BQ408">
        <v>-7.73</v>
      </c>
      <c r="BR408">
        <v>2.66</v>
      </c>
      <c r="BS408">
        <v>5.67</v>
      </c>
      <c r="BT408">
        <v>-1.4</v>
      </c>
      <c r="BU408">
        <v>-1.49</v>
      </c>
      <c r="BV408">
        <v>-0.28000000000000003</v>
      </c>
      <c r="BW408">
        <v>-2.5</v>
      </c>
      <c r="BX408">
        <v>-4.62</v>
      </c>
      <c r="BY408">
        <v>1.27</v>
      </c>
      <c r="BZ408">
        <v>-4.43</v>
      </c>
      <c r="CA408">
        <v>1.01</v>
      </c>
      <c r="CB408">
        <v>-0.27</v>
      </c>
      <c r="CC408">
        <v>3.18</v>
      </c>
      <c r="CD408">
        <v>-1.65</v>
      </c>
      <c r="CE408">
        <v>0.87</v>
      </c>
      <c r="CF408">
        <v>-5.15</v>
      </c>
      <c r="CG408">
        <v>0</v>
      </c>
      <c r="CH408">
        <v>-0.33</v>
      </c>
      <c r="CI408">
        <v>0</v>
      </c>
      <c r="CJ408">
        <v>-26.3</v>
      </c>
      <c r="CK408">
        <v>97</v>
      </c>
      <c r="CL408">
        <v>-1.1299999999999999</v>
      </c>
      <c r="CM408">
        <v>96</v>
      </c>
      <c r="CN408">
        <v>0.23</v>
      </c>
      <c r="CO408">
        <v>95</v>
      </c>
      <c r="CP408">
        <v>-47.7</v>
      </c>
      <c r="CQ408">
        <v>95</v>
      </c>
      <c r="CR408">
        <v>0</v>
      </c>
      <c r="CS408">
        <v>0</v>
      </c>
      <c r="CT408">
        <v>-72.599999999999994</v>
      </c>
      <c r="CU408">
        <v>95</v>
      </c>
      <c r="CV408">
        <v>-0.14000000000000001</v>
      </c>
      <c r="CW408">
        <v>45</v>
      </c>
      <c r="CX408" t="s">
        <v>514</v>
      </c>
    </row>
    <row r="409" spans="1:102" x14ac:dyDescent="0.3">
      <c r="A409" t="str">
        <f>HYPERLINK("https://webapp.icbf.com/v2/app/bull-search/view/861149982","RPZ")</f>
        <v>RPZ</v>
      </c>
      <c r="B409" t="s">
        <v>5552</v>
      </c>
      <c r="C409" t="s">
        <v>5553</v>
      </c>
      <c r="D409" s="1">
        <v>40580</v>
      </c>
      <c r="E409" t="s">
        <v>92</v>
      </c>
      <c r="F409">
        <v>63</v>
      </c>
      <c r="G409" t="s">
        <v>93</v>
      </c>
      <c r="H409">
        <v>192.19</v>
      </c>
      <c r="I409">
        <v>92</v>
      </c>
      <c r="J409">
        <v>76.89</v>
      </c>
      <c r="K409">
        <v>99</v>
      </c>
      <c r="L409">
        <v>90.67</v>
      </c>
      <c r="M409">
        <v>86</v>
      </c>
      <c r="N409">
        <v>16.96</v>
      </c>
      <c r="O409">
        <v>94</v>
      </c>
      <c r="P409">
        <v>-19.600000000000001</v>
      </c>
      <c r="Q409">
        <v>97</v>
      </c>
      <c r="R409">
        <v>-0.62</v>
      </c>
      <c r="S409">
        <v>86</v>
      </c>
      <c r="T409">
        <v>21.15</v>
      </c>
      <c r="U409">
        <v>92</v>
      </c>
      <c r="V409">
        <v>6.74</v>
      </c>
      <c r="W409">
        <v>79</v>
      </c>
      <c r="X409" t="s">
        <v>94</v>
      </c>
      <c r="Y409" t="s">
        <v>1860</v>
      </c>
      <c r="Z409" t="s">
        <v>330</v>
      </c>
      <c r="AA409" t="s">
        <v>392</v>
      </c>
      <c r="AB409" t="s">
        <v>5554</v>
      </c>
      <c r="AC409">
        <v>329</v>
      </c>
      <c r="AD409">
        <v>141</v>
      </c>
      <c r="AE409">
        <v>99</v>
      </c>
      <c r="AF409">
        <v>-69.930000000000007</v>
      </c>
      <c r="AG409">
        <v>13.9</v>
      </c>
      <c r="AH409">
        <v>7.09</v>
      </c>
      <c r="AI409">
        <v>0.28999999999999998</v>
      </c>
      <c r="AJ409">
        <v>0.17</v>
      </c>
      <c r="AK409">
        <v>86</v>
      </c>
      <c r="AL409">
        <v>401</v>
      </c>
      <c r="AM409">
        <v>172</v>
      </c>
      <c r="AN409">
        <v>-4.99</v>
      </c>
      <c r="AO409">
        <v>2.2400000000000002</v>
      </c>
      <c r="AP409">
        <v>712</v>
      </c>
      <c r="AQ409">
        <v>10</v>
      </c>
      <c r="AR409">
        <v>7.77</v>
      </c>
      <c r="AS409">
        <v>86</v>
      </c>
      <c r="AT409">
        <v>3.39</v>
      </c>
      <c r="AU409">
        <v>95</v>
      </c>
      <c r="AV409">
        <v>-2.2999999999999998</v>
      </c>
      <c r="AW409">
        <v>99</v>
      </c>
      <c r="AX409">
        <v>0.69</v>
      </c>
      <c r="AY409">
        <v>94</v>
      </c>
      <c r="AZ409">
        <v>5.41</v>
      </c>
      <c r="BA409">
        <v>83</v>
      </c>
      <c r="BB409">
        <v>4.5999999999999996</v>
      </c>
      <c r="BC409">
        <v>82</v>
      </c>
      <c r="BD409">
        <v>-0.04</v>
      </c>
      <c r="BE409">
        <v>-0.01</v>
      </c>
      <c r="BF409">
        <v>0.1</v>
      </c>
      <c r="BG409">
        <v>95</v>
      </c>
      <c r="BH409">
        <v>0.03</v>
      </c>
      <c r="BI409">
        <v>-18.28</v>
      </c>
      <c r="BJ409">
        <v>7</v>
      </c>
      <c r="BK409">
        <v>6</v>
      </c>
      <c r="BL409">
        <v>-1.26</v>
      </c>
      <c r="BM409">
        <v>-2.42</v>
      </c>
      <c r="BN409">
        <v>-2.14</v>
      </c>
      <c r="BO409">
        <v>-0.09</v>
      </c>
      <c r="BP409">
        <v>1.01</v>
      </c>
      <c r="BQ409">
        <v>-2.87</v>
      </c>
      <c r="BR409">
        <v>0.46</v>
      </c>
      <c r="BS409">
        <v>0.47</v>
      </c>
      <c r="BT409">
        <v>-1.83</v>
      </c>
      <c r="BU409">
        <v>-0.87</v>
      </c>
      <c r="BV409">
        <v>-0.39</v>
      </c>
      <c r="BW409">
        <v>-1.69</v>
      </c>
      <c r="BX409">
        <v>-1</v>
      </c>
      <c r="BY409">
        <v>-0.41</v>
      </c>
      <c r="BZ409">
        <v>0.4</v>
      </c>
      <c r="CA409">
        <v>-0.77</v>
      </c>
      <c r="CB409">
        <v>-1.04</v>
      </c>
      <c r="CC409">
        <v>-0.35</v>
      </c>
      <c r="CD409">
        <v>-0.44</v>
      </c>
      <c r="CE409">
        <v>-0.17</v>
      </c>
      <c r="CF409">
        <v>-2.81</v>
      </c>
      <c r="CG409">
        <v>0</v>
      </c>
      <c r="CH409">
        <v>-1.62</v>
      </c>
      <c r="CI409">
        <v>0</v>
      </c>
      <c r="CJ409">
        <v>-11</v>
      </c>
      <c r="CK409">
        <v>98</v>
      </c>
      <c r="CL409">
        <v>-0.75</v>
      </c>
      <c r="CM409">
        <v>97</v>
      </c>
      <c r="CN409">
        <v>-0.49</v>
      </c>
      <c r="CO409">
        <v>97</v>
      </c>
      <c r="CP409">
        <v>-16.100000000000001</v>
      </c>
      <c r="CQ409">
        <v>91</v>
      </c>
      <c r="CR409">
        <v>0</v>
      </c>
      <c r="CS409">
        <v>0</v>
      </c>
      <c r="CT409">
        <v>-14.8</v>
      </c>
      <c r="CU409">
        <v>92</v>
      </c>
      <c r="CV409">
        <v>0.01</v>
      </c>
      <c r="CW409">
        <v>46</v>
      </c>
      <c r="CX409" t="s">
        <v>4088</v>
      </c>
    </row>
    <row r="410" spans="1:102" x14ac:dyDescent="0.3">
      <c r="A410" t="str">
        <f>HYPERLINK("https://webapp.icbf.com/v2/app/bull-search/view/1140829178","ZRL")</f>
        <v>ZRL</v>
      </c>
      <c r="B410" t="s">
        <v>14538</v>
      </c>
      <c r="C410" t="s">
        <v>2499</v>
      </c>
      <c r="D410" s="1">
        <v>41678</v>
      </c>
      <c r="E410" t="s">
        <v>92</v>
      </c>
      <c r="F410">
        <v>72</v>
      </c>
      <c r="G410" t="s">
        <v>93</v>
      </c>
      <c r="H410">
        <v>192.14</v>
      </c>
      <c r="I410">
        <v>92</v>
      </c>
      <c r="J410">
        <v>45.64</v>
      </c>
      <c r="K410">
        <v>99</v>
      </c>
      <c r="L410">
        <v>101.54</v>
      </c>
      <c r="M410">
        <v>84</v>
      </c>
      <c r="N410">
        <v>46.82</v>
      </c>
      <c r="O410">
        <v>94</v>
      </c>
      <c r="P410">
        <v>-18.62</v>
      </c>
      <c r="Q410">
        <v>98</v>
      </c>
      <c r="R410">
        <v>3.29</v>
      </c>
      <c r="S410">
        <v>85</v>
      </c>
      <c r="T410">
        <v>12.2</v>
      </c>
      <c r="U410">
        <v>93</v>
      </c>
      <c r="V410">
        <v>1.27</v>
      </c>
      <c r="W410">
        <v>78</v>
      </c>
      <c r="X410" t="s">
        <v>102</v>
      </c>
      <c r="Y410" t="s">
        <v>389</v>
      </c>
      <c r="Z410" t="s">
        <v>96</v>
      </c>
      <c r="AA410" t="s">
        <v>2711</v>
      </c>
      <c r="AB410" t="s">
        <v>3016</v>
      </c>
      <c r="AC410">
        <v>699</v>
      </c>
      <c r="AD410">
        <v>213</v>
      </c>
      <c r="AE410">
        <v>99</v>
      </c>
      <c r="AF410">
        <v>31.86</v>
      </c>
      <c r="AG410">
        <v>4.07</v>
      </c>
      <c r="AH410">
        <v>6.81</v>
      </c>
      <c r="AI410">
        <v>0.05</v>
      </c>
      <c r="AJ410">
        <v>0.1</v>
      </c>
      <c r="AK410">
        <v>84</v>
      </c>
      <c r="AL410">
        <v>392</v>
      </c>
      <c r="AM410">
        <v>149</v>
      </c>
      <c r="AN410">
        <v>-6.94</v>
      </c>
      <c r="AO410">
        <v>1.1399999999999999</v>
      </c>
      <c r="AP410">
        <v>1907</v>
      </c>
      <c r="AQ410">
        <v>21</v>
      </c>
      <c r="AR410">
        <v>6.06</v>
      </c>
      <c r="AS410">
        <v>94</v>
      </c>
      <c r="AT410">
        <v>2.5299999999999998</v>
      </c>
      <c r="AU410">
        <v>98</v>
      </c>
      <c r="AV410">
        <v>-3.92</v>
      </c>
      <c r="AW410">
        <v>99</v>
      </c>
      <c r="AX410">
        <v>-0.56000000000000005</v>
      </c>
      <c r="AY410">
        <v>97</v>
      </c>
      <c r="AZ410">
        <v>5.12</v>
      </c>
      <c r="BA410">
        <v>91</v>
      </c>
      <c r="BB410">
        <v>4.16</v>
      </c>
      <c r="BC410">
        <v>72</v>
      </c>
      <c r="BD410">
        <v>-0.01</v>
      </c>
      <c r="BE410">
        <v>-0.01</v>
      </c>
      <c r="BF410">
        <v>-0.04</v>
      </c>
      <c r="BG410">
        <v>96</v>
      </c>
      <c r="BH410">
        <v>0.04</v>
      </c>
      <c r="BI410">
        <v>0.52</v>
      </c>
      <c r="BJ410">
        <v>19</v>
      </c>
      <c r="BK410">
        <v>10</v>
      </c>
      <c r="BL410">
        <v>-0.26</v>
      </c>
      <c r="BM410">
        <v>0.38</v>
      </c>
      <c r="BN410">
        <v>-0.5</v>
      </c>
      <c r="BO410">
        <v>-0.62</v>
      </c>
      <c r="BP410">
        <v>0.48</v>
      </c>
      <c r="BQ410">
        <v>-1.26</v>
      </c>
      <c r="BR410">
        <v>1.85</v>
      </c>
      <c r="BS410">
        <v>0.26</v>
      </c>
      <c r="BT410">
        <v>-1.45</v>
      </c>
      <c r="BU410">
        <v>0.41</v>
      </c>
      <c r="BV410">
        <v>-0.25</v>
      </c>
      <c r="BW410">
        <v>-0.93</v>
      </c>
      <c r="BX410">
        <v>-0.44</v>
      </c>
      <c r="BY410">
        <v>-0.73</v>
      </c>
      <c r="BZ410">
        <v>-0.47</v>
      </c>
      <c r="CA410">
        <v>-0.37</v>
      </c>
      <c r="CB410">
        <v>-0.03</v>
      </c>
      <c r="CC410">
        <v>-0.42</v>
      </c>
      <c r="CD410">
        <v>0.76</v>
      </c>
      <c r="CE410">
        <v>-0.77</v>
      </c>
      <c r="CF410">
        <v>-0.2</v>
      </c>
      <c r="CG410">
        <v>0</v>
      </c>
      <c r="CH410">
        <v>-0.53</v>
      </c>
      <c r="CI410">
        <v>0</v>
      </c>
      <c r="CJ410">
        <v>-8.1999999999999993</v>
      </c>
      <c r="CK410">
        <v>99</v>
      </c>
      <c r="CL410">
        <v>-0.8</v>
      </c>
      <c r="CM410">
        <v>99</v>
      </c>
      <c r="CN410">
        <v>-0.17</v>
      </c>
      <c r="CO410">
        <v>98</v>
      </c>
      <c r="CP410">
        <v>-6.9</v>
      </c>
      <c r="CQ410">
        <v>86</v>
      </c>
      <c r="CR410">
        <v>0</v>
      </c>
      <c r="CS410">
        <v>0</v>
      </c>
      <c r="CT410">
        <v>-2.7</v>
      </c>
      <c r="CU410">
        <v>93</v>
      </c>
      <c r="CV410">
        <v>7.0000000000000007E-2</v>
      </c>
      <c r="CW410">
        <v>47</v>
      </c>
      <c r="CX410" t="s">
        <v>792</v>
      </c>
    </row>
    <row r="411" spans="1:102" x14ac:dyDescent="0.3">
      <c r="A411" t="str">
        <f>HYPERLINK("https://webapp.icbf.com/v2/app/bull-search/view/670023659","RXW")</f>
        <v>RXW</v>
      </c>
      <c r="B411" t="s">
        <v>5403</v>
      </c>
      <c r="C411" t="s">
        <v>5404</v>
      </c>
      <c r="D411" s="1">
        <v>39867</v>
      </c>
      <c r="E411" t="s">
        <v>92</v>
      </c>
      <c r="F411">
        <v>63</v>
      </c>
      <c r="G411" t="s">
        <v>93</v>
      </c>
      <c r="H411">
        <v>192.04</v>
      </c>
      <c r="I411">
        <v>81</v>
      </c>
      <c r="J411">
        <v>62.65</v>
      </c>
      <c r="K411">
        <v>95</v>
      </c>
      <c r="L411">
        <v>107.33</v>
      </c>
      <c r="M411">
        <v>74</v>
      </c>
      <c r="N411">
        <v>26.78</v>
      </c>
      <c r="O411">
        <v>79</v>
      </c>
      <c r="P411">
        <v>-0.94</v>
      </c>
      <c r="Q411">
        <v>88</v>
      </c>
      <c r="R411">
        <v>-4.9400000000000004</v>
      </c>
      <c r="S411">
        <v>75</v>
      </c>
      <c r="T411">
        <v>2.95</v>
      </c>
      <c r="U411">
        <v>60</v>
      </c>
      <c r="V411">
        <v>-1.79</v>
      </c>
      <c r="W411">
        <v>71</v>
      </c>
      <c r="X411" t="s">
        <v>94</v>
      </c>
      <c r="Y411" t="s">
        <v>1727</v>
      </c>
      <c r="Z411" t="s">
        <v>330</v>
      </c>
      <c r="AA411" t="s">
        <v>2990</v>
      </c>
      <c r="AB411" t="s">
        <v>5405</v>
      </c>
      <c r="AC411">
        <v>54</v>
      </c>
      <c r="AD411">
        <v>11</v>
      </c>
      <c r="AE411">
        <v>95</v>
      </c>
      <c r="AF411">
        <v>47.48</v>
      </c>
      <c r="AG411">
        <v>14.62</v>
      </c>
      <c r="AH411">
        <v>6.21</v>
      </c>
      <c r="AI411">
        <v>0.22</v>
      </c>
      <c r="AJ411">
        <v>0.08</v>
      </c>
      <c r="AK411">
        <v>74</v>
      </c>
      <c r="AL411">
        <v>56</v>
      </c>
      <c r="AM411">
        <v>23</v>
      </c>
      <c r="AN411">
        <v>-5.78</v>
      </c>
      <c r="AO411">
        <v>2.78</v>
      </c>
      <c r="AP411">
        <v>100</v>
      </c>
      <c r="AQ411">
        <v>2</v>
      </c>
      <c r="AR411">
        <v>7.37</v>
      </c>
      <c r="AS411">
        <v>66</v>
      </c>
      <c r="AT411">
        <v>2.9</v>
      </c>
      <c r="AU411">
        <v>80</v>
      </c>
      <c r="AV411">
        <v>-3.26</v>
      </c>
      <c r="AW411">
        <v>92</v>
      </c>
      <c r="AX411">
        <v>-0.84</v>
      </c>
      <c r="AY411">
        <v>72</v>
      </c>
      <c r="AZ411">
        <v>7.28</v>
      </c>
      <c r="BA411">
        <v>55</v>
      </c>
      <c r="BB411">
        <v>5.48</v>
      </c>
      <c r="BC411">
        <v>58</v>
      </c>
      <c r="BD411">
        <v>0.01</v>
      </c>
      <c r="BE411">
        <v>0.03</v>
      </c>
      <c r="BF411">
        <v>0.04</v>
      </c>
      <c r="BG411">
        <v>83</v>
      </c>
      <c r="BH411">
        <v>-0.1</v>
      </c>
      <c r="BI411">
        <v>-5.79</v>
      </c>
      <c r="BJ411">
        <v>1</v>
      </c>
      <c r="BK411">
        <v>1</v>
      </c>
      <c r="BL411">
        <v>-0.93</v>
      </c>
      <c r="BM411">
        <v>1.56</v>
      </c>
      <c r="BN411">
        <v>-0.77</v>
      </c>
      <c r="BO411">
        <v>-1.18</v>
      </c>
      <c r="BP411">
        <v>0.76</v>
      </c>
      <c r="BQ411">
        <v>-1.03</v>
      </c>
      <c r="BR411">
        <v>2.64</v>
      </c>
      <c r="BS411">
        <v>-0.56999999999999995</v>
      </c>
      <c r="BT411">
        <v>-2.1</v>
      </c>
      <c r="BU411">
        <v>-2.89</v>
      </c>
      <c r="BV411">
        <v>-2.42</v>
      </c>
      <c r="BW411">
        <v>-1.91</v>
      </c>
      <c r="BX411">
        <v>-1.46</v>
      </c>
      <c r="BY411">
        <v>-2.6</v>
      </c>
      <c r="BZ411">
        <v>1.93</v>
      </c>
      <c r="CA411">
        <v>-2.4900000000000002</v>
      </c>
      <c r="CB411">
        <v>-2.82</v>
      </c>
      <c r="CC411">
        <v>-1.33</v>
      </c>
      <c r="CD411">
        <v>1.83</v>
      </c>
      <c r="CE411">
        <v>-1.01</v>
      </c>
      <c r="CF411">
        <v>-0.25</v>
      </c>
      <c r="CG411">
        <v>0</v>
      </c>
      <c r="CH411">
        <v>-3.48</v>
      </c>
      <c r="CI411">
        <v>0</v>
      </c>
      <c r="CJ411">
        <v>2.2000000000000002</v>
      </c>
      <c r="CK411">
        <v>90</v>
      </c>
      <c r="CL411">
        <v>-0.46</v>
      </c>
      <c r="CM411">
        <v>88</v>
      </c>
      <c r="CN411">
        <v>-0.08</v>
      </c>
      <c r="CO411">
        <v>87</v>
      </c>
      <c r="CP411">
        <v>-1.1000000000000001</v>
      </c>
      <c r="CQ411">
        <v>74</v>
      </c>
      <c r="CR411">
        <v>0</v>
      </c>
      <c r="CS411">
        <v>0</v>
      </c>
      <c r="CT411">
        <v>9.8000000000000007</v>
      </c>
      <c r="CU411">
        <v>60</v>
      </c>
      <c r="CV411">
        <v>0.25</v>
      </c>
      <c r="CW411">
        <v>44</v>
      </c>
      <c r="CX411" t="s">
        <v>193</v>
      </c>
    </row>
    <row r="412" spans="1:102" x14ac:dyDescent="0.3">
      <c r="A412" t="str">
        <f>HYPERLINK("https://webapp.icbf.com/v2/app/bull-search/view/498691701","RVJ")</f>
        <v>RVJ</v>
      </c>
      <c r="B412" t="s">
        <v>8188</v>
      </c>
      <c r="C412" t="s">
        <v>8189</v>
      </c>
      <c r="D412" s="1">
        <v>39085</v>
      </c>
      <c r="E412" t="s">
        <v>108</v>
      </c>
      <c r="F412">
        <v>0</v>
      </c>
      <c r="G412" t="s">
        <v>93</v>
      </c>
      <c r="H412">
        <v>192.04</v>
      </c>
      <c r="I412">
        <v>98</v>
      </c>
      <c r="J412">
        <v>-21.37</v>
      </c>
      <c r="K412">
        <v>99</v>
      </c>
      <c r="L412">
        <v>132.06</v>
      </c>
      <c r="M412">
        <v>97</v>
      </c>
      <c r="N412">
        <v>61.01</v>
      </c>
      <c r="O412">
        <v>99</v>
      </c>
      <c r="P412">
        <v>-16.47</v>
      </c>
      <c r="Q412">
        <v>99</v>
      </c>
      <c r="R412">
        <v>19.86</v>
      </c>
      <c r="S412">
        <v>97</v>
      </c>
      <c r="T412">
        <v>16.86</v>
      </c>
      <c r="U412">
        <v>99</v>
      </c>
      <c r="V412">
        <v>0.09</v>
      </c>
      <c r="W412">
        <v>95</v>
      </c>
      <c r="X412" t="s">
        <v>102</v>
      </c>
      <c r="Y412" t="s">
        <v>228</v>
      </c>
      <c r="Z412" t="s">
        <v>96</v>
      </c>
      <c r="AA412" t="s">
        <v>1543</v>
      </c>
      <c r="AB412" t="s">
        <v>8180</v>
      </c>
      <c r="AC412">
        <v>4633</v>
      </c>
      <c r="AD412">
        <v>1056</v>
      </c>
      <c r="AE412">
        <v>99</v>
      </c>
      <c r="AF412">
        <v>-396.83</v>
      </c>
      <c r="AG412">
        <v>-8.9</v>
      </c>
      <c r="AH412">
        <v>-6.56</v>
      </c>
      <c r="AI412">
        <v>0.12</v>
      </c>
      <c r="AJ412">
        <v>0.13</v>
      </c>
      <c r="AK412">
        <v>97</v>
      </c>
      <c r="AL412">
        <v>6954</v>
      </c>
      <c r="AM412">
        <v>1799</v>
      </c>
      <c r="AN412">
        <v>-6.54</v>
      </c>
      <c r="AO412">
        <v>4</v>
      </c>
      <c r="AP412">
        <v>11122</v>
      </c>
      <c r="AQ412">
        <v>103</v>
      </c>
      <c r="AR412">
        <v>4.84</v>
      </c>
      <c r="AS412">
        <v>99</v>
      </c>
      <c r="AT412">
        <v>2.0499999999999998</v>
      </c>
      <c r="AU412">
        <v>99</v>
      </c>
      <c r="AV412">
        <v>-5.94</v>
      </c>
      <c r="AW412">
        <v>99</v>
      </c>
      <c r="AX412">
        <v>0.49</v>
      </c>
      <c r="AY412">
        <v>99</v>
      </c>
      <c r="AZ412">
        <v>6.25</v>
      </c>
      <c r="BA412">
        <v>99</v>
      </c>
      <c r="BB412">
        <v>4.9000000000000004</v>
      </c>
      <c r="BC412">
        <v>99</v>
      </c>
      <c r="BD412">
        <v>-7.0000000000000007E-2</v>
      </c>
      <c r="BE412">
        <v>-0.1</v>
      </c>
      <c r="BF412">
        <v>-0.15</v>
      </c>
      <c r="BG412">
        <v>99</v>
      </c>
      <c r="BH412">
        <v>-0.04</v>
      </c>
      <c r="BI412">
        <v>-4.91</v>
      </c>
      <c r="BJ412">
        <v>146</v>
      </c>
      <c r="BK412">
        <v>73</v>
      </c>
      <c r="BL412">
        <v>-2.86</v>
      </c>
      <c r="BM412">
        <v>0.59</v>
      </c>
      <c r="BN412">
        <v>-4.17</v>
      </c>
      <c r="BO412">
        <v>-3.43</v>
      </c>
      <c r="BP412">
        <v>-1.68</v>
      </c>
      <c r="BQ412">
        <v>1.41</v>
      </c>
      <c r="BR412">
        <v>-3.14</v>
      </c>
      <c r="BS412">
        <v>1.18</v>
      </c>
      <c r="BT412">
        <v>1.82</v>
      </c>
      <c r="BU412">
        <v>-0.08</v>
      </c>
      <c r="BV412">
        <v>-1.26</v>
      </c>
      <c r="BW412">
        <v>-0.22</v>
      </c>
      <c r="BX412">
        <v>1.94</v>
      </c>
      <c r="BY412">
        <v>1.46</v>
      </c>
      <c r="BZ412">
        <v>-0.86</v>
      </c>
      <c r="CA412">
        <v>-0.55000000000000004</v>
      </c>
      <c r="CB412">
        <v>-0.99</v>
      </c>
      <c r="CC412">
        <v>0.11</v>
      </c>
      <c r="CD412">
        <v>2.2799999999999998</v>
      </c>
      <c r="CE412">
        <v>-3.13</v>
      </c>
      <c r="CF412">
        <v>-2.48</v>
      </c>
      <c r="CG412">
        <v>0</v>
      </c>
      <c r="CH412">
        <v>1.43</v>
      </c>
      <c r="CI412">
        <v>0</v>
      </c>
      <c r="CJ412">
        <v>-8.1999999999999993</v>
      </c>
      <c r="CK412">
        <v>99</v>
      </c>
      <c r="CL412">
        <v>-0.28999999999999998</v>
      </c>
      <c r="CM412">
        <v>99</v>
      </c>
      <c r="CN412">
        <v>0.1</v>
      </c>
      <c r="CO412">
        <v>99</v>
      </c>
      <c r="CP412">
        <v>-6.6</v>
      </c>
      <c r="CQ412">
        <v>99</v>
      </c>
      <c r="CR412">
        <v>0</v>
      </c>
      <c r="CS412">
        <v>0</v>
      </c>
      <c r="CT412">
        <v>-9</v>
      </c>
      <c r="CU412">
        <v>99</v>
      </c>
      <c r="CV412">
        <v>0.1</v>
      </c>
      <c r="CW412">
        <v>53</v>
      </c>
      <c r="CX412" t="s">
        <v>5174</v>
      </c>
    </row>
    <row r="413" spans="1:102" x14ac:dyDescent="0.3">
      <c r="A413" t="str">
        <f>HYPERLINK("https://webapp.icbf.com/v2/app/bull-search/view/1125385603","JE2456")</f>
        <v>JE2456</v>
      </c>
      <c r="B413" t="s">
        <v>9512</v>
      </c>
      <c r="C413" t="s">
        <v>9513</v>
      </c>
      <c r="D413" s="1">
        <v>41132</v>
      </c>
      <c r="E413" t="s">
        <v>227</v>
      </c>
      <c r="F413">
        <v>0</v>
      </c>
      <c r="G413" t="s">
        <v>109</v>
      </c>
      <c r="H413">
        <v>192.04</v>
      </c>
      <c r="I413">
        <v>70</v>
      </c>
      <c r="J413">
        <v>82.47</v>
      </c>
      <c r="K413">
        <v>88</v>
      </c>
      <c r="L413">
        <v>58.49</v>
      </c>
      <c r="M413">
        <v>62</v>
      </c>
      <c r="N413">
        <v>43.76</v>
      </c>
      <c r="O413">
        <v>65</v>
      </c>
      <c r="P413">
        <v>-50.54</v>
      </c>
      <c r="Q413">
        <v>55</v>
      </c>
      <c r="R413">
        <v>11.57</v>
      </c>
      <c r="S413">
        <v>63</v>
      </c>
      <c r="T413">
        <v>38.76</v>
      </c>
      <c r="U413">
        <v>58</v>
      </c>
      <c r="V413">
        <v>7.53</v>
      </c>
      <c r="W413">
        <v>65</v>
      </c>
      <c r="X413" t="s">
        <v>276</v>
      </c>
      <c r="Y413" t="s">
        <v>429</v>
      </c>
      <c r="Z413">
        <v>0</v>
      </c>
      <c r="AA413" t="s">
        <v>9514</v>
      </c>
      <c r="AB413" t="s">
        <v>9515</v>
      </c>
      <c r="AC413">
        <v>0</v>
      </c>
      <c r="AD413">
        <v>0</v>
      </c>
      <c r="AE413">
        <v>88</v>
      </c>
      <c r="AF413">
        <v>-473.41</v>
      </c>
      <c r="AG413">
        <v>10.63</v>
      </c>
      <c r="AH413">
        <v>3.02</v>
      </c>
      <c r="AI413">
        <v>0.55000000000000004</v>
      </c>
      <c r="AJ413">
        <v>0.36</v>
      </c>
      <c r="AK413">
        <v>62</v>
      </c>
      <c r="AL413">
        <v>0</v>
      </c>
      <c r="AM413">
        <v>0</v>
      </c>
      <c r="AN413">
        <v>-2.0099999999999998</v>
      </c>
      <c r="AO413">
        <v>2.67</v>
      </c>
      <c r="AP413">
        <v>41</v>
      </c>
      <c r="AQ413">
        <v>0</v>
      </c>
      <c r="AR413">
        <v>3.17</v>
      </c>
      <c r="AS413">
        <v>50</v>
      </c>
      <c r="AT413">
        <v>1.1499999999999999</v>
      </c>
      <c r="AU413">
        <v>66</v>
      </c>
      <c r="AV413">
        <v>-3.34</v>
      </c>
      <c r="AW413">
        <v>83</v>
      </c>
      <c r="AX413">
        <v>0.82</v>
      </c>
      <c r="AY413">
        <v>51</v>
      </c>
      <c r="AZ413">
        <v>7.4</v>
      </c>
      <c r="BA413">
        <v>44</v>
      </c>
      <c r="BB413">
        <v>5.22</v>
      </c>
      <c r="BC413">
        <v>36</v>
      </c>
      <c r="BD413">
        <v>-0.09</v>
      </c>
      <c r="BE413">
        <v>-0.04</v>
      </c>
      <c r="BF413">
        <v>-0.04</v>
      </c>
      <c r="BG413">
        <v>70</v>
      </c>
      <c r="BH413">
        <v>0.19</v>
      </c>
      <c r="BI413">
        <v>-2.2999999999999998</v>
      </c>
      <c r="BJ413">
        <v>0</v>
      </c>
      <c r="BK413">
        <v>0</v>
      </c>
      <c r="BL413">
        <v>-2.8</v>
      </c>
      <c r="BM413">
        <v>-1.81</v>
      </c>
      <c r="BN413">
        <v>-0.53</v>
      </c>
      <c r="BO413">
        <v>1.07</v>
      </c>
      <c r="BP413">
        <v>-0.84</v>
      </c>
      <c r="BQ413">
        <v>-5.87</v>
      </c>
      <c r="BR413">
        <v>2.42</v>
      </c>
      <c r="BS413">
        <v>6.24</v>
      </c>
      <c r="BT413">
        <v>-0.97</v>
      </c>
      <c r="BU413">
        <v>-1.46</v>
      </c>
      <c r="BV413">
        <v>-0.79</v>
      </c>
      <c r="BW413">
        <v>-2.72</v>
      </c>
      <c r="BX413">
        <v>-4.1100000000000003</v>
      </c>
      <c r="BY413">
        <v>-0.38</v>
      </c>
      <c r="BZ413">
        <v>-0.45</v>
      </c>
      <c r="CA413">
        <v>0.65</v>
      </c>
      <c r="CB413">
        <v>-0.98</v>
      </c>
      <c r="CC413">
        <v>3.7</v>
      </c>
      <c r="CD413">
        <v>-1.96</v>
      </c>
      <c r="CE413">
        <v>0.73</v>
      </c>
      <c r="CF413">
        <v>-3.16</v>
      </c>
      <c r="CG413">
        <v>0</v>
      </c>
      <c r="CH413">
        <v>-1.21</v>
      </c>
      <c r="CI413">
        <v>0</v>
      </c>
      <c r="CJ413">
        <v>-25.5</v>
      </c>
      <c r="CK413">
        <v>60</v>
      </c>
      <c r="CL413">
        <v>-0.89</v>
      </c>
      <c r="CM413">
        <v>50</v>
      </c>
      <c r="CN413">
        <v>0.06</v>
      </c>
      <c r="CO413">
        <v>49</v>
      </c>
      <c r="CP413">
        <v>-36.4</v>
      </c>
      <c r="CQ413">
        <v>49</v>
      </c>
      <c r="CR413">
        <v>0</v>
      </c>
      <c r="CS413">
        <v>0</v>
      </c>
      <c r="CT413">
        <v>-38.6</v>
      </c>
      <c r="CU413">
        <v>58</v>
      </c>
      <c r="CV413">
        <v>-0.21</v>
      </c>
      <c r="CW413">
        <v>36</v>
      </c>
      <c r="CX413" t="s">
        <v>1837</v>
      </c>
    </row>
    <row r="414" spans="1:102" x14ac:dyDescent="0.3">
      <c r="A414" t="str">
        <f>HYPERLINK("https://webapp.icbf.com/v2/app/bull-search/view/860142916","KXL")</f>
        <v>KXL</v>
      </c>
      <c r="B414" t="s">
        <v>1887</v>
      </c>
      <c r="C414" t="s">
        <v>1888</v>
      </c>
      <c r="D414" s="1">
        <v>40580</v>
      </c>
      <c r="E414" t="s">
        <v>92</v>
      </c>
      <c r="F414">
        <v>88</v>
      </c>
      <c r="G414" t="s">
        <v>93</v>
      </c>
      <c r="H414">
        <v>191.95</v>
      </c>
      <c r="I414">
        <v>93</v>
      </c>
      <c r="J414">
        <v>37.71</v>
      </c>
      <c r="K414">
        <v>99</v>
      </c>
      <c r="L414">
        <v>101.32</v>
      </c>
      <c r="M414">
        <v>87</v>
      </c>
      <c r="N414">
        <v>39.9</v>
      </c>
      <c r="O414">
        <v>94</v>
      </c>
      <c r="P414">
        <v>-17.36</v>
      </c>
      <c r="Q414">
        <v>96</v>
      </c>
      <c r="R414">
        <v>11.05</v>
      </c>
      <c r="S414">
        <v>88</v>
      </c>
      <c r="T414">
        <v>15.53</v>
      </c>
      <c r="U414">
        <v>94</v>
      </c>
      <c r="V414">
        <v>3.8</v>
      </c>
      <c r="W414">
        <v>81</v>
      </c>
      <c r="X414" t="s">
        <v>94</v>
      </c>
      <c r="Y414" t="s">
        <v>1860</v>
      </c>
      <c r="Z414" t="s">
        <v>96</v>
      </c>
      <c r="AA414" t="s">
        <v>1861</v>
      </c>
      <c r="AB414" t="s">
        <v>1889</v>
      </c>
      <c r="AC414">
        <v>471</v>
      </c>
      <c r="AD414">
        <v>276</v>
      </c>
      <c r="AE414">
        <v>99</v>
      </c>
      <c r="AF414">
        <v>-152.66999999999999</v>
      </c>
      <c r="AG414">
        <v>4.8499999999999996</v>
      </c>
      <c r="AH414">
        <v>2.36</v>
      </c>
      <c r="AI414">
        <v>0.19</v>
      </c>
      <c r="AJ414">
        <v>0.14000000000000001</v>
      </c>
      <c r="AK414">
        <v>87</v>
      </c>
      <c r="AL414">
        <v>472</v>
      </c>
      <c r="AM414">
        <v>273</v>
      </c>
      <c r="AN414">
        <v>-4.76</v>
      </c>
      <c r="AO414">
        <v>3.33</v>
      </c>
      <c r="AP414">
        <v>626</v>
      </c>
      <c r="AQ414">
        <v>6</v>
      </c>
      <c r="AR414">
        <v>4.1100000000000003</v>
      </c>
      <c r="AS414">
        <v>94</v>
      </c>
      <c r="AT414">
        <v>1.73</v>
      </c>
      <c r="AU414">
        <v>93</v>
      </c>
      <c r="AV414">
        <v>-2.97</v>
      </c>
      <c r="AW414">
        <v>99</v>
      </c>
      <c r="AX414">
        <v>0.2</v>
      </c>
      <c r="AY414">
        <v>93</v>
      </c>
      <c r="AZ414">
        <v>6.71</v>
      </c>
      <c r="BA414">
        <v>85</v>
      </c>
      <c r="BB414">
        <v>5.0599999999999996</v>
      </c>
      <c r="BC414">
        <v>83</v>
      </c>
      <c r="BD414">
        <v>-0.03</v>
      </c>
      <c r="BE414">
        <v>-0.06</v>
      </c>
      <c r="BF414">
        <v>-0.09</v>
      </c>
      <c r="BG414">
        <v>96</v>
      </c>
      <c r="BH414">
        <v>0.15</v>
      </c>
      <c r="BI414">
        <v>5.09</v>
      </c>
      <c r="BJ414">
        <v>45</v>
      </c>
      <c r="BK414">
        <v>31</v>
      </c>
      <c r="BL414">
        <v>-1.3</v>
      </c>
      <c r="BM414">
        <v>0.62</v>
      </c>
      <c r="BN414">
        <v>-0.66</v>
      </c>
      <c r="BO414">
        <v>-1.45</v>
      </c>
      <c r="BP414">
        <v>-0.18</v>
      </c>
      <c r="BQ414">
        <v>-3.52</v>
      </c>
      <c r="BR414">
        <v>0.12</v>
      </c>
      <c r="BS414">
        <v>-0.79</v>
      </c>
      <c r="BT414">
        <v>-0.06</v>
      </c>
      <c r="BU414">
        <v>-1.42</v>
      </c>
      <c r="BV414">
        <v>-1.85</v>
      </c>
      <c r="BW414">
        <v>-1.55</v>
      </c>
      <c r="BX414">
        <v>-1.51</v>
      </c>
      <c r="BY414">
        <v>-2.48</v>
      </c>
      <c r="BZ414">
        <v>-0.49</v>
      </c>
      <c r="CA414">
        <v>-1.31</v>
      </c>
      <c r="CB414">
        <v>-1.68</v>
      </c>
      <c r="CC414">
        <v>-0.27</v>
      </c>
      <c r="CD414">
        <v>0.8</v>
      </c>
      <c r="CE414">
        <v>-1.83</v>
      </c>
      <c r="CF414">
        <v>-1.3</v>
      </c>
      <c r="CG414">
        <v>0</v>
      </c>
      <c r="CH414">
        <v>-2.44</v>
      </c>
      <c r="CI414">
        <v>0</v>
      </c>
      <c r="CJ414">
        <v>-7.9</v>
      </c>
      <c r="CK414">
        <v>97</v>
      </c>
      <c r="CL414">
        <v>-0.7</v>
      </c>
      <c r="CM414">
        <v>96</v>
      </c>
      <c r="CN414">
        <v>-0.15</v>
      </c>
      <c r="CO414">
        <v>95</v>
      </c>
      <c r="CP414">
        <v>-6.6</v>
      </c>
      <c r="CQ414">
        <v>92</v>
      </c>
      <c r="CR414">
        <v>0</v>
      </c>
      <c r="CS414">
        <v>0</v>
      </c>
      <c r="CT414">
        <v>-7.2</v>
      </c>
      <c r="CU414">
        <v>94</v>
      </c>
      <c r="CV414">
        <v>-0.02</v>
      </c>
      <c r="CW414">
        <v>47</v>
      </c>
      <c r="CX414" t="s">
        <v>771</v>
      </c>
    </row>
    <row r="415" spans="1:102" x14ac:dyDescent="0.3">
      <c r="A415" t="str">
        <f>HYPERLINK("https://webapp.icbf.com/v2/app/bull-search/view/1306331822","FR2459")</f>
        <v>FR2459</v>
      </c>
      <c r="B415" t="s">
        <v>7315</v>
      </c>
      <c r="C415" t="s">
        <v>7316</v>
      </c>
      <c r="D415" s="1">
        <v>41631</v>
      </c>
      <c r="E415" t="s">
        <v>92</v>
      </c>
      <c r="F415">
        <v>100</v>
      </c>
      <c r="G415" t="s">
        <v>109</v>
      </c>
      <c r="H415">
        <v>191.8</v>
      </c>
      <c r="I415">
        <v>78</v>
      </c>
      <c r="J415">
        <v>65.05</v>
      </c>
      <c r="K415">
        <v>91</v>
      </c>
      <c r="L415">
        <v>59.8</v>
      </c>
      <c r="M415">
        <v>77</v>
      </c>
      <c r="N415">
        <v>51.85</v>
      </c>
      <c r="O415">
        <v>80</v>
      </c>
      <c r="P415">
        <v>-6.53</v>
      </c>
      <c r="Q415">
        <v>73</v>
      </c>
      <c r="R415">
        <v>14.38</v>
      </c>
      <c r="S415">
        <v>69</v>
      </c>
      <c r="T415">
        <v>-1.2</v>
      </c>
      <c r="U415">
        <v>47</v>
      </c>
      <c r="V415">
        <v>8.4499999999999993</v>
      </c>
      <c r="W415">
        <v>56</v>
      </c>
      <c r="X415" t="s">
        <v>428</v>
      </c>
      <c r="Y415" t="s">
        <v>429</v>
      </c>
      <c r="Z415" t="s">
        <v>96</v>
      </c>
      <c r="AA415" t="s">
        <v>2707</v>
      </c>
      <c r="AB415" t="s">
        <v>7317</v>
      </c>
      <c r="AC415">
        <v>0</v>
      </c>
      <c r="AD415">
        <v>0</v>
      </c>
      <c r="AE415">
        <v>91</v>
      </c>
      <c r="AF415">
        <v>225.96</v>
      </c>
      <c r="AG415">
        <v>16.23</v>
      </c>
      <c r="AH415">
        <v>8.7799999999999994</v>
      </c>
      <c r="AI415">
        <v>0.12</v>
      </c>
      <c r="AJ415">
        <v>0.02</v>
      </c>
      <c r="AK415">
        <v>77</v>
      </c>
      <c r="AL415">
        <v>0</v>
      </c>
      <c r="AM415">
        <v>0</v>
      </c>
      <c r="AN415">
        <v>-3.21</v>
      </c>
      <c r="AO415">
        <v>1.56</v>
      </c>
      <c r="AP415">
        <v>179</v>
      </c>
      <c r="AQ415">
        <v>1</v>
      </c>
      <c r="AR415">
        <v>7.59</v>
      </c>
      <c r="AS415">
        <v>67</v>
      </c>
      <c r="AT415">
        <v>2.75</v>
      </c>
      <c r="AU415">
        <v>91</v>
      </c>
      <c r="AV415">
        <v>-5.29</v>
      </c>
      <c r="AW415">
        <v>94</v>
      </c>
      <c r="AX415">
        <v>-0.79</v>
      </c>
      <c r="AY415">
        <v>79</v>
      </c>
      <c r="AZ415">
        <v>5.35</v>
      </c>
      <c r="BA415">
        <v>49</v>
      </c>
      <c r="BB415">
        <v>4.3499999999999996</v>
      </c>
      <c r="BC415">
        <v>37</v>
      </c>
      <c r="BD415">
        <v>-0.04</v>
      </c>
      <c r="BE415">
        <v>-0.06</v>
      </c>
      <c r="BF415">
        <v>-0.15</v>
      </c>
      <c r="BG415">
        <v>86</v>
      </c>
      <c r="BH415">
        <v>0</v>
      </c>
      <c r="BI415">
        <v>-27.26</v>
      </c>
      <c r="BJ415">
        <v>0</v>
      </c>
      <c r="BK415">
        <v>0</v>
      </c>
      <c r="BL415">
        <v>1.58</v>
      </c>
      <c r="BM415">
        <v>-1.63</v>
      </c>
      <c r="BN415">
        <v>-0.52</v>
      </c>
      <c r="BO415">
        <v>0.94</v>
      </c>
      <c r="BP415">
        <v>0.96</v>
      </c>
      <c r="BQ415">
        <v>-0.73</v>
      </c>
      <c r="BR415">
        <v>0.08</v>
      </c>
      <c r="BS415">
        <v>1.55</v>
      </c>
      <c r="BT415">
        <v>0.48</v>
      </c>
      <c r="BU415">
        <v>1.82</v>
      </c>
      <c r="BV415">
        <v>2.5</v>
      </c>
      <c r="BW415">
        <v>1.5</v>
      </c>
      <c r="BX415">
        <v>2.65</v>
      </c>
      <c r="BY415">
        <v>1.41</v>
      </c>
      <c r="BZ415">
        <v>-1.75</v>
      </c>
      <c r="CA415">
        <v>1.81</v>
      </c>
      <c r="CB415">
        <v>1.89</v>
      </c>
      <c r="CC415">
        <v>1.05</v>
      </c>
      <c r="CD415">
        <v>-1.1100000000000001</v>
      </c>
      <c r="CE415">
        <v>0.99</v>
      </c>
      <c r="CF415">
        <v>0.99</v>
      </c>
      <c r="CG415">
        <v>0</v>
      </c>
      <c r="CH415">
        <v>1.37</v>
      </c>
      <c r="CI415">
        <v>0</v>
      </c>
      <c r="CJ415">
        <v>0.2</v>
      </c>
      <c r="CK415">
        <v>77</v>
      </c>
      <c r="CL415">
        <v>-1.34</v>
      </c>
      <c r="CM415">
        <v>72</v>
      </c>
      <c r="CN415">
        <v>-0.56000000000000005</v>
      </c>
      <c r="CO415">
        <v>71</v>
      </c>
      <c r="CP415">
        <v>3.1</v>
      </c>
      <c r="CQ415">
        <v>51</v>
      </c>
      <c r="CR415">
        <v>0</v>
      </c>
      <c r="CS415">
        <v>0</v>
      </c>
      <c r="CT415">
        <v>15.4</v>
      </c>
      <c r="CU415">
        <v>47</v>
      </c>
      <c r="CV415">
        <v>0.36</v>
      </c>
      <c r="CW415">
        <v>43</v>
      </c>
      <c r="CX415" t="s">
        <v>1894</v>
      </c>
    </row>
    <row r="416" spans="1:102" x14ac:dyDescent="0.3">
      <c r="A416" t="str">
        <f>HYPERLINK("https://webapp.icbf.com/v2/app/bull-search/view/760392242","VFP")</f>
        <v>VFP</v>
      </c>
      <c r="B416" t="s">
        <v>12924</v>
      </c>
      <c r="C416" t="s">
        <v>12925</v>
      </c>
      <c r="D416" s="1">
        <v>40036</v>
      </c>
      <c r="E416" t="s">
        <v>92</v>
      </c>
      <c r="F416">
        <v>63</v>
      </c>
      <c r="G416" t="s">
        <v>93</v>
      </c>
      <c r="H416">
        <v>191.76</v>
      </c>
      <c r="I416">
        <v>88</v>
      </c>
      <c r="J416">
        <v>114.76</v>
      </c>
      <c r="K416">
        <v>97</v>
      </c>
      <c r="L416">
        <v>15.69</v>
      </c>
      <c r="M416">
        <v>82</v>
      </c>
      <c r="N416">
        <v>29.65</v>
      </c>
      <c r="O416">
        <v>86</v>
      </c>
      <c r="P416">
        <v>-16.64</v>
      </c>
      <c r="Q416">
        <v>92</v>
      </c>
      <c r="R416">
        <v>9.16</v>
      </c>
      <c r="S416">
        <v>78</v>
      </c>
      <c r="T416">
        <v>29.66</v>
      </c>
      <c r="U416">
        <v>85</v>
      </c>
      <c r="V416">
        <v>9.48</v>
      </c>
      <c r="W416">
        <v>72</v>
      </c>
      <c r="X416" t="s">
        <v>276</v>
      </c>
      <c r="Y416" t="s">
        <v>1775</v>
      </c>
      <c r="Z416" t="s">
        <v>330</v>
      </c>
      <c r="AA416" t="s">
        <v>2339</v>
      </c>
      <c r="AB416" t="s">
        <v>12926</v>
      </c>
      <c r="AC416">
        <v>101</v>
      </c>
      <c r="AD416">
        <v>33</v>
      </c>
      <c r="AE416">
        <v>97</v>
      </c>
      <c r="AF416">
        <v>92.09</v>
      </c>
      <c r="AG416">
        <v>17.77</v>
      </c>
      <c r="AH416">
        <v>14.64</v>
      </c>
      <c r="AI416">
        <v>0.24</v>
      </c>
      <c r="AJ416">
        <v>0.2</v>
      </c>
      <c r="AK416">
        <v>82</v>
      </c>
      <c r="AL416">
        <v>115</v>
      </c>
      <c r="AM416">
        <v>37</v>
      </c>
      <c r="AN416">
        <v>0.62</v>
      </c>
      <c r="AO416">
        <v>1.89</v>
      </c>
      <c r="AP416">
        <v>205</v>
      </c>
      <c r="AQ416">
        <v>1</v>
      </c>
      <c r="AR416">
        <v>5.27</v>
      </c>
      <c r="AS416">
        <v>77</v>
      </c>
      <c r="AT416">
        <v>2.19</v>
      </c>
      <c r="AU416">
        <v>87</v>
      </c>
      <c r="AV416">
        <v>-2.14</v>
      </c>
      <c r="AW416">
        <v>96</v>
      </c>
      <c r="AX416">
        <v>-0.84</v>
      </c>
      <c r="AY416">
        <v>82</v>
      </c>
      <c r="AZ416">
        <v>6.78</v>
      </c>
      <c r="BA416">
        <v>67</v>
      </c>
      <c r="BB416">
        <v>5.31</v>
      </c>
      <c r="BC416">
        <v>67</v>
      </c>
      <c r="BD416">
        <v>-0.04</v>
      </c>
      <c r="BE416">
        <v>-0.06</v>
      </c>
      <c r="BF416">
        <v>-0.03</v>
      </c>
      <c r="BG416">
        <v>90</v>
      </c>
      <c r="BH416">
        <v>-0.04</v>
      </c>
      <c r="BI416">
        <v>-35.22</v>
      </c>
      <c r="BJ416">
        <v>0</v>
      </c>
      <c r="BK416">
        <v>0</v>
      </c>
      <c r="BL416">
        <v>-1.05</v>
      </c>
      <c r="BM416">
        <v>-1.23</v>
      </c>
      <c r="BN416">
        <v>-1.9</v>
      </c>
      <c r="BO416">
        <v>-0.74</v>
      </c>
      <c r="BP416">
        <v>-1.21</v>
      </c>
      <c r="BQ416">
        <v>-2.13</v>
      </c>
      <c r="BR416">
        <v>1.18</v>
      </c>
      <c r="BS416">
        <v>-1.1599999999999999</v>
      </c>
      <c r="BT416">
        <v>-2.67</v>
      </c>
      <c r="BU416">
        <v>-0.92</v>
      </c>
      <c r="BV416">
        <v>-0.34</v>
      </c>
      <c r="BW416">
        <v>-1.1399999999999999</v>
      </c>
      <c r="BX416">
        <v>-0.84</v>
      </c>
      <c r="BY416">
        <v>-0.11</v>
      </c>
      <c r="BZ416">
        <v>1.06</v>
      </c>
      <c r="CA416">
        <v>-0.54</v>
      </c>
      <c r="CB416">
        <v>-0.26</v>
      </c>
      <c r="CC416">
        <v>-1.2</v>
      </c>
      <c r="CD416">
        <v>-0.01</v>
      </c>
      <c r="CE416">
        <v>-0.36</v>
      </c>
      <c r="CF416">
        <v>-1.96</v>
      </c>
      <c r="CG416">
        <v>0</v>
      </c>
      <c r="CH416">
        <v>0.09</v>
      </c>
      <c r="CI416">
        <v>0</v>
      </c>
      <c r="CJ416">
        <v>-7.6</v>
      </c>
      <c r="CK416">
        <v>93</v>
      </c>
      <c r="CL416">
        <v>-0.69</v>
      </c>
      <c r="CM416">
        <v>92</v>
      </c>
      <c r="CN416">
        <v>-0.28000000000000003</v>
      </c>
      <c r="CO416">
        <v>91</v>
      </c>
      <c r="CP416">
        <v>-15.4</v>
      </c>
      <c r="CQ416">
        <v>84</v>
      </c>
      <c r="CR416">
        <v>0</v>
      </c>
      <c r="CS416">
        <v>0</v>
      </c>
      <c r="CT416">
        <v>-26.3</v>
      </c>
      <c r="CU416">
        <v>85</v>
      </c>
      <c r="CV416">
        <v>0.16</v>
      </c>
      <c r="CW416">
        <v>45</v>
      </c>
      <c r="CX416" t="s">
        <v>320</v>
      </c>
    </row>
    <row r="417" spans="1:102" x14ac:dyDescent="0.3">
      <c r="A417" t="str">
        <f>HYPERLINK("https://webapp.icbf.com/v2/app/bull-search/view/760396501","TFT")</f>
        <v>TFT</v>
      </c>
      <c r="B417" t="s">
        <v>13006</v>
      </c>
      <c r="C417" t="s">
        <v>13007</v>
      </c>
      <c r="D417" s="1">
        <v>40006</v>
      </c>
      <c r="E417" t="s">
        <v>92</v>
      </c>
      <c r="F417">
        <v>63</v>
      </c>
      <c r="G417" t="s">
        <v>93</v>
      </c>
      <c r="H417">
        <v>191.63</v>
      </c>
      <c r="I417">
        <v>94</v>
      </c>
      <c r="J417">
        <v>99.06</v>
      </c>
      <c r="K417">
        <v>99</v>
      </c>
      <c r="L417">
        <v>34.299999999999997</v>
      </c>
      <c r="M417">
        <v>90</v>
      </c>
      <c r="N417">
        <v>43.41</v>
      </c>
      <c r="O417">
        <v>95</v>
      </c>
      <c r="P417">
        <v>-26.83</v>
      </c>
      <c r="Q417">
        <v>98</v>
      </c>
      <c r="R417">
        <v>-0.73</v>
      </c>
      <c r="S417">
        <v>88</v>
      </c>
      <c r="T417">
        <v>32.33</v>
      </c>
      <c r="U417">
        <v>96</v>
      </c>
      <c r="V417">
        <v>10.09</v>
      </c>
      <c r="W417">
        <v>79</v>
      </c>
      <c r="X417" t="s">
        <v>276</v>
      </c>
      <c r="Y417" t="s">
        <v>422</v>
      </c>
      <c r="Z417" t="s">
        <v>330</v>
      </c>
      <c r="AA417" t="s">
        <v>7135</v>
      </c>
      <c r="AB417" t="s">
        <v>13008</v>
      </c>
      <c r="AC417">
        <v>536</v>
      </c>
      <c r="AD417">
        <v>162</v>
      </c>
      <c r="AE417">
        <v>99</v>
      </c>
      <c r="AF417">
        <v>119.45</v>
      </c>
      <c r="AG417">
        <v>18.25</v>
      </c>
      <c r="AH417">
        <v>12.22</v>
      </c>
      <c r="AI417">
        <v>0.23</v>
      </c>
      <c r="AJ417">
        <v>0.14000000000000001</v>
      </c>
      <c r="AK417">
        <v>90</v>
      </c>
      <c r="AL417">
        <v>575</v>
      </c>
      <c r="AM417">
        <v>193</v>
      </c>
      <c r="AN417">
        <v>-1.51</v>
      </c>
      <c r="AO417">
        <v>1.23</v>
      </c>
      <c r="AP417">
        <v>1032</v>
      </c>
      <c r="AQ417">
        <v>3</v>
      </c>
      <c r="AR417">
        <v>4.05</v>
      </c>
      <c r="AS417">
        <v>97</v>
      </c>
      <c r="AT417">
        <v>1.64</v>
      </c>
      <c r="AU417">
        <v>94</v>
      </c>
      <c r="AV417">
        <v>-3.07</v>
      </c>
      <c r="AW417">
        <v>99</v>
      </c>
      <c r="AX417">
        <v>-0.1</v>
      </c>
      <c r="AY417">
        <v>95</v>
      </c>
      <c r="AZ417">
        <v>5.86</v>
      </c>
      <c r="BA417">
        <v>88</v>
      </c>
      <c r="BB417">
        <v>5.05</v>
      </c>
      <c r="BC417">
        <v>86</v>
      </c>
      <c r="BD417">
        <v>-0.05</v>
      </c>
      <c r="BE417">
        <v>0</v>
      </c>
      <c r="BF417">
        <v>0.1</v>
      </c>
      <c r="BG417">
        <v>97</v>
      </c>
      <c r="BH417">
        <v>0.1</v>
      </c>
      <c r="BI417">
        <v>-20.98</v>
      </c>
      <c r="BJ417">
        <v>22</v>
      </c>
      <c r="BK417">
        <v>10</v>
      </c>
      <c r="BL417">
        <v>-2</v>
      </c>
      <c r="BM417">
        <v>1.2</v>
      </c>
      <c r="BN417">
        <v>0.45</v>
      </c>
      <c r="BO417">
        <v>-0.27</v>
      </c>
      <c r="BP417">
        <v>-0.3</v>
      </c>
      <c r="BQ417">
        <v>-1.06</v>
      </c>
      <c r="BR417">
        <v>2.67</v>
      </c>
      <c r="BS417">
        <v>-0.5</v>
      </c>
      <c r="BT417">
        <v>-2.16</v>
      </c>
      <c r="BU417">
        <v>-1.18</v>
      </c>
      <c r="BV417">
        <v>-2.44</v>
      </c>
      <c r="BW417">
        <v>-1.56</v>
      </c>
      <c r="BX417">
        <v>-3.14</v>
      </c>
      <c r="BY417">
        <v>-1.48</v>
      </c>
      <c r="BZ417">
        <v>2.4300000000000002</v>
      </c>
      <c r="CA417">
        <v>-1.44</v>
      </c>
      <c r="CB417">
        <v>-1.42</v>
      </c>
      <c r="CC417">
        <v>-1.47</v>
      </c>
      <c r="CD417">
        <v>-7.0000000000000007E-2</v>
      </c>
      <c r="CE417">
        <v>0</v>
      </c>
      <c r="CF417">
        <v>-1.83</v>
      </c>
      <c r="CG417">
        <v>0</v>
      </c>
      <c r="CH417">
        <v>-1.41</v>
      </c>
      <c r="CI417">
        <v>0</v>
      </c>
      <c r="CJ417">
        <v>-12.7</v>
      </c>
      <c r="CK417">
        <v>99</v>
      </c>
      <c r="CL417">
        <v>-0.82</v>
      </c>
      <c r="CM417">
        <v>98</v>
      </c>
      <c r="CN417">
        <v>-0.2</v>
      </c>
      <c r="CO417">
        <v>98</v>
      </c>
      <c r="CP417">
        <v>-21.2</v>
      </c>
      <c r="CQ417">
        <v>96</v>
      </c>
      <c r="CR417">
        <v>0</v>
      </c>
      <c r="CS417">
        <v>0</v>
      </c>
      <c r="CT417">
        <v>-29.9</v>
      </c>
      <c r="CU417">
        <v>96</v>
      </c>
      <c r="CV417">
        <v>0.14000000000000001</v>
      </c>
      <c r="CW417">
        <v>46</v>
      </c>
      <c r="CX417" t="s">
        <v>2339</v>
      </c>
    </row>
    <row r="418" spans="1:102" x14ac:dyDescent="0.3">
      <c r="A418" t="str">
        <f>HYPERLINK("https://webapp.icbf.com/v2/app/bull-search/view/321042577","MKU")</f>
        <v>MKU</v>
      </c>
      <c r="B418" t="s">
        <v>8109</v>
      </c>
      <c r="C418" t="s">
        <v>1634</v>
      </c>
      <c r="D418" s="1">
        <v>36012</v>
      </c>
      <c r="E418" t="s">
        <v>227</v>
      </c>
      <c r="F418">
        <v>0</v>
      </c>
      <c r="G418" t="s">
        <v>93</v>
      </c>
      <c r="H418">
        <v>191.6</v>
      </c>
      <c r="I418">
        <v>97</v>
      </c>
      <c r="J418">
        <v>67.73</v>
      </c>
      <c r="K418">
        <v>99</v>
      </c>
      <c r="L418">
        <v>92.93</v>
      </c>
      <c r="M418">
        <v>95</v>
      </c>
      <c r="N418">
        <v>32.46</v>
      </c>
      <c r="O418">
        <v>98</v>
      </c>
      <c r="P418">
        <v>-61.23</v>
      </c>
      <c r="Q418">
        <v>99</v>
      </c>
      <c r="R418">
        <v>2.5099999999999998</v>
      </c>
      <c r="S418">
        <v>96</v>
      </c>
      <c r="T418">
        <v>63.63</v>
      </c>
      <c r="U418">
        <v>99</v>
      </c>
      <c r="V418">
        <v>-6.43</v>
      </c>
      <c r="W418">
        <v>98</v>
      </c>
      <c r="X418" t="s">
        <v>302</v>
      </c>
      <c r="Y418" t="s">
        <v>95</v>
      </c>
      <c r="Z418">
        <v>0</v>
      </c>
      <c r="AA418" t="s">
        <v>4751</v>
      </c>
      <c r="AB418" t="s">
        <v>8110</v>
      </c>
      <c r="AC418">
        <v>956</v>
      </c>
      <c r="AD418">
        <v>180</v>
      </c>
      <c r="AE418">
        <v>99</v>
      </c>
      <c r="AF418">
        <v>-305.02999999999997</v>
      </c>
      <c r="AG418">
        <v>10.97</v>
      </c>
      <c r="AH418">
        <v>2.97</v>
      </c>
      <c r="AI418">
        <v>0.42</v>
      </c>
      <c r="AJ418">
        <v>0.25</v>
      </c>
      <c r="AK418">
        <v>95</v>
      </c>
      <c r="AL418">
        <v>966</v>
      </c>
      <c r="AM418">
        <v>165</v>
      </c>
      <c r="AN418">
        <v>-3.61</v>
      </c>
      <c r="AO418">
        <v>3.82</v>
      </c>
      <c r="AP418">
        <v>1276</v>
      </c>
      <c r="AQ418">
        <v>3</v>
      </c>
      <c r="AR418">
        <v>2.0299999999999998</v>
      </c>
      <c r="AS418">
        <v>98</v>
      </c>
      <c r="AT418">
        <v>1.23</v>
      </c>
      <c r="AU418">
        <v>98</v>
      </c>
      <c r="AV418">
        <v>-1.81</v>
      </c>
      <c r="AW418">
        <v>99</v>
      </c>
      <c r="AX418">
        <v>-0.05</v>
      </c>
      <c r="AY418">
        <v>98</v>
      </c>
      <c r="AZ418">
        <v>7.17</v>
      </c>
      <c r="BA418">
        <v>94</v>
      </c>
      <c r="BB418">
        <v>5.76</v>
      </c>
      <c r="BC418">
        <v>96</v>
      </c>
      <c r="BD418">
        <v>-7.0000000000000007E-2</v>
      </c>
      <c r="BE418">
        <v>0.01</v>
      </c>
      <c r="BF418">
        <v>0.04</v>
      </c>
      <c r="BG418">
        <v>98</v>
      </c>
      <c r="BH418">
        <v>-0.02</v>
      </c>
      <c r="BI418">
        <v>18.420000000000002</v>
      </c>
      <c r="BJ418">
        <v>38</v>
      </c>
      <c r="BK418">
        <v>13</v>
      </c>
      <c r="BL418">
        <v>-3.12</v>
      </c>
      <c r="BM418">
        <v>-1.38</v>
      </c>
      <c r="BN418">
        <v>0.06</v>
      </c>
      <c r="BO418">
        <v>1.21</v>
      </c>
      <c r="BP418">
        <v>-1.64</v>
      </c>
      <c r="BQ418">
        <v>-6.14</v>
      </c>
      <c r="BR418">
        <v>1.41</v>
      </c>
      <c r="BS418">
        <v>6.8</v>
      </c>
      <c r="BT418">
        <v>-1.29</v>
      </c>
      <c r="BU418">
        <v>-1.47</v>
      </c>
      <c r="BV418">
        <v>-0.45</v>
      </c>
      <c r="BW418">
        <v>-2.57</v>
      </c>
      <c r="BX418">
        <v>-5.5</v>
      </c>
      <c r="BY418">
        <v>-0.7</v>
      </c>
      <c r="BZ418">
        <v>-0.14000000000000001</v>
      </c>
      <c r="CA418">
        <v>1.1299999999999999</v>
      </c>
      <c r="CB418">
        <v>-0.65</v>
      </c>
      <c r="CC418">
        <v>4.45</v>
      </c>
      <c r="CD418">
        <v>-1.26</v>
      </c>
      <c r="CE418">
        <v>1.66</v>
      </c>
      <c r="CF418">
        <v>-3.06</v>
      </c>
      <c r="CG418">
        <v>0</v>
      </c>
      <c r="CH418">
        <v>-1.03</v>
      </c>
      <c r="CI418">
        <v>0</v>
      </c>
      <c r="CJ418">
        <v>-30.7</v>
      </c>
      <c r="CK418">
        <v>99</v>
      </c>
      <c r="CL418">
        <v>-0.94</v>
      </c>
      <c r="CM418">
        <v>99</v>
      </c>
      <c r="CN418">
        <v>0.11</v>
      </c>
      <c r="CO418">
        <v>99</v>
      </c>
      <c r="CP418">
        <v>-52.5</v>
      </c>
      <c r="CQ418">
        <v>99</v>
      </c>
      <c r="CR418">
        <v>0</v>
      </c>
      <c r="CS418">
        <v>0</v>
      </c>
      <c r="CT418">
        <v>-72.2</v>
      </c>
      <c r="CU418">
        <v>99</v>
      </c>
      <c r="CV418">
        <v>-0.33</v>
      </c>
      <c r="CW418">
        <v>48</v>
      </c>
      <c r="CX418" t="s">
        <v>514</v>
      </c>
    </row>
    <row r="419" spans="1:102" x14ac:dyDescent="0.3">
      <c r="A419" t="str">
        <f>HYPERLINK("https://webapp.icbf.com/v2/app/bull-search/view/952341926","SSJ")</f>
        <v>SSJ</v>
      </c>
      <c r="B419" t="s">
        <v>8349</v>
      </c>
      <c r="C419" t="s">
        <v>8350</v>
      </c>
      <c r="D419" s="1">
        <v>40964</v>
      </c>
      <c r="E419" t="s">
        <v>92</v>
      </c>
      <c r="F419">
        <v>78</v>
      </c>
      <c r="G419" t="s">
        <v>93</v>
      </c>
      <c r="H419">
        <v>191.44</v>
      </c>
      <c r="I419">
        <v>90</v>
      </c>
      <c r="J419">
        <v>68.28</v>
      </c>
      <c r="K419">
        <v>98</v>
      </c>
      <c r="L419">
        <v>80.94</v>
      </c>
      <c r="M419">
        <v>83</v>
      </c>
      <c r="N419">
        <v>26.71</v>
      </c>
      <c r="O419">
        <v>91</v>
      </c>
      <c r="P419">
        <v>-16.48</v>
      </c>
      <c r="Q419">
        <v>96</v>
      </c>
      <c r="R419">
        <v>6.97</v>
      </c>
      <c r="S419">
        <v>83</v>
      </c>
      <c r="T419">
        <v>18.559999999999999</v>
      </c>
      <c r="U419">
        <v>88</v>
      </c>
      <c r="V419">
        <v>6.46</v>
      </c>
      <c r="W419">
        <v>77</v>
      </c>
      <c r="X419" t="s">
        <v>276</v>
      </c>
      <c r="Y419" t="s">
        <v>1923</v>
      </c>
      <c r="Z419" t="s">
        <v>96</v>
      </c>
      <c r="AA419" t="s">
        <v>2041</v>
      </c>
      <c r="AB419" t="s">
        <v>8351</v>
      </c>
      <c r="AC419">
        <v>234</v>
      </c>
      <c r="AD419">
        <v>135</v>
      </c>
      <c r="AE419">
        <v>98</v>
      </c>
      <c r="AF419">
        <v>378.08</v>
      </c>
      <c r="AG419">
        <v>10.88</v>
      </c>
      <c r="AH419">
        <v>13.55</v>
      </c>
      <c r="AI419">
        <v>-0.06</v>
      </c>
      <c r="AJ419">
        <v>0.01</v>
      </c>
      <c r="AK419">
        <v>83</v>
      </c>
      <c r="AL419">
        <v>292</v>
      </c>
      <c r="AM419">
        <v>159</v>
      </c>
      <c r="AN419">
        <v>-4.04</v>
      </c>
      <c r="AO419">
        <v>2.42</v>
      </c>
      <c r="AP419">
        <v>459</v>
      </c>
      <c r="AQ419">
        <v>5</v>
      </c>
      <c r="AR419">
        <v>6.17</v>
      </c>
      <c r="AS419">
        <v>82</v>
      </c>
      <c r="AT419">
        <v>2.7</v>
      </c>
      <c r="AU419">
        <v>93</v>
      </c>
      <c r="AV419">
        <v>-1.77</v>
      </c>
      <c r="AW419">
        <v>99</v>
      </c>
      <c r="AX419">
        <v>-0.73</v>
      </c>
      <c r="AY419">
        <v>91</v>
      </c>
      <c r="AZ419">
        <v>6.03</v>
      </c>
      <c r="BA419">
        <v>77</v>
      </c>
      <c r="BB419">
        <v>4.33</v>
      </c>
      <c r="BC419">
        <v>73</v>
      </c>
      <c r="BD419">
        <v>-0.05</v>
      </c>
      <c r="BE419">
        <v>-0.03</v>
      </c>
      <c r="BF419">
        <v>-0.02</v>
      </c>
      <c r="BG419">
        <v>93</v>
      </c>
      <c r="BH419">
        <v>0.13</v>
      </c>
      <c r="BI419">
        <v>-5.81</v>
      </c>
      <c r="BJ419">
        <v>37</v>
      </c>
      <c r="BK419">
        <v>6</v>
      </c>
      <c r="BL419">
        <v>-2.2400000000000002</v>
      </c>
      <c r="BM419">
        <v>-1.18</v>
      </c>
      <c r="BN419">
        <v>-1.86</v>
      </c>
      <c r="BO419">
        <v>-1.23</v>
      </c>
      <c r="BP419">
        <v>2.36</v>
      </c>
      <c r="BQ419">
        <v>-1.7</v>
      </c>
      <c r="BR419">
        <v>0.26</v>
      </c>
      <c r="BS419">
        <v>-0.22</v>
      </c>
      <c r="BT419">
        <v>-1.34</v>
      </c>
      <c r="BU419">
        <v>-2.48</v>
      </c>
      <c r="BV419">
        <v>-2.65</v>
      </c>
      <c r="BW419">
        <v>-2.02</v>
      </c>
      <c r="BX419">
        <v>-1.77</v>
      </c>
      <c r="BY419">
        <v>-1.59</v>
      </c>
      <c r="BZ419">
        <v>1.81</v>
      </c>
      <c r="CA419">
        <v>-1.97</v>
      </c>
      <c r="CB419">
        <v>-2.4900000000000002</v>
      </c>
      <c r="CC419">
        <v>-0.53</v>
      </c>
      <c r="CD419">
        <v>-0.42</v>
      </c>
      <c r="CE419">
        <v>-1.31</v>
      </c>
      <c r="CF419">
        <v>-2.33</v>
      </c>
      <c r="CG419">
        <v>0</v>
      </c>
      <c r="CH419">
        <v>-1.74</v>
      </c>
      <c r="CI419">
        <v>0</v>
      </c>
      <c r="CJ419">
        <v>-6.7</v>
      </c>
      <c r="CK419">
        <v>97</v>
      </c>
      <c r="CL419">
        <v>-0.56999999999999995</v>
      </c>
      <c r="CM419">
        <v>97</v>
      </c>
      <c r="CN419">
        <v>-0.04</v>
      </c>
      <c r="CO419">
        <v>96</v>
      </c>
      <c r="CP419">
        <v>-12.1</v>
      </c>
      <c r="CQ419">
        <v>86</v>
      </c>
      <c r="CR419">
        <v>0</v>
      </c>
      <c r="CS419">
        <v>0</v>
      </c>
      <c r="CT419">
        <v>-11.3</v>
      </c>
      <c r="CU419">
        <v>88</v>
      </c>
      <c r="CV419">
        <v>-0.05</v>
      </c>
      <c r="CW419">
        <v>48</v>
      </c>
      <c r="CX419" t="s">
        <v>1229</v>
      </c>
    </row>
    <row r="420" spans="1:102" x14ac:dyDescent="0.3">
      <c r="A420" t="str">
        <f>HYPERLINK("https://webapp.icbf.com/v2/app/bull-search/view/586041757","BGU")</f>
        <v>BGU</v>
      </c>
      <c r="B420" t="s">
        <v>9053</v>
      </c>
      <c r="C420" t="s">
        <v>9054</v>
      </c>
      <c r="D420" s="1">
        <v>39313</v>
      </c>
      <c r="E420" t="s">
        <v>92</v>
      </c>
      <c r="F420">
        <v>75</v>
      </c>
      <c r="G420" t="s">
        <v>93</v>
      </c>
      <c r="H420">
        <v>191.21</v>
      </c>
      <c r="I420">
        <v>92</v>
      </c>
      <c r="J420">
        <v>66.75</v>
      </c>
      <c r="K420">
        <v>99</v>
      </c>
      <c r="L420">
        <v>85.16</v>
      </c>
      <c r="M420">
        <v>88</v>
      </c>
      <c r="N420">
        <v>45.34</v>
      </c>
      <c r="O420">
        <v>92</v>
      </c>
      <c r="P420">
        <v>-30.18</v>
      </c>
      <c r="Q420">
        <v>96</v>
      </c>
      <c r="R420">
        <v>2.52</v>
      </c>
      <c r="S420">
        <v>81</v>
      </c>
      <c r="T420">
        <v>15.08</v>
      </c>
      <c r="U420">
        <v>93</v>
      </c>
      <c r="V420">
        <v>6.54</v>
      </c>
      <c r="W420">
        <v>75</v>
      </c>
      <c r="X420" t="s">
        <v>276</v>
      </c>
      <c r="Y420" t="s">
        <v>1923</v>
      </c>
      <c r="Z420" t="s">
        <v>330</v>
      </c>
      <c r="AA420" t="s">
        <v>1772</v>
      </c>
      <c r="AB420" t="s">
        <v>9055</v>
      </c>
      <c r="AC420">
        <v>315</v>
      </c>
      <c r="AD420">
        <v>130</v>
      </c>
      <c r="AE420">
        <v>99</v>
      </c>
      <c r="AF420">
        <v>130.86000000000001</v>
      </c>
      <c r="AG420">
        <v>7.42</v>
      </c>
      <c r="AH420">
        <v>10.73</v>
      </c>
      <c r="AI420">
        <v>0.04</v>
      </c>
      <c r="AJ420">
        <v>0.11</v>
      </c>
      <c r="AK420">
        <v>88</v>
      </c>
      <c r="AL420">
        <v>388</v>
      </c>
      <c r="AM420">
        <v>149</v>
      </c>
      <c r="AN420">
        <v>-4</v>
      </c>
      <c r="AO420">
        <v>2.8</v>
      </c>
      <c r="AP420">
        <v>527</v>
      </c>
      <c r="AQ420">
        <v>5</v>
      </c>
      <c r="AR420">
        <v>5.31</v>
      </c>
      <c r="AS420">
        <v>93</v>
      </c>
      <c r="AT420">
        <v>2.0699999999999998</v>
      </c>
      <c r="AU420">
        <v>91</v>
      </c>
      <c r="AV420">
        <v>-3.82</v>
      </c>
      <c r="AW420">
        <v>99</v>
      </c>
      <c r="AX420">
        <v>-0.87</v>
      </c>
      <c r="AY420">
        <v>93</v>
      </c>
      <c r="AZ420">
        <v>6.77</v>
      </c>
      <c r="BA420">
        <v>79</v>
      </c>
      <c r="BB420">
        <v>5.01</v>
      </c>
      <c r="BC420">
        <v>77</v>
      </c>
      <c r="BD420">
        <v>-0.03</v>
      </c>
      <c r="BE420">
        <v>-0.02</v>
      </c>
      <c r="BF420">
        <v>0.03</v>
      </c>
      <c r="BG420">
        <v>94</v>
      </c>
      <c r="BH420">
        <v>0.05</v>
      </c>
      <c r="BI420">
        <v>-15.32</v>
      </c>
      <c r="BJ420">
        <v>1</v>
      </c>
      <c r="BK420">
        <v>1</v>
      </c>
      <c r="BL420">
        <v>-1.27</v>
      </c>
      <c r="BM420">
        <v>1.22</v>
      </c>
      <c r="BN420">
        <v>-0.02</v>
      </c>
      <c r="BO420">
        <v>-1.19</v>
      </c>
      <c r="BP420">
        <v>0.27</v>
      </c>
      <c r="BQ420">
        <v>-2.31</v>
      </c>
      <c r="BR420">
        <v>0.72</v>
      </c>
      <c r="BS420">
        <v>-1.53</v>
      </c>
      <c r="BT420">
        <v>-1.87</v>
      </c>
      <c r="BU420">
        <v>-0.97</v>
      </c>
      <c r="BV420">
        <v>-1.67</v>
      </c>
      <c r="BW420">
        <v>-1.23</v>
      </c>
      <c r="BX420">
        <v>-0.85</v>
      </c>
      <c r="BY420">
        <v>0.26</v>
      </c>
      <c r="BZ420">
        <v>-2.4900000000000002</v>
      </c>
      <c r="CA420">
        <v>-1.53</v>
      </c>
      <c r="CB420">
        <v>-1.1399999999999999</v>
      </c>
      <c r="CC420">
        <v>-2.4700000000000002</v>
      </c>
      <c r="CD420">
        <v>1.1200000000000001</v>
      </c>
      <c r="CE420">
        <v>-0.39</v>
      </c>
      <c r="CF420">
        <v>-0.72</v>
      </c>
      <c r="CG420">
        <v>0</v>
      </c>
      <c r="CH420">
        <v>0.18</v>
      </c>
      <c r="CI420">
        <v>0</v>
      </c>
      <c r="CJ420">
        <v>-13.3</v>
      </c>
      <c r="CK420">
        <v>97</v>
      </c>
      <c r="CL420">
        <v>-0.91</v>
      </c>
      <c r="CM420">
        <v>97</v>
      </c>
      <c r="CN420">
        <v>0.05</v>
      </c>
      <c r="CO420">
        <v>96</v>
      </c>
      <c r="CP420">
        <v>-12.3</v>
      </c>
      <c r="CQ420">
        <v>91</v>
      </c>
      <c r="CR420">
        <v>0</v>
      </c>
      <c r="CS420">
        <v>0</v>
      </c>
      <c r="CT420">
        <v>-6.6</v>
      </c>
      <c r="CU420">
        <v>93</v>
      </c>
      <c r="CV420">
        <v>0.08</v>
      </c>
      <c r="CW420">
        <v>46</v>
      </c>
      <c r="CX420" t="s">
        <v>1662</v>
      </c>
    </row>
    <row r="421" spans="1:102" x14ac:dyDescent="0.3">
      <c r="A421" t="str">
        <f>HYPERLINK("https://webapp.icbf.com/v2/app/bull-search/view/1136798571","FR2060")</f>
        <v>FR2060</v>
      </c>
      <c r="B421" t="s">
        <v>15156</v>
      </c>
      <c r="C421" t="s">
        <v>15157</v>
      </c>
      <c r="D421" s="1">
        <v>41667</v>
      </c>
      <c r="E421" t="s">
        <v>92</v>
      </c>
      <c r="F421">
        <v>75</v>
      </c>
      <c r="G421" t="s">
        <v>93</v>
      </c>
      <c r="H421">
        <v>191.2</v>
      </c>
      <c r="I421">
        <v>87</v>
      </c>
      <c r="J421">
        <v>67.55</v>
      </c>
      <c r="K421">
        <v>98</v>
      </c>
      <c r="L421">
        <v>70.8</v>
      </c>
      <c r="M421">
        <v>77</v>
      </c>
      <c r="N421">
        <v>51.47</v>
      </c>
      <c r="O421">
        <v>89</v>
      </c>
      <c r="P421">
        <v>-3.67</v>
      </c>
      <c r="Q421">
        <v>96</v>
      </c>
      <c r="R421">
        <v>-5.44</v>
      </c>
      <c r="S421">
        <v>77</v>
      </c>
      <c r="T421">
        <v>8.57</v>
      </c>
      <c r="U421">
        <v>83</v>
      </c>
      <c r="V421">
        <v>1.92</v>
      </c>
      <c r="W421">
        <v>72</v>
      </c>
      <c r="X421" t="s">
        <v>276</v>
      </c>
      <c r="Y421" t="s">
        <v>416</v>
      </c>
      <c r="Z421" t="s">
        <v>96</v>
      </c>
      <c r="AA421" t="s">
        <v>6177</v>
      </c>
      <c r="AB421" t="s">
        <v>15158</v>
      </c>
      <c r="AC421">
        <v>333</v>
      </c>
      <c r="AD421">
        <v>150</v>
      </c>
      <c r="AE421">
        <v>98</v>
      </c>
      <c r="AF421">
        <v>107.59</v>
      </c>
      <c r="AG421">
        <v>15.08</v>
      </c>
      <c r="AH421">
        <v>7.8</v>
      </c>
      <c r="AI421">
        <v>0.19</v>
      </c>
      <c r="AJ421">
        <v>7.0000000000000007E-2</v>
      </c>
      <c r="AK421">
        <v>77</v>
      </c>
      <c r="AL421">
        <v>38</v>
      </c>
      <c r="AM421">
        <v>23</v>
      </c>
      <c r="AN421">
        <v>-2.76</v>
      </c>
      <c r="AO421">
        <v>2.9</v>
      </c>
      <c r="AP421">
        <v>1025</v>
      </c>
      <c r="AQ421">
        <v>1</v>
      </c>
      <c r="AR421">
        <v>5.62</v>
      </c>
      <c r="AS421">
        <v>91</v>
      </c>
      <c r="AT421">
        <v>2.0499999999999998</v>
      </c>
      <c r="AU421">
        <v>95</v>
      </c>
      <c r="AV421">
        <v>-4.79</v>
      </c>
      <c r="AW421">
        <v>99</v>
      </c>
      <c r="AX421">
        <v>-0.43</v>
      </c>
      <c r="AY421">
        <v>94</v>
      </c>
      <c r="AZ421">
        <v>6.43</v>
      </c>
      <c r="BA421">
        <v>80</v>
      </c>
      <c r="BB421">
        <v>5.1100000000000003</v>
      </c>
      <c r="BC421">
        <v>48</v>
      </c>
      <c r="BD421">
        <v>0</v>
      </c>
      <c r="BE421">
        <v>0.05</v>
      </c>
      <c r="BF421">
        <v>0.03</v>
      </c>
      <c r="BG421">
        <v>92</v>
      </c>
      <c r="BH421">
        <v>-0.08</v>
      </c>
      <c r="BI421">
        <v>-15.44</v>
      </c>
      <c r="BJ421">
        <v>1</v>
      </c>
      <c r="BK421">
        <v>1</v>
      </c>
      <c r="BL421">
        <v>-1.63</v>
      </c>
      <c r="BM421">
        <v>1.43</v>
      </c>
      <c r="BN421">
        <v>-1.04</v>
      </c>
      <c r="BO421">
        <v>-1.45</v>
      </c>
      <c r="BP421">
        <v>0.63</v>
      </c>
      <c r="BQ421">
        <v>-1.08</v>
      </c>
      <c r="BR421">
        <v>-1.93</v>
      </c>
      <c r="BS421">
        <v>-0.9</v>
      </c>
      <c r="BT421">
        <v>1.04</v>
      </c>
      <c r="BU421">
        <v>-0.6</v>
      </c>
      <c r="BV421">
        <v>-1.26</v>
      </c>
      <c r="BW421">
        <v>-0.89</v>
      </c>
      <c r="BX421">
        <v>0.01</v>
      </c>
      <c r="BY421">
        <v>-0.92</v>
      </c>
      <c r="BZ421">
        <v>-0.44</v>
      </c>
      <c r="CA421">
        <v>-0.9</v>
      </c>
      <c r="CB421">
        <v>-0.62</v>
      </c>
      <c r="CC421">
        <v>-0.24</v>
      </c>
      <c r="CD421">
        <v>1.41</v>
      </c>
      <c r="CE421">
        <v>-0.97</v>
      </c>
      <c r="CF421">
        <v>-0.86</v>
      </c>
      <c r="CG421">
        <v>0</v>
      </c>
      <c r="CH421">
        <v>-1.32</v>
      </c>
      <c r="CI421">
        <v>0</v>
      </c>
      <c r="CJ421">
        <v>-1.4</v>
      </c>
      <c r="CK421">
        <v>98</v>
      </c>
      <c r="CL421">
        <v>-0.26</v>
      </c>
      <c r="CM421">
        <v>97</v>
      </c>
      <c r="CN421">
        <v>-0.11</v>
      </c>
      <c r="CO421">
        <v>97</v>
      </c>
      <c r="CP421">
        <v>-2.2999999999999998</v>
      </c>
      <c r="CQ421">
        <v>73</v>
      </c>
      <c r="CR421">
        <v>0</v>
      </c>
      <c r="CS421">
        <v>0</v>
      </c>
      <c r="CT421">
        <v>2.2000000000000002</v>
      </c>
      <c r="CU421">
        <v>83</v>
      </c>
      <c r="CV421">
        <v>0.08</v>
      </c>
      <c r="CW421">
        <v>46</v>
      </c>
      <c r="CX421" t="s">
        <v>419</v>
      </c>
    </row>
    <row r="422" spans="1:102" x14ac:dyDescent="0.3">
      <c r="A422" t="str">
        <f>HYPERLINK("https://webapp.icbf.com/v2/app/bull-search/view/1161291037","YKS")</f>
        <v>YKS</v>
      </c>
      <c r="B422" t="s">
        <v>14542</v>
      </c>
      <c r="C422" t="s">
        <v>14543</v>
      </c>
      <c r="D422" s="1">
        <v>41606</v>
      </c>
      <c r="E422" t="s">
        <v>92</v>
      </c>
      <c r="F422">
        <v>100</v>
      </c>
      <c r="G422" t="s">
        <v>93</v>
      </c>
      <c r="H422">
        <v>191.13</v>
      </c>
      <c r="I422">
        <v>86</v>
      </c>
      <c r="J422">
        <v>123.28</v>
      </c>
      <c r="K422">
        <v>97</v>
      </c>
      <c r="L422">
        <v>27.88</v>
      </c>
      <c r="M422">
        <v>77</v>
      </c>
      <c r="N422">
        <v>42.2</v>
      </c>
      <c r="O422">
        <v>89</v>
      </c>
      <c r="P422">
        <v>-2.82</v>
      </c>
      <c r="Q422">
        <v>94</v>
      </c>
      <c r="R422">
        <v>15.25</v>
      </c>
      <c r="S422">
        <v>74</v>
      </c>
      <c r="T422">
        <v>-10.96</v>
      </c>
      <c r="U422">
        <v>79</v>
      </c>
      <c r="V422">
        <v>-3.7</v>
      </c>
      <c r="W422">
        <v>63</v>
      </c>
      <c r="X422" t="s">
        <v>94</v>
      </c>
      <c r="Y422" t="s">
        <v>2066</v>
      </c>
      <c r="Z422" t="s">
        <v>96</v>
      </c>
      <c r="AA422" t="s">
        <v>2203</v>
      </c>
      <c r="AB422" t="s">
        <v>14544</v>
      </c>
      <c r="AC422">
        <v>223</v>
      </c>
      <c r="AD422">
        <v>90</v>
      </c>
      <c r="AE422">
        <v>97</v>
      </c>
      <c r="AF422">
        <v>522.97</v>
      </c>
      <c r="AG422">
        <v>20.61</v>
      </c>
      <c r="AH422">
        <v>21.68</v>
      </c>
      <c r="AI422">
        <v>0</v>
      </c>
      <c r="AJ422">
        <v>0.06</v>
      </c>
      <c r="AK422">
        <v>77</v>
      </c>
      <c r="AL422">
        <v>62</v>
      </c>
      <c r="AM422">
        <v>25</v>
      </c>
      <c r="AN422">
        <v>-0.23</v>
      </c>
      <c r="AO422">
        <v>2.0099999999999998</v>
      </c>
      <c r="AP422">
        <v>1219</v>
      </c>
      <c r="AQ422">
        <v>3</v>
      </c>
      <c r="AR422">
        <v>4.6900000000000004</v>
      </c>
      <c r="AS422">
        <v>91</v>
      </c>
      <c r="AT422">
        <v>2.2799999999999998</v>
      </c>
      <c r="AU422">
        <v>96</v>
      </c>
      <c r="AV422">
        <v>-4.01</v>
      </c>
      <c r="AW422">
        <v>99</v>
      </c>
      <c r="AX422">
        <v>0.09</v>
      </c>
      <c r="AY422">
        <v>95</v>
      </c>
      <c r="AZ422">
        <v>7.64</v>
      </c>
      <c r="BA422">
        <v>71</v>
      </c>
      <c r="BB422">
        <v>5.14</v>
      </c>
      <c r="BC422">
        <v>44</v>
      </c>
      <c r="BD422">
        <v>-0.04</v>
      </c>
      <c r="BE422">
        <v>-0.06</v>
      </c>
      <c r="BF422">
        <v>-0.17</v>
      </c>
      <c r="BG422">
        <v>88</v>
      </c>
      <c r="BH422">
        <v>0.03</v>
      </c>
      <c r="BI422">
        <v>15.39</v>
      </c>
      <c r="BJ422">
        <v>30</v>
      </c>
      <c r="BK422">
        <v>15</v>
      </c>
      <c r="BL422">
        <v>-0.05</v>
      </c>
      <c r="BM422">
        <v>2.95</v>
      </c>
      <c r="BN422">
        <v>1.19</v>
      </c>
      <c r="BO422">
        <v>-0.55000000000000004</v>
      </c>
      <c r="BP422">
        <v>-1.36</v>
      </c>
      <c r="BQ422">
        <v>1.92</v>
      </c>
      <c r="BR422">
        <v>-3.34</v>
      </c>
      <c r="BS422">
        <v>3.6</v>
      </c>
      <c r="BT422">
        <v>2.59</v>
      </c>
      <c r="BU422">
        <v>1.73</v>
      </c>
      <c r="BV422">
        <v>2.19</v>
      </c>
      <c r="BW422">
        <v>2.56</v>
      </c>
      <c r="BX422">
        <v>0.49</v>
      </c>
      <c r="BY422">
        <v>2.1</v>
      </c>
      <c r="BZ422">
        <v>2.7</v>
      </c>
      <c r="CA422">
        <v>2.4900000000000002</v>
      </c>
      <c r="CB422">
        <v>1.69</v>
      </c>
      <c r="CC422">
        <v>3.26</v>
      </c>
      <c r="CD422">
        <v>2.61</v>
      </c>
      <c r="CE422">
        <v>0.22</v>
      </c>
      <c r="CF422">
        <v>1.04</v>
      </c>
      <c r="CG422">
        <v>0</v>
      </c>
      <c r="CH422">
        <v>1.81</v>
      </c>
      <c r="CI422">
        <v>0</v>
      </c>
      <c r="CJ422">
        <v>0.3</v>
      </c>
      <c r="CK422">
        <v>96</v>
      </c>
      <c r="CL422">
        <v>-0.9</v>
      </c>
      <c r="CM422">
        <v>95</v>
      </c>
      <c r="CN422">
        <v>-0.39</v>
      </c>
      <c r="CO422">
        <v>95</v>
      </c>
      <c r="CP422">
        <v>9.9</v>
      </c>
      <c r="CQ422">
        <v>73</v>
      </c>
      <c r="CR422">
        <v>0</v>
      </c>
      <c r="CS422">
        <v>0</v>
      </c>
      <c r="CT422">
        <v>28.6</v>
      </c>
      <c r="CU422">
        <v>79</v>
      </c>
      <c r="CV422">
        <v>0.17</v>
      </c>
      <c r="CW422">
        <v>45</v>
      </c>
      <c r="CX422" t="s">
        <v>380</v>
      </c>
    </row>
    <row r="423" spans="1:102" x14ac:dyDescent="0.3">
      <c r="A423" t="str">
        <f>HYPERLINK("https://webapp.icbf.com/v2/app/bull-search/view/1150877351","FR2467")</f>
        <v>FR2467</v>
      </c>
      <c r="B423" t="s">
        <v>2506</v>
      </c>
      <c r="C423" t="s">
        <v>2507</v>
      </c>
      <c r="D423" s="1">
        <v>41512</v>
      </c>
      <c r="E423" t="s">
        <v>92</v>
      </c>
      <c r="F423">
        <v>56</v>
      </c>
      <c r="G423" t="s">
        <v>109</v>
      </c>
      <c r="H423">
        <v>191.09</v>
      </c>
      <c r="I423">
        <v>69</v>
      </c>
      <c r="J423">
        <v>101.73</v>
      </c>
      <c r="K423">
        <v>85</v>
      </c>
      <c r="L423">
        <v>66.47</v>
      </c>
      <c r="M423">
        <v>62</v>
      </c>
      <c r="N423">
        <v>23.95</v>
      </c>
      <c r="O423">
        <v>75</v>
      </c>
      <c r="P423">
        <v>-51.19</v>
      </c>
      <c r="Q423">
        <v>60</v>
      </c>
      <c r="R423">
        <v>1.2</v>
      </c>
      <c r="S423">
        <v>63</v>
      </c>
      <c r="T423">
        <v>40.39</v>
      </c>
      <c r="U423">
        <v>46</v>
      </c>
      <c r="V423">
        <v>8.5399999999999991</v>
      </c>
      <c r="W423">
        <v>55</v>
      </c>
      <c r="X423" t="s">
        <v>276</v>
      </c>
      <c r="Y423" t="s">
        <v>429</v>
      </c>
      <c r="Z423" t="s">
        <v>330</v>
      </c>
      <c r="AA423" t="s">
        <v>2508</v>
      </c>
      <c r="AB423" t="s">
        <v>2509</v>
      </c>
      <c r="AC423">
        <v>0</v>
      </c>
      <c r="AD423">
        <v>0</v>
      </c>
      <c r="AE423">
        <v>85</v>
      </c>
      <c r="AF423">
        <v>58.47</v>
      </c>
      <c r="AG423">
        <v>19.55</v>
      </c>
      <c r="AH423">
        <v>11.28</v>
      </c>
      <c r="AI423">
        <v>0.3</v>
      </c>
      <c r="AJ423">
        <v>0.16</v>
      </c>
      <c r="AK423">
        <v>62</v>
      </c>
      <c r="AL423">
        <v>0</v>
      </c>
      <c r="AM423">
        <v>0</v>
      </c>
      <c r="AN423">
        <v>-2.92</v>
      </c>
      <c r="AO423">
        <v>2.39</v>
      </c>
      <c r="AP423">
        <v>112</v>
      </c>
      <c r="AQ423">
        <v>0</v>
      </c>
      <c r="AR423">
        <v>4.22</v>
      </c>
      <c r="AS423">
        <v>66</v>
      </c>
      <c r="AT423">
        <v>1.54</v>
      </c>
      <c r="AU423">
        <v>75</v>
      </c>
      <c r="AV423">
        <v>-1.39</v>
      </c>
      <c r="AW423">
        <v>95</v>
      </c>
      <c r="AX423">
        <v>1.55</v>
      </c>
      <c r="AY423">
        <v>73</v>
      </c>
      <c r="AZ423">
        <v>6.73</v>
      </c>
      <c r="BA423">
        <v>37</v>
      </c>
      <c r="BB423">
        <v>5.21</v>
      </c>
      <c r="BC423">
        <v>30</v>
      </c>
      <c r="BD423">
        <v>-7.0000000000000007E-2</v>
      </c>
      <c r="BE423">
        <v>0.01</v>
      </c>
      <c r="BF423">
        <v>7.0000000000000007E-2</v>
      </c>
      <c r="BG423">
        <v>79</v>
      </c>
      <c r="BH423">
        <v>0.11</v>
      </c>
      <c r="BI423">
        <v>-14.81</v>
      </c>
      <c r="BJ423">
        <v>0</v>
      </c>
      <c r="BK423">
        <v>0</v>
      </c>
      <c r="BL423">
        <v>-2.44</v>
      </c>
      <c r="BM423">
        <v>0.49</v>
      </c>
      <c r="BN423">
        <v>-0.9</v>
      </c>
      <c r="BO423">
        <v>0</v>
      </c>
      <c r="BP423">
        <v>1.44</v>
      </c>
      <c r="BQ423">
        <v>-3.64</v>
      </c>
      <c r="BR423">
        <v>3.54</v>
      </c>
      <c r="BS423">
        <v>0</v>
      </c>
      <c r="BT423">
        <v>0</v>
      </c>
      <c r="BU423">
        <v>-2.11</v>
      </c>
      <c r="BV423">
        <v>-1.56</v>
      </c>
      <c r="BW423">
        <v>-2.19</v>
      </c>
      <c r="BX423">
        <v>0</v>
      </c>
      <c r="BY423">
        <v>-2.61</v>
      </c>
      <c r="BZ423">
        <v>0</v>
      </c>
      <c r="CA423">
        <v>-1.84</v>
      </c>
      <c r="CB423">
        <v>-2.19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-28.3</v>
      </c>
      <c r="CK423">
        <v>66</v>
      </c>
      <c r="CL423">
        <v>-1.03</v>
      </c>
      <c r="CM423">
        <v>52</v>
      </c>
      <c r="CN423">
        <v>-0.27</v>
      </c>
      <c r="CO423">
        <v>51</v>
      </c>
      <c r="CP423">
        <v>-31.1</v>
      </c>
      <c r="CQ423">
        <v>48</v>
      </c>
      <c r="CR423">
        <v>0</v>
      </c>
      <c r="CS423">
        <v>0</v>
      </c>
      <c r="CT423">
        <v>-40.799999999999997</v>
      </c>
      <c r="CU423">
        <v>46</v>
      </c>
      <c r="CV423">
        <v>-0.28999999999999998</v>
      </c>
      <c r="CW423">
        <v>40</v>
      </c>
      <c r="CX423" t="s">
        <v>2278</v>
      </c>
    </row>
    <row r="424" spans="1:102" x14ac:dyDescent="0.3">
      <c r="A424" t="str">
        <f>HYPERLINK("https://webapp.icbf.com/v2/app/bull-search/view/586054091","BUG")</f>
        <v>BUG</v>
      </c>
      <c r="B424" t="s">
        <v>8455</v>
      </c>
      <c r="C424" t="s">
        <v>8456</v>
      </c>
      <c r="D424" s="1">
        <v>39321</v>
      </c>
      <c r="E424" t="s">
        <v>92</v>
      </c>
      <c r="F424">
        <v>50</v>
      </c>
      <c r="G424" t="s">
        <v>93</v>
      </c>
      <c r="H424">
        <v>190.93</v>
      </c>
      <c r="I424">
        <v>97</v>
      </c>
      <c r="J424">
        <v>98.33</v>
      </c>
      <c r="K424">
        <v>99</v>
      </c>
      <c r="L424">
        <v>57.04</v>
      </c>
      <c r="M424">
        <v>94</v>
      </c>
      <c r="N424">
        <v>22</v>
      </c>
      <c r="O424">
        <v>98</v>
      </c>
      <c r="P424">
        <v>-26.12</v>
      </c>
      <c r="Q424">
        <v>99</v>
      </c>
      <c r="R424">
        <v>1.75</v>
      </c>
      <c r="S424">
        <v>93</v>
      </c>
      <c r="T424">
        <v>27.96</v>
      </c>
      <c r="U424">
        <v>99</v>
      </c>
      <c r="V424">
        <v>9.9700000000000006</v>
      </c>
      <c r="W424">
        <v>88</v>
      </c>
      <c r="X424" t="s">
        <v>276</v>
      </c>
      <c r="Y424" t="s">
        <v>329</v>
      </c>
      <c r="Z424" t="s">
        <v>330</v>
      </c>
      <c r="AA424" t="s">
        <v>2339</v>
      </c>
      <c r="AB424" t="s">
        <v>8457</v>
      </c>
      <c r="AC424">
        <v>1323</v>
      </c>
      <c r="AD424">
        <v>417</v>
      </c>
      <c r="AE424">
        <v>99</v>
      </c>
      <c r="AF424">
        <v>-53.85</v>
      </c>
      <c r="AG424">
        <v>16.59</v>
      </c>
      <c r="AH424">
        <v>10.029999999999999</v>
      </c>
      <c r="AI424">
        <v>0.33</v>
      </c>
      <c r="AJ424">
        <v>0.21</v>
      </c>
      <c r="AK424">
        <v>94</v>
      </c>
      <c r="AL424">
        <v>1524</v>
      </c>
      <c r="AM424">
        <v>488</v>
      </c>
      <c r="AN424">
        <v>-3.02</v>
      </c>
      <c r="AO424">
        <v>1.53</v>
      </c>
      <c r="AP424">
        <v>2728</v>
      </c>
      <c r="AQ424">
        <v>16</v>
      </c>
      <c r="AR424">
        <v>7.79</v>
      </c>
      <c r="AS424">
        <v>95</v>
      </c>
      <c r="AT424">
        <v>2.82</v>
      </c>
      <c r="AU424">
        <v>99</v>
      </c>
      <c r="AV424">
        <v>-3.61</v>
      </c>
      <c r="AW424">
        <v>99</v>
      </c>
      <c r="AX424">
        <v>1.27</v>
      </c>
      <c r="AY424">
        <v>98</v>
      </c>
      <c r="AZ424">
        <v>7.6</v>
      </c>
      <c r="BA424">
        <v>94</v>
      </c>
      <c r="BB424">
        <v>5.71</v>
      </c>
      <c r="BC424">
        <v>95</v>
      </c>
      <c r="BD424">
        <v>-0.02</v>
      </c>
      <c r="BE424">
        <v>-0.03</v>
      </c>
      <c r="BF424">
        <v>0.05</v>
      </c>
      <c r="BG424">
        <v>98</v>
      </c>
      <c r="BH424">
        <v>0.15</v>
      </c>
      <c r="BI424">
        <v>-14.82</v>
      </c>
      <c r="BJ424">
        <v>16</v>
      </c>
      <c r="BK424">
        <v>11</v>
      </c>
      <c r="BL424">
        <v>-1.6</v>
      </c>
      <c r="BM424">
        <v>-0.16</v>
      </c>
      <c r="BN424">
        <v>-0.11</v>
      </c>
      <c r="BO424">
        <v>-0.2</v>
      </c>
      <c r="BP424">
        <v>0.78</v>
      </c>
      <c r="BQ424">
        <v>-3.98</v>
      </c>
      <c r="BR424">
        <v>1.28</v>
      </c>
      <c r="BS424">
        <v>-0.21</v>
      </c>
      <c r="BT424">
        <v>-2.52</v>
      </c>
      <c r="BU424">
        <v>-1.73</v>
      </c>
      <c r="BV424">
        <v>-1.77</v>
      </c>
      <c r="BW424">
        <v>-1.29</v>
      </c>
      <c r="BX424">
        <v>-2.14</v>
      </c>
      <c r="BY424">
        <v>-0.27</v>
      </c>
      <c r="BZ424">
        <v>1.61</v>
      </c>
      <c r="CA424">
        <v>-1.05</v>
      </c>
      <c r="CB424">
        <v>-1.1200000000000001</v>
      </c>
      <c r="CC424">
        <v>-0.87</v>
      </c>
      <c r="CD424">
        <v>-0.67</v>
      </c>
      <c r="CE424">
        <v>-0.76</v>
      </c>
      <c r="CF424">
        <v>-2.29</v>
      </c>
      <c r="CG424">
        <v>0</v>
      </c>
      <c r="CH424">
        <v>-0.28999999999999998</v>
      </c>
      <c r="CI424">
        <v>0</v>
      </c>
      <c r="CJ424">
        <v>-11.9</v>
      </c>
      <c r="CK424">
        <v>99</v>
      </c>
      <c r="CL424">
        <v>-0.79</v>
      </c>
      <c r="CM424">
        <v>99</v>
      </c>
      <c r="CN424">
        <v>-0.11</v>
      </c>
      <c r="CO424">
        <v>99</v>
      </c>
      <c r="CP424">
        <v>-18.899999999999999</v>
      </c>
      <c r="CQ424">
        <v>98</v>
      </c>
      <c r="CR424">
        <v>0</v>
      </c>
      <c r="CS424">
        <v>0</v>
      </c>
      <c r="CT424">
        <v>-24</v>
      </c>
      <c r="CU424">
        <v>99</v>
      </c>
      <c r="CV424">
        <v>0.22</v>
      </c>
      <c r="CW424">
        <v>46</v>
      </c>
      <c r="CX424" t="s">
        <v>1496</v>
      </c>
    </row>
    <row r="425" spans="1:102" x14ac:dyDescent="0.3">
      <c r="A425" t="str">
        <f>HYPERLINK("https://webapp.icbf.com/v2/app/bull-search/view/944164895","TAC")</f>
        <v>TAC</v>
      </c>
      <c r="B425" t="s">
        <v>13234</v>
      </c>
      <c r="C425" t="s">
        <v>13235</v>
      </c>
      <c r="D425" s="1">
        <v>40926</v>
      </c>
      <c r="E425" t="s">
        <v>92</v>
      </c>
      <c r="F425">
        <v>69</v>
      </c>
      <c r="G425" t="s">
        <v>93</v>
      </c>
      <c r="H425">
        <v>190.79</v>
      </c>
      <c r="I425">
        <v>88</v>
      </c>
      <c r="J425">
        <v>102.04</v>
      </c>
      <c r="K425">
        <v>98</v>
      </c>
      <c r="L425">
        <v>78.849999999999994</v>
      </c>
      <c r="M425">
        <v>78</v>
      </c>
      <c r="N425">
        <v>24.14</v>
      </c>
      <c r="O425">
        <v>91</v>
      </c>
      <c r="P425">
        <v>-32.92</v>
      </c>
      <c r="Q425">
        <v>94</v>
      </c>
      <c r="R425">
        <v>-4.7</v>
      </c>
      <c r="S425">
        <v>80</v>
      </c>
      <c r="T425">
        <v>15.97</v>
      </c>
      <c r="U425">
        <v>85</v>
      </c>
      <c r="V425">
        <v>7.41</v>
      </c>
      <c r="W425">
        <v>75</v>
      </c>
      <c r="X425" t="s">
        <v>102</v>
      </c>
      <c r="Y425" t="s">
        <v>1976</v>
      </c>
      <c r="Z425" t="s">
        <v>330</v>
      </c>
      <c r="AA425" t="s">
        <v>392</v>
      </c>
      <c r="AB425" t="s">
        <v>13236</v>
      </c>
      <c r="AC425">
        <v>139</v>
      </c>
      <c r="AD425">
        <v>75</v>
      </c>
      <c r="AE425">
        <v>98</v>
      </c>
      <c r="AF425">
        <v>111.23</v>
      </c>
      <c r="AG425">
        <v>12.2</v>
      </c>
      <c r="AH425">
        <v>14.74</v>
      </c>
      <c r="AI425">
        <v>0.13</v>
      </c>
      <c r="AJ425">
        <v>0.19</v>
      </c>
      <c r="AK425">
        <v>78</v>
      </c>
      <c r="AL425">
        <v>155</v>
      </c>
      <c r="AM425">
        <v>92</v>
      </c>
      <c r="AN425">
        <v>-3.41</v>
      </c>
      <c r="AO425">
        <v>2.89</v>
      </c>
      <c r="AP425">
        <v>1022</v>
      </c>
      <c r="AQ425">
        <v>5</v>
      </c>
      <c r="AR425">
        <v>7.31</v>
      </c>
      <c r="AS425">
        <v>77</v>
      </c>
      <c r="AT425">
        <v>3.09</v>
      </c>
      <c r="AU425">
        <v>96</v>
      </c>
      <c r="AV425">
        <v>-2.41</v>
      </c>
      <c r="AW425">
        <v>99</v>
      </c>
      <c r="AX425">
        <v>-0.16</v>
      </c>
      <c r="AY425">
        <v>94</v>
      </c>
      <c r="AZ425">
        <v>5.64</v>
      </c>
      <c r="BA425">
        <v>71</v>
      </c>
      <c r="BB425">
        <v>4.5</v>
      </c>
      <c r="BC425">
        <v>66</v>
      </c>
      <c r="BD425">
        <v>-0.03</v>
      </c>
      <c r="BE425">
        <v>0.02</v>
      </c>
      <c r="BF425">
        <v>0.12</v>
      </c>
      <c r="BG425">
        <v>90</v>
      </c>
      <c r="BH425">
        <v>0.2</v>
      </c>
      <c r="BI425">
        <v>-0.78</v>
      </c>
      <c r="BJ425">
        <v>4</v>
      </c>
      <c r="BK425">
        <v>4</v>
      </c>
      <c r="BL425">
        <v>-0.91</v>
      </c>
      <c r="BM425">
        <v>-0.01</v>
      </c>
      <c r="BN425">
        <v>-1.59</v>
      </c>
      <c r="BO425">
        <v>-1.26</v>
      </c>
      <c r="BP425">
        <v>0.26</v>
      </c>
      <c r="BQ425">
        <v>-1.63</v>
      </c>
      <c r="BR425">
        <v>3.02</v>
      </c>
      <c r="BS425">
        <v>-0.88</v>
      </c>
      <c r="BT425">
        <v>-3.01</v>
      </c>
      <c r="BU425">
        <v>0.4</v>
      </c>
      <c r="BV425">
        <v>-1.1000000000000001</v>
      </c>
      <c r="BW425">
        <v>-1.64</v>
      </c>
      <c r="BX425">
        <v>-0.53</v>
      </c>
      <c r="BY425">
        <v>-2.08</v>
      </c>
      <c r="BZ425">
        <v>-0.62</v>
      </c>
      <c r="CA425">
        <v>-0.78</v>
      </c>
      <c r="CB425">
        <v>-0.53</v>
      </c>
      <c r="CC425">
        <v>-0.97</v>
      </c>
      <c r="CD425">
        <v>0.82</v>
      </c>
      <c r="CE425">
        <v>-0.59</v>
      </c>
      <c r="CF425">
        <v>-1.7</v>
      </c>
      <c r="CG425">
        <v>0</v>
      </c>
      <c r="CH425">
        <v>-0.31</v>
      </c>
      <c r="CI425">
        <v>0</v>
      </c>
      <c r="CJ425">
        <v>-14.1</v>
      </c>
      <c r="CK425">
        <v>95</v>
      </c>
      <c r="CL425">
        <v>-1.1399999999999999</v>
      </c>
      <c r="CM425">
        <v>94</v>
      </c>
      <c r="CN425">
        <v>-0.02</v>
      </c>
      <c r="CO425">
        <v>93</v>
      </c>
      <c r="CP425">
        <v>-12.9</v>
      </c>
      <c r="CQ425">
        <v>84</v>
      </c>
      <c r="CR425">
        <v>0</v>
      </c>
      <c r="CS425">
        <v>0</v>
      </c>
      <c r="CT425">
        <v>-7.8</v>
      </c>
      <c r="CU425">
        <v>85</v>
      </c>
      <c r="CV425">
        <v>0.2</v>
      </c>
      <c r="CW425">
        <v>47</v>
      </c>
      <c r="CX425" t="s">
        <v>5177</v>
      </c>
    </row>
    <row r="426" spans="1:102" x14ac:dyDescent="0.3">
      <c r="A426" t="str">
        <f>HYPERLINK("https://webapp.icbf.com/v2/app/bull-search/view/1164192970","S2130")</f>
        <v>S2130</v>
      </c>
      <c r="B426" t="s">
        <v>14547</v>
      </c>
      <c r="C426" t="s">
        <v>2272</v>
      </c>
      <c r="D426" s="1">
        <v>41347</v>
      </c>
      <c r="E426" t="s">
        <v>92</v>
      </c>
      <c r="F426">
        <v>100</v>
      </c>
      <c r="G426" t="s">
        <v>109</v>
      </c>
      <c r="H426">
        <v>190.76</v>
      </c>
      <c r="I426">
        <v>83</v>
      </c>
      <c r="J426">
        <v>95.7</v>
      </c>
      <c r="K426">
        <v>94</v>
      </c>
      <c r="L426">
        <v>27.01</v>
      </c>
      <c r="M426">
        <v>85</v>
      </c>
      <c r="N426">
        <v>51.28</v>
      </c>
      <c r="O426">
        <v>86</v>
      </c>
      <c r="P426">
        <v>8.08</v>
      </c>
      <c r="Q426">
        <v>78</v>
      </c>
      <c r="R426">
        <v>9.6300000000000008</v>
      </c>
      <c r="S426">
        <v>74</v>
      </c>
      <c r="T426">
        <v>-8</v>
      </c>
      <c r="U426">
        <v>45</v>
      </c>
      <c r="V426">
        <v>7.06</v>
      </c>
      <c r="W426">
        <v>58</v>
      </c>
      <c r="X426" t="s">
        <v>276</v>
      </c>
      <c r="Y426" t="s">
        <v>367</v>
      </c>
      <c r="Z426" t="s">
        <v>96</v>
      </c>
      <c r="AA426" t="s">
        <v>465</v>
      </c>
      <c r="AB426" t="s">
        <v>14548</v>
      </c>
      <c r="AC426">
        <v>24</v>
      </c>
      <c r="AD426">
        <v>10</v>
      </c>
      <c r="AE426">
        <v>94</v>
      </c>
      <c r="AF426">
        <v>800.01</v>
      </c>
      <c r="AG426">
        <v>15.04</v>
      </c>
      <c r="AH426">
        <v>23.2</v>
      </c>
      <c r="AI426">
        <v>-0.25</v>
      </c>
      <c r="AJ426">
        <v>-0.06</v>
      </c>
      <c r="AK426">
        <v>85</v>
      </c>
      <c r="AL426">
        <v>0</v>
      </c>
      <c r="AM426">
        <v>0</v>
      </c>
      <c r="AN426">
        <v>-0.26</v>
      </c>
      <c r="AO426">
        <v>1.91</v>
      </c>
      <c r="AP426">
        <v>364</v>
      </c>
      <c r="AQ426">
        <v>0</v>
      </c>
      <c r="AR426">
        <v>6.54</v>
      </c>
      <c r="AS426">
        <v>89</v>
      </c>
      <c r="AT426">
        <v>2.5499999999999998</v>
      </c>
      <c r="AU426">
        <v>98</v>
      </c>
      <c r="AV426">
        <v>-5.07</v>
      </c>
      <c r="AW426">
        <v>96</v>
      </c>
      <c r="AX426">
        <v>0.14000000000000001</v>
      </c>
      <c r="AY426">
        <v>87</v>
      </c>
      <c r="AZ426">
        <v>5.43</v>
      </c>
      <c r="BA426">
        <v>56</v>
      </c>
      <c r="BB426">
        <v>4.43</v>
      </c>
      <c r="BC426">
        <v>36</v>
      </c>
      <c r="BD426">
        <v>0.01</v>
      </c>
      <c r="BE426">
        <v>-0.02</v>
      </c>
      <c r="BF426">
        <v>-0.2</v>
      </c>
      <c r="BG426">
        <v>92</v>
      </c>
      <c r="BH426">
        <v>0.1</v>
      </c>
      <c r="BI426">
        <v>-11.2</v>
      </c>
      <c r="BJ426">
        <v>8</v>
      </c>
      <c r="BK426">
        <v>6</v>
      </c>
      <c r="BL426">
        <v>0.8</v>
      </c>
      <c r="BM426">
        <v>1.42</v>
      </c>
      <c r="BN426">
        <v>0.37</v>
      </c>
      <c r="BO426">
        <v>0.03</v>
      </c>
      <c r="BP426">
        <v>0.5</v>
      </c>
      <c r="BQ426">
        <v>1.77</v>
      </c>
      <c r="BR426">
        <v>0.05</v>
      </c>
      <c r="BS426">
        <v>0.99</v>
      </c>
      <c r="BT426">
        <v>0.67</v>
      </c>
      <c r="BU426">
        <v>1.74</v>
      </c>
      <c r="BV426">
        <v>1.48</v>
      </c>
      <c r="BW426">
        <v>1.3</v>
      </c>
      <c r="BX426">
        <v>0.75</v>
      </c>
      <c r="BY426">
        <v>1.76</v>
      </c>
      <c r="BZ426">
        <v>1.26</v>
      </c>
      <c r="CA426">
        <v>1.65</v>
      </c>
      <c r="CB426">
        <v>1.59</v>
      </c>
      <c r="CC426">
        <v>1.27</v>
      </c>
      <c r="CD426">
        <v>0.39</v>
      </c>
      <c r="CE426">
        <v>1.44</v>
      </c>
      <c r="CF426">
        <v>1.88</v>
      </c>
      <c r="CG426">
        <v>0</v>
      </c>
      <c r="CH426">
        <v>1.7</v>
      </c>
      <c r="CI426">
        <v>0</v>
      </c>
      <c r="CJ426">
        <v>5.4</v>
      </c>
      <c r="CK426">
        <v>83</v>
      </c>
      <c r="CL426">
        <v>-0.83</v>
      </c>
      <c r="CM426">
        <v>78</v>
      </c>
      <c r="CN426">
        <v>-0.63</v>
      </c>
      <c r="CO426">
        <v>76</v>
      </c>
      <c r="CP426">
        <v>12.1</v>
      </c>
      <c r="CQ426">
        <v>50</v>
      </c>
      <c r="CR426">
        <v>0</v>
      </c>
      <c r="CS426">
        <v>0</v>
      </c>
      <c r="CT426">
        <v>24.6</v>
      </c>
      <c r="CU426">
        <v>45</v>
      </c>
      <c r="CV426">
        <v>0.27</v>
      </c>
      <c r="CW426">
        <v>43</v>
      </c>
      <c r="CX426" t="s">
        <v>1848</v>
      </c>
    </row>
    <row r="427" spans="1:102" x14ac:dyDescent="0.3">
      <c r="A427" t="str">
        <f>HYPERLINK("https://webapp.icbf.com/v2/app/bull-search/view/554466327","BHQ")</f>
        <v>BHQ</v>
      </c>
      <c r="B427" t="s">
        <v>5092</v>
      </c>
      <c r="C427" t="s">
        <v>5093</v>
      </c>
      <c r="D427" s="1">
        <v>39482</v>
      </c>
      <c r="E427" t="s">
        <v>227</v>
      </c>
      <c r="F427">
        <v>0</v>
      </c>
      <c r="G427" t="s">
        <v>93</v>
      </c>
      <c r="H427">
        <v>190.69</v>
      </c>
      <c r="I427">
        <v>96</v>
      </c>
      <c r="J427">
        <v>54.04</v>
      </c>
      <c r="K427">
        <v>99</v>
      </c>
      <c r="L427">
        <v>76.14</v>
      </c>
      <c r="M427">
        <v>93</v>
      </c>
      <c r="N427">
        <v>38.5</v>
      </c>
      <c r="O427">
        <v>97</v>
      </c>
      <c r="P427">
        <v>-66.150000000000006</v>
      </c>
      <c r="Q427">
        <v>98</v>
      </c>
      <c r="R427">
        <v>8.77</v>
      </c>
      <c r="S427">
        <v>93</v>
      </c>
      <c r="T427">
        <v>69.7</v>
      </c>
      <c r="U427">
        <v>97</v>
      </c>
      <c r="V427">
        <v>9.69</v>
      </c>
      <c r="W427">
        <v>94</v>
      </c>
      <c r="X427" t="s">
        <v>94</v>
      </c>
      <c r="Y427" t="s">
        <v>1513</v>
      </c>
      <c r="Z427">
        <v>0</v>
      </c>
      <c r="AA427" t="s">
        <v>1928</v>
      </c>
      <c r="AB427" t="s">
        <v>5094</v>
      </c>
      <c r="AC427">
        <v>747</v>
      </c>
      <c r="AD427">
        <v>230</v>
      </c>
      <c r="AE427">
        <v>99</v>
      </c>
      <c r="AF427">
        <v>-522.03</v>
      </c>
      <c r="AG427">
        <v>14.53</v>
      </c>
      <c r="AH427">
        <v>-3.94</v>
      </c>
      <c r="AI427">
        <v>0.67</v>
      </c>
      <c r="AJ427">
        <v>0.26</v>
      </c>
      <c r="AK427">
        <v>93</v>
      </c>
      <c r="AL427">
        <v>841</v>
      </c>
      <c r="AM427">
        <v>289</v>
      </c>
      <c r="AN427">
        <v>-2.74</v>
      </c>
      <c r="AO427">
        <v>3.35</v>
      </c>
      <c r="AP427">
        <v>993</v>
      </c>
      <c r="AQ427">
        <v>7</v>
      </c>
      <c r="AR427">
        <v>2.21</v>
      </c>
      <c r="AS427">
        <v>96</v>
      </c>
      <c r="AT427">
        <v>1.27</v>
      </c>
      <c r="AU427">
        <v>97</v>
      </c>
      <c r="AV427">
        <v>-2.36</v>
      </c>
      <c r="AW427">
        <v>99</v>
      </c>
      <c r="AX427">
        <v>-0.21</v>
      </c>
      <c r="AY427">
        <v>97</v>
      </c>
      <c r="AZ427">
        <v>7.34</v>
      </c>
      <c r="BA427">
        <v>91</v>
      </c>
      <c r="BB427">
        <v>5.39</v>
      </c>
      <c r="BC427">
        <v>93</v>
      </c>
      <c r="BD427">
        <v>-0.1</v>
      </c>
      <c r="BE427">
        <v>-0.05</v>
      </c>
      <c r="BF427">
        <v>0.06</v>
      </c>
      <c r="BG427">
        <v>98</v>
      </c>
      <c r="BH427">
        <v>0.17</v>
      </c>
      <c r="BI427">
        <v>-11.6</v>
      </c>
      <c r="BJ427">
        <v>40</v>
      </c>
      <c r="BK427">
        <v>19</v>
      </c>
      <c r="BL427">
        <v>-3.23</v>
      </c>
      <c r="BM427">
        <v>-2.74</v>
      </c>
      <c r="BN427">
        <v>-0.13</v>
      </c>
      <c r="BO427">
        <v>1.95</v>
      </c>
      <c r="BP427">
        <v>-0.64</v>
      </c>
      <c r="BQ427">
        <v>-6.14</v>
      </c>
      <c r="BR427">
        <v>2.81</v>
      </c>
      <c r="BS427">
        <v>5.85</v>
      </c>
      <c r="BT427">
        <v>-1.07</v>
      </c>
      <c r="BU427">
        <v>-0.82</v>
      </c>
      <c r="BV427">
        <v>-0.1</v>
      </c>
      <c r="BW427">
        <v>-3.5</v>
      </c>
      <c r="BX427">
        <v>-4.99</v>
      </c>
      <c r="BY427">
        <v>1.17</v>
      </c>
      <c r="BZ427">
        <v>-1.48</v>
      </c>
      <c r="CA427">
        <v>0.71</v>
      </c>
      <c r="CB427">
        <v>-0.35</v>
      </c>
      <c r="CC427">
        <v>2.9</v>
      </c>
      <c r="CD427">
        <v>-1.81</v>
      </c>
      <c r="CE427">
        <v>1.19</v>
      </c>
      <c r="CF427">
        <v>-3.59</v>
      </c>
      <c r="CG427">
        <v>0</v>
      </c>
      <c r="CH427">
        <v>-0.64</v>
      </c>
      <c r="CI427">
        <v>0</v>
      </c>
      <c r="CJ427">
        <v>-34</v>
      </c>
      <c r="CK427">
        <v>99</v>
      </c>
      <c r="CL427">
        <v>-1.03</v>
      </c>
      <c r="CM427">
        <v>98</v>
      </c>
      <c r="CN427">
        <v>0.05</v>
      </c>
      <c r="CO427">
        <v>98</v>
      </c>
      <c r="CP427">
        <v>-53.4</v>
      </c>
      <c r="CQ427">
        <v>97</v>
      </c>
      <c r="CR427">
        <v>0</v>
      </c>
      <c r="CS427">
        <v>0</v>
      </c>
      <c r="CT427">
        <v>-80.400000000000006</v>
      </c>
      <c r="CU427">
        <v>97</v>
      </c>
      <c r="CV427">
        <v>-0.33</v>
      </c>
      <c r="CW427">
        <v>46</v>
      </c>
      <c r="CX427" t="s">
        <v>1936</v>
      </c>
    </row>
    <row r="428" spans="1:102" x14ac:dyDescent="0.3">
      <c r="A428" t="str">
        <f>HYPERLINK("https://webapp.icbf.com/v2/app/bull-search/view/571504980","SPY")</f>
        <v>SPY</v>
      </c>
      <c r="B428" t="s">
        <v>5345</v>
      </c>
      <c r="C428" t="s">
        <v>5346</v>
      </c>
      <c r="D428" s="1">
        <v>39515</v>
      </c>
      <c r="E428" t="s">
        <v>92</v>
      </c>
      <c r="F428">
        <v>75</v>
      </c>
      <c r="G428" t="s">
        <v>93</v>
      </c>
      <c r="H428">
        <v>190.6</v>
      </c>
      <c r="I428">
        <v>90</v>
      </c>
      <c r="J428">
        <v>14.97</v>
      </c>
      <c r="K428">
        <v>98</v>
      </c>
      <c r="L428">
        <v>122.82</v>
      </c>
      <c r="M428">
        <v>82</v>
      </c>
      <c r="N428">
        <v>40.29</v>
      </c>
      <c r="O428">
        <v>89</v>
      </c>
      <c r="P428">
        <v>-10.210000000000001</v>
      </c>
      <c r="Q428">
        <v>94</v>
      </c>
      <c r="R428">
        <v>11.05</v>
      </c>
      <c r="S428">
        <v>83</v>
      </c>
      <c r="T428">
        <v>12.27</v>
      </c>
      <c r="U428">
        <v>90</v>
      </c>
      <c r="V428">
        <v>-0.59</v>
      </c>
      <c r="W428">
        <v>80</v>
      </c>
      <c r="X428" t="s">
        <v>94</v>
      </c>
      <c r="Y428" t="s">
        <v>241</v>
      </c>
      <c r="Z428" t="s">
        <v>96</v>
      </c>
      <c r="AA428" t="s">
        <v>1797</v>
      </c>
      <c r="AB428" t="s">
        <v>5347</v>
      </c>
      <c r="AC428">
        <v>149</v>
      </c>
      <c r="AD428">
        <v>81</v>
      </c>
      <c r="AE428">
        <v>98</v>
      </c>
      <c r="AF428">
        <v>-214.36</v>
      </c>
      <c r="AG428">
        <v>4.6500000000000004</v>
      </c>
      <c r="AH428">
        <v>-2.38</v>
      </c>
      <c r="AI428">
        <v>0.24</v>
      </c>
      <c r="AJ428">
        <v>0.09</v>
      </c>
      <c r="AK428">
        <v>82</v>
      </c>
      <c r="AL428">
        <v>164</v>
      </c>
      <c r="AM428">
        <v>91</v>
      </c>
      <c r="AN428">
        <v>-6.29</v>
      </c>
      <c r="AO428">
        <v>3.51</v>
      </c>
      <c r="AP428">
        <v>253</v>
      </c>
      <c r="AQ428">
        <v>1</v>
      </c>
      <c r="AR428">
        <v>5.12</v>
      </c>
      <c r="AS428">
        <v>76</v>
      </c>
      <c r="AT428">
        <v>2.2000000000000002</v>
      </c>
      <c r="AU428">
        <v>90</v>
      </c>
      <c r="AV428">
        <v>-3.03</v>
      </c>
      <c r="AW428">
        <v>97</v>
      </c>
      <c r="AX428">
        <v>-0.08</v>
      </c>
      <c r="AY428">
        <v>87</v>
      </c>
      <c r="AZ428">
        <v>5.82</v>
      </c>
      <c r="BA428">
        <v>72</v>
      </c>
      <c r="BB428">
        <v>4.5199999999999996</v>
      </c>
      <c r="BC428">
        <v>75</v>
      </c>
      <c r="BD428">
        <v>-0.06</v>
      </c>
      <c r="BE428">
        <v>-0.06</v>
      </c>
      <c r="BF428">
        <v>-0.04</v>
      </c>
      <c r="BG428">
        <v>92</v>
      </c>
      <c r="BH428">
        <v>-0.16</v>
      </c>
      <c r="BI428">
        <v>-16.62</v>
      </c>
      <c r="BJ428">
        <v>21</v>
      </c>
      <c r="BK428">
        <v>13</v>
      </c>
      <c r="BL428">
        <v>-1.03</v>
      </c>
      <c r="BM428">
        <v>1.39</v>
      </c>
      <c r="BN428">
        <v>-1.1599999999999999</v>
      </c>
      <c r="BO428">
        <v>-1.61</v>
      </c>
      <c r="BP428">
        <v>-2.81</v>
      </c>
      <c r="BQ428">
        <v>-0.76</v>
      </c>
      <c r="BR428">
        <v>-0.19</v>
      </c>
      <c r="BS428">
        <v>-0.85</v>
      </c>
      <c r="BT428">
        <v>-0.24</v>
      </c>
      <c r="BU428">
        <v>-1.1200000000000001</v>
      </c>
      <c r="BV428">
        <v>-1.85</v>
      </c>
      <c r="BW428">
        <v>-1.0900000000000001</v>
      </c>
      <c r="BX428">
        <v>-1.1200000000000001</v>
      </c>
      <c r="BY428">
        <v>-0.48</v>
      </c>
      <c r="BZ428">
        <v>-0.48</v>
      </c>
      <c r="CA428">
        <v>-1.53</v>
      </c>
      <c r="CB428">
        <v>-1.36</v>
      </c>
      <c r="CC428">
        <v>-1.45</v>
      </c>
      <c r="CD428">
        <v>1.18</v>
      </c>
      <c r="CE428">
        <v>-1.59</v>
      </c>
      <c r="CF428">
        <v>-1.62</v>
      </c>
      <c r="CG428">
        <v>0</v>
      </c>
      <c r="CH428">
        <v>-0.93</v>
      </c>
      <c r="CI428">
        <v>0</v>
      </c>
      <c r="CJ428">
        <v>-6.1</v>
      </c>
      <c r="CK428">
        <v>95</v>
      </c>
      <c r="CL428">
        <v>-0.4</v>
      </c>
      <c r="CM428">
        <v>94</v>
      </c>
      <c r="CN428">
        <v>-0.27</v>
      </c>
      <c r="CO428">
        <v>94</v>
      </c>
      <c r="CP428">
        <v>-5.5</v>
      </c>
      <c r="CQ428">
        <v>91</v>
      </c>
      <c r="CR428">
        <v>0</v>
      </c>
      <c r="CS428">
        <v>0</v>
      </c>
      <c r="CT428">
        <v>-2.8</v>
      </c>
      <c r="CU428">
        <v>90</v>
      </c>
      <c r="CV428">
        <v>-0.02</v>
      </c>
      <c r="CW428">
        <v>45</v>
      </c>
      <c r="CX428" t="s">
        <v>1252</v>
      </c>
    </row>
    <row r="429" spans="1:102" x14ac:dyDescent="0.3">
      <c r="A429" t="str">
        <f>HYPERLINK("https://webapp.icbf.com/v2/app/bull-search/view/1046280094","S1518")</f>
        <v>S1518</v>
      </c>
      <c r="B429" t="s">
        <v>5811</v>
      </c>
      <c r="C429" t="s">
        <v>2331</v>
      </c>
      <c r="D429" s="1">
        <v>40733</v>
      </c>
      <c r="E429" t="s">
        <v>92</v>
      </c>
      <c r="F429">
        <v>100</v>
      </c>
      <c r="G429" t="s">
        <v>109</v>
      </c>
      <c r="H429">
        <v>190.51</v>
      </c>
      <c r="I429">
        <v>78</v>
      </c>
      <c r="J429">
        <v>78.03</v>
      </c>
      <c r="K429">
        <v>90</v>
      </c>
      <c r="L429">
        <v>62.22</v>
      </c>
      <c r="M429">
        <v>80</v>
      </c>
      <c r="N429">
        <v>39.61</v>
      </c>
      <c r="O429">
        <v>76</v>
      </c>
      <c r="P429">
        <v>0.52</v>
      </c>
      <c r="Q429">
        <v>82</v>
      </c>
      <c r="R429">
        <v>9.92</v>
      </c>
      <c r="S429">
        <v>63</v>
      </c>
      <c r="T429">
        <v>-3.27</v>
      </c>
      <c r="U429">
        <v>46</v>
      </c>
      <c r="V429">
        <v>3.48</v>
      </c>
      <c r="W429">
        <v>38</v>
      </c>
      <c r="X429" t="s">
        <v>428</v>
      </c>
      <c r="Y429" t="s">
        <v>362</v>
      </c>
      <c r="Z429" t="s">
        <v>96</v>
      </c>
      <c r="AA429" t="s">
        <v>2269</v>
      </c>
      <c r="AB429" t="s">
        <v>5812</v>
      </c>
      <c r="AC429">
        <v>54</v>
      </c>
      <c r="AD429">
        <v>20</v>
      </c>
      <c r="AE429">
        <v>90</v>
      </c>
      <c r="AF429">
        <v>196.49</v>
      </c>
      <c r="AG429">
        <v>18.37</v>
      </c>
      <c r="AH429">
        <v>9.7799999999999994</v>
      </c>
      <c r="AI429">
        <v>0.17</v>
      </c>
      <c r="AJ429">
        <v>0.05</v>
      </c>
      <c r="AK429">
        <v>80</v>
      </c>
      <c r="AL429">
        <v>26</v>
      </c>
      <c r="AM429">
        <v>13</v>
      </c>
      <c r="AN429">
        <v>-2.79</v>
      </c>
      <c r="AO429">
        <v>2.1800000000000002</v>
      </c>
      <c r="AP429">
        <v>62</v>
      </c>
      <c r="AQ429">
        <v>0</v>
      </c>
      <c r="AR429">
        <v>6.33</v>
      </c>
      <c r="AS429">
        <v>71</v>
      </c>
      <c r="AT429">
        <v>2.7</v>
      </c>
      <c r="AU429">
        <v>92</v>
      </c>
      <c r="AV429">
        <v>-3.99</v>
      </c>
      <c r="AW429">
        <v>91</v>
      </c>
      <c r="AX429">
        <v>0.42</v>
      </c>
      <c r="AY429">
        <v>67</v>
      </c>
      <c r="AZ429">
        <v>6.08</v>
      </c>
      <c r="BA429">
        <v>34</v>
      </c>
      <c r="BB429">
        <v>4.62</v>
      </c>
      <c r="BC429">
        <v>25</v>
      </c>
      <c r="BD429">
        <v>-0.03</v>
      </c>
      <c r="BE429">
        <v>-0.02</v>
      </c>
      <c r="BF429">
        <v>-0.14000000000000001</v>
      </c>
      <c r="BG429">
        <v>87</v>
      </c>
      <c r="BH429">
        <v>-0.13</v>
      </c>
      <c r="BI429">
        <v>-26.26</v>
      </c>
      <c r="BJ429">
        <v>10</v>
      </c>
      <c r="BK429">
        <v>8</v>
      </c>
      <c r="BL429">
        <v>0.55000000000000004</v>
      </c>
      <c r="BM429">
        <v>-0.62</v>
      </c>
      <c r="BN429">
        <v>-1.1399999999999999</v>
      </c>
      <c r="BO429">
        <v>-0.09</v>
      </c>
      <c r="BP429">
        <v>-1.23</v>
      </c>
      <c r="BQ429">
        <v>0.65</v>
      </c>
      <c r="BR429">
        <v>0.1</v>
      </c>
      <c r="BS429">
        <v>1.65</v>
      </c>
      <c r="BT429">
        <v>0.6</v>
      </c>
      <c r="BU429">
        <v>2.33</v>
      </c>
      <c r="BV429">
        <v>1.1100000000000001</v>
      </c>
      <c r="BW429">
        <v>0.84</v>
      </c>
      <c r="BX429">
        <v>1.91</v>
      </c>
      <c r="BY429">
        <v>1.71</v>
      </c>
      <c r="BZ429">
        <v>-2.77</v>
      </c>
      <c r="CA429">
        <v>1.96</v>
      </c>
      <c r="CB429">
        <v>1.6</v>
      </c>
      <c r="CC429">
        <v>1.52</v>
      </c>
      <c r="CD429">
        <v>0.64</v>
      </c>
      <c r="CE429">
        <v>1.41</v>
      </c>
      <c r="CF429">
        <v>1.69</v>
      </c>
      <c r="CG429">
        <v>0</v>
      </c>
      <c r="CH429">
        <v>1.17</v>
      </c>
      <c r="CI429">
        <v>0</v>
      </c>
      <c r="CJ429">
        <v>4.9000000000000004</v>
      </c>
      <c r="CK429">
        <v>86</v>
      </c>
      <c r="CL429">
        <v>-1</v>
      </c>
      <c r="CM429">
        <v>83</v>
      </c>
      <c r="CN429">
        <v>-0.37</v>
      </c>
      <c r="CO429">
        <v>81</v>
      </c>
      <c r="CP429">
        <v>-1.7</v>
      </c>
      <c r="CQ429">
        <v>58</v>
      </c>
      <c r="CR429">
        <v>0</v>
      </c>
      <c r="CS429">
        <v>0</v>
      </c>
      <c r="CT429">
        <v>18.2</v>
      </c>
      <c r="CU429">
        <v>46</v>
      </c>
      <c r="CV429">
        <v>0.43</v>
      </c>
      <c r="CW429">
        <v>24</v>
      </c>
      <c r="CX429" t="s">
        <v>309</v>
      </c>
    </row>
    <row r="430" spans="1:102" x14ac:dyDescent="0.3">
      <c r="A430" t="str">
        <f>HYPERLINK("https://webapp.icbf.com/v2/app/bull-search/view/746637759","VSK")</f>
        <v>VSK</v>
      </c>
      <c r="B430" t="s">
        <v>6529</v>
      </c>
      <c r="C430" t="s">
        <v>6530</v>
      </c>
      <c r="D430" s="1">
        <v>38219</v>
      </c>
      <c r="E430" t="s">
        <v>395</v>
      </c>
      <c r="F430">
        <v>0</v>
      </c>
      <c r="G430" t="s">
        <v>93</v>
      </c>
      <c r="H430">
        <v>190.45</v>
      </c>
      <c r="I430">
        <v>97</v>
      </c>
      <c r="J430">
        <v>25.1</v>
      </c>
      <c r="K430">
        <v>99</v>
      </c>
      <c r="L430">
        <v>102.1</v>
      </c>
      <c r="M430">
        <v>95</v>
      </c>
      <c r="N430">
        <v>45.61</v>
      </c>
      <c r="O430">
        <v>98</v>
      </c>
      <c r="P430">
        <v>2.21</v>
      </c>
      <c r="Q430">
        <v>99</v>
      </c>
      <c r="R430">
        <v>1.28</v>
      </c>
      <c r="S430">
        <v>95</v>
      </c>
      <c r="T430">
        <v>7.83</v>
      </c>
      <c r="U430">
        <v>99</v>
      </c>
      <c r="V430">
        <v>6.32</v>
      </c>
      <c r="W430">
        <v>94</v>
      </c>
      <c r="X430" t="s">
        <v>94</v>
      </c>
      <c r="Y430" t="s">
        <v>282</v>
      </c>
      <c r="Z430">
        <v>0</v>
      </c>
      <c r="AA430" t="s">
        <v>6531</v>
      </c>
      <c r="AB430" t="s">
        <v>6532</v>
      </c>
      <c r="AC430">
        <v>1610</v>
      </c>
      <c r="AD430">
        <v>370</v>
      </c>
      <c r="AE430">
        <v>99</v>
      </c>
      <c r="AF430">
        <v>-150.28</v>
      </c>
      <c r="AG430">
        <v>6.44</v>
      </c>
      <c r="AH430">
        <v>-0.31</v>
      </c>
      <c r="AI430">
        <v>0.22</v>
      </c>
      <c r="AJ430">
        <v>0.09</v>
      </c>
      <c r="AK430">
        <v>95</v>
      </c>
      <c r="AL430">
        <v>1751</v>
      </c>
      <c r="AM430">
        <v>470</v>
      </c>
      <c r="AN430">
        <v>-5.72</v>
      </c>
      <c r="AO430">
        <v>2.42</v>
      </c>
      <c r="AP430">
        <v>3710</v>
      </c>
      <c r="AQ430">
        <v>26</v>
      </c>
      <c r="AR430">
        <v>3.83</v>
      </c>
      <c r="AS430">
        <v>98</v>
      </c>
      <c r="AT430">
        <v>1.72</v>
      </c>
      <c r="AU430">
        <v>99</v>
      </c>
      <c r="AV430">
        <v>-3.52</v>
      </c>
      <c r="AW430">
        <v>99</v>
      </c>
      <c r="AX430">
        <v>0.4</v>
      </c>
      <c r="AY430">
        <v>99</v>
      </c>
      <c r="AZ430">
        <v>5.95</v>
      </c>
      <c r="BA430">
        <v>96</v>
      </c>
      <c r="BB430">
        <v>5.01</v>
      </c>
      <c r="BC430">
        <v>96</v>
      </c>
      <c r="BD430">
        <v>-0.02</v>
      </c>
      <c r="BE430">
        <v>-0.04</v>
      </c>
      <c r="BF430">
        <v>0.08</v>
      </c>
      <c r="BG430">
        <v>99</v>
      </c>
      <c r="BH430">
        <v>7.0000000000000007E-2</v>
      </c>
      <c r="BI430">
        <v>-12.3</v>
      </c>
      <c r="BJ430">
        <v>58</v>
      </c>
      <c r="BK430">
        <v>8</v>
      </c>
      <c r="BL430">
        <v>-1.27</v>
      </c>
      <c r="BM430">
        <v>0.57999999999999996</v>
      </c>
      <c r="BN430">
        <v>-1.98</v>
      </c>
      <c r="BO430">
        <v>-1.92</v>
      </c>
      <c r="BP430">
        <v>1.61</v>
      </c>
      <c r="BQ430">
        <v>-1.45</v>
      </c>
      <c r="BR430">
        <v>-0.13</v>
      </c>
      <c r="BS430">
        <v>2.54</v>
      </c>
      <c r="BT430">
        <v>0.48</v>
      </c>
      <c r="BU430">
        <v>-0.67</v>
      </c>
      <c r="BV430">
        <v>-2.4700000000000002</v>
      </c>
      <c r="BW430">
        <v>-1.27</v>
      </c>
      <c r="BX430">
        <v>-0.62</v>
      </c>
      <c r="BY430">
        <v>-2.4</v>
      </c>
      <c r="BZ430">
        <v>-2.0499999999999998</v>
      </c>
      <c r="CA430">
        <v>-0.35</v>
      </c>
      <c r="CB430">
        <v>-1.38</v>
      </c>
      <c r="CC430">
        <v>1.54</v>
      </c>
      <c r="CD430">
        <v>1.35</v>
      </c>
      <c r="CE430">
        <v>-2.02</v>
      </c>
      <c r="CF430">
        <v>-1.34</v>
      </c>
      <c r="CG430">
        <v>0</v>
      </c>
      <c r="CH430">
        <v>-1.79</v>
      </c>
      <c r="CI430">
        <v>0</v>
      </c>
      <c r="CJ430">
        <v>0.7</v>
      </c>
      <c r="CK430">
        <v>99</v>
      </c>
      <c r="CL430">
        <v>-0.28000000000000003</v>
      </c>
      <c r="CM430">
        <v>99</v>
      </c>
      <c r="CN430">
        <v>-0.37</v>
      </c>
      <c r="CO430">
        <v>99</v>
      </c>
      <c r="CP430">
        <v>-1.3</v>
      </c>
      <c r="CQ430">
        <v>98</v>
      </c>
      <c r="CR430">
        <v>0</v>
      </c>
      <c r="CS430">
        <v>0</v>
      </c>
      <c r="CT430">
        <v>3.2</v>
      </c>
      <c r="CU430">
        <v>99</v>
      </c>
      <c r="CV430">
        <v>0.02</v>
      </c>
      <c r="CW430">
        <v>46</v>
      </c>
      <c r="CX430" t="s">
        <v>6533</v>
      </c>
    </row>
    <row r="431" spans="1:102" x14ac:dyDescent="0.3">
      <c r="A431" t="str">
        <f>HYPERLINK("https://webapp.icbf.com/v2/app/bull-search/view/1248032408","FR2335")</f>
        <v>FR2335</v>
      </c>
      <c r="B431" t="s">
        <v>8365</v>
      </c>
      <c r="C431" t="s">
        <v>8366</v>
      </c>
      <c r="D431" s="1">
        <v>42049</v>
      </c>
      <c r="E431" t="s">
        <v>92</v>
      </c>
      <c r="F431">
        <v>69</v>
      </c>
      <c r="G431" t="s">
        <v>93</v>
      </c>
      <c r="H431">
        <v>190.23</v>
      </c>
      <c r="I431">
        <v>80</v>
      </c>
      <c r="J431">
        <v>28.5</v>
      </c>
      <c r="K431">
        <v>94</v>
      </c>
      <c r="L431">
        <v>122.19</v>
      </c>
      <c r="M431">
        <v>69</v>
      </c>
      <c r="N431">
        <v>43.63</v>
      </c>
      <c r="O431">
        <v>83</v>
      </c>
      <c r="P431">
        <v>-29.18</v>
      </c>
      <c r="Q431">
        <v>89</v>
      </c>
      <c r="R431">
        <v>-2.52</v>
      </c>
      <c r="S431">
        <v>71</v>
      </c>
      <c r="T431">
        <v>33.14</v>
      </c>
      <c r="U431">
        <v>68</v>
      </c>
      <c r="V431">
        <v>-5.53</v>
      </c>
      <c r="W431">
        <v>63</v>
      </c>
      <c r="X431" t="s">
        <v>94</v>
      </c>
      <c r="Y431" t="s">
        <v>436</v>
      </c>
      <c r="Z431" t="s">
        <v>96</v>
      </c>
      <c r="AA431" t="s">
        <v>2235</v>
      </c>
      <c r="AB431" t="s">
        <v>8367</v>
      </c>
      <c r="AC431">
        <v>82</v>
      </c>
      <c r="AD431">
        <v>55</v>
      </c>
      <c r="AE431">
        <v>94</v>
      </c>
      <c r="AF431">
        <v>-224.78</v>
      </c>
      <c r="AG431">
        <v>3.07</v>
      </c>
      <c r="AH431">
        <v>0.32</v>
      </c>
      <c r="AI431">
        <v>0.22</v>
      </c>
      <c r="AJ431">
        <v>0.14000000000000001</v>
      </c>
      <c r="AK431">
        <v>69</v>
      </c>
      <c r="AL431">
        <v>0</v>
      </c>
      <c r="AM431">
        <v>0</v>
      </c>
      <c r="AN431">
        <v>-7.03</v>
      </c>
      <c r="AO431">
        <v>2.71</v>
      </c>
      <c r="AP431">
        <v>277</v>
      </c>
      <c r="AQ431">
        <v>0</v>
      </c>
      <c r="AR431">
        <v>7.07</v>
      </c>
      <c r="AS431">
        <v>73</v>
      </c>
      <c r="AT431">
        <v>2.2799999999999998</v>
      </c>
      <c r="AU431">
        <v>88</v>
      </c>
      <c r="AV431">
        <v>-4.46</v>
      </c>
      <c r="AW431">
        <v>97</v>
      </c>
      <c r="AX431">
        <v>-0.09</v>
      </c>
      <c r="AY431">
        <v>80</v>
      </c>
      <c r="AZ431">
        <v>6.28</v>
      </c>
      <c r="BA431">
        <v>62</v>
      </c>
      <c r="BB431">
        <v>5.08</v>
      </c>
      <c r="BC431">
        <v>42</v>
      </c>
      <c r="BD431">
        <v>0</v>
      </c>
      <c r="BE431">
        <v>0.02</v>
      </c>
      <c r="BF431">
        <v>0.02</v>
      </c>
      <c r="BG431">
        <v>82</v>
      </c>
      <c r="BH431">
        <v>-0.11</v>
      </c>
      <c r="BI431">
        <v>5.0999999999999996</v>
      </c>
      <c r="BJ431">
        <v>0</v>
      </c>
      <c r="BK431">
        <v>0</v>
      </c>
      <c r="BL431">
        <v>-1.75</v>
      </c>
      <c r="BM431">
        <v>1.04</v>
      </c>
      <c r="BN431">
        <v>-0.92</v>
      </c>
      <c r="BO431">
        <v>-1.74</v>
      </c>
      <c r="BP431">
        <v>0.85</v>
      </c>
      <c r="BQ431">
        <v>0.09</v>
      </c>
      <c r="BR431">
        <v>0.61</v>
      </c>
      <c r="BS431">
        <v>-1.4</v>
      </c>
      <c r="BT431">
        <v>-1.1200000000000001</v>
      </c>
      <c r="BU431">
        <v>-0.53</v>
      </c>
      <c r="BV431">
        <v>-1.43</v>
      </c>
      <c r="BW431">
        <v>-0.98</v>
      </c>
      <c r="BX431">
        <v>-0.81</v>
      </c>
      <c r="BY431">
        <v>-1.71</v>
      </c>
      <c r="BZ431">
        <v>-1.1299999999999999</v>
      </c>
      <c r="CA431">
        <v>-1.26</v>
      </c>
      <c r="CB431">
        <v>-1.1499999999999999</v>
      </c>
      <c r="CC431">
        <v>-0.89</v>
      </c>
      <c r="CD431">
        <v>1.68</v>
      </c>
      <c r="CE431">
        <v>-1.47</v>
      </c>
      <c r="CF431">
        <v>-1.47</v>
      </c>
      <c r="CG431">
        <v>0</v>
      </c>
      <c r="CH431">
        <v>0.49</v>
      </c>
      <c r="CI431">
        <v>0</v>
      </c>
      <c r="CJ431">
        <v>-16.3</v>
      </c>
      <c r="CK431">
        <v>92</v>
      </c>
      <c r="CL431">
        <v>-0.6</v>
      </c>
      <c r="CM431">
        <v>89</v>
      </c>
      <c r="CN431">
        <v>-0.2</v>
      </c>
      <c r="CO431">
        <v>88</v>
      </c>
      <c r="CP431">
        <v>-18.899999999999999</v>
      </c>
      <c r="CQ431">
        <v>64</v>
      </c>
      <c r="CR431">
        <v>0</v>
      </c>
      <c r="CS431">
        <v>0</v>
      </c>
      <c r="CT431">
        <v>-31</v>
      </c>
      <c r="CU431">
        <v>68</v>
      </c>
      <c r="CV431">
        <v>-0.22</v>
      </c>
      <c r="CW431">
        <v>46</v>
      </c>
      <c r="CX431" t="s">
        <v>2041</v>
      </c>
    </row>
    <row r="432" spans="1:102" x14ac:dyDescent="0.3">
      <c r="A432" t="str">
        <f>HYPERLINK("https://webapp.icbf.com/v2/app/bull-search/view/408750362","ARS")</f>
        <v>ARS</v>
      </c>
      <c r="B432" t="s">
        <v>11871</v>
      </c>
      <c r="C432" t="s">
        <v>11872</v>
      </c>
      <c r="D432" s="1">
        <v>36396</v>
      </c>
      <c r="E432" t="s">
        <v>395</v>
      </c>
      <c r="F432">
        <v>0</v>
      </c>
      <c r="G432" t="s">
        <v>109</v>
      </c>
      <c r="H432">
        <v>190.16</v>
      </c>
      <c r="I432">
        <v>62</v>
      </c>
      <c r="J432">
        <v>-14.59</v>
      </c>
      <c r="K432">
        <v>70</v>
      </c>
      <c r="L432">
        <v>147.11000000000001</v>
      </c>
      <c r="M432">
        <v>68</v>
      </c>
      <c r="N432">
        <v>29.44</v>
      </c>
      <c r="O432">
        <v>49</v>
      </c>
      <c r="P432">
        <v>-10.220000000000001</v>
      </c>
      <c r="Q432">
        <v>56</v>
      </c>
      <c r="R432">
        <v>10.220000000000001</v>
      </c>
      <c r="S432">
        <v>35</v>
      </c>
      <c r="T432">
        <v>18.93</v>
      </c>
      <c r="U432">
        <v>43</v>
      </c>
      <c r="V432">
        <v>9.27</v>
      </c>
      <c r="W432">
        <v>44</v>
      </c>
      <c r="X432" t="s">
        <v>131</v>
      </c>
      <c r="Y432" t="s">
        <v>95</v>
      </c>
      <c r="Z432" t="s">
        <v>96</v>
      </c>
      <c r="AA432" t="s">
        <v>1599</v>
      </c>
      <c r="AB432" t="s">
        <v>144</v>
      </c>
      <c r="AC432">
        <v>0</v>
      </c>
      <c r="AD432">
        <v>0</v>
      </c>
      <c r="AE432">
        <v>70</v>
      </c>
      <c r="AF432">
        <v>-204.26</v>
      </c>
      <c r="AG432">
        <v>-4.1500000000000004</v>
      </c>
      <c r="AH432">
        <v>-4.1399999999999997</v>
      </c>
      <c r="AI432">
        <v>7.0000000000000007E-2</v>
      </c>
      <c r="AJ432">
        <v>0.05</v>
      </c>
      <c r="AK432">
        <v>68</v>
      </c>
      <c r="AL432">
        <v>0</v>
      </c>
      <c r="AM432">
        <v>0</v>
      </c>
      <c r="AN432">
        <v>-8.92</v>
      </c>
      <c r="AO432">
        <v>2.8</v>
      </c>
      <c r="AP432">
        <v>17</v>
      </c>
      <c r="AQ432">
        <v>0</v>
      </c>
      <c r="AR432">
        <v>4.17</v>
      </c>
      <c r="AS432">
        <v>24</v>
      </c>
      <c r="AT432">
        <v>1.85</v>
      </c>
      <c r="AU432">
        <v>66</v>
      </c>
      <c r="AV432">
        <v>-1.58</v>
      </c>
      <c r="AW432">
        <v>57</v>
      </c>
      <c r="AX432">
        <v>0.27</v>
      </c>
      <c r="AY432">
        <v>37</v>
      </c>
      <c r="AZ432">
        <v>6.24</v>
      </c>
      <c r="BA432">
        <v>19</v>
      </c>
      <c r="BB432">
        <v>4.9000000000000004</v>
      </c>
      <c r="BC432">
        <v>25</v>
      </c>
      <c r="BD432">
        <v>-0.03</v>
      </c>
      <c r="BE432">
        <v>-0.05</v>
      </c>
      <c r="BF432">
        <v>-0.09</v>
      </c>
      <c r="BG432">
        <v>40</v>
      </c>
      <c r="BH432">
        <v>0.13</v>
      </c>
      <c r="BI432">
        <v>-14.86</v>
      </c>
      <c r="BJ432">
        <v>0</v>
      </c>
      <c r="BK432">
        <v>0</v>
      </c>
      <c r="BL432">
        <v>-1.64</v>
      </c>
      <c r="BM432">
        <v>0.98</v>
      </c>
      <c r="BN432">
        <v>-1.54</v>
      </c>
      <c r="BO432">
        <v>-1.76</v>
      </c>
      <c r="BP432">
        <v>0.63</v>
      </c>
      <c r="BQ432">
        <v>-0.59</v>
      </c>
      <c r="BR432">
        <v>0.24</v>
      </c>
      <c r="BS432">
        <v>0.34</v>
      </c>
      <c r="BT432">
        <v>-0.68</v>
      </c>
      <c r="BU432">
        <v>-1.78</v>
      </c>
      <c r="BV432">
        <v>-2.75</v>
      </c>
      <c r="BW432">
        <v>-2.5499999999999998</v>
      </c>
      <c r="BX432">
        <v>-1.45</v>
      </c>
      <c r="BY432">
        <v>-1.38</v>
      </c>
      <c r="BZ432">
        <v>-0.96</v>
      </c>
      <c r="CA432">
        <v>-1.97</v>
      </c>
      <c r="CB432">
        <v>-2.2200000000000002</v>
      </c>
      <c r="CC432">
        <v>-0.72</v>
      </c>
      <c r="CD432">
        <v>1.33</v>
      </c>
      <c r="CE432">
        <v>-1.74</v>
      </c>
      <c r="CF432">
        <v>-1.79</v>
      </c>
      <c r="CG432">
        <v>0</v>
      </c>
      <c r="CH432">
        <v>-1.77</v>
      </c>
      <c r="CI432">
        <v>0</v>
      </c>
      <c r="CJ432">
        <v>-4.5</v>
      </c>
      <c r="CK432">
        <v>59</v>
      </c>
      <c r="CL432">
        <v>-0.22</v>
      </c>
      <c r="CM432">
        <v>54</v>
      </c>
      <c r="CN432">
        <v>0</v>
      </c>
      <c r="CO432">
        <v>50</v>
      </c>
      <c r="CP432">
        <v>-11.6</v>
      </c>
      <c r="CQ432">
        <v>51</v>
      </c>
      <c r="CR432">
        <v>0</v>
      </c>
      <c r="CS432">
        <v>0</v>
      </c>
      <c r="CT432">
        <v>-11.8</v>
      </c>
      <c r="CU432">
        <v>43</v>
      </c>
      <c r="CV432">
        <v>-0.03</v>
      </c>
      <c r="CW432">
        <v>15</v>
      </c>
      <c r="CX432" t="s">
        <v>2612</v>
      </c>
    </row>
    <row r="433" spans="1:102" x14ac:dyDescent="0.3">
      <c r="A433" t="str">
        <f>HYPERLINK("https://webapp.icbf.com/v2/app/bull-search/view/586041535","TTY")</f>
        <v>TTY</v>
      </c>
      <c r="B433" t="s">
        <v>2648</v>
      </c>
      <c r="C433" t="s">
        <v>2649</v>
      </c>
      <c r="D433" s="1">
        <v>38207</v>
      </c>
      <c r="E433" t="s">
        <v>92</v>
      </c>
      <c r="F433">
        <v>100</v>
      </c>
      <c r="G433" t="s">
        <v>93</v>
      </c>
      <c r="H433">
        <v>189.91</v>
      </c>
      <c r="I433">
        <v>96</v>
      </c>
      <c r="J433">
        <v>62.47</v>
      </c>
      <c r="K433">
        <v>99</v>
      </c>
      <c r="L433">
        <v>78.489999999999995</v>
      </c>
      <c r="M433">
        <v>92</v>
      </c>
      <c r="N433">
        <v>34.61</v>
      </c>
      <c r="O433">
        <v>97</v>
      </c>
      <c r="P433">
        <v>-10.029999999999999</v>
      </c>
      <c r="Q433">
        <v>99</v>
      </c>
      <c r="R433">
        <v>12.79</v>
      </c>
      <c r="S433">
        <v>93</v>
      </c>
      <c r="T433">
        <v>11.75</v>
      </c>
      <c r="U433">
        <v>98</v>
      </c>
      <c r="V433">
        <v>-0.17</v>
      </c>
      <c r="W433">
        <v>94</v>
      </c>
      <c r="X433" t="s">
        <v>94</v>
      </c>
      <c r="Y433" t="s">
        <v>235</v>
      </c>
      <c r="Z433" t="s">
        <v>96</v>
      </c>
      <c r="AA433" t="s">
        <v>316</v>
      </c>
      <c r="AB433" t="s">
        <v>2650</v>
      </c>
      <c r="AC433">
        <v>738</v>
      </c>
      <c r="AD433">
        <v>363</v>
      </c>
      <c r="AE433">
        <v>99</v>
      </c>
      <c r="AF433">
        <v>-4.87</v>
      </c>
      <c r="AG433">
        <v>14.19</v>
      </c>
      <c r="AH433">
        <v>5.53</v>
      </c>
      <c r="AI433">
        <v>0.25</v>
      </c>
      <c r="AJ433">
        <v>0.1</v>
      </c>
      <c r="AK433">
        <v>92</v>
      </c>
      <c r="AL433">
        <v>813</v>
      </c>
      <c r="AM433">
        <v>423</v>
      </c>
      <c r="AN433">
        <v>-3.47</v>
      </c>
      <c r="AO433">
        <v>2.8</v>
      </c>
      <c r="AP433">
        <v>1337</v>
      </c>
      <c r="AQ433">
        <v>14</v>
      </c>
      <c r="AR433">
        <v>3.95</v>
      </c>
      <c r="AS433">
        <v>96</v>
      </c>
      <c r="AT433">
        <v>1.85</v>
      </c>
      <c r="AU433">
        <v>97</v>
      </c>
      <c r="AV433">
        <v>-1.88</v>
      </c>
      <c r="AW433">
        <v>99</v>
      </c>
      <c r="AX433">
        <v>-0.04</v>
      </c>
      <c r="AY433">
        <v>97</v>
      </c>
      <c r="AZ433">
        <v>5.74</v>
      </c>
      <c r="BA433">
        <v>91</v>
      </c>
      <c r="BB433">
        <v>4.72</v>
      </c>
      <c r="BC433">
        <v>92</v>
      </c>
      <c r="BD433">
        <v>-0.03</v>
      </c>
      <c r="BE433">
        <v>-0.06</v>
      </c>
      <c r="BF433">
        <v>-0.13</v>
      </c>
      <c r="BG433">
        <v>97</v>
      </c>
      <c r="BH433">
        <v>0.05</v>
      </c>
      <c r="BI433">
        <v>6.34</v>
      </c>
      <c r="BJ433">
        <v>19</v>
      </c>
      <c r="BK433">
        <v>13</v>
      </c>
      <c r="BL433">
        <v>-0.37</v>
      </c>
      <c r="BM433">
        <v>1.01</v>
      </c>
      <c r="BN433">
        <v>-0.6</v>
      </c>
      <c r="BO433">
        <v>-0.95</v>
      </c>
      <c r="BP433">
        <v>-1.58</v>
      </c>
      <c r="BQ433">
        <v>-1.38</v>
      </c>
      <c r="BR433">
        <v>-2.16</v>
      </c>
      <c r="BS433">
        <v>1.29</v>
      </c>
      <c r="BT433">
        <v>0.62</v>
      </c>
      <c r="BU433">
        <v>0.44</v>
      </c>
      <c r="BV433">
        <v>7.0000000000000007E-2</v>
      </c>
      <c r="BW433">
        <v>-0.82</v>
      </c>
      <c r="BX433">
        <v>0</v>
      </c>
      <c r="BY433">
        <v>-0.23</v>
      </c>
      <c r="BZ433">
        <v>0.67</v>
      </c>
      <c r="CA433">
        <v>0.82</v>
      </c>
      <c r="CB433">
        <v>0.24</v>
      </c>
      <c r="CC433">
        <v>1.45</v>
      </c>
      <c r="CD433">
        <v>1.39</v>
      </c>
      <c r="CE433">
        <v>-0.39</v>
      </c>
      <c r="CF433">
        <v>-0.96</v>
      </c>
      <c r="CG433">
        <v>0</v>
      </c>
      <c r="CH433">
        <v>-0.26</v>
      </c>
      <c r="CI433">
        <v>0</v>
      </c>
      <c r="CJ433">
        <v>-2.8</v>
      </c>
      <c r="CK433">
        <v>99</v>
      </c>
      <c r="CL433">
        <v>-0.8</v>
      </c>
      <c r="CM433">
        <v>99</v>
      </c>
      <c r="CN433">
        <v>-0.25</v>
      </c>
      <c r="CO433">
        <v>99</v>
      </c>
      <c r="CP433">
        <v>-5.6</v>
      </c>
      <c r="CQ433">
        <v>98</v>
      </c>
      <c r="CR433">
        <v>0</v>
      </c>
      <c r="CS433">
        <v>0</v>
      </c>
      <c r="CT433">
        <v>-2.1</v>
      </c>
      <c r="CU433">
        <v>98</v>
      </c>
      <c r="CV433">
        <v>0.17</v>
      </c>
      <c r="CW433">
        <v>50</v>
      </c>
      <c r="CX433" t="s">
        <v>1380</v>
      </c>
    </row>
    <row r="434" spans="1:102" x14ac:dyDescent="0.3">
      <c r="A434" t="str">
        <f>HYPERLINK("https://webapp.icbf.com/v2/app/bull-search/view/1138418969","FR2004")</f>
        <v>FR2004</v>
      </c>
      <c r="B434" t="s">
        <v>13486</v>
      </c>
      <c r="C434" t="s">
        <v>13487</v>
      </c>
      <c r="D434" s="1">
        <v>41675</v>
      </c>
      <c r="E434" t="s">
        <v>92</v>
      </c>
      <c r="F434">
        <v>84</v>
      </c>
      <c r="G434" t="s">
        <v>93</v>
      </c>
      <c r="H434">
        <v>189.88</v>
      </c>
      <c r="I434">
        <v>90</v>
      </c>
      <c r="J434">
        <v>63.94</v>
      </c>
      <c r="K434">
        <v>99</v>
      </c>
      <c r="L434">
        <v>77.42</v>
      </c>
      <c r="M434">
        <v>82</v>
      </c>
      <c r="N434">
        <v>50.87</v>
      </c>
      <c r="O434">
        <v>93</v>
      </c>
      <c r="P434">
        <v>-5.79</v>
      </c>
      <c r="Q434">
        <v>98</v>
      </c>
      <c r="R434">
        <v>-8.8699999999999992</v>
      </c>
      <c r="S434">
        <v>85</v>
      </c>
      <c r="T434">
        <v>4.87</v>
      </c>
      <c r="U434">
        <v>89</v>
      </c>
      <c r="V434">
        <v>7.44</v>
      </c>
      <c r="W434">
        <v>76</v>
      </c>
      <c r="X434" t="s">
        <v>94</v>
      </c>
      <c r="Y434" t="s">
        <v>416</v>
      </c>
      <c r="Z434" t="s">
        <v>96</v>
      </c>
      <c r="AA434" t="s">
        <v>5809</v>
      </c>
      <c r="AB434" t="s">
        <v>13488</v>
      </c>
      <c r="AC434">
        <v>873</v>
      </c>
      <c r="AD434">
        <v>365</v>
      </c>
      <c r="AE434">
        <v>99</v>
      </c>
      <c r="AF434">
        <v>291.83999999999997</v>
      </c>
      <c r="AG434">
        <v>8.74</v>
      </c>
      <c r="AH434">
        <v>12.25</v>
      </c>
      <c r="AI434">
        <v>-0.04</v>
      </c>
      <c r="AJ434">
        <v>0.04</v>
      </c>
      <c r="AK434">
        <v>82</v>
      </c>
      <c r="AL434">
        <v>155</v>
      </c>
      <c r="AM434">
        <v>96</v>
      </c>
      <c r="AN434">
        <v>-3.77</v>
      </c>
      <c r="AO434">
        <v>2.41</v>
      </c>
      <c r="AP434">
        <v>2515</v>
      </c>
      <c r="AQ434">
        <v>5</v>
      </c>
      <c r="AR434">
        <v>5.34</v>
      </c>
      <c r="AS434">
        <v>96</v>
      </c>
      <c r="AT434">
        <v>2.14</v>
      </c>
      <c r="AU434">
        <v>98</v>
      </c>
      <c r="AV434">
        <v>-4.0999999999999996</v>
      </c>
      <c r="AW434">
        <v>99</v>
      </c>
      <c r="AX434">
        <v>-1.02</v>
      </c>
      <c r="AY434">
        <v>97</v>
      </c>
      <c r="AZ434">
        <v>5.21</v>
      </c>
      <c r="BA434">
        <v>91</v>
      </c>
      <c r="BB434">
        <v>4.76</v>
      </c>
      <c r="BC434">
        <v>59</v>
      </c>
      <c r="BD434">
        <v>0</v>
      </c>
      <c r="BE434">
        <v>0.06</v>
      </c>
      <c r="BF434">
        <v>0.09</v>
      </c>
      <c r="BG434">
        <v>97</v>
      </c>
      <c r="BH434">
        <v>0.06</v>
      </c>
      <c r="BI434">
        <v>-17.059999999999999</v>
      </c>
      <c r="BJ434">
        <v>5</v>
      </c>
      <c r="BK434">
        <v>4</v>
      </c>
      <c r="BL434">
        <v>-1.08</v>
      </c>
      <c r="BM434">
        <v>0.56000000000000005</v>
      </c>
      <c r="BN434">
        <v>-2.35</v>
      </c>
      <c r="BO434">
        <v>-1.89</v>
      </c>
      <c r="BP434">
        <v>6.07</v>
      </c>
      <c r="BQ434">
        <v>-0.5</v>
      </c>
      <c r="BR434">
        <v>-2.5099999999999998</v>
      </c>
      <c r="BS434">
        <v>1.45</v>
      </c>
      <c r="BT434">
        <v>1.81</v>
      </c>
      <c r="BU434">
        <v>-0.51</v>
      </c>
      <c r="BV434">
        <v>-1.71</v>
      </c>
      <c r="BW434">
        <v>-1.48</v>
      </c>
      <c r="BX434">
        <v>0.7</v>
      </c>
      <c r="BY434">
        <v>-1.07</v>
      </c>
      <c r="BZ434">
        <v>1.17</v>
      </c>
      <c r="CA434">
        <v>-0.66</v>
      </c>
      <c r="CB434">
        <v>-1.06</v>
      </c>
      <c r="CC434">
        <v>0.9</v>
      </c>
      <c r="CD434">
        <v>2.04</v>
      </c>
      <c r="CE434">
        <v>-1.31</v>
      </c>
      <c r="CF434">
        <v>-0.98</v>
      </c>
      <c r="CG434">
        <v>0</v>
      </c>
      <c r="CH434">
        <v>0.31</v>
      </c>
      <c r="CI434">
        <v>0</v>
      </c>
      <c r="CJ434">
        <v>-2.8</v>
      </c>
      <c r="CK434">
        <v>99</v>
      </c>
      <c r="CL434">
        <v>-0.33</v>
      </c>
      <c r="CM434">
        <v>99</v>
      </c>
      <c r="CN434">
        <v>-0.08</v>
      </c>
      <c r="CO434">
        <v>99</v>
      </c>
      <c r="CP434">
        <v>3.6</v>
      </c>
      <c r="CQ434">
        <v>81</v>
      </c>
      <c r="CR434">
        <v>0</v>
      </c>
      <c r="CS434">
        <v>0</v>
      </c>
      <c r="CT434">
        <v>7.2</v>
      </c>
      <c r="CU434">
        <v>89</v>
      </c>
      <c r="CV434">
        <v>0.03</v>
      </c>
      <c r="CW434">
        <v>47</v>
      </c>
      <c r="CX434" t="s">
        <v>12723</v>
      </c>
    </row>
    <row r="435" spans="1:102" x14ac:dyDescent="0.3">
      <c r="A435" t="str">
        <f>HYPERLINK("https://webapp.icbf.com/v2/app/bull-search/view/1352027441","FR4162")</f>
        <v>FR4162</v>
      </c>
      <c r="B435" t="s">
        <v>15500</v>
      </c>
      <c r="C435" t="s">
        <v>15501</v>
      </c>
      <c r="D435" s="1">
        <v>42392</v>
      </c>
      <c r="E435" t="s">
        <v>92</v>
      </c>
      <c r="F435">
        <v>75</v>
      </c>
      <c r="G435" t="s">
        <v>435</v>
      </c>
      <c r="H435">
        <v>189.8</v>
      </c>
      <c r="I435">
        <v>73</v>
      </c>
      <c r="J435">
        <v>-0.53</v>
      </c>
      <c r="K435">
        <v>89</v>
      </c>
      <c r="L435">
        <v>124.65</v>
      </c>
      <c r="M435">
        <v>64</v>
      </c>
      <c r="N435">
        <v>61.96</v>
      </c>
      <c r="O435">
        <v>82</v>
      </c>
      <c r="P435">
        <v>-9.66</v>
      </c>
      <c r="Q435">
        <v>73</v>
      </c>
      <c r="R435">
        <v>7.26</v>
      </c>
      <c r="S435">
        <v>63</v>
      </c>
      <c r="T435">
        <v>2.36</v>
      </c>
      <c r="U435">
        <v>52</v>
      </c>
      <c r="V435">
        <v>3.76</v>
      </c>
      <c r="W435">
        <v>57</v>
      </c>
      <c r="X435" t="s">
        <v>94</v>
      </c>
      <c r="Y435" t="s">
        <v>2255</v>
      </c>
      <c r="Z435" t="s">
        <v>96</v>
      </c>
      <c r="AA435" t="s">
        <v>2499</v>
      </c>
      <c r="AB435" t="s">
        <v>15502</v>
      </c>
      <c r="AC435">
        <v>0</v>
      </c>
      <c r="AD435">
        <v>0</v>
      </c>
      <c r="AE435">
        <v>89</v>
      </c>
      <c r="AF435">
        <v>-123.27</v>
      </c>
      <c r="AG435">
        <v>-4.71</v>
      </c>
      <c r="AH435">
        <v>-0.31</v>
      </c>
      <c r="AI435">
        <v>0</v>
      </c>
      <c r="AJ435">
        <v>7.0000000000000007E-2</v>
      </c>
      <c r="AK435">
        <v>64</v>
      </c>
      <c r="AL435">
        <v>0</v>
      </c>
      <c r="AM435">
        <v>0</v>
      </c>
      <c r="AN435">
        <v>-6.06</v>
      </c>
      <c r="AO435">
        <v>3.89</v>
      </c>
      <c r="AP435">
        <v>376</v>
      </c>
      <c r="AQ435">
        <v>1</v>
      </c>
      <c r="AR435">
        <v>6.49</v>
      </c>
      <c r="AS435">
        <v>57</v>
      </c>
      <c r="AT435">
        <v>2.1800000000000002</v>
      </c>
      <c r="AU435">
        <v>91</v>
      </c>
      <c r="AV435">
        <v>-5.69</v>
      </c>
      <c r="AW435">
        <v>98</v>
      </c>
      <c r="AX435">
        <v>-0.54</v>
      </c>
      <c r="AY435">
        <v>83</v>
      </c>
      <c r="AZ435">
        <v>5.32</v>
      </c>
      <c r="BA435">
        <v>44</v>
      </c>
      <c r="BB435">
        <v>4.2</v>
      </c>
      <c r="BC435">
        <v>40</v>
      </c>
      <c r="BD435">
        <v>-0.03</v>
      </c>
      <c r="BE435">
        <v>-0.03</v>
      </c>
      <c r="BF435">
        <v>-0.06</v>
      </c>
      <c r="BG435">
        <v>74</v>
      </c>
      <c r="BH435">
        <v>0</v>
      </c>
      <c r="BI435">
        <v>-12.12</v>
      </c>
      <c r="BJ435">
        <v>0</v>
      </c>
      <c r="BK435">
        <v>0</v>
      </c>
      <c r="BL435">
        <v>-0.35</v>
      </c>
      <c r="BM435">
        <v>0.97</v>
      </c>
      <c r="BN435">
        <v>-0.71</v>
      </c>
      <c r="BO435">
        <v>-0.97</v>
      </c>
      <c r="BP435">
        <v>0.34</v>
      </c>
      <c r="BQ435">
        <v>-0.27</v>
      </c>
      <c r="BR435">
        <v>-0.65</v>
      </c>
      <c r="BS435">
        <v>0.3</v>
      </c>
      <c r="BT435">
        <v>-0.6</v>
      </c>
      <c r="BU435">
        <v>0.59</v>
      </c>
      <c r="BV435">
        <v>-0.49</v>
      </c>
      <c r="BW435">
        <v>-1.04</v>
      </c>
      <c r="BX435">
        <v>1.29</v>
      </c>
      <c r="BY435">
        <v>-0.98</v>
      </c>
      <c r="BZ435">
        <v>-0.59</v>
      </c>
      <c r="CA435">
        <v>-0.3</v>
      </c>
      <c r="CB435">
        <v>-0.01</v>
      </c>
      <c r="CC435">
        <v>-0.35</v>
      </c>
      <c r="CD435">
        <v>1.62</v>
      </c>
      <c r="CE435">
        <v>-1.05</v>
      </c>
      <c r="CF435">
        <v>-0.19</v>
      </c>
      <c r="CG435">
        <v>0</v>
      </c>
      <c r="CH435">
        <v>0.14000000000000001</v>
      </c>
      <c r="CI435">
        <v>0</v>
      </c>
      <c r="CJ435">
        <v>-6.1</v>
      </c>
      <c r="CK435">
        <v>78</v>
      </c>
      <c r="CL435">
        <v>-0.49</v>
      </c>
      <c r="CM435">
        <v>69</v>
      </c>
      <c r="CN435">
        <v>-0.31</v>
      </c>
      <c r="CO435">
        <v>68</v>
      </c>
      <c r="CP435">
        <v>1.2</v>
      </c>
      <c r="CQ435">
        <v>54</v>
      </c>
      <c r="CR435">
        <v>0</v>
      </c>
      <c r="CS435">
        <v>0</v>
      </c>
      <c r="CT435">
        <v>10.6</v>
      </c>
      <c r="CU435">
        <v>52</v>
      </c>
      <c r="CV435">
        <v>0.02</v>
      </c>
      <c r="CW435">
        <v>42</v>
      </c>
      <c r="CX435" t="s">
        <v>5393</v>
      </c>
    </row>
    <row r="436" spans="1:102" x14ac:dyDescent="0.3">
      <c r="A436" t="str">
        <f>HYPERLINK("https://webapp.icbf.com/v2/app/bull-search/view/760400667","MSF")</f>
        <v>MSF</v>
      </c>
      <c r="B436" t="s">
        <v>1829</v>
      </c>
      <c r="C436" t="s">
        <v>1830</v>
      </c>
      <c r="D436" s="1">
        <v>40031</v>
      </c>
      <c r="E436" t="s">
        <v>92</v>
      </c>
      <c r="F436">
        <v>56</v>
      </c>
      <c r="G436" t="s">
        <v>93</v>
      </c>
      <c r="H436">
        <v>189.68</v>
      </c>
      <c r="I436">
        <v>96</v>
      </c>
      <c r="J436">
        <v>151.87</v>
      </c>
      <c r="K436">
        <v>99</v>
      </c>
      <c r="L436">
        <v>8.0299999999999994</v>
      </c>
      <c r="M436">
        <v>93</v>
      </c>
      <c r="N436">
        <v>39.380000000000003</v>
      </c>
      <c r="O436">
        <v>98</v>
      </c>
      <c r="P436">
        <v>-30.48</v>
      </c>
      <c r="Q436">
        <v>99</v>
      </c>
      <c r="R436">
        <v>-4.26</v>
      </c>
      <c r="S436">
        <v>95</v>
      </c>
      <c r="T436">
        <v>19.45</v>
      </c>
      <c r="U436">
        <v>99</v>
      </c>
      <c r="V436">
        <v>5.69</v>
      </c>
      <c r="W436">
        <v>79</v>
      </c>
      <c r="X436" t="s">
        <v>276</v>
      </c>
      <c r="Y436" t="s">
        <v>422</v>
      </c>
      <c r="Z436" t="s">
        <v>330</v>
      </c>
      <c r="AA436" t="s">
        <v>1831</v>
      </c>
      <c r="AB436" t="s">
        <v>144</v>
      </c>
      <c r="AC436">
        <v>2241</v>
      </c>
      <c r="AD436">
        <v>559</v>
      </c>
      <c r="AE436">
        <v>99</v>
      </c>
      <c r="AF436">
        <v>388</v>
      </c>
      <c r="AG436">
        <v>18.170000000000002</v>
      </c>
      <c r="AH436">
        <v>25.34</v>
      </c>
      <c r="AI436">
        <v>0.05</v>
      </c>
      <c r="AJ436">
        <v>0.2</v>
      </c>
      <c r="AK436">
        <v>93</v>
      </c>
      <c r="AL436">
        <v>2470</v>
      </c>
      <c r="AM436">
        <v>669</v>
      </c>
      <c r="AN436">
        <v>-0.45</v>
      </c>
      <c r="AO436">
        <v>0.19</v>
      </c>
      <c r="AP436">
        <v>4609</v>
      </c>
      <c r="AQ436">
        <v>27</v>
      </c>
      <c r="AR436">
        <v>5.6</v>
      </c>
      <c r="AS436">
        <v>97</v>
      </c>
      <c r="AT436">
        <v>2.23</v>
      </c>
      <c r="AU436">
        <v>99</v>
      </c>
      <c r="AV436">
        <v>-3.48</v>
      </c>
      <c r="AW436">
        <v>99</v>
      </c>
      <c r="AX436">
        <v>0.03</v>
      </c>
      <c r="AY436">
        <v>99</v>
      </c>
      <c r="AZ436">
        <v>6.22</v>
      </c>
      <c r="BA436">
        <v>96</v>
      </c>
      <c r="BB436">
        <v>5.0199999999999996</v>
      </c>
      <c r="BC436">
        <v>95</v>
      </c>
      <c r="BD436">
        <v>-0.03</v>
      </c>
      <c r="BE436">
        <v>0.02</v>
      </c>
      <c r="BF436">
        <v>0.11</v>
      </c>
      <c r="BG436">
        <v>99</v>
      </c>
      <c r="BH436">
        <v>0.03</v>
      </c>
      <c r="BI436">
        <v>-14.9</v>
      </c>
      <c r="BJ436">
        <v>11</v>
      </c>
      <c r="BK436">
        <v>4</v>
      </c>
      <c r="BL436">
        <v>-2.09</v>
      </c>
      <c r="BM436">
        <v>1.69</v>
      </c>
      <c r="BN436">
        <v>0.31</v>
      </c>
      <c r="BO436">
        <v>-0.69</v>
      </c>
      <c r="BP436">
        <v>1.6</v>
      </c>
      <c r="BQ436">
        <v>-0.25</v>
      </c>
      <c r="BR436">
        <v>1.79</v>
      </c>
      <c r="BS436">
        <v>0.83</v>
      </c>
      <c r="BT436">
        <v>-0.99</v>
      </c>
      <c r="BU436">
        <v>-1.97</v>
      </c>
      <c r="BV436">
        <v>-1.77</v>
      </c>
      <c r="BW436">
        <v>-2.25</v>
      </c>
      <c r="BX436">
        <v>-3.85</v>
      </c>
      <c r="BY436">
        <v>-2.57</v>
      </c>
      <c r="BZ436">
        <v>3.53</v>
      </c>
      <c r="CA436">
        <v>-1.43</v>
      </c>
      <c r="CB436">
        <v>-1.98</v>
      </c>
      <c r="CC436">
        <v>0.73</v>
      </c>
      <c r="CD436">
        <v>1.72</v>
      </c>
      <c r="CE436">
        <v>0.18</v>
      </c>
      <c r="CF436">
        <v>-2.39</v>
      </c>
      <c r="CG436">
        <v>0</v>
      </c>
      <c r="CH436">
        <v>-2.7</v>
      </c>
      <c r="CI436">
        <v>0</v>
      </c>
      <c r="CJ436">
        <v>-14</v>
      </c>
      <c r="CK436">
        <v>99</v>
      </c>
      <c r="CL436">
        <v>-0.65</v>
      </c>
      <c r="CM436">
        <v>99</v>
      </c>
      <c r="CN436">
        <v>0.18</v>
      </c>
      <c r="CO436">
        <v>99</v>
      </c>
      <c r="CP436">
        <v>-15.6</v>
      </c>
      <c r="CQ436">
        <v>98</v>
      </c>
      <c r="CR436">
        <v>0</v>
      </c>
      <c r="CS436">
        <v>0</v>
      </c>
      <c r="CT436">
        <v>-12.5</v>
      </c>
      <c r="CU436">
        <v>99</v>
      </c>
      <c r="CV436">
        <v>0.03</v>
      </c>
      <c r="CW436">
        <v>49</v>
      </c>
      <c r="CX436" t="s">
        <v>333</v>
      </c>
    </row>
    <row r="437" spans="1:102" x14ac:dyDescent="0.3">
      <c r="A437" t="str">
        <f>HYPERLINK("https://webapp.icbf.com/v2/app/bull-search/view/556717949","MWA")</f>
        <v>MWA</v>
      </c>
      <c r="B437" t="s">
        <v>8938</v>
      </c>
      <c r="C437" t="s">
        <v>8939</v>
      </c>
      <c r="D437" s="1">
        <v>39484</v>
      </c>
      <c r="E437" t="s">
        <v>92</v>
      </c>
      <c r="F437">
        <v>53</v>
      </c>
      <c r="G437" t="s">
        <v>93</v>
      </c>
      <c r="H437">
        <v>189.53</v>
      </c>
      <c r="I437">
        <v>90</v>
      </c>
      <c r="J437">
        <v>31.71</v>
      </c>
      <c r="K437">
        <v>98</v>
      </c>
      <c r="L437">
        <v>104.68</v>
      </c>
      <c r="M437">
        <v>82</v>
      </c>
      <c r="N437">
        <v>41.47</v>
      </c>
      <c r="O437">
        <v>90</v>
      </c>
      <c r="P437">
        <v>-27.74</v>
      </c>
      <c r="Q437">
        <v>93</v>
      </c>
      <c r="R437">
        <v>3.15</v>
      </c>
      <c r="S437">
        <v>85</v>
      </c>
      <c r="T437">
        <v>31.81</v>
      </c>
      <c r="U437">
        <v>91</v>
      </c>
      <c r="V437">
        <v>4.45</v>
      </c>
      <c r="W437">
        <v>87</v>
      </c>
      <c r="X437" t="s">
        <v>94</v>
      </c>
      <c r="Y437" t="s">
        <v>4217</v>
      </c>
      <c r="Z437" t="s">
        <v>330</v>
      </c>
      <c r="AA437" t="s">
        <v>4088</v>
      </c>
      <c r="AB437" t="s">
        <v>8940</v>
      </c>
      <c r="AC437">
        <v>158</v>
      </c>
      <c r="AD437">
        <v>96</v>
      </c>
      <c r="AE437">
        <v>98</v>
      </c>
      <c r="AF437">
        <v>-80.25</v>
      </c>
      <c r="AG437">
        <v>3.35</v>
      </c>
      <c r="AH437">
        <v>2.98</v>
      </c>
      <c r="AI437">
        <v>0.11</v>
      </c>
      <c r="AJ437">
        <v>0.1</v>
      </c>
      <c r="AK437">
        <v>82</v>
      </c>
      <c r="AL437">
        <v>162</v>
      </c>
      <c r="AM437">
        <v>97</v>
      </c>
      <c r="AN437">
        <v>-4.79</v>
      </c>
      <c r="AO437">
        <v>3.57</v>
      </c>
      <c r="AP437">
        <v>325</v>
      </c>
      <c r="AQ437">
        <v>5</v>
      </c>
      <c r="AR437">
        <v>4.66</v>
      </c>
      <c r="AS437">
        <v>83</v>
      </c>
      <c r="AT437">
        <v>1.95</v>
      </c>
      <c r="AU437">
        <v>91</v>
      </c>
      <c r="AV437">
        <v>-3.15</v>
      </c>
      <c r="AW437">
        <v>98</v>
      </c>
      <c r="AX437">
        <v>-1.07</v>
      </c>
      <c r="AY437">
        <v>87</v>
      </c>
      <c r="AZ437">
        <v>7.12</v>
      </c>
      <c r="BA437">
        <v>73</v>
      </c>
      <c r="BB437">
        <v>5.12</v>
      </c>
      <c r="BC437">
        <v>77</v>
      </c>
      <c r="BD437">
        <v>-0.05</v>
      </c>
      <c r="BE437">
        <v>-0.01</v>
      </c>
      <c r="BF437">
        <v>0.03</v>
      </c>
      <c r="BG437">
        <v>92</v>
      </c>
      <c r="BH437">
        <v>0.04</v>
      </c>
      <c r="BI437">
        <v>-9.7200000000000006</v>
      </c>
      <c r="BJ437">
        <v>36</v>
      </c>
      <c r="BK437">
        <v>23</v>
      </c>
      <c r="BL437">
        <v>-2</v>
      </c>
      <c r="BM437">
        <v>-0.56999999999999995</v>
      </c>
      <c r="BN437">
        <v>-1.8</v>
      </c>
      <c r="BO437">
        <v>-1.0900000000000001</v>
      </c>
      <c r="BP437">
        <v>0.64</v>
      </c>
      <c r="BQ437">
        <v>-3.23</v>
      </c>
      <c r="BR437">
        <v>-0.42</v>
      </c>
      <c r="BS437">
        <v>-1.1599999999999999</v>
      </c>
      <c r="BT437">
        <v>-0.25</v>
      </c>
      <c r="BU437">
        <v>-1.56</v>
      </c>
      <c r="BV437">
        <v>-1.82</v>
      </c>
      <c r="BW437">
        <v>-2.42</v>
      </c>
      <c r="BX437">
        <v>-1.77</v>
      </c>
      <c r="BY437">
        <v>-2.5299999999999998</v>
      </c>
      <c r="BZ437">
        <v>-0.5</v>
      </c>
      <c r="CA437">
        <v>-1.9</v>
      </c>
      <c r="CB437">
        <v>-2.25</v>
      </c>
      <c r="CC437">
        <v>-0.33</v>
      </c>
      <c r="CD437">
        <v>0.01</v>
      </c>
      <c r="CE437">
        <v>-1.35</v>
      </c>
      <c r="CF437">
        <v>-2.69</v>
      </c>
      <c r="CG437">
        <v>0</v>
      </c>
      <c r="CH437">
        <v>-2.4</v>
      </c>
      <c r="CI437">
        <v>0</v>
      </c>
      <c r="CJ437">
        <v>-14.1</v>
      </c>
      <c r="CK437">
        <v>94</v>
      </c>
      <c r="CL437">
        <v>-0.64</v>
      </c>
      <c r="CM437">
        <v>93</v>
      </c>
      <c r="CN437">
        <v>-0.13</v>
      </c>
      <c r="CO437">
        <v>92</v>
      </c>
      <c r="CP437">
        <v>-21.3</v>
      </c>
      <c r="CQ437">
        <v>91</v>
      </c>
      <c r="CR437">
        <v>0</v>
      </c>
      <c r="CS437">
        <v>0</v>
      </c>
      <c r="CT437">
        <v>-29.2</v>
      </c>
      <c r="CU437">
        <v>91</v>
      </c>
      <c r="CV437">
        <v>-0.14000000000000001</v>
      </c>
      <c r="CW437">
        <v>45</v>
      </c>
      <c r="CX437" t="s">
        <v>1390</v>
      </c>
    </row>
    <row r="438" spans="1:102" x14ac:dyDescent="0.3">
      <c r="A438" t="str">
        <f>HYPERLINK("https://webapp.icbf.com/v2/app/bull-search/view/480740542","UPH")</f>
        <v>UPH</v>
      </c>
      <c r="B438" t="s">
        <v>7491</v>
      </c>
      <c r="C438" t="s">
        <v>1865</v>
      </c>
      <c r="D438" s="1">
        <v>38692</v>
      </c>
      <c r="E438" t="s">
        <v>92</v>
      </c>
      <c r="F438">
        <v>100</v>
      </c>
      <c r="G438" t="s">
        <v>93</v>
      </c>
      <c r="H438">
        <v>189.41</v>
      </c>
      <c r="I438">
        <v>99</v>
      </c>
      <c r="J438">
        <v>74.260000000000005</v>
      </c>
      <c r="K438">
        <v>99</v>
      </c>
      <c r="L438">
        <v>71.86</v>
      </c>
      <c r="M438">
        <v>98</v>
      </c>
      <c r="N438">
        <v>34.06</v>
      </c>
      <c r="O438">
        <v>99</v>
      </c>
      <c r="P438">
        <v>-16.78</v>
      </c>
      <c r="Q438">
        <v>99</v>
      </c>
      <c r="R438">
        <v>14.54</v>
      </c>
      <c r="S438">
        <v>99</v>
      </c>
      <c r="T438">
        <v>12.86</v>
      </c>
      <c r="U438">
        <v>99</v>
      </c>
      <c r="V438">
        <v>-1.39</v>
      </c>
      <c r="W438">
        <v>99</v>
      </c>
      <c r="X438" t="s">
        <v>94</v>
      </c>
      <c r="Y438" t="s">
        <v>1423</v>
      </c>
      <c r="Z438" t="s">
        <v>96</v>
      </c>
      <c r="AA438" t="s">
        <v>316</v>
      </c>
      <c r="AB438" t="s">
        <v>1379</v>
      </c>
      <c r="AC438">
        <v>10670</v>
      </c>
      <c r="AD438">
        <v>2823</v>
      </c>
      <c r="AE438">
        <v>99</v>
      </c>
      <c r="AF438">
        <v>47.48</v>
      </c>
      <c r="AG438">
        <v>12.85</v>
      </c>
      <c r="AH438">
        <v>8.81</v>
      </c>
      <c r="AI438">
        <v>0.19</v>
      </c>
      <c r="AJ438">
        <v>0.12</v>
      </c>
      <c r="AK438">
        <v>98</v>
      </c>
      <c r="AL438">
        <v>12481</v>
      </c>
      <c r="AM438">
        <v>3838</v>
      </c>
      <c r="AN438">
        <v>-3.21</v>
      </c>
      <c r="AO438">
        <v>2.5299999999999998</v>
      </c>
      <c r="AP438">
        <v>18983</v>
      </c>
      <c r="AQ438">
        <v>176</v>
      </c>
      <c r="AR438">
        <v>3.88</v>
      </c>
      <c r="AS438">
        <v>99</v>
      </c>
      <c r="AT438">
        <v>1.72</v>
      </c>
      <c r="AU438">
        <v>99</v>
      </c>
      <c r="AV438">
        <v>-1.9</v>
      </c>
      <c r="AW438">
        <v>99</v>
      </c>
      <c r="AX438">
        <v>0.04</v>
      </c>
      <c r="AY438">
        <v>99</v>
      </c>
      <c r="AZ438">
        <v>5.76</v>
      </c>
      <c r="BA438">
        <v>99</v>
      </c>
      <c r="BB438">
        <v>4.9800000000000004</v>
      </c>
      <c r="BC438">
        <v>99</v>
      </c>
      <c r="BD438">
        <v>-0.05</v>
      </c>
      <c r="BE438">
        <v>-0.09</v>
      </c>
      <c r="BF438">
        <v>-0.08</v>
      </c>
      <c r="BG438">
        <v>99</v>
      </c>
      <c r="BH438">
        <v>-0.25</v>
      </c>
      <c r="BI438">
        <v>-24.42</v>
      </c>
      <c r="BJ438">
        <v>456</v>
      </c>
      <c r="BK438">
        <v>171</v>
      </c>
      <c r="BL438">
        <v>-7.0000000000000007E-2</v>
      </c>
      <c r="BM438">
        <v>0.01</v>
      </c>
      <c r="BN438">
        <v>-0.14000000000000001</v>
      </c>
      <c r="BO438">
        <v>-0.35</v>
      </c>
      <c r="BP438">
        <v>-1.59</v>
      </c>
      <c r="BQ438">
        <v>-1.64</v>
      </c>
      <c r="BR438">
        <v>-0.48</v>
      </c>
      <c r="BS438">
        <v>-2.17</v>
      </c>
      <c r="BT438">
        <v>-0.52</v>
      </c>
      <c r="BU438">
        <v>0.01</v>
      </c>
      <c r="BV438">
        <v>-0.93</v>
      </c>
      <c r="BW438">
        <v>-1.34</v>
      </c>
      <c r="BX438">
        <v>0.1</v>
      </c>
      <c r="BY438">
        <v>-0.42</v>
      </c>
      <c r="BZ438">
        <v>-2.61</v>
      </c>
      <c r="CA438">
        <v>-1.26</v>
      </c>
      <c r="CB438">
        <v>-0.89</v>
      </c>
      <c r="CC438">
        <v>-1.48</v>
      </c>
      <c r="CD438">
        <v>-0.26</v>
      </c>
      <c r="CE438">
        <v>-0.35</v>
      </c>
      <c r="CF438">
        <v>-0.88</v>
      </c>
      <c r="CG438">
        <v>0</v>
      </c>
      <c r="CH438">
        <v>-0.41</v>
      </c>
      <c r="CI438">
        <v>0</v>
      </c>
      <c r="CJ438">
        <v>-6.9</v>
      </c>
      <c r="CK438">
        <v>99</v>
      </c>
      <c r="CL438">
        <v>-1.06</v>
      </c>
      <c r="CM438">
        <v>99</v>
      </c>
      <c r="CN438">
        <v>-0.33</v>
      </c>
      <c r="CO438">
        <v>99</v>
      </c>
      <c r="CP438">
        <v>-1.2</v>
      </c>
      <c r="CQ438">
        <v>99</v>
      </c>
      <c r="CR438">
        <v>0</v>
      </c>
      <c r="CS438">
        <v>0</v>
      </c>
      <c r="CT438">
        <v>-3.6</v>
      </c>
      <c r="CU438">
        <v>99</v>
      </c>
      <c r="CV438">
        <v>0.27</v>
      </c>
      <c r="CW438">
        <v>56</v>
      </c>
      <c r="CX438" t="s">
        <v>1380</v>
      </c>
    </row>
    <row r="439" spans="1:102" x14ac:dyDescent="0.3">
      <c r="A439" t="str">
        <f>HYPERLINK("https://webapp.icbf.com/v2/app/bull-search/view/1361575540","S3233")</f>
        <v>S3233</v>
      </c>
      <c r="B439" t="s">
        <v>6269</v>
      </c>
      <c r="C439" t="s">
        <v>6270</v>
      </c>
      <c r="D439" s="1">
        <v>42115</v>
      </c>
      <c r="E439" t="s">
        <v>92</v>
      </c>
      <c r="F439">
        <v>100</v>
      </c>
      <c r="G439" t="s">
        <v>109</v>
      </c>
      <c r="H439">
        <v>189.37</v>
      </c>
      <c r="I439">
        <v>69</v>
      </c>
      <c r="J439">
        <v>45.31</v>
      </c>
      <c r="K439">
        <v>89</v>
      </c>
      <c r="L439">
        <v>95.27</v>
      </c>
      <c r="M439">
        <v>69</v>
      </c>
      <c r="N439">
        <v>42.7</v>
      </c>
      <c r="O439">
        <v>58</v>
      </c>
      <c r="P439">
        <v>-1.41</v>
      </c>
      <c r="Q439">
        <v>37</v>
      </c>
      <c r="R439">
        <v>6.74</v>
      </c>
      <c r="S439">
        <v>66</v>
      </c>
      <c r="T439">
        <v>-0.68</v>
      </c>
      <c r="U439">
        <v>36</v>
      </c>
      <c r="V439">
        <v>1.44</v>
      </c>
      <c r="W439">
        <v>54</v>
      </c>
      <c r="X439" t="s">
        <v>110</v>
      </c>
      <c r="Y439" t="s">
        <v>453</v>
      </c>
      <c r="Z439" t="s">
        <v>96</v>
      </c>
      <c r="AA439" t="s">
        <v>430</v>
      </c>
      <c r="AB439" t="s">
        <v>6271</v>
      </c>
      <c r="AC439">
        <v>0</v>
      </c>
      <c r="AD439">
        <v>0</v>
      </c>
      <c r="AE439">
        <v>89</v>
      </c>
      <c r="AF439">
        <v>305.97000000000003</v>
      </c>
      <c r="AG439">
        <v>21.82</v>
      </c>
      <c r="AH439">
        <v>4.67</v>
      </c>
      <c r="AI439">
        <v>0.16</v>
      </c>
      <c r="AJ439">
        <v>-0.09</v>
      </c>
      <c r="AK439">
        <v>69</v>
      </c>
      <c r="AL439">
        <v>0</v>
      </c>
      <c r="AM439">
        <v>0</v>
      </c>
      <c r="AN439">
        <v>-4.99</v>
      </c>
      <c r="AO439">
        <v>2.61</v>
      </c>
      <c r="AP439">
        <v>17</v>
      </c>
      <c r="AQ439">
        <v>0</v>
      </c>
      <c r="AR439">
        <v>6.52</v>
      </c>
      <c r="AS439">
        <v>57</v>
      </c>
      <c r="AT439">
        <v>2.4300000000000002</v>
      </c>
      <c r="AU439">
        <v>88</v>
      </c>
      <c r="AV439">
        <v>-3.58</v>
      </c>
      <c r="AW439">
        <v>54</v>
      </c>
      <c r="AX439">
        <v>-0.49</v>
      </c>
      <c r="AY439">
        <v>44</v>
      </c>
      <c r="AZ439">
        <v>5.67</v>
      </c>
      <c r="BA439">
        <v>35</v>
      </c>
      <c r="BB439">
        <v>4.22</v>
      </c>
      <c r="BC439">
        <v>35</v>
      </c>
      <c r="BD439">
        <v>0</v>
      </c>
      <c r="BE439">
        <v>-0.05</v>
      </c>
      <c r="BF439">
        <v>-0.06</v>
      </c>
      <c r="BG439">
        <v>81</v>
      </c>
      <c r="BH439">
        <v>-0.09</v>
      </c>
      <c r="BI439">
        <v>-15.06</v>
      </c>
      <c r="BJ439">
        <v>0</v>
      </c>
      <c r="BK439">
        <v>0</v>
      </c>
      <c r="BL439">
        <v>1.02</v>
      </c>
      <c r="BM439">
        <v>-2.17</v>
      </c>
      <c r="BN439">
        <v>-0.81</v>
      </c>
      <c r="BO439">
        <v>1.18</v>
      </c>
      <c r="BP439">
        <v>1.83</v>
      </c>
      <c r="BQ439">
        <v>0.95</v>
      </c>
      <c r="BR439">
        <v>-0.1</v>
      </c>
      <c r="BS439">
        <v>2.12</v>
      </c>
      <c r="BT439">
        <v>0.09</v>
      </c>
      <c r="BU439">
        <v>2.6</v>
      </c>
      <c r="BV439">
        <v>3.23</v>
      </c>
      <c r="BW439">
        <v>2.68</v>
      </c>
      <c r="BX439">
        <v>2.64</v>
      </c>
      <c r="BY439">
        <v>1.48</v>
      </c>
      <c r="BZ439">
        <v>-1.63</v>
      </c>
      <c r="CA439">
        <v>2.75</v>
      </c>
      <c r="CB439">
        <v>2.67</v>
      </c>
      <c r="CC439">
        <v>1.39</v>
      </c>
      <c r="CD439">
        <v>-1.1100000000000001</v>
      </c>
      <c r="CE439">
        <v>1.25</v>
      </c>
      <c r="CF439">
        <v>1.28</v>
      </c>
      <c r="CG439">
        <v>0</v>
      </c>
      <c r="CH439">
        <v>1.79</v>
      </c>
      <c r="CI439">
        <v>0</v>
      </c>
      <c r="CJ439">
        <v>1.2</v>
      </c>
      <c r="CK439">
        <v>38</v>
      </c>
      <c r="CL439">
        <v>-1.25</v>
      </c>
      <c r="CM439">
        <v>37</v>
      </c>
      <c r="CN439">
        <v>-0.78</v>
      </c>
      <c r="CO439">
        <v>37</v>
      </c>
      <c r="CP439">
        <v>4.7</v>
      </c>
      <c r="CQ439">
        <v>36</v>
      </c>
      <c r="CR439">
        <v>0</v>
      </c>
      <c r="CS439">
        <v>0</v>
      </c>
      <c r="CT439">
        <v>14.7</v>
      </c>
      <c r="CU439">
        <v>36</v>
      </c>
      <c r="CV439">
        <v>0.19</v>
      </c>
      <c r="CW439">
        <v>32</v>
      </c>
      <c r="CX439" t="s">
        <v>401</v>
      </c>
    </row>
    <row r="440" spans="1:102" x14ac:dyDescent="0.3">
      <c r="A440" t="str">
        <f>HYPERLINK("https://webapp.icbf.com/v2/app/bull-search/view/1355125091","FR4225")</f>
        <v>FR4225</v>
      </c>
      <c r="B440" t="s">
        <v>6371</v>
      </c>
      <c r="C440" t="s">
        <v>6372</v>
      </c>
      <c r="D440" s="1">
        <v>42409</v>
      </c>
      <c r="E440" t="s">
        <v>92</v>
      </c>
      <c r="F440">
        <v>47</v>
      </c>
      <c r="G440" t="s">
        <v>435</v>
      </c>
      <c r="H440">
        <v>189.24</v>
      </c>
      <c r="I440">
        <v>69</v>
      </c>
      <c r="J440">
        <v>63.42</v>
      </c>
      <c r="K440">
        <v>84</v>
      </c>
      <c r="L440">
        <v>82.4</v>
      </c>
      <c r="M440">
        <v>59</v>
      </c>
      <c r="N440">
        <v>42.83</v>
      </c>
      <c r="O440">
        <v>82</v>
      </c>
      <c r="P440">
        <v>-40.229999999999997</v>
      </c>
      <c r="Q440">
        <v>66</v>
      </c>
      <c r="R440">
        <v>-5.38</v>
      </c>
      <c r="S440">
        <v>59</v>
      </c>
      <c r="T440">
        <v>40.909999999999997</v>
      </c>
      <c r="U440">
        <v>53</v>
      </c>
      <c r="V440">
        <v>5.29</v>
      </c>
      <c r="W440">
        <v>53</v>
      </c>
      <c r="X440" t="s">
        <v>94</v>
      </c>
      <c r="Y440" t="s">
        <v>2255</v>
      </c>
      <c r="Z440" t="s">
        <v>330</v>
      </c>
      <c r="AA440" t="s">
        <v>1830</v>
      </c>
      <c r="AB440" t="s">
        <v>6373</v>
      </c>
      <c r="AC440">
        <v>0</v>
      </c>
      <c r="AD440">
        <v>0</v>
      </c>
      <c r="AE440">
        <v>84</v>
      </c>
      <c r="AF440">
        <v>-182.69</v>
      </c>
      <c r="AG440">
        <v>6.64</v>
      </c>
      <c r="AH440">
        <v>5.64</v>
      </c>
      <c r="AI440">
        <v>0.24</v>
      </c>
      <c r="AJ440">
        <v>0.22</v>
      </c>
      <c r="AK440">
        <v>59</v>
      </c>
      <c r="AL440">
        <v>0</v>
      </c>
      <c r="AM440">
        <v>0</v>
      </c>
      <c r="AN440">
        <v>-3.84</v>
      </c>
      <c r="AO440">
        <v>2.74</v>
      </c>
      <c r="AP440">
        <v>284</v>
      </c>
      <c r="AQ440">
        <v>0</v>
      </c>
      <c r="AR440">
        <v>5.3</v>
      </c>
      <c r="AS440">
        <v>70</v>
      </c>
      <c r="AT440">
        <v>2.16</v>
      </c>
      <c r="AU440">
        <v>87</v>
      </c>
      <c r="AV440">
        <v>-3.87</v>
      </c>
      <c r="AW440">
        <v>97</v>
      </c>
      <c r="AX440">
        <v>-0.46</v>
      </c>
      <c r="AY440">
        <v>82</v>
      </c>
      <c r="AZ440">
        <v>6.87</v>
      </c>
      <c r="BA440">
        <v>41</v>
      </c>
      <c r="BB440">
        <v>5.23</v>
      </c>
      <c r="BC440">
        <v>41</v>
      </c>
      <c r="BD440">
        <v>-0.02</v>
      </c>
      <c r="BE440">
        <v>0.03</v>
      </c>
      <c r="BF440">
        <v>0.1</v>
      </c>
      <c r="BG440">
        <v>67</v>
      </c>
      <c r="BH440">
        <v>0.15</v>
      </c>
      <c r="BI440">
        <v>0.28999999999999998</v>
      </c>
      <c r="BJ440">
        <v>0</v>
      </c>
      <c r="BK440">
        <v>0</v>
      </c>
      <c r="BL440">
        <v>-2.13</v>
      </c>
      <c r="BM440">
        <v>0.49</v>
      </c>
      <c r="BN440">
        <v>-0.68</v>
      </c>
      <c r="BO440">
        <v>-0.52</v>
      </c>
      <c r="BP440">
        <v>0.43</v>
      </c>
      <c r="BQ440">
        <v>-1.53</v>
      </c>
      <c r="BR440">
        <v>1.42</v>
      </c>
      <c r="BS440">
        <v>1.73</v>
      </c>
      <c r="BT440">
        <v>-0.91</v>
      </c>
      <c r="BU440">
        <v>-1.56</v>
      </c>
      <c r="BV440">
        <v>-1.27</v>
      </c>
      <c r="BW440">
        <v>-2</v>
      </c>
      <c r="BX440">
        <v>-3.27</v>
      </c>
      <c r="BY440">
        <v>-2.04</v>
      </c>
      <c r="BZ440">
        <v>2.21</v>
      </c>
      <c r="CA440">
        <v>-0.95</v>
      </c>
      <c r="CB440">
        <v>-1.53</v>
      </c>
      <c r="CC440">
        <v>1.1100000000000001</v>
      </c>
      <c r="CD440">
        <v>0.74</v>
      </c>
      <c r="CE440">
        <v>-0.16</v>
      </c>
      <c r="CF440">
        <v>-2.06</v>
      </c>
      <c r="CG440">
        <v>0</v>
      </c>
      <c r="CH440">
        <v>-1.91</v>
      </c>
      <c r="CI440">
        <v>0</v>
      </c>
      <c r="CJ440">
        <v>-21.4</v>
      </c>
      <c r="CK440">
        <v>70</v>
      </c>
      <c r="CL440">
        <v>-0.67</v>
      </c>
      <c r="CM440">
        <v>61</v>
      </c>
      <c r="CN440">
        <v>-0.08</v>
      </c>
      <c r="CO440">
        <v>60</v>
      </c>
      <c r="CP440">
        <v>-31.5</v>
      </c>
      <c r="CQ440">
        <v>55</v>
      </c>
      <c r="CR440">
        <v>0</v>
      </c>
      <c r="CS440">
        <v>0</v>
      </c>
      <c r="CT440">
        <v>-41.5</v>
      </c>
      <c r="CU440">
        <v>53</v>
      </c>
      <c r="CV440">
        <v>-0.06</v>
      </c>
      <c r="CW440">
        <v>40</v>
      </c>
      <c r="CX440" t="s">
        <v>1229</v>
      </c>
    </row>
    <row r="441" spans="1:102" x14ac:dyDescent="0.3">
      <c r="A441" t="str">
        <f>HYPERLINK("https://webapp.icbf.com/v2/app/bull-search/view/910809123","AKK")</f>
        <v>AKK</v>
      </c>
      <c r="B441" t="s">
        <v>5721</v>
      </c>
      <c r="C441" t="s">
        <v>5722</v>
      </c>
      <c r="D441" s="1">
        <v>40376</v>
      </c>
      <c r="E441" t="s">
        <v>92</v>
      </c>
      <c r="F441">
        <v>50</v>
      </c>
      <c r="G441" t="s">
        <v>93</v>
      </c>
      <c r="H441">
        <v>189.03</v>
      </c>
      <c r="I441">
        <v>92</v>
      </c>
      <c r="J441">
        <v>96.87</v>
      </c>
      <c r="K441">
        <v>99</v>
      </c>
      <c r="L441">
        <v>66.930000000000007</v>
      </c>
      <c r="M441">
        <v>84</v>
      </c>
      <c r="N441">
        <v>27.07</v>
      </c>
      <c r="O441">
        <v>94</v>
      </c>
      <c r="P441">
        <v>-16.87</v>
      </c>
      <c r="Q441">
        <v>98</v>
      </c>
      <c r="R441">
        <v>-1.07</v>
      </c>
      <c r="S441">
        <v>82</v>
      </c>
      <c r="T441">
        <v>15.31</v>
      </c>
      <c r="U441">
        <v>95</v>
      </c>
      <c r="V441">
        <v>0.79</v>
      </c>
      <c r="W441">
        <v>76</v>
      </c>
      <c r="X441" t="s">
        <v>276</v>
      </c>
      <c r="Y441" t="s">
        <v>2066</v>
      </c>
      <c r="Z441" t="s">
        <v>330</v>
      </c>
      <c r="AA441" t="s">
        <v>2278</v>
      </c>
      <c r="AB441" t="s">
        <v>5723</v>
      </c>
      <c r="AC441">
        <v>880</v>
      </c>
      <c r="AD441">
        <v>217</v>
      </c>
      <c r="AE441">
        <v>99</v>
      </c>
      <c r="AF441">
        <v>105.77</v>
      </c>
      <c r="AG441">
        <v>11.57</v>
      </c>
      <c r="AH441">
        <v>14</v>
      </c>
      <c r="AI441">
        <v>0.13</v>
      </c>
      <c r="AJ441">
        <v>0.18</v>
      </c>
      <c r="AK441">
        <v>84</v>
      </c>
      <c r="AL441">
        <v>270</v>
      </c>
      <c r="AM441">
        <v>93</v>
      </c>
      <c r="AN441">
        <v>-3.47</v>
      </c>
      <c r="AO441">
        <v>1.87</v>
      </c>
      <c r="AP441">
        <v>5182</v>
      </c>
      <c r="AQ441">
        <v>24</v>
      </c>
      <c r="AR441">
        <v>5.39</v>
      </c>
      <c r="AS441">
        <v>95</v>
      </c>
      <c r="AT441">
        <v>2.2200000000000002</v>
      </c>
      <c r="AU441">
        <v>99</v>
      </c>
      <c r="AV441">
        <v>-2.58</v>
      </c>
      <c r="AW441">
        <v>99</v>
      </c>
      <c r="AX441">
        <v>-0.02</v>
      </c>
      <c r="AY441">
        <v>99</v>
      </c>
      <c r="AZ441">
        <v>7.45</v>
      </c>
      <c r="BA441">
        <v>92</v>
      </c>
      <c r="BB441">
        <v>5.76</v>
      </c>
      <c r="BC441">
        <v>62</v>
      </c>
      <c r="BD441">
        <v>-0.02</v>
      </c>
      <c r="BE441">
        <v>0.02</v>
      </c>
      <c r="BF441">
        <v>0.02</v>
      </c>
      <c r="BG441">
        <v>97</v>
      </c>
      <c r="BH441">
        <v>-0.03</v>
      </c>
      <c r="BI441">
        <v>-6.01</v>
      </c>
      <c r="BJ441">
        <v>0</v>
      </c>
      <c r="BK441">
        <v>0</v>
      </c>
      <c r="BL441">
        <v>-1.26</v>
      </c>
      <c r="BM441">
        <v>0.16</v>
      </c>
      <c r="BN441">
        <v>-0.43</v>
      </c>
      <c r="BO441">
        <v>-0.32</v>
      </c>
      <c r="BP441">
        <v>-2.21</v>
      </c>
      <c r="BQ441">
        <v>-1.1499999999999999</v>
      </c>
      <c r="BR441">
        <v>1.47</v>
      </c>
      <c r="BS441">
        <v>-0.72</v>
      </c>
      <c r="BT441">
        <v>-2.09</v>
      </c>
      <c r="BU441">
        <v>-1.1399999999999999</v>
      </c>
      <c r="BV441">
        <v>-1.43</v>
      </c>
      <c r="BW441">
        <v>-0.97</v>
      </c>
      <c r="BX441">
        <v>-1.64</v>
      </c>
      <c r="BY441">
        <v>0.17</v>
      </c>
      <c r="BZ441">
        <v>-1.19</v>
      </c>
      <c r="CA441">
        <v>-0.7</v>
      </c>
      <c r="CB441">
        <v>-0.84</v>
      </c>
      <c r="CC441">
        <v>-0.9</v>
      </c>
      <c r="CD441">
        <v>-0.84</v>
      </c>
      <c r="CE441">
        <v>-0.28000000000000003</v>
      </c>
      <c r="CF441">
        <v>-1.1100000000000001</v>
      </c>
      <c r="CG441">
        <v>0</v>
      </c>
      <c r="CH441">
        <v>0.36</v>
      </c>
      <c r="CI441">
        <v>0</v>
      </c>
      <c r="CJ441">
        <v>-9.8000000000000007</v>
      </c>
      <c r="CK441">
        <v>99</v>
      </c>
      <c r="CL441">
        <v>-0.63</v>
      </c>
      <c r="CM441">
        <v>99</v>
      </c>
      <c r="CN441">
        <v>-0.34</v>
      </c>
      <c r="CO441">
        <v>99</v>
      </c>
      <c r="CP441">
        <v>-5.5</v>
      </c>
      <c r="CQ441">
        <v>86</v>
      </c>
      <c r="CR441">
        <v>0</v>
      </c>
      <c r="CS441">
        <v>0</v>
      </c>
      <c r="CT441">
        <v>-6.9</v>
      </c>
      <c r="CU441">
        <v>95</v>
      </c>
      <c r="CV441">
        <v>-0.06</v>
      </c>
      <c r="CW441">
        <v>47</v>
      </c>
      <c r="CX441" t="s">
        <v>792</v>
      </c>
    </row>
    <row r="442" spans="1:102" x14ac:dyDescent="0.3">
      <c r="A442" t="str">
        <f>HYPERLINK("https://webapp.icbf.com/v2/app/bull-search/view/858586464","PBZ")</f>
        <v>PBZ</v>
      </c>
      <c r="B442" t="s">
        <v>7731</v>
      </c>
      <c r="C442" t="s">
        <v>7732</v>
      </c>
      <c r="D442" s="1">
        <v>40561</v>
      </c>
      <c r="E442" t="s">
        <v>92</v>
      </c>
      <c r="F442">
        <v>72</v>
      </c>
      <c r="G442" t="s">
        <v>93</v>
      </c>
      <c r="H442">
        <v>189</v>
      </c>
      <c r="I442">
        <v>86</v>
      </c>
      <c r="J442">
        <v>68.39</v>
      </c>
      <c r="K442">
        <v>97</v>
      </c>
      <c r="L442">
        <v>72.5</v>
      </c>
      <c r="M442">
        <v>79</v>
      </c>
      <c r="N442">
        <v>41.21</v>
      </c>
      <c r="O442">
        <v>84</v>
      </c>
      <c r="P442">
        <v>-4</v>
      </c>
      <c r="Q442">
        <v>91</v>
      </c>
      <c r="R442">
        <v>8.52</v>
      </c>
      <c r="S442">
        <v>78</v>
      </c>
      <c r="T442">
        <v>-0.97</v>
      </c>
      <c r="U442">
        <v>81</v>
      </c>
      <c r="V442">
        <v>3.35</v>
      </c>
      <c r="W442">
        <v>77</v>
      </c>
      <c r="X442" t="s">
        <v>102</v>
      </c>
      <c r="Y442" t="s">
        <v>1860</v>
      </c>
      <c r="Z442" t="s">
        <v>96</v>
      </c>
      <c r="AA442" t="s">
        <v>1942</v>
      </c>
      <c r="AB442" t="s">
        <v>7733</v>
      </c>
      <c r="AC442">
        <v>84</v>
      </c>
      <c r="AD442">
        <v>36</v>
      </c>
      <c r="AE442">
        <v>97</v>
      </c>
      <c r="AF442">
        <v>46.75</v>
      </c>
      <c r="AG442">
        <v>8.1300000000000008</v>
      </c>
      <c r="AH442">
        <v>9.4700000000000006</v>
      </c>
      <c r="AI442">
        <v>0.11</v>
      </c>
      <c r="AJ442">
        <v>0.14000000000000001</v>
      </c>
      <c r="AK442">
        <v>79</v>
      </c>
      <c r="AL442">
        <v>105</v>
      </c>
      <c r="AM442">
        <v>53</v>
      </c>
      <c r="AN442">
        <v>-4.0599999999999996</v>
      </c>
      <c r="AO442">
        <v>1.72</v>
      </c>
      <c r="AP442">
        <v>170</v>
      </c>
      <c r="AQ442">
        <v>0</v>
      </c>
      <c r="AR442">
        <v>6.96</v>
      </c>
      <c r="AS442">
        <v>70</v>
      </c>
      <c r="AT442">
        <v>2.76</v>
      </c>
      <c r="AU442">
        <v>87</v>
      </c>
      <c r="AV442">
        <v>-3.83</v>
      </c>
      <c r="AW442">
        <v>94</v>
      </c>
      <c r="AX442">
        <v>-0.84</v>
      </c>
      <c r="AY442">
        <v>81</v>
      </c>
      <c r="AZ442">
        <v>5.71</v>
      </c>
      <c r="BA442">
        <v>65</v>
      </c>
      <c r="BB442">
        <v>4.37</v>
      </c>
      <c r="BC442">
        <v>65</v>
      </c>
      <c r="BD442">
        <v>-0.03</v>
      </c>
      <c r="BE442">
        <v>-0.04</v>
      </c>
      <c r="BF442">
        <v>-7.0000000000000007E-2</v>
      </c>
      <c r="BG442">
        <v>87</v>
      </c>
      <c r="BH442">
        <v>-0.04</v>
      </c>
      <c r="BI442">
        <v>-15.44</v>
      </c>
      <c r="BJ442">
        <v>5</v>
      </c>
      <c r="BK442">
        <v>2</v>
      </c>
      <c r="BL442">
        <v>-0.92</v>
      </c>
      <c r="BM442">
        <v>1.72</v>
      </c>
      <c r="BN442">
        <v>-0.77</v>
      </c>
      <c r="BO442">
        <v>-1.65</v>
      </c>
      <c r="BP442">
        <v>2.17</v>
      </c>
      <c r="BQ442">
        <v>-0.24</v>
      </c>
      <c r="BR442">
        <v>-1.76</v>
      </c>
      <c r="BS442">
        <v>-0.79</v>
      </c>
      <c r="BT442">
        <v>0.7</v>
      </c>
      <c r="BU442">
        <v>-0.52</v>
      </c>
      <c r="BV442">
        <v>-0.95</v>
      </c>
      <c r="BW442">
        <v>-0.55000000000000004</v>
      </c>
      <c r="BX442">
        <v>-0.26</v>
      </c>
      <c r="BY442">
        <v>-0.14000000000000001</v>
      </c>
      <c r="BZ442">
        <v>-1.98</v>
      </c>
      <c r="CA442">
        <v>-0.23</v>
      </c>
      <c r="CB442">
        <v>-0.25</v>
      </c>
      <c r="CC442">
        <v>-0.22</v>
      </c>
      <c r="CD442">
        <v>1.72</v>
      </c>
      <c r="CE442">
        <v>-1.27</v>
      </c>
      <c r="CF442">
        <v>-0.25</v>
      </c>
      <c r="CG442">
        <v>0</v>
      </c>
      <c r="CH442">
        <v>-0.33</v>
      </c>
      <c r="CI442">
        <v>0</v>
      </c>
      <c r="CJ442">
        <v>-0.6</v>
      </c>
      <c r="CK442">
        <v>93</v>
      </c>
      <c r="CL442">
        <v>-0.44</v>
      </c>
      <c r="CM442">
        <v>91</v>
      </c>
      <c r="CN442">
        <v>-0.09</v>
      </c>
      <c r="CO442">
        <v>90</v>
      </c>
      <c r="CP442">
        <v>2.1</v>
      </c>
      <c r="CQ442">
        <v>82</v>
      </c>
      <c r="CR442">
        <v>0</v>
      </c>
      <c r="CS442">
        <v>0</v>
      </c>
      <c r="CT442">
        <v>15.1</v>
      </c>
      <c r="CU442">
        <v>81</v>
      </c>
      <c r="CV442">
        <v>0.09</v>
      </c>
      <c r="CW442">
        <v>47</v>
      </c>
      <c r="CX442" t="s">
        <v>1037</v>
      </c>
    </row>
    <row r="443" spans="1:102" x14ac:dyDescent="0.3">
      <c r="A443" t="str">
        <f>HYPERLINK("https://webapp.icbf.com/v2/app/bull-search/view/1619514600","FR4651")</f>
        <v>FR4651</v>
      </c>
      <c r="B443" t="s">
        <v>6423</v>
      </c>
      <c r="C443" t="s">
        <v>6424</v>
      </c>
      <c r="D443" s="1">
        <v>42520</v>
      </c>
      <c r="E443" t="s">
        <v>92</v>
      </c>
      <c r="F443">
        <v>100</v>
      </c>
      <c r="G443" t="s">
        <v>435</v>
      </c>
      <c r="H443">
        <v>188.94</v>
      </c>
      <c r="I443">
        <v>66</v>
      </c>
      <c r="J443">
        <v>79.48</v>
      </c>
      <c r="K443">
        <v>87</v>
      </c>
      <c r="L443">
        <v>70.150000000000006</v>
      </c>
      <c r="M443">
        <v>66</v>
      </c>
      <c r="N443">
        <v>47.28</v>
      </c>
      <c r="O443">
        <v>58</v>
      </c>
      <c r="P443">
        <v>-10.73</v>
      </c>
      <c r="Q443">
        <v>35</v>
      </c>
      <c r="R443">
        <v>7.26</v>
      </c>
      <c r="S443">
        <v>61</v>
      </c>
      <c r="T443">
        <v>-8.6</v>
      </c>
      <c r="U443">
        <v>34</v>
      </c>
      <c r="V443">
        <v>4.0999999999999996</v>
      </c>
      <c r="W443">
        <v>52</v>
      </c>
      <c r="X443" t="s">
        <v>428</v>
      </c>
      <c r="Y443" t="s">
        <v>442</v>
      </c>
      <c r="Z443" t="s">
        <v>96</v>
      </c>
      <c r="AA443" t="s">
        <v>2309</v>
      </c>
      <c r="AB443" t="s">
        <v>6425</v>
      </c>
      <c r="AC443">
        <v>0</v>
      </c>
      <c r="AD443">
        <v>0</v>
      </c>
      <c r="AE443">
        <v>87</v>
      </c>
      <c r="AF443">
        <v>538.53</v>
      </c>
      <c r="AG443">
        <v>20.100000000000001</v>
      </c>
      <c r="AH443">
        <v>14.65</v>
      </c>
      <c r="AI443">
        <v>-0.02</v>
      </c>
      <c r="AJ443">
        <v>-0.05</v>
      </c>
      <c r="AK443">
        <v>66</v>
      </c>
      <c r="AL443">
        <v>0</v>
      </c>
      <c r="AM443">
        <v>0</v>
      </c>
      <c r="AN443">
        <v>-1.82</v>
      </c>
      <c r="AO443">
        <v>3.8</v>
      </c>
      <c r="AP443">
        <v>5</v>
      </c>
      <c r="AQ443">
        <v>0</v>
      </c>
      <c r="AR443">
        <v>6.25</v>
      </c>
      <c r="AS443">
        <v>56</v>
      </c>
      <c r="AT443">
        <v>1.9</v>
      </c>
      <c r="AU443">
        <v>87</v>
      </c>
      <c r="AV443">
        <v>-3.63</v>
      </c>
      <c r="AW443">
        <v>55</v>
      </c>
      <c r="AX443">
        <v>-0.84</v>
      </c>
      <c r="AY443">
        <v>47</v>
      </c>
      <c r="AZ443">
        <v>5.65</v>
      </c>
      <c r="BA443">
        <v>33</v>
      </c>
      <c r="BB443">
        <v>4.45</v>
      </c>
      <c r="BC443">
        <v>32</v>
      </c>
      <c r="BD443">
        <v>-0.03</v>
      </c>
      <c r="BE443">
        <v>-0.03</v>
      </c>
      <c r="BF443">
        <v>-0.06</v>
      </c>
      <c r="BG443">
        <v>75</v>
      </c>
      <c r="BH443">
        <v>-0.02</v>
      </c>
      <c r="BI443">
        <v>-15.54</v>
      </c>
      <c r="BJ443">
        <v>0</v>
      </c>
      <c r="BK443">
        <v>0</v>
      </c>
      <c r="BL443">
        <v>1.94</v>
      </c>
      <c r="BM443">
        <v>-2.64</v>
      </c>
      <c r="BN443">
        <v>-1.1100000000000001</v>
      </c>
      <c r="BO443">
        <v>0.84</v>
      </c>
      <c r="BP443">
        <v>0.24</v>
      </c>
      <c r="BQ443">
        <v>-1.52</v>
      </c>
      <c r="BR443">
        <v>-1.46</v>
      </c>
      <c r="BS443">
        <v>3.5</v>
      </c>
      <c r="BT443">
        <v>1.52</v>
      </c>
      <c r="BU443">
        <v>4.3099999999999996</v>
      </c>
      <c r="BV443">
        <v>4.21</v>
      </c>
      <c r="BW443">
        <v>2.33</v>
      </c>
      <c r="BX443">
        <v>4.09</v>
      </c>
      <c r="BY443">
        <v>1.74</v>
      </c>
      <c r="BZ443">
        <v>-2.61</v>
      </c>
      <c r="CA443">
        <v>4.0599999999999996</v>
      </c>
      <c r="CB443">
        <v>3.46</v>
      </c>
      <c r="CC443">
        <v>2.96</v>
      </c>
      <c r="CD443">
        <v>-1.07</v>
      </c>
      <c r="CE443">
        <v>1.19</v>
      </c>
      <c r="CF443">
        <v>1.81</v>
      </c>
      <c r="CG443">
        <v>0</v>
      </c>
      <c r="CH443">
        <v>2.74</v>
      </c>
      <c r="CI443">
        <v>0</v>
      </c>
      <c r="CJ443">
        <v>-2.8</v>
      </c>
      <c r="CK443">
        <v>35</v>
      </c>
      <c r="CL443">
        <v>-1.67</v>
      </c>
      <c r="CM443">
        <v>35</v>
      </c>
      <c r="CN443">
        <v>-0.88</v>
      </c>
      <c r="CO443">
        <v>35</v>
      </c>
      <c r="CP443">
        <v>0.4</v>
      </c>
      <c r="CQ443">
        <v>34</v>
      </c>
      <c r="CR443">
        <v>0</v>
      </c>
      <c r="CS443">
        <v>0</v>
      </c>
      <c r="CT443">
        <v>25.4</v>
      </c>
      <c r="CU443">
        <v>34</v>
      </c>
      <c r="CV443">
        <v>0.27</v>
      </c>
      <c r="CW443">
        <v>32</v>
      </c>
      <c r="CX443" t="s">
        <v>2000</v>
      </c>
    </row>
    <row r="444" spans="1:102" x14ac:dyDescent="0.3">
      <c r="A444" t="str">
        <f>HYPERLINK("https://webapp.icbf.com/v2/app/bull-search/view/550984539","RVW")</f>
        <v>RVW</v>
      </c>
      <c r="B444" t="s">
        <v>15109</v>
      </c>
      <c r="C444" t="s">
        <v>6193</v>
      </c>
      <c r="D444" s="1">
        <v>38545</v>
      </c>
      <c r="E444" t="s">
        <v>227</v>
      </c>
      <c r="F444">
        <v>0</v>
      </c>
      <c r="G444" t="s">
        <v>93</v>
      </c>
      <c r="H444">
        <v>188.78</v>
      </c>
      <c r="I444">
        <v>96</v>
      </c>
      <c r="J444">
        <v>89.92</v>
      </c>
      <c r="K444">
        <v>99</v>
      </c>
      <c r="L444">
        <v>33.71</v>
      </c>
      <c r="M444">
        <v>93</v>
      </c>
      <c r="N444">
        <v>55.99</v>
      </c>
      <c r="O444">
        <v>96</v>
      </c>
      <c r="P444">
        <v>-56.34</v>
      </c>
      <c r="Q444">
        <v>98</v>
      </c>
      <c r="R444">
        <v>-4.41</v>
      </c>
      <c r="S444">
        <v>93</v>
      </c>
      <c r="T444">
        <v>62.37</v>
      </c>
      <c r="U444">
        <v>98</v>
      </c>
      <c r="V444">
        <v>7.54</v>
      </c>
      <c r="W444">
        <v>91</v>
      </c>
      <c r="X444" t="s">
        <v>276</v>
      </c>
      <c r="Y444" t="s">
        <v>282</v>
      </c>
      <c r="Z444">
        <v>0</v>
      </c>
      <c r="AA444" t="s">
        <v>229</v>
      </c>
      <c r="AB444" t="s">
        <v>15110</v>
      </c>
      <c r="AC444">
        <v>604</v>
      </c>
      <c r="AD444">
        <v>170</v>
      </c>
      <c r="AE444">
        <v>99</v>
      </c>
      <c r="AF444">
        <v>-342.66</v>
      </c>
      <c r="AG444">
        <v>19.36</v>
      </c>
      <c r="AH444">
        <v>3.2</v>
      </c>
      <c r="AI444">
        <v>0.61</v>
      </c>
      <c r="AJ444">
        <v>0.27</v>
      </c>
      <c r="AK444">
        <v>93</v>
      </c>
      <c r="AL444">
        <v>650</v>
      </c>
      <c r="AM444">
        <v>173</v>
      </c>
      <c r="AN444">
        <v>-0.96</v>
      </c>
      <c r="AO444">
        <v>1.74</v>
      </c>
      <c r="AP444">
        <v>979</v>
      </c>
      <c r="AQ444">
        <v>2</v>
      </c>
      <c r="AR444">
        <v>2.67</v>
      </c>
      <c r="AS444">
        <v>96</v>
      </c>
      <c r="AT444">
        <v>1.28</v>
      </c>
      <c r="AU444">
        <v>96</v>
      </c>
      <c r="AV444">
        <v>-4.24</v>
      </c>
      <c r="AW444">
        <v>99</v>
      </c>
      <c r="AX444">
        <v>0.39</v>
      </c>
      <c r="AY444">
        <v>96</v>
      </c>
      <c r="AZ444">
        <v>6.51</v>
      </c>
      <c r="BA444">
        <v>91</v>
      </c>
      <c r="BB444">
        <v>4.7</v>
      </c>
      <c r="BC444">
        <v>91</v>
      </c>
      <c r="BD444">
        <v>-0.04</v>
      </c>
      <c r="BE444">
        <v>0.02</v>
      </c>
      <c r="BF444">
        <v>0.13</v>
      </c>
      <c r="BG444">
        <v>98</v>
      </c>
      <c r="BH444">
        <v>0.3</v>
      </c>
      <c r="BI444">
        <v>10.39</v>
      </c>
      <c r="BJ444">
        <v>29</v>
      </c>
      <c r="BK444">
        <v>6</v>
      </c>
      <c r="BL444">
        <v>-3.39</v>
      </c>
      <c r="BM444">
        <v>-2.11</v>
      </c>
      <c r="BN444">
        <v>-0.55000000000000004</v>
      </c>
      <c r="BO444">
        <v>1.08</v>
      </c>
      <c r="BP444">
        <v>-2.4</v>
      </c>
      <c r="BQ444">
        <v>-6.09</v>
      </c>
      <c r="BR444">
        <v>3.91</v>
      </c>
      <c r="BS444">
        <v>6.24</v>
      </c>
      <c r="BT444">
        <v>-1.9</v>
      </c>
      <c r="BU444">
        <v>-2.99</v>
      </c>
      <c r="BV444">
        <v>-1.66</v>
      </c>
      <c r="BW444">
        <v>-4.18</v>
      </c>
      <c r="BX444">
        <v>-5.05</v>
      </c>
      <c r="BY444">
        <v>-1.94</v>
      </c>
      <c r="BZ444">
        <v>0.49</v>
      </c>
      <c r="CA444">
        <v>-0.84</v>
      </c>
      <c r="CB444">
        <v>-2.19</v>
      </c>
      <c r="CC444">
        <v>2.4500000000000002</v>
      </c>
      <c r="CD444">
        <v>-2.4900000000000002</v>
      </c>
      <c r="CE444">
        <v>-0.06</v>
      </c>
      <c r="CF444">
        <v>-4.4000000000000004</v>
      </c>
      <c r="CG444">
        <v>0</v>
      </c>
      <c r="CH444">
        <v>-2.79</v>
      </c>
      <c r="CI444">
        <v>0</v>
      </c>
      <c r="CJ444">
        <v>-27.1</v>
      </c>
      <c r="CK444">
        <v>98</v>
      </c>
      <c r="CL444">
        <v>-1.1499999999999999</v>
      </c>
      <c r="CM444">
        <v>98</v>
      </c>
      <c r="CN444">
        <v>-0.03</v>
      </c>
      <c r="CO444">
        <v>98</v>
      </c>
      <c r="CP444">
        <v>-49.5</v>
      </c>
      <c r="CQ444">
        <v>96</v>
      </c>
      <c r="CR444">
        <v>0</v>
      </c>
      <c r="CS444">
        <v>0</v>
      </c>
      <c r="CT444">
        <v>-70.5</v>
      </c>
      <c r="CU444">
        <v>98</v>
      </c>
      <c r="CV444">
        <v>-0.14000000000000001</v>
      </c>
      <c r="CW444">
        <v>46</v>
      </c>
      <c r="CX444" t="s">
        <v>15111</v>
      </c>
    </row>
    <row r="445" spans="1:102" x14ac:dyDescent="0.3">
      <c r="A445" t="str">
        <f>HYPERLINK("https://webapp.icbf.com/v2/app/bull-search/view/945569826","DBW")</f>
        <v>DBW</v>
      </c>
      <c r="B445" t="s">
        <v>15152</v>
      </c>
      <c r="C445" t="s">
        <v>2243</v>
      </c>
      <c r="D445" s="1">
        <v>40933</v>
      </c>
      <c r="E445" t="s">
        <v>92</v>
      </c>
      <c r="F445">
        <v>75</v>
      </c>
      <c r="G445" t="s">
        <v>93</v>
      </c>
      <c r="H445">
        <v>188.77</v>
      </c>
      <c r="I445">
        <v>95</v>
      </c>
      <c r="J445">
        <v>78.760000000000005</v>
      </c>
      <c r="K445">
        <v>99</v>
      </c>
      <c r="L445">
        <v>80.11</v>
      </c>
      <c r="M445">
        <v>91</v>
      </c>
      <c r="N445">
        <v>26.88</v>
      </c>
      <c r="O445">
        <v>97</v>
      </c>
      <c r="P445">
        <v>-4.45</v>
      </c>
      <c r="Q445">
        <v>99</v>
      </c>
      <c r="R445">
        <v>9.93</v>
      </c>
      <c r="S445">
        <v>93</v>
      </c>
      <c r="T445">
        <v>-0.53</v>
      </c>
      <c r="U445">
        <v>97</v>
      </c>
      <c r="V445">
        <v>-1.93</v>
      </c>
      <c r="W445">
        <v>81</v>
      </c>
      <c r="X445" t="s">
        <v>102</v>
      </c>
      <c r="Y445" t="s">
        <v>1976</v>
      </c>
      <c r="Z445" t="s">
        <v>96</v>
      </c>
      <c r="AA445" t="s">
        <v>7631</v>
      </c>
      <c r="AB445" t="s">
        <v>7866</v>
      </c>
      <c r="AC445">
        <v>1181</v>
      </c>
      <c r="AD445">
        <v>435</v>
      </c>
      <c r="AE445">
        <v>99</v>
      </c>
      <c r="AF445">
        <v>-7.52</v>
      </c>
      <c r="AG445">
        <v>11.53</v>
      </c>
      <c r="AH445">
        <v>9.1999999999999993</v>
      </c>
      <c r="AI445">
        <v>0.21</v>
      </c>
      <c r="AJ445">
        <v>0.17</v>
      </c>
      <c r="AK445">
        <v>91</v>
      </c>
      <c r="AL445">
        <v>1473</v>
      </c>
      <c r="AM445">
        <v>586</v>
      </c>
      <c r="AN445">
        <v>-3.48</v>
      </c>
      <c r="AO445">
        <v>2.92</v>
      </c>
      <c r="AP445">
        <v>3602</v>
      </c>
      <c r="AQ445">
        <v>19</v>
      </c>
      <c r="AR445">
        <v>8.3000000000000007</v>
      </c>
      <c r="AS445">
        <v>95</v>
      </c>
      <c r="AT445">
        <v>3.82</v>
      </c>
      <c r="AU445">
        <v>99</v>
      </c>
      <c r="AV445">
        <v>-3.56</v>
      </c>
      <c r="AW445">
        <v>99</v>
      </c>
      <c r="AX445">
        <v>-0.83</v>
      </c>
      <c r="AY445">
        <v>98</v>
      </c>
      <c r="AZ445">
        <v>5.28</v>
      </c>
      <c r="BA445">
        <v>94</v>
      </c>
      <c r="BB445">
        <v>4.28</v>
      </c>
      <c r="BC445">
        <v>91</v>
      </c>
      <c r="BD445">
        <v>-0.05</v>
      </c>
      <c r="BE445">
        <v>-0.05</v>
      </c>
      <c r="BF445">
        <v>-0.05</v>
      </c>
      <c r="BG445">
        <v>98</v>
      </c>
      <c r="BH445">
        <v>-0.22</v>
      </c>
      <c r="BI445">
        <v>-19.22</v>
      </c>
      <c r="BJ445">
        <v>75</v>
      </c>
      <c r="BK445">
        <v>34</v>
      </c>
      <c r="BL445">
        <v>-1.68</v>
      </c>
      <c r="BM445">
        <v>2.29</v>
      </c>
      <c r="BN445">
        <v>-0.96</v>
      </c>
      <c r="BO445">
        <v>-2.27</v>
      </c>
      <c r="BP445">
        <v>0.74</v>
      </c>
      <c r="BQ445">
        <v>0.43</v>
      </c>
      <c r="BR445">
        <v>-3.53</v>
      </c>
      <c r="BS445">
        <v>1.89</v>
      </c>
      <c r="BT445">
        <v>2.2799999999999998</v>
      </c>
      <c r="BU445">
        <v>1.01</v>
      </c>
      <c r="BV445">
        <v>0.88</v>
      </c>
      <c r="BW445">
        <v>0.65</v>
      </c>
      <c r="BX445">
        <v>-0.42</v>
      </c>
      <c r="BY445">
        <v>0.86</v>
      </c>
      <c r="BZ445">
        <v>-2.57</v>
      </c>
      <c r="CA445">
        <v>0.46</v>
      </c>
      <c r="CB445">
        <v>0.17</v>
      </c>
      <c r="CC445">
        <v>0.61</v>
      </c>
      <c r="CD445">
        <v>2.4300000000000002</v>
      </c>
      <c r="CE445">
        <v>-1.46</v>
      </c>
      <c r="CF445">
        <v>-0.37</v>
      </c>
      <c r="CG445">
        <v>0</v>
      </c>
      <c r="CH445">
        <v>1.04</v>
      </c>
      <c r="CI445">
        <v>0</v>
      </c>
      <c r="CJ445">
        <v>-4.7</v>
      </c>
      <c r="CK445">
        <v>99</v>
      </c>
      <c r="CL445">
        <v>-0.16</v>
      </c>
      <c r="CM445">
        <v>99</v>
      </c>
      <c r="CN445">
        <v>-0.32</v>
      </c>
      <c r="CO445">
        <v>99</v>
      </c>
      <c r="CP445">
        <v>-0.4</v>
      </c>
      <c r="CQ445">
        <v>96</v>
      </c>
      <c r="CR445">
        <v>0</v>
      </c>
      <c r="CS445">
        <v>0</v>
      </c>
      <c r="CT445">
        <v>14.5</v>
      </c>
      <c r="CU445">
        <v>97</v>
      </c>
      <c r="CV445">
        <v>-0.27</v>
      </c>
      <c r="CW445">
        <v>47</v>
      </c>
      <c r="CX445" t="s">
        <v>3087</v>
      </c>
    </row>
    <row r="446" spans="1:102" x14ac:dyDescent="0.3">
      <c r="A446" t="str">
        <f>HYPERLINK("https://webapp.icbf.com/v2/app/bull-search/view/946492410","WSB")</f>
        <v>WSB</v>
      </c>
      <c r="B446" t="s">
        <v>13265</v>
      </c>
      <c r="C446" t="s">
        <v>13266</v>
      </c>
      <c r="D446" s="1">
        <v>40943</v>
      </c>
      <c r="E446" t="s">
        <v>92</v>
      </c>
      <c r="F446">
        <v>78</v>
      </c>
      <c r="G446" t="s">
        <v>93</v>
      </c>
      <c r="H446">
        <v>188.15</v>
      </c>
      <c r="I446">
        <v>93</v>
      </c>
      <c r="J446">
        <v>103.31</v>
      </c>
      <c r="K446">
        <v>99</v>
      </c>
      <c r="L446">
        <v>60.72</v>
      </c>
      <c r="M446">
        <v>86</v>
      </c>
      <c r="N446">
        <v>30.51</v>
      </c>
      <c r="O446">
        <v>95</v>
      </c>
      <c r="P446">
        <v>-8.3800000000000008</v>
      </c>
      <c r="Q446">
        <v>98</v>
      </c>
      <c r="R446">
        <v>4.12</v>
      </c>
      <c r="S446">
        <v>88</v>
      </c>
      <c r="T446">
        <v>-1.71</v>
      </c>
      <c r="U446">
        <v>94</v>
      </c>
      <c r="V446">
        <v>-0.42</v>
      </c>
      <c r="W446">
        <v>79</v>
      </c>
      <c r="X446" t="s">
        <v>276</v>
      </c>
      <c r="Y446" t="s">
        <v>1923</v>
      </c>
      <c r="Z446" t="s">
        <v>96</v>
      </c>
      <c r="AA446" t="s">
        <v>5742</v>
      </c>
      <c r="AB446" t="s">
        <v>13267</v>
      </c>
      <c r="AC446">
        <v>588</v>
      </c>
      <c r="AD446">
        <v>235</v>
      </c>
      <c r="AE446">
        <v>99</v>
      </c>
      <c r="AF446">
        <v>180.23</v>
      </c>
      <c r="AG446">
        <v>16.87</v>
      </c>
      <c r="AH446">
        <v>14.36</v>
      </c>
      <c r="AI446">
        <v>0.17</v>
      </c>
      <c r="AJ446">
        <v>0.14000000000000001</v>
      </c>
      <c r="AK446">
        <v>86</v>
      </c>
      <c r="AL446">
        <v>580</v>
      </c>
      <c r="AM446">
        <v>238</v>
      </c>
      <c r="AN446">
        <v>-2.69</v>
      </c>
      <c r="AO446">
        <v>2.16</v>
      </c>
      <c r="AP446">
        <v>1281</v>
      </c>
      <c r="AQ446">
        <v>5</v>
      </c>
      <c r="AR446">
        <v>8.0299999999999994</v>
      </c>
      <c r="AS446">
        <v>90</v>
      </c>
      <c r="AT446">
        <v>3.21</v>
      </c>
      <c r="AU446">
        <v>97</v>
      </c>
      <c r="AV446">
        <v>-3.67</v>
      </c>
      <c r="AW446">
        <v>99</v>
      </c>
      <c r="AX446">
        <v>-0.93</v>
      </c>
      <c r="AY446">
        <v>96</v>
      </c>
      <c r="AZ446">
        <v>6.17</v>
      </c>
      <c r="BA446">
        <v>87</v>
      </c>
      <c r="BB446">
        <v>4.9000000000000004</v>
      </c>
      <c r="BC446">
        <v>81</v>
      </c>
      <c r="BD446">
        <v>-0.04</v>
      </c>
      <c r="BE446">
        <v>-0.02</v>
      </c>
      <c r="BF446">
        <v>0.01</v>
      </c>
      <c r="BG446">
        <v>96</v>
      </c>
      <c r="BH446">
        <v>-0.21</v>
      </c>
      <c r="BI446">
        <v>-22.93</v>
      </c>
      <c r="BJ446">
        <v>16</v>
      </c>
      <c r="BK446">
        <v>7</v>
      </c>
      <c r="BL446">
        <v>-0.54</v>
      </c>
      <c r="BM446">
        <v>1.04</v>
      </c>
      <c r="BN446">
        <v>-0.47</v>
      </c>
      <c r="BO446">
        <v>-0.82</v>
      </c>
      <c r="BP446">
        <v>-1.85</v>
      </c>
      <c r="BQ446">
        <v>1.68</v>
      </c>
      <c r="BR446">
        <v>1.03</v>
      </c>
      <c r="BS446">
        <v>-0.62</v>
      </c>
      <c r="BT446">
        <v>-0.8</v>
      </c>
      <c r="BU446">
        <v>-0.43</v>
      </c>
      <c r="BV446">
        <v>-0.75</v>
      </c>
      <c r="BW446">
        <v>-0.03</v>
      </c>
      <c r="BX446">
        <v>-1.1399999999999999</v>
      </c>
      <c r="BY446">
        <v>-2.2799999999999998</v>
      </c>
      <c r="BZ446">
        <v>1.1200000000000001</v>
      </c>
      <c r="CA446">
        <v>-0.55000000000000004</v>
      </c>
      <c r="CB446">
        <v>-0.46</v>
      </c>
      <c r="CC446">
        <v>-0.05</v>
      </c>
      <c r="CD446">
        <v>0.88</v>
      </c>
      <c r="CE446">
        <v>-0.47</v>
      </c>
      <c r="CF446">
        <v>0.38</v>
      </c>
      <c r="CG446">
        <v>0</v>
      </c>
      <c r="CH446">
        <v>-0.54</v>
      </c>
      <c r="CI446">
        <v>0</v>
      </c>
      <c r="CJ446">
        <v>-1.5</v>
      </c>
      <c r="CK446">
        <v>99</v>
      </c>
      <c r="CL446">
        <v>-0.88</v>
      </c>
      <c r="CM446">
        <v>98</v>
      </c>
      <c r="CN446">
        <v>-0.18</v>
      </c>
      <c r="CO446">
        <v>98</v>
      </c>
      <c r="CP446">
        <v>4.4000000000000004</v>
      </c>
      <c r="CQ446">
        <v>91</v>
      </c>
      <c r="CR446">
        <v>0</v>
      </c>
      <c r="CS446">
        <v>0</v>
      </c>
      <c r="CT446">
        <v>16.100000000000001</v>
      </c>
      <c r="CU446">
        <v>94</v>
      </c>
      <c r="CV446">
        <v>0.28000000000000003</v>
      </c>
      <c r="CW446">
        <v>47</v>
      </c>
      <c r="CX446" t="s">
        <v>7797</v>
      </c>
    </row>
    <row r="447" spans="1:102" x14ac:dyDescent="0.3">
      <c r="A447" t="str">
        <f>HYPERLINK("https://webapp.icbf.com/v2/app/bull-search/view/1248447886","FR2236")</f>
        <v>FR2236</v>
      </c>
      <c r="B447" t="s">
        <v>2155</v>
      </c>
      <c r="C447" t="s">
        <v>2156</v>
      </c>
      <c r="D447" s="1">
        <v>42052</v>
      </c>
      <c r="E447" t="s">
        <v>92</v>
      </c>
      <c r="F447">
        <v>84</v>
      </c>
      <c r="G447" t="s">
        <v>93</v>
      </c>
      <c r="H447">
        <v>188.13</v>
      </c>
      <c r="I447">
        <v>84</v>
      </c>
      <c r="J447">
        <v>105.29</v>
      </c>
      <c r="K447">
        <v>96</v>
      </c>
      <c r="L447">
        <v>51.16</v>
      </c>
      <c r="M447">
        <v>74</v>
      </c>
      <c r="N447">
        <v>29.56</v>
      </c>
      <c r="O447">
        <v>90</v>
      </c>
      <c r="P447">
        <v>-7.26</v>
      </c>
      <c r="Q447">
        <v>93</v>
      </c>
      <c r="R447">
        <v>3.52</v>
      </c>
      <c r="S447">
        <v>76</v>
      </c>
      <c r="T447">
        <v>6.28</v>
      </c>
      <c r="U447">
        <v>77</v>
      </c>
      <c r="V447">
        <v>-0.42</v>
      </c>
      <c r="W447">
        <v>68</v>
      </c>
      <c r="X447" t="s">
        <v>94</v>
      </c>
      <c r="Y447" t="s">
        <v>416</v>
      </c>
      <c r="Z447" t="s">
        <v>96</v>
      </c>
      <c r="AA447" t="s">
        <v>2157</v>
      </c>
      <c r="AB447" t="s">
        <v>2158</v>
      </c>
      <c r="AC447">
        <v>165</v>
      </c>
      <c r="AD447">
        <v>99</v>
      </c>
      <c r="AE447">
        <v>96</v>
      </c>
      <c r="AF447">
        <v>161.36000000000001</v>
      </c>
      <c r="AG447">
        <v>15.65</v>
      </c>
      <c r="AH447">
        <v>14.84</v>
      </c>
      <c r="AI447">
        <v>0.16</v>
      </c>
      <c r="AJ447">
        <v>0.16</v>
      </c>
      <c r="AK447">
        <v>74</v>
      </c>
      <c r="AL447">
        <v>0</v>
      </c>
      <c r="AM447">
        <v>0</v>
      </c>
      <c r="AN447">
        <v>-2.77</v>
      </c>
      <c r="AO447">
        <v>1.31</v>
      </c>
      <c r="AP447">
        <v>11059</v>
      </c>
      <c r="AQ447">
        <v>10</v>
      </c>
      <c r="AR447">
        <v>4.75</v>
      </c>
      <c r="AS447">
        <v>96</v>
      </c>
      <c r="AT447">
        <v>2.31</v>
      </c>
      <c r="AU447">
        <v>99</v>
      </c>
      <c r="AV447">
        <v>-1.49</v>
      </c>
      <c r="AW447">
        <v>99</v>
      </c>
      <c r="AX447">
        <v>-0.77</v>
      </c>
      <c r="AY447">
        <v>99</v>
      </c>
      <c r="AZ447">
        <v>5.36</v>
      </c>
      <c r="BA447">
        <v>70</v>
      </c>
      <c r="BB447">
        <v>4.7300000000000004</v>
      </c>
      <c r="BC447">
        <v>44</v>
      </c>
      <c r="BD447">
        <v>-0.03</v>
      </c>
      <c r="BE447">
        <v>0.01</v>
      </c>
      <c r="BF447">
        <v>-0.05</v>
      </c>
      <c r="BG447">
        <v>87</v>
      </c>
      <c r="BH447">
        <v>0.09</v>
      </c>
      <c r="BI447">
        <v>11.77</v>
      </c>
      <c r="BJ447">
        <v>0</v>
      </c>
      <c r="BK447">
        <v>0</v>
      </c>
      <c r="BL447">
        <v>-0.03</v>
      </c>
      <c r="BM447">
        <v>-0.47</v>
      </c>
      <c r="BN447">
        <v>-0.76</v>
      </c>
      <c r="BO447">
        <v>-0.71</v>
      </c>
      <c r="BP447">
        <v>3.08</v>
      </c>
      <c r="BQ447">
        <v>-1.41</v>
      </c>
      <c r="BR447">
        <v>0.32</v>
      </c>
      <c r="BS447">
        <v>-1.2</v>
      </c>
      <c r="BT447">
        <v>-0.99</v>
      </c>
      <c r="BU447">
        <v>-1.84</v>
      </c>
      <c r="BV447">
        <v>-2.5299999999999998</v>
      </c>
      <c r="BW447">
        <v>-1.99</v>
      </c>
      <c r="BX447">
        <v>-1.24</v>
      </c>
      <c r="BY447">
        <v>-3.59</v>
      </c>
      <c r="BZ447">
        <v>-0.15</v>
      </c>
      <c r="CA447">
        <v>-1.88</v>
      </c>
      <c r="CB447">
        <v>-1.75</v>
      </c>
      <c r="CC447">
        <v>-0.88</v>
      </c>
      <c r="CD447">
        <v>0.28999999999999998</v>
      </c>
      <c r="CE447">
        <v>-1.02</v>
      </c>
      <c r="CF447">
        <v>-0.73</v>
      </c>
      <c r="CG447">
        <v>0</v>
      </c>
      <c r="CH447">
        <v>-2.0099999999999998</v>
      </c>
      <c r="CI447">
        <v>0</v>
      </c>
      <c r="CJ447">
        <v>-2.9</v>
      </c>
      <c r="CK447">
        <v>96</v>
      </c>
      <c r="CL447">
        <v>-0.69</v>
      </c>
      <c r="CM447">
        <v>94</v>
      </c>
      <c r="CN447">
        <v>-0.38</v>
      </c>
      <c r="CO447">
        <v>94</v>
      </c>
      <c r="CP447">
        <v>-3.9</v>
      </c>
      <c r="CQ447">
        <v>67</v>
      </c>
      <c r="CR447">
        <v>0</v>
      </c>
      <c r="CS447">
        <v>0</v>
      </c>
      <c r="CT447">
        <v>5.3</v>
      </c>
      <c r="CU447">
        <v>77</v>
      </c>
      <c r="CV447">
        <v>0.05</v>
      </c>
      <c r="CW447">
        <v>47</v>
      </c>
      <c r="CX447" t="s">
        <v>2159</v>
      </c>
    </row>
    <row r="448" spans="1:102" x14ac:dyDescent="0.3">
      <c r="A448" t="str">
        <f>HYPERLINK("https://webapp.icbf.com/v2/app/bull-search/view/865526218","OCZ")</f>
        <v>OCZ</v>
      </c>
      <c r="B448" t="s">
        <v>5549</v>
      </c>
      <c r="C448" t="s">
        <v>5550</v>
      </c>
      <c r="D448" s="1">
        <v>40599</v>
      </c>
      <c r="E448" t="s">
        <v>92</v>
      </c>
      <c r="F448">
        <v>69</v>
      </c>
      <c r="G448" t="s">
        <v>93</v>
      </c>
      <c r="H448">
        <v>188.03</v>
      </c>
      <c r="I448">
        <v>84</v>
      </c>
      <c r="J448">
        <v>81.39</v>
      </c>
      <c r="K448">
        <v>96</v>
      </c>
      <c r="L448">
        <v>78.930000000000007</v>
      </c>
      <c r="M448">
        <v>74</v>
      </c>
      <c r="N448">
        <v>38.17</v>
      </c>
      <c r="O448">
        <v>81</v>
      </c>
      <c r="P448">
        <v>-20.54</v>
      </c>
      <c r="Q448">
        <v>88</v>
      </c>
      <c r="R448">
        <v>-4.99</v>
      </c>
      <c r="S448">
        <v>75</v>
      </c>
      <c r="T448">
        <v>14.2</v>
      </c>
      <c r="U448">
        <v>84</v>
      </c>
      <c r="V448">
        <v>0.87</v>
      </c>
      <c r="W448">
        <v>73</v>
      </c>
      <c r="X448" t="s">
        <v>102</v>
      </c>
      <c r="Y448" t="s">
        <v>1860</v>
      </c>
      <c r="Z448" t="s">
        <v>330</v>
      </c>
      <c r="AA448" t="s">
        <v>2150</v>
      </c>
      <c r="AB448" t="s">
        <v>5551</v>
      </c>
      <c r="AC448">
        <v>68</v>
      </c>
      <c r="AD448">
        <v>21</v>
      </c>
      <c r="AE448">
        <v>96</v>
      </c>
      <c r="AF448">
        <v>314.62</v>
      </c>
      <c r="AG448">
        <v>14.61</v>
      </c>
      <c r="AH448">
        <v>13.49</v>
      </c>
      <c r="AI448">
        <v>0.04</v>
      </c>
      <c r="AJ448">
        <v>0.05</v>
      </c>
      <c r="AK448">
        <v>74</v>
      </c>
      <c r="AL448">
        <v>77</v>
      </c>
      <c r="AM448">
        <v>28</v>
      </c>
      <c r="AN448">
        <v>-3.85</v>
      </c>
      <c r="AO448">
        <v>2.4500000000000002</v>
      </c>
      <c r="AP448">
        <v>176</v>
      </c>
      <c r="AQ448">
        <v>0</v>
      </c>
      <c r="AR448">
        <v>4.8</v>
      </c>
      <c r="AS448">
        <v>64</v>
      </c>
      <c r="AT448">
        <v>1.88</v>
      </c>
      <c r="AU448">
        <v>85</v>
      </c>
      <c r="AV448">
        <v>-3.32</v>
      </c>
      <c r="AW448">
        <v>94</v>
      </c>
      <c r="AX448">
        <v>0.02</v>
      </c>
      <c r="AY448">
        <v>77</v>
      </c>
      <c r="AZ448">
        <v>7.4</v>
      </c>
      <c r="BA448">
        <v>58</v>
      </c>
      <c r="BB448">
        <v>5.41</v>
      </c>
      <c r="BC448">
        <v>56</v>
      </c>
      <c r="BD448">
        <v>-0.05</v>
      </c>
      <c r="BE448">
        <v>0.02</v>
      </c>
      <c r="BF448">
        <v>0.16</v>
      </c>
      <c r="BG448">
        <v>84</v>
      </c>
      <c r="BH448">
        <v>-0.03</v>
      </c>
      <c r="BI448">
        <v>-6.29</v>
      </c>
      <c r="BJ448">
        <v>0</v>
      </c>
      <c r="BK448">
        <v>0</v>
      </c>
      <c r="BL448">
        <v>-1.51</v>
      </c>
      <c r="BM448">
        <v>0.83</v>
      </c>
      <c r="BN448">
        <v>-0.45</v>
      </c>
      <c r="BO448">
        <v>-0.74</v>
      </c>
      <c r="BP448">
        <v>-0.13</v>
      </c>
      <c r="BQ448">
        <v>0.79</v>
      </c>
      <c r="BR448">
        <v>0.15</v>
      </c>
      <c r="BS448">
        <v>-0.34</v>
      </c>
      <c r="BT448">
        <v>-1.07</v>
      </c>
      <c r="BU448">
        <v>-0.49</v>
      </c>
      <c r="BV448">
        <v>-0.83</v>
      </c>
      <c r="BW448">
        <v>-1.92</v>
      </c>
      <c r="BX448">
        <v>-0.97</v>
      </c>
      <c r="BY448">
        <v>-2.37</v>
      </c>
      <c r="BZ448">
        <v>1.76</v>
      </c>
      <c r="CA448">
        <v>-1.42</v>
      </c>
      <c r="CB448">
        <v>-1.31</v>
      </c>
      <c r="CC448">
        <v>-0.33</v>
      </c>
      <c r="CD448">
        <v>0.43</v>
      </c>
      <c r="CE448">
        <v>-1.1200000000000001</v>
      </c>
      <c r="CF448">
        <v>-1.48</v>
      </c>
      <c r="CG448">
        <v>0</v>
      </c>
      <c r="CH448">
        <v>-2.11</v>
      </c>
      <c r="CI448">
        <v>0</v>
      </c>
      <c r="CJ448">
        <v>-8.9</v>
      </c>
      <c r="CK448">
        <v>90</v>
      </c>
      <c r="CL448">
        <v>-0.56999999999999995</v>
      </c>
      <c r="CM448">
        <v>88</v>
      </c>
      <c r="CN448">
        <v>0.08</v>
      </c>
      <c r="CO448">
        <v>87</v>
      </c>
      <c r="CP448">
        <v>-9.6</v>
      </c>
      <c r="CQ448">
        <v>81</v>
      </c>
      <c r="CR448">
        <v>0</v>
      </c>
      <c r="CS448">
        <v>0</v>
      </c>
      <c r="CT448">
        <v>-5.4</v>
      </c>
      <c r="CU448">
        <v>84</v>
      </c>
      <c r="CV448">
        <v>0.08</v>
      </c>
      <c r="CW448">
        <v>44</v>
      </c>
      <c r="CX448" t="s">
        <v>1762</v>
      </c>
    </row>
    <row r="449" spans="1:102" x14ac:dyDescent="0.3">
      <c r="A449" t="str">
        <f>HYPERLINK("https://webapp.icbf.com/v2/app/bull-search/view/1356860222","FR4205")</f>
        <v>FR4205</v>
      </c>
      <c r="B449" t="s">
        <v>13811</v>
      </c>
      <c r="C449" t="s">
        <v>13812</v>
      </c>
      <c r="D449" s="1">
        <v>42411</v>
      </c>
      <c r="E449" t="s">
        <v>92</v>
      </c>
      <c r="F449">
        <v>72</v>
      </c>
      <c r="G449" t="s">
        <v>435</v>
      </c>
      <c r="H449">
        <v>188.03</v>
      </c>
      <c r="I449">
        <v>74</v>
      </c>
      <c r="J449">
        <v>103.15</v>
      </c>
      <c r="K449">
        <v>88</v>
      </c>
      <c r="L449">
        <v>32.880000000000003</v>
      </c>
      <c r="M449">
        <v>62</v>
      </c>
      <c r="N449">
        <v>40.96</v>
      </c>
      <c r="O449">
        <v>86</v>
      </c>
      <c r="P449">
        <v>-10.199999999999999</v>
      </c>
      <c r="Q449">
        <v>77</v>
      </c>
      <c r="R449">
        <v>2.86</v>
      </c>
      <c r="S449">
        <v>62</v>
      </c>
      <c r="T449">
        <v>11.83</v>
      </c>
      <c r="U449">
        <v>57</v>
      </c>
      <c r="V449">
        <v>6.55</v>
      </c>
      <c r="W449">
        <v>58</v>
      </c>
      <c r="X449" t="s">
        <v>234</v>
      </c>
      <c r="Y449" t="s">
        <v>2255</v>
      </c>
      <c r="Z449" t="s">
        <v>330</v>
      </c>
      <c r="AA449" t="s">
        <v>6120</v>
      </c>
      <c r="AB449" t="s">
        <v>13813</v>
      </c>
      <c r="AC449">
        <v>1</v>
      </c>
      <c r="AD449">
        <v>1</v>
      </c>
      <c r="AE449">
        <v>88</v>
      </c>
      <c r="AF449">
        <v>197.43</v>
      </c>
      <c r="AG449">
        <v>17.82</v>
      </c>
      <c r="AH449">
        <v>14.26</v>
      </c>
      <c r="AI449">
        <v>0.17</v>
      </c>
      <c r="AJ449">
        <v>0.13</v>
      </c>
      <c r="AK449">
        <v>62</v>
      </c>
      <c r="AL449">
        <v>0</v>
      </c>
      <c r="AM449">
        <v>0</v>
      </c>
      <c r="AN449">
        <v>-0.42</v>
      </c>
      <c r="AO449">
        <v>2.2200000000000002</v>
      </c>
      <c r="AP449">
        <v>1101</v>
      </c>
      <c r="AQ449">
        <v>0</v>
      </c>
      <c r="AR449">
        <v>5.48</v>
      </c>
      <c r="AS449">
        <v>79</v>
      </c>
      <c r="AT449">
        <v>2.17</v>
      </c>
      <c r="AU449">
        <v>96</v>
      </c>
      <c r="AV449">
        <v>-3.5</v>
      </c>
      <c r="AW449">
        <v>99</v>
      </c>
      <c r="AX449">
        <v>-0.45</v>
      </c>
      <c r="AY449">
        <v>93</v>
      </c>
      <c r="AZ449">
        <v>6.64</v>
      </c>
      <c r="BA449">
        <v>42</v>
      </c>
      <c r="BB449">
        <v>5</v>
      </c>
      <c r="BC449">
        <v>40</v>
      </c>
      <c r="BD449">
        <v>-7.0000000000000007E-2</v>
      </c>
      <c r="BE449">
        <v>-0.01</v>
      </c>
      <c r="BF449">
        <v>7.0000000000000007E-2</v>
      </c>
      <c r="BG449">
        <v>72</v>
      </c>
      <c r="BH449">
        <v>0.14000000000000001</v>
      </c>
      <c r="BI449">
        <v>-4.95</v>
      </c>
      <c r="BJ449">
        <v>0</v>
      </c>
      <c r="BK449">
        <v>0</v>
      </c>
      <c r="BL449">
        <v>-1.36</v>
      </c>
      <c r="BM449">
        <v>1.59</v>
      </c>
      <c r="BN449">
        <v>-0.49</v>
      </c>
      <c r="BO449">
        <v>-0.87</v>
      </c>
      <c r="BP449">
        <v>0.06</v>
      </c>
      <c r="BQ449">
        <v>0.17</v>
      </c>
      <c r="BR449">
        <v>0.54</v>
      </c>
      <c r="BS449">
        <v>-0.56999999999999995</v>
      </c>
      <c r="BT449">
        <v>-0.6</v>
      </c>
      <c r="BU449">
        <v>-1.63</v>
      </c>
      <c r="BV449">
        <v>-1.88</v>
      </c>
      <c r="BW449">
        <v>-0.69</v>
      </c>
      <c r="BX449">
        <v>-2.21</v>
      </c>
      <c r="BY449">
        <v>-1.19</v>
      </c>
      <c r="BZ449">
        <v>2.0299999999999998</v>
      </c>
      <c r="CA449">
        <v>-1.43</v>
      </c>
      <c r="CB449">
        <v>-1.58</v>
      </c>
      <c r="CC449">
        <v>-0.01</v>
      </c>
      <c r="CD449">
        <v>0.97</v>
      </c>
      <c r="CE449">
        <v>-0.6</v>
      </c>
      <c r="CF449">
        <v>-1.73</v>
      </c>
      <c r="CG449">
        <v>0</v>
      </c>
      <c r="CH449">
        <v>-1.98</v>
      </c>
      <c r="CI449">
        <v>0</v>
      </c>
      <c r="CJ449">
        <v>-6.3</v>
      </c>
      <c r="CK449">
        <v>82</v>
      </c>
      <c r="CL449">
        <v>-0.26</v>
      </c>
      <c r="CM449">
        <v>74</v>
      </c>
      <c r="CN449">
        <v>-0.25</v>
      </c>
      <c r="CO449">
        <v>73</v>
      </c>
      <c r="CP449">
        <v>-11.7</v>
      </c>
      <c r="CQ449">
        <v>56</v>
      </c>
      <c r="CR449">
        <v>0</v>
      </c>
      <c r="CS449">
        <v>0</v>
      </c>
      <c r="CT449">
        <v>-2.2000000000000002</v>
      </c>
      <c r="CU449">
        <v>57</v>
      </c>
      <c r="CV449">
        <v>-0.1</v>
      </c>
      <c r="CW449">
        <v>43</v>
      </c>
      <c r="CX449" t="s">
        <v>2041</v>
      </c>
    </row>
    <row r="450" spans="1:102" x14ac:dyDescent="0.3">
      <c r="A450" t="str">
        <f>HYPERLINK("https://webapp.icbf.com/v2/app/bull-search/view/757535330","DZS")</f>
        <v>DZS</v>
      </c>
      <c r="B450" t="s">
        <v>5433</v>
      </c>
      <c r="C450" t="s">
        <v>5434</v>
      </c>
      <c r="D450" s="1">
        <v>40249</v>
      </c>
      <c r="E450" t="s">
        <v>92</v>
      </c>
      <c r="F450">
        <v>100</v>
      </c>
      <c r="G450" t="s">
        <v>93</v>
      </c>
      <c r="H450">
        <v>187.99</v>
      </c>
      <c r="I450">
        <v>86</v>
      </c>
      <c r="J450">
        <v>69.06</v>
      </c>
      <c r="K450">
        <v>97</v>
      </c>
      <c r="L450">
        <v>43.52</v>
      </c>
      <c r="M450">
        <v>79</v>
      </c>
      <c r="N450">
        <v>50.36</v>
      </c>
      <c r="O450">
        <v>87</v>
      </c>
      <c r="P450">
        <v>-7.85</v>
      </c>
      <c r="Q450">
        <v>94</v>
      </c>
      <c r="R450">
        <v>8.3800000000000008</v>
      </c>
      <c r="S450">
        <v>78</v>
      </c>
      <c r="T450">
        <v>20.56</v>
      </c>
      <c r="U450">
        <v>72</v>
      </c>
      <c r="V450">
        <v>3.96</v>
      </c>
      <c r="W450">
        <v>74</v>
      </c>
      <c r="X450" t="s">
        <v>94</v>
      </c>
      <c r="Y450" t="s">
        <v>422</v>
      </c>
      <c r="Z450" t="s">
        <v>96</v>
      </c>
      <c r="AA450" t="s">
        <v>5435</v>
      </c>
      <c r="AB450" t="s">
        <v>5436</v>
      </c>
      <c r="AC450">
        <v>93</v>
      </c>
      <c r="AD450">
        <v>62</v>
      </c>
      <c r="AE450">
        <v>97</v>
      </c>
      <c r="AF450">
        <v>247.11</v>
      </c>
      <c r="AG450">
        <v>15.68</v>
      </c>
      <c r="AH450">
        <v>9.98</v>
      </c>
      <c r="AI450">
        <v>0.1</v>
      </c>
      <c r="AJ450">
        <v>0.03</v>
      </c>
      <c r="AK450">
        <v>79</v>
      </c>
      <c r="AL450">
        <v>131</v>
      </c>
      <c r="AM450">
        <v>69</v>
      </c>
      <c r="AN450">
        <v>-1.67</v>
      </c>
      <c r="AO450">
        <v>1.81</v>
      </c>
      <c r="AP450">
        <v>274</v>
      </c>
      <c r="AQ450">
        <v>6</v>
      </c>
      <c r="AR450">
        <v>4.7300000000000004</v>
      </c>
      <c r="AS450">
        <v>79</v>
      </c>
      <c r="AT450">
        <v>1.95</v>
      </c>
      <c r="AU450">
        <v>89</v>
      </c>
      <c r="AV450">
        <v>-4.75</v>
      </c>
      <c r="AW450">
        <v>96</v>
      </c>
      <c r="AX450">
        <v>0.39</v>
      </c>
      <c r="AY450">
        <v>84</v>
      </c>
      <c r="AZ450">
        <v>6.51</v>
      </c>
      <c r="BA450">
        <v>66</v>
      </c>
      <c r="BB450">
        <v>5.27</v>
      </c>
      <c r="BC450">
        <v>68</v>
      </c>
      <c r="BD450">
        <v>-0.01</v>
      </c>
      <c r="BE450">
        <v>-0.04</v>
      </c>
      <c r="BF450">
        <v>-0.1</v>
      </c>
      <c r="BG450">
        <v>88</v>
      </c>
      <c r="BH450">
        <v>0.11</v>
      </c>
      <c r="BI450">
        <v>-0.06</v>
      </c>
      <c r="BJ450">
        <v>8</v>
      </c>
      <c r="BK450">
        <v>6</v>
      </c>
      <c r="BL450">
        <v>-0.19</v>
      </c>
      <c r="BM450">
        <v>0.37</v>
      </c>
      <c r="BN450">
        <v>-0.82</v>
      </c>
      <c r="BO450">
        <v>-0.4</v>
      </c>
      <c r="BP450">
        <v>1.39</v>
      </c>
      <c r="BQ450">
        <v>0.56000000000000005</v>
      </c>
      <c r="BR450">
        <v>0.71</v>
      </c>
      <c r="BS450">
        <v>-0.18</v>
      </c>
      <c r="BT450">
        <v>-0.28000000000000003</v>
      </c>
      <c r="BU450">
        <v>0.08</v>
      </c>
      <c r="BV450">
        <v>0.11</v>
      </c>
      <c r="BW450">
        <v>-0.03</v>
      </c>
      <c r="BX450">
        <v>0.5</v>
      </c>
      <c r="BY450">
        <v>0.47</v>
      </c>
      <c r="BZ450">
        <v>-2.21</v>
      </c>
      <c r="CA450">
        <v>-0.09</v>
      </c>
      <c r="CB450">
        <v>-0.09</v>
      </c>
      <c r="CC450">
        <v>0.01</v>
      </c>
      <c r="CD450">
        <v>0.76</v>
      </c>
      <c r="CE450">
        <v>-0.2</v>
      </c>
      <c r="CF450">
        <v>0.35</v>
      </c>
      <c r="CG450">
        <v>0</v>
      </c>
      <c r="CH450">
        <v>-0.28999999999999998</v>
      </c>
      <c r="CI450">
        <v>0</v>
      </c>
      <c r="CJ450">
        <v>-2.7</v>
      </c>
      <c r="CK450">
        <v>96</v>
      </c>
      <c r="CL450">
        <v>-0.7</v>
      </c>
      <c r="CM450">
        <v>95</v>
      </c>
      <c r="CN450">
        <v>-0.38</v>
      </c>
      <c r="CO450">
        <v>94</v>
      </c>
      <c r="CP450">
        <v>-9</v>
      </c>
      <c r="CQ450">
        <v>82</v>
      </c>
      <c r="CR450">
        <v>0</v>
      </c>
      <c r="CS450">
        <v>0</v>
      </c>
      <c r="CT450">
        <v>-14</v>
      </c>
      <c r="CU450">
        <v>72</v>
      </c>
      <c r="CV450">
        <v>0.11</v>
      </c>
      <c r="CW450">
        <v>46</v>
      </c>
      <c r="CX450" t="s">
        <v>4532</v>
      </c>
    </row>
    <row r="451" spans="1:102" x14ac:dyDescent="0.3">
      <c r="A451" t="str">
        <f>HYPERLINK("https://webapp.icbf.com/v2/app/bull-search/view/1034578658","JRB")</f>
        <v>JRB</v>
      </c>
      <c r="B451" t="s">
        <v>13271</v>
      </c>
      <c r="C451" t="s">
        <v>13272</v>
      </c>
      <c r="D451" s="1">
        <v>40656</v>
      </c>
      <c r="E451" t="s">
        <v>108</v>
      </c>
      <c r="F451">
        <v>0</v>
      </c>
      <c r="G451" t="s">
        <v>93</v>
      </c>
      <c r="H451">
        <v>187.97</v>
      </c>
      <c r="I451">
        <v>94</v>
      </c>
      <c r="J451">
        <v>72.900000000000006</v>
      </c>
      <c r="K451">
        <v>99</v>
      </c>
      <c r="L451">
        <v>65.599999999999994</v>
      </c>
      <c r="M451">
        <v>91</v>
      </c>
      <c r="N451">
        <v>54.87</v>
      </c>
      <c r="O451">
        <v>97</v>
      </c>
      <c r="P451">
        <v>-19.79</v>
      </c>
      <c r="Q451">
        <v>99</v>
      </c>
      <c r="R451">
        <v>1.46</v>
      </c>
      <c r="S451">
        <v>88</v>
      </c>
      <c r="T451">
        <v>13.01</v>
      </c>
      <c r="U451">
        <v>93</v>
      </c>
      <c r="V451">
        <v>-0.08</v>
      </c>
      <c r="W451">
        <v>78</v>
      </c>
      <c r="X451" t="s">
        <v>102</v>
      </c>
      <c r="Y451" t="s">
        <v>1923</v>
      </c>
      <c r="Z451" t="s">
        <v>96</v>
      </c>
      <c r="AA451" t="s">
        <v>7930</v>
      </c>
      <c r="AB451" t="s">
        <v>5890</v>
      </c>
      <c r="AC451">
        <v>549</v>
      </c>
      <c r="AD451">
        <v>192</v>
      </c>
      <c r="AE451">
        <v>99</v>
      </c>
      <c r="AF451">
        <v>-0.72</v>
      </c>
      <c r="AG451">
        <v>6.18</v>
      </c>
      <c r="AH451">
        <v>10.199999999999999</v>
      </c>
      <c r="AI451">
        <v>0.11</v>
      </c>
      <c r="AJ451">
        <v>0.18</v>
      </c>
      <c r="AK451">
        <v>91</v>
      </c>
      <c r="AL451">
        <v>821</v>
      </c>
      <c r="AM451">
        <v>314</v>
      </c>
      <c r="AN451">
        <v>-3.7</v>
      </c>
      <c r="AO451">
        <v>1.53</v>
      </c>
      <c r="AP451">
        <v>3548</v>
      </c>
      <c r="AQ451">
        <v>15</v>
      </c>
      <c r="AR451">
        <v>5.42</v>
      </c>
      <c r="AS451">
        <v>95</v>
      </c>
      <c r="AT451">
        <v>2.2200000000000002</v>
      </c>
      <c r="AU451">
        <v>99</v>
      </c>
      <c r="AV451">
        <v>-5.59</v>
      </c>
      <c r="AW451">
        <v>99</v>
      </c>
      <c r="AX451">
        <v>-0.72</v>
      </c>
      <c r="AY451">
        <v>99</v>
      </c>
      <c r="AZ451">
        <v>6.83</v>
      </c>
      <c r="BA451">
        <v>92</v>
      </c>
      <c r="BB451">
        <v>5.54</v>
      </c>
      <c r="BC451">
        <v>85</v>
      </c>
      <c r="BD451">
        <v>-0.01</v>
      </c>
      <c r="BE451">
        <v>-0.03</v>
      </c>
      <c r="BF451">
        <v>0.04</v>
      </c>
      <c r="BG451">
        <v>96</v>
      </c>
      <c r="BH451">
        <v>0.03</v>
      </c>
      <c r="BI451">
        <v>3.72</v>
      </c>
      <c r="BJ451">
        <v>31</v>
      </c>
      <c r="BK451">
        <v>16</v>
      </c>
      <c r="BL451">
        <v>-3</v>
      </c>
      <c r="BM451">
        <v>0.73</v>
      </c>
      <c r="BN451">
        <v>-2.84</v>
      </c>
      <c r="BO451">
        <v>-2.85</v>
      </c>
      <c r="BP451">
        <v>-3.21</v>
      </c>
      <c r="BQ451">
        <v>1.62</v>
      </c>
      <c r="BR451">
        <v>-3.33</v>
      </c>
      <c r="BS451">
        <v>7.0000000000000007E-2</v>
      </c>
      <c r="BT451">
        <v>0.67</v>
      </c>
      <c r="BU451">
        <v>-4.32</v>
      </c>
      <c r="BV451">
        <v>-2.74</v>
      </c>
      <c r="BW451">
        <v>-2.4300000000000002</v>
      </c>
      <c r="BX451">
        <v>-2.57</v>
      </c>
      <c r="BY451">
        <v>-1.63</v>
      </c>
      <c r="BZ451">
        <v>0.21</v>
      </c>
      <c r="CA451">
        <v>-1.76</v>
      </c>
      <c r="CB451">
        <v>-2.56</v>
      </c>
      <c r="CC451">
        <v>0.22</v>
      </c>
      <c r="CD451">
        <v>2.08</v>
      </c>
      <c r="CE451">
        <v>-1.29</v>
      </c>
      <c r="CF451">
        <v>-1.76</v>
      </c>
      <c r="CG451">
        <v>0</v>
      </c>
      <c r="CH451">
        <v>-1.84</v>
      </c>
      <c r="CI451">
        <v>0</v>
      </c>
      <c r="CJ451">
        <v>-12.4</v>
      </c>
      <c r="CK451">
        <v>99</v>
      </c>
      <c r="CL451">
        <v>-0.28999999999999998</v>
      </c>
      <c r="CM451">
        <v>99</v>
      </c>
      <c r="CN451">
        <v>-0.14000000000000001</v>
      </c>
      <c r="CO451">
        <v>99</v>
      </c>
      <c r="CP451">
        <v>-8.8000000000000007</v>
      </c>
      <c r="CQ451">
        <v>94</v>
      </c>
      <c r="CR451">
        <v>0</v>
      </c>
      <c r="CS451">
        <v>0</v>
      </c>
      <c r="CT451">
        <v>-3.8</v>
      </c>
      <c r="CU451">
        <v>93</v>
      </c>
      <c r="CV451">
        <v>-0.06</v>
      </c>
      <c r="CW451">
        <v>46</v>
      </c>
      <c r="CX451" t="s">
        <v>1226</v>
      </c>
    </row>
    <row r="452" spans="1:102" x14ac:dyDescent="0.3">
      <c r="A452" t="str">
        <f>HYPERLINK("https://webapp.icbf.com/v2/app/bull-search/view/1619518264","FR4696")</f>
        <v>FR4696</v>
      </c>
      <c r="B452" t="s">
        <v>9542</v>
      </c>
      <c r="C452" t="s">
        <v>9543</v>
      </c>
      <c r="D452" s="1">
        <v>42591</v>
      </c>
      <c r="E452" t="s">
        <v>92</v>
      </c>
      <c r="F452">
        <v>100</v>
      </c>
      <c r="G452" t="s">
        <v>435</v>
      </c>
      <c r="H452">
        <v>187.96</v>
      </c>
      <c r="I452">
        <v>67</v>
      </c>
      <c r="J452">
        <v>82.16</v>
      </c>
      <c r="K452">
        <v>88</v>
      </c>
      <c r="L452">
        <v>47.7</v>
      </c>
      <c r="M452">
        <v>66</v>
      </c>
      <c r="N452">
        <v>53.05</v>
      </c>
      <c r="O452">
        <v>57</v>
      </c>
      <c r="P452">
        <v>0.46</v>
      </c>
      <c r="Q452">
        <v>38</v>
      </c>
      <c r="R452">
        <v>20.54</v>
      </c>
      <c r="S452">
        <v>62</v>
      </c>
      <c r="T452">
        <v>-12.22</v>
      </c>
      <c r="U452">
        <v>34</v>
      </c>
      <c r="V452">
        <v>-3.73</v>
      </c>
      <c r="W452">
        <v>53</v>
      </c>
      <c r="X452" t="s">
        <v>428</v>
      </c>
      <c r="Y452" t="s">
        <v>442</v>
      </c>
      <c r="Z452" t="s">
        <v>96</v>
      </c>
      <c r="AA452" t="s">
        <v>6137</v>
      </c>
      <c r="AB452" t="s">
        <v>9544</v>
      </c>
      <c r="AC452">
        <v>0</v>
      </c>
      <c r="AD452">
        <v>0</v>
      </c>
      <c r="AE452">
        <v>88</v>
      </c>
      <c r="AF452">
        <v>482.6</v>
      </c>
      <c r="AG452">
        <v>18.399999999999999</v>
      </c>
      <c r="AH452">
        <v>14.85</v>
      </c>
      <c r="AI452">
        <v>-0.01</v>
      </c>
      <c r="AJ452">
        <v>-0.02</v>
      </c>
      <c r="AK452">
        <v>66</v>
      </c>
      <c r="AL452">
        <v>0</v>
      </c>
      <c r="AM452">
        <v>0</v>
      </c>
      <c r="AN452">
        <v>-0.56000000000000005</v>
      </c>
      <c r="AO452">
        <v>3.27</v>
      </c>
      <c r="AP452">
        <v>4</v>
      </c>
      <c r="AQ452">
        <v>0</v>
      </c>
      <c r="AR452">
        <v>3.9</v>
      </c>
      <c r="AS452">
        <v>58</v>
      </c>
      <c r="AT452">
        <v>1.38</v>
      </c>
      <c r="AU452">
        <v>86</v>
      </c>
      <c r="AV452">
        <v>-3.81</v>
      </c>
      <c r="AW452">
        <v>53</v>
      </c>
      <c r="AX452">
        <v>0.12</v>
      </c>
      <c r="AY452">
        <v>42</v>
      </c>
      <c r="AZ452">
        <v>5.32</v>
      </c>
      <c r="BA452">
        <v>33</v>
      </c>
      <c r="BB452">
        <v>4.63</v>
      </c>
      <c r="BC452">
        <v>33</v>
      </c>
      <c r="BD452">
        <v>-0.08</v>
      </c>
      <c r="BE452">
        <v>-0.11</v>
      </c>
      <c r="BF452">
        <v>-0.13</v>
      </c>
      <c r="BG452">
        <v>76</v>
      </c>
      <c r="BH452">
        <v>-0.1</v>
      </c>
      <c r="BI452">
        <v>0.48</v>
      </c>
      <c r="BJ452">
        <v>0</v>
      </c>
      <c r="BK452">
        <v>0</v>
      </c>
      <c r="BL452">
        <v>0.78</v>
      </c>
      <c r="BM452">
        <v>-0.26</v>
      </c>
      <c r="BN452">
        <v>-0.65</v>
      </c>
      <c r="BO452">
        <v>0.27</v>
      </c>
      <c r="BP452">
        <v>-1.64</v>
      </c>
      <c r="BQ452">
        <v>2.08</v>
      </c>
      <c r="BR452">
        <v>-2.0699999999999998</v>
      </c>
      <c r="BS452">
        <v>3.24</v>
      </c>
      <c r="BT452">
        <v>1.52</v>
      </c>
      <c r="BU452">
        <v>4.0599999999999996</v>
      </c>
      <c r="BV452">
        <v>3.02</v>
      </c>
      <c r="BW452">
        <v>2.27</v>
      </c>
      <c r="BX452">
        <v>3.24</v>
      </c>
      <c r="BY452">
        <v>2.11</v>
      </c>
      <c r="BZ452">
        <v>-3.76</v>
      </c>
      <c r="CA452">
        <v>3.63</v>
      </c>
      <c r="CB452">
        <v>3.04</v>
      </c>
      <c r="CC452">
        <v>1.81</v>
      </c>
      <c r="CD452">
        <v>0.66</v>
      </c>
      <c r="CE452">
        <v>0.72</v>
      </c>
      <c r="CF452">
        <v>1.18</v>
      </c>
      <c r="CG452">
        <v>0</v>
      </c>
      <c r="CH452">
        <v>3.05</v>
      </c>
      <c r="CI452">
        <v>0</v>
      </c>
      <c r="CJ452">
        <v>1.3</v>
      </c>
      <c r="CK452">
        <v>39</v>
      </c>
      <c r="CL452">
        <v>-1.36</v>
      </c>
      <c r="CM452">
        <v>37</v>
      </c>
      <c r="CN452">
        <v>-0.95</v>
      </c>
      <c r="CO452">
        <v>36</v>
      </c>
      <c r="CP452">
        <v>10.5</v>
      </c>
      <c r="CQ452">
        <v>35</v>
      </c>
      <c r="CR452">
        <v>0</v>
      </c>
      <c r="CS452">
        <v>0</v>
      </c>
      <c r="CT452">
        <v>30.3</v>
      </c>
      <c r="CU452">
        <v>34</v>
      </c>
      <c r="CV452">
        <v>0.24</v>
      </c>
      <c r="CW452">
        <v>33</v>
      </c>
      <c r="CX452" t="s">
        <v>2311</v>
      </c>
    </row>
    <row r="453" spans="1:102" x14ac:dyDescent="0.3">
      <c r="A453" t="str">
        <f>HYPERLINK("https://webapp.icbf.com/v2/app/bull-search/view/1353017167","JE4200")</f>
        <v>JE4200</v>
      </c>
      <c r="B453" t="s">
        <v>14224</v>
      </c>
      <c r="C453" t="s">
        <v>14225</v>
      </c>
      <c r="D453" s="1">
        <v>42397</v>
      </c>
      <c r="E453" t="s">
        <v>227</v>
      </c>
      <c r="F453">
        <v>22</v>
      </c>
      <c r="G453" t="s">
        <v>435</v>
      </c>
      <c r="H453">
        <v>187.96</v>
      </c>
      <c r="I453">
        <v>72</v>
      </c>
      <c r="J453">
        <v>64.459999999999994</v>
      </c>
      <c r="K453">
        <v>86</v>
      </c>
      <c r="L453">
        <v>65.760000000000005</v>
      </c>
      <c r="M453">
        <v>62</v>
      </c>
      <c r="N453">
        <v>50.33</v>
      </c>
      <c r="O453">
        <v>85</v>
      </c>
      <c r="P453">
        <v>-12.34</v>
      </c>
      <c r="Q453">
        <v>72</v>
      </c>
      <c r="R453">
        <v>-0.06</v>
      </c>
      <c r="S453">
        <v>59</v>
      </c>
      <c r="T453">
        <v>16.93</v>
      </c>
      <c r="U453">
        <v>52</v>
      </c>
      <c r="V453">
        <v>2.88</v>
      </c>
      <c r="W453">
        <v>57</v>
      </c>
      <c r="X453" t="s">
        <v>234</v>
      </c>
      <c r="Y453" t="s">
        <v>2255</v>
      </c>
      <c r="Z453">
        <v>0</v>
      </c>
      <c r="AA453" t="s">
        <v>9474</v>
      </c>
      <c r="AB453" t="s">
        <v>144</v>
      </c>
      <c r="AC453">
        <v>0</v>
      </c>
      <c r="AD453">
        <v>0</v>
      </c>
      <c r="AE453">
        <v>86</v>
      </c>
      <c r="AF453">
        <v>318.02</v>
      </c>
      <c r="AG453">
        <v>10.63</v>
      </c>
      <c r="AH453">
        <v>12.07</v>
      </c>
      <c r="AI453">
        <v>-0.03</v>
      </c>
      <c r="AJ453">
        <v>0.03</v>
      </c>
      <c r="AK453">
        <v>62</v>
      </c>
      <c r="AL453">
        <v>0</v>
      </c>
      <c r="AM453">
        <v>0</v>
      </c>
      <c r="AN453">
        <v>-2.35</v>
      </c>
      <c r="AO453">
        <v>2.91</v>
      </c>
      <c r="AP453">
        <v>492</v>
      </c>
      <c r="AQ453">
        <v>0</v>
      </c>
      <c r="AR453">
        <v>4.1500000000000004</v>
      </c>
      <c r="AS453">
        <v>89</v>
      </c>
      <c r="AT453">
        <v>1.93</v>
      </c>
      <c r="AU453">
        <v>90</v>
      </c>
      <c r="AV453">
        <v>-4.22</v>
      </c>
      <c r="AW453">
        <v>98</v>
      </c>
      <c r="AX453">
        <v>0.38</v>
      </c>
      <c r="AY453">
        <v>86</v>
      </c>
      <c r="AZ453">
        <v>6.14</v>
      </c>
      <c r="BA453">
        <v>42</v>
      </c>
      <c r="BB453">
        <v>4.79</v>
      </c>
      <c r="BC453">
        <v>41</v>
      </c>
      <c r="BD453">
        <v>-0.04</v>
      </c>
      <c r="BE453">
        <v>0.02</v>
      </c>
      <c r="BF453">
        <v>0.03</v>
      </c>
      <c r="BG453">
        <v>68</v>
      </c>
      <c r="BH453">
        <v>0.03</v>
      </c>
      <c r="BI453">
        <v>-5.81</v>
      </c>
      <c r="BJ453">
        <v>0</v>
      </c>
      <c r="BK453">
        <v>0</v>
      </c>
      <c r="BL453">
        <v>-2.61</v>
      </c>
      <c r="BM453">
        <v>-0.87</v>
      </c>
      <c r="BN453">
        <v>-1</v>
      </c>
      <c r="BO453">
        <v>-0.16</v>
      </c>
      <c r="BP453">
        <v>0.13</v>
      </c>
      <c r="BQ453">
        <v>-4.5599999999999996</v>
      </c>
      <c r="BR453">
        <v>2.08</v>
      </c>
      <c r="BS453">
        <v>2.4300000000000002</v>
      </c>
      <c r="BT453">
        <v>-1.64</v>
      </c>
      <c r="BU453">
        <v>-1.32</v>
      </c>
      <c r="BV453">
        <v>-0.95</v>
      </c>
      <c r="BW453">
        <v>-2.33</v>
      </c>
      <c r="BX453">
        <v>-3.27</v>
      </c>
      <c r="BY453">
        <v>-0.83</v>
      </c>
      <c r="BZ453">
        <v>-0.14000000000000001</v>
      </c>
      <c r="CA453">
        <v>-0.53</v>
      </c>
      <c r="CB453">
        <v>-1.01</v>
      </c>
      <c r="CC453">
        <v>0.75</v>
      </c>
      <c r="CD453">
        <v>-0.7</v>
      </c>
      <c r="CE453">
        <v>-0.2</v>
      </c>
      <c r="CF453">
        <v>-2.96</v>
      </c>
      <c r="CG453">
        <v>0</v>
      </c>
      <c r="CH453">
        <v>-0.91</v>
      </c>
      <c r="CI453">
        <v>0</v>
      </c>
      <c r="CJ453">
        <v>-6</v>
      </c>
      <c r="CK453">
        <v>77</v>
      </c>
      <c r="CL453">
        <v>-0.67</v>
      </c>
      <c r="CM453">
        <v>67</v>
      </c>
      <c r="CN453">
        <v>-0.36</v>
      </c>
      <c r="CO453">
        <v>66</v>
      </c>
      <c r="CP453">
        <v>-9.1</v>
      </c>
      <c r="CQ453">
        <v>54</v>
      </c>
      <c r="CR453">
        <v>0</v>
      </c>
      <c r="CS453">
        <v>0</v>
      </c>
      <c r="CT453">
        <v>-9.1</v>
      </c>
      <c r="CU453">
        <v>52</v>
      </c>
      <c r="CV453">
        <v>0.1</v>
      </c>
      <c r="CW453">
        <v>41</v>
      </c>
      <c r="CX453" t="s">
        <v>11658</v>
      </c>
    </row>
    <row r="454" spans="1:102" x14ac:dyDescent="0.3">
      <c r="A454" t="str">
        <f>HYPERLINK("https://webapp.icbf.com/v2/app/bull-search/view/1539348721","S3261")</f>
        <v>S3261</v>
      </c>
      <c r="B454" t="s">
        <v>13776</v>
      </c>
      <c r="C454" t="s">
        <v>13777</v>
      </c>
      <c r="D454" s="1">
        <v>42694</v>
      </c>
      <c r="E454" t="s">
        <v>92</v>
      </c>
      <c r="F454">
        <v>100</v>
      </c>
      <c r="G454" t="s">
        <v>435</v>
      </c>
      <c r="H454">
        <v>187.88</v>
      </c>
      <c r="I454">
        <v>66</v>
      </c>
      <c r="J454">
        <v>77.3</v>
      </c>
      <c r="K454">
        <v>86</v>
      </c>
      <c r="L454">
        <v>72.650000000000006</v>
      </c>
      <c r="M454">
        <v>63</v>
      </c>
      <c r="N454">
        <v>34.39</v>
      </c>
      <c r="O454">
        <v>71</v>
      </c>
      <c r="P454">
        <v>-9.89</v>
      </c>
      <c r="Q454">
        <v>35</v>
      </c>
      <c r="R454">
        <v>18.59</v>
      </c>
      <c r="S454">
        <v>58</v>
      </c>
      <c r="T454">
        <v>-3.49</v>
      </c>
      <c r="U454">
        <v>34</v>
      </c>
      <c r="V454">
        <v>-1.67</v>
      </c>
      <c r="W454">
        <v>49</v>
      </c>
      <c r="X454" t="s">
        <v>110</v>
      </c>
      <c r="Y454" t="s">
        <v>2394</v>
      </c>
      <c r="Z454" t="s">
        <v>96</v>
      </c>
      <c r="AA454" t="s">
        <v>13778</v>
      </c>
      <c r="AB454" t="s">
        <v>13779</v>
      </c>
      <c r="AC454">
        <v>0</v>
      </c>
      <c r="AD454">
        <v>0</v>
      </c>
      <c r="AE454">
        <v>86</v>
      </c>
      <c r="AF454">
        <v>180.47</v>
      </c>
      <c r="AG454">
        <v>11.22</v>
      </c>
      <c r="AH454">
        <v>11.94</v>
      </c>
      <c r="AI454">
        <v>7.0000000000000007E-2</v>
      </c>
      <c r="AJ454">
        <v>0.1</v>
      </c>
      <c r="AK454">
        <v>63</v>
      </c>
      <c r="AL454">
        <v>0</v>
      </c>
      <c r="AM454">
        <v>0</v>
      </c>
      <c r="AN454">
        <v>-3.49</v>
      </c>
      <c r="AO454">
        <v>2.31</v>
      </c>
      <c r="AP454">
        <v>85</v>
      </c>
      <c r="AQ454">
        <v>0</v>
      </c>
      <c r="AR454">
        <v>6.55</v>
      </c>
      <c r="AS454">
        <v>58</v>
      </c>
      <c r="AT454">
        <v>2.94</v>
      </c>
      <c r="AU454">
        <v>78</v>
      </c>
      <c r="AV454">
        <v>-4.1100000000000003</v>
      </c>
      <c r="AW454">
        <v>89</v>
      </c>
      <c r="AX454">
        <v>0.37</v>
      </c>
      <c r="AY454">
        <v>58</v>
      </c>
      <c r="AZ454">
        <v>6.05</v>
      </c>
      <c r="BA454">
        <v>30</v>
      </c>
      <c r="BB454">
        <v>5.41</v>
      </c>
      <c r="BC454">
        <v>30</v>
      </c>
      <c r="BD454">
        <v>-0.05</v>
      </c>
      <c r="BE454">
        <v>-0.06</v>
      </c>
      <c r="BF454">
        <v>-0.23</v>
      </c>
      <c r="BG454">
        <v>72</v>
      </c>
      <c r="BH454">
        <v>-0.04</v>
      </c>
      <c r="BI454">
        <v>0.77</v>
      </c>
      <c r="BJ454">
        <v>0</v>
      </c>
      <c r="BK454">
        <v>0</v>
      </c>
      <c r="BL454">
        <v>1.83</v>
      </c>
      <c r="BM454">
        <v>-0.99</v>
      </c>
      <c r="BN454">
        <v>-0.25</v>
      </c>
      <c r="BO454">
        <v>0.96</v>
      </c>
      <c r="BP454">
        <v>0.72</v>
      </c>
      <c r="BQ454">
        <v>0.41</v>
      </c>
      <c r="BR454">
        <v>-0.53</v>
      </c>
      <c r="BS454">
        <v>-0.01</v>
      </c>
      <c r="BT454">
        <v>0.27</v>
      </c>
      <c r="BU454">
        <v>2.38</v>
      </c>
      <c r="BV454">
        <v>2.25</v>
      </c>
      <c r="BW454">
        <v>0.46</v>
      </c>
      <c r="BX454">
        <v>2.66</v>
      </c>
      <c r="BY454">
        <v>0.7</v>
      </c>
      <c r="BZ454">
        <v>-1.76</v>
      </c>
      <c r="CA454">
        <v>1.98</v>
      </c>
      <c r="CB454">
        <v>1.83</v>
      </c>
      <c r="CC454">
        <v>0.47</v>
      </c>
      <c r="CD454">
        <v>-1.1200000000000001</v>
      </c>
      <c r="CE454">
        <v>1.08</v>
      </c>
      <c r="CF454">
        <v>0.78</v>
      </c>
      <c r="CG454">
        <v>0</v>
      </c>
      <c r="CH454">
        <v>1.38</v>
      </c>
      <c r="CI454">
        <v>0</v>
      </c>
      <c r="CJ454">
        <v>-3</v>
      </c>
      <c r="CK454">
        <v>36</v>
      </c>
      <c r="CL454">
        <v>-1.52</v>
      </c>
      <c r="CM454">
        <v>35</v>
      </c>
      <c r="CN454">
        <v>-0.85</v>
      </c>
      <c r="CO454">
        <v>35</v>
      </c>
      <c r="CP454">
        <v>-0.1</v>
      </c>
      <c r="CQ454">
        <v>34</v>
      </c>
      <c r="CR454">
        <v>0</v>
      </c>
      <c r="CS454">
        <v>0</v>
      </c>
      <c r="CT454">
        <v>18.5</v>
      </c>
      <c r="CU454">
        <v>34</v>
      </c>
      <c r="CV454">
        <v>0.26</v>
      </c>
      <c r="CW454">
        <v>32</v>
      </c>
      <c r="CX454" t="s">
        <v>6247</v>
      </c>
    </row>
    <row r="455" spans="1:102" x14ac:dyDescent="0.3">
      <c r="A455" t="str">
        <f>HYPERLINK("https://webapp.icbf.com/v2/app/bull-search/view/1092508987","S2211")</f>
        <v>S2211</v>
      </c>
      <c r="B455" t="s">
        <v>5905</v>
      </c>
      <c r="C455" t="s">
        <v>5906</v>
      </c>
      <c r="D455" s="1">
        <v>41107</v>
      </c>
      <c r="E455" t="s">
        <v>92</v>
      </c>
      <c r="F455">
        <v>100</v>
      </c>
      <c r="G455" t="s">
        <v>93</v>
      </c>
      <c r="H455">
        <v>187.45</v>
      </c>
      <c r="I455">
        <v>89</v>
      </c>
      <c r="J455">
        <v>105.79</v>
      </c>
      <c r="K455">
        <v>98</v>
      </c>
      <c r="L455">
        <v>56.36</v>
      </c>
      <c r="M455">
        <v>84</v>
      </c>
      <c r="N455">
        <v>9.02</v>
      </c>
      <c r="O455">
        <v>89</v>
      </c>
      <c r="P455">
        <v>-23.83</v>
      </c>
      <c r="Q455">
        <v>95</v>
      </c>
      <c r="R455">
        <v>28.33</v>
      </c>
      <c r="S455">
        <v>76</v>
      </c>
      <c r="T455">
        <v>13.09</v>
      </c>
      <c r="U455">
        <v>78</v>
      </c>
      <c r="V455">
        <v>-1.31</v>
      </c>
      <c r="W455">
        <v>70</v>
      </c>
      <c r="X455" t="s">
        <v>94</v>
      </c>
      <c r="Y455" t="s">
        <v>367</v>
      </c>
      <c r="Z455" t="s">
        <v>96</v>
      </c>
      <c r="AA455" t="s">
        <v>5907</v>
      </c>
      <c r="AB455" t="s">
        <v>5908</v>
      </c>
      <c r="AC455">
        <v>323</v>
      </c>
      <c r="AD455">
        <v>99</v>
      </c>
      <c r="AE455">
        <v>98</v>
      </c>
      <c r="AF455">
        <v>202.08</v>
      </c>
      <c r="AG455">
        <v>19.04</v>
      </c>
      <c r="AH455">
        <v>14.35</v>
      </c>
      <c r="AI455">
        <v>0.19</v>
      </c>
      <c r="AJ455">
        <v>0.13</v>
      </c>
      <c r="AK455">
        <v>84</v>
      </c>
      <c r="AL455">
        <v>178</v>
      </c>
      <c r="AM455">
        <v>58</v>
      </c>
      <c r="AN455">
        <v>-1.88</v>
      </c>
      <c r="AO455">
        <v>2.63</v>
      </c>
      <c r="AP455">
        <v>745</v>
      </c>
      <c r="AQ455">
        <v>2</v>
      </c>
      <c r="AR455">
        <v>6.88</v>
      </c>
      <c r="AS455">
        <v>87</v>
      </c>
      <c r="AT455">
        <v>2.97</v>
      </c>
      <c r="AU455">
        <v>96</v>
      </c>
      <c r="AV455">
        <v>-0.15</v>
      </c>
      <c r="AW455">
        <v>99</v>
      </c>
      <c r="AX455">
        <v>-0.48</v>
      </c>
      <c r="AY455">
        <v>93</v>
      </c>
      <c r="AZ455">
        <v>5.48</v>
      </c>
      <c r="BA455">
        <v>75</v>
      </c>
      <c r="BB455">
        <v>4.57</v>
      </c>
      <c r="BC455">
        <v>50</v>
      </c>
      <c r="BD455">
        <v>-0.08</v>
      </c>
      <c r="BE455">
        <v>-0.12</v>
      </c>
      <c r="BF455">
        <v>-0.28999999999999998</v>
      </c>
      <c r="BG455">
        <v>92</v>
      </c>
      <c r="BH455">
        <v>-0.16</v>
      </c>
      <c r="BI455">
        <v>-14.28</v>
      </c>
      <c r="BJ455">
        <v>20</v>
      </c>
      <c r="BK455">
        <v>9</v>
      </c>
      <c r="BL455">
        <v>0.56000000000000005</v>
      </c>
      <c r="BM455">
        <v>-1.24</v>
      </c>
      <c r="BN455">
        <v>-7.0000000000000007E-2</v>
      </c>
      <c r="BO455">
        <v>0.88</v>
      </c>
      <c r="BP455">
        <v>-0.32</v>
      </c>
      <c r="BQ455">
        <v>-2.25</v>
      </c>
      <c r="BR455">
        <v>-0.39</v>
      </c>
      <c r="BS455">
        <v>2.46</v>
      </c>
      <c r="BT455">
        <v>1.28</v>
      </c>
      <c r="BU455">
        <v>0.89</v>
      </c>
      <c r="BV455">
        <v>1.17</v>
      </c>
      <c r="BW455">
        <v>0.45</v>
      </c>
      <c r="BX455">
        <v>0.76</v>
      </c>
      <c r="BY455">
        <v>1.66</v>
      </c>
      <c r="BZ455">
        <v>0.16</v>
      </c>
      <c r="CA455">
        <v>1.63</v>
      </c>
      <c r="CB455">
        <v>1.26</v>
      </c>
      <c r="CC455">
        <v>1.58</v>
      </c>
      <c r="CD455">
        <v>-0.52</v>
      </c>
      <c r="CE455">
        <v>0.98</v>
      </c>
      <c r="CF455">
        <v>-0.01</v>
      </c>
      <c r="CG455">
        <v>0</v>
      </c>
      <c r="CH455">
        <v>1.76</v>
      </c>
      <c r="CI455">
        <v>0</v>
      </c>
      <c r="CJ455">
        <v>-8.4</v>
      </c>
      <c r="CK455">
        <v>97</v>
      </c>
      <c r="CL455">
        <v>-1.29</v>
      </c>
      <c r="CM455">
        <v>96</v>
      </c>
      <c r="CN455">
        <v>-0.18</v>
      </c>
      <c r="CO455">
        <v>96</v>
      </c>
      <c r="CP455">
        <v>-6.9</v>
      </c>
      <c r="CQ455">
        <v>72</v>
      </c>
      <c r="CR455">
        <v>0</v>
      </c>
      <c r="CS455">
        <v>0</v>
      </c>
      <c r="CT455">
        <v>-3.9</v>
      </c>
      <c r="CU455">
        <v>78</v>
      </c>
      <c r="CV455">
        <v>0.24</v>
      </c>
      <c r="CW455">
        <v>45</v>
      </c>
      <c r="CX455" t="s">
        <v>5909</v>
      </c>
    </row>
    <row r="456" spans="1:102" x14ac:dyDescent="0.3">
      <c r="A456" t="str">
        <f>HYPERLINK("https://webapp.icbf.com/v2/app/bull-search/view/1354260650","FR4172")</f>
        <v>FR4172</v>
      </c>
      <c r="B456" t="s">
        <v>7684</v>
      </c>
      <c r="C456" t="s">
        <v>7685</v>
      </c>
      <c r="D456" s="1">
        <v>42404</v>
      </c>
      <c r="E456" t="s">
        <v>92</v>
      </c>
      <c r="F456">
        <v>72</v>
      </c>
      <c r="G456" t="s">
        <v>435</v>
      </c>
      <c r="H456">
        <v>187.38</v>
      </c>
      <c r="I456">
        <v>75</v>
      </c>
      <c r="J456">
        <v>72.06</v>
      </c>
      <c r="K456">
        <v>90</v>
      </c>
      <c r="L456">
        <v>58.02</v>
      </c>
      <c r="M456">
        <v>65</v>
      </c>
      <c r="N456">
        <v>54.6</v>
      </c>
      <c r="O456">
        <v>89</v>
      </c>
      <c r="P456">
        <v>-26.58</v>
      </c>
      <c r="Q456">
        <v>70</v>
      </c>
      <c r="R456">
        <v>8.94</v>
      </c>
      <c r="S456">
        <v>65</v>
      </c>
      <c r="T456">
        <v>17.45</v>
      </c>
      <c r="U456">
        <v>56</v>
      </c>
      <c r="V456">
        <v>2.89</v>
      </c>
      <c r="W456">
        <v>59</v>
      </c>
      <c r="X456" t="s">
        <v>94</v>
      </c>
      <c r="Y456" t="s">
        <v>2255</v>
      </c>
      <c r="Z456" t="s">
        <v>330</v>
      </c>
      <c r="AA456" t="s">
        <v>7686</v>
      </c>
      <c r="AB456" t="s">
        <v>7687</v>
      </c>
      <c r="AC456">
        <v>0</v>
      </c>
      <c r="AD456">
        <v>0</v>
      </c>
      <c r="AE456">
        <v>90</v>
      </c>
      <c r="AF456">
        <v>96.29</v>
      </c>
      <c r="AG456">
        <v>11.39</v>
      </c>
      <c r="AH456">
        <v>9.6999999999999993</v>
      </c>
      <c r="AI456">
        <v>0.13</v>
      </c>
      <c r="AJ456">
        <v>0.11</v>
      </c>
      <c r="AK456">
        <v>65</v>
      </c>
      <c r="AL456">
        <v>0</v>
      </c>
      <c r="AM456">
        <v>0</v>
      </c>
      <c r="AN456">
        <v>-2.95</v>
      </c>
      <c r="AO456">
        <v>1.68</v>
      </c>
      <c r="AP456">
        <v>4278</v>
      </c>
      <c r="AQ456">
        <v>1</v>
      </c>
      <c r="AR456">
        <v>4.71</v>
      </c>
      <c r="AS456">
        <v>98</v>
      </c>
      <c r="AT456">
        <v>2.09</v>
      </c>
      <c r="AU456">
        <v>99</v>
      </c>
      <c r="AV456">
        <v>-5.16</v>
      </c>
      <c r="AW456">
        <v>99</v>
      </c>
      <c r="AX456">
        <v>-0.1</v>
      </c>
      <c r="AY456">
        <v>98</v>
      </c>
      <c r="AZ456">
        <v>6.06</v>
      </c>
      <c r="BA456">
        <v>46</v>
      </c>
      <c r="BB456">
        <v>5.31</v>
      </c>
      <c r="BC456">
        <v>41</v>
      </c>
      <c r="BD456">
        <v>-0.04</v>
      </c>
      <c r="BE456">
        <v>-0.01</v>
      </c>
      <c r="BF456">
        <v>-0.12</v>
      </c>
      <c r="BG456">
        <v>76</v>
      </c>
      <c r="BH456">
        <v>-0.09</v>
      </c>
      <c r="BI456">
        <v>-19.72</v>
      </c>
      <c r="BJ456">
        <v>0</v>
      </c>
      <c r="BK456">
        <v>0</v>
      </c>
      <c r="BL456">
        <v>-2.27</v>
      </c>
      <c r="BM456">
        <v>1.04</v>
      </c>
      <c r="BN456">
        <v>-0.5</v>
      </c>
      <c r="BO456">
        <v>-1.47</v>
      </c>
      <c r="BP456">
        <v>-2.57</v>
      </c>
      <c r="BQ456">
        <v>-2.6</v>
      </c>
      <c r="BR456">
        <v>2.68</v>
      </c>
      <c r="BS456">
        <v>-1.49</v>
      </c>
      <c r="BT456">
        <v>-3.22</v>
      </c>
      <c r="BU456">
        <v>-0.28999999999999998</v>
      </c>
      <c r="BV456">
        <v>-0.72</v>
      </c>
      <c r="BW456">
        <v>-2.09</v>
      </c>
      <c r="BX456">
        <v>-2.12</v>
      </c>
      <c r="BY456">
        <v>-1.61</v>
      </c>
      <c r="BZ456">
        <v>0.19</v>
      </c>
      <c r="CA456">
        <v>-1.58</v>
      </c>
      <c r="CB456">
        <v>-0.95</v>
      </c>
      <c r="CC456">
        <v>-2.69</v>
      </c>
      <c r="CD456">
        <v>1.08</v>
      </c>
      <c r="CE456">
        <v>-0.8</v>
      </c>
      <c r="CF456">
        <v>-1.98</v>
      </c>
      <c r="CG456">
        <v>0</v>
      </c>
      <c r="CH456">
        <v>-1.32</v>
      </c>
      <c r="CI456">
        <v>0</v>
      </c>
      <c r="CJ456">
        <v>-9.5</v>
      </c>
      <c r="CK456">
        <v>75</v>
      </c>
      <c r="CL456">
        <v>-0.76</v>
      </c>
      <c r="CM456">
        <v>66</v>
      </c>
      <c r="CN456">
        <v>0.24</v>
      </c>
      <c r="CO456">
        <v>64</v>
      </c>
      <c r="CP456">
        <v>-18.8</v>
      </c>
      <c r="CQ456">
        <v>55</v>
      </c>
      <c r="CR456">
        <v>0</v>
      </c>
      <c r="CS456">
        <v>0</v>
      </c>
      <c r="CT456">
        <v>-9.8000000000000007</v>
      </c>
      <c r="CU456">
        <v>56</v>
      </c>
      <c r="CV456">
        <v>0.17</v>
      </c>
      <c r="CW456">
        <v>40</v>
      </c>
      <c r="CX456" t="s">
        <v>5742</v>
      </c>
    </row>
    <row r="457" spans="1:102" x14ac:dyDescent="0.3">
      <c r="A457" t="str">
        <f>HYPERLINK("https://webapp.icbf.com/v2/app/bull-search/view/669830389","SJI")</f>
        <v>SJI</v>
      </c>
      <c r="B457" t="s">
        <v>5392</v>
      </c>
      <c r="C457" t="s">
        <v>5393</v>
      </c>
      <c r="D457" s="1">
        <v>39866</v>
      </c>
      <c r="E457" t="s">
        <v>92</v>
      </c>
      <c r="F457">
        <v>63</v>
      </c>
      <c r="G457" t="s">
        <v>93</v>
      </c>
      <c r="H457">
        <v>187.37</v>
      </c>
      <c r="I457">
        <v>98</v>
      </c>
      <c r="J457">
        <v>41</v>
      </c>
      <c r="K457">
        <v>99</v>
      </c>
      <c r="L457">
        <v>90.07</v>
      </c>
      <c r="M457">
        <v>96</v>
      </c>
      <c r="N457">
        <v>51.34</v>
      </c>
      <c r="O457">
        <v>99</v>
      </c>
      <c r="P457">
        <v>0.1</v>
      </c>
      <c r="Q457">
        <v>99</v>
      </c>
      <c r="R457">
        <v>4.3600000000000003</v>
      </c>
      <c r="S457">
        <v>97</v>
      </c>
      <c r="T457">
        <v>-0.31</v>
      </c>
      <c r="U457">
        <v>99</v>
      </c>
      <c r="V457">
        <v>0.81</v>
      </c>
      <c r="W457">
        <v>93</v>
      </c>
      <c r="X457" t="s">
        <v>94</v>
      </c>
      <c r="Y457" t="s">
        <v>1727</v>
      </c>
      <c r="Z457" t="s">
        <v>96</v>
      </c>
      <c r="AA457" t="s">
        <v>316</v>
      </c>
      <c r="AB457" t="s">
        <v>5394</v>
      </c>
      <c r="AC457">
        <v>3389</v>
      </c>
      <c r="AD457">
        <v>1200</v>
      </c>
      <c r="AE457">
        <v>99</v>
      </c>
      <c r="AF457">
        <v>-11.32</v>
      </c>
      <c r="AG457">
        <v>7.01</v>
      </c>
      <c r="AH457">
        <v>4.32</v>
      </c>
      <c r="AI457">
        <v>0.13</v>
      </c>
      <c r="AJ457">
        <v>0.08</v>
      </c>
      <c r="AK457">
        <v>96</v>
      </c>
      <c r="AL457">
        <v>4157</v>
      </c>
      <c r="AM457">
        <v>1499</v>
      </c>
      <c r="AN457">
        <v>-4.38</v>
      </c>
      <c r="AO457">
        <v>2.81</v>
      </c>
      <c r="AP457">
        <v>6828</v>
      </c>
      <c r="AQ457">
        <v>78</v>
      </c>
      <c r="AR457">
        <v>5.66</v>
      </c>
      <c r="AS457">
        <v>99</v>
      </c>
      <c r="AT457">
        <v>1.85</v>
      </c>
      <c r="AU457">
        <v>99</v>
      </c>
      <c r="AV457">
        <v>-4.7</v>
      </c>
      <c r="AW457">
        <v>99</v>
      </c>
      <c r="AX457">
        <v>-0.1</v>
      </c>
      <c r="AY457">
        <v>99</v>
      </c>
      <c r="AZ457">
        <v>6.54</v>
      </c>
      <c r="BA457">
        <v>98</v>
      </c>
      <c r="BB457">
        <v>5.0199999999999996</v>
      </c>
      <c r="BC457">
        <v>98</v>
      </c>
      <c r="BD457">
        <v>-0.02</v>
      </c>
      <c r="BE457">
        <v>-0.03</v>
      </c>
      <c r="BF457">
        <v>-0.01</v>
      </c>
      <c r="BG457">
        <v>99</v>
      </c>
      <c r="BH457">
        <v>-0.06</v>
      </c>
      <c r="BI457">
        <v>-9.5399999999999991</v>
      </c>
      <c r="BJ457">
        <v>129</v>
      </c>
      <c r="BK457">
        <v>59</v>
      </c>
      <c r="BL457">
        <v>0.23</v>
      </c>
      <c r="BM457">
        <v>-7.0000000000000007E-2</v>
      </c>
      <c r="BN457">
        <v>-1.73</v>
      </c>
      <c r="BO457">
        <v>-0.79</v>
      </c>
      <c r="BP457">
        <v>3.32</v>
      </c>
      <c r="BQ457">
        <v>1.59</v>
      </c>
      <c r="BR457">
        <v>-4.45</v>
      </c>
      <c r="BS457">
        <v>-0.27</v>
      </c>
      <c r="BT457">
        <v>3.4</v>
      </c>
      <c r="BU457">
        <v>-0.9</v>
      </c>
      <c r="BV457">
        <v>-0.46</v>
      </c>
      <c r="BW457">
        <v>-1.31</v>
      </c>
      <c r="BX457">
        <v>0.85</v>
      </c>
      <c r="BY457">
        <v>-0.36</v>
      </c>
      <c r="BZ457">
        <v>-1.67</v>
      </c>
      <c r="CA457">
        <v>-0.36</v>
      </c>
      <c r="CB457">
        <v>-0.53</v>
      </c>
      <c r="CC457">
        <v>-0.02</v>
      </c>
      <c r="CD457">
        <v>0.9</v>
      </c>
      <c r="CE457">
        <v>-0.65</v>
      </c>
      <c r="CF457">
        <v>0.41</v>
      </c>
      <c r="CG457">
        <v>0</v>
      </c>
      <c r="CH457">
        <v>-0.5</v>
      </c>
      <c r="CI457">
        <v>0</v>
      </c>
      <c r="CJ457">
        <v>2.2999999999999998</v>
      </c>
      <c r="CK457">
        <v>99</v>
      </c>
      <c r="CL457">
        <v>-0.61</v>
      </c>
      <c r="CM457">
        <v>99</v>
      </c>
      <c r="CN457">
        <v>-0.18</v>
      </c>
      <c r="CO457">
        <v>99</v>
      </c>
      <c r="CP457">
        <v>7.4</v>
      </c>
      <c r="CQ457">
        <v>99</v>
      </c>
      <c r="CR457">
        <v>0</v>
      </c>
      <c r="CS457">
        <v>0</v>
      </c>
      <c r="CT457">
        <v>14.2</v>
      </c>
      <c r="CU457">
        <v>99</v>
      </c>
      <c r="CV457">
        <v>0.25</v>
      </c>
      <c r="CW457">
        <v>53</v>
      </c>
      <c r="CX457" t="s">
        <v>1543</v>
      </c>
    </row>
    <row r="458" spans="1:102" x14ac:dyDescent="0.3">
      <c r="A458" t="str">
        <f>HYPERLINK("https://webapp.icbf.com/v2/app/bull-search/view/1143703164","FR2044")</f>
        <v>FR2044</v>
      </c>
      <c r="B458" t="s">
        <v>13589</v>
      </c>
      <c r="C458" t="s">
        <v>13590</v>
      </c>
      <c r="D458" s="1">
        <v>41689</v>
      </c>
      <c r="E458" t="s">
        <v>92</v>
      </c>
      <c r="F458">
        <v>75</v>
      </c>
      <c r="G458" t="s">
        <v>93</v>
      </c>
      <c r="H458">
        <v>187.3</v>
      </c>
      <c r="I458">
        <v>83</v>
      </c>
      <c r="J458">
        <v>85.25</v>
      </c>
      <c r="K458">
        <v>95</v>
      </c>
      <c r="L458">
        <v>72.599999999999994</v>
      </c>
      <c r="M458">
        <v>74</v>
      </c>
      <c r="N458">
        <v>36.36</v>
      </c>
      <c r="O458">
        <v>84</v>
      </c>
      <c r="P458">
        <v>-9.26</v>
      </c>
      <c r="Q458">
        <v>91</v>
      </c>
      <c r="R458">
        <v>-1.99</v>
      </c>
      <c r="S458">
        <v>74</v>
      </c>
      <c r="T458">
        <v>-1.57</v>
      </c>
      <c r="U458">
        <v>72</v>
      </c>
      <c r="V458">
        <v>5.91</v>
      </c>
      <c r="W458">
        <v>68</v>
      </c>
      <c r="X458" t="s">
        <v>94</v>
      </c>
      <c r="Y458" t="s">
        <v>416</v>
      </c>
      <c r="Z458" t="s">
        <v>330</v>
      </c>
      <c r="AA458" t="s">
        <v>5734</v>
      </c>
      <c r="AB458" t="s">
        <v>13591</v>
      </c>
      <c r="AC458">
        <v>69</v>
      </c>
      <c r="AD458">
        <v>47</v>
      </c>
      <c r="AE458">
        <v>95</v>
      </c>
      <c r="AF458">
        <v>221.61</v>
      </c>
      <c r="AG458">
        <v>16.510000000000002</v>
      </c>
      <c r="AH458">
        <v>12.05</v>
      </c>
      <c r="AI458">
        <v>0.13</v>
      </c>
      <c r="AJ458">
        <v>0.08</v>
      </c>
      <c r="AK458">
        <v>74</v>
      </c>
      <c r="AL458">
        <v>67</v>
      </c>
      <c r="AM458">
        <v>46</v>
      </c>
      <c r="AN458">
        <v>-3.14</v>
      </c>
      <c r="AO458">
        <v>2.66</v>
      </c>
      <c r="AP458">
        <v>252</v>
      </c>
      <c r="AQ458">
        <v>3</v>
      </c>
      <c r="AR458">
        <v>6.04</v>
      </c>
      <c r="AS458">
        <v>73</v>
      </c>
      <c r="AT458">
        <v>2.2799999999999998</v>
      </c>
      <c r="AU458">
        <v>88</v>
      </c>
      <c r="AV458">
        <v>-3.47</v>
      </c>
      <c r="AW458">
        <v>97</v>
      </c>
      <c r="AX458">
        <v>0.64</v>
      </c>
      <c r="AY458">
        <v>79</v>
      </c>
      <c r="AZ458">
        <v>6.25</v>
      </c>
      <c r="BA458">
        <v>62</v>
      </c>
      <c r="BB458">
        <v>5.05</v>
      </c>
      <c r="BC458">
        <v>53</v>
      </c>
      <c r="BD458">
        <v>-0.02</v>
      </c>
      <c r="BE458">
        <v>0.01</v>
      </c>
      <c r="BF458">
        <v>0.06</v>
      </c>
      <c r="BG458">
        <v>85</v>
      </c>
      <c r="BH458">
        <v>0.1</v>
      </c>
      <c r="BI458">
        <v>-7.51</v>
      </c>
      <c r="BJ458">
        <v>0</v>
      </c>
      <c r="BK458">
        <v>0</v>
      </c>
      <c r="BL458">
        <v>-1.39</v>
      </c>
      <c r="BM458">
        <v>0.98</v>
      </c>
      <c r="BN458">
        <v>-0.72</v>
      </c>
      <c r="BO458">
        <v>-1.4</v>
      </c>
      <c r="BP458">
        <v>-1.1299999999999999</v>
      </c>
      <c r="BQ458">
        <v>-1.37</v>
      </c>
      <c r="BR458">
        <v>-0.65</v>
      </c>
      <c r="BS458">
        <v>0.92</v>
      </c>
      <c r="BT458">
        <v>-0.54</v>
      </c>
      <c r="BU458">
        <v>0.76</v>
      </c>
      <c r="BV458">
        <v>0.46</v>
      </c>
      <c r="BW458">
        <v>-0.38</v>
      </c>
      <c r="BX458">
        <v>0.44</v>
      </c>
      <c r="BY458">
        <v>-0.18</v>
      </c>
      <c r="BZ458">
        <v>-0.5</v>
      </c>
      <c r="CA458">
        <v>-0.08</v>
      </c>
      <c r="CB458">
        <v>-0.14000000000000001</v>
      </c>
      <c r="CC458">
        <v>0.1</v>
      </c>
      <c r="CD458">
        <v>1.03</v>
      </c>
      <c r="CE458">
        <v>-1.28</v>
      </c>
      <c r="CF458">
        <v>-1.49</v>
      </c>
      <c r="CG458">
        <v>0</v>
      </c>
      <c r="CH458">
        <v>-1.0900000000000001</v>
      </c>
      <c r="CI458">
        <v>0</v>
      </c>
      <c r="CJ458">
        <v>-2.6</v>
      </c>
      <c r="CK458">
        <v>93</v>
      </c>
      <c r="CL458">
        <v>-0.64</v>
      </c>
      <c r="CM458">
        <v>92</v>
      </c>
      <c r="CN458">
        <v>-0.05</v>
      </c>
      <c r="CO458">
        <v>91</v>
      </c>
      <c r="CP458">
        <v>2.2999999999999998</v>
      </c>
      <c r="CQ458">
        <v>73</v>
      </c>
      <c r="CR458">
        <v>0</v>
      </c>
      <c r="CS458">
        <v>0</v>
      </c>
      <c r="CT458">
        <v>15.9</v>
      </c>
      <c r="CU458">
        <v>72</v>
      </c>
      <c r="CV458">
        <v>0.16</v>
      </c>
      <c r="CW458">
        <v>45</v>
      </c>
      <c r="CX458" t="s">
        <v>1939</v>
      </c>
    </row>
    <row r="459" spans="1:102" x14ac:dyDescent="0.3">
      <c r="A459" t="str">
        <f>HYPERLINK("https://webapp.icbf.com/v2/app/bull-search/view/1040190954","GZY")</f>
        <v>GZY</v>
      </c>
      <c r="B459" t="s">
        <v>7174</v>
      </c>
      <c r="C459" t="s">
        <v>2157</v>
      </c>
      <c r="D459" s="1">
        <v>41311</v>
      </c>
      <c r="E459" t="s">
        <v>92</v>
      </c>
      <c r="F459">
        <v>81</v>
      </c>
      <c r="G459" t="s">
        <v>93</v>
      </c>
      <c r="H459">
        <v>187.15</v>
      </c>
      <c r="I459">
        <v>97</v>
      </c>
      <c r="J459">
        <v>65.510000000000005</v>
      </c>
      <c r="K459">
        <v>99</v>
      </c>
      <c r="L459">
        <v>101.37</v>
      </c>
      <c r="M459">
        <v>94</v>
      </c>
      <c r="N459">
        <v>17.87</v>
      </c>
      <c r="O459">
        <v>99</v>
      </c>
      <c r="P459">
        <v>-8.9600000000000009</v>
      </c>
      <c r="Q459">
        <v>99</v>
      </c>
      <c r="R459">
        <v>8.1300000000000008</v>
      </c>
      <c r="S459">
        <v>97</v>
      </c>
      <c r="T459">
        <v>2.65</v>
      </c>
      <c r="U459">
        <v>99</v>
      </c>
      <c r="V459">
        <v>0.57999999999999996</v>
      </c>
      <c r="W459">
        <v>81</v>
      </c>
      <c r="X459" t="s">
        <v>102</v>
      </c>
      <c r="Y459" t="s">
        <v>1976</v>
      </c>
      <c r="Z459" t="s">
        <v>96</v>
      </c>
      <c r="AA459" t="s">
        <v>2041</v>
      </c>
      <c r="AB459" t="s">
        <v>7175</v>
      </c>
      <c r="AC459">
        <v>8366</v>
      </c>
      <c r="AD459">
        <v>1536</v>
      </c>
      <c r="AE459">
        <v>99</v>
      </c>
      <c r="AF459">
        <v>-129.12</v>
      </c>
      <c r="AG459">
        <v>1.91</v>
      </c>
      <c r="AH459">
        <v>8.49</v>
      </c>
      <c r="AI459">
        <v>0.12</v>
      </c>
      <c r="AJ459">
        <v>0.23</v>
      </c>
      <c r="AK459">
        <v>94</v>
      </c>
      <c r="AL459">
        <v>7180</v>
      </c>
      <c r="AM459">
        <v>1687</v>
      </c>
      <c r="AN459">
        <v>-5.05</v>
      </c>
      <c r="AO459">
        <v>3.04</v>
      </c>
      <c r="AP459">
        <v>21418</v>
      </c>
      <c r="AQ459">
        <v>182</v>
      </c>
      <c r="AR459">
        <v>5.64</v>
      </c>
      <c r="AS459">
        <v>99</v>
      </c>
      <c r="AT459">
        <v>2.82</v>
      </c>
      <c r="AU459">
        <v>99</v>
      </c>
      <c r="AV459">
        <v>-0.74</v>
      </c>
      <c r="AW459">
        <v>99</v>
      </c>
      <c r="AX459">
        <v>-0.24</v>
      </c>
      <c r="AY459">
        <v>99</v>
      </c>
      <c r="AZ459">
        <v>5.84</v>
      </c>
      <c r="BA459">
        <v>99</v>
      </c>
      <c r="BB459">
        <v>4.32</v>
      </c>
      <c r="BC459">
        <v>97</v>
      </c>
      <c r="BD459">
        <v>-0.03</v>
      </c>
      <c r="BE459">
        <v>-0.03</v>
      </c>
      <c r="BF459">
        <v>-0.08</v>
      </c>
      <c r="BG459">
        <v>99</v>
      </c>
      <c r="BH459">
        <v>0.26</v>
      </c>
      <c r="BI459">
        <v>28.22</v>
      </c>
      <c r="BJ459">
        <v>158</v>
      </c>
      <c r="BK459">
        <v>41</v>
      </c>
      <c r="BL459">
        <v>-0.54</v>
      </c>
      <c r="BM459">
        <v>0.03</v>
      </c>
      <c r="BN459">
        <v>-2.48</v>
      </c>
      <c r="BO459">
        <v>-2.33</v>
      </c>
      <c r="BP459">
        <v>4</v>
      </c>
      <c r="BQ459">
        <v>-3.11</v>
      </c>
      <c r="BR459">
        <v>-2.63</v>
      </c>
      <c r="BS459">
        <v>-1.38</v>
      </c>
      <c r="BT459">
        <v>1.45</v>
      </c>
      <c r="BU459">
        <v>-1.68</v>
      </c>
      <c r="BV459">
        <v>-3.48</v>
      </c>
      <c r="BW459">
        <v>-3.17</v>
      </c>
      <c r="BX459">
        <v>-0.59</v>
      </c>
      <c r="BY459">
        <v>-0.92</v>
      </c>
      <c r="BZ459">
        <v>-1.89</v>
      </c>
      <c r="CA459">
        <v>-2.08</v>
      </c>
      <c r="CB459">
        <v>-2.31</v>
      </c>
      <c r="CC459">
        <v>-1.02</v>
      </c>
      <c r="CD459">
        <v>1.54</v>
      </c>
      <c r="CE459">
        <v>-2.14</v>
      </c>
      <c r="CF459">
        <v>-1.38</v>
      </c>
      <c r="CG459">
        <v>0</v>
      </c>
      <c r="CH459">
        <v>-0.72</v>
      </c>
      <c r="CI459">
        <v>0</v>
      </c>
      <c r="CJ459">
        <v>-6.3</v>
      </c>
      <c r="CK459">
        <v>99</v>
      </c>
      <c r="CL459">
        <v>-0.63</v>
      </c>
      <c r="CM459">
        <v>99</v>
      </c>
      <c r="CN459">
        <v>-0.52</v>
      </c>
      <c r="CO459">
        <v>99</v>
      </c>
      <c r="CP459">
        <v>1</v>
      </c>
      <c r="CQ459">
        <v>99</v>
      </c>
      <c r="CR459">
        <v>0</v>
      </c>
      <c r="CS459">
        <v>0</v>
      </c>
      <c r="CT459">
        <v>10.199999999999999</v>
      </c>
      <c r="CU459">
        <v>99</v>
      </c>
      <c r="CV459">
        <v>-0.03</v>
      </c>
      <c r="CW459">
        <v>52</v>
      </c>
      <c r="CX459" t="s">
        <v>1942</v>
      </c>
    </row>
    <row r="460" spans="1:102" x14ac:dyDescent="0.3">
      <c r="A460" t="str">
        <f>HYPERLINK("https://webapp.icbf.com/v2/app/bull-search/view/910795714","OKA")</f>
        <v>OKA</v>
      </c>
      <c r="B460" t="s">
        <v>14190</v>
      </c>
      <c r="C460" t="s">
        <v>14191</v>
      </c>
      <c r="D460" s="1">
        <v>40370</v>
      </c>
      <c r="E460" t="s">
        <v>227</v>
      </c>
      <c r="F460">
        <v>19</v>
      </c>
      <c r="G460" t="s">
        <v>93</v>
      </c>
      <c r="H460">
        <v>187.08</v>
      </c>
      <c r="I460">
        <v>95</v>
      </c>
      <c r="J460">
        <v>97.85</v>
      </c>
      <c r="K460">
        <v>99</v>
      </c>
      <c r="L460">
        <v>50.95</v>
      </c>
      <c r="M460">
        <v>90</v>
      </c>
      <c r="N460">
        <v>39.96</v>
      </c>
      <c r="O460">
        <v>97</v>
      </c>
      <c r="P460">
        <v>-33.64</v>
      </c>
      <c r="Q460">
        <v>99</v>
      </c>
      <c r="R460">
        <v>-0.43</v>
      </c>
      <c r="S460">
        <v>86</v>
      </c>
      <c r="T460">
        <v>25.07</v>
      </c>
      <c r="U460">
        <v>99</v>
      </c>
      <c r="V460">
        <v>7.32</v>
      </c>
      <c r="W460">
        <v>79</v>
      </c>
      <c r="X460" t="s">
        <v>276</v>
      </c>
      <c r="Y460" t="s">
        <v>2066</v>
      </c>
      <c r="Z460" t="s">
        <v>330</v>
      </c>
      <c r="AA460" t="s">
        <v>7538</v>
      </c>
      <c r="AB460" t="s">
        <v>144</v>
      </c>
      <c r="AC460">
        <v>1654</v>
      </c>
      <c r="AD460">
        <v>285</v>
      </c>
      <c r="AE460">
        <v>99</v>
      </c>
      <c r="AF460">
        <v>-198.47</v>
      </c>
      <c r="AG460">
        <v>13.04</v>
      </c>
      <c r="AH460">
        <v>8.99</v>
      </c>
      <c r="AI460">
        <v>0.38</v>
      </c>
      <c r="AJ460">
        <v>0.28000000000000003</v>
      </c>
      <c r="AK460">
        <v>90</v>
      </c>
      <c r="AL460">
        <v>1533</v>
      </c>
      <c r="AM460">
        <v>293</v>
      </c>
      <c r="AN460">
        <v>-2.27</v>
      </c>
      <c r="AO460">
        <v>1.8</v>
      </c>
      <c r="AP460">
        <v>3580</v>
      </c>
      <c r="AQ460">
        <v>21</v>
      </c>
      <c r="AR460">
        <v>4.55</v>
      </c>
      <c r="AS460">
        <v>99</v>
      </c>
      <c r="AT460">
        <v>1.82</v>
      </c>
      <c r="AU460">
        <v>98</v>
      </c>
      <c r="AV460">
        <v>-3.78</v>
      </c>
      <c r="AW460">
        <v>99</v>
      </c>
      <c r="AX460">
        <v>0.88</v>
      </c>
      <c r="AY460">
        <v>98</v>
      </c>
      <c r="AZ460">
        <v>8.52</v>
      </c>
      <c r="BA460">
        <v>95</v>
      </c>
      <c r="BB460">
        <v>5.16</v>
      </c>
      <c r="BC460">
        <v>87</v>
      </c>
      <c r="BD460">
        <v>0</v>
      </c>
      <c r="BE460">
        <v>0</v>
      </c>
      <c r="BF460">
        <v>0.01</v>
      </c>
      <c r="BG460">
        <v>98</v>
      </c>
      <c r="BH460">
        <v>0.06</v>
      </c>
      <c r="BI460">
        <v>-16.66</v>
      </c>
      <c r="BJ460">
        <v>6</v>
      </c>
      <c r="BK460">
        <v>1</v>
      </c>
      <c r="BL460">
        <v>-3.71</v>
      </c>
      <c r="BM460">
        <v>-0.85</v>
      </c>
      <c r="BN460">
        <v>-1.67</v>
      </c>
      <c r="BO460">
        <v>-0.76</v>
      </c>
      <c r="BP460">
        <v>-1.38</v>
      </c>
      <c r="BQ460">
        <v>-3.51</v>
      </c>
      <c r="BR460">
        <v>0.56999999999999995</v>
      </c>
      <c r="BS460">
        <v>3.83</v>
      </c>
      <c r="BT460">
        <v>-0.21</v>
      </c>
      <c r="BU460">
        <v>-0.95</v>
      </c>
      <c r="BV460">
        <v>-0.2</v>
      </c>
      <c r="BW460">
        <v>-1.96</v>
      </c>
      <c r="BX460">
        <v>-3.58</v>
      </c>
      <c r="BY460">
        <v>-2.74</v>
      </c>
      <c r="BZ460">
        <v>0.23</v>
      </c>
      <c r="CA460">
        <v>-0.18</v>
      </c>
      <c r="CB460">
        <v>-1.25</v>
      </c>
      <c r="CC460">
        <v>2.06</v>
      </c>
      <c r="CD460">
        <v>-1.3</v>
      </c>
      <c r="CE460">
        <v>-1.1100000000000001</v>
      </c>
      <c r="CF460">
        <v>-4.04</v>
      </c>
      <c r="CG460">
        <v>0</v>
      </c>
      <c r="CH460">
        <v>-1.41</v>
      </c>
      <c r="CI460">
        <v>0</v>
      </c>
      <c r="CJ460">
        <v>-17.399999999999999</v>
      </c>
      <c r="CK460">
        <v>99</v>
      </c>
      <c r="CL460">
        <v>-0.73</v>
      </c>
      <c r="CM460">
        <v>99</v>
      </c>
      <c r="CN460">
        <v>-0.1</v>
      </c>
      <c r="CO460">
        <v>99</v>
      </c>
      <c r="CP460">
        <v>-21.8</v>
      </c>
      <c r="CQ460">
        <v>95</v>
      </c>
      <c r="CR460">
        <v>0</v>
      </c>
      <c r="CS460">
        <v>0</v>
      </c>
      <c r="CT460">
        <v>-20.100000000000001</v>
      </c>
      <c r="CU460">
        <v>99</v>
      </c>
      <c r="CV460">
        <v>-0.04</v>
      </c>
      <c r="CW460">
        <v>46</v>
      </c>
      <c r="CX460" t="s">
        <v>1700</v>
      </c>
    </row>
    <row r="461" spans="1:102" x14ac:dyDescent="0.3">
      <c r="A461" t="str">
        <f>HYPERLINK("https://webapp.icbf.com/v2/app/bull-search/view/910812143","S1548")</f>
        <v>S1548</v>
      </c>
      <c r="B461" t="s">
        <v>393</v>
      </c>
      <c r="C461" t="s">
        <v>394</v>
      </c>
      <c r="D461" s="1">
        <v>38816</v>
      </c>
      <c r="E461" t="s">
        <v>395</v>
      </c>
      <c r="F461">
        <v>0</v>
      </c>
      <c r="G461" t="s">
        <v>109</v>
      </c>
      <c r="H461">
        <v>187.06</v>
      </c>
      <c r="I461">
        <v>58</v>
      </c>
      <c r="J461">
        <v>-17.489999999999998</v>
      </c>
      <c r="K461">
        <v>68</v>
      </c>
      <c r="L461">
        <v>142.16999999999999</v>
      </c>
      <c r="M461">
        <v>70</v>
      </c>
      <c r="N461">
        <v>29.73</v>
      </c>
      <c r="O461">
        <v>45</v>
      </c>
      <c r="P461">
        <v>-2.94</v>
      </c>
      <c r="Q461">
        <v>39</v>
      </c>
      <c r="R461">
        <v>10.32</v>
      </c>
      <c r="S461">
        <v>27</v>
      </c>
      <c r="T461">
        <v>20.12</v>
      </c>
      <c r="U461">
        <v>30</v>
      </c>
      <c r="V461">
        <v>5.15</v>
      </c>
      <c r="W461">
        <v>28</v>
      </c>
      <c r="X461" t="s">
        <v>94</v>
      </c>
      <c r="Y461" t="s">
        <v>362</v>
      </c>
      <c r="Z461">
        <v>0</v>
      </c>
      <c r="AA461" t="s">
        <v>396</v>
      </c>
      <c r="AB461" t="s">
        <v>397</v>
      </c>
      <c r="AC461">
        <v>0</v>
      </c>
      <c r="AD461">
        <v>0</v>
      </c>
      <c r="AE461">
        <v>68</v>
      </c>
      <c r="AF461">
        <v>-8.39</v>
      </c>
      <c r="AG461">
        <v>-5.38</v>
      </c>
      <c r="AH461">
        <v>-1.2</v>
      </c>
      <c r="AI461">
        <v>-0.08</v>
      </c>
      <c r="AJ461">
        <v>-0.02</v>
      </c>
      <c r="AK461">
        <v>70</v>
      </c>
      <c r="AL461">
        <v>0</v>
      </c>
      <c r="AM461">
        <v>0</v>
      </c>
      <c r="AN461">
        <v>-7.57</v>
      </c>
      <c r="AO461">
        <v>3.77</v>
      </c>
      <c r="AP461">
        <v>4</v>
      </c>
      <c r="AQ461">
        <v>0</v>
      </c>
      <c r="AR461">
        <v>5.81</v>
      </c>
      <c r="AS461">
        <v>26</v>
      </c>
      <c r="AT461">
        <v>2.4</v>
      </c>
      <c r="AU461">
        <v>77</v>
      </c>
      <c r="AV461">
        <v>-2.27</v>
      </c>
      <c r="AW461">
        <v>42</v>
      </c>
      <c r="AX461">
        <v>-0.01</v>
      </c>
      <c r="AY461">
        <v>28</v>
      </c>
      <c r="AZ461">
        <v>6.1</v>
      </c>
      <c r="BA461">
        <v>23</v>
      </c>
      <c r="BB461">
        <v>4.78</v>
      </c>
      <c r="BC461">
        <v>24</v>
      </c>
      <c r="BD461">
        <v>-0.02</v>
      </c>
      <c r="BE461">
        <v>-0.06</v>
      </c>
      <c r="BF461">
        <v>-0.09</v>
      </c>
      <c r="BG461">
        <v>30</v>
      </c>
      <c r="BH461">
        <v>0</v>
      </c>
      <c r="BI461">
        <v>-16.600000000000001</v>
      </c>
      <c r="BJ461">
        <v>0</v>
      </c>
      <c r="BK461">
        <v>0</v>
      </c>
      <c r="BL461">
        <v>-1.81</v>
      </c>
      <c r="BM461">
        <v>-0.34</v>
      </c>
      <c r="BN461">
        <v>-2.2400000000000002</v>
      </c>
      <c r="BO461">
        <v>-1.42</v>
      </c>
      <c r="BP461">
        <v>2.0499999999999998</v>
      </c>
      <c r="BQ461">
        <v>-2.2200000000000002</v>
      </c>
      <c r="BR461">
        <v>0.33</v>
      </c>
      <c r="BS461">
        <v>0.28000000000000003</v>
      </c>
      <c r="BT461">
        <v>-0.66</v>
      </c>
      <c r="BU461">
        <v>-2.14</v>
      </c>
      <c r="BV461">
        <v>-3.29</v>
      </c>
      <c r="BW461">
        <v>-3.2</v>
      </c>
      <c r="BX461">
        <v>-1.59</v>
      </c>
      <c r="BY461">
        <v>-1.63</v>
      </c>
      <c r="BZ461">
        <v>-3.12</v>
      </c>
      <c r="CA461">
        <v>-2.35</v>
      </c>
      <c r="CB461">
        <v>-2.52</v>
      </c>
      <c r="CC461">
        <v>-1.1499999999999999</v>
      </c>
      <c r="CD461">
        <v>0.49</v>
      </c>
      <c r="CE461">
        <v>-1.7</v>
      </c>
      <c r="CF461">
        <v>-2.5</v>
      </c>
      <c r="CG461">
        <v>0</v>
      </c>
      <c r="CH461">
        <v>-2.23</v>
      </c>
      <c r="CI461">
        <v>0</v>
      </c>
      <c r="CJ461">
        <v>-0.2</v>
      </c>
      <c r="CK461">
        <v>41</v>
      </c>
      <c r="CL461">
        <v>-0.12</v>
      </c>
      <c r="CM461">
        <v>37</v>
      </c>
      <c r="CN461">
        <v>0.01</v>
      </c>
      <c r="CO461">
        <v>36</v>
      </c>
      <c r="CP461">
        <v>-8.6999999999999993</v>
      </c>
      <c r="CQ461">
        <v>31</v>
      </c>
      <c r="CR461">
        <v>0</v>
      </c>
      <c r="CS461">
        <v>0</v>
      </c>
      <c r="CT461">
        <v>-13.4</v>
      </c>
      <c r="CU461">
        <v>30</v>
      </c>
      <c r="CV461">
        <v>-0.02</v>
      </c>
      <c r="CW461">
        <v>11</v>
      </c>
      <c r="CX461" t="s">
        <v>398</v>
      </c>
    </row>
    <row r="462" spans="1:102" x14ac:dyDescent="0.3">
      <c r="A462" t="str">
        <f>HYPERLINK("https://webapp.icbf.com/v2/app/bull-search/view/1092496175","S2052")</f>
        <v>S2052</v>
      </c>
      <c r="B462" t="s">
        <v>5712</v>
      </c>
      <c r="C462" t="s">
        <v>5713</v>
      </c>
      <c r="D462" s="1">
        <v>40919</v>
      </c>
      <c r="E462" t="s">
        <v>92</v>
      </c>
      <c r="F462">
        <v>100</v>
      </c>
      <c r="G462" t="s">
        <v>109</v>
      </c>
      <c r="H462">
        <v>187.05</v>
      </c>
      <c r="I462">
        <v>78</v>
      </c>
      <c r="J462">
        <v>52.32</v>
      </c>
      <c r="K462">
        <v>92</v>
      </c>
      <c r="L462">
        <v>86.52</v>
      </c>
      <c r="M462">
        <v>81</v>
      </c>
      <c r="N462">
        <v>33.090000000000003</v>
      </c>
      <c r="O462">
        <v>69</v>
      </c>
      <c r="P462">
        <v>-11.04</v>
      </c>
      <c r="Q462">
        <v>68</v>
      </c>
      <c r="R462">
        <v>15.79</v>
      </c>
      <c r="S462">
        <v>73</v>
      </c>
      <c r="T462">
        <v>3.39</v>
      </c>
      <c r="U462">
        <v>45</v>
      </c>
      <c r="V462">
        <v>6.98</v>
      </c>
      <c r="W462">
        <v>58</v>
      </c>
      <c r="X462" t="s">
        <v>94</v>
      </c>
      <c r="Y462" t="s">
        <v>367</v>
      </c>
      <c r="Z462" t="s">
        <v>96</v>
      </c>
      <c r="AA462" t="s">
        <v>5714</v>
      </c>
      <c r="AB462" t="s">
        <v>1973</v>
      </c>
      <c r="AC462">
        <v>0</v>
      </c>
      <c r="AD462">
        <v>0</v>
      </c>
      <c r="AE462">
        <v>92</v>
      </c>
      <c r="AF462">
        <v>247.19</v>
      </c>
      <c r="AG462">
        <v>7.58</v>
      </c>
      <c r="AH462">
        <v>10</v>
      </c>
      <c r="AI462">
        <v>-0.03</v>
      </c>
      <c r="AJ462">
        <v>0.03</v>
      </c>
      <c r="AK462">
        <v>81</v>
      </c>
      <c r="AL462">
        <v>0</v>
      </c>
      <c r="AM462">
        <v>0</v>
      </c>
      <c r="AN462">
        <v>-3.9</v>
      </c>
      <c r="AO462">
        <v>3.01</v>
      </c>
      <c r="AP462">
        <v>43</v>
      </c>
      <c r="AQ462">
        <v>0</v>
      </c>
      <c r="AR462">
        <v>6.58</v>
      </c>
      <c r="AS462">
        <v>56</v>
      </c>
      <c r="AT462">
        <v>3.13</v>
      </c>
      <c r="AU462">
        <v>90</v>
      </c>
      <c r="AV462">
        <v>-3.6</v>
      </c>
      <c r="AW462">
        <v>76</v>
      </c>
      <c r="AX462">
        <v>0.54</v>
      </c>
      <c r="AY462">
        <v>50</v>
      </c>
      <c r="AZ462">
        <v>5.59</v>
      </c>
      <c r="BA462">
        <v>40</v>
      </c>
      <c r="BB462">
        <v>4.57</v>
      </c>
      <c r="BC462">
        <v>39</v>
      </c>
      <c r="BD462">
        <v>-0.06</v>
      </c>
      <c r="BE462">
        <v>-7.0000000000000007E-2</v>
      </c>
      <c r="BF462">
        <v>-0.13</v>
      </c>
      <c r="BG462">
        <v>90</v>
      </c>
      <c r="BH462">
        <v>7.0000000000000007E-2</v>
      </c>
      <c r="BI462">
        <v>-14.41</v>
      </c>
      <c r="BJ462">
        <v>2</v>
      </c>
      <c r="BK462">
        <v>1</v>
      </c>
      <c r="BL462">
        <v>-0.02</v>
      </c>
      <c r="BM462">
        <v>7.0000000000000007E-2</v>
      </c>
      <c r="BN462">
        <v>-0.25</v>
      </c>
      <c r="BO462">
        <v>-0.35</v>
      </c>
      <c r="BP462">
        <v>0.52</v>
      </c>
      <c r="BQ462">
        <v>-1.36</v>
      </c>
      <c r="BR462">
        <v>-1.06</v>
      </c>
      <c r="BS462">
        <v>3.11</v>
      </c>
      <c r="BT462">
        <v>1.59</v>
      </c>
      <c r="BU462">
        <v>1.98</v>
      </c>
      <c r="BV462">
        <v>1.08</v>
      </c>
      <c r="BW462">
        <v>1.46</v>
      </c>
      <c r="BX462">
        <v>1.81</v>
      </c>
      <c r="BY462">
        <v>0.36</v>
      </c>
      <c r="BZ462">
        <v>0.11</v>
      </c>
      <c r="CA462">
        <v>2.5299999999999998</v>
      </c>
      <c r="CB462">
        <v>1.8</v>
      </c>
      <c r="CC462">
        <v>2.36</v>
      </c>
      <c r="CD462">
        <v>0.5</v>
      </c>
      <c r="CE462">
        <v>0.95</v>
      </c>
      <c r="CF462">
        <v>0.41</v>
      </c>
      <c r="CG462">
        <v>0</v>
      </c>
      <c r="CH462">
        <v>0.38</v>
      </c>
      <c r="CI462">
        <v>0</v>
      </c>
      <c r="CJ462">
        <v>-3.2</v>
      </c>
      <c r="CK462">
        <v>71</v>
      </c>
      <c r="CL462">
        <v>-1.1499999999999999</v>
      </c>
      <c r="CM462">
        <v>67</v>
      </c>
      <c r="CN462">
        <v>-0.44</v>
      </c>
      <c r="CO462">
        <v>65</v>
      </c>
      <c r="CP462">
        <v>0.6</v>
      </c>
      <c r="CQ462">
        <v>51</v>
      </c>
      <c r="CR462">
        <v>0</v>
      </c>
      <c r="CS462">
        <v>0</v>
      </c>
      <c r="CT462">
        <v>9.1999999999999993</v>
      </c>
      <c r="CU462">
        <v>45</v>
      </c>
      <c r="CV462">
        <v>0.19</v>
      </c>
      <c r="CW462">
        <v>40</v>
      </c>
      <c r="CX462" t="s">
        <v>277</v>
      </c>
    </row>
    <row r="463" spans="1:102" x14ac:dyDescent="0.3">
      <c r="A463" t="str">
        <f>HYPERLINK("https://webapp.icbf.com/v2/app/bull-search/view/587372104","SZA")</f>
        <v>SZA</v>
      </c>
      <c r="B463" t="s">
        <v>10058</v>
      </c>
      <c r="C463" t="s">
        <v>10059</v>
      </c>
      <c r="D463" s="1">
        <v>37617</v>
      </c>
      <c r="E463" t="s">
        <v>210</v>
      </c>
      <c r="F463">
        <v>0</v>
      </c>
      <c r="G463" t="s">
        <v>93</v>
      </c>
      <c r="H463">
        <v>187.04</v>
      </c>
      <c r="I463">
        <v>91</v>
      </c>
      <c r="J463">
        <v>27.16</v>
      </c>
      <c r="K463">
        <v>97</v>
      </c>
      <c r="L463">
        <v>98.06</v>
      </c>
      <c r="M463">
        <v>88</v>
      </c>
      <c r="N463">
        <v>42.71</v>
      </c>
      <c r="O463">
        <v>90</v>
      </c>
      <c r="P463">
        <v>-4.28</v>
      </c>
      <c r="Q463">
        <v>94</v>
      </c>
      <c r="R463">
        <v>12.21</v>
      </c>
      <c r="S463">
        <v>81</v>
      </c>
      <c r="T463">
        <v>6.8</v>
      </c>
      <c r="U463">
        <v>87</v>
      </c>
      <c r="V463">
        <v>4.38</v>
      </c>
      <c r="W463">
        <v>85</v>
      </c>
      <c r="X463" t="s">
        <v>251</v>
      </c>
      <c r="Y463" t="s">
        <v>270</v>
      </c>
      <c r="Z463">
        <v>0</v>
      </c>
      <c r="AA463" t="s">
        <v>9160</v>
      </c>
      <c r="AB463" t="s">
        <v>10060</v>
      </c>
      <c r="AC463">
        <v>158</v>
      </c>
      <c r="AD463">
        <v>51</v>
      </c>
      <c r="AE463">
        <v>97</v>
      </c>
      <c r="AF463">
        <v>16.34</v>
      </c>
      <c r="AG463">
        <v>8.42</v>
      </c>
      <c r="AH463">
        <v>1.89</v>
      </c>
      <c r="AI463">
        <v>0.13</v>
      </c>
      <c r="AJ463">
        <v>0.02</v>
      </c>
      <c r="AK463">
        <v>88</v>
      </c>
      <c r="AL463">
        <v>164</v>
      </c>
      <c r="AM463">
        <v>47</v>
      </c>
      <c r="AN463">
        <v>-3.83</v>
      </c>
      <c r="AO463">
        <v>4.01</v>
      </c>
      <c r="AP463">
        <v>277</v>
      </c>
      <c r="AQ463">
        <v>3</v>
      </c>
      <c r="AR463">
        <v>4.26</v>
      </c>
      <c r="AS463">
        <v>84</v>
      </c>
      <c r="AT463">
        <v>2.16</v>
      </c>
      <c r="AU463">
        <v>94</v>
      </c>
      <c r="AV463">
        <v>-3.62</v>
      </c>
      <c r="AW463">
        <v>96</v>
      </c>
      <c r="AX463">
        <v>0.78</v>
      </c>
      <c r="AY463">
        <v>87</v>
      </c>
      <c r="AZ463">
        <v>6.11</v>
      </c>
      <c r="BA463">
        <v>69</v>
      </c>
      <c r="BB463">
        <v>4.8499999999999996</v>
      </c>
      <c r="BC463">
        <v>76</v>
      </c>
      <c r="BD463">
        <v>-0.04</v>
      </c>
      <c r="BE463">
        <v>-0.06</v>
      </c>
      <c r="BF463">
        <v>-0.1</v>
      </c>
      <c r="BG463">
        <v>89</v>
      </c>
      <c r="BH463">
        <v>0.12</v>
      </c>
      <c r="BI463">
        <v>-0.24</v>
      </c>
      <c r="BJ463">
        <v>0</v>
      </c>
      <c r="BK463">
        <v>0</v>
      </c>
      <c r="BL463">
        <v>-0.97</v>
      </c>
      <c r="BM463">
        <v>0.87</v>
      </c>
      <c r="BN463">
        <v>-0.78</v>
      </c>
      <c r="BO463">
        <v>-1.19</v>
      </c>
      <c r="BP463">
        <v>0.38</v>
      </c>
      <c r="BQ463">
        <v>-0.09</v>
      </c>
      <c r="BR463">
        <v>0.31</v>
      </c>
      <c r="BS463">
        <v>-0.25</v>
      </c>
      <c r="BT463">
        <v>-0.56000000000000005</v>
      </c>
      <c r="BU463">
        <v>-0.78</v>
      </c>
      <c r="BV463">
        <v>-1.55</v>
      </c>
      <c r="BW463">
        <v>-1.24</v>
      </c>
      <c r="BX463">
        <v>-0.33</v>
      </c>
      <c r="BY463">
        <v>-0.84</v>
      </c>
      <c r="BZ463">
        <v>-0.63</v>
      </c>
      <c r="CA463">
        <v>-1.25</v>
      </c>
      <c r="CB463">
        <v>-1.29</v>
      </c>
      <c r="CC463">
        <v>-0.69</v>
      </c>
      <c r="CD463">
        <v>1.1000000000000001</v>
      </c>
      <c r="CE463">
        <v>-1.23</v>
      </c>
      <c r="CF463">
        <v>-0.97</v>
      </c>
      <c r="CG463">
        <v>0</v>
      </c>
      <c r="CH463">
        <v>-0.8</v>
      </c>
      <c r="CI463">
        <v>0</v>
      </c>
      <c r="CJ463">
        <v>-1.5</v>
      </c>
      <c r="CK463">
        <v>95</v>
      </c>
      <c r="CL463">
        <v>-0.48</v>
      </c>
      <c r="CM463">
        <v>94</v>
      </c>
      <c r="CN463">
        <v>-0.27</v>
      </c>
      <c r="CO463">
        <v>94</v>
      </c>
      <c r="CP463">
        <v>-2.8</v>
      </c>
      <c r="CQ463">
        <v>91</v>
      </c>
      <c r="CR463">
        <v>0</v>
      </c>
      <c r="CS463">
        <v>0</v>
      </c>
      <c r="CT463">
        <v>4.5999999999999996</v>
      </c>
      <c r="CU463">
        <v>87</v>
      </c>
      <c r="CV463">
        <v>0.03</v>
      </c>
      <c r="CW463">
        <v>45</v>
      </c>
      <c r="CX463" t="s">
        <v>7567</v>
      </c>
    </row>
    <row r="464" spans="1:102" x14ac:dyDescent="0.3">
      <c r="A464" t="str">
        <f>HYPERLINK("https://webapp.icbf.com/v2/app/bull-search/view/586151683","WJU")</f>
        <v>WJU</v>
      </c>
      <c r="B464" t="s">
        <v>5034</v>
      </c>
      <c r="C464" t="s">
        <v>5035</v>
      </c>
      <c r="D464" s="1">
        <v>38144</v>
      </c>
      <c r="E464" t="s">
        <v>92</v>
      </c>
      <c r="F464">
        <v>100</v>
      </c>
      <c r="G464" t="s">
        <v>93</v>
      </c>
      <c r="H464">
        <v>187.03</v>
      </c>
      <c r="I464">
        <v>89</v>
      </c>
      <c r="J464">
        <v>61.93</v>
      </c>
      <c r="K464">
        <v>96</v>
      </c>
      <c r="L464">
        <v>71.540000000000006</v>
      </c>
      <c r="M464">
        <v>90</v>
      </c>
      <c r="N464">
        <v>39.75</v>
      </c>
      <c r="O464">
        <v>83</v>
      </c>
      <c r="P464">
        <v>5.89</v>
      </c>
      <c r="Q464">
        <v>85</v>
      </c>
      <c r="R464">
        <v>8.67</v>
      </c>
      <c r="S464">
        <v>83</v>
      </c>
      <c r="T464">
        <v>0.43</v>
      </c>
      <c r="U464">
        <v>81</v>
      </c>
      <c r="V464">
        <v>-1.18</v>
      </c>
      <c r="W464">
        <v>74</v>
      </c>
      <c r="X464" t="s">
        <v>251</v>
      </c>
      <c r="Y464" t="s">
        <v>235</v>
      </c>
      <c r="Z464" t="s">
        <v>96</v>
      </c>
      <c r="AA464" t="s">
        <v>316</v>
      </c>
      <c r="AB464" t="s">
        <v>5036</v>
      </c>
      <c r="AC464">
        <v>53</v>
      </c>
      <c r="AD464">
        <v>30</v>
      </c>
      <c r="AE464">
        <v>96</v>
      </c>
      <c r="AF464">
        <v>329.75</v>
      </c>
      <c r="AG464">
        <v>17.100000000000001</v>
      </c>
      <c r="AH464">
        <v>9.5299999999999994</v>
      </c>
      <c r="AI464">
        <v>7.0000000000000007E-2</v>
      </c>
      <c r="AJ464">
        <v>-0.03</v>
      </c>
      <c r="AK464">
        <v>90</v>
      </c>
      <c r="AL464">
        <v>53</v>
      </c>
      <c r="AM464">
        <v>24</v>
      </c>
      <c r="AN464">
        <v>-3.55</v>
      </c>
      <c r="AO464">
        <v>2.16</v>
      </c>
      <c r="AP464">
        <v>61</v>
      </c>
      <c r="AQ464">
        <v>0</v>
      </c>
      <c r="AR464">
        <v>5.13</v>
      </c>
      <c r="AS464">
        <v>78</v>
      </c>
      <c r="AT464">
        <v>2.2000000000000002</v>
      </c>
      <c r="AU464">
        <v>89</v>
      </c>
      <c r="AV464">
        <v>-3.52</v>
      </c>
      <c r="AW464">
        <v>91</v>
      </c>
      <c r="AX464">
        <v>-0.28000000000000003</v>
      </c>
      <c r="AY464">
        <v>74</v>
      </c>
      <c r="AZ464">
        <v>6.59</v>
      </c>
      <c r="BA464">
        <v>60</v>
      </c>
      <c r="BB464">
        <v>5.3</v>
      </c>
      <c r="BC464">
        <v>63</v>
      </c>
      <c r="BD464">
        <v>-0.05</v>
      </c>
      <c r="BE464">
        <v>-0.04</v>
      </c>
      <c r="BF464">
        <v>-0.04</v>
      </c>
      <c r="BG464">
        <v>93</v>
      </c>
      <c r="BH464">
        <v>0.01</v>
      </c>
      <c r="BI464">
        <v>4.97</v>
      </c>
      <c r="BJ464">
        <v>16</v>
      </c>
      <c r="BK464">
        <v>11</v>
      </c>
      <c r="BL464">
        <v>0.18</v>
      </c>
      <c r="BM464">
        <v>0.33</v>
      </c>
      <c r="BN464">
        <v>-0.54</v>
      </c>
      <c r="BO464">
        <v>-0.47</v>
      </c>
      <c r="BP464">
        <v>2.65</v>
      </c>
      <c r="BQ464">
        <v>0.09</v>
      </c>
      <c r="BR464">
        <v>-2.0699999999999998</v>
      </c>
      <c r="BS464">
        <v>1.81</v>
      </c>
      <c r="BT464">
        <v>0.61</v>
      </c>
      <c r="BU464">
        <v>-0.26</v>
      </c>
      <c r="BV464">
        <v>-0.05</v>
      </c>
      <c r="BW464">
        <v>-0.21</v>
      </c>
      <c r="BX464">
        <v>0.11</v>
      </c>
      <c r="BY464">
        <v>0.69</v>
      </c>
      <c r="BZ464">
        <v>0.56999999999999995</v>
      </c>
      <c r="CA464">
        <v>0.53</v>
      </c>
      <c r="CB464">
        <v>0.16</v>
      </c>
      <c r="CC464">
        <v>1.1000000000000001</v>
      </c>
      <c r="CD464">
        <v>0.74</v>
      </c>
      <c r="CE464">
        <v>-0.4</v>
      </c>
      <c r="CF464">
        <v>-0.38</v>
      </c>
      <c r="CG464">
        <v>0</v>
      </c>
      <c r="CH464">
        <v>0.54</v>
      </c>
      <c r="CI464">
        <v>0</v>
      </c>
      <c r="CJ464">
        <v>4.9000000000000004</v>
      </c>
      <c r="CK464">
        <v>86</v>
      </c>
      <c r="CL464">
        <v>-0.35</v>
      </c>
      <c r="CM464">
        <v>83</v>
      </c>
      <c r="CN464">
        <v>-0.21</v>
      </c>
      <c r="CO464">
        <v>81</v>
      </c>
      <c r="CP464">
        <v>1.9</v>
      </c>
      <c r="CQ464">
        <v>85</v>
      </c>
      <c r="CR464">
        <v>0</v>
      </c>
      <c r="CS464">
        <v>0</v>
      </c>
      <c r="CT464">
        <v>13.2</v>
      </c>
      <c r="CU464">
        <v>81</v>
      </c>
      <c r="CV464">
        <v>0.17</v>
      </c>
      <c r="CW464">
        <v>45</v>
      </c>
      <c r="CX464" t="s">
        <v>1384</v>
      </c>
    </row>
    <row r="465" spans="1:102" x14ac:dyDescent="0.3">
      <c r="A465" t="str">
        <f>HYPERLINK("https://webapp.icbf.com/v2/app/bull-search/view/550979052","ZCD")</f>
        <v>ZCD</v>
      </c>
      <c r="B465" t="s">
        <v>14512</v>
      </c>
      <c r="C465" t="s">
        <v>14513</v>
      </c>
      <c r="D465" s="1">
        <v>38865</v>
      </c>
      <c r="E465" t="s">
        <v>227</v>
      </c>
      <c r="F465">
        <v>0</v>
      </c>
      <c r="G465" t="s">
        <v>93</v>
      </c>
      <c r="H465">
        <v>186.98</v>
      </c>
      <c r="I465">
        <v>94</v>
      </c>
      <c r="J465">
        <v>105.31</v>
      </c>
      <c r="K465">
        <v>99</v>
      </c>
      <c r="L465">
        <v>32.78</v>
      </c>
      <c r="M465">
        <v>90</v>
      </c>
      <c r="N465">
        <v>45.25</v>
      </c>
      <c r="O465">
        <v>96</v>
      </c>
      <c r="P465">
        <v>-45.18</v>
      </c>
      <c r="Q465">
        <v>96</v>
      </c>
      <c r="R465">
        <v>1.74</v>
      </c>
      <c r="S465">
        <v>90</v>
      </c>
      <c r="T465">
        <v>39.28</v>
      </c>
      <c r="U465">
        <v>97</v>
      </c>
      <c r="V465">
        <v>7.8</v>
      </c>
      <c r="W465">
        <v>85</v>
      </c>
      <c r="X465" t="s">
        <v>94</v>
      </c>
      <c r="Y465" t="s">
        <v>1756</v>
      </c>
      <c r="Z465">
        <v>0</v>
      </c>
      <c r="AA465" t="s">
        <v>1525</v>
      </c>
      <c r="AB465" t="s">
        <v>14514</v>
      </c>
      <c r="AC465">
        <v>567</v>
      </c>
      <c r="AD465">
        <v>163</v>
      </c>
      <c r="AE465">
        <v>99</v>
      </c>
      <c r="AF465">
        <v>-170.64</v>
      </c>
      <c r="AG465">
        <v>15.09</v>
      </c>
      <c r="AH465">
        <v>9.9600000000000009</v>
      </c>
      <c r="AI465">
        <v>0.39</v>
      </c>
      <c r="AJ465">
        <v>0.28000000000000003</v>
      </c>
      <c r="AK465">
        <v>90</v>
      </c>
      <c r="AL465">
        <v>497</v>
      </c>
      <c r="AM465">
        <v>144</v>
      </c>
      <c r="AN465">
        <v>-1.33</v>
      </c>
      <c r="AO465">
        <v>1.29</v>
      </c>
      <c r="AP465">
        <v>1937</v>
      </c>
      <c r="AQ465">
        <v>4</v>
      </c>
      <c r="AR465">
        <v>3.07</v>
      </c>
      <c r="AS465">
        <v>98</v>
      </c>
      <c r="AT465">
        <v>1.31</v>
      </c>
      <c r="AU465">
        <v>97</v>
      </c>
      <c r="AV465">
        <v>-4.03</v>
      </c>
      <c r="AW465">
        <v>99</v>
      </c>
      <c r="AX465">
        <v>2.86</v>
      </c>
      <c r="AY465">
        <v>97</v>
      </c>
      <c r="AZ465">
        <v>6.66</v>
      </c>
      <c r="BA465">
        <v>91</v>
      </c>
      <c r="BB465">
        <v>5.08</v>
      </c>
      <c r="BC465">
        <v>85</v>
      </c>
      <c r="BD465">
        <v>-0.06</v>
      </c>
      <c r="BE465">
        <v>0</v>
      </c>
      <c r="BF465">
        <v>0.06</v>
      </c>
      <c r="BG465">
        <v>97</v>
      </c>
      <c r="BH465">
        <v>0.18</v>
      </c>
      <c r="BI465">
        <v>-4.34</v>
      </c>
      <c r="BJ465">
        <v>5</v>
      </c>
      <c r="BK465">
        <v>4</v>
      </c>
      <c r="BL465">
        <v>-2.4900000000000002</v>
      </c>
      <c r="BM465">
        <v>-1.93</v>
      </c>
      <c r="BN465">
        <v>-0.04</v>
      </c>
      <c r="BO465">
        <v>1.85</v>
      </c>
      <c r="BP465">
        <v>0.41</v>
      </c>
      <c r="BQ465">
        <v>-5.94</v>
      </c>
      <c r="BR465">
        <v>3.4</v>
      </c>
      <c r="BS465">
        <v>4.8099999999999996</v>
      </c>
      <c r="BT465">
        <v>-1.88</v>
      </c>
      <c r="BU465">
        <v>-0.08</v>
      </c>
      <c r="BV465">
        <v>-0.14000000000000001</v>
      </c>
      <c r="BW465">
        <v>-2.08</v>
      </c>
      <c r="BX465">
        <v>-3.11</v>
      </c>
      <c r="BY465">
        <v>0.31</v>
      </c>
      <c r="BZ465">
        <v>-0.46</v>
      </c>
      <c r="CA465">
        <v>1.26</v>
      </c>
      <c r="CB465">
        <v>0.41</v>
      </c>
      <c r="CC465">
        <v>2.64</v>
      </c>
      <c r="CD465">
        <v>-2.46</v>
      </c>
      <c r="CE465">
        <v>1.45</v>
      </c>
      <c r="CF465">
        <v>-2.73</v>
      </c>
      <c r="CG465">
        <v>0</v>
      </c>
      <c r="CH465">
        <v>-0.2</v>
      </c>
      <c r="CI465">
        <v>0</v>
      </c>
      <c r="CJ465">
        <v>-22.2</v>
      </c>
      <c r="CK465">
        <v>97</v>
      </c>
      <c r="CL465">
        <v>-0.94</v>
      </c>
      <c r="CM465">
        <v>97</v>
      </c>
      <c r="CN465">
        <v>-0.01</v>
      </c>
      <c r="CO465">
        <v>96</v>
      </c>
      <c r="CP465">
        <v>-33.1</v>
      </c>
      <c r="CQ465">
        <v>92</v>
      </c>
      <c r="CR465">
        <v>0</v>
      </c>
      <c r="CS465">
        <v>0</v>
      </c>
      <c r="CT465">
        <v>-39.299999999999997</v>
      </c>
      <c r="CU465">
        <v>97</v>
      </c>
      <c r="CV465">
        <v>-0.16</v>
      </c>
      <c r="CW465">
        <v>46</v>
      </c>
      <c r="CX465" t="s">
        <v>14515</v>
      </c>
    </row>
    <row r="466" spans="1:102" x14ac:dyDescent="0.3">
      <c r="A466" t="str">
        <f>HYPERLINK("https://webapp.icbf.com/v2/app/bull-search/view/1365165281","FR4239")</f>
        <v>FR4239</v>
      </c>
      <c r="B466" t="s">
        <v>13962</v>
      </c>
      <c r="C466" t="s">
        <v>13963</v>
      </c>
      <c r="D466" s="1">
        <v>42436</v>
      </c>
      <c r="E466" t="s">
        <v>92</v>
      </c>
      <c r="F466">
        <v>69</v>
      </c>
      <c r="G466" t="s">
        <v>435</v>
      </c>
      <c r="H466">
        <v>186.86</v>
      </c>
      <c r="I466">
        <v>74</v>
      </c>
      <c r="J466">
        <v>25.05</v>
      </c>
      <c r="K466">
        <v>89</v>
      </c>
      <c r="L466">
        <v>133.93</v>
      </c>
      <c r="M466">
        <v>66</v>
      </c>
      <c r="N466">
        <v>40.82</v>
      </c>
      <c r="O466">
        <v>89</v>
      </c>
      <c r="P466">
        <v>-25.67</v>
      </c>
      <c r="Q466">
        <v>57</v>
      </c>
      <c r="R466">
        <v>0.28999999999999998</v>
      </c>
      <c r="S466">
        <v>65</v>
      </c>
      <c r="T466">
        <v>7.91</v>
      </c>
      <c r="U466">
        <v>49</v>
      </c>
      <c r="V466">
        <v>4.53</v>
      </c>
      <c r="W466">
        <v>61</v>
      </c>
      <c r="X466" t="s">
        <v>94</v>
      </c>
      <c r="Y466" t="s">
        <v>2255</v>
      </c>
      <c r="Z466" t="s">
        <v>96</v>
      </c>
      <c r="AA466" t="s">
        <v>13964</v>
      </c>
      <c r="AB466" t="s">
        <v>13520</v>
      </c>
      <c r="AC466">
        <v>0</v>
      </c>
      <c r="AD466">
        <v>0</v>
      </c>
      <c r="AE466">
        <v>89</v>
      </c>
      <c r="AF466">
        <v>-95.13</v>
      </c>
      <c r="AG466">
        <v>4.42</v>
      </c>
      <c r="AH466">
        <v>1.24</v>
      </c>
      <c r="AI466">
        <v>0.14000000000000001</v>
      </c>
      <c r="AJ466">
        <v>0.08</v>
      </c>
      <c r="AK466">
        <v>66</v>
      </c>
      <c r="AL466">
        <v>0</v>
      </c>
      <c r="AM466">
        <v>0</v>
      </c>
      <c r="AN466">
        <v>-8.94</v>
      </c>
      <c r="AO466">
        <v>1.72</v>
      </c>
      <c r="AP466">
        <v>2524</v>
      </c>
      <c r="AQ466">
        <v>2</v>
      </c>
      <c r="AR466">
        <v>4.84</v>
      </c>
      <c r="AS466">
        <v>97</v>
      </c>
      <c r="AT466">
        <v>2.11</v>
      </c>
      <c r="AU466">
        <v>97</v>
      </c>
      <c r="AV466">
        <v>-3.72</v>
      </c>
      <c r="AW466">
        <v>99</v>
      </c>
      <c r="AX466">
        <v>-0.13</v>
      </c>
      <c r="AY466">
        <v>97</v>
      </c>
      <c r="AZ466">
        <v>6.56</v>
      </c>
      <c r="BA466">
        <v>47</v>
      </c>
      <c r="BB466">
        <v>5.55</v>
      </c>
      <c r="BC466">
        <v>43</v>
      </c>
      <c r="BD466">
        <v>-0.04</v>
      </c>
      <c r="BE466">
        <v>0</v>
      </c>
      <c r="BF466">
        <v>0.06</v>
      </c>
      <c r="BG466">
        <v>75</v>
      </c>
      <c r="BH466">
        <v>0.1</v>
      </c>
      <c r="BI466">
        <v>-3.05</v>
      </c>
      <c r="BJ466">
        <v>0</v>
      </c>
      <c r="BK466">
        <v>0</v>
      </c>
      <c r="BL466">
        <v>-0.9</v>
      </c>
      <c r="BM466">
        <v>0.25</v>
      </c>
      <c r="BN466">
        <v>-0.21</v>
      </c>
      <c r="BO466">
        <v>-0.28000000000000003</v>
      </c>
      <c r="BP466">
        <v>1.3</v>
      </c>
      <c r="BQ466">
        <v>-0.28000000000000003</v>
      </c>
      <c r="BR466">
        <v>2.15</v>
      </c>
      <c r="BS466">
        <v>0.3</v>
      </c>
      <c r="BT466">
        <v>-1.1599999999999999</v>
      </c>
      <c r="BU466">
        <v>0.15</v>
      </c>
      <c r="BV466">
        <v>-0.36</v>
      </c>
      <c r="BW466">
        <v>-0.65</v>
      </c>
      <c r="BX466">
        <v>-0.31</v>
      </c>
      <c r="BY466">
        <v>-0.47</v>
      </c>
      <c r="BZ466">
        <v>1.43</v>
      </c>
      <c r="CA466">
        <v>-0.46</v>
      </c>
      <c r="CB466">
        <v>-0.39</v>
      </c>
      <c r="CC466">
        <v>-0.19</v>
      </c>
      <c r="CD466">
        <v>0.31</v>
      </c>
      <c r="CE466">
        <v>-0.61</v>
      </c>
      <c r="CF466">
        <v>-0.89</v>
      </c>
      <c r="CG466">
        <v>0</v>
      </c>
      <c r="CH466">
        <v>-0.16</v>
      </c>
      <c r="CI466">
        <v>0</v>
      </c>
      <c r="CJ466">
        <v>-11.4</v>
      </c>
      <c r="CK466">
        <v>62</v>
      </c>
      <c r="CL466">
        <v>-0.98</v>
      </c>
      <c r="CM466">
        <v>50</v>
      </c>
      <c r="CN466">
        <v>-0.12</v>
      </c>
      <c r="CO466">
        <v>48</v>
      </c>
      <c r="CP466">
        <v>-8.1999999999999993</v>
      </c>
      <c r="CQ466">
        <v>51</v>
      </c>
      <c r="CR466">
        <v>0</v>
      </c>
      <c r="CS466">
        <v>0</v>
      </c>
      <c r="CT466">
        <v>3.1</v>
      </c>
      <c r="CU466">
        <v>49</v>
      </c>
      <c r="CV466">
        <v>0.13</v>
      </c>
      <c r="CW466">
        <v>36</v>
      </c>
      <c r="CX466" t="s">
        <v>4059</v>
      </c>
    </row>
    <row r="467" spans="1:102" x14ac:dyDescent="0.3">
      <c r="A467" t="str">
        <f>HYPERLINK("https://webapp.icbf.com/v2/app/bull-search/view/1266721315","FR4024")</f>
        <v>FR4024</v>
      </c>
      <c r="B467" t="s">
        <v>13883</v>
      </c>
      <c r="C467" t="s">
        <v>13884</v>
      </c>
      <c r="D467" s="1">
        <v>42101</v>
      </c>
      <c r="E467" t="s">
        <v>92</v>
      </c>
      <c r="F467">
        <v>66</v>
      </c>
      <c r="G467" t="s">
        <v>93</v>
      </c>
      <c r="H467">
        <v>186.7</v>
      </c>
      <c r="I467">
        <v>79</v>
      </c>
      <c r="J467">
        <v>82.57</v>
      </c>
      <c r="K467">
        <v>92</v>
      </c>
      <c r="L467">
        <v>75.11</v>
      </c>
      <c r="M467">
        <v>71</v>
      </c>
      <c r="N467">
        <v>28.39</v>
      </c>
      <c r="O467">
        <v>87</v>
      </c>
      <c r="P467">
        <v>-10.38</v>
      </c>
      <c r="Q467">
        <v>88</v>
      </c>
      <c r="R467">
        <v>-3.54</v>
      </c>
      <c r="S467">
        <v>69</v>
      </c>
      <c r="T467">
        <v>8.57</v>
      </c>
      <c r="U467">
        <v>56</v>
      </c>
      <c r="V467">
        <v>5.98</v>
      </c>
      <c r="W467">
        <v>61</v>
      </c>
      <c r="X467" t="s">
        <v>94</v>
      </c>
      <c r="Y467" t="s">
        <v>436</v>
      </c>
      <c r="Z467" t="s">
        <v>330</v>
      </c>
      <c r="AA467" t="s">
        <v>2366</v>
      </c>
      <c r="AB467" t="s">
        <v>13885</v>
      </c>
      <c r="AC467">
        <v>30</v>
      </c>
      <c r="AD467">
        <v>19</v>
      </c>
      <c r="AE467">
        <v>92</v>
      </c>
      <c r="AF467">
        <v>142.22</v>
      </c>
      <c r="AG467">
        <v>9.44</v>
      </c>
      <c r="AH467">
        <v>12.88</v>
      </c>
      <c r="AI467">
        <v>7.0000000000000007E-2</v>
      </c>
      <c r="AJ467">
        <v>0.14000000000000001</v>
      </c>
      <c r="AK467">
        <v>71</v>
      </c>
      <c r="AL467">
        <v>1</v>
      </c>
      <c r="AM467">
        <v>1</v>
      </c>
      <c r="AN467">
        <v>-4.07</v>
      </c>
      <c r="AO467">
        <v>1.92</v>
      </c>
      <c r="AP467">
        <v>939</v>
      </c>
      <c r="AQ467">
        <v>1</v>
      </c>
      <c r="AR467">
        <v>5.62</v>
      </c>
      <c r="AS467">
        <v>76</v>
      </c>
      <c r="AT467">
        <v>2.66</v>
      </c>
      <c r="AU467">
        <v>95</v>
      </c>
      <c r="AV467">
        <v>-2.85</v>
      </c>
      <c r="AW467">
        <v>99</v>
      </c>
      <c r="AX467">
        <v>0.19</v>
      </c>
      <c r="AY467">
        <v>93</v>
      </c>
      <c r="AZ467">
        <v>6.55</v>
      </c>
      <c r="BA467">
        <v>56</v>
      </c>
      <c r="BB467">
        <v>5.42</v>
      </c>
      <c r="BC467">
        <v>46</v>
      </c>
      <c r="BD467">
        <v>-0.01</v>
      </c>
      <c r="BE467">
        <v>0.02</v>
      </c>
      <c r="BF467">
        <v>0.06</v>
      </c>
      <c r="BG467">
        <v>79</v>
      </c>
      <c r="BH467">
        <v>0.03</v>
      </c>
      <c r="BI467">
        <v>-15.83</v>
      </c>
      <c r="BJ467">
        <v>0</v>
      </c>
      <c r="BK467">
        <v>0</v>
      </c>
      <c r="BL467">
        <v>-1.36</v>
      </c>
      <c r="BM467">
        <v>0.47</v>
      </c>
      <c r="BN467">
        <v>-0.35</v>
      </c>
      <c r="BO467">
        <v>-0.72</v>
      </c>
      <c r="BP467">
        <v>2.76</v>
      </c>
      <c r="BQ467">
        <v>-1.66</v>
      </c>
      <c r="BR467">
        <v>-1.49</v>
      </c>
      <c r="BS467">
        <v>0.15</v>
      </c>
      <c r="BT467">
        <v>0.62</v>
      </c>
      <c r="BU467">
        <v>-1.02</v>
      </c>
      <c r="BV467">
        <v>-1.43</v>
      </c>
      <c r="BW467">
        <v>-1.62</v>
      </c>
      <c r="BX467">
        <v>-1.22</v>
      </c>
      <c r="BY467">
        <v>-1.2</v>
      </c>
      <c r="BZ467">
        <v>-0.79</v>
      </c>
      <c r="CA467">
        <v>-1.1100000000000001</v>
      </c>
      <c r="CB467">
        <v>-1.26</v>
      </c>
      <c r="CC467">
        <v>-0.06</v>
      </c>
      <c r="CD467">
        <v>1.1100000000000001</v>
      </c>
      <c r="CE467">
        <v>-0.26</v>
      </c>
      <c r="CF467">
        <v>-1.07</v>
      </c>
      <c r="CG467">
        <v>0</v>
      </c>
      <c r="CH467">
        <v>-1.79</v>
      </c>
      <c r="CI467">
        <v>0</v>
      </c>
      <c r="CJ467">
        <v>-7</v>
      </c>
      <c r="CK467">
        <v>91</v>
      </c>
      <c r="CL467">
        <v>-0.49</v>
      </c>
      <c r="CM467">
        <v>89</v>
      </c>
      <c r="CN467">
        <v>-0.45</v>
      </c>
      <c r="CO467">
        <v>88</v>
      </c>
      <c r="CP467">
        <v>-6.2</v>
      </c>
      <c r="CQ467">
        <v>61</v>
      </c>
      <c r="CR467">
        <v>0</v>
      </c>
      <c r="CS467">
        <v>0</v>
      </c>
      <c r="CT467">
        <v>2.2000000000000002</v>
      </c>
      <c r="CU467">
        <v>56</v>
      </c>
      <c r="CV467">
        <v>0.03</v>
      </c>
      <c r="CW467">
        <v>46</v>
      </c>
      <c r="CX467" t="s">
        <v>1942</v>
      </c>
    </row>
    <row r="468" spans="1:102" x14ac:dyDescent="0.3">
      <c r="A468" t="str">
        <f>HYPERLINK("https://webapp.icbf.com/v2/app/bull-search/view/1306332610","FR2373")</f>
        <v>FR2373</v>
      </c>
      <c r="B468" t="s">
        <v>9392</v>
      </c>
      <c r="C468" t="s">
        <v>7678</v>
      </c>
      <c r="D468" s="1">
        <v>41808</v>
      </c>
      <c r="E468" t="s">
        <v>92</v>
      </c>
      <c r="F468">
        <v>100</v>
      </c>
      <c r="G468" t="s">
        <v>109</v>
      </c>
      <c r="H468">
        <v>186.59</v>
      </c>
      <c r="I468">
        <v>80</v>
      </c>
      <c r="J468">
        <v>126.03</v>
      </c>
      <c r="K468">
        <v>92</v>
      </c>
      <c r="L468">
        <v>12.59</v>
      </c>
      <c r="M468">
        <v>81</v>
      </c>
      <c r="N468">
        <v>37.1</v>
      </c>
      <c r="O468">
        <v>85</v>
      </c>
      <c r="P468">
        <v>-4.04</v>
      </c>
      <c r="Q468">
        <v>69</v>
      </c>
      <c r="R468">
        <v>14.38</v>
      </c>
      <c r="S468">
        <v>73</v>
      </c>
      <c r="T468">
        <v>-3.71</v>
      </c>
      <c r="U468">
        <v>46</v>
      </c>
      <c r="V468">
        <v>4.24</v>
      </c>
      <c r="W468">
        <v>58</v>
      </c>
      <c r="X468" t="s">
        <v>94</v>
      </c>
      <c r="Y468" t="s">
        <v>429</v>
      </c>
      <c r="Z468" t="s">
        <v>96</v>
      </c>
      <c r="AA468" t="s">
        <v>2318</v>
      </c>
      <c r="AB468" t="s">
        <v>9393</v>
      </c>
      <c r="AC468">
        <v>0</v>
      </c>
      <c r="AD468">
        <v>0</v>
      </c>
      <c r="AE468">
        <v>92</v>
      </c>
      <c r="AF468">
        <v>574.94000000000005</v>
      </c>
      <c r="AG468">
        <v>26.02</v>
      </c>
      <c r="AH468">
        <v>21.03</v>
      </c>
      <c r="AI468">
        <v>0.06</v>
      </c>
      <c r="AJ468">
        <v>0.02</v>
      </c>
      <c r="AK468">
        <v>81</v>
      </c>
      <c r="AL468">
        <v>0</v>
      </c>
      <c r="AM468">
        <v>0</v>
      </c>
      <c r="AN468">
        <v>-1.02</v>
      </c>
      <c r="AO468">
        <v>-0.02</v>
      </c>
      <c r="AP468">
        <v>351</v>
      </c>
      <c r="AQ468">
        <v>0</v>
      </c>
      <c r="AR468">
        <v>6.63</v>
      </c>
      <c r="AS468">
        <v>86</v>
      </c>
      <c r="AT468">
        <v>3.15</v>
      </c>
      <c r="AU468">
        <v>93</v>
      </c>
      <c r="AV468">
        <v>-4.4000000000000004</v>
      </c>
      <c r="AW468">
        <v>97</v>
      </c>
      <c r="AX468">
        <v>0.56000000000000005</v>
      </c>
      <c r="AY468">
        <v>85</v>
      </c>
      <c r="AZ468">
        <v>5.48</v>
      </c>
      <c r="BA468">
        <v>53</v>
      </c>
      <c r="BB468">
        <v>5.01</v>
      </c>
      <c r="BC468">
        <v>39</v>
      </c>
      <c r="BD468">
        <v>-0.04</v>
      </c>
      <c r="BE468">
        <v>-0.06</v>
      </c>
      <c r="BF468">
        <v>-0.15</v>
      </c>
      <c r="BG468">
        <v>90</v>
      </c>
      <c r="BH468">
        <v>-0.06</v>
      </c>
      <c r="BI468">
        <v>-20.61</v>
      </c>
      <c r="BJ468">
        <v>0</v>
      </c>
      <c r="BK468">
        <v>0</v>
      </c>
      <c r="BL468">
        <v>2.17</v>
      </c>
      <c r="BM468">
        <v>1.29</v>
      </c>
      <c r="BN468">
        <v>2.4500000000000002</v>
      </c>
      <c r="BO468">
        <v>1.43</v>
      </c>
      <c r="BP468">
        <v>-0.99</v>
      </c>
      <c r="BQ468">
        <v>4.25</v>
      </c>
      <c r="BR468">
        <v>-1.83</v>
      </c>
      <c r="BS468">
        <v>2.65</v>
      </c>
      <c r="BT468">
        <v>3.05</v>
      </c>
      <c r="BU468">
        <v>1.0900000000000001</v>
      </c>
      <c r="BV468">
        <v>2.66</v>
      </c>
      <c r="BW468">
        <v>1.89</v>
      </c>
      <c r="BX468">
        <v>0.54</v>
      </c>
      <c r="BY468">
        <v>1.28</v>
      </c>
      <c r="BZ468">
        <v>1.1499999999999999</v>
      </c>
      <c r="CA468">
        <v>2.12</v>
      </c>
      <c r="CB468">
        <v>1.81</v>
      </c>
      <c r="CC468">
        <v>2.4</v>
      </c>
      <c r="CD468">
        <v>-0.7</v>
      </c>
      <c r="CE468">
        <v>1.2</v>
      </c>
      <c r="CF468">
        <v>1.44</v>
      </c>
      <c r="CG468">
        <v>0</v>
      </c>
      <c r="CH468">
        <v>1.03</v>
      </c>
      <c r="CI468">
        <v>0</v>
      </c>
      <c r="CJ468">
        <v>-0.2</v>
      </c>
      <c r="CK468">
        <v>72</v>
      </c>
      <c r="CL468">
        <v>-1.1200000000000001</v>
      </c>
      <c r="CM468">
        <v>68</v>
      </c>
      <c r="CN468">
        <v>-0.63</v>
      </c>
      <c r="CO468">
        <v>67</v>
      </c>
      <c r="CP468">
        <v>2.8</v>
      </c>
      <c r="CQ468">
        <v>50</v>
      </c>
      <c r="CR468">
        <v>0</v>
      </c>
      <c r="CS468">
        <v>0</v>
      </c>
      <c r="CT468">
        <v>18.8</v>
      </c>
      <c r="CU468">
        <v>46</v>
      </c>
      <c r="CV468">
        <v>0.32</v>
      </c>
      <c r="CW468">
        <v>40</v>
      </c>
      <c r="CX468" t="s">
        <v>1894</v>
      </c>
    </row>
    <row r="469" spans="1:102" x14ac:dyDescent="0.3">
      <c r="A469" t="str">
        <f>HYPERLINK("https://webapp.icbf.com/v2/app/bull-search/view/586034491","S913")</f>
        <v>S913</v>
      </c>
      <c r="B469" t="s">
        <v>15665</v>
      </c>
      <c r="C469" t="s">
        <v>5819</v>
      </c>
      <c r="D469" s="1">
        <v>37235</v>
      </c>
      <c r="E469" t="s">
        <v>146</v>
      </c>
      <c r="F469">
        <v>13</v>
      </c>
      <c r="G469" t="s">
        <v>93</v>
      </c>
      <c r="H469">
        <v>186.53</v>
      </c>
      <c r="I469">
        <v>80</v>
      </c>
      <c r="J469">
        <v>18.420000000000002</v>
      </c>
      <c r="K469">
        <v>91</v>
      </c>
      <c r="L469">
        <v>105.95</v>
      </c>
      <c r="M469">
        <v>71</v>
      </c>
      <c r="N469">
        <v>39.25</v>
      </c>
      <c r="O469">
        <v>84</v>
      </c>
      <c r="P469">
        <v>4.0599999999999996</v>
      </c>
      <c r="Q469">
        <v>93</v>
      </c>
      <c r="R469">
        <v>5.67</v>
      </c>
      <c r="S469">
        <v>66</v>
      </c>
      <c r="T469">
        <v>18.41</v>
      </c>
      <c r="U469">
        <v>78</v>
      </c>
      <c r="V469">
        <v>-5.23</v>
      </c>
      <c r="W469">
        <v>50</v>
      </c>
      <c r="X469" t="s">
        <v>276</v>
      </c>
      <c r="Y469" t="s">
        <v>303</v>
      </c>
      <c r="Z469">
        <v>0</v>
      </c>
      <c r="AA469" t="s">
        <v>5337</v>
      </c>
      <c r="AB469" t="s">
        <v>4110</v>
      </c>
      <c r="AC469">
        <v>43</v>
      </c>
      <c r="AD469">
        <v>11</v>
      </c>
      <c r="AE469">
        <v>91</v>
      </c>
      <c r="AF469">
        <v>-231.5</v>
      </c>
      <c r="AG469">
        <v>2.77</v>
      </c>
      <c r="AH469">
        <v>-1.39</v>
      </c>
      <c r="AI469">
        <v>0.2</v>
      </c>
      <c r="AJ469">
        <v>0.11</v>
      </c>
      <c r="AK469">
        <v>71</v>
      </c>
      <c r="AL469">
        <v>0</v>
      </c>
      <c r="AM469">
        <v>0</v>
      </c>
      <c r="AN469">
        <v>-5.74</v>
      </c>
      <c r="AO469">
        <v>2.71</v>
      </c>
      <c r="AP469">
        <v>109</v>
      </c>
      <c r="AQ469">
        <v>0</v>
      </c>
      <c r="AR469">
        <v>7.36</v>
      </c>
      <c r="AS469">
        <v>77</v>
      </c>
      <c r="AT469">
        <v>2.81</v>
      </c>
      <c r="AU469">
        <v>87</v>
      </c>
      <c r="AV469">
        <v>-3.74</v>
      </c>
      <c r="AW469">
        <v>93</v>
      </c>
      <c r="AX469">
        <v>-1.03</v>
      </c>
      <c r="AY469">
        <v>84</v>
      </c>
      <c r="AZ469">
        <v>6.24</v>
      </c>
      <c r="BA469">
        <v>61</v>
      </c>
      <c r="BB469">
        <v>4.29</v>
      </c>
      <c r="BC469">
        <v>62</v>
      </c>
      <c r="BD469">
        <v>-0.02</v>
      </c>
      <c r="BE469">
        <v>-0.03</v>
      </c>
      <c r="BF469">
        <v>-0.04</v>
      </c>
      <c r="BG469">
        <v>86</v>
      </c>
      <c r="BH469">
        <v>-0.27</v>
      </c>
      <c r="BI469">
        <v>-14.35</v>
      </c>
      <c r="BJ469">
        <v>0</v>
      </c>
      <c r="BK469">
        <v>0</v>
      </c>
      <c r="BL469">
        <v>-1.57</v>
      </c>
      <c r="BM469">
        <v>2.13</v>
      </c>
      <c r="BN469">
        <v>-1</v>
      </c>
      <c r="BO469">
        <v>-1.38</v>
      </c>
      <c r="BP469">
        <v>2.8</v>
      </c>
      <c r="BQ469">
        <v>-0.55000000000000004</v>
      </c>
      <c r="BR469">
        <v>-0.63</v>
      </c>
      <c r="BS469">
        <v>1.73</v>
      </c>
      <c r="BT469">
        <v>-0.51</v>
      </c>
      <c r="BU469">
        <v>-0.06</v>
      </c>
      <c r="BV469">
        <v>-2.59</v>
      </c>
      <c r="BW469">
        <v>-1.43</v>
      </c>
      <c r="BX469">
        <v>-0.92</v>
      </c>
      <c r="BY469">
        <v>-0.42</v>
      </c>
      <c r="BZ469">
        <v>-4.2300000000000004</v>
      </c>
      <c r="CA469">
        <v>-0.48</v>
      </c>
      <c r="CB469">
        <v>-0.99</v>
      </c>
      <c r="CC469">
        <v>0.71</v>
      </c>
      <c r="CD469">
        <v>2.62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1.6</v>
      </c>
      <c r="CK469">
        <v>94</v>
      </c>
      <c r="CL469">
        <v>0.13</v>
      </c>
      <c r="CM469">
        <v>93</v>
      </c>
      <c r="CN469">
        <v>-0.04</v>
      </c>
      <c r="CO469">
        <v>92</v>
      </c>
      <c r="CP469">
        <v>0.3</v>
      </c>
      <c r="CQ469">
        <v>84</v>
      </c>
      <c r="CR469">
        <v>0</v>
      </c>
      <c r="CS469">
        <v>0</v>
      </c>
      <c r="CT469">
        <v>-11.1</v>
      </c>
      <c r="CU469">
        <v>78</v>
      </c>
      <c r="CV469">
        <v>-7.0000000000000007E-2</v>
      </c>
      <c r="CW469">
        <v>44</v>
      </c>
      <c r="CX469" t="s">
        <v>4111</v>
      </c>
    </row>
    <row r="470" spans="1:102" x14ac:dyDescent="0.3">
      <c r="A470" t="str">
        <f>HYPERLINK("https://webapp.icbf.com/v2/app/bull-search/view/862479278","HYD")</f>
        <v>HYD</v>
      </c>
      <c r="B470" t="s">
        <v>14183</v>
      </c>
      <c r="C470" t="s">
        <v>14184</v>
      </c>
      <c r="D470" s="1">
        <v>40587</v>
      </c>
      <c r="E470" t="s">
        <v>92</v>
      </c>
      <c r="F470">
        <v>72</v>
      </c>
      <c r="G470" t="s">
        <v>93</v>
      </c>
      <c r="H470">
        <v>186.44</v>
      </c>
      <c r="I470">
        <v>96</v>
      </c>
      <c r="J470">
        <v>40.380000000000003</v>
      </c>
      <c r="K470">
        <v>99</v>
      </c>
      <c r="L470">
        <v>77.37</v>
      </c>
      <c r="M470">
        <v>92</v>
      </c>
      <c r="N470">
        <v>55.98</v>
      </c>
      <c r="O470">
        <v>97</v>
      </c>
      <c r="P470">
        <v>-10.61</v>
      </c>
      <c r="Q470">
        <v>99</v>
      </c>
      <c r="R470">
        <v>9.73</v>
      </c>
      <c r="S470">
        <v>93</v>
      </c>
      <c r="T470">
        <v>10.5</v>
      </c>
      <c r="U470">
        <v>98</v>
      </c>
      <c r="V470">
        <v>3.09</v>
      </c>
      <c r="W470">
        <v>84</v>
      </c>
      <c r="X470" t="s">
        <v>102</v>
      </c>
      <c r="Y470" t="s">
        <v>1860</v>
      </c>
      <c r="Z470" t="s">
        <v>96</v>
      </c>
      <c r="AA470" t="s">
        <v>1942</v>
      </c>
      <c r="AB470" t="s">
        <v>14185</v>
      </c>
      <c r="AC470">
        <v>1237</v>
      </c>
      <c r="AD470">
        <v>496</v>
      </c>
      <c r="AE470">
        <v>99</v>
      </c>
      <c r="AF470">
        <v>75.75</v>
      </c>
      <c r="AG470">
        <v>11.58</v>
      </c>
      <c r="AH470">
        <v>3.93</v>
      </c>
      <c r="AI470">
        <v>0.15</v>
      </c>
      <c r="AJ470">
        <v>0.02</v>
      </c>
      <c r="AK470">
        <v>92</v>
      </c>
      <c r="AL470">
        <v>1446</v>
      </c>
      <c r="AM470">
        <v>574</v>
      </c>
      <c r="AN470">
        <v>-2.68</v>
      </c>
      <c r="AO470">
        <v>3.51</v>
      </c>
      <c r="AP470">
        <v>2158</v>
      </c>
      <c r="AQ470">
        <v>14</v>
      </c>
      <c r="AR470">
        <v>5.03</v>
      </c>
      <c r="AS470">
        <v>97</v>
      </c>
      <c r="AT470">
        <v>1.88</v>
      </c>
      <c r="AU470">
        <v>98</v>
      </c>
      <c r="AV470">
        <v>-4.74</v>
      </c>
      <c r="AW470">
        <v>99</v>
      </c>
      <c r="AX470">
        <v>-0.27</v>
      </c>
      <c r="AY470">
        <v>98</v>
      </c>
      <c r="AZ470">
        <v>5.82</v>
      </c>
      <c r="BA470">
        <v>94</v>
      </c>
      <c r="BB470">
        <v>4.6500000000000004</v>
      </c>
      <c r="BC470">
        <v>92</v>
      </c>
      <c r="BD470">
        <v>-0.04</v>
      </c>
      <c r="BE470">
        <v>-0.03</v>
      </c>
      <c r="BF470">
        <v>-0.1</v>
      </c>
      <c r="BG470">
        <v>98</v>
      </c>
      <c r="BH470">
        <v>0.11</v>
      </c>
      <c r="BI470">
        <v>2.77</v>
      </c>
      <c r="BJ470">
        <v>62</v>
      </c>
      <c r="BK470">
        <v>39</v>
      </c>
      <c r="BL470">
        <v>-2.0499999999999998</v>
      </c>
      <c r="BM470">
        <v>0.6</v>
      </c>
      <c r="BN470">
        <v>-0.97</v>
      </c>
      <c r="BO470">
        <v>-1.19</v>
      </c>
      <c r="BP470">
        <v>1.25</v>
      </c>
      <c r="BQ470">
        <v>-0.98</v>
      </c>
      <c r="BR470">
        <v>-3.77</v>
      </c>
      <c r="BS470">
        <v>1.54</v>
      </c>
      <c r="BT470">
        <v>2.88</v>
      </c>
      <c r="BU470">
        <v>-1.42</v>
      </c>
      <c r="BV470">
        <v>-1.61</v>
      </c>
      <c r="BW470">
        <v>-1.47</v>
      </c>
      <c r="BX470">
        <v>-1.63</v>
      </c>
      <c r="BY470">
        <v>-2.37</v>
      </c>
      <c r="BZ470">
        <v>-1.1000000000000001</v>
      </c>
      <c r="CA470">
        <v>-0.43</v>
      </c>
      <c r="CB470">
        <v>-1.4</v>
      </c>
      <c r="CC470">
        <v>1.94</v>
      </c>
      <c r="CD470">
        <v>1.59</v>
      </c>
      <c r="CE470">
        <v>-1.1000000000000001</v>
      </c>
      <c r="CF470">
        <v>-1.03</v>
      </c>
      <c r="CG470">
        <v>0</v>
      </c>
      <c r="CH470">
        <v>-2.19</v>
      </c>
      <c r="CI470">
        <v>0</v>
      </c>
      <c r="CJ470">
        <v>-5</v>
      </c>
      <c r="CK470">
        <v>99</v>
      </c>
      <c r="CL470">
        <v>-0.3</v>
      </c>
      <c r="CM470">
        <v>99</v>
      </c>
      <c r="CN470">
        <v>-0.01</v>
      </c>
      <c r="CO470">
        <v>99</v>
      </c>
      <c r="CP470">
        <v>-4.9000000000000004</v>
      </c>
      <c r="CQ470">
        <v>97</v>
      </c>
      <c r="CR470">
        <v>0</v>
      </c>
      <c r="CS470">
        <v>0</v>
      </c>
      <c r="CT470">
        <v>-0.4</v>
      </c>
      <c r="CU470">
        <v>98</v>
      </c>
      <c r="CV470">
        <v>0.01</v>
      </c>
      <c r="CW470">
        <v>48</v>
      </c>
      <c r="CX470" t="s">
        <v>4532</v>
      </c>
    </row>
    <row r="471" spans="1:102" x14ac:dyDescent="0.3">
      <c r="A471" t="str">
        <f>HYPERLINK("https://webapp.icbf.com/v2/app/bull-search/view/1217796425","S3001")</f>
        <v>S3001</v>
      </c>
      <c r="B471" t="s">
        <v>2183</v>
      </c>
      <c r="C471" t="s">
        <v>2184</v>
      </c>
      <c r="D471" s="1">
        <v>41512</v>
      </c>
      <c r="E471" t="s">
        <v>92</v>
      </c>
      <c r="F471">
        <v>100</v>
      </c>
      <c r="G471" t="s">
        <v>109</v>
      </c>
      <c r="H471">
        <v>186.41</v>
      </c>
      <c r="I471">
        <v>71</v>
      </c>
      <c r="J471">
        <v>104.91</v>
      </c>
      <c r="K471">
        <v>91</v>
      </c>
      <c r="L471">
        <v>39.479999999999997</v>
      </c>
      <c r="M471">
        <v>73</v>
      </c>
      <c r="N471">
        <v>38.44</v>
      </c>
      <c r="O471">
        <v>54</v>
      </c>
      <c r="P471">
        <v>-4.58</v>
      </c>
      <c r="Q471">
        <v>45</v>
      </c>
      <c r="R471">
        <v>13.47</v>
      </c>
      <c r="S471">
        <v>69</v>
      </c>
      <c r="T471">
        <v>-11.63</v>
      </c>
      <c r="U471">
        <v>41</v>
      </c>
      <c r="V471">
        <v>6.32</v>
      </c>
      <c r="W471">
        <v>55</v>
      </c>
      <c r="X471" t="s">
        <v>110</v>
      </c>
      <c r="Y471" t="s">
        <v>411</v>
      </c>
      <c r="Z471" t="s">
        <v>96</v>
      </c>
      <c r="AA471" t="s">
        <v>2185</v>
      </c>
      <c r="AB471" t="s">
        <v>2186</v>
      </c>
      <c r="AC471">
        <v>0</v>
      </c>
      <c r="AD471">
        <v>0</v>
      </c>
      <c r="AE471">
        <v>91</v>
      </c>
      <c r="AF471">
        <v>426.15</v>
      </c>
      <c r="AG471">
        <v>20.14</v>
      </c>
      <c r="AH471">
        <v>17.239999999999998</v>
      </c>
      <c r="AI471">
        <v>0.06</v>
      </c>
      <c r="AJ471">
        <v>0.05</v>
      </c>
      <c r="AK471">
        <v>73</v>
      </c>
      <c r="AL471">
        <v>0</v>
      </c>
      <c r="AM471">
        <v>0</v>
      </c>
      <c r="AN471">
        <v>-1.27</v>
      </c>
      <c r="AO471">
        <v>1.89</v>
      </c>
      <c r="AP471">
        <v>1</v>
      </c>
      <c r="AQ471">
        <v>0</v>
      </c>
      <c r="AR471">
        <v>5.92</v>
      </c>
      <c r="AS471">
        <v>53</v>
      </c>
      <c r="AT471">
        <v>2.87</v>
      </c>
      <c r="AU471">
        <v>82</v>
      </c>
      <c r="AV471">
        <v>-3.76</v>
      </c>
      <c r="AW471">
        <v>46</v>
      </c>
      <c r="AX471">
        <v>-0.25</v>
      </c>
      <c r="AY471">
        <v>42</v>
      </c>
      <c r="AZ471">
        <v>5.48</v>
      </c>
      <c r="BA471">
        <v>39</v>
      </c>
      <c r="BB471">
        <v>4.95</v>
      </c>
      <c r="BC471">
        <v>38</v>
      </c>
      <c r="BD471">
        <v>-7.0000000000000007E-2</v>
      </c>
      <c r="BE471">
        <v>-7.0000000000000007E-2</v>
      </c>
      <c r="BF471">
        <v>-0.06</v>
      </c>
      <c r="BG471">
        <v>86</v>
      </c>
      <c r="BH471">
        <v>0.01</v>
      </c>
      <c r="BI471">
        <v>-19.22</v>
      </c>
      <c r="BJ471">
        <v>1</v>
      </c>
      <c r="BK471">
        <v>1</v>
      </c>
      <c r="BL471">
        <v>1.61</v>
      </c>
      <c r="BM471">
        <v>-1.06</v>
      </c>
      <c r="BN471">
        <v>-0.33</v>
      </c>
      <c r="BO471">
        <v>1.08</v>
      </c>
      <c r="BP471">
        <v>-0.05</v>
      </c>
      <c r="BQ471">
        <v>1.93</v>
      </c>
      <c r="BR471">
        <v>0.93</v>
      </c>
      <c r="BS471">
        <v>2.0499999999999998</v>
      </c>
      <c r="BT471">
        <v>0.59</v>
      </c>
      <c r="BU471">
        <v>4.29</v>
      </c>
      <c r="BV471">
        <v>2.74</v>
      </c>
      <c r="BW471">
        <v>2.25</v>
      </c>
      <c r="BX471">
        <v>3.87</v>
      </c>
      <c r="BY471">
        <v>2.71</v>
      </c>
      <c r="BZ471">
        <v>-1.42</v>
      </c>
      <c r="CA471">
        <v>3.16</v>
      </c>
      <c r="CB471">
        <v>3.2</v>
      </c>
      <c r="CC471">
        <v>1.4</v>
      </c>
      <c r="CD471">
        <v>-1.1100000000000001</v>
      </c>
      <c r="CE471">
        <v>1.0900000000000001</v>
      </c>
      <c r="CF471">
        <v>0.79</v>
      </c>
      <c r="CG471">
        <v>0</v>
      </c>
      <c r="CH471">
        <v>3.07</v>
      </c>
      <c r="CI471">
        <v>0</v>
      </c>
      <c r="CJ471">
        <v>1.7</v>
      </c>
      <c r="CK471">
        <v>46</v>
      </c>
      <c r="CL471">
        <v>-1.48</v>
      </c>
      <c r="CM471">
        <v>45</v>
      </c>
      <c r="CN471">
        <v>-0.59</v>
      </c>
      <c r="CO471">
        <v>44</v>
      </c>
      <c r="CP471">
        <v>9.6</v>
      </c>
      <c r="CQ471">
        <v>42</v>
      </c>
      <c r="CR471">
        <v>0</v>
      </c>
      <c r="CS471">
        <v>0</v>
      </c>
      <c r="CT471">
        <v>29.5</v>
      </c>
      <c r="CU471">
        <v>41</v>
      </c>
      <c r="CV471">
        <v>0.3</v>
      </c>
      <c r="CW471">
        <v>34</v>
      </c>
      <c r="CX471" t="s">
        <v>2187</v>
      </c>
    </row>
    <row r="472" spans="1:102" x14ac:dyDescent="0.3">
      <c r="A472" t="str">
        <f>HYPERLINK("https://webapp.icbf.com/v2/app/bull-search/view/720516305","PKA")</f>
        <v>PKA</v>
      </c>
      <c r="B472" t="s">
        <v>6534</v>
      </c>
      <c r="C472" t="s">
        <v>2314</v>
      </c>
      <c r="D472" s="1">
        <v>39258</v>
      </c>
      <c r="E472" t="s">
        <v>227</v>
      </c>
      <c r="F472">
        <v>0</v>
      </c>
      <c r="G472" t="s">
        <v>93</v>
      </c>
      <c r="H472">
        <v>186.26</v>
      </c>
      <c r="I472">
        <v>97</v>
      </c>
      <c r="J472">
        <v>106.54</v>
      </c>
      <c r="K472">
        <v>99</v>
      </c>
      <c r="L472">
        <v>11.35</v>
      </c>
      <c r="M472">
        <v>95</v>
      </c>
      <c r="N472">
        <v>53.36</v>
      </c>
      <c r="O472">
        <v>99</v>
      </c>
      <c r="P472">
        <v>-46.65</v>
      </c>
      <c r="Q472">
        <v>99</v>
      </c>
      <c r="R472">
        <v>1.64</v>
      </c>
      <c r="S472">
        <v>96</v>
      </c>
      <c r="T472">
        <v>47.79</v>
      </c>
      <c r="U472">
        <v>99</v>
      </c>
      <c r="V472">
        <v>12.23</v>
      </c>
      <c r="W472">
        <v>90</v>
      </c>
      <c r="X472" t="s">
        <v>94</v>
      </c>
      <c r="Y472" t="s">
        <v>329</v>
      </c>
      <c r="Z472">
        <v>0</v>
      </c>
      <c r="AA472" t="s">
        <v>229</v>
      </c>
      <c r="AB472" t="s">
        <v>6535</v>
      </c>
      <c r="AC472">
        <v>2568</v>
      </c>
      <c r="AD472">
        <v>428</v>
      </c>
      <c r="AE472">
        <v>99</v>
      </c>
      <c r="AF472">
        <v>-243.47</v>
      </c>
      <c r="AG472">
        <v>20.67</v>
      </c>
      <c r="AH472">
        <v>7.08</v>
      </c>
      <c r="AI472">
        <v>0.55000000000000004</v>
      </c>
      <c r="AJ472">
        <v>0.28000000000000003</v>
      </c>
      <c r="AK472">
        <v>95</v>
      </c>
      <c r="AL472">
        <v>2803</v>
      </c>
      <c r="AM472">
        <v>520</v>
      </c>
      <c r="AN472">
        <v>-0.26</v>
      </c>
      <c r="AO472">
        <v>0.65</v>
      </c>
      <c r="AP472">
        <v>5036</v>
      </c>
      <c r="AQ472">
        <v>16</v>
      </c>
      <c r="AR472">
        <v>2.57</v>
      </c>
      <c r="AS472">
        <v>99</v>
      </c>
      <c r="AT472">
        <v>1.38</v>
      </c>
      <c r="AU472">
        <v>99</v>
      </c>
      <c r="AV472">
        <v>-4.5599999999999996</v>
      </c>
      <c r="AW472">
        <v>99</v>
      </c>
      <c r="AX472">
        <v>1.46</v>
      </c>
      <c r="AY472">
        <v>99</v>
      </c>
      <c r="AZ472">
        <v>6.73</v>
      </c>
      <c r="BA472">
        <v>97</v>
      </c>
      <c r="BB472">
        <v>5.07</v>
      </c>
      <c r="BC472">
        <v>97</v>
      </c>
      <c r="BD472">
        <v>-0.04</v>
      </c>
      <c r="BE472">
        <v>0.01</v>
      </c>
      <c r="BF472">
        <v>0.01</v>
      </c>
      <c r="BG472">
        <v>99</v>
      </c>
      <c r="BH472">
        <v>0.26</v>
      </c>
      <c r="BI472">
        <v>-9.39</v>
      </c>
      <c r="BJ472">
        <v>49</v>
      </c>
      <c r="BK472">
        <v>11</v>
      </c>
      <c r="BL472">
        <v>-2.97</v>
      </c>
      <c r="BM472">
        <v>-1.85</v>
      </c>
      <c r="BN472">
        <v>0.46</v>
      </c>
      <c r="BO472">
        <v>1.7</v>
      </c>
      <c r="BP472">
        <v>-0.63</v>
      </c>
      <c r="BQ472">
        <v>-4.5199999999999996</v>
      </c>
      <c r="BR472">
        <v>2.48</v>
      </c>
      <c r="BS472">
        <v>7.38</v>
      </c>
      <c r="BT472">
        <v>0.02</v>
      </c>
      <c r="BU472">
        <v>-1.9</v>
      </c>
      <c r="BV472">
        <v>-1.84</v>
      </c>
      <c r="BW472">
        <v>-3.92</v>
      </c>
      <c r="BX472">
        <v>-3.56</v>
      </c>
      <c r="BY472">
        <v>0.87</v>
      </c>
      <c r="BZ472">
        <v>-1.0900000000000001</v>
      </c>
      <c r="CA472">
        <v>-0.54</v>
      </c>
      <c r="CB472">
        <v>-2.2200000000000002</v>
      </c>
      <c r="CC472">
        <v>3.53</v>
      </c>
      <c r="CD472">
        <v>-4</v>
      </c>
      <c r="CE472">
        <v>0.05</v>
      </c>
      <c r="CF472">
        <v>-2.99</v>
      </c>
      <c r="CG472">
        <v>0</v>
      </c>
      <c r="CH472">
        <v>-1.66</v>
      </c>
      <c r="CI472">
        <v>0</v>
      </c>
      <c r="CJ472">
        <v>-20.8</v>
      </c>
      <c r="CK472">
        <v>99</v>
      </c>
      <c r="CL472">
        <v>-1.06</v>
      </c>
      <c r="CM472">
        <v>99</v>
      </c>
      <c r="CN472">
        <v>0.11</v>
      </c>
      <c r="CO472">
        <v>99</v>
      </c>
      <c r="CP472">
        <v>-38.1</v>
      </c>
      <c r="CQ472">
        <v>98</v>
      </c>
      <c r="CR472">
        <v>0</v>
      </c>
      <c r="CS472">
        <v>0</v>
      </c>
      <c r="CT472">
        <v>-50.8</v>
      </c>
      <c r="CU472">
        <v>99</v>
      </c>
      <c r="CV472">
        <v>0</v>
      </c>
      <c r="CW472">
        <v>48</v>
      </c>
      <c r="CX472" t="s">
        <v>1525</v>
      </c>
    </row>
    <row r="473" spans="1:102" x14ac:dyDescent="0.3">
      <c r="A473" t="str">
        <f>HYPERLINK("https://webapp.icbf.com/v2/app/bull-search/view/949887808","S1568")</f>
        <v>S1568</v>
      </c>
      <c r="B473" t="s">
        <v>7299</v>
      </c>
      <c r="C473" t="s">
        <v>7300</v>
      </c>
      <c r="D473" s="1">
        <v>40955</v>
      </c>
      <c r="E473" t="s">
        <v>92</v>
      </c>
      <c r="F473">
        <v>63</v>
      </c>
      <c r="G473" t="s">
        <v>93</v>
      </c>
      <c r="H473">
        <v>186.25</v>
      </c>
      <c r="I473">
        <v>89</v>
      </c>
      <c r="J473">
        <v>31.14</v>
      </c>
      <c r="K473">
        <v>98</v>
      </c>
      <c r="L473">
        <v>102.17</v>
      </c>
      <c r="M473">
        <v>80</v>
      </c>
      <c r="N473">
        <v>37.97</v>
      </c>
      <c r="O473">
        <v>90</v>
      </c>
      <c r="P473">
        <v>-15.65</v>
      </c>
      <c r="Q473">
        <v>92</v>
      </c>
      <c r="R473">
        <v>12.93</v>
      </c>
      <c r="S473">
        <v>80</v>
      </c>
      <c r="T473">
        <v>18.559999999999999</v>
      </c>
      <c r="U473">
        <v>96</v>
      </c>
      <c r="V473">
        <v>-0.87</v>
      </c>
      <c r="W473">
        <v>77</v>
      </c>
      <c r="X473" t="s">
        <v>234</v>
      </c>
      <c r="Y473" t="s">
        <v>362</v>
      </c>
      <c r="Z473" t="s">
        <v>528</v>
      </c>
      <c r="AA473" t="s">
        <v>1939</v>
      </c>
      <c r="AB473" t="s">
        <v>7301</v>
      </c>
      <c r="AC473">
        <v>172</v>
      </c>
      <c r="AD473">
        <v>44</v>
      </c>
      <c r="AE473">
        <v>98</v>
      </c>
      <c r="AF473">
        <v>41.14</v>
      </c>
      <c r="AG473">
        <v>6.63</v>
      </c>
      <c r="AH473">
        <v>3.58</v>
      </c>
      <c r="AI473">
        <v>0.09</v>
      </c>
      <c r="AJ473">
        <v>0.04</v>
      </c>
      <c r="AK473">
        <v>80</v>
      </c>
      <c r="AL473">
        <v>175</v>
      </c>
      <c r="AM473">
        <v>50</v>
      </c>
      <c r="AN473">
        <v>-5.39</v>
      </c>
      <c r="AO473">
        <v>2.76</v>
      </c>
      <c r="AP473">
        <v>392</v>
      </c>
      <c r="AQ473">
        <v>0</v>
      </c>
      <c r="AR473">
        <v>6.45</v>
      </c>
      <c r="AS473">
        <v>82</v>
      </c>
      <c r="AT473">
        <v>2.16</v>
      </c>
      <c r="AU473">
        <v>91</v>
      </c>
      <c r="AV473">
        <v>-3.11</v>
      </c>
      <c r="AW473">
        <v>98</v>
      </c>
      <c r="AX473">
        <v>-0.93</v>
      </c>
      <c r="AY473">
        <v>88</v>
      </c>
      <c r="AZ473">
        <v>6.42</v>
      </c>
      <c r="BA473">
        <v>76</v>
      </c>
      <c r="BB473">
        <v>4.9000000000000004</v>
      </c>
      <c r="BC473">
        <v>69</v>
      </c>
      <c r="BD473">
        <v>-0.02</v>
      </c>
      <c r="BE473">
        <v>-0.06</v>
      </c>
      <c r="BF473">
        <v>-0.15</v>
      </c>
      <c r="BG473">
        <v>91</v>
      </c>
      <c r="BH473">
        <v>-0.04</v>
      </c>
      <c r="BI473">
        <v>-1.81</v>
      </c>
      <c r="BJ473">
        <v>2</v>
      </c>
      <c r="BK473">
        <v>2</v>
      </c>
      <c r="BL473">
        <v>-1.89</v>
      </c>
      <c r="BM473">
        <v>0.96</v>
      </c>
      <c r="BN473">
        <v>-1.1100000000000001</v>
      </c>
      <c r="BO473">
        <v>-1.57</v>
      </c>
      <c r="BP473">
        <v>-0.69</v>
      </c>
      <c r="BQ473">
        <v>-1.66</v>
      </c>
      <c r="BR473">
        <v>-1.7</v>
      </c>
      <c r="BS473">
        <v>1.23</v>
      </c>
      <c r="BT473">
        <v>1.52</v>
      </c>
      <c r="BU473">
        <v>0.24</v>
      </c>
      <c r="BV473">
        <v>-1.38</v>
      </c>
      <c r="BW473">
        <v>-1.1200000000000001</v>
      </c>
      <c r="BX473">
        <v>0</v>
      </c>
      <c r="BY473">
        <v>-1.3</v>
      </c>
      <c r="BZ473">
        <v>0.17</v>
      </c>
      <c r="CA473">
        <v>-0.55000000000000004</v>
      </c>
      <c r="CB473">
        <v>-0.92</v>
      </c>
      <c r="CC473">
        <v>0.66</v>
      </c>
      <c r="CD473">
        <v>1.53</v>
      </c>
      <c r="CE473">
        <v>-1.03</v>
      </c>
      <c r="CF473">
        <v>-1.1000000000000001</v>
      </c>
      <c r="CG473">
        <v>0</v>
      </c>
      <c r="CH473">
        <v>0.56999999999999995</v>
      </c>
      <c r="CI473">
        <v>0</v>
      </c>
      <c r="CJ473">
        <v>-8.9</v>
      </c>
      <c r="CK473">
        <v>94</v>
      </c>
      <c r="CL473">
        <v>-0.52</v>
      </c>
      <c r="CM473">
        <v>92</v>
      </c>
      <c r="CN473">
        <v>-0.34</v>
      </c>
      <c r="CO473">
        <v>91</v>
      </c>
      <c r="CP473">
        <v>-13.2</v>
      </c>
      <c r="CQ473">
        <v>84</v>
      </c>
      <c r="CR473">
        <v>0</v>
      </c>
      <c r="CS473">
        <v>0</v>
      </c>
      <c r="CT473">
        <v>-11.3</v>
      </c>
      <c r="CU473">
        <v>96</v>
      </c>
      <c r="CV473">
        <v>-0.04</v>
      </c>
      <c r="CW473">
        <v>45</v>
      </c>
      <c r="CX473" t="s">
        <v>1035</v>
      </c>
    </row>
    <row r="474" spans="1:102" x14ac:dyDescent="0.3">
      <c r="A474" t="str">
        <f>HYPERLINK("https://webapp.icbf.com/v2/app/bull-search/view/862746945","AWS")</f>
        <v>AWS</v>
      </c>
      <c r="B474" t="s">
        <v>13081</v>
      </c>
      <c r="C474" t="s">
        <v>13082</v>
      </c>
      <c r="D474" s="1">
        <v>40587</v>
      </c>
      <c r="E474" t="s">
        <v>92</v>
      </c>
      <c r="F474">
        <v>81</v>
      </c>
      <c r="G474" t="s">
        <v>93</v>
      </c>
      <c r="H474">
        <v>186.13</v>
      </c>
      <c r="I474">
        <v>95</v>
      </c>
      <c r="J474">
        <v>47.44</v>
      </c>
      <c r="K474">
        <v>99</v>
      </c>
      <c r="L474">
        <v>107.03</v>
      </c>
      <c r="M474">
        <v>92</v>
      </c>
      <c r="N474">
        <v>39.47</v>
      </c>
      <c r="O474">
        <v>97</v>
      </c>
      <c r="P474">
        <v>-31.76</v>
      </c>
      <c r="Q474">
        <v>99</v>
      </c>
      <c r="R474">
        <v>11.77</v>
      </c>
      <c r="S474">
        <v>92</v>
      </c>
      <c r="T474">
        <v>16.12</v>
      </c>
      <c r="U474">
        <v>97</v>
      </c>
      <c r="V474">
        <v>-3.94</v>
      </c>
      <c r="W474">
        <v>82</v>
      </c>
      <c r="X474" t="s">
        <v>102</v>
      </c>
      <c r="Y474" t="s">
        <v>1775</v>
      </c>
      <c r="Z474" t="s">
        <v>96</v>
      </c>
      <c r="AA474" t="s">
        <v>3094</v>
      </c>
      <c r="AB474" t="s">
        <v>13083</v>
      </c>
      <c r="AC474">
        <v>1199</v>
      </c>
      <c r="AD474">
        <v>388</v>
      </c>
      <c r="AE474">
        <v>99</v>
      </c>
      <c r="AF474">
        <v>-181.82</v>
      </c>
      <c r="AG474">
        <v>12.65</v>
      </c>
      <c r="AH474">
        <v>0.81</v>
      </c>
      <c r="AI474">
        <v>0.36</v>
      </c>
      <c r="AJ474">
        <v>0.13</v>
      </c>
      <c r="AK474">
        <v>92</v>
      </c>
      <c r="AL474">
        <v>1377</v>
      </c>
      <c r="AM474">
        <v>480</v>
      </c>
      <c r="AN474">
        <v>-5.51</v>
      </c>
      <c r="AO474">
        <v>3.03</v>
      </c>
      <c r="AP474">
        <v>2362</v>
      </c>
      <c r="AQ474">
        <v>16</v>
      </c>
      <c r="AR474">
        <v>4.07</v>
      </c>
      <c r="AS474">
        <v>98</v>
      </c>
      <c r="AT474">
        <v>1.82</v>
      </c>
      <c r="AU474">
        <v>97</v>
      </c>
      <c r="AV474">
        <v>-2.76</v>
      </c>
      <c r="AW474">
        <v>99</v>
      </c>
      <c r="AX474">
        <v>-0.45</v>
      </c>
      <c r="AY474">
        <v>98</v>
      </c>
      <c r="AZ474">
        <v>7.13</v>
      </c>
      <c r="BA474">
        <v>94</v>
      </c>
      <c r="BB474">
        <v>4.93</v>
      </c>
      <c r="BC474">
        <v>92</v>
      </c>
      <c r="BD474">
        <v>-0.01</v>
      </c>
      <c r="BE474">
        <v>-0.06</v>
      </c>
      <c r="BF474">
        <v>-0.14000000000000001</v>
      </c>
      <c r="BG474">
        <v>98</v>
      </c>
      <c r="BH474">
        <v>0.1</v>
      </c>
      <c r="BI474">
        <v>24.27</v>
      </c>
      <c r="BJ474">
        <v>54</v>
      </c>
      <c r="BK474">
        <v>20</v>
      </c>
      <c r="BL474">
        <v>-0.91</v>
      </c>
      <c r="BM474">
        <v>-0.84</v>
      </c>
      <c r="BN474">
        <v>-0.88</v>
      </c>
      <c r="BO474">
        <v>-0.63</v>
      </c>
      <c r="BP474">
        <v>2.89</v>
      </c>
      <c r="BQ474">
        <v>-2.63</v>
      </c>
      <c r="BR474">
        <v>1.6</v>
      </c>
      <c r="BS474">
        <v>-0.96</v>
      </c>
      <c r="BT474">
        <v>-1.45</v>
      </c>
      <c r="BU474">
        <v>-1.55</v>
      </c>
      <c r="BV474">
        <v>-1.55</v>
      </c>
      <c r="BW474">
        <v>-0.62</v>
      </c>
      <c r="BX474">
        <v>-0.25</v>
      </c>
      <c r="BY474">
        <v>0.66</v>
      </c>
      <c r="BZ474">
        <v>-0.95</v>
      </c>
      <c r="CA474">
        <v>-1.07</v>
      </c>
      <c r="CB474">
        <v>-1.22</v>
      </c>
      <c r="CC474">
        <v>-0.46</v>
      </c>
      <c r="CD474">
        <v>0.03</v>
      </c>
      <c r="CE474">
        <v>-0.83</v>
      </c>
      <c r="CF474">
        <v>-1.21</v>
      </c>
      <c r="CG474">
        <v>0</v>
      </c>
      <c r="CH474">
        <v>0.72</v>
      </c>
      <c r="CI474">
        <v>0</v>
      </c>
      <c r="CJ474">
        <v>-13.4</v>
      </c>
      <c r="CK474">
        <v>99</v>
      </c>
      <c r="CL474">
        <v>-1.1299999999999999</v>
      </c>
      <c r="CM474">
        <v>99</v>
      </c>
      <c r="CN474">
        <v>-0.01</v>
      </c>
      <c r="CO474">
        <v>99</v>
      </c>
      <c r="CP474">
        <v>-11.5</v>
      </c>
      <c r="CQ474">
        <v>97</v>
      </c>
      <c r="CR474">
        <v>0</v>
      </c>
      <c r="CS474">
        <v>0</v>
      </c>
      <c r="CT474">
        <v>-8</v>
      </c>
      <c r="CU474">
        <v>97</v>
      </c>
      <c r="CV474">
        <v>0.27</v>
      </c>
      <c r="CW474">
        <v>49</v>
      </c>
      <c r="CX474" t="s">
        <v>4398</v>
      </c>
    </row>
    <row r="475" spans="1:102" x14ac:dyDescent="0.3">
      <c r="A475" t="str">
        <f>HYPERLINK("https://webapp.icbf.com/v2/app/bull-search/view/560108323","FLT")</f>
        <v>FLT</v>
      </c>
      <c r="B475" t="s">
        <v>5101</v>
      </c>
      <c r="C475" t="s">
        <v>5102</v>
      </c>
      <c r="D475" s="1">
        <v>39491</v>
      </c>
      <c r="E475" t="s">
        <v>92</v>
      </c>
      <c r="F475">
        <v>91</v>
      </c>
      <c r="G475" t="s">
        <v>93</v>
      </c>
      <c r="H475">
        <v>186.09</v>
      </c>
      <c r="I475">
        <v>98</v>
      </c>
      <c r="J475">
        <v>78.22</v>
      </c>
      <c r="K475">
        <v>99</v>
      </c>
      <c r="L475">
        <v>58.51</v>
      </c>
      <c r="M475">
        <v>97</v>
      </c>
      <c r="N475">
        <v>48.37</v>
      </c>
      <c r="O475">
        <v>99</v>
      </c>
      <c r="P475">
        <v>-0.49</v>
      </c>
      <c r="Q475">
        <v>99</v>
      </c>
      <c r="R475">
        <v>4.0199999999999996</v>
      </c>
      <c r="S475">
        <v>97</v>
      </c>
      <c r="T475">
        <v>0.8</v>
      </c>
      <c r="U475">
        <v>99</v>
      </c>
      <c r="V475">
        <v>-3.34</v>
      </c>
      <c r="W475">
        <v>97</v>
      </c>
      <c r="X475" t="s">
        <v>94</v>
      </c>
      <c r="Y475" t="s">
        <v>1513</v>
      </c>
      <c r="Z475" t="s">
        <v>96</v>
      </c>
      <c r="AA475" t="s">
        <v>316</v>
      </c>
      <c r="AB475" t="s">
        <v>5103</v>
      </c>
      <c r="AC475">
        <v>4405</v>
      </c>
      <c r="AD475">
        <v>1454</v>
      </c>
      <c r="AE475">
        <v>99</v>
      </c>
      <c r="AF475">
        <v>342.03</v>
      </c>
      <c r="AG475">
        <v>15.12</v>
      </c>
      <c r="AH475">
        <v>13.19</v>
      </c>
      <c r="AI475">
        <v>0.03</v>
      </c>
      <c r="AJ475">
        <v>0.03</v>
      </c>
      <c r="AK475">
        <v>97</v>
      </c>
      <c r="AL475">
        <v>4995</v>
      </c>
      <c r="AM475">
        <v>1859</v>
      </c>
      <c r="AN475">
        <v>-2.86</v>
      </c>
      <c r="AO475">
        <v>1.81</v>
      </c>
      <c r="AP475">
        <v>8294</v>
      </c>
      <c r="AQ475">
        <v>65</v>
      </c>
      <c r="AR475">
        <v>6.13</v>
      </c>
      <c r="AS475">
        <v>99</v>
      </c>
      <c r="AT475">
        <v>2.13</v>
      </c>
      <c r="AU475">
        <v>99</v>
      </c>
      <c r="AV475">
        <v>-4.8499999999999996</v>
      </c>
      <c r="AW475">
        <v>99</v>
      </c>
      <c r="AX475">
        <v>-0.33</v>
      </c>
      <c r="AY475">
        <v>99</v>
      </c>
      <c r="AZ475">
        <v>7.47</v>
      </c>
      <c r="BA475">
        <v>98</v>
      </c>
      <c r="BB475">
        <v>5.13</v>
      </c>
      <c r="BC475">
        <v>98</v>
      </c>
      <c r="BD475">
        <v>-0.02</v>
      </c>
      <c r="BE475">
        <v>-0.01</v>
      </c>
      <c r="BF475">
        <v>-0.04</v>
      </c>
      <c r="BG475">
        <v>99</v>
      </c>
      <c r="BH475">
        <v>0</v>
      </c>
      <c r="BI475">
        <v>10.76</v>
      </c>
      <c r="BJ475">
        <v>268</v>
      </c>
      <c r="BK475">
        <v>94</v>
      </c>
      <c r="BL475">
        <v>-0.43</v>
      </c>
      <c r="BM475">
        <v>1.17</v>
      </c>
      <c r="BN475">
        <v>-0.56999999999999995</v>
      </c>
      <c r="BO475">
        <v>-1.01</v>
      </c>
      <c r="BP475">
        <v>1.4</v>
      </c>
      <c r="BQ475">
        <v>-0.31</v>
      </c>
      <c r="BR475">
        <v>-2.09</v>
      </c>
      <c r="BS475">
        <v>0.76</v>
      </c>
      <c r="BT475">
        <v>1.23</v>
      </c>
      <c r="BU475">
        <v>-1.51</v>
      </c>
      <c r="BV475">
        <v>-0.86</v>
      </c>
      <c r="BW475">
        <v>-0.84</v>
      </c>
      <c r="BX475">
        <v>-1.56</v>
      </c>
      <c r="BY475">
        <v>-0.21</v>
      </c>
      <c r="BZ475">
        <v>0.95</v>
      </c>
      <c r="CA475">
        <v>-0.11</v>
      </c>
      <c r="CB475">
        <v>-0.46</v>
      </c>
      <c r="CC475">
        <v>0.56999999999999995</v>
      </c>
      <c r="CD475">
        <v>1.05</v>
      </c>
      <c r="CE475">
        <v>-0.79</v>
      </c>
      <c r="CF475">
        <v>0.02</v>
      </c>
      <c r="CG475">
        <v>0</v>
      </c>
      <c r="CH475">
        <v>-0.24</v>
      </c>
      <c r="CI475">
        <v>0</v>
      </c>
      <c r="CJ475">
        <v>4.0999999999999996</v>
      </c>
      <c r="CK475">
        <v>99</v>
      </c>
      <c r="CL475">
        <v>-0.51</v>
      </c>
      <c r="CM475">
        <v>99</v>
      </c>
      <c r="CN475">
        <v>0.15</v>
      </c>
      <c r="CO475">
        <v>99</v>
      </c>
      <c r="CP475">
        <v>5.8</v>
      </c>
      <c r="CQ475">
        <v>99</v>
      </c>
      <c r="CR475">
        <v>0</v>
      </c>
      <c r="CS475">
        <v>0</v>
      </c>
      <c r="CT475">
        <v>12.7</v>
      </c>
      <c r="CU475">
        <v>99</v>
      </c>
      <c r="CV475">
        <v>0.37</v>
      </c>
      <c r="CW475">
        <v>51</v>
      </c>
      <c r="CX475" t="s">
        <v>1165</v>
      </c>
    </row>
    <row r="476" spans="1:102" x14ac:dyDescent="0.3">
      <c r="A476" t="str">
        <f>HYPERLINK("https://webapp.icbf.com/v2/app/bull-search/view/1248008221","FR2341")</f>
        <v>FR2341</v>
      </c>
      <c r="B476" t="s">
        <v>6118</v>
      </c>
      <c r="C476" t="s">
        <v>6119</v>
      </c>
      <c r="D476" s="1">
        <v>42051</v>
      </c>
      <c r="E476" t="s">
        <v>92</v>
      </c>
      <c r="F476">
        <v>47</v>
      </c>
      <c r="G476" t="s">
        <v>93</v>
      </c>
      <c r="H476">
        <v>185.96</v>
      </c>
      <c r="I476">
        <v>81</v>
      </c>
      <c r="J476">
        <v>105.76</v>
      </c>
      <c r="K476">
        <v>94</v>
      </c>
      <c r="L476">
        <v>32.1</v>
      </c>
      <c r="M476">
        <v>69</v>
      </c>
      <c r="N476">
        <v>45.72</v>
      </c>
      <c r="O476">
        <v>86</v>
      </c>
      <c r="P476">
        <v>-28.77</v>
      </c>
      <c r="Q476">
        <v>82</v>
      </c>
      <c r="R476">
        <v>-1.32</v>
      </c>
      <c r="S476">
        <v>70</v>
      </c>
      <c r="T476">
        <v>23.82</v>
      </c>
      <c r="U476">
        <v>84</v>
      </c>
      <c r="V476">
        <v>8.65</v>
      </c>
      <c r="W476">
        <v>71</v>
      </c>
      <c r="X476" t="s">
        <v>234</v>
      </c>
      <c r="Y476" t="s">
        <v>436</v>
      </c>
      <c r="Z476" t="s">
        <v>330</v>
      </c>
      <c r="AA476" t="s">
        <v>6120</v>
      </c>
      <c r="AB476" t="s">
        <v>144</v>
      </c>
      <c r="AC476">
        <v>106</v>
      </c>
      <c r="AD476">
        <v>29</v>
      </c>
      <c r="AE476">
        <v>94</v>
      </c>
      <c r="AF476">
        <v>86.91</v>
      </c>
      <c r="AG476">
        <v>17.8</v>
      </c>
      <c r="AH476">
        <v>13.02</v>
      </c>
      <c r="AI476">
        <v>0.25</v>
      </c>
      <c r="AJ476">
        <v>0.17</v>
      </c>
      <c r="AK476">
        <v>69</v>
      </c>
      <c r="AL476">
        <v>0</v>
      </c>
      <c r="AM476">
        <v>0</v>
      </c>
      <c r="AN476">
        <v>-0.96</v>
      </c>
      <c r="AO476">
        <v>1.61</v>
      </c>
      <c r="AP476">
        <v>693</v>
      </c>
      <c r="AQ476">
        <v>0</v>
      </c>
      <c r="AR476">
        <v>4.9000000000000004</v>
      </c>
      <c r="AS476">
        <v>85</v>
      </c>
      <c r="AT476">
        <v>1.91</v>
      </c>
      <c r="AU476">
        <v>93</v>
      </c>
      <c r="AV476">
        <v>-4.13</v>
      </c>
      <c r="AW476">
        <v>98</v>
      </c>
      <c r="AX476">
        <v>0.2</v>
      </c>
      <c r="AY476">
        <v>90</v>
      </c>
      <c r="AZ476">
        <v>7.11</v>
      </c>
      <c r="BA476">
        <v>66</v>
      </c>
      <c r="BB476">
        <v>5.12</v>
      </c>
      <c r="BC476">
        <v>39</v>
      </c>
      <c r="BD476">
        <v>-0.01</v>
      </c>
      <c r="BE476">
        <v>0.03</v>
      </c>
      <c r="BF476">
        <v>-0.01</v>
      </c>
      <c r="BG476">
        <v>83</v>
      </c>
      <c r="BH476">
        <v>0.01</v>
      </c>
      <c r="BI476">
        <v>-26.76</v>
      </c>
      <c r="BJ476">
        <v>0</v>
      </c>
      <c r="BK476">
        <v>0</v>
      </c>
      <c r="BL476">
        <v>-1.7</v>
      </c>
      <c r="BM476">
        <v>-0.5</v>
      </c>
      <c r="BN476">
        <v>-0.49</v>
      </c>
      <c r="BO476">
        <v>-0.06</v>
      </c>
      <c r="BP476">
        <v>-0.04</v>
      </c>
      <c r="BQ476">
        <v>-1.99</v>
      </c>
      <c r="BR476">
        <v>1.1299999999999999</v>
      </c>
      <c r="BS476">
        <v>2.4500000000000002</v>
      </c>
      <c r="BT476">
        <v>-1.06</v>
      </c>
      <c r="BU476">
        <v>-1.84</v>
      </c>
      <c r="BV476">
        <v>-1.1100000000000001</v>
      </c>
      <c r="BW476">
        <v>-1.67</v>
      </c>
      <c r="BX476">
        <v>-2.66</v>
      </c>
      <c r="BY476">
        <v>-1.66</v>
      </c>
      <c r="BZ476">
        <v>1.56</v>
      </c>
      <c r="CA476">
        <v>-0.59</v>
      </c>
      <c r="CB476">
        <v>-1.42</v>
      </c>
      <c r="CC476">
        <v>1.44</v>
      </c>
      <c r="CD476">
        <v>-0.36</v>
      </c>
      <c r="CE476">
        <v>0.23</v>
      </c>
      <c r="CF476">
        <v>-1.91</v>
      </c>
      <c r="CG476">
        <v>0</v>
      </c>
      <c r="CH476">
        <v>-1.79</v>
      </c>
      <c r="CI476">
        <v>0</v>
      </c>
      <c r="CJ476">
        <v>-14.4</v>
      </c>
      <c r="CK476">
        <v>86</v>
      </c>
      <c r="CL476">
        <v>-0.72</v>
      </c>
      <c r="CM476">
        <v>80</v>
      </c>
      <c r="CN476">
        <v>-0.15</v>
      </c>
      <c r="CO476">
        <v>78</v>
      </c>
      <c r="CP476">
        <v>-21.5</v>
      </c>
      <c r="CQ476">
        <v>66</v>
      </c>
      <c r="CR476">
        <v>0</v>
      </c>
      <c r="CS476">
        <v>0</v>
      </c>
      <c r="CT476">
        <v>-18.399999999999999</v>
      </c>
      <c r="CU476">
        <v>84</v>
      </c>
      <c r="CV476">
        <v>-0.04</v>
      </c>
      <c r="CW476">
        <v>44</v>
      </c>
      <c r="CX476" t="s">
        <v>5424</v>
      </c>
    </row>
    <row r="477" spans="1:102" x14ac:dyDescent="0.3">
      <c r="A477" t="str">
        <f>HYPERLINK("https://webapp.icbf.com/v2/app/bull-search/view/565197513","SOK")</f>
        <v>SOK</v>
      </c>
      <c r="B477" t="s">
        <v>11746</v>
      </c>
      <c r="C477" t="s">
        <v>1942</v>
      </c>
      <c r="D477" s="1">
        <v>39487</v>
      </c>
      <c r="E477" t="s">
        <v>92</v>
      </c>
      <c r="F477">
        <v>63</v>
      </c>
      <c r="G477" t="s">
        <v>93</v>
      </c>
      <c r="H477">
        <v>185.96</v>
      </c>
      <c r="I477">
        <v>99</v>
      </c>
      <c r="J477">
        <v>66.91</v>
      </c>
      <c r="K477">
        <v>99</v>
      </c>
      <c r="L477">
        <v>66.16</v>
      </c>
      <c r="M477">
        <v>99</v>
      </c>
      <c r="N477">
        <v>37.81</v>
      </c>
      <c r="O477">
        <v>99</v>
      </c>
      <c r="P477">
        <v>-2.39</v>
      </c>
      <c r="Q477">
        <v>99</v>
      </c>
      <c r="R477">
        <v>7.99</v>
      </c>
      <c r="S477">
        <v>99</v>
      </c>
      <c r="T477">
        <v>-0.9</v>
      </c>
      <c r="U477">
        <v>99</v>
      </c>
      <c r="V477">
        <v>10.38</v>
      </c>
      <c r="W477">
        <v>99</v>
      </c>
      <c r="X477" t="s">
        <v>94</v>
      </c>
      <c r="Y477" t="s">
        <v>1113</v>
      </c>
      <c r="Z477" t="s">
        <v>96</v>
      </c>
      <c r="AA477" t="s">
        <v>316</v>
      </c>
      <c r="AB477" t="s">
        <v>5394</v>
      </c>
      <c r="AC477">
        <v>12964</v>
      </c>
      <c r="AD477">
        <v>3156</v>
      </c>
      <c r="AE477">
        <v>99</v>
      </c>
      <c r="AF477">
        <v>127.94</v>
      </c>
      <c r="AG477">
        <v>9.52</v>
      </c>
      <c r="AH477">
        <v>9.9700000000000006</v>
      </c>
      <c r="AI477">
        <v>0.08</v>
      </c>
      <c r="AJ477">
        <v>0.1</v>
      </c>
      <c r="AK477">
        <v>99</v>
      </c>
      <c r="AL477">
        <v>15380</v>
      </c>
      <c r="AM477">
        <v>4229</v>
      </c>
      <c r="AN477">
        <v>-3.31</v>
      </c>
      <c r="AO477">
        <v>1.97</v>
      </c>
      <c r="AP477">
        <v>24386</v>
      </c>
      <c r="AQ477">
        <v>191</v>
      </c>
      <c r="AR477">
        <v>5.91</v>
      </c>
      <c r="AS477">
        <v>99</v>
      </c>
      <c r="AT477">
        <v>2.13</v>
      </c>
      <c r="AU477">
        <v>99</v>
      </c>
      <c r="AV477">
        <v>-2.89</v>
      </c>
      <c r="AW477">
        <v>99</v>
      </c>
      <c r="AX477">
        <v>-0.2</v>
      </c>
      <c r="AY477">
        <v>99</v>
      </c>
      <c r="AZ477">
        <v>6.03</v>
      </c>
      <c r="BA477">
        <v>99</v>
      </c>
      <c r="BB477">
        <v>4.58</v>
      </c>
      <c r="BC477">
        <v>99</v>
      </c>
      <c r="BD477">
        <v>-0.04</v>
      </c>
      <c r="BE477">
        <v>-0.03</v>
      </c>
      <c r="BF477">
        <v>-0.06</v>
      </c>
      <c r="BG477">
        <v>99</v>
      </c>
      <c r="BH477">
        <v>0.08</v>
      </c>
      <c r="BI477">
        <v>-24.22</v>
      </c>
      <c r="BJ477">
        <v>747</v>
      </c>
      <c r="BK477">
        <v>212</v>
      </c>
      <c r="BL477">
        <v>-0.35</v>
      </c>
      <c r="BM477">
        <v>2.14</v>
      </c>
      <c r="BN477">
        <v>-0.95</v>
      </c>
      <c r="BO477">
        <v>-2.06</v>
      </c>
      <c r="BP477">
        <v>3.38</v>
      </c>
      <c r="BQ477">
        <v>1.34</v>
      </c>
      <c r="BR477">
        <v>-4.46</v>
      </c>
      <c r="BS477">
        <v>0.15</v>
      </c>
      <c r="BT477">
        <v>2.86</v>
      </c>
      <c r="BU477">
        <v>-0.49</v>
      </c>
      <c r="BV477">
        <v>-1.4</v>
      </c>
      <c r="BW477">
        <v>-0.7</v>
      </c>
      <c r="BX477">
        <v>0.39</v>
      </c>
      <c r="BY477">
        <v>-0.01</v>
      </c>
      <c r="BZ477">
        <v>-1.48</v>
      </c>
      <c r="CA477">
        <v>-0.27</v>
      </c>
      <c r="CB477">
        <v>-0.57999999999999996</v>
      </c>
      <c r="CC477">
        <v>0.26</v>
      </c>
      <c r="CD477">
        <v>2.4</v>
      </c>
      <c r="CE477">
        <v>-1.69</v>
      </c>
      <c r="CF477">
        <v>0.64</v>
      </c>
      <c r="CG477">
        <v>0</v>
      </c>
      <c r="CH477">
        <v>-0.01</v>
      </c>
      <c r="CI477">
        <v>0</v>
      </c>
      <c r="CJ477">
        <v>-0.5</v>
      </c>
      <c r="CK477">
        <v>99</v>
      </c>
      <c r="CL477">
        <v>-0.45</v>
      </c>
      <c r="CM477">
        <v>99</v>
      </c>
      <c r="CN477">
        <v>-0.18</v>
      </c>
      <c r="CO477">
        <v>99</v>
      </c>
      <c r="CP477">
        <v>5.6</v>
      </c>
      <c r="CQ477">
        <v>99</v>
      </c>
      <c r="CR477">
        <v>0</v>
      </c>
      <c r="CS477">
        <v>0</v>
      </c>
      <c r="CT477">
        <v>15</v>
      </c>
      <c r="CU477">
        <v>99</v>
      </c>
      <c r="CV477">
        <v>0.12</v>
      </c>
      <c r="CW477">
        <v>55</v>
      </c>
      <c r="CX477" t="s">
        <v>1543</v>
      </c>
    </row>
    <row r="478" spans="1:102" x14ac:dyDescent="0.3">
      <c r="A478" t="str">
        <f>HYPERLINK("https://webapp.icbf.com/v2/app/bull-search/view/1256966184","FR4022")</f>
        <v>FR4022</v>
      </c>
      <c r="B478" t="s">
        <v>15297</v>
      </c>
      <c r="C478" t="s">
        <v>15298</v>
      </c>
      <c r="D478" s="1">
        <v>42075</v>
      </c>
      <c r="E478" t="s">
        <v>92</v>
      </c>
      <c r="F478">
        <v>81</v>
      </c>
      <c r="G478" t="s">
        <v>93</v>
      </c>
      <c r="H478">
        <v>185.96</v>
      </c>
      <c r="I478">
        <v>81</v>
      </c>
      <c r="J478">
        <v>33.869999999999997</v>
      </c>
      <c r="K478">
        <v>93</v>
      </c>
      <c r="L478">
        <v>109.18</v>
      </c>
      <c r="M478">
        <v>72</v>
      </c>
      <c r="N478">
        <v>31.89</v>
      </c>
      <c r="O478">
        <v>88</v>
      </c>
      <c r="P478">
        <v>-9.57</v>
      </c>
      <c r="Q478">
        <v>91</v>
      </c>
      <c r="R478">
        <v>8.09</v>
      </c>
      <c r="S478">
        <v>71</v>
      </c>
      <c r="T478">
        <v>5.98</v>
      </c>
      <c r="U478">
        <v>64</v>
      </c>
      <c r="V478">
        <v>6.52</v>
      </c>
      <c r="W478">
        <v>65</v>
      </c>
      <c r="X478" t="s">
        <v>94</v>
      </c>
      <c r="Y478" t="s">
        <v>436</v>
      </c>
      <c r="Z478" t="s">
        <v>96</v>
      </c>
      <c r="AA478" t="s">
        <v>1918</v>
      </c>
      <c r="AB478" t="s">
        <v>15299</v>
      </c>
      <c r="AC478">
        <v>86</v>
      </c>
      <c r="AD478">
        <v>63</v>
      </c>
      <c r="AE478">
        <v>93</v>
      </c>
      <c r="AF478">
        <v>33.01</v>
      </c>
      <c r="AG478">
        <v>4.82</v>
      </c>
      <c r="AH478">
        <v>4.5599999999999996</v>
      </c>
      <c r="AI478">
        <v>0.06</v>
      </c>
      <c r="AJ478">
        <v>0.06</v>
      </c>
      <c r="AK478">
        <v>72</v>
      </c>
      <c r="AL478">
        <v>0</v>
      </c>
      <c r="AM478">
        <v>0</v>
      </c>
      <c r="AN478">
        <v>-6.51</v>
      </c>
      <c r="AO478">
        <v>2.19</v>
      </c>
      <c r="AP478">
        <v>1036</v>
      </c>
      <c r="AQ478">
        <v>2</v>
      </c>
      <c r="AR478">
        <v>5.67</v>
      </c>
      <c r="AS478">
        <v>83</v>
      </c>
      <c r="AT478">
        <v>2.35</v>
      </c>
      <c r="AU478">
        <v>95</v>
      </c>
      <c r="AV478">
        <v>-2.6</v>
      </c>
      <c r="AW478">
        <v>99</v>
      </c>
      <c r="AX478">
        <v>-0.73</v>
      </c>
      <c r="AY478">
        <v>94</v>
      </c>
      <c r="AZ478">
        <v>6.9</v>
      </c>
      <c r="BA478">
        <v>62</v>
      </c>
      <c r="BB478">
        <v>5.13</v>
      </c>
      <c r="BC478">
        <v>44</v>
      </c>
      <c r="BD478">
        <v>-0.03</v>
      </c>
      <c r="BE478">
        <v>-0.04</v>
      </c>
      <c r="BF478">
        <v>-0.06</v>
      </c>
      <c r="BG478">
        <v>82</v>
      </c>
      <c r="BH478">
        <v>0.21</v>
      </c>
      <c r="BI478">
        <v>3.25</v>
      </c>
      <c r="BJ478">
        <v>0</v>
      </c>
      <c r="BK478">
        <v>0</v>
      </c>
      <c r="BL478">
        <v>-0.53</v>
      </c>
      <c r="BM478">
        <v>0.18</v>
      </c>
      <c r="BN478">
        <v>-1.32</v>
      </c>
      <c r="BO478">
        <v>-0.76</v>
      </c>
      <c r="BP478">
        <v>1.4</v>
      </c>
      <c r="BQ478">
        <v>-0.4</v>
      </c>
      <c r="BR478">
        <v>-1.77</v>
      </c>
      <c r="BS478">
        <v>0</v>
      </c>
      <c r="BT478">
        <v>0.44</v>
      </c>
      <c r="BU478">
        <v>-0.47</v>
      </c>
      <c r="BV478">
        <v>-0.51</v>
      </c>
      <c r="BW478">
        <v>-0.62</v>
      </c>
      <c r="BX478">
        <v>0.09</v>
      </c>
      <c r="BY478">
        <v>-0.61</v>
      </c>
      <c r="BZ478">
        <v>0.78</v>
      </c>
      <c r="CA478">
        <v>0.08</v>
      </c>
      <c r="CB478">
        <v>-7.0000000000000007E-2</v>
      </c>
      <c r="CC478">
        <v>0.53</v>
      </c>
      <c r="CD478">
        <v>1.1000000000000001</v>
      </c>
      <c r="CE478">
        <v>-0.32</v>
      </c>
      <c r="CF478">
        <v>0.21</v>
      </c>
      <c r="CG478">
        <v>0</v>
      </c>
      <c r="CH478">
        <v>0.15</v>
      </c>
      <c r="CI478">
        <v>0</v>
      </c>
      <c r="CJ478">
        <v>-4.7</v>
      </c>
      <c r="CK478">
        <v>94</v>
      </c>
      <c r="CL478">
        <v>-0.61</v>
      </c>
      <c r="CM478">
        <v>93</v>
      </c>
      <c r="CN478">
        <v>-0.32</v>
      </c>
      <c r="CO478">
        <v>92</v>
      </c>
      <c r="CP478">
        <v>-3.6</v>
      </c>
      <c r="CQ478">
        <v>64</v>
      </c>
      <c r="CR478">
        <v>0</v>
      </c>
      <c r="CS478">
        <v>0</v>
      </c>
      <c r="CT478">
        <v>5.7</v>
      </c>
      <c r="CU478">
        <v>64</v>
      </c>
      <c r="CV478">
        <v>0.04</v>
      </c>
      <c r="CW478">
        <v>45</v>
      </c>
      <c r="CX478" t="s">
        <v>13023</v>
      </c>
    </row>
    <row r="479" spans="1:102" x14ac:dyDescent="0.3">
      <c r="A479" t="str">
        <f>HYPERLINK("https://webapp.icbf.com/v2/app/bull-search/view/1419037321","S3368")</f>
        <v>S3368</v>
      </c>
      <c r="B479" t="s">
        <v>466</v>
      </c>
      <c r="C479" t="s">
        <v>467</v>
      </c>
      <c r="D479" s="1">
        <v>42404</v>
      </c>
      <c r="E479" t="s">
        <v>92</v>
      </c>
      <c r="F479">
        <v>100</v>
      </c>
      <c r="G479" t="s">
        <v>435</v>
      </c>
      <c r="H479">
        <v>185.91</v>
      </c>
      <c r="I479">
        <v>66</v>
      </c>
      <c r="J479">
        <v>85.7</v>
      </c>
      <c r="K479">
        <v>87</v>
      </c>
      <c r="L479">
        <v>50.56</v>
      </c>
      <c r="M479">
        <v>66</v>
      </c>
      <c r="N479">
        <v>45.56</v>
      </c>
      <c r="O479">
        <v>52</v>
      </c>
      <c r="P479">
        <v>-0.56000000000000005</v>
      </c>
      <c r="Q479">
        <v>35</v>
      </c>
      <c r="R479">
        <v>19.079999999999998</v>
      </c>
      <c r="S479">
        <v>61</v>
      </c>
      <c r="T479">
        <v>-12.07</v>
      </c>
      <c r="U479">
        <v>34</v>
      </c>
      <c r="V479">
        <v>-2.36</v>
      </c>
      <c r="W479">
        <v>53</v>
      </c>
      <c r="X479" t="s">
        <v>110</v>
      </c>
      <c r="Y479" t="s">
        <v>468</v>
      </c>
      <c r="Z479" t="s">
        <v>96</v>
      </c>
      <c r="AA479" t="s">
        <v>469</v>
      </c>
      <c r="AB479" t="s">
        <v>470</v>
      </c>
      <c r="AC479">
        <v>0</v>
      </c>
      <c r="AD479">
        <v>0</v>
      </c>
      <c r="AE479">
        <v>87</v>
      </c>
      <c r="AF479">
        <v>498.3</v>
      </c>
      <c r="AG479">
        <v>20.02</v>
      </c>
      <c r="AH479">
        <v>15.12</v>
      </c>
      <c r="AI479">
        <v>0.01</v>
      </c>
      <c r="AJ479">
        <v>-0.03</v>
      </c>
      <c r="AK479">
        <v>66</v>
      </c>
      <c r="AL479">
        <v>0</v>
      </c>
      <c r="AM479">
        <v>0</v>
      </c>
      <c r="AN479">
        <v>-2.17</v>
      </c>
      <c r="AO479">
        <v>1.87</v>
      </c>
      <c r="AP479">
        <v>2</v>
      </c>
      <c r="AQ479">
        <v>0</v>
      </c>
      <c r="AR479">
        <v>5.73</v>
      </c>
      <c r="AS479">
        <v>46</v>
      </c>
      <c r="AT479">
        <v>2.34</v>
      </c>
      <c r="AU479">
        <v>91</v>
      </c>
      <c r="AV479">
        <v>-4.5199999999999996</v>
      </c>
      <c r="AW479">
        <v>40</v>
      </c>
      <c r="AX479">
        <v>0.32</v>
      </c>
      <c r="AY479">
        <v>36</v>
      </c>
      <c r="AZ479">
        <v>6.87</v>
      </c>
      <c r="BA479">
        <v>32</v>
      </c>
      <c r="BB479">
        <v>4.8899999999999997</v>
      </c>
      <c r="BC479">
        <v>33</v>
      </c>
      <c r="BD479">
        <v>-7.0000000000000007E-2</v>
      </c>
      <c r="BE479">
        <v>-0.08</v>
      </c>
      <c r="BF479">
        <v>-0.17</v>
      </c>
      <c r="BG479">
        <v>74</v>
      </c>
      <c r="BH479">
        <v>-0.13</v>
      </c>
      <c r="BI479">
        <v>-7.44</v>
      </c>
      <c r="BJ479">
        <v>0</v>
      </c>
      <c r="BK479">
        <v>0</v>
      </c>
      <c r="BL479">
        <v>1.65</v>
      </c>
      <c r="BM479">
        <v>0.64</v>
      </c>
      <c r="BN479">
        <v>1.42</v>
      </c>
      <c r="BO479">
        <v>1.26</v>
      </c>
      <c r="BP479">
        <v>2.66</v>
      </c>
      <c r="BQ479">
        <v>1.05</v>
      </c>
      <c r="BR479">
        <v>-1.44</v>
      </c>
      <c r="BS479">
        <v>5.01</v>
      </c>
      <c r="BT479">
        <v>1.79</v>
      </c>
      <c r="BU479">
        <v>3.11</v>
      </c>
      <c r="BV479">
        <v>3.15</v>
      </c>
      <c r="BW479">
        <v>1.57</v>
      </c>
      <c r="BX479">
        <v>2.56</v>
      </c>
      <c r="BY479">
        <v>1.24</v>
      </c>
      <c r="BZ479">
        <v>-0.9</v>
      </c>
      <c r="CA479">
        <v>3.67</v>
      </c>
      <c r="CB479">
        <v>2.73</v>
      </c>
      <c r="CC479">
        <v>3.63</v>
      </c>
      <c r="CD479">
        <v>-7.0000000000000007E-2</v>
      </c>
      <c r="CE479">
        <v>0.76</v>
      </c>
      <c r="CF479">
        <v>1.1100000000000001</v>
      </c>
      <c r="CG479">
        <v>0</v>
      </c>
      <c r="CH479">
        <v>0.71</v>
      </c>
      <c r="CI479">
        <v>0</v>
      </c>
      <c r="CJ479">
        <v>1.4</v>
      </c>
      <c r="CK479">
        <v>35</v>
      </c>
      <c r="CL479">
        <v>-1.35</v>
      </c>
      <c r="CM479">
        <v>35</v>
      </c>
      <c r="CN479">
        <v>-0.85</v>
      </c>
      <c r="CO479">
        <v>35</v>
      </c>
      <c r="CP479">
        <v>9.9</v>
      </c>
      <c r="CQ479">
        <v>34</v>
      </c>
      <c r="CR479">
        <v>0</v>
      </c>
      <c r="CS479">
        <v>0</v>
      </c>
      <c r="CT479">
        <v>30.1</v>
      </c>
      <c r="CU479">
        <v>34</v>
      </c>
      <c r="CV479">
        <v>0.2</v>
      </c>
      <c r="CW479">
        <v>32</v>
      </c>
      <c r="CX479" t="s">
        <v>471</v>
      </c>
    </row>
    <row r="480" spans="1:102" x14ac:dyDescent="0.3">
      <c r="A480" t="str">
        <f>HYPERLINK("https://webapp.icbf.com/v2/app/bull-search/view/1241495873","S2307")</f>
        <v>S2307</v>
      </c>
      <c r="B480" t="s">
        <v>6062</v>
      </c>
      <c r="C480" t="s">
        <v>6063</v>
      </c>
      <c r="D480" s="1">
        <v>41600</v>
      </c>
      <c r="E480" t="s">
        <v>92</v>
      </c>
      <c r="F480">
        <v>100</v>
      </c>
      <c r="G480" t="s">
        <v>109</v>
      </c>
      <c r="H480">
        <v>185.89</v>
      </c>
      <c r="I480">
        <v>77</v>
      </c>
      <c r="J480">
        <v>118.61</v>
      </c>
      <c r="K480">
        <v>91</v>
      </c>
      <c r="L480">
        <v>26.28</v>
      </c>
      <c r="M480">
        <v>79</v>
      </c>
      <c r="N480">
        <v>23.48</v>
      </c>
      <c r="O480">
        <v>65</v>
      </c>
      <c r="P480">
        <v>-10.33</v>
      </c>
      <c r="Q480">
        <v>73</v>
      </c>
      <c r="R480">
        <v>17.63</v>
      </c>
      <c r="S480">
        <v>70</v>
      </c>
      <c r="T480">
        <v>-0.6</v>
      </c>
      <c r="U480">
        <v>42</v>
      </c>
      <c r="V480">
        <v>10.82</v>
      </c>
      <c r="W480">
        <v>51</v>
      </c>
      <c r="X480" t="s">
        <v>428</v>
      </c>
      <c r="Y480" t="s">
        <v>411</v>
      </c>
      <c r="Z480" t="s">
        <v>96</v>
      </c>
      <c r="AA480" t="s">
        <v>6064</v>
      </c>
      <c r="AB480" t="s">
        <v>6065</v>
      </c>
      <c r="AC480">
        <v>0</v>
      </c>
      <c r="AD480">
        <v>0</v>
      </c>
      <c r="AE480">
        <v>91</v>
      </c>
      <c r="AF480">
        <v>426.26</v>
      </c>
      <c r="AG480">
        <v>26.08</v>
      </c>
      <c r="AH480">
        <v>17.47</v>
      </c>
      <c r="AI480">
        <v>0.15</v>
      </c>
      <c r="AJ480">
        <v>0.05</v>
      </c>
      <c r="AK480">
        <v>79</v>
      </c>
      <c r="AL480">
        <v>0</v>
      </c>
      <c r="AM480">
        <v>0</v>
      </c>
      <c r="AN480">
        <v>-0.33</v>
      </c>
      <c r="AO480">
        <v>1.78</v>
      </c>
      <c r="AP480">
        <v>27</v>
      </c>
      <c r="AQ480">
        <v>0</v>
      </c>
      <c r="AR480">
        <v>5.8</v>
      </c>
      <c r="AS480">
        <v>50</v>
      </c>
      <c r="AT480">
        <v>3.25</v>
      </c>
      <c r="AU480">
        <v>84</v>
      </c>
      <c r="AV480">
        <v>-2.0299999999999998</v>
      </c>
      <c r="AW480">
        <v>73</v>
      </c>
      <c r="AX480">
        <v>-0.39</v>
      </c>
      <c r="AY480">
        <v>54</v>
      </c>
      <c r="AZ480">
        <v>6.12</v>
      </c>
      <c r="BA480">
        <v>37</v>
      </c>
      <c r="BB480">
        <v>4.5</v>
      </c>
      <c r="BC480">
        <v>33</v>
      </c>
      <c r="BD480">
        <v>-0.08</v>
      </c>
      <c r="BE480">
        <v>-0.08</v>
      </c>
      <c r="BF480">
        <v>-0.12</v>
      </c>
      <c r="BG480">
        <v>89</v>
      </c>
      <c r="BH480">
        <v>0.11</v>
      </c>
      <c r="BI480">
        <v>-22.17</v>
      </c>
      <c r="BJ480">
        <v>0</v>
      </c>
      <c r="BK480">
        <v>0</v>
      </c>
      <c r="BL480">
        <v>1.3</v>
      </c>
      <c r="BM480">
        <v>0.43</v>
      </c>
      <c r="BN480">
        <v>1.36</v>
      </c>
      <c r="BO480">
        <v>1.17</v>
      </c>
      <c r="BP480">
        <v>2.86</v>
      </c>
      <c r="BQ480">
        <v>1.1299999999999999</v>
      </c>
      <c r="BR480">
        <v>2.11</v>
      </c>
      <c r="BS480">
        <v>3.24</v>
      </c>
      <c r="BT480">
        <v>-1.1599999999999999</v>
      </c>
      <c r="BU480">
        <v>2.52</v>
      </c>
      <c r="BV480">
        <v>2.2599999999999998</v>
      </c>
      <c r="BW480">
        <v>3.05</v>
      </c>
      <c r="BX480">
        <v>2.29</v>
      </c>
      <c r="BY480">
        <v>2.48</v>
      </c>
      <c r="BZ480">
        <v>0.3</v>
      </c>
      <c r="CA480">
        <v>3.13</v>
      </c>
      <c r="CB480">
        <v>2.56</v>
      </c>
      <c r="CC480">
        <v>2.21</v>
      </c>
      <c r="CD480">
        <v>0.03</v>
      </c>
      <c r="CE480">
        <v>0.53</v>
      </c>
      <c r="CF480">
        <v>0.92</v>
      </c>
      <c r="CG480">
        <v>0</v>
      </c>
      <c r="CH480">
        <v>2.65</v>
      </c>
      <c r="CI480">
        <v>0</v>
      </c>
      <c r="CJ480">
        <v>-2.7</v>
      </c>
      <c r="CK480">
        <v>77</v>
      </c>
      <c r="CL480">
        <v>-1.18</v>
      </c>
      <c r="CM480">
        <v>74</v>
      </c>
      <c r="CN480">
        <v>-0.5</v>
      </c>
      <c r="CO480">
        <v>72</v>
      </c>
      <c r="CP480">
        <v>-1.9</v>
      </c>
      <c r="CQ480">
        <v>48</v>
      </c>
      <c r="CR480">
        <v>0</v>
      </c>
      <c r="CS480">
        <v>0</v>
      </c>
      <c r="CT480">
        <v>14.6</v>
      </c>
      <c r="CU480">
        <v>42</v>
      </c>
      <c r="CV480">
        <v>0.15</v>
      </c>
      <c r="CW480">
        <v>41</v>
      </c>
      <c r="CX480" t="s">
        <v>6066</v>
      </c>
    </row>
    <row r="481" spans="1:102" x14ac:dyDescent="0.3">
      <c r="A481" t="str">
        <f>HYPERLINK("https://webapp.icbf.com/v2/app/bull-search/view/879595940","THP")</f>
        <v>THP</v>
      </c>
      <c r="B481" t="s">
        <v>5683</v>
      </c>
      <c r="C481" t="s">
        <v>5684</v>
      </c>
      <c r="D481" s="1">
        <v>40641</v>
      </c>
      <c r="E481" t="s">
        <v>92</v>
      </c>
      <c r="F481">
        <v>63</v>
      </c>
      <c r="G481" t="s">
        <v>435</v>
      </c>
      <c r="H481">
        <v>185.76</v>
      </c>
      <c r="I481">
        <v>71</v>
      </c>
      <c r="J481">
        <v>67.88</v>
      </c>
      <c r="K481">
        <v>86</v>
      </c>
      <c r="L481">
        <v>95.2</v>
      </c>
      <c r="M481">
        <v>66</v>
      </c>
      <c r="N481">
        <v>34.119999999999997</v>
      </c>
      <c r="O481">
        <v>58</v>
      </c>
      <c r="P481">
        <v>-13.82</v>
      </c>
      <c r="Q481">
        <v>68</v>
      </c>
      <c r="R481">
        <v>1.74</v>
      </c>
      <c r="S481">
        <v>63</v>
      </c>
      <c r="T481">
        <v>-1.05</v>
      </c>
      <c r="U481">
        <v>53</v>
      </c>
      <c r="V481">
        <v>1.69</v>
      </c>
      <c r="W481">
        <v>60</v>
      </c>
      <c r="X481" t="s">
        <v>102</v>
      </c>
      <c r="Y481" t="s">
        <v>1860</v>
      </c>
      <c r="Z481" t="s">
        <v>330</v>
      </c>
      <c r="AA481" t="s">
        <v>5685</v>
      </c>
      <c r="AB481" t="s">
        <v>5686</v>
      </c>
      <c r="AC481">
        <v>2</v>
      </c>
      <c r="AD481">
        <v>1</v>
      </c>
      <c r="AE481">
        <v>86</v>
      </c>
      <c r="AF481">
        <v>171.17</v>
      </c>
      <c r="AG481">
        <v>11.35</v>
      </c>
      <c r="AH481">
        <v>10.15</v>
      </c>
      <c r="AI481">
        <v>0.08</v>
      </c>
      <c r="AJ481">
        <v>7.0000000000000007E-2</v>
      </c>
      <c r="AK481">
        <v>66</v>
      </c>
      <c r="AL481">
        <v>22</v>
      </c>
      <c r="AM481">
        <v>4</v>
      </c>
      <c r="AN481">
        <v>-5.34</v>
      </c>
      <c r="AO481">
        <v>2.25</v>
      </c>
      <c r="AP481">
        <v>6</v>
      </c>
      <c r="AQ481">
        <v>0</v>
      </c>
      <c r="AR481">
        <v>5.6</v>
      </c>
      <c r="AS481">
        <v>51</v>
      </c>
      <c r="AT481">
        <v>2.21</v>
      </c>
      <c r="AU481">
        <v>64</v>
      </c>
      <c r="AV481">
        <v>-2.5</v>
      </c>
      <c r="AW481">
        <v>62</v>
      </c>
      <c r="AX481">
        <v>-0.24</v>
      </c>
      <c r="AY481">
        <v>58</v>
      </c>
      <c r="AZ481">
        <v>5.61</v>
      </c>
      <c r="BA481">
        <v>42</v>
      </c>
      <c r="BB481">
        <v>4.87</v>
      </c>
      <c r="BC481">
        <v>44</v>
      </c>
      <c r="BD481">
        <v>-0.03</v>
      </c>
      <c r="BE481">
        <v>0</v>
      </c>
      <c r="BF481">
        <v>0.01</v>
      </c>
      <c r="BG481">
        <v>72</v>
      </c>
      <c r="BH481">
        <v>-0.01</v>
      </c>
      <c r="BI481">
        <v>-6.62</v>
      </c>
      <c r="BJ481">
        <v>0</v>
      </c>
      <c r="BK481">
        <v>0</v>
      </c>
      <c r="BL481">
        <v>0.21</v>
      </c>
      <c r="BM481">
        <v>1.22</v>
      </c>
      <c r="BN481">
        <v>-0.39</v>
      </c>
      <c r="BO481">
        <v>-1.1000000000000001</v>
      </c>
      <c r="BP481">
        <v>0.46</v>
      </c>
      <c r="BQ481">
        <v>-0.23</v>
      </c>
      <c r="BR481">
        <v>-0.48</v>
      </c>
      <c r="BS481">
        <v>-0.01</v>
      </c>
      <c r="BT481">
        <v>0.14000000000000001</v>
      </c>
      <c r="BU481">
        <v>-0.21</v>
      </c>
      <c r="BV481">
        <v>-0.94</v>
      </c>
      <c r="BW481">
        <v>-1.28</v>
      </c>
      <c r="BX481">
        <v>0.28000000000000003</v>
      </c>
      <c r="BY481">
        <v>-1.23</v>
      </c>
      <c r="BZ481">
        <v>0.11</v>
      </c>
      <c r="CA481">
        <v>-0.61</v>
      </c>
      <c r="CB481">
        <v>-0.8</v>
      </c>
      <c r="CC481">
        <v>-0.14000000000000001</v>
      </c>
      <c r="CD481">
        <v>0.75</v>
      </c>
      <c r="CE481">
        <v>-1.18</v>
      </c>
      <c r="CF481">
        <v>-0.43</v>
      </c>
      <c r="CG481">
        <v>0</v>
      </c>
      <c r="CH481">
        <v>-0.55000000000000004</v>
      </c>
      <c r="CI481">
        <v>0</v>
      </c>
      <c r="CJ481">
        <v>-5.9</v>
      </c>
      <c r="CK481">
        <v>70</v>
      </c>
      <c r="CL481">
        <v>-0.9</v>
      </c>
      <c r="CM481">
        <v>67</v>
      </c>
      <c r="CN481">
        <v>-0.33</v>
      </c>
      <c r="CO481">
        <v>65</v>
      </c>
      <c r="CP481">
        <v>-1.7</v>
      </c>
      <c r="CQ481">
        <v>60</v>
      </c>
      <c r="CR481">
        <v>0</v>
      </c>
      <c r="CS481">
        <v>0</v>
      </c>
      <c r="CT481">
        <v>15.2</v>
      </c>
      <c r="CU481">
        <v>53</v>
      </c>
      <c r="CV481">
        <v>0.24</v>
      </c>
      <c r="CW481">
        <v>40</v>
      </c>
      <c r="CX481" t="s">
        <v>4532</v>
      </c>
    </row>
    <row r="482" spans="1:102" x14ac:dyDescent="0.3">
      <c r="A482" t="str">
        <f>HYPERLINK("https://webapp.icbf.com/v2/app/bull-search/view/747918021","AWB")</f>
        <v>AWB</v>
      </c>
      <c r="B482" t="s">
        <v>12914</v>
      </c>
      <c r="C482" t="s">
        <v>12915</v>
      </c>
      <c r="D482" s="1">
        <v>40216</v>
      </c>
      <c r="E482" t="s">
        <v>92</v>
      </c>
      <c r="F482">
        <v>94</v>
      </c>
      <c r="G482" t="s">
        <v>93</v>
      </c>
      <c r="H482">
        <v>185.47</v>
      </c>
      <c r="I482">
        <v>98</v>
      </c>
      <c r="J482">
        <v>55.7</v>
      </c>
      <c r="K482">
        <v>99</v>
      </c>
      <c r="L482">
        <v>97.26</v>
      </c>
      <c r="M482">
        <v>97</v>
      </c>
      <c r="N482">
        <v>28.05</v>
      </c>
      <c r="O482">
        <v>99</v>
      </c>
      <c r="P482">
        <v>-2.0099999999999998</v>
      </c>
      <c r="Q482">
        <v>99</v>
      </c>
      <c r="R482">
        <v>2.57</v>
      </c>
      <c r="S482">
        <v>97</v>
      </c>
      <c r="T482">
        <v>4.8</v>
      </c>
      <c r="U482">
        <v>99</v>
      </c>
      <c r="V482">
        <v>-0.9</v>
      </c>
      <c r="W482">
        <v>87</v>
      </c>
      <c r="X482" t="s">
        <v>94</v>
      </c>
      <c r="Y482" t="s">
        <v>329</v>
      </c>
      <c r="Z482" t="s">
        <v>96</v>
      </c>
      <c r="AA482" t="s">
        <v>1376</v>
      </c>
      <c r="AB482" t="s">
        <v>12522</v>
      </c>
      <c r="AC482">
        <v>7554</v>
      </c>
      <c r="AD482">
        <v>2299</v>
      </c>
      <c r="AE482">
        <v>99</v>
      </c>
      <c r="AF482">
        <v>244.83</v>
      </c>
      <c r="AG482">
        <v>7.86</v>
      </c>
      <c r="AH482">
        <v>10.44</v>
      </c>
      <c r="AI482">
        <v>-0.03</v>
      </c>
      <c r="AJ482">
        <v>0.04</v>
      </c>
      <c r="AK482">
        <v>97</v>
      </c>
      <c r="AL482">
        <v>9347</v>
      </c>
      <c r="AM482">
        <v>3167</v>
      </c>
      <c r="AN482">
        <v>-4.26</v>
      </c>
      <c r="AO482">
        <v>3.51</v>
      </c>
      <c r="AP482">
        <v>13919</v>
      </c>
      <c r="AQ482">
        <v>99</v>
      </c>
      <c r="AR482">
        <v>7.1</v>
      </c>
      <c r="AS482">
        <v>99</v>
      </c>
      <c r="AT482">
        <v>2.61</v>
      </c>
      <c r="AU482">
        <v>99</v>
      </c>
      <c r="AV482">
        <v>-2.35</v>
      </c>
      <c r="AW482">
        <v>99</v>
      </c>
      <c r="AX482">
        <v>-0.48</v>
      </c>
      <c r="AY482">
        <v>99</v>
      </c>
      <c r="AZ482">
        <v>5.37</v>
      </c>
      <c r="BA482">
        <v>99</v>
      </c>
      <c r="BB482">
        <v>4.79</v>
      </c>
      <c r="BC482">
        <v>99</v>
      </c>
      <c r="BD482">
        <v>-0.06</v>
      </c>
      <c r="BE482">
        <v>-0.01</v>
      </c>
      <c r="BF482">
        <v>0.06</v>
      </c>
      <c r="BG482">
        <v>99</v>
      </c>
      <c r="BH482">
        <v>-0.05</v>
      </c>
      <c r="BI482">
        <v>-2.89</v>
      </c>
      <c r="BJ482">
        <v>341</v>
      </c>
      <c r="BK482">
        <v>142</v>
      </c>
      <c r="BL482">
        <v>0.5</v>
      </c>
      <c r="BM482">
        <v>0.3</v>
      </c>
      <c r="BN482">
        <v>-0.86</v>
      </c>
      <c r="BO482">
        <v>-0.62</v>
      </c>
      <c r="BP482">
        <v>0.94</v>
      </c>
      <c r="BQ482">
        <v>-0.44</v>
      </c>
      <c r="BR482">
        <v>-0.56000000000000005</v>
      </c>
      <c r="BS482">
        <v>0.94</v>
      </c>
      <c r="BT482">
        <v>0.28999999999999998</v>
      </c>
      <c r="BU482">
        <v>1.18</v>
      </c>
      <c r="BV482">
        <v>0.85</v>
      </c>
      <c r="BW482">
        <v>0.28999999999999998</v>
      </c>
      <c r="BX482">
        <v>0.98</v>
      </c>
      <c r="BY482">
        <v>-0.89</v>
      </c>
      <c r="BZ482">
        <v>-0.28999999999999998</v>
      </c>
      <c r="CA482">
        <v>0.92</v>
      </c>
      <c r="CB482">
        <v>0.55000000000000004</v>
      </c>
      <c r="CC482">
        <v>1.02</v>
      </c>
      <c r="CD482">
        <v>0.28000000000000003</v>
      </c>
      <c r="CE482">
        <v>-0.15</v>
      </c>
      <c r="CF482">
        <v>0.41</v>
      </c>
      <c r="CG482">
        <v>0</v>
      </c>
      <c r="CH482">
        <v>-0.85</v>
      </c>
      <c r="CI482">
        <v>0</v>
      </c>
      <c r="CJ482">
        <v>0.2</v>
      </c>
      <c r="CK482">
        <v>99</v>
      </c>
      <c r="CL482">
        <v>-0.82</v>
      </c>
      <c r="CM482">
        <v>99</v>
      </c>
      <c r="CN482">
        <v>-0.53</v>
      </c>
      <c r="CO482">
        <v>99</v>
      </c>
      <c r="CP482">
        <v>-0.2</v>
      </c>
      <c r="CQ482">
        <v>99</v>
      </c>
      <c r="CR482">
        <v>0</v>
      </c>
      <c r="CS482">
        <v>0</v>
      </c>
      <c r="CT482">
        <v>7.3</v>
      </c>
      <c r="CU482">
        <v>99</v>
      </c>
      <c r="CV482">
        <v>0.27</v>
      </c>
      <c r="CW482">
        <v>47</v>
      </c>
      <c r="CX482" t="s">
        <v>4996</v>
      </c>
    </row>
    <row r="483" spans="1:102" x14ac:dyDescent="0.3">
      <c r="A483" t="str">
        <f>HYPERLINK("https://webapp.icbf.com/v2/app/bull-search/view/444506564","TZD")</f>
        <v>TZD</v>
      </c>
      <c r="B483" t="s">
        <v>14633</v>
      </c>
      <c r="C483" t="s">
        <v>1641</v>
      </c>
      <c r="D483" s="1">
        <v>36017</v>
      </c>
      <c r="E483" t="s">
        <v>108</v>
      </c>
      <c r="F483">
        <v>31</v>
      </c>
      <c r="G483" t="s">
        <v>93</v>
      </c>
      <c r="H483">
        <v>185.38</v>
      </c>
      <c r="I483">
        <v>96</v>
      </c>
      <c r="J483">
        <v>27.61</v>
      </c>
      <c r="K483">
        <v>99</v>
      </c>
      <c r="L483">
        <v>110.29</v>
      </c>
      <c r="M483">
        <v>92</v>
      </c>
      <c r="N483">
        <v>39.17</v>
      </c>
      <c r="O483">
        <v>97</v>
      </c>
      <c r="P483">
        <v>-33.94</v>
      </c>
      <c r="Q483">
        <v>99</v>
      </c>
      <c r="R483">
        <v>7.36</v>
      </c>
      <c r="S483">
        <v>95</v>
      </c>
      <c r="T483">
        <v>23.74</v>
      </c>
      <c r="U483">
        <v>98</v>
      </c>
      <c r="V483">
        <v>11.15</v>
      </c>
      <c r="W483">
        <v>96</v>
      </c>
      <c r="X483" t="s">
        <v>302</v>
      </c>
      <c r="Y483" t="s">
        <v>221</v>
      </c>
      <c r="Z483" t="s">
        <v>96</v>
      </c>
      <c r="AA483" t="s">
        <v>2740</v>
      </c>
      <c r="AB483" t="s">
        <v>14634</v>
      </c>
      <c r="AC483">
        <v>543</v>
      </c>
      <c r="AD483">
        <v>166</v>
      </c>
      <c r="AE483">
        <v>99</v>
      </c>
      <c r="AF483">
        <v>-235.85</v>
      </c>
      <c r="AG483">
        <v>11.86</v>
      </c>
      <c r="AH483">
        <v>-3.11</v>
      </c>
      <c r="AI483">
        <v>0.38</v>
      </c>
      <c r="AJ483">
        <v>0.09</v>
      </c>
      <c r="AK483">
        <v>92</v>
      </c>
      <c r="AL483">
        <v>607</v>
      </c>
      <c r="AM483">
        <v>171</v>
      </c>
      <c r="AN483">
        <v>-4.88</v>
      </c>
      <c r="AO483">
        <v>3.93</v>
      </c>
      <c r="AP483">
        <v>1118</v>
      </c>
      <c r="AQ483">
        <v>5</v>
      </c>
      <c r="AR483">
        <v>5.24</v>
      </c>
      <c r="AS483">
        <v>97</v>
      </c>
      <c r="AT483">
        <v>2.2200000000000002</v>
      </c>
      <c r="AU483">
        <v>97</v>
      </c>
      <c r="AV483">
        <v>-3.28</v>
      </c>
      <c r="AW483">
        <v>99</v>
      </c>
      <c r="AX483">
        <v>0.71</v>
      </c>
      <c r="AY483">
        <v>96</v>
      </c>
      <c r="AZ483">
        <v>5.51</v>
      </c>
      <c r="BA483">
        <v>90</v>
      </c>
      <c r="BB483">
        <v>4.7699999999999996</v>
      </c>
      <c r="BC483">
        <v>92</v>
      </c>
      <c r="BD483">
        <v>-0.08</v>
      </c>
      <c r="BE483">
        <v>-0.04</v>
      </c>
      <c r="BF483">
        <v>0.04</v>
      </c>
      <c r="BG483">
        <v>98</v>
      </c>
      <c r="BH483">
        <v>0.17</v>
      </c>
      <c r="BI483">
        <v>-16.29</v>
      </c>
      <c r="BJ483">
        <v>39</v>
      </c>
      <c r="BK483">
        <v>12</v>
      </c>
      <c r="BL483">
        <v>-2.4500000000000002</v>
      </c>
      <c r="BM483">
        <v>-0.04</v>
      </c>
      <c r="BN483">
        <v>-3.23</v>
      </c>
      <c r="BO483">
        <v>-2.4700000000000002</v>
      </c>
      <c r="BP483">
        <v>0.89</v>
      </c>
      <c r="BQ483">
        <v>-3.12</v>
      </c>
      <c r="BR483">
        <v>0.92</v>
      </c>
      <c r="BS483">
        <v>-0.77</v>
      </c>
      <c r="BT483">
        <v>-2.12</v>
      </c>
      <c r="BU483">
        <v>-1.22</v>
      </c>
      <c r="BV483">
        <v>-2.25</v>
      </c>
      <c r="BW483">
        <v>-3.22</v>
      </c>
      <c r="BX483">
        <v>-1.59</v>
      </c>
      <c r="BY483">
        <v>-1.33</v>
      </c>
      <c r="BZ483">
        <v>2.35</v>
      </c>
      <c r="CA483">
        <v>-1.4</v>
      </c>
      <c r="CB483">
        <v>-2.02</v>
      </c>
      <c r="CC483">
        <v>-0.1</v>
      </c>
      <c r="CD483">
        <v>0.95</v>
      </c>
      <c r="CE483">
        <v>-2.04</v>
      </c>
      <c r="CF483">
        <v>-2.7</v>
      </c>
      <c r="CG483">
        <v>0</v>
      </c>
      <c r="CH483">
        <v>-1.75</v>
      </c>
      <c r="CI483">
        <v>0</v>
      </c>
      <c r="CJ483">
        <v>-18.600000000000001</v>
      </c>
      <c r="CK483">
        <v>99</v>
      </c>
      <c r="CL483">
        <v>-0.69</v>
      </c>
      <c r="CM483">
        <v>98</v>
      </c>
      <c r="CN483">
        <v>-0.18</v>
      </c>
      <c r="CO483">
        <v>98</v>
      </c>
      <c r="CP483">
        <v>-21.7</v>
      </c>
      <c r="CQ483">
        <v>98</v>
      </c>
      <c r="CR483">
        <v>0</v>
      </c>
      <c r="CS483">
        <v>0</v>
      </c>
      <c r="CT483">
        <v>-18.3</v>
      </c>
      <c r="CU483">
        <v>98</v>
      </c>
      <c r="CV483">
        <v>-0.01</v>
      </c>
      <c r="CW483">
        <v>46</v>
      </c>
      <c r="CX483" t="s">
        <v>9794</v>
      </c>
    </row>
    <row r="484" spans="1:102" x14ac:dyDescent="0.3">
      <c r="A484" t="str">
        <f>HYPERLINK("https://webapp.icbf.com/v2/app/bull-search/view/753904339","RFD")</f>
        <v>RFD</v>
      </c>
      <c r="B484" t="s">
        <v>5389</v>
      </c>
      <c r="C484" t="s">
        <v>5390</v>
      </c>
      <c r="D484" s="1">
        <v>39786</v>
      </c>
      <c r="E484" t="s">
        <v>92</v>
      </c>
      <c r="F484">
        <v>100</v>
      </c>
      <c r="G484" t="s">
        <v>93</v>
      </c>
      <c r="H484">
        <v>185.29</v>
      </c>
      <c r="I484">
        <v>72</v>
      </c>
      <c r="J484">
        <v>90.78</v>
      </c>
      <c r="K484">
        <v>88</v>
      </c>
      <c r="L484">
        <v>40.94</v>
      </c>
      <c r="M484">
        <v>56</v>
      </c>
      <c r="N484">
        <v>36.520000000000003</v>
      </c>
      <c r="O484">
        <v>73</v>
      </c>
      <c r="P484">
        <v>1.78</v>
      </c>
      <c r="Q484">
        <v>84</v>
      </c>
      <c r="R484">
        <v>3.73</v>
      </c>
      <c r="S484">
        <v>57</v>
      </c>
      <c r="T484">
        <v>9.76</v>
      </c>
      <c r="U484">
        <v>72</v>
      </c>
      <c r="V484">
        <v>1.78</v>
      </c>
      <c r="W484">
        <v>57</v>
      </c>
      <c r="X484" t="s">
        <v>251</v>
      </c>
      <c r="Y484" t="s">
        <v>319</v>
      </c>
      <c r="Z484" t="s">
        <v>96</v>
      </c>
      <c r="AA484" t="s">
        <v>316</v>
      </c>
      <c r="AB484" t="s">
        <v>5391</v>
      </c>
      <c r="AC484">
        <v>32</v>
      </c>
      <c r="AD484">
        <v>27</v>
      </c>
      <c r="AE484">
        <v>88</v>
      </c>
      <c r="AF484">
        <v>463.47</v>
      </c>
      <c r="AG484">
        <v>15.16</v>
      </c>
      <c r="AH484">
        <v>17.170000000000002</v>
      </c>
      <c r="AI484">
        <v>-0.05</v>
      </c>
      <c r="AJ484">
        <v>0.02</v>
      </c>
      <c r="AK484">
        <v>56</v>
      </c>
      <c r="AL484">
        <v>40</v>
      </c>
      <c r="AM484">
        <v>34</v>
      </c>
      <c r="AN484">
        <v>-3.36</v>
      </c>
      <c r="AO484">
        <v>-0.11</v>
      </c>
      <c r="AP484">
        <v>107</v>
      </c>
      <c r="AQ484">
        <v>0</v>
      </c>
      <c r="AR484">
        <v>4.72</v>
      </c>
      <c r="AS484">
        <v>43</v>
      </c>
      <c r="AT484">
        <v>1.85</v>
      </c>
      <c r="AU484">
        <v>74</v>
      </c>
      <c r="AV484">
        <v>-2.81</v>
      </c>
      <c r="AW484">
        <v>92</v>
      </c>
      <c r="AX484">
        <v>-0.84</v>
      </c>
      <c r="AY484">
        <v>66</v>
      </c>
      <c r="AZ484">
        <v>7.44</v>
      </c>
      <c r="BA484">
        <v>41</v>
      </c>
      <c r="BB484">
        <v>5.43</v>
      </c>
      <c r="BC484">
        <v>44</v>
      </c>
      <c r="BD484">
        <v>-0.01</v>
      </c>
      <c r="BE484">
        <v>-0.01</v>
      </c>
      <c r="BF484">
        <v>-0.05</v>
      </c>
      <c r="BG484">
        <v>66</v>
      </c>
      <c r="BH484">
        <v>-0.09</v>
      </c>
      <c r="BI484">
        <v>-16.16</v>
      </c>
      <c r="BJ484">
        <v>9</v>
      </c>
      <c r="BK484">
        <v>9</v>
      </c>
      <c r="BL484">
        <v>0.11</v>
      </c>
      <c r="BM484">
        <v>-0.06</v>
      </c>
      <c r="BN484">
        <v>-1.24</v>
      </c>
      <c r="BO484">
        <v>-0.74</v>
      </c>
      <c r="BP484">
        <v>0.3</v>
      </c>
      <c r="BQ484">
        <v>0.08</v>
      </c>
      <c r="BR484">
        <v>-0.61</v>
      </c>
      <c r="BS484">
        <v>-1.37</v>
      </c>
      <c r="BT484">
        <v>0.41</v>
      </c>
      <c r="BU484">
        <v>-0.83</v>
      </c>
      <c r="BV484">
        <v>-0.56999999999999995</v>
      </c>
      <c r="BW484">
        <v>-0.56999999999999995</v>
      </c>
      <c r="BX484">
        <v>-0.6</v>
      </c>
      <c r="BY484">
        <v>-0.69</v>
      </c>
      <c r="BZ484">
        <v>-0.7</v>
      </c>
      <c r="CA484">
        <v>-0.59</v>
      </c>
      <c r="CB484">
        <v>-0.44</v>
      </c>
      <c r="CC484">
        <v>-0.85</v>
      </c>
      <c r="CD484">
        <v>0.41</v>
      </c>
      <c r="CE484">
        <v>-0.89</v>
      </c>
      <c r="CF484">
        <v>-0.12</v>
      </c>
      <c r="CG484">
        <v>0</v>
      </c>
      <c r="CH484">
        <v>-2.2599999999999998</v>
      </c>
      <c r="CI484">
        <v>0</v>
      </c>
      <c r="CJ484">
        <v>3.4</v>
      </c>
      <c r="CK484">
        <v>86</v>
      </c>
      <c r="CL484">
        <v>-0.53</v>
      </c>
      <c r="CM484">
        <v>83</v>
      </c>
      <c r="CN484">
        <v>-0.18</v>
      </c>
      <c r="CO484">
        <v>81</v>
      </c>
      <c r="CP484">
        <v>3</v>
      </c>
      <c r="CQ484">
        <v>76</v>
      </c>
      <c r="CR484">
        <v>0</v>
      </c>
      <c r="CS484">
        <v>0</v>
      </c>
      <c r="CT484">
        <v>0.6</v>
      </c>
      <c r="CU484">
        <v>72</v>
      </c>
      <c r="CV484">
        <v>0.26</v>
      </c>
      <c r="CW484">
        <v>29</v>
      </c>
      <c r="CX484" t="s">
        <v>283</v>
      </c>
    </row>
    <row r="485" spans="1:102" x14ac:dyDescent="0.3">
      <c r="A485" t="str">
        <f>HYPERLINK("https://webapp.icbf.com/v2/app/bull-search/view/720525485","WTL")</f>
        <v>WTL</v>
      </c>
      <c r="B485" t="s">
        <v>12791</v>
      </c>
      <c r="C485" t="s">
        <v>12792</v>
      </c>
      <c r="D485" s="1">
        <v>39290</v>
      </c>
      <c r="E485" t="s">
        <v>227</v>
      </c>
      <c r="F485">
        <v>0</v>
      </c>
      <c r="G485" t="s">
        <v>93</v>
      </c>
      <c r="H485">
        <v>185.16</v>
      </c>
      <c r="I485">
        <v>89</v>
      </c>
      <c r="J485">
        <v>78.44</v>
      </c>
      <c r="K485">
        <v>97</v>
      </c>
      <c r="L485">
        <v>62.66</v>
      </c>
      <c r="M485">
        <v>84</v>
      </c>
      <c r="N485">
        <v>41</v>
      </c>
      <c r="O485">
        <v>86</v>
      </c>
      <c r="P485">
        <v>-56.86</v>
      </c>
      <c r="Q485">
        <v>90</v>
      </c>
      <c r="R485">
        <v>-0.28999999999999998</v>
      </c>
      <c r="S485">
        <v>82</v>
      </c>
      <c r="T485">
        <v>51.2</v>
      </c>
      <c r="U485">
        <v>87</v>
      </c>
      <c r="V485">
        <v>9.01</v>
      </c>
      <c r="W485">
        <v>81</v>
      </c>
      <c r="X485" t="s">
        <v>276</v>
      </c>
      <c r="Y485" t="s">
        <v>319</v>
      </c>
      <c r="Z485">
        <v>0</v>
      </c>
      <c r="AA485" t="s">
        <v>229</v>
      </c>
      <c r="AB485" t="s">
        <v>12793</v>
      </c>
      <c r="AC485">
        <v>72</v>
      </c>
      <c r="AD485">
        <v>50</v>
      </c>
      <c r="AE485">
        <v>97</v>
      </c>
      <c r="AF485">
        <v>-659.25</v>
      </c>
      <c r="AG485">
        <v>20.58</v>
      </c>
      <c r="AH485">
        <v>-4.03</v>
      </c>
      <c r="AI485">
        <v>0.91</v>
      </c>
      <c r="AJ485">
        <v>0.36</v>
      </c>
      <c r="AK485">
        <v>84</v>
      </c>
      <c r="AL485">
        <v>81</v>
      </c>
      <c r="AM485">
        <v>49</v>
      </c>
      <c r="AN485">
        <v>-3.19</v>
      </c>
      <c r="AO485">
        <v>1.81</v>
      </c>
      <c r="AP485">
        <v>182</v>
      </c>
      <c r="AQ485">
        <v>0</v>
      </c>
      <c r="AR485">
        <v>3.04</v>
      </c>
      <c r="AS485">
        <v>83</v>
      </c>
      <c r="AT485">
        <v>1.21</v>
      </c>
      <c r="AU485">
        <v>85</v>
      </c>
      <c r="AV485">
        <v>-3.34</v>
      </c>
      <c r="AW485">
        <v>96</v>
      </c>
      <c r="AX485">
        <v>1.87</v>
      </c>
      <c r="AY485">
        <v>80</v>
      </c>
      <c r="AZ485">
        <v>7.55</v>
      </c>
      <c r="BA485">
        <v>67</v>
      </c>
      <c r="BB485">
        <v>5.16</v>
      </c>
      <c r="BC485">
        <v>70</v>
      </c>
      <c r="BD485">
        <v>-0.05</v>
      </c>
      <c r="BE485">
        <v>0</v>
      </c>
      <c r="BF485">
        <v>0.09</v>
      </c>
      <c r="BG485">
        <v>88</v>
      </c>
      <c r="BH485">
        <v>0.26</v>
      </c>
      <c r="BI485">
        <v>1.02</v>
      </c>
      <c r="BJ485">
        <v>13</v>
      </c>
      <c r="BK485">
        <v>8</v>
      </c>
      <c r="BL485">
        <v>-2.86</v>
      </c>
      <c r="BM485">
        <v>-1.99</v>
      </c>
      <c r="BN485">
        <v>0.4</v>
      </c>
      <c r="BO485">
        <v>1.74</v>
      </c>
      <c r="BP485">
        <v>-0.23</v>
      </c>
      <c r="BQ485">
        <v>-4.5199999999999996</v>
      </c>
      <c r="BR485">
        <v>3.57</v>
      </c>
      <c r="BS485">
        <v>6.99</v>
      </c>
      <c r="BT485">
        <v>-1.49</v>
      </c>
      <c r="BU485">
        <v>-1.47</v>
      </c>
      <c r="BV485">
        <v>-0.56000000000000005</v>
      </c>
      <c r="BW485">
        <v>-3.07</v>
      </c>
      <c r="BX485">
        <v>-3.93</v>
      </c>
      <c r="BY485">
        <v>0.64</v>
      </c>
      <c r="BZ485">
        <v>-0.16</v>
      </c>
      <c r="CA485">
        <v>0.87</v>
      </c>
      <c r="CB485">
        <v>-0.7</v>
      </c>
      <c r="CC485">
        <v>4.08</v>
      </c>
      <c r="CD485">
        <v>-2.73</v>
      </c>
      <c r="CE485">
        <v>1.1000000000000001</v>
      </c>
      <c r="CF485">
        <v>-2.97</v>
      </c>
      <c r="CG485">
        <v>0</v>
      </c>
      <c r="CH485">
        <v>-1.04</v>
      </c>
      <c r="CI485">
        <v>0</v>
      </c>
      <c r="CJ485">
        <v>-27.6</v>
      </c>
      <c r="CK485">
        <v>92</v>
      </c>
      <c r="CL485">
        <v>-1.18</v>
      </c>
      <c r="CM485">
        <v>90</v>
      </c>
      <c r="CN485">
        <v>0.03</v>
      </c>
      <c r="CO485">
        <v>89</v>
      </c>
      <c r="CP485">
        <v>-41.6</v>
      </c>
      <c r="CQ485">
        <v>82</v>
      </c>
      <c r="CR485">
        <v>0</v>
      </c>
      <c r="CS485">
        <v>0</v>
      </c>
      <c r="CT485">
        <v>-55.4</v>
      </c>
      <c r="CU485">
        <v>87</v>
      </c>
      <c r="CV485">
        <v>-0.05</v>
      </c>
      <c r="CW485">
        <v>44</v>
      </c>
      <c r="CX485" t="s">
        <v>5426</v>
      </c>
    </row>
    <row r="486" spans="1:102" x14ac:dyDescent="0.3">
      <c r="A486" t="str">
        <f>HYPERLINK("https://webapp.icbf.com/v2/app/bull-search/view/720496808","HJT")</f>
        <v>HJT</v>
      </c>
      <c r="B486" t="s">
        <v>5348</v>
      </c>
      <c r="C486" t="s">
        <v>5349</v>
      </c>
      <c r="D486" s="1">
        <v>39298</v>
      </c>
      <c r="E486" t="s">
        <v>227</v>
      </c>
      <c r="F486">
        <v>0</v>
      </c>
      <c r="G486" t="s">
        <v>93</v>
      </c>
      <c r="H486">
        <v>185.07</v>
      </c>
      <c r="I486">
        <v>96</v>
      </c>
      <c r="J486">
        <v>96.09</v>
      </c>
      <c r="K486">
        <v>99</v>
      </c>
      <c r="L486">
        <v>44.11</v>
      </c>
      <c r="M486">
        <v>93</v>
      </c>
      <c r="N486">
        <v>34.43</v>
      </c>
      <c r="O486">
        <v>97</v>
      </c>
      <c r="P486">
        <v>-39.79</v>
      </c>
      <c r="Q486">
        <v>98</v>
      </c>
      <c r="R486">
        <v>5.71</v>
      </c>
      <c r="S486">
        <v>92</v>
      </c>
      <c r="T486">
        <v>38.39</v>
      </c>
      <c r="U486">
        <v>99</v>
      </c>
      <c r="V486">
        <v>6.13</v>
      </c>
      <c r="W486">
        <v>84</v>
      </c>
      <c r="X486" t="s">
        <v>276</v>
      </c>
      <c r="Y486" t="s">
        <v>329</v>
      </c>
      <c r="Z486">
        <v>0</v>
      </c>
      <c r="AA486" t="s">
        <v>5350</v>
      </c>
      <c r="AB486" t="s">
        <v>5351</v>
      </c>
      <c r="AC486">
        <v>1020</v>
      </c>
      <c r="AD486">
        <v>237</v>
      </c>
      <c r="AE486">
        <v>99</v>
      </c>
      <c r="AF486">
        <v>-266.93</v>
      </c>
      <c r="AG486">
        <v>18.559999999999999</v>
      </c>
      <c r="AH486">
        <v>5.69</v>
      </c>
      <c r="AI486">
        <v>0.53</v>
      </c>
      <c r="AJ486">
        <v>0.27</v>
      </c>
      <c r="AK486">
        <v>93</v>
      </c>
      <c r="AL486">
        <v>1137</v>
      </c>
      <c r="AM486">
        <v>255</v>
      </c>
      <c r="AN486">
        <v>-1.48</v>
      </c>
      <c r="AO486">
        <v>2.0499999999999998</v>
      </c>
      <c r="AP486">
        <v>1664</v>
      </c>
      <c r="AQ486">
        <v>5</v>
      </c>
      <c r="AR486">
        <v>3.17</v>
      </c>
      <c r="AS486">
        <v>97</v>
      </c>
      <c r="AT486">
        <v>1.68</v>
      </c>
      <c r="AU486">
        <v>98</v>
      </c>
      <c r="AV486">
        <v>-2.29</v>
      </c>
      <c r="AW486">
        <v>99</v>
      </c>
      <c r="AX486">
        <v>0.68</v>
      </c>
      <c r="AY486">
        <v>97</v>
      </c>
      <c r="AZ486">
        <v>6.66</v>
      </c>
      <c r="BA486">
        <v>94</v>
      </c>
      <c r="BB486">
        <v>5.21</v>
      </c>
      <c r="BC486">
        <v>93</v>
      </c>
      <c r="BD486">
        <v>0.01</v>
      </c>
      <c r="BE486">
        <v>-0.02</v>
      </c>
      <c r="BF486">
        <v>-0.11</v>
      </c>
      <c r="BG486">
        <v>98</v>
      </c>
      <c r="BH486">
        <v>0.08</v>
      </c>
      <c r="BI486">
        <v>-10.51</v>
      </c>
      <c r="BJ486">
        <v>10</v>
      </c>
      <c r="BK486">
        <v>8</v>
      </c>
      <c r="BL486">
        <v>-3.97</v>
      </c>
      <c r="BM486">
        <v>-1</v>
      </c>
      <c r="BN486">
        <v>-0.5</v>
      </c>
      <c r="BO486">
        <v>0.22</v>
      </c>
      <c r="BP486">
        <v>-1.07</v>
      </c>
      <c r="BQ486">
        <v>-5.24</v>
      </c>
      <c r="BR486">
        <v>3.71</v>
      </c>
      <c r="BS486">
        <v>6.84</v>
      </c>
      <c r="BT486">
        <v>-2.6</v>
      </c>
      <c r="BU486">
        <v>-0.59</v>
      </c>
      <c r="BV486">
        <v>-0.55000000000000004</v>
      </c>
      <c r="BW486">
        <v>-2.66</v>
      </c>
      <c r="BX486">
        <v>-2.64</v>
      </c>
      <c r="BY486">
        <v>0.12</v>
      </c>
      <c r="BZ486">
        <v>0.16</v>
      </c>
      <c r="CA486">
        <v>1.05</v>
      </c>
      <c r="CB486">
        <v>-0.46</v>
      </c>
      <c r="CC486">
        <v>3.85</v>
      </c>
      <c r="CD486">
        <v>-1.42</v>
      </c>
      <c r="CE486">
        <v>0</v>
      </c>
      <c r="CF486">
        <v>-3.56</v>
      </c>
      <c r="CG486">
        <v>0</v>
      </c>
      <c r="CH486">
        <v>-2.04</v>
      </c>
      <c r="CI486">
        <v>0</v>
      </c>
      <c r="CJ486">
        <v>-18.7</v>
      </c>
      <c r="CK486">
        <v>99</v>
      </c>
      <c r="CL486">
        <v>-0.8</v>
      </c>
      <c r="CM486">
        <v>98</v>
      </c>
      <c r="CN486">
        <v>0.06</v>
      </c>
      <c r="CO486">
        <v>98</v>
      </c>
      <c r="CP486">
        <v>-33.5</v>
      </c>
      <c r="CQ486">
        <v>96</v>
      </c>
      <c r="CR486">
        <v>0</v>
      </c>
      <c r="CS486">
        <v>0</v>
      </c>
      <c r="CT486">
        <v>-38.1</v>
      </c>
      <c r="CU486">
        <v>99</v>
      </c>
      <c r="CV486">
        <v>-0.12</v>
      </c>
      <c r="CW486">
        <v>46</v>
      </c>
      <c r="CX486" t="s">
        <v>1928</v>
      </c>
    </row>
    <row r="487" spans="1:102" x14ac:dyDescent="0.3">
      <c r="A487" t="str">
        <f>HYPERLINK("https://webapp.icbf.com/v2/app/bull-search/view/760394196","S1521")</f>
        <v>S1521</v>
      </c>
      <c r="B487" t="s">
        <v>5971</v>
      </c>
      <c r="C487" t="s">
        <v>2208</v>
      </c>
      <c r="D487" s="1">
        <v>39422</v>
      </c>
      <c r="E487" t="s">
        <v>227</v>
      </c>
      <c r="F487">
        <v>0</v>
      </c>
      <c r="G487" t="s">
        <v>93</v>
      </c>
      <c r="H487">
        <v>184.75</v>
      </c>
      <c r="I487">
        <v>86</v>
      </c>
      <c r="J487">
        <v>73.2</v>
      </c>
      <c r="K487">
        <v>96</v>
      </c>
      <c r="L487">
        <v>57.43</v>
      </c>
      <c r="M487">
        <v>87</v>
      </c>
      <c r="N487">
        <v>26.73</v>
      </c>
      <c r="O487">
        <v>81</v>
      </c>
      <c r="P487">
        <v>-49.5</v>
      </c>
      <c r="Q487">
        <v>77</v>
      </c>
      <c r="R487">
        <v>8.4700000000000006</v>
      </c>
      <c r="S487">
        <v>75</v>
      </c>
      <c r="T487">
        <v>60.52</v>
      </c>
      <c r="U487">
        <v>65</v>
      </c>
      <c r="V487">
        <v>7.9</v>
      </c>
      <c r="W487">
        <v>71</v>
      </c>
      <c r="X487" t="s">
        <v>94</v>
      </c>
      <c r="Y487" t="s">
        <v>362</v>
      </c>
      <c r="Z487">
        <v>0</v>
      </c>
      <c r="AA487" t="s">
        <v>5972</v>
      </c>
      <c r="AB487" t="s">
        <v>144</v>
      </c>
      <c r="AC487">
        <v>61</v>
      </c>
      <c r="AD487">
        <v>21</v>
      </c>
      <c r="AE487">
        <v>96</v>
      </c>
      <c r="AF487">
        <v>-515.16999999999996</v>
      </c>
      <c r="AG487">
        <v>16.350000000000001</v>
      </c>
      <c r="AH487">
        <v>-1.22</v>
      </c>
      <c r="AI487">
        <v>0.7</v>
      </c>
      <c r="AJ487">
        <v>0.31</v>
      </c>
      <c r="AK487">
        <v>87</v>
      </c>
      <c r="AL487">
        <v>57</v>
      </c>
      <c r="AM487">
        <v>25</v>
      </c>
      <c r="AN487">
        <v>-2.34</v>
      </c>
      <c r="AO487">
        <v>2.25</v>
      </c>
      <c r="AP487">
        <v>101</v>
      </c>
      <c r="AQ487">
        <v>3</v>
      </c>
      <c r="AR487">
        <v>2.79</v>
      </c>
      <c r="AS487">
        <v>76</v>
      </c>
      <c r="AT487">
        <v>1.34</v>
      </c>
      <c r="AU487">
        <v>79</v>
      </c>
      <c r="AV487">
        <v>-3.23</v>
      </c>
      <c r="AW487">
        <v>94</v>
      </c>
      <c r="AX487">
        <v>6.46</v>
      </c>
      <c r="AY487">
        <v>76</v>
      </c>
      <c r="AZ487">
        <v>7.28</v>
      </c>
      <c r="BA487">
        <v>62</v>
      </c>
      <c r="BB487">
        <v>5.49</v>
      </c>
      <c r="BC487">
        <v>55</v>
      </c>
      <c r="BD487">
        <v>-7.0000000000000007E-2</v>
      </c>
      <c r="BE487">
        <v>-0.02</v>
      </c>
      <c r="BF487">
        <v>-0.04</v>
      </c>
      <c r="BG487">
        <v>85</v>
      </c>
      <c r="BH487">
        <v>0.14000000000000001</v>
      </c>
      <c r="BI487">
        <v>-9.2899999999999991</v>
      </c>
      <c r="BJ487">
        <v>2</v>
      </c>
      <c r="BK487">
        <v>2</v>
      </c>
      <c r="BL487">
        <v>-1.27</v>
      </c>
      <c r="BM487">
        <v>-2.2799999999999998</v>
      </c>
      <c r="BN487">
        <v>-0.55000000000000004</v>
      </c>
      <c r="BO487">
        <v>1.57</v>
      </c>
      <c r="BP487">
        <v>1.8</v>
      </c>
      <c r="BQ487">
        <v>-6.96</v>
      </c>
      <c r="BR487">
        <v>2.14</v>
      </c>
      <c r="BS487">
        <v>6.78</v>
      </c>
      <c r="BT487">
        <v>-0.73</v>
      </c>
      <c r="BU487">
        <v>0.68</v>
      </c>
      <c r="BV487">
        <v>0.7</v>
      </c>
      <c r="BW487">
        <v>-1.18</v>
      </c>
      <c r="BX487">
        <v>-1.78</v>
      </c>
      <c r="BY487">
        <v>0.01</v>
      </c>
      <c r="BZ487">
        <v>0.55000000000000004</v>
      </c>
      <c r="CA487">
        <v>1.95</v>
      </c>
      <c r="CB487">
        <v>0.62</v>
      </c>
      <c r="CC487">
        <v>3.7</v>
      </c>
      <c r="CD487">
        <v>-2.5099999999999998</v>
      </c>
      <c r="CE487">
        <v>1.4</v>
      </c>
      <c r="CF487">
        <v>-1.46</v>
      </c>
      <c r="CG487">
        <v>0</v>
      </c>
      <c r="CH487">
        <v>-0.48</v>
      </c>
      <c r="CI487">
        <v>0</v>
      </c>
      <c r="CJ487">
        <v>-26.3</v>
      </c>
      <c r="CK487">
        <v>80</v>
      </c>
      <c r="CL487">
        <v>-0.99</v>
      </c>
      <c r="CM487">
        <v>76</v>
      </c>
      <c r="CN487">
        <v>-0.33</v>
      </c>
      <c r="CO487">
        <v>74</v>
      </c>
      <c r="CP487">
        <v>-45.7</v>
      </c>
      <c r="CQ487">
        <v>68</v>
      </c>
      <c r="CR487">
        <v>0</v>
      </c>
      <c r="CS487">
        <v>0</v>
      </c>
      <c r="CT487">
        <v>-68</v>
      </c>
      <c r="CU487">
        <v>65</v>
      </c>
      <c r="CV487">
        <v>-0.3</v>
      </c>
      <c r="CW487">
        <v>41</v>
      </c>
      <c r="CX487" t="s">
        <v>2659</v>
      </c>
    </row>
    <row r="488" spans="1:102" x14ac:dyDescent="0.3">
      <c r="A488" t="str">
        <f>HYPERLINK("https://webapp.icbf.com/v2/app/bull-search/view/1017147713","EKK")</f>
        <v>EKK</v>
      </c>
      <c r="B488" t="s">
        <v>5775</v>
      </c>
      <c r="C488" t="s">
        <v>5776</v>
      </c>
      <c r="D488" s="1">
        <v>41206</v>
      </c>
      <c r="E488" t="s">
        <v>92</v>
      </c>
      <c r="F488">
        <v>100</v>
      </c>
      <c r="G488" t="s">
        <v>93</v>
      </c>
      <c r="H488">
        <v>184.7</v>
      </c>
      <c r="I488">
        <v>87</v>
      </c>
      <c r="J488">
        <v>96.17</v>
      </c>
      <c r="K488">
        <v>98</v>
      </c>
      <c r="L488">
        <v>66.75</v>
      </c>
      <c r="M488">
        <v>79</v>
      </c>
      <c r="N488">
        <v>21.71</v>
      </c>
      <c r="O488">
        <v>89</v>
      </c>
      <c r="P488">
        <v>-12.91</v>
      </c>
      <c r="Q488">
        <v>95</v>
      </c>
      <c r="R488">
        <v>16.510000000000002</v>
      </c>
      <c r="S488">
        <v>77</v>
      </c>
      <c r="T488">
        <v>-1.42</v>
      </c>
      <c r="U488">
        <v>83</v>
      </c>
      <c r="V488">
        <v>-2.11</v>
      </c>
      <c r="W488">
        <v>70</v>
      </c>
      <c r="X488" t="s">
        <v>94</v>
      </c>
      <c r="Y488" t="s">
        <v>389</v>
      </c>
      <c r="Z488" t="s">
        <v>96</v>
      </c>
      <c r="AA488" t="s">
        <v>1794</v>
      </c>
      <c r="AB488" t="s">
        <v>5777</v>
      </c>
      <c r="AC488">
        <v>242</v>
      </c>
      <c r="AD488">
        <v>101</v>
      </c>
      <c r="AE488">
        <v>98</v>
      </c>
      <c r="AF488">
        <v>287.76</v>
      </c>
      <c r="AG488">
        <v>14.7</v>
      </c>
      <c r="AH488">
        <v>15.56</v>
      </c>
      <c r="AI488">
        <v>0.06</v>
      </c>
      <c r="AJ488">
        <v>0.1</v>
      </c>
      <c r="AK488">
        <v>79</v>
      </c>
      <c r="AL488">
        <v>213</v>
      </c>
      <c r="AM488">
        <v>90</v>
      </c>
      <c r="AN488">
        <v>-3.09</v>
      </c>
      <c r="AO488">
        <v>2.2400000000000002</v>
      </c>
      <c r="AP488">
        <v>498</v>
      </c>
      <c r="AQ488">
        <v>3</v>
      </c>
      <c r="AR488">
        <v>6.76</v>
      </c>
      <c r="AS488">
        <v>81</v>
      </c>
      <c r="AT488">
        <v>3.23</v>
      </c>
      <c r="AU488">
        <v>93</v>
      </c>
      <c r="AV488">
        <v>-2.8</v>
      </c>
      <c r="AW488">
        <v>98</v>
      </c>
      <c r="AX488">
        <v>-0.17</v>
      </c>
      <c r="AY488">
        <v>91</v>
      </c>
      <c r="AZ488">
        <v>7.18</v>
      </c>
      <c r="BA488">
        <v>74</v>
      </c>
      <c r="BB488">
        <v>5.22</v>
      </c>
      <c r="BC488">
        <v>58</v>
      </c>
      <c r="BD488">
        <v>-0.04</v>
      </c>
      <c r="BE488">
        <v>-7.0000000000000007E-2</v>
      </c>
      <c r="BF488">
        <v>-0.18</v>
      </c>
      <c r="BG488">
        <v>91</v>
      </c>
      <c r="BH488">
        <v>0.1</v>
      </c>
      <c r="BI488">
        <v>18.38</v>
      </c>
      <c r="BJ488">
        <v>38</v>
      </c>
      <c r="BK488">
        <v>20</v>
      </c>
      <c r="BL488">
        <v>0.01</v>
      </c>
      <c r="BM488">
        <v>0.65</v>
      </c>
      <c r="BN488">
        <v>0.39</v>
      </c>
      <c r="BO488">
        <v>0.23</v>
      </c>
      <c r="BP488">
        <v>0.37</v>
      </c>
      <c r="BQ488">
        <v>-0.61</v>
      </c>
      <c r="BR488">
        <v>-2.8</v>
      </c>
      <c r="BS488">
        <v>3.08</v>
      </c>
      <c r="BT488">
        <v>3.26</v>
      </c>
      <c r="BU488">
        <v>1.67</v>
      </c>
      <c r="BV488">
        <v>1.24</v>
      </c>
      <c r="BW488">
        <v>1.21</v>
      </c>
      <c r="BX488">
        <v>0.69</v>
      </c>
      <c r="BY488">
        <v>1.85</v>
      </c>
      <c r="BZ488">
        <v>0.92</v>
      </c>
      <c r="CA488">
        <v>1.78</v>
      </c>
      <c r="CB488">
        <v>1.23</v>
      </c>
      <c r="CC488">
        <v>2.76</v>
      </c>
      <c r="CD488">
        <v>0.31</v>
      </c>
      <c r="CE488">
        <v>0.5</v>
      </c>
      <c r="CF488">
        <v>0.59</v>
      </c>
      <c r="CG488">
        <v>0</v>
      </c>
      <c r="CH488">
        <v>1.97</v>
      </c>
      <c r="CI488">
        <v>0</v>
      </c>
      <c r="CJ488">
        <v>-5.7</v>
      </c>
      <c r="CK488">
        <v>97</v>
      </c>
      <c r="CL488">
        <v>-0.97</v>
      </c>
      <c r="CM488">
        <v>96</v>
      </c>
      <c r="CN488">
        <v>-0.4</v>
      </c>
      <c r="CO488">
        <v>95</v>
      </c>
      <c r="CP488">
        <v>1.9</v>
      </c>
      <c r="CQ488">
        <v>82</v>
      </c>
      <c r="CR488">
        <v>0</v>
      </c>
      <c r="CS488">
        <v>0</v>
      </c>
      <c r="CT488">
        <v>15.7</v>
      </c>
      <c r="CU488">
        <v>83</v>
      </c>
      <c r="CV488">
        <v>0.08</v>
      </c>
      <c r="CW488">
        <v>45</v>
      </c>
      <c r="CX488" t="s">
        <v>350</v>
      </c>
    </row>
    <row r="489" spans="1:102" x14ac:dyDescent="0.3">
      <c r="A489" t="str">
        <f>HYPERLINK("https://webapp.icbf.com/v2/app/bull-search/view/1361575598","FR4692")</f>
        <v>FR4692</v>
      </c>
      <c r="B489" t="s">
        <v>9570</v>
      </c>
      <c r="C489" t="s">
        <v>9571</v>
      </c>
      <c r="D489" s="1">
        <v>42275</v>
      </c>
      <c r="E489" t="s">
        <v>92</v>
      </c>
      <c r="F489">
        <v>100</v>
      </c>
      <c r="G489" t="s">
        <v>109</v>
      </c>
      <c r="H489">
        <v>184.55</v>
      </c>
      <c r="I489">
        <v>70</v>
      </c>
      <c r="J489">
        <v>106.86</v>
      </c>
      <c r="K489">
        <v>90</v>
      </c>
      <c r="L489">
        <v>31.67</v>
      </c>
      <c r="M489">
        <v>69</v>
      </c>
      <c r="N489">
        <v>38.83</v>
      </c>
      <c r="O489">
        <v>73</v>
      </c>
      <c r="P489">
        <v>-6.49</v>
      </c>
      <c r="Q489">
        <v>36</v>
      </c>
      <c r="R489">
        <v>5.96</v>
      </c>
      <c r="S489">
        <v>65</v>
      </c>
      <c r="T489">
        <v>4.8</v>
      </c>
      <c r="U489">
        <v>34</v>
      </c>
      <c r="V489">
        <v>2.92</v>
      </c>
      <c r="W489">
        <v>52</v>
      </c>
      <c r="X489" t="s">
        <v>428</v>
      </c>
      <c r="Y489" t="s">
        <v>442</v>
      </c>
      <c r="Z489" t="s">
        <v>96</v>
      </c>
      <c r="AA489" t="s">
        <v>2721</v>
      </c>
      <c r="AB489" t="s">
        <v>8422</v>
      </c>
      <c r="AC489">
        <v>0</v>
      </c>
      <c r="AD489">
        <v>0</v>
      </c>
      <c r="AE489">
        <v>90</v>
      </c>
      <c r="AF489">
        <v>573.79</v>
      </c>
      <c r="AG489">
        <v>21.53</v>
      </c>
      <c r="AH489">
        <v>19.34</v>
      </c>
      <c r="AI489">
        <v>-0.02</v>
      </c>
      <c r="AJ489">
        <v>0</v>
      </c>
      <c r="AK489">
        <v>69</v>
      </c>
      <c r="AL489">
        <v>0</v>
      </c>
      <c r="AM489">
        <v>0</v>
      </c>
      <c r="AN489">
        <v>-0.62</v>
      </c>
      <c r="AO489">
        <v>1.92</v>
      </c>
      <c r="AP489">
        <v>56</v>
      </c>
      <c r="AQ489">
        <v>0</v>
      </c>
      <c r="AR489">
        <v>8.41</v>
      </c>
      <c r="AS489">
        <v>52</v>
      </c>
      <c r="AT489">
        <v>3.27</v>
      </c>
      <c r="AU489">
        <v>88</v>
      </c>
      <c r="AV489">
        <v>-4.97</v>
      </c>
      <c r="AW489">
        <v>86</v>
      </c>
      <c r="AX489">
        <v>-0.16</v>
      </c>
      <c r="AY489">
        <v>63</v>
      </c>
      <c r="AZ489">
        <v>5.48</v>
      </c>
      <c r="BA489">
        <v>35</v>
      </c>
      <c r="BB489">
        <v>4.78</v>
      </c>
      <c r="BC489">
        <v>33</v>
      </c>
      <c r="BD489">
        <v>0</v>
      </c>
      <c r="BE489">
        <v>-0.03</v>
      </c>
      <c r="BF489">
        <v>-0.08</v>
      </c>
      <c r="BG489">
        <v>81</v>
      </c>
      <c r="BH489">
        <v>-0.04</v>
      </c>
      <c r="BI489">
        <v>-14.05</v>
      </c>
      <c r="BJ489">
        <v>0</v>
      </c>
      <c r="BK489">
        <v>0</v>
      </c>
      <c r="BL489">
        <v>1.75</v>
      </c>
      <c r="BM489">
        <v>0.77</v>
      </c>
      <c r="BN489">
        <v>1.1100000000000001</v>
      </c>
      <c r="BO489">
        <v>1.17</v>
      </c>
      <c r="BP489">
        <v>1.3</v>
      </c>
      <c r="BQ489">
        <v>3.86</v>
      </c>
      <c r="BR489">
        <v>1.54</v>
      </c>
      <c r="BS489">
        <v>2.2200000000000002</v>
      </c>
      <c r="BT489">
        <v>0.11</v>
      </c>
      <c r="BU489">
        <v>2.71</v>
      </c>
      <c r="BV489">
        <v>2.93</v>
      </c>
      <c r="BW489">
        <v>2.37</v>
      </c>
      <c r="BX489">
        <v>2.42</v>
      </c>
      <c r="BY489">
        <v>2.17</v>
      </c>
      <c r="BZ489">
        <v>-2.29</v>
      </c>
      <c r="CA489">
        <v>2.99</v>
      </c>
      <c r="CB489">
        <v>2.93</v>
      </c>
      <c r="CC489">
        <v>1.78</v>
      </c>
      <c r="CD489">
        <v>-0.51</v>
      </c>
      <c r="CE489">
        <v>0.89</v>
      </c>
      <c r="CF489">
        <v>0.94</v>
      </c>
      <c r="CG489">
        <v>0</v>
      </c>
      <c r="CH489">
        <v>2.57</v>
      </c>
      <c r="CI489">
        <v>0</v>
      </c>
      <c r="CJ489">
        <v>-1.8</v>
      </c>
      <c r="CK489">
        <v>36</v>
      </c>
      <c r="CL489">
        <v>-1.42</v>
      </c>
      <c r="CM489">
        <v>36</v>
      </c>
      <c r="CN489">
        <v>-0.89</v>
      </c>
      <c r="CO489">
        <v>36</v>
      </c>
      <c r="CP489">
        <v>1.5</v>
      </c>
      <c r="CQ489">
        <v>35</v>
      </c>
      <c r="CR489">
        <v>0</v>
      </c>
      <c r="CS489">
        <v>0</v>
      </c>
      <c r="CT489">
        <v>7.3</v>
      </c>
      <c r="CU489">
        <v>34</v>
      </c>
      <c r="CV489">
        <v>0.22</v>
      </c>
      <c r="CW489">
        <v>32</v>
      </c>
      <c r="CX489" t="s">
        <v>465</v>
      </c>
    </row>
    <row r="490" spans="1:102" x14ac:dyDescent="0.3">
      <c r="A490" t="str">
        <f>HYPERLINK("https://webapp.icbf.com/v2/app/bull-search/view/146113741","BGZ")</f>
        <v>BGZ</v>
      </c>
      <c r="B490" t="s">
        <v>4087</v>
      </c>
      <c r="C490" t="s">
        <v>4088</v>
      </c>
      <c r="D490" s="1">
        <v>36023</v>
      </c>
      <c r="E490" t="s">
        <v>108</v>
      </c>
      <c r="F490">
        <v>31</v>
      </c>
      <c r="G490" t="s">
        <v>93</v>
      </c>
      <c r="H490">
        <v>184.52</v>
      </c>
      <c r="I490">
        <v>98</v>
      </c>
      <c r="J490">
        <v>45.81</v>
      </c>
      <c r="K490">
        <v>99</v>
      </c>
      <c r="L490">
        <v>75.95</v>
      </c>
      <c r="M490">
        <v>95</v>
      </c>
      <c r="N490">
        <v>30.91</v>
      </c>
      <c r="O490">
        <v>99</v>
      </c>
      <c r="P490">
        <v>-13.98</v>
      </c>
      <c r="Q490">
        <v>99</v>
      </c>
      <c r="R490">
        <v>11.52</v>
      </c>
      <c r="S490">
        <v>98</v>
      </c>
      <c r="T490">
        <v>24.04</v>
      </c>
      <c r="U490">
        <v>99</v>
      </c>
      <c r="V490">
        <v>10.27</v>
      </c>
      <c r="W490">
        <v>99</v>
      </c>
      <c r="X490" t="s">
        <v>94</v>
      </c>
      <c r="Y490" t="s">
        <v>95</v>
      </c>
      <c r="Z490" t="s">
        <v>330</v>
      </c>
      <c r="AA490" t="s">
        <v>2740</v>
      </c>
      <c r="AB490" t="s">
        <v>4089</v>
      </c>
      <c r="AC490">
        <v>1424</v>
      </c>
      <c r="AD490">
        <v>506</v>
      </c>
      <c r="AE490">
        <v>99</v>
      </c>
      <c r="AF490">
        <v>226.54</v>
      </c>
      <c r="AG490">
        <v>6.95</v>
      </c>
      <c r="AH490">
        <v>8.8000000000000007</v>
      </c>
      <c r="AI490">
        <v>-0.03</v>
      </c>
      <c r="AJ490">
        <v>0.02</v>
      </c>
      <c r="AK490">
        <v>95</v>
      </c>
      <c r="AL490">
        <v>1553</v>
      </c>
      <c r="AM490">
        <v>552</v>
      </c>
      <c r="AN490">
        <v>-3.15</v>
      </c>
      <c r="AO490">
        <v>2.92</v>
      </c>
      <c r="AP490">
        <v>2493</v>
      </c>
      <c r="AQ490">
        <v>16</v>
      </c>
      <c r="AR490">
        <v>6.02</v>
      </c>
      <c r="AS490">
        <v>97</v>
      </c>
      <c r="AT490">
        <v>2.2999999999999998</v>
      </c>
      <c r="AU490">
        <v>99</v>
      </c>
      <c r="AV490">
        <v>-2.76</v>
      </c>
      <c r="AW490">
        <v>99</v>
      </c>
      <c r="AX490">
        <v>-0.09</v>
      </c>
      <c r="AY490">
        <v>98</v>
      </c>
      <c r="AZ490">
        <v>7.05</v>
      </c>
      <c r="BA490">
        <v>96</v>
      </c>
      <c r="BB490">
        <v>5.12</v>
      </c>
      <c r="BC490">
        <v>97</v>
      </c>
      <c r="BD490">
        <v>-0.09</v>
      </c>
      <c r="BE490">
        <v>-0.05</v>
      </c>
      <c r="BF490">
        <v>-0.02</v>
      </c>
      <c r="BG490">
        <v>99</v>
      </c>
      <c r="BH490">
        <v>0.3</v>
      </c>
      <c r="BI490">
        <v>1.56</v>
      </c>
      <c r="BJ490">
        <v>64</v>
      </c>
      <c r="BK490">
        <v>37</v>
      </c>
      <c r="BL490">
        <v>-2.7</v>
      </c>
      <c r="BM490">
        <v>-0.23</v>
      </c>
      <c r="BN490">
        <v>-1.95</v>
      </c>
      <c r="BO490">
        <v>-1.51</v>
      </c>
      <c r="BP490">
        <v>-0.45</v>
      </c>
      <c r="BQ490">
        <v>-3.7</v>
      </c>
      <c r="BR490">
        <v>-0.02</v>
      </c>
      <c r="BS490">
        <v>-1.32</v>
      </c>
      <c r="BT490">
        <v>-0.89</v>
      </c>
      <c r="BU490">
        <v>-0.84</v>
      </c>
      <c r="BV490">
        <v>-1.31</v>
      </c>
      <c r="BW490">
        <v>-2.46</v>
      </c>
      <c r="BX490">
        <v>-2.7</v>
      </c>
      <c r="BY490">
        <v>-2.33</v>
      </c>
      <c r="BZ490">
        <v>2.68</v>
      </c>
      <c r="CA490">
        <v>-1.57</v>
      </c>
      <c r="CB490">
        <v>-1.79</v>
      </c>
      <c r="CC490">
        <v>-0.39</v>
      </c>
      <c r="CD490">
        <v>0.46</v>
      </c>
      <c r="CE490">
        <v>-1.25</v>
      </c>
      <c r="CF490">
        <v>-3.64</v>
      </c>
      <c r="CG490">
        <v>0</v>
      </c>
      <c r="CH490">
        <v>-2.48</v>
      </c>
      <c r="CI490">
        <v>0</v>
      </c>
      <c r="CJ490">
        <v>-7.7</v>
      </c>
      <c r="CK490">
        <v>99</v>
      </c>
      <c r="CL490">
        <v>-0.47</v>
      </c>
      <c r="CM490">
        <v>99</v>
      </c>
      <c r="CN490">
        <v>-0.38</v>
      </c>
      <c r="CO490">
        <v>99</v>
      </c>
      <c r="CP490">
        <v>-19.7</v>
      </c>
      <c r="CQ490">
        <v>99</v>
      </c>
      <c r="CR490">
        <v>0</v>
      </c>
      <c r="CS490">
        <v>0</v>
      </c>
      <c r="CT490">
        <v>-18.7</v>
      </c>
      <c r="CU490">
        <v>99</v>
      </c>
      <c r="CV490">
        <v>0.04</v>
      </c>
      <c r="CW490">
        <v>46</v>
      </c>
      <c r="CX490" t="s">
        <v>2844</v>
      </c>
    </row>
    <row r="491" spans="1:102" x14ac:dyDescent="0.3">
      <c r="A491" t="str">
        <f>HYPERLINK("https://webapp.icbf.com/v2/app/bull-search/view/1441568662","FR4379")</f>
        <v>FR4379</v>
      </c>
      <c r="B491" t="s">
        <v>8384</v>
      </c>
      <c r="C491" t="s">
        <v>8385</v>
      </c>
      <c r="D491" s="1">
        <v>42651</v>
      </c>
      <c r="E491" t="s">
        <v>92</v>
      </c>
      <c r="F491">
        <v>94</v>
      </c>
      <c r="G491" t="s">
        <v>435</v>
      </c>
      <c r="H491">
        <v>184.5</v>
      </c>
      <c r="I491">
        <v>73</v>
      </c>
      <c r="J491">
        <v>52.35</v>
      </c>
      <c r="K491">
        <v>90</v>
      </c>
      <c r="L491">
        <v>98.58</v>
      </c>
      <c r="M491">
        <v>67</v>
      </c>
      <c r="N491">
        <v>34.44</v>
      </c>
      <c r="O491">
        <v>87</v>
      </c>
      <c r="P491">
        <v>-8.7799999999999994</v>
      </c>
      <c r="Q491">
        <v>52</v>
      </c>
      <c r="R491">
        <v>4.3099999999999996</v>
      </c>
      <c r="S491">
        <v>65</v>
      </c>
      <c r="T491">
        <v>-3.34</v>
      </c>
      <c r="U491">
        <v>41</v>
      </c>
      <c r="V491">
        <v>6.94</v>
      </c>
      <c r="W491">
        <v>58</v>
      </c>
      <c r="X491" t="s">
        <v>94</v>
      </c>
      <c r="Y491" t="s">
        <v>2255</v>
      </c>
      <c r="Z491" t="s">
        <v>96</v>
      </c>
      <c r="AA491" t="s">
        <v>7971</v>
      </c>
      <c r="AB491" t="s">
        <v>8386</v>
      </c>
      <c r="AC491">
        <v>0</v>
      </c>
      <c r="AD491">
        <v>0</v>
      </c>
      <c r="AE491">
        <v>90</v>
      </c>
      <c r="AF491">
        <v>153.44</v>
      </c>
      <c r="AG491">
        <v>9.6999999999999993</v>
      </c>
      <c r="AH491">
        <v>7.82</v>
      </c>
      <c r="AI491">
        <v>0.06</v>
      </c>
      <c r="AJ491">
        <v>0.05</v>
      </c>
      <c r="AK491">
        <v>67</v>
      </c>
      <c r="AL491">
        <v>0</v>
      </c>
      <c r="AM491">
        <v>0</v>
      </c>
      <c r="AN491">
        <v>-5.47</v>
      </c>
      <c r="AO491">
        <v>2.39</v>
      </c>
      <c r="AP491">
        <v>1875</v>
      </c>
      <c r="AQ491">
        <v>1</v>
      </c>
      <c r="AR491">
        <v>5.16</v>
      </c>
      <c r="AS491">
        <v>79</v>
      </c>
      <c r="AT491">
        <v>2.2799999999999998</v>
      </c>
      <c r="AU491">
        <v>98</v>
      </c>
      <c r="AV491">
        <v>-3.19</v>
      </c>
      <c r="AW491">
        <v>99</v>
      </c>
      <c r="AX491">
        <v>-0.41</v>
      </c>
      <c r="AY491">
        <v>97</v>
      </c>
      <c r="AZ491">
        <v>6.88</v>
      </c>
      <c r="BA491">
        <v>44</v>
      </c>
      <c r="BB491">
        <v>5.67</v>
      </c>
      <c r="BC491">
        <v>38</v>
      </c>
      <c r="BD491">
        <v>-0.03</v>
      </c>
      <c r="BE491">
        <v>-0.01</v>
      </c>
      <c r="BF491">
        <v>-0.03</v>
      </c>
      <c r="BG491">
        <v>76</v>
      </c>
      <c r="BH491">
        <v>0.1</v>
      </c>
      <c r="BI491">
        <v>-10.82</v>
      </c>
      <c r="BJ491">
        <v>0</v>
      </c>
      <c r="BK491">
        <v>0</v>
      </c>
      <c r="BL491">
        <v>1.23</v>
      </c>
      <c r="BM491">
        <v>-1.27</v>
      </c>
      <c r="BN491">
        <v>0.22</v>
      </c>
      <c r="BO491">
        <v>0.76</v>
      </c>
      <c r="BP491">
        <v>-0.86</v>
      </c>
      <c r="BQ491">
        <v>-0.44</v>
      </c>
      <c r="BR491">
        <v>0.25</v>
      </c>
      <c r="BS491">
        <v>0.43</v>
      </c>
      <c r="BT491">
        <v>-0.52</v>
      </c>
      <c r="BU491">
        <v>2.23</v>
      </c>
      <c r="BV491">
        <v>2.81</v>
      </c>
      <c r="BW491">
        <v>1.02</v>
      </c>
      <c r="BX491">
        <v>1.45</v>
      </c>
      <c r="BY491">
        <v>0.6</v>
      </c>
      <c r="BZ491">
        <v>-0.03</v>
      </c>
      <c r="CA491">
        <v>1.5</v>
      </c>
      <c r="CB491">
        <v>1.62</v>
      </c>
      <c r="CC491">
        <v>0.51</v>
      </c>
      <c r="CD491">
        <v>-0.82</v>
      </c>
      <c r="CE491">
        <v>0.68</v>
      </c>
      <c r="CF491">
        <v>0.52</v>
      </c>
      <c r="CG491">
        <v>0</v>
      </c>
      <c r="CH491">
        <v>-0.02</v>
      </c>
      <c r="CI491">
        <v>0</v>
      </c>
      <c r="CJ491">
        <v>-2.6</v>
      </c>
      <c r="CK491">
        <v>56</v>
      </c>
      <c r="CL491">
        <v>-1.1000000000000001</v>
      </c>
      <c r="CM491">
        <v>48</v>
      </c>
      <c r="CN491">
        <v>-0.54</v>
      </c>
      <c r="CO491">
        <v>45</v>
      </c>
      <c r="CP491">
        <v>-1.1000000000000001</v>
      </c>
      <c r="CQ491">
        <v>43</v>
      </c>
      <c r="CR491">
        <v>0</v>
      </c>
      <c r="CS491">
        <v>0</v>
      </c>
      <c r="CT491">
        <v>18.3</v>
      </c>
      <c r="CU491">
        <v>41</v>
      </c>
      <c r="CV491">
        <v>0.25</v>
      </c>
      <c r="CW491">
        <v>35</v>
      </c>
      <c r="CX491" t="s">
        <v>2711</v>
      </c>
    </row>
    <row r="492" spans="1:102" x14ac:dyDescent="0.3">
      <c r="A492" t="str">
        <f>HYPERLINK("https://webapp.icbf.com/v2/app/bull-search/view/1051185061","BJC")</f>
        <v>BJC</v>
      </c>
      <c r="B492" t="s">
        <v>14526</v>
      </c>
      <c r="C492" t="s">
        <v>14527</v>
      </c>
      <c r="D492" s="1">
        <v>41338</v>
      </c>
      <c r="E492" t="s">
        <v>92</v>
      </c>
      <c r="F492">
        <v>59</v>
      </c>
      <c r="G492" t="s">
        <v>93</v>
      </c>
      <c r="H492">
        <v>184.32</v>
      </c>
      <c r="I492">
        <v>89</v>
      </c>
      <c r="J492">
        <v>86.9</v>
      </c>
      <c r="K492">
        <v>98</v>
      </c>
      <c r="L492">
        <v>45.73</v>
      </c>
      <c r="M492">
        <v>80</v>
      </c>
      <c r="N492">
        <v>55.99</v>
      </c>
      <c r="O492">
        <v>93</v>
      </c>
      <c r="P492">
        <v>-18.04</v>
      </c>
      <c r="Q492">
        <v>97</v>
      </c>
      <c r="R492">
        <v>-3.97</v>
      </c>
      <c r="S492">
        <v>81</v>
      </c>
      <c r="T492">
        <v>18.34</v>
      </c>
      <c r="U492">
        <v>87</v>
      </c>
      <c r="V492">
        <v>-0.63</v>
      </c>
      <c r="W492">
        <v>75</v>
      </c>
      <c r="X492" t="s">
        <v>94</v>
      </c>
      <c r="Y492" t="s">
        <v>389</v>
      </c>
      <c r="Z492" t="s">
        <v>330</v>
      </c>
      <c r="AA492" t="s">
        <v>12941</v>
      </c>
      <c r="AB492" t="s">
        <v>14528</v>
      </c>
      <c r="AC492">
        <v>321</v>
      </c>
      <c r="AD492">
        <v>122</v>
      </c>
      <c r="AE492">
        <v>98</v>
      </c>
      <c r="AF492">
        <v>80.900000000000006</v>
      </c>
      <c r="AG492">
        <v>10.68</v>
      </c>
      <c r="AH492">
        <v>12.24</v>
      </c>
      <c r="AI492">
        <v>0.13</v>
      </c>
      <c r="AJ492">
        <v>0.16</v>
      </c>
      <c r="AK492">
        <v>80</v>
      </c>
      <c r="AL492">
        <v>190</v>
      </c>
      <c r="AM492">
        <v>90</v>
      </c>
      <c r="AN492">
        <v>-2.25</v>
      </c>
      <c r="AO492">
        <v>1.4</v>
      </c>
      <c r="AP492">
        <v>2706</v>
      </c>
      <c r="AQ492">
        <v>7</v>
      </c>
      <c r="AR492">
        <v>5.77</v>
      </c>
      <c r="AS492">
        <v>97</v>
      </c>
      <c r="AT492">
        <v>2.0299999999999998</v>
      </c>
      <c r="AU492">
        <v>98</v>
      </c>
      <c r="AV492">
        <v>-5.05</v>
      </c>
      <c r="AW492">
        <v>99</v>
      </c>
      <c r="AX492">
        <v>-0.47</v>
      </c>
      <c r="AY492">
        <v>97</v>
      </c>
      <c r="AZ492">
        <v>5.4</v>
      </c>
      <c r="BA492">
        <v>83</v>
      </c>
      <c r="BB492">
        <v>4.8899999999999997</v>
      </c>
      <c r="BC492">
        <v>61</v>
      </c>
      <c r="BD492">
        <v>-0.01</v>
      </c>
      <c r="BE492">
        <v>0.02</v>
      </c>
      <c r="BF492">
        <v>7.0000000000000007E-2</v>
      </c>
      <c r="BG492">
        <v>93</v>
      </c>
      <c r="BH492">
        <v>0.08</v>
      </c>
      <c r="BI492">
        <v>11.3</v>
      </c>
      <c r="BJ492">
        <v>21</v>
      </c>
      <c r="BK492">
        <v>1</v>
      </c>
      <c r="BL492">
        <v>-2.36</v>
      </c>
      <c r="BM492">
        <v>-0.55000000000000004</v>
      </c>
      <c r="BN492">
        <v>-2.3199999999999998</v>
      </c>
      <c r="BO492">
        <v>-1.55</v>
      </c>
      <c r="BP492">
        <v>0.77</v>
      </c>
      <c r="BQ492">
        <v>-2.41</v>
      </c>
      <c r="BR492">
        <v>0.95</v>
      </c>
      <c r="BS492">
        <v>-1.76</v>
      </c>
      <c r="BT492">
        <v>-1.45</v>
      </c>
      <c r="BU492">
        <v>-1.57</v>
      </c>
      <c r="BV492">
        <v>-1.43</v>
      </c>
      <c r="BW492">
        <v>-1.61</v>
      </c>
      <c r="BX492">
        <v>-0.55000000000000004</v>
      </c>
      <c r="BY492">
        <v>0.97</v>
      </c>
      <c r="BZ492">
        <v>-1.02</v>
      </c>
      <c r="CA492">
        <v>-2.16</v>
      </c>
      <c r="CB492">
        <v>-2.13</v>
      </c>
      <c r="CC492">
        <v>-1.85</v>
      </c>
      <c r="CD492">
        <v>-0.27</v>
      </c>
      <c r="CE492">
        <v>-1.88</v>
      </c>
      <c r="CF492">
        <v>-3.93</v>
      </c>
      <c r="CG492">
        <v>0</v>
      </c>
      <c r="CH492">
        <v>-1.63</v>
      </c>
      <c r="CI492">
        <v>0</v>
      </c>
      <c r="CJ492">
        <v>-9.4</v>
      </c>
      <c r="CK492">
        <v>98</v>
      </c>
      <c r="CL492">
        <v>-0.4</v>
      </c>
      <c r="CM492">
        <v>98</v>
      </c>
      <c r="CN492">
        <v>-7.0000000000000007E-2</v>
      </c>
      <c r="CO492">
        <v>97</v>
      </c>
      <c r="CP492">
        <v>-11.7</v>
      </c>
      <c r="CQ492">
        <v>84</v>
      </c>
      <c r="CR492">
        <v>0</v>
      </c>
      <c r="CS492">
        <v>0</v>
      </c>
      <c r="CT492">
        <v>-11</v>
      </c>
      <c r="CU492">
        <v>87</v>
      </c>
      <c r="CV492">
        <v>0.05</v>
      </c>
      <c r="CW492">
        <v>46</v>
      </c>
      <c r="CX492" t="s">
        <v>792</v>
      </c>
    </row>
    <row r="493" spans="1:102" x14ac:dyDescent="0.3">
      <c r="A493" t="str">
        <f>HYPERLINK("https://webapp.icbf.com/v2/app/bull-search/view/1337278138","NR4171")</f>
        <v>NR4171</v>
      </c>
      <c r="B493" t="s">
        <v>10292</v>
      </c>
      <c r="C493" t="s">
        <v>7208</v>
      </c>
      <c r="D493" s="1">
        <v>41304</v>
      </c>
      <c r="E493" t="s">
        <v>395</v>
      </c>
      <c r="F493">
        <v>0</v>
      </c>
      <c r="G493" t="s">
        <v>109</v>
      </c>
      <c r="H493">
        <v>184.31</v>
      </c>
      <c r="I493">
        <v>73</v>
      </c>
      <c r="J493">
        <v>34.26</v>
      </c>
      <c r="K493">
        <v>82</v>
      </c>
      <c r="L493">
        <v>118.05</v>
      </c>
      <c r="M493">
        <v>75</v>
      </c>
      <c r="N493">
        <v>20.64</v>
      </c>
      <c r="O493">
        <v>81</v>
      </c>
      <c r="P493">
        <v>-12.22</v>
      </c>
      <c r="Q493">
        <v>65</v>
      </c>
      <c r="R493">
        <v>8.0500000000000007</v>
      </c>
      <c r="S493">
        <v>49</v>
      </c>
      <c r="T493">
        <v>21.82</v>
      </c>
      <c r="U493">
        <v>44</v>
      </c>
      <c r="V493">
        <v>-6.29</v>
      </c>
      <c r="W493">
        <v>48</v>
      </c>
      <c r="X493" t="s">
        <v>102</v>
      </c>
      <c r="Y493" t="s">
        <v>2261</v>
      </c>
      <c r="Z493">
        <v>0</v>
      </c>
      <c r="AA493" t="s">
        <v>1854</v>
      </c>
      <c r="AB493" t="s">
        <v>144</v>
      </c>
      <c r="AC493">
        <v>0</v>
      </c>
      <c r="AD493">
        <v>0</v>
      </c>
      <c r="AE493">
        <v>82</v>
      </c>
      <c r="AF493">
        <v>37.25</v>
      </c>
      <c r="AG493">
        <v>3.47</v>
      </c>
      <c r="AH493">
        <v>5.17</v>
      </c>
      <c r="AI493">
        <v>0.03</v>
      </c>
      <c r="AJ493">
        <v>7.0000000000000007E-2</v>
      </c>
      <c r="AK493">
        <v>75</v>
      </c>
      <c r="AL493">
        <v>0</v>
      </c>
      <c r="AM493">
        <v>0</v>
      </c>
      <c r="AN493">
        <v>-6</v>
      </c>
      <c r="AO493">
        <v>3.42</v>
      </c>
      <c r="AP493">
        <v>428</v>
      </c>
      <c r="AQ493">
        <v>1</v>
      </c>
      <c r="AR493">
        <v>5.93</v>
      </c>
      <c r="AS493">
        <v>51</v>
      </c>
      <c r="AT493">
        <v>2.85</v>
      </c>
      <c r="AU493">
        <v>94</v>
      </c>
      <c r="AV493">
        <v>-1.57</v>
      </c>
      <c r="AW493">
        <v>98</v>
      </c>
      <c r="AX493">
        <v>-0.31</v>
      </c>
      <c r="AY493">
        <v>85</v>
      </c>
      <c r="AZ493">
        <v>6.14</v>
      </c>
      <c r="BA493">
        <v>33</v>
      </c>
      <c r="BB493">
        <v>4.8899999999999997</v>
      </c>
      <c r="BC493">
        <v>32</v>
      </c>
      <c r="BD493">
        <v>-0.06</v>
      </c>
      <c r="BE493">
        <v>-0.05</v>
      </c>
      <c r="BF493">
        <v>0.01</v>
      </c>
      <c r="BG493">
        <v>54</v>
      </c>
      <c r="BH493">
        <v>-0.16</v>
      </c>
      <c r="BI493">
        <v>1.78</v>
      </c>
      <c r="BJ493">
        <v>0</v>
      </c>
      <c r="BK493">
        <v>0</v>
      </c>
      <c r="BL493">
        <v>-1.93</v>
      </c>
      <c r="BM493">
        <v>7.0000000000000007E-2</v>
      </c>
      <c r="BN493">
        <v>-2.11</v>
      </c>
      <c r="BO493">
        <v>-1.66</v>
      </c>
      <c r="BP493">
        <v>2.0099999999999998</v>
      </c>
      <c r="BQ493">
        <v>-1.83</v>
      </c>
      <c r="BR493">
        <v>0.92</v>
      </c>
      <c r="BS493">
        <v>0.56000000000000005</v>
      </c>
      <c r="BT493">
        <v>-0.52</v>
      </c>
      <c r="BU493">
        <v>-1.65</v>
      </c>
      <c r="BV493">
        <v>-2.89</v>
      </c>
      <c r="BW493">
        <v>-2.14</v>
      </c>
      <c r="BX493">
        <v>-1.56</v>
      </c>
      <c r="BY493">
        <v>-1.41</v>
      </c>
      <c r="BZ493">
        <v>-2.1</v>
      </c>
      <c r="CA493">
        <v>-1.78</v>
      </c>
      <c r="CB493">
        <v>-2.15</v>
      </c>
      <c r="CC493">
        <v>-0.45</v>
      </c>
      <c r="CD493">
        <v>0.93</v>
      </c>
      <c r="CE493">
        <v>-1.59</v>
      </c>
      <c r="CF493">
        <v>-2.27</v>
      </c>
      <c r="CG493">
        <v>0</v>
      </c>
      <c r="CH493">
        <v>-1.48</v>
      </c>
      <c r="CI493">
        <v>0</v>
      </c>
      <c r="CJ493">
        <v>-6.2</v>
      </c>
      <c r="CK493">
        <v>69</v>
      </c>
      <c r="CL493">
        <v>-0.43</v>
      </c>
      <c r="CM493">
        <v>62</v>
      </c>
      <c r="CN493">
        <v>-0.32</v>
      </c>
      <c r="CO493">
        <v>60</v>
      </c>
      <c r="CP493">
        <v>-19.8</v>
      </c>
      <c r="CQ493">
        <v>48</v>
      </c>
      <c r="CR493">
        <v>0</v>
      </c>
      <c r="CS493">
        <v>0</v>
      </c>
      <c r="CT493">
        <v>-15.7</v>
      </c>
      <c r="CU493">
        <v>44</v>
      </c>
      <c r="CV493">
        <v>-0.04</v>
      </c>
      <c r="CW493">
        <v>39</v>
      </c>
      <c r="CX493" t="s">
        <v>6530</v>
      </c>
    </row>
    <row r="494" spans="1:102" x14ac:dyDescent="0.3">
      <c r="A494" t="str">
        <f>HYPERLINK("https://webapp.icbf.com/v2/app/bull-search/view/1248007800","FR2389")</f>
        <v>FR2389</v>
      </c>
      <c r="B494" t="s">
        <v>13683</v>
      </c>
      <c r="C494" t="s">
        <v>13684</v>
      </c>
      <c r="D494" s="1">
        <v>42049</v>
      </c>
      <c r="E494" t="s">
        <v>92</v>
      </c>
      <c r="F494">
        <v>66</v>
      </c>
      <c r="G494" t="s">
        <v>93</v>
      </c>
      <c r="H494">
        <v>184.29</v>
      </c>
      <c r="I494">
        <v>80</v>
      </c>
      <c r="J494">
        <v>93.96</v>
      </c>
      <c r="K494">
        <v>93</v>
      </c>
      <c r="L494">
        <v>51.21</v>
      </c>
      <c r="M494">
        <v>70</v>
      </c>
      <c r="N494">
        <v>38.159999999999997</v>
      </c>
      <c r="O494">
        <v>84</v>
      </c>
      <c r="P494">
        <v>-17.71</v>
      </c>
      <c r="Q494">
        <v>85</v>
      </c>
      <c r="R494">
        <v>-5.81</v>
      </c>
      <c r="S494">
        <v>71</v>
      </c>
      <c r="T494">
        <v>19.38</v>
      </c>
      <c r="U494">
        <v>64</v>
      </c>
      <c r="V494">
        <v>5.0999999999999996</v>
      </c>
      <c r="W494">
        <v>65</v>
      </c>
      <c r="X494" t="s">
        <v>94</v>
      </c>
      <c r="Y494" t="s">
        <v>436</v>
      </c>
      <c r="Z494" t="s">
        <v>330</v>
      </c>
      <c r="AA494" t="s">
        <v>2366</v>
      </c>
      <c r="AB494" t="s">
        <v>2726</v>
      </c>
      <c r="AC494">
        <v>61</v>
      </c>
      <c r="AD494">
        <v>42</v>
      </c>
      <c r="AE494">
        <v>93</v>
      </c>
      <c r="AF494">
        <v>385.44</v>
      </c>
      <c r="AG494">
        <v>11.19</v>
      </c>
      <c r="AH494">
        <v>17.920000000000002</v>
      </c>
      <c r="AI494">
        <v>-0.06</v>
      </c>
      <c r="AJ494">
        <v>0.08</v>
      </c>
      <c r="AK494">
        <v>70</v>
      </c>
      <c r="AL494">
        <v>0</v>
      </c>
      <c r="AM494">
        <v>0</v>
      </c>
      <c r="AN494">
        <v>-2.35</v>
      </c>
      <c r="AO494">
        <v>1.74</v>
      </c>
      <c r="AP494">
        <v>362</v>
      </c>
      <c r="AQ494">
        <v>0</v>
      </c>
      <c r="AR494">
        <v>6.12</v>
      </c>
      <c r="AS494">
        <v>72</v>
      </c>
      <c r="AT494">
        <v>2.38</v>
      </c>
      <c r="AU494">
        <v>90</v>
      </c>
      <c r="AV494">
        <v>-3.47</v>
      </c>
      <c r="AW494">
        <v>97</v>
      </c>
      <c r="AX494">
        <v>0.12</v>
      </c>
      <c r="AY494">
        <v>84</v>
      </c>
      <c r="AZ494">
        <v>6.31</v>
      </c>
      <c r="BA494">
        <v>61</v>
      </c>
      <c r="BB494">
        <v>4.75</v>
      </c>
      <c r="BC494">
        <v>46</v>
      </c>
      <c r="BD494">
        <v>-0.02</v>
      </c>
      <c r="BE494">
        <v>0.03</v>
      </c>
      <c r="BF494">
        <v>0.11</v>
      </c>
      <c r="BG494">
        <v>82</v>
      </c>
      <c r="BH494">
        <v>0.11</v>
      </c>
      <c r="BI494">
        <v>-3.72</v>
      </c>
      <c r="BJ494">
        <v>0</v>
      </c>
      <c r="BK494">
        <v>0</v>
      </c>
      <c r="BL494">
        <v>-2.87</v>
      </c>
      <c r="BM494">
        <v>-0.01</v>
      </c>
      <c r="BN494">
        <v>-1.46</v>
      </c>
      <c r="BO494">
        <v>-1.45</v>
      </c>
      <c r="BP494">
        <v>1.1299999999999999</v>
      </c>
      <c r="BQ494">
        <v>-2.86</v>
      </c>
      <c r="BR494">
        <v>1.1499999999999999</v>
      </c>
      <c r="BS494">
        <v>-1.84</v>
      </c>
      <c r="BT494">
        <v>-2.27</v>
      </c>
      <c r="BU494">
        <v>-0.88</v>
      </c>
      <c r="BV494">
        <v>-2.11</v>
      </c>
      <c r="BW494">
        <v>-2.0299999999999998</v>
      </c>
      <c r="BX494">
        <v>-1.82</v>
      </c>
      <c r="BY494">
        <v>-0.5</v>
      </c>
      <c r="BZ494">
        <v>-0.32</v>
      </c>
      <c r="CA494">
        <v>-1.83</v>
      </c>
      <c r="CB494">
        <v>-1.66</v>
      </c>
      <c r="CC494">
        <v>-2</v>
      </c>
      <c r="CD494">
        <v>1.53</v>
      </c>
      <c r="CE494">
        <v>-0.99</v>
      </c>
      <c r="CF494">
        <v>-2.6</v>
      </c>
      <c r="CG494">
        <v>0</v>
      </c>
      <c r="CH494">
        <v>-2.0499999999999998</v>
      </c>
      <c r="CI494">
        <v>0</v>
      </c>
      <c r="CJ494">
        <v>-11.5</v>
      </c>
      <c r="CK494">
        <v>88</v>
      </c>
      <c r="CL494">
        <v>-0.56999999999999995</v>
      </c>
      <c r="CM494">
        <v>85</v>
      </c>
      <c r="CN494">
        <v>-0.53</v>
      </c>
      <c r="CO494">
        <v>84</v>
      </c>
      <c r="CP494">
        <v>-14.4</v>
      </c>
      <c r="CQ494">
        <v>62</v>
      </c>
      <c r="CR494">
        <v>0</v>
      </c>
      <c r="CS494">
        <v>0</v>
      </c>
      <c r="CT494">
        <v>-12.4</v>
      </c>
      <c r="CU494">
        <v>64</v>
      </c>
      <c r="CV494">
        <v>-0.03</v>
      </c>
      <c r="CW494">
        <v>44</v>
      </c>
      <c r="CX494" t="s">
        <v>2727</v>
      </c>
    </row>
    <row r="495" spans="1:102" x14ac:dyDescent="0.3">
      <c r="A495" t="str">
        <f>HYPERLINK("https://webapp.icbf.com/v2/app/bull-search/view/386618712","WLT")</f>
        <v>WLT</v>
      </c>
      <c r="B495" t="s">
        <v>4466</v>
      </c>
      <c r="C495" t="s">
        <v>1928</v>
      </c>
      <c r="D495" s="1">
        <v>36397</v>
      </c>
      <c r="E495" t="s">
        <v>227</v>
      </c>
      <c r="F495">
        <v>0</v>
      </c>
      <c r="G495" t="s">
        <v>93</v>
      </c>
      <c r="H495">
        <v>184.14</v>
      </c>
      <c r="I495">
        <v>97</v>
      </c>
      <c r="J495">
        <v>79.22</v>
      </c>
      <c r="K495">
        <v>99</v>
      </c>
      <c r="L495">
        <v>54.63</v>
      </c>
      <c r="M495">
        <v>94</v>
      </c>
      <c r="N495">
        <v>34.21</v>
      </c>
      <c r="O495">
        <v>97</v>
      </c>
      <c r="P495">
        <v>-56.27</v>
      </c>
      <c r="Q495">
        <v>98</v>
      </c>
      <c r="R495">
        <v>2.96</v>
      </c>
      <c r="S495">
        <v>96</v>
      </c>
      <c r="T495">
        <v>60.52</v>
      </c>
      <c r="U495">
        <v>98</v>
      </c>
      <c r="V495">
        <v>8.8699999999999992</v>
      </c>
      <c r="W495">
        <v>97</v>
      </c>
      <c r="X495" t="s">
        <v>302</v>
      </c>
      <c r="Y495" t="s">
        <v>95</v>
      </c>
      <c r="Z495">
        <v>0</v>
      </c>
      <c r="AA495" t="s">
        <v>3240</v>
      </c>
      <c r="AB495" t="s">
        <v>4467</v>
      </c>
      <c r="AC495">
        <v>540</v>
      </c>
      <c r="AD495">
        <v>138</v>
      </c>
      <c r="AE495">
        <v>99</v>
      </c>
      <c r="AF495">
        <v>-386.8</v>
      </c>
      <c r="AG495">
        <v>16.63</v>
      </c>
      <c r="AH495">
        <v>1.67</v>
      </c>
      <c r="AI495">
        <v>0.59</v>
      </c>
      <c r="AJ495">
        <v>0.28000000000000003</v>
      </c>
      <c r="AK495">
        <v>94</v>
      </c>
      <c r="AL495">
        <v>580</v>
      </c>
      <c r="AM495">
        <v>145</v>
      </c>
      <c r="AN495">
        <v>-1.95</v>
      </c>
      <c r="AO495">
        <v>2.42</v>
      </c>
      <c r="AP495">
        <v>720</v>
      </c>
      <c r="AQ495">
        <v>6</v>
      </c>
      <c r="AR495">
        <v>1.9</v>
      </c>
      <c r="AS495">
        <v>97</v>
      </c>
      <c r="AT495">
        <v>1.22</v>
      </c>
      <c r="AU495">
        <v>96</v>
      </c>
      <c r="AV495">
        <v>-2.57</v>
      </c>
      <c r="AW495">
        <v>99</v>
      </c>
      <c r="AX495">
        <v>0.81</v>
      </c>
      <c r="AY495">
        <v>96</v>
      </c>
      <c r="AZ495">
        <v>8.1300000000000008</v>
      </c>
      <c r="BA495">
        <v>92</v>
      </c>
      <c r="BB495">
        <v>5.86</v>
      </c>
      <c r="BC495">
        <v>94</v>
      </c>
      <c r="BD495">
        <v>-0.06</v>
      </c>
      <c r="BE495">
        <v>-0.02</v>
      </c>
      <c r="BF495">
        <v>7.0000000000000007E-2</v>
      </c>
      <c r="BG495">
        <v>98</v>
      </c>
      <c r="BH495">
        <v>0.18</v>
      </c>
      <c r="BI495">
        <v>-7.79</v>
      </c>
      <c r="BJ495">
        <v>46</v>
      </c>
      <c r="BK495">
        <v>15</v>
      </c>
      <c r="BL495">
        <v>-3.78</v>
      </c>
      <c r="BM495">
        <v>-1.21</v>
      </c>
      <c r="BN495">
        <v>-0.18</v>
      </c>
      <c r="BO495">
        <v>0.77</v>
      </c>
      <c r="BP495">
        <v>-0.91</v>
      </c>
      <c r="BQ495">
        <v>-5.34</v>
      </c>
      <c r="BR495">
        <v>2.59</v>
      </c>
      <c r="BS495">
        <v>6.33</v>
      </c>
      <c r="BT495">
        <v>-1.1499999999999999</v>
      </c>
      <c r="BU495">
        <v>-1.56</v>
      </c>
      <c r="BV495">
        <v>-0.05</v>
      </c>
      <c r="BW495">
        <v>-3.11</v>
      </c>
      <c r="BX495">
        <v>-4.84</v>
      </c>
      <c r="BY495">
        <v>-0.06</v>
      </c>
      <c r="BZ495">
        <v>-0.16</v>
      </c>
      <c r="CA495">
        <v>0.39</v>
      </c>
      <c r="CB495">
        <v>-0.49</v>
      </c>
      <c r="CC495">
        <v>2.33</v>
      </c>
      <c r="CD495">
        <v>-0.45</v>
      </c>
      <c r="CE495">
        <v>0.73</v>
      </c>
      <c r="CF495">
        <v>-3.74</v>
      </c>
      <c r="CG495">
        <v>0</v>
      </c>
      <c r="CH495">
        <v>-0.88</v>
      </c>
      <c r="CI495">
        <v>0</v>
      </c>
      <c r="CJ495">
        <v>-30.4</v>
      </c>
      <c r="CK495">
        <v>98</v>
      </c>
      <c r="CL495">
        <v>-0.8</v>
      </c>
      <c r="CM495">
        <v>98</v>
      </c>
      <c r="CN495">
        <v>-0.1</v>
      </c>
      <c r="CO495">
        <v>98</v>
      </c>
      <c r="CP495">
        <v>-48.2</v>
      </c>
      <c r="CQ495">
        <v>98</v>
      </c>
      <c r="CR495">
        <v>0</v>
      </c>
      <c r="CS495">
        <v>0</v>
      </c>
      <c r="CT495">
        <v>-68</v>
      </c>
      <c r="CU495">
        <v>98</v>
      </c>
      <c r="CV495">
        <v>-0.37</v>
      </c>
      <c r="CW495">
        <v>47</v>
      </c>
      <c r="CX495" t="s">
        <v>514</v>
      </c>
    </row>
    <row r="496" spans="1:102" x14ac:dyDescent="0.3">
      <c r="A496" t="str">
        <f>HYPERLINK("https://webapp.icbf.com/v2/app/bull-search/view/1253200991","FR2434")</f>
        <v>FR2434</v>
      </c>
      <c r="B496" t="s">
        <v>13694</v>
      </c>
      <c r="C496" t="s">
        <v>13695</v>
      </c>
      <c r="D496" s="1">
        <v>42048</v>
      </c>
      <c r="E496" t="s">
        <v>108</v>
      </c>
      <c r="F496">
        <v>38</v>
      </c>
      <c r="G496" t="s">
        <v>435</v>
      </c>
      <c r="H496">
        <v>184.14</v>
      </c>
      <c r="I496">
        <v>70</v>
      </c>
      <c r="J496">
        <v>50.76</v>
      </c>
      <c r="K496">
        <v>86</v>
      </c>
      <c r="L496">
        <v>101.03</v>
      </c>
      <c r="M496">
        <v>62</v>
      </c>
      <c r="N496">
        <v>35.47</v>
      </c>
      <c r="O496">
        <v>69</v>
      </c>
      <c r="P496">
        <v>-7.47</v>
      </c>
      <c r="Q496">
        <v>69</v>
      </c>
      <c r="R496">
        <v>-6.25</v>
      </c>
      <c r="S496">
        <v>62</v>
      </c>
      <c r="T496">
        <v>6.65</v>
      </c>
      <c r="U496">
        <v>52</v>
      </c>
      <c r="V496">
        <v>3.95</v>
      </c>
      <c r="W496">
        <v>58</v>
      </c>
      <c r="X496" t="s">
        <v>276</v>
      </c>
      <c r="Y496" t="s">
        <v>436</v>
      </c>
      <c r="Z496" t="s">
        <v>96</v>
      </c>
      <c r="AA496" t="s">
        <v>390</v>
      </c>
      <c r="AB496" t="s">
        <v>13696</v>
      </c>
      <c r="AC496">
        <v>0</v>
      </c>
      <c r="AD496">
        <v>0</v>
      </c>
      <c r="AE496">
        <v>86</v>
      </c>
      <c r="AF496">
        <v>-2.2599999999999998</v>
      </c>
      <c r="AG496">
        <v>3.16</v>
      </c>
      <c r="AH496">
        <v>7.48</v>
      </c>
      <c r="AI496">
        <v>0.05</v>
      </c>
      <c r="AJ496">
        <v>0.13</v>
      </c>
      <c r="AK496">
        <v>62</v>
      </c>
      <c r="AL496">
        <v>0</v>
      </c>
      <c r="AM496">
        <v>0</v>
      </c>
      <c r="AN496">
        <v>-6.04</v>
      </c>
      <c r="AO496">
        <v>2.0099999999999998</v>
      </c>
      <c r="AP496">
        <v>70</v>
      </c>
      <c r="AQ496">
        <v>0</v>
      </c>
      <c r="AR496">
        <v>6.15</v>
      </c>
      <c r="AS496">
        <v>51</v>
      </c>
      <c r="AT496">
        <v>2.0499999999999998</v>
      </c>
      <c r="AU496">
        <v>76</v>
      </c>
      <c r="AV496">
        <v>-2.61</v>
      </c>
      <c r="AW496">
        <v>81</v>
      </c>
      <c r="AX496">
        <v>-0.52</v>
      </c>
      <c r="AY496">
        <v>61</v>
      </c>
      <c r="AZ496">
        <v>6.04</v>
      </c>
      <c r="BA496">
        <v>43</v>
      </c>
      <c r="BB496">
        <v>4.79</v>
      </c>
      <c r="BC496">
        <v>44</v>
      </c>
      <c r="BD496">
        <v>0.04</v>
      </c>
      <c r="BE496">
        <v>0.03</v>
      </c>
      <c r="BF496">
        <v>0.02</v>
      </c>
      <c r="BG496">
        <v>69</v>
      </c>
      <c r="BH496">
        <v>0.08</v>
      </c>
      <c r="BI496">
        <v>-3.5</v>
      </c>
      <c r="BJ496">
        <v>0</v>
      </c>
      <c r="BK496">
        <v>0</v>
      </c>
      <c r="BL496">
        <v>-2.56</v>
      </c>
      <c r="BM496">
        <v>1.08</v>
      </c>
      <c r="BN496">
        <v>-1.2</v>
      </c>
      <c r="BO496">
        <v>-1.63</v>
      </c>
      <c r="BP496">
        <v>-0.62</v>
      </c>
      <c r="BQ496">
        <v>-0.54</v>
      </c>
      <c r="BR496">
        <v>-1.5</v>
      </c>
      <c r="BS496">
        <v>-0.49</v>
      </c>
      <c r="BT496">
        <v>1.1100000000000001</v>
      </c>
      <c r="BU496">
        <v>-2.86</v>
      </c>
      <c r="BV496">
        <v>-3.1</v>
      </c>
      <c r="BW496">
        <v>-2.72</v>
      </c>
      <c r="BX496">
        <v>-2.12</v>
      </c>
      <c r="BY496">
        <v>-1.88</v>
      </c>
      <c r="BZ496">
        <v>0.12</v>
      </c>
      <c r="CA496">
        <v>-1.92</v>
      </c>
      <c r="CB496">
        <v>-2.19</v>
      </c>
      <c r="CC496">
        <v>-0.61</v>
      </c>
      <c r="CD496">
        <v>1.44</v>
      </c>
      <c r="CE496">
        <v>-1.33</v>
      </c>
      <c r="CF496">
        <v>-1.53</v>
      </c>
      <c r="CG496">
        <v>0</v>
      </c>
      <c r="CH496">
        <v>-2.3199999999999998</v>
      </c>
      <c r="CI496">
        <v>0</v>
      </c>
      <c r="CJ496">
        <v>-4.7</v>
      </c>
      <c r="CK496">
        <v>72</v>
      </c>
      <c r="CL496">
        <v>-0.32</v>
      </c>
      <c r="CM496">
        <v>69</v>
      </c>
      <c r="CN496">
        <v>-0.28000000000000003</v>
      </c>
      <c r="CO496">
        <v>68</v>
      </c>
      <c r="CP496">
        <v>-6.4</v>
      </c>
      <c r="CQ496">
        <v>55</v>
      </c>
      <c r="CR496">
        <v>0</v>
      </c>
      <c r="CS496">
        <v>0</v>
      </c>
      <c r="CT496">
        <v>4.8</v>
      </c>
      <c r="CU496">
        <v>52</v>
      </c>
      <c r="CV496">
        <v>0.06</v>
      </c>
      <c r="CW496">
        <v>41</v>
      </c>
      <c r="CX496" t="s">
        <v>5993</v>
      </c>
    </row>
    <row r="497" spans="1:102" x14ac:dyDescent="0.3">
      <c r="A497" t="str">
        <f>HYPERLINK("https://webapp.icbf.com/v2/app/bull-search/view/952355029","S1566")</f>
        <v>S1566</v>
      </c>
      <c r="B497" t="s">
        <v>5824</v>
      </c>
      <c r="C497" t="s">
        <v>5825</v>
      </c>
      <c r="D497" s="1">
        <v>40959</v>
      </c>
      <c r="E497" t="s">
        <v>92</v>
      </c>
      <c r="F497">
        <v>78</v>
      </c>
      <c r="G497" t="s">
        <v>93</v>
      </c>
      <c r="H497">
        <v>184.05</v>
      </c>
      <c r="I497">
        <v>87</v>
      </c>
      <c r="J497">
        <v>39.659999999999997</v>
      </c>
      <c r="K497">
        <v>97</v>
      </c>
      <c r="L497">
        <v>110.57</v>
      </c>
      <c r="M497">
        <v>79</v>
      </c>
      <c r="N497">
        <v>35.25</v>
      </c>
      <c r="O497">
        <v>86</v>
      </c>
      <c r="P497">
        <v>-18.690000000000001</v>
      </c>
      <c r="Q497">
        <v>88</v>
      </c>
      <c r="R497">
        <v>11.09</v>
      </c>
      <c r="S497">
        <v>77</v>
      </c>
      <c r="T497">
        <v>9.5299999999999994</v>
      </c>
      <c r="U497">
        <v>95</v>
      </c>
      <c r="V497">
        <v>-3.36</v>
      </c>
      <c r="W497">
        <v>75</v>
      </c>
      <c r="X497" t="s">
        <v>234</v>
      </c>
      <c r="Y497" t="s">
        <v>362</v>
      </c>
      <c r="Z497" t="s">
        <v>330</v>
      </c>
      <c r="AA497" t="s">
        <v>5692</v>
      </c>
      <c r="AB497" t="s">
        <v>5826</v>
      </c>
      <c r="AC497">
        <v>94</v>
      </c>
      <c r="AD497">
        <v>28</v>
      </c>
      <c r="AE497">
        <v>97</v>
      </c>
      <c r="AF497">
        <v>-157.57</v>
      </c>
      <c r="AG497">
        <v>9.34</v>
      </c>
      <c r="AH497">
        <v>1.03</v>
      </c>
      <c r="AI497">
        <v>0.28000000000000003</v>
      </c>
      <c r="AJ497">
        <v>0.11</v>
      </c>
      <c r="AK497">
        <v>79</v>
      </c>
      <c r="AL497">
        <v>113</v>
      </c>
      <c r="AM497">
        <v>27</v>
      </c>
      <c r="AN497">
        <v>-5.83</v>
      </c>
      <c r="AO497">
        <v>2.99</v>
      </c>
      <c r="AP497">
        <v>174</v>
      </c>
      <c r="AQ497">
        <v>0</v>
      </c>
      <c r="AR497">
        <v>5.17</v>
      </c>
      <c r="AS497">
        <v>72</v>
      </c>
      <c r="AT497">
        <v>2.25</v>
      </c>
      <c r="AU497">
        <v>87</v>
      </c>
      <c r="AV497">
        <v>-2.1800000000000002</v>
      </c>
      <c r="AW497">
        <v>97</v>
      </c>
      <c r="AX497">
        <v>-0.84</v>
      </c>
      <c r="AY497">
        <v>82</v>
      </c>
      <c r="AZ497">
        <v>5.66</v>
      </c>
      <c r="BA497">
        <v>70</v>
      </c>
      <c r="BB497">
        <v>4.53</v>
      </c>
      <c r="BC497">
        <v>64</v>
      </c>
      <c r="BD497">
        <v>-0.09</v>
      </c>
      <c r="BE497">
        <v>-0.05</v>
      </c>
      <c r="BF497">
        <v>-0.01</v>
      </c>
      <c r="BG497">
        <v>87</v>
      </c>
      <c r="BH497">
        <v>-0.18</v>
      </c>
      <c r="BI497">
        <v>-9.9700000000000006</v>
      </c>
      <c r="BJ497">
        <v>0</v>
      </c>
      <c r="BK497">
        <v>0</v>
      </c>
      <c r="BL497">
        <v>-0.16</v>
      </c>
      <c r="BM497">
        <v>1.04</v>
      </c>
      <c r="BN497">
        <v>0.3</v>
      </c>
      <c r="BO497">
        <v>-0.46</v>
      </c>
      <c r="BP497">
        <v>0.59</v>
      </c>
      <c r="BQ497">
        <v>-2</v>
      </c>
      <c r="BR497">
        <v>-0.83</v>
      </c>
      <c r="BS497">
        <v>0.96</v>
      </c>
      <c r="BT497">
        <v>-0.2</v>
      </c>
      <c r="BU497">
        <v>-1.1299999999999999</v>
      </c>
      <c r="BV497">
        <v>-1.26</v>
      </c>
      <c r="BW497">
        <v>-1.42</v>
      </c>
      <c r="BX497">
        <v>-1.1200000000000001</v>
      </c>
      <c r="BY497">
        <v>-2.27</v>
      </c>
      <c r="BZ497">
        <v>2.19</v>
      </c>
      <c r="CA497">
        <v>-0.9</v>
      </c>
      <c r="CB497">
        <v>-1.54</v>
      </c>
      <c r="CC497">
        <v>0.38</v>
      </c>
      <c r="CD497">
        <v>0.36</v>
      </c>
      <c r="CE497">
        <v>-0.9</v>
      </c>
      <c r="CF497">
        <v>-1.34</v>
      </c>
      <c r="CG497">
        <v>0</v>
      </c>
      <c r="CH497">
        <v>-2.97</v>
      </c>
      <c r="CI497">
        <v>0</v>
      </c>
      <c r="CJ497">
        <v>-9.5</v>
      </c>
      <c r="CK497">
        <v>90</v>
      </c>
      <c r="CL497">
        <v>-0.73</v>
      </c>
      <c r="CM497">
        <v>86</v>
      </c>
      <c r="CN497">
        <v>-0.23</v>
      </c>
      <c r="CO497">
        <v>85</v>
      </c>
      <c r="CP497">
        <v>-4.9000000000000004</v>
      </c>
      <c r="CQ497">
        <v>85</v>
      </c>
      <c r="CR497">
        <v>0</v>
      </c>
      <c r="CS497">
        <v>0</v>
      </c>
      <c r="CT497">
        <v>0.9</v>
      </c>
      <c r="CU497">
        <v>95</v>
      </c>
      <c r="CV497">
        <v>-0.06</v>
      </c>
      <c r="CW497">
        <v>44</v>
      </c>
      <c r="CX497" t="s">
        <v>2990</v>
      </c>
    </row>
    <row r="498" spans="1:102" x14ac:dyDescent="0.3">
      <c r="A498" t="str">
        <f>HYPERLINK("https://webapp.icbf.com/v2/app/bull-search/view/462678092","SZT")</f>
        <v>SZT</v>
      </c>
      <c r="B498" t="s">
        <v>10017</v>
      </c>
      <c r="C498" t="s">
        <v>209</v>
      </c>
      <c r="D498" s="1">
        <v>36739</v>
      </c>
      <c r="E498" t="s">
        <v>395</v>
      </c>
      <c r="F498">
        <v>0</v>
      </c>
      <c r="G498" t="s">
        <v>109</v>
      </c>
      <c r="H498">
        <v>183.9</v>
      </c>
      <c r="I498">
        <v>66</v>
      </c>
      <c r="J498">
        <v>-0.47</v>
      </c>
      <c r="K498">
        <v>63</v>
      </c>
      <c r="L498">
        <v>111.66</v>
      </c>
      <c r="M498">
        <v>68</v>
      </c>
      <c r="N498">
        <v>36.03</v>
      </c>
      <c r="O498">
        <v>72</v>
      </c>
      <c r="P498">
        <v>0.17</v>
      </c>
      <c r="Q498">
        <v>79</v>
      </c>
      <c r="R498">
        <v>10.37</v>
      </c>
      <c r="S498">
        <v>49</v>
      </c>
      <c r="T498">
        <v>26.33</v>
      </c>
      <c r="U498">
        <v>60</v>
      </c>
      <c r="V498">
        <v>-0.19</v>
      </c>
      <c r="W498">
        <v>51</v>
      </c>
      <c r="X498" t="s">
        <v>131</v>
      </c>
      <c r="Y498" t="s">
        <v>1208</v>
      </c>
      <c r="Z498">
        <v>0</v>
      </c>
      <c r="AA498" t="s">
        <v>10018</v>
      </c>
      <c r="AB498" t="s">
        <v>10019</v>
      </c>
      <c r="AC498">
        <v>0</v>
      </c>
      <c r="AD498">
        <v>0</v>
      </c>
      <c r="AE498">
        <v>63</v>
      </c>
      <c r="AF498">
        <v>-118.02</v>
      </c>
      <c r="AG498">
        <v>-4.26</v>
      </c>
      <c r="AH498">
        <v>-0.38</v>
      </c>
      <c r="AI498">
        <v>0.01</v>
      </c>
      <c r="AJ498">
        <v>0.06</v>
      </c>
      <c r="AK498">
        <v>68</v>
      </c>
      <c r="AL498">
        <v>0</v>
      </c>
      <c r="AM498">
        <v>0</v>
      </c>
      <c r="AN498">
        <v>-6.45</v>
      </c>
      <c r="AO498">
        <v>2.4500000000000002</v>
      </c>
      <c r="AP498">
        <v>73</v>
      </c>
      <c r="AQ498">
        <v>0</v>
      </c>
      <c r="AR498">
        <v>5.03</v>
      </c>
      <c r="AS498">
        <v>60</v>
      </c>
      <c r="AT498">
        <v>2.0299999999999998</v>
      </c>
      <c r="AU498">
        <v>82</v>
      </c>
      <c r="AV498">
        <v>-2.2799999999999998</v>
      </c>
      <c r="AW498">
        <v>89</v>
      </c>
      <c r="AX498">
        <v>-0.04</v>
      </c>
      <c r="AY498">
        <v>57</v>
      </c>
      <c r="AZ498">
        <v>5.64</v>
      </c>
      <c r="BA498">
        <v>28</v>
      </c>
      <c r="BB498">
        <v>4.46</v>
      </c>
      <c r="BC498">
        <v>34</v>
      </c>
      <c r="BD498">
        <v>-0.02</v>
      </c>
      <c r="BE498">
        <v>-0.05</v>
      </c>
      <c r="BF498">
        <v>-0.11</v>
      </c>
      <c r="BG498">
        <v>57</v>
      </c>
      <c r="BH498">
        <v>-0.02</v>
      </c>
      <c r="BI498">
        <v>-1.69</v>
      </c>
      <c r="BJ498">
        <v>0</v>
      </c>
      <c r="BK498">
        <v>0</v>
      </c>
      <c r="BL498">
        <v>-1.61</v>
      </c>
      <c r="BM498">
        <v>0.83</v>
      </c>
      <c r="BN498">
        <v>-1.69</v>
      </c>
      <c r="BO498">
        <v>-1.79</v>
      </c>
      <c r="BP498">
        <v>1.21</v>
      </c>
      <c r="BQ498">
        <v>-0.77</v>
      </c>
      <c r="BR498">
        <v>0.12</v>
      </c>
      <c r="BS498">
        <v>0.66</v>
      </c>
      <c r="BT498">
        <v>-0.32</v>
      </c>
      <c r="BU498">
        <v>-1.29</v>
      </c>
      <c r="BV498">
        <v>-2.37</v>
      </c>
      <c r="BW498">
        <v>-2.0699999999999998</v>
      </c>
      <c r="BX498">
        <v>-1.21</v>
      </c>
      <c r="BY498">
        <v>-0.85</v>
      </c>
      <c r="BZ498">
        <v>-1.31</v>
      </c>
      <c r="CA498">
        <v>-1.29</v>
      </c>
      <c r="CB498">
        <v>-1.74</v>
      </c>
      <c r="CC498">
        <v>0.01</v>
      </c>
      <c r="CD498">
        <v>1.29</v>
      </c>
      <c r="CE498">
        <v>-1.58</v>
      </c>
      <c r="CF498">
        <v>-1.92</v>
      </c>
      <c r="CG498">
        <v>0</v>
      </c>
      <c r="CH498">
        <v>-1.06</v>
      </c>
      <c r="CI498">
        <v>0</v>
      </c>
      <c r="CJ498">
        <v>-0.9</v>
      </c>
      <c r="CK498">
        <v>82</v>
      </c>
      <c r="CL498">
        <v>0.19</v>
      </c>
      <c r="CM498">
        <v>78</v>
      </c>
      <c r="CN498">
        <v>-0.04</v>
      </c>
      <c r="CO498">
        <v>76</v>
      </c>
      <c r="CP498">
        <v>-6.8</v>
      </c>
      <c r="CQ498">
        <v>69</v>
      </c>
      <c r="CR498">
        <v>0</v>
      </c>
      <c r="CS498">
        <v>0</v>
      </c>
      <c r="CT498">
        <v>-21.8</v>
      </c>
      <c r="CU498">
        <v>60</v>
      </c>
      <c r="CV498">
        <v>-0.16</v>
      </c>
      <c r="CW498">
        <v>22</v>
      </c>
      <c r="CX498" t="s">
        <v>10020</v>
      </c>
    </row>
    <row r="499" spans="1:102" x14ac:dyDescent="0.3">
      <c r="A499" t="str">
        <f>HYPERLINK("https://webapp.icbf.com/v2/app/bull-search/view/1137354831","AKC")</f>
        <v>AKC</v>
      </c>
      <c r="B499" t="s">
        <v>6823</v>
      </c>
      <c r="C499" t="s">
        <v>6824</v>
      </c>
      <c r="D499" s="1">
        <v>41672</v>
      </c>
      <c r="E499" t="s">
        <v>92</v>
      </c>
      <c r="F499">
        <v>81</v>
      </c>
      <c r="G499" t="s">
        <v>93</v>
      </c>
      <c r="H499">
        <v>183.78</v>
      </c>
      <c r="I499">
        <v>88</v>
      </c>
      <c r="J499">
        <v>48.69</v>
      </c>
      <c r="K499">
        <v>98</v>
      </c>
      <c r="L499">
        <v>99.29</v>
      </c>
      <c r="M499">
        <v>80</v>
      </c>
      <c r="N499">
        <v>39.53</v>
      </c>
      <c r="O499">
        <v>91</v>
      </c>
      <c r="P499">
        <v>-10.39</v>
      </c>
      <c r="Q499">
        <v>96</v>
      </c>
      <c r="R499">
        <v>3.77</v>
      </c>
      <c r="S499">
        <v>82</v>
      </c>
      <c r="T499">
        <v>1.1000000000000001</v>
      </c>
      <c r="U499">
        <v>79</v>
      </c>
      <c r="V499">
        <v>1.79</v>
      </c>
      <c r="W499">
        <v>77</v>
      </c>
      <c r="X499" t="s">
        <v>94</v>
      </c>
      <c r="Y499" t="s">
        <v>389</v>
      </c>
      <c r="Z499" t="s">
        <v>96</v>
      </c>
      <c r="AA499" t="s">
        <v>2172</v>
      </c>
      <c r="AB499" t="s">
        <v>6825</v>
      </c>
      <c r="AC499">
        <v>305</v>
      </c>
      <c r="AD499">
        <v>141</v>
      </c>
      <c r="AE499">
        <v>98</v>
      </c>
      <c r="AF499">
        <v>-0.72</v>
      </c>
      <c r="AG499">
        <v>3.76</v>
      </c>
      <c r="AH499">
        <v>6.94</v>
      </c>
      <c r="AI499">
        <v>7.0000000000000007E-2</v>
      </c>
      <c r="AJ499">
        <v>0.12</v>
      </c>
      <c r="AK499">
        <v>80</v>
      </c>
      <c r="AL499">
        <v>148</v>
      </c>
      <c r="AM499">
        <v>83</v>
      </c>
      <c r="AN499">
        <v>-5.26</v>
      </c>
      <c r="AO499">
        <v>2.66</v>
      </c>
      <c r="AP499">
        <v>815</v>
      </c>
      <c r="AQ499">
        <v>5</v>
      </c>
      <c r="AR499">
        <v>7.86</v>
      </c>
      <c r="AS499">
        <v>92</v>
      </c>
      <c r="AT499">
        <v>2.64</v>
      </c>
      <c r="AU499">
        <v>94</v>
      </c>
      <c r="AV499">
        <v>-4.25</v>
      </c>
      <c r="AW499">
        <v>99</v>
      </c>
      <c r="AX499">
        <v>-0.5</v>
      </c>
      <c r="AY499">
        <v>92</v>
      </c>
      <c r="AZ499">
        <v>5.59</v>
      </c>
      <c r="BA499">
        <v>82</v>
      </c>
      <c r="BB499">
        <v>5.04</v>
      </c>
      <c r="BC499">
        <v>61</v>
      </c>
      <c r="BD499">
        <v>-0.01</v>
      </c>
      <c r="BE499">
        <v>0</v>
      </c>
      <c r="BF499">
        <v>-7.0000000000000007E-2</v>
      </c>
      <c r="BG499">
        <v>93</v>
      </c>
      <c r="BH499">
        <v>-0.03</v>
      </c>
      <c r="BI499">
        <v>-9.25</v>
      </c>
      <c r="BJ499">
        <v>11</v>
      </c>
      <c r="BK499">
        <v>9</v>
      </c>
      <c r="BL499">
        <v>-0.75</v>
      </c>
      <c r="BM499">
        <v>0.59</v>
      </c>
      <c r="BN499">
        <v>-1.49</v>
      </c>
      <c r="BO499">
        <v>-1.21</v>
      </c>
      <c r="BP499">
        <v>0.85</v>
      </c>
      <c r="BQ499">
        <v>0.06</v>
      </c>
      <c r="BR499">
        <v>-0.76</v>
      </c>
      <c r="BS499">
        <v>-2.2799999999999998</v>
      </c>
      <c r="BT499">
        <v>0.94</v>
      </c>
      <c r="BU499">
        <v>-0.71</v>
      </c>
      <c r="BV499">
        <v>-0.82</v>
      </c>
      <c r="BW499">
        <v>-1.23</v>
      </c>
      <c r="BX499">
        <v>0.06</v>
      </c>
      <c r="BY499">
        <v>-1.46</v>
      </c>
      <c r="BZ499">
        <v>0.36</v>
      </c>
      <c r="CA499">
        <v>-1.1299999999999999</v>
      </c>
      <c r="CB499">
        <v>-0.65</v>
      </c>
      <c r="CC499">
        <v>-1.7</v>
      </c>
      <c r="CD499">
        <v>0.46</v>
      </c>
      <c r="CE499">
        <v>-0.98</v>
      </c>
      <c r="CF499">
        <v>-0.59</v>
      </c>
      <c r="CG499">
        <v>0</v>
      </c>
      <c r="CH499">
        <v>0.68</v>
      </c>
      <c r="CI499">
        <v>0</v>
      </c>
      <c r="CJ499">
        <v>-4</v>
      </c>
      <c r="CK499">
        <v>98</v>
      </c>
      <c r="CL499">
        <v>-0.55000000000000004</v>
      </c>
      <c r="CM499">
        <v>97</v>
      </c>
      <c r="CN499">
        <v>-0.08</v>
      </c>
      <c r="CO499">
        <v>97</v>
      </c>
      <c r="CP499">
        <v>-0.9</v>
      </c>
      <c r="CQ499">
        <v>77</v>
      </c>
      <c r="CR499">
        <v>0</v>
      </c>
      <c r="CS499">
        <v>0</v>
      </c>
      <c r="CT499">
        <v>12.3</v>
      </c>
      <c r="CU499">
        <v>79</v>
      </c>
      <c r="CV499">
        <v>0.09</v>
      </c>
      <c r="CW499">
        <v>46</v>
      </c>
      <c r="CX499" t="s">
        <v>6826</v>
      </c>
    </row>
    <row r="500" spans="1:102" x14ac:dyDescent="0.3">
      <c r="A500" t="str">
        <f>HYPERLINK("https://webapp.icbf.com/v2/app/bull-search/view/550982278","PYC")</f>
        <v>PYC</v>
      </c>
      <c r="B500" t="s">
        <v>1835</v>
      </c>
      <c r="C500" t="s">
        <v>1836</v>
      </c>
      <c r="D500" s="1">
        <v>38946</v>
      </c>
      <c r="E500" t="s">
        <v>227</v>
      </c>
      <c r="F500">
        <v>0</v>
      </c>
      <c r="G500" t="s">
        <v>93</v>
      </c>
      <c r="H500">
        <v>183.74</v>
      </c>
      <c r="I500">
        <v>90</v>
      </c>
      <c r="J500">
        <v>103.1</v>
      </c>
      <c r="K500">
        <v>98</v>
      </c>
      <c r="L500">
        <v>54.73</v>
      </c>
      <c r="M500">
        <v>84</v>
      </c>
      <c r="N500">
        <v>27.65</v>
      </c>
      <c r="O500">
        <v>90</v>
      </c>
      <c r="P500">
        <v>-54.47</v>
      </c>
      <c r="Q500">
        <v>95</v>
      </c>
      <c r="R500">
        <v>-4.8</v>
      </c>
      <c r="S500">
        <v>77</v>
      </c>
      <c r="T500">
        <v>52.08</v>
      </c>
      <c r="U500">
        <v>94</v>
      </c>
      <c r="V500">
        <v>5.45</v>
      </c>
      <c r="W500">
        <v>71</v>
      </c>
      <c r="X500" t="s">
        <v>94</v>
      </c>
      <c r="Y500" t="s">
        <v>1756</v>
      </c>
      <c r="Z500">
        <v>0</v>
      </c>
      <c r="AA500" t="s">
        <v>1837</v>
      </c>
      <c r="AB500" t="s">
        <v>1838</v>
      </c>
      <c r="AC500">
        <v>213</v>
      </c>
      <c r="AD500">
        <v>63</v>
      </c>
      <c r="AE500">
        <v>98</v>
      </c>
      <c r="AF500">
        <v>-126.48</v>
      </c>
      <c r="AG500">
        <v>18.989999999999998</v>
      </c>
      <c r="AH500">
        <v>8.8800000000000008</v>
      </c>
      <c r="AI500">
        <v>0.4</v>
      </c>
      <c r="AJ500">
        <v>0.22</v>
      </c>
      <c r="AK500">
        <v>84</v>
      </c>
      <c r="AL500">
        <v>230</v>
      </c>
      <c r="AM500">
        <v>63</v>
      </c>
      <c r="AN500">
        <v>-1.03</v>
      </c>
      <c r="AO500">
        <v>3.36</v>
      </c>
      <c r="AP500">
        <v>458</v>
      </c>
      <c r="AQ500">
        <v>2</v>
      </c>
      <c r="AR500">
        <v>3.19</v>
      </c>
      <c r="AS500">
        <v>90</v>
      </c>
      <c r="AT500">
        <v>1.48</v>
      </c>
      <c r="AU500">
        <v>90</v>
      </c>
      <c r="AV500">
        <v>-1.56</v>
      </c>
      <c r="AW500">
        <v>98</v>
      </c>
      <c r="AX500">
        <v>1.29</v>
      </c>
      <c r="AY500">
        <v>90</v>
      </c>
      <c r="AZ500">
        <v>6.75</v>
      </c>
      <c r="BA500">
        <v>72</v>
      </c>
      <c r="BB500">
        <v>5.26</v>
      </c>
      <c r="BC500">
        <v>73</v>
      </c>
      <c r="BD500">
        <v>-0.01</v>
      </c>
      <c r="BE500">
        <v>0.03</v>
      </c>
      <c r="BF500">
        <v>7.0000000000000007E-2</v>
      </c>
      <c r="BG500">
        <v>91</v>
      </c>
      <c r="BH500">
        <v>0.05</v>
      </c>
      <c r="BI500">
        <v>-11.8</v>
      </c>
      <c r="BJ500">
        <v>2</v>
      </c>
      <c r="BK500">
        <v>2</v>
      </c>
      <c r="BL500">
        <v>-3.06</v>
      </c>
      <c r="BM500">
        <v>-1.05</v>
      </c>
      <c r="BN500">
        <v>-0.67</v>
      </c>
      <c r="BO500">
        <v>0.49</v>
      </c>
      <c r="BP500">
        <v>-1.18</v>
      </c>
      <c r="BQ500">
        <v>-5.85</v>
      </c>
      <c r="BR500">
        <v>2.14</v>
      </c>
      <c r="BS500">
        <v>7.06</v>
      </c>
      <c r="BT500">
        <v>-0.41</v>
      </c>
      <c r="BU500">
        <v>-1.67</v>
      </c>
      <c r="BV500">
        <v>-0.89</v>
      </c>
      <c r="BW500">
        <v>-2.44</v>
      </c>
      <c r="BX500">
        <v>-4.08</v>
      </c>
      <c r="BY500">
        <v>-0.56000000000000005</v>
      </c>
      <c r="BZ500">
        <v>0.5</v>
      </c>
      <c r="CA500">
        <v>0.82</v>
      </c>
      <c r="CB500">
        <v>-1.01</v>
      </c>
      <c r="CC500">
        <v>4.22</v>
      </c>
      <c r="CD500">
        <v>-1.5</v>
      </c>
      <c r="CE500">
        <v>0.66</v>
      </c>
      <c r="CF500">
        <v>-3.36</v>
      </c>
      <c r="CG500">
        <v>0</v>
      </c>
      <c r="CH500">
        <v>-1.66</v>
      </c>
      <c r="CI500">
        <v>0</v>
      </c>
      <c r="CJ500">
        <v>-27.6</v>
      </c>
      <c r="CK500">
        <v>96</v>
      </c>
      <c r="CL500">
        <v>-1.06</v>
      </c>
      <c r="CM500">
        <v>94</v>
      </c>
      <c r="CN500">
        <v>-0.06</v>
      </c>
      <c r="CO500">
        <v>94</v>
      </c>
      <c r="CP500">
        <v>-41</v>
      </c>
      <c r="CQ500">
        <v>86</v>
      </c>
      <c r="CR500">
        <v>0</v>
      </c>
      <c r="CS500">
        <v>0</v>
      </c>
      <c r="CT500">
        <v>-56.6</v>
      </c>
      <c r="CU500">
        <v>94</v>
      </c>
      <c r="CV500">
        <v>-0.22</v>
      </c>
      <c r="CW500">
        <v>28</v>
      </c>
      <c r="CX500" t="s">
        <v>1525</v>
      </c>
    </row>
    <row r="501" spans="1:102" x14ac:dyDescent="0.3">
      <c r="A501" t="str">
        <f>HYPERLINK("https://webapp.icbf.com/v2/app/bull-search/view/1143702298","FR2061")</f>
        <v>FR2061</v>
      </c>
      <c r="B501" t="s">
        <v>14216</v>
      </c>
      <c r="C501" t="s">
        <v>14217</v>
      </c>
      <c r="D501" s="1">
        <v>41683</v>
      </c>
      <c r="E501" t="s">
        <v>92</v>
      </c>
      <c r="F501">
        <v>47</v>
      </c>
      <c r="G501" t="s">
        <v>93</v>
      </c>
      <c r="H501">
        <v>183.65</v>
      </c>
      <c r="I501">
        <v>82</v>
      </c>
      <c r="J501">
        <v>45.1</v>
      </c>
      <c r="K501">
        <v>94</v>
      </c>
      <c r="L501">
        <v>73.56</v>
      </c>
      <c r="M501">
        <v>71</v>
      </c>
      <c r="N501">
        <v>51.17</v>
      </c>
      <c r="O501">
        <v>84</v>
      </c>
      <c r="P501">
        <v>-27.75</v>
      </c>
      <c r="Q501">
        <v>86</v>
      </c>
      <c r="R501">
        <v>2.5099999999999998</v>
      </c>
      <c r="S501">
        <v>73</v>
      </c>
      <c r="T501">
        <v>36.909999999999997</v>
      </c>
      <c r="U501">
        <v>77</v>
      </c>
      <c r="V501">
        <v>2.15</v>
      </c>
      <c r="W501">
        <v>69</v>
      </c>
      <c r="X501" t="s">
        <v>94</v>
      </c>
      <c r="Y501" t="s">
        <v>416</v>
      </c>
      <c r="Z501" t="s">
        <v>330</v>
      </c>
      <c r="AA501" t="s">
        <v>2514</v>
      </c>
      <c r="AB501" t="s">
        <v>14218</v>
      </c>
      <c r="AC501">
        <v>104</v>
      </c>
      <c r="AD501">
        <v>30</v>
      </c>
      <c r="AE501">
        <v>94</v>
      </c>
      <c r="AF501">
        <v>23.61</v>
      </c>
      <c r="AG501">
        <v>9.84</v>
      </c>
      <c r="AH501">
        <v>4.55</v>
      </c>
      <c r="AI501">
        <v>0.16</v>
      </c>
      <c r="AJ501">
        <v>7.0000000000000007E-2</v>
      </c>
      <c r="AK501">
        <v>71</v>
      </c>
      <c r="AL501">
        <v>0</v>
      </c>
      <c r="AM501">
        <v>0</v>
      </c>
      <c r="AN501">
        <v>-2.19</v>
      </c>
      <c r="AO501">
        <v>3.7</v>
      </c>
      <c r="AP501">
        <v>316</v>
      </c>
      <c r="AQ501">
        <v>4</v>
      </c>
      <c r="AR501">
        <v>4.0199999999999996</v>
      </c>
      <c r="AS501">
        <v>77</v>
      </c>
      <c r="AT501">
        <v>1.78</v>
      </c>
      <c r="AU501">
        <v>89</v>
      </c>
      <c r="AV501">
        <v>-4.22</v>
      </c>
      <c r="AW501">
        <v>97</v>
      </c>
      <c r="AX501">
        <v>7.0000000000000007E-2</v>
      </c>
      <c r="AY501">
        <v>82</v>
      </c>
      <c r="AZ501">
        <v>6.63</v>
      </c>
      <c r="BA501">
        <v>68</v>
      </c>
      <c r="BB501">
        <v>4.8499999999999996</v>
      </c>
      <c r="BC501">
        <v>43</v>
      </c>
      <c r="BD501">
        <v>-0.04</v>
      </c>
      <c r="BE501">
        <v>0.01</v>
      </c>
      <c r="BF501">
        <v>-0.01</v>
      </c>
      <c r="BG501">
        <v>84</v>
      </c>
      <c r="BH501">
        <v>-0.03</v>
      </c>
      <c r="BI501">
        <v>-10.39</v>
      </c>
      <c r="BJ501">
        <v>0</v>
      </c>
      <c r="BK501">
        <v>0</v>
      </c>
      <c r="BL501">
        <v>-3.16</v>
      </c>
      <c r="BM501">
        <v>-0.4</v>
      </c>
      <c r="BN501">
        <v>-1.9</v>
      </c>
      <c r="BO501">
        <v>-1.81</v>
      </c>
      <c r="BP501">
        <v>-0.15</v>
      </c>
      <c r="BQ501">
        <v>-4.2300000000000004</v>
      </c>
      <c r="BR501">
        <v>2.09</v>
      </c>
      <c r="BS501">
        <v>0.05</v>
      </c>
      <c r="BT501">
        <v>-3.18</v>
      </c>
      <c r="BU501">
        <v>-1.25</v>
      </c>
      <c r="BV501">
        <v>-0.64</v>
      </c>
      <c r="BW501">
        <v>-1.49</v>
      </c>
      <c r="BX501">
        <v>-2.96</v>
      </c>
      <c r="BY501">
        <v>-1.62</v>
      </c>
      <c r="BZ501">
        <v>-0.94</v>
      </c>
      <c r="CA501">
        <v>-1.35</v>
      </c>
      <c r="CB501">
        <v>-0.77</v>
      </c>
      <c r="CC501">
        <v>-1.35</v>
      </c>
      <c r="CD501">
        <v>1.34</v>
      </c>
      <c r="CE501">
        <v>-1.1000000000000001</v>
      </c>
      <c r="CF501">
        <v>-2.31</v>
      </c>
      <c r="CG501">
        <v>0</v>
      </c>
      <c r="CH501">
        <v>-1.82</v>
      </c>
      <c r="CI501">
        <v>0</v>
      </c>
      <c r="CJ501">
        <v>-15.7</v>
      </c>
      <c r="CK501">
        <v>89</v>
      </c>
      <c r="CL501">
        <v>-0.68</v>
      </c>
      <c r="CM501">
        <v>86</v>
      </c>
      <c r="CN501">
        <v>-0.39</v>
      </c>
      <c r="CO501">
        <v>85</v>
      </c>
      <c r="CP501">
        <v>-24.2</v>
      </c>
      <c r="CQ501">
        <v>70</v>
      </c>
      <c r="CR501">
        <v>0</v>
      </c>
      <c r="CS501">
        <v>0</v>
      </c>
      <c r="CT501">
        <v>-36.1</v>
      </c>
      <c r="CU501">
        <v>77</v>
      </c>
      <c r="CV501">
        <v>-0.13</v>
      </c>
      <c r="CW501">
        <v>45</v>
      </c>
      <c r="CX501" t="s">
        <v>1523</v>
      </c>
    </row>
    <row r="502" spans="1:102" x14ac:dyDescent="0.3">
      <c r="A502" t="str">
        <f>HYPERLINK("https://webapp.icbf.com/v2/app/bull-search/view/1322603463","FR2227")</f>
        <v>FR2227</v>
      </c>
      <c r="B502" t="s">
        <v>7716</v>
      </c>
      <c r="C502" t="s">
        <v>7717</v>
      </c>
      <c r="D502" s="1">
        <v>41747</v>
      </c>
      <c r="E502" t="s">
        <v>92</v>
      </c>
      <c r="F502">
        <v>100</v>
      </c>
      <c r="G502" t="s">
        <v>93</v>
      </c>
      <c r="H502">
        <v>183.57</v>
      </c>
      <c r="I502">
        <v>81</v>
      </c>
      <c r="J502">
        <v>115.56</v>
      </c>
      <c r="K502">
        <v>95</v>
      </c>
      <c r="L502">
        <v>36.57</v>
      </c>
      <c r="M502">
        <v>78</v>
      </c>
      <c r="N502">
        <v>43.54</v>
      </c>
      <c r="O502">
        <v>82</v>
      </c>
      <c r="P502">
        <v>-11.54</v>
      </c>
      <c r="Q502">
        <v>71</v>
      </c>
      <c r="R502">
        <v>7.65</v>
      </c>
      <c r="S502">
        <v>75</v>
      </c>
      <c r="T502">
        <v>-7.56</v>
      </c>
      <c r="U502">
        <v>53</v>
      </c>
      <c r="V502">
        <v>-0.65</v>
      </c>
      <c r="W502">
        <v>64</v>
      </c>
      <c r="X502" t="s">
        <v>276</v>
      </c>
      <c r="Y502" t="s">
        <v>405</v>
      </c>
      <c r="Z502" t="s">
        <v>96</v>
      </c>
      <c r="AA502" t="s">
        <v>6247</v>
      </c>
      <c r="AB502" t="s">
        <v>7718</v>
      </c>
      <c r="AC502">
        <v>107</v>
      </c>
      <c r="AD502">
        <v>35</v>
      </c>
      <c r="AE502">
        <v>95</v>
      </c>
      <c r="AF502">
        <v>247.12</v>
      </c>
      <c r="AG502">
        <v>21.33</v>
      </c>
      <c r="AH502">
        <v>15.89</v>
      </c>
      <c r="AI502">
        <v>0.2</v>
      </c>
      <c r="AJ502">
        <v>0.13</v>
      </c>
      <c r="AK502">
        <v>78</v>
      </c>
      <c r="AL502">
        <v>0</v>
      </c>
      <c r="AM502">
        <v>0</v>
      </c>
      <c r="AN502">
        <v>-0.96</v>
      </c>
      <c r="AO502">
        <v>1.97</v>
      </c>
      <c r="AP502">
        <v>252</v>
      </c>
      <c r="AQ502">
        <v>1</v>
      </c>
      <c r="AR502">
        <v>6.51</v>
      </c>
      <c r="AS502">
        <v>87</v>
      </c>
      <c r="AT502">
        <v>2.02</v>
      </c>
      <c r="AU502">
        <v>86</v>
      </c>
      <c r="AV502">
        <v>-3.71</v>
      </c>
      <c r="AW502">
        <v>96</v>
      </c>
      <c r="AX502">
        <v>-0.31</v>
      </c>
      <c r="AY502">
        <v>80</v>
      </c>
      <c r="AZ502">
        <v>5.51</v>
      </c>
      <c r="BA502">
        <v>62</v>
      </c>
      <c r="BB502">
        <v>4.8600000000000003</v>
      </c>
      <c r="BC502">
        <v>39</v>
      </c>
      <c r="BD502">
        <v>-0.03</v>
      </c>
      <c r="BE502">
        <v>-0.04</v>
      </c>
      <c r="BF502">
        <v>-0.05</v>
      </c>
      <c r="BG502">
        <v>89</v>
      </c>
      <c r="BH502">
        <v>-0.01</v>
      </c>
      <c r="BI502">
        <v>0.95</v>
      </c>
      <c r="BJ502">
        <v>2</v>
      </c>
      <c r="BK502">
        <v>2</v>
      </c>
      <c r="BL502">
        <v>2.74</v>
      </c>
      <c r="BM502">
        <v>-0.22</v>
      </c>
      <c r="BN502">
        <v>1.29</v>
      </c>
      <c r="BO502">
        <v>1.41</v>
      </c>
      <c r="BP502">
        <v>-1.22</v>
      </c>
      <c r="BQ502">
        <v>3.63</v>
      </c>
      <c r="BR502">
        <v>-0.05</v>
      </c>
      <c r="BS502">
        <v>0.1</v>
      </c>
      <c r="BT502">
        <v>1.53</v>
      </c>
      <c r="BU502">
        <v>2.21</v>
      </c>
      <c r="BV502">
        <v>3.01</v>
      </c>
      <c r="BW502">
        <v>1.26</v>
      </c>
      <c r="BX502">
        <v>2.1800000000000002</v>
      </c>
      <c r="BY502">
        <v>1.54</v>
      </c>
      <c r="BZ502">
        <v>1.8</v>
      </c>
      <c r="CA502">
        <v>1.34</v>
      </c>
      <c r="CB502">
        <v>1.89</v>
      </c>
      <c r="CC502">
        <v>0.01</v>
      </c>
      <c r="CD502">
        <v>-0.9</v>
      </c>
      <c r="CE502">
        <v>1.51</v>
      </c>
      <c r="CF502">
        <v>1.8</v>
      </c>
      <c r="CG502">
        <v>0</v>
      </c>
      <c r="CH502">
        <v>1.73</v>
      </c>
      <c r="CI502">
        <v>0</v>
      </c>
      <c r="CJ502">
        <v>2.2000000000000002</v>
      </c>
      <c r="CK502">
        <v>76</v>
      </c>
      <c r="CL502">
        <v>-1.71</v>
      </c>
      <c r="CM502">
        <v>68</v>
      </c>
      <c r="CN502">
        <v>-0.21</v>
      </c>
      <c r="CO502">
        <v>67</v>
      </c>
      <c r="CP502">
        <v>4.0999999999999996</v>
      </c>
      <c r="CQ502">
        <v>56</v>
      </c>
      <c r="CR502">
        <v>0</v>
      </c>
      <c r="CS502">
        <v>0</v>
      </c>
      <c r="CT502">
        <v>24</v>
      </c>
      <c r="CU502">
        <v>53</v>
      </c>
      <c r="CV502">
        <v>0.45</v>
      </c>
      <c r="CW502">
        <v>41</v>
      </c>
      <c r="CX502" t="s">
        <v>1572</v>
      </c>
    </row>
    <row r="503" spans="1:102" x14ac:dyDescent="0.3">
      <c r="A503" t="str">
        <f>HYPERLINK("https://webapp.icbf.com/v2/app/bull-search/view/1038470688","OPL")</f>
        <v>OPL</v>
      </c>
      <c r="B503" t="s">
        <v>14200</v>
      </c>
      <c r="C503" t="s">
        <v>9391</v>
      </c>
      <c r="D503" s="1">
        <v>41302</v>
      </c>
      <c r="E503" t="s">
        <v>92</v>
      </c>
      <c r="F503">
        <v>66</v>
      </c>
      <c r="G503" t="s">
        <v>93</v>
      </c>
      <c r="H503">
        <v>183.57</v>
      </c>
      <c r="I503">
        <v>93</v>
      </c>
      <c r="J503">
        <v>83.59</v>
      </c>
      <c r="K503">
        <v>99</v>
      </c>
      <c r="L503">
        <v>81.78</v>
      </c>
      <c r="M503">
        <v>87</v>
      </c>
      <c r="N503">
        <v>17.96</v>
      </c>
      <c r="O503">
        <v>96</v>
      </c>
      <c r="P503">
        <v>-24.75</v>
      </c>
      <c r="Q503">
        <v>98</v>
      </c>
      <c r="R503">
        <v>10.89</v>
      </c>
      <c r="S503">
        <v>89</v>
      </c>
      <c r="T503">
        <v>10.72</v>
      </c>
      <c r="U503">
        <v>96</v>
      </c>
      <c r="V503">
        <v>3.38</v>
      </c>
      <c r="W503">
        <v>79</v>
      </c>
      <c r="X503" t="s">
        <v>251</v>
      </c>
      <c r="Y503" t="s">
        <v>389</v>
      </c>
      <c r="Z503" t="s">
        <v>96</v>
      </c>
      <c r="AA503" t="s">
        <v>5742</v>
      </c>
      <c r="AB503" t="s">
        <v>3016</v>
      </c>
      <c r="AC503">
        <v>695</v>
      </c>
      <c r="AD503">
        <v>178</v>
      </c>
      <c r="AE503">
        <v>99</v>
      </c>
      <c r="AF503">
        <v>106.3</v>
      </c>
      <c r="AG503">
        <v>10.61</v>
      </c>
      <c r="AH503">
        <v>12.09</v>
      </c>
      <c r="AI503">
        <v>0.11</v>
      </c>
      <c r="AJ503">
        <v>0.15</v>
      </c>
      <c r="AK503">
        <v>87</v>
      </c>
      <c r="AL503">
        <v>710</v>
      </c>
      <c r="AM503">
        <v>206</v>
      </c>
      <c r="AN503">
        <v>-6.95</v>
      </c>
      <c r="AO503">
        <v>-0.46</v>
      </c>
      <c r="AP503">
        <v>1346</v>
      </c>
      <c r="AQ503">
        <v>13</v>
      </c>
      <c r="AR503">
        <v>7.6</v>
      </c>
      <c r="AS503">
        <v>95</v>
      </c>
      <c r="AT503">
        <v>3.3</v>
      </c>
      <c r="AU503">
        <v>97</v>
      </c>
      <c r="AV503">
        <v>-1.88</v>
      </c>
      <c r="AW503">
        <v>99</v>
      </c>
      <c r="AX503">
        <v>-0.37</v>
      </c>
      <c r="AY503">
        <v>96</v>
      </c>
      <c r="AZ503">
        <v>5.26</v>
      </c>
      <c r="BA503">
        <v>90</v>
      </c>
      <c r="BB503">
        <v>4.58</v>
      </c>
      <c r="BC503">
        <v>83</v>
      </c>
      <c r="BD503">
        <v>-0.05</v>
      </c>
      <c r="BE503">
        <v>-0.03</v>
      </c>
      <c r="BF503">
        <v>-0.11</v>
      </c>
      <c r="BG503">
        <v>97</v>
      </c>
      <c r="BH503">
        <v>0.06</v>
      </c>
      <c r="BI503">
        <v>-3.95</v>
      </c>
      <c r="BJ503">
        <v>20</v>
      </c>
      <c r="BK503">
        <v>3</v>
      </c>
      <c r="BL503">
        <v>-1.33</v>
      </c>
      <c r="BM503">
        <v>1.58</v>
      </c>
      <c r="BN503">
        <v>-0.26</v>
      </c>
      <c r="BO503">
        <v>-1.33</v>
      </c>
      <c r="BP503">
        <v>-2.06</v>
      </c>
      <c r="BQ503">
        <v>-1.4</v>
      </c>
      <c r="BR503">
        <v>0.43</v>
      </c>
      <c r="BS503">
        <v>-1.08</v>
      </c>
      <c r="BT503">
        <v>-1.3</v>
      </c>
      <c r="BU503">
        <v>-1.46</v>
      </c>
      <c r="BV503">
        <v>-1.3</v>
      </c>
      <c r="BW503">
        <v>-2.06</v>
      </c>
      <c r="BX503">
        <v>-2.67</v>
      </c>
      <c r="BY503">
        <v>-3.02</v>
      </c>
      <c r="BZ503">
        <v>1.88</v>
      </c>
      <c r="CA503">
        <v>-1.65</v>
      </c>
      <c r="CB503">
        <v>-1.47</v>
      </c>
      <c r="CC503">
        <v>-1.1100000000000001</v>
      </c>
      <c r="CD503">
        <v>1.36</v>
      </c>
      <c r="CE503">
        <v>-0.95</v>
      </c>
      <c r="CF503">
        <v>-1.45</v>
      </c>
      <c r="CG503">
        <v>0</v>
      </c>
      <c r="CH503">
        <v>-1.1000000000000001</v>
      </c>
      <c r="CI503">
        <v>0</v>
      </c>
      <c r="CJ503">
        <v>-12</v>
      </c>
      <c r="CK503">
        <v>99</v>
      </c>
      <c r="CL503">
        <v>-0.94</v>
      </c>
      <c r="CM503">
        <v>98</v>
      </c>
      <c r="CN503">
        <v>-0.28000000000000003</v>
      </c>
      <c r="CO503">
        <v>98</v>
      </c>
      <c r="CP503">
        <v>-11.8</v>
      </c>
      <c r="CQ503">
        <v>92</v>
      </c>
      <c r="CR503">
        <v>0</v>
      </c>
      <c r="CS503">
        <v>0</v>
      </c>
      <c r="CT503">
        <v>-0.7</v>
      </c>
      <c r="CU503">
        <v>96</v>
      </c>
      <c r="CV503">
        <v>0.11</v>
      </c>
      <c r="CW503">
        <v>47</v>
      </c>
      <c r="CX503" t="s">
        <v>792</v>
      </c>
    </row>
    <row r="504" spans="1:102" x14ac:dyDescent="0.3">
      <c r="A504" t="str">
        <f>HYPERLINK("https://webapp.icbf.com/v2/app/bull-search/view/678701624","GYO")</f>
        <v>GYO</v>
      </c>
      <c r="B504" t="s">
        <v>10095</v>
      </c>
      <c r="C504" t="s">
        <v>10096</v>
      </c>
      <c r="D504" s="1">
        <v>39672</v>
      </c>
      <c r="E504" t="s">
        <v>108</v>
      </c>
      <c r="F504">
        <v>25</v>
      </c>
      <c r="G504" t="s">
        <v>93</v>
      </c>
      <c r="H504">
        <v>183.47</v>
      </c>
      <c r="I504">
        <v>91</v>
      </c>
      <c r="J504">
        <v>95.25</v>
      </c>
      <c r="K504">
        <v>98</v>
      </c>
      <c r="L504">
        <v>38.83</v>
      </c>
      <c r="M504">
        <v>86</v>
      </c>
      <c r="N504">
        <v>47.7</v>
      </c>
      <c r="O504">
        <v>92</v>
      </c>
      <c r="P504">
        <v>-23.04</v>
      </c>
      <c r="Q504">
        <v>96</v>
      </c>
      <c r="R504">
        <v>-14.57</v>
      </c>
      <c r="S504">
        <v>83</v>
      </c>
      <c r="T504">
        <v>31.36</v>
      </c>
      <c r="U504">
        <v>94</v>
      </c>
      <c r="V504">
        <v>7.94</v>
      </c>
      <c r="W504">
        <v>76</v>
      </c>
      <c r="X504" t="s">
        <v>276</v>
      </c>
      <c r="Y504" t="s">
        <v>329</v>
      </c>
      <c r="Z504" t="s">
        <v>330</v>
      </c>
      <c r="AA504" t="s">
        <v>2339</v>
      </c>
      <c r="AB504" t="s">
        <v>10097</v>
      </c>
      <c r="AC504">
        <v>253</v>
      </c>
      <c r="AD504">
        <v>87</v>
      </c>
      <c r="AE504">
        <v>98</v>
      </c>
      <c r="AF504">
        <v>103.52</v>
      </c>
      <c r="AG504">
        <v>16.66</v>
      </c>
      <c r="AH504">
        <v>11.89</v>
      </c>
      <c r="AI504">
        <v>0.22</v>
      </c>
      <c r="AJ504">
        <v>0.14000000000000001</v>
      </c>
      <c r="AK504">
        <v>86</v>
      </c>
      <c r="AL504">
        <v>284</v>
      </c>
      <c r="AM504">
        <v>92</v>
      </c>
      <c r="AN504">
        <v>-2.65</v>
      </c>
      <c r="AO504">
        <v>0.44</v>
      </c>
      <c r="AP504">
        <v>430</v>
      </c>
      <c r="AQ504">
        <v>4</v>
      </c>
      <c r="AR504">
        <v>5.74</v>
      </c>
      <c r="AS504">
        <v>84</v>
      </c>
      <c r="AT504">
        <v>2.13</v>
      </c>
      <c r="AU504">
        <v>92</v>
      </c>
      <c r="AV504">
        <v>-3.54</v>
      </c>
      <c r="AW504">
        <v>99</v>
      </c>
      <c r="AX504">
        <v>-0.03</v>
      </c>
      <c r="AY504">
        <v>91</v>
      </c>
      <c r="AZ504">
        <v>4.8</v>
      </c>
      <c r="BA504">
        <v>76</v>
      </c>
      <c r="BB504">
        <v>3.82</v>
      </c>
      <c r="BC504">
        <v>77</v>
      </c>
      <c r="BD504">
        <v>0.03</v>
      </c>
      <c r="BE504">
        <v>0.05</v>
      </c>
      <c r="BF504">
        <v>0.19</v>
      </c>
      <c r="BG504">
        <v>93</v>
      </c>
      <c r="BH504">
        <v>0.05</v>
      </c>
      <c r="BI504">
        <v>-19.829999999999998</v>
      </c>
      <c r="BJ504">
        <v>1</v>
      </c>
      <c r="BK504">
        <v>1</v>
      </c>
      <c r="BL504">
        <v>-1.89</v>
      </c>
      <c r="BM504">
        <v>-0.63</v>
      </c>
      <c r="BN504">
        <v>-1.47</v>
      </c>
      <c r="BO504">
        <v>-0.51</v>
      </c>
      <c r="BP504">
        <v>2.35</v>
      </c>
      <c r="BQ504">
        <v>-2.25</v>
      </c>
      <c r="BR504">
        <v>1.53</v>
      </c>
      <c r="BS504">
        <v>0.5</v>
      </c>
      <c r="BT504">
        <v>-2.06</v>
      </c>
      <c r="BU504">
        <v>-2.5299999999999998</v>
      </c>
      <c r="BV504">
        <v>-1.38</v>
      </c>
      <c r="BW504">
        <v>-2.25</v>
      </c>
      <c r="BX504">
        <v>-2.73</v>
      </c>
      <c r="BY504">
        <v>-2.4500000000000002</v>
      </c>
      <c r="BZ504">
        <v>0.39</v>
      </c>
      <c r="CA504">
        <v>-1.58</v>
      </c>
      <c r="CB504">
        <v>-1.81</v>
      </c>
      <c r="CC504">
        <v>-0.17</v>
      </c>
      <c r="CD504">
        <v>-0.68</v>
      </c>
      <c r="CE504">
        <v>0.03</v>
      </c>
      <c r="CF504">
        <v>-2.31</v>
      </c>
      <c r="CG504">
        <v>0</v>
      </c>
      <c r="CH504">
        <v>-0.26</v>
      </c>
      <c r="CI504">
        <v>0</v>
      </c>
      <c r="CJ504">
        <v>-13.9</v>
      </c>
      <c r="CK504">
        <v>97</v>
      </c>
      <c r="CL504">
        <v>-0.44</v>
      </c>
      <c r="CM504">
        <v>96</v>
      </c>
      <c r="CN504">
        <v>-0.28999999999999998</v>
      </c>
      <c r="CO504">
        <v>95</v>
      </c>
      <c r="CP504">
        <v>-18.100000000000001</v>
      </c>
      <c r="CQ504">
        <v>92</v>
      </c>
      <c r="CR504">
        <v>0</v>
      </c>
      <c r="CS504">
        <v>0</v>
      </c>
      <c r="CT504">
        <v>-28.6</v>
      </c>
      <c r="CU504">
        <v>94</v>
      </c>
      <c r="CV504">
        <v>-0.04</v>
      </c>
      <c r="CW504">
        <v>46</v>
      </c>
      <c r="CX504" t="s">
        <v>333</v>
      </c>
    </row>
    <row r="505" spans="1:102" x14ac:dyDescent="0.3">
      <c r="A505" t="str">
        <f>HYPERLINK("https://webapp.icbf.com/v2/app/bull-search/view/1359950781","FR4201")</f>
        <v>FR4201</v>
      </c>
      <c r="B505" t="s">
        <v>2253</v>
      </c>
      <c r="C505" t="s">
        <v>2254</v>
      </c>
      <c r="D505" s="1">
        <v>42407</v>
      </c>
      <c r="E505" t="s">
        <v>108</v>
      </c>
      <c r="F505">
        <v>19</v>
      </c>
      <c r="G505" t="s">
        <v>435</v>
      </c>
      <c r="H505">
        <v>183.41</v>
      </c>
      <c r="I505">
        <v>66</v>
      </c>
      <c r="J505">
        <v>21.2</v>
      </c>
      <c r="K505">
        <v>83</v>
      </c>
      <c r="L505">
        <v>128.6</v>
      </c>
      <c r="M505">
        <v>56</v>
      </c>
      <c r="N505">
        <v>29.68</v>
      </c>
      <c r="O505">
        <v>76</v>
      </c>
      <c r="P505">
        <v>-14.55</v>
      </c>
      <c r="Q505">
        <v>60</v>
      </c>
      <c r="R505">
        <v>0.93</v>
      </c>
      <c r="S505">
        <v>56</v>
      </c>
      <c r="T505">
        <v>12.12</v>
      </c>
      <c r="U505">
        <v>45</v>
      </c>
      <c r="V505">
        <v>5.43</v>
      </c>
      <c r="W505">
        <v>54</v>
      </c>
      <c r="X505" t="s">
        <v>94</v>
      </c>
      <c r="Y505" t="s">
        <v>2255</v>
      </c>
      <c r="Z505" t="s">
        <v>96</v>
      </c>
      <c r="AA505" t="s">
        <v>2256</v>
      </c>
      <c r="AB505" t="s">
        <v>2257</v>
      </c>
      <c r="AC505">
        <v>0</v>
      </c>
      <c r="AD505">
        <v>0</v>
      </c>
      <c r="AE505">
        <v>83</v>
      </c>
      <c r="AF505">
        <v>-164.99</v>
      </c>
      <c r="AG505">
        <v>0.68</v>
      </c>
      <c r="AH505">
        <v>0.84</v>
      </c>
      <c r="AI505">
        <v>0.12</v>
      </c>
      <c r="AJ505">
        <v>0.12</v>
      </c>
      <c r="AK505">
        <v>56</v>
      </c>
      <c r="AL505">
        <v>0</v>
      </c>
      <c r="AM505">
        <v>0</v>
      </c>
      <c r="AN505">
        <v>-8.2100000000000009</v>
      </c>
      <c r="AO505">
        <v>2.0299999999999998</v>
      </c>
      <c r="AP505">
        <v>134</v>
      </c>
      <c r="AQ505">
        <v>2</v>
      </c>
      <c r="AR505">
        <v>4.26</v>
      </c>
      <c r="AS505">
        <v>54</v>
      </c>
      <c r="AT505">
        <v>1.72</v>
      </c>
      <c r="AU505">
        <v>81</v>
      </c>
      <c r="AV505">
        <v>-1.51</v>
      </c>
      <c r="AW505">
        <v>94</v>
      </c>
      <c r="AX505">
        <v>-0.13</v>
      </c>
      <c r="AY505">
        <v>74</v>
      </c>
      <c r="AZ505">
        <v>5.9</v>
      </c>
      <c r="BA505">
        <v>37</v>
      </c>
      <c r="BB505">
        <v>5.17</v>
      </c>
      <c r="BC505">
        <v>34</v>
      </c>
      <c r="BD505">
        <v>0.01</v>
      </c>
      <c r="BE505">
        <v>-0.02</v>
      </c>
      <c r="BF505">
        <v>0</v>
      </c>
      <c r="BG505">
        <v>65</v>
      </c>
      <c r="BH505">
        <v>0.01</v>
      </c>
      <c r="BI505">
        <v>-16.37</v>
      </c>
      <c r="BJ505">
        <v>0</v>
      </c>
      <c r="BK505">
        <v>0</v>
      </c>
      <c r="BL505">
        <v>-2.7</v>
      </c>
      <c r="BM505">
        <v>1.94</v>
      </c>
      <c r="BN505">
        <v>-1.76</v>
      </c>
      <c r="BO505">
        <v>-2.37</v>
      </c>
      <c r="BP505">
        <v>-1.43</v>
      </c>
      <c r="BQ505">
        <v>1.78</v>
      </c>
      <c r="BR505">
        <v>-1.53</v>
      </c>
      <c r="BS505">
        <v>-0.15</v>
      </c>
      <c r="BT505">
        <v>0.23</v>
      </c>
      <c r="BU505">
        <v>-1.98</v>
      </c>
      <c r="BV505">
        <v>-1.72</v>
      </c>
      <c r="BW505">
        <v>-0.86</v>
      </c>
      <c r="BX505">
        <v>-1.85</v>
      </c>
      <c r="BY505">
        <v>-0.55000000000000004</v>
      </c>
      <c r="BZ505">
        <v>-1.33</v>
      </c>
      <c r="CA505">
        <v>-1.35</v>
      </c>
      <c r="CB505">
        <v>-1.39</v>
      </c>
      <c r="CC505">
        <v>-0.86</v>
      </c>
      <c r="CD505">
        <v>2.4300000000000002</v>
      </c>
      <c r="CE505">
        <v>-1.69</v>
      </c>
      <c r="CF505">
        <v>-1.5</v>
      </c>
      <c r="CG505">
        <v>0</v>
      </c>
      <c r="CH505">
        <v>-0.14000000000000001</v>
      </c>
      <c r="CI505">
        <v>0</v>
      </c>
      <c r="CJ505">
        <v>-10.5</v>
      </c>
      <c r="CK505">
        <v>63</v>
      </c>
      <c r="CL505">
        <v>-0.06</v>
      </c>
      <c r="CM505">
        <v>58</v>
      </c>
      <c r="CN505">
        <v>-0.14000000000000001</v>
      </c>
      <c r="CO505">
        <v>56</v>
      </c>
      <c r="CP505">
        <v>-7.2</v>
      </c>
      <c r="CQ505">
        <v>48</v>
      </c>
      <c r="CR505">
        <v>0</v>
      </c>
      <c r="CS505">
        <v>0</v>
      </c>
      <c r="CT505">
        <v>-2.6</v>
      </c>
      <c r="CU505">
        <v>45</v>
      </c>
      <c r="CV505">
        <v>-0.1</v>
      </c>
      <c r="CW505">
        <v>38</v>
      </c>
      <c r="CX505" t="s">
        <v>2258</v>
      </c>
    </row>
    <row r="506" spans="1:102" x14ac:dyDescent="0.3">
      <c r="A506" t="str">
        <f>HYPERLINK("https://webapp.icbf.com/v2/app/bull-search/view/952333701","WWA")</f>
        <v>WWA</v>
      </c>
      <c r="B506" t="s">
        <v>10169</v>
      </c>
      <c r="C506" t="s">
        <v>6255</v>
      </c>
      <c r="D506" s="1">
        <v>40965</v>
      </c>
      <c r="E506" t="s">
        <v>92</v>
      </c>
      <c r="F506">
        <v>72</v>
      </c>
      <c r="G506" t="s">
        <v>93</v>
      </c>
      <c r="H506">
        <v>183.35</v>
      </c>
      <c r="I506">
        <v>95</v>
      </c>
      <c r="J506">
        <v>95.5</v>
      </c>
      <c r="K506">
        <v>99</v>
      </c>
      <c r="L506">
        <v>58.45</v>
      </c>
      <c r="M506">
        <v>90</v>
      </c>
      <c r="N506">
        <v>43.88</v>
      </c>
      <c r="O506">
        <v>97</v>
      </c>
      <c r="P506">
        <v>-11.45</v>
      </c>
      <c r="Q506">
        <v>99</v>
      </c>
      <c r="R506">
        <v>-11.03</v>
      </c>
      <c r="S506">
        <v>93</v>
      </c>
      <c r="T506">
        <v>5.83</v>
      </c>
      <c r="U506">
        <v>96</v>
      </c>
      <c r="V506">
        <v>2.17</v>
      </c>
      <c r="W506">
        <v>81</v>
      </c>
      <c r="X506" t="s">
        <v>94</v>
      </c>
      <c r="Y506" t="s">
        <v>1976</v>
      </c>
      <c r="Z506" t="s">
        <v>330</v>
      </c>
      <c r="AA506" t="s">
        <v>7631</v>
      </c>
      <c r="AB506" t="s">
        <v>10170</v>
      </c>
      <c r="AC506">
        <v>1148</v>
      </c>
      <c r="AD506">
        <v>411</v>
      </c>
      <c r="AE506">
        <v>99</v>
      </c>
      <c r="AF506">
        <v>161.33000000000001</v>
      </c>
      <c r="AG506">
        <v>13.29</v>
      </c>
      <c r="AH506">
        <v>14.01</v>
      </c>
      <c r="AI506">
        <v>0.12</v>
      </c>
      <c r="AJ506">
        <v>0.15</v>
      </c>
      <c r="AK506">
        <v>90</v>
      </c>
      <c r="AL506">
        <v>1497</v>
      </c>
      <c r="AM506">
        <v>550</v>
      </c>
      <c r="AN506">
        <v>-2.5</v>
      </c>
      <c r="AO506">
        <v>2.17</v>
      </c>
      <c r="AP506">
        <v>2690</v>
      </c>
      <c r="AQ506">
        <v>37</v>
      </c>
      <c r="AR506">
        <v>5.48</v>
      </c>
      <c r="AS506">
        <v>96</v>
      </c>
      <c r="AT506">
        <v>2.2999999999999998</v>
      </c>
      <c r="AU506">
        <v>98</v>
      </c>
      <c r="AV506">
        <v>-3.4</v>
      </c>
      <c r="AW506">
        <v>99</v>
      </c>
      <c r="AX506">
        <v>-0.25</v>
      </c>
      <c r="AY506">
        <v>98</v>
      </c>
      <c r="AZ506">
        <v>5.21</v>
      </c>
      <c r="BA506">
        <v>94</v>
      </c>
      <c r="BB506">
        <v>4.34</v>
      </c>
      <c r="BC506">
        <v>90</v>
      </c>
      <c r="BD506">
        <v>-0.02</v>
      </c>
      <c r="BE506">
        <v>0.03</v>
      </c>
      <c r="BF506">
        <v>0.23</v>
      </c>
      <c r="BG506">
        <v>98</v>
      </c>
      <c r="BH506">
        <v>0.01</v>
      </c>
      <c r="BI506">
        <v>-5.83</v>
      </c>
      <c r="BJ506">
        <v>13</v>
      </c>
      <c r="BK506">
        <v>5</v>
      </c>
      <c r="BL506">
        <v>-1.7</v>
      </c>
      <c r="BM506">
        <v>0.06</v>
      </c>
      <c r="BN506">
        <v>-1.89</v>
      </c>
      <c r="BO506">
        <v>-1.34</v>
      </c>
      <c r="BP506">
        <v>-0.13</v>
      </c>
      <c r="BQ506">
        <v>-1.21</v>
      </c>
      <c r="BR506">
        <v>-1.21</v>
      </c>
      <c r="BS506">
        <v>-0.02</v>
      </c>
      <c r="BT506">
        <v>0.2</v>
      </c>
      <c r="BU506">
        <v>-0.56000000000000005</v>
      </c>
      <c r="BV506">
        <v>-0.22</v>
      </c>
      <c r="BW506">
        <v>-1.62</v>
      </c>
      <c r="BX506">
        <v>-0.52</v>
      </c>
      <c r="BY506">
        <v>0</v>
      </c>
      <c r="BZ506">
        <v>0.11</v>
      </c>
      <c r="CA506">
        <v>-0.82</v>
      </c>
      <c r="CB506">
        <v>-1.08</v>
      </c>
      <c r="CC506">
        <v>-0.5</v>
      </c>
      <c r="CD506">
        <v>1.4</v>
      </c>
      <c r="CE506">
        <v>-1.24</v>
      </c>
      <c r="CF506">
        <v>-1.24</v>
      </c>
      <c r="CG506">
        <v>0</v>
      </c>
      <c r="CH506">
        <v>-1.23</v>
      </c>
      <c r="CI506">
        <v>0</v>
      </c>
      <c r="CJ506">
        <v>-6.1</v>
      </c>
      <c r="CK506">
        <v>99</v>
      </c>
      <c r="CL506">
        <v>-0.74</v>
      </c>
      <c r="CM506">
        <v>99</v>
      </c>
      <c r="CN506">
        <v>-0.41</v>
      </c>
      <c r="CO506">
        <v>99</v>
      </c>
      <c r="CP506">
        <v>-1.3</v>
      </c>
      <c r="CQ506">
        <v>97</v>
      </c>
      <c r="CR506">
        <v>0</v>
      </c>
      <c r="CS506">
        <v>0</v>
      </c>
      <c r="CT506">
        <v>5.9</v>
      </c>
      <c r="CU506">
        <v>96</v>
      </c>
      <c r="CV506">
        <v>-0.12</v>
      </c>
      <c r="CW506">
        <v>47</v>
      </c>
      <c r="CX506" t="s">
        <v>4088</v>
      </c>
    </row>
    <row r="507" spans="1:102" x14ac:dyDescent="0.3">
      <c r="A507" t="str">
        <f>HYPERLINK("https://webapp.icbf.com/v2/app/bull-search/view/1417502293","JE4228")</f>
        <v>JE4228</v>
      </c>
      <c r="B507" t="s">
        <v>6859</v>
      </c>
      <c r="C507" t="s">
        <v>6860</v>
      </c>
      <c r="D507" s="1">
        <v>42087</v>
      </c>
      <c r="E507" t="s">
        <v>227</v>
      </c>
      <c r="F507">
        <v>0</v>
      </c>
      <c r="G507" t="s">
        <v>109</v>
      </c>
      <c r="H507">
        <v>183.34</v>
      </c>
      <c r="I507">
        <v>66</v>
      </c>
      <c r="J507">
        <v>50.96</v>
      </c>
      <c r="K507">
        <v>84</v>
      </c>
      <c r="L507">
        <v>88.84</v>
      </c>
      <c r="M507">
        <v>69</v>
      </c>
      <c r="N507">
        <v>12.63</v>
      </c>
      <c r="O507">
        <v>56</v>
      </c>
      <c r="P507">
        <v>-54.14</v>
      </c>
      <c r="Q507">
        <v>37</v>
      </c>
      <c r="R507">
        <v>12.54</v>
      </c>
      <c r="S507">
        <v>56</v>
      </c>
      <c r="T507">
        <v>63.7</v>
      </c>
      <c r="U507">
        <v>37</v>
      </c>
      <c r="V507">
        <v>8.81</v>
      </c>
      <c r="W507">
        <v>55</v>
      </c>
      <c r="X507" t="s">
        <v>276</v>
      </c>
      <c r="Y507" t="s">
        <v>2261</v>
      </c>
      <c r="Z507">
        <v>0</v>
      </c>
      <c r="AA507" t="s">
        <v>6861</v>
      </c>
      <c r="AB507" t="s">
        <v>144</v>
      </c>
      <c r="AC507">
        <v>0</v>
      </c>
      <c r="AD507">
        <v>0</v>
      </c>
      <c r="AE507">
        <v>84</v>
      </c>
      <c r="AF507">
        <v>-646.89</v>
      </c>
      <c r="AG507">
        <v>11.83</v>
      </c>
      <c r="AH507">
        <v>-5.42</v>
      </c>
      <c r="AI507">
        <v>0.72</v>
      </c>
      <c r="AJ507">
        <v>0.33</v>
      </c>
      <c r="AK507">
        <v>69</v>
      </c>
      <c r="AL507">
        <v>0</v>
      </c>
      <c r="AM507">
        <v>0</v>
      </c>
      <c r="AN507">
        <v>-2.9</v>
      </c>
      <c r="AO507">
        <v>4.21</v>
      </c>
      <c r="AP507">
        <v>22</v>
      </c>
      <c r="AQ507">
        <v>0</v>
      </c>
      <c r="AR507">
        <v>4.05</v>
      </c>
      <c r="AS507">
        <v>54</v>
      </c>
      <c r="AT507">
        <v>1.66</v>
      </c>
      <c r="AU507">
        <v>56</v>
      </c>
      <c r="AV507">
        <v>-1.8</v>
      </c>
      <c r="AW507">
        <v>68</v>
      </c>
      <c r="AX507">
        <v>6.72</v>
      </c>
      <c r="AY507">
        <v>44</v>
      </c>
      <c r="AZ507">
        <v>6.87</v>
      </c>
      <c r="BA507">
        <v>37</v>
      </c>
      <c r="BB507">
        <v>5.34</v>
      </c>
      <c r="BC507">
        <v>36</v>
      </c>
      <c r="BD507">
        <v>-0.08</v>
      </c>
      <c r="BE507">
        <v>-0.05</v>
      </c>
      <c r="BF507">
        <v>-0.06</v>
      </c>
      <c r="BG507">
        <v>61</v>
      </c>
      <c r="BH507">
        <v>0.11</v>
      </c>
      <c r="BI507">
        <v>-15.71</v>
      </c>
      <c r="BJ507">
        <v>0</v>
      </c>
      <c r="BK507">
        <v>0</v>
      </c>
      <c r="BL507">
        <v>-1.3</v>
      </c>
      <c r="BM507">
        <v>-1.75</v>
      </c>
      <c r="BN507">
        <v>-0.3</v>
      </c>
      <c r="BO507">
        <v>1.43</v>
      </c>
      <c r="BP507">
        <v>0.87</v>
      </c>
      <c r="BQ507">
        <v>-5.79</v>
      </c>
      <c r="BR507">
        <v>2.57</v>
      </c>
      <c r="BS507">
        <v>6.15</v>
      </c>
      <c r="BT507">
        <v>-1.35</v>
      </c>
      <c r="BU507">
        <v>0.67</v>
      </c>
      <c r="BV507">
        <v>0.56000000000000005</v>
      </c>
      <c r="BW507">
        <v>-1.48</v>
      </c>
      <c r="BX507">
        <v>-1.91</v>
      </c>
      <c r="BY507">
        <v>0.25</v>
      </c>
      <c r="BZ507">
        <v>0.28000000000000003</v>
      </c>
      <c r="CA507">
        <v>1.93</v>
      </c>
      <c r="CB507">
        <v>0.65</v>
      </c>
      <c r="CC507">
        <v>3.62</v>
      </c>
      <c r="CD507">
        <v>-2.2599999999999998</v>
      </c>
      <c r="CE507">
        <v>1.33</v>
      </c>
      <c r="CF507">
        <v>-1.44</v>
      </c>
      <c r="CG507">
        <v>0</v>
      </c>
      <c r="CH507">
        <v>-0.66</v>
      </c>
      <c r="CI507">
        <v>0</v>
      </c>
      <c r="CJ507">
        <v>-28.8</v>
      </c>
      <c r="CK507">
        <v>38</v>
      </c>
      <c r="CL507">
        <v>-1.05</v>
      </c>
      <c r="CM507">
        <v>35</v>
      </c>
      <c r="CN507">
        <v>-0.33</v>
      </c>
      <c r="CO507">
        <v>35</v>
      </c>
      <c r="CP507">
        <v>-49.5</v>
      </c>
      <c r="CQ507">
        <v>36</v>
      </c>
      <c r="CR507">
        <v>0</v>
      </c>
      <c r="CS507">
        <v>0</v>
      </c>
      <c r="CT507">
        <v>-72.3</v>
      </c>
      <c r="CU507">
        <v>37</v>
      </c>
      <c r="CV507">
        <v>-0.31</v>
      </c>
      <c r="CW507">
        <v>32</v>
      </c>
      <c r="CX507" t="s">
        <v>371</v>
      </c>
    </row>
    <row r="508" spans="1:102" x14ac:dyDescent="0.3">
      <c r="A508" t="str">
        <f>HYPERLINK("https://webapp.icbf.com/v2/app/bull-search/view/1134995252","KJO")</f>
        <v>KJO</v>
      </c>
      <c r="B508" t="s">
        <v>13387</v>
      </c>
      <c r="C508" t="s">
        <v>13388</v>
      </c>
      <c r="D508" s="1">
        <v>41659</v>
      </c>
      <c r="E508" t="s">
        <v>92</v>
      </c>
      <c r="F508">
        <v>72</v>
      </c>
      <c r="G508" t="s">
        <v>93</v>
      </c>
      <c r="H508">
        <v>183.27</v>
      </c>
      <c r="I508">
        <v>91</v>
      </c>
      <c r="J508">
        <v>67.78</v>
      </c>
      <c r="K508">
        <v>99</v>
      </c>
      <c r="L508">
        <v>69.209999999999994</v>
      </c>
      <c r="M508">
        <v>82</v>
      </c>
      <c r="N508">
        <v>44.79</v>
      </c>
      <c r="O508">
        <v>93</v>
      </c>
      <c r="P508">
        <v>-8.34</v>
      </c>
      <c r="Q508">
        <v>98</v>
      </c>
      <c r="R508">
        <v>-7.03</v>
      </c>
      <c r="S508">
        <v>85</v>
      </c>
      <c r="T508">
        <v>8.1300000000000008</v>
      </c>
      <c r="U508">
        <v>89</v>
      </c>
      <c r="V508">
        <v>8.73</v>
      </c>
      <c r="W508">
        <v>78</v>
      </c>
      <c r="X508" t="s">
        <v>94</v>
      </c>
      <c r="Y508" t="s">
        <v>389</v>
      </c>
      <c r="Z508" t="s">
        <v>330</v>
      </c>
      <c r="AA508" t="s">
        <v>2514</v>
      </c>
      <c r="AB508" t="s">
        <v>13389</v>
      </c>
      <c r="AC508">
        <v>1048</v>
      </c>
      <c r="AD508">
        <v>420</v>
      </c>
      <c r="AE508">
        <v>99</v>
      </c>
      <c r="AF508">
        <v>292.33</v>
      </c>
      <c r="AG508">
        <v>13.94</v>
      </c>
      <c r="AH508">
        <v>11.07</v>
      </c>
      <c r="AI508">
        <v>0.04</v>
      </c>
      <c r="AJ508">
        <v>0.02</v>
      </c>
      <c r="AK508">
        <v>82</v>
      </c>
      <c r="AL508">
        <v>175</v>
      </c>
      <c r="AM508">
        <v>82</v>
      </c>
      <c r="AN508">
        <v>-2.16</v>
      </c>
      <c r="AO508">
        <v>3.38</v>
      </c>
      <c r="AP508">
        <v>2816</v>
      </c>
      <c r="AQ508">
        <v>14</v>
      </c>
      <c r="AR508">
        <v>5.94</v>
      </c>
      <c r="AS508">
        <v>93</v>
      </c>
      <c r="AT508">
        <v>2.2799999999999998</v>
      </c>
      <c r="AU508">
        <v>98</v>
      </c>
      <c r="AV508">
        <v>-4.49</v>
      </c>
      <c r="AW508">
        <v>99</v>
      </c>
      <c r="AX508">
        <v>0.17</v>
      </c>
      <c r="AY508">
        <v>97</v>
      </c>
      <c r="AZ508">
        <v>7.28</v>
      </c>
      <c r="BA508">
        <v>93</v>
      </c>
      <c r="BB508">
        <v>4.96</v>
      </c>
      <c r="BC508">
        <v>61</v>
      </c>
      <c r="BD508">
        <v>-0.02</v>
      </c>
      <c r="BE508">
        <v>0.05</v>
      </c>
      <c r="BF508">
        <v>0.1</v>
      </c>
      <c r="BG508">
        <v>97</v>
      </c>
      <c r="BH508">
        <v>0.06</v>
      </c>
      <c r="BI508">
        <v>-21.23</v>
      </c>
      <c r="BJ508">
        <v>0</v>
      </c>
      <c r="BK508">
        <v>0</v>
      </c>
      <c r="BL508">
        <v>-1.5</v>
      </c>
      <c r="BM508">
        <v>-0.14000000000000001</v>
      </c>
      <c r="BN508">
        <v>-1.59</v>
      </c>
      <c r="BO508">
        <v>-1.55</v>
      </c>
      <c r="BP508">
        <v>-0.09</v>
      </c>
      <c r="BQ508">
        <v>-1.1200000000000001</v>
      </c>
      <c r="BR508">
        <v>1.28</v>
      </c>
      <c r="BS508">
        <v>-0.33</v>
      </c>
      <c r="BT508">
        <v>-1.42</v>
      </c>
      <c r="BU508">
        <v>-0.11</v>
      </c>
      <c r="BV508">
        <v>0.11</v>
      </c>
      <c r="BW508">
        <v>0.69</v>
      </c>
      <c r="BX508">
        <v>-0.01</v>
      </c>
      <c r="BY508">
        <v>-0.72</v>
      </c>
      <c r="BZ508">
        <v>-0.1</v>
      </c>
      <c r="CA508">
        <v>0.26</v>
      </c>
      <c r="CB508">
        <v>0.6</v>
      </c>
      <c r="CC508">
        <v>-0.56000000000000005</v>
      </c>
      <c r="CD508">
        <v>0.88</v>
      </c>
      <c r="CE508">
        <v>-0.52</v>
      </c>
      <c r="CF508">
        <v>-1.65</v>
      </c>
      <c r="CG508">
        <v>0</v>
      </c>
      <c r="CH508">
        <v>1.05</v>
      </c>
      <c r="CI508">
        <v>0</v>
      </c>
      <c r="CJ508">
        <v>-3.1</v>
      </c>
      <c r="CK508">
        <v>99</v>
      </c>
      <c r="CL508">
        <v>-0.81</v>
      </c>
      <c r="CM508">
        <v>99</v>
      </c>
      <c r="CN508">
        <v>-0.39</v>
      </c>
      <c r="CO508">
        <v>99</v>
      </c>
      <c r="CP508">
        <v>-1.8</v>
      </c>
      <c r="CQ508">
        <v>82</v>
      </c>
      <c r="CR508">
        <v>0</v>
      </c>
      <c r="CS508">
        <v>0</v>
      </c>
      <c r="CT508">
        <v>2.8</v>
      </c>
      <c r="CU508">
        <v>89</v>
      </c>
      <c r="CV508">
        <v>0.12</v>
      </c>
      <c r="CW508">
        <v>48</v>
      </c>
      <c r="CX508" t="s">
        <v>1942</v>
      </c>
    </row>
    <row r="509" spans="1:102" x14ac:dyDescent="0.3">
      <c r="A509" t="str">
        <f>HYPERLINK("https://webapp.icbf.com/v2/app/bull-search/view/671849430","KGY")</f>
        <v>KGY</v>
      </c>
      <c r="B509" t="s">
        <v>1758</v>
      </c>
      <c r="C509" t="s">
        <v>1759</v>
      </c>
      <c r="D509" s="1">
        <v>39877</v>
      </c>
      <c r="E509" t="s">
        <v>92</v>
      </c>
      <c r="F509">
        <v>69</v>
      </c>
      <c r="G509" t="s">
        <v>93</v>
      </c>
      <c r="H509">
        <v>183.16</v>
      </c>
      <c r="I509">
        <v>87</v>
      </c>
      <c r="J509">
        <v>48.78</v>
      </c>
      <c r="K509">
        <v>97</v>
      </c>
      <c r="L509">
        <v>98.05</v>
      </c>
      <c r="M509">
        <v>77</v>
      </c>
      <c r="N509">
        <v>37.479999999999997</v>
      </c>
      <c r="O509">
        <v>86</v>
      </c>
      <c r="P509">
        <v>-20.73</v>
      </c>
      <c r="Q509">
        <v>94</v>
      </c>
      <c r="R509">
        <v>2.33</v>
      </c>
      <c r="S509">
        <v>78</v>
      </c>
      <c r="T509">
        <v>17.010000000000002</v>
      </c>
      <c r="U509">
        <v>87</v>
      </c>
      <c r="V509">
        <v>0.24</v>
      </c>
      <c r="W509">
        <v>77</v>
      </c>
      <c r="X509" t="s">
        <v>94</v>
      </c>
      <c r="Y509" t="s">
        <v>329</v>
      </c>
      <c r="Z509" t="s">
        <v>330</v>
      </c>
      <c r="AA509" t="s">
        <v>1760</v>
      </c>
      <c r="AB509" t="s">
        <v>1761</v>
      </c>
      <c r="AC509">
        <v>93</v>
      </c>
      <c r="AD509">
        <v>66</v>
      </c>
      <c r="AE509">
        <v>97</v>
      </c>
      <c r="AF509">
        <v>61.83</v>
      </c>
      <c r="AG509">
        <v>6.31</v>
      </c>
      <c r="AH509">
        <v>7.01</v>
      </c>
      <c r="AI509">
        <v>7.0000000000000007E-2</v>
      </c>
      <c r="AJ509">
        <v>0.09</v>
      </c>
      <c r="AK509">
        <v>77</v>
      </c>
      <c r="AL509">
        <v>95</v>
      </c>
      <c r="AM509">
        <v>65</v>
      </c>
      <c r="AN509">
        <v>-4.54</v>
      </c>
      <c r="AO509">
        <v>3.29</v>
      </c>
      <c r="AP509">
        <v>221</v>
      </c>
      <c r="AQ509">
        <v>2</v>
      </c>
      <c r="AR509">
        <v>4.71</v>
      </c>
      <c r="AS509">
        <v>70</v>
      </c>
      <c r="AT509">
        <v>1.86</v>
      </c>
      <c r="AU509">
        <v>88</v>
      </c>
      <c r="AV509">
        <v>-3.34</v>
      </c>
      <c r="AW509">
        <v>97</v>
      </c>
      <c r="AX509">
        <v>-0.42</v>
      </c>
      <c r="AY509">
        <v>82</v>
      </c>
      <c r="AZ509">
        <v>8.02</v>
      </c>
      <c r="BA509">
        <v>64</v>
      </c>
      <c r="BB509">
        <v>5.63</v>
      </c>
      <c r="BC509">
        <v>69</v>
      </c>
      <c r="BD509">
        <v>-0.01</v>
      </c>
      <c r="BE509">
        <v>-0.03</v>
      </c>
      <c r="BF509">
        <v>0.02</v>
      </c>
      <c r="BG509">
        <v>88</v>
      </c>
      <c r="BH509">
        <v>-0.1</v>
      </c>
      <c r="BI509">
        <v>-12.34</v>
      </c>
      <c r="BJ509">
        <v>4</v>
      </c>
      <c r="BK509">
        <v>3</v>
      </c>
      <c r="BL509">
        <v>-0.73</v>
      </c>
      <c r="BM509">
        <v>1.86</v>
      </c>
      <c r="BN509">
        <v>0.2</v>
      </c>
      <c r="BO509">
        <v>-1.1599999999999999</v>
      </c>
      <c r="BP509">
        <v>0.08</v>
      </c>
      <c r="BQ509">
        <v>-0.06</v>
      </c>
      <c r="BR509">
        <v>0.98</v>
      </c>
      <c r="BS509">
        <v>-1.21</v>
      </c>
      <c r="BT509">
        <v>-1.71</v>
      </c>
      <c r="BU509">
        <v>-1.1599999999999999</v>
      </c>
      <c r="BV509">
        <v>-1.7</v>
      </c>
      <c r="BW509">
        <v>-1.6</v>
      </c>
      <c r="BX509">
        <v>-1.39</v>
      </c>
      <c r="BY509">
        <v>-1.64</v>
      </c>
      <c r="BZ509">
        <v>0.03</v>
      </c>
      <c r="CA509">
        <v>-1.52</v>
      </c>
      <c r="CB509">
        <v>-1.54</v>
      </c>
      <c r="CC509">
        <v>-0.9</v>
      </c>
      <c r="CD509">
        <v>1.4</v>
      </c>
      <c r="CE509">
        <v>-1.24</v>
      </c>
      <c r="CF509">
        <v>-0.69</v>
      </c>
      <c r="CG509">
        <v>0</v>
      </c>
      <c r="CH509">
        <v>-0.25</v>
      </c>
      <c r="CI509">
        <v>0</v>
      </c>
      <c r="CJ509">
        <v>-10</v>
      </c>
      <c r="CK509">
        <v>95</v>
      </c>
      <c r="CL509">
        <v>-0.74</v>
      </c>
      <c r="CM509">
        <v>93</v>
      </c>
      <c r="CN509">
        <v>-0.19</v>
      </c>
      <c r="CO509">
        <v>93</v>
      </c>
      <c r="CP509">
        <v>-10.1</v>
      </c>
      <c r="CQ509">
        <v>85</v>
      </c>
      <c r="CR509">
        <v>0</v>
      </c>
      <c r="CS509">
        <v>0</v>
      </c>
      <c r="CT509">
        <v>-9.1999999999999993</v>
      </c>
      <c r="CU509">
        <v>87</v>
      </c>
      <c r="CV509">
        <v>0.03</v>
      </c>
      <c r="CW509">
        <v>45</v>
      </c>
      <c r="CX509" t="s">
        <v>1762</v>
      </c>
    </row>
    <row r="510" spans="1:102" x14ac:dyDescent="0.3">
      <c r="A510" t="str">
        <f>HYPERLINK("https://webapp.icbf.com/v2/app/bull-search/view/164531362","HZO")</f>
        <v>HZO</v>
      </c>
      <c r="B510" t="s">
        <v>11632</v>
      </c>
      <c r="C510" t="s">
        <v>1229</v>
      </c>
      <c r="D510" s="1">
        <v>35994</v>
      </c>
      <c r="E510" t="s">
        <v>92</v>
      </c>
      <c r="F510">
        <v>50</v>
      </c>
      <c r="G510" t="s">
        <v>93</v>
      </c>
      <c r="H510">
        <v>182.96</v>
      </c>
      <c r="I510">
        <v>98</v>
      </c>
      <c r="J510">
        <v>57.61</v>
      </c>
      <c r="K510">
        <v>99</v>
      </c>
      <c r="L510">
        <v>88.26</v>
      </c>
      <c r="M510">
        <v>97</v>
      </c>
      <c r="N510">
        <v>0.44</v>
      </c>
      <c r="O510">
        <v>99</v>
      </c>
      <c r="P510">
        <v>-10.46</v>
      </c>
      <c r="Q510">
        <v>99</v>
      </c>
      <c r="R510">
        <v>15.44</v>
      </c>
      <c r="S510">
        <v>98</v>
      </c>
      <c r="T510">
        <v>18.34</v>
      </c>
      <c r="U510">
        <v>99</v>
      </c>
      <c r="V510">
        <v>13.33</v>
      </c>
      <c r="W510">
        <v>99</v>
      </c>
      <c r="X510" t="s">
        <v>302</v>
      </c>
      <c r="Y510" t="s">
        <v>95</v>
      </c>
      <c r="Z510" t="s">
        <v>96</v>
      </c>
      <c r="AA510" t="s">
        <v>2740</v>
      </c>
      <c r="AB510" t="s">
        <v>9069</v>
      </c>
      <c r="AC510">
        <v>2901</v>
      </c>
      <c r="AD510">
        <v>661</v>
      </c>
      <c r="AE510">
        <v>99</v>
      </c>
      <c r="AF510">
        <v>439.4</v>
      </c>
      <c r="AG510">
        <v>7.47</v>
      </c>
      <c r="AH510">
        <v>13.88</v>
      </c>
      <c r="AI510">
        <v>-0.16</v>
      </c>
      <c r="AJ510">
        <v>-0.02</v>
      </c>
      <c r="AK510">
        <v>97</v>
      </c>
      <c r="AL510">
        <v>3117</v>
      </c>
      <c r="AM510">
        <v>663</v>
      </c>
      <c r="AN510">
        <v>-3.91</v>
      </c>
      <c r="AO510">
        <v>3.14</v>
      </c>
      <c r="AP510">
        <v>4990</v>
      </c>
      <c r="AQ510">
        <v>30</v>
      </c>
      <c r="AR510">
        <v>7.99</v>
      </c>
      <c r="AS510">
        <v>98</v>
      </c>
      <c r="AT510">
        <v>3.49</v>
      </c>
      <c r="AU510">
        <v>99</v>
      </c>
      <c r="AV510">
        <v>-0.17</v>
      </c>
      <c r="AW510">
        <v>99</v>
      </c>
      <c r="AX510">
        <v>0.43</v>
      </c>
      <c r="AY510">
        <v>99</v>
      </c>
      <c r="AZ510">
        <v>5.34</v>
      </c>
      <c r="BA510">
        <v>98</v>
      </c>
      <c r="BB510">
        <v>4.34</v>
      </c>
      <c r="BC510">
        <v>98</v>
      </c>
      <c r="BD510">
        <v>-0.09</v>
      </c>
      <c r="BE510">
        <v>-0.05</v>
      </c>
      <c r="BF510">
        <v>-0.11</v>
      </c>
      <c r="BG510">
        <v>99</v>
      </c>
      <c r="BH510">
        <v>0.2</v>
      </c>
      <c r="BI510">
        <v>-19.88</v>
      </c>
      <c r="BJ510">
        <v>89</v>
      </c>
      <c r="BK510">
        <v>43</v>
      </c>
      <c r="BL510">
        <v>-1.6</v>
      </c>
      <c r="BM510">
        <v>0.96</v>
      </c>
      <c r="BN510">
        <v>-1.55</v>
      </c>
      <c r="BO510">
        <v>-1.86</v>
      </c>
      <c r="BP510">
        <v>-0.74</v>
      </c>
      <c r="BQ510">
        <v>-0.57999999999999996</v>
      </c>
      <c r="BR510">
        <v>1.1100000000000001</v>
      </c>
      <c r="BS510">
        <v>-0.31</v>
      </c>
      <c r="BT510">
        <v>-2.5</v>
      </c>
      <c r="BU510">
        <v>-1.23</v>
      </c>
      <c r="BV510">
        <v>-1.22</v>
      </c>
      <c r="BW510">
        <v>-1.1399999999999999</v>
      </c>
      <c r="BX510">
        <v>-1.61</v>
      </c>
      <c r="BY510">
        <v>-2.66</v>
      </c>
      <c r="BZ510">
        <v>2.7</v>
      </c>
      <c r="CA510">
        <v>-1.3</v>
      </c>
      <c r="CB510">
        <v>-1.46</v>
      </c>
      <c r="CC510">
        <v>-0.28999999999999998</v>
      </c>
      <c r="CD510">
        <v>1.52</v>
      </c>
      <c r="CE510">
        <v>-1.47</v>
      </c>
      <c r="CF510">
        <v>-1.37</v>
      </c>
      <c r="CG510">
        <v>0</v>
      </c>
      <c r="CH510">
        <v>-2.25</v>
      </c>
      <c r="CI510">
        <v>0</v>
      </c>
      <c r="CJ510">
        <v>-4.2</v>
      </c>
      <c r="CK510">
        <v>99</v>
      </c>
      <c r="CL510">
        <v>-0.42</v>
      </c>
      <c r="CM510">
        <v>99</v>
      </c>
      <c r="CN510">
        <v>-0.14000000000000001</v>
      </c>
      <c r="CO510">
        <v>99</v>
      </c>
      <c r="CP510">
        <v>-13.1</v>
      </c>
      <c r="CQ510">
        <v>99</v>
      </c>
      <c r="CR510">
        <v>0</v>
      </c>
      <c r="CS510">
        <v>0</v>
      </c>
      <c r="CT510">
        <v>-11</v>
      </c>
      <c r="CU510">
        <v>99</v>
      </c>
      <c r="CV510">
        <v>0.14000000000000001</v>
      </c>
      <c r="CW510">
        <v>49</v>
      </c>
      <c r="CX510" t="s">
        <v>531</v>
      </c>
    </row>
    <row r="511" spans="1:102" x14ac:dyDescent="0.3">
      <c r="A511" t="str">
        <f>HYPERLINK("https://webapp.icbf.com/v2/app/bull-search/view/1103481997","YWT")</f>
        <v>YWT</v>
      </c>
      <c r="B511" t="s">
        <v>9757</v>
      </c>
      <c r="C511" t="s">
        <v>9758</v>
      </c>
      <c r="D511" s="1">
        <v>40779</v>
      </c>
      <c r="E511" t="s">
        <v>92</v>
      </c>
      <c r="F511">
        <v>63</v>
      </c>
      <c r="G511" t="s">
        <v>93</v>
      </c>
      <c r="H511">
        <v>182.68</v>
      </c>
      <c r="I511">
        <v>86</v>
      </c>
      <c r="J511">
        <v>110.84</v>
      </c>
      <c r="K511">
        <v>95</v>
      </c>
      <c r="L511">
        <v>34.06</v>
      </c>
      <c r="M511">
        <v>80</v>
      </c>
      <c r="N511">
        <v>44.12</v>
      </c>
      <c r="O511">
        <v>85</v>
      </c>
      <c r="P511">
        <v>-37.18</v>
      </c>
      <c r="Q511">
        <v>91</v>
      </c>
      <c r="R511">
        <v>-7.9</v>
      </c>
      <c r="S511">
        <v>76</v>
      </c>
      <c r="T511">
        <v>31.81</v>
      </c>
      <c r="U511">
        <v>80</v>
      </c>
      <c r="V511">
        <v>6.93</v>
      </c>
      <c r="W511">
        <v>70</v>
      </c>
      <c r="X511" t="s">
        <v>276</v>
      </c>
      <c r="Y511" t="s">
        <v>1775</v>
      </c>
      <c r="Z511" t="s">
        <v>330</v>
      </c>
      <c r="AA511" t="s">
        <v>2278</v>
      </c>
      <c r="AB511" t="s">
        <v>144</v>
      </c>
      <c r="AC511">
        <v>74</v>
      </c>
      <c r="AD511">
        <v>32</v>
      </c>
      <c r="AE511">
        <v>95</v>
      </c>
      <c r="AF511">
        <v>244.05</v>
      </c>
      <c r="AG511">
        <v>21.81</v>
      </c>
      <c r="AH511">
        <v>14.87</v>
      </c>
      <c r="AI511">
        <v>0.21</v>
      </c>
      <c r="AJ511">
        <v>0.11</v>
      </c>
      <c r="AK511">
        <v>80</v>
      </c>
      <c r="AL511">
        <v>110</v>
      </c>
      <c r="AM511">
        <v>38</v>
      </c>
      <c r="AN511">
        <v>-0.77</v>
      </c>
      <c r="AO511">
        <v>1.96</v>
      </c>
      <c r="AP511">
        <v>261</v>
      </c>
      <c r="AQ511">
        <v>0</v>
      </c>
      <c r="AR511">
        <v>4.92</v>
      </c>
      <c r="AS511">
        <v>79</v>
      </c>
      <c r="AT511">
        <v>1.87</v>
      </c>
      <c r="AU511">
        <v>87</v>
      </c>
      <c r="AV511">
        <v>-4.1900000000000004</v>
      </c>
      <c r="AW511">
        <v>97</v>
      </c>
      <c r="AX511">
        <v>0.19</v>
      </c>
      <c r="AY511">
        <v>82</v>
      </c>
      <c r="AZ511">
        <v>7.71</v>
      </c>
      <c r="BA511">
        <v>63</v>
      </c>
      <c r="BB511">
        <v>5.39</v>
      </c>
      <c r="BC511">
        <v>53</v>
      </c>
      <c r="BD511">
        <v>-0.02</v>
      </c>
      <c r="BE511">
        <v>0.05</v>
      </c>
      <c r="BF511">
        <v>0.12</v>
      </c>
      <c r="BG511">
        <v>91</v>
      </c>
      <c r="BH511">
        <v>0.2</v>
      </c>
      <c r="BI511">
        <v>0.79</v>
      </c>
      <c r="BJ511">
        <v>0</v>
      </c>
      <c r="BK511">
        <v>0</v>
      </c>
      <c r="BL511">
        <v>-1.31</v>
      </c>
      <c r="BM511">
        <v>1.64</v>
      </c>
      <c r="BN511">
        <v>0.38</v>
      </c>
      <c r="BO511">
        <v>0</v>
      </c>
      <c r="BP511">
        <v>0.18</v>
      </c>
      <c r="BQ511">
        <v>0.7</v>
      </c>
      <c r="BR511">
        <v>1.1200000000000001</v>
      </c>
      <c r="BS511">
        <v>0</v>
      </c>
      <c r="BT511">
        <v>0</v>
      </c>
      <c r="BU511">
        <v>-0.53</v>
      </c>
      <c r="BV511">
        <v>-0.57999999999999996</v>
      </c>
      <c r="BW511">
        <v>-0.89</v>
      </c>
      <c r="BX511">
        <v>0</v>
      </c>
      <c r="BY511">
        <v>0.24</v>
      </c>
      <c r="BZ511">
        <v>0</v>
      </c>
      <c r="CA511">
        <v>-0.38</v>
      </c>
      <c r="CB511">
        <v>-0.38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-18.5</v>
      </c>
      <c r="CK511">
        <v>93</v>
      </c>
      <c r="CL511">
        <v>-1.1499999999999999</v>
      </c>
      <c r="CM511">
        <v>92</v>
      </c>
      <c r="CN511">
        <v>-0.35</v>
      </c>
      <c r="CO511">
        <v>91</v>
      </c>
      <c r="CP511">
        <v>-25.9</v>
      </c>
      <c r="CQ511">
        <v>80</v>
      </c>
      <c r="CR511">
        <v>0</v>
      </c>
      <c r="CS511">
        <v>0</v>
      </c>
      <c r="CT511">
        <v>-29.2</v>
      </c>
      <c r="CU511">
        <v>80</v>
      </c>
      <c r="CV511">
        <v>-0.09</v>
      </c>
      <c r="CW511">
        <v>45</v>
      </c>
      <c r="CX511" t="s">
        <v>9759</v>
      </c>
    </row>
    <row r="512" spans="1:102" x14ac:dyDescent="0.3">
      <c r="A512" t="str">
        <f>HYPERLINK("https://webapp.icbf.com/v2/app/bull-search/view/1364652183","JE4325")</f>
        <v>JE4325</v>
      </c>
      <c r="B512" t="s">
        <v>13904</v>
      </c>
      <c r="C512" t="s">
        <v>13905</v>
      </c>
      <c r="D512" s="1">
        <v>42429</v>
      </c>
      <c r="E512" t="s">
        <v>227</v>
      </c>
      <c r="F512">
        <v>0</v>
      </c>
      <c r="G512" t="s">
        <v>435</v>
      </c>
      <c r="H512">
        <v>182.67</v>
      </c>
      <c r="I512">
        <v>75</v>
      </c>
      <c r="J512">
        <v>65.23</v>
      </c>
      <c r="K512">
        <v>88</v>
      </c>
      <c r="L512">
        <v>70.150000000000006</v>
      </c>
      <c r="M512">
        <v>68</v>
      </c>
      <c r="N512">
        <v>46.28</v>
      </c>
      <c r="O512">
        <v>84</v>
      </c>
      <c r="P512">
        <v>-65.75</v>
      </c>
      <c r="Q512">
        <v>62</v>
      </c>
      <c r="R512">
        <v>4.41</v>
      </c>
      <c r="S512">
        <v>67</v>
      </c>
      <c r="T512">
        <v>48.09</v>
      </c>
      <c r="U512">
        <v>55</v>
      </c>
      <c r="V512">
        <v>14.26</v>
      </c>
      <c r="W512">
        <v>66</v>
      </c>
      <c r="X512" t="s">
        <v>94</v>
      </c>
      <c r="Y512" t="s">
        <v>2255</v>
      </c>
      <c r="Z512">
        <v>0</v>
      </c>
      <c r="AA512" t="s">
        <v>1744</v>
      </c>
      <c r="AB512" t="s">
        <v>13906</v>
      </c>
      <c r="AC512">
        <v>0</v>
      </c>
      <c r="AD512">
        <v>0</v>
      </c>
      <c r="AE512">
        <v>88</v>
      </c>
      <c r="AF512">
        <v>-389.59</v>
      </c>
      <c r="AG512">
        <v>10.01</v>
      </c>
      <c r="AH512">
        <v>1.59</v>
      </c>
      <c r="AI512">
        <v>0.46</v>
      </c>
      <c r="AJ512">
        <v>0.28000000000000003</v>
      </c>
      <c r="AK512">
        <v>68</v>
      </c>
      <c r="AL512">
        <v>0</v>
      </c>
      <c r="AM512">
        <v>0</v>
      </c>
      <c r="AN512">
        <v>-4.1900000000000004</v>
      </c>
      <c r="AO512">
        <v>1.4</v>
      </c>
      <c r="AP512">
        <v>282</v>
      </c>
      <c r="AQ512">
        <v>0</v>
      </c>
      <c r="AR512">
        <v>2.6</v>
      </c>
      <c r="AS512">
        <v>85</v>
      </c>
      <c r="AT512">
        <v>1.31</v>
      </c>
      <c r="AU512">
        <v>86</v>
      </c>
      <c r="AV512">
        <v>-3.54</v>
      </c>
      <c r="AW512">
        <v>97</v>
      </c>
      <c r="AX512">
        <v>1.1599999999999999</v>
      </c>
      <c r="AY512">
        <v>79</v>
      </c>
      <c r="AZ512">
        <v>6.76</v>
      </c>
      <c r="BA512">
        <v>51</v>
      </c>
      <c r="BB512">
        <v>5.0599999999999996</v>
      </c>
      <c r="BC512">
        <v>51</v>
      </c>
      <c r="BD512">
        <v>-0.05</v>
      </c>
      <c r="BE512">
        <v>-0.02</v>
      </c>
      <c r="BF512">
        <v>0.02</v>
      </c>
      <c r="BG512">
        <v>72</v>
      </c>
      <c r="BH512">
        <v>0.2</v>
      </c>
      <c r="BI512">
        <v>-22.86</v>
      </c>
      <c r="BJ512">
        <v>0</v>
      </c>
      <c r="BK512">
        <v>0</v>
      </c>
      <c r="BL512">
        <v>-3.1</v>
      </c>
      <c r="BM512">
        <v>-0.21</v>
      </c>
      <c r="BN512">
        <v>0.45</v>
      </c>
      <c r="BO512">
        <v>0.73</v>
      </c>
      <c r="BP512">
        <v>0.15</v>
      </c>
      <c r="BQ512">
        <v>-4.99</v>
      </c>
      <c r="BR512">
        <v>3.89</v>
      </c>
      <c r="BS512">
        <v>4.87</v>
      </c>
      <c r="BT512">
        <v>-2.48</v>
      </c>
      <c r="BU512">
        <v>-0.48</v>
      </c>
      <c r="BV512">
        <v>-0.94</v>
      </c>
      <c r="BW512">
        <v>-2.4900000000000002</v>
      </c>
      <c r="BX512">
        <v>-3.47</v>
      </c>
      <c r="BY512">
        <v>0.84</v>
      </c>
      <c r="BZ512">
        <v>-0.7</v>
      </c>
      <c r="CA512">
        <v>0.86</v>
      </c>
      <c r="CB512">
        <v>-0.33</v>
      </c>
      <c r="CC512">
        <v>3.15</v>
      </c>
      <c r="CD512">
        <v>-0.87</v>
      </c>
      <c r="CE512">
        <v>0.34</v>
      </c>
      <c r="CF512">
        <v>-2.61</v>
      </c>
      <c r="CG512">
        <v>0</v>
      </c>
      <c r="CH512">
        <v>-0.86</v>
      </c>
      <c r="CI512">
        <v>0</v>
      </c>
      <c r="CJ512">
        <v>-35.1</v>
      </c>
      <c r="CK512">
        <v>67</v>
      </c>
      <c r="CL512">
        <v>-1.1399999999999999</v>
      </c>
      <c r="CM512">
        <v>57</v>
      </c>
      <c r="CN512">
        <v>-0.08</v>
      </c>
      <c r="CO512">
        <v>56</v>
      </c>
      <c r="CP512">
        <v>-43.2</v>
      </c>
      <c r="CQ512">
        <v>54</v>
      </c>
      <c r="CR512">
        <v>0</v>
      </c>
      <c r="CS512">
        <v>0</v>
      </c>
      <c r="CT512">
        <v>-51.2</v>
      </c>
      <c r="CU512">
        <v>55</v>
      </c>
      <c r="CV512">
        <v>-0.28999999999999998</v>
      </c>
      <c r="CW512">
        <v>38</v>
      </c>
      <c r="CX512" t="s">
        <v>5349</v>
      </c>
    </row>
    <row r="513" spans="1:102" x14ac:dyDescent="0.3">
      <c r="A513" t="str">
        <f>HYPERLINK("https://webapp.icbf.com/v2/app/bull-search/view/1470019827","FR4685")</f>
        <v>FR4685</v>
      </c>
      <c r="B513" t="s">
        <v>7703</v>
      </c>
      <c r="C513" t="s">
        <v>7704</v>
      </c>
      <c r="D513" s="1">
        <v>42752</v>
      </c>
      <c r="E513" t="s">
        <v>92</v>
      </c>
      <c r="F513">
        <v>81</v>
      </c>
      <c r="G513" t="s">
        <v>435</v>
      </c>
      <c r="H513">
        <v>182.6</v>
      </c>
      <c r="I513">
        <v>69</v>
      </c>
      <c r="J513">
        <v>98.16</v>
      </c>
      <c r="K513">
        <v>90</v>
      </c>
      <c r="L513">
        <v>46.78</v>
      </c>
      <c r="M513">
        <v>63</v>
      </c>
      <c r="N513">
        <v>35.520000000000003</v>
      </c>
      <c r="O513">
        <v>64</v>
      </c>
      <c r="P513">
        <v>-3.46</v>
      </c>
      <c r="Q513">
        <v>47</v>
      </c>
      <c r="R513">
        <v>-2.3199999999999998</v>
      </c>
      <c r="S513">
        <v>63</v>
      </c>
      <c r="T513">
        <v>0.95</v>
      </c>
      <c r="U513">
        <v>45</v>
      </c>
      <c r="V513">
        <v>6.97</v>
      </c>
      <c r="W513">
        <v>59</v>
      </c>
      <c r="X513" t="s">
        <v>276</v>
      </c>
      <c r="Y513" t="s">
        <v>2384</v>
      </c>
      <c r="Z513" t="s">
        <v>96</v>
      </c>
      <c r="AA513" t="s">
        <v>7662</v>
      </c>
      <c r="AB513" t="s">
        <v>7705</v>
      </c>
      <c r="AC513">
        <v>0</v>
      </c>
      <c r="AD513">
        <v>0</v>
      </c>
      <c r="AE513">
        <v>90</v>
      </c>
      <c r="AF513">
        <v>92.84</v>
      </c>
      <c r="AG513">
        <v>15.79</v>
      </c>
      <c r="AH513">
        <v>12.53</v>
      </c>
      <c r="AI513">
        <v>0.2</v>
      </c>
      <c r="AJ513">
        <v>0.16</v>
      </c>
      <c r="AK513">
        <v>63</v>
      </c>
      <c r="AL513">
        <v>0</v>
      </c>
      <c r="AM513">
        <v>0</v>
      </c>
      <c r="AN513">
        <v>-2.59</v>
      </c>
      <c r="AO513">
        <v>1.1399999999999999</v>
      </c>
      <c r="AP513">
        <v>25</v>
      </c>
      <c r="AQ513">
        <v>0</v>
      </c>
      <c r="AR513">
        <v>5.7</v>
      </c>
      <c r="AS513">
        <v>59</v>
      </c>
      <c r="AT513">
        <v>2.61</v>
      </c>
      <c r="AU513">
        <v>69</v>
      </c>
      <c r="AV513">
        <v>-3.18</v>
      </c>
      <c r="AW513">
        <v>76</v>
      </c>
      <c r="AX513">
        <v>-0.09</v>
      </c>
      <c r="AY513">
        <v>54</v>
      </c>
      <c r="AZ513">
        <v>5.61</v>
      </c>
      <c r="BA513">
        <v>42</v>
      </c>
      <c r="BB513">
        <v>4.99</v>
      </c>
      <c r="BC513">
        <v>34</v>
      </c>
      <c r="BD513">
        <v>-0.01</v>
      </c>
      <c r="BE513">
        <v>0</v>
      </c>
      <c r="BF513">
        <v>7.0000000000000007E-2</v>
      </c>
      <c r="BG513">
        <v>74</v>
      </c>
      <c r="BH513">
        <v>0.12</v>
      </c>
      <c r="BI513">
        <v>-8.6</v>
      </c>
      <c r="BJ513">
        <v>0</v>
      </c>
      <c r="BK513">
        <v>0</v>
      </c>
      <c r="BL513">
        <v>-0.21</v>
      </c>
      <c r="BM513">
        <v>1.49</v>
      </c>
      <c r="BN513">
        <v>-0.52</v>
      </c>
      <c r="BO513">
        <v>-1.28</v>
      </c>
      <c r="BP513">
        <v>2.75</v>
      </c>
      <c r="BQ513">
        <v>-1.55</v>
      </c>
      <c r="BR513">
        <v>-0.43</v>
      </c>
      <c r="BS513">
        <v>-0.51</v>
      </c>
      <c r="BT513">
        <v>-1.1299999999999999</v>
      </c>
      <c r="BU513">
        <v>-1.97</v>
      </c>
      <c r="BV513">
        <v>-1.82</v>
      </c>
      <c r="BW513">
        <v>-1.08</v>
      </c>
      <c r="BX513">
        <v>-1.22</v>
      </c>
      <c r="BY513">
        <v>-1.38</v>
      </c>
      <c r="BZ513">
        <v>0.99</v>
      </c>
      <c r="CA513">
        <v>-1.31</v>
      </c>
      <c r="CB513">
        <v>-1.47</v>
      </c>
      <c r="CC513">
        <v>-0.61</v>
      </c>
      <c r="CD513">
        <v>0.9</v>
      </c>
      <c r="CE513">
        <v>-1.37</v>
      </c>
      <c r="CF513">
        <v>-1.3</v>
      </c>
      <c r="CG513">
        <v>0</v>
      </c>
      <c r="CH513">
        <v>-0.48</v>
      </c>
      <c r="CI513">
        <v>0</v>
      </c>
      <c r="CJ513">
        <v>-1.7</v>
      </c>
      <c r="CK513">
        <v>47</v>
      </c>
      <c r="CL513">
        <v>-0.5</v>
      </c>
      <c r="CM513">
        <v>47</v>
      </c>
      <c r="CN513">
        <v>-0.32</v>
      </c>
      <c r="CO513">
        <v>47</v>
      </c>
      <c r="CP513">
        <v>2</v>
      </c>
      <c r="CQ513">
        <v>43</v>
      </c>
      <c r="CR513">
        <v>0</v>
      </c>
      <c r="CS513">
        <v>0</v>
      </c>
      <c r="CT513">
        <v>12.5</v>
      </c>
      <c r="CU513">
        <v>45</v>
      </c>
      <c r="CV513">
        <v>7.0000000000000007E-2</v>
      </c>
      <c r="CW513">
        <v>36</v>
      </c>
      <c r="CX513" t="s">
        <v>316</v>
      </c>
    </row>
    <row r="514" spans="1:102" x14ac:dyDescent="0.3">
      <c r="A514" t="str">
        <f>HYPERLINK("https://webapp.icbf.com/v2/app/bull-search/view/1244859202","FR4184")</f>
        <v>FR4184</v>
      </c>
      <c r="B514" t="s">
        <v>6850</v>
      </c>
      <c r="C514" t="s">
        <v>6851</v>
      </c>
      <c r="D514" s="1">
        <v>42030</v>
      </c>
      <c r="E514" t="s">
        <v>108</v>
      </c>
      <c r="F514">
        <v>9</v>
      </c>
      <c r="G514" t="s">
        <v>435</v>
      </c>
      <c r="H514">
        <v>182.43</v>
      </c>
      <c r="I514">
        <v>69</v>
      </c>
      <c r="J514">
        <v>13.97</v>
      </c>
      <c r="K514">
        <v>83</v>
      </c>
      <c r="L514">
        <v>118.92</v>
      </c>
      <c r="M514">
        <v>60</v>
      </c>
      <c r="N514">
        <v>37</v>
      </c>
      <c r="O514">
        <v>83</v>
      </c>
      <c r="P514">
        <v>-0.55000000000000004</v>
      </c>
      <c r="Q514">
        <v>65</v>
      </c>
      <c r="R514">
        <v>3.64</v>
      </c>
      <c r="S514">
        <v>58</v>
      </c>
      <c r="T514">
        <v>10.42</v>
      </c>
      <c r="U514">
        <v>49</v>
      </c>
      <c r="V514">
        <v>-0.97</v>
      </c>
      <c r="W514">
        <v>53</v>
      </c>
      <c r="X514" t="s">
        <v>94</v>
      </c>
      <c r="Y514" t="s">
        <v>2255</v>
      </c>
      <c r="Z514" t="s">
        <v>96</v>
      </c>
      <c r="AA514" t="s">
        <v>2411</v>
      </c>
      <c r="AB514" t="s">
        <v>6852</v>
      </c>
      <c r="AC514">
        <v>0</v>
      </c>
      <c r="AD514">
        <v>0</v>
      </c>
      <c r="AE514">
        <v>83</v>
      </c>
      <c r="AF514">
        <v>-4.1900000000000004</v>
      </c>
      <c r="AG514">
        <v>3.82</v>
      </c>
      <c r="AH514">
        <v>0.96</v>
      </c>
      <c r="AI514">
        <v>0.06</v>
      </c>
      <c r="AJ514">
        <v>0.02</v>
      </c>
      <c r="AK514">
        <v>60</v>
      </c>
      <c r="AL514">
        <v>0</v>
      </c>
      <c r="AM514">
        <v>0</v>
      </c>
      <c r="AN514">
        <v>-6.8</v>
      </c>
      <c r="AO514">
        <v>2.68</v>
      </c>
      <c r="AP514">
        <v>397</v>
      </c>
      <c r="AQ514">
        <v>1</v>
      </c>
      <c r="AR514">
        <v>5.01</v>
      </c>
      <c r="AS514">
        <v>71</v>
      </c>
      <c r="AT514">
        <v>2.2400000000000002</v>
      </c>
      <c r="AU514">
        <v>90</v>
      </c>
      <c r="AV514">
        <v>-3.11</v>
      </c>
      <c r="AW514">
        <v>97</v>
      </c>
      <c r="AX514">
        <v>-0.43</v>
      </c>
      <c r="AY514">
        <v>87</v>
      </c>
      <c r="AZ514">
        <v>6.54</v>
      </c>
      <c r="BA514">
        <v>41</v>
      </c>
      <c r="BB514">
        <v>5.28</v>
      </c>
      <c r="BC514">
        <v>38</v>
      </c>
      <c r="BD514">
        <v>-0.01</v>
      </c>
      <c r="BE514">
        <v>-0.03</v>
      </c>
      <c r="BF514">
        <v>-0.01</v>
      </c>
      <c r="BG514">
        <v>66</v>
      </c>
      <c r="BH514">
        <v>0</v>
      </c>
      <c r="BI514">
        <v>3.14</v>
      </c>
      <c r="BJ514">
        <v>0</v>
      </c>
      <c r="BK514">
        <v>0</v>
      </c>
      <c r="BL514">
        <v>-2.71</v>
      </c>
      <c r="BM514">
        <v>1.85</v>
      </c>
      <c r="BN514">
        <v>-1.34</v>
      </c>
      <c r="BO514">
        <v>-2.06</v>
      </c>
      <c r="BP514">
        <v>-1.28</v>
      </c>
      <c r="BQ514">
        <v>1.02</v>
      </c>
      <c r="BR514">
        <v>-2.2000000000000002</v>
      </c>
      <c r="BS514">
        <v>1.25</v>
      </c>
      <c r="BT514">
        <v>1.02</v>
      </c>
      <c r="BU514">
        <v>-3.14</v>
      </c>
      <c r="BV514">
        <v>-1.7</v>
      </c>
      <c r="BW514">
        <v>-2.62</v>
      </c>
      <c r="BX514">
        <v>-2.27</v>
      </c>
      <c r="BY514">
        <v>-1.64</v>
      </c>
      <c r="BZ514">
        <v>2.06</v>
      </c>
      <c r="CA514">
        <v>-1.81</v>
      </c>
      <c r="CB514">
        <v>-2.4700000000000002</v>
      </c>
      <c r="CC514">
        <v>0.23</v>
      </c>
      <c r="CD514">
        <v>1.68</v>
      </c>
      <c r="CE514">
        <v>-1.99</v>
      </c>
      <c r="CF514">
        <v>-1.36</v>
      </c>
      <c r="CG514">
        <v>0</v>
      </c>
      <c r="CH514">
        <v>-2.17</v>
      </c>
      <c r="CI514">
        <v>0</v>
      </c>
      <c r="CJ514">
        <v>-2.2000000000000002</v>
      </c>
      <c r="CK514">
        <v>70</v>
      </c>
      <c r="CL514">
        <v>-0.02</v>
      </c>
      <c r="CM514">
        <v>60</v>
      </c>
      <c r="CN514">
        <v>-0.32</v>
      </c>
      <c r="CO514">
        <v>59</v>
      </c>
      <c r="CP514">
        <v>-7</v>
      </c>
      <c r="CQ514">
        <v>52</v>
      </c>
      <c r="CR514">
        <v>0</v>
      </c>
      <c r="CS514">
        <v>0</v>
      </c>
      <c r="CT514">
        <v>-0.3</v>
      </c>
      <c r="CU514">
        <v>49</v>
      </c>
      <c r="CV514">
        <v>0.04</v>
      </c>
      <c r="CW514">
        <v>40</v>
      </c>
      <c r="CX514" t="s">
        <v>4265</v>
      </c>
    </row>
    <row r="515" spans="1:102" x14ac:dyDescent="0.3">
      <c r="A515" t="str">
        <f>HYPERLINK("https://webapp.icbf.com/v2/app/bull-search/view/1292341275","FR2400")</f>
        <v>FR2400</v>
      </c>
      <c r="B515" t="s">
        <v>6133</v>
      </c>
      <c r="C515" t="s">
        <v>6134</v>
      </c>
      <c r="D515" s="1">
        <v>41808</v>
      </c>
      <c r="E515" t="s">
        <v>92</v>
      </c>
      <c r="F515">
        <v>100</v>
      </c>
      <c r="G515" t="s">
        <v>109</v>
      </c>
      <c r="H515">
        <v>182.39</v>
      </c>
      <c r="I515">
        <v>76</v>
      </c>
      <c r="J515">
        <v>99.89</v>
      </c>
      <c r="K515">
        <v>90</v>
      </c>
      <c r="L515">
        <v>44.73</v>
      </c>
      <c r="M515">
        <v>74</v>
      </c>
      <c r="N515">
        <v>24.79</v>
      </c>
      <c r="O515">
        <v>84</v>
      </c>
      <c r="P515">
        <v>-8.94</v>
      </c>
      <c r="Q515">
        <v>59</v>
      </c>
      <c r="R515">
        <v>24.07</v>
      </c>
      <c r="S515">
        <v>68</v>
      </c>
      <c r="T515">
        <v>-4.53</v>
      </c>
      <c r="U515">
        <v>45</v>
      </c>
      <c r="V515">
        <v>2.38</v>
      </c>
      <c r="W515">
        <v>52</v>
      </c>
      <c r="X515" t="s">
        <v>428</v>
      </c>
      <c r="Y515" t="s">
        <v>429</v>
      </c>
      <c r="Z515" t="s">
        <v>96</v>
      </c>
      <c r="AA515" t="s">
        <v>6135</v>
      </c>
      <c r="AB515" t="s">
        <v>2190</v>
      </c>
      <c r="AC515">
        <v>0</v>
      </c>
      <c r="AD515">
        <v>0</v>
      </c>
      <c r="AE515">
        <v>90</v>
      </c>
      <c r="AF515">
        <v>485.88</v>
      </c>
      <c r="AG515">
        <v>19.86</v>
      </c>
      <c r="AH515">
        <v>17.399999999999999</v>
      </c>
      <c r="AI515">
        <v>0.02</v>
      </c>
      <c r="AJ515">
        <v>0.02</v>
      </c>
      <c r="AK515">
        <v>74</v>
      </c>
      <c r="AL515">
        <v>0</v>
      </c>
      <c r="AM515">
        <v>0</v>
      </c>
      <c r="AN515">
        <v>-2.21</v>
      </c>
      <c r="AO515">
        <v>1.36</v>
      </c>
      <c r="AP515">
        <v>478</v>
      </c>
      <c r="AQ515">
        <v>4</v>
      </c>
      <c r="AR515">
        <v>7.84</v>
      </c>
      <c r="AS515">
        <v>86</v>
      </c>
      <c r="AT515">
        <v>3.11</v>
      </c>
      <c r="AU515">
        <v>92</v>
      </c>
      <c r="AV515">
        <v>-2.83</v>
      </c>
      <c r="AW515">
        <v>98</v>
      </c>
      <c r="AX515">
        <v>-1</v>
      </c>
      <c r="AY515">
        <v>87</v>
      </c>
      <c r="AZ515">
        <v>5.65</v>
      </c>
      <c r="BA515">
        <v>40</v>
      </c>
      <c r="BB515">
        <v>5.18</v>
      </c>
      <c r="BC515">
        <v>31</v>
      </c>
      <c r="BD515">
        <v>-0.05</v>
      </c>
      <c r="BE515">
        <v>-0.1</v>
      </c>
      <c r="BF515">
        <v>-0.28000000000000003</v>
      </c>
      <c r="BG515">
        <v>85</v>
      </c>
      <c r="BH515">
        <v>0.02</v>
      </c>
      <c r="BI515">
        <v>-5.36</v>
      </c>
      <c r="BJ515">
        <v>0</v>
      </c>
      <c r="BK515">
        <v>0</v>
      </c>
      <c r="BL515">
        <v>1.51</v>
      </c>
      <c r="BM515">
        <v>0.02</v>
      </c>
      <c r="BN515">
        <v>-0.32</v>
      </c>
      <c r="BO515">
        <v>0.03</v>
      </c>
      <c r="BP515">
        <v>0.88</v>
      </c>
      <c r="BQ515">
        <v>0.45</v>
      </c>
      <c r="BR515">
        <v>-2.35</v>
      </c>
      <c r="BS515">
        <v>0.62</v>
      </c>
      <c r="BT515">
        <v>3.12</v>
      </c>
      <c r="BU515">
        <v>2.98</v>
      </c>
      <c r="BV515">
        <v>3.41</v>
      </c>
      <c r="BW515">
        <v>2.72</v>
      </c>
      <c r="BX515">
        <v>3.12</v>
      </c>
      <c r="BY515">
        <v>2.27</v>
      </c>
      <c r="BZ515">
        <v>0.08</v>
      </c>
      <c r="CA515">
        <v>2.54</v>
      </c>
      <c r="CB515">
        <v>2.89</v>
      </c>
      <c r="CC515">
        <v>0.53</v>
      </c>
      <c r="CD515">
        <v>0.84</v>
      </c>
      <c r="CE515">
        <v>0.98</v>
      </c>
      <c r="CF515">
        <v>0.71</v>
      </c>
      <c r="CG515">
        <v>0</v>
      </c>
      <c r="CH515">
        <v>2.58</v>
      </c>
      <c r="CI515">
        <v>0</v>
      </c>
      <c r="CJ515">
        <v>-3.3</v>
      </c>
      <c r="CK515">
        <v>62</v>
      </c>
      <c r="CL515">
        <v>-1.39</v>
      </c>
      <c r="CM515">
        <v>58</v>
      </c>
      <c r="CN515">
        <v>-0.79</v>
      </c>
      <c r="CO515">
        <v>55</v>
      </c>
      <c r="CP515">
        <v>4.7</v>
      </c>
      <c r="CQ515">
        <v>45</v>
      </c>
      <c r="CR515">
        <v>0</v>
      </c>
      <c r="CS515">
        <v>0</v>
      </c>
      <c r="CT515">
        <v>19.899999999999999</v>
      </c>
      <c r="CU515">
        <v>45</v>
      </c>
      <c r="CV515">
        <v>0.16</v>
      </c>
      <c r="CW515">
        <v>38</v>
      </c>
      <c r="CX515" t="s">
        <v>465</v>
      </c>
    </row>
    <row r="516" spans="1:102" x14ac:dyDescent="0.3">
      <c r="A516" t="str">
        <f>HYPERLINK("https://webapp.icbf.com/v2/app/bull-search/view/760394209","HJH")</f>
        <v>HJH</v>
      </c>
      <c r="B516" t="s">
        <v>12687</v>
      </c>
      <c r="C516" t="s">
        <v>12688</v>
      </c>
      <c r="D516" s="1">
        <v>40043</v>
      </c>
      <c r="E516" t="s">
        <v>227</v>
      </c>
      <c r="F516">
        <v>0</v>
      </c>
      <c r="G516" t="s">
        <v>109</v>
      </c>
      <c r="H516">
        <v>182.26</v>
      </c>
      <c r="I516">
        <v>49</v>
      </c>
      <c r="J516">
        <v>53.65</v>
      </c>
      <c r="K516">
        <v>71</v>
      </c>
      <c r="L516">
        <v>75.42</v>
      </c>
      <c r="M516">
        <v>26</v>
      </c>
      <c r="N516">
        <v>43.61</v>
      </c>
      <c r="O516">
        <v>46</v>
      </c>
      <c r="P516">
        <v>-40.1</v>
      </c>
      <c r="Q516">
        <v>65</v>
      </c>
      <c r="R516">
        <v>3.25</v>
      </c>
      <c r="S516">
        <v>38</v>
      </c>
      <c r="T516">
        <v>43.8</v>
      </c>
      <c r="U516">
        <v>48</v>
      </c>
      <c r="V516">
        <v>2.63</v>
      </c>
      <c r="W516">
        <v>52</v>
      </c>
      <c r="X516" t="s">
        <v>276</v>
      </c>
      <c r="Y516" t="s">
        <v>5454</v>
      </c>
      <c r="Z516">
        <v>0</v>
      </c>
      <c r="AA516" t="s">
        <v>12689</v>
      </c>
      <c r="AB516" t="s">
        <v>12690</v>
      </c>
      <c r="AC516">
        <v>0</v>
      </c>
      <c r="AD516">
        <v>0</v>
      </c>
      <c r="AE516">
        <v>71</v>
      </c>
      <c r="AF516">
        <v>-646.73</v>
      </c>
      <c r="AG516">
        <v>12.65</v>
      </c>
      <c r="AH516">
        <v>-5.25</v>
      </c>
      <c r="AI516">
        <v>0.7</v>
      </c>
      <c r="AJ516">
        <v>0.31</v>
      </c>
      <c r="AK516">
        <v>26</v>
      </c>
      <c r="AL516">
        <v>0</v>
      </c>
      <c r="AM516">
        <v>0</v>
      </c>
      <c r="AN516">
        <v>-2.95</v>
      </c>
      <c r="AO516">
        <v>3.08</v>
      </c>
      <c r="AP516">
        <v>10</v>
      </c>
      <c r="AQ516">
        <v>0</v>
      </c>
      <c r="AR516">
        <v>2.25</v>
      </c>
      <c r="AS516">
        <v>18</v>
      </c>
      <c r="AT516">
        <v>1.37</v>
      </c>
      <c r="AU516">
        <v>32</v>
      </c>
      <c r="AV516">
        <v>-2.88</v>
      </c>
      <c r="AW516">
        <v>72</v>
      </c>
      <c r="AX516">
        <v>-0.21</v>
      </c>
      <c r="AY516">
        <v>41</v>
      </c>
      <c r="AZ516">
        <v>6.58</v>
      </c>
      <c r="BA516">
        <v>17</v>
      </c>
      <c r="BB516">
        <v>5.35</v>
      </c>
      <c r="BC516">
        <v>22</v>
      </c>
      <c r="BD516">
        <v>-0.04</v>
      </c>
      <c r="BE516">
        <v>-0.02</v>
      </c>
      <c r="BF516">
        <v>0.03</v>
      </c>
      <c r="BG516">
        <v>52</v>
      </c>
      <c r="BH516">
        <v>0.02</v>
      </c>
      <c r="BI516">
        <v>-6.16</v>
      </c>
      <c r="BJ516">
        <v>0</v>
      </c>
      <c r="BK516">
        <v>0</v>
      </c>
      <c r="BL516">
        <v>-2.75</v>
      </c>
      <c r="BM516">
        <v>-1.32</v>
      </c>
      <c r="BN516">
        <v>-0.56999999999999995</v>
      </c>
      <c r="BO516">
        <v>0.72</v>
      </c>
      <c r="BP516">
        <v>-0.59</v>
      </c>
      <c r="BQ516">
        <v>-5.43</v>
      </c>
      <c r="BR516">
        <v>2.4500000000000002</v>
      </c>
      <c r="BS516">
        <v>5.98</v>
      </c>
      <c r="BT516">
        <v>-1.22</v>
      </c>
      <c r="BU516">
        <v>-1.1399999999999999</v>
      </c>
      <c r="BV516">
        <v>-0.66</v>
      </c>
      <c r="BW516">
        <v>-2.48</v>
      </c>
      <c r="BX516">
        <v>-3.75</v>
      </c>
      <c r="BY516">
        <v>-0.2</v>
      </c>
      <c r="BZ516">
        <v>-0.49</v>
      </c>
      <c r="CA516">
        <v>0.77</v>
      </c>
      <c r="CB516">
        <v>-0.73</v>
      </c>
      <c r="CC516">
        <v>3.53</v>
      </c>
      <c r="CD516">
        <v>-1.53</v>
      </c>
      <c r="CE516">
        <v>0.49</v>
      </c>
      <c r="CF516">
        <v>-2.92</v>
      </c>
      <c r="CG516">
        <v>0</v>
      </c>
      <c r="CH516">
        <v>-0.94</v>
      </c>
      <c r="CI516">
        <v>0</v>
      </c>
      <c r="CJ516">
        <v>-20.8</v>
      </c>
      <c r="CK516">
        <v>69</v>
      </c>
      <c r="CL516">
        <v>-0.8</v>
      </c>
      <c r="CM516">
        <v>63</v>
      </c>
      <c r="CN516">
        <v>-0.16</v>
      </c>
      <c r="CO516">
        <v>60</v>
      </c>
      <c r="CP516">
        <v>-33.4</v>
      </c>
      <c r="CQ516">
        <v>52</v>
      </c>
      <c r="CR516">
        <v>0</v>
      </c>
      <c r="CS516">
        <v>0</v>
      </c>
      <c r="CT516">
        <v>-45.4</v>
      </c>
      <c r="CU516">
        <v>48</v>
      </c>
      <c r="CV516">
        <v>-0.28999999999999998</v>
      </c>
      <c r="CW516">
        <v>18</v>
      </c>
      <c r="CX516" t="s">
        <v>12691</v>
      </c>
    </row>
    <row r="517" spans="1:102" x14ac:dyDescent="0.3">
      <c r="A517" t="str">
        <f>HYPERLINK("https://webapp.icbf.com/v2/app/bull-search/view/319365270","SYX")</f>
        <v>SYX</v>
      </c>
      <c r="B517" t="s">
        <v>1085</v>
      </c>
      <c r="C517" t="s">
        <v>1086</v>
      </c>
      <c r="D517" s="1">
        <v>36358</v>
      </c>
      <c r="E517" t="s">
        <v>92</v>
      </c>
      <c r="F517">
        <v>50</v>
      </c>
      <c r="G517" t="s">
        <v>93</v>
      </c>
      <c r="H517">
        <v>182.12</v>
      </c>
      <c r="I517">
        <v>95</v>
      </c>
      <c r="J517">
        <v>34.76</v>
      </c>
      <c r="K517">
        <v>99</v>
      </c>
      <c r="L517">
        <v>86.32</v>
      </c>
      <c r="M517">
        <v>91</v>
      </c>
      <c r="N517">
        <v>32.64</v>
      </c>
      <c r="O517">
        <v>96</v>
      </c>
      <c r="P517">
        <v>-22.72</v>
      </c>
      <c r="Q517">
        <v>98</v>
      </c>
      <c r="R517">
        <v>2.23</v>
      </c>
      <c r="S517">
        <v>93</v>
      </c>
      <c r="T517">
        <v>37.58</v>
      </c>
      <c r="U517">
        <v>97</v>
      </c>
      <c r="V517">
        <v>11.31</v>
      </c>
      <c r="W517">
        <v>95</v>
      </c>
      <c r="X517" t="s">
        <v>302</v>
      </c>
      <c r="Y517" t="s">
        <v>95</v>
      </c>
      <c r="Z517" t="s">
        <v>330</v>
      </c>
      <c r="AA517" t="s">
        <v>1087</v>
      </c>
      <c r="AB517" t="s">
        <v>1088</v>
      </c>
      <c r="AC517">
        <v>430</v>
      </c>
      <c r="AD517">
        <v>152</v>
      </c>
      <c r="AE517">
        <v>99</v>
      </c>
      <c r="AF517">
        <v>-7.83</v>
      </c>
      <c r="AG517">
        <v>14.65</v>
      </c>
      <c r="AH517">
        <v>0.61</v>
      </c>
      <c r="AI517">
        <v>0.26</v>
      </c>
      <c r="AJ517">
        <v>0.02</v>
      </c>
      <c r="AK517">
        <v>91</v>
      </c>
      <c r="AL517">
        <v>435</v>
      </c>
      <c r="AM517">
        <v>151</v>
      </c>
      <c r="AN517">
        <v>-4.24</v>
      </c>
      <c r="AO517">
        <v>2.65</v>
      </c>
      <c r="AP517">
        <v>800</v>
      </c>
      <c r="AQ517">
        <v>2</v>
      </c>
      <c r="AR517">
        <v>5.55</v>
      </c>
      <c r="AS517">
        <v>91</v>
      </c>
      <c r="AT517">
        <v>2.02</v>
      </c>
      <c r="AU517">
        <v>96</v>
      </c>
      <c r="AV517">
        <v>-2.54</v>
      </c>
      <c r="AW517">
        <v>99</v>
      </c>
      <c r="AX517">
        <v>0.63</v>
      </c>
      <c r="AY517">
        <v>95</v>
      </c>
      <c r="AZ517">
        <v>5.44</v>
      </c>
      <c r="BA517">
        <v>87</v>
      </c>
      <c r="BB517">
        <v>5.1100000000000003</v>
      </c>
      <c r="BC517">
        <v>90</v>
      </c>
      <c r="BD517">
        <v>-0.02</v>
      </c>
      <c r="BE517">
        <v>-0.02</v>
      </c>
      <c r="BF517">
        <v>0.02</v>
      </c>
      <c r="BG517">
        <v>97</v>
      </c>
      <c r="BH517">
        <v>0.09</v>
      </c>
      <c r="BI517">
        <v>-26.08</v>
      </c>
      <c r="BJ517">
        <v>14</v>
      </c>
      <c r="BK517">
        <v>7</v>
      </c>
      <c r="BL517">
        <v>-2.1</v>
      </c>
      <c r="BM517">
        <v>1.85</v>
      </c>
      <c r="BN517">
        <v>0.74</v>
      </c>
      <c r="BO517">
        <v>-0.89</v>
      </c>
      <c r="BP517">
        <v>-1.45</v>
      </c>
      <c r="BQ517">
        <v>-1.1200000000000001</v>
      </c>
      <c r="BR517">
        <v>0.77</v>
      </c>
      <c r="BS517">
        <v>-0.62</v>
      </c>
      <c r="BT517">
        <v>-2.23</v>
      </c>
      <c r="BU517">
        <v>-0.63</v>
      </c>
      <c r="BV517">
        <v>-1.03</v>
      </c>
      <c r="BW517">
        <v>-0.99</v>
      </c>
      <c r="BX517">
        <v>-2.33</v>
      </c>
      <c r="BY517">
        <v>-1.1599999999999999</v>
      </c>
      <c r="BZ517">
        <v>2.11</v>
      </c>
      <c r="CA517">
        <v>-1.29</v>
      </c>
      <c r="CB517">
        <v>-1.2</v>
      </c>
      <c r="CC517">
        <v>-0.6</v>
      </c>
      <c r="CD517">
        <v>0.21</v>
      </c>
      <c r="CE517">
        <v>-1.1499999999999999</v>
      </c>
      <c r="CF517">
        <v>-2.42</v>
      </c>
      <c r="CG517">
        <v>0</v>
      </c>
      <c r="CH517">
        <v>-0.56999999999999995</v>
      </c>
      <c r="CI517">
        <v>0</v>
      </c>
      <c r="CJ517">
        <v>-12.8</v>
      </c>
      <c r="CK517">
        <v>98</v>
      </c>
      <c r="CL517">
        <v>-0.56000000000000005</v>
      </c>
      <c r="CM517">
        <v>98</v>
      </c>
      <c r="CN517">
        <v>-0.36</v>
      </c>
      <c r="CO517">
        <v>97</v>
      </c>
      <c r="CP517">
        <v>-23.3</v>
      </c>
      <c r="CQ517">
        <v>97</v>
      </c>
      <c r="CR517">
        <v>0</v>
      </c>
      <c r="CS517">
        <v>0</v>
      </c>
      <c r="CT517">
        <v>-37</v>
      </c>
      <c r="CU517">
        <v>97</v>
      </c>
      <c r="CV517">
        <v>-0.06</v>
      </c>
      <c r="CW517">
        <v>46</v>
      </c>
      <c r="CX517" t="s">
        <v>1089</v>
      </c>
    </row>
    <row r="518" spans="1:102" x14ac:dyDescent="0.3">
      <c r="A518" t="str">
        <f>HYPERLINK("https://webapp.icbf.com/v2/app/bull-search/view/669834211","LCM")</f>
        <v>LCM</v>
      </c>
      <c r="B518" t="s">
        <v>5395</v>
      </c>
      <c r="C518" t="s">
        <v>5396</v>
      </c>
      <c r="D518" s="1">
        <v>39865</v>
      </c>
      <c r="E518" t="s">
        <v>92</v>
      </c>
      <c r="F518">
        <v>91</v>
      </c>
      <c r="G518" t="s">
        <v>93</v>
      </c>
      <c r="H518">
        <v>182</v>
      </c>
      <c r="I518">
        <v>97</v>
      </c>
      <c r="J518">
        <v>86.96</v>
      </c>
      <c r="K518">
        <v>99</v>
      </c>
      <c r="L518">
        <v>48.08</v>
      </c>
      <c r="M518">
        <v>95</v>
      </c>
      <c r="N518">
        <v>46.49</v>
      </c>
      <c r="O518">
        <v>99</v>
      </c>
      <c r="P518">
        <v>-19.96</v>
      </c>
      <c r="Q518">
        <v>99</v>
      </c>
      <c r="R518">
        <v>9</v>
      </c>
      <c r="S518">
        <v>95</v>
      </c>
      <c r="T518">
        <v>15.23</v>
      </c>
      <c r="U518">
        <v>99</v>
      </c>
      <c r="V518">
        <v>-3.8</v>
      </c>
      <c r="W518">
        <v>85</v>
      </c>
      <c r="X518" t="s">
        <v>94</v>
      </c>
      <c r="Y518" t="s">
        <v>329</v>
      </c>
      <c r="Z518" t="s">
        <v>96</v>
      </c>
      <c r="AA518" t="s">
        <v>2992</v>
      </c>
      <c r="AB518" t="s">
        <v>5397</v>
      </c>
      <c r="AC518">
        <v>2315</v>
      </c>
      <c r="AD518">
        <v>1095</v>
      </c>
      <c r="AE518">
        <v>99</v>
      </c>
      <c r="AF518">
        <v>438.85</v>
      </c>
      <c r="AG518">
        <v>14.32</v>
      </c>
      <c r="AH518">
        <v>16.440000000000001</v>
      </c>
      <c r="AI518">
        <v>-0.05</v>
      </c>
      <c r="AJ518">
        <v>0.03</v>
      </c>
      <c r="AK518">
        <v>95</v>
      </c>
      <c r="AL518">
        <v>3032</v>
      </c>
      <c r="AM518">
        <v>1480</v>
      </c>
      <c r="AN518">
        <v>-1.42</v>
      </c>
      <c r="AO518">
        <v>2.4300000000000002</v>
      </c>
      <c r="AP518">
        <v>4275</v>
      </c>
      <c r="AQ518">
        <v>29</v>
      </c>
      <c r="AR518">
        <v>6.47</v>
      </c>
      <c r="AS518">
        <v>98</v>
      </c>
      <c r="AT518">
        <v>2.17</v>
      </c>
      <c r="AU518">
        <v>99</v>
      </c>
      <c r="AV518">
        <v>-4.66</v>
      </c>
      <c r="AW518">
        <v>99</v>
      </c>
      <c r="AX518">
        <v>-0.16</v>
      </c>
      <c r="AY518">
        <v>99</v>
      </c>
      <c r="AZ518">
        <v>6.1</v>
      </c>
      <c r="BA518">
        <v>96</v>
      </c>
      <c r="BB518">
        <v>5.34</v>
      </c>
      <c r="BC518">
        <v>97</v>
      </c>
      <c r="BD518">
        <v>-0.06</v>
      </c>
      <c r="BE518">
        <v>-0.03</v>
      </c>
      <c r="BF518">
        <v>-0.05</v>
      </c>
      <c r="BG518">
        <v>99</v>
      </c>
      <c r="BH518">
        <v>-0.15</v>
      </c>
      <c r="BI518">
        <v>-5.08</v>
      </c>
      <c r="BJ518">
        <v>97</v>
      </c>
      <c r="BK518">
        <v>51</v>
      </c>
      <c r="BL518">
        <v>-1.7</v>
      </c>
      <c r="BM518">
        <v>-0.38</v>
      </c>
      <c r="BN518">
        <v>-0.94</v>
      </c>
      <c r="BO518">
        <v>-0.69</v>
      </c>
      <c r="BP518">
        <v>-1.68</v>
      </c>
      <c r="BQ518">
        <v>-2.13</v>
      </c>
      <c r="BR518">
        <v>-0.14000000000000001</v>
      </c>
      <c r="BS518">
        <v>-1.23</v>
      </c>
      <c r="BT518">
        <v>-1.1299999999999999</v>
      </c>
      <c r="BU518">
        <v>-3.56</v>
      </c>
      <c r="BV518">
        <v>-2.29</v>
      </c>
      <c r="BW518">
        <v>-2.67</v>
      </c>
      <c r="BX518">
        <v>-4.5999999999999996</v>
      </c>
      <c r="BY518">
        <v>-2.9</v>
      </c>
      <c r="BZ518">
        <v>0.93</v>
      </c>
      <c r="CA518">
        <v>-2.76</v>
      </c>
      <c r="CB518">
        <v>-2.74</v>
      </c>
      <c r="CC518">
        <v>-1.4</v>
      </c>
      <c r="CD518">
        <v>-0.24</v>
      </c>
      <c r="CE518">
        <v>-0.37</v>
      </c>
      <c r="CF518">
        <v>-2.35</v>
      </c>
      <c r="CG518">
        <v>0</v>
      </c>
      <c r="CH518">
        <v>-3.04</v>
      </c>
      <c r="CI518">
        <v>0</v>
      </c>
      <c r="CJ518">
        <v>-7.5</v>
      </c>
      <c r="CK518">
        <v>99</v>
      </c>
      <c r="CL518">
        <v>-0.61</v>
      </c>
      <c r="CM518">
        <v>99</v>
      </c>
      <c r="CN518">
        <v>0.16</v>
      </c>
      <c r="CO518">
        <v>99</v>
      </c>
      <c r="CP518">
        <v>-9.6</v>
      </c>
      <c r="CQ518">
        <v>99</v>
      </c>
      <c r="CR518">
        <v>0</v>
      </c>
      <c r="CS518">
        <v>0</v>
      </c>
      <c r="CT518">
        <v>-6.8</v>
      </c>
      <c r="CU518">
        <v>99</v>
      </c>
      <c r="CV518">
        <v>0.03</v>
      </c>
      <c r="CW518">
        <v>47</v>
      </c>
      <c r="CX518" t="s">
        <v>1390</v>
      </c>
    </row>
    <row r="519" spans="1:102" x14ac:dyDescent="0.3">
      <c r="A519" t="str">
        <f>HYPERLINK("https://webapp.icbf.com/v2/app/bull-search/view/861660780","KYV")</f>
        <v>KYV</v>
      </c>
      <c r="B519" t="s">
        <v>5664</v>
      </c>
      <c r="C519" t="s">
        <v>5665</v>
      </c>
      <c r="D519" s="1">
        <v>40585</v>
      </c>
      <c r="E519" t="s">
        <v>92</v>
      </c>
      <c r="F519">
        <v>63</v>
      </c>
      <c r="G519" t="s">
        <v>93</v>
      </c>
      <c r="H519">
        <v>181.71</v>
      </c>
      <c r="I519">
        <v>78</v>
      </c>
      <c r="J519">
        <v>54.55</v>
      </c>
      <c r="K519">
        <v>93</v>
      </c>
      <c r="L519">
        <v>63.23</v>
      </c>
      <c r="M519">
        <v>67</v>
      </c>
      <c r="N519">
        <v>55.45</v>
      </c>
      <c r="O519">
        <v>73</v>
      </c>
      <c r="P519">
        <v>-24.3</v>
      </c>
      <c r="Q519">
        <v>78</v>
      </c>
      <c r="R519">
        <v>6.29</v>
      </c>
      <c r="S519">
        <v>68</v>
      </c>
      <c r="T519">
        <v>28.18</v>
      </c>
      <c r="U519">
        <v>76</v>
      </c>
      <c r="V519">
        <v>-1.69</v>
      </c>
      <c r="W519">
        <v>66</v>
      </c>
      <c r="X519" t="s">
        <v>94</v>
      </c>
      <c r="Y519" t="s">
        <v>1860</v>
      </c>
      <c r="Z519" t="s">
        <v>330</v>
      </c>
      <c r="AA519" t="s">
        <v>392</v>
      </c>
      <c r="AB519" t="s">
        <v>5666</v>
      </c>
      <c r="AC519">
        <v>24</v>
      </c>
      <c r="AD519">
        <v>19</v>
      </c>
      <c r="AE519">
        <v>93</v>
      </c>
      <c r="AF519">
        <v>9.19</v>
      </c>
      <c r="AG519">
        <v>9.7200000000000006</v>
      </c>
      <c r="AH519">
        <v>5.98</v>
      </c>
      <c r="AI519">
        <v>0.16</v>
      </c>
      <c r="AJ519">
        <v>0.1</v>
      </c>
      <c r="AK519">
        <v>67</v>
      </c>
      <c r="AL519">
        <v>25</v>
      </c>
      <c r="AM519">
        <v>17</v>
      </c>
      <c r="AN519">
        <v>-2.11</v>
      </c>
      <c r="AO519">
        <v>2.95</v>
      </c>
      <c r="AP519">
        <v>40</v>
      </c>
      <c r="AQ519">
        <v>0</v>
      </c>
      <c r="AR519">
        <v>3.48</v>
      </c>
      <c r="AS519">
        <v>63</v>
      </c>
      <c r="AT519">
        <v>1.51</v>
      </c>
      <c r="AU519">
        <v>72</v>
      </c>
      <c r="AV519">
        <v>-4.24</v>
      </c>
      <c r="AW519">
        <v>87</v>
      </c>
      <c r="AX519">
        <v>0.21</v>
      </c>
      <c r="AY519">
        <v>63</v>
      </c>
      <c r="AZ519">
        <v>5.51</v>
      </c>
      <c r="BA519">
        <v>49</v>
      </c>
      <c r="BB519">
        <v>4.75</v>
      </c>
      <c r="BC519">
        <v>49</v>
      </c>
      <c r="BD519">
        <v>-0.04</v>
      </c>
      <c r="BE519">
        <v>-0.02</v>
      </c>
      <c r="BF519">
        <v>-0.04</v>
      </c>
      <c r="BG519">
        <v>78</v>
      </c>
      <c r="BH519">
        <v>-0.16</v>
      </c>
      <c r="BI519">
        <v>-13.06</v>
      </c>
      <c r="BJ519">
        <v>2</v>
      </c>
      <c r="BK519">
        <v>1</v>
      </c>
      <c r="BL519">
        <v>-1.92</v>
      </c>
      <c r="BM519">
        <v>-2.1800000000000002</v>
      </c>
      <c r="BN519">
        <v>-2.41</v>
      </c>
      <c r="BO519">
        <v>-0.55000000000000004</v>
      </c>
      <c r="BP519">
        <v>2.62</v>
      </c>
      <c r="BQ519">
        <v>-3.89</v>
      </c>
      <c r="BR519">
        <v>1.98</v>
      </c>
      <c r="BS519">
        <v>-0.11</v>
      </c>
      <c r="BT519">
        <v>-1.81</v>
      </c>
      <c r="BU519">
        <v>-2.46</v>
      </c>
      <c r="BV519">
        <v>-2.19</v>
      </c>
      <c r="BW519">
        <v>-2.63</v>
      </c>
      <c r="BX519">
        <v>-1.64</v>
      </c>
      <c r="BY519">
        <v>-1.34</v>
      </c>
      <c r="BZ519">
        <v>-0.09</v>
      </c>
      <c r="CA519">
        <v>-1.99</v>
      </c>
      <c r="CB519">
        <v>-2.57</v>
      </c>
      <c r="CC519">
        <v>-0.42</v>
      </c>
      <c r="CD519">
        <v>-0.89</v>
      </c>
      <c r="CE519">
        <v>-0.53</v>
      </c>
      <c r="CF519">
        <v>-2.9</v>
      </c>
      <c r="CG519">
        <v>0</v>
      </c>
      <c r="CH519">
        <v>-2.17</v>
      </c>
      <c r="CI519">
        <v>0</v>
      </c>
      <c r="CJ519">
        <v>-11.1</v>
      </c>
      <c r="CK519">
        <v>81</v>
      </c>
      <c r="CL519">
        <v>-0.79</v>
      </c>
      <c r="CM519">
        <v>77</v>
      </c>
      <c r="CN519">
        <v>-0.18</v>
      </c>
      <c r="CO519">
        <v>75</v>
      </c>
      <c r="CP519">
        <v>-19.600000000000001</v>
      </c>
      <c r="CQ519">
        <v>68</v>
      </c>
      <c r="CR519">
        <v>0</v>
      </c>
      <c r="CS519">
        <v>0</v>
      </c>
      <c r="CT519">
        <v>-24.3</v>
      </c>
      <c r="CU519">
        <v>76</v>
      </c>
      <c r="CV519">
        <v>0.09</v>
      </c>
      <c r="CW519">
        <v>43</v>
      </c>
      <c r="CX519" t="s">
        <v>4059</v>
      </c>
    </row>
    <row r="520" spans="1:102" x14ac:dyDescent="0.3">
      <c r="A520" t="str">
        <f>HYPERLINK("https://webapp.icbf.com/v2/app/bull-search/view/1028556230","S2136")</f>
        <v>S2136</v>
      </c>
      <c r="B520" t="s">
        <v>8318</v>
      </c>
      <c r="C520" t="s">
        <v>8319</v>
      </c>
      <c r="D520" s="1">
        <v>40940</v>
      </c>
      <c r="E520" t="s">
        <v>92</v>
      </c>
      <c r="F520">
        <v>100</v>
      </c>
      <c r="G520" t="s">
        <v>109</v>
      </c>
      <c r="H520">
        <v>181.65</v>
      </c>
      <c r="I520">
        <v>62</v>
      </c>
      <c r="J520">
        <v>55.68</v>
      </c>
      <c r="K520">
        <v>78</v>
      </c>
      <c r="L520">
        <v>88.09</v>
      </c>
      <c r="M520">
        <v>77</v>
      </c>
      <c r="N520">
        <v>30.99</v>
      </c>
      <c r="O520">
        <v>39</v>
      </c>
      <c r="P520">
        <v>2.42</v>
      </c>
      <c r="Q520">
        <v>32</v>
      </c>
      <c r="R520">
        <v>7.7</v>
      </c>
      <c r="S520">
        <v>55</v>
      </c>
      <c r="T520">
        <v>-4.3</v>
      </c>
      <c r="U520">
        <v>22</v>
      </c>
      <c r="V520">
        <v>1.07</v>
      </c>
      <c r="W520">
        <v>16</v>
      </c>
      <c r="X520" t="s">
        <v>94</v>
      </c>
      <c r="Y520" t="s">
        <v>367</v>
      </c>
      <c r="Z520" t="s">
        <v>96</v>
      </c>
      <c r="AA520" t="s">
        <v>2269</v>
      </c>
      <c r="AB520" t="s">
        <v>8320</v>
      </c>
      <c r="AC520">
        <v>0</v>
      </c>
      <c r="AD520">
        <v>0</v>
      </c>
      <c r="AE520">
        <v>78</v>
      </c>
      <c r="AF520">
        <v>381.46</v>
      </c>
      <c r="AG520">
        <v>12.63</v>
      </c>
      <c r="AH520">
        <v>10.84</v>
      </c>
      <c r="AI520">
        <v>-0.04</v>
      </c>
      <c r="AJ520">
        <v>-0.04</v>
      </c>
      <c r="AK520">
        <v>77</v>
      </c>
      <c r="AL520">
        <v>0</v>
      </c>
      <c r="AM520">
        <v>0</v>
      </c>
      <c r="AN520">
        <v>-4.42</v>
      </c>
      <c r="AO520">
        <v>2.61</v>
      </c>
      <c r="AP520">
        <v>0</v>
      </c>
      <c r="AQ520">
        <v>1</v>
      </c>
      <c r="AR520">
        <v>7.01</v>
      </c>
      <c r="AS520">
        <v>25</v>
      </c>
      <c r="AT520">
        <v>2.87</v>
      </c>
      <c r="AU520">
        <v>82</v>
      </c>
      <c r="AV520">
        <v>-3.07</v>
      </c>
      <c r="AW520">
        <v>27</v>
      </c>
      <c r="AX520">
        <v>0.48</v>
      </c>
      <c r="AY520">
        <v>26</v>
      </c>
      <c r="AZ520">
        <v>5.58</v>
      </c>
      <c r="BA520">
        <v>20</v>
      </c>
      <c r="BB520">
        <v>4.37</v>
      </c>
      <c r="BC520">
        <v>17</v>
      </c>
      <c r="BD520">
        <v>0</v>
      </c>
      <c r="BE520">
        <v>-0.03</v>
      </c>
      <c r="BF520">
        <v>-0.12</v>
      </c>
      <c r="BG520">
        <v>86</v>
      </c>
      <c r="BH520">
        <v>-0.05</v>
      </c>
      <c r="BI520">
        <v>-9.25</v>
      </c>
      <c r="BJ520">
        <v>0</v>
      </c>
      <c r="BK520">
        <v>0</v>
      </c>
      <c r="BL520">
        <v>1.86</v>
      </c>
      <c r="BM520">
        <v>-1.39</v>
      </c>
      <c r="BN520">
        <v>-1.56</v>
      </c>
      <c r="BO520">
        <v>0.21</v>
      </c>
      <c r="BP520">
        <v>0.37</v>
      </c>
      <c r="BQ520">
        <v>0.28999999999999998</v>
      </c>
      <c r="BR520">
        <v>0.9</v>
      </c>
      <c r="BS520">
        <v>0.25</v>
      </c>
      <c r="BT520">
        <v>-0.85</v>
      </c>
      <c r="BU520">
        <v>3.71</v>
      </c>
      <c r="BV520">
        <v>2.08</v>
      </c>
      <c r="BW520">
        <v>1.69</v>
      </c>
      <c r="BX520">
        <v>4.0199999999999996</v>
      </c>
      <c r="BY520">
        <v>2.5</v>
      </c>
      <c r="BZ520">
        <v>-1.89</v>
      </c>
      <c r="CA520">
        <v>2.16</v>
      </c>
      <c r="CB520">
        <v>2.2599999999999998</v>
      </c>
      <c r="CC520">
        <v>0.51</v>
      </c>
      <c r="CD520">
        <v>0.05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5.5</v>
      </c>
      <c r="CK520">
        <v>34</v>
      </c>
      <c r="CL520">
        <v>-1.1000000000000001</v>
      </c>
      <c r="CM520">
        <v>31</v>
      </c>
      <c r="CN520">
        <v>-0.5</v>
      </c>
      <c r="CO520">
        <v>30</v>
      </c>
      <c r="CP520">
        <v>2.2000000000000002</v>
      </c>
      <c r="CQ520">
        <v>25</v>
      </c>
      <c r="CR520">
        <v>0</v>
      </c>
      <c r="CS520">
        <v>0</v>
      </c>
      <c r="CT520">
        <v>19.600000000000001</v>
      </c>
      <c r="CU520">
        <v>22</v>
      </c>
      <c r="CV520">
        <v>0.41</v>
      </c>
      <c r="CW520">
        <v>9</v>
      </c>
      <c r="CX520" t="s">
        <v>1572</v>
      </c>
    </row>
    <row r="521" spans="1:102" x14ac:dyDescent="0.3">
      <c r="A521" t="str">
        <f>HYPERLINK("https://webapp.icbf.com/v2/app/bull-search/view/910546159","SBS")</f>
        <v>SBS</v>
      </c>
      <c r="B521" t="s">
        <v>9118</v>
      </c>
      <c r="C521" t="s">
        <v>9119</v>
      </c>
      <c r="D521" s="1">
        <v>40241</v>
      </c>
      <c r="E521" t="s">
        <v>92</v>
      </c>
      <c r="F521">
        <v>100</v>
      </c>
      <c r="G521" t="s">
        <v>93</v>
      </c>
      <c r="H521">
        <v>181.41</v>
      </c>
      <c r="I521">
        <v>90</v>
      </c>
      <c r="J521">
        <v>73.790000000000006</v>
      </c>
      <c r="K521">
        <v>98</v>
      </c>
      <c r="L521">
        <v>70.569999999999993</v>
      </c>
      <c r="M521">
        <v>86</v>
      </c>
      <c r="N521">
        <v>34.07</v>
      </c>
      <c r="O521">
        <v>91</v>
      </c>
      <c r="P521">
        <v>-11.43</v>
      </c>
      <c r="Q521">
        <v>96</v>
      </c>
      <c r="R521">
        <v>5.23</v>
      </c>
      <c r="S521">
        <v>81</v>
      </c>
      <c r="T521">
        <v>3.98</v>
      </c>
      <c r="U521">
        <v>80</v>
      </c>
      <c r="V521">
        <v>5.2</v>
      </c>
      <c r="W521">
        <v>74</v>
      </c>
      <c r="X521" t="s">
        <v>94</v>
      </c>
      <c r="Y521" t="s">
        <v>1775</v>
      </c>
      <c r="Z521" t="s">
        <v>96</v>
      </c>
      <c r="AA521" t="s">
        <v>1572</v>
      </c>
      <c r="AB521" t="s">
        <v>9120</v>
      </c>
      <c r="AC521">
        <v>279</v>
      </c>
      <c r="AD521">
        <v>97</v>
      </c>
      <c r="AE521">
        <v>98</v>
      </c>
      <c r="AF521">
        <v>248.54</v>
      </c>
      <c r="AG521">
        <v>11.97</v>
      </c>
      <c r="AH521">
        <v>12.12</v>
      </c>
      <c r="AI521">
        <v>0.04</v>
      </c>
      <c r="AJ521">
        <v>0.06</v>
      </c>
      <c r="AK521">
        <v>86</v>
      </c>
      <c r="AL521">
        <v>165</v>
      </c>
      <c r="AM521">
        <v>54</v>
      </c>
      <c r="AN521">
        <v>-2.89</v>
      </c>
      <c r="AO521">
        <v>2.75</v>
      </c>
      <c r="AP521">
        <v>933</v>
      </c>
      <c r="AQ521">
        <v>7</v>
      </c>
      <c r="AR521">
        <v>8.5500000000000007</v>
      </c>
      <c r="AS521">
        <v>84</v>
      </c>
      <c r="AT521">
        <v>3.11</v>
      </c>
      <c r="AU521">
        <v>96</v>
      </c>
      <c r="AV521">
        <v>-4.4400000000000004</v>
      </c>
      <c r="AW521">
        <v>99</v>
      </c>
      <c r="AX521">
        <v>0.02</v>
      </c>
      <c r="AY521">
        <v>95</v>
      </c>
      <c r="AZ521">
        <v>6.46</v>
      </c>
      <c r="BA521">
        <v>75</v>
      </c>
      <c r="BB521">
        <v>4.7300000000000004</v>
      </c>
      <c r="BC521">
        <v>65</v>
      </c>
      <c r="BD521">
        <v>0.01</v>
      </c>
      <c r="BE521">
        <v>-0.03</v>
      </c>
      <c r="BF521">
        <v>-0.08</v>
      </c>
      <c r="BG521">
        <v>93</v>
      </c>
      <c r="BH521">
        <v>0.2</v>
      </c>
      <c r="BI521">
        <v>6.36</v>
      </c>
      <c r="BJ521">
        <v>52</v>
      </c>
      <c r="BK521">
        <v>26</v>
      </c>
      <c r="BL521">
        <v>1.54</v>
      </c>
      <c r="BM521">
        <v>-1.31</v>
      </c>
      <c r="BN521">
        <v>-0.16</v>
      </c>
      <c r="BO521">
        <v>1.02</v>
      </c>
      <c r="BP521">
        <v>2.13</v>
      </c>
      <c r="BQ521">
        <v>1.57</v>
      </c>
      <c r="BR521">
        <v>-1.68</v>
      </c>
      <c r="BS521">
        <v>2.75</v>
      </c>
      <c r="BT521">
        <v>1.81</v>
      </c>
      <c r="BU521">
        <v>2.33</v>
      </c>
      <c r="BV521">
        <v>2.73</v>
      </c>
      <c r="BW521">
        <v>2.31</v>
      </c>
      <c r="BX521">
        <v>2.2999999999999998</v>
      </c>
      <c r="BY521">
        <v>1.96</v>
      </c>
      <c r="BZ521">
        <v>-0.8</v>
      </c>
      <c r="CA521">
        <v>2.75</v>
      </c>
      <c r="CB521">
        <v>2.35</v>
      </c>
      <c r="CC521">
        <v>2.4900000000000002</v>
      </c>
      <c r="CD521">
        <v>-0.61</v>
      </c>
      <c r="CE521">
        <v>1.1000000000000001</v>
      </c>
      <c r="CF521">
        <v>1.97</v>
      </c>
      <c r="CG521">
        <v>0</v>
      </c>
      <c r="CH521">
        <v>1.89</v>
      </c>
      <c r="CI521">
        <v>0</v>
      </c>
      <c r="CJ521">
        <v>-3.5</v>
      </c>
      <c r="CK521">
        <v>97</v>
      </c>
      <c r="CL521">
        <v>-1.29</v>
      </c>
      <c r="CM521">
        <v>96</v>
      </c>
      <c r="CN521">
        <v>-0.53</v>
      </c>
      <c r="CO521">
        <v>96</v>
      </c>
      <c r="CP521">
        <v>3.4</v>
      </c>
      <c r="CQ521">
        <v>84</v>
      </c>
      <c r="CR521">
        <v>0</v>
      </c>
      <c r="CS521">
        <v>0</v>
      </c>
      <c r="CT521">
        <v>8.4</v>
      </c>
      <c r="CU521">
        <v>80</v>
      </c>
      <c r="CV521">
        <v>0.3</v>
      </c>
      <c r="CW521">
        <v>46</v>
      </c>
      <c r="CX521" t="s">
        <v>350</v>
      </c>
    </row>
    <row r="522" spans="1:102" x14ac:dyDescent="0.3">
      <c r="A522" t="str">
        <f>HYPERLINK("https://webapp.icbf.com/v2/app/bull-search/view/727337553","CQB")</f>
        <v>CQB</v>
      </c>
      <c r="B522" t="s">
        <v>9617</v>
      </c>
      <c r="C522" t="s">
        <v>9618</v>
      </c>
      <c r="D522" s="1">
        <v>39466</v>
      </c>
      <c r="E522" t="s">
        <v>108</v>
      </c>
      <c r="F522">
        <v>0</v>
      </c>
      <c r="G522" t="s">
        <v>93</v>
      </c>
      <c r="H522">
        <v>181.35</v>
      </c>
      <c r="I522">
        <v>77</v>
      </c>
      <c r="J522">
        <v>-30.99</v>
      </c>
      <c r="K522">
        <v>90</v>
      </c>
      <c r="L522">
        <v>175.02</v>
      </c>
      <c r="M522">
        <v>67</v>
      </c>
      <c r="N522">
        <v>22.09</v>
      </c>
      <c r="O522">
        <v>74</v>
      </c>
      <c r="P522">
        <v>-16.010000000000002</v>
      </c>
      <c r="Q522">
        <v>89</v>
      </c>
      <c r="R522">
        <v>10.9</v>
      </c>
      <c r="S522">
        <v>65</v>
      </c>
      <c r="T522">
        <v>22.26</v>
      </c>
      <c r="U522">
        <v>66</v>
      </c>
      <c r="V522">
        <v>-1.92</v>
      </c>
      <c r="W522">
        <v>59</v>
      </c>
      <c r="X522" t="s">
        <v>251</v>
      </c>
      <c r="Y522" t="s">
        <v>1923</v>
      </c>
      <c r="Z522" t="s">
        <v>96</v>
      </c>
      <c r="AA522" t="s">
        <v>8559</v>
      </c>
      <c r="AB522" t="s">
        <v>9619</v>
      </c>
      <c r="AC522">
        <v>22</v>
      </c>
      <c r="AD522">
        <v>9</v>
      </c>
      <c r="AE522">
        <v>90</v>
      </c>
      <c r="AF522">
        <v>-481.15</v>
      </c>
      <c r="AG522">
        <v>-3.83</v>
      </c>
      <c r="AH522">
        <v>-11.28</v>
      </c>
      <c r="AI522">
        <v>0.28000000000000003</v>
      </c>
      <c r="AJ522">
        <v>0.1</v>
      </c>
      <c r="AK522">
        <v>67</v>
      </c>
      <c r="AL522">
        <v>57</v>
      </c>
      <c r="AM522">
        <v>17</v>
      </c>
      <c r="AN522">
        <v>-10.91</v>
      </c>
      <c r="AO522">
        <v>3.03</v>
      </c>
      <c r="AP522">
        <v>55</v>
      </c>
      <c r="AQ522">
        <v>7</v>
      </c>
      <c r="AR522">
        <v>5.95</v>
      </c>
      <c r="AS522">
        <v>62</v>
      </c>
      <c r="AT522">
        <v>2.2799999999999998</v>
      </c>
      <c r="AU522">
        <v>73</v>
      </c>
      <c r="AV522">
        <v>-2.5</v>
      </c>
      <c r="AW522">
        <v>87</v>
      </c>
      <c r="AX522">
        <v>-1.03</v>
      </c>
      <c r="AY522">
        <v>75</v>
      </c>
      <c r="AZ522">
        <v>8.6999999999999993</v>
      </c>
      <c r="BA522">
        <v>50</v>
      </c>
      <c r="BB522">
        <v>6.31</v>
      </c>
      <c r="BC522">
        <v>49</v>
      </c>
      <c r="BD522">
        <v>-0.01</v>
      </c>
      <c r="BE522">
        <v>-0.06</v>
      </c>
      <c r="BF522">
        <v>-0.12</v>
      </c>
      <c r="BG522">
        <v>74</v>
      </c>
      <c r="BH522">
        <v>-0.22</v>
      </c>
      <c r="BI522">
        <v>-19.239999999999998</v>
      </c>
      <c r="BJ522">
        <v>1</v>
      </c>
      <c r="BK522">
        <v>1</v>
      </c>
      <c r="BL522">
        <v>-3.67</v>
      </c>
      <c r="BM522">
        <v>0.15</v>
      </c>
      <c r="BN522">
        <v>-3.27</v>
      </c>
      <c r="BO522">
        <v>-2.77</v>
      </c>
      <c r="BP522">
        <v>0.87</v>
      </c>
      <c r="BQ522">
        <v>-1.2</v>
      </c>
      <c r="BR522">
        <v>-2.35</v>
      </c>
      <c r="BS522">
        <v>1.1299999999999999</v>
      </c>
      <c r="BT522">
        <v>0.6</v>
      </c>
      <c r="BU522">
        <v>-2.93</v>
      </c>
      <c r="BV522">
        <v>-2.81</v>
      </c>
      <c r="BW522">
        <v>-2.94</v>
      </c>
      <c r="BX522">
        <v>-2.91</v>
      </c>
      <c r="BY522">
        <v>-1.42</v>
      </c>
      <c r="BZ522">
        <v>-2.4500000000000002</v>
      </c>
      <c r="CA522">
        <v>-2.0299999999999998</v>
      </c>
      <c r="CB522">
        <v>-2.8</v>
      </c>
      <c r="CC522">
        <v>0.45</v>
      </c>
      <c r="CD522">
        <v>2.13</v>
      </c>
      <c r="CE522">
        <v>-2.78</v>
      </c>
      <c r="CF522">
        <v>-2.78</v>
      </c>
      <c r="CG522">
        <v>0</v>
      </c>
      <c r="CH522">
        <v>-1.74</v>
      </c>
      <c r="CI522">
        <v>0</v>
      </c>
      <c r="CJ522">
        <v>-10.8</v>
      </c>
      <c r="CK522">
        <v>91</v>
      </c>
      <c r="CL522">
        <v>0.08</v>
      </c>
      <c r="CM522">
        <v>89</v>
      </c>
      <c r="CN522">
        <v>-0.05</v>
      </c>
      <c r="CO522">
        <v>88</v>
      </c>
      <c r="CP522">
        <v>-16.8</v>
      </c>
      <c r="CQ522">
        <v>75</v>
      </c>
      <c r="CR522">
        <v>0</v>
      </c>
      <c r="CS522">
        <v>0</v>
      </c>
      <c r="CT522">
        <v>-16.3</v>
      </c>
      <c r="CU522">
        <v>66</v>
      </c>
      <c r="CV522">
        <v>-0.26</v>
      </c>
      <c r="CW522">
        <v>44</v>
      </c>
      <c r="CX522" t="s">
        <v>9620</v>
      </c>
    </row>
    <row r="523" spans="1:102" x14ac:dyDescent="0.3">
      <c r="A523" t="str">
        <f>HYPERLINK("https://webapp.icbf.com/v2/app/bull-search/view/1139745473","FYO")</f>
        <v>FYO</v>
      </c>
      <c r="B523" t="s">
        <v>13390</v>
      </c>
      <c r="C523" t="s">
        <v>13391</v>
      </c>
      <c r="D523" s="1">
        <v>41680</v>
      </c>
      <c r="E523" t="s">
        <v>92</v>
      </c>
      <c r="F523">
        <v>78</v>
      </c>
      <c r="G523" t="s">
        <v>93</v>
      </c>
      <c r="H523">
        <v>181.35</v>
      </c>
      <c r="I523">
        <v>73</v>
      </c>
      <c r="J523">
        <v>73.22</v>
      </c>
      <c r="K523">
        <v>87</v>
      </c>
      <c r="L523">
        <v>81.209999999999994</v>
      </c>
      <c r="M523">
        <v>64</v>
      </c>
      <c r="N523">
        <v>26.29</v>
      </c>
      <c r="O523">
        <v>71</v>
      </c>
      <c r="P523">
        <v>-10.31</v>
      </c>
      <c r="Q523">
        <v>80</v>
      </c>
      <c r="R523">
        <v>-10.18</v>
      </c>
      <c r="S523">
        <v>64</v>
      </c>
      <c r="T523">
        <v>18.489999999999998</v>
      </c>
      <c r="U523">
        <v>59</v>
      </c>
      <c r="V523">
        <v>2.63</v>
      </c>
      <c r="W523">
        <v>61</v>
      </c>
      <c r="X523" t="s">
        <v>94</v>
      </c>
      <c r="Y523" t="s">
        <v>389</v>
      </c>
      <c r="Z523" t="s">
        <v>96</v>
      </c>
      <c r="AA523" t="s">
        <v>7865</v>
      </c>
      <c r="AB523" t="s">
        <v>13392</v>
      </c>
      <c r="AC523">
        <v>14</v>
      </c>
      <c r="AD523">
        <v>12</v>
      </c>
      <c r="AE523">
        <v>87</v>
      </c>
      <c r="AF523">
        <v>157.94</v>
      </c>
      <c r="AG523">
        <v>12.72</v>
      </c>
      <c r="AH523">
        <v>10.37</v>
      </c>
      <c r="AI523">
        <v>0.11</v>
      </c>
      <c r="AJ523">
        <v>0.09</v>
      </c>
      <c r="AK523">
        <v>64</v>
      </c>
      <c r="AL523">
        <v>14</v>
      </c>
      <c r="AM523">
        <v>12</v>
      </c>
      <c r="AN523">
        <v>-4.92</v>
      </c>
      <c r="AO523">
        <v>1.55</v>
      </c>
      <c r="AP523">
        <v>40</v>
      </c>
      <c r="AQ523">
        <v>0</v>
      </c>
      <c r="AR523">
        <v>8.33</v>
      </c>
      <c r="AS523">
        <v>57</v>
      </c>
      <c r="AT523">
        <v>3.43</v>
      </c>
      <c r="AU523">
        <v>72</v>
      </c>
      <c r="AV523">
        <v>-4.3</v>
      </c>
      <c r="AW523">
        <v>85</v>
      </c>
      <c r="AX523">
        <v>0.51</v>
      </c>
      <c r="AY523">
        <v>61</v>
      </c>
      <c r="AZ523">
        <v>6.78</v>
      </c>
      <c r="BA523">
        <v>50</v>
      </c>
      <c r="BB523">
        <v>5.23</v>
      </c>
      <c r="BC523">
        <v>45</v>
      </c>
      <c r="BD523">
        <v>0.03</v>
      </c>
      <c r="BE523">
        <v>0.06</v>
      </c>
      <c r="BF523">
        <v>7.0000000000000007E-2</v>
      </c>
      <c r="BG523">
        <v>73</v>
      </c>
      <c r="BH523">
        <v>-7.0000000000000007E-2</v>
      </c>
      <c r="BI523">
        <v>-16.579999999999998</v>
      </c>
      <c r="BJ523">
        <v>0</v>
      </c>
      <c r="BK523">
        <v>0</v>
      </c>
      <c r="BL523">
        <v>-0.75</v>
      </c>
      <c r="BM523">
        <v>0.66</v>
      </c>
      <c r="BN523">
        <v>0.06</v>
      </c>
      <c r="BO523">
        <v>-0.37</v>
      </c>
      <c r="BP523">
        <v>-2.97</v>
      </c>
      <c r="BQ523">
        <v>-0.82</v>
      </c>
      <c r="BR523">
        <v>1.79</v>
      </c>
      <c r="BS523">
        <v>0.39</v>
      </c>
      <c r="BT523">
        <v>-2.13</v>
      </c>
      <c r="BU523">
        <v>-0.5</v>
      </c>
      <c r="BV523">
        <v>-0.75</v>
      </c>
      <c r="BW523">
        <v>0.17</v>
      </c>
      <c r="BX523">
        <v>-2.21</v>
      </c>
      <c r="BY523">
        <v>-1.04</v>
      </c>
      <c r="BZ523">
        <v>-0.14000000000000001</v>
      </c>
      <c r="CA523">
        <v>-0.63</v>
      </c>
      <c r="CB523">
        <v>-0.39</v>
      </c>
      <c r="CC523">
        <v>-0.91</v>
      </c>
      <c r="CD523">
        <v>0.23</v>
      </c>
      <c r="CE523">
        <v>-1.18</v>
      </c>
      <c r="CF523">
        <v>-1.49</v>
      </c>
      <c r="CG523">
        <v>0</v>
      </c>
      <c r="CH523">
        <v>-0.3</v>
      </c>
      <c r="CI523">
        <v>0</v>
      </c>
      <c r="CJ523">
        <v>-4.2</v>
      </c>
      <c r="CK523">
        <v>83</v>
      </c>
      <c r="CL523">
        <v>-0.67</v>
      </c>
      <c r="CM523">
        <v>79</v>
      </c>
      <c r="CN523">
        <v>-0.27</v>
      </c>
      <c r="CO523">
        <v>77</v>
      </c>
      <c r="CP523">
        <v>-5.0999999999999996</v>
      </c>
      <c r="CQ523">
        <v>62</v>
      </c>
      <c r="CR523">
        <v>0</v>
      </c>
      <c r="CS523">
        <v>0</v>
      </c>
      <c r="CT523">
        <v>-11.2</v>
      </c>
      <c r="CU523">
        <v>59</v>
      </c>
      <c r="CV523">
        <v>0.2</v>
      </c>
      <c r="CW523">
        <v>43</v>
      </c>
      <c r="CX523" t="s">
        <v>7941</v>
      </c>
    </row>
    <row r="524" spans="1:102" x14ac:dyDescent="0.3">
      <c r="A524" t="str">
        <f>HYPERLINK("https://webapp.icbf.com/v2/app/bull-search/view/1605440829","S3339")</f>
        <v>S3339</v>
      </c>
      <c r="B524" t="s">
        <v>9524</v>
      </c>
      <c r="C524" t="s">
        <v>9525</v>
      </c>
      <c r="D524" s="1">
        <v>42583</v>
      </c>
      <c r="E524" t="s">
        <v>92</v>
      </c>
      <c r="F524">
        <v>100</v>
      </c>
      <c r="G524" t="s">
        <v>435</v>
      </c>
      <c r="H524">
        <v>181.32</v>
      </c>
      <c r="I524">
        <v>68</v>
      </c>
      <c r="J524">
        <v>80.010000000000005</v>
      </c>
      <c r="K524">
        <v>89</v>
      </c>
      <c r="L524">
        <v>67.52</v>
      </c>
      <c r="M524">
        <v>68</v>
      </c>
      <c r="N524">
        <v>30.81</v>
      </c>
      <c r="O524">
        <v>54</v>
      </c>
      <c r="P524">
        <v>-6.34</v>
      </c>
      <c r="Q524">
        <v>40</v>
      </c>
      <c r="R524">
        <v>16.12</v>
      </c>
      <c r="S524">
        <v>64</v>
      </c>
      <c r="T524">
        <v>-10.96</v>
      </c>
      <c r="U524">
        <v>35</v>
      </c>
      <c r="V524">
        <v>4.16</v>
      </c>
      <c r="W524">
        <v>54</v>
      </c>
      <c r="X524" t="s">
        <v>110</v>
      </c>
      <c r="Y524" t="s">
        <v>2394</v>
      </c>
      <c r="Z524" t="s">
        <v>96</v>
      </c>
      <c r="AA524" t="s">
        <v>448</v>
      </c>
      <c r="AB524" t="s">
        <v>9526</v>
      </c>
      <c r="AC524">
        <v>0</v>
      </c>
      <c r="AD524">
        <v>0</v>
      </c>
      <c r="AE524">
        <v>89</v>
      </c>
      <c r="AF524">
        <v>663.3</v>
      </c>
      <c r="AG524">
        <v>16.989999999999998</v>
      </c>
      <c r="AH524">
        <v>17.75</v>
      </c>
      <c r="AI524">
        <v>-0.14000000000000001</v>
      </c>
      <c r="AJ524">
        <v>-7.0000000000000007E-2</v>
      </c>
      <c r="AK524">
        <v>68</v>
      </c>
      <c r="AL524">
        <v>0</v>
      </c>
      <c r="AM524">
        <v>0</v>
      </c>
      <c r="AN524">
        <v>-1.74</v>
      </c>
      <c r="AO524">
        <v>3.67</v>
      </c>
      <c r="AP524">
        <v>13</v>
      </c>
      <c r="AQ524">
        <v>0</v>
      </c>
      <c r="AR524">
        <v>6.7</v>
      </c>
      <c r="AS524">
        <v>64</v>
      </c>
      <c r="AT524">
        <v>2.83</v>
      </c>
      <c r="AU524">
        <v>83</v>
      </c>
      <c r="AV524">
        <v>-2.93</v>
      </c>
      <c r="AW524">
        <v>45</v>
      </c>
      <c r="AX524">
        <v>-0.42</v>
      </c>
      <c r="AY524">
        <v>46</v>
      </c>
      <c r="AZ524">
        <v>6.25</v>
      </c>
      <c r="BA524">
        <v>36</v>
      </c>
      <c r="BB524">
        <v>4.7</v>
      </c>
      <c r="BC524">
        <v>34</v>
      </c>
      <c r="BD524">
        <v>-7.0000000000000007E-2</v>
      </c>
      <c r="BE524">
        <v>-0.06</v>
      </c>
      <c r="BF524">
        <v>-0.14000000000000001</v>
      </c>
      <c r="BG524">
        <v>77</v>
      </c>
      <c r="BH524">
        <v>-0.01</v>
      </c>
      <c r="BI524">
        <v>-14.57</v>
      </c>
      <c r="BJ524">
        <v>0</v>
      </c>
      <c r="BK524">
        <v>0</v>
      </c>
      <c r="BL524">
        <v>1.83</v>
      </c>
      <c r="BM524">
        <v>0.93</v>
      </c>
      <c r="BN524">
        <v>0.86</v>
      </c>
      <c r="BO524">
        <v>0.6</v>
      </c>
      <c r="BP524">
        <v>-0.51</v>
      </c>
      <c r="BQ524">
        <v>2.73</v>
      </c>
      <c r="BR524">
        <v>-0.53</v>
      </c>
      <c r="BS524">
        <v>1.1200000000000001</v>
      </c>
      <c r="BT524">
        <v>0.57999999999999996</v>
      </c>
      <c r="BU524">
        <v>4.58</v>
      </c>
      <c r="BV524">
        <v>3.61</v>
      </c>
      <c r="BW524">
        <v>2.4900000000000002</v>
      </c>
      <c r="BX524">
        <v>3.69</v>
      </c>
      <c r="BY524">
        <v>2.4</v>
      </c>
      <c r="BZ524">
        <v>0.39</v>
      </c>
      <c r="CA524">
        <v>2.73</v>
      </c>
      <c r="CB524">
        <v>3.05</v>
      </c>
      <c r="CC524">
        <v>0.47</v>
      </c>
      <c r="CD524">
        <v>0.63</v>
      </c>
      <c r="CE524">
        <v>0.93</v>
      </c>
      <c r="CF524">
        <v>1.84</v>
      </c>
      <c r="CG524">
        <v>0</v>
      </c>
      <c r="CH524">
        <v>1.36</v>
      </c>
      <c r="CI524">
        <v>0</v>
      </c>
      <c r="CJ524">
        <v>-1.4</v>
      </c>
      <c r="CK524">
        <v>40</v>
      </c>
      <c r="CL524">
        <v>-1.48</v>
      </c>
      <c r="CM524">
        <v>40</v>
      </c>
      <c r="CN524">
        <v>-0.81</v>
      </c>
      <c r="CO524">
        <v>39</v>
      </c>
      <c r="CP524">
        <v>9.1999999999999993</v>
      </c>
      <c r="CQ524">
        <v>36</v>
      </c>
      <c r="CR524">
        <v>0</v>
      </c>
      <c r="CS524">
        <v>0</v>
      </c>
      <c r="CT524">
        <v>28.6</v>
      </c>
      <c r="CU524">
        <v>35</v>
      </c>
      <c r="CV524">
        <v>0.22</v>
      </c>
      <c r="CW524">
        <v>33</v>
      </c>
      <c r="CX524" t="s">
        <v>2311</v>
      </c>
    </row>
    <row r="525" spans="1:102" x14ac:dyDescent="0.3">
      <c r="A525" t="str">
        <f>HYPERLINK("https://webapp.icbf.com/v2/app/bull-search/view/586071234","VRD")</f>
        <v>VRD</v>
      </c>
      <c r="B525" t="s">
        <v>2675</v>
      </c>
      <c r="C525" t="s">
        <v>2676</v>
      </c>
      <c r="D525" s="1">
        <v>38201</v>
      </c>
      <c r="E525" t="s">
        <v>92</v>
      </c>
      <c r="F525">
        <v>100</v>
      </c>
      <c r="G525" t="s">
        <v>93</v>
      </c>
      <c r="H525">
        <v>181.19</v>
      </c>
      <c r="I525">
        <v>88</v>
      </c>
      <c r="J525">
        <v>106.59</v>
      </c>
      <c r="K525">
        <v>97</v>
      </c>
      <c r="L525">
        <v>31.34</v>
      </c>
      <c r="M525">
        <v>84</v>
      </c>
      <c r="N525">
        <v>46.98</v>
      </c>
      <c r="O525">
        <v>85</v>
      </c>
      <c r="P525">
        <v>-10.3</v>
      </c>
      <c r="Q525">
        <v>92</v>
      </c>
      <c r="R525">
        <v>3.44</v>
      </c>
      <c r="S525">
        <v>78</v>
      </c>
      <c r="T525">
        <v>-4.53</v>
      </c>
      <c r="U525">
        <v>83</v>
      </c>
      <c r="V525">
        <v>7.67</v>
      </c>
      <c r="W525">
        <v>75</v>
      </c>
      <c r="X525" t="s">
        <v>94</v>
      </c>
      <c r="Y525" t="s">
        <v>1756</v>
      </c>
      <c r="Z525" t="s">
        <v>96</v>
      </c>
      <c r="AA525" t="s">
        <v>316</v>
      </c>
      <c r="AB525" t="s">
        <v>2677</v>
      </c>
      <c r="AC525">
        <v>107</v>
      </c>
      <c r="AD525">
        <v>42</v>
      </c>
      <c r="AE525">
        <v>97</v>
      </c>
      <c r="AF525">
        <v>435.9</v>
      </c>
      <c r="AG525">
        <v>16</v>
      </c>
      <c r="AH525">
        <v>19.14</v>
      </c>
      <c r="AI525">
        <v>-0.02</v>
      </c>
      <c r="AJ525">
        <v>7.0000000000000007E-2</v>
      </c>
      <c r="AK525">
        <v>84</v>
      </c>
      <c r="AL525">
        <v>112</v>
      </c>
      <c r="AM525">
        <v>44</v>
      </c>
      <c r="AN525">
        <v>-2.42</v>
      </c>
      <c r="AO525">
        <v>7.0000000000000007E-2</v>
      </c>
      <c r="AP525">
        <v>152</v>
      </c>
      <c r="AQ525">
        <v>2</v>
      </c>
      <c r="AR525">
        <v>4.41</v>
      </c>
      <c r="AS525">
        <v>79</v>
      </c>
      <c r="AT525">
        <v>1.82</v>
      </c>
      <c r="AU525">
        <v>86</v>
      </c>
      <c r="AV525">
        <v>-4.05</v>
      </c>
      <c r="AW525">
        <v>95</v>
      </c>
      <c r="AX525">
        <v>-0.49</v>
      </c>
      <c r="AY525">
        <v>82</v>
      </c>
      <c r="AZ525">
        <v>6.66</v>
      </c>
      <c r="BA525">
        <v>66</v>
      </c>
      <c r="BB525">
        <v>5.5</v>
      </c>
      <c r="BC525">
        <v>66</v>
      </c>
      <c r="BD525">
        <v>-0.03</v>
      </c>
      <c r="BE525">
        <v>-0.01</v>
      </c>
      <c r="BF525">
        <v>-0.01</v>
      </c>
      <c r="BG525">
        <v>86</v>
      </c>
      <c r="BH525">
        <v>0.11</v>
      </c>
      <c r="BI525">
        <v>-12.02</v>
      </c>
      <c r="BJ525">
        <v>8</v>
      </c>
      <c r="BK525">
        <v>2</v>
      </c>
      <c r="BL525">
        <v>0.11</v>
      </c>
      <c r="BM525">
        <v>1.02</v>
      </c>
      <c r="BN525">
        <v>0.23</v>
      </c>
      <c r="BO525">
        <v>-0.23</v>
      </c>
      <c r="BP525">
        <v>-0.66</v>
      </c>
      <c r="BQ525">
        <v>-0.23</v>
      </c>
      <c r="BR525">
        <v>-1.1100000000000001</v>
      </c>
      <c r="BS525">
        <v>0.54</v>
      </c>
      <c r="BT525">
        <v>1.2</v>
      </c>
      <c r="BU525">
        <v>0.09</v>
      </c>
      <c r="BV525">
        <v>-0.22</v>
      </c>
      <c r="BW525">
        <v>-0.3</v>
      </c>
      <c r="BX525">
        <v>-1.1000000000000001</v>
      </c>
      <c r="BY525">
        <v>0.71</v>
      </c>
      <c r="BZ525">
        <v>-0.38</v>
      </c>
      <c r="CA525">
        <v>0.52</v>
      </c>
      <c r="CB525">
        <v>0.12</v>
      </c>
      <c r="CC525">
        <v>0.83</v>
      </c>
      <c r="CD525">
        <v>0.96</v>
      </c>
      <c r="CE525">
        <v>0.4</v>
      </c>
      <c r="CF525">
        <v>0.61</v>
      </c>
      <c r="CG525">
        <v>0</v>
      </c>
      <c r="CH525">
        <v>1.1200000000000001</v>
      </c>
      <c r="CI525">
        <v>0</v>
      </c>
      <c r="CJ525">
        <v>-2</v>
      </c>
      <c r="CK525">
        <v>94</v>
      </c>
      <c r="CL525">
        <v>-1.03</v>
      </c>
      <c r="CM525">
        <v>92</v>
      </c>
      <c r="CN525">
        <v>-0.2</v>
      </c>
      <c r="CO525">
        <v>91</v>
      </c>
      <c r="CP525">
        <v>5</v>
      </c>
      <c r="CQ525">
        <v>84</v>
      </c>
      <c r="CR525">
        <v>0</v>
      </c>
      <c r="CS525">
        <v>0</v>
      </c>
      <c r="CT525">
        <v>19.899999999999999</v>
      </c>
      <c r="CU525">
        <v>83</v>
      </c>
      <c r="CV525">
        <v>0.26</v>
      </c>
      <c r="CW525">
        <v>47</v>
      </c>
      <c r="CX525" t="s">
        <v>273</v>
      </c>
    </row>
    <row r="526" spans="1:102" x14ac:dyDescent="0.3">
      <c r="A526" t="str">
        <f>HYPERLINK("https://webapp.icbf.com/v2/app/bull-search/view/586045466","PTM")</f>
        <v>PTM</v>
      </c>
      <c r="B526" t="s">
        <v>12812</v>
      </c>
      <c r="C526" t="s">
        <v>12813</v>
      </c>
      <c r="D526" s="1">
        <v>38106</v>
      </c>
      <c r="E526" t="s">
        <v>92</v>
      </c>
      <c r="F526">
        <v>100</v>
      </c>
      <c r="G526" t="s">
        <v>93</v>
      </c>
      <c r="H526">
        <v>181</v>
      </c>
      <c r="I526">
        <v>93</v>
      </c>
      <c r="J526">
        <v>46.89</v>
      </c>
      <c r="K526">
        <v>98</v>
      </c>
      <c r="L526">
        <v>81.91</v>
      </c>
      <c r="M526">
        <v>90</v>
      </c>
      <c r="N526">
        <v>43.84</v>
      </c>
      <c r="O526">
        <v>91</v>
      </c>
      <c r="P526">
        <v>-9.1999999999999993</v>
      </c>
      <c r="Q526">
        <v>96</v>
      </c>
      <c r="R526">
        <v>4.22</v>
      </c>
      <c r="S526">
        <v>86</v>
      </c>
      <c r="T526">
        <v>6.8</v>
      </c>
      <c r="U526">
        <v>91</v>
      </c>
      <c r="V526">
        <v>6.54</v>
      </c>
      <c r="W526">
        <v>84</v>
      </c>
      <c r="X526" t="s">
        <v>276</v>
      </c>
      <c r="Y526" t="s">
        <v>282</v>
      </c>
      <c r="Z526" t="s">
        <v>96</v>
      </c>
      <c r="AA526" t="s">
        <v>316</v>
      </c>
      <c r="AB526" t="s">
        <v>12814</v>
      </c>
      <c r="AC526">
        <v>208</v>
      </c>
      <c r="AD526">
        <v>100</v>
      </c>
      <c r="AE526">
        <v>98</v>
      </c>
      <c r="AF526">
        <v>304.86</v>
      </c>
      <c r="AG526">
        <v>10.18</v>
      </c>
      <c r="AH526">
        <v>9.0399999999999991</v>
      </c>
      <c r="AI526">
        <v>-0.03</v>
      </c>
      <c r="AJ526">
        <v>-0.02</v>
      </c>
      <c r="AK526">
        <v>90</v>
      </c>
      <c r="AL526">
        <v>217</v>
      </c>
      <c r="AM526">
        <v>99</v>
      </c>
      <c r="AN526">
        <v>-4.62</v>
      </c>
      <c r="AO526">
        <v>1.91</v>
      </c>
      <c r="AP526">
        <v>287</v>
      </c>
      <c r="AQ526">
        <v>3</v>
      </c>
      <c r="AR526">
        <v>3.42</v>
      </c>
      <c r="AS526">
        <v>88</v>
      </c>
      <c r="AT526">
        <v>1.38</v>
      </c>
      <c r="AU526">
        <v>91</v>
      </c>
      <c r="AV526">
        <v>-3.71</v>
      </c>
      <c r="AW526">
        <v>98</v>
      </c>
      <c r="AX526">
        <v>-0.54</v>
      </c>
      <c r="AY526">
        <v>89</v>
      </c>
      <c r="AZ526">
        <v>6.86</v>
      </c>
      <c r="BA526">
        <v>76</v>
      </c>
      <c r="BB526">
        <v>6.26</v>
      </c>
      <c r="BC526">
        <v>79</v>
      </c>
      <c r="BD526">
        <v>-0.03</v>
      </c>
      <c r="BE526">
        <v>-0.03</v>
      </c>
      <c r="BF526">
        <v>0.01</v>
      </c>
      <c r="BG526">
        <v>94</v>
      </c>
      <c r="BH526">
        <v>-0.02</v>
      </c>
      <c r="BI526">
        <v>-23.42</v>
      </c>
      <c r="BJ526">
        <v>14</v>
      </c>
      <c r="BK526">
        <v>8</v>
      </c>
      <c r="BL526">
        <v>-0.41</v>
      </c>
      <c r="BM526">
        <v>-7.0000000000000007E-2</v>
      </c>
      <c r="BN526">
        <v>-1.24</v>
      </c>
      <c r="BO526">
        <v>-0.83</v>
      </c>
      <c r="BP526">
        <v>-0.76</v>
      </c>
      <c r="BQ526">
        <v>0.45</v>
      </c>
      <c r="BR526">
        <v>-0.52</v>
      </c>
      <c r="BS526">
        <v>-0.56999999999999995</v>
      </c>
      <c r="BT526">
        <v>0.6</v>
      </c>
      <c r="BU526">
        <v>0.54</v>
      </c>
      <c r="BV526">
        <v>0.34</v>
      </c>
      <c r="BW526">
        <v>-0.75</v>
      </c>
      <c r="BX526">
        <v>0.46</v>
      </c>
      <c r="BY526">
        <v>-0.14000000000000001</v>
      </c>
      <c r="BZ526">
        <v>1.72</v>
      </c>
      <c r="CA526">
        <v>-0.14000000000000001</v>
      </c>
      <c r="CB526">
        <v>0.04</v>
      </c>
      <c r="CC526">
        <v>-0.53</v>
      </c>
      <c r="CD526">
        <v>1.61</v>
      </c>
      <c r="CE526">
        <v>-0.76</v>
      </c>
      <c r="CF526">
        <v>-0.65</v>
      </c>
      <c r="CG526">
        <v>0</v>
      </c>
      <c r="CH526">
        <v>-0.15</v>
      </c>
      <c r="CI526">
        <v>0</v>
      </c>
      <c r="CJ526">
        <v>-2.4</v>
      </c>
      <c r="CK526">
        <v>97</v>
      </c>
      <c r="CL526">
        <v>-0.76</v>
      </c>
      <c r="CM526">
        <v>96</v>
      </c>
      <c r="CN526">
        <v>-0.23</v>
      </c>
      <c r="CO526">
        <v>96</v>
      </c>
      <c r="CP526">
        <v>-4.9000000000000004</v>
      </c>
      <c r="CQ526">
        <v>92</v>
      </c>
      <c r="CR526">
        <v>0</v>
      </c>
      <c r="CS526">
        <v>0</v>
      </c>
      <c r="CT526">
        <v>4.5999999999999996</v>
      </c>
      <c r="CU526">
        <v>91</v>
      </c>
      <c r="CV526">
        <v>0.16</v>
      </c>
      <c r="CW526">
        <v>48</v>
      </c>
      <c r="CX526" t="s">
        <v>596</v>
      </c>
    </row>
    <row r="527" spans="1:102" x14ac:dyDescent="0.3">
      <c r="A527" t="str">
        <f>HYPERLINK("https://webapp.icbf.com/v2/app/bull-search/view/487001896","VDB")</f>
        <v>VDB</v>
      </c>
      <c r="B527" t="s">
        <v>6742</v>
      </c>
      <c r="C527" t="s">
        <v>6743</v>
      </c>
      <c r="D527" s="1">
        <v>38597</v>
      </c>
      <c r="E527" t="s">
        <v>92</v>
      </c>
      <c r="F527">
        <v>56</v>
      </c>
      <c r="G527" t="s">
        <v>109</v>
      </c>
      <c r="H527">
        <v>180.97</v>
      </c>
      <c r="I527">
        <v>84</v>
      </c>
      <c r="J527">
        <v>25.23</v>
      </c>
      <c r="K527">
        <v>94</v>
      </c>
      <c r="L527">
        <v>103.88</v>
      </c>
      <c r="M527">
        <v>80</v>
      </c>
      <c r="N527">
        <v>32.25</v>
      </c>
      <c r="O527">
        <v>77</v>
      </c>
      <c r="P527">
        <v>-17.88</v>
      </c>
      <c r="Q527">
        <v>80</v>
      </c>
      <c r="R527">
        <v>-0.68</v>
      </c>
      <c r="S527">
        <v>77</v>
      </c>
      <c r="T527">
        <v>27.96</v>
      </c>
      <c r="U527">
        <v>81</v>
      </c>
      <c r="V527">
        <v>10.210000000000001</v>
      </c>
      <c r="W527">
        <v>73</v>
      </c>
      <c r="X527" t="s">
        <v>276</v>
      </c>
      <c r="Y527" t="s">
        <v>435</v>
      </c>
      <c r="Z527" t="s">
        <v>330</v>
      </c>
      <c r="AA527" t="s">
        <v>1451</v>
      </c>
      <c r="AB527" t="s">
        <v>144</v>
      </c>
      <c r="AC527">
        <v>31</v>
      </c>
      <c r="AD527">
        <v>23</v>
      </c>
      <c r="AE527">
        <v>94</v>
      </c>
      <c r="AF527">
        <v>-102.25</v>
      </c>
      <c r="AG527">
        <v>5.67</v>
      </c>
      <c r="AH527">
        <v>0.72</v>
      </c>
      <c r="AI527">
        <v>0.17</v>
      </c>
      <c r="AJ527">
        <v>7.0000000000000007E-2</v>
      </c>
      <c r="AK527">
        <v>80</v>
      </c>
      <c r="AL527">
        <v>45</v>
      </c>
      <c r="AM527">
        <v>26</v>
      </c>
      <c r="AN527">
        <v>-5.2</v>
      </c>
      <c r="AO527">
        <v>3.09</v>
      </c>
      <c r="AP527">
        <v>66</v>
      </c>
      <c r="AQ527">
        <v>0</v>
      </c>
      <c r="AR527">
        <v>4.8</v>
      </c>
      <c r="AS527">
        <v>67</v>
      </c>
      <c r="AT527">
        <v>1.92</v>
      </c>
      <c r="AU527">
        <v>76</v>
      </c>
      <c r="AV527">
        <v>-1.93</v>
      </c>
      <c r="AW527">
        <v>90</v>
      </c>
      <c r="AX527">
        <v>-0.84</v>
      </c>
      <c r="AY527">
        <v>71</v>
      </c>
      <c r="AZ527">
        <v>5.86</v>
      </c>
      <c r="BA527">
        <v>54</v>
      </c>
      <c r="BB527">
        <v>5.28</v>
      </c>
      <c r="BC527">
        <v>57</v>
      </c>
      <c r="BD527">
        <v>-0.02</v>
      </c>
      <c r="BE527">
        <v>0.01</v>
      </c>
      <c r="BF527">
        <v>0.03</v>
      </c>
      <c r="BG527">
        <v>88</v>
      </c>
      <c r="BH527">
        <v>0.12</v>
      </c>
      <c r="BI527">
        <v>-19.04</v>
      </c>
      <c r="BJ527">
        <v>0</v>
      </c>
      <c r="BK527">
        <v>0</v>
      </c>
      <c r="BL527">
        <v>-1.6</v>
      </c>
      <c r="BM527">
        <v>-2.48</v>
      </c>
      <c r="BN527">
        <v>-2.4</v>
      </c>
      <c r="BO527">
        <v>0.61</v>
      </c>
      <c r="BP527">
        <v>-0.7</v>
      </c>
      <c r="BQ527">
        <v>-3.05</v>
      </c>
      <c r="BR527">
        <v>0.89</v>
      </c>
      <c r="BS527">
        <v>-0.81</v>
      </c>
      <c r="BT527">
        <v>-0.67</v>
      </c>
      <c r="BU527">
        <v>-1.25</v>
      </c>
      <c r="BV527">
        <v>-1.77</v>
      </c>
      <c r="BW527">
        <v>-1.42</v>
      </c>
      <c r="BX527">
        <v>-0.84</v>
      </c>
      <c r="BY527">
        <v>-0.94</v>
      </c>
      <c r="BZ527">
        <v>-0.56999999999999995</v>
      </c>
      <c r="CA527">
        <v>-1.49</v>
      </c>
      <c r="CB527">
        <v>-1.2</v>
      </c>
      <c r="CC527">
        <v>-0.52</v>
      </c>
      <c r="CD527">
        <v>-0.77</v>
      </c>
      <c r="CE527">
        <v>0.44</v>
      </c>
      <c r="CF527">
        <v>-0.1</v>
      </c>
      <c r="CG527">
        <v>0</v>
      </c>
      <c r="CH527">
        <v>-0.79</v>
      </c>
      <c r="CI527">
        <v>0</v>
      </c>
      <c r="CJ527">
        <v>-9.1</v>
      </c>
      <c r="CK527">
        <v>82</v>
      </c>
      <c r="CL527">
        <v>-0.54</v>
      </c>
      <c r="CM527">
        <v>79</v>
      </c>
      <c r="CN527">
        <v>-0.22</v>
      </c>
      <c r="CO527">
        <v>76</v>
      </c>
      <c r="CP527">
        <v>-15.5</v>
      </c>
      <c r="CQ527">
        <v>81</v>
      </c>
      <c r="CR527">
        <v>0</v>
      </c>
      <c r="CS527">
        <v>0</v>
      </c>
      <c r="CT527">
        <v>-24</v>
      </c>
      <c r="CU527">
        <v>81</v>
      </c>
      <c r="CV527">
        <v>0.11</v>
      </c>
      <c r="CW527">
        <v>42</v>
      </c>
      <c r="CX527" t="s">
        <v>4480</v>
      </c>
    </row>
    <row r="528" spans="1:102" x14ac:dyDescent="0.3">
      <c r="A528" t="str">
        <f>HYPERLINK("https://webapp.icbf.com/v2/app/bull-search/view/910794867","S2075")</f>
        <v>S2075</v>
      </c>
      <c r="B528" t="s">
        <v>9208</v>
      </c>
      <c r="C528" t="s">
        <v>9209</v>
      </c>
      <c r="D528" s="1">
        <v>39466</v>
      </c>
      <c r="E528" t="s">
        <v>108</v>
      </c>
      <c r="F528">
        <v>0</v>
      </c>
      <c r="G528" t="s">
        <v>109</v>
      </c>
      <c r="H528">
        <v>180.94</v>
      </c>
      <c r="I528">
        <v>69</v>
      </c>
      <c r="J528">
        <v>-0.11</v>
      </c>
      <c r="K528">
        <v>87</v>
      </c>
      <c r="L528">
        <v>135.91999999999999</v>
      </c>
      <c r="M528">
        <v>66</v>
      </c>
      <c r="N528">
        <v>31.27</v>
      </c>
      <c r="O528">
        <v>61</v>
      </c>
      <c r="P528">
        <v>-18.399999999999999</v>
      </c>
      <c r="Q528">
        <v>60</v>
      </c>
      <c r="R528">
        <v>0</v>
      </c>
      <c r="S528">
        <v>64</v>
      </c>
      <c r="T528">
        <v>26.7</v>
      </c>
      <c r="U528">
        <v>38</v>
      </c>
      <c r="V528">
        <v>5.56</v>
      </c>
      <c r="W528">
        <v>52</v>
      </c>
      <c r="X528" t="s">
        <v>110</v>
      </c>
      <c r="Y528" t="s">
        <v>367</v>
      </c>
      <c r="Z528" t="s">
        <v>96</v>
      </c>
      <c r="AA528" s="2">
        <v>38718</v>
      </c>
      <c r="AB528" t="s">
        <v>9210</v>
      </c>
      <c r="AC528">
        <v>0</v>
      </c>
      <c r="AD528">
        <v>0</v>
      </c>
      <c r="AE528">
        <v>87</v>
      </c>
      <c r="AF528">
        <v>-266.69</v>
      </c>
      <c r="AG528">
        <v>-2.3199999999999998</v>
      </c>
      <c r="AH528">
        <v>-3.28</v>
      </c>
      <c r="AI528">
        <v>0.15</v>
      </c>
      <c r="AJ528">
        <v>0.11</v>
      </c>
      <c r="AK528">
        <v>66</v>
      </c>
      <c r="AL528">
        <v>0</v>
      </c>
      <c r="AM528">
        <v>0</v>
      </c>
      <c r="AN528">
        <v>-8.1300000000000008</v>
      </c>
      <c r="AO528">
        <v>2.7</v>
      </c>
      <c r="AP528">
        <v>18</v>
      </c>
      <c r="AQ528">
        <v>0</v>
      </c>
      <c r="AR528">
        <v>6.15</v>
      </c>
      <c r="AS528">
        <v>45</v>
      </c>
      <c r="AT528">
        <v>2.2799999999999998</v>
      </c>
      <c r="AU528">
        <v>80</v>
      </c>
      <c r="AV528">
        <v>-3.14</v>
      </c>
      <c r="AW528">
        <v>68</v>
      </c>
      <c r="AX528">
        <v>-0.81</v>
      </c>
      <c r="AY528">
        <v>53</v>
      </c>
      <c r="AZ528">
        <v>6.69</v>
      </c>
      <c r="BA528">
        <v>32</v>
      </c>
      <c r="BB528">
        <v>6.04</v>
      </c>
      <c r="BC528">
        <v>28</v>
      </c>
      <c r="BD528">
        <v>0.03</v>
      </c>
      <c r="BE528">
        <v>0</v>
      </c>
      <c r="BF528">
        <v>-0.05</v>
      </c>
      <c r="BG528">
        <v>80</v>
      </c>
      <c r="BH528">
        <v>0.17</v>
      </c>
      <c r="BI528">
        <v>1.72</v>
      </c>
      <c r="BJ528">
        <v>2</v>
      </c>
      <c r="BK528">
        <v>1</v>
      </c>
      <c r="BL528">
        <v>-3.9</v>
      </c>
      <c r="BM528">
        <v>3.33</v>
      </c>
      <c r="BN528">
        <v>-2.69</v>
      </c>
      <c r="BO528">
        <v>-4.04</v>
      </c>
      <c r="BP528">
        <v>-1.97</v>
      </c>
      <c r="BQ528">
        <v>2.9</v>
      </c>
      <c r="BR528">
        <v>-2.2999999999999998</v>
      </c>
      <c r="BS528">
        <v>-0.67</v>
      </c>
      <c r="BT528">
        <v>0.76</v>
      </c>
      <c r="BU528">
        <v>-3.72</v>
      </c>
      <c r="BV528">
        <v>-4.0199999999999996</v>
      </c>
      <c r="BW528">
        <v>-2.88</v>
      </c>
      <c r="BX528">
        <v>-2.99</v>
      </c>
      <c r="BY528">
        <v>-1.46</v>
      </c>
      <c r="BZ528">
        <v>-0.24</v>
      </c>
      <c r="CA528">
        <v>-3.21</v>
      </c>
      <c r="CB528">
        <v>-3.48</v>
      </c>
      <c r="CC528">
        <v>-1.66</v>
      </c>
      <c r="CD528">
        <v>3.5</v>
      </c>
      <c r="CE528">
        <v>-3.63</v>
      </c>
      <c r="CF528">
        <v>-3.22</v>
      </c>
      <c r="CG528">
        <v>0</v>
      </c>
      <c r="CH528">
        <v>-0.8</v>
      </c>
      <c r="CI528">
        <v>0</v>
      </c>
      <c r="CJ528">
        <v>-10.3</v>
      </c>
      <c r="CK528">
        <v>63</v>
      </c>
      <c r="CL528">
        <v>-0.02</v>
      </c>
      <c r="CM528">
        <v>58</v>
      </c>
      <c r="CN528">
        <v>0.13</v>
      </c>
      <c r="CO528">
        <v>57</v>
      </c>
      <c r="CP528">
        <v>-16.399999999999999</v>
      </c>
      <c r="CQ528">
        <v>43</v>
      </c>
      <c r="CR528">
        <v>0</v>
      </c>
      <c r="CS528">
        <v>0</v>
      </c>
      <c r="CT528">
        <v>-22.3</v>
      </c>
      <c r="CU528">
        <v>38</v>
      </c>
      <c r="CV528">
        <v>0.02</v>
      </c>
      <c r="CW528">
        <v>37</v>
      </c>
      <c r="CX528" t="s">
        <v>9211</v>
      </c>
    </row>
    <row r="529" spans="1:102" x14ac:dyDescent="0.3">
      <c r="A529" t="str">
        <f>HYPERLINK("https://webapp.icbf.com/v2/app/bull-search/view/586054381","S2043")</f>
        <v>S2043</v>
      </c>
      <c r="B529" t="s">
        <v>365</v>
      </c>
      <c r="C529" t="s">
        <v>366</v>
      </c>
      <c r="D529" s="1">
        <v>38427</v>
      </c>
      <c r="E529" t="s">
        <v>92</v>
      </c>
      <c r="F529">
        <v>100</v>
      </c>
      <c r="G529" t="s">
        <v>109</v>
      </c>
      <c r="H529">
        <v>180.89</v>
      </c>
      <c r="I529">
        <v>86</v>
      </c>
      <c r="J529">
        <v>89.26</v>
      </c>
      <c r="K529">
        <v>95</v>
      </c>
      <c r="L529">
        <v>48.96</v>
      </c>
      <c r="M529">
        <v>86</v>
      </c>
      <c r="N529">
        <v>38.880000000000003</v>
      </c>
      <c r="O529">
        <v>85</v>
      </c>
      <c r="P529">
        <v>0.82</v>
      </c>
      <c r="Q529">
        <v>87</v>
      </c>
      <c r="R529">
        <v>10.74</v>
      </c>
      <c r="S529">
        <v>80</v>
      </c>
      <c r="T529">
        <v>-6.82</v>
      </c>
      <c r="U529">
        <v>62</v>
      </c>
      <c r="V529">
        <v>-0.95</v>
      </c>
      <c r="W529">
        <v>69</v>
      </c>
      <c r="X529" t="s">
        <v>102</v>
      </c>
      <c r="Y529" t="s">
        <v>367</v>
      </c>
      <c r="Z529" t="s">
        <v>96</v>
      </c>
      <c r="AA529" t="s">
        <v>316</v>
      </c>
      <c r="AB529" t="s">
        <v>368</v>
      </c>
      <c r="AC529">
        <v>0</v>
      </c>
      <c r="AD529">
        <v>0</v>
      </c>
      <c r="AE529">
        <v>95</v>
      </c>
      <c r="AF529">
        <v>469.97</v>
      </c>
      <c r="AG529">
        <v>18.98</v>
      </c>
      <c r="AH529">
        <v>15.66</v>
      </c>
      <c r="AI529">
        <v>0.01</v>
      </c>
      <c r="AJ529">
        <v>0</v>
      </c>
      <c r="AK529">
        <v>86</v>
      </c>
      <c r="AL529">
        <v>35</v>
      </c>
      <c r="AM529">
        <v>14</v>
      </c>
      <c r="AN529">
        <v>-2.25</v>
      </c>
      <c r="AO529">
        <v>1.66</v>
      </c>
      <c r="AP529">
        <v>168</v>
      </c>
      <c r="AQ529">
        <v>0</v>
      </c>
      <c r="AR529">
        <v>5.36</v>
      </c>
      <c r="AS529">
        <v>84</v>
      </c>
      <c r="AT529">
        <v>2.14</v>
      </c>
      <c r="AU529">
        <v>91</v>
      </c>
      <c r="AV529">
        <v>-3.24</v>
      </c>
      <c r="AW529">
        <v>96</v>
      </c>
      <c r="AX529">
        <v>-0.84</v>
      </c>
      <c r="AY529">
        <v>81</v>
      </c>
      <c r="AZ529">
        <v>6.72</v>
      </c>
      <c r="BA529">
        <v>58</v>
      </c>
      <c r="BB529">
        <v>5.26</v>
      </c>
      <c r="BC529">
        <v>54</v>
      </c>
      <c r="BD529">
        <v>-0.03</v>
      </c>
      <c r="BE529">
        <v>-0.03</v>
      </c>
      <c r="BF529">
        <v>-0.14000000000000001</v>
      </c>
      <c r="BG529">
        <v>92</v>
      </c>
      <c r="BH529">
        <v>-0.03</v>
      </c>
      <c r="BI529">
        <v>-0.42</v>
      </c>
      <c r="BJ529">
        <v>6</v>
      </c>
      <c r="BK529">
        <v>3</v>
      </c>
      <c r="BL529">
        <v>0.43</v>
      </c>
      <c r="BM529">
        <v>2.15</v>
      </c>
      <c r="BN529">
        <v>0.25</v>
      </c>
      <c r="BO529">
        <v>-0.82</v>
      </c>
      <c r="BP529">
        <v>1.44</v>
      </c>
      <c r="BQ529">
        <v>0.82</v>
      </c>
      <c r="BR529">
        <v>-2.52</v>
      </c>
      <c r="BS529">
        <v>-0.23</v>
      </c>
      <c r="BT529">
        <v>2.4300000000000002</v>
      </c>
      <c r="BU529">
        <v>-0.25</v>
      </c>
      <c r="BV529">
        <v>-0.83</v>
      </c>
      <c r="BW529">
        <v>0.43</v>
      </c>
      <c r="BX529">
        <v>0.79</v>
      </c>
      <c r="BY529">
        <v>-0.3</v>
      </c>
      <c r="BZ529">
        <v>-0.51</v>
      </c>
      <c r="CA529">
        <v>0.54</v>
      </c>
      <c r="CB529">
        <v>0.23</v>
      </c>
      <c r="CC529">
        <v>0.57999999999999996</v>
      </c>
      <c r="CD529">
        <v>2.0299999999999998</v>
      </c>
      <c r="CE529">
        <v>-0.75</v>
      </c>
      <c r="CF529">
        <v>0.42</v>
      </c>
      <c r="CG529">
        <v>0</v>
      </c>
      <c r="CH529">
        <v>-0.21</v>
      </c>
      <c r="CI529">
        <v>0</v>
      </c>
      <c r="CJ529">
        <v>1.5</v>
      </c>
      <c r="CK529">
        <v>90</v>
      </c>
      <c r="CL529">
        <v>-0.6</v>
      </c>
      <c r="CM529">
        <v>88</v>
      </c>
      <c r="CN529">
        <v>-0.33</v>
      </c>
      <c r="CO529">
        <v>87</v>
      </c>
      <c r="CP529">
        <v>7.2</v>
      </c>
      <c r="CQ529">
        <v>64</v>
      </c>
      <c r="CR529">
        <v>0</v>
      </c>
      <c r="CS529">
        <v>0</v>
      </c>
      <c r="CT529">
        <v>23</v>
      </c>
      <c r="CU529">
        <v>62</v>
      </c>
      <c r="CV529">
        <v>0.12</v>
      </c>
      <c r="CW529">
        <v>47</v>
      </c>
      <c r="CX529" t="s">
        <v>174</v>
      </c>
    </row>
    <row r="530" spans="1:102" x14ac:dyDescent="0.3">
      <c r="A530" t="str">
        <f>HYPERLINK("https://webapp.icbf.com/v2/app/bull-search/view/1244048261","FR2274")</f>
        <v>FR2274</v>
      </c>
      <c r="B530" t="s">
        <v>7653</v>
      </c>
      <c r="C530" t="s">
        <v>7654</v>
      </c>
      <c r="D530" s="1">
        <v>42033</v>
      </c>
      <c r="E530" t="s">
        <v>92</v>
      </c>
      <c r="F530">
        <v>69</v>
      </c>
      <c r="G530" t="s">
        <v>93</v>
      </c>
      <c r="H530">
        <v>180.83</v>
      </c>
      <c r="I530">
        <v>88</v>
      </c>
      <c r="J530">
        <v>70.319999999999993</v>
      </c>
      <c r="K530">
        <v>99</v>
      </c>
      <c r="L530">
        <v>92.95</v>
      </c>
      <c r="M530">
        <v>78</v>
      </c>
      <c r="N530">
        <v>29.23</v>
      </c>
      <c r="O530">
        <v>91</v>
      </c>
      <c r="P530">
        <v>-3.16</v>
      </c>
      <c r="Q530">
        <v>97</v>
      </c>
      <c r="R530">
        <v>-7.42</v>
      </c>
      <c r="S530">
        <v>82</v>
      </c>
      <c r="T530">
        <v>0.95</v>
      </c>
      <c r="U530">
        <v>82</v>
      </c>
      <c r="V530">
        <v>-2.04</v>
      </c>
      <c r="W530">
        <v>75</v>
      </c>
      <c r="X530" t="s">
        <v>102</v>
      </c>
      <c r="Y530" t="s">
        <v>416</v>
      </c>
      <c r="Z530" t="s">
        <v>96</v>
      </c>
      <c r="AA530" t="s">
        <v>2157</v>
      </c>
      <c r="AB530" t="s">
        <v>6083</v>
      </c>
      <c r="AC530">
        <v>600</v>
      </c>
      <c r="AD530">
        <v>226</v>
      </c>
      <c r="AE530">
        <v>99</v>
      </c>
      <c r="AF530">
        <v>64.38</v>
      </c>
      <c r="AG530">
        <v>6.09</v>
      </c>
      <c r="AH530">
        <v>10.79</v>
      </c>
      <c r="AI530">
        <v>0.06</v>
      </c>
      <c r="AJ530">
        <v>0.15</v>
      </c>
      <c r="AK530">
        <v>78</v>
      </c>
      <c r="AL530">
        <v>11</v>
      </c>
      <c r="AM530">
        <v>6</v>
      </c>
      <c r="AN530">
        <v>-4.49</v>
      </c>
      <c r="AO530">
        <v>2.93</v>
      </c>
      <c r="AP530">
        <v>2215</v>
      </c>
      <c r="AQ530">
        <v>22</v>
      </c>
      <c r="AR530">
        <v>6.2</v>
      </c>
      <c r="AS530">
        <v>93</v>
      </c>
      <c r="AT530">
        <v>2.29</v>
      </c>
      <c r="AU530">
        <v>98</v>
      </c>
      <c r="AV530">
        <v>-2.87</v>
      </c>
      <c r="AW530">
        <v>99</v>
      </c>
      <c r="AX530">
        <v>-0.57999999999999996</v>
      </c>
      <c r="AY530">
        <v>97</v>
      </c>
      <c r="AZ530">
        <v>7.85</v>
      </c>
      <c r="BA530">
        <v>89</v>
      </c>
      <c r="BB530">
        <v>5.54</v>
      </c>
      <c r="BC530">
        <v>46</v>
      </c>
      <c r="BD530">
        <v>0.01</v>
      </c>
      <c r="BE530">
        <v>0.06</v>
      </c>
      <c r="BF530">
        <v>0.04</v>
      </c>
      <c r="BG530">
        <v>95</v>
      </c>
      <c r="BH530">
        <v>0.09</v>
      </c>
      <c r="BI530">
        <v>16.989999999999998</v>
      </c>
      <c r="BJ530">
        <v>2</v>
      </c>
      <c r="BK530">
        <v>1</v>
      </c>
      <c r="BL530">
        <v>-1.47</v>
      </c>
      <c r="BM530">
        <v>1.51</v>
      </c>
      <c r="BN530">
        <v>-2.09</v>
      </c>
      <c r="BO530">
        <v>-2.79</v>
      </c>
      <c r="BP530">
        <v>0.87</v>
      </c>
      <c r="BQ530">
        <v>-2.09</v>
      </c>
      <c r="BR530">
        <v>-2.37</v>
      </c>
      <c r="BS530">
        <v>-0.27</v>
      </c>
      <c r="BT530">
        <v>1.95</v>
      </c>
      <c r="BU530">
        <v>-1.1200000000000001</v>
      </c>
      <c r="BV530">
        <v>-2.5099999999999998</v>
      </c>
      <c r="BW530">
        <v>-1.67</v>
      </c>
      <c r="BX530">
        <v>-0.91</v>
      </c>
      <c r="BY530">
        <v>-2.15</v>
      </c>
      <c r="BZ530">
        <v>-0.42</v>
      </c>
      <c r="CA530">
        <v>-0.92</v>
      </c>
      <c r="CB530">
        <v>-1.65</v>
      </c>
      <c r="CC530">
        <v>-0.06</v>
      </c>
      <c r="CD530">
        <v>2.65</v>
      </c>
      <c r="CE530">
        <v>-2.27</v>
      </c>
      <c r="CF530">
        <v>-0.76</v>
      </c>
      <c r="CG530">
        <v>0</v>
      </c>
      <c r="CH530">
        <v>-0.75</v>
      </c>
      <c r="CI530">
        <v>0</v>
      </c>
      <c r="CJ530">
        <v>-2.1</v>
      </c>
      <c r="CK530">
        <v>99</v>
      </c>
      <c r="CL530">
        <v>-0.25</v>
      </c>
      <c r="CM530">
        <v>98</v>
      </c>
      <c r="CN530">
        <v>-0.14000000000000001</v>
      </c>
      <c r="CO530">
        <v>98</v>
      </c>
      <c r="CP530">
        <v>4.5</v>
      </c>
      <c r="CQ530">
        <v>75</v>
      </c>
      <c r="CR530">
        <v>0</v>
      </c>
      <c r="CS530">
        <v>0</v>
      </c>
      <c r="CT530">
        <v>12.5</v>
      </c>
      <c r="CU530">
        <v>82</v>
      </c>
      <c r="CV530">
        <v>0.03</v>
      </c>
      <c r="CW530">
        <v>47</v>
      </c>
      <c r="CX530" t="s">
        <v>5102</v>
      </c>
    </row>
    <row r="531" spans="1:102" x14ac:dyDescent="0.3">
      <c r="A531" t="str">
        <f>HYPERLINK("https://webapp.icbf.com/v2/app/bull-search/view/1138101098","FR2077")</f>
        <v>FR2077</v>
      </c>
      <c r="B531" t="s">
        <v>13598</v>
      </c>
      <c r="C531" t="s">
        <v>13599</v>
      </c>
      <c r="D531" s="1">
        <v>41674</v>
      </c>
      <c r="E531" t="s">
        <v>92</v>
      </c>
      <c r="F531">
        <v>84</v>
      </c>
      <c r="G531" t="s">
        <v>93</v>
      </c>
      <c r="H531">
        <v>180.56</v>
      </c>
      <c r="I531">
        <v>88</v>
      </c>
      <c r="J531">
        <v>16.239999999999998</v>
      </c>
      <c r="K531">
        <v>98</v>
      </c>
      <c r="L531">
        <v>125.81</v>
      </c>
      <c r="M531">
        <v>80</v>
      </c>
      <c r="N531">
        <v>30.59</v>
      </c>
      <c r="O531">
        <v>89</v>
      </c>
      <c r="P531">
        <v>-10.84</v>
      </c>
      <c r="Q531">
        <v>94</v>
      </c>
      <c r="R531">
        <v>15.21</v>
      </c>
      <c r="S531">
        <v>79</v>
      </c>
      <c r="T531">
        <v>1.99</v>
      </c>
      <c r="U531">
        <v>82</v>
      </c>
      <c r="V531">
        <v>1.56</v>
      </c>
      <c r="W531">
        <v>75</v>
      </c>
      <c r="X531" t="s">
        <v>94</v>
      </c>
      <c r="Y531" t="s">
        <v>416</v>
      </c>
      <c r="Z531" t="s">
        <v>96</v>
      </c>
      <c r="AA531" t="s">
        <v>9180</v>
      </c>
      <c r="AB531" t="s">
        <v>13600</v>
      </c>
      <c r="AC531">
        <v>225</v>
      </c>
      <c r="AD531">
        <v>101</v>
      </c>
      <c r="AE531">
        <v>98</v>
      </c>
      <c r="AF531">
        <v>-165.91</v>
      </c>
      <c r="AG531">
        <v>0.12</v>
      </c>
      <c r="AH531">
        <v>0.18</v>
      </c>
      <c r="AI531">
        <v>0.12</v>
      </c>
      <c r="AJ531">
        <v>0.1</v>
      </c>
      <c r="AK531">
        <v>80</v>
      </c>
      <c r="AL531">
        <v>195</v>
      </c>
      <c r="AM531">
        <v>93</v>
      </c>
      <c r="AN531">
        <v>-7.12</v>
      </c>
      <c r="AO531">
        <v>2.91</v>
      </c>
      <c r="AP531">
        <v>499</v>
      </c>
      <c r="AQ531">
        <v>6</v>
      </c>
      <c r="AR531">
        <v>7.43</v>
      </c>
      <c r="AS531">
        <v>82</v>
      </c>
      <c r="AT531">
        <v>2.94</v>
      </c>
      <c r="AU531">
        <v>93</v>
      </c>
      <c r="AV531">
        <v>-4.2300000000000004</v>
      </c>
      <c r="AW531">
        <v>98</v>
      </c>
      <c r="AX531">
        <v>-0.31</v>
      </c>
      <c r="AY531">
        <v>90</v>
      </c>
      <c r="AZ531">
        <v>7.3</v>
      </c>
      <c r="BA531">
        <v>76</v>
      </c>
      <c r="BB531">
        <v>5.84</v>
      </c>
      <c r="BC531">
        <v>59</v>
      </c>
      <c r="BD531">
        <v>-0.01</v>
      </c>
      <c r="BE531">
        <v>-7.0000000000000007E-2</v>
      </c>
      <c r="BF531">
        <v>-0.2</v>
      </c>
      <c r="BG531">
        <v>91</v>
      </c>
      <c r="BH531">
        <v>-0.02</v>
      </c>
      <c r="BI531">
        <v>-7.36</v>
      </c>
      <c r="BJ531">
        <v>3</v>
      </c>
      <c r="BK531">
        <v>2</v>
      </c>
      <c r="BL531">
        <v>-1.2</v>
      </c>
      <c r="BM531">
        <v>2.12</v>
      </c>
      <c r="BN531">
        <v>0</v>
      </c>
      <c r="BO531">
        <v>-1.65</v>
      </c>
      <c r="BP531">
        <v>0.32</v>
      </c>
      <c r="BQ531">
        <v>0.8</v>
      </c>
      <c r="BR531">
        <v>-0.22</v>
      </c>
      <c r="BS531">
        <v>-1.05</v>
      </c>
      <c r="BT531">
        <v>-0.45</v>
      </c>
      <c r="BU531">
        <v>0.89</v>
      </c>
      <c r="BV531">
        <v>-0.55000000000000004</v>
      </c>
      <c r="BW531">
        <v>-0.46</v>
      </c>
      <c r="BX531">
        <v>-0.43</v>
      </c>
      <c r="BY531">
        <v>-0.8</v>
      </c>
      <c r="BZ531">
        <v>-0.06</v>
      </c>
      <c r="CA531">
        <v>-0.59</v>
      </c>
      <c r="CB531">
        <v>0.02</v>
      </c>
      <c r="CC531">
        <v>-1.4</v>
      </c>
      <c r="CD531">
        <v>1.83</v>
      </c>
      <c r="CE531">
        <v>-1.1299999999999999</v>
      </c>
      <c r="CF531">
        <v>-0.67</v>
      </c>
      <c r="CG531">
        <v>0</v>
      </c>
      <c r="CH531">
        <v>0.18</v>
      </c>
      <c r="CI531">
        <v>0</v>
      </c>
      <c r="CJ531">
        <v>-7</v>
      </c>
      <c r="CK531">
        <v>96</v>
      </c>
      <c r="CL531">
        <v>-0.59</v>
      </c>
      <c r="CM531">
        <v>95</v>
      </c>
      <c r="CN531">
        <v>-0.39</v>
      </c>
      <c r="CO531">
        <v>94</v>
      </c>
      <c r="CP531">
        <v>2.2999999999999998</v>
      </c>
      <c r="CQ531">
        <v>82</v>
      </c>
      <c r="CR531">
        <v>0</v>
      </c>
      <c r="CS531">
        <v>0</v>
      </c>
      <c r="CT531">
        <v>11.1</v>
      </c>
      <c r="CU531">
        <v>82</v>
      </c>
      <c r="CV531">
        <v>-0.03</v>
      </c>
      <c r="CW531">
        <v>47</v>
      </c>
      <c r="CX531" t="s">
        <v>3094</v>
      </c>
    </row>
    <row r="532" spans="1:102" x14ac:dyDescent="0.3">
      <c r="A532" t="str">
        <f>HYPERLINK("https://webapp.icbf.com/v2/app/bull-search/view/1365510335","JE2403")</f>
        <v>JE2403</v>
      </c>
      <c r="B532" t="s">
        <v>6140</v>
      </c>
      <c r="C532" t="s">
        <v>6141</v>
      </c>
      <c r="D532" s="1">
        <v>41607</v>
      </c>
      <c r="E532" t="s">
        <v>227</v>
      </c>
      <c r="F532">
        <v>0</v>
      </c>
      <c r="G532" t="s">
        <v>109</v>
      </c>
      <c r="H532">
        <v>180.5</v>
      </c>
      <c r="I532">
        <v>71</v>
      </c>
      <c r="J532">
        <v>71.72</v>
      </c>
      <c r="K532">
        <v>85</v>
      </c>
      <c r="L532">
        <v>100.78</v>
      </c>
      <c r="M532">
        <v>75</v>
      </c>
      <c r="N532">
        <v>-12.52</v>
      </c>
      <c r="O532">
        <v>75</v>
      </c>
      <c r="P532">
        <v>-49.3</v>
      </c>
      <c r="Q532">
        <v>42</v>
      </c>
      <c r="R532">
        <v>-1.99</v>
      </c>
      <c r="S532">
        <v>56</v>
      </c>
      <c r="T532">
        <v>62.74</v>
      </c>
      <c r="U532">
        <v>37</v>
      </c>
      <c r="V532">
        <v>9.07</v>
      </c>
      <c r="W532">
        <v>52</v>
      </c>
      <c r="X532" t="s">
        <v>94</v>
      </c>
      <c r="Y532" t="s">
        <v>429</v>
      </c>
      <c r="Z532">
        <v>0</v>
      </c>
      <c r="AA532" t="s">
        <v>6142</v>
      </c>
      <c r="AB532" t="s">
        <v>144</v>
      </c>
      <c r="AC532">
        <v>0</v>
      </c>
      <c r="AD532">
        <v>0</v>
      </c>
      <c r="AE532">
        <v>85</v>
      </c>
      <c r="AF532">
        <v>-516.20000000000005</v>
      </c>
      <c r="AG532">
        <v>17.8</v>
      </c>
      <c r="AH532">
        <v>-2</v>
      </c>
      <c r="AI532">
        <v>0.73</v>
      </c>
      <c r="AJ532">
        <v>0.3</v>
      </c>
      <c r="AK532">
        <v>75</v>
      </c>
      <c r="AL532">
        <v>0</v>
      </c>
      <c r="AM532">
        <v>0</v>
      </c>
      <c r="AN532">
        <v>-3.72</v>
      </c>
      <c r="AO532">
        <v>4.34</v>
      </c>
      <c r="AP532">
        <v>120</v>
      </c>
      <c r="AQ532">
        <v>3</v>
      </c>
      <c r="AR532">
        <v>3.93</v>
      </c>
      <c r="AS532">
        <v>72</v>
      </c>
      <c r="AT532">
        <v>1.92</v>
      </c>
      <c r="AU532">
        <v>75</v>
      </c>
      <c r="AV532">
        <v>-0.92</v>
      </c>
      <c r="AW532">
        <v>93</v>
      </c>
      <c r="AX532">
        <v>13.36</v>
      </c>
      <c r="AY532">
        <v>67</v>
      </c>
      <c r="AZ532">
        <v>7.12</v>
      </c>
      <c r="BA532">
        <v>41</v>
      </c>
      <c r="BB532">
        <v>5.23</v>
      </c>
      <c r="BC532">
        <v>34</v>
      </c>
      <c r="BD532">
        <v>-0.05</v>
      </c>
      <c r="BE532">
        <v>0.01</v>
      </c>
      <c r="BF532">
        <v>0.11</v>
      </c>
      <c r="BG532">
        <v>63</v>
      </c>
      <c r="BH532">
        <v>0.01</v>
      </c>
      <c r="BI532">
        <v>-28.09</v>
      </c>
      <c r="BJ532">
        <v>0</v>
      </c>
      <c r="BK532">
        <v>0</v>
      </c>
      <c r="BL532">
        <v>-1.23</v>
      </c>
      <c r="BM532">
        <v>-1.62</v>
      </c>
      <c r="BN532">
        <v>-0.26</v>
      </c>
      <c r="BO532">
        <v>1.28</v>
      </c>
      <c r="BP532">
        <v>0.14000000000000001</v>
      </c>
      <c r="BQ532">
        <v>-4.93</v>
      </c>
      <c r="BR532">
        <v>2</v>
      </c>
      <c r="BS532">
        <v>5.81</v>
      </c>
      <c r="BT532">
        <v>-0.97</v>
      </c>
      <c r="BU532">
        <v>0.5</v>
      </c>
      <c r="BV532">
        <v>0.49</v>
      </c>
      <c r="BW532">
        <v>-1.17</v>
      </c>
      <c r="BX532">
        <v>-1.86</v>
      </c>
      <c r="BY532">
        <v>0.18</v>
      </c>
      <c r="BZ532">
        <v>-0.03</v>
      </c>
      <c r="CA532">
        <v>1.75</v>
      </c>
      <c r="CB532">
        <v>0.47</v>
      </c>
      <c r="CC532">
        <v>3.57</v>
      </c>
      <c r="CD532">
        <v>-2.02</v>
      </c>
      <c r="CE532">
        <v>1.1599999999999999</v>
      </c>
      <c r="CF532">
        <v>-1.21</v>
      </c>
      <c r="CG532">
        <v>0</v>
      </c>
      <c r="CH532">
        <v>-0.52</v>
      </c>
      <c r="CI532">
        <v>0</v>
      </c>
      <c r="CJ532">
        <v>-28.9</v>
      </c>
      <c r="CK532">
        <v>44</v>
      </c>
      <c r="CL532">
        <v>-0.83</v>
      </c>
      <c r="CM532">
        <v>41</v>
      </c>
      <c r="CN532">
        <v>-0.51</v>
      </c>
      <c r="CO532">
        <v>40</v>
      </c>
      <c r="CP532">
        <v>-45.5</v>
      </c>
      <c r="CQ532">
        <v>37</v>
      </c>
      <c r="CR532">
        <v>0</v>
      </c>
      <c r="CS532">
        <v>0</v>
      </c>
      <c r="CT532">
        <v>-71</v>
      </c>
      <c r="CU532">
        <v>37</v>
      </c>
      <c r="CV532">
        <v>-0.28999999999999998</v>
      </c>
      <c r="CW532">
        <v>34</v>
      </c>
      <c r="CX532" t="s">
        <v>2252</v>
      </c>
    </row>
    <row r="533" spans="1:102" x14ac:dyDescent="0.3">
      <c r="A533" t="str">
        <f>HYPERLINK("https://webapp.icbf.com/v2/app/bull-search/view/1038141837","SEW")</f>
        <v>SEW</v>
      </c>
      <c r="B533" t="s">
        <v>13361</v>
      </c>
      <c r="C533" t="s">
        <v>437</v>
      </c>
      <c r="D533" s="1">
        <v>41296</v>
      </c>
      <c r="E533" t="s">
        <v>92</v>
      </c>
      <c r="F533">
        <v>84</v>
      </c>
      <c r="G533" t="s">
        <v>93</v>
      </c>
      <c r="H533">
        <v>180.42</v>
      </c>
      <c r="I533">
        <v>96</v>
      </c>
      <c r="J533">
        <v>24.37</v>
      </c>
      <c r="K533">
        <v>99</v>
      </c>
      <c r="L533">
        <v>91.08</v>
      </c>
      <c r="M533">
        <v>92</v>
      </c>
      <c r="N533">
        <v>58.72</v>
      </c>
      <c r="O533">
        <v>98</v>
      </c>
      <c r="P533">
        <v>-26.78</v>
      </c>
      <c r="Q533">
        <v>99</v>
      </c>
      <c r="R533">
        <v>8.4700000000000006</v>
      </c>
      <c r="S533">
        <v>95</v>
      </c>
      <c r="T533">
        <v>21.89</v>
      </c>
      <c r="U533">
        <v>99</v>
      </c>
      <c r="V533">
        <v>2.67</v>
      </c>
      <c r="W533">
        <v>79</v>
      </c>
      <c r="X533" t="s">
        <v>102</v>
      </c>
      <c r="Y533" t="s">
        <v>1976</v>
      </c>
      <c r="Z533" t="s">
        <v>96</v>
      </c>
      <c r="AA533" t="s">
        <v>13082</v>
      </c>
      <c r="AB533" t="s">
        <v>13362</v>
      </c>
      <c r="AC533">
        <v>7040</v>
      </c>
      <c r="AD533">
        <v>1398</v>
      </c>
      <c r="AE533">
        <v>99</v>
      </c>
      <c r="AF533">
        <v>-72.62</v>
      </c>
      <c r="AG533">
        <v>3.6</v>
      </c>
      <c r="AH533">
        <v>1.76</v>
      </c>
      <c r="AI533">
        <v>0.11</v>
      </c>
      <c r="AJ533">
        <v>7.0000000000000007E-2</v>
      </c>
      <c r="AK533">
        <v>92</v>
      </c>
      <c r="AL533">
        <v>3849</v>
      </c>
      <c r="AM533">
        <v>1055</v>
      </c>
      <c r="AN533">
        <v>-4.45</v>
      </c>
      <c r="AO533">
        <v>2.82</v>
      </c>
      <c r="AP533">
        <v>30142</v>
      </c>
      <c r="AQ533">
        <v>139</v>
      </c>
      <c r="AR533">
        <v>4.0199999999999996</v>
      </c>
      <c r="AS533">
        <v>99</v>
      </c>
      <c r="AT533">
        <v>1.76</v>
      </c>
      <c r="AU533">
        <v>99</v>
      </c>
      <c r="AV533">
        <v>-5.05</v>
      </c>
      <c r="AW533">
        <v>99</v>
      </c>
      <c r="AX533">
        <v>0.19</v>
      </c>
      <c r="AY533">
        <v>99</v>
      </c>
      <c r="AZ533">
        <v>5.93</v>
      </c>
      <c r="BA533">
        <v>99</v>
      </c>
      <c r="BB533">
        <v>4.82</v>
      </c>
      <c r="BC533">
        <v>95</v>
      </c>
      <c r="BD533">
        <v>-0.04</v>
      </c>
      <c r="BE533">
        <v>-0.02</v>
      </c>
      <c r="BF533">
        <v>-0.09</v>
      </c>
      <c r="BG533">
        <v>99</v>
      </c>
      <c r="BH533">
        <v>0.16</v>
      </c>
      <c r="BI533">
        <v>9.8800000000000008</v>
      </c>
      <c r="BJ533">
        <v>133</v>
      </c>
      <c r="BK533">
        <v>40</v>
      </c>
      <c r="BL533">
        <v>-0.75</v>
      </c>
      <c r="BM533">
        <v>-0.59</v>
      </c>
      <c r="BN533">
        <v>-0.99</v>
      </c>
      <c r="BO533">
        <v>-0.82</v>
      </c>
      <c r="BP533">
        <v>2.06</v>
      </c>
      <c r="BQ533">
        <v>-0.52</v>
      </c>
      <c r="BR533">
        <v>1.1599999999999999</v>
      </c>
      <c r="BS533">
        <v>7.0000000000000007E-2</v>
      </c>
      <c r="BT533">
        <v>-1.4</v>
      </c>
      <c r="BU533">
        <v>0.03</v>
      </c>
      <c r="BV533">
        <v>-0.2</v>
      </c>
      <c r="BW533">
        <v>0.88</v>
      </c>
      <c r="BX533">
        <v>1.22</v>
      </c>
      <c r="BY533">
        <v>1.35</v>
      </c>
      <c r="BZ533">
        <v>-1.85</v>
      </c>
      <c r="CA533">
        <v>0.13</v>
      </c>
      <c r="CB533">
        <v>-0.1</v>
      </c>
      <c r="CC533">
        <v>0.34</v>
      </c>
      <c r="CD533">
        <v>0.42</v>
      </c>
      <c r="CE533">
        <v>-0.76</v>
      </c>
      <c r="CF533">
        <v>-1.1299999999999999</v>
      </c>
      <c r="CG533">
        <v>0</v>
      </c>
      <c r="CH533">
        <v>1.17</v>
      </c>
      <c r="CI533">
        <v>0</v>
      </c>
      <c r="CJ533">
        <v>-16</v>
      </c>
      <c r="CK533">
        <v>99</v>
      </c>
      <c r="CL533">
        <v>-0.79</v>
      </c>
      <c r="CM533">
        <v>99</v>
      </c>
      <c r="CN533">
        <v>-0.44</v>
      </c>
      <c r="CO533">
        <v>99</v>
      </c>
      <c r="CP533">
        <v>-11.3</v>
      </c>
      <c r="CQ533">
        <v>98</v>
      </c>
      <c r="CR533">
        <v>0</v>
      </c>
      <c r="CS533">
        <v>0</v>
      </c>
      <c r="CT533">
        <v>-15.8</v>
      </c>
      <c r="CU533">
        <v>99</v>
      </c>
      <c r="CV533">
        <v>0</v>
      </c>
      <c r="CW533">
        <v>47</v>
      </c>
      <c r="CX533" t="s">
        <v>1861</v>
      </c>
    </row>
    <row r="534" spans="1:102" x14ac:dyDescent="0.3">
      <c r="A534" t="str">
        <f>HYPERLINK("https://webapp.icbf.com/v2/app/bull-search/view/666755575","MFI")</f>
        <v>MFI</v>
      </c>
      <c r="B534" t="s">
        <v>12647</v>
      </c>
      <c r="C534" t="s">
        <v>12648</v>
      </c>
      <c r="D534" s="1">
        <v>39845</v>
      </c>
      <c r="E534" t="s">
        <v>92</v>
      </c>
      <c r="F534">
        <v>97</v>
      </c>
      <c r="G534" t="s">
        <v>93</v>
      </c>
      <c r="H534">
        <v>180.38</v>
      </c>
      <c r="I534">
        <v>84</v>
      </c>
      <c r="J534">
        <v>52.95</v>
      </c>
      <c r="K534">
        <v>96</v>
      </c>
      <c r="L534">
        <v>104.21</v>
      </c>
      <c r="M534">
        <v>73</v>
      </c>
      <c r="N534">
        <v>23.72</v>
      </c>
      <c r="O534">
        <v>82</v>
      </c>
      <c r="P534">
        <v>-20.5</v>
      </c>
      <c r="Q534">
        <v>91</v>
      </c>
      <c r="R534">
        <v>6</v>
      </c>
      <c r="S534">
        <v>74</v>
      </c>
      <c r="T534">
        <v>20.56</v>
      </c>
      <c r="U534">
        <v>83</v>
      </c>
      <c r="V534">
        <v>-6.56</v>
      </c>
      <c r="W534">
        <v>70</v>
      </c>
      <c r="X534" t="s">
        <v>94</v>
      </c>
      <c r="Y534" t="s">
        <v>1727</v>
      </c>
      <c r="Z534" t="s">
        <v>96</v>
      </c>
      <c r="AA534" t="s">
        <v>1641</v>
      </c>
      <c r="AB534" t="s">
        <v>12649</v>
      </c>
      <c r="AC534">
        <v>55</v>
      </c>
      <c r="AD534">
        <v>41</v>
      </c>
      <c r="AE534">
        <v>96</v>
      </c>
      <c r="AF534">
        <v>-309.22000000000003</v>
      </c>
      <c r="AG534">
        <v>15.81</v>
      </c>
      <c r="AH534">
        <v>-1.32</v>
      </c>
      <c r="AI534">
        <v>0.51</v>
      </c>
      <c r="AJ534">
        <v>0.17</v>
      </c>
      <c r="AK534">
        <v>73</v>
      </c>
      <c r="AL534">
        <v>60</v>
      </c>
      <c r="AM534">
        <v>47</v>
      </c>
      <c r="AN534">
        <v>-4.97</v>
      </c>
      <c r="AO534">
        <v>3.35</v>
      </c>
      <c r="AP534">
        <v>141</v>
      </c>
      <c r="AQ534">
        <v>3</v>
      </c>
      <c r="AR534">
        <v>5.83</v>
      </c>
      <c r="AS534">
        <v>68</v>
      </c>
      <c r="AT534">
        <v>2.25</v>
      </c>
      <c r="AU534">
        <v>84</v>
      </c>
      <c r="AV534">
        <v>-2.2400000000000002</v>
      </c>
      <c r="AW534">
        <v>95</v>
      </c>
      <c r="AX534">
        <v>0.65</v>
      </c>
      <c r="AY534">
        <v>77</v>
      </c>
      <c r="AZ534">
        <v>7.14</v>
      </c>
      <c r="BA534">
        <v>56</v>
      </c>
      <c r="BB534">
        <v>5.47</v>
      </c>
      <c r="BC534">
        <v>59</v>
      </c>
      <c r="BD534">
        <v>-0.06</v>
      </c>
      <c r="BE534">
        <v>-0.02</v>
      </c>
      <c r="BF534">
        <v>0</v>
      </c>
      <c r="BG534">
        <v>84</v>
      </c>
      <c r="BH534">
        <v>0.09</v>
      </c>
      <c r="BI534">
        <v>31.57</v>
      </c>
      <c r="BJ534">
        <v>22</v>
      </c>
      <c r="BK534">
        <v>15</v>
      </c>
      <c r="BL534">
        <v>-1.42</v>
      </c>
      <c r="BM534">
        <v>1.5</v>
      </c>
      <c r="BN534">
        <v>-1.55</v>
      </c>
      <c r="BO534">
        <v>-2.16</v>
      </c>
      <c r="BP534">
        <v>-0.54</v>
      </c>
      <c r="BQ534">
        <v>-2.75</v>
      </c>
      <c r="BR534">
        <v>1.58</v>
      </c>
      <c r="BS534">
        <v>-0.81</v>
      </c>
      <c r="BT534">
        <v>-1.74</v>
      </c>
      <c r="BU534">
        <v>0.59</v>
      </c>
      <c r="BV534">
        <v>-1.57</v>
      </c>
      <c r="BW534">
        <v>-1.85</v>
      </c>
      <c r="BX534">
        <v>0.48</v>
      </c>
      <c r="BY534">
        <v>-0.05</v>
      </c>
      <c r="BZ534">
        <v>2.4500000000000002</v>
      </c>
      <c r="CA534">
        <v>-0.97</v>
      </c>
      <c r="CB534">
        <v>-0.98</v>
      </c>
      <c r="CC534">
        <v>-1.0900000000000001</v>
      </c>
      <c r="CD534">
        <v>1.8</v>
      </c>
      <c r="CE534">
        <v>-1.87</v>
      </c>
      <c r="CF534">
        <v>-1.33</v>
      </c>
      <c r="CG534">
        <v>0</v>
      </c>
      <c r="CH534">
        <v>-0.12</v>
      </c>
      <c r="CI534">
        <v>0</v>
      </c>
      <c r="CJ534">
        <v>-9.1999999999999993</v>
      </c>
      <c r="CK534">
        <v>93</v>
      </c>
      <c r="CL534">
        <v>-0.64</v>
      </c>
      <c r="CM534">
        <v>91</v>
      </c>
      <c r="CN534">
        <v>-0.06</v>
      </c>
      <c r="CO534">
        <v>90</v>
      </c>
      <c r="CP534">
        <v>-12.7</v>
      </c>
      <c r="CQ534">
        <v>82</v>
      </c>
      <c r="CR534">
        <v>0</v>
      </c>
      <c r="CS534">
        <v>0</v>
      </c>
      <c r="CT534">
        <v>-14</v>
      </c>
      <c r="CU534">
        <v>83</v>
      </c>
      <c r="CV534">
        <v>0.01</v>
      </c>
      <c r="CW534">
        <v>44</v>
      </c>
      <c r="CX534" t="s">
        <v>1883</v>
      </c>
    </row>
    <row r="535" spans="1:102" x14ac:dyDescent="0.3">
      <c r="A535" t="str">
        <f>HYPERLINK("https://webapp.icbf.com/v2/app/bull-search/view/319359797","TKY")</f>
        <v>TKY</v>
      </c>
      <c r="B535" t="s">
        <v>11650</v>
      </c>
      <c r="C535" t="s">
        <v>11651</v>
      </c>
      <c r="D535" s="1">
        <v>36373</v>
      </c>
      <c r="E535" t="s">
        <v>92</v>
      </c>
      <c r="F535">
        <v>100</v>
      </c>
      <c r="G535" t="s">
        <v>93</v>
      </c>
      <c r="H535">
        <v>180.37</v>
      </c>
      <c r="I535">
        <v>95</v>
      </c>
      <c r="J535">
        <v>21.24</v>
      </c>
      <c r="K535">
        <v>99</v>
      </c>
      <c r="L535">
        <v>103.16</v>
      </c>
      <c r="M535">
        <v>90</v>
      </c>
      <c r="N535">
        <v>42.44</v>
      </c>
      <c r="O535">
        <v>96</v>
      </c>
      <c r="P535">
        <v>-25.62</v>
      </c>
      <c r="Q535">
        <v>98</v>
      </c>
      <c r="R535">
        <v>-0.81</v>
      </c>
      <c r="S535">
        <v>94</v>
      </c>
      <c r="T535">
        <v>32.18</v>
      </c>
      <c r="U535">
        <v>98</v>
      </c>
      <c r="V535">
        <v>7.78</v>
      </c>
      <c r="W535">
        <v>96</v>
      </c>
      <c r="X535" t="s">
        <v>302</v>
      </c>
      <c r="Y535" t="s">
        <v>95</v>
      </c>
      <c r="Z535" t="s">
        <v>330</v>
      </c>
      <c r="AA535" t="s">
        <v>8658</v>
      </c>
      <c r="AB535" t="s">
        <v>11652</v>
      </c>
      <c r="AC535">
        <v>526</v>
      </c>
      <c r="AD535">
        <v>177</v>
      </c>
      <c r="AE535">
        <v>99</v>
      </c>
      <c r="AF535">
        <v>-311.8</v>
      </c>
      <c r="AG535">
        <v>2.4300000000000002</v>
      </c>
      <c r="AH535">
        <v>-2.02</v>
      </c>
      <c r="AI535">
        <v>0.27</v>
      </c>
      <c r="AJ535">
        <v>0.16</v>
      </c>
      <c r="AK535">
        <v>90</v>
      </c>
      <c r="AL535">
        <v>541</v>
      </c>
      <c r="AM535">
        <v>194</v>
      </c>
      <c r="AN535">
        <v>-5.41</v>
      </c>
      <c r="AO535">
        <v>2.82</v>
      </c>
      <c r="AP535">
        <v>933</v>
      </c>
      <c r="AQ535">
        <v>12</v>
      </c>
      <c r="AR535">
        <v>4.91</v>
      </c>
      <c r="AS535">
        <v>96</v>
      </c>
      <c r="AT535">
        <v>1.83</v>
      </c>
      <c r="AU535">
        <v>96</v>
      </c>
      <c r="AV535">
        <v>-2.99</v>
      </c>
      <c r="AW535">
        <v>99</v>
      </c>
      <c r="AX535">
        <v>-0.03</v>
      </c>
      <c r="AY535">
        <v>96</v>
      </c>
      <c r="AZ535">
        <v>5.66</v>
      </c>
      <c r="BA535">
        <v>87</v>
      </c>
      <c r="BB535">
        <v>4.5999999999999996</v>
      </c>
      <c r="BC535">
        <v>91</v>
      </c>
      <c r="BD535">
        <v>-0.05</v>
      </c>
      <c r="BE535">
        <v>-0.02</v>
      </c>
      <c r="BF535">
        <v>0.14000000000000001</v>
      </c>
      <c r="BG535">
        <v>97</v>
      </c>
      <c r="BH535">
        <v>0.1</v>
      </c>
      <c r="BI535">
        <v>-13.52</v>
      </c>
      <c r="BJ535">
        <v>21</v>
      </c>
      <c r="BK535">
        <v>11</v>
      </c>
      <c r="BL535">
        <v>-2.16</v>
      </c>
      <c r="BM535">
        <v>-1.2</v>
      </c>
      <c r="BN535">
        <v>-2.99</v>
      </c>
      <c r="BO535">
        <v>-1.68</v>
      </c>
      <c r="BP535">
        <v>2.06</v>
      </c>
      <c r="BQ535">
        <v>-3.23</v>
      </c>
      <c r="BR535">
        <v>0.89</v>
      </c>
      <c r="BS535">
        <v>-1.77</v>
      </c>
      <c r="BT535">
        <v>-1.1000000000000001</v>
      </c>
      <c r="BU535">
        <v>-3.15</v>
      </c>
      <c r="BV535">
        <v>-2.4</v>
      </c>
      <c r="BW535">
        <v>-1.83</v>
      </c>
      <c r="BX535">
        <v>-1.7</v>
      </c>
      <c r="BY535">
        <v>-2.4500000000000002</v>
      </c>
      <c r="BZ535">
        <v>-0.7</v>
      </c>
      <c r="CA535">
        <v>-2.5</v>
      </c>
      <c r="CB535">
        <v>-2.2599999999999998</v>
      </c>
      <c r="CC535">
        <v>-1.72</v>
      </c>
      <c r="CD535">
        <v>0.46</v>
      </c>
      <c r="CE535">
        <v>-2.13</v>
      </c>
      <c r="CF535">
        <v>-3.61</v>
      </c>
      <c r="CG535">
        <v>0</v>
      </c>
      <c r="CH535">
        <v>-2.48</v>
      </c>
      <c r="CI535">
        <v>0</v>
      </c>
      <c r="CJ535">
        <v>-14</v>
      </c>
      <c r="CK535">
        <v>98</v>
      </c>
      <c r="CL535">
        <v>-0.53</v>
      </c>
      <c r="CM535">
        <v>98</v>
      </c>
      <c r="CN535">
        <v>-0.19</v>
      </c>
      <c r="CO535">
        <v>98</v>
      </c>
      <c r="CP535">
        <v>-20.399999999999999</v>
      </c>
      <c r="CQ535">
        <v>98</v>
      </c>
      <c r="CR535">
        <v>0</v>
      </c>
      <c r="CS535">
        <v>0</v>
      </c>
      <c r="CT535">
        <v>-29.7</v>
      </c>
      <c r="CU535">
        <v>98</v>
      </c>
      <c r="CV535">
        <v>-0.13</v>
      </c>
      <c r="CW535">
        <v>46</v>
      </c>
      <c r="CX535" t="s">
        <v>1097</v>
      </c>
    </row>
    <row r="536" spans="1:102" x14ac:dyDescent="0.3">
      <c r="A536" t="str">
        <f>HYPERLINK("https://webapp.icbf.com/v2/app/bull-search/view/1240483347","FR2325")</f>
        <v>FR2325</v>
      </c>
      <c r="B536" t="s">
        <v>6054</v>
      </c>
      <c r="C536" t="s">
        <v>6055</v>
      </c>
      <c r="D536" s="1">
        <v>41561</v>
      </c>
      <c r="E536" t="s">
        <v>92</v>
      </c>
      <c r="F536">
        <v>100</v>
      </c>
      <c r="G536" t="s">
        <v>93</v>
      </c>
      <c r="H536">
        <v>180.31</v>
      </c>
      <c r="I536">
        <v>85</v>
      </c>
      <c r="J536">
        <v>78.19</v>
      </c>
      <c r="K536">
        <v>96</v>
      </c>
      <c r="L536">
        <v>49.68</v>
      </c>
      <c r="M536">
        <v>80</v>
      </c>
      <c r="N536">
        <v>42.88</v>
      </c>
      <c r="O536">
        <v>89</v>
      </c>
      <c r="P536">
        <v>0.64</v>
      </c>
      <c r="Q536">
        <v>92</v>
      </c>
      <c r="R536">
        <v>7.74</v>
      </c>
      <c r="S536">
        <v>77</v>
      </c>
      <c r="T536">
        <v>-6.67</v>
      </c>
      <c r="U536">
        <v>57</v>
      </c>
      <c r="V536">
        <v>7.85</v>
      </c>
      <c r="W536">
        <v>70</v>
      </c>
      <c r="X536" t="s">
        <v>276</v>
      </c>
      <c r="Y536" t="s">
        <v>429</v>
      </c>
      <c r="Z536" t="s">
        <v>96</v>
      </c>
      <c r="AA536" t="s">
        <v>6056</v>
      </c>
      <c r="AB536" t="s">
        <v>6057</v>
      </c>
      <c r="AC536">
        <v>147</v>
      </c>
      <c r="AD536">
        <v>59</v>
      </c>
      <c r="AE536">
        <v>96</v>
      </c>
      <c r="AF536">
        <v>180.11</v>
      </c>
      <c r="AG536">
        <v>14.4</v>
      </c>
      <c r="AH536">
        <v>10.96</v>
      </c>
      <c r="AI536">
        <v>0.13</v>
      </c>
      <c r="AJ536">
        <v>0.08</v>
      </c>
      <c r="AK536">
        <v>80</v>
      </c>
      <c r="AL536">
        <v>0</v>
      </c>
      <c r="AM536">
        <v>0</v>
      </c>
      <c r="AN536">
        <v>-0.5</v>
      </c>
      <c r="AO536">
        <v>3.49</v>
      </c>
      <c r="AP536">
        <v>2627</v>
      </c>
      <c r="AQ536">
        <v>3</v>
      </c>
      <c r="AR536">
        <v>4.83</v>
      </c>
      <c r="AS536">
        <v>97</v>
      </c>
      <c r="AT536">
        <v>2.0499999999999998</v>
      </c>
      <c r="AU536">
        <v>98</v>
      </c>
      <c r="AV536">
        <v>-3.77</v>
      </c>
      <c r="AW536">
        <v>99</v>
      </c>
      <c r="AX536">
        <v>-0.35</v>
      </c>
      <c r="AY536">
        <v>97</v>
      </c>
      <c r="AZ536">
        <v>6.72</v>
      </c>
      <c r="BA536">
        <v>66</v>
      </c>
      <c r="BB536">
        <v>5.37</v>
      </c>
      <c r="BC536">
        <v>39</v>
      </c>
      <c r="BD536">
        <v>-0.09</v>
      </c>
      <c r="BE536">
        <v>-0.02</v>
      </c>
      <c r="BF536">
        <v>0.01</v>
      </c>
      <c r="BG536">
        <v>91</v>
      </c>
      <c r="BH536">
        <v>0.1</v>
      </c>
      <c r="BI536">
        <v>-13.77</v>
      </c>
      <c r="BJ536">
        <v>0</v>
      </c>
      <c r="BK536">
        <v>0</v>
      </c>
      <c r="BL536">
        <v>0.36</v>
      </c>
      <c r="BM536">
        <v>-0.11</v>
      </c>
      <c r="BN536">
        <v>-1.6</v>
      </c>
      <c r="BO536">
        <v>-0.08</v>
      </c>
      <c r="BP536">
        <v>1.37</v>
      </c>
      <c r="BQ536">
        <v>-0.01</v>
      </c>
      <c r="BR536">
        <v>-2.2799999999999998</v>
      </c>
      <c r="BS536">
        <v>0.59</v>
      </c>
      <c r="BT536">
        <v>1.35</v>
      </c>
      <c r="BU536">
        <v>1.36</v>
      </c>
      <c r="BV536">
        <v>1.4</v>
      </c>
      <c r="BW536">
        <v>0.19</v>
      </c>
      <c r="BX536">
        <v>1.84</v>
      </c>
      <c r="BY536">
        <v>1.63</v>
      </c>
      <c r="BZ536">
        <v>-2.54</v>
      </c>
      <c r="CA536">
        <v>1.8</v>
      </c>
      <c r="CB536">
        <v>1.54</v>
      </c>
      <c r="CC536">
        <v>1.24</v>
      </c>
      <c r="CD536">
        <v>0.48</v>
      </c>
      <c r="CE536">
        <v>0.25</v>
      </c>
      <c r="CF536">
        <v>-0.77</v>
      </c>
      <c r="CG536">
        <v>0</v>
      </c>
      <c r="CH536">
        <v>1.59</v>
      </c>
      <c r="CI536">
        <v>0</v>
      </c>
      <c r="CJ536">
        <v>1.5</v>
      </c>
      <c r="CK536">
        <v>95</v>
      </c>
      <c r="CL536">
        <v>-0.74</v>
      </c>
      <c r="CM536">
        <v>94</v>
      </c>
      <c r="CN536">
        <v>-0.46</v>
      </c>
      <c r="CO536">
        <v>93</v>
      </c>
      <c r="CP536">
        <v>5.5</v>
      </c>
      <c r="CQ536">
        <v>58</v>
      </c>
      <c r="CR536">
        <v>0</v>
      </c>
      <c r="CS536">
        <v>0</v>
      </c>
      <c r="CT536">
        <v>22.8</v>
      </c>
      <c r="CU536">
        <v>57</v>
      </c>
      <c r="CV536">
        <v>0.14000000000000001</v>
      </c>
      <c r="CW536">
        <v>45</v>
      </c>
      <c r="CX536" t="s">
        <v>6058</v>
      </c>
    </row>
    <row r="537" spans="1:102" x14ac:dyDescent="0.3">
      <c r="A537" t="str">
        <f>HYPERLINK("https://webapp.icbf.com/v2/app/bull-search/view/860628228","SLP")</f>
        <v>SLP</v>
      </c>
      <c r="B537" t="s">
        <v>5565</v>
      </c>
      <c r="C537" t="s">
        <v>5566</v>
      </c>
      <c r="D537" s="1">
        <v>40580</v>
      </c>
      <c r="E537" t="s">
        <v>92</v>
      </c>
      <c r="F537">
        <v>94</v>
      </c>
      <c r="G537" t="s">
        <v>93</v>
      </c>
      <c r="H537">
        <v>180.3</v>
      </c>
      <c r="I537">
        <v>95</v>
      </c>
      <c r="J537">
        <v>54.79</v>
      </c>
      <c r="K537">
        <v>99</v>
      </c>
      <c r="L537">
        <v>77.180000000000007</v>
      </c>
      <c r="M537">
        <v>90</v>
      </c>
      <c r="N537">
        <v>50.11</v>
      </c>
      <c r="O537">
        <v>97</v>
      </c>
      <c r="P537">
        <v>-9.81</v>
      </c>
      <c r="Q537">
        <v>99</v>
      </c>
      <c r="R537">
        <v>8.73</v>
      </c>
      <c r="S537">
        <v>91</v>
      </c>
      <c r="T537">
        <v>3.17</v>
      </c>
      <c r="U537">
        <v>95</v>
      </c>
      <c r="V537">
        <v>-3.87</v>
      </c>
      <c r="W537">
        <v>82</v>
      </c>
      <c r="X537" t="s">
        <v>94</v>
      </c>
      <c r="Y537" t="s">
        <v>1860</v>
      </c>
      <c r="Z537" t="s">
        <v>96</v>
      </c>
      <c r="AA537" t="s">
        <v>1865</v>
      </c>
      <c r="AB537" t="s">
        <v>5567</v>
      </c>
      <c r="AC537">
        <v>958</v>
      </c>
      <c r="AD537">
        <v>419</v>
      </c>
      <c r="AE537">
        <v>99</v>
      </c>
      <c r="AF537">
        <v>31.97</v>
      </c>
      <c r="AG537">
        <v>2.99</v>
      </c>
      <c r="AH537">
        <v>8.75</v>
      </c>
      <c r="AI537">
        <v>0.03</v>
      </c>
      <c r="AJ537">
        <v>0.13</v>
      </c>
      <c r="AK537">
        <v>90</v>
      </c>
      <c r="AL537">
        <v>1192</v>
      </c>
      <c r="AM537">
        <v>527</v>
      </c>
      <c r="AN537">
        <v>-4.5999999999999996</v>
      </c>
      <c r="AO537">
        <v>1.55</v>
      </c>
      <c r="AP537">
        <v>2241</v>
      </c>
      <c r="AQ537">
        <v>18</v>
      </c>
      <c r="AR537">
        <v>5.87</v>
      </c>
      <c r="AS537">
        <v>98</v>
      </c>
      <c r="AT537">
        <v>1.94</v>
      </c>
      <c r="AU537">
        <v>97</v>
      </c>
      <c r="AV537">
        <v>-4.54</v>
      </c>
      <c r="AW537">
        <v>99</v>
      </c>
      <c r="AX537">
        <v>0.97</v>
      </c>
      <c r="AY537">
        <v>97</v>
      </c>
      <c r="AZ537">
        <v>5.22</v>
      </c>
      <c r="BA537">
        <v>92</v>
      </c>
      <c r="BB537">
        <v>4.63</v>
      </c>
      <c r="BC537">
        <v>89</v>
      </c>
      <c r="BD537">
        <v>-0.01</v>
      </c>
      <c r="BE537">
        <v>-0.06</v>
      </c>
      <c r="BF537">
        <v>-7.0000000000000007E-2</v>
      </c>
      <c r="BG537">
        <v>97</v>
      </c>
      <c r="BH537">
        <v>0.1</v>
      </c>
      <c r="BI537">
        <v>24.05</v>
      </c>
      <c r="BJ537">
        <v>62</v>
      </c>
      <c r="BK537">
        <v>21</v>
      </c>
      <c r="BL537">
        <v>0.16</v>
      </c>
      <c r="BM537">
        <v>0.89</v>
      </c>
      <c r="BN537">
        <v>0.78</v>
      </c>
      <c r="BO537">
        <v>-0.53</v>
      </c>
      <c r="BP537">
        <v>-2.5299999999999998</v>
      </c>
      <c r="BQ537">
        <v>-0.5</v>
      </c>
      <c r="BR537">
        <v>-1.1100000000000001</v>
      </c>
      <c r="BS537">
        <v>-2.27</v>
      </c>
      <c r="BT537">
        <v>0.33</v>
      </c>
      <c r="BU537">
        <v>0.01</v>
      </c>
      <c r="BV537">
        <v>-0.51</v>
      </c>
      <c r="BW537">
        <v>-1.51</v>
      </c>
      <c r="BX537">
        <v>0.1</v>
      </c>
      <c r="BY537">
        <v>-1.63</v>
      </c>
      <c r="BZ537">
        <v>-0.02</v>
      </c>
      <c r="CA537">
        <v>-1.04</v>
      </c>
      <c r="CB537">
        <v>-0.99</v>
      </c>
      <c r="CC537">
        <v>-0.96</v>
      </c>
      <c r="CD537">
        <v>-0.31</v>
      </c>
      <c r="CE537">
        <v>-0.45</v>
      </c>
      <c r="CF537">
        <v>-0.33</v>
      </c>
      <c r="CG537">
        <v>0</v>
      </c>
      <c r="CH537">
        <v>-1.67</v>
      </c>
      <c r="CI537">
        <v>0</v>
      </c>
      <c r="CJ537">
        <v>-4.0999999999999996</v>
      </c>
      <c r="CK537">
        <v>99</v>
      </c>
      <c r="CL537">
        <v>-0.91</v>
      </c>
      <c r="CM537">
        <v>99</v>
      </c>
      <c r="CN537">
        <v>-0.41</v>
      </c>
      <c r="CO537">
        <v>99</v>
      </c>
      <c r="CP537">
        <v>2.9</v>
      </c>
      <c r="CQ537">
        <v>96</v>
      </c>
      <c r="CR537">
        <v>0</v>
      </c>
      <c r="CS537">
        <v>0</v>
      </c>
      <c r="CT537">
        <v>9.5</v>
      </c>
      <c r="CU537">
        <v>95</v>
      </c>
      <c r="CV537">
        <v>0.28999999999999998</v>
      </c>
      <c r="CW537">
        <v>49</v>
      </c>
      <c r="CX537" t="s">
        <v>1165</v>
      </c>
    </row>
    <row r="538" spans="1:102" x14ac:dyDescent="0.3">
      <c r="A538" t="str">
        <f>HYPERLINK("https://webapp.icbf.com/v2/app/bull-search/view/1125361114","FR4529")</f>
        <v>FR4529</v>
      </c>
      <c r="B538" t="s">
        <v>9472</v>
      </c>
      <c r="C538" t="s">
        <v>9473</v>
      </c>
      <c r="D538" s="1">
        <v>41131</v>
      </c>
      <c r="E538" t="s">
        <v>92</v>
      </c>
      <c r="F538">
        <v>56</v>
      </c>
      <c r="G538" t="s">
        <v>109</v>
      </c>
      <c r="H538">
        <v>180.27</v>
      </c>
      <c r="I538">
        <v>70</v>
      </c>
      <c r="J538">
        <v>63.65</v>
      </c>
      <c r="K538">
        <v>85</v>
      </c>
      <c r="L538">
        <v>63.37</v>
      </c>
      <c r="M538">
        <v>65</v>
      </c>
      <c r="N538">
        <v>50.84</v>
      </c>
      <c r="O538">
        <v>83</v>
      </c>
      <c r="P538">
        <v>-36.53</v>
      </c>
      <c r="Q538">
        <v>52</v>
      </c>
      <c r="R538">
        <v>4.2</v>
      </c>
      <c r="S538">
        <v>65</v>
      </c>
      <c r="T538">
        <v>29.81</v>
      </c>
      <c r="U538">
        <v>47</v>
      </c>
      <c r="V538">
        <v>4.93</v>
      </c>
      <c r="W538">
        <v>50</v>
      </c>
      <c r="X538" t="s">
        <v>276</v>
      </c>
      <c r="Y538" t="s">
        <v>442</v>
      </c>
      <c r="Z538">
        <v>0</v>
      </c>
      <c r="AA538" t="s">
        <v>9474</v>
      </c>
      <c r="AB538" t="s">
        <v>9475</v>
      </c>
      <c r="AC538">
        <v>0</v>
      </c>
      <c r="AD538">
        <v>0</v>
      </c>
      <c r="AE538">
        <v>85</v>
      </c>
      <c r="AF538">
        <v>-30.55</v>
      </c>
      <c r="AG538">
        <v>13.62</v>
      </c>
      <c r="AH538">
        <v>5.54</v>
      </c>
      <c r="AI538">
        <v>0.25</v>
      </c>
      <c r="AJ538">
        <v>0.12</v>
      </c>
      <c r="AK538">
        <v>65</v>
      </c>
      <c r="AL538">
        <v>0</v>
      </c>
      <c r="AM538">
        <v>0</v>
      </c>
      <c r="AN538">
        <v>-2.96</v>
      </c>
      <c r="AO538">
        <v>2.1</v>
      </c>
      <c r="AP538">
        <v>437</v>
      </c>
      <c r="AQ538">
        <v>0</v>
      </c>
      <c r="AR538">
        <v>4.04</v>
      </c>
      <c r="AS538">
        <v>88</v>
      </c>
      <c r="AT538">
        <v>1.92</v>
      </c>
      <c r="AU538">
        <v>88</v>
      </c>
      <c r="AV538">
        <v>-4.12</v>
      </c>
      <c r="AW538">
        <v>98</v>
      </c>
      <c r="AX538">
        <v>0.18</v>
      </c>
      <c r="AY538">
        <v>85</v>
      </c>
      <c r="AZ538">
        <v>6.1</v>
      </c>
      <c r="BA538">
        <v>39</v>
      </c>
      <c r="BB538">
        <v>4.6900000000000004</v>
      </c>
      <c r="BC538">
        <v>38</v>
      </c>
      <c r="BD538">
        <v>-0.04</v>
      </c>
      <c r="BE538">
        <v>0</v>
      </c>
      <c r="BF538">
        <v>-0.03</v>
      </c>
      <c r="BG538">
        <v>82</v>
      </c>
      <c r="BH538">
        <v>0.04</v>
      </c>
      <c r="BI538">
        <v>-11.28</v>
      </c>
      <c r="BJ538">
        <v>0</v>
      </c>
      <c r="BK538">
        <v>0</v>
      </c>
      <c r="BL538">
        <v>-3.26</v>
      </c>
      <c r="BM538">
        <v>2.39</v>
      </c>
      <c r="BN538">
        <v>0.61</v>
      </c>
      <c r="BO538">
        <v>0</v>
      </c>
      <c r="BP538">
        <v>0.1</v>
      </c>
      <c r="BQ538">
        <v>-3.69</v>
      </c>
      <c r="BR538">
        <v>2.27</v>
      </c>
      <c r="BS538">
        <v>0</v>
      </c>
      <c r="BT538">
        <v>0</v>
      </c>
      <c r="BU538">
        <v>-0.47</v>
      </c>
      <c r="BV538">
        <v>0.03</v>
      </c>
      <c r="BW538">
        <v>-0.98</v>
      </c>
      <c r="BX538">
        <v>0</v>
      </c>
      <c r="BY538">
        <v>-2.68</v>
      </c>
      <c r="BZ538">
        <v>0</v>
      </c>
      <c r="CA538">
        <v>-0.56000000000000005</v>
      </c>
      <c r="CB538">
        <v>-0.56999999999999995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-19.600000000000001</v>
      </c>
      <c r="CK538">
        <v>57</v>
      </c>
      <c r="CL538">
        <v>-0.76</v>
      </c>
      <c r="CM538">
        <v>45</v>
      </c>
      <c r="CN538">
        <v>-0.16</v>
      </c>
      <c r="CO538">
        <v>45</v>
      </c>
      <c r="CP538">
        <v>-23.4</v>
      </c>
      <c r="CQ538">
        <v>47</v>
      </c>
      <c r="CR538">
        <v>0</v>
      </c>
      <c r="CS538">
        <v>0</v>
      </c>
      <c r="CT538">
        <v>-26.5</v>
      </c>
      <c r="CU538">
        <v>47</v>
      </c>
      <c r="CV538">
        <v>-0.08</v>
      </c>
      <c r="CW538">
        <v>35</v>
      </c>
      <c r="CX538" t="s">
        <v>331</v>
      </c>
    </row>
    <row r="539" spans="1:102" x14ac:dyDescent="0.3">
      <c r="A539" t="str">
        <f>HYPERLINK("https://webapp.icbf.com/v2/app/bull-search/view/1668662445","FR4706")</f>
        <v>FR4706</v>
      </c>
      <c r="B539" t="s">
        <v>6433</v>
      </c>
      <c r="C539" t="s">
        <v>6434</v>
      </c>
      <c r="D539" s="1">
        <v>42759</v>
      </c>
      <c r="E539" t="s">
        <v>92</v>
      </c>
      <c r="F539">
        <v>100</v>
      </c>
      <c r="G539" t="s">
        <v>435</v>
      </c>
      <c r="H539">
        <v>180.23</v>
      </c>
      <c r="I539">
        <v>65</v>
      </c>
      <c r="J539">
        <v>85.83</v>
      </c>
      <c r="K539">
        <v>86</v>
      </c>
      <c r="L539">
        <v>51.48</v>
      </c>
      <c r="M539">
        <v>64</v>
      </c>
      <c r="N539">
        <v>28.48</v>
      </c>
      <c r="O539">
        <v>58</v>
      </c>
      <c r="P539">
        <v>-3.98</v>
      </c>
      <c r="Q539">
        <v>33</v>
      </c>
      <c r="R539">
        <v>24.17</v>
      </c>
      <c r="S539">
        <v>59</v>
      </c>
      <c r="T539">
        <v>-8.3699999999999992</v>
      </c>
      <c r="U539">
        <v>32</v>
      </c>
      <c r="V539">
        <v>2.62</v>
      </c>
      <c r="W539">
        <v>51</v>
      </c>
      <c r="X539" t="s">
        <v>428</v>
      </c>
      <c r="Y539" t="s">
        <v>442</v>
      </c>
      <c r="Z539" t="s">
        <v>96</v>
      </c>
      <c r="AA539" t="s">
        <v>6435</v>
      </c>
      <c r="AB539" t="s">
        <v>6436</v>
      </c>
      <c r="AC539">
        <v>0</v>
      </c>
      <c r="AD539">
        <v>0</v>
      </c>
      <c r="AE539">
        <v>86</v>
      </c>
      <c r="AF539">
        <v>310.77999999999997</v>
      </c>
      <c r="AG539">
        <v>19.260000000000002</v>
      </c>
      <c r="AH539">
        <v>12.54</v>
      </c>
      <c r="AI539">
        <v>0.11</v>
      </c>
      <c r="AJ539">
        <v>0.04</v>
      </c>
      <c r="AK539">
        <v>64</v>
      </c>
      <c r="AL539">
        <v>0</v>
      </c>
      <c r="AM539">
        <v>0</v>
      </c>
      <c r="AN539">
        <v>-0.89</v>
      </c>
      <c r="AO539">
        <v>3.24</v>
      </c>
      <c r="AP539">
        <v>15</v>
      </c>
      <c r="AQ539">
        <v>0</v>
      </c>
      <c r="AR539">
        <v>8.4700000000000006</v>
      </c>
      <c r="AS539">
        <v>44</v>
      </c>
      <c r="AT539">
        <v>3.31</v>
      </c>
      <c r="AU539">
        <v>81</v>
      </c>
      <c r="AV539">
        <v>-3.52</v>
      </c>
      <c r="AW539">
        <v>63</v>
      </c>
      <c r="AX539">
        <v>-0.38</v>
      </c>
      <c r="AY539">
        <v>38</v>
      </c>
      <c r="AZ539">
        <v>5.31</v>
      </c>
      <c r="BA539">
        <v>31</v>
      </c>
      <c r="BB539">
        <v>4.57</v>
      </c>
      <c r="BC539">
        <v>31</v>
      </c>
      <c r="BD539">
        <v>-7.0000000000000007E-2</v>
      </c>
      <c r="BE539">
        <v>-0.11</v>
      </c>
      <c r="BF539">
        <v>-0.23</v>
      </c>
      <c r="BG539">
        <v>72</v>
      </c>
      <c r="BH539">
        <v>-0.11</v>
      </c>
      <c r="BI539">
        <v>-21.17</v>
      </c>
      <c r="BJ539">
        <v>0</v>
      </c>
      <c r="BK539">
        <v>0</v>
      </c>
      <c r="BL539">
        <v>0.34</v>
      </c>
      <c r="BM539">
        <v>-1.23</v>
      </c>
      <c r="BN539">
        <v>-1.46</v>
      </c>
      <c r="BO539">
        <v>-0.02</v>
      </c>
      <c r="BP539">
        <v>0.25</v>
      </c>
      <c r="BQ539">
        <v>0.15</v>
      </c>
      <c r="BR539">
        <v>0</v>
      </c>
      <c r="BS539">
        <v>2.4900000000000002</v>
      </c>
      <c r="BT539">
        <v>1.66</v>
      </c>
      <c r="BU539">
        <v>4.0999999999999996</v>
      </c>
      <c r="BV539">
        <v>3.31</v>
      </c>
      <c r="BW539">
        <v>1.86</v>
      </c>
      <c r="BX539">
        <v>4.09</v>
      </c>
      <c r="BY539">
        <v>1.1399999999999999</v>
      </c>
      <c r="BZ539">
        <v>-4.0599999999999996</v>
      </c>
      <c r="CA539">
        <v>3.43</v>
      </c>
      <c r="CB539">
        <v>3.03</v>
      </c>
      <c r="CC539">
        <v>2.3199999999999998</v>
      </c>
      <c r="CD539">
        <v>0.63</v>
      </c>
      <c r="CE539">
        <v>0.87</v>
      </c>
      <c r="CF539">
        <v>1.36</v>
      </c>
      <c r="CG539">
        <v>0</v>
      </c>
      <c r="CH539">
        <v>3.02</v>
      </c>
      <c r="CI539">
        <v>0</v>
      </c>
      <c r="CJ539">
        <v>-0.1</v>
      </c>
      <c r="CK539">
        <v>33</v>
      </c>
      <c r="CL539">
        <v>-1.45</v>
      </c>
      <c r="CM539">
        <v>33</v>
      </c>
      <c r="CN539">
        <v>-0.91</v>
      </c>
      <c r="CO539">
        <v>33</v>
      </c>
      <c r="CP539">
        <v>3.1</v>
      </c>
      <c r="CQ539">
        <v>32</v>
      </c>
      <c r="CR539">
        <v>0</v>
      </c>
      <c r="CS539">
        <v>0</v>
      </c>
      <c r="CT539">
        <v>25.1</v>
      </c>
      <c r="CU539">
        <v>32</v>
      </c>
      <c r="CV539">
        <v>0.22</v>
      </c>
      <c r="CW539">
        <v>31</v>
      </c>
      <c r="CX539" t="s">
        <v>6437</v>
      </c>
    </row>
    <row r="540" spans="1:102" x14ac:dyDescent="0.3">
      <c r="A540" t="str">
        <f>HYPERLINK("https://webapp.icbf.com/v2/app/bull-search/view/862471819","PSK")</f>
        <v>PSK</v>
      </c>
      <c r="B540" t="s">
        <v>15476</v>
      </c>
      <c r="C540" t="s">
        <v>5880</v>
      </c>
      <c r="D540" s="1">
        <v>40588</v>
      </c>
      <c r="E540" t="s">
        <v>92</v>
      </c>
      <c r="F540">
        <v>59</v>
      </c>
      <c r="G540" t="s">
        <v>93</v>
      </c>
      <c r="H540">
        <v>180.15</v>
      </c>
      <c r="I540">
        <v>86</v>
      </c>
      <c r="J540">
        <v>46.05</v>
      </c>
      <c r="K540">
        <v>97</v>
      </c>
      <c r="L540">
        <v>103.81</v>
      </c>
      <c r="M540">
        <v>77</v>
      </c>
      <c r="N540">
        <v>29.79</v>
      </c>
      <c r="O540">
        <v>86</v>
      </c>
      <c r="P540">
        <v>-13.7</v>
      </c>
      <c r="Q540">
        <v>92</v>
      </c>
      <c r="R540">
        <v>-1.59</v>
      </c>
      <c r="S540">
        <v>78</v>
      </c>
      <c r="T540">
        <v>10.42</v>
      </c>
      <c r="U540">
        <v>83</v>
      </c>
      <c r="V540">
        <v>5.37</v>
      </c>
      <c r="W540">
        <v>75</v>
      </c>
      <c r="X540" t="s">
        <v>94</v>
      </c>
      <c r="Y540" t="s">
        <v>1976</v>
      </c>
      <c r="Z540" t="s">
        <v>330</v>
      </c>
      <c r="AA540" t="s">
        <v>15070</v>
      </c>
      <c r="AB540" t="s">
        <v>15477</v>
      </c>
      <c r="AC540">
        <v>109</v>
      </c>
      <c r="AD540">
        <v>67</v>
      </c>
      <c r="AE540">
        <v>97</v>
      </c>
      <c r="AF540">
        <v>42.64</v>
      </c>
      <c r="AG540">
        <v>7.36</v>
      </c>
      <c r="AH540">
        <v>5.88</v>
      </c>
      <c r="AI540">
        <v>0.1</v>
      </c>
      <c r="AJ540">
        <v>0.08</v>
      </c>
      <c r="AK540">
        <v>77</v>
      </c>
      <c r="AL540">
        <v>129</v>
      </c>
      <c r="AM540">
        <v>77</v>
      </c>
      <c r="AN540">
        <v>-4.7699999999999996</v>
      </c>
      <c r="AO540">
        <v>3.52</v>
      </c>
      <c r="AP540">
        <v>247</v>
      </c>
      <c r="AQ540">
        <v>2</v>
      </c>
      <c r="AR540">
        <v>7.09</v>
      </c>
      <c r="AS540">
        <v>72</v>
      </c>
      <c r="AT540">
        <v>2.7</v>
      </c>
      <c r="AU540">
        <v>89</v>
      </c>
      <c r="AV540">
        <v>-3.2</v>
      </c>
      <c r="AW540">
        <v>97</v>
      </c>
      <c r="AX540">
        <v>0.8</v>
      </c>
      <c r="AY540">
        <v>83</v>
      </c>
      <c r="AZ540">
        <v>6.04</v>
      </c>
      <c r="BA540">
        <v>68</v>
      </c>
      <c r="BB540">
        <v>4.79</v>
      </c>
      <c r="BC540">
        <v>65</v>
      </c>
      <c r="BD540">
        <v>-0.02</v>
      </c>
      <c r="BE540">
        <v>0</v>
      </c>
      <c r="BF540">
        <v>7.0000000000000007E-2</v>
      </c>
      <c r="BG540">
        <v>89</v>
      </c>
      <c r="BH540">
        <v>0</v>
      </c>
      <c r="BI540">
        <v>-17.329999999999998</v>
      </c>
      <c r="BJ540">
        <v>26</v>
      </c>
      <c r="BK540">
        <v>10</v>
      </c>
      <c r="BL540">
        <v>-0.86</v>
      </c>
      <c r="BM540">
        <v>0.4</v>
      </c>
      <c r="BN540">
        <v>-1.5</v>
      </c>
      <c r="BO540">
        <v>-1.5</v>
      </c>
      <c r="BP540">
        <v>0.23</v>
      </c>
      <c r="BQ540">
        <v>-0.85</v>
      </c>
      <c r="BR540">
        <v>1.1299999999999999</v>
      </c>
      <c r="BS540">
        <v>-0.84</v>
      </c>
      <c r="BT540">
        <v>-1.69</v>
      </c>
      <c r="BU540">
        <v>0.01</v>
      </c>
      <c r="BV540">
        <v>-0.86</v>
      </c>
      <c r="BW540">
        <v>-1.28</v>
      </c>
      <c r="BX540">
        <v>0.38</v>
      </c>
      <c r="BY540">
        <v>-2.12</v>
      </c>
      <c r="BZ540">
        <v>0.89</v>
      </c>
      <c r="CA540">
        <v>-0.82</v>
      </c>
      <c r="CB540">
        <v>-0.54</v>
      </c>
      <c r="CC540">
        <v>-1.06</v>
      </c>
      <c r="CD540">
        <v>0.98</v>
      </c>
      <c r="CE540">
        <v>-1.33</v>
      </c>
      <c r="CF540">
        <v>-1.27</v>
      </c>
      <c r="CG540">
        <v>0</v>
      </c>
      <c r="CH540">
        <v>-1.52</v>
      </c>
      <c r="CI540">
        <v>0</v>
      </c>
      <c r="CJ540">
        <v>-5.7</v>
      </c>
      <c r="CK540">
        <v>94</v>
      </c>
      <c r="CL540">
        <v>-0.56999999999999995</v>
      </c>
      <c r="CM540">
        <v>92</v>
      </c>
      <c r="CN540">
        <v>-0.14000000000000001</v>
      </c>
      <c r="CO540">
        <v>92</v>
      </c>
      <c r="CP540">
        <v>-10.6</v>
      </c>
      <c r="CQ540">
        <v>81</v>
      </c>
      <c r="CR540">
        <v>0</v>
      </c>
      <c r="CS540">
        <v>0</v>
      </c>
      <c r="CT540">
        <v>-0.3</v>
      </c>
      <c r="CU540">
        <v>83</v>
      </c>
      <c r="CV540">
        <v>0.14000000000000001</v>
      </c>
      <c r="CW540">
        <v>45</v>
      </c>
      <c r="CX540" t="s">
        <v>11651</v>
      </c>
    </row>
    <row r="541" spans="1:102" x14ac:dyDescent="0.3">
      <c r="A541" t="str">
        <f>HYPERLINK("https://webapp.icbf.com/v2/app/bull-search/view/1138105884","FR2024")</f>
        <v>FR2024</v>
      </c>
      <c r="B541" t="s">
        <v>7649</v>
      </c>
      <c r="C541" t="s">
        <v>7650</v>
      </c>
      <c r="D541" s="1">
        <v>41671</v>
      </c>
      <c r="E541" t="s">
        <v>92</v>
      </c>
      <c r="F541">
        <v>75</v>
      </c>
      <c r="G541" t="s">
        <v>93</v>
      </c>
      <c r="H541">
        <v>180.09</v>
      </c>
      <c r="I541">
        <v>89</v>
      </c>
      <c r="J541">
        <v>68.459999999999994</v>
      </c>
      <c r="K541">
        <v>99</v>
      </c>
      <c r="L541">
        <v>83.26</v>
      </c>
      <c r="M541">
        <v>81</v>
      </c>
      <c r="N541">
        <v>49.02</v>
      </c>
      <c r="O541">
        <v>93</v>
      </c>
      <c r="P541">
        <v>-16.36</v>
      </c>
      <c r="Q541">
        <v>98</v>
      </c>
      <c r="R541">
        <v>-11.58</v>
      </c>
      <c r="S541">
        <v>82</v>
      </c>
      <c r="T541">
        <v>5.61</v>
      </c>
      <c r="U541">
        <v>79</v>
      </c>
      <c r="V541">
        <v>1.68</v>
      </c>
      <c r="W541">
        <v>78</v>
      </c>
      <c r="X541" t="s">
        <v>94</v>
      </c>
      <c r="Y541" t="s">
        <v>416</v>
      </c>
      <c r="Z541" t="s">
        <v>330</v>
      </c>
      <c r="AA541" t="s">
        <v>2172</v>
      </c>
      <c r="AB541" t="s">
        <v>7651</v>
      </c>
      <c r="AC541">
        <v>623</v>
      </c>
      <c r="AD541">
        <v>189</v>
      </c>
      <c r="AE541">
        <v>99</v>
      </c>
      <c r="AF541">
        <v>60</v>
      </c>
      <c r="AG541">
        <v>8.09</v>
      </c>
      <c r="AH541">
        <v>9.6999999999999993</v>
      </c>
      <c r="AI541">
        <v>0.1</v>
      </c>
      <c r="AJ541">
        <v>0.13</v>
      </c>
      <c r="AK541">
        <v>81</v>
      </c>
      <c r="AL541">
        <v>159</v>
      </c>
      <c r="AM541">
        <v>74</v>
      </c>
      <c r="AN541">
        <v>-5.28</v>
      </c>
      <c r="AO541">
        <v>1.35</v>
      </c>
      <c r="AP541">
        <v>2839</v>
      </c>
      <c r="AQ541">
        <v>8</v>
      </c>
      <c r="AR541">
        <v>6.24</v>
      </c>
      <c r="AS541">
        <v>98</v>
      </c>
      <c r="AT541">
        <v>2.12</v>
      </c>
      <c r="AU541">
        <v>98</v>
      </c>
      <c r="AV541">
        <v>-5.18</v>
      </c>
      <c r="AW541">
        <v>99</v>
      </c>
      <c r="AX541">
        <v>0.23</v>
      </c>
      <c r="AY541">
        <v>98</v>
      </c>
      <c r="AZ541">
        <v>6.14</v>
      </c>
      <c r="BA541">
        <v>89</v>
      </c>
      <c r="BB541">
        <v>5.6</v>
      </c>
      <c r="BC541">
        <v>58</v>
      </c>
      <c r="BD541">
        <v>-0.01</v>
      </c>
      <c r="BE541">
        <v>7.0000000000000007E-2</v>
      </c>
      <c r="BF541">
        <v>0.15</v>
      </c>
      <c r="BG541">
        <v>95</v>
      </c>
      <c r="BH541">
        <v>-0.04</v>
      </c>
      <c r="BI541">
        <v>-10.06</v>
      </c>
      <c r="BJ541">
        <v>0</v>
      </c>
      <c r="BK541">
        <v>0</v>
      </c>
      <c r="BL541">
        <v>-1.57</v>
      </c>
      <c r="BM541">
        <v>0.54</v>
      </c>
      <c r="BN541">
        <v>-0.42</v>
      </c>
      <c r="BO541">
        <v>-1.03</v>
      </c>
      <c r="BP541">
        <v>-1.1399999999999999</v>
      </c>
      <c r="BQ541">
        <v>-0.9</v>
      </c>
      <c r="BR541">
        <v>-0.75</v>
      </c>
      <c r="BS541">
        <v>7.0000000000000007E-2</v>
      </c>
      <c r="BT541">
        <v>-0.84</v>
      </c>
      <c r="BU541">
        <v>-1.18</v>
      </c>
      <c r="BV541">
        <v>-0.72</v>
      </c>
      <c r="BW541">
        <v>-0.8</v>
      </c>
      <c r="BX541">
        <v>-1.35</v>
      </c>
      <c r="BY541">
        <v>-1.48</v>
      </c>
      <c r="BZ541">
        <v>0.09</v>
      </c>
      <c r="CA541">
        <v>-0.67</v>
      </c>
      <c r="CB541">
        <v>-0.64</v>
      </c>
      <c r="CC541">
        <v>-0.03</v>
      </c>
      <c r="CD541">
        <v>0.19</v>
      </c>
      <c r="CE541">
        <v>-1.19</v>
      </c>
      <c r="CF541">
        <v>-1.85</v>
      </c>
      <c r="CG541">
        <v>0</v>
      </c>
      <c r="CH541">
        <v>0.14000000000000001</v>
      </c>
      <c r="CI541">
        <v>0</v>
      </c>
      <c r="CJ541">
        <v>-8.3000000000000007</v>
      </c>
      <c r="CK541">
        <v>99</v>
      </c>
      <c r="CL541">
        <v>-0.78</v>
      </c>
      <c r="CM541">
        <v>99</v>
      </c>
      <c r="CN541">
        <v>-0.32</v>
      </c>
      <c r="CO541">
        <v>98</v>
      </c>
      <c r="CP541">
        <v>-4</v>
      </c>
      <c r="CQ541">
        <v>83</v>
      </c>
      <c r="CR541">
        <v>0</v>
      </c>
      <c r="CS541">
        <v>0</v>
      </c>
      <c r="CT541">
        <v>6.2</v>
      </c>
      <c r="CU541">
        <v>79</v>
      </c>
      <c r="CV541">
        <v>0.06</v>
      </c>
      <c r="CW541">
        <v>47</v>
      </c>
      <c r="CX541" t="s">
        <v>7652</v>
      </c>
    </row>
    <row r="542" spans="1:102" x14ac:dyDescent="0.3">
      <c r="A542" t="str">
        <f>HYPERLINK("https://webapp.icbf.com/v2/app/bull-search/view/596227923","AKM")</f>
        <v>AKM</v>
      </c>
      <c r="B542" t="s">
        <v>6880</v>
      </c>
      <c r="C542" t="s">
        <v>6881</v>
      </c>
      <c r="D542" s="1">
        <v>37306</v>
      </c>
      <c r="E542" t="s">
        <v>395</v>
      </c>
      <c r="F542">
        <v>0</v>
      </c>
      <c r="G542" t="s">
        <v>93</v>
      </c>
      <c r="H542">
        <v>179.98</v>
      </c>
      <c r="I542">
        <v>89</v>
      </c>
      <c r="J542">
        <v>8.3000000000000007</v>
      </c>
      <c r="K542">
        <v>98</v>
      </c>
      <c r="L542">
        <v>126.23</v>
      </c>
      <c r="M542">
        <v>79</v>
      </c>
      <c r="N542">
        <v>20.11</v>
      </c>
      <c r="O542">
        <v>91</v>
      </c>
      <c r="P542">
        <v>-9.66</v>
      </c>
      <c r="Q542">
        <v>94</v>
      </c>
      <c r="R542">
        <v>8.48</v>
      </c>
      <c r="S542">
        <v>82</v>
      </c>
      <c r="T542">
        <v>31.22</v>
      </c>
      <c r="U542">
        <v>92</v>
      </c>
      <c r="V542">
        <v>-4.7</v>
      </c>
      <c r="W542">
        <v>86</v>
      </c>
      <c r="X542" t="s">
        <v>94</v>
      </c>
      <c r="Y542" t="s">
        <v>1128</v>
      </c>
      <c r="Z542">
        <v>0</v>
      </c>
      <c r="AA542" t="s">
        <v>6882</v>
      </c>
      <c r="AB542" t="s">
        <v>6883</v>
      </c>
      <c r="AC542">
        <v>128</v>
      </c>
      <c r="AD542">
        <v>47</v>
      </c>
      <c r="AE542">
        <v>98</v>
      </c>
      <c r="AF542">
        <v>-158.91999999999999</v>
      </c>
      <c r="AG542">
        <v>-2.1800000000000002</v>
      </c>
      <c r="AH542">
        <v>-0.25</v>
      </c>
      <c r="AI542">
        <v>7.0000000000000007E-2</v>
      </c>
      <c r="AJ542">
        <v>0.09</v>
      </c>
      <c r="AK542">
        <v>79</v>
      </c>
      <c r="AL542">
        <v>135</v>
      </c>
      <c r="AM542">
        <v>52</v>
      </c>
      <c r="AN542">
        <v>-6.61</v>
      </c>
      <c r="AO542">
        <v>3.46</v>
      </c>
      <c r="AP542">
        <v>351</v>
      </c>
      <c r="AQ542">
        <v>3</v>
      </c>
      <c r="AR542">
        <v>5.47</v>
      </c>
      <c r="AS542">
        <v>82</v>
      </c>
      <c r="AT542">
        <v>2.23</v>
      </c>
      <c r="AU542">
        <v>92</v>
      </c>
      <c r="AV542">
        <v>-0.91</v>
      </c>
      <c r="AW542">
        <v>98</v>
      </c>
      <c r="AX542">
        <v>7.0000000000000007E-2</v>
      </c>
      <c r="AY542">
        <v>88</v>
      </c>
      <c r="AZ542">
        <v>6.32</v>
      </c>
      <c r="BA542">
        <v>71</v>
      </c>
      <c r="BB542">
        <v>4.8</v>
      </c>
      <c r="BC542">
        <v>76</v>
      </c>
      <c r="BD542">
        <v>-0.03</v>
      </c>
      <c r="BE542">
        <v>-0.05</v>
      </c>
      <c r="BF542">
        <v>-0.05</v>
      </c>
      <c r="BG542">
        <v>90</v>
      </c>
      <c r="BH542">
        <v>-0.16</v>
      </c>
      <c r="BI542">
        <v>-3.35</v>
      </c>
      <c r="BJ542">
        <v>2</v>
      </c>
      <c r="BK542">
        <v>2</v>
      </c>
      <c r="BL542">
        <v>-1.61</v>
      </c>
      <c r="BM542">
        <v>-0.66</v>
      </c>
      <c r="BN542">
        <v>-1.93</v>
      </c>
      <c r="BO542">
        <v>-0.97</v>
      </c>
      <c r="BP542">
        <v>2.2999999999999998</v>
      </c>
      <c r="BQ542">
        <v>-1.77</v>
      </c>
      <c r="BR542">
        <v>1.47</v>
      </c>
      <c r="BS542">
        <v>-0.5</v>
      </c>
      <c r="BT542">
        <v>-1.5</v>
      </c>
      <c r="BU542">
        <v>-1.59</v>
      </c>
      <c r="BV542">
        <v>-2.3199999999999998</v>
      </c>
      <c r="BW542">
        <v>-1.8</v>
      </c>
      <c r="BX542">
        <v>-1.48</v>
      </c>
      <c r="BY542">
        <v>-1.77</v>
      </c>
      <c r="BZ542">
        <v>-2.4900000000000002</v>
      </c>
      <c r="CA542">
        <v>-1.9</v>
      </c>
      <c r="CB542">
        <v>-1.75</v>
      </c>
      <c r="CC542">
        <v>-1.48</v>
      </c>
      <c r="CD542">
        <v>0.14000000000000001</v>
      </c>
      <c r="CE542">
        <v>-1.1599999999999999</v>
      </c>
      <c r="CF542">
        <v>-2.09</v>
      </c>
      <c r="CG542">
        <v>0</v>
      </c>
      <c r="CH542">
        <v>-1.19</v>
      </c>
      <c r="CI542">
        <v>0</v>
      </c>
      <c r="CJ542">
        <v>-3.8</v>
      </c>
      <c r="CK542">
        <v>95</v>
      </c>
      <c r="CL542">
        <v>-0.25</v>
      </c>
      <c r="CM542">
        <v>94</v>
      </c>
      <c r="CN542">
        <v>-7.0000000000000007E-2</v>
      </c>
      <c r="CO542">
        <v>93</v>
      </c>
      <c r="CP542">
        <v>-17.7</v>
      </c>
      <c r="CQ542">
        <v>89</v>
      </c>
      <c r="CR542">
        <v>0</v>
      </c>
      <c r="CS542">
        <v>0</v>
      </c>
      <c r="CT542">
        <v>-28.4</v>
      </c>
      <c r="CU542">
        <v>92</v>
      </c>
      <c r="CV542">
        <v>-0.05</v>
      </c>
      <c r="CW542">
        <v>45</v>
      </c>
      <c r="CX542" t="s">
        <v>398</v>
      </c>
    </row>
    <row r="543" spans="1:102" x14ac:dyDescent="0.3">
      <c r="A543" t="str">
        <f>HYPERLINK("https://webapp.icbf.com/v2/app/bull-search/view/1124602156","S2032")</f>
        <v>S2032</v>
      </c>
      <c r="B543" t="s">
        <v>7601</v>
      </c>
      <c r="C543" t="s">
        <v>450</v>
      </c>
      <c r="D543" s="1">
        <v>41183</v>
      </c>
      <c r="E543" t="s">
        <v>92</v>
      </c>
      <c r="F543">
        <v>100</v>
      </c>
      <c r="G543" t="s">
        <v>93</v>
      </c>
      <c r="H543">
        <v>179.98</v>
      </c>
      <c r="I543">
        <v>89</v>
      </c>
      <c r="J543">
        <v>74.58</v>
      </c>
      <c r="K543">
        <v>98</v>
      </c>
      <c r="L543">
        <v>48.25</v>
      </c>
      <c r="M543">
        <v>89</v>
      </c>
      <c r="N543">
        <v>42.36</v>
      </c>
      <c r="O543">
        <v>90</v>
      </c>
      <c r="P543">
        <v>-13.58</v>
      </c>
      <c r="Q543">
        <v>94</v>
      </c>
      <c r="R543">
        <v>18.02</v>
      </c>
      <c r="S543">
        <v>79</v>
      </c>
      <c r="T543">
        <v>5.54</v>
      </c>
      <c r="U543">
        <v>67</v>
      </c>
      <c r="V543">
        <v>4.8099999999999996</v>
      </c>
      <c r="W543">
        <v>59</v>
      </c>
      <c r="X543" t="s">
        <v>234</v>
      </c>
      <c r="Y543" t="s">
        <v>367</v>
      </c>
      <c r="Z543" t="s">
        <v>96</v>
      </c>
      <c r="AA543" t="s">
        <v>1894</v>
      </c>
      <c r="AB543" t="s">
        <v>7602</v>
      </c>
      <c r="AC543">
        <v>246</v>
      </c>
      <c r="AD543">
        <v>75</v>
      </c>
      <c r="AE543">
        <v>98</v>
      </c>
      <c r="AF543">
        <v>433.06</v>
      </c>
      <c r="AG543">
        <v>15.13</v>
      </c>
      <c r="AH543">
        <v>13.96</v>
      </c>
      <c r="AI543">
        <v>-0.03</v>
      </c>
      <c r="AJ543">
        <v>-0.01</v>
      </c>
      <c r="AK543">
        <v>89</v>
      </c>
      <c r="AL543">
        <v>127</v>
      </c>
      <c r="AM543">
        <v>54</v>
      </c>
      <c r="AN543">
        <v>-1.7</v>
      </c>
      <c r="AO543">
        <v>2.16</v>
      </c>
      <c r="AP543">
        <v>771</v>
      </c>
      <c r="AQ543">
        <v>5</v>
      </c>
      <c r="AR543">
        <v>4.75</v>
      </c>
      <c r="AS543">
        <v>91</v>
      </c>
      <c r="AT543">
        <v>2.17</v>
      </c>
      <c r="AU543">
        <v>96</v>
      </c>
      <c r="AV543">
        <v>-3.25</v>
      </c>
      <c r="AW543">
        <v>98</v>
      </c>
      <c r="AX543">
        <v>-0.03</v>
      </c>
      <c r="AY543">
        <v>93</v>
      </c>
      <c r="AZ543">
        <v>5.31</v>
      </c>
      <c r="BA543">
        <v>76</v>
      </c>
      <c r="BB543">
        <v>4.78</v>
      </c>
      <c r="BC543">
        <v>56</v>
      </c>
      <c r="BD543">
        <v>-0.11</v>
      </c>
      <c r="BE543">
        <v>-0.09</v>
      </c>
      <c r="BF543">
        <v>-0.06</v>
      </c>
      <c r="BG543">
        <v>95</v>
      </c>
      <c r="BH543">
        <v>-0.06</v>
      </c>
      <c r="BI543">
        <v>-22.45</v>
      </c>
      <c r="BJ543">
        <v>93</v>
      </c>
      <c r="BK543">
        <v>35</v>
      </c>
      <c r="BL543">
        <v>0.97</v>
      </c>
      <c r="BM543">
        <v>0.09</v>
      </c>
      <c r="BN543">
        <v>0.45</v>
      </c>
      <c r="BO543">
        <v>0.62</v>
      </c>
      <c r="BP543">
        <v>1.58</v>
      </c>
      <c r="BQ543">
        <v>1.45</v>
      </c>
      <c r="BR543">
        <v>0.35</v>
      </c>
      <c r="BS543">
        <v>3</v>
      </c>
      <c r="BT543">
        <v>1.1399999999999999</v>
      </c>
      <c r="BU543">
        <v>4.1500000000000004</v>
      </c>
      <c r="BV543">
        <v>3.65</v>
      </c>
      <c r="BW543">
        <v>0.65</v>
      </c>
      <c r="BX543">
        <v>3.53</v>
      </c>
      <c r="BY543">
        <v>3.02</v>
      </c>
      <c r="BZ543">
        <v>-0.04</v>
      </c>
      <c r="CA543">
        <v>2.78</v>
      </c>
      <c r="CB543">
        <v>2.77</v>
      </c>
      <c r="CC543">
        <v>1.52</v>
      </c>
      <c r="CD543">
        <v>-0.02</v>
      </c>
      <c r="CE543">
        <v>0.89</v>
      </c>
      <c r="CF543">
        <v>1.19</v>
      </c>
      <c r="CG543">
        <v>0</v>
      </c>
      <c r="CH543">
        <v>3.11</v>
      </c>
      <c r="CI543">
        <v>0</v>
      </c>
      <c r="CJ543">
        <v>-5.0999999999999996</v>
      </c>
      <c r="CK543">
        <v>96</v>
      </c>
      <c r="CL543">
        <v>-1.26</v>
      </c>
      <c r="CM543">
        <v>95</v>
      </c>
      <c r="CN543">
        <v>-0.56999999999999995</v>
      </c>
      <c r="CO543">
        <v>95</v>
      </c>
      <c r="CP543">
        <v>-1.4</v>
      </c>
      <c r="CQ543">
        <v>76</v>
      </c>
      <c r="CR543">
        <v>0</v>
      </c>
      <c r="CS543">
        <v>0</v>
      </c>
      <c r="CT543">
        <v>6.3</v>
      </c>
      <c r="CU543">
        <v>67</v>
      </c>
      <c r="CV543">
        <v>0.19</v>
      </c>
      <c r="CW543">
        <v>45</v>
      </c>
      <c r="CX543" t="s">
        <v>1962</v>
      </c>
    </row>
    <row r="544" spans="1:102" x14ac:dyDescent="0.3">
      <c r="A544" t="str">
        <f>HYPERLINK("https://webapp.icbf.com/v2/app/bull-search/view/495764637","LHC")</f>
        <v>LHC</v>
      </c>
      <c r="B544" t="s">
        <v>14133</v>
      </c>
      <c r="C544" t="s">
        <v>14134</v>
      </c>
      <c r="D544" s="1">
        <v>39125</v>
      </c>
      <c r="E544" t="s">
        <v>92</v>
      </c>
      <c r="F544">
        <v>69</v>
      </c>
      <c r="G544" t="s">
        <v>93</v>
      </c>
      <c r="H544">
        <v>179.96</v>
      </c>
      <c r="I544">
        <v>88</v>
      </c>
      <c r="J544">
        <v>69.209999999999994</v>
      </c>
      <c r="K544">
        <v>97</v>
      </c>
      <c r="L544">
        <v>67.87</v>
      </c>
      <c r="M544">
        <v>80</v>
      </c>
      <c r="N544">
        <v>43.3</v>
      </c>
      <c r="O544">
        <v>87</v>
      </c>
      <c r="P544">
        <v>-8.15</v>
      </c>
      <c r="Q544">
        <v>92</v>
      </c>
      <c r="R544">
        <v>-7.99</v>
      </c>
      <c r="S544">
        <v>84</v>
      </c>
      <c r="T544">
        <v>11.75</v>
      </c>
      <c r="U544">
        <v>87</v>
      </c>
      <c r="V544">
        <v>3.97</v>
      </c>
      <c r="W544">
        <v>84</v>
      </c>
      <c r="X544" t="s">
        <v>94</v>
      </c>
      <c r="Y544" t="s">
        <v>228</v>
      </c>
      <c r="Z544" t="s">
        <v>96</v>
      </c>
      <c r="AA544" t="s">
        <v>8615</v>
      </c>
      <c r="AB544" t="s">
        <v>12721</v>
      </c>
      <c r="AC544">
        <v>95</v>
      </c>
      <c r="AD544">
        <v>68</v>
      </c>
      <c r="AE544">
        <v>97</v>
      </c>
      <c r="AF544">
        <v>-14.41</v>
      </c>
      <c r="AG544">
        <v>16.45</v>
      </c>
      <c r="AH544">
        <v>5.73</v>
      </c>
      <c r="AI544">
        <v>0.3</v>
      </c>
      <c r="AJ544">
        <v>0.11</v>
      </c>
      <c r="AK544">
        <v>80</v>
      </c>
      <c r="AL544">
        <v>96</v>
      </c>
      <c r="AM544">
        <v>66</v>
      </c>
      <c r="AN544">
        <v>-2.33</v>
      </c>
      <c r="AO544">
        <v>3.1</v>
      </c>
      <c r="AP544">
        <v>221</v>
      </c>
      <c r="AQ544">
        <v>2</v>
      </c>
      <c r="AR544">
        <v>5.2</v>
      </c>
      <c r="AS544">
        <v>72</v>
      </c>
      <c r="AT544">
        <v>2.16</v>
      </c>
      <c r="AU544">
        <v>89</v>
      </c>
      <c r="AV544">
        <v>-3.71</v>
      </c>
      <c r="AW544">
        <v>96</v>
      </c>
      <c r="AX544">
        <v>-0.45</v>
      </c>
      <c r="AY544">
        <v>82</v>
      </c>
      <c r="AZ544">
        <v>6.87</v>
      </c>
      <c r="BA544">
        <v>69</v>
      </c>
      <c r="BB544">
        <v>4.92</v>
      </c>
      <c r="BC544">
        <v>73</v>
      </c>
      <c r="BD544">
        <v>0.01</v>
      </c>
      <c r="BE544">
        <v>0.03</v>
      </c>
      <c r="BF544">
        <v>0.11</v>
      </c>
      <c r="BG544">
        <v>89</v>
      </c>
      <c r="BH544">
        <v>0.04</v>
      </c>
      <c r="BI544">
        <v>-8.17</v>
      </c>
      <c r="BJ544">
        <v>8</v>
      </c>
      <c r="BK544">
        <v>6</v>
      </c>
      <c r="BL544">
        <v>-0.83</v>
      </c>
      <c r="BM544">
        <v>-0.12</v>
      </c>
      <c r="BN544">
        <v>-0.2</v>
      </c>
      <c r="BO544">
        <v>-0.19</v>
      </c>
      <c r="BP544">
        <v>1.92</v>
      </c>
      <c r="BQ544">
        <v>-2.17</v>
      </c>
      <c r="BR544">
        <v>1.45</v>
      </c>
      <c r="BS544">
        <v>-0.49</v>
      </c>
      <c r="BT544">
        <v>-0.88</v>
      </c>
      <c r="BU544">
        <v>-0.65</v>
      </c>
      <c r="BV544">
        <v>-1.0900000000000001</v>
      </c>
      <c r="BW544">
        <v>-1.58</v>
      </c>
      <c r="BX544">
        <v>-1.44</v>
      </c>
      <c r="BY544">
        <v>-1.1000000000000001</v>
      </c>
      <c r="BZ544">
        <v>1.2</v>
      </c>
      <c r="CA544">
        <v>-1.27</v>
      </c>
      <c r="CB544">
        <v>-1.48</v>
      </c>
      <c r="CC544">
        <v>-0.54</v>
      </c>
      <c r="CD544">
        <v>-0.3</v>
      </c>
      <c r="CE544">
        <v>-0.46</v>
      </c>
      <c r="CF544">
        <v>-0.41</v>
      </c>
      <c r="CG544">
        <v>0</v>
      </c>
      <c r="CH544">
        <v>-1.46</v>
      </c>
      <c r="CI544">
        <v>0</v>
      </c>
      <c r="CJ544">
        <v>-2.9</v>
      </c>
      <c r="CK544">
        <v>93</v>
      </c>
      <c r="CL544">
        <v>-0.56999999999999995</v>
      </c>
      <c r="CM544">
        <v>92</v>
      </c>
      <c r="CN544">
        <v>-0.24</v>
      </c>
      <c r="CO544">
        <v>91</v>
      </c>
      <c r="CP544">
        <v>-7.2</v>
      </c>
      <c r="CQ544">
        <v>90</v>
      </c>
      <c r="CR544">
        <v>0</v>
      </c>
      <c r="CS544">
        <v>0</v>
      </c>
      <c r="CT544">
        <v>-2.1</v>
      </c>
      <c r="CU544">
        <v>87</v>
      </c>
      <c r="CV544">
        <v>0.04</v>
      </c>
      <c r="CW544">
        <v>45</v>
      </c>
      <c r="CX544" t="s">
        <v>1252</v>
      </c>
    </row>
    <row r="545" spans="1:102" x14ac:dyDescent="0.3">
      <c r="A545" t="str">
        <f>HYPERLINK("https://webapp.icbf.com/v2/app/bull-search/view/1306332267","FR4189")</f>
        <v>FR4189</v>
      </c>
      <c r="B545" t="s">
        <v>6266</v>
      </c>
      <c r="C545" t="s">
        <v>6267</v>
      </c>
      <c r="D545" s="1">
        <v>41747</v>
      </c>
      <c r="E545" t="s">
        <v>92</v>
      </c>
      <c r="F545">
        <v>100</v>
      </c>
      <c r="G545" t="s">
        <v>109</v>
      </c>
      <c r="H545">
        <v>179.73</v>
      </c>
      <c r="I545">
        <v>78</v>
      </c>
      <c r="J545">
        <v>72.13</v>
      </c>
      <c r="K545">
        <v>92</v>
      </c>
      <c r="L545">
        <v>66.069999999999993</v>
      </c>
      <c r="M545">
        <v>78</v>
      </c>
      <c r="N545">
        <v>29.41</v>
      </c>
      <c r="O545">
        <v>85</v>
      </c>
      <c r="P545">
        <v>-2.36</v>
      </c>
      <c r="Q545">
        <v>62</v>
      </c>
      <c r="R545">
        <v>16.8</v>
      </c>
      <c r="S545">
        <v>72</v>
      </c>
      <c r="T545">
        <v>-5.27</v>
      </c>
      <c r="U545">
        <v>44</v>
      </c>
      <c r="V545">
        <v>2.95</v>
      </c>
      <c r="W545">
        <v>56</v>
      </c>
      <c r="X545" t="s">
        <v>234</v>
      </c>
      <c r="Y545" t="s">
        <v>2261</v>
      </c>
      <c r="Z545" t="s">
        <v>96</v>
      </c>
      <c r="AA545" t="s">
        <v>6247</v>
      </c>
      <c r="AB545" t="s">
        <v>6268</v>
      </c>
      <c r="AC545">
        <v>0</v>
      </c>
      <c r="AD545">
        <v>0</v>
      </c>
      <c r="AE545">
        <v>92</v>
      </c>
      <c r="AF545">
        <v>156.13</v>
      </c>
      <c r="AG545">
        <v>13.87</v>
      </c>
      <c r="AH545">
        <v>9.75</v>
      </c>
      <c r="AI545">
        <v>0.13</v>
      </c>
      <c r="AJ545">
        <v>0.08</v>
      </c>
      <c r="AK545">
        <v>78</v>
      </c>
      <c r="AL545">
        <v>0</v>
      </c>
      <c r="AM545">
        <v>0</v>
      </c>
      <c r="AN545">
        <v>-4.3099999999999996</v>
      </c>
      <c r="AO545">
        <v>0.95</v>
      </c>
      <c r="AP545">
        <v>484</v>
      </c>
      <c r="AQ545">
        <v>2</v>
      </c>
      <c r="AR545">
        <v>7.27</v>
      </c>
      <c r="AS545">
        <v>88</v>
      </c>
      <c r="AT545">
        <v>2.5499999999999998</v>
      </c>
      <c r="AU545">
        <v>94</v>
      </c>
      <c r="AV545">
        <v>-3.13</v>
      </c>
      <c r="AW545">
        <v>97</v>
      </c>
      <c r="AX545">
        <v>1.06</v>
      </c>
      <c r="AY545">
        <v>87</v>
      </c>
      <c r="AZ545">
        <v>5.35</v>
      </c>
      <c r="BA545">
        <v>41</v>
      </c>
      <c r="BB545">
        <v>4.97</v>
      </c>
      <c r="BC545">
        <v>38</v>
      </c>
      <c r="BD545">
        <v>-0.08</v>
      </c>
      <c r="BE545">
        <v>-7.0000000000000007E-2</v>
      </c>
      <c r="BF545">
        <v>-0.12</v>
      </c>
      <c r="BG545">
        <v>90</v>
      </c>
      <c r="BH545">
        <v>-0.11</v>
      </c>
      <c r="BI545">
        <v>-22.23</v>
      </c>
      <c r="BJ545">
        <v>0</v>
      </c>
      <c r="BK545">
        <v>0</v>
      </c>
      <c r="BL545">
        <v>1.57</v>
      </c>
      <c r="BM545">
        <v>-0.92</v>
      </c>
      <c r="BN545">
        <v>0.2</v>
      </c>
      <c r="BO545">
        <v>1.1399999999999999</v>
      </c>
      <c r="BP545">
        <v>0.41</v>
      </c>
      <c r="BQ545">
        <v>1.03</v>
      </c>
      <c r="BR545">
        <v>0</v>
      </c>
      <c r="BS545">
        <v>-0.08</v>
      </c>
      <c r="BT545">
        <v>0.39</v>
      </c>
      <c r="BU545">
        <v>3.23</v>
      </c>
      <c r="BV545">
        <v>3.05</v>
      </c>
      <c r="BW545">
        <v>1.52</v>
      </c>
      <c r="BX545">
        <v>3.04</v>
      </c>
      <c r="BY545">
        <v>1.27</v>
      </c>
      <c r="BZ545">
        <v>0.61</v>
      </c>
      <c r="CA545">
        <v>2.2000000000000002</v>
      </c>
      <c r="CB545">
        <v>2.61</v>
      </c>
      <c r="CC545">
        <v>-0.05</v>
      </c>
      <c r="CD545">
        <v>-1.21</v>
      </c>
      <c r="CE545">
        <v>1.24</v>
      </c>
      <c r="CF545">
        <v>1.5</v>
      </c>
      <c r="CG545">
        <v>0</v>
      </c>
      <c r="CH545">
        <v>2.16</v>
      </c>
      <c r="CI545">
        <v>0</v>
      </c>
      <c r="CJ545">
        <v>4.8</v>
      </c>
      <c r="CK545">
        <v>67</v>
      </c>
      <c r="CL545">
        <v>-1.43</v>
      </c>
      <c r="CM545">
        <v>57</v>
      </c>
      <c r="CN545">
        <v>-0.46</v>
      </c>
      <c r="CO545">
        <v>56</v>
      </c>
      <c r="CP545">
        <v>2.6</v>
      </c>
      <c r="CQ545">
        <v>47</v>
      </c>
      <c r="CR545">
        <v>0</v>
      </c>
      <c r="CS545">
        <v>0</v>
      </c>
      <c r="CT545">
        <v>20.9</v>
      </c>
      <c r="CU545">
        <v>44</v>
      </c>
      <c r="CV545">
        <v>0.41</v>
      </c>
      <c r="CW545">
        <v>40</v>
      </c>
      <c r="CX545" t="s">
        <v>401</v>
      </c>
    </row>
    <row r="546" spans="1:102" x14ac:dyDescent="0.3">
      <c r="A546" t="str">
        <f>HYPERLINK("https://webapp.icbf.com/v2/app/bull-search/view/69092878","VFF")</f>
        <v>VFF</v>
      </c>
      <c r="B546" t="s">
        <v>3239</v>
      </c>
      <c r="C546" t="s">
        <v>3240</v>
      </c>
      <c r="D546" s="1">
        <v>34187</v>
      </c>
      <c r="E546" t="s">
        <v>227</v>
      </c>
      <c r="F546">
        <v>0</v>
      </c>
      <c r="G546" t="s">
        <v>93</v>
      </c>
      <c r="H546">
        <v>179.59</v>
      </c>
      <c r="I546">
        <v>93</v>
      </c>
      <c r="J546">
        <v>45.29</v>
      </c>
      <c r="K546">
        <v>98</v>
      </c>
      <c r="L546">
        <v>65.13</v>
      </c>
      <c r="M546">
        <v>90</v>
      </c>
      <c r="N546">
        <v>44.12</v>
      </c>
      <c r="O546">
        <v>89</v>
      </c>
      <c r="P546">
        <v>-74.430000000000007</v>
      </c>
      <c r="Q546">
        <v>94</v>
      </c>
      <c r="R546">
        <v>9</v>
      </c>
      <c r="S546">
        <v>85</v>
      </c>
      <c r="T546">
        <v>78.28</v>
      </c>
      <c r="U546">
        <v>92</v>
      </c>
      <c r="V546">
        <v>12.2</v>
      </c>
      <c r="W546">
        <v>85</v>
      </c>
      <c r="X546" t="s">
        <v>302</v>
      </c>
      <c r="Y546" t="s">
        <v>95</v>
      </c>
      <c r="Z546">
        <v>0</v>
      </c>
      <c r="AA546" t="s">
        <v>516</v>
      </c>
      <c r="AB546" t="s">
        <v>3241</v>
      </c>
      <c r="AC546">
        <v>182</v>
      </c>
      <c r="AD546">
        <v>55</v>
      </c>
      <c r="AE546">
        <v>98</v>
      </c>
      <c r="AF546">
        <v>-523.67999999999995</v>
      </c>
      <c r="AG546">
        <v>13.87</v>
      </c>
      <c r="AH546">
        <v>-5.22</v>
      </c>
      <c r="AI546">
        <v>0.62</v>
      </c>
      <c r="AJ546">
        <v>0.23</v>
      </c>
      <c r="AK546">
        <v>90</v>
      </c>
      <c r="AL546">
        <v>185</v>
      </c>
      <c r="AM546">
        <v>45</v>
      </c>
      <c r="AN546">
        <v>-2.33</v>
      </c>
      <c r="AO546">
        <v>2.88</v>
      </c>
      <c r="AP546">
        <v>163</v>
      </c>
      <c r="AQ546">
        <v>2</v>
      </c>
      <c r="AR546">
        <v>2.12</v>
      </c>
      <c r="AS546">
        <v>88</v>
      </c>
      <c r="AT546">
        <v>1.33</v>
      </c>
      <c r="AU546">
        <v>87</v>
      </c>
      <c r="AV546">
        <v>-3.45</v>
      </c>
      <c r="AW546">
        <v>95</v>
      </c>
      <c r="AX546">
        <v>0.89</v>
      </c>
      <c r="AY546">
        <v>89</v>
      </c>
      <c r="AZ546">
        <v>6.92</v>
      </c>
      <c r="BA546">
        <v>77</v>
      </c>
      <c r="BB546">
        <v>5.53</v>
      </c>
      <c r="BC546">
        <v>81</v>
      </c>
      <c r="BD546">
        <v>-0.06</v>
      </c>
      <c r="BE546">
        <v>-0.03</v>
      </c>
      <c r="BF546">
        <v>-0.05</v>
      </c>
      <c r="BG546">
        <v>92</v>
      </c>
      <c r="BH546">
        <v>0.35</v>
      </c>
      <c r="BI546">
        <v>1.1399999999999999</v>
      </c>
      <c r="BJ546">
        <v>0</v>
      </c>
      <c r="BK546">
        <v>0</v>
      </c>
      <c r="BL546">
        <v>-3.52</v>
      </c>
      <c r="BM546">
        <v>-1.71</v>
      </c>
      <c r="BN546">
        <v>-1.0900000000000001</v>
      </c>
      <c r="BO546">
        <v>0.51</v>
      </c>
      <c r="BP546">
        <v>0.5</v>
      </c>
      <c r="BQ546">
        <v>-6.08</v>
      </c>
      <c r="BR546">
        <v>2.77</v>
      </c>
      <c r="BS546">
        <v>5.31</v>
      </c>
      <c r="BT546">
        <v>-1.55</v>
      </c>
      <c r="BU546">
        <v>-1.54</v>
      </c>
      <c r="BV546">
        <v>-0.38</v>
      </c>
      <c r="BW546">
        <v>-3.14</v>
      </c>
      <c r="BX546">
        <v>-4.3499999999999996</v>
      </c>
      <c r="BY546">
        <v>0.27</v>
      </c>
      <c r="BZ546">
        <v>-2.2000000000000002</v>
      </c>
      <c r="CA546">
        <v>0.09</v>
      </c>
      <c r="CB546">
        <v>-0.67</v>
      </c>
      <c r="CC546">
        <v>1.73</v>
      </c>
      <c r="CD546">
        <v>-0.97</v>
      </c>
      <c r="CE546">
        <v>0.43</v>
      </c>
      <c r="CF546">
        <v>-3.98</v>
      </c>
      <c r="CG546">
        <v>0</v>
      </c>
      <c r="CH546">
        <v>-0.22</v>
      </c>
      <c r="CI546">
        <v>0</v>
      </c>
      <c r="CJ546">
        <v>-35.5</v>
      </c>
      <c r="CK546">
        <v>94</v>
      </c>
      <c r="CL546">
        <v>-1.0900000000000001</v>
      </c>
      <c r="CM546">
        <v>93</v>
      </c>
      <c r="CN546">
        <v>0.46</v>
      </c>
      <c r="CO546">
        <v>92</v>
      </c>
      <c r="CP546">
        <v>-58.7</v>
      </c>
      <c r="CQ546">
        <v>94</v>
      </c>
      <c r="CR546">
        <v>0</v>
      </c>
      <c r="CS546">
        <v>0</v>
      </c>
      <c r="CT546">
        <v>-92</v>
      </c>
      <c r="CU546">
        <v>92</v>
      </c>
      <c r="CV546">
        <v>-0.33</v>
      </c>
      <c r="CW546">
        <v>27</v>
      </c>
      <c r="CX546" t="s">
        <v>3242</v>
      </c>
    </row>
    <row r="547" spans="1:102" x14ac:dyDescent="0.3">
      <c r="A547" t="str">
        <f>HYPERLINK("https://webapp.icbf.com/v2/app/bull-search/view/586205007","VSH")</f>
        <v>VSH</v>
      </c>
      <c r="B547" t="s">
        <v>1702</v>
      </c>
      <c r="C547" t="s">
        <v>1703</v>
      </c>
      <c r="D547" s="1">
        <v>39275</v>
      </c>
      <c r="E547" t="s">
        <v>92</v>
      </c>
      <c r="F547">
        <v>75</v>
      </c>
      <c r="G547" t="s">
        <v>93</v>
      </c>
      <c r="H547">
        <v>179.56</v>
      </c>
      <c r="I547">
        <v>87</v>
      </c>
      <c r="J547">
        <v>46.49</v>
      </c>
      <c r="K547">
        <v>96</v>
      </c>
      <c r="L547">
        <v>75.569999999999993</v>
      </c>
      <c r="M547">
        <v>81</v>
      </c>
      <c r="N547">
        <v>45.6</v>
      </c>
      <c r="O547">
        <v>83</v>
      </c>
      <c r="P547">
        <v>-30.27</v>
      </c>
      <c r="Q547">
        <v>90</v>
      </c>
      <c r="R547">
        <v>-2.61</v>
      </c>
      <c r="S547">
        <v>79</v>
      </c>
      <c r="T547">
        <v>38.54</v>
      </c>
      <c r="U547">
        <v>87</v>
      </c>
      <c r="V547">
        <v>6.24</v>
      </c>
      <c r="W547">
        <v>78</v>
      </c>
      <c r="X547" t="s">
        <v>276</v>
      </c>
      <c r="Y547" t="s">
        <v>319</v>
      </c>
      <c r="Z547">
        <v>0</v>
      </c>
      <c r="AA547" t="s">
        <v>1704</v>
      </c>
      <c r="AB547" t="s">
        <v>144</v>
      </c>
      <c r="AC547">
        <v>66</v>
      </c>
      <c r="AD547">
        <v>40</v>
      </c>
      <c r="AE547">
        <v>96</v>
      </c>
      <c r="AF547">
        <v>-62.56</v>
      </c>
      <c r="AG547">
        <v>3.73</v>
      </c>
      <c r="AH547">
        <v>5.63</v>
      </c>
      <c r="AI547">
        <v>0.11</v>
      </c>
      <c r="AJ547">
        <v>0.14000000000000001</v>
      </c>
      <c r="AK547">
        <v>81</v>
      </c>
      <c r="AL547">
        <v>73</v>
      </c>
      <c r="AM547">
        <v>42</v>
      </c>
      <c r="AN547">
        <v>-3.85</v>
      </c>
      <c r="AO547">
        <v>2.1800000000000002</v>
      </c>
      <c r="AP547">
        <v>164</v>
      </c>
      <c r="AQ547">
        <v>0</v>
      </c>
      <c r="AR547">
        <v>4.08</v>
      </c>
      <c r="AS547">
        <v>72</v>
      </c>
      <c r="AT547">
        <v>1.77</v>
      </c>
      <c r="AU547">
        <v>85</v>
      </c>
      <c r="AV547">
        <v>-3.16</v>
      </c>
      <c r="AW547">
        <v>95</v>
      </c>
      <c r="AX547">
        <v>-0.4</v>
      </c>
      <c r="AY547">
        <v>77</v>
      </c>
      <c r="AZ547">
        <v>5.87</v>
      </c>
      <c r="BA547">
        <v>59</v>
      </c>
      <c r="BB547">
        <v>4.74</v>
      </c>
      <c r="BC547">
        <v>63</v>
      </c>
      <c r="BD547">
        <v>-0.03</v>
      </c>
      <c r="BE547">
        <v>0</v>
      </c>
      <c r="BF547">
        <v>0.11</v>
      </c>
      <c r="BG547">
        <v>91</v>
      </c>
      <c r="BH547">
        <v>0.05</v>
      </c>
      <c r="BI547">
        <v>-14.36</v>
      </c>
      <c r="BJ547">
        <v>20</v>
      </c>
      <c r="BK547">
        <v>10</v>
      </c>
      <c r="BL547">
        <v>-2.27</v>
      </c>
      <c r="BM547">
        <v>-0.15</v>
      </c>
      <c r="BN547">
        <v>-1.55</v>
      </c>
      <c r="BO547">
        <v>-0.71</v>
      </c>
      <c r="BP547">
        <v>1.57</v>
      </c>
      <c r="BQ547">
        <v>-2.87</v>
      </c>
      <c r="BR547">
        <v>1.73</v>
      </c>
      <c r="BS547">
        <v>-0.88</v>
      </c>
      <c r="BT547">
        <v>-1.64</v>
      </c>
      <c r="BU547">
        <v>-1.87</v>
      </c>
      <c r="BV547">
        <v>-0.98</v>
      </c>
      <c r="BW547">
        <v>-2.1</v>
      </c>
      <c r="BX547">
        <v>-2.25</v>
      </c>
      <c r="BY547">
        <v>-0.26</v>
      </c>
      <c r="BZ547">
        <v>-1.4</v>
      </c>
      <c r="CA547">
        <v>-1.05</v>
      </c>
      <c r="CB547">
        <v>-0.92</v>
      </c>
      <c r="CC547">
        <v>-1.79</v>
      </c>
      <c r="CD547">
        <v>-1.04</v>
      </c>
      <c r="CE547">
        <v>-0.6</v>
      </c>
      <c r="CF547">
        <v>-3.19</v>
      </c>
      <c r="CG547">
        <v>0</v>
      </c>
      <c r="CH547">
        <v>-1.03</v>
      </c>
      <c r="CI547">
        <v>0</v>
      </c>
      <c r="CJ547">
        <v>-15.5</v>
      </c>
      <c r="CK547">
        <v>91</v>
      </c>
      <c r="CL547">
        <v>-0.7</v>
      </c>
      <c r="CM547">
        <v>89</v>
      </c>
      <c r="CN547">
        <v>-0.23</v>
      </c>
      <c r="CO547">
        <v>88</v>
      </c>
      <c r="CP547">
        <v>-29</v>
      </c>
      <c r="CQ547">
        <v>84</v>
      </c>
      <c r="CR547">
        <v>0</v>
      </c>
      <c r="CS547">
        <v>0</v>
      </c>
      <c r="CT547">
        <v>-38.299999999999997</v>
      </c>
      <c r="CU547">
        <v>87</v>
      </c>
      <c r="CV547">
        <v>-7.0000000000000007E-2</v>
      </c>
      <c r="CW547">
        <v>44</v>
      </c>
      <c r="CX547" t="s">
        <v>321</v>
      </c>
    </row>
    <row r="548" spans="1:102" x14ac:dyDescent="0.3">
      <c r="A548" t="str">
        <f>HYPERLINK("https://webapp.icbf.com/v2/app/bull-search/view/495357108","LZO")</f>
        <v>LZO</v>
      </c>
      <c r="B548" t="s">
        <v>8895</v>
      </c>
      <c r="C548" t="s">
        <v>8896</v>
      </c>
      <c r="D548" s="1">
        <v>39109</v>
      </c>
      <c r="E548" t="s">
        <v>92</v>
      </c>
      <c r="F548">
        <v>94</v>
      </c>
      <c r="G548" t="s">
        <v>93</v>
      </c>
      <c r="H548">
        <v>179.5</v>
      </c>
      <c r="I548">
        <v>97</v>
      </c>
      <c r="J548">
        <v>52.13</v>
      </c>
      <c r="K548">
        <v>99</v>
      </c>
      <c r="L548">
        <v>71.36</v>
      </c>
      <c r="M548">
        <v>95</v>
      </c>
      <c r="N548">
        <v>56.59</v>
      </c>
      <c r="O548">
        <v>98</v>
      </c>
      <c r="P548">
        <v>-4.7300000000000004</v>
      </c>
      <c r="Q548">
        <v>99</v>
      </c>
      <c r="R548">
        <v>6.78</v>
      </c>
      <c r="S548">
        <v>95</v>
      </c>
      <c r="T548">
        <v>0.73</v>
      </c>
      <c r="U548">
        <v>99</v>
      </c>
      <c r="V548">
        <v>-3.36</v>
      </c>
      <c r="W548">
        <v>93</v>
      </c>
      <c r="X548" t="s">
        <v>94</v>
      </c>
      <c r="Y548" t="s">
        <v>228</v>
      </c>
      <c r="Z548" t="s">
        <v>96</v>
      </c>
      <c r="AA548" t="s">
        <v>316</v>
      </c>
      <c r="AB548" t="s">
        <v>8897</v>
      </c>
      <c r="AC548">
        <v>1939</v>
      </c>
      <c r="AD548">
        <v>872</v>
      </c>
      <c r="AE548">
        <v>99</v>
      </c>
      <c r="AF548">
        <v>35.51</v>
      </c>
      <c r="AG548">
        <v>9.9499999999999993</v>
      </c>
      <c r="AH548">
        <v>5.89</v>
      </c>
      <c r="AI548">
        <v>0.15</v>
      </c>
      <c r="AJ548">
        <v>0.08</v>
      </c>
      <c r="AK548">
        <v>95</v>
      </c>
      <c r="AL548">
        <v>2317</v>
      </c>
      <c r="AM548">
        <v>1124</v>
      </c>
      <c r="AN548">
        <v>-4.75</v>
      </c>
      <c r="AO548">
        <v>0.93</v>
      </c>
      <c r="AP548">
        <v>3587</v>
      </c>
      <c r="AQ548">
        <v>40</v>
      </c>
      <c r="AR548">
        <v>5.66</v>
      </c>
      <c r="AS548">
        <v>97</v>
      </c>
      <c r="AT548">
        <v>1.9</v>
      </c>
      <c r="AU548">
        <v>99</v>
      </c>
      <c r="AV548">
        <v>-5.09</v>
      </c>
      <c r="AW548">
        <v>99</v>
      </c>
      <c r="AX548">
        <v>-0.22</v>
      </c>
      <c r="AY548">
        <v>99</v>
      </c>
      <c r="AZ548">
        <v>6.2</v>
      </c>
      <c r="BA548">
        <v>95</v>
      </c>
      <c r="BB548">
        <v>4.6900000000000004</v>
      </c>
      <c r="BC548">
        <v>96</v>
      </c>
      <c r="BD548">
        <v>-0.03</v>
      </c>
      <c r="BE548">
        <v>-0.04</v>
      </c>
      <c r="BF548">
        <v>-0.03</v>
      </c>
      <c r="BG548">
        <v>99</v>
      </c>
      <c r="BH548">
        <v>-0.08</v>
      </c>
      <c r="BI548">
        <v>1.6</v>
      </c>
      <c r="BJ548">
        <v>88</v>
      </c>
      <c r="BK548">
        <v>48</v>
      </c>
      <c r="BL548">
        <v>-0.38</v>
      </c>
      <c r="BM548">
        <v>1.2</v>
      </c>
      <c r="BN548">
        <v>-1.51</v>
      </c>
      <c r="BO548">
        <v>-1.83</v>
      </c>
      <c r="BP548">
        <v>1.62</v>
      </c>
      <c r="BQ548">
        <v>-0.43</v>
      </c>
      <c r="BR548">
        <v>-0.04</v>
      </c>
      <c r="BS548">
        <v>-1.55</v>
      </c>
      <c r="BT548">
        <v>-0.39</v>
      </c>
      <c r="BU548">
        <v>-1.83</v>
      </c>
      <c r="BV548">
        <v>-1.27</v>
      </c>
      <c r="BW548">
        <v>-1.05</v>
      </c>
      <c r="BX548">
        <v>-1.21</v>
      </c>
      <c r="BY548">
        <v>-1.0900000000000001</v>
      </c>
      <c r="BZ548">
        <v>1.35</v>
      </c>
      <c r="CA548">
        <v>-1.17</v>
      </c>
      <c r="CB548">
        <v>-1.17</v>
      </c>
      <c r="CC548">
        <v>-0.68</v>
      </c>
      <c r="CD548">
        <v>1.71</v>
      </c>
      <c r="CE548">
        <v>-1.41</v>
      </c>
      <c r="CF548">
        <v>-0.84</v>
      </c>
      <c r="CG548">
        <v>0</v>
      </c>
      <c r="CH548">
        <v>-0.99</v>
      </c>
      <c r="CI548">
        <v>0</v>
      </c>
      <c r="CJ548">
        <v>-0.7</v>
      </c>
      <c r="CK548">
        <v>99</v>
      </c>
      <c r="CL548">
        <v>-0.59</v>
      </c>
      <c r="CM548">
        <v>99</v>
      </c>
      <c r="CN548">
        <v>-0.2</v>
      </c>
      <c r="CO548">
        <v>99</v>
      </c>
      <c r="CP548">
        <v>-0.1</v>
      </c>
      <c r="CQ548">
        <v>99</v>
      </c>
      <c r="CR548">
        <v>0</v>
      </c>
      <c r="CS548">
        <v>0</v>
      </c>
      <c r="CT548">
        <v>12.8</v>
      </c>
      <c r="CU548">
        <v>99</v>
      </c>
      <c r="CV548">
        <v>0.22</v>
      </c>
      <c r="CW548">
        <v>50</v>
      </c>
      <c r="CX548" t="s">
        <v>1252</v>
      </c>
    </row>
    <row r="549" spans="1:102" x14ac:dyDescent="0.3">
      <c r="A549" t="str">
        <f>HYPERLINK("https://webapp.icbf.com/v2/app/bull-search/view/871603104","SPQ")</f>
        <v>SPQ</v>
      </c>
      <c r="B549" t="s">
        <v>1858</v>
      </c>
      <c r="C549" t="s">
        <v>1859</v>
      </c>
      <c r="D549" s="1">
        <v>40622</v>
      </c>
      <c r="E549" t="s">
        <v>92</v>
      </c>
      <c r="F549">
        <v>88</v>
      </c>
      <c r="G549" t="s">
        <v>93</v>
      </c>
      <c r="H549">
        <v>179.41</v>
      </c>
      <c r="I549">
        <v>90</v>
      </c>
      <c r="J549">
        <v>24.87</v>
      </c>
      <c r="K549">
        <v>98</v>
      </c>
      <c r="L549">
        <v>106.64</v>
      </c>
      <c r="M549">
        <v>82</v>
      </c>
      <c r="N549">
        <v>35.75</v>
      </c>
      <c r="O549">
        <v>91</v>
      </c>
      <c r="P549">
        <v>-9.11</v>
      </c>
      <c r="Q549">
        <v>96</v>
      </c>
      <c r="R549">
        <v>13.37</v>
      </c>
      <c r="S549">
        <v>82</v>
      </c>
      <c r="T549">
        <v>13.01</v>
      </c>
      <c r="U549">
        <v>88</v>
      </c>
      <c r="V549">
        <v>-5.12</v>
      </c>
      <c r="W549">
        <v>77</v>
      </c>
      <c r="X549" t="s">
        <v>94</v>
      </c>
      <c r="Y549" t="s">
        <v>1860</v>
      </c>
      <c r="Z549" t="s">
        <v>96</v>
      </c>
      <c r="AA549" t="s">
        <v>1861</v>
      </c>
      <c r="AB549" t="s">
        <v>1862</v>
      </c>
      <c r="AC549">
        <v>209</v>
      </c>
      <c r="AD549">
        <v>111</v>
      </c>
      <c r="AE549">
        <v>98</v>
      </c>
      <c r="AF549">
        <v>165.35</v>
      </c>
      <c r="AG549">
        <v>3.82</v>
      </c>
      <c r="AH549">
        <v>5.41</v>
      </c>
      <c r="AI549">
        <v>-0.04</v>
      </c>
      <c r="AJ549">
        <v>0</v>
      </c>
      <c r="AK549">
        <v>82</v>
      </c>
      <c r="AL549">
        <v>232</v>
      </c>
      <c r="AM549">
        <v>122</v>
      </c>
      <c r="AN549">
        <v>-4.58</v>
      </c>
      <c r="AO549">
        <v>3.94</v>
      </c>
      <c r="AP549">
        <v>487</v>
      </c>
      <c r="AQ549">
        <v>3</v>
      </c>
      <c r="AR549">
        <v>6.03</v>
      </c>
      <c r="AS549">
        <v>81</v>
      </c>
      <c r="AT549">
        <v>2.5499999999999998</v>
      </c>
      <c r="AU549">
        <v>93</v>
      </c>
      <c r="AV549">
        <v>-3.4</v>
      </c>
      <c r="AW549">
        <v>98</v>
      </c>
      <c r="AX549">
        <v>-0.72</v>
      </c>
      <c r="AY549">
        <v>90</v>
      </c>
      <c r="AZ549">
        <v>6.44</v>
      </c>
      <c r="BA549">
        <v>76</v>
      </c>
      <c r="BB549">
        <v>5.31</v>
      </c>
      <c r="BC549">
        <v>75</v>
      </c>
      <c r="BD549">
        <v>-0.02</v>
      </c>
      <c r="BE549">
        <v>-0.06</v>
      </c>
      <c r="BF549">
        <v>-0.16</v>
      </c>
      <c r="BG549">
        <v>92</v>
      </c>
      <c r="BH549">
        <v>-0.12</v>
      </c>
      <c r="BI549">
        <v>2.62</v>
      </c>
      <c r="BJ549">
        <v>35</v>
      </c>
      <c r="BK549">
        <v>19</v>
      </c>
      <c r="BL549">
        <v>-1.33</v>
      </c>
      <c r="BM549">
        <v>-0.56000000000000005</v>
      </c>
      <c r="BN549">
        <v>-1.43</v>
      </c>
      <c r="BO549">
        <v>-0.61</v>
      </c>
      <c r="BP549">
        <v>3.59</v>
      </c>
      <c r="BQ549">
        <v>-2.2599999999999998</v>
      </c>
      <c r="BR549">
        <v>-0.03</v>
      </c>
      <c r="BS549">
        <v>1.4</v>
      </c>
      <c r="BT549">
        <v>-0.46</v>
      </c>
      <c r="BU549">
        <v>-0.01</v>
      </c>
      <c r="BV549">
        <v>-0.11</v>
      </c>
      <c r="BW549">
        <v>-0.14000000000000001</v>
      </c>
      <c r="BX549">
        <v>-0.48</v>
      </c>
      <c r="BY549">
        <v>0.81</v>
      </c>
      <c r="BZ549">
        <v>-0.97</v>
      </c>
      <c r="CA549">
        <v>0.59</v>
      </c>
      <c r="CB549">
        <v>0.05</v>
      </c>
      <c r="CC549">
        <v>1.19</v>
      </c>
      <c r="CD549">
        <v>0.47</v>
      </c>
      <c r="CE549">
        <v>-0.3</v>
      </c>
      <c r="CF549">
        <v>-1.49</v>
      </c>
      <c r="CG549">
        <v>0</v>
      </c>
      <c r="CH549">
        <v>0.48</v>
      </c>
      <c r="CI549">
        <v>0</v>
      </c>
      <c r="CJ549">
        <v>-4</v>
      </c>
      <c r="CK549">
        <v>97</v>
      </c>
      <c r="CL549">
        <v>-0.46</v>
      </c>
      <c r="CM549">
        <v>96</v>
      </c>
      <c r="CN549">
        <v>-0.19</v>
      </c>
      <c r="CO549">
        <v>96</v>
      </c>
      <c r="CP549">
        <v>-7.1</v>
      </c>
      <c r="CQ549">
        <v>87</v>
      </c>
      <c r="CR549">
        <v>0</v>
      </c>
      <c r="CS549">
        <v>0</v>
      </c>
      <c r="CT549">
        <v>-3.8</v>
      </c>
      <c r="CU549">
        <v>88</v>
      </c>
      <c r="CV549">
        <v>0</v>
      </c>
      <c r="CW549">
        <v>47</v>
      </c>
      <c r="CX549" t="s">
        <v>1252</v>
      </c>
    </row>
    <row r="550" spans="1:102" x14ac:dyDescent="0.3">
      <c r="A550" t="str">
        <f>HYPERLINK("https://webapp.icbf.com/v2/app/bull-search/view/487001720","BWF")</f>
        <v>BWF</v>
      </c>
      <c r="B550" t="s">
        <v>12263</v>
      </c>
      <c r="C550" t="s">
        <v>12264</v>
      </c>
      <c r="D550" s="1">
        <v>38606</v>
      </c>
      <c r="E550" t="s">
        <v>227</v>
      </c>
      <c r="F550">
        <v>31</v>
      </c>
      <c r="G550" t="s">
        <v>93</v>
      </c>
      <c r="H550">
        <v>179.23</v>
      </c>
      <c r="I550">
        <v>91</v>
      </c>
      <c r="J550">
        <v>65.83</v>
      </c>
      <c r="K550">
        <v>98</v>
      </c>
      <c r="L550">
        <v>52.44</v>
      </c>
      <c r="M550">
        <v>85</v>
      </c>
      <c r="N550">
        <v>36.97</v>
      </c>
      <c r="O550">
        <v>90</v>
      </c>
      <c r="P550">
        <v>-41.22</v>
      </c>
      <c r="Q550">
        <v>93</v>
      </c>
      <c r="R550">
        <v>0.28999999999999998</v>
      </c>
      <c r="S550">
        <v>86</v>
      </c>
      <c r="T550">
        <v>53.34</v>
      </c>
      <c r="U550">
        <v>92</v>
      </c>
      <c r="V550">
        <v>11.58</v>
      </c>
      <c r="W550">
        <v>90</v>
      </c>
      <c r="X550" t="s">
        <v>276</v>
      </c>
      <c r="Y550" t="s">
        <v>1524</v>
      </c>
      <c r="Z550">
        <v>0</v>
      </c>
      <c r="AA550" t="s">
        <v>333</v>
      </c>
      <c r="AB550" t="s">
        <v>12265</v>
      </c>
      <c r="AC550">
        <v>154</v>
      </c>
      <c r="AD550">
        <v>73</v>
      </c>
      <c r="AE550">
        <v>98</v>
      </c>
      <c r="AF550">
        <v>-227.02</v>
      </c>
      <c r="AG550">
        <v>14.28</v>
      </c>
      <c r="AH550">
        <v>2.67</v>
      </c>
      <c r="AI550">
        <v>0.42</v>
      </c>
      <c r="AJ550">
        <v>0.19</v>
      </c>
      <c r="AK550">
        <v>85</v>
      </c>
      <c r="AL550">
        <v>145</v>
      </c>
      <c r="AM550">
        <v>66</v>
      </c>
      <c r="AN550">
        <v>-2.99</v>
      </c>
      <c r="AO550">
        <v>1.19</v>
      </c>
      <c r="AP550">
        <v>271</v>
      </c>
      <c r="AQ550">
        <v>0</v>
      </c>
      <c r="AR550">
        <v>3.97</v>
      </c>
      <c r="AS550">
        <v>85</v>
      </c>
      <c r="AT550">
        <v>1.54</v>
      </c>
      <c r="AU550">
        <v>90</v>
      </c>
      <c r="AV550">
        <v>-2.09</v>
      </c>
      <c r="AW550">
        <v>98</v>
      </c>
      <c r="AX550">
        <v>-0.37</v>
      </c>
      <c r="AY550">
        <v>87</v>
      </c>
      <c r="AZ550">
        <v>6.64</v>
      </c>
      <c r="BA550">
        <v>74</v>
      </c>
      <c r="BB550">
        <v>4.82</v>
      </c>
      <c r="BC550">
        <v>75</v>
      </c>
      <c r="BD550">
        <v>-0.04</v>
      </c>
      <c r="BE550">
        <v>0</v>
      </c>
      <c r="BF550">
        <v>0.06</v>
      </c>
      <c r="BG550">
        <v>92</v>
      </c>
      <c r="BH550">
        <v>0.21</v>
      </c>
      <c r="BI550">
        <v>-13.07</v>
      </c>
      <c r="BJ550">
        <v>34</v>
      </c>
      <c r="BK550">
        <v>12</v>
      </c>
      <c r="BL550">
        <v>-2.5099999999999998</v>
      </c>
      <c r="BM550">
        <v>-1.37</v>
      </c>
      <c r="BN550">
        <v>-1.7</v>
      </c>
      <c r="BO550">
        <v>0.18</v>
      </c>
      <c r="BP550">
        <v>-0.41</v>
      </c>
      <c r="BQ550">
        <v>-3.5</v>
      </c>
      <c r="BR550">
        <v>1.42</v>
      </c>
      <c r="BS550">
        <v>2.25</v>
      </c>
      <c r="BT550">
        <v>-1.56</v>
      </c>
      <c r="BU550">
        <v>-1.07</v>
      </c>
      <c r="BV550">
        <v>-0.84</v>
      </c>
      <c r="BW550">
        <v>-1.42</v>
      </c>
      <c r="BX550">
        <v>-3.96</v>
      </c>
      <c r="BY550">
        <v>-2.15</v>
      </c>
      <c r="BZ550">
        <v>1.35</v>
      </c>
      <c r="CA550">
        <v>-0.22</v>
      </c>
      <c r="CB550">
        <v>-1.1299999999999999</v>
      </c>
      <c r="CC550">
        <v>1.68</v>
      </c>
      <c r="CD550">
        <v>-0.92</v>
      </c>
      <c r="CE550">
        <v>0.28999999999999998</v>
      </c>
      <c r="CF550">
        <v>-2.2599999999999998</v>
      </c>
      <c r="CG550">
        <v>0</v>
      </c>
      <c r="CH550">
        <v>-1.22</v>
      </c>
      <c r="CI550">
        <v>0</v>
      </c>
      <c r="CJ550">
        <v>-21.9</v>
      </c>
      <c r="CK550">
        <v>94</v>
      </c>
      <c r="CL550">
        <v>-0.68</v>
      </c>
      <c r="CM550">
        <v>93</v>
      </c>
      <c r="CN550">
        <v>-0.13</v>
      </c>
      <c r="CO550">
        <v>92</v>
      </c>
      <c r="CP550">
        <v>-36.700000000000003</v>
      </c>
      <c r="CQ550">
        <v>91</v>
      </c>
      <c r="CR550">
        <v>0</v>
      </c>
      <c r="CS550">
        <v>0</v>
      </c>
      <c r="CT550">
        <v>-58.3</v>
      </c>
      <c r="CU550">
        <v>92</v>
      </c>
      <c r="CV550">
        <v>-0.23</v>
      </c>
      <c r="CW550">
        <v>45</v>
      </c>
      <c r="CX550" t="s">
        <v>8977</v>
      </c>
    </row>
    <row r="551" spans="1:102" x14ac:dyDescent="0.3">
      <c r="A551" t="str">
        <f>HYPERLINK("https://webapp.icbf.com/v2/app/bull-search/view/1351524148","FR4099")</f>
        <v>FR4099</v>
      </c>
      <c r="B551" t="s">
        <v>3123</v>
      </c>
      <c r="C551" t="s">
        <v>3124</v>
      </c>
      <c r="D551" s="1">
        <v>42392</v>
      </c>
      <c r="E551" t="s">
        <v>92</v>
      </c>
      <c r="F551">
        <v>72</v>
      </c>
      <c r="G551" t="s">
        <v>435</v>
      </c>
      <c r="H551">
        <v>179.11</v>
      </c>
      <c r="I551">
        <v>77</v>
      </c>
      <c r="J551">
        <v>66.41</v>
      </c>
      <c r="K551">
        <v>90</v>
      </c>
      <c r="L551">
        <v>51.2</v>
      </c>
      <c r="M551">
        <v>66</v>
      </c>
      <c r="N551">
        <v>57.68</v>
      </c>
      <c r="O551">
        <v>88</v>
      </c>
      <c r="P551">
        <v>-6.3</v>
      </c>
      <c r="Q551">
        <v>87</v>
      </c>
      <c r="R551">
        <v>2.2799999999999998</v>
      </c>
      <c r="S551">
        <v>66</v>
      </c>
      <c r="T551">
        <v>6.43</v>
      </c>
      <c r="U551">
        <v>55</v>
      </c>
      <c r="V551">
        <v>1.41</v>
      </c>
      <c r="W551">
        <v>59</v>
      </c>
      <c r="X551" t="s">
        <v>102</v>
      </c>
      <c r="Y551" t="s">
        <v>436</v>
      </c>
      <c r="Z551" t="s">
        <v>96</v>
      </c>
      <c r="AA551" t="s">
        <v>2372</v>
      </c>
      <c r="AB551" t="s">
        <v>3125</v>
      </c>
      <c r="AC551">
        <v>3</v>
      </c>
      <c r="AD551">
        <v>2</v>
      </c>
      <c r="AE551">
        <v>90</v>
      </c>
      <c r="AF551">
        <v>78.489999999999995</v>
      </c>
      <c r="AG551">
        <v>3.07</v>
      </c>
      <c r="AH551">
        <v>11.41</v>
      </c>
      <c r="AI551">
        <v>0</v>
      </c>
      <c r="AJ551">
        <v>0.15</v>
      </c>
      <c r="AK551">
        <v>66</v>
      </c>
      <c r="AL551">
        <v>0</v>
      </c>
      <c r="AM551">
        <v>0</v>
      </c>
      <c r="AN551">
        <v>-2.25</v>
      </c>
      <c r="AO551">
        <v>1.84</v>
      </c>
      <c r="AP551">
        <v>1799</v>
      </c>
      <c r="AQ551">
        <v>3</v>
      </c>
      <c r="AR551">
        <v>8.0299999999999994</v>
      </c>
      <c r="AS551">
        <v>76</v>
      </c>
      <c r="AT551">
        <v>2.42</v>
      </c>
      <c r="AU551">
        <v>98</v>
      </c>
      <c r="AV551">
        <v>-6.08</v>
      </c>
      <c r="AW551">
        <v>99</v>
      </c>
      <c r="AX551">
        <v>-0.99</v>
      </c>
      <c r="AY551">
        <v>95</v>
      </c>
      <c r="AZ551">
        <v>5.53</v>
      </c>
      <c r="BA551">
        <v>48</v>
      </c>
      <c r="BB551">
        <v>4.8499999999999996</v>
      </c>
      <c r="BC551">
        <v>46</v>
      </c>
      <c r="BD551">
        <v>-0.02</v>
      </c>
      <c r="BE551">
        <v>-0.01</v>
      </c>
      <c r="BF551">
        <v>0</v>
      </c>
      <c r="BG551">
        <v>75</v>
      </c>
      <c r="BH551">
        <v>-0.02</v>
      </c>
      <c r="BI551">
        <v>-6.85</v>
      </c>
      <c r="BJ551">
        <v>0</v>
      </c>
      <c r="BK551">
        <v>0</v>
      </c>
      <c r="BL551">
        <v>-0.72</v>
      </c>
      <c r="BM551">
        <v>-0.56999999999999995</v>
      </c>
      <c r="BN551">
        <v>-1.32</v>
      </c>
      <c r="BO551">
        <v>-0.59</v>
      </c>
      <c r="BP551">
        <v>0.94</v>
      </c>
      <c r="BQ551">
        <v>0</v>
      </c>
      <c r="BR551">
        <v>2.1</v>
      </c>
      <c r="BS551">
        <v>-1.24</v>
      </c>
      <c r="BT551">
        <v>-1.36</v>
      </c>
      <c r="BU551">
        <v>-1.43</v>
      </c>
      <c r="BV551">
        <v>-1.36</v>
      </c>
      <c r="BW551">
        <v>-0.93</v>
      </c>
      <c r="BX551">
        <v>-0.94</v>
      </c>
      <c r="BY551">
        <v>-1.32</v>
      </c>
      <c r="BZ551">
        <v>-0.68</v>
      </c>
      <c r="CA551">
        <v>-0.86</v>
      </c>
      <c r="CB551">
        <v>-0.89</v>
      </c>
      <c r="CC551">
        <v>-0.71</v>
      </c>
      <c r="CD551">
        <v>-0.28000000000000003</v>
      </c>
      <c r="CE551">
        <v>-0.46</v>
      </c>
      <c r="CF551">
        <v>-0.98</v>
      </c>
      <c r="CG551">
        <v>0</v>
      </c>
      <c r="CH551">
        <v>-0.75</v>
      </c>
      <c r="CI551">
        <v>0</v>
      </c>
      <c r="CJ551">
        <v>-3.1</v>
      </c>
      <c r="CK551">
        <v>91</v>
      </c>
      <c r="CL551">
        <v>-0.68</v>
      </c>
      <c r="CM551">
        <v>89</v>
      </c>
      <c r="CN551">
        <v>-0.47</v>
      </c>
      <c r="CO551">
        <v>87</v>
      </c>
      <c r="CP551">
        <v>-3.4</v>
      </c>
      <c r="CQ551">
        <v>59</v>
      </c>
      <c r="CR551">
        <v>0</v>
      </c>
      <c r="CS551">
        <v>0</v>
      </c>
      <c r="CT551">
        <v>5.0999999999999996</v>
      </c>
      <c r="CU551">
        <v>55</v>
      </c>
      <c r="CV551">
        <v>0.09</v>
      </c>
      <c r="CW551">
        <v>45</v>
      </c>
      <c r="CX551" t="s">
        <v>2235</v>
      </c>
    </row>
    <row r="552" spans="1:102" x14ac:dyDescent="0.3">
      <c r="A552" t="str">
        <f>HYPERLINK("https://webapp.icbf.com/v2/app/bull-search/view/1254506257","FR2238")</f>
        <v>FR2238</v>
      </c>
      <c r="B552" t="s">
        <v>13663</v>
      </c>
      <c r="C552" t="s">
        <v>13664</v>
      </c>
      <c r="D552" s="1">
        <v>42068</v>
      </c>
      <c r="E552" t="s">
        <v>92</v>
      </c>
      <c r="F552">
        <v>59</v>
      </c>
      <c r="G552" t="s">
        <v>93</v>
      </c>
      <c r="H552">
        <v>179.04</v>
      </c>
      <c r="I552">
        <v>88</v>
      </c>
      <c r="J552">
        <v>5.96</v>
      </c>
      <c r="K552">
        <v>98</v>
      </c>
      <c r="L552">
        <v>138.18</v>
      </c>
      <c r="M552">
        <v>78</v>
      </c>
      <c r="N552">
        <v>37.54</v>
      </c>
      <c r="O552">
        <v>91</v>
      </c>
      <c r="P552">
        <v>-25.89</v>
      </c>
      <c r="Q552">
        <v>97</v>
      </c>
      <c r="R552">
        <v>10.210000000000001</v>
      </c>
      <c r="S552">
        <v>83</v>
      </c>
      <c r="T552">
        <v>18.78</v>
      </c>
      <c r="U552">
        <v>82</v>
      </c>
      <c r="V552">
        <v>-5.74</v>
      </c>
      <c r="W552">
        <v>76</v>
      </c>
      <c r="X552" t="s">
        <v>102</v>
      </c>
      <c r="Y552" t="s">
        <v>416</v>
      </c>
      <c r="Z552" t="s">
        <v>96</v>
      </c>
      <c r="AA552" t="s">
        <v>2235</v>
      </c>
      <c r="AB552" t="s">
        <v>13665</v>
      </c>
      <c r="AC552">
        <v>573</v>
      </c>
      <c r="AD552">
        <v>236</v>
      </c>
      <c r="AE552">
        <v>98</v>
      </c>
      <c r="AF552">
        <v>-330.88</v>
      </c>
      <c r="AG552">
        <v>-1.05</v>
      </c>
      <c r="AH552">
        <v>-3.68</v>
      </c>
      <c r="AI552">
        <v>0.22</v>
      </c>
      <c r="AJ552">
        <v>0.14000000000000001</v>
      </c>
      <c r="AK552">
        <v>78</v>
      </c>
      <c r="AL552">
        <v>0</v>
      </c>
      <c r="AM552">
        <v>0</v>
      </c>
      <c r="AN552">
        <v>-8.3000000000000007</v>
      </c>
      <c r="AO552">
        <v>2.71</v>
      </c>
      <c r="AP552">
        <v>2380</v>
      </c>
      <c r="AQ552">
        <v>29</v>
      </c>
      <c r="AR552">
        <v>7.27</v>
      </c>
      <c r="AS552">
        <v>95</v>
      </c>
      <c r="AT552">
        <v>2.73</v>
      </c>
      <c r="AU552">
        <v>98</v>
      </c>
      <c r="AV552">
        <v>-4.07</v>
      </c>
      <c r="AW552">
        <v>99</v>
      </c>
      <c r="AX552">
        <v>0.2</v>
      </c>
      <c r="AY552">
        <v>97</v>
      </c>
      <c r="AZ552">
        <v>5.7</v>
      </c>
      <c r="BA552">
        <v>87</v>
      </c>
      <c r="BB552">
        <v>4.91</v>
      </c>
      <c r="BC552">
        <v>45</v>
      </c>
      <c r="BD552">
        <v>-7.0000000000000007E-2</v>
      </c>
      <c r="BE552">
        <v>-0.02</v>
      </c>
      <c r="BF552">
        <v>-0.08</v>
      </c>
      <c r="BG552">
        <v>95</v>
      </c>
      <c r="BH552">
        <v>-0.06</v>
      </c>
      <c r="BI552">
        <v>11.58</v>
      </c>
      <c r="BJ552">
        <v>0</v>
      </c>
      <c r="BK552">
        <v>0</v>
      </c>
      <c r="BL552">
        <v>-2.1</v>
      </c>
      <c r="BM552">
        <v>2.4500000000000002</v>
      </c>
      <c r="BN552">
        <v>-0.44</v>
      </c>
      <c r="BO552">
        <v>-2.1800000000000002</v>
      </c>
      <c r="BP552">
        <v>0.08</v>
      </c>
      <c r="BQ552">
        <v>1.29</v>
      </c>
      <c r="BR552">
        <v>-0.95</v>
      </c>
      <c r="BS552">
        <v>0.87</v>
      </c>
      <c r="BT552">
        <v>0.21</v>
      </c>
      <c r="BU552">
        <v>-2.12</v>
      </c>
      <c r="BV552">
        <v>-1.76</v>
      </c>
      <c r="BW552">
        <v>-1.05</v>
      </c>
      <c r="BX552">
        <v>-1.61</v>
      </c>
      <c r="BY552">
        <v>-1.3</v>
      </c>
      <c r="BZ552">
        <v>1.23</v>
      </c>
      <c r="CA552">
        <v>-0.84</v>
      </c>
      <c r="CB552">
        <v>-1.65</v>
      </c>
      <c r="CC552">
        <v>0.85</v>
      </c>
      <c r="CD552">
        <v>2.64</v>
      </c>
      <c r="CE552">
        <v>-1.47</v>
      </c>
      <c r="CF552">
        <v>-0.78</v>
      </c>
      <c r="CG552">
        <v>0</v>
      </c>
      <c r="CH552">
        <v>-0.92</v>
      </c>
      <c r="CI552">
        <v>0</v>
      </c>
      <c r="CJ552">
        <v>-14.8</v>
      </c>
      <c r="CK552">
        <v>99</v>
      </c>
      <c r="CL552">
        <v>-0.47</v>
      </c>
      <c r="CM552">
        <v>98</v>
      </c>
      <c r="CN552">
        <v>-0.11</v>
      </c>
      <c r="CO552">
        <v>98</v>
      </c>
      <c r="CP552">
        <v>-12.7</v>
      </c>
      <c r="CQ552">
        <v>73</v>
      </c>
      <c r="CR552">
        <v>0</v>
      </c>
      <c r="CS552">
        <v>0</v>
      </c>
      <c r="CT552">
        <v>-11.6</v>
      </c>
      <c r="CU552">
        <v>82</v>
      </c>
      <c r="CV552">
        <v>-7.0000000000000007E-2</v>
      </c>
      <c r="CW552">
        <v>50</v>
      </c>
      <c r="CX552" t="s">
        <v>5742</v>
      </c>
    </row>
    <row r="553" spans="1:102" x14ac:dyDescent="0.3">
      <c r="A553" t="str">
        <f>HYPERLINK("https://webapp.icbf.com/v2/app/bull-search/view/670033607","FGU")</f>
        <v>FGU</v>
      </c>
      <c r="B553" t="s">
        <v>5366</v>
      </c>
      <c r="C553" t="s">
        <v>5367</v>
      </c>
      <c r="D553" s="1">
        <v>39858</v>
      </c>
      <c r="E553" t="s">
        <v>92</v>
      </c>
      <c r="F553">
        <v>84</v>
      </c>
      <c r="G553" t="s">
        <v>93</v>
      </c>
      <c r="H553">
        <v>179.02</v>
      </c>
      <c r="I553">
        <v>86</v>
      </c>
      <c r="J553">
        <v>-8.1300000000000008</v>
      </c>
      <c r="K553">
        <v>97</v>
      </c>
      <c r="L553">
        <v>130.63999999999999</v>
      </c>
      <c r="M553">
        <v>76</v>
      </c>
      <c r="N553">
        <v>35.11</v>
      </c>
      <c r="O553">
        <v>86</v>
      </c>
      <c r="P553">
        <v>-20.89</v>
      </c>
      <c r="Q553">
        <v>93</v>
      </c>
      <c r="R553">
        <v>9.5399999999999991</v>
      </c>
      <c r="S553">
        <v>78</v>
      </c>
      <c r="T553">
        <v>33.14</v>
      </c>
      <c r="U553">
        <v>85</v>
      </c>
      <c r="V553">
        <v>-0.39</v>
      </c>
      <c r="W553">
        <v>73</v>
      </c>
      <c r="X553" t="s">
        <v>94</v>
      </c>
      <c r="Y553" t="s">
        <v>1727</v>
      </c>
      <c r="Z553" t="s">
        <v>330</v>
      </c>
      <c r="AA553" t="s">
        <v>1086</v>
      </c>
      <c r="AB553" t="s">
        <v>5368</v>
      </c>
      <c r="AC553">
        <v>94</v>
      </c>
      <c r="AD553">
        <v>71</v>
      </c>
      <c r="AE553">
        <v>97</v>
      </c>
      <c r="AF553">
        <v>-48.03</v>
      </c>
      <c r="AG553">
        <v>4.3899999999999997</v>
      </c>
      <c r="AH553">
        <v>-3.67</v>
      </c>
      <c r="AI553">
        <v>0.11</v>
      </c>
      <c r="AJ553">
        <v>-0.04</v>
      </c>
      <c r="AK553">
        <v>76</v>
      </c>
      <c r="AL553">
        <v>100</v>
      </c>
      <c r="AM553">
        <v>71</v>
      </c>
      <c r="AN553">
        <v>-6.99</v>
      </c>
      <c r="AO553">
        <v>3.43</v>
      </c>
      <c r="AP553">
        <v>241</v>
      </c>
      <c r="AQ553">
        <v>2</v>
      </c>
      <c r="AR553">
        <v>4.9800000000000004</v>
      </c>
      <c r="AS553">
        <v>71</v>
      </c>
      <c r="AT553">
        <v>1.81</v>
      </c>
      <c r="AU553">
        <v>88</v>
      </c>
      <c r="AV553">
        <v>-3.48</v>
      </c>
      <c r="AW553">
        <v>97</v>
      </c>
      <c r="AX553">
        <v>0.87</v>
      </c>
      <c r="AY553">
        <v>82</v>
      </c>
      <c r="AZ553">
        <v>7.47</v>
      </c>
      <c r="BA553">
        <v>65</v>
      </c>
      <c r="BB553">
        <v>5.79</v>
      </c>
      <c r="BC553">
        <v>68</v>
      </c>
      <c r="BD553">
        <v>-0.02</v>
      </c>
      <c r="BE553">
        <v>-0.04</v>
      </c>
      <c r="BF553">
        <v>-0.11</v>
      </c>
      <c r="BG553">
        <v>88</v>
      </c>
      <c r="BH553">
        <v>-0.18</v>
      </c>
      <c r="BI553">
        <v>-19.579999999999998</v>
      </c>
      <c r="BJ553">
        <v>28</v>
      </c>
      <c r="BK553">
        <v>12</v>
      </c>
      <c r="BL553">
        <v>-2.09</v>
      </c>
      <c r="BM553">
        <v>0</v>
      </c>
      <c r="BN553">
        <v>-1.03</v>
      </c>
      <c r="BO553">
        <v>-1.23</v>
      </c>
      <c r="BP553">
        <v>-1.93</v>
      </c>
      <c r="BQ553">
        <v>-3.21</v>
      </c>
      <c r="BR553">
        <v>-0.15</v>
      </c>
      <c r="BS553">
        <v>-0.43</v>
      </c>
      <c r="BT553">
        <v>-1.02</v>
      </c>
      <c r="BU553">
        <v>-0.91</v>
      </c>
      <c r="BV553">
        <v>-1.5</v>
      </c>
      <c r="BW553">
        <v>-1.02</v>
      </c>
      <c r="BX553">
        <v>-7.0000000000000007E-2</v>
      </c>
      <c r="BY553">
        <v>-1.02</v>
      </c>
      <c r="BZ553">
        <v>-1.56</v>
      </c>
      <c r="CA553">
        <v>-1.46</v>
      </c>
      <c r="CB553">
        <v>-1.81</v>
      </c>
      <c r="CC553">
        <v>-0.45</v>
      </c>
      <c r="CD553">
        <v>0.37</v>
      </c>
      <c r="CE553">
        <v>-1.53</v>
      </c>
      <c r="CF553">
        <v>-2.97</v>
      </c>
      <c r="CG553">
        <v>0</v>
      </c>
      <c r="CH553">
        <v>-0.95</v>
      </c>
      <c r="CI553">
        <v>0</v>
      </c>
      <c r="CJ553">
        <v>-8.3000000000000007</v>
      </c>
      <c r="CK553">
        <v>94</v>
      </c>
      <c r="CL553">
        <v>-0.51</v>
      </c>
      <c r="CM553">
        <v>93</v>
      </c>
      <c r="CN553">
        <v>0.08</v>
      </c>
      <c r="CO553">
        <v>92</v>
      </c>
      <c r="CP553">
        <v>-21.6</v>
      </c>
      <c r="CQ553">
        <v>85</v>
      </c>
      <c r="CR553">
        <v>0</v>
      </c>
      <c r="CS553">
        <v>0</v>
      </c>
      <c r="CT553">
        <v>-31</v>
      </c>
      <c r="CU553">
        <v>85</v>
      </c>
      <c r="CV553">
        <v>-0.05</v>
      </c>
      <c r="CW553">
        <v>45</v>
      </c>
      <c r="CX553" t="s">
        <v>1390</v>
      </c>
    </row>
    <row r="554" spans="1:102" x14ac:dyDescent="0.3">
      <c r="A554" t="str">
        <f>HYPERLINK("https://webapp.icbf.com/v2/app/bull-search/view/487000065","ZPR")</f>
        <v>ZPR</v>
      </c>
      <c r="B554" t="s">
        <v>12115</v>
      </c>
      <c r="C554" t="s">
        <v>12116</v>
      </c>
      <c r="D554" s="1">
        <v>38594</v>
      </c>
      <c r="E554" t="s">
        <v>92</v>
      </c>
      <c r="F554">
        <v>50</v>
      </c>
      <c r="G554" t="s">
        <v>93</v>
      </c>
      <c r="H554">
        <v>178.99</v>
      </c>
      <c r="I554">
        <v>91</v>
      </c>
      <c r="J554">
        <v>59.54</v>
      </c>
      <c r="K554">
        <v>98</v>
      </c>
      <c r="L554">
        <v>81.38</v>
      </c>
      <c r="M554">
        <v>87</v>
      </c>
      <c r="N554">
        <v>12.89</v>
      </c>
      <c r="O554">
        <v>89</v>
      </c>
      <c r="P554">
        <v>-11.74</v>
      </c>
      <c r="Q554">
        <v>93</v>
      </c>
      <c r="R554">
        <v>7.07</v>
      </c>
      <c r="S554">
        <v>80</v>
      </c>
      <c r="T554">
        <v>21.97</v>
      </c>
      <c r="U554">
        <v>91</v>
      </c>
      <c r="V554">
        <v>7.88</v>
      </c>
      <c r="W554">
        <v>84</v>
      </c>
      <c r="X554" t="s">
        <v>276</v>
      </c>
      <c r="Y554" t="s">
        <v>435</v>
      </c>
      <c r="Z554" t="s">
        <v>330</v>
      </c>
      <c r="AA554" t="s">
        <v>1229</v>
      </c>
      <c r="AB554" t="s">
        <v>144</v>
      </c>
      <c r="AC554">
        <v>161</v>
      </c>
      <c r="AD554">
        <v>52</v>
      </c>
      <c r="AE554">
        <v>98</v>
      </c>
      <c r="AF554">
        <v>105.97</v>
      </c>
      <c r="AG554">
        <v>11.3</v>
      </c>
      <c r="AH554">
        <v>7.75</v>
      </c>
      <c r="AI554">
        <v>0.12</v>
      </c>
      <c r="AJ554">
        <v>7.0000000000000007E-2</v>
      </c>
      <c r="AK554">
        <v>87</v>
      </c>
      <c r="AL554">
        <v>154</v>
      </c>
      <c r="AM554">
        <v>54</v>
      </c>
      <c r="AN554">
        <v>-5.22</v>
      </c>
      <c r="AO554">
        <v>1.26</v>
      </c>
      <c r="AP554">
        <v>304</v>
      </c>
      <c r="AQ554">
        <v>1</v>
      </c>
      <c r="AR554">
        <v>6.34</v>
      </c>
      <c r="AS554">
        <v>74</v>
      </c>
      <c r="AT554">
        <v>2.7</v>
      </c>
      <c r="AU554">
        <v>91</v>
      </c>
      <c r="AV554">
        <v>-1.1299999999999999</v>
      </c>
      <c r="AW554">
        <v>97</v>
      </c>
      <c r="AX554">
        <v>0.2</v>
      </c>
      <c r="AY554">
        <v>87</v>
      </c>
      <c r="AZ554">
        <v>6.63</v>
      </c>
      <c r="BA554">
        <v>73</v>
      </c>
      <c r="BB554">
        <v>5.37</v>
      </c>
      <c r="BC554">
        <v>74</v>
      </c>
      <c r="BD554">
        <v>-7.0000000000000007E-2</v>
      </c>
      <c r="BE554">
        <v>-0.04</v>
      </c>
      <c r="BF554">
        <v>0.03</v>
      </c>
      <c r="BG554">
        <v>88</v>
      </c>
      <c r="BH554">
        <v>0.03</v>
      </c>
      <c r="BI554">
        <v>-21.96</v>
      </c>
      <c r="BJ554">
        <v>1</v>
      </c>
      <c r="BK554">
        <v>1</v>
      </c>
      <c r="BL554">
        <v>-2.4700000000000002</v>
      </c>
      <c r="BM554">
        <v>0.06</v>
      </c>
      <c r="BN554">
        <v>-2.2599999999999998</v>
      </c>
      <c r="BO554">
        <v>-1.84</v>
      </c>
      <c r="BP554">
        <v>-1.68</v>
      </c>
      <c r="BQ554">
        <v>-3.05</v>
      </c>
      <c r="BR554">
        <v>1.46</v>
      </c>
      <c r="BS554">
        <v>0.33</v>
      </c>
      <c r="BT554">
        <v>-1.89</v>
      </c>
      <c r="BU554">
        <v>-1.81</v>
      </c>
      <c r="BV554">
        <v>-1.56</v>
      </c>
      <c r="BW554">
        <v>-1.1599999999999999</v>
      </c>
      <c r="BX554">
        <v>-1.18</v>
      </c>
      <c r="BY554">
        <v>-2.52</v>
      </c>
      <c r="BZ554">
        <v>1.61</v>
      </c>
      <c r="CA554">
        <v>-1.36</v>
      </c>
      <c r="CB554">
        <v>-1.73</v>
      </c>
      <c r="CC554">
        <v>0.25</v>
      </c>
      <c r="CD554">
        <v>0.91</v>
      </c>
      <c r="CE554">
        <v>-1.05</v>
      </c>
      <c r="CF554">
        <v>-1.83</v>
      </c>
      <c r="CG554">
        <v>0</v>
      </c>
      <c r="CH554">
        <v>-2.54</v>
      </c>
      <c r="CI554">
        <v>0</v>
      </c>
      <c r="CJ554">
        <v>-5.8</v>
      </c>
      <c r="CK554">
        <v>94</v>
      </c>
      <c r="CL554">
        <v>-0.32</v>
      </c>
      <c r="CM554">
        <v>93</v>
      </c>
      <c r="CN554">
        <v>-0.14000000000000001</v>
      </c>
      <c r="CO554">
        <v>92</v>
      </c>
      <c r="CP554">
        <v>-13.8</v>
      </c>
      <c r="CQ554">
        <v>90</v>
      </c>
      <c r="CR554">
        <v>0</v>
      </c>
      <c r="CS554">
        <v>0</v>
      </c>
      <c r="CT554">
        <v>-15.9</v>
      </c>
      <c r="CU554">
        <v>91</v>
      </c>
      <c r="CV554">
        <v>0.01</v>
      </c>
      <c r="CW554">
        <v>45</v>
      </c>
      <c r="CX554" t="s">
        <v>12117</v>
      </c>
    </row>
    <row r="555" spans="1:102" x14ac:dyDescent="0.3">
      <c r="A555" t="str">
        <f>HYPERLINK("https://webapp.icbf.com/v2/app/bull-search/view/1305774723","FR2258")</f>
        <v>FR2258</v>
      </c>
      <c r="B555" t="s">
        <v>2160</v>
      </c>
      <c r="C555" t="s">
        <v>2161</v>
      </c>
      <c r="D555" s="1">
        <v>42029</v>
      </c>
      <c r="E555" t="s">
        <v>92</v>
      </c>
      <c r="F555">
        <v>100</v>
      </c>
      <c r="G555" t="s">
        <v>109</v>
      </c>
      <c r="H555">
        <v>178.78</v>
      </c>
      <c r="I555">
        <v>70</v>
      </c>
      <c r="J555">
        <v>40.5</v>
      </c>
      <c r="K555">
        <v>90</v>
      </c>
      <c r="L555">
        <v>80.11</v>
      </c>
      <c r="M555">
        <v>65</v>
      </c>
      <c r="N555">
        <v>46.01</v>
      </c>
      <c r="O555">
        <v>63</v>
      </c>
      <c r="P555">
        <v>-14.8</v>
      </c>
      <c r="Q555">
        <v>66</v>
      </c>
      <c r="R555">
        <v>18.93</v>
      </c>
      <c r="S555">
        <v>64</v>
      </c>
      <c r="T555">
        <v>4.21</v>
      </c>
      <c r="U555">
        <v>40</v>
      </c>
      <c r="V555">
        <v>3.82</v>
      </c>
      <c r="W555">
        <v>50</v>
      </c>
      <c r="X555" t="s">
        <v>94</v>
      </c>
      <c r="Y555" t="s">
        <v>405</v>
      </c>
      <c r="Z555" t="s">
        <v>96</v>
      </c>
      <c r="AA555" t="s">
        <v>2162</v>
      </c>
      <c r="AB555" t="s">
        <v>2163</v>
      </c>
      <c r="AC555">
        <v>0</v>
      </c>
      <c r="AD555">
        <v>0</v>
      </c>
      <c r="AE555">
        <v>90</v>
      </c>
      <c r="AF555">
        <v>49.78</v>
      </c>
      <c r="AG555">
        <v>8.4499999999999993</v>
      </c>
      <c r="AH555">
        <v>4.66</v>
      </c>
      <c r="AI555">
        <v>0.11</v>
      </c>
      <c r="AJ555">
        <v>0.05</v>
      </c>
      <c r="AK555">
        <v>65</v>
      </c>
      <c r="AL555">
        <v>0</v>
      </c>
      <c r="AM555">
        <v>0</v>
      </c>
      <c r="AN555">
        <v>-3.51</v>
      </c>
      <c r="AO555">
        <v>2.89</v>
      </c>
      <c r="AP555">
        <v>47</v>
      </c>
      <c r="AQ555">
        <v>0</v>
      </c>
      <c r="AR555">
        <v>5.2</v>
      </c>
      <c r="AS555">
        <v>50</v>
      </c>
      <c r="AT555">
        <v>1.9</v>
      </c>
      <c r="AU555">
        <v>77</v>
      </c>
      <c r="AV555">
        <v>-4.07</v>
      </c>
      <c r="AW555">
        <v>73</v>
      </c>
      <c r="AX555">
        <v>0.38</v>
      </c>
      <c r="AY555">
        <v>52</v>
      </c>
      <c r="AZ555">
        <v>6.28</v>
      </c>
      <c r="BA555">
        <v>33</v>
      </c>
      <c r="BB555">
        <v>5.03</v>
      </c>
      <c r="BC555">
        <v>31</v>
      </c>
      <c r="BD555">
        <v>-0.05</v>
      </c>
      <c r="BE555">
        <v>-0.08</v>
      </c>
      <c r="BF555">
        <v>-0.2</v>
      </c>
      <c r="BG555">
        <v>80</v>
      </c>
      <c r="BH555">
        <v>0.08</v>
      </c>
      <c r="BI555">
        <v>-3.07</v>
      </c>
      <c r="BJ555">
        <v>0</v>
      </c>
      <c r="BK555">
        <v>0</v>
      </c>
      <c r="BL555">
        <v>0.79</v>
      </c>
      <c r="BM555">
        <v>-1.37</v>
      </c>
      <c r="BN555">
        <v>-1.33</v>
      </c>
      <c r="BO555">
        <v>-0.28999999999999998</v>
      </c>
      <c r="BP555">
        <v>1.67</v>
      </c>
      <c r="BQ555">
        <v>-1.18</v>
      </c>
      <c r="BR555">
        <v>-3.34</v>
      </c>
      <c r="BS555">
        <v>2.12</v>
      </c>
      <c r="BT555">
        <v>2.57</v>
      </c>
      <c r="BU555">
        <v>3.21</v>
      </c>
      <c r="BV555">
        <v>2.37</v>
      </c>
      <c r="BW555">
        <v>0.89</v>
      </c>
      <c r="BX555">
        <v>3.72</v>
      </c>
      <c r="BY555">
        <v>3.21</v>
      </c>
      <c r="BZ555">
        <v>-2.94</v>
      </c>
      <c r="CA555">
        <v>2.57</v>
      </c>
      <c r="CB555">
        <v>2.16</v>
      </c>
      <c r="CC555">
        <v>1.89</v>
      </c>
      <c r="CD555">
        <v>0.8</v>
      </c>
      <c r="CE555">
        <v>0.61</v>
      </c>
      <c r="CF555">
        <v>0.38</v>
      </c>
      <c r="CG555">
        <v>0</v>
      </c>
      <c r="CH555">
        <v>2.48</v>
      </c>
      <c r="CI555">
        <v>0</v>
      </c>
      <c r="CJ555">
        <v>-7.5</v>
      </c>
      <c r="CK555">
        <v>70</v>
      </c>
      <c r="CL555">
        <v>-1.19</v>
      </c>
      <c r="CM555">
        <v>65</v>
      </c>
      <c r="CN555">
        <v>-0.71</v>
      </c>
      <c r="CO555">
        <v>63</v>
      </c>
      <c r="CP555">
        <v>-3.2</v>
      </c>
      <c r="CQ555">
        <v>44</v>
      </c>
      <c r="CR555">
        <v>0</v>
      </c>
      <c r="CS555">
        <v>0</v>
      </c>
      <c r="CT555">
        <v>8.1</v>
      </c>
      <c r="CU555">
        <v>40</v>
      </c>
      <c r="CV555">
        <v>0.1</v>
      </c>
      <c r="CW555">
        <v>39</v>
      </c>
      <c r="CX555" t="s">
        <v>2164</v>
      </c>
    </row>
    <row r="556" spans="1:102" x14ac:dyDescent="0.3">
      <c r="A556" t="str">
        <f>HYPERLINK("https://webapp.icbf.com/v2/app/bull-search/view/432282269","EDV")</f>
        <v>EDV</v>
      </c>
      <c r="B556" t="s">
        <v>4520</v>
      </c>
      <c r="C556" t="s">
        <v>4521</v>
      </c>
      <c r="D556" s="1">
        <v>38649</v>
      </c>
      <c r="E556" t="s">
        <v>92</v>
      </c>
      <c r="F556">
        <v>100</v>
      </c>
      <c r="G556" t="s">
        <v>93</v>
      </c>
      <c r="H556">
        <v>178.67</v>
      </c>
      <c r="I556">
        <v>94</v>
      </c>
      <c r="J556">
        <v>20.58</v>
      </c>
      <c r="K556">
        <v>99</v>
      </c>
      <c r="L556">
        <v>111.57</v>
      </c>
      <c r="M556">
        <v>89</v>
      </c>
      <c r="N556">
        <v>42.3</v>
      </c>
      <c r="O556">
        <v>95</v>
      </c>
      <c r="P556">
        <v>-1.34</v>
      </c>
      <c r="Q556">
        <v>98</v>
      </c>
      <c r="R556">
        <v>6.83</v>
      </c>
      <c r="S556">
        <v>90</v>
      </c>
      <c r="T556">
        <v>-4.5999999999999996</v>
      </c>
      <c r="U556">
        <v>96</v>
      </c>
      <c r="V556">
        <v>3.33</v>
      </c>
      <c r="W556">
        <v>90</v>
      </c>
      <c r="X556" t="s">
        <v>94</v>
      </c>
      <c r="Y556" t="s">
        <v>1251</v>
      </c>
      <c r="Z556" t="s">
        <v>96</v>
      </c>
      <c r="AA556" t="s">
        <v>316</v>
      </c>
      <c r="AB556" t="s">
        <v>4522</v>
      </c>
      <c r="AC556">
        <v>379</v>
      </c>
      <c r="AD556">
        <v>204</v>
      </c>
      <c r="AE556">
        <v>99</v>
      </c>
      <c r="AF556">
        <v>325.05</v>
      </c>
      <c r="AG556">
        <v>5.81</v>
      </c>
      <c r="AH556">
        <v>6.42</v>
      </c>
      <c r="AI556">
        <v>-0.11</v>
      </c>
      <c r="AJ556">
        <v>-0.08</v>
      </c>
      <c r="AK556">
        <v>89</v>
      </c>
      <c r="AL556">
        <v>434</v>
      </c>
      <c r="AM556">
        <v>234</v>
      </c>
      <c r="AN556">
        <v>-5.92</v>
      </c>
      <c r="AO556">
        <v>2.98</v>
      </c>
      <c r="AP556">
        <v>707</v>
      </c>
      <c r="AQ556">
        <v>12</v>
      </c>
      <c r="AR556">
        <v>5.6</v>
      </c>
      <c r="AS556">
        <v>89</v>
      </c>
      <c r="AT556">
        <v>1.93</v>
      </c>
      <c r="AU556">
        <v>95</v>
      </c>
      <c r="AV556">
        <v>-3.2</v>
      </c>
      <c r="AW556">
        <v>99</v>
      </c>
      <c r="AX556">
        <v>-0.74</v>
      </c>
      <c r="AY556">
        <v>94</v>
      </c>
      <c r="AZ556">
        <v>6.68</v>
      </c>
      <c r="BA556">
        <v>85</v>
      </c>
      <c r="BB556">
        <v>4.67</v>
      </c>
      <c r="BC556">
        <v>87</v>
      </c>
      <c r="BD556">
        <v>0</v>
      </c>
      <c r="BE556">
        <v>-0.03</v>
      </c>
      <c r="BF556">
        <v>-0.1</v>
      </c>
      <c r="BG556">
        <v>96</v>
      </c>
      <c r="BH556">
        <v>0.05</v>
      </c>
      <c r="BI556">
        <v>-4.96</v>
      </c>
      <c r="BJ556">
        <v>33</v>
      </c>
      <c r="BK556">
        <v>24</v>
      </c>
      <c r="BL556">
        <v>1.23</v>
      </c>
      <c r="BM556">
        <v>0.48</v>
      </c>
      <c r="BN556">
        <v>0.89</v>
      </c>
      <c r="BO556">
        <v>0.34</v>
      </c>
      <c r="BP556">
        <v>2.91</v>
      </c>
      <c r="BQ556">
        <v>0.69</v>
      </c>
      <c r="BR556">
        <v>-0.88</v>
      </c>
      <c r="BS556">
        <v>-1.44</v>
      </c>
      <c r="BT556">
        <v>0.57999999999999996</v>
      </c>
      <c r="BU556">
        <v>-0.73</v>
      </c>
      <c r="BV556">
        <v>-1.1499999999999999</v>
      </c>
      <c r="BW556">
        <v>-0.21</v>
      </c>
      <c r="BX556">
        <v>-0.04</v>
      </c>
      <c r="BY556">
        <v>1.49</v>
      </c>
      <c r="BZ556">
        <v>-1.99</v>
      </c>
      <c r="CA556">
        <v>-0.72</v>
      </c>
      <c r="CB556">
        <v>-0.46</v>
      </c>
      <c r="CC556">
        <v>-0.68</v>
      </c>
      <c r="CD556">
        <v>0.37</v>
      </c>
      <c r="CE556">
        <v>0.17</v>
      </c>
      <c r="CF556">
        <v>0.9</v>
      </c>
      <c r="CG556">
        <v>0</v>
      </c>
      <c r="CH556">
        <v>2.0099999999999998</v>
      </c>
      <c r="CI556">
        <v>0</v>
      </c>
      <c r="CJ556">
        <v>3.6</v>
      </c>
      <c r="CK556">
        <v>98</v>
      </c>
      <c r="CL556">
        <v>-0.85</v>
      </c>
      <c r="CM556">
        <v>98</v>
      </c>
      <c r="CN556">
        <v>-0.13</v>
      </c>
      <c r="CO556">
        <v>98</v>
      </c>
      <c r="CP556">
        <v>6.3</v>
      </c>
      <c r="CQ556">
        <v>96</v>
      </c>
      <c r="CR556">
        <v>0</v>
      </c>
      <c r="CS556">
        <v>0</v>
      </c>
      <c r="CT556">
        <v>20</v>
      </c>
      <c r="CU556">
        <v>96</v>
      </c>
      <c r="CV556">
        <v>0.35</v>
      </c>
      <c r="CW556">
        <v>48</v>
      </c>
      <c r="CX556" t="s">
        <v>172</v>
      </c>
    </row>
    <row r="557" spans="1:102" x14ac:dyDescent="0.3">
      <c r="A557" t="str">
        <f>HYPERLINK("https://webapp.icbf.com/v2/app/bull-search/view/1133025220","S2049")</f>
        <v>S2049</v>
      </c>
      <c r="B557" t="s">
        <v>9200</v>
      </c>
      <c r="C557" t="s">
        <v>9201</v>
      </c>
      <c r="D557" s="1">
        <v>41211</v>
      </c>
      <c r="E557" t="s">
        <v>92</v>
      </c>
      <c r="F557">
        <v>100</v>
      </c>
      <c r="G557" t="s">
        <v>109</v>
      </c>
      <c r="H557">
        <v>178.61</v>
      </c>
      <c r="I557">
        <v>85</v>
      </c>
      <c r="J557">
        <v>99.91</v>
      </c>
      <c r="K557">
        <v>95</v>
      </c>
      <c r="L557">
        <v>29.17</v>
      </c>
      <c r="M557">
        <v>87</v>
      </c>
      <c r="N557">
        <v>48.7</v>
      </c>
      <c r="O557">
        <v>87</v>
      </c>
      <c r="P557">
        <v>-18.52</v>
      </c>
      <c r="Q557">
        <v>77</v>
      </c>
      <c r="R557">
        <v>18.25</v>
      </c>
      <c r="S557">
        <v>75</v>
      </c>
      <c r="T557">
        <v>0.28000000000000003</v>
      </c>
      <c r="U557">
        <v>61</v>
      </c>
      <c r="V557">
        <v>0.82</v>
      </c>
      <c r="W557">
        <v>61</v>
      </c>
      <c r="X557" t="s">
        <v>234</v>
      </c>
      <c r="Y557" t="s">
        <v>367</v>
      </c>
      <c r="Z557" t="s">
        <v>96</v>
      </c>
      <c r="AA557" t="s">
        <v>1894</v>
      </c>
      <c r="AB557" t="s">
        <v>9202</v>
      </c>
      <c r="AC557">
        <v>58</v>
      </c>
      <c r="AD557">
        <v>29</v>
      </c>
      <c r="AE557">
        <v>95</v>
      </c>
      <c r="AF557">
        <v>372.47</v>
      </c>
      <c r="AG557">
        <v>17.96</v>
      </c>
      <c r="AH557">
        <v>16.34</v>
      </c>
      <c r="AI557">
        <v>0.06</v>
      </c>
      <c r="AJ557">
        <v>0.06</v>
      </c>
      <c r="AK557">
        <v>87</v>
      </c>
      <c r="AL557">
        <v>33</v>
      </c>
      <c r="AM557">
        <v>19</v>
      </c>
      <c r="AN557">
        <v>0.25</v>
      </c>
      <c r="AO557">
        <v>2.6</v>
      </c>
      <c r="AP557">
        <v>624</v>
      </c>
      <c r="AQ557">
        <v>1</v>
      </c>
      <c r="AR557">
        <v>5.36</v>
      </c>
      <c r="AS557">
        <v>88</v>
      </c>
      <c r="AT557">
        <v>2.46</v>
      </c>
      <c r="AU557">
        <v>95</v>
      </c>
      <c r="AV557">
        <v>-4.12</v>
      </c>
      <c r="AW557">
        <v>98</v>
      </c>
      <c r="AX557">
        <v>-0.68</v>
      </c>
      <c r="AY557">
        <v>92</v>
      </c>
      <c r="AZ557">
        <v>5.0999999999999996</v>
      </c>
      <c r="BA557">
        <v>56</v>
      </c>
      <c r="BB557">
        <v>4.62</v>
      </c>
      <c r="BC557">
        <v>45</v>
      </c>
      <c r="BD557">
        <v>-0.1</v>
      </c>
      <c r="BE557">
        <v>-7.0000000000000007E-2</v>
      </c>
      <c r="BF557">
        <v>-0.12</v>
      </c>
      <c r="BG557">
        <v>92</v>
      </c>
      <c r="BH557">
        <v>-0.15</v>
      </c>
      <c r="BI557">
        <v>-19.989999999999998</v>
      </c>
      <c r="BJ557">
        <v>28</v>
      </c>
      <c r="BK557">
        <v>16</v>
      </c>
      <c r="BL557">
        <v>1.79</v>
      </c>
      <c r="BM557">
        <v>0.9</v>
      </c>
      <c r="BN557">
        <v>2.21</v>
      </c>
      <c r="BO557">
        <v>1.63</v>
      </c>
      <c r="BP557">
        <v>-0.63</v>
      </c>
      <c r="BQ557">
        <v>2.58</v>
      </c>
      <c r="BR557">
        <v>-0.24</v>
      </c>
      <c r="BS557">
        <v>2.98</v>
      </c>
      <c r="BT557">
        <v>0.88</v>
      </c>
      <c r="BU557">
        <v>4.3</v>
      </c>
      <c r="BV557">
        <v>3.72</v>
      </c>
      <c r="BW557">
        <v>1.86</v>
      </c>
      <c r="BX557">
        <v>3.22</v>
      </c>
      <c r="BY557">
        <v>3.29</v>
      </c>
      <c r="BZ557">
        <v>-1.66</v>
      </c>
      <c r="CA557">
        <v>3.26</v>
      </c>
      <c r="CB557">
        <v>3.16</v>
      </c>
      <c r="CC557">
        <v>2.06</v>
      </c>
      <c r="CD557">
        <v>-0.02</v>
      </c>
      <c r="CE557">
        <v>1.45</v>
      </c>
      <c r="CF557">
        <v>2.27</v>
      </c>
      <c r="CG557">
        <v>0</v>
      </c>
      <c r="CH557">
        <v>3.26</v>
      </c>
      <c r="CI557">
        <v>0</v>
      </c>
      <c r="CJ557">
        <v>-7.5</v>
      </c>
      <c r="CK557">
        <v>80</v>
      </c>
      <c r="CL557">
        <v>-1.36</v>
      </c>
      <c r="CM557">
        <v>75</v>
      </c>
      <c r="CN557">
        <v>-0.53</v>
      </c>
      <c r="CO557">
        <v>73</v>
      </c>
      <c r="CP557">
        <v>-2.2999999999999998</v>
      </c>
      <c r="CQ557">
        <v>62</v>
      </c>
      <c r="CR557">
        <v>0</v>
      </c>
      <c r="CS557">
        <v>0</v>
      </c>
      <c r="CT557">
        <v>13.4</v>
      </c>
      <c r="CU557">
        <v>61</v>
      </c>
      <c r="CV557">
        <v>0.14000000000000001</v>
      </c>
      <c r="CW557">
        <v>42</v>
      </c>
      <c r="CX557" t="s">
        <v>1962</v>
      </c>
    </row>
    <row r="558" spans="1:102" x14ac:dyDescent="0.3">
      <c r="A558" t="str">
        <f>HYPERLINK("https://webapp.icbf.com/v2/app/bull-search/view/1119996775","S1659")</f>
        <v>S1659</v>
      </c>
      <c r="B558" t="s">
        <v>15153</v>
      </c>
      <c r="C558" t="s">
        <v>2707</v>
      </c>
      <c r="D558" s="1">
        <v>41026</v>
      </c>
      <c r="E558" t="s">
        <v>92</v>
      </c>
      <c r="F558">
        <v>100</v>
      </c>
      <c r="G558" t="s">
        <v>93</v>
      </c>
      <c r="H558">
        <v>178.6</v>
      </c>
      <c r="I558">
        <v>89</v>
      </c>
      <c r="J558">
        <v>14.28</v>
      </c>
      <c r="K558">
        <v>98</v>
      </c>
      <c r="L558">
        <v>122.78</v>
      </c>
      <c r="M558">
        <v>88</v>
      </c>
      <c r="N558">
        <v>36.68</v>
      </c>
      <c r="O558">
        <v>89</v>
      </c>
      <c r="P558">
        <v>-16.93</v>
      </c>
      <c r="Q558">
        <v>92</v>
      </c>
      <c r="R558">
        <v>24.89</v>
      </c>
      <c r="S558">
        <v>78</v>
      </c>
      <c r="T558">
        <v>-7.04</v>
      </c>
      <c r="U558">
        <v>71</v>
      </c>
      <c r="V558">
        <v>3.94</v>
      </c>
      <c r="W558">
        <v>67</v>
      </c>
      <c r="X558" t="s">
        <v>428</v>
      </c>
      <c r="Y558" t="s">
        <v>362</v>
      </c>
      <c r="Z558" t="s">
        <v>96</v>
      </c>
      <c r="AA558" t="s">
        <v>15154</v>
      </c>
      <c r="AB558" t="s">
        <v>15155</v>
      </c>
      <c r="AC558">
        <v>307</v>
      </c>
      <c r="AD558">
        <v>76</v>
      </c>
      <c r="AE558">
        <v>98</v>
      </c>
      <c r="AF558">
        <v>176.71</v>
      </c>
      <c r="AG558">
        <v>5.69</v>
      </c>
      <c r="AH558">
        <v>3.12</v>
      </c>
      <c r="AI558">
        <v>-0.02</v>
      </c>
      <c r="AJ558">
        <v>-0.05</v>
      </c>
      <c r="AK558">
        <v>88</v>
      </c>
      <c r="AL558">
        <v>107</v>
      </c>
      <c r="AM558">
        <v>34</v>
      </c>
      <c r="AN558">
        <v>-7.56</v>
      </c>
      <c r="AO558">
        <v>2.2200000000000002</v>
      </c>
      <c r="AP558">
        <v>485</v>
      </c>
      <c r="AQ558">
        <v>0</v>
      </c>
      <c r="AR558">
        <v>7.05</v>
      </c>
      <c r="AS558">
        <v>93</v>
      </c>
      <c r="AT558">
        <v>2.95</v>
      </c>
      <c r="AU558">
        <v>97</v>
      </c>
      <c r="AV558">
        <v>-3.85</v>
      </c>
      <c r="AW558">
        <v>97</v>
      </c>
      <c r="AX558">
        <v>0.38</v>
      </c>
      <c r="AY558">
        <v>91</v>
      </c>
      <c r="AZ558">
        <v>5.41</v>
      </c>
      <c r="BA558">
        <v>78</v>
      </c>
      <c r="BB558">
        <v>4.42</v>
      </c>
      <c r="BC558">
        <v>52</v>
      </c>
      <c r="BD558">
        <v>-0.05</v>
      </c>
      <c r="BE558">
        <v>-0.11</v>
      </c>
      <c r="BF558">
        <v>-0.28000000000000003</v>
      </c>
      <c r="BG558">
        <v>93</v>
      </c>
      <c r="BH558">
        <v>-0.12</v>
      </c>
      <c r="BI558">
        <v>-26.59</v>
      </c>
      <c r="BJ558">
        <v>86</v>
      </c>
      <c r="BK558">
        <v>26</v>
      </c>
      <c r="BL558">
        <v>1.58</v>
      </c>
      <c r="BM558">
        <v>-1.86</v>
      </c>
      <c r="BN558">
        <v>-2.02</v>
      </c>
      <c r="BO558">
        <v>-0.18</v>
      </c>
      <c r="BP558">
        <v>-0.87</v>
      </c>
      <c r="BQ558">
        <v>-1.1299999999999999</v>
      </c>
      <c r="BR558">
        <v>1.87</v>
      </c>
      <c r="BS558">
        <v>-0.05</v>
      </c>
      <c r="BT558">
        <v>-0.83</v>
      </c>
      <c r="BU558">
        <v>2.58</v>
      </c>
      <c r="BV558">
        <v>3.34</v>
      </c>
      <c r="BW558">
        <v>3.23</v>
      </c>
      <c r="BX558">
        <v>3.55</v>
      </c>
      <c r="BY558">
        <v>2.23</v>
      </c>
      <c r="BZ558">
        <v>-1.9</v>
      </c>
      <c r="CA558">
        <v>2.2799999999999998</v>
      </c>
      <c r="CB558">
        <v>2.56</v>
      </c>
      <c r="CC558">
        <v>-0.24</v>
      </c>
      <c r="CD558">
        <v>-0.25</v>
      </c>
      <c r="CE558">
        <v>0.2</v>
      </c>
      <c r="CF558">
        <v>0.17</v>
      </c>
      <c r="CG558">
        <v>0</v>
      </c>
      <c r="CH558">
        <v>2.09</v>
      </c>
      <c r="CI558">
        <v>0</v>
      </c>
      <c r="CJ558">
        <v>-6.1</v>
      </c>
      <c r="CK558">
        <v>94</v>
      </c>
      <c r="CL558">
        <v>-1.39</v>
      </c>
      <c r="CM558">
        <v>92</v>
      </c>
      <c r="CN558">
        <v>-0.46</v>
      </c>
      <c r="CO558">
        <v>91</v>
      </c>
      <c r="CP558">
        <v>3</v>
      </c>
      <c r="CQ558">
        <v>75</v>
      </c>
      <c r="CR558">
        <v>0</v>
      </c>
      <c r="CS558">
        <v>0</v>
      </c>
      <c r="CT558">
        <v>23.3</v>
      </c>
      <c r="CU558">
        <v>71</v>
      </c>
      <c r="CV558">
        <v>0.38</v>
      </c>
      <c r="CW558">
        <v>51</v>
      </c>
      <c r="CX558" t="s">
        <v>1572</v>
      </c>
    </row>
    <row r="559" spans="1:102" x14ac:dyDescent="0.3">
      <c r="A559" t="str">
        <f>HYPERLINK("https://webapp.icbf.com/v2/app/bull-search/view/669832608","GTH")</f>
        <v>GTH</v>
      </c>
      <c r="B559" t="s">
        <v>5398</v>
      </c>
      <c r="C559" t="s">
        <v>5399</v>
      </c>
      <c r="D559" s="1">
        <v>39853</v>
      </c>
      <c r="E559" t="s">
        <v>92</v>
      </c>
      <c r="F559">
        <v>88</v>
      </c>
      <c r="G559" t="s">
        <v>93</v>
      </c>
      <c r="H559">
        <v>178.55</v>
      </c>
      <c r="I559">
        <v>89</v>
      </c>
      <c r="J559">
        <v>37.4</v>
      </c>
      <c r="K559">
        <v>97</v>
      </c>
      <c r="L559">
        <v>106.54</v>
      </c>
      <c r="M559">
        <v>82</v>
      </c>
      <c r="N559">
        <v>24.21</v>
      </c>
      <c r="O559">
        <v>88</v>
      </c>
      <c r="P559">
        <v>-9.61</v>
      </c>
      <c r="Q559">
        <v>93</v>
      </c>
      <c r="R559">
        <v>8.9600000000000009</v>
      </c>
      <c r="S559">
        <v>81</v>
      </c>
      <c r="T559">
        <v>6.13</v>
      </c>
      <c r="U559">
        <v>86</v>
      </c>
      <c r="V559">
        <v>4.92</v>
      </c>
      <c r="W559">
        <v>78</v>
      </c>
      <c r="X559" t="s">
        <v>94</v>
      </c>
      <c r="Y559" t="s">
        <v>1727</v>
      </c>
      <c r="Z559" t="s">
        <v>96</v>
      </c>
      <c r="AA559" t="s">
        <v>316</v>
      </c>
      <c r="AB559" t="s">
        <v>5400</v>
      </c>
      <c r="AC559">
        <v>111</v>
      </c>
      <c r="AD559">
        <v>76</v>
      </c>
      <c r="AE559">
        <v>97</v>
      </c>
      <c r="AF559">
        <v>270.55</v>
      </c>
      <c r="AG559">
        <v>3.96</v>
      </c>
      <c r="AH559">
        <v>9.1</v>
      </c>
      <c r="AI559">
        <v>-0.11</v>
      </c>
      <c r="AJ559">
        <v>0</v>
      </c>
      <c r="AK559">
        <v>82</v>
      </c>
      <c r="AL559">
        <v>124</v>
      </c>
      <c r="AM559">
        <v>85</v>
      </c>
      <c r="AN559">
        <v>-6.28</v>
      </c>
      <c r="AO559">
        <v>2.21</v>
      </c>
      <c r="AP559">
        <v>251</v>
      </c>
      <c r="AQ559">
        <v>1</v>
      </c>
      <c r="AR559">
        <v>5.73</v>
      </c>
      <c r="AS559">
        <v>75</v>
      </c>
      <c r="AT559">
        <v>2</v>
      </c>
      <c r="AU559">
        <v>90</v>
      </c>
      <c r="AV559">
        <v>-2.62</v>
      </c>
      <c r="AW559">
        <v>97</v>
      </c>
      <c r="AX559">
        <v>0.47</v>
      </c>
      <c r="AY559">
        <v>83</v>
      </c>
      <c r="AZ559">
        <v>8.52</v>
      </c>
      <c r="BA559">
        <v>69</v>
      </c>
      <c r="BB559">
        <v>5.91</v>
      </c>
      <c r="BC559">
        <v>72</v>
      </c>
      <c r="BD559">
        <v>-0.03</v>
      </c>
      <c r="BE559">
        <v>-0.04</v>
      </c>
      <c r="BF559">
        <v>-0.08</v>
      </c>
      <c r="BG559">
        <v>90</v>
      </c>
      <c r="BH559">
        <v>0.14000000000000001</v>
      </c>
      <c r="BI559">
        <v>0.32</v>
      </c>
      <c r="BJ559">
        <v>26</v>
      </c>
      <c r="BK559">
        <v>15</v>
      </c>
      <c r="BL559">
        <v>-0.32</v>
      </c>
      <c r="BM559">
        <v>2.71</v>
      </c>
      <c r="BN559">
        <v>0.09</v>
      </c>
      <c r="BO559">
        <v>-1.42</v>
      </c>
      <c r="BP559">
        <v>2.74</v>
      </c>
      <c r="BQ559">
        <v>0.9</v>
      </c>
      <c r="BR559">
        <v>-2.2599999999999998</v>
      </c>
      <c r="BS559">
        <v>-0.08</v>
      </c>
      <c r="BT559">
        <v>1.17</v>
      </c>
      <c r="BU559">
        <v>-1.05</v>
      </c>
      <c r="BV559">
        <v>-1.49</v>
      </c>
      <c r="BW559">
        <v>-1.1000000000000001</v>
      </c>
      <c r="BX559">
        <v>-1.03</v>
      </c>
      <c r="BY559">
        <v>1.9</v>
      </c>
      <c r="BZ559">
        <v>-0.24</v>
      </c>
      <c r="CA559">
        <v>-0.23</v>
      </c>
      <c r="CB559">
        <v>-0.51</v>
      </c>
      <c r="CC559">
        <v>0.23</v>
      </c>
      <c r="CD559">
        <v>2.62</v>
      </c>
      <c r="CE559">
        <v>-0.56000000000000005</v>
      </c>
      <c r="CF559">
        <v>0.65</v>
      </c>
      <c r="CG559">
        <v>0</v>
      </c>
      <c r="CH559">
        <v>2.1800000000000002</v>
      </c>
      <c r="CI559">
        <v>0</v>
      </c>
      <c r="CJ559">
        <v>-3.2</v>
      </c>
      <c r="CK559">
        <v>94</v>
      </c>
      <c r="CL559">
        <v>-0.65</v>
      </c>
      <c r="CM559">
        <v>92</v>
      </c>
      <c r="CN559">
        <v>-0.16</v>
      </c>
      <c r="CO559">
        <v>91</v>
      </c>
      <c r="CP559">
        <v>-2.4</v>
      </c>
      <c r="CQ559">
        <v>89</v>
      </c>
      <c r="CR559">
        <v>0</v>
      </c>
      <c r="CS559">
        <v>0</v>
      </c>
      <c r="CT559">
        <v>5.5</v>
      </c>
      <c r="CU559">
        <v>86</v>
      </c>
      <c r="CV559">
        <v>0.16</v>
      </c>
      <c r="CW559">
        <v>47</v>
      </c>
      <c r="CX559" t="s">
        <v>4023</v>
      </c>
    </row>
    <row r="560" spans="1:102" x14ac:dyDescent="0.3">
      <c r="A560" t="str">
        <f>HYPERLINK("https://webapp.icbf.com/v2/app/bull-search/view/108367998","SBH")</f>
        <v>SBH</v>
      </c>
      <c r="B560" t="s">
        <v>14347</v>
      </c>
      <c r="C560" t="s">
        <v>14348</v>
      </c>
      <c r="D560" s="1">
        <v>34898</v>
      </c>
      <c r="E560" t="s">
        <v>108</v>
      </c>
      <c r="F560">
        <v>25</v>
      </c>
      <c r="G560" t="s">
        <v>93</v>
      </c>
      <c r="H560">
        <v>178.45</v>
      </c>
      <c r="I560">
        <v>96</v>
      </c>
      <c r="J560">
        <v>39.71</v>
      </c>
      <c r="K560">
        <v>99</v>
      </c>
      <c r="L560">
        <v>82.85</v>
      </c>
      <c r="M560">
        <v>92</v>
      </c>
      <c r="N560">
        <v>44.46</v>
      </c>
      <c r="O560">
        <v>97</v>
      </c>
      <c r="P560">
        <v>-22.54</v>
      </c>
      <c r="Q560">
        <v>99</v>
      </c>
      <c r="R560">
        <v>-2.9</v>
      </c>
      <c r="S560">
        <v>95</v>
      </c>
      <c r="T560">
        <v>29.14</v>
      </c>
      <c r="U560">
        <v>98</v>
      </c>
      <c r="V560">
        <v>7.73</v>
      </c>
      <c r="W560">
        <v>96</v>
      </c>
      <c r="X560" t="s">
        <v>302</v>
      </c>
      <c r="Y560" t="s">
        <v>95</v>
      </c>
      <c r="Z560" t="s">
        <v>96</v>
      </c>
      <c r="AA560" t="s">
        <v>1089</v>
      </c>
      <c r="AB560" t="s">
        <v>14349</v>
      </c>
      <c r="AC560">
        <v>725</v>
      </c>
      <c r="AD560">
        <v>206</v>
      </c>
      <c r="AE560">
        <v>99</v>
      </c>
      <c r="AF560">
        <v>-109.99</v>
      </c>
      <c r="AG560">
        <v>13.91</v>
      </c>
      <c r="AH560">
        <v>0.15</v>
      </c>
      <c r="AI560">
        <v>0.32</v>
      </c>
      <c r="AJ560">
        <v>7.0000000000000007E-2</v>
      </c>
      <c r="AK560">
        <v>92</v>
      </c>
      <c r="AL560">
        <v>741</v>
      </c>
      <c r="AM560">
        <v>202</v>
      </c>
      <c r="AN560">
        <v>-3.55</v>
      </c>
      <c r="AO560">
        <v>3.07</v>
      </c>
      <c r="AP560">
        <v>1153</v>
      </c>
      <c r="AQ560">
        <v>3</v>
      </c>
      <c r="AR560">
        <v>4.54</v>
      </c>
      <c r="AS560">
        <v>96</v>
      </c>
      <c r="AT560">
        <v>1.9</v>
      </c>
      <c r="AU560">
        <v>97</v>
      </c>
      <c r="AV560">
        <v>-3.97</v>
      </c>
      <c r="AW560">
        <v>99</v>
      </c>
      <c r="AX560">
        <v>0</v>
      </c>
      <c r="AY560">
        <v>97</v>
      </c>
      <c r="AZ560">
        <v>6.54</v>
      </c>
      <c r="BA560">
        <v>91</v>
      </c>
      <c r="BB560">
        <v>5.53</v>
      </c>
      <c r="BC560">
        <v>93</v>
      </c>
      <c r="BD560">
        <v>-0.02</v>
      </c>
      <c r="BE560">
        <v>0</v>
      </c>
      <c r="BF560">
        <v>0.1</v>
      </c>
      <c r="BG560">
        <v>98</v>
      </c>
      <c r="BH560">
        <v>0.28999999999999998</v>
      </c>
      <c r="BI560">
        <v>8.61</v>
      </c>
      <c r="BJ560">
        <v>25</v>
      </c>
      <c r="BK560">
        <v>16</v>
      </c>
      <c r="BL560">
        <v>-1.67</v>
      </c>
      <c r="BM560">
        <v>1.9</v>
      </c>
      <c r="BN560">
        <v>-0.14000000000000001</v>
      </c>
      <c r="BO560">
        <v>-2.04</v>
      </c>
      <c r="BP560">
        <v>-0.52</v>
      </c>
      <c r="BQ560">
        <v>-2.12</v>
      </c>
      <c r="BR560">
        <v>-1.01</v>
      </c>
      <c r="BS560">
        <v>-2.3199999999999998</v>
      </c>
      <c r="BT560">
        <v>-0.64</v>
      </c>
      <c r="BU560">
        <v>-0.53</v>
      </c>
      <c r="BV560">
        <v>-0.43</v>
      </c>
      <c r="BW560">
        <v>-0.94</v>
      </c>
      <c r="BX560">
        <v>-0.49</v>
      </c>
      <c r="BY560">
        <v>-1.56</v>
      </c>
      <c r="BZ560">
        <v>3.43</v>
      </c>
      <c r="CA560">
        <v>-1</v>
      </c>
      <c r="CB560">
        <v>-0.79</v>
      </c>
      <c r="CC560">
        <v>-1.33</v>
      </c>
      <c r="CD560">
        <v>1.52</v>
      </c>
      <c r="CE560">
        <v>-1.48</v>
      </c>
      <c r="CF560">
        <v>-1.84</v>
      </c>
      <c r="CG560">
        <v>0</v>
      </c>
      <c r="CH560">
        <v>-1.22</v>
      </c>
      <c r="CI560">
        <v>0</v>
      </c>
      <c r="CJ560">
        <v>-11.7</v>
      </c>
      <c r="CK560">
        <v>99</v>
      </c>
      <c r="CL560">
        <v>-0.64</v>
      </c>
      <c r="CM560">
        <v>99</v>
      </c>
      <c r="CN560">
        <v>-0.3</v>
      </c>
      <c r="CO560">
        <v>99</v>
      </c>
      <c r="CP560">
        <v>-22</v>
      </c>
      <c r="CQ560">
        <v>98</v>
      </c>
      <c r="CR560">
        <v>0</v>
      </c>
      <c r="CS560">
        <v>0</v>
      </c>
      <c r="CT560">
        <v>-25.6</v>
      </c>
      <c r="CU560">
        <v>98</v>
      </c>
      <c r="CV560">
        <v>0.06</v>
      </c>
      <c r="CW560">
        <v>46</v>
      </c>
      <c r="CX560" t="s">
        <v>14350</v>
      </c>
    </row>
    <row r="561" spans="1:102" x14ac:dyDescent="0.3">
      <c r="A561" t="str">
        <f>HYPERLINK("https://webapp.icbf.com/v2/app/bull-search/view/1586373535","FR4402")</f>
        <v>FR4402</v>
      </c>
      <c r="B561" t="s">
        <v>13767</v>
      </c>
      <c r="C561" t="s">
        <v>13768</v>
      </c>
      <c r="D561" s="1">
        <v>42449</v>
      </c>
      <c r="E561" t="s">
        <v>92</v>
      </c>
      <c r="F561">
        <v>100</v>
      </c>
      <c r="G561" t="s">
        <v>435</v>
      </c>
      <c r="H561">
        <v>178.22</v>
      </c>
      <c r="I561">
        <v>71</v>
      </c>
      <c r="J561">
        <v>79.22</v>
      </c>
      <c r="K561">
        <v>89</v>
      </c>
      <c r="L561">
        <v>48.19</v>
      </c>
      <c r="M561">
        <v>68</v>
      </c>
      <c r="N561">
        <v>42.31</v>
      </c>
      <c r="O561">
        <v>83</v>
      </c>
      <c r="P561">
        <v>-9.98</v>
      </c>
      <c r="Q561">
        <v>38</v>
      </c>
      <c r="R561">
        <v>15.64</v>
      </c>
      <c r="S561">
        <v>63</v>
      </c>
      <c r="T561">
        <v>-3.56</v>
      </c>
      <c r="U561">
        <v>35</v>
      </c>
      <c r="V561">
        <v>6.4</v>
      </c>
      <c r="W561">
        <v>53</v>
      </c>
      <c r="X561" t="s">
        <v>428</v>
      </c>
      <c r="Y561" t="s">
        <v>2261</v>
      </c>
      <c r="Z561" t="s">
        <v>96</v>
      </c>
      <c r="AA561" t="s">
        <v>2309</v>
      </c>
      <c r="AB561" t="s">
        <v>13769</v>
      </c>
      <c r="AC561">
        <v>0</v>
      </c>
      <c r="AD561">
        <v>0</v>
      </c>
      <c r="AE561">
        <v>89</v>
      </c>
      <c r="AF561">
        <v>454.51</v>
      </c>
      <c r="AG561">
        <v>17.16</v>
      </c>
      <c r="AH561">
        <v>14.36</v>
      </c>
      <c r="AI561">
        <v>-0.01</v>
      </c>
      <c r="AJ561">
        <v>-0.01</v>
      </c>
      <c r="AK561">
        <v>68</v>
      </c>
      <c r="AL561">
        <v>0</v>
      </c>
      <c r="AM561">
        <v>0</v>
      </c>
      <c r="AN561">
        <v>-2.1</v>
      </c>
      <c r="AO561">
        <v>1.75</v>
      </c>
      <c r="AP561">
        <v>435</v>
      </c>
      <c r="AQ561">
        <v>1</v>
      </c>
      <c r="AR561">
        <v>6.16</v>
      </c>
      <c r="AS561">
        <v>83</v>
      </c>
      <c r="AT561">
        <v>2.41</v>
      </c>
      <c r="AU561">
        <v>93</v>
      </c>
      <c r="AV561">
        <v>-3.28</v>
      </c>
      <c r="AW561">
        <v>97</v>
      </c>
      <c r="AX561">
        <v>-1.27</v>
      </c>
      <c r="AY561">
        <v>86</v>
      </c>
      <c r="AZ561">
        <v>5.51</v>
      </c>
      <c r="BA561">
        <v>36</v>
      </c>
      <c r="BB561">
        <v>4.4800000000000004</v>
      </c>
      <c r="BC561">
        <v>34</v>
      </c>
      <c r="BD561">
        <v>-0.1</v>
      </c>
      <c r="BE561">
        <v>-7.0000000000000007E-2</v>
      </c>
      <c r="BF561">
        <v>-0.06</v>
      </c>
      <c r="BG561">
        <v>77</v>
      </c>
      <c r="BH561">
        <v>-0.02</v>
      </c>
      <c r="BI561">
        <v>-22.95</v>
      </c>
      <c r="BJ561">
        <v>0</v>
      </c>
      <c r="BK561">
        <v>0</v>
      </c>
      <c r="BL561">
        <v>1.17</v>
      </c>
      <c r="BM561">
        <v>-1.59</v>
      </c>
      <c r="BN561">
        <v>-0.68</v>
      </c>
      <c r="BO561">
        <v>0.83</v>
      </c>
      <c r="BP561">
        <v>0.23</v>
      </c>
      <c r="BQ561">
        <v>-0.75</v>
      </c>
      <c r="BR561">
        <v>-0.25</v>
      </c>
      <c r="BS561">
        <v>2.41</v>
      </c>
      <c r="BT561">
        <v>0.72</v>
      </c>
      <c r="BU561">
        <v>4.04</v>
      </c>
      <c r="BV561">
        <v>3.33</v>
      </c>
      <c r="BW561">
        <v>1.07</v>
      </c>
      <c r="BX561">
        <v>3.52</v>
      </c>
      <c r="BY561">
        <v>1.29</v>
      </c>
      <c r="BZ561">
        <v>-0.37</v>
      </c>
      <c r="CA561">
        <v>3.14</v>
      </c>
      <c r="CB561">
        <v>2.85</v>
      </c>
      <c r="CC561">
        <v>1.5</v>
      </c>
      <c r="CD561">
        <v>-0.56999999999999995</v>
      </c>
      <c r="CE561">
        <v>0.8</v>
      </c>
      <c r="CF561">
        <v>0.34</v>
      </c>
      <c r="CG561">
        <v>0</v>
      </c>
      <c r="CH561">
        <v>1.78</v>
      </c>
      <c r="CI561">
        <v>0</v>
      </c>
      <c r="CJ561">
        <v>-4.3</v>
      </c>
      <c r="CK561">
        <v>40</v>
      </c>
      <c r="CL561">
        <v>-1.48</v>
      </c>
      <c r="CM561">
        <v>35</v>
      </c>
      <c r="CN561">
        <v>-0.97</v>
      </c>
      <c r="CO561">
        <v>35</v>
      </c>
      <c r="CP561">
        <v>-0.9</v>
      </c>
      <c r="CQ561">
        <v>36</v>
      </c>
      <c r="CR561">
        <v>0</v>
      </c>
      <c r="CS561">
        <v>0</v>
      </c>
      <c r="CT561">
        <v>18.600000000000001</v>
      </c>
      <c r="CU561">
        <v>35</v>
      </c>
      <c r="CV561">
        <v>0.19</v>
      </c>
      <c r="CW561">
        <v>33</v>
      </c>
      <c r="CX561" t="s">
        <v>1894</v>
      </c>
    </row>
    <row r="562" spans="1:102" x14ac:dyDescent="0.3">
      <c r="A562" t="str">
        <f>HYPERLINK("https://webapp.icbf.com/v2/app/bull-search/view/1275456471","S3020")</f>
        <v>S3020</v>
      </c>
      <c r="B562" t="s">
        <v>2206</v>
      </c>
      <c r="C562" t="s">
        <v>2207</v>
      </c>
      <c r="D562" s="1">
        <v>41655</v>
      </c>
      <c r="E562" t="s">
        <v>227</v>
      </c>
      <c r="F562">
        <v>0</v>
      </c>
      <c r="G562" t="s">
        <v>109</v>
      </c>
      <c r="H562">
        <v>178.1</v>
      </c>
      <c r="I562">
        <v>52</v>
      </c>
      <c r="J562">
        <v>57.37</v>
      </c>
      <c r="K562">
        <v>67</v>
      </c>
      <c r="L562">
        <v>62.94</v>
      </c>
      <c r="M562">
        <v>63</v>
      </c>
      <c r="N562">
        <v>38.520000000000003</v>
      </c>
      <c r="O562">
        <v>40</v>
      </c>
      <c r="P562">
        <v>-59.97</v>
      </c>
      <c r="Q562">
        <v>20</v>
      </c>
      <c r="R562">
        <v>8.18</v>
      </c>
      <c r="S562">
        <v>22</v>
      </c>
      <c r="T562">
        <v>64.37</v>
      </c>
      <c r="U562">
        <v>16</v>
      </c>
      <c r="V562">
        <v>6.69</v>
      </c>
      <c r="W562">
        <v>21</v>
      </c>
      <c r="X562" t="s">
        <v>110</v>
      </c>
      <c r="Y562" t="s">
        <v>411</v>
      </c>
      <c r="Z562">
        <v>0</v>
      </c>
      <c r="AA562" t="s">
        <v>2208</v>
      </c>
      <c r="AB562" t="s">
        <v>2209</v>
      </c>
      <c r="AC562">
        <v>0</v>
      </c>
      <c r="AD562">
        <v>0</v>
      </c>
      <c r="AE562">
        <v>67</v>
      </c>
      <c r="AF562">
        <v>-517.17999999999995</v>
      </c>
      <c r="AG562">
        <v>14.39</v>
      </c>
      <c r="AH562">
        <v>-3.25</v>
      </c>
      <c r="AI562">
        <v>0.63</v>
      </c>
      <c r="AJ562">
        <v>0.26</v>
      </c>
      <c r="AK562">
        <v>63</v>
      </c>
      <c r="AL562">
        <v>0</v>
      </c>
      <c r="AM562">
        <v>0</v>
      </c>
      <c r="AN562">
        <v>-2.59</v>
      </c>
      <c r="AO562">
        <v>2.44</v>
      </c>
      <c r="AP562">
        <v>2</v>
      </c>
      <c r="AQ562">
        <v>0</v>
      </c>
      <c r="AR562">
        <v>3.63</v>
      </c>
      <c r="AS562">
        <v>21</v>
      </c>
      <c r="AT562">
        <v>1.81</v>
      </c>
      <c r="AU562">
        <v>24</v>
      </c>
      <c r="AV562">
        <v>-4.49</v>
      </c>
      <c r="AW562">
        <v>67</v>
      </c>
      <c r="AX562">
        <v>5.37</v>
      </c>
      <c r="AY562">
        <v>31</v>
      </c>
      <c r="AZ562">
        <v>6.7</v>
      </c>
      <c r="BA562">
        <v>16</v>
      </c>
      <c r="BB562">
        <v>5.15</v>
      </c>
      <c r="BC562">
        <v>12</v>
      </c>
      <c r="BD562">
        <v>-0.06</v>
      </c>
      <c r="BE562">
        <v>-0.02</v>
      </c>
      <c r="BF562">
        <v>-0.05</v>
      </c>
      <c r="BG562">
        <v>26</v>
      </c>
      <c r="BH562">
        <v>0.12</v>
      </c>
      <c r="BI562">
        <v>-7.71</v>
      </c>
      <c r="BJ562">
        <v>0</v>
      </c>
      <c r="BK562">
        <v>0</v>
      </c>
      <c r="BL562">
        <v>-1.31</v>
      </c>
      <c r="BM562">
        <v>-2.16</v>
      </c>
      <c r="BN562">
        <v>-0.46</v>
      </c>
      <c r="BO562">
        <v>1.56</v>
      </c>
      <c r="BP562">
        <v>1.05</v>
      </c>
      <c r="BQ562">
        <v>-6.3</v>
      </c>
      <c r="BR562">
        <v>2.34</v>
      </c>
      <c r="BS562">
        <v>6.57</v>
      </c>
      <c r="BT562">
        <v>-1.04</v>
      </c>
      <c r="BU562">
        <v>0.76</v>
      </c>
      <c r="BV562">
        <v>0.7</v>
      </c>
      <c r="BW562">
        <v>-1.19</v>
      </c>
      <c r="BX562">
        <v>-1.81</v>
      </c>
      <c r="BY562">
        <v>0.31</v>
      </c>
      <c r="BZ562">
        <v>0.09</v>
      </c>
      <c r="CA562">
        <v>2.06</v>
      </c>
      <c r="CB562">
        <v>0.7</v>
      </c>
      <c r="CC562">
        <v>3.85</v>
      </c>
      <c r="CD562">
        <v>-2.46</v>
      </c>
      <c r="CE562">
        <v>1.42</v>
      </c>
      <c r="CF562">
        <v>-1.43</v>
      </c>
      <c r="CG562">
        <v>0</v>
      </c>
      <c r="CH562">
        <v>-0.45</v>
      </c>
      <c r="CI562">
        <v>0</v>
      </c>
      <c r="CJ562">
        <v>-32.4</v>
      </c>
      <c r="CK562">
        <v>21</v>
      </c>
      <c r="CL562">
        <v>-1.1399999999999999</v>
      </c>
      <c r="CM562">
        <v>20</v>
      </c>
      <c r="CN562">
        <v>-0.35</v>
      </c>
      <c r="CO562">
        <v>19</v>
      </c>
      <c r="CP562">
        <v>-50.6</v>
      </c>
      <c r="CQ562">
        <v>17</v>
      </c>
      <c r="CR562">
        <v>0</v>
      </c>
      <c r="CS562">
        <v>0</v>
      </c>
      <c r="CT562">
        <v>-73.2</v>
      </c>
      <c r="CU562">
        <v>16</v>
      </c>
      <c r="CV562">
        <v>-0.39</v>
      </c>
      <c r="CW562">
        <v>6</v>
      </c>
      <c r="CX562" t="s">
        <v>2210</v>
      </c>
    </row>
    <row r="563" spans="1:102" x14ac:dyDescent="0.3">
      <c r="A563" t="str">
        <f>HYPERLINK("https://webapp.icbf.com/v2/app/bull-search/view/910794968","FR2213")</f>
        <v>FR2213</v>
      </c>
      <c r="B563" t="s">
        <v>6990</v>
      </c>
      <c r="C563" t="s">
        <v>6991</v>
      </c>
      <c r="D563" s="1">
        <v>40414</v>
      </c>
      <c r="E563" t="s">
        <v>92</v>
      </c>
      <c r="F563">
        <v>38</v>
      </c>
      <c r="G563" t="s">
        <v>93</v>
      </c>
      <c r="H563">
        <v>178.06</v>
      </c>
      <c r="I563">
        <v>84</v>
      </c>
      <c r="J563">
        <v>66.13</v>
      </c>
      <c r="K563">
        <v>98</v>
      </c>
      <c r="L563">
        <v>74.709999999999994</v>
      </c>
      <c r="M563">
        <v>65</v>
      </c>
      <c r="N563">
        <v>50.58</v>
      </c>
      <c r="O563">
        <v>90</v>
      </c>
      <c r="P563">
        <v>-47.41</v>
      </c>
      <c r="Q563">
        <v>95</v>
      </c>
      <c r="R563">
        <v>-6.95</v>
      </c>
      <c r="S563">
        <v>82</v>
      </c>
      <c r="T563">
        <v>32.4</v>
      </c>
      <c r="U563">
        <v>96</v>
      </c>
      <c r="V563">
        <v>8.6</v>
      </c>
      <c r="W563">
        <v>78</v>
      </c>
      <c r="X563" t="s">
        <v>276</v>
      </c>
      <c r="Y563" t="s">
        <v>422</v>
      </c>
      <c r="Z563" t="s">
        <v>330</v>
      </c>
      <c r="AA563" t="s">
        <v>5465</v>
      </c>
      <c r="AB563" t="s">
        <v>144</v>
      </c>
      <c r="AC563">
        <v>593</v>
      </c>
      <c r="AD563">
        <v>101</v>
      </c>
      <c r="AE563">
        <v>98</v>
      </c>
      <c r="AF563">
        <v>-35.380000000000003</v>
      </c>
      <c r="AG563">
        <v>11.04</v>
      </c>
      <c r="AH563">
        <v>6.8</v>
      </c>
      <c r="AI563">
        <v>0.22</v>
      </c>
      <c r="AJ563">
        <v>0.14000000000000001</v>
      </c>
      <c r="AK563">
        <v>65</v>
      </c>
      <c r="AL563">
        <v>0</v>
      </c>
      <c r="AM563">
        <v>0</v>
      </c>
      <c r="AN563">
        <v>-3.93</v>
      </c>
      <c r="AO563">
        <v>2.0299999999999998</v>
      </c>
      <c r="AP563">
        <v>1529</v>
      </c>
      <c r="AQ563">
        <v>2</v>
      </c>
      <c r="AR563">
        <v>3.82</v>
      </c>
      <c r="AS563">
        <v>95</v>
      </c>
      <c r="AT563">
        <v>1.58</v>
      </c>
      <c r="AU563">
        <v>97</v>
      </c>
      <c r="AV563">
        <v>-4.63</v>
      </c>
      <c r="AW563">
        <v>99</v>
      </c>
      <c r="AX563">
        <v>-0.19</v>
      </c>
      <c r="AY563">
        <v>96</v>
      </c>
      <c r="AZ563">
        <v>7.17</v>
      </c>
      <c r="BA563">
        <v>88</v>
      </c>
      <c r="BB563">
        <v>5.82</v>
      </c>
      <c r="BC563">
        <v>43</v>
      </c>
      <c r="BD563">
        <v>0.01</v>
      </c>
      <c r="BE563">
        <v>7.0000000000000007E-2</v>
      </c>
      <c r="BF563">
        <v>0.01</v>
      </c>
      <c r="BG563">
        <v>95</v>
      </c>
      <c r="BH563">
        <v>0.2</v>
      </c>
      <c r="BI563">
        <v>-4.5999999999999996</v>
      </c>
      <c r="BJ563">
        <v>0</v>
      </c>
      <c r="BK563">
        <v>0</v>
      </c>
      <c r="BL563">
        <v>-2.33</v>
      </c>
      <c r="BM563">
        <v>-0.14000000000000001</v>
      </c>
      <c r="BN563">
        <v>-0.54</v>
      </c>
      <c r="BO563">
        <v>-0.3</v>
      </c>
      <c r="BP563">
        <v>-1.84</v>
      </c>
      <c r="BQ563">
        <v>-3.01</v>
      </c>
      <c r="BR563">
        <v>1.46</v>
      </c>
      <c r="BS563">
        <v>3.21</v>
      </c>
      <c r="BT563">
        <v>-0.23</v>
      </c>
      <c r="BU563">
        <v>-0.95</v>
      </c>
      <c r="BV563">
        <v>-0.42</v>
      </c>
      <c r="BW563">
        <v>-1.88</v>
      </c>
      <c r="BX563">
        <v>-2.81</v>
      </c>
      <c r="BY563">
        <v>-0.78</v>
      </c>
      <c r="BZ563">
        <v>-0.53</v>
      </c>
      <c r="CA563">
        <v>-0.03</v>
      </c>
      <c r="CB563">
        <v>-0.91</v>
      </c>
      <c r="CC563">
        <v>1.95</v>
      </c>
      <c r="CD563">
        <v>-0.08</v>
      </c>
      <c r="CE563">
        <v>-0.09</v>
      </c>
      <c r="CF563">
        <v>-2.09</v>
      </c>
      <c r="CG563">
        <v>0</v>
      </c>
      <c r="CH563">
        <v>-0.51</v>
      </c>
      <c r="CI563">
        <v>0</v>
      </c>
      <c r="CJ563">
        <v>-27.3</v>
      </c>
      <c r="CK563">
        <v>97</v>
      </c>
      <c r="CL563">
        <v>-0.84</v>
      </c>
      <c r="CM563">
        <v>96</v>
      </c>
      <c r="CN563">
        <v>-0.36</v>
      </c>
      <c r="CO563">
        <v>95</v>
      </c>
      <c r="CP563">
        <v>-35.200000000000003</v>
      </c>
      <c r="CQ563">
        <v>78</v>
      </c>
      <c r="CR563">
        <v>0</v>
      </c>
      <c r="CS563">
        <v>0</v>
      </c>
      <c r="CT563">
        <v>-30</v>
      </c>
      <c r="CU563">
        <v>96</v>
      </c>
      <c r="CV563">
        <v>-0.2</v>
      </c>
      <c r="CW563">
        <v>47</v>
      </c>
      <c r="CX563" t="s">
        <v>333</v>
      </c>
    </row>
    <row r="564" spans="1:102" x14ac:dyDescent="0.3">
      <c r="A564" t="str">
        <f>HYPERLINK("https://webapp.icbf.com/v2/app/bull-search/view/945220025","YGB")</f>
        <v>YGB</v>
      </c>
      <c r="B564" t="s">
        <v>13142</v>
      </c>
      <c r="C564" t="s">
        <v>6429</v>
      </c>
      <c r="D564" s="1">
        <v>40936</v>
      </c>
      <c r="E564" t="s">
        <v>92</v>
      </c>
      <c r="F564">
        <v>94</v>
      </c>
      <c r="G564" t="s">
        <v>93</v>
      </c>
      <c r="H564">
        <v>178.04</v>
      </c>
      <c r="I564">
        <v>97</v>
      </c>
      <c r="J564">
        <v>109.78</v>
      </c>
      <c r="K564">
        <v>99</v>
      </c>
      <c r="L564">
        <v>7.92</v>
      </c>
      <c r="M564">
        <v>95</v>
      </c>
      <c r="N564">
        <v>56</v>
      </c>
      <c r="O564">
        <v>98</v>
      </c>
      <c r="P564">
        <v>7.46</v>
      </c>
      <c r="Q564">
        <v>99</v>
      </c>
      <c r="R564">
        <v>-5.09</v>
      </c>
      <c r="S564">
        <v>96</v>
      </c>
      <c r="T564">
        <v>-5.34</v>
      </c>
      <c r="U564">
        <v>99</v>
      </c>
      <c r="V564">
        <v>7.31</v>
      </c>
      <c r="W564">
        <v>85</v>
      </c>
      <c r="X564" t="s">
        <v>94</v>
      </c>
      <c r="Y564" t="s">
        <v>1860</v>
      </c>
      <c r="Z564" t="s">
        <v>96</v>
      </c>
      <c r="AA564" t="s">
        <v>2159</v>
      </c>
      <c r="AB564" t="s">
        <v>13143</v>
      </c>
      <c r="AC564">
        <v>3535</v>
      </c>
      <c r="AD564">
        <v>1305</v>
      </c>
      <c r="AE564">
        <v>99</v>
      </c>
      <c r="AF564">
        <v>372.21</v>
      </c>
      <c r="AG564">
        <v>22.24</v>
      </c>
      <c r="AH564">
        <v>16.5</v>
      </c>
      <c r="AI564">
        <v>0.13</v>
      </c>
      <c r="AJ564">
        <v>0.06</v>
      </c>
      <c r="AK564">
        <v>95</v>
      </c>
      <c r="AL564">
        <v>3994</v>
      </c>
      <c r="AM564">
        <v>1614</v>
      </c>
      <c r="AN564">
        <v>0.21</v>
      </c>
      <c r="AO564">
        <v>0.85</v>
      </c>
      <c r="AP564">
        <v>6319</v>
      </c>
      <c r="AQ564">
        <v>46</v>
      </c>
      <c r="AR564">
        <v>5.61</v>
      </c>
      <c r="AS564">
        <v>99</v>
      </c>
      <c r="AT564">
        <v>2.17</v>
      </c>
      <c r="AU564">
        <v>99</v>
      </c>
      <c r="AV564">
        <v>-5.33</v>
      </c>
      <c r="AW564">
        <v>99</v>
      </c>
      <c r="AX564">
        <v>-0.57999999999999996</v>
      </c>
      <c r="AY564">
        <v>99</v>
      </c>
      <c r="AZ564">
        <v>6.52</v>
      </c>
      <c r="BA564">
        <v>97</v>
      </c>
      <c r="BB564">
        <v>4.95</v>
      </c>
      <c r="BC564">
        <v>96</v>
      </c>
      <c r="BD564">
        <v>-0.03</v>
      </c>
      <c r="BE564">
        <v>0.03</v>
      </c>
      <c r="BF564">
        <v>0.11</v>
      </c>
      <c r="BG564">
        <v>99</v>
      </c>
      <c r="BH564">
        <v>0.21</v>
      </c>
      <c r="BI564">
        <v>0.72</v>
      </c>
      <c r="BJ564">
        <v>148</v>
      </c>
      <c r="BK564">
        <v>42</v>
      </c>
      <c r="BL564">
        <v>-0.6</v>
      </c>
      <c r="BM564">
        <v>1.88</v>
      </c>
      <c r="BN564">
        <v>0.68</v>
      </c>
      <c r="BO564">
        <v>-0.35</v>
      </c>
      <c r="BP564">
        <v>0.85</v>
      </c>
      <c r="BQ564">
        <v>0.21</v>
      </c>
      <c r="BR564">
        <v>1.27</v>
      </c>
      <c r="BS564">
        <v>-1.32</v>
      </c>
      <c r="BT564">
        <v>-1.7</v>
      </c>
      <c r="BU564">
        <v>-1.17</v>
      </c>
      <c r="BV564">
        <v>-0.93</v>
      </c>
      <c r="BW564">
        <v>-1.54</v>
      </c>
      <c r="BX564">
        <v>-2.78</v>
      </c>
      <c r="BY564">
        <v>-1.58</v>
      </c>
      <c r="BZ564">
        <v>-0.8</v>
      </c>
      <c r="CA564">
        <v>-1.04</v>
      </c>
      <c r="CB564">
        <v>-0.84</v>
      </c>
      <c r="CC564">
        <v>-0.68</v>
      </c>
      <c r="CD564">
        <v>0.79</v>
      </c>
      <c r="CE564">
        <v>-0.14000000000000001</v>
      </c>
      <c r="CF564">
        <v>-0.19</v>
      </c>
      <c r="CG564">
        <v>0</v>
      </c>
      <c r="CH564">
        <v>-1.48</v>
      </c>
      <c r="CI564">
        <v>0</v>
      </c>
      <c r="CJ564">
        <v>5.8</v>
      </c>
      <c r="CK564">
        <v>99</v>
      </c>
      <c r="CL564">
        <v>-0.63</v>
      </c>
      <c r="CM564">
        <v>99</v>
      </c>
      <c r="CN564">
        <v>-0.44</v>
      </c>
      <c r="CO564">
        <v>99</v>
      </c>
      <c r="CP564">
        <v>5.4</v>
      </c>
      <c r="CQ564">
        <v>99</v>
      </c>
      <c r="CR564">
        <v>0</v>
      </c>
      <c r="CS564">
        <v>0</v>
      </c>
      <c r="CT564">
        <v>21</v>
      </c>
      <c r="CU564">
        <v>99</v>
      </c>
      <c r="CV564">
        <v>0.28999999999999998</v>
      </c>
      <c r="CW564">
        <v>48</v>
      </c>
      <c r="CX564" t="s">
        <v>5102</v>
      </c>
    </row>
    <row r="565" spans="1:102" x14ac:dyDescent="0.3">
      <c r="A565" t="str">
        <f>HYPERLINK("https://webapp.icbf.com/v2/app/bull-search/view/1361568248","FR4112")</f>
        <v>FR4112</v>
      </c>
      <c r="B565" t="s">
        <v>14706</v>
      </c>
      <c r="C565" t="s">
        <v>14707</v>
      </c>
      <c r="D565" s="1">
        <v>41915</v>
      </c>
      <c r="E565" t="s">
        <v>92</v>
      </c>
      <c r="F565">
        <v>100</v>
      </c>
      <c r="G565" t="s">
        <v>435</v>
      </c>
      <c r="H565">
        <v>177.94</v>
      </c>
      <c r="I565">
        <v>69</v>
      </c>
      <c r="J565">
        <v>56.18</v>
      </c>
      <c r="K565">
        <v>89</v>
      </c>
      <c r="L565">
        <v>79.760000000000005</v>
      </c>
      <c r="M565">
        <v>66</v>
      </c>
      <c r="N565">
        <v>35.36</v>
      </c>
      <c r="O565">
        <v>67</v>
      </c>
      <c r="P565">
        <v>-5.13</v>
      </c>
      <c r="Q565">
        <v>46</v>
      </c>
      <c r="R565">
        <v>15.5</v>
      </c>
      <c r="S565">
        <v>65</v>
      </c>
      <c r="T565">
        <v>-4.75</v>
      </c>
      <c r="U565">
        <v>38</v>
      </c>
      <c r="V565">
        <v>1.02</v>
      </c>
      <c r="W565">
        <v>55</v>
      </c>
      <c r="X565" t="s">
        <v>234</v>
      </c>
      <c r="Y565" t="s">
        <v>429</v>
      </c>
      <c r="Z565" t="s">
        <v>96</v>
      </c>
      <c r="AA565" t="s">
        <v>9343</v>
      </c>
      <c r="AB565" t="s">
        <v>14708</v>
      </c>
      <c r="AC565">
        <v>0</v>
      </c>
      <c r="AD565">
        <v>0</v>
      </c>
      <c r="AE565">
        <v>89</v>
      </c>
      <c r="AF565">
        <v>294.05</v>
      </c>
      <c r="AG565">
        <v>12.99</v>
      </c>
      <c r="AH565">
        <v>9.4600000000000009</v>
      </c>
      <c r="AI565">
        <v>0.02</v>
      </c>
      <c r="AJ565">
        <v>-0.01</v>
      </c>
      <c r="AK565">
        <v>66</v>
      </c>
      <c r="AL565">
        <v>0</v>
      </c>
      <c r="AM565">
        <v>0</v>
      </c>
      <c r="AN565">
        <v>-4.3899999999999997</v>
      </c>
      <c r="AO565">
        <v>1.97</v>
      </c>
      <c r="AP565">
        <v>66</v>
      </c>
      <c r="AQ565">
        <v>0</v>
      </c>
      <c r="AR565">
        <v>7.86</v>
      </c>
      <c r="AS565">
        <v>56</v>
      </c>
      <c r="AT565">
        <v>3.07</v>
      </c>
      <c r="AU565">
        <v>80</v>
      </c>
      <c r="AV565">
        <v>-4.49</v>
      </c>
      <c r="AW565">
        <v>78</v>
      </c>
      <c r="AX565">
        <v>-0.01</v>
      </c>
      <c r="AY565">
        <v>56</v>
      </c>
      <c r="AZ565">
        <v>6.11</v>
      </c>
      <c r="BA565">
        <v>37</v>
      </c>
      <c r="BB565">
        <v>5.12</v>
      </c>
      <c r="BC565">
        <v>35</v>
      </c>
      <c r="BD565">
        <v>-0.05</v>
      </c>
      <c r="BE565">
        <v>-7.0000000000000007E-2</v>
      </c>
      <c r="BF565">
        <v>-0.14000000000000001</v>
      </c>
      <c r="BG565">
        <v>79</v>
      </c>
      <c r="BH565">
        <v>-0.06</v>
      </c>
      <c r="BI565">
        <v>-10.23</v>
      </c>
      <c r="BJ565">
        <v>0</v>
      </c>
      <c r="BK565">
        <v>0</v>
      </c>
      <c r="BL565">
        <v>1.96</v>
      </c>
      <c r="BM565">
        <v>-0.02</v>
      </c>
      <c r="BN565">
        <v>0.84</v>
      </c>
      <c r="BO565">
        <v>1.1200000000000001</v>
      </c>
      <c r="BP565">
        <v>-0.15</v>
      </c>
      <c r="BQ565">
        <v>1.27</v>
      </c>
      <c r="BR565">
        <v>0.08</v>
      </c>
      <c r="BS565">
        <v>2.15</v>
      </c>
      <c r="BT565">
        <v>0.95</v>
      </c>
      <c r="BU565">
        <v>2.83</v>
      </c>
      <c r="BV565">
        <v>2.6</v>
      </c>
      <c r="BW565">
        <v>2.65</v>
      </c>
      <c r="BX565">
        <v>3.03</v>
      </c>
      <c r="BY565">
        <v>1.81</v>
      </c>
      <c r="BZ565">
        <v>-3.4</v>
      </c>
      <c r="CA565">
        <v>2.65</v>
      </c>
      <c r="CB565">
        <v>2.4900000000000002</v>
      </c>
      <c r="CC565">
        <v>1.77</v>
      </c>
      <c r="CD565">
        <v>-0.11</v>
      </c>
      <c r="CE565">
        <v>1.35</v>
      </c>
      <c r="CF565">
        <v>1.48</v>
      </c>
      <c r="CG565">
        <v>0</v>
      </c>
      <c r="CH565">
        <v>3.41</v>
      </c>
      <c r="CI565">
        <v>0</v>
      </c>
      <c r="CJ565">
        <v>-1.7</v>
      </c>
      <c r="CK565">
        <v>47</v>
      </c>
      <c r="CL565">
        <v>-1.53</v>
      </c>
      <c r="CM565">
        <v>45</v>
      </c>
      <c r="CN565">
        <v>-1.04</v>
      </c>
      <c r="CO565">
        <v>44</v>
      </c>
      <c r="CP565">
        <v>5.5</v>
      </c>
      <c r="CQ565">
        <v>41</v>
      </c>
      <c r="CR565">
        <v>0</v>
      </c>
      <c r="CS565">
        <v>0</v>
      </c>
      <c r="CT565">
        <v>20.2</v>
      </c>
      <c r="CU565">
        <v>38</v>
      </c>
      <c r="CV565">
        <v>0.18</v>
      </c>
      <c r="CW565">
        <v>34</v>
      </c>
      <c r="CX565" t="s">
        <v>465</v>
      </c>
    </row>
    <row r="566" spans="1:102" x14ac:dyDescent="0.3">
      <c r="A566" t="str">
        <f>HYPERLINK("https://webapp.icbf.com/v2/app/bull-search/view/862479285","PZS")</f>
        <v>PZS</v>
      </c>
      <c r="B566" t="s">
        <v>13156</v>
      </c>
      <c r="C566" t="s">
        <v>439</v>
      </c>
      <c r="D566" s="1">
        <v>40589</v>
      </c>
      <c r="E566" t="s">
        <v>92</v>
      </c>
      <c r="F566">
        <v>66</v>
      </c>
      <c r="G566" t="s">
        <v>93</v>
      </c>
      <c r="H566">
        <v>177.91</v>
      </c>
      <c r="I566">
        <v>96</v>
      </c>
      <c r="J566">
        <v>49.51</v>
      </c>
      <c r="K566">
        <v>99</v>
      </c>
      <c r="L566">
        <v>84.12</v>
      </c>
      <c r="M566">
        <v>92</v>
      </c>
      <c r="N566">
        <v>34.99</v>
      </c>
      <c r="O566">
        <v>98</v>
      </c>
      <c r="P566">
        <v>-17.18</v>
      </c>
      <c r="Q566">
        <v>99</v>
      </c>
      <c r="R566">
        <v>-0.28999999999999998</v>
      </c>
      <c r="S566">
        <v>92</v>
      </c>
      <c r="T566">
        <v>17.670000000000002</v>
      </c>
      <c r="U566">
        <v>98</v>
      </c>
      <c r="V566">
        <v>9.09</v>
      </c>
      <c r="W566">
        <v>83</v>
      </c>
      <c r="X566" t="s">
        <v>102</v>
      </c>
      <c r="Y566" t="s">
        <v>1860</v>
      </c>
      <c r="Z566" t="s">
        <v>96</v>
      </c>
      <c r="AA566" t="s">
        <v>1942</v>
      </c>
      <c r="AB566" t="s">
        <v>13157</v>
      </c>
      <c r="AC566">
        <v>1089</v>
      </c>
      <c r="AD566">
        <v>417</v>
      </c>
      <c r="AE566">
        <v>99</v>
      </c>
      <c r="AF566">
        <v>14.61</v>
      </c>
      <c r="AG566">
        <v>10.130000000000001</v>
      </c>
      <c r="AH566">
        <v>5.0599999999999996</v>
      </c>
      <c r="AI566">
        <v>0.17</v>
      </c>
      <c r="AJ566">
        <v>0.08</v>
      </c>
      <c r="AK566">
        <v>92</v>
      </c>
      <c r="AL566">
        <v>1549</v>
      </c>
      <c r="AM566">
        <v>587</v>
      </c>
      <c r="AN566">
        <v>-3.7</v>
      </c>
      <c r="AO566">
        <v>3.02</v>
      </c>
      <c r="AP566">
        <v>2764</v>
      </c>
      <c r="AQ566">
        <v>26</v>
      </c>
      <c r="AR566">
        <v>6.88</v>
      </c>
      <c r="AS566">
        <v>96</v>
      </c>
      <c r="AT566">
        <v>2.4500000000000002</v>
      </c>
      <c r="AU566">
        <v>99</v>
      </c>
      <c r="AV566">
        <v>-3.36</v>
      </c>
      <c r="AW566">
        <v>99</v>
      </c>
      <c r="AX566">
        <v>0.46</v>
      </c>
      <c r="AY566">
        <v>98</v>
      </c>
      <c r="AZ566">
        <v>6.41</v>
      </c>
      <c r="BA566">
        <v>94</v>
      </c>
      <c r="BB566">
        <v>4.55</v>
      </c>
      <c r="BC566">
        <v>93</v>
      </c>
      <c r="BD566">
        <v>-0.02</v>
      </c>
      <c r="BE566">
        <v>0</v>
      </c>
      <c r="BF566">
        <v>0.04</v>
      </c>
      <c r="BG566">
        <v>98</v>
      </c>
      <c r="BH566">
        <v>0.13</v>
      </c>
      <c r="BI566">
        <v>-14.3</v>
      </c>
      <c r="BJ566">
        <v>28</v>
      </c>
      <c r="BK566">
        <v>17</v>
      </c>
      <c r="BL566">
        <v>-1.65</v>
      </c>
      <c r="BM566">
        <v>-0.7</v>
      </c>
      <c r="BN566">
        <v>-2.4900000000000002</v>
      </c>
      <c r="BO566">
        <v>-1.66</v>
      </c>
      <c r="BP566">
        <v>2.5299999999999998</v>
      </c>
      <c r="BQ566">
        <v>-1.32</v>
      </c>
      <c r="BR566">
        <v>0.06</v>
      </c>
      <c r="BS566">
        <v>-0.99</v>
      </c>
      <c r="BT566">
        <v>-1.07</v>
      </c>
      <c r="BU566">
        <v>0.24</v>
      </c>
      <c r="BV566">
        <v>-0.51</v>
      </c>
      <c r="BW566">
        <v>-0.3</v>
      </c>
      <c r="BX566">
        <v>0.71</v>
      </c>
      <c r="BY566">
        <v>0.13</v>
      </c>
      <c r="BZ566">
        <v>0.32</v>
      </c>
      <c r="CA566">
        <v>-1.1000000000000001</v>
      </c>
      <c r="CB566">
        <v>-0.96</v>
      </c>
      <c r="CC566">
        <v>-1.36</v>
      </c>
      <c r="CD566">
        <v>0.71</v>
      </c>
      <c r="CE566">
        <v>-0.81</v>
      </c>
      <c r="CF566">
        <v>-1.44</v>
      </c>
      <c r="CG566">
        <v>0</v>
      </c>
      <c r="CH566">
        <v>-0.05</v>
      </c>
      <c r="CI566">
        <v>0</v>
      </c>
      <c r="CJ566">
        <v>-9.6</v>
      </c>
      <c r="CK566">
        <v>99</v>
      </c>
      <c r="CL566">
        <v>-0.66</v>
      </c>
      <c r="CM566">
        <v>99</v>
      </c>
      <c r="CN566">
        <v>-0.35</v>
      </c>
      <c r="CO566">
        <v>99</v>
      </c>
      <c r="CP566">
        <v>-8.1</v>
      </c>
      <c r="CQ566">
        <v>97</v>
      </c>
      <c r="CR566">
        <v>0</v>
      </c>
      <c r="CS566">
        <v>0</v>
      </c>
      <c r="CT566">
        <v>-10.1</v>
      </c>
      <c r="CU566">
        <v>98</v>
      </c>
      <c r="CV566">
        <v>-0.02</v>
      </c>
      <c r="CW566">
        <v>48</v>
      </c>
      <c r="CX566" t="s">
        <v>4059</v>
      </c>
    </row>
    <row r="567" spans="1:102" x14ac:dyDescent="0.3">
      <c r="A567" t="str">
        <f>HYPERLINK("https://webapp.icbf.com/v2/app/bull-search/view/142922319","ULK")</f>
        <v>ULK</v>
      </c>
      <c r="B567" t="s">
        <v>2609</v>
      </c>
      <c r="C567" t="s">
        <v>425</v>
      </c>
      <c r="D567" s="1">
        <v>35318</v>
      </c>
      <c r="E567" t="s">
        <v>395</v>
      </c>
      <c r="F567">
        <v>0</v>
      </c>
      <c r="G567" t="s">
        <v>93</v>
      </c>
      <c r="H567">
        <v>177.84</v>
      </c>
      <c r="I567">
        <v>95</v>
      </c>
      <c r="J567">
        <v>-14.74</v>
      </c>
      <c r="K567">
        <v>99</v>
      </c>
      <c r="L567">
        <v>126.31</v>
      </c>
      <c r="M567">
        <v>91</v>
      </c>
      <c r="N567">
        <v>33.130000000000003</v>
      </c>
      <c r="O567">
        <v>96</v>
      </c>
      <c r="P567">
        <v>-2.79</v>
      </c>
      <c r="Q567">
        <v>98</v>
      </c>
      <c r="R567">
        <v>20.05</v>
      </c>
      <c r="S567">
        <v>91</v>
      </c>
      <c r="T567">
        <v>14.71</v>
      </c>
      <c r="U567">
        <v>98</v>
      </c>
      <c r="V567">
        <v>1.17</v>
      </c>
      <c r="W567">
        <v>93</v>
      </c>
      <c r="X567" t="s">
        <v>94</v>
      </c>
      <c r="Y567" t="s">
        <v>95</v>
      </c>
      <c r="Z567">
        <v>0</v>
      </c>
      <c r="AA567" t="s">
        <v>2610</v>
      </c>
      <c r="AB567" t="s">
        <v>2611</v>
      </c>
      <c r="AC567">
        <v>381</v>
      </c>
      <c r="AD567">
        <v>141</v>
      </c>
      <c r="AE567">
        <v>99</v>
      </c>
      <c r="AF567">
        <v>-57.49</v>
      </c>
      <c r="AG567">
        <v>-7.23</v>
      </c>
      <c r="AH567">
        <v>-0.83</v>
      </c>
      <c r="AI567">
        <v>-0.08</v>
      </c>
      <c r="AJ567">
        <v>0.02</v>
      </c>
      <c r="AK567">
        <v>91</v>
      </c>
      <c r="AL567">
        <v>409</v>
      </c>
      <c r="AM567">
        <v>154</v>
      </c>
      <c r="AN567">
        <v>-5.54</v>
      </c>
      <c r="AO567">
        <v>4.55</v>
      </c>
      <c r="AP567">
        <v>557</v>
      </c>
      <c r="AQ567">
        <v>0</v>
      </c>
      <c r="AR567">
        <v>5.71</v>
      </c>
      <c r="AS567">
        <v>93</v>
      </c>
      <c r="AT567">
        <v>2.4500000000000002</v>
      </c>
      <c r="AU567">
        <v>96</v>
      </c>
      <c r="AV567">
        <v>-2.7</v>
      </c>
      <c r="AW567">
        <v>99</v>
      </c>
      <c r="AX567">
        <v>0.3</v>
      </c>
      <c r="AY567">
        <v>94</v>
      </c>
      <c r="AZ567">
        <v>5.94</v>
      </c>
      <c r="BA567">
        <v>87</v>
      </c>
      <c r="BB567">
        <v>4.62</v>
      </c>
      <c r="BC567">
        <v>90</v>
      </c>
      <c r="BD567">
        <v>-0.09</v>
      </c>
      <c r="BE567">
        <v>-0.09</v>
      </c>
      <c r="BF567">
        <v>-0.14000000000000001</v>
      </c>
      <c r="BG567">
        <v>96</v>
      </c>
      <c r="BH567">
        <v>-0.06</v>
      </c>
      <c r="BI567">
        <v>-10.73</v>
      </c>
      <c r="BJ567">
        <v>52</v>
      </c>
      <c r="BK567">
        <v>27</v>
      </c>
      <c r="BL567">
        <v>-2.41</v>
      </c>
      <c r="BM567">
        <v>1.46</v>
      </c>
      <c r="BN567">
        <v>-2.44</v>
      </c>
      <c r="BO567">
        <v>-2.36</v>
      </c>
      <c r="BP567">
        <v>1.68</v>
      </c>
      <c r="BQ567">
        <v>-0.59</v>
      </c>
      <c r="BR567">
        <v>2.17</v>
      </c>
      <c r="BS567">
        <v>-1.33</v>
      </c>
      <c r="BT567">
        <v>-2.44</v>
      </c>
      <c r="BU567">
        <v>-2.0299999999999998</v>
      </c>
      <c r="BV567">
        <v>-3.34</v>
      </c>
      <c r="BW567">
        <v>-2.59</v>
      </c>
      <c r="BX567">
        <v>-1.05</v>
      </c>
      <c r="BY567">
        <v>-1.43</v>
      </c>
      <c r="BZ567">
        <v>0.19</v>
      </c>
      <c r="CA567">
        <v>-3.07</v>
      </c>
      <c r="CB567">
        <v>-3.07</v>
      </c>
      <c r="CC567">
        <v>-1.89</v>
      </c>
      <c r="CD567">
        <v>1.1499999999999999</v>
      </c>
      <c r="CE567">
        <v>-2.2799999999999998</v>
      </c>
      <c r="CF567">
        <v>-2.54</v>
      </c>
      <c r="CG567">
        <v>0</v>
      </c>
      <c r="CH567">
        <v>-3.92</v>
      </c>
      <c r="CI567">
        <v>0</v>
      </c>
      <c r="CJ567">
        <v>-0.8</v>
      </c>
      <c r="CK567">
        <v>98</v>
      </c>
      <c r="CL567">
        <v>-0.12</v>
      </c>
      <c r="CM567">
        <v>98</v>
      </c>
      <c r="CN567">
        <v>-0.06</v>
      </c>
      <c r="CO567">
        <v>98</v>
      </c>
      <c r="CP567">
        <v>-7.7</v>
      </c>
      <c r="CQ567">
        <v>97</v>
      </c>
      <c r="CR567">
        <v>0</v>
      </c>
      <c r="CS567">
        <v>0</v>
      </c>
      <c r="CT567">
        <v>-6.1</v>
      </c>
      <c r="CU567">
        <v>98</v>
      </c>
      <c r="CV567">
        <v>-0.06</v>
      </c>
      <c r="CW567">
        <v>29</v>
      </c>
      <c r="CX567" t="s">
        <v>2612</v>
      </c>
    </row>
    <row r="568" spans="1:102" x14ac:dyDescent="0.3">
      <c r="A568" t="str">
        <f>HYPERLINK("https://webapp.icbf.com/v2/app/bull-search/view/862141605","PBM")</f>
        <v>PBM</v>
      </c>
      <c r="B568" t="s">
        <v>1941</v>
      </c>
      <c r="C568" t="s">
        <v>390</v>
      </c>
      <c r="D568" s="1">
        <v>40588</v>
      </c>
      <c r="E568" t="s">
        <v>92</v>
      </c>
      <c r="F568">
        <v>53</v>
      </c>
      <c r="G568" t="s">
        <v>93</v>
      </c>
      <c r="H568">
        <v>177.74</v>
      </c>
      <c r="I568">
        <v>98</v>
      </c>
      <c r="J568">
        <v>128.97999999999999</v>
      </c>
      <c r="K568">
        <v>99</v>
      </c>
      <c r="L568">
        <v>16.63</v>
      </c>
      <c r="M568">
        <v>98</v>
      </c>
      <c r="N568">
        <v>27.03</v>
      </c>
      <c r="O568">
        <v>99</v>
      </c>
      <c r="P568">
        <v>-13.1</v>
      </c>
      <c r="Q568">
        <v>99</v>
      </c>
      <c r="R568">
        <v>3.77</v>
      </c>
      <c r="S568">
        <v>99</v>
      </c>
      <c r="T568">
        <v>11.61</v>
      </c>
      <c r="U568">
        <v>99</v>
      </c>
      <c r="V568">
        <v>2.82</v>
      </c>
      <c r="W568">
        <v>90</v>
      </c>
      <c r="X568" t="s">
        <v>94</v>
      </c>
      <c r="Y568" t="s">
        <v>1775</v>
      </c>
      <c r="Z568" t="s">
        <v>96</v>
      </c>
      <c r="AA568" t="s">
        <v>1942</v>
      </c>
      <c r="AB568" t="s">
        <v>1943</v>
      </c>
      <c r="AC568">
        <v>19820</v>
      </c>
      <c r="AD568">
        <v>3856</v>
      </c>
      <c r="AE568">
        <v>99</v>
      </c>
      <c r="AF568">
        <v>285.54000000000002</v>
      </c>
      <c r="AG568">
        <v>20.51</v>
      </c>
      <c r="AH568">
        <v>19.05</v>
      </c>
      <c r="AI568">
        <v>0.16</v>
      </c>
      <c r="AJ568">
        <v>0.16</v>
      </c>
      <c r="AK568">
        <v>98</v>
      </c>
      <c r="AL568">
        <v>22869</v>
      </c>
      <c r="AM568">
        <v>5532</v>
      </c>
      <c r="AN568">
        <v>-0.59</v>
      </c>
      <c r="AO568">
        <v>0.74</v>
      </c>
      <c r="AP568">
        <v>46618</v>
      </c>
      <c r="AQ568">
        <v>278</v>
      </c>
      <c r="AR568">
        <v>6.47</v>
      </c>
      <c r="AS568">
        <v>99</v>
      </c>
      <c r="AT568">
        <v>2.29</v>
      </c>
      <c r="AU568">
        <v>99</v>
      </c>
      <c r="AV568">
        <v>-2.4900000000000002</v>
      </c>
      <c r="AW568">
        <v>99</v>
      </c>
      <c r="AX568">
        <v>0.26</v>
      </c>
      <c r="AY568">
        <v>99</v>
      </c>
      <c r="AZ568">
        <v>6.38</v>
      </c>
      <c r="BA568">
        <v>99</v>
      </c>
      <c r="BB568">
        <v>5.32</v>
      </c>
      <c r="BC568">
        <v>99</v>
      </c>
      <c r="BD568">
        <v>-0.01</v>
      </c>
      <c r="BE568">
        <v>0</v>
      </c>
      <c r="BF568">
        <v>-7.0000000000000007E-2</v>
      </c>
      <c r="BG568">
        <v>99</v>
      </c>
      <c r="BH568">
        <v>0.1</v>
      </c>
      <c r="BI568">
        <v>2.4700000000000002</v>
      </c>
      <c r="BJ568">
        <v>459</v>
      </c>
      <c r="BK568">
        <v>155</v>
      </c>
      <c r="BL568">
        <v>-1.82</v>
      </c>
      <c r="BM568">
        <v>0.04</v>
      </c>
      <c r="BN568">
        <v>-1.39</v>
      </c>
      <c r="BO568">
        <v>-1.1200000000000001</v>
      </c>
      <c r="BP568">
        <v>1.96</v>
      </c>
      <c r="BQ568">
        <v>-2.1800000000000002</v>
      </c>
      <c r="BR568">
        <v>-1.17</v>
      </c>
      <c r="BS568">
        <v>0.21</v>
      </c>
      <c r="BT568">
        <v>0.93</v>
      </c>
      <c r="BU568">
        <v>-4.22</v>
      </c>
      <c r="BV568">
        <v>-3.25</v>
      </c>
      <c r="BW568">
        <v>-3.63</v>
      </c>
      <c r="BX568">
        <v>-3.43</v>
      </c>
      <c r="BY568">
        <v>-3.43</v>
      </c>
      <c r="BZ568">
        <v>-0.31</v>
      </c>
      <c r="CA568">
        <v>-2.46</v>
      </c>
      <c r="CB568">
        <v>-2.98</v>
      </c>
      <c r="CC568">
        <v>-0.28999999999999998</v>
      </c>
      <c r="CD568">
        <v>0.27</v>
      </c>
      <c r="CE568">
        <v>-0.82</v>
      </c>
      <c r="CF568">
        <v>-1.39</v>
      </c>
      <c r="CG568">
        <v>0</v>
      </c>
      <c r="CH568">
        <v>-3.39</v>
      </c>
      <c r="CI568">
        <v>0</v>
      </c>
      <c r="CJ568">
        <v>-5.4</v>
      </c>
      <c r="CK568">
        <v>99</v>
      </c>
      <c r="CL568">
        <v>-0.36</v>
      </c>
      <c r="CM568">
        <v>99</v>
      </c>
      <c r="CN568">
        <v>0.05</v>
      </c>
      <c r="CO568">
        <v>99</v>
      </c>
      <c r="CP568">
        <v>-9</v>
      </c>
      <c r="CQ568">
        <v>99</v>
      </c>
      <c r="CR568">
        <v>0</v>
      </c>
      <c r="CS568">
        <v>0</v>
      </c>
      <c r="CT568">
        <v>-1.9</v>
      </c>
      <c r="CU568">
        <v>99</v>
      </c>
      <c r="CV568">
        <v>0.1</v>
      </c>
      <c r="CW568">
        <v>51</v>
      </c>
      <c r="CX568" t="s">
        <v>792</v>
      </c>
    </row>
    <row r="569" spans="1:102" x14ac:dyDescent="0.3">
      <c r="A569" t="str">
        <f>HYPERLINK("https://webapp.icbf.com/v2/app/bull-search/view/910797460","MY4387")</f>
        <v>MY4387</v>
      </c>
      <c r="B569" t="s">
        <v>6248</v>
      </c>
      <c r="C569" t="s">
        <v>6249</v>
      </c>
      <c r="D569" s="1">
        <v>40272</v>
      </c>
      <c r="E569" t="s">
        <v>146</v>
      </c>
      <c r="F569">
        <v>0</v>
      </c>
      <c r="G569" t="s">
        <v>109</v>
      </c>
      <c r="H569">
        <v>177.69</v>
      </c>
      <c r="I569">
        <v>61</v>
      </c>
      <c r="J569">
        <v>35</v>
      </c>
      <c r="K569">
        <v>74</v>
      </c>
      <c r="L569">
        <v>74.08</v>
      </c>
      <c r="M569">
        <v>59</v>
      </c>
      <c r="N569">
        <v>47</v>
      </c>
      <c r="O569">
        <v>73</v>
      </c>
      <c r="P569">
        <v>3.5</v>
      </c>
      <c r="Q569">
        <v>45</v>
      </c>
      <c r="R569">
        <v>4.84</v>
      </c>
      <c r="S569">
        <v>49</v>
      </c>
      <c r="T569">
        <v>18.190000000000001</v>
      </c>
      <c r="U569">
        <v>42</v>
      </c>
      <c r="V569">
        <v>-4.92</v>
      </c>
      <c r="W569">
        <v>15</v>
      </c>
      <c r="X569" t="s">
        <v>102</v>
      </c>
      <c r="Y569" t="s">
        <v>1923</v>
      </c>
      <c r="Z569">
        <v>0</v>
      </c>
      <c r="AA569" t="s">
        <v>5819</v>
      </c>
      <c r="AB569" t="s">
        <v>6250</v>
      </c>
      <c r="AC569">
        <v>0</v>
      </c>
      <c r="AD569">
        <v>0</v>
      </c>
      <c r="AE569">
        <v>74</v>
      </c>
      <c r="AF569">
        <v>-83.77</v>
      </c>
      <c r="AG569">
        <v>2.4300000000000002</v>
      </c>
      <c r="AH569">
        <v>3.81</v>
      </c>
      <c r="AI569">
        <v>0.1</v>
      </c>
      <c r="AJ569">
        <v>0.11</v>
      </c>
      <c r="AK569">
        <v>59</v>
      </c>
      <c r="AL569">
        <v>0</v>
      </c>
      <c r="AM569">
        <v>0</v>
      </c>
      <c r="AN569">
        <v>-3.85</v>
      </c>
      <c r="AO569">
        <v>2.06</v>
      </c>
      <c r="AP569">
        <v>108</v>
      </c>
      <c r="AQ569">
        <v>1</v>
      </c>
      <c r="AR569">
        <v>5.05</v>
      </c>
      <c r="AS569">
        <v>58</v>
      </c>
      <c r="AT569">
        <v>2.35</v>
      </c>
      <c r="AU569">
        <v>78</v>
      </c>
      <c r="AV569">
        <v>-3.83</v>
      </c>
      <c r="AW569">
        <v>92</v>
      </c>
      <c r="AX569">
        <v>-0.7</v>
      </c>
      <c r="AY569">
        <v>67</v>
      </c>
      <c r="AZ569">
        <v>6.17</v>
      </c>
      <c r="BA569">
        <v>28</v>
      </c>
      <c r="BB569">
        <v>4.5</v>
      </c>
      <c r="BC569">
        <v>30</v>
      </c>
      <c r="BD569">
        <v>-0.02</v>
      </c>
      <c r="BE569">
        <v>-0.02</v>
      </c>
      <c r="BF569">
        <v>-0.04</v>
      </c>
      <c r="BG569">
        <v>78</v>
      </c>
      <c r="BH569">
        <v>-0.22</v>
      </c>
      <c r="BI569">
        <v>-9.57</v>
      </c>
      <c r="BJ569">
        <v>0</v>
      </c>
      <c r="BK569">
        <v>0</v>
      </c>
      <c r="BL569">
        <v>-1.28</v>
      </c>
      <c r="BM569">
        <v>2.4500000000000002</v>
      </c>
      <c r="BN569">
        <v>-0.28000000000000003</v>
      </c>
      <c r="BO569">
        <v>-1.49</v>
      </c>
      <c r="BP569">
        <v>2.6</v>
      </c>
      <c r="BQ569">
        <v>-0.47</v>
      </c>
      <c r="BR569">
        <v>-0.17</v>
      </c>
      <c r="BS569">
        <v>1.35</v>
      </c>
      <c r="BT569">
        <v>-0.33</v>
      </c>
      <c r="BU569">
        <v>-1.0900000000000001</v>
      </c>
      <c r="BV569">
        <v>-1.91</v>
      </c>
      <c r="BW569">
        <v>-2.25</v>
      </c>
      <c r="BX569">
        <v>-1.18</v>
      </c>
      <c r="BY569">
        <v>-1.3</v>
      </c>
      <c r="BZ569">
        <v>-0.08</v>
      </c>
      <c r="CA569">
        <v>-0.77</v>
      </c>
      <c r="CB569">
        <v>-1.2</v>
      </c>
      <c r="CC569">
        <v>0.44</v>
      </c>
      <c r="CD569">
        <v>2.13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46</v>
      </c>
      <c r="CL569">
        <v>-0.06</v>
      </c>
      <c r="CM569">
        <v>44</v>
      </c>
      <c r="CN569">
        <v>-0.21</v>
      </c>
      <c r="CO569">
        <v>44</v>
      </c>
      <c r="CP569">
        <v>-7.3</v>
      </c>
      <c r="CQ569">
        <v>43</v>
      </c>
      <c r="CR569">
        <v>0</v>
      </c>
      <c r="CS569">
        <v>0</v>
      </c>
      <c r="CT569">
        <v>-10.8</v>
      </c>
      <c r="CU569">
        <v>42</v>
      </c>
      <c r="CV569">
        <v>-0.14000000000000001</v>
      </c>
      <c r="CW569">
        <v>34</v>
      </c>
      <c r="CX569" t="s">
        <v>5781</v>
      </c>
    </row>
    <row r="570" spans="1:102" x14ac:dyDescent="0.3">
      <c r="A570" t="str">
        <f>HYPERLINK("https://webapp.icbf.com/v2/app/bull-search/view/1125370101","S3087")</f>
        <v>S3087</v>
      </c>
      <c r="B570" t="s">
        <v>14929</v>
      </c>
      <c r="C570" t="s">
        <v>14930</v>
      </c>
      <c r="D570" s="1">
        <v>39883</v>
      </c>
      <c r="E570" t="s">
        <v>395</v>
      </c>
      <c r="F570">
        <v>0</v>
      </c>
      <c r="G570" t="s">
        <v>109</v>
      </c>
      <c r="H570">
        <v>177.67</v>
      </c>
      <c r="I570">
        <v>68</v>
      </c>
      <c r="J570">
        <v>47.88</v>
      </c>
      <c r="K570">
        <v>82</v>
      </c>
      <c r="L570">
        <v>96.62</v>
      </c>
      <c r="M570">
        <v>76</v>
      </c>
      <c r="N570">
        <v>18.71</v>
      </c>
      <c r="O570">
        <v>65</v>
      </c>
      <c r="P570">
        <v>-14.86</v>
      </c>
      <c r="Q570">
        <v>46</v>
      </c>
      <c r="R570">
        <v>9.8699999999999992</v>
      </c>
      <c r="S570">
        <v>38</v>
      </c>
      <c r="T570">
        <v>25.59</v>
      </c>
      <c r="U570">
        <v>36</v>
      </c>
      <c r="V570">
        <v>-6.14</v>
      </c>
      <c r="W570">
        <v>38</v>
      </c>
      <c r="X570" t="s">
        <v>110</v>
      </c>
      <c r="Y570" t="s">
        <v>457</v>
      </c>
      <c r="Z570">
        <v>0</v>
      </c>
      <c r="AA570" t="s">
        <v>13723</v>
      </c>
      <c r="AB570" t="s">
        <v>11556</v>
      </c>
      <c r="AC570">
        <v>0</v>
      </c>
      <c r="AD570">
        <v>0</v>
      </c>
      <c r="AE570">
        <v>82</v>
      </c>
      <c r="AF570">
        <v>247.2</v>
      </c>
      <c r="AG570">
        <v>7.48</v>
      </c>
      <c r="AH570">
        <v>9.2799999999999994</v>
      </c>
      <c r="AI570">
        <v>-0.04</v>
      </c>
      <c r="AJ570">
        <v>0.02</v>
      </c>
      <c r="AK570">
        <v>76</v>
      </c>
      <c r="AL570">
        <v>0</v>
      </c>
      <c r="AM570">
        <v>0</v>
      </c>
      <c r="AN570">
        <v>-4.1399999999999997</v>
      </c>
      <c r="AO570">
        <v>3.58</v>
      </c>
      <c r="AP570">
        <v>37</v>
      </c>
      <c r="AQ570">
        <v>0</v>
      </c>
      <c r="AR570">
        <v>6.08</v>
      </c>
      <c r="AS570">
        <v>35</v>
      </c>
      <c r="AT570">
        <v>2.7</v>
      </c>
      <c r="AU570">
        <v>87</v>
      </c>
      <c r="AV570">
        <v>-1.48</v>
      </c>
      <c r="AW570">
        <v>81</v>
      </c>
      <c r="AX570">
        <v>-0.46</v>
      </c>
      <c r="AY570">
        <v>47</v>
      </c>
      <c r="AZ570">
        <v>6.59</v>
      </c>
      <c r="BA570">
        <v>22</v>
      </c>
      <c r="BB570">
        <v>5.24</v>
      </c>
      <c r="BC570">
        <v>19</v>
      </c>
      <c r="BD570">
        <v>-0.03</v>
      </c>
      <c r="BE570">
        <v>-0.03</v>
      </c>
      <c r="BF570">
        <v>-0.12</v>
      </c>
      <c r="BG570">
        <v>45</v>
      </c>
      <c r="BH570">
        <v>-0.21</v>
      </c>
      <c r="BI570">
        <v>-4.47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-3.8</v>
      </c>
      <c r="CK570">
        <v>49</v>
      </c>
      <c r="CL570">
        <v>-0.84</v>
      </c>
      <c r="CM570">
        <v>44</v>
      </c>
      <c r="CN570">
        <v>-0.17</v>
      </c>
      <c r="CO570">
        <v>42</v>
      </c>
      <c r="CP570">
        <v>-19.600000000000001</v>
      </c>
      <c r="CQ570">
        <v>37</v>
      </c>
      <c r="CR570">
        <v>0</v>
      </c>
      <c r="CS570">
        <v>0</v>
      </c>
      <c r="CT570">
        <v>-20.8</v>
      </c>
      <c r="CU570">
        <v>36</v>
      </c>
      <c r="CV570">
        <v>0.09</v>
      </c>
      <c r="CW570">
        <v>35</v>
      </c>
      <c r="CX570" t="s">
        <v>1988</v>
      </c>
    </row>
    <row r="571" spans="1:102" x14ac:dyDescent="0.3">
      <c r="A571" t="str">
        <f>HYPERLINK("https://webapp.icbf.com/v2/app/bull-search/view/487001883","HZS")</f>
        <v>HZS</v>
      </c>
      <c r="B571" t="s">
        <v>4800</v>
      </c>
      <c r="C571" t="s">
        <v>2150</v>
      </c>
      <c r="D571" s="1">
        <v>38578</v>
      </c>
      <c r="E571" t="s">
        <v>92</v>
      </c>
      <c r="F571">
        <v>50</v>
      </c>
      <c r="G571" t="s">
        <v>93</v>
      </c>
      <c r="H571">
        <v>177.62</v>
      </c>
      <c r="I571">
        <v>98</v>
      </c>
      <c r="J571">
        <v>77.56</v>
      </c>
      <c r="K571">
        <v>99</v>
      </c>
      <c r="L571">
        <v>52.95</v>
      </c>
      <c r="M571">
        <v>97</v>
      </c>
      <c r="N571">
        <v>38.68</v>
      </c>
      <c r="O571">
        <v>99</v>
      </c>
      <c r="P571">
        <v>-13.73</v>
      </c>
      <c r="Q571">
        <v>99</v>
      </c>
      <c r="R571">
        <v>-3.67</v>
      </c>
      <c r="S571">
        <v>97</v>
      </c>
      <c r="T571">
        <v>18.93</v>
      </c>
      <c r="U571">
        <v>99</v>
      </c>
      <c r="V571">
        <v>6.9</v>
      </c>
      <c r="W571">
        <v>98</v>
      </c>
      <c r="X571" t="s">
        <v>276</v>
      </c>
      <c r="Y571" t="s">
        <v>435</v>
      </c>
      <c r="Z571" t="s">
        <v>330</v>
      </c>
      <c r="AA571" t="s">
        <v>4801</v>
      </c>
      <c r="AB571" t="s">
        <v>4802</v>
      </c>
      <c r="AC571">
        <v>4769</v>
      </c>
      <c r="AD571">
        <v>1069</v>
      </c>
      <c r="AE571">
        <v>99</v>
      </c>
      <c r="AF571">
        <v>29.9</v>
      </c>
      <c r="AG571">
        <v>10.65</v>
      </c>
      <c r="AH571">
        <v>9.8800000000000008</v>
      </c>
      <c r="AI571">
        <v>0.16</v>
      </c>
      <c r="AJ571">
        <v>0.15</v>
      </c>
      <c r="AK571">
        <v>97</v>
      </c>
      <c r="AL571">
        <v>5697</v>
      </c>
      <c r="AM571">
        <v>1300</v>
      </c>
      <c r="AN571">
        <v>-2.33</v>
      </c>
      <c r="AO571">
        <v>1.9</v>
      </c>
      <c r="AP571">
        <v>8435</v>
      </c>
      <c r="AQ571">
        <v>40</v>
      </c>
      <c r="AR571">
        <v>5.45</v>
      </c>
      <c r="AS571">
        <v>99</v>
      </c>
      <c r="AT571">
        <v>2.04</v>
      </c>
      <c r="AU571">
        <v>99</v>
      </c>
      <c r="AV571">
        <v>-2.84</v>
      </c>
      <c r="AW571">
        <v>99</v>
      </c>
      <c r="AX571">
        <v>-0.32</v>
      </c>
      <c r="AY571">
        <v>99</v>
      </c>
      <c r="AZ571">
        <v>5.96</v>
      </c>
      <c r="BA571">
        <v>98</v>
      </c>
      <c r="BB571">
        <v>4.7300000000000004</v>
      </c>
      <c r="BC571">
        <v>98</v>
      </c>
      <c r="BD571">
        <v>-0.04</v>
      </c>
      <c r="BE571">
        <v>-0.01</v>
      </c>
      <c r="BF571">
        <v>0.17</v>
      </c>
      <c r="BG571">
        <v>99</v>
      </c>
      <c r="BH571">
        <v>0.04</v>
      </c>
      <c r="BI571">
        <v>-17.62</v>
      </c>
      <c r="BJ571">
        <v>45</v>
      </c>
      <c r="BK571">
        <v>25</v>
      </c>
      <c r="BL571">
        <v>-1.66</v>
      </c>
      <c r="BM571">
        <v>-0.54</v>
      </c>
      <c r="BN571">
        <v>-1.3</v>
      </c>
      <c r="BO571">
        <v>-0.31</v>
      </c>
      <c r="BP571">
        <v>-0.28999999999999998</v>
      </c>
      <c r="BQ571">
        <v>-0.34</v>
      </c>
      <c r="BR571">
        <v>2.39</v>
      </c>
      <c r="BS571">
        <v>0.19</v>
      </c>
      <c r="BT571">
        <v>-2.66</v>
      </c>
      <c r="BU571">
        <v>0.1</v>
      </c>
      <c r="BV571">
        <v>-0.62</v>
      </c>
      <c r="BW571">
        <v>-0.99</v>
      </c>
      <c r="BX571">
        <v>-0.79</v>
      </c>
      <c r="BY571">
        <v>-2.0699999999999998</v>
      </c>
      <c r="BZ571">
        <v>-1.0900000000000001</v>
      </c>
      <c r="CA571">
        <v>-0.53</v>
      </c>
      <c r="CB571">
        <v>-0.62</v>
      </c>
      <c r="CC571">
        <v>0.22</v>
      </c>
      <c r="CD571">
        <v>-0.43</v>
      </c>
      <c r="CE571">
        <v>-0.77</v>
      </c>
      <c r="CF571">
        <v>-1.57</v>
      </c>
      <c r="CG571">
        <v>0</v>
      </c>
      <c r="CH571">
        <v>-2.2599999999999998</v>
      </c>
      <c r="CI571">
        <v>0</v>
      </c>
      <c r="CJ571">
        <v>-6</v>
      </c>
      <c r="CK571">
        <v>99</v>
      </c>
      <c r="CL571">
        <v>-0.55000000000000004</v>
      </c>
      <c r="CM571">
        <v>99</v>
      </c>
      <c r="CN571">
        <v>-0.16</v>
      </c>
      <c r="CO571">
        <v>99</v>
      </c>
      <c r="CP571">
        <v>-11</v>
      </c>
      <c r="CQ571">
        <v>99</v>
      </c>
      <c r="CR571">
        <v>0</v>
      </c>
      <c r="CS571">
        <v>0</v>
      </c>
      <c r="CT571">
        <v>-11.8</v>
      </c>
      <c r="CU571">
        <v>99</v>
      </c>
      <c r="CV571">
        <v>0.11</v>
      </c>
      <c r="CW571">
        <v>48</v>
      </c>
      <c r="CX571" t="s">
        <v>1436</v>
      </c>
    </row>
    <row r="572" spans="1:102" x14ac:dyDescent="0.3">
      <c r="A572" t="str">
        <f>HYPERLINK("https://webapp.icbf.com/v2/app/bull-search/view/1361575544","FR4219")</f>
        <v>FR4219</v>
      </c>
      <c r="B572" t="s">
        <v>13754</v>
      </c>
      <c r="C572" t="s">
        <v>13755</v>
      </c>
      <c r="D572" s="1">
        <v>41994</v>
      </c>
      <c r="E572" t="s">
        <v>92</v>
      </c>
      <c r="F572">
        <v>100</v>
      </c>
      <c r="G572" t="s">
        <v>109</v>
      </c>
      <c r="H572">
        <v>177.52</v>
      </c>
      <c r="I572">
        <v>74</v>
      </c>
      <c r="J572">
        <v>77.03</v>
      </c>
      <c r="K572">
        <v>91</v>
      </c>
      <c r="L572">
        <v>50.64</v>
      </c>
      <c r="M572">
        <v>78</v>
      </c>
      <c r="N572">
        <v>40.369999999999997</v>
      </c>
      <c r="O572">
        <v>74</v>
      </c>
      <c r="P572">
        <v>-10.46</v>
      </c>
      <c r="Q572">
        <v>40</v>
      </c>
      <c r="R572">
        <v>19.47</v>
      </c>
      <c r="S572">
        <v>71</v>
      </c>
      <c r="T572">
        <v>-3.64</v>
      </c>
      <c r="U572">
        <v>36</v>
      </c>
      <c r="V572">
        <v>4.1100000000000003</v>
      </c>
      <c r="W572">
        <v>55</v>
      </c>
      <c r="X572" t="s">
        <v>428</v>
      </c>
      <c r="Y572" t="s">
        <v>2261</v>
      </c>
      <c r="Z572" t="s">
        <v>96</v>
      </c>
      <c r="AA572" t="s">
        <v>2298</v>
      </c>
      <c r="AB572" t="s">
        <v>2190</v>
      </c>
      <c r="AC572">
        <v>0</v>
      </c>
      <c r="AD572">
        <v>0</v>
      </c>
      <c r="AE572">
        <v>91</v>
      </c>
      <c r="AF572">
        <v>558.70000000000005</v>
      </c>
      <c r="AG572">
        <v>20.22</v>
      </c>
      <c r="AH572">
        <v>14.5</v>
      </c>
      <c r="AI572">
        <v>-0.03</v>
      </c>
      <c r="AJ572">
        <v>-7.0000000000000007E-2</v>
      </c>
      <c r="AK572">
        <v>78</v>
      </c>
      <c r="AL572">
        <v>0</v>
      </c>
      <c r="AM572">
        <v>0</v>
      </c>
      <c r="AN572">
        <v>-2.66</v>
      </c>
      <c r="AO572">
        <v>1.38</v>
      </c>
      <c r="AP572">
        <v>56</v>
      </c>
      <c r="AQ572">
        <v>0</v>
      </c>
      <c r="AR572">
        <v>6.04</v>
      </c>
      <c r="AS572">
        <v>70</v>
      </c>
      <c r="AT572">
        <v>2.7</v>
      </c>
      <c r="AU572">
        <v>90</v>
      </c>
      <c r="AV572">
        <v>-3.63</v>
      </c>
      <c r="AW572">
        <v>82</v>
      </c>
      <c r="AX572">
        <v>-0.84</v>
      </c>
      <c r="AY572">
        <v>67</v>
      </c>
      <c r="AZ572">
        <v>5.58</v>
      </c>
      <c r="BA572">
        <v>41</v>
      </c>
      <c r="BB572">
        <v>4.83</v>
      </c>
      <c r="BC572">
        <v>36</v>
      </c>
      <c r="BD572">
        <v>-0.04</v>
      </c>
      <c r="BE572">
        <v>-0.09</v>
      </c>
      <c r="BF572">
        <v>-0.21</v>
      </c>
      <c r="BG572">
        <v>88</v>
      </c>
      <c r="BH572">
        <v>0.02</v>
      </c>
      <c r="BI572">
        <v>-10.96</v>
      </c>
      <c r="BJ572">
        <v>0</v>
      </c>
      <c r="BK572">
        <v>0</v>
      </c>
      <c r="BL572">
        <v>1.04</v>
      </c>
      <c r="BM572">
        <v>-0.98</v>
      </c>
      <c r="BN572">
        <v>-0.76</v>
      </c>
      <c r="BO572">
        <v>0.37</v>
      </c>
      <c r="BP572">
        <v>1.1599999999999999</v>
      </c>
      <c r="BQ572">
        <v>-0.38</v>
      </c>
      <c r="BR572">
        <v>-4.9400000000000004</v>
      </c>
      <c r="BS572">
        <v>1.1000000000000001</v>
      </c>
      <c r="BT572">
        <v>3.85</v>
      </c>
      <c r="BU572">
        <v>3</v>
      </c>
      <c r="BV572">
        <v>3.61</v>
      </c>
      <c r="BW572">
        <v>3.18</v>
      </c>
      <c r="BX572">
        <v>2.34</v>
      </c>
      <c r="BY572">
        <v>2.37</v>
      </c>
      <c r="BZ572">
        <v>-2.11</v>
      </c>
      <c r="CA572">
        <v>2.75</v>
      </c>
      <c r="CB572">
        <v>2.73</v>
      </c>
      <c r="CC572">
        <v>1.01</v>
      </c>
      <c r="CD572">
        <v>0.16</v>
      </c>
      <c r="CE572">
        <v>1.1299999999999999</v>
      </c>
      <c r="CF572">
        <v>0.95</v>
      </c>
      <c r="CG572">
        <v>0</v>
      </c>
      <c r="CH572">
        <v>2.79</v>
      </c>
      <c r="CI572">
        <v>0</v>
      </c>
      <c r="CJ572">
        <v>-3.4</v>
      </c>
      <c r="CK572">
        <v>41</v>
      </c>
      <c r="CL572">
        <v>-1.55</v>
      </c>
      <c r="CM572">
        <v>39</v>
      </c>
      <c r="CN572">
        <v>-0.85</v>
      </c>
      <c r="CO572">
        <v>39</v>
      </c>
      <c r="CP572">
        <v>1.8</v>
      </c>
      <c r="CQ572">
        <v>37</v>
      </c>
      <c r="CR572">
        <v>0</v>
      </c>
      <c r="CS572">
        <v>0</v>
      </c>
      <c r="CT572">
        <v>18.7</v>
      </c>
      <c r="CU572">
        <v>36</v>
      </c>
      <c r="CV572">
        <v>0.22</v>
      </c>
      <c r="CW572">
        <v>33</v>
      </c>
      <c r="CX572" t="s">
        <v>465</v>
      </c>
    </row>
    <row r="573" spans="1:102" x14ac:dyDescent="0.3">
      <c r="A573" t="str">
        <f>HYPERLINK("https://webapp.icbf.com/v2/app/bull-search/view/674916897","LLG")</f>
        <v>LLG</v>
      </c>
      <c r="B573" t="s">
        <v>12725</v>
      </c>
      <c r="C573" t="s">
        <v>12726</v>
      </c>
      <c r="D573" s="1">
        <v>39886</v>
      </c>
      <c r="E573" t="s">
        <v>92</v>
      </c>
      <c r="F573">
        <v>81</v>
      </c>
      <c r="G573" t="s">
        <v>93</v>
      </c>
      <c r="H573">
        <v>177.29</v>
      </c>
      <c r="I573">
        <v>86</v>
      </c>
      <c r="J573">
        <v>27.65</v>
      </c>
      <c r="K573">
        <v>97</v>
      </c>
      <c r="L573">
        <v>89.45</v>
      </c>
      <c r="M573">
        <v>78</v>
      </c>
      <c r="N573">
        <v>50.98</v>
      </c>
      <c r="O573">
        <v>85</v>
      </c>
      <c r="P573">
        <v>-24.23</v>
      </c>
      <c r="Q573">
        <v>93</v>
      </c>
      <c r="R573">
        <v>0.14000000000000001</v>
      </c>
      <c r="S573">
        <v>78</v>
      </c>
      <c r="T573">
        <v>23</v>
      </c>
      <c r="U573">
        <v>79</v>
      </c>
      <c r="V573">
        <v>10.3</v>
      </c>
      <c r="W573">
        <v>75</v>
      </c>
      <c r="X573" t="s">
        <v>94</v>
      </c>
      <c r="Y573" t="s">
        <v>1727</v>
      </c>
      <c r="Z573" t="s">
        <v>96</v>
      </c>
      <c r="AA573" t="s">
        <v>1641</v>
      </c>
      <c r="AB573" t="s">
        <v>12727</v>
      </c>
      <c r="AC573">
        <v>85</v>
      </c>
      <c r="AD573">
        <v>59</v>
      </c>
      <c r="AE573">
        <v>97</v>
      </c>
      <c r="AF573">
        <v>-89.82</v>
      </c>
      <c r="AG573">
        <v>4.29</v>
      </c>
      <c r="AH573">
        <v>1.81</v>
      </c>
      <c r="AI573">
        <v>0.14000000000000001</v>
      </c>
      <c r="AJ573">
        <v>0.09</v>
      </c>
      <c r="AK573">
        <v>78</v>
      </c>
      <c r="AL573">
        <v>97</v>
      </c>
      <c r="AM573">
        <v>64</v>
      </c>
      <c r="AN573">
        <v>-3.59</v>
      </c>
      <c r="AO573">
        <v>3.56</v>
      </c>
      <c r="AP573">
        <v>199</v>
      </c>
      <c r="AQ573">
        <v>0</v>
      </c>
      <c r="AR573">
        <v>3.78</v>
      </c>
      <c r="AS573">
        <v>70</v>
      </c>
      <c r="AT573">
        <v>1.94</v>
      </c>
      <c r="AU573">
        <v>87</v>
      </c>
      <c r="AV573">
        <v>-3.76</v>
      </c>
      <c r="AW573">
        <v>96</v>
      </c>
      <c r="AX573">
        <v>0.52</v>
      </c>
      <c r="AY573">
        <v>80</v>
      </c>
      <c r="AZ573">
        <v>5.26</v>
      </c>
      <c r="BA573">
        <v>66</v>
      </c>
      <c r="BB573">
        <v>4.16</v>
      </c>
      <c r="BC573">
        <v>68</v>
      </c>
      <c r="BD573">
        <v>-0.02</v>
      </c>
      <c r="BE573">
        <v>0</v>
      </c>
      <c r="BF573">
        <v>0.03</v>
      </c>
      <c r="BG573">
        <v>88</v>
      </c>
      <c r="BH573">
        <v>0.22</v>
      </c>
      <c r="BI573">
        <v>-7.79</v>
      </c>
      <c r="BJ573">
        <v>26</v>
      </c>
      <c r="BK573">
        <v>15</v>
      </c>
      <c r="BL573">
        <v>-1.69</v>
      </c>
      <c r="BM573">
        <v>-0.73</v>
      </c>
      <c r="BN573">
        <v>-2.65</v>
      </c>
      <c r="BO573">
        <v>-1.69</v>
      </c>
      <c r="BP573">
        <v>0.9</v>
      </c>
      <c r="BQ573">
        <v>-3.86</v>
      </c>
      <c r="BR573">
        <v>1.47</v>
      </c>
      <c r="BS573">
        <v>-2.3199999999999998</v>
      </c>
      <c r="BT573">
        <v>-2.4700000000000002</v>
      </c>
      <c r="BU573">
        <v>-1.61</v>
      </c>
      <c r="BV573">
        <v>-2.38</v>
      </c>
      <c r="BW573">
        <v>-2.41</v>
      </c>
      <c r="BX573">
        <v>-1.67</v>
      </c>
      <c r="BY573">
        <v>-2.15</v>
      </c>
      <c r="BZ573">
        <v>1.44</v>
      </c>
      <c r="CA573">
        <v>-1.9</v>
      </c>
      <c r="CB573">
        <v>-1.96</v>
      </c>
      <c r="CC573">
        <v>-1.8</v>
      </c>
      <c r="CD573">
        <v>0.64</v>
      </c>
      <c r="CE573">
        <v>-1.5</v>
      </c>
      <c r="CF573">
        <v>-2.23</v>
      </c>
      <c r="CG573">
        <v>0</v>
      </c>
      <c r="CH573">
        <v>-2.0499999999999998</v>
      </c>
      <c r="CI573">
        <v>0</v>
      </c>
      <c r="CJ573">
        <v>-12.6</v>
      </c>
      <c r="CK573">
        <v>94</v>
      </c>
      <c r="CL573">
        <v>-0.62</v>
      </c>
      <c r="CM573">
        <v>93</v>
      </c>
      <c r="CN573">
        <v>-0.19</v>
      </c>
      <c r="CO573">
        <v>92</v>
      </c>
      <c r="CP573">
        <v>-17.8</v>
      </c>
      <c r="CQ573">
        <v>85</v>
      </c>
      <c r="CR573">
        <v>0</v>
      </c>
      <c r="CS573">
        <v>0</v>
      </c>
      <c r="CT573">
        <v>-17.3</v>
      </c>
      <c r="CU573">
        <v>79</v>
      </c>
      <c r="CV573">
        <v>-0.06</v>
      </c>
      <c r="CW573">
        <v>45</v>
      </c>
      <c r="CX573" t="s">
        <v>4059</v>
      </c>
    </row>
    <row r="574" spans="1:102" x14ac:dyDescent="0.3">
      <c r="A574" t="str">
        <f>HYPERLINK("https://webapp.icbf.com/v2/app/bull-search/view/1126965141","FR2114")</f>
        <v>FR2114</v>
      </c>
      <c r="B574" t="s">
        <v>13502</v>
      </c>
      <c r="C574" t="s">
        <v>13503</v>
      </c>
      <c r="D574" s="1">
        <v>41602</v>
      </c>
      <c r="E574" t="s">
        <v>92</v>
      </c>
      <c r="F574">
        <v>94</v>
      </c>
      <c r="G574" t="s">
        <v>93</v>
      </c>
      <c r="H574">
        <v>177.27</v>
      </c>
      <c r="I574">
        <v>84</v>
      </c>
      <c r="J574">
        <v>73.39</v>
      </c>
      <c r="K574">
        <v>96</v>
      </c>
      <c r="L574">
        <v>51.86</v>
      </c>
      <c r="M574">
        <v>77</v>
      </c>
      <c r="N574">
        <v>49.48</v>
      </c>
      <c r="O574">
        <v>87</v>
      </c>
      <c r="P574">
        <v>-6.16</v>
      </c>
      <c r="Q574">
        <v>92</v>
      </c>
      <c r="R574">
        <v>-3.97</v>
      </c>
      <c r="S574">
        <v>77</v>
      </c>
      <c r="T574">
        <v>5.09</v>
      </c>
      <c r="U574">
        <v>63</v>
      </c>
      <c r="V574">
        <v>7.58</v>
      </c>
      <c r="W574">
        <v>71</v>
      </c>
      <c r="X574" t="s">
        <v>94</v>
      </c>
      <c r="Y574" t="s">
        <v>416</v>
      </c>
      <c r="Z574" t="s">
        <v>96</v>
      </c>
      <c r="AA574" t="s">
        <v>3085</v>
      </c>
      <c r="AB574" t="s">
        <v>13504</v>
      </c>
      <c r="AC574">
        <v>143</v>
      </c>
      <c r="AD574">
        <v>65</v>
      </c>
      <c r="AE574">
        <v>96</v>
      </c>
      <c r="AF574">
        <v>104.61</v>
      </c>
      <c r="AG574">
        <v>14.82</v>
      </c>
      <c r="AH574">
        <v>8.84</v>
      </c>
      <c r="AI574">
        <v>0.18</v>
      </c>
      <c r="AJ574">
        <v>0.09</v>
      </c>
      <c r="AK574">
        <v>77</v>
      </c>
      <c r="AL574">
        <v>20</v>
      </c>
      <c r="AM574">
        <v>10</v>
      </c>
      <c r="AN574">
        <v>-1.74</v>
      </c>
      <c r="AO574">
        <v>2.41</v>
      </c>
      <c r="AP574">
        <v>386</v>
      </c>
      <c r="AQ574">
        <v>1</v>
      </c>
      <c r="AR574">
        <v>4.0999999999999996</v>
      </c>
      <c r="AS574">
        <v>84</v>
      </c>
      <c r="AT574">
        <v>1.9</v>
      </c>
      <c r="AU574">
        <v>91</v>
      </c>
      <c r="AV574">
        <v>-4.54</v>
      </c>
      <c r="AW574">
        <v>98</v>
      </c>
      <c r="AX574">
        <v>-0.03</v>
      </c>
      <c r="AY574">
        <v>88</v>
      </c>
      <c r="AZ574">
        <v>7.64</v>
      </c>
      <c r="BA574">
        <v>70</v>
      </c>
      <c r="BB574">
        <v>5.26</v>
      </c>
      <c r="BC574">
        <v>51</v>
      </c>
      <c r="BD574">
        <v>-0.01</v>
      </c>
      <c r="BE574">
        <v>0.02</v>
      </c>
      <c r="BF574">
        <v>7.0000000000000007E-2</v>
      </c>
      <c r="BG574">
        <v>88</v>
      </c>
      <c r="BH574">
        <v>0.2</v>
      </c>
      <c r="BI574">
        <v>-1.32</v>
      </c>
      <c r="BJ574">
        <v>4</v>
      </c>
      <c r="BK574">
        <v>1</v>
      </c>
      <c r="BL574">
        <v>-0.64</v>
      </c>
      <c r="BM574">
        <v>0.31</v>
      </c>
      <c r="BN574">
        <v>-0.11</v>
      </c>
      <c r="BO574">
        <v>0</v>
      </c>
      <c r="BP574">
        <v>4.1900000000000004</v>
      </c>
      <c r="BQ574">
        <v>-2.7</v>
      </c>
      <c r="BR574">
        <v>1.63</v>
      </c>
      <c r="BS574">
        <v>-0.91</v>
      </c>
      <c r="BT574">
        <v>-1.26</v>
      </c>
      <c r="BU574">
        <v>1.1299999999999999</v>
      </c>
      <c r="BV574">
        <v>0.65</v>
      </c>
      <c r="BW574">
        <v>-0.39</v>
      </c>
      <c r="BX574">
        <v>-0.38</v>
      </c>
      <c r="BY574">
        <v>0.91</v>
      </c>
      <c r="BZ574">
        <v>-3.7</v>
      </c>
      <c r="CA574">
        <v>0.25</v>
      </c>
      <c r="CB574">
        <v>0.94</v>
      </c>
      <c r="CC574">
        <v>-0.78</v>
      </c>
      <c r="CD574">
        <v>0.8</v>
      </c>
      <c r="CE574">
        <v>0.09</v>
      </c>
      <c r="CF574">
        <v>-0.39</v>
      </c>
      <c r="CG574">
        <v>0</v>
      </c>
      <c r="CH574">
        <v>1.81</v>
      </c>
      <c r="CI574">
        <v>0</v>
      </c>
      <c r="CJ574">
        <v>0.1</v>
      </c>
      <c r="CK574">
        <v>95</v>
      </c>
      <c r="CL574">
        <v>-0.71</v>
      </c>
      <c r="CM574">
        <v>94</v>
      </c>
      <c r="CN574">
        <v>-0.08</v>
      </c>
      <c r="CO574">
        <v>93</v>
      </c>
      <c r="CP574">
        <v>0.6</v>
      </c>
      <c r="CQ574">
        <v>67</v>
      </c>
      <c r="CR574">
        <v>0</v>
      </c>
      <c r="CS574">
        <v>0</v>
      </c>
      <c r="CT574">
        <v>6.9</v>
      </c>
      <c r="CU574">
        <v>63</v>
      </c>
      <c r="CV574">
        <v>0.23</v>
      </c>
      <c r="CW574">
        <v>46</v>
      </c>
      <c r="CX574" t="s">
        <v>316</v>
      </c>
    </row>
    <row r="575" spans="1:102" x14ac:dyDescent="0.3">
      <c r="A575" t="str">
        <f>HYPERLINK("https://webapp.icbf.com/v2/app/bull-search/view/1312502566","FR4010")</f>
        <v>FR4010</v>
      </c>
      <c r="B575" t="s">
        <v>13736</v>
      </c>
      <c r="C575" t="s">
        <v>13737</v>
      </c>
      <c r="D575" s="1">
        <v>41843</v>
      </c>
      <c r="E575" t="s">
        <v>92</v>
      </c>
      <c r="F575">
        <v>100</v>
      </c>
      <c r="G575" t="s">
        <v>109</v>
      </c>
      <c r="H575">
        <v>177.25</v>
      </c>
      <c r="I575">
        <v>78</v>
      </c>
      <c r="J575">
        <v>87.47</v>
      </c>
      <c r="K575">
        <v>91</v>
      </c>
      <c r="L575">
        <v>34.049999999999997</v>
      </c>
      <c r="M575">
        <v>78</v>
      </c>
      <c r="N575">
        <v>46.55</v>
      </c>
      <c r="O575">
        <v>77</v>
      </c>
      <c r="P575">
        <v>-1.1000000000000001</v>
      </c>
      <c r="Q575">
        <v>71</v>
      </c>
      <c r="R575">
        <v>16.309999999999999</v>
      </c>
      <c r="S575">
        <v>70</v>
      </c>
      <c r="T575">
        <v>-10.3</v>
      </c>
      <c r="U575">
        <v>41</v>
      </c>
      <c r="V575">
        <v>4.2699999999999996</v>
      </c>
      <c r="W575">
        <v>60</v>
      </c>
      <c r="X575" t="s">
        <v>94</v>
      </c>
      <c r="Y575" t="s">
        <v>1775</v>
      </c>
      <c r="Z575" t="s">
        <v>96</v>
      </c>
      <c r="AA575" t="s">
        <v>13738</v>
      </c>
      <c r="AB575" t="s">
        <v>13739</v>
      </c>
      <c r="AC575">
        <v>0</v>
      </c>
      <c r="AD575">
        <v>0</v>
      </c>
      <c r="AE575">
        <v>91</v>
      </c>
      <c r="AF575">
        <v>417.17</v>
      </c>
      <c r="AG575">
        <v>19.48</v>
      </c>
      <c r="AH575">
        <v>14.37</v>
      </c>
      <c r="AI575">
        <v>0.05</v>
      </c>
      <c r="AJ575">
        <v>0</v>
      </c>
      <c r="AK575">
        <v>78</v>
      </c>
      <c r="AL575">
        <v>0</v>
      </c>
      <c r="AM575">
        <v>0</v>
      </c>
      <c r="AN575">
        <v>0.05</v>
      </c>
      <c r="AO575">
        <v>2.79</v>
      </c>
      <c r="AP575">
        <v>126</v>
      </c>
      <c r="AQ575">
        <v>3</v>
      </c>
      <c r="AR575">
        <v>3.5</v>
      </c>
      <c r="AS575">
        <v>69</v>
      </c>
      <c r="AT575">
        <v>2.02</v>
      </c>
      <c r="AU575">
        <v>82</v>
      </c>
      <c r="AV575">
        <v>-3.47</v>
      </c>
      <c r="AW575">
        <v>93</v>
      </c>
      <c r="AX575">
        <v>-0.84</v>
      </c>
      <c r="AY575">
        <v>74</v>
      </c>
      <c r="AZ575">
        <v>6.66</v>
      </c>
      <c r="BA575">
        <v>42</v>
      </c>
      <c r="BB575">
        <v>4.96</v>
      </c>
      <c r="BC575">
        <v>34</v>
      </c>
      <c r="BD575">
        <v>-0.06</v>
      </c>
      <c r="BE575">
        <v>-0.05</v>
      </c>
      <c r="BF575">
        <v>-0.18</v>
      </c>
      <c r="BG575">
        <v>87</v>
      </c>
      <c r="BH575">
        <v>0.11</v>
      </c>
      <c r="BI575">
        <v>-1.05</v>
      </c>
      <c r="BJ575">
        <v>0</v>
      </c>
      <c r="BK575">
        <v>0</v>
      </c>
      <c r="BL575">
        <v>0.73</v>
      </c>
      <c r="BM575">
        <v>2.21</v>
      </c>
      <c r="BN575">
        <v>0.64</v>
      </c>
      <c r="BO575">
        <v>-0.25</v>
      </c>
      <c r="BP575">
        <v>3.49</v>
      </c>
      <c r="BQ575">
        <v>0.78</v>
      </c>
      <c r="BR575">
        <v>-4.79</v>
      </c>
      <c r="BS575">
        <v>0.36</v>
      </c>
      <c r="BT575">
        <v>4.4800000000000004</v>
      </c>
      <c r="BU575">
        <v>3.1</v>
      </c>
      <c r="BV575">
        <v>2.38</v>
      </c>
      <c r="BW575">
        <v>1.75</v>
      </c>
      <c r="BX575">
        <v>2.7</v>
      </c>
      <c r="BY575">
        <v>2.69</v>
      </c>
      <c r="BZ575">
        <v>-2.5</v>
      </c>
      <c r="CA575">
        <v>2.44</v>
      </c>
      <c r="CB575">
        <v>2.67</v>
      </c>
      <c r="CC575">
        <v>0.28000000000000003</v>
      </c>
      <c r="CD575">
        <v>1.95</v>
      </c>
      <c r="CE575">
        <v>0.68</v>
      </c>
      <c r="CF575">
        <v>0.93</v>
      </c>
      <c r="CG575">
        <v>0</v>
      </c>
      <c r="CH575">
        <v>2.59</v>
      </c>
      <c r="CI575">
        <v>0</v>
      </c>
      <c r="CJ575">
        <v>1.4</v>
      </c>
      <c r="CK575">
        <v>76</v>
      </c>
      <c r="CL575">
        <v>-1.05</v>
      </c>
      <c r="CM575">
        <v>70</v>
      </c>
      <c r="CN575">
        <v>-0.61</v>
      </c>
      <c r="CO575">
        <v>68</v>
      </c>
      <c r="CP575">
        <v>4.4000000000000004</v>
      </c>
      <c r="CQ575">
        <v>46</v>
      </c>
      <c r="CR575">
        <v>0</v>
      </c>
      <c r="CS575">
        <v>0</v>
      </c>
      <c r="CT575">
        <v>27.7</v>
      </c>
      <c r="CU575">
        <v>41</v>
      </c>
      <c r="CV575">
        <v>0.25</v>
      </c>
      <c r="CW575">
        <v>41</v>
      </c>
      <c r="CX575" t="s">
        <v>13740</v>
      </c>
    </row>
    <row r="576" spans="1:102" x14ac:dyDescent="0.3">
      <c r="A576" t="str">
        <f>HYPERLINK("https://webapp.icbf.com/v2/app/bull-search/view/910797971","AKZ")</f>
        <v>AKZ</v>
      </c>
      <c r="B576" t="s">
        <v>9166</v>
      </c>
      <c r="C576" t="s">
        <v>9167</v>
      </c>
      <c r="D576" s="1">
        <v>40380</v>
      </c>
      <c r="E576" t="s">
        <v>92</v>
      </c>
      <c r="F576">
        <v>63</v>
      </c>
      <c r="G576" t="s">
        <v>93</v>
      </c>
      <c r="H576">
        <v>176.96</v>
      </c>
      <c r="I576">
        <v>95</v>
      </c>
      <c r="J576">
        <v>92.95</v>
      </c>
      <c r="K576">
        <v>99</v>
      </c>
      <c r="L576">
        <v>59.77</v>
      </c>
      <c r="M576">
        <v>92</v>
      </c>
      <c r="N576">
        <v>32.56</v>
      </c>
      <c r="O576">
        <v>97</v>
      </c>
      <c r="P576">
        <v>-13.27</v>
      </c>
      <c r="Q576">
        <v>99</v>
      </c>
      <c r="R576">
        <v>-3.62</v>
      </c>
      <c r="S576">
        <v>92</v>
      </c>
      <c r="T576">
        <v>2.65</v>
      </c>
      <c r="U576">
        <v>98</v>
      </c>
      <c r="V576">
        <v>5.92</v>
      </c>
      <c r="W576">
        <v>77</v>
      </c>
      <c r="X576" t="s">
        <v>276</v>
      </c>
      <c r="Y576" t="s">
        <v>422</v>
      </c>
      <c r="Z576" t="s">
        <v>330</v>
      </c>
      <c r="AA576" t="s">
        <v>9168</v>
      </c>
      <c r="AB576" t="s">
        <v>9169</v>
      </c>
      <c r="AC576">
        <v>1080</v>
      </c>
      <c r="AD576">
        <v>304</v>
      </c>
      <c r="AE576">
        <v>99</v>
      </c>
      <c r="AF576">
        <v>-22.94</v>
      </c>
      <c r="AG576">
        <v>14.66</v>
      </c>
      <c r="AH576">
        <v>10.27</v>
      </c>
      <c r="AI576">
        <v>0.27</v>
      </c>
      <c r="AJ576">
        <v>0.19</v>
      </c>
      <c r="AK576">
        <v>92</v>
      </c>
      <c r="AL576">
        <v>1266</v>
      </c>
      <c r="AM576">
        <v>357</v>
      </c>
      <c r="AN576">
        <v>-3</v>
      </c>
      <c r="AO576">
        <v>1.77</v>
      </c>
      <c r="AP576">
        <v>2434</v>
      </c>
      <c r="AQ576">
        <v>10</v>
      </c>
      <c r="AR576">
        <v>6.45</v>
      </c>
      <c r="AS576">
        <v>95</v>
      </c>
      <c r="AT576">
        <v>2.61</v>
      </c>
      <c r="AU576">
        <v>98</v>
      </c>
      <c r="AV576">
        <v>-4.34</v>
      </c>
      <c r="AW576">
        <v>99</v>
      </c>
      <c r="AX576">
        <v>-0.59</v>
      </c>
      <c r="AY576">
        <v>98</v>
      </c>
      <c r="AZ576">
        <v>8.8699999999999992</v>
      </c>
      <c r="BA576">
        <v>94</v>
      </c>
      <c r="BB576">
        <v>6.17</v>
      </c>
      <c r="BC576">
        <v>92</v>
      </c>
      <c r="BD576">
        <v>-0.01</v>
      </c>
      <c r="BE576">
        <v>0</v>
      </c>
      <c r="BF576">
        <v>0.1</v>
      </c>
      <c r="BG576">
        <v>98</v>
      </c>
      <c r="BH576">
        <v>0.09</v>
      </c>
      <c r="BI576">
        <v>-8.69</v>
      </c>
      <c r="BJ576">
        <v>20</v>
      </c>
      <c r="BK576">
        <v>9</v>
      </c>
      <c r="BL576">
        <v>-1.47</v>
      </c>
      <c r="BM576">
        <v>0.93</v>
      </c>
      <c r="BN576">
        <v>0.23</v>
      </c>
      <c r="BO576">
        <v>-1.1200000000000001</v>
      </c>
      <c r="BP576">
        <v>-0.56000000000000005</v>
      </c>
      <c r="BQ576">
        <v>-0.59</v>
      </c>
      <c r="BR576">
        <v>0.1</v>
      </c>
      <c r="BS576">
        <v>-1.17</v>
      </c>
      <c r="BT576">
        <v>-0.78</v>
      </c>
      <c r="BU576">
        <v>0.25</v>
      </c>
      <c r="BV576">
        <v>-0.78</v>
      </c>
      <c r="BW576">
        <v>-1.1499999999999999</v>
      </c>
      <c r="BX576">
        <v>-1.02</v>
      </c>
      <c r="BY576">
        <v>0.62</v>
      </c>
      <c r="BZ576">
        <v>-0.7</v>
      </c>
      <c r="CA576">
        <v>-1.35</v>
      </c>
      <c r="CB576">
        <v>-0.45</v>
      </c>
      <c r="CC576">
        <v>-1.41</v>
      </c>
      <c r="CD576">
        <v>1.01</v>
      </c>
      <c r="CE576">
        <v>-0.85</v>
      </c>
      <c r="CF576">
        <v>-1.08</v>
      </c>
      <c r="CG576">
        <v>0</v>
      </c>
      <c r="CH576">
        <v>0.51</v>
      </c>
      <c r="CI576">
        <v>0</v>
      </c>
      <c r="CJ576">
        <v>-7.3</v>
      </c>
      <c r="CK576">
        <v>99</v>
      </c>
      <c r="CL576">
        <v>-0.44</v>
      </c>
      <c r="CM576">
        <v>99</v>
      </c>
      <c r="CN576">
        <v>-0.18</v>
      </c>
      <c r="CO576">
        <v>99</v>
      </c>
      <c r="CP576">
        <v>-5.0999999999999996</v>
      </c>
      <c r="CQ576">
        <v>97</v>
      </c>
      <c r="CR576">
        <v>0</v>
      </c>
      <c r="CS576">
        <v>0</v>
      </c>
      <c r="CT576">
        <v>10.199999999999999</v>
      </c>
      <c r="CU576">
        <v>98</v>
      </c>
      <c r="CV576">
        <v>0.06</v>
      </c>
      <c r="CW576">
        <v>46</v>
      </c>
      <c r="CX576" t="s">
        <v>1831</v>
      </c>
    </row>
    <row r="577" spans="1:102" x14ac:dyDescent="0.3">
      <c r="A577" t="str">
        <f>HYPERLINK("https://webapp.icbf.com/v2/app/bull-search/view/1146547007","FR2340")</f>
        <v>FR2340</v>
      </c>
      <c r="B577" t="s">
        <v>6116</v>
      </c>
      <c r="C577" t="s">
        <v>6117</v>
      </c>
      <c r="D577" s="1">
        <v>41702</v>
      </c>
      <c r="E577" t="s">
        <v>92</v>
      </c>
      <c r="F577">
        <v>41</v>
      </c>
      <c r="G577" t="s">
        <v>93</v>
      </c>
      <c r="H577">
        <v>176.93</v>
      </c>
      <c r="I577">
        <v>81</v>
      </c>
      <c r="J577">
        <v>96.11</v>
      </c>
      <c r="K577">
        <v>96</v>
      </c>
      <c r="L577">
        <v>37.950000000000003</v>
      </c>
      <c r="M577">
        <v>64</v>
      </c>
      <c r="N577">
        <v>24.04</v>
      </c>
      <c r="O577">
        <v>86</v>
      </c>
      <c r="P577">
        <v>-11.19</v>
      </c>
      <c r="Q577">
        <v>90</v>
      </c>
      <c r="R577">
        <v>5.12</v>
      </c>
      <c r="S577">
        <v>71</v>
      </c>
      <c r="T577">
        <v>22.26</v>
      </c>
      <c r="U577">
        <v>94</v>
      </c>
      <c r="V577">
        <v>2.64</v>
      </c>
      <c r="W577">
        <v>40</v>
      </c>
      <c r="X577" t="s">
        <v>234</v>
      </c>
      <c r="Y577" t="s">
        <v>436</v>
      </c>
      <c r="Z577" t="s">
        <v>330</v>
      </c>
      <c r="AA577" t="s">
        <v>2514</v>
      </c>
      <c r="AB577" t="s">
        <v>144</v>
      </c>
      <c r="AC577">
        <v>233</v>
      </c>
      <c r="AD577">
        <v>73</v>
      </c>
      <c r="AE577">
        <v>96</v>
      </c>
      <c r="AF577">
        <v>107.75</v>
      </c>
      <c r="AG577">
        <v>20.82</v>
      </c>
      <c r="AH577">
        <v>10.63</v>
      </c>
      <c r="AI577">
        <v>0.27</v>
      </c>
      <c r="AJ577">
        <v>0.11</v>
      </c>
      <c r="AK577">
        <v>64</v>
      </c>
      <c r="AL577">
        <v>6</v>
      </c>
      <c r="AM577">
        <v>1</v>
      </c>
      <c r="AN577">
        <v>-2.59</v>
      </c>
      <c r="AO577">
        <v>0.43</v>
      </c>
      <c r="AP577">
        <v>710</v>
      </c>
      <c r="AQ577">
        <v>1</v>
      </c>
      <c r="AR577">
        <v>5.71</v>
      </c>
      <c r="AS577">
        <v>91</v>
      </c>
      <c r="AT577">
        <v>2.85</v>
      </c>
      <c r="AU577">
        <v>92</v>
      </c>
      <c r="AV577">
        <v>-2.29</v>
      </c>
      <c r="AW577">
        <v>99</v>
      </c>
      <c r="AX577">
        <v>0.41</v>
      </c>
      <c r="AY577">
        <v>90</v>
      </c>
      <c r="AZ577">
        <v>6.71</v>
      </c>
      <c r="BA577">
        <v>75</v>
      </c>
      <c r="BB577">
        <v>4.92</v>
      </c>
      <c r="BC577">
        <v>32</v>
      </c>
      <c r="BD577">
        <v>-0.04</v>
      </c>
      <c r="BE577">
        <v>0.01</v>
      </c>
      <c r="BF577">
        <v>-7.0000000000000007E-2</v>
      </c>
      <c r="BG577">
        <v>87</v>
      </c>
      <c r="BH577">
        <v>-0.03</v>
      </c>
      <c r="BI577">
        <v>-11.98</v>
      </c>
      <c r="BJ577">
        <v>0</v>
      </c>
      <c r="BK577">
        <v>0</v>
      </c>
      <c r="BL577">
        <v>-2.21</v>
      </c>
      <c r="BM577">
        <v>-0.86</v>
      </c>
      <c r="BN577">
        <v>-1.19</v>
      </c>
      <c r="BO577">
        <v>-0.41</v>
      </c>
      <c r="BP577">
        <v>-7.0000000000000007E-2</v>
      </c>
      <c r="BQ577">
        <v>-3.13</v>
      </c>
      <c r="BR577">
        <v>3.23</v>
      </c>
      <c r="BS577">
        <v>2.29</v>
      </c>
      <c r="BT577">
        <v>-2.41</v>
      </c>
      <c r="BU577">
        <v>-0.4</v>
      </c>
      <c r="BV577">
        <v>0.16</v>
      </c>
      <c r="BW577">
        <v>-1.26</v>
      </c>
      <c r="BX577">
        <v>-2.21</v>
      </c>
      <c r="BY577">
        <v>-0.15</v>
      </c>
      <c r="BZ577">
        <v>-0.21</v>
      </c>
      <c r="CA577">
        <v>0.27</v>
      </c>
      <c r="CB577">
        <v>0.03</v>
      </c>
      <c r="CC577">
        <v>0.59</v>
      </c>
      <c r="CD577">
        <v>-0.61</v>
      </c>
      <c r="CE577">
        <v>-0.12</v>
      </c>
      <c r="CF577">
        <v>-2.2799999999999998</v>
      </c>
      <c r="CG577">
        <v>0</v>
      </c>
      <c r="CH577">
        <v>-0.54</v>
      </c>
      <c r="CI577">
        <v>0</v>
      </c>
      <c r="CJ577">
        <v>-5.5</v>
      </c>
      <c r="CK577">
        <v>93</v>
      </c>
      <c r="CL577">
        <v>-0.51</v>
      </c>
      <c r="CM577">
        <v>90</v>
      </c>
      <c r="CN577">
        <v>-0.33</v>
      </c>
      <c r="CO577">
        <v>89</v>
      </c>
      <c r="CP577">
        <v>-14.7</v>
      </c>
      <c r="CQ577">
        <v>71</v>
      </c>
      <c r="CR577">
        <v>0</v>
      </c>
      <c r="CS577">
        <v>0</v>
      </c>
      <c r="CT577">
        <v>-16.3</v>
      </c>
      <c r="CU577">
        <v>94</v>
      </c>
      <c r="CV577">
        <v>0</v>
      </c>
      <c r="CW577">
        <v>30</v>
      </c>
      <c r="CX577" t="s">
        <v>1936</v>
      </c>
    </row>
    <row r="578" spans="1:102" x14ac:dyDescent="0.3">
      <c r="A578" t="str">
        <f>HYPERLINK("https://webapp.icbf.com/v2/app/bull-search/view/1306338291","FR2306")</f>
        <v>FR2306</v>
      </c>
      <c r="B578" t="s">
        <v>9356</v>
      </c>
      <c r="C578" t="s">
        <v>9357</v>
      </c>
      <c r="D578" s="1">
        <v>40821</v>
      </c>
      <c r="E578" t="s">
        <v>108</v>
      </c>
      <c r="F578">
        <v>0</v>
      </c>
      <c r="G578" t="s">
        <v>109</v>
      </c>
      <c r="H578">
        <v>176.93</v>
      </c>
      <c r="I578">
        <v>69</v>
      </c>
      <c r="J578">
        <v>6.54</v>
      </c>
      <c r="K578">
        <v>88</v>
      </c>
      <c r="L578">
        <v>128.41</v>
      </c>
      <c r="M578">
        <v>56</v>
      </c>
      <c r="N578">
        <v>38.46</v>
      </c>
      <c r="O578">
        <v>74</v>
      </c>
      <c r="P578">
        <v>-20.63</v>
      </c>
      <c r="Q578">
        <v>78</v>
      </c>
      <c r="R578">
        <v>-0.14000000000000001</v>
      </c>
      <c r="S578">
        <v>62</v>
      </c>
      <c r="T578">
        <v>22.11</v>
      </c>
      <c r="U578">
        <v>46</v>
      </c>
      <c r="V578">
        <v>2.1800000000000002</v>
      </c>
      <c r="W578">
        <v>51</v>
      </c>
      <c r="X578" t="s">
        <v>102</v>
      </c>
      <c r="Y578" t="s">
        <v>405</v>
      </c>
      <c r="Z578" t="s">
        <v>96</v>
      </c>
      <c r="AA578" t="s">
        <v>9358</v>
      </c>
      <c r="AB578" t="s">
        <v>9210</v>
      </c>
      <c r="AC578">
        <v>0</v>
      </c>
      <c r="AD578">
        <v>0</v>
      </c>
      <c r="AE578">
        <v>88</v>
      </c>
      <c r="AF578">
        <v>-76.959999999999994</v>
      </c>
      <c r="AG578">
        <v>0.72</v>
      </c>
      <c r="AH578">
        <v>-0.32</v>
      </c>
      <c r="AI578">
        <v>7.0000000000000007E-2</v>
      </c>
      <c r="AJ578">
        <v>0.04</v>
      </c>
      <c r="AK578">
        <v>56</v>
      </c>
      <c r="AL578">
        <v>0</v>
      </c>
      <c r="AM578">
        <v>0</v>
      </c>
      <c r="AN578">
        <v>-7.79</v>
      </c>
      <c r="AO578">
        <v>2.44</v>
      </c>
      <c r="AP578">
        <v>136</v>
      </c>
      <c r="AQ578">
        <v>1</v>
      </c>
      <c r="AR578">
        <v>4.43</v>
      </c>
      <c r="AS578">
        <v>57</v>
      </c>
      <c r="AT578">
        <v>1.97</v>
      </c>
      <c r="AU578">
        <v>82</v>
      </c>
      <c r="AV578">
        <v>-3.22</v>
      </c>
      <c r="AW578">
        <v>92</v>
      </c>
      <c r="AX578">
        <v>-1.03</v>
      </c>
      <c r="AY578">
        <v>72</v>
      </c>
      <c r="AZ578">
        <v>6.7</v>
      </c>
      <c r="BA578">
        <v>47</v>
      </c>
      <c r="BB578">
        <v>5.94</v>
      </c>
      <c r="BC578">
        <v>24</v>
      </c>
      <c r="BD578">
        <v>0.05</v>
      </c>
      <c r="BE578">
        <v>0</v>
      </c>
      <c r="BF578">
        <v>-0.08</v>
      </c>
      <c r="BG578">
        <v>77</v>
      </c>
      <c r="BH578">
        <v>7.0000000000000007E-2</v>
      </c>
      <c r="BI578">
        <v>1.06</v>
      </c>
      <c r="BJ578">
        <v>0</v>
      </c>
      <c r="BK578">
        <v>0</v>
      </c>
      <c r="BL578">
        <v>-3.49</v>
      </c>
      <c r="BM578">
        <v>2.65</v>
      </c>
      <c r="BN578">
        <v>-3.16</v>
      </c>
      <c r="BO578">
        <v>-3.92</v>
      </c>
      <c r="BP578">
        <v>-1.47</v>
      </c>
      <c r="BQ578">
        <v>1.27</v>
      </c>
      <c r="BR578">
        <v>-2.12</v>
      </c>
      <c r="BS578">
        <v>-0.65</v>
      </c>
      <c r="BT578">
        <v>-0.09</v>
      </c>
      <c r="BU578">
        <v>-3.75</v>
      </c>
      <c r="BV578">
        <v>-3.69</v>
      </c>
      <c r="BW578">
        <v>-2.84</v>
      </c>
      <c r="BX578">
        <v>-1.95</v>
      </c>
      <c r="BY578">
        <v>-1.57</v>
      </c>
      <c r="BZ578">
        <v>0.09</v>
      </c>
      <c r="CA578">
        <v>-3.45</v>
      </c>
      <c r="CB578">
        <v>-3.44</v>
      </c>
      <c r="CC578">
        <v>-2.11</v>
      </c>
      <c r="CD578">
        <v>3.67</v>
      </c>
      <c r="CE578">
        <v>-3.3</v>
      </c>
      <c r="CF578">
        <v>-2.66</v>
      </c>
      <c r="CG578">
        <v>0</v>
      </c>
      <c r="CH578">
        <v>-1.8</v>
      </c>
      <c r="CI578">
        <v>0</v>
      </c>
      <c r="CJ578">
        <v>-9.5</v>
      </c>
      <c r="CK578">
        <v>82</v>
      </c>
      <c r="CL578">
        <v>-0.26</v>
      </c>
      <c r="CM578">
        <v>78</v>
      </c>
      <c r="CN578">
        <v>0.24</v>
      </c>
      <c r="CO578">
        <v>76</v>
      </c>
      <c r="CP578">
        <v>-13.5</v>
      </c>
      <c r="CQ578">
        <v>48</v>
      </c>
      <c r="CR578">
        <v>0</v>
      </c>
      <c r="CS578">
        <v>0</v>
      </c>
      <c r="CT578">
        <v>-16.100000000000001</v>
      </c>
      <c r="CU578">
        <v>46</v>
      </c>
      <c r="CV578">
        <v>0.03</v>
      </c>
      <c r="CW578">
        <v>42</v>
      </c>
      <c r="CX578" t="s">
        <v>9211</v>
      </c>
    </row>
    <row r="579" spans="1:102" x14ac:dyDescent="0.3">
      <c r="A579" t="str">
        <f>HYPERLINK("https://webapp.icbf.com/v2/app/bull-search/view/1035595359","HZB")</f>
        <v>HZB</v>
      </c>
      <c r="B579" t="s">
        <v>5995</v>
      </c>
      <c r="C579" t="s">
        <v>5996</v>
      </c>
      <c r="D579" s="1">
        <v>41292</v>
      </c>
      <c r="E579" t="s">
        <v>92</v>
      </c>
      <c r="F579">
        <v>100</v>
      </c>
      <c r="G579" t="s">
        <v>93</v>
      </c>
      <c r="H579">
        <v>176.8</v>
      </c>
      <c r="I579">
        <v>96</v>
      </c>
      <c r="J579">
        <v>45.03</v>
      </c>
      <c r="K579">
        <v>99</v>
      </c>
      <c r="L579">
        <v>85.21</v>
      </c>
      <c r="M579">
        <v>93</v>
      </c>
      <c r="N579">
        <v>41.73</v>
      </c>
      <c r="O579">
        <v>99</v>
      </c>
      <c r="P579">
        <v>7.34</v>
      </c>
      <c r="Q579">
        <v>99</v>
      </c>
      <c r="R579">
        <v>-0.64</v>
      </c>
      <c r="S579">
        <v>95</v>
      </c>
      <c r="T579">
        <v>-10</v>
      </c>
      <c r="U579">
        <v>99</v>
      </c>
      <c r="V579">
        <v>8.1300000000000008</v>
      </c>
      <c r="W579">
        <v>83</v>
      </c>
      <c r="X579" t="s">
        <v>94</v>
      </c>
      <c r="Y579" t="s">
        <v>389</v>
      </c>
      <c r="Z579" t="s">
        <v>96</v>
      </c>
      <c r="AA579" t="s">
        <v>2159</v>
      </c>
      <c r="AB579" t="s">
        <v>5997</v>
      </c>
      <c r="AC579">
        <v>10061</v>
      </c>
      <c r="AD579">
        <v>2462</v>
      </c>
      <c r="AE579">
        <v>99</v>
      </c>
      <c r="AF579">
        <v>181.72</v>
      </c>
      <c r="AG579">
        <v>5.54</v>
      </c>
      <c r="AH579">
        <v>8.48</v>
      </c>
      <c r="AI579">
        <v>-0.03</v>
      </c>
      <c r="AJ579">
        <v>0.04</v>
      </c>
      <c r="AK579">
        <v>93</v>
      </c>
      <c r="AL579">
        <v>6791</v>
      </c>
      <c r="AM579">
        <v>2308</v>
      </c>
      <c r="AN579">
        <v>-5.05</v>
      </c>
      <c r="AO579">
        <v>1.74</v>
      </c>
      <c r="AP579">
        <v>28732</v>
      </c>
      <c r="AQ579">
        <v>122</v>
      </c>
      <c r="AR579">
        <v>6.03</v>
      </c>
      <c r="AS579">
        <v>99</v>
      </c>
      <c r="AT579">
        <v>2.2400000000000002</v>
      </c>
      <c r="AU579">
        <v>99</v>
      </c>
      <c r="AV579">
        <v>-3.52</v>
      </c>
      <c r="AW579">
        <v>99</v>
      </c>
      <c r="AX579">
        <v>-0.45</v>
      </c>
      <c r="AY579">
        <v>99</v>
      </c>
      <c r="AZ579">
        <v>5.95</v>
      </c>
      <c r="BA579">
        <v>99</v>
      </c>
      <c r="BB579">
        <v>4.75</v>
      </c>
      <c r="BC579">
        <v>96</v>
      </c>
      <c r="BD579">
        <v>-0.02</v>
      </c>
      <c r="BE579">
        <v>0.02</v>
      </c>
      <c r="BF579">
        <v>0.01</v>
      </c>
      <c r="BG579">
        <v>99</v>
      </c>
      <c r="BH579">
        <v>0.13</v>
      </c>
      <c r="BI579">
        <v>-11.18</v>
      </c>
      <c r="BJ579">
        <v>235</v>
      </c>
      <c r="BK579">
        <v>85</v>
      </c>
      <c r="BL579">
        <v>0.34</v>
      </c>
      <c r="BM579">
        <v>2.2400000000000002</v>
      </c>
      <c r="BN579">
        <v>-1.5</v>
      </c>
      <c r="BO579">
        <v>-1.92</v>
      </c>
      <c r="BP579">
        <v>0.11</v>
      </c>
      <c r="BQ579">
        <v>3.11</v>
      </c>
      <c r="BR579">
        <v>2.97</v>
      </c>
      <c r="BS579">
        <v>-2.48</v>
      </c>
      <c r="BT579">
        <v>-2.2999999999999998</v>
      </c>
      <c r="BU579">
        <v>-0.41</v>
      </c>
      <c r="BV579">
        <v>-0.25</v>
      </c>
      <c r="BW579">
        <v>-1.58</v>
      </c>
      <c r="BX579">
        <v>0.05</v>
      </c>
      <c r="BY579">
        <v>1.38</v>
      </c>
      <c r="BZ579">
        <v>-2.2999999999999998</v>
      </c>
      <c r="CA579">
        <v>-0.9</v>
      </c>
      <c r="CB579">
        <v>-0.32</v>
      </c>
      <c r="CC579">
        <v>-2.0699999999999998</v>
      </c>
      <c r="CD579">
        <v>1.82</v>
      </c>
      <c r="CE579">
        <v>-1.1499999999999999</v>
      </c>
      <c r="CF579">
        <v>0.52</v>
      </c>
      <c r="CG579">
        <v>0</v>
      </c>
      <c r="CH579">
        <v>1.26</v>
      </c>
      <c r="CI579">
        <v>0</v>
      </c>
      <c r="CJ579">
        <v>6.3</v>
      </c>
      <c r="CK579">
        <v>99</v>
      </c>
      <c r="CL579">
        <v>-0.75</v>
      </c>
      <c r="CM579">
        <v>99</v>
      </c>
      <c r="CN579">
        <v>-0.33</v>
      </c>
      <c r="CO579">
        <v>99</v>
      </c>
      <c r="CP579">
        <v>16.8</v>
      </c>
      <c r="CQ579">
        <v>99</v>
      </c>
      <c r="CR579">
        <v>0</v>
      </c>
      <c r="CS579">
        <v>0</v>
      </c>
      <c r="CT579">
        <v>27.3</v>
      </c>
      <c r="CU579">
        <v>99</v>
      </c>
      <c r="CV579">
        <v>0.3</v>
      </c>
      <c r="CW579">
        <v>49</v>
      </c>
      <c r="CX579" t="s">
        <v>316</v>
      </c>
    </row>
    <row r="580" spans="1:102" x14ac:dyDescent="0.3">
      <c r="A580" t="str">
        <f>HYPERLINK("https://webapp.icbf.com/v2/app/bull-search/view/440451125","DZI")</f>
        <v>DZI</v>
      </c>
      <c r="B580" t="s">
        <v>15577</v>
      </c>
      <c r="C580" t="s">
        <v>15578</v>
      </c>
      <c r="D580" s="1">
        <v>38736</v>
      </c>
      <c r="E580" t="s">
        <v>92</v>
      </c>
      <c r="F580">
        <v>91</v>
      </c>
      <c r="G580" t="s">
        <v>93</v>
      </c>
      <c r="H580">
        <v>176.67</v>
      </c>
      <c r="I580">
        <v>88</v>
      </c>
      <c r="J580">
        <v>27.8</v>
      </c>
      <c r="K580">
        <v>97</v>
      </c>
      <c r="L580">
        <v>102.52</v>
      </c>
      <c r="M580">
        <v>80</v>
      </c>
      <c r="N580">
        <v>27.66</v>
      </c>
      <c r="O580">
        <v>87</v>
      </c>
      <c r="P580">
        <v>0.21</v>
      </c>
      <c r="Q580">
        <v>92</v>
      </c>
      <c r="R580">
        <v>-3.29</v>
      </c>
      <c r="S580">
        <v>83</v>
      </c>
      <c r="T580">
        <v>10.64</v>
      </c>
      <c r="U580">
        <v>87</v>
      </c>
      <c r="V580">
        <v>11.13</v>
      </c>
      <c r="W580">
        <v>85</v>
      </c>
      <c r="X580" t="s">
        <v>94</v>
      </c>
      <c r="Y580" t="s">
        <v>1251</v>
      </c>
      <c r="Z580" t="s">
        <v>96</v>
      </c>
      <c r="AA580" t="s">
        <v>1165</v>
      </c>
      <c r="AB580" t="s">
        <v>15579</v>
      </c>
      <c r="AC580">
        <v>97</v>
      </c>
      <c r="AD580">
        <v>69</v>
      </c>
      <c r="AE580">
        <v>97</v>
      </c>
      <c r="AF580">
        <v>-39.99</v>
      </c>
      <c r="AG580">
        <v>4.0599999999999996</v>
      </c>
      <c r="AH580">
        <v>2.68</v>
      </c>
      <c r="AI580">
        <v>0.1</v>
      </c>
      <c r="AJ580">
        <v>7.0000000000000007E-2</v>
      </c>
      <c r="AK580">
        <v>80</v>
      </c>
      <c r="AL580">
        <v>97</v>
      </c>
      <c r="AM580">
        <v>68</v>
      </c>
      <c r="AN580">
        <v>-4.47</v>
      </c>
      <c r="AO580">
        <v>3.72</v>
      </c>
      <c r="AP580">
        <v>213</v>
      </c>
      <c r="AQ580">
        <v>4</v>
      </c>
      <c r="AR580">
        <v>7.22</v>
      </c>
      <c r="AS580">
        <v>72</v>
      </c>
      <c r="AT580">
        <v>2.83</v>
      </c>
      <c r="AU580">
        <v>89</v>
      </c>
      <c r="AV580">
        <v>-3.37</v>
      </c>
      <c r="AW580">
        <v>97</v>
      </c>
      <c r="AX580">
        <v>0.1</v>
      </c>
      <c r="AY580">
        <v>83</v>
      </c>
      <c r="AZ580">
        <v>7.34</v>
      </c>
      <c r="BA580">
        <v>68</v>
      </c>
      <c r="BB580">
        <v>5.19</v>
      </c>
      <c r="BC580">
        <v>72</v>
      </c>
      <c r="BD580">
        <v>0.04</v>
      </c>
      <c r="BE580">
        <v>0.01</v>
      </c>
      <c r="BF580">
        <v>-0.01</v>
      </c>
      <c r="BG580">
        <v>89</v>
      </c>
      <c r="BH580">
        <v>0.13</v>
      </c>
      <c r="BI580">
        <v>-20.88</v>
      </c>
      <c r="BJ580">
        <v>27</v>
      </c>
      <c r="BK580">
        <v>17</v>
      </c>
      <c r="BL580">
        <v>0.28000000000000003</v>
      </c>
      <c r="BM580">
        <v>-0.53</v>
      </c>
      <c r="BN580">
        <v>-2.13</v>
      </c>
      <c r="BO580">
        <v>-0.92</v>
      </c>
      <c r="BP580">
        <v>2.12</v>
      </c>
      <c r="BQ580">
        <v>-0.21</v>
      </c>
      <c r="BR580">
        <v>0.47</v>
      </c>
      <c r="BS580">
        <v>-2.36</v>
      </c>
      <c r="BT580">
        <v>-2.1</v>
      </c>
      <c r="BU580">
        <v>-0.32</v>
      </c>
      <c r="BV580">
        <v>-0.27</v>
      </c>
      <c r="BW580">
        <v>-0.26</v>
      </c>
      <c r="BX580">
        <v>1.81</v>
      </c>
      <c r="BY580">
        <v>-1.01</v>
      </c>
      <c r="BZ580">
        <v>-2.71</v>
      </c>
      <c r="CA580">
        <v>-0.61</v>
      </c>
      <c r="CB580">
        <v>-0.2</v>
      </c>
      <c r="CC580">
        <v>-1.67</v>
      </c>
      <c r="CD580">
        <v>0.52</v>
      </c>
      <c r="CE580">
        <v>-0.72</v>
      </c>
      <c r="CF580">
        <v>-0.42</v>
      </c>
      <c r="CG580">
        <v>0</v>
      </c>
      <c r="CH580">
        <v>-1.1599999999999999</v>
      </c>
      <c r="CI580">
        <v>0</v>
      </c>
      <c r="CJ580">
        <v>3.1</v>
      </c>
      <c r="CK580">
        <v>93</v>
      </c>
      <c r="CL580">
        <v>-0.53</v>
      </c>
      <c r="CM580">
        <v>92</v>
      </c>
      <c r="CN580">
        <v>-0.14000000000000001</v>
      </c>
      <c r="CO580">
        <v>91</v>
      </c>
      <c r="CP580">
        <v>-1.6</v>
      </c>
      <c r="CQ580">
        <v>89</v>
      </c>
      <c r="CR580">
        <v>0</v>
      </c>
      <c r="CS580">
        <v>0</v>
      </c>
      <c r="CT580">
        <v>-0.6</v>
      </c>
      <c r="CU580">
        <v>87</v>
      </c>
      <c r="CV580">
        <v>0.19</v>
      </c>
      <c r="CW580">
        <v>46</v>
      </c>
      <c r="CX580" t="s">
        <v>1390</v>
      </c>
    </row>
    <row r="581" spans="1:102" x14ac:dyDescent="0.3">
      <c r="A581" t="str">
        <f>HYPERLINK("https://webapp.icbf.com/v2/app/bull-search/view/1337479670","FR4091")</f>
        <v>FR4091</v>
      </c>
      <c r="B581" t="s">
        <v>14787</v>
      </c>
      <c r="C581" t="s">
        <v>14788</v>
      </c>
      <c r="D581" s="1">
        <v>42320</v>
      </c>
      <c r="E581" t="s">
        <v>92</v>
      </c>
      <c r="F581">
        <v>100</v>
      </c>
      <c r="G581" t="s">
        <v>435</v>
      </c>
      <c r="H581">
        <v>176.64</v>
      </c>
      <c r="I581">
        <v>76</v>
      </c>
      <c r="J581">
        <v>110.19</v>
      </c>
      <c r="K581">
        <v>88</v>
      </c>
      <c r="L581">
        <v>34.799999999999997</v>
      </c>
      <c r="M581">
        <v>69</v>
      </c>
      <c r="N581">
        <v>22.77</v>
      </c>
      <c r="O581">
        <v>86</v>
      </c>
      <c r="P581">
        <v>4.03</v>
      </c>
      <c r="Q581">
        <v>87</v>
      </c>
      <c r="R581">
        <v>16.8</v>
      </c>
      <c r="S581">
        <v>64</v>
      </c>
      <c r="T581">
        <v>-15.33</v>
      </c>
      <c r="U581">
        <v>47</v>
      </c>
      <c r="V581">
        <v>3.38</v>
      </c>
      <c r="W581">
        <v>55</v>
      </c>
      <c r="X581" t="s">
        <v>94</v>
      </c>
      <c r="Y581" t="s">
        <v>436</v>
      </c>
      <c r="Z581" t="s">
        <v>96</v>
      </c>
      <c r="AA581" t="s">
        <v>5963</v>
      </c>
      <c r="AB581" t="s">
        <v>14789</v>
      </c>
      <c r="AC581">
        <v>14</v>
      </c>
      <c r="AD581">
        <v>11</v>
      </c>
      <c r="AE581">
        <v>88</v>
      </c>
      <c r="AF581">
        <v>651.11</v>
      </c>
      <c r="AG581">
        <v>20.23</v>
      </c>
      <c r="AH581">
        <v>21.55</v>
      </c>
      <c r="AI581">
        <v>-0.08</v>
      </c>
      <c r="AJ581">
        <v>-0.01</v>
      </c>
      <c r="AK581">
        <v>69</v>
      </c>
      <c r="AL581">
        <v>0</v>
      </c>
      <c r="AM581">
        <v>0</v>
      </c>
      <c r="AN581">
        <v>-1.5</v>
      </c>
      <c r="AO581">
        <v>1.28</v>
      </c>
      <c r="AP581">
        <v>1010</v>
      </c>
      <c r="AQ581">
        <v>1</v>
      </c>
      <c r="AR581">
        <v>7.37</v>
      </c>
      <c r="AS581">
        <v>79</v>
      </c>
      <c r="AT581">
        <v>3.46</v>
      </c>
      <c r="AU581">
        <v>96</v>
      </c>
      <c r="AV581">
        <v>-2.99</v>
      </c>
      <c r="AW581">
        <v>99</v>
      </c>
      <c r="AX581">
        <v>0.56000000000000005</v>
      </c>
      <c r="AY581">
        <v>93</v>
      </c>
      <c r="AZ581">
        <v>5.6</v>
      </c>
      <c r="BA581">
        <v>44</v>
      </c>
      <c r="BB581">
        <v>4.6500000000000004</v>
      </c>
      <c r="BC581">
        <v>37</v>
      </c>
      <c r="BD581">
        <v>-0.05</v>
      </c>
      <c r="BE581">
        <v>-7.0000000000000007E-2</v>
      </c>
      <c r="BF581">
        <v>-0.17</v>
      </c>
      <c r="BG581">
        <v>75</v>
      </c>
      <c r="BH581">
        <v>-0.02</v>
      </c>
      <c r="BI581">
        <v>-13.22</v>
      </c>
      <c r="BJ581">
        <v>0</v>
      </c>
      <c r="BK581">
        <v>0</v>
      </c>
      <c r="BL581">
        <v>1.74</v>
      </c>
      <c r="BM581">
        <v>2.41</v>
      </c>
      <c r="BN581">
        <v>1.46</v>
      </c>
      <c r="BO581">
        <v>0.28000000000000003</v>
      </c>
      <c r="BP581">
        <v>-1.86</v>
      </c>
      <c r="BQ581">
        <v>2.81</v>
      </c>
      <c r="BR581">
        <v>0.13</v>
      </c>
      <c r="BS581">
        <v>2.82</v>
      </c>
      <c r="BT581">
        <v>0.7</v>
      </c>
      <c r="BU581">
        <v>4.18</v>
      </c>
      <c r="BV581">
        <v>2.4700000000000002</v>
      </c>
      <c r="BW581">
        <v>2.02</v>
      </c>
      <c r="BX581">
        <v>3</v>
      </c>
      <c r="BY581">
        <v>0.94</v>
      </c>
      <c r="BZ581">
        <v>-1.47</v>
      </c>
      <c r="CA581">
        <v>3.58</v>
      </c>
      <c r="CB581">
        <v>3.11</v>
      </c>
      <c r="CC581">
        <v>2.4500000000000002</v>
      </c>
      <c r="CD581">
        <v>1.34</v>
      </c>
      <c r="CE581">
        <v>0.99</v>
      </c>
      <c r="CF581">
        <v>1.79</v>
      </c>
      <c r="CG581">
        <v>0</v>
      </c>
      <c r="CH581">
        <v>1.07</v>
      </c>
      <c r="CI581">
        <v>0</v>
      </c>
      <c r="CJ581">
        <v>5.6</v>
      </c>
      <c r="CK581">
        <v>91</v>
      </c>
      <c r="CL581">
        <v>-1.19</v>
      </c>
      <c r="CM581">
        <v>89</v>
      </c>
      <c r="CN581">
        <v>-0.56999999999999995</v>
      </c>
      <c r="CO581">
        <v>88</v>
      </c>
      <c r="CP581">
        <v>12.7</v>
      </c>
      <c r="CQ581">
        <v>52</v>
      </c>
      <c r="CR581">
        <v>0</v>
      </c>
      <c r="CS581">
        <v>0</v>
      </c>
      <c r="CT581">
        <v>34.5</v>
      </c>
      <c r="CU581">
        <v>47</v>
      </c>
      <c r="CV581">
        <v>0.37</v>
      </c>
      <c r="CW581">
        <v>44</v>
      </c>
      <c r="CX581" t="s">
        <v>12664</v>
      </c>
    </row>
    <row r="582" spans="1:102" x14ac:dyDescent="0.3">
      <c r="A582" t="str">
        <f>HYPERLINK("https://webapp.icbf.com/v2/app/bull-search/view/910793312","WZR")</f>
        <v>WZR</v>
      </c>
      <c r="B582" t="s">
        <v>5621</v>
      </c>
      <c r="C582" t="s">
        <v>5622</v>
      </c>
      <c r="D582" s="1">
        <v>40418</v>
      </c>
      <c r="E582" t="s">
        <v>227</v>
      </c>
      <c r="F582">
        <v>25</v>
      </c>
      <c r="G582" t="s">
        <v>93</v>
      </c>
      <c r="H582">
        <v>176.62</v>
      </c>
      <c r="I582">
        <v>95</v>
      </c>
      <c r="J582">
        <v>93.86</v>
      </c>
      <c r="K582">
        <v>99</v>
      </c>
      <c r="L582">
        <v>32.01</v>
      </c>
      <c r="M582">
        <v>90</v>
      </c>
      <c r="N582">
        <v>56.49</v>
      </c>
      <c r="O582">
        <v>97</v>
      </c>
      <c r="P582">
        <v>-48.41</v>
      </c>
      <c r="Q582">
        <v>99</v>
      </c>
      <c r="R582">
        <v>-6.39</v>
      </c>
      <c r="S582">
        <v>90</v>
      </c>
      <c r="T582">
        <v>40.39</v>
      </c>
      <c r="U582">
        <v>98</v>
      </c>
      <c r="V582">
        <v>8.67</v>
      </c>
      <c r="W582">
        <v>79</v>
      </c>
      <c r="X582" t="s">
        <v>276</v>
      </c>
      <c r="Y582" t="s">
        <v>422</v>
      </c>
      <c r="Z582">
        <v>0</v>
      </c>
      <c r="AA582" t="s">
        <v>5623</v>
      </c>
      <c r="AB582" t="s">
        <v>144</v>
      </c>
      <c r="AC582">
        <v>964</v>
      </c>
      <c r="AD582">
        <v>189</v>
      </c>
      <c r="AE582">
        <v>99</v>
      </c>
      <c r="AF582">
        <v>-3.43</v>
      </c>
      <c r="AG582">
        <v>15.86</v>
      </c>
      <c r="AH582">
        <v>10.3</v>
      </c>
      <c r="AI582">
        <v>0.28000000000000003</v>
      </c>
      <c r="AJ582">
        <v>0.18</v>
      </c>
      <c r="AK582">
        <v>90</v>
      </c>
      <c r="AL582">
        <v>1069</v>
      </c>
      <c r="AM582">
        <v>205</v>
      </c>
      <c r="AN582">
        <v>-1.95</v>
      </c>
      <c r="AO582">
        <v>0.6</v>
      </c>
      <c r="AP582">
        <v>1779</v>
      </c>
      <c r="AQ582">
        <v>5</v>
      </c>
      <c r="AR582">
        <v>3.05</v>
      </c>
      <c r="AS582">
        <v>97</v>
      </c>
      <c r="AT582">
        <v>1.54</v>
      </c>
      <c r="AU582">
        <v>97</v>
      </c>
      <c r="AV582">
        <v>-4.4800000000000004</v>
      </c>
      <c r="AW582">
        <v>99</v>
      </c>
      <c r="AX582">
        <v>0.05</v>
      </c>
      <c r="AY582">
        <v>97</v>
      </c>
      <c r="AZ582">
        <v>6.07</v>
      </c>
      <c r="BA582">
        <v>93</v>
      </c>
      <c r="BB582">
        <v>4.9400000000000004</v>
      </c>
      <c r="BC582">
        <v>91</v>
      </c>
      <c r="BD582">
        <v>0</v>
      </c>
      <c r="BE582">
        <v>0.03</v>
      </c>
      <c r="BF582">
        <v>0.09</v>
      </c>
      <c r="BG582">
        <v>98</v>
      </c>
      <c r="BH582">
        <v>0.13</v>
      </c>
      <c r="BI582">
        <v>-12.94</v>
      </c>
      <c r="BJ582">
        <v>2</v>
      </c>
      <c r="BK582">
        <v>2</v>
      </c>
      <c r="BL582">
        <v>-2.83</v>
      </c>
      <c r="BM582">
        <v>-1.4</v>
      </c>
      <c r="BN582">
        <v>-0.27</v>
      </c>
      <c r="BO582">
        <v>0.46</v>
      </c>
      <c r="BP582">
        <v>-2.46</v>
      </c>
      <c r="BQ582">
        <v>-4.72</v>
      </c>
      <c r="BR582">
        <v>3.19</v>
      </c>
      <c r="BS582">
        <v>2.4500000000000002</v>
      </c>
      <c r="BT582">
        <v>-2.41</v>
      </c>
      <c r="BU582">
        <v>-2.3199999999999998</v>
      </c>
      <c r="BV582">
        <v>-1.74</v>
      </c>
      <c r="BW582">
        <v>-2.87</v>
      </c>
      <c r="BX582">
        <v>-3.87</v>
      </c>
      <c r="BY582">
        <v>-1.24</v>
      </c>
      <c r="BZ582">
        <v>-0.23</v>
      </c>
      <c r="CA582">
        <v>-0.8</v>
      </c>
      <c r="CB582">
        <v>-1.44</v>
      </c>
      <c r="CC582">
        <v>1</v>
      </c>
      <c r="CD582">
        <v>-1.7</v>
      </c>
      <c r="CE582">
        <v>0.06</v>
      </c>
      <c r="CF582">
        <v>-3.36</v>
      </c>
      <c r="CG582">
        <v>0</v>
      </c>
      <c r="CH582">
        <v>-1.62</v>
      </c>
      <c r="CI582">
        <v>0</v>
      </c>
      <c r="CJ582">
        <v>-24</v>
      </c>
      <c r="CK582">
        <v>99</v>
      </c>
      <c r="CL582">
        <v>-0.89</v>
      </c>
      <c r="CM582">
        <v>99</v>
      </c>
      <c r="CN582">
        <v>0.11</v>
      </c>
      <c r="CO582">
        <v>98</v>
      </c>
      <c r="CP582">
        <v>-32.1</v>
      </c>
      <c r="CQ582">
        <v>96</v>
      </c>
      <c r="CR582">
        <v>0</v>
      </c>
      <c r="CS582">
        <v>0</v>
      </c>
      <c r="CT582">
        <v>-40.799999999999997</v>
      </c>
      <c r="CU582">
        <v>98</v>
      </c>
      <c r="CV582">
        <v>-0.11</v>
      </c>
      <c r="CW582">
        <v>46</v>
      </c>
      <c r="CX582" t="s">
        <v>1451</v>
      </c>
    </row>
    <row r="583" spans="1:102" x14ac:dyDescent="0.3">
      <c r="A583" t="str">
        <f>HYPERLINK("https://webapp.icbf.com/v2/app/bull-search/view/1126729308","FR2028")</f>
        <v>FR2028</v>
      </c>
      <c r="B583" t="s">
        <v>13517</v>
      </c>
      <c r="C583" t="s">
        <v>6228</v>
      </c>
      <c r="D583" s="1">
        <v>41592</v>
      </c>
      <c r="E583" t="s">
        <v>92</v>
      </c>
      <c r="F583">
        <v>100</v>
      </c>
      <c r="G583" t="s">
        <v>93</v>
      </c>
      <c r="H583">
        <v>176.59</v>
      </c>
      <c r="I583">
        <v>92</v>
      </c>
      <c r="J583">
        <v>64.88</v>
      </c>
      <c r="K583">
        <v>99</v>
      </c>
      <c r="L583">
        <v>47.37</v>
      </c>
      <c r="M583">
        <v>86</v>
      </c>
      <c r="N583">
        <v>49.32</v>
      </c>
      <c r="O583">
        <v>96</v>
      </c>
      <c r="P583">
        <v>-5.67</v>
      </c>
      <c r="Q583">
        <v>98</v>
      </c>
      <c r="R583">
        <v>19.27</v>
      </c>
      <c r="S583">
        <v>84</v>
      </c>
      <c r="T583">
        <v>-1.86</v>
      </c>
      <c r="U583">
        <v>91</v>
      </c>
      <c r="V583">
        <v>3.28</v>
      </c>
      <c r="W583">
        <v>79</v>
      </c>
      <c r="X583" t="s">
        <v>94</v>
      </c>
      <c r="Y583" t="s">
        <v>416</v>
      </c>
      <c r="Z583" t="s">
        <v>96</v>
      </c>
      <c r="AA583" t="s">
        <v>432</v>
      </c>
      <c r="AB583" t="s">
        <v>6073</v>
      </c>
      <c r="AC583">
        <v>2077</v>
      </c>
      <c r="AD583">
        <v>558</v>
      </c>
      <c r="AE583">
        <v>99</v>
      </c>
      <c r="AF583">
        <v>156.83000000000001</v>
      </c>
      <c r="AG583">
        <v>12.76</v>
      </c>
      <c r="AH583">
        <v>8.92</v>
      </c>
      <c r="AI583">
        <v>0.11</v>
      </c>
      <c r="AJ583">
        <v>0.06</v>
      </c>
      <c r="AK583">
        <v>86</v>
      </c>
      <c r="AL583">
        <v>594</v>
      </c>
      <c r="AM583">
        <v>222</v>
      </c>
      <c r="AN583">
        <v>-1.62</v>
      </c>
      <c r="AO583">
        <v>2.17</v>
      </c>
      <c r="AP583">
        <v>7360</v>
      </c>
      <c r="AQ583">
        <v>17</v>
      </c>
      <c r="AR583">
        <v>4.42</v>
      </c>
      <c r="AS583">
        <v>99</v>
      </c>
      <c r="AT583">
        <v>2.08</v>
      </c>
      <c r="AU583">
        <v>99</v>
      </c>
      <c r="AV583">
        <v>-4.54</v>
      </c>
      <c r="AW583">
        <v>99</v>
      </c>
      <c r="AX583">
        <v>0.39</v>
      </c>
      <c r="AY583">
        <v>99</v>
      </c>
      <c r="AZ583">
        <v>5.65</v>
      </c>
      <c r="BA583">
        <v>95</v>
      </c>
      <c r="BB583">
        <v>5.36</v>
      </c>
      <c r="BC583">
        <v>74</v>
      </c>
      <c r="BD583">
        <v>-0.03</v>
      </c>
      <c r="BE583">
        <v>-7.0000000000000007E-2</v>
      </c>
      <c r="BF583">
        <v>-0.26</v>
      </c>
      <c r="BG583">
        <v>98</v>
      </c>
      <c r="BH583">
        <v>-0.08</v>
      </c>
      <c r="BI583">
        <v>-19.84</v>
      </c>
      <c r="BJ583">
        <v>192</v>
      </c>
      <c r="BK583">
        <v>71</v>
      </c>
      <c r="BL583">
        <v>0.79</v>
      </c>
      <c r="BM583">
        <v>0.42</v>
      </c>
      <c r="BN583">
        <v>0.21</v>
      </c>
      <c r="BO583">
        <v>0.3</v>
      </c>
      <c r="BP583">
        <v>-0.09</v>
      </c>
      <c r="BQ583">
        <v>1.45</v>
      </c>
      <c r="BR583">
        <v>-0.4</v>
      </c>
      <c r="BS583">
        <v>0.36</v>
      </c>
      <c r="BT583">
        <v>0.38</v>
      </c>
      <c r="BU583">
        <v>1.93</v>
      </c>
      <c r="BV583">
        <v>1.3</v>
      </c>
      <c r="BW583">
        <v>2.2000000000000002</v>
      </c>
      <c r="BX583">
        <v>2.23</v>
      </c>
      <c r="BY583">
        <v>1.24</v>
      </c>
      <c r="BZ583">
        <v>-0.2</v>
      </c>
      <c r="CA583">
        <v>1.46</v>
      </c>
      <c r="CB583">
        <v>1.68</v>
      </c>
      <c r="CC583">
        <v>0.27</v>
      </c>
      <c r="CD583">
        <v>0.91</v>
      </c>
      <c r="CE583">
        <v>0.4</v>
      </c>
      <c r="CF583">
        <v>1.38</v>
      </c>
      <c r="CG583">
        <v>0</v>
      </c>
      <c r="CH583">
        <v>1.31</v>
      </c>
      <c r="CI583">
        <v>0</v>
      </c>
      <c r="CJ583">
        <v>0.3</v>
      </c>
      <c r="CK583">
        <v>99</v>
      </c>
      <c r="CL583">
        <v>-1.1499999999999999</v>
      </c>
      <c r="CM583">
        <v>99</v>
      </c>
      <c r="CN583">
        <v>-0.43</v>
      </c>
      <c r="CO583">
        <v>99</v>
      </c>
      <c r="CP583">
        <v>5</v>
      </c>
      <c r="CQ583">
        <v>88</v>
      </c>
      <c r="CR583">
        <v>0</v>
      </c>
      <c r="CS583">
        <v>0</v>
      </c>
      <c r="CT583">
        <v>16.3</v>
      </c>
      <c r="CU583">
        <v>91</v>
      </c>
      <c r="CV583">
        <v>0.28999999999999998</v>
      </c>
      <c r="CW583">
        <v>46</v>
      </c>
      <c r="CX583" t="s">
        <v>309</v>
      </c>
    </row>
    <row r="584" spans="1:102" x14ac:dyDescent="0.3">
      <c r="A584" t="str">
        <f>HYPERLINK("https://webapp.icbf.com/v2/app/bull-search/view/865830162","TKG")</f>
        <v>TKG</v>
      </c>
      <c r="B584" t="s">
        <v>15118</v>
      </c>
      <c r="C584" t="s">
        <v>15119</v>
      </c>
      <c r="D584" s="1">
        <v>40577</v>
      </c>
      <c r="E584" t="s">
        <v>92</v>
      </c>
      <c r="F584">
        <v>78</v>
      </c>
      <c r="G584" t="s">
        <v>93</v>
      </c>
      <c r="H584">
        <v>176.55</v>
      </c>
      <c r="I584">
        <v>89</v>
      </c>
      <c r="J584">
        <v>9.5</v>
      </c>
      <c r="K584">
        <v>98</v>
      </c>
      <c r="L584">
        <v>98.75</v>
      </c>
      <c r="M584">
        <v>80</v>
      </c>
      <c r="N584">
        <v>51.48</v>
      </c>
      <c r="O584">
        <v>89</v>
      </c>
      <c r="P584">
        <v>-4.84</v>
      </c>
      <c r="Q584">
        <v>95</v>
      </c>
      <c r="R584">
        <v>13.32</v>
      </c>
      <c r="S584">
        <v>82</v>
      </c>
      <c r="T584">
        <v>1.91</v>
      </c>
      <c r="U584">
        <v>87</v>
      </c>
      <c r="V584">
        <v>6.43</v>
      </c>
      <c r="W584">
        <v>78</v>
      </c>
      <c r="X584" t="s">
        <v>102</v>
      </c>
      <c r="Y584" t="s">
        <v>1860</v>
      </c>
      <c r="Z584" t="s">
        <v>96</v>
      </c>
      <c r="AA584" t="s">
        <v>1942</v>
      </c>
      <c r="AB584" t="s">
        <v>15120</v>
      </c>
      <c r="AC584">
        <v>151</v>
      </c>
      <c r="AD584">
        <v>89</v>
      </c>
      <c r="AE584">
        <v>98</v>
      </c>
      <c r="AF584">
        <v>-77.7</v>
      </c>
      <c r="AG584">
        <v>-5.61</v>
      </c>
      <c r="AH584">
        <v>2.41</v>
      </c>
      <c r="AI584">
        <v>-0.05</v>
      </c>
      <c r="AJ584">
        <v>0.09</v>
      </c>
      <c r="AK584">
        <v>80</v>
      </c>
      <c r="AL584">
        <v>192</v>
      </c>
      <c r="AM584">
        <v>108</v>
      </c>
      <c r="AN584">
        <v>-4.21</v>
      </c>
      <c r="AO584">
        <v>3.68</v>
      </c>
      <c r="AP584">
        <v>315</v>
      </c>
      <c r="AQ584">
        <v>2</v>
      </c>
      <c r="AR584">
        <v>4.62</v>
      </c>
      <c r="AS584">
        <v>85</v>
      </c>
      <c r="AT584">
        <v>1.92</v>
      </c>
      <c r="AU584">
        <v>89</v>
      </c>
      <c r="AV584">
        <v>-3.75</v>
      </c>
      <c r="AW584">
        <v>97</v>
      </c>
      <c r="AX584">
        <v>-0.72</v>
      </c>
      <c r="AY584">
        <v>87</v>
      </c>
      <c r="AZ584">
        <v>4.97</v>
      </c>
      <c r="BA584">
        <v>73</v>
      </c>
      <c r="BB584">
        <v>4.53</v>
      </c>
      <c r="BC584">
        <v>70</v>
      </c>
      <c r="BD584">
        <v>-0.02</v>
      </c>
      <c r="BE584">
        <v>-7.0000000000000007E-2</v>
      </c>
      <c r="BF584">
        <v>-0.14000000000000001</v>
      </c>
      <c r="BG584">
        <v>90</v>
      </c>
      <c r="BH584">
        <v>-0.09</v>
      </c>
      <c r="BI584">
        <v>-31.14</v>
      </c>
      <c r="BJ584">
        <v>10</v>
      </c>
      <c r="BK584">
        <v>8</v>
      </c>
      <c r="BL584">
        <v>-0.33</v>
      </c>
      <c r="BM584">
        <v>0.74</v>
      </c>
      <c r="BN584">
        <v>-0.89</v>
      </c>
      <c r="BO584">
        <v>-1.1499999999999999</v>
      </c>
      <c r="BP584">
        <v>0.91</v>
      </c>
      <c r="BQ584">
        <v>0.27</v>
      </c>
      <c r="BR584">
        <v>-1.99</v>
      </c>
      <c r="BS584">
        <v>-0.93</v>
      </c>
      <c r="BT584">
        <v>1.22</v>
      </c>
      <c r="BU584">
        <v>-0.28000000000000003</v>
      </c>
      <c r="BV584">
        <v>-0.68</v>
      </c>
      <c r="BW584">
        <v>-7.0000000000000007E-2</v>
      </c>
      <c r="BX584">
        <v>0.5</v>
      </c>
      <c r="BY584">
        <v>-1.26</v>
      </c>
      <c r="BZ584">
        <v>-2.6</v>
      </c>
      <c r="CA584">
        <v>-0.65</v>
      </c>
      <c r="CB584">
        <v>-0.28999999999999998</v>
      </c>
      <c r="CC584">
        <v>-0.56999999999999995</v>
      </c>
      <c r="CD584">
        <v>1.19</v>
      </c>
      <c r="CE584">
        <v>-1.44</v>
      </c>
      <c r="CF584">
        <v>-0.01</v>
      </c>
      <c r="CG584">
        <v>0</v>
      </c>
      <c r="CH584">
        <v>-0.69</v>
      </c>
      <c r="CI584">
        <v>0</v>
      </c>
      <c r="CJ584">
        <v>-1.2</v>
      </c>
      <c r="CK584">
        <v>96</v>
      </c>
      <c r="CL584">
        <v>-0.64</v>
      </c>
      <c r="CM584">
        <v>95</v>
      </c>
      <c r="CN584">
        <v>-0.25</v>
      </c>
      <c r="CO584">
        <v>94</v>
      </c>
      <c r="CP584">
        <v>3.3</v>
      </c>
      <c r="CQ584">
        <v>87</v>
      </c>
      <c r="CR584">
        <v>0</v>
      </c>
      <c r="CS584">
        <v>0</v>
      </c>
      <c r="CT584">
        <v>11.2</v>
      </c>
      <c r="CU584">
        <v>87</v>
      </c>
      <c r="CV584">
        <v>0.1</v>
      </c>
      <c r="CW584">
        <v>47</v>
      </c>
      <c r="CX584" t="s">
        <v>1957</v>
      </c>
    </row>
    <row r="585" spans="1:102" x14ac:dyDescent="0.3">
      <c r="A585" t="str">
        <f>HYPERLINK("https://webapp.icbf.com/v2/app/bull-search/view/1137065982","FR2031")</f>
        <v>FR2031</v>
      </c>
      <c r="B585" t="s">
        <v>15164</v>
      </c>
      <c r="C585" t="s">
        <v>9487</v>
      </c>
      <c r="D585" s="1">
        <v>41672</v>
      </c>
      <c r="E585" t="s">
        <v>92</v>
      </c>
      <c r="F585">
        <v>84</v>
      </c>
      <c r="G585" t="s">
        <v>93</v>
      </c>
      <c r="H585">
        <v>176.49</v>
      </c>
      <c r="I585">
        <v>89</v>
      </c>
      <c r="J585">
        <v>68.33</v>
      </c>
      <c r="K585">
        <v>98</v>
      </c>
      <c r="L585">
        <v>49.16</v>
      </c>
      <c r="M585">
        <v>82</v>
      </c>
      <c r="N585">
        <v>56.57</v>
      </c>
      <c r="O585">
        <v>93</v>
      </c>
      <c r="P585">
        <v>-4.25</v>
      </c>
      <c r="Q585">
        <v>96</v>
      </c>
      <c r="R585">
        <v>7.83</v>
      </c>
      <c r="S585">
        <v>83</v>
      </c>
      <c r="T585">
        <v>2.2799999999999998</v>
      </c>
      <c r="U585">
        <v>80</v>
      </c>
      <c r="V585">
        <v>-3.43</v>
      </c>
      <c r="W585">
        <v>76</v>
      </c>
      <c r="X585" t="s">
        <v>94</v>
      </c>
      <c r="Y585" t="s">
        <v>416</v>
      </c>
      <c r="Z585" t="s">
        <v>96</v>
      </c>
      <c r="AA585" t="s">
        <v>2172</v>
      </c>
      <c r="AB585" t="s">
        <v>15165</v>
      </c>
      <c r="AC585">
        <v>505</v>
      </c>
      <c r="AD585">
        <v>226</v>
      </c>
      <c r="AE585">
        <v>98</v>
      </c>
      <c r="AF585">
        <v>368.85</v>
      </c>
      <c r="AG585">
        <v>5.67</v>
      </c>
      <c r="AH585">
        <v>15.26</v>
      </c>
      <c r="AI585">
        <v>-0.14000000000000001</v>
      </c>
      <c r="AJ585">
        <v>0.05</v>
      </c>
      <c r="AK585">
        <v>82</v>
      </c>
      <c r="AL585">
        <v>168</v>
      </c>
      <c r="AM585">
        <v>133</v>
      </c>
      <c r="AN585">
        <v>-2.74</v>
      </c>
      <c r="AO585">
        <v>1.18</v>
      </c>
      <c r="AP585">
        <v>4131</v>
      </c>
      <c r="AQ585">
        <v>7</v>
      </c>
      <c r="AR585">
        <v>4.54</v>
      </c>
      <c r="AS585">
        <v>99</v>
      </c>
      <c r="AT585">
        <v>1.93</v>
      </c>
      <c r="AU585">
        <v>98</v>
      </c>
      <c r="AV585">
        <v>-5.47</v>
      </c>
      <c r="AW585">
        <v>99</v>
      </c>
      <c r="AX585">
        <v>0.12</v>
      </c>
      <c r="AY585">
        <v>98</v>
      </c>
      <c r="AZ585">
        <v>5.46</v>
      </c>
      <c r="BA585">
        <v>86</v>
      </c>
      <c r="BB585">
        <v>5.72</v>
      </c>
      <c r="BC585">
        <v>61</v>
      </c>
      <c r="BD585">
        <v>-0.06</v>
      </c>
      <c r="BE585">
        <v>0</v>
      </c>
      <c r="BF585">
        <v>-0.08</v>
      </c>
      <c r="BG585">
        <v>94</v>
      </c>
      <c r="BH585">
        <v>-0.02</v>
      </c>
      <c r="BI585">
        <v>8.74</v>
      </c>
      <c r="BJ585">
        <v>4</v>
      </c>
      <c r="BK585">
        <v>3</v>
      </c>
      <c r="BL585">
        <v>-0.73</v>
      </c>
      <c r="BM585">
        <v>-0.44</v>
      </c>
      <c r="BN585">
        <v>-1.63</v>
      </c>
      <c r="BO585">
        <v>-0.93</v>
      </c>
      <c r="BP585">
        <v>0.48</v>
      </c>
      <c r="BQ585">
        <v>-0.64</v>
      </c>
      <c r="BR585">
        <v>-0.64</v>
      </c>
      <c r="BS585">
        <v>-1.04</v>
      </c>
      <c r="BT585">
        <v>-1.35</v>
      </c>
      <c r="BU585">
        <v>-0.17</v>
      </c>
      <c r="BV585">
        <v>-0.5</v>
      </c>
      <c r="BW585">
        <v>-0.97</v>
      </c>
      <c r="BX585">
        <v>0.53</v>
      </c>
      <c r="BY585">
        <v>-2.0499999999999998</v>
      </c>
      <c r="BZ585">
        <v>0.43</v>
      </c>
      <c r="CA585">
        <v>-0.23</v>
      </c>
      <c r="CB585">
        <v>-0.21</v>
      </c>
      <c r="CC585">
        <v>-0.76</v>
      </c>
      <c r="CD585">
        <v>-0.26</v>
      </c>
      <c r="CE585">
        <v>-0.5</v>
      </c>
      <c r="CF585">
        <v>-1.66</v>
      </c>
      <c r="CG585">
        <v>0</v>
      </c>
      <c r="CH585">
        <v>-1.6</v>
      </c>
      <c r="CI585">
        <v>0</v>
      </c>
      <c r="CJ585">
        <v>0.8</v>
      </c>
      <c r="CK585">
        <v>98</v>
      </c>
      <c r="CL585">
        <v>-0.65</v>
      </c>
      <c r="CM585">
        <v>97</v>
      </c>
      <c r="CN585">
        <v>-0.05</v>
      </c>
      <c r="CO585">
        <v>97</v>
      </c>
      <c r="CP585">
        <v>5.0999999999999996</v>
      </c>
      <c r="CQ585">
        <v>79</v>
      </c>
      <c r="CR585">
        <v>0</v>
      </c>
      <c r="CS585">
        <v>0</v>
      </c>
      <c r="CT585">
        <v>10.7</v>
      </c>
      <c r="CU585">
        <v>80</v>
      </c>
      <c r="CV585">
        <v>0.21</v>
      </c>
      <c r="CW585">
        <v>47</v>
      </c>
      <c r="CX585" t="s">
        <v>1165</v>
      </c>
    </row>
    <row r="586" spans="1:102" x14ac:dyDescent="0.3">
      <c r="A586" t="str">
        <f>HYPERLINK("https://webapp.icbf.com/v2/app/bull-search/view/1145127255","FR2062")</f>
        <v>FR2062</v>
      </c>
      <c r="B586" t="s">
        <v>2175</v>
      </c>
      <c r="C586" t="s">
        <v>2176</v>
      </c>
      <c r="D586" s="1">
        <v>41690</v>
      </c>
      <c r="E586" t="s">
        <v>92</v>
      </c>
      <c r="F586">
        <v>63</v>
      </c>
      <c r="G586" t="s">
        <v>93</v>
      </c>
      <c r="H586">
        <v>176.47</v>
      </c>
      <c r="I586">
        <v>84</v>
      </c>
      <c r="J586">
        <v>31.93</v>
      </c>
      <c r="K586">
        <v>96</v>
      </c>
      <c r="L586">
        <v>121.68</v>
      </c>
      <c r="M586">
        <v>76</v>
      </c>
      <c r="N586">
        <v>31.37</v>
      </c>
      <c r="O586">
        <v>85</v>
      </c>
      <c r="P586">
        <v>-11.97</v>
      </c>
      <c r="Q586">
        <v>92</v>
      </c>
      <c r="R586">
        <v>1.1200000000000001</v>
      </c>
      <c r="S586">
        <v>76</v>
      </c>
      <c r="T586">
        <v>-3.12</v>
      </c>
      <c r="U586">
        <v>71</v>
      </c>
      <c r="V586">
        <v>5.46</v>
      </c>
      <c r="W586">
        <v>71</v>
      </c>
      <c r="X586" t="s">
        <v>94</v>
      </c>
      <c r="Y586" t="s">
        <v>416</v>
      </c>
      <c r="Z586" t="s">
        <v>96</v>
      </c>
      <c r="AA586" t="s">
        <v>2177</v>
      </c>
      <c r="AB586" t="s">
        <v>2178</v>
      </c>
      <c r="AC586">
        <v>106</v>
      </c>
      <c r="AD586">
        <v>61</v>
      </c>
      <c r="AE586">
        <v>96</v>
      </c>
      <c r="AF586">
        <v>-154.26</v>
      </c>
      <c r="AG586">
        <v>3.73</v>
      </c>
      <c r="AH586">
        <v>1.75</v>
      </c>
      <c r="AI586">
        <v>0.17</v>
      </c>
      <c r="AJ586">
        <v>0.13</v>
      </c>
      <c r="AK586">
        <v>76</v>
      </c>
      <c r="AL586">
        <v>60</v>
      </c>
      <c r="AM586">
        <v>43</v>
      </c>
      <c r="AN586">
        <v>-7.73</v>
      </c>
      <c r="AO586">
        <v>1.96</v>
      </c>
      <c r="AP586">
        <v>280</v>
      </c>
      <c r="AQ586">
        <v>6</v>
      </c>
      <c r="AR586">
        <v>8.44</v>
      </c>
      <c r="AS586">
        <v>75</v>
      </c>
      <c r="AT586">
        <v>3.16</v>
      </c>
      <c r="AU586">
        <v>89</v>
      </c>
      <c r="AV586">
        <v>-4.3</v>
      </c>
      <c r="AW586">
        <v>97</v>
      </c>
      <c r="AX586">
        <v>-0.62</v>
      </c>
      <c r="AY586">
        <v>83</v>
      </c>
      <c r="AZ586">
        <v>7.87</v>
      </c>
      <c r="BA586">
        <v>68</v>
      </c>
      <c r="BB586">
        <v>4.9400000000000004</v>
      </c>
      <c r="BC586">
        <v>53</v>
      </c>
      <c r="BD586">
        <v>-0.01</v>
      </c>
      <c r="BE586">
        <v>-0.01</v>
      </c>
      <c r="BF586">
        <v>0.01</v>
      </c>
      <c r="BG586">
        <v>87</v>
      </c>
      <c r="BH586">
        <v>0.13</v>
      </c>
      <c r="BI586">
        <v>-2.57</v>
      </c>
      <c r="BJ586">
        <v>2</v>
      </c>
      <c r="BK586">
        <v>1</v>
      </c>
      <c r="BL586">
        <v>-1</v>
      </c>
      <c r="BM586">
        <v>-0.44</v>
      </c>
      <c r="BN586">
        <v>-1.49</v>
      </c>
      <c r="BO586">
        <v>-1.4</v>
      </c>
      <c r="BP586">
        <v>1.19</v>
      </c>
      <c r="BQ586">
        <v>-0.94</v>
      </c>
      <c r="BR586">
        <v>-0.87</v>
      </c>
      <c r="BS586">
        <v>-0.99</v>
      </c>
      <c r="BT586">
        <v>-0.21</v>
      </c>
      <c r="BU586">
        <v>0.09</v>
      </c>
      <c r="BV586">
        <v>-0.31</v>
      </c>
      <c r="BW586">
        <v>-0.62</v>
      </c>
      <c r="BX586">
        <v>-0.04</v>
      </c>
      <c r="BY586">
        <v>-0.73</v>
      </c>
      <c r="BZ586">
        <v>-1.21</v>
      </c>
      <c r="CA586">
        <v>-0.62</v>
      </c>
      <c r="CB586">
        <v>-0.33</v>
      </c>
      <c r="CC586">
        <v>-1.43</v>
      </c>
      <c r="CD586">
        <v>0.74</v>
      </c>
      <c r="CE586">
        <v>-0.86</v>
      </c>
      <c r="CF586">
        <v>-0.43</v>
      </c>
      <c r="CG586">
        <v>0</v>
      </c>
      <c r="CH586">
        <v>-1.04</v>
      </c>
      <c r="CI586">
        <v>0</v>
      </c>
      <c r="CJ586">
        <v>-3.5</v>
      </c>
      <c r="CK586">
        <v>94</v>
      </c>
      <c r="CL586">
        <v>-0.56999999999999995</v>
      </c>
      <c r="CM586">
        <v>93</v>
      </c>
      <c r="CN586">
        <v>0.1</v>
      </c>
      <c r="CO586">
        <v>92</v>
      </c>
      <c r="CP586">
        <v>-0.6</v>
      </c>
      <c r="CQ586">
        <v>70</v>
      </c>
      <c r="CR586">
        <v>0</v>
      </c>
      <c r="CS586">
        <v>0</v>
      </c>
      <c r="CT586">
        <v>18</v>
      </c>
      <c r="CU586">
        <v>71</v>
      </c>
      <c r="CV586">
        <v>0.1</v>
      </c>
      <c r="CW586">
        <v>45</v>
      </c>
      <c r="CX586" t="s">
        <v>792</v>
      </c>
    </row>
    <row r="587" spans="1:102" x14ac:dyDescent="0.3">
      <c r="A587" t="str">
        <f>HYPERLINK("https://webapp.icbf.com/v2/app/bull-search/view/666761478","MXK")</f>
        <v>MXK</v>
      </c>
      <c r="B587" t="s">
        <v>1763</v>
      </c>
      <c r="C587" t="s">
        <v>1764</v>
      </c>
      <c r="D587" s="1">
        <v>39841</v>
      </c>
      <c r="E587" t="s">
        <v>92</v>
      </c>
      <c r="F587">
        <v>84</v>
      </c>
      <c r="G587" t="s">
        <v>93</v>
      </c>
      <c r="H587">
        <v>176.44</v>
      </c>
      <c r="I587">
        <v>87</v>
      </c>
      <c r="J587">
        <v>19.38</v>
      </c>
      <c r="K587">
        <v>97</v>
      </c>
      <c r="L587">
        <v>109.32</v>
      </c>
      <c r="M587">
        <v>79</v>
      </c>
      <c r="N587">
        <v>40.020000000000003</v>
      </c>
      <c r="O587">
        <v>86</v>
      </c>
      <c r="P587">
        <v>-23.44</v>
      </c>
      <c r="Q587">
        <v>92</v>
      </c>
      <c r="R587">
        <v>9.5399999999999991</v>
      </c>
      <c r="S587">
        <v>80</v>
      </c>
      <c r="T587">
        <v>22.78</v>
      </c>
      <c r="U587">
        <v>84</v>
      </c>
      <c r="V587">
        <v>-1.1599999999999999</v>
      </c>
      <c r="W587">
        <v>75</v>
      </c>
      <c r="X587" t="s">
        <v>94</v>
      </c>
      <c r="Y587" t="s">
        <v>1727</v>
      </c>
      <c r="Z587" t="s">
        <v>96</v>
      </c>
      <c r="AA587" t="s">
        <v>1641</v>
      </c>
      <c r="AB587" t="s">
        <v>1765</v>
      </c>
      <c r="AC587">
        <v>83</v>
      </c>
      <c r="AD587">
        <v>63</v>
      </c>
      <c r="AE587">
        <v>97</v>
      </c>
      <c r="AF587">
        <v>-247.32</v>
      </c>
      <c r="AG587">
        <v>6.73</v>
      </c>
      <c r="AH587">
        <v>-2.87</v>
      </c>
      <c r="AI587">
        <v>0.3</v>
      </c>
      <c r="AJ587">
        <v>0.1</v>
      </c>
      <c r="AK587">
        <v>79</v>
      </c>
      <c r="AL587">
        <v>80</v>
      </c>
      <c r="AM587">
        <v>58</v>
      </c>
      <c r="AN587">
        <v>-5.04</v>
      </c>
      <c r="AO587">
        <v>3.69</v>
      </c>
      <c r="AP587">
        <v>183</v>
      </c>
      <c r="AQ587">
        <v>2</v>
      </c>
      <c r="AR587">
        <v>5.21</v>
      </c>
      <c r="AS587">
        <v>75</v>
      </c>
      <c r="AT587">
        <v>1.89</v>
      </c>
      <c r="AU587">
        <v>88</v>
      </c>
      <c r="AV587">
        <v>-2.75</v>
      </c>
      <c r="AW587">
        <v>96</v>
      </c>
      <c r="AX587">
        <v>0.15</v>
      </c>
      <c r="AY587">
        <v>80</v>
      </c>
      <c r="AZ587">
        <v>5.73</v>
      </c>
      <c r="BA587">
        <v>68</v>
      </c>
      <c r="BB587">
        <v>4.3899999999999997</v>
      </c>
      <c r="BC587">
        <v>69</v>
      </c>
      <c r="BD587">
        <v>-0.08</v>
      </c>
      <c r="BE587">
        <v>-0.04</v>
      </c>
      <c r="BF587">
        <v>-0.01</v>
      </c>
      <c r="BG587">
        <v>89</v>
      </c>
      <c r="BH587">
        <v>-0.09</v>
      </c>
      <c r="BI587">
        <v>-6.66</v>
      </c>
      <c r="BJ587">
        <v>23</v>
      </c>
      <c r="BK587">
        <v>14</v>
      </c>
      <c r="BL587">
        <v>-2.88</v>
      </c>
      <c r="BM587">
        <v>-1.41</v>
      </c>
      <c r="BN587">
        <v>-4.18</v>
      </c>
      <c r="BO587">
        <v>-2.5299999999999998</v>
      </c>
      <c r="BP587">
        <v>1.02</v>
      </c>
      <c r="BQ587">
        <v>-3.5</v>
      </c>
      <c r="BR587">
        <v>0.12</v>
      </c>
      <c r="BS587">
        <v>-0.22</v>
      </c>
      <c r="BT587">
        <v>-1.57</v>
      </c>
      <c r="BU587">
        <v>-2.5</v>
      </c>
      <c r="BV587">
        <v>-3.45</v>
      </c>
      <c r="BW587">
        <v>-3.68</v>
      </c>
      <c r="BX587">
        <v>-2.38</v>
      </c>
      <c r="BY587">
        <v>-1.65</v>
      </c>
      <c r="BZ587">
        <v>2.64</v>
      </c>
      <c r="CA587">
        <v>-2.14</v>
      </c>
      <c r="CB587">
        <v>-2.96</v>
      </c>
      <c r="CC587">
        <v>0.69</v>
      </c>
      <c r="CD587">
        <v>1.37</v>
      </c>
      <c r="CE587">
        <v>-2.69</v>
      </c>
      <c r="CF587">
        <v>-3.78</v>
      </c>
      <c r="CG587">
        <v>0</v>
      </c>
      <c r="CH587">
        <v>-1.47</v>
      </c>
      <c r="CI587">
        <v>0</v>
      </c>
      <c r="CJ587">
        <v>-13.5</v>
      </c>
      <c r="CK587">
        <v>94</v>
      </c>
      <c r="CL587">
        <v>-0.55000000000000004</v>
      </c>
      <c r="CM587">
        <v>92</v>
      </c>
      <c r="CN587">
        <v>-0.34</v>
      </c>
      <c r="CO587">
        <v>91</v>
      </c>
      <c r="CP587">
        <v>-20.8</v>
      </c>
      <c r="CQ587">
        <v>85</v>
      </c>
      <c r="CR587">
        <v>0</v>
      </c>
      <c r="CS587">
        <v>0</v>
      </c>
      <c r="CT587">
        <v>-17</v>
      </c>
      <c r="CU587">
        <v>84</v>
      </c>
      <c r="CV587">
        <v>-0.04</v>
      </c>
      <c r="CW587">
        <v>45</v>
      </c>
      <c r="CX587" t="s">
        <v>1094</v>
      </c>
    </row>
    <row r="588" spans="1:102" x14ac:dyDescent="0.3">
      <c r="A588" t="str">
        <f>HYPERLINK("https://webapp.icbf.com/v2/app/bull-search/view/1419447065","FR4354")</f>
        <v>FR4354</v>
      </c>
      <c r="B588" t="s">
        <v>9449</v>
      </c>
      <c r="C588" t="s">
        <v>9450</v>
      </c>
      <c r="D588" s="1">
        <v>42239</v>
      </c>
      <c r="E588" t="s">
        <v>92</v>
      </c>
      <c r="F588">
        <v>100</v>
      </c>
      <c r="G588" t="s">
        <v>435</v>
      </c>
      <c r="H588">
        <v>176.42</v>
      </c>
      <c r="I588">
        <v>71</v>
      </c>
      <c r="J588">
        <v>75.86</v>
      </c>
      <c r="K588">
        <v>89</v>
      </c>
      <c r="L588">
        <v>39.770000000000003</v>
      </c>
      <c r="M588">
        <v>68</v>
      </c>
      <c r="N588">
        <v>41.41</v>
      </c>
      <c r="O588">
        <v>76</v>
      </c>
      <c r="P588">
        <v>-9.4499999999999993</v>
      </c>
      <c r="Q588">
        <v>43</v>
      </c>
      <c r="R588">
        <v>20.77</v>
      </c>
      <c r="S588">
        <v>65</v>
      </c>
      <c r="T588">
        <v>0.43</v>
      </c>
      <c r="U588">
        <v>36</v>
      </c>
      <c r="V588">
        <v>7.63</v>
      </c>
      <c r="W588">
        <v>55</v>
      </c>
      <c r="X588" t="s">
        <v>94</v>
      </c>
      <c r="Y588" t="s">
        <v>2261</v>
      </c>
      <c r="Z588" t="s">
        <v>96</v>
      </c>
      <c r="AA588" t="s">
        <v>2737</v>
      </c>
      <c r="AB588" t="s">
        <v>9451</v>
      </c>
      <c r="AC588">
        <v>0</v>
      </c>
      <c r="AD588">
        <v>0</v>
      </c>
      <c r="AE588">
        <v>89</v>
      </c>
      <c r="AF588">
        <v>304.89999999999998</v>
      </c>
      <c r="AG588">
        <v>16.59</v>
      </c>
      <c r="AH588">
        <v>11.7</v>
      </c>
      <c r="AI588">
        <v>7.0000000000000007E-2</v>
      </c>
      <c r="AJ588">
        <v>0.03</v>
      </c>
      <c r="AK588">
        <v>68</v>
      </c>
      <c r="AL588">
        <v>0</v>
      </c>
      <c r="AM588">
        <v>0</v>
      </c>
      <c r="AN588">
        <v>-1.49</v>
      </c>
      <c r="AO588">
        <v>1.69</v>
      </c>
      <c r="AP588">
        <v>103</v>
      </c>
      <c r="AQ588">
        <v>0</v>
      </c>
      <c r="AR588">
        <v>5.68</v>
      </c>
      <c r="AS588">
        <v>68</v>
      </c>
      <c r="AT588">
        <v>2.27</v>
      </c>
      <c r="AU588">
        <v>85</v>
      </c>
      <c r="AV588">
        <v>-4.0599999999999996</v>
      </c>
      <c r="AW588">
        <v>90</v>
      </c>
      <c r="AX588">
        <v>0.56000000000000005</v>
      </c>
      <c r="AY588">
        <v>70</v>
      </c>
      <c r="AZ588">
        <v>6.15</v>
      </c>
      <c r="BA588">
        <v>35</v>
      </c>
      <c r="BB588">
        <v>5.21</v>
      </c>
      <c r="BC588">
        <v>35</v>
      </c>
      <c r="BD588">
        <v>-0.1</v>
      </c>
      <c r="BE588">
        <v>-0.09</v>
      </c>
      <c r="BF588">
        <v>-0.14000000000000001</v>
      </c>
      <c r="BG588">
        <v>79</v>
      </c>
      <c r="BH588">
        <v>-0.05</v>
      </c>
      <c r="BI588">
        <v>-30.39</v>
      </c>
      <c r="BJ588">
        <v>0</v>
      </c>
      <c r="BK588">
        <v>0</v>
      </c>
      <c r="BL588">
        <v>1.19</v>
      </c>
      <c r="BM588">
        <v>-1.19</v>
      </c>
      <c r="BN588">
        <v>0.24</v>
      </c>
      <c r="BO588">
        <v>1.49</v>
      </c>
      <c r="BP588">
        <v>0.16</v>
      </c>
      <c r="BQ588">
        <v>0.31</v>
      </c>
      <c r="BR588">
        <v>-0.91</v>
      </c>
      <c r="BS588">
        <v>0.86</v>
      </c>
      <c r="BT588">
        <v>0.74</v>
      </c>
      <c r="BU588">
        <v>2.41</v>
      </c>
      <c r="BV588">
        <v>3.23</v>
      </c>
      <c r="BW588">
        <v>3.16</v>
      </c>
      <c r="BX588">
        <v>1.99</v>
      </c>
      <c r="BY588">
        <v>1.98</v>
      </c>
      <c r="BZ588">
        <v>-0.61</v>
      </c>
      <c r="CA588">
        <v>2.75</v>
      </c>
      <c r="CB588">
        <v>2.67</v>
      </c>
      <c r="CC588">
        <v>1.4</v>
      </c>
      <c r="CD588">
        <v>-0.96</v>
      </c>
      <c r="CE588">
        <v>1.82</v>
      </c>
      <c r="CF588">
        <v>2.5299999999999998</v>
      </c>
      <c r="CG588">
        <v>0</v>
      </c>
      <c r="CH588">
        <v>2.48</v>
      </c>
      <c r="CI588">
        <v>0</v>
      </c>
      <c r="CJ588">
        <v>-2</v>
      </c>
      <c r="CK588">
        <v>46</v>
      </c>
      <c r="CL588">
        <v>-1.57</v>
      </c>
      <c r="CM588">
        <v>38</v>
      </c>
      <c r="CN588">
        <v>-0.76</v>
      </c>
      <c r="CO588">
        <v>38</v>
      </c>
      <c r="CP588">
        <v>4.0999999999999996</v>
      </c>
      <c r="CQ588">
        <v>38</v>
      </c>
      <c r="CR588">
        <v>0</v>
      </c>
      <c r="CS588">
        <v>0</v>
      </c>
      <c r="CT588">
        <v>13.2</v>
      </c>
      <c r="CU588">
        <v>36</v>
      </c>
      <c r="CV588">
        <v>0.28000000000000003</v>
      </c>
      <c r="CW588">
        <v>33</v>
      </c>
      <c r="CX588" t="s">
        <v>3137</v>
      </c>
    </row>
    <row r="589" spans="1:102" x14ac:dyDescent="0.3">
      <c r="A589" t="str">
        <f>HYPERLINK("https://webapp.icbf.com/v2/app/bull-search/view/1147031776","FR2008")</f>
        <v>FR2008</v>
      </c>
      <c r="B589" t="s">
        <v>13508</v>
      </c>
      <c r="C589" t="s">
        <v>13509</v>
      </c>
      <c r="D589" s="1">
        <v>41700</v>
      </c>
      <c r="E589" t="s">
        <v>92</v>
      </c>
      <c r="F589">
        <v>88</v>
      </c>
      <c r="G589" t="s">
        <v>93</v>
      </c>
      <c r="H589">
        <v>176.39</v>
      </c>
      <c r="I589">
        <v>89</v>
      </c>
      <c r="J589">
        <v>88.43</v>
      </c>
      <c r="K589">
        <v>98</v>
      </c>
      <c r="L589">
        <v>48.17</v>
      </c>
      <c r="M589">
        <v>82</v>
      </c>
      <c r="N589">
        <v>34.270000000000003</v>
      </c>
      <c r="O589">
        <v>90</v>
      </c>
      <c r="P589">
        <v>-7.02</v>
      </c>
      <c r="Q589">
        <v>95</v>
      </c>
      <c r="R589">
        <v>5.86</v>
      </c>
      <c r="S589">
        <v>83</v>
      </c>
      <c r="T589">
        <v>1.32</v>
      </c>
      <c r="U589">
        <v>87</v>
      </c>
      <c r="V589">
        <v>5.36</v>
      </c>
      <c r="W589">
        <v>76</v>
      </c>
      <c r="X589" t="s">
        <v>102</v>
      </c>
      <c r="Y589" t="s">
        <v>416</v>
      </c>
      <c r="Z589" t="s">
        <v>96</v>
      </c>
      <c r="AA589" t="s">
        <v>2711</v>
      </c>
      <c r="AB589" t="s">
        <v>13510</v>
      </c>
      <c r="AC589">
        <v>261</v>
      </c>
      <c r="AD589">
        <v>110</v>
      </c>
      <c r="AE589">
        <v>98</v>
      </c>
      <c r="AF589">
        <v>194.46</v>
      </c>
      <c r="AG589">
        <v>17.29</v>
      </c>
      <c r="AH589">
        <v>11.9</v>
      </c>
      <c r="AI589">
        <v>0.16</v>
      </c>
      <c r="AJ589">
        <v>0.09</v>
      </c>
      <c r="AK589">
        <v>82</v>
      </c>
      <c r="AL589">
        <v>233</v>
      </c>
      <c r="AM589">
        <v>103</v>
      </c>
      <c r="AN589">
        <v>-0.42</v>
      </c>
      <c r="AO589">
        <v>3.45</v>
      </c>
      <c r="AP589">
        <v>635</v>
      </c>
      <c r="AQ589">
        <v>2</v>
      </c>
      <c r="AR589">
        <v>4.82</v>
      </c>
      <c r="AS589">
        <v>85</v>
      </c>
      <c r="AT589">
        <v>2.31</v>
      </c>
      <c r="AU589">
        <v>94</v>
      </c>
      <c r="AV589">
        <v>-2.29</v>
      </c>
      <c r="AW589">
        <v>98</v>
      </c>
      <c r="AX589">
        <v>-0.44</v>
      </c>
      <c r="AY589">
        <v>90</v>
      </c>
      <c r="AZ589">
        <v>5.39</v>
      </c>
      <c r="BA589">
        <v>79</v>
      </c>
      <c r="BB589">
        <v>4.84</v>
      </c>
      <c r="BC589">
        <v>65</v>
      </c>
      <c r="BD589">
        <v>-0.04</v>
      </c>
      <c r="BE589">
        <v>-0.02</v>
      </c>
      <c r="BF589">
        <v>-0.03</v>
      </c>
      <c r="BG589">
        <v>93</v>
      </c>
      <c r="BH589">
        <v>0.21</v>
      </c>
      <c r="BI589">
        <v>6.99</v>
      </c>
      <c r="BJ589">
        <v>15</v>
      </c>
      <c r="BK589">
        <v>9</v>
      </c>
      <c r="BL589">
        <v>-0.34</v>
      </c>
      <c r="BM589">
        <v>0.86</v>
      </c>
      <c r="BN589">
        <v>0.98</v>
      </c>
      <c r="BO589">
        <v>0.44</v>
      </c>
      <c r="BP589">
        <v>2.46</v>
      </c>
      <c r="BQ589">
        <v>1.25</v>
      </c>
      <c r="BR589">
        <v>2.5099999999999998</v>
      </c>
      <c r="BS589">
        <v>-0.6</v>
      </c>
      <c r="BT589">
        <v>-0.88</v>
      </c>
      <c r="BU589">
        <v>0.17</v>
      </c>
      <c r="BV589">
        <v>-0.83</v>
      </c>
      <c r="BW589">
        <v>0.37</v>
      </c>
      <c r="BX589">
        <v>-0.83</v>
      </c>
      <c r="BY589">
        <v>0.62</v>
      </c>
      <c r="BZ589">
        <v>-0.93</v>
      </c>
      <c r="CA589">
        <v>0.01</v>
      </c>
      <c r="CB589">
        <v>0.05</v>
      </c>
      <c r="CC589">
        <v>-0.01</v>
      </c>
      <c r="CD589">
        <v>-0.05</v>
      </c>
      <c r="CE589">
        <v>0.42</v>
      </c>
      <c r="CF589">
        <v>0.34</v>
      </c>
      <c r="CG589">
        <v>0</v>
      </c>
      <c r="CH589">
        <v>-0.67</v>
      </c>
      <c r="CI589">
        <v>0</v>
      </c>
      <c r="CJ589">
        <v>-2.1</v>
      </c>
      <c r="CK589">
        <v>97</v>
      </c>
      <c r="CL589">
        <v>-0.77</v>
      </c>
      <c r="CM589">
        <v>96</v>
      </c>
      <c r="CN589">
        <v>-0.32</v>
      </c>
      <c r="CO589">
        <v>95</v>
      </c>
      <c r="CP589">
        <v>0.5</v>
      </c>
      <c r="CQ589">
        <v>80</v>
      </c>
      <c r="CR589">
        <v>0</v>
      </c>
      <c r="CS589">
        <v>0</v>
      </c>
      <c r="CT589">
        <v>12</v>
      </c>
      <c r="CU589">
        <v>87</v>
      </c>
      <c r="CV589">
        <v>0.22</v>
      </c>
      <c r="CW589">
        <v>46</v>
      </c>
      <c r="CX589" t="s">
        <v>4532</v>
      </c>
    </row>
    <row r="590" spans="1:102" x14ac:dyDescent="0.3">
      <c r="A590" t="str">
        <f>HYPERLINK("https://webapp.icbf.com/v2/app/bull-search/view/910793949","FR2089")</f>
        <v>FR2089</v>
      </c>
      <c r="B590" t="s">
        <v>13573</v>
      </c>
      <c r="C590" t="s">
        <v>13574</v>
      </c>
      <c r="D590" s="1">
        <v>40279</v>
      </c>
      <c r="E590" t="s">
        <v>92</v>
      </c>
      <c r="F590">
        <v>56</v>
      </c>
      <c r="G590" t="s">
        <v>93</v>
      </c>
      <c r="H590">
        <v>176.27</v>
      </c>
      <c r="I590">
        <v>93</v>
      </c>
      <c r="J590">
        <v>89.75</v>
      </c>
      <c r="K590">
        <v>99</v>
      </c>
      <c r="L590">
        <v>64.88</v>
      </c>
      <c r="M590">
        <v>87</v>
      </c>
      <c r="N590">
        <v>35.119999999999997</v>
      </c>
      <c r="O590">
        <v>96</v>
      </c>
      <c r="P590">
        <v>-28.43</v>
      </c>
      <c r="Q590">
        <v>99</v>
      </c>
      <c r="R590">
        <v>-10.37</v>
      </c>
      <c r="S590">
        <v>85</v>
      </c>
      <c r="T590">
        <v>20.12</v>
      </c>
      <c r="U590">
        <v>98</v>
      </c>
      <c r="V590">
        <v>5.2</v>
      </c>
      <c r="W590">
        <v>76</v>
      </c>
      <c r="X590" t="s">
        <v>276</v>
      </c>
      <c r="Y590" t="s">
        <v>405</v>
      </c>
      <c r="Z590" t="s">
        <v>330</v>
      </c>
      <c r="AA590" t="s">
        <v>2278</v>
      </c>
      <c r="AB590" t="s">
        <v>9500</v>
      </c>
      <c r="AC590">
        <v>1894</v>
      </c>
      <c r="AD590">
        <v>376</v>
      </c>
      <c r="AE590">
        <v>99</v>
      </c>
      <c r="AF590">
        <v>-63.66</v>
      </c>
      <c r="AG590">
        <v>16.420000000000002</v>
      </c>
      <c r="AH590">
        <v>8.48</v>
      </c>
      <c r="AI590">
        <v>0.33</v>
      </c>
      <c r="AJ590">
        <v>0.19</v>
      </c>
      <c r="AK590">
        <v>87</v>
      </c>
      <c r="AL590">
        <v>905</v>
      </c>
      <c r="AM590">
        <v>218</v>
      </c>
      <c r="AN590">
        <v>-3.84</v>
      </c>
      <c r="AO590">
        <v>1.33</v>
      </c>
      <c r="AP590">
        <v>8928</v>
      </c>
      <c r="AQ590">
        <v>16</v>
      </c>
      <c r="AR590">
        <v>4.46</v>
      </c>
      <c r="AS590">
        <v>97</v>
      </c>
      <c r="AT590">
        <v>2.21</v>
      </c>
      <c r="AU590">
        <v>99</v>
      </c>
      <c r="AV590">
        <v>-3.12</v>
      </c>
      <c r="AW590">
        <v>99</v>
      </c>
      <c r="AX590">
        <v>-0.14000000000000001</v>
      </c>
      <c r="AY590">
        <v>99</v>
      </c>
      <c r="AZ590">
        <v>7.25</v>
      </c>
      <c r="BA590">
        <v>96</v>
      </c>
      <c r="BB590">
        <v>5.54</v>
      </c>
      <c r="BC590">
        <v>79</v>
      </c>
      <c r="BD590">
        <v>-0.01</v>
      </c>
      <c r="BE590">
        <v>0.05</v>
      </c>
      <c r="BF590">
        <v>0.16</v>
      </c>
      <c r="BG590">
        <v>98</v>
      </c>
      <c r="BH590">
        <v>0.1</v>
      </c>
      <c r="BI590">
        <v>-5.22</v>
      </c>
      <c r="BJ590">
        <v>1</v>
      </c>
      <c r="BK590">
        <v>1</v>
      </c>
      <c r="BL590">
        <v>-1.21</v>
      </c>
      <c r="BM590">
        <v>1.1399999999999999</v>
      </c>
      <c r="BN590">
        <v>0.09</v>
      </c>
      <c r="BO590">
        <v>-0.51</v>
      </c>
      <c r="BP590">
        <v>0.74</v>
      </c>
      <c r="BQ590">
        <v>-2.4700000000000002</v>
      </c>
      <c r="BR590">
        <v>1.46</v>
      </c>
      <c r="BS590">
        <v>-0.44</v>
      </c>
      <c r="BT590">
        <v>-2.36</v>
      </c>
      <c r="BU590">
        <v>-0.5</v>
      </c>
      <c r="BV590">
        <v>-0.67</v>
      </c>
      <c r="BW590">
        <v>-0.5</v>
      </c>
      <c r="BX590">
        <v>-1.41</v>
      </c>
      <c r="BY590">
        <v>-1.18</v>
      </c>
      <c r="BZ590">
        <v>-0.71</v>
      </c>
      <c r="CA590">
        <v>-0.64</v>
      </c>
      <c r="CB590">
        <v>-0.73</v>
      </c>
      <c r="CC590">
        <v>-1.02</v>
      </c>
      <c r="CD590">
        <v>-0.03</v>
      </c>
      <c r="CE590">
        <v>-0.41</v>
      </c>
      <c r="CF590">
        <v>-2</v>
      </c>
      <c r="CG590">
        <v>0</v>
      </c>
      <c r="CH590">
        <v>-0.33</v>
      </c>
      <c r="CI590">
        <v>0</v>
      </c>
      <c r="CJ590">
        <v>-15.7</v>
      </c>
      <c r="CK590">
        <v>99</v>
      </c>
      <c r="CL590">
        <v>-0.94</v>
      </c>
      <c r="CM590">
        <v>99</v>
      </c>
      <c r="CN590">
        <v>-0.46</v>
      </c>
      <c r="CO590">
        <v>99</v>
      </c>
      <c r="CP590">
        <v>-16.3</v>
      </c>
      <c r="CQ590">
        <v>93</v>
      </c>
      <c r="CR590">
        <v>0</v>
      </c>
      <c r="CS590">
        <v>0</v>
      </c>
      <c r="CT590">
        <v>-13.4</v>
      </c>
      <c r="CU590">
        <v>98</v>
      </c>
      <c r="CV590">
        <v>-0.21</v>
      </c>
      <c r="CW590">
        <v>55</v>
      </c>
      <c r="CX590" t="s">
        <v>5213</v>
      </c>
    </row>
    <row r="591" spans="1:102" x14ac:dyDescent="0.3">
      <c r="A591" t="str">
        <f>HYPERLINK("https://webapp.icbf.com/v2/app/bull-search/view/910796870","APW")</f>
        <v>APW</v>
      </c>
      <c r="B591" t="s">
        <v>13328</v>
      </c>
      <c r="C591" t="s">
        <v>9474</v>
      </c>
      <c r="D591" s="1">
        <v>40417</v>
      </c>
      <c r="E591" t="s">
        <v>227</v>
      </c>
      <c r="F591">
        <v>16</v>
      </c>
      <c r="G591" t="s">
        <v>93</v>
      </c>
      <c r="H591">
        <v>176.23</v>
      </c>
      <c r="I591">
        <v>90</v>
      </c>
      <c r="J591">
        <v>110.18</v>
      </c>
      <c r="K591">
        <v>99</v>
      </c>
      <c r="L591">
        <v>29.04</v>
      </c>
      <c r="M591">
        <v>86</v>
      </c>
      <c r="N591">
        <v>48.25</v>
      </c>
      <c r="O591">
        <v>96</v>
      </c>
      <c r="P591">
        <v>-29.81</v>
      </c>
      <c r="Q591">
        <v>99</v>
      </c>
      <c r="R591">
        <v>-5.29</v>
      </c>
      <c r="S591">
        <v>76</v>
      </c>
      <c r="T591">
        <v>20.260000000000002</v>
      </c>
      <c r="U591">
        <v>98</v>
      </c>
      <c r="V591">
        <v>3.6</v>
      </c>
      <c r="W591">
        <v>25</v>
      </c>
      <c r="X591" t="s">
        <v>276</v>
      </c>
      <c r="Y591" t="s">
        <v>422</v>
      </c>
      <c r="Z591">
        <v>0</v>
      </c>
      <c r="AA591" t="s">
        <v>6360</v>
      </c>
      <c r="AB591" t="s">
        <v>13329</v>
      </c>
      <c r="AC591">
        <v>1062</v>
      </c>
      <c r="AD591">
        <v>208</v>
      </c>
      <c r="AE591">
        <v>99</v>
      </c>
      <c r="AF591">
        <v>133.86000000000001</v>
      </c>
      <c r="AG591">
        <v>14.41</v>
      </c>
      <c r="AH591">
        <v>15.69</v>
      </c>
      <c r="AI591">
        <v>0.15</v>
      </c>
      <c r="AJ591">
        <v>0.18</v>
      </c>
      <c r="AK591">
        <v>86</v>
      </c>
      <c r="AL591">
        <v>1056</v>
      </c>
      <c r="AM591">
        <v>230</v>
      </c>
      <c r="AN591">
        <v>-1.26</v>
      </c>
      <c r="AO591">
        <v>1.06</v>
      </c>
      <c r="AP591">
        <v>2378</v>
      </c>
      <c r="AQ591">
        <v>10</v>
      </c>
      <c r="AR591">
        <v>4.1500000000000004</v>
      </c>
      <c r="AS591">
        <v>98</v>
      </c>
      <c r="AT591">
        <v>1.8</v>
      </c>
      <c r="AU591">
        <v>97</v>
      </c>
      <c r="AV591">
        <v>-4</v>
      </c>
      <c r="AW591">
        <v>99</v>
      </c>
      <c r="AX591">
        <v>0.68</v>
      </c>
      <c r="AY591">
        <v>98</v>
      </c>
      <c r="AZ591">
        <v>6.07</v>
      </c>
      <c r="BA591">
        <v>91</v>
      </c>
      <c r="BB591">
        <v>4.87</v>
      </c>
      <c r="BC591">
        <v>85</v>
      </c>
      <c r="BD591">
        <v>-0.02</v>
      </c>
      <c r="BE591">
        <v>0.05</v>
      </c>
      <c r="BF591">
        <v>0.06</v>
      </c>
      <c r="BG591">
        <v>97</v>
      </c>
      <c r="BH591">
        <v>7.0000000000000007E-2</v>
      </c>
      <c r="BI591">
        <v>-3.52</v>
      </c>
      <c r="BJ591">
        <v>0</v>
      </c>
      <c r="BK591">
        <v>0</v>
      </c>
      <c r="BL591">
        <v>-2.84</v>
      </c>
      <c r="BM591">
        <v>-1.29</v>
      </c>
      <c r="BN591">
        <v>-1</v>
      </c>
      <c r="BO591">
        <v>0.22</v>
      </c>
      <c r="BP591">
        <v>-0.48</v>
      </c>
      <c r="BQ591">
        <v>-4.84</v>
      </c>
      <c r="BR591">
        <v>2.75</v>
      </c>
      <c r="BS591">
        <v>2.5099999999999998</v>
      </c>
      <c r="BT591">
        <v>-1.75</v>
      </c>
      <c r="BU591">
        <v>-1.07</v>
      </c>
      <c r="BV591">
        <v>-0.78</v>
      </c>
      <c r="BW591">
        <v>-1.86</v>
      </c>
      <c r="BX591">
        <v>-3.01</v>
      </c>
      <c r="BY591">
        <v>-0.48</v>
      </c>
      <c r="BZ591">
        <v>-1.33</v>
      </c>
      <c r="CA591">
        <v>-0.3</v>
      </c>
      <c r="CB591">
        <v>-0.75</v>
      </c>
      <c r="CC591">
        <v>1</v>
      </c>
      <c r="CD591">
        <v>-1.22</v>
      </c>
      <c r="CE591">
        <v>0.01</v>
      </c>
      <c r="CF591">
        <v>-3.17</v>
      </c>
      <c r="CG591">
        <v>0</v>
      </c>
      <c r="CH591">
        <v>-0.44</v>
      </c>
      <c r="CI591">
        <v>0</v>
      </c>
      <c r="CJ591">
        <v>-15</v>
      </c>
      <c r="CK591">
        <v>99</v>
      </c>
      <c r="CL591">
        <v>-0.78</v>
      </c>
      <c r="CM591">
        <v>99</v>
      </c>
      <c r="CN591">
        <v>-0.13</v>
      </c>
      <c r="CO591">
        <v>99</v>
      </c>
      <c r="CP591">
        <v>-17.2</v>
      </c>
      <c r="CQ591">
        <v>93</v>
      </c>
      <c r="CR591">
        <v>0</v>
      </c>
      <c r="CS591">
        <v>0</v>
      </c>
      <c r="CT591">
        <v>-13.6</v>
      </c>
      <c r="CU591">
        <v>98</v>
      </c>
      <c r="CV591">
        <v>-7.0000000000000007E-2</v>
      </c>
      <c r="CW591">
        <v>30</v>
      </c>
      <c r="CX591" t="s">
        <v>333</v>
      </c>
    </row>
    <row r="592" spans="1:102" x14ac:dyDescent="0.3">
      <c r="A592" t="str">
        <f>HYPERLINK("https://webapp.icbf.com/v2/app/bull-search/view/720526464","JSL")</f>
        <v>JSL</v>
      </c>
      <c r="B592" t="s">
        <v>5427</v>
      </c>
      <c r="C592" t="s">
        <v>5428</v>
      </c>
      <c r="D592" s="1">
        <v>39641</v>
      </c>
      <c r="E592" t="s">
        <v>227</v>
      </c>
      <c r="F592">
        <v>0</v>
      </c>
      <c r="G592" t="s">
        <v>93</v>
      </c>
      <c r="H592">
        <v>176.13</v>
      </c>
      <c r="I592">
        <v>96</v>
      </c>
      <c r="J592">
        <v>72.349999999999994</v>
      </c>
      <c r="K592">
        <v>99</v>
      </c>
      <c r="L592">
        <v>39.06</v>
      </c>
      <c r="M592">
        <v>93</v>
      </c>
      <c r="N592">
        <v>55.6</v>
      </c>
      <c r="O592">
        <v>97</v>
      </c>
      <c r="P592">
        <v>-49.12</v>
      </c>
      <c r="Q592">
        <v>98</v>
      </c>
      <c r="R592">
        <v>-3.73</v>
      </c>
      <c r="S592">
        <v>92</v>
      </c>
      <c r="T592">
        <v>52.97</v>
      </c>
      <c r="U592">
        <v>97</v>
      </c>
      <c r="V592">
        <v>9</v>
      </c>
      <c r="W592">
        <v>86</v>
      </c>
      <c r="X592" t="s">
        <v>94</v>
      </c>
      <c r="Y592" t="s">
        <v>329</v>
      </c>
      <c r="Z592">
        <v>0</v>
      </c>
      <c r="AA592" t="s">
        <v>226</v>
      </c>
      <c r="AB592" t="s">
        <v>5429</v>
      </c>
      <c r="AC592">
        <v>734</v>
      </c>
      <c r="AD592">
        <v>176</v>
      </c>
      <c r="AE592">
        <v>99</v>
      </c>
      <c r="AF592">
        <v>-286.81</v>
      </c>
      <c r="AG592">
        <v>9.34</v>
      </c>
      <c r="AH592">
        <v>4.6100000000000003</v>
      </c>
      <c r="AI592">
        <v>0.38</v>
      </c>
      <c r="AJ592">
        <v>0.26</v>
      </c>
      <c r="AK592">
        <v>93</v>
      </c>
      <c r="AL592">
        <v>787</v>
      </c>
      <c r="AM592">
        <v>189</v>
      </c>
      <c r="AN592">
        <v>-0.99</v>
      </c>
      <c r="AO592">
        <v>2.14</v>
      </c>
      <c r="AP592">
        <v>1235</v>
      </c>
      <c r="AQ592">
        <v>12</v>
      </c>
      <c r="AR592">
        <v>2.2400000000000002</v>
      </c>
      <c r="AS592">
        <v>97</v>
      </c>
      <c r="AT592">
        <v>1.29</v>
      </c>
      <c r="AU592">
        <v>97</v>
      </c>
      <c r="AV592">
        <v>-5.26</v>
      </c>
      <c r="AW592">
        <v>99</v>
      </c>
      <c r="AX592">
        <v>1.95</v>
      </c>
      <c r="AY592">
        <v>97</v>
      </c>
      <c r="AZ592">
        <v>7.16</v>
      </c>
      <c r="BA592">
        <v>91</v>
      </c>
      <c r="BB592">
        <v>5.49</v>
      </c>
      <c r="BC592">
        <v>91</v>
      </c>
      <c r="BD592">
        <v>-0.02</v>
      </c>
      <c r="BE592">
        <v>0.01</v>
      </c>
      <c r="BF592">
        <v>0.1</v>
      </c>
      <c r="BG592">
        <v>98</v>
      </c>
      <c r="BH592">
        <v>0.19</v>
      </c>
      <c r="BI592">
        <v>-7.04</v>
      </c>
      <c r="BJ592">
        <v>15</v>
      </c>
      <c r="BK592">
        <v>3</v>
      </c>
      <c r="BL592">
        <v>-2</v>
      </c>
      <c r="BM592">
        <v>-1.1399999999999999</v>
      </c>
      <c r="BN592">
        <v>0.52</v>
      </c>
      <c r="BO592">
        <v>1.58</v>
      </c>
      <c r="BP592">
        <v>-1.59</v>
      </c>
      <c r="BQ592">
        <v>-5.53</v>
      </c>
      <c r="BR592">
        <v>5.37</v>
      </c>
      <c r="BS592">
        <v>4.29</v>
      </c>
      <c r="BT592">
        <v>-3.26</v>
      </c>
      <c r="BU592">
        <v>-0.56999999999999995</v>
      </c>
      <c r="BV592">
        <v>0.08</v>
      </c>
      <c r="BW592">
        <v>-1.6</v>
      </c>
      <c r="BX592">
        <v>-3.09</v>
      </c>
      <c r="BY592">
        <v>0.73</v>
      </c>
      <c r="BZ592">
        <v>-2.91</v>
      </c>
      <c r="CA592">
        <v>0.27</v>
      </c>
      <c r="CB592">
        <v>-0.49</v>
      </c>
      <c r="CC592">
        <v>1.92</v>
      </c>
      <c r="CD592">
        <v>-2.92</v>
      </c>
      <c r="CE592">
        <v>0.59</v>
      </c>
      <c r="CF592">
        <v>-2.34</v>
      </c>
      <c r="CG592">
        <v>0</v>
      </c>
      <c r="CH592">
        <v>-0.9</v>
      </c>
      <c r="CI592">
        <v>0</v>
      </c>
      <c r="CJ592">
        <v>-25</v>
      </c>
      <c r="CK592">
        <v>99</v>
      </c>
      <c r="CL592">
        <v>-1.04</v>
      </c>
      <c r="CM592">
        <v>98</v>
      </c>
      <c r="CN592">
        <v>-0.22</v>
      </c>
      <c r="CO592">
        <v>98</v>
      </c>
      <c r="CP592">
        <v>-43.1</v>
      </c>
      <c r="CQ592">
        <v>96</v>
      </c>
      <c r="CR592">
        <v>0</v>
      </c>
      <c r="CS592">
        <v>0</v>
      </c>
      <c r="CT592">
        <v>-57.8</v>
      </c>
      <c r="CU592">
        <v>97</v>
      </c>
      <c r="CV592">
        <v>-0.16</v>
      </c>
      <c r="CW592">
        <v>46</v>
      </c>
      <c r="CX592" t="s">
        <v>1525</v>
      </c>
    </row>
    <row r="593" spans="1:102" x14ac:dyDescent="0.3">
      <c r="A593" t="str">
        <f>HYPERLINK("https://webapp.icbf.com/v2/app/bull-search/view/946262990","YGM")</f>
        <v>YGM</v>
      </c>
      <c r="B593" t="s">
        <v>7606</v>
      </c>
      <c r="C593" t="s">
        <v>7607</v>
      </c>
      <c r="D593" s="1">
        <v>40935</v>
      </c>
      <c r="E593" t="s">
        <v>92</v>
      </c>
      <c r="F593">
        <v>75</v>
      </c>
      <c r="G593" t="s">
        <v>93</v>
      </c>
      <c r="H593">
        <v>176.09</v>
      </c>
      <c r="I593">
        <v>94</v>
      </c>
      <c r="J593">
        <v>68.08</v>
      </c>
      <c r="K593">
        <v>99</v>
      </c>
      <c r="L593">
        <v>84.9</v>
      </c>
      <c r="M593">
        <v>88</v>
      </c>
      <c r="N593">
        <v>33.82</v>
      </c>
      <c r="O593">
        <v>96</v>
      </c>
      <c r="P593">
        <v>-26.39</v>
      </c>
      <c r="Q593">
        <v>99</v>
      </c>
      <c r="R593">
        <v>1.01</v>
      </c>
      <c r="S593">
        <v>89</v>
      </c>
      <c r="T593">
        <v>9.31</v>
      </c>
      <c r="U593">
        <v>95</v>
      </c>
      <c r="V593">
        <v>5.36</v>
      </c>
      <c r="W593">
        <v>80</v>
      </c>
      <c r="X593" t="s">
        <v>276</v>
      </c>
      <c r="Y593" t="s">
        <v>1923</v>
      </c>
      <c r="Z593" t="s">
        <v>96</v>
      </c>
      <c r="AA593" t="s">
        <v>5742</v>
      </c>
      <c r="AB593" t="s">
        <v>7608</v>
      </c>
      <c r="AC593">
        <v>843</v>
      </c>
      <c r="AD593">
        <v>349</v>
      </c>
      <c r="AE593">
        <v>99</v>
      </c>
      <c r="AF593">
        <v>289.8</v>
      </c>
      <c r="AG593">
        <v>12.76</v>
      </c>
      <c r="AH593">
        <v>11.5</v>
      </c>
      <c r="AI593">
        <v>0.02</v>
      </c>
      <c r="AJ593">
        <v>0.03</v>
      </c>
      <c r="AK593">
        <v>88</v>
      </c>
      <c r="AL593">
        <v>859</v>
      </c>
      <c r="AM593">
        <v>370</v>
      </c>
      <c r="AN593">
        <v>-5.48</v>
      </c>
      <c r="AO593">
        <v>1.28</v>
      </c>
      <c r="AP593">
        <v>1835</v>
      </c>
      <c r="AQ593">
        <v>13</v>
      </c>
      <c r="AR593">
        <v>6.64</v>
      </c>
      <c r="AS593">
        <v>95</v>
      </c>
      <c r="AT593">
        <v>2.59</v>
      </c>
      <c r="AU593">
        <v>98</v>
      </c>
      <c r="AV593">
        <v>-3.06</v>
      </c>
      <c r="AW593">
        <v>99</v>
      </c>
      <c r="AX593">
        <v>-0.06</v>
      </c>
      <c r="AY593">
        <v>97</v>
      </c>
      <c r="AZ593">
        <v>5.73</v>
      </c>
      <c r="BA593">
        <v>91</v>
      </c>
      <c r="BB593">
        <v>4.68</v>
      </c>
      <c r="BC593">
        <v>84</v>
      </c>
      <c r="BD593">
        <v>-0.02</v>
      </c>
      <c r="BE593">
        <v>0</v>
      </c>
      <c r="BF593">
        <v>0.01</v>
      </c>
      <c r="BG593">
        <v>97</v>
      </c>
      <c r="BH593">
        <v>0.05</v>
      </c>
      <c r="BI593">
        <v>-11.51</v>
      </c>
      <c r="BJ593">
        <v>28</v>
      </c>
      <c r="BK593">
        <v>12</v>
      </c>
      <c r="BL593">
        <v>-1.37</v>
      </c>
      <c r="BM593">
        <v>2.83</v>
      </c>
      <c r="BN593">
        <v>-0.04</v>
      </c>
      <c r="BO593">
        <v>-1.97</v>
      </c>
      <c r="BP593">
        <v>-1.17</v>
      </c>
      <c r="BQ593">
        <v>0.43</v>
      </c>
      <c r="BR593">
        <v>1.81</v>
      </c>
      <c r="BS593">
        <v>-1.36</v>
      </c>
      <c r="BT593">
        <v>-2.2999999999999998</v>
      </c>
      <c r="BU593">
        <v>-1.73</v>
      </c>
      <c r="BV593">
        <v>-2.1</v>
      </c>
      <c r="BW593">
        <v>-1.4</v>
      </c>
      <c r="BX593">
        <v>-1.93</v>
      </c>
      <c r="BY593">
        <v>0.19</v>
      </c>
      <c r="BZ593">
        <v>0.41</v>
      </c>
      <c r="CA593">
        <v>-1.86</v>
      </c>
      <c r="CB593">
        <v>-1.77</v>
      </c>
      <c r="CC593">
        <v>-0.95</v>
      </c>
      <c r="CD593">
        <v>2.36</v>
      </c>
      <c r="CE593">
        <v>-1.56</v>
      </c>
      <c r="CF593">
        <v>-0.41</v>
      </c>
      <c r="CG593">
        <v>0</v>
      </c>
      <c r="CH593">
        <v>0.26</v>
      </c>
      <c r="CI593">
        <v>0</v>
      </c>
      <c r="CJ593">
        <v>-11.7</v>
      </c>
      <c r="CK593">
        <v>99</v>
      </c>
      <c r="CL593">
        <v>-0.88</v>
      </c>
      <c r="CM593">
        <v>99</v>
      </c>
      <c r="CN593">
        <v>-0.02</v>
      </c>
      <c r="CO593">
        <v>99</v>
      </c>
      <c r="CP593">
        <v>-9.3000000000000007</v>
      </c>
      <c r="CQ593">
        <v>93</v>
      </c>
      <c r="CR593">
        <v>0</v>
      </c>
      <c r="CS593">
        <v>0</v>
      </c>
      <c r="CT593">
        <v>1.2</v>
      </c>
      <c r="CU593">
        <v>95</v>
      </c>
      <c r="CV593">
        <v>0.1</v>
      </c>
      <c r="CW593">
        <v>47</v>
      </c>
      <c r="CX593" t="s">
        <v>1514</v>
      </c>
    </row>
    <row r="594" spans="1:102" x14ac:dyDescent="0.3">
      <c r="A594" t="str">
        <f>HYPERLINK("https://webapp.icbf.com/v2/app/bull-search/view/1367272977","FR4182")</f>
        <v>FR4182</v>
      </c>
      <c r="B594" t="s">
        <v>2370</v>
      </c>
      <c r="C594" t="s">
        <v>2371</v>
      </c>
      <c r="D594" s="1">
        <v>42416</v>
      </c>
      <c r="E594" t="s">
        <v>92</v>
      </c>
      <c r="F594">
        <v>75</v>
      </c>
      <c r="G594" t="s">
        <v>435</v>
      </c>
      <c r="H594">
        <v>175.86</v>
      </c>
      <c r="I594">
        <v>72</v>
      </c>
      <c r="J594">
        <v>59.06</v>
      </c>
      <c r="K594">
        <v>88</v>
      </c>
      <c r="L594">
        <v>79.459999999999994</v>
      </c>
      <c r="M594">
        <v>64</v>
      </c>
      <c r="N594">
        <v>37.630000000000003</v>
      </c>
      <c r="O594">
        <v>78</v>
      </c>
      <c r="P594">
        <v>3.21</v>
      </c>
      <c r="Q594">
        <v>70</v>
      </c>
      <c r="R594">
        <v>2.17</v>
      </c>
      <c r="S594">
        <v>63</v>
      </c>
      <c r="T594">
        <v>-1.86</v>
      </c>
      <c r="U594">
        <v>51</v>
      </c>
      <c r="V594">
        <v>-3.81</v>
      </c>
      <c r="W594">
        <v>56</v>
      </c>
      <c r="X594" t="s">
        <v>94</v>
      </c>
      <c r="Y594" t="s">
        <v>2255</v>
      </c>
      <c r="Z594" t="s">
        <v>96</v>
      </c>
      <c r="AA594" t="s">
        <v>2372</v>
      </c>
      <c r="AB594" t="s">
        <v>2373</v>
      </c>
      <c r="AC594">
        <v>0</v>
      </c>
      <c r="AD594">
        <v>0</v>
      </c>
      <c r="AE594">
        <v>88</v>
      </c>
      <c r="AF594">
        <v>92.97</v>
      </c>
      <c r="AG594">
        <v>10.93</v>
      </c>
      <c r="AH594">
        <v>7.6</v>
      </c>
      <c r="AI594">
        <v>0.12</v>
      </c>
      <c r="AJ594">
        <v>0.08</v>
      </c>
      <c r="AK594">
        <v>64</v>
      </c>
      <c r="AL594">
        <v>0</v>
      </c>
      <c r="AM594">
        <v>0</v>
      </c>
      <c r="AN594">
        <v>-3.33</v>
      </c>
      <c r="AO594">
        <v>3.02</v>
      </c>
      <c r="AP594">
        <v>167</v>
      </c>
      <c r="AQ594">
        <v>1</v>
      </c>
      <c r="AR594">
        <v>7.09</v>
      </c>
      <c r="AS594">
        <v>55</v>
      </c>
      <c r="AT594">
        <v>3.06</v>
      </c>
      <c r="AU594">
        <v>84</v>
      </c>
      <c r="AV594">
        <v>-4.32</v>
      </c>
      <c r="AW594">
        <v>95</v>
      </c>
      <c r="AX594">
        <v>0.74</v>
      </c>
      <c r="AY594">
        <v>73</v>
      </c>
      <c r="AZ594">
        <v>5.4</v>
      </c>
      <c r="BA594">
        <v>44</v>
      </c>
      <c r="BB594">
        <v>4.59</v>
      </c>
      <c r="BC594">
        <v>44</v>
      </c>
      <c r="BD594">
        <v>-0.03</v>
      </c>
      <c r="BE594">
        <v>0</v>
      </c>
      <c r="BF594">
        <v>0</v>
      </c>
      <c r="BG594">
        <v>73</v>
      </c>
      <c r="BH594">
        <v>-0.08</v>
      </c>
      <c r="BI594">
        <v>3.03</v>
      </c>
      <c r="BJ594">
        <v>0</v>
      </c>
      <c r="BK594">
        <v>0</v>
      </c>
      <c r="BL594">
        <v>-0.36</v>
      </c>
      <c r="BM594">
        <v>0.24</v>
      </c>
      <c r="BN594">
        <v>-1.46</v>
      </c>
      <c r="BO594">
        <v>-1.37</v>
      </c>
      <c r="BP594">
        <v>0.27</v>
      </c>
      <c r="BQ594">
        <v>-0.88</v>
      </c>
      <c r="BR594">
        <v>1.32</v>
      </c>
      <c r="BS594">
        <v>-3.17</v>
      </c>
      <c r="BT594">
        <v>-1.18</v>
      </c>
      <c r="BU594">
        <v>-0.69</v>
      </c>
      <c r="BV594">
        <v>-2.0299999999999998</v>
      </c>
      <c r="BW594">
        <v>-1.36</v>
      </c>
      <c r="BX594">
        <v>-0.27</v>
      </c>
      <c r="BY594">
        <v>-1.34</v>
      </c>
      <c r="BZ594">
        <v>0.04</v>
      </c>
      <c r="CA594">
        <v>-1.54</v>
      </c>
      <c r="CB594">
        <v>-0.87</v>
      </c>
      <c r="CC594">
        <v>-2.44</v>
      </c>
      <c r="CD594">
        <v>1.18</v>
      </c>
      <c r="CE594">
        <v>-0.26</v>
      </c>
      <c r="CF594">
        <v>0.18</v>
      </c>
      <c r="CG594">
        <v>0</v>
      </c>
      <c r="CH594">
        <v>0</v>
      </c>
      <c r="CI594">
        <v>0</v>
      </c>
      <c r="CJ594">
        <v>3.6</v>
      </c>
      <c r="CK594">
        <v>74</v>
      </c>
      <c r="CL594">
        <v>-0.8</v>
      </c>
      <c r="CM594">
        <v>69</v>
      </c>
      <c r="CN594">
        <v>-0.45</v>
      </c>
      <c r="CO594">
        <v>67</v>
      </c>
      <c r="CP594">
        <v>8.1999999999999993</v>
      </c>
      <c r="CQ594">
        <v>54</v>
      </c>
      <c r="CR594">
        <v>0</v>
      </c>
      <c r="CS594">
        <v>0</v>
      </c>
      <c r="CT594">
        <v>16.3</v>
      </c>
      <c r="CU594">
        <v>51</v>
      </c>
      <c r="CV594">
        <v>0.22</v>
      </c>
      <c r="CW594">
        <v>41</v>
      </c>
      <c r="CX594" t="s">
        <v>1938</v>
      </c>
    </row>
    <row r="595" spans="1:102" x14ac:dyDescent="0.3">
      <c r="A595" t="str">
        <f>HYPERLINK("https://webapp.icbf.com/v2/app/bull-search/view/1196689728","FR2296")</f>
        <v>FR2296</v>
      </c>
      <c r="B595" t="s">
        <v>14921</v>
      </c>
      <c r="C595" t="s">
        <v>14922</v>
      </c>
      <c r="D595" s="1">
        <v>41224</v>
      </c>
      <c r="E595" t="s">
        <v>92</v>
      </c>
      <c r="F595">
        <v>100</v>
      </c>
      <c r="G595" t="s">
        <v>109</v>
      </c>
      <c r="H595">
        <v>175.83</v>
      </c>
      <c r="I595">
        <v>76</v>
      </c>
      <c r="J595">
        <v>99.16</v>
      </c>
      <c r="K595">
        <v>90</v>
      </c>
      <c r="L595">
        <v>9.6199999999999992</v>
      </c>
      <c r="M595">
        <v>77</v>
      </c>
      <c r="N595">
        <v>61.73</v>
      </c>
      <c r="O595">
        <v>80</v>
      </c>
      <c r="P595">
        <v>-2.5099999999999998</v>
      </c>
      <c r="Q595">
        <v>86</v>
      </c>
      <c r="R595">
        <v>11.09</v>
      </c>
      <c r="S595">
        <v>62</v>
      </c>
      <c r="T595">
        <v>-1.34</v>
      </c>
      <c r="U595">
        <v>30</v>
      </c>
      <c r="V595">
        <v>-1.92</v>
      </c>
      <c r="W595">
        <v>31</v>
      </c>
      <c r="X595" t="s">
        <v>428</v>
      </c>
      <c r="Y595" t="s">
        <v>405</v>
      </c>
      <c r="Z595" t="s">
        <v>96</v>
      </c>
      <c r="AA595" t="s">
        <v>465</v>
      </c>
      <c r="AB595" t="s">
        <v>14923</v>
      </c>
      <c r="AC595">
        <v>59</v>
      </c>
      <c r="AD595">
        <v>17</v>
      </c>
      <c r="AE595">
        <v>90</v>
      </c>
      <c r="AF595">
        <v>747.98</v>
      </c>
      <c r="AG595">
        <v>22.34</v>
      </c>
      <c r="AH595">
        <v>20.41</v>
      </c>
      <c r="AI595">
        <v>-0.1</v>
      </c>
      <c r="AJ595">
        <v>-0.08</v>
      </c>
      <c r="AK595">
        <v>77</v>
      </c>
      <c r="AL595">
        <v>0</v>
      </c>
      <c r="AM595">
        <v>0</v>
      </c>
      <c r="AN595">
        <v>0.5</v>
      </c>
      <c r="AO595">
        <v>1.28</v>
      </c>
      <c r="AP595">
        <v>334</v>
      </c>
      <c r="AQ595">
        <v>4</v>
      </c>
      <c r="AR595">
        <v>5.69</v>
      </c>
      <c r="AS595">
        <v>81</v>
      </c>
      <c r="AT595">
        <v>2.31</v>
      </c>
      <c r="AU595">
        <v>91</v>
      </c>
      <c r="AV595">
        <v>-5.5</v>
      </c>
      <c r="AW595">
        <v>95</v>
      </c>
      <c r="AX595">
        <v>-0.99</v>
      </c>
      <c r="AY595">
        <v>86</v>
      </c>
      <c r="AZ595">
        <v>5.26</v>
      </c>
      <c r="BA595">
        <v>53</v>
      </c>
      <c r="BB595">
        <v>4.37</v>
      </c>
      <c r="BC595">
        <v>12</v>
      </c>
      <c r="BD595">
        <v>-0.03</v>
      </c>
      <c r="BE595">
        <v>-0.05</v>
      </c>
      <c r="BF595">
        <v>-0.11</v>
      </c>
      <c r="BG595">
        <v>87</v>
      </c>
      <c r="BH595">
        <v>0.06</v>
      </c>
      <c r="BI595">
        <v>13.14</v>
      </c>
      <c r="BJ595">
        <v>2</v>
      </c>
      <c r="BK595">
        <v>2</v>
      </c>
      <c r="BL595">
        <v>1.33</v>
      </c>
      <c r="BM595">
        <v>1.0900000000000001</v>
      </c>
      <c r="BN595">
        <v>0.54</v>
      </c>
      <c r="BO595">
        <v>0.44</v>
      </c>
      <c r="BP595">
        <v>0.64</v>
      </c>
      <c r="BQ595">
        <v>1.71</v>
      </c>
      <c r="BR595">
        <v>0.17</v>
      </c>
      <c r="BS595">
        <v>0.92</v>
      </c>
      <c r="BT595">
        <v>0.56000000000000005</v>
      </c>
      <c r="BU595">
        <v>2.02</v>
      </c>
      <c r="BV595">
        <v>2.67</v>
      </c>
      <c r="BW595">
        <v>3.02</v>
      </c>
      <c r="BX595">
        <v>1.96</v>
      </c>
      <c r="BY595">
        <v>3.67</v>
      </c>
      <c r="BZ595">
        <v>-2.4500000000000002</v>
      </c>
      <c r="CA595">
        <v>2.12</v>
      </c>
      <c r="CB595">
        <v>2.2599999999999998</v>
      </c>
      <c r="CC595">
        <v>0.84</v>
      </c>
      <c r="CD595">
        <v>0.75</v>
      </c>
      <c r="CE595">
        <v>1.36</v>
      </c>
      <c r="CF595">
        <v>1.58</v>
      </c>
      <c r="CG595">
        <v>0</v>
      </c>
      <c r="CH595">
        <v>1.1200000000000001</v>
      </c>
      <c r="CI595">
        <v>0</v>
      </c>
      <c r="CJ595">
        <v>3.3</v>
      </c>
      <c r="CK595">
        <v>91</v>
      </c>
      <c r="CL595">
        <v>-1.08</v>
      </c>
      <c r="CM595">
        <v>88</v>
      </c>
      <c r="CN595">
        <v>-0.32</v>
      </c>
      <c r="CO595">
        <v>87</v>
      </c>
      <c r="CP595">
        <v>2.2000000000000002</v>
      </c>
      <c r="CQ595">
        <v>43</v>
      </c>
      <c r="CR595">
        <v>0</v>
      </c>
      <c r="CS595">
        <v>0</v>
      </c>
      <c r="CT595">
        <v>15.6</v>
      </c>
      <c r="CU595">
        <v>30</v>
      </c>
      <c r="CV595">
        <v>0.4</v>
      </c>
      <c r="CW595">
        <v>25</v>
      </c>
      <c r="CX595" t="s">
        <v>2187</v>
      </c>
    </row>
    <row r="596" spans="1:102" x14ac:dyDescent="0.3">
      <c r="A596" t="str">
        <f>HYPERLINK("https://webapp.icbf.com/v2/app/bull-search/view/678697697","ZLC")</f>
        <v>ZLC</v>
      </c>
      <c r="B596" t="s">
        <v>7920</v>
      </c>
      <c r="C596" t="s">
        <v>7921</v>
      </c>
      <c r="D596" s="1">
        <v>39335</v>
      </c>
      <c r="E596" t="s">
        <v>92</v>
      </c>
      <c r="F596">
        <v>100</v>
      </c>
      <c r="G596" t="s">
        <v>93</v>
      </c>
      <c r="H596">
        <v>175.63</v>
      </c>
      <c r="I596">
        <v>95</v>
      </c>
      <c r="J596">
        <v>71.81</v>
      </c>
      <c r="K596">
        <v>99</v>
      </c>
      <c r="L596">
        <v>71.14</v>
      </c>
      <c r="M596">
        <v>92</v>
      </c>
      <c r="N596">
        <v>26.74</v>
      </c>
      <c r="O596">
        <v>97</v>
      </c>
      <c r="P596">
        <v>-6.84</v>
      </c>
      <c r="Q596">
        <v>99</v>
      </c>
      <c r="R596">
        <v>15.64</v>
      </c>
      <c r="S596">
        <v>89</v>
      </c>
      <c r="T596">
        <v>-6.89</v>
      </c>
      <c r="U596">
        <v>93</v>
      </c>
      <c r="V596">
        <v>4.03</v>
      </c>
      <c r="W596">
        <v>82</v>
      </c>
      <c r="X596" t="s">
        <v>94</v>
      </c>
      <c r="Y596" t="s">
        <v>1128</v>
      </c>
      <c r="Z596" t="s">
        <v>96</v>
      </c>
      <c r="AA596" t="s">
        <v>316</v>
      </c>
      <c r="AB596" t="s">
        <v>7922</v>
      </c>
      <c r="AC596">
        <v>1099</v>
      </c>
      <c r="AD596">
        <v>246</v>
      </c>
      <c r="AE596">
        <v>99</v>
      </c>
      <c r="AF596">
        <v>373.37</v>
      </c>
      <c r="AG596">
        <v>7.85</v>
      </c>
      <c r="AH596">
        <v>15.15</v>
      </c>
      <c r="AI596">
        <v>-0.11</v>
      </c>
      <c r="AJ596">
        <v>0.04</v>
      </c>
      <c r="AK596">
        <v>92</v>
      </c>
      <c r="AL596">
        <v>1021</v>
      </c>
      <c r="AM596">
        <v>253</v>
      </c>
      <c r="AN596">
        <v>-4.1500000000000004</v>
      </c>
      <c r="AO596">
        <v>1.52</v>
      </c>
      <c r="AP596">
        <v>2293</v>
      </c>
      <c r="AQ596">
        <v>8</v>
      </c>
      <c r="AR596">
        <v>5.23</v>
      </c>
      <c r="AS596">
        <v>97</v>
      </c>
      <c r="AT596">
        <v>2.31</v>
      </c>
      <c r="AU596">
        <v>98</v>
      </c>
      <c r="AV596">
        <v>-1.41</v>
      </c>
      <c r="AW596">
        <v>99</v>
      </c>
      <c r="AX596">
        <v>0.23</v>
      </c>
      <c r="AY596">
        <v>98</v>
      </c>
      <c r="AZ596">
        <v>5.25</v>
      </c>
      <c r="BA596">
        <v>92</v>
      </c>
      <c r="BB596">
        <v>4.46</v>
      </c>
      <c r="BC596">
        <v>86</v>
      </c>
      <c r="BD596">
        <v>-0.04</v>
      </c>
      <c r="BE596">
        <v>-7.0000000000000007E-2</v>
      </c>
      <c r="BF596">
        <v>-0.16</v>
      </c>
      <c r="BG596">
        <v>97</v>
      </c>
      <c r="BH596">
        <v>0.01</v>
      </c>
      <c r="BI596">
        <v>-11.83</v>
      </c>
      <c r="BJ596">
        <v>223</v>
      </c>
      <c r="BK596">
        <v>59</v>
      </c>
      <c r="BL596">
        <v>0.46</v>
      </c>
      <c r="BM596">
        <v>1.1000000000000001</v>
      </c>
      <c r="BN596">
        <v>-0.31</v>
      </c>
      <c r="BO596">
        <v>-1.18</v>
      </c>
      <c r="BP596">
        <v>-0.48</v>
      </c>
      <c r="BQ596">
        <v>1.0900000000000001</v>
      </c>
      <c r="BR596">
        <v>-3.01</v>
      </c>
      <c r="BS596">
        <v>0.28000000000000003</v>
      </c>
      <c r="BT596">
        <v>2.4700000000000002</v>
      </c>
      <c r="BU596">
        <v>0.86</v>
      </c>
      <c r="BV596">
        <v>0.83</v>
      </c>
      <c r="BW596">
        <v>-0.6</v>
      </c>
      <c r="BX596">
        <v>1.1599999999999999</v>
      </c>
      <c r="BY596">
        <v>-0.37</v>
      </c>
      <c r="BZ596">
        <v>0.97</v>
      </c>
      <c r="CA596">
        <v>0.73</v>
      </c>
      <c r="CB596">
        <v>0.59</v>
      </c>
      <c r="CC596">
        <v>0.54</v>
      </c>
      <c r="CD596">
        <v>1.44</v>
      </c>
      <c r="CE596">
        <v>-0.79</v>
      </c>
      <c r="CF596">
        <v>0.54</v>
      </c>
      <c r="CG596">
        <v>0</v>
      </c>
      <c r="CH596">
        <v>-0.4</v>
      </c>
      <c r="CI596">
        <v>0</v>
      </c>
      <c r="CJ596">
        <v>-2.1</v>
      </c>
      <c r="CK596">
        <v>99</v>
      </c>
      <c r="CL596">
        <v>-0.84</v>
      </c>
      <c r="CM596">
        <v>99</v>
      </c>
      <c r="CN596">
        <v>-0.28999999999999998</v>
      </c>
      <c r="CO596">
        <v>99</v>
      </c>
      <c r="CP596">
        <v>8.9</v>
      </c>
      <c r="CQ596">
        <v>94</v>
      </c>
      <c r="CR596">
        <v>0</v>
      </c>
      <c r="CS596">
        <v>0</v>
      </c>
      <c r="CT596">
        <v>23.1</v>
      </c>
      <c r="CU596">
        <v>93</v>
      </c>
      <c r="CV596">
        <v>0.22</v>
      </c>
      <c r="CW596">
        <v>49</v>
      </c>
      <c r="CX596" t="s">
        <v>476</v>
      </c>
    </row>
    <row r="597" spans="1:102" x14ac:dyDescent="0.3">
      <c r="A597" t="str">
        <f>HYPERLINK("https://webapp.icbf.com/v2/app/bull-search/view/1102797898","S1606")</f>
        <v>S1606</v>
      </c>
      <c r="B597" t="s">
        <v>5983</v>
      </c>
      <c r="C597" t="s">
        <v>3137</v>
      </c>
      <c r="D597" s="1">
        <v>40770</v>
      </c>
      <c r="E597" t="s">
        <v>92</v>
      </c>
      <c r="F597">
        <v>100</v>
      </c>
      <c r="G597" t="s">
        <v>109</v>
      </c>
      <c r="H597">
        <v>175.58</v>
      </c>
      <c r="I597">
        <v>71</v>
      </c>
      <c r="J597">
        <v>78.47</v>
      </c>
      <c r="K597">
        <v>85</v>
      </c>
      <c r="L597">
        <v>35.81</v>
      </c>
      <c r="M597">
        <v>82</v>
      </c>
      <c r="N597">
        <v>41.06</v>
      </c>
      <c r="O597">
        <v>60</v>
      </c>
      <c r="P597">
        <v>8.0500000000000007</v>
      </c>
      <c r="Q597">
        <v>50</v>
      </c>
      <c r="R597">
        <v>16.059999999999999</v>
      </c>
      <c r="S597">
        <v>59</v>
      </c>
      <c r="T597">
        <v>-6.82</v>
      </c>
      <c r="U597">
        <v>31</v>
      </c>
      <c r="V597">
        <v>2.95</v>
      </c>
      <c r="W597">
        <v>21</v>
      </c>
      <c r="X597" t="s">
        <v>102</v>
      </c>
      <c r="Y597" t="s">
        <v>362</v>
      </c>
      <c r="Z597" t="s">
        <v>96</v>
      </c>
      <c r="AA597" t="s">
        <v>5274</v>
      </c>
      <c r="AB597" t="s">
        <v>5984</v>
      </c>
      <c r="AC597">
        <v>0</v>
      </c>
      <c r="AD597">
        <v>0</v>
      </c>
      <c r="AE597">
        <v>85</v>
      </c>
      <c r="AF597">
        <v>677.98</v>
      </c>
      <c r="AG597">
        <v>10.38</v>
      </c>
      <c r="AH597">
        <v>20.05</v>
      </c>
      <c r="AI597">
        <v>-0.24</v>
      </c>
      <c r="AJ597">
        <v>-0.05</v>
      </c>
      <c r="AK597">
        <v>82</v>
      </c>
      <c r="AL597">
        <v>0</v>
      </c>
      <c r="AM597">
        <v>0</v>
      </c>
      <c r="AN597">
        <v>-0.85</v>
      </c>
      <c r="AO597">
        <v>2.02</v>
      </c>
      <c r="AP597">
        <v>3</v>
      </c>
      <c r="AQ597">
        <v>0</v>
      </c>
      <c r="AR597">
        <v>6.11</v>
      </c>
      <c r="AS597">
        <v>40</v>
      </c>
      <c r="AT597">
        <v>2.5299999999999998</v>
      </c>
      <c r="AU597">
        <v>94</v>
      </c>
      <c r="AV597">
        <v>-3.47</v>
      </c>
      <c r="AW597">
        <v>60</v>
      </c>
      <c r="AX597">
        <v>-0.84</v>
      </c>
      <c r="AY597">
        <v>56</v>
      </c>
      <c r="AZ597">
        <v>5.36</v>
      </c>
      <c r="BA597">
        <v>28</v>
      </c>
      <c r="BB597">
        <v>4.72</v>
      </c>
      <c r="BC597">
        <v>21</v>
      </c>
      <c r="BD597">
        <v>-0.02</v>
      </c>
      <c r="BE597">
        <v>-0.04</v>
      </c>
      <c r="BF597">
        <v>-0.26</v>
      </c>
      <c r="BG597">
        <v>88</v>
      </c>
      <c r="BH597">
        <v>-0.04</v>
      </c>
      <c r="BI597">
        <v>-14.15</v>
      </c>
      <c r="BJ597">
        <v>3</v>
      </c>
      <c r="BK597">
        <v>3</v>
      </c>
      <c r="BL597">
        <v>1.67</v>
      </c>
      <c r="BM597">
        <v>-0.19</v>
      </c>
      <c r="BN597">
        <v>0.1</v>
      </c>
      <c r="BO597">
        <v>0.68</v>
      </c>
      <c r="BP597">
        <v>0.71</v>
      </c>
      <c r="BQ597">
        <v>1.69</v>
      </c>
      <c r="BR597">
        <v>-1.1200000000000001</v>
      </c>
      <c r="BS597">
        <v>0.9</v>
      </c>
      <c r="BT597">
        <v>1.64</v>
      </c>
      <c r="BU597">
        <v>2.56</v>
      </c>
      <c r="BV597">
        <v>2.2799999999999998</v>
      </c>
      <c r="BW597">
        <v>3.1</v>
      </c>
      <c r="BX597">
        <v>2.1</v>
      </c>
      <c r="BY597">
        <v>2.7</v>
      </c>
      <c r="BZ597">
        <v>-1.1200000000000001</v>
      </c>
      <c r="CA597">
        <v>2.9</v>
      </c>
      <c r="CB597">
        <v>2.41</v>
      </c>
      <c r="CC597">
        <v>2.48</v>
      </c>
      <c r="CD597">
        <v>-0.4</v>
      </c>
      <c r="CE597">
        <v>0.86</v>
      </c>
      <c r="CF597">
        <v>1.43</v>
      </c>
      <c r="CG597">
        <v>0</v>
      </c>
      <c r="CH597">
        <v>1.59</v>
      </c>
      <c r="CI597">
        <v>0</v>
      </c>
      <c r="CJ597">
        <v>8.1999999999999993</v>
      </c>
      <c r="CK597">
        <v>52</v>
      </c>
      <c r="CL597">
        <v>-1.06</v>
      </c>
      <c r="CM597">
        <v>49</v>
      </c>
      <c r="CN597">
        <v>-0.55000000000000004</v>
      </c>
      <c r="CO597">
        <v>47</v>
      </c>
      <c r="CP597">
        <v>8.1999999999999993</v>
      </c>
      <c r="CQ597">
        <v>38</v>
      </c>
      <c r="CR597">
        <v>0</v>
      </c>
      <c r="CS597">
        <v>0</v>
      </c>
      <c r="CT597">
        <v>23</v>
      </c>
      <c r="CU597">
        <v>31</v>
      </c>
      <c r="CV597">
        <v>0.47</v>
      </c>
      <c r="CW597">
        <v>15</v>
      </c>
      <c r="CX597" t="s">
        <v>432</v>
      </c>
    </row>
    <row r="598" spans="1:102" x14ac:dyDescent="0.3">
      <c r="A598" t="str">
        <f>HYPERLINK("https://webapp.icbf.com/v2/app/bull-search/view/474731871","CZT")</f>
        <v>CZT</v>
      </c>
      <c r="B598" t="s">
        <v>12332</v>
      </c>
      <c r="C598" t="s">
        <v>8361</v>
      </c>
      <c r="D598" s="1">
        <v>36599</v>
      </c>
      <c r="E598" t="s">
        <v>108</v>
      </c>
      <c r="F598">
        <v>0</v>
      </c>
      <c r="G598" t="s">
        <v>93</v>
      </c>
      <c r="H598">
        <v>175.58</v>
      </c>
      <c r="I598">
        <v>92</v>
      </c>
      <c r="J598">
        <v>-21.03</v>
      </c>
      <c r="K598">
        <v>98</v>
      </c>
      <c r="L598">
        <v>149.26</v>
      </c>
      <c r="M598">
        <v>88</v>
      </c>
      <c r="N598">
        <v>25.52</v>
      </c>
      <c r="O598">
        <v>90</v>
      </c>
      <c r="P598">
        <v>-16.43</v>
      </c>
      <c r="Q598">
        <v>95</v>
      </c>
      <c r="R598">
        <v>4.22</v>
      </c>
      <c r="S598">
        <v>83</v>
      </c>
      <c r="T598">
        <v>34.03</v>
      </c>
      <c r="U598">
        <v>90</v>
      </c>
      <c r="V598">
        <v>0.01</v>
      </c>
      <c r="W598">
        <v>85</v>
      </c>
      <c r="X598" t="s">
        <v>251</v>
      </c>
      <c r="Y598" t="s">
        <v>95</v>
      </c>
      <c r="Z598" t="s">
        <v>96</v>
      </c>
      <c r="AA598" t="s">
        <v>479</v>
      </c>
      <c r="AB598" t="s">
        <v>8560</v>
      </c>
      <c r="AC598">
        <v>127</v>
      </c>
      <c r="AD598">
        <v>50</v>
      </c>
      <c r="AE598">
        <v>98</v>
      </c>
      <c r="AF598">
        <v>-60.27</v>
      </c>
      <c r="AG598">
        <v>-5.14</v>
      </c>
      <c r="AH598">
        <v>-2.68</v>
      </c>
      <c r="AI598">
        <v>-0.05</v>
      </c>
      <c r="AJ598">
        <v>-0.01</v>
      </c>
      <c r="AK598">
        <v>88</v>
      </c>
      <c r="AL598">
        <v>153</v>
      </c>
      <c r="AM598">
        <v>62</v>
      </c>
      <c r="AN598">
        <v>-8.39</v>
      </c>
      <c r="AO598">
        <v>3.51</v>
      </c>
      <c r="AP598">
        <v>172</v>
      </c>
      <c r="AQ598">
        <v>0</v>
      </c>
      <c r="AR598">
        <v>4.6900000000000004</v>
      </c>
      <c r="AS598">
        <v>83</v>
      </c>
      <c r="AT598">
        <v>2.14</v>
      </c>
      <c r="AU598">
        <v>89</v>
      </c>
      <c r="AV598">
        <v>-3.3</v>
      </c>
      <c r="AW598">
        <v>96</v>
      </c>
      <c r="AX598">
        <v>0.21</v>
      </c>
      <c r="AY598">
        <v>89</v>
      </c>
      <c r="AZ598">
        <v>8.6999999999999993</v>
      </c>
      <c r="BA598">
        <v>73</v>
      </c>
      <c r="BB598">
        <v>6.81</v>
      </c>
      <c r="BC598">
        <v>78</v>
      </c>
      <c r="BD598">
        <v>0.03</v>
      </c>
      <c r="BE598">
        <v>-0.03</v>
      </c>
      <c r="BF598">
        <v>-0.09</v>
      </c>
      <c r="BG598">
        <v>89</v>
      </c>
      <c r="BH598">
        <v>-0.08</v>
      </c>
      <c r="BI598">
        <v>-9.3000000000000007</v>
      </c>
      <c r="BJ598">
        <v>4</v>
      </c>
      <c r="BK598">
        <v>4</v>
      </c>
      <c r="BL598">
        <v>-4.41</v>
      </c>
      <c r="BM598">
        <v>0.78</v>
      </c>
      <c r="BN598">
        <v>-4.4400000000000004</v>
      </c>
      <c r="BO598">
        <v>-4</v>
      </c>
      <c r="BP598">
        <v>-0.25</v>
      </c>
      <c r="BQ598">
        <v>-0.84</v>
      </c>
      <c r="BR598">
        <v>-1.67</v>
      </c>
      <c r="BS598">
        <v>-1.17</v>
      </c>
      <c r="BT598">
        <v>0.37</v>
      </c>
      <c r="BU598">
        <v>-3.22</v>
      </c>
      <c r="BV598">
        <v>-2.81</v>
      </c>
      <c r="BW598">
        <v>-3.42</v>
      </c>
      <c r="BX598">
        <v>-2.4</v>
      </c>
      <c r="BY598">
        <v>-2.57</v>
      </c>
      <c r="BZ598">
        <v>-2.54</v>
      </c>
      <c r="CA598">
        <v>-3.24</v>
      </c>
      <c r="CB598">
        <v>-3.51</v>
      </c>
      <c r="CC598">
        <v>-1.93</v>
      </c>
      <c r="CD598">
        <v>2.9</v>
      </c>
      <c r="CE598">
        <v>-4.04</v>
      </c>
      <c r="CF598">
        <v>-5.0599999999999996</v>
      </c>
      <c r="CG598">
        <v>0</v>
      </c>
      <c r="CH598">
        <v>-1.69</v>
      </c>
      <c r="CI598">
        <v>0</v>
      </c>
      <c r="CJ598">
        <v>-8.9</v>
      </c>
      <c r="CK598">
        <v>96</v>
      </c>
      <c r="CL598">
        <v>-0.04</v>
      </c>
      <c r="CM598">
        <v>95</v>
      </c>
      <c r="CN598">
        <v>0.04</v>
      </c>
      <c r="CO598">
        <v>95</v>
      </c>
      <c r="CP598">
        <v>-21.8</v>
      </c>
      <c r="CQ598">
        <v>93</v>
      </c>
      <c r="CR598">
        <v>0</v>
      </c>
      <c r="CS598">
        <v>0</v>
      </c>
      <c r="CT598">
        <v>-32.200000000000003</v>
      </c>
      <c r="CU598">
        <v>90</v>
      </c>
      <c r="CV598">
        <v>-0.12</v>
      </c>
      <c r="CW598">
        <v>45</v>
      </c>
      <c r="CX598" t="s">
        <v>8561</v>
      </c>
    </row>
    <row r="599" spans="1:102" x14ac:dyDescent="0.3">
      <c r="A599" t="str">
        <f>HYPERLINK("https://webapp.icbf.com/v2/app/bull-search/view/344057079","JBY")</f>
        <v>JBY</v>
      </c>
      <c r="B599" t="s">
        <v>4352</v>
      </c>
      <c r="C599" t="s">
        <v>4353</v>
      </c>
      <c r="D599" s="1">
        <v>36109</v>
      </c>
      <c r="E599" t="s">
        <v>227</v>
      </c>
      <c r="F599">
        <v>0</v>
      </c>
      <c r="G599" t="s">
        <v>93</v>
      </c>
      <c r="H599">
        <v>175.43</v>
      </c>
      <c r="I599">
        <v>96</v>
      </c>
      <c r="J599">
        <v>34.39</v>
      </c>
      <c r="K599">
        <v>99</v>
      </c>
      <c r="L599">
        <v>94.11</v>
      </c>
      <c r="M599">
        <v>93</v>
      </c>
      <c r="N599">
        <v>11.89</v>
      </c>
      <c r="O599">
        <v>95</v>
      </c>
      <c r="P599">
        <v>-53.98</v>
      </c>
      <c r="Q599">
        <v>97</v>
      </c>
      <c r="R599">
        <v>6.04</v>
      </c>
      <c r="S599">
        <v>92</v>
      </c>
      <c r="T599">
        <v>69.989999999999995</v>
      </c>
      <c r="U599">
        <v>94</v>
      </c>
      <c r="V599">
        <v>12.99</v>
      </c>
      <c r="W599">
        <v>93</v>
      </c>
      <c r="X599" t="s">
        <v>94</v>
      </c>
      <c r="Y599" t="s">
        <v>95</v>
      </c>
      <c r="Z599">
        <v>0</v>
      </c>
      <c r="AA599" t="s">
        <v>4354</v>
      </c>
      <c r="AB599" t="s">
        <v>144</v>
      </c>
      <c r="AC599">
        <v>313</v>
      </c>
      <c r="AD599">
        <v>116</v>
      </c>
      <c r="AE599">
        <v>99</v>
      </c>
      <c r="AF599">
        <v>-282.79000000000002</v>
      </c>
      <c r="AG599">
        <v>9.1300000000000008</v>
      </c>
      <c r="AH599">
        <v>-1.71</v>
      </c>
      <c r="AI599">
        <v>0.37</v>
      </c>
      <c r="AJ599">
        <v>0.14000000000000001</v>
      </c>
      <c r="AK599">
        <v>93</v>
      </c>
      <c r="AL599">
        <v>383</v>
      </c>
      <c r="AM599">
        <v>137</v>
      </c>
      <c r="AN599">
        <v>-3.96</v>
      </c>
      <c r="AO599">
        <v>3.56</v>
      </c>
      <c r="AP599">
        <v>448</v>
      </c>
      <c r="AQ599">
        <v>3</v>
      </c>
      <c r="AR599">
        <v>2.96</v>
      </c>
      <c r="AS599">
        <v>93</v>
      </c>
      <c r="AT599">
        <v>1.32</v>
      </c>
      <c r="AU599">
        <v>94</v>
      </c>
      <c r="AV599">
        <v>-0.55000000000000004</v>
      </c>
      <c r="AW599">
        <v>99</v>
      </c>
      <c r="AX599">
        <v>3.38</v>
      </c>
      <c r="AY599">
        <v>93</v>
      </c>
      <c r="AZ599">
        <v>7.48</v>
      </c>
      <c r="BA599">
        <v>85</v>
      </c>
      <c r="BB599">
        <v>5.67</v>
      </c>
      <c r="BC599">
        <v>88</v>
      </c>
      <c r="BD599">
        <v>-0.06</v>
      </c>
      <c r="BE599">
        <v>-0.01</v>
      </c>
      <c r="BF599">
        <v>-0.02</v>
      </c>
      <c r="BG599">
        <v>97</v>
      </c>
      <c r="BH599">
        <v>0.28000000000000003</v>
      </c>
      <c r="BI599">
        <v>-9.5</v>
      </c>
      <c r="BJ599">
        <v>41</v>
      </c>
      <c r="BK599">
        <v>14</v>
      </c>
      <c r="BL599">
        <v>-2.74</v>
      </c>
      <c r="BM599">
        <v>-2.4500000000000002</v>
      </c>
      <c r="BN599">
        <v>-1.05</v>
      </c>
      <c r="BO599">
        <v>1.07</v>
      </c>
      <c r="BP599">
        <v>-2.4500000000000002</v>
      </c>
      <c r="BQ599">
        <v>-6.27</v>
      </c>
      <c r="BR599">
        <v>0.42</v>
      </c>
      <c r="BS599">
        <v>8.4700000000000006</v>
      </c>
      <c r="BT599">
        <v>0.18</v>
      </c>
      <c r="BU599">
        <v>1.51</v>
      </c>
      <c r="BV599">
        <v>1.53</v>
      </c>
      <c r="BW599">
        <v>-0.41</v>
      </c>
      <c r="BX599">
        <v>-1.98</v>
      </c>
      <c r="BY599">
        <v>1.49</v>
      </c>
      <c r="BZ599">
        <v>-1.38</v>
      </c>
      <c r="CA599">
        <v>3.26</v>
      </c>
      <c r="CB599">
        <v>1.0900000000000001</v>
      </c>
      <c r="CC599">
        <v>6.1</v>
      </c>
      <c r="CD599">
        <v>-2.41</v>
      </c>
      <c r="CE599">
        <v>1.42</v>
      </c>
      <c r="CF599">
        <v>-3.44</v>
      </c>
      <c r="CG599">
        <v>0</v>
      </c>
      <c r="CH599">
        <v>-0.72</v>
      </c>
      <c r="CI599">
        <v>0</v>
      </c>
      <c r="CJ599">
        <v>-27.8</v>
      </c>
      <c r="CK599">
        <v>97</v>
      </c>
      <c r="CL599">
        <v>-0.95</v>
      </c>
      <c r="CM599">
        <v>96</v>
      </c>
      <c r="CN599">
        <v>-0.19</v>
      </c>
      <c r="CO599">
        <v>96</v>
      </c>
      <c r="CP599">
        <v>-53.6</v>
      </c>
      <c r="CQ599">
        <v>96</v>
      </c>
      <c r="CR599">
        <v>0</v>
      </c>
      <c r="CS599">
        <v>0</v>
      </c>
      <c r="CT599">
        <v>-80.8</v>
      </c>
      <c r="CU599">
        <v>94</v>
      </c>
      <c r="CV599">
        <v>-0.26</v>
      </c>
      <c r="CW599">
        <v>45</v>
      </c>
      <c r="CX599" t="s">
        <v>4355</v>
      </c>
    </row>
    <row r="600" spans="1:102" x14ac:dyDescent="0.3">
      <c r="A600" t="str">
        <f>HYPERLINK("https://webapp.icbf.com/v2/app/bull-search/view/909613163","ZDF")</f>
        <v>ZDF</v>
      </c>
      <c r="B600" t="s">
        <v>12954</v>
      </c>
      <c r="C600" t="s">
        <v>12955</v>
      </c>
      <c r="D600" s="1">
        <v>40081</v>
      </c>
      <c r="E600" t="s">
        <v>92</v>
      </c>
      <c r="F600">
        <v>100</v>
      </c>
      <c r="G600" t="s">
        <v>93</v>
      </c>
      <c r="H600">
        <v>175.39</v>
      </c>
      <c r="I600">
        <v>91</v>
      </c>
      <c r="J600">
        <v>57.39</v>
      </c>
      <c r="K600">
        <v>98</v>
      </c>
      <c r="L600">
        <v>67.23</v>
      </c>
      <c r="M600">
        <v>88</v>
      </c>
      <c r="N600">
        <v>36.79</v>
      </c>
      <c r="O600">
        <v>90</v>
      </c>
      <c r="P600">
        <v>-8.7799999999999994</v>
      </c>
      <c r="Q600">
        <v>94</v>
      </c>
      <c r="R600">
        <v>13.99</v>
      </c>
      <c r="S600">
        <v>83</v>
      </c>
      <c r="T600">
        <v>6.94</v>
      </c>
      <c r="U600">
        <v>89</v>
      </c>
      <c r="V600">
        <v>1.83</v>
      </c>
      <c r="W600">
        <v>76</v>
      </c>
      <c r="X600" t="s">
        <v>102</v>
      </c>
      <c r="Y600" t="s">
        <v>422</v>
      </c>
      <c r="Z600" t="s">
        <v>96</v>
      </c>
      <c r="AA600" t="s">
        <v>12956</v>
      </c>
      <c r="AB600" t="s">
        <v>12957</v>
      </c>
      <c r="AC600">
        <v>215</v>
      </c>
      <c r="AD600">
        <v>80</v>
      </c>
      <c r="AE600">
        <v>98</v>
      </c>
      <c r="AF600">
        <v>110.35</v>
      </c>
      <c r="AG600">
        <v>11.59</v>
      </c>
      <c r="AH600">
        <v>7.35</v>
      </c>
      <c r="AI600">
        <v>0.12</v>
      </c>
      <c r="AJ600">
        <v>0.06</v>
      </c>
      <c r="AK600">
        <v>88</v>
      </c>
      <c r="AL600">
        <v>277</v>
      </c>
      <c r="AM600">
        <v>96</v>
      </c>
      <c r="AN600">
        <v>-3.01</v>
      </c>
      <c r="AO600">
        <v>2.36</v>
      </c>
      <c r="AP600">
        <v>386</v>
      </c>
      <c r="AQ600">
        <v>2</v>
      </c>
      <c r="AR600">
        <v>4.1900000000000004</v>
      </c>
      <c r="AS600">
        <v>93</v>
      </c>
      <c r="AT600">
        <v>1.58</v>
      </c>
      <c r="AU600">
        <v>89</v>
      </c>
      <c r="AV600">
        <v>-3.09</v>
      </c>
      <c r="AW600">
        <v>97</v>
      </c>
      <c r="AX600">
        <v>0.4</v>
      </c>
      <c r="AY600">
        <v>89</v>
      </c>
      <c r="AZ600">
        <v>6.92</v>
      </c>
      <c r="BA600">
        <v>76</v>
      </c>
      <c r="BB600">
        <v>5.8</v>
      </c>
      <c r="BC600">
        <v>73</v>
      </c>
      <c r="BD600">
        <v>-0.04</v>
      </c>
      <c r="BE600">
        <v>-0.05</v>
      </c>
      <c r="BF600">
        <v>-0.16</v>
      </c>
      <c r="BG600">
        <v>93</v>
      </c>
      <c r="BH600">
        <v>-0.03</v>
      </c>
      <c r="BI600">
        <v>-9.3699999999999992</v>
      </c>
      <c r="BJ600">
        <v>19</v>
      </c>
      <c r="BK600">
        <v>6</v>
      </c>
      <c r="BL600">
        <v>0.59</v>
      </c>
      <c r="BM600">
        <v>0.12</v>
      </c>
      <c r="BN600">
        <v>-0.26</v>
      </c>
      <c r="BO600">
        <v>-0.54</v>
      </c>
      <c r="BP600">
        <v>-0.37</v>
      </c>
      <c r="BQ600">
        <v>-0.69</v>
      </c>
      <c r="BR600">
        <v>-2.42</v>
      </c>
      <c r="BS600">
        <v>2.06</v>
      </c>
      <c r="BT600">
        <v>1.53</v>
      </c>
      <c r="BU600">
        <v>1.06</v>
      </c>
      <c r="BV600">
        <v>0.66</v>
      </c>
      <c r="BW600">
        <v>-0.04</v>
      </c>
      <c r="BX600">
        <v>2.0699999999999998</v>
      </c>
      <c r="BY600">
        <v>-0.14000000000000001</v>
      </c>
      <c r="BZ600">
        <v>0.31</v>
      </c>
      <c r="CA600">
        <v>1.54</v>
      </c>
      <c r="CB600">
        <v>0.55000000000000004</v>
      </c>
      <c r="CC600">
        <v>1.79</v>
      </c>
      <c r="CD600">
        <v>0.75</v>
      </c>
      <c r="CE600">
        <v>0.09</v>
      </c>
      <c r="CF600">
        <v>0.77</v>
      </c>
      <c r="CG600">
        <v>0</v>
      </c>
      <c r="CH600">
        <v>-0.44</v>
      </c>
      <c r="CI600">
        <v>0</v>
      </c>
      <c r="CJ600">
        <v>-1.9</v>
      </c>
      <c r="CK600">
        <v>95</v>
      </c>
      <c r="CL600">
        <v>-1.01</v>
      </c>
      <c r="CM600">
        <v>94</v>
      </c>
      <c r="CN600">
        <v>-0.34</v>
      </c>
      <c r="CO600">
        <v>93</v>
      </c>
      <c r="CP600">
        <v>1.9</v>
      </c>
      <c r="CQ600">
        <v>89</v>
      </c>
      <c r="CR600">
        <v>0</v>
      </c>
      <c r="CS600">
        <v>0</v>
      </c>
      <c r="CT600">
        <v>4.4000000000000004</v>
      </c>
      <c r="CU600">
        <v>89</v>
      </c>
      <c r="CV600">
        <v>0.22</v>
      </c>
      <c r="CW600">
        <v>46</v>
      </c>
      <c r="CX600" t="s">
        <v>316</v>
      </c>
    </row>
    <row r="601" spans="1:102" x14ac:dyDescent="0.3">
      <c r="A601" t="str">
        <f>HYPERLINK("https://webapp.icbf.com/v2/app/bull-search/view/1303297776","FR4120")</f>
        <v>FR4120</v>
      </c>
      <c r="B601" t="s">
        <v>2265</v>
      </c>
      <c r="C601" t="s">
        <v>2266</v>
      </c>
      <c r="D601" s="1">
        <v>41696</v>
      </c>
      <c r="E601" t="s">
        <v>92</v>
      </c>
      <c r="F601">
        <v>100</v>
      </c>
      <c r="G601" t="s">
        <v>109</v>
      </c>
      <c r="H601">
        <v>175.36</v>
      </c>
      <c r="I601">
        <v>75</v>
      </c>
      <c r="J601">
        <v>54.51</v>
      </c>
      <c r="K601">
        <v>90</v>
      </c>
      <c r="L601">
        <v>72.959999999999994</v>
      </c>
      <c r="M601">
        <v>74</v>
      </c>
      <c r="N601">
        <v>34.450000000000003</v>
      </c>
      <c r="O601">
        <v>81</v>
      </c>
      <c r="P601">
        <v>-0.22</v>
      </c>
      <c r="Q601">
        <v>60</v>
      </c>
      <c r="R601">
        <v>18.190000000000001</v>
      </c>
      <c r="S601">
        <v>69</v>
      </c>
      <c r="T601">
        <v>-8.23</v>
      </c>
      <c r="U601">
        <v>40</v>
      </c>
      <c r="V601">
        <v>3.7</v>
      </c>
      <c r="W601">
        <v>55</v>
      </c>
      <c r="X601" t="s">
        <v>428</v>
      </c>
      <c r="Y601" t="s">
        <v>429</v>
      </c>
      <c r="Z601" t="s">
        <v>96</v>
      </c>
      <c r="AA601" t="s">
        <v>2267</v>
      </c>
      <c r="AB601" t="s">
        <v>2268</v>
      </c>
      <c r="AC601">
        <v>0</v>
      </c>
      <c r="AD601">
        <v>0</v>
      </c>
      <c r="AE601">
        <v>90</v>
      </c>
      <c r="AF601">
        <v>267.49</v>
      </c>
      <c r="AG601">
        <v>13.44</v>
      </c>
      <c r="AH601">
        <v>8.61</v>
      </c>
      <c r="AI601">
        <v>0.05</v>
      </c>
      <c r="AJ601">
        <v>-0.01</v>
      </c>
      <c r="AK601">
        <v>74</v>
      </c>
      <c r="AL601">
        <v>0</v>
      </c>
      <c r="AM601">
        <v>0</v>
      </c>
      <c r="AN601">
        <v>-3.84</v>
      </c>
      <c r="AO601">
        <v>1.98</v>
      </c>
      <c r="AP601">
        <v>315</v>
      </c>
      <c r="AQ601">
        <v>1</v>
      </c>
      <c r="AR601">
        <v>4.57</v>
      </c>
      <c r="AS601">
        <v>58</v>
      </c>
      <c r="AT601">
        <v>2.37</v>
      </c>
      <c r="AU601">
        <v>92</v>
      </c>
      <c r="AV601">
        <v>-2.61</v>
      </c>
      <c r="AW601">
        <v>96</v>
      </c>
      <c r="AX601">
        <v>-0.56999999999999995</v>
      </c>
      <c r="AY601">
        <v>82</v>
      </c>
      <c r="AZ601">
        <v>5.94</v>
      </c>
      <c r="BA601">
        <v>41</v>
      </c>
      <c r="BB601">
        <v>5.25</v>
      </c>
      <c r="BC601">
        <v>35</v>
      </c>
      <c r="BD601">
        <v>-0.05</v>
      </c>
      <c r="BE601">
        <v>-0.05</v>
      </c>
      <c r="BF601">
        <v>-0.24</v>
      </c>
      <c r="BG601">
        <v>85</v>
      </c>
      <c r="BH601">
        <v>7.0000000000000007E-2</v>
      </c>
      <c r="BI601">
        <v>-3.83</v>
      </c>
      <c r="BJ601">
        <v>0</v>
      </c>
      <c r="BK601">
        <v>0</v>
      </c>
      <c r="BL601">
        <v>0.84</v>
      </c>
      <c r="BM601">
        <v>0.32</v>
      </c>
      <c r="BN601">
        <v>0.25</v>
      </c>
      <c r="BO601">
        <v>0.34</v>
      </c>
      <c r="BP601">
        <v>-1.25</v>
      </c>
      <c r="BQ601">
        <v>0.37</v>
      </c>
      <c r="BR601">
        <v>0.44</v>
      </c>
      <c r="BS601">
        <v>1.26</v>
      </c>
      <c r="BT601">
        <v>-0.08</v>
      </c>
      <c r="BU601">
        <v>2.61</v>
      </c>
      <c r="BV601">
        <v>1.18</v>
      </c>
      <c r="BW601">
        <v>1.55</v>
      </c>
      <c r="BX601">
        <v>2.64</v>
      </c>
      <c r="BY601">
        <v>2.15</v>
      </c>
      <c r="BZ601">
        <v>0.83</v>
      </c>
      <c r="CA601">
        <v>2.16</v>
      </c>
      <c r="CB601">
        <v>2.12</v>
      </c>
      <c r="CC601">
        <v>1.1200000000000001</v>
      </c>
      <c r="CD601">
        <v>0.16</v>
      </c>
      <c r="CE601">
        <v>0.77</v>
      </c>
      <c r="CF601">
        <v>0.5</v>
      </c>
      <c r="CG601">
        <v>0</v>
      </c>
      <c r="CH601">
        <v>2.14</v>
      </c>
      <c r="CI601">
        <v>0</v>
      </c>
      <c r="CJ601">
        <v>2.1</v>
      </c>
      <c r="CK601">
        <v>63</v>
      </c>
      <c r="CL601">
        <v>-1.25</v>
      </c>
      <c r="CM601">
        <v>58</v>
      </c>
      <c r="CN601">
        <v>-0.73</v>
      </c>
      <c r="CO601">
        <v>57</v>
      </c>
      <c r="CP601">
        <v>8.1999999999999993</v>
      </c>
      <c r="CQ601">
        <v>44</v>
      </c>
      <c r="CR601">
        <v>0</v>
      </c>
      <c r="CS601">
        <v>0</v>
      </c>
      <c r="CT601">
        <v>24.9</v>
      </c>
      <c r="CU601">
        <v>40</v>
      </c>
      <c r="CV601">
        <v>0.23</v>
      </c>
      <c r="CW601">
        <v>38</v>
      </c>
      <c r="CX601" t="s">
        <v>2269</v>
      </c>
    </row>
    <row r="602" spans="1:102" x14ac:dyDescent="0.3">
      <c r="A602" t="str">
        <f>HYPERLINK("https://webapp.icbf.com/v2/app/bull-search/view/487001899","LDQ")</f>
        <v>LDQ</v>
      </c>
      <c r="B602" t="s">
        <v>1398</v>
      </c>
      <c r="C602" t="s">
        <v>1399</v>
      </c>
      <c r="D602" s="1">
        <v>38596</v>
      </c>
      <c r="E602" t="s">
        <v>108</v>
      </c>
      <c r="F602">
        <v>38</v>
      </c>
      <c r="G602" t="s">
        <v>93</v>
      </c>
      <c r="H602">
        <v>175.22</v>
      </c>
      <c r="I602">
        <v>93</v>
      </c>
      <c r="J602">
        <v>23.93</v>
      </c>
      <c r="K602">
        <v>98</v>
      </c>
      <c r="L602">
        <v>119.18</v>
      </c>
      <c r="M602">
        <v>89</v>
      </c>
      <c r="N602">
        <v>6.77</v>
      </c>
      <c r="O602">
        <v>91</v>
      </c>
      <c r="P602">
        <v>-14.12</v>
      </c>
      <c r="Q602">
        <v>96</v>
      </c>
      <c r="R602">
        <v>18.690000000000001</v>
      </c>
      <c r="S602">
        <v>85</v>
      </c>
      <c r="T602">
        <v>16.34</v>
      </c>
      <c r="U602">
        <v>91</v>
      </c>
      <c r="V602">
        <v>4.43</v>
      </c>
      <c r="W602">
        <v>85</v>
      </c>
      <c r="X602" t="s">
        <v>276</v>
      </c>
      <c r="Y602" t="s">
        <v>435</v>
      </c>
      <c r="Z602" t="s">
        <v>330</v>
      </c>
      <c r="AA602" t="s">
        <v>1229</v>
      </c>
      <c r="AB602" t="s">
        <v>144</v>
      </c>
      <c r="AC602">
        <v>240</v>
      </c>
      <c r="AD602">
        <v>105</v>
      </c>
      <c r="AE602">
        <v>98</v>
      </c>
      <c r="AF602">
        <v>118.95</v>
      </c>
      <c r="AG602">
        <v>4.3</v>
      </c>
      <c r="AH602">
        <v>4.37</v>
      </c>
      <c r="AI602">
        <v>-0.01</v>
      </c>
      <c r="AJ602">
        <v>0.01</v>
      </c>
      <c r="AK602">
        <v>89</v>
      </c>
      <c r="AL602">
        <v>273</v>
      </c>
      <c r="AM602">
        <v>119</v>
      </c>
      <c r="AN602">
        <v>-6.06</v>
      </c>
      <c r="AO602">
        <v>3.45</v>
      </c>
      <c r="AP602">
        <v>335</v>
      </c>
      <c r="AQ602">
        <v>3</v>
      </c>
      <c r="AR602">
        <v>8.6300000000000008</v>
      </c>
      <c r="AS602">
        <v>76</v>
      </c>
      <c r="AT602">
        <v>3.58</v>
      </c>
      <c r="AU602">
        <v>92</v>
      </c>
      <c r="AV602">
        <v>-1.47</v>
      </c>
      <c r="AW602">
        <v>98</v>
      </c>
      <c r="AX602">
        <v>0.02</v>
      </c>
      <c r="AY602">
        <v>91</v>
      </c>
      <c r="AZ602">
        <v>5.62</v>
      </c>
      <c r="BA602">
        <v>76</v>
      </c>
      <c r="BB602">
        <v>4.79</v>
      </c>
      <c r="BC602">
        <v>79</v>
      </c>
      <c r="BD602">
        <v>-7.0000000000000007E-2</v>
      </c>
      <c r="BE602">
        <v>-7.0000000000000007E-2</v>
      </c>
      <c r="BF602">
        <v>-0.18</v>
      </c>
      <c r="BG602">
        <v>94</v>
      </c>
      <c r="BH602">
        <v>0</v>
      </c>
      <c r="BI602">
        <v>-14.28</v>
      </c>
      <c r="BJ602">
        <v>1</v>
      </c>
      <c r="BK602">
        <v>1</v>
      </c>
      <c r="BL602">
        <v>-1.05</v>
      </c>
      <c r="BM602">
        <v>1.63</v>
      </c>
      <c r="BN602">
        <v>-0.09</v>
      </c>
      <c r="BO602">
        <v>-1.2</v>
      </c>
      <c r="BP602">
        <v>0.39</v>
      </c>
      <c r="BQ602">
        <v>0.34</v>
      </c>
      <c r="BR602">
        <v>0.09</v>
      </c>
      <c r="BS602">
        <v>-0.31</v>
      </c>
      <c r="BT602">
        <v>-2.0499999999999998</v>
      </c>
      <c r="BU602">
        <v>-1.78</v>
      </c>
      <c r="BV602">
        <v>-2.25</v>
      </c>
      <c r="BW602">
        <v>-1.9</v>
      </c>
      <c r="BX602">
        <v>-1.24</v>
      </c>
      <c r="BY602">
        <v>-2.27</v>
      </c>
      <c r="BZ602">
        <v>1.79</v>
      </c>
      <c r="CA602">
        <v>-1.1499999999999999</v>
      </c>
      <c r="CB602">
        <v>-1.98</v>
      </c>
      <c r="CC602">
        <v>-0.43</v>
      </c>
      <c r="CD602">
        <v>1.06</v>
      </c>
      <c r="CE602">
        <v>-1.48</v>
      </c>
      <c r="CF602">
        <v>-1.71</v>
      </c>
      <c r="CG602">
        <v>0</v>
      </c>
      <c r="CH602">
        <v>-2.42</v>
      </c>
      <c r="CI602">
        <v>0</v>
      </c>
      <c r="CJ602">
        <v>-8.1</v>
      </c>
      <c r="CK602">
        <v>97</v>
      </c>
      <c r="CL602">
        <v>-0.48</v>
      </c>
      <c r="CM602">
        <v>96</v>
      </c>
      <c r="CN602">
        <v>-0.34</v>
      </c>
      <c r="CO602">
        <v>96</v>
      </c>
      <c r="CP602">
        <v>-13.1</v>
      </c>
      <c r="CQ602">
        <v>92</v>
      </c>
      <c r="CR602">
        <v>0</v>
      </c>
      <c r="CS602">
        <v>0</v>
      </c>
      <c r="CT602">
        <v>-8.3000000000000007</v>
      </c>
      <c r="CU602">
        <v>91</v>
      </c>
      <c r="CV602">
        <v>0.02</v>
      </c>
      <c r="CW602">
        <v>46</v>
      </c>
      <c r="CX602" t="s">
        <v>792</v>
      </c>
    </row>
    <row r="603" spans="1:102" x14ac:dyDescent="0.3">
      <c r="A603" t="str">
        <f>HYPERLINK("https://webapp.icbf.com/v2/app/bull-search/view/1167777905","FR2211")</f>
        <v>FR2211</v>
      </c>
      <c r="B603" t="s">
        <v>15162</v>
      </c>
      <c r="C603" t="s">
        <v>15163</v>
      </c>
      <c r="D603" s="1">
        <v>41757</v>
      </c>
      <c r="E603" t="s">
        <v>108</v>
      </c>
      <c r="F603">
        <v>3</v>
      </c>
      <c r="G603" t="s">
        <v>435</v>
      </c>
      <c r="H603">
        <v>175.11</v>
      </c>
      <c r="I603">
        <v>67</v>
      </c>
      <c r="J603">
        <v>44.31</v>
      </c>
      <c r="K603">
        <v>84</v>
      </c>
      <c r="L603">
        <v>87.3</v>
      </c>
      <c r="M603">
        <v>62</v>
      </c>
      <c r="N603">
        <v>36.67</v>
      </c>
      <c r="O603">
        <v>61</v>
      </c>
      <c r="P603">
        <v>-14.74</v>
      </c>
      <c r="Q603">
        <v>54</v>
      </c>
      <c r="R603">
        <v>5.81</v>
      </c>
      <c r="S603">
        <v>64</v>
      </c>
      <c r="T603">
        <v>15.82</v>
      </c>
      <c r="U603">
        <v>48</v>
      </c>
      <c r="V603">
        <v>-0.06</v>
      </c>
      <c r="W603">
        <v>56</v>
      </c>
      <c r="X603" t="s">
        <v>276</v>
      </c>
      <c r="Y603" t="s">
        <v>416</v>
      </c>
      <c r="Z603" t="s">
        <v>96</v>
      </c>
      <c r="AA603" t="s">
        <v>2411</v>
      </c>
      <c r="AB603" t="s">
        <v>5257</v>
      </c>
      <c r="AC603">
        <v>6</v>
      </c>
      <c r="AD603">
        <v>4</v>
      </c>
      <c r="AE603">
        <v>84</v>
      </c>
      <c r="AF603">
        <v>-108.93</v>
      </c>
      <c r="AG603">
        <v>5.93</v>
      </c>
      <c r="AH603">
        <v>3.77</v>
      </c>
      <c r="AI603">
        <v>0.18</v>
      </c>
      <c r="AJ603">
        <v>0.13</v>
      </c>
      <c r="AK603">
        <v>62</v>
      </c>
      <c r="AL603">
        <v>0</v>
      </c>
      <c r="AM603">
        <v>0</v>
      </c>
      <c r="AN603">
        <v>-4.1500000000000004</v>
      </c>
      <c r="AO603">
        <v>2.82</v>
      </c>
      <c r="AP603">
        <v>18</v>
      </c>
      <c r="AQ603">
        <v>0</v>
      </c>
      <c r="AR603">
        <v>3.49</v>
      </c>
      <c r="AS603">
        <v>55</v>
      </c>
      <c r="AT603">
        <v>1.97</v>
      </c>
      <c r="AU603">
        <v>67</v>
      </c>
      <c r="AV603">
        <v>-3.06</v>
      </c>
      <c r="AW603">
        <v>68</v>
      </c>
      <c r="AX603">
        <v>-0.01</v>
      </c>
      <c r="AY603">
        <v>52</v>
      </c>
      <c r="AZ603">
        <v>6.77</v>
      </c>
      <c r="BA603">
        <v>47</v>
      </c>
      <c r="BB603">
        <v>5.84</v>
      </c>
      <c r="BC603">
        <v>44</v>
      </c>
      <c r="BD603">
        <v>-0.01</v>
      </c>
      <c r="BE603">
        <v>-0.03</v>
      </c>
      <c r="BF603">
        <v>-0.06</v>
      </c>
      <c r="BG603">
        <v>72</v>
      </c>
      <c r="BH603">
        <v>-0.04</v>
      </c>
      <c r="BI603">
        <v>-4.43</v>
      </c>
      <c r="BJ603">
        <v>0</v>
      </c>
      <c r="BK603">
        <v>0</v>
      </c>
      <c r="BL603">
        <v>-2.5099999999999998</v>
      </c>
      <c r="BM603">
        <v>1.37</v>
      </c>
      <c r="BN603">
        <v>-1.89</v>
      </c>
      <c r="BO603">
        <v>-2.57</v>
      </c>
      <c r="BP603">
        <v>-1.62</v>
      </c>
      <c r="BQ603">
        <v>0.85</v>
      </c>
      <c r="BR603">
        <v>-2.54</v>
      </c>
      <c r="BS603">
        <v>2.25</v>
      </c>
      <c r="BT603">
        <v>1.08</v>
      </c>
      <c r="BU603">
        <v>-2.62</v>
      </c>
      <c r="BV603">
        <v>-2.89</v>
      </c>
      <c r="BW603">
        <v>-2.78</v>
      </c>
      <c r="BX603">
        <v>-0.8</v>
      </c>
      <c r="BY603">
        <v>-1.58</v>
      </c>
      <c r="BZ603">
        <v>-0.55000000000000004</v>
      </c>
      <c r="CA603">
        <v>-1.27</v>
      </c>
      <c r="CB603">
        <v>-2.39</v>
      </c>
      <c r="CC603">
        <v>1.5</v>
      </c>
      <c r="CD603">
        <v>1.67</v>
      </c>
      <c r="CE603">
        <v>-2.0499999999999998</v>
      </c>
      <c r="CF603">
        <v>-1.89</v>
      </c>
      <c r="CG603">
        <v>0</v>
      </c>
      <c r="CH603">
        <v>-2.04</v>
      </c>
      <c r="CI603">
        <v>0</v>
      </c>
      <c r="CJ603">
        <v>-7.6</v>
      </c>
      <c r="CK603">
        <v>55</v>
      </c>
      <c r="CL603">
        <v>-0.33</v>
      </c>
      <c r="CM603">
        <v>53</v>
      </c>
      <c r="CN603">
        <v>-7.0000000000000007E-2</v>
      </c>
      <c r="CO603">
        <v>52</v>
      </c>
      <c r="CP603">
        <v>-11.1</v>
      </c>
      <c r="CQ603">
        <v>50</v>
      </c>
      <c r="CR603">
        <v>0</v>
      </c>
      <c r="CS603">
        <v>0</v>
      </c>
      <c r="CT603">
        <v>-7.6</v>
      </c>
      <c r="CU603">
        <v>48</v>
      </c>
      <c r="CV603">
        <v>0.03</v>
      </c>
      <c r="CW603">
        <v>37</v>
      </c>
      <c r="CX603" t="s">
        <v>4265</v>
      </c>
    </row>
    <row r="604" spans="1:102" x14ac:dyDescent="0.3">
      <c r="A604" t="str">
        <f>HYPERLINK("https://webapp.icbf.com/v2/app/bull-search/view/1353390462","FR4129")</f>
        <v>FR4129</v>
      </c>
      <c r="B604" t="s">
        <v>6168</v>
      </c>
      <c r="C604" t="s">
        <v>6169</v>
      </c>
      <c r="D604" s="1">
        <v>42401</v>
      </c>
      <c r="E604" t="s">
        <v>92</v>
      </c>
      <c r="F604">
        <v>97</v>
      </c>
      <c r="G604" t="s">
        <v>435</v>
      </c>
      <c r="H604">
        <v>175.09</v>
      </c>
      <c r="I604">
        <v>76</v>
      </c>
      <c r="J604">
        <v>63.59</v>
      </c>
      <c r="K604">
        <v>92</v>
      </c>
      <c r="L604">
        <v>86.62</v>
      </c>
      <c r="M604">
        <v>70</v>
      </c>
      <c r="N604">
        <v>21.98</v>
      </c>
      <c r="O604">
        <v>85</v>
      </c>
      <c r="P604">
        <v>-15.54</v>
      </c>
      <c r="Q604">
        <v>64</v>
      </c>
      <c r="R604">
        <v>4.12</v>
      </c>
      <c r="S604">
        <v>68</v>
      </c>
      <c r="T604">
        <v>10.050000000000001</v>
      </c>
      <c r="U604">
        <v>48</v>
      </c>
      <c r="V604">
        <v>4.2699999999999996</v>
      </c>
      <c r="W604">
        <v>61</v>
      </c>
      <c r="X604" t="s">
        <v>94</v>
      </c>
      <c r="Y604" t="s">
        <v>436</v>
      </c>
      <c r="Z604" t="s">
        <v>96</v>
      </c>
      <c r="AA604" t="s">
        <v>2113</v>
      </c>
      <c r="AB604" t="s">
        <v>6170</v>
      </c>
      <c r="AC604">
        <v>0</v>
      </c>
      <c r="AD604">
        <v>0</v>
      </c>
      <c r="AE604">
        <v>92</v>
      </c>
      <c r="AF604">
        <v>174.21</v>
      </c>
      <c r="AG604">
        <v>15.89</v>
      </c>
      <c r="AH604">
        <v>7.86</v>
      </c>
      <c r="AI604">
        <v>0.15</v>
      </c>
      <c r="AJ604">
        <v>0.04</v>
      </c>
      <c r="AK604">
        <v>70</v>
      </c>
      <c r="AL604">
        <v>0</v>
      </c>
      <c r="AM604">
        <v>0</v>
      </c>
      <c r="AN604">
        <v>-3.8</v>
      </c>
      <c r="AO604">
        <v>3.12</v>
      </c>
      <c r="AP604">
        <v>502</v>
      </c>
      <c r="AQ604">
        <v>1</v>
      </c>
      <c r="AR604">
        <v>9.15</v>
      </c>
      <c r="AS604">
        <v>72</v>
      </c>
      <c r="AT604">
        <v>3.4</v>
      </c>
      <c r="AU604">
        <v>93</v>
      </c>
      <c r="AV604">
        <v>-3.5</v>
      </c>
      <c r="AW604">
        <v>98</v>
      </c>
      <c r="AX604">
        <v>0.27</v>
      </c>
      <c r="AY604">
        <v>88</v>
      </c>
      <c r="AZ604">
        <v>5.42</v>
      </c>
      <c r="BA604">
        <v>48</v>
      </c>
      <c r="BB604">
        <v>4.95</v>
      </c>
      <c r="BC604">
        <v>45</v>
      </c>
      <c r="BD604">
        <v>0.05</v>
      </c>
      <c r="BE604">
        <v>-0.02</v>
      </c>
      <c r="BF604">
        <v>-0.14000000000000001</v>
      </c>
      <c r="BG604">
        <v>79</v>
      </c>
      <c r="BH604">
        <v>-0.06</v>
      </c>
      <c r="BI604">
        <v>-20.73</v>
      </c>
      <c r="BJ604">
        <v>0</v>
      </c>
      <c r="BK604">
        <v>0</v>
      </c>
      <c r="BL604">
        <v>0.55000000000000004</v>
      </c>
      <c r="BM604">
        <v>0.23</v>
      </c>
      <c r="BN604">
        <v>-0.64</v>
      </c>
      <c r="BO604">
        <v>-0.52</v>
      </c>
      <c r="BP604">
        <v>3.19</v>
      </c>
      <c r="BQ604">
        <v>0.78</v>
      </c>
      <c r="BR604">
        <v>1.1100000000000001</v>
      </c>
      <c r="BS604">
        <v>-1.08</v>
      </c>
      <c r="BT604">
        <v>-1.05</v>
      </c>
      <c r="BU604">
        <v>0.34</v>
      </c>
      <c r="BV604">
        <v>0.3</v>
      </c>
      <c r="BW604">
        <v>0.59</v>
      </c>
      <c r="BX604">
        <v>1.35</v>
      </c>
      <c r="BY604">
        <v>0.54</v>
      </c>
      <c r="BZ604">
        <v>-1.27</v>
      </c>
      <c r="CA604">
        <v>0.26</v>
      </c>
      <c r="CB604">
        <v>0.46</v>
      </c>
      <c r="CC604">
        <v>-0.91</v>
      </c>
      <c r="CD604">
        <v>0.46</v>
      </c>
      <c r="CE604">
        <v>-0.36</v>
      </c>
      <c r="CF604">
        <v>0.81</v>
      </c>
      <c r="CG604">
        <v>0</v>
      </c>
      <c r="CH604">
        <v>-0.25</v>
      </c>
      <c r="CI604">
        <v>0</v>
      </c>
      <c r="CJ604">
        <v>-6</v>
      </c>
      <c r="CK604">
        <v>68</v>
      </c>
      <c r="CL604">
        <v>-0.89</v>
      </c>
      <c r="CM604">
        <v>60</v>
      </c>
      <c r="CN604">
        <v>-0.24</v>
      </c>
      <c r="CO604">
        <v>59</v>
      </c>
      <c r="CP604">
        <v>-5.9</v>
      </c>
      <c r="CQ604">
        <v>51</v>
      </c>
      <c r="CR604">
        <v>0</v>
      </c>
      <c r="CS604">
        <v>0</v>
      </c>
      <c r="CT604">
        <v>0.2</v>
      </c>
      <c r="CU604">
        <v>48</v>
      </c>
      <c r="CV604">
        <v>0.08</v>
      </c>
      <c r="CW604">
        <v>40</v>
      </c>
      <c r="CX604" t="s">
        <v>3094</v>
      </c>
    </row>
    <row r="605" spans="1:102" x14ac:dyDescent="0.3">
      <c r="A605" t="str">
        <f>HYPERLINK("https://webapp.icbf.com/v2/app/bull-search/view/953341065","XPD")</f>
        <v>XPD</v>
      </c>
      <c r="B605" t="s">
        <v>9743</v>
      </c>
      <c r="C605" t="s">
        <v>9744</v>
      </c>
      <c r="D605" s="1">
        <v>40425</v>
      </c>
      <c r="E605" t="s">
        <v>92</v>
      </c>
      <c r="F605">
        <v>100</v>
      </c>
      <c r="G605" t="s">
        <v>93</v>
      </c>
      <c r="H605">
        <v>175.08</v>
      </c>
      <c r="I605">
        <v>94</v>
      </c>
      <c r="J605">
        <v>65.709999999999994</v>
      </c>
      <c r="K605">
        <v>99</v>
      </c>
      <c r="L605">
        <v>58.99</v>
      </c>
      <c r="M605">
        <v>91</v>
      </c>
      <c r="N605">
        <v>48.92</v>
      </c>
      <c r="O605">
        <v>96</v>
      </c>
      <c r="P605">
        <v>-12.33</v>
      </c>
      <c r="Q605">
        <v>98</v>
      </c>
      <c r="R605">
        <v>7.12</v>
      </c>
      <c r="S605">
        <v>87</v>
      </c>
      <c r="T605">
        <v>4.87</v>
      </c>
      <c r="U605">
        <v>92</v>
      </c>
      <c r="V605">
        <v>1.8</v>
      </c>
      <c r="W605">
        <v>78</v>
      </c>
      <c r="X605" t="s">
        <v>94</v>
      </c>
      <c r="Y605" t="s">
        <v>1775</v>
      </c>
      <c r="Z605" t="s">
        <v>96</v>
      </c>
      <c r="AA605" t="s">
        <v>9745</v>
      </c>
      <c r="AB605" t="s">
        <v>5496</v>
      </c>
      <c r="AC605">
        <v>1067</v>
      </c>
      <c r="AD605">
        <v>270</v>
      </c>
      <c r="AE605">
        <v>99</v>
      </c>
      <c r="AF605">
        <v>288.42</v>
      </c>
      <c r="AG605">
        <v>10.46</v>
      </c>
      <c r="AH605">
        <v>11.89</v>
      </c>
      <c r="AI605">
        <v>-0.01</v>
      </c>
      <c r="AJ605">
        <v>0.04</v>
      </c>
      <c r="AK605">
        <v>91</v>
      </c>
      <c r="AL605">
        <v>1003</v>
      </c>
      <c r="AM605">
        <v>272</v>
      </c>
      <c r="AN605">
        <v>-2.75</v>
      </c>
      <c r="AO605">
        <v>1.96</v>
      </c>
      <c r="AP605">
        <v>1393</v>
      </c>
      <c r="AQ605">
        <v>2</v>
      </c>
      <c r="AR605">
        <v>4.0999999999999996</v>
      </c>
      <c r="AS605">
        <v>97</v>
      </c>
      <c r="AT605">
        <v>1.73</v>
      </c>
      <c r="AU605">
        <v>96</v>
      </c>
      <c r="AV605">
        <v>-4.42</v>
      </c>
      <c r="AW605">
        <v>99</v>
      </c>
      <c r="AX605">
        <v>0.93</v>
      </c>
      <c r="AY605">
        <v>97</v>
      </c>
      <c r="AZ605">
        <v>6.94</v>
      </c>
      <c r="BA605">
        <v>91</v>
      </c>
      <c r="BB605">
        <v>5.1100000000000003</v>
      </c>
      <c r="BC605">
        <v>85</v>
      </c>
      <c r="BD605">
        <v>-0.01</v>
      </c>
      <c r="BE605">
        <v>-0.03</v>
      </c>
      <c r="BF605">
        <v>-0.09</v>
      </c>
      <c r="BG605">
        <v>97</v>
      </c>
      <c r="BH605">
        <v>-0.14000000000000001</v>
      </c>
      <c r="BI605">
        <v>-21.99</v>
      </c>
      <c r="BJ605">
        <v>231</v>
      </c>
      <c r="BK605">
        <v>61</v>
      </c>
      <c r="BL605">
        <v>1.53</v>
      </c>
      <c r="BM605">
        <v>-2.62</v>
      </c>
      <c r="BN605">
        <v>-0.39</v>
      </c>
      <c r="BO605">
        <v>1.07</v>
      </c>
      <c r="BP605">
        <v>-1.21</v>
      </c>
      <c r="BQ605">
        <v>0.84</v>
      </c>
      <c r="BR605">
        <v>2.77</v>
      </c>
      <c r="BS605">
        <v>-1.5</v>
      </c>
      <c r="BT605">
        <v>-3.47</v>
      </c>
      <c r="BU605">
        <v>3.27</v>
      </c>
      <c r="BV605">
        <v>2.74</v>
      </c>
      <c r="BW605">
        <v>0.77</v>
      </c>
      <c r="BX605">
        <v>3.27</v>
      </c>
      <c r="BY605">
        <v>1.28</v>
      </c>
      <c r="BZ605">
        <v>-1.33</v>
      </c>
      <c r="CA605">
        <v>0.91</v>
      </c>
      <c r="CB605">
        <v>2.11</v>
      </c>
      <c r="CC605">
        <v>-1.98</v>
      </c>
      <c r="CD605">
        <v>-2.29</v>
      </c>
      <c r="CE605">
        <v>0.83</v>
      </c>
      <c r="CF605">
        <v>0.47</v>
      </c>
      <c r="CG605">
        <v>0</v>
      </c>
      <c r="CH605">
        <v>1.41</v>
      </c>
      <c r="CI605">
        <v>0</v>
      </c>
      <c r="CJ605">
        <v>-2.4</v>
      </c>
      <c r="CK605">
        <v>98</v>
      </c>
      <c r="CL605">
        <v>-1.38</v>
      </c>
      <c r="CM605">
        <v>98</v>
      </c>
      <c r="CN605">
        <v>-0.5</v>
      </c>
      <c r="CO605">
        <v>97</v>
      </c>
      <c r="CP605">
        <v>-4.2</v>
      </c>
      <c r="CQ605">
        <v>94</v>
      </c>
      <c r="CR605">
        <v>0</v>
      </c>
      <c r="CS605">
        <v>0</v>
      </c>
      <c r="CT605">
        <v>7.2</v>
      </c>
      <c r="CU605">
        <v>92</v>
      </c>
      <c r="CV605">
        <v>0.33</v>
      </c>
      <c r="CW605">
        <v>46</v>
      </c>
      <c r="CX605" t="s">
        <v>309</v>
      </c>
    </row>
    <row r="606" spans="1:102" x14ac:dyDescent="0.3">
      <c r="A606" t="str">
        <f>HYPERLINK("https://webapp.icbf.com/v2/app/bull-search/view/1095921185","S1590")</f>
        <v>S1590</v>
      </c>
      <c r="B606" t="s">
        <v>13185</v>
      </c>
      <c r="C606" t="s">
        <v>13186</v>
      </c>
      <c r="D606" s="1">
        <v>40990</v>
      </c>
      <c r="E606" t="s">
        <v>92</v>
      </c>
      <c r="F606">
        <v>100</v>
      </c>
      <c r="G606" t="s">
        <v>93</v>
      </c>
      <c r="H606">
        <v>175.06</v>
      </c>
      <c r="I606">
        <v>91</v>
      </c>
      <c r="J606">
        <v>129.83000000000001</v>
      </c>
      <c r="K606">
        <v>98</v>
      </c>
      <c r="L606">
        <v>-1.31</v>
      </c>
      <c r="M606">
        <v>88</v>
      </c>
      <c r="N606">
        <v>45.77</v>
      </c>
      <c r="O606">
        <v>90</v>
      </c>
      <c r="P606">
        <v>-5.01</v>
      </c>
      <c r="Q606">
        <v>94</v>
      </c>
      <c r="R606">
        <v>12.68</v>
      </c>
      <c r="S606">
        <v>79</v>
      </c>
      <c r="T606">
        <v>-2.9</v>
      </c>
      <c r="U606">
        <v>85</v>
      </c>
      <c r="V606">
        <v>-4</v>
      </c>
      <c r="W606">
        <v>71</v>
      </c>
      <c r="X606" t="s">
        <v>251</v>
      </c>
      <c r="Y606" t="s">
        <v>362</v>
      </c>
      <c r="Z606" t="s">
        <v>96</v>
      </c>
      <c r="AA606" t="s">
        <v>2187</v>
      </c>
      <c r="AB606" t="s">
        <v>7637</v>
      </c>
      <c r="AC606">
        <v>286</v>
      </c>
      <c r="AD606">
        <v>77</v>
      </c>
      <c r="AE606">
        <v>98</v>
      </c>
      <c r="AF606">
        <v>533.35</v>
      </c>
      <c r="AG606">
        <v>22.91</v>
      </c>
      <c r="AH606">
        <v>22.14</v>
      </c>
      <c r="AI606">
        <v>0.03</v>
      </c>
      <c r="AJ606">
        <v>7.0000000000000007E-2</v>
      </c>
      <c r="AK606">
        <v>88</v>
      </c>
      <c r="AL606">
        <v>211</v>
      </c>
      <c r="AM606">
        <v>66</v>
      </c>
      <c r="AN606">
        <v>1.22</v>
      </c>
      <c r="AO606">
        <v>1.1299999999999999</v>
      </c>
      <c r="AP606">
        <v>496</v>
      </c>
      <c r="AQ606">
        <v>1</v>
      </c>
      <c r="AR606">
        <v>6.89</v>
      </c>
      <c r="AS606">
        <v>91</v>
      </c>
      <c r="AT606">
        <v>2.5099999999999998</v>
      </c>
      <c r="AU606">
        <v>92</v>
      </c>
      <c r="AV606">
        <v>-4.4400000000000004</v>
      </c>
      <c r="AW606">
        <v>97</v>
      </c>
      <c r="AX606">
        <v>-0.71</v>
      </c>
      <c r="AY606">
        <v>91</v>
      </c>
      <c r="AZ606">
        <v>5.54</v>
      </c>
      <c r="BA606">
        <v>79</v>
      </c>
      <c r="BB606">
        <v>4.88</v>
      </c>
      <c r="BC606">
        <v>63</v>
      </c>
      <c r="BD606">
        <v>-7.0000000000000007E-2</v>
      </c>
      <c r="BE606">
        <v>-0.05</v>
      </c>
      <c r="BF606">
        <v>-0.08</v>
      </c>
      <c r="BG606">
        <v>93</v>
      </c>
      <c r="BH606">
        <v>-0.11</v>
      </c>
      <c r="BI606">
        <v>0.18</v>
      </c>
      <c r="BJ606">
        <v>54</v>
      </c>
      <c r="BK606">
        <v>26</v>
      </c>
      <c r="BL606">
        <v>1.57</v>
      </c>
      <c r="BM606">
        <v>0.03</v>
      </c>
      <c r="BN606">
        <v>0.79</v>
      </c>
      <c r="BO606">
        <v>1.48</v>
      </c>
      <c r="BP606">
        <v>1.22</v>
      </c>
      <c r="BQ606">
        <v>2.0699999999999998</v>
      </c>
      <c r="BR606">
        <v>0.48</v>
      </c>
      <c r="BS606">
        <v>1.64</v>
      </c>
      <c r="BT606">
        <v>0.05</v>
      </c>
      <c r="BU606">
        <v>1.2</v>
      </c>
      <c r="BV606">
        <v>1.56</v>
      </c>
      <c r="BW606">
        <v>0.5</v>
      </c>
      <c r="BX606">
        <v>0.13</v>
      </c>
      <c r="BY606">
        <v>1.25</v>
      </c>
      <c r="BZ606">
        <v>2.09</v>
      </c>
      <c r="CA606">
        <v>1.17</v>
      </c>
      <c r="CB606">
        <v>1.06</v>
      </c>
      <c r="CC606">
        <v>1.05</v>
      </c>
      <c r="CD606">
        <v>-0.69</v>
      </c>
      <c r="CE606">
        <v>1.32</v>
      </c>
      <c r="CF606">
        <v>1.4</v>
      </c>
      <c r="CG606">
        <v>0</v>
      </c>
      <c r="CH606">
        <v>1.1200000000000001</v>
      </c>
      <c r="CI606">
        <v>0</v>
      </c>
      <c r="CJ606">
        <v>2</v>
      </c>
      <c r="CK606">
        <v>96</v>
      </c>
      <c r="CL606">
        <v>-1.22</v>
      </c>
      <c r="CM606">
        <v>95</v>
      </c>
      <c r="CN606">
        <v>-0.4</v>
      </c>
      <c r="CO606">
        <v>95</v>
      </c>
      <c r="CP606">
        <v>0.9</v>
      </c>
      <c r="CQ606">
        <v>80</v>
      </c>
      <c r="CR606">
        <v>0</v>
      </c>
      <c r="CS606">
        <v>0</v>
      </c>
      <c r="CT606">
        <v>17.7</v>
      </c>
      <c r="CU606">
        <v>85</v>
      </c>
      <c r="CV606">
        <v>0.28999999999999998</v>
      </c>
      <c r="CW606">
        <v>45</v>
      </c>
      <c r="CX606" t="s">
        <v>7638</v>
      </c>
    </row>
    <row r="607" spans="1:102" x14ac:dyDescent="0.3">
      <c r="A607" t="str">
        <f>HYPERLINK("https://webapp.icbf.com/v2/app/bull-search/view/1132392869","TTG")</f>
        <v>TTG</v>
      </c>
      <c r="B607" t="s">
        <v>5860</v>
      </c>
      <c r="C607" t="s">
        <v>5861</v>
      </c>
      <c r="D607" s="1">
        <v>39552</v>
      </c>
      <c r="E607" t="s">
        <v>395</v>
      </c>
      <c r="F607">
        <v>0</v>
      </c>
      <c r="G607" t="s">
        <v>93</v>
      </c>
      <c r="H607">
        <v>174.94</v>
      </c>
      <c r="I607">
        <v>87</v>
      </c>
      <c r="J607">
        <v>53.83</v>
      </c>
      <c r="K607">
        <v>97</v>
      </c>
      <c r="L607">
        <v>84.32</v>
      </c>
      <c r="M607">
        <v>82</v>
      </c>
      <c r="N607">
        <v>12.25</v>
      </c>
      <c r="O607">
        <v>87</v>
      </c>
      <c r="P607">
        <v>7.25</v>
      </c>
      <c r="Q607">
        <v>94</v>
      </c>
      <c r="R607">
        <v>6.68</v>
      </c>
      <c r="S607">
        <v>70</v>
      </c>
      <c r="T607">
        <v>12.49</v>
      </c>
      <c r="U607">
        <v>77</v>
      </c>
      <c r="V607">
        <v>-1.88</v>
      </c>
      <c r="W607">
        <v>61</v>
      </c>
      <c r="X607" t="s">
        <v>94</v>
      </c>
      <c r="Y607" t="s">
        <v>329</v>
      </c>
      <c r="Z607">
        <v>0</v>
      </c>
      <c r="AA607" t="s">
        <v>5862</v>
      </c>
      <c r="AB607" t="s">
        <v>5863</v>
      </c>
      <c r="AC607">
        <v>135</v>
      </c>
      <c r="AD607">
        <v>53</v>
      </c>
      <c r="AE607">
        <v>97</v>
      </c>
      <c r="AF607">
        <v>259.10000000000002</v>
      </c>
      <c r="AG607">
        <v>6.9</v>
      </c>
      <c r="AH607">
        <v>10.68</v>
      </c>
      <c r="AI607">
        <v>-0.05</v>
      </c>
      <c r="AJ607">
        <v>0.03</v>
      </c>
      <c r="AK607">
        <v>82</v>
      </c>
      <c r="AL607">
        <v>173</v>
      </c>
      <c r="AM607">
        <v>68</v>
      </c>
      <c r="AN607">
        <v>-4.17</v>
      </c>
      <c r="AO607">
        <v>2.56</v>
      </c>
      <c r="AP607">
        <v>420</v>
      </c>
      <c r="AQ607">
        <v>5</v>
      </c>
      <c r="AR607">
        <v>7.37</v>
      </c>
      <c r="AS607">
        <v>84</v>
      </c>
      <c r="AT607">
        <v>2.78</v>
      </c>
      <c r="AU607">
        <v>91</v>
      </c>
      <c r="AV607">
        <v>-0.9</v>
      </c>
      <c r="AW607">
        <v>98</v>
      </c>
      <c r="AX607">
        <v>-0.03</v>
      </c>
      <c r="AY607">
        <v>86</v>
      </c>
      <c r="AZ607">
        <v>6.45</v>
      </c>
      <c r="BA607">
        <v>65</v>
      </c>
      <c r="BB607">
        <v>4.68</v>
      </c>
      <c r="BC607">
        <v>55</v>
      </c>
      <c r="BD607">
        <v>-0.04</v>
      </c>
      <c r="BE607">
        <v>-0.03</v>
      </c>
      <c r="BF607">
        <v>-0.03</v>
      </c>
      <c r="BG607">
        <v>84</v>
      </c>
      <c r="BH607">
        <v>-0.04</v>
      </c>
      <c r="BI607">
        <v>1.45</v>
      </c>
      <c r="BJ607">
        <v>6</v>
      </c>
      <c r="BK607">
        <v>1</v>
      </c>
      <c r="BL607">
        <v>-1.29</v>
      </c>
      <c r="BM607">
        <v>1.26</v>
      </c>
      <c r="BN607">
        <v>-1.65</v>
      </c>
      <c r="BO607">
        <v>-2.3199999999999998</v>
      </c>
      <c r="BP607">
        <v>-0.49</v>
      </c>
      <c r="BQ607">
        <v>-1.84</v>
      </c>
      <c r="BR607">
        <v>2.25</v>
      </c>
      <c r="BS607">
        <v>-1.69</v>
      </c>
      <c r="BT607">
        <v>-2.1</v>
      </c>
      <c r="BU607">
        <v>-2.5499999999999998</v>
      </c>
      <c r="BV607">
        <v>-4.43</v>
      </c>
      <c r="BW607">
        <v>-4.13</v>
      </c>
      <c r="BX607">
        <v>-0.86</v>
      </c>
      <c r="BY607">
        <v>-0.92</v>
      </c>
      <c r="BZ607">
        <v>-3.16</v>
      </c>
      <c r="CA607">
        <v>-3.62</v>
      </c>
      <c r="CB607">
        <v>-3.44</v>
      </c>
      <c r="CC607">
        <v>-2.69</v>
      </c>
      <c r="CD607">
        <v>1.22</v>
      </c>
      <c r="CE607">
        <v>-2.57</v>
      </c>
      <c r="CF607">
        <v>-2.2799999999999998</v>
      </c>
      <c r="CG607">
        <v>0</v>
      </c>
      <c r="CH607">
        <v>-1.22</v>
      </c>
      <c r="CI607">
        <v>0</v>
      </c>
      <c r="CJ607">
        <v>7.3</v>
      </c>
      <c r="CK607">
        <v>96</v>
      </c>
      <c r="CL607">
        <v>-0.32</v>
      </c>
      <c r="CM607">
        <v>95</v>
      </c>
      <c r="CN607">
        <v>-7.0000000000000007E-2</v>
      </c>
      <c r="CO607">
        <v>94</v>
      </c>
      <c r="CP607">
        <v>-2.2999999999999998</v>
      </c>
      <c r="CQ607">
        <v>80</v>
      </c>
      <c r="CR607">
        <v>0</v>
      </c>
      <c r="CS607">
        <v>0</v>
      </c>
      <c r="CT607">
        <v>-3.1</v>
      </c>
      <c r="CU607">
        <v>77</v>
      </c>
      <c r="CV607">
        <v>0.22</v>
      </c>
      <c r="CW607">
        <v>27</v>
      </c>
      <c r="CX607" t="s">
        <v>5864</v>
      </c>
    </row>
    <row r="608" spans="1:102" x14ac:dyDescent="0.3">
      <c r="A608" t="str">
        <f>HYPERLINK("https://webapp.icbf.com/v2/app/bull-search/view/469434540","BZN")</f>
        <v>BZN</v>
      </c>
      <c r="B608" t="s">
        <v>6961</v>
      </c>
      <c r="C608" t="s">
        <v>6962</v>
      </c>
      <c r="D608" s="1">
        <v>36457</v>
      </c>
      <c r="E608" t="s">
        <v>395</v>
      </c>
      <c r="F608">
        <v>0</v>
      </c>
      <c r="G608" t="s">
        <v>109</v>
      </c>
      <c r="H608">
        <v>174.86</v>
      </c>
      <c r="I608">
        <v>66</v>
      </c>
      <c r="J608">
        <v>19.47</v>
      </c>
      <c r="K608">
        <v>75</v>
      </c>
      <c r="L608">
        <v>100.6</v>
      </c>
      <c r="M608">
        <v>75</v>
      </c>
      <c r="N608">
        <v>26.4</v>
      </c>
      <c r="O608">
        <v>59</v>
      </c>
      <c r="P608">
        <v>0.6</v>
      </c>
      <c r="Q608">
        <v>50</v>
      </c>
      <c r="R608">
        <v>4.84</v>
      </c>
      <c r="S608">
        <v>38</v>
      </c>
      <c r="T608">
        <v>24.04</v>
      </c>
      <c r="U608">
        <v>41</v>
      </c>
      <c r="V608">
        <v>-1.0900000000000001</v>
      </c>
      <c r="W608">
        <v>33</v>
      </c>
      <c r="X608" t="s">
        <v>131</v>
      </c>
      <c r="Y608" t="s">
        <v>1208</v>
      </c>
      <c r="Z608">
        <v>0</v>
      </c>
      <c r="AA608" t="s">
        <v>211</v>
      </c>
      <c r="AB608" t="s">
        <v>6963</v>
      </c>
      <c r="AC608">
        <v>0</v>
      </c>
      <c r="AD608">
        <v>0</v>
      </c>
      <c r="AE608">
        <v>75</v>
      </c>
      <c r="AF608">
        <v>175.4</v>
      </c>
      <c r="AG608">
        <v>6.35</v>
      </c>
      <c r="AH608">
        <v>3.75</v>
      </c>
      <c r="AI608">
        <v>-0.01</v>
      </c>
      <c r="AJ608">
        <v>-0.04</v>
      </c>
      <c r="AK608">
        <v>75</v>
      </c>
      <c r="AL608">
        <v>0</v>
      </c>
      <c r="AM608">
        <v>0</v>
      </c>
      <c r="AN608">
        <v>-4.91</v>
      </c>
      <c r="AO608">
        <v>3.12</v>
      </c>
      <c r="AP608">
        <v>16</v>
      </c>
      <c r="AQ608">
        <v>0</v>
      </c>
      <c r="AR608">
        <v>6.97</v>
      </c>
      <c r="AS608">
        <v>26</v>
      </c>
      <c r="AT608">
        <v>2.78</v>
      </c>
      <c r="AU608">
        <v>90</v>
      </c>
      <c r="AV608">
        <v>-2.0499999999999998</v>
      </c>
      <c r="AW608">
        <v>65</v>
      </c>
      <c r="AX608">
        <v>0.19</v>
      </c>
      <c r="AY608">
        <v>40</v>
      </c>
      <c r="AZ608">
        <v>4.76</v>
      </c>
      <c r="BA608">
        <v>25</v>
      </c>
      <c r="BB608">
        <v>4.17</v>
      </c>
      <c r="BC608">
        <v>25</v>
      </c>
      <c r="BD608">
        <v>0.01</v>
      </c>
      <c r="BE608">
        <v>-0.02</v>
      </c>
      <c r="BF608">
        <v>-0.09</v>
      </c>
      <c r="BG608">
        <v>44</v>
      </c>
      <c r="BH608">
        <v>-0.01</v>
      </c>
      <c r="BI608">
        <v>2.37</v>
      </c>
      <c r="BJ608">
        <v>0</v>
      </c>
      <c r="BK608">
        <v>0</v>
      </c>
      <c r="BL608">
        <v>-1.3</v>
      </c>
      <c r="BM608">
        <v>1.02</v>
      </c>
      <c r="BN608">
        <v>-1.35</v>
      </c>
      <c r="BO608">
        <v>-1.57</v>
      </c>
      <c r="BP608">
        <v>1.34</v>
      </c>
      <c r="BQ608">
        <v>-1.22</v>
      </c>
      <c r="BR608">
        <v>0.03</v>
      </c>
      <c r="BS608">
        <v>0.56000000000000005</v>
      </c>
      <c r="BT608">
        <v>-0.2</v>
      </c>
      <c r="BU608">
        <v>-1.44</v>
      </c>
      <c r="BV608">
        <v>-2.34</v>
      </c>
      <c r="BW608">
        <v>-1.63</v>
      </c>
      <c r="BX608">
        <v>-1.28</v>
      </c>
      <c r="BY608">
        <v>-0.66</v>
      </c>
      <c r="BZ608">
        <v>-0.86</v>
      </c>
      <c r="CA608">
        <v>-1.0900000000000001</v>
      </c>
      <c r="CB608">
        <v>-1.64</v>
      </c>
      <c r="CC608">
        <v>0.33</v>
      </c>
      <c r="CD608">
        <v>1.31</v>
      </c>
      <c r="CE608">
        <v>-1.41</v>
      </c>
      <c r="CF608">
        <v>-1.46</v>
      </c>
      <c r="CG608">
        <v>0</v>
      </c>
      <c r="CH608">
        <v>-1.03</v>
      </c>
      <c r="CI608">
        <v>0</v>
      </c>
      <c r="CJ608">
        <v>1.4</v>
      </c>
      <c r="CK608">
        <v>52</v>
      </c>
      <c r="CL608">
        <v>-0.18</v>
      </c>
      <c r="CM608">
        <v>48</v>
      </c>
      <c r="CN608">
        <v>-0.19</v>
      </c>
      <c r="CO608">
        <v>44</v>
      </c>
      <c r="CP608">
        <v>-11.3</v>
      </c>
      <c r="CQ608">
        <v>51</v>
      </c>
      <c r="CR608">
        <v>0</v>
      </c>
      <c r="CS608">
        <v>0</v>
      </c>
      <c r="CT608">
        <v>-18.7</v>
      </c>
      <c r="CU608">
        <v>41</v>
      </c>
      <c r="CV608">
        <v>0.09</v>
      </c>
      <c r="CW608">
        <v>14</v>
      </c>
      <c r="CX608" t="s">
        <v>6964</v>
      </c>
    </row>
    <row r="609" spans="1:102" x14ac:dyDescent="0.3">
      <c r="A609" t="str">
        <f>HYPERLINK("https://webapp.icbf.com/v2/app/bull-search/view/746987078","SFK")</f>
        <v>SFK</v>
      </c>
      <c r="B609" t="s">
        <v>8273</v>
      </c>
      <c r="C609" t="s">
        <v>8274</v>
      </c>
      <c r="D609" s="1">
        <v>40215</v>
      </c>
      <c r="E609" t="s">
        <v>92</v>
      </c>
      <c r="F609">
        <v>97</v>
      </c>
      <c r="G609" t="s">
        <v>435</v>
      </c>
      <c r="H609">
        <v>174.77</v>
      </c>
      <c r="I609">
        <v>68</v>
      </c>
      <c r="J609">
        <v>43.58</v>
      </c>
      <c r="K609">
        <v>85</v>
      </c>
      <c r="L609">
        <v>90.62</v>
      </c>
      <c r="M609">
        <v>62</v>
      </c>
      <c r="N609">
        <v>30.84</v>
      </c>
      <c r="O609">
        <v>58</v>
      </c>
      <c r="P609">
        <v>0.11</v>
      </c>
      <c r="Q609">
        <v>61</v>
      </c>
      <c r="R609">
        <v>-1.65</v>
      </c>
      <c r="S609">
        <v>62</v>
      </c>
      <c r="T609">
        <v>8.2799999999999994</v>
      </c>
      <c r="U609">
        <v>48</v>
      </c>
      <c r="V609">
        <v>2.99</v>
      </c>
      <c r="W609">
        <v>58</v>
      </c>
      <c r="X609" t="s">
        <v>94</v>
      </c>
      <c r="Y609" t="s">
        <v>1685</v>
      </c>
      <c r="Z609" t="s">
        <v>96</v>
      </c>
      <c r="AA609" t="s">
        <v>4735</v>
      </c>
      <c r="AB609" t="s">
        <v>8275</v>
      </c>
      <c r="AC609">
        <v>2</v>
      </c>
      <c r="AD609">
        <v>2</v>
      </c>
      <c r="AE609">
        <v>85</v>
      </c>
      <c r="AF609">
        <v>-79.73</v>
      </c>
      <c r="AG609">
        <v>11.51</v>
      </c>
      <c r="AH609">
        <v>2.12</v>
      </c>
      <c r="AI609">
        <v>0.26</v>
      </c>
      <c r="AJ609">
        <v>0.09</v>
      </c>
      <c r="AK609">
        <v>62</v>
      </c>
      <c r="AL609">
        <v>2</v>
      </c>
      <c r="AM609">
        <v>2</v>
      </c>
      <c r="AN609">
        <v>-5.48</v>
      </c>
      <c r="AO609">
        <v>1.74</v>
      </c>
      <c r="AP609">
        <v>3</v>
      </c>
      <c r="AQ609">
        <v>0</v>
      </c>
      <c r="AR609">
        <v>6.53</v>
      </c>
      <c r="AS609">
        <v>48</v>
      </c>
      <c r="AT609">
        <v>2.36</v>
      </c>
      <c r="AU609">
        <v>61</v>
      </c>
      <c r="AV609">
        <v>-2.2999999999999998</v>
      </c>
      <c r="AW609">
        <v>67</v>
      </c>
      <c r="AX609">
        <v>-0.67</v>
      </c>
      <c r="AY609">
        <v>47</v>
      </c>
      <c r="AZ609">
        <v>5.86</v>
      </c>
      <c r="BA609">
        <v>38</v>
      </c>
      <c r="BB609">
        <v>4.74</v>
      </c>
      <c r="BC609">
        <v>40</v>
      </c>
      <c r="BD609">
        <v>0</v>
      </c>
      <c r="BE609">
        <v>0.02</v>
      </c>
      <c r="BF609">
        <v>0</v>
      </c>
      <c r="BG609">
        <v>72</v>
      </c>
      <c r="BH609">
        <v>0.1</v>
      </c>
      <c r="BI609">
        <v>1.92</v>
      </c>
      <c r="BJ609">
        <v>0</v>
      </c>
      <c r="BK609">
        <v>0</v>
      </c>
      <c r="BL609">
        <v>-0.56999999999999995</v>
      </c>
      <c r="BM609">
        <v>-0.65</v>
      </c>
      <c r="BN609">
        <v>-1.87</v>
      </c>
      <c r="BO609">
        <v>-1.17</v>
      </c>
      <c r="BP609">
        <v>-0.47</v>
      </c>
      <c r="BQ609">
        <v>-1.3</v>
      </c>
      <c r="BR609">
        <v>1.62</v>
      </c>
      <c r="BS609">
        <v>-2.44</v>
      </c>
      <c r="BT609">
        <v>-1.1599999999999999</v>
      </c>
      <c r="BU609">
        <v>-0.75</v>
      </c>
      <c r="BV609">
        <v>-0.64</v>
      </c>
      <c r="BW609">
        <v>-1.26</v>
      </c>
      <c r="BX609">
        <v>0.22</v>
      </c>
      <c r="BY609">
        <v>-0.82</v>
      </c>
      <c r="BZ609">
        <v>-1.41</v>
      </c>
      <c r="CA609">
        <v>-1.1599999999999999</v>
      </c>
      <c r="CB609">
        <v>-0.77</v>
      </c>
      <c r="CC609">
        <v>-1.91</v>
      </c>
      <c r="CD609">
        <v>0.74</v>
      </c>
      <c r="CE609">
        <v>-0.52</v>
      </c>
      <c r="CF609">
        <v>-0.75</v>
      </c>
      <c r="CG609">
        <v>0</v>
      </c>
      <c r="CH609">
        <v>-0.2</v>
      </c>
      <c r="CI609">
        <v>0</v>
      </c>
      <c r="CJ609">
        <v>3.9</v>
      </c>
      <c r="CK609">
        <v>63</v>
      </c>
      <c r="CL609">
        <v>-0.66</v>
      </c>
      <c r="CM609">
        <v>60</v>
      </c>
      <c r="CN609">
        <v>-0.18</v>
      </c>
      <c r="CO609">
        <v>59</v>
      </c>
      <c r="CP609">
        <v>-3.8</v>
      </c>
      <c r="CQ609">
        <v>52</v>
      </c>
      <c r="CR609">
        <v>0</v>
      </c>
      <c r="CS609">
        <v>0</v>
      </c>
      <c r="CT609">
        <v>2.6</v>
      </c>
      <c r="CU609">
        <v>48</v>
      </c>
      <c r="CV609">
        <v>0.18</v>
      </c>
      <c r="CW609">
        <v>38</v>
      </c>
      <c r="CX609" t="s">
        <v>4796</v>
      </c>
    </row>
    <row r="610" spans="1:102" x14ac:dyDescent="0.3">
      <c r="A610" t="str">
        <f>HYPERLINK("https://webapp.icbf.com/v2/app/bull-search/view/812469671","JE2352")</f>
        <v>JE2352</v>
      </c>
      <c r="B610" t="s">
        <v>6843</v>
      </c>
      <c r="C610" t="s">
        <v>6844</v>
      </c>
      <c r="D610" s="1">
        <v>40038</v>
      </c>
      <c r="E610" t="s">
        <v>227</v>
      </c>
      <c r="F610">
        <v>0</v>
      </c>
      <c r="G610" t="s">
        <v>93</v>
      </c>
      <c r="H610">
        <v>174.72</v>
      </c>
      <c r="I610">
        <v>88</v>
      </c>
      <c r="J610">
        <v>93.72</v>
      </c>
      <c r="K610">
        <v>98</v>
      </c>
      <c r="L610">
        <v>40.18</v>
      </c>
      <c r="M610">
        <v>77</v>
      </c>
      <c r="N610">
        <v>37.869999999999997</v>
      </c>
      <c r="O610">
        <v>89</v>
      </c>
      <c r="P610">
        <v>-37.96</v>
      </c>
      <c r="Q610">
        <v>90</v>
      </c>
      <c r="R610">
        <v>-9.6999999999999993</v>
      </c>
      <c r="S610">
        <v>82</v>
      </c>
      <c r="T610">
        <v>47.94</v>
      </c>
      <c r="U610">
        <v>91</v>
      </c>
      <c r="V610">
        <v>2.67</v>
      </c>
      <c r="W610">
        <v>80</v>
      </c>
      <c r="X610" t="s">
        <v>94</v>
      </c>
      <c r="Y610" t="s">
        <v>1775</v>
      </c>
      <c r="Z610">
        <v>0</v>
      </c>
      <c r="AA610" t="s">
        <v>6845</v>
      </c>
      <c r="AB610" t="s">
        <v>6846</v>
      </c>
      <c r="AC610">
        <v>411</v>
      </c>
      <c r="AD610">
        <v>93</v>
      </c>
      <c r="AE610">
        <v>98</v>
      </c>
      <c r="AF610">
        <v>-21.01</v>
      </c>
      <c r="AG610">
        <v>17.52</v>
      </c>
      <c r="AH610">
        <v>9.42</v>
      </c>
      <c r="AI610">
        <v>0.32</v>
      </c>
      <c r="AJ610">
        <v>0.18</v>
      </c>
      <c r="AK610">
        <v>77</v>
      </c>
      <c r="AL610">
        <v>0</v>
      </c>
      <c r="AM610">
        <v>0</v>
      </c>
      <c r="AN610">
        <v>-0.99</v>
      </c>
      <c r="AO610">
        <v>2.23</v>
      </c>
      <c r="AP610">
        <v>980</v>
      </c>
      <c r="AQ610">
        <v>3</v>
      </c>
      <c r="AR610">
        <v>3.73</v>
      </c>
      <c r="AS610">
        <v>96</v>
      </c>
      <c r="AT610">
        <v>1.85</v>
      </c>
      <c r="AU610">
        <v>95</v>
      </c>
      <c r="AV610">
        <v>-2.99</v>
      </c>
      <c r="AW610">
        <v>99</v>
      </c>
      <c r="AX610">
        <v>1.4</v>
      </c>
      <c r="AY610">
        <v>94</v>
      </c>
      <c r="AZ610">
        <v>5.89</v>
      </c>
      <c r="BA610">
        <v>86</v>
      </c>
      <c r="BB610">
        <v>5.13</v>
      </c>
      <c r="BC610">
        <v>39</v>
      </c>
      <c r="BD610">
        <v>-0.03</v>
      </c>
      <c r="BE610">
        <v>7.0000000000000007E-2</v>
      </c>
      <c r="BF610">
        <v>0.14000000000000001</v>
      </c>
      <c r="BG610">
        <v>94</v>
      </c>
      <c r="BH610">
        <v>0.08</v>
      </c>
      <c r="BI610">
        <v>0.65</v>
      </c>
      <c r="BJ610">
        <v>0</v>
      </c>
      <c r="BK610">
        <v>0</v>
      </c>
      <c r="BL610">
        <v>-2.12</v>
      </c>
      <c r="BM610">
        <v>-1.81</v>
      </c>
      <c r="BN610">
        <v>-0.53</v>
      </c>
      <c r="BO610">
        <v>1.1100000000000001</v>
      </c>
      <c r="BP610">
        <v>-0.89</v>
      </c>
      <c r="BQ610">
        <v>-5.16</v>
      </c>
      <c r="BR610">
        <v>2.4</v>
      </c>
      <c r="BS610">
        <v>5.08</v>
      </c>
      <c r="BT610">
        <v>-1.63</v>
      </c>
      <c r="BU610">
        <v>-0.38</v>
      </c>
      <c r="BV610">
        <v>0.13</v>
      </c>
      <c r="BW610">
        <v>-1.6</v>
      </c>
      <c r="BX610">
        <v>-3.13</v>
      </c>
      <c r="BY610">
        <v>-0.08</v>
      </c>
      <c r="BZ610">
        <v>-0.17</v>
      </c>
      <c r="CA610">
        <v>1.3</v>
      </c>
      <c r="CB610">
        <v>0.22</v>
      </c>
      <c r="CC610">
        <v>2.94</v>
      </c>
      <c r="CD610">
        <v>-1.68</v>
      </c>
      <c r="CE610">
        <v>1.06</v>
      </c>
      <c r="CF610">
        <v>-2.25</v>
      </c>
      <c r="CG610">
        <v>0</v>
      </c>
      <c r="CH610">
        <v>-0.5</v>
      </c>
      <c r="CI610">
        <v>0</v>
      </c>
      <c r="CJ610">
        <v>-18.100000000000001</v>
      </c>
      <c r="CK610">
        <v>93</v>
      </c>
      <c r="CL610">
        <v>-0.89</v>
      </c>
      <c r="CM610">
        <v>91</v>
      </c>
      <c r="CN610">
        <v>-0.2</v>
      </c>
      <c r="CO610">
        <v>90</v>
      </c>
      <c r="CP610">
        <v>-40.9</v>
      </c>
      <c r="CQ610">
        <v>66</v>
      </c>
      <c r="CR610">
        <v>0</v>
      </c>
      <c r="CS610">
        <v>0</v>
      </c>
      <c r="CT610">
        <v>-51</v>
      </c>
      <c r="CU610">
        <v>91</v>
      </c>
      <c r="CV610">
        <v>-0.11</v>
      </c>
      <c r="CW610">
        <v>45</v>
      </c>
      <c r="CX610" t="s">
        <v>1637</v>
      </c>
    </row>
    <row r="611" spans="1:102" x14ac:dyDescent="0.3">
      <c r="A611" t="str">
        <f>HYPERLINK("https://webapp.icbf.com/v2/app/bull-search/view/440451141","AFI")</f>
        <v>AFI</v>
      </c>
      <c r="B611" t="s">
        <v>4530</v>
      </c>
      <c r="C611" t="s">
        <v>4531</v>
      </c>
      <c r="D611" s="1">
        <v>38736</v>
      </c>
      <c r="E611" t="s">
        <v>92</v>
      </c>
      <c r="F611">
        <v>97</v>
      </c>
      <c r="G611" t="s">
        <v>93</v>
      </c>
      <c r="H611">
        <v>174.69</v>
      </c>
      <c r="I611">
        <v>87</v>
      </c>
      <c r="J611">
        <v>73.67</v>
      </c>
      <c r="K611">
        <v>97</v>
      </c>
      <c r="L611">
        <v>62.22</v>
      </c>
      <c r="M611">
        <v>79</v>
      </c>
      <c r="N611">
        <v>35.86</v>
      </c>
      <c r="O611">
        <v>85</v>
      </c>
      <c r="P611">
        <v>-6.77</v>
      </c>
      <c r="Q611">
        <v>89</v>
      </c>
      <c r="R611">
        <v>-3.81</v>
      </c>
      <c r="S611">
        <v>81</v>
      </c>
      <c r="T611">
        <v>10.199999999999999</v>
      </c>
      <c r="U611">
        <v>82</v>
      </c>
      <c r="V611">
        <v>3.32</v>
      </c>
      <c r="W611">
        <v>82</v>
      </c>
      <c r="X611" t="s">
        <v>94</v>
      </c>
      <c r="Y611" t="s">
        <v>1251</v>
      </c>
      <c r="Z611" t="s">
        <v>96</v>
      </c>
      <c r="AA611" t="s">
        <v>4532</v>
      </c>
      <c r="AB611" t="s">
        <v>4533</v>
      </c>
      <c r="AC611">
        <v>62</v>
      </c>
      <c r="AD611">
        <v>48</v>
      </c>
      <c r="AE611">
        <v>97</v>
      </c>
      <c r="AF611">
        <v>-36.880000000000003</v>
      </c>
      <c r="AG611">
        <v>12.28</v>
      </c>
      <c r="AH611">
        <v>7.62</v>
      </c>
      <c r="AI611">
        <v>0.24</v>
      </c>
      <c r="AJ611">
        <v>0.16</v>
      </c>
      <c r="AK611">
        <v>79</v>
      </c>
      <c r="AL611">
        <v>55</v>
      </c>
      <c r="AM611">
        <v>42</v>
      </c>
      <c r="AN611">
        <v>-4.33</v>
      </c>
      <c r="AO611">
        <v>0.62</v>
      </c>
      <c r="AP611">
        <v>135</v>
      </c>
      <c r="AQ611">
        <v>0</v>
      </c>
      <c r="AR611">
        <v>5.5</v>
      </c>
      <c r="AS611">
        <v>74</v>
      </c>
      <c r="AT611">
        <v>2.54</v>
      </c>
      <c r="AU611">
        <v>86</v>
      </c>
      <c r="AV611">
        <v>-3.55</v>
      </c>
      <c r="AW611">
        <v>95</v>
      </c>
      <c r="AX611">
        <v>0.46</v>
      </c>
      <c r="AY611">
        <v>77</v>
      </c>
      <c r="AZ611">
        <v>6.99</v>
      </c>
      <c r="BA611">
        <v>64</v>
      </c>
      <c r="BB611">
        <v>5</v>
      </c>
      <c r="BC611">
        <v>68</v>
      </c>
      <c r="BD611">
        <v>0.04</v>
      </c>
      <c r="BE611">
        <v>-0.01</v>
      </c>
      <c r="BF611">
        <v>0.04</v>
      </c>
      <c r="BG611">
        <v>88</v>
      </c>
      <c r="BH611">
        <v>0.02</v>
      </c>
      <c r="BI611">
        <v>-8.41</v>
      </c>
      <c r="BJ611">
        <v>27</v>
      </c>
      <c r="BK611">
        <v>16</v>
      </c>
      <c r="BL611">
        <v>-0.4</v>
      </c>
      <c r="BM611">
        <v>0.59</v>
      </c>
      <c r="BN611">
        <v>0.83</v>
      </c>
      <c r="BO611">
        <v>0.2</v>
      </c>
      <c r="BP611">
        <v>0.3</v>
      </c>
      <c r="BQ611">
        <v>0.86</v>
      </c>
      <c r="BR611">
        <v>0</v>
      </c>
      <c r="BS611">
        <v>-1.06</v>
      </c>
      <c r="BT611">
        <v>-0.09</v>
      </c>
      <c r="BU611">
        <v>1.1000000000000001</v>
      </c>
      <c r="BV611">
        <v>0.37</v>
      </c>
      <c r="BW611">
        <v>0.66</v>
      </c>
      <c r="BX611">
        <v>-0.11</v>
      </c>
      <c r="BY611">
        <v>0.8</v>
      </c>
      <c r="BZ611">
        <v>-3.4</v>
      </c>
      <c r="CA611">
        <v>-0.28999999999999998</v>
      </c>
      <c r="CB611">
        <v>0.23</v>
      </c>
      <c r="CC611">
        <v>-0.51</v>
      </c>
      <c r="CD611">
        <v>-0.01</v>
      </c>
      <c r="CE611">
        <v>-0.08</v>
      </c>
      <c r="CF611">
        <v>-0.14000000000000001</v>
      </c>
      <c r="CG611">
        <v>0</v>
      </c>
      <c r="CH611">
        <v>1.19</v>
      </c>
      <c r="CI611">
        <v>0</v>
      </c>
      <c r="CJ611">
        <v>-1.3</v>
      </c>
      <c r="CK611">
        <v>90</v>
      </c>
      <c r="CL611">
        <v>-0.79</v>
      </c>
      <c r="CM611">
        <v>88</v>
      </c>
      <c r="CN611">
        <v>-0.38</v>
      </c>
      <c r="CO611">
        <v>87</v>
      </c>
      <c r="CP611">
        <v>-8.5</v>
      </c>
      <c r="CQ611">
        <v>85</v>
      </c>
      <c r="CR611">
        <v>0</v>
      </c>
      <c r="CS611">
        <v>0</v>
      </c>
      <c r="CT611">
        <v>0</v>
      </c>
      <c r="CU611">
        <v>82</v>
      </c>
      <c r="CV611">
        <v>0.19</v>
      </c>
      <c r="CW611">
        <v>45</v>
      </c>
      <c r="CX611" t="s">
        <v>1037</v>
      </c>
    </row>
    <row r="612" spans="1:102" x14ac:dyDescent="0.3">
      <c r="A612" t="str">
        <f>HYPERLINK("https://webapp.icbf.com/v2/app/bull-search/view/448283067","MCG")</f>
        <v>MCG</v>
      </c>
      <c r="B612" t="s">
        <v>7102</v>
      </c>
      <c r="C612" t="s">
        <v>7103</v>
      </c>
      <c r="D612" s="1">
        <v>36733</v>
      </c>
      <c r="E612" t="s">
        <v>108</v>
      </c>
      <c r="F612">
        <v>13</v>
      </c>
      <c r="G612" t="s">
        <v>93</v>
      </c>
      <c r="H612">
        <v>174.61</v>
      </c>
      <c r="I612">
        <v>89</v>
      </c>
      <c r="J612">
        <v>78.430000000000007</v>
      </c>
      <c r="K612">
        <v>96</v>
      </c>
      <c r="L612">
        <v>53.05</v>
      </c>
      <c r="M612">
        <v>86</v>
      </c>
      <c r="N612">
        <v>37.76</v>
      </c>
      <c r="O612">
        <v>84</v>
      </c>
      <c r="P612">
        <v>-41.2</v>
      </c>
      <c r="Q612">
        <v>90</v>
      </c>
      <c r="R612">
        <v>-0.1</v>
      </c>
      <c r="S612">
        <v>82</v>
      </c>
      <c r="T612">
        <v>42.02</v>
      </c>
      <c r="U612">
        <v>88</v>
      </c>
      <c r="V612">
        <v>4.6500000000000004</v>
      </c>
      <c r="W612">
        <v>85</v>
      </c>
      <c r="X612" t="s">
        <v>302</v>
      </c>
      <c r="Y612" t="s">
        <v>95</v>
      </c>
      <c r="Z612">
        <v>0</v>
      </c>
      <c r="AA612" t="s">
        <v>792</v>
      </c>
      <c r="AB612" t="s">
        <v>144</v>
      </c>
      <c r="AC612">
        <v>70</v>
      </c>
      <c r="AD612">
        <v>25</v>
      </c>
      <c r="AE612">
        <v>96</v>
      </c>
      <c r="AF612">
        <v>-228.34</v>
      </c>
      <c r="AG612">
        <v>15.33</v>
      </c>
      <c r="AH612">
        <v>4.42</v>
      </c>
      <c r="AI612">
        <v>0.44</v>
      </c>
      <c r="AJ612">
        <v>0.22</v>
      </c>
      <c r="AK612">
        <v>86</v>
      </c>
      <c r="AL612">
        <v>69</v>
      </c>
      <c r="AM612">
        <v>19</v>
      </c>
      <c r="AN612">
        <v>-2.17</v>
      </c>
      <c r="AO612">
        <v>2.0699999999999998</v>
      </c>
      <c r="AP612">
        <v>150</v>
      </c>
      <c r="AQ612">
        <v>0</v>
      </c>
      <c r="AR612">
        <v>3.22</v>
      </c>
      <c r="AS612">
        <v>82</v>
      </c>
      <c r="AT612">
        <v>1.42</v>
      </c>
      <c r="AU612">
        <v>82</v>
      </c>
      <c r="AV612">
        <v>-2.33</v>
      </c>
      <c r="AW612">
        <v>95</v>
      </c>
      <c r="AX612">
        <v>-0.99</v>
      </c>
      <c r="AY612">
        <v>79</v>
      </c>
      <c r="AZ612">
        <v>7.04</v>
      </c>
      <c r="BA612">
        <v>66</v>
      </c>
      <c r="BB612">
        <v>5.57</v>
      </c>
      <c r="BC612">
        <v>66</v>
      </c>
      <c r="BD612">
        <v>-7.0000000000000007E-2</v>
      </c>
      <c r="BE612">
        <v>0.01</v>
      </c>
      <c r="BF612">
        <v>0.1</v>
      </c>
      <c r="BG612">
        <v>88</v>
      </c>
      <c r="BH612">
        <v>0.08</v>
      </c>
      <c r="BI612">
        <v>-5.76</v>
      </c>
      <c r="BJ612">
        <v>2</v>
      </c>
      <c r="BK612">
        <v>2</v>
      </c>
      <c r="BL612">
        <v>-2.31</v>
      </c>
      <c r="BM612">
        <v>1.17</v>
      </c>
      <c r="BN612">
        <v>-0.03</v>
      </c>
      <c r="BO612">
        <v>0.02</v>
      </c>
      <c r="BP612">
        <v>-1.23</v>
      </c>
      <c r="BQ612">
        <v>-3.12</v>
      </c>
      <c r="BR612">
        <v>0.32</v>
      </c>
      <c r="BS612">
        <v>2.2799999999999998</v>
      </c>
      <c r="BT612">
        <v>-1.98</v>
      </c>
      <c r="BU612">
        <v>-1.43</v>
      </c>
      <c r="BV612">
        <v>-1.08</v>
      </c>
      <c r="BW612">
        <v>-1.48</v>
      </c>
      <c r="BX612">
        <v>-2.85</v>
      </c>
      <c r="BY612">
        <v>-2.2000000000000002</v>
      </c>
      <c r="BZ612">
        <v>-1.2</v>
      </c>
      <c r="CA612">
        <v>-0.77</v>
      </c>
      <c r="CB612">
        <v>-1.23</v>
      </c>
      <c r="CC612">
        <v>0.74</v>
      </c>
      <c r="CD612">
        <v>-0.77</v>
      </c>
      <c r="CE612">
        <v>-0.2</v>
      </c>
      <c r="CF612">
        <v>-2.68</v>
      </c>
      <c r="CG612">
        <v>0</v>
      </c>
      <c r="CH612">
        <v>-1.84</v>
      </c>
      <c r="CI612">
        <v>0</v>
      </c>
      <c r="CJ612">
        <v>-21.6</v>
      </c>
      <c r="CK612">
        <v>91</v>
      </c>
      <c r="CL612">
        <v>-0.78</v>
      </c>
      <c r="CM612">
        <v>89</v>
      </c>
      <c r="CN612">
        <v>-0.14000000000000001</v>
      </c>
      <c r="CO612">
        <v>88</v>
      </c>
      <c r="CP612">
        <v>-33.200000000000003</v>
      </c>
      <c r="CQ612">
        <v>87</v>
      </c>
      <c r="CR612">
        <v>0</v>
      </c>
      <c r="CS612">
        <v>0</v>
      </c>
      <c r="CT612">
        <v>-43</v>
      </c>
      <c r="CU612">
        <v>88</v>
      </c>
      <c r="CV612">
        <v>-0.1</v>
      </c>
      <c r="CW612">
        <v>45</v>
      </c>
      <c r="CX612" t="s">
        <v>514</v>
      </c>
    </row>
    <row r="613" spans="1:102" x14ac:dyDescent="0.3">
      <c r="A613" t="str">
        <f>HYPERLINK("https://webapp.icbf.com/v2/app/bull-search/view/1483253537","FR4459")</f>
        <v>FR4459</v>
      </c>
      <c r="B613" t="s">
        <v>14933</v>
      </c>
      <c r="C613" t="s">
        <v>14934</v>
      </c>
      <c r="D613" s="1">
        <v>42299</v>
      </c>
      <c r="E613" t="s">
        <v>92</v>
      </c>
      <c r="F613">
        <v>100</v>
      </c>
      <c r="G613" t="s">
        <v>435</v>
      </c>
      <c r="H613">
        <v>174.61</v>
      </c>
      <c r="I613">
        <v>70</v>
      </c>
      <c r="J613">
        <v>86.69</v>
      </c>
      <c r="K613">
        <v>88</v>
      </c>
      <c r="L613">
        <v>43.12</v>
      </c>
      <c r="M613">
        <v>70</v>
      </c>
      <c r="N613">
        <v>36.9</v>
      </c>
      <c r="O613">
        <v>72</v>
      </c>
      <c r="P613">
        <v>-5.97</v>
      </c>
      <c r="Q613">
        <v>41</v>
      </c>
      <c r="R613">
        <v>21.15</v>
      </c>
      <c r="S613">
        <v>65</v>
      </c>
      <c r="T613">
        <v>-6.38</v>
      </c>
      <c r="U613">
        <v>36</v>
      </c>
      <c r="V613">
        <v>-0.9</v>
      </c>
      <c r="W613">
        <v>55</v>
      </c>
      <c r="X613" t="s">
        <v>234</v>
      </c>
      <c r="Y613" t="s">
        <v>442</v>
      </c>
      <c r="Z613" t="s">
        <v>96</v>
      </c>
      <c r="AA613" t="s">
        <v>463</v>
      </c>
      <c r="AB613" t="s">
        <v>13970</v>
      </c>
      <c r="AC613">
        <v>0</v>
      </c>
      <c r="AD613">
        <v>0</v>
      </c>
      <c r="AE613">
        <v>88</v>
      </c>
      <c r="AF613">
        <v>573.29</v>
      </c>
      <c r="AG613">
        <v>19.7</v>
      </c>
      <c r="AH613">
        <v>16.55</v>
      </c>
      <c r="AI613">
        <v>-0.05</v>
      </c>
      <c r="AJ613">
        <v>-0.04</v>
      </c>
      <c r="AK613">
        <v>70</v>
      </c>
      <c r="AL613">
        <v>0</v>
      </c>
      <c r="AM613">
        <v>0</v>
      </c>
      <c r="AN613">
        <v>-1.49</v>
      </c>
      <c r="AO613">
        <v>1.96</v>
      </c>
      <c r="AP613">
        <v>21</v>
      </c>
      <c r="AQ613">
        <v>0</v>
      </c>
      <c r="AR613">
        <v>7.52</v>
      </c>
      <c r="AS613">
        <v>56</v>
      </c>
      <c r="AT613">
        <v>3.46</v>
      </c>
      <c r="AU613">
        <v>86</v>
      </c>
      <c r="AV613">
        <v>-4.9400000000000004</v>
      </c>
      <c r="AW613">
        <v>84</v>
      </c>
      <c r="AX613">
        <v>-0.45</v>
      </c>
      <c r="AY613">
        <v>57</v>
      </c>
      <c r="AZ613">
        <v>6.09</v>
      </c>
      <c r="BA613">
        <v>38</v>
      </c>
      <c r="BB613">
        <v>5.24</v>
      </c>
      <c r="BC613">
        <v>35</v>
      </c>
      <c r="BD613">
        <v>-0.08</v>
      </c>
      <c r="BE613">
        <v>-7.0000000000000007E-2</v>
      </c>
      <c r="BF613">
        <v>-0.22</v>
      </c>
      <c r="BG613">
        <v>77</v>
      </c>
      <c r="BH613">
        <v>-0.17</v>
      </c>
      <c r="BI613">
        <v>-16.760000000000002</v>
      </c>
      <c r="BJ613">
        <v>0</v>
      </c>
      <c r="BK613">
        <v>0</v>
      </c>
      <c r="BL613">
        <v>1.53</v>
      </c>
      <c r="BM613">
        <v>-1.96</v>
      </c>
      <c r="BN613">
        <v>-0.65</v>
      </c>
      <c r="BO613">
        <v>1.37</v>
      </c>
      <c r="BP613">
        <v>0.57999999999999996</v>
      </c>
      <c r="BQ613">
        <v>1.58</v>
      </c>
      <c r="BR613">
        <v>0.1</v>
      </c>
      <c r="BS613">
        <v>3.01</v>
      </c>
      <c r="BT613">
        <v>1.03</v>
      </c>
      <c r="BU613">
        <v>3.12</v>
      </c>
      <c r="BV613">
        <v>3.49</v>
      </c>
      <c r="BW613">
        <v>1.61</v>
      </c>
      <c r="BX613">
        <v>3.63</v>
      </c>
      <c r="BY613">
        <v>2.37</v>
      </c>
      <c r="BZ613">
        <v>-0.51</v>
      </c>
      <c r="CA613">
        <v>2.84</v>
      </c>
      <c r="CB613">
        <v>2.72</v>
      </c>
      <c r="CC613">
        <v>1.79</v>
      </c>
      <c r="CD613">
        <v>-1.62</v>
      </c>
      <c r="CE613">
        <v>1.56</v>
      </c>
      <c r="CF613">
        <v>1.53</v>
      </c>
      <c r="CG613">
        <v>0</v>
      </c>
      <c r="CH613">
        <v>1.49</v>
      </c>
      <c r="CI613">
        <v>0</v>
      </c>
      <c r="CJ613">
        <v>-1.2</v>
      </c>
      <c r="CK613">
        <v>42</v>
      </c>
      <c r="CL613">
        <v>-1.47</v>
      </c>
      <c r="CM613">
        <v>41</v>
      </c>
      <c r="CN613">
        <v>-0.9</v>
      </c>
      <c r="CO613">
        <v>41</v>
      </c>
      <c r="CP613">
        <v>2.1</v>
      </c>
      <c r="CQ613">
        <v>37</v>
      </c>
      <c r="CR613">
        <v>0</v>
      </c>
      <c r="CS613">
        <v>0</v>
      </c>
      <c r="CT613">
        <v>22.4</v>
      </c>
      <c r="CU613">
        <v>36</v>
      </c>
      <c r="CV613">
        <v>0.26</v>
      </c>
      <c r="CW613">
        <v>34</v>
      </c>
      <c r="CX613" t="s">
        <v>465</v>
      </c>
    </row>
    <row r="614" spans="1:102" x14ac:dyDescent="0.3">
      <c r="A614" t="str">
        <f>HYPERLINK("https://webapp.icbf.com/v2/app/bull-search/view/77858647","CTZ")</f>
        <v>CTZ</v>
      </c>
      <c r="B614" t="s">
        <v>8558</v>
      </c>
      <c r="C614" t="s">
        <v>8559</v>
      </c>
      <c r="D614" s="1">
        <v>34030</v>
      </c>
      <c r="E614" t="s">
        <v>108</v>
      </c>
      <c r="F614">
        <v>0</v>
      </c>
      <c r="G614" t="s">
        <v>93</v>
      </c>
      <c r="H614">
        <v>174.59</v>
      </c>
      <c r="I614">
        <v>94</v>
      </c>
      <c r="J614">
        <v>-26.06</v>
      </c>
      <c r="K614">
        <v>98</v>
      </c>
      <c r="L614">
        <v>146.87</v>
      </c>
      <c r="M614">
        <v>92</v>
      </c>
      <c r="N614">
        <v>14.43</v>
      </c>
      <c r="O614">
        <v>91</v>
      </c>
      <c r="P614">
        <v>-6.13</v>
      </c>
      <c r="Q614">
        <v>97</v>
      </c>
      <c r="R614">
        <v>16.22</v>
      </c>
      <c r="S614">
        <v>88</v>
      </c>
      <c r="T614">
        <v>24.78</v>
      </c>
      <c r="U614">
        <v>96</v>
      </c>
      <c r="V614">
        <v>4.4800000000000004</v>
      </c>
      <c r="W614">
        <v>86</v>
      </c>
      <c r="X614" t="s">
        <v>251</v>
      </c>
      <c r="Y614" t="s">
        <v>95</v>
      </c>
      <c r="Z614" t="s">
        <v>96</v>
      </c>
      <c r="AA614" t="s">
        <v>585</v>
      </c>
      <c r="AB614" t="s">
        <v>8560</v>
      </c>
      <c r="AC614">
        <v>182</v>
      </c>
      <c r="AD614">
        <v>71</v>
      </c>
      <c r="AE614">
        <v>98</v>
      </c>
      <c r="AF614">
        <v>-258.14</v>
      </c>
      <c r="AG614">
        <v>-5.35</v>
      </c>
      <c r="AH614">
        <v>-6.49</v>
      </c>
      <c r="AI614">
        <v>0.09</v>
      </c>
      <c r="AJ614">
        <v>0.04</v>
      </c>
      <c r="AK614">
        <v>92</v>
      </c>
      <c r="AL614">
        <v>249</v>
      </c>
      <c r="AM614">
        <v>95</v>
      </c>
      <c r="AN614">
        <v>-8.9700000000000006</v>
      </c>
      <c r="AO614">
        <v>2.73</v>
      </c>
      <c r="AP614">
        <v>158</v>
      </c>
      <c r="AQ614">
        <v>0</v>
      </c>
      <c r="AR614">
        <v>6.82</v>
      </c>
      <c r="AS614">
        <v>86</v>
      </c>
      <c r="AT614">
        <v>2.72</v>
      </c>
      <c r="AU614">
        <v>92</v>
      </c>
      <c r="AV614">
        <v>-2.5499999999999998</v>
      </c>
      <c r="AW614">
        <v>94</v>
      </c>
      <c r="AX614">
        <v>-0.45</v>
      </c>
      <c r="AY614">
        <v>93</v>
      </c>
      <c r="AZ614">
        <v>9.59</v>
      </c>
      <c r="BA614">
        <v>82</v>
      </c>
      <c r="BB614">
        <v>6.25</v>
      </c>
      <c r="BC614">
        <v>86</v>
      </c>
      <c r="BD614">
        <v>-0.03</v>
      </c>
      <c r="BE614">
        <v>-7.0000000000000007E-2</v>
      </c>
      <c r="BF614">
        <v>-0.19</v>
      </c>
      <c r="BG614">
        <v>94</v>
      </c>
      <c r="BH614">
        <v>-7.0000000000000007E-2</v>
      </c>
      <c r="BI614">
        <v>-22.56</v>
      </c>
      <c r="BJ614">
        <v>12</v>
      </c>
      <c r="BK614">
        <v>5</v>
      </c>
      <c r="BL614">
        <v>-2.79</v>
      </c>
      <c r="BM614">
        <v>2.13</v>
      </c>
      <c r="BN614">
        <v>-2.06</v>
      </c>
      <c r="BO614">
        <v>-2.99</v>
      </c>
      <c r="BP614">
        <v>0.57999999999999996</v>
      </c>
      <c r="BQ614">
        <v>0.32</v>
      </c>
      <c r="BR614">
        <v>-1.24</v>
      </c>
      <c r="BS614">
        <v>0.82</v>
      </c>
      <c r="BT614">
        <v>0.06</v>
      </c>
      <c r="BU614">
        <v>-2.62</v>
      </c>
      <c r="BV614">
        <v>-3.47</v>
      </c>
      <c r="BW614">
        <v>-3.09</v>
      </c>
      <c r="BX614">
        <v>-1.91</v>
      </c>
      <c r="BY614">
        <v>-1.89</v>
      </c>
      <c r="BZ614">
        <v>-2.14</v>
      </c>
      <c r="CA614">
        <v>-2.4500000000000002</v>
      </c>
      <c r="CB614">
        <v>-3.05</v>
      </c>
      <c r="CC614">
        <v>-0.44</v>
      </c>
      <c r="CD614">
        <v>3.29</v>
      </c>
      <c r="CE614">
        <v>-2.4300000000000002</v>
      </c>
      <c r="CF614">
        <v>-2.59</v>
      </c>
      <c r="CG614">
        <v>0</v>
      </c>
      <c r="CH614">
        <v>-1.88</v>
      </c>
      <c r="CI614">
        <v>0</v>
      </c>
      <c r="CJ614">
        <v>-4.2</v>
      </c>
      <c r="CK614">
        <v>97</v>
      </c>
      <c r="CL614">
        <v>-0.02</v>
      </c>
      <c r="CM614">
        <v>96</v>
      </c>
      <c r="CN614">
        <v>-0.14000000000000001</v>
      </c>
      <c r="CO614">
        <v>96</v>
      </c>
      <c r="CP614">
        <v>-11.8</v>
      </c>
      <c r="CQ614">
        <v>97</v>
      </c>
      <c r="CR614">
        <v>0</v>
      </c>
      <c r="CS614">
        <v>0</v>
      </c>
      <c r="CT614">
        <v>-19.7</v>
      </c>
      <c r="CU614">
        <v>96</v>
      </c>
      <c r="CV614">
        <v>-7.0000000000000007E-2</v>
      </c>
      <c r="CW614">
        <v>45</v>
      </c>
      <c r="CX614" t="s">
        <v>8561</v>
      </c>
    </row>
    <row r="615" spans="1:102" x14ac:dyDescent="0.3">
      <c r="A615" t="str">
        <f>HYPERLINK("https://webapp.icbf.com/v2/app/bull-search/view/949896269","TYH")</f>
        <v>TYH</v>
      </c>
      <c r="B615" t="s">
        <v>9277</v>
      </c>
      <c r="C615" t="s">
        <v>6829</v>
      </c>
      <c r="D615" s="1">
        <v>40951</v>
      </c>
      <c r="E615" t="s">
        <v>92</v>
      </c>
      <c r="F615">
        <v>72</v>
      </c>
      <c r="G615" t="s">
        <v>93</v>
      </c>
      <c r="H615">
        <v>174.42</v>
      </c>
      <c r="I615">
        <v>90</v>
      </c>
      <c r="J615">
        <v>40.08</v>
      </c>
      <c r="K615">
        <v>98</v>
      </c>
      <c r="L615">
        <v>95.93</v>
      </c>
      <c r="M615">
        <v>82</v>
      </c>
      <c r="N615">
        <v>41.91</v>
      </c>
      <c r="O615">
        <v>91</v>
      </c>
      <c r="P615">
        <v>-10.96</v>
      </c>
      <c r="Q615">
        <v>95</v>
      </c>
      <c r="R615">
        <v>-3.52</v>
      </c>
      <c r="S615">
        <v>83</v>
      </c>
      <c r="T615">
        <v>5.54</v>
      </c>
      <c r="U615">
        <v>88</v>
      </c>
      <c r="V615">
        <v>5.44</v>
      </c>
      <c r="W615">
        <v>76</v>
      </c>
      <c r="X615" t="s">
        <v>94</v>
      </c>
      <c r="Y615" t="s">
        <v>1923</v>
      </c>
      <c r="Z615" t="s">
        <v>96</v>
      </c>
      <c r="AA615" t="s">
        <v>7631</v>
      </c>
      <c r="AB615" t="s">
        <v>9278</v>
      </c>
      <c r="AC615">
        <v>207</v>
      </c>
      <c r="AD615">
        <v>121</v>
      </c>
      <c r="AE615">
        <v>98</v>
      </c>
      <c r="AF615">
        <v>-41.72</v>
      </c>
      <c r="AG615">
        <v>7.71</v>
      </c>
      <c r="AH615">
        <v>3.45</v>
      </c>
      <c r="AI615">
        <v>0.16</v>
      </c>
      <c r="AJ615">
        <v>0.09</v>
      </c>
      <c r="AK615">
        <v>82</v>
      </c>
      <c r="AL615">
        <v>214</v>
      </c>
      <c r="AM615">
        <v>131</v>
      </c>
      <c r="AN615">
        <v>-4.5</v>
      </c>
      <c r="AO615">
        <v>3.16</v>
      </c>
      <c r="AP615">
        <v>433</v>
      </c>
      <c r="AQ615">
        <v>12</v>
      </c>
      <c r="AR615">
        <v>5.22</v>
      </c>
      <c r="AS615">
        <v>80</v>
      </c>
      <c r="AT615">
        <v>2.2599999999999998</v>
      </c>
      <c r="AU615">
        <v>93</v>
      </c>
      <c r="AV615">
        <v>-3.31</v>
      </c>
      <c r="AW615">
        <v>98</v>
      </c>
      <c r="AX615">
        <v>-0.2</v>
      </c>
      <c r="AY615">
        <v>90</v>
      </c>
      <c r="AZ615">
        <v>6.09</v>
      </c>
      <c r="BA615">
        <v>76</v>
      </c>
      <c r="BB615">
        <v>4.51</v>
      </c>
      <c r="BC615">
        <v>73</v>
      </c>
      <c r="BD615">
        <v>0.03</v>
      </c>
      <c r="BE615">
        <v>-0.01</v>
      </c>
      <c r="BF615">
        <v>0.05</v>
      </c>
      <c r="BG615">
        <v>93</v>
      </c>
      <c r="BH615">
        <v>0.08</v>
      </c>
      <c r="BI615">
        <v>-8.31</v>
      </c>
      <c r="BJ615">
        <v>45</v>
      </c>
      <c r="BK615">
        <v>26</v>
      </c>
      <c r="BL615">
        <v>-2.97</v>
      </c>
      <c r="BM615">
        <v>3.21</v>
      </c>
      <c r="BN615">
        <v>-1.55</v>
      </c>
      <c r="BO615">
        <v>-3.54</v>
      </c>
      <c r="BP615">
        <v>-0.33</v>
      </c>
      <c r="BQ615">
        <v>1.42</v>
      </c>
      <c r="BR615">
        <v>-1.82</v>
      </c>
      <c r="BS615">
        <v>1.71</v>
      </c>
      <c r="BT615">
        <v>0.65</v>
      </c>
      <c r="BU615">
        <v>-1.86</v>
      </c>
      <c r="BV615">
        <v>-0.75</v>
      </c>
      <c r="BW615">
        <v>-2.2999999999999998</v>
      </c>
      <c r="BX615">
        <v>-3.39</v>
      </c>
      <c r="BY615">
        <v>-0.59</v>
      </c>
      <c r="BZ615">
        <v>-0.9</v>
      </c>
      <c r="CA615">
        <v>-1.04</v>
      </c>
      <c r="CB615">
        <v>-1.69</v>
      </c>
      <c r="CC615">
        <v>0.69</v>
      </c>
      <c r="CD615">
        <v>3.88</v>
      </c>
      <c r="CE615">
        <v>-2.97</v>
      </c>
      <c r="CF615">
        <v>-1.59</v>
      </c>
      <c r="CG615">
        <v>0</v>
      </c>
      <c r="CH615">
        <v>-0.98</v>
      </c>
      <c r="CI615">
        <v>0</v>
      </c>
      <c r="CJ615">
        <v>-7.5</v>
      </c>
      <c r="CK615">
        <v>96</v>
      </c>
      <c r="CL615">
        <v>-0.11</v>
      </c>
      <c r="CM615">
        <v>95</v>
      </c>
      <c r="CN615">
        <v>-0.09</v>
      </c>
      <c r="CO615">
        <v>95</v>
      </c>
      <c r="CP615">
        <v>-3.5</v>
      </c>
      <c r="CQ615">
        <v>87</v>
      </c>
      <c r="CR615">
        <v>0</v>
      </c>
      <c r="CS615">
        <v>0</v>
      </c>
      <c r="CT615">
        <v>6.3</v>
      </c>
      <c r="CU615">
        <v>88</v>
      </c>
      <c r="CV615">
        <v>-0.34</v>
      </c>
      <c r="CW615">
        <v>46</v>
      </c>
      <c r="CX615" t="s">
        <v>1229</v>
      </c>
    </row>
    <row r="616" spans="1:102" x14ac:dyDescent="0.3">
      <c r="A616" t="str">
        <f>HYPERLINK("https://webapp.icbf.com/v2/app/bull-search/view/1248007796","FR2385")</f>
        <v>FR2385</v>
      </c>
      <c r="B616" t="s">
        <v>13679</v>
      </c>
      <c r="C616" t="s">
        <v>6192</v>
      </c>
      <c r="D616" s="1">
        <v>42048</v>
      </c>
      <c r="E616" t="s">
        <v>92</v>
      </c>
      <c r="F616">
        <v>59</v>
      </c>
      <c r="G616" t="s">
        <v>93</v>
      </c>
      <c r="H616">
        <v>174.26</v>
      </c>
      <c r="I616">
        <v>88</v>
      </c>
      <c r="J616">
        <v>28.2</v>
      </c>
      <c r="K616">
        <v>98</v>
      </c>
      <c r="L616">
        <v>90.18</v>
      </c>
      <c r="M616">
        <v>76</v>
      </c>
      <c r="N616">
        <v>44.47</v>
      </c>
      <c r="O616">
        <v>91</v>
      </c>
      <c r="P616">
        <v>-10.07</v>
      </c>
      <c r="Q616">
        <v>97</v>
      </c>
      <c r="R616">
        <v>3.38</v>
      </c>
      <c r="S616">
        <v>78</v>
      </c>
      <c r="T616">
        <v>15.45</v>
      </c>
      <c r="U616">
        <v>90</v>
      </c>
      <c r="V616">
        <v>2.65</v>
      </c>
      <c r="W616">
        <v>73</v>
      </c>
      <c r="X616" t="s">
        <v>94</v>
      </c>
      <c r="Y616" t="s">
        <v>436</v>
      </c>
      <c r="Z616" t="s">
        <v>330</v>
      </c>
      <c r="AA616" t="s">
        <v>7610</v>
      </c>
      <c r="AB616" t="s">
        <v>13680</v>
      </c>
      <c r="AC616">
        <v>320</v>
      </c>
      <c r="AD616">
        <v>125</v>
      </c>
      <c r="AE616">
        <v>98</v>
      </c>
      <c r="AF616">
        <v>-22.46</v>
      </c>
      <c r="AG616">
        <v>4.87</v>
      </c>
      <c r="AH616">
        <v>2.73</v>
      </c>
      <c r="AI616">
        <v>0.1</v>
      </c>
      <c r="AJ616">
        <v>0.06</v>
      </c>
      <c r="AK616">
        <v>76</v>
      </c>
      <c r="AL616">
        <v>0</v>
      </c>
      <c r="AM616">
        <v>0</v>
      </c>
      <c r="AN616">
        <v>-4.25</v>
      </c>
      <c r="AO616">
        <v>2.95</v>
      </c>
      <c r="AP616">
        <v>25703</v>
      </c>
      <c r="AQ616">
        <v>50</v>
      </c>
      <c r="AR616">
        <v>5.74</v>
      </c>
      <c r="AS616">
        <v>99</v>
      </c>
      <c r="AT616">
        <v>2.08</v>
      </c>
      <c r="AU616">
        <v>99</v>
      </c>
      <c r="AV616">
        <v>-4.38</v>
      </c>
      <c r="AW616">
        <v>99</v>
      </c>
      <c r="AX616">
        <v>-0.3</v>
      </c>
      <c r="AY616">
        <v>99</v>
      </c>
      <c r="AZ616">
        <v>8.02</v>
      </c>
      <c r="BA616">
        <v>81</v>
      </c>
      <c r="BB616">
        <v>5.2</v>
      </c>
      <c r="BC616">
        <v>42</v>
      </c>
      <c r="BD616">
        <v>-0.04</v>
      </c>
      <c r="BE616">
        <v>0.01</v>
      </c>
      <c r="BF616">
        <v>-0.03</v>
      </c>
      <c r="BG616">
        <v>92</v>
      </c>
      <c r="BH616">
        <v>-0.06</v>
      </c>
      <c r="BI616">
        <v>-15.48</v>
      </c>
      <c r="BJ616">
        <v>0</v>
      </c>
      <c r="BK616">
        <v>0</v>
      </c>
      <c r="BL616">
        <v>-1.9</v>
      </c>
      <c r="BM616">
        <v>-1.01</v>
      </c>
      <c r="BN616">
        <v>-2.2200000000000002</v>
      </c>
      <c r="BO616">
        <v>-1.1599999999999999</v>
      </c>
      <c r="BP616">
        <v>3.43</v>
      </c>
      <c r="BQ616">
        <v>-4.12</v>
      </c>
      <c r="BR616">
        <v>2.35</v>
      </c>
      <c r="BS616">
        <v>-1.63</v>
      </c>
      <c r="BT616">
        <v>-2.39</v>
      </c>
      <c r="BU616">
        <v>-0.71</v>
      </c>
      <c r="BV616">
        <v>-1.33</v>
      </c>
      <c r="BW616">
        <v>-1.59</v>
      </c>
      <c r="BX616">
        <v>-1.72</v>
      </c>
      <c r="BY616">
        <v>-0.23</v>
      </c>
      <c r="BZ616">
        <v>0.57999999999999996</v>
      </c>
      <c r="CA616">
        <v>-1.64</v>
      </c>
      <c r="CB616">
        <v>-0.96</v>
      </c>
      <c r="CC616">
        <v>-1.87</v>
      </c>
      <c r="CD616">
        <v>0.39</v>
      </c>
      <c r="CE616">
        <v>-0.74</v>
      </c>
      <c r="CF616">
        <v>-2.2599999999999998</v>
      </c>
      <c r="CG616">
        <v>0</v>
      </c>
      <c r="CH616">
        <v>-0.06</v>
      </c>
      <c r="CI616">
        <v>0</v>
      </c>
      <c r="CJ616">
        <v>-5.2</v>
      </c>
      <c r="CK616">
        <v>99</v>
      </c>
      <c r="CL616">
        <v>-0.47</v>
      </c>
      <c r="CM616">
        <v>99</v>
      </c>
      <c r="CN616">
        <v>-0.34</v>
      </c>
      <c r="CO616">
        <v>99</v>
      </c>
      <c r="CP616">
        <v>-13.5</v>
      </c>
      <c r="CQ616">
        <v>73</v>
      </c>
      <c r="CR616">
        <v>0</v>
      </c>
      <c r="CS616">
        <v>0</v>
      </c>
      <c r="CT616">
        <v>-7.1</v>
      </c>
      <c r="CU616">
        <v>90</v>
      </c>
      <c r="CV616">
        <v>-0.01</v>
      </c>
      <c r="CW616">
        <v>47</v>
      </c>
      <c r="CX616" t="s">
        <v>4059</v>
      </c>
    </row>
    <row r="617" spans="1:102" x14ac:dyDescent="0.3">
      <c r="A617" t="str">
        <f>HYPERLINK("https://webapp.icbf.com/v2/app/bull-search/view/440218462","PZD")</f>
        <v>PZD</v>
      </c>
      <c r="B617" t="s">
        <v>12039</v>
      </c>
      <c r="C617" t="s">
        <v>1983</v>
      </c>
      <c r="D617" s="1">
        <v>35618</v>
      </c>
      <c r="E617" t="s">
        <v>210</v>
      </c>
      <c r="F617">
        <v>0</v>
      </c>
      <c r="G617" t="s">
        <v>93</v>
      </c>
      <c r="H617">
        <v>174.24</v>
      </c>
      <c r="I617">
        <v>95</v>
      </c>
      <c r="J617">
        <v>24.43</v>
      </c>
      <c r="K617">
        <v>99</v>
      </c>
      <c r="L617">
        <v>83.51</v>
      </c>
      <c r="M617">
        <v>92</v>
      </c>
      <c r="N617">
        <v>49.63</v>
      </c>
      <c r="O617">
        <v>95</v>
      </c>
      <c r="P617">
        <v>0.74</v>
      </c>
      <c r="Q617">
        <v>97</v>
      </c>
      <c r="R617">
        <v>10.76</v>
      </c>
      <c r="S617">
        <v>90</v>
      </c>
      <c r="T617">
        <v>6.2</v>
      </c>
      <c r="U617">
        <v>94</v>
      </c>
      <c r="V617">
        <v>-1.03</v>
      </c>
      <c r="W617">
        <v>93</v>
      </c>
      <c r="X617" t="s">
        <v>251</v>
      </c>
      <c r="Y617" t="s">
        <v>95</v>
      </c>
      <c r="Z617">
        <v>0</v>
      </c>
      <c r="AA617" t="s">
        <v>12040</v>
      </c>
      <c r="AB617" t="s">
        <v>12041</v>
      </c>
      <c r="AC617">
        <v>309</v>
      </c>
      <c r="AD617">
        <v>81</v>
      </c>
      <c r="AE617">
        <v>99</v>
      </c>
      <c r="AF617">
        <v>-98.95</v>
      </c>
      <c r="AG617">
        <v>5.57</v>
      </c>
      <c r="AH617">
        <v>0.67</v>
      </c>
      <c r="AI617">
        <v>0.16</v>
      </c>
      <c r="AJ617">
        <v>7.0000000000000007E-2</v>
      </c>
      <c r="AK617">
        <v>92</v>
      </c>
      <c r="AL617">
        <v>321</v>
      </c>
      <c r="AM617">
        <v>96</v>
      </c>
      <c r="AN617">
        <v>-4.55</v>
      </c>
      <c r="AO617">
        <v>2.11</v>
      </c>
      <c r="AP617">
        <v>628</v>
      </c>
      <c r="AQ617">
        <v>5</v>
      </c>
      <c r="AR617">
        <v>4.34</v>
      </c>
      <c r="AS617">
        <v>92</v>
      </c>
      <c r="AT617">
        <v>1.94</v>
      </c>
      <c r="AU617">
        <v>97</v>
      </c>
      <c r="AV617">
        <v>-3.81</v>
      </c>
      <c r="AW617">
        <v>99</v>
      </c>
      <c r="AX617">
        <v>-0.26</v>
      </c>
      <c r="AY617">
        <v>94</v>
      </c>
      <c r="AZ617">
        <v>6.21</v>
      </c>
      <c r="BA617">
        <v>81</v>
      </c>
      <c r="BB617">
        <v>4.5</v>
      </c>
      <c r="BC617">
        <v>86</v>
      </c>
      <c r="BD617">
        <v>-0.05</v>
      </c>
      <c r="BE617">
        <v>-0.06</v>
      </c>
      <c r="BF617">
        <v>-0.05</v>
      </c>
      <c r="BG617">
        <v>94</v>
      </c>
      <c r="BH617">
        <v>-0.04</v>
      </c>
      <c r="BI617">
        <v>-1.32</v>
      </c>
      <c r="BJ617">
        <v>0</v>
      </c>
      <c r="BK617">
        <v>0</v>
      </c>
      <c r="BL617">
        <v>-0.93</v>
      </c>
      <c r="BM617">
        <v>1.1599999999999999</v>
      </c>
      <c r="BN617">
        <v>-0.86</v>
      </c>
      <c r="BO617">
        <v>-1.32</v>
      </c>
      <c r="BP617">
        <v>0.47</v>
      </c>
      <c r="BQ617">
        <v>-0.35</v>
      </c>
      <c r="BR617">
        <v>-0.12</v>
      </c>
      <c r="BS617">
        <v>0.66</v>
      </c>
      <c r="BT617">
        <v>0.37</v>
      </c>
      <c r="BU617">
        <v>-0.96</v>
      </c>
      <c r="BV617">
        <v>-1.91</v>
      </c>
      <c r="BW617">
        <v>-1.68</v>
      </c>
      <c r="BX617">
        <v>-0.87</v>
      </c>
      <c r="BY617">
        <v>-1.17</v>
      </c>
      <c r="BZ617">
        <v>0.03</v>
      </c>
      <c r="CA617">
        <v>-0.98</v>
      </c>
      <c r="CB617">
        <v>-1.35</v>
      </c>
      <c r="CC617">
        <v>0.08</v>
      </c>
      <c r="CD617">
        <v>1.1000000000000001</v>
      </c>
      <c r="CE617">
        <v>-1.37</v>
      </c>
      <c r="CF617">
        <v>-0.93</v>
      </c>
      <c r="CG617">
        <v>0</v>
      </c>
      <c r="CH617">
        <v>-1.21</v>
      </c>
      <c r="CI617">
        <v>0</v>
      </c>
      <c r="CJ617">
        <v>6</v>
      </c>
      <c r="CK617">
        <v>98</v>
      </c>
      <c r="CL617">
        <v>-0.56000000000000005</v>
      </c>
      <c r="CM617">
        <v>97</v>
      </c>
      <c r="CN617">
        <v>0.15</v>
      </c>
      <c r="CO617">
        <v>97</v>
      </c>
      <c r="CP617">
        <v>0</v>
      </c>
      <c r="CQ617">
        <v>96</v>
      </c>
      <c r="CR617">
        <v>0</v>
      </c>
      <c r="CS617">
        <v>0</v>
      </c>
      <c r="CT617">
        <v>5.4</v>
      </c>
      <c r="CU617">
        <v>94</v>
      </c>
      <c r="CV617">
        <v>0.24</v>
      </c>
      <c r="CW617">
        <v>28</v>
      </c>
      <c r="CX617" t="s">
        <v>9941</v>
      </c>
    </row>
    <row r="618" spans="1:102" x14ac:dyDescent="0.3">
      <c r="A618" t="str">
        <f>HYPERLINK("https://webapp.icbf.com/v2/app/bull-search/view/1478897791","FR4425")</f>
        <v>FR4425</v>
      </c>
      <c r="B618" t="s">
        <v>13918</v>
      </c>
      <c r="C618" t="s">
        <v>13919</v>
      </c>
      <c r="D618" s="1">
        <v>42782</v>
      </c>
      <c r="E618" t="s">
        <v>92</v>
      </c>
      <c r="F618">
        <v>59</v>
      </c>
      <c r="G618" t="s">
        <v>435</v>
      </c>
      <c r="H618">
        <v>174.19</v>
      </c>
      <c r="I618">
        <v>69</v>
      </c>
      <c r="J618">
        <v>68.39</v>
      </c>
      <c r="K618">
        <v>88</v>
      </c>
      <c r="L618">
        <v>57.61</v>
      </c>
      <c r="M618">
        <v>59</v>
      </c>
      <c r="N618">
        <v>44.64</v>
      </c>
      <c r="O618">
        <v>82</v>
      </c>
      <c r="P618">
        <v>-1.9</v>
      </c>
      <c r="Q618">
        <v>52</v>
      </c>
      <c r="R618">
        <v>6.9</v>
      </c>
      <c r="S618">
        <v>61</v>
      </c>
      <c r="T618">
        <v>-1.71</v>
      </c>
      <c r="U618">
        <v>46</v>
      </c>
      <c r="V618">
        <v>0.26</v>
      </c>
      <c r="W618">
        <v>55</v>
      </c>
      <c r="X618" t="s">
        <v>102</v>
      </c>
      <c r="Y618" t="s">
        <v>2255</v>
      </c>
      <c r="Z618" t="s">
        <v>96</v>
      </c>
      <c r="AA618" t="s">
        <v>6082</v>
      </c>
      <c r="AB618" t="s">
        <v>13920</v>
      </c>
      <c r="AC618">
        <v>0</v>
      </c>
      <c r="AD618">
        <v>0</v>
      </c>
      <c r="AE618">
        <v>88</v>
      </c>
      <c r="AF618">
        <v>259.52</v>
      </c>
      <c r="AG618">
        <v>12.22</v>
      </c>
      <c r="AH618">
        <v>11.28</v>
      </c>
      <c r="AI618">
        <v>0.03</v>
      </c>
      <c r="AJ618">
        <v>0.04</v>
      </c>
      <c r="AK618">
        <v>59</v>
      </c>
      <c r="AL618">
        <v>0</v>
      </c>
      <c r="AM618">
        <v>0</v>
      </c>
      <c r="AN618">
        <v>-1.1399999999999999</v>
      </c>
      <c r="AO618">
        <v>3.48</v>
      </c>
      <c r="AP618">
        <v>570</v>
      </c>
      <c r="AQ618">
        <v>0</v>
      </c>
      <c r="AR618">
        <v>7.26</v>
      </c>
      <c r="AS618">
        <v>60</v>
      </c>
      <c r="AT618">
        <v>2.89</v>
      </c>
      <c r="AU618">
        <v>93</v>
      </c>
      <c r="AV618">
        <v>-4.83</v>
      </c>
      <c r="AW618">
        <v>98</v>
      </c>
      <c r="AX618">
        <v>-0.78</v>
      </c>
      <c r="AY618">
        <v>89</v>
      </c>
      <c r="AZ618">
        <v>6.29</v>
      </c>
      <c r="BA618">
        <v>42</v>
      </c>
      <c r="BB618">
        <v>4.74</v>
      </c>
      <c r="BC618">
        <v>32</v>
      </c>
      <c r="BD618">
        <v>-0.04</v>
      </c>
      <c r="BE618">
        <v>0.02</v>
      </c>
      <c r="BF618">
        <v>-0.13</v>
      </c>
      <c r="BG618">
        <v>71</v>
      </c>
      <c r="BH618">
        <v>-0.01</v>
      </c>
      <c r="BI618">
        <v>-2.0099999999999998</v>
      </c>
      <c r="BJ618">
        <v>0</v>
      </c>
      <c r="BK618">
        <v>0</v>
      </c>
      <c r="BL618">
        <v>-1.1499999999999999</v>
      </c>
      <c r="BM618">
        <v>2.1800000000000002</v>
      </c>
      <c r="BN618">
        <v>-2.29</v>
      </c>
      <c r="BO618">
        <v>-3</v>
      </c>
      <c r="BP618">
        <v>-0.79</v>
      </c>
      <c r="BQ618">
        <v>-0.06</v>
      </c>
      <c r="BR618">
        <v>-2.64</v>
      </c>
      <c r="BS618">
        <v>0</v>
      </c>
      <c r="BT618">
        <v>1.7</v>
      </c>
      <c r="BU618">
        <v>-0.94</v>
      </c>
      <c r="BV618">
        <v>-1.82</v>
      </c>
      <c r="BW618">
        <v>-1.43</v>
      </c>
      <c r="BX618">
        <v>-0.43</v>
      </c>
      <c r="BY618">
        <v>-1.51</v>
      </c>
      <c r="BZ618">
        <v>-0.4</v>
      </c>
      <c r="CA618">
        <v>-0.41</v>
      </c>
      <c r="CB618">
        <v>-1.1000000000000001</v>
      </c>
      <c r="CC618">
        <v>0.59</v>
      </c>
      <c r="CD618">
        <v>3.1</v>
      </c>
      <c r="CE618">
        <v>-2.21</v>
      </c>
      <c r="CF618">
        <v>-1.86</v>
      </c>
      <c r="CG618">
        <v>0</v>
      </c>
      <c r="CH618">
        <v>-0.74</v>
      </c>
      <c r="CI618">
        <v>0</v>
      </c>
      <c r="CJ618">
        <v>0.2</v>
      </c>
      <c r="CK618">
        <v>56</v>
      </c>
      <c r="CL618">
        <v>-0.24</v>
      </c>
      <c r="CM618">
        <v>47</v>
      </c>
      <c r="CN618">
        <v>0.01</v>
      </c>
      <c r="CO618">
        <v>46</v>
      </c>
      <c r="CP618">
        <v>2.8</v>
      </c>
      <c r="CQ618">
        <v>46</v>
      </c>
      <c r="CR618">
        <v>0</v>
      </c>
      <c r="CS618">
        <v>0</v>
      </c>
      <c r="CT618">
        <v>16.100000000000001</v>
      </c>
      <c r="CU618">
        <v>46</v>
      </c>
      <c r="CV618">
        <v>0.2</v>
      </c>
      <c r="CW618">
        <v>35</v>
      </c>
      <c r="CX618" t="s">
        <v>5742</v>
      </c>
    </row>
    <row r="619" spans="1:102" x14ac:dyDescent="0.3">
      <c r="A619" t="str">
        <f>HYPERLINK("https://webapp.icbf.com/v2/app/bull-search/view/1047477838","S2123")</f>
        <v>S2123</v>
      </c>
      <c r="B619" t="s">
        <v>13257</v>
      </c>
      <c r="C619" t="s">
        <v>6120</v>
      </c>
      <c r="D619" s="1">
        <v>41330</v>
      </c>
      <c r="E619" t="s">
        <v>92</v>
      </c>
      <c r="F619">
        <v>56</v>
      </c>
      <c r="G619" t="s">
        <v>93</v>
      </c>
      <c r="H619">
        <v>174.16</v>
      </c>
      <c r="I619">
        <v>90</v>
      </c>
      <c r="J619">
        <v>93.25</v>
      </c>
      <c r="K619">
        <v>98</v>
      </c>
      <c r="L619">
        <v>49.39</v>
      </c>
      <c r="M619">
        <v>82</v>
      </c>
      <c r="N619">
        <v>26.03</v>
      </c>
      <c r="O619">
        <v>91</v>
      </c>
      <c r="P619">
        <v>-24.58</v>
      </c>
      <c r="Q619">
        <v>95</v>
      </c>
      <c r="R619">
        <v>8.42</v>
      </c>
      <c r="S619">
        <v>82</v>
      </c>
      <c r="T619">
        <v>15.53</v>
      </c>
      <c r="U619">
        <v>96</v>
      </c>
      <c r="V619">
        <v>6.12</v>
      </c>
      <c r="W619">
        <v>76</v>
      </c>
      <c r="X619" t="s">
        <v>234</v>
      </c>
      <c r="Y619" t="s">
        <v>367</v>
      </c>
      <c r="Z619" t="s">
        <v>330</v>
      </c>
      <c r="AA619" t="s">
        <v>1830</v>
      </c>
      <c r="AB619" t="s">
        <v>13258</v>
      </c>
      <c r="AC619">
        <v>212</v>
      </c>
      <c r="AD619">
        <v>53</v>
      </c>
      <c r="AE619">
        <v>98</v>
      </c>
      <c r="AF619">
        <v>190.17</v>
      </c>
      <c r="AG619">
        <v>11.25</v>
      </c>
      <c r="AH619">
        <v>14.79</v>
      </c>
      <c r="AI619">
        <v>7.0000000000000007E-2</v>
      </c>
      <c r="AJ619">
        <v>0.14000000000000001</v>
      </c>
      <c r="AK619">
        <v>82</v>
      </c>
      <c r="AL619">
        <v>221</v>
      </c>
      <c r="AM619">
        <v>66</v>
      </c>
      <c r="AN619">
        <v>-2.59</v>
      </c>
      <c r="AO619">
        <v>1.35</v>
      </c>
      <c r="AP619">
        <v>601</v>
      </c>
      <c r="AQ619">
        <v>1</v>
      </c>
      <c r="AR619">
        <v>4.79</v>
      </c>
      <c r="AS619">
        <v>84</v>
      </c>
      <c r="AT619">
        <v>2.13</v>
      </c>
      <c r="AU619">
        <v>95</v>
      </c>
      <c r="AV619">
        <v>-2.44</v>
      </c>
      <c r="AW619">
        <v>98</v>
      </c>
      <c r="AX619">
        <v>0.22</v>
      </c>
      <c r="AY619">
        <v>91</v>
      </c>
      <c r="AZ619">
        <v>7.62</v>
      </c>
      <c r="BA619">
        <v>79</v>
      </c>
      <c r="BB619">
        <v>5.9</v>
      </c>
      <c r="BC619">
        <v>70</v>
      </c>
      <c r="BD619">
        <v>-7.0000000000000007E-2</v>
      </c>
      <c r="BE619">
        <v>-0.03</v>
      </c>
      <c r="BF619">
        <v>-0.02</v>
      </c>
      <c r="BG619">
        <v>93</v>
      </c>
      <c r="BH619">
        <v>-0.02</v>
      </c>
      <c r="BI619">
        <v>-22.06</v>
      </c>
      <c r="BJ619">
        <v>4</v>
      </c>
      <c r="BK619">
        <v>1</v>
      </c>
      <c r="BL619">
        <v>-2.19</v>
      </c>
      <c r="BM619">
        <v>2.4</v>
      </c>
      <c r="BN619">
        <v>0.32</v>
      </c>
      <c r="BO619">
        <v>-1.02</v>
      </c>
      <c r="BP619">
        <v>0.16</v>
      </c>
      <c r="BQ619">
        <v>-0.24</v>
      </c>
      <c r="BR619">
        <v>0.28999999999999998</v>
      </c>
      <c r="BS619">
        <v>2.37</v>
      </c>
      <c r="BT619">
        <v>-0.65</v>
      </c>
      <c r="BU619">
        <v>-2.98</v>
      </c>
      <c r="BV619">
        <v>-1.61</v>
      </c>
      <c r="BW619">
        <v>-1.34</v>
      </c>
      <c r="BX619">
        <v>-3.79</v>
      </c>
      <c r="BY619">
        <v>-1.93</v>
      </c>
      <c r="BZ619">
        <v>4.07</v>
      </c>
      <c r="CA619">
        <v>-1.41</v>
      </c>
      <c r="CB619">
        <v>-2.19</v>
      </c>
      <c r="CC619">
        <v>1.36</v>
      </c>
      <c r="CD619">
        <v>1.74</v>
      </c>
      <c r="CE619">
        <v>-0.48</v>
      </c>
      <c r="CF619">
        <v>-1.67</v>
      </c>
      <c r="CG619">
        <v>0</v>
      </c>
      <c r="CH619">
        <v>-3.13</v>
      </c>
      <c r="CI619">
        <v>0</v>
      </c>
      <c r="CJ619">
        <v>-12.9</v>
      </c>
      <c r="CK619">
        <v>96</v>
      </c>
      <c r="CL619">
        <v>-0.45</v>
      </c>
      <c r="CM619">
        <v>95</v>
      </c>
      <c r="CN619">
        <v>-0.02</v>
      </c>
      <c r="CO619">
        <v>95</v>
      </c>
      <c r="CP619">
        <v>-15.8</v>
      </c>
      <c r="CQ619">
        <v>87</v>
      </c>
      <c r="CR619">
        <v>0</v>
      </c>
      <c r="CS619">
        <v>0</v>
      </c>
      <c r="CT619">
        <v>-7.2</v>
      </c>
      <c r="CU619">
        <v>96</v>
      </c>
      <c r="CV619">
        <v>-0.1</v>
      </c>
      <c r="CW619">
        <v>46</v>
      </c>
      <c r="CX619" t="s">
        <v>1229</v>
      </c>
    </row>
    <row r="620" spans="1:102" x14ac:dyDescent="0.3">
      <c r="A620" t="str">
        <f>HYPERLINK("https://webapp.icbf.com/v2/app/bull-search/view/1045476552","JGC")</f>
        <v>JGC</v>
      </c>
      <c r="B620" t="s">
        <v>13335</v>
      </c>
      <c r="C620" t="s">
        <v>6093</v>
      </c>
      <c r="D620" s="1">
        <v>41320</v>
      </c>
      <c r="E620" t="s">
        <v>92</v>
      </c>
      <c r="F620">
        <v>81</v>
      </c>
      <c r="G620" t="s">
        <v>93</v>
      </c>
      <c r="H620">
        <v>173.86</v>
      </c>
      <c r="I620">
        <v>87</v>
      </c>
      <c r="J620">
        <v>90.1</v>
      </c>
      <c r="K620">
        <v>97</v>
      </c>
      <c r="L620">
        <v>37.24</v>
      </c>
      <c r="M620">
        <v>78</v>
      </c>
      <c r="N620">
        <v>27.71</v>
      </c>
      <c r="O620">
        <v>88</v>
      </c>
      <c r="P620">
        <v>2.2000000000000002</v>
      </c>
      <c r="Q620">
        <v>94</v>
      </c>
      <c r="R620">
        <v>11.57</v>
      </c>
      <c r="S620">
        <v>80</v>
      </c>
      <c r="T620">
        <v>-1.64</v>
      </c>
      <c r="U620">
        <v>82</v>
      </c>
      <c r="V620">
        <v>6.68</v>
      </c>
      <c r="W620">
        <v>73</v>
      </c>
      <c r="X620" t="s">
        <v>94</v>
      </c>
      <c r="Y620" t="s">
        <v>389</v>
      </c>
      <c r="Z620" t="s">
        <v>96</v>
      </c>
      <c r="AA620" t="s">
        <v>417</v>
      </c>
      <c r="AB620" t="s">
        <v>13336</v>
      </c>
      <c r="AC620">
        <v>129</v>
      </c>
      <c r="AD620">
        <v>90</v>
      </c>
      <c r="AE620">
        <v>97</v>
      </c>
      <c r="AF620">
        <v>30.04</v>
      </c>
      <c r="AG620">
        <v>17.48</v>
      </c>
      <c r="AH620">
        <v>9.6</v>
      </c>
      <c r="AI620">
        <v>0.28000000000000003</v>
      </c>
      <c r="AJ620">
        <v>0.15</v>
      </c>
      <c r="AK620">
        <v>78</v>
      </c>
      <c r="AL620">
        <v>106</v>
      </c>
      <c r="AM620">
        <v>79</v>
      </c>
      <c r="AN620">
        <v>-1.27</v>
      </c>
      <c r="AO620">
        <v>1.71</v>
      </c>
      <c r="AP620">
        <v>390</v>
      </c>
      <c r="AQ620">
        <v>2</v>
      </c>
      <c r="AR620">
        <v>6.97</v>
      </c>
      <c r="AS620">
        <v>79</v>
      </c>
      <c r="AT620">
        <v>2.6</v>
      </c>
      <c r="AU620">
        <v>92</v>
      </c>
      <c r="AV620">
        <v>-3.09</v>
      </c>
      <c r="AW620">
        <v>98</v>
      </c>
      <c r="AX620">
        <v>0.39</v>
      </c>
      <c r="AY620">
        <v>86</v>
      </c>
      <c r="AZ620">
        <v>6.95</v>
      </c>
      <c r="BA620">
        <v>69</v>
      </c>
      <c r="BB620">
        <v>5.19</v>
      </c>
      <c r="BC620">
        <v>59</v>
      </c>
      <c r="BD620">
        <v>-0.03</v>
      </c>
      <c r="BE620">
        <v>-0.04</v>
      </c>
      <c r="BF620">
        <v>-0.14000000000000001</v>
      </c>
      <c r="BG620">
        <v>90</v>
      </c>
      <c r="BH620">
        <v>7.0000000000000007E-2</v>
      </c>
      <c r="BI620">
        <v>-13.45</v>
      </c>
      <c r="BJ620">
        <v>6</v>
      </c>
      <c r="BK620">
        <v>5</v>
      </c>
      <c r="BL620">
        <v>0.56000000000000005</v>
      </c>
      <c r="BM620">
        <v>0.32</v>
      </c>
      <c r="BN620">
        <v>-0.89</v>
      </c>
      <c r="BO620">
        <v>-0.87</v>
      </c>
      <c r="BP620">
        <v>2.1800000000000002</v>
      </c>
      <c r="BQ620">
        <v>1.99</v>
      </c>
      <c r="BR620">
        <v>-0.13</v>
      </c>
      <c r="BS620">
        <v>-0.47</v>
      </c>
      <c r="BT620">
        <v>-0.05</v>
      </c>
      <c r="BU620">
        <v>1.45</v>
      </c>
      <c r="BV620">
        <v>-0.09</v>
      </c>
      <c r="BW620">
        <v>0.03</v>
      </c>
      <c r="BX620">
        <v>2.4700000000000002</v>
      </c>
      <c r="BY620">
        <v>0.48</v>
      </c>
      <c r="BZ620">
        <v>-3.7</v>
      </c>
      <c r="CA620">
        <v>0.39</v>
      </c>
      <c r="CB620">
        <v>0.76</v>
      </c>
      <c r="CC620">
        <v>-0.72</v>
      </c>
      <c r="CD620">
        <v>0.33</v>
      </c>
      <c r="CE620">
        <v>-0.48</v>
      </c>
      <c r="CF620">
        <v>0.69</v>
      </c>
      <c r="CG620">
        <v>0</v>
      </c>
      <c r="CH620">
        <v>0.27</v>
      </c>
      <c r="CI620">
        <v>0</v>
      </c>
      <c r="CJ620">
        <v>4.8</v>
      </c>
      <c r="CK620">
        <v>95</v>
      </c>
      <c r="CL620">
        <v>-0.69</v>
      </c>
      <c r="CM620">
        <v>94</v>
      </c>
      <c r="CN620">
        <v>-0.17</v>
      </c>
      <c r="CO620">
        <v>94</v>
      </c>
      <c r="CP620">
        <v>4.7</v>
      </c>
      <c r="CQ620">
        <v>81</v>
      </c>
      <c r="CR620">
        <v>0</v>
      </c>
      <c r="CS620">
        <v>0</v>
      </c>
      <c r="CT620">
        <v>16</v>
      </c>
      <c r="CU620">
        <v>82</v>
      </c>
      <c r="CV620">
        <v>0.28000000000000003</v>
      </c>
      <c r="CW620">
        <v>46</v>
      </c>
      <c r="CX620" t="s">
        <v>1165</v>
      </c>
    </row>
    <row r="621" spans="1:102" x14ac:dyDescent="0.3">
      <c r="A621" t="str">
        <f>HYPERLINK("https://webapp.icbf.com/v2/app/bull-search/view/1354260232","FR4168")</f>
        <v>FR4168</v>
      </c>
      <c r="B621" t="s">
        <v>13953</v>
      </c>
      <c r="C621" t="s">
        <v>13954</v>
      </c>
      <c r="D621" s="1">
        <v>42396</v>
      </c>
      <c r="E621" t="s">
        <v>92</v>
      </c>
      <c r="F621">
        <v>81</v>
      </c>
      <c r="G621" t="s">
        <v>435</v>
      </c>
      <c r="H621">
        <v>173.85</v>
      </c>
      <c r="I621">
        <v>75</v>
      </c>
      <c r="J621">
        <v>60.98</v>
      </c>
      <c r="K621">
        <v>89</v>
      </c>
      <c r="L621">
        <v>73.56</v>
      </c>
      <c r="M621">
        <v>66</v>
      </c>
      <c r="N621">
        <v>42.68</v>
      </c>
      <c r="O621">
        <v>82</v>
      </c>
      <c r="P621">
        <v>-19.5</v>
      </c>
      <c r="Q621">
        <v>72</v>
      </c>
      <c r="R621">
        <v>0.28999999999999998</v>
      </c>
      <c r="S621">
        <v>66</v>
      </c>
      <c r="T621">
        <v>13.23</v>
      </c>
      <c r="U621">
        <v>57</v>
      </c>
      <c r="V621">
        <v>2.61</v>
      </c>
      <c r="W621">
        <v>59</v>
      </c>
      <c r="X621" t="s">
        <v>94</v>
      </c>
      <c r="Y621" t="s">
        <v>2255</v>
      </c>
      <c r="Z621" t="s">
        <v>96</v>
      </c>
      <c r="AA621" t="s">
        <v>2239</v>
      </c>
      <c r="AB621" t="s">
        <v>13955</v>
      </c>
      <c r="AC621">
        <v>0</v>
      </c>
      <c r="AD621">
        <v>0</v>
      </c>
      <c r="AE621">
        <v>89</v>
      </c>
      <c r="AF621">
        <v>-125.61</v>
      </c>
      <c r="AG621">
        <v>5.65</v>
      </c>
      <c r="AH621">
        <v>6.45</v>
      </c>
      <c r="AI621">
        <v>0.18</v>
      </c>
      <c r="AJ621">
        <v>0.19</v>
      </c>
      <c r="AK621">
        <v>66</v>
      </c>
      <c r="AL621">
        <v>0</v>
      </c>
      <c r="AM621">
        <v>0</v>
      </c>
      <c r="AN621">
        <v>-3.73</v>
      </c>
      <c r="AO621">
        <v>2.14</v>
      </c>
      <c r="AP621">
        <v>270</v>
      </c>
      <c r="AQ621">
        <v>1</v>
      </c>
      <c r="AR621">
        <v>7.87</v>
      </c>
      <c r="AS621">
        <v>61</v>
      </c>
      <c r="AT621">
        <v>2.34</v>
      </c>
      <c r="AU621">
        <v>89</v>
      </c>
      <c r="AV621">
        <v>-4.63</v>
      </c>
      <c r="AW621">
        <v>97</v>
      </c>
      <c r="AX621">
        <v>0.21</v>
      </c>
      <c r="AY621">
        <v>80</v>
      </c>
      <c r="AZ621">
        <v>5.53</v>
      </c>
      <c r="BA621">
        <v>46</v>
      </c>
      <c r="BB621">
        <v>5.15</v>
      </c>
      <c r="BC621">
        <v>46</v>
      </c>
      <c r="BD621">
        <v>-0.01</v>
      </c>
      <c r="BE621">
        <v>0</v>
      </c>
      <c r="BF621">
        <v>0.01</v>
      </c>
      <c r="BG621">
        <v>75</v>
      </c>
      <c r="BH621">
        <v>-0.12</v>
      </c>
      <c r="BI621">
        <v>-22.29</v>
      </c>
      <c r="BJ621">
        <v>0</v>
      </c>
      <c r="BK621">
        <v>0</v>
      </c>
      <c r="BL621">
        <v>-1.19</v>
      </c>
      <c r="BM621">
        <v>-0.28999999999999998</v>
      </c>
      <c r="BN621">
        <v>-0.46</v>
      </c>
      <c r="BO621">
        <v>-0.51</v>
      </c>
      <c r="BP621">
        <v>-0.43</v>
      </c>
      <c r="BQ621">
        <v>-1.72</v>
      </c>
      <c r="BR621">
        <v>0.87</v>
      </c>
      <c r="BS621">
        <v>0.18</v>
      </c>
      <c r="BT621">
        <v>-1.19</v>
      </c>
      <c r="BU621">
        <v>-0.34</v>
      </c>
      <c r="BV621">
        <v>-1.1200000000000001</v>
      </c>
      <c r="BW621">
        <v>-1.52</v>
      </c>
      <c r="BX621">
        <v>-0.98</v>
      </c>
      <c r="BY621">
        <v>-1.89</v>
      </c>
      <c r="BZ621">
        <v>-2.59</v>
      </c>
      <c r="CA621">
        <v>-0.72</v>
      </c>
      <c r="CB621">
        <v>-0.97</v>
      </c>
      <c r="CC621">
        <v>0.23</v>
      </c>
      <c r="CD621">
        <v>0.35</v>
      </c>
      <c r="CE621">
        <v>-0.61</v>
      </c>
      <c r="CF621">
        <v>-1.37</v>
      </c>
      <c r="CG621">
        <v>0</v>
      </c>
      <c r="CH621">
        <v>0.15</v>
      </c>
      <c r="CI621">
        <v>0</v>
      </c>
      <c r="CJ621">
        <v>-10</v>
      </c>
      <c r="CK621">
        <v>76</v>
      </c>
      <c r="CL621">
        <v>-0.72</v>
      </c>
      <c r="CM621">
        <v>69</v>
      </c>
      <c r="CN621">
        <v>-0.24</v>
      </c>
      <c r="CO621">
        <v>67</v>
      </c>
      <c r="CP621">
        <v>-7.2</v>
      </c>
      <c r="CQ621">
        <v>57</v>
      </c>
      <c r="CR621">
        <v>0</v>
      </c>
      <c r="CS621">
        <v>0</v>
      </c>
      <c r="CT621">
        <v>-4.0999999999999996</v>
      </c>
      <c r="CU621">
        <v>57</v>
      </c>
      <c r="CV621">
        <v>0.09</v>
      </c>
      <c r="CW621">
        <v>42</v>
      </c>
      <c r="CX621" t="s">
        <v>2172</v>
      </c>
    </row>
    <row r="622" spans="1:102" x14ac:dyDescent="0.3">
      <c r="A622" t="str">
        <f>HYPERLINK("https://webapp.icbf.com/v2/app/bull-search/view/1256968755","FR2245")</f>
        <v>FR2245</v>
      </c>
      <c r="B622" t="s">
        <v>13666</v>
      </c>
      <c r="C622" t="s">
        <v>13667</v>
      </c>
      <c r="D622" s="1">
        <v>42072</v>
      </c>
      <c r="E622" t="s">
        <v>92</v>
      </c>
      <c r="F622">
        <v>75</v>
      </c>
      <c r="G622" t="s">
        <v>93</v>
      </c>
      <c r="H622">
        <v>173.84</v>
      </c>
      <c r="I622">
        <v>80</v>
      </c>
      <c r="J622">
        <v>65.81</v>
      </c>
      <c r="K622">
        <v>94</v>
      </c>
      <c r="L622">
        <v>88.62</v>
      </c>
      <c r="M622">
        <v>72</v>
      </c>
      <c r="N622">
        <v>26.04</v>
      </c>
      <c r="O622">
        <v>83</v>
      </c>
      <c r="P622">
        <v>-18.93</v>
      </c>
      <c r="Q622">
        <v>87</v>
      </c>
      <c r="R622">
        <v>-0.54</v>
      </c>
      <c r="S622">
        <v>73</v>
      </c>
      <c r="T622">
        <v>10.79</v>
      </c>
      <c r="U622">
        <v>54</v>
      </c>
      <c r="V622">
        <v>2.0499999999999998</v>
      </c>
      <c r="W622">
        <v>66</v>
      </c>
      <c r="X622" t="s">
        <v>102</v>
      </c>
      <c r="Y622" t="s">
        <v>416</v>
      </c>
      <c r="Z622" t="s">
        <v>330</v>
      </c>
      <c r="AA622" t="s">
        <v>2157</v>
      </c>
      <c r="AB622" t="s">
        <v>13668</v>
      </c>
      <c r="AC622">
        <v>65</v>
      </c>
      <c r="AD622">
        <v>26</v>
      </c>
      <c r="AE622">
        <v>94</v>
      </c>
      <c r="AF622">
        <v>-145.22</v>
      </c>
      <c r="AG622">
        <v>8.82</v>
      </c>
      <c r="AH622">
        <v>5.85</v>
      </c>
      <c r="AI622">
        <v>0.26</v>
      </c>
      <c r="AJ622">
        <v>0.19</v>
      </c>
      <c r="AK622">
        <v>72</v>
      </c>
      <c r="AL622">
        <v>0</v>
      </c>
      <c r="AM622">
        <v>0</v>
      </c>
      <c r="AN622">
        <v>-4.62</v>
      </c>
      <c r="AO622">
        <v>2.4500000000000002</v>
      </c>
      <c r="AP622">
        <v>301</v>
      </c>
      <c r="AQ622">
        <v>0</v>
      </c>
      <c r="AR622">
        <v>5.86</v>
      </c>
      <c r="AS622">
        <v>75</v>
      </c>
      <c r="AT622">
        <v>2.78</v>
      </c>
      <c r="AU622">
        <v>89</v>
      </c>
      <c r="AV622">
        <v>-2.42</v>
      </c>
      <c r="AW622">
        <v>96</v>
      </c>
      <c r="AX622">
        <v>-0.27</v>
      </c>
      <c r="AY622">
        <v>82</v>
      </c>
      <c r="AZ622">
        <v>6.7</v>
      </c>
      <c r="BA622">
        <v>61</v>
      </c>
      <c r="BB622">
        <v>5.1100000000000003</v>
      </c>
      <c r="BC622">
        <v>46</v>
      </c>
      <c r="BD622">
        <v>-0.01</v>
      </c>
      <c r="BE622">
        <v>0.01</v>
      </c>
      <c r="BF622">
        <v>0.01</v>
      </c>
      <c r="BG622">
        <v>83</v>
      </c>
      <c r="BH622">
        <v>0.18</v>
      </c>
      <c r="BI622">
        <v>14.2</v>
      </c>
      <c r="BJ622">
        <v>0</v>
      </c>
      <c r="BK622">
        <v>0</v>
      </c>
      <c r="BL622">
        <v>-1.43</v>
      </c>
      <c r="BM622">
        <v>1.1000000000000001</v>
      </c>
      <c r="BN622">
        <v>-0.95</v>
      </c>
      <c r="BO622">
        <v>-1.9</v>
      </c>
      <c r="BP622">
        <v>2.06</v>
      </c>
      <c r="BQ622">
        <v>-2.09</v>
      </c>
      <c r="BR622">
        <v>-1.1200000000000001</v>
      </c>
      <c r="BS622">
        <v>-0.73</v>
      </c>
      <c r="BT622">
        <v>7.0000000000000007E-2</v>
      </c>
      <c r="BU622">
        <v>-1.56</v>
      </c>
      <c r="BV622">
        <v>-2.25</v>
      </c>
      <c r="BW622">
        <v>-2.35</v>
      </c>
      <c r="BX622">
        <v>-1.81</v>
      </c>
      <c r="BY622">
        <v>-2.31</v>
      </c>
      <c r="BZ622">
        <v>-2.4900000000000002</v>
      </c>
      <c r="CA622">
        <v>-2.12</v>
      </c>
      <c r="CB622">
        <v>-2.0099999999999998</v>
      </c>
      <c r="CC622">
        <v>-0.93</v>
      </c>
      <c r="CD622">
        <v>1.61</v>
      </c>
      <c r="CE622">
        <v>-1.63</v>
      </c>
      <c r="CF622">
        <v>-1.37</v>
      </c>
      <c r="CG622">
        <v>0</v>
      </c>
      <c r="CH622">
        <v>-0.56999999999999995</v>
      </c>
      <c r="CI622">
        <v>0</v>
      </c>
      <c r="CJ622">
        <v>-10.4</v>
      </c>
      <c r="CK622">
        <v>90</v>
      </c>
      <c r="CL622">
        <v>-0.7</v>
      </c>
      <c r="CM622">
        <v>88</v>
      </c>
      <c r="CN622">
        <v>-0.35</v>
      </c>
      <c r="CO622">
        <v>87</v>
      </c>
      <c r="CP622">
        <v>-9.6999999999999993</v>
      </c>
      <c r="CQ622">
        <v>59</v>
      </c>
      <c r="CR622">
        <v>0</v>
      </c>
      <c r="CS622">
        <v>0</v>
      </c>
      <c r="CT622">
        <v>-0.8</v>
      </c>
      <c r="CU622">
        <v>54</v>
      </c>
      <c r="CV622">
        <v>-0.03</v>
      </c>
      <c r="CW622">
        <v>46</v>
      </c>
      <c r="CX622" t="s">
        <v>1770</v>
      </c>
    </row>
    <row r="623" spans="1:102" x14ac:dyDescent="0.3">
      <c r="A623" t="str">
        <f>HYPERLINK("https://webapp.icbf.com/v2/app/bull-search/view/1039166221","RNZ")</f>
        <v>RNZ</v>
      </c>
      <c r="B623" t="s">
        <v>13239</v>
      </c>
      <c r="C623" t="s">
        <v>13240</v>
      </c>
      <c r="D623" s="1">
        <v>41309</v>
      </c>
      <c r="E623" t="s">
        <v>92</v>
      </c>
      <c r="F623">
        <v>75</v>
      </c>
      <c r="G623" t="s">
        <v>93</v>
      </c>
      <c r="H623">
        <v>173.79</v>
      </c>
      <c r="I623">
        <v>85</v>
      </c>
      <c r="J623">
        <v>87.82</v>
      </c>
      <c r="K623">
        <v>97</v>
      </c>
      <c r="L623">
        <v>56.68</v>
      </c>
      <c r="M623">
        <v>77</v>
      </c>
      <c r="N623">
        <v>19.649999999999999</v>
      </c>
      <c r="O623">
        <v>86</v>
      </c>
      <c r="P623">
        <v>-6.93</v>
      </c>
      <c r="Q623">
        <v>90</v>
      </c>
      <c r="R623">
        <v>-1.74</v>
      </c>
      <c r="S623">
        <v>79</v>
      </c>
      <c r="T623">
        <v>12.05</v>
      </c>
      <c r="U623">
        <v>73</v>
      </c>
      <c r="V623">
        <v>6.26</v>
      </c>
      <c r="W623">
        <v>73</v>
      </c>
      <c r="X623" t="s">
        <v>94</v>
      </c>
      <c r="Y623" t="s">
        <v>389</v>
      </c>
      <c r="Z623" t="s">
        <v>96</v>
      </c>
      <c r="AA623" t="s">
        <v>3085</v>
      </c>
      <c r="AB623" t="s">
        <v>13241</v>
      </c>
      <c r="AC623">
        <v>110</v>
      </c>
      <c r="AD623">
        <v>71</v>
      </c>
      <c r="AE623">
        <v>97</v>
      </c>
      <c r="AF623">
        <v>7.48</v>
      </c>
      <c r="AG623">
        <v>15.83</v>
      </c>
      <c r="AH623">
        <v>9.4499999999999993</v>
      </c>
      <c r="AI623">
        <v>0.27</v>
      </c>
      <c r="AJ623">
        <v>0.16</v>
      </c>
      <c r="AK623">
        <v>77</v>
      </c>
      <c r="AL623">
        <v>105</v>
      </c>
      <c r="AM623">
        <v>67</v>
      </c>
      <c r="AN623">
        <v>-3.88</v>
      </c>
      <c r="AO623">
        <v>0.63</v>
      </c>
      <c r="AP623">
        <v>260</v>
      </c>
      <c r="AQ623">
        <v>3</v>
      </c>
      <c r="AR623">
        <v>8.92</v>
      </c>
      <c r="AS623">
        <v>72</v>
      </c>
      <c r="AT623">
        <v>3.45</v>
      </c>
      <c r="AU623">
        <v>89</v>
      </c>
      <c r="AV623">
        <v>-3.13</v>
      </c>
      <c r="AW623">
        <v>97</v>
      </c>
      <c r="AX623">
        <v>0.3</v>
      </c>
      <c r="AY623">
        <v>82</v>
      </c>
      <c r="AZ623">
        <v>6.96</v>
      </c>
      <c r="BA623">
        <v>68</v>
      </c>
      <c r="BB623">
        <v>4.38</v>
      </c>
      <c r="BC623">
        <v>59</v>
      </c>
      <c r="BD623">
        <v>-0.03</v>
      </c>
      <c r="BE623">
        <v>0</v>
      </c>
      <c r="BF623">
        <v>0.09</v>
      </c>
      <c r="BG623">
        <v>88</v>
      </c>
      <c r="BH623">
        <v>0.16</v>
      </c>
      <c r="BI623">
        <v>-1.68</v>
      </c>
      <c r="BJ623">
        <v>7</v>
      </c>
      <c r="BK623">
        <v>1</v>
      </c>
      <c r="BL623">
        <v>-0.26</v>
      </c>
      <c r="BM623">
        <v>0</v>
      </c>
      <c r="BN623">
        <v>-0.33</v>
      </c>
      <c r="BO623">
        <v>-0.17</v>
      </c>
      <c r="BP623">
        <v>0.9</v>
      </c>
      <c r="BQ623">
        <v>1.17</v>
      </c>
      <c r="BR623">
        <v>2.86</v>
      </c>
      <c r="BS623">
        <v>-2.11</v>
      </c>
      <c r="BT623">
        <v>-2.89</v>
      </c>
      <c r="BU623">
        <v>0.15</v>
      </c>
      <c r="BV623">
        <v>0.68</v>
      </c>
      <c r="BW623">
        <v>-7.0000000000000007E-2</v>
      </c>
      <c r="BX623">
        <v>-0.47</v>
      </c>
      <c r="BY623">
        <v>0.63</v>
      </c>
      <c r="BZ623">
        <v>-2.4900000000000002</v>
      </c>
      <c r="CA623">
        <v>-1.25</v>
      </c>
      <c r="CB623">
        <v>-0.7</v>
      </c>
      <c r="CC623">
        <v>-1.58</v>
      </c>
      <c r="CD623">
        <v>-0.15</v>
      </c>
      <c r="CE623">
        <v>-0.25</v>
      </c>
      <c r="CF623">
        <v>-0.42</v>
      </c>
      <c r="CG623">
        <v>0</v>
      </c>
      <c r="CH623">
        <v>-0.88</v>
      </c>
      <c r="CI623">
        <v>0</v>
      </c>
      <c r="CJ623">
        <v>-1.2</v>
      </c>
      <c r="CK623">
        <v>92</v>
      </c>
      <c r="CL623">
        <v>-0.69</v>
      </c>
      <c r="CM623">
        <v>90</v>
      </c>
      <c r="CN623">
        <v>-0.25</v>
      </c>
      <c r="CO623">
        <v>89</v>
      </c>
      <c r="CP623">
        <v>-7.2</v>
      </c>
      <c r="CQ623">
        <v>78</v>
      </c>
      <c r="CR623">
        <v>0</v>
      </c>
      <c r="CS623">
        <v>0</v>
      </c>
      <c r="CT623">
        <v>-2.5</v>
      </c>
      <c r="CU623">
        <v>73</v>
      </c>
      <c r="CV623">
        <v>0.12</v>
      </c>
      <c r="CW623">
        <v>45</v>
      </c>
      <c r="CX623" t="s">
        <v>1514</v>
      </c>
    </row>
    <row r="624" spans="1:102" x14ac:dyDescent="0.3">
      <c r="A624" t="str">
        <f>HYPERLINK("https://webapp.icbf.com/v2/app/bull-search/view/1029926869","EFM")</f>
        <v>EFM</v>
      </c>
      <c r="B624" t="s">
        <v>14533</v>
      </c>
      <c r="C624" t="s">
        <v>14534</v>
      </c>
      <c r="D624" s="1">
        <v>41255</v>
      </c>
      <c r="E624" t="s">
        <v>92</v>
      </c>
      <c r="F624">
        <v>100</v>
      </c>
      <c r="G624" t="s">
        <v>93</v>
      </c>
      <c r="H624">
        <v>173.72</v>
      </c>
      <c r="I624">
        <v>87</v>
      </c>
      <c r="J624">
        <v>48.91</v>
      </c>
      <c r="K624">
        <v>97</v>
      </c>
      <c r="L624">
        <v>85.49</v>
      </c>
      <c r="M624">
        <v>81</v>
      </c>
      <c r="N624">
        <v>30.45</v>
      </c>
      <c r="O624">
        <v>88</v>
      </c>
      <c r="P624">
        <v>-12.84</v>
      </c>
      <c r="Q624">
        <v>92</v>
      </c>
      <c r="R624">
        <v>5.81</v>
      </c>
      <c r="S624">
        <v>80</v>
      </c>
      <c r="T624">
        <v>9.5299999999999994</v>
      </c>
      <c r="U624">
        <v>79</v>
      </c>
      <c r="V624">
        <v>6.37</v>
      </c>
      <c r="W624">
        <v>73</v>
      </c>
      <c r="X624" t="s">
        <v>94</v>
      </c>
      <c r="Y624" t="s">
        <v>389</v>
      </c>
      <c r="Z624" t="s">
        <v>96</v>
      </c>
      <c r="AA624" t="s">
        <v>401</v>
      </c>
      <c r="AB624" t="s">
        <v>12733</v>
      </c>
      <c r="AC624">
        <v>131</v>
      </c>
      <c r="AD624">
        <v>84</v>
      </c>
      <c r="AE624">
        <v>97</v>
      </c>
      <c r="AF624">
        <v>215.17</v>
      </c>
      <c r="AG624">
        <v>6.93</v>
      </c>
      <c r="AH624">
        <v>9.16</v>
      </c>
      <c r="AI624">
        <v>-0.03</v>
      </c>
      <c r="AJ624">
        <v>0.03</v>
      </c>
      <c r="AK624">
        <v>81</v>
      </c>
      <c r="AL624">
        <v>127</v>
      </c>
      <c r="AM624">
        <v>86</v>
      </c>
      <c r="AN624">
        <v>-6.04</v>
      </c>
      <c r="AO624">
        <v>0.76</v>
      </c>
      <c r="AP624">
        <v>388</v>
      </c>
      <c r="AQ624">
        <v>2</v>
      </c>
      <c r="AR624">
        <v>6.76</v>
      </c>
      <c r="AS624">
        <v>80</v>
      </c>
      <c r="AT624">
        <v>2.71</v>
      </c>
      <c r="AU624">
        <v>92</v>
      </c>
      <c r="AV624">
        <v>-2.39</v>
      </c>
      <c r="AW624">
        <v>98</v>
      </c>
      <c r="AX624">
        <v>-0.36</v>
      </c>
      <c r="AY624">
        <v>85</v>
      </c>
      <c r="AZ624">
        <v>4.87</v>
      </c>
      <c r="BA624">
        <v>72</v>
      </c>
      <c r="BB624">
        <v>4.4000000000000004</v>
      </c>
      <c r="BC624">
        <v>64</v>
      </c>
      <c r="BD624">
        <v>-0.04</v>
      </c>
      <c r="BE624">
        <v>-0.03</v>
      </c>
      <c r="BF624">
        <v>-0.01</v>
      </c>
      <c r="BG624">
        <v>90</v>
      </c>
      <c r="BH624">
        <v>-0.04</v>
      </c>
      <c r="BI624">
        <v>-25.17</v>
      </c>
      <c r="BJ624">
        <v>21</v>
      </c>
      <c r="BK624">
        <v>9</v>
      </c>
      <c r="BL624">
        <v>1.73</v>
      </c>
      <c r="BM624">
        <v>-1.88</v>
      </c>
      <c r="BN624">
        <v>-0.47</v>
      </c>
      <c r="BO624">
        <v>0.77</v>
      </c>
      <c r="BP624">
        <v>1.82</v>
      </c>
      <c r="BQ624">
        <v>0.17</v>
      </c>
      <c r="BR624">
        <v>0.86</v>
      </c>
      <c r="BS624">
        <v>0.31</v>
      </c>
      <c r="BT624">
        <v>-0.94</v>
      </c>
      <c r="BU624">
        <v>2.08</v>
      </c>
      <c r="BV624">
        <v>1.91</v>
      </c>
      <c r="BW624">
        <v>2.81</v>
      </c>
      <c r="BX624">
        <v>2.7</v>
      </c>
      <c r="BY624">
        <v>2.29</v>
      </c>
      <c r="BZ624">
        <v>-0.35</v>
      </c>
      <c r="CA624">
        <v>1.31</v>
      </c>
      <c r="CB624">
        <v>1.82</v>
      </c>
      <c r="CC624">
        <v>-0.34</v>
      </c>
      <c r="CD624">
        <v>-0.88</v>
      </c>
      <c r="CE624">
        <v>0.27</v>
      </c>
      <c r="CF624">
        <v>0.64</v>
      </c>
      <c r="CG624">
        <v>0</v>
      </c>
      <c r="CH624">
        <v>2.48</v>
      </c>
      <c r="CI624">
        <v>0</v>
      </c>
      <c r="CJ624">
        <v>-4.0999999999999996</v>
      </c>
      <c r="CK624">
        <v>94</v>
      </c>
      <c r="CL624">
        <v>-1.36</v>
      </c>
      <c r="CM624">
        <v>93</v>
      </c>
      <c r="CN624">
        <v>-0.56000000000000005</v>
      </c>
      <c r="CO624">
        <v>92</v>
      </c>
      <c r="CP624">
        <v>2</v>
      </c>
      <c r="CQ624">
        <v>78</v>
      </c>
      <c r="CR624">
        <v>0</v>
      </c>
      <c r="CS624">
        <v>0</v>
      </c>
      <c r="CT624">
        <v>0.9</v>
      </c>
      <c r="CU624">
        <v>79</v>
      </c>
      <c r="CV624">
        <v>0.22</v>
      </c>
      <c r="CW624">
        <v>45</v>
      </c>
      <c r="CX624" t="s">
        <v>311</v>
      </c>
    </row>
    <row r="625" spans="1:102" x14ac:dyDescent="0.3">
      <c r="A625" t="str">
        <f>HYPERLINK("https://webapp.icbf.com/v2/app/bull-search/view/1100061023","S1593")</f>
        <v>S1593</v>
      </c>
      <c r="B625" t="s">
        <v>13187</v>
      </c>
      <c r="C625" t="s">
        <v>13188</v>
      </c>
      <c r="D625" s="1">
        <v>40916</v>
      </c>
      <c r="E625" t="s">
        <v>92</v>
      </c>
      <c r="F625">
        <v>100</v>
      </c>
      <c r="G625" t="s">
        <v>93</v>
      </c>
      <c r="H625">
        <v>173.68</v>
      </c>
      <c r="I625">
        <v>86</v>
      </c>
      <c r="J625">
        <v>71.47</v>
      </c>
      <c r="K625">
        <v>96</v>
      </c>
      <c r="L625">
        <v>55.28</v>
      </c>
      <c r="M625">
        <v>85</v>
      </c>
      <c r="N625">
        <v>35.729999999999997</v>
      </c>
      <c r="O625">
        <v>85</v>
      </c>
      <c r="P625">
        <v>-13.56</v>
      </c>
      <c r="Q625">
        <v>90</v>
      </c>
      <c r="R625">
        <v>14.67</v>
      </c>
      <c r="S625">
        <v>75</v>
      </c>
      <c r="T625">
        <v>10.5</v>
      </c>
      <c r="U625">
        <v>62</v>
      </c>
      <c r="V625">
        <v>-0.41</v>
      </c>
      <c r="W625">
        <v>65</v>
      </c>
      <c r="X625" t="s">
        <v>94</v>
      </c>
      <c r="Y625" t="s">
        <v>362</v>
      </c>
      <c r="Z625" t="s">
        <v>96</v>
      </c>
      <c r="AA625" t="s">
        <v>2269</v>
      </c>
      <c r="AB625" t="s">
        <v>13189</v>
      </c>
      <c r="AC625">
        <v>136</v>
      </c>
      <c r="AD625">
        <v>57</v>
      </c>
      <c r="AE625">
        <v>96</v>
      </c>
      <c r="AF625">
        <v>403.8</v>
      </c>
      <c r="AG625">
        <v>13.16</v>
      </c>
      <c r="AH625">
        <v>13.68</v>
      </c>
      <c r="AI625">
        <v>-0.04</v>
      </c>
      <c r="AJ625">
        <v>0</v>
      </c>
      <c r="AK625">
        <v>85</v>
      </c>
      <c r="AL625">
        <v>58</v>
      </c>
      <c r="AM625">
        <v>34</v>
      </c>
      <c r="AN625">
        <v>-2.9</v>
      </c>
      <c r="AO625">
        <v>1.51</v>
      </c>
      <c r="AP625">
        <v>316</v>
      </c>
      <c r="AQ625">
        <v>2</v>
      </c>
      <c r="AR625">
        <v>6.92</v>
      </c>
      <c r="AS625">
        <v>85</v>
      </c>
      <c r="AT625">
        <v>2.78</v>
      </c>
      <c r="AU625">
        <v>90</v>
      </c>
      <c r="AV625">
        <v>-3.47</v>
      </c>
      <c r="AW625">
        <v>97</v>
      </c>
      <c r="AX625">
        <v>-0.35</v>
      </c>
      <c r="AY625">
        <v>85</v>
      </c>
      <c r="AZ625">
        <v>5.5</v>
      </c>
      <c r="BA625">
        <v>67</v>
      </c>
      <c r="BB625">
        <v>4.7300000000000004</v>
      </c>
      <c r="BC625">
        <v>46</v>
      </c>
      <c r="BD625">
        <v>-0.05</v>
      </c>
      <c r="BE625">
        <v>-0.06</v>
      </c>
      <c r="BF625">
        <v>-0.14000000000000001</v>
      </c>
      <c r="BG625">
        <v>91</v>
      </c>
      <c r="BH625">
        <v>-0.09</v>
      </c>
      <c r="BI625">
        <v>-9.09</v>
      </c>
      <c r="BJ625">
        <v>23</v>
      </c>
      <c r="BK625">
        <v>11</v>
      </c>
      <c r="BL625">
        <v>1.38</v>
      </c>
      <c r="BM625">
        <v>-0.47</v>
      </c>
      <c r="BN625">
        <v>0.18</v>
      </c>
      <c r="BO625">
        <v>1.03</v>
      </c>
      <c r="BP625">
        <v>-0.87</v>
      </c>
      <c r="BQ625">
        <v>2.0499999999999998</v>
      </c>
      <c r="BR625">
        <v>2.25</v>
      </c>
      <c r="BS625">
        <v>0.32</v>
      </c>
      <c r="BT625">
        <v>-1.55</v>
      </c>
      <c r="BU625">
        <v>2.82</v>
      </c>
      <c r="BV625">
        <v>3.43</v>
      </c>
      <c r="BW625">
        <v>2.54</v>
      </c>
      <c r="BX625">
        <v>2.25</v>
      </c>
      <c r="BY625">
        <v>1.92</v>
      </c>
      <c r="BZ625">
        <v>-1.3</v>
      </c>
      <c r="CA625">
        <v>2.83</v>
      </c>
      <c r="CB625">
        <v>2.91</v>
      </c>
      <c r="CC625">
        <v>1.2</v>
      </c>
      <c r="CD625">
        <v>-0.64</v>
      </c>
      <c r="CE625">
        <v>1.17</v>
      </c>
      <c r="CF625">
        <v>1.2</v>
      </c>
      <c r="CG625">
        <v>0</v>
      </c>
      <c r="CH625">
        <v>1.92</v>
      </c>
      <c r="CI625">
        <v>0</v>
      </c>
      <c r="CJ625">
        <v>-2.1</v>
      </c>
      <c r="CK625">
        <v>93</v>
      </c>
      <c r="CL625">
        <v>-1.3</v>
      </c>
      <c r="CM625">
        <v>91</v>
      </c>
      <c r="CN625">
        <v>-0.33</v>
      </c>
      <c r="CO625">
        <v>90</v>
      </c>
      <c r="CP625">
        <v>-7.4</v>
      </c>
      <c r="CQ625">
        <v>67</v>
      </c>
      <c r="CR625">
        <v>0</v>
      </c>
      <c r="CS625">
        <v>0</v>
      </c>
      <c r="CT625">
        <v>-0.4</v>
      </c>
      <c r="CU625">
        <v>62</v>
      </c>
      <c r="CV625">
        <v>0.33</v>
      </c>
      <c r="CW625">
        <v>44</v>
      </c>
      <c r="CX625" t="s">
        <v>1572</v>
      </c>
    </row>
    <row r="626" spans="1:102" x14ac:dyDescent="0.3">
      <c r="A626" t="str">
        <f>HYPERLINK("https://webapp.icbf.com/v2/app/bull-search/view/944349020","YJB")</f>
        <v>YJB</v>
      </c>
      <c r="B626" t="s">
        <v>7186</v>
      </c>
      <c r="C626" t="s">
        <v>7187</v>
      </c>
      <c r="D626" s="1">
        <v>40928</v>
      </c>
      <c r="E626" t="s">
        <v>92</v>
      </c>
      <c r="F626">
        <v>78</v>
      </c>
      <c r="G626" t="s">
        <v>93</v>
      </c>
      <c r="H626">
        <v>173.59</v>
      </c>
      <c r="I626">
        <v>86</v>
      </c>
      <c r="J626">
        <v>38.35</v>
      </c>
      <c r="K626">
        <v>97</v>
      </c>
      <c r="L626">
        <v>97.54</v>
      </c>
      <c r="M626">
        <v>77</v>
      </c>
      <c r="N626">
        <v>41.41</v>
      </c>
      <c r="O626">
        <v>86</v>
      </c>
      <c r="P626">
        <v>-5.64</v>
      </c>
      <c r="Q626">
        <v>94</v>
      </c>
      <c r="R626">
        <v>3.89</v>
      </c>
      <c r="S626">
        <v>76</v>
      </c>
      <c r="T626">
        <v>1.39</v>
      </c>
      <c r="U626">
        <v>83</v>
      </c>
      <c r="V626">
        <v>-3.35</v>
      </c>
      <c r="W626">
        <v>70</v>
      </c>
      <c r="X626" t="s">
        <v>94</v>
      </c>
      <c r="Y626" t="s">
        <v>1976</v>
      </c>
      <c r="Z626" t="s">
        <v>96</v>
      </c>
      <c r="AA626" t="s">
        <v>5393</v>
      </c>
      <c r="AB626" t="s">
        <v>7188</v>
      </c>
      <c r="AC626">
        <v>115</v>
      </c>
      <c r="AD626">
        <v>95</v>
      </c>
      <c r="AE626">
        <v>97</v>
      </c>
      <c r="AF626">
        <v>-12.03</v>
      </c>
      <c r="AG626">
        <v>4.29</v>
      </c>
      <c r="AH626">
        <v>4.82</v>
      </c>
      <c r="AI626">
        <v>0.08</v>
      </c>
      <c r="AJ626">
        <v>0.09</v>
      </c>
      <c r="AK626">
        <v>77</v>
      </c>
      <c r="AL626">
        <v>136</v>
      </c>
      <c r="AM626">
        <v>115</v>
      </c>
      <c r="AN626">
        <v>-5.2</v>
      </c>
      <c r="AO626">
        <v>2.58</v>
      </c>
      <c r="AP626">
        <v>232</v>
      </c>
      <c r="AQ626">
        <v>1</v>
      </c>
      <c r="AR626">
        <v>7.4</v>
      </c>
      <c r="AS626">
        <v>72</v>
      </c>
      <c r="AT626">
        <v>3.01</v>
      </c>
      <c r="AU626">
        <v>88</v>
      </c>
      <c r="AV626">
        <v>-4.3600000000000003</v>
      </c>
      <c r="AW626">
        <v>98</v>
      </c>
      <c r="AX626">
        <v>-0.64</v>
      </c>
      <c r="AY626">
        <v>85</v>
      </c>
      <c r="AZ626">
        <v>5.57</v>
      </c>
      <c r="BA626">
        <v>67</v>
      </c>
      <c r="BB626">
        <v>4.49</v>
      </c>
      <c r="BC626">
        <v>63</v>
      </c>
      <c r="BD626">
        <v>-0.02</v>
      </c>
      <c r="BE626">
        <v>-0.04</v>
      </c>
      <c r="BF626">
        <v>0.02</v>
      </c>
      <c r="BG626">
        <v>87</v>
      </c>
      <c r="BH626">
        <v>-0.08</v>
      </c>
      <c r="BI626">
        <v>1.56</v>
      </c>
      <c r="BJ626">
        <v>3</v>
      </c>
      <c r="BK626">
        <v>3</v>
      </c>
      <c r="BL626">
        <v>0.66</v>
      </c>
      <c r="BM626">
        <v>-0.16</v>
      </c>
      <c r="BN626">
        <v>-0.71</v>
      </c>
      <c r="BO626">
        <v>0.03</v>
      </c>
      <c r="BP626">
        <v>3.11</v>
      </c>
      <c r="BQ626">
        <v>1.03</v>
      </c>
      <c r="BR626">
        <v>-1.34</v>
      </c>
      <c r="BS626">
        <v>-0.71</v>
      </c>
      <c r="BT626">
        <v>1.69</v>
      </c>
      <c r="BU626">
        <v>0.8</v>
      </c>
      <c r="BV626">
        <v>0.1</v>
      </c>
      <c r="BW626">
        <v>-0.39</v>
      </c>
      <c r="BX626">
        <v>0.84</v>
      </c>
      <c r="BY626">
        <v>-0.57999999999999996</v>
      </c>
      <c r="BZ626">
        <v>-2.2400000000000002</v>
      </c>
      <c r="CA626">
        <v>0.06</v>
      </c>
      <c r="CB626">
        <v>0.5</v>
      </c>
      <c r="CC626">
        <v>0.18</v>
      </c>
      <c r="CD626">
        <v>-0.32</v>
      </c>
      <c r="CE626">
        <v>-0.37</v>
      </c>
      <c r="CF626">
        <v>0.23</v>
      </c>
      <c r="CG626">
        <v>0</v>
      </c>
      <c r="CH626">
        <v>1.05</v>
      </c>
      <c r="CI626">
        <v>0</v>
      </c>
      <c r="CJ626">
        <v>0.9</v>
      </c>
      <c r="CK626">
        <v>96</v>
      </c>
      <c r="CL626">
        <v>-0.81</v>
      </c>
      <c r="CM626">
        <v>95</v>
      </c>
      <c r="CN626">
        <v>-0.09</v>
      </c>
      <c r="CO626">
        <v>94</v>
      </c>
      <c r="CP626">
        <v>2.8</v>
      </c>
      <c r="CQ626">
        <v>81</v>
      </c>
      <c r="CR626">
        <v>0</v>
      </c>
      <c r="CS626">
        <v>0</v>
      </c>
      <c r="CT626">
        <v>11.9</v>
      </c>
      <c r="CU626">
        <v>83</v>
      </c>
      <c r="CV626">
        <v>0.33</v>
      </c>
      <c r="CW626">
        <v>47</v>
      </c>
      <c r="CX626" t="s">
        <v>771</v>
      </c>
    </row>
    <row r="627" spans="1:102" x14ac:dyDescent="0.3">
      <c r="A627" t="str">
        <f>HYPERLINK("https://webapp.icbf.com/v2/app/bull-search/view/862751744","SWA")</f>
        <v>SWA</v>
      </c>
      <c r="B627" t="s">
        <v>13447</v>
      </c>
      <c r="C627" t="s">
        <v>13448</v>
      </c>
      <c r="D627" s="1">
        <v>40582</v>
      </c>
      <c r="E627" t="s">
        <v>92</v>
      </c>
      <c r="F627">
        <v>53</v>
      </c>
      <c r="G627" t="s">
        <v>93</v>
      </c>
      <c r="H627">
        <v>173.59</v>
      </c>
      <c r="I627">
        <v>87</v>
      </c>
      <c r="J627">
        <v>75.17</v>
      </c>
      <c r="K627">
        <v>97</v>
      </c>
      <c r="L627">
        <v>62.4</v>
      </c>
      <c r="M627">
        <v>79</v>
      </c>
      <c r="N627">
        <v>37.61</v>
      </c>
      <c r="O627">
        <v>87</v>
      </c>
      <c r="P627">
        <v>-21.49</v>
      </c>
      <c r="Q627">
        <v>91</v>
      </c>
      <c r="R627">
        <v>-3.04</v>
      </c>
      <c r="S627">
        <v>80</v>
      </c>
      <c r="T627">
        <v>19.23</v>
      </c>
      <c r="U627">
        <v>78</v>
      </c>
      <c r="V627">
        <v>3.71</v>
      </c>
      <c r="W627">
        <v>78</v>
      </c>
      <c r="X627" t="s">
        <v>276</v>
      </c>
      <c r="Y627" t="s">
        <v>1923</v>
      </c>
      <c r="Z627" t="s">
        <v>330</v>
      </c>
      <c r="AA627" t="s">
        <v>2150</v>
      </c>
      <c r="AB627" t="s">
        <v>13449</v>
      </c>
      <c r="AC627">
        <v>111</v>
      </c>
      <c r="AD627">
        <v>68</v>
      </c>
      <c r="AE627">
        <v>97</v>
      </c>
      <c r="AF627">
        <v>32.65</v>
      </c>
      <c r="AG627">
        <v>8.8000000000000007</v>
      </c>
      <c r="AH627">
        <v>10.17</v>
      </c>
      <c r="AI627">
        <v>0.13</v>
      </c>
      <c r="AJ627">
        <v>0.16</v>
      </c>
      <c r="AK627">
        <v>79</v>
      </c>
      <c r="AL627">
        <v>124</v>
      </c>
      <c r="AM627">
        <v>76</v>
      </c>
      <c r="AN627">
        <v>-3.14</v>
      </c>
      <c r="AO627">
        <v>1.84</v>
      </c>
      <c r="AP627">
        <v>229</v>
      </c>
      <c r="AQ627">
        <v>2</v>
      </c>
      <c r="AR627">
        <v>4.12</v>
      </c>
      <c r="AS627">
        <v>75</v>
      </c>
      <c r="AT627">
        <v>1.65</v>
      </c>
      <c r="AU627">
        <v>88</v>
      </c>
      <c r="AV627">
        <v>-2.2599999999999998</v>
      </c>
      <c r="AW627">
        <v>97</v>
      </c>
      <c r="AX627">
        <v>0.25</v>
      </c>
      <c r="AY627">
        <v>82</v>
      </c>
      <c r="AZ627">
        <v>6.06</v>
      </c>
      <c r="BA627">
        <v>68</v>
      </c>
      <c r="BB627">
        <v>4.63</v>
      </c>
      <c r="BC627">
        <v>67</v>
      </c>
      <c r="BD627">
        <v>0</v>
      </c>
      <c r="BE627">
        <v>0</v>
      </c>
      <c r="BF627">
        <v>7.0000000000000007E-2</v>
      </c>
      <c r="BG627">
        <v>89</v>
      </c>
      <c r="BH627">
        <v>0.04</v>
      </c>
      <c r="BI627">
        <v>-7.34</v>
      </c>
      <c r="BJ627">
        <v>8</v>
      </c>
      <c r="BK627">
        <v>4</v>
      </c>
      <c r="BL627">
        <v>-1.7</v>
      </c>
      <c r="BM627">
        <v>0.02</v>
      </c>
      <c r="BN627">
        <v>-1.59</v>
      </c>
      <c r="BO627">
        <v>-1.24</v>
      </c>
      <c r="BP627">
        <v>2.09</v>
      </c>
      <c r="BQ627">
        <v>-0.43</v>
      </c>
      <c r="BR627">
        <v>2.0299999999999998</v>
      </c>
      <c r="BS627">
        <v>0.51</v>
      </c>
      <c r="BT627">
        <v>-2.2000000000000002</v>
      </c>
      <c r="BU627">
        <v>-1.02</v>
      </c>
      <c r="BV627">
        <v>-1.27</v>
      </c>
      <c r="BW627">
        <v>-0.99</v>
      </c>
      <c r="BX627">
        <v>-0.64</v>
      </c>
      <c r="BY627">
        <v>-1.32</v>
      </c>
      <c r="BZ627">
        <v>-0.8</v>
      </c>
      <c r="CA627">
        <v>-0.86</v>
      </c>
      <c r="CB627">
        <v>-1.06</v>
      </c>
      <c r="CC627">
        <v>0.17</v>
      </c>
      <c r="CD627">
        <v>0.55000000000000004</v>
      </c>
      <c r="CE627">
        <v>-1.08</v>
      </c>
      <c r="CF627">
        <v>-1.33</v>
      </c>
      <c r="CG627">
        <v>0</v>
      </c>
      <c r="CH627">
        <v>-0.57999999999999996</v>
      </c>
      <c r="CI627">
        <v>0</v>
      </c>
      <c r="CJ627">
        <v>-11.6</v>
      </c>
      <c r="CK627">
        <v>93</v>
      </c>
      <c r="CL627">
        <v>-0.55000000000000004</v>
      </c>
      <c r="CM627">
        <v>91</v>
      </c>
      <c r="CN627">
        <v>-0.21</v>
      </c>
      <c r="CO627">
        <v>90</v>
      </c>
      <c r="CP627">
        <v>-15.1</v>
      </c>
      <c r="CQ627">
        <v>79</v>
      </c>
      <c r="CR627">
        <v>0</v>
      </c>
      <c r="CS627">
        <v>0</v>
      </c>
      <c r="CT627">
        <v>-12.2</v>
      </c>
      <c r="CU627">
        <v>78</v>
      </c>
      <c r="CV627">
        <v>-0.06</v>
      </c>
      <c r="CW627">
        <v>45</v>
      </c>
      <c r="CX627" t="s">
        <v>4059</v>
      </c>
    </row>
    <row r="628" spans="1:102" x14ac:dyDescent="0.3">
      <c r="A628" t="str">
        <f>HYPERLINK("https://webapp.icbf.com/v2/app/bull-search/view/910798887","FFS")</f>
        <v>FFS</v>
      </c>
      <c r="B628" t="s">
        <v>5634</v>
      </c>
      <c r="C628" t="s">
        <v>5635</v>
      </c>
      <c r="D628" s="1">
        <v>40404</v>
      </c>
      <c r="E628" t="s">
        <v>92</v>
      </c>
      <c r="F628">
        <v>63</v>
      </c>
      <c r="G628" t="s">
        <v>93</v>
      </c>
      <c r="H628">
        <v>173.03</v>
      </c>
      <c r="I628">
        <v>91</v>
      </c>
      <c r="J628">
        <v>124.82</v>
      </c>
      <c r="K628">
        <v>98</v>
      </c>
      <c r="L628">
        <v>0.87</v>
      </c>
      <c r="M628">
        <v>86</v>
      </c>
      <c r="N628">
        <v>42.49</v>
      </c>
      <c r="O628">
        <v>92</v>
      </c>
      <c r="P628">
        <v>-7.91</v>
      </c>
      <c r="Q628">
        <v>96</v>
      </c>
      <c r="R628">
        <v>-4.0199999999999996</v>
      </c>
      <c r="S628">
        <v>81</v>
      </c>
      <c r="T628">
        <v>11.75</v>
      </c>
      <c r="U628">
        <v>92</v>
      </c>
      <c r="V628">
        <v>5.03</v>
      </c>
      <c r="W628">
        <v>73</v>
      </c>
      <c r="X628" t="s">
        <v>276</v>
      </c>
      <c r="Y628" t="s">
        <v>422</v>
      </c>
      <c r="Z628" t="s">
        <v>330</v>
      </c>
      <c r="AA628" t="s">
        <v>2278</v>
      </c>
      <c r="AB628" t="s">
        <v>5636</v>
      </c>
      <c r="AC628">
        <v>215</v>
      </c>
      <c r="AD628">
        <v>86</v>
      </c>
      <c r="AE628">
        <v>98</v>
      </c>
      <c r="AF628">
        <v>109.81</v>
      </c>
      <c r="AG628">
        <v>21.14</v>
      </c>
      <c r="AH628">
        <v>15.43</v>
      </c>
      <c r="AI628">
        <v>0.28999999999999998</v>
      </c>
      <c r="AJ628">
        <v>0.2</v>
      </c>
      <c r="AK628">
        <v>86</v>
      </c>
      <c r="AL628">
        <v>245</v>
      </c>
      <c r="AM628">
        <v>95</v>
      </c>
      <c r="AN628">
        <v>0.75</v>
      </c>
      <c r="AO628">
        <v>0.83</v>
      </c>
      <c r="AP628">
        <v>664</v>
      </c>
      <c r="AQ628">
        <v>2</v>
      </c>
      <c r="AR628">
        <v>5.6</v>
      </c>
      <c r="AS628">
        <v>84</v>
      </c>
      <c r="AT628">
        <v>2.41</v>
      </c>
      <c r="AU628">
        <v>96</v>
      </c>
      <c r="AV628">
        <v>-4.66</v>
      </c>
      <c r="AW628">
        <v>99</v>
      </c>
      <c r="AX628">
        <v>7.0000000000000007E-2</v>
      </c>
      <c r="AY628">
        <v>92</v>
      </c>
      <c r="AZ628">
        <v>7.82</v>
      </c>
      <c r="BA628">
        <v>79</v>
      </c>
      <c r="BB628">
        <v>5.49</v>
      </c>
      <c r="BC628">
        <v>72</v>
      </c>
      <c r="BD628">
        <v>-0.01</v>
      </c>
      <c r="BE628">
        <v>0.01</v>
      </c>
      <c r="BF628">
        <v>0.09</v>
      </c>
      <c r="BG628">
        <v>92</v>
      </c>
      <c r="BH628">
        <v>0</v>
      </c>
      <c r="BI628">
        <v>-16.21</v>
      </c>
      <c r="BJ628">
        <v>6</v>
      </c>
      <c r="BK628">
        <v>4</v>
      </c>
      <c r="BL628">
        <v>-0.67</v>
      </c>
      <c r="BM628">
        <v>0.55000000000000004</v>
      </c>
      <c r="BN628">
        <v>-0.22</v>
      </c>
      <c r="BO628">
        <v>-1.01</v>
      </c>
      <c r="BP628">
        <v>-1.97</v>
      </c>
      <c r="BQ628">
        <v>-0.24</v>
      </c>
      <c r="BR628">
        <v>-0.08</v>
      </c>
      <c r="BS628">
        <v>-2.54</v>
      </c>
      <c r="BT628">
        <v>-3.42</v>
      </c>
      <c r="BU628">
        <v>-0.22</v>
      </c>
      <c r="BV628">
        <v>-0.23</v>
      </c>
      <c r="BW628">
        <v>-0.26</v>
      </c>
      <c r="BX628">
        <v>-1.06</v>
      </c>
      <c r="BY628">
        <v>-0.26</v>
      </c>
      <c r="BZ628">
        <v>0.68</v>
      </c>
      <c r="CA628">
        <v>-0.9</v>
      </c>
      <c r="CB628">
        <v>-0.06</v>
      </c>
      <c r="CC628">
        <v>-2.13</v>
      </c>
      <c r="CD628">
        <v>0.5</v>
      </c>
      <c r="CE628">
        <v>7.0000000000000007E-2</v>
      </c>
      <c r="CF628">
        <v>-2.14</v>
      </c>
      <c r="CG628">
        <v>0</v>
      </c>
      <c r="CH628">
        <v>-0.27</v>
      </c>
      <c r="CI628">
        <v>0</v>
      </c>
      <c r="CJ628">
        <v>-4.7</v>
      </c>
      <c r="CK628">
        <v>97</v>
      </c>
      <c r="CL628">
        <v>-0.51</v>
      </c>
      <c r="CM628">
        <v>96</v>
      </c>
      <c r="CN628">
        <v>-0.41</v>
      </c>
      <c r="CO628">
        <v>96</v>
      </c>
      <c r="CP628">
        <v>-6.4</v>
      </c>
      <c r="CQ628">
        <v>87</v>
      </c>
      <c r="CR628">
        <v>0</v>
      </c>
      <c r="CS628">
        <v>0</v>
      </c>
      <c r="CT628">
        <v>-2.1</v>
      </c>
      <c r="CU628">
        <v>92</v>
      </c>
      <c r="CV628">
        <v>0.02</v>
      </c>
      <c r="CW628">
        <v>46</v>
      </c>
      <c r="CX628" t="s">
        <v>2339</v>
      </c>
    </row>
    <row r="629" spans="1:102" x14ac:dyDescent="0.3">
      <c r="A629" t="str">
        <f>HYPERLINK("https://webapp.icbf.com/v2/app/bull-search/view/1041308776","YAD")</f>
        <v>YAD</v>
      </c>
      <c r="B629" t="s">
        <v>5782</v>
      </c>
      <c r="C629" t="s">
        <v>2366</v>
      </c>
      <c r="D629" s="1">
        <v>41316</v>
      </c>
      <c r="E629" t="s">
        <v>92</v>
      </c>
      <c r="F629">
        <v>66</v>
      </c>
      <c r="G629" t="s">
        <v>93</v>
      </c>
      <c r="H629">
        <v>172.92</v>
      </c>
      <c r="I629">
        <v>96</v>
      </c>
      <c r="J629">
        <v>112.2</v>
      </c>
      <c r="K629">
        <v>99</v>
      </c>
      <c r="L629">
        <v>26.56</v>
      </c>
      <c r="M629">
        <v>92</v>
      </c>
      <c r="N629">
        <v>34.07</v>
      </c>
      <c r="O629">
        <v>98</v>
      </c>
      <c r="P629">
        <v>-28.73</v>
      </c>
      <c r="Q629">
        <v>99</v>
      </c>
      <c r="R629">
        <v>0.33</v>
      </c>
      <c r="S629">
        <v>95</v>
      </c>
      <c r="T629">
        <v>20.93</v>
      </c>
      <c r="U629">
        <v>99</v>
      </c>
      <c r="V629">
        <v>7.56</v>
      </c>
      <c r="W629">
        <v>79</v>
      </c>
      <c r="X629" t="s">
        <v>94</v>
      </c>
      <c r="Y629" t="s">
        <v>389</v>
      </c>
      <c r="Z629" t="s">
        <v>330</v>
      </c>
      <c r="AA629" t="s">
        <v>1830</v>
      </c>
      <c r="AB629" t="s">
        <v>5783</v>
      </c>
      <c r="AC629">
        <v>6863</v>
      </c>
      <c r="AD629">
        <v>1783</v>
      </c>
      <c r="AE629">
        <v>99</v>
      </c>
      <c r="AF629">
        <v>385.21</v>
      </c>
      <c r="AG629">
        <v>15.4</v>
      </c>
      <c r="AH629">
        <v>19.53</v>
      </c>
      <c r="AI629">
        <v>0.01</v>
      </c>
      <c r="AJ629">
        <v>0.11</v>
      </c>
      <c r="AK629">
        <v>92</v>
      </c>
      <c r="AL629">
        <v>4794</v>
      </c>
      <c r="AM629">
        <v>1698</v>
      </c>
      <c r="AN629">
        <v>-0.52</v>
      </c>
      <c r="AO629">
        <v>1.61</v>
      </c>
      <c r="AP629">
        <v>20346</v>
      </c>
      <c r="AQ629">
        <v>106</v>
      </c>
      <c r="AR629">
        <v>5.0199999999999996</v>
      </c>
      <c r="AS629">
        <v>99</v>
      </c>
      <c r="AT629">
        <v>2.08</v>
      </c>
      <c r="AU629">
        <v>99</v>
      </c>
      <c r="AV629">
        <v>-2.3199999999999998</v>
      </c>
      <c r="AW629">
        <v>99</v>
      </c>
      <c r="AX629">
        <v>-0.97</v>
      </c>
      <c r="AY629">
        <v>99</v>
      </c>
      <c r="AZ629">
        <v>6.47</v>
      </c>
      <c r="BA629">
        <v>99</v>
      </c>
      <c r="BB629">
        <v>5.12</v>
      </c>
      <c r="BC629">
        <v>95</v>
      </c>
      <c r="BD629">
        <v>-0.01</v>
      </c>
      <c r="BE629">
        <v>0.01</v>
      </c>
      <c r="BF629">
        <v>-0.01</v>
      </c>
      <c r="BG629">
        <v>99</v>
      </c>
      <c r="BH629">
        <v>0.21</v>
      </c>
      <c r="BI629">
        <v>-0.11</v>
      </c>
      <c r="BJ629">
        <v>60</v>
      </c>
      <c r="BK629">
        <v>12</v>
      </c>
      <c r="BL629">
        <v>-2.84</v>
      </c>
      <c r="BM629">
        <v>-1.85</v>
      </c>
      <c r="BN629">
        <v>-2.42</v>
      </c>
      <c r="BO629">
        <v>-0.63</v>
      </c>
      <c r="BP629">
        <v>3.11</v>
      </c>
      <c r="BQ629">
        <v>-3.5</v>
      </c>
      <c r="BR629">
        <v>-0.21</v>
      </c>
      <c r="BS629">
        <v>-0.76</v>
      </c>
      <c r="BT629">
        <v>-0.32</v>
      </c>
      <c r="BU629">
        <v>-1.74</v>
      </c>
      <c r="BV629">
        <v>-1.66</v>
      </c>
      <c r="BW629">
        <v>-1.34</v>
      </c>
      <c r="BX629">
        <v>-1.44</v>
      </c>
      <c r="BY629">
        <v>-2.08</v>
      </c>
      <c r="BZ629">
        <v>-0.34</v>
      </c>
      <c r="CA629">
        <v>-1.54</v>
      </c>
      <c r="CB629">
        <v>-1.69</v>
      </c>
      <c r="CC629">
        <v>-0.44</v>
      </c>
      <c r="CD629">
        <v>1.06</v>
      </c>
      <c r="CE629">
        <v>0.08</v>
      </c>
      <c r="CF629">
        <v>-3.07</v>
      </c>
      <c r="CG629">
        <v>0</v>
      </c>
      <c r="CH629">
        <v>-2.19</v>
      </c>
      <c r="CI629">
        <v>0</v>
      </c>
      <c r="CJ629">
        <v>-14.2</v>
      </c>
      <c r="CK629">
        <v>99</v>
      </c>
      <c r="CL629">
        <v>-0.77</v>
      </c>
      <c r="CM629">
        <v>99</v>
      </c>
      <c r="CN629">
        <v>-7.0000000000000007E-2</v>
      </c>
      <c r="CO629">
        <v>99</v>
      </c>
      <c r="CP629">
        <v>-13.4</v>
      </c>
      <c r="CQ629">
        <v>98</v>
      </c>
      <c r="CR629">
        <v>0</v>
      </c>
      <c r="CS629">
        <v>0</v>
      </c>
      <c r="CT629">
        <v>-14.5</v>
      </c>
      <c r="CU629">
        <v>99</v>
      </c>
      <c r="CV629">
        <v>0.05</v>
      </c>
      <c r="CW629">
        <v>50</v>
      </c>
      <c r="CX629" t="s">
        <v>4532</v>
      </c>
    </row>
    <row r="630" spans="1:102" x14ac:dyDescent="0.3">
      <c r="A630" t="str">
        <f>HYPERLINK("https://webapp.icbf.com/v2/app/bull-search/view/1125386960","JE2048")</f>
        <v>JE2048</v>
      </c>
      <c r="B630" t="s">
        <v>6074</v>
      </c>
      <c r="C630" t="s">
        <v>6075</v>
      </c>
      <c r="D630" s="1">
        <v>41112</v>
      </c>
      <c r="E630" t="s">
        <v>227</v>
      </c>
      <c r="F630">
        <v>0</v>
      </c>
      <c r="G630" t="s">
        <v>93</v>
      </c>
      <c r="H630">
        <v>172.84</v>
      </c>
      <c r="I630">
        <v>89</v>
      </c>
      <c r="J630">
        <v>159.1</v>
      </c>
      <c r="K630">
        <v>97</v>
      </c>
      <c r="L630">
        <v>-11.98</v>
      </c>
      <c r="M630">
        <v>82</v>
      </c>
      <c r="N630">
        <v>32.799999999999997</v>
      </c>
      <c r="O630">
        <v>90</v>
      </c>
      <c r="P630">
        <v>-49.81</v>
      </c>
      <c r="Q630">
        <v>90</v>
      </c>
      <c r="R630">
        <v>-8.2899999999999991</v>
      </c>
      <c r="S630">
        <v>80</v>
      </c>
      <c r="T630">
        <v>41.72</v>
      </c>
      <c r="U630">
        <v>90</v>
      </c>
      <c r="V630">
        <v>9.3000000000000007</v>
      </c>
      <c r="W630">
        <v>75</v>
      </c>
      <c r="X630" t="s">
        <v>276</v>
      </c>
      <c r="Y630" t="s">
        <v>1923</v>
      </c>
      <c r="Z630">
        <v>0</v>
      </c>
      <c r="AA630" t="s">
        <v>5638</v>
      </c>
      <c r="AB630" t="s">
        <v>6076</v>
      </c>
      <c r="AC630">
        <v>148</v>
      </c>
      <c r="AD630">
        <v>56</v>
      </c>
      <c r="AE630">
        <v>97</v>
      </c>
      <c r="AF630">
        <v>136.24</v>
      </c>
      <c r="AG630">
        <v>32.97</v>
      </c>
      <c r="AH630">
        <v>17.48</v>
      </c>
      <c r="AI630">
        <v>0.47</v>
      </c>
      <c r="AJ630">
        <v>0.22</v>
      </c>
      <c r="AK630">
        <v>82</v>
      </c>
      <c r="AL630">
        <v>95</v>
      </c>
      <c r="AM630">
        <v>42</v>
      </c>
      <c r="AN630">
        <v>2.64</v>
      </c>
      <c r="AO630">
        <v>1.71</v>
      </c>
      <c r="AP630">
        <v>761</v>
      </c>
      <c r="AQ630">
        <v>3</v>
      </c>
      <c r="AR630">
        <v>2.89</v>
      </c>
      <c r="AS630">
        <v>93</v>
      </c>
      <c r="AT630">
        <v>1.49</v>
      </c>
      <c r="AU630">
        <v>94</v>
      </c>
      <c r="AV630">
        <v>-1.4</v>
      </c>
      <c r="AW630">
        <v>99</v>
      </c>
      <c r="AX630">
        <v>0.47</v>
      </c>
      <c r="AY630">
        <v>92</v>
      </c>
      <c r="AZ630">
        <v>5.8</v>
      </c>
      <c r="BA630">
        <v>76</v>
      </c>
      <c r="BB630">
        <v>4.75</v>
      </c>
      <c r="BC630">
        <v>54</v>
      </c>
      <c r="BD630">
        <v>-0.02</v>
      </c>
      <c r="BE630">
        <v>0.06</v>
      </c>
      <c r="BF630">
        <v>0.11</v>
      </c>
      <c r="BG630">
        <v>89</v>
      </c>
      <c r="BH630">
        <v>0.2</v>
      </c>
      <c r="BI630">
        <v>-6.86</v>
      </c>
      <c r="BJ630">
        <v>0</v>
      </c>
      <c r="BK630">
        <v>0</v>
      </c>
      <c r="BL630">
        <v>-2.85</v>
      </c>
      <c r="BM630">
        <v>-1.72</v>
      </c>
      <c r="BN630">
        <v>-0.21</v>
      </c>
      <c r="BO630">
        <v>1.31</v>
      </c>
      <c r="BP630">
        <v>-0.46</v>
      </c>
      <c r="BQ630">
        <v>-5.81</v>
      </c>
      <c r="BR630">
        <v>2.96</v>
      </c>
      <c r="BS630">
        <v>5.83</v>
      </c>
      <c r="BT630">
        <v>-1.66</v>
      </c>
      <c r="BU630">
        <v>-0.91</v>
      </c>
      <c r="BV630">
        <v>-0.37</v>
      </c>
      <c r="BW630">
        <v>-2.4300000000000002</v>
      </c>
      <c r="BX630">
        <v>-4.04</v>
      </c>
      <c r="BY630">
        <v>-0.16</v>
      </c>
      <c r="BZ630">
        <v>-1.0900000000000001</v>
      </c>
      <c r="CA630">
        <v>0.96</v>
      </c>
      <c r="CB630">
        <v>-0.5</v>
      </c>
      <c r="CC630">
        <v>3.67</v>
      </c>
      <c r="CD630">
        <v>-2.15</v>
      </c>
      <c r="CE630">
        <v>0.85</v>
      </c>
      <c r="CF630">
        <v>-2.97</v>
      </c>
      <c r="CG630">
        <v>0</v>
      </c>
      <c r="CH630">
        <v>-0.78</v>
      </c>
      <c r="CI630">
        <v>0</v>
      </c>
      <c r="CJ630">
        <v>-24.2</v>
      </c>
      <c r="CK630">
        <v>92</v>
      </c>
      <c r="CL630">
        <v>-1.1599999999999999</v>
      </c>
      <c r="CM630">
        <v>90</v>
      </c>
      <c r="CN630">
        <v>-0.06</v>
      </c>
      <c r="CO630">
        <v>89</v>
      </c>
      <c r="CP630">
        <v>-34.299999999999997</v>
      </c>
      <c r="CQ630">
        <v>75</v>
      </c>
      <c r="CR630">
        <v>0</v>
      </c>
      <c r="CS630">
        <v>0</v>
      </c>
      <c r="CT630">
        <v>-42.6</v>
      </c>
      <c r="CU630">
        <v>90</v>
      </c>
      <c r="CV630">
        <v>-0.16</v>
      </c>
      <c r="CW630">
        <v>45</v>
      </c>
      <c r="CX630" t="s">
        <v>6077</v>
      </c>
    </row>
    <row r="631" spans="1:102" x14ac:dyDescent="0.3">
      <c r="A631" t="str">
        <f>HYPERLINK("https://webapp.icbf.com/v2/app/bull-search/view/668852249","FML")</f>
        <v>FML</v>
      </c>
      <c r="B631" t="s">
        <v>12822</v>
      </c>
      <c r="C631" t="s">
        <v>12823</v>
      </c>
      <c r="D631" s="1">
        <v>39851</v>
      </c>
      <c r="E631" t="s">
        <v>92</v>
      </c>
      <c r="F631">
        <v>84</v>
      </c>
      <c r="G631" t="s">
        <v>93</v>
      </c>
      <c r="H631">
        <v>172.78</v>
      </c>
      <c r="I631">
        <v>88</v>
      </c>
      <c r="J631">
        <v>41.44</v>
      </c>
      <c r="K631">
        <v>97</v>
      </c>
      <c r="L631">
        <v>80</v>
      </c>
      <c r="M631">
        <v>80</v>
      </c>
      <c r="N631">
        <v>33.36</v>
      </c>
      <c r="O631">
        <v>87</v>
      </c>
      <c r="P631">
        <v>-11.66</v>
      </c>
      <c r="Q631">
        <v>94</v>
      </c>
      <c r="R631">
        <v>8.7100000000000009</v>
      </c>
      <c r="S631">
        <v>81</v>
      </c>
      <c r="T631">
        <v>20.56</v>
      </c>
      <c r="U631">
        <v>88</v>
      </c>
      <c r="V631">
        <v>0.37</v>
      </c>
      <c r="W631">
        <v>77</v>
      </c>
      <c r="X631" t="s">
        <v>94</v>
      </c>
      <c r="Y631" t="s">
        <v>329</v>
      </c>
      <c r="Z631" t="s">
        <v>96</v>
      </c>
      <c r="AA631" t="s">
        <v>2992</v>
      </c>
      <c r="AB631" t="s">
        <v>5097</v>
      </c>
      <c r="AC631">
        <v>106</v>
      </c>
      <c r="AD631">
        <v>75</v>
      </c>
      <c r="AE631">
        <v>97</v>
      </c>
      <c r="AF631">
        <v>-17.850000000000001</v>
      </c>
      <c r="AG631">
        <v>14.4</v>
      </c>
      <c r="AH631">
        <v>1.68</v>
      </c>
      <c r="AI631">
        <v>0.26</v>
      </c>
      <c r="AJ631">
        <v>0.04</v>
      </c>
      <c r="AK631">
        <v>80</v>
      </c>
      <c r="AL631">
        <v>117</v>
      </c>
      <c r="AM631">
        <v>77</v>
      </c>
      <c r="AN631">
        <v>-2.79</v>
      </c>
      <c r="AO631">
        <v>3.61</v>
      </c>
      <c r="AP631">
        <v>229</v>
      </c>
      <c r="AQ631">
        <v>1</v>
      </c>
      <c r="AR631">
        <v>6.45</v>
      </c>
      <c r="AS631">
        <v>73</v>
      </c>
      <c r="AT631">
        <v>2.1</v>
      </c>
      <c r="AU631">
        <v>89</v>
      </c>
      <c r="AV631">
        <v>-2.6</v>
      </c>
      <c r="AW631">
        <v>97</v>
      </c>
      <c r="AX631">
        <v>0.17</v>
      </c>
      <c r="AY631">
        <v>83</v>
      </c>
      <c r="AZ631">
        <v>5.4</v>
      </c>
      <c r="BA631">
        <v>69</v>
      </c>
      <c r="BB631">
        <v>4.83</v>
      </c>
      <c r="BC631">
        <v>71</v>
      </c>
      <c r="BD631">
        <v>-0.08</v>
      </c>
      <c r="BE631">
        <v>-0.03</v>
      </c>
      <c r="BF631">
        <v>-0.01</v>
      </c>
      <c r="BG631">
        <v>90</v>
      </c>
      <c r="BH631">
        <v>-0.12</v>
      </c>
      <c r="BI631">
        <v>-15.09</v>
      </c>
      <c r="BJ631">
        <v>40</v>
      </c>
      <c r="BK631">
        <v>22</v>
      </c>
      <c r="BL631">
        <v>-1.23</v>
      </c>
      <c r="BM631">
        <v>0.27</v>
      </c>
      <c r="BN631">
        <v>-0.75</v>
      </c>
      <c r="BO631">
        <v>-0.95</v>
      </c>
      <c r="BP631">
        <v>1</v>
      </c>
      <c r="BQ631">
        <v>-3.55</v>
      </c>
      <c r="BR631">
        <v>-1.06</v>
      </c>
      <c r="BS631">
        <v>1.1200000000000001</v>
      </c>
      <c r="BT631">
        <v>-0.23</v>
      </c>
      <c r="BU631">
        <v>-0.77</v>
      </c>
      <c r="BV631">
        <v>-0.82</v>
      </c>
      <c r="BW631">
        <v>-2.08</v>
      </c>
      <c r="BX631">
        <v>-1.33</v>
      </c>
      <c r="BY631">
        <v>-1.75</v>
      </c>
      <c r="BZ631">
        <v>-1.19</v>
      </c>
      <c r="CA631">
        <v>-0.68</v>
      </c>
      <c r="CB631">
        <v>-1.39</v>
      </c>
      <c r="CC631">
        <v>1.1000000000000001</v>
      </c>
      <c r="CD631">
        <v>0.74</v>
      </c>
      <c r="CE631">
        <v>-0.86</v>
      </c>
      <c r="CF631">
        <v>-1.4</v>
      </c>
      <c r="CG631">
        <v>0</v>
      </c>
      <c r="CH631">
        <v>-1.82</v>
      </c>
      <c r="CI631">
        <v>0</v>
      </c>
      <c r="CJ631">
        <v>-4.4000000000000004</v>
      </c>
      <c r="CK631">
        <v>95</v>
      </c>
      <c r="CL631">
        <v>-0.67</v>
      </c>
      <c r="CM631">
        <v>93</v>
      </c>
      <c r="CN631">
        <v>-0.28000000000000003</v>
      </c>
      <c r="CO631">
        <v>92</v>
      </c>
      <c r="CP631">
        <v>-13</v>
      </c>
      <c r="CQ631">
        <v>87</v>
      </c>
      <c r="CR631">
        <v>0</v>
      </c>
      <c r="CS631">
        <v>0</v>
      </c>
      <c r="CT631">
        <v>-14</v>
      </c>
      <c r="CU631">
        <v>88</v>
      </c>
      <c r="CV631">
        <v>0</v>
      </c>
      <c r="CW631">
        <v>45</v>
      </c>
      <c r="CX631" t="s">
        <v>4059</v>
      </c>
    </row>
    <row r="632" spans="1:102" x14ac:dyDescent="0.3">
      <c r="A632" t="str">
        <f>HYPERLINK("https://webapp.icbf.com/v2/app/bull-search/view/910795303","JJS")</f>
        <v>JJS</v>
      </c>
      <c r="B632" t="s">
        <v>1963</v>
      </c>
      <c r="C632" t="s">
        <v>1964</v>
      </c>
      <c r="D632" s="1">
        <v>40406</v>
      </c>
      <c r="E632" t="s">
        <v>227</v>
      </c>
      <c r="F632">
        <v>0</v>
      </c>
      <c r="G632" t="s">
        <v>93</v>
      </c>
      <c r="H632">
        <v>172.71</v>
      </c>
      <c r="I632">
        <v>91</v>
      </c>
      <c r="J632">
        <v>89.85</v>
      </c>
      <c r="K632">
        <v>98</v>
      </c>
      <c r="L632">
        <v>40.36</v>
      </c>
      <c r="M632">
        <v>84</v>
      </c>
      <c r="N632">
        <v>37.76</v>
      </c>
      <c r="O632">
        <v>91</v>
      </c>
      <c r="P632">
        <v>-49.69</v>
      </c>
      <c r="Q632">
        <v>93</v>
      </c>
      <c r="R632">
        <v>3.42</v>
      </c>
      <c r="S632">
        <v>83</v>
      </c>
      <c r="T632">
        <v>40.98</v>
      </c>
      <c r="U632">
        <v>95</v>
      </c>
      <c r="V632">
        <v>10.029999999999999</v>
      </c>
      <c r="W632">
        <v>80</v>
      </c>
      <c r="X632" t="s">
        <v>276</v>
      </c>
      <c r="Y632" t="s">
        <v>422</v>
      </c>
      <c r="Z632">
        <v>0</v>
      </c>
      <c r="AA632" t="s">
        <v>1965</v>
      </c>
      <c r="AB632" t="s">
        <v>1966</v>
      </c>
      <c r="AC632">
        <v>377</v>
      </c>
      <c r="AD632">
        <v>92</v>
      </c>
      <c r="AE632">
        <v>98</v>
      </c>
      <c r="AF632">
        <v>-133.57</v>
      </c>
      <c r="AG632">
        <v>12.03</v>
      </c>
      <c r="AH632">
        <v>8.98</v>
      </c>
      <c r="AI632">
        <v>0.31</v>
      </c>
      <c r="AJ632">
        <v>0.24</v>
      </c>
      <c r="AK632">
        <v>84</v>
      </c>
      <c r="AL632">
        <v>264</v>
      </c>
      <c r="AM632">
        <v>66</v>
      </c>
      <c r="AN632">
        <v>-1.3</v>
      </c>
      <c r="AO632">
        <v>1.93</v>
      </c>
      <c r="AP632">
        <v>706</v>
      </c>
      <c r="AQ632">
        <v>4</v>
      </c>
      <c r="AR632">
        <v>3.01</v>
      </c>
      <c r="AS632">
        <v>94</v>
      </c>
      <c r="AT632">
        <v>1.41</v>
      </c>
      <c r="AU632">
        <v>93</v>
      </c>
      <c r="AV632">
        <v>-2.2999999999999998</v>
      </c>
      <c r="AW632">
        <v>99</v>
      </c>
      <c r="AX632">
        <v>-0.28999999999999998</v>
      </c>
      <c r="AY632">
        <v>92</v>
      </c>
      <c r="AZ632">
        <v>6.71</v>
      </c>
      <c r="BA632">
        <v>81</v>
      </c>
      <c r="BB632">
        <v>5.35</v>
      </c>
      <c r="BC632">
        <v>66</v>
      </c>
      <c r="BD632">
        <v>-0.04</v>
      </c>
      <c r="BE632">
        <v>0.02</v>
      </c>
      <c r="BF632">
        <v>-0.05</v>
      </c>
      <c r="BG632">
        <v>95</v>
      </c>
      <c r="BH632">
        <v>0.17</v>
      </c>
      <c r="BI632">
        <v>-12.7</v>
      </c>
      <c r="BJ632">
        <v>0</v>
      </c>
      <c r="BK632">
        <v>0</v>
      </c>
      <c r="BL632">
        <v>-2.97</v>
      </c>
      <c r="BM632">
        <v>-1.77</v>
      </c>
      <c r="BN632">
        <v>-0.48</v>
      </c>
      <c r="BO632">
        <v>1.06</v>
      </c>
      <c r="BP632">
        <v>-0.46</v>
      </c>
      <c r="BQ632">
        <v>-5.86</v>
      </c>
      <c r="BR632">
        <v>3.06</v>
      </c>
      <c r="BS632">
        <v>5.23</v>
      </c>
      <c r="BT632">
        <v>-1.77</v>
      </c>
      <c r="BU632">
        <v>-0.96</v>
      </c>
      <c r="BV632">
        <v>-0.37</v>
      </c>
      <c r="BW632">
        <v>-2.3199999999999998</v>
      </c>
      <c r="BX632">
        <v>-3.93</v>
      </c>
      <c r="BY632">
        <v>0.06</v>
      </c>
      <c r="BZ632">
        <v>-1.07</v>
      </c>
      <c r="CA632">
        <v>0.73</v>
      </c>
      <c r="CB632">
        <v>-0.34</v>
      </c>
      <c r="CC632">
        <v>2.68</v>
      </c>
      <c r="CD632">
        <v>-1.74</v>
      </c>
      <c r="CE632">
        <v>0.86</v>
      </c>
      <c r="CF632">
        <v>-3.14</v>
      </c>
      <c r="CG632">
        <v>0</v>
      </c>
      <c r="CH632">
        <v>-0.64</v>
      </c>
      <c r="CI632">
        <v>0</v>
      </c>
      <c r="CJ632">
        <v>-27.6</v>
      </c>
      <c r="CK632">
        <v>95</v>
      </c>
      <c r="CL632">
        <v>-0.96</v>
      </c>
      <c r="CM632">
        <v>93</v>
      </c>
      <c r="CN632">
        <v>-0.27</v>
      </c>
      <c r="CO632">
        <v>92</v>
      </c>
      <c r="CP632">
        <v>-32.4</v>
      </c>
      <c r="CQ632">
        <v>81</v>
      </c>
      <c r="CR632">
        <v>0</v>
      </c>
      <c r="CS632">
        <v>0</v>
      </c>
      <c r="CT632">
        <v>-41.6</v>
      </c>
      <c r="CU632">
        <v>95</v>
      </c>
      <c r="CV632">
        <v>-0.27</v>
      </c>
      <c r="CW632">
        <v>45</v>
      </c>
      <c r="CX632" t="s">
        <v>1525</v>
      </c>
    </row>
    <row r="633" spans="1:102" x14ac:dyDescent="0.3">
      <c r="A633" t="str">
        <f>HYPERLINK("https://webapp.icbf.com/v2/app/bull-search/view/586041752","S713")</f>
        <v>S713</v>
      </c>
      <c r="B633" t="s">
        <v>12484</v>
      </c>
      <c r="C633" t="s">
        <v>12485</v>
      </c>
      <c r="D633" s="1">
        <v>38966</v>
      </c>
      <c r="E633" t="s">
        <v>92</v>
      </c>
      <c r="F633">
        <v>69</v>
      </c>
      <c r="G633" t="s">
        <v>109</v>
      </c>
      <c r="H633">
        <v>172.61</v>
      </c>
      <c r="I633">
        <v>74</v>
      </c>
      <c r="J633">
        <v>62.68</v>
      </c>
      <c r="K633">
        <v>88</v>
      </c>
      <c r="L633">
        <v>50.84</v>
      </c>
      <c r="M633">
        <v>61</v>
      </c>
      <c r="N633">
        <v>50.39</v>
      </c>
      <c r="O633">
        <v>75</v>
      </c>
      <c r="P633">
        <v>-31.74</v>
      </c>
      <c r="Q633">
        <v>77</v>
      </c>
      <c r="R633">
        <v>-2.86</v>
      </c>
      <c r="S633">
        <v>66</v>
      </c>
      <c r="T633">
        <v>34.840000000000003</v>
      </c>
      <c r="U633">
        <v>71</v>
      </c>
      <c r="V633">
        <v>8.4600000000000009</v>
      </c>
      <c r="W633">
        <v>67</v>
      </c>
      <c r="X633" t="s">
        <v>94</v>
      </c>
      <c r="Y633" t="s">
        <v>1494</v>
      </c>
      <c r="Z633" t="s">
        <v>96</v>
      </c>
      <c r="AA633" t="s">
        <v>1451</v>
      </c>
      <c r="AB633" t="s">
        <v>12486</v>
      </c>
      <c r="AC633">
        <v>28</v>
      </c>
      <c r="AD633">
        <v>10</v>
      </c>
      <c r="AE633">
        <v>88</v>
      </c>
      <c r="AF633">
        <v>87.51</v>
      </c>
      <c r="AG633">
        <v>10.09</v>
      </c>
      <c r="AH633">
        <v>8.43</v>
      </c>
      <c r="AI633">
        <v>0.11</v>
      </c>
      <c r="AJ633">
        <v>0.09</v>
      </c>
      <c r="AK633">
        <v>61</v>
      </c>
      <c r="AL633">
        <v>0</v>
      </c>
      <c r="AM633">
        <v>0</v>
      </c>
      <c r="AN633">
        <v>-3.09</v>
      </c>
      <c r="AO633">
        <v>0.96</v>
      </c>
      <c r="AP633">
        <v>106</v>
      </c>
      <c r="AQ633">
        <v>0</v>
      </c>
      <c r="AR633">
        <v>4.16</v>
      </c>
      <c r="AS633">
        <v>71</v>
      </c>
      <c r="AT633">
        <v>1.8</v>
      </c>
      <c r="AU633">
        <v>71</v>
      </c>
      <c r="AV633">
        <v>-3.68</v>
      </c>
      <c r="AW633">
        <v>93</v>
      </c>
      <c r="AX633">
        <v>-0.63</v>
      </c>
      <c r="AY633">
        <v>67</v>
      </c>
      <c r="AZ633">
        <v>5.23</v>
      </c>
      <c r="BA633">
        <v>44</v>
      </c>
      <c r="BB633">
        <v>4.8499999999999996</v>
      </c>
      <c r="BC633">
        <v>43</v>
      </c>
      <c r="BD633">
        <v>-0.02</v>
      </c>
      <c r="BE633">
        <v>0.01</v>
      </c>
      <c r="BF633">
        <v>0.08</v>
      </c>
      <c r="BG633">
        <v>80</v>
      </c>
      <c r="BH633">
        <v>0.05</v>
      </c>
      <c r="BI633">
        <v>-21.51</v>
      </c>
      <c r="BJ633">
        <v>0</v>
      </c>
      <c r="BK633">
        <v>0</v>
      </c>
      <c r="BL633">
        <v>-2</v>
      </c>
      <c r="BM633">
        <v>-0.88</v>
      </c>
      <c r="BN633">
        <v>-1.32</v>
      </c>
      <c r="BO633">
        <v>-0.94</v>
      </c>
      <c r="BP633">
        <v>-3.59</v>
      </c>
      <c r="BQ633">
        <v>-2.02</v>
      </c>
      <c r="BR633">
        <v>0.26</v>
      </c>
      <c r="BS633">
        <v>-1.97</v>
      </c>
      <c r="BT633">
        <v>-2.16</v>
      </c>
      <c r="BU633">
        <v>0.03</v>
      </c>
      <c r="BV633">
        <v>-0.72</v>
      </c>
      <c r="BW633">
        <v>-0.88</v>
      </c>
      <c r="BX633">
        <v>-1.52</v>
      </c>
      <c r="BY633">
        <v>-1.05</v>
      </c>
      <c r="BZ633">
        <v>-0.78</v>
      </c>
      <c r="CA633">
        <v>-1.1599999999999999</v>
      </c>
      <c r="CB633">
        <v>-0.47</v>
      </c>
      <c r="CC633">
        <v>-2.11</v>
      </c>
      <c r="CD633">
        <v>0.23</v>
      </c>
      <c r="CE633">
        <v>-1.1000000000000001</v>
      </c>
      <c r="CF633">
        <v>-2.02</v>
      </c>
      <c r="CG633">
        <v>0</v>
      </c>
      <c r="CH633">
        <v>-1.43</v>
      </c>
      <c r="CI633">
        <v>0</v>
      </c>
      <c r="CJ633">
        <v>-16.600000000000001</v>
      </c>
      <c r="CK633">
        <v>79</v>
      </c>
      <c r="CL633">
        <v>-0.68</v>
      </c>
      <c r="CM633">
        <v>75</v>
      </c>
      <c r="CN633">
        <v>-0.19</v>
      </c>
      <c r="CO633">
        <v>72</v>
      </c>
      <c r="CP633">
        <v>-26.9</v>
      </c>
      <c r="CQ633">
        <v>72</v>
      </c>
      <c r="CR633">
        <v>0</v>
      </c>
      <c r="CS633">
        <v>0</v>
      </c>
      <c r="CT633">
        <v>-33.299999999999997</v>
      </c>
      <c r="CU633">
        <v>71</v>
      </c>
      <c r="CV633">
        <v>-0.09</v>
      </c>
      <c r="CW633">
        <v>22</v>
      </c>
      <c r="CX633" t="s">
        <v>4806</v>
      </c>
    </row>
    <row r="634" spans="1:102" x14ac:dyDescent="0.3">
      <c r="A634" t="str">
        <f>HYPERLINK("https://webapp.icbf.com/v2/app/bull-search/view/392513415","JRU")</f>
        <v>JRU</v>
      </c>
      <c r="B634" t="s">
        <v>7283</v>
      </c>
      <c r="C634" t="s">
        <v>5928</v>
      </c>
      <c r="D634" s="1">
        <v>38379</v>
      </c>
      <c r="E634" t="s">
        <v>92</v>
      </c>
      <c r="F634">
        <v>88</v>
      </c>
      <c r="G634" t="s">
        <v>93</v>
      </c>
      <c r="H634">
        <v>172.59</v>
      </c>
      <c r="I634">
        <v>92</v>
      </c>
      <c r="J634">
        <v>43.77</v>
      </c>
      <c r="K634">
        <v>98</v>
      </c>
      <c r="L634">
        <v>71.709999999999994</v>
      </c>
      <c r="M634">
        <v>85</v>
      </c>
      <c r="N634">
        <v>27.28</v>
      </c>
      <c r="O634">
        <v>92</v>
      </c>
      <c r="P634">
        <v>12.14</v>
      </c>
      <c r="Q634">
        <v>96</v>
      </c>
      <c r="R634">
        <v>16.95</v>
      </c>
      <c r="S634">
        <v>89</v>
      </c>
      <c r="T634">
        <v>-7.41</v>
      </c>
      <c r="U634">
        <v>91</v>
      </c>
      <c r="V634">
        <v>8.15</v>
      </c>
      <c r="W634">
        <v>89</v>
      </c>
      <c r="X634" t="s">
        <v>94</v>
      </c>
      <c r="Y634" t="s">
        <v>228</v>
      </c>
      <c r="Z634" t="s">
        <v>96</v>
      </c>
      <c r="AA634" t="s">
        <v>1165</v>
      </c>
      <c r="AB634" t="s">
        <v>7284</v>
      </c>
      <c r="AC634">
        <v>206</v>
      </c>
      <c r="AD634">
        <v>139</v>
      </c>
      <c r="AE634">
        <v>98</v>
      </c>
      <c r="AF634">
        <v>-87.66</v>
      </c>
      <c r="AG634">
        <v>8.6300000000000008</v>
      </c>
      <c r="AH634">
        <v>3.05</v>
      </c>
      <c r="AI634">
        <v>0.21</v>
      </c>
      <c r="AJ634">
        <v>0.11</v>
      </c>
      <c r="AK634">
        <v>85</v>
      </c>
      <c r="AL634">
        <v>198</v>
      </c>
      <c r="AM634">
        <v>140</v>
      </c>
      <c r="AN634">
        <v>-3.79</v>
      </c>
      <c r="AO634">
        <v>1.93</v>
      </c>
      <c r="AP634">
        <v>413</v>
      </c>
      <c r="AQ634">
        <v>5</v>
      </c>
      <c r="AR634">
        <v>9.24</v>
      </c>
      <c r="AS634">
        <v>80</v>
      </c>
      <c r="AT634">
        <v>3.3</v>
      </c>
      <c r="AU634">
        <v>93</v>
      </c>
      <c r="AV634">
        <v>-3.28</v>
      </c>
      <c r="AW634">
        <v>98</v>
      </c>
      <c r="AX634">
        <v>-0.32</v>
      </c>
      <c r="AY634">
        <v>90</v>
      </c>
      <c r="AZ634">
        <v>4.79</v>
      </c>
      <c r="BA634">
        <v>79</v>
      </c>
      <c r="BB634">
        <v>4.04</v>
      </c>
      <c r="BC634">
        <v>81</v>
      </c>
      <c r="BD634">
        <v>-0.04</v>
      </c>
      <c r="BE634">
        <v>-7.0000000000000007E-2</v>
      </c>
      <c r="BF634">
        <v>-0.19</v>
      </c>
      <c r="BG634">
        <v>94</v>
      </c>
      <c r="BH634">
        <v>0.36</v>
      </c>
      <c r="BI634">
        <v>15.34</v>
      </c>
      <c r="BJ634">
        <v>43</v>
      </c>
      <c r="BK634">
        <v>31</v>
      </c>
      <c r="BL634">
        <v>0.19</v>
      </c>
      <c r="BM634">
        <v>0.52</v>
      </c>
      <c r="BN634">
        <v>-1.62</v>
      </c>
      <c r="BO634">
        <v>-1.1100000000000001</v>
      </c>
      <c r="BP634">
        <v>3.78</v>
      </c>
      <c r="BQ634">
        <v>-0.25</v>
      </c>
      <c r="BR634">
        <v>0.4</v>
      </c>
      <c r="BS634">
        <v>-1.22</v>
      </c>
      <c r="BT634">
        <v>-7.0000000000000007E-2</v>
      </c>
      <c r="BU634">
        <v>-1.84</v>
      </c>
      <c r="BV634">
        <v>-1.1499999999999999</v>
      </c>
      <c r="BW634">
        <v>-0.45</v>
      </c>
      <c r="BX634">
        <v>-0.19</v>
      </c>
      <c r="BY634">
        <v>-1.07</v>
      </c>
      <c r="BZ634">
        <v>-2.66</v>
      </c>
      <c r="CA634">
        <v>-0.79</v>
      </c>
      <c r="CB634">
        <v>-0.81</v>
      </c>
      <c r="CC634">
        <v>-0.61</v>
      </c>
      <c r="CD634">
        <v>0.89</v>
      </c>
      <c r="CE634">
        <v>-0.13</v>
      </c>
      <c r="CF634">
        <v>-0.39</v>
      </c>
      <c r="CG634">
        <v>0</v>
      </c>
      <c r="CH634">
        <v>-0.91</v>
      </c>
      <c r="CI634">
        <v>0</v>
      </c>
      <c r="CJ634">
        <v>8.6999999999999993</v>
      </c>
      <c r="CK634">
        <v>97</v>
      </c>
      <c r="CL634">
        <v>-0.48</v>
      </c>
      <c r="CM634">
        <v>96</v>
      </c>
      <c r="CN634">
        <v>-0.26</v>
      </c>
      <c r="CO634">
        <v>95</v>
      </c>
      <c r="CP634">
        <v>13.6</v>
      </c>
      <c r="CQ634">
        <v>94</v>
      </c>
      <c r="CR634">
        <v>0</v>
      </c>
      <c r="CS634">
        <v>0</v>
      </c>
      <c r="CT634">
        <v>23.8</v>
      </c>
      <c r="CU634">
        <v>91</v>
      </c>
      <c r="CV634">
        <v>0.39</v>
      </c>
      <c r="CW634">
        <v>47</v>
      </c>
      <c r="CX634" t="s">
        <v>193</v>
      </c>
    </row>
    <row r="635" spans="1:102" x14ac:dyDescent="0.3">
      <c r="A635" t="str">
        <f>HYPERLINK("https://webapp.icbf.com/v2/app/bull-search/view/391501677","FNY")</f>
        <v>FNY</v>
      </c>
      <c r="B635" t="s">
        <v>4740</v>
      </c>
      <c r="C635" t="s">
        <v>4741</v>
      </c>
      <c r="D635" s="1">
        <v>38380</v>
      </c>
      <c r="E635" t="s">
        <v>92</v>
      </c>
      <c r="F635">
        <v>91</v>
      </c>
      <c r="G635" t="s">
        <v>93</v>
      </c>
      <c r="H635">
        <v>172.44</v>
      </c>
      <c r="I635">
        <v>88</v>
      </c>
      <c r="J635">
        <v>13.87</v>
      </c>
      <c r="K635">
        <v>97</v>
      </c>
      <c r="L635">
        <v>87.6</v>
      </c>
      <c r="M635">
        <v>80</v>
      </c>
      <c r="N635">
        <v>40.71</v>
      </c>
      <c r="O635">
        <v>86</v>
      </c>
      <c r="P635">
        <v>-4.7300000000000004</v>
      </c>
      <c r="Q635">
        <v>90</v>
      </c>
      <c r="R635">
        <v>20.57</v>
      </c>
      <c r="S635">
        <v>83</v>
      </c>
      <c r="T635">
        <v>17.600000000000001</v>
      </c>
      <c r="U635">
        <v>85</v>
      </c>
      <c r="V635">
        <v>-3.18</v>
      </c>
      <c r="W635">
        <v>81</v>
      </c>
      <c r="X635" t="s">
        <v>94</v>
      </c>
      <c r="Y635" t="s">
        <v>1164</v>
      </c>
      <c r="Z635" t="s">
        <v>96</v>
      </c>
      <c r="AA635" t="s">
        <v>1165</v>
      </c>
      <c r="AB635" t="s">
        <v>4742</v>
      </c>
      <c r="AC635">
        <v>80</v>
      </c>
      <c r="AD635">
        <v>69</v>
      </c>
      <c r="AE635">
        <v>97</v>
      </c>
      <c r="AF635">
        <v>253.05</v>
      </c>
      <c r="AG635">
        <v>2.75</v>
      </c>
      <c r="AH635">
        <v>5.26</v>
      </c>
      <c r="AI635">
        <v>-0.12</v>
      </c>
      <c r="AJ635">
        <v>-0.06</v>
      </c>
      <c r="AK635">
        <v>80</v>
      </c>
      <c r="AL635">
        <v>79</v>
      </c>
      <c r="AM635">
        <v>61</v>
      </c>
      <c r="AN635">
        <v>-2.94</v>
      </c>
      <c r="AO635">
        <v>4.07</v>
      </c>
      <c r="AP635">
        <v>161</v>
      </c>
      <c r="AQ635">
        <v>0</v>
      </c>
      <c r="AR635">
        <v>4.13</v>
      </c>
      <c r="AS635">
        <v>72</v>
      </c>
      <c r="AT635">
        <v>1.77</v>
      </c>
      <c r="AU635">
        <v>88</v>
      </c>
      <c r="AV635">
        <v>-2.64</v>
      </c>
      <c r="AW635">
        <v>95</v>
      </c>
      <c r="AX635">
        <v>-0.49</v>
      </c>
      <c r="AY635">
        <v>80</v>
      </c>
      <c r="AZ635">
        <v>5.55</v>
      </c>
      <c r="BA635">
        <v>68</v>
      </c>
      <c r="BB635">
        <v>5.03</v>
      </c>
      <c r="BC635">
        <v>72</v>
      </c>
      <c r="BD635">
        <v>-0.09</v>
      </c>
      <c r="BE635">
        <v>-7.0000000000000007E-2</v>
      </c>
      <c r="BF635">
        <v>-0.19</v>
      </c>
      <c r="BG635">
        <v>89</v>
      </c>
      <c r="BH635">
        <v>-0.02</v>
      </c>
      <c r="BI635">
        <v>7.94</v>
      </c>
      <c r="BJ635">
        <v>37</v>
      </c>
      <c r="BK635">
        <v>27</v>
      </c>
      <c r="BL635">
        <v>-0.36</v>
      </c>
      <c r="BM635">
        <v>0.65</v>
      </c>
      <c r="BN635">
        <v>-1.24</v>
      </c>
      <c r="BO635">
        <v>-1.32</v>
      </c>
      <c r="BP635">
        <v>3.17</v>
      </c>
      <c r="BQ635">
        <v>-0.67</v>
      </c>
      <c r="BR635">
        <v>-0.2</v>
      </c>
      <c r="BS635">
        <v>-1.43</v>
      </c>
      <c r="BT635">
        <v>-1.62</v>
      </c>
      <c r="BU635">
        <v>-1.41</v>
      </c>
      <c r="BV635">
        <v>-1.52</v>
      </c>
      <c r="BW635">
        <v>-1</v>
      </c>
      <c r="BX635">
        <v>-0.04</v>
      </c>
      <c r="BY635">
        <v>-0.73</v>
      </c>
      <c r="BZ635">
        <v>-2.04</v>
      </c>
      <c r="CA635">
        <v>-1.64</v>
      </c>
      <c r="CB635">
        <v>-1.36</v>
      </c>
      <c r="CC635">
        <v>-1.4</v>
      </c>
      <c r="CD635">
        <v>1.25</v>
      </c>
      <c r="CE635">
        <v>-1.17</v>
      </c>
      <c r="CF635">
        <v>-0.95</v>
      </c>
      <c r="CG635">
        <v>0</v>
      </c>
      <c r="CH635">
        <v>-1.66</v>
      </c>
      <c r="CI635">
        <v>0</v>
      </c>
      <c r="CJ635">
        <v>-2.1</v>
      </c>
      <c r="CK635">
        <v>91</v>
      </c>
      <c r="CL635">
        <v>-0.4</v>
      </c>
      <c r="CM635">
        <v>89</v>
      </c>
      <c r="CN635">
        <v>-0.32</v>
      </c>
      <c r="CO635">
        <v>88</v>
      </c>
      <c r="CP635">
        <v>-9.6999999999999993</v>
      </c>
      <c r="CQ635">
        <v>88</v>
      </c>
      <c r="CR635">
        <v>0</v>
      </c>
      <c r="CS635">
        <v>0</v>
      </c>
      <c r="CT635">
        <v>-10</v>
      </c>
      <c r="CU635">
        <v>85</v>
      </c>
      <c r="CV635">
        <v>7.0000000000000007E-2</v>
      </c>
      <c r="CW635">
        <v>46</v>
      </c>
      <c r="CX635" t="s">
        <v>1252</v>
      </c>
    </row>
    <row r="636" spans="1:102" x14ac:dyDescent="0.3">
      <c r="A636" t="str">
        <f>HYPERLINK("https://webapp.icbf.com/v2/app/bull-search/view/933356887","DGW")</f>
        <v>DGW</v>
      </c>
      <c r="B636" t="s">
        <v>5827</v>
      </c>
      <c r="C636" t="s">
        <v>5828</v>
      </c>
      <c r="D636" s="1">
        <v>40765</v>
      </c>
      <c r="E636" t="s">
        <v>108</v>
      </c>
      <c r="F636">
        <v>47</v>
      </c>
      <c r="G636" t="s">
        <v>93</v>
      </c>
      <c r="H636">
        <v>172.44</v>
      </c>
      <c r="I636">
        <v>85</v>
      </c>
      <c r="J636">
        <v>68.48</v>
      </c>
      <c r="K636">
        <v>95</v>
      </c>
      <c r="L636">
        <v>72.900000000000006</v>
      </c>
      <c r="M636">
        <v>76</v>
      </c>
      <c r="N636">
        <v>37.5</v>
      </c>
      <c r="O636">
        <v>89</v>
      </c>
      <c r="P636">
        <v>-22.32</v>
      </c>
      <c r="Q636">
        <v>87</v>
      </c>
      <c r="R636">
        <v>-5.8</v>
      </c>
      <c r="S636">
        <v>72</v>
      </c>
      <c r="T636">
        <v>12.72</v>
      </c>
      <c r="U636">
        <v>85</v>
      </c>
      <c r="V636">
        <v>8.9600000000000009</v>
      </c>
      <c r="W636">
        <v>69</v>
      </c>
      <c r="X636" t="s">
        <v>276</v>
      </c>
      <c r="Y636" t="s">
        <v>375</v>
      </c>
      <c r="Z636" t="s">
        <v>330</v>
      </c>
      <c r="AA636" t="s">
        <v>2150</v>
      </c>
      <c r="AB636" t="s">
        <v>144</v>
      </c>
      <c r="AC636">
        <v>79</v>
      </c>
      <c r="AD636">
        <v>25</v>
      </c>
      <c r="AE636">
        <v>95</v>
      </c>
      <c r="AF636">
        <v>-42.45</v>
      </c>
      <c r="AG636">
        <v>16.190000000000001</v>
      </c>
      <c r="AH636">
        <v>5.27</v>
      </c>
      <c r="AI636">
        <v>0.31</v>
      </c>
      <c r="AJ636">
        <v>0.12</v>
      </c>
      <c r="AK636">
        <v>76</v>
      </c>
      <c r="AL636">
        <v>59</v>
      </c>
      <c r="AM636">
        <v>23</v>
      </c>
      <c r="AN636">
        <v>-3.51</v>
      </c>
      <c r="AO636">
        <v>2.31</v>
      </c>
      <c r="AP636">
        <v>956</v>
      </c>
      <c r="AQ636">
        <v>2</v>
      </c>
      <c r="AR636">
        <v>5.63</v>
      </c>
      <c r="AS636">
        <v>96</v>
      </c>
      <c r="AT636">
        <v>2.1</v>
      </c>
      <c r="AU636">
        <v>92</v>
      </c>
      <c r="AV636">
        <v>-3.94</v>
      </c>
      <c r="AW636">
        <v>99</v>
      </c>
      <c r="AX636">
        <v>-0.38</v>
      </c>
      <c r="AY636">
        <v>94</v>
      </c>
      <c r="AZ636">
        <v>8.3699999999999992</v>
      </c>
      <c r="BA636">
        <v>60</v>
      </c>
      <c r="BB636">
        <v>5.77</v>
      </c>
      <c r="BC636">
        <v>51</v>
      </c>
      <c r="BD636">
        <v>-0.01</v>
      </c>
      <c r="BE636">
        <v>0</v>
      </c>
      <c r="BF636">
        <v>0.15</v>
      </c>
      <c r="BG636">
        <v>82</v>
      </c>
      <c r="BH636">
        <v>0.14000000000000001</v>
      </c>
      <c r="BI636">
        <v>-12.71</v>
      </c>
      <c r="BJ636">
        <v>1</v>
      </c>
      <c r="BK636">
        <v>1</v>
      </c>
      <c r="BL636">
        <v>-1.83</v>
      </c>
      <c r="BM636">
        <v>0.66</v>
      </c>
      <c r="BN636">
        <v>-0.62</v>
      </c>
      <c r="BO636">
        <v>-0.97</v>
      </c>
      <c r="BP636">
        <v>-1.55</v>
      </c>
      <c r="BQ636">
        <v>0.6</v>
      </c>
      <c r="BR636">
        <v>0.84</v>
      </c>
      <c r="BS636">
        <v>-0.88</v>
      </c>
      <c r="BT636">
        <v>-2.0299999999999998</v>
      </c>
      <c r="BU636">
        <v>-0.27</v>
      </c>
      <c r="BV636">
        <v>-0.84</v>
      </c>
      <c r="BW636">
        <v>-1.6</v>
      </c>
      <c r="BX636">
        <v>-1.87</v>
      </c>
      <c r="BY636">
        <v>-2.4500000000000002</v>
      </c>
      <c r="BZ636">
        <v>-0.02</v>
      </c>
      <c r="CA636">
        <v>-1.68</v>
      </c>
      <c r="CB636">
        <v>-1.17</v>
      </c>
      <c r="CC636">
        <v>-0.95</v>
      </c>
      <c r="CD636">
        <v>0.97</v>
      </c>
      <c r="CE636">
        <v>-0.56000000000000005</v>
      </c>
      <c r="CF636">
        <v>-1.03</v>
      </c>
      <c r="CG636">
        <v>0</v>
      </c>
      <c r="CH636">
        <v>-1.75</v>
      </c>
      <c r="CI636">
        <v>0</v>
      </c>
      <c r="CJ636">
        <v>-9.6</v>
      </c>
      <c r="CK636">
        <v>89</v>
      </c>
      <c r="CL636">
        <v>-0.79</v>
      </c>
      <c r="CM636">
        <v>86</v>
      </c>
      <c r="CN636">
        <v>-0.03</v>
      </c>
      <c r="CO636">
        <v>85</v>
      </c>
      <c r="CP636">
        <v>-8.5</v>
      </c>
      <c r="CQ636">
        <v>77</v>
      </c>
      <c r="CR636">
        <v>0</v>
      </c>
      <c r="CS636">
        <v>0</v>
      </c>
      <c r="CT636">
        <v>-3.4</v>
      </c>
      <c r="CU636">
        <v>85</v>
      </c>
      <c r="CV636">
        <v>0.17</v>
      </c>
      <c r="CW636">
        <v>44</v>
      </c>
      <c r="CX636" t="s">
        <v>1772</v>
      </c>
    </row>
    <row r="637" spans="1:102" x14ac:dyDescent="0.3">
      <c r="A637" t="str">
        <f>HYPERLINK("https://webapp.icbf.com/v2/app/bull-search/view/1101864443","VHM")</f>
        <v>VHM</v>
      </c>
      <c r="B637" t="s">
        <v>1952</v>
      </c>
      <c r="C637" t="s">
        <v>1953</v>
      </c>
      <c r="D637" s="1">
        <v>40444</v>
      </c>
      <c r="E637" t="s">
        <v>92</v>
      </c>
      <c r="F637">
        <v>100</v>
      </c>
      <c r="G637" t="s">
        <v>93</v>
      </c>
      <c r="H637">
        <v>172.38</v>
      </c>
      <c r="I637">
        <v>91</v>
      </c>
      <c r="J637">
        <v>40.74</v>
      </c>
      <c r="K637">
        <v>98</v>
      </c>
      <c r="L637">
        <v>68.98</v>
      </c>
      <c r="M637">
        <v>89</v>
      </c>
      <c r="N637">
        <v>27.14</v>
      </c>
      <c r="O637">
        <v>90</v>
      </c>
      <c r="P637">
        <v>2.15</v>
      </c>
      <c r="Q637">
        <v>93</v>
      </c>
      <c r="R637">
        <v>18.98</v>
      </c>
      <c r="S637">
        <v>80</v>
      </c>
      <c r="T637">
        <v>5.83</v>
      </c>
      <c r="U637">
        <v>87</v>
      </c>
      <c r="V637">
        <v>8.56</v>
      </c>
      <c r="W637">
        <v>71</v>
      </c>
      <c r="X637" t="s">
        <v>276</v>
      </c>
      <c r="Y637" t="s">
        <v>1775</v>
      </c>
      <c r="Z637" t="s">
        <v>96</v>
      </c>
      <c r="AA637" t="s">
        <v>432</v>
      </c>
      <c r="AB637" t="s">
        <v>144</v>
      </c>
      <c r="AC637">
        <v>271</v>
      </c>
      <c r="AD637">
        <v>91</v>
      </c>
      <c r="AE637">
        <v>98</v>
      </c>
      <c r="AF637">
        <v>227.83</v>
      </c>
      <c r="AG637">
        <v>3.52</v>
      </c>
      <c r="AH637">
        <v>9.17</v>
      </c>
      <c r="AI637">
        <v>-0.09</v>
      </c>
      <c r="AJ637">
        <v>0.02</v>
      </c>
      <c r="AK637">
        <v>89</v>
      </c>
      <c r="AL637">
        <v>250</v>
      </c>
      <c r="AM637">
        <v>84</v>
      </c>
      <c r="AN637">
        <v>-2.3199999999999998</v>
      </c>
      <c r="AO637">
        <v>3.2</v>
      </c>
      <c r="AP637">
        <v>446</v>
      </c>
      <c r="AQ637">
        <v>3</v>
      </c>
      <c r="AR637">
        <v>5.97</v>
      </c>
      <c r="AS637">
        <v>93</v>
      </c>
      <c r="AT637">
        <v>2.37</v>
      </c>
      <c r="AU637">
        <v>92</v>
      </c>
      <c r="AV637">
        <v>-1.77</v>
      </c>
      <c r="AW637">
        <v>97</v>
      </c>
      <c r="AX637">
        <v>-0.12</v>
      </c>
      <c r="AY637">
        <v>90</v>
      </c>
      <c r="AZ637">
        <v>5.46</v>
      </c>
      <c r="BA637">
        <v>78</v>
      </c>
      <c r="BB637">
        <v>4.6900000000000004</v>
      </c>
      <c r="BC637">
        <v>67</v>
      </c>
      <c r="BD637">
        <v>-0.08</v>
      </c>
      <c r="BE637">
        <v>-7.0000000000000007E-2</v>
      </c>
      <c r="BF637">
        <v>-0.17</v>
      </c>
      <c r="BG637">
        <v>93</v>
      </c>
      <c r="BH637">
        <v>0.04</v>
      </c>
      <c r="BI637">
        <v>-22.97</v>
      </c>
      <c r="BJ637">
        <v>102</v>
      </c>
      <c r="BK637">
        <v>28</v>
      </c>
      <c r="BL637">
        <v>0.83</v>
      </c>
      <c r="BM637">
        <v>-0.56999999999999995</v>
      </c>
      <c r="BN637">
        <v>-0.83</v>
      </c>
      <c r="BO637">
        <v>0.25</v>
      </c>
      <c r="BP637">
        <v>1.01</v>
      </c>
      <c r="BQ637">
        <v>0.25</v>
      </c>
      <c r="BR637">
        <v>-0.89</v>
      </c>
      <c r="BS637">
        <v>0.08</v>
      </c>
      <c r="BT637">
        <v>-0.55000000000000004</v>
      </c>
      <c r="BU637">
        <v>2.4500000000000002</v>
      </c>
      <c r="BV637">
        <v>2.1</v>
      </c>
      <c r="BW637">
        <v>2.1800000000000002</v>
      </c>
      <c r="BX637">
        <v>2.8</v>
      </c>
      <c r="BY637">
        <v>3.02</v>
      </c>
      <c r="BZ637">
        <v>-0.5</v>
      </c>
      <c r="CA637">
        <v>1.66</v>
      </c>
      <c r="CB637">
        <v>1.92</v>
      </c>
      <c r="CC637">
        <v>0.32</v>
      </c>
      <c r="CD637">
        <v>-7.0000000000000007E-2</v>
      </c>
      <c r="CE637">
        <v>0.4</v>
      </c>
      <c r="CF637">
        <v>0.68</v>
      </c>
      <c r="CG637">
        <v>0</v>
      </c>
      <c r="CH637">
        <v>3.39</v>
      </c>
      <c r="CI637">
        <v>0</v>
      </c>
      <c r="CJ637">
        <v>3.1</v>
      </c>
      <c r="CK637">
        <v>94</v>
      </c>
      <c r="CL637">
        <v>-0.85</v>
      </c>
      <c r="CM637">
        <v>93</v>
      </c>
      <c r="CN637">
        <v>-0.56000000000000005</v>
      </c>
      <c r="CO637">
        <v>92</v>
      </c>
      <c r="CP637">
        <v>0.6</v>
      </c>
      <c r="CQ637">
        <v>83</v>
      </c>
      <c r="CR637">
        <v>0</v>
      </c>
      <c r="CS637">
        <v>0</v>
      </c>
      <c r="CT637">
        <v>5.9</v>
      </c>
      <c r="CU637">
        <v>87</v>
      </c>
      <c r="CV637">
        <v>0.19</v>
      </c>
      <c r="CW637">
        <v>44</v>
      </c>
      <c r="CX637" t="s">
        <v>1427</v>
      </c>
    </row>
    <row r="638" spans="1:102" x14ac:dyDescent="0.3">
      <c r="A638" t="str">
        <f>HYPERLINK("https://webapp.icbf.com/v2/app/bull-search/view/1349522182","FR4107")</f>
        <v>FR4107</v>
      </c>
      <c r="B638" t="s">
        <v>7018</v>
      </c>
      <c r="C638" t="s">
        <v>7019</v>
      </c>
      <c r="D638" s="1">
        <v>42041</v>
      </c>
      <c r="E638" t="s">
        <v>92</v>
      </c>
      <c r="F638">
        <v>100</v>
      </c>
      <c r="G638" t="s">
        <v>435</v>
      </c>
      <c r="H638">
        <v>172.37</v>
      </c>
      <c r="I638">
        <v>74</v>
      </c>
      <c r="J638">
        <v>114.44</v>
      </c>
      <c r="K638">
        <v>87</v>
      </c>
      <c r="L638">
        <v>28.49</v>
      </c>
      <c r="M638">
        <v>66</v>
      </c>
      <c r="N638">
        <v>15.6</v>
      </c>
      <c r="O638">
        <v>83</v>
      </c>
      <c r="P638">
        <v>-7.88</v>
      </c>
      <c r="Q638">
        <v>80</v>
      </c>
      <c r="R638">
        <v>27.7</v>
      </c>
      <c r="S638">
        <v>61</v>
      </c>
      <c r="T638">
        <v>-7.12</v>
      </c>
      <c r="U638">
        <v>47</v>
      </c>
      <c r="V638">
        <v>1.1399999999999999</v>
      </c>
      <c r="W638">
        <v>53</v>
      </c>
      <c r="X638" t="s">
        <v>94</v>
      </c>
      <c r="Y638" t="s">
        <v>429</v>
      </c>
      <c r="Z638" t="s">
        <v>96</v>
      </c>
      <c r="AA638" t="s">
        <v>2080</v>
      </c>
      <c r="AB638" t="s">
        <v>7020</v>
      </c>
      <c r="AC638">
        <v>14</v>
      </c>
      <c r="AD638">
        <v>11</v>
      </c>
      <c r="AE638">
        <v>87</v>
      </c>
      <c r="AF638">
        <v>353.88</v>
      </c>
      <c r="AG638">
        <v>17.72</v>
      </c>
      <c r="AH638">
        <v>18.61</v>
      </c>
      <c r="AI638">
        <v>0.06</v>
      </c>
      <c r="AJ638">
        <v>0.11</v>
      </c>
      <c r="AK638">
        <v>66</v>
      </c>
      <c r="AL638">
        <v>0</v>
      </c>
      <c r="AM638">
        <v>0</v>
      </c>
      <c r="AN638">
        <v>-1.73</v>
      </c>
      <c r="AO638">
        <v>0.54</v>
      </c>
      <c r="AP638">
        <v>383</v>
      </c>
      <c r="AQ638">
        <v>4</v>
      </c>
      <c r="AR638">
        <v>6.74</v>
      </c>
      <c r="AS638">
        <v>84</v>
      </c>
      <c r="AT638">
        <v>2.64</v>
      </c>
      <c r="AU638">
        <v>89</v>
      </c>
      <c r="AV638">
        <v>-1.5</v>
      </c>
      <c r="AW638">
        <v>97</v>
      </c>
      <c r="AX638">
        <v>-0.73</v>
      </c>
      <c r="AY638">
        <v>86</v>
      </c>
      <c r="AZ638">
        <v>7.04</v>
      </c>
      <c r="BA638">
        <v>43</v>
      </c>
      <c r="BB638">
        <v>5.66</v>
      </c>
      <c r="BC638">
        <v>34</v>
      </c>
      <c r="BD638">
        <v>-0.09</v>
      </c>
      <c r="BE638">
        <v>-0.13</v>
      </c>
      <c r="BF638">
        <v>-0.24</v>
      </c>
      <c r="BG638">
        <v>74</v>
      </c>
      <c r="BH638">
        <v>-0.12</v>
      </c>
      <c r="BI638">
        <v>-17.55</v>
      </c>
      <c r="BJ638">
        <v>0</v>
      </c>
      <c r="BK638">
        <v>0</v>
      </c>
      <c r="BL638">
        <v>1.36</v>
      </c>
      <c r="BM638">
        <v>-1.08</v>
      </c>
      <c r="BN638">
        <v>-0.01</v>
      </c>
      <c r="BO638">
        <v>0.88</v>
      </c>
      <c r="BP638">
        <v>0.67</v>
      </c>
      <c r="BQ638">
        <v>0.27</v>
      </c>
      <c r="BR638">
        <v>-1.43</v>
      </c>
      <c r="BS638">
        <v>1.43</v>
      </c>
      <c r="BT638">
        <v>3.19</v>
      </c>
      <c r="BU638">
        <v>2.58</v>
      </c>
      <c r="BV638">
        <v>1.93</v>
      </c>
      <c r="BW638">
        <v>1.9</v>
      </c>
      <c r="BX638">
        <v>2.2000000000000002</v>
      </c>
      <c r="BY638">
        <v>1.82</v>
      </c>
      <c r="BZ638">
        <v>-2.48</v>
      </c>
      <c r="CA638">
        <v>2.66</v>
      </c>
      <c r="CB638">
        <v>2.56</v>
      </c>
      <c r="CC638">
        <v>1.67</v>
      </c>
      <c r="CD638">
        <v>-0.27</v>
      </c>
      <c r="CE638">
        <v>0.65</v>
      </c>
      <c r="CF638">
        <v>0.23</v>
      </c>
      <c r="CG638">
        <v>0</v>
      </c>
      <c r="CH638">
        <v>3.57</v>
      </c>
      <c r="CI638">
        <v>0</v>
      </c>
      <c r="CJ638">
        <v>-2.2000000000000002</v>
      </c>
      <c r="CK638">
        <v>84</v>
      </c>
      <c r="CL638">
        <v>-0.87</v>
      </c>
      <c r="CM638">
        <v>80</v>
      </c>
      <c r="CN638">
        <v>-0.27</v>
      </c>
      <c r="CO638">
        <v>78</v>
      </c>
      <c r="CP638">
        <v>6.5</v>
      </c>
      <c r="CQ638">
        <v>52</v>
      </c>
      <c r="CR638">
        <v>0</v>
      </c>
      <c r="CS638">
        <v>0</v>
      </c>
      <c r="CT638">
        <v>23.4</v>
      </c>
      <c r="CU638">
        <v>47</v>
      </c>
      <c r="CV638">
        <v>0.15</v>
      </c>
      <c r="CW638">
        <v>43</v>
      </c>
      <c r="CX638" t="s">
        <v>7021</v>
      </c>
    </row>
    <row r="639" spans="1:102" x14ac:dyDescent="0.3">
      <c r="A639" t="str">
        <f>HYPERLINK("https://webapp.icbf.com/v2/app/bull-search/view/1209918479","FR2092")</f>
        <v>FR2092</v>
      </c>
      <c r="B639" t="s">
        <v>2201</v>
      </c>
      <c r="C639" t="s">
        <v>2202</v>
      </c>
      <c r="D639" s="1">
        <v>41641</v>
      </c>
      <c r="E639" t="s">
        <v>92</v>
      </c>
      <c r="F639">
        <v>100</v>
      </c>
      <c r="G639" t="s">
        <v>109</v>
      </c>
      <c r="H639">
        <v>172.35</v>
      </c>
      <c r="I639">
        <v>80</v>
      </c>
      <c r="J639">
        <v>115.04</v>
      </c>
      <c r="K639">
        <v>95</v>
      </c>
      <c r="L639">
        <v>12.6</v>
      </c>
      <c r="M639">
        <v>77</v>
      </c>
      <c r="N639">
        <v>43.6</v>
      </c>
      <c r="O639">
        <v>84</v>
      </c>
      <c r="P639">
        <v>-12.51</v>
      </c>
      <c r="Q639">
        <v>76</v>
      </c>
      <c r="R639">
        <v>25.33</v>
      </c>
      <c r="S639">
        <v>75</v>
      </c>
      <c r="T639">
        <v>-5.19</v>
      </c>
      <c r="U639">
        <v>47</v>
      </c>
      <c r="V639">
        <v>-6.52</v>
      </c>
      <c r="W639">
        <v>62</v>
      </c>
      <c r="X639" t="s">
        <v>234</v>
      </c>
      <c r="Y639" t="s">
        <v>405</v>
      </c>
      <c r="Z639" t="s">
        <v>96</v>
      </c>
      <c r="AA639" t="s">
        <v>2203</v>
      </c>
      <c r="AB639" t="s">
        <v>2204</v>
      </c>
      <c r="AC639">
        <v>53</v>
      </c>
      <c r="AD639">
        <v>17</v>
      </c>
      <c r="AE639">
        <v>95</v>
      </c>
      <c r="AF639">
        <v>484.05</v>
      </c>
      <c r="AG639">
        <v>25.62</v>
      </c>
      <c r="AH639">
        <v>17.91</v>
      </c>
      <c r="AI639">
        <v>0.11</v>
      </c>
      <c r="AJ639">
        <v>0.02</v>
      </c>
      <c r="AK639">
        <v>77</v>
      </c>
      <c r="AL639">
        <v>31</v>
      </c>
      <c r="AM639">
        <v>13</v>
      </c>
      <c r="AN639">
        <v>1.24</v>
      </c>
      <c r="AO639">
        <v>2.27</v>
      </c>
      <c r="AP639">
        <v>355</v>
      </c>
      <c r="AQ639">
        <v>3</v>
      </c>
      <c r="AR639">
        <v>4.09</v>
      </c>
      <c r="AS639">
        <v>80</v>
      </c>
      <c r="AT639">
        <v>2.06</v>
      </c>
      <c r="AU639">
        <v>93</v>
      </c>
      <c r="AV639">
        <v>-3.75</v>
      </c>
      <c r="AW639">
        <v>95</v>
      </c>
      <c r="AX639">
        <v>-0.3</v>
      </c>
      <c r="AY639">
        <v>85</v>
      </c>
      <c r="AZ639">
        <v>6.86</v>
      </c>
      <c r="BA639">
        <v>56</v>
      </c>
      <c r="BB639">
        <v>5.38</v>
      </c>
      <c r="BC639">
        <v>40</v>
      </c>
      <c r="BD639">
        <v>-0.08</v>
      </c>
      <c r="BE639">
        <v>-0.11</v>
      </c>
      <c r="BF639">
        <v>-0.24</v>
      </c>
      <c r="BG639">
        <v>90</v>
      </c>
      <c r="BH639">
        <v>-0.11</v>
      </c>
      <c r="BI639">
        <v>8.32</v>
      </c>
      <c r="BJ639">
        <v>10</v>
      </c>
      <c r="BK639">
        <v>5</v>
      </c>
      <c r="BL639">
        <v>0.78</v>
      </c>
      <c r="BM639">
        <v>0.56000000000000005</v>
      </c>
      <c r="BN639">
        <v>1.99</v>
      </c>
      <c r="BO639">
        <v>0.77</v>
      </c>
      <c r="BP639">
        <v>1.42</v>
      </c>
      <c r="BQ639">
        <v>-0.04</v>
      </c>
      <c r="BR639">
        <v>1.1599999999999999</v>
      </c>
      <c r="BS639">
        <v>3.13</v>
      </c>
      <c r="BT639">
        <v>-1.1399999999999999</v>
      </c>
      <c r="BU639">
        <v>3.21</v>
      </c>
      <c r="BV639">
        <v>3.38</v>
      </c>
      <c r="BW639">
        <v>1.08</v>
      </c>
      <c r="BX639">
        <v>1.33</v>
      </c>
      <c r="BY639">
        <v>0.95</v>
      </c>
      <c r="BZ639">
        <v>3.52</v>
      </c>
      <c r="CA639">
        <v>2.4300000000000002</v>
      </c>
      <c r="CB639">
        <v>2.21</v>
      </c>
      <c r="CC639">
        <v>1.27</v>
      </c>
      <c r="CD639">
        <v>7.0000000000000007E-2</v>
      </c>
      <c r="CE639">
        <v>1.25</v>
      </c>
      <c r="CF639">
        <v>1.52</v>
      </c>
      <c r="CG639">
        <v>0</v>
      </c>
      <c r="CH639">
        <v>0.61</v>
      </c>
      <c r="CI639">
        <v>0</v>
      </c>
      <c r="CJ639">
        <v>-4.9000000000000004</v>
      </c>
      <c r="CK639">
        <v>80</v>
      </c>
      <c r="CL639">
        <v>-1.22</v>
      </c>
      <c r="CM639">
        <v>75</v>
      </c>
      <c r="CN639">
        <v>-0.55000000000000004</v>
      </c>
      <c r="CO639">
        <v>73</v>
      </c>
      <c r="CP639">
        <v>2.7</v>
      </c>
      <c r="CQ639">
        <v>54</v>
      </c>
      <c r="CR639">
        <v>0</v>
      </c>
      <c r="CS639">
        <v>0</v>
      </c>
      <c r="CT639">
        <v>20.8</v>
      </c>
      <c r="CU639">
        <v>47</v>
      </c>
      <c r="CV639">
        <v>0.06</v>
      </c>
      <c r="CW639">
        <v>42</v>
      </c>
      <c r="CX639" t="s">
        <v>2205</v>
      </c>
    </row>
    <row r="640" spans="1:102" x14ac:dyDescent="0.3">
      <c r="A640" t="str">
        <f>HYPERLINK("https://webapp.icbf.com/v2/app/bull-search/view/948231875","AHB")</f>
        <v>AHB</v>
      </c>
      <c r="B640" t="s">
        <v>8295</v>
      </c>
      <c r="C640" t="s">
        <v>8296</v>
      </c>
      <c r="D640" s="1">
        <v>40949</v>
      </c>
      <c r="E640" t="s">
        <v>92</v>
      </c>
      <c r="F640">
        <v>78</v>
      </c>
      <c r="G640" t="s">
        <v>93</v>
      </c>
      <c r="H640">
        <v>172.26</v>
      </c>
      <c r="I640">
        <v>85</v>
      </c>
      <c r="J640">
        <v>-2.92</v>
      </c>
      <c r="K640">
        <v>96</v>
      </c>
      <c r="L640">
        <v>113.64</v>
      </c>
      <c r="M640">
        <v>76</v>
      </c>
      <c r="N640">
        <v>48.65</v>
      </c>
      <c r="O640">
        <v>84</v>
      </c>
      <c r="P640">
        <v>-10.28</v>
      </c>
      <c r="Q640">
        <v>90</v>
      </c>
      <c r="R640">
        <v>15.93</v>
      </c>
      <c r="S640">
        <v>77</v>
      </c>
      <c r="T640">
        <v>3.76</v>
      </c>
      <c r="U640">
        <v>81</v>
      </c>
      <c r="V640">
        <v>3.48</v>
      </c>
      <c r="W640">
        <v>72</v>
      </c>
      <c r="X640" t="s">
        <v>94</v>
      </c>
      <c r="Y640" t="s">
        <v>1860</v>
      </c>
      <c r="Z640" t="s">
        <v>96</v>
      </c>
      <c r="AA640" t="s">
        <v>8297</v>
      </c>
      <c r="AB640" t="s">
        <v>8298</v>
      </c>
      <c r="AC640">
        <v>77</v>
      </c>
      <c r="AD640">
        <v>52</v>
      </c>
      <c r="AE640">
        <v>96</v>
      </c>
      <c r="AF640">
        <v>-121.36</v>
      </c>
      <c r="AG640">
        <v>-4.96</v>
      </c>
      <c r="AH640">
        <v>-0.6</v>
      </c>
      <c r="AI640">
        <v>0</v>
      </c>
      <c r="AJ640">
        <v>0.06</v>
      </c>
      <c r="AK640">
        <v>76</v>
      </c>
      <c r="AL640">
        <v>82</v>
      </c>
      <c r="AM640">
        <v>56</v>
      </c>
      <c r="AN640">
        <v>-4.83</v>
      </c>
      <c r="AO640">
        <v>4.25</v>
      </c>
      <c r="AP640">
        <v>169</v>
      </c>
      <c r="AQ640">
        <v>4</v>
      </c>
      <c r="AR640">
        <v>6.85</v>
      </c>
      <c r="AS640">
        <v>73</v>
      </c>
      <c r="AT640">
        <v>2.48</v>
      </c>
      <c r="AU640">
        <v>86</v>
      </c>
      <c r="AV640">
        <v>-4.7699999999999996</v>
      </c>
      <c r="AW640">
        <v>95</v>
      </c>
      <c r="AX640">
        <v>-0.18</v>
      </c>
      <c r="AY640">
        <v>80</v>
      </c>
      <c r="AZ640">
        <v>6.12</v>
      </c>
      <c r="BA640">
        <v>63</v>
      </c>
      <c r="BB640">
        <v>4.42</v>
      </c>
      <c r="BC640">
        <v>61</v>
      </c>
      <c r="BD640">
        <v>-0.08</v>
      </c>
      <c r="BE640">
        <v>-7.0000000000000007E-2</v>
      </c>
      <c r="BF640">
        <v>-0.1</v>
      </c>
      <c r="BG640">
        <v>87</v>
      </c>
      <c r="BH640">
        <v>-0.03</v>
      </c>
      <c r="BI640">
        <v>-14.69</v>
      </c>
      <c r="BJ640">
        <v>18</v>
      </c>
      <c r="BK640">
        <v>14</v>
      </c>
      <c r="BL640">
        <v>-0.42</v>
      </c>
      <c r="BM640">
        <v>0.92</v>
      </c>
      <c r="BN640">
        <v>-1.68</v>
      </c>
      <c r="BO640">
        <v>-1.98</v>
      </c>
      <c r="BP640">
        <v>0.06</v>
      </c>
      <c r="BQ640">
        <v>-1.23</v>
      </c>
      <c r="BR640">
        <v>0.09</v>
      </c>
      <c r="BS640">
        <v>-1.52</v>
      </c>
      <c r="BT640">
        <v>-0.8</v>
      </c>
      <c r="BU640">
        <v>-1.19</v>
      </c>
      <c r="BV640">
        <v>-1.7</v>
      </c>
      <c r="BW640">
        <v>-1.54</v>
      </c>
      <c r="BX640">
        <v>-0.5</v>
      </c>
      <c r="BY640">
        <v>-0.65</v>
      </c>
      <c r="BZ640">
        <v>-1.47</v>
      </c>
      <c r="CA640">
        <v>-1.07</v>
      </c>
      <c r="CB640">
        <v>-1.1299999999999999</v>
      </c>
      <c r="CC640">
        <v>-0.4</v>
      </c>
      <c r="CD640">
        <v>1.94</v>
      </c>
      <c r="CE640">
        <v>-1.87</v>
      </c>
      <c r="CF640">
        <v>-0.81</v>
      </c>
      <c r="CG640">
        <v>0</v>
      </c>
      <c r="CH640">
        <v>-0.53</v>
      </c>
      <c r="CI640">
        <v>0</v>
      </c>
      <c r="CJ640">
        <v>-4.3</v>
      </c>
      <c r="CK640">
        <v>92</v>
      </c>
      <c r="CL640">
        <v>-0.79</v>
      </c>
      <c r="CM640">
        <v>90</v>
      </c>
      <c r="CN640">
        <v>-0.28000000000000003</v>
      </c>
      <c r="CO640">
        <v>89</v>
      </c>
      <c r="CP640">
        <v>3.5</v>
      </c>
      <c r="CQ640">
        <v>80</v>
      </c>
      <c r="CR640">
        <v>0</v>
      </c>
      <c r="CS640">
        <v>0</v>
      </c>
      <c r="CT640">
        <v>8.6999999999999993</v>
      </c>
      <c r="CU640">
        <v>81</v>
      </c>
      <c r="CV640">
        <v>0.08</v>
      </c>
      <c r="CW640">
        <v>45</v>
      </c>
      <c r="CX640" t="s">
        <v>8299</v>
      </c>
    </row>
    <row r="641" spans="1:102" x14ac:dyDescent="0.3">
      <c r="A641" t="str">
        <f>HYPERLINK("https://webapp.icbf.com/v2/app/bull-search/view/614840056","FWB")</f>
        <v>FWB</v>
      </c>
      <c r="B641" t="s">
        <v>1632</v>
      </c>
      <c r="C641" t="s">
        <v>1633</v>
      </c>
      <c r="D641" s="1">
        <v>38598</v>
      </c>
      <c r="E641" t="s">
        <v>227</v>
      </c>
      <c r="F641">
        <v>25</v>
      </c>
      <c r="G641" t="s">
        <v>109</v>
      </c>
      <c r="H641">
        <v>172.24</v>
      </c>
      <c r="I641">
        <v>79</v>
      </c>
      <c r="J641">
        <v>50.27</v>
      </c>
      <c r="K641">
        <v>90</v>
      </c>
      <c r="L641">
        <v>77.760000000000005</v>
      </c>
      <c r="M641">
        <v>72</v>
      </c>
      <c r="N641">
        <v>34.840000000000003</v>
      </c>
      <c r="O641">
        <v>75</v>
      </c>
      <c r="P641">
        <v>-43.97</v>
      </c>
      <c r="Q641">
        <v>81</v>
      </c>
      <c r="R641">
        <v>3.77</v>
      </c>
      <c r="S641">
        <v>68</v>
      </c>
      <c r="T641">
        <v>45.57</v>
      </c>
      <c r="U641">
        <v>76</v>
      </c>
      <c r="V641">
        <v>4</v>
      </c>
      <c r="W641">
        <v>69</v>
      </c>
      <c r="X641" t="s">
        <v>276</v>
      </c>
      <c r="Y641" t="s">
        <v>282</v>
      </c>
      <c r="Z641">
        <v>0</v>
      </c>
      <c r="AA641" t="s">
        <v>1634</v>
      </c>
      <c r="AB641" t="s">
        <v>144</v>
      </c>
      <c r="AC641">
        <v>0</v>
      </c>
      <c r="AD641">
        <v>0</v>
      </c>
      <c r="AE641">
        <v>90</v>
      </c>
      <c r="AF641">
        <v>-155.25</v>
      </c>
      <c r="AG641">
        <v>9.9600000000000009</v>
      </c>
      <c r="AH641">
        <v>2.65</v>
      </c>
      <c r="AI641">
        <v>0.28999999999999998</v>
      </c>
      <c r="AJ641">
        <v>0.14000000000000001</v>
      </c>
      <c r="AK641">
        <v>72</v>
      </c>
      <c r="AL641">
        <v>0</v>
      </c>
      <c r="AM641">
        <v>0</v>
      </c>
      <c r="AN641">
        <v>-3.55</v>
      </c>
      <c r="AO641">
        <v>2.66</v>
      </c>
      <c r="AP641">
        <v>26</v>
      </c>
      <c r="AQ641">
        <v>0</v>
      </c>
      <c r="AR641">
        <v>2.97</v>
      </c>
      <c r="AS641">
        <v>70</v>
      </c>
      <c r="AT641">
        <v>1.77</v>
      </c>
      <c r="AU641">
        <v>67</v>
      </c>
      <c r="AV641">
        <v>-2.2799999999999998</v>
      </c>
      <c r="AW641">
        <v>91</v>
      </c>
      <c r="AX641">
        <v>-0.06</v>
      </c>
      <c r="AY641">
        <v>69</v>
      </c>
      <c r="AZ641">
        <v>7.25</v>
      </c>
      <c r="BA641">
        <v>53</v>
      </c>
      <c r="BB641">
        <v>5.26</v>
      </c>
      <c r="BC641">
        <v>57</v>
      </c>
      <c r="BD641">
        <v>-7.0000000000000007E-2</v>
      </c>
      <c r="BE641">
        <v>0</v>
      </c>
      <c r="BF641">
        <v>0.03</v>
      </c>
      <c r="BG641">
        <v>75</v>
      </c>
      <c r="BH641">
        <v>0.08</v>
      </c>
      <c r="BI641">
        <v>-3.65</v>
      </c>
      <c r="BJ641">
        <v>0</v>
      </c>
      <c r="BK641">
        <v>0</v>
      </c>
      <c r="BL641">
        <v>-2.58</v>
      </c>
      <c r="BM641">
        <v>-0.95</v>
      </c>
      <c r="BN641">
        <v>-0.53</v>
      </c>
      <c r="BO641">
        <v>0.23</v>
      </c>
      <c r="BP641">
        <v>-1.37</v>
      </c>
      <c r="BQ641">
        <v>-4.4800000000000004</v>
      </c>
      <c r="BR641">
        <v>1.38</v>
      </c>
      <c r="BS641">
        <v>3.9</v>
      </c>
      <c r="BT641">
        <v>-1.39</v>
      </c>
      <c r="BU641">
        <v>-1.17</v>
      </c>
      <c r="BV641">
        <v>-0.72</v>
      </c>
      <c r="BW641">
        <v>-2.31</v>
      </c>
      <c r="BX641">
        <v>-3.88</v>
      </c>
      <c r="BY641">
        <v>-0.71</v>
      </c>
      <c r="BZ641">
        <v>-0.85</v>
      </c>
      <c r="CA641">
        <v>0.42</v>
      </c>
      <c r="CB641">
        <v>-0.69</v>
      </c>
      <c r="CC641">
        <v>2.56</v>
      </c>
      <c r="CD641">
        <v>-0.72</v>
      </c>
      <c r="CE641">
        <v>0.43</v>
      </c>
      <c r="CF641">
        <v>-2.63</v>
      </c>
      <c r="CG641">
        <v>0</v>
      </c>
      <c r="CH641">
        <v>-0.93</v>
      </c>
      <c r="CI641">
        <v>0</v>
      </c>
      <c r="CJ641">
        <v>-22.4</v>
      </c>
      <c r="CK641">
        <v>83</v>
      </c>
      <c r="CL641">
        <v>-0.82</v>
      </c>
      <c r="CM641">
        <v>79</v>
      </c>
      <c r="CN641">
        <v>-7.0000000000000007E-2</v>
      </c>
      <c r="CO641">
        <v>77</v>
      </c>
      <c r="CP641">
        <v>-36.1</v>
      </c>
      <c r="CQ641">
        <v>75</v>
      </c>
      <c r="CR641">
        <v>0</v>
      </c>
      <c r="CS641">
        <v>0</v>
      </c>
      <c r="CT641">
        <v>-47.8</v>
      </c>
      <c r="CU641">
        <v>76</v>
      </c>
      <c r="CV641">
        <v>-0.21</v>
      </c>
      <c r="CW641">
        <v>42</v>
      </c>
      <c r="CX641" t="s">
        <v>1257</v>
      </c>
    </row>
    <row r="642" spans="1:102" x14ac:dyDescent="0.3">
      <c r="A642" t="str">
        <f>HYPERLINK("https://webapp.icbf.com/v2/app/bull-search/view/1141496745","AJD")</f>
        <v>AJD</v>
      </c>
      <c r="B642" t="s">
        <v>2089</v>
      </c>
      <c r="C642" t="s">
        <v>2090</v>
      </c>
      <c r="D642" s="1">
        <v>41532</v>
      </c>
      <c r="E642" t="s">
        <v>92</v>
      </c>
      <c r="F642">
        <v>100</v>
      </c>
      <c r="G642" t="s">
        <v>93</v>
      </c>
      <c r="H642">
        <v>172.22</v>
      </c>
      <c r="I642">
        <v>79</v>
      </c>
      <c r="J642">
        <v>42.5</v>
      </c>
      <c r="K642">
        <v>94</v>
      </c>
      <c r="L642">
        <v>98.99</v>
      </c>
      <c r="M642">
        <v>75</v>
      </c>
      <c r="N642">
        <v>20.420000000000002</v>
      </c>
      <c r="O642">
        <v>74</v>
      </c>
      <c r="P642">
        <v>-9.27</v>
      </c>
      <c r="Q642">
        <v>76</v>
      </c>
      <c r="R642">
        <v>15.83</v>
      </c>
      <c r="S642">
        <v>75</v>
      </c>
      <c r="T642">
        <v>-1.94</v>
      </c>
      <c r="U642">
        <v>55</v>
      </c>
      <c r="V642">
        <v>5.69</v>
      </c>
      <c r="W642">
        <v>63</v>
      </c>
      <c r="X642" t="s">
        <v>234</v>
      </c>
      <c r="Y642" t="s">
        <v>2066</v>
      </c>
      <c r="Z642" t="s">
        <v>96</v>
      </c>
      <c r="AA642" t="s">
        <v>412</v>
      </c>
      <c r="AB642" t="s">
        <v>2091</v>
      </c>
      <c r="AC642">
        <v>36</v>
      </c>
      <c r="AD642">
        <v>15</v>
      </c>
      <c r="AE642">
        <v>94</v>
      </c>
      <c r="AF642">
        <v>188.43</v>
      </c>
      <c r="AG642">
        <v>13.32</v>
      </c>
      <c r="AH642">
        <v>5.4</v>
      </c>
      <c r="AI642">
        <v>0.1</v>
      </c>
      <c r="AJ642">
        <v>-0.02</v>
      </c>
      <c r="AK642">
        <v>75</v>
      </c>
      <c r="AL642">
        <v>15</v>
      </c>
      <c r="AM642">
        <v>8</v>
      </c>
      <c r="AN642">
        <v>-5.75</v>
      </c>
      <c r="AO642">
        <v>2.14</v>
      </c>
      <c r="AP642">
        <v>97</v>
      </c>
      <c r="AQ642">
        <v>1</v>
      </c>
      <c r="AR642">
        <v>10.24</v>
      </c>
      <c r="AS642">
        <v>70</v>
      </c>
      <c r="AT642">
        <v>4</v>
      </c>
      <c r="AU642">
        <v>86</v>
      </c>
      <c r="AV642">
        <v>-3.98</v>
      </c>
      <c r="AW642">
        <v>80</v>
      </c>
      <c r="AX642">
        <v>7.0000000000000007E-2</v>
      </c>
      <c r="AY642">
        <v>70</v>
      </c>
      <c r="AZ642">
        <v>5.33</v>
      </c>
      <c r="BA642">
        <v>55</v>
      </c>
      <c r="BB642">
        <v>4.1399999999999997</v>
      </c>
      <c r="BC642">
        <v>45</v>
      </c>
      <c r="BD642">
        <v>-0.03</v>
      </c>
      <c r="BE642">
        <v>-0.06</v>
      </c>
      <c r="BF642">
        <v>-0.2</v>
      </c>
      <c r="BG642">
        <v>88</v>
      </c>
      <c r="BH642">
        <v>0.15</v>
      </c>
      <c r="BI642">
        <v>-0.99</v>
      </c>
      <c r="BJ642">
        <v>6</v>
      </c>
      <c r="BK642">
        <v>3</v>
      </c>
      <c r="BL642">
        <v>2.37</v>
      </c>
      <c r="BM642">
        <v>-0.82</v>
      </c>
      <c r="BN642">
        <v>0.57999999999999996</v>
      </c>
      <c r="BO642">
        <v>1.28</v>
      </c>
      <c r="BP642">
        <v>-3.47</v>
      </c>
      <c r="BQ642">
        <v>1.03</v>
      </c>
      <c r="BR642">
        <v>-1.39</v>
      </c>
      <c r="BS642">
        <v>2.54</v>
      </c>
      <c r="BT642">
        <v>3.64</v>
      </c>
      <c r="BU642">
        <v>2.93</v>
      </c>
      <c r="BV642">
        <v>2.68</v>
      </c>
      <c r="BW642">
        <v>2.42</v>
      </c>
      <c r="BX642">
        <v>2.34</v>
      </c>
      <c r="BY642">
        <v>2.0499999999999998</v>
      </c>
      <c r="BZ642">
        <v>-0.33</v>
      </c>
      <c r="CA642">
        <v>2.48</v>
      </c>
      <c r="CB642">
        <v>1.98</v>
      </c>
      <c r="CC642">
        <v>2.09</v>
      </c>
      <c r="CD642">
        <v>-0.63</v>
      </c>
      <c r="CE642">
        <v>1.07</v>
      </c>
      <c r="CF642">
        <v>1.46</v>
      </c>
      <c r="CG642">
        <v>0</v>
      </c>
      <c r="CH642">
        <v>2.84</v>
      </c>
      <c r="CI642">
        <v>0</v>
      </c>
      <c r="CJ642">
        <v>0.2</v>
      </c>
      <c r="CK642">
        <v>79</v>
      </c>
      <c r="CL642">
        <v>-1.42</v>
      </c>
      <c r="CM642">
        <v>75</v>
      </c>
      <c r="CN642">
        <v>-0.42</v>
      </c>
      <c r="CO642">
        <v>73</v>
      </c>
      <c r="CP642">
        <v>1.3</v>
      </c>
      <c r="CQ642">
        <v>62</v>
      </c>
      <c r="CR642">
        <v>0</v>
      </c>
      <c r="CS642">
        <v>0</v>
      </c>
      <c r="CT642">
        <v>16.399999999999999</v>
      </c>
      <c r="CU642">
        <v>55</v>
      </c>
      <c r="CV642">
        <v>0.25</v>
      </c>
      <c r="CW642">
        <v>41</v>
      </c>
      <c r="CX642" t="s">
        <v>353</v>
      </c>
    </row>
    <row r="643" spans="1:102" x14ac:dyDescent="0.3">
      <c r="A643" t="str">
        <f>HYPERLINK("https://webapp.icbf.com/v2/app/bull-search/view/1245438584","FR2278")</f>
        <v>FR2278</v>
      </c>
      <c r="B643" t="s">
        <v>6040</v>
      </c>
      <c r="C643" t="s">
        <v>6041</v>
      </c>
      <c r="D643" s="1">
        <v>42035</v>
      </c>
      <c r="E643" t="s">
        <v>92</v>
      </c>
      <c r="F643">
        <v>72</v>
      </c>
      <c r="G643" t="s">
        <v>93</v>
      </c>
      <c r="H643">
        <v>172.09</v>
      </c>
      <c r="I643">
        <v>81</v>
      </c>
      <c r="J643">
        <v>40.17</v>
      </c>
      <c r="K643">
        <v>95</v>
      </c>
      <c r="L643">
        <v>98.47</v>
      </c>
      <c r="M643">
        <v>72</v>
      </c>
      <c r="N643">
        <v>28.04</v>
      </c>
      <c r="O643">
        <v>84</v>
      </c>
      <c r="P643">
        <v>-19.39</v>
      </c>
      <c r="Q643">
        <v>89</v>
      </c>
      <c r="R643">
        <v>15.09</v>
      </c>
      <c r="S643">
        <v>74</v>
      </c>
      <c r="T643">
        <v>16.420000000000002</v>
      </c>
      <c r="U643">
        <v>62</v>
      </c>
      <c r="V643">
        <v>-6.71</v>
      </c>
      <c r="W643">
        <v>69</v>
      </c>
      <c r="X643" t="s">
        <v>102</v>
      </c>
      <c r="Y643" t="s">
        <v>416</v>
      </c>
      <c r="Z643" t="s">
        <v>96</v>
      </c>
      <c r="AA643" t="s">
        <v>2235</v>
      </c>
      <c r="AB643" t="s">
        <v>6042</v>
      </c>
      <c r="AC643">
        <v>125</v>
      </c>
      <c r="AD643">
        <v>63</v>
      </c>
      <c r="AE643">
        <v>95</v>
      </c>
      <c r="AF643">
        <v>25.91</v>
      </c>
      <c r="AG643">
        <v>7.63</v>
      </c>
      <c r="AH643">
        <v>4.53</v>
      </c>
      <c r="AI643">
        <v>0.12</v>
      </c>
      <c r="AJ643">
        <v>0.06</v>
      </c>
      <c r="AK643">
        <v>72</v>
      </c>
      <c r="AL643">
        <v>0</v>
      </c>
      <c r="AM643">
        <v>0</v>
      </c>
      <c r="AN643">
        <v>-5.6</v>
      </c>
      <c r="AO643">
        <v>2.25</v>
      </c>
      <c r="AP643">
        <v>325</v>
      </c>
      <c r="AQ643">
        <v>1</v>
      </c>
      <c r="AR643">
        <v>6.15</v>
      </c>
      <c r="AS643">
        <v>73</v>
      </c>
      <c r="AT643">
        <v>2.33</v>
      </c>
      <c r="AU643">
        <v>89</v>
      </c>
      <c r="AV643">
        <v>-2.0099999999999998</v>
      </c>
      <c r="AW643">
        <v>97</v>
      </c>
      <c r="AX643">
        <v>-0.43</v>
      </c>
      <c r="AY643">
        <v>84</v>
      </c>
      <c r="AZ643">
        <v>6.2</v>
      </c>
      <c r="BA643">
        <v>68</v>
      </c>
      <c r="BB643">
        <v>4.84</v>
      </c>
      <c r="BC643">
        <v>43</v>
      </c>
      <c r="BD643">
        <v>-0.06</v>
      </c>
      <c r="BE643">
        <v>-0.03</v>
      </c>
      <c r="BF643">
        <v>-0.19</v>
      </c>
      <c r="BG643">
        <v>85</v>
      </c>
      <c r="BH643">
        <v>-0.22</v>
      </c>
      <c r="BI643">
        <v>-3.82</v>
      </c>
      <c r="BJ643">
        <v>0</v>
      </c>
      <c r="BK643">
        <v>0</v>
      </c>
      <c r="BL643">
        <v>-1.41</v>
      </c>
      <c r="BM643">
        <v>1.38</v>
      </c>
      <c r="BN643">
        <v>-0.13</v>
      </c>
      <c r="BO643">
        <v>-1.26</v>
      </c>
      <c r="BP643">
        <v>0.59</v>
      </c>
      <c r="BQ643">
        <v>0.99</v>
      </c>
      <c r="BR643">
        <v>0.73</v>
      </c>
      <c r="BS643">
        <v>-1.02</v>
      </c>
      <c r="BT643">
        <v>-1.97</v>
      </c>
      <c r="BU643">
        <v>-1.55</v>
      </c>
      <c r="BV643">
        <v>-0.9</v>
      </c>
      <c r="BW643">
        <v>-1.66</v>
      </c>
      <c r="BX643">
        <v>-1.8</v>
      </c>
      <c r="BY643">
        <v>-1.73</v>
      </c>
      <c r="BZ643">
        <v>0.67</v>
      </c>
      <c r="CA643">
        <v>-1.06</v>
      </c>
      <c r="CB643">
        <v>-1.05</v>
      </c>
      <c r="CC643">
        <v>-1.03</v>
      </c>
      <c r="CD643">
        <v>1.58</v>
      </c>
      <c r="CE643">
        <v>-1.23</v>
      </c>
      <c r="CF643">
        <v>-0.91</v>
      </c>
      <c r="CG643">
        <v>0</v>
      </c>
      <c r="CH643">
        <v>-1.95</v>
      </c>
      <c r="CI643">
        <v>0</v>
      </c>
      <c r="CJ643">
        <v>-10.8</v>
      </c>
      <c r="CK643">
        <v>92</v>
      </c>
      <c r="CL643">
        <v>-0.6</v>
      </c>
      <c r="CM643">
        <v>90</v>
      </c>
      <c r="CN643">
        <v>-0.28000000000000003</v>
      </c>
      <c r="CO643">
        <v>89</v>
      </c>
      <c r="CP643">
        <v>-10.5</v>
      </c>
      <c r="CQ643">
        <v>64</v>
      </c>
      <c r="CR643">
        <v>0</v>
      </c>
      <c r="CS643">
        <v>0</v>
      </c>
      <c r="CT643">
        <v>-8.4</v>
      </c>
      <c r="CU643">
        <v>62</v>
      </c>
      <c r="CV643">
        <v>-0.1</v>
      </c>
      <c r="CW643">
        <v>45</v>
      </c>
      <c r="CX643" t="s">
        <v>5742</v>
      </c>
    </row>
    <row r="644" spans="1:102" x14ac:dyDescent="0.3">
      <c r="A644" t="str">
        <f>HYPERLINK("https://webapp.icbf.com/v2/app/bull-search/view/863492326","ZCR")</f>
        <v>ZCR</v>
      </c>
      <c r="B644" t="s">
        <v>14683</v>
      </c>
      <c r="C644" t="s">
        <v>14684</v>
      </c>
      <c r="D644" s="1">
        <v>40591</v>
      </c>
      <c r="E644" t="s">
        <v>92</v>
      </c>
      <c r="F644">
        <v>69</v>
      </c>
      <c r="G644" t="s">
        <v>93</v>
      </c>
      <c r="H644">
        <v>172.07</v>
      </c>
      <c r="I644">
        <v>82</v>
      </c>
      <c r="J644">
        <v>41.95</v>
      </c>
      <c r="K644">
        <v>95</v>
      </c>
      <c r="L644">
        <v>80.59</v>
      </c>
      <c r="M644">
        <v>73</v>
      </c>
      <c r="N644">
        <v>47.06</v>
      </c>
      <c r="O644">
        <v>80</v>
      </c>
      <c r="P644">
        <v>-7.83</v>
      </c>
      <c r="Q644">
        <v>83</v>
      </c>
      <c r="R644">
        <v>0.35</v>
      </c>
      <c r="S644">
        <v>74</v>
      </c>
      <c r="T644">
        <v>16.559999999999999</v>
      </c>
      <c r="U644">
        <v>75</v>
      </c>
      <c r="V644">
        <v>-6.61</v>
      </c>
      <c r="W644">
        <v>74</v>
      </c>
      <c r="X644" t="s">
        <v>94</v>
      </c>
      <c r="Y644" t="s">
        <v>1860</v>
      </c>
      <c r="Z644" t="s">
        <v>96</v>
      </c>
      <c r="AA644" t="s">
        <v>6284</v>
      </c>
      <c r="AB644" t="s">
        <v>14685</v>
      </c>
      <c r="AC644">
        <v>45</v>
      </c>
      <c r="AD644">
        <v>32</v>
      </c>
      <c r="AE644">
        <v>95</v>
      </c>
      <c r="AF644">
        <v>87.99</v>
      </c>
      <c r="AG644">
        <v>9.67</v>
      </c>
      <c r="AH644">
        <v>5.0599999999999996</v>
      </c>
      <c r="AI644">
        <v>0.11</v>
      </c>
      <c r="AJ644">
        <v>0.04</v>
      </c>
      <c r="AK644">
        <v>73</v>
      </c>
      <c r="AL644">
        <v>45</v>
      </c>
      <c r="AM644">
        <v>32</v>
      </c>
      <c r="AN644">
        <v>-4.17</v>
      </c>
      <c r="AO644">
        <v>2.2599999999999998</v>
      </c>
      <c r="AP644">
        <v>102</v>
      </c>
      <c r="AQ644">
        <v>0</v>
      </c>
      <c r="AR644">
        <v>5.51</v>
      </c>
      <c r="AS644">
        <v>63</v>
      </c>
      <c r="AT644">
        <v>2.12</v>
      </c>
      <c r="AU644">
        <v>81</v>
      </c>
      <c r="AV644">
        <v>-4.25</v>
      </c>
      <c r="AW644">
        <v>94</v>
      </c>
      <c r="AX644">
        <v>-0.38</v>
      </c>
      <c r="AY644">
        <v>72</v>
      </c>
      <c r="AZ644">
        <v>6.09</v>
      </c>
      <c r="BA644">
        <v>58</v>
      </c>
      <c r="BB644">
        <v>5.15</v>
      </c>
      <c r="BC644">
        <v>56</v>
      </c>
      <c r="BD644">
        <v>0</v>
      </c>
      <c r="BE644">
        <v>-0.02</v>
      </c>
      <c r="BF644">
        <v>0.03</v>
      </c>
      <c r="BG644">
        <v>83</v>
      </c>
      <c r="BH644">
        <v>-0.16</v>
      </c>
      <c r="BI644">
        <v>2.82</v>
      </c>
      <c r="BJ644">
        <v>2</v>
      </c>
      <c r="BK644">
        <v>2</v>
      </c>
      <c r="BL644">
        <v>-1.1599999999999999</v>
      </c>
      <c r="BM644">
        <v>4.21</v>
      </c>
      <c r="BN644">
        <v>0.8</v>
      </c>
      <c r="BO644">
        <v>-1.9</v>
      </c>
      <c r="BP644">
        <v>-1.1200000000000001</v>
      </c>
      <c r="BQ644">
        <v>1.33</v>
      </c>
      <c r="BR644">
        <v>-1.76</v>
      </c>
      <c r="BS644">
        <v>-0.6</v>
      </c>
      <c r="BT644">
        <v>1.48</v>
      </c>
      <c r="BU644">
        <v>-2.09</v>
      </c>
      <c r="BV644">
        <v>-2.17</v>
      </c>
      <c r="BW644">
        <v>-2.72</v>
      </c>
      <c r="BX644">
        <v>-2.16</v>
      </c>
      <c r="BY644">
        <v>-2.11</v>
      </c>
      <c r="BZ644">
        <v>0.44</v>
      </c>
      <c r="CA644">
        <v>-1.42</v>
      </c>
      <c r="CB644">
        <v>-1.74</v>
      </c>
      <c r="CC644">
        <v>-0.65</v>
      </c>
      <c r="CD644">
        <v>2.97</v>
      </c>
      <c r="CE644">
        <v>-1.68</v>
      </c>
      <c r="CF644">
        <v>-7.0000000000000007E-2</v>
      </c>
      <c r="CG644">
        <v>0</v>
      </c>
      <c r="CH644">
        <v>-0.71</v>
      </c>
      <c r="CI644">
        <v>0</v>
      </c>
      <c r="CJ644">
        <v>-4.5999999999999996</v>
      </c>
      <c r="CK644">
        <v>86</v>
      </c>
      <c r="CL644">
        <v>-0.26</v>
      </c>
      <c r="CM644">
        <v>82</v>
      </c>
      <c r="CN644">
        <v>-0.14000000000000001</v>
      </c>
      <c r="CO644">
        <v>80</v>
      </c>
      <c r="CP644">
        <v>-2.9</v>
      </c>
      <c r="CQ644">
        <v>73</v>
      </c>
      <c r="CR644">
        <v>0</v>
      </c>
      <c r="CS644">
        <v>0</v>
      </c>
      <c r="CT644">
        <v>-8.6</v>
      </c>
      <c r="CU644">
        <v>75</v>
      </c>
      <c r="CV644">
        <v>0.02</v>
      </c>
      <c r="CW644">
        <v>44</v>
      </c>
      <c r="CX644" t="s">
        <v>1883</v>
      </c>
    </row>
    <row r="645" spans="1:102" x14ac:dyDescent="0.3">
      <c r="A645" t="str">
        <f>HYPERLINK("https://webapp.icbf.com/v2/app/bull-search/view/946898364","OKW")</f>
        <v>OKW</v>
      </c>
      <c r="B645" t="s">
        <v>13344</v>
      </c>
      <c r="C645" t="s">
        <v>13345</v>
      </c>
      <c r="D645" s="1">
        <v>40943</v>
      </c>
      <c r="E645" t="s">
        <v>92</v>
      </c>
      <c r="F645">
        <v>75</v>
      </c>
      <c r="G645" t="s">
        <v>93</v>
      </c>
      <c r="H645">
        <v>172.05</v>
      </c>
      <c r="I645">
        <v>84</v>
      </c>
      <c r="J645">
        <v>72.400000000000006</v>
      </c>
      <c r="K645">
        <v>96</v>
      </c>
      <c r="L645">
        <v>52.3</v>
      </c>
      <c r="M645">
        <v>74</v>
      </c>
      <c r="N645">
        <v>40.68</v>
      </c>
      <c r="O645">
        <v>84</v>
      </c>
      <c r="P645">
        <v>-8.9600000000000009</v>
      </c>
      <c r="Q645">
        <v>91</v>
      </c>
      <c r="R645">
        <v>-2.57</v>
      </c>
      <c r="S645">
        <v>77</v>
      </c>
      <c r="T645">
        <v>17.3</v>
      </c>
      <c r="U645">
        <v>78</v>
      </c>
      <c r="V645">
        <v>0.9</v>
      </c>
      <c r="W645">
        <v>72</v>
      </c>
      <c r="X645" t="s">
        <v>94</v>
      </c>
      <c r="Y645" t="s">
        <v>389</v>
      </c>
      <c r="Z645" t="s">
        <v>96</v>
      </c>
      <c r="AA645" t="s">
        <v>7631</v>
      </c>
      <c r="AB645" t="s">
        <v>13346</v>
      </c>
      <c r="AC645">
        <v>76</v>
      </c>
      <c r="AD645">
        <v>51</v>
      </c>
      <c r="AE645">
        <v>96</v>
      </c>
      <c r="AF645">
        <v>260.27</v>
      </c>
      <c r="AG645">
        <v>12.88</v>
      </c>
      <c r="AH645">
        <v>11.74</v>
      </c>
      <c r="AI645">
        <v>0.05</v>
      </c>
      <c r="AJ645">
        <v>0.05</v>
      </c>
      <c r="AK645">
        <v>74</v>
      </c>
      <c r="AL645">
        <v>82</v>
      </c>
      <c r="AM645">
        <v>57</v>
      </c>
      <c r="AN645">
        <v>-2.14</v>
      </c>
      <c r="AO645">
        <v>2.04</v>
      </c>
      <c r="AP645">
        <v>194</v>
      </c>
      <c r="AQ645">
        <v>2</v>
      </c>
      <c r="AR645">
        <v>4.8</v>
      </c>
      <c r="AS645">
        <v>73</v>
      </c>
      <c r="AT645">
        <v>1.87</v>
      </c>
      <c r="AU645">
        <v>86</v>
      </c>
      <c r="AV645">
        <v>-2.58</v>
      </c>
      <c r="AW645">
        <v>96</v>
      </c>
      <c r="AX645">
        <v>-0.84</v>
      </c>
      <c r="AY645">
        <v>79</v>
      </c>
      <c r="AZ645">
        <v>5.93</v>
      </c>
      <c r="BA645">
        <v>64</v>
      </c>
      <c r="BB645">
        <v>4.6399999999999997</v>
      </c>
      <c r="BC645">
        <v>59</v>
      </c>
      <c r="BD645">
        <v>0.03</v>
      </c>
      <c r="BE645">
        <v>0.01</v>
      </c>
      <c r="BF645">
        <v>-0.01</v>
      </c>
      <c r="BG645">
        <v>85</v>
      </c>
      <c r="BH645">
        <v>0.06</v>
      </c>
      <c r="BI645">
        <v>4.04</v>
      </c>
      <c r="BJ645">
        <v>5</v>
      </c>
      <c r="BK645">
        <v>2</v>
      </c>
      <c r="BL645">
        <v>-2.1</v>
      </c>
      <c r="BM645">
        <v>2.3199999999999998</v>
      </c>
      <c r="BN645">
        <v>-0.82</v>
      </c>
      <c r="BO645">
        <v>-2.19</v>
      </c>
      <c r="BP645">
        <v>0.39</v>
      </c>
      <c r="BQ645">
        <v>-0.45</v>
      </c>
      <c r="BR645">
        <v>-1.6</v>
      </c>
      <c r="BS645">
        <v>0.85</v>
      </c>
      <c r="BT645">
        <v>0.54</v>
      </c>
      <c r="BU645">
        <v>-1.49</v>
      </c>
      <c r="BV645">
        <v>-1.28</v>
      </c>
      <c r="BW645">
        <v>-1.67</v>
      </c>
      <c r="BX645">
        <v>-2.69</v>
      </c>
      <c r="BY645">
        <v>0.04</v>
      </c>
      <c r="BZ645">
        <v>-1.19</v>
      </c>
      <c r="CA645">
        <v>-1.07</v>
      </c>
      <c r="CB645">
        <v>-1.1599999999999999</v>
      </c>
      <c r="CC645">
        <v>-0.28999999999999998</v>
      </c>
      <c r="CD645">
        <v>2.35</v>
      </c>
      <c r="CE645">
        <v>-1.87</v>
      </c>
      <c r="CF645">
        <v>-1.0900000000000001</v>
      </c>
      <c r="CG645">
        <v>0</v>
      </c>
      <c r="CH645">
        <v>-0.78</v>
      </c>
      <c r="CI645">
        <v>0</v>
      </c>
      <c r="CJ645">
        <v>-4.9000000000000004</v>
      </c>
      <c r="CK645">
        <v>93</v>
      </c>
      <c r="CL645">
        <v>-0.13</v>
      </c>
      <c r="CM645">
        <v>91</v>
      </c>
      <c r="CN645">
        <v>-0.06</v>
      </c>
      <c r="CO645">
        <v>90</v>
      </c>
      <c r="CP645">
        <v>-10.4</v>
      </c>
      <c r="CQ645">
        <v>73</v>
      </c>
      <c r="CR645">
        <v>0</v>
      </c>
      <c r="CS645">
        <v>0</v>
      </c>
      <c r="CT645">
        <v>-9.6</v>
      </c>
      <c r="CU645">
        <v>78</v>
      </c>
      <c r="CV645">
        <v>-0.27</v>
      </c>
      <c r="CW645">
        <v>45</v>
      </c>
      <c r="CX645" t="s">
        <v>3069</v>
      </c>
    </row>
    <row r="646" spans="1:102" x14ac:dyDescent="0.3">
      <c r="A646" t="str">
        <f>HYPERLINK("https://webapp.icbf.com/v2/app/bull-search/view/614839950","CFD")</f>
        <v>CFD</v>
      </c>
      <c r="B646" t="s">
        <v>5052</v>
      </c>
      <c r="C646" t="s">
        <v>5053</v>
      </c>
      <c r="D646" s="1">
        <v>38564</v>
      </c>
      <c r="E646" t="s">
        <v>227</v>
      </c>
      <c r="F646">
        <v>13</v>
      </c>
      <c r="G646" t="s">
        <v>93</v>
      </c>
      <c r="H646">
        <v>172.01</v>
      </c>
      <c r="I646">
        <v>95</v>
      </c>
      <c r="J646">
        <v>85.53</v>
      </c>
      <c r="K646">
        <v>99</v>
      </c>
      <c r="L646">
        <v>48.08</v>
      </c>
      <c r="M646">
        <v>90</v>
      </c>
      <c r="N646">
        <v>35.26</v>
      </c>
      <c r="O646">
        <v>96</v>
      </c>
      <c r="P646">
        <v>-45.1</v>
      </c>
      <c r="Q646">
        <v>99</v>
      </c>
      <c r="R646">
        <v>-1.1200000000000001</v>
      </c>
      <c r="S646">
        <v>90</v>
      </c>
      <c r="T646">
        <v>40.61</v>
      </c>
      <c r="U646">
        <v>97</v>
      </c>
      <c r="V646">
        <v>8.75</v>
      </c>
      <c r="W646">
        <v>92</v>
      </c>
      <c r="X646" t="s">
        <v>276</v>
      </c>
      <c r="Y646" t="s">
        <v>1524</v>
      </c>
      <c r="Z646">
        <v>0</v>
      </c>
      <c r="AA646" t="s">
        <v>5054</v>
      </c>
      <c r="AB646" t="s">
        <v>5055</v>
      </c>
      <c r="AC646">
        <v>582</v>
      </c>
      <c r="AD646">
        <v>176</v>
      </c>
      <c r="AE646">
        <v>99</v>
      </c>
      <c r="AF646">
        <v>-268.05</v>
      </c>
      <c r="AG646">
        <v>11.6</v>
      </c>
      <c r="AH646">
        <v>6.34</v>
      </c>
      <c r="AI646">
        <v>0.4</v>
      </c>
      <c r="AJ646">
        <v>0.28000000000000003</v>
      </c>
      <c r="AK646">
        <v>90</v>
      </c>
      <c r="AL646">
        <v>639</v>
      </c>
      <c r="AM646">
        <v>194</v>
      </c>
      <c r="AN646">
        <v>-1.43</v>
      </c>
      <c r="AO646">
        <v>2.42</v>
      </c>
      <c r="AP646">
        <v>1117</v>
      </c>
      <c r="AQ646">
        <v>9</v>
      </c>
      <c r="AR646">
        <v>3.55</v>
      </c>
      <c r="AS646">
        <v>95</v>
      </c>
      <c r="AT646">
        <v>1.51</v>
      </c>
      <c r="AU646">
        <v>96</v>
      </c>
      <c r="AV646">
        <v>-2.06</v>
      </c>
      <c r="AW646">
        <v>99</v>
      </c>
      <c r="AX646">
        <v>-0.93</v>
      </c>
      <c r="AY646">
        <v>96</v>
      </c>
      <c r="AZ646">
        <v>6.49</v>
      </c>
      <c r="BA646">
        <v>88</v>
      </c>
      <c r="BB646">
        <v>5.6</v>
      </c>
      <c r="BC646">
        <v>90</v>
      </c>
      <c r="BD646">
        <v>0.01</v>
      </c>
      <c r="BE646">
        <v>0.01</v>
      </c>
      <c r="BF646">
        <v>-0.01</v>
      </c>
      <c r="BG646">
        <v>97</v>
      </c>
      <c r="BH646">
        <v>0.27</v>
      </c>
      <c r="BI646">
        <v>3</v>
      </c>
      <c r="BJ646">
        <v>18</v>
      </c>
      <c r="BK646">
        <v>11</v>
      </c>
      <c r="BL646">
        <v>-2.77</v>
      </c>
      <c r="BM646">
        <v>-0.81</v>
      </c>
      <c r="BN646">
        <v>-2.58</v>
      </c>
      <c r="BO646">
        <v>-1.31</v>
      </c>
      <c r="BP646">
        <v>0.7</v>
      </c>
      <c r="BQ646">
        <v>-4.74</v>
      </c>
      <c r="BR646">
        <v>0.94</v>
      </c>
      <c r="BS646">
        <v>2.33</v>
      </c>
      <c r="BT646">
        <v>-1.02</v>
      </c>
      <c r="BU646">
        <v>-0.97</v>
      </c>
      <c r="BV646">
        <v>-1.43</v>
      </c>
      <c r="BW646">
        <v>-2.3199999999999998</v>
      </c>
      <c r="BX646">
        <v>-2.13</v>
      </c>
      <c r="BY646">
        <v>-0.88</v>
      </c>
      <c r="BZ646">
        <v>-4.59</v>
      </c>
      <c r="CA646">
        <v>-0.32</v>
      </c>
      <c r="CB646">
        <v>-1.27</v>
      </c>
      <c r="CC646">
        <v>1.45</v>
      </c>
      <c r="CD646">
        <v>0.23</v>
      </c>
      <c r="CE646">
        <v>-0.92</v>
      </c>
      <c r="CF646">
        <v>-3.52</v>
      </c>
      <c r="CG646">
        <v>0</v>
      </c>
      <c r="CH646">
        <v>-0.96</v>
      </c>
      <c r="CI646">
        <v>0</v>
      </c>
      <c r="CJ646">
        <v>-20.7</v>
      </c>
      <c r="CK646">
        <v>99</v>
      </c>
      <c r="CL646">
        <v>-0.97</v>
      </c>
      <c r="CM646">
        <v>99</v>
      </c>
      <c r="CN646">
        <v>0.16</v>
      </c>
      <c r="CO646">
        <v>98</v>
      </c>
      <c r="CP646">
        <v>-31</v>
      </c>
      <c r="CQ646">
        <v>96</v>
      </c>
      <c r="CR646">
        <v>0</v>
      </c>
      <c r="CS646">
        <v>0</v>
      </c>
      <c r="CT646">
        <v>-41.1</v>
      </c>
      <c r="CU646">
        <v>97</v>
      </c>
      <c r="CV646">
        <v>-0.02</v>
      </c>
      <c r="CW646">
        <v>46</v>
      </c>
      <c r="CX646" t="s">
        <v>5056</v>
      </c>
    </row>
    <row r="647" spans="1:102" x14ac:dyDescent="0.3">
      <c r="A647" t="str">
        <f>HYPERLINK("https://webapp.icbf.com/v2/app/bull-search/view/1376537108","FR4265")</f>
        <v>FR4265</v>
      </c>
      <c r="B647" t="s">
        <v>7203</v>
      </c>
      <c r="C647" t="s">
        <v>7204</v>
      </c>
      <c r="D647" s="1">
        <v>42071</v>
      </c>
      <c r="E647" t="s">
        <v>92</v>
      </c>
      <c r="F647">
        <v>100</v>
      </c>
      <c r="G647" t="s">
        <v>109</v>
      </c>
      <c r="H647">
        <v>171.87</v>
      </c>
      <c r="I647">
        <v>74</v>
      </c>
      <c r="J647">
        <v>82.49</v>
      </c>
      <c r="K647">
        <v>91</v>
      </c>
      <c r="L647">
        <v>16.53</v>
      </c>
      <c r="M647">
        <v>74</v>
      </c>
      <c r="N647">
        <v>50.26</v>
      </c>
      <c r="O647">
        <v>80</v>
      </c>
      <c r="P647">
        <v>-8.07</v>
      </c>
      <c r="Q647">
        <v>48</v>
      </c>
      <c r="R647">
        <v>29.88</v>
      </c>
      <c r="S647">
        <v>67</v>
      </c>
      <c r="T647">
        <v>1.17</v>
      </c>
      <c r="U647">
        <v>40</v>
      </c>
      <c r="V647">
        <v>-0.39</v>
      </c>
      <c r="W647">
        <v>56</v>
      </c>
      <c r="X647" t="s">
        <v>276</v>
      </c>
      <c r="Y647" t="s">
        <v>2261</v>
      </c>
      <c r="Z647" t="s">
        <v>96</v>
      </c>
      <c r="AA647" t="s">
        <v>6247</v>
      </c>
      <c r="AB647" t="s">
        <v>7205</v>
      </c>
      <c r="AC647">
        <v>0</v>
      </c>
      <c r="AD647">
        <v>0</v>
      </c>
      <c r="AE647">
        <v>91</v>
      </c>
      <c r="AF647">
        <v>88.41</v>
      </c>
      <c r="AG647">
        <v>17.05</v>
      </c>
      <c r="AH647">
        <v>9.35</v>
      </c>
      <c r="AI647">
        <v>0.23</v>
      </c>
      <c r="AJ647">
        <v>0.11</v>
      </c>
      <c r="AK647">
        <v>74</v>
      </c>
      <c r="AL647">
        <v>0</v>
      </c>
      <c r="AM647">
        <v>0</v>
      </c>
      <c r="AN647">
        <v>0.04</v>
      </c>
      <c r="AO647">
        <v>1.37</v>
      </c>
      <c r="AP647">
        <v>163</v>
      </c>
      <c r="AQ647">
        <v>0</v>
      </c>
      <c r="AR647">
        <v>4.72</v>
      </c>
      <c r="AS647">
        <v>73</v>
      </c>
      <c r="AT647">
        <v>1.72</v>
      </c>
      <c r="AU647">
        <v>90</v>
      </c>
      <c r="AV647">
        <v>-4.51</v>
      </c>
      <c r="AW647">
        <v>93</v>
      </c>
      <c r="AX647">
        <v>0.39</v>
      </c>
      <c r="AY647">
        <v>77</v>
      </c>
      <c r="AZ647">
        <v>6.03</v>
      </c>
      <c r="BA647">
        <v>40</v>
      </c>
      <c r="BB647">
        <v>5.34</v>
      </c>
      <c r="BC647">
        <v>37</v>
      </c>
      <c r="BD647">
        <v>-0.12</v>
      </c>
      <c r="BE647">
        <v>-0.13</v>
      </c>
      <c r="BF647">
        <v>-0.24</v>
      </c>
      <c r="BG647">
        <v>81</v>
      </c>
      <c r="BH647">
        <v>0.01</v>
      </c>
      <c r="BI647">
        <v>2.41</v>
      </c>
      <c r="BJ647">
        <v>0</v>
      </c>
      <c r="BK647">
        <v>0</v>
      </c>
      <c r="BL647">
        <v>0.62</v>
      </c>
      <c r="BM647">
        <v>-0.1</v>
      </c>
      <c r="BN647">
        <v>0.21</v>
      </c>
      <c r="BO647">
        <v>0.89</v>
      </c>
      <c r="BP647">
        <v>0.51</v>
      </c>
      <c r="BQ647">
        <v>-0.57999999999999996</v>
      </c>
      <c r="BR647">
        <v>0.24</v>
      </c>
      <c r="BS647">
        <v>1.2</v>
      </c>
      <c r="BT647">
        <v>0.87</v>
      </c>
      <c r="BU647">
        <v>2.67</v>
      </c>
      <c r="BV647">
        <v>1.83</v>
      </c>
      <c r="BW647">
        <v>1.64</v>
      </c>
      <c r="BX647">
        <v>2.17</v>
      </c>
      <c r="BY647">
        <v>1.41</v>
      </c>
      <c r="BZ647">
        <v>0.27</v>
      </c>
      <c r="CA647">
        <v>1.94</v>
      </c>
      <c r="CB647">
        <v>2.0499999999999998</v>
      </c>
      <c r="CC647">
        <v>1.07</v>
      </c>
      <c r="CD647">
        <v>-0.55000000000000004</v>
      </c>
      <c r="CE647">
        <v>0.51</v>
      </c>
      <c r="CF647">
        <v>0.64</v>
      </c>
      <c r="CG647">
        <v>0</v>
      </c>
      <c r="CH647">
        <v>1.71</v>
      </c>
      <c r="CI647">
        <v>0</v>
      </c>
      <c r="CJ647">
        <v>-1.6</v>
      </c>
      <c r="CK647">
        <v>52</v>
      </c>
      <c r="CL647">
        <v>-1.26</v>
      </c>
      <c r="CM647">
        <v>44</v>
      </c>
      <c r="CN647">
        <v>-0.57999999999999996</v>
      </c>
      <c r="CO647">
        <v>44</v>
      </c>
      <c r="CP647">
        <v>2.2999999999999998</v>
      </c>
      <c r="CQ647">
        <v>42</v>
      </c>
      <c r="CR647">
        <v>0</v>
      </c>
      <c r="CS647">
        <v>0</v>
      </c>
      <c r="CT647">
        <v>12.2</v>
      </c>
      <c r="CU647">
        <v>40</v>
      </c>
      <c r="CV647">
        <v>0.28999999999999998</v>
      </c>
      <c r="CW647">
        <v>36</v>
      </c>
      <c r="CX647" t="s">
        <v>1955</v>
      </c>
    </row>
    <row r="648" spans="1:102" x14ac:dyDescent="0.3">
      <c r="A648" t="str">
        <f>HYPERLINK("https://webapp.icbf.com/v2/app/bull-search/view/867786210","OYZ")</f>
        <v>OYZ</v>
      </c>
      <c r="B648" t="s">
        <v>13098</v>
      </c>
      <c r="C648" t="s">
        <v>13099</v>
      </c>
      <c r="D648" s="1">
        <v>40609</v>
      </c>
      <c r="E648" t="s">
        <v>92</v>
      </c>
      <c r="F648">
        <v>59</v>
      </c>
      <c r="G648" t="s">
        <v>93</v>
      </c>
      <c r="H648">
        <v>171.68</v>
      </c>
      <c r="I648">
        <v>90</v>
      </c>
      <c r="J648">
        <v>64.73</v>
      </c>
      <c r="K648">
        <v>98</v>
      </c>
      <c r="L648">
        <v>91.23</v>
      </c>
      <c r="M648">
        <v>83</v>
      </c>
      <c r="N648">
        <v>5.39</v>
      </c>
      <c r="O648">
        <v>92</v>
      </c>
      <c r="P648">
        <v>-2</v>
      </c>
      <c r="Q648">
        <v>96</v>
      </c>
      <c r="R648">
        <v>1.55</v>
      </c>
      <c r="S648">
        <v>84</v>
      </c>
      <c r="T648">
        <v>6.06</v>
      </c>
      <c r="U648">
        <v>89</v>
      </c>
      <c r="V648">
        <v>4.72</v>
      </c>
      <c r="W648">
        <v>77</v>
      </c>
      <c r="X648" t="s">
        <v>94</v>
      </c>
      <c r="Y648" t="s">
        <v>1860</v>
      </c>
      <c r="Z648" t="s">
        <v>96</v>
      </c>
      <c r="AA648" t="s">
        <v>1942</v>
      </c>
      <c r="AB648" t="s">
        <v>13100</v>
      </c>
      <c r="AC648">
        <v>265</v>
      </c>
      <c r="AD648">
        <v>127</v>
      </c>
      <c r="AE648">
        <v>98</v>
      </c>
      <c r="AF648">
        <v>34.51</v>
      </c>
      <c r="AG648">
        <v>11.3</v>
      </c>
      <c r="AH648">
        <v>7.54</v>
      </c>
      <c r="AI648">
        <v>0.17</v>
      </c>
      <c r="AJ648">
        <v>0.11</v>
      </c>
      <c r="AK648">
        <v>83</v>
      </c>
      <c r="AL648">
        <v>304</v>
      </c>
      <c r="AM648">
        <v>154</v>
      </c>
      <c r="AN648">
        <v>-4.6500000000000004</v>
      </c>
      <c r="AO648">
        <v>2.63</v>
      </c>
      <c r="AP648">
        <v>553</v>
      </c>
      <c r="AQ648">
        <v>7</v>
      </c>
      <c r="AR648">
        <v>7.73</v>
      </c>
      <c r="AS648">
        <v>82</v>
      </c>
      <c r="AT648">
        <v>3.18</v>
      </c>
      <c r="AU648">
        <v>94</v>
      </c>
      <c r="AV648">
        <v>-0.78</v>
      </c>
      <c r="AW648">
        <v>99</v>
      </c>
      <c r="AX648">
        <v>0.93</v>
      </c>
      <c r="AY648">
        <v>91</v>
      </c>
      <c r="AZ648">
        <v>5.79</v>
      </c>
      <c r="BA648">
        <v>79</v>
      </c>
      <c r="BB648">
        <v>4.68</v>
      </c>
      <c r="BC648">
        <v>77</v>
      </c>
      <c r="BD648">
        <v>-0.01</v>
      </c>
      <c r="BE648">
        <v>-0.01</v>
      </c>
      <c r="BF648">
        <v>0</v>
      </c>
      <c r="BG648">
        <v>93</v>
      </c>
      <c r="BH648">
        <v>0.08</v>
      </c>
      <c r="BI648">
        <v>-5.96</v>
      </c>
      <c r="BJ648">
        <v>42</v>
      </c>
      <c r="BK648">
        <v>19</v>
      </c>
      <c r="BL648">
        <v>-1.1100000000000001</v>
      </c>
      <c r="BM648">
        <v>2.38</v>
      </c>
      <c r="BN648">
        <v>-0.44</v>
      </c>
      <c r="BO648">
        <v>-2.0099999999999998</v>
      </c>
      <c r="BP648">
        <v>-1.01</v>
      </c>
      <c r="BQ648">
        <v>1.02</v>
      </c>
      <c r="BR648">
        <v>-0.99</v>
      </c>
      <c r="BS648">
        <v>-1.07</v>
      </c>
      <c r="BT648">
        <v>0.78</v>
      </c>
      <c r="BU648">
        <v>-0.96</v>
      </c>
      <c r="BV648">
        <v>-2.37</v>
      </c>
      <c r="BW648">
        <v>-2.5</v>
      </c>
      <c r="BX648">
        <v>-1.0900000000000001</v>
      </c>
      <c r="BY648">
        <v>-1.32</v>
      </c>
      <c r="BZ648">
        <v>-1.77</v>
      </c>
      <c r="CA648">
        <v>-1.44</v>
      </c>
      <c r="CB648">
        <v>-1.33</v>
      </c>
      <c r="CC648">
        <v>-1.1200000000000001</v>
      </c>
      <c r="CD648">
        <v>1.24</v>
      </c>
      <c r="CE648">
        <v>-1.48</v>
      </c>
      <c r="CF648">
        <v>-0.51</v>
      </c>
      <c r="CG648">
        <v>0</v>
      </c>
      <c r="CH648">
        <v>-1.31</v>
      </c>
      <c r="CI648">
        <v>0</v>
      </c>
      <c r="CJ648">
        <v>1.4</v>
      </c>
      <c r="CK648">
        <v>97</v>
      </c>
      <c r="CL648">
        <v>-0.42</v>
      </c>
      <c r="CM648">
        <v>97</v>
      </c>
      <c r="CN648">
        <v>-0.02</v>
      </c>
      <c r="CO648">
        <v>96</v>
      </c>
      <c r="CP648">
        <v>1.1000000000000001</v>
      </c>
      <c r="CQ648">
        <v>89</v>
      </c>
      <c r="CR648">
        <v>0</v>
      </c>
      <c r="CS648">
        <v>0</v>
      </c>
      <c r="CT648">
        <v>5.6</v>
      </c>
      <c r="CU648">
        <v>89</v>
      </c>
      <c r="CV648">
        <v>0.16</v>
      </c>
      <c r="CW648">
        <v>48</v>
      </c>
      <c r="CX648" t="s">
        <v>8615</v>
      </c>
    </row>
    <row r="649" spans="1:102" x14ac:dyDescent="0.3">
      <c r="A649" t="str">
        <f>HYPERLINK("https://webapp.icbf.com/v2/app/bull-search/view/494925437","EUW")</f>
        <v>EUW</v>
      </c>
      <c r="B649" t="s">
        <v>8195</v>
      </c>
      <c r="C649" t="s">
        <v>8196</v>
      </c>
      <c r="D649" s="1">
        <v>39113</v>
      </c>
      <c r="E649" t="s">
        <v>92</v>
      </c>
      <c r="F649">
        <v>50</v>
      </c>
      <c r="G649" t="s">
        <v>93</v>
      </c>
      <c r="H649">
        <v>171.63</v>
      </c>
      <c r="I649">
        <v>96</v>
      </c>
      <c r="J649">
        <v>85.39</v>
      </c>
      <c r="K649">
        <v>99</v>
      </c>
      <c r="L649">
        <v>47.35</v>
      </c>
      <c r="M649">
        <v>92</v>
      </c>
      <c r="N649">
        <v>31.52</v>
      </c>
      <c r="O649">
        <v>97</v>
      </c>
      <c r="P649">
        <v>-28.76</v>
      </c>
      <c r="Q649">
        <v>99</v>
      </c>
      <c r="R649">
        <v>-4.03</v>
      </c>
      <c r="S649">
        <v>92</v>
      </c>
      <c r="T649">
        <v>34.92</v>
      </c>
      <c r="U649">
        <v>99</v>
      </c>
      <c r="V649">
        <v>5.24</v>
      </c>
      <c r="W649">
        <v>93</v>
      </c>
      <c r="X649" t="s">
        <v>276</v>
      </c>
      <c r="Y649" t="s">
        <v>1128</v>
      </c>
      <c r="Z649" t="s">
        <v>528</v>
      </c>
      <c r="AA649" t="s">
        <v>1928</v>
      </c>
      <c r="AB649" t="s">
        <v>8197</v>
      </c>
      <c r="AC649">
        <v>1555</v>
      </c>
      <c r="AD649">
        <v>298</v>
      </c>
      <c r="AE649">
        <v>99</v>
      </c>
      <c r="AF649">
        <v>0.5</v>
      </c>
      <c r="AG649">
        <v>16.96</v>
      </c>
      <c r="AH649">
        <v>8.5299999999999994</v>
      </c>
      <c r="AI649">
        <v>0.3</v>
      </c>
      <c r="AJ649">
        <v>0.15</v>
      </c>
      <c r="AK649">
        <v>92</v>
      </c>
      <c r="AL649">
        <v>1437</v>
      </c>
      <c r="AM649">
        <v>312</v>
      </c>
      <c r="AN649">
        <v>-2.25</v>
      </c>
      <c r="AO649">
        <v>1.53</v>
      </c>
      <c r="AP649">
        <v>3609</v>
      </c>
      <c r="AQ649">
        <v>18</v>
      </c>
      <c r="AR649">
        <v>4.46</v>
      </c>
      <c r="AS649">
        <v>99</v>
      </c>
      <c r="AT649">
        <v>1.83</v>
      </c>
      <c r="AU649">
        <v>98</v>
      </c>
      <c r="AV649">
        <v>-2.33</v>
      </c>
      <c r="AW649">
        <v>99</v>
      </c>
      <c r="AX649">
        <v>-0.57999999999999996</v>
      </c>
      <c r="AY649">
        <v>98</v>
      </c>
      <c r="AZ649">
        <v>7.61</v>
      </c>
      <c r="BA649">
        <v>95</v>
      </c>
      <c r="BB649">
        <v>5.58</v>
      </c>
      <c r="BC649">
        <v>91</v>
      </c>
      <c r="BD649">
        <v>-0.02</v>
      </c>
      <c r="BE649">
        <v>0.04</v>
      </c>
      <c r="BF649">
        <v>0.05</v>
      </c>
      <c r="BG649">
        <v>98</v>
      </c>
      <c r="BH649">
        <v>0.14000000000000001</v>
      </c>
      <c r="BI649">
        <v>-0.7</v>
      </c>
      <c r="BJ649">
        <v>17</v>
      </c>
      <c r="BK649">
        <v>14</v>
      </c>
      <c r="BL649">
        <v>-2.91</v>
      </c>
      <c r="BM649">
        <v>-0.2</v>
      </c>
      <c r="BN649">
        <v>-0.43</v>
      </c>
      <c r="BO649">
        <v>-0.37</v>
      </c>
      <c r="BP649">
        <v>0.1</v>
      </c>
      <c r="BQ649">
        <v>-3.55</v>
      </c>
      <c r="BR649">
        <v>2.11</v>
      </c>
      <c r="BS649">
        <v>2.11</v>
      </c>
      <c r="BT649">
        <v>-0.46</v>
      </c>
      <c r="BU649">
        <v>-1.82</v>
      </c>
      <c r="BV649">
        <v>-0.96</v>
      </c>
      <c r="BW649">
        <v>-2.2400000000000002</v>
      </c>
      <c r="BX649">
        <v>-3.46</v>
      </c>
      <c r="BY649">
        <v>0.73</v>
      </c>
      <c r="BZ649">
        <v>0.41</v>
      </c>
      <c r="CA649">
        <v>-0.82</v>
      </c>
      <c r="CB649">
        <v>-1.1399999999999999</v>
      </c>
      <c r="CC649">
        <v>0.37</v>
      </c>
      <c r="CD649">
        <v>-7.0000000000000007E-2</v>
      </c>
      <c r="CE649">
        <v>-0.15</v>
      </c>
      <c r="CF649">
        <v>-2.56</v>
      </c>
      <c r="CG649">
        <v>0</v>
      </c>
      <c r="CH649">
        <v>-1.38</v>
      </c>
      <c r="CI649">
        <v>0</v>
      </c>
      <c r="CJ649">
        <v>-14.4</v>
      </c>
      <c r="CK649">
        <v>99</v>
      </c>
      <c r="CL649">
        <v>-0.5</v>
      </c>
      <c r="CM649">
        <v>99</v>
      </c>
      <c r="CN649">
        <v>-0.04</v>
      </c>
      <c r="CO649">
        <v>99</v>
      </c>
      <c r="CP649">
        <v>-28</v>
      </c>
      <c r="CQ649">
        <v>97</v>
      </c>
      <c r="CR649">
        <v>0</v>
      </c>
      <c r="CS649">
        <v>0</v>
      </c>
      <c r="CT649">
        <v>-33.4</v>
      </c>
      <c r="CU649">
        <v>99</v>
      </c>
      <c r="CV649">
        <v>-0.15</v>
      </c>
      <c r="CW649">
        <v>46</v>
      </c>
      <c r="CX649" t="s">
        <v>3162</v>
      </c>
    </row>
    <row r="650" spans="1:102" x14ac:dyDescent="0.3">
      <c r="A650" t="str">
        <f>HYPERLINK("https://webapp.icbf.com/v2/app/bull-search/view/586064033","WGM")</f>
        <v>WGM</v>
      </c>
      <c r="B650" t="s">
        <v>12703</v>
      </c>
      <c r="C650" t="s">
        <v>392</v>
      </c>
      <c r="D650" s="1">
        <v>39246</v>
      </c>
      <c r="E650" t="s">
        <v>92</v>
      </c>
      <c r="F650">
        <v>56</v>
      </c>
      <c r="G650" t="s">
        <v>93</v>
      </c>
      <c r="H650">
        <v>171.63</v>
      </c>
      <c r="I650">
        <v>97</v>
      </c>
      <c r="J650">
        <v>102.86</v>
      </c>
      <c r="K650">
        <v>99</v>
      </c>
      <c r="L650">
        <v>19.48</v>
      </c>
      <c r="M650">
        <v>94</v>
      </c>
      <c r="N650">
        <v>48.39</v>
      </c>
      <c r="O650">
        <v>98</v>
      </c>
      <c r="P650">
        <v>-37.479999999999997</v>
      </c>
      <c r="Q650">
        <v>99</v>
      </c>
      <c r="R650">
        <v>3.1</v>
      </c>
      <c r="S650">
        <v>94</v>
      </c>
      <c r="T650">
        <v>30.92</v>
      </c>
      <c r="U650">
        <v>99</v>
      </c>
      <c r="V650">
        <v>4.3600000000000003</v>
      </c>
      <c r="W650">
        <v>93</v>
      </c>
      <c r="X650" t="s">
        <v>276</v>
      </c>
      <c r="Y650" t="s">
        <v>329</v>
      </c>
      <c r="Z650" t="s">
        <v>330</v>
      </c>
      <c r="AA650" t="s">
        <v>6978</v>
      </c>
      <c r="AB650" t="s">
        <v>12704</v>
      </c>
      <c r="AC650">
        <v>1037</v>
      </c>
      <c r="AD650">
        <v>282</v>
      </c>
      <c r="AE650">
        <v>99</v>
      </c>
      <c r="AF650">
        <v>159.18</v>
      </c>
      <c r="AG650">
        <v>18.63</v>
      </c>
      <c r="AH650">
        <v>13.34</v>
      </c>
      <c r="AI650">
        <v>0.21</v>
      </c>
      <c r="AJ650">
        <v>0.14000000000000001</v>
      </c>
      <c r="AK650">
        <v>94</v>
      </c>
      <c r="AL650">
        <v>1114</v>
      </c>
      <c r="AM650">
        <v>312</v>
      </c>
      <c r="AN650">
        <v>0.2</v>
      </c>
      <c r="AO650">
        <v>1.77</v>
      </c>
      <c r="AP650">
        <v>2032</v>
      </c>
      <c r="AQ650">
        <v>18</v>
      </c>
      <c r="AR650">
        <v>5.19</v>
      </c>
      <c r="AS650">
        <v>96</v>
      </c>
      <c r="AT650">
        <v>2.2999999999999998</v>
      </c>
      <c r="AU650">
        <v>98</v>
      </c>
      <c r="AV650">
        <v>-4.3</v>
      </c>
      <c r="AW650">
        <v>99</v>
      </c>
      <c r="AX650">
        <v>-0.33</v>
      </c>
      <c r="AY650">
        <v>98</v>
      </c>
      <c r="AZ650">
        <v>6.01</v>
      </c>
      <c r="BA650">
        <v>94</v>
      </c>
      <c r="BB650">
        <v>4.8499999999999996</v>
      </c>
      <c r="BC650">
        <v>95</v>
      </c>
      <c r="BD650">
        <v>-0.05</v>
      </c>
      <c r="BE650">
        <v>-0.02</v>
      </c>
      <c r="BF650">
        <v>0.05</v>
      </c>
      <c r="BG650">
        <v>98</v>
      </c>
      <c r="BH650">
        <v>-0.06</v>
      </c>
      <c r="BI650">
        <v>-20.99</v>
      </c>
      <c r="BJ650">
        <v>20</v>
      </c>
      <c r="BK650">
        <v>6</v>
      </c>
      <c r="BL650">
        <v>-1.74</v>
      </c>
      <c r="BM650">
        <v>-2.12</v>
      </c>
      <c r="BN650">
        <v>-2.25</v>
      </c>
      <c r="BO650">
        <v>-0.62</v>
      </c>
      <c r="BP650">
        <v>3.51</v>
      </c>
      <c r="BQ650">
        <v>-2.93</v>
      </c>
      <c r="BR650">
        <v>3.16</v>
      </c>
      <c r="BS650">
        <v>1.84</v>
      </c>
      <c r="BT650">
        <v>-2.44</v>
      </c>
      <c r="BU650">
        <v>-3.07</v>
      </c>
      <c r="BV650">
        <v>-2.39</v>
      </c>
      <c r="BW650">
        <v>-3.87</v>
      </c>
      <c r="BX650">
        <v>-2.5299999999999998</v>
      </c>
      <c r="BY650">
        <v>-3.23</v>
      </c>
      <c r="BZ650">
        <v>0.27</v>
      </c>
      <c r="CA650">
        <v>-2.81</v>
      </c>
      <c r="CB650">
        <v>-3.03</v>
      </c>
      <c r="CC650">
        <v>0.48</v>
      </c>
      <c r="CD650">
        <v>-0.61</v>
      </c>
      <c r="CE650">
        <v>-0.65</v>
      </c>
      <c r="CF650">
        <v>-4.1399999999999997</v>
      </c>
      <c r="CG650">
        <v>0</v>
      </c>
      <c r="CH650">
        <v>-3.84</v>
      </c>
      <c r="CI650">
        <v>0</v>
      </c>
      <c r="CJ650">
        <v>-19.2</v>
      </c>
      <c r="CK650">
        <v>99</v>
      </c>
      <c r="CL650">
        <v>-0.96</v>
      </c>
      <c r="CM650">
        <v>99</v>
      </c>
      <c r="CN650">
        <v>-0.18</v>
      </c>
      <c r="CO650">
        <v>99</v>
      </c>
      <c r="CP650">
        <v>-21.2</v>
      </c>
      <c r="CQ650">
        <v>98</v>
      </c>
      <c r="CR650">
        <v>0</v>
      </c>
      <c r="CS650">
        <v>0</v>
      </c>
      <c r="CT650">
        <v>-28</v>
      </c>
      <c r="CU650">
        <v>99</v>
      </c>
      <c r="CV650">
        <v>0.01</v>
      </c>
      <c r="CW650">
        <v>47</v>
      </c>
      <c r="CX650" t="s">
        <v>4580</v>
      </c>
    </row>
    <row r="651" spans="1:102" x14ac:dyDescent="0.3">
      <c r="A651" t="str">
        <f>HYPERLINK("https://webapp.icbf.com/v2/app/bull-search/view/1253205289","FR4079")</f>
        <v>FR4079</v>
      </c>
      <c r="B651" t="s">
        <v>6162</v>
      </c>
      <c r="C651" t="s">
        <v>6163</v>
      </c>
      <c r="D651" s="1">
        <v>42052</v>
      </c>
      <c r="E651" t="s">
        <v>108</v>
      </c>
      <c r="F651">
        <v>16</v>
      </c>
      <c r="G651" t="s">
        <v>435</v>
      </c>
      <c r="H651">
        <v>171.53</v>
      </c>
      <c r="I651">
        <v>70</v>
      </c>
      <c r="J651">
        <v>38.44</v>
      </c>
      <c r="K651">
        <v>84</v>
      </c>
      <c r="L651">
        <v>105.54</v>
      </c>
      <c r="M651">
        <v>60</v>
      </c>
      <c r="N651">
        <v>8.93</v>
      </c>
      <c r="O651">
        <v>84</v>
      </c>
      <c r="P651">
        <v>0.67</v>
      </c>
      <c r="Q651">
        <v>63</v>
      </c>
      <c r="R651">
        <v>2.19</v>
      </c>
      <c r="S651">
        <v>61</v>
      </c>
      <c r="T651">
        <v>4.58</v>
      </c>
      <c r="U651">
        <v>51</v>
      </c>
      <c r="V651">
        <v>11.18</v>
      </c>
      <c r="W651">
        <v>61</v>
      </c>
      <c r="X651" t="s">
        <v>102</v>
      </c>
      <c r="Y651" t="s">
        <v>436</v>
      </c>
      <c r="Z651" t="s">
        <v>96</v>
      </c>
      <c r="AA651" t="s">
        <v>4587</v>
      </c>
      <c r="AB651" t="s">
        <v>6164</v>
      </c>
      <c r="AC651">
        <v>4</v>
      </c>
      <c r="AD651">
        <v>1</v>
      </c>
      <c r="AE651">
        <v>84</v>
      </c>
      <c r="AF651">
        <v>89.57</v>
      </c>
      <c r="AG651">
        <v>5.17</v>
      </c>
      <c r="AH651">
        <v>6.08</v>
      </c>
      <c r="AI651">
        <v>0.03</v>
      </c>
      <c r="AJ651">
        <v>0.05</v>
      </c>
      <c r="AK651">
        <v>60</v>
      </c>
      <c r="AL651">
        <v>0</v>
      </c>
      <c r="AM651">
        <v>0</v>
      </c>
      <c r="AN651">
        <v>-5.49</v>
      </c>
      <c r="AO651">
        <v>2.93</v>
      </c>
      <c r="AP651">
        <v>530</v>
      </c>
      <c r="AQ651">
        <v>0</v>
      </c>
      <c r="AR651">
        <v>6.41</v>
      </c>
      <c r="AS651">
        <v>65</v>
      </c>
      <c r="AT651">
        <v>3.17</v>
      </c>
      <c r="AU651">
        <v>93</v>
      </c>
      <c r="AV651">
        <v>-0.28999999999999998</v>
      </c>
      <c r="AW651">
        <v>98</v>
      </c>
      <c r="AX651">
        <v>-0.25</v>
      </c>
      <c r="AY651">
        <v>90</v>
      </c>
      <c r="AZ651">
        <v>5.44</v>
      </c>
      <c r="BA651">
        <v>44</v>
      </c>
      <c r="BB651">
        <v>4.5999999999999996</v>
      </c>
      <c r="BC651">
        <v>42</v>
      </c>
      <c r="BD651">
        <v>-0.02</v>
      </c>
      <c r="BE651">
        <v>-0.03</v>
      </c>
      <c r="BF651">
        <v>0.04</v>
      </c>
      <c r="BG651">
        <v>68</v>
      </c>
      <c r="BH651">
        <v>0.21</v>
      </c>
      <c r="BI651">
        <v>-11.78</v>
      </c>
      <c r="BJ651">
        <v>0</v>
      </c>
      <c r="BK651">
        <v>0</v>
      </c>
      <c r="BL651">
        <v>-1.92</v>
      </c>
      <c r="BM651">
        <v>1.79</v>
      </c>
      <c r="BN651">
        <v>-1.73</v>
      </c>
      <c r="BO651">
        <v>-2.21</v>
      </c>
      <c r="BP651">
        <v>0.11</v>
      </c>
      <c r="BQ651">
        <v>2.91</v>
      </c>
      <c r="BR651">
        <v>-1.97</v>
      </c>
      <c r="BS651">
        <v>-0.94</v>
      </c>
      <c r="BT651">
        <v>0.18</v>
      </c>
      <c r="BU651">
        <v>-2.64</v>
      </c>
      <c r="BV651">
        <v>-1.96</v>
      </c>
      <c r="BW651">
        <v>-2.16</v>
      </c>
      <c r="BX651">
        <v>-1.64</v>
      </c>
      <c r="BY651">
        <v>-1.1100000000000001</v>
      </c>
      <c r="BZ651">
        <v>0.44</v>
      </c>
      <c r="CA651">
        <v>-1.68</v>
      </c>
      <c r="CB651">
        <v>-1.96</v>
      </c>
      <c r="CC651">
        <v>-0.86</v>
      </c>
      <c r="CD651">
        <v>2</v>
      </c>
      <c r="CE651">
        <v>-2.13</v>
      </c>
      <c r="CF651">
        <v>-1.44</v>
      </c>
      <c r="CG651">
        <v>0</v>
      </c>
      <c r="CH651">
        <v>-1.68</v>
      </c>
      <c r="CI651">
        <v>0</v>
      </c>
      <c r="CJ651">
        <v>0.7</v>
      </c>
      <c r="CK651">
        <v>66</v>
      </c>
      <c r="CL651">
        <v>-0.23</v>
      </c>
      <c r="CM651">
        <v>60</v>
      </c>
      <c r="CN651">
        <v>-0.23</v>
      </c>
      <c r="CO651">
        <v>59</v>
      </c>
      <c r="CP651">
        <v>-4.0999999999999996</v>
      </c>
      <c r="CQ651">
        <v>54</v>
      </c>
      <c r="CR651">
        <v>0</v>
      </c>
      <c r="CS651">
        <v>0</v>
      </c>
      <c r="CT651">
        <v>7.6</v>
      </c>
      <c r="CU651">
        <v>51</v>
      </c>
      <c r="CV651">
        <v>0.14000000000000001</v>
      </c>
      <c r="CW651">
        <v>38</v>
      </c>
      <c r="CX651" t="s">
        <v>5993</v>
      </c>
    </row>
    <row r="652" spans="1:102" x14ac:dyDescent="0.3">
      <c r="A652" t="str">
        <f>HYPERLINK("https://webapp.icbf.com/v2/app/bull-search/view/586050586","LTL")</f>
        <v>LTL</v>
      </c>
      <c r="B652" t="s">
        <v>1532</v>
      </c>
      <c r="C652" t="s">
        <v>1533</v>
      </c>
      <c r="D652" s="1">
        <v>38657</v>
      </c>
      <c r="E652" t="s">
        <v>92</v>
      </c>
      <c r="F652">
        <v>100</v>
      </c>
      <c r="G652" t="s">
        <v>93</v>
      </c>
      <c r="H652">
        <v>171.47</v>
      </c>
      <c r="I652">
        <v>96</v>
      </c>
      <c r="J652">
        <v>39.840000000000003</v>
      </c>
      <c r="K652">
        <v>99</v>
      </c>
      <c r="L652">
        <v>84.2</v>
      </c>
      <c r="M652">
        <v>93</v>
      </c>
      <c r="N652">
        <v>44.51</v>
      </c>
      <c r="O652">
        <v>98</v>
      </c>
      <c r="P652">
        <v>-11.05</v>
      </c>
      <c r="Q652">
        <v>99</v>
      </c>
      <c r="R652">
        <v>11.77</v>
      </c>
      <c r="S652">
        <v>93</v>
      </c>
      <c r="T652">
        <v>-1.94</v>
      </c>
      <c r="U652">
        <v>97</v>
      </c>
      <c r="V652">
        <v>4.1399999999999997</v>
      </c>
      <c r="W652">
        <v>93</v>
      </c>
      <c r="X652" t="s">
        <v>288</v>
      </c>
      <c r="Y652" t="s">
        <v>1534</v>
      </c>
      <c r="Z652" t="s">
        <v>96</v>
      </c>
      <c r="AA652" t="s">
        <v>316</v>
      </c>
      <c r="AB652" t="s">
        <v>1535</v>
      </c>
      <c r="AC652">
        <v>968</v>
      </c>
      <c r="AD652">
        <v>224</v>
      </c>
      <c r="AE652">
        <v>99</v>
      </c>
      <c r="AF652">
        <v>159.68</v>
      </c>
      <c r="AG652">
        <v>9.1</v>
      </c>
      <c r="AH652">
        <v>6</v>
      </c>
      <c r="AI652">
        <v>0.05</v>
      </c>
      <c r="AJ652">
        <v>0.01</v>
      </c>
      <c r="AK652">
        <v>93</v>
      </c>
      <c r="AL652">
        <v>1192</v>
      </c>
      <c r="AM652">
        <v>296</v>
      </c>
      <c r="AN652">
        <v>-4.96</v>
      </c>
      <c r="AO652">
        <v>1.75</v>
      </c>
      <c r="AP652">
        <v>1844</v>
      </c>
      <c r="AQ652">
        <v>7</v>
      </c>
      <c r="AR652">
        <v>4.1399999999999997</v>
      </c>
      <c r="AS652">
        <v>97</v>
      </c>
      <c r="AT652">
        <v>1.82</v>
      </c>
      <c r="AU652">
        <v>98</v>
      </c>
      <c r="AV652">
        <v>-3.32</v>
      </c>
      <c r="AW652">
        <v>99</v>
      </c>
      <c r="AX652">
        <v>-0.71</v>
      </c>
      <c r="AY652">
        <v>98</v>
      </c>
      <c r="AZ652">
        <v>6.29</v>
      </c>
      <c r="BA652">
        <v>93</v>
      </c>
      <c r="BB652">
        <v>5.18</v>
      </c>
      <c r="BC652">
        <v>94</v>
      </c>
      <c r="BD652">
        <v>-7.0000000000000007E-2</v>
      </c>
      <c r="BE652">
        <v>-0.06</v>
      </c>
      <c r="BF652">
        <v>-0.04</v>
      </c>
      <c r="BG652">
        <v>98</v>
      </c>
      <c r="BH652">
        <v>-0.03</v>
      </c>
      <c r="BI652">
        <v>-16.84</v>
      </c>
      <c r="BJ652">
        <v>145</v>
      </c>
      <c r="BK652">
        <v>40</v>
      </c>
      <c r="BL652">
        <v>0.53</v>
      </c>
      <c r="BM652">
        <v>0.55000000000000004</v>
      </c>
      <c r="BN652">
        <v>-0.05</v>
      </c>
      <c r="BO652">
        <v>-0.56999999999999995</v>
      </c>
      <c r="BP652">
        <v>-1.57</v>
      </c>
      <c r="BQ652">
        <v>0.76</v>
      </c>
      <c r="BR652">
        <v>-0.67</v>
      </c>
      <c r="BS652">
        <v>-0.75</v>
      </c>
      <c r="BT652">
        <v>-0.21</v>
      </c>
      <c r="BU652">
        <v>2.42</v>
      </c>
      <c r="BV652">
        <v>1.42</v>
      </c>
      <c r="BW652">
        <v>0.76</v>
      </c>
      <c r="BX652">
        <v>2.59</v>
      </c>
      <c r="BY652">
        <v>0.24</v>
      </c>
      <c r="BZ652">
        <v>0.43</v>
      </c>
      <c r="CA652">
        <v>0.87</v>
      </c>
      <c r="CB652">
        <v>1.28</v>
      </c>
      <c r="CC652">
        <v>-0.56000000000000005</v>
      </c>
      <c r="CD652">
        <v>0.83</v>
      </c>
      <c r="CE652">
        <v>-0.54</v>
      </c>
      <c r="CF652">
        <v>0.78</v>
      </c>
      <c r="CG652">
        <v>0</v>
      </c>
      <c r="CH652">
        <v>0.47</v>
      </c>
      <c r="CI652">
        <v>0</v>
      </c>
      <c r="CJ652">
        <v>-1.3</v>
      </c>
      <c r="CK652">
        <v>99</v>
      </c>
      <c r="CL652">
        <v>-1.04</v>
      </c>
      <c r="CM652">
        <v>99</v>
      </c>
      <c r="CN652">
        <v>-0.13</v>
      </c>
      <c r="CO652">
        <v>99</v>
      </c>
      <c r="CP652">
        <v>-0.3</v>
      </c>
      <c r="CQ652">
        <v>98</v>
      </c>
      <c r="CR652">
        <v>0</v>
      </c>
      <c r="CS652">
        <v>0</v>
      </c>
      <c r="CT652">
        <v>16.399999999999999</v>
      </c>
      <c r="CU652">
        <v>97</v>
      </c>
      <c r="CV652">
        <v>0.25</v>
      </c>
      <c r="CW652">
        <v>50</v>
      </c>
      <c r="CX652" t="s">
        <v>311</v>
      </c>
    </row>
    <row r="653" spans="1:102" x14ac:dyDescent="0.3">
      <c r="A653" t="str">
        <f>HYPERLINK("https://webapp.icbf.com/v2/app/bull-search/view/553628977","YOA")</f>
        <v>YOA</v>
      </c>
      <c r="B653" t="s">
        <v>12610</v>
      </c>
      <c r="C653" t="s">
        <v>12611</v>
      </c>
      <c r="D653" s="1">
        <v>39473</v>
      </c>
      <c r="E653" t="s">
        <v>92</v>
      </c>
      <c r="F653">
        <v>100</v>
      </c>
      <c r="G653" t="s">
        <v>93</v>
      </c>
      <c r="H653">
        <v>171.43</v>
      </c>
      <c r="I653">
        <v>90</v>
      </c>
      <c r="J653">
        <v>48.59</v>
      </c>
      <c r="K653">
        <v>98</v>
      </c>
      <c r="L653">
        <v>66.41</v>
      </c>
      <c r="M653">
        <v>83</v>
      </c>
      <c r="N653">
        <v>42.45</v>
      </c>
      <c r="O653">
        <v>88</v>
      </c>
      <c r="P653">
        <v>-0.69</v>
      </c>
      <c r="Q653">
        <v>92</v>
      </c>
      <c r="R653">
        <v>10.95</v>
      </c>
      <c r="S653">
        <v>85</v>
      </c>
      <c r="T653">
        <v>-0.16</v>
      </c>
      <c r="U653">
        <v>88</v>
      </c>
      <c r="V653">
        <v>3.88</v>
      </c>
      <c r="W653">
        <v>86</v>
      </c>
      <c r="X653" t="s">
        <v>251</v>
      </c>
      <c r="Y653" t="s">
        <v>4217</v>
      </c>
      <c r="Z653" t="s">
        <v>96</v>
      </c>
      <c r="AA653" t="s">
        <v>1165</v>
      </c>
      <c r="AB653" t="s">
        <v>12612</v>
      </c>
      <c r="AC653">
        <v>120</v>
      </c>
      <c r="AD653">
        <v>84</v>
      </c>
      <c r="AE653">
        <v>98</v>
      </c>
      <c r="AF653">
        <v>131.68</v>
      </c>
      <c r="AG653">
        <v>6.67</v>
      </c>
      <c r="AH653">
        <v>7.92</v>
      </c>
      <c r="AI653">
        <v>0.03</v>
      </c>
      <c r="AJ653">
        <v>0.06</v>
      </c>
      <c r="AK653">
        <v>83</v>
      </c>
      <c r="AL653">
        <v>113</v>
      </c>
      <c r="AM653">
        <v>78</v>
      </c>
      <c r="AN653">
        <v>-3.3</v>
      </c>
      <c r="AO653">
        <v>2</v>
      </c>
      <c r="AP653">
        <v>238</v>
      </c>
      <c r="AQ653">
        <v>9</v>
      </c>
      <c r="AR653">
        <v>6.56</v>
      </c>
      <c r="AS653">
        <v>74</v>
      </c>
      <c r="AT653">
        <v>2.4300000000000002</v>
      </c>
      <c r="AU653">
        <v>90</v>
      </c>
      <c r="AV653">
        <v>-3.66</v>
      </c>
      <c r="AW653">
        <v>97</v>
      </c>
      <c r="AX653">
        <v>-0.84</v>
      </c>
      <c r="AY653">
        <v>83</v>
      </c>
      <c r="AZ653">
        <v>5.13</v>
      </c>
      <c r="BA653">
        <v>71</v>
      </c>
      <c r="BB653">
        <v>4.75</v>
      </c>
      <c r="BC653">
        <v>72</v>
      </c>
      <c r="BD653">
        <v>-0.04</v>
      </c>
      <c r="BE653">
        <v>-0.05</v>
      </c>
      <c r="BF653">
        <v>-0.09</v>
      </c>
      <c r="BG653">
        <v>91</v>
      </c>
      <c r="BH653">
        <v>0.04</v>
      </c>
      <c r="BI653">
        <v>-7.9</v>
      </c>
      <c r="BJ653">
        <v>37</v>
      </c>
      <c r="BK653">
        <v>24</v>
      </c>
      <c r="BL653">
        <v>1</v>
      </c>
      <c r="BM653">
        <v>0.54</v>
      </c>
      <c r="BN653">
        <v>0.08</v>
      </c>
      <c r="BO653">
        <v>0.02</v>
      </c>
      <c r="BP653">
        <v>1.81</v>
      </c>
      <c r="BQ653">
        <v>2.4300000000000002</v>
      </c>
      <c r="BR653">
        <v>1.89</v>
      </c>
      <c r="BS653">
        <v>-2.02</v>
      </c>
      <c r="BT653">
        <v>-2.8</v>
      </c>
      <c r="BU653">
        <v>0.22</v>
      </c>
      <c r="BV653">
        <v>0.15</v>
      </c>
      <c r="BW653">
        <v>-0.32</v>
      </c>
      <c r="BX653">
        <v>1.56</v>
      </c>
      <c r="BY653">
        <v>0.78</v>
      </c>
      <c r="BZ653">
        <v>-3.7</v>
      </c>
      <c r="CA653">
        <v>0.16</v>
      </c>
      <c r="CB653">
        <v>0.81</v>
      </c>
      <c r="CC653">
        <v>-1.23</v>
      </c>
      <c r="CD653">
        <v>-0.19</v>
      </c>
      <c r="CE653">
        <v>0.28000000000000003</v>
      </c>
      <c r="CF653">
        <v>1.19</v>
      </c>
      <c r="CG653">
        <v>0</v>
      </c>
      <c r="CH653">
        <v>1.43</v>
      </c>
      <c r="CI653">
        <v>0</v>
      </c>
      <c r="CJ653">
        <v>2.8</v>
      </c>
      <c r="CK653">
        <v>93</v>
      </c>
      <c r="CL653">
        <v>-0.8</v>
      </c>
      <c r="CM653">
        <v>91</v>
      </c>
      <c r="CN653">
        <v>-0.26</v>
      </c>
      <c r="CO653">
        <v>90</v>
      </c>
      <c r="CP653">
        <v>4.4000000000000004</v>
      </c>
      <c r="CQ653">
        <v>90</v>
      </c>
      <c r="CR653">
        <v>0</v>
      </c>
      <c r="CS653">
        <v>0</v>
      </c>
      <c r="CT653">
        <v>14</v>
      </c>
      <c r="CU653">
        <v>88</v>
      </c>
      <c r="CV653">
        <v>0.31</v>
      </c>
      <c r="CW653">
        <v>47</v>
      </c>
      <c r="CX653" t="s">
        <v>316</v>
      </c>
    </row>
    <row r="654" spans="1:102" x14ac:dyDescent="0.3">
      <c r="A654" t="str">
        <f>HYPERLINK("https://webapp.icbf.com/v2/app/bull-search/view/487001909","TJF")</f>
        <v>TJF</v>
      </c>
      <c r="B654" t="s">
        <v>5540</v>
      </c>
      <c r="C654" t="s">
        <v>5541</v>
      </c>
      <c r="D654" s="1">
        <v>38552</v>
      </c>
      <c r="E654" t="s">
        <v>92</v>
      </c>
      <c r="F654">
        <v>94</v>
      </c>
      <c r="G654" t="s">
        <v>93</v>
      </c>
      <c r="H654">
        <v>171.31</v>
      </c>
      <c r="I654">
        <v>96</v>
      </c>
      <c r="J654">
        <v>49.53</v>
      </c>
      <c r="K654">
        <v>99</v>
      </c>
      <c r="L654">
        <v>76.349999999999994</v>
      </c>
      <c r="M654">
        <v>93</v>
      </c>
      <c r="N654">
        <v>30.54</v>
      </c>
      <c r="O654">
        <v>98</v>
      </c>
      <c r="P654">
        <v>-19.34</v>
      </c>
      <c r="Q654">
        <v>99</v>
      </c>
      <c r="R654">
        <v>9.06</v>
      </c>
      <c r="S654">
        <v>94</v>
      </c>
      <c r="T654">
        <v>15.68</v>
      </c>
      <c r="U654">
        <v>99</v>
      </c>
      <c r="V654">
        <v>9.49</v>
      </c>
      <c r="W654">
        <v>80</v>
      </c>
      <c r="X654" t="s">
        <v>276</v>
      </c>
      <c r="Y654" t="s">
        <v>1756</v>
      </c>
      <c r="Z654" t="s">
        <v>330</v>
      </c>
      <c r="AA654" t="s">
        <v>2653</v>
      </c>
      <c r="AB654" t="s">
        <v>5542</v>
      </c>
      <c r="AC654">
        <v>1677</v>
      </c>
      <c r="AD654">
        <v>524</v>
      </c>
      <c r="AE654">
        <v>99</v>
      </c>
      <c r="AF654">
        <v>-126.76</v>
      </c>
      <c r="AG654">
        <v>7.84</v>
      </c>
      <c r="AH654">
        <v>3.71</v>
      </c>
      <c r="AI654">
        <v>0.23</v>
      </c>
      <c r="AJ654">
        <v>0.14000000000000001</v>
      </c>
      <c r="AK654">
        <v>93</v>
      </c>
      <c r="AL654">
        <v>2020</v>
      </c>
      <c r="AM654">
        <v>665</v>
      </c>
      <c r="AN654">
        <v>-3.3</v>
      </c>
      <c r="AO654">
        <v>2.8</v>
      </c>
      <c r="AP654">
        <v>3117</v>
      </c>
      <c r="AQ654">
        <v>24</v>
      </c>
      <c r="AR654">
        <v>5.45</v>
      </c>
      <c r="AS654">
        <v>95</v>
      </c>
      <c r="AT654">
        <v>2.08</v>
      </c>
      <c r="AU654">
        <v>99</v>
      </c>
      <c r="AV654">
        <v>-2.4300000000000002</v>
      </c>
      <c r="AW654">
        <v>99</v>
      </c>
      <c r="AX654">
        <v>-0.24</v>
      </c>
      <c r="AY654">
        <v>98</v>
      </c>
      <c r="AZ654">
        <v>6.62</v>
      </c>
      <c r="BA654">
        <v>95</v>
      </c>
      <c r="BB654">
        <v>5.4</v>
      </c>
      <c r="BC654">
        <v>95</v>
      </c>
      <c r="BD654">
        <v>-0.05</v>
      </c>
      <c r="BE654">
        <v>-0.05</v>
      </c>
      <c r="BF654">
        <v>-0.03</v>
      </c>
      <c r="BG654">
        <v>99</v>
      </c>
      <c r="BH654">
        <v>7.0000000000000007E-2</v>
      </c>
      <c r="BI654">
        <v>-22.53</v>
      </c>
      <c r="BJ654">
        <v>10</v>
      </c>
      <c r="BK654">
        <v>9</v>
      </c>
      <c r="BL654">
        <v>-2.34</v>
      </c>
      <c r="BM654">
        <v>0.22</v>
      </c>
      <c r="BN654">
        <v>-1.25</v>
      </c>
      <c r="BO654">
        <v>-2.2400000000000002</v>
      </c>
      <c r="BP654">
        <v>-1.63</v>
      </c>
      <c r="BQ654">
        <v>-0.09</v>
      </c>
      <c r="BR654">
        <v>0.56999999999999995</v>
      </c>
      <c r="BS654">
        <v>-1.06</v>
      </c>
      <c r="BT654">
        <v>-0.28000000000000003</v>
      </c>
      <c r="BU654">
        <v>-0.94</v>
      </c>
      <c r="BV654">
        <v>-2.46</v>
      </c>
      <c r="BW654">
        <v>-1.84</v>
      </c>
      <c r="BX654">
        <v>-1.51</v>
      </c>
      <c r="BY654">
        <v>-1.72</v>
      </c>
      <c r="BZ654">
        <v>0.41</v>
      </c>
      <c r="CA654">
        <v>-1.8</v>
      </c>
      <c r="CB654">
        <v>-1.77</v>
      </c>
      <c r="CC654">
        <v>-1.51</v>
      </c>
      <c r="CD654">
        <v>1.43</v>
      </c>
      <c r="CE654">
        <v>-1.79</v>
      </c>
      <c r="CF654">
        <v>-3.25</v>
      </c>
      <c r="CG654">
        <v>0</v>
      </c>
      <c r="CH654">
        <v>-1.6</v>
      </c>
      <c r="CI654">
        <v>0</v>
      </c>
      <c r="CJ654">
        <v>-9.4</v>
      </c>
      <c r="CK654">
        <v>99</v>
      </c>
      <c r="CL654">
        <v>-0.43</v>
      </c>
      <c r="CM654">
        <v>99</v>
      </c>
      <c r="CN654">
        <v>7.0000000000000007E-2</v>
      </c>
      <c r="CO654">
        <v>99</v>
      </c>
      <c r="CP654">
        <v>-7.4</v>
      </c>
      <c r="CQ654">
        <v>98</v>
      </c>
      <c r="CR654">
        <v>0</v>
      </c>
      <c r="CS654">
        <v>0</v>
      </c>
      <c r="CT654">
        <v>-7.4</v>
      </c>
      <c r="CU654">
        <v>99</v>
      </c>
      <c r="CV654">
        <v>-0.02</v>
      </c>
      <c r="CW654">
        <v>46</v>
      </c>
      <c r="CX654" t="s">
        <v>1687</v>
      </c>
    </row>
    <row r="655" spans="1:102" x14ac:dyDescent="0.3">
      <c r="A655" t="str">
        <f>HYPERLINK("https://webapp.icbf.com/v2/app/bull-search/view/933356805","FR4507")</f>
        <v>FR4507</v>
      </c>
      <c r="B655" t="s">
        <v>14704</v>
      </c>
      <c r="C655" t="s">
        <v>14705</v>
      </c>
      <c r="D655" s="1">
        <v>40743</v>
      </c>
      <c r="E655" t="s">
        <v>92</v>
      </c>
      <c r="F655">
        <v>75</v>
      </c>
      <c r="G655" t="s">
        <v>109</v>
      </c>
      <c r="H655">
        <v>171.3</v>
      </c>
      <c r="I655">
        <v>73</v>
      </c>
      <c r="J655">
        <v>100.22</v>
      </c>
      <c r="K655">
        <v>88</v>
      </c>
      <c r="L655">
        <v>24.98</v>
      </c>
      <c r="M655">
        <v>71</v>
      </c>
      <c r="N655">
        <v>46.24</v>
      </c>
      <c r="O655">
        <v>85</v>
      </c>
      <c r="P655">
        <v>-26.07</v>
      </c>
      <c r="Q655">
        <v>49</v>
      </c>
      <c r="R655">
        <v>1.1399999999999999</v>
      </c>
      <c r="S655">
        <v>67</v>
      </c>
      <c r="T655">
        <v>16.79</v>
      </c>
      <c r="U655">
        <v>44</v>
      </c>
      <c r="V655">
        <v>8</v>
      </c>
      <c r="W655">
        <v>51</v>
      </c>
      <c r="X655" t="s">
        <v>276</v>
      </c>
      <c r="Y655" t="s">
        <v>442</v>
      </c>
      <c r="Z655" t="s">
        <v>330</v>
      </c>
      <c r="AA655" t="s">
        <v>2278</v>
      </c>
      <c r="AB655" t="s">
        <v>144</v>
      </c>
      <c r="AC655">
        <v>0</v>
      </c>
      <c r="AD655">
        <v>0</v>
      </c>
      <c r="AE655">
        <v>88</v>
      </c>
      <c r="AF655">
        <v>245.41</v>
      </c>
      <c r="AG655">
        <v>19.79</v>
      </c>
      <c r="AH655">
        <v>13.8</v>
      </c>
      <c r="AI655">
        <v>0.17</v>
      </c>
      <c r="AJ655">
        <v>0.09</v>
      </c>
      <c r="AK655">
        <v>71</v>
      </c>
      <c r="AL655">
        <v>0</v>
      </c>
      <c r="AM655">
        <v>0</v>
      </c>
      <c r="AN655">
        <v>-0.73</v>
      </c>
      <c r="AO655">
        <v>1.27</v>
      </c>
      <c r="AP655">
        <v>738</v>
      </c>
      <c r="AQ655">
        <v>0</v>
      </c>
      <c r="AR655">
        <v>3.76</v>
      </c>
      <c r="AS655">
        <v>75</v>
      </c>
      <c r="AT655">
        <v>1.67</v>
      </c>
      <c r="AU655">
        <v>94</v>
      </c>
      <c r="AV655">
        <v>-4</v>
      </c>
      <c r="AW655">
        <v>99</v>
      </c>
      <c r="AX655">
        <v>-0.78</v>
      </c>
      <c r="AY655">
        <v>92</v>
      </c>
      <c r="AZ655">
        <v>7.6</v>
      </c>
      <c r="BA655">
        <v>36</v>
      </c>
      <c r="BB655">
        <v>5.78</v>
      </c>
      <c r="BC655">
        <v>36</v>
      </c>
      <c r="BD655">
        <v>-0.02</v>
      </c>
      <c r="BE655">
        <v>0.03</v>
      </c>
      <c r="BF655">
        <v>-0.05</v>
      </c>
      <c r="BG655">
        <v>86</v>
      </c>
      <c r="BH655">
        <v>0.24</v>
      </c>
      <c r="BI655">
        <v>1.97</v>
      </c>
      <c r="BJ655">
        <v>0</v>
      </c>
      <c r="BK655">
        <v>0</v>
      </c>
      <c r="BL655">
        <v>-1.69</v>
      </c>
      <c r="BM655">
        <v>1.57</v>
      </c>
      <c r="BN655">
        <v>7.0000000000000007E-2</v>
      </c>
      <c r="BO655">
        <v>-0.77</v>
      </c>
      <c r="BP655">
        <v>-2.31</v>
      </c>
      <c r="BQ655">
        <v>-0.17</v>
      </c>
      <c r="BR655">
        <v>0.91</v>
      </c>
      <c r="BS655">
        <v>-1.47</v>
      </c>
      <c r="BT655">
        <v>-0.73</v>
      </c>
      <c r="BU655">
        <v>-0.4</v>
      </c>
      <c r="BV655">
        <v>0.01</v>
      </c>
      <c r="BW655">
        <v>-0.62</v>
      </c>
      <c r="BX655">
        <v>-0.32</v>
      </c>
      <c r="BY655">
        <v>-1.33</v>
      </c>
      <c r="BZ655">
        <v>-1.51</v>
      </c>
      <c r="CA655">
        <v>-0.47</v>
      </c>
      <c r="CB655">
        <v>-0.42</v>
      </c>
      <c r="CC655">
        <v>-1.1100000000000001</v>
      </c>
      <c r="CD655">
        <v>0.5</v>
      </c>
      <c r="CE655">
        <v>-0.33</v>
      </c>
      <c r="CF655">
        <v>-0.61</v>
      </c>
      <c r="CG655">
        <v>0</v>
      </c>
      <c r="CH655">
        <v>-1.22</v>
      </c>
      <c r="CI655">
        <v>0</v>
      </c>
      <c r="CJ655">
        <v>-12.6</v>
      </c>
      <c r="CK655">
        <v>52</v>
      </c>
      <c r="CL655">
        <v>-0.91</v>
      </c>
      <c r="CM655">
        <v>44</v>
      </c>
      <c r="CN655">
        <v>-0.25</v>
      </c>
      <c r="CO655">
        <v>43</v>
      </c>
      <c r="CP655">
        <v>-14.8</v>
      </c>
      <c r="CQ655">
        <v>45</v>
      </c>
      <c r="CR655">
        <v>0</v>
      </c>
      <c r="CS655">
        <v>0</v>
      </c>
      <c r="CT655">
        <v>-8.9</v>
      </c>
      <c r="CU655">
        <v>44</v>
      </c>
      <c r="CV655">
        <v>-0.02</v>
      </c>
      <c r="CW655">
        <v>35</v>
      </c>
      <c r="CX655" t="s">
        <v>1451</v>
      </c>
    </row>
    <row r="656" spans="1:102" x14ac:dyDescent="0.3">
      <c r="A656" t="str">
        <f>HYPERLINK("https://webapp.icbf.com/v2/app/bull-search/view/498228449","OWN")</f>
        <v>OWN</v>
      </c>
      <c r="B656" t="s">
        <v>12600</v>
      </c>
      <c r="C656" t="s">
        <v>12601</v>
      </c>
      <c r="D656" s="1">
        <v>39129</v>
      </c>
      <c r="E656" t="s">
        <v>92</v>
      </c>
      <c r="F656">
        <v>97</v>
      </c>
      <c r="G656" t="s">
        <v>93</v>
      </c>
      <c r="H656">
        <v>170.92</v>
      </c>
      <c r="I656">
        <v>91</v>
      </c>
      <c r="J656">
        <v>53.35</v>
      </c>
      <c r="K656">
        <v>98</v>
      </c>
      <c r="L656">
        <v>55.3</v>
      </c>
      <c r="M656">
        <v>85</v>
      </c>
      <c r="N656">
        <v>44.58</v>
      </c>
      <c r="O656">
        <v>90</v>
      </c>
      <c r="P656">
        <v>-6.82</v>
      </c>
      <c r="Q656">
        <v>95</v>
      </c>
      <c r="R656">
        <v>3.19</v>
      </c>
      <c r="S656">
        <v>87</v>
      </c>
      <c r="T656">
        <v>13.38</v>
      </c>
      <c r="U656">
        <v>91</v>
      </c>
      <c r="V656">
        <v>7.94</v>
      </c>
      <c r="W656">
        <v>87</v>
      </c>
      <c r="X656" t="s">
        <v>94</v>
      </c>
      <c r="Y656" t="s">
        <v>1405</v>
      </c>
      <c r="Z656" t="s">
        <v>96</v>
      </c>
      <c r="AA656" t="s">
        <v>358</v>
      </c>
      <c r="AB656" t="s">
        <v>12602</v>
      </c>
      <c r="AC656">
        <v>149</v>
      </c>
      <c r="AD656">
        <v>86</v>
      </c>
      <c r="AE656">
        <v>98</v>
      </c>
      <c r="AF656">
        <v>91.01</v>
      </c>
      <c r="AG656">
        <v>5.84</v>
      </c>
      <c r="AH656">
        <v>8.4</v>
      </c>
      <c r="AI656">
        <v>0.04</v>
      </c>
      <c r="AJ656">
        <v>0.09</v>
      </c>
      <c r="AK656">
        <v>85</v>
      </c>
      <c r="AL656">
        <v>174</v>
      </c>
      <c r="AM656">
        <v>92</v>
      </c>
      <c r="AN656">
        <v>-3.05</v>
      </c>
      <c r="AO656">
        <v>1.36</v>
      </c>
      <c r="AP656">
        <v>260</v>
      </c>
      <c r="AQ656">
        <v>9</v>
      </c>
      <c r="AR656">
        <v>4.95</v>
      </c>
      <c r="AS656">
        <v>77</v>
      </c>
      <c r="AT656">
        <v>2.2000000000000002</v>
      </c>
      <c r="AU656">
        <v>91</v>
      </c>
      <c r="AV656">
        <v>-4.28</v>
      </c>
      <c r="AW656">
        <v>97</v>
      </c>
      <c r="AX656">
        <v>-0.43</v>
      </c>
      <c r="AY656">
        <v>89</v>
      </c>
      <c r="AZ656">
        <v>6.87</v>
      </c>
      <c r="BA656">
        <v>72</v>
      </c>
      <c r="BB656">
        <v>5.58</v>
      </c>
      <c r="BC656">
        <v>79</v>
      </c>
      <c r="BD656">
        <v>-0.02</v>
      </c>
      <c r="BE656">
        <v>0</v>
      </c>
      <c r="BF656">
        <v>-0.04</v>
      </c>
      <c r="BG656">
        <v>93</v>
      </c>
      <c r="BH656">
        <v>0.03</v>
      </c>
      <c r="BI656">
        <v>-22.13</v>
      </c>
      <c r="BJ656">
        <v>10</v>
      </c>
      <c r="BK656">
        <v>6</v>
      </c>
      <c r="BL656">
        <v>-0.03</v>
      </c>
      <c r="BM656">
        <v>-0.64</v>
      </c>
      <c r="BN656">
        <v>-0.43</v>
      </c>
      <c r="BO656">
        <v>0.38</v>
      </c>
      <c r="BP656">
        <v>1.1599999999999999</v>
      </c>
      <c r="BQ656">
        <v>-0.84</v>
      </c>
      <c r="BR656">
        <v>2.17</v>
      </c>
      <c r="BS656">
        <v>-0.26</v>
      </c>
      <c r="BT656">
        <v>-1.53</v>
      </c>
      <c r="BU656">
        <v>0.13</v>
      </c>
      <c r="BV656">
        <v>-0.01</v>
      </c>
      <c r="BW656">
        <v>-0.43</v>
      </c>
      <c r="BX656">
        <v>1.1100000000000001</v>
      </c>
      <c r="BY656">
        <v>0.77</v>
      </c>
      <c r="BZ656">
        <v>-1.63</v>
      </c>
      <c r="CA656">
        <v>0.42</v>
      </c>
      <c r="CB656">
        <v>0.56999999999999995</v>
      </c>
      <c r="CC656">
        <v>-0.75</v>
      </c>
      <c r="CD656">
        <v>-0.92</v>
      </c>
      <c r="CE656">
        <v>-0.28999999999999998</v>
      </c>
      <c r="CF656">
        <v>-7.0000000000000007E-2</v>
      </c>
      <c r="CG656">
        <v>0</v>
      </c>
      <c r="CH656">
        <v>1.37</v>
      </c>
      <c r="CI656">
        <v>0</v>
      </c>
      <c r="CJ656">
        <v>-3.8</v>
      </c>
      <c r="CK656">
        <v>96</v>
      </c>
      <c r="CL656">
        <v>-0.54</v>
      </c>
      <c r="CM656">
        <v>95</v>
      </c>
      <c r="CN656">
        <v>-0.38</v>
      </c>
      <c r="CO656">
        <v>95</v>
      </c>
      <c r="CP656">
        <v>-3</v>
      </c>
      <c r="CQ656">
        <v>92</v>
      </c>
      <c r="CR656">
        <v>0</v>
      </c>
      <c r="CS656">
        <v>0</v>
      </c>
      <c r="CT656">
        <v>-4.3</v>
      </c>
      <c r="CU656">
        <v>91</v>
      </c>
      <c r="CV656">
        <v>-0.04</v>
      </c>
      <c r="CW656">
        <v>46</v>
      </c>
      <c r="CX656" t="s">
        <v>1037</v>
      </c>
    </row>
    <row r="657" spans="1:102" x14ac:dyDescent="0.3">
      <c r="A657" t="str">
        <f>HYPERLINK("https://webapp.icbf.com/v2/app/bull-search/view/1338898292","FR4179")</f>
        <v>FR4179</v>
      </c>
      <c r="B657" t="s">
        <v>14712</v>
      </c>
      <c r="C657" t="s">
        <v>14713</v>
      </c>
      <c r="D657" s="1">
        <v>41972</v>
      </c>
      <c r="E657" t="s">
        <v>92</v>
      </c>
      <c r="F657">
        <v>100</v>
      </c>
      <c r="G657" t="s">
        <v>109</v>
      </c>
      <c r="H657">
        <v>170.85</v>
      </c>
      <c r="I657">
        <v>73</v>
      </c>
      <c r="J657">
        <v>62.4</v>
      </c>
      <c r="K657">
        <v>90</v>
      </c>
      <c r="L657">
        <v>64.87</v>
      </c>
      <c r="M657">
        <v>76</v>
      </c>
      <c r="N657">
        <v>39.450000000000003</v>
      </c>
      <c r="O657">
        <v>75</v>
      </c>
      <c r="P657">
        <v>-11.42</v>
      </c>
      <c r="Q657">
        <v>43</v>
      </c>
      <c r="R657">
        <v>25.95</v>
      </c>
      <c r="S657">
        <v>69</v>
      </c>
      <c r="T657">
        <v>-11.56</v>
      </c>
      <c r="U657">
        <v>36</v>
      </c>
      <c r="V657">
        <v>1.1599999999999999</v>
      </c>
      <c r="W657">
        <v>52</v>
      </c>
      <c r="X657" t="s">
        <v>102</v>
      </c>
      <c r="Y657" t="s">
        <v>2261</v>
      </c>
      <c r="Z657" t="s">
        <v>96</v>
      </c>
      <c r="AA657" t="s">
        <v>14714</v>
      </c>
      <c r="AB657" t="s">
        <v>14715</v>
      </c>
      <c r="AC657">
        <v>0</v>
      </c>
      <c r="AD657">
        <v>0</v>
      </c>
      <c r="AE657">
        <v>90</v>
      </c>
      <c r="AF657">
        <v>335.66</v>
      </c>
      <c r="AG657">
        <v>16.2</v>
      </c>
      <c r="AH657">
        <v>10.02</v>
      </c>
      <c r="AI657">
        <v>0.05</v>
      </c>
      <c r="AJ657">
        <v>-0.02</v>
      </c>
      <c r="AK657">
        <v>76</v>
      </c>
      <c r="AL657">
        <v>0</v>
      </c>
      <c r="AM657">
        <v>0</v>
      </c>
      <c r="AN657">
        <v>-2.2200000000000002</v>
      </c>
      <c r="AO657">
        <v>2.97</v>
      </c>
      <c r="AP657">
        <v>96</v>
      </c>
      <c r="AQ657">
        <v>0</v>
      </c>
      <c r="AR657">
        <v>5.05</v>
      </c>
      <c r="AS657">
        <v>53</v>
      </c>
      <c r="AT657">
        <v>1.96</v>
      </c>
      <c r="AU657">
        <v>87</v>
      </c>
      <c r="AV657">
        <v>-3.33</v>
      </c>
      <c r="AW657">
        <v>90</v>
      </c>
      <c r="AX657">
        <v>-0.79</v>
      </c>
      <c r="AY657">
        <v>70</v>
      </c>
      <c r="AZ657">
        <v>7.05</v>
      </c>
      <c r="BA657">
        <v>31</v>
      </c>
      <c r="BB657">
        <v>5.5</v>
      </c>
      <c r="BC657">
        <v>32</v>
      </c>
      <c r="BD657">
        <v>-0.1</v>
      </c>
      <c r="BE657">
        <v>-0.1</v>
      </c>
      <c r="BF657">
        <v>-0.24</v>
      </c>
      <c r="BG657">
        <v>89</v>
      </c>
      <c r="BH657">
        <v>0.01</v>
      </c>
      <c r="BI657">
        <v>-2.59</v>
      </c>
      <c r="BJ657">
        <v>0</v>
      </c>
      <c r="BK657">
        <v>0</v>
      </c>
      <c r="BL657">
        <v>0.31</v>
      </c>
      <c r="BM657">
        <v>0.64</v>
      </c>
      <c r="BN657">
        <v>0.2</v>
      </c>
      <c r="BO657">
        <v>0.28000000000000003</v>
      </c>
      <c r="BP657">
        <v>-1.57</v>
      </c>
      <c r="BQ657">
        <v>1.44</v>
      </c>
      <c r="BR657">
        <v>-1.58</v>
      </c>
      <c r="BS657">
        <v>3.27</v>
      </c>
      <c r="BT657">
        <v>1.88</v>
      </c>
      <c r="BU657">
        <v>3.45</v>
      </c>
      <c r="BV657">
        <v>2.13</v>
      </c>
      <c r="BW657">
        <v>2.11</v>
      </c>
      <c r="BX657">
        <v>2.31</v>
      </c>
      <c r="BY657">
        <v>1.4</v>
      </c>
      <c r="BZ657">
        <v>0.34</v>
      </c>
      <c r="CA657">
        <v>2.86</v>
      </c>
      <c r="CB657">
        <v>2.62</v>
      </c>
      <c r="CC657">
        <v>2.46</v>
      </c>
      <c r="CD657">
        <v>0.56999999999999995</v>
      </c>
      <c r="CE657">
        <v>0.82</v>
      </c>
      <c r="CF657">
        <v>0.84</v>
      </c>
      <c r="CG657">
        <v>0</v>
      </c>
      <c r="CH657">
        <v>2.0499999999999998</v>
      </c>
      <c r="CI657">
        <v>0</v>
      </c>
      <c r="CJ657">
        <v>-5.3</v>
      </c>
      <c r="CK657">
        <v>45</v>
      </c>
      <c r="CL657">
        <v>-1.4</v>
      </c>
      <c r="CM657">
        <v>42</v>
      </c>
      <c r="CN657">
        <v>-0.79</v>
      </c>
      <c r="CO657">
        <v>41</v>
      </c>
      <c r="CP657">
        <v>7.3</v>
      </c>
      <c r="CQ657">
        <v>37</v>
      </c>
      <c r="CR657">
        <v>0</v>
      </c>
      <c r="CS657">
        <v>0</v>
      </c>
      <c r="CT657">
        <v>29.4</v>
      </c>
      <c r="CU657">
        <v>36</v>
      </c>
      <c r="CV657">
        <v>0.16</v>
      </c>
      <c r="CW657">
        <v>34</v>
      </c>
      <c r="CX657" t="s">
        <v>2000</v>
      </c>
    </row>
    <row r="658" spans="1:102" x14ac:dyDescent="0.3">
      <c r="A658" t="str">
        <f>HYPERLINK("https://webapp.icbf.com/v2/app/bull-search/view/409522204","SLX")</f>
        <v>SLX</v>
      </c>
      <c r="B658" t="s">
        <v>208</v>
      </c>
      <c r="C658" t="s">
        <v>209</v>
      </c>
      <c r="D658" s="1">
        <v>36144</v>
      </c>
      <c r="E658" t="s">
        <v>210</v>
      </c>
      <c r="F658">
        <v>6</v>
      </c>
      <c r="G658" t="s">
        <v>93</v>
      </c>
      <c r="H658">
        <v>170.77</v>
      </c>
      <c r="I658">
        <v>89</v>
      </c>
      <c r="J658">
        <v>-12.56</v>
      </c>
      <c r="K658">
        <v>96</v>
      </c>
      <c r="L658">
        <v>131.26</v>
      </c>
      <c r="M658">
        <v>83</v>
      </c>
      <c r="N658">
        <v>36.090000000000003</v>
      </c>
      <c r="O658">
        <v>88</v>
      </c>
      <c r="P658">
        <v>-4.41</v>
      </c>
      <c r="Q658">
        <v>93</v>
      </c>
      <c r="R658">
        <v>11.09</v>
      </c>
      <c r="S658">
        <v>77</v>
      </c>
      <c r="T658">
        <v>18.64</v>
      </c>
      <c r="U658">
        <v>93</v>
      </c>
      <c r="V658">
        <v>-9.34</v>
      </c>
      <c r="W658">
        <v>77</v>
      </c>
      <c r="X658" t="s">
        <v>131</v>
      </c>
      <c r="Y658" t="s">
        <v>95</v>
      </c>
      <c r="Z658">
        <v>0</v>
      </c>
      <c r="AA658" t="s">
        <v>211</v>
      </c>
      <c r="AB658" t="s">
        <v>212</v>
      </c>
      <c r="AC658">
        <v>94</v>
      </c>
      <c r="AD658">
        <v>56</v>
      </c>
      <c r="AE658">
        <v>96</v>
      </c>
      <c r="AF658">
        <v>-80.69</v>
      </c>
      <c r="AG658">
        <v>-2.8</v>
      </c>
      <c r="AH658">
        <v>-2.38</v>
      </c>
      <c r="AI658">
        <v>0.01</v>
      </c>
      <c r="AJ658">
        <v>0.01</v>
      </c>
      <c r="AK658">
        <v>83</v>
      </c>
      <c r="AL658">
        <v>90</v>
      </c>
      <c r="AM658">
        <v>47</v>
      </c>
      <c r="AN658">
        <v>-7.79</v>
      </c>
      <c r="AO658">
        <v>2.67</v>
      </c>
      <c r="AP658">
        <v>193</v>
      </c>
      <c r="AQ658">
        <v>7</v>
      </c>
      <c r="AR658">
        <v>5.88</v>
      </c>
      <c r="AS658">
        <v>84</v>
      </c>
      <c r="AT658">
        <v>2.4700000000000002</v>
      </c>
      <c r="AU658">
        <v>90</v>
      </c>
      <c r="AV658">
        <v>-3.32</v>
      </c>
      <c r="AW658">
        <v>95</v>
      </c>
      <c r="AX658">
        <v>-0.24</v>
      </c>
      <c r="AY658">
        <v>84</v>
      </c>
      <c r="AZ658">
        <v>5.76</v>
      </c>
      <c r="BA658">
        <v>65</v>
      </c>
      <c r="BB658">
        <v>5.27</v>
      </c>
      <c r="BC658">
        <v>70</v>
      </c>
      <c r="BD658">
        <v>-0.03</v>
      </c>
      <c r="BE658">
        <v>-0.05</v>
      </c>
      <c r="BF658">
        <v>-0.11</v>
      </c>
      <c r="BG658">
        <v>86</v>
      </c>
      <c r="BH658">
        <v>-0.22</v>
      </c>
      <c r="BI658">
        <v>4.68</v>
      </c>
      <c r="BJ658">
        <v>1</v>
      </c>
      <c r="BK658">
        <v>1</v>
      </c>
      <c r="BL658">
        <v>-0.82</v>
      </c>
      <c r="BM658">
        <v>1.61</v>
      </c>
      <c r="BN658">
        <v>-0.59</v>
      </c>
      <c r="BO658">
        <v>-1.23</v>
      </c>
      <c r="BP658">
        <v>0.23</v>
      </c>
      <c r="BQ658">
        <v>0.03</v>
      </c>
      <c r="BR658">
        <v>0.12</v>
      </c>
      <c r="BS658">
        <v>0.76</v>
      </c>
      <c r="BT658">
        <v>0.03</v>
      </c>
      <c r="BU658">
        <v>-1.01</v>
      </c>
      <c r="BV658">
        <v>-1.62</v>
      </c>
      <c r="BW658">
        <v>-1.1499999999999999</v>
      </c>
      <c r="BX658">
        <v>-1.01</v>
      </c>
      <c r="BY658">
        <v>-0.06</v>
      </c>
      <c r="BZ658">
        <v>-1.06</v>
      </c>
      <c r="CA658">
        <v>-0.51</v>
      </c>
      <c r="CB658">
        <v>-0.91</v>
      </c>
      <c r="CC658">
        <v>0.42</v>
      </c>
      <c r="CD658">
        <v>1.28</v>
      </c>
      <c r="CE658">
        <v>-0.9</v>
      </c>
      <c r="CF658">
        <v>-0.63</v>
      </c>
      <c r="CG658">
        <v>0</v>
      </c>
      <c r="CH658">
        <v>-0.96</v>
      </c>
      <c r="CI658">
        <v>0</v>
      </c>
      <c r="CJ658">
        <v>-1.5</v>
      </c>
      <c r="CK658">
        <v>94</v>
      </c>
      <c r="CL658">
        <v>-0.28000000000000003</v>
      </c>
      <c r="CM658">
        <v>92</v>
      </c>
      <c r="CN658">
        <v>-0.18</v>
      </c>
      <c r="CO658">
        <v>92</v>
      </c>
      <c r="CP658">
        <v>-10.4</v>
      </c>
      <c r="CQ658">
        <v>89</v>
      </c>
      <c r="CR658">
        <v>0</v>
      </c>
      <c r="CS658">
        <v>0</v>
      </c>
      <c r="CT658">
        <v>-11.4</v>
      </c>
      <c r="CU658">
        <v>93</v>
      </c>
      <c r="CV658">
        <v>-0.04</v>
      </c>
      <c r="CW658">
        <v>27</v>
      </c>
      <c r="CX658" t="s">
        <v>213</v>
      </c>
    </row>
    <row r="659" spans="1:102" x14ac:dyDescent="0.3">
      <c r="A659" t="str">
        <f>HYPERLINK("https://webapp.icbf.com/v2/app/bull-search/view/596286128","ZBR")</f>
        <v>ZBR</v>
      </c>
      <c r="B659" t="s">
        <v>2668</v>
      </c>
      <c r="C659" t="s">
        <v>2390</v>
      </c>
      <c r="D659" s="1">
        <v>37491</v>
      </c>
      <c r="E659" t="s">
        <v>395</v>
      </c>
      <c r="F659">
        <v>0</v>
      </c>
      <c r="G659" t="s">
        <v>93</v>
      </c>
      <c r="H659">
        <v>170.7</v>
      </c>
      <c r="I659">
        <v>95</v>
      </c>
      <c r="J659">
        <v>41.5</v>
      </c>
      <c r="K659">
        <v>99</v>
      </c>
      <c r="L659">
        <v>78.849999999999994</v>
      </c>
      <c r="M659">
        <v>93</v>
      </c>
      <c r="N659">
        <v>35.159999999999997</v>
      </c>
      <c r="O659">
        <v>97</v>
      </c>
      <c r="P659">
        <v>9.9700000000000006</v>
      </c>
      <c r="Q659">
        <v>99</v>
      </c>
      <c r="R659">
        <v>5.28</v>
      </c>
      <c r="S659">
        <v>86</v>
      </c>
      <c r="T659">
        <v>0.51</v>
      </c>
      <c r="U659">
        <v>94</v>
      </c>
      <c r="V659">
        <v>-0.56999999999999995</v>
      </c>
      <c r="W659">
        <v>77</v>
      </c>
      <c r="X659" t="s">
        <v>102</v>
      </c>
      <c r="Y659" t="s">
        <v>1756</v>
      </c>
      <c r="Z659">
        <v>0</v>
      </c>
      <c r="AA659" t="s">
        <v>2669</v>
      </c>
      <c r="AB659" t="s">
        <v>144</v>
      </c>
      <c r="AC659">
        <v>808</v>
      </c>
      <c r="AD659">
        <v>156</v>
      </c>
      <c r="AE659">
        <v>99</v>
      </c>
      <c r="AF659">
        <v>138.38</v>
      </c>
      <c r="AG659">
        <v>8.27</v>
      </c>
      <c r="AH659">
        <v>6.25</v>
      </c>
      <c r="AI659">
        <v>0.05</v>
      </c>
      <c r="AJ659">
        <v>0.03</v>
      </c>
      <c r="AK659">
        <v>93</v>
      </c>
      <c r="AL659">
        <v>638</v>
      </c>
      <c r="AM659">
        <v>124</v>
      </c>
      <c r="AN659">
        <v>-3.4</v>
      </c>
      <c r="AO659">
        <v>2.9</v>
      </c>
      <c r="AP659">
        <v>2611</v>
      </c>
      <c r="AQ659">
        <v>23</v>
      </c>
      <c r="AR659">
        <v>5.25</v>
      </c>
      <c r="AS659">
        <v>96</v>
      </c>
      <c r="AT659">
        <v>2.39</v>
      </c>
      <c r="AU659">
        <v>98</v>
      </c>
      <c r="AV659">
        <v>-2.95</v>
      </c>
      <c r="AW659">
        <v>99</v>
      </c>
      <c r="AX659">
        <v>0.17</v>
      </c>
      <c r="AY659">
        <v>98</v>
      </c>
      <c r="AZ659">
        <v>6.18</v>
      </c>
      <c r="BA659">
        <v>93</v>
      </c>
      <c r="BB659">
        <v>4.8899999999999997</v>
      </c>
      <c r="BC659">
        <v>89</v>
      </c>
      <c r="BD659">
        <v>-0.02</v>
      </c>
      <c r="BE659">
        <v>-0.02</v>
      </c>
      <c r="BF659">
        <v>-0.05</v>
      </c>
      <c r="BG659">
        <v>97</v>
      </c>
      <c r="BH659">
        <v>-0.14000000000000001</v>
      </c>
      <c r="BI659">
        <v>-14.36</v>
      </c>
      <c r="BJ659">
        <v>2</v>
      </c>
      <c r="BK659">
        <v>2</v>
      </c>
      <c r="BL659">
        <v>-2.65</v>
      </c>
      <c r="BM659">
        <v>1.34</v>
      </c>
      <c r="BN659">
        <v>-2.68</v>
      </c>
      <c r="BO659">
        <v>-3.08</v>
      </c>
      <c r="BP659">
        <v>2.16</v>
      </c>
      <c r="BQ659">
        <v>-1.92</v>
      </c>
      <c r="BR659">
        <v>0.08</v>
      </c>
      <c r="BS659">
        <v>0.28999999999999998</v>
      </c>
      <c r="BT659">
        <v>-0.19</v>
      </c>
      <c r="BU659">
        <v>-1.32</v>
      </c>
      <c r="BV659">
        <v>-2.12</v>
      </c>
      <c r="BW659">
        <v>-2.0699999999999998</v>
      </c>
      <c r="BX659">
        <v>-1.43</v>
      </c>
      <c r="BY659">
        <v>-1.72</v>
      </c>
      <c r="BZ659">
        <v>-0.83</v>
      </c>
      <c r="CA659">
        <v>-1.43</v>
      </c>
      <c r="CB659">
        <v>-1.91</v>
      </c>
      <c r="CC659">
        <v>-0.14000000000000001</v>
      </c>
      <c r="CD659">
        <v>1.84</v>
      </c>
      <c r="CE659">
        <v>-2.4300000000000002</v>
      </c>
      <c r="CF659">
        <v>-2.68</v>
      </c>
      <c r="CG659">
        <v>0</v>
      </c>
      <c r="CH659">
        <v>-1.26</v>
      </c>
      <c r="CI659">
        <v>0</v>
      </c>
      <c r="CJ659">
        <v>7.3</v>
      </c>
      <c r="CK659">
        <v>99</v>
      </c>
      <c r="CL659">
        <v>0.05</v>
      </c>
      <c r="CM659">
        <v>99</v>
      </c>
      <c r="CN659">
        <v>7.0000000000000007E-2</v>
      </c>
      <c r="CO659">
        <v>99</v>
      </c>
      <c r="CP659">
        <v>1.3</v>
      </c>
      <c r="CQ659">
        <v>94</v>
      </c>
      <c r="CR659">
        <v>0</v>
      </c>
      <c r="CS659">
        <v>0</v>
      </c>
      <c r="CT659">
        <v>13.1</v>
      </c>
      <c r="CU659">
        <v>94</v>
      </c>
      <c r="CV659">
        <v>0.09</v>
      </c>
      <c r="CW659">
        <v>47</v>
      </c>
      <c r="CX659" t="s">
        <v>2670</v>
      </c>
    </row>
    <row r="660" spans="1:102" x14ac:dyDescent="0.3">
      <c r="A660" t="str">
        <f>HYPERLINK("https://webapp.icbf.com/v2/app/bull-search/view/1039515570","AGH")</f>
        <v>AGH</v>
      </c>
      <c r="B660" t="s">
        <v>14523</v>
      </c>
      <c r="C660" t="s">
        <v>6315</v>
      </c>
      <c r="D660" s="1">
        <v>41309</v>
      </c>
      <c r="E660" t="s">
        <v>92</v>
      </c>
      <c r="F660">
        <v>78</v>
      </c>
      <c r="G660" t="s">
        <v>93</v>
      </c>
      <c r="H660">
        <v>170.6</v>
      </c>
      <c r="I660">
        <v>95</v>
      </c>
      <c r="J660">
        <v>81.5</v>
      </c>
      <c r="K660">
        <v>99</v>
      </c>
      <c r="L660">
        <v>90.6</v>
      </c>
      <c r="M660">
        <v>91</v>
      </c>
      <c r="N660">
        <v>16.98</v>
      </c>
      <c r="O660">
        <v>98</v>
      </c>
      <c r="P660">
        <v>-22.81</v>
      </c>
      <c r="Q660">
        <v>99</v>
      </c>
      <c r="R660">
        <v>-6.48</v>
      </c>
      <c r="S660">
        <v>92</v>
      </c>
      <c r="T660">
        <v>1.91</v>
      </c>
      <c r="U660">
        <v>97</v>
      </c>
      <c r="V660">
        <v>8.9</v>
      </c>
      <c r="W660">
        <v>81</v>
      </c>
      <c r="X660" t="s">
        <v>102</v>
      </c>
      <c r="Y660" t="s">
        <v>389</v>
      </c>
      <c r="Z660" t="s">
        <v>96</v>
      </c>
      <c r="AA660" t="s">
        <v>1512</v>
      </c>
      <c r="AB660" t="s">
        <v>14524</v>
      </c>
      <c r="AC660">
        <v>2063</v>
      </c>
      <c r="AD660">
        <v>629</v>
      </c>
      <c r="AE660">
        <v>99</v>
      </c>
      <c r="AF660">
        <v>103.36</v>
      </c>
      <c r="AG660">
        <v>11.37</v>
      </c>
      <c r="AH660">
        <v>11.42</v>
      </c>
      <c r="AI660">
        <v>0.13</v>
      </c>
      <c r="AJ660">
        <v>0.14000000000000001</v>
      </c>
      <c r="AK660">
        <v>91</v>
      </c>
      <c r="AL660">
        <v>1912</v>
      </c>
      <c r="AM660">
        <v>663</v>
      </c>
      <c r="AN660">
        <v>-4.58</v>
      </c>
      <c r="AO660">
        <v>2.65</v>
      </c>
      <c r="AP660">
        <v>6543</v>
      </c>
      <c r="AQ660">
        <v>57</v>
      </c>
      <c r="AR660">
        <v>8.26</v>
      </c>
      <c r="AS660">
        <v>97</v>
      </c>
      <c r="AT660">
        <v>3.65</v>
      </c>
      <c r="AU660">
        <v>99</v>
      </c>
      <c r="AV660">
        <v>-2.82</v>
      </c>
      <c r="AW660">
        <v>99</v>
      </c>
      <c r="AX660">
        <v>-0.37</v>
      </c>
      <c r="AY660">
        <v>99</v>
      </c>
      <c r="AZ660">
        <v>6.24</v>
      </c>
      <c r="BA660">
        <v>96</v>
      </c>
      <c r="BB660">
        <v>4.99</v>
      </c>
      <c r="BC660">
        <v>91</v>
      </c>
      <c r="BD660">
        <v>-0.03</v>
      </c>
      <c r="BE660">
        <v>0.01</v>
      </c>
      <c r="BF660">
        <v>0.18</v>
      </c>
      <c r="BG660">
        <v>99</v>
      </c>
      <c r="BH660">
        <v>0.12</v>
      </c>
      <c r="BI660">
        <v>-14.84</v>
      </c>
      <c r="BJ660">
        <v>58</v>
      </c>
      <c r="BK660">
        <v>17</v>
      </c>
      <c r="BL660">
        <v>0.46</v>
      </c>
      <c r="BM660">
        <v>0.32</v>
      </c>
      <c r="BN660">
        <v>-1.2</v>
      </c>
      <c r="BO660">
        <v>-1.24</v>
      </c>
      <c r="BP660">
        <v>-4</v>
      </c>
      <c r="BQ660">
        <v>0.44</v>
      </c>
      <c r="BR660">
        <v>3.01</v>
      </c>
      <c r="BS660">
        <v>-4.16</v>
      </c>
      <c r="BT660">
        <v>-3.36</v>
      </c>
      <c r="BU660">
        <v>-0.3</v>
      </c>
      <c r="BV660">
        <v>-1.01</v>
      </c>
      <c r="BW660">
        <v>-2.41</v>
      </c>
      <c r="BX660">
        <v>-0.53</v>
      </c>
      <c r="BY660">
        <v>-1.85</v>
      </c>
      <c r="BZ660">
        <v>0.59</v>
      </c>
      <c r="CA660">
        <v>-1.78</v>
      </c>
      <c r="CB660">
        <v>-1.39</v>
      </c>
      <c r="CC660">
        <v>-2.37</v>
      </c>
      <c r="CD660">
        <v>-0.12</v>
      </c>
      <c r="CE660">
        <v>-1</v>
      </c>
      <c r="CF660">
        <v>-0.45</v>
      </c>
      <c r="CG660">
        <v>0</v>
      </c>
      <c r="CH660">
        <v>-2</v>
      </c>
      <c r="CI660">
        <v>0</v>
      </c>
      <c r="CJ660">
        <v>-8.9</v>
      </c>
      <c r="CK660">
        <v>99</v>
      </c>
      <c r="CL660">
        <v>-1.26</v>
      </c>
      <c r="CM660">
        <v>99</v>
      </c>
      <c r="CN660">
        <v>-0.26</v>
      </c>
      <c r="CO660">
        <v>99</v>
      </c>
      <c r="CP660">
        <v>-3.8</v>
      </c>
      <c r="CQ660">
        <v>96</v>
      </c>
      <c r="CR660">
        <v>0</v>
      </c>
      <c r="CS660">
        <v>0</v>
      </c>
      <c r="CT660">
        <v>11.2</v>
      </c>
      <c r="CU660">
        <v>97</v>
      </c>
      <c r="CV660">
        <v>0.14000000000000001</v>
      </c>
      <c r="CW660">
        <v>47</v>
      </c>
      <c r="CX660" t="s">
        <v>4796</v>
      </c>
    </row>
    <row r="661" spans="1:102" x14ac:dyDescent="0.3">
      <c r="A661" t="str">
        <f>HYPERLINK("https://webapp.icbf.com/v2/app/bull-search/view/1052141203","YKG")</f>
        <v>YKG</v>
      </c>
      <c r="B661" t="s">
        <v>7609</v>
      </c>
      <c r="C661" t="s">
        <v>7610</v>
      </c>
      <c r="D661" s="1">
        <v>41343</v>
      </c>
      <c r="E661" t="s">
        <v>92</v>
      </c>
      <c r="F661">
        <v>63</v>
      </c>
      <c r="G661" t="s">
        <v>93</v>
      </c>
      <c r="H661">
        <v>170.54</v>
      </c>
      <c r="I661">
        <v>93</v>
      </c>
      <c r="J661">
        <v>63.66</v>
      </c>
      <c r="K661">
        <v>99</v>
      </c>
      <c r="L661">
        <v>63.35</v>
      </c>
      <c r="M661">
        <v>87</v>
      </c>
      <c r="N661">
        <v>44.73</v>
      </c>
      <c r="O661">
        <v>96</v>
      </c>
      <c r="P661">
        <v>-1.71</v>
      </c>
      <c r="Q661">
        <v>98</v>
      </c>
      <c r="R661">
        <v>-6.35</v>
      </c>
      <c r="S661">
        <v>88</v>
      </c>
      <c r="T661">
        <v>7.68</v>
      </c>
      <c r="U661">
        <v>96</v>
      </c>
      <c r="V661">
        <v>-0.82</v>
      </c>
      <c r="W661">
        <v>79</v>
      </c>
      <c r="X661" t="s">
        <v>276</v>
      </c>
      <c r="Y661" t="s">
        <v>389</v>
      </c>
      <c r="Z661" t="s">
        <v>330</v>
      </c>
      <c r="AA661" t="s">
        <v>2514</v>
      </c>
      <c r="AB661" t="s">
        <v>7611</v>
      </c>
      <c r="AC661">
        <v>1287</v>
      </c>
      <c r="AD661">
        <v>366</v>
      </c>
      <c r="AE661">
        <v>99</v>
      </c>
      <c r="AF661">
        <v>115.62</v>
      </c>
      <c r="AG661">
        <v>9.43</v>
      </c>
      <c r="AH661">
        <v>9.26</v>
      </c>
      <c r="AI661">
        <v>0.08</v>
      </c>
      <c r="AJ661">
        <v>0.09</v>
      </c>
      <c r="AK661">
        <v>87</v>
      </c>
      <c r="AL661">
        <v>745</v>
      </c>
      <c r="AM661">
        <v>249</v>
      </c>
      <c r="AN661">
        <v>-2.86</v>
      </c>
      <c r="AO661">
        <v>2.2000000000000002</v>
      </c>
      <c r="AP661">
        <v>4741</v>
      </c>
      <c r="AQ661">
        <v>12</v>
      </c>
      <c r="AR661">
        <v>6.72</v>
      </c>
      <c r="AS661">
        <v>96</v>
      </c>
      <c r="AT661">
        <v>2.5099999999999998</v>
      </c>
      <c r="AU661">
        <v>99</v>
      </c>
      <c r="AV661">
        <v>-4.34</v>
      </c>
      <c r="AW661">
        <v>99</v>
      </c>
      <c r="AX661">
        <v>-0.75</v>
      </c>
      <c r="AY661">
        <v>99</v>
      </c>
      <c r="AZ661">
        <v>6.94</v>
      </c>
      <c r="BA661">
        <v>94</v>
      </c>
      <c r="BB661">
        <v>4.6100000000000003</v>
      </c>
      <c r="BC661">
        <v>77</v>
      </c>
      <c r="BD661">
        <v>-0.03</v>
      </c>
      <c r="BE661">
        <v>0.04</v>
      </c>
      <c r="BF661">
        <v>0.12</v>
      </c>
      <c r="BG661">
        <v>97</v>
      </c>
      <c r="BH661">
        <v>-0.15</v>
      </c>
      <c r="BI661">
        <v>-14.72</v>
      </c>
      <c r="BJ661">
        <v>11</v>
      </c>
      <c r="BK661">
        <v>4</v>
      </c>
      <c r="BL661">
        <v>-1.52</v>
      </c>
      <c r="BM661">
        <v>0.15</v>
      </c>
      <c r="BN661">
        <v>-1.2</v>
      </c>
      <c r="BO661">
        <v>-1.1299999999999999</v>
      </c>
      <c r="BP661">
        <v>1.87</v>
      </c>
      <c r="BQ661">
        <v>-2.73</v>
      </c>
      <c r="BR661">
        <v>2.23</v>
      </c>
      <c r="BS661">
        <v>-0.84</v>
      </c>
      <c r="BT661">
        <v>-2.13</v>
      </c>
      <c r="BU661">
        <v>0.4</v>
      </c>
      <c r="BV661">
        <v>-0.06</v>
      </c>
      <c r="BW661">
        <v>0.1</v>
      </c>
      <c r="BX661">
        <v>-1.08</v>
      </c>
      <c r="BY661">
        <v>-1.3</v>
      </c>
      <c r="BZ661">
        <v>0.11</v>
      </c>
      <c r="CA661">
        <v>-0.61</v>
      </c>
      <c r="CB661">
        <v>0.15</v>
      </c>
      <c r="CC661">
        <v>-1.3</v>
      </c>
      <c r="CD661">
        <v>0.71</v>
      </c>
      <c r="CE661">
        <v>-0.79</v>
      </c>
      <c r="CF661">
        <v>-2.09</v>
      </c>
      <c r="CG661">
        <v>0</v>
      </c>
      <c r="CH661">
        <v>-1.19</v>
      </c>
      <c r="CI661">
        <v>0</v>
      </c>
      <c r="CJ661">
        <v>-0.2</v>
      </c>
      <c r="CK661">
        <v>99</v>
      </c>
      <c r="CL661">
        <v>-0.48</v>
      </c>
      <c r="CM661">
        <v>99</v>
      </c>
      <c r="CN661">
        <v>-0.28999999999999998</v>
      </c>
      <c r="CO661">
        <v>99</v>
      </c>
      <c r="CP661">
        <v>0.8</v>
      </c>
      <c r="CQ661">
        <v>92</v>
      </c>
      <c r="CR661">
        <v>0</v>
      </c>
      <c r="CS661">
        <v>0</v>
      </c>
      <c r="CT661">
        <v>3.4</v>
      </c>
      <c r="CU661">
        <v>96</v>
      </c>
      <c r="CV661">
        <v>0.11</v>
      </c>
      <c r="CW661">
        <v>48</v>
      </c>
      <c r="CX661" t="s">
        <v>2990</v>
      </c>
    </row>
    <row r="662" spans="1:102" x14ac:dyDescent="0.3">
      <c r="A662" t="str">
        <f>HYPERLINK("https://webapp.icbf.com/v2/app/bull-search/view/910798890","FR4372")</f>
        <v>FR4372</v>
      </c>
      <c r="B662" t="s">
        <v>9499</v>
      </c>
      <c r="C662" t="s">
        <v>8382</v>
      </c>
      <c r="D662" s="1">
        <v>40279</v>
      </c>
      <c r="E662" t="s">
        <v>92</v>
      </c>
      <c r="F662">
        <v>56</v>
      </c>
      <c r="G662" t="s">
        <v>109</v>
      </c>
      <c r="H662">
        <v>170.51</v>
      </c>
      <c r="I662">
        <v>76</v>
      </c>
      <c r="J662">
        <v>131.4</v>
      </c>
      <c r="K662">
        <v>90</v>
      </c>
      <c r="L662">
        <v>8.02</v>
      </c>
      <c r="M662">
        <v>73</v>
      </c>
      <c r="N662">
        <v>48.06</v>
      </c>
      <c r="O662">
        <v>86</v>
      </c>
      <c r="P662">
        <v>-26.14</v>
      </c>
      <c r="Q662">
        <v>56</v>
      </c>
      <c r="R662">
        <v>-6.83</v>
      </c>
      <c r="S662">
        <v>70</v>
      </c>
      <c r="T662">
        <v>12.79</v>
      </c>
      <c r="U662">
        <v>47</v>
      </c>
      <c r="V662">
        <v>3.21</v>
      </c>
      <c r="W662">
        <v>54</v>
      </c>
      <c r="X662" t="s">
        <v>276</v>
      </c>
      <c r="Y662" t="s">
        <v>2261</v>
      </c>
      <c r="Z662" t="s">
        <v>330</v>
      </c>
      <c r="AA662" t="s">
        <v>2278</v>
      </c>
      <c r="AB662" t="s">
        <v>9500</v>
      </c>
      <c r="AC662">
        <v>0</v>
      </c>
      <c r="AD662">
        <v>0</v>
      </c>
      <c r="AE662">
        <v>90</v>
      </c>
      <c r="AF662">
        <v>151.44999999999999</v>
      </c>
      <c r="AG662">
        <v>20.96</v>
      </c>
      <c r="AH662">
        <v>17.25</v>
      </c>
      <c r="AI662">
        <v>0.25</v>
      </c>
      <c r="AJ662">
        <v>0.21</v>
      </c>
      <c r="AK662">
        <v>73</v>
      </c>
      <c r="AL662">
        <v>0</v>
      </c>
      <c r="AM662">
        <v>0</v>
      </c>
      <c r="AN662">
        <v>0.36</v>
      </c>
      <c r="AO662">
        <v>1.01</v>
      </c>
      <c r="AP662">
        <v>1181</v>
      </c>
      <c r="AQ662">
        <v>1</v>
      </c>
      <c r="AR662">
        <v>5.0599999999999996</v>
      </c>
      <c r="AS662">
        <v>72</v>
      </c>
      <c r="AT662">
        <v>1.78</v>
      </c>
      <c r="AU662">
        <v>97</v>
      </c>
      <c r="AV662">
        <v>-4.0999999999999996</v>
      </c>
      <c r="AW662">
        <v>99</v>
      </c>
      <c r="AX662">
        <v>-0.35</v>
      </c>
      <c r="AY662">
        <v>94</v>
      </c>
      <c r="AZ662">
        <v>7.19</v>
      </c>
      <c r="BA662">
        <v>42</v>
      </c>
      <c r="BB662">
        <v>4.9800000000000004</v>
      </c>
      <c r="BC662">
        <v>40</v>
      </c>
      <c r="BD662">
        <v>-0.03</v>
      </c>
      <c r="BE662">
        <v>0.03</v>
      </c>
      <c r="BF662">
        <v>0.15</v>
      </c>
      <c r="BG662">
        <v>88</v>
      </c>
      <c r="BH662">
        <v>0.19</v>
      </c>
      <c r="BI662">
        <v>11.62</v>
      </c>
      <c r="BJ662">
        <v>0</v>
      </c>
      <c r="BK662">
        <v>0</v>
      </c>
      <c r="BL662">
        <v>-1.36</v>
      </c>
      <c r="BM662">
        <v>2.21</v>
      </c>
      <c r="BN662">
        <v>0.88</v>
      </c>
      <c r="BO662">
        <v>0</v>
      </c>
      <c r="BP662">
        <v>2.4500000000000002</v>
      </c>
      <c r="BQ662">
        <v>1.5</v>
      </c>
      <c r="BR662">
        <v>3.05</v>
      </c>
      <c r="BS662">
        <v>0</v>
      </c>
      <c r="BT662">
        <v>0</v>
      </c>
      <c r="BU662">
        <v>-0.01</v>
      </c>
      <c r="BV662">
        <v>0.02</v>
      </c>
      <c r="BW662">
        <v>-0.48</v>
      </c>
      <c r="BX662">
        <v>0</v>
      </c>
      <c r="BY662">
        <v>0.55000000000000004</v>
      </c>
      <c r="BZ662">
        <v>0</v>
      </c>
      <c r="CA662">
        <v>0.05</v>
      </c>
      <c r="CB662">
        <v>0.09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-14.6</v>
      </c>
      <c r="CK662">
        <v>61</v>
      </c>
      <c r="CL662">
        <v>-0.91</v>
      </c>
      <c r="CM662">
        <v>49</v>
      </c>
      <c r="CN662">
        <v>-0.48</v>
      </c>
      <c r="CO662">
        <v>49</v>
      </c>
      <c r="CP662">
        <v>-14.8</v>
      </c>
      <c r="CQ662">
        <v>48</v>
      </c>
      <c r="CR662">
        <v>0</v>
      </c>
      <c r="CS662">
        <v>0</v>
      </c>
      <c r="CT662">
        <v>-3.5</v>
      </c>
      <c r="CU662">
        <v>47</v>
      </c>
      <c r="CV662">
        <v>-0.08</v>
      </c>
      <c r="CW662">
        <v>36</v>
      </c>
      <c r="CX662" t="s">
        <v>5213</v>
      </c>
    </row>
    <row r="663" spans="1:102" x14ac:dyDescent="0.3">
      <c r="A663" t="str">
        <f>HYPERLINK("https://webapp.icbf.com/v2/app/bull-search/view/1253650048","FR2428")</f>
        <v>FR2428</v>
      </c>
      <c r="B663" t="s">
        <v>13727</v>
      </c>
      <c r="C663" t="s">
        <v>13728</v>
      </c>
      <c r="D663" s="1">
        <v>42061</v>
      </c>
      <c r="E663" t="s">
        <v>92</v>
      </c>
      <c r="F663">
        <v>72</v>
      </c>
      <c r="G663" t="s">
        <v>93</v>
      </c>
      <c r="H663">
        <v>170.44</v>
      </c>
      <c r="I663">
        <v>80</v>
      </c>
      <c r="J663">
        <v>77.510000000000005</v>
      </c>
      <c r="K663">
        <v>94</v>
      </c>
      <c r="L663">
        <v>61.04</v>
      </c>
      <c r="M663">
        <v>71</v>
      </c>
      <c r="N663">
        <v>37</v>
      </c>
      <c r="O663">
        <v>85</v>
      </c>
      <c r="P663">
        <v>-10.23</v>
      </c>
      <c r="Q663">
        <v>84</v>
      </c>
      <c r="R663">
        <v>1.59</v>
      </c>
      <c r="S663">
        <v>72</v>
      </c>
      <c r="T663">
        <v>7.91</v>
      </c>
      <c r="U663">
        <v>61</v>
      </c>
      <c r="V663">
        <v>-4.38</v>
      </c>
      <c r="W663">
        <v>64</v>
      </c>
      <c r="X663" t="s">
        <v>276</v>
      </c>
      <c r="Y663" t="s">
        <v>436</v>
      </c>
      <c r="Z663" t="s">
        <v>96</v>
      </c>
      <c r="AA663" t="s">
        <v>2157</v>
      </c>
      <c r="AB663" t="s">
        <v>13729</v>
      </c>
      <c r="AC663">
        <v>89</v>
      </c>
      <c r="AD663">
        <v>55</v>
      </c>
      <c r="AE663">
        <v>94</v>
      </c>
      <c r="AF663">
        <v>68.790000000000006</v>
      </c>
      <c r="AG663">
        <v>12</v>
      </c>
      <c r="AH663">
        <v>9.99</v>
      </c>
      <c r="AI663">
        <v>0.16</v>
      </c>
      <c r="AJ663">
        <v>0.13</v>
      </c>
      <c r="AK663">
        <v>71</v>
      </c>
      <c r="AL663">
        <v>0</v>
      </c>
      <c r="AM663">
        <v>0</v>
      </c>
      <c r="AN663">
        <v>-2.4</v>
      </c>
      <c r="AO663">
        <v>2.48</v>
      </c>
      <c r="AP663">
        <v>429</v>
      </c>
      <c r="AQ663">
        <v>2</v>
      </c>
      <c r="AR663">
        <v>6.52</v>
      </c>
      <c r="AS663">
        <v>75</v>
      </c>
      <c r="AT663">
        <v>2.5099999999999998</v>
      </c>
      <c r="AU663">
        <v>91</v>
      </c>
      <c r="AV663">
        <v>-4.29</v>
      </c>
      <c r="AW663">
        <v>98</v>
      </c>
      <c r="AX663">
        <v>-0.26</v>
      </c>
      <c r="AY663">
        <v>87</v>
      </c>
      <c r="AZ663">
        <v>8.3000000000000007</v>
      </c>
      <c r="BA663">
        <v>63</v>
      </c>
      <c r="BB663">
        <v>5.47</v>
      </c>
      <c r="BC663">
        <v>43</v>
      </c>
      <c r="BD663">
        <v>0.02</v>
      </c>
      <c r="BE663">
        <v>0</v>
      </c>
      <c r="BF663">
        <v>-7.0000000000000007E-2</v>
      </c>
      <c r="BG663">
        <v>83</v>
      </c>
      <c r="BH663">
        <v>0.18</v>
      </c>
      <c r="BI663">
        <v>34.950000000000003</v>
      </c>
      <c r="BJ663">
        <v>0</v>
      </c>
      <c r="BK663">
        <v>0</v>
      </c>
      <c r="BL663">
        <v>-1.55</v>
      </c>
      <c r="BM663">
        <v>0.79</v>
      </c>
      <c r="BN663">
        <v>-0.93</v>
      </c>
      <c r="BO663">
        <v>-1.67</v>
      </c>
      <c r="BP663">
        <v>0.27</v>
      </c>
      <c r="BQ663">
        <v>-1.89</v>
      </c>
      <c r="BR663">
        <v>-0.72</v>
      </c>
      <c r="BS663">
        <v>-1.49</v>
      </c>
      <c r="BT663">
        <v>0.33</v>
      </c>
      <c r="BU663">
        <v>-0.8</v>
      </c>
      <c r="BV663">
        <v>-2.14</v>
      </c>
      <c r="BW663">
        <v>-1.37</v>
      </c>
      <c r="BX663">
        <v>-2.1</v>
      </c>
      <c r="BY663">
        <v>-1.71</v>
      </c>
      <c r="BZ663">
        <v>-1.49</v>
      </c>
      <c r="CA663">
        <v>-1.69</v>
      </c>
      <c r="CB663">
        <v>-1.23</v>
      </c>
      <c r="CC663">
        <v>-1.52</v>
      </c>
      <c r="CD663">
        <v>1.47</v>
      </c>
      <c r="CE663">
        <v>-1.63</v>
      </c>
      <c r="CF663">
        <v>-1.69</v>
      </c>
      <c r="CG663">
        <v>0</v>
      </c>
      <c r="CH663">
        <v>0.45</v>
      </c>
      <c r="CI663">
        <v>0</v>
      </c>
      <c r="CJ663">
        <v>-5.7</v>
      </c>
      <c r="CK663">
        <v>87</v>
      </c>
      <c r="CL663">
        <v>-0.37</v>
      </c>
      <c r="CM663">
        <v>84</v>
      </c>
      <c r="CN663">
        <v>-0.12</v>
      </c>
      <c r="CO663">
        <v>82</v>
      </c>
      <c r="CP663">
        <v>0.3</v>
      </c>
      <c r="CQ663">
        <v>62</v>
      </c>
      <c r="CR663">
        <v>0</v>
      </c>
      <c r="CS663">
        <v>0</v>
      </c>
      <c r="CT663">
        <v>3.1</v>
      </c>
      <c r="CU663">
        <v>61</v>
      </c>
      <c r="CV663">
        <v>-0.03</v>
      </c>
      <c r="CW663">
        <v>45</v>
      </c>
      <c r="CX663" t="s">
        <v>1939</v>
      </c>
    </row>
    <row r="664" spans="1:102" x14ac:dyDescent="0.3">
      <c r="A664" t="str">
        <f>HYPERLINK("https://webapp.icbf.com/v2/app/bull-search/view/676243034","KPA")</f>
        <v>KPA</v>
      </c>
      <c r="B664" t="s">
        <v>6969</v>
      </c>
      <c r="C664" t="s">
        <v>6970</v>
      </c>
      <c r="D664" s="1">
        <v>39890</v>
      </c>
      <c r="E664" t="s">
        <v>92</v>
      </c>
      <c r="F664">
        <v>59</v>
      </c>
      <c r="G664" t="s">
        <v>93</v>
      </c>
      <c r="H664">
        <v>170.28</v>
      </c>
      <c r="I664">
        <v>86</v>
      </c>
      <c r="J664">
        <v>42.18</v>
      </c>
      <c r="K664">
        <v>96</v>
      </c>
      <c r="L664">
        <v>90.49</v>
      </c>
      <c r="M664">
        <v>78</v>
      </c>
      <c r="N664">
        <v>14.95</v>
      </c>
      <c r="O664">
        <v>86</v>
      </c>
      <c r="P664">
        <v>-6.94</v>
      </c>
      <c r="Q664">
        <v>93</v>
      </c>
      <c r="R664">
        <v>19.079999999999998</v>
      </c>
      <c r="S664">
        <v>78</v>
      </c>
      <c r="T664">
        <v>8.2799999999999994</v>
      </c>
      <c r="U664">
        <v>79</v>
      </c>
      <c r="V664">
        <v>2.2400000000000002</v>
      </c>
      <c r="W664">
        <v>76</v>
      </c>
      <c r="X664" t="s">
        <v>94</v>
      </c>
      <c r="Y664" t="s">
        <v>1727</v>
      </c>
      <c r="Z664" t="s">
        <v>330</v>
      </c>
      <c r="AA664" t="s">
        <v>4088</v>
      </c>
      <c r="AB664" t="s">
        <v>6971</v>
      </c>
      <c r="AC664">
        <v>87</v>
      </c>
      <c r="AD664">
        <v>63</v>
      </c>
      <c r="AE664">
        <v>96</v>
      </c>
      <c r="AF664">
        <v>-95.8</v>
      </c>
      <c r="AG664">
        <v>6.72</v>
      </c>
      <c r="AH664">
        <v>3.33</v>
      </c>
      <c r="AI664">
        <v>0.19</v>
      </c>
      <c r="AJ664">
        <v>0.12</v>
      </c>
      <c r="AK664">
        <v>78</v>
      </c>
      <c r="AL664">
        <v>95</v>
      </c>
      <c r="AM664">
        <v>69</v>
      </c>
      <c r="AN664">
        <v>-4.66</v>
      </c>
      <c r="AO664">
        <v>2.56</v>
      </c>
      <c r="AP664">
        <v>229</v>
      </c>
      <c r="AQ664">
        <v>1</v>
      </c>
      <c r="AR664">
        <v>7.68</v>
      </c>
      <c r="AS664">
        <v>71</v>
      </c>
      <c r="AT664">
        <v>3.17</v>
      </c>
      <c r="AU664">
        <v>88</v>
      </c>
      <c r="AV664">
        <v>-2.57</v>
      </c>
      <c r="AW664">
        <v>97</v>
      </c>
      <c r="AX664">
        <v>0.35</v>
      </c>
      <c r="AY664">
        <v>80</v>
      </c>
      <c r="AZ664">
        <v>7.59</v>
      </c>
      <c r="BA664">
        <v>65</v>
      </c>
      <c r="BB664">
        <v>5.41</v>
      </c>
      <c r="BC664">
        <v>66</v>
      </c>
      <c r="BD664">
        <v>-7.0000000000000007E-2</v>
      </c>
      <c r="BE664">
        <v>-0.08</v>
      </c>
      <c r="BF664">
        <v>-0.17</v>
      </c>
      <c r="BG664">
        <v>88</v>
      </c>
      <c r="BH664">
        <v>0.37</v>
      </c>
      <c r="BI664">
        <v>35.590000000000003</v>
      </c>
      <c r="BJ664">
        <v>4</v>
      </c>
      <c r="BK664">
        <v>4</v>
      </c>
      <c r="BL664">
        <v>-1.69</v>
      </c>
      <c r="BM664">
        <v>-0.63</v>
      </c>
      <c r="BN664">
        <v>-2.02</v>
      </c>
      <c r="BO664">
        <v>-1.1200000000000001</v>
      </c>
      <c r="BP664">
        <v>-1.06</v>
      </c>
      <c r="BQ664">
        <v>-1.62</v>
      </c>
      <c r="BR664">
        <v>-0.14000000000000001</v>
      </c>
      <c r="BS664">
        <v>-0.85</v>
      </c>
      <c r="BT664">
        <v>7.0000000000000007E-2</v>
      </c>
      <c r="BU664">
        <v>-0.11</v>
      </c>
      <c r="BV664">
        <v>-0.67</v>
      </c>
      <c r="BW664">
        <v>-1.1399999999999999</v>
      </c>
      <c r="BX664">
        <v>-0.73</v>
      </c>
      <c r="BY664">
        <v>-0.66</v>
      </c>
      <c r="BZ664">
        <v>0.2</v>
      </c>
      <c r="CA664">
        <v>-0.26</v>
      </c>
      <c r="CB664">
        <v>-0.4</v>
      </c>
      <c r="CC664">
        <v>-0.31</v>
      </c>
      <c r="CD664">
        <v>0.45</v>
      </c>
      <c r="CE664">
        <v>-0.8</v>
      </c>
      <c r="CF664">
        <v>-2.93</v>
      </c>
      <c r="CG664">
        <v>0</v>
      </c>
      <c r="CH664">
        <v>-1.28</v>
      </c>
      <c r="CI664">
        <v>0</v>
      </c>
      <c r="CJ664">
        <v>-1.5</v>
      </c>
      <c r="CK664">
        <v>94</v>
      </c>
      <c r="CL664">
        <v>-0.69</v>
      </c>
      <c r="CM664">
        <v>93</v>
      </c>
      <c r="CN664">
        <v>-0.25</v>
      </c>
      <c r="CO664">
        <v>92</v>
      </c>
      <c r="CP664">
        <v>-4.5</v>
      </c>
      <c r="CQ664">
        <v>84</v>
      </c>
      <c r="CR664">
        <v>0</v>
      </c>
      <c r="CS664">
        <v>0</v>
      </c>
      <c r="CT664">
        <v>2.6</v>
      </c>
      <c r="CU664">
        <v>79</v>
      </c>
      <c r="CV664">
        <v>0.19</v>
      </c>
      <c r="CW664">
        <v>45</v>
      </c>
      <c r="CX664" t="s">
        <v>6500</v>
      </c>
    </row>
    <row r="665" spans="1:102" x14ac:dyDescent="0.3">
      <c r="A665" t="str">
        <f>HYPERLINK("https://webapp.icbf.com/v2/app/bull-search/view/933356975","FR4501")</f>
        <v>FR4501</v>
      </c>
      <c r="B665" t="s">
        <v>10307</v>
      </c>
      <c r="C665" t="s">
        <v>10308</v>
      </c>
      <c r="D665" s="1">
        <v>40744</v>
      </c>
      <c r="E665" t="s">
        <v>92</v>
      </c>
      <c r="F665">
        <v>53</v>
      </c>
      <c r="G665" t="s">
        <v>109</v>
      </c>
      <c r="H665">
        <v>170.25</v>
      </c>
      <c r="I665">
        <v>72</v>
      </c>
      <c r="J665">
        <v>83.93</v>
      </c>
      <c r="K665">
        <v>89</v>
      </c>
      <c r="L665">
        <v>41.84</v>
      </c>
      <c r="M665">
        <v>71</v>
      </c>
      <c r="N665">
        <v>36.42</v>
      </c>
      <c r="O665">
        <v>70</v>
      </c>
      <c r="P665">
        <v>-28.85</v>
      </c>
      <c r="Q665">
        <v>45</v>
      </c>
      <c r="R665">
        <v>2.38</v>
      </c>
      <c r="S665">
        <v>69</v>
      </c>
      <c r="T665">
        <v>23.59</v>
      </c>
      <c r="U665">
        <v>45</v>
      </c>
      <c r="V665">
        <v>10.94</v>
      </c>
      <c r="W665">
        <v>55</v>
      </c>
      <c r="X665" t="s">
        <v>276</v>
      </c>
      <c r="Y665" t="s">
        <v>442</v>
      </c>
      <c r="Z665" t="s">
        <v>330</v>
      </c>
      <c r="AA665" t="s">
        <v>9080</v>
      </c>
      <c r="AB665" t="s">
        <v>144</v>
      </c>
      <c r="AC665">
        <v>0</v>
      </c>
      <c r="AD665">
        <v>0</v>
      </c>
      <c r="AE665">
        <v>89</v>
      </c>
      <c r="AF665">
        <v>192.79</v>
      </c>
      <c r="AG665">
        <v>11.01</v>
      </c>
      <c r="AH665">
        <v>13.33</v>
      </c>
      <c r="AI665">
        <v>0.05</v>
      </c>
      <c r="AJ665">
        <v>0.12</v>
      </c>
      <c r="AK665">
        <v>71</v>
      </c>
      <c r="AL665">
        <v>0</v>
      </c>
      <c r="AM665">
        <v>0</v>
      </c>
      <c r="AN665">
        <v>-1.25</v>
      </c>
      <c r="AO665">
        <v>2.1</v>
      </c>
      <c r="AP665">
        <v>46</v>
      </c>
      <c r="AQ665">
        <v>0</v>
      </c>
      <c r="AR665">
        <v>5.58</v>
      </c>
      <c r="AS665">
        <v>59</v>
      </c>
      <c r="AT665">
        <v>1.83</v>
      </c>
      <c r="AU665">
        <v>74</v>
      </c>
      <c r="AV665">
        <v>-2.92</v>
      </c>
      <c r="AW665">
        <v>85</v>
      </c>
      <c r="AX665">
        <v>-0.38</v>
      </c>
      <c r="AY665">
        <v>55</v>
      </c>
      <c r="AZ665">
        <v>6.54</v>
      </c>
      <c r="BA665">
        <v>40</v>
      </c>
      <c r="BB665">
        <v>5.39</v>
      </c>
      <c r="BC665">
        <v>40</v>
      </c>
      <c r="BD665">
        <v>-0.01</v>
      </c>
      <c r="BE665">
        <v>-0.02</v>
      </c>
      <c r="BF665">
        <v>0</v>
      </c>
      <c r="BG665">
        <v>87</v>
      </c>
      <c r="BH665">
        <v>0.11</v>
      </c>
      <c r="BI665">
        <v>-22.57</v>
      </c>
      <c r="BJ665">
        <v>0</v>
      </c>
      <c r="BK665">
        <v>0</v>
      </c>
      <c r="BL665">
        <v>-2.11</v>
      </c>
      <c r="BM665">
        <v>1.03</v>
      </c>
      <c r="BN665">
        <v>-0.42</v>
      </c>
      <c r="BO665">
        <v>-0.43</v>
      </c>
      <c r="BP665">
        <v>-0.56999999999999995</v>
      </c>
      <c r="BQ665">
        <v>-2.78</v>
      </c>
      <c r="BR665">
        <v>2.4700000000000002</v>
      </c>
      <c r="BS665">
        <v>-1.5</v>
      </c>
      <c r="BT665">
        <v>-2.19</v>
      </c>
      <c r="BU665">
        <v>-0.5</v>
      </c>
      <c r="BV665">
        <v>-1.01</v>
      </c>
      <c r="BW665">
        <v>-0.91</v>
      </c>
      <c r="BX665">
        <v>-0.37</v>
      </c>
      <c r="BY665">
        <v>0.31</v>
      </c>
      <c r="BZ665">
        <v>-0.99</v>
      </c>
      <c r="CA665">
        <v>-0.89</v>
      </c>
      <c r="CB665">
        <v>-0.57999999999999996</v>
      </c>
      <c r="CC665">
        <v>-1.51</v>
      </c>
      <c r="CD665">
        <v>0.37</v>
      </c>
      <c r="CE665">
        <v>0.15</v>
      </c>
      <c r="CF665">
        <v>-0.79</v>
      </c>
      <c r="CG665">
        <v>0</v>
      </c>
      <c r="CH665">
        <v>0.36</v>
      </c>
      <c r="CI665">
        <v>0</v>
      </c>
      <c r="CJ665">
        <v>-12.9</v>
      </c>
      <c r="CK665">
        <v>45</v>
      </c>
      <c r="CL665">
        <v>-0.71</v>
      </c>
      <c r="CM665">
        <v>45</v>
      </c>
      <c r="CN665">
        <v>0.04</v>
      </c>
      <c r="CO665">
        <v>45</v>
      </c>
      <c r="CP665">
        <v>-21.7</v>
      </c>
      <c r="CQ665">
        <v>44</v>
      </c>
      <c r="CR665">
        <v>0</v>
      </c>
      <c r="CS665">
        <v>0</v>
      </c>
      <c r="CT665">
        <v>-18.100000000000001</v>
      </c>
      <c r="CU665">
        <v>45</v>
      </c>
      <c r="CV665">
        <v>0.1</v>
      </c>
      <c r="CW665">
        <v>35</v>
      </c>
      <c r="CX665" t="s">
        <v>320</v>
      </c>
    </row>
    <row r="666" spans="1:102" x14ac:dyDescent="0.3">
      <c r="A666" t="str">
        <f>HYPERLINK("https://webapp.icbf.com/v2/app/bull-search/view/1306329302","FR4663")</f>
        <v>FR4663</v>
      </c>
      <c r="B666" t="s">
        <v>6401</v>
      </c>
      <c r="C666" t="s">
        <v>6402</v>
      </c>
      <c r="D666" s="1">
        <v>41592</v>
      </c>
      <c r="E666" t="s">
        <v>92</v>
      </c>
      <c r="F666">
        <v>100</v>
      </c>
      <c r="G666" t="s">
        <v>109</v>
      </c>
      <c r="H666">
        <v>170.13</v>
      </c>
      <c r="I666">
        <v>74</v>
      </c>
      <c r="J666">
        <v>85.36</v>
      </c>
      <c r="K666">
        <v>92</v>
      </c>
      <c r="L666">
        <v>60.88</v>
      </c>
      <c r="M666">
        <v>76</v>
      </c>
      <c r="N666">
        <v>13.63</v>
      </c>
      <c r="O666">
        <v>77</v>
      </c>
      <c r="P666">
        <v>-8.36</v>
      </c>
      <c r="Q666">
        <v>38</v>
      </c>
      <c r="R666">
        <v>15.25</v>
      </c>
      <c r="S666">
        <v>72</v>
      </c>
      <c r="T666">
        <v>-1.1200000000000001</v>
      </c>
      <c r="U666">
        <v>37</v>
      </c>
      <c r="V666">
        <v>4.49</v>
      </c>
      <c r="W666">
        <v>59</v>
      </c>
      <c r="X666" t="s">
        <v>276</v>
      </c>
      <c r="Y666" t="s">
        <v>442</v>
      </c>
      <c r="Z666" t="s">
        <v>96</v>
      </c>
      <c r="AA666" t="s">
        <v>6403</v>
      </c>
      <c r="AB666" t="s">
        <v>6404</v>
      </c>
      <c r="AC666">
        <v>0</v>
      </c>
      <c r="AD666">
        <v>0</v>
      </c>
      <c r="AE666">
        <v>92</v>
      </c>
      <c r="AF666">
        <v>401.39</v>
      </c>
      <c r="AG666">
        <v>19.93</v>
      </c>
      <c r="AH666">
        <v>13.61</v>
      </c>
      <c r="AI666">
        <v>7.0000000000000007E-2</v>
      </c>
      <c r="AJ666">
        <v>0</v>
      </c>
      <c r="AK666">
        <v>76</v>
      </c>
      <c r="AL666">
        <v>0</v>
      </c>
      <c r="AM666">
        <v>0</v>
      </c>
      <c r="AN666">
        <v>-2.91</v>
      </c>
      <c r="AO666">
        <v>1.95</v>
      </c>
      <c r="AP666">
        <v>85</v>
      </c>
      <c r="AQ666">
        <v>0</v>
      </c>
      <c r="AR666">
        <v>10.220000000000001</v>
      </c>
      <c r="AS666">
        <v>69</v>
      </c>
      <c r="AT666">
        <v>3.67</v>
      </c>
      <c r="AU666">
        <v>88</v>
      </c>
      <c r="AV666">
        <v>-3.2</v>
      </c>
      <c r="AW666">
        <v>89</v>
      </c>
      <c r="AX666">
        <v>-0.35</v>
      </c>
      <c r="AY666">
        <v>64</v>
      </c>
      <c r="AZ666">
        <v>6.49</v>
      </c>
      <c r="BA666">
        <v>41</v>
      </c>
      <c r="BB666">
        <v>4.95</v>
      </c>
      <c r="BC666">
        <v>40</v>
      </c>
      <c r="BD666">
        <v>-0.04</v>
      </c>
      <c r="BE666">
        <v>-0.06</v>
      </c>
      <c r="BF666">
        <v>-0.17</v>
      </c>
      <c r="BG666">
        <v>87</v>
      </c>
      <c r="BH666">
        <v>0.1</v>
      </c>
      <c r="BI666">
        <v>-2.91</v>
      </c>
      <c r="BJ666">
        <v>0</v>
      </c>
      <c r="BK666">
        <v>0</v>
      </c>
      <c r="BL666">
        <v>2.27</v>
      </c>
      <c r="BM666">
        <v>1.1200000000000001</v>
      </c>
      <c r="BN666">
        <v>1.1000000000000001</v>
      </c>
      <c r="BO666">
        <v>1.33</v>
      </c>
      <c r="BP666">
        <v>1.26</v>
      </c>
      <c r="BQ666">
        <v>4.03</v>
      </c>
      <c r="BR666">
        <v>0.9</v>
      </c>
      <c r="BS666">
        <v>1.77</v>
      </c>
      <c r="BT666">
        <v>1.41</v>
      </c>
      <c r="BU666">
        <v>2.56</v>
      </c>
      <c r="BV666">
        <v>3.32</v>
      </c>
      <c r="BW666">
        <v>3.2</v>
      </c>
      <c r="BX666">
        <v>1.98</v>
      </c>
      <c r="BY666">
        <v>3.69</v>
      </c>
      <c r="BZ666">
        <v>-1.73</v>
      </c>
      <c r="CA666">
        <v>2.73</v>
      </c>
      <c r="CB666">
        <v>2.82</v>
      </c>
      <c r="CC666">
        <v>1.1200000000000001</v>
      </c>
      <c r="CD666">
        <v>-0.62</v>
      </c>
      <c r="CE666">
        <v>0.56999999999999995</v>
      </c>
      <c r="CF666">
        <v>0.88</v>
      </c>
      <c r="CG666">
        <v>0</v>
      </c>
      <c r="CH666">
        <v>3.71</v>
      </c>
      <c r="CI666">
        <v>0</v>
      </c>
      <c r="CJ666">
        <v>-1.8</v>
      </c>
      <c r="CK666">
        <v>38</v>
      </c>
      <c r="CL666">
        <v>-1.34</v>
      </c>
      <c r="CM666">
        <v>38</v>
      </c>
      <c r="CN666">
        <v>-0.62</v>
      </c>
      <c r="CO666">
        <v>38</v>
      </c>
      <c r="CP666">
        <v>4.5999999999999996</v>
      </c>
      <c r="CQ666">
        <v>37</v>
      </c>
      <c r="CR666">
        <v>0</v>
      </c>
      <c r="CS666">
        <v>0</v>
      </c>
      <c r="CT666">
        <v>15.3</v>
      </c>
      <c r="CU666">
        <v>37</v>
      </c>
      <c r="CV666">
        <v>0.26</v>
      </c>
      <c r="CW666">
        <v>33</v>
      </c>
      <c r="CX666" t="s">
        <v>401</v>
      </c>
    </row>
    <row r="667" spans="1:102" x14ac:dyDescent="0.3">
      <c r="A667" t="str">
        <f>HYPERLINK("https://webapp.icbf.com/v2/app/bull-search/view/1389447144","FR4220")</f>
        <v>FR4220</v>
      </c>
      <c r="B667" t="s">
        <v>2296</v>
      </c>
      <c r="C667" t="s">
        <v>2297</v>
      </c>
      <c r="D667" s="1">
        <v>41976</v>
      </c>
      <c r="E667" t="s">
        <v>92</v>
      </c>
      <c r="F667">
        <v>100</v>
      </c>
      <c r="G667" t="s">
        <v>109</v>
      </c>
      <c r="H667">
        <v>170.07</v>
      </c>
      <c r="I667">
        <v>75</v>
      </c>
      <c r="J667">
        <v>95.54</v>
      </c>
      <c r="K667">
        <v>90</v>
      </c>
      <c r="L667">
        <v>17.2</v>
      </c>
      <c r="M667">
        <v>71</v>
      </c>
      <c r="N667">
        <v>34.270000000000003</v>
      </c>
      <c r="O667">
        <v>84</v>
      </c>
      <c r="P667">
        <v>-6.26</v>
      </c>
      <c r="Q667">
        <v>68</v>
      </c>
      <c r="R667">
        <v>17.72</v>
      </c>
      <c r="S667">
        <v>66</v>
      </c>
      <c r="T667">
        <v>3.61</v>
      </c>
      <c r="U667">
        <v>42</v>
      </c>
      <c r="V667">
        <v>7.99</v>
      </c>
      <c r="W667">
        <v>56</v>
      </c>
      <c r="X667" t="s">
        <v>428</v>
      </c>
      <c r="Y667" t="s">
        <v>2261</v>
      </c>
      <c r="Z667" t="s">
        <v>96</v>
      </c>
      <c r="AA667" t="s">
        <v>2298</v>
      </c>
      <c r="AB667" t="s">
        <v>2299</v>
      </c>
      <c r="AC667">
        <v>0</v>
      </c>
      <c r="AD667">
        <v>0</v>
      </c>
      <c r="AE667">
        <v>90</v>
      </c>
      <c r="AF667">
        <v>187.47</v>
      </c>
      <c r="AG667">
        <v>21.31</v>
      </c>
      <c r="AH667">
        <v>11.58</v>
      </c>
      <c r="AI667">
        <v>0.23</v>
      </c>
      <c r="AJ667">
        <v>0.09</v>
      </c>
      <c r="AK667">
        <v>71</v>
      </c>
      <c r="AL667">
        <v>0</v>
      </c>
      <c r="AM667">
        <v>0</v>
      </c>
      <c r="AN667">
        <v>-1.07</v>
      </c>
      <c r="AO667">
        <v>0.3</v>
      </c>
      <c r="AP667">
        <v>484</v>
      </c>
      <c r="AQ667">
        <v>1</v>
      </c>
      <c r="AR667">
        <v>5.15</v>
      </c>
      <c r="AS667">
        <v>88</v>
      </c>
      <c r="AT667">
        <v>2.36</v>
      </c>
      <c r="AU667">
        <v>92</v>
      </c>
      <c r="AV667">
        <v>-2.41</v>
      </c>
      <c r="AW667">
        <v>97</v>
      </c>
      <c r="AX667">
        <v>-0.54</v>
      </c>
      <c r="AY667">
        <v>89</v>
      </c>
      <c r="AZ667">
        <v>5.36</v>
      </c>
      <c r="BA667">
        <v>38</v>
      </c>
      <c r="BB667">
        <v>4.91</v>
      </c>
      <c r="BC667">
        <v>36</v>
      </c>
      <c r="BD667">
        <v>-0.08</v>
      </c>
      <c r="BE667">
        <v>-0.06</v>
      </c>
      <c r="BF667">
        <v>-0.16</v>
      </c>
      <c r="BG667">
        <v>81</v>
      </c>
      <c r="BH667">
        <v>0.05</v>
      </c>
      <c r="BI667">
        <v>-19.989999999999998</v>
      </c>
      <c r="BJ667">
        <v>0</v>
      </c>
      <c r="BK667">
        <v>0</v>
      </c>
      <c r="BL667">
        <v>1.0900000000000001</v>
      </c>
      <c r="BM667">
        <v>-0.32</v>
      </c>
      <c r="BN667">
        <v>0.26</v>
      </c>
      <c r="BO667">
        <v>0.8</v>
      </c>
      <c r="BP667">
        <v>1.43</v>
      </c>
      <c r="BQ667">
        <v>0.38</v>
      </c>
      <c r="BR667">
        <v>-3.34</v>
      </c>
      <c r="BS667">
        <v>2.66</v>
      </c>
      <c r="BT667">
        <v>2.29</v>
      </c>
      <c r="BU667">
        <v>4.01</v>
      </c>
      <c r="BV667">
        <v>3.94</v>
      </c>
      <c r="BW667">
        <v>1.67</v>
      </c>
      <c r="BX667">
        <v>2.86</v>
      </c>
      <c r="BY667">
        <v>1.71</v>
      </c>
      <c r="BZ667">
        <v>-1.71</v>
      </c>
      <c r="CA667">
        <v>3.08</v>
      </c>
      <c r="CB667">
        <v>3.2</v>
      </c>
      <c r="CC667">
        <v>1.48</v>
      </c>
      <c r="CD667">
        <v>0.01</v>
      </c>
      <c r="CE667">
        <v>1.29</v>
      </c>
      <c r="CF667">
        <v>1.1299999999999999</v>
      </c>
      <c r="CG667">
        <v>0</v>
      </c>
      <c r="CH667">
        <v>3.38</v>
      </c>
      <c r="CI667">
        <v>0</v>
      </c>
      <c r="CJ667">
        <v>-1.4</v>
      </c>
      <c r="CK667">
        <v>72</v>
      </c>
      <c r="CL667">
        <v>-1.27</v>
      </c>
      <c r="CM667">
        <v>66</v>
      </c>
      <c r="CN667">
        <v>-0.72</v>
      </c>
      <c r="CO667">
        <v>65</v>
      </c>
      <c r="CP667">
        <v>2.2999999999999998</v>
      </c>
      <c r="CQ667">
        <v>47</v>
      </c>
      <c r="CR667">
        <v>0</v>
      </c>
      <c r="CS667">
        <v>0</v>
      </c>
      <c r="CT667">
        <v>8.9</v>
      </c>
      <c r="CU667">
        <v>42</v>
      </c>
      <c r="CV667">
        <v>0.28000000000000003</v>
      </c>
      <c r="CW667">
        <v>40</v>
      </c>
      <c r="CX667" t="s">
        <v>1894</v>
      </c>
    </row>
    <row r="668" spans="1:102" x14ac:dyDescent="0.3">
      <c r="A668" t="str">
        <f>HYPERLINK("https://webapp.icbf.com/v2/app/bull-search/view/678697302","RHJ")</f>
        <v>RHJ</v>
      </c>
      <c r="B668" t="s">
        <v>14661</v>
      </c>
      <c r="C668" t="s">
        <v>14662</v>
      </c>
      <c r="D668" s="1">
        <v>39687</v>
      </c>
      <c r="E668" t="s">
        <v>92</v>
      </c>
      <c r="F668">
        <v>75</v>
      </c>
      <c r="G668" t="s">
        <v>93</v>
      </c>
      <c r="H668">
        <v>169.94</v>
      </c>
      <c r="I668">
        <v>82</v>
      </c>
      <c r="J668">
        <v>58.75</v>
      </c>
      <c r="K668">
        <v>93</v>
      </c>
      <c r="L668">
        <v>61.4</v>
      </c>
      <c r="M668">
        <v>74</v>
      </c>
      <c r="N668">
        <v>46.88</v>
      </c>
      <c r="O668">
        <v>78</v>
      </c>
      <c r="P668">
        <v>-30.19</v>
      </c>
      <c r="Q668">
        <v>92</v>
      </c>
      <c r="R668">
        <v>-2.71</v>
      </c>
      <c r="S668">
        <v>66</v>
      </c>
      <c r="T668">
        <v>32.840000000000003</v>
      </c>
      <c r="U668">
        <v>82</v>
      </c>
      <c r="V668">
        <v>2.97</v>
      </c>
      <c r="W668">
        <v>64</v>
      </c>
      <c r="X668" t="s">
        <v>276</v>
      </c>
      <c r="Y668" t="s">
        <v>329</v>
      </c>
      <c r="Z668" t="s">
        <v>330</v>
      </c>
      <c r="AA668" t="s">
        <v>2339</v>
      </c>
      <c r="AB668" t="s">
        <v>144</v>
      </c>
      <c r="AC668">
        <v>81</v>
      </c>
      <c r="AD668">
        <v>40</v>
      </c>
      <c r="AE668">
        <v>93</v>
      </c>
      <c r="AF668">
        <v>148.29</v>
      </c>
      <c r="AG668">
        <v>9.56</v>
      </c>
      <c r="AH668">
        <v>8.8800000000000008</v>
      </c>
      <c r="AI668">
        <v>0.06</v>
      </c>
      <c r="AJ668">
        <v>0.06</v>
      </c>
      <c r="AK668">
        <v>74</v>
      </c>
      <c r="AL668">
        <v>95</v>
      </c>
      <c r="AM668">
        <v>37</v>
      </c>
      <c r="AN668">
        <v>-2.3199999999999998</v>
      </c>
      <c r="AO668">
        <v>2.59</v>
      </c>
      <c r="AP668">
        <v>77</v>
      </c>
      <c r="AQ668">
        <v>4</v>
      </c>
      <c r="AR668">
        <v>4.08</v>
      </c>
      <c r="AS668">
        <v>59</v>
      </c>
      <c r="AT668">
        <v>1.65</v>
      </c>
      <c r="AU668">
        <v>72</v>
      </c>
      <c r="AV668">
        <v>-3.08</v>
      </c>
      <c r="AW668">
        <v>93</v>
      </c>
      <c r="AX668">
        <v>-0.84</v>
      </c>
      <c r="AY668">
        <v>80</v>
      </c>
      <c r="AZ668">
        <v>5.83</v>
      </c>
      <c r="BA668">
        <v>50</v>
      </c>
      <c r="BB668">
        <v>4.72</v>
      </c>
      <c r="BC668">
        <v>56</v>
      </c>
      <c r="BD668">
        <v>-0.01</v>
      </c>
      <c r="BE668">
        <v>0.01</v>
      </c>
      <c r="BF668">
        <v>0.06</v>
      </c>
      <c r="BG668">
        <v>82</v>
      </c>
      <c r="BH668">
        <v>0.04</v>
      </c>
      <c r="BI668">
        <v>-4.9400000000000004</v>
      </c>
      <c r="BJ668">
        <v>0</v>
      </c>
      <c r="BK668">
        <v>0</v>
      </c>
      <c r="BL668">
        <v>-1.58</v>
      </c>
      <c r="BM668">
        <v>-2.21</v>
      </c>
      <c r="BN668">
        <v>-2.65</v>
      </c>
      <c r="BO668">
        <v>7.0000000000000007E-2</v>
      </c>
      <c r="BP668">
        <v>3.01</v>
      </c>
      <c r="BQ668">
        <v>-3.23</v>
      </c>
      <c r="BR668">
        <v>1.62</v>
      </c>
      <c r="BS668">
        <v>0.39</v>
      </c>
      <c r="BT668">
        <v>-2.4</v>
      </c>
      <c r="BU668">
        <v>-1.28</v>
      </c>
      <c r="BV668">
        <v>-0.94</v>
      </c>
      <c r="BW668">
        <v>-0.98</v>
      </c>
      <c r="BX668">
        <v>-2.39</v>
      </c>
      <c r="BY668">
        <v>-0.21</v>
      </c>
      <c r="BZ668">
        <v>-0.06</v>
      </c>
      <c r="CA668">
        <v>-1.56</v>
      </c>
      <c r="CB668">
        <v>-0.72</v>
      </c>
      <c r="CC668">
        <v>-0.53</v>
      </c>
      <c r="CD668">
        <v>-0.86</v>
      </c>
      <c r="CE668">
        <v>0.31</v>
      </c>
      <c r="CF668">
        <v>-1.74</v>
      </c>
      <c r="CG668">
        <v>0</v>
      </c>
      <c r="CH668">
        <v>-0.3</v>
      </c>
      <c r="CI668">
        <v>0</v>
      </c>
      <c r="CJ668">
        <v>-15.1</v>
      </c>
      <c r="CK668">
        <v>94</v>
      </c>
      <c r="CL668">
        <v>-0.75</v>
      </c>
      <c r="CM668">
        <v>92</v>
      </c>
      <c r="CN668">
        <v>-0.17</v>
      </c>
      <c r="CO668">
        <v>91</v>
      </c>
      <c r="CP668">
        <v>-24</v>
      </c>
      <c r="CQ668">
        <v>81</v>
      </c>
      <c r="CR668">
        <v>0</v>
      </c>
      <c r="CS668">
        <v>0</v>
      </c>
      <c r="CT668">
        <v>-30.6</v>
      </c>
      <c r="CU668">
        <v>82</v>
      </c>
      <c r="CV668">
        <v>-0.03</v>
      </c>
      <c r="CW668">
        <v>27</v>
      </c>
      <c r="CX668" t="s">
        <v>1525</v>
      </c>
    </row>
    <row r="669" spans="1:102" x14ac:dyDescent="0.3">
      <c r="A669" t="str">
        <f>HYPERLINK("https://webapp.icbf.com/v2/app/bull-search/view/560119093","BHW")</f>
        <v>BHW</v>
      </c>
      <c r="B669" t="s">
        <v>8223</v>
      </c>
      <c r="C669" t="s">
        <v>8224</v>
      </c>
      <c r="D669" s="1">
        <v>39495</v>
      </c>
      <c r="E669" t="s">
        <v>227</v>
      </c>
      <c r="F669">
        <v>0</v>
      </c>
      <c r="G669" t="s">
        <v>93</v>
      </c>
      <c r="H669">
        <v>169.87</v>
      </c>
      <c r="I669">
        <v>89</v>
      </c>
      <c r="J669">
        <v>56.5</v>
      </c>
      <c r="K669">
        <v>98</v>
      </c>
      <c r="L669">
        <v>47.95</v>
      </c>
      <c r="M669">
        <v>82</v>
      </c>
      <c r="N669">
        <v>40.54</v>
      </c>
      <c r="O669">
        <v>86</v>
      </c>
      <c r="P669">
        <v>-48.24</v>
      </c>
      <c r="Q669">
        <v>89</v>
      </c>
      <c r="R669">
        <v>5.52</v>
      </c>
      <c r="S669">
        <v>83</v>
      </c>
      <c r="T669">
        <v>57.63</v>
      </c>
      <c r="U669">
        <v>89</v>
      </c>
      <c r="V669">
        <v>9.9700000000000006</v>
      </c>
      <c r="W669">
        <v>84</v>
      </c>
      <c r="X669" t="s">
        <v>94</v>
      </c>
      <c r="Y669" t="s">
        <v>319</v>
      </c>
      <c r="Z669">
        <v>0</v>
      </c>
      <c r="AA669" t="s">
        <v>1928</v>
      </c>
      <c r="AB669" t="s">
        <v>8225</v>
      </c>
      <c r="AC669">
        <v>111</v>
      </c>
      <c r="AD669">
        <v>40</v>
      </c>
      <c r="AE669">
        <v>98</v>
      </c>
      <c r="AF669">
        <v>-635.07000000000005</v>
      </c>
      <c r="AG669">
        <v>14.16</v>
      </c>
      <c r="AH669">
        <v>-5.12</v>
      </c>
      <c r="AI669">
        <v>0.76</v>
      </c>
      <c r="AJ669">
        <v>0.32</v>
      </c>
      <c r="AK669">
        <v>82</v>
      </c>
      <c r="AL669">
        <v>113</v>
      </c>
      <c r="AM669">
        <v>39</v>
      </c>
      <c r="AN669">
        <v>-1.38</v>
      </c>
      <c r="AO669">
        <v>2.46</v>
      </c>
      <c r="AP669">
        <v>136</v>
      </c>
      <c r="AQ669">
        <v>2</v>
      </c>
      <c r="AR669">
        <v>2.2400000000000002</v>
      </c>
      <c r="AS669">
        <v>76</v>
      </c>
      <c r="AT669">
        <v>1.21</v>
      </c>
      <c r="AU669">
        <v>85</v>
      </c>
      <c r="AV669">
        <v>-3.01</v>
      </c>
      <c r="AW669">
        <v>96</v>
      </c>
      <c r="AX669">
        <v>0.45</v>
      </c>
      <c r="AY669">
        <v>84</v>
      </c>
      <c r="AZ669">
        <v>8.0399999999999991</v>
      </c>
      <c r="BA669">
        <v>67</v>
      </c>
      <c r="BB669">
        <v>5.48</v>
      </c>
      <c r="BC669">
        <v>72</v>
      </c>
      <c r="BD669">
        <v>-0.09</v>
      </c>
      <c r="BE669">
        <v>-0.03</v>
      </c>
      <c r="BF669">
        <v>0.08</v>
      </c>
      <c r="BG669">
        <v>91</v>
      </c>
      <c r="BH669">
        <v>0.12</v>
      </c>
      <c r="BI669">
        <v>-18.28</v>
      </c>
      <c r="BJ669">
        <v>32</v>
      </c>
      <c r="BK669">
        <v>11</v>
      </c>
      <c r="BL669">
        <v>-2.88</v>
      </c>
      <c r="BM669">
        <v>-0.6</v>
      </c>
      <c r="BN669">
        <v>-0.51</v>
      </c>
      <c r="BO669">
        <v>0.27</v>
      </c>
      <c r="BP669">
        <v>-0.35</v>
      </c>
      <c r="BQ669">
        <v>-5.47</v>
      </c>
      <c r="BR669">
        <v>3.09</v>
      </c>
      <c r="BS669">
        <v>6.49</v>
      </c>
      <c r="BT669">
        <v>-1.95</v>
      </c>
      <c r="BU669">
        <v>-2.06</v>
      </c>
      <c r="BV669">
        <v>-1.42</v>
      </c>
      <c r="BW669">
        <v>-3.44</v>
      </c>
      <c r="BX669">
        <v>-4.83</v>
      </c>
      <c r="BY669">
        <v>-0.61</v>
      </c>
      <c r="BZ669">
        <v>1.7</v>
      </c>
      <c r="CA669">
        <v>0.48</v>
      </c>
      <c r="CB669">
        <v>-1.01</v>
      </c>
      <c r="CC669">
        <v>3.37</v>
      </c>
      <c r="CD669">
        <v>-0.18</v>
      </c>
      <c r="CE669">
        <v>-0.41</v>
      </c>
      <c r="CF669">
        <v>-2.93</v>
      </c>
      <c r="CG669">
        <v>0</v>
      </c>
      <c r="CH669">
        <v>-1.41</v>
      </c>
      <c r="CI669">
        <v>0</v>
      </c>
      <c r="CJ669">
        <v>-24.9</v>
      </c>
      <c r="CK669">
        <v>91</v>
      </c>
      <c r="CL669">
        <v>-0.8</v>
      </c>
      <c r="CM669">
        <v>88</v>
      </c>
      <c r="CN669">
        <v>-0.08</v>
      </c>
      <c r="CO669">
        <v>87</v>
      </c>
      <c r="CP669">
        <v>-43.7</v>
      </c>
      <c r="CQ669">
        <v>87</v>
      </c>
      <c r="CR669">
        <v>0</v>
      </c>
      <c r="CS669">
        <v>0</v>
      </c>
      <c r="CT669">
        <v>-64.099999999999994</v>
      </c>
      <c r="CU669">
        <v>89</v>
      </c>
      <c r="CV669">
        <v>-0.2</v>
      </c>
      <c r="CW669">
        <v>44</v>
      </c>
      <c r="CX669" t="s">
        <v>8226</v>
      </c>
    </row>
    <row r="670" spans="1:102" x14ac:dyDescent="0.3">
      <c r="A670" t="str">
        <f>HYPERLINK("https://webapp.icbf.com/v2/app/bull-search/view/392515247","CXU")</f>
        <v>CXU</v>
      </c>
      <c r="B670" t="s">
        <v>5147</v>
      </c>
      <c r="C670" t="s">
        <v>5148</v>
      </c>
      <c r="D670" s="1">
        <v>38379</v>
      </c>
      <c r="E670" t="s">
        <v>92</v>
      </c>
      <c r="F670">
        <v>50</v>
      </c>
      <c r="G670" t="s">
        <v>116</v>
      </c>
      <c r="H670">
        <v>169.81</v>
      </c>
      <c r="I670">
        <v>42</v>
      </c>
      <c r="J670">
        <v>42.42</v>
      </c>
      <c r="K670">
        <v>33</v>
      </c>
      <c r="L670">
        <v>82.76</v>
      </c>
      <c r="M670">
        <v>40</v>
      </c>
      <c r="N670">
        <v>39.89</v>
      </c>
      <c r="O670">
        <v>58</v>
      </c>
      <c r="P670">
        <v>-15.41</v>
      </c>
      <c r="Q670">
        <v>71</v>
      </c>
      <c r="R670">
        <v>-1.75</v>
      </c>
      <c r="S670">
        <v>41</v>
      </c>
      <c r="T670">
        <v>22.78</v>
      </c>
      <c r="U670">
        <v>46</v>
      </c>
      <c r="V670">
        <v>-0.88</v>
      </c>
      <c r="W670">
        <v>32</v>
      </c>
      <c r="X670" t="s">
        <v>94</v>
      </c>
      <c r="Y670" t="s">
        <v>1164</v>
      </c>
      <c r="Z670" t="s">
        <v>96</v>
      </c>
      <c r="AA670" t="s">
        <v>792</v>
      </c>
      <c r="AB670" t="s">
        <v>5149</v>
      </c>
      <c r="AC670">
        <v>2</v>
      </c>
      <c r="AD670">
        <v>2</v>
      </c>
      <c r="AE670">
        <v>33</v>
      </c>
      <c r="AF670">
        <v>-41.38</v>
      </c>
      <c r="AG670">
        <v>4.0999999999999996</v>
      </c>
      <c r="AH670">
        <v>5.13</v>
      </c>
      <c r="AI670">
        <v>0.1</v>
      </c>
      <c r="AJ670">
        <v>0.11</v>
      </c>
      <c r="AK670">
        <v>40</v>
      </c>
      <c r="AL670">
        <v>9</v>
      </c>
      <c r="AM670">
        <v>4</v>
      </c>
      <c r="AN670">
        <v>-4.5</v>
      </c>
      <c r="AO670">
        <v>2.1</v>
      </c>
      <c r="AP670">
        <v>19</v>
      </c>
      <c r="AQ670">
        <v>0</v>
      </c>
      <c r="AR670">
        <v>4.3099999999999996</v>
      </c>
      <c r="AS670">
        <v>37</v>
      </c>
      <c r="AT670">
        <v>1.85</v>
      </c>
      <c r="AU670">
        <v>49</v>
      </c>
      <c r="AV670">
        <v>-3.45</v>
      </c>
      <c r="AW670">
        <v>79</v>
      </c>
      <c r="AX670">
        <v>-0.13</v>
      </c>
      <c r="AY670">
        <v>47</v>
      </c>
      <c r="AZ670">
        <v>7.45</v>
      </c>
      <c r="BA670">
        <v>33</v>
      </c>
      <c r="BB670">
        <v>5.53</v>
      </c>
      <c r="BC670">
        <v>34</v>
      </c>
      <c r="BD670">
        <v>-0.01</v>
      </c>
      <c r="BE670">
        <v>0.03</v>
      </c>
      <c r="BF670">
        <v>0</v>
      </c>
      <c r="BG670">
        <v>45</v>
      </c>
      <c r="BH670">
        <v>-0.03</v>
      </c>
      <c r="BI670">
        <v>-0.62</v>
      </c>
      <c r="BJ670">
        <v>1</v>
      </c>
      <c r="BK670">
        <v>1</v>
      </c>
      <c r="BL670">
        <v>-0.96</v>
      </c>
      <c r="BM670">
        <v>0.26</v>
      </c>
      <c r="BN670">
        <v>-0.95</v>
      </c>
      <c r="BO670">
        <v>-1.06</v>
      </c>
      <c r="BP670">
        <v>-0.45</v>
      </c>
      <c r="BQ670">
        <v>-1.96</v>
      </c>
      <c r="BR670">
        <v>0.52</v>
      </c>
      <c r="BS670">
        <v>-0.3</v>
      </c>
      <c r="BT670">
        <v>-1.34</v>
      </c>
      <c r="BU670">
        <v>-1.23</v>
      </c>
      <c r="BV670">
        <v>-1.17</v>
      </c>
      <c r="BW670">
        <v>-1.63</v>
      </c>
      <c r="BX670">
        <v>-1.0900000000000001</v>
      </c>
      <c r="BY670">
        <v>-2.88</v>
      </c>
      <c r="BZ670">
        <v>1.33</v>
      </c>
      <c r="CA670">
        <v>-1.38</v>
      </c>
      <c r="CB670">
        <v>-1.43</v>
      </c>
      <c r="CC670">
        <v>-0.83</v>
      </c>
      <c r="CD670">
        <v>0.52</v>
      </c>
      <c r="CE670">
        <v>-1.04</v>
      </c>
      <c r="CF670">
        <v>-1.34</v>
      </c>
      <c r="CG670">
        <v>0</v>
      </c>
      <c r="CH670">
        <v>-2.78</v>
      </c>
      <c r="CI670">
        <v>0</v>
      </c>
      <c r="CJ670">
        <v>-6.3</v>
      </c>
      <c r="CK670">
        <v>74</v>
      </c>
      <c r="CL670">
        <v>-0.64</v>
      </c>
      <c r="CM670">
        <v>70</v>
      </c>
      <c r="CN670">
        <v>-0.19</v>
      </c>
      <c r="CO670">
        <v>67</v>
      </c>
      <c r="CP670">
        <v>-15.6</v>
      </c>
      <c r="CQ670">
        <v>57</v>
      </c>
      <c r="CR670">
        <v>0</v>
      </c>
      <c r="CS670">
        <v>0</v>
      </c>
      <c r="CT670">
        <v>-17</v>
      </c>
      <c r="CU670">
        <v>46</v>
      </c>
      <c r="CV670">
        <v>0.1</v>
      </c>
      <c r="CW670">
        <v>22</v>
      </c>
      <c r="CX670" t="s">
        <v>1390</v>
      </c>
    </row>
    <row r="671" spans="1:102" x14ac:dyDescent="0.3">
      <c r="A671" t="str">
        <f>HYPERLINK("https://webapp.icbf.com/v2/app/bull-search/view/1472584329","FR4552")</f>
        <v>FR4552</v>
      </c>
      <c r="B671" t="s">
        <v>2510</v>
      </c>
      <c r="C671" t="s">
        <v>2511</v>
      </c>
      <c r="D671" s="1">
        <v>42762</v>
      </c>
      <c r="E671" t="s">
        <v>92</v>
      </c>
      <c r="F671">
        <v>72</v>
      </c>
      <c r="G671" t="s">
        <v>435</v>
      </c>
      <c r="H671">
        <v>169.77</v>
      </c>
      <c r="I671">
        <v>69</v>
      </c>
      <c r="J671">
        <v>95.65</v>
      </c>
      <c r="K671">
        <v>89</v>
      </c>
      <c r="L671">
        <v>33.24</v>
      </c>
      <c r="M671">
        <v>62</v>
      </c>
      <c r="N671">
        <v>41.46</v>
      </c>
      <c r="O671">
        <v>73</v>
      </c>
      <c r="P671">
        <v>-6.81</v>
      </c>
      <c r="Q671">
        <v>47</v>
      </c>
      <c r="R671">
        <v>-1.1599999999999999</v>
      </c>
      <c r="S671">
        <v>63</v>
      </c>
      <c r="T671">
        <v>-0.38</v>
      </c>
      <c r="U671">
        <v>44</v>
      </c>
      <c r="V671">
        <v>7.77</v>
      </c>
      <c r="W671">
        <v>58</v>
      </c>
      <c r="X671" t="s">
        <v>276</v>
      </c>
      <c r="Y671" t="s">
        <v>2384</v>
      </c>
      <c r="Z671" t="s">
        <v>330</v>
      </c>
      <c r="AA671" t="s">
        <v>2512</v>
      </c>
      <c r="AB671" t="s">
        <v>2513</v>
      </c>
      <c r="AC671">
        <v>0</v>
      </c>
      <c r="AD671">
        <v>0</v>
      </c>
      <c r="AE671">
        <v>89</v>
      </c>
      <c r="AF671">
        <v>171.76</v>
      </c>
      <c r="AG671">
        <v>12.23</v>
      </c>
      <c r="AH671">
        <v>14.57</v>
      </c>
      <c r="AI671">
        <v>0.09</v>
      </c>
      <c r="AJ671">
        <v>0.15</v>
      </c>
      <c r="AK671">
        <v>62</v>
      </c>
      <c r="AL671">
        <v>0</v>
      </c>
      <c r="AM671">
        <v>0</v>
      </c>
      <c r="AN671">
        <v>-1.1299999999999999</v>
      </c>
      <c r="AO671">
        <v>1.53</v>
      </c>
      <c r="AP671">
        <v>85</v>
      </c>
      <c r="AQ671">
        <v>0</v>
      </c>
      <c r="AR671">
        <v>5.48</v>
      </c>
      <c r="AS671">
        <v>57</v>
      </c>
      <c r="AT671">
        <v>2.62</v>
      </c>
      <c r="AU671">
        <v>79</v>
      </c>
      <c r="AV671">
        <v>-3.93</v>
      </c>
      <c r="AW671">
        <v>90</v>
      </c>
      <c r="AX671">
        <v>-0.43</v>
      </c>
      <c r="AY671">
        <v>64</v>
      </c>
      <c r="AZ671">
        <v>7.25</v>
      </c>
      <c r="BA671">
        <v>45</v>
      </c>
      <c r="BB671">
        <v>4.75</v>
      </c>
      <c r="BC671">
        <v>35</v>
      </c>
      <c r="BD671">
        <v>-0.05</v>
      </c>
      <c r="BE671">
        <v>0</v>
      </c>
      <c r="BF671">
        <v>0.11</v>
      </c>
      <c r="BG671">
        <v>74</v>
      </c>
      <c r="BH671">
        <v>0.03</v>
      </c>
      <c r="BI671">
        <v>-21.59</v>
      </c>
      <c r="BJ671">
        <v>0</v>
      </c>
      <c r="BK671">
        <v>0</v>
      </c>
      <c r="BL671">
        <v>-0.23</v>
      </c>
      <c r="BM671">
        <v>1.56</v>
      </c>
      <c r="BN671">
        <v>0.31</v>
      </c>
      <c r="BO671">
        <v>-1.05</v>
      </c>
      <c r="BP671">
        <v>0.35</v>
      </c>
      <c r="BQ671">
        <v>0.76</v>
      </c>
      <c r="BR671">
        <v>0.93</v>
      </c>
      <c r="BS671">
        <v>-2.16</v>
      </c>
      <c r="BT671">
        <v>-1.68</v>
      </c>
      <c r="BU671">
        <v>0.87</v>
      </c>
      <c r="BV671">
        <v>-0.36</v>
      </c>
      <c r="BW671">
        <v>-0.11</v>
      </c>
      <c r="BX671">
        <v>0.23</v>
      </c>
      <c r="BY671">
        <v>-0.71</v>
      </c>
      <c r="BZ671">
        <v>-0.44</v>
      </c>
      <c r="CA671">
        <v>-7.0000000000000007E-2</v>
      </c>
      <c r="CB671">
        <v>0.28999999999999998</v>
      </c>
      <c r="CC671">
        <v>-1.03</v>
      </c>
      <c r="CD671">
        <v>0.84</v>
      </c>
      <c r="CE671">
        <v>-0.74</v>
      </c>
      <c r="CF671">
        <v>-0.37</v>
      </c>
      <c r="CG671">
        <v>0</v>
      </c>
      <c r="CH671">
        <v>-0.65</v>
      </c>
      <c r="CI671">
        <v>0</v>
      </c>
      <c r="CJ671">
        <v>-1.9</v>
      </c>
      <c r="CK671">
        <v>48</v>
      </c>
      <c r="CL671">
        <v>-0.66</v>
      </c>
      <c r="CM671">
        <v>46</v>
      </c>
      <c r="CN671">
        <v>-0.21</v>
      </c>
      <c r="CO671">
        <v>46</v>
      </c>
      <c r="CP671">
        <v>1.1000000000000001</v>
      </c>
      <c r="CQ671">
        <v>44</v>
      </c>
      <c r="CR671">
        <v>0</v>
      </c>
      <c r="CS671">
        <v>0</v>
      </c>
      <c r="CT671">
        <v>14.3</v>
      </c>
      <c r="CU671">
        <v>44</v>
      </c>
      <c r="CV671">
        <v>0.13</v>
      </c>
      <c r="CW671">
        <v>35</v>
      </c>
      <c r="CX671" t="s">
        <v>2514</v>
      </c>
    </row>
    <row r="672" spans="1:102" x14ac:dyDescent="0.3">
      <c r="A672" t="str">
        <f>HYPERLINK("https://webapp.icbf.com/v2/app/bull-search/view/1240493221","S2304")</f>
        <v>S2304</v>
      </c>
      <c r="B672" t="s">
        <v>13514</v>
      </c>
      <c r="C672" t="s">
        <v>13515</v>
      </c>
      <c r="D672" s="1">
        <v>41571</v>
      </c>
      <c r="E672" t="s">
        <v>92</v>
      </c>
      <c r="F672">
        <v>100</v>
      </c>
      <c r="G672" t="s">
        <v>93</v>
      </c>
      <c r="H672">
        <v>169.6</v>
      </c>
      <c r="I672">
        <v>83</v>
      </c>
      <c r="J672">
        <v>54.77</v>
      </c>
      <c r="K672">
        <v>95</v>
      </c>
      <c r="L672">
        <v>41.1</v>
      </c>
      <c r="M672">
        <v>78</v>
      </c>
      <c r="N672">
        <v>45.68</v>
      </c>
      <c r="O672">
        <v>85</v>
      </c>
      <c r="P672">
        <v>-1.1100000000000001</v>
      </c>
      <c r="Q672">
        <v>90</v>
      </c>
      <c r="R672">
        <v>23.24</v>
      </c>
      <c r="S672">
        <v>73</v>
      </c>
      <c r="T672">
        <v>-4.38</v>
      </c>
      <c r="U672">
        <v>60</v>
      </c>
      <c r="V672">
        <v>10.3</v>
      </c>
      <c r="W672">
        <v>66</v>
      </c>
      <c r="X672" t="s">
        <v>102</v>
      </c>
      <c r="Y672" t="s">
        <v>411</v>
      </c>
      <c r="Z672" t="s">
        <v>96</v>
      </c>
      <c r="AA672" t="s">
        <v>432</v>
      </c>
      <c r="AB672" t="s">
        <v>13516</v>
      </c>
      <c r="AC672">
        <v>69</v>
      </c>
      <c r="AD672">
        <v>32</v>
      </c>
      <c r="AE672">
        <v>95</v>
      </c>
      <c r="AF672">
        <v>175.22</v>
      </c>
      <c r="AG672">
        <v>8.1300000000000008</v>
      </c>
      <c r="AH672">
        <v>9.1199999999999992</v>
      </c>
      <c r="AI672">
        <v>0.02</v>
      </c>
      <c r="AJ672">
        <v>0.05</v>
      </c>
      <c r="AK672">
        <v>78</v>
      </c>
      <c r="AL672">
        <v>25</v>
      </c>
      <c r="AM672">
        <v>13</v>
      </c>
      <c r="AN672">
        <v>-0.51</v>
      </c>
      <c r="AO672">
        <v>2.79</v>
      </c>
      <c r="AP672">
        <v>356</v>
      </c>
      <c r="AQ672">
        <v>1</v>
      </c>
      <c r="AR672">
        <v>4.5199999999999996</v>
      </c>
      <c r="AS672">
        <v>81</v>
      </c>
      <c r="AT672">
        <v>2.06</v>
      </c>
      <c r="AU672">
        <v>90</v>
      </c>
      <c r="AV672">
        <v>-3.6</v>
      </c>
      <c r="AW672">
        <v>97</v>
      </c>
      <c r="AX672">
        <v>-0.77</v>
      </c>
      <c r="AY672">
        <v>86</v>
      </c>
      <c r="AZ672">
        <v>5.61</v>
      </c>
      <c r="BA672">
        <v>61</v>
      </c>
      <c r="BB672">
        <v>5.19</v>
      </c>
      <c r="BC672">
        <v>48</v>
      </c>
      <c r="BD672">
        <v>-0.08</v>
      </c>
      <c r="BE672">
        <v>-0.09</v>
      </c>
      <c r="BF672">
        <v>-0.23</v>
      </c>
      <c r="BG672">
        <v>85</v>
      </c>
      <c r="BH672">
        <v>0.09</v>
      </c>
      <c r="BI672">
        <v>-22.83</v>
      </c>
      <c r="BJ672">
        <v>14</v>
      </c>
      <c r="BK672">
        <v>8</v>
      </c>
      <c r="BL672">
        <v>0.56000000000000005</v>
      </c>
      <c r="BM672">
        <v>0.91</v>
      </c>
      <c r="BN672">
        <v>0.76</v>
      </c>
      <c r="BO672">
        <v>0.49</v>
      </c>
      <c r="BP672">
        <v>0.81</v>
      </c>
      <c r="BQ672">
        <v>0.56000000000000005</v>
      </c>
      <c r="BR672">
        <v>-0.39</v>
      </c>
      <c r="BS672">
        <v>2.98</v>
      </c>
      <c r="BT672">
        <v>0.51</v>
      </c>
      <c r="BU672">
        <v>2.52</v>
      </c>
      <c r="BV672">
        <v>1.69</v>
      </c>
      <c r="BW672">
        <v>1.66</v>
      </c>
      <c r="BX672">
        <v>2.5099999999999998</v>
      </c>
      <c r="BY672">
        <v>2.4500000000000002</v>
      </c>
      <c r="BZ672">
        <v>-0.38</v>
      </c>
      <c r="CA672">
        <v>2.68</v>
      </c>
      <c r="CB672">
        <v>2.41</v>
      </c>
      <c r="CC672">
        <v>2.5499999999999998</v>
      </c>
      <c r="CD672">
        <v>-0.04</v>
      </c>
      <c r="CE672">
        <v>0.39</v>
      </c>
      <c r="CF672">
        <v>1.24</v>
      </c>
      <c r="CG672">
        <v>0</v>
      </c>
      <c r="CH672">
        <v>2.48</v>
      </c>
      <c r="CI672">
        <v>0</v>
      </c>
      <c r="CJ672">
        <v>0.3</v>
      </c>
      <c r="CK672">
        <v>93</v>
      </c>
      <c r="CL672">
        <v>-0.88</v>
      </c>
      <c r="CM672">
        <v>91</v>
      </c>
      <c r="CN672">
        <v>-0.57999999999999996</v>
      </c>
      <c r="CO672">
        <v>90</v>
      </c>
      <c r="CP672">
        <v>5.0999999999999996</v>
      </c>
      <c r="CQ672">
        <v>63</v>
      </c>
      <c r="CR672">
        <v>0</v>
      </c>
      <c r="CS672">
        <v>0</v>
      </c>
      <c r="CT672">
        <v>19.7</v>
      </c>
      <c r="CU672">
        <v>60</v>
      </c>
      <c r="CV672">
        <v>0.16</v>
      </c>
      <c r="CW672">
        <v>44</v>
      </c>
      <c r="CX672" t="s">
        <v>12716</v>
      </c>
    </row>
    <row r="673" spans="1:102" x14ac:dyDescent="0.3">
      <c r="A673" t="str">
        <f>HYPERLINK("https://webapp.icbf.com/v2/app/bull-search/view/1371419018","JE2419")</f>
        <v>JE2419</v>
      </c>
      <c r="B673" t="s">
        <v>6149</v>
      </c>
      <c r="C673" t="s">
        <v>6150</v>
      </c>
      <c r="D673" s="1">
        <v>41658</v>
      </c>
      <c r="E673" t="s">
        <v>227</v>
      </c>
      <c r="F673">
        <v>0</v>
      </c>
      <c r="G673" t="s">
        <v>435</v>
      </c>
      <c r="H673">
        <v>169.57</v>
      </c>
      <c r="I673">
        <v>62</v>
      </c>
      <c r="J673">
        <v>38.270000000000003</v>
      </c>
      <c r="K673">
        <v>80</v>
      </c>
      <c r="L673">
        <v>90.25</v>
      </c>
      <c r="M673">
        <v>59</v>
      </c>
      <c r="N673">
        <v>10.79</v>
      </c>
      <c r="O673">
        <v>56</v>
      </c>
      <c r="P673">
        <v>-54.85</v>
      </c>
      <c r="Q673">
        <v>42</v>
      </c>
      <c r="R673">
        <v>9</v>
      </c>
      <c r="S673">
        <v>59</v>
      </c>
      <c r="T673">
        <v>61.63</v>
      </c>
      <c r="U673">
        <v>37</v>
      </c>
      <c r="V673">
        <v>14.48</v>
      </c>
      <c r="W673">
        <v>54</v>
      </c>
      <c r="X673" t="s">
        <v>94</v>
      </c>
      <c r="Y673" t="s">
        <v>436</v>
      </c>
      <c r="Z673">
        <v>0</v>
      </c>
      <c r="AA673" t="s">
        <v>370</v>
      </c>
      <c r="AB673" t="s">
        <v>144</v>
      </c>
      <c r="AC673">
        <v>6</v>
      </c>
      <c r="AD673">
        <v>3</v>
      </c>
      <c r="AE673">
        <v>80</v>
      </c>
      <c r="AF673">
        <v>-775.17</v>
      </c>
      <c r="AG673">
        <v>13.24</v>
      </c>
      <c r="AH673">
        <v>-10.039999999999999</v>
      </c>
      <c r="AI673">
        <v>0.88</v>
      </c>
      <c r="AJ673">
        <v>0.33</v>
      </c>
      <c r="AK673">
        <v>59</v>
      </c>
      <c r="AL673">
        <v>0</v>
      </c>
      <c r="AM673">
        <v>0</v>
      </c>
      <c r="AN673">
        <v>-2.4</v>
      </c>
      <c r="AO673">
        <v>4.83</v>
      </c>
      <c r="AP673">
        <v>12</v>
      </c>
      <c r="AQ673">
        <v>0</v>
      </c>
      <c r="AR673">
        <v>3.56</v>
      </c>
      <c r="AS673">
        <v>48</v>
      </c>
      <c r="AT673">
        <v>1.68</v>
      </c>
      <c r="AU673">
        <v>58</v>
      </c>
      <c r="AV673">
        <v>-1.95</v>
      </c>
      <c r="AW673">
        <v>67</v>
      </c>
      <c r="AX673">
        <v>9.02</v>
      </c>
      <c r="AY673">
        <v>44</v>
      </c>
      <c r="AZ673">
        <v>6.35</v>
      </c>
      <c r="BA673">
        <v>41</v>
      </c>
      <c r="BB673">
        <v>5.07</v>
      </c>
      <c r="BC673">
        <v>36</v>
      </c>
      <c r="BD673">
        <v>-0.09</v>
      </c>
      <c r="BE673">
        <v>-0.03</v>
      </c>
      <c r="BF673">
        <v>0</v>
      </c>
      <c r="BG673">
        <v>66</v>
      </c>
      <c r="BH673">
        <v>0.14000000000000001</v>
      </c>
      <c r="BI673">
        <v>-30.53</v>
      </c>
      <c r="BJ673">
        <v>0</v>
      </c>
      <c r="BK673">
        <v>0</v>
      </c>
      <c r="BL673">
        <v>-1.22</v>
      </c>
      <c r="BM673">
        <v>-1.56</v>
      </c>
      <c r="BN673">
        <v>-0.26</v>
      </c>
      <c r="BO673">
        <v>1.25</v>
      </c>
      <c r="BP673">
        <v>0.09</v>
      </c>
      <c r="BQ673">
        <v>-4.9400000000000004</v>
      </c>
      <c r="BR673">
        <v>1.67</v>
      </c>
      <c r="BS673">
        <v>6.02</v>
      </c>
      <c r="BT673">
        <v>-0.69</v>
      </c>
      <c r="BU673">
        <v>0.39</v>
      </c>
      <c r="BV673">
        <v>0.53</v>
      </c>
      <c r="BW673">
        <v>-1.1599999999999999</v>
      </c>
      <c r="BX673">
        <v>-1.97</v>
      </c>
      <c r="BY673">
        <v>0.02</v>
      </c>
      <c r="BZ673">
        <v>0.22</v>
      </c>
      <c r="CA673">
        <v>1.81</v>
      </c>
      <c r="CB673">
        <v>0.45</v>
      </c>
      <c r="CC673">
        <v>3.73</v>
      </c>
      <c r="CD673">
        <v>-1.98</v>
      </c>
      <c r="CE673">
        <v>1.1399999999999999</v>
      </c>
      <c r="CF673">
        <v>-1.1499999999999999</v>
      </c>
      <c r="CG673">
        <v>0</v>
      </c>
      <c r="CH673">
        <v>-0.56000000000000005</v>
      </c>
      <c r="CI673">
        <v>0</v>
      </c>
      <c r="CJ673">
        <v>-28.6</v>
      </c>
      <c r="CK673">
        <v>43</v>
      </c>
      <c r="CL673">
        <v>-1.06</v>
      </c>
      <c r="CM673">
        <v>41</v>
      </c>
      <c r="CN673">
        <v>-0.23</v>
      </c>
      <c r="CO673">
        <v>40</v>
      </c>
      <c r="CP673">
        <v>-47.6</v>
      </c>
      <c r="CQ673">
        <v>38</v>
      </c>
      <c r="CR673">
        <v>0</v>
      </c>
      <c r="CS673">
        <v>0</v>
      </c>
      <c r="CT673">
        <v>-69.5</v>
      </c>
      <c r="CU673">
        <v>37</v>
      </c>
      <c r="CV673">
        <v>-0.32</v>
      </c>
      <c r="CW673">
        <v>33</v>
      </c>
      <c r="CX673" t="s">
        <v>2208</v>
      </c>
    </row>
    <row r="674" spans="1:102" x14ac:dyDescent="0.3">
      <c r="A674" t="str">
        <f>HYPERLINK("https://webapp.icbf.com/v2/app/bull-search/view/496654924","EZP")</f>
        <v>EZP</v>
      </c>
      <c r="B674" t="s">
        <v>10025</v>
      </c>
      <c r="C674" t="s">
        <v>5378</v>
      </c>
      <c r="D674" s="1">
        <v>35878</v>
      </c>
      <c r="E674" t="s">
        <v>227</v>
      </c>
      <c r="F674">
        <v>0</v>
      </c>
      <c r="G674" t="s">
        <v>93</v>
      </c>
      <c r="H674">
        <v>169.54</v>
      </c>
      <c r="I674">
        <v>97</v>
      </c>
      <c r="J674">
        <v>51</v>
      </c>
      <c r="K674">
        <v>99</v>
      </c>
      <c r="L674">
        <v>58.98</v>
      </c>
      <c r="M674">
        <v>95</v>
      </c>
      <c r="N674">
        <v>34.729999999999997</v>
      </c>
      <c r="O674">
        <v>97</v>
      </c>
      <c r="P674">
        <v>-51.83</v>
      </c>
      <c r="Q674">
        <v>98</v>
      </c>
      <c r="R674">
        <v>4.41</v>
      </c>
      <c r="S674">
        <v>96</v>
      </c>
      <c r="T674">
        <v>58.52</v>
      </c>
      <c r="U674">
        <v>98</v>
      </c>
      <c r="V674">
        <v>13.73</v>
      </c>
      <c r="W674">
        <v>97</v>
      </c>
      <c r="X674" t="s">
        <v>302</v>
      </c>
      <c r="Y674" t="s">
        <v>221</v>
      </c>
      <c r="Z674">
        <v>0</v>
      </c>
      <c r="AA674" t="s">
        <v>4190</v>
      </c>
      <c r="AB674" t="s">
        <v>10026</v>
      </c>
      <c r="AC674">
        <v>570</v>
      </c>
      <c r="AD674">
        <v>133</v>
      </c>
      <c r="AE674">
        <v>99</v>
      </c>
      <c r="AF674">
        <v>-196.53</v>
      </c>
      <c r="AG674">
        <v>17.43</v>
      </c>
      <c r="AH674">
        <v>-0.5</v>
      </c>
      <c r="AI674">
        <v>0.45</v>
      </c>
      <c r="AJ674">
        <v>0.11</v>
      </c>
      <c r="AK674">
        <v>95</v>
      </c>
      <c r="AL674">
        <v>561</v>
      </c>
      <c r="AM674">
        <v>108</v>
      </c>
      <c r="AN674">
        <v>-1.92</v>
      </c>
      <c r="AO674">
        <v>2.8</v>
      </c>
      <c r="AP674">
        <v>789</v>
      </c>
      <c r="AQ674">
        <v>8</v>
      </c>
      <c r="AR674">
        <v>2.61</v>
      </c>
      <c r="AS674">
        <v>96</v>
      </c>
      <c r="AT674">
        <v>1.48</v>
      </c>
      <c r="AU674">
        <v>96</v>
      </c>
      <c r="AV674">
        <v>-1.71</v>
      </c>
      <c r="AW674">
        <v>99</v>
      </c>
      <c r="AX674">
        <v>0.14000000000000001</v>
      </c>
      <c r="AY674">
        <v>96</v>
      </c>
      <c r="AZ674">
        <v>6.35</v>
      </c>
      <c r="BA674">
        <v>90</v>
      </c>
      <c r="BB674">
        <v>4.96</v>
      </c>
      <c r="BC674">
        <v>92</v>
      </c>
      <c r="BD674">
        <v>-0.05</v>
      </c>
      <c r="BE674">
        <v>-0.02</v>
      </c>
      <c r="BF674">
        <v>0.02</v>
      </c>
      <c r="BG674">
        <v>98</v>
      </c>
      <c r="BH674">
        <v>0.27</v>
      </c>
      <c r="BI674">
        <v>-13.06</v>
      </c>
      <c r="BJ674">
        <v>47</v>
      </c>
      <c r="BK674">
        <v>13</v>
      </c>
      <c r="BL674">
        <v>-2.4500000000000002</v>
      </c>
      <c r="BM674">
        <v>-1.65</v>
      </c>
      <c r="BN674">
        <v>-0.3</v>
      </c>
      <c r="BO674">
        <v>1.18</v>
      </c>
      <c r="BP674">
        <v>-0.17</v>
      </c>
      <c r="BQ674">
        <v>-6.22</v>
      </c>
      <c r="BR674">
        <v>3.29</v>
      </c>
      <c r="BS674">
        <v>6.35</v>
      </c>
      <c r="BT674">
        <v>-2.2999999999999998</v>
      </c>
      <c r="BU674">
        <v>-0.9</v>
      </c>
      <c r="BV674">
        <v>-0.14000000000000001</v>
      </c>
      <c r="BW674">
        <v>-2.4300000000000002</v>
      </c>
      <c r="BX674">
        <v>-4.3600000000000003</v>
      </c>
      <c r="BY674">
        <v>-0.56000000000000005</v>
      </c>
      <c r="BZ674">
        <v>-0.23</v>
      </c>
      <c r="CA674">
        <v>1.33</v>
      </c>
      <c r="CB674">
        <v>-0.12</v>
      </c>
      <c r="CC674">
        <v>3.76</v>
      </c>
      <c r="CD674">
        <v>-2.11</v>
      </c>
      <c r="CE674">
        <v>1.1499999999999999</v>
      </c>
      <c r="CF674">
        <v>-2.21</v>
      </c>
      <c r="CG674">
        <v>0</v>
      </c>
      <c r="CH674">
        <v>0.61</v>
      </c>
      <c r="CI674">
        <v>0</v>
      </c>
      <c r="CJ674">
        <v>-26</v>
      </c>
      <c r="CK674">
        <v>98</v>
      </c>
      <c r="CL674">
        <v>-1.03</v>
      </c>
      <c r="CM674">
        <v>97</v>
      </c>
      <c r="CN674">
        <v>-0.15</v>
      </c>
      <c r="CO674">
        <v>97</v>
      </c>
      <c r="CP674">
        <v>-47.2</v>
      </c>
      <c r="CQ674">
        <v>97</v>
      </c>
      <c r="CR674">
        <v>0</v>
      </c>
      <c r="CS674">
        <v>0</v>
      </c>
      <c r="CT674">
        <v>-65.3</v>
      </c>
      <c r="CU674">
        <v>98</v>
      </c>
      <c r="CV674">
        <v>-0.16</v>
      </c>
      <c r="CW674">
        <v>46</v>
      </c>
      <c r="CX674" t="s">
        <v>516</v>
      </c>
    </row>
    <row r="675" spans="1:102" x14ac:dyDescent="0.3">
      <c r="A675" t="str">
        <f>HYPERLINK("https://webapp.icbf.com/v2/app/bull-search/view/596233171","HGA")</f>
        <v>HGA</v>
      </c>
      <c r="B675" t="s">
        <v>7845</v>
      </c>
      <c r="C675" t="s">
        <v>7846</v>
      </c>
      <c r="D675" s="1">
        <v>37815</v>
      </c>
      <c r="E675" t="s">
        <v>395</v>
      </c>
      <c r="F675">
        <v>0</v>
      </c>
      <c r="G675" t="s">
        <v>93</v>
      </c>
      <c r="H675">
        <v>169.49</v>
      </c>
      <c r="I675">
        <v>93</v>
      </c>
      <c r="J675">
        <v>14.98</v>
      </c>
      <c r="K675">
        <v>98</v>
      </c>
      <c r="L675">
        <v>116.55</v>
      </c>
      <c r="M675">
        <v>90</v>
      </c>
      <c r="N675">
        <v>14.27</v>
      </c>
      <c r="O675">
        <v>93</v>
      </c>
      <c r="P675">
        <v>2.6</v>
      </c>
      <c r="Q675">
        <v>96</v>
      </c>
      <c r="R675">
        <v>6.2</v>
      </c>
      <c r="S675">
        <v>81</v>
      </c>
      <c r="T675">
        <v>9.68</v>
      </c>
      <c r="U675">
        <v>89</v>
      </c>
      <c r="V675">
        <v>5.21</v>
      </c>
      <c r="W675">
        <v>81</v>
      </c>
      <c r="X675" t="s">
        <v>94</v>
      </c>
      <c r="Y675" t="s">
        <v>1756</v>
      </c>
      <c r="Z675">
        <v>0</v>
      </c>
      <c r="AA675" t="s">
        <v>425</v>
      </c>
      <c r="AB675" t="s">
        <v>7847</v>
      </c>
      <c r="AC675">
        <v>238</v>
      </c>
      <c r="AD675">
        <v>51</v>
      </c>
      <c r="AE675">
        <v>98</v>
      </c>
      <c r="AF675">
        <v>56.07</v>
      </c>
      <c r="AG675">
        <v>1.4</v>
      </c>
      <c r="AH675">
        <v>2.91</v>
      </c>
      <c r="AI675">
        <v>-0.01</v>
      </c>
      <c r="AJ675">
        <v>0.02</v>
      </c>
      <c r="AK675">
        <v>90</v>
      </c>
      <c r="AL675">
        <v>237</v>
      </c>
      <c r="AM675">
        <v>56</v>
      </c>
      <c r="AN675">
        <v>-6.71</v>
      </c>
      <c r="AO675">
        <v>2.58</v>
      </c>
      <c r="AP675">
        <v>571</v>
      </c>
      <c r="AQ675">
        <v>5</v>
      </c>
      <c r="AR675">
        <v>7.36</v>
      </c>
      <c r="AS675">
        <v>82</v>
      </c>
      <c r="AT675">
        <v>3.2</v>
      </c>
      <c r="AU675">
        <v>96</v>
      </c>
      <c r="AV675">
        <v>-1.3</v>
      </c>
      <c r="AW675">
        <v>99</v>
      </c>
      <c r="AX675">
        <v>-0.67</v>
      </c>
      <c r="AY675">
        <v>91</v>
      </c>
      <c r="AZ675">
        <v>6.52</v>
      </c>
      <c r="BA675">
        <v>79</v>
      </c>
      <c r="BB675">
        <v>4.51</v>
      </c>
      <c r="BC675">
        <v>76</v>
      </c>
      <c r="BD675">
        <v>-0.04</v>
      </c>
      <c r="BE675">
        <v>-0.04</v>
      </c>
      <c r="BF675">
        <v>0</v>
      </c>
      <c r="BG675">
        <v>93</v>
      </c>
      <c r="BH675">
        <v>-0.09</v>
      </c>
      <c r="BI675">
        <v>-27.22</v>
      </c>
      <c r="BJ675">
        <v>0</v>
      </c>
      <c r="BK675">
        <v>0</v>
      </c>
      <c r="BL675">
        <v>-1.78</v>
      </c>
      <c r="BM675">
        <v>0.96</v>
      </c>
      <c r="BN675">
        <v>-1.83</v>
      </c>
      <c r="BO675">
        <v>-1.75</v>
      </c>
      <c r="BP675">
        <v>1.43</v>
      </c>
      <c r="BQ675">
        <v>-0.74</v>
      </c>
      <c r="BR675">
        <v>1.44</v>
      </c>
      <c r="BS675">
        <v>-0.63</v>
      </c>
      <c r="BT675">
        <v>-1.49</v>
      </c>
      <c r="BU675">
        <v>-1.55</v>
      </c>
      <c r="BV675">
        <v>-2.59</v>
      </c>
      <c r="BW675">
        <v>-2.0299999999999998</v>
      </c>
      <c r="BX675">
        <v>-0.98</v>
      </c>
      <c r="BY675">
        <v>-1.1599999999999999</v>
      </c>
      <c r="BZ675">
        <v>-0.53</v>
      </c>
      <c r="CA675">
        <v>-2.23</v>
      </c>
      <c r="CB675">
        <v>-2.2599999999999998</v>
      </c>
      <c r="CC675">
        <v>-1.34</v>
      </c>
      <c r="CD675">
        <v>0.97</v>
      </c>
      <c r="CE675">
        <v>-1.68</v>
      </c>
      <c r="CF675">
        <v>-1.9</v>
      </c>
      <c r="CG675">
        <v>0</v>
      </c>
      <c r="CH675">
        <v>-2.33</v>
      </c>
      <c r="CI675">
        <v>0</v>
      </c>
      <c r="CJ675">
        <v>1.8</v>
      </c>
      <c r="CK675">
        <v>97</v>
      </c>
      <c r="CL675">
        <v>-0.1</v>
      </c>
      <c r="CM675">
        <v>97</v>
      </c>
      <c r="CN675">
        <v>-0.12</v>
      </c>
      <c r="CO675">
        <v>96</v>
      </c>
      <c r="CP675">
        <v>-1.7</v>
      </c>
      <c r="CQ675">
        <v>90</v>
      </c>
      <c r="CR675">
        <v>0</v>
      </c>
      <c r="CS675">
        <v>0</v>
      </c>
      <c r="CT675">
        <v>0.7</v>
      </c>
      <c r="CU675">
        <v>89</v>
      </c>
      <c r="CV675">
        <v>0</v>
      </c>
      <c r="CW675">
        <v>46</v>
      </c>
      <c r="CX675" t="s">
        <v>7848</v>
      </c>
    </row>
    <row r="676" spans="1:102" x14ac:dyDescent="0.3">
      <c r="A676" t="str">
        <f>HYPERLINK("https://webapp.icbf.com/v2/app/bull-search/view/1102103829","S1613")</f>
        <v>S1613</v>
      </c>
      <c r="B676" t="s">
        <v>10192</v>
      </c>
      <c r="C676" t="s">
        <v>10193</v>
      </c>
      <c r="D676" s="1">
        <v>40952</v>
      </c>
      <c r="E676" t="s">
        <v>92</v>
      </c>
      <c r="F676">
        <v>100</v>
      </c>
      <c r="G676" t="s">
        <v>109</v>
      </c>
      <c r="H676">
        <v>169.49</v>
      </c>
      <c r="I676">
        <v>78</v>
      </c>
      <c r="J676">
        <v>57.3</v>
      </c>
      <c r="K676">
        <v>92</v>
      </c>
      <c r="L676">
        <v>58.51</v>
      </c>
      <c r="M676">
        <v>84</v>
      </c>
      <c r="N676">
        <v>54.75</v>
      </c>
      <c r="O676">
        <v>67</v>
      </c>
      <c r="P676">
        <v>-0.52</v>
      </c>
      <c r="Q676">
        <v>53</v>
      </c>
      <c r="R676">
        <v>11</v>
      </c>
      <c r="S676">
        <v>75</v>
      </c>
      <c r="T676">
        <v>-12.44</v>
      </c>
      <c r="U676">
        <v>46</v>
      </c>
      <c r="V676">
        <v>0.89</v>
      </c>
      <c r="W676">
        <v>60</v>
      </c>
      <c r="X676" t="s">
        <v>276</v>
      </c>
      <c r="Y676" t="s">
        <v>362</v>
      </c>
      <c r="Z676" t="s">
        <v>96</v>
      </c>
      <c r="AA676" t="s">
        <v>5274</v>
      </c>
      <c r="AB676" t="s">
        <v>10194</v>
      </c>
      <c r="AC676">
        <v>0</v>
      </c>
      <c r="AD676">
        <v>0</v>
      </c>
      <c r="AE676">
        <v>92</v>
      </c>
      <c r="AF676">
        <v>412.83</v>
      </c>
      <c r="AG676">
        <v>8.3800000000000008</v>
      </c>
      <c r="AH676">
        <v>13.1</v>
      </c>
      <c r="AI676">
        <v>-0.13</v>
      </c>
      <c r="AJ676">
        <v>-0.02</v>
      </c>
      <c r="AK676">
        <v>84</v>
      </c>
      <c r="AL676">
        <v>0</v>
      </c>
      <c r="AM676">
        <v>0</v>
      </c>
      <c r="AN676">
        <v>-2.87</v>
      </c>
      <c r="AO676">
        <v>1.8</v>
      </c>
      <c r="AP676">
        <v>19</v>
      </c>
      <c r="AQ676">
        <v>0</v>
      </c>
      <c r="AR676">
        <v>6.05</v>
      </c>
      <c r="AS676">
        <v>67</v>
      </c>
      <c r="AT676">
        <v>2.34</v>
      </c>
      <c r="AU676">
        <v>81</v>
      </c>
      <c r="AV676">
        <v>-4.8600000000000003</v>
      </c>
      <c r="AW676">
        <v>70</v>
      </c>
      <c r="AX676">
        <v>-0.83</v>
      </c>
      <c r="AY676">
        <v>58</v>
      </c>
      <c r="AZ676">
        <v>5.66</v>
      </c>
      <c r="BA676">
        <v>50</v>
      </c>
      <c r="BB676">
        <v>4.37</v>
      </c>
      <c r="BC676">
        <v>45</v>
      </c>
      <c r="BD676">
        <v>-0.03</v>
      </c>
      <c r="BE676">
        <v>-7.0000000000000007E-2</v>
      </c>
      <c r="BF676">
        <v>-7.0000000000000007E-2</v>
      </c>
      <c r="BG676">
        <v>91</v>
      </c>
      <c r="BH676">
        <v>0.01</v>
      </c>
      <c r="BI676">
        <v>-1.7</v>
      </c>
      <c r="BJ676">
        <v>3</v>
      </c>
      <c r="BK676">
        <v>3</v>
      </c>
      <c r="BL676">
        <v>0.88</v>
      </c>
      <c r="BM676">
        <v>2.0099999999999998</v>
      </c>
      <c r="BN676">
        <v>0.93</v>
      </c>
      <c r="BO676">
        <v>-0.16</v>
      </c>
      <c r="BP676">
        <v>1.23</v>
      </c>
      <c r="BQ676">
        <v>1.89</v>
      </c>
      <c r="BR676">
        <v>0.79</v>
      </c>
      <c r="BS676">
        <v>0.97</v>
      </c>
      <c r="BT676">
        <v>-1.24</v>
      </c>
      <c r="BU676">
        <v>1.45</v>
      </c>
      <c r="BV676">
        <v>1.93</v>
      </c>
      <c r="BW676">
        <v>2.27</v>
      </c>
      <c r="BX676">
        <v>0.76</v>
      </c>
      <c r="BY676">
        <v>2.36</v>
      </c>
      <c r="BZ676">
        <v>-0.8</v>
      </c>
      <c r="CA676">
        <v>1.61</v>
      </c>
      <c r="CB676">
        <v>1.39</v>
      </c>
      <c r="CC676">
        <v>1.51</v>
      </c>
      <c r="CD676">
        <v>1.08</v>
      </c>
      <c r="CE676">
        <v>0.61</v>
      </c>
      <c r="CF676">
        <v>2.2599999999999998</v>
      </c>
      <c r="CG676">
        <v>0</v>
      </c>
      <c r="CH676">
        <v>2.65</v>
      </c>
      <c r="CI676">
        <v>0</v>
      </c>
      <c r="CJ676">
        <v>4.0999999999999996</v>
      </c>
      <c r="CK676">
        <v>54</v>
      </c>
      <c r="CL676">
        <v>-1.36</v>
      </c>
      <c r="CM676">
        <v>52</v>
      </c>
      <c r="CN676">
        <v>-0.57999999999999996</v>
      </c>
      <c r="CO676">
        <v>51</v>
      </c>
      <c r="CP676">
        <v>7.1</v>
      </c>
      <c r="CQ676">
        <v>49</v>
      </c>
      <c r="CR676">
        <v>0</v>
      </c>
      <c r="CS676">
        <v>0</v>
      </c>
      <c r="CT676">
        <v>30.6</v>
      </c>
      <c r="CU676">
        <v>46</v>
      </c>
      <c r="CV676">
        <v>0.28000000000000003</v>
      </c>
      <c r="CW676">
        <v>37</v>
      </c>
      <c r="CX676" t="s">
        <v>1962</v>
      </c>
    </row>
    <row r="677" spans="1:102" x14ac:dyDescent="0.3">
      <c r="A677" t="str">
        <f>HYPERLINK("https://webapp.icbf.com/v2/app/bull-search/view/1142869800","YAB")</f>
        <v>YAB</v>
      </c>
      <c r="B677" t="s">
        <v>14552</v>
      </c>
      <c r="C677" t="s">
        <v>7686</v>
      </c>
      <c r="D677" s="1">
        <v>41672</v>
      </c>
      <c r="E677" t="s">
        <v>92</v>
      </c>
      <c r="F677">
        <v>78</v>
      </c>
      <c r="G677" t="s">
        <v>93</v>
      </c>
      <c r="H677">
        <v>169.43</v>
      </c>
      <c r="I677">
        <v>93</v>
      </c>
      <c r="J677">
        <v>50.84</v>
      </c>
      <c r="K677">
        <v>99</v>
      </c>
      <c r="L677">
        <v>61.06</v>
      </c>
      <c r="M677">
        <v>85</v>
      </c>
      <c r="N677">
        <v>50.8</v>
      </c>
      <c r="O677">
        <v>95</v>
      </c>
      <c r="P677">
        <v>-27.89</v>
      </c>
      <c r="Q677">
        <v>98</v>
      </c>
      <c r="R677">
        <v>15.34</v>
      </c>
      <c r="S677">
        <v>91</v>
      </c>
      <c r="T677">
        <v>19.670000000000002</v>
      </c>
      <c r="U677">
        <v>98</v>
      </c>
      <c r="V677">
        <v>-0.39</v>
      </c>
      <c r="W677">
        <v>80</v>
      </c>
      <c r="X677" t="s">
        <v>94</v>
      </c>
      <c r="Y677" t="s">
        <v>389</v>
      </c>
      <c r="Z677" t="s">
        <v>330</v>
      </c>
      <c r="AA677" t="s">
        <v>2514</v>
      </c>
      <c r="AB677" t="s">
        <v>14553</v>
      </c>
      <c r="AC677">
        <v>4177</v>
      </c>
      <c r="AD677">
        <v>1290</v>
      </c>
      <c r="AE677">
        <v>99</v>
      </c>
      <c r="AF677">
        <v>15.33</v>
      </c>
      <c r="AG677">
        <v>14.11</v>
      </c>
      <c r="AH677">
        <v>3.89</v>
      </c>
      <c r="AI677">
        <v>0.24</v>
      </c>
      <c r="AJ677">
        <v>0.06</v>
      </c>
      <c r="AK677">
        <v>85</v>
      </c>
      <c r="AL677">
        <v>442</v>
      </c>
      <c r="AM677">
        <v>179</v>
      </c>
      <c r="AN677">
        <v>-2.52</v>
      </c>
      <c r="AO677">
        <v>2.36</v>
      </c>
      <c r="AP677">
        <v>11853</v>
      </c>
      <c r="AQ677">
        <v>55</v>
      </c>
      <c r="AR677">
        <v>5.79</v>
      </c>
      <c r="AS677">
        <v>99</v>
      </c>
      <c r="AT677">
        <v>2.25</v>
      </c>
      <c r="AU677">
        <v>99</v>
      </c>
      <c r="AV677">
        <v>-4.63</v>
      </c>
      <c r="AW677">
        <v>99</v>
      </c>
      <c r="AX677">
        <v>-0.14000000000000001</v>
      </c>
      <c r="AY677">
        <v>99</v>
      </c>
      <c r="AZ677">
        <v>5.57</v>
      </c>
      <c r="BA677">
        <v>98</v>
      </c>
      <c r="BB677">
        <v>4.74</v>
      </c>
      <c r="BC677">
        <v>72</v>
      </c>
      <c r="BD677">
        <v>-0.04</v>
      </c>
      <c r="BE677">
        <v>-0.04</v>
      </c>
      <c r="BF677">
        <v>-0.21</v>
      </c>
      <c r="BG677">
        <v>99</v>
      </c>
      <c r="BH677">
        <v>-0.17</v>
      </c>
      <c r="BI677">
        <v>-18.399999999999999</v>
      </c>
      <c r="BJ677">
        <v>11</v>
      </c>
      <c r="BK677">
        <v>3</v>
      </c>
      <c r="BL677">
        <v>-2.54</v>
      </c>
      <c r="BM677">
        <v>0.23</v>
      </c>
      <c r="BN677">
        <v>-1.49</v>
      </c>
      <c r="BO677">
        <v>-1.68</v>
      </c>
      <c r="BP677">
        <v>-2.6</v>
      </c>
      <c r="BQ677">
        <v>-1.9</v>
      </c>
      <c r="BR677">
        <v>1.31</v>
      </c>
      <c r="BS677">
        <v>0.38</v>
      </c>
      <c r="BT677">
        <v>-1.17</v>
      </c>
      <c r="BU677">
        <v>0.21</v>
      </c>
      <c r="BV677">
        <v>-0.25</v>
      </c>
      <c r="BW677">
        <v>-0.67</v>
      </c>
      <c r="BX677">
        <v>-1.06</v>
      </c>
      <c r="BY677">
        <v>-0.46</v>
      </c>
      <c r="BZ677">
        <v>-1.78</v>
      </c>
      <c r="CA677">
        <v>-0.37</v>
      </c>
      <c r="CB677">
        <v>-0.14000000000000001</v>
      </c>
      <c r="CC677">
        <v>-0.66</v>
      </c>
      <c r="CD677">
        <v>0.88</v>
      </c>
      <c r="CE677">
        <v>-1.06</v>
      </c>
      <c r="CF677">
        <v>-2.4300000000000002</v>
      </c>
      <c r="CG677">
        <v>0</v>
      </c>
      <c r="CH677">
        <v>-0.44</v>
      </c>
      <c r="CI677">
        <v>0</v>
      </c>
      <c r="CJ677">
        <v>-11.5</v>
      </c>
      <c r="CK677">
        <v>99</v>
      </c>
      <c r="CL677">
        <v>-0.97</v>
      </c>
      <c r="CM677">
        <v>99</v>
      </c>
      <c r="CN677">
        <v>-0.01</v>
      </c>
      <c r="CO677">
        <v>99</v>
      </c>
      <c r="CP677">
        <v>-14.2</v>
      </c>
      <c r="CQ677">
        <v>91</v>
      </c>
      <c r="CR677">
        <v>0</v>
      </c>
      <c r="CS677">
        <v>0</v>
      </c>
      <c r="CT677">
        <v>-12.8</v>
      </c>
      <c r="CU677">
        <v>98</v>
      </c>
      <c r="CV677">
        <v>0.1</v>
      </c>
      <c r="CW677">
        <v>48</v>
      </c>
      <c r="CX677" t="s">
        <v>2713</v>
      </c>
    </row>
    <row r="678" spans="1:102" x14ac:dyDescent="0.3">
      <c r="A678" t="str">
        <f>HYPERLINK("https://webapp.icbf.com/v2/app/bull-search/view/760400926","GXY")</f>
        <v>GXY</v>
      </c>
      <c r="B678" t="s">
        <v>8288</v>
      </c>
      <c r="C678" t="s">
        <v>2148</v>
      </c>
      <c r="D678" s="1">
        <v>40033</v>
      </c>
      <c r="E678" t="s">
        <v>92</v>
      </c>
      <c r="F678">
        <v>78</v>
      </c>
      <c r="G678" t="s">
        <v>93</v>
      </c>
      <c r="H678">
        <v>169.4</v>
      </c>
      <c r="I678">
        <v>97</v>
      </c>
      <c r="J678">
        <v>96.67</v>
      </c>
      <c r="K678">
        <v>99</v>
      </c>
      <c r="L678">
        <v>63.81</v>
      </c>
      <c r="M678">
        <v>95</v>
      </c>
      <c r="N678">
        <v>4.37</v>
      </c>
      <c r="O678">
        <v>99</v>
      </c>
      <c r="P678">
        <v>-8.89</v>
      </c>
      <c r="Q678">
        <v>99</v>
      </c>
      <c r="R678">
        <v>5.96</v>
      </c>
      <c r="S678">
        <v>96</v>
      </c>
      <c r="T678">
        <v>3.39</v>
      </c>
      <c r="U678">
        <v>99</v>
      </c>
      <c r="V678">
        <v>4.09</v>
      </c>
      <c r="W678">
        <v>85</v>
      </c>
      <c r="X678" t="s">
        <v>276</v>
      </c>
      <c r="Y678" t="s">
        <v>1775</v>
      </c>
      <c r="Z678" t="s">
        <v>330</v>
      </c>
      <c r="AA678" t="s">
        <v>2245</v>
      </c>
      <c r="AB678" t="s">
        <v>8289</v>
      </c>
      <c r="AC678">
        <v>3232</v>
      </c>
      <c r="AD678">
        <v>757</v>
      </c>
      <c r="AE678">
        <v>99</v>
      </c>
      <c r="AF678">
        <v>131.15</v>
      </c>
      <c r="AG678">
        <v>14.24</v>
      </c>
      <c r="AH678">
        <v>13.41</v>
      </c>
      <c r="AI678">
        <v>0.16</v>
      </c>
      <c r="AJ678">
        <v>0.15</v>
      </c>
      <c r="AK678">
        <v>95</v>
      </c>
      <c r="AL678">
        <v>3626</v>
      </c>
      <c r="AM678">
        <v>917</v>
      </c>
      <c r="AN678">
        <v>-2.6</v>
      </c>
      <c r="AO678">
        <v>2.5</v>
      </c>
      <c r="AP678">
        <v>6393</v>
      </c>
      <c r="AQ678">
        <v>28</v>
      </c>
      <c r="AR678">
        <v>7.19</v>
      </c>
      <c r="AS678">
        <v>98</v>
      </c>
      <c r="AT678">
        <v>3.17</v>
      </c>
      <c r="AU678">
        <v>99</v>
      </c>
      <c r="AV678">
        <v>7.0000000000000007E-2</v>
      </c>
      <c r="AW678">
        <v>99</v>
      </c>
      <c r="AX678">
        <v>0</v>
      </c>
      <c r="AY678">
        <v>99</v>
      </c>
      <c r="AZ678">
        <v>5.31</v>
      </c>
      <c r="BA678">
        <v>97</v>
      </c>
      <c r="BB678">
        <v>4.45</v>
      </c>
      <c r="BC678">
        <v>97</v>
      </c>
      <c r="BD678">
        <v>-0.06</v>
      </c>
      <c r="BE678">
        <v>-0.03</v>
      </c>
      <c r="BF678">
        <v>0.02</v>
      </c>
      <c r="BG678">
        <v>99</v>
      </c>
      <c r="BH678">
        <v>0.06</v>
      </c>
      <c r="BI678">
        <v>-6.25</v>
      </c>
      <c r="BJ678">
        <v>33</v>
      </c>
      <c r="BK678">
        <v>15</v>
      </c>
      <c r="BL678">
        <v>-0.89</v>
      </c>
      <c r="BM678">
        <v>1.72</v>
      </c>
      <c r="BN678">
        <v>-0.43</v>
      </c>
      <c r="BO678">
        <v>-1.1299999999999999</v>
      </c>
      <c r="BP678">
        <v>0.48</v>
      </c>
      <c r="BQ678">
        <v>-0.96</v>
      </c>
      <c r="BR678">
        <v>0.87</v>
      </c>
      <c r="BS678">
        <v>-0.56999999999999995</v>
      </c>
      <c r="BT678">
        <v>-1.28</v>
      </c>
      <c r="BU678">
        <v>-0.96</v>
      </c>
      <c r="BV678">
        <v>-0.9</v>
      </c>
      <c r="BW678">
        <v>-2.1800000000000002</v>
      </c>
      <c r="BX678">
        <v>-2.35</v>
      </c>
      <c r="BY678">
        <v>-2.5499999999999998</v>
      </c>
      <c r="BZ678">
        <v>0.76</v>
      </c>
      <c r="CA678">
        <v>-0.73</v>
      </c>
      <c r="CB678">
        <v>-0.96</v>
      </c>
      <c r="CC678">
        <v>-7.0000000000000007E-2</v>
      </c>
      <c r="CD678">
        <v>1.36</v>
      </c>
      <c r="CE678">
        <v>-0.35</v>
      </c>
      <c r="CF678">
        <v>-0.45</v>
      </c>
      <c r="CG678">
        <v>0</v>
      </c>
      <c r="CH678">
        <v>-2.33</v>
      </c>
      <c r="CI678">
        <v>0</v>
      </c>
      <c r="CJ678">
        <v>-2.4</v>
      </c>
      <c r="CK678">
        <v>99</v>
      </c>
      <c r="CL678">
        <v>-0.76</v>
      </c>
      <c r="CM678">
        <v>99</v>
      </c>
      <c r="CN678">
        <v>-0.21</v>
      </c>
      <c r="CO678">
        <v>99</v>
      </c>
      <c r="CP678">
        <v>-1.3</v>
      </c>
      <c r="CQ678">
        <v>99</v>
      </c>
      <c r="CR678">
        <v>0</v>
      </c>
      <c r="CS678">
        <v>0</v>
      </c>
      <c r="CT678">
        <v>9.1999999999999993</v>
      </c>
      <c r="CU678">
        <v>99</v>
      </c>
      <c r="CV678">
        <v>0.13</v>
      </c>
      <c r="CW678">
        <v>47</v>
      </c>
      <c r="CX678" t="s">
        <v>7715</v>
      </c>
    </row>
    <row r="679" spans="1:102" x14ac:dyDescent="0.3">
      <c r="A679" t="str">
        <f>HYPERLINK("https://webapp.icbf.com/v2/app/bull-search/view/1125378776","JE4558")</f>
        <v>JE4558</v>
      </c>
      <c r="B679" t="s">
        <v>13785</v>
      </c>
      <c r="C679" t="s">
        <v>13786</v>
      </c>
      <c r="D679" s="1">
        <v>41106</v>
      </c>
      <c r="E679" t="s">
        <v>227</v>
      </c>
      <c r="F679">
        <v>31</v>
      </c>
      <c r="G679" t="s">
        <v>109</v>
      </c>
      <c r="H679">
        <v>169.29</v>
      </c>
      <c r="I679">
        <v>71</v>
      </c>
      <c r="J679">
        <v>108.57</v>
      </c>
      <c r="K679">
        <v>88</v>
      </c>
      <c r="L679">
        <v>20.59</v>
      </c>
      <c r="M679">
        <v>63</v>
      </c>
      <c r="N679">
        <v>39.39</v>
      </c>
      <c r="O679">
        <v>86</v>
      </c>
      <c r="P679">
        <v>-43.58</v>
      </c>
      <c r="Q679">
        <v>53</v>
      </c>
      <c r="R679">
        <v>3.85</v>
      </c>
      <c r="S679">
        <v>62</v>
      </c>
      <c r="T679">
        <v>32.92</v>
      </c>
      <c r="U679">
        <v>47</v>
      </c>
      <c r="V679">
        <v>7.55</v>
      </c>
      <c r="W679">
        <v>56</v>
      </c>
      <c r="X679" t="s">
        <v>276</v>
      </c>
      <c r="Y679" t="s">
        <v>442</v>
      </c>
      <c r="Z679">
        <v>0</v>
      </c>
      <c r="AA679" t="s">
        <v>5638</v>
      </c>
      <c r="AB679" t="s">
        <v>144</v>
      </c>
      <c r="AC679">
        <v>0</v>
      </c>
      <c r="AD679">
        <v>0</v>
      </c>
      <c r="AE679">
        <v>88</v>
      </c>
      <c r="AF679">
        <v>-78.989999999999995</v>
      </c>
      <c r="AG679">
        <v>24.78</v>
      </c>
      <c r="AH679">
        <v>8.49</v>
      </c>
      <c r="AI679">
        <v>0.48</v>
      </c>
      <c r="AJ679">
        <v>0.2</v>
      </c>
      <c r="AK679">
        <v>63</v>
      </c>
      <c r="AL679">
        <v>0</v>
      </c>
      <c r="AM679">
        <v>0</v>
      </c>
      <c r="AN679">
        <v>1.85</v>
      </c>
      <c r="AO679">
        <v>3.53</v>
      </c>
      <c r="AP679">
        <v>682</v>
      </c>
      <c r="AQ679">
        <v>0</v>
      </c>
      <c r="AR679">
        <v>3.98</v>
      </c>
      <c r="AS679">
        <v>91</v>
      </c>
      <c r="AT679">
        <v>1.94</v>
      </c>
      <c r="AU679">
        <v>92</v>
      </c>
      <c r="AV679">
        <v>-2.85</v>
      </c>
      <c r="AW679">
        <v>98</v>
      </c>
      <c r="AX679">
        <v>0.69</v>
      </c>
      <c r="AY679">
        <v>90</v>
      </c>
      <c r="AZ679">
        <v>5.47</v>
      </c>
      <c r="BA679">
        <v>44</v>
      </c>
      <c r="BB679">
        <v>4.88</v>
      </c>
      <c r="BC679">
        <v>43</v>
      </c>
      <c r="BD679">
        <v>-7.0000000000000007E-2</v>
      </c>
      <c r="BE679">
        <v>0.02</v>
      </c>
      <c r="BF679">
        <v>-0.01</v>
      </c>
      <c r="BG679">
        <v>71</v>
      </c>
      <c r="BH679">
        <v>0.09</v>
      </c>
      <c r="BI679">
        <v>-13.94</v>
      </c>
      <c r="BJ679">
        <v>0</v>
      </c>
      <c r="BK679">
        <v>0</v>
      </c>
      <c r="BL679">
        <v>-2.63</v>
      </c>
      <c r="BM679">
        <v>-0.48</v>
      </c>
      <c r="BN679">
        <v>-0.42</v>
      </c>
      <c r="BO679">
        <v>0.09</v>
      </c>
      <c r="BP679">
        <v>-0.53</v>
      </c>
      <c r="BQ679">
        <v>-4.47</v>
      </c>
      <c r="BR679">
        <v>2.44</v>
      </c>
      <c r="BS679">
        <v>3.43</v>
      </c>
      <c r="BT679">
        <v>-1.51</v>
      </c>
      <c r="BU679">
        <v>-1.1200000000000001</v>
      </c>
      <c r="BV679">
        <v>-1.05</v>
      </c>
      <c r="BW679">
        <v>-2.46</v>
      </c>
      <c r="BX679">
        <v>-3.7</v>
      </c>
      <c r="BY679">
        <v>-0.66</v>
      </c>
      <c r="BZ679">
        <v>-0.16</v>
      </c>
      <c r="CA679">
        <v>0.06</v>
      </c>
      <c r="CB679">
        <v>-0.99</v>
      </c>
      <c r="CC679">
        <v>2</v>
      </c>
      <c r="CD679">
        <v>-0.74</v>
      </c>
      <c r="CE679">
        <v>-0.22</v>
      </c>
      <c r="CF679">
        <v>-2.75</v>
      </c>
      <c r="CG679">
        <v>0</v>
      </c>
      <c r="CH679">
        <v>-1.25</v>
      </c>
      <c r="CI679">
        <v>0</v>
      </c>
      <c r="CJ679">
        <v>-22.7</v>
      </c>
      <c r="CK679">
        <v>59</v>
      </c>
      <c r="CL679">
        <v>-0.91</v>
      </c>
      <c r="CM679">
        <v>45</v>
      </c>
      <c r="CN679">
        <v>-0.14000000000000001</v>
      </c>
      <c r="CO679">
        <v>45</v>
      </c>
      <c r="CP679">
        <v>-30</v>
      </c>
      <c r="CQ679">
        <v>48</v>
      </c>
      <c r="CR679">
        <v>0</v>
      </c>
      <c r="CS679">
        <v>0</v>
      </c>
      <c r="CT679">
        <v>-30.7</v>
      </c>
      <c r="CU679">
        <v>47</v>
      </c>
      <c r="CV679">
        <v>-0.17</v>
      </c>
      <c r="CW679">
        <v>35</v>
      </c>
      <c r="CX679" t="s">
        <v>4822</v>
      </c>
    </row>
    <row r="680" spans="1:102" x14ac:dyDescent="0.3">
      <c r="A680" t="str">
        <f>HYPERLINK("https://webapp.icbf.com/v2/app/bull-search/view/743137570","S2036")</f>
        <v>S2036</v>
      </c>
      <c r="B680" t="s">
        <v>10184</v>
      </c>
      <c r="C680" t="s">
        <v>10185</v>
      </c>
      <c r="D680" s="1">
        <v>37967</v>
      </c>
      <c r="E680" t="s">
        <v>108</v>
      </c>
      <c r="F680">
        <v>0</v>
      </c>
      <c r="G680" t="s">
        <v>109</v>
      </c>
      <c r="H680">
        <v>169.23</v>
      </c>
      <c r="I680">
        <v>74</v>
      </c>
      <c r="J680">
        <v>-12.14</v>
      </c>
      <c r="K680">
        <v>89</v>
      </c>
      <c r="L680">
        <v>130.1</v>
      </c>
      <c r="M680">
        <v>74</v>
      </c>
      <c r="N680">
        <v>30.77</v>
      </c>
      <c r="O680">
        <v>62</v>
      </c>
      <c r="P680">
        <v>-12.21</v>
      </c>
      <c r="Q680">
        <v>64</v>
      </c>
      <c r="R680">
        <v>4.9000000000000004</v>
      </c>
      <c r="S680">
        <v>71</v>
      </c>
      <c r="T680">
        <v>25.96</v>
      </c>
      <c r="U680">
        <v>48</v>
      </c>
      <c r="V680">
        <v>1.85</v>
      </c>
      <c r="W680">
        <v>60</v>
      </c>
      <c r="X680" t="s">
        <v>1645</v>
      </c>
      <c r="Y680" t="s">
        <v>367</v>
      </c>
      <c r="Z680" t="s">
        <v>96</v>
      </c>
      <c r="AA680" t="s">
        <v>1226</v>
      </c>
      <c r="AB680" t="s">
        <v>10186</v>
      </c>
      <c r="AC680">
        <v>0</v>
      </c>
      <c r="AD680">
        <v>0</v>
      </c>
      <c r="AE680">
        <v>89</v>
      </c>
      <c r="AF680">
        <v>-189.93</v>
      </c>
      <c r="AG680">
        <v>-2.52</v>
      </c>
      <c r="AH680">
        <v>-4.08</v>
      </c>
      <c r="AI680">
        <v>0.09</v>
      </c>
      <c r="AJ680">
        <v>0.04</v>
      </c>
      <c r="AK680">
        <v>74</v>
      </c>
      <c r="AL680">
        <v>0</v>
      </c>
      <c r="AM680">
        <v>0</v>
      </c>
      <c r="AN680">
        <v>-8.26</v>
      </c>
      <c r="AO680">
        <v>2.1</v>
      </c>
      <c r="AP680">
        <v>18</v>
      </c>
      <c r="AQ680">
        <v>0</v>
      </c>
      <c r="AR680">
        <v>6.32</v>
      </c>
      <c r="AS680">
        <v>53</v>
      </c>
      <c r="AT680">
        <v>2.72</v>
      </c>
      <c r="AU680">
        <v>66</v>
      </c>
      <c r="AV680">
        <v>-3.14</v>
      </c>
      <c r="AW680">
        <v>71</v>
      </c>
      <c r="AX680">
        <v>-0.72</v>
      </c>
      <c r="AY680">
        <v>51</v>
      </c>
      <c r="AZ680">
        <v>6.22</v>
      </c>
      <c r="BA680">
        <v>43</v>
      </c>
      <c r="BB680">
        <v>5.56</v>
      </c>
      <c r="BC680">
        <v>44</v>
      </c>
      <c r="BD680">
        <v>0.02</v>
      </c>
      <c r="BE680">
        <v>-0.04</v>
      </c>
      <c r="BF680">
        <v>-7.0000000000000007E-2</v>
      </c>
      <c r="BG680">
        <v>84</v>
      </c>
      <c r="BH680">
        <v>0</v>
      </c>
      <c r="BI680">
        <v>-5.97</v>
      </c>
      <c r="BJ680">
        <v>0</v>
      </c>
      <c r="BK680">
        <v>0</v>
      </c>
      <c r="BL680">
        <v>-3.54</v>
      </c>
      <c r="BM680">
        <v>0.52</v>
      </c>
      <c r="BN680">
        <v>-4.45</v>
      </c>
      <c r="BO680">
        <v>-3.36</v>
      </c>
      <c r="BP680">
        <v>-2.64</v>
      </c>
      <c r="BQ680">
        <v>1.21</v>
      </c>
      <c r="BR680">
        <v>-3.86</v>
      </c>
      <c r="BS680">
        <v>-0.42</v>
      </c>
      <c r="BT680">
        <v>1.32</v>
      </c>
      <c r="BU680">
        <v>-3.5</v>
      </c>
      <c r="BV680">
        <v>-3.07</v>
      </c>
      <c r="BW680">
        <v>-2.46</v>
      </c>
      <c r="BX680">
        <v>-2.2000000000000002</v>
      </c>
      <c r="BY680">
        <v>-1.89</v>
      </c>
      <c r="BZ680">
        <v>0.45</v>
      </c>
      <c r="CA680">
        <v>-1.88</v>
      </c>
      <c r="CB680">
        <v>-2.68</v>
      </c>
      <c r="CC680">
        <v>-0.24</v>
      </c>
      <c r="CD680">
        <v>2.54</v>
      </c>
      <c r="CE680">
        <v>-2.56</v>
      </c>
      <c r="CF680">
        <v>-3.16</v>
      </c>
      <c r="CG680">
        <v>0</v>
      </c>
      <c r="CH680">
        <v>-1.69</v>
      </c>
      <c r="CI680">
        <v>0</v>
      </c>
      <c r="CJ680">
        <v>-7.5</v>
      </c>
      <c r="CK680">
        <v>66</v>
      </c>
      <c r="CL680">
        <v>-0.19</v>
      </c>
      <c r="CM680">
        <v>63</v>
      </c>
      <c r="CN680">
        <v>-0.18</v>
      </c>
      <c r="CO680">
        <v>62</v>
      </c>
      <c r="CP680">
        <v>-13.4</v>
      </c>
      <c r="CQ680">
        <v>50</v>
      </c>
      <c r="CR680">
        <v>0</v>
      </c>
      <c r="CS680">
        <v>0</v>
      </c>
      <c r="CT680">
        <v>-21.3</v>
      </c>
      <c r="CU680">
        <v>48</v>
      </c>
      <c r="CV680">
        <v>-0.01</v>
      </c>
      <c r="CW680">
        <v>39</v>
      </c>
      <c r="CX680" t="s">
        <v>1224</v>
      </c>
    </row>
    <row r="681" spans="1:102" x14ac:dyDescent="0.3">
      <c r="A681" t="str">
        <f>HYPERLINK("https://webapp.icbf.com/v2/app/bull-search/view/752761068","AYW")</f>
        <v>AYW</v>
      </c>
      <c r="B681" t="s">
        <v>5480</v>
      </c>
      <c r="C681" t="s">
        <v>5481</v>
      </c>
      <c r="D681" s="1">
        <v>40229</v>
      </c>
      <c r="E681" t="s">
        <v>92</v>
      </c>
      <c r="F681">
        <v>84</v>
      </c>
      <c r="G681" t="s">
        <v>93</v>
      </c>
      <c r="H681">
        <v>169.2</v>
      </c>
      <c r="I681">
        <v>97</v>
      </c>
      <c r="J681">
        <v>52.91</v>
      </c>
      <c r="K681">
        <v>99</v>
      </c>
      <c r="L681">
        <v>75.709999999999994</v>
      </c>
      <c r="M681">
        <v>96</v>
      </c>
      <c r="N681">
        <v>44.17</v>
      </c>
      <c r="O681">
        <v>99</v>
      </c>
      <c r="P681">
        <v>-3.89</v>
      </c>
      <c r="Q681">
        <v>99</v>
      </c>
      <c r="R681">
        <v>-1.99</v>
      </c>
      <c r="S681">
        <v>96</v>
      </c>
      <c r="T681">
        <v>6.65</v>
      </c>
      <c r="U681">
        <v>99</v>
      </c>
      <c r="V681">
        <v>-4.3600000000000003</v>
      </c>
      <c r="W681">
        <v>86</v>
      </c>
      <c r="X681" t="s">
        <v>102</v>
      </c>
      <c r="Y681" t="s">
        <v>329</v>
      </c>
      <c r="Z681" t="s">
        <v>96</v>
      </c>
      <c r="AA681" t="s">
        <v>5435</v>
      </c>
      <c r="AB681" t="s">
        <v>5482</v>
      </c>
      <c r="AC681">
        <v>3131</v>
      </c>
      <c r="AD681">
        <v>893</v>
      </c>
      <c r="AE681">
        <v>99</v>
      </c>
      <c r="AF681">
        <v>229.34</v>
      </c>
      <c r="AG681">
        <v>9.2100000000000009</v>
      </c>
      <c r="AH681">
        <v>9.25</v>
      </c>
      <c r="AI681">
        <v>0</v>
      </c>
      <c r="AJ681">
        <v>0.03</v>
      </c>
      <c r="AK681">
        <v>96</v>
      </c>
      <c r="AL681">
        <v>3987</v>
      </c>
      <c r="AM681">
        <v>1225</v>
      </c>
      <c r="AN681">
        <v>-4.74</v>
      </c>
      <c r="AO681">
        <v>1.29</v>
      </c>
      <c r="AP681">
        <v>6314</v>
      </c>
      <c r="AQ681">
        <v>65</v>
      </c>
      <c r="AR681">
        <v>5.3</v>
      </c>
      <c r="AS681">
        <v>99</v>
      </c>
      <c r="AT681">
        <v>2.27</v>
      </c>
      <c r="AU681">
        <v>99</v>
      </c>
      <c r="AV681">
        <v>-4.67</v>
      </c>
      <c r="AW681">
        <v>99</v>
      </c>
      <c r="AX681">
        <v>-0.32</v>
      </c>
      <c r="AY681">
        <v>99</v>
      </c>
      <c r="AZ681">
        <v>8.36</v>
      </c>
      <c r="BA681">
        <v>97</v>
      </c>
      <c r="BB681">
        <v>5.5</v>
      </c>
      <c r="BC681">
        <v>97</v>
      </c>
      <c r="BD681">
        <v>-0.02</v>
      </c>
      <c r="BE681">
        <v>0.01</v>
      </c>
      <c r="BF681">
        <v>0.06</v>
      </c>
      <c r="BG681">
        <v>99</v>
      </c>
      <c r="BH681">
        <v>0.05</v>
      </c>
      <c r="BI681">
        <v>19.850000000000001</v>
      </c>
      <c r="BJ681">
        <v>129</v>
      </c>
      <c r="BK681">
        <v>60</v>
      </c>
      <c r="BL681">
        <v>-0.49</v>
      </c>
      <c r="BM681">
        <v>1.1200000000000001</v>
      </c>
      <c r="BN681">
        <v>0.21</v>
      </c>
      <c r="BO681">
        <v>-0.3</v>
      </c>
      <c r="BP681">
        <v>-2.0299999999999998</v>
      </c>
      <c r="BQ681">
        <v>1.49</v>
      </c>
      <c r="BR681">
        <v>-1.02</v>
      </c>
      <c r="BS681">
        <v>0.44</v>
      </c>
      <c r="BT681">
        <v>1.81</v>
      </c>
      <c r="BU681">
        <v>-0.88</v>
      </c>
      <c r="BV681">
        <v>1.1100000000000001</v>
      </c>
      <c r="BW681">
        <v>0.5</v>
      </c>
      <c r="BX681">
        <v>-1.54</v>
      </c>
      <c r="BY681">
        <v>-1.1200000000000001</v>
      </c>
      <c r="BZ681">
        <v>3.36</v>
      </c>
      <c r="CA681">
        <v>-0.18</v>
      </c>
      <c r="CB681">
        <v>7.0000000000000007E-2</v>
      </c>
      <c r="CC681">
        <v>-0.1</v>
      </c>
      <c r="CD681">
        <v>0.73</v>
      </c>
      <c r="CE681">
        <v>-0.21</v>
      </c>
      <c r="CF681">
        <v>0.27</v>
      </c>
      <c r="CG681">
        <v>0</v>
      </c>
      <c r="CH681">
        <v>-0.76</v>
      </c>
      <c r="CI681">
        <v>0</v>
      </c>
      <c r="CJ681">
        <v>1.6</v>
      </c>
      <c r="CK681">
        <v>99</v>
      </c>
      <c r="CL681">
        <v>-0.62</v>
      </c>
      <c r="CM681">
        <v>99</v>
      </c>
      <c r="CN681">
        <v>-0.04</v>
      </c>
      <c r="CO681">
        <v>99</v>
      </c>
      <c r="CP681">
        <v>-1.1000000000000001</v>
      </c>
      <c r="CQ681">
        <v>99</v>
      </c>
      <c r="CR681">
        <v>0</v>
      </c>
      <c r="CS681">
        <v>0</v>
      </c>
      <c r="CT681">
        <v>4.8</v>
      </c>
      <c r="CU681">
        <v>99</v>
      </c>
      <c r="CV681">
        <v>0.17</v>
      </c>
      <c r="CW681">
        <v>49</v>
      </c>
      <c r="CX681" t="s">
        <v>1883</v>
      </c>
    </row>
    <row r="682" spans="1:102" x14ac:dyDescent="0.3">
      <c r="A682" t="str">
        <f>HYPERLINK("https://webapp.icbf.com/v2/app/bull-search/view/505385736","FZI")</f>
        <v>FZI</v>
      </c>
      <c r="B682" t="s">
        <v>12576</v>
      </c>
      <c r="C682" t="s">
        <v>12577</v>
      </c>
      <c r="D682" s="1">
        <v>39164</v>
      </c>
      <c r="E682" t="s">
        <v>92</v>
      </c>
      <c r="F682">
        <v>59</v>
      </c>
      <c r="G682" t="s">
        <v>93</v>
      </c>
      <c r="H682">
        <v>169.18</v>
      </c>
      <c r="I682">
        <v>86</v>
      </c>
      <c r="J682">
        <v>13.89</v>
      </c>
      <c r="K682">
        <v>96</v>
      </c>
      <c r="L682">
        <v>115.18</v>
      </c>
      <c r="M682">
        <v>77</v>
      </c>
      <c r="N682">
        <v>30.38</v>
      </c>
      <c r="O682">
        <v>85</v>
      </c>
      <c r="P682">
        <v>3.64</v>
      </c>
      <c r="Q682">
        <v>89</v>
      </c>
      <c r="R682">
        <v>5.38</v>
      </c>
      <c r="S682">
        <v>80</v>
      </c>
      <c r="T682">
        <v>1.02</v>
      </c>
      <c r="U682">
        <v>89</v>
      </c>
      <c r="V682">
        <v>-0.31</v>
      </c>
      <c r="W682">
        <v>81</v>
      </c>
      <c r="X682" t="s">
        <v>94</v>
      </c>
      <c r="Y682" t="s">
        <v>4217</v>
      </c>
      <c r="Z682" t="s">
        <v>96</v>
      </c>
      <c r="AA682" t="s">
        <v>1883</v>
      </c>
      <c r="AB682" t="s">
        <v>12578</v>
      </c>
      <c r="AC682">
        <v>68</v>
      </c>
      <c r="AD682">
        <v>52</v>
      </c>
      <c r="AE682">
        <v>96</v>
      </c>
      <c r="AF682">
        <v>-308.07</v>
      </c>
      <c r="AG682">
        <v>5.08</v>
      </c>
      <c r="AH682">
        <v>-4.1500000000000004</v>
      </c>
      <c r="AI682">
        <v>0.32</v>
      </c>
      <c r="AJ682">
        <v>0.12</v>
      </c>
      <c r="AK682">
        <v>77</v>
      </c>
      <c r="AL682">
        <v>73</v>
      </c>
      <c r="AM682">
        <v>55</v>
      </c>
      <c r="AN682">
        <v>-5.92</v>
      </c>
      <c r="AO682">
        <v>3.27</v>
      </c>
      <c r="AP682">
        <v>179</v>
      </c>
      <c r="AQ682">
        <v>0</v>
      </c>
      <c r="AR682">
        <v>5.6</v>
      </c>
      <c r="AS682">
        <v>70</v>
      </c>
      <c r="AT682">
        <v>2.17</v>
      </c>
      <c r="AU682">
        <v>87</v>
      </c>
      <c r="AV682">
        <v>-2.4900000000000002</v>
      </c>
      <c r="AW682">
        <v>96</v>
      </c>
      <c r="AX682">
        <v>1.75</v>
      </c>
      <c r="AY682">
        <v>80</v>
      </c>
      <c r="AZ682">
        <v>4.91</v>
      </c>
      <c r="BA682">
        <v>64</v>
      </c>
      <c r="BB682">
        <v>4.82</v>
      </c>
      <c r="BC682">
        <v>66</v>
      </c>
      <c r="BD682">
        <v>-7.0000000000000007E-2</v>
      </c>
      <c r="BE682">
        <v>-0.03</v>
      </c>
      <c r="BF682">
        <v>0.05</v>
      </c>
      <c r="BG682">
        <v>87</v>
      </c>
      <c r="BH682">
        <v>0.08</v>
      </c>
      <c r="BI682">
        <v>10.24</v>
      </c>
      <c r="BJ682">
        <v>21</v>
      </c>
      <c r="BK682">
        <v>15</v>
      </c>
      <c r="BL682">
        <v>-0.61</v>
      </c>
      <c r="BM682">
        <v>2.0499999999999998</v>
      </c>
      <c r="BN682">
        <v>-0.1</v>
      </c>
      <c r="BO682">
        <v>-1.23</v>
      </c>
      <c r="BP682">
        <v>-1.3</v>
      </c>
      <c r="BQ682">
        <v>0.61</v>
      </c>
      <c r="BR682">
        <v>-1.63</v>
      </c>
      <c r="BS682">
        <v>-0.27</v>
      </c>
      <c r="BT682">
        <v>1.43</v>
      </c>
      <c r="BU682">
        <v>-0.4</v>
      </c>
      <c r="BV682">
        <v>-1.18</v>
      </c>
      <c r="BW682">
        <v>-1.27</v>
      </c>
      <c r="BX682">
        <v>0.09</v>
      </c>
      <c r="BY682">
        <v>-1.4</v>
      </c>
      <c r="BZ682">
        <v>1.04</v>
      </c>
      <c r="CA682">
        <v>-0.47</v>
      </c>
      <c r="CB682">
        <v>-1.01</v>
      </c>
      <c r="CC682">
        <v>0.35</v>
      </c>
      <c r="CD682">
        <v>1.1499999999999999</v>
      </c>
      <c r="CE682">
        <v>-1.1499999999999999</v>
      </c>
      <c r="CF682">
        <v>-0.54</v>
      </c>
      <c r="CG682">
        <v>0</v>
      </c>
      <c r="CH682">
        <v>-0.97</v>
      </c>
      <c r="CI682">
        <v>0</v>
      </c>
      <c r="CJ682">
        <v>4.3</v>
      </c>
      <c r="CK682">
        <v>90</v>
      </c>
      <c r="CL682">
        <v>-0.41</v>
      </c>
      <c r="CM682">
        <v>88</v>
      </c>
      <c r="CN682">
        <v>-0.14000000000000001</v>
      </c>
      <c r="CO682">
        <v>86</v>
      </c>
      <c r="CP682">
        <v>2</v>
      </c>
      <c r="CQ682">
        <v>87</v>
      </c>
      <c r="CR682">
        <v>0</v>
      </c>
      <c r="CS682">
        <v>0</v>
      </c>
      <c r="CT682">
        <v>12.4</v>
      </c>
      <c r="CU682">
        <v>89</v>
      </c>
      <c r="CV682">
        <v>0.24</v>
      </c>
      <c r="CW682">
        <v>44</v>
      </c>
      <c r="CX682" t="s">
        <v>4265</v>
      </c>
    </row>
    <row r="683" spans="1:102" x14ac:dyDescent="0.3">
      <c r="A683" t="str">
        <f>HYPERLINK("https://webapp.icbf.com/v2/app/bull-search/view/879584145","HSV")</f>
        <v>HSV</v>
      </c>
      <c r="B683" t="s">
        <v>5640</v>
      </c>
      <c r="C683" t="s">
        <v>5641</v>
      </c>
      <c r="D683" s="1">
        <v>40635</v>
      </c>
      <c r="E683" t="s">
        <v>92</v>
      </c>
      <c r="F683">
        <v>91</v>
      </c>
      <c r="G683" t="s">
        <v>93</v>
      </c>
      <c r="H683">
        <v>169.05</v>
      </c>
      <c r="I683">
        <v>89</v>
      </c>
      <c r="J683">
        <v>32.700000000000003</v>
      </c>
      <c r="K683">
        <v>98</v>
      </c>
      <c r="L683">
        <v>92.69</v>
      </c>
      <c r="M683">
        <v>81</v>
      </c>
      <c r="N683">
        <v>32.39</v>
      </c>
      <c r="O683">
        <v>90</v>
      </c>
      <c r="P683">
        <v>-4.3499999999999996</v>
      </c>
      <c r="Q683">
        <v>95</v>
      </c>
      <c r="R683">
        <v>6.2</v>
      </c>
      <c r="S683">
        <v>83</v>
      </c>
      <c r="T683">
        <v>-2.23</v>
      </c>
      <c r="U683">
        <v>83</v>
      </c>
      <c r="V683">
        <v>11.65</v>
      </c>
      <c r="W683">
        <v>77</v>
      </c>
      <c r="X683" t="s">
        <v>251</v>
      </c>
      <c r="Y683" t="s">
        <v>1923</v>
      </c>
      <c r="Z683" t="s">
        <v>96</v>
      </c>
      <c r="AA683" t="s">
        <v>2913</v>
      </c>
      <c r="AB683" t="s">
        <v>5642</v>
      </c>
      <c r="AC683">
        <v>197</v>
      </c>
      <c r="AD683">
        <v>55</v>
      </c>
      <c r="AE683">
        <v>98</v>
      </c>
      <c r="AF683">
        <v>-178.33</v>
      </c>
      <c r="AG683">
        <v>8.09</v>
      </c>
      <c r="AH683">
        <v>-0.03</v>
      </c>
      <c r="AI683">
        <v>0.27</v>
      </c>
      <c r="AJ683">
        <v>0.11</v>
      </c>
      <c r="AK683">
        <v>81</v>
      </c>
      <c r="AL683">
        <v>220</v>
      </c>
      <c r="AM683">
        <v>60</v>
      </c>
      <c r="AN683">
        <v>-4.43</v>
      </c>
      <c r="AO683">
        <v>2.97</v>
      </c>
      <c r="AP683">
        <v>399</v>
      </c>
      <c r="AQ683">
        <v>0</v>
      </c>
      <c r="AR683">
        <v>6.74</v>
      </c>
      <c r="AS683">
        <v>86</v>
      </c>
      <c r="AT683">
        <v>2.52</v>
      </c>
      <c r="AU683">
        <v>91</v>
      </c>
      <c r="AV683">
        <v>-2.46</v>
      </c>
      <c r="AW683">
        <v>98</v>
      </c>
      <c r="AX683">
        <v>-0.66</v>
      </c>
      <c r="AY683">
        <v>88</v>
      </c>
      <c r="AZ683">
        <v>5.8</v>
      </c>
      <c r="BA683">
        <v>76</v>
      </c>
      <c r="BB683">
        <v>4.33</v>
      </c>
      <c r="BC683">
        <v>69</v>
      </c>
      <c r="BD683">
        <v>-0.04</v>
      </c>
      <c r="BE683">
        <v>-0.04</v>
      </c>
      <c r="BF683">
        <v>0</v>
      </c>
      <c r="BG683">
        <v>91</v>
      </c>
      <c r="BH683">
        <v>0.26</v>
      </c>
      <c r="BI683">
        <v>-7.52</v>
      </c>
      <c r="BJ683">
        <v>14</v>
      </c>
      <c r="BK683">
        <v>5</v>
      </c>
      <c r="BL683">
        <v>0.56999999999999995</v>
      </c>
      <c r="BM683">
        <v>0.11</v>
      </c>
      <c r="BN683">
        <v>-0.64</v>
      </c>
      <c r="BO683">
        <v>-0.01</v>
      </c>
      <c r="BP683">
        <v>1.04</v>
      </c>
      <c r="BQ683">
        <v>1.41</v>
      </c>
      <c r="BR683">
        <v>0.53</v>
      </c>
      <c r="BS683">
        <v>1.23</v>
      </c>
      <c r="BT683">
        <v>0.76</v>
      </c>
      <c r="BU683">
        <v>0.96</v>
      </c>
      <c r="BV683">
        <v>0.47</v>
      </c>
      <c r="BW683">
        <v>0.21</v>
      </c>
      <c r="BX683">
        <v>1.61</v>
      </c>
      <c r="BY683">
        <v>0.12</v>
      </c>
      <c r="BZ683">
        <v>-2</v>
      </c>
      <c r="CA683">
        <v>0.57999999999999996</v>
      </c>
      <c r="CB683">
        <v>0.47</v>
      </c>
      <c r="CC683">
        <v>-0.03</v>
      </c>
      <c r="CD683">
        <v>0.05</v>
      </c>
      <c r="CE683">
        <v>-0.47</v>
      </c>
      <c r="CF683">
        <v>-0.13</v>
      </c>
      <c r="CG683">
        <v>0</v>
      </c>
      <c r="CH683">
        <v>0.02</v>
      </c>
      <c r="CI683">
        <v>0</v>
      </c>
      <c r="CJ683">
        <v>-0.1</v>
      </c>
      <c r="CK683">
        <v>96</v>
      </c>
      <c r="CL683">
        <v>-0.76</v>
      </c>
      <c r="CM683">
        <v>94</v>
      </c>
      <c r="CN683">
        <v>-0.26</v>
      </c>
      <c r="CO683">
        <v>94</v>
      </c>
      <c r="CP683">
        <v>3.9</v>
      </c>
      <c r="CQ683">
        <v>86</v>
      </c>
      <c r="CR683">
        <v>0</v>
      </c>
      <c r="CS683">
        <v>0</v>
      </c>
      <c r="CT683">
        <v>16.8</v>
      </c>
      <c r="CU683">
        <v>83</v>
      </c>
      <c r="CV683">
        <v>0.16</v>
      </c>
      <c r="CW683">
        <v>46</v>
      </c>
      <c r="CX683" t="s">
        <v>4532</v>
      </c>
    </row>
    <row r="684" spans="1:102" x14ac:dyDescent="0.3">
      <c r="A684" t="str">
        <f>HYPERLINK("https://webapp.icbf.com/v2/app/bull-search/view/992934205","TJH")</f>
        <v>TJH</v>
      </c>
      <c r="B684" t="s">
        <v>10207</v>
      </c>
      <c r="C684" t="s">
        <v>10208</v>
      </c>
      <c r="D684" s="1">
        <v>40759</v>
      </c>
      <c r="E684" t="s">
        <v>227</v>
      </c>
      <c r="F684">
        <v>9</v>
      </c>
      <c r="G684" t="s">
        <v>93</v>
      </c>
      <c r="H684">
        <v>168.97</v>
      </c>
      <c r="I684">
        <v>85</v>
      </c>
      <c r="J684">
        <v>72.06</v>
      </c>
      <c r="K684">
        <v>96</v>
      </c>
      <c r="L684">
        <v>34.53</v>
      </c>
      <c r="M684">
        <v>77</v>
      </c>
      <c r="N684">
        <v>47.34</v>
      </c>
      <c r="O684">
        <v>83</v>
      </c>
      <c r="P684">
        <v>-47.68</v>
      </c>
      <c r="Q684">
        <v>86</v>
      </c>
      <c r="R684">
        <v>8.2799999999999994</v>
      </c>
      <c r="S684">
        <v>75</v>
      </c>
      <c r="T684">
        <v>46.68</v>
      </c>
      <c r="U684">
        <v>79</v>
      </c>
      <c r="V684">
        <v>7.76</v>
      </c>
      <c r="W684">
        <v>73</v>
      </c>
      <c r="X684" t="s">
        <v>276</v>
      </c>
      <c r="Y684" t="s">
        <v>375</v>
      </c>
      <c r="Z684">
        <v>0</v>
      </c>
      <c r="AA684" t="s">
        <v>10197</v>
      </c>
      <c r="AB684" t="s">
        <v>10209</v>
      </c>
      <c r="AC684">
        <v>95</v>
      </c>
      <c r="AD684">
        <v>37</v>
      </c>
      <c r="AE684">
        <v>96</v>
      </c>
      <c r="AF684">
        <v>-468.44</v>
      </c>
      <c r="AG684">
        <v>10.53</v>
      </c>
      <c r="AH684">
        <v>1.36</v>
      </c>
      <c r="AI684">
        <v>0.55000000000000004</v>
      </c>
      <c r="AJ684">
        <v>0.33</v>
      </c>
      <c r="AK684">
        <v>77</v>
      </c>
      <c r="AL684">
        <v>97</v>
      </c>
      <c r="AM684">
        <v>41</v>
      </c>
      <c r="AN684">
        <v>-1.37</v>
      </c>
      <c r="AO684">
        <v>1.39</v>
      </c>
      <c r="AP684">
        <v>202</v>
      </c>
      <c r="AQ684">
        <v>0</v>
      </c>
      <c r="AR684">
        <v>2.64</v>
      </c>
      <c r="AS684">
        <v>79</v>
      </c>
      <c r="AT684">
        <v>1.36</v>
      </c>
      <c r="AU684">
        <v>84</v>
      </c>
      <c r="AV684">
        <v>-4.17</v>
      </c>
      <c r="AW684">
        <v>96</v>
      </c>
      <c r="AX684">
        <v>-0.87</v>
      </c>
      <c r="AY684">
        <v>77</v>
      </c>
      <c r="AZ684">
        <v>8.65</v>
      </c>
      <c r="BA684">
        <v>66</v>
      </c>
      <c r="BB684">
        <v>6.11</v>
      </c>
      <c r="BC684">
        <v>52</v>
      </c>
      <c r="BD684">
        <v>-0.05</v>
      </c>
      <c r="BE684">
        <v>-0.03</v>
      </c>
      <c r="BF684">
        <v>-0.05</v>
      </c>
      <c r="BG684">
        <v>85</v>
      </c>
      <c r="BH684">
        <v>0.1</v>
      </c>
      <c r="BI684">
        <v>-13.46</v>
      </c>
      <c r="BJ684">
        <v>0</v>
      </c>
      <c r="BK684">
        <v>0</v>
      </c>
      <c r="BL684">
        <v>-2.94</v>
      </c>
      <c r="BM684">
        <v>-1.34</v>
      </c>
      <c r="BN684">
        <v>-0.87</v>
      </c>
      <c r="BO684">
        <v>0.4</v>
      </c>
      <c r="BP684">
        <v>-0.34</v>
      </c>
      <c r="BQ684">
        <v>-5.14</v>
      </c>
      <c r="BR684">
        <v>2.8</v>
      </c>
      <c r="BS684">
        <v>4.12</v>
      </c>
      <c r="BT684">
        <v>-1.53</v>
      </c>
      <c r="BU684">
        <v>-1.43</v>
      </c>
      <c r="BV684">
        <v>-0.81</v>
      </c>
      <c r="BW684">
        <v>-2.14</v>
      </c>
      <c r="BX684">
        <v>-3.96</v>
      </c>
      <c r="BY684">
        <v>-0.08</v>
      </c>
      <c r="BZ684">
        <v>-1.48</v>
      </c>
      <c r="CA684">
        <v>0.25</v>
      </c>
      <c r="CB684">
        <v>-0.75</v>
      </c>
      <c r="CC684">
        <v>2.34</v>
      </c>
      <c r="CD684">
        <v>-1.23</v>
      </c>
      <c r="CE684">
        <v>0.24</v>
      </c>
      <c r="CF684">
        <v>-2.93</v>
      </c>
      <c r="CG684">
        <v>0</v>
      </c>
      <c r="CH684">
        <v>-0.88</v>
      </c>
      <c r="CI684">
        <v>0</v>
      </c>
      <c r="CJ684">
        <v>-26.6</v>
      </c>
      <c r="CK684">
        <v>89</v>
      </c>
      <c r="CL684">
        <v>-0.78</v>
      </c>
      <c r="CM684">
        <v>86</v>
      </c>
      <c r="CN684">
        <v>-0.26</v>
      </c>
      <c r="CO684">
        <v>84</v>
      </c>
      <c r="CP684">
        <v>-39.799999999999997</v>
      </c>
      <c r="CQ684">
        <v>74</v>
      </c>
      <c r="CR684">
        <v>0</v>
      </c>
      <c r="CS684">
        <v>0</v>
      </c>
      <c r="CT684">
        <v>-49.3</v>
      </c>
      <c r="CU684">
        <v>79</v>
      </c>
      <c r="CV684">
        <v>-0.18</v>
      </c>
      <c r="CW684">
        <v>44</v>
      </c>
      <c r="CX684" t="s">
        <v>321</v>
      </c>
    </row>
    <row r="685" spans="1:102" x14ac:dyDescent="0.3">
      <c r="A685" t="str">
        <f>HYPERLINK("https://webapp.icbf.com/v2/app/bull-search/view/865827247","YBK")</f>
        <v>YBK</v>
      </c>
      <c r="B685" t="s">
        <v>5667</v>
      </c>
      <c r="C685" t="s">
        <v>5668</v>
      </c>
      <c r="D685" s="1">
        <v>40602</v>
      </c>
      <c r="E685" t="s">
        <v>92</v>
      </c>
      <c r="F685">
        <v>56</v>
      </c>
      <c r="G685" t="s">
        <v>93</v>
      </c>
      <c r="H685">
        <v>168.96</v>
      </c>
      <c r="I685">
        <v>83</v>
      </c>
      <c r="J685">
        <v>43.49</v>
      </c>
      <c r="K685">
        <v>95</v>
      </c>
      <c r="L685">
        <v>116.56</v>
      </c>
      <c r="M685">
        <v>74</v>
      </c>
      <c r="N685">
        <v>5.91</v>
      </c>
      <c r="O685">
        <v>82</v>
      </c>
      <c r="P685">
        <v>-12.87</v>
      </c>
      <c r="Q685">
        <v>88</v>
      </c>
      <c r="R685">
        <v>5.23</v>
      </c>
      <c r="S685">
        <v>76</v>
      </c>
      <c r="T685">
        <v>3.24</v>
      </c>
      <c r="U685">
        <v>80</v>
      </c>
      <c r="V685">
        <v>7.4</v>
      </c>
      <c r="W685">
        <v>73</v>
      </c>
      <c r="X685" t="s">
        <v>94</v>
      </c>
      <c r="Y685" t="s">
        <v>1860</v>
      </c>
      <c r="Z685" t="s">
        <v>96</v>
      </c>
      <c r="AA685" t="s">
        <v>1942</v>
      </c>
      <c r="AB685" t="s">
        <v>5669</v>
      </c>
      <c r="AC685">
        <v>53</v>
      </c>
      <c r="AD685">
        <v>37</v>
      </c>
      <c r="AE685">
        <v>95</v>
      </c>
      <c r="AF685">
        <v>21.96</v>
      </c>
      <c r="AG685">
        <v>2.89</v>
      </c>
      <c r="AH685">
        <v>6.71</v>
      </c>
      <c r="AI685">
        <v>0.04</v>
      </c>
      <c r="AJ685">
        <v>0.1</v>
      </c>
      <c r="AK685">
        <v>74</v>
      </c>
      <c r="AL685">
        <v>54</v>
      </c>
      <c r="AM685">
        <v>38</v>
      </c>
      <c r="AN685">
        <v>-6.78</v>
      </c>
      <c r="AO685">
        <v>2.5099999999999998</v>
      </c>
      <c r="AP685">
        <v>117</v>
      </c>
      <c r="AQ685">
        <v>0</v>
      </c>
      <c r="AR685">
        <v>10.1</v>
      </c>
      <c r="AS685">
        <v>68</v>
      </c>
      <c r="AT685">
        <v>4.13</v>
      </c>
      <c r="AU685">
        <v>83</v>
      </c>
      <c r="AV685">
        <v>-2.85</v>
      </c>
      <c r="AW685">
        <v>94</v>
      </c>
      <c r="AX685">
        <v>0.39</v>
      </c>
      <c r="AY685">
        <v>74</v>
      </c>
      <c r="AZ685">
        <v>6.23</v>
      </c>
      <c r="BA685">
        <v>60</v>
      </c>
      <c r="BB685">
        <v>4.72</v>
      </c>
      <c r="BC685">
        <v>59</v>
      </c>
      <c r="BD685">
        <v>-0.02</v>
      </c>
      <c r="BE685">
        <v>-0.03</v>
      </c>
      <c r="BF685">
        <v>-0.03</v>
      </c>
      <c r="BG685">
        <v>85</v>
      </c>
      <c r="BH685">
        <v>0.09</v>
      </c>
      <c r="BI685">
        <v>-13.45</v>
      </c>
      <c r="BJ685">
        <v>5</v>
      </c>
      <c r="BK685">
        <v>5</v>
      </c>
      <c r="BL685">
        <v>-0.84</v>
      </c>
      <c r="BM685">
        <v>-0.53</v>
      </c>
      <c r="BN685">
        <v>-3.19</v>
      </c>
      <c r="BO685">
        <v>-1.98</v>
      </c>
      <c r="BP685">
        <v>1.28</v>
      </c>
      <c r="BQ685">
        <v>-1.29</v>
      </c>
      <c r="BR685">
        <v>0.24</v>
      </c>
      <c r="BS685">
        <v>-1.73</v>
      </c>
      <c r="BT685">
        <v>-1.1299999999999999</v>
      </c>
      <c r="BU685">
        <v>-0.74</v>
      </c>
      <c r="BV685">
        <v>-2.38</v>
      </c>
      <c r="BW685">
        <v>-2.09</v>
      </c>
      <c r="BX685">
        <v>-0.34</v>
      </c>
      <c r="BY685">
        <v>-2.0099999999999998</v>
      </c>
      <c r="BZ685">
        <v>-2.0499999999999998</v>
      </c>
      <c r="CA685">
        <v>-1.84</v>
      </c>
      <c r="CB685">
        <v>-1.69</v>
      </c>
      <c r="CC685">
        <v>-1.41</v>
      </c>
      <c r="CD685">
        <v>0.97</v>
      </c>
      <c r="CE685">
        <v>-1.31</v>
      </c>
      <c r="CF685">
        <v>-0.84</v>
      </c>
      <c r="CG685">
        <v>0</v>
      </c>
      <c r="CH685">
        <v>-1.58</v>
      </c>
      <c r="CI685">
        <v>0</v>
      </c>
      <c r="CJ685">
        <v>-4.7</v>
      </c>
      <c r="CK685">
        <v>90</v>
      </c>
      <c r="CL685">
        <v>-0.6</v>
      </c>
      <c r="CM685">
        <v>87</v>
      </c>
      <c r="CN685">
        <v>0.02</v>
      </c>
      <c r="CO685">
        <v>86</v>
      </c>
      <c r="CP685">
        <v>0.3</v>
      </c>
      <c r="CQ685">
        <v>76</v>
      </c>
      <c r="CR685">
        <v>0</v>
      </c>
      <c r="CS685">
        <v>0</v>
      </c>
      <c r="CT685">
        <v>9.4</v>
      </c>
      <c r="CU685">
        <v>80</v>
      </c>
      <c r="CV685">
        <v>0.14000000000000001</v>
      </c>
      <c r="CW685">
        <v>46</v>
      </c>
      <c r="CX685" t="s">
        <v>1951</v>
      </c>
    </row>
    <row r="686" spans="1:102" x14ac:dyDescent="0.3">
      <c r="A686" t="str">
        <f>HYPERLINK("https://webapp.icbf.com/v2/app/bull-search/view/1001392197","S1569")</f>
        <v>S1569</v>
      </c>
      <c r="B686" t="s">
        <v>9752</v>
      </c>
      <c r="C686" t="s">
        <v>9753</v>
      </c>
      <c r="D686" s="1">
        <v>40746</v>
      </c>
      <c r="E686" t="s">
        <v>92</v>
      </c>
      <c r="F686">
        <v>100</v>
      </c>
      <c r="G686" t="s">
        <v>109</v>
      </c>
      <c r="H686">
        <v>168.85</v>
      </c>
      <c r="I686">
        <v>80</v>
      </c>
      <c r="J686">
        <v>56.52</v>
      </c>
      <c r="K686">
        <v>93</v>
      </c>
      <c r="L686">
        <v>52.79</v>
      </c>
      <c r="M686">
        <v>84</v>
      </c>
      <c r="N686">
        <v>51.77</v>
      </c>
      <c r="O686">
        <v>70</v>
      </c>
      <c r="P686">
        <v>-8.33</v>
      </c>
      <c r="Q686">
        <v>65</v>
      </c>
      <c r="R686">
        <v>21.99</v>
      </c>
      <c r="S686">
        <v>74</v>
      </c>
      <c r="T686">
        <v>-6.08</v>
      </c>
      <c r="U686">
        <v>51</v>
      </c>
      <c r="V686">
        <v>0.19</v>
      </c>
      <c r="W686">
        <v>57</v>
      </c>
      <c r="X686" t="s">
        <v>234</v>
      </c>
      <c r="Y686" t="s">
        <v>362</v>
      </c>
      <c r="Z686" t="s">
        <v>96</v>
      </c>
      <c r="AA686" t="s">
        <v>2693</v>
      </c>
      <c r="AB686" t="s">
        <v>5655</v>
      </c>
      <c r="AC686">
        <v>0</v>
      </c>
      <c r="AD686">
        <v>0</v>
      </c>
      <c r="AE686">
        <v>93</v>
      </c>
      <c r="AF686">
        <v>446.84</v>
      </c>
      <c r="AG686">
        <v>7.89</v>
      </c>
      <c r="AH686">
        <v>13.66</v>
      </c>
      <c r="AI686">
        <v>-0.15</v>
      </c>
      <c r="AJ686">
        <v>-0.02</v>
      </c>
      <c r="AK686">
        <v>84</v>
      </c>
      <c r="AL686">
        <v>0</v>
      </c>
      <c r="AM686">
        <v>0</v>
      </c>
      <c r="AN686">
        <v>-1.33</v>
      </c>
      <c r="AO686">
        <v>2.9</v>
      </c>
      <c r="AP686">
        <v>33</v>
      </c>
      <c r="AQ686">
        <v>0</v>
      </c>
      <c r="AR686">
        <v>6.25</v>
      </c>
      <c r="AS686">
        <v>64</v>
      </c>
      <c r="AT686">
        <v>2.79</v>
      </c>
      <c r="AU686">
        <v>89</v>
      </c>
      <c r="AV686">
        <v>-5.29</v>
      </c>
      <c r="AW686">
        <v>75</v>
      </c>
      <c r="AX686">
        <v>-0.84</v>
      </c>
      <c r="AY686">
        <v>57</v>
      </c>
      <c r="AZ686">
        <v>5.94</v>
      </c>
      <c r="BA686">
        <v>46</v>
      </c>
      <c r="BB686">
        <v>4.83</v>
      </c>
      <c r="BC686">
        <v>43</v>
      </c>
      <c r="BD686">
        <v>-7.0000000000000007E-2</v>
      </c>
      <c r="BE686">
        <v>-0.11</v>
      </c>
      <c r="BF686">
        <v>-0.18</v>
      </c>
      <c r="BG686">
        <v>91</v>
      </c>
      <c r="BH686">
        <v>-0.01</v>
      </c>
      <c r="BI686">
        <v>-1.76</v>
      </c>
      <c r="BJ686">
        <v>4</v>
      </c>
      <c r="BK686">
        <v>4</v>
      </c>
      <c r="BL686">
        <v>1.2</v>
      </c>
      <c r="BM686">
        <v>-1.58</v>
      </c>
      <c r="BN686">
        <v>0.04</v>
      </c>
      <c r="BO686">
        <v>1.0900000000000001</v>
      </c>
      <c r="BP686">
        <v>1.27</v>
      </c>
      <c r="BQ686">
        <v>0.62</v>
      </c>
      <c r="BR686">
        <v>1.17</v>
      </c>
      <c r="BS686">
        <v>0.9</v>
      </c>
      <c r="BT686">
        <v>-1.47</v>
      </c>
      <c r="BU686">
        <v>3.31</v>
      </c>
      <c r="BV686">
        <v>2.19</v>
      </c>
      <c r="BW686">
        <v>3.19</v>
      </c>
      <c r="BX686">
        <v>2.63</v>
      </c>
      <c r="BY686">
        <v>2.91</v>
      </c>
      <c r="BZ686">
        <v>-2.92</v>
      </c>
      <c r="CA686">
        <v>2.37</v>
      </c>
      <c r="CB686">
        <v>2.38</v>
      </c>
      <c r="CC686">
        <v>0.99</v>
      </c>
      <c r="CD686">
        <v>-0.84</v>
      </c>
      <c r="CE686">
        <v>1.41</v>
      </c>
      <c r="CF686">
        <v>1.31</v>
      </c>
      <c r="CG686">
        <v>0</v>
      </c>
      <c r="CH686">
        <v>2.5</v>
      </c>
      <c r="CI686">
        <v>0</v>
      </c>
      <c r="CJ686">
        <v>-0.3</v>
      </c>
      <c r="CK686">
        <v>68</v>
      </c>
      <c r="CL686">
        <v>-1.48</v>
      </c>
      <c r="CM686">
        <v>64</v>
      </c>
      <c r="CN686">
        <v>-0.53</v>
      </c>
      <c r="CO686">
        <v>62</v>
      </c>
      <c r="CP686">
        <v>7.7</v>
      </c>
      <c r="CQ686">
        <v>55</v>
      </c>
      <c r="CR686">
        <v>0</v>
      </c>
      <c r="CS686">
        <v>0</v>
      </c>
      <c r="CT686">
        <v>22</v>
      </c>
      <c r="CU686">
        <v>51</v>
      </c>
      <c r="CV686">
        <v>0.3</v>
      </c>
      <c r="CW686">
        <v>39</v>
      </c>
      <c r="CX686" t="s">
        <v>309</v>
      </c>
    </row>
    <row r="687" spans="1:102" x14ac:dyDescent="0.3">
      <c r="A687" t="str">
        <f>HYPERLINK("https://webapp.icbf.com/v2/app/bull-search/view/992944850","JE4528")</f>
        <v>JE4528</v>
      </c>
      <c r="B687" t="s">
        <v>9510</v>
      </c>
      <c r="C687" t="s">
        <v>9511</v>
      </c>
      <c r="D687" s="1">
        <v>40765</v>
      </c>
      <c r="E687" t="s">
        <v>227</v>
      </c>
      <c r="F687">
        <v>38</v>
      </c>
      <c r="G687" t="s">
        <v>109</v>
      </c>
      <c r="H687">
        <v>168.75</v>
      </c>
      <c r="I687">
        <v>71</v>
      </c>
      <c r="J687">
        <v>107.77</v>
      </c>
      <c r="K687">
        <v>89</v>
      </c>
      <c r="L687">
        <v>17.829999999999998</v>
      </c>
      <c r="M687">
        <v>63</v>
      </c>
      <c r="N687">
        <v>48.19</v>
      </c>
      <c r="O687">
        <v>87</v>
      </c>
      <c r="P687">
        <v>-51.61</v>
      </c>
      <c r="Q687">
        <v>50</v>
      </c>
      <c r="R687">
        <v>-0.54</v>
      </c>
      <c r="S687">
        <v>60</v>
      </c>
      <c r="T687">
        <v>42.32</v>
      </c>
      <c r="U687">
        <v>42</v>
      </c>
      <c r="V687">
        <v>4.79</v>
      </c>
      <c r="W687">
        <v>54</v>
      </c>
      <c r="X687" t="s">
        <v>276</v>
      </c>
      <c r="Y687" t="s">
        <v>442</v>
      </c>
      <c r="Z687">
        <v>0</v>
      </c>
      <c r="AA687" t="s">
        <v>6360</v>
      </c>
      <c r="AB687" t="s">
        <v>144</v>
      </c>
      <c r="AC687">
        <v>0</v>
      </c>
      <c r="AD687">
        <v>0</v>
      </c>
      <c r="AE687">
        <v>89</v>
      </c>
      <c r="AF687">
        <v>-113.93</v>
      </c>
      <c r="AG687">
        <v>19.32</v>
      </c>
      <c r="AH687">
        <v>9.75</v>
      </c>
      <c r="AI687">
        <v>0.41</v>
      </c>
      <c r="AJ687">
        <v>0.24</v>
      </c>
      <c r="AK687">
        <v>63</v>
      </c>
      <c r="AL687">
        <v>0</v>
      </c>
      <c r="AM687">
        <v>0</v>
      </c>
      <c r="AN687">
        <v>1.23</v>
      </c>
      <c r="AO687">
        <v>2.68</v>
      </c>
      <c r="AP687">
        <v>1182</v>
      </c>
      <c r="AQ687">
        <v>0</v>
      </c>
      <c r="AR687">
        <v>4.97</v>
      </c>
      <c r="AS687">
        <v>94</v>
      </c>
      <c r="AT687">
        <v>1.88</v>
      </c>
      <c r="AU687">
        <v>95</v>
      </c>
      <c r="AV687">
        <v>-4.71</v>
      </c>
      <c r="AW687">
        <v>99</v>
      </c>
      <c r="AX687">
        <v>0.04</v>
      </c>
      <c r="AY687">
        <v>94</v>
      </c>
      <c r="AZ687">
        <v>7</v>
      </c>
      <c r="BA687">
        <v>36</v>
      </c>
      <c r="BB687">
        <v>5.65</v>
      </c>
      <c r="BC687">
        <v>36</v>
      </c>
      <c r="BD687">
        <v>-0.04</v>
      </c>
      <c r="BE687">
        <v>0.01</v>
      </c>
      <c r="BF687">
        <v>0.06</v>
      </c>
      <c r="BG687">
        <v>71</v>
      </c>
      <c r="BH687">
        <v>0.03</v>
      </c>
      <c r="BI687">
        <v>-11.98</v>
      </c>
      <c r="BJ687">
        <v>0</v>
      </c>
      <c r="BK687">
        <v>0</v>
      </c>
      <c r="BL687">
        <v>-2.72</v>
      </c>
      <c r="BM687">
        <v>-1.5</v>
      </c>
      <c r="BN687">
        <v>-0.89</v>
      </c>
      <c r="BO687">
        <v>0.51</v>
      </c>
      <c r="BP687">
        <v>-0.72</v>
      </c>
      <c r="BQ687">
        <v>-4.88</v>
      </c>
      <c r="BR687">
        <v>2.73</v>
      </c>
      <c r="BS687">
        <v>2.82</v>
      </c>
      <c r="BT687">
        <v>-1.82</v>
      </c>
      <c r="BU687">
        <v>-0.76</v>
      </c>
      <c r="BV687">
        <v>-0.52</v>
      </c>
      <c r="BW687">
        <v>-1.58</v>
      </c>
      <c r="BX687">
        <v>-2.86</v>
      </c>
      <c r="BY687">
        <v>-0.31</v>
      </c>
      <c r="BZ687">
        <v>-1.35</v>
      </c>
      <c r="CA687">
        <v>0.12</v>
      </c>
      <c r="CB687">
        <v>-0.45</v>
      </c>
      <c r="CC687">
        <v>1.43</v>
      </c>
      <c r="CD687">
        <v>-1.6</v>
      </c>
      <c r="CE687">
        <v>0.31</v>
      </c>
      <c r="CF687">
        <v>-3.05</v>
      </c>
      <c r="CG687">
        <v>0</v>
      </c>
      <c r="CH687">
        <v>-0.33</v>
      </c>
      <c r="CI687">
        <v>0</v>
      </c>
      <c r="CJ687">
        <v>-27.4</v>
      </c>
      <c r="CK687">
        <v>56</v>
      </c>
      <c r="CL687">
        <v>-0.92</v>
      </c>
      <c r="CM687">
        <v>41</v>
      </c>
      <c r="CN687">
        <v>-0.11</v>
      </c>
      <c r="CO687">
        <v>41</v>
      </c>
      <c r="CP687">
        <v>-37.299999999999997</v>
      </c>
      <c r="CQ687">
        <v>44</v>
      </c>
      <c r="CR687">
        <v>0</v>
      </c>
      <c r="CS687">
        <v>0</v>
      </c>
      <c r="CT687">
        <v>-43.4</v>
      </c>
      <c r="CU687">
        <v>42</v>
      </c>
      <c r="CV687">
        <v>-0.18</v>
      </c>
      <c r="CW687">
        <v>34</v>
      </c>
      <c r="CX687" t="s">
        <v>333</v>
      </c>
    </row>
    <row r="688" spans="1:102" x14ac:dyDescent="0.3">
      <c r="A688" t="str">
        <f>HYPERLINK("https://webapp.icbf.com/v2/app/bull-search/view/760391811","GFS")</f>
        <v>GFS</v>
      </c>
      <c r="B688" t="s">
        <v>9079</v>
      </c>
      <c r="C688" t="s">
        <v>9080</v>
      </c>
      <c r="D688" s="1">
        <v>40006</v>
      </c>
      <c r="E688" t="s">
        <v>92</v>
      </c>
      <c r="F688">
        <v>50</v>
      </c>
      <c r="G688" t="s">
        <v>93</v>
      </c>
      <c r="H688">
        <v>168.72</v>
      </c>
      <c r="I688">
        <v>94</v>
      </c>
      <c r="J688">
        <v>72.5</v>
      </c>
      <c r="K688">
        <v>99</v>
      </c>
      <c r="L688">
        <v>52.23</v>
      </c>
      <c r="M688">
        <v>91</v>
      </c>
      <c r="N688">
        <v>40.630000000000003</v>
      </c>
      <c r="O688">
        <v>95</v>
      </c>
      <c r="P688">
        <v>-37.51</v>
      </c>
      <c r="Q688">
        <v>98</v>
      </c>
      <c r="R688">
        <v>6.78</v>
      </c>
      <c r="S688">
        <v>87</v>
      </c>
      <c r="T688">
        <v>24.85</v>
      </c>
      <c r="U688">
        <v>96</v>
      </c>
      <c r="V688">
        <v>9.24</v>
      </c>
      <c r="W688">
        <v>78</v>
      </c>
      <c r="X688" t="s">
        <v>276</v>
      </c>
      <c r="Y688" t="s">
        <v>329</v>
      </c>
      <c r="Z688" t="s">
        <v>330</v>
      </c>
      <c r="AA688" t="s">
        <v>331</v>
      </c>
      <c r="AB688" t="s">
        <v>9081</v>
      </c>
      <c r="AC688">
        <v>479</v>
      </c>
      <c r="AD688">
        <v>158</v>
      </c>
      <c r="AE688">
        <v>99</v>
      </c>
      <c r="AF688">
        <v>216.91</v>
      </c>
      <c r="AG688">
        <v>14.19</v>
      </c>
      <c r="AH688">
        <v>10.63</v>
      </c>
      <c r="AI688">
        <v>0.1</v>
      </c>
      <c r="AJ688">
        <v>0.06</v>
      </c>
      <c r="AK688">
        <v>91</v>
      </c>
      <c r="AL688">
        <v>592</v>
      </c>
      <c r="AM688">
        <v>183</v>
      </c>
      <c r="AN688">
        <v>-2.46</v>
      </c>
      <c r="AO688">
        <v>1.71</v>
      </c>
      <c r="AP688">
        <v>1169</v>
      </c>
      <c r="AQ688">
        <v>8</v>
      </c>
      <c r="AR688">
        <v>4.66</v>
      </c>
      <c r="AS688">
        <v>91</v>
      </c>
      <c r="AT688">
        <v>1.85</v>
      </c>
      <c r="AU688">
        <v>97</v>
      </c>
      <c r="AV688">
        <v>-3.53</v>
      </c>
      <c r="AW688">
        <v>99</v>
      </c>
      <c r="AX688">
        <v>0.53</v>
      </c>
      <c r="AY688">
        <v>95</v>
      </c>
      <c r="AZ688">
        <v>6.81</v>
      </c>
      <c r="BA688">
        <v>87</v>
      </c>
      <c r="BB688">
        <v>5.27</v>
      </c>
      <c r="BC688">
        <v>86</v>
      </c>
      <c r="BD688">
        <v>-0.03</v>
      </c>
      <c r="BE688">
        <v>-0.04</v>
      </c>
      <c r="BF688">
        <v>-0.03</v>
      </c>
      <c r="BG688">
        <v>96</v>
      </c>
      <c r="BH688">
        <v>0.05</v>
      </c>
      <c r="BI688">
        <v>-24.03</v>
      </c>
      <c r="BJ688">
        <v>7</v>
      </c>
      <c r="BK688">
        <v>5</v>
      </c>
      <c r="BL688">
        <v>-2.2000000000000002</v>
      </c>
      <c r="BM688">
        <v>1.49</v>
      </c>
      <c r="BN688">
        <v>0.02</v>
      </c>
      <c r="BO688">
        <v>-1.01</v>
      </c>
      <c r="BP688">
        <v>0.53</v>
      </c>
      <c r="BQ688">
        <v>-2.4500000000000002</v>
      </c>
      <c r="BR688">
        <v>2.68</v>
      </c>
      <c r="BS688">
        <v>-0.82</v>
      </c>
      <c r="BT688">
        <v>-2.2400000000000002</v>
      </c>
      <c r="BU688">
        <v>-0.4</v>
      </c>
      <c r="BV688">
        <v>-0.71</v>
      </c>
      <c r="BW688">
        <v>-1.26</v>
      </c>
      <c r="BX688">
        <v>-1.86</v>
      </c>
      <c r="BY688">
        <v>-0.26</v>
      </c>
      <c r="BZ688">
        <v>0.8</v>
      </c>
      <c r="CA688">
        <v>-1.2</v>
      </c>
      <c r="CB688">
        <v>-0.76</v>
      </c>
      <c r="CC688">
        <v>-1.29</v>
      </c>
      <c r="CD688">
        <v>1.9</v>
      </c>
      <c r="CE688">
        <v>-0.59</v>
      </c>
      <c r="CF688">
        <v>-2.35</v>
      </c>
      <c r="CG688">
        <v>0</v>
      </c>
      <c r="CH688">
        <v>0.05</v>
      </c>
      <c r="CI688">
        <v>0</v>
      </c>
      <c r="CJ688">
        <v>-15.1</v>
      </c>
      <c r="CK688">
        <v>99</v>
      </c>
      <c r="CL688">
        <v>-0.79</v>
      </c>
      <c r="CM688">
        <v>98</v>
      </c>
      <c r="CN688">
        <v>0.42</v>
      </c>
      <c r="CO688">
        <v>98</v>
      </c>
      <c r="CP688">
        <v>-24</v>
      </c>
      <c r="CQ688">
        <v>94</v>
      </c>
      <c r="CR688">
        <v>0</v>
      </c>
      <c r="CS688">
        <v>0</v>
      </c>
      <c r="CT688">
        <v>-19.8</v>
      </c>
      <c r="CU688">
        <v>96</v>
      </c>
      <c r="CV688">
        <v>0.15</v>
      </c>
      <c r="CW688">
        <v>46</v>
      </c>
      <c r="CX688" t="s">
        <v>1831</v>
      </c>
    </row>
    <row r="689" spans="1:102" x14ac:dyDescent="0.3">
      <c r="A689" t="str">
        <f>HYPERLINK("https://webapp.icbf.com/v2/app/bull-search/view/124414521","CWJ")</f>
        <v>CWJ</v>
      </c>
      <c r="B689" t="s">
        <v>4058</v>
      </c>
      <c r="C689" t="s">
        <v>4059</v>
      </c>
      <c r="D689" s="1">
        <v>35297</v>
      </c>
      <c r="E689" t="s">
        <v>92</v>
      </c>
      <c r="F689">
        <v>63</v>
      </c>
      <c r="G689" t="s">
        <v>93</v>
      </c>
      <c r="H689">
        <v>168.6</v>
      </c>
      <c r="I689">
        <v>98</v>
      </c>
      <c r="J689">
        <v>49.07</v>
      </c>
      <c r="K689">
        <v>99</v>
      </c>
      <c r="L689">
        <v>74.16</v>
      </c>
      <c r="M689">
        <v>97</v>
      </c>
      <c r="N689">
        <v>40.54</v>
      </c>
      <c r="O689">
        <v>99</v>
      </c>
      <c r="P689">
        <v>-28.42</v>
      </c>
      <c r="Q689">
        <v>99</v>
      </c>
      <c r="R689">
        <v>-2.23</v>
      </c>
      <c r="S689">
        <v>99</v>
      </c>
      <c r="T689">
        <v>34.840000000000003</v>
      </c>
      <c r="U689">
        <v>99</v>
      </c>
      <c r="V689">
        <v>0.64</v>
      </c>
      <c r="W689">
        <v>99</v>
      </c>
      <c r="X689" t="s">
        <v>302</v>
      </c>
      <c r="Y689" t="s">
        <v>95</v>
      </c>
      <c r="Z689" t="s">
        <v>96</v>
      </c>
      <c r="AA689" t="s">
        <v>1089</v>
      </c>
      <c r="AB689" t="s">
        <v>4060</v>
      </c>
      <c r="AC689">
        <v>3559</v>
      </c>
      <c r="AD689">
        <v>863</v>
      </c>
      <c r="AE689">
        <v>99</v>
      </c>
      <c r="AF689">
        <v>20.76</v>
      </c>
      <c r="AG689">
        <v>10.58</v>
      </c>
      <c r="AH689">
        <v>4.92</v>
      </c>
      <c r="AI689">
        <v>0.17</v>
      </c>
      <c r="AJ689">
        <v>7.0000000000000007E-2</v>
      </c>
      <c r="AK689">
        <v>97</v>
      </c>
      <c r="AL689">
        <v>3590</v>
      </c>
      <c r="AM689">
        <v>853</v>
      </c>
      <c r="AN689">
        <v>-2.79</v>
      </c>
      <c r="AO689">
        <v>3.14</v>
      </c>
      <c r="AP689">
        <v>5908</v>
      </c>
      <c r="AQ689">
        <v>32</v>
      </c>
      <c r="AR689">
        <v>4.21</v>
      </c>
      <c r="AS689">
        <v>99</v>
      </c>
      <c r="AT689">
        <v>1.8</v>
      </c>
      <c r="AU689">
        <v>99</v>
      </c>
      <c r="AV689">
        <v>-3.66</v>
      </c>
      <c r="AW689">
        <v>99</v>
      </c>
      <c r="AX689">
        <v>0.22</v>
      </c>
      <c r="AY689">
        <v>99</v>
      </c>
      <c r="AZ689">
        <v>7.38</v>
      </c>
      <c r="BA689">
        <v>98</v>
      </c>
      <c r="BB689">
        <v>5.66</v>
      </c>
      <c r="BC689">
        <v>99</v>
      </c>
      <c r="BD689">
        <v>-0.04</v>
      </c>
      <c r="BE689">
        <v>0.02</v>
      </c>
      <c r="BF689">
        <v>0.08</v>
      </c>
      <c r="BG689">
        <v>99</v>
      </c>
      <c r="BH689">
        <v>0.09</v>
      </c>
      <c r="BI689">
        <v>8.34</v>
      </c>
      <c r="BJ689">
        <v>141</v>
      </c>
      <c r="BK689">
        <v>62</v>
      </c>
      <c r="BL689">
        <v>-1.64</v>
      </c>
      <c r="BM689">
        <v>-2.0099999999999998</v>
      </c>
      <c r="BN689">
        <v>-2.44</v>
      </c>
      <c r="BO689">
        <v>-0.76</v>
      </c>
      <c r="BP689">
        <v>3.53</v>
      </c>
      <c r="BQ689">
        <v>-3.95</v>
      </c>
      <c r="BR689">
        <v>0.37</v>
      </c>
      <c r="BS689">
        <v>-2.42</v>
      </c>
      <c r="BT689">
        <v>-0.79</v>
      </c>
      <c r="BU689">
        <v>-1.38</v>
      </c>
      <c r="BV689">
        <v>-0.74</v>
      </c>
      <c r="BW689">
        <v>-0.09</v>
      </c>
      <c r="BX689">
        <v>0.1</v>
      </c>
      <c r="BY689">
        <v>1</v>
      </c>
      <c r="BZ689">
        <v>0.14000000000000001</v>
      </c>
      <c r="CA689">
        <v>-1.28</v>
      </c>
      <c r="CB689">
        <v>-0.67</v>
      </c>
      <c r="CC689">
        <v>-2.0099999999999998</v>
      </c>
      <c r="CD689">
        <v>-1.1599999999999999</v>
      </c>
      <c r="CE689">
        <v>-1.06</v>
      </c>
      <c r="CF689">
        <v>-3.01</v>
      </c>
      <c r="CG689">
        <v>0</v>
      </c>
      <c r="CH689">
        <v>1.1299999999999999</v>
      </c>
      <c r="CI689">
        <v>0</v>
      </c>
      <c r="CJ689">
        <v>-12.7</v>
      </c>
      <c r="CK689">
        <v>99</v>
      </c>
      <c r="CL689">
        <v>-0.82</v>
      </c>
      <c r="CM689">
        <v>99</v>
      </c>
      <c r="CN689">
        <v>-0.16</v>
      </c>
      <c r="CO689">
        <v>99</v>
      </c>
      <c r="CP689">
        <v>-28.7</v>
      </c>
      <c r="CQ689">
        <v>99</v>
      </c>
      <c r="CR689">
        <v>0</v>
      </c>
      <c r="CS689">
        <v>0</v>
      </c>
      <c r="CT689">
        <v>-33.299999999999997</v>
      </c>
      <c r="CU689">
        <v>99</v>
      </c>
      <c r="CV689">
        <v>-0.08</v>
      </c>
      <c r="CW689">
        <v>50</v>
      </c>
      <c r="CX689" t="s">
        <v>4061</v>
      </c>
    </row>
    <row r="690" spans="1:102" x14ac:dyDescent="0.3">
      <c r="A690" t="str">
        <f>HYPERLINK("https://webapp.icbf.com/v2/app/bull-search/view/440927687","LTW")</f>
        <v>LTW</v>
      </c>
      <c r="B690" t="s">
        <v>11938</v>
      </c>
      <c r="C690" t="s">
        <v>11939</v>
      </c>
      <c r="D690" s="1">
        <v>38730</v>
      </c>
      <c r="E690" t="s">
        <v>92</v>
      </c>
      <c r="F690">
        <v>97</v>
      </c>
      <c r="G690" t="s">
        <v>93</v>
      </c>
      <c r="H690">
        <v>168.6</v>
      </c>
      <c r="I690">
        <v>90</v>
      </c>
      <c r="J690">
        <v>19.12</v>
      </c>
      <c r="K690">
        <v>98</v>
      </c>
      <c r="L690">
        <v>70.180000000000007</v>
      </c>
      <c r="M690">
        <v>83</v>
      </c>
      <c r="N690">
        <v>50.44</v>
      </c>
      <c r="O690">
        <v>89</v>
      </c>
      <c r="P690">
        <v>-2.31</v>
      </c>
      <c r="Q690">
        <v>94</v>
      </c>
      <c r="R690">
        <v>12.64</v>
      </c>
      <c r="S690">
        <v>85</v>
      </c>
      <c r="T690">
        <v>11.31</v>
      </c>
      <c r="U690">
        <v>90</v>
      </c>
      <c r="V690">
        <v>7.22</v>
      </c>
      <c r="W690">
        <v>85</v>
      </c>
      <c r="X690" t="s">
        <v>94</v>
      </c>
      <c r="Y690" t="s">
        <v>228</v>
      </c>
      <c r="Z690" t="s">
        <v>96</v>
      </c>
      <c r="AA690" t="s">
        <v>1165</v>
      </c>
      <c r="AB690" t="s">
        <v>11940</v>
      </c>
      <c r="AC690">
        <v>111</v>
      </c>
      <c r="AD690">
        <v>84</v>
      </c>
      <c r="AE690">
        <v>98</v>
      </c>
      <c r="AF690">
        <v>-114.21</v>
      </c>
      <c r="AG690">
        <v>6.68</v>
      </c>
      <c r="AH690">
        <v>-0.86</v>
      </c>
      <c r="AI690">
        <v>0.2</v>
      </c>
      <c r="AJ690">
        <v>0.05</v>
      </c>
      <c r="AK690">
        <v>83</v>
      </c>
      <c r="AL690">
        <v>107</v>
      </c>
      <c r="AM690">
        <v>79</v>
      </c>
      <c r="AN690">
        <v>-4.3499999999999996</v>
      </c>
      <c r="AO690">
        <v>1.24</v>
      </c>
      <c r="AP690">
        <v>282</v>
      </c>
      <c r="AQ690">
        <v>2</v>
      </c>
      <c r="AR690">
        <v>4.2300000000000004</v>
      </c>
      <c r="AS690">
        <v>77</v>
      </c>
      <c r="AT690">
        <v>1.56</v>
      </c>
      <c r="AU690">
        <v>91</v>
      </c>
      <c r="AV690">
        <v>-3.73</v>
      </c>
      <c r="AW690">
        <v>97</v>
      </c>
      <c r="AX690">
        <v>0.03</v>
      </c>
      <c r="AY690">
        <v>85</v>
      </c>
      <c r="AZ690">
        <v>5.4</v>
      </c>
      <c r="BA690">
        <v>72</v>
      </c>
      <c r="BB690">
        <v>4.78</v>
      </c>
      <c r="BC690">
        <v>74</v>
      </c>
      <c r="BD690">
        <v>-0.04</v>
      </c>
      <c r="BE690">
        <v>-0.06</v>
      </c>
      <c r="BF690">
        <v>-0.11</v>
      </c>
      <c r="BG690">
        <v>91</v>
      </c>
      <c r="BH690">
        <v>0.28000000000000003</v>
      </c>
      <c r="BI690">
        <v>9.1</v>
      </c>
      <c r="BJ690">
        <v>18</v>
      </c>
      <c r="BK690">
        <v>16</v>
      </c>
      <c r="BL690">
        <v>-0.11</v>
      </c>
      <c r="BM690">
        <v>0.2</v>
      </c>
      <c r="BN690">
        <v>0.34</v>
      </c>
      <c r="BO690">
        <v>-0.11</v>
      </c>
      <c r="BP690">
        <v>4.0199999999999996</v>
      </c>
      <c r="BQ690">
        <v>-1.68</v>
      </c>
      <c r="BR690">
        <v>-0.18</v>
      </c>
      <c r="BS690">
        <v>-0.52</v>
      </c>
      <c r="BT690">
        <v>-0.2</v>
      </c>
      <c r="BU690">
        <v>-0.28999999999999998</v>
      </c>
      <c r="BV690">
        <v>-0.44</v>
      </c>
      <c r="BW690">
        <v>-7.0000000000000007E-2</v>
      </c>
      <c r="BX690">
        <v>0.09</v>
      </c>
      <c r="BY690">
        <v>-0.99</v>
      </c>
      <c r="BZ690">
        <v>0.49</v>
      </c>
      <c r="CA690">
        <v>-0.34</v>
      </c>
      <c r="CB690">
        <v>-0.27</v>
      </c>
      <c r="CC690">
        <v>-0.39</v>
      </c>
      <c r="CD690">
        <v>0.56999999999999995</v>
      </c>
      <c r="CE690">
        <v>0.39</v>
      </c>
      <c r="CF690">
        <v>0.17</v>
      </c>
      <c r="CG690">
        <v>0</v>
      </c>
      <c r="CH690">
        <v>-1.53</v>
      </c>
      <c r="CI690">
        <v>0</v>
      </c>
      <c r="CJ690">
        <v>1.1000000000000001</v>
      </c>
      <c r="CK690">
        <v>95</v>
      </c>
      <c r="CL690">
        <v>-0.7</v>
      </c>
      <c r="CM690">
        <v>93</v>
      </c>
      <c r="CN690">
        <v>-0.34</v>
      </c>
      <c r="CO690">
        <v>93</v>
      </c>
      <c r="CP690">
        <v>-3.9</v>
      </c>
      <c r="CQ690">
        <v>91</v>
      </c>
      <c r="CR690">
        <v>0</v>
      </c>
      <c r="CS690">
        <v>0</v>
      </c>
      <c r="CT690">
        <v>-1.5</v>
      </c>
      <c r="CU690">
        <v>90</v>
      </c>
      <c r="CV690">
        <v>0.2</v>
      </c>
      <c r="CW690">
        <v>47</v>
      </c>
      <c r="CX690" t="s">
        <v>2775</v>
      </c>
    </row>
    <row r="691" spans="1:102" x14ac:dyDescent="0.3">
      <c r="A691" t="str">
        <f>HYPERLINK("https://webapp.icbf.com/v2/app/bull-search/view/1058133661","RRS")</f>
        <v>RRS</v>
      </c>
      <c r="B691" t="s">
        <v>2039</v>
      </c>
      <c r="C691" t="s">
        <v>2040</v>
      </c>
      <c r="D691" s="1">
        <v>41360</v>
      </c>
      <c r="E691" t="s">
        <v>92</v>
      </c>
      <c r="F691">
        <v>91</v>
      </c>
      <c r="G691" t="s">
        <v>93</v>
      </c>
      <c r="H691">
        <v>168.54</v>
      </c>
      <c r="I691">
        <v>92</v>
      </c>
      <c r="J691">
        <v>96.87</v>
      </c>
      <c r="K691">
        <v>99</v>
      </c>
      <c r="L691">
        <v>43.12</v>
      </c>
      <c r="M691">
        <v>85</v>
      </c>
      <c r="N691">
        <v>27.61</v>
      </c>
      <c r="O691">
        <v>94</v>
      </c>
      <c r="P691">
        <v>-17.559999999999999</v>
      </c>
      <c r="Q691">
        <v>98</v>
      </c>
      <c r="R691">
        <v>-4.41</v>
      </c>
      <c r="S691">
        <v>88</v>
      </c>
      <c r="T691">
        <v>20.260000000000002</v>
      </c>
      <c r="U691">
        <v>90</v>
      </c>
      <c r="V691">
        <v>2.65</v>
      </c>
      <c r="W691">
        <v>79</v>
      </c>
      <c r="X691" t="s">
        <v>94</v>
      </c>
      <c r="Y691" t="s">
        <v>389</v>
      </c>
      <c r="Z691" t="s">
        <v>96</v>
      </c>
      <c r="AA691" t="s">
        <v>2041</v>
      </c>
      <c r="AB691" t="s">
        <v>2042</v>
      </c>
      <c r="AC691">
        <v>739</v>
      </c>
      <c r="AD691">
        <v>257</v>
      </c>
      <c r="AE691">
        <v>99</v>
      </c>
      <c r="AF691">
        <v>133.01</v>
      </c>
      <c r="AG691">
        <v>11.76</v>
      </c>
      <c r="AH691">
        <v>14.35</v>
      </c>
      <c r="AI691">
        <v>0.11</v>
      </c>
      <c r="AJ691">
        <v>0.17</v>
      </c>
      <c r="AK691">
        <v>85</v>
      </c>
      <c r="AL691">
        <v>670</v>
      </c>
      <c r="AM691">
        <v>270</v>
      </c>
      <c r="AN691">
        <v>-1.48</v>
      </c>
      <c r="AO691">
        <v>1.97</v>
      </c>
      <c r="AP691">
        <v>1627</v>
      </c>
      <c r="AQ691">
        <v>4</v>
      </c>
      <c r="AR691">
        <v>5.81</v>
      </c>
      <c r="AS691">
        <v>90</v>
      </c>
      <c r="AT691">
        <v>2.65</v>
      </c>
      <c r="AU691">
        <v>97</v>
      </c>
      <c r="AV691">
        <v>-2.95</v>
      </c>
      <c r="AW691">
        <v>99</v>
      </c>
      <c r="AX691">
        <v>0.52</v>
      </c>
      <c r="AY691">
        <v>96</v>
      </c>
      <c r="AZ691">
        <v>7.09</v>
      </c>
      <c r="BA691">
        <v>88</v>
      </c>
      <c r="BB691">
        <v>5.32</v>
      </c>
      <c r="BC691">
        <v>79</v>
      </c>
      <c r="BD691">
        <v>-0.01</v>
      </c>
      <c r="BE691">
        <v>0.02</v>
      </c>
      <c r="BF691">
        <v>0.08</v>
      </c>
      <c r="BG691">
        <v>97</v>
      </c>
      <c r="BH691">
        <v>0.16</v>
      </c>
      <c r="BI691">
        <v>9.9600000000000009</v>
      </c>
      <c r="BJ691">
        <v>43</v>
      </c>
      <c r="BK691">
        <v>5</v>
      </c>
      <c r="BL691">
        <v>-1.51</v>
      </c>
      <c r="BM691">
        <v>-1.59</v>
      </c>
      <c r="BN691">
        <v>-2.62</v>
      </c>
      <c r="BO691">
        <v>-1.31</v>
      </c>
      <c r="BP691">
        <v>0.02</v>
      </c>
      <c r="BQ691">
        <v>-2.52</v>
      </c>
      <c r="BR691">
        <v>2.9</v>
      </c>
      <c r="BS691">
        <v>-2.93</v>
      </c>
      <c r="BT691">
        <v>-2.02</v>
      </c>
      <c r="BU691">
        <v>-0.57999999999999996</v>
      </c>
      <c r="BV691">
        <v>-0.74</v>
      </c>
      <c r="BW691">
        <v>-0.01</v>
      </c>
      <c r="BX691">
        <v>-1.31</v>
      </c>
      <c r="BY691">
        <v>1.81</v>
      </c>
      <c r="BZ691">
        <v>-2.6</v>
      </c>
      <c r="CA691">
        <v>-1.86</v>
      </c>
      <c r="CB691">
        <v>-0.74</v>
      </c>
      <c r="CC691">
        <v>-3.29</v>
      </c>
      <c r="CD691">
        <v>-1.77</v>
      </c>
      <c r="CE691">
        <v>-1.31</v>
      </c>
      <c r="CF691">
        <v>-3.07</v>
      </c>
      <c r="CG691">
        <v>0</v>
      </c>
      <c r="CH691">
        <v>1.96</v>
      </c>
      <c r="CI691">
        <v>0</v>
      </c>
      <c r="CJ691">
        <v>-8.9</v>
      </c>
      <c r="CK691">
        <v>99</v>
      </c>
      <c r="CL691">
        <v>-0.63</v>
      </c>
      <c r="CM691">
        <v>98</v>
      </c>
      <c r="CN691">
        <v>-0.24</v>
      </c>
      <c r="CO691">
        <v>98</v>
      </c>
      <c r="CP691">
        <v>-10.6</v>
      </c>
      <c r="CQ691">
        <v>90</v>
      </c>
      <c r="CR691">
        <v>0</v>
      </c>
      <c r="CS691">
        <v>0</v>
      </c>
      <c r="CT691">
        <v>-13.6</v>
      </c>
      <c r="CU691">
        <v>90</v>
      </c>
      <c r="CV691">
        <v>-0.09</v>
      </c>
      <c r="CW691">
        <v>48</v>
      </c>
      <c r="CX691" t="s">
        <v>725</v>
      </c>
    </row>
    <row r="692" spans="1:102" x14ac:dyDescent="0.3">
      <c r="A692" t="str">
        <f>HYPERLINK("https://webapp.icbf.com/v2/app/bull-search/view/393250221","LCK")</f>
        <v>LCK</v>
      </c>
      <c r="B692" t="s">
        <v>5158</v>
      </c>
      <c r="C692" t="s">
        <v>5159</v>
      </c>
      <c r="D692" s="1">
        <v>38386</v>
      </c>
      <c r="E692" t="s">
        <v>92</v>
      </c>
      <c r="F692">
        <v>100</v>
      </c>
      <c r="G692" t="s">
        <v>93</v>
      </c>
      <c r="H692">
        <v>168.49</v>
      </c>
      <c r="I692">
        <v>97</v>
      </c>
      <c r="J692">
        <v>106.08</v>
      </c>
      <c r="K692">
        <v>99</v>
      </c>
      <c r="L692">
        <v>13.17</v>
      </c>
      <c r="M692">
        <v>95</v>
      </c>
      <c r="N692">
        <v>47.25</v>
      </c>
      <c r="O692">
        <v>98</v>
      </c>
      <c r="P692">
        <v>-6.43</v>
      </c>
      <c r="Q692">
        <v>99</v>
      </c>
      <c r="R692">
        <v>7.31</v>
      </c>
      <c r="S692">
        <v>95</v>
      </c>
      <c r="T692">
        <v>0.43</v>
      </c>
      <c r="U692">
        <v>99</v>
      </c>
      <c r="V692">
        <v>0.68</v>
      </c>
      <c r="W692">
        <v>95</v>
      </c>
      <c r="X692" t="s">
        <v>102</v>
      </c>
      <c r="Y692" t="s">
        <v>228</v>
      </c>
      <c r="Z692" t="s">
        <v>96</v>
      </c>
      <c r="AA692" t="s">
        <v>316</v>
      </c>
      <c r="AB692" t="s">
        <v>5160</v>
      </c>
      <c r="AC692">
        <v>2005</v>
      </c>
      <c r="AD692">
        <v>598</v>
      </c>
      <c r="AE692">
        <v>99</v>
      </c>
      <c r="AF692">
        <v>512.49</v>
      </c>
      <c r="AG692">
        <v>21.84</v>
      </c>
      <c r="AH692">
        <v>18.16</v>
      </c>
      <c r="AI692">
        <v>0.03</v>
      </c>
      <c r="AJ692">
        <v>0.01</v>
      </c>
      <c r="AK692">
        <v>95</v>
      </c>
      <c r="AL692">
        <v>2315</v>
      </c>
      <c r="AM692">
        <v>722</v>
      </c>
      <c r="AN692">
        <v>-0.71</v>
      </c>
      <c r="AO692">
        <v>0.34</v>
      </c>
      <c r="AP692">
        <v>4585</v>
      </c>
      <c r="AQ692">
        <v>22</v>
      </c>
      <c r="AR692">
        <v>4.55</v>
      </c>
      <c r="AS692">
        <v>98</v>
      </c>
      <c r="AT692">
        <v>1.94</v>
      </c>
      <c r="AU692">
        <v>99</v>
      </c>
      <c r="AV692">
        <v>-3.81</v>
      </c>
      <c r="AW692">
        <v>99</v>
      </c>
      <c r="AX692">
        <v>-0.53</v>
      </c>
      <c r="AY692">
        <v>99</v>
      </c>
      <c r="AZ692">
        <v>6.28</v>
      </c>
      <c r="BA692">
        <v>96</v>
      </c>
      <c r="BB692">
        <v>5.03</v>
      </c>
      <c r="BC692">
        <v>95</v>
      </c>
      <c r="BD692">
        <v>-0.03</v>
      </c>
      <c r="BE692">
        <v>-0.02</v>
      </c>
      <c r="BF692">
        <v>-0.08</v>
      </c>
      <c r="BG692">
        <v>99</v>
      </c>
      <c r="BH692">
        <v>0</v>
      </c>
      <c r="BI692">
        <v>-2.1800000000000002</v>
      </c>
      <c r="BJ692">
        <v>218</v>
      </c>
      <c r="BK692">
        <v>96</v>
      </c>
      <c r="BL692">
        <v>0.55000000000000004</v>
      </c>
      <c r="BM692">
        <v>-0.24</v>
      </c>
      <c r="BN692">
        <v>-0.28999999999999998</v>
      </c>
      <c r="BO692">
        <v>0.21</v>
      </c>
      <c r="BP692">
        <v>1.62</v>
      </c>
      <c r="BQ692">
        <v>-0.61</v>
      </c>
      <c r="BR692">
        <v>1.44</v>
      </c>
      <c r="BS692">
        <v>-1.51</v>
      </c>
      <c r="BT692">
        <v>-1.45</v>
      </c>
      <c r="BU692">
        <v>1.8</v>
      </c>
      <c r="BV692">
        <v>1.2</v>
      </c>
      <c r="BW692">
        <v>0.23</v>
      </c>
      <c r="BX692">
        <v>1.88</v>
      </c>
      <c r="BY692">
        <v>0.87</v>
      </c>
      <c r="BZ692">
        <v>0.88</v>
      </c>
      <c r="CA692">
        <v>0.72</v>
      </c>
      <c r="CB692">
        <v>1.0900000000000001</v>
      </c>
      <c r="CC692">
        <v>-0.64</v>
      </c>
      <c r="CD692">
        <v>-0.28999999999999998</v>
      </c>
      <c r="CE692">
        <v>0.6</v>
      </c>
      <c r="CF692">
        <v>0.14000000000000001</v>
      </c>
      <c r="CG692">
        <v>0</v>
      </c>
      <c r="CH692">
        <v>0.98</v>
      </c>
      <c r="CI692">
        <v>0</v>
      </c>
      <c r="CJ692">
        <v>1.2</v>
      </c>
      <c r="CK692">
        <v>99</v>
      </c>
      <c r="CL692">
        <v>-0.94</v>
      </c>
      <c r="CM692">
        <v>99</v>
      </c>
      <c r="CN692">
        <v>-0.12</v>
      </c>
      <c r="CO692">
        <v>99</v>
      </c>
      <c r="CP692">
        <v>1.4</v>
      </c>
      <c r="CQ692">
        <v>99</v>
      </c>
      <c r="CR692">
        <v>0</v>
      </c>
      <c r="CS692">
        <v>0</v>
      </c>
      <c r="CT692">
        <v>13.2</v>
      </c>
      <c r="CU692">
        <v>99</v>
      </c>
      <c r="CV692">
        <v>0.34</v>
      </c>
      <c r="CW692">
        <v>49</v>
      </c>
      <c r="CX692" t="s">
        <v>714</v>
      </c>
    </row>
    <row r="693" spans="1:102" x14ac:dyDescent="0.3">
      <c r="A693" t="str">
        <f>HYPERLINK("https://webapp.icbf.com/v2/app/bull-search/view/1039856326","S2179")</f>
        <v>S2179</v>
      </c>
      <c r="B693" t="s">
        <v>14773</v>
      </c>
      <c r="C693" t="s">
        <v>14774</v>
      </c>
      <c r="D693" s="1">
        <v>41310</v>
      </c>
      <c r="E693" t="s">
        <v>92</v>
      </c>
      <c r="F693">
        <v>44</v>
      </c>
      <c r="G693" t="s">
        <v>93</v>
      </c>
      <c r="H693">
        <v>168.3</v>
      </c>
      <c r="I693">
        <v>81</v>
      </c>
      <c r="J693">
        <v>51.81</v>
      </c>
      <c r="K693">
        <v>96</v>
      </c>
      <c r="L693">
        <v>74.86</v>
      </c>
      <c r="M693">
        <v>66</v>
      </c>
      <c r="N693">
        <v>39.9</v>
      </c>
      <c r="O693">
        <v>84</v>
      </c>
      <c r="P693">
        <v>-34.54</v>
      </c>
      <c r="Q693">
        <v>88</v>
      </c>
      <c r="R693">
        <v>3.91</v>
      </c>
      <c r="S693">
        <v>67</v>
      </c>
      <c r="T693">
        <v>23.59</v>
      </c>
      <c r="U693">
        <v>95</v>
      </c>
      <c r="V693">
        <v>8.77</v>
      </c>
      <c r="W693">
        <v>36</v>
      </c>
      <c r="X693" t="s">
        <v>234</v>
      </c>
      <c r="Y693" t="s">
        <v>367</v>
      </c>
      <c r="Z693" t="s">
        <v>528</v>
      </c>
      <c r="AA693" t="s">
        <v>2338</v>
      </c>
      <c r="AB693" t="s">
        <v>14775</v>
      </c>
      <c r="AC693">
        <v>141</v>
      </c>
      <c r="AD693">
        <v>27</v>
      </c>
      <c r="AE693">
        <v>96</v>
      </c>
      <c r="AF693">
        <v>132.06</v>
      </c>
      <c r="AG693">
        <v>8.26</v>
      </c>
      <c r="AH693">
        <v>7.91</v>
      </c>
      <c r="AI693">
        <v>0.05</v>
      </c>
      <c r="AJ693">
        <v>0.05</v>
      </c>
      <c r="AK693">
        <v>66</v>
      </c>
      <c r="AL693">
        <v>97</v>
      </c>
      <c r="AM693">
        <v>23</v>
      </c>
      <c r="AN693">
        <v>-4.05</v>
      </c>
      <c r="AO693">
        <v>1.92</v>
      </c>
      <c r="AP693">
        <v>367</v>
      </c>
      <c r="AQ693">
        <v>2</v>
      </c>
      <c r="AR693">
        <v>5.63</v>
      </c>
      <c r="AS693">
        <v>83</v>
      </c>
      <c r="AT693">
        <v>2.2400000000000002</v>
      </c>
      <c r="AU693">
        <v>87</v>
      </c>
      <c r="AV693">
        <v>-3.88</v>
      </c>
      <c r="AW693">
        <v>97</v>
      </c>
      <c r="AX693">
        <v>2.29</v>
      </c>
      <c r="AY693">
        <v>85</v>
      </c>
      <c r="AZ693">
        <v>5.21</v>
      </c>
      <c r="BA693">
        <v>64</v>
      </c>
      <c r="BB693">
        <v>4.6399999999999997</v>
      </c>
      <c r="BC693">
        <v>45</v>
      </c>
      <c r="BD693">
        <v>-0.03</v>
      </c>
      <c r="BE693">
        <v>0</v>
      </c>
      <c r="BF693">
        <v>-0.04</v>
      </c>
      <c r="BG693">
        <v>83</v>
      </c>
      <c r="BH693">
        <v>0.19</v>
      </c>
      <c r="BI693">
        <v>-6.32</v>
      </c>
      <c r="BJ693">
        <v>0</v>
      </c>
      <c r="BK693">
        <v>0</v>
      </c>
      <c r="BL693">
        <v>-1.85</v>
      </c>
      <c r="BM693">
        <v>-0.17</v>
      </c>
      <c r="BN693">
        <v>-1.46</v>
      </c>
      <c r="BO693">
        <v>-0.82</v>
      </c>
      <c r="BP693">
        <v>-1.6</v>
      </c>
      <c r="BQ693">
        <v>-1.74</v>
      </c>
      <c r="BR693">
        <v>1.44</v>
      </c>
      <c r="BS693">
        <v>1.66</v>
      </c>
      <c r="BT693">
        <v>-1.18</v>
      </c>
      <c r="BU693">
        <v>-0.52</v>
      </c>
      <c r="BV693">
        <v>-0.43</v>
      </c>
      <c r="BW693">
        <v>-1.08</v>
      </c>
      <c r="BX693">
        <v>-1.87</v>
      </c>
      <c r="BY693">
        <v>-0.96</v>
      </c>
      <c r="BZ693">
        <v>0</v>
      </c>
      <c r="CA693">
        <v>-0.03</v>
      </c>
      <c r="CB693">
        <v>-0.69</v>
      </c>
      <c r="CC693">
        <v>1</v>
      </c>
      <c r="CD693">
        <v>0.38</v>
      </c>
      <c r="CE693">
        <v>-0.62</v>
      </c>
      <c r="CF693">
        <v>-1.89</v>
      </c>
      <c r="CG693">
        <v>0</v>
      </c>
      <c r="CH693">
        <v>-0.38</v>
      </c>
      <c r="CI693">
        <v>0</v>
      </c>
      <c r="CJ693">
        <v>-17.899999999999999</v>
      </c>
      <c r="CK693">
        <v>90</v>
      </c>
      <c r="CL693">
        <v>-0.81</v>
      </c>
      <c r="CM693">
        <v>87</v>
      </c>
      <c r="CN693">
        <v>-0.19</v>
      </c>
      <c r="CO693">
        <v>85</v>
      </c>
      <c r="CP693">
        <v>-24.7</v>
      </c>
      <c r="CQ693">
        <v>76</v>
      </c>
      <c r="CR693">
        <v>0</v>
      </c>
      <c r="CS693">
        <v>0</v>
      </c>
      <c r="CT693">
        <v>-18.100000000000001</v>
      </c>
      <c r="CU693">
        <v>95</v>
      </c>
      <c r="CV693">
        <v>-0.04</v>
      </c>
      <c r="CW693">
        <v>27</v>
      </c>
      <c r="CX693" t="s">
        <v>1229</v>
      </c>
    </row>
    <row r="694" spans="1:102" x14ac:dyDescent="0.3">
      <c r="A694" t="str">
        <f>HYPERLINK("https://webapp.icbf.com/v2/app/bull-search/view/753903533","ABH")</f>
        <v>ABH</v>
      </c>
      <c r="B694" t="s">
        <v>15114</v>
      </c>
      <c r="C694" t="s">
        <v>15115</v>
      </c>
      <c r="D694" s="1">
        <v>39809</v>
      </c>
      <c r="E694" t="s">
        <v>92</v>
      </c>
      <c r="F694">
        <v>100</v>
      </c>
      <c r="G694" t="s">
        <v>93</v>
      </c>
      <c r="H694">
        <v>168.28</v>
      </c>
      <c r="I694">
        <v>78</v>
      </c>
      <c r="J694">
        <v>68.72</v>
      </c>
      <c r="K694">
        <v>94</v>
      </c>
      <c r="L694">
        <v>42.21</v>
      </c>
      <c r="M694">
        <v>62</v>
      </c>
      <c r="N694">
        <v>37.270000000000003</v>
      </c>
      <c r="O694">
        <v>79</v>
      </c>
      <c r="P694">
        <v>-11.66</v>
      </c>
      <c r="Q694">
        <v>89</v>
      </c>
      <c r="R694">
        <v>10.8</v>
      </c>
      <c r="S694">
        <v>66</v>
      </c>
      <c r="T694">
        <v>16.12</v>
      </c>
      <c r="U694">
        <v>84</v>
      </c>
      <c r="V694">
        <v>4.82</v>
      </c>
      <c r="W694">
        <v>61</v>
      </c>
      <c r="X694" t="s">
        <v>251</v>
      </c>
      <c r="Y694" t="s">
        <v>319</v>
      </c>
      <c r="Z694" t="s">
        <v>96</v>
      </c>
      <c r="AA694" t="s">
        <v>476</v>
      </c>
      <c r="AB694" t="s">
        <v>15116</v>
      </c>
      <c r="AC694">
        <v>58</v>
      </c>
      <c r="AD694">
        <v>44</v>
      </c>
      <c r="AE694">
        <v>94</v>
      </c>
      <c r="AF694">
        <v>296.89</v>
      </c>
      <c r="AG694">
        <v>12.47</v>
      </c>
      <c r="AH694">
        <v>11.82</v>
      </c>
      <c r="AI694">
        <v>0.01</v>
      </c>
      <c r="AJ694">
        <v>0.03</v>
      </c>
      <c r="AK694">
        <v>62</v>
      </c>
      <c r="AL694">
        <v>61</v>
      </c>
      <c r="AM694">
        <v>45</v>
      </c>
      <c r="AN694">
        <v>-1.23</v>
      </c>
      <c r="AO694">
        <v>2.15</v>
      </c>
      <c r="AP694">
        <v>126</v>
      </c>
      <c r="AQ694">
        <v>4</v>
      </c>
      <c r="AR694">
        <v>4.3</v>
      </c>
      <c r="AS694">
        <v>51</v>
      </c>
      <c r="AT694">
        <v>1.88</v>
      </c>
      <c r="AU694">
        <v>79</v>
      </c>
      <c r="AV694">
        <v>-2.95</v>
      </c>
      <c r="AW694">
        <v>95</v>
      </c>
      <c r="AX694">
        <v>0.36</v>
      </c>
      <c r="AY694">
        <v>75</v>
      </c>
      <c r="AZ694">
        <v>7.33</v>
      </c>
      <c r="BA694">
        <v>50</v>
      </c>
      <c r="BB694">
        <v>5.05</v>
      </c>
      <c r="BC694">
        <v>55</v>
      </c>
      <c r="BD694">
        <v>-0.02</v>
      </c>
      <c r="BE694">
        <v>-0.05</v>
      </c>
      <c r="BF694">
        <v>-0.12</v>
      </c>
      <c r="BG694">
        <v>77</v>
      </c>
      <c r="BH694">
        <v>-0.06</v>
      </c>
      <c r="BI694">
        <v>-22.48</v>
      </c>
      <c r="BJ694">
        <v>13</v>
      </c>
      <c r="BK694">
        <v>8</v>
      </c>
      <c r="BL694">
        <v>-0.18</v>
      </c>
      <c r="BM694">
        <v>-0.88</v>
      </c>
      <c r="BN694">
        <v>-1.29</v>
      </c>
      <c r="BO694">
        <v>-0.26</v>
      </c>
      <c r="BP694">
        <v>-0.09</v>
      </c>
      <c r="BQ694">
        <v>-0.2</v>
      </c>
      <c r="BR694">
        <v>-1.6</v>
      </c>
      <c r="BS694">
        <v>1.92</v>
      </c>
      <c r="BT694">
        <v>1.9</v>
      </c>
      <c r="BU694">
        <v>-0.27</v>
      </c>
      <c r="BV694">
        <v>0.65</v>
      </c>
      <c r="BW694">
        <v>0.54</v>
      </c>
      <c r="BX694">
        <v>-0.03</v>
      </c>
      <c r="BY694">
        <v>-1.49</v>
      </c>
      <c r="BZ694">
        <v>-0.32</v>
      </c>
      <c r="CA694">
        <v>0.74</v>
      </c>
      <c r="CB694">
        <v>7.0000000000000007E-2</v>
      </c>
      <c r="CC694">
        <v>1.56</v>
      </c>
      <c r="CD694">
        <v>0.41</v>
      </c>
      <c r="CE694">
        <v>0.36</v>
      </c>
      <c r="CF694">
        <v>0.09</v>
      </c>
      <c r="CG694">
        <v>0</v>
      </c>
      <c r="CH694">
        <v>-0.45</v>
      </c>
      <c r="CI694">
        <v>0</v>
      </c>
      <c r="CJ694">
        <v>-2.7</v>
      </c>
      <c r="CK694">
        <v>91</v>
      </c>
      <c r="CL694">
        <v>-0.61</v>
      </c>
      <c r="CM694">
        <v>89</v>
      </c>
      <c r="CN694">
        <v>0.09</v>
      </c>
      <c r="CO694">
        <v>88</v>
      </c>
      <c r="CP694">
        <v>-3.9</v>
      </c>
      <c r="CQ694">
        <v>80</v>
      </c>
      <c r="CR694">
        <v>0</v>
      </c>
      <c r="CS694">
        <v>0</v>
      </c>
      <c r="CT694">
        <v>-8</v>
      </c>
      <c r="CU694">
        <v>84</v>
      </c>
      <c r="CV694">
        <v>0.19</v>
      </c>
      <c r="CW694">
        <v>27</v>
      </c>
      <c r="CX694" t="s">
        <v>316</v>
      </c>
    </row>
    <row r="695" spans="1:102" x14ac:dyDescent="0.3">
      <c r="A695" t="str">
        <f>HYPERLINK("https://webapp.icbf.com/v2/app/bull-search/view/992898151","JE2383")</f>
        <v>JE2383</v>
      </c>
      <c r="B695" t="s">
        <v>7891</v>
      </c>
      <c r="C695" t="s">
        <v>7892</v>
      </c>
      <c r="D695" s="1">
        <v>40740</v>
      </c>
      <c r="E695" t="s">
        <v>227</v>
      </c>
      <c r="F695">
        <v>0</v>
      </c>
      <c r="G695" t="s">
        <v>93</v>
      </c>
      <c r="H695">
        <v>168.14</v>
      </c>
      <c r="I695">
        <v>83</v>
      </c>
      <c r="J695">
        <v>103.7</v>
      </c>
      <c r="K695">
        <v>96</v>
      </c>
      <c r="L695">
        <v>23.82</v>
      </c>
      <c r="M695">
        <v>71</v>
      </c>
      <c r="N695">
        <v>37.270000000000003</v>
      </c>
      <c r="O695">
        <v>90</v>
      </c>
      <c r="P695">
        <v>-37.950000000000003</v>
      </c>
      <c r="Q695">
        <v>86</v>
      </c>
      <c r="R695">
        <v>0.9</v>
      </c>
      <c r="S695">
        <v>80</v>
      </c>
      <c r="T695">
        <v>38.99</v>
      </c>
      <c r="U695">
        <v>67</v>
      </c>
      <c r="V695">
        <v>1.41</v>
      </c>
      <c r="W695">
        <v>78</v>
      </c>
      <c r="X695" t="s">
        <v>94</v>
      </c>
      <c r="Y695" t="s">
        <v>1923</v>
      </c>
      <c r="Z695">
        <v>0</v>
      </c>
      <c r="AA695" t="s">
        <v>2111</v>
      </c>
      <c r="AB695" t="s">
        <v>7893</v>
      </c>
      <c r="AC695">
        <v>147</v>
      </c>
      <c r="AD695">
        <v>31</v>
      </c>
      <c r="AE695">
        <v>96</v>
      </c>
      <c r="AF695">
        <v>-25.11</v>
      </c>
      <c r="AG695">
        <v>19</v>
      </c>
      <c r="AH695">
        <v>10.53</v>
      </c>
      <c r="AI695">
        <v>0.35</v>
      </c>
      <c r="AJ695">
        <v>0.2</v>
      </c>
      <c r="AK695">
        <v>71</v>
      </c>
      <c r="AL695">
        <v>0</v>
      </c>
      <c r="AM695">
        <v>0</v>
      </c>
      <c r="AN695">
        <v>0.28999999999999998</v>
      </c>
      <c r="AO695">
        <v>2.21</v>
      </c>
      <c r="AP695">
        <v>1014</v>
      </c>
      <c r="AQ695">
        <v>2</v>
      </c>
      <c r="AR695">
        <v>3.93</v>
      </c>
      <c r="AS695">
        <v>95</v>
      </c>
      <c r="AT695">
        <v>1.69</v>
      </c>
      <c r="AU695">
        <v>95</v>
      </c>
      <c r="AV695">
        <v>-3.2</v>
      </c>
      <c r="AW695">
        <v>99</v>
      </c>
      <c r="AX695">
        <v>2.4500000000000002</v>
      </c>
      <c r="AY695">
        <v>93</v>
      </c>
      <c r="AZ695">
        <v>6.61</v>
      </c>
      <c r="BA695">
        <v>77</v>
      </c>
      <c r="BB695">
        <v>4.92</v>
      </c>
      <c r="BC695">
        <v>52</v>
      </c>
      <c r="BD695">
        <v>-0.04</v>
      </c>
      <c r="BE695">
        <v>0.04</v>
      </c>
      <c r="BF695">
        <v>-0.03</v>
      </c>
      <c r="BG695">
        <v>89</v>
      </c>
      <c r="BH695">
        <v>0.14000000000000001</v>
      </c>
      <c r="BI695">
        <v>11.64</v>
      </c>
      <c r="BJ695">
        <v>0</v>
      </c>
      <c r="BK695">
        <v>0</v>
      </c>
      <c r="BL695">
        <v>-2.27</v>
      </c>
      <c r="BM695">
        <v>-1.1000000000000001</v>
      </c>
      <c r="BN695">
        <v>0.32</v>
      </c>
      <c r="BO695">
        <v>1.51</v>
      </c>
      <c r="BP695">
        <v>-0.13</v>
      </c>
      <c r="BQ695">
        <v>-4.8499999999999996</v>
      </c>
      <c r="BR695">
        <v>2.5499999999999998</v>
      </c>
      <c r="BS695">
        <v>6.43</v>
      </c>
      <c r="BT695">
        <v>-1.42</v>
      </c>
      <c r="BU695">
        <v>-0.55000000000000004</v>
      </c>
      <c r="BV695">
        <v>-7.0000000000000007E-2</v>
      </c>
      <c r="BW695">
        <v>-2.56</v>
      </c>
      <c r="BX695">
        <v>-3.93</v>
      </c>
      <c r="BY695">
        <v>0.18</v>
      </c>
      <c r="BZ695">
        <v>0.48</v>
      </c>
      <c r="CA695">
        <v>1.45</v>
      </c>
      <c r="CB695">
        <v>-0.19</v>
      </c>
      <c r="CC695">
        <v>4.3600000000000003</v>
      </c>
      <c r="CD695">
        <v>-1.89</v>
      </c>
      <c r="CE695">
        <v>1.55</v>
      </c>
      <c r="CF695">
        <v>-1.97</v>
      </c>
      <c r="CG695">
        <v>0</v>
      </c>
      <c r="CH695">
        <v>-1.33</v>
      </c>
      <c r="CI695">
        <v>0</v>
      </c>
      <c r="CJ695">
        <v>-18.2</v>
      </c>
      <c r="CK695">
        <v>90</v>
      </c>
      <c r="CL695">
        <v>-0.86</v>
      </c>
      <c r="CM695">
        <v>86</v>
      </c>
      <c r="CN695">
        <v>-0.06</v>
      </c>
      <c r="CO695">
        <v>85</v>
      </c>
      <c r="CP695">
        <v>-31.1</v>
      </c>
      <c r="CQ695">
        <v>65</v>
      </c>
      <c r="CR695">
        <v>0</v>
      </c>
      <c r="CS695">
        <v>0</v>
      </c>
      <c r="CT695">
        <v>-38.9</v>
      </c>
      <c r="CU695">
        <v>67</v>
      </c>
      <c r="CV695">
        <v>-0.08</v>
      </c>
      <c r="CW695">
        <v>46</v>
      </c>
      <c r="CX695" t="s">
        <v>1525</v>
      </c>
    </row>
    <row r="696" spans="1:102" x14ac:dyDescent="0.3">
      <c r="A696" t="str">
        <f>HYPERLINK("https://webapp.icbf.com/v2/app/bull-search/view/69092782","THG")</f>
        <v>THG</v>
      </c>
      <c r="B696" t="s">
        <v>3197</v>
      </c>
      <c r="C696" t="s">
        <v>3198</v>
      </c>
      <c r="D696" s="1">
        <v>34554</v>
      </c>
      <c r="E696" t="s">
        <v>92</v>
      </c>
      <c r="F696">
        <v>56</v>
      </c>
      <c r="G696" t="s">
        <v>109</v>
      </c>
      <c r="H696">
        <v>168</v>
      </c>
      <c r="I696">
        <v>70</v>
      </c>
      <c r="J696">
        <v>41.53</v>
      </c>
      <c r="K696">
        <v>89</v>
      </c>
      <c r="L696">
        <v>96.25</v>
      </c>
      <c r="M696">
        <v>72</v>
      </c>
      <c r="N696">
        <v>31.48</v>
      </c>
      <c r="O696">
        <v>51</v>
      </c>
      <c r="P696">
        <v>-18.059999999999999</v>
      </c>
      <c r="Q696">
        <v>45</v>
      </c>
      <c r="R696">
        <v>-11.48</v>
      </c>
      <c r="S696">
        <v>66</v>
      </c>
      <c r="T696">
        <v>25.3</v>
      </c>
      <c r="U696">
        <v>48</v>
      </c>
      <c r="V696">
        <v>2.98</v>
      </c>
      <c r="W696">
        <v>47</v>
      </c>
      <c r="X696" t="s">
        <v>302</v>
      </c>
      <c r="Y696" t="s">
        <v>95</v>
      </c>
      <c r="Z696">
        <v>0</v>
      </c>
      <c r="AA696" t="s">
        <v>1618</v>
      </c>
      <c r="AB696" t="s">
        <v>3199</v>
      </c>
      <c r="AC696">
        <v>0</v>
      </c>
      <c r="AD696">
        <v>0</v>
      </c>
      <c r="AE696">
        <v>89</v>
      </c>
      <c r="AF696">
        <v>84.54</v>
      </c>
      <c r="AG696">
        <v>4.91</v>
      </c>
      <c r="AH696">
        <v>6.62</v>
      </c>
      <c r="AI696">
        <v>0.03</v>
      </c>
      <c r="AJ696">
        <v>0.06</v>
      </c>
      <c r="AK696">
        <v>72</v>
      </c>
      <c r="AL696">
        <v>0</v>
      </c>
      <c r="AM696">
        <v>0</v>
      </c>
      <c r="AN696">
        <v>-5.67</v>
      </c>
      <c r="AO696">
        <v>2</v>
      </c>
      <c r="AP696">
        <v>2</v>
      </c>
      <c r="AQ696">
        <v>0</v>
      </c>
      <c r="AR696">
        <v>6.57</v>
      </c>
      <c r="AS696">
        <v>37</v>
      </c>
      <c r="AT696">
        <v>1.61</v>
      </c>
      <c r="AU696">
        <v>76</v>
      </c>
      <c r="AV696">
        <v>-1.79</v>
      </c>
      <c r="AW696">
        <v>47</v>
      </c>
      <c r="AX696">
        <v>-0.84</v>
      </c>
      <c r="AY696">
        <v>44</v>
      </c>
      <c r="AZ696">
        <v>5.8</v>
      </c>
      <c r="BA696">
        <v>28</v>
      </c>
      <c r="BB696">
        <v>4.9400000000000004</v>
      </c>
      <c r="BC696">
        <v>33</v>
      </c>
      <c r="BD696">
        <v>0.03</v>
      </c>
      <c r="BE696">
        <v>0.06</v>
      </c>
      <c r="BF696">
        <v>0.1</v>
      </c>
      <c r="BG696">
        <v>88</v>
      </c>
      <c r="BH696">
        <v>0.04</v>
      </c>
      <c r="BI696">
        <v>-4.9800000000000004</v>
      </c>
      <c r="BJ696">
        <v>0</v>
      </c>
      <c r="BK696">
        <v>0</v>
      </c>
      <c r="BL696">
        <v>-0.81</v>
      </c>
      <c r="BM696">
        <v>0.76</v>
      </c>
      <c r="BN696">
        <v>-0.33</v>
      </c>
      <c r="BO696">
        <v>-1.07</v>
      </c>
      <c r="BP696">
        <v>2</v>
      </c>
      <c r="BQ696">
        <v>-1.66</v>
      </c>
      <c r="BR696">
        <v>0.28999999999999998</v>
      </c>
      <c r="BS696">
        <v>0.01</v>
      </c>
      <c r="BT696">
        <v>0.53</v>
      </c>
      <c r="BU696">
        <v>-3.62</v>
      </c>
      <c r="BV696">
        <v>-3.01</v>
      </c>
      <c r="BW696">
        <v>-3.39</v>
      </c>
      <c r="BX696">
        <v>-1.64</v>
      </c>
      <c r="BY696">
        <v>-3.6</v>
      </c>
      <c r="BZ696">
        <v>0.14000000000000001</v>
      </c>
      <c r="CA696">
        <v>-2.46</v>
      </c>
      <c r="CB696">
        <v>-3.43</v>
      </c>
      <c r="CC696">
        <v>0.09</v>
      </c>
      <c r="CD696">
        <v>1.04</v>
      </c>
      <c r="CE696">
        <v>-0.08</v>
      </c>
      <c r="CF696">
        <v>-0.57999999999999996</v>
      </c>
      <c r="CG696">
        <v>0</v>
      </c>
      <c r="CH696">
        <v>-3.75</v>
      </c>
      <c r="CI696">
        <v>0</v>
      </c>
      <c r="CJ696">
        <v>-8.1</v>
      </c>
      <c r="CK696">
        <v>46</v>
      </c>
      <c r="CL696">
        <v>-0.6</v>
      </c>
      <c r="CM696">
        <v>44</v>
      </c>
      <c r="CN696">
        <v>-0.15</v>
      </c>
      <c r="CO696">
        <v>43</v>
      </c>
      <c r="CP696">
        <v>-16.3</v>
      </c>
      <c r="CQ696">
        <v>47</v>
      </c>
      <c r="CR696">
        <v>0</v>
      </c>
      <c r="CS696">
        <v>0</v>
      </c>
      <c r="CT696">
        <v>-20.399999999999999</v>
      </c>
      <c r="CU696">
        <v>48</v>
      </c>
      <c r="CV696">
        <v>0.04</v>
      </c>
      <c r="CW696">
        <v>34</v>
      </c>
      <c r="CX696" t="s">
        <v>3200</v>
      </c>
    </row>
    <row r="697" spans="1:102" x14ac:dyDescent="0.3">
      <c r="A697" t="str">
        <f>HYPERLINK("https://webapp.icbf.com/v2/app/bull-search/view/1225074709","S2230")</f>
        <v>S2230</v>
      </c>
      <c r="B697" t="s">
        <v>5846</v>
      </c>
      <c r="C697" t="s">
        <v>2329</v>
      </c>
      <c r="D697" s="1">
        <v>41414</v>
      </c>
      <c r="E697" t="s">
        <v>92</v>
      </c>
      <c r="F697">
        <v>100</v>
      </c>
      <c r="G697" t="s">
        <v>109</v>
      </c>
      <c r="H697">
        <v>167.92</v>
      </c>
      <c r="I697">
        <v>78</v>
      </c>
      <c r="J697">
        <v>103.9</v>
      </c>
      <c r="K697">
        <v>92</v>
      </c>
      <c r="L697">
        <v>4.9800000000000004</v>
      </c>
      <c r="M697">
        <v>83</v>
      </c>
      <c r="N697">
        <v>42.03</v>
      </c>
      <c r="O697">
        <v>74</v>
      </c>
      <c r="P697">
        <v>14.36</v>
      </c>
      <c r="Q697">
        <v>56</v>
      </c>
      <c r="R697">
        <v>5.63</v>
      </c>
      <c r="S697">
        <v>73</v>
      </c>
      <c r="T697">
        <v>-9.41</v>
      </c>
      <c r="U697">
        <v>40</v>
      </c>
      <c r="V697">
        <v>6.43</v>
      </c>
      <c r="W697">
        <v>57</v>
      </c>
      <c r="X697" t="s">
        <v>234</v>
      </c>
      <c r="Y697" t="s">
        <v>367</v>
      </c>
      <c r="Z697" t="s">
        <v>96</v>
      </c>
      <c r="AA697" t="s">
        <v>5847</v>
      </c>
      <c r="AB697" t="s">
        <v>5848</v>
      </c>
      <c r="AC697">
        <v>0</v>
      </c>
      <c r="AD697">
        <v>0</v>
      </c>
      <c r="AE697">
        <v>92</v>
      </c>
      <c r="AF697">
        <v>619.51</v>
      </c>
      <c r="AG697">
        <v>14.48</v>
      </c>
      <c r="AH697">
        <v>22.03</v>
      </c>
      <c r="AI697">
        <v>-0.15</v>
      </c>
      <c r="AJ697">
        <v>0.02</v>
      </c>
      <c r="AK697">
        <v>83</v>
      </c>
      <c r="AL697">
        <v>0</v>
      </c>
      <c r="AM697">
        <v>0</v>
      </c>
      <c r="AN697">
        <v>-0.02</v>
      </c>
      <c r="AO697">
        <v>0.38</v>
      </c>
      <c r="AP697">
        <v>42</v>
      </c>
      <c r="AQ697">
        <v>0</v>
      </c>
      <c r="AR697">
        <v>5.96</v>
      </c>
      <c r="AS697">
        <v>65</v>
      </c>
      <c r="AT697">
        <v>2.16</v>
      </c>
      <c r="AU697">
        <v>96</v>
      </c>
      <c r="AV697">
        <v>-3.57</v>
      </c>
      <c r="AW697">
        <v>79</v>
      </c>
      <c r="AX697">
        <v>-0.84</v>
      </c>
      <c r="AY697">
        <v>62</v>
      </c>
      <c r="AZ697">
        <v>5.5</v>
      </c>
      <c r="BA697">
        <v>40</v>
      </c>
      <c r="BB697">
        <v>5.26</v>
      </c>
      <c r="BC697">
        <v>37</v>
      </c>
      <c r="BD697">
        <v>-0.02</v>
      </c>
      <c r="BE697">
        <v>-0.04</v>
      </c>
      <c r="BF697">
        <v>-0.02</v>
      </c>
      <c r="BG697">
        <v>91</v>
      </c>
      <c r="BH697">
        <v>0.09</v>
      </c>
      <c r="BI697">
        <v>-10.32</v>
      </c>
      <c r="BJ697">
        <v>2</v>
      </c>
      <c r="BK697">
        <v>2</v>
      </c>
      <c r="BL697">
        <v>2.16</v>
      </c>
      <c r="BM697">
        <v>-1.74</v>
      </c>
      <c r="BN697">
        <v>-0.28000000000000003</v>
      </c>
      <c r="BO697">
        <v>1.56</v>
      </c>
      <c r="BP697">
        <v>0.92</v>
      </c>
      <c r="BQ697">
        <v>1.27</v>
      </c>
      <c r="BR697">
        <v>1.64</v>
      </c>
      <c r="BS697">
        <v>0.47</v>
      </c>
      <c r="BT697">
        <v>-0.89</v>
      </c>
      <c r="BU697">
        <v>2.94</v>
      </c>
      <c r="BV697">
        <v>2.81</v>
      </c>
      <c r="BW697">
        <v>1.43</v>
      </c>
      <c r="BX697">
        <v>2.81</v>
      </c>
      <c r="BY697">
        <v>2.12</v>
      </c>
      <c r="BZ697">
        <v>-0.25</v>
      </c>
      <c r="CA697">
        <v>2.79</v>
      </c>
      <c r="CB697">
        <v>2.84</v>
      </c>
      <c r="CC697">
        <v>0.72</v>
      </c>
      <c r="CD697">
        <v>-1.38</v>
      </c>
      <c r="CE697">
        <v>1.57</v>
      </c>
      <c r="CF697">
        <v>1.89</v>
      </c>
      <c r="CG697">
        <v>0</v>
      </c>
      <c r="CH697">
        <v>2.35</v>
      </c>
      <c r="CI697">
        <v>0</v>
      </c>
      <c r="CJ697">
        <v>9.6999999999999993</v>
      </c>
      <c r="CK697">
        <v>59</v>
      </c>
      <c r="CL697">
        <v>-1.18</v>
      </c>
      <c r="CM697">
        <v>56</v>
      </c>
      <c r="CN697">
        <v>-1.01</v>
      </c>
      <c r="CO697">
        <v>54</v>
      </c>
      <c r="CP697">
        <v>8.8000000000000007</v>
      </c>
      <c r="CQ697">
        <v>43</v>
      </c>
      <c r="CR697">
        <v>0</v>
      </c>
      <c r="CS697">
        <v>0</v>
      </c>
      <c r="CT697">
        <v>26.5</v>
      </c>
      <c r="CU697">
        <v>40</v>
      </c>
      <c r="CV697">
        <v>0.43</v>
      </c>
      <c r="CW697">
        <v>37</v>
      </c>
      <c r="CX697" t="s">
        <v>2423</v>
      </c>
    </row>
    <row r="698" spans="1:102" x14ac:dyDescent="0.3">
      <c r="A698" t="str">
        <f>HYPERLINK("https://webapp.icbf.com/v2/app/bull-search/view/505353228","DZE")</f>
        <v>DZE</v>
      </c>
      <c r="B698" t="s">
        <v>4237</v>
      </c>
      <c r="C698" t="s">
        <v>4238</v>
      </c>
      <c r="D698" s="1">
        <v>39159</v>
      </c>
      <c r="E698" t="s">
        <v>92</v>
      </c>
      <c r="F698">
        <v>69</v>
      </c>
      <c r="G698" t="s">
        <v>93</v>
      </c>
      <c r="H698">
        <v>167.84</v>
      </c>
      <c r="I698">
        <v>88</v>
      </c>
      <c r="J698">
        <v>17.72</v>
      </c>
      <c r="K698">
        <v>97</v>
      </c>
      <c r="L698">
        <v>82.35</v>
      </c>
      <c r="M698">
        <v>80</v>
      </c>
      <c r="N698">
        <v>49.61</v>
      </c>
      <c r="O698">
        <v>88</v>
      </c>
      <c r="P698">
        <v>-1.65</v>
      </c>
      <c r="Q698">
        <v>91</v>
      </c>
      <c r="R698">
        <v>5.28</v>
      </c>
      <c r="S698">
        <v>82</v>
      </c>
      <c r="T698">
        <v>17.600000000000001</v>
      </c>
      <c r="U698">
        <v>89</v>
      </c>
      <c r="V698">
        <v>-3.07</v>
      </c>
      <c r="W698">
        <v>84</v>
      </c>
      <c r="X698" t="s">
        <v>94</v>
      </c>
      <c r="Y698" t="s">
        <v>1513</v>
      </c>
      <c r="Z698" t="s">
        <v>96</v>
      </c>
      <c r="AA698" t="s">
        <v>1883</v>
      </c>
      <c r="AB698" t="s">
        <v>4239</v>
      </c>
      <c r="AC698">
        <v>94</v>
      </c>
      <c r="AD698">
        <v>61</v>
      </c>
      <c r="AE698">
        <v>97</v>
      </c>
      <c r="AF698">
        <v>-80.73</v>
      </c>
      <c r="AG698">
        <v>7.29</v>
      </c>
      <c r="AH698">
        <v>-0.8</v>
      </c>
      <c r="AI698">
        <v>0.18</v>
      </c>
      <c r="AJ698">
        <v>0.03</v>
      </c>
      <c r="AK698">
        <v>80</v>
      </c>
      <c r="AL698">
        <v>111</v>
      </c>
      <c r="AM698">
        <v>72</v>
      </c>
      <c r="AN698">
        <v>-4.2699999999999996</v>
      </c>
      <c r="AO698">
        <v>2.2999999999999998</v>
      </c>
      <c r="AP698">
        <v>211</v>
      </c>
      <c r="AQ698">
        <v>5</v>
      </c>
      <c r="AR698">
        <v>2.0499999999999998</v>
      </c>
      <c r="AS698">
        <v>74</v>
      </c>
      <c r="AT698">
        <v>1.35</v>
      </c>
      <c r="AU698">
        <v>89</v>
      </c>
      <c r="AV698">
        <v>-3.18</v>
      </c>
      <c r="AW698">
        <v>97</v>
      </c>
      <c r="AX698">
        <v>-0.84</v>
      </c>
      <c r="AY698">
        <v>82</v>
      </c>
      <c r="AZ698">
        <v>6.24</v>
      </c>
      <c r="BA698">
        <v>68</v>
      </c>
      <c r="BB698">
        <v>5.12</v>
      </c>
      <c r="BC698">
        <v>72</v>
      </c>
      <c r="BD698">
        <v>-0.05</v>
      </c>
      <c r="BE698">
        <v>-0.02</v>
      </c>
      <c r="BF698">
        <v>0</v>
      </c>
      <c r="BG698">
        <v>89</v>
      </c>
      <c r="BH698">
        <v>-0.05</v>
      </c>
      <c r="BI698">
        <v>4.12</v>
      </c>
      <c r="BJ698">
        <v>32</v>
      </c>
      <c r="BK698">
        <v>15</v>
      </c>
      <c r="BL698">
        <v>-1.33</v>
      </c>
      <c r="BM698">
        <v>-0.17</v>
      </c>
      <c r="BN698">
        <v>-1.69</v>
      </c>
      <c r="BO698">
        <v>-1.25</v>
      </c>
      <c r="BP698">
        <v>0.48</v>
      </c>
      <c r="BQ698">
        <v>-2.2999999999999998</v>
      </c>
      <c r="BR698">
        <v>-1.1499999999999999</v>
      </c>
      <c r="BS698">
        <v>0.48</v>
      </c>
      <c r="BT698">
        <v>1.07</v>
      </c>
      <c r="BU698">
        <v>-2.38</v>
      </c>
      <c r="BV698">
        <v>-1.73</v>
      </c>
      <c r="BW698">
        <v>-0.75</v>
      </c>
      <c r="BX698">
        <v>-1.58</v>
      </c>
      <c r="BY698">
        <v>0.23</v>
      </c>
      <c r="BZ698">
        <v>0.25</v>
      </c>
      <c r="CA698">
        <v>-1.1000000000000001</v>
      </c>
      <c r="CB698">
        <v>-1.54</v>
      </c>
      <c r="CC698">
        <v>0.14000000000000001</v>
      </c>
      <c r="CD698">
        <v>0.64</v>
      </c>
      <c r="CE698">
        <v>-0.91</v>
      </c>
      <c r="CF698">
        <v>-2.2799999999999998</v>
      </c>
      <c r="CG698">
        <v>0</v>
      </c>
      <c r="CH698">
        <v>0.04</v>
      </c>
      <c r="CI698">
        <v>0</v>
      </c>
      <c r="CJ698">
        <v>1.4</v>
      </c>
      <c r="CK698">
        <v>92</v>
      </c>
      <c r="CL698">
        <v>-0.28999999999999998</v>
      </c>
      <c r="CM698">
        <v>91</v>
      </c>
      <c r="CN698">
        <v>-0.12</v>
      </c>
      <c r="CO698">
        <v>90</v>
      </c>
      <c r="CP698">
        <v>-13.3</v>
      </c>
      <c r="CQ698">
        <v>89</v>
      </c>
      <c r="CR698">
        <v>0</v>
      </c>
      <c r="CS698">
        <v>0</v>
      </c>
      <c r="CT698">
        <v>-10</v>
      </c>
      <c r="CU698">
        <v>89</v>
      </c>
      <c r="CV698">
        <v>0.14000000000000001</v>
      </c>
      <c r="CW698">
        <v>45</v>
      </c>
      <c r="CX698" t="s">
        <v>3368</v>
      </c>
    </row>
    <row r="699" spans="1:102" x14ac:dyDescent="0.3">
      <c r="A699" t="str">
        <f>HYPERLINK("https://webapp.icbf.com/v2/app/bull-search/view/866587979","ABO")</f>
        <v>ABO</v>
      </c>
      <c r="B699" t="s">
        <v>13089</v>
      </c>
      <c r="C699" t="s">
        <v>2172</v>
      </c>
      <c r="D699" s="1">
        <v>40606</v>
      </c>
      <c r="E699" t="s">
        <v>92</v>
      </c>
      <c r="F699">
        <v>81</v>
      </c>
      <c r="G699" t="s">
        <v>93</v>
      </c>
      <c r="H699">
        <v>167.8</v>
      </c>
      <c r="I699">
        <v>97</v>
      </c>
      <c r="J699">
        <v>74.36</v>
      </c>
      <c r="K699">
        <v>99</v>
      </c>
      <c r="L699">
        <v>48.8</v>
      </c>
      <c r="M699">
        <v>96</v>
      </c>
      <c r="N699">
        <v>44.54</v>
      </c>
      <c r="O699">
        <v>99</v>
      </c>
      <c r="P699">
        <v>-13.92</v>
      </c>
      <c r="Q699">
        <v>99</v>
      </c>
      <c r="R699">
        <v>4.16</v>
      </c>
      <c r="S699">
        <v>97</v>
      </c>
      <c r="T699">
        <v>10.72</v>
      </c>
      <c r="U699">
        <v>99</v>
      </c>
      <c r="V699">
        <v>-0.86</v>
      </c>
      <c r="W699">
        <v>88</v>
      </c>
      <c r="X699" t="s">
        <v>94</v>
      </c>
      <c r="Y699" t="s">
        <v>1860</v>
      </c>
      <c r="Z699" t="s">
        <v>96</v>
      </c>
      <c r="AA699" t="s">
        <v>5796</v>
      </c>
      <c r="AB699" t="s">
        <v>13090</v>
      </c>
      <c r="AC699">
        <v>5889</v>
      </c>
      <c r="AD699">
        <v>2154</v>
      </c>
      <c r="AE699">
        <v>99</v>
      </c>
      <c r="AF699">
        <v>69.62</v>
      </c>
      <c r="AG699">
        <v>8.57</v>
      </c>
      <c r="AH699">
        <v>10.68</v>
      </c>
      <c r="AI699">
        <v>0.1</v>
      </c>
      <c r="AJ699">
        <v>0.14000000000000001</v>
      </c>
      <c r="AK699">
        <v>96</v>
      </c>
      <c r="AL699">
        <v>6767</v>
      </c>
      <c r="AM699">
        <v>2677</v>
      </c>
      <c r="AN699">
        <v>-2.77</v>
      </c>
      <c r="AO699">
        <v>1.1200000000000001</v>
      </c>
      <c r="AP699">
        <v>13443</v>
      </c>
      <c r="AQ699">
        <v>116</v>
      </c>
      <c r="AR699">
        <v>4.91</v>
      </c>
      <c r="AS699">
        <v>99</v>
      </c>
      <c r="AT699">
        <v>1.91</v>
      </c>
      <c r="AU699">
        <v>99</v>
      </c>
      <c r="AV699">
        <v>-3.77</v>
      </c>
      <c r="AW699">
        <v>99</v>
      </c>
      <c r="AX699">
        <v>-0.19</v>
      </c>
      <c r="AY699">
        <v>99</v>
      </c>
      <c r="AZ699">
        <v>6.2</v>
      </c>
      <c r="BA699">
        <v>99</v>
      </c>
      <c r="BB699">
        <v>5.26</v>
      </c>
      <c r="BC699">
        <v>98</v>
      </c>
      <c r="BD699">
        <v>-0.04</v>
      </c>
      <c r="BE699">
        <v>-0.01</v>
      </c>
      <c r="BF699">
        <v>-0.01</v>
      </c>
      <c r="BG699">
        <v>99</v>
      </c>
      <c r="BH699">
        <v>-0.08</v>
      </c>
      <c r="BI699">
        <v>-6.48</v>
      </c>
      <c r="BJ699">
        <v>212</v>
      </c>
      <c r="BK699">
        <v>117</v>
      </c>
      <c r="BL699">
        <v>-1.2</v>
      </c>
      <c r="BM699">
        <v>-1.21</v>
      </c>
      <c r="BN699">
        <v>-2.23</v>
      </c>
      <c r="BO699">
        <v>-1.1000000000000001</v>
      </c>
      <c r="BP699">
        <v>-1.79</v>
      </c>
      <c r="BQ699">
        <v>-1.58</v>
      </c>
      <c r="BR699">
        <v>-0.57999999999999996</v>
      </c>
      <c r="BS699">
        <v>-1.36</v>
      </c>
      <c r="BT699">
        <v>-0.4</v>
      </c>
      <c r="BU699">
        <v>-1.88</v>
      </c>
      <c r="BV699">
        <v>-1.51</v>
      </c>
      <c r="BW699">
        <v>-1.19</v>
      </c>
      <c r="BX699">
        <v>0.16</v>
      </c>
      <c r="BY699">
        <v>-1.1599999999999999</v>
      </c>
      <c r="BZ699">
        <v>0.59</v>
      </c>
      <c r="CA699">
        <v>-1.22</v>
      </c>
      <c r="CB699">
        <v>-1.48</v>
      </c>
      <c r="CC699">
        <v>-0.46</v>
      </c>
      <c r="CD699">
        <v>-0.31</v>
      </c>
      <c r="CE699">
        <v>-0.85</v>
      </c>
      <c r="CF699">
        <v>-1.95</v>
      </c>
      <c r="CG699">
        <v>0</v>
      </c>
      <c r="CH699">
        <v>-0.77</v>
      </c>
      <c r="CI699">
        <v>0</v>
      </c>
      <c r="CJ699">
        <v>-6.4</v>
      </c>
      <c r="CK699">
        <v>99</v>
      </c>
      <c r="CL699">
        <v>-0.75</v>
      </c>
      <c r="CM699">
        <v>99</v>
      </c>
      <c r="CN699">
        <v>-0.28000000000000003</v>
      </c>
      <c r="CO699">
        <v>99</v>
      </c>
      <c r="CP699">
        <v>-4.2</v>
      </c>
      <c r="CQ699">
        <v>99</v>
      </c>
      <c r="CR699">
        <v>0</v>
      </c>
      <c r="CS699">
        <v>0</v>
      </c>
      <c r="CT699">
        <v>-0.7</v>
      </c>
      <c r="CU699">
        <v>99</v>
      </c>
      <c r="CV699">
        <v>0.14000000000000001</v>
      </c>
      <c r="CW699">
        <v>49</v>
      </c>
      <c r="CX699" t="s">
        <v>4532</v>
      </c>
    </row>
    <row r="700" spans="1:102" x14ac:dyDescent="0.3">
      <c r="A700" t="str">
        <f>HYPERLINK("https://webapp.icbf.com/v2/app/bull-search/view/720498924","TJY")</f>
        <v>TJY</v>
      </c>
      <c r="B700" t="s">
        <v>15100</v>
      </c>
      <c r="C700" t="s">
        <v>15101</v>
      </c>
      <c r="D700" s="1">
        <v>39294</v>
      </c>
      <c r="E700" t="s">
        <v>227</v>
      </c>
      <c r="F700">
        <v>13</v>
      </c>
      <c r="G700" t="s">
        <v>93</v>
      </c>
      <c r="H700">
        <v>167.8</v>
      </c>
      <c r="I700">
        <v>88</v>
      </c>
      <c r="J700">
        <v>57.34</v>
      </c>
      <c r="K700">
        <v>97</v>
      </c>
      <c r="L700">
        <v>50.69</v>
      </c>
      <c r="M700">
        <v>80</v>
      </c>
      <c r="N700">
        <v>45.72</v>
      </c>
      <c r="O700">
        <v>87</v>
      </c>
      <c r="P700">
        <v>-35.159999999999997</v>
      </c>
      <c r="Q700">
        <v>92</v>
      </c>
      <c r="R700">
        <v>0.62</v>
      </c>
      <c r="S700">
        <v>78</v>
      </c>
      <c r="T700">
        <v>38.619999999999997</v>
      </c>
      <c r="U700">
        <v>85</v>
      </c>
      <c r="V700">
        <v>9.9700000000000006</v>
      </c>
      <c r="W700">
        <v>81</v>
      </c>
      <c r="X700" t="s">
        <v>276</v>
      </c>
      <c r="Y700" t="s">
        <v>1923</v>
      </c>
      <c r="Z700">
        <v>0</v>
      </c>
      <c r="AA700" t="s">
        <v>4975</v>
      </c>
      <c r="AB700" t="s">
        <v>15102</v>
      </c>
      <c r="AC700">
        <v>111</v>
      </c>
      <c r="AD700">
        <v>30</v>
      </c>
      <c r="AE700">
        <v>97</v>
      </c>
      <c r="AF700">
        <v>-158.27000000000001</v>
      </c>
      <c r="AG700">
        <v>10.71</v>
      </c>
      <c r="AH700">
        <v>3.54</v>
      </c>
      <c r="AI700">
        <v>0.3</v>
      </c>
      <c r="AJ700">
        <v>0.16</v>
      </c>
      <c r="AK700">
        <v>80</v>
      </c>
      <c r="AL700">
        <v>122</v>
      </c>
      <c r="AM700">
        <v>31</v>
      </c>
      <c r="AN700">
        <v>-2.95</v>
      </c>
      <c r="AO700">
        <v>1.0900000000000001</v>
      </c>
      <c r="AP700">
        <v>231</v>
      </c>
      <c r="AQ700">
        <v>1</v>
      </c>
      <c r="AR700">
        <v>3.25</v>
      </c>
      <c r="AS700">
        <v>82</v>
      </c>
      <c r="AT700">
        <v>1.63</v>
      </c>
      <c r="AU700">
        <v>87</v>
      </c>
      <c r="AV700">
        <v>-3.17</v>
      </c>
      <c r="AW700">
        <v>97</v>
      </c>
      <c r="AX700">
        <v>-0.28000000000000003</v>
      </c>
      <c r="AY700">
        <v>84</v>
      </c>
      <c r="AZ700">
        <v>6.6</v>
      </c>
      <c r="BA700">
        <v>66</v>
      </c>
      <c r="BB700">
        <v>4.8899999999999997</v>
      </c>
      <c r="BC700">
        <v>70</v>
      </c>
      <c r="BD700">
        <v>-0.02</v>
      </c>
      <c r="BE700">
        <v>0.01</v>
      </c>
      <c r="BF700">
        <v>0</v>
      </c>
      <c r="BG700">
        <v>89</v>
      </c>
      <c r="BH700">
        <v>0.23</v>
      </c>
      <c r="BI700">
        <v>-5.57</v>
      </c>
      <c r="BJ700">
        <v>2</v>
      </c>
      <c r="BK700">
        <v>2</v>
      </c>
      <c r="BL700">
        <v>-2.73</v>
      </c>
      <c r="BM700">
        <v>-0.83</v>
      </c>
      <c r="BN700">
        <v>-0.71</v>
      </c>
      <c r="BO700">
        <v>0.03</v>
      </c>
      <c r="BP700">
        <v>-0.12</v>
      </c>
      <c r="BQ700">
        <v>-4.1500000000000004</v>
      </c>
      <c r="BR700">
        <v>2.34</v>
      </c>
      <c r="BS700">
        <v>2.13</v>
      </c>
      <c r="BT700">
        <v>-1.88</v>
      </c>
      <c r="BU700">
        <v>-1.6</v>
      </c>
      <c r="BV700">
        <v>-1.39</v>
      </c>
      <c r="BW700">
        <v>-2.84</v>
      </c>
      <c r="BX700">
        <v>-3.91</v>
      </c>
      <c r="BY700">
        <v>-0.57999999999999996</v>
      </c>
      <c r="BZ700">
        <v>-1.22</v>
      </c>
      <c r="CA700">
        <v>-0.86</v>
      </c>
      <c r="CB700">
        <v>-1.32</v>
      </c>
      <c r="CC700">
        <v>0.55000000000000004</v>
      </c>
      <c r="CD700">
        <v>-0.39</v>
      </c>
      <c r="CE700">
        <v>-0.17</v>
      </c>
      <c r="CF700">
        <v>-2.4900000000000002</v>
      </c>
      <c r="CG700">
        <v>0</v>
      </c>
      <c r="CH700">
        <v>-1.96</v>
      </c>
      <c r="CI700">
        <v>0</v>
      </c>
      <c r="CJ700">
        <v>-20.7</v>
      </c>
      <c r="CK700">
        <v>94</v>
      </c>
      <c r="CL700">
        <v>-0.75</v>
      </c>
      <c r="CM700">
        <v>92</v>
      </c>
      <c r="CN700">
        <v>-0.45</v>
      </c>
      <c r="CO700">
        <v>91</v>
      </c>
      <c r="CP700">
        <v>-27.5</v>
      </c>
      <c r="CQ700">
        <v>85</v>
      </c>
      <c r="CR700">
        <v>0</v>
      </c>
      <c r="CS700">
        <v>0</v>
      </c>
      <c r="CT700">
        <v>-38.4</v>
      </c>
      <c r="CU700">
        <v>85</v>
      </c>
      <c r="CV700">
        <v>-0.13</v>
      </c>
      <c r="CW700">
        <v>45</v>
      </c>
      <c r="CX700" t="s">
        <v>8931</v>
      </c>
    </row>
    <row r="701" spans="1:102" x14ac:dyDescent="0.3">
      <c r="A701" t="str">
        <f>HYPERLINK("https://webapp.icbf.com/v2/app/bull-search/view/676237850","BXM")</f>
        <v>BXM</v>
      </c>
      <c r="B701" t="s">
        <v>12867</v>
      </c>
      <c r="C701" t="s">
        <v>12868</v>
      </c>
      <c r="D701" s="1">
        <v>39881</v>
      </c>
      <c r="E701" t="s">
        <v>92</v>
      </c>
      <c r="F701">
        <v>44</v>
      </c>
      <c r="G701" t="s">
        <v>93</v>
      </c>
      <c r="H701">
        <v>167.73</v>
      </c>
      <c r="I701">
        <v>88</v>
      </c>
      <c r="J701">
        <v>74.349999999999994</v>
      </c>
      <c r="K701">
        <v>97</v>
      </c>
      <c r="L701">
        <v>63.56</v>
      </c>
      <c r="M701">
        <v>80</v>
      </c>
      <c r="N701">
        <v>32.71</v>
      </c>
      <c r="O701">
        <v>88</v>
      </c>
      <c r="P701">
        <v>-24.35</v>
      </c>
      <c r="Q701">
        <v>95</v>
      </c>
      <c r="R701">
        <v>-1.45</v>
      </c>
      <c r="S701">
        <v>80</v>
      </c>
      <c r="T701">
        <v>21.08</v>
      </c>
      <c r="U701">
        <v>88</v>
      </c>
      <c r="V701">
        <v>1.83</v>
      </c>
      <c r="W701">
        <v>80</v>
      </c>
      <c r="X701" t="s">
        <v>94</v>
      </c>
      <c r="Y701" t="s">
        <v>1727</v>
      </c>
      <c r="Z701" t="s">
        <v>330</v>
      </c>
      <c r="AA701" t="s">
        <v>2990</v>
      </c>
      <c r="AB701" t="s">
        <v>144</v>
      </c>
      <c r="AC701">
        <v>115</v>
      </c>
      <c r="AD701">
        <v>67</v>
      </c>
      <c r="AE701">
        <v>97</v>
      </c>
      <c r="AF701">
        <v>-53.61</v>
      </c>
      <c r="AG701">
        <v>18.670000000000002</v>
      </c>
      <c r="AH701">
        <v>5.22</v>
      </c>
      <c r="AI701">
        <v>0.37</v>
      </c>
      <c r="AJ701">
        <v>0.12</v>
      </c>
      <c r="AK701">
        <v>80</v>
      </c>
      <c r="AL701">
        <v>133</v>
      </c>
      <c r="AM701">
        <v>71</v>
      </c>
      <c r="AN701">
        <v>-2.57</v>
      </c>
      <c r="AO701">
        <v>2.5099999999999998</v>
      </c>
      <c r="AP701">
        <v>289</v>
      </c>
      <c r="AQ701">
        <v>5</v>
      </c>
      <c r="AR701">
        <v>3.18</v>
      </c>
      <c r="AS701">
        <v>77</v>
      </c>
      <c r="AT701">
        <v>1.68</v>
      </c>
      <c r="AU701">
        <v>90</v>
      </c>
      <c r="AV701">
        <v>-1.74</v>
      </c>
      <c r="AW701">
        <v>97</v>
      </c>
      <c r="AX701">
        <v>-0.42</v>
      </c>
      <c r="AY701">
        <v>86</v>
      </c>
      <c r="AZ701">
        <v>6.97</v>
      </c>
      <c r="BA701">
        <v>70</v>
      </c>
      <c r="BB701">
        <v>5.14</v>
      </c>
      <c r="BC701">
        <v>72</v>
      </c>
      <c r="BD701">
        <v>-0.04</v>
      </c>
      <c r="BE701">
        <v>0</v>
      </c>
      <c r="BF701">
        <v>0.1</v>
      </c>
      <c r="BG701">
        <v>90</v>
      </c>
      <c r="BH701">
        <v>0</v>
      </c>
      <c r="BI701">
        <v>-5.9</v>
      </c>
      <c r="BJ701">
        <v>2</v>
      </c>
      <c r="BK701">
        <v>2</v>
      </c>
      <c r="BL701">
        <v>-1.57</v>
      </c>
      <c r="BM701">
        <v>0.81</v>
      </c>
      <c r="BN701">
        <v>-0.59</v>
      </c>
      <c r="BO701">
        <v>-0.92</v>
      </c>
      <c r="BP701">
        <v>1.04</v>
      </c>
      <c r="BQ701">
        <v>-1.82</v>
      </c>
      <c r="BR701">
        <v>2.3199999999999998</v>
      </c>
      <c r="BS701">
        <v>1.54</v>
      </c>
      <c r="BT701">
        <v>-1.39</v>
      </c>
      <c r="BU701">
        <v>-0.91</v>
      </c>
      <c r="BV701">
        <v>-1.56</v>
      </c>
      <c r="BW701">
        <v>-1.95</v>
      </c>
      <c r="BX701">
        <v>-1.47</v>
      </c>
      <c r="BY701">
        <v>-0.96</v>
      </c>
      <c r="BZ701">
        <v>1.5</v>
      </c>
      <c r="CA701">
        <v>-1.06</v>
      </c>
      <c r="CB701">
        <v>-1.32</v>
      </c>
      <c r="CC701">
        <v>-0.06</v>
      </c>
      <c r="CD701">
        <v>0.83</v>
      </c>
      <c r="CE701">
        <v>-1.2</v>
      </c>
      <c r="CF701">
        <v>-1.48</v>
      </c>
      <c r="CG701">
        <v>0</v>
      </c>
      <c r="CH701">
        <v>-0.48</v>
      </c>
      <c r="CI701">
        <v>0</v>
      </c>
      <c r="CJ701">
        <v>-10.4</v>
      </c>
      <c r="CK701">
        <v>96</v>
      </c>
      <c r="CL701">
        <v>-0.67</v>
      </c>
      <c r="CM701">
        <v>95</v>
      </c>
      <c r="CN701">
        <v>0.03</v>
      </c>
      <c r="CO701">
        <v>94</v>
      </c>
      <c r="CP701">
        <v>-18.2</v>
      </c>
      <c r="CQ701">
        <v>87</v>
      </c>
      <c r="CR701">
        <v>0</v>
      </c>
      <c r="CS701">
        <v>0</v>
      </c>
      <c r="CT701">
        <v>-14.7</v>
      </c>
      <c r="CU701">
        <v>88</v>
      </c>
      <c r="CV701">
        <v>0.08</v>
      </c>
      <c r="CW701">
        <v>46</v>
      </c>
      <c r="CX701" t="s">
        <v>1936</v>
      </c>
    </row>
    <row r="702" spans="1:102" x14ac:dyDescent="0.3">
      <c r="A702" t="str">
        <f>HYPERLINK("https://webapp.icbf.com/v2/app/bull-search/view/1417502058","JE4276")</f>
        <v>JE4276</v>
      </c>
      <c r="B702" t="s">
        <v>2379</v>
      </c>
      <c r="C702" t="s">
        <v>2380</v>
      </c>
      <c r="D702" s="1">
        <v>41056</v>
      </c>
      <c r="E702" t="s">
        <v>227</v>
      </c>
      <c r="F702">
        <v>0</v>
      </c>
      <c r="G702" t="s">
        <v>109</v>
      </c>
      <c r="H702">
        <v>167.69</v>
      </c>
      <c r="I702">
        <v>68</v>
      </c>
      <c r="J702">
        <v>19.78</v>
      </c>
      <c r="K702">
        <v>85</v>
      </c>
      <c r="L702">
        <v>125.13</v>
      </c>
      <c r="M702">
        <v>69</v>
      </c>
      <c r="N702">
        <v>1.66</v>
      </c>
      <c r="O702">
        <v>72</v>
      </c>
      <c r="P702">
        <v>-65.040000000000006</v>
      </c>
      <c r="Q702">
        <v>37</v>
      </c>
      <c r="R702">
        <v>10.84</v>
      </c>
      <c r="S702">
        <v>54</v>
      </c>
      <c r="T702">
        <v>72.06</v>
      </c>
      <c r="U702">
        <v>36</v>
      </c>
      <c r="V702">
        <v>3.26</v>
      </c>
      <c r="W702">
        <v>52</v>
      </c>
      <c r="X702" t="s">
        <v>94</v>
      </c>
      <c r="Y702" t="s">
        <v>2261</v>
      </c>
      <c r="Z702">
        <v>0</v>
      </c>
      <c r="AA702" t="s">
        <v>2381</v>
      </c>
      <c r="AB702" t="s">
        <v>144</v>
      </c>
      <c r="AC702">
        <v>0</v>
      </c>
      <c r="AD702">
        <v>0</v>
      </c>
      <c r="AE702">
        <v>85</v>
      </c>
      <c r="AF702">
        <v>-782.84</v>
      </c>
      <c r="AG702">
        <v>4.8099999999999996</v>
      </c>
      <c r="AH702">
        <v>-10.32</v>
      </c>
      <c r="AI702">
        <v>0.71</v>
      </c>
      <c r="AJ702">
        <v>0.33</v>
      </c>
      <c r="AK702">
        <v>69</v>
      </c>
      <c r="AL702">
        <v>0</v>
      </c>
      <c r="AM702">
        <v>0</v>
      </c>
      <c r="AN702">
        <v>-5.17</v>
      </c>
      <c r="AO702">
        <v>4.83</v>
      </c>
      <c r="AP702">
        <v>95</v>
      </c>
      <c r="AQ702">
        <v>1</v>
      </c>
      <c r="AR702">
        <v>3.64</v>
      </c>
      <c r="AS702">
        <v>73</v>
      </c>
      <c r="AT702">
        <v>1.82</v>
      </c>
      <c r="AU702">
        <v>71</v>
      </c>
      <c r="AV702">
        <v>-1.05</v>
      </c>
      <c r="AW702">
        <v>91</v>
      </c>
      <c r="AX702">
        <v>8.9</v>
      </c>
      <c r="AY702">
        <v>63</v>
      </c>
      <c r="AZ702">
        <v>6.76</v>
      </c>
      <c r="BA702">
        <v>36</v>
      </c>
      <c r="BB702">
        <v>5.21</v>
      </c>
      <c r="BC702">
        <v>35</v>
      </c>
      <c r="BD702">
        <v>-0.08</v>
      </c>
      <c r="BE702">
        <v>-0.04</v>
      </c>
      <c r="BF702">
        <v>-0.04</v>
      </c>
      <c r="BG702">
        <v>60</v>
      </c>
      <c r="BH702">
        <v>0.14000000000000001</v>
      </c>
      <c r="BI702">
        <v>5.67</v>
      </c>
      <c r="BJ702">
        <v>0</v>
      </c>
      <c r="BK702">
        <v>0</v>
      </c>
      <c r="BL702">
        <v>-1.37</v>
      </c>
      <c r="BM702">
        <v>-2.16</v>
      </c>
      <c r="BN702">
        <v>-0.56999999999999995</v>
      </c>
      <c r="BO702">
        <v>1.46</v>
      </c>
      <c r="BP702">
        <v>-0.15</v>
      </c>
      <c r="BQ702">
        <v>-5.45</v>
      </c>
      <c r="BR702">
        <v>2.31</v>
      </c>
      <c r="BS702">
        <v>7.02</v>
      </c>
      <c r="BT702">
        <v>-1.01</v>
      </c>
      <c r="BU702">
        <v>0.69</v>
      </c>
      <c r="BV702">
        <v>0.86</v>
      </c>
      <c r="BW702">
        <v>-0.87</v>
      </c>
      <c r="BX702">
        <v>-1.82</v>
      </c>
      <c r="BY702">
        <v>0.5</v>
      </c>
      <c r="BZ702">
        <v>-0.68</v>
      </c>
      <c r="CA702">
        <v>2.35</v>
      </c>
      <c r="CB702">
        <v>0.74</v>
      </c>
      <c r="CC702">
        <v>4.5</v>
      </c>
      <c r="CD702">
        <v>-2.4</v>
      </c>
      <c r="CE702">
        <v>1.35</v>
      </c>
      <c r="CF702">
        <v>-1.4</v>
      </c>
      <c r="CG702">
        <v>0</v>
      </c>
      <c r="CH702">
        <v>-0.22</v>
      </c>
      <c r="CI702">
        <v>0</v>
      </c>
      <c r="CJ702">
        <v>-35.9</v>
      </c>
      <c r="CK702">
        <v>38</v>
      </c>
      <c r="CL702">
        <v>-1.27</v>
      </c>
      <c r="CM702">
        <v>36</v>
      </c>
      <c r="CN702">
        <v>-0.45</v>
      </c>
      <c r="CO702">
        <v>36</v>
      </c>
      <c r="CP702">
        <v>-51.1</v>
      </c>
      <c r="CQ702">
        <v>36</v>
      </c>
      <c r="CR702">
        <v>0</v>
      </c>
      <c r="CS702">
        <v>0</v>
      </c>
      <c r="CT702">
        <v>-83.6</v>
      </c>
      <c r="CU702">
        <v>36</v>
      </c>
      <c r="CV702">
        <v>-0.33</v>
      </c>
      <c r="CW702">
        <v>32</v>
      </c>
      <c r="CX702" t="s">
        <v>2181</v>
      </c>
    </row>
    <row r="703" spans="1:102" x14ac:dyDescent="0.3">
      <c r="A703" t="str">
        <f>HYPERLINK("https://webapp.icbf.com/v2/app/bull-search/view/479982689","WSU")</f>
        <v>WSU</v>
      </c>
      <c r="B703" t="s">
        <v>4794</v>
      </c>
      <c r="C703" t="s">
        <v>4795</v>
      </c>
      <c r="D703" s="1">
        <v>38985</v>
      </c>
      <c r="E703" t="s">
        <v>92</v>
      </c>
      <c r="F703">
        <v>81</v>
      </c>
      <c r="G703" t="s">
        <v>93</v>
      </c>
      <c r="H703">
        <v>167.64</v>
      </c>
      <c r="I703">
        <v>88</v>
      </c>
      <c r="J703">
        <v>4.59</v>
      </c>
      <c r="K703">
        <v>97</v>
      </c>
      <c r="L703">
        <v>116.93</v>
      </c>
      <c r="M703">
        <v>79</v>
      </c>
      <c r="N703">
        <v>25.62</v>
      </c>
      <c r="O703">
        <v>88</v>
      </c>
      <c r="P703">
        <v>-13.23</v>
      </c>
      <c r="Q703">
        <v>93</v>
      </c>
      <c r="R703">
        <v>7.84</v>
      </c>
      <c r="S703">
        <v>83</v>
      </c>
      <c r="T703">
        <v>18.489999999999998</v>
      </c>
      <c r="U703">
        <v>86</v>
      </c>
      <c r="V703">
        <v>7.4</v>
      </c>
      <c r="W703">
        <v>85</v>
      </c>
      <c r="X703" t="s">
        <v>94</v>
      </c>
      <c r="Y703" t="s">
        <v>228</v>
      </c>
      <c r="Z703" t="s">
        <v>96</v>
      </c>
      <c r="AA703" t="s">
        <v>4796</v>
      </c>
      <c r="AB703" t="s">
        <v>4797</v>
      </c>
      <c r="AC703">
        <v>100</v>
      </c>
      <c r="AD703">
        <v>75</v>
      </c>
      <c r="AE703">
        <v>97</v>
      </c>
      <c r="AF703">
        <v>45.03</v>
      </c>
      <c r="AG703">
        <v>-6.53</v>
      </c>
      <c r="AH703">
        <v>3.78</v>
      </c>
      <c r="AI703">
        <v>-0.14000000000000001</v>
      </c>
      <c r="AJ703">
        <v>0.04</v>
      </c>
      <c r="AK703">
        <v>79</v>
      </c>
      <c r="AL703">
        <v>100</v>
      </c>
      <c r="AM703">
        <v>68</v>
      </c>
      <c r="AN703">
        <v>-6.75</v>
      </c>
      <c r="AO703">
        <v>2.57</v>
      </c>
      <c r="AP703">
        <v>243</v>
      </c>
      <c r="AQ703">
        <v>3</v>
      </c>
      <c r="AR703">
        <v>4.8</v>
      </c>
      <c r="AS703">
        <v>74</v>
      </c>
      <c r="AT703">
        <v>2.09</v>
      </c>
      <c r="AU703">
        <v>89</v>
      </c>
      <c r="AV703">
        <v>-1.45</v>
      </c>
      <c r="AW703">
        <v>97</v>
      </c>
      <c r="AX703">
        <v>-0.49</v>
      </c>
      <c r="AY703">
        <v>84</v>
      </c>
      <c r="AZ703">
        <v>6.02</v>
      </c>
      <c r="BA703">
        <v>68</v>
      </c>
      <c r="BB703">
        <v>5.4</v>
      </c>
      <c r="BC703">
        <v>74</v>
      </c>
      <c r="BD703">
        <v>-0.02</v>
      </c>
      <c r="BE703">
        <v>-0.03</v>
      </c>
      <c r="BF703">
        <v>-0.09</v>
      </c>
      <c r="BG703">
        <v>89</v>
      </c>
      <c r="BH703">
        <v>0.1</v>
      </c>
      <c r="BI703">
        <v>-12.29</v>
      </c>
      <c r="BJ703">
        <v>7</v>
      </c>
      <c r="BK703">
        <v>6</v>
      </c>
      <c r="BL703">
        <v>-0.45</v>
      </c>
      <c r="BM703">
        <v>0.65</v>
      </c>
      <c r="BN703">
        <v>-0.91</v>
      </c>
      <c r="BO703">
        <v>-0.85</v>
      </c>
      <c r="BP703">
        <v>0.2</v>
      </c>
      <c r="BQ703">
        <v>0.62</v>
      </c>
      <c r="BR703">
        <v>7.0000000000000007E-2</v>
      </c>
      <c r="BS703">
        <v>-1.93</v>
      </c>
      <c r="BT703">
        <v>-0.12</v>
      </c>
      <c r="BU703">
        <v>-0.38</v>
      </c>
      <c r="BV703">
        <v>-0.65</v>
      </c>
      <c r="BW703">
        <v>-1.29</v>
      </c>
      <c r="BX703">
        <v>-0.68</v>
      </c>
      <c r="BY703">
        <v>-0.84</v>
      </c>
      <c r="BZ703">
        <v>0.76</v>
      </c>
      <c r="CA703">
        <v>-1</v>
      </c>
      <c r="CB703">
        <v>-0.94</v>
      </c>
      <c r="CC703">
        <v>-0.77</v>
      </c>
      <c r="CD703">
        <v>1.07</v>
      </c>
      <c r="CE703">
        <v>-0.51</v>
      </c>
      <c r="CF703">
        <v>-0.12</v>
      </c>
      <c r="CG703">
        <v>0</v>
      </c>
      <c r="CH703">
        <v>-1.57</v>
      </c>
      <c r="CI703">
        <v>0</v>
      </c>
      <c r="CJ703">
        <v>-5.0999999999999996</v>
      </c>
      <c r="CK703">
        <v>94</v>
      </c>
      <c r="CL703">
        <v>-0.43</v>
      </c>
      <c r="CM703">
        <v>93</v>
      </c>
      <c r="CN703">
        <v>-0.01</v>
      </c>
      <c r="CO703">
        <v>92</v>
      </c>
      <c r="CP703">
        <v>-12.5</v>
      </c>
      <c r="CQ703">
        <v>88</v>
      </c>
      <c r="CR703">
        <v>0</v>
      </c>
      <c r="CS703">
        <v>0</v>
      </c>
      <c r="CT703">
        <v>-11.2</v>
      </c>
      <c r="CU703">
        <v>86</v>
      </c>
      <c r="CV703">
        <v>0.05</v>
      </c>
      <c r="CW703">
        <v>45</v>
      </c>
      <c r="CX703" t="s">
        <v>1390</v>
      </c>
    </row>
    <row r="704" spans="1:102" x14ac:dyDescent="0.3">
      <c r="A704" t="str">
        <f>HYPERLINK("https://webapp.icbf.com/v2/app/bull-search/view/1354258544","JE4332")</f>
        <v>JE4332</v>
      </c>
      <c r="B704" t="s">
        <v>13971</v>
      </c>
      <c r="C704" t="s">
        <v>13972</v>
      </c>
      <c r="D704" s="1">
        <v>42400</v>
      </c>
      <c r="E704" t="s">
        <v>227</v>
      </c>
      <c r="F704">
        <v>0</v>
      </c>
      <c r="G704" t="s">
        <v>435</v>
      </c>
      <c r="H704">
        <v>167.56</v>
      </c>
      <c r="I704">
        <v>74</v>
      </c>
      <c r="J704">
        <v>68.73</v>
      </c>
      <c r="K704">
        <v>87</v>
      </c>
      <c r="L704">
        <v>40.06</v>
      </c>
      <c r="M704">
        <v>68</v>
      </c>
      <c r="N704">
        <v>42.44</v>
      </c>
      <c r="O704">
        <v>83</v>
      </c>
      <c r="P704">
        <v>-58.98</v>
      </c>
      <c r="Q704">
        <v>62</v>
      </c>
      <c r="R704">
        <v>5.13</v>
      </c>
      <c r="S704">
        <v>68</v>
      </c>
      <c r="T704">
        <v>57.63</v>
      </c>
      <c r="U704">
        <v>55</v>
      </c>
      <c r="V704">
        <v>12.55</v>
      </c>
      <c r="W704">
        <v>67</v>
      </c>
      <c r="X704" t="s">
        <v>94</v>
      </c>
      <c r="Y704" t="s">
        <v>2255</v>
      </c>
      <c r="Z704">
        <v>0</v>
      </c>
      <c r="AA704" t="s">
        <v>1744</v>
      </c>
      <c r="AB704" t="s">
        <v>144</v>
      </c>
      <c r="AC704">
        <v>0</v>
      </c>
      <c r="AD704">
        <v>0</v>
      </c>
      <c r="AE704">
        <v>87</v>
      </c>
      <c r="AF704">
        <v>-340.05</v>
      </c>
      <c r="AG704">
        <v>13.41</v>
      </c>
      <c r="AH704">
        <v>1.74</v>
      </c>
      <c r="AI704">
        <v>0.49</v>
      </c>
      <c r="AJ704">
        <v>0.25</v>
      </c>
      <c r="AK704">
        <v>68</v>
      </c>
      <c r="AL704">
        <v>0</v>
      </c>
      <c r="AM704">
        <v>0</v>
      </c>
      <c r="AN704">
        <v>-2.5299999999999998</v>
      </c>
      <c r="AO704">
        <v>0.66</v>
      </c>
      <c r="AP704">
        <v>228</v>
      </c>
      <c r="AQ704">
        <v>0</v>
      </c>
      <c r="AR704">
        <v>4.1399999999999997</v>
      </c>
      <c r="AS704">
        <v>82</v>
      </c>
      <c r="AT704">
        <v>1.67</v>
      </c>
      <c r="AU704">
        <v>85</v>
      </c>
      <c r="AV704">
        <v>-3.39</v>
      </c>
      <c r="AW704">
        <v>96</v>
      </c>
      <c r="AX704">
        <v>0.31</v>
      </c>
      <c r="AY704">
        <v>77</v>
      </c>
      <c r="AZ704">
        <v>6.9</v>
      </c>
      <c r="BA704">
        <v>51</v>
      </c>
      <c r="BB704">
        <v>5.16</v>
      </c>
      <c r="BC704">
        <v>51</v>
      </c>
      <c r="BD704">
        <v>-0.06</v>
      </c>
      <c r="BE704">
        <v>-0.02</v>
      </c>
      <c r="BF704">
        <v>0.02</v>
      </c>
      <c r="BG704">
        <v>73</v>
      </c>
      <c r="BH704">
        <v>0.24</v>
      </c>
      <c r="BI704">
        <v>-12.73</v>
      </c>
      <c r="BJ704">
        <v>0</v>
      </c>
      <c r="BK704">
        <v>0</v>
      </c>
      <c r="BL704">
        <v>-2.93</v>
      </c>
      <c r="BM704">
        <v>-0.35</v>
      </c>
      <c r="BN704">
        <v>0.72</v>
      </c>
      <c r="BO704">
        <v>1.04</v>
      </c>
      <c r="BP704">
        <v>-0.36</v>
      </c>
      <c r="BQ704">
        <v>-4.74</v>
      </c>
      <c r="BR704">
        <v>3.81</v>
      </c>
      <c r="BS704">
        <v>5.13</v>
      </c>
      <c r="BT704">
        <v>-2.14</v>
      </c>
      <c r="BU704">
        <v>-0.67</v>
      </c>
      <c r="BV704">
        <v>-0.83</v>
      </c>
      <c r="BW704">
        <v>-2.69</v>
      </c>
      <c r="BX704">
        <v>-3.96</v>
      </c>
      <c r="BY704">
        <v>0.95</v>
      </c>
      <c r="BZ704">
        <v>-0.84</v>
      </c>
      <c r="CA704">
        <v>0.83</v>
      </c>
      <c r="CB704">
        <v>-0.43</v>
      </c>
      <c r="CC704">
        <v>3.36</v>
      </c>
      <c r="CD704">
        <v>-1.07</v>
      </c>
      <c r="CE704">
        <v>0.61</v>
      </c>
      <c r="CF704">
        <v>-2.59</v>
      </c>
      <c r="CG704">
        <v>0</v>
      </c>
      <c r="CH704">
        <v>-0.33</v>
      </c>
      <c r="CI704">
        <v>0</v>
      </c>
      <c r="CJ704">
        <v>-32.700000000000003</v>
      </c>
      <c r="CK704">
        <v>67</v>
      </c>
      <c r="CL704">
        <v>-1.01</v>
      </c>
      <c r="CM704">
        <v>57</v>
      </c>
      <c r="CN704">
        <v>-0.3</v>
      </c>
      <c r="CO704">
        <v>56</v>
      </c>
      <c r="CP704">
        <v>-46.3</v>
      </c>
      <c r="CQ704">
        <v>54</v>
      </c>
      <c r="CR704">
        <v>0</v>
      </c>
      <c r="CS704">
        <v>0</v>
      </c>
      <c r="CT704">
        <v>-64.099999999999994</v>
      </c>
      <c r="CU704">
        <v>55</v>
      </c>
      <c r="CV704">
        <v>-0.25</v>
      </c>
      <c r="CW704">
        <v>38</v>
      </c>
      <c r="CX704" t="s">
        <v>2026</v>
      </c>
    </row>
    <row r="705" spans="1:102" x14ac:dyDescent="0.3">
      <c r="A705" t="str">
        <f>HYPERLINK("https://webapp.icbf.com/v2/app/bull-search/view/414146582","LRZ")</f>
        <v>LRZ</v>
      </c>
      <c r="B705" t="s">
        <v>2912</v>
      </c>
      <c r="C705" t="s">
        <v>2913</v>
      </c>
      <c r="D705" s="1">
        <v>36288</v>
      </c>
      <c r="E705" t="s">
        <v>92</v>
      </c>
      <c r="F705">
        <v>100</v>
      </c>
      <c r="G705" t="s">
        <v>93</v>
      </c>
      <c r="H705">
        <v>167.45</v>
      </c>
      <c r="I705">
        <v>98</v>
      </c>
      <c r="J705">
        <v>25.09</v>
      </c>
      <c r="K705">
        <v>99</v>
      </c>
      <c r="L705">
        <v>86.76</v>
      </c>
      <c r="M705">
        <v>96</v>
      </c>
      <c r="N705">
        <v>36.630000000000003</v>
      </c>
      <c r="O705">
        <v>99</v>
      </c>
      <c r="P705">
        <v>-10.41</v>
      </c>
      <c r="Q705">
        <v>99</v>
      </c>
      <c r="R705">
        <v>11.92</v>
      </c>
      <c r="S705">
        <v>97</v>
      </c>
      <c r="T705">
        <v>8.42</v>
      </c>
      <c r="U705">
        <v>99</v>
      </c>
      <c r="V705">
        <v>9.0399999999999991</v>
      </c>
      <c r="W705">
        <v>98</v>
      </c>
      <c r="X705" t="s">
        <v>102</v>
      </c>
      <c r="Y705" t="s">
        <v>95</v>
      </c>
      <c r="Z705" t="s">
        <v>96</v>
      </c>
      <c r="AA705" t="s">
        <v>2914</v>
      </c>
      <c r="AB705" t="s">
        <v>2463</v>
      </c>
      <c r="AC705">
        <v>2602</v>
      </c>
      <c r="AD705">
        <v>655</v>
      </c>
      <c r="AE705">
        <v>99</v>
      </c>
      <c r="AF705">
        <v>-13.84</v>
      </c>
      <c r="AG705">
        <v>7.73</v>
      </c>
      <c r="AH705">
        <v>1.32</v>
      </c>
      <c r="AI705">
        <v>0.14000000000000001</v>
      </c>
      <c r="AJ705">
        <v>0.03</v>
      </c>
      <c r="AK705">
        <v>96</v>
      </c>
      <c r="AL705">
        <v>2903</v>
      </c>
      <c r="AM705">
        <v>799</v>
      </c>
      <c r="AN705">
        <v>-3.9</v>
      </c>
      <c r="AO705">
        <v>3.03</v>
      </c>
      <c r="AP705">
        <v>4802</v>
      </c>
      <c r="AQ705">
        <v>39</v>
      </c>
      <c r="AR705">
        <v>6.16</v>
      </c>
      <c r="AS705">
        <v>99</v>
      </c>
      <c r="AT705">
        <v>2.31</v>
      </c>
      <c r="AU705">
        <v>99</v>
      </c>
      <c r="AV705">
        <v>-3.04</v>
      </c>
      <c r="AW705">
        <v>99</v>
      </c>
      <c r="AX705">
        <v>-0.01</v>
      </c>
      <c r="AY705">
        <v>99</v>
      </c>
      <c r="AZ705">
        <v>5.46</v>
      </c>
      <c r="BA705">
        <v>97</v>
      </c>
      <c r="BB705">
        <v>4.76</v>
      </c>
      <c r="BC705">
        <v>98</v>
      </c>
      <c r="BD705">
        <v>-0.06</v>
      </c>
      <c r="BE705">
        <v>-0.06</v>
      </c>
      <c r="BF705">
        <v>-0.06</v>
      </c>
      <c r="BG705">
        <v>99</v>
      </c>
      <c r="BH705">
        <v>0.11</v>
      </c>
      <c r="BI705">
        <v>-16.43</v>
      </c>
      <c r="BJ705">
        <v>361</v>
      </c>
      <c r="BK705">
        <v>132</v>
      </c>
      <c r="BL705">
        <v>-0.18</v>
      </c>
      <c r="BM705">
        <v>-0.34</v>
      </c>
      <c r="BN705">
        <v>-0.26</v>
      </c>
      <c r="BO705">
        <v>0.35</v>
      </c>
      <c r="BP705">
        <v>0.85</v>
      </c>
      <c r="BQ705">
        <v>0.06</v>
      </c>
      <c r="BR705">
        <v>1.33</v>
      </c>
      <c r="BS705">
        <v>1.95</v>
      </c>
      <c r="BT705">
        <v>0.56999999999999995</v>
      </c>
      <c r="BU705">
        <v>0.36</v>
      </c>
      <c r="BV705">
        <v>-0.91</v>
      </c>
      <c r="BW705">
        <v>-0.83</v>
      </c>
      <c r="BX705">
        <v>0.22</v>
      </c>
      <c r="BY705">
        <v>0.25</v>
      </c>
      <c r="BZ705">
        <v>-1.3</v>
      </c>
      <c r="CA705">
        <v>0.56999999999999995</v>
      </c>
      <c r="CB705">
        <v>-0.05</v>
      </c>
      <c r="CC705">
        <v>1.53</v>
      </c>
      <c r="CD705">
        <v>-0.09</v>
      </c>
      <c r="CE705">
        <v>0.64</v>
      </c>
      <c r="CF705">
        <v>0.14000000000000001</v>
      </c>
      <c r="CG705">
        <v>0</v>
      </c>
      <c r="CH705">
        <v>0.21</v>
      </c>
      <c r="CI705">
        <v>0</v>
      </c>
      <c r="CJ705">
        <v>-3.5</v>
      </c>
      <c r="CK705">
        <v>99</v>
      </c>
      <c r="CL705">
        <v>-0.62</v>
      </c>
      <c r="CM705">
        <v>99</v>
      </c>
      <c r="CN705">
        <v>-0.12</v>
      </c>
      <c r="CO705">
        <v>99</v>
      </c>
      <c r="CP705">
        <v>-3.9</v>
      </c>
      <c r="CQ705">
        <v>99</v>
      </c>
      <c r="CR705">
        <v>0</v>
      </c>
      <c r="CS705">
        <v>0</v>
      </c>
      <c r="CT705">
        <v>2.4</v>
      </c>
      <c r="CU705">
        <v>99</v>
      </c>
      <c r="CV705">
        <v>0.05</v>
      </c>
      <c r="CW705">
        <v>47</v>
      </c>
      <c r="CX705" t="s">
        <v>1368</v>
      </c>
    </row>
    <row r="706" spans="1:102" x14ac:dyDescent="0.3">
      <c r="A706" t="str">
        <f>HYPERLINK("https://webapp.icbf.com/v2/app/bull-search/view/553736306","TBI")</f>
        <v>TBI</v>
      </c>
      <c r="B706" t="s">
        <v>12111</v>
      </c>
      <c r="C706" t="s">
        <v>12112</v>
      </c>
      <c r="D706" s="1">
        <v>39476</v>
      </c>
      <c r="E706" t="s">
        <v>395</v>
      </c>
      <c r="F706">
        <v>0</v>
      </c>
      <c r="G706" t="s">
        <v>93</v>
      </c>
      <c r="H706">
        <v>167.36</v>
      </c>
      <c r="I706">
        <v>84</v>
      </c>
      <c r="J706">
        <v>21.09</v>
      </c>
      <c r="K706">
        <v>96</v>
      </c>
      <c r="L706">
        <v>97.91</v>
      </c>
      <c r="M706">
        <v>73</v>
      </c>
      <c r="N706">
        <v>32.659999999999997</v>
      </c>
      <c r="O706">
        <v>84</v>
      </c>
      <c r="P706">
        <v>-10.01</v>
      </c>
      <c r="Q706">
        <v>90</v>
      </c>
      <c r="R706">
        <v>15.35</v>
      </c>
      <c r="S706">
        <v>77</v>
      </c>
      <c r="T706">
        <v>18.41</v>
      </c>
      <c r="U706">
        <v>86</v>
      </c>
      <c r="V706">
        <v>-8.0500000000000007</v>
      </c>
      <c r="W706">
        <v>79</v>
      </c>
      <c r="X706" t="s">
        <v>94</v>
      </c>
      <c r="Y706" t="s">
        <v>4217</v>
      </c>
      <c r="Z706">
        <v>0</v>
      </c>
      <c r="AA706" t="s">
        <v>12113</v>
      </c>
      <c r="AB706" t="s">
        <v>12114</v>
      </c>
      <c r="AC706">
        <v>63</v>
      </c>
      <c r="AD706">
        <v>42</v>
      </c>
      <c r="AE706">
        <v>96</v>
      </c>
      <c r="AF706">
        <v>-125.27</v>
      </c>
      <c r="AG706">
        <v>1.58</v>
      </c>
      <c r="AH706">
        <v>1.1100000000000001</v>
      </c>
      <c r="AI706">
        <v>0.12</v>
      </c>
      <c r="AJ706">
        <v>0.1</v>
      </c>
      <c r="AK706">
        <v>73</v>
      </c>
      <c r="AL706">
        <v>75</v>
      </c>
      <c r="AM706">
        <v>46</v>
      </c>
      <c r="AN706">
        <v>-4.45</v>
      </c>
      <c r="AO706">
        <v>3.37</v>
      </c>
      <c r="AP706">
        <v>185</v>
      </c>
      <c r="AQ706">
        <v>2</v>
      </c>
      <c r="AR706">
        <v>5.99</v>
      </c>
      <c r="AS706">
        <v>68</v>
      </c>
      <c r="AT706">
        <v>2.48</v>
      </c>
      <c r="AU706">
        <v>86</v>
      </c>
      <c r="AV706">
        <v>-3.3</v>
      </c>
      <c r="AW706">
        <v>96</v>
      </c>
      <c r="AX706">
        <v>0.21</v>
      </c>
      <c r="AY706">
        <v>79</v>
      </c>
      <c r="AZ706">
        <v>6.74</v>
      </c>
      <c r="BA706">
        <v>60</v>
      </c>
      <c r="BB706">
        <v>5.31</v>
      </c>
      <c r="BC706">
        <v>64</v>
      </c>
      <c r="BD706">
        <v>-0.09</v>
      </c>
      <c r="BE706">
        <v>-7.0000000000000007E-2</v>
      </c>
      <c r="BF706">
        <v>-7.0000000000000007E-2</v>
      </c>
      <c r="BG706">
        <v>85</v>
      </c>
      <c r="BH706">
        <v>-0.39</v>
      </c>
      <c r="BI706">
        <v>-19.16</v>
      </c>
      <c r="BJ706">
        <v>16</v>
      </c>
      <c r="BK706">
        <v>10</v>
      </c>
      <c r="BL706">
        <v>-1.22</v>
      </c>
      <c r="BM706">
        <v>2.5299999999999998</v>
      </c>
      <c r="BN706">
        <v>-0.82</v>
      </c>
      <c r="BO706">
        <v>-1.97</v>
      </c>
      <c r="BP706">
        <v>1.61</v>
      </c>
      <c r="BQ706">
        <v>0.33</v>
      </c>
      <c r="BR706">
        <v>1.04</v>
      </c>
      <c r="BS706">
        <v>0.48</v>
      </c>
      <c r="BT706">
        <v>-0.49</v>
      </c>
      <c r="BU706">
        <v>-0.08</v>
      </c>
      <c r="BV706">
        <v>-1.81</v>
      </c>
      <c r="BW706">
        <v>-1.51</v>
      </c>
      <c r="BX706">
        <v>-0.22</v>
      </c>
      <c r="BY706">
        <v>-0.19</v>
      </c>
      <c r="BZ706">
        <v>-2</v>
      </c>
      <c r="CA706">
        <v>-1.61</v>
      </c>
      <c r="CB706">
        <v>-1.56</v>
      </c>
      <c r="CC706">
        <v>-1.0900000000000001</v>
      </c>
      <c r="CD706">
        <v>1.9</v>
      </c>
      <c r="CE706">
        <v>-1.67</v>
      </c>
      <c r="CF706">
        <v>-0.68</v>
      </c>
      <c r="CG706">
        <v>0</v>
      </c>
      <c r="CH706">
        <v>-0.28000000000000003</v>
      </c>
      <c r="CI706">
        <v>0</v>
      </c>
      <c r="CJ706">
        <v>-3.5</v>
      </c>
      <c r="CK706">
        <v>92</v>
      </c>
      <c r="CL706">
        <v>-0.32</v>
      </c>
      <c r="CM706">
        <v>90</v>
      </c>
      <c r="CN706">
        <v>0.03</v>
      </c>
      <c r="CO706">
        <v>89</v>
      </c>
      <c r="CP706">
        <v>-10.199999999999999</v>
      </c>
      <c r="CQ706">
        <v>83</v>
      </c>
      <c r="CR706">
        <v>0</v>
      </c>
      <c r="CS706">
        <v>0</v>
      </c>
      <c r="CT706">
        <v>-11.1</v>
      </c>
      <c r="CU706">
        <v>86</v>
      </c>
      <c r="CV706">
        <v>0.03</v>
      </c>
      <c r="CW706">
        <v>44</v>
      </c>
      <c r="CX706" t="s">
        <v>8101</v>
      </c>
    </row>
    <row r="707" spans="1:102" x14ac:dyDescent="0.3">
      <c r="A707" t="str">
        <f>HYPERLINK("https://webapp.icbf.com/v2/app/bull-search/view/1337270010","RW2416")</f>
        <v>RW2416</v>
      </c>
      <c r="B707" t="s">
        <v>14701</v>
      </c>
      <c r="C707" t="s">
        <v>14702</v>
      </c>
      <c r="D707" s="1">
        <v>41545</v>
      </c>
      <c r="E707" t="s">
        <v>59</v>
      </c>
      <c r="F707">
        <v>0</v>
      </c>
      <c r="G707" t="s">
        <v>109</v>
      </c>
      <c r="H707">
        <v>166.97</v>
      </c>
      <c r="I707">
        <v>65</v>
      </c>
      <c r="J707">
        <v>65.48</v>
      </c>
      <c r="K707">
        <v>82</v>
      </c>
      <c r="L707">
        <v>52.11</v>
      </c>
      <c r="M707">
        <v>72</v>
      </c>
      <c r="N707">
        <v>37.76</v>
      </c>
      <c r="O707">
        <v>63</v>
      </c>
      <c r="P707">
        <v>-19.86</v>
      </c>
      <c r="Q707">
        <v>35</v>
      </c>
      <c r="R707">
        <v>7.26</v>
      </c>
      <c r="S707">
        <v>34</v>
      </c>
      <c r="T707">
        <v>24.33</v>
      </c>
      <c r="U707">
        <v>34</v>
      </c>
      <c r="V707">
        <v>-0.11</v>
      </c>
      <c r="W707">
        <v>33</v>
      </c>
      <c r="X707" t="s">
        <v>276</v>
      </c>
      <c r="Y707" t="s">
        <v>429</v>
      </c>
      <c r="Z707">
        <v>0</v>
      </c>
      <c r="AA707" t="s">
        <v>14703</v>
      </c>
      <c r="AB707" t="s">
        <v>144</v>
      </c>
      <c r="AC707">
        <v>0</v>
      </c>
      <c r="AD707">
        <v>0</v>
      </c>
      <c r="AE707">
        <v>82</v>
      </c>
      <c r="AF707">
        <v>209.1</v>
      </c>
      <c r="AG707">
        <v>12.57</v>
      </c>
      <c r="AH707">
        <v>9.89</v>
      </c>
      <c r="AI707">
        <v>7.0000000000000007E-2</v>
      </c>
      <c r="AJ707">
        <v>0.05</v>
      </c>
      <c r="AK707">
        <v>72</v>
      </c>
      <c r="AL707">
        <v>0</v>
      </c>
      <c r="AM707">
        <v>0</v>
      </c>
      <c r="AN707">
        <v>-0.97</v>
      </c>
      <c r="AO707">
        <v>3.21</v>
      </c>
      <c r="AP707">
        <v>35</v>
      </c>
      <c r="AQ707">
        <v>0</v>
      </c>
      <c r="AR707">
        <v>6.26</v>
      </c>
      <c r="AS707">
        <v>48</v>
      </c>
      <c r="AT707">
        <v>2.76</v>
      </c>
      <c r="AU707">
        <v>76</v>
      </c>
      <c r="AV707">
        <v>-3.87</v>
      </c>
      <c r="AW707">
        <v>76</v>
      </c>
      <c r="AX707">
        <v>-0.16</v>
      </c>
      <c r="AY707">
        <v>52</v>
      </c>
      <c r="AZ707">
        <v>6</v>
      </c>
      <c r="BA707">
        <v>22</v>
      </c>
      <c r="BB707">
        <v>5.07</v>
      </c>
      <c r="BC707">
        <v>22</v>
      </c>
      <c r="BD707">
        <v>-0.03</v>
      </c>
      <c r="BE707">
        <v>-0.03</v>
      </c>
      <c r="BF707">
        <v>-0.06</v>
      </c>
      <c r="BG707">
        <v>39</v>
      </c>
      <c r="BH707">
        <v>-0.08</v>
      </c>
      <c r="BI707">
        <v>-8.91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-8.3000000000000007</v>
      </c>
      <c r="CK707">
        <v>36</v>
      </c>
      <c r="CL707">
        <v>-0.87</v>
      </c>
      <c r="CM707">
        <v>34</v>
      </c>
      <c r="CN707">
        <v>-0.35</v>
      </c>
      <c r="CO707">
        <v>34</v>
      </c>
      <c r="CP707">
        <v>-23.5</v>
      </c>
      <c r="CQ707">
        <v>34</v>
      </c>
      <c r="CR707">
        <v>0</v>
      </c>
      <c r="CS707">
        <v>0</v>
      </c>
      <c r="CT707">
        <v>-19.100000000000001</v>
      </c>
      <c r="CU707">
        <v>34</v>
      </c>
      <c r="CV707">
        <v>-7.0000000000000007E-2</v>
      </c>
      <c r="CW707">
        <v>32</v>
      </c>
      <c r="CX707" t="s">
        <v>5304</v>
      </c>
    </row>
    <row r="708" spans="1:102" x14ac:dyDescent="0.3">
      <c r="A708" t="str">
        <f>HYPERLINK("https://webapp.icbf.com/v2/app/bull-search/view/550984494","LXK")</f>
        <v>LXK</v>
      </c>
      <c r="B708" t="s">
        <v>14728</v>
      </c>
      <c r="C708" t="s">
        <v>14729</v>
      </c>
      <c r="D708" s="1">
        <v>38926</v>
      </c>
      <c r="E708" t="s">
        <v>227</v>
      </c>
      <c r="F708">
        <v>0</v>
      </c>
      <c r="G708" t="s">
        <v>93</v>
      </c>
      <c r="H708">
        <v>166.83</v>
      </c>
      <c r="I708">
        <v>93</v>
      </c>
      <c r="J708">
        <v>37.11</v>
      </c>
      <c r="K708">
        <v>98</v>
      </c>
      <c r="L708">
        <v>66.33</v>
      </c>
      <c r="M708">
        <v>88</v>
      </c>
      <c r="N708">
        <v>38.549999999999997</v>
      </c>
      <c r="O708">
        <v>94</v>
      </c>
      <c r="P708">
        <v>-53.2</v>
      </c>
      <c r="Q708">
        <v>96</v>
      </c>
      <c r="R708">
        <v>6.97</v>
      </c>
      <c r="S708">
        <v>89</v>
      </c>
      <c r="T708">
        <v>58.45</v>
      </c>
      <c r="U708">
        <v>94</v>
      </c>
      <c r="V708">
        <v>12.62</v>
      </c>
      <c r="W708">
        <v>92</v>
      </c>
      <c r="X708" t="s">
        <v>94</v>
      </c>
      <c r="Y708" t="s">
        <v>1524</v>
      </c>
      <c r="Z708">
        <v>0</v>
      </c>
      <c r="AA708" t="s">
        <v>14730</v>
      </c>
      <c r="AB708" t="s">
        <v>14731</v>
      </c>
      <c r="AC708">
        <v>281</v>
      </c>
      <c r="AD708">
        <v>122</v>
      </c>
      <c r="AE708">
        <v>98</v>
      </c>
      <c r="AF708">
        <v>-484.49</v>
      </c>
      <c r="AG708">
        <v>6.15</v>
      </c>
      <c r="AH708">
        <v>-3.28</v>
      </c>
      <c r="AI708">
        <v>0.48</v>
      </c>
      <c r="AJ708">
        <v>0.25</v>
      </c>
      <c r="AK708">
        <v>88</v>
      </c>
      <c r="AL708">
        <v>303</v>
      </c>
      <c r="AM708">
        <v>136</v>
      </c>
      <c r="AN708">
        <v>-2.81</v>
      </c>
      <c r="AO708">
        <v>2.4900000000000002</v>
      </c>
      <c r="AP708">
        <v>583</v>
      </c>
      <c r="AQ708">
        <v>5</v>
      </c>
      <c r="AR708">
        <v>2.09</v>
      </c>
      <c r="AS708">
        <v>90</v>
      </c>
      <c r="AT708">
        <v>1.28</v>
      </c>
      <c r="AU708">
        <v>94</v>
      </c>
      <c r="AV708">
        <v>-2.57</v>
      </c>
      <c r="AW708">
        <v>99</v>
      </c>
      <c r="AX708">
        <v>0.35</v>
      </c>
      <c r="AY708">
        <v>93</v>
      </c>
      <c r="AZ708">
        <v>7.87</v>
      </c>
      <c r="BA708">
        <v>80</v>
      </c>
      <c r="BB708">
        <v>5.29</v>
      </c>
      <c r="BC708">
        <v>83</v>
      </c>
      <c r="BD708">
        <v>-0.08</v>
      </c>
      <c r="BE708">
        <v>-0.03</v>
      </c>
      <c r="BF708">
        <v>0.03</v>
      </c>
      <c r="BG708">
        <v>95</v>
      </c>
      <c r="BH708">
        <v>0.22</v>
      </c>
      <c r="BI708">
        <v>-15.25</v>
      </c>
      <c r="BJ708">
        <v>41</v>
      </c>
      <c r="BK708">
        <v>15</v>
      </c>
      <c r="BL708">
        <v>-2.66</v>
      </c>
      <c r="BM708">
        <v>-2.31</v>
      </c>
      <c r="BN708">
        <v>-1.33</v>
      </c>
      <c r="BO708">
        <v>0.45</v>
      </c>
      <c r="BP708">
        <v>-1.17</v>
      </c>
      <c r="BQ708">
        <v>-7.73</v>
      </c>
      <c r="BR708">
        <v>2.38</v>
      </c>
      <c r="BS708">
        <v>5.97</v>
      </c>
      <c r="BT708">
        <v>-1.63</v>
      </c>
      <c r="BU708">
        <v>0.39</v>
      </c>
      <c r="BV708">
        <v>0.68</v>
      </c>
      <c r="BW708">
        <v>-1.99</v>
      </c>
      <c r="BX708">
        <v>-3.39</v>
      </c>
      <c r="BY708">
        <v>0.56999999999999995</v>
      </c>
      <c r="BZ708">
        <v>0</v>
      </c>
      <c r="CA708">
        <v>1.26</v>
      </c>
      <c r="CB708">
        <v>-0.04</v>
      </c>
      <c r="CC708">
        <v>3.18</v>
      </c>
      <c r="CD708">
        <v>-2.73</v>
      </c>
      <c r="CE708">
        <v>0.36</v>
      </c>
      <c r="CF708">
        <v>-3.15</v>
      </c>
      <c r="CG708">
        <v>0</v>
      </c>
      <c r="CH708">
        <v>0.23</v>
      </c>
      <c r="CI708">
        <v>0</v>
      </c>
      <c r="CJ708">
        <v>-27.7</v>
      </c>
      <c r="CK708">
        <v>97</v>
      </c>
      <c r="CL708">
        <v>-0.93</v>
      </c>
      <c r="CM708">
        <v>96</v>
      </c>
      <c r="CN708">
        <v>-0.08</v>
      </c>
      <c r="CO708">
        <v>96</v>
      </c>
      <c r="CP708">
        <v>-42.1</v>
      </c>
      <c r="CQ708">
        <v>94</v>
      </c>
      <c r="CR708">
        <v>0</v>
      </c>
      <c r="CS708">
        <v>0</v>
      </c>
      <c r="CT708">
        <v>-65.2</v>
      </c>
      <c r="CU708">
        <v>94</v>
      </c>
      <c r="CV708">
        <v>-0.26</v>
      </c>
      <c r="CW708">
        <v>45</v>
      </c>
      <c r="CX708" t="s">
        <v>7080</v>
      </c>
    </row>
    <row r="709" spans="1:102" x14ac:dyDescent="0.3">
      <c r="A709" t="str">
        <f>HYPERLINK("https://webapp.icbf.com/v2/app/bull-search/view/869412387","PSZ")</f>
        <v>PSZ</v>
      </c>
      <c r="B709" t="s">
        <v>10145</v>
      </c>
      <c r="C709" t="s">
        <v>2235</v>
      </c>
      <c r="D709" s="1">
        <v>40615</v>
      </c>
      <c r="E709" t="s">
        <v>92</v>
      </c>
      <c r="F709">
        <v>72</v>
      </c>
      <c r="G709" t="s">
        <v>93</v>
      </c>
      <c r="H709">
        <v>166.64</v>
      </c>
      <c r="I709">
        <v>97</v>
      </c>
      <c r="J709">
        <v>40.11</v>
      </c>
      <c r="K709">
        <v>99</v>
      </c>
      <c r="L709">
        <v>89.06</v>
      </c>
      <c r="M709">
        <v>95</v>
      </c>
      <c r="N709">
        <v>51.82</v>
      </c>
      <c r="O709">
        <v>99</v>
      </c>
      <c r="P709">
        <v>-19.440000000000001</v>
      </c>
      <c r="Q709">
        <v>99</v>
      </c>
      <c r="R709">
        <v>7.07</v>
      </c>
      <c r="S709">
        <v>97</v>
      </c>
      <c r="T709">
        <v>6.57</v>
      </c>
      <c r="U709">
        <v>99</v>
      </c>
      <c r="V709">
        <v>-8.5500000000000007</v>
      </c>
      <c r="W709">
        <v>85</v>
      </c>
      <c r="X709" t="s">
        <v>94</v>
      </c>
      <c r="Y709" t="s">
        <v>1860</v>
      </c>
      <c r="Z709" t="s">
        <v>96</v>
      </c>
      <c r="AA709" t="s">
        <v>1939</v>
      </c>
      <c r="AB709" t="s">
        <v>10146</v>
      </c>
      <c r="AC709">
        <v>3939</v>
      </c>
      <c r="AD709">
        <v>1245</v>
      </c>
      <c r="AE709">
        <v>99</v>
      </c>
      <c r="AF709">
        <v>-201.63</v>
      </c>
      <c r="AG709">
        <v>5.13</v>
      </c>
      <c r="AH709">
        <v>1.92</v>
      </c>
      <c r="AI709">
        <v>0.24</v>
      </c>
      <c r="AJ709">
        <v>0.16</v>
      </c>
      <c r="AK709">
        <v>95</v>
      </c>
      <c r="AL709">
        <v>5167</v>
      </c>
      <c r="AM709">
        <v>1806</v>
      </c>
      <c r="AN709">
        <v>-4.24</v>
      </c>
      <c r="AO709">
        <v>2.87</v>
      </c>
      <c r="AP709">
        <v>8815</v>
      </c>
      <c r="AQ709">
        <v>101</v>
      </c>
      <c r="AR709">
        <v>5.75</v>
      </c>
      <c r="AS709">
        <v>98</v>
      </c>
      <c r="AT709">
        <v>2.12</v>
      </c>
      <c r="AU709">
        <v>99</v>
      </c>
      <c r="AV709">
        <v>-4.71</v>
      </c>
      <c r="AW709">
        <v>99</v>
      </c>
      <c r="AX709">
        <v>-0.56000000000000005</v>
      </c>
      <c r="AY709">
        <v>99</v>
      </c>
      <c r="AZ709">
        <v>6.59</v>
      </c>
      <c r="BA709">
        <v>98</v>
      </c>
      <c r="BB709">
        <v>4.79</v>
      </c>
      <c r="BC709">
        <v>97</v>
      </c>
      <c r="BD709">
        <v>-7.0000000000000007E-2</v>
      </c>
      <c r="BE709">
        <v>-0.04</v>
      </c>
      <c r="BF709">
        <v>0.03</v>
      </c>
      <c r="BG709">
        <v>99</v>
      </c>
      <c r="BH709">
        <v>-0.21</v>
      </c>
      <c r="BI709">
        <v>3.3</v>
      </c>
      <c r="BJ709">
        <v>142</v>
      </c>
      <c r="BK709">
        <v>37</v>
      </c>
      <c r="BL709">
        <v>-1.52</v>
      </c>
      <c r="BM709">
        <v>0.66</v>
      </c>
      <c r="BN709">
        <v>-0.75</v>
      </c>
      <c r="BO709">
        <v>-1.4</v>
      </c>
      <c r="BP709">
        <v>3.23</v>
      </c>
      <c r="BQ709">
        <v>0.67</v>
      </c>
      <c r="BR709">
        <v>-0.43</v>
      </c>
      <c r="BS709">
        <v>0.26</v>
      </c>
      <c r="BT709">
        <v>-0.52</v>
      </c>
      <c r="BU709">
        <v>-1.87</v>
      </c>
      <c r="BV709">
        <v>-1.77</v>
      </c>
      <c r="BW709">
        <v>-1.7</v>
      </c>
      <c r="BX709">
        <v>-1.52</v>
      </c>
      <c r="BY709">
        <v>-2.54</v>
      </c>
      <c r="BZ709">
        <v>0.65</v>
      </c>
      <c r="CA709">
        <v>-1.18</v>
      </c>
      <c r="CB709">
        <v>-1.45</v>
      </c>
      <c r="CC709">
        <v>0.09</v>
      </c>
      <c r="CD709">
        <v>1.93</v>
      </c>
      <c r="CE709">
        <v>-1.35</v>
      </c>
      <c r="CF709">
        <v>-0.64</v>
      </c>
      <c r="CG709">
        <v>0</v>
      </c>
      <c r="CH709">
        <v>-2.2999999999999998</v>
      </c>
      <c r="CI709">
        <v>0</v>
      </c>
      <c r="CJ709">
        <v>-11.3</v>
      </c>
      <c r="CK709">
        <v>99</v>
      </c>
      <c r="CL709">
        <v>-0.66</v>
      </c>
      <c r="CM709">
        <v>99</v>
      </c>
      <c r="CN709">
        <v>-0.31</v>
      </c>
      <c r="CO709">
        <v>99</v>
      </c>
      <c r="CP709">
        <v>-4.4000000000000004</v>
      </c>
      <c r="CQ709">
        <v>99</v>
      </c>
      <c r="CR709">
        <v>0</v>
      </c>
      <c r="CS709">
        <v>0</v>
      </c>
      <c r="CT709">
        <v>4.9000000000000004</v>
      </c>
      <c r="CU709">
        <v>99</v>
      </c>
      <c r="CV709">
        <v>-0.06</v>
      </c>
      <c r="CW709">
        <v>50</v>
      </c>
      <c r="CX709" t="s">
        <v>1094</v>
      </c>
    </row>
    <row r="710" spans="1:102" x14ac:dyDescent="0.3">
      <c r="A710" t="str">
        <f>HYPERLINK("https://webapp.icbf.com/v2/app/bull-search/view/1480169357","FR4540")</f>
        <v>FR4540</v>
      </c>
      <c r="B710" t="s">
        <v>9485</v>
      </c>
      <c r="C710" t="s">
        <v>9486</v>
      </c>
      <c r="D710" s="1">
        <v>42781</v>
      </c>
      <c r="E710" t="s">
        <v>92</v>
      </c>
      <c r="F710">
        <v>81</v>
      </c>
      <c r="G710" t="s">
        <v>435</v>
      </c>
      <c r="H710">
        <v>166.63</v>
      </c>
      <c r="I710">
        <v>40</v>
      </c>
      <c r="J710">
        <v>63.77</v>
      </c>
      <c r="K710">
        <v>40</v>
      </c>
      <c r="L710">
        <v>58.01</v>
      </c>
      <c r="M710">
        <v>29</v>
      </c>
      <c r="N710">
        <v>50.3</v>
      </c>
      <c r="O710">
        <v>79</v>
      </c>
      <c r="P710">
        <v>-15.88</v>
      </c>
      <c r="Q710">
        <v>49</v>
      </c>
      <c r="R710">
        <v>3.33</v>
      </c>
      <c r="S710">
        <v>31</v>
      </c>
      <c r="T710">
        <v>5.24</v>
      </c>
      <c r="U710">
        <v>45</v>
      </c>
      <c r="V710">
        <v>1.86</v>
      </c>
      <c r="W710">
        <v>26</v>
      </c>
      <c r="X710" t="s">
        <v>94</v>
      </c>
      <c r="Y710" t="s">
        <v>2384</v>
      </c>
      <c r="Z710" t="s">
        <v>330</v>
      </c>
      <c r="AA710" t="s">
        <v>9487</v>
      </c>
      <c r="AB710" t="s">
        <v>9488</v>
      </c>
      <c r="AC710">
        <v>0</v>
      </c>
      <c r="AD710">
        <v>0</v>
      </c>
      <c r="AE710">
        <v>40</v>
      </c>
      <c r="AF710">
        <v>269.94</v>
      </c>
      <c r="AG710">
        <v>4.7699999999999996</v>
      </c>
      <c r="AH710">
        <v>13.29</v>
      </c>
      <c r="AI710">
        <v>-0.1</v>
      </c>
      <c r="AJ710">
        <v>0.08</v>
      </c>
      <c r="AK710">
        <v>29</v>
      </c>
      <c r="AL710">
        <v>0</v>
      </c>
      <c r="AM710">
        <v>0</v>
      </c>
      <c r="AN710">
        <v>-2.88</v>
      </c>
      <c r="AO710">
        <v>1.75</v>
      </c>
      <c r="AP710">
        <v>196</v>
      </c>
      <c r="AQ710">
        <v>1</v>
      </c>
      <c r="AR710">
        <v>5.37</v>
      </c>
      <c r="AS710">
        <v>65</v>
      </c>
      <c r="AT710">
        <v>1.89</v>
      </c>
      <c r="AU710">
        <v>85</v>
      </c>
      <c r="AV710">
        <v>-4.7699999999999996</v>
      </c>
      <c r="AW710">
        <v>96</v>
      </c>
      <c r="AX710">
        <v>-0.42</v>
      </c>
      <c r="AY710">
        <v>78</v>
      </c>
      <c r="AZ710">
        <v>6.41</v>
      </c>
      <c r="BA710">
        <v>43</v>
      </c>
      <c r="BB710">
        <v>5.59</v>
      </c>
      <c r="BC710">
        <v>38</v>
      </c>
      <c r="BD710">
        <v>-0.04</v>
      </c>
      <c r="BE710">
        <v>0</v>
      </c>
      <c r="BF710">
        <v>-0.01</v>
      </c>
      <c r="BG710">
        <v>35</v>
      </c>
      <c r="BH710">
        <v>0.05</v>
      </c>
      <c r="BI710">
        <v>-0.22</v>
      </c>
      <c r="BJ710">
        <v>0</v>
      </c>
      <c r="BK710">
        <v>0</v>
      </c>
      <c r="BL710">
        <v>-0.73</v>
      </c>
      <c r="BM710">
        <v>-0.36</v>
      </c>
      <c r="BN710">
        <v>-1.59</v>
      </c>
      <c r="BO710">
        <v>-0.98</v>
      </c>
      <c r="BP710">
        <v>0.66</v>
      </c>
      <c r="BQ710">
        <v>-0.85</v>
      </c>
      <c r="BR710">
        <v>-0.47</v>
      </c>
      <c r="BS710">
        <v>-0.89</v>
      </c>
      <c r="BT710">
        <v>-0.84</v>
      </c>
      <c r="BU710">
        <v>-0.09</v>
      </c>
      <c r="BV710">
        <v>-0.28999999999999998</v>
      </c>
      <c r="BW710">
        <v>-0.88</v>
      </c>
      <c r="BX710">
        <v>0.49</v>
      </c>
      <c r="BY710">
        <v>-1.54</v>
      </c>
      <c r="BZ710">
        <v>-0.34</v>
      </c>
      <c r="CA710">
        <v>-0.41</v>
      </c>
      <c r="CB710">
        <v>-0.32</v>
      </c>
      <c r="CC710">
        <v>-0.81</v>
      </c>
      <c r="CD710">
        <v>0.28999999999999998</v>
      </c>
      <c r="CE710">
        <v>-0.63</v>
      </c>
      <c r="CF710">
        <v>-1.35</v>
      </c>
      <c r="CG710">
        <v>0</v>
      </c>
      <c r="CH710">
        <v>-1</v>
      </c>
      <c r="CI710">
        <v>0</v>
      </c>
      <c r="CJ710">
        <v>-6.9</v>
      </c>
      <c r="CK710">
        <v>51</v>
      </c>
      <c r="CL710">
        <v>-0.97</v>
      </c>
      <c r="CM710">
        <v>46</v>
      </c>
      <c r="CN710">
        <v>-0.35</v>
      </c>
      <c r="CO710">
        <v>45</v>
      </c>
      <c r="CP710">
        <v>-3</v>
      </c>
      <c r="CQ710">
        <v>46</v>
      </c>
      <c r="CR710">
        <v>0</v>
      </c>
      <c r="CS710">
        <v>0</v>
      </c>
      <c r="CT710">
        <v>6.7</v>
      </c>
      <c r="CU710">
        <v>45</v>
      </c>
      <c r="CV710">
        <v>0.05</v>
      </c>
      <c r="CW710">
        <v>35</v>
      </c>
      <c r="CX710" t="s">
        <v>6255</v>
      </c>
    </row>
    <row r="711" spans="1:102" x14ac:dyDescent="0.3">
      <c r="A711" t="str">
        <f>HYPERLINK("https://webapp.icbf.com/v2/app/bull-search/view/910795130","YSH")</f>
        <v>YSH</v>
      </c>
      <c r="B711" t="s">
        <v>5616</v>
      </c>
      <c r="C711" t="s">
        <v>5617</v>
      </c>
      <c r="D711" s="1">
        <v>40403</v>
      </c>
      <c r="E711" t="s">
        <v>92</v>
      </c>
      <c r="F711">
        <v>56</v>
      </c>
      <c r="G711" t="s">
        <v>109</v>
      </c>
      <c r="H711">
        <v>166.62</v>
      </c>
      <c r="I711">
        <v>72</v>
      </c>
      <c r="J711">
        <v>49.77</v>
      </c>
      <c r="K711">
        <v>90</v>
      </c>
      <c r="L711">
        <v>98.86</v>
      </c>
      <c r="M711">
        <v>64</v>
      </c>
      <c r="N711">
        <v>12.81</v>
      </c>
      <c r="O711">
        <v>65</v>
      </c>
      <c r="P711">
        <v>-27.26</v>
      </c>
      <c r="Q711">
        <v>66</v>
      </c>
      <c r="R711">
        <v>2.91</v>
      </c>
      <c r="S711">
        <v>63</v>
      </c>
      <c r="T711">
        <v>28.18</v>
      </c>
      <c r="U711">
        <v>61</v>
      </c>
      <c r="V711">
        <v>1.35</v>
      </c>
      <c r="W711">
        <v>46</v>
      </c>
      <c r="X711" t="s">
        <v>276</v>
      </c>
      <c r="Y711" t="s">
        <v>435</v>
      </c>
      <c r="Z711" t="s">
        <v>330</v>
      </c>
      <c r="AA711" t="s">
        <v>5618</v>
      </c>
      <c r="AB711" t="s">
        <v>5619</v>
      </c>
      <c r="AC711">
        <v>16</v>
      </c>
      <c r="AD711">
        <v>10</v>
      </c>
      <c r="AE711">
        <v>90</v>
      </c>
      <c r="AF711">
        <v>5.96</v>
      </c>
      <c r="AG711">
        <v>12.34</v>
      </c>
      <c r="AH711">
        <v>4.1900000000000004</v>
      </c>
      <c r="AI711">
        <v>0.21</v>
      </c>
      <c r="AJ711">
        <v>7.0000000000000007E-2</v>
      </c>
      <c r="AK711">
        <v>64</v>
      </c>
      <c r="AL711">
        <v>0</v>
      </c>
      <c r="AM711">
        <v>0</v>
      </c>
      <c r="AN711">
        <v>-4.13</v>
      </c>
      <c r="AO711">
        <v>3.77</v>
      </c>
      <c r="AP711">
        <v>45</v>
      </c>
      <c r="AQ711">
        <v>1</v>
      </c>
      <c r="AR711">
        <v>6.36</v>
      </c>
      <c r="AS711">
        <v>51</v>
      </c>
      <c r="AT711">
        <v>2.2400000000000002</v>
      </c>
      <c r="AU711">
        <v>67</v>
      </c>
      <c r="AV711">
        <v>-0.75</v>
      </c>
      <c r="AW711">
        <v>84</v>
      </c>
      <c r="AX711">
        <v>0.14000000000000001</v>
      </c>
      <c r="AY711">
        <v>51</v>
      </c>
      <c r="AZ711">
        <v>6.82</v>
      </c>
      <c r="BA711">
        <v>31</v>
      </c>
      <c r="BB711">
        <v>5.43</v>
      </c>
      <c r="BC711">
        <v>32</v>
      </c>
      <c r="BD711">
        <v>-0.06</v>
      </c>
      <c r="BE711">
        <v>-0.03</v>
      </c>
      <c r="BF711">
        <v>0.09</v>
      </c>
      <c r="BG711">
        <v>80</v>
      </c>
      <c r="BH711">
        <v>-0.09</v>
      </c>
      <c r="BI711">
        <v>-14.75</v>
      </c>
      <c r="BJ711">
        <v>0</v>
      </c>
      <c r="BK711">
        <v>0</v>
      </c>
      <c r="BL711">
        <v>-2.35</v>
      </c>
      <c r="BM711">
        <v>-0.28999999999999998</v>
      </c>
      <c r="BN711">
        <v>-1.37</v>
      </c>
      <c r="BO711">
        <v>-0.47</v>
      </c>
      <c r="BP711">
        <v>-0.98</v>
      </c>
      <c r="BQ711">
        <v>-2.1</v>
      </c>
      <c r="BR711">
        <v>1.75</v>
      </c>
      <c r="BS711">
        <v>0.69</v>
      </c>
      <c r="BT711">
        <v>-0.38</v>
      </c>
      <c r="BU711">
        <v>0.68</v>
      </c>
      <c r="BV711">
        <v>-0.46</v>
      </c>
      <c r="BW711">
        <v>-0.7</v>
      </c>
      <c r="BX711">
        <v>1.32</v>
      </c>
      <c r="BY711">
        <v>-2.39</v>
      </c>
      <c r="BZ711">
        <v>0.1</v>
      </c>
      <c r="CA711">
        <v>-0.82</v>
      </c>
      <c r="CB711">
        <v>-0.3</v>
      </c>
      <c r="CC711">
        <v>-0.06</v>
      </c>
      <c r="CD711">
        <v>0.37</v>
      </c>
      <c r="CE711">
        <v>-0.23</v>
      </c>
      <c r="CF711">
        <v>-0.84</v>
      </c>
      <c r="CG711">
        <v>0</v>
      </c>
      <c r="CH711">
        <v>-2.08</v>
      </c>
      <c r="CI711">
        <v>0</v>
      </c>
      <c r="CJ711">
        <v>-13.6</v>
      </c>
      <c r="CK711">
        <v>69</v>
      </c>
      <c r="CL711">
        <v>-0.81</v>
      </c>
      <c r="CM711">
        <v>63</v>
      </c>
      <c r="CN711">
        <v>-0.16</v>
      </c>
      <c r="CO711">
        <v>60</v>
      </c>
      <c r="CP711">
        <v>-13.4</v>
      </c>
      <c r="CQ711">
        <v>61</v>
      </c>
      <c r="CR711">
        <v>0</v>
      </c>
      <c r="CS711">
        <v>0</v>
      </c>
      <c r="CT711">
        <v>-24.3</v>
      </c>
      <c r="CU711">
        <v>61</v>
      </c>
      <c r="CV711">
        <v>-0.01</v>
      </c>
      <c r="CW711">
        <v>38</v>
      </c>
      <c r="CX711" t="s">
        <v>5620</v>
      </c>
    </row>
    <row r="712" spans="1:102" x14ac:dyDescent="0.3">
      <c r="A712" t="str">
        <f>HYPERLINK("https://webapp.icbf.com/v2/app/bull-search/view/933355955","WFP")</f>
        <v>WFP</v>
      </c>
      <c r="B712" t="s">
        <v>7713</v>
      </c>
      <c r="C712" t="s">
        <v>7714</v>
      </c>
      <c r="D712" s="1">
        <v>40794</v>
      </c>
      <c r="E712" t="s">
        <v>92</v>
      </c>
      <c r="F712">
        <v>81</v>
      </c>
      <c r="G712" t="s">
        <v>93</v>
      </c>
      <c r="H712">
        <v>166.6</v>
      </c>
      <c r="I712">
        <v>89</v>
      </c>
      <c r="J712">
        <v>90.84</v>
      </c>
      <c r="K712">
        <v>97</v>
      </c>
      <c r="L712">
        <v>64.98</v>
      </c>
      <c r="M712">
        <v>83</v>
      </c>
      <c r="N712">
        <v>34.17</v>
      </c>
      <c r="O712">
        <v>91</v>
      </c>
      <c r="P712">
        <v>-20.58</v>
      </c>
      <c r="Q712">
        <v>94</v>
      </c>
      <c r="R712">
        <v>-8.7100000000000009</v>
      </c>
      <c r="S712">
        <v>78</v>
      </c>
      <c r="T712">
        <v>4.8</v>
      </c>
      <c r="U712">
        <v>87</v>
      </c>
      <c r="V712">
        <v>1.1000000000000001</v>
      </c>
      <c r="W712">
        <v>72</v>
      </c>
      <c r="X712" t="s">
        <v>276</v>
      </c>
      <c r="Y712" t="s">
        <v>1775</v>
      </c>
      <c r="Z712" t="s">
        <v>330</v>
      </c>
      <c r="AA712" t="s">
        <v>2278</v>
      </c>
      <c r="AB712" t="s">
        <v>144</v>
      </c>
      <c r="AC712">
        <v>172</v>
      </c>
      <c r="AD712">
        <v>60</v>
      </c>
      <c r="AE712">
        <v>97</v>
      </c>
      <c r="AF712">
        <v>287.02999999999997</v>
      </c>
      <c r="AG712">
        <v>12.84</v>
      </c>
      <c r="AH712">
        <v>15.3</v>
      </c>
      <c r="AI712">
        <v>0.03</v>
      </c>
      <c r="AJ712">
        <v>0.09</v>
      </c>
      <c r="AK712">
        <v>83</v>
      </c>
      <c r="AL712">
        <v>148</v>
      </c>
      <c r="AM712">
        <v>49</v>
      </c>
      <c r="AN712">
        <v>-2.95</v>
      </c>
      <c r="AO712">
        <v>2.2400000000000002</v>
      </c>
      <c r="AP712">
        <v>1175</v>
      </c>
      <c r="AQ712">
        <v>2</v>
      </c>
      <c r="AR712">
        <v>5.41</v>
      </c>
      <c r="AS712">
        <v>86</v>
      </c>
      <c r="AT712">
        <v>2.1</v>
      </c>
      <c r="AU712">
        <v>96</v>
      </c>
      <c r="AV712">
        <v>-2.81</v>
      </c>
      <c r="AW712">
        <v>99</v>
      </c>
      <c r="AX712">
        <v>-1.07</v>
      </c>
      <c r="AY712">
        <v>95</v>
      </c>
      <c r="AZ712">
        <v>7.14</v>
      </c>
      <c r="BA712">
        <v>71</v>
      </c>
      <c r="BB712">
        <v>5.53</v>
      </c>
      <c r="BC712">
        <v>59</v>
      </c>
      <c r="BD712">
        <v>0.02</v>
      </c>
      <c r="BE712">
        <v>0.03</v>
      </c>
      <c r="BF712">
        <v>0.11</v>
      </c>
      <c r="BG712">
        <v>93</v>
      </c>
      <c r="BH712">
        <v>-0.06</v>
      </c>
      <c r="BI712">
        <v>-10.49</v>
      </c>
      <c r="BJ712">
        <v>0</v>
      </c>
      <c r="BK712">
        <v>0</v>
      </c>
      <c r="BL712">
        <v>-0.75</v>
      </c>
      <c r="BM712">
        <v>0.72</v>
      </c>
      <c r="BN712">
        <v>-0.09</v>
      </c>
      <c r="BO712">
        <v>-0.55000000000000004</v>
      </c>
      <c r="BP712">
        <v>-1.36</v>
      </c>
      <c r="BQ712">
        <v>1</v>
      </c>
      <c r="BR712">
        <v>3</v>
      </c>
      <c r="BS712">
        <v>-1.66</v>
      </c>
      <c r="BT712">
        <v>-2.38</v>
      </c>
      <c r="BU712">
        <v>-0.06</v>
      </c>
      <c r="BV712">
        <v>-1.18</v>
      </c>
      <c r="BW712">
        <v>-0.35</v>
      </c>
      <c r="BX712">
        <v>-1.1000000000000001</v>
      </c>
      <c r="BY712">
        <v>-1.1299999999999999</v>
      </c>
      <c r="BZ712">
        <v>-0.96</v>
      </c>
      <c r="CA712">
        <v>-0.1</v>
      </c>
      <c r="CB712">
        <v>-0.28000000000000003</v>
      </c>
      <c r="CC712">
        <v>-1.66</v>
      </c>
      <c r="CD712">
        <v>-0.21</v>
      </c>
      <c r="CE712">
        <v>-0.47</v>
      </c>
      <c r="CF712">
        <v>-1.62</v>
      </c>
      <c r="CG712">
        <v>0</v>
      </c>
      <c r="CH712">
        <v>-0.32</v>
      </c>
      <c r="CI712">
        <v>0</v>
      </c>
      <c r="CJ712">
        <v>-12.2</v>
      </c>
      <c r="CK712">
        <v>96</v>
      </c>
      <c r="CL712">
        <v>-0.92</v>
      </c>
      <c r="CM712">
        <v>95</v>
      </c>
      <c r="CN712">
        <v>-0.54</v>
      </c>
      <c r="CO712">
        <v>94</v>
      </c>
      <c r="CP712">
        <v>-3.8</v>
      </c>
      <c r="CQ712">
        <v>82</v>
      </c>
      <c r="CR712">
        <v>0</v>
      </c>
      <c r="CS712">
        <v>0</v>
      </c>
      <c r="CT712">
        <v>7.3</v>
      </c>
      <c r="CU712">
        <v>87</v>
      </c>
      <c r="CV712">
        <v>-0.06</v>
      </c>
      <c r="CW712">
        <v>46</v>
      </c>
      <c r="CX712" t="s">
        <v>7715</v>
      </c>
    </row>
    <row r="713" spans="1:102" x14ac:dyDescent="0.3">
      <c r="A713" t="str">
        <f>HYPERLINK("https://webapp.icbf.com/v2/app/bull-search/view/596241029","HUG")</f>
        <v>HUG</v>
      </c>
      <c r="B713" t="s">
        <v>12133</v>
      </c>
      <c r="C713" t="s">
        <v>12134</v>
      </c>
      <c r="D713" s="1">
        <v>37123</v>
      </c>
      <c r="E713" t="s">
        <v>395</v>
      </c>
      <c r="F713">
        <v>0</v>
      </c>
      <c r="G713" t="s">
        <v>93</v>
      </c>
      <c r="H713">
        <v>166.58</v>
      </c>
      <c r="I713">
        <v>91</v>
      </c>
      <c r="J713">
        <v>5.4</v>
      </c>
      <c r="K713">
        <v>98</v>
      </c>
      <c r="L713">
        <v>82.84</v>
      </c>
      <c r="M713">
        <v>87</v>
      </c>
      <c r="N713">
        <v>39.58</v>
      </c>
      <c r="O713">
        <v>90</v>
      </c>
      <c r="P713">
        <v>7.92</v>
      </c>
      <c r="Q713">
        <v>95</v>
      </c>
      <c r="R713">
        <v>15.31</v>
      </c>
      <c r="S713">
        <v>76</v>
      </c>
      <c r="T713">
        <v>5.83</v>
      </c>
      <c r="U713">
        <v>90</v>
      </c>
      <c r="V713">
        <v>9.6999999999999993</v>
      </c>
      <c r="W713">
        <v>79</v>
      </c>
      <c r="X713" t="s">
        <v>94</v>
      </c>
      <c r="Y713" t="s">
        <v>235</v>
      </c>
      <c r="Z713">
        <v>0</v>
      </c>
      <c r="AA713" t="s">
        <v>2670</v>
      </c>
      <c r="AB713" t="s">
        <v>12135</v>
      </c>
      <c r="AC713">
        <v>159</v>
      </c>
      <c r="AD713">
        <v>43</v>
      </c>
      <c r="AE713">
        <v>98</v>
      </c>
      <c r="AF713">
        <v>13.11</v>
      </c>
      <c r="AG713">
        <v>-0.56999999999999995</v>
      </c>
      <c r="AH713">
        <v>1.32</v>
      </c>
      <c r="AI713">
        <v>-0.02</v>
      </c>
      <c r="AJ713">
        <v>0.01</v>
      </c>
      <c r="AK713">
        <v>87</v>
      </c>
      <c r="AL713">
        <v>174</v>
      </c>
      <c r="AM713">
        <v>47</v>
      </c>
      <c r="AN713">
        <v>-3.43</v>
      </c>
      <c r="AO713">
        <v>3.19</v>
      </c>
      <c r="AP713">
        <v>344</v>
      </c>
      <c r="AQ713">
        <v>6</v>
      </c>
      <c r="AR713">
        <v>5.15</v>
      </c>
      <c r="AS713">
        <v>73</v>
      </c>
      <c r="AT713">
        <v>2</v>
      </c>
      <c r="AU713">
        <v>94</v>
      </c>
      <c r="AV713">
        <v>-3.1</v>
      </c>
      <c r="AW713">
        <v>98</v>
      </c>
      <c r="AX713">
        <v>-1.07</v>
      </c>
      <c r="AY713">
        <v>88</v>
      </c>
      <c r="AZ713">
        <v>6.95</v>
      </c>
      <c r="BA713">
        <v>70</v>
      </c>
      <c r="BB713">
        <v>5.22</v>
      </c>
      <c r="BC713">
        <v>73</v>
      </c>
      <c r="BD713">
        <v>-0.06</v>
      </c>
      <c r="BE713">
        <v>-0.08</v>
      </c>
      <c r="BF713">
        <v>-0.1</v>
      </c>
      <c r="BG713">
        <v>89</v>
      </c>
      <c r="BH713">
        <v>0.27</v>
      </c>
      <c r="BI713">
        <v>-7.0000000000000007E-2</v>
      </c>
      <c r="BJ713">
        <v>0</v>
      </c>
      <c r="BK713">
        <v>0</v>
      </c>
      <c r="BL713">
        <v>-1.5</v>
      </c>
      <c r="BM713">
        <v>0.46</v>
      </c>
      <c r="BN713">
        <v>-1.34</v>
      </c>
      <c r="BO713">
        <v>-1.36</v>
      </c>
      <c r="BP713">
        <v>2.15</v>
      </c>
      <c r="BQ713">
        <v>-1.27</v>
      </c>
      <c r="BR713">
        <v>0.82</v>
      </c>
      <c r="BS713">
        <v>0.1</v>
      </c>
      <c r="BT713">
        <v>-0.82</v>
      </c>
      <c r="BU713">
        <v>-1.17</v>
      </c>
      <c r="BV713">
        <v>-2.76</v>
      </c>
      <c r="BW713">
        <v>-2.48</v>
      </c>
      <c r="BX713">
        <v>-0.76</v>
      </c>
      <c r="BY713">
        <v>-1.34</v>
      </c>
      <c r="BZ713">
        <v>-2.09</v>
      </c>
      <c r="CA713">
        <v>-1.75</v>
      </c>
      <c r="CB713">
        <v>-1.99</v>
      </c>
      <c r="CC713">
        <v>-0.56999999999999995</v>
      </c>
      <c r="CD713">
        <v>0.98</v>
      </c>
      <c r="CE713">
        <v>-1.41</v>
      </c>
      <c r="CF713">
        <v>-1.58</v>
      </c>
      <c r="CG713">
        <v>0</v>
      </c>
      <c r="CH713">
        <v>-1.44</v>
      </c>
      <c r="CI713">
        <v>0</v>
      </c>
      <c r="CJ713">
        <v>1.7</v>
      </c>
      <c r="CK713">
        <v>96</v>
      </c>
      <c r="CL713">
        <v>0.02</v>
      </c>
      <c r="CM713">
        <v>95</v>
      </c>
      <c r="CN713">
        <v>-0.38</v>
      </c>
      <c r="CO713">
        <v>94</v>
      </c>
      <c r="CP713">
        <v>6.1</v>
      </c>
      <c r="CQ713">
        <v>91</v>
      </c>
      <c r="CR713">
        <v>0</v>
      </c>
      <c r="CS713">
        <v>0</v>
      </c>
      <c r="CT713">
        <v>5.9</v>
      </c>
      <c r="CU713">
        <v>90</v>
      </c>
      <c r="CV713">
        <v>-0.05</v>
      </c>
      <c r="CW713">
        <v>27</v>
      </c>
      <c r="CX713" t="s">
        <v>1599</v>
      </c>
    </row>
    <row r="714" spans="1:102" x14ac:dyDescent="0.3">
      <c r="A714" t="str">
        <f>HYPERLINK("https://webapp.icbf.com/v2/app/bull-search/view/1035388897","YRY")</f>
        <v>YRY</v>
      </c>
      <c r="B714" t="s">
        <v>5728</v>
      </c>
      <c r="C714" t="s">
        <v>2239</v>
      </c>
      <c r="D714" s="1">
        <v>41293</v>
      </c>
      <c r="E714" t="s">
        <v>92</v>
      </c>
      <c r="F714">
        <v>97</v>
      </c>
      <c r="G714" t="s">
        <v>93</v>
      </c>
      <c r="H714">
        <v>166.53</v>
      </c>
      <c r="I714">
        <v>95</v>
      </c>
      <c r="J714">
        <v>60.56</v>
      </c>
      <c r="K714">
        <v>99</v>
      </c>
      <c r="L714">
        <v>60.49</v>
      </c>
      <c r="M714">
        <v>91</v>
      </c>
      <c r="N714">
        <v>50.48</v>
      </c>
      <c r="O714">
        <v>98</v>
      </c>
      <c r="P714">
        <v>-17.89</v>
      </c>
      <c r="Q714">
        <v>99</v>
      </c>
      <c r="R714">
        <v>0.43</v>
      </c>
      <c r="S714">
        <v>94</v>
      </c>
      <c r="T714">
        <v>10.64</v>
      </c>
      <c r="U714">
        <v>98</v>
      </c>
      <c r="V714">
        <v>1.82</v>
      </c>
      <c r="W714">
        <v>80</v>
      </c>
      <c r="X714" t="s">
        <v>276</v>
      </c>
      <c r="Y714" t="s">
        <v>389</v>
      </c>
      <c r="Z714" t="s">
        <v>96</v>
      </c>
      <c r="AA714" t="s">
        <v>1783</v>
      </c>
      <c r="AB714" t="s">
        <v>5729</v>
      </c>
      <c r="AC714">
        <v>3626</v>
      </c>
      <c r="AD714">
        <v>936</v>
      </c>
      <c r="AE714">
        <v>99</v>
      </c>
      <c r="AF714">
        <v>-47.16</v>
      </c>
      <c r="AG714">
        <v>13.28</v>
      </c>
      <c r="AH714">
        <v>4.88</v>
      </c>
      <c r="AI714">
        <v>0.27</v>
      </c>
      <c r="AJ714">
        <v>0.11</v>
      </c>
      <c r="AK714">
        <v>91</v>
      </c>
      <c r="AL714">
        <v>2555</v>
      </c>
      <c r="AM714">
        <v>815</v>
      </c>
      <c r="AN714">
        <v>-2.86</v>
      </c>
      <c r="AO714">
        <v>1.97</v>
      </c>
      <c r="AP714">
        <v>8811</v>
      </c>
      <c r="AQ714">
        <v>33</v>
      </c>
      <c r="AR714">
        <v>5.22</v>
      </c>
      <c r="AS714">
        <v>99</v>
      </c>
      <c r="AT714">
        <v>1.97</v>
      </c>
      <c r="AU714">
        <v>99</v>
      </c>
      <c r="AV714">
        <v>-4.3099999999999996</v>
      </c>
      <c r="AW714">
        <v>99</v>
      </c>
      <c r="AX714">
        <v>0.28000000000000003</v>
      </c>
      <c r="AY714">
        <v>99</v>
      </c>
      <c r="AZ714">
        <v>5.82</v>
      </c>
      <c r="BA714">
        <v>97</v>
      </c>
      <c r="BB714">
        <v>4.58</v>
      </c>
      <c r="BC714">
        <v>92</v>
      </c>
      <c r="BD714">
        <v>-0.03</v>
      </c>
      <c r="BE714">
        <v>0</v>
      </c>
      <c r="BF714">
        <v>0.04</v>
      </c>
      <c r="BG714">
        <v>99</v>
      </c>
      <c r="BH714">
        <v>-0.14000000000000001</v>
      </c>
      <c r="BI714">
        <v>-22.05</v>
      </c>
      <c r="BJ714">
        <v>193</v>
      </c>
      <c r="BK714">
        <v>54</v>
      </c>
      <c r="BL714">
        <v>-1.6</v>
      </c>
      <c r="BM714">
        <v>-0.84</v>
      </c>
      <c r="BN714">
        <v>-0.16</v>
      </c>
      <c r="BO714">
        <v>0.24</v>
      </c>
      <c r="BP714">
        <v>1.36</v>
      </c>
      <c r="BQ714">
        <v>-2.76</v>
      </c>
      <c r="BR714">
        <v>-0.16</v>
      </c>
      <c r="BS714">
        <v>1.1100000000000001</v>
      </c>
      <c r="BT714">
        <v>0.1</v>
      </c>
      <c r="BU714">
        <v>0.62</v>
      </c>
      <c r="BV714">
        <v>-0.28000000000000003</v>
      </c>
      <c r="BW714">
        <v>-2.33</v>
      </c>
      <c r="BX714">
        <v>-0.46</v>
      </c>
      <c r="BY714">
        <v>2.2400000000000002</v>
      </c>
      <c r="BZ714">
        <v>-4.63</v>
      </c>
      <c r="CA714">
        <v>-0.3</v>
      </c>
      <c r="CB714">
        <v>-0.56000000000000005</v>
      </c>
      <c r="CC714">
        <v>0.48</v>
      </c>
      <c r="CD714">
        <v>-0.16</v>
      </c>
      <c r="CE714">
        <v>-0.09</v>
      </c>
      <c r="CF714">
        <v>-1.0900000000000001</v>
      </c>
      <c r="CG714">
        <v>0</v>
      </c>
      <c r="CH714">
        <v>2.33</v>
      </c>
      <c r="CI714">
        <v>0</v>
      </c>
      <c r="CJ714">
        <v>-9.1999999999999993</v>
      </c>
      <c r="CK714">
        <v>99</v>
      </c>
      <c r="CL714">
        <v>-0.72</v>
      </c>
      <c r="CM714">
        <v>99</v>
      </c>
      <c r="CN714">
        <v>-0.27</v>
      </c>
      <c r="CO714">
        <v>99</v>
      </c>
      <c r="CP714">
        <v>-6.2</v>
      </c>
      <c r="CQ714">
        <v>97</v>
      </c>
      <c r="CR714">
        <v>0</v>
      </c>
      <c r="CS714">
        <v>0</v>
      </c>
      <c r="CT714">
        <v>-0.6</v>
      </c>
      <c r="CU714">
        <v>98</v>
      </c>
      <c r="CV714">
        <v>7.0000000000000007E-2</v>
      </c>
      <c r="CW714">
        <v>51</v>
      </c>
      <c r="CX714" t="s">
        <v>4796</v>
      </c>
    </row>
    <row r="715" spans="1:102" x14ac:dyDescent="0.3">
      <c r="A715" t="str">
        <f>HYPERLINK("https://webapp.icbf.com/v2/app/bull-search/view/1365510439","JE2404")</f>
        <v>JE2404</v>
      </c>
      <c r="B715" t="s">
        <v>8505</v>
      </c>
      <c r="C715" t="s">
        <v>8506</v>
      </c>
      <c r="D715" s="1">
        <v>41903</v>
      </c>
      <c r="E715" t="s">
        <v>227</v>
      </c>
      <c r="F715">
        <v>0</v>
      </c>
      <c r="G715" t="s">
        <v>93</v>
      </c>
      <c r="H715">
        <v>166.53</v>
      </c>
      <c r="I715">
        <v>65</v>
      </c>
      <c r="J715">
        <v>46.86</v>
      </c>
      <c r="K715">
        <v>84</v>
      </c>
      <c r="L715">
        <v>94.7</v>
      </c>
      <c r="M715">
        <v>59</v>
      </c>
      <c r="N715">
        <v>1.9</v>
      </c>
      <c r="O715">
        <v>66</v>
      </c>
      <c r="P715">
        <v>-42.91</v>
      </c>
      <c r="Q715">
        <v>44</v>
      </c>
      <c r="R715">
        <v>4</v>
      </c>
      <c r="S715">
        <v>61</v>
      </c>
      <c r="T715">
        <v>60.08</v>
      </c>
      <c r="U715">
        <v>44</v>
      </c>
      <c r="V715">
        <v>1.9</v>
      </c>
      <c r="W715">
        <v>53</v>
      </c>
      <c r="X715" t="s">
        <v>94</v>
      </c>
      <c r="Y715" t="s">
        <v>436</v>
      </c>
      <c r="Z715">
        <v>0</v>
      </c>
      <c r="AA715" t="s">
        <v>5785</v>
      </c>
      <c r="AB715" t="s">
        <v>144</v>
      </c>
      <c r="AC715">
        <v>11</v>
      </c>
      <c r="AD715">
        <v>2</v>
      </c>
      <c r="AE715">
        <v>84</v>
      </c>
      <c r="AF715">
        <v>-548.65</v>
      </c>
      <c r="AG715">
        <v>12.81</v>
      </c>
      <c r="AH715">
        <v>-4.96</v>
      </c>
      <c r="AI715">
        <v>0.66</v>
      </c>
      <c r="AJ715">
        <v>0.26</v>
      </c>
      <c r="AK715">
        <v>59</v>
      </c>
      <c r="AL715">
        <v>0</v>
      </c>
      <c r="AM715">
        <v>0</v>
      </c>
      <c r="AN715">
        <v>-3.81</v>
      </c>
      <c r="AO715">
        <v>3.76</v>
      </c>
      <c r="AP715">
        <v>13</v>
      </c>
      <c r="AQ715">
        <v>0</v>
      </c>
      <c r="AR715">
        <v>2.4300000000000002</v>
      </c>
      <c r="AS715">
        <v>53</v>
      </c>
      <c r="AT715">
        <v>1.54</v>
      </c>
      <c r="AU715">
        <v>59</v>
      </c>
      <c r="AV715">
        <v>-1.05</v>
      </c>
      <c r="AW715">
        <v>86</v>
      </c>
      <c r="AX715">
        <v>10.71</v>
      </c>
      <c r="AY715">
        <v>51</v>
      </c>
      <c r="AZ715">
        <v>6.72</v>
      </c>
      <c r="BA715">
        <v>42</v>
      </c>
      <c r="BB715">
        <v>4.91</v>
      </c>
      <c r="BC715">
        <v>40</v>
      </c>
      <c r="BD715">
        <v>-0.06</v>
      </c>
      <c r="BE715">
        <v>0.02</v>
      </c>
      <c r="BF715">
        <v>-0.03</v>
      </c>
      <c r="BG715">
        <v>69</v>
      </c>
      <c r="BH715">
        <v>0.01</v>
      </c>
      <c r="BI715">
        <v>-4.96</v>
      </c>
      <c r="BJ715">
        <v>0</v>
      </c>
      <c r="BK715">
        <v>0</v>
      </c>
      <c r="BL715">
        <v>-0.92</v>
      </c>
      <c r="BM715">
        <v>-1.1499999999999999</v>
      </c>
      <c r="BN715">
        <v>0.02</v>
      </c>
      <c r="BO715">
        <v>1.26</v>
      </c>
      <c r="BP715">
        <v>-0.28999999999999998</v>
      </c>
      <c r="BQ715">
        <v>-3.93</v>
      </c>
      <c r="BR715">
        <v>1.46</v>
      </c>
      <c r="BS715">
        <v>5.98</v>
      </c>
      <c r="BT715">
        <v>-0.63</v>
      </c>
      <c r="BU715">
        <v>0.72</v>
      </c>
      <c r="BV715">
        <v>0.72</v>
      </c>
      <c r="BW715">
        <v>-0.79</v>
      </c>
      <c r="BX715">
        <v>-1.61</v>
      </c>
      <c r="BY715">
        <v>0.19</v>
      </c>
      <c r="BZ715">
        <v>0.9</v>
      </c>
      <c r="CA715">
        <v>2.0299999999999998</v>
      </c>
      <c r="CB715">
        <v>0.76</v>
      </c>
      <c r="CC715">
        <v>3.69</v>
      </c>
      <c r="CD715">
        <v>-1.74</v>
      </c>
      <c r="CE715">
        <v>1.1599999999999999</v>
      </c>
      <c r="CF715">
        <v>-0.65</v>
      </c>
      <c r="CG715">
        <v>0</v>
      </c>
      <c r="CH715">
        <v>-0.35</v>
      </c>
      <c r="CI715">
        <v>0</v>
      </c>
      <c r="CJ715">
        <v>-24.3</v>
      </c>
      <c r="CK715">
        <v>45</v>
      </c>
      <c r="CL715">
        <v>-0.77</v>
      </c>
      <c r="CM715">
        <v>43</v>
      </c>
      <c r="CN715">
        <v>-0.42</v>
      </c>
      <c r="CO715">
        <v>42</v>
      </c>
      <c r="CP715">
        <v>-42.3</v>
      </c>
      <c r="CQ715">
        <v>42</v>
      </c>
      <c r="CR715">
        <v>0</v>
      </c>
      <c r="CS715">
        <v>0</v>
      </c>
      <c r="CT715">
        <v>-67.400000000000006</v>
      </c>
      <c r="CU715">
        <v>44</v>
      </c>
      <c r="CV715">
        <v>-0.25</v>
      </c>
      <c r="CW715">
        <v>34</v>
      </c>
      <c r="CX715" t="s">
        <v>2021</v>
      </c>
    </row>
    <row r="716" spans="1:102" x14ac:dyDescent="0.3">
      <c r="A716" t="str">
        <f>HYPERLINK("https://webapp.icbf.com/v2/app/bull-search/view/848049404","S1010")</f>
        <v>S1010</v>
      </c>
      <c r="B716" t="s">
        <v>5303</v>
      </c>
      <c r="C716" t="s">
        <v>5304</v>
      </c>
      <c r="D716" s="1">
        <v>38487</v>
      </c>
      <c r="E716" t="s">
        <v>210</v>
      </c>
      <c r="F716">
        <v>0</v>
      </c>
      <c r="G716" t="s">
        <v>93</v>
      </c>
      <c r="H716">
        <v>166.47</v>
      </c>
      <c r="I716">
        <v>87</v>
      </c>
      <c r="J716">
        <v>72.61</v>
      </c>
      <c r="K716">
        <v>96</v>
      </c>
      <c r="L716">
        <v>67.3</v>
      </c>
      <c r="M716">
        <v>85</v>
      </c>
      <c r="N716">
        <v>28.37</v>
      </c>
      <c r="O716">
        <v>84</v>
      </c>
      <c r="P716">
        <v>9.44</v>
      </c>
      <c r="Q716">
        <v>91</v>
      </c>
      <c r="R716">
        <v>-6.39</v>
      </c>
      <c r="S716">
        <v>64</v>
      </c>
      <c r="T716">
        <v>-3.19</v>
      </c>
      <c r="U716">
        <v>85</v>
      </c>
      <c r="V716">
        <v>-1.67</v>
      </c>
      <c r="W716">
        <v>60</v>
      </c>
      <c r="X716" t="s">
        <v>276</v>
      </c>
      <c r="Y716" t="s">
        <v>303</v>
      </c>
      <c r="Z716">
        <v>0</v>
      </c>
      <c r="AA716" t="s">
        <v>5305</v>
      </c>
      <c r="AB716" t="s">
        <v>5306</v>
      </c>
      <c r="AC716">
        <v>102</v>
      </c>
      <c r="AD716">
        <v>16</v>
      </c>
      <c r="AE716">
        <v>96</v>
      </c>
      <c r="AF716">
        <v>324.29000000000002</v>
      </c>
      <c r="AG716">
        <v>12.67</v>
      </c>
      <c r="AH716">
        <v>12.83</v>
      </c>
      <c r="AI716">
        <v>0</v>
      </c>
      <c r="AJ716">
        <v>0.03</v>
      </c>
      <c r="AK716">
        <v>85</v>
      </c>
      <c r="AL716">
        <v>86</v>
      </c>
      <c r="AM716">
        <v>11</v>
      </c>
      <c r="AN716">
        <v>-2.67</v>
      </c>
      <c r="AO716">
        <v>2.71</v>
      </c>
      <c r="AP716">
        <v>325</v>
      </c>
      <c r="AQ716">
        <v>17</v>
      </c>
      <c r="AR716">
        <v>6.77</v>
      </c>
      <c r="AS716">
        <v>73</v>
      </c>
      <c r="AT716">
        <v>3.03</v>
      </c>
      <c r="AU716">
        <v>92</v>
      </c>
      <c r="AV716">
        <v>-2.77</v>
      </c>
      <c r="AW716">
        <v>98</v>
      </c>
      <c r="AX716">
        <v>0.35</v>
      </c>
      <c r="AY716">
        <v>83</v>
      </c>
      <c r="AZ716">
        <v>5.27</v>
      </c>
      <c r="BA716">
        <v>55</v>
      </c>
      <c r="BB716">
        <v>4.42</v>
      </c>
      <c r="BC716">
        <v>42</v>
      </c>
      <c r="BD716">
        <v>0.03</v>
      </c>
      <c r="BE716">
        <v>0.03</v>
      </c>
      <c r="BF716">
        <v>0.04</v>
      </c>
      <c r="BG716">
        <v>80</v>
      </c>
      <c r="BH716">
        <v>-0.05</v>
      </c>
      <c r="BI716">
        <v>-0.4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2.2999999999999998</v>
      </c>
      <c r="CK716">
        <v>93</v>
      </c>
      <c r="CL716">
        <v>-0.39</v>
      </c>
      <c r="CM716">
        <v>91</v>
      </c>
      <c r="CN716">
        <v>-0.79</v>
      </c>
      <c r="CO716">
        <v>90</v>
      </c>
      <c r="CP716">
        <v>6.9</v>
      </c>
      <c r="CQ716">
        <v>76</v>
      </c>
      <c r="CR716">
        <v>0</v>
      </c>
      <c r="CS716">
        <v>0</v>
      </c>
      <c r="CT716">
        <v>18.100000000000001</v>
      </c>
      <c r="CU716">
        <v>85</v>
      </c>
      <c r="CV716">
        <v>0.01</v>
      </c>
      <c r="CW716">
        <v>26</v>
      </c>
      <c r="CX716" t="s">
        <v>5307</v>
      </c>
    </row>
    <row r="717" spans="1:102" x14ac:dyDescent="0.3">
      <c r="A717" t="str">
        <f>HYPERLINK("https://webapp.icbf.com/v2/app/bull-search/view/1244854071","FR2422")</f>
        <v>FR2422</v>
      </c>
      <c r="B717" t="s">
        <v>6154</v>
      </c>
      <c r="C717" t="s">
        <v>6155</v>
      </c>
      <c r="D717" s="1">
        <v>42037</v>
      </c>
      <c r="E717" t="s">
        <v>92</v>
      </c>
      <c r="F717">
        <v>81</v>
      </c>
      <c r="G717" t="s">
        <v>93</v>
      </c>
      <c r="H717">
        <v>166.46</v>
      </c>
      <c r="I717">
        <v>82</v>
      </c>
      <c r="J717">
        <v>88.51</v>
      </c>
      <c r="K717">
        <v>95</v>
      </c>
      <c r="L717">
        <v>36.32</v>
      </c>
      <c r="M717">
        <v>73</v>
      </c>
      <c r="N717">
        <v>47.89</v>
      </c>
      <c r="O717">
        <v>83</v>
      </c>
      <c r="P717">
        <v>-22.96</v>
      </c>
      <c r="Q717">
        <v>84</v>
      </c>
      <c r="R717">
        <v>-0.49</v>
      </c>
      <c r="S717">
        <v>73</v>
      </c>
      <c r="T717">
        <v>13.38</v>
      </c>
      <c r="U717">
        <v>75</v>
      </c>
      <c r="V717">
        <v>3.81</v>
      </c>
      <c r="W717">
        <v>69</v>
      </c>
      <c r="X717" t="s">
        <v>276</v>
      </c>
      <c r="Y717" t="s">
        <v>436</v>
      </c>
      <c r="Z717" t="s">
        <v>96</v>
      </c>
      <c r="AA717" t="s">
        <v>6156</v>
      </c>
      <c r="AB717" t="s">
        <v>6157</v>
      </c>
      <c r="AC717">
        <v>80</v>
      </c>
      <c r="AD717">
        <v>48</v>
      </c>
      <c r="AE717">
        <v>95</v>
      </c>
      <c r="AF717">
        <v>473.01</v>
      </c>
      <c r="AG717">
        <v>8.9700000000000006</v>
      </c>
      <c r="AH717">
        <v>19.12</v>
      </c>
      <c r="AI717">
        <v>-0.15</v>
      </c>
      <c r="AJ717">
        <v>0.05</v>
      </c>
      <c r="AK717">
        <v>73</v>
      </c>
      <c r="AL717">
        <v>0</v>
      </c>
      <c r="AM717">
        <v>0</v>
      </c>
      <c r="AN717">
        <v>-0.17</v>
      </c>
      <c r="AO717">
        <v>2.75</v>
      </c>
      <c r="AP717">
        <v>275</v>
      </c>
      <c r="AQ717">
        <v>1</v>
      </c>
      <c r="AR717">
        <v>5.74</v>
      </c>
      <c r="AS717">
        <v>68</v>
      </c>
      <c r="AT717">
        <v>2.16</v>
      </c>
      <c r="AU717">
        <v>89</v>
      </c>
      <c r="AV717">
        <v>-4.53</v>
      </c>
      <c r="AW717">
        <v>97</v>
      </c>
      <c r="AX717">
        <v>-0.65</v>
      </c>
      <c r="AY717">
        <v>82</v>
      </c>
      <c r="AZ717">
        <v>7.29</v>
      </c>
      <c r="BA717">
        <v>64</v>
      </c>
      <c r="BB717">
        <v>5.07</v>
      </c>
      <c r="BC717">
        <v>46</v>
      </c>
      <c r="BD717">
        <v>0.02</v>
      </c>
      <c r="BE717">
        <v>0.02</v>
      </c>
      <c r="BF717">
        <v>-0.06</v>
      </c>
      <c r="BG717">
        <v>84</v>
      </c>
      <c r="BH717">
        <v>7.0000000000000007E-2</v>
      </c>
      <c r="BI717">
        <v>-4.18</v>
      </c>
      <c r="BJ717">
        <v>0</v>
      </c>
      <c r="BK717">
        <v>0</v>
      </c>
      <c r="BL717">
        <v>-0.79</v>
      </c>
      <c r="BM717">
        <v>0.59</v>
      </c>
      <c r="BN717">
        <v>0.92</v>
      </c>
      <c r="BO717">
        <v>-0.23</v>
      </c>
      <c r="BP717">
        <v>2.73</v>
      </c>
      <c r="BQ717">
        <v>0.56000000000000005</v>
      </c>
      <c r="BR717">
        <v>0.31</v>
      </c>
      <c r="BS717">
        <v>-0.96</v>
      </c>
      <c r="BT717">
        <v>-1.34</v>
      </c>
      <c r="BU717">
        <v>-0.57999999999999996</v>
      </c>
      <c r="BV717">
        <v>-0.72</v>
      </c>
      <c r="BW717">
        <v>-0.01</v>
      </c>
      <c r="BX717">
        <v>-1.62</v>
      </c>
      <c r="BY717">
        <v>-1.07</v>
      </c>
      <c r="BZ717">
        <v>-1.42</v>
      </c>
      <c r="CA717">
        <v>-1.0900000000000001</v>
      </c>
      <c r="CB717">
        <v>-0.56000000000000005</v>
      </c>
      <c r="CC717">
        <v>-0.73</v>
      </c>
      <c r="CD717">
        <v>0.12</v>
      </c>
      <c r="CE717">
        <v>-0.11</v>
      </c>
      <c r="CF717">
        <v>-0.73</v>
      </c>
      <c r="CG717">
        <v>0</v>
      </c>
      <c r="CH717">
        <v>-0.56999999999999995</v>
      </c>
      <c r="CI717">
        <v>0</v>
      </c>
      <c r="CJ717">
        <v>-9.8000000000000007</v>
      </c>
      <c r="CK717">
        <v>87</v>
      </c>
      <c r="CL717">
        <v>-1.01</v>
      </c>
      <c r="CM717">
        <v>83</v>
      </c>
      <c r="CN717">
        <v>-0.22</v>
      </c>
      <c r="CO717">
        <v>82</v>
      </c>
      <c r="CP717">
        <v>-10.6</v>
      </c>
      <c r="CQ717">
        <v>66</v>
      </c>
      <c r="CR717">
        <v>0</v>
      </c>
      <c r="CS717">
        <v>0</v>
      </c>
      <c r="CT717">
        <v>-4.3</v>
      </c>
      <c r="CU717">
        <v>75</v>
      </c>
      <c r="CV717">
        <v>0.01</v>
      </c>
      <c r="CW717">
        <v>44</v>
      </c>
      <c r="CX717" t="s">
        <v>2041</v>
      </c>
    </row>
    <row r="718" spans="1:102" x14ac:dyDescent="0.3">
      <c r="A718" t="str">
        <f>HYPERLINK("https://webapp.icbf.com/v2/app/bull-search/view/766880599","YKB")</f>
        <v>YKB</v>
      </c>
      <c r="B718" t="s">
        <v>14504</v>
      </c>
      <c r="C718" t="s">
        <v>14505</v>
      </c>
      <c r="D718" s="1">
        <v>40285</v>
      </c>
      <c r="E718" t="s">
        <v>92</v>
      </c>
      <c r="F718">
        <v>94</v>
      </c>
      <c r="G718" t="s">
        <v>435</v>
      </c>
      <c r="H718">
        <v>166.32</v>
      </c>
      <c r="I718">
        <v>74</v>
      </c>
      <c r="J718">
        <v>44.63</v>
      </c>
      <c r="K718">
        <v>91</v>
      </c>
      <c r="L718">
        <v>78.83</v>
      </c>
      <c r="M718">
        <v>72</v>
      </c>
      <c r="N718">
        <v>51.87</v>
      </c>
      <c r="O718">
        <v>62</v>
      </c>
      <c r="P718">
        <v>-17.16</v>
      </c>
      <c r="Q718">
        <v>55</v>
      </c>
      <c r="R718">
        <v>8.32</v>
      </c>
      <c r="S718">
        <v>71</v>
      </c>
      <c r="T718">
        <v>2.8</v>
      </c>
      <c r="U718">
        <v>50</v>
      </c>
      <c r="V718">
        <v>-2.97</v>
      </c>
      <c r="W718">
        <v>67</v>
      </c>
      <c r="X718" t="s">
        <v>94</v>
      </c>
      <c r="Y718" t="s">
        <v>1685</v>
      </c>
      <c r="Z718" t="s">
        <v>96</v>
      </c>
      <c r="AA718" t="s">
        <v>5435</v>
      </c>
      <c r="AB718" t="s">
        <v>4226</v>
      </c>
      <c r="AC718">
        <v>1</v>
      </c>
      <c r="AD718">
        <v>1</v>
      </c>
      <c r="AE718">
        <v>91</v>
      </c>
      <c r="AF718">
        <v>144.91</v>
      </c>
      <c r="AG718">
        <v>3.5</v>
      </c>
      <c r="AH718">
        <v>8.57</v>
      </c>
      <c r="AI718">
        <v>-0.04</v>
      </c>
      <c r="AJ718">
        <v>7.0000000000000007E-2</v>
      </c>
      <c r="AK718">
        <v>72</v>
      </c>
      <c r="AL718">
        <v>1</v>
      </c>
      <c r="AM718">
        <v>1</v>
      </c>
      <c r="AN718">
        <v>-4.84</v>
      </c>
      <c r="AO718">
        <v>1.44</v>
      </c>
      <c r="AP718">
        <v>2</v>
      </c>
      <c r="AQ718">
        <v>0</v>
      </c>
      <c r="AR718">
        <v>3.89</v>
      </c>
      <c r="AS718">
        <v>58</v>
      </c>
      <c r="AT718">
        <v>1.84</v>
      </c>
      <c r="AU718">
        <v>70</v>
      </c>
      <c r="AV718">
        <v>-4.2</v>
      </c>
      <c r="AW718">
        <v>64</v>
      </c>
      <c r="AX718">
        <v>-0.82</v>
      </c>
      <c r="AY718">
        <v>50</v>
      </c>
      <c r="AZ718">
        <v>6.95</v>
      </c>
      <c r="BA718">
        <v>50</v>
      </c>
      <c r="BB718">
        <v>5.03</v>
      </c>
      <c r="BC718">
        <v>52</v>
      </c>
      <c r="BD718">
        <v>-0.02</v>
      </c>
      <c r="BE718">
        <v>-0.02</v>
      </c>
      <c r="BF718">
        <v>-0.12</v>
      </c>
      <c r="BG718">
        <v>79</v>
      </c>
      <c r="BH718">
        <v>-0.02</v>
      </c>
      <c r="BI718">
        <v>7.26</v>
      </c>
      <c r="BJ718">
        <v>0</v>
      </c>
      <c r="BK718">
        <v>0</v>
      </c>
      <c r="BL718">
        <v>-0.09</v>
      </c>
      <c r="BM718">
        <v>1.59</v>
      </c>
      <c r="BN718">
        <v>1.69</v>
      </c>
      <c r="BO718">
        <v>0.02</v>
      </c>
      <c r="BP718">
        <v>1.29</v>
      </c>
      <c r="BQ718">
        <v>0.9</v>
      </c>
      <c r="BR718">
        <v>-0.37</v>
      </c>
      <c r="BS718">
        <v>-1.1200000000000001</v>
      </c>
      <c r="BT718">
        <v>-0.68</v>
      </c>
      <c r="BU718">
        <v>-0.31</v>
      </c>
      <c r="BV718">
        <v>-0.87</v>
      </c>
      <c r="BW718">
        <v>-1.41</v>
      </c>
      <c r="BX718">
        <v>-0.81</v>
      </c>
      <c r="BY718">
        <v>-0.67</v>
      </c>
      <c r="BZ718">
        <v>-0.34</v>
      </c>
      <c r="CA718">
        <v>-1.1499999999999999</v>
      </c>
      <c r="CB718">
        <v>-0.47</v>
      </c>
      <c r="CC718">
        <v>-1.36</v>
      </c>
      <c r="CD718">
        <v>1.1000000000000001</v>
      </c>
      <c r="CE718">
        <v>-0.2</v>
      </c>
      <c r="CF718">
        <v>0.68</v>
      </c>
      <c r="CG718">
        <v>0</v>
      </c>
      <c r="CH718">
        <v>0.48</v>
      </c>
      <c r="CI718">
        <v>0</v>
      </c>
      <c r="CJ718">
        <v>-8.6</v>
      </c>
      <c r="CK718">
        <v>56</v>
      </c>
      <c r="CL718">
        <v>-0.93</v>
      </c>
      <c r="CM718">
        <v>55</v>
      </c>
      <c r="CN718">
        <v>-0.42</v>
      </c>
      <c r="CO718">
        <v>53</v>
      </c>
      <c r="CP718">
        <v>-4.0999999999999996</v>
      </c>
      <c r="CQ718">
        <v>53</v>
      </c>
      <c r="CR718">
        <v>0</v>
      </c>
      <c r="CS718">
        <v>0</v>
      </c>
      <c r="CT718">
        <v>10</v>
      </c>
      <c r="CU718">
        <v>50</v>
      </c>
      <c r="CV718">
        <v>0.11</v>
      </c>
      <c r="CW718">
        <v>37</v>
      </c>
      <c r="CX718" t="s">
        <v>1252</v>
      </c>
    </row>
    <row r="719" spans="1:102" x14ac:dyDescent="0.3">
      <c r="A719" t="str">
        <f>HYPERLINK("https://webapp.icbf.com/v2/app/bull-search/view/910809842","LFK")</f>
        <v>LFK</v>
      </c>
      <c r="B719" t="s">
        <v>5887</v>
      </c>
      <c r="C719" t="s">
        <v>2411</v>
      </c>
      <c r="D719" s="1">
        <v>38408</v>
      </c>
      <c r="E719" t="s">
        <v>108</v>
      </c>
      <c r="F719">
        <v>0</v>
      </c>
      <c r="G719" t="s">
        <v>93</v>
      </c>
      <c r="H719">
        <v>166.31</v>
      </c>
      <c r="I719">
        <v>89</v>
      </c>
      <c r="J719">
        <v>18.02</v>
      </c>
      <c r="K719">
        <v>97</v>
      </c>
      <c r="L719">
        <v>95.6</v>
      </c>
      <c r="M719">
        <v>85</v>
      </c>
      <c r="N719">
        <v>46.07</v>
      </c>
      <c r="O719">
        <v>89</v>
      </c>
      <c r="P719">
        <v>-8.2100000000000009</v>
      </c>
      <c r="Q719">
        <v>95</v>
      </c>
      <c r="R719">
        <v>11.09</v>
      </c>
      <c r="S719">
        <v>79</v>
      </c>
      <c r="T719">
        <v>11.68</v>
      </c>
      <c r="U719">
        <v>85</v>
      </c>
      <c r="V719">
        <v>-7.94</v>
      </c>
      <c r="W719">
        <v>71</v>
      </c>
      <c r="X719" t="s">
        <v>276</v>
      </c>
      <c r="Y719" t="s">
        <v>1980</v>
      </c>
      <c r="Z719" t="s">
        <v>96</v>
      </c>
      <c r="AA719" t="s">
        <v>1129</v>
      </c>
      <c r="AB719" t="s">
        <v>5083</v>
      </c>
      <c r="AC719">
        <v>148</v>
      </c>
      <c r="AD719">
        <v>61</v>
      </c>
      <c r="AE719">
        <v>97</v>
      </c>
      <c r="AF719">
        <v>-133.4</v>
      </c>
      <c r="AG719">
        <v>1.9</v>
      </c>
      <c r="AH719">
        <v>0.35</v>
      </c>
      <c r="AI719">
        <v>0.12</v>
      </c>
      <c r="AJ719">
        <v>0.08</v>
      </c>
      <c r="AK719">
        <v>85</v>
      </c>
      <c r="AL719">
        <v>195</v>
      </c>
      <c r="AM719">
        <v>85</v>
      </c>
      <c r="AN719">
        <v>-5.52</v>
      </c>
      <c r="AO719">
        <v>2.1</v>
      </c>
      <c r="AP719">
        <v>306</v>
      </c>
      <c r="AQ719">
        <v>8</v>
      </c>
      <c r="AR719">
        <v>5.33</v>
      </c>
      <c r="AS719">
        <v>85</v>
      </c>
      <c r="AT719">
        <v>2.2200000000000002</v>
      </c>
      <c r="AU719">
        <v>92</v>
      </c>
      <c r="AV719">
        <v>-4.2699999999999996</v>
      </c>
      <c r="AW719">
        <v>98</v>
      </c>
      <c r="AX719">
        <v>0.23</v>
      </c>
      <c r="AY719">
        <v>91</v>
      </c>
      <c r="AZ719">
        <v>6.53</v>
      </c>
      <c r="BA719">
        <v>74</v>
      </c>
      <c r="BB719">
        <v>4.87</v>
      </c>
      <c r="BC719">
        <v>63</v>
      </c>
      <c r="BD719">
        <v>-0.03</v>
      </c>
      <c r="BE719">
        <v>-0.05</v>
      </c>
      <c r="BF719">
        <v>-0.11</v>
      </c>
      <c r="BG719">
        <v>92</v>
      </c>
      <c r="BH719">
        <v>-0.11</v>
      </c>
      <c r="BI719">
        <v>12.9</v>
      </c>
      <c r="BJ719">
        <v>20</v>
      </c>
      <c r="BK719">
        <v>11</v>
      </c>
      <c r="BL719">
        <v>-2.42</v>
      </c>
      <c r="BM719">
        <v>1.63</v>
      </c>
      <c r="BN719">
        <v>-0.91</v>
      </c>
      <c r="BO719">
        <v>-1.95</v>
      </c>
      <c r="BP719">
        <v>0.06</v>
      </c>
      <c r="BQ719">
        <v>1.7</v>
      </c>
      <c r="BR719">
        <v>-1.74</v>
      </c>
      <c r="BS719">
        <v>1.53</v>
      </c>
      <c r="BT719">
        <v>0.35</v>
      </c>
      <c r="BU719">
        <v>-1.35</v>
      </c>
      <c r="BV719">
        <v>-1.76</v>
      </c>
      <c r="BW719">
        <v>-1.93</v>
      </c>
      <c r="BX719">
        <v>-0.79</v>
      </c>
      <c r="BY719">
        <v>-1.7</v>
      </c>
      <c r="BZ719">
        <v>0.74</v>
      </c>
      <c r="CA719">
        <v>-0.85</v>
      </c>
      <c r="CB719">
        <v>-1.42</v>
      </c>
      <c r="CC719">
        <v>0.79</v>
      </c>
      <c r="CD719">
        <v>2.0299999999999998</v>
      </c>
      <c r="CE719">
        <v>-1.36</v>
      </c>
      <c r="CF719">
        <v>-0.81</v>
      </c>
      <c r="CG719">
        <v>0</v>
      </c>
      <c r="CH719">
        <v>-0.95</v>
      </c>
      <c r="CI719">
        <v>0</v>
      </c>
      <c r="CJ719">
        <v>-5.0999999999999996</v>
      </c>
      <c r="CK719">
        <v>96</v>
      </c>
      <c r="CL719">
        <v>-0.21</v>
      </c>
      <c r="CM719">
        <v>96</v>
      </c>
      <c r="CN719">
        <v>-0.2</v>
      </c>
      <c r="CO719">
        <v>95</v>
      </c>
      <c r="CP719">
        <v>-9</v>
      </c>
      <c r="CQ719">
        <v>88</v>
      </c>
      <c r="CR719">
        <v>0</v>
      </c>
      <c r="CS719">
        <v>0</v>
      </c>
      <c r="CT719">
        <v>-2</v>
      </c>
      <c r="CU719">
        <v>85</v>
      </c>
      <c r="CV719">
        <v>-0.09</v>
      </c>
      <c r="CW719">
        <v>28</v>
      </c>
      <c r="CX719" t="s">
        <v>607</v>
      </c>
    </row>
    <row r="720" spans="1:102" x14ac:dyDescent="0.3">
      <c r="A720" t="str">
        <f>HYPERLINK("https://webapp.icbf.com/v2/app/bull-search/view/1072262499","OZG")</f>
        <v>OZG</v>
      </c>
      <c r="B720" t="s">
        <v>7615</v>
      </c>
      <c r="C720" t="s">
        <v>7616</v>
      </c>
      <c r="D720" s="1">
        <v>41384</v>
      </c>
      <c r="E720" t="s">
        <v>108</v>
      </c>
      <c r="F720">
        <v>19</v>
      </c>
      <c r="G720" t="s">
        <v>93</v>
      </c>
      <c r="H720">
        <v>166.24</v>
      </c>
      <c r="I720">
        <v>86</v>
      </c>
      <c r="J720">
        <v>37.47</v>
      </c>
      <c r="K720">
        <v>98</v>
      </c>
      <c r="L720">
        <v>85.18</v>
      </c>
      <c r="M720">
        <v>75</v>
      </c>
      <c r="N720">
        <v>59.17</v>
      </c>
      <c r="O720">
        <v>90</v>
      </c>
      <c r="P720">
        <v>-13.15</v>
      </c>
      <c r="Q720">
        <v>96</v>
      </c>
      <c r="R720">
        <v>-9.44</v>
      </c>
      <c r="S720">
        <v>76</v>
      </c>
      <c r="T720">
        <v>9.39</v>
      </c>
      <c r="U720">
        <v>75</v>
      </c>
      <c r="V720">
        <v>-2.38</v>
      </c>
      <c r="W720">
        <v>70</v>
      </c>
      <c r="X720" t="s">
        <v>94</v>
      </c>
      <c r="Y720" t="s">
        <v>389</v>
      </c>
      <c r="Z720" t="s">
        <v>96</v>
      </c>
      <c r="AA720" t="s">
        <v>7617</v>
      </c>
      <c r="AB720" t="s">
        <v>7618</v>
      </c>
      <c r="AC720">
        <v>221</v>
      </c>
      <c r="AD720">
        <v>105</v>
      </c>
      <c r="AE720">
        <v>98</v>
      </c>
      <c r="AF720">
        <v>-254.68</v>
      </c>
      <c r="AG720">
        <v>2.81</v>
      </c>
      <c r="AH720">
        <v>1.48</v>
      </c>
      <c r="AI720">
        <v>0.23</v>
      </c>
      <c r="AJ720">
        <v>0.18</v>
      </c>
      <c r="AK720">
        <v>75</v>
      </c>
      <c r="AL720">
        <v>122</v>
      </c>
      <c r="AM720">
        <v>65</v>
      </c>
      <c r="AN720">
        <v>-5.68</v>
      </c>
      <c r="AO720">
        <v>1.1000000000000001</v>
      </c>
      <c r="AP720">
        <v>1361</v>
      </c>
      <c r="AQ720">
        <v>4</v>
      </c>
      <c r="AR720">
        <v>4.5599999999999996</v>
      </c>
      <c r="AS720">
        <v>92</v>
      </c>
      <c r="AT720">
        <v>2.08</v>
      </c>
      <c r="AU720">
        <v>96</v>
      </c>
      <c r="AV720">
        <v>-5.28</v>
      </c>
      <c r="AW720">
        <v>99</v>
      </c>
      <c r="AX720">
        <v>-0.65</v>
      </c>
      <c r="AY720">
        <v>96</v>
      </c>
      <c r="AZ720">
        <v>5.88</v>
      </c>
      <c r="BA720">
        <v>78</v>
      </c>
      <c r="BB720">
        <v>4.9800000000000004</v>
      </c>
      <c r="BC720">
        <v>50</v>
      </c>
      <c r="BD720">
        <v>0.03</v>
      </c>
      <c r="BE720">
        <v>0.03</v>
      </c>
      <c r="BF720">
        <v>0.11</v>
      </c>
      <c r="BG720">
        <v>90</v>
      </c>
      <c r="BH720">
        <v>-0.12</v>
      </c>
      <c r="BI720">
        <v>-6.2</v>
      </c>
      <c r="BJ720">
        <v>5</v>
      </c>
      <c r="BK720">
        <v>3</v>
      </c>
      <c r="BL720">
        <v>-2</v>
      </c>
      <c r="BM720">
        <v>1.47</v>
      </c>
      <c r="BN720">
        <v>-1.36</v>
      </c>
      <c r="BO720">
        <v>-1.87</v>
      </c>
      <c r="BP720">
        <v>-0.17</v>
      </c>
      <c r="BQ720">
        <v>2.3199999999999998</v>
      </c>
      <c r="BR720">
        <v>-0.6</v>
      </c>
      <c r="BS720">
        <v>-1.41</v>
      </c>
      <c r="BT720">
        <v>-0.1</v>
      </c>
      <c r="BU720">
        <v>-2.11</v>
      </c>
      <c r="BV720">
        <v>-1.77</v>
      </c>
      <c r="BW720">
        <v>-2.37</v>
      </c>
      <c r="BX720">
        <v>-0.99</v>
      </c>
      <c r="BY720">
        <v>-1.74</v>
      </c>
      <c r="BZ720">
        <v>-1.93</v>
      </c>
      <c r="CA720">
        <v>-1.52</v>
      </c>
      <c r="CB720">
        <v>-1.78</v>
      </c>
      <c r="CC720">
        <v>-0.43</v>
      </c>
      <c r="CD720">
        <v>2.48</v>
      </c>
      <c r="CE720">
        <v>-2.14</v>
      </c>
      <c r="CF720">
        <v>-0.24</v>
      </c>
      <c r="CG720">
        <v>0</v>
      </c>
      <c r="CH720">
        <v>-1.44</v>
      </c>
      <c r="CI720">
        <v>0</v>
      </c>
      <c r="CJ720">
        <v>-6.7</v>
      </c>
      <c r="CK720">
        <v>98</v>
      </c>
      <c r="CL720">
        <v>-0.14000000000000001</v>
      </c>
      <c r="CM720">
        <v>98</v>
      </c>
      <c r="CN720">
        <v>0.12</v>
      </c>
      <c r="CO720">
        <v>97</v>
      </c>
      <c r="CP720">
        <v>-7</v>
      </c>
      <c r="CQ720">
        <v>74</v>
      </c>
      <c r="CR720">
        <v>0</v>
      </c>
      <c r="CS720">
        <v>0</v>
      </c>
      <c r="CT720">
        <v>1.1000000000000001</v>
      </c>
      <c r="CU720">
        <v>75</v>
      </c>
      <c r="CV720">
        <v>-0.03</v>
      </c>
      <c r="CW720">
        <v>45</v>
      </c>
      <c r="CX720" t="s">
        <v>5326</v>
      </c>
    </row>
    <row r="721" spans="1:102" x14ac:dyDescent="0.3">
      <c r="A721" t="str">
        <f>HYPERLINK("https://webapp.icbf.com/v2/app/bull-search/view/965689380","KYD")</f>
        <v>KYD</v>
      </c>
      <c r="B721" t="s">
        <v>10159</v>
      </c>
      <c r="C721" t="s">
        <v>10160</v>
      </c>
      <c r="D721" s="1">
        <v>41009</v>
      </c>
      <c r="E721" t="s">
        <v>92</v>
      </c>
      <c r="F721">
        <v>72</v>
      </c>
      <c r="G721" t="s">
        <v>93</v>
      </c>
      <c r="H721">
        <v>166.16</v>
      </c>
      <c r="I721">
        <v>95</v>
      </c>
      <c r="J721">
        <v>69.25</v>
      </c>
      <c r="K721">
        <v>99</v>
      </c>
      <c r="L721">
        <v>56.07</v>
      </c>
      <c r="M721">
        <v>90</v>
      </c>
      <c r="N721">
        <v>31.24</v>
      </c>
      <c r="O721">
        <v>97</v>
      </c>
      <c r="P721">
        <v>-14.32</v>
      </c>
      <c r="Q721">
        <v>99</v>
      </c>
      <c r="R721">
        <v>7.26</v>
      </c>
      <c r="S721">
        <v>93</v>
      </c>
      <c r="T721">
        <v>14.12</v>
      </c>
      <c r="U721">
        <v>96</v>
      </c>
      <c r="V721">
        <v>2.54</v>
      </c>
      <c r="W721">
        <v>79</v>
      </c>
      <c r="X721" t="s">
        <v>102</v>
      </c>
      <c r="Y721" t="s">
        <v>1976</v>
      </c>
      <c r="Z721" t="s">
        <v>96</v>
      </c>
      <c r="AA721" t="s">
        <v>1764</v>
      </c>
      <c r="AB721" t="s">
        <v>10161</v>
      </c>
      <c r="AC721">
        <v>1115</v>
      </c>
      <c r="AD721">
        <v>363</v>
      </c>
      <c r="AE721">
        <v>99</v>
      </c>
      <c r="AF721">
        <v>-138.11000000000001</v>
      </c>
      <c r="AG721">
        <v>11.29</v>
      </c>
      <c r="AH721">
        <v>5.67</v>
      </c>
      <c r="AI721">
        <v>0.3</v>
      </c>
      <c r="AJ721">
        <v>0.19</v>
      </c>
      <c r="AK721">
        <v>90</v>
      </c>
      <c r="AL721">
        <v>1342</v>
      </c>
      <c r="AM721">
        <v>438</v>
      </c>
      <c r="AN721">
        <v>-2.38</v>
      </c>
      <c r="AO721">
        <v>2.1</v>
      </c>
      <c r="AP721">
        <v>2913</v>
      </c>
      <c r="AQ721">
        <v>13</v>
      </c>
      <c r="AR721">
        <v>7.35</v>
      </c>
      <c r="AS721">
        <v>97</v>
      </c>
      <c r="AT721">
        <v>2.5099999999999998</v>
      </c>
      <c r="AU721">
        <v>98</v>
      </c>
      <c r="AV721">
        <v>-2.81</v>
      </c>
      <c r="AW721">
        <v>99</v>
      </c>
      <c r="AX721">
        <v>-0.01</v>
      </c>
      <c r="AY721">
        <v>98</v>
      </c>
      <c r="AZ721">
        <v>6.09</v>
      </c>
      <c r="BA721">
        <v>94</v>
      </c>
      <c r="BB721">
        <v>4.45</v>
      </c>
      <c r="BC721">
        <v>89</v>
      </c>
      <c r="BD721">
        <v>-0.03</v>
      </c>
      <c r="BE721">
        <v>-0.03</v>
      </c>
      <c r="BF721">
        <v>-0.06</v>
      </c>
      <c r="BG721">
        <v>98</v>
      </c>
      <c r="BH721">
        <v>-0.08</v>
      </c>
      <c r="BI721">
        <v>-17.45</v>
      </c>
      <c r="BJ721">
        <v>22</v>
      </c>
      <c r="BK721">
        <v>10</v>
      </c>
      <c r="BL721">
        <v>-1.43</v>
      </c>
      <c r="BM721">
        <v>-0.28999999999999998</v>
      </c>
      <c r="BN721">
        <v>-1.41</v>
      </c>
      <c r="BO721">
        <v>-0.92</v>
      </c>
      <c r="BP721">
        <v>1.1499999999999999</v>
      </c>
      <c r="BQ721">
        <v>-2.14</v>
      </c>
      <c r="BR721">
        <v>1.17</v>
      </c>
      <c r="BS721">
        <v>0.79</v>
      </c>
      <c r="BT721">
        <v>-2.02</v>
      </c>
      <c r="BU721">
        <v>-2.98</v>
      </c>
      <c r="BV721">
        <v>-2.5</v>
      </c>
      <c r="BW721">
        <v>-2.64</v>
      </c>
      <c r="BX721">
        <v>-2.4</v>
      </c>
      <c r="BY721">
        <v>-2.21</v>
      </c>
      <c r="BZ721">
        <v>0.3</v>
      </c>
      <c r="CA721">
        <v>-1.46</v>
      </c>
      <c r="CB721">
        <v>-2.4300000000000002</v>
      </c>
      <c r="CC721">
        <v>0.36</v>
      </c>
      <c r="CD721">
        <v>0.4</v>
      </c>
      <c r="CE721">
        <v>-0.71</v>
      </c>
      <c r="CF721">
        <v>-1.59</v>
      </c>
      <c r="CG721">
        <v>0</v>
      </c>
      <c r="CH721">
        <v>-2.3199999999999998</v>
      </c>
      <c r="CI721">
        <v>0</v>
      </c>
      <c r="CJ721">
        <v>-7.4</v>
      </c>
      <c r="CK721">
        <v>99</v>
      </c>
      <c r="CL721">
        <v>-0.56999999999999995</v>
      </c>
      <c r="CM721">
        <v>99</v>
      </c>
      <c r="CN721">
        <v>-0.26</v>
      </c>
      <c r="CO721">
        <v>99</v>
      </c>
      <c r="CP721">
        <v>-8.5</v>
      </c>
      <c r="CQ721">
        <v>96</v>
      </c>
      <c r="CR721">
        <v>0</v>
      </c>
      <c r="CS721">
        <v>0</v>
      </c>
      <c r="CT721">
        <v>-5.3</v>
      </c>
      <c r="CU721">
        <v>96</v>
      </c>
      <c r="CV721">
        <v>0.09</v>
      </c>
      <c r="CW721">
        <v>47</v>
      </c>
      <c r="CX721" t="s">
        <v>792</v>
      </c>
    </row>
    <row r="722" spans="1:102" x14ac:dyDescent="0.3">
      <c r="A722" t="str">
        <f>HYPERLINK("https://webapp.icbf.com/v2/app/bull-search/view/955678366","BJS")</f>
        <v>BJS</v>
      </c>
      <c r="B722" t="s">
        <v>5737</v>
      </c>
      <c r="C722" t="s">
        <v>5738</v>
      </c>
      <c r="D722" s="1">
        <v>40974</v>
      </c>
      <c r="E722" t="s">
        <v>92</v>
      </c>
      <c r="F722">
        <v>66</v>
      </c>
      <c r="G722" t="s">
        <v>93</v>
      </c>
      <c r="H722">
        <v>166.13</v>
      </c>
      <c r="I722">
        <v>91</v>
      </c>
      <c r="J722">
        <v>52.42</v>
      </c>
      <c r="K722">
        <v>98</v>
      </c>
      <c r="L722">
        <v>79.77</v>
      </c>
      <c r="M722">
        <v>83</v>
      </c>
      <c r="N722">
        <v>39.049999999999997</v>
      </c>
      <c r="O722">
        <v>94</v>
      </c>
      <c r="P722">
        <v>-26.4</v>
      </c>
      <c r="Q722">
        <v>97</v>
      </c>
      <c r="R722">
        <v>-0.04</v>
      </c>
      <c r="S722">
        <v>85</v>
      </c>
      <c r="T722">
        <v>17.010000000000002</v>
      </c>
      <c r="U722">
        <v>91</v>
      </c>
      <c r="V722">
        <v>4.32</v>
      </c>
      <c r="W722">
        <v>77</v>
      </c>
      <c r="X722" t="s">
        <v>94</v>
      </c>
      <c r="Y722" t="s">
        <v>1976</v>
      </c>
      <c r="Z722" t="s">
        <v>330</v>
      </c>
      <c r="AA722" t="s">
        <v>5446</v>
      </c>
      <c r="AB722" t="s">
        <v>5739</v>
      </c>
      <c r="AC722">
        <v>341</v>
      </c>
      <c r="AD722">
        <v>139</v>
      </c>
      <c r="AE722">
        <v>98</v>
      </c>
      <c r="AF722">
        <v>-177.48</v>
      </c>
      <c r="AG722">
        <v>6.1</v>
      </c>
      <c r="AH722">
        <v>4.04</v>
      </c>
      <c r="AI722">
        <v>0.23</v>
      </c>
      <c r="AJ722">
        <v>0.18</v>
      </c>
      <c r="AK722">
        <v>83</v>
      </c>
      <c r="AL722">
        <v>444</v>
      </c>
      <c r="AM722">
        <v>193</v>
      </c>
      <c r="AN722">
        <v>-4.49</v>
      </c>
      <c r="AO722">
        <v>1.87</v>
      </c>
      <c r="AP722">
        <v>901</v>
      </c>
      <c r="AQ722">
        <v>5</v>
      </c>
      <c r="AR722">
        <v>5.57</v>
      </c>
      <c r="AS722">
        <v>88</v>
      </c>
      <c r="AT722">
        <v>2.4</v>
      </c>
      <c r="AU722">
        <v>96</v>
      </c>
      <c r="AV722">
        <v>-3.18</v>
      </c>
      <c r="AW722">
        <v>99</v>
      </c>
      <c r="AX722">
        <v>-0.36</v>
      </c>
      <c r="AY722">
        <v>94</v>
      </c>
      <c r="AZ722">
        <v>6.19</v>
      </c>
      <c r="BA722">
        <v>85</v>
      </c>
      <c r="BB722">
        <v>4.59</v>
      </c>
      <c r="BC722">
        <v>77</v>
      </c>
      <c r="BD722">
        <v>0</v>
      </c>
      <c r="BE722">
        <v>-0.01</v>
      </c>
      <c r="BF722">
        <v>0.02</v>
      </c>
      <c r="BG722">
        <v>94</v>
      </c>
      <c r="BH722">
        <v>0.04</v>
      </c>
      <c r="BI722">
        <v>-9.32</v>
      </c>
      <c r="BJ722">
        <v>4</v>
      </c>
      <c r="BK722">
        <v>1</v>
      </c>
      <c r="BL722">
        <v>-1.76</v>
      </c>
      <c r="BM722">
        <v>-0.16</v>
      </c>
      <c r="BN722">
        <v>-1.58</v>
      </c>
      <c r="BO722">
        <v>-1.49</v>
      </c>
      <c r="BP722">
        <v>1.68</v>
      </c>
      <c r="BQ722">
        <v>-1.66</v>
      </c>
      <c r="BR722">
        <v>1.61</v>
      </c>
      <c r="BS722">
        <v>-1.84</v>
      </c>
      <c r="BT722">
        <v>-2.77</v>
      </c>
      <c r="BU722">
        <v>-1.72</v>
      </c>
      <c r="BV722">
        <v>-1.93</v>
      </c>
      <c r="BW722">
        <v>-1.3</v>
      </c>
      <c r="BX722">
        <v>-1.62</v>
      </c>
      <c r="BY722">
        <v>-0.82</v>
      </c>
      <c r="BZ722">
        <v>0.16</v>
      </c>
      <c r="CA722">
        <v>-1.97</v>
      </c>
      <c r="CB722">
        <v>-1.42</v>
      </c>
      <c r="CC722">
        <v>-2.56</v>
      </c>
      <c r="CD722">
        <v>0.15</v>
      </c>
      <c r="CE722">
        <v>-0.59</v>
      </c>
      <c r="CF722">
        <v>-0.99</v>
      </c>
      <c r="CG722">
        <v>0</v>
      </c>
      <c r="CH722">
        <v>0.8</v>
      </c>
      <c r="CI722">
        <v>0</v>
      </c>
      <c r="CJ722">
        <v>-12.8</v>
      </c>
      <c r="CK722">
        <v>98</v>
      </c>
      <c r="CL722">
        <v>-0.66</v>
      </c>
      <c r="CM722">
        <v>98</v>
      </c>
      <c r="CN722">
        <v>-0.03</v>
      </c>
      <c r="CO722">
        <v>98</v>
      </c>
      <c r="CP722">
        <v>-15.2</v>
      </c>
      <c r="CQ722">
        <v>91</v>
      </c>
      <c r="CR722">
        <v>0</v>
      </c>
      <c r="CS722">
        <v>0</v>
      </c>
      <c r="CT722">
        <v>-9.1999999999999993</v>
      </c>
      <c r="CU722">
        <v>91</v>
      </c>
      <c r="CV722">
        <v>-0.05</v>
      </c>
      <c r="CW722">
        <v>46</v>
      </c>
      <c r="CX722" t="s">
        <v>2713</v>
      </c>
    </row>
    <row r="723" spans="1:102" x14ac:dyDescent="0.3">
      <c r="A723" t="str">
        <f>HYPERLINK("https://webapp.icbf.com/v2/app/bull-search/view/1447297753","FR4341")</f>
        <v>FR4341</v>
      </c>
      <c r="B723" t="s">
        <v>9780</v>
      </c>
      <c r="C723" t="s">
        <v>9781</v>
      </c>
      <c r="D723" s="1">
        <v>42218</v>
      </c>
      <c r="E723" t="s">
        <v>92</v>
      </c>
      <c r="F723">
        <v>100</v>
      </c>
      <c r="G723" t="s">
        <v>435</v>
      </c>
      <c r="H723">
        <v>166.13</v>
      </c>
      <c r="I723">
        <v>72</v>
      </c>
      <c r="J723">
        <v>82.32</v>
      </c>
      <c r="K723">
        <v>88</v>
      </c>
      <c r="L723">
        <v>36.549999999999997</v>
      </c>
      <c r="M723">
        <v>69</v>
      </c>
      <c r="N723">
        <v>38.9</v>
      </c>
      <c r="O723">
        <v>87</v>
      </c>
      <c r="P723">
        <v>-7.65</v>
      </c>
      <c r="Q723">
        <v>46</v>
      </c>
      <c r="R723">
        <v>17.38</v>
      </c>
      <c r="S723">
        <v>64</v>
      </c>
      <c r="T723">
        <v>-6.23</v>
      </c>
      <c r="U723">
        <v>38</v>
      </c>
      <c r="V723">
        <v>4.8600000000000003</v>
      </c>
      <c r="W723">
        <v>57</v>
      </c>
      <c r="X723" t="s">
        <v>276</v>
      </c>
      <c r="Y723" t="s">
        <v>2261</v>
      </c>
      <c r="Z723" t="s">
        <v>96</v>
      </c>
      <c r="AA723" t="s">
        <v>2737</v>
      </c>
      <c r="AB723" t="s">
        <v>9782</v>
      </c>
      <c r="AC723">
        <v>0</v>
      </c>
      <c r="AD723">
        <v>0</v>
      </c>
      <c r="AE723">
        <v>88</v>
      </c>
      <c r="AF723">
        <v>495.63</v>
      </c>
      <c r="AG723">
        <v>19.27</v>
      </c>
      <c r="AH723">
        <v>14.77</v>
      </c>
      <c r="AI723">
        <v>-0.01</v>
      </c>
      <c r="AJ723">
        <v>-0.03</v>
      </c>
      <c r="AK723">
        <v>69</v>
      </c>
      <c r="AL723">
        <v>0</v>
      </c>
      <c r="AM723">
        <v>0</v>
      </c>
      <c r="AN723">
        <v>-1.62</v>
      </c>
      <c r="AO723">
        <v>1.3</v>
      </c>
      <c r="AP723">
        <v>1131</v>
      </c>
      <c r="AQ723">
        <v>3</v>
      </c>
      <c r="AR723">
        <v>5.69</v>
      </c>
      <c r="AS723">
        <v>95</v>
      </c>
      <c r="AT723">
        <v>2.2999999999999998</v>
      </c>
      <c r="AU723">
        <v>95</v>
      </c>
      <c r="AV723">
        <v>-3.73</v>
      </c>
      <c r="AW723">
        <v>99</v>
      </c>
      <c r="AX723">
        <v>-0.21</v>
      </c>
      <c r="AY723">
        <v>95</v>
      </c>
      <c r="AZ723">
        <v>6.52</v>
      </c>
      <c r="BA723">
        <v>37</v>
      </c>
      <c r="BB723">
        <v>5.41</v>
      </c>
      <c r="BC723">
        <v>37</v>
      </c>
      <c r="BD723">
        <v>-7.0000000000000007E-2</v>
      </c>
      <c r="BE723">
        <v>-7.0000000000000007E-2</v>
      </c>
      <c r="BF723">
        <v>-0.15</v>
      </c>
      <c r="BG723">
        <v>76</v>
      </c>
      <c r="BH723">
        <v>-0.08</v>
      </c>
      <c r="BI723">
        <v>-24.93</v>
      </c>
      <c r="BJ723">
        <v>0</v>
      </c>
      <c r="BK723">
        <v>0</v>
      </c>
      <c r="BL723">
        <v>0.48</v>
      </c>
      <c r="BM723">
        <v>-0.57999999999999996</v>
      </c>
      <c r="BN723">
        <v>-0.13</v>
      </c>
      <c r="BO723">
        <v>0.54</v>
      </c>
      <c r="BP723">
        <v>0.89</v>
      </c>
      <c r="BQ723">
        <v>-0.33</v>
      </c>
      <c r="BR723">
        <v>-2.2200000000000002</v>
      </c>
      <c r="BS723">
        <v>1.81</v>
      </c>
      <c r="BT723">
        <v>1.88</v>
      </c>
      <c r="BU723">
        <v>1.99</v>
      </c>
      <c r="BV723">
        <v>2.23</v>
      </c>
      <c r="BW723">
        <v>1.1000000000000001</v>
      </c>
      <c r="BX723">
        <v>1.83</v>
      </c>
      <c r="BY723">
        <v>1.26</v>
      </c>
      <c r="BZ723">
        <v>0.51</v>
      </c>
      <c r="CA723">
        <v>2</v>
      </c>
      <c r="CB723">
        <v>1.67</v>
      </c>
      <c r="CC723">
        <v>1.3</v>
      </c>
      <c r="CD723">
        <v>-0.16</v>
      </c>
      <c r="CE723">
        <v>1.59</v>
      </c>
      <c r="CF723">
        <v>1.53</v>
      </c>
      <c r="CG723">
        <v>0</v>
      </c>
      <c r="CH723">
        <v>0.91</v>
      </c>
      <c r="CI723">
        <v>0</v>
      </c>
      <c r="CJ723">
        <v>-0.6</v>
      </c>
      <c r="CK723">
        <v>51</v>
      </c>
      <c r="CL723">
        <v>-1.42</v>
      </c>
      <c r="CM723">
        <v>39</v>
      </c>
      <c r="CN723">
        <v>-0.62</v>
      </c>
      <c r="CO723">
        <v>39</v>
      </c>
      <c r="CP723">
        <v>3.8</v>
      </c>
      <c r="CQ723">
        <v>40</v>
      </c>
      <c r="CR723">
        <v>0</v>
      </c>
      <c r="CS723">
        <v>0</v>
      </c>
      <c r="CT723">
        <v>22.2</v>
      </c>
      <c r="CU723">
        <v>38</v>
      </c>
      <c r="CV723">
        <v>0.23</v>
      </c>
      <c r="CW723">
        <v>33</v>
      </c>
      <c r="CX723" t="s">
        <v>6980</v>
      </c>
    </row>
    <row r="724" spans="1:102" x14ac:dyDescent="0.3">
      <c r="A724" t="str">
        <f>HYPERLINK("https://webapp.icbf.com/v2/app/bull-search/view/897036193","S1137")</f>
        <v>S1137</v>
      </c>
      <c r="B724" t="s">
        <v>5414</v>
      </c>
      <c r="C724" t="s">
        <v>5415</v>
      </c>
      <c r="D724" s="1">
        <v>40230</v>
      </c>
      <c r="E724" t="s">
        <v>92</v>
      </c>
      <c r="F724">
        <v>100</v>
      </c>
      <c r="G724" t="s">
        <v>93</v>
      </c>
      <c r="H724">
        <v>166.11</v>
      </c>
      <c r="I724">
        <v>93</v>
      </c>
      <c r="J724">
        <v>100.16</v>
      </c>
      <c r="K724">
        <v>99</v>
      </c>
      <c r="L724">
        <v>35.130000000000003</v>
      </c>
      <c r="M724">
        <v>92</v>
      </c>
      <c r="N724">
        <v>33.119999999999997</v>
      </c>
      <c r="O724">
        <v>94</v>
      </c>
      <c r="P724">
        <v>-13.46</v>
      </c>
      <c r="Q724">
        <v>96</v>
      </c>
      <c r="R724">
        <v>7.55</v>
      </c>
      <c r="S724">
        <v>83</v>
      </c>
      <c r="T724">
        <v>5.69</v>
      </c>
      <c r="U724">
        <v>85</v>
      </c>
      <c r="V724">
        <v>-2.08</v>
      </c>
      <c r="W724">
        <v>75</v>
      </c>
      <c r="X724" t="s">
        <v>94</v>
      </c>
      <c r="Y724" t="s">
        <v>336</v>
      </c>
      <c r="Z724" t="s">
        <v>96</v>
      </c>
      <c r="AA724" t="s">
        <v>1572</v>
      </c>
      <c r="AB724" t="s">
        <v>5416</v>
      </c>
      <c r="AC724">
        <v>354</v>
      </c>
      <c r="AD724">
        <v>142</v>
      </c>
      <c r="AE724">
        <v>99</v>
      </c>
      <c r="AF724">
        <v>212.12</v>
      </c>
      <c r="AG724">
        <v>14.59</v>
      </c>
      <c r="AH724">
        <v>15.12</v>
      </c>
      <c r="AI724">
        <v>0.11</v>
      </c>
      <c r="AJ724">
        <v>0.13</v>
      </c>
      <c r="AK724">
        <v>92</v>
      </c>
      <c r="AL724">
        <v>254</v>
      </c>
      <c r="AM724">
        <v>112</v>
      </c>
      <c r="AN724">
        <v>-1.26</v>
      </c>
      <c r="AO724">
        <v>1.55</v>
      </c>
      <c r="AP724">
        <v>799</v>
      </c>
      <c r="AQ724">
        <v>3</v>
      </c>
      <c r="AR724">
        <v>6.49</v>
      </c>
      <c r="AS724">
        <v>95</v>
      </c>
      <c r="AT724">
        <v>2.41</v>
      </c>
      <c r="AU724">
        <v>96</v>
      </c>
      <c r="AV724">
        <v>-2.81</v>
      </c>
      <c r="AW724">
        <v>99</v>
      </c>
      <c r="AX724">
        <v>-0.41</v>
      </c>
      <c r="AY724">
        <v>94</v>
      </c>
      <c r="AZ724">
        <v>5.72</v>
      </c>
      <c r="BA724">
        <v>82</v>
      </c>
      <c r="BB724">
        <v>4.96</v>
      </c>
      <c r="BC724">
        <v>74</v>
      </c>
      <c r="BD724">
        <v>-0.01</v>
      </c>
      <c r="BE724">
        <v>-0.03</v>
      </c>
      <c r="BF724">
        <v>-0.1</v>
      </c>
      <c r="BG724">
        <v>95</v>
      </c>
      <c r="BH724">
        <v>-0.23</v>
      </c>
      <c r="BI724">
        <v>-19.89</v>
      </c>
      <c r="BJ724">
        <v>121</v>
      </c>
      <c r="BK724">
        <v>57</v>
      </c>
      <c r="BL724">
        <v>0.76</v>
      </c>
      <c r="BM724">
        <v>-2.12</v>
      </c>
      <c r="BN724">
        <v>-0.39</v>
      </c>
      <c r="BO724">
        <v>1.1499999999999999</v>
      </c>
      <c r="BP724">
        <v>-0.77</v>
      </c>
      <c r="BQ724">
        <v>-1.42</v>
      </c>
      <c r="BR724">
        <v>-0.73</v>
      </c>
      <c r="BS724">
        <v>2.0499999999999998</v>
      </c>
      <c r="BT724">
        <v>1.7</v>
      </c>
      <c r="BU724">
        <v>1.48</v>
      </c>
      <c r="BV724">
        <v>2.54</v>
      </c>
      <c r="BW724">
        <v>2.69</v>
      </c>
      <c r="BX724">
        <v>1.1200000000000001</v>
      </c>
      <c r="BY724">
        <v>2.17</v>
      </c>
      <c r="BZ724">
        <v>-2.2000000000000002</v>
      </c>
      <c r="CA724">
        <v>1.79</v>
      </c>
      <c r="CB724">
        <v>1.59</v>
      </c>
      <c r="CC724">
        <v>1.25</v>
      </c>
      <c r="CD724">
        <v>-1.22</v>
      </c>
      <c r="CE724">
        <v>1.32</v>
      </c>
      <c r="CF724">
        <v>0.44</v>
      </c>
      <c r="CG724">
        <v>0</v>
      </c>
      <c r="CH724">
        <v>1.85</v>
      </c>
      <c r="CI724">
        <v>0</v>
      </c>
      <c r="CJ724">
        <v>-5.9</v>
      </c>
      <c r="CK724">
        <v>97</v>
      </c>
      <c r="CL724">
        <v>-1.1499999999999999</v>
      </c>
      <c r="CM724">
        <v>97</v>
      </c>
      <c r="CN724">
        <v>-0.57999999999999996</v>
      </c>
      <c r="CO724">
        <v>96</v>
      </c>
      <c r="CP724">
        <v>-1.6</v>
      </c>
      <c r="CQ724">
        <v>88</v>
      </c>
      <c r="CR724">
        <v>0</v>
      </c>
      <c r="CS724">
        <v>0</v>
      </c>
      <c r="CT724">
        <v>6.1</v>
      </c>
      <c r="CU724">
        <v>85</v>
      </c>
      <c r="CV724">
        <v>0.18</v>
      </c>
      <c r="CW724">
        <v>46</v>
      </c>
      <c r="CX724" t="s">
        <v>309</v>
      </c>
    </row>
    <row r="725" spans="1:102" x14ac:dyDescent="0.3">
      <c r="A725" t="str">
        <f>HYPERLINK("https://webapp.icbf.com/v2/app/bull-search/view/1103481822","JE2441")</f>
        <v>JE2441</v>
      </c>
      <c r="B725" t="s">
        <v>2336</v>
      </c>
      <c r="C725" t="s">
        <v>2337</v>
      </c>
      <c r="D725" s="1">
        <v>40774</v>
      </c>
      <c r="E725" t="s">
        <v>227</v>
      </c>
      <c r="F725">
        <v>44</v>
      </c>
      <c r="G725" t="s">
        <v>109</v>
      </c>
      <c r="H725">
        <v>165.76</v>
      </c>
      <c r="I725">
        <v>78</v>
      </c>
      <c r="J725">
        <v>91.42</v>
      </c>
      <c r="K725">
        <v>93</v>
      </c>
      <c r="L725">
        <v>43.93</v>
      </c>
      <c r="M725">
        <v>63</v>
      </c>
      <c r="N725">
        <v>32.32</v>
      </c>
      <c r="O725">
        <v>79</v>
      </c>
      <c r="P725">
        <v>-34.4</v>
      </c>
      <c r="Q725">
        <v>76</v>
      </c>
      <c r="R725">
        <v>-7.03</v>
      </c>
      <c r="S725">
        <v>70</v>
      </c>
      <c r="T725">
        <v>28.92</v>
      </c>
      <c r="U725">
        <v>84</v>
      </c>
      <c r="V725">
        <v>10.6</v>
      </c>
      <c r="W725">
        <v>69</v>
      </c>
      <c r="X725" t="s">
        <v>276</v>
      </c>
      <c r="Y725" t="s">
        <v>429</v>
      </c>
      <c r="Z725">
        <v>0</v>
      </c>
      <c r="AA725" t="s">
        <v>2338</v>
      </c>
      <c r="AB725" t="s">
        <v>144</v>
      </c>
      <c r="AC725">
        <v>0</v>
      </c>
      <c r="AD725">
        <v>0</v>
      </c>
      <c r="AE725">
        <v>93</v>
      </c>
      <c r="AF725">
        <v>98.08</v>
      </c>
      <c r="AG725">
        <v>18.600000000000001</v>
      </c>
      <c r="AH725">
        <v>10.47</v>
      </c>
      <c r="AI725">
        <v>0.25</v>
      </c>
      <c r="AJ725">
        <v>0.12</v>
      </c>
      <c r="AK725">
        <v>63</v>
      </c>
      <c r="AL725">
        <v>0</v>
      </c>
      <c r="AM725">
        <v>0</v>
      </c>
      <c r="AN725">
        <v>-1.1000000000000001</v>
      </c>
      <c r="AO725">
        <v>2.42</v>
      </c>
      <c r="AP725">
        <v>137</v>
      </c>
      <c r="AQ725">
        <v>0</v>
      </c>
      <c r="AR725">
        <v>4.3</v>
      </c>
      <c r="AS725">
        <v>72</v>
      </c>
      <c r="AT725">
        <v>1.9</v>
      </c>
      <c r="AU725">
        <v>81</v>
      </c>
      <c r="AV725">
        <v>-2.58</v>
      </c>
      <c r="AW725">
        <v>94</v>
      </c>
      <c r="AX725">
        <v>-7.0000000000000007E-2</v>
      </c>
      <c r="AY725">
        <v>73</v>
      </c>
      <c r="AZ725">
        <v>7.09</v>
      </c>
      <c r="BA725">
        <v>63</v>
      </c>
      <c r="BB725">
        <v>5.69</v>
      </c>
      <c r="BC725">
        <v>43</v>
      </c>
      <c r="BD725">
        <v>-0.02</v>
      </c>
      <c r="BE725">
        <v>0.05</v>
      </c>
      <c r="BF725">
        <v>0.1</v>
      </c>
      <c r="BG725">
        <v>81</v>
      </c>
      <c r="BH725">
        <v>0.11</v>
      </c>
      <c r="BI725">
        <v>-21.47</v>
      </c>
      <c r="BJ725">
        <v>0</v>
      </c>
      <c r="BK725">
        <v>0</v>
      </c>
      <c r="BL725">
        <v>-2.36</v>
      </c>
      <c r="BM725">
        <v>-0.86</v>
      </c>
      <c r="BN725">
        <v>-1</v>
      </c>
      <c r="BO725">
        <v>-0.19</v>
      </c>
      <c r="BP725">
        <v>-1.43</v>
      </c>
      <c r="BQ725">
        <v>-3.75</v>
      </c>
      <c r="BR725">
        <v>1.41</v>
      </c>
      <c r="BS725">
        <v>2.77</v>
      </c>
      <c r="BT725">
        <v>-1.45</v>
      </c>
      <c r="BU725">
        <v>-1.4</v>
      </c>
      <c r="BV725">
        <v>-0.64</v>
      </c>
      <c r="BW725">
        <v>-1.91</v>
      </c>
      <c r="BX725">
        <v>-3.42</v>
      </c>
      <c r="BY725">
        <v>-0.23</v>
      </c>
      <c r="BZ725">
        <v>-0.28000000000000003</v>
      </c>
      <c r="CA725">
        <v>0.01</v>
      </c>
      <c r="CB725">
        <v>-0.93</v>
      </c>
      <c r="CC725">
        <v>1.5</v>
      </c>
      <c r="CD725">
        <v>-0.46</v>
      </c>
      <c r="CE725">
        <v>0.14000000000000001</v>
      </c>
      <c r="CF725">
        <v>-2.42</v>
      </c>
      <c r="CG725">
        <v>0</v>
      </c>
      <c r="CH725">
        <v>-0.36</v>
      </c>
      <c r="CI725">
        <v>0</v>
      </c>
      <c r="CJ725">
        <v>-18.5</v>
      </c>
      <c r="CK725">
        <v>80</v>
      </c>
      <c r="CL725">
        <v>-0.6</v>
      </c>
      <c r="CM725">
        <v>73</v>
      </c>
      <c r="CN725">
        <v>-0.17</v>
      </c>
      <c r="CO725">
        <v>71</v>
      </c>
      <c r="CP725">
        <v>-31.1</v>
      </c>
      <c r="CQ725">
        <v>68</v>
      </c>
      <c r="CR725">
        <v>0</v>
      </c>
      <c r="CS725">
        <v>0</v>
      </c>
      <c r="CT725">
        <v>-25.3</v>
      </c>
      <c r="CU725">
        <v>84</v>
      </c>
      <c r="CV725">
        <v>-0.01</v>
      </c>
      <c r="CW725">
        <v>42</v>
      </c>
      <c r="CX725" t="s">
        <v>2339</v>
      </c>
    </row>
    <row r="726" spans="1:102" x14ac:dyDescent="0.3">
      <c r="A726" t="str">
        <f>HYPERLINK("https://webapp.icbf.com/v2/app/bull-search/view/487001722","BMU")</f>
        <v>BMU</v>
      </c>
      <c r="B726" t="s">
        <v>15071</v>
      </c>
      <c r="C726" t="s">
        <v>7652</v>
      </c>
      <c r="D726" s="1">
        <v>38564</v>
      </c>
      <c r="E726" t="s">
        <v>108</v>
      </c>
      <c r="F726">
        <v>31</v>
      </c>
      <c r="G726" t="s">
        <v>93</v>
      </c>
      <c r="H726">
        <v>165.75</v>
      </c>
      <c r="I726">
        <v>97</v>
      </c>
      <c r="J726">
        <v>86.86</v>
      </c>
      <c r="K726">
        <v>99</v>
      </c>
      <c r="L726">
        <v>46.89</v>
      </c>
      <c r="M726">
        <v>93</v>
      </c>
      <c r="N726">
        <v>29.77</v>
      </c>
      <c r="O726">
        <v>98</v>
      </c>
      <c r="P726">
        <v>-39.630000000000003</v>
      </c>
      <c r="Q726">
        <v>99</v>
      </c>
      <c r="R726">
        <v>-12.5</v>
      </c>
      <c r="S726">
        <v>94</v>
      </c>
      <c r="T726">
        <v>46.68</v>
      </c>
      <c r="U726">
        <v>98</v>
      </c>
      <c r="V726">
        <v>7.68</v>
      </c>
      <c r="W726">
        <v>96</v>
      </c>
      <c r="X726" t="s">
        <v>276</v>
      </c>
      <c r="Y726" t="s">
        <v>1524</v>
      </c>
      <c r="Z726" t="s">
        <v>528</v>
      </c>
      <c r="AA726" t="s">
        <v>333</v>
      </c>
      <c r="AB726" t="s">
        <v>144</v>
      </c>
      <c r="AC726">
        <v>1032</v>
      </c>
      <c r="AD726">
        <v>270</v>
      </c>
      <c r="AE726">
        <v>99</v>
      </c>
      <c r="AF726">
        <v>-92.72</v>
      </c>
      <c r="AG726">
        <v>14.65</v>
      </c>
      <c r="AH726">
        <v>8.17</v>
      </c>
      <c r="AI726">
        <v>0.32</v>
      </c>
      <c r="AJ726">
        <v>0.2</v>
      </c>
      <c r="AK726">
        <v>93</v>
      </c>
      <c r="AL726">
        <v>1150</v>
      </c>
      <c r="AM726">
        <v>316</v>
      </c>
      <c r="AN726">
        <v>-2.5</v>
      </c>
      <c r="AO726">
        <v>1.24</v>
      </c>
      <c r="AP726">
        <v>1863</v>
      </c>
      <c r="AQ726">
        <v>14</v>
      </c>
      <c r="AR726">
        <v>3.67</v>
      </c>
      <c r="AS726">
        <v>98</v>
      </c>
      <c r="AT726">
        <v>1.66</v>
      </c>
      <c r="AU726">
        <v>98</v>
      </c>
      <c r="AV726">
        <v>-2.2200000000000002</v>
      </c>
      <c r="AW726">
        <v>99</v>
      </c>
      <c r="AX726">
        <v>-0.42</v>
      </c>
      <c r="AY726">
        <v>98</v>
      </c>
      <c r="AZ726">
        <v>8.9700000000000006</v>
      </c>
      <c r="BA726">
        <v>93</v>
      </c>
      <c r="BB726">
        <v>5.66</v>
      </c>
      <c r="BC726">
        <v>94</v>
      </c>
      <c r="BD726">
        <v>-0.01</v>
      </c>
      <c r="BE726">
        <v>0.06</v>
      </c>
      <c r="BF726">
        <v>0.19</v>
      </c>
      <c r="BG726">
        <v>98</v>
      </c>
      <c r="BH726">
        <v>0.06</v>
      </c>
      <c r="BI726">
        <v>-17.84</v>
      </c>
      <c r="BJ726">
        <v>34</v>
      </c>
      <c r="BK726">
        <v>15</v>
      </c>
      <c r="BL726">
        <v>-3.04</v>
      </c>
      <c r="BM726">
        <v>-0.35</v>
      </c>
      <c r="BN726">
        <v>-1.47</v>
      </c>
      <c r="BO726">
        <v>-1.06</v>
      </c>
      <c r="BP726">
        <v>-0.21</v>
      </c>
      <c r="BQ726">
        <v>-4.7699999999999996</v>
      </c>
      <c r="BR726">
        <v>1.07</v>
      </c>
      <c r="BS726">
        <v>1.7</v>
      </c>
      <c r="BT726">
        <v>-1.87</v>
      </c>
      <c r="BU726">
        <v>-1.36</v>
      </c>
      <c r="BV726">
        <v>-0.8</v>
      </c>
      <c r="BW726">
        <v>-2.12</v>
      </c>
      <c r="BX726">
        <v>-2.89</v>
      </c>
      <c r="BY726">
        <v>-1.62</v>
      </c>
      <c r="BZ726">
        <v>-1.82</v>
      </c>
      <c r="CA726">
        <v>-0.17</v>
      </c>
      <c r="CB726">
        <v>-1.08</v>
      </c>
      <c r="CC726">
        <v>1.65</v>
      </c>
      <c r="CD726">
        <v>-0.11</v>
      </c>
      <c r="CE726">
        <v>-1.01</v>
      </c>
      <c r="CF726">
        <v>-3.3</v>
      </c>
      <c r="CG726">
        <v>0</v>
      </c>
      <c r="CH726">
        <v>-0.83</v>
      </c>
      <c r="CI726">
        <v>0</v>
      </c>
      <c r="CJ726">
        <v>-20.7</v>
      </c>
      <c r="CK726">
        <v>99</v>
      </c>
      <c r="CL726">
        <v>-0.55000000000000004</v>
      </c>
      <c r="CM726">
        <v>99</v>
      </c>
      <c r="CN726">
        <v>0.03</v>
      </c>
      <c r="CO726">
        <v>99</v>
      </c>
      <c r="CP726">
        <v>-33.6</v>
      </c>
      <c r="CQ726">
        <v>98</v>
      </c>
      <c r="CR726">
        <v>0</v>
      </c>
      <c r="CS726">
        <v>0</v>
      </c>
      <c r="CT726">
        <v>-49.3</v>
      </c>
      <c r="CU726">
        <v>98</v>
      </c>
      <c r="CV726">
        <v>-0.13</v>
      </c>
      <c r="CW726">
        <v>47</v>
      </c>
      <c r="CX726" t="s">
        <v>1257</v>
      </c>
    </row>
    <row r="727" spans="1:102" x14ac:dyDescent="0.3">
      <c r="A727" t="str">
        <f>HYPERLINK("https://webapp.icbf.com/v2/app/bull-search/view/1619024372","JE4574")</f>
        <v>JE4574</v>
      </c>
      <c r="B727" t="s">
        <v>13996</v>
      </c>
      <c r="C727" t="s">
        <v>13997</v>
      </c>
      <c r="D727" s="1">
        <v>42462</v>
      </c>
      <c r="E727" t="s">
        <v>227</v>
      </c>
      <c r="F727">
        <v>0</v>
      </c>
      <c r="G727" t="s">
        <v>435</v>
      </c>
      <c r="H727">
        <v>165.59</v>
      </c>
      <c r="I727">
        <v>60</v>
      </c>
      <c r="J727">
        <v>80.55</v>
      </c>
      <c r="K727">
        <v>77</v>
      </c>
      <c r="L727">
        <v>46.64</v>
      </c>
      <c r="M727">
        <v>59</v>
      </c>
      <c r="N727">
        <v>13.23</v>
      </c>
      <c r="O727">
        <v>47</v>
      </c>
      <c r="P727">
        <v>-51.75</v>
      </c>
      <c r="Q727">
        <v>36</v>
      </c>
      <c r="R727">
        <v>9</v>
      </c>
      <c r="S727">
        <v>55</v>
      </c>
      <c r="T727">
        <v>61.48</v>
      </c>
      <c r="U727">
        <v>35</v>
      </c>
      <c r="V727">
        <v>6.44</v>
      </c>
      <c r="W727">
        <v>54</v>
      </c>
      <c r="X727" t="s">
        <v>276</v>
      </c>
      <c r="Y727" t="s">
        <v>2384</v>
      </c>
      <c r="Z727">
        <v>0</v>
      </c>
      <c r="AA727" t="s">
        <v>2207</v>
      </c>
      <c r="AB727" t="s">
        <v>144</v>
      </c>
      <c r="AC727">
        <v>0</v>
      </c>
      <c r="AD727">
        <v>0</v>
      </c>
      <c r="AE727">
        <v>77</v>
      </c>
      <c r="AF727">
        <v>-585.28</v>
      </c>
      <c r="AG727">
        <v>15.75</v>
      </c>
      <c r="AH727">
        <v>-0.83</v>
      </c>
      <c r="AI727">
        <v>0.74</v>
      </c>
      <c r="AJ727">
        <v>0.37</v>
      </c>
      <c r="AK727">
        <v>59</v>
      </c>
      <c r="AL727">
        <v>0</v>
      </c>
      <c r="AM727">
        <v>0</v>
      </c>
      <c r="AN727">
        <v>-0.19</v>
      </c>
      <c r="AO727">
        <v>3.56</v>
      </c>
      <c r="AP727">
        <v>7</v>
      </c>
      <c r="AQ727">
        <v>0</v>
      </c>
      <c r="AR727">
        <v>3.52</v>
      </c>
      <c r="AS727">
        <v>43</v>
      </c>
      <c r="AT727">
        <v>1.78</v>
      </c>
      <c r="AU727">
        <v>50</v>
      </c>
      <c r="AV727">
        <v>-1.25</v>
      </c>
      <c r="AW727">
        <v>53</v>
      </c>
      <c r="AX727">
        <v>5.53</v>
      </c>
      <c r="AY727">
        <v>39</v>
      </c>
      <c r="AZ727">
        <v>6.71</v>
      </c>
      <c r="BA727">
        <v>36</v>
      </c>
      <c r="BB727">
        <v>5.0599999999999996</v>
      </c>
      <c r="BC727">
        <v>35</v>
      </c>
      <c r="BD727">
        <v>-0.09</v>
      </c>
      <c r="BE727">
        <v>-0.03</v>
      </c>
      <c r="BF727">
        <v>0</v>
      </c>
      <c r="BG727">
        <v>60</v>
      </c>
      <c r="BH727">
        <v>0.09</v>
      </c>
      <c r="BI727">
        <v>-10.37</v>
      </c>
      <c r="BJ727">
        <v>0</v>
      </c>
      <c r="BK727">
        <v>0</v>
      </c>
      <c r="BL727">
        <v>-1.28</v>
      </c>
      <c r="BM727">
        <v>-2.0499999999999998</v>
      </c>
      <c r="BN727">
        <v>-0.57999999999999996</v>
      </c>
      <c r="BO727">
        <v>1.41</v>
      </c>
      <c r="BP727">
        <v>0.56999999999999995</v>
      </c>
      <c r="BQ727">
        <v>-5.52</v>
      </c>
      <c r="BR727">
        <v>2.09</v>
      </c>
      <c r="BS727">
        <v>6.16</v>
      </c>
      <c r="BT727">
        <v>-1.05</v>
      </c>
      <c r="BU727">
        <v>0.88</v>
      </c>
      <c r="BV727">
        <v>0.82</v>
      </c>
      <c r="BW727">
        <v>-1.03</v>
      </c>
      <c r="BX727">
        <v>-1.58</v>
      </c>
      <c r="BY727">
        <v>0.24</v>
      </c>
      <c r="BZ727">
        <v>-0.21</v>
      </c>
      <c r="CA727">
        <v>2.08</v>
      </c>
      <c r="CB727">
        <v>0.8</v>
      </c>
      <c r="CC727">
        <v>3.69</v>
      </c>
      <c r="CD727">
        <v>-2.2599999999999998</v>
      </c>
      <c r="CE727">
        <v>1.23</v>
      </c>
      <c r="CF727">
        <v>-1.23</v>
      </c>
      <c r="CG727">
        <v>0</v>
      </c>
      <c r="CH727">
        <v>-0.32</v>
      </c>
      <c r="CI727">
        <v>0</v>
      </c>
      <c r="CJ727">
        <v>-25.9</v>
      </c>
      <c r="CK727">
        <v>36</v>
      </c>
      <c r="CL727">
        <v>-1.05</v>
      </c>
      <c r="CM727">
        <v>36</v>
      </c>
      <c r="CN727">
        <v>-0.18</v>
      </c>
      <c r="CO727">
        <v>35</v>
      </c>
      <c r="CP727">
        <v>-48.5</v>
      </c>
      <c r="CQ727">
        <v>35</v>
      </c>
      <c r="CR727">
        <v>0</v>
      </c>
      <c r="CS727">
        <v>0</v>
      </c>
      <c r="CT727">
        <v>-69.3</v>
      </c>
      <c r="CU727">
        <v>35</v>
      </c>
      <c r="CV727">
        <v>-0.28000000000000003</v>
      </c>
      <c r="CW727">
        <v>32</v>
      </c>
      <c r="CX727" t="s">
        <v>454</v>
      </c>
    </row>
    <row r="728" spans="1:102" x14ac:dyDescent="0.3">
      <c r="A728" t="str">
        <f>HYPERLINK("https://webapp.icbf.com/v2/app/bull-search/view/910808262","YRB")</f>
        <v>YRB</v>
      </c>
      <c r="B728" t="s">
        <v>15283</v>
      </c>
      <c r="C728" t="s">
        <v>15284</v>
      </c>
      <c r="D728" s="1">
        <v>40385</v>
      </c>
      <c r="E728" t="s">
        <v>92</v>
      </c>
      <c r="F728">
        <v>69</v>
      </c>
      <c r="G728" t="s">
        <v>93</v>
      </c>
      <c r="H728">
        <v>165.58</v>
      </c>
      <c r="I728">
        <v>91</v>
      </c>
      <c r="J728">
        <v>122.91</v>
      </c>
      <c r="K728">
        <v>99</v>
      </c>
      <c r="L728">
        <v>-6.94</v>
      </c>
      <c r="M728">
        <v>84</v>
      </c>
      <c r="N728">
        <v>60.67</v>
      </c>
      <c r="O728">
        <v>94</v>
      </c>
      <c r="P728">
        <v>-28.87</v>
      </c>
      <c r="Q728">
        <v>97</v>
      </c>
      <c r="R728">
        <v>-11.05</v>
      </c>
      <c r="S728">
        <v>78</v>
      </c>
      <c r="T728">
        <v>21.74</v>
      </c>
      <c r="U728">
        <v>96</v>
      </c>
      <c r="V728">
        <v>7.12</v>
      </c>
      <c r="W728">
        <v>70</v>
      </c>
      <c r="X728" t="s">
        <v>276</v>
      </c>
      <c r="Y728" t="s">
        <v>2066</v>
      </c>
      <c r="Z728" t="s">
        <v>330</v>
      </c>
      <c r="AA728" t="s">
        <v>2278</v>
      </c>
      <c r="AB728" t="s">
        <v>15285</v>
      </c>
      <c r="AC728">
        <v>526</v>
      </c>
      <c r="AD728">
        <v>93</v>
      </c>
      <c r="AE728">
        <v>99</v>
      </c>
      <c r="AF728">
        <v>301.95999999999998</v>
      </c>
      <c r="AG728">
        <v>19.52</v>
      </c>
      <c r="AH728">
        <v>18.62</v>
      </c>
      <c r="AI728">
        <v>0.12</v>
      </c>
      <c r="AJ728">
        <v>0.13</v>
      </c>
      <c r="AK728">
        <v>84</v>
      </c>
      <c r="AL728">
        <v>544</v>
      </c>
      <c r="AM728">
        <v>109</v>
      </c>
      <c r="AN728">
        <v>0.62</v>
      </c>
      <c r="AO728">
        <v>7.0000000000000007E-2</v>
      </c>
      <c r="AP728">
        <v>1071</v>
      </c>
      <c r="AQ728">
        <v>3</v>
      </c>
      <c r="AR728">
        <v>4.8</v>
      </c>
      <c r="AS728">
        <v>94</v>
      </c>
      <c r="AT728">
        <v>1.79</v>
      </c>
      <c r="AU728">
        <v>95</v>
      </c>
      <c r="AV728">
        <v>-5.93</v>
      </c>
      <c r="AW728">
        <v>99</v>
      </c>
      <c r="AX728">
        <v>-1.1000000000000001</v>
      </c>
      <c r="AY728">
        <v>95</v>
      </c>
      <c r="AZ728">
        <v>8.14</v>
      </c>
      <c r="BA728">
        <v>85</v>
      </c>
      <c r="BB728">
        <v>5.49</v>
      </c>
      <c r="BC728">
        <v>75</v>
      </c>
      <c r="BD728">
        <v>0</v>
      </c>
      <c r="BE728">
        <v>0.06</v>
      </c>
      <c r="BF728">
        <v>0.14000000000000001</v>
      </c>
      <c r="BG728">
        <v>95</v>
      </c>
      <c r="BH728">
        <v>0.2</v>
      </c>
      <c r="BI728">
        <v>0.17</v>
      </c>
      <c r="BJ728">
        <v>5</v>
      </c>
      <c r="BK728">
        <v>1</v>
      </c>
      <c r="BL728">
        <v>-1.99</v>
      </c>
      <c r="BM728">
        <v>0.96</v>
      </c>
      <c r="BN728">
        <v>-0.19</v>
      </c>
      <c r="BO728">
        <v>-0.04</v>
      </c>
      <c r="BP728">
        <v>-0.18</v>
      </c>
      <c r="BQ728">
        <v>-0.39</v>
      </c>
      <c r="BR728">
        <v>2.5299999999999998</v>
      </c>
      <c r="BS728">
        <v>0.09</v>
      </c>
      <c r="BT728">
        <v>-2.7</v>
      </c>
      <c r="BU728">
        <v>0.4</v>
      </c>
      <c r="BV728">
        <v>0.78</v>
      </c>
      <c r="BW728">
        <v>0.13</v>
      </c>
      <c r="BX728">
        <v>-1.86</v>
      </c>
      <c r="BY728">
        <v>0.72</v>
      </c>
      <c r="BZ728">
        <v>-3.89</v>
      </c>
      <c r="CA728">
        <v>-0.08</v>
      </c>
      <c r="CB728">
        <v>0.5</v>
      </c>
      <c r="CC728">
        <v>-0.84</v>
      </c>
      <c r="CD728">
        <v>-1.1599999999999999</v>
      </c>
      <c r="CE728">
        <v>-7.0000000000000007E-2</v>
      </c>
      <c r="CF728">
        <v>-2.7</v>
      </c>
      <c r="CG728">
        <v>0</v>
      </c>
      <c r="CH728">
        <v>0.78</v>
      </c>
      <c r="CI728">
        <v>0</v>
      </c>
      <c r="CJ728">
        <v>-14.9</v>
      </c>
      <c r="CK728">
        <v>98</v>
      </c>
      <c r="CL728">
        <v>-0.94</v>
      </c>
      <c r="CM728">
        <v>97</v>
      </c>
      <c r="CN728">
        <v>-0.33</v>
      </c>
      <c r="CO728">
        <v>97</v>
      </c>
      <c r="CP728">
        <v>-16.5</v>
      </c>
      <c r="CQ728">
        <v>91</v>
      </c>
      <c r="CR728">
        <v>0</v>
      </c>
      <c r="CS728">
        <v>0</v>
      </c>
      <c r="CT728">
        <v>-15.6</v>
      </c>
      <c r="CU728">
        <v>96</v>
      </c>
      <c r="CV728">
        <v>-7.0000000000000007E-2</v>
      </c>
      <c r="CW728">
        <v>30</v>
      </c>
      <c r="CX728" t="s">
        <v>1525</v>
      </c>
    </row>
    <row r="729" spans="1:102" x14ac:dyDescent="0.3">
      <c r="A729" t="str">
        <f>HYPERLINK("https://webapp.icbf.com/v2/app/bull-search/view/1057108136","S2159")</f>
        <v>S2159</v>
      </c>
      <c r="B729" t="s">
        <v>7170</v>
      </c>
      <c r="C729" t="s">
        <v>7171</v>
      </c>
      <c r="D729" s="1">
        <v>40210</v>
      </c>
      <c r="E729" t="s">
        <v>92</v>
      </c>
      <c r="F729">
        <v>88</v>
      </c>
      <c r="G729" t="s">
        <v>109</v>
      </c>
      <c r="H729">
        <v>165.57</v>
      </c>
      <c r="I729">
        <v>79</v>
      </c>
      <c r="J729">
        <v>74.38</v>
      </c>
      <c r="K729">
        <v>91</v>
      </c>
      <c r="L729">
        <v>57.94</v>
      </c>
      <c r="M729">
        <v>76</v>
      </c>
      <c r="N729">
        <v>39.21</v>
      </c>
      <c r="O729">
        <v>86</v>
      </c>
      <c r="P729">
        <v>-12.51</v>
      </c>
      <c r="Q729">
        <v>79</v>
      </c>
      <c r="R729">
        <v>8.09</v>
      </c>
      <c r="S729">
        <v>71</v>
      </c>
      <c r="T729">
        <v>3.39</v>
      </c>
      <c r="U729">
        <v>54</v>
      </c>
      <c r="V729">
        <v>-4.93</v>
      </c>
      <c r="W729">
        <v>54</v>
      </c>
      <c r="X729" t="s">
        <v>102</v>
      </c>
      <c r="Y729" t="s">
        <v>367</v>
      </c>
      <c r="Z729" t="s">
        <v>330</v>
      </c>
      <c r="AA729" t="s">
        <v>7172</v>
      </c>
      <c r="AB729" t="s">
        <v>7173</v>
      </c>
      <c r="AC729">
        <v>0</v>
      </c>
      <c r="AD729">
        <v>0</v>
      </c>
      <c r="AE729">
        <v>91</v>
      </c>
      <c r="AF729">
        <v>105.9</v>
      </c>
      <c r="AG729">
        <v>16.23</v>
      </c>
      <c r="AH729">
        <v>8.5299999999999994</v>
      </c>
      <c r="AI729">
        <v>0.21</v>
      </c>
      <c r="AJ729">
        <v>0.09</v>
      </c>
      <c r="AK729">
        <v>76</v>
      </c>
      <c r="AL729">
        <v>0</v>
      </c>
      <c r="AM729">
        <v>0</v>
      </c>
      <c r="AN729">
        <v>-2.44</v>
      </c>
      <c r="AO729">
        <v>2.19</v>
      </c>
      <c r="AP729">
        <v>991</v>
      </c>
      <c r="AQ729">
        <v>4</v>
      </c>
      <c r="AR729">
        <v>5.56</v>
      </c>
      <c r="AS729">
        <v>87</v>
      </c>
      <c r="AT729">
        <v>2.1800000000000002</v>
      </c>
      <c r="AU729">
        <v>96</v>
      </c>
      <c r="AV729">
        <v>-3.52</v>
      </c>
      <c r="AW729">
        <v>99</v>
      </c>
      <c r="AX729">
        <v>-0.85</v>
      </c>
      <c r="AY729">
        <v>94</v>
      </c>
      <c r="AZ729">
        <v>6.96</v>
      </c>
      <c r="BA729">
        <v>46</v>
      </c>
      <c r="BB729">
        <v>5.43</v>
      </c>
      <c r="BC729">
        <v>32</v>
      </c>
      <c r="BD729">
        <v>-0.06</v>
      </c>
      <c r="BE729">
        <v>-0.04</v>
      </c>
      <c r="BF729">
        <v>-0.01</v>
      </c>
      <c r="BG729">
        <v>88</v>
      </c>
      <c r="BH729">
        <v>0.01</v>
      </c>
      <c r="BI729">
        <v>17.05</v>
      </c>
      <c r="BJ729">
        <v>11</v>
      </c>
      <c r="BK729">
        <v>3</v>
      </c>
      <c r="BL729">
        <v>-0.14000000000000001</v>
      </c>
      <c r="BM729">
        <v>-0.31</v>
      </c>
      <c r="BN729">
        <v>-1.1000000000000001</v>
      </c>
      <c r="BO729">
        <v>-0.9</v>
      </c>
      <c r="BP729">
        <v>0.5</v>
      </c>
      <c r="BQ729">
        <v>0.75</v>
      </c>
      <c r="BR729">
        <v>-1.73</v>
      </c>
      <c r="BS729">
        <v>2.0299999999999998</v>
      </c>
      <c r="BT729">
        <v>0.39</v>
      </c>
      <c r="BU729">
        <v>1.1299999999999999</v>
      </c>
      <c r="BV729">
        <v>0.47</v>
      </c>
      <c r="BW729">
        <v>-0.54</v>
      </c>
      <c r="BX729">
        <v>1.21</v>
      </c>
      <c r="BY729">
        <v>0.88</v>
      </c>
      <c r="BZ729">
        <v>-0.71</v>
      </c>
      <c r="CA729">
        <v>1.26</v>
      </c>
      <c r="CB729">
        <v>0.78</v>
      </c>
      <c r="CC729">
        <v>1.48</v>
      </c>
      <c r="CD729">
        <v>0.7</v>
      </c>
      <c r="CE729">
        <v>0.03</v>
      </c>
      <c r="CF729">
        <v>1.03</v>
      </c>
      <c r="CG729">
        <v>0</v>
      </c>
      <c r="CH729">
        <v>-0.72</v>
      </c>
      <c r="CI729">
        <v>0</v>
      </c>
      <c r="CJ729">
        <v>-4.7</v>
      </c>
      <c r="CK729">
        <v>83</v>
      </c>
      <c r="CL729">
        <v>-0.96</v>
      </c>
      <c r="CM729">
        <v>78</v>
      </c>
      <c r="CN729">
        <v>-0.33</v>
      </c>
      <c r="CO729">
        <v>76</v>
      </c>
      <c r="CP729">
        <v>0.1</v>
      </c>
      <c r="CQ729">
        <v>53</v>
      </c>
      <c r="CR729">
        <v>0</v>
      </c>
      <c r="CS729">
        <v>0</v>
      </c>
      <c r="CT729">
        <v>9.1999999999999993</v>
      </c>
      <c r="CU729">
        <v>54</v>
      </c>
      <c r="CV729">
        <v>0.16</v>
      </c>
      <c r="CW729">
        <v>42</v>
      </c>
      <c r="CX729" t="s">
        <v>1874</v>
      </c>
    </row>
    <row r="730" spans="1:102" x14ac:dyDescent="0.3">
      <c r="A730" t="str">
        <f>HYPERLINK("https://webapp.icbf.com/v2/app/bull-search/view/550980142","GIU")</f>
        <v>GIU</v>
      </c>
      <c r="B730" t="s">
        <v>7077</v>
      </c>
      <c r="C730" t="s">
        <v>7078</v>
      </c>
      <c r="D730" s="1">
        <v>38954</v>
      </c>
      <c r="E730" t="s">
        <v>227</v>
      </c>
      <c r="F730">
        <v>0</v>
      </c>
      <c r="G730" t="s">
        <v>93</v>
      </c>
      <c r="H730">
        <v>165.41</v>
      </c>
      <c r="I730">
        <v>93</v>
      </c>
      <c r="J730">
        <v>81.87</v>
      </c>
      <c r="K730">
        <v>98</v>
      </c>
      <c r="L730">
        <v>33.840000000000003</v>
      </c>
      <c r="M730">
        <v>88</v>
      </c>
      <c r="N730">
        <v>40.06</v>
      </c>
      <c r="O730">
        <v>92</v>
      </c>
      <c r="P730">
        <v>-49.2</v>
      </c>
      <c r="Q730">
        <v>94</v>
      </c>
      <c r="R730">
        <v>-3.39</v>
      </c>
      <c r="S730">
        <v>89</v>
      </c>
      <c r="T730">
        <v>60.15</v>
      </c>
      <c r="U730">
        <v>93</v>
      </c>
      <c r="V730">
        <v>2.08</v>
      </c>
      <c r="W730">
        <v>92</v>
      </c>
      <c r="X730" t="s">
        <v>94</v>
      </c>
      <c r="Y730" t="s">
        <v>1524</v>
      </c>
      <c r="Z730">
        <v>0</v>
      </c>
      <c r="AA730" t="s">
        <v>229</v>
      </c>
      <c r="AB730" t="s">
        <v>7079</v>
      </c>
      <c r="AC730">
        <v>199</v>
      </c>
      <c r="AD730">
        <v>84</v>
      </c>
      <c r="AE730">
        <v>98</v>
      </c>
      <c r="AF730">
        <v>-385.85</v>
      </c>
      <c r="AG730">
        <v>18.649999999999999</v>
      </c>
      <c r="AH730">
        <v>1.42</v>
      </c>
      <c r="AI730">
        <v>0.63</v>
      </c>
      <c r="AJ730">
        <v>0.27</v>
      </c>
      <c r="AK730">
        <v>88</v>
      </c>
      <c r="AL730">
        <v>209</v>
      </c>
      <c r="AM730">
        <v>79</v>
      </c>
      <c r="AN730">
        <v>-2.5099999999999998</v>
      </c>
      <c r="AO730">
        <v>0.18</v>
      </c>
      <c r="AP730">
        <v>442</v>
      </c>
      <c r="AQ730">
        <v>5</v>
      </c>
      <c r="AR730">
        <v>2.63</v>
      </c>
      <c r="AS730">
        <v>87</v>
      </c>
      <c r="AT730">
        <v>1.36</v>
      </c>
      <c r="AU730">
        <v>93</v>
      </c>
      <c r="AV730">
        <v>-3.72</v>
      </c>
      <c r="AW730">
        <v>98</v>
      </c>
      <c r="AX730">
        <v>1.81</v>
      </c>
      <c r="AY730">
        <v>91</v>
      </c>
      <c r="AZ730">
        <v>9.0299999999999994</v>
      </c>
      <c r="BA730">
        <v>78</v>
      </c>
      <c r="BB730">
        <v>5.44</v>
      </c>
      <c r="BC730">
        <v>81</v>
      </c>
      <c r="BD730">
        <v>-0.06</v>
      </c>
      <c r="BE730">
        <v>0.02</v>
      </c>
      <c r="BF730">
        <v>0.14000000000000001</v>
      </c>
      <c r="BG730">
        <v>94</v>
      </c>
      <c r="BH730">
        <v>0.11</v>
      </c>
      <c r="BI730">
        <v>6.03</v>
      </c>
      <c r="BJ730">
        <v>46</v>
      </c>
      <c r="BK730">
        <v>15</v>
      </c>
      <c r="BL730">
        <v>-3.03</v>
      </c>
      <c r="BM730">
        <v>-2.44</v>
      </c>
      <c r="BN730">
        <v>-0.12</v>
      </c>
      <c r="BO730">
        <v>1.62</v>
      </c>
      <c r="BP730">
        <v>-1.6</v>
      </c>
      <c r="BQ730">
        <v>-6.85</v>
      </c>
      <c r="BR730">
        <v>2.34</v>
      </c>
      <c r="BS730">
        <v>7.32</v>
      </c>
      <c r="BT730">
        <v>0.34</v>
      </c>
      <c r="BU730">
        <v>-1.73</v>
      </c>
      <c r="BV730">
        <v>-0.3</v>
      </c>
      <c r="BW730">
        <v>-3.39</v>
      </c>
      <c r="BX730">
        <v>-4.93</v>
      </c>
      <c r="BY730">
        <v>0.14000000000000001</v>
      </c>
      <c r="BZ730">
        <v>-0.8</v>
      </c>
      <c r="CA730">
        <v>0.72</v>
      </c>
      <c r="CB730">
        <v>-1.5</v>
      </c>
      <c r="CC730">
        <v>5.0999999999999996</v>
      </c>
      <c r="CD730">
        <v>-2.5</v>
      </c>
      <c r="CE730">
        <v>1.07</v>
      </c>
      <c r="CF730">
        <v>-4.01</v>
      </c>
      <c r="CG730">
        <v>0</v>
      </c>
      <c r="CH730">
        <v>-2.7</v>
      </c>
      <c r="CI730">
        <v>0</v>
      </c>
      <c r="CJ730">
        <v>-26.2</v>
      </c>
      <c r="CK730">
        <v>95</v>
      </c>
      <c r="CL730">
        <v>-1.08</v>
      </c>
      <c r="CM730">
        <v>94</v>
      </c>
      <c r="CN730">
        <v>-0.45</v>
      </c>
      <c r="CO730">
        <v>94</v>
      </c>
      <c r="CP730">
        <v>-47.8</v>
      </c>
      <c r="CQ730">
        <v>93</v>
      </c>
      <c r="CR730">
        <v>0</v>
      </c>
      <c r="CS730">
        <v>0</v>
      </c>
      <c r="CT730">
        <v>-67.5</v>
      </c>
      <c r="CU730">
        <v>93</v>
      </c>
      <c r="CV730">
        <v>-0.18</v>
      </c>
      <c r="CW730">
        <v>45</v>
      </c>
      <c r="CX730" t="s">
        <v>7080</v>
      </c>
    </row>
    <row r="731" spans="1:102" x14ac:dyDescent="0.3">
      <c r="A731" t="str">
        <f>HYPERLINK("https://webapp.icbf.com/v2/app/bull-search/view/751418850","NPY")</f>
        <v>NPY</v>
      </c>
      <c r="B731" t="s">
        <v>9077</v>
      </c>
      <c r="C731" t="s">
        <v>9078</v>
      </c>
      <c r="D731" s="1">
        <v>40238</v>
      </c>
      <c r="E731" t="s">
        <v>92</v>
      </c>
      <c r="F731">
        <v>47</v>
      </c>
      <c r="G731" t="s">
        <v>93</v>
      </c>
      <c r="H731">
        <v>165.37</v>
      </c>
      <c r="I731">
        <v>94</v>
      </c>
      <c r="J731">
        <v>74.33</v>
      </c>
      <c r="K731">
        <v>99</v>
      </c>
      <c r="L731">
        <v>66.38</v>
      </c>
      <c r="M731">
        <v>89</v>
      </c>
      <c r="N731">
        <v>43.79</v>
      </c>
      <c r="O731">
        <v>97</v>
      </c>
      <c r="P731">
        <v>-23.16</v>
      </c>
      <c r="Q731">
        <v>99</v>
      </c>
      <c r="R731">
        <v>-3.25</v>
      </c>
      <c r="S731">
        <v>88</v>
      </c>
      <c r="T731">
        <v>9.39</v>
      </c>
      <c r="U731">
        <v>98</v>
      </c>
      <c r="V731">
        <v>-2.11</v>
      </c>
      <c r="W731">
        <v>76</v>
      </c>
      <c r="X731" t="s">
        <v>94</v>
      </c>
      <c r="Y731" t="s">
        <v>1775</v>
      </c>
      <c r="Z731" t="s">
        <v>330</v>
      </c>
      <c r="AA731" t="s">
        <v>1395</v>
      </c>
      <c r="AB731" t="s">
        <v>144</v>
      </c>
      <c r="AC731">
        <v>1493</v>
      </c>
      <c r="AD731">
        <v>316</v>
      </c>
      <c r="AE731">
        <v>99</v>
      </c>
      <c r="AF731">
        <v>-127.09</v>
      </c>
      <c r="AG731">
        <v>14.21</v>
      </c>
      <c r="AH731">
        <v>5.67</v>
      </c>
      <c r="AI731">
        <v>0.32</v>
      </c>
      <c r="AJ731">
        <v>0.17</v>
      </c>
      <c r="AK731">
        <v>89</v>
      </c>
      <c r="AL731">
        <v>1556</v>
      </c>
      <c r="AM731">
        <v>345</v>
      </c>
      <c r="AN731">
        <v>-3.13</v>
      </c>
      <c r="AO731">
        <v>2.17</v>
      </c>
      <c r="AP731">
        <v>3752</v>
      </c>
      <c r="AQ731">
        <v>27</v>
      </c>
      <c r="AR731">
        <v>5.62</v>
      </c>
      <c r="AS731">
        <v>99</v>
      </c>
      <c r="AT731">
        <v>1.88</v>
      </c>
      <c r="AU731">
        <v>98</v>
      </c>
      <c r="AV731">
        <v>-3.27</v>
      </c>
      <c r="AW731">
        <v>99</v>
      </c>
      <c r="AX731">
        <v>0.4</v>
      </c>
      <c r="AY731">
        <v>98</v>
      </c>
      <c r="AZ731">
        <v>5.67</v>
      </c>
      <c r="BA731">
        <v>95</v>
      </c>
      <c r="BB731">
        <v>4.18</v>
      </c>
      <c r="BC731">
        <v>90</v>
      </c>
      <c r="BD731">
        <v>-0.02</v>
      </c>
      <c r="BE731">
        <v>0.02</v>
      </c>
      <c r="BF731">
        <v>7.0000000000000007E-2</v>
      </c>
      <c r="BG731">
        <v>98</v>
      </c>
      <c r="BH731">
        <v>-0.04</v>
      </c>
      <c r="BI731">
        <v>2.19</v>
      </c>
      <c r="BJ731">
        <v>5</v>
      </c>
      <c r="BK731">
        <v>4</v>
      </c>
      <c r="BL731">
        <v>-2.17</v>
      </c>
      <c r="BM731">
        <v>-0.49</v>
      </c>
      <c r="BN731">
        <v>-0.66</v>
      </c>
      <c r="BO731">
        <v>-0.34</v>
      </c>
      <c r="BP731">
        <v>-1.41</v>
      </c>
      <c r="BQ731">
        <v>-3.22</v>
      </c>
      <c r="BR731">
        <v>1.91</v>
      </c>
      <c r="BS731">
        <v>0.84</v>
      </c>
      <c r="BT731">
        <v>-1.79</v>
      </c>
      <c r="BU731">
        <v>-0.63</v>
      </c>
      <c r="BV731">
        <v>-0.33</v>
      </c>
      <c r="BW731">
        <v>-1.29</v>
      </c>
      <c r="BX731">
        <v>-2.13</v>
      </c>
      <c r="BY731">
        <v>-1.61</v>
      </c>
      <c r="BZ731">
        <v>0.56000000000000005</v>
      </c>
      <c r="CA731">
        <v>0.23</v>
      </c>
      <c r="CB731">
        <v>7.0000000000000007E-2</v>
      </c>
      <c r="CC731">
        <v>0.44</v>
      </c>
      <c r="CD731">
        <v>-0.19</v>
      </c>
      <c r="CE731">
        <v>-0.32</v>
      </c>
      <c r="CF731">
        <v>-2.72</v>
      </c>
      <c r="CG731">
        <v>0</v>
      </c>
      <c r="CH731">
        <v>-0.6</v>
      </c>
      <c r="CI731">
        <v>0</v>
      </c>
      <c r="CJ731">
        <v>-10.3</v>
      </c>
      <c r="CK731">
        <v>99</v>
      </c>
      <c r="CL731">
        <v>-0.95</v>
      </c>
      <c r="CM731">
        <v>99</v>
      </c>
      <c r="CN731">
        <v>-0.19</v>
      </c>
      <c r="CO731">
        <v>99</v>
      </c>
      <c r="CP731">
        <v>-9.1</v>
      </c>
      <c r="CQ731">
        <v>96</v>
      </c>
      <c r="CR731">
        <v>0</v>
      </c>
      <c r="CS731">
        <v>0</v>
      </c>
      <c r="CT731">
        <v>1.1000000000000001</v>
      </c>
      <c r="CU731">
        <v>98</v>
      </c>
      <c r="CV731">
        <v>0.11</v>
      </c>
      <c r="CW731">
        <v>30</v>
      </c>
      <c r="CX731" t="s">
        <v>1634</v>
      </c>
    </row>
    <row r="732" spans="1:102" x14ac:dyDescent="0.3">
      <c r="A732" t="str">
        <f>HYPERLINK("https://webapp.icbf.com/v2/app/bull-search/view/371711767","OLG")</f>
        <v>OLG</v>
      </c>
      <c r="B732" t="s">
        <v>4285</v>
      </c>
      <c r="C732" t="s">
        <v>4286</v>
      </c>
      <c r="D732" s="1">
        <v>38226</v>
      </c>
      <c r="E732" t="s">
        <v>92</v>
      </c>
      <c r="F732">
        <v>100</v>
      </c>
      <c r="G732" t="s">
        <v>93</v>
      </c>
      <c r="H732">
        <v>165.31</v>
      </c>
      <c r="I732">
        <v>97</v>
      </c>
      <c r="J732">
        <v>56.94</v>
      </c>
      <c r="K732">
        <v>99</v>
      </c>
      <c r="L732">
        <v>54.56</v>
      </c>
      <c r="M732">
        <v>95</v>
      </c>
      <c r="N732">
        <v>52.95</v>
      </c>
      <c r="O732">
        <v>98</v>
      </c>
      <c r="P732">
        <v>-8.4600000000000009</v>
      </c>
      <c r="Q732">
        <v>99</v>
      </c>
      <c r="R732">
        <v>5.28</v>
      </c>
      <c r="S732">
        <v>97</v>
      </c>
      <c r="T732">
        <v>-8.67</v>
      </c>
      <c r="U732">
        <v>99</v>
      </c>
      <c r="V732">
        <v>12.71</v>
      </c>
      <c r="W732">
        <v>98</v>
      </c>
      <c r="X732" t="s">
        <v>94</v>
      </c>
      <c r="Y732" t="s">
        <v>1164</v>
      </c>
      <c r="Z732" t="s">
        <v>96</v>
      </c>
      <c r="AA732" t="s">
        <v>316</v>
      </c>
      <c r="AB732" t="s">
        <v>4287</v>
      </c>
      <c r="AC732">
        <v>1743</v>
      </c>
      <c r="AD732">
        <v>784</v>
      </c>
      <c r="AE732">
        <v>99</v>
      </c>
      <c r="AF732">
        <v>388.23</v>
      </c>
      <c r="AG732">
        <v>13.05</v>
      </c>
      <c r="AH732">
        <v>11.01</v>
      </c>
      <c r="AI732">
        <v>-0.03</v>
      </c>
      <c r="AJ732">
        <v>-0.04</v>
      </c>
      <c r="AK732">
        <v>95</v>
      </c>
      <c r="AL732">
        <v>2041</v>
      </c>
      <c r="AM732">
        <v>986</v>
      </c>
      <c r="AN732">
        <v>-3.05</v>
      </c>
      <c r="AO732">
        <v>1.3</v>
      </c>
      <c r="AP732">
        <v>2996</v>
      </c>
      <c r="AQ732">
        <v>13</v>
      </c>
      <c r="AR732">
        <v>5.12</v>
      </c>
      <c r="AS732">
        <v>97</v>
      </c>
      <c r="AT732">
        <v>2.19</v>
      </c>
      <c r="AU732">
        <v>99</v>
      </c>
      <c r="AV732">
        <v>-4.3499999999999996</v>
      </c>
      <c r="AW732">
        <v>99</v>
      </c>
      <c r="AX732">
        <v>-0.51</v>
      </c>
      <c r="AY732">
        <v>99</v>
      </c>
      <c r="AZ732">
        <v>5.31</v>
      </c>
      <c r="BA732">
        <v>96</v>
      </c>
      <c r="BB732">
        <v>4.45</v>
      </c>
      <c r="BC732">
        <v>96</v>
      </c>
      <c r="BD732">
        <v>-0.05</v>
      </c>
      <c r="BE732">
        <v>-0.02</v>
      </c>
      <c r="BF732">
        <v>0</v>
      </c>
      <c r="BG732">
        <v>99</v>
      </c>
      <c r="BH732">
        <v>0.14000000000000001</v>
      </c>
      <c r="BI732">
        <v>-24.79</v>
      </c>
      <c r="BJ732">
        <v>144</v>
      </c>
      <c r="BK732">
        <v>84</v>
      </c>
      <c r="BL732">
        <v>0.79</v>
      </c>
      <c r="BM732">
        <v>1.2</v>
      </c>
      <c r="BN732">
        <v>-0.18</v>
      </c>
      <c r="BO732">
        <v>-0.69</v>
      </c>
      <c r="BP732">
        <v>2.73</v>
      </c>
      <c r="BQ732">
        <v>-0.56000000000000005</v>
      </c>
      <c r="BR732">
        <v>-3.7</v>
      </c>
      <c r="BS732">
        <v>-0.21</v>
      </c>
      <c r="BT732">
        <v>3.38</v>
      </c>
      <c r="BU732">
        <v>1.37</v>
      </c>
      <c r="BV732">
        <v>0.73</v>
      </c>
      <c r="BW732">
        <v>0.19</v>
      </c>
      <c r="BX732">
        <v>2.04</v>
      </c>
      <c r="BY732">
        <v>1.69</v>
      </c>
      <c r="BZ732">
        <v>-1.2</v>
      </c>
      <c r="CA732">
        <v>0.62</v>
      </c>
      <c r="CB732">
        <v>0.56999999999999995</v>
      </c>
      <c r="CC732">
        <v>-0.02</v>
      </c>
      <c r="CD732">
        <v>1.1100000000000001</v>
      </c>
      <c r="CE732">
        <v>-0.64</v>
      </c>
      <c r="CF732">
        <v>0.84</v>
      </c>
      <c r="CG732">
        <v>0</v>
      </c>
      <c r="CH732">
        <v>1.53</v>
      </c>
      <c r="CI732">
        <v>0</v>
      </c>
      <c r="CJ732">
        <v>1.1000000000000001</v>
      </c>
      <c r="CK732">
        <v>99</v>
      </c>
      <c r="CL732">
        <v>-0.93</v>
      </c>
      <c r="CM732">
        <v>99</v>
      </c>
      <c r="CN732">
        <v>0.12</v>
      </c>
      <c r="CO732">
        <v>99</v>
      </c>
      <c r="CP732">
        <v>6.8</v>
      </c>
      <c r="CQ732">
        <v>99</v>
      </c>
      <c r="CR732">
        <v>0</v>
      </c>
      <c r="CS732">
        <v>0</v>
      </c>
      <c r="CT732">
        <v>25.5</v>
      </c>
      <c r="CU732">
        <v>99</v>
      </c>
      <c r="CV732">
        <v>0.37</v>
      </c>
      <c r="CW732">
        <v>49</v>
      </c>
      <c r="CX732" t="s">
        <v>1278</v>
      </c>
    </row>
    <row r="733" spans="1:102" x14ac:dyDescent="0.3">
      <c r="A733" t="str">
        <f>HYPERLINK("https://webapp.icbf.com/v2/app/bull-search/view/1339089854","F315")</f>
        <v>F315</v>
      </c>
      <c r="B733" t="s">
        <v>15176</v>
      </c>
      <c r="C733" t="s">
        <v>15177</v>
      </c>
      <c r="D733" s="1">
        <v>42317</v>
      </c>
      <c r="E733" t="s">
        <v>92</v>
      </c>
      <c r="F733">
        <v>100</v>
      </c>
      <c r="G733" t="s">
        <v>435</v>
      </c>
      <c r="H733">
        <v>165.23</v>
      </c>
      <c r="I733">
        <v>70</v>
      </c>
      <c r="J733">
        <v>84.09</v>
      </c>
      <c r="K733">
        <v>88</v>
      </c>
      <c r="L733">
        <v>19.559999999999999</v>
      </c>
      <c r="M733">
        <v>67</v>
      </c>
      <c r="N733">
        <v>44.3</v>
      </c>
      <c r="O733">
        <v>76</v>
      </c>
      <c r="P733">
        <v>-0.64</v>
      </c>
      <c r="Q733">
        <v>39</v>
      </c>
      <c r="R733">
        <v>17.38</v>
      </c>
      <c r="S733">
        <v>63</v>
      </c>
      <c r="T733">
        <v>-5.71</v>
      </c>
      <c r="U733">
        <v>36</v>
      </c>
      <c r="V733">
        <v>6.25</v>
      </c>
      <c r="W733">
        <v>56</v>
      </c>
      <c r="X733" t="s">
        <v>110</v>
      </c>
      <c r="Y733" t="s">
        <v>15178</v>
      </c>
      <c r="Z733" t="s">
        <v>96</v>
      </c>
      <c r="AA733" t="s">
        <v>2737</v>
      </c>
      <c r="AB733" t="s">
        <v>15179</v>
      </c>
      <c r="AC733">
        <v>0</v>
      </c>
      <c r="AD733">
        <v>0</v>
      </c>
      <c r="AE733">
        <v>88</v>
      </c>
      <c r="AF733">
        <v>318.12</v>
      </c>
      <c r="AG733">
        <v>16.309999999999999</v>
      </c>
      <c r="AH733">
        <v>13.4</v>
      </c>
      <c r="AI733">
        <v>0.06</v>
      </c>
      <c r="AJ733">
        <v>0.05</v>
      </c>
      <c r="AK733">
        <v>67</v>
      </c>
      <c r="AL733">
        <v>0</v>
      </c>
      <c r="AM733">
        <v>0</v>
      </c>
      <c r="AN733">
        <v>-0.28999999999999998</v>
      </c>
      <c r="AO733">
        <v>1.28</v>
      </c>
      <c r="AP733">
        <v>167</v>
      </c>
      <c r="AQ733">
        <v>0</v>
      </c>
      <c r="AR733">
        <v>4.63</v>
      </c>
      <c r="AS733">
        <v>73</v>
      </c>
      <c r="AT733">
        <v>2.04</v>
      </c>
      <c r="AU733">
        <v>85</v>
      </c>
      <c r="AV733">
        <v>-3.16</v>
      </c>
      <c r="AW733">
        <v>88</v>
      </c>
      <c r="AX733">
        <v>-0.77</v>
      </c>
      <c r="AY733">
        <v>72</v>
      </c>
      <c r="AZ733">
        <v>5.22</v>
      </c>
      <c r="BA733">
        <v>36</v>
      </c>
      <c r="BB733">
        <v>4.8499999999999996</v>
      </c>
      <c r="BC733">
        <v>36</v>
      </c>
      <c r="BD733">
        <v>-0.1</v>
      </c>
      <c r="BE733">
        <v>-7.0000000000000007E-2</v>
      </c>
      <c r="BF733">
        <v>-0.1</v>
      </c>
      <c r="BG733">
        <v>75</v>
      </c>
      <c r="BH733">
        <v>-0.11</v>
      </c>
      <c r="BI733">
        <v>-32.869999999999997</v>
      </c>
      <c r="BJ733">
        <v>0</v>
      </c>
      <c r="BK733">
        <v>0</v>
      </c>
      <c r="BL733">
        <v>1.51</v>
      </c>
      <c r="BM733">
        <v>-0.68</v>
      </c>
      <c r="BN733">
        <v>0.26</v>
      </c>
      <c r="BO733">
        <v>1.62</v>
      </c>
      <c r="BP733">
        <v>0.56000000000000005</v>
      </c>
      <c r="BQ733">
        <v>0.1</v>
      </c>
      <c r="BR733">
        <v>-1.57</v>
      </c>
      <c r="BS733">
        <v>1.22</v>
      </c>
      <c r="BT733">
        <v>1.34</v>
      </c>
      <c r="BU733">
        <v>3.2</v>
      </c>
      <c r="BV733">
        <v>3.53</v>
      </c>
      <c r="BW733">
        <v>2.87</v>
      </c>
      <c r="BX733">
        <v>2.59</v>
      </c>
      <c r="BY733">
        <v>3.08</v>
      </c>
      <c r="BZ733">
        <v>-0.74</v>
      </c>
      <c r="CA733">
        <v>3.6</v>
      </c>
      <c r="CB733">
        <v>3.37</v>
      </c>
      <c r="CC733">
        <v>1.59</v>
      </c>
      <c r="CD733">
        <v>-1.51</v>
      </c>
      <c r="CE733">
        <v>1.39</v>
      </c>
      <c r="CF733">
        <v>1.32</v>
      </c>
      <c r="CG733">
        <v>0</v>
      </c>
      <c r="CH733">
        <v>3.61</v>
      </c>
      <c r="CI733">
        <v>0</v>
      </c>
      <c r="CJ733">
        <v>0.9</v>
      </c>
      <c r="CK733">
        <v>40</v>
      </c>
      <c r="CL733">
        <v>-1.29</v>
      </c>
      <c r="CM733">
        <v>39</v>
      </c>
      <c r="CN733">
        <v>-0.88</v>
      </c>
      <c r="CO733">
        <v>39</v>
      </c>
      <c r="CP733">
        <v>7.5</v>
      </c>
      <c r="CQ733">
        <v>37</v>
      </c>
      <c r="CR733">
        <v>0</v>
      </c>
      <c r="CS733">
        <v>0</v>
      </c>
      <c r="CT733">
        <v>21.5</v>
      </c>
      <c r="CU733">
        <v>36</v>
      </c>
      <c r="CV733">
        <v>0.18</v>
      </c>
      <c r="CW733">
        <v>33</v>
      </c>
      <c r="CX733" t="s">
        <v>432</v>
      </c>
    </row>
    <row r="734" spans="1:102" x14ac:dyDescent="0.3">
      <c r="A734" t="str">
        <f>HYPERLINK("https://webapp.icbf.com/v2/app/bull-search/view/487001790","WDS")</f>
        <v>WDS</v>
      </c>
      <c r="B734" t="s">
        <v>6777</v>
      </c>
      <c r="C734" t="s">
        <v>5742</v>
      </c>
      <c r="D734" s="1">
        <v>38581</v>
      </c>
      <c r="E734" t="s">
        <v>92</v>
      </c>
      <c r="F734">
        <v>69</v>
      </c>
      <c r="G734" t="s">
        <v>93</v>
      </c>
      <c r="H734">
        <v>165.21</v>
      </c>
      <c r="I734">
        <v>98</v>
      </c>
      <c r="J734">
        <v>84.76</v>
      </c>
      <c r="K734">
        <v>99</v>
      </c>
      <c r="L734">
        <v>62.04</v>
      </c>
      <c r="M734">
        <v>97</v>
      </c>
      <c r="N734">
        <v>33.380000000000003</v>
      </c>
      <c r="O734">
        <v>99</v>
      </c>
      <c r="P734">
        <v>-21.09</v>
      </c>
      <c r="Q734">
        <v>99</v>
      </c>
      <c r="R734">
        <v>5.57</v>
      </c>
      <c r="S734">
        <v>97</v>
      </c>
      <c r="T734">
        <v>2.4300000000000002</v>
      </c>
      <c r="U734">
        <v>99</v>
      </c>
      <c r="V734">
        <v>-1.88</v>
      </c>
      <c r="W734">
        <v>92</v>
      </c>
      <c r="X734" t="s">
        <v>276</v>
      </c>
      <c r="Y734" t="s">
        <v>282</v>
      </c>
      <c r="Z734" t="s">
        <v>96</v>
      </c>
      <c r="AA734" t="s">
        <v>1229</v>
      </c>
      <c r="AB734" t="s">
        <v>1739</v>
      </c>
      <c r="AC734">
        <v>7412</v>
      </c>
      <c r="AD734">
        <v>1410</v>
      </c>
      <c r="AE734">
        <v>99</v>
      </c>
      <c r="AF734">
        <v>410.83</v>
      </c>
      <c r="AG734">
        <v>13.35</v>
      </c>
      <c r="AH734">
        <v>15.98</v>
      </c>
      <c r="AI734">
        <v>-0.04</v>
      </c>
      <c r="AJ734">
        <v>0.03</v>
      </c>
      <c r="AK734">
        <v>97</v>
      </c>
      <c r="AL734">
        <v>7950</v>
      </c>
      <c r="AM734">
        <v>1685</v>
      </c>
      <c r="AN734">
        <v>-3.18</v>
      </c>
      <c r="AO734">
        <v>1.77</v>
      </c>
      <c r="AP734">
        <v>14925</v>
      </c>
      <c r="AQ734">
        <v>85</v>
      </c>
      <c r="AR734">
        <v>5.87</v>
      </c>
      <c r="AS734">
        <v>99</v>
      </c>
      <c r="AT734">
        <v>2.38</v>
      </c>
      <c r="AU734">
        <v>99</v>
      </c>
      <c r="AV734">
        <v>-2.65</v>
      </c>
      <c r="AW734">
        <v>99</v>
      </c>
      <c r="AX734">
        <v>-0.16</v>
      </c>
      <c r="AY734">
        <v>99</v>
      </c>
      <c r="AZ734">
        <v>5.63</v>
      </c>
      <c r="BA734">
        <v>99</v>
      </c>
      <c r="BB734">
        <v>4.8600000000000003</v>
      </c>
      <c r="BC734">
        <v>99</v>
      </c>
      <c r="BD734">
        <v>-0.03</v>
      </c>
      <c r="BE734">
        <v>-0.02</v>
      </c>
      <c r="BF734">
        <v>-0.04</v>
      </c>
      <c r="BG734">
        <v>99</v>
      </c>
      <c r="BH734">
        <v>-0.14000000000000001</v>
      </c>
      <c r="BI734">
        <v>-10.14</v>
      </c>
      <c r="BJ734">
        <v>241</v>
      </c>
      <c r="BK734">
        <v>79</v>
      </c>
      <c r="BL734">
        <v>-1.36</v>
      </c>
      <c r="BM734">
        <v>2.86</v>
      </c>
      <c r="BN734">
        <v>-0.35</v>
      </c>
      <c r="BO734">
        <v>-1.92</v>
      </c>
      <c r="BP734">
        <v>-3.56</v>
      </c>
      <c r="BQ734">
        <v>1.39</v>
      </c>
      <c r="BR734">
        <v>2.37</v>
      </c>
      <c r="BS734">
        <v>-2.38</v>
      </c>
      <c r="BT734">
        <v>-3.3</v>
      </c>
      <c r="BU734">
        <v>-1.23</v>
      </c>
      <c r="BV734">
        <v>-1.4</v>
      </c>
      <c r="BW734">
        <v>-1.74</v>
      </c>
      <c r="BX734">
        <v>-2.34</v>
      </c>
      <c r="BY734">
        <v>-1.62</v>
      </c>
      <c r="BZ734">
        <v>2.8</v>
      </c>
      <c r="CA734">
        <v>-1.89</v>
      </c>
      <c r="CB734">
        <v>-1.56</v>
      </c>
      <c r="CC734">
        <v>-1.92</v>
      </c>
      <c r="CD734">
        <v>1.89</v>
      </c>
      <c r="CE734">
        <v>-1.23</v>
      </c>
      <c r="CF734">
        <v>-0.68</v>
      </c>
      <c r="CG734">
        <v>0</v>
      </c>
      <c r="CH734">
        <v>-1.76</v>
      </c>
      <c r="CI734">
        <v>0</v>
      </c>
      <c r="CJ734">
        <v>-7.9</v>
      </c>
      <c r="CK734">
        <v>99</v>
      </c>
      <c r="CL734">
        <v>-0.88</v>
      </c>
      <c r="CM734">
        <v>99</v>
      </c>
      <c r="CN734">
        <v>0.02</v>
      </c>
      <c r="CO734">
        <v>99</v>
      </c>
      <c r="CP734">
        <v>-5.8</v>
      </c>
      <c r="CQ734">
        <v>99</v>
      </c>
      <c r="CR734">
        <v>0</v>
      </c>
      <c r="CS734">
        <v>0</v>
      </c>
      <c r="CT734">
        <v>10.5</v>
      </c>
      <c r="CU734">
        <v>99</v>
      </c>
      <c r="CV734">
        <v>0.27</v>
      </c>
      <c r="CW734">
        <v>50</v>
      </c>
      <c r="CX734" t="s">
        <v>1257</v>
      </c>
    </row>
    <row r="735" spans="1:102" x14ac:dyDescent="0.3">
      <c r="A735" t="str">
        <f>HYPERLINK("https://webapp.icbf.com/v2/app/bull-search/view/150047601","WAS")</f>
        <v>WAS</v>
      </c>
      <c r="B735" t="s">
        <v>8725</v>
      </c>
      <c r="C735" t="s">
        <v>321</v>
      </c>
      <c r="D735" s="1">
        <v>35257</v>
      </c>
      <c r="E735" t="s">
        <v>227</v>
      </c>
      <c r="F735">
        <v>0</v>
      </c>
      <c r="G735" t="s">
        <v>93</v>
      </c>
      <c r="H735">
        <v>165.18</v>
      </c>
      <c r="I735">
        <v>98</v>
      </c>
      <c r="J735">
        <v>69.069999999999993</v>
      </c>
      <c r="K735">
        <v>99</v>
      </c>
      <c r="L735">
        <v>32.630000000000003</v>
      </c>
      <c r="M735">
        <v>95</v>
      </c>
      <c r="N735">
        <v>40.700000000000003</v>
      </c>
      <c r="O735">
        <v>98</v>
      </c>
      <c r="P735">
        <v>-55.01</v>
      </c>
      <c r="Q735">
        <v>99</v>
      </c>
      <c r="R735">
        <v>-1.8</v>
      </c>
      <c r="S735">
        <v>97</v>
      </c>
      <c r="T735">
        <v>64.37</v>
      </c>
      <c r="U735">
        <v>99</v>
      </c>
      <c r="V735">
        <v>15.22</v>
      </c>
      <c r="W735">
        <v>99</v>
      </c>
      <c r="X735" t="s">
        <v>302</v>
      </c>
      <c r="Y735" t="s">
        <v>95</v>
      </c>
      <c r="Z735" t="s">
        <v>528</v>
      </c>
      <c r="AA735" t="s">
        <v>514</v>
      </c>
      <c r="AB735" t="s">
        <v>8726</v>
      </c>
      <c r="AC735">
        <v>1285</v>
      </c>
      <c r="AD735">
        <v>197</v>
      </c>
      <c r="AE735">
        <v>99</v>
      </c>
      <c r="AF735">
        <v>-337.35</v>
      </c>
      <c r="AG735">
        <v>14.85</v>
      </c>
      <c r="AH735">
        <v>1.33</v>
      </c>
      <c r="AI735">
        <v>0.52</v>
      </c>
      <c r="AJ735">
        <v>0.24</v>
      </c>
      <c r="AK735">
        <v>95</v>
      </c>
      <c r="AL735">
        <v>1296</v>
      </c>
      <c r="AM735">
        <v>191</v>
      </c>
      <c r="AN735">
        <v>-0.42</v>
      </c>
      <c r="AO735">
        <v>2.2000000000000002</v>
      </c>
      <c r="AP735">
        <v>1186</v>
      </c>
      <c r="AQ735">
        <v>4</v>
      </c>
      <c r="AR735">
        <v>2.13</v>
      </c>
      <c r="AS735">
        <v>98</v>
      </c>
      <c r="AT735">
        <v>1.26</v>
      </c>
      <c r="AU735">
        <v>98</v>
      </c>
      <c r="AV735">
        <v>-2.81</v>
      </c>
      <c r="AW735">
        <v>99</v>
      </c>
      <c r="AX735">
        <v>0.33</v>
      </c>
      <c r="AY735">
        <v>98</v>
      </c>
      <c r="AZ735">
        <v>6.74</v>
      </c>
      <c r="BA735">
        <v>95</v>
      </c>
      <c r="BB735">
        <v>5.6</v>
      </c>
      <c r="BC735">
        <v>96</v>
      </c>
      <c r="BD735">
        <v>-0.04</v>
      </c>
      <c r="BE735">
        <v>0.02</v>
      </c>
      <c r="BF735">
        <v>7.0000000000000007E-2</v>
      </c>
      <c r="BG735">
        <v>99</v>
      </c>
      <c r="BH735">
        <v>0.25</v>
      </c>
      <c r="BI735">
        <v>-20.18</v>
      </c>
      <c r="BJ735">
        <v>66</v>
      </c>
      <c r="BK735">
        <v>25</v>
      </c>
      <c r="BL735">
        <v>-3.52</v>
      </c>
      <c r="BM735">
        <v>-1.34</v>
      </c>
      <c r="BN735">
        <v>-0.33</v>
      </c>
      <c r="BO735">
        <v>0.84</v>
      </c>
      <c r="BP735">
        <v>-0.34</v>
      </c>
      <c r="BQ735">
        <v>-5.78</v>
      </c>
      <c r="BR735">
        <v>3.17</v>
      </c>
      <c r="BS735">
        <v>5.04</v>
      </c>
      <c r="BT735">
        <v>-1.42</v>
      </c>
      <c r="BU735">
        <v>-2.85</v>
      </c>
      <c r="BV735">
        <v>-2.1</v>
      </c>
      <c r="BW735">
        <v>-2.94</v>
      </c>
      <c r="BX735">
        <v>-5.86</v>
      </c>
      <c r="BY735">
        <v>-0.15</v>
      </c>
      <c r="BZ735">
        <v>-1.6</v>
      </c>
      <c r="CA735">
        <v>-0.21</v>
      </c>
      <c r="CB735">
        <v>-1.57</v>
      </c>
      <c r="CC735">
        <v>2.88</v>
      </c>
      <c r="CD735">
        <v>-1.3</v>
      </c>
      <c r="CE735">
        <v>0.61</v>
      </c>
      <c r="CF735">
        <v>-3.48</v>
      </c>
      <c r="CG735">
        <v>0</v>
      </c>
      <c r="CH735">
        <v>-1.19</v>
      </c>
      <c r="CI735">
        <v>0</v>
      </c>
      <c r="CJ735">
        <v>-29.3</v>
      </c>
      <c r="CK735">
        <v>99</v>
      </c>
      <c r="CL735">
        <v>-0.74</v>
      </c>
      <c r="CM735">
        <v>99</v>
      </c>
      <c r="CN735">
        <v>-0.08</v>
      </c>
      <c r="CO735">
        <v>99</v>
      </c>
      <c r="CP735">
        <v>-52.5</v>
      </c>
      <c r="CQ735">
        <v>99</v>
      </c>
      <c r="CR735">
        <v>0</v>
      </c>
      <c r="CS735">
        <v>0</v>
      </c>
      <c r="CT735">
        <v>-73.2</v>
      </c>
      <c r="CU735">
        <v>99</v>
      </c>
      <c r="CV735">
        <v>-0.28000000000000003</v>
      </c>
      <c r="CW735">
        <v>47</v>
      </c>
      <c r="CX735" t="s">
        <v>231</v>
      </c>
    </row>
    <row r="736" spans="1:102" x14ac:dyDescent="0.3">
      <c r="A736" t="str">
        <f>HYPERLINK("https://webapp.icbf.com/v2/app/bull-search/view/1005573584","NR2015")</f>
        <v>NR2015</v>
      </c>
      <c r="B736" t="s">
        <v>420</v>
      </c>
      <c r="C736" t="s">
        <v>421</v>
      </c>
      <c r="D736" s="1">
        <v>39193</v>
      </c>
      <c r="E736" t="s">
        <v>395</v>
      </c>
      <c r="F736">
        <v>0</v>
      </c>
      <c r="G736" t="s">
        <v>109</v>
      </c>
      <c r="H736">
        <v>165.1</v>
      </c>
      <c r="I736">
        <v>78</v>
      </c>
      <c r="J736">
        <v>-1.73</v>
      </c>
      <c r="K736">
        <v>88</v>
      </c>
      <c r="L736">
        <v>99.29</v>
      </c>
      <c r="M736">
        <v>76</v>
      </c>
      <c r="N736">
        <v>40.61</v>
      </c>
      <c r="O736">
        <v>71</v>
      </c>
      <c r="P736">
        <v>-9.48</v>
      </c>
      <c r="Q736">
        <v>84</v>
      </c>
      <c r="R736">
        <v>3.54</v>
      </c>
      <c r="S736">
        <v>58</v>
      </c>
      <c r="T736">
        <v>28.03</v>
      </c>
      <c r="U736">
        <v>65</v>
      </c>
      <c r="V736">
        <v>4.84</v>
      </c>
      <c r="W736">
        <v>62</v>
      </c>
      <c r="X736" t="s">
        <v>102</v>
      </c>
      <c r="Y736" t="s">
        <v>422</v>
      </c>
      <c r="Z736">
        <v>0</v>
      </c>
      <c r="AA736" t="s">
        <v>423</v>
      </c>
      <c r="AB736" t="s">
        <v>424</v>
      </c>
      <c r="AC736">
        <v>0</v>
      </c>
      <c r="AD736">
        <v>0</v>
      </c>
      <c r="AE736">
        <v>88</v>
      </c>
      <c r="AF736">
        <v>-70.08</v>
      </c>
      <c r="AG736">
        <v>-1.18</v>
      </c>
      <c r="AH736">
        <v>-0.95</v>
      </c>
      <c r="AI736">
        <v>0.03</v>
      </c>
      <c r="AJ736">
        <v>0.03</v>
      </c>
      <c r="AK736">
        <v>76</v>
      </c>
      <c r="AL736">
        <v>0</v>
      </c>
      <c r="AM736">
        <v>0</v>
      </c>
      <c r="AN736">
        <v>-6.83</v>
      </c>
      <c r="AO736">
        <v>1.07</v>
      </c>
      <c r="AP736">
        <v>77</v>
      </c>
      <c r="AQ736">
        <v>0</v>
      </c>
      <c r="AR736">
        <v>4.2699999999999996</v>
      </c>
      <c r="AS736">
        <v>68</v>
      </c>
      <c r="AT736">
        <v>1.81</v>
      </c>
      <c r="AU736">
        <v>67</v>
      </c>
      <c r="AV736">
        <v>-3.05</v>
      </c>
      <c r="AW736">
        <v>89</v>
      </c>
      <c r="AX736">
        <v>-0.53</v>
      </c>
      <c r="AY736">
        <v>70</v>
      </c>
      <c r="AZ736">
        <v>7.01</v>
      </c>
      <c r="BA736">
        <v>41</v>
      </c>
      <c r="BB736">
        <v>5.18</v>
      </c>
      <c r="BC736">
        <v>30</v>
      </c>
      <c r="BD736">
        <v>-0.02</v>
      </c>
      <c r="BE736">
        <v>-0.02</v>
      </c>
      <c r="BF736">
        <v>-0.01</v>
      </c>
      <c r="BG736">
        <v>70</v>
      </c>
      <c r="BH736">
        <v>-0.08</v>
      </c>
      <c r="BI736">
        <v>-24.86</v>
      </c>
      <c r="BJ736">
        <v>0</v>
      </c>
      <c r="BK736">
        <v>0</v>
      </c>
      <c r="BL736">
        <v>-1.43</v>
      </c>
      <c r="BM736">
        <v>0.68</v>
      </c>
      <c r="BN736">
        <v>-1.43</v>
      </c>
      <c r="BO736">
        <v>-1.46</v>
      </c>
      <c r="BP736">
        <v>1.01</v>
      </c>
      <c r="BQ736">
        <v>-0.64</v>
      </c>
      <c r="BR736">
        <v>0.73</v>
      </c>
      <c r="BS736">
        <v>-0.31</v>
      </c>
      <c r="BT736">
        <v>-0.87</v>
      </c>
      <c r="BU736">
        <v>-1.19</v>
      </c>
      <c r="BV736">
        <v>-2.0499999999999998</v>
      </c>
      <c r="BW736">
        <v>-1.52</v>
      </c>
      <c r="BX736">
        <v>-0.89</v>
      </c>
      <c r="BY736">
        <v>-0.94</v>
      </c>
      <c r="BZ736">
        <v>-0.56000000000000005</v>
      </c>
      <c r="CA736">
        <v>-1.48</v>
      </c>
      <c r="CB736">
        <v>-1.69</v>
      </c>
      <c r="CC736">
        <v>-0.54</v>
      </c>
      <c r="CD736">
        <v>0.89</v>
      </c>
      <c r="CE736">
        <v>-1.5</v>
      </c>
      <c r="CF736">
        <v>-1.66</v>
      </c>
      <c r="CG736">
        <v>0</v>
      </c>
      <c r="CH736">
        <v>-1.56</v>
      </c>
      <c r="CI736">
        <v>0</v>
      </c>
      <c r="CJ736">
        <v>-1.9</v>
      </c>
      <c r="CK736">
        <v>87</v>
      </c>
      <c r="CL736">
        <v>-0.51</v>
      </c>
      <c r="CM736">
        <v>84</v>
      </c>
      <c r="CN736">
        <v>-0.08</v>
      </c>
      <c r="CO736">
        <v>82</v>
      </c>
      <c r="CP736">
        <v>-16.899999999999999</v>
      </c>
      <c r="CQ736">
        <v>67</v>
      </c>
      <c r="CR736">
        <v>0</v>
      </c>
      <c r="CS736">
        <v>0</v>
      </c>
      <c r="CT736">
        <v>-24.1</v>
      </c>
      <c r="CU736">
        <v>65</v>
      </c>
      <c r="CV736">
        <v>0.06</v>
      </c>
      <c r="CW736">
        <v>43</v>
      </c>
      <c r="CX736" t="s">
        <v>425</v>
      </c>
    </row>
    <row r="737" spans="1:102" x14ac:dyDescent="0.3">
      <c r="A737" t="str">
        <f>HYPERLINK("https://webapp.icbf.com/v2/app/bull-search/view/508058014","CUL")</f>
        <v>CUL</v>
      </c>
      <c r="B737" t="s">
        <v>12583</v>
      </c>
      <c r="C737" t="s">
        <v>12584</v>
      </c>
      <c r="D737" s="1">
        <v>39160</v>
      </c>
      <c r="E737" t="s">
        <v>92</v>
      </c>
      <c r="F737">
        <v>69</v>
      </c>
      <c r="G737" t="s">
        <v>93</v>
      </c>
      <c r="H737">
        <v>164.92</v>
      </c>
      <c r="I737">
        <v>90</v>
      </c>
      <c r="J737">
        <v>41.95</v>
      </c>
      <c r="K737">
        <v>98</v>
      </c>
      <c r="L737">
        <v>80.52</v>
      </c>
      <c r="M737">
        <v>82</v>
      </c>
      <c r="N737">
        <v>38.04</v>
      </c>
      <c r="O737">
        <v>90</v>
      </c>
      <c r="P737">
        <v>-24.48</v>
      </c>
      <c r="Q737">
        <v>94</v>
      </c>
      <c r="R737">
        <v>7.66</v>
      </c>
      <c r="S737">
        <v>84</v>
      </c>
      <c r="T737">
        <v>20.12</v>
      </c>
      <c r="U737">
        <v>87</v>
      </c>
      <c r="V737">
        <v>1.1100000000000001</v>
      </c>
      <c r="W737">
        <v>83</v>
      </c>
      <c r="X737" t="s">
        <v>94</v>
      </c>
      <c r="Y737" t="s">
        <v>1513</v>
      </c>
      <c r="Z737" t="s">
        <v>96</v>
      </c>
      <c r="AA737" t="s">
        <v>358</v>
      </c>
      <c r="AB737" t="s">
        <v>3016</v>
      </c>
      <c r="AC737">
        <v>153</v>
      </c>
      <c r="AD737">
        <v>85</v>
      </c>
      <c r="AE737">
        <v>98</v>
      </c>
      <c r="AF737">
        <v>-115.38</v>
      </c>
      <c r="AG737">
        <v>2.06</v>
      </c>
      <c r="AH737">
        <v>4.6399999999999997</v>
      </c>
      <c r="AI737">
        <v>0.12</v>
      </c>
      <c r="AJ737">
        <v>0.15</v>
      </c>
      <c r="AK737">
        <v>82</v>
      </c>
      <c r="AL737">
        <v>148</v>
      </c>
      <c r="AM737">
        <v>82</v>
      </c>
      <c r="AN737">
        <v>-6.05</v>
      </c>
      <c r="AO737">
        <v>0.35</v>
      </c>
      <c r="AP737">
        <v>334</v>
      </c>
      <c r="AQ737">
        <v>2</v>
      </c>
      <c r="AR737">
        <v>5.18</v>
      </c>
      <c r="AS737">
        <v>81</v>
      </c>
      <c r="AT737">
        <v>2.41</v>
      </c>
      <c r="AU737">
        <v>91</v>
      </c>
      <c r="AV737">
        <v>-2.77</v>
      </c>
      <c r="AW737">
        <v>98</v>
      </c>
      <c r="AX737">
        <v>-1.1599999999999999</v>
      </c>
      <c r="AY737">
        <v>87</v>
      </c>
      <c r="AZ737">
        <v>5.65</v>
      </c>
      <c r="BA737">
        <v>73</v>
      </c>
      <c r="BB737">
        <v>4.87</v>
      </c>
      <c r="BC737">
        <v>75</v>
      </c>
      <c r="BD737">
        <v>0</v>
      </c>
      <c r="BE737">
        <v>-0.04</v>
      </c>
      <c r="BF737">
        <v>-0.1</v>
      </c>
      <c r="BG737">
        <v>92</v>
      </c>
      <c r="BH737">
        <v>-7.0000000000000007E-2</v>
      </c>
      <c r="BI737">
        <v>-11.68</v>
      </c>
      <c r="BJ737">
        <v>23</v>
      </c>
      <c r="BK737">
        <v>16</v>
      </c>
      <c r="BL737">
        <v>-0.19</v>
      </c>
      <c r="BM737">
        <v>-0.93</v>
      </c>
      <c r="BN737">
        <v>-0.91</v>
      </c>
      <c r="BO737">
        <v>-0.23</v>
      </c>
      <c r="BP737">
        <v>0.4</v>
      </c>
      <c r="BQ737">
        <v>0.82</v>
      </c>
      <c r="BR737">
        <v>1.1599999999999999</v>
      </c>
      <c r="BS737">
        <v>0.98</v>
      </c>
      <c r="BT737">
        <v>-0.49</v>
      </c>
      <c r="BU737">
        <v>0.03</v>
      </c>
      <c r="BV737">
        <v>0.32</v>
      </c>
      <c r="BW737">
        <v>-1</v>
      </c>
      <c r="BX737">
        <v>-0.35</v>
      </c>
      <c r="BY737">
        <v>-0.48</v>
      </c>
      <c r="BZ737">
        <v>1.96</v>
      </c>
      <c r="CA737">
        <v>0.57999999999999996</v>
      </c>
      <c r="CB737">
        <v>0.37</v>
      </c>
      <c r="CC737">
        <v>0.35</v>
      </c>
      <c r="CD737">
        <v>-0.28000000000000003</v>
      </c>
      <c r="CE737">
        <v>-0.13</v>
      </c>
      <c r="CF737">
        <v>-0.5</v>
      </c>
      <c r="CG737">
        <v>0</v>
      </c>
      <c r="CH737">
        <v>-0.6</v>
      </c>
      <c r="CI737">
        <v>0</v>
      </c>
      <c r="CJ737">
        <v>-9.6</v>
      </c>
      <c r="CK737">
        <v>95</v>
      </c>
      <c r="CL737">
        <v>-1.17</v>
      </c>
      <c r="CM737">
        <v>94</v>
      </c>
      <c r="CN737">
        <v>-0.21</v>
      </c>
      <c r="CO737">
        <v>94</v>
      </c>
      <c r="CP737">
        <v>-10.8</v>
      </c>
      <c r="CQ737">
        <v>89</v>
      </c>
      <c r="CR737">
        <v>0</v>
      </c>
      <c r="CS737">
        <v>0</v>
      </c>
      <c r="CT737">
        <v>-13.4</v>
      </c>
      <c r="CU737">
        <v>87</v>
      </c>
      <c r="CV737">
        <v>0.14000000000000001</v>
      </c>
      <c r="CW737">
        <v>45</v>
      </c>
      <c r="CX737" t="s">
        <v>792</v>
      </c>
    </row>
    <row r="738" spans="1:102" x14ac:dyDescent="0.3">
      <c r="A738" t="str">
        <f>HYPERLINK("https://webapp.icbf.com/v2/app/bull-search/view/496928757","GGO")</f>
        <v>GGO</v>
      </c>
      <c r="B738" t="s">
        <v>8961</v>
      </c>
      <c r="C738" t="s">
        <v>8962</v>
      </c>
      <c r="D738" s="1">
        <v>39115</v>
      </c>
      <c r="E738" t="s">
        <v>92</v>
      </c>
      <c r="F738">
        <v>88</v>
      </c>
      <c r="G738" t="s">
        <v>93</v>
      </c>
      <c r="H738">
        <v>164.89</v>
      </c>
      <c r="I738">
        <v>90</v>
      </c>
      <c r="J738">
        <v>53.3</v>
      </c>
      <c r="K738">
        <v>98</v>
      </c>
      <c r="L738">
        <v>71.88</v>
      </c>
      <c r="M738">
        <v>82</v>
      </c>
      <c r="N738">
        <v>41.49</v>
      </c>
      <c r="O738">
        <v>89</v>
      </c>
      <c r="P738">
        <v>-9.09</v>
      </c>
      <c r="Q738">
        <v>94</v>
      </c>
      <c r="R738">
        <v>-5.42</v>
      </c>
      <c r="S738">
        <v>85</v>
      </c>
      <c r="T738">
        <v>11.31</v>
      </c>
      <c r="U738">
        <v>90</v>
      </c>
      <c r="V738">
        <v>1.42</v>
      </c>
      <c r="W738">
        <v>86</v>
      </c>
      <c r="X738" t="s">
        <v>94</v>
      </c>
      <c r="Y738" t="s">
        <v>1405</v>
      </c>
      <c r="Z738" t="s">
        <v>96</v>
      </c>
      <c r="AA738" t="s">
        <v>4532</v>
      </c>
      <c r="AB738" t="s">
        <v>8963</v>
      </c>
      <c r="AC738">
        <v>112</v>
      </c>
      <c r="AD738">
        <v>75</v>
      </c>
      <c r="AE738">
        <v>98</v>
      </c>
      <c r="AF738">
        <v>131.78</v>
      </c>
      <c r="AG738">
        <v>12.36</v>
      </c>
      <c r="AH738">
        <v>6.71</v>
      </c>
      <c r="AI738">
        <v>0.12</v>
      </c>
      <c r="AJ738">
        <v>0.04</v>
      </c>
      <c r="AK738">
        <v>82</v>
      </c>
      <c r="AL738">
        <v>113</v>
      </c>
      <c r="AM738">
        <v>79</v>
      </c>
      <c r="AN738">
        <v>-2.52</v>
      </c>
      <c r="AO738">
        <v>3.23</v>
      </c>
      <c r="AP738">
        <v>232</v>
      </c>
      <c r="AQ738">
        <v>1</v>
      </c>
      <c r="AR738">
        <v>6.08</v>
      </c>
      <c r="AS738">
        <v>79</v>
      </c>
      <c r="AT738">
        <v>1.93</v>
      </c>
      <c r="AU738">
        <v>90</v>
      </c>
      <c r="AV738">
        <v>-3.13</v>
      </c>
      <c r="AW738">
        <v>97</v>
      </c>
      <c r="AX738">
        <v>-0.48</v>
      </c>
      <c r="AY738">
        <v>86</v>
      </c>
      <c r="AZ738">
        <v>5.3</v>
      </c>
      <c r="BA738">
        <v>72</v>
      </c>
      <c r="BB738">
        <v>4.79</v>
      </c>
      <c r="BC738">
        <v>75</v>
      </c>
      <c r="BD738">
        <v>0.04</v>
      </c>
      <c r="BE738">
        <v>0.02</v>
      </c>
      <c r="BF738">
        <v>0.02</v>
      </c>
      <c r="BG738">
        <v>91</v>
      </c>
      <c r="BH738">
        <v>-0.11</v>
      </c>
      <c r="BI738">
        <v>-17.29</v>
      </c>
      <c r="BJ738">
        <v>27</v>
      </c>
      <c r="BK738">
        <v>16</v>
      </c>
      <c r="BL738">
        <v>-0.15</v>
      </c>
      <c r="BM738">
        <v>-7.0000000000000007E-2</v>
      </c>
      <c r="BN738">
        <v>-0.59</v>
      </c>
      <c r="BO738">
        <v>-0.28000000000000003</v>
      </c>
      <c r="BP738">
        <v>1.58</v>
      </c>
      <c r="BQ738">
        <v>-0.15</v>
      </c>
      <c r="BR738">
        <v>0.68</v>
      </c>
      <c r="BS738">
        <v>-0.37</v>
      </c>
      <c r="BT738">
        <v>-1.1299999999999999</v>
      </c>
      <c r="BU738">
        <v>-0.28000000000000003</v>
      </c>
      <c r="BV738">
        <v>-1.22</v>
      </c>
      <c r="BW738">
        <v>0.2</v>
      </c>
      <c r="BX738">
        <v>0.68</v>
      </c>
      <c r="BY738">
        <v>-1.1399999999999999</v>
      </c>
      <c r="BZ738">
        <v>-2.89</v>
      </c>
      <c r="CA738">
        <v>-0.77</v>
      </c>
      <c r="CB738">
        <v>-0.7</v>
      </c>
      <c r="CC738">
        <v>-0.18</v>
      </c>
      <c r="CD738">
        <v>0.15</v>
      </c>
      <c r="CE738">
        <v>0.24</v>
      </c>
      <c r="CF738">
        <v>-0.05</v>
      </c>
      <c r="CG738">
        <v>0</v>
      </c>
      <c r="CH738">
        <v>-1.37</v>
      </c>
      <c r="CI738">
        <v>0</v>
      </c>
      <c r="CJ738">
        <v>-3</v>
      </c>
      <c r="CK738">
        <v>95</v>
      </c>
      <c r="CL738">
        <v>-0.85</v>
      </c>
      <c r="CM738">
        <v>93</v>
      </c>
      <c r="CN738">
        <v>-0.44</v>
      </c>
      <c r="CO738">
        <v>93</v>
      </c>
      <c r="CP738">
        <v>-8.9</v>
      </c>
      <c r="CQ738">
        <v>90</v>
      </c>
      <c r="CR738">
        <v>0</v>
      </c>
      <c r="CS738">
        <v>0</v>
      </c>
      <c r="CT738">
        <v>-1.5</v>
      </c>
      <c r="CU738">
        <v>90</v>
      </c>
      <c r="CV738">
        <v>0.22</v>
      </c>
      <c r="CW738">
        <v>46</v>
      </c>
      <c r="CX738" t="s">
        <v>2775</v>
      </c>
    </row>
    <row r="739" spans="1:102" x14ac:dyDescent="0.3">
      <c r="A739" t="str">
        <f>HYPERLINK("https://webapp.icbf.com/v2/app/bull-search/view/1361575502","S3304")</f>
        <v>S3304</v>
      </c>
      <c r="B739" t="s">
        <v>14048</v>
      </c>
      <c r="C739" t="s">
        <v>14049</v>
      </c>
      <c r="D739" s="1">
        <v>42072</v>
      </c>
      <c r="E739" t="s">
        <v>92</v>
      </c>
      <c r="F739">
        <v>100</v>
      </c>
      <c r="G739" t="s">
        <v>109</v>
      </c>
      <c r="H739">
        <v>164.83</v>
      </c>
      <c r="I739">
        <v>69</v>
      </c>
      <c r="J739">
        <v>89.89</v>
      </c>
      <c r="K739">
        <v>90</v>
      </c>
      <c r="L739">
        <v>37.6</v>
      </c>
      <c r="M739">
        <v>69</v>
      </c>
      <c r="N739">
        <v>27.62</v>
      </c>
      <c r="O739">
        <v>54</v>
      </c>
      <c r="P739">
        <v>0.16</v>
      </c>
      <c r="Q739">
        <v>42</v>
      </c>
      <c r="R739">
        <v>10.08</v>
      </c>
      <c r="S739">
        <v>64</v>
      </c>
      <c r="T739">
        <v>-3.93</v>
      </c>
      <c r="U739">
        <v>36</v>
      </c>
      <c r="V739">
        <v>3.41</v>
      </c>
      <c r="W739">
        <v>53</v>
      </c>
      <c r="X739" t="s">
        <v>110</v>
      </c>
      <c r="Y739" t="s">
        <v>2394</v>
      </c>
      <c r="Z739" t="s">
        <v>96</v>
      </c>
      <c r="AA739" t="s">
        <v>2272</v>
      </c>
      <c r="AB739" t="s">
        <v>14050</v>
      </c>
      <c r="AC739">
        <v>0</v>
      </c>
      <c r="AD739">
        <v>0</v>
      </c>
      <c r="AE739">
        <v>90</v>
      </c>
      <c r="AF739">
        <v>564.53</v>
      </c>
      <c r="AG739">
        <v>17.100000000000001</v>
      </c>
      <c r="AH739">
        <v>17.88</v>
      </c>
      <c r="AI739">
        <v>-0.08</v>
      </c>
      <c r="AJ739">
        <v>-0.02</v>
      </c>
      <c r="AK739">
        <v>69</v>
      </c>
      <c r="AL739">
        <v>0</v>
      </c>
      <c r="AM739">
        <v>0</v>
      </c>
      <c r="AN739">
        <v>-1.95</v>
      </c>
      <c r="AO739">
        <v>1.05</v>
      </c>
      <c r="AP739">
        <v>1</v>
      </c>
      <c r="AQ739">
        <v>0</v>
      </c>
      <c r="AR739">
        <v>7.52</v>
      </c>
      <c r="AS739">
        <v>55</v>
      </c>
      <c r="AT739">
        <v>2.83</v>
      </c>
      <c r="AU739">
        <v>85</v>
      </c>
      <c r="AV739">
        <v>-2.75</v>
      </c>
      <c r="AW739">
        <v>46</v>
      </c>
      <c r="AX739">
        <v>0.27</v>
      </c>
      <c r="AY739">
        <v>45</v>
      </c>
      <c r="AZ739">
        <v>5.07</v>
      </c>
      <c r="BA739">
        <v>37</v>
      </c>
      <c r="BB739">
        <v>4.6100000000000003</v>
      </c>
      <c r="BC739">
        <v>33</v>
      </c>
      <c r="BD739">
        <v>-0.01</v>
      </c>
      <c r="BE739">
        <v>-0.05</v>
      </c>
      <c r="BF739">
        <v>-0.12</v>
      </c>
      <c r="BG739">
        <v>79</v>
      </c>
      <c r="BH739">
        <v>-0.06</v>
      </c>
      <c r="BI739">
        <v>-17.940000000000001</v>
      </c>
      <c r="BJ739">
        <v>0</v>
      </c>
      <c r="BK739">
        <v>0</v>
      </c>
      <c r="BL739">
        <v>1.21</v>
      </c>
      <c r="BM739">
        <v>0.44</v>
      </c>
      <c r="BN739">
        <v>0.59</v>
      </c>
      <c r="BO739">
        <v>0.61</v>
      </c>
      <c r="BP739">
        <v>0.14000000000000001</v>
      </c>
      <c r="BQ739">
        <v>2.4300000000000002</v>
      </c>
      <c r="BR739">
        <v>-0.02</v>
      </c>
      <c r="BS739">
        <v>1.8</v>
      </c>
      <c r="BT739">
        <v>0.52</v>
      </c>
      <c r="BU739">
        <v>2.37</v>
      </c>
      <c r="BV739">
        <v>2.67</v>
      </c>
      <c r="BW739">
        <v>1.8</v>
      </c>
      <c r="BX739">
        <v>1.06</v>
      </c>
      <c r="BY739">
        <v>0.33</v>
      </c>
      <c r="BZ739">
        <v>1.19</v>
      </c>
      <c r="CA739">
        <v>2.23</v>
      </c>
      <c r="CB739">
        <v>2.0099999999999998</v>
      </c>
      <c r="CC739">
        <v>1.77</v>
      </c>
      <c r="CD739">
        <v>-0.17</v>
      </c>
      <c r="CE739">
        <v>0.53</v>
      </c>
      <c r="CF739">
        <v>0.73</v>
      </c>
      <c r="CG739">
        <v>0</v>
      </c>
      <c r="CH739">
        <v>-0.4</v>
      </c>
      <c r="CI739">
        <v>0</v>
      </c>
      <c r="CJ739">
        <v>1.2</v>
      </c>
      <c r="CK739">
        <v>43</v>
      </c>
      <c r="CL739">
        <v>-1.23</v>
      </c>
      <c r="CM739">
        <v>43</v>
      </c>
      <c r="CN739">
        <v>-0.85</v>
      </c>
      <c r="CO739">
        <v>42</v>
      </c>
      <c r="CP739">
        <v>8.3000000000000007</v>
      </c>
      <c r="CQ739">
        <v>38</v>
      </c>
      <c r="CR739">
        <v>0</v>
      </c>
      <c r="CS739">
        <v>0</v>
      </c>
      <c r="CT739">
        <v>19.100000000000001</v>
      </c>
      <c r="CU739">
        <v>36</v>
      </c>
      <c r="CV739">
        <v>0.2</v>
      </c>
      <c r="CW739">
        <v>34</v>
      </c>
      <c r="CX739" t="s">
        <v>401</v>
      </c>
    </row>
    <row r="740" spans="1:102" x14ac:dyDescent="0.3">
      <c r="A740" t="str">
        <f>HYPERLINK("https://webapp.icbf.com/v2/app/bull-search/view/1046683713","YCA")</f>
        <v>YCA</v>
      </c>
      <c r="B740" t="s">
        <v>5762</v>
      </c>
      <c r="C740" t="s">
        <v>5763</v>
      </c>
      <c r="D740" s="1">
        <v>41328</v>
      </c>
      <c r="E740" t="s">
        <v>92</v>
      </c>
      <c r="F740">
        <v>56</v>
      </c>
      <c r="G740" t="s">
        <v>435</v>
      </c>
      <c r="H740">
        <v>164.8</v>
      </c>
      <c r="I740">
        <v>70</v>
      </c>
      <c r="J740">
        <v>62.69</v>
      </c>
      <c r="K740">
        <v>86</v>
      </c>
      <c r="L740">
        <v>33.869999999999997</v>
      </c>
      <c r="M740">
        <v>60</v>
      </c>
      <c r="N740">
        <v>45</v>
      </c>
      <c r="O740">
        <v>64</v>
      </c>
      <c r="P740">
        <v>-25.73</v>
      </c>
      <c r="Q740">
        <v>75</v>
      </c>
      <c r="R740">
        <v>0.19</v>
      </c>
      <c r="S740">
        <v>60</v>
      </c>
      <c r="T740">
        <v>46.61</v>
      </c>
      <c r="U740">
        <v>56</v>
      </c>
      <c r="V740">
        <v>2.17</v>
      </c>
      <c r="W740">
        <v>54</v>
      </c>
      <c r="X740" t="s">
        <v>94</v>
      </c>
      <c r="Y740" t="s">
        <v>389</v>
      </c>
      <c r="Z740" t="s">
        <v>330</v>
      </c>
      <c r="AA740" t="s">
        <v>5764</v>
      </c>
      <c r="AB740" t="s">
        <v>5765</v>
      </c>
      <c r="AC740">
        <v>4</v>
      </c>
      <c r="AD740">
        <v>3</v>
      </c>
      <c r="AE740">
        <v>86</v>
      </c>
      <c r="AF740">
        <v>-64.73</v>
      </c>
      <c r="AG740">
        <v>15.52</v>
      </c>
      <c r="AH740">
        <v>4.18</v>
      </c>
      <c r="AI740">
        <v>0.32</v>
      </c>
      <c r="AJ740">
        <v>0.11</v>
      </c>
      <c r="AK740">
        <v>60</v>
      </c>
      <c r="AL740">
        <v>8</v>
      </c>
      <c r="AM740">
        <v>6</v>
      </c>
      <c r="AN740">
        <v>-0.38</v>
      </c>
      <c r="AO740">
        <v>2.34</v>
      </c>
      <c r="AP740">
        <v>14</v>
      </c>
      <c r="AQ740">
        <v>0</v>
      </c>
      <c r="AR740">
        <v>4.93</v>
      </c>
      <c r="AS740">
        <v>53</v>
      </c>
      <c r="AT740">
        <v>2.06</v>
      </c>
      <c r="AU740">
        <v>63</v>
      </c>
      <c r="AV740">
        <v>-3.48</v>
      </c>
      <c r="AW740">
        <v>78</v>
      </c>
      <c r="AX740">
        <v>-0.84</v>
      </c>
      <c r="AY740">
        <v>55</v>
      </c>
      <c r="AZ740">
        <v>6.65</v>
      </c>
      <c r="BA740">
        <v>42</v>
      </c>
      <c r="BB740">
        <v>4.72</v>
      </c>
      <c r="BC740">
        <v>42</v>
      </c>
      <c r="BD740">
        <v>-0.02</v>
      </c>
      <c r="BE740">
        <v>0.01</v>
      </c>
      <c r="BF740">
        <v>0.01</v>
      </c>
      <c r="BG740">
        <v>70</v>
      </c>
      <c r="BH740">
        <v>-0.05</v>
      </c>
      <c r="BI740">
        <v>-12.79</v>
      </c>
      <c r="BJ740">
        <v>1</v>
      </c>
      <c r="BK740">
        <v>1</v>
      </c>
      <c r="BL740">
        <v>-2.11</v>
      </c>
      <c r="BM740">
        <v>-0.45</v>
      </c>
      <c r="BN740">
        <v>-1.23</v>
      </c>
      <c r="BO740">
        <v>-0.72</v>
      </c>
      <c r="BP740">
        <v>0.77</v>
      </c>
      <c r="BQ740">
        <v>-1.9</v>
      </c>
      <c r="BR740">
        <v>1.28</v>
      </c>
      <c r="BS740">
        <v>0.1</v>
      </c>
      <c r="BT740">
        <v>-1.52</v>
      </c>
      <c r="BU740">
        <v>-1.96</v>
      </c>
      <c r="BV740">
        <v>-1.47</v>
      </c>
      <c r="BW740">
        <v>-1.82</v>
      </c>
      <c r="BX740">
        <v>-2.91</v>
      </c>
      <c r="BY740">
        <v>-1.02</v>
      </c>
      <c r="BZ740">
        <v>1.17</v>
      </c>
      <c r="CA740">
        <v>-1.1499999999999999</v>
      </c>
      <c r="CB740">
        <v>-1.19</v>
      </c>
      <c r="CC740">
        <v>-0.53</v>
      </c>
      <c r="CD740">
        <v>0.3</v>
      </c>
      <c r="CE740">
        <v>-0.54</v>
      </c>
      <c r="CF740">
        <v>-2.06</v>
      </c>
      <c r="CG740">
        <v>0</v>
      </c>
      <c r="CH740">
        <v>-1.47</v>
      </c>
      <c r="CI740">
        <v>0</v>
      </c>
      <c r="CJ740">
        <v>-13.5</v>
      </c>
      <c r="CK740">
        <v>78</v>
      </c>
      <c r="CL740">
        <v>-0.52</v>
      </c>
      <c r="CM740">
        <v>74</v>
      </c>
      <c r="CN740">
        <v>-0.3</v>
      </c>
      <c r="CO740">
        <v>73</v>
      </c>
      <c r="CP740">
        <v>-35</v>
      </c>
      <c r="CQ740">
        <v>60</v>
      </c>
      <c r="CR740">
        <v>0</v>
      </c>
      <c r="CS740">
        <v>0</v>
      </c>
      <c r="CT740">
        <v>-49.2</v>
      </c>
      <c r="CU740">
        <v>56</v>
      </c>
      <c r="CV740">
        <v>-0.01</v>
      </c>
      <c r="CW740">
        <v>41</v>
      </c>
      <c r="CX740" t="s">
        <v>1094</v>
      </c>
    </row>
    <row r="741" spans="1:102" x14ac:dyDescent="0.3">
      <c r="A741" t="str">
        <f>HYPERLINK("https://webapp.icbf.com/v2/app/bull-search/view/1358682541","FR4210")</f>
        <v>FR4210</v>
      </c>
      <c r="B741" t="s">
        <v>2364</v>
      </c>
      <c r="C741" t="s">
        <v>2365</v>
      </c>
      <c r="D741" s="1">
        <v>42417</v>
      </c>
      <c r="E741" t="s">
        <v>92</v>
      </c>
      <c r="F741">
        <v>50</v>
      </c>
      <c r="G741" t="s">
        <v>435</v>
      </c>
      <c r="H741">
        <v>164.77</v>
      </c>
      <c r="I741">
        <v>71</v>
      </c>
      <c r="J741">
        <v>94.28</v>
      </c>
      <c r="K741">
        <v>88</v>
      </c>
      <c r="L741">
        <v>31.13</v>
      </c>
      <c r="M741">
        <v>62</v>
      </c>
      <c r="N741">
        <v>35.14</v>
      </c>
      <c r="O741">
        <v>78</v>
      </c>
      <c r="P741">
        <v>-40.19</v>
      </c>
      <c r="Q741">
        <v>65</v>
      </c>
      <c r="R741">
        <v>-1.65</v>
      </c>
      <c r="S741">
        <v>63</v>
      </c>
      <c r="T741">
        <v>31.88</v>
      </c>
      <c r="U741">
        <v>53</v>
      </c>
      <c r="V741">
        <v>14.18</v>
      </c>
      <c r="W741">
        <v>55</v>
      </c>
      <c r="X741" t="s">
        <v>94</v>
      </c>
      <c r="Y741" t="s">
        <v>2255</v>
      </c>
      <c r="Z741" t="s">
        <v>330</v>
      </c>
      <c r="AA741" t="s">
        <v>2366</v>
      </c>
      <c r="AB741" t="s">
        <v>144</v>
      </c>
      <c r="AC741">
        <v>0</v>
      </c>
      <c r="AD741">
        <v>0</v>
      </c>
      <c r="AE741">
        <v>88</v>
      </c>
      <c r="AF741">
        <v>82.74</v>
      </c>
      <c r="AG741">
        <v>20.3</v>
      </c>
      <c r="AH741">
        <v>10.119999999999999</v>
      </c>
      <c r="AI741">
        <v>0.28999999999999998</v>
      </c>
      <c r="AJ741">
        <v>0.13</v>
      </c>
      <c r="AK741">
        <v>62</v>
      </c>
      <c r="AL741">
        <v>0</v>
      </c>
      <c r="AM741">
        <v>0</v>
      </c>
      <c r="AN741">
        <v>-1.1200000000000001</v>
      </c>
      <c r="AO741">
        <v>1.37</v>
      </c>
      <c r="AP741">
        <v>167</v>
      </c>
      <c r="AQ741">
        <v>0</v>
      </c>
      <c r="AR741">
        <v>3.96</v>
      </c>
      <c r="AS741">
        <v>58</v>
      </c>
      <c r="AT741">
        <v>1.89</v>
      </c>
      <c r="AU741">
        <v>84</v>
      </c>
      <c r="AV741">
        <v>-2.68</v>
      </c>
      <c r="AW741">
        <v>93</v>
      </c>
      <c r="AX741">
        <v>-0.28999999999999998</v>
      </c>
      <c r="AY741">
        <v>72</v>
      </c>
      <c r="AZ741">
        <v>7.01</v>
      </c>
      <c r="BA741">
        <v>44</v>
      </c>
      <c r="BB741">
        <v>5.55</v>
      </c>
      <c r="BC741">
        <v>44</v>
      </c>
      <c r="BD741">
        <v>0</v>
      </c>
      <c r="BE741">
        <v>0.02</v>
      </c>
      <c r="BF741">
        <v>0</v>
      </c>
      <c r="BG741">
        <v>71</v>
      </c>
      <c r="BH741">
        <v>0.33</v>
      </c>
      <c r="BI741">
        <v>-7.56</v>
      </c>
      <c r="BJ741">
        <v>0</v>
      </c>
      <c r="BK741">
        <v>0</v>
      </c>
      <c r="BL741">
        <v>-2.4300000000000002</v>
      </c>
      <c r="BM741">
        <v>-1.29</v>
      </c>
      <c r="BN741">
        <v>-1.39</v>
      </c>
      <c r="BO741">
        <v>-0.17</v>
      </c>
      <c r="BP741">
        <v>2.08</v>
      </c>
      <c r="BQ741">
        <v>-3.06</v>
      </c>
      <c r="BR741">
        <v>7.0000000000000007E-2</v>
      </c>
      <c r="BS741">
        <v>1.61</v>
      </c>
      <c r="BT741">
        <v>0.05</v>
      </c>
      <c r="BU741">
        <v>-1.63</v>
      </c>
      <c r="BV741">
        <v>-1.67</v>
      </c>
      <c r="BW741">
        <v>-1.82</v>
      </c>
      <c r="BX741">
        <v>-1.8</v>
      </c>
      <c r="BY741">
        <v>-0.89</v>
      </c>
      <c r="BZ741">
        <v>-0.59</v>
      </c>
      <c r="CA741">
        <v>-1.08</v>
      </c>
      <c r="CB741">
        <v>-1.66</v>
      </c>
      <c r="CC741">
        <v>0.64</v>
      </c>
      <c r="CD741">
        <v>-0.09</v>
      </c>
      <c r="CE741">
        <v>-0.32</v>
      </c>
      <c r="CF741">
        <v>-2.33</v>
      </c>
      <c r="CG741">
        <v>0</v>
      </c>
      <c r="CH741">
        <v>-1.02</v>
      </c>
      <c r="CI741">
        <v>0</v>
      </c>
      <c r="CJ741">
        <v>-20</v>
      </c>
      <c r="CK741">
        <v>70</v>
      </c>
      <c r="CL741">
        <v>-0.92</v>
      </c>
      <c r="CM741">
        <v>60</v>
      </c>
      <c r="CN741">
        <v>-0.01</v>
      </c>
      <c r="CO741">
        <v>59</v>
      </c>
      <c r="CP741">
        <v>-21.4</v>
      </c>
      <c r="CQ741">
        <v>54</v>
      </c>
      <c r="CR741">
        <v>0</v>
      </c>
      <c r="CS741">
        <v>0</v>
      </c>
      <c r="CT741">
        <v>-29.3</v>
      </c>
      <c r="CU741">
        <v>53</v>
      </c>
      <c r="CV741">
        <v>-0.03</v>
      </c>
      <c r="CW741">
        <v>41</v>
      </c>
      <c r="CX741" t="s">
        <v>2314</v>
      </c>
    </row>
    <row r="742" spans="1:102" x14ac:dyDescent="0.3">
      <c r="A742" t="str">
        <f>HYPERLINK("https://webapp.icbf.com/v2/app/bull-search/view/1141158694","FR2006")</f>
        <v>FR2006</v>
      </c>
      <c r="B742" t="s">
        <v>13489</v>
      </c>
      <c r="C742" t="s">
        <v>8426</v>
      </c>
      <c r="D742" s="1">
        <v>41670</v>
      </c>
      <c r="E742" t="s">
        <v>92</v>
      </c>
      <c r="F742">
        <v>78</v>
      </c>
      <c r="G742" t="s">
        <v>93</v>
      </c>
      <c r="H742">
        <v>164.64</v>
      </c>
      <c r="I742">
        <v>86</v>
      </c>
      <c r="J742">
        <v>40.24</v>
      </c>
      <c r="K742">
        <v>97</v>
      </c>
      <c r="L742">
        <v>80.56</v>
      </c>
      <c r="M742">
        <v>77</v>
      </c>
      <c r="N742">
        <v>18.96</v>
      </c>
      <c r="O742">
        <v>86</v>
      </c>
      <c r="P742">
        <v>-14.98</v>
      </c>
      <c r="Q742">
        <v>92</v>
      </c>
      <c r="R742">
        <v>13.27</v>
      </c>
      <c r="S742">
        <v>77</v>
      </c>
      <c r="T742">
        <v>23.37</v>
      </c>
      <c r="U742">
        <v>79</v>
      </c>
      <c r="V742">
        <v>3.22</v>
      </c>
      <c r="W742">
        <v>72</v>
      </c>
      <c r="X742" t="s">
        <v>94</v>
      </c>
      <c r="Y742" t="s">
        <v>416</v>
      </c>
      <c r="Z742" t="s">
        <v>96</v>
      </c>
      <c r="AA742" t="s">
        <v>9180</v>
      </c>
      <c r="AB742" t="s">
        <v>13490</v>
      </c>
      <c r="AC742">
        <v>127</v>
      </c>
      <c r="AD742">
        <v>80</v>
      </c>
      <c r="AE742">
        <v>97</v>
      </c>
      <c r="AF742">
        <v>96.02</v>
      </c>
      <c r="AG742">
        <v>2.81</v>
      </c>
      <c r="AH742">
        <v>7.32</v>
      </c>
      <c r="AI742">
        <v>-0.02</v>
      </c>
      <c r="AJ742">
        <v>7.0000000000000007E-2</v>
      </c>
      <c r="AK742">
        <v>77</v>
      </c>
      <c r="AL742">
        <v>128</v>
      </c>
      <c r="AM742">
        <v>86</v>
      </c>
      <c r="AN742">
        <v>-3.94</v>
      </c>
      <c r="AO742">
        <v>2.4900000000000002</v>
      </c>
      <c r="AP742">
        <v>300</v>
      </c>
      <c r="AQ742">
        <v>5</v>
      </c>
      <c r="AR742">
        <v>6.77</v>
      </c>
      <c r="AS742">
        <v>73</v>
      </c>
      <c r="AT742">
        <v>2.79</v>
      </c>
      <c r="AU742">
        <v>90</v>
      </c>
      <c r="AV742">
        <v>-2.96</v>
      </c>
      <c r="AW742">
        <v>97</v>
      </c>
      <c r="AX742">
        <v>0.33</v>
      </c>
      <c r="AY742">
        <v>82</v>
      </c>
      <c r="AZ742">
        <v>8.67</v>
      </c>
      <c r="BA742">
        <v>69</v>
      </c>
      <c r="BB742">
        <v>5.9</v>
      </c>
      <c r="BC742">
        <v>58</v>
      </c>
      <c r="BD742">
        <v>-0.03</v>
      </c>
      <c r="BE742">
        <v>-0.05</v>
      </c>
      <c r="BF742">
        <v>-0.16</v>
      </c>
      <c r="BG742">
        <v>88</v>
      </c>
      <c r="BH742">
        <v>-0.06</v>
      </c>
      <c r="BI742">
        <v>-17.32</v>
      </c>
      <c r="BJ742">
        <v>4</v>
      </c>
      <c r="BK742">
        <v>3</v>
      </c>
      <c r="BL742">
        <v>-1.92</v>
      </c>
      <c r="BM742">
        <v>-0.37</v>
      </c>
      <c r="BN742">
        <v>-2.23</v>
      </c>
      <c r="BO742">
        <v>-1.96</v>
      </c>
      <c r="BP742">
        <v>-0.23</v>
      </c>
      <c r="BQ742">
        <v>-2.14</v>
      </c>
      <c r="BR742">
        <v>1.53</v>
      </c>
      <c r="BS742">
        <v>-2.52</v>
      </c>
      <c r="BT742">
        <v>-2.08</v>
      </c>
      <c r="BU742">
        <v>0.85</v>
      </c>
      <c r="BV742">
        <v>-0.24</v>
      </c>
      <c r="BW742">
        <v>-0.13</v>
      </c>
      <c r="BX742">
        <v>0.62</v>
      </c>
      <c r="BY742">
        <v>-0.28999999999999998</v>
      </c>
      <c r="BZ742">
        <v>-0.75</v>
      </c>
      <c r="CA742">
        <v>-0.97</v>
      </c>
      <c r="CB742">
        <v>-0.3</v>
      </c>
      <c r="CC742">
        <v>-2.33</v>
      </c>
      <c r="CD742">
        <v>0.78</v>
      </c>
      <c r="CE742">
        <v>-1.51</v>
      </c>
      <c r="CF742">
        <v>-2.23</v>
      </c>
      <c r="CG742">
        <v>0</v>
      </c>
      <c r="CH742">
        <v>-0.67</v>
      </c>
      <c r="CI742">
        <v>0</v>
      </c>
      <c r="CJ742">
        <v>-6.2</v>
      </c>
      <c r="CK742">
        <v>94</v>
      </c>
      <c r="CL742">
        <v>-0.51</v>
      </c>
      <c r="CM742">
        <v>92</v>
      </c>
      <c r="CN742">
        <v>-0.02</v>
      </c>
      <c r="CO742">
        <v>91</v>
      </c>
      <c r="CP742">
        <v>-9.3000000000000007</v>
      </c>
      <c r="CQ742">
        <v>76</v>
      </c>
      <c r="CR742">
        <v>0</v>
      </c>
      <c r="CS742">
        <v>0</v>
      </c>
      <c r="CT742">
        <v>-17.8</v>
      </c>
      <c r="CU742">
        <v>79</v>
      </c>
      <c r="CV742">
        <v>-0.01</v>
      </c>
      <c r="CW742">
        <v>46</v>
      </c>
      <c r="CX742" t="s">
        <v>1165</v>
      </c>
    </row>
    <row r="743" spans="1:102" x14ac:dyDescent="0.3">
      <c r="A743" t="str">
        <f>HYPERLINK("https://webapp.icbf.com/v2/app/bull-search/view/1255813562","FR2075")</f>
        <v>FR2075</v>
      </c>
      <c r="B743" t="s">
        <v>13552</v>
      </c>
      <c r="C743" t="s">
        <v>13553</v>
      </c>
      <c r="D743" s="1">
        <v>41551</v>
      </c>
      <c r="E743" t="s">
        <v>92</v>
      </c>
      <c r="F743">
        <v>100</v>
      </c>
      <c r="G743" t="s">
        <v>109</v>
      </c>
      <c r="H743">
        <v>164.63</v>
      </c>
      <c r="I743">
        <v>70</v>
      </c>
      <c r="J743">
        <v>59.24</v>
      </c>
      <c r="K743">
        <v>90</v>
      </c>
      <c r="L743">
        <v>19.86</v>
      </c>
      <c r="M743">
        <v>70</v>
      </c>
      <c r="N743">
        <v>58.3</v>
      </c>
      <c r="O743">
        <v>61</v>
      </c>
      <c r="P743">
        <v>-4.9400000000000004</v>
      </c>
      <c r="Q743">
        <v>44</v>
      </c>
      <c r="R743">
        <v>24.21</v>
      </c>
      <c r="S743">
        <v>67</v>
      </c>
      <c r="T743">
        <v>0.95</v>
      </c>
      <c r="U743">
        <v>38</v>
      </c>
      <c r="V743">
        <v>7.01</v>
      </c>
      <c r="W743">
        <v>57</v>
      </c>
      <c r="X743" t="s">
        <v>251</v>
      </c>
      <c r="Y743" t="s">
        <v>405</v>
      </c>
      <c r="Z743" t="s">
        <v>96</v>
      </c>
      <c r="AA743" t="s">
        <v>9479</v>
      </c>
      <c r="AB743" t="s">
        <v>13554</v>
      </c>
      <c r="AC743">
        <v>0</v>
      </c>
      <c r="AD743">
        <v>0</v>
      </c>
      <c r="AE743">
        <v>90</v>
      </c>
      <c r="AF743">
        <v>307.57</v>
      </c>
      <c r="AG743">
        <v>11.57</v>
      </c>
      <c r="AH743">
        <v>10.69</v>
      </c>
      <c r="AI743">
        <v>-0.01</v>
      </c>
      <c r="AJ743">
        <v>0</v>
      </c>
      <c r="AK743">
        <v>70</v>
      </c>
      <c r="AL743">
        <v>0</v>
      </c>
      <c r="AM743">
        <v>0</v>
      </c>
      <c r="AN743">
        <v>-0.63</v>
      </c>
      <c r="AO743">
        <v>0.96</v>
      </c>
      <c r="AP743">
        <v>22</v>
      </c>
      <c r="AQ743">
        <v>0</v>
      </c>
      <c r="AR743">
        <v>4.57</v>
      </c>
      <c r="AS743">
        <v>55</v>
      </c>
      <c r="AT743">
        <v>1.4</v>
      </c>
      <c r="AU743">
        <v>70</v>
      </c>
      <c r="AV743">
        <v>-5.29</v>
      </c>
      <c r="AW743">
        <v>70</v>
      </c>
      <c r="AX743">
        <v>0.46</v>
      </c>
      <c r="AY743">
        <v>46</v>
      </c>
      <c r="AZ743">
        <v>6.52</v>
      </c>
      <c r="BA743">
        <v>41</v>
      </c>
      <c r="BB743">
        <v>5.19</v>
      </c>
      <c r="BC743">
        <v>38</v>
      </c>
      <c r="BD743">
        <v>-7.0000000000000007E-2</v>
      </c>
      <c r="BE743">
        <v>-0.1</v>
      </c>
      <c r="BF743">
        <v>-0.25</v>
      </c>
      <c r="BG743">
        <v>81</v>
      </c>
      <c r="BH743">
        <v>0.06</v>
      </c>
      <c r="BI743">
        <v>-15.67</v>
      </c>
      <c r="BJ743">
        <v>1</v>
      </c>
      <c r="BK743">
        <v>1</v>
      </c>
      <c r="BL743">
        <v>-0.77</v>
      </c>
      <c r="BM743">
        <v>-0.12</v>
      </c>
      <c r="BN743">
        <v>-1.72</v>
      </c>
      <c r="BO743">
        <v>-1</v>
      </c>
      <c r="BP743">
        <v>1.61</v>
      </c>
      <c r="BQ743">
        <v>-0.45</v>
      </c>
      <c r="BR743">
        <v>1.49</v>
      </c>
      <c r="BS743">
        <v>-0.84</v>
      </c>
      <c r="BT743">
        <v>-1.85</v>
      </c>
      <c r="BU743">
        <v>0.9</v>
      </c>
      <c r="BV743">
        <v>-0.63</v>
      </c>
      <c r="BW743">
        <v>0.65</v>
      </c>
      <c r="BX743">
        <v>1.51</v>
      </c>
      <c r="BY743">
        <v>0.74</v>
      </c>
      <c r="BZ743">
        <v>-2.13</v>
      </c>
      <c r="CA743">
        <v>0.1</v>
      </c>
      <c r="CB743">
        <v>0.21</v>
      </c>
      <c r="CC743">
        <v>-0.77</v>
      </c>
      <c r="CD743">
        <v>0.94</v>
      </c>
      <c r="CE743">
        <v>-0.56999999999999995</v>
      </c>
      <c r="CF743">
        <v>-0.72</v>
      </c>
      <c r="CG743">
        <v>0</v>
      </c>
      <c r="CH743">
        <v>1.1499999999999999</v>
      </c>
      <c r="CI743">
        <v>0</v>
      </c>
      <c r="CJ743">
        <v>-0.9</v>
      </c>
      <c r="CK743">
        <v>46</v>
      </c>
      <c r="CL743">
        <v>-1.03</v>
      </c>
      <c r="CM743">
        <v>44</v>
      </c>
      <c r="CN743">
        <v>-0.51</v>
      </c>
      <c r="CO743">
        <v>42</v>
      </c>
      <c r="CP743">
        <v>6.4</v>
      </c>
      <c r="CQ743">
        <v>39</v>
      </c>
      <c r="CR743">
        <v>0</v>
      </c>
      <c r="CS743">
        <v>0</v>
      </c>
      <c r="CT743">
        <v>12.5</v>
      </c>
      <c r="CU743">
        <v>38</v>
      </c>
      <c r="CV743">
        <v>0.2</v>
      </c>
      <c r="CW743">
        <v>35</v>
      </c>
      <c r="CX743" t="s">
        <v>316</v>
      </c>
    </row>
    <row r="744" spans="1:102" x14ac:dyDescent="0.3">
      <c r="A744" t="str">
        <f>HYPERLINK("https://webapp.icbf.com/v2/app/bull-search/view/447215814","CZK")</f>
        <v>CZK</v>
      </c>
      <c r="B744" t="s">
        <v>7488</v>
      </c>
      <c r="C744" t="s">
        <v>7489</v>
      </c>
      <c r="D744" s="1">
        <v>38754</v>
      </c>
      <c r="E744" t="s">
        <v>92</v>
      </c>
      <c r="F744">
        <v>81</v>
      </c>
      <c r="G744" t="s">
        <v>435</v>
      </c>
      <c r="H744">
        <v>164.47</v>
      </c>
      <c r="I744">
        <v>70</v>
      </c>
      <c r="J744">
        <v>59.81</v>
      </c>
      <c r="K744">
        <v>86</v>
      </c>
      <c r="L744">
        <v>54.53</v>
      </c>
      <c r="M744">
        <v>63</v>
      </c>
      <c r="N744">
        <v>29.15</v>
      </c>
      <c r="O744">
        <v>60</v>
      </c>
      <c r="P744">
        <v>2.67</v>
      </c>
      <c r="Q744">
        <v>67</v>
      </c>
      <c r="R744">
        <v>9.3800000000000008</v>
      </c>
      <c r="S744">
        <v>63</v>
      </c>
      <c r="T744">
        <v>3.1</v>
      </c>
      <c r="U744">
        <v>63</v>
      </c>
      <c r="V744">
        <v>5.83</v>
      </c>
      <c r="W744">
        <v>57</v>
      </c>
      <c r="X744" t="s">
        <v>94</v>
      </c>
      <c r="Y744" t="s">
        <v>1251</v>
      </c>
      <c r="Z744" t="s">
        <v>96</v>
      </c>
      <c r="AA744" t="s">
        <v>4532</v>
      </c>
      <c r="AB744" t="s">
        <v>7490</v>
      </c>
      <c r="AC744">
        <v>3</v>
      </c>
      <c r="AD744">
        <v>3</v>
      </c>
      <c r="AE744">
        <v>86</v>
      </c>
      <c r="AF744">
        <v>77.81</v>
      </c>
      <c r="AG744">
        <v>13.24</v>
      </c>
      <c r="AH744">
        <v>6.68</v>
      </c>
      <c r="AI744">
        <v>0.18</v>
      </c>
      <c r="AJ744">
        <v>7.0000000000000007E-2</v>
      </c>
      <c r="AK744">
        <v>63</v>
      </c>
      <c r="AL744">
        <v>5</v>
      </c>
      <c r="AM744">
        <v>4</v>
      </c>
      <c r="AN744">
        <v>-2.08</v>
      </c>
      <c r="AO744">
        <v>2.2799999999999998</v>
      </c>
      <c r="AP744">
        <v>3</v>
      </c>
      <c r="AQ744">
        <v>0</v>
      </c>
      <c r="AR744">
        <v>5.29</v>
      </c>
      <c r="AS744">
        <v>52</v>
      </c>
      <c r="AT744">
        <v>2.3199999999999998</v>
      </c>
      <c r="AU744">
        <v>62</v>
      </c>
      <c r="AV744">
        <v>-2.73</v>
      </c>
      <c r="AW744">
        <v>68</v>
      </c>
      <c r="AX744">
        <v>-0.34</v>
      </c>
      <c r="AY744">
        <v>51</v>
      </c>
      <c r="AZ744">
        <v>7</v>
      </c>
      <c r="BA744">
        <v>42</v>
      </c>
      <c r="BB744">
        <v>5.81</v>
      </c>
      <c r="BC744">
        <v>45</v>
      </c>
      <c r="BD744">
        <v>-0.01</v>
      </c>
      <c r="BE744">
        <v>-0.01</v>
      </c>
      <c r="BF744">
        <v>-0.18</v>
      </c>
      <c r="BG744">
        <v>71</v>
      </c>
      <c r="BH744">
        <v>0.1</v>
      </c>
      <c r="BI744">
        <v>-7.23</v>
      </c>
      <c r="BJ744">
        <v>0</v>
      </c>
      <c r="BK744">
        <v>0</v>
      </c>
      <c r="BL744">
        <v>-0.43</v>
      </c>
      <c r="BM744">
        <v>0.14000000000000001</v>
      </c>
      <c r="BN744">
        <v>-1.44</v>
      </c>
      <c r="BO744">
        <v>-1.1000000000000001</v>
      </c>
      <c r="BP744">
        <v>0.38</v>
      </c>
      <c r="BQ744">
        <v>0.19</v>
      </c>
      <c r="BR744">
        <v>-0.78</v>
      </c>
      <c r="BS744">
        <v>-1.0900000000000001</v>
      </c>
      <c r="BT744">
        <v>-0.65</v>
      </c>
      <c r="BU744">
        <v>-0.17</v>
      </c>
      <c r="BV744">
        <v>-0.18</v>
      </c>
      <c r="BW744">
        <v>-0.28000000000000003</v>
      </c>
      <c r="BX744">
        <v>0.04</v>
      </c>
      <c r="BY744">
        <v>-1.23</v>
      </c>
      <c r="BZ744">
        <v>-1.99</v>
      </c>
      <c r="CA744">
        <v>-0.9</v>
      </c>
      <c r="CB744">
        <v>-0.69</v>
      </c>
      <c r="CC744">
        <v>-0.92</v>
      </c>
      <c r="CD744">
        <v>0.49</v>
      </c>
      <c r="CE744">
        <v>-1.05</v>
      </c>
      <c r="CF744">
        <v>-1.36</v>
      </c>
      <c r="CG744">
        <v>0</v>
      </c>
      <c r="CH744">
        <v>-1.98</v>
      </c>
      <c r="CI744">
        <v>0</v>
      </c>
      <c r="CJ744">
        <v>4.4000000000000004</v>
      </c>
      <c r="CK744">
        <v>69</v>
      </c>
      <c r="CL744">
        <v>-0.26</v>
      </c>
      <c r="CM744">
        <v>65</v>
      </c>
      <c r="CN744">
        <v>0.05</v>
      </c>
      <c r="CO744">
        <v>63</v>
      </c>
      <c r="CP744">
        <v>-0.9</v>
      </c>
      <c r="CQ744">
        <v>61</v>
      </c>
      <c r="CR744">
        <v>0</v>
      </c>
      <c r="CS744">
        <v>0</v>
      </c>
      <c r="CT744">
        <v>9.6</v>
      </c>
      <c r="CU744">
        <v>63</v>
      </c>
      <c r="CV744">
        <v>0.14000000000000001</v>
      </c>
      <c r="CW744">
        <v>40</v>
      </c>
      <c r="CX744" t="s">
        <v>980</v>
      </c>
    </row>
    <row r="745" spans="1:102" x14ac:dyDescent="0.3">
      <c r="A745" t="str">
        <f>HYPERLINK("https://webapp.icbf.com/v2/app/bull-search/view/861666350","WLY")</f>
        <v>WLY</v>
      </c>
      <c r="B745" t="s">
        <v>13084</v>
      </c>
      <c r="C745" t="s">
        <v>2514</v>
      </c>
      <c r="D745" s="1">
        <v>40583</v>
      </c>
      <c r="E745" t="s">
        <v>92</v>
      </c>
      <c r="F745">
        <v>63</v>
      </c>
      <c r="G745" t="s">
        <v>93</v>
      </c>
      <c r="H745">
        <v>164.23</v>
      </c>
      <c r="I745">
        <v>97</v>
      </c>
      <c r="J745">
        <v>84.2</v>
      </c>
      <c r="K745">
        <v>99</v>
      </c>
      <c r="L745">
        <v>17.62</v>
      </c>
      <c r="M745">
        <v>96</v>
      </c>
      <c r="N745">
        <v>47.39</v>
      </c>
      <c r="O745">
        <v>99</v>
      </c>
      <c r="P745">
        <v>-13.38</v>
      </c>
      <c r="Q745">
        <v>99</v>
      </c>
      <c r="R745">
        <v>9.1</v>
      </c>
      <c r="S745">
        <v>97</v>
      </c>
      <c r="T745">
        <v>18.559999999999999</v>
      </c>
      <c r="U745">
        <v>99</v>
      </c>
      <c r="V745">
        <v>0.74</v>
      </c>
      <c r="W745">
        <v>86</v>
      </c>
      <c r="X745" t="s">
        <v>276</v>
      </c>
      <c r="Y745" t="s">
        <v>1775</v>
      </c>
      <c r="Z745" t="s">
        <v>330</v>
      </c>
      <c r="AA745" t="s">
        <v>2727</v>
      </c>
      <c r="AB745" t="s">
        <v>13085</v>
      </c>
      <c r="AC745">
        <v>6260</v>
      </c>
      <c r="AD745">
        <v>1284</v>
      </c>
      <c r="AE745">
        <v>99</v>
      </c>
      <c r="AF745">
        <v>91.17</v>
      </c>
      <c r="AG745">
        <v>16.89</v>
      </c>
      <c r="AH745">
        <v>9.74</v>
      </c>
      <c r="AI745">
        <v>0.23</v>
      </c>
      <c r="AJ745">
        <v>0.11</v>
      </c>
      <c r="AK745">
        <v>96</v>
      </c>
      <c r="AL745">
        <v>6072</v>
      </c>
      <c r="AM745">
        <v>1493</v>
      </c>
      <c r="AN745">
        <v>0.2</v>
      </c>
      <c r="AO745">
        <v>1.62</v>
      </c>
      <c r="AP745">
        <v>16487</v>
      </c>
      <c r="AQ745">
        <v>76</v>
      </c>
      <c r="AR745">
        <v>5.78</v>
      </c>
      <c r="AS745">
        <v>99</v>
      </c>
      <c r="AT745">
        <v>2.38</v>
      </c>
      <c r="AU745">
        <v>99</v>
      </c>
      <c r="AV745">
        <v>-4.91</v>
      </c>
      <c r="AW745">
        <v>99</v>
      </c>
      <c r="AX745">
        <v>0.21</v>
      </c>
      <c r="AY745">
        <v>99</v>
      </c>
      <c r="AZ745">
        <v>8.16</v>
      </c>
      <c r="BA745">
        <v>99</v>
      </c>
      <c r="BB745">
        <v>4.75</v>
      </c>
      <c r="BC745">
        <v>98</v>
      </c>
      <c r="BD745">
        <v>-0.05</v>
      </c>
      <c r="BE745">
        <v>-0.04</v>
      </c>
      <c r="BF745">
        <v>-0.05</v>
      </c>
      <c r="BG745">
        <v>99</v>
      </c>
      <c r="BH745">
        <v>-0.13</v>
      </c>
      <c r="BI745">
        <v>-17.420000000000002</v>
      </c>
      <c r="BJ745">
        <v>86</v>
      </c>
      <c r="BK745">
        <v>33</v>
      </c>
      <c r="BL745">
        <v>-2.46</v>
      </c>
      <c r="BM745">
        <v>-0.55000000000000004</v>
      </c>
      <c r="BN745">
        <v>-1.92</v>
      </c>
      <c r="BO745">
        <v>-1.52</v>
      </c>
      <c r="BP745">
        <v>-1.43</v>
      </c>
      <c r="BQ745">
        <v>-2.08</v>
      </c>
      <c r="BR745">
        <v>3.3</v>
      </c>
      <c r="BS745">
        <v>-0.55000000000000004</v>
      </c>
      <c r="BT745">
        <v>-3.26</v>
      </c>
      <c r="BU745">
        <v>0.64</v>
      </c>
      <c r="BV745">
        <v>1.37</v>
      </c>
      <c r="BW745">
        <v>0.59</v>
      </c>
      <c r="BX745">
        <v>-1.18</v>
      </c>
      <c r="BY745">
        <v>-0.18</v>
      </c>
      <c r="BZ745">
        <v>-0.82</v>
      </c>
      <c r="CA745">
        <v>0.51</v>
      </c>
      <c r="CB745">
        <v>1.37</v>
      </c>
      <c r="CC745">
        <v>-1.61</v>
      </c>
      <c r="CD745">
        <v>0.28999999999999998</v>
      </c>
      <c r="CE745">
        <v>-0.53</v>
      </c>
      <c r="CF745">
        <v>-2.4</v>
      </c>
      <c r="CG745">
        <v>0</v>
      </c>
      <c r="CH745">
        <v>-0.16</v>
      </c>
      <c r="CI745">
        <v>0</v>
      </c>
      <c r="CJ745">
        <v>-5.7</v>
      </c>
      <c r="CK745">
        <v>99</v>
      </c>
      <c r="CL745">
        <v>-0.63</v>
      </c>
      <c r="CM745">
        <v>99</v>
      </c>
      <c r="CN745">
        <v>-0.18</v>
      </c>
      <c r="CO745">
        <v>99</v>
      </c>
      <c r="CP745">
        <v>-7.5</v>
      </c>
      <c r="CQ745">
        <v>99</v>
      </c>
      <c r="CR745">
        <v>0</v>
      </c>
      <c r="CS745">
        <v>0</v>
      </c>
      <c r="CT745">
        <v>-11.3</v>
      </c>
      <c r="CU745">
        <v>99</v>
      </c>
      <c r="CV745">
        <v>0.15</v>
      </c>
      <c r="CW745">
        <v>52</v>
      </c>
      <c r="CX745" t="s">
        <v>1229</v>
      </c>
    </row>
    <row r="746" spans="1:102" x14ac:dyDescent="0.3">
      <c r="A746" t="str">
        <f>HYPERLINK("https://webapp.icbf.com/v2/app/bull-search/view/949891334","S1552")</f>
        <v>S1552</v>
      </c>
      <c r="B746" t="s">
        <v>1948</v>
      </c>
      <c r="C746" t="s">
        <v>1949</v>
      </c>
      <c r="D746" s="1">
        <v>40958</v>
      </c>
      <c r="E746" t="s">
        <v>92</v>
      </c>
      <c r="F746">
        <v>56</v>
      </c>
      <c r="G746" t="s">
        <v>93</v>
      </c>
      <c r="H746">
        <v>164.22</v>
      </c>
      <c r="I746">
        <v>92</v>
      </c>
      <c r="J746">
        <v>77.69</v>
      </c>
      <c r="K746">
        <v>99</v>
      </c>
      <c r="L746">
        <v>46.61</v>
      </c>
      <c r="M746">
        <v>86</v>
      </c>
      <c r="N746">
        <v>46.02</v>
      </c>
      <c r="O746">
        <v>94</v>
      </c>
      <c r="P746">
        <v>-30.38</v>
      </c>
      <c r="Q746">
        <v>97</v>
      </c>
      <c r="R746">
        <v>-1.59</v>
      </c>
      <c r="S746">
        <v>84</v>
      </c>
      <c r="T746">
        <v>23.3</v>
      </c>
      <c r="U746">
        <v>93</v>
      </c>
      <c r="V746">
        <v>2.57</v>
      </c>
      <c r="W746">
        <v>78</v>
      </c>
      <c r="X746" t="s">
        <v>234</v>
      </c>
      <c r="Y746" t="s">
        <v>362</v>
      </c>
      <c r="Z746" t="s">
        <v>330</v>
      </c>
      <c r="AA746" t="s">
        <v>392</v>
      </c>
      <c r="AB746" t="s">
        <v>1950</v>
      </c>
      <c r="AC746">
        <v>328</v>
      </c>
      <c r="AD746">
        <v>88</v>
      </c>
      <c r="AE746">
        <v>99</v>
      </c>
      <c r="AF746">
        <v>194.08</v>
      </c>
      <c r="AG746">
        <v>9.93</v>
      </c>
      <c r="AH746">
        <v>12.67</v>
      </c>
      <c r="AI746">
        <v>0.04</v>
      </c>
      <c r="AJ746">
        <v>0.1</v>
      </c>
      <c r="AK746">
        <v>86</v>
      </c>
      <c r="AL746">
        <v>456</v>
      </c>
      <c r="AM746">
        <v>117</v>
      </c>
      <c r="AN746">
        <v>-0.77</v>
      </c>
      <c r="AO746">
        <v>2.97</v>
      </c>
      <c r="AP746">
        <v>884</v>
      </c>
      <c r="AQ746">
        <v>6</v>
      </c>
      <c r="AR746">
        <v>5.12</v>
      </c>
      <c r="AS746">
        <v>90</v>
      </c>
      <c r="AT746">
        <v>2.16</v>
      </c>
      <c r="AU746">
        <v>95</v>
      </c>
      <c r="AV746">
        <v>-3.53</v>
      </c>
      <c r="AW746">
        <v>99</v>
      </c>
      <c r="AX746">
        <v>-0.92</v>
      </c>
      <c r="AY746">
        <v>94</v>
      </c>
      <c r="AZ746">
        <v>5.88</v>
      </c>
      <c r="BA746">
        <v>84</v>
      </c>
      <c r="BB746">
        <v>4.6399999999999997</v>
      </c>
      <c r="BC746">
        <v>79</v>
      </c>
      <c r="BD746">
        <v>-0.02</v>
      </c>
      <c r="BE746">
        <v>0</v>
      </c>
      <c r="BF746">
        <v>7.0000000000000007E-2</v>
      </c>
      <c r="BG746">
        <v>94</v>
      </c>
      <c r="BH746">
        <v>-0.01</v>
      </c>
      <c r="BI746">
        <v>-9.44</v>
      </c>
      <c r="BJ746">
        <v>7</v>
      </c>
      <c r="BK746">
        <v>2</v>
      </c>
      <c r="BL746">
        <v>-1.94</v>
      </c>
      <c r="BM746">
        <v>-0.84</v>
      </c>
      <c r="BN746">
        <v>-1.41</v>
      </c>
      <c r="BO746">
        <v>-0.64</v>
      </c>
      <c r="BP746">
        <v>1.95</v>
      </c>
      <c r="BQ746">
        <v>-3.21</v>
      </c>
      <c r="BR746">
        <v>2.33</v>
      </c>
      <c r="BS746">
        <v>2.16</v>
      </c>
      <c r="BT746">
        <v>-1.86</v>
      </c>
      <c r="BU746">
        <v>-2.31</v>
      </c>
      <c r="BV746">
        <v>-2.25</v>
      </c>
      <c r="BW746">
        <v>-2.4500000000000002</v>
      </c>
      <c r="BX746">
        <v>-2.31</v>
      </c>
      <c r="BY746">
        <v>-2</v>
      </c>
      <c r="BZ746">
        <v>1.1599999999999999</v>
      </c>
      <c r="CA746">
        <v>-1.38</v>
      </c>
      <c r="CB746">
        <v>-2.4300000000000002</v>
      </c>
      <c r="CC746">
        <v>1.07</v>
      </c>
      <c r="CD746">
        <v>-0.21</v>
      </c>
      <c r="CE746">
        <v>-0.74</v>
      </c>
      <c r="CF746">
        <v>-2.75</v>
      </c>
      <c r="CG746">
        <v>0</v>
      </c>
      <c r="CH746">
        <v>-2.8</v>
      </c>
      <c r="CI746">
        <v>0</v>
      </c>
      <c r="CJ746">
        <v>-16.100000000000001</v>
      </c>
      <c r="CK746">
        <v>98</v>
      </c>
      <c r="CL746">
        <v>-1.03</v>
      </c>
      <c r="CM746">
        <v>98</v>
      </c>
      <c r="CN746">
        <v>-0.43</v>
      </c>
      <c r="CO746">
        <v>97</v>
      </c>
      <c r="CP746">
        <v>-17.100000000000001</v>
      </c>
      <c r="CQ746">
        <v>91</v>
      </c>
      <c r="CR746">
        <v>0</v>
      </c>
      <c r="CS746">
        <v>0</v>
      </c>
      <c r="CT746">
        <v>-17.7</v>
      </c>
      <c r="CU746">
        <v>93</v>
      </c>
      <c r="CV746">
        <v>7.0000000000000007E-2</v>
      </c>
      <c r="CW746">
        <v>46</v>
      </c>
      <c r="CX746" t="s">
        <v>1951</v>
      </c>
    </row>
    <row r="747" spans="1:102" x14ac:dyDescent="0.3">
      <c r="A747" t="str">
        <f>HYPERLINK("https://webapp.icbf.com/v2/app/bull-search/view/1050274980","FAD")</f>
        <v>FAD</v>
      </c>
      <c r="B747" t="s">
        <v>13337</v>
      </c>
      <c r="C747" t="s">
        <v>13338</v>
      </c>
      <c r="D747" s="1">
        <v>41333</v>
      </c>
      <c r="E747" t="s">
        <v>92</v>
      </c>
      <c r="F747">
        <v>91</v>
      </c>
      <c r="G747" t="s">
        <v>93</v>
      </c>
      <c r="H747">
        <v>164.14</v>
      </c>
      <c r="I747">
        <v>94</v>
      </c>
      <c r="J747">
        <v>60.76</v>
      </c>
      <c r="K747">
        <v>99</v>
      </c>
      <c r="L747">
        <v>72.84</v>
      </c>
      <c r="M747">
        <v>89</v>
      </c>
      <c r="N747">
        <v>34.380000000000003</v>
      </c>
      <c r="O747">
        <v>97</v>
      </c>
      <c r="P747">
        <v>-14.16</v>
      </c>
      <c r="Q747">
        <v>99</v>
      </c>
      <c r="R747">
        <v>2.86</v>
      </c>
      <c r="S747">
        <v>89</v>
      </c>
      <c r="T747">
        <v>13.16</v>
      </c>
      <c r="U747">
        <v>95</v>
      </c>
      <c r="V747">
        <v>-5.7</v>
      </c>
      <c r="W747">
        <v>80</v>
      </c>
      <c r="X747" t="s">
        <v>94</v>
      </c>
      <c r="Y747" t="s">
        <v>389</v>
      </c>
      <c r="Z747" t="s">
        <v>96</v>
      </c>
      <c r="AA747" t="s">
        <v>12915</v>
      </c>
      <c r="AB747" t="s">
        <v>13339</v>
      </c>
      <c r="AC747">
        <v>1685</v>
      </c>
      <c r="AD747">
        <v>760</v>
      </c>
      <c r="AE747">
        <v>99</v>
      </c>
      <c r="AF747">
        <v>166.75</v>
      </c>
      <c r="AG747">
        <v>5.36</v>
      </c>
      <c r="AH747">
        <v>10.99</v>
      </c>
      <c r="AI747">
        <v>-0.02</v>
      </c>
      <c r="AJ747">
        <v>0.09</v>
      </c>
      <c r="AK747">
        <v>89</v>
      </c>
      <c r="AL747">
        <v>1396</v>
      </c>
      <c r="AM747">
        <v>725</v>
      </c>
      <c r="AN747">
        <v>-3.12</v>
      </c>
      <c r="AO747">
        <v>2.7</v>
      </c>
      <c r="AP747">
        <v>3153</v>
      </c>
      <c r="AQ747">
        <v>11</v>
      </c>
      <c r="AR747">
        <v>6.89</v>
      </c>
      <c r="AS747">
        <v>97</v>
      </c>
      <c r="AT747">
        <v>2.69</v>
      </c>
      <c r="AU747">
        <v>98</v>
      </c>
      <c r="AV747">
        <v>-2.86</v>
      </c>
      <c r="AW747">
        <v>99</v>
      </c>
      <c r="AX747">
        <v>-0.96</v>
      </c>
      <c r="AY747">
        <v>98</v>
      </c>
      <c r="AZ747">
        <v>5.65</v>
      </c>
      <c r="BA747">
        <v>94</v>
      </c>
      <c r="BB747">
        <v>4.43</v>
      </c>
      <c r="BC747">
        <v>85</v>
      </c>
      <c r="BD747">
        <v>-0.04</v>
      </c>
      <c r="BE747">
        <v>-0.01</v>
      </c>
      <c r="BF747">
        <v>0.02</v>
      </c>
      <c r="BG747">
        <v>98</v>
      </c>
      <c r="BH747">
        <v>-0.13</v>
      </c>
      <c r="BI747">
        <v>3.36</v>
      </c>
      <c r="BJ747">
        <v>37</v>
      </c>
      <c r="BK747">
        <v>17</v>
      </c>
      <c r="BL747">
        <v>-0.31</v>
      </c>
      <c r="BM747">
        <v>-0.38</v>
      </c>
      <c r="BN747">
        <v>-1.3</v>
      </c>
      <c r="BO747">
        <v>-0.54</v>
      </c>
      <c r="BP747">
        <v>1.41</v>
      </c>
      <c r="BQ747">
        <v>-2.2200000000000002</v>
      </c>
      <c r="BR747">
        <v>-0.06</v>
      </c>
      <c r="BS747">
        <v>0.14000000000000001</v>
      </c>
      <c r="BT747">
        <v>-0.3</v>
      </c>
      <c r="BU747">
        <v>-0.66</v>
      </c>
      <c r="BV747">
        <v>-1.04</v>
      </c>
      <c r="BW747">
        <v>-1.21</v>
      </c>
      <c r="BX747">
        <v>0.05</v>
      </c>
      <c r="BY747">
        <v>0.22</v>
      </c>
      <c r="BZ747">
        <v>-0.23</v>
      </c>
      <c r="CA747">
        <v>-0.26</v>
      </c>
      <c r="CB747">
        <v>-0.51</v>
      </c>
      <c r="CC747">
        <v>-0.01</v>
      </c>
      <c r="CD747">
        <v>-0.61</v>
      </c>
      <c r="CE747">
        <v>-0.18</v>
      </c>
      <c r="CF747">
        <v>-0.82</v>
      </c>
      <c r="CG747">
        <v>0</v>
      </c>
      <c r="CH747">
        <v>-0.06</v>
      </c>
      <c r="CI747">
        <v>0</v>
      </c>
      <c r="CJ747">
        <v>-5.4</v>
      </c>
      <c r="CK747">
        <v>99</v>
      </c>
      <c r="CL747">
        <v>-0.9</v>
      </c>
      <c r="CM747">
        <v>99</v>
      </c>
      <c r="CN747">
        <v>-0.31</v>
      </c>
      <c r="CO747">
        <v>99</v>
      </c>
      <c r="CP747">
        <v>-7</v>
      </c>
      <c r="CQ747">
        <v>93</v>
      </c>
      <c r="CR747">
        <v>0</v>
      </c>
      <c r="CS747">
        <v>0</v>
      </c>
      <c r="CT747">
        <v>-4</v>
      </c>
      <c r="CU747">
        <v>95</v>
      </c>
      <c r="CV747">
        <v>0.16</v>
      </c>
      <c r="CW747">
        <v>47</v>
      </c>
      <c r="CX747" t="s">
        <v>771</v>
      </c>
    </row>
    <row r="748" spans="1:102" x14ac:dyDescent="0.3">
      <c r="A748" t="str">
        <f>HYPERLINK("https://webapp.icbf.com/v2/app/bull-search/view/550980089","OKV")</f>
        <v>OKV</v>
      </c>
      <c r="B748" t="s">
        <v>1522</v>
      </c>
      <c r="C748" t="s">
        <v>1523</v>
      </c>
      <c r="D748" s="1">
        <v>38556</v>
      </c>
      <c r="E748" t="s">
        <v>227</v>
      </c>
      <c r="F748">
        <v>0</v>
      </c>
      <c r="G748" t="s">
        <v>93</v>
      </c>
      <c r="H748">
        <v>163.83000000000001</v>
      </c>
      <c r="I748">
        <v>96</v>
      </c>
      <c r="J748">
        <v>75.83</v>
      </c>
      <c r="K748">
        <v>99</v>
      </c>
      <c r="L748">
        <v>35.81</v>
      </c>
      <c r="M748">
        <v>93</v>
      </c>
      <c r="N748">
        <v>40.159999999999997</v>
      </c>
      <c r="O748">
        <v>96</v>
      </c>
      <c r="P748">
        <v>-43.52</v>
      </c>
      <c r="Q748">
        <v>98</v>
      </c>
      <c r="R748">
        <v>1.35</v>
      </c>
      <c r="S748">
        <v>93</v>
      </c>
      <c r="T748">
        <v>44.83</v>
      </c>
      <c r="U748">
        <v>97</v>
      </c>
      <c r="V748">
        <v>9.3699999999999992</v>
      </c>
      <c r="W748">
        <v>95</v>
      </c>
      <c r="X748" t="s">
        <v>276</v>
      </c>
      <c r="Y748" t="s">
        <v>1524</v>
      </c>
      <c r="Z748">
        <v>0</v>
      </c>
      <c r="AA748" t="s">
        <v>1525</v>
      </c>
      <c r="AB748" t="s">
        <v>1526</v>
      </c>
      <c r="AC748">
        <v>513</v>
      </c>
      <c r="AD748">
        <v>175</v>
      </c>
      <c r="AE748">
        <v>99</v>
      </c>
      <c r="AF748">
        <v>-257.64</v>
      </c>
      <c r="AG748">
        <v>16.66</v>
      </c>
      <c r="AH748">
        <v>3.06</v>
      </c>
      <c r="AI748">
        <v>0.49</v>
      </c>
      <c r="AJ748">
        <v>0.22</v>
      </c>
      <c r="AK748">
        <v>93</v>
      </c>
      <c r="AL748">
        <v>544</v>
      </c>
      <c r="AM748">
        <v>171</v>
      </c>
      <c r="AN748">
        <v>-0.85</v>
      </c>
      <c r="AO748">
        <v>2.02</v>
      </c>
      <c r="AP748">
        <v>803</v>
      </c>
      <c r="AQ748">
        <v>7</v>
      </c>
      <c r="AR748">
        <v>2.64</v>
      </c>
      <c r="AS748">
        <v>95</v>
      </c>
      <c r="AT748">
        <v>1.33</v>
      </c>
      <c r="AU748">
        <v>96</v>
      </c>
      <c r="AV748">
        <v>-2.62</v>
      </c>
      <c r="AW748">
        <v>99</v>
      </c>
      <c r="AX748">
        <v>0.35</v>
      </c>
      <c r="AY748">
        <v>95</v>
      </c>
      <c r="AZ748">
        <v>6.5</v>
      </c>
      <c r="BA748">
        <v>90</v>
      </c>
      <c r="BB748">
        <v>5.29</v>
      </c>
      <c r="BC748">
        <v>90</v>
      </c>
      <c r="BD748">
        <v>-0.03</v>
      </c>
      <c r="BE748">
        <v>0.01</v>
      </c>
      <c r="BF748">
        <v>0</v>
      </c>
      <c r="BG748">
        <v>97</v>
      </c>
      <c r="BH748">
        <v>0.18</v>
      </c>
      <c r="BI748">
        <v>-9.4</v>
      </c>
      <c r="BJ748">
        <v>60</v>
      </c>
      <c r="BK748">
        <v>22</v>
      </c>
      <c r="BL748">
        <v>-2.65</v>
      </c>
      <c r="BM748">
        <v>-0.7</v>
      </c>
      <c r="BN748">
        <v>-7.0000000000000007E-2</v>
      </c>
      <c r="BO748">
        <v>1.1499999999999999</v>
      </c>
      <c r="BP748">
        <v>-0.81</v>
      </c>
      <c r="BQ748">
        <v>-4.83</v>
      </c>
      <c r="BR748">
        <v>2.15</v>
      </c>
      <c r="BS748">
        <v>6.74</v>
      </c>
      <c r="BT748">
        <v>-0.97</v>
      </c>
      <c r="BU748">
        <v>-1.1599999999999999</v>
      </c>
      <c r="BV748">
        <v>-0.37</v>
      </c>
      <c r="BW748">
        <v>-1.57</v>
      </c>
      <c r="BX748">
        <v>-4.4000000000000004</v>
      </c>
      <c r="BY748">
        <v>-0.5</v>
      </c>
      <c r="BZ748">
        <v>-0.75</v>
      </c>
      <c r="CA748">
        <v>1.49</v>
      </c>
      <c r="CB748">
        <v>-0.3</v>
      </c>
      <c r="CC748">
        <v>4.63</v>
      </c>
      <c r="CD748">
        <v>-0.67</v>
      </c>
      <c r="CE748">
        <v>0.67</v>
      </c>
      <c r="CF748">
        <v>-2.72</v>
      </c>
      <c r="CG748">
        <v>0</v>
      </c>
      <c r="CH748">
        <v>-0.99</v>
      </c>
      <c r="CI748">
        <v>0</v>
      </c>
      <c r="CJ748">
        <v>-23.1</v>
      </c>
      <c r="CK748">
        <v>98</v>
      </c>
      <c r="CL748">
        <v>-0.89</v>
      </c>
      <c r="CM748">
        <v>98</v>
      </c>
      <c r="CN748">
        <v>-0.28999999999999998</v>
      </c>
      <c r="CO748">
        <v>98</v>
      </c>
      <c r="CP748">
        <v>-39</v>
      </c>
      <c r="CQ748">
        <v>97</v>
      </c>
      <c r="CR748">
        <v>0</v>
      </c>
      <c r="CS748">
        <v>0</v>
      </c>
      <c r="CT748">
        <v>-46.8</v>
      </c>
      <c r="CU748">
        <v>97</v>
      </c>
      <c r="CV748">
        <v>-0.2</v>
      </c>
      <c r="CW748">
        <v>46</v>
      </c>
      <c r="CX748" t="s">
        <v>1527</v>
      </c>
    </row>
    <row r="749" spans="1:102" x14ac:dyDescent="0.3">
      <c r="A749" t="str">
        <f>HYPERLINK("https://webapp.icbf.com/v2/app/bull-search/view/1017312746","FR4391")</f>
        <v>FR4391</v>
      </c>
      <c r="B749" t="s">
        <v>13913</v>
      </c>
      <c r="C749" t="s">
        <v>13914</v>
      </c>
      <c r="D749" s="1">
        <v>41121</v>
      </c>
      <c r="E749" t="s">
        <v>92</v>
      </c>
      <c r="F749">
        <v>56</v>
      </c>
      <c r="G749" t="s">
        <v>109</v>
      </c>
      <c r="H749">
        <v>163.61000000000001</v>
      </c>
      <c r="I749">
        <v>71</v>
      </c>
      <c r="J749">
        <v>92.87</v>
      </c>
      <c r="K749">
        <v>88</v>
      </c>
      <c r="L749">
        <v>31.04</v>
      </c>
      <c r="M749">
        <v>71</v>
      </c>
      <c r="N749">
        <v>31.67</v>
      </c>
      <c r="O749">
        <v>70</v>
      </c>
      <c r="P749">
        <v>-30.34</v>
      </c>
      <c r="Q749">
        <v>43</v>
      </c>
      <c r="R749">
        <v>10.35</v>
      </c>
      <c r="S749">
        <v>65</v>
      </c>
      <c r="T749">
        <v>25.96</v>
      </c>
      <c r="U749">
        <v>42</v>
      </c>
      <c r="V749">
        <v>2.06</v>
      </c>
      <c r="W749">
        <v>48</v>
      </c>
      <c r="X749" t="s">
        <v>276</v>
      </c>
      <c r="Y749" t="s">
        <v>1923</v>
      </c>
      <c r="Z749" t="s">
        <v>330</v>
      </c>
      <c r="AA749" t="s">
        <v>3081</v>
      </c>
      <c r="AB749" t="s">
        <v>144</v>
      </c>
      <c r="AC749">
        <v>0</v>
      </c>
      <c r="AD749">
        <v>0</v>
      </c>
      <c r="AE749">
        <v>88</v>
      </c>
      <c r="AF749">
        <v>191.64</v>
      </c>
      <c r="AG749">
        <v>14.21</v>
      </c>
      <c r="AH749">
        <v>13.7</v>
      </c>
      <c r="AI749">
        <v>0.11</v>
      </c>
      <c r="AJ749">
        <v>0.12</v>
      </c>
      <c r="AK749">
        <v>71</v>
      </c>
      <c r="AL749">
        <v>0</v>
      </c>
      <c r="AM749">
        <v>0</v>
      </c>
      <c r="AN749">
        <v>-0.53</v>
      </c>
      <c r="AO749">
        <v>1.96</v>
      </c>
      <c r="AP749">
        <v>27</v>
      </c>
      <c r="AQ749">
        <v>1</v>
      </c>
      <c r="AR749">
        <v>5.07</v>
      </c>
      <c r="AS749">
        <v>57</v>
      </c>
      <c r="AT749">
        <v>1.57</v>
      </c>
      <c r="AU749">
        <v>76</v>
      </c>
      <c r="AV749">
        <v>-2.27</v>
      </c>
      <c r="AW749">
        <v>88</v>
      </c>
      <c r="AX749">
        <v>-0.48</v>
      </c>
      <c r="AY749">
        <v>60</v>
      </c>
      <c r="AZ749">
        <v>7.01</v>
      </c>
      <c r="BA749">
        <v>31</v>
      </c>
      <c r="BB749">
        <v>5.67</v>
      </c>
      <c r="BC749">
        <v>31</v>
      </c>
      <c r="BD749">
        <v>-0.03</v>
      </c>
      <c r="BE749">
        <v>-0.02</v>
      </c>
      <c r="BF749">
        <v>-0.15</v>
      </c>
      <c r="BG749">
        <v>86</v>
      </c>
      <c r="BH749">
        <v>-0.03</v>
      </c>
      <c r="BI749">
        <v>-10.11</v>
      </c>
      <c r="BJ749">
        <v>0</v>
      </c>
      <c r="BK749">
        <v>0</v>
      </c>
      <c r="BL749">
        <v>-1.86</v>
      </c>
      <c r="BM749">
        <v>0.45</v>
      </c>
      <c r="BN749">
        <v>-0.26</v>
      </c>
      <c r="BO749">
        <v>-0.26</v>
      </c>
      <c r="BP749">
        <v>-2.73</v>
      </c>
      <c r="BQ749">
        <v>-0.28000000000000003</v>
      </c>
      <c r="BR749">
        <v>1.5</v>
      </c>
      <c r="BS749">
        <v>-7.0000000000000007E-2</v>
      </c>
      <c r="BT749">
        <v>-0.88</v>
      </c>
      <c r="BU749">
        <v>-1.48</v>
      </c>
      <c r="BV749">
        <v>-2.0699999999999998</v>
      </c>
      <c r="BW749">
        <v>-1.79</v>
      </c>
      <c r="BX749">
        <v>-2.31</v>
      </c>
      <c r="BY749">
        <v>-0.85</v>
      </c>
      <c r="BZ749">
        <v>-1.5</v>
      </c>
      <c r="CA749">
        <v>-1.52</v>
      </c>
      <c r="CB749">
        <v>-1.47</v>
      </c>
      <c r="CC749">
        <v>-0.55000000000000004</v>
      </c>
      <c r="CD749">
        <v>0.31</v>
      </c>
      <c r="CE749">
        <v>-0.37</v>
      </c>
      <c r="CF749">
        <v>-0.52</v>
      </c>
      <c r="CG749">
        <v>0</v>
      </c>
      <c r="CH749">
        <v>-1.05</v>
      </c>
      <c r="CI749">
        <v>0</v>
      </c>
      <c r="CJ749">
        <v>-14.5</v>
      </c>
      <c r="CK749">
        <v>43</v>
      </c>
      <c r="CL749">
        <v>-0.96</v>
      </c>
      <c r="CM749">
        <v>43</v>
      </c>
      <c r="CN749">
        <v>-0.22</v>
      </c>
      <c r="CO749">
        <v>43</v>
      </c>
      <c r="CP749">
        <v>-20</v>
      </c>
      <c r="CQ749">
        <v>42</v>
      </c>
      <c r="CR749">
        <v>0</v>
      </c>
      <c r="CS749">
        <v>0</v>
      </c>
      <c r="CT749">
        <v>-21.3</v>
      </c>
      <c r="CU749">
        <v>42</v>
      </c>
      <c r="CV749">
        <v>0.09</v>
      </c>
      <c r="CW749">
        <v>34</v>
      </c>
      <c r="CX749" t="s">
        <v>2339</v>
      </c>
    </row>
    <row r="750" spans="1:102" x14ac:dyDescent="0.3">
      <c r="A750" t="str">
        <f>HYPERLINK("https://webapp.icbf.com/v2/app/bull-search/view/945570243","RBH")</f>
        <v>RBH</v>
      </c>
      <c r="B750" t="s">
        <v>15478</v>
      </c>
      <c r="C750" t="s">
        <v>15479</v>
      </c>
      <c r="D750" s="1">
        <v>40934</v>
      </c>
      <c r="E750" t="s">
        <v>92</v>
      </c>
      <c r="F750">
        <v>63</v>
      </c>
      <c r="G750" t="s">
        <v>93</v>
      </c>
      <c r="H750">
        <v>163.55000000000001</v>
      </c>
      <c r="I750">
        <v>92</v>
      </c>
      <c r="J750">
        <v>98.82</v>
      </c>
      <c r="K750">
        <v>99</v>
      </c>
      <c r="L750">
        <v>56.53</v>
      </c>
      <c r="M750">
        <v>85</v>
      </c>
      <c r="N750">
        <v>22.35</v>
      </c>
      <c r="O750">
        <v>95</v>
      </c>
      <c r="P750">
        <v>-12</v>
      </c>
      <c r="Q750">
        <v>98</v>
      </c>
      <c r="R750">
        <v>0.57999999999999996</v>
      </c>
      <c r="S750">
        <v>86</v>
      </c>
      <c r="T750">
        <v>2.5</v>
      </c>
      <c r="U750">
        <v>90</v>
      </c>
      <c r="V750">
        <v>-5.23</v>
      </c>
      <c r="W750">
        <v>77</v>
      </c>
      <c r="X750" t="s">
        <v>94</v>
      </c>
      <c r="Y750" t="s">
        <v>1976</v>
      </c>
      <c r="Z750" t="s">
        <v>330</v>
      </c>
      <c r="AA750" t="s">
        <v>5446</v>
      </c>
      <c r="AB750" t="s">
        <v>15480</v>
      </c>
      <c r="AC750">
        <v>390</v>
      </c>
      <c r="AD750">
        <v>179</v>
      </c>
      <c r="AE750">
        <v>99</v>
      </c>
      <c r="AF750">
        <v>194.91</v>
      </c>
      <c r="AG750">
        <v>13.06</v>
      </c>
      <c r="AH750">
        <v>15.17</v>
      </c>
      <c r="AI750">
        <v>0.09</v>
      </c>
      <c r="AJ750">
        <v>0.14000000000000001</v>
      </c>
      <c r="AK750">
        <v>85</v>
      </c>
      <c r="AL750">
        <v>540</v>
      </c>
      <c r="AM750">
        <v>257</v>
      </c>
      <c r="AN750">
        <v>-2.94</v>
      </c>
      <c r="AO750">
        <v>1.57</v>
      </c>
      <c r="AP750">
        <v>1361</v>
      </c>
      <c r="AQ750">
        <v>13</v>
      </c>
      <c r="AR750">
        <v>9.8699999999999992</v>
      </c>
      <c r="AS750">
        <v>91</v>
      </c>
      <c r="AT750">
        <v>4.2</v>
      </c>
      <c r="AU750">
        <v>97</v>
      </c>
      <c r="AV750">
        <v>-4.63</v>
      </c>
      <c r="AW750">
        <v>99</v>
      </c>
      <c r="AX750">
        <v>0.64</v>
      </c>
      <c r="AY750">
        <v>96</v>
      </c>
      <c r="AZ750">
        <v>5.69</v>
      </c>
      <c r="BA750">
        <v>87</v>
      </c>
      <c r="BB750">
        <v>4.2300000000000004</v>
      </c>
      <c r="BC750">
        <v>80</v>
      </c>
      <c r="BD750">
        <v>-0.02</v>
      </c>
      <c r="BE750">
        <v>0</v>
      </c>
      <c r="BF750">
        <v>0.02</v>
      </c>
      <c r="BG750">
        <v>95</v>
      </c>
      <c r="BH750">
        <v>-0.06</v>
      </c>
      <c r="BI750">
        <v>9.92</v>
      </c>
      <c r="BJ750">
        <v>24</v>
      </c>
      <c r="BK750">
        <v>8</v>
      </c>
      <c r="BL750">
        <v>-0.9</v>
      </c>
      <c r="BM750">
        <v>1.31</v>
      </c>
      <c r="BN750">
        <v>-0.31</v>
      </c>
      <c r="BO750">
        <v>-1.06</v>
      </c>
      <c r="BP750">
        <v>2</v>
      </c>
      <c r="BQ750">
        <v>-1.1200000000000001</v>
      </c>
      <c r="BR750">
        <v>1.1399999999999999</v>
      </c>
      <c r="BS750">
        <v>-2.74</v>
      </c>
      <c r="BT750">
        <v>-2.14</v>
      </c>
      <c r="BU750">
        <v>-1.1599999999999999</v>
      </c>
      <c r="BV750">
        <v>-1.21</v>
      </c>
      <c r="BW750">
        <v>-1.1399999999999999</v>
      </c>
      <c r="BX750">
        <v>-1.01</v>
      </c>
      <c r="BY750">
        <v>-0.59</v>
      </c>
      <c r="BZ750">
        <v>0.92</v>
      </c>
      <c r="CA750">
        <v>-1.93</v>
      </c>
      <c r="CB750">
        <v>-1.17</v>
      </c>
      <c r="CC750">
        <v>-2.4300000000000002</v>
      </c>
      <c r="CD750">
        <v>1.49</v>
      </c>
      <c r="CE750">
        <v>-0.98</v>
      </c>
      <c r="CF750">
        <v>-0.37</v>
      </c>
      <c r="CG750">
        <v>0</v>
      </c>
      <c r="CH750">
        <v>-0.46</v>
      </c>
      <c r="CI750">
        <v>0</v>
      </c>
      <c r="CJ750">
        <v>-4.9000000000000004</v>
      </c>
      <c r="CK750">
        <v>99</v>
      </c>
      <c r="CL750">
        <v>-0.66</v>
      </c>
      <c r="CM750">
        <v>98</v>
      </c>
      <c r="CN750">
        <v>-0.16</v>
      </c>
      <c r="CO750">
        <v>98</v>
      </c>
      <c r="CP750">
        <v>-2</v>
      </c>
      <c r="CQ750">
        <v>90</v>
      </c>
      <c r="CR750">
        <v>0</v>
      </c>
      <c r="CS750">
        <v>0</v>
      </c>
      <c r="CT750">
        <v>10.4</v>
      </c>
      <c r="CU750">
        <v>90</v>
      </c>
      <c r="CV750">
        <v>0.15</v>
      </c>
      <c r="CW750">
        <v>46</v>
      </c>
      <c r="CX750" t="s">
        <v>2990</v>
      </c>
    </row>
    <row r="751" spans="1:102" x14ac:dyDescent="0.3">
      <c r="A751" t="str">
        <f>HYPERLINK("https://webapp.icbf.com/v2/app/bull-search/view/1133035656","FR2030")</f>
        <v>FR2030</v>
      </c>
      <c r="B751" t="s">
        <v>6067</v>
      </c>
      <c r="C751" t="s">
        <v>6068</v>
      </c>
      <c r="D751" s="1">
        <v>41645</v>
      </c>
      <c r="E751" t="s">
        <v>108</v>
      </c>
      <c r="F751">
        <v>9</v>
      </c>
      <c r="G751" t="s">
        <v>93</v>
      </c>
      <c r="H751">
        <v>163.47</v>
      </c>
      <c r="I751">
        <v>88</v>
      </c>
      <c r="J751">
        <v>23.1</v>
      </c>
      <c r="K751">
        <v>98</v>
      </c>
      <c r="L751">
        <v>82.09</v>
      </c>
      <c r="M751">
        <v>78</v>
      </c>
      <c r="N751">
        <v>52.93</v>
      </c>
      <c r="O751">
        <v>92</v>
      </c>
      <c r="P751">
        <v>-17.72</v>
      </c>
      <c r="Q751">
        <v>97</v>
      </c>
      <c r="R751">
        <v>5.52</v>
      </c>
      <c r="S751">
        <v>81</v>
      </c>
      <c r="T751">
        <v>18.489999999999998</v>
      </c>
      <c r="U751">
        <v>81</v>
      </c>
      <c r="V751">
        <v>-0.94</v>
      </c>
      <c r="W751">
        <v>74</v>
      </c>
      <c r="X751" t="s">
        <v>94</v>
      </c>
      <c r="Y751" t="s">
        <v>416</v>
      </c>
      <c r="Z751" t="s">
        <v>96</v>
      </c>
      <c r="AA751" t="s">
        <v>6069</v>
      </c>
      <c r="AB751" t="s">
        <v>6070</v>
      </c>
      <c r="AC751">
        <v>385</v>
      </c>
      <c r="AD751">
        <v>163</v>
      </c>
      <c r="AE751">
        <v>98</v>
      </c>
      <c r="AF751">
        <v>74.77</v>
      </c>
      <c r="AG751">
        <v>1.96</v>
      </c>
      <c r="AH751">
        <v>4.38</v>
      </c>
      <c r="AI751">
        <v>-0.02</v>
      </c>
      <c r="AJ751">
        <v>0.03</v>
      </c>
      <c r="AK751">
        <v>78</v>
      </c>
      <c r="AL751">
        <v>119</v>
      </c>
      <c r="AM751">
        <v>63</v>
      </c>
      <c r="AN751">
        <v>-4.21</v>
      </c>
      <c r="AO751">
        <v>2.34</v>
      </c>
      <c r="AP751">
        <v>2878</v>
      </c>
      <c r="AQ751">
        <v>10</v>
      </c>
      <c r="AR751">
        <v>4.84</v>
      </c>
      <c r="AS751">
        <v>96</v>
      </c>
      <c r="AT751">
        <v>2</v>
      </c>
      <c r="AU751">
        <v>98</v>
      </c>
      <c r="AV751">
        <v>-5.77</v>
      </c>
      <c r="AW751">
        <v>99</v>
      </c>
      <c r="AX751">
        <v>-0.93</v>
      </c>
      <c r="AY751">
        <v>98</v>
      </c>
      <c r="AZ751">
        <v>8.0399999999999991</v>
      </c>
      <c r="BA751">
        <v>87</v>
      </c>
      <c r="BB751">
        <v>6.33</v>
      </c>
      <c r="BC751">
        <v>55</v>
      </c>
      <c r="BD751">
        <v>-0.03</v>
      </c>
      <c r="BE751">
        <v>-0.03</v>
      </c>
      <c r="BF751">
        <v>-0.02</v>
      </c>
      <c r="BG751">
        <v>93</v>
      </c>
      <c r="BH751">
        <v>-0.13</v>
      </c>
      <c r="BI751">
        <v>-12.01</v>
      </c>
      <c r="BJ751">
        <v>5</v>
      </c>
      <c r="BK751">
        <v>2</v>
      </c>
      <c r="BL751">
        <v>-3.41</v>
      </c>
      <c r="BM751">
        <v>1.25</v>
      </c>
      <c r="BN751">
        <v>-2.16</v>
      </c>
      <c r="BO751">
        <v>-2.41</v>
      </c>
      <c r="BP751">
        <v>-0.53</v>
      </c>
      <c r="BQ751">
        <v>1.91</v>
      </c>
      <c r="BR751">
        <v>-2.5499999999999998</v>
      </c>
      <c r="BS751">
        <v>2.12</v>
      </c>
      <c r="BT751">
        <v>2.2000000000000002</v>
      </c>
      <c r="BU751">
        <v>-1.29</v>
      </c>
      <c r="BV751">
        <v>-2.2599999999999998</v>
      </c>
      <c r="BW751">
        <v>-1.65</v>
      </c>
      <c r="BX751">
        <v>-0.9</v>
      </c>
      <c r="BY751">
        <v>-1.03</v>
      </c>
      <c r="BZ751">
        <v>-1.55</v>
      </c>
      <c r="CA751">
        <v>-0.98</v>
      </c>
      <c r="CB751">
        <v>-1.69</v>
      </c>
      <c r="CC751">
        <v>0.97</v>
      </c>
      <c r="CD751">
        <v>2.11</v>
      </c>
      <c r="CE751">
        <v>-2.3199999999999998</v>
      </c>
      <c r="CF751">
        <v>-1.59</v>
      </c>
      <c r="CG751">
        <v>0</v>
      </c>
      <c r="CH751">
        <v>-0.69</v>
      </c>
      <c r="CI751">
        <v>0</v>
      </c>
      <c r="CJ751">
        <v>-10.4</v>
      </c>
      <c r="CK751">
        <v>99</v>
      </c>
      <c r="CL751">
        <v>-0.53</v>
      </c>
      <c r="CM751">
        <v>99</v>
      </c>
      <c r="CN751">
        <v>-0.28999999999999998</v>
      </c>
      <c r="CO751">
        <v>98</v>
      </c>
      <c r="CP751">
        <v>-8.6</v>
      </c>
      <c r="CQ751">
        <v>80</v>
      </c>
      <c r="CR751">
        <v>0</v>
      </c>
      <c r="CS751">
        <v>0</v>
      </c>
      <c r="CT751">
        <v>-11.2</v>
      </c>
      <c r="CU751">
        <v>81</v>
      </c>
      <c r="CV751">
        <v>0.02</v>
      </c>
      <c r="CW751">
        <v>47</v>
      </c>
      <c r="CX751" t="s">
        <v>5893</v>
      </c>
    </row>
    <row r="752" spans="1:102" x14ac:dyDescent="0.3">
      <c r="A752" t="str">
        <f>HYPERLINK("https://webapp.icbf.com/v2/app/bull-search/view/1417505930","FR4314")</f>
        <v>FR4314</v>
      </c>
      <c r="B752" t="s">
        <v>15547</v>
      </c>
      <c r="C752" t="s">
        <v>15514</v>
      </c>
      <c r="D752" s="1">
        <v>42049</v>
      </c>
      <c r="E752" t="s">
        <v>92</v>
      </c>
      <c r="F752">
        <v>100</v>
      </c>
      <c r="G752" t="s">
        <v>109</v>
      </c>
      <c r="H752">
        <v>163.47</v>
      </c>
      <c r="I752">
        <v>74</v>
      </c>
      <c r="J752">
        <v>86.04</v>
      </c>
      <c r="K752">
        <v>91</v>
      </c>
      <c r="L752">
        <v>29.18</v>
      </c>
      <c r="M752">
        <v>76</v>
      </c>
      <c r="N752">
        <v>38.9</v>
      </c>
      <c r="O752">
        <v>74</v>
      </c>
      <c r="P752">
        <v>-2.8</v>
      </c>
      <c r="Q752">
        <v>43</v>
      </c>
      <c r="R752">
        <v>12.93</v>
      </c>
      <c r="S752">
        <v>70</v>
      </c>
      <c r="T752">
        <v>-7.71</v>
      </c>
      <c r="U752">
        <v>37</v>
      </c>
      <c r="V752">
        <v>6.93</v>
      </c>
      <c r="W752">
        <v>55</v>
      </c>
      <c r="X752" t="s">
        <v>234</v>
      </c>
      <c r="Y752" t="s">
        <v>1923</v>
      </c>
      <c r="Z752" t="s">
        <v>96</v>
      </c>
      <c r="AA752" t="s">
        <v>2272</v>
      </c>
      <c r="AB752" t="s">
        <v>15548</v>
      </c>
      <c r="AC752">
        <v>0</v>
      </c>
      <c r="AD752">
        <v>0</v>
      </c>
      <c r="AE752">
        <v>91</v>
      </c>
      <c r="AF752">
        <v>536.28</v>
      </c>
      <c r="AG752">
        <v>17.73</v>
      </c>
      <c r="AH752">
        <v>16.57</v>
      </c>
      <c r="AI752">
        <v>-0.05</v>
      </c>
      <c r="AJ752">
        <v>-0.02</v>
      </c>
      <c r="AK752">
        <v>76</v>
      </c>
      <c r="AL752">
        <v>0</v>
      </c>
      <c r="AM752">
        <v>0</v>
      </c>
      <c r="AN752">
        <v>0.16</v>
      </c>
      <c r="AO752">
        <v>2.5099999999999998</v>
      </c>
      <c r="AP752">
        <v>80</v>
      </c>
      <c r="AQ752">
        <v>0</v>
      </c>
      <c r="AR752">
        <v>5.22</v>
      </c>
      <c r="AS752">
        <v>64</v>
      </c>
      <c r="AT752">
        <v>2.85</v>
      </c>
      <c r="AU752">
        <v>93</v>
      </c>
      <c r="AV752">
        <v>-3.55</v>
      </c>
      <c r="AW752">
        <v>84</v>
      </c>
      <c r="AX752">
        <v>-0.11</v>
      </c>
      <c r="AY752">
        <v>64</v>
      </c>
      <c r="AZ752">
        <v>5.36</v>
      </c>
      <c r="BA752">
        <v>40</v>
      </c>
      <c r="BB752">
        <v>4.82</v>
      </c>
      <c r="BC752">
        <v>35</v>
      </c>
      <c r="BD752">
        <v>0.01</v>
      </c>
      <c r="BE752">
        <v>-0.06</v>
      </c>
      <c r="BF752">
        <v>-0.2</v>
      </c>
      <c r="BG752">
        <v>87</v>
      </c>
      <c r="BH752">
        <v>-0.05</v>
      </c>
      <c r="BI752">
        <v>-28.14</v>
      </c>
      <c r="BJ752">
        <v>0</v>
      </c>
      <c r="BK752">
        <v>0</v>
      </c>
      <c r="BL752">
        <v>1.53</v>
      </c>
      <c r="BM752">
        <v>0.28000000000000003</v>
      </c>
      <c r="BN752">
        <v>0.6</v>
      </c>
      <c r="BO752">
        <v>0.51</v>
      </c>
      <c r="BP752">
        <v>-0.18</v>
      </c>
      <c r="BQ752">
        <v>1.85</v>
      </c>
      <c r="BR752">
        <v>0.16</v>
      </c>
      <c r="BS752">
        <v>1.86</v>
      </c>
      <c r="BT752">
        <v>0.44</v>
      </c>
      <c r="BU752">
        <v>4.3099999999999996</v>
      </c>
      <c r="BV752">
        <v>3.29</v>
      </c>
      <c r="BW752">
        <v>2.25</v>
      </c>
      <c r="BX752">
        <v>3.15</v>
      </c>
      <c r="BY752">
        <v>0.67</v>
      </c>
      <c r="BZ752">
        <v>-1.25</v>
      </c>
      <c r="CA752">
        <v>2.9</v>
      </c>
      <c r="CB752">
        <v>3.25</v>
      </c>
      <c r="CC752">
        <v>1.33</v>
      </c>
      <c r="CD752">
        <v>0.26</v>
      </c>
      <c r="CE752">
        <v>0.89</v>
      </c>
      <c r="CF752">
        <v>0.96</v>
      </c>
      <c r="CG752">
        <v>0</v>
      </c>
      <c r="CH752">
        <v>1.47</v>
      </c>
      <c r="CI752">
        <v>0</v>
      </c>
      <c r="CJ752">
        <v>0.6</v>
      </c>
      <c r="CK752">
        <v>44</v>
      </c>
      <c r="CL752">
        <v>-1.39</v>
      </c>
      <c r="CM752">
        <v>43</v>
      </c>
      <c r="CN752">
        <v>-0.82</v>
      </c>
      <c r="CO752">
        <v>43</v>
      </c>
      <c r="CP752">
        <v>7.4</v>
      </c>
      <c r="CQ752">
        <v>38</v>
      </c>
      <c r="CR752">
        <v>0</v>
      </c>
      <c r="CS752">
        <v>0</v>
      </c>
      <c r="CT752">
        <v>24.2</v>
      </c>
      <c r="CU752">
        <v>37</v>
      </c>
      <c r="CV752">
        <v>0.26</v>
      </c>
      <c r="CW752">
        <v>34</v>
      </c>
      <c r="CX752" t="s">
        <v>401</v>
      </c>
    </row>
    <row r="753" spans="1:102" x14ac:dyDescent="0.3">
      <c r="A753" t="str">
        <f>HYPERLINK("https://webapp.icbf.com/v2/app/bull-search/view/586060236","CGQ")</f>
        <v>CGQ</v>
      </c>
      <c r="B753" t="s">
        <v>12834</v>
      </c>
      <c r="C753" t="s">
        <v>12835</v>
      </c>
      <c r="D753" s="1">
        <v>38279</v>
      </c>
      <c r="E753" t="s">
        <v>92</v>
      </c>
      <c r="F753">
        <v>100</v>
      </c>
      <c r="G753" t="s">
        <v>93</v>
      </c>
      <c r="H753">
        <v>163.41999999999999</v>
      </c>
      <c r="I753">
        <v>97</v>
      </c>
      <c r="J753">
        <v>85.66</v>
      </c>
      <c r="K753">
        <v>99</v>
      </c>
      <c r="L753">
        <v>28.51</v>
      </c>
      <c r="M753">
        <v>94</v>
      </c>
      <c r="N753">
        <v>42.49</v>
      </c>
      <c r="O753">
        <v>98</v>
      </c>
      <c r="P753">
        <v>3.79</v>
      </c>
      <c r="Q753">
        <v>99</v>
      </c>
      <c r="R753">
        <v>7.26</v>
      </c>
      <c r="S753">
        <v>94</v>
      </c>
      <c r="T753">
        <v>-7.12</v>
      </c>
      <c r="U753">
        <v>99</v>
      </c>
      <c r="V753">
        <v>2.83</v>
      </c>
      <c r="W753">
        <v>93</v>
      </c>
      <c r="X753" t="s">
        <v>102</v>
      </c>
      <c r="Y753" t="s">
        <v>282</v>
      </c>
      <c r="Z753" t="s">
        <v>96</v>
      </c>
      <c r="AA753" t="s">
        <v>316</v>
      </c>
      <c r="AB753" t="s">
        <v>12836</v>
      </c>
      <c r="AC753">
        <v>1587</v>
      </c>
      <c r="AD753">
        <v>452</v>
      </c>
      <c r="AE753">
        <v>99</v>
      </c>
      <c r="AF753">
        <v>359.24</v>
      </c>
      <c r="AG753">
        <v>13.56</v>
      </c>
      <c r="AH753">
        <v>15.27</v>
      </c>
      <c r="AI753">
        <v>-0.01</v>
      </c>
      <c r="AJ753">
        <v>0.05</v>
      </c>
      <c r="AK753">
        <v>94</v>
      </c>
      <c r="AL753">
        <v>1840</v>
      </c>
      <c r="AM753">
        <v>543</v>
      </c>
      <c r="AN753">
        <v>-1.83</v>
      </c>
      <c r="AO753">
        <v>0.44</v>
      </c>
      <c r="AP753">
        <v>3185</v>
      </c>
      <c r="AQ753">
        <v>19</v>
      </c>
      <c r="AR753">
        <v>5.95</v>
      </c>
      <c r="AS753">
        <v>97</v>
      </c>
      <c r="AT753">
        <v>2.12</v>
      </c>
      <c r="AU753">
        <v>99</v>
      </c>
      <c r="AV753">
        <v>-3.48</v>
      </c>
      <c r="AW753">
        <v>99</v>
      </c>
      <c r="AX753">
        <v>-0.2</v>
      </c>
      <c r="AY753">
        <v>98</v>
      </c>
      <c r="AZ753">
        <v>5.95</v>
      </c>
      <c r="BA753">
        <v>95</v>
      </c>
      <c r="BB753">
        <v>4.5999999999999996</v>
      </c>
      <c r="BC753">
        <v>95</v>
      </c>
      <c r="BD753">
        <v>0</v>
      </c>
      <c r="BE753">
        <v>-0.03</v>
      </c>
      <c r="BF753">
        <v>-0.11</v>
      </c>
      <c r="BG753">
        <v>99</v>
      </c>
      <c r="BH753">
        <v>0.12</v>
      </c>
      <c r="BI753">
        <v>4.75</v>
      </c>
      <c r="BJ753">
        <v>85</v>
      </c>
      <c r="BK753">
        <v>33</v>
      </c>
      <c r="BL753">
        <v>0.72</v>
      </c>
      <c r="BM753">
        <v>2.0699999999999998</v>
      </c>
      <c r="BN753">
        <v>0.47</v>
      </c>
      <c r="BO753">
        <v>-0.84</v>
      </c>
      <c r="BP753">
        <v>-0.94</v>
      </c>
      <c r="BQ753">
        <v>1.69</v>
      </c>
      <c r="BR753">
        <v>-2.1</v>
      </c>
      <c r="BS753">
        <v>-0.15</v>
      </c>
      <c r="BT753">
        <v>1.01</v>
      </c>
      <c r="BU753">
        <v>0.49</v>
      </c>
      <c r="BV753">
        <v>0.46</v>
      </c>
      <c r="BW753">
        <v>0.28999999999999998</v>
      </c>
      <c r="BX753">
        <v>1.07</v>
      </c>
      <c r="BY753">
        <v>0.25</v>
      </c>
      <c r="BZ753">
        <v>-1.83</v>
      </c>
      <c r="CA753">
        <v>0.49</v>
      </c>
      <c r="CB753">
        <v>0.44</v>
      </c>
      <c r="CC753">
        <v>0.09</v>
      </c>
      <c r="CD753">
        <v>2.09</v>
      </c>
      <c r="CE753">
        <v>-0.87</v>
      </c>
      <c r="CF753">
        <v>1.05</v>
      </c>
      <c r="CG753">
        <v>0</v>
      </c>
      <c r="CH753">
        <v>0.38</v>
      </c>
      <c r="CI753">
        <v>0</v>
      </c>
      <c r="CJ753">
        <v>4.0999999999999996</v>
      </c>
      <c r="CK753">
        <v>99</v>
      </c>
      <c r="CL753">
        <v>-0.61</v>
      </c>
      <c r="CM753">
        <v>99</v>
      </c>
      <c r="CN753">
        <v>-0.25</v>
      </c>
      <c r="CO753">
        <v>99</v>
      </c>
      <c r="CP753">
        <v>10</v>
      </c>
      <c r="CQ753">
        <v>99</v>
      </c>
      <c r="CR753">
        <v>0</v>
      </c>
      <c r="CS753">
        <v>0</v>
      </c>
      <c r="CT753">
        <v>23.4</v>
      </c>
      <c r="CU753">
        <v>99</v>
      </c>
      <c r="CV753">
        <v>0.26</v>
      </c>
      <c r="CW753">
        <v>49</v>
      </c>
      <c r="CX753" t="s">
        <v>1278</v>
      </c>
    </row>
    <row r="754" spans="1:102" x14ac:dyDescent="0.3">
      <c r="A754" t="str">
        <f>HYPERLINK("https://webapp.icbf.com/v2/app/bull-search/view/1196708378","S2315")</f>
        <v>S2315</v>
      </c>
      <c r="B754" t="s">
        <v>9387</v>
      </c>
      <c r="C754" t="s">
        <v>9388</v>
      </c>
      <c r="D754" s="1">
        <v>41422</v>
      </c>
      <c r="E754" t="s">
        <v>92</v>
      </c>
      <c r="F754">
        <v>100</v>
      </c>
      <c r="G754" t="s">
        <v>109</v>
      </c>
      <c r="H754">
        <v>163.35</v>
      </c>
      <c r="I754">
        <v>58</v>
      </c>
      <c r="J754">
        <v>94.78</v>
      </c>
      <c r="K754">
        <v>76</v>
      </c>
      <c r="L754">
        <v>28.31</v>
      </c>
      <c r="M754">
        <v>70</v>
      </c>
      <c r="N754">
        <v>38.520000000000003</v>
      </c>
      <c r="O754">
        <v>39</v>
      </c>
      <c r="P754">
        <v>-6.2</v>
      </c>
      <c r="Q754">
        <v>28</v>
      </c>
      <c r="R754">
        <v>10.02</v>
      </c>
      <c r="S754">
        <v>51</v>
      </c>
      <c r="T754">
        <v>-2.23</v>
      </c>
      <c r="U754">
        <v>13</v>
      </c>
      <c r="V754">
        <v>0.15</v>
      </c>
      <c r="W754">
        <v>11</v>
      </c>
      <c r="X754" t="s">
        <v>234</v>
      </c>
      <c r="Y754" t="s">
        <v>411</v>
      </c>
      <c r="Z754" t="s">
        <v>96</v>
      </c>
      <c r="AA754" t="s">
        <v>5654</v>
      </c>
      <c r="AB754" t="s">
        <v>7890</v>
      </c>
      <c r="AC754">
        <v>0</v>
      </c>
      <c r="AD754">
        <v>0</v>
      </c>
      <c r="AE754">
        <v>76</v>
      </c>
      <c r="AF754">
        <v>815.91</v>
      </c>
      <c r="AG754">
        <v>16.39</v>
      </c>
      <c r="AH754">
        <v>22.81</v>
      </c>
      <c r="AI754">
        <v>-0.23</v>
      </c>
      <c r="AJ754">
        <v>-0.08</v>
      </c>
      <c r="AK754">
        <v>70</v>
      </c>
      <c r="AL754">
        <v>0</v>
      </c>
      <c r="AM754">
        <v>0</v>
      </c>
      <c r="AN754">
        <v>0.99</v>
      </c>
      <c r="AO754">
        <v>3.28</v>
      </c>
      <c r="AP754">
        <v>4</v>
      </c>
      <c r="AQ754">
        <v>0</v>
      </c>
      <c r="AR754">
        <v>6.2</v>
      </c>
      <c r="AS754">
        <v>30</v>
      </c>
      <c r="AT754">
        <v>2.9</v>
      </c>
      <c r="AU754">
        <v>81</v>
      </c>
      <c r="AV754">
        <v>-3.32</v>
      </c>
      <c r="AW754">
        <v>30</v>
      </c>
      <c r="AX754">
        <v>-0.84</v>
      </c>
      <c r="AY754">
        <v>27</v>
      </c>
      <c r="AZ754">
        <v>5.23</v>
      </c>
      <c r="BA754">
        <v>15</v>
      </c>
      <c r="BB754">
        <v>4.37</v>
      </c>
      <c r="BC754">
        <v>9</v>
      </c>
      <c r="BD754">
        <v>-0.02</v>
      </c>
      <c r="BE754">
        <v>-0.03</v>
      </c>
      <c r="BF754">
        <v>-0.14000000000000001</v>
      </c>
      <c r="BG754">
        <v>82</v>
      </c>
      <c r="BH754">
        <v>-0.13</v>
      </c>
      <c r="BI754">
        <v>-15.51</v>
      </c>
      <c r="BJ754">
        <v>2</v>
      </c>
      <c r="BK754">
        <v>2</v>
      </c>
      <c r="BL754">
        <v>1.61</v>
      </c>
      <c r="BM754">
        <v>-1.35</v>
      </c>
      <c r="BN754">
        <v>-1.06</v>
      </c>
      <c r="BO754">
        <v>0.95</v>
      </c>
      <c r="BP754">
        <v>1.93</v>
      </c>
      <c r="BQ754">
        <v>1.01</v>
      </c>
      <c r="BR754">
        <v>1.01</v>
      </c>
      <c r="BS754">
        <v>-0.45</v>
      </c>
      <c r="BT754">
        <v>-0.72</v>
      </c>
      <c r="BU754">
        <v>3.38</v>
      </c>
      <c r="BV754">
        <v>3.55</v>
      </c>
      <c r="BW754">
        <v>3.37</v>
      </c>
      <c r="BX754">
        <v>3</v>
      </c>
      <c r="BY754">
        <v>1.06</v>
      </c>
      <c r="BZ754">
        <v>-1</v>
      </c>
      <c r="CA754">
        <v>2.59</v>
      </c>
      <c r="CB754">
        <v>3.08</v>
      </c>
      <c r="CC754">
        <v>0.21</v>
      </c>
      <c r="CD754">
        <v>-0.91</v>
      </c>
      <c r="CE754">
        <v>1.22</v>
      </c>
      <c r="CF754">
        <v>1.05</v>
      </c>
      <c r="CG754">
        <v>0</v>
      </c>
      <c r="CH754">
        <v>2.4500000000000002</v>
      </c>
      <c r="CI754">
        <v>0</v>
      </c>
      <c r="CJ754">
        <v>-0.2</v>
      </c>
      <c r="CK754">
        <v>30</v>
      </c>
      <c r="CL754">
        <v>-1.1000000000000001</v>
      </c>
      <c r="CM754">
        <v>29</v>
      </c>
      <c r="CN754">
        <v>-0.46</v>
      </c>
      <c r="CO754">
        <v>28</v>
      </c>
      <c r="CP754">
        <v>0.3</v>
      </c>
      <c r="CQ754">
        <v>17</v>
      </c>
      <c r="CR754">
        <v>0</v>
      </c>
      <c r="CS754">
        <v>0</v>
      </c>
      <c r="CT754">
        <v>16.8</v>
      </c>
      <c r="CU754">
        <v>13</v>
      </c>
      <c r="CV754">
        <v>0.33</v>
      </c>
      <c r="CW754">
        <v>8</v>
      </c>
      <c r="CX754" t="s">
        <v>2423</v>
      </c>
    </row>
    <row r="755" spans="1:102" x14ac:dyDescent="0.3">
      <c r="A755" t="str">
        <f>HYPERLINK("https://webapp.icbf.com/v2/app/bull-search/view/423983677","KTK")</f>
        <v>KTK</v>
      </c>
      <c r="B755" t="s">
        <v>4559</v>
      </c>
      <c r="C755" t="s">
        <v>4560</v>
      </c>
      <c r="D755" s="1">
        <v>38083</v>
      </c>
      <c r="E755" t="s">
        <v>92</v>
      </c>
      <c r="F755">
        <v>100</v>
      </c>
      <c r="G755" t="s">
        <v>93</v>
      </c>
      <c r="H755">
        <v>163.19999999999999</v>
      </c>
      <c r="I755">
        <v>89</v>
      </c>
      <c r="J755">
        <v>85.98</v>
      </c>
      <c r="K755">
        <v>98</v>
      </c>
      <c r="L755">
        <v>24.61</v>
      </c>
      <c r="M755">
        <v>80</v>
      </c>
      <c r="N755">
        <v>44.09</v>
      </c>
      <c r="O755">
        <v>90</v>
      </c>
      <c r="P755">
        <v>-1.33</v>
      </c>
      <c r="Q755">
        <v>96</v>
      </c>
      <c r="R755">
        <v>9.83</v>
      </c>
      <c r="S755">
        <v>81</v>
      </c>
      <c r="T755">
        <v>-7.34</v>
      </c>
      <c r="U755">
        <v>91</v>
      </c>
      <c r="V755">
        <v>7.36</v>
      </c>
      <c r="W755">
        <v>82</v>
      </c>
      <c r="X755" t="s">
        <v>94</v>
      </c>
      <c r="Y755" t="s">
        <v>1153</v>
      </c>
      <c r="Z755" t="s">
        <v>96</v>
      </c>
      <c r="AA755" t="s">
        <v>316</v>
      </c>
      <c r="AB755" t="s">
        <v>4561</v>
      </c>
      <c r="AC755">
        <v>232</v>
      </c>
      <c r="AD755">
        <v>94</v>
      </c>
      <c r="AE755">
        <v>98</v>
      </c>
      <c r="AF755">
        <v>275.02</v>
      </c>
      <c r="AG755">
        <v>17.7</v>
      </c>
      <c r="AH755">
        <v>12.57</v>
      </c>
      <c r="AI755">
        <v>0.11</v>
      </c>
      <c r="AJ755">
        <v>0.05</v>
      </c>
      <c r="AK755">
        <v>80</v>
      </c>
      <c r="AL755">
        <v>253</v>
      </c>
      <c r="AM755">
        <v>104</v>
      </c>
      <c r="AN755">
        <v>-1.57</v>
      </c>
      <c r="AO755">
        <v>0.39</v>
      </c>
      <c r="AP755">
        <v>399</v>
      </c>
      <c r="AQ755">
        <v>2</v>
      </c>
      <c r="AR755">
        <v>4.6399999999999997</v>
      </c>
      <c r="AS755">
        <v>76</v>
      </c>
      <c r="AT755">
        <v>1.88</v>
      </c>
      <c r="AU755">
        <v>91</v>
      </c>
      <c r="AV755">
        <v>-3.62</v>
      </c>
      <c r="AW755">
        <v>98</v>
      </c>
      <c r="AX755">
        <v>-0.88</v>
      </c>
      <c r="AY755">
        <v>89</v>
      </c>
      <c r="AZ755">
        <v>7.39</v>
      </c>
      <c r="BA755">
        <v>75</v>
      </c>
      <c r="BB755">
        <v>5.25</v>
      </c>
      <c r="BC755">
        <v>74</v>
      </c>
      <c r="BD755">
        <v>-0.03</v>
      </c>
      <c r="BE755">
        <v>-0.04</v>
      </c>
      <c r="BF755">
        <v>-0.1</v>
      </c>
      <c r="BG755">
        <v>91</v>
      </c>
      <c r="BH755">
        <v>0.22</v>
      </c>
      <c r="BI755">
        <v>1.71</v>
      </c>
      <c r="BJ755">
        <v>26</v>
      </c>
      <c r="BK755">
        <v>17</v>
      </c>
      <c r="BL755">
        <v>0.69</v>
      </c>
      <c r="BM755">
        <v>2.37</v>
      </c>
      <c r="BN755">
        <v>0.83</v>
      </c>
      <c r="BO755">
        <v>-0.7</v>
      </c>
      <c r="BP755">
        <v>-1.51</v>
      </c>
      <c r="BQ755">
        <v>1.34</v>
      </c>
      <c r="BR755">
        <v>-0.99</v>
      </c>
      <c r="BS755">
        <v>-0.52</v>
      </c>
      <c r="BT755">
        <v>0.37</v>
      </c>
      <c r="BU755">
        <v>1.02</v>
      </c>
      <c r="BV755">
        <v>0.06</v>
      </c>
      <c r="BW755">
        <v>-0.45</v>
      </c>
      <c r="BX755">
        <v>1.17</v>
      </c>
      <c r="BY755">
        <v>-0.23</v>
      </c>
      <c r="BZ755">
        <v>-2.4700000000000002</v>
      </c>
      <c r="CA755">
        <v>0.47</v>
      </c>
      <c r="CB755">
        <v>0.64</v>
      </c>
      <c r="CC755">
        <v>-0.15</v>
      </c>
      <c r="CD755">
        <v>1.74</v>
      </c>
      <c r="CE755">
        <v>-0.67</v>
      </c>
      <c r="CF755">
        <v>1.23</v>
      </c>
      <c r="CG755">
        <v>0</v>
      </c>
      <c r="CH755">
        <v>-0.28000000000000003</v>
      </c>
      <c r="CI755">
        <v>0</v>
      </c>
      <c r="CJ755">
        <v>1.6</v>
      </c>
      <c r="CK755">
        <v>97</v>
      </c>
      <c r="CL755">
        <v>-0.77</v>
      </c>
      <c r="CM755">
        <v>96</v>
      </c>
      <c r="CN755">
        <v>-0.28000000000000003</v>
      </c>
      <c r="CO755">
        <v>95</v>
      </c>
      <c r="CP755">
        <v>7.5</v>
      </c>
      <c r="CQ755">
        <v>94</v>
      </c>
      <c r="CR755">
        <v>0</v>
      </c>
      <c r="CS755">
        <v>0</v>
      </c>
      <c r="CT755">
        <v>23.7</v>
      </c>
      <c r="CU755">
        <v>91</v>
      </c>
      <c r="CV755">
        <v>0.33</v>
      </c>
      <c r="CW755">
        <v>34</v>
      </c>
      <c r="CX755" t="s">
        <v>751</v>
      </c>
    </row>
    <row r="756" spans="1:102" x14ac:dyDescent="0.3">
      <c r="A756" t="str">
        <f>HYPERLINK("https://webapp.icbf.com/v2/app/bull-search/view/950251125","FYC")</f>
        <v>FYC</v>
      </c>
      <c r="B756" t="s">
        <v>8321</v>
      </c>
      <c r="C756" t="s">
        <v>8322</v>
      </c>
      <c r="D756" s="1">
        <v>40953</v>
      </c>
      <c r="E756" t="s">
        <v>92</v>
      </c>
      <c r="F756">
        <v>72</v>
      </c>
      <c r="G756" t="s">
        <v>93</v>
      </c>
      <c r="H756">
        <v>163.11000000000001</v>
      </c>
      <c r="I756">
        <v>86</v>
      </c>
      <c r="J756">
        <v>70.31</v>
      </c>
      <c r="K756">
        <v>97</v>
      </c>
      <c r="L756">
        <v>96.57</v>
      </c>
      <c r="M756">
        <v>77</v>
      </c>
      <c r="N756">
        <v>-1.07</v>
      </c>
      <c r="O756">
        <v>86</v>
      </c>
      <c r="P756">
        <v>-0.44</v>
      </c>
      <c r="Q756">
        <v>91</v>
      </c>
      <c r="R756">
        <v>-5.22</v>
      </c>
      <c r="S756">
        <v>79</v>
      </c>
      <c r="T756">
        <v>2.36</v>
      </c>
      <c r="U756">
        <v>83</v>
      </c>
      <c r="V756">
        <v>0.6</v>
      </c>
      <c r="W756">
        <v>72</v>
      </c>
      <c r="X756" t="s">
        <v>94</v>
      </c>
      <c r="Y756" t="s">
        <v>1976</v>
      </c>
      <c r="Z756" t="s">
        <v>96</v>
      </c>
      <c r="AA756" t="s">
        <v>7631</v>
      </c>
      <c r="AB756" t="s">
        <v>8323</v>
      </c>
      <c r="AC756">
        <v>102</v>
      </c>
      <c r="AD756">
        <v>68</v>
      </c>
      <c r="AE756">
        <v>97</v>
      </c>
      <c r="AF756">
        <v>-26.59</v>
      </c>
      <c r="AG756">
        <v>15.89</v>
      </c>
      <c r="AH756">
        <v>5.93</v>
      </c>
      <c r="AI756">
        <v>0.3</v>
      </c>
      <c r="AJ756">
        <v>0.12</v>
      </c>
      <c r="AK756">
        <v>77</v>
      </c>
      <c r="AL756">
        <v>109</v>
      </c>
      <c r="AM756">
        <v>75</v>
      </c>
      <c r="AN756">
        <v>-6.12</v>
      </c>
      <c r="AO756">
        <v>1.57</v>
      </c>
      <c r="AP756">
        <v>272</v>
      </c>
      <c r="AQ756">
        <v>3</v>
      </c>
      <c r="AR756">
        <v>9.01</v>
      </c>
      <c r="AS756">
        <v>72</v>
      </c>
      <c r="AT756">
        <v>3.49</v>
      </c>
      <c r="AU756">
        <v>89</v>
      </c>
      <c r="AV756">
        <v>-1</v>
      </c>
      <c r="AW756">
        <v>97</v>
      </c>
      <c r="AX756">
        <v>1.54</v>
      </c>
      <c r="AY756">
        <v>82</v>
      </c>
      <c r="AZ756">
        <v>6.59</v>
      </c>
      <c r="BA756">
        <v>66</v>
      </c>
      <c r="BB756">
        <v>4.4800000000000004</v>
      </c>
      <c r="BC756">
        <v>65</v>
      </c>
      <c r="BD756">
        <v>0.03</v>
      </c>
      <c r="BE756">
        <v>0</v>
      </c>
      <c r="BF756">
        <v>7.0000000000000007E-2</v>
      </c>
      <c r="BG756">
        <v>89</v>
      </c>
      <c r="BH756">
        <v>-0.1</v>
      </c>
      <c r="BI756">
        <v>-13.5</v>
      </c>
      <c r="BJ756">
        <v>34</v>
      </c>
      <c r="BK756">
        <v>21</v>
      </c>
      <c r="BL756">
        <v>-1.91</v>
      </c>
      <c r="BM756">
        <v>2.96</v>
      </c>
      <c r="BN756">
        <v>-1.27</v>
      </c>
      <c r="BO756">
        <v>-2.63</v>
      </c>
      <c r="BP756">
        <v>0.7</v>
      </c>
      <c r="BQ756">
        <v>-0.56999999999999995</v>
      </c>
      <c r="BR756">
        <v>-2.29</v>
      </c>
      <c r="BS756">
        <v>1.9</v>
      </c>
      <c r="BT756">
        <v>1.9</v>
      </c>
      <c r="BU756">
        <v>-2.2599999999999998</v>
      </c>
      <c r="BV756">
        <v>-1.95</v>
      </c>
      <c r="BW756">
        <v>-2.2799999999999998</v>
      </c>
      <c r="BX756">
        <v>-3.95</v>
      </c>
      <c r="BY756">
        <v>-1.41</v>
      </c>
      <c r="BZ756">
        <v>-0.16</v>
      </c>
      <c r="CA756">
        <v>-1.1299999999999999</v>
      </c>
      <c r="CB756">
        <v>-1.99</v>
      </c>
      <c r="CC756">
        <v>1.24</v>
      </c>
      <c r="CD756">
        <v>3.72</v>
      </c>
      <c r="CE756">
        <v>-1.56</v>
      </c>
      <c r="CF756">
        <v>-0.67</v>
      </c>
      <c r="CG756">
        <v>0</v>
      </c>
      <c r="CH756">
        <v>-0.87</v>
      </c>
      <c r="CI756">
        <v>0</v>
      </c>
      <c r="CJ756">
        <v>-1.6</v>
      </c>
      <c r="CK756">
        <v>93</v>
      </c>
      <c r="CL756">
        <v>-0.15</v>
      </c>
      <c r="CM756">
        <v>91</v>
      </c>
      <c r="CN756">
        <v>-0.32</v>
      </c>
      <c r="CO756">
        <v>90</v>
      </c>
      <c r="CP756">
        <v>-2.9</v>
      </c>
      <c r="CQ756">
        <v>81</v>
      </c>
      <c r="CR756">
        <v>0</v>
      </c>
      <c r="CS756">
        <v>0</v>
      </c>
      <c r="CT756">
        <v>10.6</v>
      </c>
      <c r="CU756">
        <v>83</v>
      </c>
      <c r="CV756">
        <v>-0.18</v>
      </c>
      <c r="CW756">
        <v>45</v>
      </c>
      <c r="CX756" t="s">
        <v>7941</v>
      </c>
    </row>
    <row r="757" spans="1:102" x14ac:dyDescent="0.3">
      <c r="A757" t="str">
        <f>HYPERLINK("https://webapp.icbf.com/v2/app/bull-search/view/985442622","KSB")</f>
        <v>KSB</v>
      </c>
      <c r="B757" t="s">
        <v>378</v>
      </c>
      <c r="C757" t="s">
        <v>379</v>
      </c>
      <c r="D757" s="1">
        <v>40729</v>
      </c>
      <c r="E757" t="s">
        <v>92</v>
      </c>
      <c r="F757">
        <v>100</v>
      </c>
      <c r="G757" t="s">
        <v>93</v>
      </c>
      <c r="H757">
        <v>162.96</v>
      </c>
      <c r="I757">
        <v>92</v>
      </c>
      <c r="J757">
        <v>34.21</v>
      </c>
      <c r="K757">
        <v>99</v>
      </c>
      <c r="L757">
        <v>84.35</v>
      </c>
      <c r="M757">
        <v>87</v>
      </c>
      <c r="N757">
        <v>49.76</v>
      </c>
      <c r="O757">
        <v>95</v>
      </c>
      <c r="P757">
        <v>-8.02</v>
      </c>
      <c r="Q757">
        <v>98</v>
      </c>
      <c r="R757">
        <v>9.31</v>
      </c>
      <c r="S757">
        <v>86</v>
      </c>
      <c r="T757">
        <v>-12.37</v>
      </c>
      <c r="U757">
        <v>90</v>
      </c>
      <c r="V757">
        <v>5.72</v>
      </c>
      <c r="W757">
        <v>77</v>
      </c>
      <c r="X757" t="s">
        <v>94</v>
      </c>
      <c r="Y757" t="s">
        <v>375</v>
      </c>
      <c r="Z757" t="s">
        <v>96</v>
      </c>
      <c r="AA757" t="s">
        <v>380</v>
      </c>
      <c r="AB757" t="s">
        <v>381</v>
      </c>
      <c r="AC757">
        <v>876</v>
      </c>
      <c r="AD757">
        <v>337</v>
      </c>
      <c r="AE757">
        <v>99</v>
      </c>
      <c r="AF757">
        <v>67.75</v>
      </c>
      <c r="AG757">
        <v>5.84</v>
      </c>
      <c r="AH757">
        <v>4.79</v>
      </c>
      <c r="AI757">
        <v>0.06</v>
      </c>
      <c r="AJ757">
        <v>0.04</v>
      </c>
      <c r="AK757">
        <v>87</v>
      </c>
      <c r="AL757">
        <v>712</v>
      </c>
      <c r="AM757">
        <v>301</v>
      </c>
      <c r="AN757">
        <v>-4.38</v>
      </c>
      <c r="AO757">
        <v>2.35</v>
      </c>
      <c r="AP757">
        <v>1781</v>
      </c>
      <c r="AQ757">
        <v>6</v>
      </c>
      <c r="AR757">
        <v>5.81</v>
      </c>
      <c r="AS757">
        <v>91</v>
      </c>
      <c r="AT757">
        <v>2.63</v>
      </c>
      <c r="AU757">
        <v>98</v>
      </c>
      <c r="AV757">
        <v>-4.62</v>
      </c>
      <c r="AW757">
        <v>99</v>
      </c>
      <c r="AX757">
        <v>-0.44</v>
      </c>
      <c r="AY757">
        <v>97</v>
      </c>
      <c r="AZ757">
        <v>5.33</v>
      </c>
      <c r="BA757">
        <v>89</v>
      </c>
      <c r="BB757">
        <v>4.58</v>
      </c>
      <c r="BC757">
        <v>79</v>
      </c>
      <c r="BD757">
        <v>-0.06</v>
      </c>
      <c r="BE757">
        <v>-0.06</v>
      </c>
      <c r="BF757">
        <v>0</v>
      </c>
      <c r="BG757">
        <v>97</v>
      </c>
      <c r="BH757">
        <v>-0.05</v>
      </c>
      <c r="BI757">
        <v>-24.22</v>
      </c>
      <c r="BJ757">
        <v>69</v>
      </c>
      <c r="BK757">
        <v>23</v>
      </c>
      <c r="BL757">
        <v>0.82</v>
      </c>
      <c r="BM757">
        <v>0.59</v>
      </c>
      <c r="BN757">
        <v>-0.22</v>
      </c>
      <c r="BO757">
        <v>-0.31</v>
      </c>
      <c r="BP757">
        <v>-0.52</v>
      </c>
      <c r="BQ757">
        <v>-0.32</v>
      </c>
      <c r="BR757">
        <v>-1.26</v>
      </c>
      <c r="BS757">
        <v>0.66</v>
      </c>
      <c r="BT757">
        <v>1.41</v>
      </c>
      <c r="BU757">
        <v>2.2599999999999998</v>
      </c>
      <c r="BV757">
        <v>1.24</v>
      </c>
      <c r="BW757">
        <v>0.83</v>
      </c>
      <c r="BX757">
        <v>2.67</v>
      </c>
      <c r="BY757">
        <v>0.66</v>
      </c>
      <c r="BZ757">
        <v>-0.18</v>
      </c>
      <c r="CA757">
        <v>1.2</v>
      </c>
      <c r="CB757">
        <v>1.1299999999999999</v>
      </c>
      <c r="CC757">
        <v>0.18</v>
      </c>
      <c r="CD757">
        <v>0.54</v>
      </c>
      <c r="CE757">
        <v>-0.33</v>
      </c>
      <c r="CF757">
        <v>0.12</v>
      </c>
      <c r="CG757">
        <v>0</v>
      </c>
      <c r="CH757">
        <v>0.61</v>
      </c>
      <c r="CI757">
        <v>0</v>
      </c>
      <c r="CJ757">
        <v>-1.8</v>
      </c>
      <c r="CK757">
        <v>99</v>
      </c>
      <c r="CL757">
        <v>-1.07</v>
      </c>
      <c r="CM757">
        <v>99</v>
      </c>
      <c r="CN757">
        <v>-0.34</v>
      </c>
      <c r="CO757">
        <v>99</v>
      </c>
      <c r="CP757">
        <v>10.199999999999999</v>
      </c>
      <c r="CQ757">
        <v>91</v>
      </c>
      <c r="CR757">
        <v>0</v>
      </c>
      <c r="CS757">
        <v>0</v>
      </c>
      <c r="CT757">
        <v>30.5</v>
      </c>
      <c r="CU757">
        <v>90</v>
      </c>
      <c r="CV757">
        <v>0.28000000000000003</v>
      </c>
      <c r="CW757">
        <v>46</v>
      </c>
      <c r="CX757" t="s">
        <v>316</v>
      </c>
    </row>
    <row r="758" spans="1:102" x14ac:dyDescent="0.3">
      <c r="A758" t="str">
        <f>HYPERLINK("https://webapp.icbf.com/v2/app/bull-search/view/1361575724","FR4113")</f>
        <v>FR4113</v>
      </c>
      <c r="B758" t="s">
        <v>426</v>
      </c>
      <c r="C758" t="s">
        <v>427</v>
      </c>
      <c r="D758" s="1">
        <v>41991</v>
      </c>
      <c r="E758" t="s">
        <v>92</v>
      </c>
      <c r="F758">
        <v>100</v>
      </c>
      <c r="G758" t="s">
        <v>109</v>
      </c>
      <c r="H758">
        <v>162.82</v>
      </c>
      <c r="I758">
        <v>73</v>
      </c>
      <c r="J758">
        <v>74.42</v>
      </c>
      <c r="K758">
        <v>91</v>
      </c>
      <c r="L758">
        <v>28.28</v>
      </c>
      <c r="M758">
        <v>76</v>
      </c>
      <c r="N758">
        <v>35.61</v>
      </c>
      <c r="O758">
        <v>66</v>
      </c>
      <c r="P758">
        <v>3.08</v>
      </c>
      <c r="Q758">
        <v>41</v>
      </c>
      <c r="R758">
        <v>17.77</v>
      </c>
      <c r="S758">
        <v>69</v>
      </c>
      <c r="T758">
        <v>-9.19</v>
      </c>
      <c r="U758">
        <v>37</v>
      </c>
      <c r="V758">
        <v>12.85</v>
      </c>
      <c r="W758">
        <v>54</v>
      </c>
      <c r="X758" t="s">
        <v>428</v>
      </c>
      <c r="Y758" t="s">
        <v>429</v>
      </c>
      <c r="Z758" t="s">
        <v>96</v>
      </c>
      <c r="AA758" t="s">
        <v>430</v>
      </c>
      <c r="AB758" t="s">
        <v>431</v>
      </c>
      <c r="AC758">
        <v>0</v>
      </c>
      <c r="AD758">
        <v>0</v>
      </c>
      <c r="AE758">
        <v>91</v>
      </c>
      <c r="AF758">
        <v>308.69</v>
      </c>
      <c r="AG758">
        <v>19.14</v>
      </c>
      <c r="AH758">
        <v>10.61</v>
      </c>
      <c r="AI758">
        <v>0.11</v>
      </c>
      <c r="AJ758">
        <v>0.01</v>
      </c>
      <c r="AK758">
        <v>76</v>
      </c>
      <c r="AL758">
        <v>0</v>
      </c>
      <c r="AM758">
        <v>0</v>
      </c>
      <c r="AN758">
        <v>0.35</v>
      </c>
      <c r="AO758">
        <v>2.63</v>
      </c>
      <c r="AP758">
        <v>29</v>
      </c>
      <c r="AQ758">
        <v>0</v>
      </c>
      <c r="AR758">
        <v>7.26</v>
      </c>
      <c r="AS758">
        <v>63</v>
      </c>
      <c r="AT758">
        <v>3.11</v>
      </c>
      <c r="AU758">
        <v>94</v>
      </c>
      <c r="AV758">
        <v>-3.81</v>
      </c>
      <c r="AW758">
        <v>65</v>
      </c>
      <c r="AX758">
        <v>-0.19</v>
      </c>
      <c r="AY758">
        <v>50</v>
      </c>
      <c r="AZ758">
        <v>6.02</v>
      </c>
      <c r="BA758">
        <v>36</v>
      </c>
      <c r="BB758">
        <v>4.32</v>
      </c>
      <c r="BC758">
        <v>36</v>
      </c>
      <c r="BD758">
        <v>-0.04</v>
      </c>
      <c r="BE758">
        <v>-0.08</v>
      </c>
      <c r="BF758">
        <v>-0.19</v>
      </c>
      <c r="BG758">
        <v>87</v>
      </c>
      <c r="BH758">
        <v>-7.0000000000000007E-2</v>
      </c>
      <c r="BI758">
        <v>-49.54</v>
      </c>
      <c r="BJ758">
        <v>0</v>
      </c>
      <c r="BK758">
        <v>0</v>
      </c>
      <c r="BL758">
        <v>1.67</v>
      </c>
      <c r="BM758">
        <v>0.87</v>
      </c>
      <c r="BN758">
        <v>-0.44</v>
      </c>
      <c r="BO758">
        <v>0.08</v>
      </c>
      <c r="BP758">
        <v>1.65</v>
      </c>
      <c r="BQ758">
        <v>2.34</v>
      </c>
      <c r="BR758">
        <v>-1.55</v>
      </c>
      <c r="BS758">
        <v>3.08</v>
      </c>
      <c r="BT758">
        <v>0.7</v>
      </c>
      <c r="BU758">
        <v>4.1399999999999997</v>
      </c>
      <c r="BV758">
        <v>3.53</v>
      </c>
      <c r="BW758">
        <v>1.83</v>
      </c>
      <c r="BX758">
        <v>4.18</v>
      </c>
      <c r="BY758">
        <v>2.62</v>
      </c>
      <c r="BZ758">
        <v>-2.54</v>
      </c>
      <c r="CA758">
        <v>3.54</v>
      </c>
      <c r="CB758">
        <v>3.28</v>
      </c>
      <c r="CC758">
        <v>2.4</v>
      </c>
      <c r="CD758">
        <v>1.07</v>
      </c>
      <c r="CE758">
        <v>-0.03</v>
      </c>
      <c r="CF758">
        <v>0.66</v>
      </c>
      <c r="CG758">
        <v>0</v>
      </c>
      <c r="CH758">
        <v>2.68</v>
      </c>
      <c r="CI758">
        <v>0</v>
      </c>
      <c r="CJ758">
        <v>1.9</v>
      </c>
      <c r="CK758">
        <v>42</v>
      </c>
      <c r="CL758">
        <v>-1.31</v>
      </c>
      <c r="CM758">
        <v>40</v>
      </c>
      <c r="CN758">
        <v>-1.03</v>
      </c>
      <c r="CO758">
        <v>40</v>
      </c>
      <c r="CP758">
        <v>12.8</v>
      </c>
      <c r="CQ758">
        <v>38</v>
      </c>
      <c r="CR758">
        <v>0</v>
      </c>
      <c r="CS758">
        <v>0</v>
      </c>
      <c r="CT758">
        <v>26.2</v>
      </c>
      <c r="CU758">
        <v>37</v>
      </c>
      <c r="CV758">
        <v>0.28000000000000003</v>
      </c>
      <c r="CW758">
        <v>33</v>
      </c>
      <c r="CX758" t="s">
        <v>432</v>
      </c>
    </row>
    <row r="759" spans="1:102" x14ac:dyDescent="0.3">
      <c r="A759" t="str">
        <f>HYPERLINK("https://webapp.icbf.com/v2/app/bull-search/view/1245446659","FR2384")</f>
        <v>FR2384</v>
      </c>
      <c r="B759" t="s">
        <v>13676</v>
      </c>
      <c r="C759" t="s">
        <v>13677</v>
      </c>
      <c r="D759" s="1">
        <v>42040</v>
      </c>
      <c r="E759" t="s">
        <v>92</v>
      </c>
      <c r="F759">
        <v>81</v>
      </c>
      <c r="G759" t="s">
        <v>93</v>
      </c>
      <c r="H759">
        <v>162.69999999999999</v>
      </c>
      <c r="I759">
        <v>79</v>
      </c>
      <c r="J759">
        <v>26.93</v>
      </c>
      <c r="K759">
        <v>94</v>
      </c>
      <c r="L759">
        <v>101.57</v>
      </c>
      <c r="M759">
        <v>71</v>
      </c>
      <c r="N759">
        <v>42.36</v>
      </c>
      <c r="O759">
        <v>81</v>
      </c>
      <c r="P759">
        <v>-8.4499999999999993</v>
      </c>
      <c r="Q759">
        <v>84</v>
      </c>
      <c r="R759">
        <v>3.29</v>
      </c>
      <c r="S759">
        <v>72</v>
      </c>
      <c r="T759">
        <v>10.64</v>
      </c>
      <c r="U759">
        <v>55</v>
      </c>
      <c r="V759">
        <v>-13.64</v>
      </c>
      <c r="W759">
        <v>65</v>
      </c>
      <c r="X759" t="s">
        <v>94</v>
      </c>
      <c r="Y759" t="s">
        <v>436</v>
      </c>
      <c r="Z759" t="s">
        <v>96</v>
      </c>
      <c r="AA759" t="s">
        <v>2235</v>
      </c>
      <c r="AB759" t="s">
        <v>13678</v>
      </c>
      <c r="AC759">
        <v>77</v>
      </c>
      <c r="AD759">
        <v>56</v>
      </c>
      <c r="AE759">
        <v>94</v>
      </c>
      <c r="AF759">
        <v>-211.69</v>
      </c>
      <c r="AG759">
        <v>5.88</v>
      </c>
      <c r="AH759">
        <v>-0.74</v>
      </c>
      <c r="AI759">
        <v>0.26</v>
      </c>
      <c r="AJ759">
        <v>0.12</v>
      </c>
      <c r="AK759">
        <v>71</v>
      </c>
      <c r="AL759">
        <v>0</v>
      </c>
      <c r="AM759">
        <v>0</v>
      </c>
      <c r="AN759">
        <v>-5.52</v>
      </c>
      <c r="AO759">
        <v>2.58</v>
      </c>
      <c r="AP759">
        <v>203</v>
      </c>
      <c r="AQ759">
        <v>0</v>
      </c>
      <c r="AR759">
        <v>4.22</v>
      </c>
      <c r="AS759">
        <v>66</v>
      </c>
      <c r="AT759">
        <v>1.72</v>
      </c>
      <c r="AU759">
        <v>86</v>
      </c>
      <c r="AV759">
        <v>-3.06</v>
      </c>
      <c r="AW759">
        <v>96</v>
      </c>
      <c r="AX759">
        <v>-0.84</v>
      </c>
      <c r="AY759">
        <v>77</v>
      </c>
      <c r="AZ759">
        <v>6.28</v>
      </c>
      <c r="BA759">
        <v>63</v>
      </c>
      <c r="BB759">
        <v>5.35</v>
      </c>
      <c r="BC759">
        <v>45</v>
      </c>
      <c r="BD759">
        <v>-0.04</v>
      </c>
      <c r="BE759">
        <v>-0.01</v>
      </c>
      <c r="BF759">
        <v>0.01</v>
      </c>
      <c r="BG759">
        <v>83</v>
      </c>
      <c r="BH759">
        <v>-0.26</v>
      </c>
      <c r="BI759">
        <v>13.91</v>
      </c>
      <c r="BJ759">
        <v>0</v>
      </c>
      <c r="BK759">
        <v>0</v>
      </c>
      <c r="BL759">
        <v>-0.92</v>
      </c>
      <c r="BM759">
        <v>1.73</v>
      </c>
      <c r="BN759">
        <v>0.5</v>
      </c>
      <c r="BO759">
        <v>-1.1000000000000001</v>
      </c>
      <c r="BP759">
        <v>0.52</v>
      </c>
      <c r="BQ759">
        <v>1.1499999999999999</v>
      </c>
      <c r="BR759">
        <v>-0.88</v>
      </c>
      <c r="BS759">
        <v>0.26</v>
      </c>
      <c r="BT759">
        <v>0.21</v>
      </c>
      <c r="BU759">
        <v>-0.5</v>
      </c>
      <c r="BV759">
        <v>-1.54</v>
      </c>
      <c r="BW759">
        <v>-1.4</v>
      </c>
      <c r="BX759">
        <v>-0.86</v>
      </c>
      <c r="BY759">
        <v>-1.26</v>
      </c>
      <c r="BZ759">
        <v>1.61</v>
      </c>
      <c r="CA759">
        <v>-0.89</v>
      </c>
      <c r="CB759">
        <v>-0.93</v>
      </c>
      <c r="CC759">
        <v>0.06</v>
      </c>
      <c r="CD759">
        <v>1.93</v>
      </c>
      <c r="CE759">
        <v>-1.06</v>
      </c>
      <c r="CF759">
        <v>-0.27</v>
      </c>
      <c r="CG759">
        <v>0</v>
      </c>
      <c r="CH759">
        <v>-0.78</v>
      </c>
      <c r="CI759">
        <v>0</v>
      </c>
      <c r="CJ759">
        <v>-3.7</v>
      </c>
      <c r="CK759">
        <v>87</v>
      </c>
      <c r="CL759">
        <v>-0.53</v>
      </c>
      <c r="CM759">
        <v>84</v>
      </c>
      <c r="CN759">
        <v>-0.28999999999999998</v>
      </c>
      <c r="CO759">
        <v>83</v>
      </c>
      <c r="CP759">
        <v>-8.5</v>
      </c>
      <c r="CQ759">
        <v>59</v>
      </c>
      <c r="CR759">
        <v>0</v>
      </c>
      <c r="CS759">
        <v>0</v>
      </c>
      <c r="CT759">
        <v>-0.6</v>
      </c>
      <c r="CU759">
        <v>55</v>
      </c>
      <c r="CV759">
        <v>0.05</v>
      </c>
      <c r="CW759">
        <v>44</v>
      </c>
      <c r="CX759" t="s">
        <v>1883</v>
      </c>
    </row>
    <row r="760" spans="1:102" x14ac:dyDescent="0.3">
      <c r="A760" t="str">
        <f>HYPERLINK("https://webapp.icbf.com/v2/app/bull-search/view/1492482057","S3211")</f>
        <v>S3211</v>
      </c>
      <c r="B760" t="s">
        <v>9496</v>
      </c>
      <c r="C760" t="s">
        <v>9497</v>
      </c>
      <c r="D760" s="1">
        <v>42247</v>
      </c>
      <c r="E760" t="s">
        <v>92</v>
      </c>
      <c r="F760">
        <v>100</v>
      </c>
      <c r="G760" t="s">
        <v>435</v>
      </c>
      <c r="H760">
        <v>162.5</v>
      </c>
      <c r="I760">
        <v>68</v>
      </c>
      <c r="J760">
        <v>117.4</v>
      </c>
      <c r="K760">
        <v>88</v>
      </c>
      <c r="L760">
        <v>-6.46</v>
      </c>
      <c r="M760">
        <v>67</v>
      </c>
      <c r="N760">
        <v>45.9</v>
      </c>
      <c r="O760">
        <v>56</v>
      </c>
      <c r="P760">
        <v>3.71</v>
      </c>
      <c r="Q760">
        <v>42</v>
      </c>
      <c r="R760">
        <v>10.84</v>
      </c>
      <c r="S760">
        <v>62</v>
      </c>
      <c r="T760">
        <v>-12.07</v>
      </c>
      <c r="U760">
        <v>36</v>
      </c>
      <c r="V760">
        <v>3.18</v>
      </c>
      <c r="W760">
        <v>52</v>
      </c>
      <c r="X760" t="s">
        <v>110</v>
      </c>
      <c r="Y760" t="s">
        <v>453</v>
      </c>
      <c r="Z760" t="s">
        <v>96</v>
      </c>
      <c r="AA760" t="s">
        <v>2272</v>
      </c>
      <c r="AB760" t="s">
        <v>9498</v>
      </c>
      <c r="AC760">
        <v>0</v>
      </c>
      <c r="AD760">
        <v>0</v>
      </c>
      <c r="AE760">
        <v>88</v>
      </c>
      <c r="AF760">
        <v>704.27</v>
      </c>
      <c r="AG760">
        <v>17.43</v>
      </c>
      <c r="AH760">
        <v>24.58</v>
      </c>
      <c r="AI760">
        <v>-0.16</v>
      </c>
      <c r="AJ760">
        <v>0.01</v>
      </c>
      <c r="AK760">
        <v>67</v>
      </c>
      <c r="AL760">
        <v>0</v>
      </c>
      <c r="AM760">
        <v>0</v>
      </c>
      <c r="AN760">
        <v>1.55</v>
      </c>
      <c r="AO760">
        <v>1.05</v>
      </c>
      <c r="AP760">
        <v>2</v>
      </c>
      <c r="AQ760">
        <v>0</v>
      </c>
      <c r="AR760">
        <v>7.17</v>
      </c>
      <c r="AS760">
        <v>55</v>
      </c>
      <c r="AT760">
        <v>3</v>
      </c>
      <c r="AU760">
        <v>87</v>
      </c>
      <c r="AV760">
        <v>-5.29</v>
      </c>
      <c r="AW760">
        <v>48</v>
      </c>
      <c r="AX760">
        <v>-0.23</v>
      </c>
      <c r="AY760">
        <v>52</v>
      </c>
      <c r="AZ760">
        <v>6.01</v>
      </c>
      <c r="BA760">
        <v>37</v>
      </c>
      <c r="BB760">
        <v>4.8899999999999997</v>
      </c>
      <c r="BC760">
        <v>32</v>
      </c>
      <c r="BD760">
        <v>-0.02</v>
      </c>
      <c r="BE760">
        <v>-0.04</v>
      </c>
      <c r="BF760">
        <v>-0.14000000000000001</v>
      </c>
      <c r="BG760">
        <v>75</v>
      </c>
      <c r="BH760">
        <v>0.08</v>
      </c>
      <c r="BI760">
        <v>-0.99</v>
      </c>
      <c r="BJ760">
        <v>0</v>
      </c>
      <c r="BK760">
        <v>0</v>
      </c>
      <c r="BL760">
        <v>1.99</v>
      </c>
      <c r="BM760">
        <v>-0.13</v>
      </c>
      <c r="BN760">
        <v>0.64</v>
      </c>
      <c r="BO760">
        <v>1.76</v>
      </c>
      <c r="BP760">
        <v>0.47</v>
      </c>
      <c r="BQ760">
        <v>2.76</v>
      </c>
      <c r="BR760">
        <v>-0.39</v>
      </c>
      <c r="BS760">
        <v>2.83</v>
      </c>
      <c r="BT760">
        <v>1.94</v>
      </c>
      <c r="BU760">
        <v>2.88</v>
      </c>
      <c r="BV760">
        <v>3.99</v>
      </c>
      <c r="BW760">
        <v>2.78</v>
      </c>
      <c r="BX760">
        <v>2.48</v>
      </c>
      <c r="BY760">
        <v>2.25</v>
      </c>
      <c r="BZ760">
        <v>2.68</v>
      </c>
      <c r="CA760">
        <v>3.12</v>
      </c>
      <c r="CB760">
        <v>2.86</v>
      </c>
      <c r="CC760">
        <v>2.54</v>
      </c>
      <c r="CD760">
        <v>-1.33</v>
      </c>
      <c r="CE760">
        <v>1.75</v>
      </c>
      <c r="CF760">
        <v>1.89</v>
      </c>
      <c r="CG760">
        <v>0</v>
      </c>
      <c r="CH760">
        <v>1.63</v>
      </c>
      <c r="CI760">
        <v>0</v>
      </c>
      <c r="CJ760">
        <v>4.0999999999999996</v>
      </c>
      <c r="CK760">
        <v>43</v>
      </c>
      <c r="CL760">
        <v>-1.21</v>
      </c>
      <c r="CM760">
        <v>43</v>
      </c>
      <c r="CN760">
        <v>-0.81</v>
      </c>
      <c r="CO760">
        <v>42</v>
      </c>
      <c r="CP760">
        <v>7</v>
      </c>
      <c r="CQ760">
        <v>37</v>
      </c>
      <c r="CR760">
        <v>0</v>
      </c>
      <c r="CS760">
        <v>0</v>
      </c>
      <c r="CT760">
        <v>30.1</v>
      </c>
      <c r="CU760">
        <v>36</v>
      </c>
      <c r="CV760">
        <v>0.23</v>
      </c>
      <c r="CW760">
        <v>34</v>
      </c>
      <c r="CX760" t="s">
        <v>1894</v>
      </c>
    </row>
    <row r="761" spans="1:102" x14ac:dyDescent="0.3">
      <c r="A761" t="str">
        <f>HYPERLINK("https://webapp.icbf.com/v2/app/bull-search/view/586064403","WNE")</f>
        <v>WNE</v>
      </c>
      <c r="B761" t="s">
        <v>9009</v>
      </c>
      <c r="C761" t="s">
        <v>2245</v>
      </c>
      <c r="D761" s="1">
        <v>39304</v>
      </c>
      <c r="E761" t="s">
        <v>92</v>
      </c>
      <c r="F761">
        <v>75</v>
      </c>
      <c r="G761" t="s">
        <v>93</v>
      </c>
      <c r="H761">
        <v>162.47999999999999</v>
      </c>
      <c r="I761">
        <v>96</v>
      </c>
      <c r="J761">
        <v>115.47</v>
      </c>
      <c r="K761">
        <v>99</v>
      </c>
      <c r="L761">
        <v>31.39</v>
      </c>
      <c r="M761">
        <v>92</v>
      </c>
      <c r="N761">
        <v>20.73</v>
      </c>
      <c r="O761">
        <v>97</v>
      </c>
      <c r="P761">
        <v>-15.19</v>
      </c>
      <c r="Q761">
        <v>99</v>
      </c>
      <c r="R761">
        <v>3.89</v>
      </c>
      <c r="S761">
        <v>92</v>
      </c>
      <c r="T761">
        <v>8.7899999999999991</v>
      </c>
      <c r="U761">
        <v>98</v>
      </c>
      <c r="V761">
        <v>-2.6</v>
      </c>
      <c r="W761">
        <v>89</v>
      </c>
      <c r="X761" t="s">
        <v>276</v>
      </c>
      <c r="Y761" t="s">
        <v>329</v>
      </c>
      <c r="Z761" t="s">
        <v>330</v>
      </c>
      <c r="AA761" t="s">
        <v>1256</v>
      </c>
      <c r="AB761" t="s">
        <v>9010</v>
      </c>
      <c r="AC761">
        <v>746</v>
      </c>
      <c r="AD761">
        <v>226</v>
      </c>
      <c r="AE761">
        <v>99</v>
      </c>
      <c r="AF761">
        <v>-121.25</v>
      </c>
      <c r="AG761">
        <v>14</v>
      </c>
      <c r="AH761">
        <v>12.83</v>
      </c>
      <c r="AI761">
        <v>0.33</v>
      </c>
      <c r="AJ761">
        <v>0.3</v>
      </c>
      <c r="AK761">
        <v>92</v>
      </c>
      <c r="AL761">
        <v>820</v>
      </c>
      <c r="AM761">
        <v>246</v>
      </c>
      <c r="AN761">
        <v>-1.97</v>
      </c>
      <c r="AO761">
        <v>0.53</v>
      </c>
      <c r="AP761">
        <v>1537</v>
      </c>
      <c r="AQ761">
        <v>11</v>
      </c>
      <c r="AR761">
        <v>7.57</v>
      </c>
      <c r="AS761">
        <v>97</v>
      </c>
      <c r="AT761">
        <v>2.72</v>
      </c>
      <c r="AU761">
        <v>97</v>
      </c>
      <c r="AV761">
        <v>-1.89</v>
      </c>
      <c r="AW761">
        <v>99</v>
      </c>
      <c r="AX761">
        <v>0.97</v>
      </c>
      <c r="AY761">
        <v>97</v>
      </c>
      <c r="AZ761">
        <v>5.12</v>
      </c>
      <c r="BA761">
        <v>91</v>
      </c>
      <c r="BB761">
        <v>4.38</v>
      </c>
      <c r="BC761">
        <v>92</v>
      </c>
      <c r="BD761">
        <v>-0.05</v>
      </c>
      <c r="BE761">
        <v>-0.04</v>
      </c>
      <c r="BF761">
        <v>7.0000000000000007E-2</v>
      </c>
      <c r="BG761">
        <v>98</v>
      </c>
      <c r="BH761">
        <v>-0.01</v>
      </c>
      <c r="BI761">
        <v>7.22</v>
      </c>
      <c r="BJ761">
        <v>10</v>
      </c>
      <c r="BK761">
        <v>6</v>
      </c>
      <c r="BL761">
        <v>0.03</v>
      </c>
      <c r="BM761">
        <v>1.42</v>
      </c>
      <c r="BN761">
        <v>-0.1</v>
      </c>
      <c r="BO761">
        <v>-0.56999999999999995</v>
      </c>
      <c r="BP761">
        <v>-1.7</v>
      </c>
      <c r="BQ761">
        <v>0.3</v>
      </c>
      <c r="BR761">
        <v>1.52</v>
      </c>
      <c r="BS761">
        <v>-1.05</v>
      </c>
      <c r="BT761">
        <v>-1.69</v>
      </c>
      <c r="BU761">
        <v>-0.92</v>
      </c>
      <c r="BV761">
        <v>-0.65</v>
      </c>
      <c r="BW761">
        <v>-1.35</v>
      </c>
      <c r="BX761">
        <v>-1.84</v>
      </c>
      <c r="BY761">
        <v>-1</v>
      </c>
      <c r="BZ761">
        <v>1.0900000000000001</v>
      </c>
      <c r="CA761">
        <v>-0.78</v>
      </c>
      <c r="CB761">
        <v>-0.66</v>
      </c>
      <c r="CC761">
        <v>-0.75</v>
      </c>
      <c r="CD761">
        <v>0.85</v>
      </c>
      <c r="CE761">
        <v>-0.01</v>
      </c>
      <c r="CF761">
        <v>-0.02</v>
      </c>
      <c r="CG761">
        <v>0</v>
      </c>
      <c r="CH761">
        <v>-0.81</v>
      </c>
      <c r="CI761">
        <v>0</v>
      </c>
      <c r="CJ761">
        <v>-4.8</v>
      </c>
      <c r="CK761">
        <v>99</v>
      </c>
      <c r="CL761">
        <v>-0.99</v>
      </c>
      <c r="CM761">
        <v>99</v>
      </c>
      <c r="CN761">
        <v>-0.22</v>
      </c>
      <c r="CO761">
        <v>99</v>
      </c>
      <c r="CP761">
        <v>-6.2</v>
      </c>
      <c r="CQ761">
        <v>98</v>
      </c>
      <c r="CR761">
        <v>0</v>
      </c>
      <c r="CS761">
        <v>0</v>
      </c>
      <c r="CT761">
        <v>1.9</v>
      </c>
      <c r="CU761">
        <v>98</v>
      </c>
      <c r="CV761">
        <v>0.12</v>
      </c>
      <c r="CW761">
        <v>46</v>
      </c>
      <c r="CX761" t="s">
        <v>4806</v>
      </c>
    </row>
    <row r="762" spans="1:102" x14ac:dyDescent="0.3">
      <c r="A762" t="str">
        <f>HYPERLINK("https://webapp.icbf.com/v2/app/bull-search/view/720503914","PSH")</f>
        <v>PSH</v>
      </c>
      <c r="B762" t="s">
        <v>15098</v>
      </c>
      <c r="C762" t="s">
        <v>15099</v>
      </c>
      <c r="D762" s="1">
        <v>39298</v>
      </c>
      <c r="E762" t="s">
        <v>227</v>
      </c>
      <c r="F762">
        <v>19</v>
      </c>
      <c r="G762" t="s">
        <v>93</v>
      </c>
      <c r="H762">
        <v>162.46</v>
      </c>
      <c r="I762">
        <v>96</v>
      </c>
      <c r="J762">
        <v>78.28</v>
      </c>
      <c r="K762">
        <v>99</v>
      </c>
      <c r="L762">
        <v>38.6</v>
      </c>
      <c r="M762">
        <v>92</v>
      </c>
      <c r="N762">
        <v>42.47</v>
      </c>
      <c r="O762">
        <v>97</v>
      </c>
      <c r="P762">
        <v>-44.53</v>
      </c>
      <c r="Q762">
        <v>98</v>
      </c>
      <c r="R762">
        <v>0.33</v>
      </c>
      <c r="S762">
        <v>92</v>
      </c>
      <c r="T762">
        <v>39.36</v>
      </c>
      <c r="U762">
        <v>98</v>
      </c>
      <c r="V762">
        <v>7.95</v>
      </c>
      <c r="W762">
        <v>89</v>
      </c>
      <c r="X762" t="s">
        <v>276</v>
      </c>
      <c r="Y762" t="s">
        <v>319</v>
      </c>
      <c r="Z762">
        <v>0</v>
      </c>
      <c r="AA762" t="s">
        <v>1700</v>
      </c>
      <c r="AB762" t="s">
        <v>144</v>
      </c>
      <c r="AC762">
        <v>716</v>
      </c>
      <c r="AD762">
        <v>208</v>
      </c>
      <c r="AE762">
        <v>99</v>
      </c>
      <c r="AF762">
        <v>-85.09</v>
      </c>
      <c r="AG762">
        <v>18.149999999999999</v>
      </c>
      <c r="AH762">
        <v>5.59</v>
      </c>
      <c r="AI762">
        <v>0.38</v>
      </c>
      <c r="AJ762">
        <v>0.15</v>
      </c>
      <c r="AK762">
        <v>92</v>
      </c>
      <c r="AL762">
        <v>798</v>
      </c>
      <c r="AM762">
        <v>211</v>
      </c>
      <c r="AN762">
        <v>-2</v>
      </c>
      <c r="AO762">
        <v>1.08</v>
      </c>
      <c r="AP762">
        <v>1315</v>
      </c>
      <c r="AQ762">
        <v>12</v>
      </c>
      <c r="AR762">
        <v>4</v>
      </c>
      <c r="AS762">
        <v>96</v>
      </c>
      <c r="AT762">
        <v>1.63</v>
      </c>
      <c r="AU762">
        <v>97</v>
      </c>
      <c r="AV762">
        <v>-3.46</v>
      </c>
      <c r="AW762">
        <v>99</v>
      </c>
      <c r="AX762">
        <v>-0.14000000000000001</v>
      </c>
      <c r="AY762">
        <v>97</v>
      </c>
      <c r="AZ762">
        <v>7.57</v>
      </c>
      <c r="BA762">
        <v>91</v>
      </c>
      <c r="BB762">
        <v>5.36</v>
      </c>
      <c r="BC762">
        <v>92</v>
      </c>
      <c r="BD762">
        <v>0.02</v>
      </c>
      <c r="BE762">
        <v>0.01</v>
      </c>
      <c r="BF762">
        <v>-0.06</v>
      </c>
      <c r="BG762">
        <v>98</v>
      </c>
      <c r="BH762">
        <v>0.23</v>
      </c>
      <c r="BI762">
        <v>0.96</v>
      </c>
      <c r="BJ762">
        <v>32</v>
      </c>
      <c r="BK762">
        <v>12</v>
      </c>
      <c r="BL762">
        <v>-3.11</v>
      </c>
      <c r="BM762">
        <v>-0.69</v>
      </c>
      <c r="BN762">
        <v>-0.83</v>
      </c>
      <c r="BO762">
        <v>-0.13</v>
      </c>
      <c r="BP762">
        <v>-1.99</v>
      </c>
      <c r="BQ762">
        <v>-3.93</v>
      </c>
      <c r="BR762">
        <v>1.47</v>
      </c>
      <c r="BS762">
        <v>5.13</v>
      </c>
      <c r="BT762">
        <v>-0.33</v>
      </c>
      <c r="BU762">
        <v>-0.05</v>
      </c>
      <c r="BV762">
        <v>0.25</v>
      </c>
      <c r="BW762">
        <v>-1.1000000000000001</v>
      </c>
      <c r="BX762">
        <v>-2.88</v>
      </c>
      <c r="BY762">
        <v>0.55000000000000004</v>
      </c>
      <c r="BZ762">
        <v>-0.91</v>
      </c>
      <c r="CA762">
        <v>1.17</v>
      </c>
      <c r="CB762">
        <v>-0.23</v>
      </c>
      <c r="CC762">
        <v>3.53</v>
      </c>
      <c r="CD762">
        <v>0.41</v>
      </c>
      <c r="CE762">
        <v>0.09</v>
      </c>
      <c r="CF762">
        <v>-2.5499999999999998</v>
      </c>
      <c r="CG762">
        <v>0</v>
      </c>
      <c r="CH762">
        <v>-1.4</v>
      </c>
      <c r="CI762">
        <v>0</v>
      </c>
      <c r="CJ762">
        <v>-24.3</v>
      </c>
      <c r="CK762">
        <v>99</v>
      </c>
      <c r="CL762">
        <v>-0.78</v>
      </c>
      <c r="CM762">
        <v>98</v>
      </c>
      <c r="CN762">
        <v>-0.22</v>
      </c>
      <c r="CO762">
        <v>98</v>
      </c>
      <c r="CP762">
        <v>-36.799999999999997</v>
      </c>
      <c r="CQ762">
        <v>97</v>
      </c>
      <c r="CR762">
        <v>0</v>
      </c>
      <c r="CS762">
        <v>0</v>
      </c>
      <c r="CT762">
        <v>-39.4</v>
      </c>
      <c r="CU762">
        <v>98</v>
      </c>
      <c r="CV762">
        <v>-0.09</v>
      </c>
      <c r="CW762">
        <v>46</v>
      </c>
      <c r="CX762" t="s">
        <v>4975</v>
      </c>
    </row>
    <row r="763" spans="1:102" x14ac:dyDescent="0.3">
      <c r="A763" t="str">
        <f>HYPERLINK("https://webapp.icbf.com/v2/app/bull-search/view/1478126971","FR4557")</f>
        <v>FR4557</v>
      </c>
      <c r="B763" t="s">
        <v>13990</v>
      </c>
      <c r="C763" t="s">
        <v>13991</v>
      </c>
      <c r="D763" s="1">
        <v>42769</v>
      </c>
      <c r="E763" t="s">
        <v>92</v>
      </c>
      <c r="F763">
        <v>97</v>
      </c>
      <c r="G763" t="s">
        <v>435</v>
      </c>
      <c r="H763">
        <v>162.34</v>
      </c>
      <c r="I763">
        <v>75</v>
      </c>
      <c r="J763">
        <v>94.32</v>
      </c>
      <c r="K763">
        <v>92</v>
      </c>
      <c r="L763">
        <v>22.79</v>
      </c>
      <c r="M763">
        <v>71</v>
      </c>
      <c r="N763">
        <v>42.45</v>
      </c>
      <c r="O763">
        <v>82</v>
      </c>
      <c r="P763">
        <v>-5.4</v>
      </c>
      <c r="Q763">
        <v>48</v>
      </c>
      <c r="R763">
        <v>10.08</v>
      </c>
      <c r="S763">
        <v>70</v>
      </c>
      <c r="T763">
        <v>-3.27</v>
      </c>
      <c r="U763">
        <v>46</v>
      </c>
      <c r="V763">
        <v>1.37</v>
      </c>
      <c r="W763">
        <v>63</v>
      </c>
      <c r="X763" t="s">
        <v>276</v>
      </c>
      <c r="Y763" t="s">
        <v>2384</v>
      </c>
      <c r="Z763" t="s">
        <v>96</v>
      </c>
      <c r="AA763" t="s">
        <v>2239</v>
      </c>
      <c r="AB763" t="s">
        <v>13992</v>
      </c>
      <c r="AC763">
        <v>0</v>
      </c>
      <c r="AD763">
        <v>0</v>
      </c>
      <c r="AE763">
        <v>92</v>
      </c>
      <c r="AF763">
        <v>-7.91</v>
      </c>
      <c r="AG763">
        <v>18.77</v>
      </c>
      <c r="AH763">
        <v>9.2799999999999994</v>
      </c>
      <c r="AI763">
        <v>0.33</v>
      </c>
      <c r="AJ763">
        <v>0.17</v>
      </c>
      <c r="AK763">
        <v>71</v>
      </c>
      <c r="AL763">
        <v>0</v>
      </c>
      <c r="AM763">
        <v>0</v>
      </c>
      <c r="AN763">
        <v>-0.28999999999999998</v>
      </c>
      <c r="AO763">
        <v>1.54</v>
      </c>
      <c r="AP763">
        <v>221</v>
      </c>
      <c r="AQ763">
        <v>0</v>
      </c>
      <c r="AR763">
        <v>5.04</v>
      </c>
      <c r="AS763">
        <v>66</v>
      </c>
      <c r="AT763">
        <v>1.92</v>
      </c>
      <c r="AU763">
        <v>88</v>
      </c>
      <c r="AV763">
        <v>-3.79</v>
      </c>
      <c r="AW763">
        <v>96</v>
      </c>
      <c r="AX763">
        <v>-0.72</v>
      </c>
      <c r="AY763">
        <v>77</v>
      </c>
      <c r="AZ763">
        <v>7.11</v>
      </c>
      <c r="BA763">
        <v>48</v>
      </c>
      <c r="BB763">
        <v>5.61</v>
      </c>
      <c r="BC763">
        <v>48</v>
      </c>
      <c r="BD763">
        <v>-0.04</v>
      </c>
      <c r="BE763">
        <v>-0.05</v>
      </c>
      <c r="BF763">
        <v>-7.0000000000000007E-2</v>
      </c>
      <c r="BG763">
        <v>79</v>
      </c>
      <c r="BH763">
        <v>-0.04</v>
      </c>
      <c r="BI763">
        <v>-9.0399999999999991</v>
      </c>
      <c r="BJ763">
        <v>0</v>
      </c>
      <c r="BK763">
        <v>0</v>
      </c>
      <c r="BL763">
        <v>-0.81</v>
      </c>
      <c r="BM763">
        <v>1.39</v>
      </c>
      <c r="BN763">
        <v>0.27</v>
      </c>
      <c r="BO763">
        <v>-1.08</v>
      </c>
      <c r="BP763">
        <v>0.71</v>
      </c>
      <c r="BQ763">
        <v>-0.54</v>
      </c>
      <c r="BR763">
        <v>-0.65</v>
      </c>
      <c r="BS763">
        <v>0.98</v>
      </c>
      <c r="BT763">
        <v>0.09</v>
      </c>
      <c r="BU763">
        <v>-0.53</v>
      </c>
      <c r="BV763">
        <v>-2.1800000000000002</v>
      </c>
      <c r="BW763">
        <v>-2.9</v>
      </c>
      <c r="BX763">
        <v>-0.53</v>
      </c>
      <c r="BY763">
        <v>-1.32</v>
      </c>
      <c r="BZ763">
        <v>-3.55</v>
      </c>
      <c r="CA763">
        <v>-1.05</v>
      </c>
      <c r="CB763">
        <v>-1.54</v>
      </c>
      <c r="CC763">
        <v>0.11</v>
      </c>
      <c r="CD763">
        <v>1.38</v>
      </c>
      <c r="CE763">
        <v>-0.4</v>
      </c>
      <c r="CF763">
        <v>-0.13</v>
      </c>
      <c r="CG763">
        <v>0</v>
      </c>
      <c r="CH763">
        <v>0.54</v>
      </c>
      <c r="CI763">
        <v>0</v>
      </c>
      <c r="CJ763">
        <v>-1.8</v>
      </c>
      <c r="CK763">
        <v>50</v>
      </c>
      <c r="CL763">
        <v>-0.76</v>
      </c>
      <c r="CM763">
        <v>46</v>
      </c>
      <c r="CN763">
        <v>-0.39</v>
      </c>
      <c r="CO763">
        <v>46</v>
      </c>
      <c r="CP763">
        <v>2.4</v>
      </c>
      <c r="CQ763">
        <v>47</v>
      </c>
      <c r="CR763">
        <v>0</v>
      </c>
      <c r="CS763">
        <v>0</v>
      </c>
      <c r="CT763">
        <v>18.2</v>
      </c>
      <c r="CU763">
        <v>46</v>
      </c>
      <c r="CV763">
        <v>0.1</v>
      </c>
      <c r="CW763">
        <v>36</v>
      </c>
      <c r="CX763" t="s">
        <v>13629</v>
      </c>
    </row>
    <row r="764" spans="1:102" x14ac:dyDescent="0.3">
      <c r="A764" t="str">
        <f>HYPERLINK("https://webapp.icbf.com/v2/app/bull-search/view/451049198","DZG")</f>
        <v>DZG</v>
      </c>
      <c r="B764" t="s">
        <v>12240</v>
      </c>
      <c r="C764" t="s">
        <v>12241</v>
      </c>
      <c r="D764" s="1">
        <v>38779</v>
      </c>
      <c r="E764" t="s">
        <v>92</v>
      </c>
      <c r="F764">
        <v>69</v>
      </c>
      <c r="G764" t="s">
        <v>93</v>
      </c>
      <c r="H764">
        <v>162.30000000000001</v>
      </c>
      <c r="I764">
        <v>95</v>
      </c>
      <c r="J764">
        <v>53.93</v>
      </c>
      <c r="K764">
        <v>99</v>
      </c>
      <c r="L764">
        <v>92.28</v>
      </c>
      <c r="M764">
        <v>91</v>
      </c>
      <c r="N764">
        <v>19.04</v>
      </c>
      <c r="O764">
        <v>96</v>
      </c>
      <c r="P764">
        <v>-15.68</v>
      </c>
      <c r="Q764">
        <v>99</v>
      </c>
      <c r="R764">
        <v>4.6500000000000004</v>
      </c>
      <c r="S764">
        <v>93</v>
      </c>
      <c r="T764">
        <v>17.3</v>
      </c>
      <c r="U764">
        <v>97</v>
      </c>
      <c r="V764">
        <v>-9.2200000000000006</v>
      </c>
      <c r="W764">
        <v>94</v>
      </c>
      <c r="X764" t="s">
        <v>94</v>
      </c>
      <c r="Y764" t="s">
        <v>1251</v>
      </c>
      <c r="Z764" t="s">
        <v>96</v>
      </c>
      <c r="AA764" t="s">
        <v>2713</v>
      </c>
      <c r="AB764" t="s">
        <v>12242</v>
      </c>
      <c r="AC764">
        <v>604</v>
      </c>
      <c r="AD764">
        <v>349</v>
      </c>
      <c r="AE764">
        <v>99</v>
      </c>
      <c r="AF764">
        <v>-138.13999999999999</v>
      </c>
      <c r="AG764">
        <v>7.23</v>
      </c>
      <c r="AH764">
        <v>4.5</v>
      </c>
      <c r="AI764">
        <v>0.23</v>
      </c>
      <c r="AJ764">
        <v>0.16</v>
      </c>
      <c r="AK764">
        <v>91</v>
      </c>
      <c r="AL764">
        <v>713</v>
      </c>
      <c r="AM764">
        <v>437</v>
      </c>
      <c r="AN764">
        <v>-4.9800000000000004</v>
      </c>
      <c r="AO764">
        <v>2.38</v>
      </c>
      <c r="AP764">
        <v>1092</v>
      </c>
      <c r="AQ764">
        <v>6</v>
      </c>
      <c r="AR764">
        <v>8.4700000000000006</v>
      </c>
      <c r="AS764">
        <v>88</v>
      </c>
      <c r="AT764">
        <v>3.93</v>
      </c>
      <c r="AU764">
        <v>97</v>
      </c>
      <c r="AV764">
        <v>-3.43</v>
      </c>
      <c r="AW764">
        <v>99</v>
      </c>
      <c r="AX764">
        <v>0.11</v>
      </c>
      <c r="AY764">
        <v>96</v>
      </c>
      <c r="AZ764">
        <v>6.25</v>
      </c>
      <c r="BA764">
        <v>89</v>
      </c>
      <c r="BB764">
        <v>4.62</v>
      </c>
      <c r="BC764">
        <v>91</v>
      </c>
      <c r="BD764">
        <v>0.03</v>
      </c>
      <c r="BE764">
        <v>-0.03</v>
      </c>
      <c r="BF764">
        <v>-0.1</v>
      </c>
      <c r="BG764">
        <v>97</v>
      </c>
      <c r="BH764">
        <v>-0.15</v>
      </c>
      <c r="BI764">
        <v>12.39</v>
      </c>
      <c r="BJ764">
        <v>25</v>
      </c>
      <c r="BK764">
        <v>17</v>
      </c>
      <c r="BL764">
        <v>0.06</v>
      </c>
      <c r="BM764">
        <v>2.4900000000000002</v>
      </c>
      <c r="BN764">
        <v>0.82</v>
      </c>
      <c r="BO764">
        <v>-1.01</v>
      </c>
      <c r="BP764">
        <v>-2.42</v>
      </c>
      <c r="BQ764">
        <v>0.75</v>
      </c>
      <c r="BR764">
        <v>3.15</v>
      </c>
      <c r="BS764">
        <v>-3.83</v>
      </c>
      <c r="BT764">
        <v>-3.02</v>
      </c>
      <c r="BU764">
        <v>-0.39</v>
      </c>
      <c r="BV764">
        <v>-0.68</v>
      </c>
      <c r="BW764">
        <v>-0.47</v>
      </c>
      <c r="BX764">
        <v>-0.71</v>
      </c>
      <c r="BY764">
        <v>-1.85</v>
      </c>
      <c r="BZ764">
        <v>1.77</v>
      </c>
      <c r="CA764">
        <v>-2.04</v>
      </c>
      <c r="CB764">
        <v>-0.8</v>
      </c>
      <c r="CC764">
        <v>-3.85</v>
      </c>
      <c r="CD764">
        <v>1.43</v>
      </c>
      <c r="CE764">
        <v>-0.97</v>
      </c>
      <c r="CF764">
        <v>0.18</v>
      </c>
      <c r="CG764">
        <v>0</v>
      </c>
      <c r="CH764">
        <v>-1.82</v>
      </c>
      <c r="CI764">
        <v>0</v>
      </c>
      <c r="CJ764">
        <v>-3.1</v>
      </c>
      <c r="CK764">
        <v>99</v>
      </c>
      <c r="CL764">
        <v>-0.84</v>
      </c>
      <c r="CM764">
        <v>98</v>
      </c>
      <c r="CN764">
        <v>0.08</v>
      </c>
      <c r="CO764">
        <v>98</v>
      </c>
      <c r="CP764">
        <v>-12</v>
      </c>
      <c r="CQ764">
        <v>98</v>
      </c>
      <c r="CR764">
        <v>0</v>
      </c>
      <c r="CS764">
        <v>0</v>
      </c>
      <c r="CT764">
        <v>-9.6</v>
      </c>
      <c r="CU764">
        <v>97</v>
      </c>
      <c r="CV764">
        <v>0.21</v>
      </c>
      <c r="CW764">
        <v>47</v>
      </c>
      <c r="CX764" t="s">
        <v>792</v>
      </c>
    </row>
    <row r="765" spans="1:102" x14ac:dyDescent="0.3">
      <c r="A765" t="str">
        <f>HYPERLINK("https://webapp.icbf.com/v2/app/bull-search/view/586055000","LJG")</f>
        <v>LJG</v>
      </c>
      <c r="B765" t="s">
        <v>12658</v>
      </c>
      <c r="C765" t="s">
        <v>12659</v>
      </c>
      <c r="D765" s="1">
        <v>38652</v>
      </c>
      <c r="E765" t="s">
        <v>92</v>
      </c>
      <c r="F765">
        <v>100</v>
      </c>
      <c r="G765" t="s">
        <v>93</v>
      </c>
      <c r="H765">
        <v>162.25</v>
      </c>
      <c r="I765">
        <v>95</v>
      </c>
      <c r="J765">
        <v>63.81</v>
      </c>
      <c r="K765">
        <v>99</v>
      </c>
      <c r="L765">
        <v>38.74</v>
      </c>
      <c r="M765">
        <v>92</v>
      </c>
      <c r="N765">
        <v>52.47</v>
      </c>
      <c r="O765">
        <v>95</v>
      </c>
      <c r="P765">
        <v>-16.59</v>
      </c>
      <c r="Q765">
        <v>98</v>
      </c>
      <c r="R765">
        <v>11.77</v>
      </c>
      <c r="S765">
        <v>89</v>
      </c>
      <c r="T765">
        <v>8.42</v>
      </c>
      <c r="U765">
        <v>94</v>
      </c>
      <c r="V765">
        <v>3.63</v>
      </c>
      <c r="W765">
        <v>85</v>
      </c>
      <c r="X765" t="s">
        <v>251</v>
      </c>
      <c r="Y765" t="s">
        <v>282</v>
      </c>
      <c r="Z765" t="s">
        <v>96</v>
      </c>
      <c r="AA765" t="s">
        <v>316</v>
      </c>
      <c r="AB765" t="s">
        <v>1535</v>
      </c>
      <c r="AC765">
        <v>445</v>
      </c>
      <c r="AD765">
        <v>161</v>
      </c>
      <c r="AE765">
        <v>99</v>
      </c>
      <c r="AF765">
        <v>117.42</v>
      </c>
      <c r="AG765">
        <v>14.05</v>
      </c>
      <c r="AH765">
        <v>7.68</v>
      </c>
      <c r="AI765">
        <v>0.16</v>
      </c>
      <c r="AJ765">
        <v>0.06</v>
      </c>
      <c r="AK765">
        <v>92</v>
      </c>
      <c r="AL765">
        <v>527</v>
      </c>
      <c r="AM765">
        <v>181</v>
      </c>
      <c r="AN765">
        <v>-2.08</v>
      </c>
      <c r="AO765">
        <v>1.01</v>
      </c>
      <c r="AP765">
        <v>759</v>
      </c>
      <c r="AQ765">
        <v>2</v>
      </c>
      <c r="AR765">
        <v>5.41</v>
      </c>
      <c r="AS765">
        <v>92</v>
      </c>
      <c r="AT765">
        <v>2.02</v>
      </c>
      <c r="AU765">
        <v>95</v>
      </c>
      <c r="AV765">
        <v>-4.3899999999999997</v>
      </c>
      <c r="AW765">
        <v>99</v>
      </c>
      <c r="AX765">
        <v>-0.3</v>
      </c>
      <c r="AY765">
        <v>95</v>
      </c>
      <c r="AZ765">
        <v>6.13</v>
      </c>
      <c r="BA765">
        <v>86</v>
      </c>
      <c r="BB765">
        <v>4.38</v>
      </c>
      <c r="BC765">
        <v>85</v>
      </c>
      <c r="BD765">
        <v>-7.0000000000000007E-2</v>
      </c>
      <c r="BE765">
        <v>-0.06</v>
      </c>
      <c r="BF765">
        <v>-0.04</v>
      </c>
      <c r="BG765">
        <v>96</v>
      </c>
      <c r="BH765">
        <v>-0.12</v>
      </c>
      <c r="BI765">
        <v>-25.6</v>
      </c>
      <c r="BJ765">
        <v>57</v>
      </c>
      <c r="BK765">
        <v>31</v>
      </c>
      <c r="BL765">
        <v>0.74</v>
      </c>
      <c r="BM765">
        <v>-7.0000000000000007E-2</v>
      </c>
      <c r="BN765">
        <v>0.31</v>
      </c>
      <c r="BO765">
        <v>0.28000000000000003</v>
      </c>
      <c r="BP765">
        <v>1.17</v>
      </c>
      <c r="BQ765">
        <v>0.6</v>
      </c>
      <c r="BR765">
        <v>-0.24</v>
      </c>
      <c r="BS765">
        <v>0.74</v>
      </c>
      <c r="BT765">
        <v>0.44</v>
      </c>
      <c r="BU765">
        <v>1.06</v>
      </c>
      <c r="BV765">
        <v>0.81</v>
      </c>
      <c r="BW765">
        <v>1.87</v>
      </c>
      <c r="BX765">
        <v>1.34</v>
      </c>
      <c r="BY765">
        <v>1.31</v>
      </c>
      <c r="BZ765">
        <v>-0.15</v>
      </c>
      <c r="CA765">
        <v>1.04</v>
      </c>
      <c r="CB765">
        <v>1</v>
      </c>
      <c r="CC765">
        <v>0.6</v>
      </c>
      <c r="CD765">
        <v>0.15</v>
      </c>
      <c r="CE765">
        <v>0.43</v>
      </c>
      <c r="CF765">
        <v>1.39</v>
      </c>
      <c r="CG765">
        <v>0</v>
      </c>
      <c r="CH765">
        <v>1.29</v>
      </c>
      <c r="CI765">
        <v>0</v>
      </c>
      <c r="CJ765">
        <v>-6.8</v>
      </c>
      <c r="CK765">
        <v>98</v>
      </c>
      <c r="CL765">
        <v>-1.04</v>
      </c>
      <c r="CM765">
        <v>98</v>
      </c>
      <c r="CN765">
        <v>-0.32</v>
      </c>
      <c r="CO765">
        <v>98</v>
      </c>
      <c r="CP765">
        <v>-1.5</v>
      </c>
      <c r="CQ765">
        <v>96</v>
      </c>
      <c r="CR765">
        <v>0</v>
      </c>
      <c r="CS765">
        <v>0</v>
      </c>
      <c r="CT765">
        <v>2.4</v>
      </c>
      <c r="CU765">
        <v>94</v>
      </c>
      <c r="CV765">
        <v>0.15</v>
      </c>
      <c r="CW765">
        <v>49</v>
      </c>
      <c r="CX765" t="s">
        <v>311</v>
      </c>
    </row>
    <row r="766" spans="1:102" x14ac:dyDescent="0.3">
      <c r="A766" t="str">
        <f>HYPERLINK("https://webapp.icbf.com/v2/app/bull-search/view/1364644227","FR4243")</f>
        <v>FR4243</v>
      </c>
      <c r="B766" t="s">
        <v>14232</v>
      </c>
      <c r="C766" t="s">
        <v>14233</v>
      </c>
      <c r="D766" s="1">
        <v>42426</v>
      </c>
      <c r="E766" t="s">
        <v>92</v>
      </c>
      <c r="F766">
        <v>75</v>
      </c>
      <c r="G766" t="s">
        <v>435</v>
      </c>
      <c r="H766">
        <v>162.25</v>
      </c>
      <c r="I766">
        <v>70</v>
      </c>
      <c r="J766">
        <v>61.11</v>
      </c>
      <c r="K766">
        <v>86</v>
      </c>
      <c r="L766">
        <v>53.55</v>
      </c>
      <c r="M766">
        <v>62</v>
      </c>
      <c r="N766">
        <v>55.97</v>
      </c>
      <c r="O766">
        <v>72</v>
      </c>
      <c r="P766">
        <v>-17.03</v>
      </c>
      <c r="Q766">
        <v>66</v>
      </c>
      <c r="R766">
        <v>7.97</v>
      </c>
      <c r="S766">
        <v>62</v>
      </c>
      <c r="T766">
        <v>-1.49</v>
      </c>
      <c r="U766">
        <v>51</v>
      </c>
      <c r="V766">
        <v>2.17</v>
      </c>
      <c r="W766">
        <v>55</v>
      </c>
      <c r="X766" t="s">
        <v>276</v>
      </c>
      <c r="Y766" t="s">
        <v>2255</v>
      </c>
      <c r="Z766" t="s">
        <v>96</v>
      </c>
      <c r="AA766" t="s">
        <v>2372</v>
      </c>
      <c r="AB766" t="s">
        <v>14234</v>
      </c>
      <c r="AC766">
        <v>0</v>
      </c>
      <c r="AD766">
        <v>0</v>
      </c>
      <c r="AE766">
        <v>86</v>
      </c>
      <c r="AF766">
        <v>407.61</v>
      </c>
      <c r="AG766">
        <v>10.039999999999999</v>
      </c>
      <c r="AH766">
        <v>13.08</v>
      </c>
      <c r="AI766">
        <v>-0.1</v>
      </c>
      <c r="AJ766">
        <v>-0.01</v>
      </c>
      <c r="AK766">
        <v>62</v>
      </c>
      <c r="AL766">
        <v>0</v>
      </c>
      <c r="AM766">
        <v>0</v>
      </c>
      <c r="AN766">
        <v>-2.1800000000000002</v>
      </c>
      <c r="AO766">
        <v>2.1</v>
      </c>
      <c r="AP766">
        <v>49</v>
      </c>
      <c r="AQ766">
        <v>0</v>
      </c>
      <c r="AR766">
        <v>4.09</v>
      </c>
      <c r="AS766">
        <v>58</v>
      </c>
      <c r="AT766">
        <v>1.8</v>
      </c>
      <c r="AU766">
        <v>72</v>
      </c>
      <c r="AV766">
        <v>-4.0999999999999996</v>
      </c>
      <c r="AW766">
        <v>89</v>
      </c>
      <c r="AX766">
        <v>-0.37</v>
      </c>
      <c r="AY766">
        <v>64</v>
      </c>
      <c r="AZ766">
        <v>4.79</v>
      </c>
      <c r="BA766">
        <v>43</v>
      </c>
      <c r="BB766">
        <v>4.3499999999999996</v>
      </c>
      <c r="BC766">
        <v>43</v>
      </c>
      <c r="BD766">
        <v>-0.02</v>
      </c>
      <c r="BE766">
        <v>0</v>
      </c>
      <c r="BF766">
        <v>-0.15</v>
      </c>
      <c r="BG766">
        <v>71</v>
      </c>
      <c r="BH766">
        <v>0.03</v>
      </c>
      <c r="BI766">
        <v>-3.54</v>
      </c>
      <c r="BJ766">
        <v>0</v>
      </c>
      <c r="BK766">
        <v>0</v>
      </c>
      <c r="BL766">
        <v>-0.97</v>
      </c>
      <c r="BM766">
        <v>-0.13</v>
      </c>
      <c r="BN766">
        <v>-1.52</v>
      </c>
      <c r="BO766">
        <v>-1.32</v>
      </c>
      <c r="BP766">
        <v>-0.17</v>
      </c>
      <c r="BQ766">
        <v>-0.48</v>
      </c>
      <c r="BR766">
        <v>1.42</v>
      </c>
      <c r="BS766">
        <v>-1.57</v>
      </c>
      <c r="BT766">
        <v>-1.61</v>
      </c>
      <c r="BU766">
        <v>-0.79</v>
      </c>
      <c r="BV766">
        <v>-1.79</v>
      </c>
      <c r="BW766">
        <v>-1</v>
      </c>
      <c r="BX766">
        <v>-0.67</v>
      </c>
      <c r="BY766">
        <v>-2.11</v>
      </c>
      <c r="BZ766">
        <v>0.16</v>
      </c>
      <c r="CA766">
        <v>-1.62</v>
      </c>
      <c r="CB766">
        <v>-1.06</v>
      </c>
      <c r="CC766">
        <v>-1.73</v>
      </c>
      <c r="CD766">
        <v>0.39</v>
      </c>
      <c r="CE766">
        <v>-1.24</v>
      </c>
      <c r="CF766">
        <v>-0.94</v>
      </c>
      <c r="CG766">
        <v>0</v>
      </c>
      <c r="CH766">
        <v>-1.4</v>
      </c>
      <c r="CI766">
        <v>0</v>
      </c>
      <c r="CJ766">
        <v>-7.7</v>
      </c>
      <c r="CK766">
        <v>69</v>
      </c>
      <c r="CL766">
        <v>-0.89</v>
      </c>
      <c r="CM766">
        <v>65</v>
      </c>
      <c r="CN766">
        <v>-0.28000000000000003</v>
      </c>
      <c r="CO766">
        <v>64</v>
      </c>
      <c r="CP766">
        <v>-3.3</v>
      </c>
      <c r="CQ766">
        <v>54</v>
      </c>
      <c r="CR766">
        <v>0</v>
      </c>
      <c r="CS766">
        <v>0</v>
      </c>
      <c r="CT766">
        <v>15.8</v>
      </c>
      <c r="CU766">
        <v>51</v>
      </c>
      <c r="CV766">
        <v>0.06</v>
      </c>
      <c r="CW766">
        <v>40</v>
      </c>
      <c r="CX766" t="s">
        <v>2159</v>
      </c>
    </row>
    <row r="767" spans="1:102" x14ac:dyDescent="0.3">
      <c r="A767" t="str">
        <f>HYPERLINK("https://webapp.icbf.com/v2/app/bull-search/view/586059469","S706")</f>
        <v>S706</v>
      </c>
      <c r="B767" t="s">
        <v>12482</v>
      </c>
      <c r="C767" t="s">
        <v>12483</v>
      </c>
      <c r="D767" s="1">
        <v>38270</v>
      </c>
      <c r="E767" t="s">
        <v>92</v>
      </c>
      <c r="F767">
        <v>100</v>
      </c>
      <c r="G767" t="s">
        <v>93</v>
      </c>
      <c r="H767">
        <v>162.24</v>
      </c>
      <c r="I767">
        <v>94</v>
      </c>
      <c r="J767">
        <v>52.77</v>
      </c>
      <c r="K767">
        <v>98</v>
      </c>
      <c r="L767">
        <v>55.44</v>
      </c>
      <c r="M767">
        <v>92</v>
      </c>
      <c r="N767">
        <v>44.56</v>
      </c>
      <c r="O767">
        <v>93</v>
      </c>
      <c r="P767">
        <v>-12.33</v>
      </c>
      <c r="Q767">
        <v>96</v>
      </c>
      <c r="R767">
        <v>8.67</v>
      </c>
      <c r="S767">
        <v>87</v>
      </c>
      <c r="T767">
        <v>14.79</v>
      </c>
      <c r="U767">
        <v>91</v>
      </c>
      <c r="V767">
        <v>-1.66</v>
      </c>
      <c r="W767">
        <v>85</v>
      </c>
      <c r="X767" t="s">
        <v>102</v>
      </c>
      <c r="Y767" t="s">
        <v>1494</v>
      </c>
      <c r="Z767" t="s">
        <v>96</v>
      </c>
      <c r="AA767" t="s">
        <v>316</v>
      </c>
      <c r="AB767" t="s">
        <v>2650</v>
      </c>
      <c r="AC767">
        <v>245</v>
      </c>
      <c r="AD767">
        <v>75</v>
      </c>
      <c r="AE767">
        <v>98</v>
      </c>
      <c r="AF767">
        <v>213.66</v>
      </c>
      <c r="AG767">
        <v>10.98</v>
      </c>
      <c r="AH767">
        <v>8.36</v>
      </c>
      <c r="AI767">
        <v>0.04</v>
      </c>
      <c r="AJ767">
        <v>0.02</v>
      </c>
      <c r="AK767">
        <v>92</v>
      </c>
      <c r="AL767">
        <v>261</v>
      </c>
      <c r="AM767">
        <v>88</v>
      </c>
      <c r="AN767">
        <v>-2.35</v>
      </c>
      <c r="AO767">
        <v>2.08</v>
      </c>
      <c r="AP767">
        <v>818</v>
      </c>
      <c r="AQ767">
        <v>0</v>
      </c>
      <c r="AR767">
        <v>4.6399999999999997</v>
      </c>
      <c r="AS767">
        <v>94</v>
      </c>
      <c r="AT767">
        <v>1.91</v>
      </c>
      <c r="AU767">
        <v>95</v>
      </c>
      <c r="AV767">
        <v>-3.35</v>
      </c>
      <c r="AW767">
        <v>98</v>
      </c>
      <c r="AX767">
        <v>-0.7</v>
      </c>
      <c r="AY767">
        <v>94</v>
      </c>
      <c r="AZ767">
        <v>5.95</v>
      </c>
      <c r="BA767">
        <v>80</v>
      </c>
      <c r="BB767">
        <v>5.03</v>
      </c>
      <c r="BC767">
        <v>79</v>
      </c>
      <c r="BD767">
        <v>-0.02</v>
      </c>
      <c r="BE767">
        <v>-0.04</v>
      </c>
      <c r="BF767">
        <v>-0.09</v>
      </c>
      <c r="BG767">
        <v>94</v>
      </c>
      <c r="BH767">
        <v>0.02</v>
      </c>
      <c r="BI767">
        <v>7.67</v>
      </c>
      <c r="BJ767">
        <v>17</v>
      </c>
      <c r="BK767">
        <v>7</v>
      </c>
      <c r="BL767">
        <v>-0.21</v>
      </c>
      <c r="BM767">
        <v>0.03</v>
      </c>
      <c r="BN767">
        <v>-0.31</v>
      </c>
      <c r="BO767">
        <v>-0.02</v>
      </c>
      <c r="BP767">
        <v>-0.69</v>
      </c>
      <c r="BQ767">
        <v>-1.75</v>
      </c>
      <c r="BR767">
        <v>-0.71</v>
      </c>
      <c r="BS767">
        <v>-0.59</v>
      </c>
      <c r="BT767">
        <v>-0.28999999999999998</v>
      </c>
      <c r="BU767">
        <v>-0.17</v>
      </c>
      <c r="BV767">
        <v>-0.23</v>
      </c>
      <c r="BW767">
        <v>-0.41</v>
      </c>
      <c r="BX767">
        <v>0.19</v>
      </c>
      <c r="BY767">
        <v>0.2</v>
      </c>
      <c r="BZ767">
        <v>-0.79</v>
      </c>
      <c r="CA767">
        <v>-0.09</v>
      </c>
      <c r="CB767">
        <v>-0.31</v>
      </c>
      <c r="CC767">
        <v>0.19</v>
      </c>
      <c r="CD767">
        <v>0.34</v>
      </c>
      <c r="CE767">
        <v>-0.35</v>
      </c>
      <c r="CF767">
        <v>-0.69</v>
      </c>
      <c r="CG767">
        <v>0</v>
      </c>
      <c r="CH767">
        <v>0.21</v>
      </c>
      <c r="CI767">
        <v>0</v>
      </c>
      <c r="CJ767">
        <v>-4</v>
      </c>
      <c r="CK767">
        <v>97</v>
      </c>
      <c r="CL767">
        <v>-0.9</v>
      </c>
      <c r="CM767">
        <v>97</v>
      </c>
      <c r="CN767">
        <v>-0.3</v>
      </c>
      <c r="CO767">
        <v>96</v>
      </c>
      <c r="CP767">
        <v>-6.9</v>
      </c>
      <c r="CQ767">
        <v>92</v>
      </c>
      <c r="CR767">
        <v>0</v>
      </c>
      <c r="CS767">
        <v>0</v>
      </c>
      <c r="CT767">
        <v>-6.2</v>
      </c>
      <c r="CU767">
        <v>91</v>
      </c>
      <c r="CV767">
        <v>0.21</v>
      </c>
      <c r="CW767">
        <v>48</v>
      </c>
      <c r="CX767" t="s">
        <v>1380</v>
      </c>
    </row>
    <row r="768" spans="1:102" x14ac:dyDescent="0.3">
      <c r="A768" t="str">
        <f>HYPERLINK("https://webapp.icbf.com/v2/app/bull-search/view/120495124","BGX")</f>
        <v>BGX</v>
      </c>
      <c r="B768" t="s">
        <v>12639</v>
      </c>
      <c r="C768" t="s">
        <v>211</v>
      </c>
      <c r="D768" s="1">
        <v>33554</v>
      </c>
      <c r="E768" t="s">
        <v>210</v>
      </c>
      <c r="F768">
        <v>0</v>
      </c>
      <c r="G768" t="s">
        <v>93</v>
      </c>
      <c r="H768">
        <v>162.22</v>
      </c>
      <c r="I768">
        <v>90</v>
      </c>
      <c r="J768">
        <v>13.29</v>
      </c>
      <c r="K768">
        <v>96</v>
      </c>
      <c r="L768">
        <v>78.3</v>
      </c>
      <c r="M768">
        <v>88</v>
      </c>
      <c r="N768">
        <v>40.32</v>
      </c>
      <c r="O768">
        <v>87</v>
      </c>
      <c r="P768">
        <v>-4.5</v>
      </c>
      <c r="Q768">
        <v>93</v>
      </c>
      <c r="R768">
        <v>10.37</v>
      </c>
      <c r="S768">
        <v>78</v>
      </c>
      <c r="T768">
        <v>23.82</v>
      </c>
      <c r="U768">
        <v>88</v>
      </c>
      <c r="V768">
        <v>0.62</v>
      </c>
      <c r="W768">
        <v>75</v>
      </c>
      <c r="X768" t="s">
        <v>251</v>
      </c>
      <c r="Y768" t="s">
        <v>95</v>
      </c>
      <c r="Z768">
        <v>0</v>
      </c>
      <c r="AA768" t="s">
        <v>12640</v>
      </c>
      <c r="AB768" t="s">
        <v>144</v>
      </c>
      <c r="AC768">
        <v>97</v>
      </c>
      <c r="AD768">
        <v>27</v>
      </c>
      <c r="AE768">
        <v>96</v>
      </c>
      <c r="AF768">
        <v>57.93</v>
      </c>
      <c r="AG768">
        <v>3.3</v>
      </c>
      <c r="AH768">
        <v>1.98</v>
      </c>
      <c r="AI768">
        <v>0.02</v>
      </c>
      <c r="AJ768">
        <v>0</v>
      </c>
      <c r="AK768">
        <v>88</v>
      </c>
      <c r="AL768">
        <v>91</v>
      </c>
      <c r="AM768">
        <v>21</v>
      </c>
      <c r="AN768">
        <v>-3.8</v>
      </c>
      <c r="AO768">
        <v>2.4500000000000002</v>
      </c>
      <c r="AP768">
        <v>90</v>
      </c>
      <c r="AQ768">
        <v>1</v>
      </c>
      <c r="AR768">
        <v>5.82</v>
      </c>
      <c r="AS768">
        <v>72</v>
      </c>
      <c r="AT768">
        <v>2.34</v>
      </c>
      <c r="AU768">
        <v>96</v>
      </c>
      <c r="AV768">
        <v>-3.02</v>
      </c>
      <c r="AW768">
        <v>93</v>
      </c>
      <c r="AX768">
        <v>-0.25</v>
      </c>
      <c r="AY768">
        <v>81</v>
      </c>
      <c r="AZ768">
        <v>4.76</v>
      </c>
      <c r="BA768">
        <v>63</v>
      </c>
      <c r="BB768">
        <v>4.37</v>
      </c>
      <c r="BC768">
        <v>71</v>
      </c>
      <c r="BD768">
        <v>-0.02</v>
      </c>
      <c r="BE768">
        <v>-0.05</v>
      </c>
      <c r="BF768">
        <v>-0.11</v>
      </c>
      <c r="BG768">
        <v>86</v>
      </c>
      <c r="BH768">
        <v>0.02</v>
      </c>
      <c r="BI768">
        <v>0.3</v>
      </c>
      <c r="BJ768">
        <v>0</v>
      </c>
      <c r="BK768">
        <v>0</v>
      </c>
      <c r="BL768">
        <v>-0.85</v>
      </c>
      <c r="BM768">
        <v>1.23</v>
      </c>
      <c r="BN768">
        <v>-0.88</v>
      </c>
      <c r="BO768">
        <v>-1.31</v>
      </c>
      <c r="BP768">
        <v>0.64</v>
      </c>
      <c r="BQ768">
        <v>-0.84</v>
      </c>
      <c r="BR768">
        <v>-0.11</v>
      </c>
      <c r="BS768">
        <v>0.55000000000000004</v>
      </c>
      <c r="BT768">
        <v>0.2</v>
      </c>
      <c r="BU768">
        <v>-1.59</v>
      </c>
      <c r="BV768">
        <v>-2.27</v>
      </c>
      <c r="BW768">
        <v>-1.18</v>
      </c>
      <c r="BX768">
        <v>-0.96</v>
      </c>
      <c r="BY768">
        <v>0.18</v>
      </c>
      <c r="BZ768">
        <v>-1</v>
      </c>
      <c r="CA768">
        <v>-0.82</v>
      </c>
      <c r="CB768">
        <v>-1.37</v>
      </c>
      <c r="CC768">
        <v>0.49</v>
      </c>
      <c r="CD768">
        <v>1.21</v>
      </c>
      <c r="CE768">
        <v>-1.04</v>
      </c>
      <c r="CF768">
        <v>-0.87</v>
      </c>
      <c r="CG768">
        <v>0</v>
      </c>
      <c r="CH768">
        <v>-0.83</v>
      </c>
      <c r="CI768">
        <v>0</v>
      </c>
      <c r="CJ768">
        <v>0.8</v>
      </c>
      <c r="CK768">
        <v>94</v>
      </c>
      <c r="CL768">
        <v>-0.27</v>
      </c>
      <c r="CM768">
        <v>92</v>
      </c>
      <c r="CN768">
        <v>0.1</v>
      </c>
      <c r="CO768">
        <v>91</v>
      </c>
      <c r="CP768">
        <v>-11</v>
      </c>
      <c r="CQ768">
        <v>90</v>
      </c>
      <c r="CR768">
        <v>0</v>
      </c>
      <c r="CS768">
        <v>0</v>
      </c>
      <c r="CT768">
        <v>-18.399999999999999</v>
      </c>
      <c r="CU768">
        <v>88</v>
      </c>
      <c r="CV768">
        <v>0.03</v>
      </c>
      <c r="CW768">
        <v>28</v>
      </c>
      <c r="CX768" t="s">
        <v>12641</v>
      </c>
    </row>
    <row r="769" spans="1:102" x14ac:dyDescent="0.3">
      <c r="A769" t="str">
        <f>HYPERLINK("https://webapp.icbf.com/v2/app/bull-search/view/77859472","BAV")</f>
        <v>BAV</v>
      </c>
      <c r="B769" t="s">
        <v>3367</v>
      </c>
      <c r="C769" t="s">
        <v>3368</v>
      </c>
      <c r="D769" s="1">
        <v>32871</v>
      </c>
      <c r="E769" t="s">
        <v>92</v>
      </c>
      <c r="F769">
        <v>63</v>
      </c>
      <c r="G769" t="s">
        <v>93</v>
      </c>
      <c r="H769">
        <v>162.16999999999999</v>
      </c>
      <c r="I769">
        <v>95</v>
      </c>
      <c r="J769">
        <v>0.72</v>
      </c>
      <c r="K769">
        <v>99</v>
      </c>
      <c r="L769">
        <v>122.12</v>
      </c>
      <c r="M769">
        <v>92</v>
      </c>
      <c r="N769">
        <v>18.86</v>
      </c>
      <c r="O769">
        <v>95</v>
      </c>
      <c r="P769">
        <v>-7.36</v>
      </c>
      <c r="Q769">
        <v>98</v>
      </c>
      <c r="R769">
        <v>0.25</v>
      </c>
      <c r="S769">
        <v>92</v>
      </c>
      <c r="T769">
        <v>24.04</v>
      </c>
      <c r="U769">
        <v>96</v>
      </c>
      <c r="V769">
        <v>3.54</v>
      </c>
      <c r="W769">
        <v>92</v>
      </c>
      <c r="X769" t="s">
        <v>102</v>
      </c>
      <c r="Y769" t="s">
        <v>95</v>
      </c>
      <c r="Z769" t="s">
        <v>96</v>
      </c>
      <c r="AA769" t="s">
        <v>638</v>
      </c>
      <c r="AB769" t="s">
        <v>822</v>
      </c>
      <c r="AC769">
        <v>639</v>
      </c>
      <c r="AD769">
        <v>277</v>
      </c>
      <c r="AE769">
        <v>99</v>
      </c>
      <c r="AF769">
        <v>-329.48</v>
      </c>
      <c r="AG769">
        <v>7.29</v>
      </c>
      <c r="AH769">
        <v>-7.5</v>
      </c>
      <c r="AI769">
        <v>0.37</v>
      </c>
      <c r="AJ769">
        <v>7.0000000000000007E-2</v>
      </c>
      <c r="AK769">
        <v>92</v>
      </c>
      <c r="AL769">
        <v>948</v>
      </c>
      <c r="AM769">
        <v>454</v>
      </c>
      <c r="AN769">
        <v>-7.35</v>
      </c>
      <c r="AO769">
        <v>2.38</v>
      </c>
      <c r="AP769">
        <v>215</v>
      </c>
      <c r="AQ769">
        <v>0</v>
      </c>
      <c r="AR769">
        <v>6.72</v>
      </c>
      <c r="AS769">
        <v>91</v>
      </c>
      <c r="AT769">
        <v>2.6</v>
      </c>
      <c r="AU769">
        <v>94</v>
      </c>
      <c r="AV769">
        <v>-1.1299999999999999</v>
      </c>
      <c r="AW769">
        <v>97</v>
      </c>
      <c r="AX769">
        <v>-0.31</v>
      </c>
      <c r="AY769">
        <v>97</v>
      </c>
      <c r="AZ769">
        <v>5.89</v>
      </c>
      <c r="BA769">
        <v>84</v>
      </c>
      <c r="BB769">
        <v>4.63</v>
      </c>
      <c r="BC769">
        <v>93</v>
      </c>
      <c r="BD769">
        <v>0.05</v>
      </c>
      <c r="BE769">
        <v>-0.01</v>
      </c>
      <c r="BF769">
        <v>-7.0000000000000007E-2</v>
      </c>
      <c r="BG769">
        <v>98</v>
      </c>
      <c r="BH769">
        <v>0.06</v>
      </c>
      <c r="BI769">
        <v>-4.47</v>
      </c>
      <c r="BJ769">
        <v>55</v>
      </c>
      <c r="BK769">
        <v>26</v>
      </c>
      <c r="BL769">
        <v>-1.9</v>
      </c>
      <c r="BM769">
        <v>-0.8</v>
      </c>
      <c r="BN769">
        <v>-2.08</v>
      </c>
      <c r="BO769">
        <v>-1.75</v>
      </c>
      <c r="BP769">
        <v>-0.14000000000000001</v>
      </c>
      <c r="BQ769">
        <v>-1.61</v>
      </c>
      <c r="BR769">
        <v>-1.79</v>
      </c>
      <c r="BS769">
        <v>0.98</v>
      </c>
      <c r="BT769">
        <v>1.42</v>
      </c>
      <c r="BU769">
        <v>-1.45</v>
      </c>
      <c r="BV769">
        <v>-1.58</v>
      </c>
      <c r="BW769">
        <v>-1.78</v>
      </c>
      <c r="BX769">
        <v>-1.1299999999999999</v>
      </c>
      <c r="BY769">
        <v>0.38</v>
      </c>
      <c r="BZ769">
        <v>-1.22</v>
      </c>
      <c r="CA769">
        <v>-1.1299999999999999</v>
      </c>
      <c r="CB769">
        <v>-1.42</v>
      </c>
      <c r="CC769">
        <v>-0.44</v>
      </c>
      <c r="CD769">
        <v>0.66</v>
      </c>
      <c r="CE769">
        <v>-1.34</v>
      </c>
      <c r="CF769">
        <v>-2.39</v>
      </c>
      <c r="CG769">
        <v>0</v>
      </c>
      <c r="CH769">
        <v>0.45</v>
      </c>
      <c r="CI769">
        <v>0</v>
      </c>
      <c r="CJ769">
        <v>-5.6</v>
      </c>
      <c r="CK769">
        <v>98</v>
      </c>
      <c r="CL769">
        <v>0.02</v>
      </c>
      <c r="CM769">
        <v>98</v>
      </c>
      <c r="CN769">
        <v>-0.28000000000000003</v>
      </c>
      <c r="CO769">
        <v>98</v>
      </c>
      <c r="CP769">
        <v>-20.8</v>
      </c>
      <c r="CQ769">
        <v>98</v>
      </c>
      <c r="CR769">
        <v>0</v>
      </c>
      <c r="CS769">
        <v>0</v>
      </c>
      <c r="CT769">
        <v>-18.7</v>
      </c>
      <c r="CU769">
        <v>96</v>
      </c>
      <c r="CV769">
        <v>-0.27</v>
      </c>
      <c r="CW769">
        <v>46</v>
      </c>
      <c r="CX769" t="s">
        <v>823</v>
      </c>
    </row>
    <row r="770" spans="1:102" x14ac:dyDescent="0.3">
      <c r="A770" t="str">
        <f>HYPERLINK("https://webapp.icbf.com/v2/app/bull-search/view/1314207384","FR2391")</f>
        <v>FR2391</v>
      </c>
      <c r="B770" t="s">
        <v>9644</v>
      </c>
      <c r="C770" t="s">
        <v>9645</v>
      </c>
      <c r="D770" s="1">
        <v>41994</v>
      </c>
      <c r="E770" t="s">
        <v>92</v>
      </c>
      <c r="F770">
        <v>100</v>
      </c>
      <c r="G770" t="s">
        <v>93</v>
      </c>
      <c r="H770">
        <v>162.09</v>
      </c>
      <c r="I770">
        <v>76</v>
      </c>
      <c r="J770">
        <v>89.15</v>
      </c>
      <c r="K770">
        <v>93</v>
      </c>
      <c r="L770">
        <v>45.07</v>
      </c>
      <c r="M770">
        <v>67</v>
      </c>
      <c r="N770">
        <v>29.24</v>
      </c>
      <c r="O770">
        <v>81</v>
      </c>
      <c r="P770">
        <v>3.6</v>
      </c>
      <c r="Q770">
        <v>83</v>
      </c>
      <c r="R770">
        <v>13.26</v>
      </c>
      <c r="S770">
        <v>67</v>
      </c>
      <c r="T770">
        <v>-11.85</v>
      </c>
      <c r="U770">
        <v>44</v>
      </c>
      <c r="V770">
        <v>-6.38</v>
      </c>
      <c r="W770">
        <v>59</v>
      </c>
      <c r="X770" t="s">
        <v>94</v>
      </c>
      <c r="Y770" t="s">
        <v>429</v>
      </c>
      <c r="Z770" t="s">
        <v>330</v>
      </c>
      <c r="AA770" t="s">
        <v>9646</v>
      </c>
      <c r="AB770" t="s">
        <v>9647</v>
      </c>
      <c r="AC770">
        <v>62</v>
      </c>
      <c r="AD770">
        <v>30</v>
      </c>
      <c r="AE770">
        <v>93</v>
      </c>
      <c r="AF770">
        <v>250.56</v>
      </c>
      <c r="AG770">
        <v>15.71</v>
      </c>
      <c r="AH770">
        <v>13.44</v>
      </c>
      <c r="AI770">
        <v>0.1</v>
      </c>
      <c r="AJ770">
        <v>0.08</v>
      </c>
      <c r="AK770">
        <v>67</v>
      </c>
      <c r="AL770">
        <v>0</v>
      </c>
      <c r="AM770">
        <v>0</v>
      </c>
      <c r="AN770">
        <v>-2.02</v>
      </c>
      <c r="AO770">
        <v>1.58</v>
      </c>
      <c r="AP770">
        <v>273</v>
      </c>
      <c r="AQ770">
        <v>10</v>
      </c>
      <c r="AR770">
        <v>7.27</v>
      </c>
      <c r="AS770">
        <v>72</v>
      </c>
      <c r="AT770">
        <v>3.12</v>
      </c>
      <c r="AU770">
        <v>90</v>
      </c>
      <c r="AV770">
        <v>-3.38</v>
      </c>
      <c r="AW770">
        <v>96</v>
      </c>
      <c r="AX770">
        <v>-0.84</v>
      </c>
      <c r="AY770">
        <v>81</v>
      </c>
      <c r="AZ770">
        <v>6.52</v>
      </c>
      <c r="BA770">
        <v>57</v>
      </c>
      <c r="BB770">
        <v>5.12</v>
      </c>
      <c r="BC770">
        <v>27</v>
      </c>
      <c r="BD770">
        <v>-0.06</v>
      </c>
      <c r="BE770">
        <v>-0.05</v>
      </c>
      <c r="BF770">
        <v>-0.11</v>
      </c>
      <c r="BG770">
        <v>83</v>
      </c>
      <c r="BH770">
        <v>-0.18</v>
      </c>
      <c r="BI770">
        <v>-0.23</v>
      </c>
      <c r="BJ770">
        <v>0</v>
      </c>
      <c r="BK770">
        <v>0</v>
      </c>
      <c r="BL770">
        <v>1.03</v>
      </c>
      <c r="BM770">
        <v>1.1100000000000001</v>
      </c>
      <c r="BN770">
        <v>-0.16</v>
      </c>
      <c r="BO770">
        <v>0.05</v>
      </c>
      <c r="BP770">
        <v>0.49</v>
      </c>
      <c r="BQ770">
        <v>3</v>
      </c>
      <c r="BR770">
        <v>-0.81</v>
      </c>
      <c r="BS770">
        <v>2.12</v>
      </c>
      <c r="BT770">
        <v>2.5299999999999998</v>
      </c>
      <c r="BU770">
        <v>-0.39</v>
      </c>
      <c r="BV770">
        <v>0.34</v>
      </c>
      <c r="BW770">
        <v>-0.55000000000000004</v>
      </c>
      <c r="BX770">
        <v>-0.28000000000000003</v>
      </c>
      <c r="BY770">
        <v>0.17</v>
      </c>
      <c r="BZ770">
        <v>-2.54</v>
      </c>
      <c r="CA770">
        <v>1.1100000000000001</v>
      </c>
      <c r="CB770">
        <v>0.36</v>
      </c>
      <c r="CC770">
        <v>2.0499999999999998</v>
      </c>
      <c r="CD770">
        <v>0.67</v>
      </c>
      <c r="CE770">
        <v>0.08</v>
      </c>
      <c r="CF770">
        <v>0.64</v>
      </c>
      <c r="CG770">
        <v>0</v>
      </c>
      <c r="CH770">
        <v>0.27</v>
      </c>
      <c r="CI770">
        <v>0</v>
      </c>
      <c r="CJ770">
        <v>5.0999999999999996</v>
      </c>
      <c r="CK770">
        <v>87</v>
      </c>
      <c r="CL770">
        <v>-0.89</v>
      </c>
      <c r="CM770">
        <v>84</v>
      </c>
      <c r="CN770">
        <v>-0.32</v>
      </c>
      <c r="CO770">
        <v>82</v>
      </c>
      <c r="CP770">
        <v>13.3</v>
      </c>
      <c r="CQ770">
        <v>50</v>
      </c>
      <c r="CR770">
        <v>0</v>
      </c>
      <c r="CS770">
        <v>0</v>
      </c>
      <c r="CT770">
        <v>29.8</v>
      </c>
      <c r="CU770">
        <v>44</v>
      </c>
      <c r="CV770">
        <v>0.28000000000000003</v>
      </c>
      <c r="CW770">
        <v>43</v>
      </c>
      <c r="CX770" t="s">
        <v>2356</v>
      </c>
    </row>
    <row r="771" spans="1:102" x14ac:dyDescent="0.3">
      <c r="A771" t="str">
        <f>HYPERLINK("https://webapp.icbf.com/v2/app/bull-search/view/1141990238","FR2086")</f>
        <v>FR2086</v>
      </c>
      <c r="B771" t="s">
        <v>6078</v>
      </c>
      <c r="C771" t="s">
        <v>6079</v>
      </c>
      <c r="D771" s="1">
        <v>41681</v>
      </c>
      <c r="E771" t="s">
        <v>92</v>
      </c>
      <c r="F771">
        <v>72</v>
      </c>
      <c r="G771" t="s">
        <v>93</v>
      </c>
      <c r="H771">
        <v>162.02000000000001</v>
      </c>
      <c r="I771">
        <v>89</v>
      </c>
      <c r="J771">
        <v>97.48</v>
      </c>
      <c r="K771">
        <v>98</v>
      </c>
      <c r="L771">
        <v>19.72</v>
      </c>
      <c r="M771">
        <v>79</v>
      </c>
      <c r="N771">
        <v>39.92</v>
      </c>
      <c r="O771">
        <v>91</v>
      </c>
      <c r="P771">
        <v>-7.56</v>
      </c>
      <c r="Q771">
        <v>95</v>
      </c>
      <c r="R771">
        <v>-0.93</v>
      </c>
      <c r="S771">
        <v>81</v>
      </c>
      <c r="T771">
        <v>6.2</v>
      </c>
      <c r="U771">
        <v>97</v>
      </c>
      <c r="V771">
        <v>7.19</v>
      </c>
      <c r="W771">
        <v>77</v>
      </c>
      <c r="X771" t="s">
        <v>234</v>
      </c>
      <c r="Y771" t="s">
        <v>416</v>
      </c>
      <c r="Z771" t="s">
        <v>96</v>
      </c>
      <c r="AA771" t="s">
        <v>390</v>
      </c>
      <c r="AB771" t="s">
        <v>6080</v>
      </c>
      <c r="AC771">
        <v>277</v>
      </c>
      <c r="AD771">
        <v>62</v>
      </c>
      <c r="AE771">
        <v>98</v>
      </c>
      <c r="AF771">
        <v>458.79</v>
      </c>
      <c r="AG771">
        <v>19.760000000000002</v>
      </c>
      <c r="AH771">
        <v>16.61</v>
      </c>
      <c r="AI771">
        <v>0.03</v>
      </c>
      <c r="AJ771">
        <v>0.02</v>
      </c>
      <c r="AK771">
        <v>79</v>
      </c>
      <c r="AL771">
        <v>217</v>
      </c>
      <c r="AM771">
        <v>55</v>
      </c>
      <c r="AN771">
        <v>0.28000000000000003</v>
      </c>
      <c r="AO771">
        <v>1.87</v>
      </c>
      <c r="AP771">
        <v>816</v>
      </c>
      <c r="AQ771">
        <v>0</v>
      </c>
      <c r="AR771">
        <v>5.71</v>
      </c>
      <c r="AS771">
        <v>87</v>
      </c>
      <c r="AT771">
        <v>2.2999999999999998</v>
      </c>
      <c r="AU771">
        <v>95</v>
      </c>
      <c r="AV771">
        <v>-3.34</v>
      </c>
      <c r="AW771">
        <v>99</v>
      </c>
      <c r="AX771">
        <v>-0.17</v>
      </c>
      <c r="AY771">
        <v>92</v>
      </c>
      <c r="AZ771">
        <v>5.5</v>
      </c>
      <c r="BA771">
        <v>81</v>
      </c>
      <c r="BB771">
        <v>4.88</v>
      </c>
      <c r="BC771">
        <v>64</v>
      </c>
      <c r="BD771">
        <v>-0.01</v>
      </c>
      <c r="BE771">
        <v>0.02</v>
      </c>
      <c r="BF771">
        <v>0</v>
      </c>
      <c r="BG771">
        <v>92</v>
      </c>
      <c r="BH771">
        <v>0.16</v>
      </c>
      <c r="BI771">
        <v>-4.67</v>
      </c>
      <c r="BJ771">
        <v>0</v>
      </c>
      <c r="BK771">
        <v>0</v>
      </c>
      <c r="BL771">
        <v>-1.25</v>
      </c>
      <c r="BM771">
        <v>-0.02</v>
      </c>
      <c r="BN771">
        <v>-1.1200000000000001</v>
      </c>
      <c r="BO771">
        <v>-0.8</v>
      </c>
      <c r="BP771">
        <v>1.58</v>
      </c>
      <c r="BQ771">
        <v>-1.66</v>
      </c>
      <c r="BR771">
        <v>-0.16</v>
      </c>
      <c r="BS771">
        <v>0.08</v>
      </c>
      <c r="BT771">
        <v>0.36</v>
      </c>
      <c r="BU771">
        <v>-2.12</v>
      </c>
      <c r="BV771">
        <v>-2.74</v>
      </c>
      <c r="BW771">
        <v>-2.4500000000000002</v>
      </c>
      <c r="BX771">
        <v>-2.42</v>
      </c>
      <c r="BY771">
        <v>-1.81</v>
      </c>
      <c r="BZ771">
        <v>0.55000000000000004</v>
      </c>
      <c r="CA771">
        <v>-1.52</v>
      </c>
      <c r="CB771">
        <v>-1.95</v>
      </c>
      <c r="CC771">
        <v>0.14000000000000001</v>
      </c>
      <c r="CD771">
        <v>0.56000000000000005</v>
      </c>
      <c r="CE771">
        <v>-0.23</v>
      </c>
      <c r="CF771">
        <v>-1.03</v>
      </c>
      <c r="CG771">
        <v>0</v>
      </c>
      <c r="CH771">
        <v>-3.14</v>
      </c>
      <c r="CI771">
        <v>0</v>
      </c>
      <c r="CJ771">
        <v>-2.2999999999999998</v>
      </c>
      <c r="CK771">
        <v>97</v>
      </c>
      <c r="CL771">
        <v>-0.34</v>
      </c>
      <c r="CM771">
        <v>96</v>
      </c>
      <c r="CN771">
        <v>-0.01</v>
      </c>
      <c r="CO771">
        <v>95</v>
      </c>
      <c r="CP771">
        <v>-6.6</v>
      </c>
      <c r="CQ771">
        <v>84</v>
      </c>
      <c r="CR771">
        <v>0</v>
      </c>
      <c r="CS771">
        <v>0</v>
      </c>
      <c r="CT771">
        <v>5.4</v>
      </c>
      <c r="CU771">
        <v>97</v>
      </c>
      <c r="CV771">
        <v>0.1</v>
      </c>
      <c r="CW771">
        <v>47</v>
      </c>
      <c r="CX771" t="s">
        <v>2913</v>
      </c>
    </row>
    <row r="772" spans="1:102" x14ac:dyDescent="0.3">
      <c r="A772" t="str">
        <f>HYPERLINK("https://webapp.icbf.com/v2/app/bull-search/view/563616126","BQB")</f>
        <v>BQB</v>
      </c>
      <c r="B772" t="s">
        <v>1511</v>
      </c>
      <c r="C772" t="s">
        <v>1512</v>
      </c>
      <c r="D772" s="1">
        <v>39504</v>
      </c>
      <c r="E772" t="s">
        <v>92</v>
      </c>
      <c r="F772">
        <v>63</v>
      </c>
      <c r="G772" t="s">
        <v>93</v>
      </c>
      <c r="H772">
        <v>161.99</v>
      </c>
      <c r="I772">
        <v>97</v>
      </c>
      <c r="J772">
        <v>62.38</v>
      </c>
      <c r="K772">
        <v>99</v>
      </c>
      <c r="L772">
        <v>88.69</v>
      </c>
      <c r="M772">
        <v>95</v>
      </c>
      <c r="N772">
        <v>6.9</v>
      </c>
      <c r="O772">
        <v>98</v>
      </c>
      <c r="P772">
        <v>-10.97</v>
      </c>
      <c r="Q772">
        <v>99</v>
      </c>
      <c r="R772">
        <v>4.22</v>
      </c>
      <c r="S772">
        <v>96</v>
      </c>
      <c r="T772">
        <v>-1.1200000000000001</v>
      </c>
      <c r="U772">
        <v>99</v>
      </c>
      <c r="V772">
        <v>11.89</v>
      </c>
      <c r="W772">
        <v>95</v>
      </c>
      <c r="X772" t="s">
        <v>94</v>
      </c>
      <c r="Y772" t="s">
        <v>1513</v>
      </c>
      <c r="Z772" t="s">
        <v>96</v>
      </c>
      <c r="AA772" t="s">
        <v>1514</v>
      </c>
      <c r="AB772" t="s">
        <v>1515</v>
      </c>
      <c r="AC772">
        <v>1732</v>
      </c>
      <c r="AD772">
        <v>692</v>
      </c>
      <c r="AE772">
        <v>99</v>
      </c>
      <c r="AF772">
        <v>149.04</v>
      </c>
      <c r="AG772">
        <v>11.93</v>
      </c>
      <c r="AH772">
        <v>8.67</v>
      </c>
      <c r="AI772">
        <v>0.1</v>
      </c>
      <c r="AJ772">
        <v>0.06</v>
      </c>
      <c r="AK772">
        <v>95</v>
      </c>
      <c r="AL772">
        <v>2095</v>
      </c>
      <c r="AM772">
        <v>884</v>
      </c>
      <c r="AN772">
        <v>-4.2699999999999996</v>
      </c>
      <c r="AO772">
        <v>2.81</v>
      </c>
      <c r="AP772">
        <v>3854</v>
      </c>
      <c r="AQ772">
        <v>36</v>
      </c>
      <c r="AR772">
        <v>10.75</v>
      </c>
      <c r="AS772">
        <v>96</v>
      </c>
      <c r="AT772">
        <v>4.47</v>
      </c>
      <c r="AU772">
        <v>99</v>
      </c>
      <c r="AV772">
        <v>-3.09</v>
      </c>
      <c r="AW772">
        <v>99</v>
      </c>
      <c r="AX772">
        <v>0.16</v>
      </c>
      <c r="AY772">
        <v>99</v>
      </c>
      <c r="AZ772">
        <v>4.97</v>
      </c>
      <c r="BA772">
        <v>96</v>
      </c>
      <c r="BB772">
        <v>4.08</v>
      </c>
      <c r="BC772">
        <v>96</v>
      </c>
      <c r="BD772">
        <v>0</v>
      </c>
      <c r="BE772">
        <v>-0.03</v>
      </c>
      <c r="BF772">
        <v>-0.04</v>
      </c>
      <c r="BG772">
        <v>99</v>
      </c>
      <c r="BH772">
        <v>0.03</v>
      </c>
      <c r="BI772">
        <v>-34.869999999999997</v>
      </c>
      <c r="BJ772">
        <v>159</v>
      </c>
      <c r="BK772">
        <v>70</v>
      </c>
      <c r="BL772">
        <v>0.4</v>
      </c>
      <c r="BM772">
        <v>-0.21</v>
      </c>
      <c r="BN772">
        <v>-1.68</v>
      </c>
      <c r="BO772">
        <v>-1.39</v>
      </c>
      <c r="BP772">
        <v>-2.33</v>
      </c>
      <c r="BQ772">
        <v>0.77</v>
      </c>
      <c r="BR772">
        <v>1.82</v>
      </c>
      <c r="BS772">
        <v>-2.29</v>
      </c>
      <c r="BT772">
        <v>-1.97</v>
      </c>
      <c r="BU772">
        <v>-1.64</v>
      </c>
      <c r="BV772">
        <v>-1.22</v>
      </c>
      <c r="BW772">
        <v>-2.1</v>
      </c>
      <c r="BX772">
        <v>-0.4</v>
      </c>
      <c r="BY772">
        <v>-3.11</v>
      </c>
      <c r="BZ772">
        <v>-1.71</v>
      </c>
      <c r="CA772">
        <v>-1.8</v>
      </c>
      <c r="CB772">
        <v>-1.87</v>
      </c>
      <c r="CC772">
        <v>-1.26</v>
      </c>
      <c r="CD772">
        <v>0.61</v>
      </c>
      <c r="CE772">
        <v>-1.19</v>
      </c>
      <c r="CF772">
        <v>-0.39</v>
      </c>
      <c r="CG772">
        <v>0</v>
      </c>
      <c r="CH772">
        <v>-3.53</v>
      </c>
      <c r="CI772">
        <v>0</v>
      </c>
      <c r="CJ772">
        <v>-1.8</v>
      </c>
      <c r="CK772">
        <v>99</v>
      </c>
      <c r="CL772">
        <v>-0.99</v>
      </c>
      <c r="CM772">
        <v>99</v>
      </c>
      <c r="CN772">
        <v>-0.1</v>
      </c>
      <c r="CO772">
        <v>99</v>
      </c>
      <c r="CP772">
        <v>3.7</v>
      </c>
      <c r="CQ772">
        <v>99</v>
      </c>
      <c r="CR772">
        <v>0</v>
      </c>
      <c r="CS772">
        <v>0</v>
      </c>
      <c r="CT772">
        <v>15.3</v>
      </c>
      <c r="CU772">
        <v>99</v>
      </c>
      <c r="CV772">
        <v>7.0000000000000007E-2</v>
      </c>
      <c r="CW772">
        <v>50</v>
      </c>
      <c r="CX772" t="s">
        <v>792</v>
      </c>
    </row>
    <row r="773" spans="1:102" x14ac:dyDescent="0.3">
      <c r="A773" t="str">
        <f>HYPERLINK("https://webapp.icbf.com/v2/app/bull-search/view/586236547","MOK")</f>
        <v>MOK</v>
      </c>
      <c r="B773" t="s">
        <v>12705</v>
      </c>
      <c r="C773" t="s">
        <v>12706</v>
      </c>
      <c r="D773" s="1">
        <v>39261</v>
      </c>
      <c r="E773" t="s">
        <v>92</v>
      </c>
      <c r="F773">
        <v>50</v>
      </c>
      <c r="G773" t="s">
        <v>93</v>
      </c>
      <c r="H773">
        <v>161.96</v>
      </c>
      <c r="I773">
        <v>94</v>
      </c>
      <c r="J773">
        <v>34.24</v>
      </c>
      <c r="K773">
        <v>99</v>
      </c>
      <c r="L773">
        <v>75.03</v>
      </c>
      <c r="M773">
        <v>91</v>
      </c>
      <c r="N773">
        <v>33.35</v>
      </c>
      <c r="O773">
        <v>94</v>
      </c>
      <c r="P773">
        <v>-17.010000000000002</v>
      </c>
      <c r="Q773">
        <v>98</v>
      </c>
      <c r="R773">
        <v>9.06</v>
      </c>
      <c r="S773">
        <v>86</v>
      </c>
      <c r="T773">
        <v>16.190000000000001</v>
      </c>
      <c r="U773">
        <v>95</v>
      </c>
      <c r="V773">
        <v>11.1</v>
      </c>
      <c r="W773">
        <v>85</v>
      </c>
      <c r="X773" t="s">
        <v>276</v>
      </c>
      <c r="Y773" t="s">
        <v>329</v>
      </c>
      <c r="Z773" t="s">
        <v>330</v>
      </c>
      <c r="AA773" t="s">
        <v>6978</v>
      </c>
      <c r="AB773" t="s">
        <v>144</v>
      </c>
      <c r="AC773">
        <v>355</v>
      </c>
      <c r="AD773">
        <v>135</v>
      </c>
      <c r="AE773">
        <v>99</v>
      </c>
      <c r="AF773">
        <v>128.6</v>
      </c>
      <c r="AG773">
        <v>0.74</v>
      </c>
      <c r="AH773">
        <v>7.53</v>
      </c>
      <c r="AI773">
        <v>-7.0000000000000007E-2</v>
      </c>
      <c r="AJ773">
        <v>0.05</v>
      </c>
      <c r="AK773">
        <v>91</v>
      </c>
      <c r="AL773">
        <v>435</v>
      </c>
      <c r="AM773">
        <v>172</v>
      </c>
      <c r="AN773">
        <v>-3.58</v>
      </c>
      <c r="AO773">
        <v>2.41</v>
      </c>
      <c r="AP773">
        <v>809</v>
      </c>
      <c r="AQ773">
        <v>7</v>
      </c>
      <c r="AR773">
        <v>4.13</v>
      </c>
      <c r="AS773">
        <v>83</v>
      </c>
      <c r="AT773">
        <v>1.99</v>
      </c>
      <c r="AU773">
        <v>96</v>
      </c>
      <c r="AV773">
        <v>-2.06</v>
      </c>
      <c r="AW773">
        <v>99</v>
      </c>
      <c r="AX773">
        <v>-0.77</v>
      </c>
      <c r="AY773">
        <v>94</v>
      </c>
      <c r="AZ773">
        <v>6.27</v>
      </c>
      <c r="BA773">
        <v>82</v>
      </c>
      <c r="BB773">
        <v>5.26</v>
      </c>
      <c r="BC773">
        <v>85</v>
      </c>
      <c r="BD773">
        <v>-0.05</v>
      </c>
      <c r="BE773">
        <v>-0.05</v>
      </c>
      <c r="BF773">
        <v>-0.03</v>
      </c>
      <c r="BG773">
        <v>95</v>
      </c>
      <c r="BH773">
        <v>0.11</v>
      </c>
      <c r="BI773">
        <v>-23.08</v>
      </c>
      <c r="BJ773">
        <v>5</v>
      </c>
      <c r="BK773">
        <v>5</v>
      </c>
      <c r="BL773">
        <v>-2.5</v>
      </c>
      <c r="BM773">
        <v>0.7</v>
      </c>
      <c r="BN773">
        <v>-0.72</v>
      </c>
      <c r="BO773">
        <v>-1.89</v>
      </c>
      <c r="BP773">
        <v>-2.2200000000000002</v>
      </c>
      <c r="BQ773">
        <v>-2.2200000000000002</v>
      </c>
      <c r="BR773">
        <v>2.72</v>
      </c>
      <c r="BS773">
        <v>-1.31</v>
      </c>
      <c r="BT773">
        <v>-3.01</v>
      </c>
      <c r="BU773">
        <v>-1.23</v>
      </c>
      <c r="BV773">
        <v>-1.89</v>
      </c>
      <c r="BW773">
        <v>-2.34</v>
      </c>
      <c r="BX773">
        <v>-1.99</v>
      </c>
      <c r="BY773">
        <v>-2.12</v>
      </c>
      <c r="BZ773">
        <v>-0.32</v>
      </c>
      <c r="CA773">
        <v>-2.17</v>
      </c>
      <c r="CB773">
        <v>-1.76</v>
      </c>
      <c r="CC773">
        <v>-2.15</v>
      </c>
      <c r="CD773">
        <v>1.49</v>
      </c>
      <c r="CE773">
        <v>-1.69</v>
      </c>
      <c r="CF773">
        <v>-2.4</v>
      </c>
      <c r="CG773">
        <v>0</v>
      </c>
      <c r="CH773">
        <v>-2.09</v>
      </c>
      <c r="CI773">
        <v>0</v>
      </c>
      <c r="CJ773">
        <v>-10.4</v>
      </c>
      <c r="CK773">
        <v>98</v>
      </c>
      <c r="CL773">
        <v>-0.53</v>
      </c>
      <c r="CM773">
        <v>98</v>
      </c>
      <c r="CN773">
        <v>-0.39</v>
      </c>
      <c r="CO773">
        <v>98</v>
      </c>
      <c r="CP773">
        <v>-11.7</v>
      </c>
      <c r="CQ773">
        <v>95</v>
      </c>
      <c r="CR773">
        <v>0</v>
      </c>
      <c r="CS773">
        <v>0</v>
      </c>
      <c r="CT773">
        <v>-8.1</v>
      </c>
      <c r="CU773">
        <v>95</v>
      </c>
      <c r="CV773">
        <v>-0.01</v>
      </c>
      <c r="CW773">
        <v>46</v>
      </c>
      <c r="CX773" t="s">
        <v>1229</v>
      </c>
    </row>
    <row r="774" spans="1:102" x14ac:dyDescent="0.3">
      <c r="A774" t="str">
        <f>HYPERLINK("https://webapp.icbf.com/v2/app/bull-search/view/550980728","OKM")</f>
        <v>OKM</v>
      </c>
      <c r="B774" t="s">
        <v>12958</v>
      </c>
      <c r="C774" t="s">
        <v>2111</v>
      </c>
      <c r="D774" s="1">
        <v>38553</v>
      </c>
      <c r="E774" t="s">
        <v>227</v>
      </c>
      <c r="F774">
        <v>0</v>
      </c>
      <c r="G774" t="s">
        <v>93</v>
      </c>
      <c r="H774">
        <v>161.94</v>
      </c>
      <c r="I774">
        <v>98</v>
      </c>
      <c r="J774">
        <v>75.12</v>
      </c>
      <c r="K774">
        <v>99</v>
      </c>
      <c r="L774">
        <v>45.28</v>
      </c>
      <c r="M774">
        <v>97</v>
      </c>
      <c r="N774">
        <v>41.25</v>
      </c>
      <c r="O774">
        <v>99</v>
      </c>
      <c r="P774">
        <v>-56.15</v>
      </c>
      <c r="Q774">
        <v>99</v>
      </c>
      <c r="R774">
        <v>4.93</v>
      </c>
      <c r="S774">
        <v>97</v>
      </c>
      <c r="T774">
        <v>50.6</v>
      </c>
      <c r="U774">
        <v>99</v>
      </c>
      <c r="V774">
        <v>0.91</v>
      </c>
      <c r="W774">
        <v>90</v>
      </c>
      <c r="X774" t="s">
        <v>94</v>
      </c>
      <c r="Y774" t="s">
        <v>1756</v>
      </c>
      <c r="Z774">
        <v>0</v>
      </c>
      <c r="AA774" t="s">
        <v>1634</v>
      </c>
      <c r="AB774" t="s">
        <v>12959</v>
      </c>
      <c r="AC774">
        <v>4019</v>
      </c>
      <c r="AD774">
        <v>573</v>
      </c>
      <c r="AE774">
        <v>99</v>
      </c>
      <c r="AF774">
        <v>-146.38</v>
      </c>
      <c r="AG774">
        <v>12.62</v>
      </c>
      <c r="AH774">
        <v>6.07</v>
      </c>
      <c r="AI774">
        <v>0.33</v>
      </c>
      <c r="AJ774">
        <v>0.2</v>
      </c>
      <c r="AK774">
        <v>97</v>
      </c>
      <c r="AL774">
        <v>3842</v>
      </c>
      <c r="AM774">
        <v>659</v>
      </c>
      <c r="AN774">
        <v>-1</v>
      </c>
      <c r="AO774">
        <v>2.63</v>
      </c>
      <c r="AP774">
        <v>8031</v>
      </c>
      <c r="AQ774">
        <v>21</v>
      </c>
      <c r="AR774">
        <v>2.85</v>
      </c>
      <c r="AS774">
        <v>99</v>
      </c>
      <c r="AT774">
        <v>1.42</v>
      </c>
      <c r="AU774">
        <v>99</v>
      </c>
      <c r="AV774">
        <v>-2.5</v>
      </c>
      <c r="AW774">
        <v>99</v>
      </c>
      <c r="AX774">
        <v>0.48</v>
      </c>
      <c r="AY774">
        <v>99</v>
      </c>
      <c r="AZ774">
        <v>6.06</v>
      </c>
      <c r="BA774">
        <v>98</v>
      </c>
      <c r="BB774">
        <v>4.8</v>
      </c>
      <c r="BC774">
        <v>98</v>
      </c>
      <c r="BD774">
        <v>-0.05</v>
      </c>
      <c r="BE774">
        <v>0</v>
      </c>
      <c r="BF774">
        <v>-0.03</v>
      </c>
      <c r="BG774">
        <v>99</v>
      </c>
      <c r="BH774">
        <v>0.11</v>
      </c>
      <c r="BI774">
        <v>9.8000000000000007</v>
      </c>
      <c r="BJ774">
        <v>16</v>
      </c>
      <c r="BK774">
        <v>11</v>
      </c>
      <c r="BL774">
        <v>-2.7</v>
      </c>
      <c r="BM774">
        <v>-0.43</v>
      </c>
      <c r="BN774">
        <v>0.93</v>
      </c>
      <c r="BO774">
        <v>1.57</v>
      </c>
      <c r="BP774">
        <v>-0.5</v>
      </c>
      <c r="BQ774">
        <v>-4.3899999999999997</v>
      </c>
      <c r="BR774">
        <v>1.79</v>
      </c>
      <c r="BS774">
        <v>8.4</v>
      </c>
      <c r="BT774">
        <v>-0.7</v>
      </c>
      <c r="BU774">
        <v>-1.19</v>
      </c>
      <c r="BV774">
        <v>-0.24</v>
      </c>
      <c r="BW774">
        <v>-3.67</v>
      </c>
      <c r="BX774">
        <v>-5.33</v>
      </c>
      <c r="BY774">
        <v>0.02</v>
      </c>
      <c r="BZ774">
        <v>1.84</v>
      </c>
      <c r="CA774">
        <v>1.59</v>
      </c>
      <c r="CB774">
        <v>-0.8</v>
      </c>
      <c r="CC774">
        <v>6.11</v>
      </c>
      <c r="CD774">
        <v>-1.53</v>
      </c>
      <c r="CE774">
        <v>1.9</v>
      </c>
      <c r="CF774">
        <v>-1.9</v>
      </c>
      <c r="CG774">
        <v>0</v>
      </c>
      <c r="CH774">
        <v>-2.33</v>
      </c>
      <c r="CI774">
        <v>0</v>
      </c>
      <c r="CJ774">
        <v>-28.2</v>
      </c>
      <c r="CK774">
        <v>99</v>
      </c>
      <c r="CL774">
        <v>-1.1100000000000001</v>
      </c>
      <c r="CM774">
        <v>99</v>
      </c>
      <c r="CN774">
        <v>-0.03</v>
      </c>
      <c r="CO774">
        <v>99</v>
      </c>
      <c r="CP774">
        <v>-40.9</v>
      </c>
      <c r="CQ774">
        <v>99</v>
      </c>
      <c r="CR774">
        <v>0</v>
      </c>
      <c r="CS774">
        <v>0</v>
      </c>
      <c r="CT774">
        <v>-54.6</v>
      </c>
      <c r="CU774">
        <v>99</v>
      </c>
      <c r="CV774">
        <v>-0.18</v>
      </c>
      <c r="CW774">
        <v>51</v>
      </c>
      <c r="CX774" t="s">
        <v>1936</v>
      </c>
    </row>
    <row r="775" spans="1:102" x14ac:dyDescent="0.3">
      <c r="A775" t="str">
        <f>HYPERLINK("https://webapp.icbf.com/v2/app/bull-search/view/668117778","SFW")</f>
        <v>SFW</v>
      </c>
      <c r="B775" t="s">
        <v>12722</v>
      </c>
      <c r="C775" t="s">
        <v>12723</v>
      </c>
      <c r="D775" s="1">
        <v>39846</v>
      </c>
      <c r="E775" t="s">
        <v>92</v>
      </c>
      <c r="F775">
        <v>75</v>
      </c>
      <c r="G775" t="s">
        <v>93</v>
      </c>
      <c r="H775">
        <v>161.84</v>
      </c>
      <c r="I775">
        <v>87</v>
      </c>
      <c r="J775">
        <v>81.38</v>
      </c>
      <c r="K775">
        <v>98</v>
      </c>
      <c r="L775">
        <v>32.950000000000003</v>
      </c>
      <c r="M775">
        <v>77</v>
      </c>
      <c r="N775">
        <v>56.37</v>
      </c>
      <c r="O775">
        <v>89</v>
      </c>
      <c r="P775">
        <v>-17.899999999999999</v>
      </c>
      <c r="Q775">
        <v>95</v>
      </c>
      <c r="R775">
        <v>-3.44</v>
      </c>
      <c r="S775">
        <v>79</v>
      </c>
      <c r="T775">
        <v>7.68</v>
      </c>
      <c r="U775">
        <v>89</v>
      </c>
      <c r="V775">
        <v>4.8</v>
      </c>
      <c r="W775">
        <v>72</v>
      </c>
      <c r="X775" t="s">
        <v>94</v>
      </c>
      <c r="Y775" t="s">
        <v>1727</v>
      </c>
      <c r="Z775" t="s">
        <v>96</v>
      </c>
      <c r="AA775" t="s">
        <v>316</v>
      </c>
      <c r="AB775" t="s">
        <v>12724</v>
      </c>
      <c r="AC775">
        <v>159</v>
      </c>
      <c r="AD775">
        <v>96</v>
      </c>
      <c r="AE775">
        <v>98</v>
      </c>
      <c r="AF775">
        <v>497.2</v>
      </c>
      <c r="AG775">
        <v>12.89</v>
      </c>
      <c r="AH775">
        <v>16.89</v>
      </c>
      <c r="AI775">
        <v>-0.1</v>
      </c>
      <c r="AJ775">
        <v>0</v>
      </c>
      <c r="AK775">
        <v>77</v>
      </c>
      <c r="AL775">
        <v>166</v>
      </c>
      <c r="AM775">
        <v>103</v>
      </c>
      <c r="AN775">
        <v>-2.37</v>
      </c>
      <c r="AO775">
        <v>0.25</v>
      </c>
      <c r="AP775">
        <v>345</v>
      </c>
      <c r="AQ775">
        <v>1</v>
      </c>
      <c r="AR775">
        <v>4.12</v>
      </c>
      <c r="AS775">
        <v>71</v>
      </c>
      <c r="AT775">
        <v>1.8</v>
      </c>
      <c r="AU775">
        <v>90</v>
      </c>
      <c r="AV775">
        <v>-4.5199999999999996</v>
      </c>
      <c r="AW775">
        <v>98</v>
      </c>
      <c r="AX775">
        <v>-0.79</v>
      </c>
      <c r="AY775">
        <v>87</v>
      </c>
      <c r="AZ775">
        <v>6.45</v>
      </c>
      <c r="BA775">
        <v>70</v>
      </c>
      <c r="BB775">
        <v>4.74</v>
      </c>
      <c r="BC775">
        <v>72</v>
      </c>
      <c r="BD775">
        <v>0</v>
      </c>
      <c r="BE775">
        <v>0.01</v>
      </c>
      <c r="BF775">
        <v>0.06</v>
      </c>
      <c r="BG775">
        <v>89</v>
      </c>
      <c r="BH775">
        <v>0.02</v>
      </c>
      <c r="BI775">
        <v>-13.17</v>
      </c>
      <c r="BJ775">
        <v>11</v>
      </c>
      <c r="BK775">
        <v>10</v>
      </c>
      <c r="BL775">
        <v>-0.71</v>
      </c>
      <c r="BM775">
        <v>0.89</v>
      </c>
      <c r="BN775">
        <v>-0.96</v>
      </c>
      <c r="BO775">
        <v>-1.1100000000000001</v>
      </c>
      <c r="BP775">
        <v>3.73</v>
      </c>
      <c r="BQ775">
        <v>-0.81</v>
      </c>
      <c r="BR775">
        <v>-1.43</v>
      </c>
      <c r="BS775">
        <v>0.39</v>
      </c>
      <c r="BT775">
        <v>0.67</v>
      </c>
      <c r="BU775">
        <v>-0.22</v>
      </c>
      <c r="BV775">
        <v>-1.07</v>
      </c>
      <c r="BW775">
        <v>-1.26</v>
      </c>
      <c r="BX775">
        <v>0.27</v>
      </c>
      <c r="BY775">
        <v>0.1</v>
      </c>
      <c r="BZ775">
        <v>-0.18</v>
      </c>
      <c r="CA775">
        <v>0.01</v>
      </c>
      <c r="CB775">
        <v>-0.44</v>
      </c>
      <c r="CC775">
        <v>0.7</v>
      </c>
      <c r="CD775">
        <v>1.37</v>
      </c>
      <c r="CE775">
        <v>-0.64</v>
      </c>
      <c r="CF775">
        <v>-0.34</v>
      </c>
      <c r="CG775">
        <v>0</v>
      </c>
      <c r="CH775">
        <v>-1.97</v>
      </c>
      <c r="CI775">
        <v>0</v>
      </c>
      <c r="CJ775">
        <v>-7.2</v>
      </c>
      <c r="CK775">
        <v>96</v>
      </c>
      <c r="CL775">
        <v>-0.78</v>
      </c>
      <c r="CM775">
        <v>95</v>
      </c>
      <c r="CN775">
        <v>-0.03</v>
      </c>
      <c r="CO775">
        <v>95</v>
      </c>
      <c r="CP775">
        <v>-1.8</v>
      </c>
      <c r="CQ775">
        <v>89</v>
      </c>
      <c r="CR775">
        <v>0</v>
      </c>
      <c r="CS775">
        <v>0</v>
      </c>
      <c r="CT775">
        <v>3.4</v>
      </c>
      <c r="CU775">
        <v>89</v>
      </c>
      <c r="CV775">
        <v>0.15</v>
      </c>
      <c r="CW775">
        <v>34</v>
      </c>
      <c r="CX775" t="s">
        <v>792</v>
      </c>
    </row>
    <row r="776" spans="1:102" x14ac:dyDescent="0.3">
      <c r="A776" t="str">
        <f>HYPERLINK("https://webapp.icbf.com/v2/app/bull-search/view/947779117","WKC")</f>
        <v>WKC</v>
      </c>
      <c r="B776" t="s">
        <v>13444</v>
      </c>
      <c r="C776" t="s">
        <v>13445</v>
      </c>
      <c r="D776" s="1">
        <v>40939</v>
      </c>
      <c r="E776" t="s">
        <v>92</v>
      </c>
      <c r="F776">
        <v>66</v>
      </c>
      <c r="G776" t="s">
        <v>435</v>
      </c>
      <c r="H776">
        <v>161.65</v>
      </c>
      <c r="I776">
        <v>73</v>
      </c>
      <c r="J776">
        <v>61.83</v>
      </c>
      <c r="K776">
        <v>90</v>
      </c>
      <c r="L776">
        <v>56.85</v>
      </c>
      <c r="M776">
        <v>66</v>
      </c>
      <c r="N776">
        <v>35.409999999999997</v>
      </c>
      <c r="O776">
        <v>60</v>
      </c>
      <c r="P776">
        <v>3.07</v>
      </c>
      <c r="Q776">
        <v>69</v>
      </c>
      <c r="R776">
        <v>6.1</v>
      </c>
      <c r="S776">
        <v>67</v>
      </c>
      <c r="T776">
        <v>-3.79</v>
      </c>
      <c r="U776">
        <v>57</v>
      </c>
      <c r="V776">
        <v>2.1800000000000002</v>
      </c>
      <c r="W776">
        <v>64</v>
      </c>
      <c r="X776" t="s">
        <v>94</v>
      </c>
      <c r="Y776" t="s">
        <v>1976</v>
      </c>
      <c r="Z776" t="s">
        <v>96</v>
      </c>
      <c r="AA776" t="s">
        <v>2159</v>
      </c>
      <c r="AB776" t="s">
        <v>13446</v>
      </c>
      <c r="AC776">
        <v>5</v>
      </c>
      <c r="AD776">
        <v>1</v>
      </c>
      <c r="AE776">
        <v>90</v>
      </c>
      <c r="AF776">
        <v>16.28</v>
      </c>
      <c r="AG776">
        <v>10.67</v>
      </c>
      <c r="AH776">
        <v>6.99</v>
      </c>
      <c r="AI776">
        <v>0.17</v>
      </c>
      <c r="AJ776">
        <v>0.11</v>
      </c>
      <c r="AK776">
        <v>66</v>
      </c>
      <c r="AL776">
        <v>4</v>
      </c>
      <c r="AM776">
        <v>1</v>
      </c>
      <c r="AN776">
        <v>-1.83</v>
      </c>
      <c r="AO776">
        <v>2.72</v>
      </c>
      <c r="AP776">
        <v>17</v>
      </c>
      <c r="AQ776">
        <v>0</v>
      </c>
      <c r="AR776">
        <v>5.21</v>
      </c>
      <c r="AS776">
        <v>66</v>
      </c>
      <c r="AT776">
        <v>1.98</v>
      </c>
      <c r="AU776">
        <v>62</v>
      </c>
      <c r="AV776">
        <v>-3.02</v>
      </c>
      <c r="AW776">
        <v>64</v>
      </c>
      <c r="AX776">
        <v>-0.23</v>
      </c>
      <c r="AY776">
        <v>54</v>
      </c>
      <c r="AZ776">
        <v>6.57</v>
      </c>
      <c r="BA776">
        <v>44</v>
      </c>
      <c r="BB776">
        <v>5.59</v>
      </c>
      <c r="BC776">
        <v>47</v>
      </c>
      <c r="BD776">
        <v>-0.08</v>
      </c>
      <c r="BE776">
        <v>-0.03</v>
      </c>
      <c r="BF776">
        <v>0.05</v>
      </c>
      <c r="BG776">
        <v>75</v>
      </c>
      <c r="BH776">
        <v>0.1</v>
      </c>
      <c r="BI776">
        <v>4.53</v>
      </c>
      <c r="BJ776">
        <v>0</v>
      </c>
      <c r="BK776">
        <v>0</v>
      </c>
      <c r="BL776">
        <v>-0.51</v>
      </c>
      <c r="BM776">
        <v>7.0000000000000007E-2</v>
      </c>
      <c r="BN776">
        <v>-1.51</v>
      </c>
      <c r="BO776">
        <v>-0.53</v>
      </c>
      <c r="BP776">
        <v>0.08</v>
      </c>
      <c r="BQ776">
        <v>0.96</v>
      </c>
      <c r="BR776">
        <v>0.41</v>
      </c>
      <c r="BS776">
        <v>-1.4</v>
      </c>
      <c r="BT776">
        <v>-1.69</v>
      </c>
      <c r="BU776">
        <v>-1.1599999999999999</v>
      </c>
      <c r="BV776">
        <v>-0.47</v>
      </c>
      <c r="BW776">
        <v>-2.2999999999999998</v>
      </c>
      <c r="BX776">
        <v>-0.89</v>
      </c>
      <c r="BY776">
        <v>-1.31</v>
      </c>
      <c r="BZ776">
        <v>-1.65</v>
      </c>
      <c r="CA776">
        <v>-0.95</v>
      </c>
      <c r="CB776">
        <v>-0.84</v>
      </c>
      <c r="CC776">
        <v>-1.07</v>
      </c>
      <c r="CD776">
        <v>0.8</v>
      </c>
      <c r="CE776">
        <v>-0.5</v>
      </c>
      <c r="CF776">
        <v>-0.23</v>
      </c>
      <c r="CG776">
        <v>0</v>
      </c>
      <c r="CH776">
        <v>-1.1399999999999999</v>
      </c>
      <c r="CI776">
        <v>0</v>
      </c>
      <c r="CJ776">
        <v>5</v>
      </c>
      <c r="CK776">
        <v>72</v>
      </c>
      <c r="CL776">
        <v>-0.57999999999999996</v>
      </c>
      <c r="CM776">
        <v>66</v>
      </c>
      <c r="CN776">
        <v>-0.13</v>
      </c>
      <c r="CO776">
        <v>64</v>
      </c>
      <c r="CP776">
        <v>4.2</v>
      </c>
      <c r="CQ776">
        <v>59</v>
      </c>
      <c r="CR776">
        <v>0</v>
      </c>
      <c r="CS776">
        <v>0</v>
      </c>
      <c r="CT776">
        <v>18.899999999999999</v>
      </c>
      <c r="CU776">
        <v>57</v>
      </c>
      <c r="CV776">
        <v>0.27</v>
      </c>
      <c r="CW776">
        <v>41</v>
      </c>
      <c r="CX776" t="s">
        <v>5174</v>
      </c>
    </row>
    <row r="777" spans="1:102" x14ac:dyDescent="0.3">
      <c r="A777" t="str">
        <f>HYPERLINK("https://webapp.icbf.com/v2/app/bull-search/view/497619184","MHZ")</f>
        <v>MHZ</v>
      </c>
      <c r="B777" t="s">
        <v>9709</v>
      </c>
      <c r="C777" t="s">
        <v>9710</v>
      </c>
      <c r="D777" s="1">
        <v>39130</v>
      </c>
      <c r="E777" t="s">
        <v>108</v>
      </c>
      <c r="F777">
        <v>16</v>
      </c>
      <c r="G777" t="s">
        <v>435</v>
      </c>
      <c r="H777">
        <v>161.53</v>
      </c>
      <c r="I777">
        <v>72</v>
      </c>
      <c r="J777">
        <v>22.73</v>
      </c>
      <c r="K777">
        <v>89</v>
      </c>
      <c r="L777">
        <v>112.01</v>
      </c>
      <c r="M777">
        <v>67</v>
      </c>
      <c r="N777">
        <v>25.52</v>
      </c>
      <c r="O777">
        <v>62</v>
      </c>
      <c r="P777">
        <v>-12.89</v>
      </c>
      <c r="Q777">
        <v>66</v>
      </c>
      <c r="R777">
        <v>-3.68</v>
      </c>
      <c r="S777">
        <v>67</v>
      </c>
      <c r="T777">
        <v>16.93</v>
      </c>
      <c r="U777">
        <v>53</v>
      </c>
      <c r="V777">
        <v>0.91</v>
      </c>
      <c r="W777">
        <v>63</v>
      </c>
      <c r="X777" t="s">
        <v>94</v>
      </c>
      <c r="Y777" t="s">
        <v>1374</v>
      </c>
      <c r="Z777" t="s">
        <v>96</v>
      </c>
      <c r="AA777" t="s">
        <v>1543</v>
      </c>
      <c r="AB777" t="s">
        <v>9711</v>
      </c>
      <c r="AC777">
        <v>6</v>
      </c>
      <c r="AD777">
        <v>4</v>
      </c>
      <c r="AE777">
        <v>89</v>
      </c>
      <c r="AF777">
        <v>-170.35</v>
      </c>
      <c r="AG777">
        <v>6.92</v>
      </c>
      <c r="AH777">
        <v>-1.19</v>
      </c>
      <c r="AI777">
        <v>0.24</v>
      </c>
      <c r="AJ777">
        <v>0.08</v>
      </c>
      <c r="AK777">
        <v>67</v>
      </c>
      <c r="AL777">
        <v>4</v>
      </c>
      <c r="AM777">
        <v>2</v>
      </c>
      <c r="AN777">
        <v>-7.11</v>
      </c>
      <c r="AO777">
        <v>1.81</v>
      </c>
      <c r="AP777">
        <v>9</v>
      </c>
      <c r="AQ777">
        <v>1</v>
      </c>
      <c r="AR777">
        <v>5.89</v>
      </c>
      <c r="AS777">
        <v>57</v>
      </c>
      <c r="AT777">
        <v>2.33</v>
      </c>
      <c r="AU777">
        <v>65</v>
      </c>
      <c r="AV777">
        <v>-2.4700000000000002</v>
      </c>
      <c r="AW777">
        <v>69</v>
      </c>
      <c r="AX777">
        <v>1.98</v>
      </c>
      <c r="AY777">
        <v>52</v>
      </c>
      <c r="AZ777">
        <v>7.39</v>
      </c>
      <c r="BA777">
        <v>46</v>
      </c>
      <c r="BB777">
        <v>4.59</v>
      </c>
      <c r="BC777">
        <v>47</v>
      </c>
      <c r="BD777">
        <v>0.01</v>
      </c>
      <c r="BE777">
        <v>0.02</v>
      </c>
      <c r="BF777">
        <v>0.03</v>
      </c>
      <c r="BG777">
        <v>75</v>
      </c>
      <c r="BH777">
        <v>0.06</v>
      </c>
      <c r="BI777">
        <v>4</v>
      </c>
      <c r="BJ777">
        <v>0</v>
      </c>
      <c r="BK777">
        <v>0</v>
      </c>
      <c r="BL777">
        <v>-1.97</v>
      </c>
      <c r="BM777">
        <v>0.49</v>
      </c>
      <c r="BN777">
        <v>-1.0900000000000001</v>
      </c>
      <c r="BO777">
        <v>-1.49</v>
      </c>
      <c r="BP777">
        <v>1.32</v>
      </c>
      <c r="BQ777">
        <v>-0.53</v>
      </c>
      <c r="BR777">
        <v>-1.28</v>
      </c>
      <c r="BS777">
        <v>1.33</v>
      </c>
      <c r="BT777">
        <v>0.37</v>
      </c>
      <c r="BU777">
        <v>-0.34</v>
      </c>
      <c r="BV777">
        <v>-0.42</v>
      </c>
      <c r="BW777">
        <v>-0.41</v>
      </c>
      <c r="BX777">
        <v>-0.68</v>
      </c>
      <c r="BY777">
        <v>-0.39</v>
      </c>
      <c r="BZ777">
        <v>-0.96</v>
      </c>
      <c r="CA777">
        <v>-0.53</v>
      </c>
      <c r="CB777">
        <v>-0.36</v>
      </c>
      <c r="CC777">
        <v>-0.28999999999999998</v>
      </c>
      <c r="CD777">
        <v>1.29</v>
      </c>
      <c r="CE777">
        <v>-1.56</v>
      </c>
      <c r="CF777">
        <v>-1.73</v>
      </c>
      <c r="CG777">
        <v>0</v>
      </c>
      <c r="CH777">
        <v>0.14000000000000001</v>
      </c>
      <c r="CI777">
        <v>0</v>
      </c>
      <c r="CJ777">
        <v>-5.8</v>
      </c>
      <c r="CK777">
        <v>68</v>
      </c>
      <c r="CL777">
        <v>-0.6</v>
      </c>
      <c r="CM777">
        <v>65</v>
      </c>
      <c r="CN777">
        <v>-0.25</v>
      </c>
      <c r="CO777">
        <v>63</v>
      </c>
      <c r="CP777">
        <v>-10.8</v>
      </c>
      <c r="CQ777">
        <v>55</v>
      </c>
      <c r="CR777">
        <v>0</v>
      </c>
      <c r="CS777">
        <v>0</v>
      </c>
      <c r="CT777">
        <v>-9.1</v>
      </c>
      <c r="CU777">
        <v>53</v>
      </c>
      <c r="CV777">
        <v>0.11</v>
      </c>
      <c r="CW777">
        <v>40</v>
      </c>
      <c r="CX777" t="s">
        <v>792</v>
      </c>
    </row>
    <row r="778" spans="1:102" x14ac:dyDescent="0.3">
      <c r="A778" t="str">
        <f>HYPERLINK("https://webapp.icbf.com/v2/app/bull-search/view/1353033041","FR4264")</f>
        <v>FR4264</v>
      </c>
      <c r="B778" t="s">
        <v>6184</v>
      </c>
      <c r="C778" t="s">
        <v>6185</v>
      </c>
      <c r="D778" s="1">
        <v>42379</v>
      </c>
      <c r="E778" t="s">
        <v>108</v>
      </c>
      <c r="F778">
        <v>31</v>
      </c>
      <c r="G778" t="s">
        <v>435</v>
      </c>
      <c r="H778">
        <v>161.5</v>
      </c>
      <c r="I778">
        <v>70</v>
      </c>
      <c r="J778">
        <v>41.37</v>
      </c>
      <c r="K778">
        <v>87</v>
      </c>
      <c r="L778">
        <v>68.89</v>
      </c>
      <c r="M778">
        <v>58</v>
      </c>
      <c r="N778">
        <v>34.090000000000003</v>
      </c>
      <c r="O778">
        <v>81</v>
      </c>
      <c r="P778">
        <v>4.0599999999999996</v>
      </c>
      <c r="Q778">
        <v>70</v>
      </c>
      <c r="R778">
        <v>4.49</v>
      </c>
      <c r="S778">
        <v>57</v>
      </c>
      <c r="T778">
        <v>5.39</v>
      </c>
      <c r="U778">
        <v>51</v>
      </c>
      <c r="V778">
        <v>3.21</v>
      </c>
      <c r="W778">
        <v>50</v>
      </c>
      <c r="X778" t="s">
        <v>276</v>
      </c>
      <c r="Y778" t="s">
        <v>2255</v>
      </c>
      <c r="Z778" t="s">
        <v>96</v>
      </c>
      <c r="AA778" t="s">
        <v>6186</v>
      </c>
      <c r="AB778" t="s">
        <v>6187</v>
      </c>
      <c r="AC778">
        <v>0</v>
      </c>
      <c r="AD778">
        <v>0</v>
      </c>
      <c r="AE778">
        <v>87</v>
      </c>
      <c r="AF778">
        <v>-44.54</v>
      </c>
      <c r="AG778">
        <v>7.02</v>
      </c>
      <c r="AH778">
        <v>3.87</v>
      </c>
      <c r="AI778">
        <v>0.15</v>
      </c>
      <c r="AJ778">
        <v>0.1</v>
      </c>
      <c r="AK778">
        <v>58</v>
      </c>
      <c r="AL778">
        <v>0</v>
      </c>
      <c r="AM778">
        <v>0</v>
      </c>
      <c r="AN778">
        <v>-4.84</v>
      </c>
      <c r="AO778">
        <v>0.64</v>
      </c>
      <c r="AP778">
        <v>323</v>
      </c>
      <c r="AQ778">
        <v>1</v>
      </c>
      <c r="AR778">
        <v>7.66</v>
      </c>
      <c r="AS778">
        <v>65</v>
      </c>
      <c r="AT778">
        <v>2.76</v>
      </c>
      <c r="AU778">
        <v>89</v>
      </c>
      <c r="AV778">
        <v>-3.95</v>
      </c>
      <c r="AW778">
        <v>97</v>
      </c>
      <c r="AX778">
        <v>-0.61</v>
      </c>
      <c r="AY778">
        <v>84</v>
      </c>
      <c r="AZ778">
        <v>6.32</v>
      </c>
      <c r="BA778">
        <v>39</v>
      </c>
      <c r="BB778">
        <v>5.38</v>
      </c>
      <c r="BC778">
        <v>36</v>
      </c>
      <c r="BD778">
        <v>0.01</v>
      </c>
      <c r="BE778">
        <v>0</v>
      </c>
      <c r="BF778">
        <v>-0.12</v>
      </c>
      <c r="BG778">
        <v>68</v>
      </c>
      <c r="BH778">
        <v>0.11</v>
      </c>
      <c r="BI778">
        <v>2.37</v>
      </c>
      <c r="BJ778">
        <v>0</v>
      </c>
      <c r="BK778">
        <v>0</v>
      </c>
      <c r="BL778">
        <v>-1.85</v>
      </c>
      <c r="BM778">
        <v>2.14</v>
      </c>
      <c r="BN778">
        <v>-1.1000000000000001</v>
      </c>
      <c r="BO778">
        <v>-2.14</v>
      </c>
      <c r="BP778">
        <v>0.69</v>
      </c>
      <c r="BQ778">
        <v>0.85</v>
      </c>
      <c r="BR778">
        <v>-1.69</v>
      </c>
      <c r="BS778">
        <v>-0.86</v>
      </c>
      <c r="BT778">
        <v>0.32</v>
      </c>
      <c r="BU778">
        <v>-1.29</v>
      </c>
      <c r="BV778">
        <v>-1.76</v>
      </c>
      <c r="BW778">
        <v>-1.18</v>
      </c>
      <c r="BX778">
        <v>-0.19</v>
      </c>
      <c r="BY778">
        <v>-1</v>
      </c>
      <c r="BZ778">
        <v>0.01</v>
      </c>
      <c r="CA778">
        <v>-1.69</v>
      </c>
      <c r="CB778">
        <v>-1.91</v>
      </c>
      <c r="CC778">
        <v>-1.1399999999999999</v>
      </c>
      <c r="CD778">
        <v>2.2400000000000002</v>
      </c>
      <c r="CE778">
        <v>-1.68</v>
      </c>
      <c r="CF778">
        <v>-0.99</v>
      </c>
      <c r="CG778">
        <v>0</v>
      </c>
      <c r="CH778">
        <v>-2.57</v>
      </c>
      <c r="CI778">
        <v>0</v>
      </c>
      <c r="CJ778">
        <v>0.4</v>
      </c>
      <c r="CK778">
        <v>74</v>
      </c>
      <c r="CL778">
        <v>-0.26</v>
      </c>
      <c r="CM778">
        <v>69</v>
      </c>
      <c r="CN778">
        <v>-0.54</v>
      </c>
      <c r="CO778">
        <v>67</v>
      </c>
      <c r="CP778">
        <v>-0.9</v>
      </c>
      <c r="CQ778">
        <v>54</v>
      </c>
      <c r="CR778">
        <v>0</v>
      </c>
      <c r="CS778">
        <v>0</v>
      </c>
      <c r="CT778">
        <v>6.5</v>
      </c>
      <c r="CU778">
        <v>51</v>
      </c>
      <c r="CV778">
        <v>0.06</v>
      </c>
      <c r="CW778">
        <v>40</v>
      </c>
      <c r="CX778" t="s">
        <v>6188</v>
      </c>
    </row>
    <row r="779" spans="1:102" x14ac:dyDescent="0.3">
      <c r="A779" t="str">
        <f>HYPERLINK("https://webapp.icbf.com/v2/app/bull-search/view/760393210","DJV")</f>
        <v>DJV</v>
      </c>
      <c r="B779" t="s">
        <v>1867</v>
      </c>
      <c r="C779" t="s">
        <v>1868</v>
      </c>
      <c r="D779" s="1">
        <v>40005</v>
      </c>
      <c r="E779" t="s">
        <v>92</v>
      </c>
      <c r="F779">
        <v>69</v>
      </c>
      <c r="G779" t="s">
        <v>93</v>
      </c>
      <c r="H779">
        <v>161.47</v>
      </c>
      <c r="I779">
        <v>79</v>
      </c>
      <c r="J779">
        <v>44.84</v>
      </c>
      <c r="K779">
        <v>93</v>
      </c>
      <c r="L779">
        <v>92.35</v>
      </c>
      <c r="M779">
        <v>71</v>
      </c>
      <c r="N779">
        <v>22.13</v>
      </c>
      <c r="O779">
        <v>73</v>
      </c>
      <c r="P779">
        <v>-28.4</v>
      </c>
      <c r="Q779">
        <v>83</v>
      </c>
      <c r="R779">
        <v>-0.87</v>
      </c>
      <c r="S779">
        <v>67</v>
      </c>
      <c r="T779">
        <v>32.99</v>
      </c>
      <c r="U779">
        <v>70</v>
      </c>
      <c r="V779">
        <v>-1.57</v>
      </c>
      <c r="W779">
        <v>60</v>
      </c>
      <c r="X779" t="s">
        <v>94</v>
      </c>
      <c r="Y779" t="s">
        <v>1775</v>
      </c>
      <c r="Z779" t="s">
        <v>330</v>
      </c>
      <c r="AA779" t="s">
        <v>1869</v>
      </c>
      <c r="AB779" t="s">
        <v>1870</v>
      </c>
      <c r="AC779">
        <v>42</v>
      </c>
      <c r="AD779">
        <v>16</v>
      </c>
      <c r="AE779">
        <v>93</v>
      </c>
      <c r="AF779">
        <v>55.01</v>
      </c>
      <c r="AG779">
        <v>8.02</v>
      </c>
      <c r="AH779">
        <v>5.63</v>
      </c>
      <c r="AI779">
        <v>0.1</v>
      </c>
      <c r="AJ779">
        <v>7.0000000000000007E-2</v>
      </c>
      <c r="AK779">
        <v>71</v>
      </c>
      <c r="AL779">
        <v>41</v>
      </c>
      <c r="AM779">
        <v>17</v>
      </c>
      <c r="AN779">
        <v>-5.42</v>
      </c>
      <c r="AO779">
        <v>1.94</v>
      </c>
      <c r="AP779">
        <v>68</v>
      </c>
      <c r="AQ779">
        <v>0</v>
      </c>
      <c r="AR779">
        <v>5.96</v>
      </c>
      <c r="AS779">
        <v>66</v>
      </c>
      <c r="AT779">
        <v>2.16</v>
      </c>
      <c r="AU779">
        <v>70</v>
      </c>
      <c r="AV779">
        <v>-1.93</v>
      </c>
      <c r="AW779">
        <v>89</v>
      </c>
      <c r="AX779">
        <v>0.15</v>
      </c>
      <c r="AY779">
        <v>67</v>
      </c>
      <c r="AZ779">
        <v>7.48</v>
      </c>
      <c r="BA779">
        <v>42</v>
      </c>
      <c r="BB779">
        <v>5.5</v>
      </c>
      <c r="BC779">
        <v>44</v>
      </c>
      <c r="BD779">
        <v>0</v>
      </c>
      <c r="BE779">
        <v>0</v>
      </c>
      <c r="BF779">
        <v>0.02</v>
      </c>
      <c r="BG779">
        <v>84</v>
      </c>
      <c r="BH779">
        <v>-0.06</v>
      </c>
      <c r="BI779">
        <v>-1.89</v>
      </c>
      <c r="BJ779">
        <v>0</v>
      </c>
      <c r="BK779">
        <v>0</v>
      </c>
      <c r="BL779">
        <v>-1.52</v>
      </c>
      <c r="BM779">
        <v>-0.43</v>
      </c>
      <c r="BN779">
        <v>-1.69</v>
      </c>
      <c r="BO779">
        <v>-0.93</v>
      </c>
      <c r="BP779">
        <v>-2.02</v>
      </c>
      <c r="BQ779">
        <v>-1.06</v>
      </c>
      <c r="BR779">
        <v>1.41</v>
      </c>
      <c r="BS779">
        <v>-0.89</v>
      </c>
      <c r="BT779">
        <v>-0.27</v>
      </c>
      <c r="BU779">
        <v>-0.8</v>
      </c>
      <c r="BV779">
        <v>-1.49</v>
      </c>
      <c r="BW779">
        <v>-1.21</v>
      </c>
      <c r="BX779">
        <v>-0.21</v>
      </c>
      <c r="BY779">
        <v>-0.99</v>
      </c>
      <c r="BZ779">
        <v>1.1000000000000001</v>
      </c>
      <c r="CA779">
        <v>-1.29</v>
      </c>
      <c r="CB779">
        <v>-1.1100000000000001</v>
      </c>
      <c r="CC779">
        <v>-0.92</v>
      </c>
      <c r="CD779">
        <v>0.15</v>
      </c>
      <c r="CE779">
        <v>-0.06</v>
      </c>
      <c r="CF779">
        <v>-0.23</v>
      </c>
      <c r="CG779">
        <v>0</v>
      </c>
      <c r="CH779">
        <v>-0.79</v>
      </c>
      <c r="CI779">
        <v>0</v>
      </c>
      <c r="CJ779">
        <v>-14.9</v>
      </c>
      <c r="CK779">
        <v>85</v>
      </c>
      <c r="CL779">
        <v>-0.65</v>
      </c>
      <c r="CM779">
        <v>82</v>
      </c>
      <c r="CN779">
        <v>-0.17</v>
      </c>
      <c r="CO779">
        <v>80</v>
      </c>
      <c r="CP779">
        <v>-20.8</v>
      </c>
      <c r="CQ779">
        <v>73</v>
      </c>
      <c r="CR779">
        <v>0</v>
      </c>
      <c r="CS779">
        <v>0</v>
      </c>
      <c r="CT779">
        <v>-30.8</v>
      </c>
      <c r="CU779">
        <v>70</v>
      </c>
      <c r="CV779">
        <v>-0.04</v>
      </c>
      <c r="CW779">
        <v>42</v>
      </c>
      <c r="CX779" t="s">
        <v>1871</v>
      </c>
    </row>
    <row r="780" spans="1:102" x14ac:dyDescent="0.3">
      <c r="A780" t="str">
        <f>HYPERLINK("https://webapp.icbf.com/v2/app/bull-search/view/564869814","CUW")</f>
        <v>CUW</v>
      </c>
      <c r="B780" t="s">
        <v>3014</v>
      </c>
      <c r="C780" t="s">
        <v>3015</v>
      </c>
      <c r="D780" s="1">
        <v>39501</v>
      </c>
      <c r="E780" t="s">
        <v>92</v>
      </c>
      <c r="F780">
        <v>63</v>
      </c>
      <c r="G780" t="s">
        <v>93</v>
      </c>
      <c r="H780">
        <v>161.43</v>
      </c>
      <c r="I780">
        <v>92</v>
      </c>
      <c r="J780">
        <v>36.020000000000003</v>
      </c>
      <c r="K780">
        <v>99</v>
      </c>
      <c r="L780">
        <v>81.17</v>
      </c>
      <c r="M780">
        <v>86</v>
      </c>
      <c r="N780">
        <v>46.69</v>
      </c>
      <c r="O780">
        <v>94</v>
      </c>
      <c r="P780">
        <v>-22.89</v>
      </c>
      <c r="Q780">
        <v>97</v>
      </c>
      <c r="R780">
        <v>12.93</v>
      </c>
      <c r="S780">
        <v>88</v>
      </c>
      <c r="T780">
        <v>13.23</v>
      </c>
      <c r="U780">
        <v>92</v>
      </c>
      <c r="V780">
        <v>-5.72</v>
      </c>
      <c r="W780">
        <v>83</v>
      </c>
      <c r="X780" t="s">
        <v>94</v>
      </c>
      <c r="Y780" t="s">
        <v>241</v>
      </c>
      <c r="Z780" t="s">
        <v>96</v>
      </c>
      <c r="AA780" t="s">
        <v>2774</v>
      </c>
      <c r="AB780" t="s">
        <v>3016</v>
      </c>
      <c r="AC780">
        <v>348</v>
      </c>
      <c r="AD780">
        <v>153</v>
      </c>
      <c r="AE780">
        <v>99</v>
      </c>
      <c r="AF780">
        <v>-216.05</v>
      </c>
      <c r="AG780">
        <v>4.01</v>
      </c>
      <c r="AH780">
        <v>1.4</v>
      </c>
      <c r="AI780">
        <v>0.23</v>
      </c>
      <c r="AJ780">
        <v>0.16</v>
      </c>
      <c r="AK780">
        <v>86</v>
      </c>
      <c r="AL780">
        <v>381</v>
      </c>
      <c r="AM780">
        <v>168</v>
      </c>
      <c r="AN780">
        <v>-4.6900000000000004</v>
      </c>
      <c r="AO780">
        <v>1.78</v>
      </c>
      <c r="AP780">
        <v>800</v>
      </c>
      <c r="AQ780">
        <v>4</v>
      </c>
      <c r="AR780">
        <v>6.1</v>
      </c>
      <c r="AS780">
        <v>95</v>
      </c>
      <c r="AT780">
        <v>2.39</v>
      </c>
      <c r="AU780">
        <v>94</v>
      </c>
      <c r="AV780">
        <v>-4.6900000000000004</v>
      </c>
      <c r="AW780">
        <v>99</v>
      </c>
      <c r="AX780">
        <v>-0.77</v>
      </c>
      <c r="AY780">
        <v>93</v>
      </c>
      <c r="AZ780">
        <v>7.26</v>
      </c>
      <c r="BA780">
        <v>83</v>
      </c>
      <c r="BB780">
        <v>5.16</v>
      </c>
      <c r="BC780">
        <v>81</v>
      </c>
      <c r="BD780">
        <v>-0.05</v>
      </c>
      <c r="BE780">
        <v>-0.06</v>
      </c>
      <c r="BF780">
        <v>-0.1</v>
      </c>
      <c r="BG780">
        <v>95</v>
      </c>
      <c r="BH780">
        <v>0.01</v>
      </c>
      <c r="BI780">
        <v>19.62</v>
      </c>
      <c r="BJ780">
        <v>41</v>
      </c>
      <c r="BK780">
        <v>20</v>
      </c>
      <c r="BL780">
        <v>-0.56999999999999995</v>
      </c>
      <c r="BM780">
        <v>-1.35</v>
      </c>
      <c r="BN780">
        <v>-0.9</v>
      </c>
      <c r="BO780">
        <v>0.04</v>
      </c>
      <c r="BP780">
        <v>0.56000000000000005</v>
      </c>
      <c r="BQ780">
        <v>-0.67</v>
      </c>
      <c r="BR780">
        <v>0.66</v>
      </c>
      <c r="BS780">
        <v>-0.47</v>
      </c>
      <c r="BT780">
        <v>-0.59</v>
      </c>
      <c r="BU780">
        <v>-1.41</v>
      </c>
      <c r="BV780">
        <v>0.21</v>
      </c>
      <c r="BW780">
        <v>-0.74</v>
      </c>
      <c r="BX780">
        <v>-1.38</v>
      </c>
      <c r="BY780">
        <v>-2.37</v>
      </c>
      <c r="BZ780">
        <v>0.98</v>
      </c>
      <c r="CA780">
        <v>-0.96</v>
      </c>
      <c r="CB780">
        <v>-0.71</v>
      </c>
      <c r="CC780">
        <v>-0.8</v>
      </c>
      <c r="CD780">
        <v>-0.81</v>
      </c>
      <c r="CE780">
        <v>-0.16</v>
      </c>
      <c r="CF780">
        <v>-0.33</v>
      </c>
      <c r="CG780">
        <v>0</v>
      </c>
      <c r="CH780">
        <v>-2.59</v>
      </c>
      <c r="CI780">
        <v>0</v>
      </c>
      <c r="CJ780">
        <v>-8.6999999999999993</v>
      </c>
      <c r="CK780">
        <v>98</v>
      </c>
      <c r="CL780">
        <v>-1.02</v>
      </c>
      <c r="CM780">
        <v>98</v>
      </c>
      <c r="CN780">
        <v>-0.1</v>
      </c>
      <c r="CO780">
        <v>97</v>
      </c>
      <c r="CP780">
        <v>-10.199999999999999</v>
      </c>
      <c r="CQ780">
        <v>91</v>
      </c>
      <c r="CR780">
        <v>0</v>
      </c>
      <c r="CS780">
        <v>0</v>
      </c>
      <c r="CT780">
        <v>-4.0999999999999996</v>
      </c>
      <c r="CU780">
        <v>92</v>
      </c>
      <c r="CV780">
        <v>0.17</v>
      </c>
      <c r="CW780">
        <v>46</v>
      </c>
      <c r="CX780" t="s">
        <v>792</v>
      </c>
    </row>
    <row r="781" spans="1:102" x14ac:dyDescent="0.3">
      <c r="A781" t="str">
        <f>HYPERLINK("https://webapp.icbf.com/v2/app/bull-search/view/760394450","THF")</f>
        <v>THF</v>
      </c>
      <c r="B781" t="s">
        <v>14664</v>
      </c>
      <c r="C781" t="s">
        <v>5764</v>
      </c>
      <c r="D781" s="1">
        <v>39988</v>
      </c>
      <c r="E781" t="s">
        <v>92</v>
      </c>
      <c r="F781">
        <v>69</v>
      </c>
      <c r="G781" t="s">
        <v>93</v>
      </c>
      <c r="H781">
        <v>161.4</v>
      </c>
      <c r="I781">
        <v>96</v>
      </c>
      <c r="J781">
        <v>65.53</v>
      </c>
      <c r="K781">
        <v>99</v>
      </c>
      <c r="L781">
        <v>47.34</v>
      </c>
      <c r="M781">
        <v>92</v>
      </c>
      <c r="N781">
        <v>24.85</v>
      </c>
      <c r="O781">
        <v>98</v>
      </c>
      <c r="P781">
        <v>-24.18</v>
      </c>
      <c r="Q781">
        <v>99</v>
      </c>
      <c r="R781">
        <v>13.03</v>
      </c>
      <c r="S781">
        <v>92</v>
      </c>
      <c r="T781">
        <v>30.4</v>
      </c>
      <c r="U781">
        <v>99</v>
      </c>
      <c r="V781">
        <v>4.43</v>
      </c>
      <c r="W781">
        <v>81</v>
      </c>
      <c r="X781" t="s">
        <v>276</v>
      </c>
      <c r="Y781" t="s">
        <v>329</v>
      </c>
      <c r="Z781" t="s">
        <v>330</v>
      </c>
      <c r="AA781" t="s">
        <v>5531</v>
      </c>
      <c r="AB781" t="s">
        <v>13008</v>
      </c>
      <c r="AC781">
        <v>1171</v>
      </c>
      <c r="AD781">
        <v>390</v>
      </c>
      <c r="AE781">
        <v>99</v>
      </c>
      <c r="AF781">
        <v>46.57</v>
      </c>
      <c r="AG781">
        <v>11.64</v>
      </c>
      <c r="AH781">
        <v>7.74</v>
      </c>
      <c r="AI781">
        <v>0.17</v>
      </c>
      <c r="AJ781">
        <v>0.11</v>
      </c>
      <c r="AK781">
        <v>92</v>
      </c>
      <c r="AL781">
        <v>1324</v>
      </c>
      <c r="AM781">
        <v>449</v>
      </c>
      <c r="AN781">
        <v>-1.41</v>
      </c>
      <c r="AO781">
        <v>2.38</v>
      </c>
      <c r="AP781">
        <v>2397</v>
      </c>
      <c r="AQ781">
        <v>20</v>
      </c>
      <c r="AR781">
        <v>5.41</v>
      </c>
      <c r="AS781">
        <v>96</v>
      </c>
      <c r="AT781">
        <v>2</v>
      </c>
      <c r="AU781">
        <v>98</v>
      </c>
      <c r="AV781">
        <v>-1.9</v>
      </c>
      <c r="AW781">
        <v>99</v>
      </c>
      <c r="AX781">
        <v>0.31</v>
      </c>
      <c r="AY781">
        <v>98</v>
      </c>
      <c r="AZ781">
        <v>7.51</v>
      </c>
      <c r="BA781">
        <v>94</v>
      </c>
      <c r="BB781">
        <v>5.28</v>
      </c>
      <c r="BC781">
        <v>94</v>
      </c>
      <c r="BD781">
        <v>-0.04</v>
      </c>
      <c r="BE781">
        <v>-7.0000000000000007E-2</v>
      </c>
      <c r="BF781">
        <v>-0.1</v>
      </c>
      <c r="BG781">
        <v>98</v>
      </c>
      <c r="BH781">
        <v>-0.05</v>
      </c>
      <c r="BI781">
        <v>-20.09</v>
      </c>
      <c r="BJ781">
        <v>6</v>
      </c>
      <c r="BK781">
        <v>4</v>
      </c>
      <c r="BL781">
        <v>-1.77</v>
      </c>
      <c r="BM781">
        <v>-0.48</v>
      </c>
      <c r="BN781">
        <v>-0.87</v>
      </c>
      <c r="BO781">
        <v>-0.79</v>
      </c>
      <c r="BP781">
        <v>-4.0599999999999996</v>
      </c>
      <c r="BQ781">
        <v>-2.46</v>
      </c>
      <c r="BR781">
        <v>2.4700000000000002</v>
      </c>
      <c r="BS781">
        <v>-0.84</v>
      </c>
      <c r="BT781">
        <v>-2.38</v>
      </c>
      <c r="BU781">
        <v>-0.25</v>
      </c>
      <c r="BV781">
        <v>-1.46</v>
      </c>
      <c r="BW781">
        <v>-1.61</v>
      </c>
      <c r="BX781">
        <v>-1.42</v>
      </c>
      <c r="BY781">
        <v>-1.55</v>
      </c>
      <c r="BZ781">
        <v>0.83</v>
      </c>
      <c r="CA781">
        <v>-0.9</v>
      </c>
      <c r="CB781">
        <v>-0.7</v>
      </c>
      <c r="CC781">
        <v>-1.34</v>
      </c>
      <c r="CD781">
        <v>-0.09</v>
      </c>
      <c r="CE781">
        <v>-0.35</v>
      </c>
      <c r="CF781">
        <v>-2.11</v>
      </c>
      <c r="CG781">
        <v>0</v>
      </c>
      <c r="CH781">
        <v>-0.82</v>
      </c>
      <c r="CI781">
        <v>0</v>
      </c>
      <c r="CJ781">
        <v>-13.7</v>
      </c>
      <c r="CK781">
        <v>99</v>
      </c>
      <c r="CL781">
        <v>-0.57999999999999996</v>
      </c>
      <c r="CM781">
        <v>99</v>
      </c>
      <c r="CN781">
        <v>-0.28999999999999998</v>
      </c>
      <c r="CO781">
        <v>99</v>
      </c>
      <c r="CP781">
        <v>-17.899999999999999</v>
      </c>
      <c r="CQ781">
        <v>98</v>
      </c>
      <c r="CR781">
        <v>0</v>
      </c>
      <c r="CS781">
        <v>0</v>
      </c>
      <c r="CT781">
        <v>-27.3</v>
      </c>
      <c r="CU781">
        <v>99</v>
      </c>
      <c r="CV781">
        <v>0.11</v>
      </c>
      <c r="CW781">
        <v>47</v>
      </c>
      <c r="CX781" t="s">
        <v>2339</v>
      </c>
    </row>
    <row r="782" spans="1:102" x14ac:dyDescent="0.3">
      <c r="A782" t="str">
        <f>HYPERLINK("https://webapp.icbf.com/v2/app/bull-search/view/449214724","SVY")</f>
        <v>SVY</v>
      </c>
      <c r="B782" t="s">
        <v>6767</v>
      </c>
      <c r="C782" t="s">
        <v>6768</v>
      </c>
      <c r="D782" s="1">
        <v>38779</v>
      </c>
      <c r="E782" t="s">
        <v>92</v>
      </c>
      <c r="F782">
        <v>59</v>
      </c>
      <c r="G782" t="s">
        <v>93</v>
      </c>
      <c r="H782">
        <v>161.38999999999999</v>
      </c>
      <c r="I782">
        <v>86</v>
      </c>
      <c r="J782">
        <v>49.86</v>
      </c>
      <c r="K782">
        <v>97</v>
      </c>
      <c r="L782">
        <v>117.02</v>
      </c>
      <c r="M782">
        <v>78</v>
      </c>
      <c r="N782">
        <v>-40.47</v>
      </c>
      <c r="O782">
        <v>84</v>
      </c>
      <c r="P782">
        <v>-1.47</v>
      </c>
      <c r="Q782">
        <v>90</v>
      </c>
      <c r="R782">
        <v>10.8</v>
      </c>
      <c r="S782">
        <v>80</v>
      </c>
      <c r="T782">
        <v>19.600000000000001</v>
      </c>
      <c r="U782">
        <v>85</v>
      </c>
      <c r="V782">
        <v>6.05</v>
      </c>
      <c r="W782">
        <v>77</v>
      </c>
      <c r="X782" t="s">
        <v>94</v>
      </c>
      <c r="Y782" t="s">
        <v>1251</v>
      </c>
      <c r="Z782" t="s">
        <v>96</v>
      </c>
      <c r="AA782" t="s">
        <v>1229</v>
      </c>
      <c r="AB782" t="s">
        <v>6769</v>
      </c>
      <c r="AC782">
        <v>69</v>
      </c>
      <c r="AD782">
        <v>53</v>
      </c>
      <c r="AE782">
        <v>97</v>
      </c>
      <c r="AF782">
        <v>69.34</v>
      </c>
      <c r="AG782">
        <v>10.18</v>
      </c>
      <c r="AH782">
        <v>5.94</v>
      </c>
      <c r="AI782">
        <v>0.13</v>
      </c>
      <c r="AJ782">
        <v>0.06</v>
      </c>
      <c r="AK782">
        <v>78</v>
      </c>
      <c r="AL782">
        <v>71</v>
      </c>
      <c r="AM782">
        <v>52</v>
      </c>
      <c r="AN782">
        <v>-5.77</v>
      </c>
      <c r="AO782">
        <v>3.57</v>
      </c>
      <c r="AP782">
        <v>175</v>
      </c>
      <c r="AQ782">
        <v>3</v>
      </c>
      <c r="AR782">
        <v>11.95</v>
      </c>
      <c r="AS782">
        <v>66</v>
      </c>
      <c r="AT782">
        <v>4.74</v>
      </c>
      <c r="AU782">
        <v>87</v>
      </c>
      <c r="AV782">
        <v>0.93</v>
      </c>
      <c r="AW782">
        <v>95</v>
      </c>
      <c r="AX782">
        <v>1.02</v>
      </c>
      <c r="AY782">
        <v>79</v>
      </c>
      <c r="AZ782">
        <v>6.28</v>
      </c>
      <c r="BA782">
        <v>62</v>
      </c>
      <c r="BB782">
        <v>4.9000000000000004</v>
      </c>
      <c r="BC782">
        <v>65</v>
      </c>
      <c r="BD782">
        <v>-0.02</v>
      </c>
      <c r="BE782">
        <v>-0.05</v>
      </c>
      <c r="BF782">
        <v>-0.12</v>
      </c>
      <c r="BG782">
        <v>87</v>
      </c>
      <c r="BH782">
        <v>7.0000000000000007E-2</v>
      </c>
      <c r="BI782">
        <v>-11.41</v>
      </c>
      <c r="BJ782">
        <v>5</v>
      </c>
      <c r="BK782">
        <v>5</v>
      </c>
      <c r="BL782">
        <v>-1.36</v>
      </c>
      <c r="BM782">
        <v>0.21</v>
      </c>
      <c r="BN782">
        <v>-1.35</v>
      </c>
      <c r="BO782">
        <v>-1.2</v>
      </c>
      <c r="BP782">
        <v>1.62</v>
      </c>
      <c r="BQ782">
        <v>-0.18</v>
      </c>
      <c r="BR782">
        <v>-0.14000000000000001</v>
      </c>
      <c r="BS782">
        <v>-0.03</v>
      </c>
      <c r="BT782">
        <v>-0.43</v>
      </c>
      <c r="BU782">
        <v>-0.12</v>
      </c>
      <c r="BV782">
        <v>-0.3</v>
      </c>
      <c r="BW782">
        <v>-0.38</v>
      </c>
      <c r="BX782">
        <v>-0.66</v>
      </c>
      <c r="BY782">
        <v>-1.1599999999999999</v>
      </c>
      <c r="BZ782">
        <v>-0.35</v>
      </c>
      <c r="CA782">
        <v>-0.13</v>
      </c>
      <c r="CB782">
        <v>-0.1</v>
      </c>
      <c r="CC782">
        <v>-0.28999999999999998</v>
      </c>
      <c r="CD782">
        <v>1.34</v>
      </c>
      <c r="CE782">
        <v>-0.64</v>
      </c>
      <c r="CF782">
        <v>-0.71</v>
      </c>
      <c r="CG782">
        <v>0</v>
      </c>
      <c r="CH782">
        <v>-0.48</v>
      </c>
      <c r="CI782">
        <v>0</v>
      </c>
      <c r="CJ782">
        <v>1.1000000000000001</v>
      </c>
      <c r="CK782">
        <v>91</v>
      </c>
      <c r="CL782">
        <v>-0.28999999999999998</v>
      </c>
      <c r="CM782">
        <v>89</v>
      </c>
      <c r="CN782">
        <v>-0.15</v>
      </c>
      <c r="CO782">
        <v>88</v>
      </c>
      <c r="CP782">
        <v>-11.7</v>
      </c>
      <c r="CQ782">
        <v>88</v>
      </c>
      <c r="CR782">
        <v>0</v>
      </c>
      <c r="CS782">
        <v>0</v>
      </c>
      <c r="CT782">
        <v>-12.7</v>
      </c>
      <c r="CU782">
        <v>85</v>
      </c>
      <c r="CV782">
        <v>0.18</v>
      </c>
      <c r="CW782">
        <v>45</v>
      </c>
      <c r="CX782" t="s">
        <v>1037</v>
      </c>
    </row>
    <row r="783" spans="1:102" x14ac:dyDescent="0.3">
      <c r="A783" t="str">
        <f>HYPERLINK("https://webapp.icbf.com/v2/app/bull-search/view/1359482725","FR4096")</f>
        <v>FR4096</v>
      </c>
      <c r="B783" t="s">
        <v>14226</v>
      </c>
      <c r="C783" t="s">
        <v>14227</v>
      </c>
      <c r="D783" s="1">
        <v>42414</v>
      </c>
      <c r="E783" t="s">
        <v>108</v>
      </c>
      <c r="F783">
        <v>19</v>
      </c>
      <c r="G783" t="s">
        <v>435</v>
      </c>
      <c r="H783">
        <v>161.30000000000001</v>
      </c>
      <c r="I783">
        <v>67</v>
      </c>
      <c r="J783">
        <v>28.3</v>
      </c>
      <c r="K783">
        <v>83</v>
      </c>
      <c r="L783">
        <v>102.19</v>
      </c>
      <c r="M783">
        <v>58</v>
      </c>
      <c r="N783">
        <v>28.79</v>
      </c>
      <c r="O783">
        <v>77</v>
      </c>
      <c r="P783">
        <v>-2.44</v>
      </c>
      <c r="Q783">
        <v>57</v>
      </c>
      <c r="R783">
        <v>1.1599999999999999</v>
      </c>
      <c r="S783">
        <v>58</v>
      </c>
      <c r="T783">
        <v>2.13</v>
      </c>
      <c r="U783">
        <v>48</v>
      </c>
      <c r="V783">
        <v>1.17</v>
      </c>
      <c r="W783">
        <v>52</v>
      </c>
      <c r="X783" t="s">
        <v>102</v>
      </c>
      <c r="Y783" t="s">
        <v>436</v>
      </c>
      <c r="Z783" t="s">
        <v>96</v>
      </c>
      <c r="AA783" t="s">
        <v>2376</v>
      </c>
      <c r="AB783" t="s">
        <v>14228</v>
      </c>
      <c r="AC783">
        <v>0</v>
      </c>
      <c r="AD783">
        <v>0</v>
      </c>
      <c r="AE783">
        <v>83</v>
      </c>
      <c r="AF783">
        <v>-44.61</v>
      </c>
      <c r="AG783">
        <v>3.9</v>
      </c>
      <c r="AH783">
        <v>2.75</v>
      </c>
      <c r="AI783">
        <v>0.09</v>
      </c>
      <c r="AJ783">
        <v>0.08</v>
      </c>
      <c r="AK783">
        <v>58</v>
      </c>
      <c r="AL783">
        <v>0</v>
      </c>
      <c r="AM783">
        <v>0</v>
      </c>
      <c r="AN783">
        <v>-5.53</v>
      </c>
      <c r="AO783">
        <v>2.62</v>
      </c>
      <c r="AP783">
        <v>163</v>
      </c>
      <c r="AQ783">
        <v>0</v>
      </c>
      <c r="AR783">
        <v>6.88</v>
      </c>
      <c r="AS783">
        <v>54</v>
      </c>
      <c r="AT783">
        <v>2.72</v>
      </c>
      <c r="AU783">
        <v>83</v>
      </c>
      <c r="AV783">
        <v>-2.4300000000000002</v>
      </c>
      <c r="AW783">
        <v>93</v>
      </c>
      <c r="AX783">
        <v>-0.89</v>
      </c>
      <c r="AY783">
        <v>75</v>
      </c>
      <c r="AZ783">
        <v>5.8</v>
      </c>
      <c r="BA783">
        <v>41</v>
      </c>
      <c r="BB783">
        <v>4.78</v>
      </c>
      <c r="BC783">
        <v>39</v>
      </c>
      <c r="BD783">
        <v>-0.01</v>
      </c>
      <c r="BE783">
        <v>0</v>
      </c>
      <c r="BF783">
        <v>-0.01</v>
      </c>
      <c r="BG783">
        <v>66</v>
      </c>
      <c r="BH783">
        <v>-0.13</v>
      </c>
      <c r="BI783">
        <v>-18.809999999999999</v>
      </c>
      <c r="BJ783">
        <v>0</v>
      </c>
      <c r="BK783">
        <v>0</v>
      </c>
      <c r="BL783">
        <v>-0.91</v>
      </c>
      <c r="BM783">
        <v>4.45</v>
      </c>
      <c r="BN783">
        <v>0.04</v>
      </c>
      <c r="BO783">
        <v>-2.4</v>
      </c>
      <c r="BP783">
        <v>-2.04</v>
      </c>
      <c r="BQ783">
        <v>3.88</v>
      </c>
      <c r="BR783">
        <v>-1.49</v>
      </c>
      <c r="BS783">
        <v>-1.06</v>
      </c>
      <c r="BT783">
        <v>0.26</v>
      </c>
      <c r="BU783">
        <v>-2.88</v>
      </c>
      <c r="BV783">
        <v>-3.06</v>
      </c>
      <c r="BW783">
        <v>-2.89</v>
      </c>
      <c r="BX783">
        <v>-2.3199999999999998</v>
      </c>
      <c r="BY783">
        <v>-2.9</v>
      </c>
      <c r="BZ783">
        <v>0.9</v>
      </c>
      <c r="CA783">
        <v>-2.4500000000000002</v>
      </c>
      <c r="CB783">
        <v>-2.77</v>
      </c>
      <c r="CC783">
        <v>-1.59</v>
      </c>
      <c r="CD783">
        <v>3.01</v>
      </c>
      <c r="CE783">
        <v>-1.91</v>
      </c>
      <c r="CF783">
        <v>-0.32</v>
      </c>
      <c r="CG783">
        <v>0</v>
      </c>
      <c r="CH783">
        <v>-2.69</v>
      </c>
      <c r="CI783">
        <v>0</v>
      </c>
      <c r="CJ783">
        <v>-0.1</v>
      </c>
      <c r="CK783">
        <v>60</v>
      </c>
      <c r="CL783">
        <v>-0.28000000000000003</v>
      </c>
      <c r="CM783">
        <v>55</v>
      </c>
      <c r="CN783">
        <v>-0.08</v>
      </c>
      <c r="CO783">
        <v>55</v>
      </c>
      <c r="CP783">
        <v>-2.2999999999999998</v>
      </c>
      <c r="CQ783">
        <v>50</v>
      </c>
      <c r="CR783">
        <v>0</v>
      </c>
      <c r="CS783">
        <v>0</v>
      </c>
      <c r="CT783">
        <v>10.9</v>
      </c>
      <c r="CU783">
        <v>48</v>
      </c>
      <c r="CV783">
        <v>0.12</v>
      </c>
      <c r="CW783">
        <v>37</v>
      </c>
      <c r="CX783" t="s">
        <v>5059</v>
      </c>
    </row>
    <row r="784" spans="1:102" x14ac:dyDescent="0.3">
      <c r="A784" t="str">
        <f>HYPERLINK("https://webapp.icbf.com/v2/app/bull-search/view/949305974","RGE")</f>
        <v>RGE</v>
      </c>
      <c r="B784" t="s">
        <v>9197</v>
      </c>
      <c r="C784" t="s">
        <v>9198</v>
      </c>
      <c r="D784" s="1">
        <v>40949</v>
      </c>
      <c r="E784" t="s">
        <v>108</v>
      </c>
      <c r="F784">
        <v>44</v>
      </c>
      <c r="G784" t="s">
        <v>93</v>
      </c>
      <c r="H784">
        <v>161.22999999999999</v>
      </c>
      <c r="I784">
        <v>90</v>
      </c>
      <c r="J784">
        <v>92.75</v>
      </c>
      <c r="K784">
        <v>98</v>
      </c>
      <c r="L784">
        <v>29.23</v>
      </c>
      <c r="M784">
        <v>83</v>
      </c>
      <c r="N784">
        <v>44.49</v>
      </c>
      <c r="O784">
        <v>93</v>
      </c>
      <c r="P784">
        <v>-18.71</v>
      </c>
      <c r="Q784">
        <v>97</v>
      </c>
      <c r="R784">
        <v>-8.1300000000000008</v>
      </c>
      <c r="S784">
        <v>85</v>
      </c>
      <c r="T784">
        <v>8.57</v>
      </c>
      <c r="U784">
        <v>88</v>
      </c>
      <c r="V784">
        <v>13.03</v>
      </c>
      <c r="W784">
        <v>77</v>
      </c>
      <c r="X784" t="s">
        <v>102</v>
      </c>
      <c r="Y784" t="s">
        <v>1976</v>
      </c>
      <c r="Z784" t="s">
        <v>330</v>
      </c>
      <c r="AA784" t="s">
        <v>1770</v>
      </c>
      <c r="AB784" t="s">
        <v>9199</v>
      </c>
      <c r="AC784">
        <v>233</v>
      </c>
      <c r="AD784">
        <v>112</v>
      </c>
      <c r="AE784">
        <v>98</v>
      </c>
      <c r="AF784">
        <v>223.47</v>
      </c>
      <c r="AG784">
        <v>14.74</v>
      </c>
      <c r="AH784">
        <v>13.98</v>
      </c>
      <c r="AI784">
        <v>0.1</v>
      </c>
      <c r="AJ784">
        <v>0.11</v>
      </c>
      <c r="AK784">
        <v>83</v>
      </c>
      <c r="AL784">
        <v>341</v>
      </c>
      <c r="AM784">
        <v>145</v>
      </c>
      <c r="AN784">
        <v>-0.11</v>
      </c>
      <c r="AO784">
        <v>2.2400000000000002</v>
      </c>
      <c r="AP784">
        <v>949</v>
      </c>
      <c r="AQ784">
        <v>5</v>
      </c>
      <c r="AR784">
        <v>5.48</v>
      </c>
      <c r="AS784">
        <v>88</v>
      </c>
      <c r="AT784">
        <v>2.06</v>
      </c>
      <c r="AU784">
        <v>96</v>
      </c>
      <c r="AV784">
        <v>-3.5</v>
      </c>
      <c r="AW784">
        <v>99</v>
      </c>
      <c r="AX784">
        <v>-0.56999999999999995</v>
      </c>
      <c r="AY784">
        <v>94</v>
      </c>
      <c r="AZ784">
        <v>5.98</v>
      </c>
      <c r="BA784">
        <v>82</v>
      </c>
      <c r="BB784">
        <v>4.68</v>
      </c>
      <c r="BC784">
        <v>76</v>
      </c>
      <c r="BD784">
        <v>0</v>
      </c>
      <c r="BE784">
        <v>0.03</v>
      </c>
      <c r="BF784">
        <v>0.13</v>
      </c>
      <c r="BG784">
        <v>93</v>
      </c>
      <c r="BH784">
        <v>0.17</v>
      </c>
      <c r="BI784">
        <v>-22.36</v>
      </c>
      <c r="BJ784">
        <v>8</v>
      </c>
      <c r="BK784">
        <v>8</v>
      </c>
      <c r="BL784">
        <v>-0.76</v>
      </c>
      <c r="BM784">
        <v>1.0900000000000001</v>
      </c>
      <c r="BN784">
        <v>-0.53</v>
      </c>
      <c r="BO784">
        <v>-1.29</v>
      </c>
      <c r="BP784">
        <v>1.21</v>
      </c>
      <c r="BQ784">
        <v>0.7</v>
      </c>
      <c r="BR784">
        <v>0.5</v>
      </c>
      <c r="BS784">
        <v>-0.63</v>
      </c>
      <c r="BT784">
        <v>-1.01</v>
      </c>
      <c r="BU784">
        <v>-1.87</v>
      </c>
      <c r="BV784">
        <v>-1.35</v>
      </c>
      <c r="BW784">
        <v>-1.05</v>
      </c>
      <c r="BX784">
        <v>-1.79</v>
      </c>
      <c r="BY784">
        <v>0.45</v>
      </c>
      <c r="BZ784">
        <v>1.5</v>
      </c>
      <c r="CA784">
        <v>-1.63</v>
      </c>
      <c r="CB784">
        <v>-1.66</v>
      </c>
      <c r="CC784">
        <v>-1.55</v>
      </c>
      <c r="CD784">
        <v>1.53</v>
      </c>
      <c r="CE784">
        <v>-1.02</v>
      </c>
      <c r="CF784">
        <v>-0.41</v>
      </c>
      <c r="CG784">
        <v>0</v>
      </c>
      <c r="CH784">
        <v>-1.1399999999999999</v>
      </c>
      <c r="CI784">
        <v>0</v>
      </c>
      <c r="CJ784">
        <v>-5.4</v>
      </c>
      <c r="CK784">
        <v>98</v>
      </c>
      <c r="CL784">
        <v>-0.82</v>
      </c>
      <c r="CM784">
        <v>97</v>
      </c>
      <c r="CN784">
        <v>0.13</v>
      </c>
      <c r="CO784">
        <v>97</v>
      </c>
      <c r="CP784">
        <v>-8.5</v>
      </c>
      <c r="CQ784">
        <v>88</v>
      </c>
      <c r="CR784">
        <v>0</v>
      </c>
      <c r="CS784">
        <v>0</v>
      </c>
      <c r="CT784">
        <v>2.2000000000000002</v>
      </c>
      <c r="CU784">
        <v>88</v>
      </c>
      <c r="CV784">
        <v>0.24</v>
      </c>
      <c r="CW784">
        <v>48</v>
      </c>
      <c r="CX784" t="s">
        <v>4059</v>
      </c>
    </row>
    <row r="785" spans="1:102" x14ac:dyDescent="0.3">
      <c r="A785" t="str">
        <f>HYPERLINK("https://webapp.icbf.com/v2/app/bull-search/view/1547629088","FR4616")</f>
        <v>FR4616</v>
      </c>
      <c r="B785" t="s">
        <v>9553</v>
      </c>
      <c r="C785" t="s">
        <v>9554</v>
      </c>
      <c r="D785" s="1">
        <v>42416</v>
      </c>
      <c r="E785" t="s">
        <v>92</v>
      </c>
      <c r="F785">
        <v>100</v>
      </c>
      <c r="G785" t="s">
        <v>435</v>
      </c>
      <c r="H785">
        <v>161.13</v>
      </c>
      <c r="I785">
        <v>67</v>
      </c>
      <c r="J785">
        <v>102.75</v>
      </c>
      <c r="K785">
        <v>86</v>
      </c>
      <c r="L785">
        <v>4.9000000000000004</v>
      </c>
      <c r="M785">
        <v>64</v>
      </c>
      <c r="N785">
        <v>35.520000000000003</v>
      </c>
      <c r="O785">
        <v>70</v>
      </c>
      <c r="P785">
        <v>4.68</v>
      </c>
      <c r="Q785">
        <v>39</v>
      </c>
      <c r="R785">
        <v>17.72</v>
      </c>
      <c r="S785">
        <v>60</v>
      </c>
      <c r="T785">
        <v>-11.78</v>
      </c>
      <c r="U785">
        <v>34</v>
      </c>
      <c r="V785">
        <v>7.34</v>
      </c>
      <c r="W785">
        <v>51</v>
      </c>
      <c r="X785" t="s">
        <v>428</v>
      </c>
      <c r="Y785" t="s">
        <v>442</v>
      </c>
      <c r="Z785" t="s">
        <v>96</v>
      </c>
      <c r="AA785" t="s">
        <v>448</v>
      </c>
      <c r="AB785" t="s">
        <v>9555</v>
      </c>
      <c r="AC785">
        <v>0</v>
      </c>
      <c r="AD785">
        <v>0</v>
      </c>
      <c r="AE785">
        <v>86</v>
      </c>
      <c r="AF785">
        <v>619.15</v>
      </c>
      <c r="AG785">
        <v>23.38</v>
      </c>
      <c r="AH785">
        <v>18.68</v>
      </c>
      <c r="AI785">
        <v>-0.02</v>
      </c>
      <c r="AJ785">
        <v>-0.03</v>
      </c>
      <c r="AK785">
        <v>64</v>
      </c>
      <c r="AL785">
        <v>0</v>
      </c>
      <c r="AM785">
        <v>0</v>
      </c>
      <c r="AN785">
        <v>1.99</v>
      </c>
      <c r="AO785">
        <v>2.41</v>
      </c>
      <c r="AP785">
        <v>56</v>
      </c>
      <c r="AQ785">
        <v>0</v>
      </c>
      <c r="AR785">
        <v>6.27</v>
      </c>
      <c r="AS785">
        <v>69</v>
      </c>
      <c r="AT785">
        <v>2.6</v>
      </c>
      <c r="AU785">
        <v>84</v>
      </c>
      <c r="AV785">
        <v>-3.41</v>
      </c>
      <c r="AW785">
        <v>81</v>
      </c>
      <c r="AX785">
        <v>-0.43</v>
      </c>
      <c r="AY785">
        <v>58</v>
      </c>
      <c r="AZ785">
        <v>6.39</v>
      </c>
      <c r="BA785">
        <v>31</v>
      </c>
      <c r="BB785">
        <v>5.07</v>
      </c>
      <c r="BC785">
        <v>31</v>
      </c>
      <c r="BD785">
        <v>-0.05</v>
      </c>
      <c r="BE785">
        <v>-0.06</v>
      </c>
      <c r="BF785">
        <v>-0.21</v>
      </c>
      <c r="BG785">
        <v>73</v>
      </c>
      <c r="BH785">
        <v>0.14000000000000001</v>
      </c>
      <c r="BI785">
        <v>-7.49</v>
      </c>
      <c r="BJ785">
        <v>0</v>
      </c>
      <c r="BK785">
        <v>0</v>
      </c>
      <c r="BL785">
        <v>1.72</v>
      </c>
      <c r="BM785">
        <v>1.6</v>
      </c>
      <c r="BN785">
        <v>1.79</v>
      </c>
      <c r="BO785">
        <v>0.94</v>
      </c>
      <c r="BP785">
        <v>-0.39</v>
      </c>
      <c r="BQ785">
        <v>1.68</v>
      </c>
      <c r="BR785">
        <v>-3.33</v>
      </c>
      <c r="BS785">
        <v>3.3</v>
      </c>
      <c r="BT785">
        <v>3.69</v>
      </c>
      <c r="BU785">
        <v>3.63</v>
      </c>
      <c r="BV785">
        <v>3.65</v>
      </c>
      <c r="BW785">
        <v>3.69</v>
      </c>
      <c r="BX785">
        <v>2.97</v>
      </c>
      <c r="BY785">
        <v>2.08</v>
      </c>
      <c r="BZ785">
        <v>-0.4</v>
      </c>
      <c r="CA785">
        <v>3.69</v>
      </c>
      <c r="CB785">
        <v>3.26</v>
      </c>
      <c r="CC785">
        <v>3.22</v>
      </c>
      <c r="CD785">
        <v>0.74</v>
      </c>
      <c r="CE785">
        <v>1.2</v>
      </c>
      <c r="CF785">
        <v>1.68</v>
      </c>
      <c r="CG785">
        <v>0</v>
      </c>
      <c r="CH785">
        <v>2.02</v>
      </c>
      <c r="CI785">
        <v>0</v>
      </c>
      <c r="CJ785">
        <v>4.2</v>
      </c>
      <c r="CK785">
        <v>40</v>
      </c>
      <c r="CL785">
        <v>-1.22</v>
      </c>
      <c r="CM785">
        <v>39</v>
      </c>
      <c r="CN785">
        <v>-0.87</v>
      </c>
      <c r="CO785">
        <v>39</v>
      </c>
      <c r="CP785">
        <v>8.6</v>
      </c>
      <c r="CQ785">
        <v>35</v>
      </c>
      <c r="CR785">
        <v>0</v>
      </c>
      <c r="CS785">
        <v>0</v>
      </c>
      <c r="CT785">
        <v>29.7</v>
      </c>
      <c r="CU785">
        <v>34</v>
      </c>
      <c r="CV785">
        <v>0.24</v>
      </c>
      <c r="CW785">
        <v>33</v>
      </c>
      <c r="CX785" t="s">
        <v>3137</v>
      </c>
    </row>
    <row r="786" spans="1:102" x14ac:dyDescent="0.3">
      <c r="A786" t="str">
        <f>HYPERLINK("https://webapp.icbf.com/v2/app/bull-search/view/108896819","BWZ")</f>
        <v>BWZ</v>
      </c>
      <c r="B786" t="s">
        <v>8204</v>
      </c>
      <c r="C786" t="s">
        <v>4532</v>
      </c>
      <c r="D786" s="1">
        <v>35657</v>
      </c>
      <c r="E786" t="s">
        <v>92</v>
      </c>
      <c r="F786">
        <v>100</v>
      </c>
      <c r="G786" t="s">
        <v>93</v>
      </c>
      <c r="H786">
        <v>161.03</v>
      </c>
      <c r="I786">
        <v>99</v>
      </c>
      <c r="J786">
        <v>62.81</v>
      </c>
      <c r="K786">
        <v>99</v>
      </c>
      <c r="L786">
        <v>29.78</v>
      </c>
      <c r="M786">
        <v>98</v>
      </c>
      <c r="N786">
        <v>51.16</v>
      </c>
      <c r="O786">
        <v>99</v>
      </c>
      <c r="P786">
        <v>-4.43</v>
      </c>
      <c r="Q786">
        <v>99</v>
      </c>
      <c r="R786">
        <v>0.39</v>
      </c>
      <c r="S786">
        <v>99</v>
      </c>
      <c r="T786">
        <v>8.2799999999999994</v>
      </c>
      <c r="U786">
        <v>99</v>
      </c>
      <c r="V786">
        <v>13.04</v>
      </c>
      <c r="W786">
        <v>99</v>
      </c>
      <c r="X786" t="s">
        <v>302</v>
      </c>
      <c r="Y786" t="s">
        <v>95</v>
      </c>
      <c r="Z786" t="s">
        <v>96</v>
      </c>
      <c r="AA786" t="s">
        <v>1104</v>
      </c>
      <c r="AB786" t="s">
        <v>6714</v>
      </c>
      <c r="AC786">
        <v>8421</v>
      </c>
      <c r="AD786">
        <v>1733</v>
      </c>
      <c r="AE786">
        <v>99</v>
      </c>
      <c r="AF786">
        <v>61.25</v>
      </c>
      <c r="AG786">
        <v>16.11</v>
      </c>
      <c r="AH786">
        <v>5.92</v>
      </c>
      <c r="AI786">
        <v>0.24</v>
      </c>
      <c r="AJ786">
        <v>7.0000000000000007E-2</v>
      </c>
      <c r="AK786">
        <v>98</v>
      </c>
      <c r="AL786">
        <v>8571</v>
      </c>
      <c r="AM786">
        <v>1786</v>
      </c>
      <c r="AN786">
        <v>-0.43</v>
      </c>
      <c r="AO786">
        <v>1.96</v>
      </c>
      <c r="AP786">
        <v>13570</v>
      </c>
      <c r="AQ786">
        <v>62</v>
      </c>
      <c r="AR786">
        <v>3.88</v>
      </c>
      <c r="AS786">
        <v>99</v>
      </c>
      <c r="AT786">
        <v>1.71</v>
      </c>
      <c r="AU786">
        <v>99</v>
      </c>
      <c r="AV786">
        <v>-4.05</v>
      </c>
      <c r="AW786">
        <v>99</v>
      </c>
      <c r="AX786">
        <v>-0.32</v>
      </c>
      <c r="AY786">
        <v>99</v>
      </c>
      <c r="AZ786">
        <v>6.46</v>
      </c>
      <c r="BA786">
        <v>99</v>
      </c>
      <c r="BB786">
        <v>4.97</v>
      </c>
      <c r="BC786">
        <v>99</v>
      </c>
      <c r="BD786">
        <v>-0.03</v>
      </c>
      <c r="BE786">
        <v>-0.01</v>
      </c>
      <c r="BF786">
        <v>0.06</v>
      </c>
      <c r="BG786">
        <v>99</v>
      </c>
      <c r="BH786">
        <v>0.19</v>
      </c>
      <c r="BI786">
        <v>-20.09</v>
      </c>
      <c r="BJ786">
        <v>357</v>
      </c>
      <c r="BK786">
        <v>140</v>
      </c>
      <c r="BL786">
        <v>-0.6</v>
      </c>
      <c r="BM786">
        <v>0.41</v>
      </c>
      <c r="BN786">
        <v>-0.75</v>
      </c>
      <c r="BO786">
        <v>-0.7</v>
      </c>
      <c r="BP786">
        <v>2.06</v>
      </c>
      <c r="BQ786">
        <v>-0.26</v>
      </c>
      <c r="BR786">
        <v>-1.39</v>
      </c>
      <c r="BS786">
        <v>-0.51</v>
      </c>
      <c r="BT786">
        <v>0.3</v>
      </c>
      <c r="BU786">
        <v>0.97</v>
      </c>
      <c r="BV786">
        <v>-0.48</v>
      </c>
      <c r="BW786">
        <v>0.79</v>
      </c>
      <c r="BX786">
        <v>0.86</v>
      </c>
      <c r="BY786">
        <v>-1.34</v>
      </c>
      <c r="BZ786">
        <v>-3.91</v>
      </c>
      <c r="CA786">
        <v>-0.12</v>
      </c>
      <c r="CB786">
        <v>-0.15</v>
      </c>
      <c r="CC786">
        <v>-0.08</v>
      </c>
      <c r="CD786">
        <v>0.52</v>
      </c>
      <c r="CE786">
        <v>-0.43</v>
      </c>
      <c r="CF786">
        <v>-0.28999999999999998</v>
      </c>
      <c r="CG786">
        <v>0</v>
      </c>
      <c r="CH786">
        <v>-1.28</v>
      </c>
      <c r="CI786">
        <v>0</v>
      </c>
      <c r="CJ786">
        <v>-1</v>
      </c>
      <c r="CK786">
        <v>99</v>
      </c>
      <c r="CL786">
        <v>-0.57999999999999996</v>
      </c>
      <c r="CM786">
        <v>99</v>
      </c>
      <c r="CN786">
        <v>-0.34</v>
      </c>
      <c r="CO786">
        <v>99</v>
      </c>
      <c r="CP786">
        <v>-7</v>
      </c>
      <c r="CQ786">
        <v>99</v>
      </c>
      <c r="CR786">
        <v>0</v>
      </c>
      <c r="CS786">
        <v>0</v>
      </c>
      <c r="CT786">
        <v>2.6</v>
      </c>
      <c r="CU786">
        <v>99</v>
      </c>
      <c r="CV786">
        <v>0.17</v>
      </c>
      <c r="CW786">
        <v>51</v>
      </c>
      <c r="CX786" t="s">
        <v>1625</v>
      </c>
    </row>
    <row r="787" spans="1:102" x14ac:dyDescent="0.3">
      <c r="A787" t="str">
        <f>HYPERLINK("https://webapp.icbf.com/v2/app/bull-search/view/1133025226","ZMO")</f>
        <v>ZMO</v>
      </c>
      <c r="B787" t="s">
        <v>14912</v>
      </c>
      <c r="C787" t="s">
        <v>14913</v>
      </c>
      <c r="D787" s="1">
        <v>40958</v>
      </c>
      <c r="E787" t="s">
        <v>92</v>
      </c>
      <c r="F787">
        <v>100</v>
      </c>
      <c r="G787" t="s">
        <v>93</v>
      </c>
      <c r="H787">
        <v>160.97999999999999</v>
      </c>
      <c r="I787">
        <v>88</v>
      </c>
      <c r="J787">
        <v>124.1</v>
      </c>
      <c r="K787">
        <v>98</v>
      </c>
      <c r="L787">
        <v>6.56</v>
      </c>
      <c r="M787">
        <v>84</v>
      </c>
      <c r="N787">
        <v>32.15</v>
      </c>
      <c r="O787">
        <v>92</v>
      </c>
      <c r="P787">
        <v>-10.24</v>
      </c>
      <c r="Q787">
        <v>94</v>
      </c>
      <c r="R787">
        <v>12</v>
      </c>
      <c r="S787">
        <v>80</v>
      </c>
      <c r="T787">
        <v>-7.12</v>
      </c>
      <c r="U787">
        <v>63</v>
      </c>
      <c r="V787">
        <v>3.53</v>
      </c>
      <c r="W787">
        <v>71</v>
      </c>
      <c r="X787" t="s">
        <v>428</v>
      </c>
      <c r="Y787" t="s">
        <v>2066</v>
      </c>
      <c r="Z787" t="s">
        <v>96</v>
      </c>
      <c r="AA787" t="s">
        <v>14914</v>
      </c>
      <c r="AB787" t="s">
        <v>7637</v>
      </c>
      <c r="AC787">
        <v>267</v>
      </c>
      <c r="AD787">
        <v>81</v>
      </c>
      <c r="AE787">
        <v>98</v>
      </c>
      <c r="AF787">
        <v>323.56</v>
      </c>
      <c r="AG787">
        <v>20.97</v>
      </c>
      <c r="AH787">
        <v>18.64</v>
      </c>
      <c r="AI787">
        <v>0.14000000000000001</v>
      </c>
      <c r="AJ787">
        <v>0.13</v>
      </c>
      <c r="AK787">
        <v>84</v>
      </c>
      <c r="AL787">
        <v>153</v>
      </c>
      <c r="AM787">
        <v>56</v>
      </c>
      <c r="AN787">
        <v>0.16</v>
      </c>
      <c r="AO787">
        <v>0.69</v>
      </c>
      <c r="AP787">
        <v>1133</v>
      </c>
      <c r="AQ787">
        <v>2</v>
      </c>
      <c r="AR787">
        <v>7.11</v>
      </c>
      <c r="AS787">
        <v>94</v>
      </c>
      <c r="AT787">
        <v>2.7</v>
      </c>
      <c r="AU787">
        <v>96</v>
      </c>
      <c r="AV787">
        <v>-3.36</v>
      </c>
      <c r="AW787">
        <v>99</v>
      </c>
      <c r="AX787">
        <v>0.23</v>
      </c>
      <c r="AY787">
        <v>95</v>
      </c>
      <c r="AZ787">
        <v>5.49</v>
      </c>
      <c r="BA787">
        <v>79</v>
      </c>
      <c r="BB787">
        <v>5.03</v>
      </c>
      <c r="BC787">
        <v>58</v>
      </c>
      <c r="BD787">
        <v>-0.03</v>
      </c>
      <c r="BE787">
        <v>-0.04</v>
      </c>
      <c r="BF787">
        <v>-0.15</v>
      </c>
      <c r="BG787">
        <v>93</v>
      </c>
      <c r="BH787">
        <v>-0.04</v>
      </c>
      <c r="BI787">
        <v>-16.03</v>
      </c>
      <c r="BJ787">
        <v>50</v>
      </c>
      <c r="BK787">
        <v>19</v>
      </c>
      <c r="BL787">
        <v>1.38</v>
      </c>
      <c r="BM787">
        <v>-0.12</v>
      </c>
      <c r="BN787">
        <v>1</v>
      </c>
      <c r="BO787">
        <v>0.99</v>
      </c>
      <c r="BP787">
        <v>-0.72</v>
      </c>
      <c r="BQ787">
        <v>0.57999999999999996</v>
      </c>
      <c r="BR787">
        <v>-2.65</v>
      </c>
      <c r="BS787">
        <v>0.48</v>
      </c>
      <c r="BT787">
        <v>2.0499999999999998</v>
      </c>
      <c r="BU787">
        <v>2.78</v>
      </c>
      <c r="BV787">
        <v>2.5</v>
      </c>
      <c r="BW787">
        <v>2.1800000000000002</v>
      </c>
      <c r="BX787">
        <v>2.4700000000000002</v>
      </c>
      <c r="BY787">
        <v>1.39</v>
      </c>
      <c r="BZ787">
        <v>1.46</v>
      </c>
      <c r="CA787">
        <v>2.09</v>
      </c>
      <c r="CB787">
        <v>2.44</v>
      </c>
      <c r="CC787">
        <v>0.73</v>
      </c>
      <c r="CD787">
        <v>0.11</v>
      </c>
      <c r="CE787">
        <v>0.77</v>
      </c>
      <c r="CF787">
        <v>1.79</v>
      </c>
      <c r="CG787">
        <v>0</v>
      </c>
      <c r="CH787">
        <v>1.59</v>
      </c>
      <c r="CI787">
        <v>0</v>
      </c>
      <c r="CJ787">
        <v>-2.1</v>
      </c>
      <c r="CK787">
        <v>96</v>
      </c>
      <c r="CL787">
        <v>-1.1200000000000001</v>
      </c>
      <c r="CM787">
        <v>95</v>
      </c>
      <c r="CN787">
        <v>-0.34</v>
      </c>
      <c r="CO787">
        <v>95</v>
      </c>
      <c r="CP787">
        <v>1.6</v>
      </c>
      <c r="CQ787">
        <v>71</v>
      </c>
      <c r="CR787">
        <v>0</v>
      </c>
      <c r="CS787">
        <v>0</v>
      </c>
      <c r="CT787">
        <v>23.4</v>
      </c>
      <c r="CU787">
        <v>63</v>
      </c>
      <c r="CV787">
        <v>0.27</v>
      </c>
      <c r="CW787">
        <v>45</v>
      </c>
      <c r="CX787" t="s">
        <v>7638</v>
      </c>
    </row>
    <row r="788" spans="1:102" x14ac:dyDescent="0.3">
      <c r="A788" t="str">
        <f>HYPERLINK("https://webapp.icbf.com/v2/app/bull-search/view/1456850875","S3313")</f>
        <v>S3313</v>
      </c>
      <c r="B788" t="s">
        <v>9566</v>
      </c>
      <c r="C788" t="s">
        <v>9567</v>
      </c>
      <c r="D788" s="1">
        <v>42238</v>
      </c>
      <c r="E788" t="s">
        <v>92</v>
      </c>
      <c r="F788">
        <v>100</v>
      </c>
      <c r="G788" t="s">
        <v>435</v>
      </c>
      <c r="H788">
        <v>160.82</v>
      </c>
      <c r="I788">
        <v>65</v>
      </c>
      <c r="J788">
        <v>83.8</v>
      </c>
      <c r="K788">
        <v>87</v>
      </c>
      <c r="L788">
        <v>21.31</v>
      </c>
      <c r="M788">
        <v>66</v>
      </c>
      <c r="N788">
        <v>44.4</v>
      </c>
      <c r="O788">
        <v>45</v>
      </c>
      <c r="P788">
        <v>-6.51</v>
      </c>
      <c r="Q788">
        <v>35</v>
      </c>
      <c r="R788">
        <v>9.15</v>
      </c>
      <c r="S788">
        <v>61</v>
      </c>
      <c r="T788">
        <v>1.84</v>
      </c>
      <c r="U788">
        <v>34</v>
      </c>
      <c r="V788">
        <v>6.83</v>
      </c>
      <c r="W788">
        <v>53</v>
      </c>
      <c r="X788" t="s">
        <v>110</v>
      </c>
      <c r="Y788" t="s">
        <v>2394</v>
      </c>
      <c r="Z788" t="s">
        <v>96</v>
      </c>
      <c r="AA788" t="s">
        <v>9568</v>
      </c>
      <c r="AB788" t="s">
        <v>9569</v>
      </c>
      <c r="AC788">
        <v>0</v>
      </c>
      <c r="AD788">
        <v>0</v>
      </c>
      <c r="AE788">
        <v>87</v>
      </c>
      <c r="AF788">
        <v>450.38</v>
      </c>
      <c r="AG788">
        <v>17.71</v>
      </c>
      <c r="AH788">
        <v>14.88</v>
      </c>
      <c r="AI788">
        <v>0</v>
      </c>
      <c r="AJ788">
        <v>0</v>
      </c>
      <c r="AK788">
        <v>66</v>
      </c>
      <c r="AL788">
        <v>0</v>
      </c>
      <c r="AM788">
        <v>0</v>
      </c>
      <c r="AN788">
        <v>-0.32</v>
      </c>
      <c r="AO788">
        <v>1.39</v>
      </c>
      <c r="AP788">
        <v>2</v>
      </c>
      <c r="AQ788">
        <v>0</v>
      </c>
      <c r="AR788">
        <v>6.03</v>
      </c>
      <c r="AS788">
        <v>48</v>
      </c>
      <c r="AT788">
        <v>2.4</v>
      </c>
      <c r="AU788">
        <v>71</v>
      </c>
      <c r="AV788">
        <v>-3.94</v>
      </c>
      <c r="AW788">
        <v>36</v>
      </c>
      <c r="AX788">
        <v>-0.41</v>
      </c>
      <c r="AY788">
        <v>36</v>
      </c>
      <c r="AZ788">
        <v>5.46</v>
      </c>
      <c r="BA788">
        <v>33</v>
      </c>
      <c r="BB788">
        <v>4.79</v>
      </c>
      <c r="BC788">
        <v>33</v>
      </c>
      <c r="BD788">
        <v>-0.08</v>
      </c>
      <c r="BE788">
        <v>-0.03</v>
      </c>
      <c r="BF788">
        <v>-0.02</v>
      </c>
      <c r="BG788">
        <v>73</v>
      </c>
      <c r="BH788">
        <v>0.11</v>
      </c>
      <c r="BI788">
        <v>-9.31</v>
      </c>
      <c r="BJ788">
        <v>0</v>
      </c>
      <c r="BK788">
        <v>0</v>
      </c>
      <c r="BL788">
        <v>0.47</v>
      </c>
      <c r="BM788">
        <v>-2.5499999999999998</v>
      </c>
      <c r="BN788">
        <v>-1.32</v>
      </c>
      <c r="BO788">
        <v>1.25</v>
      </c>
      <c r="BP788">
        <v>-0.33</v>
      </c>
      <c r="BQ788">
        <v>1.21</v>
      </c>
      <c r="BR788">
        <v>1.19</v>
      </c>
      <c r="BS788">
        <v>1.33</v>
      </c>
      <c r="BT788">
        <v>-1.25</v>
      </c>
      <c r="BU788">
        <v>4.05</v>
      </c>
      <c r="BV788">
        <v>4.01</v>
      </c>
      <c r="BW788">
        <v>2.74</v>
      </c>
      <c r="BX788">
        <v>3.23</v>
      </c>
      <c r="BY788">
        <v>2.5099999999999998</v>
      </c>
      <c r="BZ788">
        <v>-1.65</v>
      </c>
      <c r="CA788">
        <v>3.01</v>
      </c>
      <c r="CB788">
        <v>3.74</v>
      </c>
      <c r="CC788">
        <v>0.87</v>
      </c>
      <c r="CD788">
        <v>-0.72</v>
      </c>
      <c r="CE788">
        <v>1.03</v>
      </c>
      <c r="CF788">
        <v>0.94</v>
      </c>
      <c r="CG788">
        <v>0</v>
      </c>
      <c r="CH788">
        <v>2.69</v>
      </c>
      <c r="CI788">
        <v>0</v>
      </c>
      <c r="CJ788">
        <v>-1.4</v>
      </c>
      <c r="CK788">
        <v>35</v>
      </c>
      <c r="CL788">
        <v>-1.31</v>
      </c>
      <c r="CM788">
        <v>35</v>
      </c>
      <c r="CN788">
        <v>-0.76</v>
      </c>
      <c r="CO788">
        <v>35</v>
      </c>
      <c r="CP788">
        <v>0.3</v>
      </c>
      <c r="CQ788">
        <v>34</v>
      </c>
      <c r="CR788">
        <v>0</v>
      </c>
      <c r="CS788">
        <v>0</v>
      </c>
      <c r="CT788">
        <v>11.3</v>
      </c>
      <c r="CU788">
        <v>34</v>
      </c>
      <c r="CV788">
        <v>0.23</v>
      </c>
      <c r="CW788">
        <v>32</v>
      </c>
      <c r="CX788" t="s">
        <v>1894</v>
      </c>
    </row>
    <row r="789" spans="1:102" x14ac:dyDescent="0.3">
      <c r="A789" t="str">
        <f>HYPERLINK("https://webapp.icbf.com/v2/app/bull-search/view/1242410777","FR2297")</f>
        <v>FR2297</v>
      </c>
      <c r="B789" t="s">
        <v>10238</v>
      </c>
      <c r="C789" t="s">
        <v>10239</v>
      </c>
      <c r="D789" s="1">
        <v>42025</v>
      </c>
      <c r="E789" t="s">
        <v>92</v>
      </c>
      <c r="F789">
        <v>97</v>
      </c>
      <c r="G789" t="s">
        <v>93</v>
      </c>
      <c r="H789">
        <v>160.72999999999999</v>
      </c>
      <c r="I789">
        <v>87</v>
      </c>
      <c r="J789">
        <v>86.02</v>
      </c>
      <c r="K789">
        <v>97</v>
      </c>
      <c r="L789">
        <v>46.59</v>
      </c>
      <c r="M789">
        <v>79</v>
      </c>
      <c r="N789">
        <v>35.85</v>
      </c>
      <c r="O789">
        <v>92</v>
      </c>
      <c r="P789">
        <v>-21.11</v>
      </c>
      <c r="Q789">
        <v>95</v>
      </c>
      <c r="R789">
        <v>-4.41</v>
      </c>
      <c r="S789">
        <v>81</v>
      </c>
      <c r="T789">
        <v>11.09</v>
      </c>
      <c r="U789">
        <v>69</v>
      </c>
      <c r="V789">
        <v>6.7</v>
      </c>
      <c r="W789">
        <v>75</v>
      </c>
      <c r="X789" t="s">
        <v>94</v>
      </c>
      <c r="Y789" t="s">
        <v>416</v>
      </c>
      <c r="Z789" t="s">
        <v>96</v>
      </c>
      <c r="AA789" t="s">
        <v>2239</v>
      </c>
      <c r="AB789" t="s">
        <v>1920</v>
      </c>
      <c r="AC789">
        <v>225</v>
      </c>
      <c r="AD789">
        <v>112</v>
      </c>
      <c r="AE789">
        <v>97</v>
      </c>
      <c r="AF789">
        <v>124.33</v>
      </c>
      <c r="AG789">
        <v>19.88</v>
      </c>
      <c r="AH789">
        <v>9.5</v>
      </c>
      <c r="AI789">
        <v>0.26</v>
      </c>
      <c r="AJ789">
        <v>0.09</v>
      </c>
      <c r="AK789">
        <v>79</v>
      </c>
      <c r="AL789">
        <v>0</v>
      </c>
      <c r="AM789">
        <v>0</v>
      </c>
      <c r="AN789">
        <v>-1.43</v>
      </c>
      <c r="AO789">
        <v>2.2999999999999998</v>
      </c>
      <c r="AP789">
        <v>9447</v>
      </c>
      <c r="AQ789">
        <v>13</v>
      </c>
      <c r="AR789">
        <v>4.95</v>
      </c>
      <c r="AS789">
        <v>99</v>
      </c>
      <c r="AT789">
        <v>2.19</v>
      </c>
      <c r="AU789">
        <v>99</v>
      </c>
      <c r="AV789">
        <v>-3.3</v>
      </c>
      <c r="AW789">
        <v>99</v>
      </c>
      <c r="AX789">
        <v>0</v>
      </c>
      <c r="AY789">
        <v>99</v>
      </c>
      <c r="AZ789">
        <v>6.53</v>
      </c>
      <c r="BA789">
        <v>81</v>
      </c>
      <c r="BB789">
        <v>5.67</v>
      </c>
      <c r="BC789">
        <v>52</v>
      </c>
      <c r="BD789">
        <v>-0.04</v>
      </c>
      <c r="BE789">
        <v>0.02</v>
      </c>
      <c r="BF789">
        <v>0.13</v>
      </c>
      <c r="BG789">
        <v>91</v>
      </c>
      <c r="BH789">
        <v>0.03</v>
      </c>
      <c r="BI789">
        <v>-18.14</v>
      </c>
      <c r="BJ789">
        <v>0</v>
      </c>
      <c r="BK789">
        <v>0</v>
      </c>
      <c r="BL789">
        <v>-1.1599999999999999</v>
      </c>
      <c r="BM789">
        <v>-0.81</v>
      </c>
      <c r="BN789">
        <v>-0.49</v>
      </c>
      <c r="BO789">
        <v>-0.06</v>
      </c>
      <c r="BP789">
        <v>3.15</v>
      </c>
      <c r="BQ789">
        <v>-2.15</v>
      </c>
      <c r="BR789">
        <v>0.55000000000000004</v>
      </c>
      <c r="BS789">
        <v>0.23</v>
      </c>
      <c r="BT789">
        <v>-0.8</v>
      </c>
      <c r="BU789">
        <v>-0.17</v>
      </c>
      <c r="BV789">
        <v>-0.38</v>
      </c>
      <c r="BW789">
        <v>-1.49</v>
      </c>
      <c r="BX789">
        <v>-0.56999999999999995</v>
      </c>
      <c r="BY789">
        <v>-0.21</v>
      </c>
      <c r="BZ789">
        <v>-2.25</v>
      </c>
      <c r="CA789">
        <v>-0.28999999999999998</v>
      </c>
      <c r="CB789">
        <v>-0.63</v>
      </c>
      <c r="CC789">
        <v>0.21</v>
      </c>
      <c r="CD789">
        <v>-0.22</v>
      </c>
      <c r="CE789">
        <v>-0.37</v>
      </c>
      <c r="CF789">
        <v>-0.74</v>
      </c>
      <c r="CG789">
        <v>0</v>
      </c>
      <c r="CH789">
        <v>-7.0000000000000007E-2</v>
      </c>
      <c r="CI789">
        <v>0</v>
      </c>
      <c r="CJ789">
        <v>-10.8</v>
      </c>
      <c r="CK789">
        <v>98</v>
      </c>
      <c r="CL789">
        <v>-0.98</v>
      </c>
      <c r="CM789">
        <v>97</v>
      </c>
      <c r="CN789">
        <v>-0.43</v>
      </c>
      <c r="CO789">
        <v>97</v>
      </c>
      <c r="CP789">
        <v>-7.5</v>
      </c>
      <c r="CQ789">
        <v>71</v>
      </c>
      <c r="CR789">
        <v>0</v>
      </c>
      <c r="CS789">
        <v>0</v>
      </c>
      <c r="CT789">
        <v>-1.2</v>
      </c>
      <c r="CU789">
        <v>69</v>
      </c>
      <c r="CV789">
        <v>0.08</v>
      </c>
      <c r="CW789">
        <v>48</v>
      </c>
      <c r="CX789" t="s">
        <v>316</v>
      </c>
    </row>
    <row r="790" spans="1:102" x14ac:dyDescent="0.3">
      <c r="A790" t="str">
        <f>HYPERLINK("https://webapp.icbf.com/v2/app/bull-search/view/714760672","LRW")</f>
        <v>LRW</v>
      </c>
      <c r="B790" t="s">
        <v>12940</v>
      </c>
      <c r="C790" t="s">
        <v>12941</v>
      </c>
      <c r="D790" s="1">
        <v>39641</v>
      </c>
      <c r="E790" t="s">
        <v>92</v>
      </c>
      <c r="F790">
        <v>72</v>
      </c>
      <c r="G790" t="s">
        <v>93</v>
      </c>
      <c r="H790">
        <v>160.59</v>
      </c>
      <c r="I790">
        <v>97</v>
      </c>
      <c r="J790">
        <v>91.52</v>
      </c>
      <c r="K790">
        <v>99</v>
      </c>
      <c r="L790">
        <v>29.46</v>
      </c>
      <c r="M790">
        <v>95</v>
      </c>
      <c r="N790">
        <v>39.14</v>
      </c>
      <c r="O790">
        <v>99</v>
      </c>
      <c r="P790">
        <v>-19.559999999999999</v>
      </c>
      <c r="Q790">
        <v>99</v>
      </c>
      <c r="R790">
        <v>5.81</v>
      </c>
      <c r="S790">
        <v>95</v>
      </c>
      <c r="T790">
        <v>14.05</v>
      </c>
      <c r="U790">
        <v>99</v>
      </c>
      <c r="V790">
        <v>0.17</v>
      </c>
      <c r="W790">
        <v>84</v>
      </c>
      <c r="X790" t="s">
        <v>94</v>
      </c>
      <c r="Y790" t="s">
        <v>329</v>
      </c>
      <c r="Z790" t="s">
        <v>330</v>
      </c>
      <c r="AA790" t="s">
        <v>2339</v>
      </c>
      <c r="AB790" t="s">
        <v>12942</v>
      </c>
      <c r="AC790">
        <v>2633</v>
      </c>
      <c r="AD790">
        <v>706</v>
      </c>
      <c r="AE790">
        <v>99</v>
      </c>
      <c r="AF790">
        <v>132.44999999999999</v>
      </c>
      <c r="AG790">
        <v>16.23</v>
      </c>
      <c r="AH790">
        <v>11.85</v>
      </c>
      <c r="AI790">
        <v>0.19</v>
      </c>
      <c r="AJ790">
        <v>0.13</v>
      </c>
      <c r="AK790">
        <v>95</v>
      </c>
      <c r="AL790">
        <v>2990</v>
      </c>
      <c r="AM790">
        <v>874</v>
      </c>
      <c r="AN790">
        <v>-1.58</v>
      </c>
      <c r="AO790">
        <v>0.77</v>
      </c>
      <c r="AP790">
        <v>5138</v>
      </c>
      <c r="AQ790">
        <v>43</v>
      </c>
      <c r="AR790">
        <v>5.75</v>
      </c>
      <c r="AS790">
        <v>98</v>
      </c>
      <c r="AT790">
        <v>2.21</v>
      </c>
      <c r="AU790">
        <v>99</v>
      </c>
      <c r="AV790">
        <v>-3.6</v>
      </c>
      <c r="AW790">
        <v>99</v>
      </c>
      <c r="AX790">
        <v>0</v>
      </c>
      <c r="AY790">
        <v>99</v>
      </c>
      <c r="AZ790">
        <v>5.93</v>
      </c>
      <c r="BA790">
        <v>97</v>
      </c>
      <c r="BB790">
        <v>5.34</v>
      </c>
      <c r="BC790">
        <v>97</v>
      </c>
      <c r="BD790">
        <v>-0.01</v>
      </c>
      <c r="BE790">
        <v>-0.03</v>
      </c>
      <c r="BF790">
        <v>-0.06</v>
      </c>
      <c r="BG790">
        <v>99</v>
      </c>
      <c r="BH790">
        <v>0.02</v>
      </c>
      <c r="BI790">
        <v>1.76</v>
      </c>
      <c r="BJ790">
        <v>23</v>
      </c>
      <c r="BK790">
        <v>14</v>
      </c>
      <c r="BL790">
        <v>-1.46</v>
      </c>
      <c r="BM790">
        <v>1.47</v>
      </c>
      <c r="BN790">
        <v>0.09</v>
      </c>
      <c r="BO790">
        <v>-1.55</v>
      </c>
      <c r="BP790">
        <v>-0.59</v>
      </c>
      <c r="BQ790">
        <v>-1.88</v>
      </c>
      <c r="BR790">
        <v>-0.33</v>
      </c>
      <c r="BS790">
        <v>-1.42</v>
      </c>
      <c r="BT790">
        <v>-1.22</v>
      </c>
      <c r="BU790">
        <v>0.15</v>
      </c>
      <c r="BV790">
        <v>-0.38</v>
      </c>
      <c r="BW790">
        <v>-0.72</v>
      </c>
      <c r="BX790">
        <v>-1.45</v>
      </c>
      <c r="BY790">
        <v>0.2</v>
      </c>
      <c r="BZ790">
        <v>0.76</v>
      </c>
      <c r="CA790">
        <v>-0.01</v>
      </c>
      <c r="CB790">
        <v>0.04</v>
      </c>
      <c r="CC790">
        <v>-2.58</v>
      </c>
      <c r="CD790">
        <v>0.04</v>
      </c>
      <c r="CE790">
        <v>-1.32</v>
      </c>
      <c r="CF790">
        <v>-2.4</v>
      </c>
      <c r="CG790">
        <v>0</v>
      </c>
      <c r="CH790">
        <v>0.27</v>
      </c>
      <c r="CI790">
        <v>0</v>
      </c>
      <c r="CJ790">
        <v>-10.1</v>
      </c>
      <c r="CK790">
        <v>99</v>
      </c>
      <c r="CL790">
        <v>-0.77</v>
      </c>
      <c r="CM790">
        <v>99</v>
      </c>
      <c r="CN790">
        <v>-0.31</v>
      </c>
      <c r="CO790">
        <v>99</v>
      </c>
      <c r="CP790">
        <v>-8.6999999999999993</v>
      </c>
      <c r="CQ790">
        <v>99</v>
      </c>
      <c r="CR790">
        <v>0</v>
      </c>
      <c r="CS790">
        <v>0</v>
      </c>
      <c r="CT790">
        <v>-5.2</v>
      </c>
      <c r="CU790">
        <v>99</v>
      </c>
      <c r="CV790">
        <v>0.16</v>
      </c>
      <c r="CW790">
        <v>48</v>
      </c>
      <c r="CX790" t="s">
        <v>316</v>
      </c>
    </row>
    <row r="791" spans="1:102" x14ac:dyDescent="0.3">
      <c r="A791" t="str">
        <f>HYPERLINK("https://webapp.icbf.com/v2/app/bull-search/view/945828504","ZBT")</f>
        <v>ZBT</v>
      </c>
      <c r="B791" t="s">
        <v>13455</v>
      </c>
      <c r="C791" t="s">
        <v>13456</v>
      </c>
      <c r="D791" s="1">
        <v>40936</v>
      </c>
      <c r="E791" t="s">
        <v>92</v>
      </c>
      <c r="F791">
        <v>75</v>
      </c>
      <c r="G791" t="s">
        <v>93</v>
      </c>
      <c r="H791">
        <v>160.53</v>
      </c>
      <c r="I791">
        <v>89</v>
      </c>
      <c r="J791">
        <v>54.57</v>
      </c>
      <c r="K791">
        <v>98</v>
      </c>
      <c r="L791">
        <v>69.680000000000007</v>
      </c>
      <c r="M791">
        <v>80</v>
      </c>
      <c r="N791">
        <v>35.85</v>
      </c>
      <c r="O791">
        <v>90</v>
      </c>
      <c r="P791">
        <v>-24.85</v>
      </c>
      <c r="Q791">
        <v>96</v>
      </c>
      <c r="R791">
        <v>15.25</v>
      </c>
      <c r="S791">
        <v>83</v>
      </c>
      <c r="T791">
        <v>7.24</v>
      </c>
      <c r="U791">
        <v>90</v>
      </c>
      <c r="V791">
        <v>2.79</v>
      </c>
      <c r="W791">
        <v>78</v>
      </c>
      <c r="X791" t="s">
        <v>94</v>
      </c>
      <c r="Y791" t="s">
        <v>1976</v>
      </c>
      <c r="Z791" t="s">
        <v>96</v>
      </c>
      <c r="AA791" t="s">
        <v>1939</v>
      </c>
      <c r="AB791" t="s">
        <v>13457</v>
      </c>
      <c r="AC791">
        <v>184</v>
      </c>
      <c r="AD791">
        <v>111</v>
      </c>
      <c r="AE791">
        <v>98</v>
      </c>
      <c r="AF791">
        <v>-1.42</v>
      </c>
      <c r="AG791">
        <v>10.4</v>
      </c>
      <c r="AH791">
        <v>5.58</v>
      </c>
      <c r="AI791">
        <v>0.18</v>
      </c>
      <c r="AJ791">
        <v>0.1</v>
      </c>
      <c r="AK791">
        <v>80</v>
      </c>
      <c r="AL791">
        <v>179</v>
      </c>
      <c r="AM791">
        <v>113</v>
      </c>
      <c r="AN791">
        <v>-4.3499999999999996</v>
      </c>
      <c r="AO791">
        <v>1.2</v>
      </c>
      <c r="AP791">
        <v>522</v>
      </c>
      <c r="AQ791">
        <v>2</v>
      </c>
      <c r="AR791">
        <v>5.14</v>
      </c>
      <c r="AS791">
        <v>82</v>
      </c>
      <c r="AT791">
        <v>2.02</v>
      </c>
      <c r="AU791">
        <v>93</v>
      </c>
      <c r="AV791">
        <v>-2.97</v>
      </c>
      <c r="AW791">
        <v>98</v>
      </c>
      <c r="AX791">
        <v>0.88</v>
      </c>
      <c r="AY791">
        <v>90</v>
      </c>
      <c r="AZ791">
        <v>6.43</v>
      </c>
      <c r="BA791">
        <v>76</v>
      </c>
      <c r="BB791">
        <v>4.88</v>
      </c>
      <c r="BC791">
        <v>69</v>
      </c>
      <c r="BD791">
        <v>-0.04</v>
      </c>
      <c r="BE791">
        <v>-0.06</v>
      </c>
      <c r="BF791">
        <v>-0.17</v>
      </c>
      <c r="BG791">
        <v>92</v>
      </c>
      <c r="BH791">
        <v>0.04</v>
      </c>
      <c r="BI791">
        <v>-4.3600000000000003</v>
      </c>
      <c r="BJ791">
        <v>23</v>
      </c>
      <c r="BK791">
        <v>13</v>
      </c>
      <c r="BL791">
        <v>-1.27</v>
      </c>
      <c r="BM791">
        <v>-0.13</v>
      </c>
      <c r="BN791">
        <v>-0.87</v>
      </c>
      <c r="BO791">
        <v>-0.57999999999999996</v>
      </c>
      <c r="BP791">
        <v>0.84</v>
      </c>
      <c r="BQ791">
        <v>-1.48</v>
      </c>
      <c r="BR791">
        <v>1.1599999999999999</v>
      </c>
      <c r="BS791">
        <v>-1.4</v>
      </c>
      <c r="BT791">
        <v>-1.47</v>
      </c>
      <c r="BU791">
        <v>1.1499999999999999</v>
      </c>
      <c r="BV791">
        <v>0.48</v>
      </c>
      <c r="BW791">
        <v>0.92</v>
      </c>
      <c r="BX791">
        <v>0.77</v>
      </c>
      <c r="BY791">
        <v>2.2799999999999998</v>
      </c>
      <c r="BZ791">
        <v>-0.74</v>
      </c>
      <c r="CA791">
        <v>-0.12</v>
      </c>
      <c r="CB791">
        <v>0.72</v>
      </c>
      <c r="CC791">
        <v>-1.59</v>
      </c>
      <c r="CD791">
        <v>0.3</v>
      </c>
      <c r="CE791">
        <v>-0.17</v>
      </c>
      <c r="CF791">
        <v>-0.96</v>
      </c>
      <c r="CG791">
        <v>0</v>
      </c>
      <c r="CH791">
        <v>2.4500000000000002</v>
      </c>
      <c r="CI791">
        <v>0</v>
      </c>
      <c r="CJ791">
        <v>-12.6</v>
      </c>
      <c r="CK791">
        <v>97</v>
      </c>
      <c r="CL791">
        <v>-0.89</v>
      </c>
      <c r="CM791">
        <v>96</v>
      </c>
      <c r="CN791">
        <v>-0.23</v>
      </c>
      <c r="CO791">
        <v>95</v>
      </c>
      <c r="CP791">
        <v>-6.5</v>
      </c>
      <c r="CQ791">
        <v>86</v>
      </c>
      <c r="CR791">
        <v>0</v>
      </c>
      <c r="CS791">
        <v>0</v>
      </c>
      <c r="CT791">
        <v>4</v>
      </c>
      <c r="CU791">
        <v>90</v>
      </c>
      <c r="CV791">
        <v>-0.05</v>
      </c>
      <c r="CW791">
        <v>46</v>
      </c>
      <c r="CX791" t="s">
        <v>4059</v>
      </c>
    </row>
    <row r="792" spans="1:102" x14ac:dyDescent="0.3">
      <c r="A792" t="str">
        <f>HYPERLINK("https://webapp.icbf.com/v2/app/bull-search/view/1138053633","S2277")</f>
        <v>S2277</v>
      </c>
      <c r="B792" t="s">
        <v>13397</v>
      </c>
      <c r="C792" t="s">
        <v>13398</v>
      </c>
      <c r="D792" s="1">
        <v>41251</v>
      </c>
      <c r="E792" t="s">
        <v>92</v>
      </c>
      <c r="F792">
        <v>91</v>
      </c>
      <c r="G792" t="s">
        <v>93</v>
      </c>
      <c r="H792">
        <v>160.52000000000001</v>
      </c>
      <c r="I792">
        <v>81</v>
      </c>
      <c r="J792">
        <v>-7.9</v>
      </c>
      <c r="K792">
        <v>94</v>
      </c>
      <c r="L792">
        <v>111.9</v>
      </c>
      <c r="M792">
        <v>77</v>
      </c>
      <c r="N792">
        <v>42.99</v>
      </c>
      <c r="O792">
        <v>83</v>
      </c>
      <c r="P792">
        <v>-2.88</v>
      </c>
      <c r="Q792">
        <v>89</v>
      </c>
      <c r="R792">
        <v>12.35</v>
      </c>
      <c r="S792">
        <v>69</v>
      </c>
      <c r="T792">
        <v>4.95</v>
      </c>
      <c r="U792">
        <v>57</v>
      </c>
      <c r="V792">
        <v>-0.89</v>
      </c>
      <c r="W792">
        <v>57</v>
      </c>
      <c r="X792" t="s">
        <v>102</v>
      </c>
      <c r="Y792" t="s">
        <v>367</v>
      </c>
      <c r="Z792" t="s">
        <v>330</v>
      </c>
      <c r="AA792" t="s">
        <v>13399</v>
      </c>
      <c r="AB792" t="s">
        <v>13400</v>
      </c>
      <c r="AC792">
        <v>89</v>
      </c>
      <c r="AD792">
        <v>28</v>
      </c>
      <c r="AE792">
        <v>94</v>
      </c>
      <c r="AF792">
        <v>-106.42</v>
      </c>
      <c r="AG792">
        <v>-0.15</v>
      </c>
      <c r="AH792">
        <v>-2.92</v>
      </c>
      <c r="AI792">
        <v>7.0000000000000007E-2</v>
      </c>
      <c r="AJ792">
        <v>0.01</v>
      </c>
      <c r="AK792">
        <v>77</v>
      </c>
      <c r="AL792">
        <v>74</v>
      </c>
      <c r="AM792">
        <v>34</v>
      </c>
      <c r="AN792">
        <v>-6.4</v>
      </c>
      <c r="AO792">
        <v>2.52</v>
      </c>
      <c r="AP792">
        <v>263</v>
      </c>
      <c r="AQ792">
        <v>4</v>
      </c>
      <c r="AR792">
        <v>6.52</v>
      </c>
      <c r="AS792">
        <v>78</v>
      </c>
      <c r="AT792">
        <v>2.4</v>
      </c>
      <c r="AU792">
        <v>88</v>
      </c>
      <c r="AV792">
        <v>-4.18</v>
      </c>
      <c r="AW792">
        <v>96</v>
      </c>
      <c r="AX792">
        <v>-0.12</v>
      </c>
      <c r="AY792">
        <v>84</v>
      </c>
      <c r="AZ792">
        <v>6.01</v>
      </c>
      <c r="BA792">
        <v>61</v>
      </c>
      <c r="BB792">
        <v>4.92</v>
      </c>
      <c r="BC792">
        <v>37</v>
      </c>
      <c r="BD792">
        <v>-0.03</v>
      </c>
      <c r="BE792">
        <v>-0.06</v>
      </c>
      <c r="BF792">
        <v>-0.12</v>
      </c>
      <c r="BG792">
        <v>88</v>
      </c>
      <c r="BH792">
        <v>-0.14000000000000001</v>
      </c>
      <c r="BI792">
        <v>-13.32</v>
      </c>
      <c r="BJ792">
        <v>9</v>
      </c>
      <c r="BK792">
        <v>3</v>
      </c>
      <c r="BL792">
        <v>0.19</v>
      </c>
      <c r="BM792">
        <v>0.9</v>
      </c>
      <c r="BN792">
        <v>-0.64</v>
      </c>
      <c r="BO792">
        <v>-0.56000000000000005</v>
      </c>
      <c r="BP792">
        <v>1.73</v>
      </c>
      <c r="BQ792">
        <v>0.46</v>
      </c>
      <c r="BR792">
        <v>-1.66</v>
      </c>
      <c r="BS792">
        <v>0.95</v>
      </c>
      <c r="BT792">
        <v>2.89</v>
      </c>
      <c r="BU792">
        <v>1.93</v>
      </c>
      <c r="BV792">
        <v>-0.04</v>
      </c>
      <c r="BW792">
        <v>-0.24</v>
      </c>
      <c r="BX792">
        <v>1.74</v>
      </c>
      <c r="BY792">
        <v>1</v>
      </c>
      <c r="BZ792">
        <v>-1.34</v>
      </c>
      <c r="CA792">
        <v>1.67</v>
      </c>
      <c r="CB792">
        <v>1.18</v>
      </c>
      <c r="CC792">
        <v>1.08</v>
      </c>
      <c r="CD792">
        <v>1.78</v>
      </c>
      <c r="CE792">
        <v>-0.48</v>
      </c>
      <c r="CF792">
        <v>0.4</v>
      </c>
      <c r="CG792">
        <v>0</v>
      </c>
      <c r="CH792">
        <v>1.6</v>
      </c>
      <c r="CI792">
        <v>0</v>
      </c>
      <c r="CJ792">
        <v>-1.7</v>
      </c>
      <c r="CK792">
        <v>92</v>
      </c>
      <c r="CL792">
        <v>-0.47</v>
      </c>
      <c r="CM792">
        <v>90</v>
      </c>
      <c r="CN792">
        <v>-0.43</v>
      </c>
      <c r="CO792">
        <v>89</v>
      </c>
      <c r="CP792">
        <v>-4.8</v>
      </c>
      <c r="CQ792">
        <v>66</v>
      </c>
      <c r="CR792">
        <v>0</v>
      </c>
      <c r="CS792">
        <v>0</v>
      </c>
      <c r="CT792">
        <v>7.1</v>
      </c>
      <c r="CU792">
        <v>57</v>
      </c>
      <c r="CV792">
        <v>-0.04</v>
      </c>
      <c r="CW792">
        <v>44</v>
      </c>
      <c r="CX792" t="s">
        <v>13401</v>
      </c>
    </row>
    <row r="793" spans="1:102" x14ac:dyDescent="0.3">
      <c r="A793" t="str">
        <f>HYPERLINK("https://webapp.icbf.com/v2/app/bull-search/view/864630158","ZRG")</f>
        <v>ZRG</v>
      </c>
      <c r="B793" t="s">
        <v>5676</v>
      </c>
      <c r="C793" t="s">
        <v>5677</v>
      </c>
      <c r="D793" s="1">
        <v>40580</v>
      </c>
      <c r="E793" t="s">
        <v>92</v>
      </c>
      <c r="F793">
        <v>69</v>
      </c>
      <c r="G793" t="s">
        <v>93</v>
      </c>
      <c r="H793">
        <v>160.07</v>
      </c>
      <c r="I793">
        <v>85</v>
      </c>
      <c r="J793">
        <v>58.91</v>
      </c>
      <c r="K793">
        <v>97</v>
      </c>
      <c r="L793">
        <v>73.62</v>
      </c>
      <c r="M793">
        <v>76</v>
      </c>
      <c r="N793">
        <v>21.73</v>
      </c>
      <c r="O793">
        <v>85</v>
      </c>
      <c r="P793">
        <v>-4.38</v>
      </c>
      <c r="Q793">
        <v>88</v>
      </c>
      <c r="R793">
        <v>8.15</v>
      </c>
      <c r="S793">
        <v>77</v>
      </c>
      <c r="T793">
        <v>3.02</v>
      </c>
      <c r="U793">
        <v>82</v>
      </c>
      <c r="V793">
        <v>-0.98</v>
      </c>
      <c r="W793">
        <v>71</v>
      </c>
      <c r="X793" t="s">
        <v>102</v>
      </c>
      <c r="Y793" t="s">
        <v>1860</v>
      </c>
      <c r="Z793" t="s">
        <v>96</v>
      </c>
      <c r="AA793" t="s">
        <v>1939</v>
      </c>
      <c r="AB793" t="s">
        <v>5678</v>
      </c>
      <c r="AC793">
        <v>88</v>
      </c>
      <c r="AD793">
        <v>60</v>
      </c>
      <c r="AE793">
        <v>97</v>
      </c>
      <c r="AF793">
        <v>36.94</v>
      </c>
      <c r="AG793">
        <v>14.43</v>
      </c>
      <c r="AH793">
        <v>5.48</v>
      </c>
      <c r="AI793">
        <v>0.23</v>
      </c>
      <c r="AJ793">
        <v>7.0000000000000007E-2</v>
      </c>
      <c r="AK793">
        <v>76</v>
      </c>
      <c r="AL793">
        <v>104</v>
      </c>
      <c r="AM793">
        <v>63</v>
      </c>
      <c r="AN793">
        <v>-2.52</v>
      </c>
      <c r="AO793">
        <v>3.37</v>
      </c>
      <c r="AP793">
        <v>165</v>
      </c>
      <c r="AQ793">
        <v>1</v>
      </c>
      <c r="AR793">
        <v>7.39</v>
      </c>
      <c r="AS793">
        <v>68</v>
      </c>
      <c r="AT793">
        <v>2.79</v>
      </c>
      <c r="AU793">
        <v>86</v>
      </c>
      <c r="AV793">
        <v>-2.17</v>
      </c>
      <c r="AW793">
        <v>96</v>
      </c>
      <c r="AX793">
        <v>-0.16</v>
      </c>
      <c r="AY793">
        <v>79</v>
      </c>
      <c r="AZ793">
        <v>6.01</v>
      </c>
      <c r="BA793">
        <v>64</v>
      </c>
      <c r="BB793">
        <v>4.9800000000000004</v>
      </c>
      <c r="BC793">
        <v>65</v>
      </c>
      <c r="BD793">
        <v>-0.02</v>
      </c>
      <c r="BE793">
        <v>-0.06</v>
      </c>
      <c r="BF793">
        <v>-0.04</v>
      </c>
      <c r="BG793">
        <v>87</v>
      </c>
      <c r="BH793">
        <v>0</v>
      </c>
      <c r="BI793">
        <v>3.15</v>
      </c>
      <c r="BJ793">
        <v>18</v>
      </c>
      <c r="BK793">
        <v>13</v>
      </c>
      <c r="BL793">
        <v>-1.38</v>
      </c>
      <c r="BM793">
        <v>0.2</v>
      </c>
      <c r="BN793">
        <v>-0.7</v>
      </c>
      <c r="BO793">
        <v>-0.74</v>
      </c>
      <c r="BP793">
        <v>1.36</v>
      </c>
      <c r="BQ793">
        <v>-1.24</v>
      </c>
      <c r="BR793">
        <v>1.97</v>
      </c>
      <c r="BS793">
        <v>-0.9</v>
      </c>
      <c r="BT793">
        <v>-1.47</v>
      </c>
      <c r="BU793">
        <v>-0.62</v>
      </c>
      <c r="BV793">
        <v>-0.92</v>
      </c>
      <c r="BW793">
        <v>-1.1000000000000001</v>
      </c>
      <c r="BX793">
        <v>-0.48</v>
      </c>
      <c r="BY793">
        <v>-0.43</v>
      </c>
      <c r="BZ793">
        <v>1.77</v>
      </c>
      <c r="CA793">
        <v>-0.87</v>
      </c>
      <c r="CB793">
        <v>-0.46</v>
      </c>
      <c r="CC793">
        <v>-1.25</v>
      </c>
      <c r="CD793">
        <v>0.23</v>
      </c>
      <c r="CE793">
        <v>-0.77</v>
      </c>
      <c r="CF793">
        <v>-0.79</v>
      </c>
      <c r="CG793">
        <v>0</v>
      </c>
      <c r="CH793">
        <v>-0.28999999999999998</v>
      </c>
      <c r="CI793">
        <v>0</v>
      </c>
      <c r="CJ793">
        <v>-3.6</v>
      </c>
      <c r="CK793">
        <v>90</v>
      </c>
      <c r="CL793">
        <v>-0.56000000000000005</v>
      </c>
      <c r="CM793">
        <v>88</v>
      </c>
      <c r="CN793">
        <v>-0.56000000000000005</v>
      </c>
      <c r="CO793">
        <v>86</v>
      </c>
      <c r="CP793">
        <v>-1.3</v>
      </c>
      <c r="CQ793">
        <v>82</v>
      </c>
      <c r="CR793">
        <v>0</v>
      </c>
      <c r="CS793">
        <v>0</v>
      </c>
      <c r="CT793">
        <v>9.6999999999999993</v>
      </c>
      <c r="CU793">
        <v>82</v>
      </c>
      <c r="CV793">
        <v>0.05</v>
      </c>
      <c r="CW793">
        <v>46</v>
      </c>
      <c r="CX793" t="s">
        <v>5558</v>
      </c>
    </row>
    <row r="794" spans="1:102" x14ac:dyDescent="0.3">
      <c r="A794" t="str">
        <f>HYPERLINK("https://webapp.icbf.com/v2/app/bull-search/view/665777676","RYZ")</f>
        <v>RYZ</v>
      </c>
      <c r="B794" t="s">
        <v>9047</v>
      </c>
      <c r="C794" t="s">
        <v>9048</v>
      </c>
      <c r="D794" s="1">
        <v>39832</v>
      </c>
      <c r="E794" t="s">
        <v>108</v>
      </c>
      <c r="F794">
        <v>3</v>
      </c>
      <c r="G794" t="s">
        <v>116</v>
      </c>
      <c r="H794">
        <v>160.01</v>
      </c>
      <c r="I794">
        <v>26</v>
      </c>
      <c r="J794">
        <v>39.5</v>
      </c>
      <c r="K794">
        <v>8</v>
      </c>
      <c r="L794">
        <v>81.66</v>
      </c>
      <c r="M794">
        <v>29</v>
      </c>
      <c r="N794">
        <v>30.66</v>
      </c>
      <c r="O794">
        <v>40</v>
      </c>
      <c r="P794">
        <v>-0.88</v>
      </c>
      <c r="Q794">
        <v>52</v>
      </c>
      <c r="R794">
        <v>0.25</v>
      </c>
      <c r="S794">
        <v>34</v>
      </c>
      <c r="T794">
        <v>9.9</v>
      </c>
      <c r="U794">
        <v>41</v>
      </c>
      <c r="V794">
        <v>-1.08</v>
      </c>
      <c r="W794">
        <v>32</v>
      </c>
      <c r="X794" t="s">
        <v>102</v>
      </c>
      <c r="Y794" t="s">
        <v>1727</v>
      </c>
      <c r="Z794" t="s">
        <v>96</v>
      </c>
      <c r="AA794" t="s">
        <v>4026</v>
      </c>
      <c r="AB794" t="s">
        <v>9049</v>
      </c>
      <c r="AC794">
        <v>1</v>
      </c>
      <c r="AD794">
        <v>1</v>
      </c>
      <c r="AE794">
        <v>8</v>
      </c>
      <c r="AF794">
        <v>143.53</v>
      </c>
      <c r="AG794">
        <v>7.25</v>
      </c>
      <c r="AH794">
        <v>6.35</v>
      </c>
      <c r="AI794">
        <v>0.03</v>
      </c>
      <c r="AJ794">
        <v>0.02</v>
      </c>
      <c r="AK794">
        <v>29</v>
      </c>
      <c r="AL794">
        <v>0</v>
      </c>
      <c r="AM794">
        <v>0</v>
      </c>
      <c r="AN794">
        <v>-4.6100000000000003</v>
      </c>
      <c r="AO794">
        <v>1.9</v>
      </c>
      <c r="AP794">
        <v>1</v>
      </c>
      <c r="AQ794">
        <v>0</v>
      </c>
      <c r="AR794">
        <v>6.55</v>
      </c>
      <c r="AS794">
        <v>28</v>
      </c>
      <c r="AT794">
        <v>2.79</v>
      </c>
      <c r="AU794">
        <v>36</v>
      </c>
      <c r="AV794">
        <v>-3.09</v>
      </c>
      <c r="AW794">
        <v>52</v>
      </c>
      <c r="AX794">
        <v>-0.4</v>
      </c>
      <c r="AY794">
        <v>33</v>
      </c>
      <c r="AZ794">
        <v>6.59</v>
      </c>
      <c r="BA794">
        <v>27</v>
      </c>
      <c r="BB794">
        <v>5.03</v>
      </c>
      <c r="BC794">
        <v>28</v>
      </c>
      <c r="BD794">
        <v>-0.01</v>
      </c>
      <c r="BE794">
        <v>-0.01</v>
      </c>
      <c r="BF794">
        <v>0.03</v>
      </c>
      <c r="BG794">
        <v>39</v>
      </c>
      <c r="BH794">
        <v>0.04</v>
      </c>
      <c r="BI794">
        <v>8.1199999999999992</v>
      </c>
      <c r="BJ794">
        <v>0</v>
      </c>
      <c r="BK794">
        <v>0</v>
      </c>
      <c r="BL794">
        <v>-2.67</v>
      </c>
      <c r="BM794">
        <v>0</v>
      </c>
      <c r="BN794">
        <v>-2.52</v>
      </c>
      <c r="BO794">
        <v>-1.82</v>
      </c>
      <c r="BP794">
        <v>-0.14000000000000001</v>
      </c>
      <c r="BQ794">
        <v>1.07</v>
      </c>
      <c r="BR794">
        <v>-1.05</v>
      </c>
      <c r="BS794">
        <v>0.96</v>
      </c>
      <c r="BT794">
        <v>0.31</v>
      </c>
      <c r="BU794">
        <v>-1.84</v>
      </c>
      <c r="BV794">
        <v>-2.17</v>
      </c>
      <c r="BW794">
        <v>-1.59</v>
      </c>
      <c r="BX794">
        <v>-1.29</v>
      </c>
      <c r="BY794">
        <v>-0.42</v>
      </c>
      <c r="BZ794">
        <v>0</v>
      </c>
      <c r="CA794">
        <v>-1.21</v>
      </c>
      <c r="CB794">
        <v>-1.65</v>
      </c>
      <c r="CC794">
        <v>0.02</v>
      </c>
      <c r="CD794">
        <v>1.53</v>
      </c>
      <c r="CE794">
        <v>-1.47</v>
      </c>
      <c r="CF794">
        <v>-1.67</v>
      </c>
      <c r="CG794">
        <v>0</v>
      </c>
      <c r="CH794">
        <v>-0.88</v>
      </c>
      <c r="CI794">
        <v>0</v>
      </c>
      <c r="CJ794">
        <v>1.3</v>
      </c>
      <c r="CK794">
        <v>55</v>
      </c>
      <c r="CL794">
        <v>-0.32</v>
      </c>
      <c r="CM794">
        <v>50</v>
      </c>
      <c r="CN794">
        <v>-0.11</v>
      </c>
      <c r="CO794">
        <v>48</v>
      </c>
      <c r="CP794">
        <v>-4.4000000000000004</v>
      </c>
      <c r="CQ794">
        <v>45</v>
      </c>
      <c r="CR794">
        <v>0</v>
      </c>
      <c r="CS794">
        <v>0</v>
      </c>
      <c r="CT794">
        <v>0.4</v>
      </c>
      <c r="CU794">
        <v>41</v>
      </c>
      <c r="CV794">
        <v>0.13</v>
      </c>
      <c r="CW794">
        <v>15</v>
      </c>
      <c r="CX794" t="s">
        <v>9050</v>
      </c>
    </row>
    <row r="795" spans="1:102" x14ac:dyDescent="0.3">
      <c r="A795" t="str">
        <f>HYPERLINK("https://webapp.icbf.com/v2/app/bull-search/view/1025669761","S1458")</f>
        <v>S1458</v>
      </c>
      <c r="B795" t="s">
        <v>5649</v>
      </c>
      <c r="C795" t="s">
        <v>5650</v>
      </c>
      <c r="D795" s="1">
        <v>40371</v>
      </c>
      <c r="E795" t="s">
        <v>92</v>
      </c>
      <c r="F795">
        <v>100</v>
      </c>
      <c r="G795" t="s">
        <v>93</v>
      </c>
      <c r="H795">
        <v>159.97</v>
      </c>
      <c r="I795">
        <v>87</v>
      </c>
      <c r="J795">
        <v>89.29</v>
      </c>
      <c r="K795">
        <v>97</v>
      </c>
      <c r="L795">
        <v>32.36</v>
      </c>
      <c r="M795">
        <v>86</v>
      </c>
      <c r="N795">
        <v>33.57</v>
      </c>
      <c r="O795">
        <v>90</v>
      </c>
      <c r="P795">
        <v>-0.42</v>
      </c>
      <c r="Q795">
        <v>94</v>
      </c>
      <c r="R795">
        <v>5.57</v>
      </c>
      <c r="S795">
        <v>79</v>
      </c>
      <c r="T795">
        <v>-3.19</v>
      </c>
      <c r="U795">
        <v>56</v>
      </c>
      <c r="V795">
        <v>2.79</v>
      </c>
      <c r="W795">
        <v>70</v>
      </c>
      <c r="X795" t="s">
        <v>94</v>
      </c>
      <c r="Y795" t="s">
        <v>342</v>
      </c>
      <c r="Z795" t="s">
        <v>96</v>
      </c>
      <c r="AA795" t="s">
        <v>5651</v>
      </c>
      <c r="AB795" t="s">
        <v>5652</v>
      </c>
      <c r="AC795">
        <v>255</v>
      </c>
      <c r="AD795">
        <v>93</v>
      </c>
      <c r="AE795">
        <v>97</v>
      </c>
      <c r="AF795">
        <v>570.62</v>
      </c>
      <c r="AG795">
        <v>17.920000000000002</v>
      </c>
      <c r="AH795">
        <v>17.579999999999998</v>
      </c>
      <c r="AI795">
        <v>-7.0000000000000007E-2</v>
      </c>
      <c r="AJ795">
        <v>-0.03</v>
      </c>
      <c r="AK795">
        <v>86</v>
      </c>
      <c r="AL795">
        <v>0</v>
      </c>
      <c r="AM795">
        <v>0</v>
      </c>
      <c r="AN795">
        <v>-0.28000000000000003</v>
      </c>
      <c r="AO795">
        <v>2.3199999999999998</v>
      </c>
      <c r="AP795">
        <v>2431</v>
      </c>
      <c r="AQ795">
        <v>8</v>
      </c>
      <c r="AR795">
        <v>7.83</v>
      </c>
      <c r="AS795">
        <v>89</v>
      </c>
      <c r="AT795">
        <v>3.25</v>
      </c>
      <c r="AU795">
        <v>98</v>
      </c>
      <c r="AV795">
        <v>-4.0599999999999996</v>
      </c>
      <c r="AW795">
        <v>99</v>
      </c>
      <c r="AX795">
        <v>-0.56000000000000005</v>
      </c>
      <c r="AY795">
        <v>97</v>
      </c>
      <c r="AZ795">
        <v>5.83</v>
      </c>
      <c r="BA795">
        <v>77</v>
      </c>
      <c r="BB795">
        <v>4.8600000000000003</v>
      </c>
      <c r="BC795">
        <v>49</v>
      </c>
      <c r="BD795">
        <v>0</v>
      </c>
      <c r="BE795">
        <v>-0.02</v>
      </c>
      <c r="BF795">
        <v>-0.09</v>
      </c>
      <c r="BG795">
        <v>93</v>
      </c>
      <c r="BH795">
        <v>0.15</v>
      </c>
      <c r="BI795">
        <v>8.34</v>
      </c>
      <c r="BJ795">
        <v>22</v>
      </c>
      <c r="BK795">
        <v>11</v>
      </c>
      <c r="BL795">
        <v>1.78</v>
      </c>
      <c r="BM795">
        <v>1.53</v>
      </c>
      <c r="BN795">
        <v>1.54</v>
      </c>
      <c r="BO795">
        <v>1.1000000000000001</v>
      </c>
      <c r="BP795">
        <v>1.38</v>
      </c>
      <c r="BQ795">
        <v>4.4000000000000004</v>
      </c>
      <c r="BR795">
        <v>0.13</v>
      </c>
      <c r="BS795">
        <v>2.71</v>
      </c>
      <c r="BT795">
        <v>1.2</v>
      </c>
      <c r="BU795">
        <v>1.84</v>
      </c>
      <c r="BV795">
        <v>2.84</v>
      </c>
      <c r="BW795">
        <v>2</v>
      </c>
      <c r="BX795">
        <v>1.0900000000000001</v>
      </c>
      <c r="BY795">
        <v>2.34</v>
      </c>
      <c r="BZ795">
        <v>0.89</v>
      </c>
      <c r="CA795">
        <v>2.54</v>
      </c>
      <c r="CB795">
        <v>2.08</v>
      </c>
      <c r="CC795">
        <v>2.4300000000000002</v>
      </c>
      <c r="CD795">
        <v>0.63</v>
      </c>
      <c r="CE795">
        <v>1.19</v>
      </c>
      <c r="CF795">
        <v>2.69</v>
      </c>
      <c r="CG795">
        <v>0</v>
      </c>
      <c r="CH795">
        <v>2.19</v>
      </c>
      <c r="CI795">
        <v>0</v>
      </c>
      <c r="CJ795">
        <v>2.7</v>
      </c>
      <c r="CK795">
        <v>97</v>
      </c>
      <c r="CL795">
        <v>-1.05</v>
      </c>
      <c r="CM795">
        <v>96</v>
      </c>
      <c r="CN795">
        <v>-0.5</v>
      </c>
      <c r="CO795">
        <v>96</v>
      </c>
      <c r="CP795">
        <v>5.6</v>
      </c>
      <c r="CQ795">
        <v>64</v>
      </c>
      <c r="CR795">
        <v>0</v>
      </c>
      <c r="CS795">
        <v>0</v>
      </c>
      <c r="CT795">
        <v>18.100000000000001</v>
      </c>
      <c r="CU795">
        <v>56</v>
      </c>
      <c r="CV795">
        <v>0.28000000000000003</v>
      </c>
      <c r="CW795">
        <v>46</v>
      </c>
      <c r="CX795" t="s">
        <v>316</v>
      </c>
    </row>
    <row r="796" spans="1:102" x14ac:dyDescent="0.3">
      <c r="A796" t="str">
        <f>HYPERLINK("https://webapp.icbf.com/v2/app/bull-search/view/444536891","GNU")</f>
        <v>GNU</v>
      </c>
      <c r="B796" t="s">
        <v>1255</v>
      </c>
      <c r="C796" t="s">
        <v>1256</v>
      </c>
      <c r="D796" s="1">
        <v>36743</v>
      </c>
      <c r="E796" t="s">
        <v>92</v>
      </c>
      <c r="F796">
        <v>81</v>
      </c>
      <c r="G796" t="s">
        <v>93</v>
      </c>
      <c r="H796">
        <v>159.93</v>
      </c>
      <c r="I796">
        <v>96</v>
      </c>
      <c r="J796">
        <v>78.069999999999993</v>
      </c>
      <c r="K796">
        <v>99</v>
      </c>
      <c r="L796">
        <v>46.33</v>
      </c>
      <c r="M796">
        <v>93</v>
      </c>
      <c r="N796">
        <v>23.23</v>
      </c>
      <c r="O796">
        <v>97</v>
      </c>
      <c r="P796">
        <v>-35.6</v>
      </c>
      <c r="Q796">
        <v>98</v>
      </c>
      <c r="R796">
        <v>3</v>
      </c>
      <c r="S796">
        <v>95</v>
      </c>
      <c r="T796">
        <v>39.58</v>
      </c>
      <c r="U796">
        <v>98</v>
      </c>
      <c r="V796">
        <v>5.32</v>
      </c>
      <c r="W796">
        <v>97</v>
      </c>
      <c r="X796" t="s">
        <v>302</v>
      </c>
      <c r="Y796" t="s">
        <v>221</v>
      </c>
      <c r="Z796" t="s">
        <v>330</v>
      </c>
      <c r="AA796" t="s">
        <v>1257</v>
      </c>
      <c r="AB796" t="s">
        <v>1258</v>
      </c>
      <c r="AC796">
        <v>585</v>
      </c>
      <c r="AD796">
        <v>129</v>
      </c>
      <c r="AE796">
        <v>99</v>
      </c>
      <c r="AF796">
        <v>-40.49</v>
      </c>
      <c r="AG796">
        <v>15.74</v>
      </c>
      <c r="AH796">
        <v>7.09</v>
      </c>
      <c r="AI796">
        <v>0.3</v>
      </c>
      <c r="AJ796">
        <v>0.15</v>
      </c>
      <c r="AK796">
        <v>93</v>
      </c>
      <c r="AL796">
        <v>642</v>
      </c>
      <c r="AM796">
        <v>111</v>
      </c>
      <c r="AN796">
        <v>-2.1</v>
      </c>
      <c r="AO796">
        <v>1.6</v>
      </c>
      <c r="AP796">
        <v>1036</v>
      </c>
      <c r="AQ796">
        <v>14</v>
      </c>
      <c r="AR796">
        <v>4.7</v>
      </c>
      <c r="AS796">
        <v>95</v>
      </c>
      <c r="AT796">
        <v>1.87</v>
      </c>
      <c r="AU796">
        <v>97</v>
      </c>
      <c r="AV796">
        <v>-0.64</v>
      </c>
      <c r="AW796">
        <v>99</v>
      </c>
      <c r="AX796">
        <v>-0.48</v>
      </c>
      <c r="AY796">
        <v>96</v>
      </c>
      <c r="AZ796">
        <v>5.58</v>
      </c>
      <c r="BA796">
        <v>89</v>
      </c>
      <c r="BB796">
        <v>5.0199999999999996</v>
      </c>
      <c r="BC796">
        <v>92</v>
      </c>
      <c r="BD796">
        <v>-0.06</v>
      </c>
      <c r="BE796">
        <v>-0.01</v>
      </c>
      <c r="BF796">
        <v>0.05</v>
      </c>
      <c r="BG796">
        <v>98</v>
      </c>
      <c r="BH796">
        <v>7.0000000000000007E-2</v>
      </c>
      <c r="BI796">
        <v>-9.0500000000000007</v>
      </c>
      <c r="BJ796">
        <v>75</v>
      </c>
      <c r="BK796">
        <v>17</v>
      </c>
      <c r="BL796">
        <v>-2.2000000000000002</v>
      </c>
      <c r="BM796">
        <v>0.51</v>
      </c>
      <c r="BN796">
        <v>-0.01</v>
      </c>
      <c r="BO796">
        <v>-0.51</v>
      </c>
      <c r="BP796">
        <v>-0.94</v>
      </c>
      <c r="BQ796">
        <v>-2.3199999999999998</v>
      </c>
      <c r="BR796">
        <v>2.96</v>
      </c>
      <c r="BS796">
        <v>-0.91</v>
      </c>
      <c r="BT796">
        <v>-2.33</v>
      </c>
      <c r="BU796">
        <v>-2.23</v>
      </c>
      <c r="BV796">
        <v>-1.79</v>
      </c>
      <c r="BW796">
        <v>-2.72</v>
      </c>
      <c r="BX796">
        <v>-5.19</v>
      </c>
      <c r="BY796">
        <v>-1.86</v>
      </c>
      <c r="BZ796">
        <v>0.69</v>
      </c>
      <c r="CA796">
        <v>-1.9</v>
      </c>
      <c r="CB796">
        <v>-1.53</v>
      </c>
      <c r="CC796">
        <v>-1.78</v>
      </c>
      <c r="CD796">
        <v>0.68</v>
      </c>
      <c r="CE796">
        <v>0.02</v>
      </c>
      <c r="CF796">
        <v>-1.6</v>
      </c>
      <c r="CG796">
        <v>0</v>
      </c>
      <c r="CH796">
        <v>-1.79</v>
      </c>
      <c r="CI796">
        <v>0</v>
      </c>
      <c r="CJ796">
        <v>-17.3</v>
      </c>
      <c r="CK796">
        <v>98</v>
      </c>
      <c r="CL796">
        <v>-0.84</v>
      </c>
      <c r="CM796">
        <v>98</v>
      </c>
      <c r="CN796">
        <v>-0.09</v>
      </c>
      <c r="CO796">
        <v>98</v>
      </c>
      <c r="CP796">
        <v>-27.4</v>
      </c>
      <c r="CQ796">
        <v>98</v>
      </c>
      <c r="CR796">
        <v>0</v>
      </c>
      <c r="CS796">
        <v>0</v>
      </c>
      <c r="CT796">
        <v>-39.700000000000003</v>
      </c>
      <c r="CU796">
        <v>98</v>
      </c>
      <c r="CV796">
        <v>-7.0000000000000007E-2</v>
      </c>
      <c r="CW796">
        <v>46</v>
      </c>
      <c r="CX796" t="s">
        <v>1100</v>
      </c>
    </row>
    <row r="797" spans="1:102" x14ac:dyDescent="0.3">
      <c r="A797" t="str">
        <f>HYPERLINK("https://webapp.icbf.com/v2/app/bull-search/view/1292341243","FR2345")</f>
        <v>FR2345</v>
      </c>
      <c r="B797" t="s">
        <v>9767</v>
      </c>
      <c r="C797" t="s">
        <v>9768</v>
      </c>
      <c r="D797" s="1">
        <v>41817</v>
      </c>
      <c r="E797" t="s">
        <v>92</v>
      </c>
      <c r="F797">
        <v>100</v>
      </c>
      <c r="G797" t="s">
        <v>109</v>
      </c>
      <c r="H797">
        <v>159.93</v>
      </c>
      <c r="I797">
        <v>80</v>
      </c>
      <c r="J797">
        <v>112.52</v>
      </c>
      <c r="K797">
        <v>93</v>
      </c>
      <c r="L797">
        <v>-12.06</v>
      </c>
      <c r="M797">
        <v>78</v>
      </c>
      <c r="N797">
        <v>48.92</v>
      </c>
      <c r="O797">
        <v>88</v>
      </c>
      <c r="P797">
        <v>-9.48</v>
      </c>
      <c r="Q797">
        <v>80</v>
      </c>
      <c r="R797">
        <v>14.73</v>
      </c>
      <c r="S797">
        <v>72</v>
      </c>
      <c r="T797">
        <v>1.1000000000000001</v>
      </c>
      <c r="U797">
        <v>44</v>
      </c>
      <c r="V797">
        <v>4.2</v>
      </c>
      <c r="W797">
        <v>56</v>
      </c>
      <c r="X797" t="s">
        <v>428</v>
      </c>
      <c r="Y797" t="s">
        <v>429</v>
      </c>
      <c r="Z797" t="s">
        <v>96</v>
      </c>
      <c r="AA797" t="s">
        <v>2189</v>
      </c>
      <c r="AB797" t="s">
        <v>9769</v>
      </c>
      <c r="AC797">
        <v>29</v>
      </c>
      <c r="AD797">
        <v>14</v>
      </c>
      <c r="AE797">
        <v>93</v>
      </c>
      <c r="AF797">
        <v>523.71</v>
      </c>
      <c r="AG797">
        <v>24.43</v>
      </c>
      <c r="AH797">
        <v>18.510000000000002</v>
      </c>
      <c r="AI797">
        <v>0.06</v>
      </c>
      <c r="AJ797">
        <v>0.01</v>
      </c>
      <c r="AK797">
        <v>78</v>
      </c>
      <c r="AL797">
        <v>0</v>
      </c>
      <c r="AM797">
        <v>0</v>
      </c>
      <c r="AN797">
        <v>0.82</v>
      </c>
      <c r="AO797">
        <v>-0.14000000000000001</v>
      </c>
      <c r="AP797">
        <v>1300</v>
      </c>
      <c r="AQ797">
        <v>6</v>
      </c>
      <c r="AR797">
        <v>5.99</v>
      </c>
      <c r="AS797">
        <v>95</v>
      </c>
      <c r="AT797">
        <v>2.5099999999999998</v>
      </c>
      <c r="AU797">
        <v>96</v>
      </c>
      <c r="AV797">
        <v>-4.63</v>
      </c>
      <c r="AW797">
        <v>99</v>
      </c>
      <c r="AX797">
        <v>-0.74</v>
      </c>
      <c r="AY797">
        <v>95</v>
      </c>
      <c r="AZ797">
        <v>5.93</v>
      </c>
      <c r="BA797">
        <v>57</v>
      </c>
      <c r="BB797">
        <v>4.87</v>
      </c>
      <c r="BC797">
        <v>35</v>
      </c>
      <c r="BD797">
        <v>-7.0000000000000007E-2</v>
      </c>
      <c r="BE797">
        <v>-0.08</v>
      </c>
      <c r="BF797">
        <v>-7.0000000000000007E-2</v>
      </c>
      <c r="BG797">
        <v>88</v>
      </c>
      <c r="BH797">
        <v>0.02</v>
      </c>
      <c r="BI797">
        <v>-11.22</v>
      </c>
      <c r="BJ797">
        <v>0</v>
      </c>
      <c r="BK797">
        <v>0</v>
      </c>
      <c r="BL797">
        <v>1.39</v>
      </c>
      <c r="BM797">
        <v>-1.46</v>
      </c>
      <c r="BN797">
        <v>0.49</v>
      </c>
      <c r="BO797">
        <v>2.2599999999999998</v>
      </c>
      <c r="BP797">
        <v>-1.48</v>
      </c>
      <c r="BQ797">
        <v>0.88</v>
      </c>
      <c r="BR797">
        <v>0.65</v>
      </c>
      <c r="BS797">
        <v>1.59</v>
      </c>
      <c r="BT797">
        <v>0.17</v>
      </c>
      <c r="BU797">
        <v>4.33</v>
      </c>
      <c r="BV797">
        <v>4.37</v>
      </c>
      <c r="BW797">
        <v>3</v>
      </c>
      <c r="BX797">
        <v>2.68</v>
      </c>
      <c r="BY797">
        <v>2.5299999999999998</v>
      </c>
      <c r="BZ797">
        <v>-1.75</v>
      </c>
      <c r="CA797">
        <v>3.48</v>
      </c>
      <c r="CB797">
        <v>3.54</v>
      </c>
      <c r="CC797">
        <v>1.34</v>
      </c>
      <c r="CD797">
        <v>-2.1800000000000002</v>
      </c>
      <c r="CE797">
        <v>0.39</v>
      </c>
      <c r="CF797">
        <v>0.17</v>
      </c>
      <c r="CG797">
        <v>0</v>
      </c>
      <c r="CH797">
        <v>2.35</v>
      </c>
      <c r="CI797">
        <v>0</v>
      </c>
      <c r="CJ797">
        <v>-3.3</v>
      </c>
      <c r="CK797">
        <v>84</v>
      </c>
      <c r="CL797">
        <v>-1.25</v>
      </c>
      <c r="CM797">
        <v>80</v>
      </c>
      <c r="CN797">
        <v>-0.68</v>
      </c>
      <c r="CO797">
        <v>79</v>
      </c>
      <c r="CP797">
        <v>0.1</v>
      </c>
      <c r="CQ797">
        <v>49</v>
      </c>
      <c r="CR797">
        <v>0</v>
      </c>
      <c r="CS797">
        <v>0</v>
      </c>
      <c r="CT797">
        <v>12.3</v>
      </c>
      <c r="CU797">
        <v>44</v>
      </c>
      <c r="CV797">
        <v>0.2</v>
      </c>
      <c r="CW797">
        <v>43</v>
      </c>
      <c r="CX797" t="s">
        <v>1847</v>
      </c>
    </row>
    <row r="798" spans="1:102" x14ac:dyDescent="0.3">
      <c r="A798" t="str">
        <f>HYPERLINK("https://webapp.icbf.com/v2/app/bull-search/view/1118004273","HKK")</f>
        <v>HKK</v>
      </c>
      <c r="B798" t="s">
        <v>5833</v>
      </c>
      <c r="C798" t="s">
        <v>5834</v>
      </c>
      <c r="D798" s="1">
        <v>41137</v>
      </c>
      <c r="E798" t="s">
        <v>227</v>
      </c>
      <c r="F798">
        <v>34</v>
      </c>
      <c r="G798" t="s">
        <v>93</v>
      </c>
      <c r="H798">
        <v>159.66</v>
      </c>
      <c r="I798">
        <v>90</v>
      </c>
      <c r="J798">
        <v>88.28</v>
      </c>
      <c r="K798">
        <v>99</v>
      </c>
      <c r="L798">
        <v>54.48</v>
      </c>
      <c r="M798">
        <v>80</v>
      </c>
      <c r="N798">
        <v>36.24</v>
      </c>
      <c r="O798">
        <v>95</v>
      </c>
      <c r="P798">
        <v>-30.48</v>
      </c>
      <c r="Q798">
        <v>97</v>
      </c>
      <c r="R798">
        <v>-11.86</v>
      </c>
      <c r="S798">
        <v>82</v>
      </c>
      <c r="T798">
        <v>18.64</v>
      </c>
      <c r="U798">
        <v>97</v>
      </c>
      <c r="V798">
        <v>4.3600000000000003</v>
      </c>
      <c r="W798">
        <v>69</v>
      </c>
      <c r="X798" t="s">
        <v>94</v>
      </c>
      <c r="Y798" t="s">
        <v>2066</v>
      </c>
      <c r="Z798">
        <v>0</v>
      </c>
      <c r="AA798" t="s">
        <v>2508</v>
      </c>
      <c r="AB798" t="s">
        <v>5835</v>
      </c>
      <c r="AC798">
        <v>534</v>
      </c>
      <c r="AD798">
        <v>115</v>
      </c>
      <c r="AE798">
        <v>99</v>
      </c>
      <c r="AF798">
        <v>-208.9</v>
      </c>
      <c r="AG798">
        <v>9.77</v>
      </c>
      <c r="AH798">
        <v>8.36</v>
      </c>
      <c r="AI798">
        <v>0.31</v>
      </c>
      <c r="AJ798">
        <v>0.27</v>
      </c>
      <c r="AK798">
        <v>80</v>
      </c>
      <c r="AL798">
        <v>526</v>
      </c>
      <c r="AM798">
        <v>129</v>
      </c>
      <c r="AN798">
        <v>-3.33</v>
      </c>
      <c r="AO798">
        <v>1.01</v>
      </c>
      <c r="AP798">
        <v>1647</v>
      </c>
      <c r="AQ798">
        <v>3</v>
      </c>
      <c r="AR798">
        <v>4.28</v>
      </c>
      <c r="AS798">
        <v>97</v>
      </c>
      <c r="AT798">
        <v>1.67</v>
      </c>
      <c r="AU798">
        <v>96</v>
      </c>
      <c r="AV798">
        <v>-2.48</v>
      </c>
      <c r="AW798">
        <v>99</v>
      </c>
      <c r="AX798">
        <v>0.52</v>
      </c>
      <c r="AY798">
        <v>96</v>
      </c>
      <c r="AZ798">
        <v>5.94</v>
      </c>
      <c r="BA798">
        <v>88</v>
      </c>
      <c r="BB798">
        <v>5.0999999999999996</v>
      </c>
      <c r="BC798">
        <v>78</v>
      </c>
      <c r="BD798">
        <v>0.01</v>
      </c>
      <c r="BE798">
        <v>0.04</v>
      </c>
      <c r="BF798">
        <v>0.18</v>
      </c>
      <c r="BG798">
        <v>95</v>
      </c>
      <c r="BH798">
        <v>0.16</v>
      </c>
      <c r="BI798">
        <v>4.4400000000000004</v>
      </c>
      <c r="BJ798">
        <v>1</v>
      </c>
      <c r="BK798">
        <v>1</v>
      </c>
      <c r="BL798">
        <v>-1.82</v>
      </c>
      <c r="BM798">
        <v>1.34</v>
      </c>
      <c r="BN798">
        <v>-0.31</v>
      </c>
      <c r="BO798">
        <v>-0.4</v>
      </c>
      <c r="BP798">
        <v>-0.75</v>
      </c>
      <c r="BQ798">
        <v>-1.1299999999999999</v>
      </c>
      <c r="BR798">
        <v>1.02</v>
      </c>
      <c r="BS798">
        <v>1.6</v>
      </c>
      <c r="BT798">
        <v>-1.17</v>
      </c>
      <c r="BU798">
        <v>-1.96</v>
      </c>
      <c r="BV798">
        <v>-0.74</v>
      </c>
      <c r="BW798">
        <v>-1.63</v>
      </c>
      <c r="BX798">
        <v>-4.16</v>
      </c>
      <c r="BY798">
        <v>-1.86</v>
      </c>
      <c r="BZ798">
        <v>1.43</v>
      </c>
      <c r="CA798">
        <v>-1.1000000000000001</v>
      </c>
      <c r="CB798">
        <v>-1.58</v>
      </c>
      <c r="CC798">
        <v>0.15</v>
      </c>
      <c r="CD798">
        <v>-0.55000000000000004</v>
      </c>
      <c r="CE798">
        <v>-0.79</v>
      </c>
      <c r="CF798">
        <v>-2.95</v>
      </c>
      <c r="CG798">
        <v>0</v>
      </c>
      <c r="CH798">
        <v>-3.13</v>
      </c>
      <c r="CI798">
        <v>0</v>
      </c>
      <c r="CJ798">
        <v>-14.3</v>
      </c>
      <c r="CK798">
        <v>98</v>
      </c>
      <c r="CL798">
        <v>-0.96</v>
      </c>
      <c r="CM798">
        <v>97</v>
      </c>
      <c r="CN798">
        <v>-0.09</v>
      </c>
      <c r="CO798">
        <v>97</v>
      </c>
      <c r="CP798">
        <v>-12.6</v>
      </c>
      <c r="CQ798">
        <v>91</v>
      </c>
      <c r="CR798">
        <v>0</v>
      </c>
      <c r="CS798">
        <v>0</v>
      </c>
      <c r="CT798">
        <v>-11.4</v>
      </c>
      <c r="CU798">
        <v>97</v>
      </c>
      <c r="CV798">
        <v>0.05</v>
      </c>
      <c r="CW798">
        <v>30</v>
      </c>
      <c r="CX798" t="s">
        <v>5836</v>
      </c>
    </row>
    <row r="799" spans="1:102" x14ac:dyDescent="0.3">
      <c r="A799" t="str">
        <f>HYPERLINK("https://webapp.icbf.com/v2/app/bull-search/view/396167763","GHU")</f>
        <v>GHU</v>
      </c>
      <c r="B799" t="s">
        <v>1167</v>
      </c>
      <c r="C799" t="s">
        <v>1168</v>
      </c>
      <c r="D799" s="1">
        <v>38396</v>
      </c>
      <c r="E799" t="s">
        <v>92</v>
      </c>
      <c r="F799">
        <v>91</v>
      </c>
      <c r="G799" t="s">
        <v>93</v>
      </c>
      <c r="H799">
        <v>159.57</v>
      </c>
      <c r="I799">
        <v>89</v>
      </c>
      <c r="J799">
        <v>47.08</v>
      </c>
      <c r="K799">
        <v>97</v>
      </c>
      <c r="L799">
        <v>69.69</v>
      </c>
      <c r="M799">
        <v>82</v>
      </c>
      <c r="N799">
        <v>37.22</v>
      </c>
      <c r="O799">
        <v>87</v>
      </c>
      <c r="P799">
        <v>-6.84</v>
      </c>
      <c r="Q799">
        <v>91</v>
      </c>
      <c r="R799">
        <v>4.41</v>
      </c>
      <c r="S799">
        <v>84</v>
      </c>
      <c r="T799">
        <v>4.72</v>
      </c>
      <c r="U799">
        <v>90</v>
      </c>
      <c r="V799">
        <v>3.29</v>
      </c>
      <c r="W799">
        <v>84</v>
      </c>
      <c r="X799" t="s">
        <v>94</v>
      </c>
      <c r="Y799" t="s">
        <v>228</v>
      </c>
      <c r="Z799" t="s">
        <v>96</v>
      </c>
      <c r="AA799" t="s">
        <v>1165</v>
      </c>
      <c r="AB799" t="s">
        <v>1169</v>
      </c>
      <c r="AC799">
        <v>97</v>
      </c>
      <c r="AD799">
        <v>68</v>
      </c>
      <c r="AE799">
        <v>97</v>
      </c>
      <c r="AF799">
        <v>-42.18</v>
      </c>
      <c r="AG799">
        <v>11.45</v>
      </c>
      <c r="AH799">
        <v>3.31</v>
      </c>
      <c r="AI799">
        <v>0.23</v>
      </c>
      <c r="AJ799">
        <v>0.08</v>
      </c>
      <c r="AK799">
        <v>82</v>
      </c>
      <c r="AL799">
        <v>101</v>
      </c>
      <c r="AM799">
        <v>67</v>
      </c>
      <c r="AN799">
        <v>-3.59</v>
      </c>
      <c r="AO799">
        <v>1.97</v>
      </c>
      <c r="AP799">
        <v>179</v>
      </c>
      <c r="AQ799">
        <v>1</v>
      </c>
      <c r="AR799">
        <v>3.48</v>
      </c>
      <c r="AS799">
        <v>75</v>
      </c>
      <c r="AT799">
        <v>1.56</v>
      </c>
      <c r="AU799">
        <v>88</v>
      </c>
      <c r="AV799">
        <v>-1.93</v>
      </c>
      <c r="AW799">
        <v>95</v>
      </c>
      <c r="AX799">
        <v>-0.38</v>
      </c>
      <c r="AY799">
        <v>82</v>
      </c>
      <c r="AZ799">
        <v>5.93</v>
      </c>
      <c r="BA799">
        <v>69</v>
      </c>
      <c r="BB799">
        <v>4.8600000000000003</v>
      </c>
      <c r="BC799">
        <v>73</v>
      </c>
      <c r="BD799">
        <v>-0.02</v>
      </c>
      <c r="BE799">
        <v>-0.02</v>
      </c>
      <c r="BF799">
        <v>-0.03</v>
      </c>
      <c r="BG799">
        <v>90</v>
      </c>
      <c r="BH799">
        <v>0.14000000000000001</v>
      </c>
      <c r="BI799">
        <v>5.58</v>
      </c>
      <c r="BJ799">
        <v>27</v>
      </c>
      <c r="BK799">
        <v>16</v>
      </c>
      <c r="BL799">
        <v>0.06</v>
      </c>
      <c r="BM799">
        <v>1.04</v>
      </c>
      <c r="BN799">
        <v>-1.1599999999999999</v>
      </c>
      <c r="BO799">
        <v>-1.34</v>
      </c>
      <c r="BP799">
        <v>2.4700000000000002</v>
      </c>
      <c r="BQ799">
        <v>-0.31</v>
      </c>
      <c r="BR799">
        <v>-0.7</v>
      </c>
      <c r="BS799">
        <v>-1.1499999999999999</v>
      </c>
      <c r="BT799">
        <v>-0.33</v>
      </c>
      <c r="BU799">
        <v>-1.84</v>
      </c>
      <c r="BV799">
        <v>-2.9</v>
      </c>
      <c r="BW799">
        <v>-1.63</v>
      </c>
      <c r="BX799">
        <v>-0.38</v>
      </c>
      <c r="BY799">
        <v>-0.83</v>
      </c>
      <c r="BZ799">
        <v>-4.25</v>
      </c>
      <c r="CA799">
        <v>-1.01</v>
      </c>
      <c r="CB799">
        <v>-1.22</v>
      </c>
      <c r="CC799">
        <v>-0.41</v>
      </c>
      <c r="CD799">
        <v>1.79</v>
      </c>
      <c r="CE799">
        <v>-0.72</v>
      </c>
      <c r="CF799">
        <v>0.1</v>
      </c>
      <c r="CG799">
        <v>0</v>
      </c>
      <c r="CH799">
        <v>-0.7</v>
      </c>
      <c r="CI799">
        <v>0</v>
      </c>
      <c r="CJ799">
        <v>-0.1</v>
      </c>
      <c r="CK799">
        <v>92</v>
      </c>
      <c r="CL799">
        <v>-0.57999999999999996</v>
      </c>
      <c r="CM799">
        <v>90</v>
      </c>
      <c r="CN799">
        <v>0.05</v>
      </c>
      <c r="CO799">
        <v>89</v>
      </c>
      <c r="CP799">
        <v>-0.9</v>
      </c>
      <c r="CQ799">
        <v>91</v>
      </c>
      <c r="CR799">
        <v>0</v>
      </c>
      <c r="CS799">
        <v>0</v>
      </c>
      <c r="CT799">
        <v>7.4</v>
      </c>
      <c r="CU799">
        <v>90</v>
      </c>
      <c r="CV799">
        <v>0.13</v>
      </c>
      <c r="CW799">
        <v>46</v>
      </c>
      <c r="CX799" t="s">
        <v>1037</v>
      </c>
    </row>
    <row r="800" spans="1:102" x14ac:dyDescent="0.3">
      <c r="A800" t="str">
        <f>HYPERLINK("https://webapp.icbf.com/v2/app/bull-search/view/550979965","TWG")</f>
        <v>TWG</v>
      </c>
      <c r="B800" t="s">
        <v>4250</v>
      </c>
      <c r="C800" t="s">
        <v>4251</v>
      </c>
      <c r="D800" s="1">
        <v>38935</v>
      </c>
      <c r="E800" t="s">
        <v>227</v>
      </c>
      <c r="F800">
        <v>0</v>
      </c>
      <c r="G800" t="s">
        <v>93</v>
      </c>
      <c r="H800">
        <v>159.53</v>
      </c>
      <c r="I800">
        <v>94</v>
      </c>
      <c r="J800">
        <v>79.12</v>
      </c>
      <c r="K800">
        <v>98</v>
      </c>
      <c r="L800">
        <v>59.93</v>
      </c>
      <c r="M800">
        <v>89</v>
      </c>
      <c r="N800">
        <v>20.72</v>
      </c>
      <c r="O800">
        <v>94</v>
      </c>
      <c r="P800">
        <v>-54.24</v>
      </c>
      <c r="Q800">
        <v>96</v>
      </c>
      <c r="R800">
        <v>-4.9400000000000004</v>
      </c>
      <c r="S800">
        <v>92</v>
      </c>
      <c r="T800">
        <v>65.92</v>
      </c>
      <c r="U800">
        <v>96</v>
      </c>
      <c r="V800">
        <v>-6.98</v>
      </c>
      <c r="W800">
        <v>95</v>
      </c>
      <c r="X800" t="s">
        <v>276</v>
      </c>
      <c r="Y800" t="s">
        <v>1524</v>
      </c>
      <c r="Z800">
        <v>0</v>
      </c>
      <c r="AA800" t="s">
        <v>1837</v>
      </c>
      <c r="AB800" t="s">
        <v>4252</v>
      </c>
      <c r="AC800">
        <v>297</v>
      </c>
      <c r="AD800">
        <v>123</v>
      </c>
      <c r="AE800">
        <v>98</v>
      </c>
      <c r="AF800">
        <v>-456.75</v>
      </c>
      <c r="AG800">
        <v>15.73</v>
      </c>
      <c r="AH800">
        <v>0.9</v>
      </c>
      <c r="AI800">
        <v>0.64</v>
      </c>
      <c r="AJ800">
        <v>0.31</v>
      </c>
      <c r="AK800">
        <v>89</v>
      </c>
      <c r="AL800">
        <v>283</v>
      </c>
      <c r="AM800">
        <v>114</v>
      </c>
      <c r="AN800">
        <v>-2.44</v>
      </c>
      <c r="AO800">
        <v>2.35</v>
      </c>
      <c r="AP800">
        <v>560</v>
      </c>
      <c r="AQ800">
        <v>6</v>
      </c>
      <c r="AR800">
        <v>2.06</v>
      </c>
      <c r="AS800">
        <v>94</v>
      </c>
      <c r="AT800">
        <v>1.26</v>
      </c>
      <c r="AU800">
        <v>94</v>
      </c>
      <c r="AV800">
        <v>0.04</v>
      </c>
      <c r="AW800">
        <v>99</v>
      </c>
      <c r="AX800">
        <v>0.1</v>
      </c>
      <c r="AY800">
        <v>92</v>
      </c>
      <c r="AZ800">
        <v>6.35</v>
      </c>
      <c r="BA800">
        <v>84</v>
      </c>
      <c r="BB800">
        <v>5.35</v>
      </c>
      <c r="BC800">
        <v>87</v>
      </c>
      <c r="BD800">
        <v>-0.02</v>
      </c>
      <c r="BE800">
        <v>0.03</v>
      </c>
      <c r="BF800">
        <v>0.09</v>
      </c>
      <c r="BG800">
        <v>96</v>
      </c>
      <c r="BH800">
        <v>-0.14000000000000001</v>
      </c>
      <c r="BI800">
        <v>6.31</v>
      </c>
      <c r="BJ800">
        <v>56</v>
      </c>
      <c r="BK800">
        <v>18</v>
      </c>
      <c r="BL800">
        <v>-3.12</v>
      </c>
      <c r="BM800">
        <v>-2.16</v>
      </c>
      <c r="BN800">
        <v>-0.85</v>
      </c>
      <c r="BO800">
        <v>0.97</v>
      </c>
      <c r="BP800">
        <v>-0.86</v>
      </c>
      <c r="BQ800">
        <v>-6.52</v>
      </c>
      <c r="BR800">
        <v>1.1399999999999999</v>
      </c>
      <c r="BS800">
        <v>7.61</v>
      </c>
      <c r="BT800">
        <v>0.37</v>
      </c>
      <c r="BU800">
        <v>-2.14</v>
      </c>
      <c r="BV800">
        <v>-0.83</v>
      </c>
      <c r="BW800">
        <v>-2.34</v>
      </c>
      <c r="BX800">
        <v>-4.4800000000000004</v>
      </c>
      <c r="BY800">
        <v>-0.77</v>
      </c>
      <c r="BZ800">
        <v>0.71</v>
      </c>
      <c r="CA800">
        <v>0.59</v>
      </c>
      <c r="CB800">
        <v>-1.39</v>
      </c>
      <c r="CC800">
        <v>4.45</v>
      </c>
      <c r="CD800">
        <v>-1.7</v>
      </c>
      <c r="CE800">
        <v>0.68</v>
      </c>
      <c r="CF800">
        <v>-3.59</v>
      </c>
      <c r="CG800">
        <v>0</v>
      </c>
      <c r="CH800">
        <v>-1.03</v>
      </c>
      <c r="CI800">
        <v>0</v>
      </c>
      <c r="CJ800">
        <v>-27.7</v>
      </c>
      <c r="CK800">
        <v>96</v>
      </c>
      <c r="CL800">
        <v>-0.9</v>
      </c>
      <c r="CM800">
        <v>96</v>
      </c>
      <c r="CN800">
        <v>-0.08</v>
      </c>
      <c r="CO800">
        <v>95</v>
      </c>
      <c r="CP800">
        <v>-51.1</v>
      </c>
      <c r="CQ800">
        <v>95</v>
      </c>
      <c r="CR800">
        <v>0</v>
      </c>
      <c r="CS800">
        <v>0</v>
      </c>
      <c r="CT800">
        <v>-75.3</v>
      </c>
      <c r="CU800">
        <v>96</v>
      </c>
      <c r="CV800">
        <v>-0.26</v>
      </c>
      <c r="CW800">
        <v>45</v>
      </c>
      <c r="CX800" t="s">
        <v>1634</v>
      </c>
    </row>
    <row r="801" spans="1:102" x14ac:dyDescent="0.3">
      <c r="A801" t="str">
        <f>HYPERLINK("https://webapp.icbf.com/v2/app/bull-search/view/858797863","TVK")</f>
        <v>TVK</v>
      </c>
      <c r="B801" t="s">
        <v>13065</v>
      </c>
      <c r="C801" t="s">
        <v>13066</v>
      </c>
      <c r="D801" s="1">
        <v>40569</v>
      </c>
      <c r="E801" t="s">
        <v>395</v>
      </c>
      <c r="F801">
        <v>0</v>
      </c>
      <c r="G801" t="s">
        <v>93</v>
      </c>
      <c r="H801">
        <v>159.53</v>
      </c>
      <c r="I801">
        <v>85</v>
      </c>
      <c r="J801">
        <v>10.93</v>
      </c>
      <c r="K801">
        <v>96</v>
      </c>
      <c r="L801">
        <v>81.37</v>
      </c>
      <c r="M801">
        <v>76</v>
      </c>
      <c r="N801">
        <v>52.73</v>
      </c>
      <c r="O801">
        <v>87</v>
      </c>
      <c r="P801">
        <v>2.04</v>
      </c>
      <c r="Q801">
        <v>92</v>
      </c>
      <c r="R801">
        <v>7.47</v>
      </c>
      <c r="S801">
        <v>77</v>
      </c>
      <c r="T801">
        <v>5.09</v>
      </c>
      <c r="U801">
        <v>82</v>
      </c>
      <c r="V801">
        <v>-0.1</v>
      </c>
      <c r="W801">
        <v>73</v>
      </c>
      <c r="X801" t="s">
        <v>276</v>
      </c>
      <c r="Y801" t="s">
        <v>1923</v>
      </c>
      <c r="Z801">
        <v>0</v>
      </c>
      <c r="AA801" t="s">
        <v>6530</v>
      </c>
      <c r="AB801" t="s">
        <v>13067</v>
      </c>
      <c r="AC801">
        <v>88</v>
      </c>
      <c r="AD801">
        <v>55</v>
      </c>
      <c r="AE801">
        <v>96</v>
      </c>
      <c r="AF801">
        <v>-209.21</v>
      </c>
      <c r="AG801">
        <v>0.67</v>
      </c>
      <c r="AH801">
        <v>-1.58</v>
      </c>
      <c r="AI801">
        <v>0.16</v>
      </c>
      <c r="AJ801">
        <v>0.1</v>
      </c>
      <c r="AK801">
        <v>76</v>
      </c>
      <c r="AL801">
        <v>116</v>
      </c>
      <c r="AM801">
        <v>67</v>
      </c>
      <c r="AN801">
        <v>-4.3499999999999996</v>
      </c>
      <c r="AO801">
        <v>2.14</v>
      </c>
      <c r="AP801">
        <v>278</v>
      </c>
      <c r="AQ801">
        <v>5</v>
      </c>
      <c r="AR801">
        <v>4.8</v>
      </c>
      <c r="AS801">
        <v>80</v>
      </c>
      <c r="AT801">
        <v>1.92</v>
      </c>
      <c r="AU801">
        <v>89</v>
      </c>
      <c r="AV801">
        <v>-4.6399999999999997</v>
      </c>
      <c r="AW801">
        <v>97</v>
      </c>
      <c r="AX801">
        <v>-0.4</v>
      </c>
      <c r="AY801">
        <v>86</v>
      </c>
      <c r="AZ801">
        <v>5.98</v>
      </c>
      <c r="BA801">
        <v>68</v>
      </c>
      <c r="BB801">
        <v>5.22</v>
      </c>
      <c r="BC801">
        <v>63</v>
      </c>
      <c r="BD801">
        <v>-0.04</v>
      </c>
      <c r="BE801">
        <v>-0.05</v>
      </c>
      <c r="BF801">
        <v>-0.01</v>
      </c>
      <c r="BG801">
        <v>86</v>
      </c>
      <c r="BH801">
        <v>0.04</v>
      </c>
      <c r="BI801">
        <v>4.96</v>
      </c>
      <c r="BJ801">
        <v>0</v>
      </c>
      <c r="BK801">
        <v>0</v>
      </c>
      <c r="BL801">
        <v>-1.67</v>
      </c>
      <c r="BM801">
        <v>0.22</v>
      </c>
      <c r="BN801">
        <v>-2.34</v>
      </c>
      <c r="BO801">
        <v>-1.97</v>
      </c>
      <c r="BP801">
        <v>0.91</v>
      </c>
      <c r="BQ801">
        <v>-1.56</v>
      </c>
      <c r="BR801">
        <v>0.24</v>
      </c>
      <c r="BS801">
        <v>1.07</v>
      </c>
      <c r="BT801">
        <v>-0.34</v>
      </c>
      <c r="BU801">
        <v>-1.21</v>
      </c>
      <c r="BV801">
        <v>-2.25</v>
      </c>
      <c r="BW801">
        <v>-1.62</v>
      </c>
      <c r="BX801">
        <v>-1.32</v>
      </c>
      <c r="BY801">
        <v>-1.05</v>
      </c>
      <c r="BZ801">
        <v>-1.65</v>
      </c>
      <c r="CA801">
        <v>-0.92</v>
      </c>
      <c r="CB801">
        <v>-1.51</v>
      </c>
      <c r="CC801">
        <v>0.35</v>
      </c>
      <c r="CD801">
        <v>1.26</v>
      </c>
      <c r="CE801">
        <v>-1.77</v>
      </c>
      <c r="CF801">
        <v>-1.88</v>
      </c>
      <c r="CG801">
        <v>0</v>
      </c>
      <c r="CH801">
        <v>-1.35</v>
      </c>
      <c r="CI801">
        <v>0</v>
      </c>
      <c r="CJ801">
        <v>1.9</v>
      </c>
      <c r="CK801">
        <v>94</v>
      </c>
      <c r="CL801">
        <v>-0.25</v>
      </c>
      <c r="CM801">
        <v>93</v>
      </c>
      <c r="CN801">
        <v>-0.21</v>
      </c>
      <c r="CO801">
        <v>92</v>
      </c>
      <c r="CP801">
        <v>-3.1</v>
      </c>
      <c r="CQ801">
        <v>81</v>
      </c>
      <c r="CR801">
        <v>0</v>
      </c>
      <c r="CS801">
        <v>0</v>
      </c>
      <c r="CT801">
        <v>6.9</v>
      </c>
      <c r="CU801">
        <v>82</v>
      </c>
      <c r="CV801">
        <v>0.02</v>
      </c>
      <c r="CW801">
        <v>45</v>
      </c>
      <c r="CX801" t="s">
        <v>7225</v>
      </c>
    </row>
    <row r="802" spans="1:102" x14ac:dyDescent="0.3">
      <c r="A802" t="str">
        <f>HYPERLINK("https://webapp.icbf.com/v2/app/bull-search/view/481001929","MTW")</f>
        <v>MTW</v>
      </c>
      <c r="B802" t="s">
        <v>14864</v>
      </c>
      <c r="C802" t="s">
        <v>14865</v>
      </c>
      <c r="D802" s="1">
        <v>38694</v>
      </c>
      <c r="E802" t="s">
        <v>92</v>
      </c>
      <c r="F802">
        <v>100</v>
      </c>
      <c r="G802" t="s">
        <v>93</v>
      </c>
      <c r="H802">
        <v>159.51</v>
      </c>
      <c r="I802">
        <v>98</v>
      </c>
      <c r="J802">
        <v>56.39</v>
      </c>
      <c r="K802">
        <v>99</v>
      </c>
      <c r="L802">
        <v>73</v>
      </c>
      <c r="M802">
        <v>96</v>
      </c>
      <c r="N802">
        <v>20.3</v>
      </c>
      <c r="O802">
        <v>99</v>
      </c>
      <c r="P802">
        <v>-20.75</v>
      </c>
      <c r="Q802">
        <v>99</v>
      </c>
      <c r="R802">
        <v>8.9600000000000009</v>
      </c>
      <c r="S802">
        <v>97</v>
      </c>
      <c r="T802">
        <v>25.15</v>
      </c>
      <c r="U802">
        <v>99</v>
      </c>
      <c r="V802">
        <v>-3.54</v>
      </c>
      <c r="W802">
        <v>98</v>
      </c>
      <c r="X802" t="s">
        <v>94</v>
      </c>
      <c r="Y802" t="s">
        <v>1423</v>
      </c>
      <c r="Z802" t="s">
        <v>96</v>
      </c>
      <c r="AA802" t="s">
        <v>316</v>
      </c>
      <c r="AB802" t="s">
        <v>1379</v>
      </c>
      <c r="AC802">
        <v>2335</v>
      </c>
      <c r="AD802">
        <v>1055</v>
      </c>
      <c r="AE802">
        <v>99</v>
      </c>
      <c r="AF802">
        <v>369.15</v>
      </c>
      <c r="AG802">
        <v>11.82</v>
      </c>
      <c r="AH802">
        <v>11.06</v>
      </c>
      <c r="AI802">
        <v>-0.04</v>
      </c>
      <c r="AJ802">
        <v>-0.02</v>
      </c>
      <c r="AK802">
        <v>96</v>
      </c>
      <c r="AL802">
        <v>2943</v>
      </c>
      <c r="AM802">
        <v>1425</v>
      </c>
      <c r="AN802">
        <v>-3.32</v>
      </c>
      <c r="AO802">
        <v>2.5099999999999998</v>
      </c>
      <c r="AP802">
        <v>4395</v>
      </c>
      <c r="AQ802">
        <v>47</v>
      </c>
      <c r="AR802">
        <v>6.32</v>
      </c>
      <c r="AS802">
        <v>97</v>
      </c>
      <c r="AT802">
        <v>2.58</v>
      </c>
      <c r="AU802">
        <v>99</v>
      </c>
      <c r="AV802">
        <v>-1.72</v>
      </c>
      <c r="AW802">
        <v>99</v>
      </c>
      <c r="AX802">
        <v>-0.13</v>
      </c>
      <c r="AY802">
        <v>99</v>
      </c>
      <c r="AZ802">
        <v>6.61</v>
      </c>
      <c r="BA802">
        <v>97</v>
      </c>
      <c r="BB802">
        <v>5.21</v>
      </c>
      <c r="BC802">
        <v>97</v>
      </c>
      <c r="BD802">
        <v>-0.06</v>
      </c>
      <c r="BE802">
        <v>-0.04</v>
      </c>
      <c r="BF802">
        <v>-0.03</v>
      </c>
      <c r="BG802">
        <v>99</v>
      </c>
      <c r="BH802">
        <v>-0.1</v>
      </c>
      <c r="BI802">
        <v>-0.14000000000000001</v>
      </c>
      <c r="BJ802">
        <v>78</v>
      </c>
      <c r="BK802">
        <v>49</v>
      </c>
      <c r="BL802">
        <v>-0.78</v>
      </c>
      <c r="BM802">
        <v>-0.31</v>
      </c>
      <c r="BN802">
        <v>-0.57999999999999996</v>
      </c>
      <c r="BO802">
        <v>-0.53</v>
      </c>
      <c r="BP802">
        <v>-0.62</v>
      </c>
      <c r="BQ802">
        <v>-2.65</v>
      </c>
      <c r="BR802">
        <v>-0.1</v>
      </c>
      <c r="BS802">
        <v>-2.2799999999999998</v>
      </c>
      <c r="BT802">
        <v>-1.01</v>
      </c>
      <c r="BU802">
        <v>-0.75</v>
      </c>
      <c r="BV802">
        <v>-1.1000000000000001</v>
      </c>
      <c r="BW802">
        <v>-1.65</v>
      </c>
      <c r="BX802">
        <v>-0.51</v>
      </c>
      <c r="BY802">
        <v>-0.81</v>
      </c>
      <c r="BZ802">
        <v>-0.63</v>
      </c>
      <c r="CA802">
        <v>-1.1200000000000001</v>
      </c>
      <c r="CB802">
        <v>-1.1599999999999999</v>
      </c>
      <c r="CC802">
        <v>-0.72</v>
      </c>
      <c r="CD802">
        <v>0.5</v>
      </c>
      <c r="CE802">
        <v>-7.0000000000000007E-2</v>
      </c>
      <c r="CF802">
        <v>-1.52</v>
      </c>
      <c r="CG802">
        <v>0</v>
      </c>
      <c r="CH802">
        <v>-1.1499999999999999</v>
      </c>
      <c r="CI802">
        <v>0</v>
      </c>
      <c r="CJ802">
        <v>-10.1</v>
      </c>
      <c r="CK802">
        <v>99</v>
      </c>
      <c r="CL802">
        <v>-0.89</v>
      </c>
      <c r="CM802">
        <v>99</v>
      </c>
      <c r="CN802">
        <v>-0.36</v>
      </c>
      <c r="CO802">
        <v>99</v>
      </c>
      <c r="CP802">
        <v>-12.3</v>
      </c>
      <c r="CQ802">
        <v>99</v>
      </c>
      <c r="CR802">
        <v>0</v>
      </c>
      <c r="CS802">
        <v>0</v>
      </c>
      <c r="CT802">
        <v>-20.2</v>
      </c>
      <c r="CU802">
        <v>99</v>
      </c>
      <c r="CV802">
        <v>0.18</v>
      </c>
      <c r="CW802">
        <v>50</v>
      </c>
      <c r="CX802" t="s">
        <v>1380</v>
      </c>
    </row>
    <row r="803" spans="1:102" x14ac:dyDescent="0.3">
      <c r="A803" t="str">
        <f>HYPERLINK("https://webapp.icbf.com/v2/app/bull-search/view/678518278","EKJ")</f>
        <v>EKJ</v>
      </c>
      <c r="B803" t="s">
        <v>15710</v>
      </c>
      <c r="C803" t="s">
        <v>15711</v>
      </c>
      <c r="D803" s="1">
        <v>39895</v>
      </c>
      <c r="E803" t="s">
        <v>92</v>
      </c>
      <c r="F803">
        <v>84</v>
      </c>
      <c r="G803" t="s">
        <v>435</v>
      </c>
      <c r="H803">
        <v>159.47999999999999</v>
      </c>
      <c r="I803">
        <v>69</v>
      </c>
      <c r="J803">
        <v>63.81</v>
      </c>
      <c r="K803">
        <v>88</v>
      </c>
      <c r="L803">
        <v>55.45</v>
      </c>
      <c r="M803">
        <v>64</v>
      </c>
      <c r="N803">
        <v>39.65</v>
      </c>
      <c r="O803">
        <v>58</v>
      </c>
      <c r="P803">
        <v>-25.56</v>
      </c>
      <c r="Q803">
        <v>48</v>
      </c>
      <c r="R803">
        <v>-1.59</v>
      </c>
      <c r="S803">
        <v>66</v>
      </c>
      <c r="T803">
        <v>22.85</v>
      </c>
      <c r="U803">
        <v>47</v>
      </c>
      <c r="V803">
        <v>4.87</v>
      </c>
      <c r="W803">
        <v>62</v>
      </c>
      <c r="X803" t="s">
        <v>94</v>
      </c>
      <c r="Y803" t="s">
        <v>1727</v>
      </c>
      <c r="Z803" t="s">
        <v>3025</v>
      </c>
      <c r="AA803" t="s">
        <v>1514</v>
      </c>
      <c r="AB803" t="s">
        <v>144</v>
      </c>
      <c r="AC803">
        <v>0</v>
      </c>
      <c r="AD803">
        <v>0</v>
      </c>
      <c r="AE803">
        <v>88</v>
      </c>
      <c r="AF803">
        <v>57.67</v>
      </c>
      <c r="AG803">
        <v>15.39</v>
      </c>
      <c r="AH803">
        <v>6.29</v>
      </c>
      <c r="AI803">
        <v>0.22</v>
      </c>
      <c r="AJ803">
        <v>0.08</v>
      </c>
      <c r="AK803">
        <v>64</v>
      </c>
      <c r="AL803">
        <v>1</v>
      </c>
      <c r="AM803">
        <v>1</v>
      </c>
      <c r="AN803">
        <v>-2.42</v>
      </c>
      <c r="AO803">
        <v>2.0099999999999998</v>
      </c>
      <c r="AP803">
        <v>2</v>
      </c>
      <c r="AQ803">
        <v>0</v>
      </c>
      <c r="AR803">
        <v>4.49</v>
      </c>
      <c r="AS803">
        <v>53</v>
      </c>
      <c r="AT803">
        <v>1.73</v>
      </c>
      <c r="AU803">
        <v>61</v>
      </c>
      <c r="AV803">
        <v>-2.9</v>
      </c>
      <c r="AW803">
        <v>64</v>
      </c>
      <c r="AX803">
        <v>0.03</v>
      </c>
      <c r="AY803">
        <v>48</v>
      </c>
      <c r="AZ803">
        <v>5.86</v>
      </c>
      <c r="BA803">
        <v>44</v>
      </c>
      <c r="BB803">
        <v>5.22</v>
      </c>
      <c r="BC803">
        <v>45</v>
      </c>
      <c r="BD803">
        <v>-0.02</v>
      </c>
      <c r="BE803">
        <v>0</v>
      </c>
      <c r="BF803">
        <v>7.0000000000000007E-2</v>
      </c>
      <c r="BG803">
        <v>74</v>
      </c>
      <c r="BH803">
        <v>0.06</v>
      </c>
      <c r="BI803">
        <v>-8.76</v>
      </c>
      <c r="BJ803">
        <v>0</v>
      </c>
      <c r="BK803">
        <v>0</v>
      </c>
      <c r="BL803">
        <v>-1.25</v>
      </c>
      <c r="BM803">
        <v>-1.48</v>
      </c>
      <c r="BN803">
        <v>-2.48</v>
      </c>
      <c r="BO803">
        <v>-1.27</v>
      </c>
      <c r="BP803">
        <v>-0.62</v>
      </c>
      <c r="BQ803">
        <v>-0.99</v>
      </c>
      <c r="BR803">
        <v>0.73</v>
      </c>
      <c r="BS803">
        <v>-2.58</v>
      </c>
      <c r="BT803">
        <v>-0.83</v>
      </c>
      <c r="BU803">
        <v>0.53</v>
      </c>
      <c r="BV803">
        <v>-0.57999999999999996</v>
      </c>
      <c r="BW803">
        <v>-0.84</v>
      </c>
      <c r="BX803">
        <v>1.52</v>
      </c>
      <c r="BY803">
        <v>-0.77</v>
      </c>
      <c r="BZ803">
        <v>-0.8</v>
      </c>
      <c r="CA803">
        <v>-1.17</v>
      </c>
      <c r="CB803">
        <v>-0.14000000000000001</v>
      </c>
      <c r="CC803">
        <v>-2.3199999999999998</v>
      </c>
      <c r="CD803">
        <v>-0.42</v>
      </c>
      <c r="CE803">
        <v>-0.95</v>
      </c>
      <c r="CF803">
        <v>-1.49</v>
      </c>
      <c r="CG803">
        <v>0</v>
      </c>
      <c r="CH803">
        <v>0.57999999999999996</v>
      </c>
      <c r="CI803">
        <v>0</v>
      </c>
      <c r="CJ803">
        <v>-13.6</v>
      </c>
      <c r="CK803">
        <v>48</v>
      </c>
      <c r="CL803">
        <v>-0.86</v>
      </c>
      <c r="CM803">
        <v>48</v>
      </c>
      <c r="CN803">
        <v>-0.43</v>
      </c>
      <c r="CO803">
        <v>47</v>
      </c>
      <c r="CP803">
        <v>-19.7</v>
      </c>
      <c r="CQ803">
        <v>48</v>
      </c>
      <c r="CR803">
        <v>0</v>
      </c>
      <c r="CS803">
        <v>0</v>
      </c>
      <c r="CT803">
        <v>-17.100000000000001</v>
      </c>
      <c r="CU803">
        <v>47</v>
      </c>
      <c r="CV803">
        <v>-7.0000000000000007E-2</v>
      </c>
      <c r="CW803">
        <v>36</v>
      </c>
      <c r="CX803" t="s">
        <v>4059</v>
      </c>
    </row>
    <row r="804" spans="1:102" x14ac:dyDescent="0.3">
      <c r="A804" t="str">
        <f>HYPERLINK("https://webapp.icbf.com/v2/app/bull-search/view/760393291","MPF")</f>
        <v>MPF</v>
      </c>
      <c r="B804" t="s">
        <v>12908</v>
      </c>
      <c r="C804" t="s">
        <v>12909</v>
      </c>
      <c r="D804" s="1">
        <v>40006</v>
      </c>
      <c r="E804" t="s">
        <v>92</v>
      </c>
      <c r="F804">
        <v>50</v>
      </c>
      <c r="G804" t="s">
        <v>93</v>
      </c>
      <c r="H804">
        <v>159.36000000000001</v>
      </c>
      <c r="I804">
        <v>87</v>
      </c>
      <c r="J804">
        <v>93.52</v>
      </c>
      <c r="K804">
        <v>96</v>
      </c>
      <c r="L804">
        <v>28.04</v>
      </c>
      <c r="M804">
        <v>83</v>
      </c>
      <c r="N804">
        <v>24.56</v>
      </c>
      <c r="O804">
        <v>84</v>
      </c>
      <c r="P804">
        <v>-30.32</v>
      </c>
      <c r="Q804">
        <v>90</v>
      </c>
      <c r="R804">
        <v>11.51</v>
      </c>
      <c r="S804">
        <v>79</v>
      </c>
      <c r="T804">
        <v>21.15</v>
      </c>
      <c r="U804">
        <v>83</v>
      </c>
      <c r="V804">
        <v>10.9</v>
      </c>
      <c r="W804">
        <v>72</v>
      </c>
      <c r="X804" t="s">
        <v>276</v>
      </c>
      <c r="Y804" t="s">
        <v>422</v>
      </c>
      <c r="Z804" t="s">
        <v>330</v>
      </c>
      <c r="AA804" t="s">
        <v>331</v>
      </c>
      <c r="AB804" t="s">
        <v>12910</v>
      </c>
      <c r="AC804">
        <v>87</v>
      </c>
      <c r="AD804">
        <v>30</v>
      </c>
      <c r="AE804">
        <v>96</v>
      </c>
      <c r="AF804">
        <v>330.56</v>
      </c>
      <c r="AG804">
        <v>18.22</v>
      </c>
      <c r="AH804">
        <v>14.52</v>
      </c>
      <c r="AI804">
        <v>0.09</v>
      </c>
      <c r="AJ804">
        <v>0.05</v>
      </c>
      <c r="AK804">
        <v>83</v>
      </c>
      <c r="AL804">
        <v>101</v>
      </c>
      <c r="AM804">
        <v>34</v>
      </c>
      <c r="AN804">
        <v>-1.26</v>
      </c>
      <c r="AO804">
        <v>0.98</v>
      </c>
      <c r="AP804">
        <v>183</v>
      </c>
      <c r="AQ804">
        <v>1</v>
      </c>
      <c r="AR804">
        <v>7.19</v>
      </c>
      <c r="AS804">
        <v>66</v>
      </c>
      <c r="AT804">
        <v>2.4300000000000002</v>
      </c>
      <c r="AU804">
        <v>88</v>
      </c>
      <c r="AV804">
        <v>-2.2000000000000002</v>
      </c>
      <c r="AW804">
        <v>95</v>
      </c>
      <c r="AX804">
        <v>0.19</v>
      </c>
      <c r="AY804">
        <v>79</v>
      </c>
      <c r="AZ804">
        <v>6.09</v>
      </c>
      <c r="BA804">
        <v>62</v>
      </c>
      <c r="BB804">
        <v>4.95</v>
      </c>
      <c r="BC804">
        <v>62</v>
      </c>
      <c r="BD804">
        <v>-0.04</v>
      </c>
      <c r="BE804">
        <v>-0.02</v>
      </c>
      <c r="BF804">
        <v>-0.16</v>
      </c>
      <c r="BG804">
        <v>93</v>
      </c>
      <c r="BH804">
        <v>0.11</v>
      </c>
      <c r="BI804">
        <v>-22.45</v>
      </c>
      <c r="BJ804">
        <v>1</v>
      </c>
      <c r="BK804">
        <v>1</v>
      </c>
      <c r="BL804">
        <v>-1.17</v>
      </c>
      <c r="BM804">
        <v>2.17</v>
      </c>
      <c r="BN804">
        <v>0.46</v>
      </c>
      <c r="BO804">
        <v>-1.41</v>
      </c>
      <c r="BP804">
        <v>0.67</v>
      </c>
      <c r="BQ804">
        <v>0.26</v>
      </c>
      <c r="BR804">
        <v>3.17</v>
      </c>
      <c r="BS804">
        <v>-1.32</v>
      </c>
      <c r="BT804">
        <v>-2.0499999999999998</v>
      </c>
      <c r="BU804">
        <v>-0.82</v>
      </c>
      <c r="BV804">
        <v>-1.96</v>
      </c>
      <c r="BW804">
        <v>-1.91</v>
      </c>
      <c r="BX804">
        <v>-0.64</v>
      </c>
      <c r="BY804">
        <v>-0.21</v>
      </c>
      <c r="BZ804">
        <v>-0.72</v>
      </c>
      <c r="CA804">
        <v>-1.1200000000000001</v>
      </c>
      <c r="CB804">
        <v>-1.42</v>
      </c>
      <c r="CC804">
        <v>-1.55</v>
      </c>
      <c r="CD804">
        <v>1.85</v>
      </c>
      <c r="CE804">
        <v>-1.35</v>
      </c>
      <c r="CF804">
        <v>-2.0299999999999998</v>
      </c>
      <c r="CG804">
        <v>0</v>
      </c>
      <c r="CH804">
        <v>0.17</v>
      </c>
      <c r="CI804">
        <v>0</v>
      </c>
      <c r="CJ804">
        <v>-12.5</v>
      </c>
      <c r="CK804">
        <v>92</v>
      </c>
      <c r="CL804">
        <v>-0.91</v>
      </c>
      <c r="CM804">
        <v>89</v>
      </c>
      <c r="CN804">
        <v>0.08</v>
      </c>
      <c r="CO804">
        <v>88</v>
      </c>
      <c r="CP804">
        <v>-18.3</v>
      </c>
      <c r="CQ804">
        <v>83</v>
      </c>
      <c r="CR804">
        <v>0</v>
      </c>
      <c r="CS804">
        <v>0</v>
      </c>
      <c r="CT804">
        <v>-14.8</v>
      </c>
      <c r="CU804">
        <v>83</v>
      </c>
      <c r="CV804">
        <v>0.18</v>
      </c>
      <c r="CW804">
        <v>45</v>
      </c>
      <c r="CX804" t="s">
        <v>1257</v>
      </c>
    </row>
    <row r="805" spans="1:102" x14ac:dyDescent="0.3">
      <c r="A805" t="str">
        <f>HYPERLINK("https://webapp.icbf.com/v2/app/bull-search/view/1245155377","FR2277")</f>
        <v>FR2277</v>
      </c>
      <c r="B805" t="s">
        <v>6046</v>
      </c>
      <c r="C805" t="s">
        <v>6047</v>
      </c>
      <c r="D805" s="1">
        <v>42039</v>
      </c>
      <c r="E805" t="s">
        <v>92</v>
      </c>
      <c r="F805">
        <v>81</v>
      </c>
      <c r="G805" t="s">
        <v>93</v>
      </c>
      <c r="H805">
        <v>159.34</v>
      </c>
      <c r="I805">
        <v>85</v>
      </c>
      <c r="J805">
        <v>71.38</v>
      </c>
      <c r="K805">
        <v>97</v>
      </c>
      <c r="L805">
        <v>70.56</v>
      </c>
      <c r="M805">
        <v>76</v>
      </c>
      <c r="N805">
        <v>36.299999999999997</v>
      </c>
      <c r="O805">
        <v>88</v>
      </c>
      <c r="P805">
        <v>-3.93</v>
      </c>
      <c r="Q805">
        <v>93</v>
      </c>
      <c r="R805">
        <v>-5.77</v>
      </c>
      <c r="S805">
        <v>79</v>
      </c>
      <c r="T805">
        <v>-2.5299999999999998</v>
      </c>
      <c r="U805">
        <v>73</v>
      </c>
      <c r="V805">
        <v>-6.67</v>
      </c>
      <c r="W805">
        <v>74</v>
      </c>
      <c r="X805" t="s">
        <v>102</v>
      </c>
      <c r="Y805" t="s">
        <v>416</v>
      </c>
      <c r="Z805" t="s">
        <v>96</v>
      </c>
      <c r="AA805" t="s">
        <v>2235</v>
      </c>
      <c r="AB805" t="s">
        <v>6048</v>
      </c>
      <c r="AC805">
        <v>198</v>
      </c>
      <c r="AD805">
        <v>86</v>
      </c>
      <c r="AE805">
        <v>97</v>
      </c>
      <c r="AF805">
        <v>122.17</v>
      </c>
      <c r="AG805">
        <v>10.4</v>
      </c>
      <c r="AH805">
        <v>10.33</v>
      </c>
      <c r="AI805">
        <v>0.1</v>
      </c>
      <c r="AJ805">
        <v>0.11</v>
      </c>
      <c r="AK805">
        <v>76</v>
      </c>
      <c r="AL805">
        <v>1</v>
      </c>
      <c r="AM805">
        <v>1</v>
      </c>
      <c r="AN805">
        <v>-3.64</v>
      </c>
      <c r="AO805">
        <v>1.99</v>
      </c>
      <c r="AP805">
        <v>659</v>
      </c>
      <c r="AQ805">
        <v>3</v>
      </c>
      <c r="AR805">
        <v>8.35</v>
      </c>
      <c r="AS805">
        <v>82</v>
      </c>
      <c r="AT805">
        <v>3.05</v>
      </c>
      <c r="AU805">
        <v>94</v>
      </c>
      <c r="AV805">
        <v>-4.29</v>
      </c>
      <c r="AW805">
        <v>99</v>
      </c>
      <c r="AX805">
        <v>-0.14000000000000001</v>
      </c>
      <c r="AY805">
        <v>90</v>
      </c>
      <c r="AZ805">
        <v>5.46</v>
      </c>
      <c r="BA805">
        <v>77</v>
      </c>
      <c r="BB805">
        <v>4.62</v>
      </c>
      <c r="BC805">
        <v>47</v>
      </c>
      <c r="BD805">
        <v>-0.02</v>
      </c>
      <c r="BE805">
        <v>0.04</v>
      </c>
      <c r="BF805">
        <v>0.09</v>
      </c>
      <c r="BG805">
        <v>89</v>
      </c>
      <c r="BH805">
        <v>-0.19</v>
      </c>
      <c r="BI805">
        <v>-0.45</v>
      </c>
      <c r="BJ805">
        <v>0</v>
      </c>
      <c r="BK805">
        <v>0</v>
      </c>
      <c r="BL805">
        <v>-0.28000000000000003</v>
      </c>
      <c r="BM805">
        <v>0.26</v>
      </c>
      <c r="BN805">
        <v>-0.42</v>
      </c>
      <c r="BO805">
        <v>-0.63</v>
      </c>
      <c r="BP805">
        <v>2</v>
      </c>
      <c r="BQ805">
        <v>-0.01</v>
      </c>
      <c r="BR805">
        <v>1.65</v>
      </c>
      <c r="BS805">
        <v>-1.76</v>
      </c>
      <c r="BT805">
        <v>-1.46</v>
      </c>
      <c r="BU805">
        <v>-2.15</v>
      </c>
      <c r="BV805">
        <v>-1.6</v>
      </c>
      <c r="BW805">
        <v>-0.83</v>
      </c>
      <c r="BX805">
        <v>-0.99</v>
      </c>
      <c r="BY805">
        <v>-1.25</v>
      </c>
      <c r="BZ805">
        <v>-1.67</v>
      </c>
      <c r="CA805">
        <v>-1.59</v>
      </c>
      <c r="CB805">
        <v>-1.49</v>
      </c>
      <c r="CC805">
        <v>-1.25</v>
      </c>
      <c r="CD805">
        <v>0.77</v>
      </c>
      <c r="CE805">
        <v>-0.63</v>
      </c>
      <c r="CF805">
        <v>-0.05</v>
      </c>
      <c r="CG805">
        <v>0</v>
      </c>
      <c r="CH805">
        <v>-1.77</v>
      </c>
      <c r="CI805">
        <v>0</v>
      </c>
      <c r="CJ805">
        <v>0.6</v>
      </c>
      <c r="CK805">
        <v>96</v>
      </c>
      <c r="CL805">
        <v>-0.62</v>
      </c>
      <c r="CM805">
        <v>95</v>
      </c>
      <c r="CN805">
        <v>-0.12</v>
      </c>
      <c r="CO805">
        <v>94</v>
      </c>
      <c r="CP805">
        <v>1.6</v>
      </c>
      <c r="CQ805">
        <v>69</v>
      </c>
      <c r="CR805">
        <v>0</v>
      </c>
      <c r="CS805">
        <v>0</v>
      </c>
      <c r="CT805">
        <v>17.2</v>
      </c>
      <c r="CU805">
        <v>73</v>
      </c>
      <c r="CV805">
        <v>0.18</v>
      </c>
      <c r="CW805">
        <v>47</v>
      </c>
      <c r="CX805" t="s">
        <v>1165</v>
      </c>
    </row>
    <row r="806" spans="1:102" x14ac:dyDescent="0.3">
      <c r="A806" t="str">
        <f>HYPERLINK("https://webapp.icbf.com/v2/app/bull-search/view/864925259","ZSW")</f>
        <v>ZSW</v>
      </c>
      <c r="B806" t="s">
        <v>9186</v>
      </c>
      <c r="C806" t="s">
        <v>9187</v>
      </c>
      <c r="D806" s="1">
        <v>40594</v>
      </c>
      <c r="E806" t="s">
        <v>92</v>
      </c>
      <c r="F806">
        <v>66</v>
      </c>
      <c r="G806" t="s">
        <v>93</v>
      </c>
      <c r="H806">
        <v>159.33000000000001</v>
      </c>
      <c r="I806">
        <v>90</v>
      </c>
      <c r="J806">
        <v>49.98</v>
      </c>
      <c r="K806">
        <v>98</v>
      </c>
      <c r="L806">
        <v>60.33</v>
      </c>
      <c r="M806">
        <v>83</v>
      </c>
      <c r="N806">
        <v>45.53</v>
      </c>
      <c r="O806">
        <v>91</v>
      </c>
      <c r="P806">
        <v>-18.78</v>
      </c>
      <c r="Q806">
        <v>94</v>
      </c>
      <c r="R806">
        <v>-11.03</v>
      </c>
      <c r="S806">
        <v>82</v>
      </c>
      <c r="T806">
        <v>21.74</v>
      </c>
      <c r="U806">
        <v>91</v>
      </c>
      <c r="V806">
        <v>11.56</v>
      </c>
      <c r="W806">
        <v>78</v>
      </c>
      <c r="X806" t="s">
        <v>102</v>
      </c>
      <c r="Y806" t="s">
        <v>1775</v>
      </c>
      <c r="Z806" t="s">
        <v>330</v>
      </c>
      <c r="AA806" t="s">
        <v>2150</v>
      </c>
      <c r="AB806" t="s">
        <v>9188</v>
      </c>
      <c r="AC806">
        <v>226</v>
      </c>
      <c r="AD806">
        <v>95</v>
      </c>
      <c r="AE806">
        <v>98</v>
      </c>
      <c r="AF806">
        <v>-116.71</v>
      </c>
      <c r="AG806">
        <v>7.87</v>
      </c>
      <c r="AH806">
        <v>3.93</v>
      </c>
      <c r="AI806">
        <v>0.22</v>
      </c>
      <c r="AJ806">
        <v>0.14000000000000001</v>
      </c>
      <c r="AK806">
        <v>83</v>
      </c>
      <c r="AL806">
        <v>304</v>
      </c>
      <c r="AM806">
        <v>124</v>
      </c>
      <c r="AN806">
        <v>-2.59</v>
      </c>
      <c r="AO806">
        <v>2.23</v>
      </c>
      <c r="AP806">
        <v>488</v>
      </c>
      <c r="AQ806">
        <v>5</v>
      </c>
      <c r="AR806">
        <v>5.83</v>
      </c>
      <c r="AS806">
        <v>88</v>
      </c>
      <c r="AT806">
        <v>2</v>
      </c>
      <c r="AU806">
        <v>92</v>
      </c>
      <c r="AV806">
        <v>-3.92</v>
      </c>
      <c r="AW806">
        <v>98</v>
      </c>
      <c r="AX806">
        <v>-7.0000000000000007E-2</v>
      </c>
      <c r="AY806">
        <v>91</v>
      </c>
      <c r="AZ806">
        <v>5.72</v>
      </c>
      <c r="BA806">
        <v>78</v>
      </c>
      <c r="BB806">
        <v>4.91</v>
      </c>
      <c r="BC806">
        <v>73</v>
      </c>
      <c r="BD806">
        <v>-0.02</v>
      </c>
      <c r="BE806">
        <v>0.03</v>
      </c>
      <c r="BF806">
        <v>0.23</v>
      </c>
      <c r="BG806">
        <v>92</v>
      </c>
      <c r="BH806">
        <v>0.17</v>
      </c>
      <c r="BI806">
        <v>-17.63</v>
      </c>
      <c r="BJ806">
        <v>2</v>
      </c>
      <c r="BK806">
        <v>2</v>
      </c>
      <c r="BL806">
        <v>-1.97</v>
      </c>
      <c r="BM806">
        <v>-1.29</v>
      </c>
      <c r="BN806">
        <v>-1.81</v>
      </c>
      <c r="BO806">
        <v>-0.38</v>
      </c>
      <c r="BP806">
        <v>-0.15</v>
      </c>
      <c r="BQ806">
        <v>-1.77</v>
      </c>
      <c r="BR806">
        <v>2.4700000000000002</v>
      </c>
      <c r="BS806">
        <v>-1.47</v>
      </c>
      <c r="BT806">
        <v>-2.63</v>
      </c>
      <c r="BU806">
        <v>-0.65</v>
      </c>
      <c r="BV806">
        <v>-1.21</v>
      </c>
      <c r="BW806">
        <v>-1.1100000000000001</v>
      </c>
      <c r="BX806">
        <v>-0.95</v>
      </c>
      <c r="BY806">
        <v>-1.63</v>
      </c>
      <c r="BZ806">
        <v>-0.35</v>
      </c>
      <c r="CA806">
        <v>-1.42</v>
      </c>
      <c r="CB806">
        <v>-1.18</v>
      </c>
      <c r="CC806">
        <v>-1.02</v>
      </c>
      <c r="CD806">
        <v>-0.96</v>
      </c>
      <c r="CE806">
        <v>-0.96</v>
      </c>
      <c r="CF806">
        <v>-2.2400000000000002</v>
      </c>
      <c r="CG806">
        <v>0</v>
      </c>
      <c r="CH806">
        <v>-1.26</v>
      </c>
      <c r="CI806">
        <v>0</v>
      </c>
      <c r="CJ806">
        <v>-9.5</v>
      </c>
      <c r="CK806">
        <v>95</v>
      </c>
      <c r="CL806">
        <v>-0.59</v>
      </c>
      <c r="CM806">
        <v>93</v>
      </c>
      <c r="CN806">
        <v>-0.25</v>
      </c>
      <c r="CO806">
        <v>93</v>
      </c>
      <c r="CP806">
        <v>-16.7</v>
      </c>
      <c r="CQ806">
        <v>90</v>
      </c>
      <c r="CR806">
        <v>0</v>
      </c>
      <c r="CS806">
        <v>0</v>
      </c>
      <c r="CT806">
        <v>-15.6</v>
      </c>
      <c r="CU806">
        <v>91</v>
      </c>
      <c r="CV806">
        <v>-0.04</v>
      </c>
      <c r="CW806">
        <v>46</v>
      </c>
      <c r="CX806" t="s">
        <v>2992</v>
      </c>
    </row>
    <row r="807" spans="1:102" x14ac:dyDescent="0.3">
      <c r="A807" t="str">
        <f>HYPERLINK("https://webapp.icbf.com/v2/app/bull-search/view/992947143","FR4269")</f>
        <v>FR4269</v>
      </c>
      <c r="B807" t="s">
        <v>14982</v>
      </c>
      <c r="C807" t="s">
        <v>14983</v>
      </c>
      <c r="D807" s="1">
        <v>40757</v>
      </c>
      <c r="E807" t="s">
        <v>92</v>
      </c>
      <c r="F807">
        <v>63</v>
      </c>
      <c r="G807" t="s">
        <v>109</v>
      </c>
      <c r="H807">
        <v>159.19999999999999</v>
      </c>
      <c r="I807">
        <v>77</v>
      </c>
      <c r="J807">
        <v>98.15</v>
      </c>
      <c r="K807">
        <v>88</v>
      </c>
      <c r="L807">
        <v>14.73</v>
      </c>
      <c r="M807">
        <v>69</v>
      </c>
      <c r="N807">
        <v>47.08</v>
      </c>
      <c r="O807">
        <v>88</v>
      </c>
      <c r="P807">
        <v>-31.52</v>
      </c>
      <c r="Q807">
        <v>89</v>
      </c>
      <c r="R807">
        <v>-5.38</v>
      </c>
      <c r="S807">
        <v>69</v>
      </c>
      <c r="T807">
        <v>35.58</v>
      </c>
      <c r="U807">
        <v>50</v>
      </c>
      <c r="V807">
        <v>0.56000000000000005</v>
      </c>
      <c r="W807">
        <v>53</v>
      </c>
      <c r="X807" t="s">
        <v>276</v>
      </c>
      <c r="Y807" t="s">
        <v>1923</v>
      </c>
      <c r="Z807">
        <v>0</v>
      </c>
      <c r="AA807" t="s">
        <v>6360</v>
      </c>
      <c r="AB807" t="s">
        <v>144</v>
      </c>
      <c r="AC807">
        <v>0</v>
      </c>
      <c r="AD807">
        <v>0</v>
      </c>
      <c r="AE807">
        <v>88</v>
      </c>
      <c r="AF807">
        <v>164.02</v>
      </c>
      <c r="AG807">
        <v>11.91</v>
      </c>
      <c r="AH807">
        <v>14.99</v>
      </c>
      <c r="AI807">
        <v>0.09</v>
      </c>
      <c r="AJ807">
        <v>0.16</v>
      </c>
      <c r="AK807">
        <v>69</v>
      </c>
      <c r="AL807">
        <v>0</v>
      </c>
      <c r="AM807">
        <v>0</v>
      </c>
      <c r="AN807">
        <v>1.17</v>
      </c>
      <c r="AO807">
        <v>2.37</v>
      </c>
      <c r="AP807">
        <v>3685</v>
      </c>
      <c r="AQ807">
        <v>15</v>
      </c>
      <c r="AR807">
        <v>4.5599999999999996</v>
      </c>
      <c r="AS807">
        <v>93</v>
      </c>
      <c r="AT807">
        <v>1.93</v>
      </c>
      <c r="AU807">
        <v>99</v>
      </c>
      <c r="AV807">
        <v>-4.1100000000000003</v>
      </c>
      <c r="AW807">
        <v>99</v>
      </c>
      <c r="AX807">
        <v>-0.54</v>
      </c>
      <c r="AY807">
        <v>98</v>
      </c>
      <c r="AZ807">
        <v>6.54</v>
      </c>
      <c r="BA807">
        <v>35</v>
      </c>
      <c r="BB807">
        <v>5.47</v>
      </c>
      <c r="BC807">
        <v>35</v>
      </c>
      <c r="BD807">
        <v>0.01</v>
      </c>
      <c r="BE807">
        <v>0.03</v>
      </c>
      <c r="BF807">
        <v>0.05</v>
      </c>
      <c r="BG807">
        <v>88</v>
      </c>
      <c r="BH807">
        <v>0.01</v>
      </c>
      <c r="BI807">
        <v>-0.64</v>
      </c>
      <c r="BJ807">
        <v>0</v>
      </c>
      <c r="BK807">
        <v>0</v>
      </c>
      <c r="BL807">
        <v>-2.4</v>
      </c>
      <c r="BM807">
        <v>1.9</v>
      </c>
      <c r="BN807">
        <v>0.52</v>
      </c>
      <c r="BO807">
        <v>0</v>
      </c>
      <c r="BP807">
        <v>0.75</v>
      </c>
      <c r="BQ807">
        <v>-3</v>
      </c>
      <c r="BR807">
        <v>1.48</v>
      </c>
      <c r="BS807">
        <v>0</v>
      </c>
      <c r="BT807">
        <v>0</v>
      </c>
      <c r="BU807">
        <v>-0.37</v>
      </c>
      <c r="BV807">
        <v>-0.6</v>
      </c>
      <c r="BW807">
        <v>-0.4</v>
      </c>
      <c r="BX807">
        <v>0</v>
      </c>
      <c r="BY807">
        <v>0.74</v>
      </c>
      <c r="BZ807">
        <v>0</v>
      </c>
      <c r="CA807">
        <v>7.0000000000000007E-2</v>
      </c>
      <c r="CB807">
        <v>-0.02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-15.2</v>
      </c>
      <c r="CK807">
        <v>93</v>
      </c>
      <c r="CL807">
        <v>-0.89</v>
      </c>
      <c r="CM807">
        <v>91</v>
      </c>
      <c r="CN807">
        <v>-0.28000000000000003</v>
      </c>
      <c r="CO807">
        <v>90</v>
      </c>
      <c r="CP807">
        <v>-30.9</v>
      </c>
      <c r="CQ807">
        <v>54</v>
      </c>
      <c r="CR807">
        <v>0</v>
      </c>
      <c r="CS807">
        <v>0</v>
      </c>
      <c r="CT807">
        <v>-34.299999999999997</v>
      </c>
      <c r="CU807">
        <v>50</v>
      </c>
      <c r="CV807">
        <v>-0.15</v>
      </c>
      <c r="CW807">
        <v>45</v>
      </c>
      <c r="CX807" t="s">
        <v>333</v>
      </c>
    </row>
    <row r="808" spans="1:102" x14ac:dyDescent="0.3">
      <c r="A808" t="str">
        <f>HYPERLINK("https://webapp.icbf.com/v2/app/bull-search/view/550979660","GKG")</f>
        <v>GKG</v>
      </c>
      <c r="B808" t="s">
        <v>8190</v>
      </c>
      <c r="C808" t="s">
        <v>8191</v>
      </c>
      <c r="D808" s="1">
        <v>38973</v>
      </c>
      <c r="E808" t="s">
        <v>227</v>
      </c>
      <c r="F808">
        <v>0</v>
      </c>
      <c r="G808" t="s">
        <v>93</v>
      </c>
      <c r="H808">
        <v>158.87</v>
      </c>
      <c r="I808">
        <v>90</v>
      </c>
      <c r="J808">
        <v>49.39</v>
      </c>
      <c r="K808">
        <v>98</v>
      </c>
      <c r="L808">
        <v>76.739999999999995</v>
      </c>
      <c r="M808">
        <v>83</v>
      </c>
      <c r="N808">
        <v>26.71</v>
      </c>
      <c r="O808">
        <v>89</v>
      </c>
      <c r="P808">
        <v>-55.99</v>
      </c>
      <c r="Q808">
        <v>91</v>
      </c>
      <c r="R808">
        <v>2.57</v>
      </c>
      <c r="S808">
        <v>86</v>
      </c>
      <c r="T808">
        <v>57.86</v>
      </c>
      <c r="U808">
        <v>93</v>
      </c>
      <c r="V808">
        <v>1.59</v>
      </c>
      <c r="W808">
        <v>89</v>
      </c>
      <c r="X808" t="s">
        <v>276</v>
      </c>
      <c r="Y808" t="s">
        <v>1128</v>
      </c>
      <c r="Z808">
        <v>0</v>
      </c>
      <c r="AA808" t="s">
        <v>1837</v>
      </c>
      <c r="AB808" t="s">
        <v>8192</v>
      </c>
      <c r="AC808">
        <v>126</v>
      </c>
      <c r="AD808">
        <v>53</v>
      </c>
      <c r="AE808">
        <v>98</v>
      </c>
      <c r="AF808">
        <v>-527.04</v>
      </c>
      <c r="AG808">
        <v>10.95</v>
      </c>
      <c r="AH808">
        <v>-3.54</v>
      </c>
      <c r="AI808">
        <v>0.6</v>
      </c>
      <c r="AJ808">
        <v>0.28000000000000003</v>
      </c>
      <c r="AK808">
        <v>83</v>
      </c>
      <c r="AL808">
        <v>140</v>
      </c>
      <c r="AM808">
        <v>49</v>
      </c>
      <c r="AN808">
        <v>-2.63</v>
      </c>
      <c r="AO808">
        <v>3.51</v>
      </c>
      <c r="AP808">
        <v>207</v>
      </c>
      <c r="AQ808">
        <v>1</v>
      </c>
      <c r="AR808">
        <v>2.64</v>
      </c>
      <c r="AS808">
        <v>85</v>
      </c>
      <c r="AT808">
        <v>1.18</v>
      </c>
      <c r="AU808">
        <v>87</v>
      </c>
      <c r="AV808">
        <v>-1.8</v>
      </c>
      <c r="AW808">
        <v>97</v>
      </c>
      <c r="AX808">
        <v>0.88</v>
      </c>
      <c r="AY808">
        <v>85</v>
      </c>
      <c r="AZ808">
        <v>8.06</v>
      </c>
      <c r="BA808">
        <v>71</v>
      </c>
      <c r="BB808">
        <v>5.96</v>
      </c>
      <c r="BC808">
        <v>74</v>
      </c>
      <c r="BD808">
        <v>-0.06</v>
      </c>
      <c r="BE808">
        <v>-0.01</v>
      </c>
      <c r="BF808">
        <v>0.06</v>
      </c>
      <c r="BG808">
        <v>92</v>
      </c>
      <c r="BH808">
        <v>-0.01</v>
      </c>
      <c r="BI808">
        <v>-6.3</v>
      </c>
      <c r="BJ808">
        <v>3</v>
      </c>
      <c r="BK808">
        <v>3</v>
      </c>
      <c r="BL808">
        <v>-2.41</v>
      </c>
      <c r="BM808">
        <v>-0.17</v>
      </c>
      <c r="BN808">
        <v>0.66</v>
      </c>
      <c r="BO808">
        <v>0.91</v>
      </c>
      <c r="BP808">
        <v>-2.04</v>
      </c>
      <c r="BQ808">
        <v>-4.7300000000000004</v>
      </c>
      <c r="BR808">
        <v>1.66</v>
      </c>
      <c r="BS808">
        <v>7.05</v>
      </c>
      <c r="BT808">
        <v>-0.08</v>
      </c>
      <c r="BU808">
        <v>-2.76</v>
      </c>
      <c r="BV808">
        <v>-1.79</v>
      </c>
      <c r="BW808">
        <v>-3.58</v>
      </c>
      <c r="BX808">
        <v>-5.39</v>
      </c>
      <c r="BY808">
        <v>-0.22</v>
      </c>
      <c r="BZ808">
        <v>-0.41</v>
      </c>
      <c r="CA808">
        <v>0.16</v>
      </c>
      <c r="CB808">
        <v>-1.87</v>
      </c>
      <c r="CC808">
        <v>4.42</v>
      </c>
      <c r="CD808">
        <v>-0.7</v>
      </c>
      <c r="CE808">
        <v>0.78</v>
      </c>
      <c r="CF808">
        <v>-2.38</v>
      </c>
      <c r="CG808">
        <v>0</v>
      </c>
      <c r="CH808">
        <v>-1.36</v>
      </c>
      <c r="CI808">
        <v>0</v>
      </c>
      <c r="CJ808">
        <v>-28.3</v>
      </c>
      <c r="CK808">
        <v>92</v>
      </c>
      <c r="CL808">
        <v>-0.95</v>
      </c>
      <c r="CM808">
        <v>90</v>
      </c>
      <c r="CN808">
        <v>7.0000000000000007E-2</v>
      </c>
      <c r="CO808">
        <v>89</v>
      </c>
      <c r="CP808">
        <v>-42.1</v>
      </c>
      <c r="CQ808">
        <v>90</v>
      </c>
      <c r="CR808">
        <v>0</v>
      </c>
      <c r="CS808">
        <v>0</v>
      </c>
      <c r="CT808">
        <v>-64.400000000000006</v>
      </c>
      <c r="CU808">
        <v>93</v>
      </c>
      <c r="CV808">
        <v>-0.22</v>
      </c>
      <c r="CW808">
        <v>44</v>
      </c>
      <c r="CX808" t="s">
        <v>1634</v>
      </c>
    </row>
    <row r="809" spans="1:102" x14ac:dyDescent="0.3">
      <c r="A809" t="str">
        <f>HYPERLINK("https://webapp.icbf.com/v2/app/bull-search/view/1196710856","S2218")</f>
        <v>S2218</v>
      </c>
      <c r="B809" t="s">
        <v>2083</v>
      </c>
      <c r="C809" t="s">
        <v>2084</v>
      </c>
      <c r="D809" s="1">
        <v>41324</v>
      </c>
      <c r="E809" t="s">
        <v>92</v>
      </c>
      <c r="F809">
        <v>100</v>
      </c>
      <c r="G809" t="s">
        <v>109</v>
      </c>
      <c r="H809">
        <v>158.81</v>
      </c>
      <c r="I809">
        <v>78</v>
      </c>
      <c r="J809">
        <v>39.58</v>
      </c>
      <c r="K809">
        <v>93</v>
      </c>
      <c r="L809">
        <v>77.47</v>
      </c>
      <c r="M809">
        <v>86</v>
      </c>
      <c r="N809">
        <v>40.14</v>
      </c>
      <c r="O809">
        <v>67</v>
      </c>
      <c r="P809">
        <v>-6.33</v>
      </c>
      <c r="Q809">
        <v>46</v>
      </c>
      <c r="R809">
        <v>16.32</v>
      </c>
      <c r="S809">
        <v>74</v>
      </c>
      <c r="T809">
        <v>-12.96</v>
      </c>
      <c r="U809">
        <v>44</v>
      </c>
      <c r="V809">
        <v>4.59</v>
      </c>
      <c r="W809">
        <v>60</v>
      </c>
      <c r="X809" t="s">
        <v>94</v>
      </c>
      <c r="Y809" t="s">
        <v>367</v>
      </c>
      <c r="Z809" t="s">
        <v>96</v>
      </c>
      <c r="AA809" t="s">
        <v>412</v>
      </c>
      <c r="AB809" t="s">
        <v>2085</v>
      </c>
      <c r="AC809">
        <v>0</v>
      </c>
      <c r="AD809">
        <v>0</v>
      </c>
      <c r="AE809">
        <v>93</v>
      </c>
      <c r="AF809">
        <v>262.25</v>
      </c>
      <c r="AG809">
        <v>7.76</v>
      </c>
      <c r="AH809">
        <v>8</v>
      </c>
      <c r="AI809">
        <v>-0.04</v>
      </c>
      <c r="AJ809">
        <v>-0.02</v>
      </c>
      <c r="AK809">
        <v>86</v>
      </c>
      <c r="AL809">
        <v>0</v>
      </c>
      <c r="AM809">
        <v>0</v>
      </c>
      <c r="AN809">
        <v>-4.8600000000000003</v>
      </c>
      <c r="AO809">
        <v>1.31</v>
      </c>
      <c r="AP809">
        <v>8</v>
      </c>
      <c r="AQ809">
        <v>0</v>
      </c>
      <c r="AR809">
        <v>5.43</v>
      </c>
      <c r="AS809">
        <v>63</v>
      </c>
      <c r="AT809">
        <v>2.85</v>
      </c>
      <c r="AU809">
        <v>93</v>
      </c>
      <c r="AV809">
        <v>-3.81</v>
      </c>
      <c r="AW809">
        <v>65</v>
      </c>
      <c r="AX809">
        <v>1.1399999999999999</v>
      </c>
      <c r="AY809">
        <v>53</v>
      </c>
      <c r="AZ809">
        <v>4.74</v>
      </c>
      <c r="BA809">
        <v>48</v>
      </c>
      <c r="BB809">
        <v>4.38</v>
      </c>
      <c r="BC809">
        <v>44</v>
      </c>
      <c r="BD809">
        <v>-0.05</v>
      </c>
      <c r="BE809">
        <v>-0.08</v>
      </c>
      <c r="BF809">
        <v>-0.14000000000000001</v>
      </c>
      <c r="BG809">
        <v>91</v>
      </c>
      <c r="BH809">
        <v>0.15</v>
      </c>
      <c r="BI809">
        <v>2.54</v>
      </c>
      <c r="BJ809">
        <v>1</v>
      </c>
      <c r="BK809">
        <v>1</v>
      </c>
      <c r="BL809">
        <v>2.16</v>
      </c>
      <c r="BM809">
        <v>-0.72</v>
      </c>
      <c r="BN809">
        <v>-0.05</v>
      </c>
      <c r="BO809">
        <v>0.63</v>
      </c>
      <c r="BP809">
        <v>-3.02</v>
      </c>
      <c r="BQ809">
        <v>0.44</v>
      </c>
      <c r="BR809">
        <v>0.36</v>
      </c>
      <c r="BS809">
        <v>1.75</v>
      </c>
      <c r="BT809">
        <v>1.47</v>
      </c>
      <c r="BU809">
        <v>4.0999999999999996</v>
      </c>
      <c r="BV809">
        <v>2.97</v>
      </c>
      <c r="BW809">
        <v>2.41</v>
      </c>
      <c r="BX809">
        <v>4.59</v>
      </c>
      <c r="BY809">
        <v>1.68</v>
      </c>
      <c r="BZ809">
        <v>-0.87</v>
      </c>
      <c r="CA809">
        <v>2.65</v>
      </c>
      <c r="CB809">
        <v>2.61</v>
      </c>
      <c r="CC809">
        <v>1.28</v>
      </c>
      <c r="CD809">
        <v>-0.26</v>
      </c>
      <c r="CE809">
        <v>0.83</v>
      </c>
      <c r="CF809">
        <v>2.08</v>
      </c>
      <c r="CG809">
        <v>0</v>
      </c>
      <c r="CH809">
        <v>2.09</v>
      </c>
      <c r="CI809">
        <v>0</v>
      </c>
      <c r="CJ809">
        <v>0</v>
      </c>
      <c r="CK809">
        <v>46</v>
      </c>
      <c r="CL809">
        <v>-1.73</v>
      </c>
      <c r="CM809">
        <v>46</v>
      </c>
      <c r="CN809">
        <v>-0.85</v>
      </c>
      <c r="CO809">
        <v>45</v>
      </c>
      <c r="CP809">
        <v>10.5</v>
      </c>
      <c r="CQ809">
        <v>46</v>
      </c>
      <c r="CR809">
        <v>0</v>
      </c>
      <c r="CS809">
        <v>0</v>
      </c>
      <c r="CT809">
        <v>31.3</v>
      </c>
      <c r="CU809">
        <v>44</v>
      </c>
      <c r="CV809">
        <v>0.31</v>
      </c>
      <c r="CW809">
        <v>35</v>
      </c>
      <c r="CX809" t="s">
        <v>1848</v>
      </c>
    </row>
    <row r="810" spans="1:102" x14ac:dyDescent="0.3">
      <c r="A810" t="str">
        <f>HYPERLINK("https://webapp.icbf.com/v2/app/bull-search/view/1362234044","JE4208")</f>
        <v>JE4208</v>
      </c>
      <c r="B810" t="s">
        <v>6566</v>
      </c>
      <c r="C810" t="s">
        <v>6567</v>
      </c>
      <c r="D810" s="1">
        <v>42425</v>
      </c>
      <c r="E810" t="s">
        <v>227</v>
      </c>
      <c r="F810">
        <v>0</v>
      </c>
      <c r="G810" t="s">
        <v>435</v>
      </c>
      <c r="H810">
        <v>158.81</v>
      </c>
      <c r="I810">
        <v>72</v>
      </c>
      <c r="J810">
        <v>23.8</v>
      </c>
      <c r="K810">
        <v>84</v>
      </c>
      <c r="L810">
        <v>84.96</v>
      </c>
      <c r="M810">
        <v>62</v>
      </c>
      <c r="N810">
        <v>32.119999999999997</v>
      </c>
      <c r="O810">
        <v>84</v>
      </c>
      <c r="P810">
        <v>-64.81</v>
      </c>
      <c r="Q810">
        <v>72</v>
      </c>
      <c r="R810">
        <v>6.29</v>
      </c>
      <c r="S810">
        <v>63</v>
      </c>
      <c r="T810">
        <v>72.88</v>
      </c>
      <c r="U810">
        <v>55</v>
      </c>
      <c r="V810">
        <v>3.57</v>
      </c>
      <c r="W810">
        <v>63</v>
      </c>
      <c r="X810" t="s">
        <v>234</v>
      </c>
      <c r="Y810" t="s">
        <v>2255</v>
      </c>
      <c r="Z810">
        <v>0</v>
      </c>
      <c r="AA810" t="s">
        <v>6568</v>
      </c>
      <c r="AB810" t="s">
        <v>144</v>
      </c>
      <c r="AC810">
        <v>0</v>
      </c>
      <c r="AD810">
        <v>0</v>
      </c>
      <c r="AE810">
        <v>84</v>
      </c>
      <c r="AF810">
        <v>-631.45000000000005</v>
      </c>
      <c r="AG810">
        <v>4.22</v>
      </c>
      <c r="AH810">
        <v>-7.11</v>
      </c>
      <c r="AI810">
        <v>0.55000000000000004</v>
      </c>
      <c r="AJ810">
        <v>0.28000000000000003</v>
      </c>
      <c r="AK810">
        <v>62</v>
      </c>
      <c r="AL810">
        <v>0</v>
      </c>
      <c r="AM810">
        <v>0</v>
      </c>
      <c r="AN810">
        <v>-4.25</v>
      </c>
      <c r="AO810">
        <v>2.5299999999999998</v>
      </c>
      <c r="AP810">
        <v>447</v>
      </c>
      <c r="AQ810">
        <v>0</v>
      </c>
      <c r="AR810">
        <v>3.69</v>
      </c>
      <c r="AS810">
        <v>90</v>
      </c>
      <c r="AT810">
        <v>1.66</v>
      </c>
      <c r="AU810">
        <v>89</v>
      </c>
      <c r="AV810">
        <v>-2</v>
      </c>
      <c r="AW810">
        <v>98</v>
      </c>
      <c r="AX810">
        <v>-1.2</v>
      </c>
      <c r="AY810">
        <v>86</v>
      </c>
      <c r="AZ810">
        <v>8.08</v>
      </c>
      <c r="BA810">
        <v>46</v>
      </c>
      <c r="BB810">
        <v>5.55</v>
      </c>
      <c r="BC810">
        <v>40</v>
      </c>
      <c r="BD810">
        <v>-7.0000000000000007E-2</v>
      </c>
      <c r="BE810">
        <v>-0.02</v>
      </c>
      <c r="BF810">
        <v>0.01</v>
      </c>
      <c r="BG810">
        <v>69</v>
      </c>
      <c r="BH810">
        <v>7.0000000000000007E-2</v>
      </c>
      <c r="BI810">
        <v>-3.42</v>
      </c>
      <c r="BJ810">
        <v>0</v>
      </c>
      <c r="BK810">
        <v>0</v>
      </c>
      <c r="BL810">
        <v>-2.7</v>
      </c>
      <c r="BM810">
        <v>-2.34</v>
      </c>
      <c r="BN810">
        <v>-1.23</v>
      </c>
      <c r="BO810">
        <v>0.81</v>
      </c>
      <c r="BP810">
        <v>-1.1499999999999999</v>
      </c>
      <c r="BQ810">
        <v>-6.17</v>
      </c>
      <c r="BR810">
        <v>2.37</v>
      </c>
      <c r="BS810">
        <v>5.78</v>
      </c>
      <c r="BT810">
        <v>-1.74</v>
      </c>
      <c r="BU810">
        <v>0.2</v>
      </c>
      <c r="BV810">
        <v>0.38</v>
      </c>
      <c r="BW810">
        <v>-1.88</v>
      </c>
      <c r="BX810">
        <v>-2.68</v>
      </c>
      <c r="BY810">
        <v>-0.43</v>
      </c>
      <c r="BZ810">
        <v>-1.25</v>
      </c>
      <c r="CA810">
        <v>1.52</v>
      </c>
      <c r="CB810">
        <v>0.18</v>
      </c>
      <c r="CC810">
        <v>3.48</v>
      </c>
      <c r="CD810">
        <v>-2.0499999999999998</v>
      </c>
      <c r="CE810">
        <v>0.74</v>
      </c>
      <c r="CF810">
        <v>-2.82</v>
      </c>
      <c r="CG810">
        <v>0</v>
      </c>
      <c r="CH810">
        <v>-0.73</v>
      </c>
      <c r="CI810">
        <v>0</v>
      </c>
      <c r="CJ810">
        <v>-35.299999999999997</v>
      </c>
      <c r="CK810">
        <v>77</v>
      </c>
      <c r="CL810">
        <v>-1.05</v>
      </c>
      <c r="CM810">
        <v>68</v>
      </c>
      <c r="CN810">
        <v>-0.18</v>
      </c>
      <c r="CO810">
        <v>67</v>
      </c>
      <c r="CP810">
        <v>-49.1</v>
      </c>
      <c r="CQ810">
        <v>53</v>
      </c>
      <c r="CR810">
        <v>0</v>
      </c>
      <c r="CS810">
        <v>0</v>
      </c>
      <c r="CT810">
        <v>-84.7</v>
      </c>
      <c r="CU810">
        <v>55</v>
      </c>
      <c r="CV810">
        <v>-0.34</v>
      </c>
      <c r="CW810">
        <v>41</v>
      </c>
      <c r="CX810" t="s">
        <v>4189</v>
      </c>
    </row>
    <row r="811" spans="1:102" x14ac:dyDescent="0.3">
      <c r="A811" t="str">
        <f>HYPERLINK("https://webapp.icbf.com/v2/app/bull-search/view/1417502299","JE4135")</f>
        <v>JE4135</v>
      </c>
      <c r="B811" t="s">
        <v>3126</v>
      </c>
      <c r="C811" t="s">
        <v>3127</v>
      </c>
      <c r="D811" s="1">
        <v>42122</v>
      </c>
      <c r="E811" t="s">
        <v>227</v>
      </c>
      <c r="F811">
        <v>0</v>
      </c>
      <c r="G811" t="s">
        <v>109</v>
      </c>
      <c r="H811">
        <v>158.71</v>
      </c>
      <c r="I811">
        <v>44</v>
      </c>
      <c r="J811">
        <v>93.67</v>
      </c>
      <c r="K811">
        <v>66</v>
      </c>
      <c r="L811">
        <v>52.24</v>
      </c>
      <c r="M811">
        <v>43</v>
      </c>
      <c r="N811">
        <v>-2.14</v>
      </c>
      <c r="O811">
        <v>50</v>
      </c>
      <c r="P811">
        <v>-59.09</v>
      </c>
      <c r="Q811">
        <v>12</v>
      </c>
      <c r="R811">
        <v>5.22</v>
      </c>
      <c r="S811">
        <v>16</v>
      </c>
      <c r="T811">
        <v>62.15</v>
      </c>
      <c r="U811">
        <v>14</v>
      </c>
      <c r="V811">
        <v>6.66</v>
      </c>
      <c r="W811">
        <v>20</v>
      </c>
      <c r="X811" t="s">
        <v>94</v>
      </c>
      <c r="Y811" t="s">
        <v>1775</v>
      </c>
      <c r="Z811">
        <v>0</v>
      </c>
      <c r="AA811" t="s">
        <v>2251</v>
      </c>
      <c r="AB811" t="s">
        <v>144</v>
      </c>
      <c r="AC811">
        <v>0</v>
      </c>
      <c r="AD811">
        <v>0</v>
      </c>
      <c r="AE811">
        <v>66</v>
      </c>
      <c r="AF811">
        <v>-384.66</v>
      </c>
      <c r="AG811">
        <v>19.059999999999999</v>
      </c>
      <c r="AH811">
        <v>3.3</v>
      </c>
      <c r="AI811">
        <v>0.6</v>
      </c>
      <c r="AJ811">
        <v>0.28999999999999998</v>
      </c>
      <c r="AK811">
        <v>43</v>
      </c>
      <c r="AL811">
        <v>0</v>
      </c>
      <c r="AM811">
        <v>0</v>
      </c>
      <c r="AN811">
        <v>-1.74</v>
      </c>
      <c r="AO811">
        <v>2.44</v>
      </c>
      <c r="AP811">
        <v>38</v>
      </c>
      <c r="AQ811">
        <v>1</v>
      </c>
      <c r="AR811">
        <v>4.2</v>
      </c>
      <c r="AS811">
        <v>52</v>
      </c>
      <c r="AT811">
        <v>2.29</v>
      </c>
      <c r="AU811">
        <v>35</v>
      </c>
      <c r="AV811">
        <v>-0.67</v>
      </c>
      <c r="AW811">
        <v>78</v>
      </c>
      <c r="AX811">
        <v>8.52</v>
      </c>
      <c r="AY811">
        <v>40</v>
      </c>
      <c r="AZ811">
        <v>6.38</v>
      </c>
      <c r="BA811">
        <v>13</v>
      </c>
      <c r="BB811">
        <v>4.93</v>
      </c>
      <c r="BC811">
        <v>8</v>
      </c>
      <c r="BD811">
        <v>-0.06</v>
      </c>
      <c r="BE811">
        <v>0</v>
      </c>
      <c r="BF811">
        <v>-0.02</v>
      </c>
      <c r="BG811">
        <v>18</v>
      </c>
      <c r="BH811">
        <v>7.0000000000000007E-2</v>
      </c>
      <c r="BI811">
        <v>-13.38</v>
      </c>
      <c r="BJ811">
        <v>0</v>
      </c>
      <c r="BK811">
        <v>0</v>
      </c>
      <c r="BL811">
        <v>-1.34</v>
      </c>
      <c r="BM811">
        <v>-2.06</v>
      </c>
      <c r="BN811">
        <v>-0.39</v>
      </c>
      <c r="BO811">
        <v>1.53</v>
      </c>
      <c r="BP811">
        <v>0.11</v>
      </c>
      <c r="BQ811">
        <v>-5.65</v>
      </c>
      <c r="BR811">
        <v>2.64</v>
      </c>
      <c r="BS811">
        <v>6.14</v>
      </c>
      <c r="BT811">
        <v>-1.45</v>
      </c>
      <c r="BU811">
        <v>0.73</v>
      </c>
      <c r="BV811">
        <v>0.74</v>
      </c>
      <c r="BW811">
        <v>-1.25</v>
      </c>
      <c r="BX811">
        <v>-1.92</v>
      </c>
      <c r="BY811">
        <v>0.44</v>
      </c>
      <c r="BZ811">
        <v>-0.62</v>
      </c>
      <c r="CA811">
        <v>2.11</v>
      </c>
      <c r="CB811">
        <v>0.75</v>
      </c>
      <c r="CC811">
        <v>3.91</v>
      </c>
      <c r="CD811">
        <v>-2.4300000000000002</v>
      </c>
      <c r="CE811">
        <v>1.43</v>
      </c>
      <c r="CF811">
        <v>-1.51</v>
      </c>
      <c r="CG811">
        <v>0</v>
      </c>
      <c r="CH811">
        <v>-0.47</v>
      </c>
      <c r="CI811">
        <v>0</v>
      </c>
      <c r="CJ811">
        <v>-31</v>
      </c>
      <c r="CK811">
        <v>13</v>
      </c>
      <c r="CL811">
        <v>-1.21</v>
      </c>
      <c r="CM811">
        <v>11</v>
      </c>
      <c r="CN811">
        <v>-0.31</v>
      </c>
      <c r="CO811">
        <v>11</v>
      </c>
      <c r="CP811">
        <v>-49.7</v>
      </c>
      <c r="CQ811">
        <v>12</v>
      </c>
      <c r="CR811">
        <v>0</v>
      </c>
      <c r="CS811">
        <v>0</v>
      </c>
      <c r="CT811">
        <v>-70.2</v>
      </c>
      <c r="CU811">
        <v>14</v>
      </c>
      <c r="CV811">
        <v>-0.33</v>
      </c>
      <c r="CW811">
        <v>3</v>
      </c>
      <c r="CX811" t="s">
        <v>2021</v>
      </c>
    </row>
    <row r="812" spans="1:102" x14ac:dyDescent="0.3">
      <c r="A812" t="str">
        <f>HYPERLINK("https://webapp.icbf.com/v2/app/bull-search/view/982451504","YLG")</f>
        <v>YLG</v>
      </c>
      <c r="B812" t="s">
        <v>5594</v>
      </c>
      <c r="C812" t="s">
        <v>5595</v>
      </c>
      <c r="D812" s="1">
        <v>40548</v>
      </c>
      <c r="E812" t="s">
        <v>92</v>
      </c>
      <c r="F812">
        <v>100</v>
      </c>
      <c r="G812" t="s">
        <v>93</v>
      </c>
      <c r="H812">
        <v>158.66999999999999</v>
      </c>
      <c r="I812">
        <v>90</v>
      </c>
      <c r="J812">
        <v>68.75</v>
      </c>
      <c r="K812">
        <v>98</v>
      </c>
      <c r="L812">
        <v>38.25</v>
      </c>
      <c r="M812">
        <v>85</v>
      </c>
      <c r="N812">
        <v>55.76</v>
      </c>
      <c r="O812">
        <v>88</v>
      </c>
      <c r="P812">
        <v>-11.13</v>
      </c>
      <c r="Q812">
        <v>93</v>
      </c>
      <c r="R812">
        <v>4.55</v>
      </c>
      <c r="S812">
        <v>81</v>
      </c>
      <c r="T812">
        <v>-0.23</v>
      </c>
      <c r="U812">
        <v>89</v>
      </c>
      <c r="V812">
        <v>2.72</v>
      </c>
      <c r="W812">
        <v>74</v>
      </c>
      <c r="X812" t="s">
        <v>94</v>
      </c>
      <c r="Y812" t="s">
        <v>1923</v>
      </c>
      <c r="Z812" t="s">
        <v>96</v>
      </c>
      <c r="AA812" t="s">
        <v>5596</v>
      </c>
      <c r="AB812" t="s">
        <v>5597</v>
      </c>
      <c r="AC812">
        <v>191</v>
      </c>
      <c r="AD812">
        <v>58</v>
      </c>
      <c r="AE812">
        <v>98</v>
      </c>
      <c r="AF812">
        <v>357.83</v>
      </c>
      <c r="AG812">
        <v>13.17</v>
      </c>
      <c r="AH812">
        <v>12.51</v>
      </c>
      <c r="AI812">
        <v>-0.01</v>
      </c>
      <c r="AJ812">
        <v>0.01</v>
      </c>
      <c r="AK812">
        <v>85</v>
      </c>
      <c r="AL812">
        <v>175</v>
      </c>
      <c r="AM812">
        <v>60</v>
      </c>
      <c r="AN812">
        <v>-2.1</v>
      </c>
      <c r="AO812">
        <v>0.95</v>
      </c>
      <c r="AP812">
        <v>250</v>
      </c>
      <c r="AQ812">
        <v>1</v>
      </c>
      <c r="AR812">
        <v>4.71</v>
      </c>
      <c r="AS812">
        <v>80</v>
      </c>
      <c r="AT812">
        <v>2.0099999999999998</v>
      </c>
      <c r="AU812">
        <v>93</v>
      </c>
      <c r="AV812">
        <v>-5.23</v>
      </c>
      <c r="AW812">
        <v>96</v>
      </c>
      <c r="AX812">
        <v>0.31</v>
      </c>
      <c r="AY812">
        <v>88</v>
      </c>
      <c r="AZ812">
        <v>6.79</v>
      </c>
      <c r="BA812">
        <v>67</v>
      </c>
      <c r="BB812">
        <v>4.8600000000000003</v>
      </c>
      <c r="BC812">
        <v>66</v>
      </c>
      <c r="BD812">
        <v>-0.01</v>
      </c>
      <c r="BE812">
        <v>-0.02</v>
      </c>
      <c r="BF812">
        <v>-0.05</v>
      </c>
      <c r="BG812">
        <v>94</v>
      </c>
      <c r="BH812">
        <v>0</v>
      </c>
      <c r="BI812">
        <v>-8.7799999999999994</v>
      </c>
      <c r="BJ812">
        <v>34</v>
      </c>
      <c r="BK812">
        <v>21</v>
      </c>
      <c r="BL812">
        <v>0.8</v>
      </c>
      <c r="BM812">
        <v>0.21</v>
      </c>
      <c r="BN812">
        <v>0.33</v>
      </c>
      <c r="BO812">
        <v>0.37</v>
      </c>
      <c r="BP812">
        <v>-0.39</v>
      </c>
      <c r="BQ812">
        <v>0.53</v>
      </c>
      <c r="BR812">
        <v>-1.85</v>
      </c>
      <c r="BS812">
        <v>0.02</v>
      </c>
      <c r="BT812">
        <v>1.02</v>
      </c>
      <c r="BU812">
        <v>2.2400000000000002</v>
      </c>
      <c r="BV812">
        <v>1.76</v>
      </c>
      <c r="BW812">
        <v>2.23</v>
      </c>
      <c r="BX812">
        <v>2.8</v>
      </c>
      <c r="BY812">
        <v>1.49</v>
      </c>
      <c r="BZ812">
        <v>0.78</v>
      </c>
      <c r="CA812">
        <v>1.34</v>
      </c>
      <c r="CB812">
        <v>1.66</v>
      </c>
      <c r="CC812">
        <v>-0.42</v>
      </c>
      <c r="CD812">
        <v>0.15</v>
      </c>
      <c r="CE812">
        <v>0.18</v>
      </c>
      <c r="CF812">
        <v>0.13</v>
      </c>
      <c r="CG812">
        <v>0</v>
      </c>
      <c r="CH812">
        <v>1.07</v>
      </c>
      <c r="CI812">
        <v>0</v>
      </c>
      <c r="CJ812">
        <v>-3.3</v>
      </c>
      <c r="CK812">
        <v>94</v>
      </c>
      <c r="CL812">
        <v>-0.98</v>
      </c>
      <c r="CM812">
        <v>93</v>
      </c>
      <c r="CN812">
        <v>-0.31</v>
      </c>
      <c r="CO812">
        <v>92</v>
      </c>
      <c r="CP812">
        <v>-0.6</v>
      </c>
      <c r="CQ812">
        <v>86</v>
      </c>
      <c r="CR812">
        <v>0</v>
      </c>
      <c r="CS812">
        <v>0</v>
      </c>
      <c r="CT812">
        <v>14.1</v>
      </c>
      <c r="CU812">
        <v>89</v>
      </c>
      <c r="CV812">
        <v>0.25</v>
      </c>
      <c r="CW812">
        <v>45</v>
      </c>
      <c r="CX812" t="s">
        <v>5598</v>
      </c>
    </row>
    <row r="813" spans="1:102" x14ac:dyDescent="0.3">
      <c r="A813" t="str">
        <f>HYPERLINK("https://webapp.icbf.com/v2/app/bull-search/view/1470016477","FR4393")</f>
        <v>FR4393</v>
      </c>
      <c r="B813" t="s">
        <v>6312</v>
      </c>
      <c r="C813" t="s">
        <v>6313</v>
      </c>
      <c r="D813" s="1">
        <v>42752</v>
      </c>
      <c r="E813" t="s">
        <v>92</v>
      </c>
      <c r="F813">
        <v>72</v>
      </c>
      <c r="G813" t="s">
        <v>435</v>
      </c>
      <c r="H813">
        <v>158.58000000000001</v>
      </c>
      <c r="I813">
        <v>70</v>
      </c>
      <c r="J813">
        <v>70.91</v>
      </c>
      <c r="K813">
        <v>87</v>
      </c>
      <c r="L813">
        <v>56.83</v>
      </c>
      <c r="M813">
        <v>59</v>
      </c>
      <c r="N813">
        <v>33.82</v>
      </c>
      <c r="O813">
        <v>84</v>
      </c>
      <c r="P813">
        <v>-3.97</v>
      </c>
      <c r="Q813">
        <v>62</v>
      </c>
      <c r="R813">
        <v>-4.12</v>
      </c>
      <c r="S813">
        <v>60</v>
      </c>
      <c r="T813">
        <v>8.65</v>
      </c>
      <c r="U813">
        <v>49</v>
      </c>
      <c r="V813">
        <v>-3.54</v>
      </c>
      <c r="W813">
        <v>54</v>
      </c>
      <c r="X813" t="s">
        <v>102</v>
      </c>
      <c r="Y813" t="s">
        <v>2255</v>
      </c>
      <c r="Z813" t="s">
        <v>330</v>
      </c>
      <c r="AA813" t="s">
        <v>6253</v>
      </c>
      <c r="AB813" t="s">
        <v>6314</v>
      </c>
      <c r="AC813">
        <v>0</v>
      </c>
      <c r="AD813">
        <v>0</v>
      </c>
      <c r="AE813">
        <v>87</v>
      </c>
      <c r="AF813">
        <v>97.59</v>
      </c>
      <c r="AG813">
        <v>14.37</v>
      </c>
      <c r="AH813">
        <v>8.4700000000000006</v>
      </c>
      <c r="AI813">
        <v>0.18</v>
      </c>
      <c r="AJ813">
        <v>0.09</v>
      </c>
      <c r="AK813">
        <v>59</v>
      </c>
      <c r="AL813">
        <v>0</v>
      </c>
      <c r="AM813">
        <v>0</v>
      </c>
      <c r="AN813">
        <v>-0.92</v>
      </c>
      <c r="AO813">
        <v>3.64</v>
      </c>
      <c r="AP813">
        <v>771</v>
      </c>
      <c r="AQ813">
        <v>3</v>
      </c>
      <c r="AR813">
        <v>8.44</v>
      </c>
      <c r="AS813">
        <v>67</v>
      </c>
      <c r="AT813">
        <v>3.15</v>
      </c>
      <c r="AU813">
        <v>95</v>
      </c>
      <c r="AV813">
        <v>-5.12</v>
      </c>
      <c r="AW813">
        <v>99</v>
      </c>
      <c r="AX813">
        <v>0.34</v>
      </c>
      <c r="AY813">
        <v>92</v>
      </c>
      <c r="AZ813">
        <v>7.79</v>
      </c>
      <c r="BA813">
        <v>43</v>
      </c>
      <c r="BB813">
        <v>5.26</v>
      </c>
      <c r="BC813">
        <v>32</v>
      </c>
      <c r="BD813">
        <v>-0.02</v>
      </c>
      <c r="BE813">
        <v>0.02</v>
      </c>
      <c r="BF813">
        <v>0.09</v>
      </c>
      <c r="BG813">
        <v>72</v>
      </c>
      <c r="BH813">
        <v>-0.08</v>
      </c>
      <c r="BI813">
        <v>2.16</v>
      </c>
      <c r="BJ813">
        <v>0</v>
      </c>
      <c r="BK813">
        <v>0</v>
      </c>
      <c r="BL813">
        <v>-0.89</v>
      </c>
      <c r="BM813">
        <v>0.22</v>
      </c>
      <c r="BN813">
        <v>-1.76</v>
      </c>
      <c r="BO813">
        <v>-1.23</v>
      </c>
      <c r="BP813">
        <v>0.02</v>
      </c>
      <c r="BQ813">
        <v>-1.17</v>
      </c>
      <c r="BR813">
        <v>1.57</v>
      </c>
      <c r="BS813">
        <v>-1.6</v>
      </c>
      <c r="BT813">
        <v>-2.41</v>
      </c>
      <c r="BU813">
        <v>-0.45</v>
      </c>
      <c r="BV813">
        <v>-0.72</v>
      </c>
      <c r="BW813">
        <v>-0.9</v>
      </c>
      <c r="BX813">
        <v>-0.44</v>
      </c>
      <c r="BY813">
        <v>-1.77</v>
      </c>
      <c r="BZ813">
        <v>-1.25</v>
      </c>
      <c r="CA813">
        <v>-0.82</v>
      </c>
      <c r="CB813">
        <v>-0.73</v>
      </c>
      <c r="CC813">
        <v>-1.31</v>
      </c>
      <c r="CD813">
        <v>0.61</v>
      </c>
      <c r="CE813">
        <v>-0.64</v>
      </c>
      <c r="CF813">
        <v>-1.4</v>
      </c>
      <c r="CG813">
        <v>0</v>
      </c>
      <c r="CH813">
        <v>-1.26</v>
      </c>
      <c r="CI813">
        <v>0</v>
      </c>
      <c r="CJ813">
        <v>-2.6</v>
      </c>
      <c r="CK813">
        <v>68</v>
      </c>
      <c r="CL813">
        <v>-0.65</v>
      </c>
      <c r="CM813">
        <v>57</v>
      </c>
      <c r="CN813">
        <v>-0.59</v>
      </c>
      <c r="CO813">
        <v>56</v>
      </c>
      <c r="CP813">
        <v>-3.9</v>
      </c>
      <c r="CQ813">
        <v>49</v>
      </c>
      <c r="CR813">
        <v>0</v>
      </c>
      <c r="CS813">
        <v>0</v>
      </c>
      <c r="CT813">
        <v>2.1</v>
      </c>
      <c r="CU813">
        <v>49</v>
      </c>
      <c r="CV813">
        <v>0.15</v>
      </c>
      <c r="CW813">
        <v>38</v>
      </c>
      <c r="CX813" t="s">
        <v>6315</v>
      </c>
    </row>
    <row r="814" spans="1:102" x14ac:dyDescent="0.3">
      <c r="A814" t="str">
        <f>HYPERLINK("https://webapp.icbf.com/v2/app/bull-search/view/393999059","HZN")</f>
        <v>HZN</v>
      </c>
      <c r="B814" t="s">
        <v>6676</v>
      </c>
      <c r="C814" t="s">
        <v>6677</v>
      </c>
      <c r="D814" s="1">
        <v>36714</v>
      </c>
      <c r="E814" t="s">
        <v>92</v>
      </c>
      <c r="F814">
        <v>100</v>
      </c>
      <c r="G814" t="s">
        <v>93</v>
      </c>
      <c r="H814">
        <v>158.30000000000001</v>
      </c>
      <c r="I814">
        <v>85</v>
      </c>
      <c r="J814">
        <v>10.28</v>
      </c>
      <c r="K814">
        <v>95</v>
      </c>
      <c r="L814">
        <v>83.92</v>
      </c>
      <c r="M814">
        <v>78</v>
      </c>
      <c r="N814">
        <v>33.81</v>
      </c>
      <c r="O814">
        <v>82</v>
      </c>
      <c r="P814">
        <v>-13.73</v>
      </c>
      <c r="Q814">
        <v>88</v>
      </c>
      <c r="R814">
        <v>5.52</v>
      </c>
      <c r="S814">
        <v>73</v>
      </c>
      <c r="T814">
        <v>32.840000000000003</v>
      </c>
      <c r="U814">
        <v>84</v>
      </c>
      <c r="V814">
        <v>5.66</v>
      </c>
      <c r="W814">
        <v>80</v>
      </c>
      <c r="X814" t="s">
        <v>302</v>
      </c>
      <c r="Y814" t="s">
        <v>95</v>
      </c>
      <c r="Z814">
        <v>0</v>
      </c>
      <c r="AA814" t="s">
        <v>6678</v>
      </c>
      <c r="AB814" t="s">
        <v>6679</v>
      </c>
      <c r="AC814">
        <v>75</v>
      </c>
      <c r="AD814">
        <v>39</v>
      </c>
      <c r="AE814">
        <v>95</v>
      </c>
      <c r="AF814">
        <v>-76.02</v>
      </c>
      <c r="AG814">
        <v>-1.74</v>
      </c>
      <c r="AH814">
        <v>1.2</v>
      </c>
      <c r="AI814">
        <v>0.02</v>
      </c>
      <c r="AJ814">
        <v>7.0000000000000007E-2</v>
      </c>
      <c r="AK814">
        <v>78</v>
      </c>
      <c r="AL814">
        <v>76</v>
      </c>
      <c r="AM814">
        <v>35</v>
      </c>
      <c r="AN814">
        <v>-5.54</v>
      </c>
      <c r="AO814">
        <v>1.1399999999999999</v>
      </c>
      <c r="AP814">
        <v>116</v>
      </c>
      <c r="AQ814">
        <v>0</v>
      </c>
      <c r="AR814">
        <v>6.15</v>
      </c>
      <c r="AS814">
        <v>69</v>
      </c>
      <c r="AT814">
        <v>2.2999999999999998</v>
      </c>
      <c r="AU814">
        <v>82</v>
      </c>
      <c r="AV814">
        <v>-2.96</v>
      </c>
      <c r="AW814">
        <v>94</v>
      </c>
      <c r="AX814">
        <v>-0.76</v>
      </c>
      <c r="AY814">
        <v>78</v>
      </c>
      <c r="AZ814">
        <v>7.4</v>
      </c>
      <c r="BA814">
        <v>55</v>
      </c>
      <c r="BB814">
        <v>5.03</v>
      </c>
      <c r="BC814">
        <v>62</v>
      </c>
      <c r="BD814">
        <v>-0.06</v>
      </c>
      <c r="BE814">
        <v>-0.03</v>
      </c>
      <c r="BF814">
        <v>0.03</v>
      </c>
      <c r="BG814">
        <v>79</v>
      </c>
      <c r="BH814">
        <v>0.1</v>
      </c>
      <c r="BI814">
        <v>-6.7</v>
      </c>
      <c r="BJ814">
        <v>1</v>
      </c>
      <c r="BK814">
        <v>1</v>
      </c>
      <c r="BL814">
        <v>-2.31</v>
      </c>
      <c r="BM814">
        <v>-0.17</v>
      </c>
      <c r="BN814">
        <v>-1.51</v>
      </c>
      <c r="BO814">
        <v>-1.25</v>
      </c>
      <c r="BP814">
        <v>2.83</v>
      </c>
      <c r="BQ814">
        <v>-3.91</v>
      </c>
      <c r="BR814">
        <v>-0.61</v>
      </c>
      <c r="BS814">
        <v>-0.22</v>
      </c>
      <c r="BT814">
        <v>-1.56</v>
      </c>
      <c r="BU814">
        <v>-0.46</v>
      </c>
      <c r="BV814">
        <v>-0.91</v>
      </c>
      <c r="BW814">
        <v>-1.21</v>
      </c>
      <c r="BX814">
        <v>-1.5</v>
      </c>
      <c r="BY814">
        <v>-0.92</v>
      </c>
      <c r="BZ814">
        <v>1.36</v>
      </c>
      <c r="CA814">
        <v>-0.9</v>
      </c>
      <c r="CB814">
        <v>-0.78</v>
      </c>
      <c r="CC814">
        <v>-0.51</v>
      </c>
      <c r="CD814">
        <v>0.83</v>
      </c>
      <c r="CE814">
        <v>-1.1200000000000001</v>
      </c>
      <c r="CF814">
        <v>-1.9</v>
      </c>
      <c r="CG814">
        <v>0</v>
      </c>
      <c r="CH814">
        <v>-0.52</v>
      </c>
      <c r="CI814">
        <v>0</v>
      </c>
      <c r="CJ814">
        <v>-7.9</v>
      </c>
      <c r="CK814">
        <v>89</v>
      </c>
      <c r="CL814">
        <v>-0.34</v>
      </c>
      <c r="CM814">
        <v>86</v>
      </c>
      <c r="CN814">
        <v>-0.3</v>
      </c>
      <c r="CO814">
        <v>85</v>
      </c>
      <c r="CP814">
        <v>-18.899999999999999</v>
      </c>
      <c r="CQ814">
        <v>86</v>
      </c>
      <c r="CR814">
        <v>0</v>
      </c>
      <c r="CS814">
        <v>0</v>
      </c>
      <c r="CT814">
        <v>-30.6</v>
      </c>
      <c r="CU814">
        <v>84</v>
      </c>
      <c r="CV814">
        <v>-0.05</v>
      </c>
      <c r="CW814">
        <v>43</v>
      </c>
      <c r="CX814" t="s">
        <v>2740</v>
      </c>
    </row>
    <row r="815" spans="1:102" x14ac:dyDescent="0.3">
      <c r="A815" t="str">
        <f>HYPERLINK("https://webapp.icbf.com/v2/app/bull-search/view/450045020","LWT")</f>
        <v>LWT</v>
      </c>
      <c r="B815" t="s">
        <v>5176</v>
      </c>
      <c r="C815" t="s">
        <v>5177</v>
      </c>
      <c r="D815" s="1">
        <v>36758</v>
      </c>
      <c r="E815" t="s">
        <v>92</v>
      </c>
      <c r="F815">
        <v>97</v>
      </c>
      <c r="G815" t="s">
        <v>93</v>
      </c>
      <c r="H815">
        <v>158.26</v>
      </c>
      <c r="I815">
        <v>97</v>
      </c>
      <c r="J815">
        <v>38.18</v>
      </c>
      <c r="K815">
        <v>99</v>
      </c>
      <c r="L815">
        <v>74.23</v>
      </c>
      <c r="M815">
        <v>94</v>
      </c>
      <c r="N815">
        <v>35.74</v>
      </c>
      <c r="O815">
        <v>98</v>
      </c>
      <c r="P815">
        <v>-28.13</v>
      </c>
      <c r="Q815">
        <v>99</v>
      </c>
      <c r="R815">
        <v>1.26</v>
      </c>
      <c r="S815">
        <v>97</v>
      </c>
      <c r="T815">
        <v>26.33</v>
      </c>
      <c r="U815">
        <v>99</v>
      </c>
      <c r="V815">
        <v>10.65</v>
      </c>
      <c r="W815">
        <v>98</v>
      </c>
      <c r="X815" t="s">
        <v>302</v>
      </c>
      <c r="Y815" t="s">
        <v>95</v>
      </c>
      <c r="Z815" t="s">
        <v>330</v>
      </c>
      <c r="AA815" t="s">
        <v>1663</v>
      </c>
      <c r="AB815" t="s">
        <v>5178</v>
      </c>
      <c r="AC815">
        <v>1313</v>
      </c>
      <c r="AD815">
        <v>463</v>
      </c>
      <c r="AE815">
        <v>99</v>
      </c>
      <c r="AF815">
        <v>118.09</v>
      </c>
      <c r="AG815">
        <v>11.34</v>
      </c>
      <c r="AH815">
        <v>4.29</v>
      </c>
      <c r="AI815">
        <v>0.12</v>
      </c>
      <c r="AJ815">
        <v>0.01</v>
      </c>
      <c r="AK815">
        <v>94</v>
      </c>
      <c r="AL815">
        <v>1457</v>
      </c>
      <c r="AM815">
        <v>499</v>
      </c>
      <c r="AN815">
        <v>-3.24</v>
      </c>
      <c r="AO815">
        <v>2.69</v>
      </c>
      <c r="AP815">
        <v>2130</v>
      </c>
      <c r="AQ815">
        <v>8</v>
      </c>
      <c r="AR815">
        <v>4.07</v>
      </c>
      <c r="AS815">
        <v>98</v>
      </c>
      <c r="AT815">
        <v>1.79</v>
      </c>
      <c r="AU815">
        <v>98</v>
      </c>
      <c r="AV815">
        <v>-2.0499999999999998</v>
      </c>
      <c r="AW815">
        <v>99</v>
      </c>
      <c r="AX815">
        <v>0.31</v>
      </c>
      <c r="AY815">
        <v>98</v>
      </c>
      <c r="AZ815">
        <v>5.51</v>
      </c>
      <c r="BA815">
        <v>94</v>
      </c>
      <c r="BB815">
        <v>4.66</v>
      </c>
      <c r="BC815">
        <v>96</v>
      </c>
      <c r="BD815">
        <v>-0.03</v>
      </c>
      <c r="BE815">
        <v>-0.01</v>
      </c>
      <c r="BF815">
        <v>0.04</v>
      </c>
      <c r="BG815">
        <v>99</v>
      </c>
      <c r="BH815">
        <v>0.08</v>
      </c>
      <c r="BI815">
        <v>-25.11</v>
      </c>
      <c r="BJ815">
        <v>47</v>
      </c>
      <c r="BK815">
        <v>21</v>
      </c>
      <c r="BL815">
        <v>-1.28</v>
      </c>
      <c r="BM815">
        <v>-0.23</v>
      </c>
      <c r="BN815">
        <v>-1.61</v>
      </c>
      <c r="BO815">
        <v>-1.34</v>
      </c>
      <c r="BP815">
        <v>-0.12</v>
      </c>
      <c r="BQ815">
        <v>-0.51</v>
      </c>
      <c r="BR815">
        <v>1.44</v>
      </c>
      <c r="BS815">
        <v>-0.57999999999999996</v>
      </c>
      <c r="BT815">
        <v>-2.36</v>
      </c>
      <c r="BU815">
        <v>-1.51</v>
      </c>
      <c r="BV815">
        <v>-1.46</v>
      </c>
      <c r="BW815">
        <v>-1.22</v>
      </c>
      <c r="BX815">
        <v>-1.76</v>
      </c>
      <c r="BY815">
        <v>-2.31</v>
      </c>
      <c r="BZ815">
        <v>0.1</v>
      </c>
      <c r="CA815">
        <v>-1.65</v>
      </c>
      <c r="CB815">
        <v>-1.61</v>
      </c>
      <c r="CC815">
        <v>-0.79</v>
      </c>
      <c r="CD815">
        <v>-0.25</v>
      </c>
      <c r="CE815">
        <v>-0.9</v>
      </c>
      <c r="CF815">
        <v>-2.04</v>
      </c>
      <c r="CG815">
        <v>0</v>
      </c>
      <c r="CH815">
        <v>-2.39</v>
      </c>
      <c r="CI815">
        <v>0</v>
      </c>
      <c r="CJ815">
        <v>-12.8</v>
      </c>
      <c r="CK815">
        <v>99</v>
      </c>
      <c r="CL815">
        <v>-0.68</v>
      </c>
      <c r="CM815">
        <v>99</v>
      </c>
      <c r="CN815">
        <v>0.01</v>
      </c>
      <c r="CO815">
        <v>99</v>
      </c>
      <c r="CP815">
        <v>-22.2</v>
      </c>
      <c r="CQ815">
        <v>99</v>
      </c>
      <c r="CR815">
        <v>0</v>
      </c>
      <c r="CS815">
        <v>0</v>
      </c>
      <c r="CT815">
        <v>-21.8</v>
      </c>
      <c r="CU815">
        <v>99</v>
      </c>
      <c r="CV815">
        <v>-0.02</v>
      </c>
      <c r="CW815">
        <v>46</v>
      </c>
      <c r="CX815" t="s">
        <v>1097</v>
      </c>
    </row>
    <row r="816" spans="1:102" x14ac:dyDescent="0.3">
      <c r="A816" t="str">
        <f>HYPERLINK("https://webapp.icbf.com/v2/app/bull-search/view/1051185820","OZL")</f>
        <v>OZL</v>
      </c>
      <c r="B816" t="s">
        <v>13437</v>
      </c>
      <c r="C816" t="s">
        <v>13438</v>
      </c>
      <c r="D816" s="1">
        <v>41334</v>
      </c>
      <c r="E816" t="s">
        <v>227</v>
      </c>
      <c r="F816">
        <v>25</v>
      </c>
      <c r="G816" t="s">
        <v>93</v>
      </c>
      <c r="H816">
        <v>158.25</v>
      </c>
      <c r="I816">
        <v>86</v>
      </c>
      <c r="J816">
        <v>74.23</v>
      </c>
      <c r="K816">
        <v>97</v>
      </c>
      <c r="L816">
        <v>14.02</v>
      </c>
      <c r="M816">
        <v>75</v>
      </c>
      <c r="N816">
        <v>57.19</v>
      </c>
      <c r="O816">
        <v>91</v>
      </c>
      <c r="P816">
        <v>-29.69</v>
      </c>
      <c r="Q816">
        <v>91</v>
      </c>
      <c r="R816">
        <v>-5</v>
      </c>
      <c r="S816">
        <v>77</v>
      </c>
      <c r="T816">
        <v>38.1</v>
      </c>
      <c r="U816">
        <v>83</v>
      </c>
      <c r="V816">
        <v>9.4</v>
      </c>
      <c r="W816">
        <v>73</v>
      </c>
      <c r="X816" t="s">
        <v>94</v>
      </c>
      <c r="Y816" t="s">
        <v>389</v>
      </c>
      <c r="Z816">
        <v>0</v>
      </c>
      <c r="AA816" t="s">
        <v>2338</v>
      </c>
      <c r="AB816" t="s">
        <v>144</v>
      </c>
      <c r="AC816">
        <v>199</v>
      </c>
      <c r="AD816">
        <v>51</v>
      </c>
      <c r="AE816">
        <v>97</v>
      </c>
      <c r="AF816">
        <v>67.95</v>
      </c>
      <c r="AG816">
        <v>11.97</v>
      </c>
      <c r="AH816">
        <v>9.43</v>
      </c>
      <c r="AI816">
        <v>0.16</v>
      </c>
      <c r="AJ816">
        <v>0.12</v>
      </c>
      <c r="AK816">
        <v>75</v>
      </c>
      <c r="AL816">
        <v>83</v>
      </c>
      <c r="AM816">
        <v>25</v>
      </c>
      <c r="AN816">
        <v>0.16</v>
      </c>
      <c r="AO816">
        <v>1.29</v>
      </c>
      <c r="AP816">
        <v>1673</v>
      </c>
      <c r="AQ816">
        <v>3</v>
      </c>
      <c r="AR816">
        <v>4.3099999999999996</v>
      </c>
      <c r="AS816">
        <v>97</v>
      </c>
      <c r="AT816">
        <v>1.79</v>
      </c>
      <c r="AU816">
        <v>96</v>
      </c>
      <c r="AV816">
        <v>-5.34</v>
      </c>
      <c r="AW816">
        <v>99</v>
      </c>
      <c r="AX816">
        <v>-0.23</v>
      </c>
      <c r="AY816">
        <v>96</v>
      </c>
      <c r="AZ816">
        <v>6.43</v>
      </c>
      <c r="BA816">
        <v>77</v>
      </c>
      <c r="BB816">
        <v>5.52</v>
      </c>
      <c r="BC816">
        <v>51</v>
      </c>
      <c r="BD816">
        <v>0</v>
      </c>
      <c r="BE816">
        <v>0.05</v>
      </c>
      <c r="BF816">
        <v>0.02</v>
      </c>
      <c r="BG816">
        <v>89</v>
      </c>
      <c r="BH816">
        <v>0.26</v>
      </c>
      <c r="BI816">
        <v>-0.24</v>
      </c>
      <c r="BJ816">
        <v>0</v>
      </c>
      <c r="BK816">
        <v>0</v>
      </c>
      <c r="BL816">
        <v>-2.56</v>
      </c>
      <c r="BM816">
        <v>-1.37</v>
      </c>
      <c r="BN816">
        <v>-1.1100000000000001</v>
      </c>
      <c r="BO816">
        <v>0.05</v>
      </c>
      <c r="BP816">
        <v>-1.1399999999999999</v>
      </c>
      <c r="BQ816">
        <v>-4.17</v>
      </c>
      <c r="BR816">
        <v>1.71</v>
      </c>
      <c r="BS816">
        <v>3.39</v>
      </c>
      <c r="BT816">
        <v>-0.7</v>
      </c>
      <c r="BU816">
        <v>-0.42</v>
      </c>
      <c r="BV816">
        <v>0.06</v>
      </c>
      <c r="BW816">
        <v>-1.33</v>
      </c>
      <c r="BX816">
        <v>-2.19</v>
      </c>
      <c r="BY816">
        <v>0.47</v>
      </c>
      <c r="BZ816">
        <v>-1.35</v>
      </c>
      <c r="CA816">
        <v>0.56000000000000005</v>
      </c>
      <c r="CB816">
        <v>-0.42</v>
      </c>
      <c r="CC816">
        <v>2.2599999999999998</v>
      </c>
      <c r="CD816">
        <v>-1</v>
      </c>
      <c r="CE816">
        <v>0.04</v>
      </c>
      <c r="CF816">
        <v>-2.81</v>
      </c>
      <c r="CG816">
        <v>0</v>
      </c>
      <c r="CH816">
        <v>0.33</v>
      </c>
      <c r="CI816">
        <v>0</v>
      </c>
      <c r="CJ816">
        <v>-15.6</v>
      </c>
      <c r="CK816">
        <v>94</v>
      </c>
      <c r="CL816">
        <v>-0.72</v>
      </c>
      <c r="CM816">
        <v>92</v>
      </c>
      <c r="CN816">
        <v>-0.28999999999999998</v>
      </c>
      <c r="CO816">
        <v>91</v>
      </c>
      <c r="CP816">
        <v>-27.5</v>
      </c>
      <c r="CQ816">
        <v>73</v>
      </c>
      <c r="CR816">
        <v>0</v>
      </c>
      <c r="CS816">
        <v>0</v>
      </c>
      <c r="CT816">
        <v>-37.700000000000003</v>
      </c>
      <c r="CU816">
        <v>83</v>
      </c>
      <c r="CV816">
        <v>-0.05</v>
      </c>
      <c r="CW816">
        <v>45</v>
      </c>
      <c r="CX816" t="s">
        <v>2026</v>
      </c>
    </row>
    <row r="817" spans="1:102" x14ac:dyDescent="0.3">
      <c r="A817" t="str">
        <f>HYPERLINK("https://webapp.icbf.com/v2/app/bull-search/view/720497754","ASV")</f>
        <v>ASV</v>
      </c>
      <c r="B817" t="s">
        <v>15448</v>
      </c>
      <c r="C817" t="s">
        <v>15449</v>
      </c>
      <c r="D817" s="1">
        <v>39341</v>
      </c>
      <c r="E817" t="s">
        <v>227</v>
      </c>
      <c r="F817">
        <v>0</v>
      </c>
      <c r="G817" t="s">
        <v>93</v>
      </c>
      <c r="H817">
        <v>158.19</v>
      </c>
      <c r="I817">
        <v>91</v>
      </c>
      <c r="J817">
        <v>44.13</v>
      </c>
      <c r="K817">
        <v>98</v>
      </c>
      <c r="L817">
        <v>63.82</v>
      </c>
      <c r="M817">
        <v>85</v>
      </c>
      <c r="N817">
        <v>37.020000000000003</v>
      </c>
      <c r="O817">
        <v>89</v>
      </c>
      <c r="P817">
        <v>-53.9</v>
      </c>
      <c r="Q817">
        <v>93</v>
      </c>
      <c r="R817">
        <v>5.91</v>
      </c>
      <c r="S817">
        <v>82</v>
      </c>
      <c r="T817">
        <v>51.64</v>
      </c>
      <c r="U817">
        <v>91</v>
      </c>
      <c r="V817">
        <v>9.57</v>
      </c>
      <c r="W817">
        <v>83</v>
      </c>
      <c r="X817" t="s">
        <v>276</v>
      </c>
      <c r="Y817" t="s">
        <v>319</v>
      </c>
      <c r="Z817">
        <v>0</v>
      </c>
      <c r="AA817" t="s">
        <v>15450</v>
      </c>
      <c r="AB817" t="s">
        <v>15451</v>
      </c>
      <c r="AC817">
        <v>152</v>
      </c>
      <c r="AD817">
        <v>63</v>
      </c>
      <c r="AE817">
        <v>98</v>
      </c>
      <c r="AF817">
        <v>-518.98</v>
      </c>
      <c r="AG817">
        <v>6.79</v>
      </c>
      <c r="AH817">
        <v>-2.84</v>
      </c>
      <c r="AI817">
        <v>0.52</v>
      </c>
      <c r="AJ817">
        <v>0.28000000000000003</v>
      </c>
      <c r="AK817">
        <v>85</v>
      </c>
      <c r="AL817">
        <v>164</v>
      </c>
      <c r="AM817">
        <v>63</v>
      </c>
      <c r="AN817">
        <v>-2.67</v>
      </c>
      <c r="AO817">
        <v>2.4300000000000002</v>
      </c>
      <c r="AP817">
        <v>204</v>
      </c>
      <c r="AQ817">
        <v>1</v>
      </c>
      <c r="AR817">
        <v>3.94</v>
      </c>
      <c r="AS817">
        <v>81</v>
      </c>
      <c r="AT817">
        <v>1.88</v>
      </c>
      <c r="AU817">
        <v>88</v>
      </c>
      <c r="AV817">
        <v>-3.1</v>
      </c>
      <c r="AW817">
        <v>98</v>
      </c>
      <c r="AX817">
        <v>0.22</v>
      </c>
      <c r="AY817">
        <v>86</v>
      </c>
      <c r="AZ817">
        <v>8.58</v>
      </c>
      <c r="BA817">
        <v>70</v>
      </c>
      <c r="BB817">
        <v>5.14</v>
      </c>
      <c r="BC817">
        <v>74</v>
      </c>
      <c r="BD817">
        <v>-0.09</v>
      </c>
      <c r="BE817">
        <v>-0.04</v>
      </c>
      <c r="BF817">
        <v>0.09</v>
      </c>
      <c r="BG817">
        <v>92</v>
      </c>
      <c r="BH817">
        <v>0.21</v>
      </c>
      <c r="BI817">
        <v>-6.59</v>
      </c>
      <c r="BJ817">
        <v>31</v>
      </c>
      <c r="BK817">
        <v>13</v>
      </c>
      <c r="BL817">
        <v>-3</v>
      </c>
      <c r="BM817">
        <v>-1.44</v>
      </c>
      <c r="BN817">
        <v>-1.41</v>
      </c>
      <c r="BO817">
        <v>0.01</v>
      </c>
      <c r="BP817">
        <v>-1.64</v>
      </c>
      <c r="BQ817">
        <v>-5.94</v>
      </c>
      <c r="BR817">
        <v>4.41</v>
      </c>
      <c r="BS817">
        <v>3.12</v>
      </c>
      <c r="BT817">
        <v>-3.1</v>
      </c>
      <c r="BU817">
        <v>-2.12</v>
      </c>
      <c r="BV817">
        <v>-1.78</v>
      </c>
      <c r="BW817">
        <v>-3.72</v>
      </c>
      <c r="BX817">
        <v>-4.42</v>
      </c>
      <c r="BY817">
        <v>-0.03</v>
      </c>
      <c r="BZ817">
        <v>1.1599999999999999</v>
      </c>
      <c r="CA817">
        <v>-1.5</v>
      </c>
      <c r="CB817">
        <v>-2.25</v>
      </c>
      <c r="CC817">
        <v>0.63</v>
      </c>
      <c r="CD817">
        <v>-2.0099999999999998</v>
      </c>
      <c r="CE817">
        <v>-0.21</v>
      </c>
      <c r="CF817">
        <v>-3.72</v>
      </c>
      <c r="CG817">
        <v>0</v>
      </c>
      <c r="CH817">
        <v>-1.17</v>
      </c>
      <c r="CI817">
        <v>0</v>
      </c>
      <c r="CJ817">
        <v>-27.2</v>
      </c>
      <c r="CK817">
        <v>94</v>
      </c>
      <c r="CL817">
        <v>-1.07</v>
      </c>
      <c r="CM817">
        <v>92</v>
      </c>
      <c r="CN817">
        <v>-0.1</v>
      </c>
      <c r="CO817">
        <v>91</v>
      </c>
      <c r="CP817">
        <v>-43.3</v>
      </c>
      <c r="CQ817">
        <v>88</v>
      </c>
      <c r="CR817">
        <v>0</v>
      </c>
      <c r="CS817">
        <v>0</v>
      </c>
      <c r="CT817">
        <v>-56</v>
      </c>
      <c r="CU817">
        <v>91</v>
      </c>
      <c r="CV817">
        <v>-0.19</v>
      </c>
      <c r="CW817">
        <v>45</v>
      </c>
      <c r="CX817" t="s">
        <v>229</v>
      </c>
    </row>
    <row r="818" spans="1:102" x14ac:dyDescent="0.3">
      <c r="A818" t="str">
        <f>HYPERLINK("https://webapp.icbf.com/v2/app/bull-search/view/910796872","YMD")</f>
        <v>YMD</v>
      </c>
      <c r="B818" t="s">
        <v>5624</v>
      </c>
      <c r="C818" t="s">
        <v>5625</v>
      </c>
      <c r="D818" s="1">
        <v>40408</v>
      </c>
      <c r="E818" t="s">
        <v>227</v>
      </c>
      <c r="F818">
        <v>25</v>
      </c>
      <c r="G818" t="s">
        <v>93</v>
      </c>
      <c r="H818">
        <v>158.08000000000001</v>
      </c>
      <c r="I818">
        <v>95</v>
      </c>
      <c r="J818">
        <v>93.56</v>
      </c>
      <c r="K818">
        <v>99</v>
      </c>
      <c r="L818">
        <v>24.43</v>
      </c>
      <c r="M818">
        <v>92</v>
      </c>
      <c r="N818">
        <v>40.46</v>
      </c>
      <c r="O818">
        <v>98</v>
      </c>
      <c r="P818">
        <v>-37.19</v>
      </c>
      <c r="Q818">
        <v>99</v>
      </c>
      <c r="R818">
        <v>0.27</v>
      </c>
      <c r="S818">
        <v>92</v>
      </c>
      <c r="T818">
        <v>28.85</v>
      </c>
      <c r="U818">
        <v>99</v>
      </c>
      <c r="V818">
        <v>7.7</v>
      </c>
      <c r="W818">
        <v>78</v>
      </c>
      <c r="X818" t="s">
        <v>276</v>
      </c>
      <c r="Y818" t="s">
        <v>1923</v>
      </c>
      <c r="Z818">
        <v>0</v>
      </c>
      <c r="AA818" t="s">
        <v>5626</v>
      </c>
      <c r="AB818" t="s">
        <v>144</v>
      </c>
      <c r="AC818">
        <v>3008</v>
      </c>
      <c r="AD818">
        <v>352</v>
      </c>
      <c r="AE818">
        <v>99</v>
      </c>
      <c r="AF818">
        <v>125.99</v>
      </c>
      <c r="AG818">
        <v>12.72</v>
      </c>
      <c r="AH818">
        <v>13.34</v>
      </c>
      <c r="AI818">
        <v>0.13</v>
      </c>
      <c r="AJ818">
        <v>0.16</v>
      </c>
      <c r="AK818">
        <v>92</v>
      </c>
      <c r="AL818">
        <v>1563</v>
      </c>
      <c r="AM818">
        <v>229</v>
      </c>
      <c r="AN818">
        <v>-1.2</v>
      </c>
      <c r="AO818">
        <v>0.75</v>
      </c>
      <c r="AP818">
        <v>5888</v>
      </c>
      <c r="AQ818">
        <v>9</v>
      </c>
      <c r="AR818">
        <v>4.42</v>
      </c>
      <c r="AS818">
        <v>99</v>
      </c>
      <c r="AT818">
        <v>1.93</v>
      </c>
      <c r="AU818">
        <v>99</v>
      </c>
      <c r="AV818">
        <v>-3.21</v>
      </c>
      <c r="AW818">
        <v>99</v>
      </c>
      <c r="AX818">
        <v>-0.1</v>
      </c>
      <c r="AY818">
        <v>99</v>
      </c>
      <c r="AZ818">
        <v>6.43</v>
      </c>
      <c r="BA818">
        <v>97</v>
      </c>
      <c r="BB818">
        <v>5.23</v>
      </c>
      <c r="BC818">
        <v>91</v>
      </c>
      <c r="BD818">
        <v>-0.02</v>
      </c>
      <c r="BE818">
        <v>0.03</v>
      </c>
      <c r="BF818">
        <v>-0.03</v>
      </c>
      <c r="BG818">
        <v>99</v>
      </c>
      <c r="BH818">
        <v>0.18</v>
      </c>
      <c r="BI818">
        <v>-4.01</v>
      </c>
      <c r="BJ818">
        <v>1</v>
      </c>
      <c r="BK818">
        <v>1</v>
      </c>
      <c r="BL818">
        <v>-2.4</v>
      </c>
      <c r="BM818">
        <v>-1.24</v>
      </c>
      <c r="BN818">
        <v>-0.69</v>
      </c>
      <c r="BO818">
        <v>0.42</v>
      </c>
      <c r="BP818">
        <v>0.34</v>
      </c>
      <c r="BQ818">
        <v>-4.8899999999999997</v>
      </c>
      <c r="BR818">
        <v>2.5299999999999998</v>
      </c>
      <c r="BS818">
        <v>2.5</v>
      </c>
      <c r="BT818">
        <v>-1.97</v>
      </c>
      <c r="BU818">
        <v>-1.87</v>
      </c>
      <c r="BV818">
        <v>-1.1299999999999999</v>
      </c>
      <c r="BW818">
        <v>-2.37</v>
      </c>
      <c r="BX818">
        <v>-4.17</v>
      </c>
      <c r="BY818">
        <v>0.32</v>
      </c>
      <c r="BZ818">
        <v>-0.97</v>
      </c>
      <c r="CA818">
        <v>-0.27</v>
      </c>
      <c r="CB818">
        <v>-1.07</v>
      </c>
      <c r="CC818">
        <v>1.54</v>
      </c>
      <c r="CD818">
        <v>-1.1599999999999999</v>
      </c>
      <c r="CE818">
        <v>0.4</v>
      </c>
      <c r="CF818">
        <v>-2.54</v>
      </c>
      <c r="CG818">
        <v>0</v>
      </c>
      <c r="CH818">
        <v>-0.4</v>
      </c>
      <c r="CI818">
        <v>0</v>
      </c>
      <c r="CJ818">
        <v>-20.100000000000001</v>
      </c>
      <c r="CK818">
        <v>99</v>
      </c>
      <c r="CL818">
        <v>-0.7</v>
      </c>
      <c r="CM818">
        <v>99</v>
      </c>
      <c r="CN818">
        <v>-0.17</v>
      </c>
      <c r="CO818">
        <v>99</v>
      </c>
      <c r="CP818">
        <v>-28.1</v>
      </c>
      <c r="CQ818">
        <v>96</v>
      </c>
      <c r="CR818">
        <v>0</v>
      </c>
      <c r="CS818">
        <v>0</v>
      </c>
      <c r="CT818">
        <v>-25.2</v>
      </c>
      <c r="CU818">
        <v>99</v>
      </c>
      <c r="CV818">
        <v>-0.16</v>
      </c>
      <c r="CW818">
        <v>49</v>
      </c>
      <c r="CX818" t="s">
        <v>1451</v>
      </c>
    </row>
    <row r="819" spans="1:102" x14ac:dyDescent="0.3">
      <c r="A819" t="str">
        <f>HYPERLINK("https://webapp.icbf.com/v2/app/bull-search/view/443299039","FFI")</f>
        <v>FFI</v>
      </c>
      <c r="B819" t="s">
        <v>12046</v>
      </c>
      <c r="C819" t="s">
        <v>6292</v>
      </c>
      <c r="D819" s="1">
        <v>38749</v>
      </c>
      <c r="E819" t="s">
        <v>92</v>
      </c>
      <c r="F819">
        <v>81</v>
      </c>
      <c r="G819" t="s">
        <v>93</v>
      </c>
      <c r="H819">
        <v>157.9</v>
      </c>
      <c r="I819">
        <v>88</v>
      </c>
      <c r="J819">
        <v>39.979999999999997</v>
      </c>
      <c r="K819">
        <v>97</v>
      </c>
      <c r="L819">
        <v>84.27</v>
      </c>
      <c r="M819">
        <v>79</v>
      </c>
      <c r="N819">
        <v>18.54</v>
      </c>
      <c r="O819">
        <v>87</v>
      </c>
      <c r="P819">
        <v>-12.61</v>
      </c>
      <c r="Q819">
        <v>92</v>
      </c>
      <c r="R819">
        <v>8.6300000000000008</v>
      </c>
      <c r="S819">
        <v>83</v>
      </c>
      <c r="T819">
        <v>22.85</v>
      </c>
      <c r="U819">
        <v>89</v>
      </c>
      <c r="V819">
        <v>-3.76</v>
      </c>
      <c r="W819">
        <v>84</v>
      </c>
      <c r="X819" t="s">
        <v>94</v>
      </c>
      <c r="Y819" t="s">
        <v>1251</v>
      </c>
      <c r="Z819" t="s">
        <v>96</v>
      </c>
      <c r="AA819" t="s">
        <v>3445</v>
      </c>
      <c r="AB819" t="s">
        <v>12047</v>
      </c>
      <c r="AC819">
        <v>95</v>
      </c>
      <c r="AD819">
        <v>72</v>
      </c>
      <c r="AE819">
        <v>97</v>
      </c>
      <c r="AF819">
        <v>-77.8</v>
      </c>
      <c r="AG819">
        <v>6.95</v>
      </c>
      <c r="AH819">
        <v>3.15</v>
      </c>
      <c r="AI819">
        <v>0.18</v>
      </c>
      <c r="AJ819">
        <v>0.1</v>
      </c>
      <c r="AK819">
        <v>79</v>
      </c>
      <c r="AL819">
        <v>95</v>
      </c>
      <c r="AM819">
        <v>69</v>
      </c>
      <c r="AN819">
        <v>-4.6399999999999997</v>
      </c>
      <c r="AO819">
        <v>2.08</v>
      </c>
      <c r="AP819">
        <v>222</v>
      </c>
      <c r="AQ819">
        <v>0</v>
      </c>
      <c r="AR819">
        <v>6.88</v>
      </c>
      <c r="AS819">
        <v>70</v>
      </c>
      <c r="AT819">
        <v>3.01</v>
      </c>
      <c r="AU819">
        <v>89</v>
      </c>
      <c r="AV819">
        <v>-1.41</v>
      </c>
      <c r="AW819">
        <v>96</v>
      </c>
      <c r="AX819">
        <v>-0.84</v>
      </c>
      <c r="AY819">
        <v>82</v>
      </c>
      <c r="AZ819">
        <v>6.22</v>
      </c>
      <c r="BA819">
        <v>67</v>
      </c>
      <c r="BB819">
        <v>4.59</v>
      </c>
      <c r="BC819">
        <v>72</v>
      </c>
      <c r="BD819">
        <v>-0.05</v>
      </c>
      <c r="BE819">
        <v>-0.05</v>
      </c>
      <c r="BF819">
        <v>-0.02</v>
      </c>
      <c r="BG819">
        <v>89</v>
      </c>
      <c r="BH819">
        <v>-0.13</v>
      </c>
      <c r="BI819">
        <v>-2.91</v>
      </c>
      <c r="BJ819">
        <v>9</v>
      </c>
      <c r="BK819">
        <v>9</v>
      </c>
      <c r="BL819">
        <v>-0.34</v>
      </c>
      <c r="BM819">
        <v>-0.19</v>
      </c>
      <c r="BN819">
        <v>-1.6</v>
      </c>
      <c r="BO819">
        <v>-0.89</v>
      </c>
      <c r="BP819">
        <v>1.47</v>
      </c>
      <c r="BQ819">
        <v>0.17</v>
      </c>
      <c r="BR819">
        <v>-0.82</v>
      </c>
      <c r="BS819">
        <v>1.07</v>
      </c>
      <c r="BT819">
        <v>-0.56999999999999995</v>
      </c>
      <c r="BU819">
        <v>-1.03</v>
      </c>
      <c r="BV819">
        <v>-0.87</v>
      </c>
      <c r="BW819">
        <v>-0.63</v>
      </c>
      <c r="BX819">
        <v>1.27</v>
      </c>
      <c r="BY819">
        <v>-1.1599999999999999</v>
      </c>
      <c r="BZ819">
        <v>-1.61</v>
      </c>
      <c r="CA819">
        <v>-0.03</v>
      </c>
      <c r="CB819">
        <v>-0.81</v>
      </c>
      <c r="CC819">
        <v>1.43</v>
      </c>
      <c r="CD819">
        <v>0.9</v>
      </c>
      <c r="CE819">
        <v>-0.47</v>
      </c>
      <c r="CF819">
        <v>-0.81</v>
      </c>
      <c r="CG819">
        <v>0</v>
      </c>
      <c r="CH819">
        <v>1.0900000000000001</v>
      </c>
      <c r="CI819">
        <v>0</v>
      </c>
      <c r="CJ819">
        <v>-3.4</v>
      </c>
      <c r="CK819">
        <v>93</v>
      </c>
      <c r="CL819">
        <v>-0.71</v>
      </c>
      <c r="CM819">
        <v>91</v>
      </c>
      <c r="CN819">
        <v>-0.12</v>
      </c>
      <c r="CO819">
        <v>90</v>
      </c>
      <c r="CP819">
        <v>-13.3</v>
      </c>
      <c r="CQ819">
        <v>90</v>
      </c>
      <c r="CR819">
        <v>0</v>
      </c>
      <c r="CS819">
        <v>0</v>
      </c>
      <c r="CT819">
        <v>-17.100000000000001</v>
      </c>
      <c r="CU819">
        <v>89</v>
      </c>
      <c r="CV819">
        <v>0.05</v>
      </c>
      <c r="CW819">
        <v>45</v>
      </c>
      <c r="CX819" t="s">
        <v>1037</v>
      </c>
    </row>
    <row r="820" spans="1:102" x14ac:dyDescent="0.3">
      <c r="A820" t="str">
        <f>HYPERLINK("https://webapp.icbf.com/v2/app/bull-search/view/441702761","ELV")</f>
        <v>ELV</v>
      </c>
      <c r="B820" t="s">
        <v>1241</v>
      </c>
      <c r="C820" t="s">
        <v>1242</v>
      </c>
      <c r="D820" s="1">
        <v>38751</v>
      </c>
      <c r="E820" t="s">
        <v>92</v>
      </c>
      <c r="F820">
        <v>88</v>
      </c>
      <c r="G820" t="s">
        <v>93</v>
      </c>
      <c r="H820">
        <v>157.80000000000001</v>
      </c>
      <c r="I820">
        <v>83</v>
      </c>
      <c r="J820">
        <v>59.2</v>
      </c>
      <c r="K820">
        <v>95</v>
      </c>
      <c r="L820">
        <v>45.04</v>
      </c>
      <c r="M820">
        <v>70</v>
      </c>
      <c r="N820">
        <v>46.52</v>
      </c>
      <c r="O820">
        <v>84</v>
      </c>
      <c r="P820">
        <v>-8.67</v>
      </c>
      <c r="Q820">
        <v>91</v>
      </c>
      <c r="R820">
        <v>6.54</v>
      </c>
      <c r="S820">
        <v>78</v>
      </c>
      <c r="T820">
        <v>5.32</v>
      </c>
      <c r="U820">
        <v>86</v>
      </c>
      <c r="V820">
        <v>3.85</v>
      </c>
      <c r="W820">
        <v>82</v>
      </c>
      <c r="X820" t="s">
        <v>94</v>
      </c>
      <c r="Y820" t="s">
        <v>1128</v>
      </c>
      <c r="Z820" t="s">
        <v>96</v>
      </c>
      <c r="AA820" t="s">
        <v>1165</v>
      </c>
      <c r="AB820" t="s">
        <v>1243</v>
      </c>
      <c r="AC820">
        <v>81</v>
      </c>
      <c r="AD820">
        <v>57</v>
      </c>
      <c r="AE820">
        <v>95</v>
      </c>
      <c r="AF820">
        <v>55.74</v>
      </c>
      <c r="AG820">
        <v>14.73</v>
      </c>
      <c r="AH820">
        <v>5.71</v>
      </c>
      <c r="AI820">
        <v>0.21</v>
      </c>
      <c r="AJ820">
        <v>0.06</v>
      </c>
      <c r="AK820">
        <v>70</v>
      </c>
      <c r="AL820">
        <v>84</v>
      </c>
      <c r="AM820">
        <v>57</v>
      </c>
      <c r="AN820">
        <v>-2.62</v>
      </c>
      <c r="AO820">
        <v>0.97</v>
      </c>
      <c r="AP820">
        <v>183</v>
      </c>
      <c r="AQ820">
        <v>3</v>
      </c>
      <c r="AR820">
        <v>4.54</v>
      </c>
      <c r="AS820">
        <v>60</v>
      </c>
      <c r="AT820">
        <v>1.89</v>
      </c>
      <c r="AU820">
        <v>85</v>
      </c>
      <c r="AV820">
        <v>-3.55</v>
      </c>
      <c r="AW820">
        <v>96</v>
      </c>
      <c r="AX820">
        <v>0.37</v>
      </c>
      <c r="AY820">
        <v>80</v>
      </c>
      <c r="AZ820">
        <v>5.64</v>
      </c>
      <c r="BA820">
        <v>60</v>
      </c>
      <c r="BB820">
        <v>4.5199999999999996</v>
      </c>
      <c r="BC820">
        <v>67</v>
      </c>
      <c r="BD820">
        <v>-0.05</v>
      </c>
      <c r="BE820">
        <v>-0.03</v>
      </c>
      <c r="BF820">
        <v>-0.01</v>
      </c>
      <c r="BG820">
        <v>84</v>
      </c>
      <c r="BH820">
        <v>-0.01</v>
      </c>
      <c r="BI820">
        <v>-13.56</v>
      </c>
      <c r="BJ820">
        <v>36</v>
      </c>
      <c r="BK820">
        <v>20</v>
      </c>
      <c r="BL820">
        <v>-0.34</v>
      </c>
      <c r="BM820">
        <v>0</v>
      </c>
      <c r="BN820">
        <v>-0.6</v>
      </c>
      <c r="BO820">
        <v>-0.44</v>
      </c>
      <c r="BP820">
        <v>1.83</v>
      </c>
      <c r="BQ820">
        <v>-1.3</v>
      </c>
      <c r="BR820">
        <v>0.63</v>
      </c>
      <c r="BS820">
        <v>-0.95</v>
      </c>
      <c r="BT820">
        <v>-0.95</v>
      </c>
      <c r="BU820">
        <v>-1.26</v>
      </c>
      <c r="BV820">
        <v>-1.85</v>
      </c>
      <c r="BW820">
        <v>-1.88</v>
      </c>
      <c r="BX820">
        <v>0.31</v>
      </c>
      <c r="BY820">
        <v>-1.5</v>
      </c>
      <c r="BZ820">
        <v>-3.25</v>
      </c>
      <c r="CA820">
        <v>-1.87</v>
      </c>
      <c r="CB820">
        <v>-1.41</v>
      </c>
      <c r="CC820">
        <v>-2.0099999999999998</v>
      </c>
      <c r="CD820">
        <v>0.66</v>
      </c>
      <c r="CE820">
        <v>-0.42</v>
      </c>
      <c r="CF820">
        <v>-0.33</v>
      </c>
      <c r="CG820">
        <v>0</v>
      </c>
      <c r="CH820">
        <v>-2.37</v>
      </c>
      <c r="CI820">
        <v>0</v>
      </c>
      <c r="CJ820">
        <v>-1.6</v>
      </c>
      <c r="CK820">
        <v>92</v>
      </c>
      <c r="CL820">
        <v>-0.68</v>
      </c>
      <c r="CM820">
        <v>91</v>
      </c>
      <c r="CN820">
        <v>-0.11</v>
      </c>
      <c r="CO820">
        <v>89</v>
      </c>
      <c r="CP820">
        <v>-4.9000000000000004</v>
      </c>
      <c r="CQ820">
        <v>88</v>
      </c>
      <c r="CR820">
        <v>0</v>
      </c>
      <c r="CS820">
        <v>0</v>
      </c>
      <c r="CT820">
        <v>6.6</v>
      </c>
      <c r="CU820">
        <v>86</v>
      </c>
      <c r="CV820">
        <v>0.24</v>
      </c>
      <c r="CW820">
        <v>29</v>
      </c>
      <c r="CX820" t="s">
        <v>1244</v>
      </c>
    </row>
    <row r="821" spans="1:102" x14ac:dyDescent="0.3">
      <c r="A821" t="str">
        <f>HYPERLINK("https://webapp.icbf.com/v2/app/bull-search/view/949888611","WTC")</f>
        <v>WTC</v>
      </c>
      <c r="B821" t="s">
        <v>5912</v>
      </c>
      <c r="C821" t="s">
        <v>5913</v>
      </c>
      <c r="D821" s="1">
        <v>40944</v>
      </c>
      <c r="E821" t="s">
        <v>92</v>
      </c>
      <c r="F821">
        <v>56</v>
      </c>
      <c r="G821" t="s">
        <v>93</v>
      </c>
      <c r="H821">
        <v>157.32</v>
      </c>
      <c r="I821">
        <v>89</v>
      </c>
      <c r="J821">
        <v>44.68</v>
      </c>
      <c r="K821">
        <v>98</v>
      </c>
      <c r="L821">
        <v>94.22</v>
      </c>
      <c r="M821">
        <v>80</v>
      </c>
      <c r="N821">
        <v>27.56</v>
      </c>
      <c r="O821">
        <v>90</v>
      </c>
      <c r="P821">
        <v>-1.99</v>
      </c>
      <c r="Q821">
        <v>95</v>
      </c>
      <c r="R821">
        <v>-2.65</v>
      </c>
      <c r="S821">
        <v>82</v>
      </c>
      <c r="T821">
        <v>-2.16</v>
      </c>
      <c r="U821">
        <v>90</v>
      </c>
      <c r="V821">
        <v>-2.34</v>
      </c>
      <c r="W821">
        <v>77</v>
      </c>
      <c r="X821" t="s">
        <v>102</v>
      </c>
      <c r="Y821" t="s">
        <v>1976</v>
      </c>
      <c r="Z821" t="s">
        <v>330</v>
      </c>
      <c r="AA821" t="s">
        <v>1919</v>
      </c>
      <c r="AB821" t="s">
        <v>5914</v>
      </c>
      <c r="AC821">
        <v>203</v>
      </c>
      <c r="AD821">
        <v>95</v>
      </c>
      <c r="AE821">
        <v>98</v>
      </c>
      <c r="AF821">
        <v>-80.709999999999994</v>
      </c>
      <c r="AG821">
        <v>6.06</v>
      </c>
      <c r="AH821">
        <v>4.22</v>
      </c>
      <c r="AI821">
        <v>0.16</v>
      </c>
      <c r="AJ821">
        <v>0.12</v>
      </c>
      <c r="AK821">
        <v>80</v>
      </c>
      <c r="AL821">
        <v>205</v>
      </c>
      <c r="AM821">
        <v>104</v>
      </c>
      <c r="AN821">
        <v>-4.67</v>
      </c>
      <c r="AO821">
        <v>2.85</v>
      </c>
      <c r="AP821">
        <v>482</v>
      </c>
      <c r="AQ821">
        <v>4</v>
      </c>
      <c r="AR821">
        <v>7.56</v>
      </c>
      <c r="AS821">
        <v>80</v>
      </c>
      <c r="AT821">
        <v>2.62</v>
      </c>
      <c r="AU821">
        <v>93</v>
      </c>
      <c r="AV821">
        <v>-2.73</v>
      </c>
      <c r="AW821">
        <v>98</v>
      </c>
      <c r="AX821">
        <v>-0.3</v>
      </c>
      <c r="AY821">
        <v>88</v>
      </c>
      <c r="AZ821">
        <v>6.36</v>
      </c>
      <c r="BA821">
        <v>77</v>
      </c>
      <c r="BB821">
        <v>4.8600000000000003</v>
      </c>
      <c r="BC821">
        <v>71</v>
      </c>
      <c r="BD821">
        <v>0</v>
      </c>
      <c r="BE821">
        <v>-0.01</v>
      </c>
      <c r="BF821">
        <v>0.08</v>
      </c>
      <c r="BG821">
        <v>92</v>
      </c>
      <c r="BH821">
        <v>-0.01</v>
      </c>
      <c r="BI821">
        <v>6.39</v>
      </c>
      <c r="BJ821">
        <v>8</v>
      </c>
      <c r="BK821">
        <v>4</v>
      </c>
      <c r="BL821">
        <v>-1.0900000000000001</v>
      </c>
      <c r="BM821">
        <v>1.1499999999999999</v>
      </c>
      <c r="BN821">
        <v>-0.84</v>
      </c>
      <c r="BO821">
        <v>-1.29</v>
      </c>
      <c r="BP821">
        <v>0.28000000000000003</v>
      </c>
      <c r="BQ821">
        <v>0.66</v>
      </c>
      <c r="BR821">
        <v>0.43</v>
      </c>
      <c r="BS821">
        <v>0.06</v>
      </c>
      <c r="BT821">
        <v>-0.78</v>
      </c>
      <c r="BU821">
        <v>-0.9</v>
      </c>
      <c r="BV821">
        <v>-1.84</v>
      </c>
      <c r="BW821">
        <v>-1.88</v>
      </c>
      <c r="BX821">
        <v>-0.8</v>
      </c>
      <c r="BY821">
        <v>-0.76</v>
      </c>
      <c r="BZ821">
        <v>2.46</v>
      </c>
      <c r="CA821">
        <v>-1</v>
      </c>
      <c r="CB821">
        <v>-1.22</v>
      </c>
      <c r="CC821">
        <v>-0.16</v>
      </c>
      <c r="CD821">
        <v>1.64</v>
      </c>
      <c r="CE821">
        <v>-1</v>
      </c>
      <c r="CF821">
        <v>-0.09</v>
      </c>
      <c r="CG821">
        <v>0</v>
      </c>
      <c r="CH821">
        <v>-0.42</v>
      </c>
      <c r="CI821">
        <v>0</v>
      </c>
      <c r="CJ821">
        <v>-1.4</v>
      </c>
      <c r="CK821">
        <v>96</v>
      </c>
      <c r="CL821">
        <v>-0.37</v>
      </c>
      <c r="CM821">
        <v>95</v>
      </c>
      <c r="CN821">
        <v>-0.27</v>
      </c>
      <c r="CO821">
        <v>94</v>
      </c>
      <c r="CP821">
        <v>4</v>
      </c>
      <c r="CQ821">
        <v>88</v>
      </c>
      <c r="CR821">
        <v>0</v>
      </c>
      <c r="CS821">
        <v>0</v>
      </c>
      <c r="CT821">
        <v>16.7</v>
      </c>
      <c r="CU821">
        <v>90</v>
      </c>
      <c r="CV821">
        <v>7.0000000000000007E-2</v>
      </c>
      <c r="CW821">
        <v>46</v>
      </c>
      <c r="CX821" t="s">
        <v>2990</v>
      </c>
    </row>
    <row r="822" spans="1:102" x14ac:dyDescent="0.3">
      <c r="A822" t="str">
        <f>HYPERLINK("https://webapp.icbf.com/v2/app/bull-search/view/1371419093","JE2451")</f>
        <v>JE2451</v>
      </c>
      <c r="B822" t="s">
        <v>6213</v>
      </c>
      <c r="C822" t="s">
        <v>6214</v>
      </c>
      <c r="D822" s="1">
        <v>41853</v>
      </c>
      <c r="E822" t="s">
        <v>227</v>
      </c>
      <c r="F822">
        <v>0</v>
      </c>
      <c r="G822" t="s">
        <v>109</v>
      </c>
      <c r="H822">
        <v>157.31</v>
      </c>
      <c r="I822">
        <v>66</v>
      </c>
      <c r="J822">
        <v>42.78</v>
      </c>
      <c r="K822">
        <v>85</v>
      </c>
      <c r="L822">
        <v>109.63</v>
      </c>
      <c r="M822">
        <v>69</v>
      </c>
      <c r="N822">
        <v>-15.03</v>
      </c>
      <c r="O822">
        <v>52</v>
      </c>
      <c r="P822">
        <v>-47.96</v>
      </c>
      <c r="Q822">
        <v>36</v>
      </c>
      <c r="R822">
        <v>1.99</v>
      </c>
      <c r="S822">
        <v>55</v>
      </c>
      <c r="T822">
        <v>59.34</v>
      </c>
      <c r="U822">
        <v>35</v>
      </c>
      <c r="V822">
        <v>6.56</v>
      </c>
      <c r="W822">
        <v>52</v>
      </c>
      <c r="X822" t="s">
        <v>94</v>
      </c>
      <c r="Y822" t="s">
        <v>429</v>
      </c>
      <c r="Z822">
        <v>0</v>
      </c>
      <c r="AA822" t="s">
        <v>6215</v>
      </c>
      <c r="AB822" t="s">
        <v>144</v>
      </c>
      <c r="AC822">
        <v>0</v>
      </c>
      <c r="AD822">
        <v>0</v>
      </c>
      <c r="AE822">
        <v>85</v>
      </c>
      <c r="AF822">
        <v>-628.79999999999995</v>
      </c>
      <c r="AG822">
        <v>7.38</v>
      </c>
      <c r="AH822">
        <v>-4.96</v>
      </c>
      <c r="AI822">
        <v>0.62</v>
      </c>
      <c r="AJ822">
        <v>0.32</v>
      </c>
      <c r="AK822">
        <v>69</v>
      </c>
      <c r="AL822">
        <v>0</v>
      </c>
      <c r="AM822">
        <v>0</v>
      </c>
      <c r="AN822">
        <v>-4.63</v>
      </c>
      <c r="AO822">
        <v>4.13</v>
      </c>
      <c r="AP822">
        <v>10</v>
      </c>
      <c r="AQ822">
        <v>0</v>
      </c>
      <c r="AR822">
        <v>5.04</v>
      </c>
      <c r="AS822">
        <v>42</v>
      </c>
      <c r="AT822">
        <v>2.38</v>
      </c>
      <c r="AU822">
        <v>53</v>
      </c>
      <c r="AV822">
        <v>0.61</v>
      </c>
      <c r="AW822">
        <v>63</v>
      </c>
      <c r="AX822">
        <v>7.8</v>
      </c>
      <c r="AY822">
        <v>42</v>
      </c>
      <c r="AZ822">
        <v>7.09</v>
      </c>
      <c r="BA822">
        <v>36</v>
      </c>
      <c r="BB822">
        <v>5.18</v>
      </c>
      <c r="BC822">
        <v>35</v>
      </c>
      <c r="BD822">
        <v>-7.0000000000000007E-2</v>
      </c>
      <c r="BE822">
        <v>-0.01</v>
      </c>
      <c r="BF822">
        <v>0.09</v>
      </c>
      <c r="BG822">
        <v>61</v>
      </c>
      <c r="BH822">
        <v>0.02</v>
      </c>
      <c r="BI822">
        <v>-18.86</v>
      </c>
      <c r="BJ822">
        <v>0</v>
      </c>
      <c r="BK822">
        <v>0</v>
      </c>
      <c r="BL822">
        <v>-0.83</v>
      </c>
      <c r="BM822">
        <v>-1.17</v>
      </c>
      <c r="BN822">
        <v>7.0000000000000007E-2</v>
      </c>
      <c r="BO822">
        <v>1.28</v>
      </c>
      <c r="BP822">
        <v>-0.27</v>
      </c>
      <c r="BQ822">
        <v>-3.87</v>
      </c>
      <c r="BR822">
        <v>1.88</v>
      </c>
      <c r="BS822">
        <v>5.62</v>
      </c>
      <c r="BT822">
        <v>-1.01</v>
      </c>
      <c r="BU822">
        <v>0.81</v>
      </c>
      <c r="BV822">
        <v>0.86</v>
      </c>
      <c r="BW822">
        <v>-0.94</v>
      </c>
      <c r="BX822">
        <v>-1.64</v>
      </c>
      <c r="BY822">
        <v>0.28999999999999998</v>
      </c>
      <c r="BZ822">
        <v>0.49</v>
      </c>
      <c r="CA822">
        <v>2.04</v>
      </c>
      <c r="CB822">
        <v>0.87</v>
      </c>
      <c r="CC822">
        <v>3.52</v>
      </c>
      <c r="CD822">
        <v>-1.77</v>
      </c>
      <c r="CE822">
        <v>1.31</v>
      </c>
      <c r="CF822">
        <v>-0.61</v>
      </c>
      <c r="CG822">
        <v>0</v>
      </c>
      <c r="CH822">
        <v>-0.35</v>
      </c>
      <c r="CI822">
        <v>0</v>
      </c>
      <c r="CJ822">
        <v>-25.6</v>
      </c>
      <c r="CK822">
        <v>36</v>
      </c>
      <c r="CL822">
        <v>-0.96</v>
      </c>
      <c r="CM822">
        <v>35</v>
      </c>
      <c r="CN822">
        <v>-0.33</v>
      </c>
      <c r="CO822">
        <v>35</v>
      </c>
      <c r="CP822">
        <v>-43.9</v>
      </c>
      <c r="CQ822">
        <v>35</v>
      </c>
      <c r="CR822">
        <v>0</v>
      </c>
      <c r="CS822">
        <v>0</v>
      </c>
      <c r="CT822">
        <v>-66.400000000000006</v>
      </c>
      <c r="CU822">
        <v>35</v>
      </c>
      <c r="CV822">
        <v>-0.2</v>
      </c>
      <c r="CW822">
        <v>32</v>
      </c>
      <c r="CX822" t="s">
        <v>2021</v>
      </c>
    </row>
    <row r="823" spans="1:102" x14ac:dyDescent="0.3">
      <c r="A823" t="str">
        <f>HYPERLINK("https://webapp.icbf.com/v2/app/bull-search/view/1352502395","FR4132")</f>
        <v>FR4132</v>
      </c>
      <c r="B823" t="s">
        <v>14572</v>
      </c>
      <c r="C823" t="s">
        <v>14573</v>
      </c>
      <c r="D823" s="1">
        <v>42388</v>
      </c>
      <c r="E823" t="s">
        <v>92</v>
      </c>
      <c r="F823">
        <v>78</v>
      </c>
      <c r="G823" t="s">
        <v>435</v>
      </c>
      <c r="H823">
        <v>157.31</v>
      </c>
      <c r="I823">
        <v>75</v>
      </c>
      <c r="J823">
        <v>76.319999999999993</v>
      </c>
      <c r="K823">
        <v>89</v>
      </c>
      <c r="L823">
        <v>33.31</v>
      </c>
      <c r="M823">
        <v>64</v>
      </c>
      <c r="N823">
        <v>44.09</v>
      </c>
      <c r="O823">
        <v>89</v>
      </c>
      <c r="P823">
        <v>-1.08</v>
      </c>
      <c r="Q823">
        <v>82</v>
      </c>
      <c r="R823">
        <v>-0.41</v>
      </c>
      <c r="S823">
        <v>65</v>
      </c>
      <c r="T823">
        <v>-2.5299999999999998</v>
      </c>
      <c r="U823">
        <v>54</v>
      </c>
      <c r="V823">
        <v>7.61</v>
      </c>
      <c r="W823">
        <v>59</v>
      </c>
      <c r="X823" t="s">
        <v>102</v>
      </c>
      <c r="Y823" t="s">
        <v>436</v>
      </c>
      <c r="Z823" t="s">
        <v>96</v>
      </c>
      <c r="AA823" t="s">
        <v>2372</v>
      </c>
      <c r="AB823" t="s">
        <v>14574</v>
      </c>
      <c r="AC823">
        <v>0</v>
      </c>
      <c r="AD823">
        <v>0</v>
      </c>
      <c r="AE823">
        <v>89</v>
      </c>
      <c r="AF823">
        <v>336.83</v>
      </c>
      <c r="AG823">
        <v>10.19</v>
      </c>
      <c r="AH823">
        <v>14.53</v>
      </c>
      <c r="AI823">
        <v>-0.05</v>
      </c>
      <c r="AJ823">
        <v>0.05</v>
      </c>
      <c r="AK823">
        <v>64</v>
      </c>
      <c r="AL823">
        <v>0</v>
      </c>
      <c r="AM823">
        <v>0</v>
      </c>
      <c r="AN823">
        <v>-0.79</v>
      </c>
      <c r="AO823">
        <v>1.88</v>
      </c>
      <c r="AP823">
        <v>2361</v>
      </c>
      <c r="AQ823">
        <v>7</v>
      </c>
      <c r="AR823">
        <v>5.61</v>
      </c>
      <c r="AS823">
        <v>95</v>
      </c>
      <c r="AT823">
        <v>2.2400000000000002</v>
      </c>
      <c r="AU823">
        <v>98</v>
      </c>
      <c r="AV823">
        <v>-4.2</v>
      </c>
      <c r="AW823">
        <v>99</v>
      </c>
      <c r="AX823">
        <v>-0.54</v>
      </c>
      <c r="AY823">
        <v>97</v>
      </c>
      <c r="AZ823">
        <v>5.57</v>
      </c>
      <c r="BA823">
        <v>46</v>
      </c>
      <c r="BB823">
        <v>5.69</v>
      </c>
      <c r="BC823">
        <v>45</v>
      </c>
      <c r="BD823">
        <v>-0.01</v>
      </c>
      <c r="BE823">
        <v>0.04</v>
      </c>
      <c r="BF823">
        <v>-0.05</v>
      </c>
      <c r="BG823">
        <v>74</v>
      </c>
      <c r="BH823">
        <v>0.02</v>
      </c>
      <c r="BI823">
        <v>-22.25</v>
      </c>
      <c r="BJ823">
        <v>0</v>
      </c>
      <c r="BK823">
        <v>0</v>
      </c>
      <c r="BL823">
        <v>-0.72</v>
      </c>
      <c r="BM823">
        <v>2.1800000000000002</v>
      </c>
      <c r="BN823">
        <v>-7.0000000000000007E-2</v>
      </c>
      <c r="BO823">
        <v>-1.62</v>
      </c>
      <c r="BP823">
        <v>1.63</v>
      </c>
      <c r="BQ823">
        <v>-0.18</v>
      </c>
      <c r="BR823">
        <v>0.22</v>
      </c>
      <c r="BS823">
        <v>-1.1599999999999999</v>
      </c>
      <c r="BT823">
        <v>0.56999999999999995</v>
      </c>
      <c r="BU823">
        <v>-1.99</v>
      </c>
      <c r="BV823">
        <v>-1.95</v>
      </c>
      <c r="BW823">
        <v>-0.93</v>
      </c>
      <c r="BX823">
        <v>-0.95</v>
      </c>
      <c r="BY823">
        <v>-2.2599999999999998</v>
      </c>
      <c r="BZ823">
        <v>-0.74</v>
      </c>
      <c r="CA823">
        <v>-0.73</v>
      </c>
      <c r="CB823">
        <v>-1.31</v>
      </c>
      <c r="CC823">
        <v>-0.25</v>
      </c>
      <c r="CD823">
        <v>1.49</v>
      </c>
      <c r="CE823">
        <v>-1.1200000000000001</v>
      </c>
      <c r="CF823">
        <v>-0.45</v>
      </c>
      <c r="CG823">
        <v>0</v>
      </c>
      <c r="CH823">
        <v>-1.67</v>
      </c>
      <c r="CI823">
        <v>0</v>
      </c>
      <c r="CJ823">
        <v>0.4</v>
      </c>
      <c r="CK823">
        <v>86</v>
      </c>
      <c r="CL823">
        <v>-0.31</v>
      </c>
      <c r="CM823">
        <v>81</v>
      </c>
      <c r="CN823">
        <v>-0.14000000000000001</v>
      </c>
      <c r="CO823">
        <v>79</v>
      </c>
      <c r="CP823">
        <v>-0.5</v>
      </c>
      <c r="CQ823">
        <v>58</v>
      </c>
      <c r="CR823">
        <v>0</v>
      </c>
      <c r="CS823">
        <v>0</v>
      </c>
      <c r="CT823">
        <v>17.2</v>
      </c>
      <c r="CU823">
        <v>54</v>
      </c>
      <c r="CV823">
        <v>0.08</v>
      </c>
      <c r="CW823">
        <v>44</v>
      </c>
      <c r="CX823" t="s">
        <v>6284</v>
      </c>
    </row>
    <row r="824" spans="1:102" x14ac:dyDescent="0.3">
      <c r="A824" t="str">
        <f>HYPERLINK("https://webapp.icbf.com/v2/app/bull-search/view/668852379","DYB")</f>
        <v>DYB</v>
      </c>
      <c r="B824" t="s">
        <v>5376</v>
      </c>
      <c r="C824" t="s">
        <v>5377</v>
      </c>
      <c r="D824" s="1">
        <v>39855</v>
      </c>
      <c r="E824" t="s">
        <v>227</v>
      </c>
      <c r="F824">
        <v>0</v>
      </c>
      <c r="G824" t="s">
        <v>93</v>
      </c>
      <c r="H824">
        <v>157.27000000000001</v>
      </c>
      <c r="I824">
        <v>78</v>
      </c>
      <c r="J824">
        <v>29.13</v>
      </c>
      <c r="K824">
        <v>94</v>
      </c>
      <c r="L824">
        <v>82.21</v>
      </c>
      <c r="M824">
        <v>63</v>
      </c>
      <c r="N824">
        <v>42.61</v>
      </c>
      <c r="O824">
        <v>80</v>
      </c>
      <c r="P824">
        <v>-56.44</v>
      </c>
      <c r="Q824">
        <v>88</v>
      </c>
      <c r="R824">
        <v>4.51</v>
      </c>
      <c r="S824">
        <v>67</v>
      </c>
      <c r="T824">
        <v>46.9</v>
      </c>
      <c r="U824">
        <v>77</v>
      </c>
      <c r="V824">
        <v>8.35</v>
      </c>
      <c r="W824">
        <v>66</v>
      </c>
      <c r="X824" t="s">
        <v>94</v>
      </c>
      <c r="Y824" t="s">
        <v>329</v>
      </c>
      <c r="Z824">
        <v>0</v>
      </c>
      <c r="AA824" t="s">
        <v>5378</v>
      </c>
      <c r="AB824" t="s">
        <v>5379</v>
      </c>
      <c r="AC824">
        <v>60</v>
      </c>
      <c r="AD824">
        <v>45</v>
      </c>
      <c r="AE824">
        <v>94</v>
      </c>
      <c r="AF824">
        <v>-419.97</v>
      </c>
      <c r="AG824">
        <v>11.69</v>
      </c>
      <c r="AH824">
        <v>-5.61</v>
      </c>
      <c r="AI824">
        <v>0.5</v>
      </c>
      <c r="AJ824">
        <v>0.16</v>
      </c>
      <c r="AK824">
        <v>63</v>
      </c>
      <c r="AL824">
        <v>66</v>
      </c>
      <c r="AM824">
        <v>47</v>
      </c>
      <c r="AN824">
        <v>-4.1900000000000004</v>
      </c>
      <c r="AO824">
        <v>2.37</v>
      </c>
      <c r="AP824">
        <v>149</v>
      </c>
      <c r="AQ824">
        <v>2</v>
      </c>
      <c r="AR824">
        <v>3.57</v>
      </c>
      <c r="AS824">
        <v>73</v>
      </c>
      <c r="AT824">
        <v>1.9</v>
      </c>
      <c r="AU824">
        <v>78</v>
      </c>
      <c r="AV824">
        <v>-3.3</v>
      </c>
      <c r="AW824">
        <v>95</v>
      </c>
      <c r="AX824">
        <v>1.34</v>
      </c>
      <c r="AY824">
        <v>74</v>
      </c>
      <c r="AZ824">
        <v>5.72</v>
      </c>
      <c r="BA824">
        <v>53</v>
      </c>
      <c r="BB824">
        <v>4.7300000000000004</v>
      </c>
      <c r="BC824">
        <v>56</v>
      </c>
      <c r="BD824">
        <v>-7.0000000000000007E-2</v>
      </c>
      <c r="BE824">
        <v>-0.03</v>
      </c>
      <c r="BF824">
        <v>7.0000000000000007E-2</v>
      </c>
      <c r="BG824">
        <v>78</v>
      </c>
      <c r="BH824">
        <v>0.13</v>
      </c>
      <c r="BI824">
        <v>-11.9</v>
      </c>
      <c r="BJ824">
        <v>1</v>
      </c>
      <c r="BK824">
        <v>1</v>
      </c>
      <c r="BL824">
        <v>-2.48</v>
      </c>
      <c r="BM824">
        <v>-1.1499999999999999</v>
      </c>
      <c r="BN824">
        <v>-0.25</v>
      </c>
      <c r="BO824">
        <v>0.8</v>
      </c>
      <c r="BP824">
        <v>-0.28999999999999998</v>
      </c>
      <c r="BQ824">
        <v>-5.45</v>
      </c>
      <c r="BR824">
        <v>3.05</v>
      </c>
      <c r="BS824">
        <v>6.4</v>
      </c>
      <c r="BT824">
        <v>-2.16</v>
      </c>
      <c r="BU824">
        <v>-0.75</v>
      </c>
      <c r="BV824">
        <v>-0.51</v>
      </c>
      <c r="BW824">
        <v>-2.44</v>
      </c>
      <c r="BX824">
        <v>-3.86</v>
      </c>
      <c r="BY824">
        <v>-0.44</v>
      </c>
      <c r="BZ824">
        <v>-0.75</v>
      </c>
      <c r="CA824">
        <v>1.19</v>
      </c>
      <c r="CB824">
        <v>-0.35</v>
      </c>
      <c r="CC824">
        <v>3.89</v>
      </c>
      <c r="CD824">
        <v>-1.63</v>
      </c>
      <c r="CE824">
        <v>0.65</v>
      </c>
      <c r="CF824">
        <v>-2.33</v>
      </c>
      <c r="CG824">
        <v>0</v>
      </c>
      <c r="CH824">
        <v>-0.64</v>
      </c>
      <c r="CI824">
        <v>0</v>
      </c>
      <c r="CJ824">
        <v>-25.9</v>
      </c>
      <c r="CK824">
        <v>90</v>
      </c>
      <c r="CL824">
        <v>-1.26</v>
      </c>
      <c r="CM824">
        <v>87</v>
      </c>
      <c r="CN824">
        <v>0.12</v>
      </c>
      <c r="CO824">
        <v>86</v>
      </c>
      <c r="CP824">
        <v>-41.9</v>
      </c>
      <c r="CQ824">
        <v>79</v>
      </c>
      <c r="CR824">
        <v>0</v>
      </c>
      <c r="CS824">
        <v>0</v>
      </c>
      <c r="CT824">
        <v>-49.6</v>
      </c>
      <c r="CU824">
        <v>77</v>
      </c>
      <c r="CV824">
        <v>-0.14000000000000001</v>
      </c>
      <c r="CW824">
        <v>26</v>
      </c>
      <c r="CX824" t="s">
        <v>5314</v>
      </c>
    </row>
    <row r="825" spans="1:102" x14ac:dyDescent="0.3">
      <c r="A825" t="str">
        <f>HYPERLINK("https://webapp.icbf.com/v2/app/bull-search/view/1196697903","S2245")</f>
        <v>S2245</v>
      </c>
      <c r="B825" t="s">
        <v>2116</v>
      </c>
      <c r="C825" t="s">
        <v>458</v>
      </c>
      <c r="D825" s="1">
        <v>41233</v>
      </c>
      <c r="E825" t="s">
        <v>92</v>
      </c>
      <c r="F825">
        <v>100</v>
      </c>
      <c r="G825" t="s">
        <v>109</v>
      </c>
      <c r="H825">
        <v>157.25</v>
      </c>
      <c r="I825">
        <v>81</v>
      </c>
      <c r="J825">
        <v>81.010000000000005</v>
      </c>
      <c r="K825">
        <v>95</v>
      </c>
      <c r="L825">
        <v>29.03</v>
      </c>
      <c r="M825">
        <v>86</v>
      </c>
      <c r="N825">
        <v>53.03</v>
      </c>
      <c r="O825">
        <v>79</v>
      </c>
      <c r="P825">
        <v>-19.07</v>
      </c>
      <c r="Q825">
        <v>56</v>
      </c>
      <c r="R825">
        <v>10.119999999999999</v>
      </c>
      <c r="S825">
        <v>74</v>
      </c>
      <c r="T825">
        <v>-1.1200000000000001</v>
      </c>
      <c r="U825">
        <v>42</v>
      </c>
      <c r="V825">
        <v>4.25</v>
      </c>
      <c r="W825">
        <v>54</v>
      </c>
      <c r="X825" t="s">
        <v>234</v>
      </c>
      <c r="Y825" t="s">
        <v>367</v>
      </c>
      <c r="Z825" t="s">
        <v>96</v>
      </c>
      <c r="AA825" t="s">
        <v>465</v>
      </c>
      <c r="AB825" t="s">
        <v>2117</v>
      </c>
      <c r="AC825">
        <v>40</v>
      </c>
      <c r="AD825">
        <v>13</v>
      </c>
      <c r="AE825">
        <v>95</v>
      </c>
      <c r="AF825">
        <v>450.02</v>
      </c>
      <c r="AG825">
        <v>18.559999999999999</v>
      </c>
      <c r="AH825">
        <v>14.1</v>
      </c>
      <c r="AI825">
        <v>0.02</v>
      </c>
      <c r="AJ825">
        <v>-0.02</v>
      </c>
      <c r="AK825">
        <v>86</v>
      </c>
      <c r="AL825">
        <v>0</v>
      </c>
      <c r="AM825">
        <v>0</v>
      </c>
      <c r="AN825">
        <v>-1.98</v>
      </c>
      <c r="AO825">
        <v>0.33</v>
      </c>
      <c r="AP825">
        <v>98</v>
      </c>
      <c r="AQ825">
        <v>0</v>
      </c>
      <c r="AR825">
        <v>4.3600000000000003</v>
      </c>
      <c r="AS825">
        <v>81</v>
      </c>
      <c r="AT825">
        <v>1.84</v>
      </c>
      <c r="AU825">
        <v>91</v>
      </c>
      <c r="AV825">
        <v>-4.01</v>
      </c>
      <c r="AW825">
        <v>88</v>
      </c>
      <c r="AX825">
        <v>-0.64</v>
      </c>
      <c r="AY825">
        <v>73</v>
      </c>
      <c r="AZ825">
        <v>5.34</v>
      </c>
      <c r="BA825">
        <v>55</v>
      </c>
      <c r="BB825">
        <v>4.6900000000000004</v>
      </c>
      <c r="BC825">
        <v>39</v>
      </c>
      <c r="BD825">
        <v>-0.01</v>
      </c>
      <c r="BE825">
        <v>-0.04</v>
      </c>
      <c r="BF825">
        <v>-0.14000000000000001</v>
      </c>
      <c r="BG825">
        <v>92</v>
      </c>
      <c r="BH825">
        <v>0.02</v>
      </c>
      <c r="BI825">
        <v>-11.39</v>
      </c>
      <c r="BJ825">
        <v>13</v>
      </c>
      <c r="BK825">
        <v>7</v>
      </c>
      <c r="BL825">
        <v>2.09</v>
      </c>
      <c r="BM825">
        <v>-0.37</v>
      </c>
      <c r="BN825">
        <v>7.0000000000000007E-2</v>
      </c>
      <c r="BO825">
        <v>0.78</v>
      </c>
      <c r="BP825">
        <v>0</v>
      </c>
      <c r="BQ825">
        <v>2.19</v>
      </c>
      <c r="BR825">
        <v>0.25</v>
      </c>
      <c r="BS825">
        <v>1.97</v>
      </c>
      <c r="BT825">
        <v>-0.43</v>
      </c>
      <c r="BU825">
        <v>1.69</v>
      </c>
      <c r="BV825">
        <v>2.71</v>
      </c>
      <c r="BW825">
        <v>2.62</v>
      </c>
      <c r="BX825">
        <v>2.2400000000000002</v>
      </c>
      <c r="BY825">
        <v>0.08</v>
      </c>
      <c r="BZ825">
        <v>1.47</v>
      </c>
      <c r="CA825">
        <v>2.3199999999999998</v>
      </c>
      <c r="CB825">
        <v>1.76</v>
      </c>
      <c r="CC825">
        <v>2.13</v>
      </c>
      <c r="CD825">
        <v>-0.78</v>
      </c>
      <c r="CE825">
        <v>1.91</v>
      </c>
      <c r="CF825">
        <v>1.42</v>
      </c>
      <c r="CG825">
        <v>0</v>
      </c>
      <c r="CH825">
        <v>-0.13</v>
      </c>
      <c r="CI825">
        <v>0</v>
      </c>
      <c r="CJ825">
        <v>-9.6</v>
      </c>
      <c r="CK825">
        <v>58</v>
      </c>
      <c r="CL825">
        <v>-1.56</v>
      </c>
      <c r="CM825">
        <v>54</v>
      </c>
      <c r="CN825">
        <v>-0.87</v>
      </c>
      <c r="CO825">
        <v>53</v>
      </c>
      <c r="CP825">
        <v>0.6</v>
      </c>
      <c r="CQ825">
        <v>46</v>
      </c>
      <c r="CR825">
        <v>0</v>
      </c>
      <c r="CS825">
        <v>0</v>
      </c>
      <c r="CT825">
        <v>15.3</v>
      </c>
      <c r="CU825">
        <v>42</v>
      </c>
      <c r="CV825">
        <v>0.21</v>
      </c>
      <c r="CW825">
        <v>37</v>
      </c>
      <c r="CX825" t="s">
        <v>1572</v>
      </c>
    </row>
    <row r="826" spans="1:102" x14ac:dyDescent="0.3">
      <c r="A826" t="str">
        <f>HYPERLINK("https://webapp.icbf.com/v2/app/bull-search/view/586155269","OJT")</f>
        <v>OJT</v>
      </c>
      <c r="B826" t="s">
        <v>1740</v>
      </c>
      <c r="C826" t="s">
        <v>1741</v>
      </c>
      <c r="D826" s="1">
        <v>38209</v>
      </c>
      <c r="E826" t="s">
        <v>92</v>
      </c>
      <c r="F826">
        <v>100</v>
      </c>
      <c r="G826" t="s">
        <v>93</v>
      </c>
      <c r="H826">
        <v>157.04</v>
      </c>
      <c r="I826">
        <v>96</v>
      </c>
      <c r="J826">
        <v>75.900000000000006</v>
      </c>
      <c r="K826">
        <v>99</v>
      </c>
      <c r="L826">
        <v>42.42</v>
      </c>
      <c r="M826">
        <v>92</v>
      </c>
      <c r="N826">
        <v>20.85</v>
      </c>
      <c r="O826">
        <v>96</v>
      </c>
      <c r="P826">
        <v>-5.57</v>
      </c>
      <c r="Q826">
        <v>99</v>
      </c>
      <c r="R826">
        <v>15.21</v>
      </c>
      <c r="S826">
        <v>91</v>
      </c>
      <c r="T826">
        <v>2.58</v>
      </c>
      <c r="U826">
        <v>97</v>
      </c>
      <c r="V826">
        <v>5.65</v>
      </c>
      <c r="W826">
        <v>91</v>
      </c>
      <c r="X826" t="s">
        <v>102</v>
      </c>
      <c r="Y826" t="s">
        <v>282</v>
      </c>
      <c r="Z826" t="s">
        <v>96</v>
      </c>
      <c r="AA826" t="s">
        <v>316</v>
      </c>
      <c r="AB826" t="s">
        <v>1742</v>
      </c>
      <c r="AC826">
        <v>756</v>
      </c>
      <c r="AD826">
        <v>221</v>
      </c>
      <c r="AE826">
        <v>99</v>
      </c>
      <c r="AF826">
        <v>294.3</v>
      </c>
      <c r="AG826">
        <v>16.63</v>
      </c>
      <c r="AH826">
        <v>11.53</v>
      </c>
      <c r="AI826">
        <v>0.09</v>
      </c>
      <c r="AJ826">
        <v>0.03</v>
      </c>
      <c r="AK826">
        <v>92</v>
      </c>
      <c r="AL826">
        <v>924</v>
      </c>
      <c r="AM826">
        <v>307</v>
      </c>
      <c r="AN826">
        <v>-1.77</v>
      </c>
      <c r="AO826">
        <v>1.62</v>
      </c>
      <c r="AP826">
        <v>1478</v>
      </c>
      <c r="AQ826">
        <v>4</v>
      </c>
      <c r="AR826">
        <v>5.07</v>
      </c>
      <c r="AS826">
        <v>94</v>
      </c>
      <c r="AT826">
        <v>2.02</v>
      </c>
      <c r="AU826">
        <v>97</v>
      </c>
      <c r="AV826">
        <v>-1.27</v>
      </c>
      <c r="AW826">
        <v>99</v>
      </c>
      <c r="AX826">
        <v>-0.51</v>
      </c>
      <c r="AY826">
        <v>97</v>
      </c>
      <c r="AZ826">
        <v>7.58</v>
      </c>
      <c r="BA826">
        <v>90</v>
      </c>
      <c r="BB826">
        <v>5.56</v>
      </c>
      <c r="BC826">
        <v>91</v>
      </c>
      <c r="BD826">
        <v>-7.0000000000000007E-2</v>
      </c>
      <c r="BE826">
        <v>-7.0000000000000007E-2</v>
      </c>
      <c r="BF826">
        <v>-0.1</v>
      </c>
      <c r="BG826">
        <v>97</v>
      </c>
      <c r="BH826">
        <v>-0.05</v>
      </c>
      <c r="BI826">
        <v>-24</v>
      </c>
      <c r="BJ826">
        <v>60</v>
      </c>
      <c r="BK826">
        <v>19</v>
      </c>
      <c r="BL826">
        <v>0.14000000000000001</v>
      </c>
      <c r="BM826">
        <v>0.54</v>
      </c>
      <c r="BN826">
        <v>-0.09</v>
      </c>
      <c r="BO826">
        <v>-0.08</v>
      </c>
      <c r="BP826">
        <v>1.53</v>
      </c>
      <c r="BQ826">
        <v>1.45</v>
      </c>
      <c r="BR826">
        <v>-1.65</v>
      </c>
      <c r="BS826">
        <v>-1.37</v>
      </c>
      <c r="BT826">
        <v>1.34</v>
      </c>
      <c r="BU826">
        <v>0.06</v>
      </c>
      <c r="BV826">
        <v>0.89</v>
      </c>
      <c r="BW826">
        <v>-0.21</v>
      </c>
      <c r="BX826">
        <v>0.37</v>
      </c>
      <c r="BY826">
        <v>1.87</v>
      </c>
      <c r="BZ826">
        <v>-0.92</v>
      </c>
      <c r="CA826">
        <v>0.16</v>
      </c>
      <c r="CB826">
        <v>0.59</v>
      </c>
      <c r="CC826">
        <v>-0.83</v>
      </c>
      <c r="CD826">
        <v>0.5</v>
      </c>
      <c r="CE826">
        <v>0.19</v>
      </c>
      <c r="CF826">
        <v>0.59</v>
      </c>
      <c r="CG826">
        <v>0</v>
      </c>
      <c r="CH826">
        <v>1.55</v>
      </c>
      <c r="CI826">
        <v>0</v>
      </c>
      <c r="CJ826">
        <v>-1.2</v>
      </c>
      <c r="CK826">
        <v>99</v>
      </c>
      <c r="CL826">
        <v>-0.59</v>
      </c>
      <c r="CM826">
        <v>99</v>
      </c>
      <c r="CN826">
        <v>-0.21</v>
      </c>
      <c r="CO826">
        <v>99</v>
      </c>
      <c r="CP826">
        <v>-1.9</v>
      </c>
      <c r="CQ826">
        <v>98</v>
      </c>
      <c r="CR826">
        <v>0</v>
      </c>
      <c r="CS826">
        <v>0</v>
      </c>
      <c r="CT826">
        <v>10.3</v>
      </c>
      <c r="CU826">
        <v>97</v>
      </c>
      <c r="CV826">
        <v>0.17</v>
      </c>
      <c r="CW826">
        <v>49</v>
      </c>
      <c r="CX826" t="s">
        <v>291</v>
      </c>
    </row>
    <row r="827" spans="1:102" x14ac:dyDescent="0.3">
      <c r="A827" t="str">
        <f>HYPERLINK("https://webapp.icbf.com/v2/app/bull-search/view/949897334","YRC")</f>
        <v>YRC</v>
      </c>
      <c r="B827" t="s">
        <v>13237</v>
      </c>
      <c r="C827" t="s">
        <v>2386</v>
      </c>
      <c r="D827" s="1">
        <v>40949</v>
      </c>
      <c r="E827" t="s">
        <v>92</v>
      </c>
      <c r="F827">
        <v>53</v>
      </c>
      <c r="G827" t="s">
        <v>93</v>
      </c>
      <c r="H827">
        <v>156.97999999999999</v>
      </c>
      <c r="I827">
        <v>94</v>
      </c>
      <c r="J827">
        <v>73.67</v>
      </c>
      <c r="K827">
        <v>99</v>
      </c>
      <c r="L827">
        <v>47.22</v>
      </c>
      <c r="M827">
        <v>88</v>
      </c>
      <c r="N827">
        <v>35.24</v>
      </c>
      <c r="O827">
        <v>96</v>
      </c>
      <c r="P827">
        <v>-23.58</v>
      </c>
      <c r="Q827">
        <v>99</v>
      </c>
      <c r="R827">
        <v>11.76</v>
      </c>
      <c r="S827">
        <v>89</v>
      </c>
      <c r="T827">
        <v>11.83</v>
      </c>
      <c r="U827">
        <v>94</v>
      </c>
      <c r="V827">
        <v>0.84</v>
      </c>
      <c r="W827">
        <v>81</v>
      </c>
      <c r="X827" t="s">
        <v>276</v>
      </c>
      <c r="Y827" t="s">
        <v>1923</v>
      </c>
      <c r="Z827" t="s">
        <v>96</v>
      </c>
      <c r="AA827" t="s">
        <v>1942</v>
      </c>
      <c r="AB827" t="s">
        <v>13238</v>
      </c>
      <c r="AC827">
        <v>1005</v>
      </c>
      <c r="AD827">
        <v>333</v>
      </c>
      <c r="AE827">
        <v>99</v>
      </c>
      <c r="AF827">
        <v>174.33</v>
      </c>
      <c r="AG827">
        <v>9.9700000000000006</v>
      </c>
      <c r="AH827">
        <v>11.67</v>
      </c>
      <c r="AI827">
        <v>0.05</v>
      </c>
      <c r="AJ827">
        <v>0.1</v>
      </c>
      <c r="AK827">
        <v>88</v>
      </c>
      <c r="AL827">
        <v>844</v>
      </c>
      <c r="AM827">
        <v>345</v>
      </c>
      <c r="AN827">
        <v>-1.47</v>
      </c>
      <c r="AO827">
        <v>2.31</v>
      </c>
      <c r="AP827">
        <v>2315</v>
      </c>
      <c r="AQ827">
        <v>3</v>
      </c>
      <c r="AR827">
        <v>6.54</v>
      </c>
      <c r="AS827">
        <v>98</v>
      </c>
      <c r="AT827">
        <v>2.14</v>
      </c>
      <c r="AU827">
        <v>97</v>
      </c>
      <c r="AV827">
        <v>-3.66</v>
      </c>
      <c r="AW827">
        <v>99</v>
      </c>
      <c r="AX827">
        <v>-0.31</v>
      </c>
      <c r="AY827">
        <v>97</v>
      </c>
      <c r="AZ827">
        <v>7.96</v>
      </c>
      <c r="BA827">
        <v>91</v>
      </c>
      <c r="BB827">
        <v>5.49</v>
      </c>
      <c r="BC827">
        <v>83</v>
      </c>
      <c r="BD827">
        <v>-0.05</v>
      </c>
      <c r="BE827">
        <v>-0.03</v>
      </c>
      <c r="BF827">
        <v>-0.13</v>
      </c>
      <c r="BG827">
        <v>97</v>
      </c>
      <c r="BH827">
        <v>0.08</v>
      </c>
      <c r="BI827">
        <v>6.54</v>
      </c>
      <c r="BJ827">
        <v>7</v>
      </c>
      <c r="BK827">
        <v>5</v>
      </c>
      <c r="BL827">
        <v>-1.31</v>
      </c>
      <c r="BM827">
        <v>1.27</v>
      </c>
      <c r="BN827">
        <v>-1.38</v>
      </c>
      <c r="BO827">
        <v>-1.99</v>
      </c>
      <c r="BP827">
        <v>3.31</v>
      </c>
      <c r="BQ827">
        <v>-1.62</v>
      </c>
      <c r="BR827">
        <v>-2.04</v>
      </c>
      <c r="BS827">
        <v>1.21</v>
      </c>
      <c r="BT827">
        <v>0.64</v>
      </c>
      <c r="BU827">
        <v>-2.16</v>
      </c>
      <c r="BV827">
        <v>-1.85</v>
      </c>
      <c r="BW827">
        <v>-1.44</v>
      </c>
      <c r="BX827">
        <v>-1.97</v>
      </c>
      <c r="BY827">
        <v>-1.69</v>
      </c>
      <c r="BZ827">
        <v>-0.46</v>
      </c>
      <c r="CA827">
        <v>-1</v>
      </c>
      <c r="CB827">
        <v>-1.83</v>
      </c>
      <c r="CC827">
        <v>0.18</v>
      </c>
      <c r="CD827">
        <v>1.56</v>
      </c>
      <c r="CE827">
        <v>-1.42</v>
      </c>
      <c r="CF827">
        <v>-0.71</v>
      </c>
      <c r="CG827">
        <v>0</v>
      </c>
      <c r="CH827">
        <v>-1.5</v>
      </c>
      <c r="CI827">
        <v>0</v>
      </c>
      <c r="CJ827">
        <v>-12.6</v>
      </c>
      <c r="CK827">
        <v>99</v>
      </c>
      <c r="CL827">
        <v>-0.51</v>
      </c>
      <c r="CM827">
        <v>99</v>
      </c>
      <c r="CN827">
        <v>-0.01</v>
      </c>
      <c r="CO827">
        <v>99</v>
      </c>
      <c r="CP827">
        <v>-7</v>
      </c>
      <c r="CQ827">
        <v>93</v>
      </c>
      <c r="CR827">
        <v>0</v>
      </c>
      <c r="CS827">
        <v>0</v>
      </c>
      <c r="CT827">
        <v>-2.2000000000000002</v>
      </c>
      <c r="CU827">
        <v>94</v>
      </c>
      <c r="CV827">
        <v>-0.01</v>
      </c>
      <c r="CW827">
        <v>54</v>
      </c>
      <c r="CX827" t="s">
        <v>792</v>
      </c>
    </row>
    <row r="828" spans="1:102" x14ac:dyDescent="0.3">
      <c r="A828" t="str">
        <f>HYPERLINK("https://webapp.icbf.com/v2/app/bull-search/view/547748173","NZT")</f>
        <v>NZT</v>
      </c>
      <c r="B828" t="s">
        <v>12305</v>
      </c>
      <c r="C828" t="s">
        <v>12306</v>
      </c>
      <c r="D828" s="1">
        <v>37340</v>
      </c>
      <c r="E828" t="s">
        <v>210</v>
      </c>
      <c r="F828">
        <v>0</v>
      </c>
      <c r="G828" t="s">
        <v>93</v>
      </c>
      <c r="H828">
        <v>156.9</v>
      </c>
      <c r="I828">
        <v>97</v>
      </c>
      <c r="J828">
        <v>11.31</v>
      </c>
      <c r="K828">
        <v>99</v>
      </c>
      <c r="L828">
        <v>68.39</v>
      </c>
      <c r="M828">
        <v>94</v>
      </c>
      <c r="N828">
        <v>48.6</v>
      </c>
      <c r="O828">
        <v>99</v>
      </c>
      <c r="P828">
        <v>-7.55</v>
      </c>
      <c r="Q828">
        <v>99</v>
      </c>
      <c r="R828">
        <v>11.92</v>
      </c>
      <c r="S828">
        <v>97</v>
      </c>
      <c r="T828">
        <v>21.67</v>
      </c>
      <c r="U828">
        <v>99</v>
      </c>
      <c r="V828">
        <v>2.56</v>
      </c>
      <c r="W828">
        <v>98</v>
      </c>
      <c r="X828" t="s">
        <v>94</v>
      </c>
      <c r="Y828" t="s">
        <v>270</v>
      </c>
      <c r="Z828">
        <v>0</v>
      </c>
      <c r="AA828" t="s">
        <v>211</v>
      </c>
      <c r="AB828" t="s">
        <v>12307</v>
      </c>
      <c r="AC828">
        <v>1480</v>
      </c>
      <c r="AD828">
        <v>492</v>
      </c>
      <c r="AE828">
        <v>99</v>
      </c>
      <c r="AF828">
        <v>-28.74</v>
      </c>
      <c r="AG828">
        <v>3.43</v>
      </c>
      <c r="AH828">
        <v>0.27</v>
      </c>
      <c r="AI828">
        <v>0.08</v>
      </c>
      <c r="AJ828">
        <v>0.02</v>
      </c>
      <c r="AK828">
        <v>94</v>
      </c>
      <c r="AL828">
        <v>1755</v>
      </c>
      <c r="AM828">
        <v>642</v>
      </c>
      <c r="AN828">
        <v>-3.28</v>
      </c>
      <c r="AO828">
        <v>2.1800000000000002</v>
      </c>
      <c r="AP828">
        <v>2899</v>
      </c>
      <c r="AQ828">
        <v>47</v>
      </c>
      <c r="AR828">
        <v>5.68</v>
      </c>
      <c r="AS828">
        <v>98</v>
      </c>
      <c r="AT828">
        <v>2.1800000000000002</v>
      </c>
      <c r="AU828">
        <v>99</v>
      </c>
      <c r="AV828">
        <v>-3.75</v>
      </c>
      <c r="AW828">
        <v>99</v>
      </c>
      <c r="AX828">
        <v>-0.37</v>
      </c>
      <c r="AY828">
        <v>99</v>
      </c>
      <c r="AZ828">
        <v>4.7699999999999996</v>
      </c>
      <c r="BA828">
        <v>96</v>
      </c>
      <c r="BB828">
        <v>4.17</v>
      </c>
      <c r="BC828">
        <v>97</v>
      </c>
      <c r="BD828">
        <v>-0.03</v>
      </c>
      <c r="BE828">
        <v>-0.06</v>
      </c>
      <c r="BF828">
        <v>-0.11</v>
      </c>
      <c r="BG828">
        <v>99</v>
      </c>
      <c r="BH828">
        <v>-0.05</v>
      </c>
      <c r="BI828">
        <v>-14.05</v>
      </c>
      <c r="BJ828">
        <v>43</v>
      </c>
      <c r="BK828">
        <v>19</v>
      </c>
      <c r="BL828">
        <v>-1.1200000000000001</v>
      </c>
      <c r="BM828">
        <v>1.31</v>
      </c>
      <c r="BN828">
        <v>-1.48</v>
      </c>
      <c r="BO828">
        <v>-1.8</v>
      </c>
      <c r="BP828">
        <v>1.4</v>
      </c>
      <c r="BQ828">
        <v>-1.81</v>
      </c>
      <c r="BR828">
        <v>-0.56999999999999995</v>
      </c>
      <c r="BS828">
        <v>0.72</v>
      </c>
      <c r="BT828">
        <v>0.03</v>
      </c>
      <c r="BU828">
        <v>-2.5499999999999998</v>
      </c>
      <c r="BV828">
        <v>-3.43</v>
      </c>
      <c r="BW828">
        <v>-1.49</v>
      </c>
      <c r="BX828">
        <v>-1.56</v>
      </c>
      <c r="BY828">
        <v>0.08</v>
      </c>
      <c r="BZ828">
        <v>-1.25</v>
      </c>
      <c r="CA828">
        <v>-1.1299999999999999</v>
      </c>
      <c r="CB828">
        <v>-2.19</v>
      </c>
      <c r="CC828">
        <v>1.22</v>
      </c>
      <c r="CD828">
        <v>1.6</v>
      </c>
      <c r="CE828">
        <v>-1.19</v>
      </c>
      <c r="CF828">
        <v>-1.35</v>
      </c>
      <c r="CG828">
        <v>0</v>
      </c>
      <c r="CH828">
        <v>-0.65</v>
      </c>
      <c r="CI828">
        <v>0</v>
      </c>
      <c r="CJ828">
        <v>-5.5</v>
      </c>
      <c r="CK828">
        <v>99</v>
      </c>
      <c r="CL828">
        <v>-0.18</v>
      </c>
      <c r="CM828">
        <v>99</v>
      </c>
      <c r="CN828">
        <v>-0.3</v>
      </c>
      <c r="CO828">
        <v>99</v>
      </c>
      <c r="CP828">
        <v>-10.8</v>
      </c>
      <c r="CQ828">
        <v>99</v>
      </c>
      <c r="CR828">
        <v>0</v>
      </c>
      <c r="CS828">
        <v>0</v>
      </c>
      <c r="CT828">
        <v>-15.5</v>
      </c>
      <c r="CU828">
        <v>99</v>
      </c>
      <c r="CV828">
        <v>-0.14000000000000001</v>
      </c>
      <c r="CW828">
        <v>49</v>
      </c>
      <c r="CX828" t="s">
        <v>6964</v>
      </c>
    </row>
    <row r="829" spans="1:102" x14ac:dyDescent="0.3">
      <c r="A829" t="str">
        <f>HYPERLINK("https://webapp.icbf.com/v2/app/bull-search/view/1347981997","FR4098")</f>
        <v>FR4098</v>
      </c>
      <c r="B829" t="s">
        <v>6226</v>
      </c>
      <c r="C829" t="s">
        <v>6227</v>
      </c>
      <c r="D829" s="1">
        <v>42364</v>
      </c>
      <c r="E829" t="s">
        <v>92</v>
      </c>
      <c r="F829">
        <v>97</v>
      </c>
      <c r="G829" t="s">
        <v>435</v>
      </c>
      <c r="H829">
        <v>156.88</v>
      </c>
      <c r="I829">
        <v>77</v>
      </c>
      <c r="J829">
        <v>64.94</v>
      </c>
      <c r="K829">
        <v>91</v>
      </c>
      <c r="L829">
        <v>45.08</v>
      </c>
      <c r="M829">
        <v>69</v>
      </c>
      <c r="N829">
        <v>42.93</v>
      </c>
      <c r="O829">
        <v>88</v>
      </c>
      <c r="P829">
        <v>-5.68</v>
      </c>
      <c r="Q829">
        <v>79</v>
      </c>
      <c r="R829">
        <v>15.05</v>
      </c>
      <c r="S829">
        <v>68</v>
      </c>
      <c r="T829">
        <v>-4.3</v>
      </c>
      <c r="U829">
        <v>52</v>
      </c>
      <c r="V829">
        <v>-1.1399999999999999</v>
      </c>
      <c r="W829">
        <v>61</v>
      </c>
      <c r="X829" t="s">
        <v>102</v>
      </c>
      <c r="Y829" t="s">
        <v>436</v>
      </c>
      <c r="Z829" t="s">
        <v>96</v>
      </c>
      <c r="AA829" t="s">
        <v>6228</v>
      </c>
      <c r="AB829" t="s">
        <v>6229</v>
      </c>
      <c r="AC829">
        <v>5</v>
      </c>
      <c r="AD829">
        <v>4</v>
      </c>
      <c r="AE829">
        <v>91</v>
      </c>
      <c r="AF829">
        <v>286.11</v>
      </c>
      <c r="AG829">
        <v>12.45</v>
      </c>
      <c r="AH829">
        <v>11.02</v>
      </c>
      <c r="AI829">
        <v>0.02</v>
      </c>
      <c r="AJ829">
        <v>0.03</v>
      </c>
      <c r="AK829">
        <v>69</v>
      </c>
      <c r="AL829">
        <v>0</v>
      </c>
      <c r="AM829">
        <v>0</v>
      </c>
      <c r="AN829">
        <v>-2.1</v>
      </c>
      <c r="AO829">
        <v>1.5</v>
      </c>
      <c r="AP829">
        <v>1194</v>
      </c>
      <c r="AQ829">
        <v>8</v>
      </c>
      <c r="AR829">
        <v>5.0599999999999996</v>
      </c>
      <c r="AS829">
        <v>90</v>
      </c>
      <c r="AT829">
        <v>2.19</v>
      </c>
      <c r="AU829">
        <v>96</v>
      </c>
      <c r="AV829">
        <v>-4.28</v>
      </c>
      <c r="AW829">
        <v>99</v>
      </c>
      <c r="AX829">
        <v>0.33</v>
      </c>
      <c r="AY829">
        <v>94</v>
      </c>
      <c r="AZ829">
        <v>6.06</v>
      </c>
      <c r="BA829">
        <v>51</v>
      </c>
      <c r="BB829">
        <v>5.74</v>
      </c>
      <c r="BC829">
        <v>45</v>
      </c>
      <c r="BD829">
        <v>-0.06</v>
      </c>
      <c r="BE829">
        <v>-0.04</v>
      </c>
      <c r="BF829">
        <v>-0.17</v>
      </c>
      <c r="BG829">
        <v>79</v>
      </c>
      <c r="BH829">
        <v>-0.18</v>
      </c>
      <c r="BI829">
        <v>-17.149999999999999</v>
      </c>
      <c r="BJ829">
        <v>0</v>
      </c>
      <c r="BK829">
        <v>0</v>
      </c>
      <c r="BL829">
        <v>-0.11</v>
      </c>
      <c r="BM829">
        <v>0.73</v>
      </c>
      <c r="BN829">
        <v>0.05</v>
      </c>
      <c r="BO829">
        <v>-0.62</v>
      </c>
      <c r="BP829">
        <v>-0.24</v>
      </c>
      <c r="BQ829">
        <v>0.44</v>
      </c>
      <c r="BR829">
        <v>0.63</v>
      </c>
      <c r="BS829">
        <v>-0.64</v>
      </c>
      <c r="BT829">
        <v>-0.47</v>
      </c>
      <c r="BU829">
        <v>0.63</v>
      </c>
      <c r="BV829">
        <v>-0.17</v>
      </c>
      <c r="BW829">
        <v>-0.57999999999999996</v>
      </c>
      <c r="BX829">
        <v>0.36</v>
      </c>
      <c r="BY829">
        <v>-0.11</v>
      </c>
      <c r="BZ829">
        <v>-1.95</v>
      </c>
      <c r="CA829">
        <v>0.12</v>
      </c>
      <c r="CB829">
        <v>0.03</v>
      </c>
      <c r="CC829">
        <v>-0.18</v>
      </c>
      <c r="CD829">
        <v>1.48</v>
      </c>
      <c r="CE829">
        <v>0.04</v>
      </c>
      <c r="CF829">
        <v>0.81</v>
      </c>
      <c r="CG829">
        <v>0</v>
      </c>
      <c r="CH829">
        <v>1.17</v>
      </c>
      <c r="CI829">
        <v>0</v>
      </c>
      <c r="CJ829">
        <v>-0.7</v>
      </c>
      <c r="CK829">
        <v>83</v>
      </c>
      <c r="CL829">
        <v>-0.93</v>
      </c>
      <c r="CM829">
        <v>78</v>
      </c>
      <c r="CN829">
        <v>-0.39</v>
      </c>
      <c r="CO829">
        <v>76</v>
      </c>
      <c r="CP829">
        <v>2.1</v>
      </c>
      <c r="CQ829">
        <v>55</v>
      </c>
      <c r="CR829">
        <v>0</v>
      </c>
      <c r="CS829">
        <v>0</v>
      </c>
      <c r="CT829">
        <v>19.600000000000001</v>
      </c>
      <c r="CU829">
        <v>52</v>
      </c>
      <c r="CV829">
        <v>0.26</v>
      </c>
      <c r="CW829">
        <v>43</v>
      </c>
      <c r="CX829" t="s">
        <v>1783</v>
      </c>
    </row>
    <row r="830" spans="1:102" x14ac:dyDescent="0.3">
      <c r="A830" t="str">
        <f>HYPERLINK("https://webapp.icbf.com/v2/app/bull-search/view/1366626753","FR4097")</f>
        <v>FR4097</v>
      </c>
      <c r="B830" t="s">
        <v>13744</v>
      </c>
      <c r="C830" t="s">
        <v>13745</v>
      </c>
      <c r="D830" s="1">
        <v>42428</v>
      </c>
      <c r="E830" t="s">
        <v>108</v>
      </c>
      <c r="F830">
        <v>16</v>
      </c>
      <c r="G830" t="s">
        <v>435</v>
      </c>
      <c r="H830">
        <v>156.84</v>
      </c>
      <c r="I830">
        <v>69</v>
      </c>
      <c r="J830">
        <v>4.95</v>
      </c>
      <c r="K830">
        <v>83</v>
      </c>
      <c r="L830">
        <v>143.58000000000001</v>
      </c>
      <c r="M830">
        <v>58</v>
      </c>
      <c r="N830">
        <v>2.74</v>
      </c>
      <c r="O830">
        <v>80</v>
      </c>
      <c r="P830">
        <v>-8.1199999999999992</v>
      </c>
      <c r="Q830">
        <v>70</v>
      </c>
      <c r="R830">
        <v>8.42</v>
      </c>
      <c r="S830">
        <v>58</v>
      </c>
      <c r="T830">
        <v>8.42</v>
      </c>
      <c r="U830">
        <v>51</v>
      </c>
      <c r="V830">
        <v>-3.15</v>
      </c>
      <c r="W830">
        <v>53</v>
      </c>
      <c r="X830" t="s">
        <v>102</v>
      </c>
      <c r="Y830" t="s">
        <v>436</v>
      </c>
      <c r="Z830" t="s">
        <v>96</v>
      </c>
      <c r="AA830" t="s">
        <v>2376</v>
      </c>
      <c r="AB830" t="s">
        <v>13746</v>
      </c>
      <c r="AC830">
        <v>0</v>
      </c>
      <c r="AD830">
        <v>0</v>
      </c>
      <c r="AE830">
        <v>83</v>
      </c>
      <c r="AF830">
        <v>-147.41999999999999</v>
      </c>
      <c r="AG830">
        <v>3.38</v>
      </c>
      <c r="AH830">
        <v>-2.61</v>
      </c>
      <c r="AI830">
        <v>0.16</v>
      </c>
      <c r="AJ830">
        <v>0.05</v>
      </c>
      <c r="AK830">
        <v>58</v>
      </c>
      <c r="AL830">
        <v>0</v>
      </c>
      <c r="AM830">
        <v>0</v>
      </c>
      <c r="AN830">
        <v>-8.6199999999999992</v>
      </c>
      <c r="AO830">
        <v>2.82</v>
      </c>
      <c r="AP830">
        <v>227</v>
      </c>
      <c r="AQ830">
        <v>3</v>
      </c>
      <c r="AR830">
        <v>7.15</v>
      </c>
      <c r="AS830">
        <v>65</v>
      </c>
      <c r="AT830">
        <v>3.46</v>
      </c>
      <c r="AU830">
        <v>86</v>
      </c>
      <c r="AV830">
        <v>-0.63</v>
      </c>
      <c r="AW830">
        <v>96</v>
      </c>
      <c r="AX830">
        <v>-0.04</v>
      </c>
      <c r="AY830">
        <v>79</v>
      </c>
      <c r="AZ830">
        <v>6.02</v>
      </c>
      <c r="BA830">
        <v>42</v>
      </c>
      <c r="BB830">
        <v>5.24</v>
      </c>
      <c r="BC830">
        <v>40</v>
      </c>
      <c r="BD830">
        <v>-0.01</v>
      </c>
      <c r="BE830">
        <v>-0.03</v>
      </c>
      <c r="BF830">
        <v>-0.12</v>
      </c>
      <c r="BG830">
        <v>66</v>
      </c>
      <c r="BH830">
        <v>-0.08</v>
      </c>
      <c r="BI830">
        <v>0.9</v>
      </c>
      <c r="BJ830">
        <v>0</v>
      </c>
      <c r="BK830">
        <v>0</v>
      </c>
      <c r="BL830">
        <v>-1.59</v>
      </c>
      <c r="BM830">
        <v>4.45</v>
      </c>
      <c r="BN830">
        <v>-0.66</v>
      </c>
      <c r="BO830">
        <v>-2.91</v>
      </c>
      <c r="BP830">
        <v>-1.31</v>
      </c>
      <c r="BQ830">
        <v>3.7</v>
      </c>
      <c r="BR830">
        <v>-2.65</v>
      </c>
      <c r="BS830">
        <v>-0.72</v>
      </c>
      <c r="BT830">
        <v>1.97</v>
      </c>
      <c r="BU830">
        <v>-1.87</v>
      </c>
      <c r="BV830">
        <v>-1.98</v>
      </c>
      <c r="BW830">
        <v>-1.74</v>
      </c>
      <c r="BX830">
        <v>-1.65</v>
      </c>
      <c r="BY830">
        <v>-1.61</v>
      </c>
      <c r="BZ830">
        <v>-0.45</v>
      </c>
      <c r="CA830">
        <v>-1.36</v>
      </c>
      <c r="CB830">
        <v>-1.42</v>
      </c>
      <c r="CC830">
        <v>-0.88</v>
      </c>
      <c r="CD830">
        <v>3.63</v>
      </c>
      <c r="CE830">
        <v>-1.83</v>
      </c>
      <c r="CF830">
        <v>-0.82</v>
      </c>
      <c r="CG830">
        <v>0</v>
      </c>
      <c r="CH830">
        <v>-0.72</v>
      </c>
      <c r="CI830">
        <v>0</v>
      </c>
      <c r="CJ830">
        <v>-3.8</v>
      </c>
      <c r="CK830">
        <v>74</v>
      </c>
      <c r="CL830">
        <v>-0.39</v>
      </c>
      <c r="CM830">
        <v>67</v>
      </c>
      <c r="CN830">
        <v>-0.16</v>
      </c>
      <c r="CO830">
        <v>65</v>
      </c>
      <c r="CP830">
        <v>-4.8</v>
      </c>
      <c r="CQ830">
        <v>54</v>
      </c>
      <c r="CR830">
        <v>0</v>
      </c>
      <c r="CS830">
        <v>0</v>
      </c>
      <c r="CT830">
        <v>2.4</v>
      </c>
      <c r="CU830">
        <v>51</v>
      </c>
      <c r="CV830">
        <v>0.1</v>
      </c>
      <c r="CW830">
        <v>40</v>
      </c>
      <c r="CX830" t="s">
        <v>2378</v>
      </c>
    </row>
    <row r="831" spans="1:102" x14ac:dyDescent="0.3">
      <c r="A831" t="str">
        <f>HYPERLINK("https://webapp.icbf.com/v2/app/bull-search/view/740016321","YBZ")</f>
        <v>YBZ</v>
      </c>
      <c r="B831" t="s">
        <v>14506</v>
      </c>
      <c r="C831" t="s">
        <v>14507</v>
      </c>
      <c r="D831" s="1">
        <v>40178</v>
      </c>
      <c r="E831" t="s">
        <v>92</v>
      </c>
      <c r="F831">
        <v>97</v>
      </c>
      <c r="G831" t="s">
        <v>435</v>
      </c>
      <c r="H831">
        <v>156.83000000000001</v>
      </c>
      <c r="I831">
        <v>77</v>
      </c>
      <c r="J831">
        <v>47.41</v>
      </c>
      <c r="K831">
        <v>92</v>
      </c>
      <c r="L831">
        <v>33.700000000000003</v>
      </c>
      <c r="M831">
        <v>73</v>
      </c>
      <c r="N831">
        <v>44.32</v>
      </c>
      <c r="O831">
        <v>67</v>
      </c>
      <c r="P831">
        <v>4.92</v>
      </c>
      <c r="Q831">
        <v>70</v>
      </c>
      <c r="R831">
        <v>18.920000000000002</v>
      </c>
      <c r="S831">
        <v>72</v>
      </c>
      <c r="T831">
        <v>2.8</v>
      </c>
      <c r="U831">
        <v>57</v>
      </c>
      <c r="V831">
        <v>4.76</v>
      </c>
      <c r="W831">
        <v>68</v>
      </c>
      <c r="X831" t="s">
        <v>251</v>
      </c>
      <c r="Y831" t="s">
        <v>5454</v>
      </c>
      <c r="Z831" t="s">
        <v>96</v>
      </c>
      <c r="AA831" t="s">
        <v>1376</v>
      </c>
      <c r="AB831" t="s">
        <v>14508</v>
      </c>
      <c r="AC831">
        <v>9</v>
      </c>
      <c r="AD831">
        <v>6</v>
      </c>
      <c r="AE831">
        <v>92</v>
      </c>
      <c r="AF831">
        <v>553.77</v>
      </c>
      <c r="AG831">
        <v>10.54</v>
      </c>
      <c r="AH831">
        <v>12.81</v>
      </c>
      <c r="AI831">
        <v>-0.18</v>
      </c>
      <c r="AJ831">
        <v>-0.1</v>
      </c>
      <c r="AK831">
        <v>73</v>
      </c>
      <c r="AL831">
        <v>12</v>
      </c>
      <c r="AM831">
        <v>6</v>
      </c>
      <c r="AN831">
        <v>-0.09</v>
      </c>
      <c r="AO831">
        <v>2.62</v>
      </c>
      <c r="AP831">
        <v>18</v>
      </c>
      <c r="AQ831">
        <v>0</v>
      </c>
      <c r="AR831">
        <v>3.94</v>
      </c>
      <c r="AS831">
        <v>64</v>
      </c>
      <c r="AT831">
        <v>1.91</v>
      </c>
      <c r="AU831">
        <v>72</v>
      </c>
      <c r="AV831">
        <v>-3.47</v>
      </c>
      <c r="AW831">
        <v>72</v>
      </c>
      <c r="AX831">
        <v>-0.16</v>
      </c>
      <c r="AY831">
        <v>58</v>
      </c>
      <c r="AZ831">
        <v>6.05</v>
      </c>
      <c r="BA831">
        <v>52</v>
      </c>
      <c r="BB831">
        <v>5.2</v>
      </c>
      <c r="BC831">
        <v>53</v>
      </c>
      <c r="BD831">
        <v>-0.06</v>
      </c>
      <c r="BE831">
        <v>-0.05</v>
      </c>
      <c r="BF831">
        <v>-0.24</v>
      </c>
      <c r="BG831">
        <v>80</v>
      </c>
      <c r="BH831">
        <v>0.13</v>
      </c>
      <c r="BI831">
        <v>-0.32</v>
      </c>
      <c r="BJ831">
        <v>2</v>
      </c>
      <c r="BK831">
        <v>2</v>
      </c>
      <c r="BL831">
        <v>0.12</v>
      </c>
      <c r="BM831">
        <v>0</v>
      </c>
      <c r="BN831">
        <v>-0.18</v>
      </c>
      <c r="BO831">
        <v>0.16</v>
      </c>
      <c r="BP831">
        <v>1.31</v>
      </c>
      <c r="BQ831">
        <v>-1.2</v>
      </c>
      <c r="BR831">
        <v>-0.33</v>
      </c>
      <c r="BS831">
        <v>0.42</v>
      </c>
      <c r="BT831">
        <v>-0.24</v>
      </c>
      <c r="BU831">
        <v>0.38</v>
      </c>
      <c r="BV831">
        <v>0.28000000000000003</v>
      </c>
      <c r="BW831">
        <v>1.08</v>
      </c>
      <c r="BX831">
        <v>0.61</v>
      </c>
      <c r="BY831">
        <v>0.95</v>
      </c>
      <c r="BZ831">
        <v>-0.43</v>
      </c>
      <c r="CA831">
        <v>0.74</v>
      </c>
      <c r="CB831">
        <v>0.64</v>
      </c>
      <c r="CC831">
        <v>0.62</v>
      </c>
      <c r="CD831">
        <v>0.46</v>
      </c>
      <c r="CE831">
        <v>0.23</v>
      </c>
      <c r="CF831">
        <v>0.46</v>
      </c>
      <c r="CG831">
        <v>0</v>
      </c>
      <c r="CH831">
        <v>0.2</v>
      </c>
      <c r="CI831">
        <v>0</v>
      </c>
      <c r="CJ831">
        <v>5.3</v>
      </c>
      <c r="CK831">
        <v>72</v>
      </c>
      <c r="CL831">
        <v>-0.49</v>
      </c>
      <c r="CM831">
        <v>69</v>
      </c>
      <c r="CN831">
        <v>-0.18</v>
      </c>
      <c r="CO831">
        <v>67</v>
      </c>
      <c r="CP831">
        <v>3.7</v>
      </c>
      <c r="CQ831">
        <v>61</v>
      </c>
      <c r="CR831">
        <v>0</v>
      </c>
      <c r="CS831">
        <v>0</v>
      </c>
      <c r="CT831">
        <v>10</v>
      </c>
      <c r="CU831">
        <v>57</v>
      </c>
      <c r="CV831">
        <v>0.27</v>
      </c>
      <c r="CW831">
        <v>41</v>
      </c>
      <c r="CX831" t="s">
        <v>316</v>
      </c>
    </row>
    <row r="832" spans="1:102" x14ac:dyDescent="0.3">
      <c r="A832" t="str">
        <f>HYPERLINK("https://webapp.icbf.com/v2/app/bull-search/view/394443933","KTJ")</f>
        <v>KTJ</v>
      </c>
      <c r="B832" t="s">
        <v>5161</v>
      </c>
      <c r="C832" t="s">
        <v>5162</v>
      </c>
      <c r="D832" s="1">
        <v>38397</v>
      </c>
      <c r="E832" t="s">
        <v>92</v>
      </c>
      <c r="F832">
        <v>88</v>
      </c>
      <c r="G832" t="s">
        <v>93</v>
      </c>
      <c r="H832">
        <v>156.79</v>
      </c>
      <c r="I832">
        <v>76</v>
      </c>
      <c r="J832">
        <v>39.82</v>
      </c>
      <c r="K832">
        <v>91</v>
      </c>
      <c r="L832">
        <v>78.790000000000006</v>
      </c>
      <c r="M832">
        <v>70</v>
      </c>
      <c r="N832">
        <v>35.21</v>
      </c>
      <c r="O832">
        <v>65</v>
      </c>
      <c r="P832">
        <v>-25.96</v>
      </c>
      <c r="Q832">
        <v>65</v>
      </c>
      <c r="R832">
        <v>0.91</v>
      </c>
      <c r="S832">
        <v>71</v>
      </c>
      <c r="T832">
        <v>30.99</v>
      </c>
      <c r="U832">
        <v>63</v>
      </c>
      <c r="V832">
        <v>-2.97</v>
      </c>
      <c r="W832">
        <v>71</v>
      </c>
      <c r="X832" t="s">
        <v>251</v>
      </c>
      <c r="Y832" t="s">
        <v>228</v>
      </c>
      <c r="Z832" t="s">
        <v>96</v>
      </c>
      <c r="AA832" t="s">
        <v>1762</v>
      </c>
      <c r="AB832" t="s">
        <v>3869</v>
      </c>
      <c r="AC832">
        <v>15</v>
      </c>
      <c r="AD832">
        <v>7</v>
      </c>
      <c r="AE832">
        <v>91</v>
      </c>
      <c r="AF832">
        <v>154.5</v>
      </c>
      <c r="AG832">
        <v>7.2</v>
      </c>
      <c r="AH832">
        <v>6.59</v>
      </c>
      <c r="AI832">
        <v>0.02</v>
      </c>
      <c r="AJ832">
        <v>0.02</v>
      </c>
      <c r="AK832">
        <v>70</v>
      </c>
      <c r="AL832">
        <v>16</v>
      </c>
      <c r="AM832">
        <v>7</v>
      </c>
      <c r="AN832">
        <v>-3.76</v>
      </c>
      <c r="AO832">
        <v>2.5299999999999998</v>
      </c>
      <c r="AP832">
        <v>12</v>
      </c>
      <c r="AQ832">
        <v>0</v>
      </c>
      <c r="AR832">
        <v>5.52</v>
      </c>
      <c r="AS832">
        <v>58</v>
      </c>
      <c r="AT832">
        <v>2.09</v>
      </c>
      <c r="AU832">
        <v>70</v>
      </c>
      <c r="AV832">
        <v>-3.22</v>
      </c>
      <c r="AW832">
        <v>70</v>
      </c>
      <c r="AX832">
        <v>-0.57999999999999996</v>
      </c>
      <c r="AY832">
        <v>58</v>
      </c>
      <c r="AZ832">
        <v>7.49</v>
      </c>
      <c r="BA832">
        <v>50</v>
      </c>
      <c r="BB832">
        <v>5.57</v>
      </c>
      <c r="BC832">
        <v>53</v>
      </c>
      <c r="BD832">
        <v>-0.03</v>
      </c>
      <c r="BE832">
        <v>0.01</v>
      </c>
      <c r="BF832">
        <v>0.01</v>
      </c>
      <c r="BG832">
        <v>79</v>
      </c>
      <c r="BH832">
        <v>-0.02</v>
      </c>
      <c r="BI832">
        <v>7.26</v>
      </c>
      <c r="BJ832">
        <v>1</v>
      </c>
      <c r="BK832">
        <v>1</v>
      </c>
      <c r="BL832">
        <v>-0.63</v>
      </c>
      <c r="BM832">
        <v>0.99</v>
      </c>
      <c r="BN832">
        <v>0.02</v>
      </c>
      <c r="BO832">
        <v>-0.77</v>
      </c>
      <c r="BP832">
        <v>1.29</v>
      </c>
      <c r="BQ832">
        <v>-0.71</v>
      </c>
      <c r="BR832">
        <v>0.48</v>
      </c>
      <c r="BS832">
        <v>-1.1399999999999999</v>
      </c>
      <c r="BT832">
        <v>-0.85</v>
      </c>
      <c r="BU832">
        <v>-1.03</v>
      </c>
      <c r="BV832">
        <v>-0.44</v>
      </c>
      <c r="BW832">
        <v>-0.71</v>
      </c>
      <c r="BX832">
        <v>-0.36</v>
      </c>
      <c r="BY832">
        <v>-0.78</v>
      </c>
      <c r="BZ832">
        <v>1.19</v>
      </c>
      <c r="CA832">
        <v>-1.57</v>
      </c>
      <c r="CB832">
        <v>-1.04</v>
      </c>
      <c r="CC832">
        <v>-1.86</v>
      </c>
      <c r="CD832">
        <v>0.85</v>
      </c>
      <c r="CE832">
        <v>-1.0900000000000001</v>
      </c>
      <c r="CF832">
        <v>-1.1299999999999999</v>
      </c>
      <c r="CG832">
        <v>0</v>
      </c>
      <c r="CH832">
        <v>-0.12</v>
      </c>
      <c r="CI832">
        <v>0</v>
      </c>
      <c r="CJ832">
        <v>-13.3</v>
      </c>
      <c r="CK832">
        <v>67</v>
      </c>
      <c r="CL832">
        <v>-0.66</v>
      </c>
      <c r="CM832">
        <v>63</v>
      </c>
      <c r="CN832">
        <v>-0.25</v>
      </c>
      <c r="CO832">
        <v>61</v>
      </c>
      <c r="CP832">
        <v>-24.8</v>
      </c>
      <c r="CQ832">
        <v>68</v>
      </c>
      <c r="CR832">
        <v>0</v>
      </c>
      <c r="CS832">
        <v>0</v>
      </c>
      <c r="CT832">
        <v>-28.1</v>
      </c>
      <c r="CU832">
        <v>63</v>
      </c>
      <c r="CV832">
        <v>-0.04</v>
      </c>
      <c r="CW832">
        <v>39</v>
      </c>
      <c r="CX832" t="s">
        <v>792</v>
      </c>
    </row>
    <row r="833" spans="1:102" x14ac:dyDescent="0.3">
      <c r="A833" t="str">
        <f>HYPERLINK("https://webapp.icbf.com/v2/app/bull-search/view/1104179284","ABP")</f>
        <v>ABP</v>
      </c>
      <c r="B833" t="s">
        <v>5869</v>
      </c>
      <c r="C833" t="s">
        <v>5870</v>
      </c>
      <c r="D833" s="1">
        <v>41501</v>
      </c>
      <c r="E833" t="s">
        <v>92</v>
      </c>
      <c r="F833">
        <v>100</v>
      </c>
      <c r="G833" t="s">
        <v>93</v>
      </c>
      <c r="H833">
        <v>156.72999999999999</v>
      </c>
      <c r="I833">
        <v>88</v>
      </c>
      <c r="J833">
        <v>56.79</v>
      </c>
      <c r="K833">
        <v>98</v>
      </c>
      <c r="L833">
        <v>29.29</v>
      </c>
      <c r="M833">
        <v>81</v>
      </c>
      <c r="N833">
        <v>52.36</v>
      </c>
      <c r="O833">
        <v>88</v>
      </c>
      <c r="P833">
        <v>2.29</v>
      </c>
      <c r="Q833">
        <v>93</v>
      </c>
      <c r="R833">
        <v>12.44</v>
      </c>
      <c r="S833">
        <v>79</v>
      </c>
      <c r="T833">
        <v>2.5</v>
      </c>
      <c r="U833">
        <v>80</v>
      </c>
      <c r="V833">
        <v>1.06</v>
      </c>
      <c r="W833">
        <v>72</v>
      </c>
      <c r="X833" t="s">
        <v>251</v>
      </c>
      <c r="Y833" t="s">
        <v>389</v>
      </c>
      <c r="Z833" t="s">
        <v>96</v>
      </c>
      <c r="AA833" t="s">
        <v>2187</v>
      </c>
      <c r="AB833" t="s">
        <v>5871</v>
      </c>
      <c r="AC833">
        <v>161</v>
      </c>
      <c r="AD833">
        <v>60</v>
      </c>
      <c r="AE833">
        <v>98</v>
      </c>
      <c r="AF833">
        <v>343.83</v>
      </c>
      <c r="AG833">
        <v>9.19</v>
      </c>
      <c r="AH833">
        <v>11.67</v>
      </c>
      <c r="AI833">
        <v>-7.0000000000000007E-2</v>
      </c>
      <c r="AJ833">
        <v>0</v>
      </c>
      <c r="AK833">
        <v>81</v>
      </c>
      <c r="AL833">
        <v>150</v>
      </c>
      <c r="AM833">
        <v>55</v>
      </c>
      <c r="AN833">
        <v>-1.29</v>
      </c>
      <c r="AO833">
        <v>1.05</v>
      </c>
      <c r="AP833">
        <v>362</v>
      </c>
      <c r="AQ833">
        <v>3</v>
      </c>
      <c r="AR833">
        <v>3.56</v>
      </c>
      <c r="AS833">
        <v>89</v>
      </c>
      <c r="AT833">
        <v>1.48</v>
      </c>
      <c r="AU833">
        <v>90</v>
      </c>
      <c r="AV833">
        <v>-3.54</v>
      </c>
      <c r="AW833">
        <v>96</v>
      </c>
      <c r="AX833">
        <v>-0.57999999999999996</v>
      </c>
      <c r="AY833">
        <v>88</v>
      </c>
      <c r="AZ833">
        <v>5.39</v>
      </c>
      <c r="BA833">
        <v>75</v>
      </c>
      <c r="BB833">
        <v>4.6900000000000004</v>
      </c>
      <c r="BC833">
        <v>59</v>
      </c>
      <c r="BD833">
        <v>-0.03</v>
      </c>
      <c r="BE833">
        <v>-0.04</v>
      </c>
      <c r="BF833">
        <v>-0.16</v>
      </c>
      <c r="BG833">
        <v>91</v>
      </c>
      <c r="BH833">
        <v>0.11</v>
      </c>
      <c r="BI833">
        <v>9.32</v>
      </c>
      <c r="BJ833">
        <v>28</v>
      </c>
      <c r="BK833">
        <v>13</v>
      </c>
      <c r="BL833">
        <v>0.5</v>
      </c>
      <c r="BM833">
        <v>-0.98</v>
      </c>
      <c r="BN833">
        <v>-0.88</v>
      </c>
      <c r="BO833">
        <v>0.48</v>
      </c>
      <c r="BP833">
        <v>0.67</v>
      </c>
      <c r="BQ833">
        <v>0.12</v>
      </c>
      <c r="BR833">
        <v>1.53</v>
      </c>
      <c r="BS833">
        <v>0.43</v>
      </c>
      <c r="BT833">
        <v>-0.91</v>
      </c>
      <c r="BU833">
        <v>2.19</v>
      </c>
      <c r="BV833">
        <v>1.92</v>
      </c>
      <c r="BW833">
        <v>0.59</v>
      </c>
      <c r="BX833">
        <v>1.95</v>
      </c>
      <c r="BY833">
        <v>1.96</v>
      </c>
      <c r="BZ833">
        <v>-1.21</v>
      </c>
      <c r="CA833">
        <v>1.83</v>
      </c>
      <c r="CB833">
        <v>2.0499999999999998</v>
      </c>
      <c r="CC833">
        <v>0.57999999999999996</v>
      </c>
      <c r="CD833">
        <v>-0.37</v>
      </c>
      <c r="CE833">
        <v>0.6</v>
      </c>
      <c r="CF833">
        <v>0.25</v>
      </c>
      <c r="CG833">
        <v>0</v>
      </c>
      <c r="CH833">
        <v>2.04</v>
      </c>
      <c r="CI833">
        <v>0</v>
      </c>
      <c r="CJ833">
        <v>4.5</v>
      </c>
      <c r="CK833">
        <v>95</v>
      </c>
      <c r="CL833">
        <v>-0.94</v>
      </c>
      <c r="CM833">
        <v>93</v>
      </c>
      <c r="CN833">
        <v>-0.46</v>
      </c>
      <c r="CO833">
        <v>93</v>
      </c>
      <c r="CP833">
        <v>2.6</v>
      </c>
      <c r="CQ833">
        <v>77</v>
      </c>
      <c r="CR833">
        <v>0</v>
      </c>
      <c r="CS833">
        <v>0</v>
      </c>
      <c r="CT833">
        <v>10.4</v>
      </c>
      <c r="CU833">
        <v>80</v>
      </c>
      <c r="CV833">
        <v>0.25</v>
      </c>
      <c r="CW833">
        <v>45</v>
      </c>
      <c r="CX833" t="s">
        <v>358</v>
      </c>
    </row>
    <row r="834" spans="1:102" x14ac:dyDescent="0.3">
      <c r="A834" t="str">
        <f>HYPERLINK("https://webapp.icbf.com/v2/app/bull-search/view/108907464","CEJ")</f>
        <v>CEJ</v>
      </c>
      <c r="B834" t="s">
        <v>9669</v>
      </c>
      <c r="C834" t="s">
        <v>9670</v>
      </c>
      <c r="D834" s="1">
        <v>34900</v>
      </c>
      <c r="E834" t="s">
        <v>227</v>
      </c>
      <c r="F834">
        <v>0</v>
      </c>
      <c r="G834" t="s">
        <v>93</v>
      </c>
      <c r="H834">
        <v>156.61000000000001</v>
      </c>
      <c r="I834">
        <v>79</v>
      </c>
      <c r="J834">
        <v>30.7</v>
      </c>
      <c r="K834">
        <v>90</v>
      </c>
      <c r="L834">
        <v>78.42</v>
      </c>
      <c r="M834">
        <v>72</v>
      </c>
      <c r="N834">
        <v>24.09</v>
      </c>
      <c r="O834">
        <v>71</v>
      </c>
      <c r="P834">
        <v>-49.73</v>
      </c>
      <c r="Q834">
        <v>83</v>
      </c>
      <c r="R834">
        <v>7.31</v>
      </c>
      <c r="S834">
        <v>66</v>
      </c>
      <c r="T834">
        <v>63.26</v>
      </c>
      <c r="U834">
        <v>82</v>
      </c>
      <c r="V834">
        <v>2.56</v>
      </c>
      <c r="W834">
        <v>62</v>
      </c>
      <c r="X834" t="s">
        <v>4976</v>
      </c>
      <c r="Y834" t="s">
        <v>95</v>
      </c>
      <c r="Z834">
        <v>0</v>
      </c>
      <c r="AA834" t="s">
        <v>514</v>
      </c>
      <c r="AB834" t="s">
        <v>9671</v>
      </c>
      <c r="AC834">
        <v>39</v>
      </c>
      <c r="AD834">
        <v>21</v>
      </c>
      <c r="AE834">
        <v>90</v>
      </c>
      <c r="AF834">
        <v>-414.89</v>
      </c>
      <c r="AG834">
        <v>8.23</v>
      </c>
      <c r="AH834">
        <v>-4.04</v>
      </c>
      <c r="AI834">
        <v>0.43</v>
      </c>
      <c r="AJ834">
        <v>0.18</v>
      </c>
      <c r="AK834">
        <v>72</v>
      </c>
      <c r="AL834">
        <v>42</v>
      </c>
      <c r="AM834">
        <v>23</v>
      </c>
      <c r="AN834">
        <v>-3.05</v>
      </c>
      <c r="AO834">
        <v>3.22</v>
      </c>
      <c r="AP834">
        <v>46</v>
      </c>
      <c r="AQ834">
        <v>0</v>
      </c>
      <c r="AR834">
        <v>2.12</v>
      </c>
      <c r="AS834">
        <v>60</v>
      </c>
      <c r="AT834">
        <v>1.33</v>
      </c>
      <c r="AU834">
        <v>64</v>
      </c>
      <c r="AV834">
        <v>-1.29</v>
      </c>
      <c r="AW834">
        <v>87</v>
      </c>
      <c r="AX834">
        <v>2.23</v>
      </c>
      <c r="AY834">
        <v>69</v>
      </c>
      <c r="AZ834">
        <v>6.59</v>
      </c>
      <c r="BA834">
        <v>45</v>
      </c>
      <c r="BB834">
        <v>5.53</v>
      </c>
      <c r="BC834">
        <v>53</v>
      </c>
      <c r="BD834">
        <v>-0.09</v>
      </c>
      <c r="BE834">
        <v>-0.02</v>
      </c>
      <c r="BF834">
        <v>0.02</v>
      </c>
      <c r="BG834">
        <v>73</v>
      </c>
      <c r="BH834">
        <v>0.01</v>
      </c>
      <c r="BI834">
        <v>-7.09</v>
      </c>
      <c r="BJ834">
        <v>2</v>
      </c>
      <c r="BK834">
        <v>2</v>
      </c>
      <c r="BL834">
        <v>-3.02</v>
      </c>
      <c r="BM834">
        <v>-0.84</v>
      </c>
      <c r="BN834">
        <v>-0.26</v>
      </c>
      <c r="BO834">
        <v>0.56999999999999995</v>
      </c>
      <c r="BP834">
        <v>-0.46</v>
      </c>
      <c r="BQ834">
        <v>-5.68</v>
      </c>
      <c r="BR834">
        <v>3.3</v>
      </c>
      <c r="BS834">
        <v>5.75</v>
      </c>
      <c r="BT834">
        <v>-2.46</v>
      </c>
      <c r="BU834">
        <v>-1.1599999999999999</v>
      </c>
      <c r="BV834">
        <v>-1.01</v>
      </c>
      <c r="BW834">
        <v>-2.94</v>
      </c>
      <c r="BX834">
        <v>-4.8</v>
      </c>
      <c r="BY834">
        <v>0</v>
      </c>
      <c r="BZ834">
        <v>-0.45</v>
      </c>
      <c r="CA834">
        <v>0.42</v>
      </c>
      <c r="CB834">
        <v>-0.64</v>
      </c>
      <c r="CC834">
        <v>2.54</v>
      </c>
      <c r="CD834">
        <v>-0.81</v>
      </c>
      <c r="CE834">
        <v>0.46</v>
      </c>
      <c r="CF834">
        <v>-3.08</v>
      </c>
      <c r="CG834">
        <v>0</v>
      </c>
      <c r="CH834">
        <v>-1.39</v>
      </c>
      <c r="CI834">
        <v>0</v>
      </c>
      <c r="CJ834">
        <v>-25</v>
      </c>
      <c r="CK834">
        <v>84</v>
      </c>
      <c r="CL834">
        <v>-0.8</v>
      </c>
      <c r="CM834">
        <v>81</v>
      </c>
      <c r="CN834">
        <v>-0.04</v>
      </c>
      <c r="CO834">
        <v>78</v>
      </c>
      <c r="CP834">
        <v>-49.6</v>
      </c>
      <c r="CQ834">
        <v>84</v>
      </c>
      <c r="CR834">
        <v>0</v>
      </c>
      <c r="CS834">
        <v>0</v>
      </c>
      <c r="CT834">
        <v>-71.7</v>
      </c>
      <c r="CU834">
        <v>82</v>
      </c>
      <c r="CV834">
        <v>-0.27</v>
      </c>
      <c r="CW834">
        <v>23</v>
      </c>
      <c r="CX834" t="s">
        <v>8212</v>
      </c>
    </row>
    <row r="835" spans="1:102" x14ac:dyDescent="0.3">
      <c r="A835" t="str">
        <f>HYPERLINK("https://webapp.icbf.com/v2/app/bull-search/view/498230892","KZI")</f>
        <v>KZI</v>
      </c>
      <c r="B835" t="s">
        <v>12290</v>
      </c>
      <c r="C835" t="s">
        <v>12291</v>
      </c>
      <c r="D835" s="1">
        <v>39129</v>
      </c>
      <c r="E835" t="s">
        <v>395</v>
      </c>
      <c r="F835">
        <v>0</v>
      </c>
      <c r="G835" t="s">
        <v>93</v>
      </c>
      <c r="H835">
        <v>156.61000000000001</v>
      </c>
      <c r="I835">
        <v>86</v>
      </c>
      <c r="J835">
        <v>6</v>
      </c>
      <c r="K835">
        <v>97</v>
      </c>
      <c r="L835">
        <v>103.04</v>
      </c>
      <c r="M835">
        <v>74</v>
      </c>
      <c r="N835">
        <v>36.32</v>
      </c>
      <c r="O835">
        <v>88</v>
      </c>
      <c r="P835">
        <v>-9.35</v>
      </c>
      <c r="Q835">
        <v>95</v>
      </c>
      <c r="R835">
        <v>7.32</v>
      </c>
      <c r="S835">
        <v>79</v>
      </c>
      <c r="T835">
        <v>14.79</v>
      </c>
      <c r="U835">
        <v>88</v>
      </c>
      <c r="V835">
        <v>-1.51</v>
      </c>
      <c r="W835">
        <v>84</v>
      </c>
      <c r="X835" t="s">
        <v>94</v>
      </c>
      <c r="Y835" t="s">
        <v>4217</v>
      </c>
      <c r="Z835">
        <v>0</v>
      </c>
      <c r="AA835" t="s">
        <v>396</v>
      </c>
      <c r="AB835" t="s">
        <v>12292</v>
      </c>
      <c r="AC835">
        <v>128</v>
      </c>
      <c r="AD835">
        <v>82</v>
      </c>
      <c r="AE835">
        <v>97</v>
      </c>
      <c r="AF835">
        <v>-133.38999999999999</v>
      </c>
      <c r="AG835">
        <v>-0.74</v>
      </c>
      <c r="AH835">
        <v>-0.76</v>
      </c>
      <c r="AI835">
        <v>0.08</v>
      </c>
      <c r="AJ835">
        <v>0.06</v>
      </c>
      <c r="AK835">
        <v>74</v>
      </c>
      <c r="AL835">
        <v>158</v>
      </c>
      <c r="AM835">
        <v>93</v>
      </c>
      <c r="AN835">
        <v>-6.17</v>
      </c>
      <c r="AO835">
        <v>2.04</v>
      </c>
      <c r="AP835">
        <v>292</v>
      </c>
      <c r="AQ835">
        <v>3</v>
      </c>
      <c r="AR835">
        <v>7.75</v>
      </c>
      <c r="AS835">
        <v>75</v>
      </c>
      <c r="AT835">
        <v>3.04</v>
      </c>
      <c r="AU835">
        <v>89</v>
      </c>
      <c r="AV835">
        <v>-4.01</v>
      </c>
      <c r="AW835">
        <v>98</v>
      </c>
      <c r="AX835">
        <v>-0.43</v>
      </c>
      <c r="AY835">
        <v>86</v>
      </c>
      <c r="AZ835">
        <v>6.26</v>
      </c>
      <c r="BA835">
        <v>66</v>
      </c>
      <c r="BB835">
        <v>4.43</v>
      </c>
      <c r="BC835">
        <v>72</v>
      </c>
      <c r="BD835">
        <v>-0.02</v>
      </c>
      <c r="BE835">
        <v>-0.05</v>
      </c>
      <c r="BF835">
        <v>-0.04</v>
      </c>
      <c r="BG835">
        <v>87</v>
      </c>
      <c r="BH835">
        <v>-0.25</v>
      </c>
      <c r="BI835">
        <v>-24.05</v>
      </c>
      <c r="BJ835">
        <v>29</v>
      </c>
      <c r="BK835">
        <v>18</v>
      </c>
      <c r="BL835">
        <v>-2.0499999999999998</v>
      </c>
      <c r="BM835">
        <v>-0.76</v>
      </c>
      <c r="BN835">
        <v>-2.94</v>
      </c>
      <c r="BO835">
        <v>-1.78</v>
      </c>
      <c r="BP835">
        <v>2.17</v>
      </c>
      <c r="BQ835">
        <v>-3.12</v>
      </c>
      <c r="BR835">
        <v>-1.79</v>
      </c>
      <c r="BS835">
        <v>0.44</v>
      </c>
      <c r="BT835">
        <v>1.17</v>
      </c>
      <c r="BU835">
        <v>-1.24</v>
      </c>
      <c r="BV835">
        <v>-2.09</v>
      </c>
      <c r="BW835">
        <v>-2.5499999999999998</v>
      </c>
      <c r="BX835">
        <v>-0.81</v>
      </c>
      <c r="BY835">
        <v>-1.97</v>
      </c>
      <c r="BZ835">
        <v>-4.78</v>
      </c>
      <c r="CA835">
        <v>-1.4</v>
      </c>
      <c r="CB835">
        <v>-1.84</v>
      </c>
      <c r="CC835">
        <v>-0.24</v>
      </c>
      <c r="CD835">
        <v>0.51</v>
      </c>
      <c r="CE835">
        <v>-1.64</v>
      </c>
      <c r="CF835">
        <v>-2.48</v>
      </c>
      <c r="CG835">
        <v>0</v>
      </c>
      <c r="CH835">
        <v>-1.6</v>
      </c>
      <c r="CI835">
        <v>0</v>
      </c>
      <c r="CJ835">
        <v>-3.8</v>
      </c>
      <c r="CK835">
        <v>96</v>
      </c>
      <c r="CL835">
        <v>-0.49</v>
      </c>
      <c r="CM835">
        <v>95</v>
      </c>
      <c r="CN835">
        <v>-0.19</v>
      </c>
      <c r="CO835">
        <v>94</v>
      </c>
      <c r="CP835">
        <v>-8.5</v>
      </c>
      <c r="CQ835">
        <v>88</v>
      </c>
      <c r="CR835">
        <v>0</v>
      </c>
      <c r="CS835">
        <v>0</v>
      </c>
      <c r="CT835">
        <v>-6.2</v>
      </c>
      <c r="CU835">
        <v>88</v>
      </c>
      <c r="CV835">
        <v>0.01</v>
      </c>
      <c r="CW835">
        <v>28</v>
      </c>
      <c r="CX835" t="s">
        <v>8101</v>
      </c>
    </row>
    <row r="836" spans="1:102" x14ac:dyDescent="0.3">
      <c r="A836" t="str">
        <f>HYPERLINK("https://webapp.icbf.com/v2/app/bull-search/view/1043239314","PCZ")</f>
        <v>PCZ</v>
      </c>
      <c r="B836" t="s">
        <v>10164</v>
      </c>
      <c r="C836" t="s">
        <v>6160</v>
      </c>
      <c r="D836" s="1">
        <v>41315</v>
      </c>
      <c r="E836" t="s">
        <v>92</v>
      </c>
      <c r="F836">
        <v>78</v>
      </c>
      <c r="G836" t="s">
        <v>93</v>
      </c>
      <c r="H836">
        <v>156.49</v>
      </c>
      <c r="I836">
        <v>95</v>
      </c>
      <c r="J836">
        <v>84.39</v>
      </c>
      <c r="K836">
        <v>99</v>
      </c>
      <c r="L836">
        <v>29.36</v>
      </c>
      <c r="M836">
        <v>91</v>
      </c>
      <c r="N836">
        <v>42.93</v>
      </c>
      <c r="O836">
        <v>98</v>
      </c>
      <c r="P836">
        <v>-26.06</v>
      </c>
      <c r="Q836">
        <v>99</v>
      </c>
      <c r="R836">
        <v>2.86</v>
      </c>
      <c r="S836">
        <v>94</v>
      </c>
      <c r="T836">
        <v>18.12</v>
      </c>
      <c r="U836">
        <v>99</v>
      </c>
      <c r="V836">
        <v>4.8899999999999997</v>
      </c>
      <c r="W836">
        <v>78</v>
      </c>
      <c r="X836" t="s">
        <v>94</v>
      </c>
      <c r="Y836" t="s">
        <v>389</v>
      </c>
      <c r="Z836" t="s">
        <v>330</v>
      </c>
      <c r="AA836" t="s">
        <v>1830</v>
      </c>
      <c r="AB836" t="s">
        <v>10165</v>
      </c>
      <c r="AC836">
        <v>6003</v>
      </c>
      <c r="AD836">
        <v>1682</v>
      </c>
      <c r="AE836">
        <v>99</v>
      </c>
      <c r="AF836">
        <v>216.78</v>
      </c>
      <c r="AG836">
        <v>13.2</v>
      </c>
      <c r="AH836">
        <v>13</v>
      </c>
      <c r="AI836">
        <v>0.08</v>
      </c>
      <c r="AJ836">
        <v>0.1</v>
      </c>
      <c r="AK836">
        <v>91</v>
      </c>
      <c r="AL836">
        <v>4608</v>
      </c>
      <c r="AM836">
        <v>1682</v>
      </c>
      <c r="AN836">
        <v>-0.93</v>
      </c>
      <c r="AO836">
        <v>1.42</v>
      </c>
      <c r="AP836">
        <v>14743</v>
      </c>
      <c r="AQ836">
        <v>95</v>
      </c>
      <c r="AR836">
        <v>5.24</v>
      </c>
      <c r="AS836">
        <v>99</v>
      </c>
      <c r="AT836">
        <v>2.23</v>
      </c>
      <c r="AU836">
        <v>99</v>
      </c>
      <c r="AV836">
        <v>-3.23</v>
      </c>
      <c r="AW836">
        <v>99</v>
      </c>
      <c r="AX836">
        <v>-0.82</v>
      </c>
      <c r="AY836">
        <v>99</v>
      </c>
      <c r="AZ836">
        <v>5.36</v>
      </c>
      <c r="BA836">
        <v>99</v>
      </c>
      <c r="BB836">
        <v>4.75</v>
      </c>
      <c r="BC836">
        <v>94</v>
      </c>
      <c r="BD836">
        <v>-0.04</v>
      </c>
      <c r="BE836">
        <v>-0.01</v>
      </c>
      <c r="BF836">
        <v>0.02</v>
      </c>
      <c r="BG836">
        <v>99</v>
      </c>
      <c r="BH836">
        <v>0.11</v>
      </c>
      <c r="BI836">
        <v>-3.06</v>
      </c>
      <c r="BJ836">
        <v>48</v>
      </c>
      <c r="BK836">
        <v>11</v>
      </c>
      <c r="BL836">
        <v>-1.88</v>
      </c>
      <c r="BM836">
        <v>-0.14000000000000001</v>
      </c>
      <c r="BN836">
        <v>-1.17</v>
      </c>
      <c r="BO836">
        <v>-0.86</v>
      </c>
      <c r="BP836">
        <v>1.85</v>
      </c>
      <c r="BQ836">
        <v>0.5</v>
      </c>
      <c r="BR836">
        <v>1.38</v>
      </c>
      <c r="BS836">
        <v>0.54</v>
      </c>
      <c r="BT836">
        <v>-2.16</v>
      </c>
      <c r="BU836">
        <v>-2.56</v>
      </c>
      <c r="BV836">
        <v>-2.5499999999999998</v>
      </c>
      <c r="BW836">
        <v>-2.7</v>
      </c>
      <c r="BX836">
        <v>-3.11</v>
      </c>
      <c r="BY836">
        <v>-1.85</v>
      </c>
      <c r="BZ836">
        <v>1.2</v>
      </c>
      <c r="CA836">
        <v>-1.74</v>
      </c>
      <c r="CB836">
        <v>-2.14</v>
      </c>
      <c r="CC836">
        <v>0.1</v>
      </c>
      <c r="CD836">
        <v>1.06</v>
      </c>
      <c r="CE836">
        <v>-0.49</v>
      </c>
      <c r="CF836">
        <v>-2.4500000000000002</v>
      </c>
      <c r="CG836">
        <v>0</v>
      </c>
      <c r="CH836">
        <v>-1.36</v>
      </c>
      <c r="CI836">
        <v>0</v>
      </c>
      <c r="CJ836">
        <v>-11.7</v>
      </c>
      <c r="CK836">
        <v>99</v>
      </c>
      <c r="CL836">
        <v>-0.64</v>
      </c>
      <c r="CM836">
        <v>99</v>
      </c>
      <c r="CN836">
        <v>0.14000000000000001</v>
      </c>
      <c r="CO836">
        <v>99</v>
      </c>
      <c r="CP836">
        <v>-11.1</v>
      </c>
      <c r="CQ836">
        <v>98</v>
      </c>
      <c r="CR836">
        <v>0</v>
      </c>
      <c r="CS836">
        <v>0</v>
      </c>
      <c r="CT836">
        <v>-10.7</v>
      </c>
      <c r="CU836">
        <v>99</v>
      </c>
      <c r="CV836">
        <v>0.02</v>
      </c>
      <c r="CW836">
        <v>47</v>
      </c>
      <c r="CX836" t="s">
        <v>1165</v>
      </c>
    </row>
    <row r="837" spans="1:102" x14ac:dyDescent="0.3">
      <c r="A837" t="str">
        <f>HYPERLINK("https://webapp.icbf.com/v2/app/bull-search/view/1476116194","FR4374")</f>
        <v>FR4374</v>
      </c>
      <c r="B837" t="s">
        <v>6564</v>
      </c>
      <c r="C837" t="s">
        <v>6565</v>
      </c>
      <c r="D837" s="1">
        <v>42774</v>
      </c>
      <c r="E837" t="s">
        <v>92</v>
      </c>
      <c r="F837">
        <v>59</v>
      </c>
      <c r="G837" t="s">
        <v>435</v>
      </c>
      <c r="H837">
        <v>156.41</v>
      </c>
      <c r="I837">
        <v>67</v>
      </c>
      <c r="J837">
        <v>103.65</v>
      </c>
      <c r="K837">
        <v>87</v>
      </c>
      <c r="L837">
        <v>23.02</v>
      </c>
      <c r="M837">
        <v>59</v>
      </c>
      <c r="N837">
        <v>39.85</v>
      </c>
      <c r="O837">
        <v>69</v>
      </c>
      <c r="P837">
        <v>-20.82</v>
      </c>
      <c r="Q837">
        <v>49</v>
      </c>
      <c r="R837">
        <v>-13.14</v>
      </c>
      <c r="S837">
        <v>60</v>
      </c>
      <c r="T837">
        <v>19.079999999999998</v>
      </c>
      <c r="U837">
        <v>46</v>
      </c>
      <c r="V837">
        <v>4.7699999999999996</v>
      </c>
      <c r="W837">
        <v>56</v>
      </c>
      <c r="X837" t="s">
        <v>94</v>
      </c>
      <c r="Y837" t="s">
        <v>2255</v>
      </c>
      <c r="Z837" t="s">
        <v>6191</v>
      </c>
      <c r="AA837" t="s">
        <v>2512</v>
      </c>
      <c r="AB837" t="s">
        <v>144</v>
      </c>
      <c r="AC837">
        <v>0</v>
      </c>
      <c r="AD837">
        <v>0</v>
      </c>
      <c r="AE837">
        <v>87</v>
      </c>
      <c r="AF837">
        <v>32.65</v>
      </c>
      <c r="AG837">
        <v>18.850000000000001</v>
      </c>
      <c r="AH837">
        <v>11.46</v>
      </c>
      <c r="AI837">
        <v>0.3</v>
      </c>
      <c r="AJ837">
        <v>0.18</v>
      </c>
      <c r="AK837">
        <v>59</v>
      </c>
      <c r="AL837">
        <v>0</v>
      </c>
      <c r="AM837">
        <v>0</v>
      </c>
      <c r="AN837">
        <v>1.41</v>
      </c>
      <c r="AO837">
        <v>3.28</v>
      </c>
      <c r="AP837">
        <v>67</v>
      </c>
      <c r="AQ837">
        <v>0</v>
      </c>
      <c r="AR837">
        <v>4.42</v>
      </c>
      <c r="AS837">
        <v>58</v>
      </c>
      <c r="AT837">
        <v>1.93</v>
      </c>
      <c r="AU837">
        <v>75</v>
      </c>
      <c r="AV837">
        <v>-3.66</v>
      </c>
      <c r="AW837">
        <v>82</v>
      </c>
      <c r="AX837">
        <v>0.54</v>
      </c>
      <c r="AY837">
        <v>63</v>
      </c>
      <c r="AZ837">
        <v>6.66</v>
      </c>
      <c r="BA837">
        <v>42</v>
      </c>
      <c r="BB837">
        <v>5.65</v>
      </c>
      <c r="BC837">
        <v>33</v>
      </c>
      <c r="BD837">
        <v>0</v>
      </c>
      <c r="BE837">
        <v>0.08</v>
      </c>
      <c r="BF837">
        <v>0.15</v>
      </c>
      <c r="BG837">
        <v>70</v>
      </c>
      <c r="BH837">
        <v>0.12</v>
      </c>
      <c r="BI837">
        <v>-1.51</v>
      </c>
      <c r="BJ837">
        <v>0</v>
      </c>
      <c r="BK837">
        <v>0</v>
      </c>
      <c r="BL837">
        <v>-0.56999999999999995</v>
      </c>
      <c r="BM837">
        <v>0.93</v>
      </c>
      <c r="BN837">
        <v>-0.12</v>
      </c>
      <c r="BO837">
        <v>-0.56999999999999995</v>
      </c>
      <c r="BP837">
        <v>0.02</v>
      </c>
      <c r="BQ837">
        <v>-0.56000000000000005</v>
      </c>
      <c r="BR837">
        <v>2.06</v>
      </c>
      <c r="BS837">
        <v>0.23</v>
      </c>
      <c r="BT837">
        <v>-1.73</v>
      </c>
      <c r="BU837">
        <v>-1</v>
      </c>
      <c r="BV837">
        <v>-1.33</v>
      </c>
      <c r="BW837">
        <v>-2.0099999999999998</v>
      </c>
      <c r="BX837">
        <v>-1.74</v>
      </c>
      <c r="BY837">
        <v>-0.98</v>
      </c>
      <c r="BZ837">
        <v>-1.19</v>
      </c>
      <c r="CA837">
        <v>-0.45</v>
      </c>
      <c r="CB837">
        <v>-0.94</v>
      </c>
      <c r="CC837">
        <v>0.72</v>
      </c>
      <c r="CD837">
        <v>0.56000000000000005</v>
      </c>
      <c r="CE837">
        <v>-0.49</v>
      </c>
      <c r="CF837">
        <v>-0.64</v>
      </c>
      <c r="CG837">
        <v>0</v>
      </c>
      <c r="CH837">
        <v>-1.52</v>
      </c>
      <c r="CI837">
        <v>0</v>
      </c>
      <c r="CJ837">
        <v>-9.6999999999999993</v>
      </c>
      <c r="CK837">
        <v>51</v>
      </c>
      <c r="CL837">
        <v>-0.69</v>
      </c>
      <c r="CM837">
        <v>47</v>
      </c>
      <c r="CN837">
        <v>-0.2</v>
      </c>
      <c r="CO837">
        <v>46</v>
      </c>
      <c r="CP837">
        <v>-17.7</v>
      </c>
      <c r="CQ837">
        <v>46</v>
      </c>
      <c r="CR837">
        <v>0</v>
      </c>
      <c r="CS837">
        <v>0</v>
      </c>
      <c r="CT837">
        <v>-12</v>
      </c>
      <c r="CU837">
        <v>46</v>
      </c>
      <c r="CV837">
        <v>-0.01</v>
      </c>
      <c r="CW837">
        <v>35</v>
      </c>
      <c r="CX837" t="s">
        <v>2663</v>
      </c>
    </row>
    <row r="838" spans="1:102" x14ac:dyDescent="0.3">
      <c r="A838" t="str">
        <f>HYPERLINK("https://webapp.icbf.com/v2/app/bull-search/view/910808148","S3088")</f>
        <v>S3088</v>
      </c>
      <c r="B838" t="s">
        <v>9402</v>
      </c>
      <c r="C838" t="s">
        <v>9403</v>
      </c>
      <c r="D838" s="1">
        <v>40427</v>
      </c>
      <c r="E838" t="s">
        <v>92</v>
      </c>
      <c r="F838">
        <v>100</v>
      </c>
      <c r="G838" t="s">
        <v>109</v>
      </c>
      <c r="H838">
        <v>156.41</v>
      </c>
      <c r="I838">
        <v>76</v>
      </c>
      <c r="J838">
        <v>114.32</v>
      </c>
      <c r="K838">
        <v>91</v>
      </c>
      <c r="L838">
        <v>17.54</v>
      </c>
      <c r="M838">
        <v>81</v>
      </c>
      <c r="N838">
        <v>32.94</v>
      </c>
      <c r="O838">
        <v>66</v>
      </c>
      <c r="P838">
        <v>3.92</v>
      </c>
      <c r="Q838">
        <v>55</v>
      </c>
      <c r="R838">
        <v>3.35</v>
      </c>
      <c r="S838">
        <v>70</v>
      </c>
      <c r="T838">
        <v>-8.82</v>
      </c>
      <c r="U838">
        <v>42</v>
      </c>
      <c r="V838">
        <v>-6.84</v>
      </c>
      <c r="W838">
        <v>54</v>
      </c>
      <c r="X838" t="s">
        <v>110</v>
      </c>
      <c r="Y838" t="s">
        <v>457</v>
      </c>
      <c r="Z838" t="s">
        <v>330</v>
      </c>
      <c r="AA838" t="s">
        <v>2356</v>
      </c>
      <c r="AB838" t="s">
        <v>9404</v>
      </c>
      <c r="AC838">
        <v>0</v>
      </c>
      <c r="AD838">
        <v>0</v>
      </c>
      <c r="AE838">
        <v>91</v>
      </c>
      <c r="AF838">
        <v>420.13</v>
      </c>
      <c r="AG838">
        <v>21.69</v>
      </c>
      <c r="AH838">
        <v>18.2</v>
      </c>
      <c r="AI838">
        <v>0.09</v>
      </c>
      <c r="AJ838">
        <v>0.06</v>
      </c>
      <c r="AK838">
        <v>81</v>
      </c>
      <c r="AL838">
        <v>0</v>
      </c>
      <c r="AM838">
        <v>0</v>
      </c>
      <c r="AN838">
        <v>-0.11</v>
      </c>
      <c r="AO838">
        <v>1.3</v>
      </c>
      <c r="AP838">
        <v>30</v>
      </c>
      <c r="AQ838">
        <v>0</v>
      </c>
      <c r="AR838">
        <v>6.57</v>
      </c>
      <c r="AS838">
        <v>53</v>
      </c>
      <c r="AT838">
        <v>1.99</v>
      </c>
      <c r="AU838">
        <v>92</v>
      </c>
      <c r="AV838">
        <v>-2.92</v>
      </c>
      <c r="AW838">
        <v>68</v>
      </c>
      <c r="AX838">
        <v>-0.84</v>
      </c>
      <c r="AY838">
        <v>52</v>
      </c>
      <c r="AZ838">
        <v>6.88</v>
      </c>
      <c r="BA838">
        <v>37</v>
      </c>
      <c r="BB838">
        <v>5.59</v>
      </c>
      <c r="BC838">
        <v>34</v>
      </c>
      <c r="BD838">
        <v>-0.06</v>
      </c>
      <c r="BE838">
        <v>-0.03</v>
      </c>
      <c r="BF838">
        <v>0.08</v>
      </c>
      <c r="BG838">
        <v>90</v>
      </c>
      <c r="BH838">
        <v>-0.21</v>
      </c>
      <c r="BI838">
        <v>-2.2400000000000002</v>
      </c>
      <c r="BJ838">
        <v>0</v>
      </c>
      <c r="BK838">
        <v>0</v>
      </c>
      <c r="BL838">
        <v>-0.15</v>
      </c>
      <c r="BM838">
        <v>0.48</v>
      </c>
      <c r="BN838">
        <v>-0.63</v>
      </c>
      <c r="BO838">
        <v>-0.01</v>
      </c>
      <c r="BP838">
        <v>0.28000000000000003</v>
      </c>
      <c r="BQ838">
        <v>0.48</v>
      </c>
      <c r="BR838">
        <v>-0.97</v>
      </c>
      <c r="BS838">
        <v>1.95</v>
      </c>
      <c r="BT838">
        <v>0.52</v>
      </c>
      <c r="BU838">
        <v>0.1</v>
      </c>
      <c r="BV838">
        <v>0.52</v>
      </c>
      <c r="BW838">
        <v>-0.89</v>
      </c>
      <c r="BX838">
        <v>-0.52</v>
      </c>
      <c r="BY838">
        <v>1.37</v>
      </c>
      <c r="BZ838">
        <v>-0.43</v>
      </c>
      <c r="CA838">
        <v>1.1200000000000001</v>
      </c>
      <c r="CB838">
        <v>0.56999999999999995</v>
      </c>
      <c r="CC838">
        <v>1.75</v>
      </c>
      <c r="CD838">
        <v>0.49</v>
      </c>
      <c r="CE838">
        <v>0.35</v>
      </c>
      <c r="CF838">
        <v>0.43</v>
      </c>
      <c r="CG838">
        <v>0</v>
      </c>
      <c r="CH838">
        <v>1.1299999999999999</v>
      </c>
      <c r="CI838">
        <v>0</v>
      </c>
      <c r="CJ838">
        <v>4.5999999999999996</v>
      </c>
      <c r="CK838">
        <v>60</v>
      </c>
      <c r="CL838">
        <v>-0.75</v>
      </c>
      <c r="CM838">
        <v>51</v>
      </c>
      <c r="CN838">
        <v>-0.35</v>
      </c>
      <c r="CO838">
        <v>50</v>
      </c>
      <c r="CP838">
        <v>8.1</v>
      </c>
      <c r="CQ838">
        <v>44</v>
      </c>
      <c r="CR838">
        <v>0</v>
      </c>
      <c r="CS838">
        <v>0</v>
      </c>
      <c r="CT838">
        <v>25.7</v>
      </c>
      <c r="CU838">
        <v>42</v>
      </c>
      <c r="CV838">
        <v>0.23</v>
      </c>
      <c r="CW838">
        <v>38</v>
      </c>
      <c r="CX838" t="s">
        <v>316</v>
      </c>
    </row>
    <row r="839" spans="1:102" x14ac:dyDescent="0.3">
      <c r="A839" t="str">
        <f>HYPERLINK("https://webapp.icbf.com/v2/app/bull-search/view/596298353","S977")</f>
        <v>S977</v>
      </c>
      <c r="B839" t="s">
        <v>12680</v>
      </c>
      <c r="C839" t="s">
        <v>1981</v>
      </c>
      <c r="D839" s="1">
        <v>36824</v>
      </c>
      <c r="E839" t="s">
        <v>210</v>
      </c>
      <c r="F839">
        <v>0</v>
      </c>
      <c r="G839" t="s">
        <v>109</v>
      </c>
      <c r="H839">
        <v>156.30000000000001</v>
      </c>
      <c r="I839">
        <v>79</v>
      </c>
      <c r="J839">
        <v>9.34</v>
      </c>
      <c r="K839">
        <v>84</v>
      </c>
      <c r="L839">
        <v>102.55</v>
      </c>
      <c r="M839">
        <v>78</v>
      </c>
      <c r="N839">
        <v>22.29</v>
      </c>
      <c r="O839">
        <v>78</v>
      </c>
      <c r="P839">
        <v>-15.14</v>
      </c>
      <c r="Q839">
        <v>85</v>
      </c>
      <c r="R839">
        <v>11.82</v>
      </c>
      <c r="S839">
        <v>51</v>
      </c>
      <c r="T839">
        <v>26.26</v>
      </c>
      <c r="U839">
        <v>83</v>
      </c>
      <c r="V839">
        <v>-0.82</v>
      </c>
      <c r="W839">
        <v>44</v>
      </c>
      <c r="X839" t="s">
        <v>251</v>
      </c>
      <c r="Y839" t="s">
        <v>303</v>
      </c>
      <c r="Z839">
        <v>0</v>
      </c>
      <c r="AA839" t="s">
        <v>12681</v>
      </c>
      <c r="AB839" t="s">
        <v>12682</v>
      </c>
      <c r="AC839">
        <v>0</v>
      </c>
      <c r="AD839">
        <v>0</v>
      </c>
      <c r="AE839">
        <v>84</v>
      </c>
      <c r="AF839">
        <v>-68.98</v>
      </c>
      <c r="AG839">
        <v>1.59</v>
      </c>
      <c r="AH839">
        <v>-0.03</v>
      </c>
      <c r="AI839">
        <v>7.0000000000000007E-2</v>
      </c>
      <c r="AJ839">
        <v>0.04</v>
      </c>
      <c r="AK839">
        <v>78</v>
      </c>
      <c r="AL839">
        <v>0</v>
      </c>
      <c r="AM839">
        <v>0</v>
      </c>
      <c r="AN839">
        <v>-3.9</v>
      </c>
      <c r="AO839">
        <v>4.3</v>
      </c>
      <c r="AP839">
        <v>40</v>
      </c>
      <c r="AQ839">
        <v>2</v>
      </c>
      <c r="AR839">
        <v>5.39</v>
      </c>
      <c r="AS839">
        <v>68</v>
      </c>
      <c r="AT839">
        <v>2.59</v>
      </c>
      <c r="AU839">
        <v>89</v>
      </c>
      <c r="AV839">
        <v>-1.61</v>
      </c>
      <c r="AW839">
        <v>88</v>
      </c>
      <c r="AX839">
        <v>0.95</v>
      </c>
      <c r="AY839">
        <v>68</v>
      </c>
      <c r="AZ839">
        <v>5.76</v>
      </c>
      <c r="BA839">
        <v>48</v>
      </c>
      <c r="BB839">
        <v>4.72</v>
      </c>
      <c r="BC839">
        <v>48</v>
      </c>
      <c r="BD839">
        <v>-0.01</v>
      </c>
      <c r="BE839">
        <v>-0.05</v>
      </c>
      <c r="BF839">
        <v>-0.16</v>
      </c>
      <c r="BG839">
        <v>63</v>
      </c>
      <c r="BH839">
        <v>-0.11</v>
      </c>
      <c r="BI839">
        <v>-10.07</v>
      </c>
      <c r="BJ839">
        <v>0</v>
      </c>
      <c r="BK839">
        <v>0</v>
      </c>
      <c r="BL839">
        <v>-0.83</v>
      </c>
      <c r="BM839">
        <v>0.6</v>
      </c>
      <c r="BN839">
        <v>-0.78</v>
      </c>
      <c r="BO839">
        <v>-0.97</v>
      </c>
      <c r="BP839">
        <v>0.28000000000000003</v>
      </c>
      <c r="BQ839">
        <v>-0.39</v>
      </c>
      <c r="BR839">
        <v>0.23</v>
      </c>
      <c r="BS839">
        <v>-0.05</v>
      </c>
      <c r="BT839">
        <v>-0.22</v>
      </c>
      <c r="BU839">
        <v>-0.68</v>
      </c>
      <c r="BV839">
        <v>-1.38</v>
      </c>
      <c r="BW839">
        <v>-1.04</v>
      </c>
      <c r="BX839">
        <v>-0.37</v>
      </c>
      <c r="BY839">
        <v>-0.69</v>
      </c>
      <c r="BZ839">
        <v>-0.18</v>
      </c>
      <c r="CA839">
        <v>-0.91</v>
      </c>
      <c r="CB839">
        <v>-1.04</v>
      </c>
      <c r="CC839">
        <v>-0.35</v>
      </c>
      <c r="CD839">
        <v>0.77</v>
      </c>
      <c r="CE839">
        <v>-0.98</v>
      </c>
      <c r="CF839">
        <v>-0.89</v>
      </c>
      <c r="CG839">
        <v>0</v>
      </c>
      <c r="CH839">
        <v>-0.8</v>
      </c>
      <c r="CI839">
        <v>0</v>
      </c>
      <c r="CJ839">
        <v>-7.1</v>
      </c>
      <c r="CK839">
        <v>87</v>
      </c>
      <c r="CL839">
        <v>-0.52</v>
      </c>
      <c r="CM839">
        <v>84</v>
      </c>
      <c r="CN839">
        <v>-0.21</v>
      </c>
      <c r="CO839">
        <v>82</v>
      </c>
      <c r="CP839">
        <v>-16.2</v>
      </c>
      <c r="CQ839">
        <v>76</v>
      </c>
      <c r="CR839">
        <v>0</v>
      </c>
      <c r="CS839">
        <v>0</v>
      </c>
      <c r="CT839">
        <v>-21.7</v>
      </c>
      <c r="CU839">
        <v>83</v>
      </c>
      <c r="CV839">
        <v>-0.05</v>
      </c>
      <c r="CW839">
        <v>43</v>
      </c>
      <c r="CX839" t="s">
        <v>12683</v>
      </c>
    </row>
    <row r="840" spans="1:102" x14ac:dyDescent="0.3">
      <c r="A840" t="str">
        <f>HYPERLINK("https://webapp.icbf.com/v2/app/bull-search/view/727353373","HJS")</f>
        <v>HJS</v>
      </c>
      <c r="B840" t="s">
        <v>1712</v>
      </c>
      <c r="C840" t="s">
        <v>1713</v>
      </c>
      <c r="D840" s="1">
        <v>39566</v>
      </c>
      <c r="E840" t="s">
        <v>92</v>
      </c>
      <c r="F840">
        <v>97</v>
      </c>
      <c r="G840" t="s">
        <v>93</v>
      </c>
      <c r="H840">
        <v>156.13</v>
      </c>
      <c r="I840">
        <v>86</v>
      </c>
      <c r="J840">
        <v>44.85</v>
      </c>
      <c r="K840">
        <v>96</v>
      </c>
      <c r="L840">
        <v>55.03</v>
      </c>
      <c r="M840">
        <v>79</v>
      </c>
      <c r="N840">
        <v>38.03</v>
      </c>
      <c r="O840">
        <v>85</v>
      </c>
      <c r="P840">
        <v>-15.2</v>
      </c>
      <c r="Q840">
        <v>93</v>
      </c>
      <c r="R840">
        <v>15.74</v>
      </c>
      <c r="S840">
        <v>77</v>
      </c>
      <c r="T840">
        <v>17.82</v>
      </c>
      <c r="U840">
        <v>83</v>
      </c>
      <c r="V840">
        <v>-0.14000000000000001</v>
      </c>
      <c r="W840">
        <v>70</v>
      </c>
      <c r="X840" t="s">
        <v>251</v>
      </c>
      <c r="Y840" t="s">
        <v>329</v>
      </c>
      <c r="Z840" t="s">
        <v>96</v>
      </c>
      <c r="AA840" t="s">
        <v>1714</v>
      </c>
      <c r="AB840" t="s">
        <v>1715</v>
      </c>
      <c r="AC840">
        <v>73</v>
      </c>
      <c r="AD840">
        <v>43</v>
      </c>
      <c r="AE840">
        <v>96</v>
      </c>
      <c r="AF840">
        <v>131.58000000000001</v>
      </c>
      <c r="AG840">
        <v>10.210000000000001</v>
      </c>
      <c r="AH840">
        <v>6.03</v>
      </c>
      <c r="AI840">
        <v>0.09</v>
      </c>
      <c r="AJ840">
        <v>0.03</v>
      </c>
      <c r="AK840">
        <v>79</v>
      </c>
      <c r="AL840">
        <v>95</v>
      </c>
      <c r="AM840">
        <v>51</v>
      </c>
      <c r="AN840">
        <v>-2.13</v>
      </c>
      <c r="AO840">
        <v>2.27</v>
      </c>
      <c r="AP840">
        <v>172</v>
      </c>
      <c r="AQ840">
        <v>1</v>
      </c>
      <c r="AR840">
        <v>5.33</v>
      </c>
      <c r="AS840">
        <v>78</v>
      </c>
      <c r="AT840">
        <v>2.1800000000000002</v>
      </c>
      <c r="AU840">
        <v>87</v>
      </c>
      <c r="AV840">
        <v>-3.53</v>
      </c>
      <c r="AW840">
        <v>94</v>
      </c>
      <c r="AX840">
        <v>-0.54</v>
      </c>
      <c r="AY840">
        <v>84</v>
      </c>
      <c r="AZ840">
        <v>7.38</v>
      </c>
      <c r="BA840">
        <v>66</v>
      </c>
      <c r="BB840">
        <v>5.48</v>
      </c>
      <c r="BC840">
        <v>65</v>
      </c>
      <c r="BD840">
        <v>-0.03</v>
      </c>
      <c r="BE840">
        <v>-0.08</v>
      </c>
      <c r="BF840">
        <v>-0.16</v>
      </c>
      <c r="BG840">
        <v>87</v>
      </c>
      <c r="BH840">
        <v>0.09</v>
      </c>
      <c r="BI840">
        <v>10.87</v>
      </c>
      <c r="BJ840">
        <v>18</v>
      </c>
      <c r="BK840">
        <v>11</v>
      </c>
      <c r="BL840">
        <v>-0.44</v>
      </c>
      <c r="BM840">
        <v>-2.52</v>
      </c>
      <c r="BN840">
        <v>-1.62</v>
      </c>
      <c r="BO840">
        <v>0.48</v>
      </c>
      <c r="BP840">
        <v>1.0900000000000001</v>
      </c>
      <c r="BQ840">
        <v>0.12</v>
      </c>
      <c r="BR840">
        <v>0.02</v>
      </c>
      <c r="BS840">
        <v>1.06</v>
      </c>
      <c r="BT840">
        <v>-0.85</v>
      </c>
      <c r="BU840">
        <v>0.41</v>
      </c>
      <c r="BV840">
        <v>1.2</v>
      </c>
      <c r="BW840">
        <v>0.81</v>
      </c>
      <c r="BX840">
        <v>0.98</v>
      </c>
      <c r="BY840">
        <v>-0.42</v>
      </c>
      <c r="BZ840">
        <v>-0.37</v>
      </c>
      <c r="CA840">
        <v>0.8</v>
      </c>
      <c r="CB840">
        <v>0.62</v>
      </c>
      <c r="CC840">
        <v>0.89</v>
      </c>
      <c r="CD840">
        <v>-1.28</v>
      </c>
      <c r="CE840">
        <v>0.38</v>
      </c>
      <c r="CF840">
        <v>-7.0000000000000007E-2</v>
      </c>
      <c r="CG840">
        <v>0</v>
      </c>
      <c r="CH840">
        <v>-0.46</v>
      </c>
      <c r="CI840">
        <v>0</v>
      </c>
      <c r="CJ840">
        <v>-5.6</v>
      </c>
      <c r="CK840">
        <v>94</v>
      </c>
      <c r="CL840">
        <v>-0.89</v>
      </c>
      <c r="CM840">
        <v>93</v>
      </c>
      <c r="CN840">
        <v>-0.26</v>
      </c>
      <c r="CO840">
        <v>92</v>
      </c>
      <c r="CP840">
        <v>-8.9</v>
      </c>
      <c r="CQ840">
        <v>87</v>
      </c>
      <c r="CR840">
        <v>0</v>
      </c>
      <c r="CS840">
        <v>0</v>
      </c>
      <c r="CT840">
        <v>-10.3</v>
      </c>
      <c r="CU840">
        <v>83</v>
      </c>
      <c r="CV840">
        <v>-0.01</v>
      </c>
      <c r="CW840">
        <v>44</v>
      </c>
      <c r="CX840" t="s">
        <v>350</v>
      </c>
    </row>
    <row r="841" spans="1:102" x14ac:dyDescent="0.3">
      <c r="A841" t="str">
        <f>HYPERLINK("https://webapp.icbf.com/v2/app/bull-search/view/586055152","S1035")</f>
        <v>S1035</v>
      </c>
      <c r="B841" t="s">
        <v>5315</v>
      </c>
      <c r="C841" t="s">
        <v>5316</v>
      </c>
      <c r="D841" s="1">
        <v>38369</v>
      </c>
      <c r="E841" t="s">
        <v>92</v>
      </c>
      <c r="F841">
        <v>100</v>
      </c>
      <c r="G841" t="s">
        <v>93</v>
      </c>
      <c r="H841">
        <v>156.06</v>
      </c>
      <c r="I841">
        <v>87</v>
      </c>
      <c r="J841">
        <v>10.050000000000001</v>
      </c>
      <c r="K841">
        <v>96</v>
      </c>
      <c r="L841">
        <v>70.709999999999994</v>
      </c>
      <c r="M841">
        <v>86</v>
      </c>
      <c r="N841">
        <v>53.13</v>
      </c>
      <c r="O841">
        <v>80</v>
      </c>
      <c r="P841">
        <v>-9.39</v>
      </c>
      <c r="Q841">
        <v>83</v>
      </c>
      <c r="R841">
        <v>17.38</v>
      </c>
      <c r="S841">
        <v>79</v>
      </c>
      <c r="T841">
        <v>10.64</v>
      </c>
      <c r="U841">
        <v>77</v>
      </c>
      <c r="V841">
        <v>3.54</v>
      </c>
      <c r="W841">
        <v>72</v>
      </c>
      <c r="X841" t="s">
        <v>102</v>
      </c>
      <c r="Y841" t="s">
        <v>336</v>
      </c>
      <c r="Z841" t="s">
        <v>96</v>
      </c>
      <c r="AA841" t="s">
        <v>277</v>
      </c>
      <c r="AB841" t="s">
        <v>5317</v>
      </c>
      <c r="AC841">
        <v>59</v>
      </c>
      <c r="AD841">
        <v>32</v>
      </c>
      <c r="AE841">
        <v>96</v>
      </c>
      <c r="AF841">
        <v>37.94</v>
      </c>
      <c r="AG841">
        <v>-1.81</v>
      </c>
      <c r="AH841">
        <v>2.93</v>
      </c>
      <c r="AI841">
        <v>-0.06</v>
      </c>
      <c r="AJ841">
        <v>0.03</v>
      </c>
      <c r="AK841">
        <v>86</v>
      </c>
      <c r="AL841">
        <v>64</v>
      </c>
      <c r="AM841">
        <v>31</v>
      </c>
      <c r="AN841">
        <v>-4.57</v>
      </c>
      <c r="AO841">
        <v>1.06</v>
      </c>
      <c r="AP841">
        <v>88</v>
      </c>
      <c r="AQ841">
        <v>0</v>
      </c>
      <c r="AR841">
        <v>4.46</v>
      </c>
      <c r="AS841">
        <v>81</v>
      </c>
      <c r="AT841">
        <v>1.71</v>
      </c>
      <c r="AU841">
        <v>79</v>
      </c>
      <c r="AV841">
        <v>-4.59</v>
      </c>
      <c r="AW841">
        <v>90</v>
      </c>
      <c r="AX841">
        <v>-0.69</v>
      </c>
      <c r="AY841">
        <v>71</v>
      </c>
      <c r="AZ841">
        <v>6.58</v>
      </c>
      <c r="BA841">
        <v>61</v>
      </c>
      <c r="BB841">
        <v>5.38</v>
      </c>
      <c r="BC841">
        <v>64</v>
      </c>
      <c r="BD841">
        <v>-7.0000000000000007E-2</v>
      </c>
      <c r="BE841">
        <v>-7.0000000000000007E-2</v>
      </c>
      <c r="BF841">
        <v>-0.15</v>
      </c>
      <c r="BG841">
        <v>90</v>
      </c>
      <c r="BH841">
        <v>0</v>
      </c>
      <c r="BI841">
        <v>-11.43</v>
      </c>
      <c r="BJ841">
        <v>7</v>
      </c>
      <c r="BK841">
        <v>4</v>
      </c>
      <c r="BL841">
        <v>0.46</v>
      </c>
      <c r="BM841">
        <v>-1.67</v>
      </c>
      <c r="BN841">
        <v>-1.39</v>
      </c>
      <c r="BO841">
        <v>-0.44</v>
      </c>
      <c r="BP841">
        <v>-1.62</v>
      </c>
      <c r="BQ841">
        <v>-1.06</v>
      </c>
      <c r="BR841">
        <v>-0.56000000000000005</v>
      </c>
      <c r="BS841">
        <v>0.84</v>
      </c>
      <c r="BT841">
        <v>1.1000000000000001</v>
      </c>
      <c r="BU841">
        <v>2.15</v>
      </c>
      <c r="BV841">
        <v>1.25</v>
      </c>
      <c r="BW841">
        <v>1.1100000000000001</v>
      </c>
      <c r="BX841">
        <v>2.96</v>
      </c>
      <c r="BY841">
        <v>1.31</v>
      </c>
      <c r="BZ841">
        <v>-1.88</v>
      </c>
      <c r="CA841">
        <v>2.0099999999999998</v>
      </c>
      <c r="CB841">
        <v>1.87</v>
      </c>
      <c r="CC841">
        <v>1.08</v>
      </c>
      <c r="CD841">
        <v>0.19</v>
      </c>
      <c r="CE841">
        <v>0.31</v>
      </c>
      <c r="CF841">
        <v>-0.45</v>
      </c>
      <c r="CG841">
        <v>0</v>
      </c>
      <c r="CH841">
        <v>2.14</v>
      </c>
      <c r="CI841">
        <v>0</v>
      </c>
      <c r="CJ841">
        <v>-0.8</v>
      </c>
      <c r="CK841">
        <v>85</v>
      </c>
      <c r="CL841">
        <v>-0.87</v>
      </c>
      <c r="CM841">
        <v>81</v>
      </c>
      <c r="CN841">
        <v>-0.06</v>
      </c>
      <c r="CO841">
        <v>79</v>
      </c>
      <c r="CP841">
        <v>-0.1</v>
      </c>
      <c r="CQ841">
        <v>79</v>
      </c>
      <c r="CR841">
        <v>0</v>
      </c>
      <c r="CS841">
        <v>0</v>
      </c>
      <c r="CT841">
        <v>-0.6</v>
      </c>
      <c r="CU841">
        <v>77</v>
      </c>
      <c r="CV841">
        <v>0.18</v>
      </c>
      <c r="CW841">
        <v>43</v>
      </c>
      <c r="CX841" t="s">
        <v>174</v>
      </c>
    </row>
    <row r="842" spans="1:102" x14ac:dyDescent="0.3">
      <c r="A842" t="str">
        <f>HYPERLINK("https://webapp.icbf.com/v2/app/bull-search/view/550984724","WGB")</f>
        <v>WGB</v>
      </c>
      <c r="B842" t="s">
        <v>5423</v>
      </c>
      <c r="C842" t="s">
        <v>5424</v>
      </c>
      <c r="D842" s="1">
        <v>38603</v>
      </c>
      <c r="E842" t="s">
        <v>227</v>
      </c>
      <c r="F842">
        <v>0</v>
      </c>
      <c r="G842" t="s">
        <v>93</v>
      </c>
      <c r="H842">
        <v>156</v>
      </c>
      <c r="I842">
        <v>95</v>
      </c>
      <c r="J842">
        <v>81.489999999999995</v>
      </c>
      <c r="K842">
        <v>99</v>
      </c>
      <c r="L842">
        <v>39.93</v>
      </c>
      <c r="M842">
        <v>92</v>
      </c>
      <c r="N842">
        <v>28.55</v>
      </c>
      <c r="O842">
        <v>96</v>
      </c>
      <c r="P842">
        <v>-49.6</v>
      </c>
      <c r="Q842">
        <v>98</v>
      </c>
      <c r="R842">
        <v>-9.68</v>
      </c>
      <c r="S842">
        <v>91</v>
      </c>
      <c r="T842">
        <v>52.31</v>
      </c>
      <c r="U842">
        <v>96</v>
      </c>
      <c r="V842">
        <v>13</v>
      </c>
      <c r="W842">
        <v>87</v>
      </c>
      <c r="X842" t="s">
        <v>94</v>
      </c>
      <c r="Y842" t="s">
        <v>1756</v>
      </c>
      <c r="Z842">
        <v>0</v>
      </c>
      <c r="AA842" t="s">
        <v>229</v>
      </c>
      <c r="AB842" t="s">
        <v>5425</v>
      </c>
      <c r="AC842">
        <v>503</v>
      </c>
      <c r="AD842">
        <v>115</v>
      </c>
      <c r="AE842">
        <v>99</v>
      </c>
      <c r="AF842">
        <v>-208.26</v>
      </c>
      <c r="AG842">
        <v>15.72</v>
      </c>
      <c r="AH842">
        <v>5.1100000000000003</v>
      </c>
      <c r="AI842">
        <v>0.43</v>
      </c>
      <c r="AJ842">
        <v>0.22</v>
      </c>
      <c r="AK842">
        <v>92</v>
      </c>
      <c r="AL842">
        <v>517</v>
      </c>
      <c r="AM842">
        <v>125</v>
      </c>
      <c r="AN842">
        <v>-1.71</v>
      </c>
      <c r="AO842">
        <v>1.48</v>
      </c>
      <c r="AP842">
        <v>810</v>
      </c>
      <c r="AQ842">
        <v>13</v>
      </c>
      <c r="AR842">
        <v>2.2200000000000002</v>
      </c>
      <c r="AS842">
        <v>95</v>
      </c>
      <c r="AT842">
        <v>1.34</v>
      </c>
      <c r="AU842">
        <v>96</v>
      </c>
      <c r="AV842">
        <v>-1.39</v>
      </c>
      <c r="AW842">
        <v>99</v>
      </c>
      <c r="AX842">
        <v>1.06</v>
      </c>
      <c r="AY842">
        <v>95</v>
      </c>
      <c r="AZ842">
        <v>7.8</v>
      </c>
      <c r="BA842">
        <v>89</v>
      </c>
      <c r="BB842">
        <v>5.01</v>
      </c>
      <c r="BC842">
        <v>90</v>
      </c>
      <c r="BD842">
        <v>-0.02</v>
      </c>
      <c r="BE842">
        <v>0.04</v>
      </c>
      <c r="BF842">
        <v>0.18</v>
      </c>
      <c r="BG842">
        <v>97</v>
      </c>
      <c r="BH842">
        <v>0.34</v>
      </c>
      <c r="BI842">
        <v>-2.61</v>
      </c>
      <c r="BJ842">
        <v>11</v>
      </c>
      <c r="BK842">
        <v>2</v>
      </c>
      <c r="BL842">
        <v>-2.5099999999999998</v>
      </c>
      <c r="BM842">
        <v>-2.89</v>
      </c>
      <c r="BN842">
        <v>-0.01</v>
      </c>
      <c r="BO842">
        <v>1.99</v>
      </c>
      <c r="BP842">
        <v>-1.41</v>
      </c>
      <c r="BQ842">
        <v>-5.27</v>
      </c>
      <c r="BR842">
        <v>3.39</v>
      </c>
      <c r="BS842">
        <v>7.85</v>
      </c>
      <c r="BT842">
        <v>-1.0900000000000001</v>
      </c>
      <c r="BU842">
        <v>-1.97</v>
      </c>
      <c r="BV842">
        <v>-1.1000000000000001</v>
      </c>
      <c r="BW842">
        <v>-3.57</v>
      </c>
      <c r="BX842">
        <v>-4.32</v>
      </c>
      <c r="BY842">
        <v>-0.92</v>
      </c>
      <c r="BZ842">
        <v>0.1</v>
      </c>
      <c r="CA842">
        <v>0.95</v>
      </c>
      <c r="CB842">
        <v>-1.07</v>
      </c>
      <c r="CC842">
        <v>4.88</v>
      </c>
      <c r="CD842">
        <v>-3.58</v>
      </c>
      <c r="CE842">
        <v>2.15</v>
      </c>
      <c r="CF842">
        <v>-3.59</v>
      </c>
      <c r="CG842">
        <v>0</v>
      </c>
      <c r="CH842">
        <v>-2.39</v>
      </c>
      <c r="CI842">
        <v>0</v>
      </c>
      <c r="CJ842">
        <v>-25.5</v>
      </c>
      <c r="CK842">
        <v>98</v>
      </c>
      <c r="CL842">
        <v>-1.07</v>
      </c>
      <c r="CM842">
        <v>98</v>
      </c>
      <c r="CN842">
        <v>-0.28999999999999998</v>
      </c>
      <c r="CO842">
        <v>97</v>
      </c>
      <c r="CP842">
        <v>-45.1</v>
      </c>
      <c r="CQ842">
        <v>96</v>
      </c>
      <c r="CR842">
        <v>0</v>
      </c>
      <c r="CS842">
        <v>0</v>
      </c>
      <c r="CT842">
        <v>-56.9</v>
      </c>
      <c r="CU842">
        <v>96</v>
      </c>
      <c r="CV842">
        <v>-0.15</v>
      </c>
      <c r="CW842">
        <v>46</v>
      </c>
      <c r="CX842" t="s">
        <v>5426</v>
      </c>
    </row>
    <row r="843" spans="1:102" x14ac:dyDescent="0.3">
      <c r="A843" t="str">
        <f>HYPERLINK("https://webapp.icbf.com/v2/app/bull-search/view/1001375900","S1668")</f>
        <v>S1668</v>
      </c>
      <c r="B843" t="s">
        <v>8306</v>
      </c>
      <c r="C843" t="s">
        <v>8307</v>
      </c>
      <c r="D843" s="1">
        <v>40614</v>
      </c>
      <c r="E843" t="s">
        <v>92</v>
      </c>
      <c r="F843">
        <v>100</v>
      </c>
      <c r="G843" t="s">
        <v>93</v>
      </c>
      <c r="H843">
        <v>155.96</v>
      </c>
      <c r="I843">
        <v>87</v>
      </c>
      <c r="J843">
        <v>82.71</v>
      </c>
      <c r="K843">
        <v>96</v>
      </c>
      <c r="L843">
        <v>49.1</v>
      </c>
      <c r="M843">
        <v>88</v>
      </c>
      <c r="N843">
        <v>28.35</v>
      </c>
      <c r="O843">
        <v>85</v>
      </c>
      <c r="P843">
        <v>-7.22</v>
      </c>
      <c r="Q843">
        <v>84</v>
      </c>
      <c r="R843">
        <v>7.12</v>
      </c>
      <c r="S843">
        <v>79</v>
      </c>
      <c r="T843">
        <v>-8.3000000000000007</v>
      </c>
      <c r="U843">
        <v>63</v>
      </c>
      <c r="V843">
        <v>4.2</v>
      </c>
      <c r="W843">
        <v>68</v>
      </c>
      <c r="X843" t="s">
        <v>234</v>
      </c>
      <c r="Y843" t="s">
        <v>362</v>
      </c>
      <c r="Z843" t="s">
        <v>96</v>
      </c>
      <c r="AA843" t="s">
        <v>1572</v>
      </c>
      <c r="AB843" t="s">
        <v>8308</v>
      </c>
      <c r="AC843">
        <v>89</v>
      </c>
      <c r="AD843">
        <v>24</v>
      </c>
      <c r="AE843">
        <v>96</v>
      </c>
      <c r="AF843">
        <v>499.99</v>
      </c>
      <c r="AG843">
        <v>15.8</v>
      </c>
      <c r="AH843">
        <v>16.13</v>
      </c>
      <c r="AI843">
        <v>-0.06</v>
      </c>
      <c r="AJ843">
        <v>-0.01</v>
      </c>
      <c r="AK843">
        <v>88</v>
      </c>
      <c r="AL843">
        <v>59</v>
      </c>
      <c r="AM843">
        <v>20</v>
      </c>
      <c r="AN843">
        <v>-1.58</v>
      </c>
      <c r="AO843">
        <v>2.35</v>
      </c>
      <c r="AP843">
        <v>220</v>
      </c>
      <c r="AQ843">
        <v>0</v>
      </c>
      <c r="AR843">
        <v>8.3699999999999992</v>
      </c>
      <c r="AS843">
        <v>83</v>
      </c>
      <c r="AT843">
        <v>2.54</v>
      </c>
      <c r="AU843">
        <v>93</v>
      </c>
      <c r="AV843">
        <v>-2.97</v>
      </c>
      <c r="AW843">
        <v>93</v>
      </c>
      <c r="AX843">
        <v>-0.84</v>
      </c>
      <c r="AY843">
        <v>79</v>
      </c>
      <c r="AZ843">
        <v>6.12</v>
      </c>
      <c r="BA843">
        <v>66</v>
      </c>
      <c r="BB843">
        <v>5.19</v>
      </c>
      <c r="BC843">
        <v>56</v>
      </c>
      <c r="BD843">
        <v>-0.01</v>
      </c>
      <c r="BE843">
        <v>-0.03</v>
      </c>
      <c r="BF843">
        <v>-0.09</v>
      </c>
      <c r="BG843">
        <v>93</v>
      </c>
      <c r="BH843">
        <v>0.04</v>
      </c>
      <c r="BI843">
        <v>-8.91</v>
      </c>
      <c r="BJ843">
        <v>25</v>
      </c>
      <c r="BK843">
        <v>9</v>
      </c>
      <c r="BL843">
        <v>1.57</v>
      </c>
      <c r="BM843">
        <v>-1.1200000000000001</v>
      </c>
      <c r="BN843">
        <v>0.4</v>
      </c>
      <c r="BO843">
        <v>0.81</v>
      </c>
      <c r="BP843">
        <v>1.1499999999999999</v>
      </c>
      <c r="BQ843">
        <v>1.1299999999999999</v>
      </c>
      <c r="BR843">
        <v>-3.17</v>
      </c>
      <c r="BS843">
        <v>2.59</v>
      </c>
      <c r="BT843">
        <v>2.23</v>
      </c>
      <c r="BU843">
        <v>1.52</v>
      </c>
      <c r="BV843">
        <v>2.41</v>
      </c>
      <c r="BW843">
        <v>2.14</v>
      </c>
      <c r="BX843">
        <v>1.47</v>
      </c>
      <c r="BY843">
        <v>0.72</v>
      </c>
      <c r="BZ843">
        <v>0.2</v>
      </c>
      <c r="CA843">
        <v>2.0499999999999998</v>
      </c>
      <c r="CB843">
        <v>1.77</v>
      </c>
      <c r="CC843">
        <v>2.17</v>
      </c>
      <c r="CD843">
        <v>-0.61</v>
      </c>
      <c r="CE843">
        <v>1.41</v>
      </c>
      <c r="CF843">
        <v>1.41</v>
      </c>
      <c r="CG843">
        <v>0</v>
      </c>
      <c r="CH843">
        <v>0.65</v>
      </c>
      <c r="CI843">
        <v>0</v>
      </c>
      <c r="CJ843">
        <v>-1.9</v>
      </c>
      <c r="CK843">
        <v>87</v>
      </c>
      <c r="CL843">
        <v>-1.21</v>
      </c>
      <c r="CM843">
        <v>84</v>
      </c>
      <c r="CN843">
        <v>-0.63</v>
      </c>
      <c r="CO843">
        <v>82</v>
      </c>
      <c r="CP843">
        <v>3.4</v>
      </c>
      <c r="CQ843">
        <v>70</v>
      </c>
      <c r="CR843">
        <v>0</v>
      </c>
      <c r="CS843">
        <v>0</v>
      </c>
      <c r="CT843">
        <v>25</v>
      </c>
      <c r="CU843">
        <v>63</v>
      </c>
      <c r="CV843">
        <v>0.25</v>
      </c>
      <c r="CW843">
        <v>44</v>
      </c>
      <c r="CX843" t="s">
        <v>348</v>
      </c>
    </row>
    <row r="844" spans="1:102" x14ac:dyDescent="0.3">
      <c r="A844" t="str">
        <f>HYPERLINK("https://webapp.icbf.com/v2/app/bull-search/view/1092506277","S2074")</f>
        <v>S2074</v>
      </c>
      <c r="B844" t="s">
        <v>2002</v>
      </c>
      <c r="C844" t="s">
        <v>2003</v>
      </c>
      <c r="D844" s="1">
        <v>41269</v>
      </c>
      <c r="E844" t="s">
        <v>92</v>
      </c>
      <c r="F844">
        <v>100</v>
      </c>
      <c r="G844" t="s">
        <v>109</v>
      </c>
      <c r="H844">
        <v>155.80000000000001</v>
      </c>
      <c r="I844">
        <v>77</v>
      </c>
      <c r="J844">
        <v>83.12</v>
      </c>
      <c r="K844">
        <v>91</v>
      </c>
      <c r="L844">
        <v>20.190000000000001</v>
      </c>
      <c r="M844">
        <v>81</v>
      </c>
      <c r="N844">
        <v>28.98</v>
      </c>
      <c r="O844">
        <v>67</v>
      </c>
      <c r="P844">
        <v>-7.57</v>
      </c>
      <c r="Q844">
        <v>63</v>
      </c>
      <c r="R844">
        <v>28.18</v>
      </c>
      <c r="S844">
        <v>70</v>
      </c>
      <c r="T844">
        <v>2.4300000000000002</v>
      </c>
      <c r="U844">
        <v>44</v>
      </c>
      <c r="V844">
        <v>0.47</v>
      </c>
      <c r="W844">
        <v>54</v>
      </c>
      <c r="X844" t="s">
        <v>102</v>
      </c>
      <c r="Y844" t="s">
        <v>367</v>
      </c>
      <c r="Z844" t="s">
        <v>96</v>
      </c>
      <c r="AA844" t="s">
        <v>2004</v>
      </c>
      <c r="AB844" t="s">
        <v>2005</v>
      </c>
      <c r="AC844">
        <v>0</v>
      </c>
      <c r="AD844">
        <v>0</v>
      </c>
      <c r="AE844">
        <v>91</v>
      </c>
      <c r="AF844">
        <v>212.01</v>
      </c>
      <c r="AG844">
        <v>9.5299999999999994</v>
      </c>
      <c r="AH844">
        <v>14.01</v>
      </c>
      <c r="AI844">
        <v>0.02</v>
      </c>
      <c r="AJ844">
        <v>0.12</v>
      </c>
      <c r="AK844">
        <v>81</v>
      </c>
      <c r="AL844">
        <v>0</v>
      </c>
      <c r="AM844">
        <v>0</v>
      </c>
      <c r="AN844">
        <v>0.46</v>
      </c>
      <c r="AO844">
        <v>2.09</v>
      </c>
      <c r="AP844">
        <v>10</v>
      </c>
      <c r="AQ844">
        <v>0</v>
      </c>
      <c r="AR844">
        <v>5.03</v>
      </c>
      <c r="AS844">
        <v>67</v>
      </c>
      <c r="AT844">
        <v>2.36</v>
      </c>
      <c r="AU844">
        <v>90</v>
      </c>
      <c r="AV844">
        <v>-2.48</v>
      </c>
      <c r="AW844">
        <v>67</v>
      </c>
      <c r="AX844">
        <v>0.36</v>
      </c>
      <c r="AY844">
        <v>59</v>
      </c>
      <c r="AZ844">
        <v>6.27</v>
      </c>
      <c r="BA844">
        <v>42</v>
      </c>
      <c r="BB844">
        <v>5.4</v>
      </c>
      <c r="BC844">
        <v>33</v>
      </c>
      <c r="BD844">
        <v>-0.09</v>
      </c>
      <c r="BE844">
        <v>-0.12</v>
      </c>
      <c r="BF844">
        <v>-0.27</v>
      </c>
      <c r="BG844">
        <v>90</v>
      </c>
      <c r="BH844">
        <v>0.05</v>
      </c>
      <c r="BI844">
        <v>4.2699999999999996</v>
      </c>
      <c r="BJ844">
        <v>5</v>
      </c>
      <c r="BK844">
        <v>4</v>
      </c>
      <c r="BL844">
        <v>0.97</v>
      </c>
      <c r="BM844">
        <v>-2.4</v>
      </c>
      <c r="BN844">
        <v>-0.77</v>
      </c>
      <c r="BO844">
        <v>1.04</v>
      </c>
      <c r="BP844">
        <v>0.78</v>
      </c>
      <c r="BQ844">
        <v>0.2</v>
      </c>
      <c r="BR844">
        <v>-1.37</v>
      </c>
      <c r="BS844">
        <v>1.71</v>
      </c>
      <c r="BT844">
        <v>-0.75</v>
      </c>
      <c r="BU844">
        <v>1.88</v>
      </c>
      <c r="BV844">
        <v>1.17</v>
      </c>
      <c r="BW844">
        <v>-0.33</v>
      </c>
      <c r="BX844">
        <v>2.42</v>
      </c>
      <c r="BY844">
        <v>0.85</v>
      </c>
      <c r="BZ844">
        <v>-1.51</v>
      </c>
      <c r="CA844">
        <v>2.0299999999999998</v>
      </c>
      <c r="CB844">
        <v>1.46</v>
      </c>
      <c r="CC844">
        <v>1.72</v>
      </c>
      <c r="CD844">
        <v>-0.81</v>
      </c>
      <c r="CE844">
        <v>0.71</v>
      </c>
      <c r="CF844">
        <v>1.1499999999999999</v>
      </c>
      <c r="CG844">
        <v>0</v>
      </c>
      <c r="CH844">
        <v>0.82</v>
      </c>
      <c r="CI844">
        <v>0</v>
      </c>
      <c r="CJ844">
        <v>-3.2</v>
      </c>
      <c r="CK844">
        <v>66</v>
      </c>
      <c r="CL844">
        <v>-0.86</v>
      </c>
      <c r="CM844">
        <v>63</v>
      </c>
      <c r="CN844">
        <v>-0.5</v>
      </c>
      <c r="CO844">
        <v>62</v>
      </c>
      <c r="CP844">
        <v>-0.9</v>
      </c>
      <c r="CQ844">
        <v>47</v>
      </c>
      <c r="CR844">
        <v>0</v>
      </c>
      <c r="CS844">
        <v>0</v>
      </c>
      <c r="CT844">
        <v>10.5</v>
      </c>
      <c r="CU844">
        <v>44</v>
      </c>
      <c r="CV844">
        <v>0.22</v>
      </c>
      <c r="CW844">
        <v>38</v>
      </c>
      <c r="CX844" t="s">
        <v>2006</v>
      </c>
    </row>
    <row r="845" spans="1:102" x14ac:dyDescent="0.3">
      <c r="A845" t="str">
        <f>HYPERLINK("https://webapp.icbf.com/v2/app/bull-search/view/586046042","OYK")</f>
        <v>OYK</v>
      </c>
      <c r="B845" t="s">
        <v>1688</v>
      </c>
      <c r="C845" t="s">
        <v>1689</v>
      </c>
      <c r="D845" s="1">
        <v>38299</v>
      </c>
      <c r="E845" t="s">
        <v>92</v>
      </c>
      <c r="F845">
        <v>100</v>
      </c>
      <c r="G845" t="s">
        <v>93</v>
      </c>
      <c r="H845">
        <v>155.76</v>
      </c>
      <c r="I845">
        <v>98</v>
      </c>
      <c r="J845">
        <v>82.55</v>
      </c>
      <c r="K845">
        <v>99</v>
      </c>
      <c r="L845">
        <v>28.16</v>
      </c>
      <c r="M845">
        <v>96</v>
      </c>
      <c r="N845">
        <v>52.16</v>
      </c>
      <c r="O845">
        <v>99</v>
      </c>
      <c r="P845">
        <v>-11.2</v>
      </c>
      <c r="Q845">
        <v>99</v>
      </c>
      <c r="R845">
        <v>11.77</v>
      </c>
      <c r="S845">
        <v>96</v>
      </c>
      <c r="T845">
        <v>-1.49</v>
      </c>
      <c r="U845">
        <v>99</v>
      </c>
      <c r="V845">
        <v>-6.19</v>
      </c>
      <c r="W845">
        <v>90</v>
      </c>
      <c r="X845" t="s">
        <v>102</v>
      </c>
      <c r="Y845" t="s">
        <v>282</v>
      </c>
      <c r="Z845" t="s">
        <v>96</v>
      </c>
      <c r="AA845" t="s">
        <v>316</v>
      </c>
      <c r="AB845" t="s">
        <v>1690</v>
      </c>
      <c r="AC845">
        <v>3870</v>
      </c>
      <c r="AD845">
        <v>913</v>
      </c>
      <c r="AE845">
        <v>99</v>
      </c>
      <c r="AF845">
        <v>312.60000000000002</v>
      </c>
      <c r="AG845">
        <v>13.61</v>
      </c>
      <c r="AH845">
        <v>14.01</v>
      </c>
      <c r="AI845">
        <v>0.02</v>
      </c>
      <c r="AJ845">
        <v>0.06</v>
      </c>
      <c r="AK845">
        <v>96</v>
      </c>
      <c r="AL845">
        <v>4410</v>
      </c>
      <c r="AM845">
        <v>1165</v>
      </c>
      <c r="AN845">
        <v>-2</v>
      </c>
      <c r="AO845">
        <v>0.24</v>
      </c>
      <c r="AP845">
        <v>6445</v>
      </c>
      <c r="AQ845">
        <v>35</v>
      </c>
      <c r="AR845">
        <v>4.4400000000000004</v>
      </c>
      <c r="AS845">
        <v>99</v>
      </c>
      <c r="AT845">
        <v>1.93</v>
      </c>
      <c r="AU845">
        <v>99</v>
      </c>
      <c r="AV845">
        <v>-4.7300000000000004</v>
      </c>
      <c r="AW845">
        <v>99</v>
      </c>
      <c r="AX845">
        <v>0.03</v>
      </c>
      <c r="AY845">
        <v>99</v>
      </c>
      <c r="AZ845">
        <v>7.07</v>
      </c>
      <c r="BA845">
        <v>98</v>
      </c>
      <c r="BB845">
        <v>5.03</v>
      </c>
      <c r="BC845">
        <v>98</v>
      </c>
      <c r="BD845">
        <v>-0.04</v>
      </c>
      <c r="BE845">
        <v>-0.06</v>
      </c>
      <c r="BF845">
        <v>-0.09</v>
      </c>
      <c r="BG845">
        <v>99</v>
      </c>
      <c r="BH845">
        <v>-0.12</v>
      </c>
      <c r="BI845">
        <v>6.1</v>
      </c>
      <c r="BJ845">
        <v>367</v>
      </c>
      <c r="BK845">
        <v>115</v>
      </c>
      <c r="BL845">
        <v>0.49</v>
      </c>
      <c r="BM845">
        <v>0.18</v>
      </c>
      <c r="BN845">
        <v>0.66</v>
      </c>
      <c r="BO845">
        <v>0.06</v>
      </c>
      <c r="BP845">
        <v>0.13</v>
      </c>
      <c r="BQ845">
        <v>-0.26</v>
      </c>
      <c r="BR845">
        <v>0.05</v>
      </c>
      <c r="BS845">
        <v>0.35</v>
      </c>
      <c r="BT845">
        <v>-0.4</v>
      </c>
      <c r="BU845">
        <v>0.05</v>
      </c>
      <c r="BV845">
        <v>0.62</v>
      </c>
      <c r="BW845">
        <v>-0.5</v>
      </c>
      <c r="BX845">
        <v>-0.08</v>
      </c>
      <c r="BY845">
        <v>0.79</v>
      </c>
      <c r="BZ845">
        <v>7.0000000000000007E-2</v>
      </c>
      <c r="CA845">
        <v>0.49</v>
      </c>
      <c r="CB845">
        <v>0.45</v>
      </c>
      <c r="CC845">
        <v>0.44</v>
      </c>
      <c r="CD845">
        <v>0.47</v>
      </c>
      <c r="CE845">
        <v>0.12</v>
      </c>
      <c r="CF845">
        <v>0.25</v>
      </c>
      <c r="CG845">
        <v>0</v>
      </c>
      <c r="CH845">
        <v>0.66</v>
      </c>
      <c r="CI845">
        <v>0</v>
      </c>
      <c r="CJ845">
        <v>-0.2</v>
      </c>
      <c r="CK845">
        <v>99</v>
      </c>
      <c r="CL845">
        <v>-0.99</v>
      </c>
      <c r="CM845">
        <v>99</v>
      </c>
      <c r="CN845">
        <v>0.09</v>
      </c>
      <c r="CO845">
        <v>99</v>
      </c>
      <c r="CP845">
        <v>2.2999999999999998</v>
      </c>
      <c r="CQ845">
        <v>99</v>
      </c>
      <c r="CR845">
        <v>0</v>
      </c>
      <c r="CS845">
        <v>0</v>
      </c>
      <c r="CT845">
        <v>15.8</v>
      </c>
      <c r="CU845">
        <v>99</v>
      </c>
      <c r="CV845">
        <v>0.35</v>
      </c>
      <c r="CW845">
        <v>50</v>
      </c>
      <c r="CX845" t="s">
        <v>289</v>
      </c>
    </row>
    <row r="846" spans="1:102" x14ac:dyDescent="0.3">
      <c r="A846" t="str">
        <f>HYPERLINK("https://webapp.icbf.com/v2/app/bull-search/view/1337272027","JE4405")</f>
        <v>JE4405</v>
      </c>
      <c r="B846" t="s">
        <v>14953</v>
      </c>
      <c r="C846" t="s">
        <v>14032</v>
      </c>
      <c r="D846" s="1">
        <v>41054</v>
      </c>
      <c r="E846" t="s">
        <v>227</v>
      </c>
      <c r="F846">
        <v>0</v>
      </c>
      <c r="G846" t="s">
        <v>109</v>
      </c>
      <c r="H846">
        <v>155.69</v>
      </c>
      <c r="I846">
        <v>74</v>
      </c>
      <c r="J846">
        <v>47.41</v>
      </c>
      <c r="K846">
        <v>87</v>
      </c>
      <c r="L846">
        <v>86.5</v>
      </c>
      <c r="M846">
        <v>76</v>
      </c>
      <c r="N846">
        <v>-9.1199999999999992</v>
      </c>
      <c r="O846">
        <v>72</v>
      </c>
      <c r="P846">
        <v>-57.77</v>
      </c>
      <c r="Q846">
        <v>46</v>
      </c>
      <c r="R846">
        <v>10.94</v>
      </c>
      <c r="S846">
        <v>62</v>
      </c>
      <c r="T846">
        <v>67.7</v>
      </c>
      <c r="U846">
        <v>52</v>
      </c>
      <c r="V846">
        <v>10.029999999999999</v>
      </c>
      <c r="W846">
        <v>60</v>
      </c>
      <c r="X846" t="s">
        <v>94</v>
      </c>
      <c r="Y846" t="s">
        <v>1923</v>
      </c>
      <c r="Z846">
        <v>0</v>
      </c>
      <c r="AA846" t="s">
        <v>454</v>
      </c>
      <c r="AB846" t="s">
        <v>144</v>
      </c>
      <c r="AC846">
        <v>0</v>
      </c>
      <c r="AD846">
        <v>0</v>
      </c>
      <c r="AE846">
        <v>87</v>
      </c>
      <c r="AF846">
        <v>-451.59</v>
      </c>
      <c r="AG846">
        <v>11</v>
      </c>
      <c r="AH846">
        <v>-2.74</v>
      </c>
      <c r="AI846">
        <v>0.54</v>
      </c>
      <c r="AJ846">
        <v>0.24</v>
      </c>
      <c r="AK846">
        <v>76</v>
      </c>
      <c r="AL846">
        <v>0</v>
      </c>
      <c r="AM846">
        <v>0</v>
      </c>
      <c r="AN846">
        <v>-2.27</v>
      </c>
      <c r="AO846">
        <v>4.66</v>
      </c>
      <c r="AP846">
        <v>49</v>
      </c>
      <c r="AQ846">
        <v>1</v>
      </c>
      <c r="AR846">
        <v>3.49</v>
      </c>
      <c r="AS846">
        <v>56</v>
      </c>
      <c r="AT846">
        <v>1.71</v>
      </c>
      <c r="AU846">
        <v>71</v>
      </c>
      <c r="AV846">
        <v>-0.3</v>
      </c>
      <c r="AW846">
        <v>89</v>
      </c>
      <c r="AX846">
        <v>9.33</v>
      </c>
      <c r="AY846">
        <v>59</v>
      </c>
      <c r="AZ846">
        <v>7.34</v>
      </c>
      <c r="BA846">
        <v>46</v>
      </c>
      <c r="BB846">
        <v>5.88</v>
      </c>
      <c r="BC846">
        <v>44</v>
      </c>
      <c r="BD846">
        <v>-0.1</v>
      </c>
      <c r="BE846">
        <v>-0.05</v>
      </c>
      <c r="BF846">
        <v>0.01</v>
      </c>
      <c r="BG846">
        <v>69</v>
      </c>
      <c r="BH846">
        <v>0.05</v>
      </c>
      <c r="BI846">
        <v>-26.56</v>
      </c>
      <c r="BJ846">
        <v>0</v>
      </c>
      <c r="BK846">
        <v>0</v>
      </c>
      <c r="BL846">
        <v>-1.41</v>
      </c>
      <c r="BM846">
        <v>-2.41</v>
      </c>
      <c r="BN846">
        <v>-0.75</v>
      </c>
      <c r="BO846">
        <v>1.53</v>
      </c>
      <c r="BP846">
        <v>0.21</v>
      </c>
      <c r="BQ846">
        <v>-5.76</v>
      </c>
      <c r="BR846">
        <v>2.39</v>
      </c>
      <c r="BS846">
        <v>6.34</v>
      </c>
      <c r="BT846">
        <v>-1.42</v>
      </c>
      <c r="BU846">
        <v>0.99</v>
      </c>
      <c r="BV846">
        <v>0.89</v>
      </c>
      <c r="BW846">
        <v>-1.21</v>
      </c>
      <c r="BX846">
        <v>-1.69</v>
      </c>
      <c r="BY846">
        <v>0.15</v>
      </c>
      <c r="BZ846">
        <v>-0.96</v>
      </c>
      <c r="CA846">
        <v>2.36</v>
      </c>
      <c r="CB846">
        <v>0.98</v>
      </c>
      <c r="CC846">
        <v>4.03</v>
      </c>
      <c r="CD846">
        <v>-2.5499999999999998</v>
      </c>
      <c r="CE846">
        <v>1.34</v>
      </c>
      <c r="CF846">
        <v>-1.3</v>
      </c>
      <c r="CG846">
        <v>0</v>
      </c>
      <c r="CH846">
        <v>-0.42</v>
      </c>
      <c r="CI846">
        <v>0</v>
      </c>
      <c r="CJ846">
        <v>-31.5</v>
      </c>
      <c r="CK846">
        <v>47</v>
      </c>
      <c r="CL846">
        <v>-1.07</v>
      </c>
      <c r="CM846">
        <v>44</v>
      </c>
      <c r="CN846">
        <v>-0.37</v>
      </c>
      <c r="CO846">
        <v>44</v>
      </c>
      <c r="CP846">
        <v>-50.6</v>
      </c>
      <c r="CQ846">
        <v>47</v>
      </c>
      <c r="CR846">
        <v>0</v>
      </c>
      <c r="CS846">
        <v>0</v>
      </c>
      <c r="CT846">
        <v>-77.7</v>
      </c>
      <c r="CU846">
        <v>52</v>
      </c>
      <c r="CV846">
        <v>-0.27</v>
      </c>
      <c r="CW846">
        <v>34</v>
      </c>
      <c r="CX846" t="s">
        <v>2021</v>
      </c>
    </row>
    <row r="847" spans="1:102" x14ac:dyDescent="0.3">
      <c r="A847" t="str">
        <f>HYPERLINK("https://webapp.icbf.com/v2/app/bull-search/view/954956879","ZDY")</f>
        <v>ZDY</v>
      </c>
      <c r="B847" t="s">
        <v>5922</v>
      </c>
      <c r="C847" t="s">
        <v>5923</v>
      </c>
      <c r="D847" s="1">
        <v>40975</v>
      </c>
      <c r="E847" t="s">
        <v>92</v>
      </c>
      <c r="F847">
        <v>72</v>
      </c>
      <c r="G847" t="s">
        <v>435</v>
      </c>
      <c r="H847">
        <v>155.44999999999999</v>
      </c>
      <c r="I847">
        <v>72</v>
      </c>
      <c r="J847">
        <v>61.43</v>
      </c>
      <c r="K847">
        <v>89</v>
      </c>
      <c r="L847">
        <v>32.270000000000003</v>
      </c>
      <c r="M847">
        <v>66</v>
      </c>
      <c r="N847">
        <v>47.22</v>
      </c>
      <c r="O847">
        <v>61</v>
      </c>
      <c r="P847">
        <v>-23.15</v>
      </c>
      <c r="Q847">
        <v>61</v>
      </c>
      <c r="R847">
        <v>12.35</v>
      </c>
      <c r="S847">
        <v>66</v>
      </c>
      <c r="T847">
        <v>24.63</v>
      </c>
      <c r="U847">
        <v>53</v>
      </c>
      <c r="V847">
        <v>0.7</v>
      </c>
      <c r="W847">
        <v>64</v>
      </c>
      <c r="X847" t="s">
        <v>94</v>
      </c>
      <c r="Y847" t="s">
        <v>1976</v>
      </c>
      <c r="Z847" t="s">
        <v>330</v>
      </c>
      <c r="AA847" t="s">
        <v>392</v>
      </c>
      <c r="AB847" t="s">
        <v>5924</v>
      </c>
      <c r="AC847">
        <v>4</v>
      </c>
      <c r="AD847">
        <v>2</v>
      </c>
      <c r="AE847">
        <v>89</v>
      </c>
      <c r="AF847">
        <v>56.39</v>
      </c>
      <c r="AG847">
        <v>13.12</v>
      </c>
      <c r="AH847">
        <v>6.67</v>
      </c>
      <c r="AI847">
        <v>0.19</v>
      </c>
      <c r="AJ847">
        <v>0.08</v>
      </c>
      <c r="AK847">
        <v>66</v>
      </c>
      <c r="AL847">
        <v>4</v>
      </c>
      <c r="AM847">
        <v>2</v>
      </c>
      <c r="AN847">
        <v>0.33</v>
      </c>
      <c r="AO847">
        <v>2.93</v>
      </c>
      <c r="AP847">
        <v>5</v>
      </c>
      <c r="AQ847">
        <v>0</v>
      </c>
      <c r="AR847">
        <v>4.47</v>
      </c>
      <c r="AS847">
        <v>56</v>
      </c>
      <c r="AT847">
        <v>2.14</v>
      </c>
      <c r="AU847">
        <v>64</v>
      </c>
      <c r="AV847">
        <v>-4.05</v>
      </c>
      <c r="AW847">
        <v>68</v>
      </c>
      <c r="AX847">
        <v>-0.14000000000000001</v>
      </c>
      <c r="AY847">
        <v>49</v>
      </c>
      <c r="AZ847">
        <v>5.88</v>
      </c>
      <c r="BA847">
        <v>46</v>
      </c>
      <c r="BB847">
        <v>5.12</v>
      </c>
      <c r="BC847">
        <v>47</v>
      </c>
      <c r="BD847">
        <v>-0.06</v>
      </c>
      <c r="BE847">
        <v>-0.06</v>
      </c>
      <c r="BF847">
        <v>-7.0000000000000007E-2</v>
      </c>
      <c r="BG847">
        <v>75</v>
      </c>
      <c r="BH847">
        <v>-0.1</v>
      </c>
      <c r="BI847">
        <v>-13.81</v>
      </c>
      <c r="BJ847">
        <v>0</v>
      </c>
      <c r="BK847">
        <v>0</v>
      </c>
      <c r="BL847">
        <v>-1.91</v>
      </c>
      <c r="BM847">
        <v>-0.84</v>
      </c>
      <c r="BN847">
        <v>-2.29</v>
      </c>
      <c r="BO847">
        <v>-1.51</v>
      </c>
      <c r="BP847">
        <v>2.2999999999999998</v>
      </c>
      <c r="BQ847">
        <v>-2.65</v>
      </c>
      <c r="BR847">
        <v>2.0099999999999998</v>
      </c>
      <c r="BS847">
        <v>7.0000000000000007E-2</v>
      </c>
      <c r="BT847">
        <v>-2.21</v>
      </c>
      <c r="BU847">
        <v>-2.2599999999999998</v>
      </c>
      <c r="BV847">
        <v>-2.42</v>
      </c>
      <c r="BW847">
        <v>-3.71</v>
      </c>
      <c r="BX847">
        <v>-1.01</v>
      </c>
      <c r="BY847">
        <v>-1.83</v>
      </c>
      <c r="BZ847">
        <v>-2.37</v>
      </c>
      <c r="CA847">
        <v>-2.4500000000000002</v>
      </c>
      <c r="CB847">
        <v>-2.92</v>
      </c>
      <c r="CC847">
        <v>-0.26</v>
      </c>
      <c r="CD847">
        <v>0.72</v>
      </c>
      <c r="CE847">
        <v>-1.04</v>
      </c>
      <c r="CF847">
        <v>-2.88</v>
      </c>
      <c r="CG847">
        <v>0</v>
      </c>
      <c r="CH847">
        <v>-3.52</v>
      </c>
      <c r="CI847">
        <v>0</v>
      </c>
      <c r="CJ847">
        <v>-13.6</v>
      </c>
      <c r="CK847">
        <v>63</v>
      </c>
      <c r="CL847">
        <v>-0.61</v>
      </c>
      <c r="CM847">
        <v>59</v>
      </c>
      <c r="CN847">
        <v>-0.37</v>
      </c>
      <c r="CO847">
        <v>58</v>
      </c>
      <c r="CP847">
        <v>-16.100000000000001</v>
      </c>
      <c r="CQ847">
        <v>53</v>
      </c>
      <c r="CR847">
        <v>0</v>
      </c>
      <c r="CS847">
        <v>0</v>
      </c>
      <c r="CT847">
        <v>-19.5</v>
      </c>
      <c r="CU847">
        <v>53</v>
      </c>
      <c r="CV847">
        <v>0.09</v>
      </c>
      <c r="CW847">
        <v>38</v>
      </c>
      <c r="CX847" t="s">
        <v>4532</v>
      </c>
    </row>
    <row r="848" spans="1:102" x14ac:dyDescent="0.3">
      <c r="A848" t="str">
        <f>HYPERLINK("https://webapp.icbf.com/v2/app/bull-search/view/428510263","TZI")</f>
        <v>TZI</v>
      </c>
      <c r="B848" t="s">
        <v>11994</v>
      </c>
      <c r="C848" t="s">
        <v>11995</v>
      </c>
      <c r="D848" s="1">
        <v>38650</v>
      </c>
      <c r="E848" t="s">
        <v>108</v>
      </c>
      <c r="F848">
        <v>38</v>
      </c>
      <c r="G848" t="s">
        <v>93</v>
      </c>
      <c r="H848">
        <v>155.44</v>
      </c>
      <c r="I848">
        <v>87</v>
      </c>
      <c r="J848">
        <v>3.68</v>
      </c>
      <c r="K848">
        <v>97</v>
      </c>
      <c r="L848">
        <v>113.25</v>
      </c>
      <c r="M848">
        <v>79</v>
      </c>
      <c r="N848">
        <v>35.14</v>
      </c>
      <c r="O848">
        <v>85</v>
      </c>
      <c r="P848">
        <v>-8.11</v>
      </c>
      <c r="Q848">
        <v>92</v>
      </c>
      <c r="R848">
        <v>-3.77</v>
      </c>
      <c r="S848">
        <v>81</v>
      </c>
      <c r="T848">
        <v>15.75</v>
      </c>
      <c r="U848">
        <v>84</v>
      </c>
      <c r="V848">
        <v>-0.5</v>
      </c>
      <c r="W848">
        <v>81</v>
      </c>
      <c r="X848" t="s">
        <v>94</v>
      </c>
      <c r="Y848" t="s">
        <v>1251</v>
      </c>
      <c r="Z848" t="s">
        <v>96</v>
      </c>
      <c r="AA848" t="s">
        <v>5174</v>
      </c>
      <c r="AB848" t="s">
        <v>11996</v>
      </c>
      <c r="AC848">
        <v>74</v>
      </c>
      <c r="AD848">
        <v>55</v>
      </c>
      <c r="AE848">
        <v>97</v>
      </c>
      <c r="AF848">
        <v>-283.36</v>
      </c>
      <c r="AG848">
        <v>2.57</v>
      </c>
      <c r="AH848">
        <v>-4.62</v>
      </c>
      <c r="AI848">
        <v>0.25</v>
      </c>
      <c r="AJ848">
        <v>0.09</v>
      </c>
      <c r="AK848">
        <v>79</v>
      </c>
      <c r="AL848">
        <v>82</v>
      </c>
      <c r="AM848">
        <v>56</v>
      </c>
      <c r="AN848">
        <v>-4.74</v>
      </c>
      <c r="AO848">
        <v>4.3099999999999996</v>
      </c>
      <c r="AP848">
        <v>167</v>
      </c>
      <c r="AQ848">
        <v>0</v>
      </c>
      <c r="AR848">
        <v>4.49</v>
      </c>
      <c r="AS848">
        <v>72</v>
      </c>
      <c r="AT848">
        <v>1.91</v>
      </c>
      <c r="AU848">
        <v>86</v>
      </c>
      <c r="AV848">
        <v>-2.0099999999999998</v>
      </c>
      <c r="AW848">
        <v>95</v>
      </c>
      <c r="AX848">
        <v>-0.56000000000000005</v>
      </c>
      <c r="AY848">
        <v>80</v>
      </c>
      <c r="AZ848">
        <v>5.86</v>
      </c>
      <c r="BA848">
        <v>63</v>
      </c>
      <c r="BB848">
        <v>4.79</v>
      </c>
      <c r="BC848">
        <v>69</v>
      </c>
      <c r="BD848">
        <v>0.04</v>
      </c>
      <c r="BE848">
        <v>0</v>
      </c>
      <c r="BF848">
        <v>0.02</v>
      </c>
      <c r="BG848">
        <v>88</v>
      </c>
      <c r="BH848">
        <v>7.0000000000000007E-2</v>
      </c>
      <c r="BI848">
        <v>9.6999999999999993</v>
      </c>
      <c r="BJ848">
        <v>27</v>
      </c>
      <c r="BK848">
        <v>17</v>
      </c>
      <c r="BL848">
        <v>-1.88</v>
      </c>
      <c r="BM848">
        <v>-0.34</v>
      </c>
      <c r="BN848">
        <v>-2.2999999999999998</v>
      </c>
      <c r="BO848">
        <v>-1.42</v>
      </c>
      <c r="BP848">
        <v>-0.8</v>
      </c>
      <c r="BQ848">
        <v>-0.82</v>
      </c>
      <c r="BR848">
        <v>-2.17</v>
      </c>
      <c r="BS848">
        <v>0.68</v>
      </c>
      <c r="BT848">
        <v>0.9</v>
      </c>
      <c r="BU848">
        <v>-1.42</v>
      </c>
      <c r="BV848">
        <v>-0.25</v>
      </c>
      <c r="BW848">
        <v>-0.26</v>
      </c>
      <c r="BX848">
        <v>-0.87</v>
      </c>
      <c r="BY848">
        <v>0.55000000000000004</v>
      </c>
      <c r="BZ848">
        <v>0.5</v>
      </c>
      <c r="CA848">
        <v>-0.4</v>
      </c>
      <c r="CB848">
        <v>-0.6</v>
      </c>
      <c r="CC848">
        <v>0.11</v>
      </c>
      <c r="CD848">
        <v>1.02</v>
      </c>
      <c r="CE848">
        <v>-1.34</v>
      </c>
      <c r="CF848">
        <v>-1.33</v>
      </c>
      <c r="CG848">
        <v>0</v>
      </c>
      <c r="CH848">
        <v>0.7</v>
      </c>
      <c r="CI848">
        <v>0</v>
      </c>
      <c r="CJ848">
        <v>-3.2</v>
      </c>
      <c r="CK848">
        <v>93</v>
      </c>
      <c r="CL848">
        <v>-0.34</v>
      </c>
      <c r="CM848">
        <v>91</v>
      </c>
      <c r="CN848">
        <v>-0.13</v>
      </c>
      <c r="CO848">
        <v>90</v>
      </c>
      <c r="CP848">
        <v>-11.4</v>
      </c>
      <c r="CQ848">
        <v>88</v>
      </c>
      <c r="CR848">
        <v>0</v>
      </c>
      <c r="CS848">
        <v>0</v>
      </c>
      <c r="CT848">
        <v>-7.5</v>
      </c>
      <c r="CU848">
        <v>84</v>
      </c>
      <c r="CV848">
        <v>0.19</v>
      </c>
      <c r="CW848">
        <v>45</v>
      </c>
      <c r="CX848" t="s">
        <v>4308</v>
      </c>
    </row>
    <row r="849" spans="1:102" x14ac:dyDescent="0.3">
      <c r="A849" t="str">
        <f>HYPERLINK("https://webapp.icbf.com/v2/app/bull-search/view/860142699","PDO")</f>
        <v>PDO</v>
      </c>
      <c r="B849" t="s">
        <v>1937</v>
      </c>
      <c r="C849" t="s">
        <v>1938</v>
      </c>
      <c r="D849" s="1">
        <v>40577</v>
      </c>
      <c r="E849" t="s">
        <v>92</v>
      </c>
      <c r="F849">
        <v>53</v>
      </c>
      <c r="G849" t="s">
        <v>93</v>
      </c>
      <c r="H849">
        <v>155.26</v>
      </c>
      <c r="I849">
        <v>95</v>
      </c>
      <c r="J849">
        <v>29.16</v>
      </c>
      <c r="K849">
        <v>99</v>
      </c>
      <c r="L849">
        <v>106.82</v>
      </c>
      <c r="M849">
        <v>91</v>
      </c>
      <c r="N849">
        <v>20.07</v>
      </c>
      <c r="O849">
        <v>97</v>
      </c>
      <c r="P849">
        <v>-9.25</v>
      </c>
      <c r="Q849">
        <v>99</v>
      </c>
      <c r="R849">
        <v>13.03</v>
      </c>
      <c r="S849">
        <v>91</v>
      </c>
      <c r="T849">
        <v>-2.31</v>
      </c>
      <c r="U849">
        <v>97</v>
      </c>
      <c r="V849">
        <v>-2.2599999999999998</v>
      </c>
      <c r="W849">
        <v>82</v>
      </c>
      <c r="X849" t="s">
        <v>94</v>
      </c>
      <c r="Y849" t="s">
        <v>1860</v>
      </c>
      <c r="Z849" t="s">
        <v>96</v>
      </c>
      <c r="AA849" t="s">
        <v>1939</v>
      </c>
      <c r="AB849" t="s">
        <v>1940</v>
      </c>
      <c r="AC849">
        <v>919</v>
      </c>
      <c r="AD849">
        <v>355</v>
      </c>
      <c r="AE849">
        <v>99</v>
      </c>
      <c r="AF849">
        <v>-163</v>
      </c>
      <c r="AG849">
        <v>4</v>
      </c>
      <c r="AH849">
        <v>1.05</v>
      </c>
      <c r="AI849">
        <v>0.19</v>
      </c>
      <c r="AJ849">
        <v>0.12</v>
      </c>
      <c r="AK849">
        <v>91</v>
      </c>
      <c r="AL849">
        <v>1296</v>
      </c>
      <c r="AM849">
        <v>524</v>
      </c>
      <c r="AN849">
        <v>-5.72</v>
      </c>
      <c r="AO849">
        <v>2.8</v>
      </c>
      <c r="AP849">
        <v>2238</v>
      </c>
      <c r="AQ849">
        <v>23</v>
      </c>
      <c r="AR849">
        <v>8.98</v>
      </c>
      <c r="AS849">
        <v>95</v>
      </c>
      <c r="AT849">
        <v>3.17</v>
      </c>
      <c r="AU849">
        <v>98</v>
      </c>
      <c r="AV849">
        <v>-2.73</v>
      </c>
      <c r="AW849">
        <v>99</v>
      </c>
      <c r="AX849">
        <v>0.28999999999999998</v>
      </c>
      <c r="AY849">
        <v>98</v>
      </c>
      <c r="AZ849">
        <v>6.58</v>
      </c>
      <c r="BA849">
        <v>93</v>
      </c>
      <c r="BB849">
        <v>4.26</v>
      </c>
      <c r="BC849">
        <v>91</v>
      </c>
      <c r="BD849">
        <v>-0.1</v>
      </c>
      <c r="BE849">
        <v>-7.0000000000000007E-2</v>
      </c>
      <c r="BF849">
        <v>0</v>
      </c>
      <c r="BG849">
        <v>97</v>
      </c>
      <c r="BH849">
        <v>-0.11</v>
      </c>
      <c r="BI849">
        <v>-5.43</v>
      </c>
      <c r="BJ849">
        <v>6</v>
      </c>
      <c r="BK849">
        <v>4</v>
      </c>
      <c r="BL849">
        <v>-0.25</v>
      </c>
      <c r="BM849">
        <v>-0.02</v>
      </c>
      <c r="BN849">
        <v>-0.74</v>
      </c>
      <c r="BO849">
        <v>-0.42</v>
      </c>
      <c r="BP849">
        <v>2.56</v>
      </c>
      <c r="BQ849">
        <v>-1.92</v>
      </c>
      <c r="BR849">
        <v>-0.18</v>
      </c>
      <c r="BS849">
        <v>-0.49</v>
      </c>
      <c r="BT849">
        <v>-0.44</v>
      </c>
      <c r="BU849">
        <v>0.97</v>
      </c>
      <c r="BV849">
        <v>-0.33</v>
      </c>
      <c r="BW849">
        <v>-0.18</v>
      </c>
      <c r="BX849">
        <v>0.14000000000000001</v>
      </c>
      <c r="BY849">
        <v>-0.25</v>
      </c>
      <c r="BZ849">
        <v>0.9</v>
      </c>
      <c r="CA849">
        <v>0.35</v>
      </c>
      <c r="CB849">
        <v>0.69</v>
      </c>
      <c r="CC849">
        <v>-0.54</v>
      </c>
      <c r="CD849">
        <v>0.84</v>
      </c>
      <c r="CE849">
        <v>-0.27</v>
      </c>
      <c r="CF849">
        <v>-0.8</v>
      </c>
      <c r="CG849">
        <v>0</v>
      </c>
      <c r="CH849">
        <v>1.67</v>
      </c>
      <c r="CI849">
        <v>0</v>
      </c>
      <c r="CJ849">
        <v>-2.9</v>
      </c>
      <c r="CK849">
        <v>99</v>
      </c>
      <c r="CL849">
        <v>-0.95</v>
      </c>
      <c r="CM849">
        <v>99</v>
      </c>
      <c r="CN849">
        <v>-0.32</v>
      </c>
      <c r="CO849">
        <v>99</v>
      </c>
      <c r="CP849">
        <v>5.4</v>
      </c>
      <c r="CQ849">
        <v>97</v>
      </c>
      <c r="CR849">
        <v>0</v>
      </c>
      <c r="CS849">
        <v>0</v>
      </c>
      <c r="CT849">
        <v>16.899999999999999</v>
      </c>
      <c r="CU849">
        <v>97</v>
      </c>
      <c r="CV849">
        <v>0.28000000000000003</v>
      </c>
      <c r="CW849">
        <v>47</v>
      </c>
      <c r="CX849" t="s">
        <v>792</v>
      </c>
    </row>
    <row r="850" spans="1:102" x14ac:dyDescent="0.3">
      <c r="A850" t="str">
        <f>HYPERLINK("https://webapp.icbf.com/v2/app/bull-search/view/992923071","ZSB")</f>
        <v>ZSB</v>
      </c>
      <c r="B850" t="s">
        <v>2483</v>
      </c>
      <c r="C850" t="s">
        <v>2484</v>
      </c>
      <c r="D850" s="1">
        <v>40744</v>
      </c>
      <c r="E850" t="s">
        <v>92</v>
      </c>
      <c r="F850">
        <v>56</v>
      </c>
      <c r="G850" t="s">
        <v>109</v>
      </c>
      <c r="H850">
        <v>155.22999999999999</v>
      </c>
      <c r="I850">
        <v>70</v>
      </c>
      <c r="J850">
        <v>34.67</v>
      </c>
      <c r="K850">
        <v>90</v>
      </c>
      <c r="L850">
        <v>68.91</v>
      </c>
      <c r="M850">
        <v>64</v>
      </c>
      <c r="N850">
        <v>46.37</v>
      </c>
      <c r="O850">
        <v>53</v>
      </c>
      <c r="P850">
        <v>-45.09</v>
      </c>
      <c r="Q850">
        <v>63</v>
      </c>
      <c r="R850">
        <v>1.35</v>
      </c>
      <c r="S850">
        <v>59</v>
      </c>
      <c r="T850">
        <v>42.69</v>
      </c>
      <c r="U850">
        <v>50</v>
      </c>
      <c r="V850">
        <v>6.33</v>
      </c>
      <c r="W850">
        <v>55</v>
      </c>
      <c r="X850" t="s">
        <v>276</v>
      </c>
      <c r="Y850" t="s">
        <v>1775</v>
      </c>
      <c r="Z850">
        <v>0</v>
      </c>
      <c r="AA850" t="s">
        <v>2338</v>
      </c>
      <c r="AB850" t="s">
        <v>2485</v>
      </c>
      <c r="AC850">
        <v>0</v>
      </c>
      <c r="AD850">
        <v>0</v>
      </c>
      <c r="AE850">
        <v>90</v>
      </c>
      <c r="AF850">
        <v>35.46</v>
      </c>
      <c r="AG850">
        <v>7.01</v>
      </c>
      <c r="AH850">
        <v>3.96</v>
      </c>
      <c r="AI850">
        <v>0.1</v>
      </c>
      <c r="AJ850">
        <v>0.05</v>
      </c>
      <c r="AK850">
        <v>64</v>
      </c>
      <c r="AL850">
        <v>0</v>
      </c>
      <c r="AM850">
        <v>0</v>
      </c>
      <c r="AN850">
        <v>-2.62</v>
      </c>
      <c r="AO850">
        <v>2.89</v>
      </c>
      <c r="AP850">
        <v>3</v>
      </c>
      <c r="AQ850">
        <v>0</v>
      </c>
      <c r="AR850">
        <v>3.21</v>
      </c>
      <c r="AS850">
        <v>49</v>
      </c>
      <c r="AT850">
        <v>1.52</v>
      </c>
      <c r="AU850">
        <v>60</v>
      </c>
      <c r="AV850">
        <v>-3.8</v>
      </c>
      <c r="AW850">
        <v>55</v>
      </c>
      <c r="AX850">
        <v>0.13</v>
      </c>
      <c r="AY850">
        <v>51</v>
      </c>
      <c r="AZ850">
        <v>6.91</v>
      </c>
      <c r="BA850">
        <v>40</v>
      </c>
      <c r="BB850">
        <v>5.54</v>
      </c>
      <c r="BC850">
        <v>40</v>
      </c>
      <c r="BD850">
        <v>0</v>
      </c>
      <c r="BE850">
        <v>0.01</v>
      </c>
      <c r="BF850">
        <v>-0.05</v>
      </c>
      <c r="BG850">
        <v>69</v>
      </c>
      <c r="BH850">
        <v>0.21</v>
      </c>
      <c r="BI850">
        <v>3.86</v>
      </c>
      <c r="BJ850">
        <v>0</v>
      </c>
      <c r="BK850">
        <v>0</v>
      </c>
      <c r="BL850">
        <v>-2.12</v>
      </c>
      <c r="BM850">
        <v>-0.73</v>
      </c>
      <c r="BN850">
        <v>-0.86</v>
      </c>
      <c r="BO850">
        <v>0.02</v>
      </c>
      <c r="BP850">
        <v>-1.31</v>
      </c>
      <c r="BQ850">
        <v>-3.39</v>
      </c>
      <c r="BR850">
        <v>1.36</v>
      </c>
      <c r="BS850">
        <v>3.04</v>
      </c>
      <c r="BT850">
        <v>-0.55000000000000004</v>
      </c>
      <c r="BU850">
        <v>-0.9</v>
      </c>
      <c r="BV850">
        <v>-0.47</v>
      </c>
      <c r="BW850">
        <v>-1.66</v>
      </c>
      <c r="BX850">
        <v>-2.13</v>
      </c>
      <c r="BY850">
        <v>-0.41</v>
      </c>
      <c r="BZ850">
        <v>-1.05</v>
      </c>
      <c r="CA850">
        <v>0.09</v>
      </c>
      <c r="CB850">
        <v>-0.79</v>
      </c>
      <c r="CC850">
        <v>1.96</v>
      </c>
      <c r="CD850">
        <v>-0.45</v>
      </c>
      <c r="CE850">
        <v>0.14000000000000001</v>
      </c>
      <c r="CF850">
        <v>-1.79</v>
      </c>
      <c r="CG850">
        <v>0</v>
      </c>
      <c r="CH850">
        <v>-0.11</v>
      </c>
      <c r="CI850">
        <v>0</v>
      </c>
      <c r="CJ850">
        <v>-25.2</v>
      </c>
      <c r="CK850">
        <v>67</v>
      </c>
      <c r="CL850">
        <v>-0.9</v>
      </c>
      <c r="CM850">
        <v>59</v>
      </c>
      <c r="CN850">
        <v>-0.38</v>
      </c>
      <c r="CO850">
        <v>58</v>
      </c>
      <c r="CP850">
        <v>-36.5</v>
      </c>
      <c r="CQ850">
        <v>52</v>
      </c>
      <c r="CR850">
        <v>0</v>
      </c>
      <c r="CS850">
        <v>0</v>
      </c>
      <c r="CT850">
        <v>-43.9</v>
      </c>
      <c r="CU850">
        <v>50</v>
      </c>
      <c r="CV850">
        <v>-0.21</v>
      </c>
      <c r="CW850">
        <v>40</v>
      </c>
      <c r="CX850" t="s">
        <v>2486</v>
      </c>
    </row>
    <row r="851" spans="1:102" x14ac:dyDescent="0.3">
      <c r="A851" t="str">
        <f>HYPERLINK("https://webapp.icbf.com/v2/app/bull-search/view/666357126","KYX")</f>
        <v>KYX</v>
      </c>
      <c r="B851" t="s">
        <v>12837</v>
      </c>
      <c r="C851" t="s">
        <v>12838</v>
      </c>
      <c r="D851" s="1">
        <v>39840</v>
      </c>
      <c r="E851" t="s">
        <v>92</v>
      </c>
      <c r="F851">
        <v>75</v>
      </c>
      <c r="G851" t="s">
        <v>435</v>
      </c>
      <c r="H851">
        <v>155.21</v>
      </c>
      <c r="I851">
        <v>70</v>
      </c>
      <c r="J851">
        <v>-2.17</v>
      </c>
      <c r="K851">
        <v>88</v>
      </c>
      <c r="L851">
        <v>98.55</v>
      </c>
      <c r="M851">
        <v>66</v>
      </c>
      <c r="N851">
        <v>44.6</v>
      </c>
      <c r="O851">
        <v>56</v>
      </c>
      <c r="P851">
        <v>-4.82</v>
      </c>
      <c r="Q851">
        <v>52</v>
      </c>
      <c r="R851">
        <v>10.95</v>
      </c>
      <c r="S851">
        <v>66</v>
      </c>
      <c r="T851">
        <v>9.5299999999999994</v>
      </c>
      <c r="U851">
        <v>53</v>
      </c>
      <c r="V851">
        <v>-1.43</v>
      </c>
      <c r="W851">
        <v>62</v>
      </c>
      <c r="X851" t="s">
        <v>94</v>
      </c>
      <c r="Y851" t="s">
        <v>1727</v>
      </c>
      <c r="Z851" t="s">
        <v>3025</v>
      </c>
      <c r="AA851" t="s">
        <v>277</v>
      </c>
      <c r="AB851" t="s">
        <v>144</v>
      </c>
      <c r="AC851">
        <v>0</v>
      </c>
      <c r="AD851">
        <v>0</v>
      </c>
      <c r="AE851">
        <v>88</v>
      </c>
      <c r="AF851">
        <v>-244.98</v>
      </c>
      <c r="AG851">
        <v>2.66</v>
      </c>
      <c r="AH851">
        <v>-5.0599999999999996</v>
      </c>
      <c r="AI851">
        <v>0.22</v>
      </c>
      <c r="AJ851">
        <v>0.06</v>
      </c>
      <c r="AK851">
        <v>66</v>
      </c>
      <c r="AL851">
        <v>1</v>
      </c>
      <c r="AM851">
        <v>1</v>
      </c>
      <c r="AN851">
        <v>-6.06</v>
      </c>
      <c r="AO851">
        <v>1.79</v>
      </c>
      <c r="AP851">
        <v>3</v>
      </c>
      <c r="AQ851">
        <v>0</v>
      </c>
      <c r="AR851">
        <v>4.12</v>
      </c>
      <c r="AS851">
        <v>54</v>
      </c>
      <c r="AT851">
        <v>2.21</v>
      </c>
      <c r="AU851">
        <v>65</v>
      </c>
      <c r="AV851">
        <v>-3.76</v>
      </c>
      <c r="AW851">
        <v>57</v>
      </c>
      <c r="AX851">
        <v>-0.02</v>
      </c>
      <c r="AY851">
        <v>49</v>
      </c>
      <c r="AZ851">
        <v>5.87</v>
      </c>
      <c r="BA851">
        <v>45</v>
      </c>
      <c r="BB851">
        <v>5.17</v>
      </c>
      <c r="BC851">
        <v>47</v>
      </c>
      <c r="BD851">
        <v>-0.04</v>
      </c>
      <c r="BE851">
        <v>-0.05</v>
      </c>
      <c r="BF851">
        <v>-0.09</v>
      </c>
      <c r="BG851">
        <v>74</v>
      </c>
      <c r="BH851">
        <v>-0.11</v>
      </c>
      <c r="BI851">
        <v>-8.1199999999999992</v>
      </c>
      <c r="BJ851">
        <v>0</v>
      </c>
      <c r="BK851">
        <v>0</v>
      </c>
      <c r="BL851">
        <v>-0.53</v>
      </c>
      <c r="BM851">
        <v>-0.57999999999999996</v>
      </c>
      <c r="BN851">
        <v>-1.41</v>
      </c>
      <c r="BO851">
        <v>-0.68</v>
      </c>
      <c r="BP851">
        <v>0.08</v>
      </c>
      <c r="BQ851">
        <v>-1.25</v>
      </c>
      <c r="BR851">
        <v>-0.98</v>
      </c>
      <c r="BS851">
        <v>-0.08</v>
      </c>
      <c r="BT851">
        <v>0.53</v>
      </c>
      <c r="BU851">
        <v>0.51</v>
      </c>
      <c r="BV851">
        <v>-0.46</v>
      </c>
      <c r="BW851">
        <v>-0.27</v>
      </c>
      <c r="BX851">
        <v>0.75</v>
      </c>
      <c r="BY851">
        <v>-0.78</v>
      </c>
      <c r="BZ851">
        <v>-0.46</v>
      </c>
      <c r="CA851">
        <v>0.03</v>
      </c>
      <c r="CB851">
        <v>-0.13</v>
      </c>
      <c r="CC851">
        <v>-0.23</v>
      </c>
      <c r="CD851">
        <v>0.45</v>
      </c>
      <c r="CE851">
        <v>-0.92</v>
      </c>
      <c r="CF851">
        <v>-0.38</v>
      </c>
      <c r="CG851">
        <v>0</v>
      </c>
      <c r="CH851">
        <v>-0.16</v>
      </c>
      <c r="CI851">
        <v>0</v>
      </c>
      <c r="CJ851">
        <v>-0.4</v>
      </c>
      <c r="CK851">
        <v>53</v>
      </c>
      <c r="CL851">
        <v>-0.66</v>
      </c>
      <c r="CM851">
        <v>51</v>
      </c>
      <c r="CN851">
        <v>-0.28000000000000003</v>
      </c>
      <c r="CO851">
        <v>50</v>
      </c>
      <c r="CP851">
        <v>-4.9000000000000004</v>
      </c>
      <c r="CQ851">
        <v>52</v>
      </c>
      <c r="CR851">
        <v>0</v>
      </c>
      <c r="CS851">
        <v>0</v>
      </c>
      <c r="CT851">
        <v>0.9</v>
      </c>
      <c r="CU851">
        <v>53</v>
      </c>
      <c r="CV851">
        <v>0.15</v>
      </c>
      <c r="CW851">
        <v>36</v>
      </c>
      <c r="CX851" t="s">
        <v>1883</v>
      </c>
    </row>
    <row r="852" spans="1:102" x14ac:dyDescent="0.3">
      <c r="A852" t="str">
        <f>HYPERLINK("https://webapp.icbf.com/v2/app/bull-search/view/1246409725","JE2055")</f>
        <v>JE2055</v>
      </c>
      <c r="B852" t="s">
        <v>13595</v>
      </c>
      <c r="C852" t="s">
        <v>13596</v>
      </c>
      <c r="D852" s="1">
        <v>41169</v>
      </c>
      <c r="E852" t="s">
        <v>227</v>
      </c>
      <c r="F852">
        <v>0</v>
      </c>
      <c r="G852" t="s">
        <v>93</v>
      </c>
      <c r="H852">
        <v>155.04</v>
      </c>
      <c r="I852">
        <v>74</v>
      </c>
      <c r="J852">
        <v>72.53</v>
      </c>
      <c r="K852">
        <v>91</v>
      </c>
      <c r="L852">
        <v>18.649999999999999</v>
      </c>
      <c r="M852">
        <v>68</v>
      </c>
      <c r="N852">
        <v>43.22</v>
      </c>
      <c r="O852">
        <v>77</v>
      </c>
      <c r="P852">
        <v>-53.62</v>
      </c>
      <c r="Q852">
        <v>67</v>
      </c>
      <c r="R852">
        <v>3.91</v>
      </c>
      <c r="S852">
        <v>68</v>
      </c>
      <c r="T852">
        <v>64.150000000000006</v>
      </c>
      <c r="U852">
        <v>44</v>
      </c>
      <c r="V852">
        <v>6.2</v>
      </c>
      <c r="W852">
        <v>67</v>
      </c>
      <c r="X852" t="s">
        <v>276</v>
      </c>
      <c r="Y852" t="s">
        <v>416</v>
      </c>
      <c r="Z852">
        <v>0</v>
      </c>
      <c r="AA852" t="s">
        <v>1779</v>
      </c>
      <c r="AB852" t="s">
        <v>144</v>
      </c>
      <c r="AC852">
        <v>35</v>
      </c>
      <c r="AD852">
        <v>16</v>
      </c>
      <c r="AE852">
        <v>91</v>
      </c>
      <c r="AF852">
        <v>-586.98</v>
      </c>
      <c r="AG852">
        <v>17.87</v>
      </c>
      <c r="AH852">
        <v>-2.97</v>
      </c>
      <c r="AI852">
        <v>0.79</v>
      </c>
      <c r="AJ852">
        <v>0.33</v>
      </c>
      <c r="AK852">
        <v>68</v>
      </c>
      <c r="AL852">
        <v>20</v>
      </c>
      <c r="AM852">
        <v>9</v>
      </c>
      <c r="AN852">
        <v>0.77</v>
      </c>
      <c r="AO852">
        <v>2.2799999999999998</v>
      </c>
      <c r="AP852">
        <v>122</v>
      </c>
      <c r="AQ852">
        <v>3</v>
      </c>
      <c r="AR852">
        <v>3.92</v>
      </c>
      <c r="AS852">
        <v>73</v>
      </c>
      <c r="AT852">
        <v>1.83</v>
      </c>
      <c r="AU852">
        <v>77</v>
      </c>
      <c r="AV852">
        <v>-3.5</v>
      </c>
      <c r="AW852">
        <v>93</v>
      </c>
      <c r="AX852">
        <v>0.51</v>
      </c>
      <c r="AY852">
        <v>74</v>
      </c>
      <c r="AZ852">
        <v>6.51</v>
      </c>
      <c r="BA852">
        <v>47</v>
      </c>
      <c r="BB852">
        <v>5.09</v>
      </c>
      <c r="BC852">
        <v>42</v>
      </c>
      <c r="BD852">
        <v>-0.06</v>
      </c>
      <c r="BE852">
        <v>0</v>
      </c>
      <c r="BF852">
        <v>0.01</v>
      </c>
      <c r="BG852">
        <v>76</v>
      </c>
      <c r="BH852">
        <v>0.1</v>
      </c>
      <c r="BI852">
        <v>-8.43</v>
      </c>
      <c r="BJ852">
        <v>1</v>
      </c>
      <c r="BK852">
        <v>1</v>
      </c>
      <c r="BL852">
        <v>-1.4</v>
      </c>
      <c r="BM852">
        <v>-1.74</v>
      </c>
      <c r="BN852">
        <v>-0.5</v>
      </c>
      <c r="BO852">
        <v>1.1599999999999999</v>
      </c>
      <c r="BP852">
        <v>0.24</v>
      </c>
      <c r="BQ852">
        <v>-4.9400000000000004</v>
      </c>
      <c r="BR852">
        <v>2.19</v>
      </c>
      <c r="BS852">
        <v>5.5</v>
      </c>
      <c r="BT852">
        <v>-1.1499999999999999</v>
      </c>
      <c r="BU852">
        <v>0.61</v>
      </c>
      <c r="BV852">
        <v>0.48</v>
      </c>
      <c r="BW852">
        <v>-1.1399999999999999</v>
      </c>
      <c r="BX852">
        <v>-1.86</v>
      </c>
      <c r="BY852">
        <v>0.45</v>
      </c>
      <c r="BZ852">
        <v>-0.61</v>
      </c>
      <c r="CA852">
        <v>1.89</v>
      </c>
      <c r="CB852">
        <v>0.63</v>
      </c>
      <c r="CC852">
        <v>3.55</v>
      </c>
      <c r="CD852">
        <v>-1.98</v>
      </c>
      <c r="CE852">
        <v>1.18</v>
      </c>
      <c r="CF852">
        <v>-1.42</v>
      </c>
      <c r="CG852">
        <v>0</v>
      </c>
      <c r="CH852">
        <v>-0.57999999999999996</v>
      </c>
      <c r="CI852">
        <v>0</v>
      </c>
      <c r="CJ852">
        <v>-29.5</v>
      </c>
      <c r="CK852">
        <v>71</v>
      </c>
      <c r="CL852">
        <v>-1.19</v>
      </c>
      <c r="CM852">
        <v>64</v>
      </c>
      <c r="CN852">
        <v>-0.51</v>
      </c>
      <c r="CO852">
        <v>62</v>
      </c>
      <c r="CP852">
        <v>-44</v>
      </c>
      <c r="CQ852">
        <v>51</v>
      </c>
      <c r="CR852">
        <v>0</v>
      </c>
      <c r="CS852">
        <v>0</v>
      </c>
      <c r="CT852">
        <v>-72.900000000000006</v>
      </c>
      <c r="CU852">
        <v>44</v>
      </c>
      <c r="CV852">
        <v>-0.34</v>
      </c>
      <c r="CW852">
        <v>39</v>
      </c>
      <c r="CX852" t="s">
        <v>13597</v>
      </c>
    </row>
    <row r="853" spans="1:102" x14ac:dyDescent="0.3">
      <c r="A853" t="str">
        <f>HYPERLINK("https://webapp.icbf.com/v2/app/bull-search/view/560652535","MND")</f>
        <v>MND</v>
      </c>
      <c r="B853" t="s">
        <v>10064</v>
      </c>
      <c r="C853" t="s">
        <v>5961</v>
      </c>
      <c r="D853" s="1">
        <v>39499</v>
      </c>
      <c r="E853" t="s">
        <v>92</v>
      </c>
      <c r="F853">
        <v>75</v>
      </c>
      <c r="G853" t="s">
        <v>93</v>
      </c>
      <c r="H853">
        <v>154.97999999999999</v>
      </c>
      <c r="I853">
        <v>88</v>
      </c>
      <c r="J853">
        <v>45.88</v>
      </c>
      <c r="K853">
        <v>97</v>
      </c>
      <c r="L853">
        <v>40.67</v>
      </c>
      <c r="M853">
        <v>79</v>
      </c>
      <c r="N853">
        <v>49.2</v>
      </c>
      <c r="O853">
        <v>87</v>
      </c>
      <c r="P853">
        <v>-23.68</v>
      </c>
      <c r="Q853">
        <v>92</v>
      </c>
      <c r="R853">
        <v>8.23</v>
      </c>
      <c r="S853">
        <v>81</v>
      </c>
      <c r="T853">
        <v>30.11</v>
      </c>
      <c r="U853">
        <v>87</v>
      </c>
      <c r="V853">
        <v>4.57</v>
      </c>
      <c r="W853">
        <v>79</v>
      </c>
      <c r="X853" t="s">
        <v>94</v>
      </c>
      <c r="Y853" t="s">
        <v>241</v>
      </c>
      <c r="Z853" t="s">
        <v>96</v>
      </c>
      <c r="AA853" t="s">
        <v>1514</v>
      </c>
      <c r="AB853" t="s">
        <v>10065</v>
      </c>
      <c r="AC853">
        <v>99</v>
      </c>
      <c r="AD853">
        <v>72</v>
      </c>
      <c r="AE853">
        <v>97</v>
      </c>
      <c r="AF853">
        <v>-35.64</v>
      </c>
      <c r="AG853">
        <v>11.81</v>
      </c>
      <c r="AH853">
        <v>3.08</v>
      </c>
      <c r="AI853">
        <v>0.23</v>
      </c>
      <c r="AJ853">
        <v>0.08</v>
      </c>
      <c r="AK853">
        <v>79</v>
      </c>
      <c r="AL853">
        <v>99</v>
      </c>
      <c r="AM853">
        <v>73</v>
      </c>
      <c r="AN853">
        <v>-0.16</v>
      </c>
      <c r="AO853">
        <v>3.11</v>
      </c>
      <c r="AP853">
        <v>204</v>
      </c>
      <c r="AQ853">
        <v>1</v>
      </c>
      <c r="AR853">
        <v>4.54</v>
      </c>
      <c r="AS853">
        <v>73</v>
      </c>
      <c r="AT853">
        <v>1.83</v>
      </c>
      <c r="AU853">
        <v>88</v>
      </c>
      <c r="AV853">
        <v>-3.85</v>
      </c>
      <c r="AW853">
        <v>96</v>
      </c>
      <c r="AX853">
        <v>-0.84</v>
      </c>
      <c r="AY853">
        <v>81</v>
      </c>
      <c r="AZ853">
        <v>6</v>
      </c>
      <c r="BA853">
        <v>68</v>
      </c>
      <c r="BB853">
        <v>5.09</v>
      </c>
      <c r="BC853">
        <v>71</v>
      </c>
      <c r="BD853">
        <v>-0.02</v>
      </c>
      <c r="BE853">
        <v>-0.04</v>
      </c>
      <c r="BF853">
        <v>-0.08</v>
      </c>
      <c r="BG853">
        <v>89</v>
      </c>
      <c r="BH853">
        <v>0.04</v>
      </c>
      <c r="BI853">
        <v>-10.119999999999999</v>
      </c>
      <c r="BJ853">
        <v>27</v>
      </c>
      <c r="BK853">
        <v>17</v>
      </c>
      <c r="BL853">
        <v>-1.44</v>
      </c>
      <c r="BM853">
        <v>-1.62</v>
      </c>
      <c r="BN853">
        <v>-2.12</v>
      </c>
      <c r="BO853">
        <v>-0.87</v>
      </c>
      <c r="BP853">
        <v>0.37</v>
      </c>
      <c r="BQ853">
        <v>-1.85</v>
      </c>
      <c r="BR853">
        <v>1.39</v>
      </c>
      <c r="BS853">
        <v>-0.16</v>
      </c>
      <c r="BT853">
        <v>-1.48</v>
      </c>
      <c r="BU853">
        <v>0.32</v>
      </c>
      <c r="BV853">
        <v>-0.48</v>
      </c>
      <c r="BW853">
        <v>-0.74</v>
      </c>
      <c r="BX853">
        <v>0.08</v>
      </c>
      <c r="BY853">
        <v>-1.25</v>
      </c>
      <c r="BZ853">
        <v>0.46</v>
      </c>
      <c r="CA853">
        <v>-0.55000000000000004</v>
      </c>
      <c r="CB853">
        <v>-0.44</v>
      </c>
      <c r="CC853">
        <v>-0.4</v>
      </c>
      <c r="CD853">
        <v>-0.06</v>
      </c>
      <c r="CE853">
        <v>-1.1200000000000001</v>
      </c>
      <c r="CF853">
        <v>-2.36</v>
      </c>
      <c r="CG853">
        <v>0</v>
      </c>
      <c r="CH853">
        <v>-1.57</v>
      </c>
      <c r="CI853">
        <v>0</v>
      </c>
      <c r="CJ853">
        <v>-10.6</v>
      </c>
      <c r="CK853">
        <v>93</v>
      </c>
      <c r="CL853">
        <v>-0.66</v>
      </c>
      <c r="CM853">
        <v>91</v>
      </c>
      <c r="CN853">
        <v>-0.08</v>
      </c>
      <c r="CO853">
        <v>90</v>
      </c>
      <c r="CP853">
        <v>-21.2</v>
      </c>
      <c r="CQ853">
        <v>87</v>
      </c>
      <c r="CR853">
        <v>0</v>
      </c>
      <c r="CS853">
        <v>0</v>
      </c>
      <c r="CT853">
        <v>-26.9</v>
      </c>
      <c r="CU853">
        <v>87</v>
      </c>
      <c r="CV853">
        <v>-0.08</v>
      </c>
      <c r="CW853">
        <v>45</v>
      </c>
      <c r="CX853" t="s">
        <v>792</v>
      </c>
    </row>
    <row r="854" spans="1:102" x14ac:dyDescent="0.3">
      <c r="A854" t="str">
        <f>HYPERLINK("https://webapp.icbf.com/v2/app/bull-search/view/1196695792","S3000")</f>
        <v>S3000</v>
      </c>
      <c r="B854" t="s">
        <v>2211</v>
      </c>
      <c r="C854" t="s">
        <v>2212</v>
      </c>
      <c r="D854" s="1">
        <v>40946</v>
      </c>
      <c r="E854" t="s">
        <v>92</v>
      </c>
      <c r="F854">
        <v>100</v>
      </c>
      <c r="G854" t="s">
        <v>109</v>
      </c>
      <c r="H854">
        <v>154.68</v>
      </c>
      <c r="I854">
        <v>80</v>
      </c>
      <c r="J854">
        <v>66.010000000000005</v>
      </c>
      <c r="K854">
        <v>92</v>
      </c>
      <c r="L854">
        <v>42.9</v>
      </c>
      <c r="M854">
        <v>83</v>
      </c>
      <c r="N854">
        <v>34.159999999999997</v>
      </c>
      <c r="O854">
        <v>74</v>
      </c>
      <c r="P854">
        <v>-11.9</v>
      </c>
      <c r="Q854">
        <v>64</v>
      </c>
      <c r="R854">
        <v>19.41</v>
      </c>
      <c r="S854">
        <v>73</v>
      </c>
      <c r="T854">
        <v>1.62</v>
      </c>
      <c r="U854">
        <v>50</v>
      </c>
      <c r="V854">
        <v>2.48</v>
      </c>
      <c r="W854">
        <v>58</v>
      </c>
      <c r="X854" t="s">
        <v>110</v>
      </c>
      <c r="Y854" t="s">
        <v>411</v>
      </c>
      <c r="Z854" t="s">
        <v>96</v>
      </c>
      <c r="AA854" t="s">
        <v>1955</v>
      </c>
      <c r="AB854" t="s">
        <v>2213</v>
      </c>
      <c r="AC854">
        <v>0</v>
      </c>
      <c r="AD854">
        <v>0</v>
      </c>
      <c r="AE854">
        <v>92</v>
      </c>
      <c r="AF854">
        <v>418.75</v>
      </c>
      <c r="AG854">
        <v>13.67</v>
      </c>
      <c r="AH854">
        <v>12.8</v>
      </c>
      <c r="AI854">
        <v>-0.04</v>
      </c>
      <c r="AJ854">
        <v>-0.02</v>
      </c>
      <c r="AK854">
        <v>83</v>
      </c>
      <c r="AL854">
        <v>0</v>
      </c>
      <c r="AM854">
        <v>0</v>
      </c>
      <c r="AN854">
        <v>-1.66</v>
      </c>
      <c r="AO854">
        <v>1.77</v>
      </c>
      <c r="AP854">
        <v>35</v>
      </c>
      <c r="AQ854">
        <v>0</v>
      </c>
      <c r="AR854">
        <v>5.44</v>
      </c>
      <c r="AS854">
        <v>67</v>
      </c>
      <c r="AT854">
        <v>2.3199999999999998</v>
      </c>
      <c r="AU854">
        <v>89</v>
      </c>
      <c r="AV854">
        <v>-3.13</v>
      </c>
      <c r="AW854">
        <v>81</v>
      </c>
      <c r="AX854">
        <v>0.16</v>
      </c>
      <c r="AY854">
        <v>67</v>
      </c>
      <c r="AZ854">
        <v>6.6</v>
      </c>
      <c r="BA854">
        <v>45</v>
      </c>
      <c r="BB854">
        <v>5.28</v>
      </c>
      <c r="BC854">
        <v>40</v>
      </c>
      <c r="BD854">
        <v>-0.05</v>
      </c>
      <c r="BE854">
        <v>-7.0000000000000007E-2</v>
      </c>
      <c r="BF854">
        <v>-0.23</v>
      </c>
      <c r="BG854">
        <v>90</v>
      </c>
      <c r="BH854">
        <v>-0.09</v>
      </c>
      <c r="BI854">
        <v>-18.420000000000002</v>
      </c>
      <c r="BJ854">
        <v>7</v>
      </c>
      <c r="BK854">
        <v>1</v>
      </c>
      <c r="BL854">
        <v>0.06</v>
      </c>
      <c r="BM854">
        <v>-0.89</v>
      </c>
      <c r="BN854">
        <v>-1.94</v>
      </c>
      <c r="BO854">
        <v>-0.5</v>
      </c>
      <c r="BP854">
        <v>-0.56999999999999995</v>
      </c>
      <c r="BQ854">
        <v>-2</v>
      </c>
      <c r="BR854">
        <v>-1.97</v>
      </c>
      <c r="BS854">
        <v>1.1399999999999999</v>
      </c>
      <c r="BT854">
        <v>1.71</v>
      </c>
      <c r="BU854">
        <v>2.61</v>
      </c>
      <c r="BV854">
        <v>1.58</v>
      </c>
      <c r="BW854">
        <v>1.21</v>
      </c>
      <c r="BX854">
        <v>2.83</v>
      </c>
      <c r="BY854">
        <v>0</v>
      </c>
      <c r="BZ854">
        <v>-1.29</v>
      </c>
      <c r="CA854">
        <v>2.41</v>
      </c>
      <c r="CB854">
        <v>1.89</v>
      </c>
      <c r="CC854">
        <v>1.1599999999999999</v>
      </c>
      <c r="CD854">
        <v>0.91</v>
      </c>
      <c r="CE854">
        <v>0.36</v>
      </c>
      <c r="CF854">
        <v>0.55000000000000004</v>
      </c>
      <c r="CG854">
        <v>0</v>
      </c>
      <c r="CH854">
        <v>-0.09</v>
      </c>
      <c r="CI854">
        <v>0</v>
      </c>
      <c r="CJ854">
        <v>-7.2</v>
      </c>
      <c r="CK854">
        <v>67</v>
      </c>
      <c r="CL854">
        <v>-1.0900000000000001</v>
      </c>
      <c r="CM854">
        <v>62</v>
      </c>
      <c r="CN854">
        <v>-0.78</v>
      </c>
      <c r="CO854">
        <v>61</v>
      </c>
      <c r="CP854">
        <v>1</v>
      </c>
      <c r="CQ854">
        <v>50</v>
      </c>
      <c r="CR854">
        <v>0</v>
      </c>
      <c r="CS854">
        <v>0</v>
      </c>
      <c r="CT854">
        <v>11.6</v>
      </c>
      <c r="CU854">
        <v>50</v>
      </c>
      <c r="CV854">
        <v>0.17</v>
      </c>
      <c r="CW854">
        <v>39</v>
      </c>
      <c r="CX854" t="s">
        <v>1848</v>
      </c>
    </row>
    <row r="855" spans="1:102" x14ac:dyDescent="0.3">
      <c r="A855" t="str">
        <f>HYPERLINK("https://webapp.icbf.com/v2/app/bull-search/view/900174821","DGY")</f>
        <v>DGY</v>
      </c>
      <c r="B855" t="s">
        <v>1802</v>
      </c>
      <c r="C855" t="s">
        <v>1803</v>
      </c>
      <c r="D855" s="1">
        <v>40148</v>
      </c>
      <c r="E855" t="s">
        <v>92</v>
      </c>
      <c r="F855">
        <v>100</v>
      </c>
      <c r="G855" t="s">
        <v>93</v>
      </c>
      <c r="H855">
        <v>154.66999999999999</v>
      </c>
      <c r="I855">
        <v>97</v>
      </c>
      <c r="J855">
        <v>43.41</v>
      </c>
      <c r="K855">
        <v>99</v>
      </c>
      <c r="L855">
        <v>49.15</v>
      </c>
      <c r="M855">
        <v>96</v>
      </c>
      <c r="N855">
        <v>34.74</v>
      </c>
      <c r="O855">
        <v>99</v>
      </c>
      <c r="P855">
        <v>-4.93</v>
      </c>
      <c r="Q855">
        <v>99</v>
      </c>
      <c r="R855">
        <v>17.34</v>
      </c>
      <c r="S855">
        <v>95</v>
      </c>
      <c r="T855">
        <v>11.53</v>
      </c>
      <c r="U855">
        <v>99</v>
      </c>
      <c r="V855">
        <v>3.43</v>
      </c>
      <c r="W855">
        <v>85</v>
      </c>
      <c r="X855" t="s">
        <v>94</v>
      </c>
      <c r="Y855" t="s">
        <v>329</v>
      </c>
      <c r="Z855" t="s">
        <v>96</v>
      </c>
      <c r="AA855" t="s">
        <v>1376</v>
      </c>
      <c r="AB855" t="s">
        <v>1804</v>
      </c>
      <c r="AC855">
        <v>3611</v>
      </c>
      <c r="AD855">
        <v>1043</v>
      </c>
      <c r="AE855">
        <v>99</v>
      </c>
      <c r="AF855">
        <v>318.33999999999997</v>
      </c>
      <c r="AG855">
        <v>4.37</v>
      </c>
      <c r="AH855">
        <v>10.71</v>
      </c>
      <c r="AI855">
        <v>-0.13</v>
      </c>
      <c r="AJ855">
        <v>0</v>
      </c>
      <c r="AK855">
        <v>96</v>
      </c>
      <c r="AL855">
        <v>3925</v>
      </c>
      <c r="AM855">
        <v>1237</v>
      </c>
      <c r="AN855">
        <v>-1.88</v>
      </c>
      <c r="AO855">
        <v>2.0499999999999998</v>
      </c>
      <c r="AP855">
        <v>5982</v>
      </c>
      <c r="AQ855">
        <v>22</v>
      </c>
      <c r="AR855">
        <v>5.19</v>
      </c>
      <c r="AS855">
        <v>99</v>
      </c>
      <c r="AT855">
        <v>2.2000000000000002</v>
      </c>
      <c r="AU855">
        <v>99</v>
      </c>
      <c r="AV855">
        <v>-2.4700000000000002</v>
      </c>
      <c r="AW855">
        <v>99</v>
      </c>
      <c r="AX855">
        <v>-0.33</v>
      </c>
      <c r="AY855">
        <v>99</v>
      </c>
      <c r="AZ855">
        <v>6.06</v>
      </c>
      <c r="BA855">
        <v>97</v>
      </c>
      <c r="BB855">
        <v>4.79</v>
      </c>
      <c r="BC855">
        <v>97</v>
      </c>
      <c r="BD855">
        <v>-0.1</v>
      </c>
      <c r="BE855">
        <v>-0.08</v>
      </c>
      <c r="BF855">
        <v>-0.08</v>
      </c>
      <c r="BG855">
        <v>99</v>
      </c>
      <c r="BH855">
        <v>-0.02</v>
      </c>
      <c r="BI855">
        <v>-13.39</v>
      </c>
      <c r="BJ855">
        <v>428</v>
      </c>
      <c r="BK855">
        <v>117</v>
      </c>
      <c r="BL855">
        <v>0.13</v>
      </c>
      <c r="BM855">
        <v>-1.47</v>
      </c>
      <c r="BN855">
        <v>-2.1800000000000002</v>
      </c>
      <c r="BO855">
        <v>-0.76</v>
      </c>
      <c r="BP855">
        <v>0.62</v>
      </c>
      <c r="BQ855">
        <v>-2.23</v>
      </c>
      <c r="BR855">
        <v>-1.39</v>
      </c>
      <c r="BS855">
        <v>2.36</v>
      </c>
      <c r="BT855">
        <v>1.77</v>
      </c>
      <c r="BU855">
        <v>3.93</v>
      </c>
      <c r="BV855">
        <v>2.56</v>
      </c>
      <c r="BW855">
        <v>1.92</v>
      </c>
      <c r="BX855">
        <v>3.79</v>
      </c>
      <c r="BY855">
        <v>1.61</v>
      </c>
      <c r="BZ855">
        <v>-0.41</v>
      </c>
      <c r="CA855">
        <v>2.16</v>
      </c>
      <c r="CB855">
        <v>1.9</v>
      </c>
      <c r="CC855">
        <v>1.36</v>
      </c>
      <c r="CD855">
        <v>0.28000000000000003</v>
      </c>
      <c r="CE855">
        <v>-0.2</v>
      </c>
      <c r="CF855">
        <v>-0.86</v>
      </c>
      <c r="CG855">
        <v>0</v>
      </c>
      <c r="CH855">
        <v>1.71</v>
      </c>
      <c r="CI855">
        <v>0</v>
      </c>
      <c r="CJ855">
        <v>-1</v>
      </c>
      <c r="CK855">
        <v>99</v>
      </c>
      <c r="CL855">
        <v>-0.89</v>
      </c>
      <c r="CM855">
        <v>99</v>
      </c>
      <c r="CN855">
        <v>-0.48</v>
      </c>
      <c r="CO855">
        <v>99</v>
      </c>
      <c r="CP855">
        <v>0.1</v>
      </c>
      <c r="CQ855">
        <v>99</v>
      </c>
      <c r="CR855">
        <v>0</v>
      </c>
      <c r="CS855">
        <v>0</v>
      </c>
      <c r="CT855">
        <v>-1.8</v>
      </c>
      <c r="CU855">
        <v>99</v>
      </c>
      <c r="CV855">
        <v>0.18</v>
      </c>
      <c r="CW855">
        <v>47</v>
      </c>
      <c r="CX855" t="s">
        <v>277</v>
      </c>
    </row>
    <row r="856" spans="1:102" x14ac:dyDescent="0.3">
      <c r="A856" t="str">
        <f>HYPERLINK("https://webapp.icbf.com/v2/app/bull-search/view/1231258453","FR2260")</f>
        <v>FR2260</v>
      </c>
      <c r="B856" t="s">
        <v>7197</v>
      </c>
      <c r="C856" t="s">
        <v>7198</v>
      </c>
      <c r="D856" s="1">
        <v>41502</v>
      </c>
      <c r="E856" t="s">
        <v>92</v>
      </c>
      <c r="F856">
        <v>100</v>
      </c>
      <c r="G856" t="s">
        <v>109</v>
      </c>
      <c r="H856">
        <v>154.56</v>
      </c>
      <c r="I856">
        <v>79</v>
      </c>
      <c r="J856">
        <v>100.99</v>
      </c>
      <c r="K856">
        <v>92</v>
      </c>
      <c r="L856">
        <v>25.31</v>
      </c>
      <c r="M856">
        <v>84</v>
      </c>
      <c r="N856">
        <v>45.11</v>
      </c>
      <c r="O856">
        <v>76</v>
      </c>
      <c r="P856">
        <v>-20.99</v>
      </c>
      <c r="Q856">
        <v>61</v>
      </c>
      <c r="R856">
        <v>9.39</v>
      </c>
      <c r="S856">
        <v>73</v>
      </c>
      <c r="T856">
        <v>-6.75</v>
      </c>
      <c r="U856">
        <v>42</v>
      </c>
      <c r="V856">
        <v>1.5</v>
      </c>
      <c r="W856">
        <v>54</v>
      </c>
      <c r="X856" t="s">
        <v>94</v>
      </c>
      <c r="Y856" t="s">
        <v>405</v>
      </c>
      <c r="Z856" t="s">
        <v>96</v>
      </c>
      <c r="AA856" t="s">
        <v>465</v>
      </c>
      <c r="AB856" t="s">
        <v>7199</v>
      </c>
      <c r="AC856">
        <v>0</v>
      </c>
      <c r="AD856">
        <v>0</v>
      </c>
      <c r="AE856">
        <v>92</v>
      </c>
      <c r="AF856">
        <v>539.13</v>
      </c>
      <c r="AG856">
        <v>19.75</v>
      </c>
      <c r="AH856">
        <v>18.440000000000001</v>
      </c>
      <c r="AI856">
        <v>-0.02</v>
      </c>
      <c r="AJ856">
        <v>0</v>
      </c>
      <c r="AK856">
        <v>84</v>
      </c>
      <c r="AL856">
        <v>0</v>
      </c>
      <c r="AM856">
        <v>0</v>
      </c>
      <c r="AN856">
        <v>-0.48</v>
      </c>
      <c r="AO856">
        <v>1.55</v>
      </c>
      <c r="AP856">
        <v>44</v>
      </c>
      <c r="AQ856">
        <v>0</v>
      </c>
      <c r="AR856">
        <v>6.88</v>
      </c>
      <c r="AS856">
        <v>70</v>
      </c>
      <c r="AT856">
        <v>2.2400000000000002</v>
      </c>
      <c r="AU856">
        <v>91</v>
      </c>
      <c r="AV856">
        <v>-4.45</v>
      </c>
      <c r="AW856">
        <v>87</v>
      </c>
      <c r="AX856">
        <v>0.11</v>
      </c>
      <c r="AY856">
        <v>62</v>
      </c>
      <c r="AZ856">
        <v>6.09</v>
      </c>
      <c r="BA856">
        <v>45</v>
      </c>
      <c r="BB856">
        <v>4.8499999999999996</v>
      </c>
      <c r="BC856">
        <v>36</v>
      </c>
      <c r="BD856">
        <v>0</v>
      </c>
      <c r="BE856">
        <v>-0.04</v>
      </c>
      <c r="BF856">
        <v>-0.14000000000000001</v>
      </c>
      <c r="BG856">
        <v>91</v>
      </c>
      <c r="BH856">
        <v>0.06</v>
      </c>
      <c r="BI856">
        <v>2.1</v>
      </c>
      <c r="BJ856">
        <v>2</v>
      </c>
      <c r="BK856">
        <v>2</v>
      </c>
      <c r="BL856">
        <v>1.56</v>
      </c>
      <c r="BM856">
        <v>-0.84</v>
      </c>
      <c r="BN856">
        <v>-0.54</v>
      </c>
      <c r="BO856">
        <v>0.52</v>
      </c>
      <c r="BP856">
        <v>-0.41</v>
      </c>
      <c r="BQ856">
        <v>1.1000000000000001</v>
      </c>
      <c r="BR856">
        <v>1.17</v>
      </c>
      <c r="BS856">
        <v>0.84</v>
      </c>
      <c r="BT856">
        <v>-0.93</v>
      </c>
      <c r="BU856">
        <v>2.92</v>
      </c>
      <c r="BV856">
        <v>2.91</v>
      </c>
      <c r="BW856">
        <v>2.57</v>
      </c>
      <c r="BX856">
        <v>3.18</v>
      </c>
      <c r="BY856">
        <v>-1.0900000000000001</v>
      </c>
      <c r="BZ856">
        <v>0.85</v>
      </c>
      <c r="CA856">
        <v>2.56</v>
      </c>
      <c r="CB856">
        <v>2.41</v>
      </c>
      <c r="CC856">
        <v>1.1299999999999999</v>
      </c>
      <c r="CD856">
        <v>-0.27</v>
      </c>
      <c r="CE856">
        <v>1.65</v>
      </c>
      <c r="CF856">
        <v>1.76</v>
      </c>
      <c r="CG856">
        <v>0</v>
      </c>
      <c r="CH856">
        <v>-0.78</v>
      </c>
      <c r="CI856">
        <v>0</v>
      </c>
      <c r="CJ856">
        <v>-8.8000000000000007</v>
      </c>
      <c r="CK856">
        <v>63</v>
      </c>
      <c r="CL856">
        <v>-1.64</v>
      </c>
      <c r="CM856">
        <v>60</v>
      </c>
      <c r="CN856">
        <v>-0.68</v>
      </c>
      <c r="CO856">
        <v>59</v>
      </c>
      <c r="CP856">
        <v>0.8</v>
      </c>
      <c r="CQ856">
        <v>48</v>
      </c>
      <c r="CR856">
        <v>0</v>
      </c>
      <c r="CS856">
        <v>0</v>
      </c>
      <c r="CT856">
        <v>22.9</v>
      </c>
      <c r="CU856">
        <v>42</v>
      </c>
      <c r="CV856">
        <v>0.23</v>
      </c>
      <c r="CW856">
        <v>38</v>
      </c>
      <c r="CX856" t="s">
        <v>1572</v>
      </c>
    </row>
    <row r="857" spans="1:102" x14ac:dyDescent="0.3">
      <c r="A857" t="str">
        <f>HYPERLINK("https://webapp.icbf.com/v2/app/bull-search/view/714740969","ATD")</f>
        <v>ATD</v>
      </c>
      <c r="B857" t="s">
        <v>7237</v>
      </c>
      <c r="C857" t="s">
        <v>7238</v>
      </c>
      <c r="D857" s="1">
        <v>39629</v>
      </c>
      <c r="E857" t="s">
        <v>92</v>
      </c>
      <c r="F857">
        <v>100</v>
      </c>
      <c r="G857" t="s">
        <v>93</v>
      </c>
      <c r="H857">
        <v>154.52000000000001</v>
      </c>
      <c r="I857">
        <v>94</v>
      </c>
      <c r="J857">
        <v>70</v>
      </c>
      <c r="K857">
        <v>99</v>
      </c>
      <c r="L857">
        <v>42.72</v>
      </c>
      <c r="M857">
        <v>92</v>
      </c>
      <c r="N857">
        <v>38.07</v>
      </c>
      <c r="O857">
        <v>94</v>
      </c>
      <c r="P857">
        <v>-7.31</v>
      </c>
      <c r="Q857">
        <v>97</v>
      </c>
      <c r="R857">
        <v>18.350000000000001</v>
      </c>
      <c r="S857">
        <v>87</v>
      </c>
      <c r="T857">
        <v>-11.56</v>
      </c>
      <c r="U857">
        <v>88</v>
      </c>
      <c r="V857">
        <v>4.25</v>
      </c>
      <c r="W857">
        <v>80</v>
      </c>
      <c r="X857" t="s">
        <v>94</v>
      </c>
      <c r="Y857" t="s">
        <v>1980</v>
      </c>
      <c r="Z857" t="s">
        <v>96</v>
      </c>
      <c r="AA857" t="s">
        <v>277</v>
      </c>
      <c r="AB857" t="s">
        <v>7239</v>
      </c>
      <c r="AC857">
        <v>492</v>
      </c>
      <c r="AD857">
        <v>142</v>
      </c>
      <c r="AE857">
        <v>99</v>
      </c>
      <c r="AF857">
        <v>323.08999999999997</v>
      </c>
      <c r="AG857">
        <v>6.36</v>
      </c>
      <c r="AH857">
        <v>14.6</v>
      </c>
      <c r="AI857">
        <v>-0.1</v>
      </c>
      <c r="AJ857">
        <v>0.06</v>
      </c>
      <c r="AK857">
        <v>92</v>
      </c>
      <c r="AL857">
        <v>450</v>
      </c>
      <c r="AM857">
        <v>125</v>
      </c>
      <c r="AN857">
        <v>-1.33</v>
      </c>
      <c r="AO857">
        <v>2.09</v>
      </c>
      <c r="AP857">
        <v>859</v>
      </c>
      <c r="AQ857">
        <v>4</v>
      </c>
      <c r="AR857">
        <v>7.1</v>
      </c>
      <c r="AS857">
        <v>92</v>
      </c>
      <c r="AT857">
        <v>2.73</v>
      </c>
      <c r="AU857">
        <v>96</v>
      </c>
      <c r="AV857">
        <v>-3.49</v>
      </c>
      <c r="AW857">
        <v>99</v>
      </c>
      <c r="AX857">
        <v>-0.53</v>
      </c>
      <c r="AY857">
        <v>94</v>
      </c>
      <c r="AZ857">
        <v>5.34</v>
      </c>
      <c r="BA857">
        <v>84</v>
      </c>
      <c r="BB857">
        <v>4.38</v>
      </c>
      <c r="BC857">
        <v>78</v>
      </c>
      <c r="BD857">
        <v>-0.06</v>
      </c>
      <c r="BE857">
        <v>-0.08</v>
      </c>
      <c r="BF857">
        <v>-0.17</v>
      </c>
      <c r="BG857">
        <v>96</v>
      </c>
      <c r="BH857">
        <v>0.05</v>
      </c>
      <c r="BI857">
        <v>-7.91</v>
      </c>
      <c r="BJ857">
        <v>106</v>
      </c>
      <c r="BK857">
        <v>36</v>
      </c>
      <c r="BL857">
        <v>1.03</v>
      </c>
      <c r="BM857">
        <v>1.04</v>
      </c>
      <c r="BN857">
        <v>0.02</v>
      </c>
      <c r="BO857">
        <v>-0.26</v>
      </c>
      <c r="BP857">
        <v>1.27</v>
      </c>
      <c r="BQ857">
        <v>-0.1</v>
      </c>
      <c r="BR857">
        <v>0.43</v>
      </c>
      <c r="BS857">
        <v>1.1599999999999999</v>
      </c>
      <c r="BT857">
        <v>-0.6</v>
      </c>
      <c r="BU857">
        <v>-0.05</v>
      </c>
      <c r="BV857">
        <v>0.56000000000000005</v>
      </c>
      <c r="BW857">
        <v>0.35</v>
      </c>
      <c r="BX857">
        <v>1.73</v>
      </c>
      <c r="BY857">
        <v>0.36</v>
      </c>
      <c r="BZ857">
        <v>-0.15</v>
      </c>
      <c r="CA857">
        <v>0.55000000000000004</v>
      </c>
      <c r="CB857">
        <v>0.47</v>
      </c>
      <c r="CC857">
        <v>0.59</v>
      </c>
      <c r="CD857">
        <v>0.41</v>
      </c>
      <c r="CE857">
        <v>0</v>
      </c>
      <c r="CF857">
        <v>0.8</v>
      </c>
      <c r="CG857">
        <v>0</v>
      </c>
      <c r="CH857">
        <v>0.64</v>
      </c>
      <c r="CI857">
        <v>0</v>
      </c>
      <c r="CJ857">
        <v>-1.6</v>
      </c>
      <c r="CK857">
        <v>98</v>
      </c>
      <c r="CL857">
        <v>-1.05</v>
      </c>
      <c r="CM857">
        <v>97</v>
      </c>
      <c r="CN857">
        <v>-0.36</v>
      </c>
      <c r="CO857">
        <v>97</v>
      </c>
      <c r="CP857">
        <v>10.1</v>
      </c>
      <c r="CQ857">
        <v>89</v>
      </c>
      <c r="CR857">
        <v>0</v>
      </c>
      <c r="CS857">
        <v>0</v>
      </c>
      <c r="CT857">
        <v>29.4</v>
      </c>
      <c r="CU857">
        <v>88</v>
      </c>
      <c r="CV857">
        <v>0.22</v>
      </c>
      <c r="CW857">
        <v>47</v>
      </c>
      <c r="CX857" t="s">
        <v>316</v>
      </c>
    </row>
    <row r="858" spans="1:102" x14ac:dyDescent="0.3">
      <c r="A858" t="str">
        <f>HYPERLINK("https://webapp.icbf.com/v2/app/bull-search/view/1310248591","S3242")</f>
        <v>S3242</v>
      </c>
      <c r="B858" t="s">
        <v>8488</v>
      </c>
      <c r="C858" t="s">
        <v>8489</v>
      </c>
      <c r="D858" s="1">
        <v>41820</v>
      </c>
      <c r="E858" t="s">
        <v>92</v>
      </c>
      <c r="F858">
        <v>100</v>
      </c>
      <c r="G858" t="s">
        <v>109</v>
      </c>
      <c r="H858">
        <v>154.46</v>
      </c>
      <c r="I858">
        <v>75</v>
      </c>
      <c r="J858">
        <v>106.77</v>
      </c>
      <c r="K858">
        <v>92</v>
      </c>
      <c r="L858">
        <v>5.25</v>
      </c>
      <c r="M858">
        <v>80</v>
      </c>
      <c r="N858">
        <v>40.35</v>
      </c>
      <c r="O858">
        <v>70</v>
      </c>
      <c r="P858">
        <v>-8.7799999999999994</v>
      </c>
      <c r="Q858">
        <v>43</v>
      </c>
      <c r="R858">
        <v>20.43</v>
      </c>
      <c r="S858">
        <v>70</v>
      </c>
      <c r="T858">
        <v>-10</v>
      </c>
      <c r="U858">
        <v>38</v>
      </c>
      <c r="V858">
        <v>0.44</v>
      </c>
      <c r="W858">
        <v>55</v>
      </c>
      <c r="X858" t="s">
        <v>110</v>
      </c>
      <c r="Y858" t="s">
        <v>453</v>
      </c>
      <c r="Z858" t="s">
        <v>96</v>
      </c>
      <c r="AA858" t="s">
        <v>6247</v>
      </c>
      <c r="AB858" t="s">
        <v>8490</v>
      </c>
      <c r="AC858">
        <v>0</v>
      </c>
      <c r="AD858">
        <v>0</v>
      </c>
      <c r="AE858">
        <v>92</v>
      </c>
      <c r="AF858">
        <v>313.17</v>
      </c>
      <c r="AG858">
        <v>20.16</v>
      </c>
      <c r="AH858">
        <v>15.82</v>
      </c>
      <c r="AI858">
        <v>0.13</v>
      </c>
      <c r="AJ858">
        <v>0.09</v>
      </c>
      <c r="AK858">
        <v>80</v>
      </c>
      <c r="AL858">
        <v>0</v>
      </c>
      <c r="AM858">
        <v>0</v>
      </c>
      <c r="AN858">
        <v>1.38</v>
      </c>
      <c r="AO858">
        <v>1.82</v>
      </c>
      <c r="AP858">
        <v>23</v>
      </c>
      <c r="AQ858">
        <v>0</v>
      </c>
      <c r="AR858">
        <v>7.15</v>
      </c>
      <c r="AS858">
        <v>56</v>
      </c>
      <c r="AT858">
        <v>1.56</v>
      </c>
      <c r="AU858">
        <v>88</v>
      </c>
      <c r="AV858">
        <v>-3.16</v>
      </c>
      <c r="AW858">
        <v>74</v>
      </c>
      <c r="AX858">
        <v>-0.84</v>
      </c>
      <c r="AY858">
        <v>76</v>
      </c>
      <c r="AZ858">
        <v>5.94</v>
      </c>
      <c r="BA858">
        <v>40</v>
      </c>
      <c r="BB858">
        <v>5.13</v>
      </c>
      <c r="BC858">
        <v>37</v>
      </c>
      <c r="BD858">
        <v>-7.0000000000000007E-2</v>
      </c>
      <c r="BE858">
        <v>-7.0000000000000007E-2</v>
      </c>
      <c r="BF858">
        <v>-0.22</v>
      </c>
      <c r="BG858">
        <v>88</v>
      </c>
      <c r="BH858">
        <v>-0.11</v>
      </c>
      <c r="BI858">
        <v>-14.15</v>
      </c>
      <c r="BJ858">
        <v>0</v>
      </c>
      <c r="BK858">
        <v>0</v>
      </c>
      <c r="BL858">
        <v>2.15</v>
      </c>
      <c r="BM858">
        <v>1.41</v>
      </c>
      <c r="BN858">
        <v>1.64</v>
      </c>
      <c r="BO858">
        <v>0.76</v>
      </c>
      <c r="BP858">
        <v>-1.1299999999999999</v>
      </c>
      <c r="BQ858">
        <v>0.77</v>
      </c>
      <c r="BR858">
        <v>-0.81</v>
      </c>
      <c r="BS858">
        <v>0.41</v>
      </c>
      <c r="BT858">
        <v>1.34</v>
      </c>
      <c r="BU858">
        <v>2.48</v>
      </c>
      <c r="BV858">
        <v>1.6</v>
      </c>
      <c r="BW858">
        <v>0.18</v>
      </c>
      <c r="BX858">
        <v>2.7</v>
      </c>
      <c r="BY858">
        <v>0.53</v>
      </c>
      <c r="BZ858">
        <v>-0.13</v>
      </c>
      <c r="CA858">
        <v>1.29</v>
      </c>
      <c r="CB858">
        <v>1.61</v>
      </c>
      <c r="CC858">
        <v>0.68</v>
      </c>
      <c r="CD858">
        <v>0.4</v>
      </c>
      <c r="CE858">
        <v>0.62</v>
      </c>
      <c r="CF858">
        <v>1.04</v>
      </c>
      <c r="CG858">
        <v>0</v>
      </c>
      <c r="CH858">
        <v>0.47</v>
      </c>
      <c r="CI858">
        <v>0</v>
      </c>
      <c r="CJ858">
        <v>-0.6</v>
      </c>
      <c r="CK858">
        <v>44</v>
      </c>
      <c r="CL858">
        <v>-1.61</v>
      </c>
      <c r="CM858">
        <v>43</v>
      </c>
      <c r="CN858">
        <v>-0.7</v>
      </c>
      <c r="CO858">
        <v>43</v>
      </c>
      <c r="CP858">
        <v>3.1</v>
      </c>
      <c r="CQ858">
        <v>40</v>
      </c>
      <c r="CR858">
        <v>0</v>
      </c>
      <c r="CS858">
        <v>0</v>
      </c>
      <c r="CT858">
        <v>27.3</v>
      </c>
      <c r="CU858">
        <v>38</v>
      </c>
      <c r="CV858">
        <v>0.3</v>
      </c>
      <c r="CW858">
        <v>34</v>
      </c>
      <c r="CX858" t="s">
        <v>2000</v>
      </c>
    </row>
    <row r="859" spans="1:102" x14ac:dyDescent="0.3">
      <c r="A859" t="str">
        <f>HYPERLINK("https://webapp.icbf.com/v2/app/bull-search/view/500266324","VLA")</f>
        <v>VLA</v>
      </c>
      <c r="B859" t="s">
        <v>1441</v>
      </c>
      <c r="C859" t="s">
        <v>1442</v>
      </c>
      <c r="D859" s="1">
        <v>39139</v>
      </c>
      <c r="E859" t="s">
        <v>92</v>
      </c>
      <c r="F859">
        <v>72</v>
      </c>
      <c r="G859" t="s">
        <v>93</v>
      </c>
      <c r="H859">
        <v>154.37</v>
      </c>
      <c r="I859">
        <v>93</v>
      </c>
      <c r="J859">
        <v>-8.1300000000000008</v>
      </c>
      <c r="K859">
        <v>98</v>
      </c>
      <c r="L859">
        <v>108.47</v>
      </c>
      <c r="M859">
        <v>87</v>
      </c>
      <c r="N859">
        <v>23.59</v>
      </c>
      <c r="O859">
        <v>93</v>
      </c>
      <c r="P859">
        <v>-2.31</v>
      </c>
      <c r="Q859">
        <v>96</v>
      </c>
      <c r="R859">
        <v>13.47</v>
      </c>
      <c r="S859">
        <v>90</v>
      </c>
      <c r="T859">
        <v>3.61</v>
      </c>
      <c r="U859">
        <v>95</v>
      </c>
      <c r="V859">
        <v>15.67</v>
      </c>
      <c r="W859">
        <v>92</v>
      </c>
      <c r="X859" t="s">
        <v>94</v>
      </c>
      <c r="Y859" t="s">
        <v>228</v>
      </c>
      <c r="Z859" t="s">
        <v>96</v>
      </c>
      <c r="AA859" t="s">
        <v>1165</v>
      </c>
      <c r="AB859" t="s">
        <v>1443</v>
      </c>
      <c r="AC859">
        <v>271</v>
      </c>
      <c r="AD859">
        <v>170</v>
      </c>
      <c r="AE859">
        <v>98</v>
      </c>
      <c r="AF859">
        <v>-308.22000000000003</v>
      </c>
      <c r="AG859">
        <v>2.94</v>
      </c>
      <c r="AH859">
        <v>-7.14</v>
      </c>
      <c r="AI859">
        <v>0.28000000000000003</v>
      </c>
      <c r="AJ859">
        <v>0.06</v>
      </c>
      <c r="AK859">
        <v>87</v>
      </c>
      <c r="AL859">
        <v>286</v>
      </c>
      <c r="AM859">
        <v>182</v>
      </c>
      <c r="AN859">
        <v>-5.17</v>
      </c>
      <c r="AO859">
        <v>3.49</v>
      </c>
      <c r="AP859">
        <v>524</v>
      </c>
      <c r="AQ859">
        <v>6</v>
      </c>
      <c r="AR859">
        <v>4.8099999999999996</v>
      </c>
      <c r="AS859">
        <v>80</v>
      </c>
      <c r="AT859">
        <v>1.91</v>
      </c>
      <c r="AU859">
        <v>94</v>
      </c>
      <c r="AV859">
        <v>-2.4900000000000002</v>
      </c>
      <c r="AW859">
        <v>99</v>
      </c>
      <c r="AX859">
        <v>0.67</v>
      </c>
      <c r="AY859">
        <v>92</v>
      </c>
      <c r="AZ859">
        <v>8.1999999999999993</v>
      </c>
      <c r="BA859">
        <v>81</v>
      </c>
      <c r="BB859">
        <v>6.24</v>
      </c>
      <c r="BC859">
        <v>83</v>
      </c>
      <c r="BD859">
        <v>-0.04</v>
      </c>
      <c r="BE859">
        <v>-7.0000000000000007E-2</v>
      </c>
      <c r="BF859">
        <v>-0.11</v>
      </c>
      <c r="BG859">
        <v>94</v>
      </c>
      <c r="BH859">
        <v>0.27</v>
      </c>
      <c r="BI859">
        <v>-19.309999999999999</v>
      </c>
      <c r="BJ859">
        <v>31</v>
      </c>
      <c r="BK859">
        <v>21</v>
      </c>
      <c r="BL859">
        <v>0.53</v>
      </c>
      <c r="BM859">
        <v>1.31</v>
      </c>
      <c r="BN859">
        <v>1.05</v>
      </c>
      <c r="BO859">
        <v>-0.19</v>
      </c>
      <c r="BP859">
        <v>0.13</v>
      </c>
      <c r="BQ859">
        <v>0.26</v>
      </c>
      <c r="BR859">
        <v>0.25</v>
      </c>
      <c r="BS859">
        <v>-1.36</v>
      </c>
      <c r="BT859">
        <v>-1.56</v>
      </c>
      <c r="BU859">
        <v>0.59</v>
      </c>
      <c r="BV859">
        <v>-0.57999999999999996</v>
      </c>
      <c r="BW859">
        <v>-0.06</v>
      </c>
      <c r="BX859">
        <v>0.93</v>
      </c>
      <c r="BY859">
        <v>0.56000000000000005</v>
      </c>
      <c r="BZ859">
        <v>-0.28999999999999998</v>
      </c>
      <c r="CA859">
        <v>-0.42</v>
      </c>
      <c r="CB859">
        <v>0.1</v>
      </c>
      <c r="CC859">
        <v>-1.33</v>
      </c>
      <c r="CD859">
        <v>0.6</v>
      </c>
      <c r="CE859">
        <v>0.1</v>
      </c>
      <c r="CF859">
        <v>0.86</v>
      </c>
      <c r="CG859">
        <v>0</v>
      </c>
      <c r="CH859">
        <v>0.04</v>
      </c>
      <c r="CI859">
        <v>0</v>
      </c>
      <c r="CJ859">
        <v>1</v>
      </c>
      <c r="CK859">
        <v>97</v>
      </c>
      <c r="CL859">
        <v>-0.63</v>
      </c>
      <c r="CM859">
        <v>96</v>
      </c>
      <c r="CN859">
        <v>-0.24</v>
      </c>
      <c r="CO859">
        <v>96</v>
      </c>
      <c r="CP859">
        <v>0</v>
      </c>
      <c r="CQ859">
        <v>95</v>
      </c>
      <c r="CR859">
        <v>0</v>
      </c>
      <c r="CS859">
        <v>0</v>
      </c>
      <c r="CT859">
        <v>8.9</v>
      </c>
      <c r="CU859">
        <v>95</v>
      </c>
      <c r="CV859">
        <v>0.22</v>
      </c>
      <c r="CW859">
        <v>48</v>
      </c>
      <c r="CX859" t="s">
        <v>1037</v>
      </c>
    </row>
    <row r="860" spans="1:102" x14ac:dyDescent="0.3">
      <c r="A860" t="str">
        <f>HYPERLINK("https://webapp.icbf.com/v2/app/bull-search/view/586143702","SYQ")</f>
        <v>SYQ</v>
      </c>
      <c r="B860" t="s">
        <v>5356</v>
      </c>
      <c r="C860" t="s">
        <v>5357</v>
      </c>
      <c r="D860" s="1">
        <v>39307</v>
      </c>
      <c r="E860" t="s">
        <v>92</v>
      </c>
      <c r="F860">
        <v>66</v>
      </c>
      <c r="G860" t="s">
        <v>93</v>
      </c>
      <c r="H860">
        <v>154.28</v>
      </c>
      <c r="I860">
        <v>88</v>
      </c>
      <c r="J860">
        <v>65.5</v>
      </c>
      <c r="K860">
        <v>96</v>
      </c>
      <c r="L860">
        <v>58.77</v>
      </c>
      <c r="M860">
        <v>82</v>
      </c>
      <c r="N860">
        <v>27.57</v>
      </c>
      <c r="O860">
        <v>86</v>
      </c>
      <c r="P860">
        <v>-53.32</v>
      </c>
      <c r="Q860">
        <v>92</v>
      </c>
      <c r="R860">
        <v>-5.47</v>
      </c>
      <c r="S860">
        <v>73</v>
      </c>
      <c r="T860">
        <v>55.04</v>
      </c>
      <c r="U860">
        <v>89</v>
      </c>
      <c r="V860">
        <v>6.19</v>
      </c>
      <c r="W860">
        <v>77</v>
      </c>
      <c r="X860" t="s">
        <v>276</v>
      </c>
      <c r="Y860" t="s">
        <v>319</v>
      </c>
      <c r="Z860">
        <v>0</v>
      </c>
      <c r="AA860" t="s">
        <v>5269</v>
      </c>
      <c r="AB860" t="s">
        <v>5358</v>
      </c>
      <c r="AC860">
        <v>72</v>
      </c>
      <c r="AD860">
        <v>37</v>
      </c>
      <c r="AE860">
        <v>96</v>
      </c>
      <c r="AF860">
        <v>-304.27</v>
      </c>
      <c r="AG860">
        <v>6.17</v>
      </c>
      <c r="AH860">
        <v>4.3</v>
      </c>
      <c r="AI860">
        <v>0.33</v>
      </c>
      <c r="AJ860">
        <v>0.27</v>
      </c>
      <c r="AK860">
        <v>82</v>
      </c>
      <c r="AL860">
        <v>94</v>
      </c>
      <c r="AM860">
        <v>43</v>
      </c>
      <c r="AN860">
        <v>-3.73</v>
      </c>
      <c r="AO860">
        <v>0.95</v>
      </c>
      <c r="AP860">
        <v>159</v>
      </c>
      <c r="AQ860">
        <v>0</v>
      </c>
      <c r="AR860">
        <v>4.17</v>
      </c>
      <c r="AS860">
        <v>81</v>
      </c>
      <c r="AT860">
        <v>1.5</v>
      </c>
      <c r="AU860">
        <v>84</v>
      </c>
      <c r="AV860">
        <v>-1.94</v>
      </c>
      <c r="AW860">
        <v>97</v>
      </c>
      <c r="AX860">
        <v>-0.08</v>
      </c>
      <c r="AY860">
        <v>82</v>
      </c>
      <c r="AZ860">
        <v>6.63</v>
      </c>
      <c r="BA860">
        <v>65</v>
      </c>
      <c r="BB860">
        <v>6.22</v>
      </c>
      <c r="BC860">
        <v>67</v>
      </c>
      <c r="BD860">
        <v>-0.02</v>
      </c>
      <c r="BE860">
        <v>0.01</v>
      </c>
      <c r="BF860">
        <v>0.14000000000000001</v>
      </c>
      <c r="BG860">
        <v>81</v>
      </c>
      <c r="BH860">
        <v>0.05</v>
      </c>
      <c r="BI860">
        <v>-14.19</v>
      </c>
      <c r="BJ860">
        <v>17</v>
      </c>
      <c r="BK860">
        <v>8</v>
      </c>
      <c r="BL860">
        <v>-3.09</v>
      </c>
      <c r="BM860">
        <v>-1.31</v>
      </c>
      <c r="BN860">
        <v>-2.04</v>
      </c>
      <c r="BO860">
        <v>0.33</v>
      </c>
      <c r="BP860">
        <v>-1.07</v>
      </c>
      <c r="BQ860">
        <v>-3.71</v>
      </c>
      <c r="BR860">
        <v>2.61</v>
      </c>
      <c r="BS860">
        <v>0.28999999999999998</v>
      </c>
      <c r="BT860">
        <v>-1.27</v>
      </c>
      <c r="BU860">
        <v>-2.06</v>
      </c>
      <c r="BV860">
        <v>-2.63</v>
      </c>
      <c r="BW860">
        <v>-2.68</v>
      </c>
      <c r="BX860">
        <v>-5.66</v>
      </c>
      <c r="BY860">
        <v>-1.5</v>
      </c>
      <c r="BZ860">
        <v>0.87</v>
      </c>
      <c r="CA860">
        <v>-2.16</v>
      </c>
      <c r="CB860">
        <v>-2.17</v>
      </c>
      <c r="CC860">
        <v>-0.43</v>
      </c>
      <c r="CD860">
        <v>-1.21</v>
      </c>
      <c r="CE860">
        <v>0.4</v>
      </c>
      <c r="CF860">
        <v>-3.24</v>
      </c>
      <c r="CG860">
        <v>0</v>
      </c>
      <c r="CH860">
        <v>-1.49</v>
      </c>
      <c r="CI860">
        <v>0</v>
      </c>
      <c r="CJ860">
        <v>-27.9</v>
      </c>
      <c r="CK860">
        <v>93</v>
      </c>
      <c r="CL860">
        <v>-0.86</v>
      </c>
      <c r="CM860">
        <v>91</v>
      </c>
      <c r="CN860">
        <v>-0.02</v>
      </c>
      <c r="CO860">
        <v>90</v>
      </c>
      <c r="CP860">
        <v>-41.2</v>
      </c>
      <c r="CQ860">
        <v>87</v>
      </c>
      <c r="CR860">
        <v>0</v>
      </c>
      <c r="CS860">
        <v>0</v>
      </c>
      <c r="CT860">
        <v>-60.6</v>
      </c>
      <c r="CU860">
        <v>89</v>
      </c>
      <c r="CV860">
        <v>-0.31</v>
      </c>
      <c r="CW860">
        <v>45</v>
      </c>
      <c r="CX860" t="s">
        <v>1256</v>
      </c>
    </row>
    <row r="861" spans="1:102" x14ac:dyDescent="0.3">
      <c r="A861" t="str">
        <f>HYPERLINK("https://webapp.icbf.com/v2/app/bull-search/view/944165348","YGD")</f>
        <v>YGD</v>
      </c>
      <c r="B861" t="s">
        <v>1917</v>
      </c>
      <c r="C861" t="s">
        <v>1918</v>
      </c>
      <c r="D861" s="1">
        <v>40928</v>
      </c>
      <c r="E861" t="s">
        <v>92</v>
      </c>
      <c r="F861">
        <v>72</v>
      </c>
      <c r="G861" t="s">
        <v>93</v>
      </c>
      <c r="H861">
        <v>154.22999999999999</v>
      </c>
      <c r="I861">
        <v>96</v>
      </c>
      <c r="J861">
        <v>23.83</v>
      </c>
      <c r="K861">
        <v>99</v>
      </c>
      <c r="L861">
        <v>77.44</v>
      </c>
      <c r="M861">
        <v>92</v>
      </c>
      <c r="N861">
        <v>40.22</v>
      </c>
      <c r="O861">
        <v>98</v>
      </c>
      <c r="P861">
        <v>-7.68</v>
      </c>
      <c r="Q861">
        <v>99</v>
      </c>
      <c r="R861">
        <v>8.52</v>
      </c>
      <c r="S861">
        <v>94</v>
      </c>
      <c r="T861">
        <v>9.24</v>
      </c>
      <c r="U861">
        <v>97</v>
      </c>
      <c r="V861">
        <v>2.66</v>
      </c>
      <c r="W861">
        <v>82</v>
      </c>
      <c r="X861" t="s">
        <v>94</v>
      </c>
      <c r="Y861" t="s">
        <v>1860</v>
      </c>
      <c r="Z861" t="s">
        <v>96</v>
      </c>
      <c r="AA861" t="s">
        <v>1919</v>
      </c>
      <c r="AB861" t="s">
        <v>1920</v>
      </c>
      <c r="AC861">
        <v>1788</v>
      </c>
      <c r="AD861">
        <v>737</v>
      </c>
      <c r="AE861">
        <v>99</v>
      </c>
      <c r="AF861">
        <v>56.54</v>
      </c>
      <c r="AG861">
        <v>3.95</v>
      </c>
      <c r="AH861">
        <v>3.52</v>
      </c>
      <c r="AI861">
        <v>0.03</v>
      </c>
      <c r="AJ861">
        <v>0.03</v>
      </c>
      <c r="AK861">
        <v>92</v>
      </c>
      <c r="AL861">
        <v>1935</v>
      </c>
      <c r="AM861">
        <v>896</v>
      </c>
      <c r="AN861">
        <v>-3.87</v>
      </c>
      <c r="AO861">
        <v>2.31</v>
      </c>
      <c r="AP861">
        <v>3456</v>
      </c>
      <c r="AQ861">
        <v>30</v>
      </c>
      <c r="AR861">
        <v>5.88</v>
      </c>
      <c r="AS861">
        <v>98</v>
      </c>
      <c r="AT861">
        <v>2.35</v>
      </c>
      <c r="AU861">
        <v>98</v>
      </c>
      <c r="AV861">
        <v>-3.65</v>
      </c>
      <c r="AW861">
        <v>99</v>
      </c>
      <c r="AX861">
        <v>7.0000000000000007E-2</v>
      </c>
      <c r="AY861">
        <v>98</v>
      </c>
      <c r="AZ861">
        <v>6.18</v>
      </c>
      <c r="BA861">
        <v>95</v>
      </c>
      <c r="BB861">
        <v>4.84</v>
      </c>
      <c r="BC861">
        <v>92</v>
      </c>
      <c r="BD861">
        <v>-0.03</v>
      </c>
      <c r="BE861">
        <v>-0.04</v>
      </c>
      <c r="BF861">
        <v>-7.0000000000000007E-2</v>
      </c>
      <c r="BG861">
        <v>99</v>
      </c>
      <c r="BH861">
        <v>0.11</v>
      </c>
      <c r="BI861">
        <v>4.16</v>
      </c>
      <c r="BJ861">
        <v>82</v>
      </c>
      <c r="BK861">
        <v>30</v>
      </c>
      <c r="BL861">
        <v>-1.0900000000000001</v>
      </c>
      <c r="BM861">
        <v>-0.12</v>
      </c>
      <c r="BN861">
        <v>-1.37</v>
      </c>
      <c r="BO861">
        <v>-0.72</v>
      </c>
      <c r="BP861">
        <v>2.06</v>
      </c>
      <c r="BQ861">
        <v>-0.05</v>
      </c>
      <c r="BR861">
        <v>-1.38</v>
      </c>
      <c r="BS861">
        <v>-0.43</v>
      </c>
      <c r="BT861">
        <v>-0.86</v>
      </c>
      <c r="BU861">
        <v>-0.98</v>
      </c>
      <c r="BV861">
        <v>-1</v>
      </c>
      <c r="BW861">
        <v>-1.24</v>
      </c>
      <c r="BX861">
        <v>-0.15</v>
      </c>
      <c r="BY861">
        <v>0.92</v>
      </c>
      <c r="BZ861">
        <v>1.06</v>
      </c>
      <c r="CA861">
        <v>-0.23</v>
      </c>
      <c r="CB861">
        <v>-0.3</v>
      </c>
      <c r="CC861">
        <v>-0.2</v>
      </c>
      <c r="CD861">
        <v>0.39</v>
      </c>
      <c r="CE861">
        <v>-0.38</v>
      </c>
      <c r="CF861">
        <v>-0.33</v>
      </c>
      <c r="CG861">
        <v>0</v>
      </c>
      <c r="CH861">
        <v>0.64</v>
      </c>
      <c r="CI861">
        <v>0</v>
      </c>
      <c r="CJ861">
        <v>-3.3</v>
      </c>
      <c r="CK861">
        <v>99</v>
      </c>
      <c r="CL861">
        <v>-0.51</v>
      </c>
      <c r="CM861">
        <v>99</v>
      </c>
      <c r="CN861">
        <v>-0.19</v>
      </c>
      <c r="CO861">
        <v>99</v>
      </c>
      <c r="CP861">
        <v>-0.6</v>
      </c>
      <c r="CQ861">
        <v>97</v>
      </c>
      <c r="CR861">
        <v>0</v>
      </c>
      <c r="CS861">
        <v>0</v>
      </c>
      <c r="CT861">
        <v>1.3</v>
      </c>
      <c r="CU861">
        <v>97</v>
      </c>
      <c r="CV861">
        <v>0.14000000000000001</v>
      </c>
      <c r="CW861">
        <v>47</v>
      </c>
      <c r="CX861" t="s">
        <v>316</v>
      </c>
    </row>
    <row r="862" spans="1:102" x14ac:dyDescent="0.3">
      <c r="A862" t="str">
        <f>HYPERLINK("https://webapp.icbf.com/v2/app/bull-search/view/427823351","RMZ")</f>
        <v>RMZ</v>
      </c>
      <c r="B862" t="s">
        <v>4429</v>
      </c>
      <c r="C862" t="s">
        <v>4430</v>
      </c>
      <c r="D862" s="1">
        <v>38044</v>
      </c>
      <c r="E862" t="s">
        <v>92</v>
      </c>
      <c r="F862">
        <v>100</v>
      </c>
      <c r="G862" t="s">
        <v>93</v>
      </c>
      <c r="H862">
        <v>154.15</v>
      </c>
      <c r="I862">
        <v>98</v>
      </c>
      <c r="J862">
        <v>32.11</v>
      </c>
      <c r="K862">
        <v>99</v>
      </c>
      <c r="L862">
        <v>72.819999999999993</v>
      </c>
      <c r="M862">
        <v>97</v>
      </c>
      <c r="N862">
        <v>50.98</v>
      </c>
      <c r="O862">
        <v>99</v>
      </c>
      <c r="P862">
        <v>-8.83</v>
      </c>
      <c r="Q862">
        <v>99</v>
      </c>
      <c r="R862">
        <v>19.18</v>
      </c>
      <c r="S862">
        <v>97</v>
      </c>
      <c r="T862">
        <v>-10.3</v>
      </c>
      <c r="U862">
        <v>99</v>
      </c>
      <c r="V862">
        <v>-1.81</v>
      </c>
      <c r="W862">
        <v>98</v>
      </c>
      <c r="X862" t="s">
        <v>276</v>
      </c>
      <c r="Y862" t="s">
        <v>1534</v>
      </c>
      <c r="Z862" t="s">
        <v>96</v>
      </c>
      <c r="AA862" t="s">
        <v>316</v>
      </c>
      <c r="AB862" t="s">
        <v>1711</v>
      </c>
      <c r="AC862">
        <v>3095</v>
      </c>
      <c r="AD862">
        <v>932</v>
      </c>
      <c r="AE862">
        <v>99</v>
      </c>
      <c r="AF862">
        <v>169.55</v>
      </c>
      <c r="AG862">
        <v>8.75</v>
      </c>
      <c r="AH862">
        <v>4.96</v>
      </c>
      <c r="AI862">
        <v>0.04</v>
      </c>
      <c r="AJ862">
        <v>-0.01</v>
      </c>
      <c r="AK862">
        <v>97</v>
      </c>
      <c r="AL862">
        <v>3464</v>
      </c>
      <c r="AM862">
        <v>1126</v>
      </c>
      <c r="AN862">
        <v>-3.73</v>
      </c>
      <c r="AO862">
        <v>2.08</v>
      </c>
      <c r="AP862">
        <v>5850</v>
      </c>
      <c r="AQ862">
        <v>31</v>
      </c>
      <c r="AR862">
        <v>6.08</v>
      </c>
      <c r="AS862">
        <v>99</v>
      </c>
      <c r="AT862">
        <v>2.2000000000000002</v>
      </c>
      <c r="AU862">
        <v>99</v>
      </c>
      <c r="AV862">
        <v>-4.5199999999999996</v>
      </c>
      <c r="AW862">
        <v>99</v>
      </c>
      <c r="AX862">
        <v>-0.26</v>
      </c>
      <c r="AY862">
        <v>99</v>
      </c>
      <c r="AZ862">
        <v>5.46</v>
      </c>
      <c r="BA862">
        <v>97</v>
      </c>
      <c r="BB862">
        <v>4.55</v>
      </c>
      <c r="BC862">
        <v>98</v>
      </c>
      <c r="BD862">
        <v>-0.06</v>
      </c>
      <c r="BE862">
        <v>-0.09</v>
      </c>
      <c r="BF862">
        <v>-0.17</v>
      </c>
      <c r="BG862">
        <v>99</v>
      </c>
      <c r="BH862">
        <v>-0.08</v>
      </c>
      <c r="BI862">
        <v>-3.43</v>
      </c>
      <c r="BJ862">
        <v>416</v>
      </c>
      <c r="BK862">
        <v>148</v>
      </c>
      <c r="BL862">
        <v>1.04</v>
      </c>
      <c r="BM862">
        <v>2.4700000000000002</v>
      </c>
      <c r="BN862">
        <v>0.9</v>
      </c>
      <c r="BO862">
        <v>-0.73</v>
      </c>
      <c r="BP862">
        <v>1.36</v>
      </c>
      <c r="BQ862">
        <v>1.8</v>
      </c>
      <c r="BR862">
        <v>-2</v>
      </c>
      <c r="BS862">
        <v>0.68</v>
      </c>
      <c r="BT862">
        <v>1.49</v>
      </c>
      <c r="BU862">
        <v>2.57</v>
      </c>
      <c r="BV862">
        <v>1.67</v>
      </c>
      <c r="BW862">
        <v>1.47</v>
      </c>
      <c r="BX862">
        <v>2.56</v>
      </c>
      <c r="BY862">
        <v>1.95</v>
      </c>
      <c r="BZ862">
        <v>1.05</v>
      </c>
      <c r="CA862">
        <v>1.36</v>
      </c>
      <c r="CB862">
        <v>1.32</v>
      </c>
      <c r="CC862">
        <v>0.77</v>
      </c>
      <c r="CD862">
        <v>1.9</v>
      </c>
      <c r="CE862">
        <v>-0.75</v>
      </c>
      <c r="CF862">
        <v>1.56</v>
      </c>
      <c r="CG862">
        <v>0</v>
      </c>
      <c r="CH862">
        <v>1.99</v>
      </c>
      <c r="CI862">
        <v>0</v>
      </c>
      <c r="CJ862">
        <v>-1.7</v>
      </c>
      <c r="CK862">
        <v>99</v>
      </c>
      <c r="CL862">
        <v>-0.97</v>
      </c>
      <c r="CM862">
        <v>99</v>
      </c>
      <c r="CN862">
        <v>-0.19</v>
      </c>
      <c r="CO862">
        <v>99</v>
      </c>
      <c r="CP862">
        <v>8.6999999999999993</v>
      </c>
      <c r="CQ862">
        <v>99</v>
      </c>
      <c r="CR862">
        <v>0</v>
      </c>
      <c r="CS862">
        <v>0</v>
      </c>
      <c r="CT862">
        <v>27.7</v>
      </c>
      <c r="CU862">
        <v>99</v>
      </c>
      <c r="CV862">
        <v>0.3</v>
      </c>
      <c r="CW862">
        <v>49</v>
      </c>
      <c r="CX862" t="s">
        <v>311</v>
      </c>
    </row>
    <row r="863" spans="1:102" x14ac:dyDescent="0.3">
      <c r="A863" t="str">
        <f>HYPERLINK("https://webapp.icbf.com/v2/app/bull-search/view/1162360938","S2134")</f>
        <v>S2134</v>
      </c>
      <c r="B863" t="s">
        <v>6820</v>
      </c>
      <c r="C863" t="s">
        <v>6821</v>
      </c>
      <c r="D863" s="1">
        <v>41065</v>
      </c>
      <c r="E863" t="s">
        <v>92</v>
      </c>
      <c r="F863">
        <v>100</v>
      </c>
      <c r="G863" t="s">
        <v>109</v>
      </c>
      <c r="H863">
        <v>154.02000000000001</v>
      </c>
      <c r="I863">
        <v>66</v>
      </c>
      <c r="J863">
        <v>82.62</v>
      </c>
      <c r="K863">
        <v>83</v>
      </c>
      <c r="L863">
        <v>24.22</v>
      </c>
      <c r="M863">
        <v>79</v>
      </c>
      <c r="N863">
        <v>40.01</v>
      </c>
      <c r="O863">
        <v>51</v>
      </c>
      <c r="P863">
        <v>-10.63</v>
      </c>
      <c r="Q863">
        <v>42</v>
      </c>
      <c r="R863">
        <v>15.15</v>
      </c>
      <c r="S863">
        <v>57</v>
      </c>
      <c r="T863">
        <v>-0.31</v>
      </c>
      <c r="U863">
        <v>22</v>
      </c>
      <c r="V863">
        <v>2.96</v>
      </c>
      <c r="W863">
        <v>12</v>
      </c>
      <c r="X863" t="s">
        <v>94</v>
      </c>
      <c r="Y863" t="s">
        <v>367</v>
      </c>
      <c r="Z863" t="s">
        <v>96</v>
      </c>
      <c r="AA863" t="s">
        <v>2000</v>
      </c>
      <c r="AB863" t="s">
        <v>6822</v>
      </c>
      <c r="AC863">
        <v>0</v>
      </c>
      <c r="AD863">
        <v>0</v>
      </c>
      <c r="AE863">
        <v>83</v>
      </c>
      <c r="AF863">
        <v>507.94</v>
      </c>
      <c r="AG863">
        <v>13.64</v>
      </c>
      <c r="AH863">
        <v>17</v>
      </c>
      <c r="AI863">
        <v>-0.09</v>
      </c>
      <c r="AJ863">
        <v>-0.01</v>
      </c>
      <c r="AK863">
        <v>79</v>
      </c>
      <c r="AL863">
        <v>0</v>
      </c>
      <c r="AM863">
        <v>0</v>
      </c>
      <c r="AN863">
        <v>-0.64</v>
      </c>
      <c r="AO863">
        <v>1.3</v>
      </c>
      <c r="AP863">
        <v>13</v>
      </c>
      <c r="AQ863">
        <v>0</v>
      </c>
      <c r="AR863">
        <v>3.89</v>
      </c>
      <c r="AS863">
        <v>33</v>
      </c>
      <c r="AT863">
        <v>1.71</v>
      </c>
      <c r="AU863">
        <v>90</v>
      </c>
      <c r="AV863">
        <v>-2.6</v>
      </c>
      <c r="AW863">
        <v>50</v>
      </c>
      <c r="AX863">
        <v>-0.28000000000000003</v>
      </c>
      <c r="AY863">
        <v>33</v>
      </c>
      <c r="AZ863">
        <v>6.39</v>
      </c>
      <c r="BA863">
        <v>19</v>
      </c>
      <c r="BB863">
        <v>4.9000000000000004</v>
      </c>
      <c r="BC863">
        <v>15</v>
      </c>
      <c r="BD863">
        <v>-0.02</v>
      </c>
      <c r="BE863">
        <v>-0.05</v>
      </c>
      <c r="BF863">
        <v>-0.22</v>
      </c>
      <c r="BG863">
        <v>88</v>
      </c>
      <c r="BH863">
        <v>-0.03</v>
      </c>
      <c r="BI863">
        <v>-13.01</v>
      </c>
      <c r="BJ863">
        <v>1</v>
      </c>
      <c r="BK863">
        <v>1</v>
      </c>
      <c r="BL863">
        <v>1.7</v>
      </c>
      <c r="BM863">
        <v>-0.62</v>
      </c>
      <c r="BN863">
        <v>0.81</v>
      </c>
      <c r="BO863">
        <v>1.07</v>
      </c>
      <c r="BP863">
        <v>0.11</v>
      </c>
      <c r="BQ863">
        <v>0.91</v>
      </c>
      <c r="BR863">
        <v>-0.9</v>
      </c>
      <c r="BS863">
        <v>1.7</v>
      </c>
      <c r="BT863">
        <v>1.05</v>
      </c>
      <c r="BU863">
        <v>1.97</v>
      </c>
      <c r="BV863">
        <v>2.46</v>
      </c>
      <c r="BW863">
        <v>2.78</v>
      </c>
      <c r="BX863">
        <v>2.12</v>
      </c>
      <c r="BY863">
        <v>2.12</v>
      </c>
      <c r="BZ863">
        <v>-1.06</v>
      </c>
      <c r="CA863">
        <v>2.2999999999999998</v>
      </c>
      <c r="CB863">
        <v>2.11</v>
      </c>
      <c r="CC863">
        <v>1.63</v>
      </c>
      <c r="CD863">
        <v>-0.28999999999999998</v>
      </c>
      <c r="CE863">
        <v>1.22</v>
      </c>
      <c r="CF863">
        <v>1.52</v>
      </c>
      <c r="CG863">
        <v>0</v>
      </c>
      <c r="CH863">
        <v>1.86</v>
      </c>
      <c r="CI863">
        <v>0</v>
      </c>
      <c r="CJ863">
        <v>-4.0999999999999996</v>
      </c>
      <c r="CK863">
        <v>45</v>
      </c>
      <c r="CL863">
        <v>-1.28</v>
      </c>
      <c r="CM863">
        <v>42</v>
      </c>
      <c r="CN863">
        <v>-0.7</v>
      </c>
      <c r="CO863">
        <v>40</v>
      </c>
      <c r="CP863">
        <v>0.3</v>
      </c>
      <c r="CQ863">
        <v>26</v>
      </c>
      <c r="CR863">
        <v>0</v>
      </c>
      <c r="CS863">
        <v>0</v>
      </c>
      <c r="CT863">
        <v>14.2</v>
      </c>
      <c r="CU863">
        <v>22</v>
      </c>
      <c r="CV863">
        <v>0.34</v>
      </c>
      <c r="CW863">
        <v>13</v>
      </c>
      <c r="CX863" t="s">
        <v>1572</v>
      </c>
    </row>
    <row r="864" spans="1:102" x14ac:dyDescent="0.3">
      <c r="A864" t="str">
        <f>HYPERLINK("https://webapp.icbf.com/v2/app/bull-search/view/1356876084","FR4191")</f>
        <v>FR4191</v>
      </c>
      <c r="B864" t="s">
        <v>13823</v>
      </c>
      <c r="C864" t="s">
        <v>13824</v>
      </c>
      <c r="D864" s="1">
        <v>42414</v>
      </c>
      <c r="E864" t="s">
        <v>92</v>
      </c>
      <c r="F864">
        <v>63</v>
      </c>
      <c r="G864" t="s">
        <v>435</v>
      </c>
      <c r="H864">
        <v>153.99</v>
      </c>
      <c r="I864">
        <v>70</v>
      </c>
      <c r="J864">
        <v>78.819999999999993</v>
      </c>
      <c r="K864">
        <v>85</v>
      </c>
      <c r="L864">
        <v>51.36</v>
      </c>
      <c r="M864">
        <v>60</v>
      </c>
      <c r="N864">
        <v>29.99</v>
      </c>
      <c r="O864">
        <v>80</v>
      </c>
      <c r="P864">
        <v>-30.8</v>
      </c>
      <c r="Q864">
        <v>68</v>
      </c>
      <c r="R864">
        <v>-6.92</v>
      </c>
      <c r="S864">
        <v>60</v>
      </c>
      <c r="T864">
        <v>26.63</v>
      </c>
      <c r="U864">
        <v>51</v>
      </c>
      <c r="V864">
        <v>4.91</v>
      </c>
      <c r="W864">
        <v>54</v>
      </c>
      <c r="X864" t="s">
        <v>94</v>
      </c>
      <c r="Y864" t="s">
        <v>2255</v>
      </c>
      <c r="Z864" t="s">
        <v>330</v>
      </c>
      <c r="AA864" t="s">
        <v>6160</v>
      </c>
      <c r="AB864" t="s">
        <v>13825</v>
      </c>
      <c r="AC864">
        <v>0</v>
      </c>
      <c r="AD864">
        <v>0</v>
      </c>
      <c r="AE864">
        <v>85</v>
      </c>
      <c r="AF864">
        <v>-155.06</v>
      </c>
      <c r="AG864">
        <v>15.58</v>
      </c>
      <c r="AH864">
        <v>5.52</v>
      </c>
      <c r="AI864">
        <v>0.38</v>
      </c>
      <c r="AJ864">
        <v>0.2</v>
      </c>
      <c r="AK864">
        <v>60</v>
      </c>
      <c r="AL864">
        <v>0</v>
      </c>
      <c r="AM864">
        <v>0</v>
      </c>
      <c r="AN864">
        <v>-1.72</v>
      </c>
      <c r="AO864">
        <v>2.39</v>
      </c>
      <c r="AP864">
        <v>243</v>
      </c>
      <c r="AQ864">
        <v>0</v>
      </c>
      <c r="AR864">
        <v>5.94</v>
      </c>
      <c r="AS864">
        <v>63</v>
      </c>
      <c r="AT864">
        <v>2.52</v>
      </c>
      <c r="AU864">
        <v>86</v>
      </c>
      <c r="AV864">
        <v>-2.1800000000000002</v>
      </c>
      <c r="AW864">
        <v>96</v>
      </c>
      <c r="AX864">
        <v>-0.84</v>
      </c>
      <c r="AY864">
        <v>78</v>
      </c>
      <c r="AZ864">
        <v>6.19</v>
      </c>
      <c r="BA864">
        <v>42</v>
      </c>
      <c r="BB864">
        <v>4.74</v>
      </c>
      <c r="BC864">
        <v>42</v>
      </c>
      <c r="BD864">
        <v>0</v>
      </c>
      <c r="BE864">
        <v>0.01</v>
      </c>
      <c r="BF864">
        <v>0.14000000000000001</v>
      </c>
      <c r="BG864">
        <v>69</v>
      </c>
      <c r="BH864">
        <v>0.14000000000000001</v>
      </c>
      <c r="BI864">
        <v>0.35</v>
      </c>
      <c r="BJ864">
        <v>0</v>
      </c>
      <c r="BK864">
        <v>0</v>
      </c>
      <c r="BL864">
        <v>-1.86</v>
      </c>
      <c r="BM864">
        <v>-0.02</v>
      </c>
      <c r="BN864">
        <v>-1.33</v>
      </c>
      <c r="BO864">
        <v>-1.01</v>
      </c>
      <c r="BP864">
        <v>1.38</v>
      </c>
      <c r="BQ864">
        <v>-1.22</v>
      </c>
      <c r="BR864">
        <v>0.83</v>
      </c>
      <c r="BS864">
        <v>0.94</v>
      </c>
      <c r="BT864">
        <v>-1.1200000000000001</v>
      </c>
      <c r="BU864">
        <v>-2.21</v>
      </c>
      <c r="BV864">
        <v>-2.12</v>
      </c>
      <c r="BW864">
        <v>-2.61</v>
      </c>
      <c r="BX864">
        <v>-2.59</v>
      </c>
      <c r="BY864">
        <v>-1.32</v>
      </c>
      <c r="BZ864">
        <v>-0.44</v>
      </c>
      <c r="CA864">
        <v>-1.3</v>
      </c>
      <c r="CB864">
        <v>-1.93</v>
      </c>
      <c r="CC864">
        <v>0.55000000000000004</v>
      </c>
      <c r="CD864">
        <v>0.69</v>
      </c>
      <c r="CE864">
        <v>-0.7</v>
      </c>
      <c r="CF864">
        <v>-2.31</v>
      </c>
      <c r="CG864">
        <v>0</v>
      </c>
      <c r="CH864">
        <v>-1.81</v>
      </c>
      <c r="CI864">
        <v>0</v>
      </c>
      <c r="CJ864">
        <v>-13.3</v>
      </c>
      <c r="CK864">
        <v>73</v>
      </c>
      <c r="CL864">
        <v>-0.82</v>
      </c>
      <c r="CM864">
        <v>65</v>
      </c>
      <c r="CN864">
        <v>0.12</v>
      </c>
      <c r="CO864">
        <v>63</v>
      </c>
      <c r="CP864">
        <v>-17.2</v>
      </c>
      <c r="CQ864">
        <v>55</v>
      </c>
      <c r="CR864">
        <v>0</v>
      </c>
      <c r="CS864">
        <v>0</v>
      </c>
      <c r="CT864">
        <v>-22.2</v>
      </c>
      <c r="CU864">
        <v>51</v>
      </c>
      <c r="CV864">
        <v>0</v>
      </c>
      <c r="CW864">
        <v>40</v>
      </c>
      <c r="CX864" t="s">
        <v>5053</v>
      </c>
    </row>
    <row r="865" spans="1:102" x14ac:dyDescent="0.3">
      <c r="A865" t="str">
        <f>HYPERLINK("https://webapp.icbf.com/v2/app/bull-search/view/1492480818","FR4433")</f>
        <v>FR4433</v>
      </c>
      <c r="B865" t="s">
        <v>10305</v>
      </c>
      <c r="C865" t="s">
        <v>10306</v>
      </c>
      <c r="D865" s="1">
        <v>42369</v>
      </c>
      <c r="E865" t="s">
        <v>92</v>
      </c>
      <c r="F865">
        <v>100</v>
      </c>
      <c r="G865" t="s">
        <v>435</v>
      </c>
      <c r="H865">
        <v>153.97</v>
      </c>
      <c r="I865">
        <v>69</v>
      </c>
      <c r="J865">
        <v>111.82</v>
      </c>
      <c r="K865">
        <v>88</v>
      </c>
      <c r="L865">
        <v>-31.64</v>
      </c>
      <c r="M865">
        <v>67</v>
      </c>
      <c r="N865">
        <v>64.48</v>
      </c>
      <c r="O865">
        <v>73</v>
      </c>
      <c r="P865">
        <v>-5.45</v>
      </c>
      <c r="Q865">
        <v>40</v>
      </c>
      <c r="R865">
        <v>10.89</v>
      </c>
      <c r="S865">
        <v>63</v>
      </c>
      <c r="T865">
        <v>-0.16</v>
      </c>
      <c r="U865">
        <v>35</v>
      </c>
      <c r="V865">
        <v>4.03</v>
      </c>
      <c r="W865">
        <v>53</v>
      </c>
      <c r="X865" t="s">
        <v>428</v>
      </c>
      <c r="Y865" t="s">
        <v>442</v>
      </c>
      <c r="Z865" t="s">
        <v>96</v>
      </c>
      <c r="AA865" t="s">
        <v>448</v>
      </c>
      <c r="AB865" t="s">
        <v>6234</v>
      </c>
      <c r="AC865">
        <v>0</v>
      </c>
      <c r="AD865">
        <v>0</v>
      </c>
      <c r="AE865">
        <v>88</v>
      </c>
      <c r="AF865">
        <v>639.37</v>
      </c>
      <c r="AG865">
        <v>25.68</v>
      </c>
      <c r="AH865">
        <v>19.72</v>
      </c>
      <c r="AI865">
        <v>0.01</v>
      </c>
      <c r="AJ865">
        <v>-0.03</v>
      </c>
      <c r="AK865">
        <v>67</v>
      </c>
      <c r="AL865">
        <v>0</v>
      </c>
      <c r="AM865">
        <v>0</v>
      </c>
      <c r="AN865">
        <v>5.09</v>
      </c>
      <c r="AO865">
        <v>2.61</v>
      </c>
      <c r="AP865">
        <v>79</v>
      </c>
      <c r="AQ865">
        <v>0</v>
      </c>
      <c r="AR865">
        <v>4.84</v>
      </c>
      <c r="AS865">
        <v>55</v>
      </c>
      <c r="AT865">
        <v>2.33</v>
      </c>
      <c r="AU865">
        <v>88</v>
      </c>
      <c r="AV865">
        <v>-6.06</v>
      </c>
      <c r="AW865">
        <v>87</v>
      </c>
      <c r="AX865">
        <v>-0.84</v>
      </c>
      <c r="AY865">
        <v>64</v>
      </c>
      <c r="AZ865">
        <v>6.21</v>
      </c>
      <c r="BA865">
        <v>35</v>
      </c>
      <c r="BB865">
        <v>4.71</v>
      </c>
      <c r="BC865">
        <v>32</v>
      </c>
      <c r="BD865">
        <v>-0.02</v>
      </c>
      <c r="BE865">
        <v>-0.03</v>
      </c>
      <c r="BF865">
        <v>-0.16</v>
      </c>
      <c r="BG865">
        <v>77</v>
      </c>
      <c r="BH865">
        <v>0.08</v>
      </c>
      <c r="BI865">
        <v>-3.74</v>
      </c>
      <c r="BJ865">
        <v>0</v>
      </c>
      <c r="BK865">
        <v>0</v>
      </c>
      <c r="BL865">
        <v>1.93</v>
      </c>
      <c r="BM865">
        <v>1.1499999999999999</v>
      </c>
      <c r="BN865">
        <v>1.72</v>
      </c>
      <c r="BO865">
        <v>1.19</v>
      </c>
      <c r="BP865">
        <v>1.01</v>
      </c>
      <c r="BQ865">
        <v>0.32</v>
      </c>
      <c r="BR865">
        <v>-1.18</v>
      </c>
      <c r="BS865">
        <v>0.54</v>
      </c>
      <c r="BT865">
        <v>0.96</v>
      </c>
      <c r="BU865">
        <v>1.31</v>
      </c>
      <c r="BV865">
        <v>1.96</v>
      </c>
      <c r="BW865">
        <v>1.54</v>
      </c>
      <c r="BX865">
        <v>1.51</v>
      </c>
      <c r="BY865">
        <v>1.31</v>
      </c>
      <c r="BZ865">
        <v>1.03</v>
      </c>
      <c r="CA865">
        <v>1.51</v>
      </c>
      <c r="CB865">
        <v>1.22</v>
      </c>
      <c r="CC865">
        <v>0.97</v>
      </c>
      <c r="CD865">
        <v>0.17</v>
      </c>
      <c r="CE865">
        <v>1.52</v>
      </c>
      <c r="CF865">
        <v>1.8</v>
      </c>
      <c r="CG865">
        <v>0</v>
      </c>
      <c r="CH865">
        <v>-0.37</v>
      </c>
      <c r="CI865">
        <v>0</v>
      </c>
      <c r="CJ865">
        <v>-1.2</v>
      </c>
      <c r="CK865">
        <v>41</v>
      </c>
      <c r="CL865">
        <v>-1.25</v>
      </c>
      <c r="CM865">
        <v>40</v>
      </c>
      <c r="CN865">
        <v>-0.76</v>
      </c>
      <c r="CO865">
        <v>40</v>
      </c>
      <c r="CP865">
        <v>1.4</v>
      </c>
      <c r="CQ865">
        <v>36</v>
      </c>
      <c r="CR865">
        <v>0</v>
      </c>
      <c r="CS865">
        <v>0</v>
      </c>
      <c r="CT865">
        <v>14</v>
      </c>
      <c r="CU865">
        <v>35</v>
      </c>
      <c r="CV865">
        <v>0.22</v>
      </c>
      <c r="CW865">
        <v>33</v>
      </c>
      <c r="CX865" t="s">
        <v>465</v>
      </c>
    </row>
    <row r="866" spans="1:102" x14ac:dyDescent="0.3">
      <c r="A866" t="str">
        <f>HYPERLINK("https://webapp.icbf.com/v2/app/bull-search/view/402593048","BYH")</f>
        <v>BYH</v>
      </c>
      <c r="B866" t="s">
        <v>1227</v>
      </c>
      <c r="C866" t="s">
        <v>1228</v>
      </c>
      <c r="D866" s="1">
        <v>38439</v>
      </c>
      <c r="E866" t="s">
        <v>92</v>
      </c>
      <c r="F866">
        <v>50</v>
      </c>
      <c r="G866" t="s">
        <v>93</v>
      </c>
      <c r="H866">
        <v>153.86000000000001</v>
      </c>
      <c r="I866">
        <v>92</v>
      </c>
      <c r="J866">
        <v>74.05</v>
      </c>
      <c r="K866">
        <v>98</v>
      </c>
      <c r="L866">
        <v>53.6</v>
      </c>
      <c r="M866">
        <v>85</v>
      </c>
      <c r="N866">
        <v>3.79</v>
      </c>
      <c r="O866">
        <v>93</v>
      </c>
      <c r="P866">
        <v>-8.31</v>
      </c>
      <c r="Q866">
        <v>96</v>
      </c>
      <c r="R866">
        <v>15.98</v>
      </c>
      <c r="S866">
        <v>88</v>
      </c>
      <c r="T866">
        <v>10.050000000000001</v>
      </c>
      <c r="U866">
        <v>90</v>
      </c>
      <c r="V866">
        <v>4.7</v>
      </c>
      <c r="W866">
        <v>89</v>
      </c>
      <c r="X866" t="s">
        <v>94</v>
      </c>
      <c r="Y866" t="s">
        <v>1164</v>
      </c>
      <c r="Z866" t="s">
        <v>96</v>
      </c>
      <c r="AA866" t="s">
        <v>1229</v>
      </c>
      <c r="AB866" t="s">
        <v>1230</v>
      </c>
      <c r="AC866">
        <v>255</v>
      </c>
      <c r="AD866">
        <v>135</v>
      </c>
      <c r="AE866">
        <v>98</v>
      </c>
      <c r="AF866">
        <v>102.52</v>
      </c>
      <c r="AG866">
        <v>12.39</v>
      </c>
      <c r="AH866">
        <v>9.7799999999999994</v>
      </c>
      <c r="AI866">
        <v>0.14000000000000001</v>
      </c>
      <c r="AJ866">
        <v>0.11</v>
      </c>
      <c r="AK866">
        <v>85</v>
      </c>
      <c r="AL866">
        <v>257</v>
      </c>
      <c r="AM866">
        <v>144</v>
      </c>
      <c r="AN866">
        <v>-2.5099999999999998</v>
      </c>
      <c r="AO866">
        <v>1.77</v>
      </c>
      <c r="AP866">
        <v>556</v>
      </c>
      <c r="AQ866">
        <v>10</v>
      </c>
      <c r="AR866">
        <v>8.56</v>
      </c>
      <c r="AS866">
        <v>81</v>
      </c>
      <c r="AT866">
        <v>3.24</v>
      </c>
      <c r="AU866">
        <v>94</v>
      </c>
      <c r="AV866">
        <v>-1.1499999999999999</v>
      </c>
      <c r="AW866">
        <v>99</v>
      </c>
      <c r="AX866">
        <v>0.02</v>
      </c>
      <c r="AY866">
        <v>91</v>
      </c>
      <c r="AZ866">
        <v>7.2</v>
      </c>
      <c r="BA866">
        <v>80</v>
      </c>
      <c r="BB866">
        <v>5.1100000000000003</v>
      </c>
      <c r="BC866">
        <v>81</v>
      </c>
      <c r="BD866">
        <v>-0.08</v>
      </c>
      <c r="BE866">
        <v>-0.06</v>
      </c>
      <c r="BF866">
        <v>-0.12</v>
      </c>
      <c r="BG866">
        <v>94</v>
      </c>
      <c r="BH866">
        <v>-0.06</v>
      </c>
      <c r="BI866">
        <v>-22.09</v>
      </c>
      <c r="BJ866">
        <v>56</v>
      </c>
      <c r="BK866">
        <v>30</v>
      </c>
      <c r="BL866">
        <v>-2.2799999999999998</v>
      </c>
      <c r="BM866">
        <v>1.84</v>
      </c>
      <c r="BN866">
        <v>-1.73</v>
      </c>
      <c r="BO866">
        <v>-2.71</v>
      </c>
      <c r="BP866">
        <v>0.97</v>
      </c>
      <c r="BQ866">
        <v>-1.05</v>
      </c>
      <c r="BR866">
        <v>-0.02</v>
      </c>
      <c r="BS866">
        <v>-0.02</v>
      </c>
      <c r="BT866">
        <v>-0.23</v>
      </c>
      <c r="BU866">
        <v>-2.44</v>
      </c>
      <c r="BV866">
        <v>-2.33</v>
      </c>
      <c r="BW866">
        <v>-2.4900000000000002</v>
      </c>
      <c r="BX866">
        <v>-1.59</v>
      </c>
      <c r="BY866">
        <v>-3.72</v>
      </c>
      <c r="BZ866">
        <v>0.37</v>
      </c>
      <c r="CA866">
        <v>-1.98</v>
      </c>
      <c r="CB866">
        <v>-2.2400000000000002</v>
      </c>
      <c r="CC866">
        <v>-0.88</v>
      </c>
      <c r="CD866">
        <v>2.46</v>
      </c>
      <c r="CE866">
        <v>-2.2400000000000002</v>
      </c>
      <c r="CF866">
        <v>-2.19</v>
      </c>
      <c r="CG866">
        <v>0</v>
      </c>
      <c r="CH866">
        <v>-3.71</v>
      </c>
      <c r="CI866">
        <v>0</v>
      </c>
      <c r="CJ866">
        <v>-1.4</v>
      </c>
      <c r="CK866">
        <v>97</v>
      </c>
      <c r="CL866">
        <v>-0.25</v>
      </c>
      <c r="CM866">
        <v>96</v>
      </c>
      <c r="CN866">
        <v>0.2</v>
      </c>
      <c r="CO866">
        <v>96</v>
      </c>
      <c r="CP866">
        <v>-9.6999999999999993</v>
      </c>
      <c r="CQ866">
        <v>93</v>
      </c>
      <c r="CR866">
        <v>0</v>
      </c>
      <c r="CS866">
        <v>0</v>
      </c>
      <c r="CT866">
        <v>0.2</v>
      </c>
      <c r="CU866">
        <v>90</v>
      </c>
      <c r="CV866">
        <v>0.11</v>
      </c>
      <c r="CW866">
        <v>46</v>
      </c>
      <c r="CX866" t="s">
        <v>792</v>
      </c>
    </row>
    <row r="867" spans="1:102" x14ac:dyDescent="0.3">
      <c r="A867" t="str">
        <f>HYPERLINK("https://webapp.icbf.com/v2/app/bull-search/view/586149180","OMS")</f>
        <v>OMS</v>
      </c>
      <c r="B867" t="s">
        <v>9621</v>
      </c>
      <c r="C867" t="s">
        <v>9622</v>
      </c>
      <c r="D867" s="1">
        <v>38256</v>
      </c>
      <c r="E867" t="s">
        <v>92</v>
      </c>
      <c r="F867">
        <v>100</v>
      </c>
      <c r="G867" t="s">
        <v>93</v>
      </c>
      <c r="H867">
        <v>153.57</v>
      </c>
      <c r="I867">
        <v>96</v>
      </c>
      <c r="J867">
        <v>68.77</v>
      </c>
      <c r="K867">
        <v>99</v>
      </c>
      <c r="L867">
        <v>42.96</v>
      </c>
      <c r="M867">
        <v>92</v>
      </c>
      <c r="N867">
        <v>35.159999999999997</v>
      </c>
      <c r="O867">
        <v>97</v>
      </c>
      <c r="P867">
        <v>0.2</v>
      </c>
      <c r="Q867">
        <v>99</v>
      </c>
      <c r="R867">
        <v>-1.1599999999999999</v>
      </c>
      <c r="S867">
        <v>91</v>
      </c>
      <c r="T867">
        <v>1.91</v>
      </c>
      <c r="U867">
        <v>97</v>
      </c>
      <c r="V867">
        <v>5.73</v>
      </c>
      <c r="W867">
        <v>90</v>
      </c>
      <c r="X867" t="s">
        <v>102</v>
      </c>
      <c r="Y867" t="s">
        <v>282</v>
      </c>
      <c r="Z867" t="s">
        <v>96</v>
      </c>
      <c r="AA867" t="s">
        <v>316</v>
      </c>
      <c r="AB867" t="s">
        <v>2650</v>
      </c>
      <c r="AC867">
        <v>533</v>
      </c>
      <c r="AD867">
        <v>205</v>
      </c>
      <c r="AE867">
        <v>99</v>
      </c>
      <c r="AF867">
        <v>318.60000000000002</v>
      </c>
      <c r="AG867">
        <v>15.33</v>
      </c>
      <c r="AH867">
        <v>11.15</v>
      </c>
      <c r="AI867">
        <v>0.05</v>
      </c>
      <c r="AJ867">
        <v>0.01</v>
      </c>
      <c r="AK867">
        <v>92</v>
      </c>
      <c r="AL867">
        <v>644</v>
      </c>
      <c r="AM867">
        <v>271</v>
      </c>
      <c r="AN867">
        <v>-2.78</v>
      </c>
      <c r="AO867">
        <v>0.64</v>
      </c>
      <c r="AP867">
        <v>1177</v>
      </c>
      <c r="AQ867">
        <v>4</v>
      </c>
      <c r="AR867">
        <v>4.34</v>
      </c>
      <c r="AS867">
        <v>95</v>
      </c>
      <c r="AT867">
        <v>1.93</v>
      </c>
      <c r="AU867">
        <v>97</v>
      </c>
      <c r="AV867">
        <v>-1.74</v>
      </c>
      <c r="AW867">
        <v>99</v>
      </c>
      <c r="AX867">
        <v>-0.55000000000000004</v>
      </c>
      <c r="AY867">
        <v>96</v>
      </c>
      <c r="AZ867">
        <v>5.45</v>
      </c>
      <c r="BA867">
        <v>89</v>
      </c>
      <c r="BB867">
        <v>4.4800000000000004</v>
      </c>
      <c r="BC867">
        <v>90</v>
      </c>
      <c r="BD867">
        <v>0.01</v>
      </c>
      <c r="BE867">
        <v>0</v>
      </c>
      <c r="BF867">
        <v>0.01</v>
      </c>
      <c r="BG867">
        <v>97</v>
      </c>
      <c r="BH867">
        <v>0.14000000000000001</v>
      </c>
      <c r="BI867">
        <v>-2.29</v>
      </c>
      <c r="BJ867">
        <v>37</v>
      </c>
      <c r="BK867">
        <v>14</v>
      </c>
      <c r="BL867">
        <v>0.24</v>
      </c>
      <c r="BM867">
        <v>0.57999999999999996</v>
      </c>
      <c r="BN867">
        <v>-0.46</v>
      </c>
      <c r="BO867">
        <v>-0.25</v>
      </c>
      <c r="BP867">
        <v>1.28</v>
      </c>
      <c r="BQ867">
        <v>-1.38</v>
      </c>
      <c r="BR867">
        <v>-0.52</v>
      </c>
      <c r="BS867">
        <v>-0.47</v>
      </c>
      <c r="BT867">
        <v>0.13</v>
      </c>
      <c r="BU867">
        <v>-0.18</v>
      </c>
      <c r="BV867">
        <v>-0.12</v>
      </c>
      <c r="BW867">
        <v>-0.99</v>
      </c>
      <c r="BX867">
        <v>-0.14000000000000001</v>
      </c>
      <c r="BY867">
        <v>0.26</v>
      </c>
      <c r="BZ867">
        <v>1.55</v>
      </c>
      <c r="CA867">
        <v>0.02</v>
      </c>
      <c r="CB867">
        <v>0.11</v>
      </c>
      <c r="CC867">
        <v>-0.31</v>
      </c>
      <c r="CD867">
        <v>0.59</v>
      </c>
      <c r="CE867">
        <v>0.1</v>
      </c>
      <c r="CF867">
        <v>0.46</v>
      </c>
      <c r="CG867">
        <v>0</v>
      </c>
      <c r="CH867">
        <v>0.25</v>
      </c>
      <c r="CI867">
        <v>0</v>
      </c>
      <c r="CJ867">
        <v>3.6</v>
      </c>
      <c r="CK867">
        <v>99</v>
      </c>
      <c r="CL867">
        <v>-0.68</v>
      </c>
      <c r="CM867">
        <v>99</v>
      </c>
      <c r="CN867">
        <v>-0.17</v>
      </c>
      <c r="CO867">
        <v>99</v>
      </c>
      <c r="CP867">
        <v>1.7</v>
      </c>
      <c r="CQ867">
        <v>97</v>
      </c>
      <c r="CR867">
        <v>0</v>
      </c>
      <c r="CS867">
        <v>0</v>
      </c>
      <c r="CT867">
        <v>11.2</v>
      </c>
      <c r="CU867">
        <v>97</v>
      </c>
      <c r="CV867">
        <v>0.31</v>
      </c>
      <c r="CW867">
        <v>49</v>
      </c>
      <c r="CX867" t="s">
        <v>1380</v>
      </c>
    </row>
    <row r="868" spans="1:102" x14ac:dyDescent="0.3">
      <c r="A868" t="str">
        <f>HYPERLINK("https://webapp.icbf.com/v2/app/bull-search/view/68245732","CNZ")</f>
        <v>CNZ</v>
      </c>
      <c r="B868" t="s">
        <v>583</v>
      </c>
      <c r="C868" t="s">
        <v>584</v>
      </c>
      <c r="D868" s="1">
        <v>32937</v>
      </c>
      <c r="E868" t="s">
        <v>108</v>
      </c>
      <c r="F868">
        <v>0</v>
      </c>
      <c r="G868" t="s">
        <v>93</v>
      </c>
      <c r="H868">
        <v>153.56</v>
      </c>
      <c r="I868">
        <v>96</v>
      </c>
      <c r="J868">
        <v>-31.27</v>
      </c>
      <c r="K868">
        <v>99</v>
      </c>
      <c r="L868">
        <v>138.59</v>
      </c>
      <c r="M868">
        <v>92</v>
      </c>
      <c r="N868">
        <v>22.76</v>
      </c>
      <c r="O868">
        <v>96</v>
      </c>
      <c r="P868">
        <v>-5.2</v>
      </c>
      <c r="Q868">
        <v>99</v>
      </c>
      <c r="R868">
        <v>12.5</v>
      </c>
      <c r="S868">
        <v>94</v>
      </c>
      <c r="T868">
        <v>19.600000000000001</v>
      </c>
      <c r="U868">
        <v>98</v>
      </c>
      <c r="V868">
        <v>-3.42</v>
      </c>
      <c r="W868">
        <v>96</v>
      </c>
      <c r="X868" t="s">
        <v>94</v>
      </c>
      <c r="Y868" t="s">
        <v>95</v>
      </c>
      <c r="Z868" t="s">
        <v>96</v>
      </c>
      <c r="AA868" t="s">
        <v>585</v>
      </c>
      <c r="AB868" t="s">
        <v>586</v>
      </c>
      <c r="AC868">
        <v>488</v>
      </c>
      <c r="AD868">
        <v>182</v>
      </c>
      <c r="AE868">
        <v>99</v>
      </c>
      <c r="AF868">
        <v>-223.87</v>
      </c>
      <c r="AG868">
        <v>-8.7200000000000006</v>
      </c>
      <c r="AH868">
        <v>-5.66</v>
      </c>
      <c r="AI868">
        <v>0</v>
      </c>
      <c r="AJ868">
        <v>0.04</v>
      </c>
      <c r="AK868">
        <v>92</v>
      </c>
      <c r="AL868">
        <v>773</v>
      </c>
      <c r="AM868">
        <v>270</v>
      </c>
      <c r="AN868">
        <v>-7.71</v>
      </c>
      <c r="AO868">
        <v>3.34</v>
      </c>
      <c r="AP868">
        <v>660</v>
      </c>
      <c r="AQ868">
        <v>3</v>
      </c>
      <c r="AR868">
        <v>5.52</v>
      </c>
      <c r="AS868">
        <v>96</v>
      </c>
      <c r="AT868">
        <v>2.38</v>
      </c>
      <c r="AU868">
        <v>95</v>
      </c>
      <c r="AV868">
        <v>-2.0299999999999998</v>
      </c>
      <c r="AW868">
        <v>99</v>
      </c>
      <c r="AX868">
        <v>-0.96</v>
      </c>
      <c r="AY868">
        <v>97</v>
      </c>
      <c r="AZ868">
        <v>8.27</v>
      </c>
      <c r="BA868">
        <v>89</v>
      </c>
      <c r="BB868">
        <v>5.7</v>
      </c>
      <c r="BC868">
        <v>93</v>
      </c>
      <c r="BD868">
        <v>-0.05</v>
      </c>
      <c r="BE868">
        <v>-0.06</v>
      </c>
      <c r="BF868">
        <v>-0.09</v>
      </c>
      <c r="BG868">
        <v>97</v>
      </c>
      <c r="BH868">
        <v>-0.04</v>
      </c>
      <c r="BI868">
        <v>6.41</v>
      </c>
      <c r="BJ868">
        <v>31</v>
      </c>
      <c r="BK868">
        <v>14</v>
      </c>
      <c r="BL868">
        <v>-3</v>
      </c>
      <c r="BM868">
        <v>1.2</v>
      </c>
      <c r="BN868">
        <v>-2.66</v>
      </c>
      <c r="BO868">
        <v>-3.04</v>
      </c>
      <c r="BP868">
        <v>2.19</v>
      </c>
      <c r="BQ868">
        <v>-0.4</v>
      </c>
      <c r="BR868">
        <v>0.06</v>
      </c>
      <c r="BS868">
        <v>0.3</v>
      </c>
      <c r="BT868">
        <v>-0.86</v>
      </c>
      <c r="BU868">
        <v>-2.63</v>
      </c>
      <c r="BV868">
        <v>-3.24</v>
      </c>
      <c r="BW868">
        <v>-2.02</v>
      </c>
      <c r="BX868">
        <v>-1.1499999999999999</v>
      </c>
      <c r="BY868">
        <v>-1.35</v>
      </c>
      <c r="BZ868">
        <v>-4.2300000000000004</v>
      </c>
      <c r="CA868">
        <v>-2.61</v>
      </c>
      <c r="CB868">
        <v>-2.92</v>
      </c>
      <c r="CC868">
        <v>-1</v>
      </c>
      <c r="CD868">
        <v>2.19</v>
      </c>
      <c r="CE868">
        <v>-2.68</v>
      </c>
      <c r="CF868">
        <v>-2.54</v>
      </c>
      <c r="CG868">
        <v>0</v>
      </c>
      <c r="CH868">
        <v>-1.17</v>
      </c>
      <c r="CI868">
        <v>0</v>
      </c>
      <c r="CJ868">
        <v>-3.7</v>
      </c>
      <c r="CK868">
        <v>99</v>
      </c>
      <c r="CL868">
        <v>0.03</v>
      </c>
      <c r="CM868">
        <v>99</v>
      </c>
      <c r="CN868">
        <v>-0.1</v>
      </c>
      <c r="CO868">
        <v>99</v>
      </c>
      <c r="CP868">
        <v>-10.5</v>
      </c>
      <c r="CQ868">
        <v>98</v>
      </c>
      <c r="CR868">
        <v>0</v>
      </c>
      <c r="CS868">
        <v>0</v>
      </c>
      <c r="CT868">
        <v>-12.7</v>
      </c>
      <c r="CU868">
        <v>98</v>
      </c>
      <c r="CV868">
        <v>-0.03</v>
      </c>
      <c r="CW868">
        <v>46</v>
      </c>
      <c r="CX868" t="s">
        <v>587</v>
      </c>
    </row>
    <row r="869" spans="1:102" x14ac:dyDescent="0.3">
      <c r="A869" t="str">
        <f>HYPERLINK("https://webapp.icbf.com/v2/app/bull-search/view/586203749","S797")</f>
        <v>S797</v>
      </c>
      <c r="B869" t="s">
        <v>3032</v>
      </c>
      <c r="C869" t="s">
        <v>3033</v>
      </c>
      <c r="D869" s="1">
        <v>38274</v>
      </c>
      <c r="E869" t="s">
        <v>92</v>
      </c>
      <c r="F869">
        <v>100</v>
      </c>
      <c r="G869" t="s">
        <v>93</v>
      </c>
      <c r="H869">
        <v>153.29</v>
      </c>
      <c r="I869">
        <v>92</v>
      </c>
      <c r="J869">
        <v>74.91</v>
      </c>
      <c r="K869">
        <v>98</v>
      </c>
      <c r="L869">
        <v>45</v>
      </c>
      <c r="M869">
        <v>92</v>
      </c>
      <c r="N869">
        <v>33</v>
      </c>
      <c r="O869">
        <v>91</v>
      </c>
      <c r="P869">
        <v>-2.56</v>
      </c>
      <c r="Q869">
        <v>94</v>
      </c>
      <c r="R869">
        <v>8.9600000000000009</v>
      </c>
      <c r="S869">
        <v>83</v>
      </c>
      <c r="T869">
        <v>-8.23</v>
      </c>
      <c r="U869">
        <v>80</v>
      </c>
      <c r="V869">
        <v>2.21</v>
      </c>
      <c r="W869">
        <v>75</v>
      </c>
      <c r="X869" t="s">
        <v>251</v>
      </c>
      <c r="Y869" t="s">
        <v>1494</v>
      </c>
      <c r="Z869" t="s">
        <v>96</v>
      </c>
      <c r="AA869" t="s">
        <v>316</v>
      </c>
      <c r="AB869" t="s">
        <v>3034</v>
      </c>
      <c r="AC869">
        <v>124</v>
      </c>
      <c r="AD869">
        <v>39</v>
      </c>
      <c r="AE869">
        <v>98</v>
      </c>
      <c r="AF869">
        <v>568.98</v>
      </c>
      <c r="AG869">
        <v>16.11</v>
      </c>
      <c r="AH869">
        <v>15.75</v>
      </c>
      <c r="AI869">
        <v>-0.1</v>
      </c>
      <c r="AJ869">
        <v>-0.06</v>
      </c>
      <c r="AK869">
        <v>92</v>
      </c>
      <c r="AL869">
        <v>131</v>
      </c>
      <c r="AM869">
        <v>37</v>
      </c>
      <c r="AN869">
        <v>-3.1</v>
      </c>
      <c r="AO869">
        <v>0.48</v>
      </c>
      <c r="AP869">
        <v>343</v>
      </c>
      <c r="AQ869">
        <v>1</v>
      </c>
      <c r="AR869">
        <v>5.69</v>
      </c>
      <c r="AS869">
        <v>88</v>
      </c>
      <c r="AT869">
        <v>2.2599999999999998</v>
      </c>
      <c r="AU869">
        <v>97</v>
      </c>
      <c r="AV869">
        <v>-3.08</v>
      </c>
      <c r="AW869">
        <v>97</v>
      </c>
      <c r="AX869">
        <v>-0.9</v>
      </c>
      <c r="AY869">
        <v>86</v>
      </c>
      <c r="AZ869">
        <v>7.01</v>
      </c>
      <c r="BA869">
        <v>73</v>
      </c>
      <c r="BB869">
        <v>5.79</v>
      </c>
      <c r="BC869">
        <v>72</v>
      </c>
      <c r="BD869">
        <v>-0.03</v>
      </c>
      <c r="BE869">
        <v>-0.04</v>
      </c>
      <c r="BF869">
        <v>-0.08</v>
      </c>
      <c r="BG869">
        <v>94</v>
      </c>
      <c r="BH869">
        <v>0.02</v>
      </c>
      <c r="BI869">
        <v>-4.83</v>
      </c>
      <c r="BJ869">
        <v>64</v>
      </c>
      <c r="BK869">
        <v>20</v>
      </c>
      <c r="BL869">
        <v>1.44</v>
      </c>
      <c r="BM869">
        <v>1.56</v>
      </c>
      <c r="BN869">
        <v>0.92</v>
      </c>
      <c r="BO869">
        <v>0.36</v>
      </c>
      <c r="BP869">
        <v>1.32</v>
      </c>
      <c r="BQ869">
        <v>2.0299999999999998</v>
      </c>
      <c r="BR869">
        <v>-1.54</v>
      </c>
      <c r="BS869">
        <v>0.16</v>
      </c>
      <c r="BT869">
        <v>1.73</v>
      </c>
      <c r="BU869">
        <v>0.35</v>
      </c>
      <c r="BV869">
        <v>0.8</v>
      </c>
      <c r="BW869">
        <v>0.68</v>
      </c>
      <c r="BX869">
        <v>1.1499999999999999</v>
      </c>
      <c r="BY869">
        <v>1.02</v>
      </c>
      <c r="BZ869">
        <v>-1.1299999999999999</v>
      </c>
      <c r="CA869">
        <v>1.02</v>
      </c>
      <c r="CB869">
        <v>0.97</v>
      </c>
      <c r="CC869">
        <v>0.88</v>
      </c>
      <c r="CD869">
        <v>0.64</v>
      </c>
      <c r="CE869">
        <v>0.33</v>
      </c>
      <c r="CF869">
        <v>2.06</v>
      </c>
      <c r="CG869">
        <v>0</v>
      </c>
      <c r="CH869">
        <v>0.89</v>
      </c>
      <c r="CI869">
        <v>0</v>
      </c>
      <c r="CJ869">
        <v>0.4</v>
      </c>
      <c r="CK869">
        <v>95</v>
      </c>
      <c r="CL869">
        <v>-1.0900000000000001</v>
      </c>
      <c r="CM869">
        <v>94</v>
      </c>
      <c r="CN869">
        <v>-0.6</v>
      </c>
      <c r="CO869">
        <v>93</v>
      </c>
      <c r="CP869">
        <v>7.4</v>
      </c>
      <c r="CQ869">
        <v>88</v>
      </c>
      <c r="CR869">
        <v>0</v>
      </c>
      <c r="CS869">
        <v>0</v>
      </c>
      <c r="CT869">
        <v>24.9</v>
      </c>
      <c r="CU869">
        <v>80</v>
      </c>
      <c r="CV869">
        <v>0.28999999999999998</v>
      </c>
      <c r="CW869">
        <v>48</v>
      </c>
      <c r="CX869" t="s">
        <v>3035</v>
      </c>
    </row>
    <row r="870" spans="1:102" x14ac:dyDescent="0.3">
      <c r="A870" t="str">
        <f>HYPERLINK("https://webapp.icbf.com/v2/app/bull-search/view/1275438775","S3019")</f>
        <v>S3019</v>
      </c>
      <c r="B870" t="s">
        <v>9323</v>
      </c>
      <c r="C870" t="s">
        <v>9324</v>
      </c>
      <c r="D870" s="1">
        <v>41179</v>
      </c>
      <c r="E870" t="s">
        <v>227</v>
      </c>
      <c r="F870">
        <v>0</v>
      </c>
      <c r="G870" t="s">
        <v>109</v>
      </c>
      <c r="H870">
        <v>153.26</v>
      </c>
      <c r="I870">
        <v>53</v>
      </c>
      <c r="J870">
        <v>87.89</v>
      </c>
      <c r="K870">
        <v>68</v>
      </c>
      <c r="L870">
        <v>50.22</v>
      </c>
      <c r="M870">
        <v>63</v>
      </c>
      <c r="N870">
        <v>2.95</v>
      </c>
      <c r="O870">
        <v>45</v>
      </c>
      <c r="P870">
        <v>-57.24</v>
      </c>
      <c r="Q870">
        <v>22</v>
      </c>
      <c r="R870">
        <v>2.3199999999999998</v>
      </c>
      <c r="S870">
        <v>25</v>
      </c>
      <c r="T870">
        <v>62</v>
      </c>
      <c r="U870">
        <v>18</v>
      </c>
      <c r="V870">
        <v>5.12</v>
      </c>
      <c r="W870">
        <v>29</v>
      </c>
      <c r="X870" t="s">
        <v>110</v>
      </c>
      <c r="Y870" t="s">
        <v>411</v>
      </c>
      <c r="Z870">
        <v>0</v>
      </c>
      <c r="AA870" t="s">
        <v>2020</v>
      </c>
      <c r="AB870" t="s">
        <v>9325</v>
      </c>
      <c r="AC870">
        <v>0</v>
      </c>
      <c r="AD870">
        <v>0</v>
      </c>
      <c r="AE870">
        <v>68</v>
      </c>
      <c r="AF870">
        <v>-181.59</v>
      </c>
      <c r="AG870">
        <v>18.2</v>
      </c>
      <c r="AH870">
        <v>5.73</v>
      </c>
      <c r="AI870">
        <v>0.43</v>
      </c>
      <c r="AJ870">
        <v>0.2</v>
      </c>
      <c r="AK870">
        <v>63</v>
      </c>
      <c r="AL870">
        <v>0</v>
      </c>
      <c r="AM870">
        <v>0</v>
      </c>
      <c r="AN870">
        <v>-1.54</v>
      </c>
      <c r="AO870">
        <v>2.48</v>
      </c>
      <c r="AP870">
        <v>5</v>
      </c>
      <c r="AQ870">
        <v>0</v>
      </c>
      <c r="AR870">
        <v>3.93</v>
      </c>
      <c r="AS870">
        <v>32</v>
      </c>
      <c r="AT870">
        <v>2.04</v>
      </c>
      <c r="AU870">
        <v>33</v>
      </c>
      <c r="AV870">
        <v>0</v>
      </c>
      <c r="AW870">
        <v>68</v>
      </c>
      <c r="AX870">
        <v>5.07</v>
      </c>
      <c r="AY870">
        <v>38</v>
      </c>
      <c r="AZ870">
        <v>6.54</v>
      </c>
      <c r="BA870">
        <v>23</v>
      </c>
      <c r="BB870">
        <v>4.99</v>
      </c>
      <c r="BC870">
        <v>17</v>
      </c>
      <c r="BD870">
        <v>-0.02</v>
      </c>
      <c r="BE870">
        <v>0</v>
      </c>
      <c r="BF870">
        <v>-0.02</v>
      </c>
      <c r="BG870">
        <v>33</v>
      </c>
      <c r="BH870">
        <v>0.08</v>
      </c>
      <c r="BI870">
        <v>-7.27</v>
      </c>
      <c r="BJ870">
        <v>0</v>
      </c>
      <c r="BK870">
        <v>0</v>
      </c>
      <c r="BL870">
        <v>-1.22</v>
      </c>
      <c r="BM870">
        <v>-2.0099999999999998</v>
      </c>
      <c r="BN870">
        <v>-0.45</v>
      </c>
      <c r="BO870">
        <v>1.48</v>
      </c>
      <c r="BP870">
        <v>-0.12</v>
      </c>
      <c r="BQ870">
        <v>-5.32</v>
      </c>
      <c r="BR870">
        <v>2.31</v>
      </c>
      <c r="BS870">
        <v>6.46</v>
      </c>
      <c r="BT870">
        <v>-1.04</v>
      </c>
      <c r="BU870">
        <v>1.06</v>
      </c>
      <c r="BV870">
        <v>1.1000000000000001</v>
      </c>
      <c r="BW870">
        <v>-0.76</v>
      </c>
      <c r="BX870">
        <v>-1.43</v>
      </c>
      <c r="BY870">
        <v>0.71</v>
      </c>
      <c r="BZ870">
        <v>-0.76</v>
      </c>
      <c r="CA870">
        <v>2.33</v>
      </c>
      <c r="CB870">
        <v>0.89</v>
      </c>
      <c r="CC870">
        <v>4.1500000000000004</v>
      </c>
      <c r="CD870">
        <v>-2.37</v>
      </c>
      <c r="CE870">
        <v>1.45</v>
      </c>
      <c r="CF870">
        <v>-1.45</v>
      </c>
      <c r="CG870">
        <v>0</v>
      </c>
      <c r="CH870">
        <v>-0.28999999999999998</v>
      </c>
      <c r="CI870">
        <v>0</v>
      </c>
      <c r="CJ870">
        <v>-29.9</v>
      </c>
      <c r="CK870">
        <v>23</v>
      </c>
      <c r="CL870">
        <v>-1.2</v>
      </c>
      <c r="CM870">
        <v>21</v>
      </c>
      <c r="CN870">
        <v>-0.33</v>
      </c>
      <c r="CO870">
        <v>20</v>
      </c>
      <c r="CP870">
        <v>-49.7</v>
      </c>
      <c r="CQ870">
        <v>21</v>
      </c>
      <c r="CR870">
        <v>0</v>
      </c>
      <c r="CS870">
        <v>0</v>
      </c>
      <c r="CT870">
        <v>-70</v>
      </c>
      <c r="CU870">
        <v>18</v>
      </c>
      <c r="CV870">
        <v>-0.31</v>
      </c>
      <c r="CW870">
        <v>6</v>
      </c>
      <c r="CX870" t="s">
        <v>2181</v>
      </c>
    </row>
    <row r="871" spans="1:102" x14ac:dyDescent="0.3">
      <c r="A871" t="str">
        <f>HYPERLINK("https://webapp.icbf.com/v2/app/bull-search/view/875596690","ADY")</f>
        <v>ADY</v>
      </c>
      <c r="B871" t="s">
        <v>13153</v>
      </c>
      <c r="C871" t="s">
        <v>13154</v>
      </c>
      <c r="D871" s="1">
        <v>40618</v>
      </c>
      <c r="E871" t="s">
        <v>92</v>
      </c>
      <c r="F871">
        <v>72</v>
      </c>
      <c r="G871" t="s">
        <v>93</v>
      </c>
      <c r="H871">
        <v>153.18</v>
      </c>
      <c r="I871">
        <v>84</v>
      </c>
      <c r="J871">
        <v>71.930000000000007</v>
      </c>
      <c r="K871">
        <v>96</v>
      </c>
      <c r="L871">
        <v>57.17</v>
      </c>
      <c r="M871">
        <v>74</v>
      </c>
      <c r="N871">
        <v>45.12</v>
      </c>
      <c r="O871">
        <v>83</v>
      </c>
      <c r="P871">
        <v>-9.94</v>
      </c>
      <c r="Q871">
        <v>90</v>
      </c>
      <c r="R871">
        <v>-1.94</v>
      </c>
      <c r="S871">
        <v>76</v>
      </c>
      <c r="T871">
        <v>3.84</v>
      </c>
      <c r="U871">
        <v>78</v>
      </c>
      <c r="V871">
        <v>-13</v>
      </c>
      <c r="W871">
        <v>71</v>
      </c>
      <c r="X871" t="s">
        <v>94</v>
      </c>
      <c r="Y871" t="s">
        <v>1860</v>
      </c>
      <c r="Z871" t="s">
        <v>330</v>
      </c>
      <c r="AA871" t="s">
        <v>5692</v>
      </c>
      <c r="AB871" t="s">
        <v>13155</v>
      </c>
      <c r="AC871">
        <v>70</v>
      </c>
      <c r="AD871">
        <v>46</v>
      </c>
      <c r="AE871">
        <v>96</v>
      </c>
      <c r="AF871">
        <v>97.21</v>
      </c>
      <c r="AG871">
        <v>15.72</v>
      </c>
      <c r="AH871">
        <v>8.16</v>
      </c>
      <c r="AI871">
        <v>0.2</v>
      </c>
      <c r="AJ871">
        <v>0.08</v>
      </c>
      <c r="AK871">
        <v>74</v>
      </c>
      <c r="AL871">
        <v>55</v>
      </c>
      <c r="AM871">
        <v>40</v>
      </c>
      <c r="AN871">
        <v>-3.06</v>
      </c>
      <c r="AO871">
        <v>1.5</v>
      </c>
      <c r="AP871">
        <v>167</v>
      </c>
      <c r="AQ871">
        <v>1</v>
      </c>
      <c r="AR871">
        <v>4.21</v>
      </c>
      <c r="AS871">
        <v>68</v>
      </c>
      <c r="AT871">
        <v>1.8</v>
      </c>
      <c r="AU871">
        <v>85</v>
      </c>
      <c r="AV871">
        <v>-3.2</v>
      </c>
      <c r="AW871">
        <v>96</v>
      </c>
      <c r="AX871">
        <v>-0.84</v>
      </c>
      <c r="AY871">
        <v>78</v>
      </c>
      <c r="AZ871">
        <v>6.75</v>
      </c>
      <c r="BA871">
        <v>61</v>
      </c>
      <c r="BB871">
        <v>4.8</v>
      </c>
      <c r="BC871">
        <v>60</v>
      </c>
      <c r="BD871">
        <v>-0.02</v>
      </c>
      <c r="BE871">
        <v>0.02</v>
      </c>
      <c r="BF871">
        <v>0.04</v>
      </c>
      <c r="BG871">
        <v>86</v>
      </c>
      <c r="BH871">
        <v>-0.27</v>
      </c>
      <c r="BI871">
        <v>10.69</v>
      </c>
      <c r="BJ871">
        <v>1</v>
      </c>
      <c r="BK871">
        <v>1</v>
      </c>
      <c r="BL871">
        <v>-1.53</v>
      </c>
      <c r="BM871">
        <v>1.4</v>
      </c>
      <c r="BN871">
        <v>0.8</v>
      </c>
      <c r="BO871">
        <v>-0.96</v>
      </c>
      <c r="BP871">
        <v>-0.03</v>
      </c>
      <c r="BQ871">
        <v>-1</v>
      </c>
      <c r="BR871">
        <v>0.79</v>
      </c>
      <c r="BS871">
        <v>-0.08</v>
      </c>
      <c r="BT871">
        <v>-0.87</v>
      </c>
      <c r="BU871">
        <v>-1.33</v>
      </c>
      <c r="BV871">
        <v>-1.76</v>
      </c>
      <c r="BW871">
        <v>-1.99</v>
      </c>
      <c r="BX871">
        <v>-2.4</v>
      </c>
      <c r="BY871">
        <v>-2.2400000000000002</v>
      </c>
      <c r="BZ871">
        <v>-0.95</v>
      </c>
      <c r="CA871">
        <v>-1.5</v>
      </c>
      <c r="CB871">
        <v>-1.57</v>
      </c>
      <c r="CC871">
        <v>-0.3</v>
      </c>
      <c r="CD871">
        <v>0.83</v>
      </c>
      <c r="CE871">
        <v>-0.87</v>
      </c>
      <c r="CF871">
        <v>-0.75</v>
      </c>
      <c r="CG871">
        <v>0</v>
      </c>
      <c r="CH871">
        <v>-1.86</v>
      </c>
      <c r="CI871">
        <v>0</v>
      </c>
      <c r="CJ871">
        <v>-1.6</v>
      </c>
      <c r="CK871">
        <v>92</v>
      </c>
      <c r="CL871">
        <v>-0.64</v>
      </c>
      <c r="CM871">
        <v>90</v>
      </c>
      <c r="CN871">
        <v>0.08</v>
      </c>
      <c r="CO871">
        <v>89</v>
      </c>
      <c r="CP871">
        <v>-1.3</v>
      </c>
      <c r="CQ871">
        <v>80</v>
      </c>
      <c r="CR871">
        <v>0</v>
      </c>
      <c r="CS871">
        <v>0</v>
      </c>
      <c r="CT871">
        <v>8.6</v>
      </c>
      <c r="CU871">
        <v>78</v>
      </c>
      <c r="CV871">
        <v>0.14000000000000001</v>
      </c>
      <c r="CW871">
        <v>45</v>
      </c>
      <c r="CX871" t="s">
        <v>2990</v>
      </c>
    </row>
    <row r="872" spans="1:102" x14ac:dyDescent="0.3">
      <c r="A872" t="str">
        <f>HYPERLINK("https://webapp.icbf.com/v2/app/bull-search/view/586143533","S923")</f>
        <v>S923</v>
      </c>
      <c r="B872" t="s">
        <v>12896</v>
      </c>
      <c r="C872" t="s">
        <v>12897</v>
      </c>
      <c r="D872" s="1">
        <v>38380</v>
      </c>
      <c r="E872" t="s">
        <v>92</v>
      </c>
      <c r="F872">
        <v>100</v>
      </c>
      <c r="G872" t="s">
        <v>109</v>
      </c>
      <c r="H872">
        <v>153.16999999999999</v>
      </c>
      <c r="I872">
        <v>87</v>
      </c>
      <c r="J872">
        <v>55.51</v>
      </c>
      <c r="K872">
        <v>95</v>
      </c>
      <c r="L872">
        <v>40.79</v>
      </c>
      <c r="M872">
        <v>89</v>
      </c>
      <c r="N872">
        <v>55.66</v>
      </c>
      <c r="O872">
        <v>77</v>
      </c>
      <c r="P872">
        <v>-2.31</v>
      </c>
      <c r="Q872">
        <v>82</v>
      </c>
      <c r="R872">
        <v>3.91</v>
      </c>
      <c r="S872">
        <v>81</v>
      </c>
      <c r="T872">
        <v>-2.31</v>
      </c>
      <c r="U872">
        <v>68</v>
      </c>
      <c r="V872">
        <v>1.92</v>
      </c>
      <c r="W872">
        <v>72</v>
      </c>
      <c r="X872" t="s">
        <v>234</v>
      </c>
      <c r="Y872" t="s">
        <v>303</v>
      </c>
      <c r="Z872" t="s">
        <v>96</v>
      </c>
      <c r="AA872" t="s">
        <v>316</v>
      </c>
      <c r="AB872" t="s">
        <v>12898</v>
      </c>
      <c r="AC872">
        <v>27</v>
      </c>
      <c r="AD872">
        <v>13</v>
      </c>
      <c r="AE872">
        <v>95</v>
      </c>
      <c r="AF872">
        <v>474.61</v>
      </c>
      <c r="AG872">
        <v>11.35</v>
      </c>
      <c r="AH872">
        <v>12.69</v>
      </c>
      <c r="AI872">
        <v>-0.12</v>
      </c>
      <c r="AJ872">
        <v>-0.06</v>
      </c>
      <c r="AK872">
        <v>89</v>
      </c>
      <c r="AL872">
        <v>36</v>
      </c>
      <c r="AM872">
        <v>11</v>
      </c>
      <c r="AN872">
        <v>-0.91</v>
      </c>
      <c r="AO872">
        <v>2.36</v>
      </c>
      <c r="AP872">
        <v>28</v>
      </c>
      <c r="AQ872">
        <v>0</v>
      </c>
      <c r="AR872">
        <v>5.17</v>
      </c>
      <c r="AS872">
        <v>66</v>
      </c>
      <c r="AT872">
        <v>2.0299999999999998</v>
      </c>
      <c r="AU872">
        <v>92</v>
      </c>
      <c r="AV872">
        <v>-4.68</v>
      </c>
      <c r="AW872">
        <v>81</v>
      </c>
      <c r="AX872">
        <v>-0.69</v>
      </c>
      <c r="AY872">
        <v>66</v>
      </c>
      <c r="AZ872">
        <v>5.12</v>
      </c>
      <c r="BA872">
        <v>55</v>
      </c>
      <c r="BB872">
        <v>4.8</v>
      </c>
      <c r="BC872">
        <v>57</v>
      </c>
      <c r="BD872">
        <v>0</v>
      </c>
      <c r="BE872">
        <v>0</v>
      </c>
      <c r="BF872">
        <v>-0.09</v>
      </c>
      <c r="BG872">
        <v>93</v>
      </c>
      <c r="BH872">
        <v>0.03</v>
      </c>
      <c r="BI872">
        <v>-2.72</v>
      </c>
      <c r="BJ872">
        <v>0</v>
      </c>
      <c r="BK872">
        <v>0</v>
      </c>
      <c r="BL872">
        <v>0.24</v>
      </c>
      <c r="BM872">
        <v>2.52</v>
      </c>
      <c r="BN872">
        <v>0.51</v>
      </c>
      <c r="BO872">
        <v>-1</v>
      </c>
      <c r="BP872">
        <v>2.39</v>
      </c>
      <c r="BQ872">
        <v>1.7</v>
      </c>
      <c r="BR872">
        <v>-0.25</v>
      </c>
      <c r="BS872">
        <v>-0.14000000000000001</v>
      </c>
      <c r="BT872">
        <v>-0.83</v>
      </c>
      <c r="BU872">
        <v>0.7</v>
      </c>
      <c r="BV872">
        <v>-0.56000000000000005</v>
      </c>
      <c r="BW872">
        <v>-0.03</v>
      </c>
      <c r="BX872">
        <v>0.56999999999999995</v>
      </c>
      <c r="BY872">
        <v>0.03</v>
      </c>
      <c r="BZ872">
        <v>0.64</v>
      </c>
      <c r="CA872">
        <v>0.44</v>
      </c>
      <c r="CB872">
        <v>0.56000000000000005</v>
      </c>
      <c r="CC872">
        <v>0.21</v>
      </c>
      <c r="CD872">
        <v>2.85</v>
      </c>
      <c r="CE872">
        <v>-0.22</v>
      </c>
      <c r="CF872">
        <v>1.1100000000000001</v>
      </c>
      <c r="CG872">
        <v>0</v>
      </c>
      <c r="CH872">
        <v>-0.1</v>
      </c>
      <c r="CI872">
        <v>0</v>
      </c>
      <c r="CJ872">
        <v>0.9</v>
      </c>
      <c r="CK872">
        <v>84</v>
      </c>
      <c r="CL872">
        <v>-0.7</v>
      </c>
      <c r="CM872">
        <v>81</v>
      </c>
      <c r="CN872">
        <v>-0.21</v>
      </c>
      <c r="CO872">
        <v>79</v>
      </c>
      <c r="CP872">
        <v>8.1</v>
      </c>
      <c r="CQ872">
        <v>74</v>
      </c>
      <c r="CR872">
        <v>0</v>
      </c>
      <c r="CS872">
        <v>0</v>
      </c>
      <c r="CT872">
        <v>16.899999999999999</v>
      </c>
      <c r="CU872">
        <v>68</v>
      </c>
      <c r="CV872">
        <v>0.22</v>
      </c>
      <c r="CW872">
        <v>45</v>
      </c>
      <c r="CX872" t="s">
        <v>1682</v>
      </c>
    </row>
    <row r="873" spans="1:102" x14ac:dyDescent="0.3">
      <c r="A873" t="str">
        <f>HYPERLINK("https://webapp.icbf.com/v2/app/bull-search/view/1456848717","FR5004")</f>
        <v>FR5004</v>
      </c>
      <c r="B873" t="s">
        <v>14036</v>
      </c>
      <c r="C873" t="s">
        <v>14037</v>
      </c>
      <c r="D873" s="1">
        <v>42055</v>
      </c>
      <c r="E873" t="s">
        <v>92</v>
      </c>
      <c r="F873">
        <v>100</v>
      </c>
      <c r="G873" t="s">
        <v>435</v>
      </c>
      <c r="H873">
        <v>152.80000000000001</v>
      </c>
      <c r="I873">
        <v>67</v>
      </c>
      <c r="J873">
        <v>78.03</v>
      </c>
      <c r="K873">
        <v>87</v>
      </c>
      <c r="L873">
        <v>30.01</v>
      </c>
      <c r="M873">
        <v>67</v>
      </c>
      <c r="N873">
        <v>35.04</v>
      </c>
      <c r="O873">
        <v>55</v>
      </c>
      <c r="P873">
        <v>1.93</v>
      </c>
      <c r="Q873">
        <v>42</v>
      </c>
      <c r="R873">
        <v>8.2799999999999994</v>
      </c>
      <c r="S873">
        <v>62</v>
      </c>
      <c r="T873">
        <v>-10.3</v>
      </c>
      <c r="U873">
        <v>36</v>
      </c>
      <c r="V873">
        <v>9.81</v>
      </c>
      <c r="W873">
        <v>53</v>
      </c>
      <c r="X873" t="s">
        <v>234</v>
      </c>
      <c r="Y873" t="s">
        <v>8417</v>
      </c>
      <c r="Z873" t="s">
        <v>96</v>
      </c>
      <c r="AA873" t="s">
        <v>2272</v>
      </c>
      <c r="AB873" t="s">
        <v>14038</v>
      </c>
      <c r="AC873">
        <v>0</v>
      </c>
      <c r="AD873">
        <v>0</v>
      </c>
      <c r="AE873">
        <v>87</v>
      </c>
      <c r="AF873">
        <v>570.51</v>
      </c>
      <c r="AG873">
        <v>16.010000000000002</v>
      </c>
      <c r="AH873">
        <v>16.34</v>
      </c>
      <c r="AI873">
        <v>-0.1</v>
      </c>
      <c r="AJ873">
        <v>-0.04</v>
      </c>
      <c r="AK873">
        <v>67</v>
      </c>
      <c r="AL873">
        <v>0</v>
      </c>
      <c r="AM873">
        <v>0</v>
      </c>
      <c r="AN873">
        <v>-1.1000000000000001</v>
      </c>
      <c r="AO873">
        <v>1.3</v>
      </c>
      <c r="AP873">
        <v>3</v>
      </c>
      <c r="AQ873">
        <v>0</v>
      </c>
      <c r="AR873">
        <v>7.04</v>
      </c>
      <c r="AS873">
        <v>55</v>
      </c>
      <c r="AT873">
        <v>2.98</v>
      </c>
      <c r="AU873">
        <v>89</v>
      </c>
      <c r="AV873">
        <v>-3.44</v>
      </c>
      <c r="AW873">
        <v>45</v>
      </c>
      <c r="AX873">
        <v>0.41</v>
      </c>
      <c r="AY873">
        <v>45</v>
      </c>
      <c r="AZ873">
        <v>5.14</v>
      </c>
      <c r="BA873">
        <v>37</v>
      </c>
      <c r="BB873">
        <v>4.0599999999999996</v>
      </c>
      <c r="BC873">
        <v>33</v>
      </c>
      <c r="BD873">
        <v>0.04</v>
      </c>
      <c r="BE873">
        <v>-0.03</v>
      </c>
      <c r="BF873">
        <v>-0.2</v>
      </c>
      <c r="BG873">
        <v>75</v>
      </c>
      <c r="BH873">
        <v>0.2</v>
      </c>
      <c r="BI873">
        <v>-8.5</v>
      </c>
      <c r="BJ873">
        <v>0</v>
      </c>
      <c r="BK873">
        <v>0</v>
      </c>
      <c r="BL873">
        <v>2.4500000000000002</v>
      </c>
      <c r="BM873">
        <v>1.89</v>
      </c>
      <c r="BN873">
        <v>0.96</v>
      </c>
      <c r="BO873">
        <v>0.2</v>
      </c>
      <c r="BP873">
        <v>-0.43</v>
      </c>
      <c r="BQ873">
        <v>2.89</v>
      </c>
      <c r="BR873">
        <v>-0.48</v>
      </c>
      <c r="BS873">
        <v>2.81</v>
      </c>
      <c r="BT873">
        <v>1.65</v>
      </c>
      <c r="BU873">
        <v>3.16</v>
      </c>
      <c r="BV873">
        <v>2.2000000000000002</v>
      </c>
      <c r="BW873">
        <v>1.4</v>
      </c>
      <c r="BX873">
        <v>2.85</v>
      </c>
      <c r="BY873">
        <v>1.66</v>
      </c>
      <c r="BZ873">
        <v>0.79</v>
      </c>
      <c r="CA873">
        <v>2.4700000000000002</v>
      </c>
      <c r="CB873">
        <v>1.96</v>
      </c>
      <c r="CC873">
        <v>2.2000000000000002</v>
      </c>
      <c r="CD873">
        <v>1.33</v>
      </c>
      <c r="CE873">
        <v>1.35</v>
      </c>
      <c r="CF873">
        <v>2.99</v>
      </c>
      <c r="CG873">
        <v>0</v>
      </c>
      <c r="CH873">
        <v>0.27</v>
      </c>
      <c r="CI873">
        <v>0</v>
      </c>
      <c r="CJ873">
        <v>2.8</v>
      </c>
      <c r="CK873">
        <v>43</v>
      </c>
      <c r="CL873">
        <v>-1.26</v>
      </c>
      <c r="CM873">
        <v>42</v>
      </c>
      <c r="CN873">
        <v>-0.77</v>
      </c>
      <c r="CO873">
        <v>42</v>
      </c>
      <c r="CP873">
        <v>13.7</v>
      </c>
      <c r="CQ873">
        <v>38</v>
      </c>
      <c r="CR873">
        <v>0</v>
      </c>
      <c r="CS873">
        <v>0</v>
      </c>
      <c r="CT873">
        <v>27.7</v>
      </c>
      <c r="CU873">
        <v>36</v>
      </c>
      <c r="CV873">
        <v>0.28000000000000003</v>
      </c>
      <c r="CW873">
        <v>34</v>
      </c>
      <c r="CX873" t="s">
        <v>412</v>
      </c>
    </row>
    <row r="874" spans="1:102" x14ac:dyDescent="0.3">
      <c r="A874" t="str">
        <f>HYPERLINK("https://webapp.icbf.com/v2/app/bull-search/view/550980239","TYK")</f>
        <v>TYK</v>
      </c>
      <c r="B874" t="s">
        <v>9083</v>
      </c>
      <c r="C874" t="s">
        <v>9084</v>
      </c>
      <c r="D874" s="1">
        <v>38947</v>
      </c>
      <c r="E874" t="s">
        <v>227</v>
      </c>
      <c r="F874">
        <v>0</v>
      </c>
      <c r="G874" t="s">
        <v>109</v>
      </c>
      <c r="H874">
        <v>152.63999999999999</v>
      </c>
      <c r="I874">
        <v>35</v>
      </c>
      <c r="J874">
        <v>36.81</v>
      </c>
      <c r="K874">
        <v>71</v>
      </c>
      <c r="L874">
        <v>79.72</v>
      </c>
      <c r="M874">
        <v>28</v>
      </c>
      <c r="N874">
        <v>18.46</v>
      </c>
      <c r="O874">
        <v>8</v>
      </c>
      <c r="P874">
        <v>-30.23</v>
      </c>
      <c r="Q874">
        <v>9</v>
      </c>
      <c r="R874">
        <v>-0.15</v>
      </c>
      <c r="S874">
        <v>6</v>
      </c>
      <c r="T874">
        <v>47.2</v>
      </c>
      <c r="U874">
        <v>7</v>
      </c>
      <c r="V874">
        <v>0.83</v>
      </c>
      <c r="W874">
        <v>12</v>
      </c>
      <c r="X874" t="s">
        <v>94</v>
      </c>
      <c r="Y874" t="s">
        <v>1756</v>
      </c>
      <c r="Z874">
        <v>0</v>
      </c>
      <c r="AA874" t="s">
        <v>9085</v>
      </c>
      <c r="AB874" t="s">
        <v>9086</v>
      </c>
      <c r="AC874">
        <v>0</v>
      </c>
      <c r="AD874">
        <v>0</v>
      </c>
      <c r="AE874">
        <v>71</v>
      </c>
      <c r="AF874">
        <v>-145.37</v>
      </c>
      <c r="AG874">
        <v>6.97</v>
      </c>
      <c r="AH874">
        <v>1.57</v>
      </c>
      <c r="AI874">
        <v>0.21</v>
      </c>
      <c r="AJ874">
        <v>0.11</v>
      </c>
      <c r="AK874">
        <v>28</v>
      </c>
      <c r="AL874">
        <v>0</v>
      </c>
      <c r="AM874">
        <v>0</v>
      </c>
      <c r="AN874">
        <v>-2.59</v>
      </c>
      <c r="AO874">
        <v>3.79</v>
      </c>
      <c r="AP874">
        <v>1</v>
      </c>
      <c r="AQ874">
        <v>0</v>
      </c>
      <c r="AR874">
        <v>3.05</v>
      </c>
      <c r="AS874">
        <v>4</v>
      </c>
      <c r="AT874">
        <v>1.84</v>
      </c>
      <c r="AU874">
        <v>8</v>
      </c>
      <c r="AV874">
        <v>-0.52</v>
      </c>
      <c r="AW874">
        <v>11</v>
      </c>
      <c r="AX874">
        <v>1.27</v>
      </c>
      <c r="AY874">
        <v>6</v>
      </c>
      <c r="AZ874">
        <v>6.88</v>
      </c>
      <c r="BA874">
        <v>4</v>
      </c>
      <c r="BB874">
        <v>5.09</v>
      </c>
      <c r="BC874">
        <v>5</v>
      </c>
      <c r="BD874">
        <v>-0.04</v>
      </c>
      <c r="BE874">
        <v>0</v>
      </c>
      <c r="BF874">
        <v>7.0000000000000007E-2</v>
      </c>
      <c r="BG874">
        <v>7</v>
      </c>
      <c r="BH874">
        <v>0.02</v>
      </c>
      <c r="BI874">
        <v>-0.37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-15.6</v>
      </c>
      <c r="CK874">
        <v>11</v>
      </c>
      <c r="CL874">
        <v>-0.55000000000000004</v>
      </c>
      <c r="CM874">
        <v>7</v>
      </c>
      <c r="CN874">
        <v>-0.15</v>
      </c>
      <c r="CO874">
        <v>7</v>
      </c>
      <c r="CP874">
        <v>-31.9</v>
      </c>
      <c r="CQ874">
        <v>7</v>
      </c>
      <c r="CR874">
        <v>0</v>
      </c>
      <c r="CS874">
        <v>0</v>
      </c>
      <c r="CT874">
        <v>-50</v>
      </c>
      <c r="CU874">
        <v>7</v>
      </c>
      <c r="CV874">
        <v>-0.22</v>
      </c>
      <c r="CW874">
        <v>3</v>
      </c>
      <c r="CX874" t="s">
        <v>9087</v>
      </c>
    </row>
    <row r="875" spans="1:102" x14ac:dyDescent="0.3">
      <c r="A875" t="str">
        <f>HYPERLINK("https://webapp.icbf.com/v2/app/bull-search/view/1365512365","JE2405")</f>
        <v>JE2405</v>
      </c>
      <c r="B875" t="s">
        <v>8370</v>
      </c>
      <c r="C875" t="s">
        <v>8371</v>
      </c>
      <c r="D875" s="1">
        <v>41907</v>
      </c>
      <c r="E875" t="s">
        <v>227</v>
      </c>
      <c r="F875">
        <v>0</v>
      </c>
      <c r="G875" t="s">
        <v>93</v>
      </c>
      <c r="H875">
        <v>152.47999999999999</v>
      </c>
      <c r="I875">
        <v>64</v>
      </c>
      <c r="J875">
        <v>42.15</v>
      </c>
      <c r="K875">
        <v>83</v>
      </c>
      <c r="L875">
        <v>98.5</v>
      </c>
      <c r="M875">
        <v>58</v>
      </c>
      <c r="N875">
        <v>-5.94</v>
      </c>
      <c r="O875">
        <v>67</v>
      </c>
      <c r="P875">
        <v>-61.9</v>
      </c>
      <c r="Q875">
        <v>47</v>
      </c>
      <c r="R875">
        <v>7.02</v>
      </c>
      <c r="S875">
        <v>59</v>
      </c>
      <c r="T875">
        <v>68.36</v>
      </c>
      <c r="U875">
        <v>36</v>
      </c>
      <c r="V875">
        <v>4.29</v>
      </c>
      <c r="W875">
        <v>56</v>
      </c>
      <c r="X875" t="s">
        <v>94</v>
      </c>
      <c r="Y875" t="s">
        <v>436</v>
      </c>
      <c r="Z875">
        <v>0</v>
      </c>
      <c r="AA875" t="s">
        <v>8372</v>
      </c>
      <c r="AB875" t="s">
        <v>144</v>
      </c>
      <c r="AC875">
        <v>13</v>
      </c>
      <c r="AD875">
        <v>4</v>
      </c>
      <c r="AE875">
        <v>83</v>
      </c>
      <c r="AF875">
        <v>-688.77</v>
      </c>
      <c r="AG875">
        <v>11.58</v>
      </c>
      <c r="AH875">
        <v>-7.47</v>
      </c>
      <c r="AI875">
        <v>0.76</v>
      </c>
      <c r="AJ875">
        <v>0.31</v>
      </c>
      <c r="AK875">
        <v>58</v>
      </c>
      <c r="AL875">
        <v>0</v>
      </c>
      <c r="AM875">
        <v>0</v>
      </c>
      <c r="AN875">
        <v>-3.44</v>
      </c>
      <c r="AO875">
        <v>4.4400000000000004</v>
      </c>
      <c r="AP875">
        <v>60</v>
      </c>
      <c r="AQ875">
        <v>1</v>
      </c>
      <c r="AR875">
        <v>3.12</v>
      </c>
      <c r="AS875">
        <v>69</v>
      </c>
      <c r="AT875">
        <v>1.68</v>
      </c>
      <c r="AU875">
        <v>63</v>
      </c>
      <c r="AV875">
        <v>0.21</v>
      </c>
      <c r="AW875">
        <v>85</v>
      </c>
      <c r="AX875">
        <v>8.8000000000000007</v>
      </c>
      <c r="AY875">
        <v>55</v>
      </c>
      <c r="AZ875">
        <v>6.79</v>
      </c>
      <c r="BA875">
        <v>42</v>
      </c>
      <c r="BB875">
        <v>5.0999999999999996</v>
      </c>
      <c r="BC875">
        <v>34</v>
      </c>
      <c r="BD875">
        <v>-0.08</v>
      </c>
      <c r="BE875">
        <v>-0.02</v>
      </c>
      <c r="BF875">
        <v>0.01</v>
      </c>
      <c r="BG875">
        <v>66</v>
      </c>
      <c r="BH875">
        <v>0.09</v>
      </c>
      <c r="BI875">
        <v>-3.42</v>
      </c>
      <c r="BJ875">
        <v>0</v>
      </c>
      <c r="BK875">
        <v>0</v>
      </c>
      <c r="BL875">
        <v>-0.9</v>
      </c>
      <c r="BM875">
        <v>-1.19</v>
      </c>
      <c r="BN875">
        <v>-0.25</v>
      </c>
      <c r="BO875">
        <v>0.89</v>
      </c>
      <c r="BP875">
        <v>0.01</v>
      </c>
      <c r="BQ875">
        <v>-3.51</v>
      </c>
      <c r="BR875">
        <v>1.48</v>
      </c>
      <c r="BS875">
        <v>4.25</v>
      </c>
      <c r="BT875">
        <v>-0.7</v>
      </c>
      <c r="BU875">
        <v>0.44</v>
      </c>
      <c r="BV875">
        <v>0.46</v>
      </c>
      <c r="BW875">
        <v>-0.64</v>
      </c>
      <c r="BX875">
        <v>-1.26</v>
      </c>
      <c r="BY875">
        <v>0.14000000000000001</v>
      </c>
      <c r="BZ875">
        <v>-0.19</v>
      </c>
      <c r="CA875">
        <v>1.35</v>
      </c>
      <c r="CB875">
        <v>0.4</v>
      </c>
      <c r="CC875">
        <v>2.65</v>
      </c>
      <c r="CD875">
        <v>-1.44</v>
      </c>
      <c r="CE875">
        <v>0.86</v>
      </c>
      <c r="CF875">
        <v>-0.91</v>
      </c>
      <c r="CG875">
        <v>0</v>
      </c>
      <c r="CH875">
        <v>-0.18</v>
      </c>
      <c r="CI875">
        <v>0</v>
      </c>
      <c r="CJ875">
        <v>-34.4</v>
      </c>
      <c r="CK875">
        <v>49</v>
      </c>
      <c r="CL875">
        <v>-1.05</v>
      </c>
      <c r="CM875">
        <v>46</v>
      </c>
      <c r="CN875">
        <v>-0.34</v>
      </c>
      <c r="CO875">
        <v>45</v>
      </c>
      <c r="CP875">
        <v>-50.5</v>
      </c>
      <c r="CQ875">
        <v>38</v>
      </c>
      <c r="CR875">
        <v>0</v>
      </c>
      <c r="CS875">
        <v>0</v>
      </c>
      <c r="CT875">
        <v>-78.599999999999994</v>
      </c>
      <c r="CU875">
        <v>36</v>
      </c>
      <c r="CV875">
        <v>-0.37</v>
      </c>
      <c r="CW875">
        <v>34</v>
      </c>
      <c r="CX875" t="s">
        <v>2252</v>
      </c>
    </row>
    <row r="876" spans="1:102" x14ac:dyDescent="0.3">
      <c r="A876" t="str">
        <f>HYPERLINK("https://webapp.icbf.com/v2/app/bull-search/view/1082329136","YLB")</f>
        <v>YLB</v>
      </c>
      <c r="B876" t="s">
        <v>10199</v>
      </c>
      <c r="C876" t="s">
        <v>10200</v>
      </c>
      <c r="D876" s="1">
        <v>41413</v>
      </c>
      <c r="E876" t="s">
        <v>92</v>
      </c>
      <c r="F876">
        <v>100</v>
      </c>
      <c r="G876" t="s">
        <v>93</v>
      </c>
      <c r="H876">
        <v>152.46</v>
      </c>
      <c r="I876">
        <v>83</v>
      </c>
      <c r="J876">
        <v>59.73</v>
      </c>
      <c r="K876">
        <v>95</v>
      </c>
      <c r="L876">
        <v>47.96</v>
      </c>
      <c r="M876">
        <v>76</v>
      </c>
      <c r="N876">
        <v>32.659999999999997</v>
      </c>
      <c r="O876">
        <v>82</v>
      </c>
      <c r="P876">
        <v>-4.82</v>
      </c>
      <c r="Q876">
        <v>89</v>
      </c>
      <c r="R876">
        <v>10.41</v>
      </c>
      <c r="S876">
        <v>73</v>
      </c>
      <c r="T876">
        <v>8.7200000000000006</v>
      </c>
      <c r="U876">
        <v>67</v>
      </c>
      <c r="V876">
        <v>-2.2000000000000002</v>
      </c>
      <c r="W876">
        <v>66</v>
      </c>
      <c r="X876" t="s">
        <v>102</v>
      </c>
      <c r="Y876" t="s">
        <v>389</v>
      </c>
      <c r="Z876" t="s">
        <v>96</v>
      </c>
      <c r="AA876" t="s">
        <v>2187</v>
      </c>
      <c r="AB876" t="s">
        <v>10201</v>
      </c>
      <c r="AC876">
        <v>75</v>
      </c>
      <c r="AD876">
        <v>42</v>
      </c>
      <c r="AE876">
        <v>95</v>
      </c>
      <c r="AF876">
        <v>279.68</v>
      </c>
      <c r="AG876">
        <v>10.88</v>
      </c>
      <c r="AH876">
        <v>10.59</v>
      </c>
      <c r="AI876">
        <v>0</v>
      </c>
      <c r="AJ876">
        <v>0.02</v>
      </c>
      <c r="AK876">
        <v>76</v>
      </c>
      <c r="AL876">
        <v>50</v>
      </c>
      <c r="AM876">
        <v>26</v>
      </c>
      <c r="AN876">
        <v>-1.41</v>
      </c>
      <c r="AO876">
        <v>2.4300000000000002</v>
      </c>
      <c r="AP876">
        <v>165</v>
      </c>
      <c r="AQ876">
        <v>0</v>
      </c>
      <c r="AR876">
        <v>7.5</v>
      </c>
      <c r="AS876">
        <v>71</v>
      </c>
      <c r="AT876">
        <v>2.84</v>
      </c>
      <c r="AU876">
        <v>86</v>
      </c>
      <c r="AV876">
        <v>-3.62</v>
      </c>
      <c r="AW876">
        <v>94</v>
      </c>
      <c r="AX876">
        <v>-0.54</v>
      </c>
      <c r="AY876">
        <v>84</v>
      </c>
      <c r="AZ876">
        <v>6.61</v>
      </c>
      <c r="BA876">
        <v>58</v>
      </c>
      <c r="BB876">
        <v>4.99</v>
      </c>
      <c r="BC876">
        <v>50</v>
      </c>
      <c r="BD876">
        <v>-0.02</v>
      </c>
      <c r="BE876">
        <v>-0.04</v>
      </c>
      <c r="BF876">
        <v>-0.13</v>
      </c>
      <c r="BG876">
        <v>86</v>
      </c>
      <c r="BH876">
        <v>-0.1</v>
      </c>
      <c r="BI876">
        <v>-4.46</v>
      </c>
      <c r="BJ876">
        <v>9</v>
      </c>
      <c r="BK876">
        <v>5</v>
      </c>
      <c r="BL876">
        <v>1.63</v>
      </c>
      <c r="BM876">
        <v>-0.4</v>
      </c>
      <c r="BN876">
        <v>0.65</v>
      </c>
      <c r="BO876">
        <v>1.0900000000000001</v>
      </c>
      <c r="BP876">
        <v>-1.36</v>
      </c>
      <c r="BQ876">
        <v>0.43</v>
      </c>
      <c r="BR876">
        <v>-1.25</v>
      </c>
      <c r="BS876">
        <v>2.35</v>
      </c>
      <c r="BT876">
        <v>1.1299999999999999</v>
      </c>
      <c r="BU876">
        <v>0.53</v>
      </c>
      <c r="BV876">
        <v>1.89</v>
      </c>
      <c r="BW876">
        <v>1.83</v>
      </c>
      <c r="BX876">
        <v>0.64</v>
      </c>
      <c r="BY876">
        <v>0.88</v>
      </c>
      <c r="BZ876">
        <v>0.28999999999999998</v>
      </c>
      <c r="CA876">
        <v>1.27</v>
      </c>
      <c r="CB876">
        <v>1.06</v>
      </c>
      <c r="CC876">
        <v>1.77</v>
      </c>
      <c r="CD876">
        <v>-0.85</v>
      </c>
      <c r="CE876">
        <v>1.01</v>
      </c>
      <c r="CF876">
        <v>1.06</v>
      </c>
      <c r="CG876">
        <v>0</v>
      </c>
      <c r="CH876">
        <v>0.21</v>
      </c>
      <c r="CI876">
        <v>0</v>
      </c>
      <c r="CJ876">
        <v>-0.3</v>
      </c>
      <c r="CK876">
        <v>92</v>
      </c>
      <c r="CL876">
        <v>-0.99</v>
      </c>
      <c r="CM876">
        <v>90</v>
      </c>
      <c r="CN876">
        <v>-0.5</v>
      </c>
      <c r="CO876">
        <v>89</v>
      </c>
      <c r="CP876">
        <v>-0.3</v>
      </c>
      <c r="CQ876">
        <v>71</v>
      </c>
      <c r="CR876">
        <v>0</v>
      </c>
      <c r="CS876">
        <v>0</v>
      </c>
      <c r="CT876">
        <v>2</v>
      </c>
      <c r="CU876">
        <v>67</v>
      </c>
      <c r="CV876">
        <v>0.27</v>
      </c>
      <c r="CW876">
        <v>44</v>
      </c>
      <c r="CX876" t="s">
        <v>1572</v>
      </c>
    </row>
    <row r="877" spans="1:102" x14ac:dyDescent="0.3">
      <c r="A877" t="str">
        <f>HYPERLINK("https://webapp.icbf.com/v2/app/bull-search/view/122403487","GPA")</f>
        <v>GPA</v>
      </c>
      <c r="B877" t="s">
        <v>8976</v>
      </c>
      <c r="C877" t="s">
        <v>8977</v>
      </c>
      <c r="D877" s="1">
        <v>34888</v>
      </c>
      <c r="E877" t="s">
        <v>227</v>
      </c>
      <c r="F877">
        <v>0</v>
      </c>
      <c r="G877" t="s">
        <v>109</v>
      </c>
      <c r="H877">
        <v>152.44999999999999</v>
      </c>
      <c r="I877">
        <v>80</v>
      </c>
      <c r="J877">
        <v>61.83</v>
      </c>
      <c r="K877">
        <v>93</v>
      </c>
      <c r="L877">
        <v>37.46</v>
      </c>
      <c r="M877">
        <v>86</v>
      </c>
      <c r="N877">
        <v>31.86</v>
      </c>
      <c r="O877">
        <v>59</v>
      </c>
      <c r="P877">
        <v>-47.51</v>
      </c>
      <c r="Q877">
        <v>60</v>
      </c>
      <c r="R877">
        <v>2.71</v>
      </c>
      <c r="S877">
        <v>68</v>
      </c>
      <c r="T877">
        <v>57.86</v>
      </c>
      <c r="U877">
        <v>60</v>
      </c>
      <c r="V877">
        <v>8.24</v>
      </c>
      <c r="W877">
        <v>66</v>
      </c>
      <c r="X877" t="s">
        <v>4976</v>
      </c>
      <c r="Y877" t="s">
        <v>95</v>
      </c>
      <c r="Z877">
        <v>0</v>
      </c>
      <c r="AA877" t="s">
        <v>514</v>
      </c>
      <c r="AB877" t="s">
        <v>8978</v>
      </c>
      <c r="AC877">
        <v>0</v>
      </c>
      <c r="AD877">
        <v>0</v>
      </c>
      <c r="AE877">
        <v>93</v>
      </c>
      <c r="AF877">
        <v>-538.02</v>
      </c>
      <c r="AG877">
        <v>14.36</v>
      </c>
      <c r="AH877">
        <v>-2.8</v>
      </c>
      <c r="AI877">
        <v>0.68</v>
      </c>
      <c r="AJ877">
        <v>0.3</v>
      </c>
      <c r="AK877">
        <v>86</v>
      </c>
      <c r="AL877">
        <v>0</v>
      </c>
      <c r="AM877">
        <v>0</v>
      </c>
      <c r="AN877">
        <v>-1.06</v>
      </c>
      <c r="AO877">
        <v>1.94</v>
      </c>
      <c r="AP877">
        <v>9</v>
      </c>
      <c r="AQ877">
        <v>0</v>
      </c>
      <c r="AR877">
        <v>2.09</v>
      </c>
      <c r="AS877">
        <v>57</v>
      </c>
      <c r="AT877">
        <v>0.98</v>
      </c>
      <c r="AU877">
        <v>63</v>
      </c>
      <c r="AV877">
        <v>-1.1200000000000001</v>
      </c>
      <c r="AW877">
        <v>60</v>
      </c>
      <c r="AX877">
        <v>-0.04</v>
      </c>
      <c r="AY877">
        <v>55</v>
      </c>
      <c r="AZ877">
        <v>6.83</v>
      </c>
      <c r="BA877">
        <v>49</v>
      </c>
      <c r="BB877">
        <v>5.0999999999999996</v>
      </c>
      <c r="BC877">
        <v>51</v>
      </c>
      <c r="BD877">
        <v>-0.08</v>
      </c>
      <c r="BE877">
        <v>-0.01</v>
      </c>
      <c r="BF877">
        <v>0.09</v>
      </c>
      <c r="BG877">
        <v>74</v>
      </c>
      <c r="BH877">
        <v>0.17</v>
      </c>
      <c r="BI877">
        <v>-6.9</v>
      </c>
      <c r="BJ877">
        <v>0</v>
      </c>
      <c r="BK877">
        <v>0</v>
      </c>
      <c r="BL877">
        <v>-3.09</v>
      </c>
      <c r="BM877">
        <v>-1.77</v>
      </c>
      <c r="BN877">
        <v>-0.89</v>
      </c>
      <c r="BO877">
        <v>0.88</v>
      </c>
      <c r="BP877">
        <v>-0.55000000000000004</v>
      </c>
      <c r="BQ877">
        <v>-6.32</v>
      </c>
      <c r="BR877">
        <v>2.4900000000000002</v>
      </c>
      <c r="BS877">
        <v>5.82</v>
      </c>
      <c r="BT877">
        <v>-1.75</v>
      </c>
      <c r="BU877">
        <v>-1.71</v>
      </c>
      <c r="BV877">
        <v>-0.86</v>
      </c>
      <c r="BW877">
        <v>-2.8</v>
      </c>
      <c r="BX877">
        <v>-5.19</v>
      </c>
      <c r="BY877">
        <v>-0.6</v>
      </c>
      <c r="BZ877">
        <v>-0.32</v>
      </c>
      <c r="CA877">
        <v>0.48</v>
      </c>
      <c r="CB877">
        <v>-1.03</v>
      </c>
      <c r="CC877">
        <v>3.41</v>
      </c>
      <c r="CD877">
        <v>-1.63</v>
      </c>
      <c r="CE877">
        <v>0.59</v>
      </c>
      <c r="CF877">
        <v>-3.49</v>
      </c>
      <c r="CG877">
        <v>0</v>
      </c>
      <c r="CH877">
        <v>-1.23</v>
      </c>
      <c r="CI877">
        <v>0</v>
      </c>
      <c r="CJ877">
        <v>-21.7</v>
      </c>
      <c r="CK877">
        <v>62</v>
      </c>
      <c r="CL877">
        <v>-1.02</v>
      </c>
      <c r="CM877">
        <v>58</v>
      </c>
      <c r="CN877">
        <v>0.08</v>
      </c>
      <c r="CO877">
        <v>55</v>
      </c>
      <c r="CP877">
        <v>-40.700000000000003</v>
      </c>
      <c r="CQ877">
        <v>63</v>
      </c>
      <c r="CR877">
        <v>0</v>
      </c>
      <c r="CS877">
        <v>0</v>
      </c>
      <c r="CT877">
        <v>-64.400000000000006</v>
      </c>
      <c r="CU877">
        <v>60</v>
      </c>
      <c r="CV877">
        <v>-0.12</v>
      </c>
      <c r="CW877">
        <v>37</v>
      </c>
      <c r="CX877" t="s">
        <v>8979</v>
      </c>
    </row>
    <row r="878" spans="1:102" x14ac:dyDescent="0.3">
      <c r="A878" t="str">
        <f>HYPERLINK("https://webapp.icbf.com/v2/app/bull-search/view/1495300571","S3223")</f>
        <v>S3223</v>
      </c>
      <c r="B878" t="s">
        <v>14581</v>
      </c>
      <c r="C878" t="s">
        <v>14582</v>
      </c>
      <c r="D878" s="1">
        <v>42380</v>
      </c>
      <c r="E878" t="s">
        <v>92</v>
      </c>
      <c r="F878">
        <v>100</v>
      </c>
      <c r="G878" t="s">
        <v>435</v>
      </c>
      <c r="H878">
        <v>152.36000000000001</v>
      </c>
      <c r="I878">
        <v>65</v>
      </c>
      <c r="J878">
        <v>99.42</v>
      </c>
      <c r="K878">
        <v>87</v>
      </c>
      <c r="L878">
        <v>-12.27</v>
      </c>
      <c r="M878">
        <v>64</v>
      </c>
      <c r="N878">
        <v>47.81</v>
      </c>
      <c r="O878">
        <v>50</v>
      </c>
      <c r="P878">
        <v>-17.89</v>
      </c>
      <c r="Q878">
        <v>35</v>
      </c>
      <c r="R878">
        <v>30.5</v>
      </c>
      <c r="S878">
        <v>60</v>
      </c>
      <c r="T878">
        <v>0.95</v>
      </c>
      <c r="U878">
        <v>34</v>
      </c>
      <c r="V878">
        <v>3.84</v>
      </c>
      <c r="W878">
        <v>52</v>
      </c>
      <c r="X878" t="s">
        <v>110</v>
      </c>
      <c r="Y878" t="s">
        <v>453</v>
      </c>
      <c r="Z878" t="s">
        <v>96</v>
      </c>
      <c r="AA878" t="s">
        <v>14567</v>
      </c>
      <c r="AB878" t="s">
        <v>14568</v>
      </c>
      <c r="AC878">
        <v>0</v>
      </c>
      <c r="AD878">
        <v>0</v>
      </c>
      <c r="AE878">
        <v>87</v>
      </c>
      <c r="AF878">
        <v>498.19</v>
      </c>
      <c r="AG878">
        <v>22.26</v>
      </c>
      <c r="AH878">
        <v>16.66</v>
      </c>
      <c r="AI878">
        <v>0.04</v>
      </c>
      <c r="AJ878">
        <v>0</v>
      </c>
      <c r="AK878">
        <v>64</v>
      </c>
      <c r="AL878">
        <v>0</v>
      </c>
      <c r="AM878">
        <v>0</v>
      </c>
      <c r="AN878">
        <v>1.32</v>
      </c>
      <c r="AO878">
        <v>0.35</v>
      </c>
      <c r="AP878">
        <v>3</v>
      </c>
      <c r="AQ878">
        <v>0</v>
      </c>
      <c r="AR878">
        <v>4.78</v>
      </c>
      <c r="AS878">
        <v>45</v>
      </c>
      <c r="AT878">
        <v>1.82</v>
      </c>
      <c r="AU878">
        <v>90</v>
      </c>
      <c r="AV878">
        <v>-4.13</v>
      </c>
      <c r="AW878">
        <v>36</v>
      </c>
      <c r="AX878">
        <v>0.26</v>
      </c>
      <c r="AY878">
        <v>42</v>
      </c>
      <c r="AZ878">
        <v>6.42</v>
      </c>
      <c r="BA878">
        <v>32</v>
      </c>
      <c r="BB878">
        <v>5.04</v>
      </c>
      <c r="BC878">
        <v>33</v>
      </c>
      <c r="BD878">
        <v>-0.11</v>
      </c>
      <c r="BE878">
        <v>-0.12</v>
      </c>
      <c r="BF878">
        <v>-0.28999999999999998</v>
      </c>
      <c r="BG878">
        <v>72</v>
      </c>
      <c r="BH878">
        <v>0.09</v>
      </c>
      <c r="BI878">
        <v>-1.96</v>
      </c>
      <c r="BJ878">
        <v>0</v>
      </c>
      <c r="BK878">
        <v>0</v>
      </c>
      <c r="BL878">
        <v>1.88</v>
      </c>
      <c r="BM878">
        <v>-0.78</v>
      </c>
      <c r="BN878">
        <v>-0.45</v>
      </c>
      <c r="BO878">
        <v>0.92</v>
      </c>
      <c r="BP878">
        <v>4.26</v>
      </c>
      <c r="BQ878">
        <v>0.23</v>
      </c>
      <c r="BR878">
        <v>-0.12</v>
      </c>
      <c r="BS878">
        <v>1.77</v>
      </c>
      <c r="BT878">
        <v>0.99</v>
      </c>
      <c r="BU878">
        <v>2.44</v>
      </c>
      <c r="BV878">
        <v>1.94</v>
      </c>
      <c r="BW878">
        <v>1.3</v>
      </c>
      <c r="BX878">
        <v>2.04</v>
      </c>
      <c r="BY878">
        <v>1.85</v>
      </c>
      <c r="BZ878">
        <v>-0.13</v>
      </c>
      <c r="CA878">
        <v>2.64</v>
      </c>
      <c r="CB878">
        <v>2.3199999999999998</v>
      </c>
      <c r="CC878">
        <v>1.01</v>
      </c>
      <c r="CD878">
        <v>-0.93</v>
      </c>
      <c r="CE878">
        <v>1</v>
      </c>
      <c r="CF878">
        <v>0.24</v>
      </c>
      <c r="CG878">
        <v>0</v>
      </c>
      <c r="CH878">
        <v>1.96</v>
      </c>
      <c r="CI878">
        <v>0</v>
      </c>
      <c r="CJ878">
        <v>-7.6</v>
      </c>
      <c r="CK878">
        <v>35</v>
      </c>
      <c r="CL878">
        <v>-1.57</v>
      </c>
      <c r="CM878">
        <v>35</v>
      </c>
      <c r="CN878">
        <v>-0.7</v>
      </c>
      <c r="CO878">
        <v>35</v>
      </c>
      <c r="CP878">
        <v>4</v>
      </c>
      <c r="CQ878">
        <v>34</v>
      </c>
      <c r="CR878">
        <v>0</v>
      </c>
      <c r="CS878">
        <v>0</v>
      </c>
      <c r="CT878">
        <v>12.5</v>
      </c>
      <c r="CU878">
        <v>34</v>
      </c>
      <c r="CV878">
        <v>0.27</v>
      </c>
      <c r="CW878">
        <v>32</v>
      </c>
      <c r="CX878" t="s">
        <v>5907</v>
      </c>
    </row>
    <row r="879" spans="1:102" x14ac:dyDescent="0.3">
      <c r="A879" t="str">
        <f>HYPERLINK("https://webapp.icbf.com/v2/app/bull-search/view/669041786","F231")</f>
        <v>F231</v>
      </c>
      <c r="B879" t="s">
        <v>7734</v>
      </c>
      <c r="C879" t="s">
        <v>7735</v>
      </c>
      <c r="D879" s="1">
        <v>39853</v>
      </c>
      <c r="E879" t="s">
        <v>108</v>
      </c>
      <c r="F879">
        <v>6</v>
      </c>
      <c r="G879" t="s">
        <v>93</v>
      </c>
      <c r="H879">
        <v>152.22999999999999</v>
      </c>
      <c r="I879">
        <v>84</v>
      </c>
      <c r="J879">
        <v>-8.8800000000000008</v>
      </c>
      <c r="K879">
        <v>95</v>
      </c>
      <c r="L879">
        <v>114.03</v>
      </c>
      <c r="M879">
        <v>76</v>
      </c>
      <c r="N879">
        <v>27.94</v>
      </c>
      <c r="O879">
        <v>85</v>
      </c>
      <c r="P879">
        <v>-14.69</v>
      </c>
      <c r="Q879">
        <v>89</v>
      </c>
      <c r="R879">
        <v>14.87</v>
      </c>
      <c r="S879">
        <v>75</v>
      </c>
      <c r="T879">
        <v>16.71</v>
      </c>
      <c r="U879">
        <v>79</v>
      </c>
      <c r="V879">
        <v>2.25</v>
      </c>
      <c r="W879">
        <v>64</v>
      </c>
      <c r="X879" t="s">
        <v>110</v>
      </c>
      <c r="Y879" t="s">
        <v>7736</v>
      </c>
      <c r="Z879" t="s">
        <v>96</v>
      </c>
      <c r="AA879" t="s">
        <v>1543</v>
      </c>
      <c r="AB879" t="s">
        <v>7737</v>
      </c>
      <c r="AC879">
        <v>59</v>
      </c>
      <c r="AD879">
        <v>4</v>
      </c>
      <c r="AE879">
        <v>95</v>
      </c>
      <c r="AF879">
        <v>-289.56</v>
      </c>
      <c r="AG879">
        <v>8.39</v>
      </c>
      <c r="AH879">
        <v>-8.91</v>
      </c>
      <c r="AI879">
        <v>0.36</v>
      </c>
      <c r="AJ879">
        <v>0.02</v>
      </c>
      <c r="AK879">
        <v>76</v>
      </c>
      <c r="AL879">
        <v>58</v>
      </c>
      <c r="AM879">
        <v>6</v>
      </c>
      <c r="AN879">
        <v>-6.52</v>
      </c>
      <c r="AO879">
        <v>2.57</v>
      </c>
      <c r="AP879">
        <v>86</v>
      </c>
      <c r="AQ879">
        <v>0</v>
      </c>
      <c r="AR879">
        <v>7.46</v>
      </c>
      <c r="AS879">
        <v>82</v>
      </c>
      <c r="AT879">
        <v>2.21</v>
      </c>
      <c r="AU879">
        <v>84</v>
      </c>
      <c r="AV879">
        <v>-4.0199999999999996</v>
      </c>
      <c r="AW879">
        <v>95</v>
      </c>
      <c r="AX879">
        <v>1.86</v>
      </c>
      <c r="AY879">
        <v>82</v>
      </c>
      <c r="AZ879">
        <v>7.59</v>
      </c>
      <c r="BA879">
        <v>69</v>
      </c>
      <c r="BB879">
        <v>5.95</v>
      </c>
      <c r="BC879">
        <v>61</v>
      </c>
      <c r="BD879">
        <v>-0.03</v>
      </c>
      <c r="BE879">
        <v>-0.08</v>
      </c>
      <c r="BF879">
        <v>-0.14000000000000001</v>
      </c>
      <c r="BG879">
        <v>86</v>
      </c>
      <c r="BH879">
        <v>0.02</v>
      </c>
      <c r="BI879">
        <v>-4.95</v>
      </c>
      <c r="BJ879">
        <v>32</v>
      </c>
      <c r="BK879">
        <v>3</v>
      </c>
      <c r="BL879">
        <v>-2.29</v>
      </c>
      <c r="BM879">
        <v>1.84</v>
      </c>
      <c r="BN879">
        <v>-0.91</v>
      </c>
      <c r="BO879">
        <v>-2.0499999999999998</v>
      </c>
      <c r="BP879">
        <v>-1.6</v>
      </c>
      <c r="BQ879">
        <v>2.9</v>
      </c>
      <c r="BR879">
        <v>-2.11</v>
      </c>
      <c r="BS879">
        <v>0.92</v>
      </c>
      <c r="BT879">
        <v>2.34</v>
      </c>
      <c r="BU879">
        <v>-0.37</v>
      </c>
      <c r="BV879">
        <v>-1.36</v>
      </c>
      <c r="BW879">
        <v>-0.06</v>
      </c>
      <c r="BX879">
        <v>-0.19</v>
      </c>
      <c r="BY879">
        <v>-0.65</v>
      </c>
      <c r="BZ879">
        <v>-2.39</v>
      </c>
      <c r="CA879">
        <v>-1.19</v>
      </c>
      <c r="CB879">
        <v>-1.01</v>
      </c>
      <c r="CC879">
        <v>-0.99</v>
      </c>
      <c r="CD879">
        <v>2.4900000000000002</v>
      </c>
      <c r="CE879">
        <v>-2.09</v>
      </c>
      <c r="CF879">
        <v>-1.86</v>
      </c>
      <c r="CG879">
        <v>0</v>
      </c>
      <c r="CH879">
        <v>-0.31</v>
      </c>
      <c r="CI879">
        <v>0</v>
      </c>
      <c r="CJ879">
        <v>-8.1</v>
      </c>
      <c r="CK879">
        <v>91</v>
      </c>
      <c r="CL879">
        <v>-0.31</v>
      </c>
      <c r="CM879">
        <v>89</v>
      </c>
      <c r="CN879">
        <v>-0.08</v>
      </c>
      <c r="CO879">
        <v>88</v>
      </c>
      <c r="CP879">
        <v>-8.3000000000000007</v>
      </c>
      <c r="CQ879">
        <v>80</v>
      </c>
      <c r="CR879">
        <v>0</v>
      </c>
      <c r="CS879">
        <v>0</v>
      </c>
      <c r="CT879">
        <v>-8.8000000000000007</v>
      </c>
      <c r="CU879">
        <v>79</v>
      </c>
      <c r="CV879">
        <v>-0.02</v>
      </c>
      <c r="CW879">
        <v>45</v>
      </c>
      <c r="CX879" t="s">
        <v>262</v>
      </c>
    </row>
    <row r="880" spans="1:102" x14ac:dyDescent="0.3">
      <c r="A880" t="str">
        <f>HYPERLINK("https://webapp.icbf.com/v2/app/bull-search/view/446690331","EZT")</f>
        <v>EZT</v>
      </c>
      <c r="B880" t="s">
        <v>12546</v>
      </c>
      <c r="C880" t="s">
        <v>12547</v>
      </c>
      <c r="D880" s="1">
        <v>38762</v>
      </c>
      <c r="E880" t="s">
        <v>92</v>
      </c>
      <c r="F880">
        <v>47</v>
      </c>
      <c r="G880" t="s">
        <v>93</v>
      </c>
      <c r="H880">
        <v>152.07</v>
      </c>
      <c r="I880">
        <v>88</v>
      </c>
      <c r="J880">
        <v>11.01</v>
      </c>
      <c r="K880">
        <v>97</v>
      </c>
      <c r="L880">
        <v>85.79</v>
      </c>
      <c r="M880">
        <v>78</v>
      </c>
      <c r="N880">
        <v>32.04</v>
      </c>
      <c r="O880">
        <v>87</v>
      </c>
      <c r="P880">
        <v>-28.81</v>
      </c>
      <c r="Q880">
        <v>93</v>
      </c>
      <c r="R880">
        <v>9.06</v>
      </c>
      <c r="S880">
        <v>83</v>
      </c>
      <c r="T880">
        <v>40.39</v>
      </c>
      <c r="U880">
        <v>91</v>
      </c>
      <c r="V880">
        <v>2.59</v>
      </c>
      <c r="W880">
        <v>86</v>
      </c>
      <c r="X880" t="s">
        <v>94</v>
      </c>
      <c r="Y880" t="s">
        <v>1251</v>
      </c>
      <c r="Z880" t="s">
        <v>96</v>
      </c>
      <c r="AA880" t="s">
        <v>8615</v>
      </c>
      <c r="AB880" t="s">
        <v>12548</v>
      </c>
      <c r="AC880">
        <v>97</v>
      </c>
      <c r="AD880">
        <v>76</v>
      </c>
      <c r="AE880">
        <v>97</v>
      </c>
      <c r="AF880">
        <v>-113.58</v>
      </c>
      <c r="AG880">
        <v>3.32</v>
      </c>
      <c r="AH880">
        <v>-1.04</v>
      </c>
      <c r="AI880">
        <v>0.14000000000000001</v>
      </c>
      <c r="AJ880">
        <v>0.05</v>
      </c>
      <c r="AK880">
        <v>78</v>
      </c>
      <c r="AL880">
        <v>100</v>
      </c>
      <c r="AM880">
        <v>72</v>
      </c>
      <c r="AN880">
        <v>-4.05</v>
      </c>
      <c r="AO880">
        <v>2.8</v>
      </c>
      <c r="AP880">
        <v>235</v>
      </c>
      <c r="AQ880">
        <v>4</v>
      </c>
      <c r="AR880">
        <v>5.21</v>
      </c>
      <c r="AS880">
        <v>72</v>
      </c>
      <c r="AT880">
        <v>1.92</v>
      </c>
      <c r="AU880">
        <v>89</v>
      </c>
      <c r="AV880">
        <v>-2.09</v>
      </c>
      <c r="AW880">
        <v>97</v>
      </c>
      <c r="AX880">
        <v>-0.81</v>
      </c>
      <c r="AY880">
        <v>84</v>
      </c>
      <c r="AZ880">
        <v>6.68</v>
      </c>
      <c r="BA880">
        <v>68</v>
      </c>
      <c r="BB880">
        <v>5.15</v>
      </c>
      <c r="BC880">
        <v>69</v>
      </c>
      <c r="BD880">
        <v>-0.05</v>
      </c>
      <c r="BE880">
        <v>-0.05</v>
      </c>
      <c r="BF880">
        <v>-0.03</v>
      </c>
      <c r="BG880">
        <v>89</v>
      </c>
      <c r="BH880">
        <v>0</v>
      </c>
      <c r="BI880">
        <v>-8.35</v>
      </c>
      <c r="BJ880">
        <v>29</v>
      </c>
      <c r="BK880">
        <v>23</v>
      </c>
      <c r="BL880">
        <v>-0.38</v>
      </c>
      <c r="BM880">
        <v>-0.21</v>
      </c>
      <c r="BN880">
        <v>-0.49</v>
      </c>
      <c r="BO880">
        <v>-0.32</v>
      </c>
      <c r="BP880">
        <v>-0.18</v>
      </c>
      <c r="BQ880">
        <v>-2.36</v>
      </c>
      <c r="BR880">
        <v>7.0000000000000007E-2</v>
      </c>
      <c r="BS880">
        <v>-0.77</v>
      </c>
      <c r="BT880">
        <v>0.61</v>
      </c>
      <c r="BU880">
        <v>0.11</v>
      </c>
      <c r="BV880">
        <v>-0.18</v>
      </c>
      <c r="BW880">
        <v>-1.1299999999999999</v>
      </c>
      <c r="BX880">
        <v>0.32</v>
      </c>
      <c r="BY880">
        <v>0.25</v>
      </c>
      <c r="BZ880">
        <v>-1.75</v>
      </c>
      <c r="CA880">
        <v>0.06</v>
      </c>
      <c r="CB880">
        <v>-0.22</v>
      </c>
      <c r="CC880">
        <v>0.44</v>
      </c>
      <c r="CD880">
        <v>-0.09</v>
      </c>
      <c r="CE880">
        <v>-0.51</v>
      </c>
      <c r="CF880">
        <v>-0.55000000000000004</v>
      </c>
      <c r="CG880">
        <v>0</v>
      </c>
      <c r="CH880">
        <v>-0.76</v>
      </c>
      <c r="CI880">
        <v>0</v>
      </c>
      <c r="CJ880">
        <v>-13.3</v>
      </c>
      <c r="CK880">
        <v>94</v>
      </c>
      <c r="CL880">
        <v>-0.9</v>
      </c>
      <c r="CM880">
        <v>92</v>
      </c>
      <c r="CN880">
        <v>-0.25</v>
      </c>
      <c r="CO880">
        <v>91</v>
      </c>
      <c r="CP880">
        <v>-27.3</v>
      </c>
      <c r="CQ880">
        <v>89</v>
      </c>
      <c r="CR880">
        <v>0</v>
      </c>
      <c r="CS880">
        <v>0</v>
      </c>
      <c r="CT880">
        <v>-40.799999999999997</v>
      </c>
      <c r="CU880">
        <v>91</v>
      </c>
      <c r="CV880">
        <v>-0.01</v>
      </c>
      <c r="CW880">
        <v>45</v>
      </c>
      <c r="CX880" t="s">
        <v>1390</v>
      </c>
    </row>
    <row r="881" spans="1:102" x14ac:dyDescent="0.3">
      <c r="A881" t="str">
        <f>HYPERLINK("https://webapp.icbf.com/v2/app/bull-search/view/547748160","IER")</f>
        <v>IER</v>
      </c>
      <c r="B881" t="s">
        <v>11737</v>
      </c>
      <c r="C881" t="s">
        <v>11738</v>
      </c>
      <c r="D881" s="1">
        <v>37148</v>
      </c>
      <c r="E881" t="s">
        <v>395</v>
      </c>
      <c r="F881">
        <v>9</v>
      </c>
      <c r="G881" t="s">
        <v>93</v>
      </c>
      <c r="H881">
        <v>151.94999999999999</v>
      </c>
      <c r="I881">
        <v>85</v>
      </c>
      <c r="J881">
        <v>42.33</v>
      </c>
      <c r="K881">
        <v>94</v>
      </c>
      <c r="L881">
        <v>62.43</v>
      </c>
      <c r="M881">
        <v>81</v>
      </c>
      <c r="N881">
        <v>31.36</v>
      </c>
      <c r="O881">
        <v>79</v>
      </c>
      <c r="P881">
        <v>-6.19</v>
      </c>
      <c r="Q881">
        <v>88</v>
      </c>
      <c r="R881">
        <v>9.93</v>
      </c>
      <c r="S881">
        <v>69</v>
      </c>
      <c r="T881">
        <v>15.82</v>
      </c>
      <c r="U881">
        <v>81</v>
      </c>
      <c r="V881">
        <v>-3.73</v>
      </c>
      <c r="W881">
        <v>74</v>
      </c>
      <c r="X881" t="s">
        <v>94</v>
      </c>
      <c r="Y881" t="s">
        <v>270</v>
      </c>
      <c r="Z881">
        <v>0</v>
      </c>
      <c r="AA881" t="s">
        <v>11739</v>
      </c>
      <c r="AB881" t="s">
        <v>11740</v>
      </c>
      <c r="AC881">
        <v>69</v>
      </c>
      <c r="AD881">
        <v>35</v>
      </c>
      <c r="AE881">
        <v>94</v>
      </c>
      <c r="AF881">
        <v>-109.86</v>
      </c>
      <c r="AG881">
        <v>7.26</v>
      </c>
      <c r="AH881">
        <v>2.95</v>
      </c>
      <c r="AI881">
        <v>0.19</v>
      </c>
      <c r="AJ881">
        <v>0.11</v>
      </c>
      <c r="AK881">
        <v>81</v>
      </c>
      <c r="AL881">
        <v>79</v>
      </c>
      <c r="AM881">
        <v>44</v>
      </c>
      <c r="AN881">
        <v>-1.76</v>
      </c>
      <c r="AO881">
        <v>3.24</v>
      </c>
      <c r="AP881">
        <v>80</v>
      </c>
      <c r="AQ881">
        <v>2</v>
      </c>
      <c r="AR881">
        <v>5.92</v>
      </c>
      <c r="AS881">
        <v>47</v>
      </c>
      <c r="AT881">
        <v>2.56</v>
      </c>
      <c r="AU881">
        <v>85</v>
      </c>
      <c r="AV881">
        <v>-1.69</v>
      </c>
      <c r="AW881">
        <v>94</v>
      </c>
      <c r="AX881">
        <v>-1.03</v>
      </c>
      <c r="AY881">
        <v>73</v>
      </c>
      <c r="AZ881">
        <v>4.76</v>
      </c>
      <c r="BA881">
        <v>46</v>
      </c>
      <c r="BB881">
        <v>4.04</v>
      </c>
      <c r="BC881">
        <v>51</v>
      </c>
      <c r="BD881">
        <v>-0.05</v>
      </c>
      <c r="BE881">
        <v>-0.05</v>
      </c>
      <c r="BF881">
        <v>-0.05</v>
      </c>
      <c r="BG881">
        <v>79</v>
      </c>
      <c r="BH881">
        <v>-0.11</v>
      </c>
      <c r="BI881">
        <v>-0.7</v>
      </c>
      <c r="BJ881">
        <v>11</v>
      </c>
      <c r="BK881">
        <v>4</v>
      </c>
      <c r="BL881">
        <v>-1.98</v>
      </c>
      <c r="BM881">
        <v>0.34</v>
      </c>
      <c r="BN881">
        <v>-1.31</v>
      </c>
      <c r="BO881">
        <v>-1.31</v>
      </c>
      <c r="BP881">
        <v>1.96</v>
      </c>
      <c r="BQ881">
        <v>-1.68</v>
      </c>
      <c r="BR881">
        <v>-0.91</v>
      </c>
      <c r="BS881">
        <v>1.53</v>
      </c>
      <c r="BT881">
        <v>0.55000000000000004</v>
      </c>
      <c r="BU881">
        <v>-1.06</v>
      </c>
      <c r="BV881">
        <v>-1.79</v>
      </c>
      <c r="BW881">
        <v>-1.77</v>
      </c>
      <c r="BX881">
        <v>-1.56</v>
      </c>
      <c r="BY881">
        <v>-1.07</v>
      </c>
      <c r="BZ881">
        <v>-1.01</v>
      </c>
      <c r="CA881">
        <v>-0.89</v>
      </c>
      <c r="CB881">
        <v>-1.17</v>
      </c>
      <c r="CC881">
        <v>0.01</v>
      </c>
      <c r="CD881">
        <v>0.95</v>
      </c>
      <c r="CE881">
        <v>-1.32</v>
      </c>
      <c r="CF881">
        <v>-2.36</v>
      </c>
      <c r="CG881">
        <v>0</v>
      </c>
      <c r="CH881">
        <v>-1.1299999999999999</v>
      </c>
      <c r="CI881">
        <v>0</v>
      </c>
      <c r="CJ881">
        <v>-2.2000000000000002</v>
      </c>
      <c r="CK881">
        <v>89</v>
      </c>
      <c r="CL881">
        <v>-0.23</v>
      </c>
      <c r="CM881">
        <v>87</v>
      </c>
      <c r="CN881">
        <v>-0.09</v>
      </c>
      <c r="CO881">
        <v>85</v>
      </c>
      <c r="CP881">
        <v>-12.2</v>
      </c>
      <c r="CQ881">
        <v>85</v>
      </c>
      <c r="CR881">
        <v>0</v>
      </c>
      <c r="CS881">
        <v>0</v>
      </c>
      <c r="CT881">
        <v>-7.6</v>
      </c>
      <c r="CU881">
        <v>81</v>
      </c>
      <c r="CV881">
        <v>-0.05</v>
      </c>
      <c r="CW881">
        <v>25</v>
      </c>
      <c r="CX881" t="s">
        <v>11741</v>
      </c>
    </row>
    <row r="882" spans="1:102" x14ac:dyDescent="0.3">
      <c r="A882" t="str">
        <f>HYPERLINK("https://webapp.icbf.com/v2/app/bull-search/view/1276121942","FR4505")</f>
        <v>FR4505</v>
      </c>
      <c r="B882" t="s">
        <v>13724</v>
      </c>
      <c r="C882" t="s">
        <v>13725</v>
      </c>
      <c r="D882" s="1">
        <v>41498</v>
      </c>
      <c r="E882" t="s">
        <v>92</v>
      </c>
      <c r="F882">
        <v>100</v>
      </c>
      <c r="G882" t="s">
        <v>109</v>
      </c>
      <c r="H882">
        <v>151.80000000000001</v>
      </c>
      <c r="I882">
        <v>69</v>
      </c>
      <c r="J882">
        <v>97.24</v>
      </c>
      <c r="K882">
        <v>88</v>
      </c>
      <c r="L882">
        <v>19.309999999999999</v>
      </c>
      <c r="M882">
        <v>66</v>
      </c>
      <c r="N882">
        <v>42.01</v>
      </c>
      <c r="O882">
        <v>69</v>
      </c>
      <c r="P882">
        <v>-20.9</v>
      </c>
      <c r="Q882">
        <v>44</v>
      </c>
      <c r="R882">
        <v>-6.5</v>
      </c>
      <c r="S882">
        <v>64</v>
      </c>
      <c r="T882">
        <v>14.86</v>
      </c>
      <c r="U882">
        <v>44</v>
      </c>
      <c r="V882">
        <v>5.78</v>
      </c>
      <c r="W882">
        <v>51</v>
      </c>
      <c r="X882" t="s">
        <v>276</v>
      </c>
      <c r="Y882" t="s">
        <v>442</v>
      </c>
      <c r="Z882" t="s">
        <v>330</v>
      </c>
      <c r="AA882" t="s">
        <v>5635</v>
      </c>
      <c r="AB882" t="s">
        <v>13726</v>
      </c>
      <c r="AC882">
        <v>0</v>
      </c>
      <c r="AD882">
        <v>0</v>
      </c>
      <c r="AE882">
        <v>88</v>
      </c>
      <c r="AF882">
        <v>55.97</v>
      </c>
      <c r="AG882">
        <v>16.66</v>
      </c>
      <c r="AH882">
        <v>11.5</v>
      </c>
      <c r="AI882">
        <v>0.24</v>
      </c>
      <c r="AJ882">
        <v>0.17</v>
      </c>
      <c r="AK882">
        <v>66</v>
      </c>
      <c r="AL882">
        <v>0</v>
      </c>
      <c r="AM882">
        <v>0</v>
      </c>
      <c r="AN882">
        <v>-0.26</v>
      </c>
      <c r="AO882">
        <v>1.29</v>
      </c>
      <c r="AP882">
        <v>57</v>
      </c>
      <c r="AQ882">
        <v>0</v>
      </c>
      <c r="AR882">
        <v>4.87</v>
      </c>
      <c r="AS882">
        <v>47</v>
      </c>
      <c r="AT882">
        <v>1.95</v>
      </c>
      <c r="AU882">
        <v>73</v>
      </c>
      <c r="AV882">
        <v>-3.71</v>
      </c>
      <c r="AW882">
        <v>86</v>
      </c>
      <c r="AX882">
        <v>-0.27</v>
      </c>
      <c r="AY882">
        <v>57</v>
      </c>
      <c r="AZ882">
        <v>6.58</v>
      </c>
      <c r="BA882">
        <v>37</v>
      </c>
      <c r="BB882">
        <v>5.55</v>
      </c>
      <c r="BC882">
        <v>36</v>
      </c>
      <c r="BD882">
        <v>-0.01</v>
      </c>
      <c r="BE882">
        <v>0.04</v>
      </c>
      <c r="BF882">
        <v>0.09</v>
      </c>
      <c r="BG882">
        <v>81</v>
      </c>
      <c r="BH882">
        <v>0.11</v>
      </c>
      <c r="BI882">
        <v>-5.92</v>
      </c>
      <c r="BJ882">
        <v>0</v>
      </c>
      <c r="BK882">
        <v>0</v>
      </c>
      <c r="BL882">
        <v>-0.24</v>
      </c>
      <c r="BM882">
        <v>-0.89</v>
      </c>
      <c r="BN882">
        <v>-1.63</v>
      </c>
      <c r="BO882">
        <v>-1.3</v>
      </c>
      <c r="BP882">
        <v>-0.35</v>
      </c>
      <c r="BQ882">
        <v>-1.7</v>
      </c>
      <c r="BR882">
        <v>-1.19</v>
      </c>
      <c r="BS882">
        <v>-1.45</v>
      </c>
      <c r="BT882">
        <v>-1.1000000000000001</v>
      </c>
      <c r="BU882">
        <v>-2.68</v>
      </c>
      <c r="BV882">
        <v>-2.36</v>
      </c>
      <c r="BW882">
        <v>-2.0099999999999998</v>
      </c>
      <c r="BX882">
        <v>-1.04</v>
      </c>
      <c r="BY882">
        <v>-1.24</v>
      </c>
      <c r="BZ882">
        <v>-0.02</v>
      </c>
      <c r="CA882">
        <v>-2.6</v>
      </c>
      <c r="CB882">
        <v>-2.06</v>
      </c>
      <c r="CC882">
        <v>-1.34</v>
      </c>
      <c r="CD882">
        <v>0.5</v>
      </c>
      <c r="CE882">
        <v>-0.08</v>
      </c>
      <c r="CF882">
        <v>-0.22</v>
      </c>
      <c r="CG882">
        <v>0</v>
      </c>
      <c r="CH882">
        <v>-1.77</v>
      </c>
      <c r="CI882">
        <v>0</v>
      </c>
      <c r="CJ882">
        <v>-14</v>
      </c>
      <c r="CK882">
        <v>45</v>
      </c>
      <c r="CL882">
        <v>-0.53</v>
      </c>
      <c r="CM882">
        <v>44</v>
      </c>
      <c r="CN882">
        <v>-0.46</v>
      </c>
      <c r="CO882">
        <v>44</v>
      </c>
      <c r="CP882">
        <v>-10</v>
      </c>
      <c r="CQ882">
        <v>43</v>
      </c>
      <c r="CR882">
        <v>0</v>
      </c>
      <c r="CS882">
        <v>0</v>
      </c>
      <c r="CT882">
        <v>-6.3</v>
      </c>
      <c r="CU882">
        <v>44</v>
      </c>
      <c r="CV882">
        <v>-0.03</v>
      </c>
      <c r="CW882">
        <v>34</v>
      </c>
      <c r="CX882" t="s">
        <v>1772</v>
      </c>
    </row>
    <row r="883" spans="1:102" x14ac:dyDescent="0.3">
      <c r="A883" t="str">
        <f>HYPERLINK("https://webapp.icbf.com/v2/app/bull-search/view/394709284","BZD")</f>
        <v>BZD</v>
      </c>
      <c r="B883" t="s">
        <v>4326</v>
      </c>
      <c r="C883" t="s">
        <v>4327</v>
      </c>
      <c r="D883" s="1">
        <v>38400</v>
      </c>
      <c r="E883" t="s">
        <v>92</v>
      </c>
      <c r="F883">
        <v>53</v>
      </c>
      <c r="G883" t="s">
        <v>93</v>
      </c>
      <c r="H883">
        <v>151.78</v>
      </c>
      <c r="I883">
        <v>87</v>
      </c>
      <c r="J883">
        <v>31.89</v>
      </c>
      <c r="K883">
        <v>97</v>
      </c>
      <c r="L883">
        <v>79.959999999999994</v>
      </c>
      <c r="M883">
        <v>78</v>
      </c>
      <c r="N883">
        <v>20.75</v>
      </c>
      <c r="O883">
        <v>85</v>
      </c>
      <c r="P883">
        <v>-13.48</v>
      </c>
      <c r="Q883">
        <v>91</v>
      </c>
      <c r="R883">
        <v>8.86</v>
      </c>
      <c r="S883">
        <v>83</v>
      </c>
      <c r="T883">
        <v>16.93</v>
      </c>
      <c r="U883">
        <v>83</v>
      </c>
      <c r="V883">
        <v>6.87</v>
      </c>
      <c r="W883">
        <v>81</v>
      </c>
      <c r="X883" t="s">
        <v>94</v>
      </c>
      <c r="Y883" t="s">
        <v>1164</v>
      </c>
      <c r="Z883" t="s">
        <v>96</v>
      </c>
      <c r="AA883" t="s">
        <v>1229</v>
      </c>
      <c r="AB883" t="s">
        <v>4328</v>
      </c>
      <c r="AC883">
        <v>89</v>
      </c>
      <c r="AD883">
        <v>57</v>
      </c>
      <c r="AE883">
        <v>97</v>
      </c>
      <c r="AF883">
        <v>292.38</v>
      </c>
      <c r="AG883">
        <v>3.22</v>
      </c>
      <c r="AH883">
        <v>8.76</v>
      </c>
      <c r="AI883">
        <v>-0.14000000000000001</v>
      </c>
      <c r="AJ883">
        <v>-0.02</v>
      </c>
      <c r="AK883">
        <v>78</v>
      </c>
      <c r="AL883">
        <v>89</v>
      </c>
      <c r="AM883">
        <v>57</v>
      </c>
      <c r="AN883">
        <v>-2.56</v>
      </c>
      <c r="AO883">
        <v>3.84</v>
      </c>
      <c r="AP883">
        <v>196</v>
      </c>
      <c r="AQ883">
        <v>2</v>
      </c>
      <c r="AR883">
        <v>6.06</v>
      </c>
      <c r="AS883">
        <v>68</v>
      </c>
      <c r="AT883">
        <v>2.57</v>
      </c>
      <c r="AU883">
        <v>88</v>
      </c>
      <c r="AV883">
        <v>-1.75</v>
      </c>
      <c r="AW883">
        <v>96</v>
      </c>
      <c r="AX883">
        <v>1.1499999999999999</v>
      </c>
      <c r="AY883">
        <v>80</v>
      </c>
      <c r="AZ883">
        <v>6.22</v>
      </c>
      <c r="BA883">
        <v>65</v>
      </c>
      <c r="BB883">
        <v>4.75</v>
      </c>
      <c r="BC883">
        <v>69</v>
      </c>
      <c r="BD883">
        <v>-0.01</v>
      </c>
      <c r="BE883">
        <v>-0.03</v>
      </c>
      <c r="BF883">
        <v>-0.13</v>
      </c>
      <c r="BG883">
        <v>89</v>
      </c>
      <c r="BH883">
        <v>0.06</v>
      </c>
      <c r="BI883">
        <v>-15.21</v>
      </c>
      <c r="BJ883">
        <v>35</v>
      </c>
      <c r="BK883">
        <v>21</v>
      </c>
      <c r="BL883">
        <v>-0.86</v>
      </c>
      <c r="BM883">
        <v>2.93</v>
      </c>
      <c r="BN883">
        <v>0.48</v>
      </c>
      <c r="BO883">
        <v>-1.36</v>
      </c>
      <c r="BP883">
        <v>-2.81</v>
      </c>
      <c r="BQ883">
        <v>1.41</v>
      </c>
      <c r="BR883">
        <v>0.45</v>
      </c>
      <c r="BS883">
        <v>0.46</v>
      </c>
      <c r="BT883">
        <v>-1.35</v>
      </c>
      <c r="BU883">
        <v>0.13</v>
      </c>
      <c r="BV883">
        <v>-0.78</v>
      </c>
      <c r="BW883">
        <v>-1.17</v>
      </c>
      <c r="BX883">
        <v>-1.2</v>
      </c>
      <c r="BY883">
        <v>-3.02</v>
      </c>
      <c r="BZ883">
        <v>2.44</v>
      </c>
      <c r="CA883">
        <v>-1.35</v>
      </c>
      <c r="CB883">
        <v>-1.77</v>
      </c>
      <c r="CC883">
        <v>-0.03</v>
      </c>
      <c r="CD883">
        <v>1.63</v>
      </c>
      <c r="CE883">
        <v>-1.44</v>
      </c>
      <c r="CF883">
        <v>-0.01</v>
      </c>
      <c r="CG883">
        <v>0</v>
      </c>
      <c r="CH883">
        <v>-2.91</v>
      </c>
      <c r="CI883">
        <v>0</v>
      </c>
      <c r="CJ883">
        <v>-3.5</v>
      </c>
      <c r="CK883">
        <v>92</v>
      </c>
      <c r="CL883">
        <v>-0.66</v>
      </c>
      <c r="CM883">
        <v>91</v>
      </c>
      <c r="CN883">
        <v>0.01</v>
      </c>
      <c r="CO883">
        <v>89</v>
      </c>
      <c r="CP883">
        <v>-11.5</v>
      </c>
      <c r="CQ883">
        <v>88</v>
      </c>
      <c r="CR883">
        <v>0</v>
      </c>
      <c r="CS883">
        <v>0</v>
      </c>
      <c r="CT883">
        <v>-9.1</v>
      </c>
      <c r="CU883">
        <v>83</v>
      </c>
      <c r="CV883">
        <v>0.2</v>
      </c>
      <c r="CW883">
        <v>45</v>
      </c>
      <c r="CX883" t="s">
        <v>1035</v>
      </c>
    </row>
    <row r="884" spans="1:102" x14ac:dyDescent="0.3">
      <c r="A884" t="str">
        <f>HYPERLINK("https://webapp.icbf.com/v2/app/bull-search/view/440899106","WLO")</f>
        <v>WLO</v>
      </c>
      <c r="B884" t="s">
        <v>8152</v>
      </c>
      <c r="C884" t="s">
        <v>8153</v>
      </c>
      <c r="D884" s="1">
        <v>38732</v>
      </c>
      <c r="E884" t="s">
        <v>108</v>
      </c>
      <c r="F884">
        <v>16</v>
      </c>
      <c r="G884" t="s">
        <v>93</v>
      </c>
      <c r="H884">
        <v>151.74</v>
      </c>
      <c r="I884">
        <v>97</v>
      </c>
      <c r="J884">
        <v>-15.02</v>
      </c>
      <c r="K884">
        <v>99</v>
      </c>
      <c r="L884">
        <v>117.13</v>
      </c>
      <c r="M884">
        <v>95</v>
      </c>
      <c r="N884">
        <v>39.159999999999997</v>
      </c>
      <c r="O884">
        <v>98</v>
      </c>
      <c r="P884">
        <v>-15.38</v>
      </c>
      <c r="Q884">
        <v>99</v>
      </c>
      <c r="R884">
        <v>10.67</v>
      </c>
      <c r="S884">
        <v>95</v>
      </c>
      <c r="T884">
        <v>10.42</v>
      </c>
      <c r="U884">
        <v>99</v>
      </c>
      <c r="V884">
        <v>4.76</v>
      </c>
      <c r="W884">
        <v>94</v>
      </c>
      <c r="X884" t="s">
        <v>94</v>
      </c>
      <c r="Y884" t="s">
        <v>1251</v>
      </c>
      <c r="Z884" t="s">
        <v>96</v>
      </c>
      <c r="AA884" t="s">
        <v>5174</v>
      </c>
      <c r="AB884" t="s">
        <v>8154</v>
      </c>
      <c r="AC884">
        <v>1390</v>
      </c>
      <c r="AD884">
        <v>606</v>
      </c>
      <c r="AE884">
        <v>99</v>
      </c>
      <c r="AF884">
        <v>-408.03</v>
      </c>
      <c r="AG884">
        <v>-11.28</v>
      </c>
      <c r="AH884">
        <v>-4.8099999999999996</v>
      </c>
      <c r="AI884">
        <v>0.09</v>
      </c>
      <c r="AJ884">
        <v>0.17</v>
      </c>
      <c r="AK884">
        <v>95</v>
      </c>
      <c r="AL884">
        <v>2301</v>
      </c>
      <c r="AM884">
        <v>1008</v>
      </c>
      <c r="AN884">
        <v>-6.43</v>
      </c>
      <c r="AO884">
        <v>2.91</v>
      </c>
      <c r="AP884">
        <v>2771</v>
      </c>
      <c r="AQ884">
        <v>36</v>
      </c>
      <c r="AR884">
        <v>4.7</v>
      </c>
      <c r="AS884">
        <v>97</v>
      </c>
      <c r="AT884">
        <v>2.21</v>
      </c>
      <c r="AU884">
        <v>99</v>
      </c>
      <c r="AV884">
        <v>-3.17</v>
      </c>
      <c r="AW884">
        <v>99</v>
      </c>
      <c r="AX884">
        <v>-0.47</v>
      </c>
      <c r="AY884">
        <v>99</v>
      </c>
      <c r="AZ884">
        <v>6.61</v>
      </c>
      <c r="BA884">
        <v>96</v>
      </c>
      <c r="BB884">
        <v>5.1100000000000003</v>
      </c>
      <c r="BC884">
        <v>96</v>
      </c>
      <c r="BD884">
        <v>-0.05</v>
      </c>
      <c r="BE884">
        <v>-0.08</v>
      </c>
      <c r="BF884">
        <v>-0.01</v>
      </c>
      <c r="BG884">
        <v>98</v>
      </c>
      <c r="BH884">
        <v>-0.02</v>
      </c>
      <c r="BI884">
        <v>-17.670000000000002</v>
      </c>
      <c r="BJ884">
        <v>54</v>
      </c>
      <c r="BK884">
        <v>36</v>
      </c>
      <c r="BL884">
        <v>-2.17</v>
      </c>
      <c r="BM884">
        <v>2.2400000000000002</v>
      </c>
      <c r="BN884">
        <v>-1.87</v>
      </c>
      <c r="BO884">
        <v>-3.07</v>
      </c>
      <c r="BP884">
        <v>-2.94</v>
      </c>
      <c r="BQ884">
        <v>3.15</v>
      </c>
      <c r="BR884">
        <v>-2.81</v>
      </c>
      <c r="BS884">
        <v>1.31</v>
      </c>
      <c r="BT884">
        <v>1.43</v>
      </c>
      <c r="BU884">
        <v>-1.43</v>
      </c>
      <c r="BV884">
        <v>-2.0499999999999998</v>
      </c>
      <c r="BW884">
        <v>-1.52</v>
      </c>
      <c r="BX884">
        <v>-1.01</v>
      </c>
      <c r="BY884">
        <v>-0.2</v>
      </c>
      <c r="BZ884">
        <v>-0.61</v>
      </c>
      <c r="CA884">
        <v>-1.23</v>
      </c>
      <c r="CB884">
        <v>-1.95</v>
      </c>
      <c r="CC884">
        <v>0.64</v>
      </c>
      <c r="CD884">
        <v>2.72</v>
      </c>
      <c r="CE884">
        <v>-2.5</v>
      </c>
      <c r="CF884">
        <v>-1.71</v>
      </c>
      <c r="CG884">
        <v>0</v>
      </c>
      <c r="CH884">
        <v>-0.32</v>
      </c>
      <c r="CI884">
        <v>0</v>
      </c>
      <c r="CJ884">
        <v>-8.8000000000000007</v>
      </c>
      <c r="CK884">
        <v>99</v>
      </c>
      <c r="CL884">
        <v>-0.31</v>
      </c>
      <c r="CM884">
        <v>99</v>
      </c>
      <c r="CN884">
        <v>-0.09</v>
      </c>
      <c r="CO884">
        <v>99</v>
      </c>
      <c r="CP884">
        <v>-7.3</v>
      </c>
      <c r="CQ884">
        <v>99</v>
      </c>
      <c r="CR884">
        <v>0</v>
      </c>
      <c r="CS884">
        <v>0</v>
      </c>
      <c r="CT884">
        <v>-0.3</v>
      </c>
      <c r="CU884">
        <v>99</v>
      </c>
      <c r="CV884">
        <v>0.01</v>
      </c>
      <c r="CW884">
        <v>48</v>
      </c>
      <c r="CX884" t="s">
        <v>1543</v>
      </c>
    </row>
    <row r="885" spans="1:102" x14ac:dyDescent="0.3">
      <c r="A885" t="str">
        <f>HYPERLINK("https://webapp.icbf.com/v2/app/bull-search/view/1138344233","S2060")</f>
        <v>S2060</v>
      </c>
      <c r="B885" t="s">
        <v>6984</v>
      </c>
      <c r="C885" t="s">
        <v>6985</v>
      </c>
      <c r="D885" s="1">
        <v>41174</v>
      </c>
      <c r="E885" t="s">
        <v>92</v>
      </c>
      <c r="F885">
        <v>100</v>
      </c>
      <c r="G885" t="s">
        <v>109</v>
      </c>
      <c r="H885">
        <v>151.59</v>
      </c>
      <c r="I885">
        <v>85</v>
      </c>
      <c r="J885">
        <v>95.02</v>
      </c>
      <c r="K885">
        <v>94</v>
      </c>
      <c r="L885">
        <v>2.1800000000000002</v>
      </c>
      <c r="M885">
        <v>88</v>
      </c>
      <c r="N885">
        <v>41.26</v>
      </c>
      <c r="O885">
        <v>85</v>
      </c>
      <c r="P885">
        <v>-7.19</v>
      </c>
      <c r="Q885">
        <v>76</v>
      </c>
      <c r="R885">
        <v>12.79</v>
      </c>
      <c r="S885">
        <v>75</v>
      </c>
      <c r="T885">
        <v>-1.64</v>
      </c>
      <c r="U885">
        <v>58</v>
      </c>
      <c r="V885">
        <v>9.17</v>
      </c>
      <c r="W885">
        <v>56</v>
      </c>
      <c r="X885" t="s">
        <v>251</v>
      </c>
      <c r="Y885" t="s">
        <v>367</v>
      </c>
      <c r="Z885" t="s">
        <v>96</v>
      </c>
      <c r="AA885" t="s">
        <v>1894</v>
      </c>
      <c r="AB885" t="s">
        <v>5644</v>
      </c>
      <c r="AC885">
        <v>24</v>
      </c>
      <c r="AD885">
        <v>12</v>
      </c>
      <c r="AE885">
        <v>94</v>
      </c>
      <c r="AF885">
        <v>277.33999999999997</v>
      </c>
      <c r="AG885">
        <v>19.690000000000001</v>
      </c>
      <c r="AH885">
        <v>13.44</v>
      </c>
      <c r="AI885">
        <v>0.15</v>
      </c>
      <c r="AJ885">
        <v>7.0000000000000007E-2</v>
      </c>
      <c r="AK885">
        <v>88</v>
      </c>
      <c r="AL885">
        <v>15</v>
      </c>
      <c r="AM885">
        <v>10</v>
      </c>
      <c r="AN885">
        <v>0.36</v>
      </c>
      <c r="AO885">
        <v>0.54</v>
      </c>
      <c r="AP885">
        <v>311</v>
      </c>
      <c r="AQ885">
        <v>1</v>
      </c>
      <c r="AR885">
        <v>6.62</v>
      </c>
      <c r="AS885">
        <v>79</v>
      </c>
      <c r="AT885">
        <v>2.4500000000000002</v>
      </c>
      <c r="AU885">
        <v>95</v>
      </c>
      <c r="AV885">
        <v>-3.87</v>
      </c>
      <c r="AW885">
        <v>96</v>
      </c>
      <c r="AX885">
        <v>-0.1</v>
      </c>
      <c r="AY885">
        <v>86</v>
      </c>
      <c r="AZ885">
        <v>5.44</v>
      </c>
      <c r="BA885">
        <v>53</v>
      </c>
      <c r="BB885">
        <v>4.8</v>
      </c>
      <c r="BC885">
        <v>43</v>
      </c>
      <c r="BD885">
        <v>-0.09</v>
      </c>
      <c r="BE885">
        <v>-0.06</v>
      </c>
      <c r="BF885">
        <v>-0.03</v>
      </c>
      <c r="BG885">
        <v>93</v>
      </c>
      <c r="BH885">
        <v>0.09</v>
      </c>
      <c r="BI885">
        <v>-19.16</v>
      </c>
      <c r="BJ885">
        <v>7</v>
      </c>
      <c r="BK885">
        <v>4</v>
      </c>
      <c r="BL885">
        <v>1.05</v>
      </c>
      <c r="BM885">
        <v>1.25</v>
      </c>
      <c r="BN885">
        <v>2.16</v>
      </c>
      <c r="BO885">
        <v>1.54</v>
      </c>
      <c r="BP885">
        <v>0.38</v>
      </c>
      <c r="BQ885">
        <v>0.4</v>
      </c>
      <c r="BR885">
        <v>-0.31</v>
      </c>
      <c r="BS885">
        <v>2.86</v>
      </c>
      <c r="BT885">
        <v>1.06</v>
      </c>
      <c r="BU885">
        <v>2.4500000000000002</v>
      </c>
      <c r="BV885">
        <v>3.67</v>
      </c>
      <c r="BW885">
        <v>1.68</v>
      </c>
      <c r="BX885">
        <v>1.9</v>
      </c>
      <c r="BY885">
        <v>3.28</v>
      </c>
      <c r="BZ885">
        <v>-1.0900000000000001</v>
      </c>
      <c r="CA885">
        <v>2.33</v>
      </c>
      <c r="CB885">
        <v>2.68</v>
      </c>
      <c r="CC885">
        <v>1.65</v>
      </c>
      <c r="CD885">
        <v>-0.3</v>
      </c>
      <c r="CE885">
        <v>0.98</v>
      </c>
      <c r="CF885">
        <v>1.19</v>
      </c>
      <c r="CG885">
        <v>0</v>
      </c>
      <c r="CH885">
        <v>3.44</v>
      </c>
      <c r="CI885">
        <v>0</v>
      </c>
      <c r="CJ885">
        <v>-0.3</v>
      </c>
      <c r="CK885">
        <v>79</v>
      </c>
      <c r="CL885">
        <v>-1.06</v>
      </c>
      <c r="CM885">
        <v>76</v>
      </c>
      <c r="CN885">
        <v>-0.37</v>
      </c>
      <c r="CO885">
        <v>74</v>
      </c>
      <c r="CP885">
        <v>-1.1000000000000001</v>
      </c>
      <c r="CQ885">
        <v>62</v>
      </c>
      <c r="CR885">
        <v>0</v>
      </c>
      <c r="CS885">
        <v>0</v>
      </c>
      <c r="CT885">
        <v>16</v>
      </c>
      <c r="CU885">
        <v>58</v>
      </c>
      <c r="CV885">
        <v>0.21</v>
      </c>
      <c r="CW885">
        <v>41</v>
      </c>
      <c r="CX885" t="s">
        <v>1962</v>
      </c>
    </row>
    <row r="886" spans="1:102" x14ac:dyDescent="0.3">
      <c r="A886" t="str">
        <f>HYPERLINK("https://webapp.icbf.com/v2/app/bull-search/view/933356937","HEK")</f>
        <v>HEK</v>
      </c>
      <c r="B886" t="s">
        <v>5985</v>
      </c>
      <c r="C886" t="s">
        <v>5986</v>
      </c>
      <c r="D886" s="1">
        <v>40734</v>
      </c>
      <c r="E886" t="s">
        <v>92</v>
      </c>
      <c r="F886">
        <v>59</v>
      </c>
      <c r="G886" t="s">
        <v>93</v>
      </c>
      <c r="H886">
        <v>151.55000000000001</v>
      </c>
      <c r="I886">
        <v>87</v>
      </c>
      <c r="J886">
        <v>60.95</v>
      </c>
      <c r="K886">
        <v>97</v>
      </c>
      <c r="L886">
        <v>67.83</v>
      </c>
      <c r="M886">
        <v>80</v>
      </c>
      <c r="N886">
        <v>30.09</v>
      </c>
      <c r="O886">
        <v>87</v>
      </c>
      <c r="P886">
        <v>-30.01</v>
      </c>
      <c r="Q886">
        <v>92</v>
      </c>
      <c r="R886">
        <v>2.71</v>
      </c>
      <c r="S886">
        <v>77</v>
      </c>
      <c r="T886">
        <v>18.78</v>
      </c>
      <c r="U886">
        <v>81</v>
      </c>
      <c r="V886">
        <v>1.2</v>
      </c>
      <c r="W886">
        <v>66</v>
      </c>
      <c r="X886" t="s">
        <v>276</v>
      </c>
      <c r="Y886" t="s">
        <v>1775</v>
      </c>
      <c r="Z886" t="s">
        <v>330</v>
      </c>
      <c r="AA886" t="s">
        <v>5726</v>
      </c>
      <c r="AB886" t="s">
        <v>144</v>
      </c>
      <c r="AC886">
        <v>128</v>
      </c>
      <c r="AD886">
        <v>54</v>
      </c>
      <c r="AE886">
        <v>97</v>
      </c>
      <c r="AF886">
        <v>85.51</v>
      </c>
      <c r="AG886">
        <v>7.25</v>
      </c>
      <c r="AH886">
        <v>9.11</v>
      </c>
      <c r="AI886">
        <v>7.0000000000000007E-2</v>
      </c>
      <c r="AJ886">
        <v>0.11</v>
      </c>
      <c r="AK886">
        <v>80</v>
      </c>
      <c r="AL886">
        <v>114</v>
      </c>
      <c r="AM886">
        <v>53</v>
      </c>
      <c r="AN886">
        <v>-2.89</v>
      </c>
      <c r="AO886">
        <v>2.5299999999999998</v>
      </c>
      <c r="AP886">
        <v>324</v>
      </c>
      <c r="AQ886">
        <v>0</v>
      </c>
      <c r="AR886">
        <v>5.55</v>
      </c>
      <c r="AS886">
        <v>80</v>
      </c>
      <c r="AT886">
        <v>2.1</v>
      </c>
      <c r="AU886">
        <v>90</v>
      </c>
      <c r="AV886">
        <v>-2.5</v>
      </c>
      <c r="AW886">
        <v>98</v>
      </c>
      <c r="AX886">
        <v>-0.19</v>
      </c>
      <c r="AY886">
        <v>85</v>
      </c>
      <c r="AZ886">
        <v>7.06</v>
      </c>
      <c r="BA886">
        <v>66</v>
      </c>
      <c r="BB886">
        <v>5.38</v>
      </c>
      <c r="BC886">
        <v>55</v>
      </c>
      <c r="BD886">
        <v>-0.02</v>
      </c>
      <c r="BE886">
        <v>-0.01</v>
      </c>
      <c r="BF886">
        <v>-0.01</v>
      </c>
      <c r="BG886">
        <v>92</v>
      </c>
      <c r="BH886">
        <v>0.16</v>
      </c>
      <c r="BI886">
        <v>14.63</v>
      </c>
      <c r="BJ886">
        <v>0</v>
      </c>
      <c r="BK886">
        <v>0</v>
      </c>
      <c r="BL886">
        <v>-2.21</v>
      </c>
      <c r="BM886">
        <v>0.78</v>
      </c>
      <c r="BN886">
        <v>-0.69</v>
      </c>
      <c r="BO886">
        <v>-1.22</v>
      </c>
      <c r="BP886">
        <v>1.74</v>
      </c>
      <c r="BQ886">
        <v>-0.54</v>
      </c>
      <c r="BR886">
        <v>0.36</v>
      </c>
      <c r="BS886">
        <v>0.17</v>
      </c>
      <c r="BT886">
        <v>-1.22</v>
      </c>
      <c r="BU886">
        <v>0.77</v>
      </c>
      <c r="BV886">
        <v>0.34</v>
      </c>
      <c r="BW886">
        <v>-0.19</v>
      </c>
      <c r="BX886">
        <v>0.05</v>
      </c>
      <c r="BY886">
        <v>-1.47</v>
      </c>
      <c r="BZ886">
        <v>-0.41</v>
      </c>
      <c r="CA886">
        <v>-0.26</v>
      </c>
      <c r="CB886">
        <v>7.0000000000000007E-2</v>
      </c>
      <c r="CC886">
        <v>-0.64</v>
      </c>
      <c r="CD886">
        <v>1.1499999999999999</v>
      </c>
      <c r="CE886">
        <v>-0.09</v>
      </c>
      <c r="CF886">
        <v>-0.15</v>
      </c>
      <c r="CG886">
        <v>0</v>
      </c>
      <c r="CH886">
        <v>-1.1000000000000001</v>
      </c>
      <c r="CI886">
        <v>0</v>
      </c>
      <c r="CJ886">
        <v>-16.100000000000001</v>
      </c>
      <c r="CK886">
        <v>94</v>
      </c>
      <c r="CL886">
        <v>-0.86</v>
      </c>
      <c r="CM886">
        <v>93</v>
      </c>
      <c r="CN886">
        <v>-0.36</v>
      </c>
      <c r="CO886">
        <v>92</v>
      </c>
      <c r="CP886">
        <v>-20.9</v>
      </c>
      <c r="CQ886">
        <v>77</v>
      </c>
      <c r="CR886">
        <v>0</v>
      </c>
      <c r="CS886">
        <v>0</v>
      </c>
      <c r="CT886">
        <v>-11.6</v>
      </c>
      <c r="CU886">
        <v>81</v>
      </c>
      <c r="CV886">
        <v>-0.04</v>
      </c>
      <c r="CW886">
        <v>45</v>
      </c>
      <c r="CX886" t="s">
        <v>5987</v>
      </c>
    </row>
    <row r="887" spans="1:102" x14ac:dyDescent="0.3">
      <c r="A887" t="str">
        <f>HYPERLINK("https://webapp.icbf.com/v2/app/bull-search/view/586057315","S1519")</f>
        <v>S1519</v>
      </c>
      <c r="B887" t="s">
        <v>9301</v>
      </c>
      <c r="C887" t="s">
        <v>6020</v>
      </c>
      <c r="D887" s="1">
        <v>38391</v>
      </c>
      <c r="E887" t="s">
        <v>92</v>
      </c>
      <c r="F887">
        <v>100</v>
      </c>
      <c r="G887" t="s">
        <v>93</v>
      </c>
      <c r="H887">
        <v>151.47</v>
      </c>
      <c r="I887">
        <v>92</v>
      </c>
      <c r="J887">
        <v>73.61</v>
      </c>
      <c r="K887">
        <v>99</v>
      </c>
      <c r="L887">
        <v>28.37</v>
      </c>
      <c r="M887">
        <v>89</v>
      </c>
      <c r="N887">
        <v>34.72</v>
      </c>
      <c r="O887">
        <v>93</v>
      </c>
      <c r="P887">
        <v>-5.89</v>
      </c>
      <c r="Q887">
        <v>97</v>
      </c>
      <c r="R887">
        <v>8.57</v>
      </c>
      <c r="S887">
        <v>81</v>
      </c>
      <c r="T887">
        <v>14.42</v>
      </c>
      <c r="U887">
        <v>87</v>
      </c>
      <c r="V887">
        <v>-2.33</v>
      </c>
      <c r="W887">
        <v>68</v>
      </c>
      <c r="X887" t="s">
        <v>94</v>
      </c>
      <c r="Y887" t="s">
        <v>362</v>
      </c>
      <c r="Z887" t="s">
        <v>96</v>
      </c>
      <c r="AA887" t="s">
        <v>9302</v>
      </c>
      <c r="AB887" t="s">
        <v>9303</v>
      </c>
      <c r="AC887">
        <v>541</v>
      </c>
      <c r="AD887">
        <v>132</v>
      </c>
      <c r="AE887">
        <v>99</v>
      </c>
      <c r="AF887">
        <v>294.47000000000003</v>
      </c>
      <c r="AG887">
        <v>13.16</v>
      </c>
      <c r="AH887">
        <v>12.37</v>
      </c>
      <c r="AI887">
        <v>0.03</v>
      </c>
      <c r="AJ887">
        <v>0.04</v>
      </c>
      <c r="AK887">
        <v>89</v>
      </c>
      <c r="AL887">
        <v>348</v>
      </c>
      <c r="AM887">
        <v>111</v>
      </c>
      <c r="AN887">
        <v>-0.16</v>
      </c>
      <c r="AO887">
        <v>2.12</v>
      </c>
      <c r="AP887">
        <v>1161</v>
      </c>
      <c r="AQ887">
        <v>3</v>
      </c>
      <c r="AR887">
        <v>4.43</v>
      </c>
      <c r="AS887">
        <v>97</v>
      </c>
      <c r="AT887">
        <v>2.4</v>
      </c>
      <c r="AU887">
        <v>95</v>
      </c>
      <c r="AV887">
        <v>-3.07</v>
      </c>
      <c r="AW887">
        <v>99</v>
      </c>
      <c r="AX887">
        <v>0.31</v>
      </c>
      <c r="AY887">
        <v>95</v>
      </c>
      <c r="AZ887">
        <v>6.18</v>
      </c>
      <c r="BA887">
        <v>86</v>
      </c>
      <c r="BB887">
        <v>5.41</v>
      </c>
      <c r="BC887">
        <v>69</v>
      </c>
      <c r="BD887">
        <v>0</v>
      </c>
      <c r="BE887">
        <v>-0.03</v>
      </c>
      <c r="BF887">
        <v>-0.14000000000000001</v>
      </c>
      <c r="BG887">
        <v>95</v>
      </c>
      <c r="BH887">
        <v>-0.15</v>
      </c>
      <c r="BI887">
        <v>-9.82</v>
      </c>
      <c r="BJ887">
        <v>130</v>
      </c>
      <c r="BK887">
        <v>42</v>
      </c>
      <c r="BL887">
        <v>-1.18</v>
      </c>
      <c r="BM887">
        <v>-0.68</v>
      </c>
      <c r="BN887">
        <v>0.16</v>
      </c>
      <c r="BO887">
        <v>-0.09</v>
      </c>
      <c r="BP887">
        <v>-0.45</v>
      </c>
      <c r="BQ887">
        <v>-1.1200000000000001</v>
      </c>
      <c r="BR887">
        <v>1.1599999999999999</v>
      </c>
      <c r="BS887">
        <v>1.06</v>
      </c>
      <c r="BT887">
        <v>-0.97</v>
      </c>
      <c r="BU887">
        <v>1.02</v>
      </c>
      <c r="BV887">
        <v>0.09</v>
      </c>
      <c r="BW887">
        <v>-0.02</v>
      </c>
      <c r="BX887">
        <v>-0.65</v>
      </c>
      <c r="BY887">
        <v>0.23</v>
      </c>
      <c r="BZ887">
        <v>2.61</v>
      </c>
      <c r="CA887">
        <v>0.94</v>
      </c>
      <c r="CB887">
        <v>0.7</v>
      </c>
      <c r="CC887">
        <v>1.0900000000000001</v>
      </c>
      <c r="CD887">
        <v>0.15</v>
      </c>
      <c r="CE887">
        <v>0.44</v>
      </c>
      <c r="CF887">
        <v>-0.39</v>
      </c>
      <c r="CG887">
        <v>0</v>
      </c>
      <c r="CH887">
        <v>0.16</v>
      </c>
      <c r="CI887">
        <v>0</v>
      </c>
      <c r="CJ887">
        <v>-0.2</v>
      </c>
      <c r="CK887">
        <v>98</v>
      </c>
      <c r="CL887">
        <v>-0.69</v>
      </c>
      <c r="CM887">
        <v>97</v>
      </c>
      <c r="CN887">
        <v>-0.24</v>
      </c>
      <c r="CO887">
        <v>97</v>
      </c>
      <c r="CP887">
        <v>-8.6999999999999993</v>
      </c>
      <c r="CQ887">
        <v>87</v>
      </c>
      <c r="CR887">
        <v>0</v>
      </c>
      <c r="CS887">
        <v>0</v>
      </c>
      <c r="CT887">
        <v>-5.7</v>
      </c>
      <c r="CU887">
        <v>87</v>
      </c>
      <c r="CV887">
        <v>0.23</v>
      </c>
      <c r="CW887">
        <v>47</v>
      </c>
      <c r="CX887" t="s">
        <v>2032</v>
      </c>
    </row>
    <row r="888" spans="1:102" x14ac:dyDescent="0.3">
      <c r="A888" t="str">
        <f>HYPERLINK("https://webapp.icbf.com/v2/app/bull-search/view/444538909","ERZ")</f>
        <v>ERZ</v>
      </c>
      <c r="B888" t="s">
        <v>249</v>
      </c>
      <c r="C888" t="s">
        <v>250</v>
      </c>
      <c r="D888" s="1">
        <v>34944</v>
      </c>
      <c r="E888" t="s">
        <v>92</v>
      </c>
      <c r="F888">
        <v>100</v>
      </c>
      <c r="G888" t="s">
        <v>93</v>
      </c>
      <c r="H888">
        <v>151.22999999999999</v>
      </c>
      <c r="I888">
        <v>87</v>
      </c>
      <c r="J888">
        <v>-11.22</v>
      </c>
      <c r="K888">
        <v>96</v>
      </c>
      <c r="L888">
        <v>135.56</v>
      </c>
      <c r="M888">
        <v>83</v>
      </c>
      <c r="N888">
        <v>24.41</v>
      </c>
      <c r="O888">
        <v>83</v>
      </c>
      <c r="P888">
        <v>2.48</v>
      </c>
      <c r="Q888">
        <v>93</v>
      </c>
      <c r="R888">
        <v>1.51</v>
      </c>
      <c r="S888">
        <v>71</v>
      </c>
      <c r="T888">
        <v>2.13</v>
      </c>
      <c r="U888">
        <v>87</v>
      </c>
      <c r="V888">
        <v>-3.64</v>
      </c>
      <c r="W888">
        <v>68</v>
      </c>
      <c r="X888" t="s">
        <v>251</v>
      </c>
      <c r="Y888" t="s">
        <v>221</v>
      </c>
      <c r="Z888" t="s">
        <v>96</v>
      </c>
      <c r="AA888" t="s">
        <v>252</v>
      </c>
      <c r="AB888" t="s">
        <v>253</v>
      </c>
      <c r="AC888">
        <v>68</v>
      </c>
      <c r="AD888">
        <v>17</v>
      </c>
      <c r="AE888">
        <v>96</v>
      </c>
      <c r="AF888">
        <v>40.47</v>
      </c>
      <c r="AG888">
        <v>-3.22</v>
      </c>
      <c r="AH888">
        <v>-0.15</v>
      </c>
      <c r="AI888">
        <v>-0.08</v>
      </c>
      <c r="AJ888">
        <v>-0.03</v>
      </c>
      <c r="AK888">
        <v>83</v>
      </c>
      <c r="AL888">
        <v>95</v>
      </c>
      <c r="AM888">
        <v>25</v>
      </c>
      <c r="AN888">
        <v>-6.65</v>
      </c>
      <c r="AO888">
        <v>4.17</v>
      </c>
      <c r="AP888">
        <v>143</v>
      </c>
      <c r="AQ888">
        <v>1</v>
      </c>
      <c r="AR888">
        <v>6.92</v>
      </c>
      <c r="AS888">
        <v>66</v>
      </c>
      <c r="AT888">
        <v>2.61</v>
      </c>
      <c r="AU888">
        <v>86</v>
      </c>
      <c r="AV888">
        <v>-2.2599999999999998</v>
      </c>
      <c r="AW888">
        <v>95</v>
      </c>
      <c r="AX888">
        <v>-0.66</v>
      </c>
      <c r="AY888">
        <v>80</v>
      </c>
      <c r="AZ888">
        <v>6.31</v>
      </c>
      <c r="BA888">
        <v>52</v>
      </c>
      <c r="BB888">
        <v>5.29</v>
      </c>
      <c r="BC888">
        <v>60</v>
      </c>
      <c r="BD888">
        <v>0.02</v>
      </c>
      <c r="BE888">
        <v>-0.02</v>
      </c>
      <c r="BF888">
        <v>-0.03</v>
      </c>
      <c r="BG888">
        <v>87</v>
      </c>
      <c r="BH888">
        <v>-0.09</v>
      </c>
      <c r="BI888">
        <v>1.32</v>
      </c>
      <c r="BJ888">
        <v>6</v>
      </c>
      <c r="BK888">
        <v>3</v>
      </c>
      <c r="BL888">
        <v>-1.27</v>
      </c>
      <c r="BM888">
        <v>1.4</v>
      </c>
      <c r="BN888">
        <v>-1.72</v>
      </c>
      <c r="BO888">
        <v>-2.36</v>
      </c>
      <c r="BP888">
        <v>0.66</v>
      </c>
      <c r="BQ888">
        <v>0.26</v>
      </c>
      <c r="BR888">
        <v>-0.31</v>
      </c>
      <c r="BS888">
        <v>-0.02</v>
      </c>
      <c r="BT888">
        <v>-1.08</v>
      </c>
      <c r="BU888">
        <v>-1.29</v>
      </c>
      <c r="BV888">
        <v>-2.77</v>
      </c>
      <c r="BW888">
        <v>-0.89</v>
      </c>
      <c r="BX888">
        <v>-1.87</v>
      </c>
      <c r="BY888">
        <v>-0.95</v>
      </c>
      <c r="BZ888">
        <v>1.57</v>
      </c>
      <c r="CA888">
        <v>-1.68</v>
      </c>
      <c r="CB888">
        <v>-2.0099999999999998</v>
      </c>
      <c r="CC888">
        <v>-1.06</v>
      </c>
      <c r="CD888">
        <v>2.59</v>
      </c>
      <c r="CE888">
        <v>-1.29</v>
      </c>
      <c r="CF888">
        <v>-1.1000000000000001</v>
      </c>
      <c r="CG888">
        <v>0</v>
      </c>
      <c r="CH888">
        <v>-0.59</v>
      </c>
      <c r="CI888">
        <v>0</v>
      </c>
      <c r="CJ888">
        <v>0.8</v>
      </c>
      <c r="CK888">
        <v>94</v>
      </c>
      <c r="CL888">
        <v>-0.22</v>
      </c>
      <c r="CM888">
        <v>92</v>
      </c>
      <c r="CN888">
        <v>-0.21</v>
      </c>
      <c r="CO888">
        <v>91</v>
      </c>
      <c r="CP888">
        <v>7.9</v>
      </c>
      <c r="CQ888">
        <v>87</v>
      </c>
      <c r="CR888">
        <v>0</v>
      </c>
      <c r="CS888">
        <v>0</v>
      </c>
      <c r="CT888">
        <v>10.9</v>
      </c>
      <c r="CU888">
        <v>87</v>
      </c>
      <c r="CV888">
        <v>-0.02</v>
      </c>
      <c r="CW888">
        <v>44</v>
      </c>
      <c r="CX888" t="s">
        <v>254</v>
      </c>
    </row>
    <row r="889" spans="1:102" x14ac:dyDescent="0.3">
      <c r="A889" t="str">
        <f>HYPERLINK("https://webapp.icbf.com/v2/app/bull-search/view/586060616","MMU")</f>
        <v>MMU</v>
      </c>
      <c r="B889" t="s">
        <v>12126</v>
      </c>
      <c r="C889" t="s">
        <v>12127</v>
      </c>
      <c r="D889" s="1">
        <v>38071</v>
      </c>
      <c r="E889" t="s">
        <v>92</v>
      </c>
      <c r="F889">
        <v>100</v>
      </c>
      <c r="G889" t="s">
        <v>93</v>
      </c>
      <c r="H889">
        <v>151.13999999999999</v>
      </c>
      <c r="I889">
        <v>96</v>
      </c>
      <c r="J889">
        <v>59.59</v>
      </c>
      <c r="K889">
        <v>99</v>
      </c>
      <c r="L889">
        <v>44.59</v>
      </c>
      <c r="M889">
        <v>94</v>
      </c>
      <c r="N889">
        <v>40.04</v>
      </c>
      <c r="O889">
        <v>96</v>
      </c>
      <c r="P889">
        <v>-10.15</v>
      </c>
      <c r="Q889">
        <v>98</v>
      </c>
      <c r="R889">
        <v>7.16</v>
      </c>
      <c r="S889">
        <v>89</v>
      </c>
      <c r="T889">
        <v>-3.42</v>
      </c>
      <c r="U889">
        <v>96</v>
      </c>
      <c r="V889">
        <v>13.33</v>
      </c>
      <c r="W889">
        <v>88</v>
      </c>
      <c r="X889" t="s">
        <v>94</v>
      </c>
      <c r="Y889" t="s">
        <v>235</v>
      </c>
      <c r="Z889" t="s">
        <v>96</v>
      </c>
      <c r="AA889" t="s">
        <v>316</v>
      </c>
      <c r="AB889" t="s">
        <v>12128</v>
      </c>
      <c r="AC889">
        <v>525</v>
      </c>
      <c r="AD889">
        <v>162</v>
      </c>
      <c r="AE889">
        <v>99</v>
      </c>
      <c r="AF889">
        <v>349.6</v>
      </c>
      <c r="AG889">
        <v>13.64</v>
      </c>
      <c r="AH889">
        <v>10.66</v>
      </c>
      <c r="AI889">
        <v>0</v>
      </c>
      <c r="AJ889">
        <v>-0.02</v>
      </c>
      <c r="AK889">
        <v>94</v>
      </c>
      <c r="AL889">
        <v>485</v>
      </c>
      <c r="AM889">
        <v>155</v>
      </c>
      <c r="AN889">
        <v>-2.91</v>
      </c>
      <c r="AO889">
        <v>0.64</v>
      </c>
      <c r="AP889">
        <v>990</v>
      </c>
      <c r="AQ889">
        <v>2</v>
      </c>
      <c r="AR889">
        <v>6.21</v>
      </c>
      <c r="AS889">
        <v>93</v>
      </c>
      <c r="AT889">
        <v>2.4</v>
      </c>
      <c r="AU889">
        <v>98</v>
      </c>
      <c r="AV889">
        <v>-3.55</v>
      </c>
      <c r="AW889">
        <v>99</v>
      </c>
      <c r="AX889">
        <v>-0.57999999999999996</v>
      </c>
      <c r="AY889">
        <v>95</v>
      </c>
      <c r="AZ889">
        <v>5.89</v>
      </c>
      <c r="BA889">
        <v>88</v>
      </c>
      <c r="BB889">
        <v>4.91</v>
      </c>
      <c r="BC889">
        <v>87</v>
      </c>
      <c r="BD889">
        <v>-0.04</v>
      </c>
      <c r="BE889">
        <v>-0.02</v>
      </c>
      <c r="BF889">
        <v>-0.06</v>
      </c>
      <c r="BG889">
        <v>97</v>
      </c>
      <c r="BH889">
        <v>0.14000000000000001</v>
      </c>
      <c r="BI889">
        <v>-26.82</v>
      </c>
      <c r="BJ889">
        <v>204</v>
      </c>
      <c r="BK889">
        <v>68</v>
      </c>
      <c r="BL889">
        <v>1.17</v>
      </c>
      <c r="BM889">
        <v>0.48</v>
      </c>
      <c r="BN889">
        <v>0.56999999999999995</v>
      </c>
      <c r="BO889">
        <v>0.32</v>
      </c>
      <c r="BP889">
        <v>0.16</v>
      </c>
      <c r="BQ889">
        <v>-0.93</v>
      </c>
      <c r="BR889">
        <v>-2.74</v>
      </c>
      <c r="BS889">
        <v>0.98</v>
      </c>
      <c r="BT889">
        <v>1.77</v>
      </c>
      <c r="BU889">
        <v>0.25</v>
      </c>
      <c r="BV889">
        <v>0.42</v>
      </c>
      <c r="BW889">
        <v>0.73</v>
      </c>
      <c r="BX889">
        <v>0.88</v>
      </c>
      <c r="BY889">
        <v>1.73</v>
      </c>
      <c r="BZ889">
        <v>-0.22</v>
      </c>
      <c r="CA889">
        <v>1.1200000000000001</v>
      </c>
      <c r="CB889">
        <v>1.1000000000000001</v>
      </c>
      <c r="CC889">
        <v>0.43</v>
      </c>
      <c r="CD889">
        <v>0.51</v>
      </c>
      <c r="CE889">
        <v>0.42</v>
      </c>
      <c r="CF889">
        <v>0.76</v>
      </c>
      <c r="CG889">
        <v>0</v>
      </c>
      <c r="CH889">
        <v>1.61</v>
      </c>
      <c r="CI889">
        <v>0</v>
      </c>
      <c r="CJ889">
        <v>-3</v>
      </c>
      <c r="CK889">
        <v>98</v>
      </c>
      <c r="CL889">
        <v>-1.06</v>
      </c>
      <c r="CM889">
        <v>98</v>
      </c>
      <c r="CN889">
        <v>-0.37</v>
      </c>
      <c r="CO889">
        <v>98</v>
      </c>
      <c r="CP889">
        <v>4</v>
      </c>
      <c r="CQ889">
        <v>97</v>
      </c>
      <c r="CR889">
        <v>0</v>
      </c>
      <c r="CS889">
        <v>0</v>
      </c>
      <c r="CT889">
        <v>18.399999999999999</v>
      </c>
      <c r="CU889">
        <v>96</v>
      </c>
      <c r="CV889">
        <v>0.3</v>
      </c>
      <c r="CW889">
        <v>49</v>
      </c>
      <c r="CX889" t="s">
        <v>12129</v>
      </c>
    </row>
    <row r="890" spans="1:102" x14ac:dyDescent="0.3">
      <c r="A890" t="str">
        <f>HYPERLINK("https://webapp.icbf.com/v2/app/bull-search/view/670226105","EYR")</f>
        <v>EYR</v>
      </c>
      <c r="B890" t="s">
        <v>5401</v>
      </c>
      <c r="C890" t="s">
        <v>5402</v>
      </c>
      <c r="D890" s="1">
        <v>39860</v>
      </c>
      <c r="E890" t="s">
        <v>92</v>
      </c>
      <c r="F890">
        <v>81</v>
      </c>
      <c r="G890" t="s">
        <v>93</v>
      </c>
      <c r="H890">
        <v>151.08000000000001</v>
      </c>
      <c r="I890">
        <v>88</v>
      </c>
      <c r="J890">
        <v>58.53</v>
      </c>
      <c r="K890">
        <v>97</v>
      </c>
      <c r="L890">
        <v>35.17</v>
      </c>
      <c r="M890">
        <v>80</v>
      </c>
      <c r="N890">
        <v>35.17</v>
      </c>
      <c r="O890">
        <v>87</v>
      </c>
      <c r="P890">
        <v>-10.06</v>
      </c>
      <c r="Q890">
        <v>93</v>
      </c>
      <c r="R890">
        <v>6.68</v>
      </c>
      <c r="S890">
        <v>81</v>
      </c>
      <c r="T890">
        <v>20.78</v>
      </c>
      <c r="U890">
        <v>86</v>
      </c>
      <c r="V890">
        <v>4.8099999999999996</v>
      </c>
      <c r="W890">
        <v>77</v>
      </c>
      <c r="X890" t="s">
        <v>94</v>
      </c>
      <c r="Y890" t="s">
        <v>1727</v>
      </c>
      <c r="Z890" t="s">
        <v>96</v>
      </c>
      <c r="AA890" t="s">
        <v>1514</v>
      </c>
      <c r="AB890" t="s">
        <v>5068</v>
      </c>
      <c r="AC890">
        <v>96</v>
      </c>
      <c r="AD890">
        <v>64</v>
      </c>
      <c r="AE890">
        <v>97</v>
      </c>
      <c r="AF890">
        <v>-66.48</v>
      </c>
      <c r="AG890">
        <v>10.48</v>
      </c>
      <c r="AH890">
        <v>5.23</v>
      </c>
      <c r="AI890">
        <v>0.23</v>
      </c>
      <c r="AJ890">
        <v>0.13</v>
      </c>
      <c r="AK890">
        <v>80</v>
      </c>
      <c r="AL890">
        <v>103</v>
      </c>
      <c r="AM890">
        <v>75</v>
      </c>
      <c r="AN890">
        <v>-1.48</v>
      </c>
      <c r="AO890">
        <v>1.33</v>
      </c>
      <c r="AP890">
        <v>217</v>
      </c>
      <c r="AQ890">
        <v>3</v>
      </c>
      <c r="AR890">
        <v>4.8099999999999996</v>
      </c>
      <c r="AS890">
        <v>76</v>
      </c>
      <c r="AT890">
        <v>1.84</v>
      </c>
      <c r="AU890">
        <v>89</v>
      </c>
      <c r="AV890">
        <v>-2.16</v>
      </c>
      <c r="AW890">
        <v>96</v>
      </c>
      <c r="AX890">
        <v>-0.39</v>
      </c>
      <c r="AY890">
        <v>82</v>
      </c>
      <c r="AZ890">
        <v>6.26</v>
      </c>
      <c r="BA890">
        <v>69</v>
      </c>
      <c r="BB890">
        <v>4.79</v>
      </c>
      <c r="BC890">
        <v>70</v>
      </c>
      <c r="BD890">
        <v>-0.04</v>
      </c>
      <c r="BE890">
        <v>-0.03</v>
      </c>
      <c r="BF890">
        <v>-0.03</v>
      </c>
      <c r="BG890">
        <v>89</v>
      </c>
      <c r="BH890">
        <v>-0.04</v>
      </c>
      <c r="BI890">
        <v>-20.14</v>
      </c>
      <c r="BJ890">
        <v>16</v>
      </c>
      <c r="BK890">
        <v>12</v>
      </c>
      <c r="BL890">
        <v>-1.43</v>
      </c>
      <c r="BM890">
        <v>0.39</v>
      </c>
      <c r="BN890">
        <v>-0.62</v>
      </c>
      <c r="BO890">
        <v>-0.77</v>
      </c>
      <c r="BP890">
        <v>1.92</v>
      </c>
      <c r="BQ890">
        <v>-0.48</v>
      </c>
      <c r="BR890">
        <v>1.68</v>
      </c>
      <c r="BS890">
        <v>-1.37</v>
      </c>
      <c r="BT890">
        <v>-2.71</v>
      </c>
      <c r="BU890">
        <v>-0.78</v>
      </c>
      <c r="BV890">
        <v>-1.63</v>
      </c>
      <c r="BW890">
        <v>-0.94</v>
      </c>
      <c r="BX890">
        <v>-0.68</v>
      </c>
      <c r="BY890">
        <v>-1.6</v>
      </c>
      <c r="BZ890">
        <v>-2.12</v>
      </c>
      <c r="CA890">
        <v>-1.43</v>
      </c>
      <c r="CB890">
        <v>-1.1000000000000001</v>
      </c>
      <c r="CC890">
        <v>-1.32</v>
      </c>
      <c r="CD890">
        <v>0.66</v>
      </c>
      <c r="CE890">
        <v>-0.48</v>
      </c>
      <c r="CF890">
        <v>-1.07</v>
      </c>
      <c r="CG890">
        <v>0</v>
      </c>
      <c r="CH890">
        <v>-2.08</v>
      </c>
      <c r="CI890">
        <v>0</v>
      </c>
      <c r="CJ890">
        <v>-3.5</v>
      </c>
      <c r="CK890">
        <v>94</v>
      </c>
      <c r="CL890">
        <v>-0.77</v>
      </c>
      <c r="CM890">
        <v>92</v>
      </c>
      <c r="CN890">
        <v>-0.4</v>
      </c>
      <c r="CO890">
        <v>91</v>
      </c>
      <c r="CP890">
        <v>-13.1</v>
      </c>
      <c r="CQ890">
        <v>89</v>
      </c>
      <c r="CR890">
        <v>0</v>
      </c>
      <c r="CS890">
        <v>0</v>
      </c>
      <c r="CT890">
        <v>-14.3</v>
      </c>
      <c r="CU890">
        <v>86</v>
      </c>
      <c r="CV890">
        <v>0.14000000000000001</v>
      </c>
      <c r="CW890">
        <v>46</v>
      </c>
      <c r="CX890" t="s">
        <v>4532</v>
      </c>
    </row>
    <row r="891" spans="1:102" x14ac:dyDescent="0.3">
      <c r="A891" t="str">
        <f>HYPERLINK("https://webapp.icbf.com/v2/app/bull-search/view/1312501784","S3117")</f>
        <v>S3117</v>
      </c>
      <c r="B891" t="s">
        <v>6219</v>
      </c>
      <c r="C891" t="s">
        <v>6220</v>
      </c>
      <c r="D891" s="1">
        <v>41869</v>
      </c>
      <c r="E891" t="s">
        <v>92</v>
      </c>
      <c r="F891">
        <v>100</v>
      </c>
      <c r="G891" t="s">
        <v>109</v>
      </c>
      <c r="H891">
        <v>151.08000000000001</v>
      </c>
      <c r="I891">
        <v>73</v>
      </c>
      <c r="J891">
        <v>86.76</v>
      </c>
      <c r="K891">
        <v>91</v>
      </c>
      <c r="L891">
        <v>1.96</v>
      </c>
      <c r="M891">
        <v>79</v>
      </c>
      <c r="N891">
        <v>36.840000000000003</v>
      </c>
      <c r="O891">
        <v>57</v>
      </c>
      <c r="P891">
        <v>-5.38</v>
      </c>
      <c r="Q891">
        <v>44</v>
      </c>
      <c r="R891">
        <v>25.33</v>
      </c>
      <c r="S891">
        <v>71</v>
      </c>
      <c r="T891">
        <v>-2.23</v>
      </c>
      <c r="U891">
        <v>37</v>
      </c>
      <c r="V891">
        <v>7.8</v>
      </c>
      <c r="W891">
        <v>54</v>
      </c>
      <c r="X891" t="s">
        <v>110</v>
      </c>
      <c r="Y891" t="s">
        <v>457</v>
      </c>
      <c r="Z891" t="s">
        <v>96</v>
      </c>
      <c r="AA891" t="s">
        <v>6221</v>
      </c>
      <c r="AB891" t="s">
        <v>6222</v>
      </c>
      <c r="AC891">
        <v>0</v>
      </c>
      <c r="AD891">
        <v>0</v>
      </c>
      <c r="AE891">
        <v>91</v>
      </c>
      <c r="AF891">
        <v>463.96</v>
      </c>
      <c r="AG891">
        <v>14.38</v>
      </c>
      <c r="AH891">
        <v>16.77</v>
      </c>
      <c r="AI891">
        <v>-0.06</v>
      </c>
      <c r="AJ891">
        <v>0.02</v>
      </c>
      <c r="AK891">
        <v>79</v>
      </c>
      <c r="AL891">
        <v>0</v>
      </c>
      <c r="AM891">
        <v>0</v>
      </c>
      <c r="AN891">
        <v>1.72</v>
      </c>
      <c r="AO891">
        <v>1.9</v>
      </c>
      <c r="AP891">
        <v>6</v>
      </c>
      <c r="AQ891">
        <v>0</v>
      </c>
      <c r="AR891">
        <v>7.03</v>
      </c>
      <c r="AS891">
        <v>56</v>
      </c>
      <c r="AT891">
        <v>2.73</v>
      </c>
      <c r="AU891">
        <v>88</v>
      </c>
      <c r="AV891">
        <v>-3.96</v>
      </c>
      <c r="AW891">
        <v>52</v>
      </c>
      <c r="AX891">
        <v>0.72</v>
      </c>
      <c r="AY891">
        <v>39</v>
      </c>
      <c r="AZ891">
        <v>5.98</v>
      </c>
      <c r="BA891">
        <v>35</v>
      </c>
      <c r="BB891">
        <v>4.6100000000000003</v>
      </c>
      <c r="BC891">
        <v>35</v>
      </c>
      <c r="BD891">
        <v>-0.08</v>
      </c>
      <c r="BE891">
        <v>-0.11</v>
      </c>
      <c r="BF891">
        <v>-0.24</v>
      </c>
      <c r="BG891">
        <v>90</v>
      </c>
      <c r="BH891">
        <v>0.18</v>
      </c>
      <c r="BI891">
        <v>-4.3499999999999996</v>
      </c>
      <c r="BJ891">
        <v>0</v>
      </c>
      <c r="BK891">
        <v>0</v>
      </c>
      <c r="BL891">
        <v>1.76</v>
      </c>
      <c r="BM891">
        <v>-0.22</v>
      </c>
      <c r="BN891">
        <v>0.03</v>
      </c>
      <c r="BO891">
        <v>0.67</v>
      </c>
      <c r="BP891">
        <v>2.2799999999999998</v>
      </c>
      <c r="BQ891">
        <v>1.85</v>
      </c>
      <c r="BR891">
        <v>-2.23</v>
      </c>
      <c r="BS891">
        <v>2.38</v>
      </c>
      <c r="BT891">
        <v>1.7</v>
      </c>
      <c r="BU891">
        <v>1.38</v>
      </c>
      <c r="BV891">
        <v>3.11</v>
      </c>
      <c r="BW891">
        <v>2.73</v>
      </c>
      <c r="BX891">
        <v>1.42</v>
      </c>
      <c r="BY891">
        <v>3.82</v>
      </c>
      <c r="BZ891">
        <v>-1.71</v>
      </c>
      <c r="CA891">
        <v>2.6</v>
      </c>
      <c r="CB891">
        <v>2.12</v>
      </c>
      <c r="CC891">
        <v>2.77</v>
      </c>
      <c r="CD891">
        <v>-0.2</v>
      </c>
      <c r="CE891">
        <v>0.6</v>
      </c>
      <c r="CF891">
        <v>0.75</v>
      </c>
      <c r="CG891">
        <v>0</v>
      </c>
      <c r="CH891">
        <v>3.8</v>
      </c>
      <c r="CI891">
        <v>0</v>
      </c>
      <c r="CJ891">
        <v>-1.6</v>
      </c>
      <c r="CK891">
        <v>45</v>
      </c>
      <c r="CL891">
        <v>-1.5</v>
      </c>
      <c r="CM891">
        <v>43</v>
      </c>
      <c r="CN891">
        <v>-0.95</v>
      </c>
      <c r="CO891">
        <v>43</v>
      </c>
      <c r="CP891">
        <v>7.9</v>
      </c>
      <c r="CQ891">
        <v>38</v>
      </c>
      <c r="CR891">
        <v>0</v>
      </c>
      <c r="CS891">
        <v>0</v>
      </c>
      <c r="CT891">
        <v>16.8</v>
      </c>
      <c r="CU891">
        <v>37</v>
      </c>
      <c r="CV891">
        <v>0.24</v>
      </c>
      <c r="CW891">
        <v>34</v>
      </c>
      <c r="CX891" t="s">
        <v>2000</v>
      </c>
    </row>
    <row r="892" spans="1:102" x14ac:dyDescent="0.3">
      <c r="A892" t="str">
        <f>HYPERLINK("https://webapp.icbf.com/v2/app/bull-search/view/1089499150","S2173")</f>
        <v>S2173</v>
      </c>
      <c r="B892" t="s">
        <v>7875</v>
      </c>
      <c r="C892" t="s">
        <v>2318</v>
      </c>
      <c r="D892" s="1">
        <v>41027</v>
      </c>
      <c r="E892" t="s">
        <v>92</v>
      </c>
      <c r="F892">
        <v>100</v>
      </c>
      <c r="G892" t="s">
        <v>93</v>
      </c>
      <c r="H892">
        <v>150.96</v>
      </c>
      <c r="I892">
        <v>90</v>
      </c>
      <c r="J892">
        <v>72.489999999999995</v>
      </c>
      <c r="K892">
        <v>98</v>
      </c>
      <c r="L892">
        <v>52.75</v>
      </c>
      <c r="M892">
        <v>89</v>
      </c>
      <c r="N892">
        <v>19.53</v>
      </c>
      <c r="O892">
        <v>92</v>
      </c>
      <c r="P892">
        <v>-5.36</v>
      </c>
      <c r="Q892">
        <v>94</v>
      </c>
      <c r="R892">
        <v>9.9700000000000006</v>
      </c>
      <c r="S892">
        <v>80</v>
      </c>
      <c r="T892">
        <v>-3.42</v>
      </c>
      <c r="U892">
        <v>72</v>
      </c>
      <c r="V892">
        <v>5</v>
      </c>
      <c r="W892">
        <v>71</v>
      </c>
      <c r="X892" t="s">
        <v>94</v>
      </c>
      <c r="Y892" t="s">
        <v>367</v>
      </c>
      <c r="Z892" t="s">
        <v>96</v>
      </c>
      <c r="AA892" t="s">
        <v>401</v>
      </c>
      <c r="AB892" t="s">
        <v>7876</v>
      </c>
      <c r="AC892">
        <v>417</v>
      </c>
      <c r="AD892">
        <v>118</v>
      </c>
      <c r="AE892">
        <v>98</v>
      </c>
      <c r="AF892">
        <v>180</v>
      </c>
      <c r="AG892">
        <v>18.78</v>
      </c>
      <c r="AH892">
        <v>8.44</v>
      </c>
      <c r="AI892">
        <v>0.2</v>
      </c>
      <c r="AJ892">
        <v>0.04</v>
      </c>
      <c r="AK892">
        <v>89</v>
      </c>
      <c r="AL892">
        <v>102</v>
      </c>
      <c r="AM892">
        <v>41</v>
      </c>
      <c r="AN892">
        <v>-3.42</v>
      </c>
      <c r="AO892">
        <v>0.78</v>
      </c>
      <c r="AP892">
        <v>1039</v>
      </c>
      <c r="AQ892">
        <v>3</v>
      </c>
      <c r="AR892">
        <v>8.58</v>
      </c>
      <c r="AS892">
        <v>95</v>
      </c>
      <c r="AT892">
        <v>3.53</v>
      </c>
      <c r="AU892">
        <v>96</v>
      </c>
      <c r="AV892">
        <v>-3</v>
      </c>
      <c r="AW892">
        <v>99</v>
      </c>
      <c r="AX892">
        <v>0.14000000000000001</v>
      </c>
      <c r="AY892">
        <v>95</v>
      </c>
      <c r="AZ892">
        <v>5.21</v>
      </c>
      <c r="BA892">
        <v>84</v>
      </c>
      <c r="BB892">
        <v>4.84</v>
      </c>
      <c r="BC892">
        <v>57</v>
      </c>
      <c r="BD892">
        <v>-0.02</v>
      </c>
      <c r="BE892">
        <v>-0.04</v>
      </c>
      <c r="BF892">
        <v>-0.12</v>
      </c>
      <c r="BG892">
        <v>94</v>
      </c>
      <c r="BH892">
        <v>0</v>
      </c>
      <c r="BI892">
        <v>-16.12</v>
      </c>
      <c r="BJ892">
        <v>101</v>
      </c>
      <c r="BK892">
        <v>43</v>
      </c>
      <c r="BL892">
        <v>2.52</v>
      </c>
      <c r="BM892">
        <v>-0.13</v>
      </c>
      <c r="BN892">
        <v>0.88</v>
      </c>
      <c r="BO892">
        <v>0.86</v>
      </c>
      <c r="BP892">
        <v>-0.16</v>
      </c>
      <c r="BQ892">
        <v>4.4800000000000004</v>
      </c>
      <c r="BR892">
        <v>-1.02</v>
      </c>
      <c r="BS892">
        <v>0.55000000000000004</v>
      </c>
      <c r="BT892">
        <v>1.98</v>
      </c>
      <c r="BU892">
        <v>2.14</v>
      </c>
      <c r="BV892">
        <v>2.91</v>
      </c>
      <c r="BW892">
        <v>2.63</v>
      </c>
      <c r="BX892">
        <v>1.87</v>
      </c>
      <c r="BY892">
        <v>1.75</v>
      </c>
      <c r="BZ892">
        <v>0.41</v>
      </c>
      <c r="CA892">
        <v>2.15</v>
      </c>
      <c r="CB892">
        <v>1.95</v>
      </c>
      <c r="CC892">
        <v>1.42</v>
      </c>
      <c r="CD892">
        <v>-0.56999999999999995</v>
      </c>
      <c r="CE892">
        <v>0.96</v>
      </c>
      <c r="CF892">
        <v>2.65</v>
      </c>
      <c r="CG892">
        <v>0</v>
      </c>
      <c r="CH892">
        <v>1.79</v>
      </c>
      <c r="CI892">
        <v>0</v>
      </c>
      <c r="CJ892">
        <v>0.3</v>
      </c>
      <c r="CK892">
        <v>96</v>
      </c>
      <c r="CL892">
        <v>-1.17</v>
      </c>
      <c r="CM892">
        <v>94</v>
      </c>
      <c r="CN892">
        <v>-0.46</v>
      </c>
      <c r="CO892">
        <v>94</v>
      </c>
      <c r="CP892">
        <v>6.1</v>
      </c>
      <c r="CQ892">
        <v>76</v>
      </c>
      <c r="CR892">
        <v>0</v>
      </c>
      <c r="CS892">
        <v>0</v>
      </c>
      <c r="CT892">
        <v>18.399999999999999</v>
      </c>
      <c r="CU892">
        <v>72</v>
      </c>
      <c r="CV892">
        <v>0.32</v>
      </c>
      <c r="CW892">
        <v>45</v>
      </c>
      <c r="CX892" t="s">
        <v>1924</v>
      </c>
    </row>
    <row r="893" spans="1:102" x14ac:dyDescent="0.3">
      <c r="A893" t="str">
        <f>HYPERLINK("https://webapp.icbf.com/v2/app/bull-search/view/505059070","KZR")</f>
        <v>KZR</v>
      </c>
      <c r="B893" t="s">
        <v>9716</v>
      </c>
      <c r="C893" t="s">
        <v>9717</v>
      </c>
      <c r="D893" s="1">
        <v>39161</v>
      </c>
      <c r="E893" t="s">
        <v>227</v>
      </c>
      <c r="F893">
        <v>0</v>
      </c>
      <c r="G893" t="s">
        <v>93</v>
      </c>
      <c r="H893">
        <v>150.96</v>
      </c>
      <c r="I893">
        <v>85</v>
      </c>
      <c r="J893">
        <v>26.39</v>
      </c>
      <c r="K893">
        <v>96</v>
      </c>
      <c r="L893">
        <v>88.57</v>
      </c>
      <c r="M893">
        <v>76</v>
      </c>
      <c r="N893">
        <v>18.79</v>
      </c>
      <c r="O893">
        <v>81</v>
      </c>
      <c r="P893">
        <v>-51.88</v>
      </c>
      <c r="Q893">
        <v>86</v>
      </c>
      <c r="R893">
        <v>7.6</v>
      </c>
      <c r="S893">
        <v>79</v>
      </c>
      <c r="T893">
        <v>64.150000000000006</v>
      </c>
      <c r="U893">
        <v>83</v>
      </c>
      <c r="V893">
        <v>-2.66</v>
      </c>
      <c r="W893">
        <v>83</v>
      </c>
      <c r="X893" t="s">
        <v>94</v>
      </c>
      <c r="Y893" t="s">
        <v>4217</v>
      </c>
      <c r="Z893">
        <v>0</v>
      </c>
      <c r="AA893" t="s">
        <v>4968</v>
      </c>
      <c r="AB893" t="s">
        <v>9718</v>
      </c>
      <c r="AC893">
        <v>54</v>
      </c>
      <c r="AD893">
        <v>43</v>
      </c>
      <c r="AE893">
        <v>96</v>
      </c>
      <c r="AF893">
        <v>-523.27</v>
      </c>
      <c r="AG893">
        <v>8.73</v>
      </c>
      <c r="AH893">
        <v>-6.61</v>
      </c>
      <c r="AI893">
        <v>0.56000000000000005</v>
      </c>
      <c r="AJ893">
        <v>0.21</v>
      </c>
      <c r="AK893">
        <v>76</v>
      </c>
      <c r="AL893">
        <v>64</v>
      </c>
      <c r="AM893">
        <v>42</v>
      </c>
      <c r="AN893">
        <v>-2.73</v>
      </c>
      <c r="AO893">
        <v>4.3600000000000003</v>
      </c>
      <c r="AP893">
        <v>96</v>
      </c>
      <c r="AQ893">
        <v>0</v>
      </c>
      <c r="AR893">
        <v>2.5099999999999998</v>
      </c>
      <c r="AS893">
        <v>73</v>
      </c>
      <c r="AT893">
        <v>1.47</v>
      </c>
      <c r="AU893">
        <v>79</v>
      </c>
      <c r="AV893">
        <v>0.15</v>
      </c>
      <c r="AW893">
        <v>94</v>
      </c>
      <c r="AX893">
        <v>0.94</v>
      </c>
      <c r="AY893">
        <v>76</v>
      </c>
      <c r="AZ893">
        <v>5.64</v>
      </c>
      <c r="BA893">
        <v>56</v>
      </c>
      <c r="BB893">
        <v>5.03</v>
      </c>
      <c r="BC893">
        <v>63</v>
      </c>
      <c r="BD893">
        <v>-0.1</v>
      </c>
      <c r="BE893">
        <v>-0.02</v>
      </c>
      <c r="BF893">
        <v>0.03</v>
      </c>
      <c r="BG893">
        <v>85</v>
      </c>
      <c r="BH893">
        <v>-7.0000000000000007E-2</v>
      </c>
      <c r="BI893">
        <v>0.47</v>
      </c>
      <c r="BJ893">
        <v>24</v>
      </c>
      <c r="BK893">
        <v>17</v>
      </c>
      <c r="BL893">
        <v>-2.14</v>
      </c>
      <c r="BM893">
        <v>-2.34</v>
      </c>
      <c r="BN893">
        <v>-1.47</v>
      </c>
      <c r="BO893">
        <v>0.54</v>
      </c>
      <c r="BP893">
        <v>-1.0900000000000001</v>
      </c>
      <c r="BQ893">
        <v>-5.31</v>
      </c>
      <c r="BR893">
        <v>3.2</v>
      </c>
      <c r="BS893">
        <v>3.21</v>
      </c>
      <c r="BT893">
        <v>-3.21</v>
      </c>
      <c r="BU893">
        <v>0.16</v>
      </c>
      <c r="BV893">
        <v>-0.35</v>
      </c>
      <c r="BW893">
        <v>-2.93</v>
      </c>
      <c r="BX893">
        <v>-0.93</v>
      </c>
      <c r="BY893">
        <v>-0.35</v>
      </c>
      <c r="BZ893">
        <v>-3.02</v>
      </c>
      <c r="CA893">
        <v>-0.15</v>
      </c>
      <c r="CB893">
        <v>-0.45</v>
      </c>
      <c r="CC893">
        <v>0.42</v>
      </c>
      <c r="CD893">
        <v>-2.69</v>
      </c>
      <c r="CE893">
        <v>0.43</v>
      </c>
      <c r="CF893">
        <v>-3.24</v>
      </c>
      <c r="CG893">
        <v>0</v>
      </c>
      <c r="CH893">
        <v>-1.88</v>
      </c>
      <c r="CI893">
        <v>0</v>
      </c>
      <c r="CJ893">
        <v>-27.3</v>
      </c>
      <c r="CK893">
        <v>88</v>
      </c>
      <c r="CL893">
        <v>-0.93</v>
      </c>
      <c r="CM893">
        <v>85</v>
      </c>
      <c r="CN893">
        <v>-0.21</v>
      </c>
      <c r="CO893">
        <v>83</v>
      </c>
      <c r="CP893">
        <v>-47.1</v>
      </c>
      <c r="CQ893">
        <v>82</v>
      </c>
      <c r="CR893">
        <v>0</v>
      </c>
      <c r="CS893">
        <v>0</v>
      </c>
      <c r="CT893">
        <v>-72.900000000000006</v>
      </c>
      <c r="CU893">
        <v>83</v>
      </c>
      <c r="CV893">
        <v>-0.22</v>
      </c>
      <c r="CW893">
        <v>43</v>
      </c>
      <c r="CX893" t="s">
        <v>9719</v>
      </c>
    </row>
    <row r="894" spans="1:102" x14ac:dyDescent="0.3">
      <c r="A894" t="str">
        <f>HYPERLINK("https://webapp.icbf.com/v2/app/bull-search/view/493722993","TUY")</f>
        <v>TUY</v>
      </c>
      <c r="B894" t="s">
        <v>1400</v>
      </c>
      <c r="C894" t="s">
        <v>1401</v>
      </c>
      <c r="D894" s="1">
        <v>39100</v>
      </c>
      <c r="E894" t="s">
        <v>395</v>
      </c>
      <c r="F894">
        <v>0</v>
      </c>
      <c r="G894" t="s">
        <v>93</v>
      </c>
      <c r="H894">
        <v>150.94999999999999</v>
      </c>
      <c r="I894">
        <v>93</v>
      </c>
      <c r="J894">
        <v>4.82</v>
      </c>
      <c r="K894">
        <v>99</v>
      </c>
      <c r="L894">
        <v>93.05</v>
      </c>
      <c r="M894">
        <v>87</v>
      </c>
      <c r="N894">
        <v>39.81</v>
      </c>
      <c r="O894">
        <v>95</v>
      </c>
      <c r="P894">
        <v>-12.24</v>
      </c>
      <c r="Q894">
        <v>98</v>
      </c>
      <c r="R894">
        <v>7.61</v>
      </c>
      <c r="S894">
        <v>89</v>
      </c>
      <c r="T894">
        <v>23.3</v>
      </c>
      <c r="U894">
        <v>95</v>
      </c>
      <c r="V894">
        <v>-5.4</v>
      </c>
      <c r="W894">
        <v>90</v>
      </c>
      <c r="X894" t="s">
        <v>94</v>
      </c>
      <c r="Y894" t="s">
        <v>1113</v>
      </c>
      <c r="Z894">
        <v>0</v>
      </c>
      <c r="AA894" t="s">
        <v>425</v>
      </c>
      <c r="AB894" t="s">
        <v>1402</v>
      </c>
      <c r="AC894">
        <v>357</v>
      </c>
      <c r="AD894">
        <v>172</v>
      </c>
      <c r="AE894">
        <v>99</v>
      </c>
      <c r="AF894">
        <v>-206.91</v>
      </c>
      <c r="AG894">
        <v>-4.4000000000000004</v>
      </c>
      <c r="AH894">
        <v>-0.79</v>
      </c>
      <c r="AI894">
        <v>7.0000000000000007E-2</v>
      </c>
      <c r="AJ894">
        <v>0.11</v>
      </c>
      <c r="AK894">
        <v>87</v>
      </c>
      <c r="AL894">
        <v>422</v>
      </c>
      <c r="AM894">
        <v>209</v>
      </c>
      <c r="AN894">
        <v>-5.1100000000000003</v>
      </c>
      <c r="AO894">
        <v>2.31</v>
      </c>
      <c r="AP894">
        <v>805</v>
      </c>
      <c r="AQ894">
        <v>6</v>
      </c>
      <c r="AR894">
        <v>4.1399999999999997</v>
      </c>
      <c r="AS894">
        <v>88</v>
      </c>
      <c r="AT894">
        <v>1.91</v>
      </c>
      <c r="AU894">
        <v>96</v>
      </c>
      <c r="AV894">
        <v>-2.83</v>
      </c>
      <c r="AW894">
        <v>99</v>
      </c>
      <c r="AX894">
        <v>-1.38</v>
      </c>
      <c r="AY894">
        <v>94</v>
      </c>
      <c r="AZ894">
        <v>6.55</v>
      </c>
      <c r="BA894">
        <v>84</v>
      </c>
      <c r="BB894">
        <v>5.5</v>
      </c>
      <c r="BC894">
        <v>85</v>
      </c>
      <c r="BD894">
        <v>-0.06</v>
      </c>
      <c r="BE894">
        <v>-0.05</v>
      </c>
      <c r="BF894">
        <v>0.02</v>
      </c>
      <c r="BG894">
        <v>96</v>
      </c>
      <c r="BH894">
        <v>-0.12</v>
      </c>
      <c r="BI894">
        <v>3.53</v>
      </c>
      <c r="BJ894">
        <v>34</v>
      </c>
      <c r="BK894">
        <v>18</v>
      </c>
      <c r="BL894">
        <v>-2.78</v>
      </c>
      <c r="BM894">
        <v>0.95</v>
      </c>
      <c r="BN894">
        <v>-2.56</v>
      </c>
      <c r="BO894">
        <v>-2.48</v>
      </c>
      <c r="BP894">
        <v>-0.15</v>
      </c>
      <c r="BQ894">
        <v>-2.1</v>
      </c>
      <c r="BR894">
        <v>2.1</v>
      </c>
      <c r="BS894">
        <v>-1.07</v>
      </c>
      <c r="BT894">
        <v>-3.18</v>
      </c>
      <c r="BU894">
        <v>-3.01</v>
      </c>
      <c r="BV894">
        <v>-3.35</v>
      </c>
      <c r="BW894">
        <v>-3.21</v>
      </c>
      <c r="BX894">
        <v>-2.77</v>
      </c>
      <c r="BY894">
        <v>-2.13</v>
      </c>
      <c r="BZ894">
        <v>0.75</v>
      </c>
      <c r="CA894">
        <v>-3.05</v>
      </c>
      <c r="CB894">
        <v>-2.87</v>
      </c>
      <c r="CC894">
        <v>-2.31</v>
      </c>
      <c r="CD894">
        <v>1.05</v>
      </c>
      <c r="CE894">
        <v>-2.48</v>
      </c>
      <c r="CF894">
        <v>-2.83</v>
      </c>
      <c r="CG894">
        <v>0</v>
      </c>
      <c r="CH894">
        <v>-3.43</v>
      </c>
      <c r="CI894">
        <v>0</v>
      </c>
      <c r="CJ894">
        <v>-5.2</v>
      </c>
      <c r="CK894">
        <v>99</v>
      </c>
      <c r="CL894">
        <v>-0.26</v>
      </c>
      <c r="CM894">
        <v>98</v>
      </c>
      <c r="CN894">
        <v>0.02</v>
      </c>
      <c r="CO894">
        <v>98</v>
      </c>
      <c r="CP894">
        <v>-14.3</v>
      </c>
      <c r="CQ894">
        <v>94</v>
      </c>
      <c r="CR894">
        <v>0</v>
      </c>
      <c r="CS894">
        <v>0</v>
      </c>
      <c r="CT894">
        <v>-17.7</v>
      </c>
      <c r="CU894">
        <v>95</v>
      </c>
      <c r="CV894">
        <v>-0.03</v>
      </c>
      <c r="CW894">
        <v>46</v>
      </c>
      <c r="CX894" t="s">
        <v>1044</v>
      </c>
    </row>
    <row r="895" spans="1:102" x14ac:dyDescent="0.3">
      <c r="A895" t="str">
        <f>HYPERLINK("https://webapp.icbf.com/v2/app/bull-search/view/767859544","GNZ")</f>
        <v>GNZ</v>
      </c>
      <c r="B895" t="s">
        <v>14893</v>
      </c>
      <c r="C895" t="s">
        <v>14894</v>
      </c>
      <c r="D895" s="1">
        <v>40283</v>
      </c>
      <c r="E895" t="s">
        <v>92</v>
      </c>
      <c r="F895">
        <v>84</v>
      </c>
      <c r="G895" t="s">
        <v>435</v>
      </c>
      <c r="H895">
        <v>150.91</v>
      </c>
      <c r="I895">
        <v>71</v>
      </c>
      <c r="J895">
        <v>70.760000000000005</v>
      </c>
      <c r="K895">
        <v>88</v>
      </c>
      <c r="L895">
        <v>54.36</v>
      </c>
      <c r="M895">
        <v>68</v>
      </c>
      <c r="N895">
        <v>27.05</v>
      </c>
      <c r="O895">
        <v>60</v>
      </c>
      <c r="P895">
        <v>-18.25</v>
      </c>
      <c r="Q895">
        <v>60</v>
      </c>
      <c r="R895">
        <v>9</v>
      </c>
      <c r="S895">
        <v>67</v>
      </c>
      <c r="T895">
        <v>4.6500000000000004</v>
      </c>
      <c r="U895">
        <v>50</v>
      </c>
      <c r="V895">
        <v>3.34</v>
      </c>
      <c r="W895">
        <v>62</v>
      </c>
      <c r="X895" t="s">
        <v>94</v>
      </c>
      <c r="Y895" t="s">
        <v>1685</v>
      </c>
      <c r="Z895" t="s">
        <v>330</v>
      </c>
      <c r="AA895" t="s">
        <v>5435</v>
      </c>
      <c r="AB895" t="s">
        <v>14895</v>
      </c>
      <c r="AC895">
        <v>1</v>
      </c>
      <c r="AD895">
        <v>1</v>
      </c>
      <c r="AE895">
        <v>88</v>
      </c>
      <c r="AF895">
        <v>50.82</v>
      </c>
      <c r="AG895">
        <v>7.58</v>
      </c>
      <c r="AH895">
        <v>10.130000000000001</v>
      </c>
      <c r="AI895">
        <v>0.09</v>
      </c>
      <c r="AJ895">
        <v>0.15</v>
      </c>
      <c r="AK895">
        <v>68</v>
      </c>
      <c r="AL895">
        <v>4</v>
      </c>
      <c r="AM895">
        <v>4</v>
      </c>
      <c r="AN895">
        <v>-3.37</v>
      </c>
      <c r="AO895">
        <v>0.96</v>
      </c>
      <c r="AP895">
        <v>4</v>
      </c>
      <c r="AQ895">
        <v>0</v>
      </c>
      <c r="AR895">
        <v>6.23</v>
      </c>
      <c r="AS895">
        <v>56</v>
      </c>
      <c r="AT895">
        <v>2.94</v>
      </c>
      <c r="AU895">
        <v>66</v>
      </c>
      <c r="AV895">
        <v>-3.3</v>
      </c>
      <c r="AW895">
        <v>64</v>
      </c>
      <c r="AX895">
        <v>0.13</v>
      </c>
      <c r="AY895">
        <v>50</v>
      </c>
      <c r="AZ895">
        <v>6.85</v>
      </c>
      <c r="BA895">
        <v>47</v>
      </c>
      <c r="BB895">
        <v>5.6</v>
      </c>
      <c r="BC895">
        <v>49</v>
      </c>
      <c r="BD895">
        <v>-0.06</v>
      </c>
      <c r="BE895">
        <v>-0.03</v>
      </c>
      <c r="BF895">
        <v>-0.05</v>
      </c>
      <c r="BG895">
        <v>75</v>
      </c>
      <c r="BH895">
        <v>0.15</v>
      </c>
      <c r="BI895">
        <v>6.57</v>
      </c>
      <c r="BJ895">
        <v>0</v>
      </c>
      <c r="BK895">
        <v>0</v>
      </c>
      <c r="BL895">
        <v>0.06</v>
      </c>
      <c r="BM895">
        <v>1.6</v>
      </c>
      <c r="BN895">
        <v>0</v>
      </c>
      <c r="BO895">
        <v>-0.57999999999999996</v>
      </c>
      <c r="BP895">
        <v>-0.79</v>
      </c>
      <c r="BQ895">
        <v>0.99</v>
      </c>
      <c r="BR895">
        <v>0.75</v>
      </c>
      <c r="BS895">
        <v>-1.42</v>
      </c>
      <c r="BT895">
        <v>-0.57999999999999996</v>
      </c>
      <c r="BU895">
        <v>-0.03</v>
      </c>
      <c r="BV895">
        <v>0.1</v>
      </c>
      <c r="BW895">
        <v>-0.28000000000000003</v>
      </c>
      <c r="BX895">
        <v>0.1</v>
      </c>
      <c r="BY895">
        <v>0.13</v>
      </c>
      <c r="BZ895">
        <v>-1.29</v>
      </c>
      <c r="CA895">
        <v>-0.28000000000000003</v>
      </c>
      <c r="CB895">
        <v>-0.18</v>
      </c>
      <c r="CC895">
        <v>-0.84</v>
      </c>
      <c r="CD895">
        <v>1.1100000000000001</v>
      </c>
      <c r="CE895">
        <v>-0.6</v>
      </c>
      <c r="CF895">
        <v>0.02</v>
      </c>
      <c r="CG895">
        <v>0</v>
      </c>
      <c r="CH895">
        <v>-0.56000000000000005</v>
      </c>
      <c r="CI895">
        <v>0</v>
      </c>
      <c r="CJ895">
        <v>-6.4</v>
      </c>
      <c r="CK895">
        <v>62</v>
      </c>
      <c r="CL895">
        <v>-1.22</v>
      </c>
      <c r="CM895">
        <v>58</v>
      </c>
      <c r="CN895">
        <v>-0.32</v>
      </c>
      <c r="CO895">
        <v>57</v>
      </c>
      <c r="CP895">
        <v>-3.8</v>
      </c>
      <c r="CQ895">
        <v>54</v>
      </c>
      <c r="CR895">
        <v>0</v>
      </c>
      <c r="CS895">
        <v>0</v>
      </c>
      <c r="CT895">
        <v>7.5</v>
      </c>
      <c r="CU895">
        <v>50</v>
      </c>
      <c r="CV895">
        <v>0.13</v>
      </c>
      <c r="CW895">
        <v>38</v>
      </c>
      <c r="CX895" t="s">
        <v>6500</v>
      </c>
    </row>
    <row r="896" spans="1:102" x14ac:dyDescent="0.3">
      <c r="A896" t="str">
        <f>HYPERLINK("https://webapp.icbf.com/v2/app/bull-search/view/1053950287","OZC")</f>
        <v>OZC</v>
      </c>
      <c r="B896" t="s">
        <v>13330</v>
      </c>
      <c r="C896" t="s">
        <v>13331</v>
      </c>
      <c r="D896" s="1">
        <v>41196</v>
      </c>
      <c r="E896" t="s">
        <v>92</v>
      </c>
      <c r="F896">
        <v>100</v>
      </c>
      <c r="G896" t="s">
        <v>93</v>
      </c>
      <c r="H896">
        <v>150.5</v>
      </c>
      <c r="I896">
        <v>89</v>
      </c>
      <c r="J896">
        <v>37.130000000000003</v>
      </c>
      <c r="K896">
        <v>99</v>
      </c>
      <c r="L896">
        <v>74.349999999999994</v>
      </c>
      <c r="M896">
        <v>83</v>
      </c>
      <c r="N896">
        <v>29.48</v>
      </c>
      <c r="O896">
        <v>92</v>
      </c>
      <c r="P896">
        <v>-2.16</v>
      </c>
      <c r="Q896">
        <v>96</v>
      </c>
      <c r="R896">
        <v>24.41</v>
      </c>
      <c r="S896">
        <v>81</v>
      </c>
      <c r="T896">
        <v>-13.48</v>
      </c>
      <c r="U896">
        <v>80</v>
      </c>
      <c r="V896">
        <v>0.77</v>
      </c>
      <c r="W896">
        <v>71</v>
      </c>
      <c r="X896" t="s">
        <v>234</v>
      </c>
      <c r="Y896" t="s">
        <v>2066</v>
      </c>
      <c r="Z896" t="s">
        <v>96</v>
      </c>
      <c r="AA896" t="s">
        <v>2139</v>
      </c>
      <c r="AB896" t="s">
        <v>2140</v>
      </c>
      <c r="AC896">
        <v>374</v>
      </c>
      <c r="AD896">
        <v>119</v>
      </c>
      <c r="AE896">
        <v>99</v>
      </c>
      <c r="AF896">
        <v>156.59</v>
      </c>
      <c r="AG896">
        <v>3.65</v>
      </c>
      <c r="AH896">
        <v>7.42</v>
      </c>
      <c r="AI896">
        <v>-0.04</v>
      </c>
      <c r="AJ896">
        <v>0.04</v>
      </c>
      <c r="AK896">
        <v>83</v>
      </c>
      <c r="AL896">
        <v>314</v>
      </c>
      <c r="AM896">
        <v>116</v>
      </c>
      <c r="AN896">
        <v>-3.23</v>
      </c>
      <c r="AO896">
        <v>2.71</v>
      </c>
      <c r="AP896">
        <v>975</v>
      </c>
      <c r="AQ896">
        <v>1</v>
      </c>
      <c r="AR896">
        <v>6.35</v>
      </c>
      <c r="AS896">
        <v>92</v>
      </c>
      <c r="AT896">
        <v>3.34</v>
      </c>
      <c r="AU896">
        <v>96</v>
      </c>
      <c r="AV896">
        <v>-3.66</v>
      </c>
      <c r="AW896">
        <v>98</v>
      </c>
      <c r="AX896">
        <v>-0.26</v>
      </c>
      <c r="AY896">
        <v>94</v>
      </c>
      <c r="AZ896">
        <v>7.5</v>
      </c>
      <c r="BA896">
        <v>84</v>
      </c>
      <c r="BB896">
        <v>5</v>
      </c>
      <c r="BC896">
        <v>69</v>
      </c>
      <c r="BD896">
        <v>-0.08</v>
      </c>
      <c r="BE896">
        <v>-0.12</v>
      </c>
      <c r="BF896">
        <v>-0.2</v>
      </c>
      <c r="BG896">
        <v>95</v>
      </c>
      <c r="BH896">
        <v>-0.06</v>
      </c>
      <c r="BI896">
        <v>-9.42</v>
      </c>
      <c r="BJ896">
        <v>116</v>
      </c>
      <c r="BK896">
        <v>42</v>
      </c>
      <c r="BL896">
        <v>1.85</v>
      </c>
      <c r="BM896">
        <v>0.82</v>
      </c>
      <c r="BN896">
        <v>-0.59</v>
      </c>
      <c r="BO896">
        <v>-0.02</v>
      </c>
      <c r="BP896">
        <v>-0.43</v>
      </c>
      <c r="BQ896">
        <v>2.41</v>
      </c>
      <c r="BR896">
        <v>2.06</v>
      </c>
      <c r="BS896">
        <v>-1.02</v>
      </c>
      <c r="BT896">
        <v>-1.43</v>
      </c>
      <c r="BU896">
        <v>4.3899999999999997</v>
      </c>
      <c r="BV896">
        <v>3.87</v>
      </c>
      <c r="BW896">
        <v>3.02</v>
      </c>
      <c r="BX896">
        <v>5.28</v>
      </c>
      <c r="BY896">
        <v>3.41</v>
      </c>
      <c r="BZ896">
        <v>-2.02</v>
      </c>
      <c r="CA896">
        <v>2.41</v>
      </c>
      <c r="CB896">
        <v>3.1</v>
      </c>
      <c r="CC896">
        <v>-0.38</v>
      </c>
      <c r="CD896">
        <v>0.9</v>
      </c>
      <c r="CE896">
        <v>0.38</v>
      </c>
      <c r="CF896">
        <v>1.56</v>
      </c>
      <c r="CG896">
        <v>0</v>
      </c>
      <c r="CH896">
        <v>3.07</v>
      </c>
      <c r="CI896">
        <v>0</v>
      </c>
      <c r="CJ896">
        <v>1.3</v>
      </c>
      <c r="CK896">
        <v>98</v>
      </c>
      <c r="CL896">
        <v>-1.08</v>
      </c>
      <c r="CM896">
        <v>97</v>
      </c>
      <c r="CN896">
        <v>-0.45</v>
      </c>
      <c r="CO896">
        <v>97</v>
      </c>
      <c r="CP896">
        <v>12.8</v>
      </c>
      <c r="CQ896">
        <v>83</v>
      </c>
      <c r="CR896">
        <v>0</v>
      </c>
      <c r="CS896">
        <v>0</v>
      </c>
      <c r="CT896">
        <v>32</v>
      </c>
      <c r="CU896">
        <v>80</v>
      </c>
      <c r="CV896">
        <v>0.3</v>
      </c>
      <c r="CW896">
        <v>46</v>
      </c>
      <c r="CX896" t="s">
        <v>1848</v>
      </c>
    </row>
    <row r="897" spans="1:102" x14ac:dyDescent="0.3">
      <c r="A897" t="str">
        <f>HYPERLINK("https://webapp.icbf.com/v2/app/bull-search/view/1013736486","FSL")</f>
        <v>FSL</v>
      </c>
      <c r="B897" t="s">
        <v>5849</v>
      </c>
      <c r="C897" t="s">
        <v>5850</v>
      </c>
      <c r="D897" s="1">
        <v>40793</v>
      </c>
      <c r="E897" t="s">
        <v>227</v>
      </c>
      <c r="F897">
        <v>0</v>
      </c>
      <c r="G897" t="s">
        <v>109</v>
      </c>
      <c r="H897">
        <v>150.47</v>
      </c>
      <c r="I897">
        <v>72</v>
      </c>
      <c r="J897">
        <v>88.31</v>
      </c>
      <c r="K897">
        <v>90</v>
      </c>
      <c r="L897">
        <v>9.57</v>
      </c>
      <c r="M897">
        <v>65</v>
      </c>
      <c r="N897">
        <v>41.01</v>
      </c>
      <c r="O897">
        <v>63</v>
      </c>
      <c r="P897">
        <v>-39.06</v>
      </c>
      <c r="Q897">
        <v>61</v>
      </c>
      <c r="R897">
        <v>1.74</v>
      </c>
      <c r="S897">
        <v>62</v>
      </c>
      <c r="T897">
        <v>38.39</v>
      </c>
      <c r="U897">
        <v>55</v>
      </c>
      <c r="V897">
        <v>10.51</v>
      </c>
      <c r="W897">
        <v>64</v>
      </c>
      <c r="X897" t="s">
        <v>276</v>
      </c>
      <c r="Y897" t="s">
        <v>1923</v>
      </c>
      <c r="Z897">
        <v>0</v>
      </c>
      <c r="AA897" t="s">
        <v>5851</v>
      </c>
      <c r="AB897" t="s">
        <v>5852</v>
      </c>
      <c r="AC897">
        <v>0</v>
      </c>
      <c r="AD897">
        <v>0</v>
      </c>
      <c r="AE897">
        <v>90</v>
      </c>
      <c r="AF897">
        <v>-163.53</v>
      </c>
      <c r="AG897">
        <v>22.49</v>
      </c>
      <c r="AH897">
        <v>4.5599999999999996</v>
      </c>
      <c r="AI897">
        <v>0.52</v>
      </c>
      <c r="AJ897">
        <v>0.18</v>
      </c>
      <c r="AK897">
        <v>65</v>
      </c>
      <c r="AL897">
        <v>0</v>
      </c>
      <c r="AM897">
        <v>0</v>
      </c>
      <c r="AN897">
        <v>0.77</v>
      </c>
      <c r="AO897">
        <v>1.55</v>
      </c>
      <c r="AP897">
        <v>28</v>
      </c>
      <c r="AQ897">
        <v>2</v>
      </c>
      <c r="AR897">
        <v>3.35</v>
      </c>
      <c r="AS897">
        <v>49</v>
      </c>
      <c r="AT897">
        <v>1.9</v>
      </c>
      <c r="AU897">
        <v>63</v>
      </c>
      <c r="AV897">
        <v>-3.54</v>
      </c>
      <c r="AW897">
        <v>78</v>
      </c>
      <c r="AX897">
        <v>0.45</v>
      </c>
      <c r="AY897">
        <v>49</v>
      </c>
      <c r="AZ897">
        <v>7.65</v>
      </c>
      <c r="BA897">
        <v>43</v>
      </c>
      <c r="BB897">
        <v>5.38</v>
      </c>
      <c r="BC897">
        <v>42</v>
      </c>
      <c r="BD897">
        <v>-0.06</v>
      </c>
      <c r="BE897">
        <v>0</v>
      </c>
      <c r="BF897">
        <v>0.06</v>
      </c>
      <c r="BG897">
        <v>68</v>
      </c>
      <c r="BH897">
        <v>0.24</v>
      </c>
      <c r="BI897">
        <v>-6.14</v>
      </c>
      <c r="BJ897">
        <v>0</v>
      </c>
      <c r="BK897">
        <v>0</v>
      </c>
      <c r="BL897">
        <v>-2.63</v>
      </c>
      <c r="BM897">
        <v>-1.78</v>
      </c>
      <c r="BN897">
        <v>-0.22</v>
      </c>
      <c r="BO897">
        <v>1.27</v>
      </c>
      <c r="BP897">
        <v>-0.32</v>
      </c>
      <c r="BQ897">
        <v>-5.58</v>
      </c>
      <c r="BR897">
        <v>3.32</v>
      </c>
      <c r="BS897">
        <v>5.33</v>
      </c>
      <c r="BT897">
        <v>-1.72</v>
      </c>
      <c r="BU897">
        <v>-0.93</v>
      </c>
      <c r="BV897">
        <v>-0.62</v>
      </c>
      <c r="BW897">
        <v>-2.5299999999999998</v>
      </c>
      <c r="BX897">
        <v>-3.57</v>
      </c>
      <c r="BY897">
        <v>0.08</v>
      </c>
      <c r="BZ897">
        <v>-1.06</v>
      </c>
      <c r="CA897">
        <v>0.6</v>
      </c>
      <c r="CB897">
        <v>-0.7</v>
      </c>
      <c r="CC897">
        <v>3.11</v>
      </c>
      <c r="CD897">
        <v>-2.2799999999999998</v>
      </c>
      <c r="CE897">
        <v>0.77</v>
      </c>
      <c r="CF897">
        <v>-3.04</v>
      </c>
      <c r="CG897">
        <v>0</v>
      </c>
      <c r="CH897">
        <v>-1.07</v>
      </c>
      <c r="CI897">
        <v>0</v>
      </c>
      <c r="CJ897">
        <v>-16.5</v>
      </c>
      <c r="CK897">
        <v>64</v>
      </c>
      <c r="CL897">
        <v>-1.21</v>
      </c>
      <c r="CM897">
        <v>59</v>
      </c>
      <c r="CN897">
        <v>-7.0000000000000007E-2</v>
      </c>
      <c r="CO897">
        <v>56</v>
      </c>
      <c r="CP897">
        <v>-30.8</v>
      </c>
      <c r="CQ897">
        <v>56</v>
      </c>
      <c r="CR897">
        <v>0</v>
      </c>
      <c r="CS897">
        <v>0</v>
      </c>
      <c r="CT897">
        <v>-38.1</v>
      </c>
      <c r="CU897">
        <v>55</v>
      </c>
      <c r="CV897">
        <v>-0.1</v>
      </c>
      <c r="CW897">
        <v>38</v>
      </c>
      <c r="CX897" t="s">
        <v>1525</v>
      </c>
    </row>
    <row r="898" spans="1:102" x14ac:dyDescent="0.3">
      <c r="A898" t="str">
        <f>HYPERLINK("https://webapp.icbf.com/v2/app/bull-search/view/563607214","LUB")</f>
        <v>LUB</v>
      </c>
      <c r="B898" t="s">
        <v>7512</v>
      </c>
      <c r="C898" t="s">
        <v>7513</v>
      </c>
      <c r="D898" s="1">
        <v>39499</v>
      </c>
      <c r="E898" t="s">
        <v>92</v>
      </c>
      <c r="F898">
        <v>41</v>
      </c>
      <c r="G898" t="s">
        <v>93</v>
      </c>
      <c r="H898">
        <v>150.46</v>
      </c>
      <c r="I898">
        <v>84</v>
      </c>
      <c r="J898">
        <v>63.43</v>
      </c>
      <c r="K898">
        <v>95</v>
      </c>
      <c r="L898">
        <v>50.28</v>
      </c>
      <c r="M898">
        <v>75</v>
      </c>
      <c r="N898">
        <v>26.18</v>
      </c>
      <c r="O898">
        <v>81</v>
      </c>
      <c r="P898">
        <v>-34.450000000000003</v>
      </c>
      <c r="Q898">
        <v>87</v>
      </c>
      <c r="R898">
        <v>1.1200000000000001</v>
      </c>
      <c r="S898">
        <v>77</v>
      </c>
      <c r="T898">
        <v>34.4</v>
      </c>
      <c r="U898">
        <v>87</v>
      </c>
      <c r="V898">
        <v>9.5</v>
      </c>
      <c r="W898">
        <v>77</v>
      </c>
      <c r="X898" t="s">
        <v>94</v>
      </c>
      <c r="Y898" t="s">
        <v>329</v>
      </c>
      <c r="Z898" t="s">
        <v>330</v>
      </c>
      <c r="AA898" t="s">
        <v>2990</v>
      </c>
      <c r="AB898" t="s">
        <v>144</v>
      </c>
      <c r="AC898">
        <v>57</v>
      </c>
      <c r="AD898">
        <v>29</v>
      </c>
      <c r="AE898">
        <v>95</v>
      </c>
      <c r="AF898">
        <v>-229.56</v>
      </c>
      <c r="AG898">
        <v>14.26</v>
      </c>
      <c r="AH898">
        <v>2.23</v>
      </c>
      <c r="AI898">
        <v>0.42</v>
      </c>
      <c r="AJ898">
        <v>0.18</v>
      </c>
      <c r="AK898">
        <v>75</v>
      </c>
      <c r="AL898">
        <v>61</v>
      </c>
      <c r="AM898">
        <v>31</v>
      </c>
      <c r="AN898">
        <v>-1.96</v>
      </c>
      <c r="AO898">
        <v>2.06</v>
      </c>
      <c r="AP898">
        <v>101</v>
      </c>
      <c r="AQ898">
        <v>0</v>
      </c>
      <c r="AR898">
        <v>5.77</v>
      </c>
      <c r="AS898">
        <v>64</v>
      </c>
      <c r="AT898">
        <v>2.5</v>
      </c>
      <c r="AU898">
        <v>81</v>
      </c>
      <c r="AV898">
        <v>-1.81</v>
      </c>
      <c r="AW898">
        <v>95</v>
      </c>
      <c r="AX898">
        <v>-0.84</v>
      </c>
      <c r="AY898">
        <v>75</v>
      </c>
      <c r="AZ898">
        <v>6.56</v>
      </c>
      <c r="BA898">
        <v>58</v>
      </c>
      <c r="BB898">
        <v>4.92</v>
      </c>
      <c r="BC898">
        <v>59</v>
      </c>
      <c r="BD898">
        <v>-0.04</v>
      </c>
      <c r="BE898">
        <v>-0.01</v>
      </c>
      <c r="BF898">
        <v>0.06</v>
      </c>
      <c r="BG898">
        <v>85</v>
      </c>
      <c r="BH898">
        <v>0.11</v>
      </c>
      <c r="BI898">
        <v>-17.920000000000002</v>
      </c>
      <c r="BJ898">
        <v>3</v>
      </c>
      <c r="BK898">
        <v>2</v>
      </c>
      <c r="BL898">
        <v>-1.89</v>
      </c>
      <c r="BM898">
        <v>0.22</v>
      </c>
      <c r="BN898">
        <v>-0.16</v>
      </c>
      <c r="BO898">
        <v>-0.38</v>
      </c>
      <c r="BP898">
        <v>0.6</v>
      </c>
      <c r="BQ898">
        <v>-2.58</v>
      </c>
      <c r="BR898">
        <v>1.94</v>
      </c>
      <c r="BS898">
        <v>1.0900000000000001</v>
      </c>
      <c r="BT898">
        <v>-1.32</v>
      </c>
      <c r="BU898">
        <v>-2.3199999999999998</v>
      </c>
      <c r="BV898">
        <v>-1.87</v>
      </c>
      <c r="BW898">
        <v>-1.88</v>
      </c>
      <c r="BX898">
        <v>-3.02</v>
      </c>
      <c r="BY898">
        <v>-1.81</v>
      </c>
      <c r="BZ898">
        <v>2.2799999999999998</v>
      </c>
      <c r="CA898">
        <v>-1.3</v>
      </c>
      <c r="CB898">
        <v>-1.55</v>
      </c>
      <c r="CC898">
        <v>-0.08</v>
      </c>
      <c r="CD898">
        <v>0.34</v>
      </c>
      <c r="CE898">
        <v>-0.5</v>
      </c>
      <c r="CF898">
        <v>-1.68</v>
      </c>
      <c r="CG898">
        <v>0</v>
      </c>
      <c r="CH898">
        <v>-1.25</v>
      </c>
      <c r="CI898">
        <v>0</v>
      </c>
      <c r="CJ898">
        <v>-17.600000000000001</v>
      </c>
      <c r="CK898">
        <v>88</v>
      </c>
      <c r="CL898">
        <v>-0.71</v>
      </c>
      <c r="CM898">
        <v>86</v>
      </c>
      <c r="CN898">
        <v>-0.11</v>
      </c>
      <c r="CO898">
        <v>84</v>
      </c>
      <c r="CP898">
        <v>-27.5</v>
      </c>
      <c r="CQ898">
        <v>82</v>
      </c>
      <c r="CR898">
        <v>0</v>
      </c>
      <c r="CS898">
        <v>0</v>
      </c>
      <c r="CT898">
        <v>-32.700000000000003</v>
      </c>
      <c r="CU898">
        <v>87</v>
      </c>
      <c r="CV898">
        <v>-0.1</v>
      </c>
      <c r="CW898">
        <v>44</v>
      </c>
      <c r="CX898" t="s">
        <v>321</v>
      </c>
    </row>
    <row r="899" spans="1:102" x14ac:dyDescent="0.3">
      <c r="A899" t="str">
        <f>HYPERLINK("https://webapp.icbf.com/v2/app/bull-search/view/1146535170","FR2041")</f>
        <v>FR2041</v>
      </c>
      <c r="B899" t="s">
        <v>13518</v>
      </c>
      <c r="C899" t="s">
        <v>13519</v>
      </c>
      <c r="D899" s="1">
        <v>41701</v>
      </c>
      <c r="E899" t="s">
        <v>92</v>
      </c>
      <c r="F899">
        <v>69</v>
      </c>
      <c r="G899" t="s">
        <v>93</v>
      </c>
      <c r="H899">
        <v>150.32</v>
      </c>
      <c r="I899">
        <v>90</v>
      </c>
      <c r="J899">
        <v>36.71</v>
      </c>
      <c r="K899">
        <v>99</v>
      </c>
      <c r="L899">
        <v>87.14</v>
      </c>
      <c r="M899">
        <v>81</v>
      </c>
      <c r="N899">
        <v>45.11</v>
      </c>
      <c r="O899">
        <v>93</v>
      </c>
      <c r="P899">
        <v>-23.08</v>
      </c>
      <c r="Q899">
        <v>98</v>
      </c>
      <c r="R899">
        <v>-1.65</v>
      </c>
      <c r="S899">
        <v>83</v>
      </c>
      <c r="T899">
        <v>10.27</v>
      </c>
      <c r="U899">
        <v>90</v>
      </c>
      <c r="V899">
        <v>-4.18</v>
      </c>
      <c r="W899">
        <v>76</v>
      </c>
      <c r="X899" t="s">
        <v>94</v>
      </c>
      <c r="Y899" t="s">
        <v>416</v>
      </c>
      <c r="Z899" t="s">
        <v>96</v>
      </c>
      <c r="AA899" t="s">
        <v>5741</v>
      </c>
      <c r="AB899" t="s">
        <v>13520</v>
      </c>
      <c r="AC899">
        <v>1413</v>
      </c>
      <c r="AD899">
        <v>473</v>
      </c>
      <c r="AE899">
        <v>99</v>
      </c>
      <c r="AF899">
        <v>59.87</v>
      </c>
      <c r="AG899">
        <v>8.14</v>
      </c>
      <c r="AH899">
        <v>4.28</v>
      </c>
      <c r="AI899">
        <v>0.1</v>
      </c>
      <c r="AJ899">
        <v>0.04</v>
      </c>
      <c r="AK899">
        <v>81</v>
      </c>
      <c r="AL899">
        <v>206</v>
      </c>
      <c r="AM899">
        <v>57</v>
      </c>
      <c r="AN899">
        <v>-6.23</v>
      </c>
      <c r="AO899">
        <v>0.7</v>
      </c>
      <c r="AP899">
        <v>3806</v>
      </c>
      <c r="AQ899">
        <v>27</v>
      </c>
      <c r="AR899">
        <v>4.7699999999999996</v>
      </c>
      <c r="AS899">
        <v>99</v>
      </c>
      <c r="AT899">
        <v>2</v>
      </c>
      <c r="AU899">
        <v>98</v>
      </c>
      <c r="AV899">
        <v>-4.08</v>
      </c>
      <c r="AW899">
        <v>99</v>
      </c>
      <c r="AX899">
        <v>0.16</v>
      </c>
      <c r="AY899">
        <v>98</v>
      </c>
      <c r="AZ899">
        <v>6.57</v>
      </c>
      <c r="BA899">
        <v>94</v>
      </c>
      <c r="BB899">
        <v>5.29</v>
      </c>
      <c r="BC899">
        <v>60</v>
      </c>
      <c r="BD899">
        <v>0</v>
      </c>
      <c r="BE899">
        <v>0.02</v>
      </c>
      <c r="BF899">
        <v>0</v>
      </c>
      <c r="BG899">
        <v>97</v>
      </c>
      <c r="BH899">
        <v>-7.0000000000000007E-2</v>
      </c>
      <c r="BI899">
        <v>5.4</v>
      </c>
      <c r="BJ899">
        <v>7</v>
      </c>
      <c r="BK899">
        <v>3</v>
      </c>
      <c r="BL899">
        <v>-1.6</v>
      </c>
      <c r="BM899">
        <v>2.0699999999999998</v>
      </c>
      <c r="BN899">
        <v>-0.66</v>
      </c>
      <c r="BO899">
        <v>-2.16</v>
      </c>
      <c r="BP899">
        <v>-0.45</v>
      </c>
      <c r="BQ899">
        <v>-0.67</v>
      </c>
      <c r="BR899">
        <v>1.0900000000000001</v>
      </c>
      <c r="BS899">
        <v>-0.33</v>
      </c>
      <c r="BT899">
        <v>-2.41</v>
      </c>
      <c r="BU899">
        <v>-0.91</v>
      </c>
      <c r="BV899">
        <v>-1.1200000000000001</v>
      </c>
      <c r="BW899">
        <v>-2.0299999999999998</v>
      </c>
      <c r="BX899">
        <v>-1.67</v>
      </c>
      <c r="BY899">
        <v>-2.0299999999999998</v>
      </c>
      <c r="BZ899">
        <v>4.33</v>
      </c>
      <c r="CA899">
        <v>-1.31</v>
      </c>
      <c r="CB899">
        <v>-1.61</v>
      </c>
      <c r="CC899">
        <v>-0.55000000000000004</v>
      </c>
      <c r="CD899">
        <v>1.75</v>
      </c>
      <c r="CE899">
        <v>-1.76</v>
      </c>
      <c r="CF899">
        <v>-2.0699999999999998</v>
      </c>
      <c r="CG899">
        <v>0</v>
      </c>
      <c r="CH899">
        <v>-2.73</v>
      </c>
      <c r="CI899">
        <v>0</v>
      </c>
      <c r="CJ899">
        <v>-9.5</v>
      </c>
      <c r="CK899">
        <v>99</v>
      </c>
      <c r="CL899">
        <v>-0.72</v>
      </c>
      <c r="CM899">
        <v>99</v>
      </c>
      <c r="CN899">
        <v>0.1</v>
      </c>
      <c r="CO899">
        <v>99</v>
      </c>
      <c r="CP899">
        <v>-9.1</v>
      </c>
      <c r="CQ899">
        <v>86</v>
      </c>
      <c r="CR899">
        <v>0</v>
      </c>
      <c r="CS899">
        <v>0</v>
      </c>
      <c r="CT899">
        <v>-0.1</v>
      </c>
      <c r="CU899">
        <v>90</v>
      </c>
      <c r="CV899">
        <v>0.1</v>
      </c>
      <c r="CW899">
        <v>46</v>
      </c>
      <c r="CX899" t="s">
        <v>4059</v>
      </c>
    </row>
    <row r="900" spans="1:102" x14ac:dyDescent="0.3">
      <c r="A900" t="str">
        <f>HYPERLINK("https://webapp.icbf.com/v2/app/bull-search/view/861656126","FHH")</f>
        <v>FHH</v>
      </c>
      <c r="B900" t="s">
        <v>15126</v>
      </c>
      <c r="C900" t="s">
        <v>15127</v>
      </c>
      <c r="D900" s="1">
        <v>40580</v>
      </c>
      <c r="E900" t="s">
        <v>92</v>
      </c>
      <c r="F900">
        <v>84</v>
      </c>
      <c r="G900" t="s">
        <v>93</v>
      </c>
      <c r="H900">
        <v>150.30000000000001</v>
      </c>
      <c r="I900">
        <v>85</v>
      </c>
      <c r="J900">
        <v>80.8</v>
      </c>
      <c r="K900">
        <v>96</v>
      </c>
      <c r="L900">
        <v>27.07</v>
      </c>
      <c r="M900">
        <v>76</v>
      </c>
      <c r="N900">
        <v>28.17</v>
      </c>
      <c r="O900">
        <v>84</v>
      </c>
      <c r="P900">
        <v>-7.61</v>
      </c>
      <c r="Q900">
        <v>92</v>
      </c>
      <c r="R900">
        <v>3.68</v>
      </c>
      <c r="S900">
        <v>77</v>
      </c>
      <c r="T900">
        <v>18.34</v>
      </c>
      <c r="U900">
        <v>79</v>
      </c>
      <c r="V900">
        <v>-0.15</v>
      </c>
      <c r="W900">
        <v>71</v>
      </c>
      <c r="X900" t="s">
        <v>94</v>
      </c>
      <c r="Y900" t="s">
        <v>1775</v>
      </c>
      <c r="Z900" t="s">
        <v>96</v>
      </c>
      <c r="AA900" t="s">
        <v>5102</v>
      </c>
      <c r="AB900" t="s">
        <v>15128</v>
      </c>
      <c r="AC900">
        <v>77</v>
      </c>
      <c r="AD900">
        <v>57</v>
      </c>
      <c r="AE900">
        <v>96</v>
      </c>
      <c r="AF900">
        <v>165.59</v>
      </c>
      <c r="AG900">
        <v>15.96</v>
      </c>
      <c r="AH900">
        <v>10.63</v>
      </c>
      <c r="AI900">
        <v>0.16</v>
      </c>
      <c r="AJ900">
        <v>0.09</v>
      </c>
      <c r="AK900">
        <v>76</v>
      </c>
      <c r="AL900">
        <v>75</v>
      </c>
      <c r="AM900">
        <v>55</v>
      </c>
      <c r="AN900">
        <v>-0.59</v>
      </c>
      <c r="AO900">
        <v>1.58</v>
      </c>
      <c r="AP900">
        <v>178</v>
      </c>
      <c r="AQ900">
        <v>0</v>
      </c>
      <c r="AR900">
        <v>6.45</v>
      </c>
      <c r="AS900">
        <v>74</v>
      </c>
      <c r="AT900">
        <v>2.0299999999999998</v>
      </c>
      <c r="AU900">
        <v>87</v>
      </c>
      <c r="AV900">
        <v>-3.3</v>
      </c>
      <c r="AW900">
        <v>95</v>
      </c>
      <c r="AX900">
        <v>0.02</v>
      </c>
      <c r="AY900">
        <v>79</v>
      </c>
      <c r="AZ900">
        <v>8.7799999999999994</v>
      </c>
      <c r="BA900">
        <v>63</v>
      </c>
      <c r="BB900">
        <v>5.99</v>
      </c>
      <c r="BC900">
        <v>62</v>
      </c>
      <c r="BD900">
        <v>-0.04</v>
      </c>
      <c r="BE900">
        <v>-0.02</v>
      </c>
      <c r="BF900">
        <v>0.02</v>
      </c>
      <c r="BG900">
        <v>87</v>
      </c>
      <c r="BH900">
        <v>0.11</v>
      </c>
      <c r="BI900">
        <v>13.2</v>
      </c>
      <c r="BJ900">
        <v>20</v>
      </c>
      <c r="BK900">
        <v>15</v>
      </c>
      <c r="BL900">
        <v>-1.1100000000000001</v>
      </c>
      <c r="BM900">
        <v>-0.4</v>
      </c>
      <c r="BN900">
        <v>-0.26</v>
      </c>
      <c r="BO900">
        <v>-0.28000000000000003</v>
      </c>
      <c r="BP900">
        <v>0.35</v>
      </c>
      <c r="BQ900">
        <v>-2.41</v>
      </c>
      <c r="BR900">
        <v>-0.34</v>
      </c>
      <c r="BS900">
        <v>-0.53</v>
      </c>
      <c r="BT900">
        <v>-0.43</v>
      </c>
      <c r="BU900">
        <v>-1.17</v>
      </c>
      <c r="BV900">
        <v>-0.6</v>
      </c>
      <c r="BW900">
        <v>-1.1399999999999999</v>
      </c>
      <c r="BX900">
        <v>-1.73</v>
      </c>
      <c r="BY900">
        <v>-1.92</v>
      </c>
      <c r="BZ900">
        <v>0.64</v>
      </c>
      <c r="CA900">
        <v>-0.9</v>
      </c>
      <c r="CB900">
        <v>-0.86</v>
      </c>
      <c r="CC900">
        <v>-0.41</v>
      </c>
      <c r="CD900">
        <v>0.9</v>
      </c>
      <c r="CE900">
        <v>-0.68</v>
      </c>
      <c r="CF900">
        <v>-0.37</v>
      </c>
      <c r="CG900">
        <v>0</v>
      </c>
      <c r="CH900">
        <v>-2.41</v>
      </c>
      <c r="CI900">
        <v>0</v>
      </c>
      <c r="CJ900">
        <v>-1.1000000000000001</v>
      </c>
      <c r="CK900">
        <v>94</v>
      </c>
      <c r="CL900">
        <v>-0.55000000000000004</v>
      </c>
      <c r="CM900">
        <v>92</v>
      </c>
      <c r="CN900">
        <v>0</v>
      </c>
      <c r="CO900">
        <v>91</v>
      </c>
      <c r="CP900">
        <v>-2.8</v>
      </c>
      <c r="CQ900">
        <v>81</v>
      </c>
      <c r="CR900">
        <v>0</v>
      </c>
      <c r="CS900">
        <v>0</v>
      </c>
      <c r="CT900">
        <v>-11</v>
      </c>
      <c r="CU900">
        <v>79</v>
      </c>
      <c r="CV900">
        <v>0.17</v>
      </c>
      <c r="CW900">
        <v>46</v>
      </c>
      <c r="CX900" t="s">
        <v>2992</v>
      </c>
    </row>
    <row r="901" spans="1:102" x14ac:dyDescent="0.3">
      <c r="A901" t="str">
        <f>HYPERLINK("https://webapp.icbf.com/v2/app/bull-search/view/1308726556","FR2228")</f>
        <v>FR2228</v>
      </c>
      <c r="B901" t="s">
        <v>13636</v>
      </c>
      <c r="C901" t="s">
        <v>13637</v>
      </c>
      <c r="D901" s="1">
        <v>41632</v>
      </c>
      <c r="E901" t="s">
        <v>92</v>
      </c>
      <c r="F901">
        <v>100</v>
      </c>
      <c r="G901" t="s">
        <v>109</v>
      </c>
      <c r="H901">
        <v>150.28</v>
      </c>
      <c r="I901">
        <v>78</v>
      </c>
      <c r="J901">
        <v>72.760000000000005</v>
      </c>
      <c r="K901">
        <v>92</v>
      </c>
      <c r="L901">
        <v>65.44</v>
      </c>
      <c r="M901">
        <v>82</v>
      </c>
      <c r="N901">
        <v>14.93</v>
      </c>
      <c r="O901">
        <v>72</v>
      </c>
      <c r="P901">
        <v>-11.49</v>
      </c>
      <c r="Q901">
        <v>59</v>
      </c>
      <c r="R901">
        <v>15.69</v>
      </c>
      <c r="S901">
        <v>72</v>
      </c>
      <c r="T901">
        <v>-7.26</v>
      </c>
      <c r="U901">
        <v>46</v>
      </c>
      <c r="V901">
        <v>0.21</v>
      </c>
      <c r="W901">
        <v>53</v>
      </c>
      <c r="X901" t="s">
        <v>276</v>
      </c>
      <c r="Y901" t="s">
        <v>405</v>
      </c>
      <c r="Z901" t="s">
        <v>96</v>
      </c>
      <c r="AA901" t="s">
        <v>465</v>
      </c>
      <c r="AB901" t="s">
        <v>13638</v>
      </c>
      <c r="AC901">
        <v>0</v>
      </c>
      <c r="AD901">
        <v>0</v>
      </c>
      <c r="AE901">
        <v>92</v>
      </c>
      <c r="AF901">
        <v>491.65</v>
      </c>
      <c r="AG901">
        <v>18.739999999999998</v>
      </c>
      <c r="AH901">
        <v>13.27</v>
      </c>
      <c r="AI901">
        <v>-0.01</v>
      </c>
      <c r="AJ901">
        <v>-0.05</v>
      </c>
      <c r="AK901">
        <v>82</v>
      </c>
      <c r="AL901">
        <v>0</v>
      </c>
      <c r="AM901">
        <v>0</v>
      </c>
      <c r="AN901">
        <v>-3.44</v>
      </c>
      <c r="AO901">
        <v>1.78</v>
      </c>
      <c r="AP901">
        <v>42</v>
      </c>
      <c r="AQ901">
        <v>0</v>
      </c>
      <c r="AR901">
        <v>9.5500000000000007</v>
      </c>
      <c r="AS901">
        <v>59</v>
      </c>
      <c r="AT901">
        <v>3.3</v>
      </c>
      <c r="AU901">
        <v>89</v>
      </c>
      <c r="AV901">
        <v>-2.34</v>
      </c>
      <c r="AW901">
        <v>81</v>
      </c>
      <c r="AX901">
        <v>-0.66</v>
      </c>
      <c r="AY901">
        <v>60</v>
      </c>
      <c r="AZ901">
        <v>6.27</v>
      </c>
      <c r="BA901">
        <v>43</v>
      </c>
      <c r="BB901">
        <v>4.7</v>
      </c>
      <c r="BC901">
        <v>34</v>
      </c>
      <c r="BD901">
        <v>-0.01</v>
      </c>
      <c r="BE901">
        <v>-0.06</v>
      </c>
      <c r="BF901">
        <v>-0.23</v>
      </c>
      <c r="BG901">
        <v>90</v>
      </c>
      <c r="BH901">
        <v>-0.02</v>
      </c>
      <c r="BI901">
        <v>-2.99</v>
      </c>
      <c r="BJ901">
        <v>0</v>
      </c>
      <c r="BK901">
        <v>0</v>
      </c>
      <c r="BL901">
        <v>2.2599999999999998</v>
      </c>
      <c r="BM901">
        <v>-0.26</v>
      </c>
      <c r="BN901">
        <v>-0.05</v>
      </c>
      <c r="BO901">
        <v>0.44</v>
      </c>
      <c r="BP901">
        <v>1.41</v>
      </c>
      <c r="BQ901">
        <v>1.55</v>
      </c>
      <c r="BR901">
        <v>-1.39</v>
      </c>
      <c r="BS901">
        <v>0.53</v>
      </c>
      <c r="BT901">
        <v>2.1</v>
      </c>
      <c r="BU901">
        <v>4.42</v>
      </c>
      <c r="BV901">
        <v>3.13</v>
      </c>
      <c r="BW901">
        <v>1.54</v>
      </c>
      <c r="BX901">
        <v>3.89</v>
      </c>
      <c r="BY901">
        <v>1.85</v>
      </c>
      <c r="BZ901">
        <v>-0.89</v>
      </c>
      <c r="CA901">
        <v>2.95</v>
      </c>
      <c r="CB901">
        <v>2.65</v>
      </c>
      <c r="CC901">
        <v>0.86</v>
      </c>
      <c r="CD901">
        <v>-0.06</v>
      </c>
      <c r="CE901">
        <v>0.94</v>
      </c>
      <c r="CF901">
        <v>1.3</v>
      </c>
      <c r="CG901">
        <v>0</v>
      </c>
      <c r="CH901">
        <v>1.87</v>
      </c>
      <c r="CI901">
        <v>0</v>
      </c>
      <c r="CJ901">
        <v>-1.6</v>
      </c>
      <c r="CK901">
        <v>61</v>
      </c>
      <c r="CL901">
        <v>-1.47</v>
      </c>
      <c r="CM901">
        <v>58</v>
      </c>
      <c r="CN901">
        <v>-0.44</v>
      </c>
      <c r="CO901">
        <v>57</v>
      </c>
      <c r="CP901">
        <v>4.9000000000000004</v>
      </c>
      <c r="CQ901">
        <v>47</v>
      </c>
      <c r="CR901">
        <v>0</v>
      </c>
      <c r="CS901">
        <v>0</v>
      </c>
      <c r="CT901">
        <v>23.6</v>
      </c>
      <c r="CU901">
        <v>46</v>
      </c>
      <c r="CV901">
        <v>0.28000000000000003</v>
      </c>
      <c r="CW901">
        <v>37</v>
      </c>
      <c r="CX901" t="s">
        <v>13639</v>
      </c>
    </row>
    <row r="902" spans="1:102" x14ac:dyDescent="0.3">
      <c r="A902" t="str">
        <f>HYPERLINK("https://webapp.icbf.com/v2/app/bull-search/view/740348432","RCJ")</f>
        <v>RCJ</v>
      </c>
      <c r="B902" t="s">
        <v>1843</v>
      </c>
      <c r="C902" t="s">
        <v>1844</v>
      </c>
      <c r="D902" s="1">
        <v>39679</v>
      </c>
      <c r="E902" t="s">
        <v>92</v>
      </c>
      <c r="F902">
        <v>100</v>
      </c>
      <c r="G902" t="s">
        <v>109</v>
      </c>
      <c r="H902">
        <v>150.11000000000001</v>
      </c>
      <c r="I902">
        <v>86</v>
      </c>
      <c r="J902">
        <v>32.69</v>
      </c>
      <c r="K902">
        <v>95</v>
      </c>
      <c r="L902">
        <v>57.33</v>
      </c>
      <c r="M902">
        <v>87</v>
      </c>
      <c r="N902">
        <v>50.47</v>
      </c>
      <c r="O902">
        <v>79</v>
      </c>
      <c r="P902">
        <v>0.84</v>
      </c>
      <c r="Q902">
        <v>73</v>
      </c>
      <c r="R902">
        <v>9.39</v>
      </c>
      <c r="S902">
        <v>79</v>
      </c>
      <c r="T902">
        <v>-8.4499999999999993</v>
      </c>
      <c r="U902">
        <v>73</v>
      </c>
      <c r="V902">
        <v>7.84</v>
      </c>
      <c r="W902">
        <v>71</v>
      </c>
      <c r="X902" t="s">
        <v>102</v>
      </c>
      <c r="Y902" t="s">
        <v>329</v>
      </c>
      <c r="Z902" t="s">
        <v>96</v>
      </c>
      <c r="AA902" t="s">
        <v>277</v>
      </c>
      <c r="AB902" t="s">
        <v>1845</v>
      </c>
      <c r="AC902">
        <v>27</v>
      </c>
      <c r="AD902">
        <v>11</v>
      </c>
      <c r="AE902">
        <v>95</v>
      </c>
      <c r="AF902">
        <v>197.35</v>
      </c>
      <c r="AG902">
        <v>6.19</v>
      </c>
      <c r="AH902">
        <v>6.39</v>
      </c>
      <c r="AI902">
        <v>-0.03</v>
      </c>
      <c r="AJ902">
        <v>-0.01</v>
      </c>
      <c r="AK902">
        <v>87</v>
      </c>
      <c r="AL902">
        <v>42</v>
      </c>
      <c r="AM902">
        <v>13</v>
      </c>
      <c r="AN902">
        <v>-3.26</v>
      </c>
      <c r="AO902">
        <v>1.31</v>
      </c>
      <c r="AP902">
        <v>46</v>
      </c>
      <c r="AQ902">
        <v>0</v>
      </c>
      <c r="AR902">
        <v>5.31</v>
      </c>
      <c r="AS902">
        <v>76</v>
      </c>
      <c r="AT902">
        <v>2.15</v>
      </c>
      <c r="AU902">
        <v>87</v>
      </c>
      <c r="AV902">
        <v>-4.2300000000000004</v>
      </c>
      <c r="AW902">
        <v>86</v>
      </c>
      <c r="AX902">
        <v>-0.84</v>
      </c>
      <c r="AY902">
        <v>64</v>
      </c>
      <c r="AZ902">
        <v>5.86</v>
      </c>
      <c r="BA902">
        <v>61</v>
      </c>
      <c r="BB902">
        <v>4.7699999999999996</v>
      </c>
      <c r="BC902">
        <v>60</v>
      </c>
      <c r="BD902">
        <v>-0.03</v>
      </c>
      <c r="BE902">
        <v>-0.04</v>
      </c>
      <c r="BF902">
        <v>-0.09</v>
      </c>
      <c r="BG902">
        <v>90</v>
      </c>
      <c r="BH902">
        <v>0.09</v>
      </c>
      <c r="BI902">
        <v>-14.88</v>
      </c>
      <c r="BJ902">
        <v>0</v>
      </c>
      <c r="BK902">
        <v>0</v>
      </c>
      <c r="BL902">
        <v>1.07</v>
      </c>
      <c r="BM902">
        <v>1.07</v>
      </c>
      <c r="BN902">
        <v>-0.2</v>
      </c>
      <c r="BO902">
        <v>-0.51</v>
      </c>
      <c r="BP902">
        <v>-0.24</v>
      </c>
      <c r="BQ902">
        <v>-0.04</v>
      </c>
      <c r="BR902">
        <v>-1.08</v>
      </c>
      <c r="BS902">
        <v>-0.24</v>
      </c>
      <c r="BT902">
        <v>0.03</v>
      </c>
      <c r="BU902">
        <v>1.32</v>
      </c>
      <c r="BV902">
        <v>0.1</v>
      </c>
      <c r="BW902">
        <v>-1.33</v>
      </c>
      <c r="BX902">
        <v>2.0499999999999998</v>
      </c>
      <c r="BY902">
        <v>0.7</v>
      </c>
      <c r="BZ902">
        <v>-2.91</v>
      </c>
      <c r="CA902">
        <v>0.49</v>
      </c>
      <c r="CB902">
        <v>0.51</v>
      </c>
      <c r="CC902">
        <v>-0.35</v>
      </c>
      <c r="CD902">
        <v>0.79</v>
      </c>
      <c r="CE902">
        <v>-0.21</v>
      </c>
      <c r="CF902">
        <v>0.61</v>
      </c>
      <c r="CG902">
        <v>0</v>
      </c>
      <c r="CH902">
        <v>0.69</v>
      </c>
      <c r="CI902">
        <v>0</v>
      </c>
      <c r="CJ902">
        <v>4.5999999999999996</v>
      </c>
      <c r="CK902">
        <v>75</v>
      </c>
      <c r="CL902">
        <v>-0.95</v>
      </c>
      <c r="CM902">
        <v>70</v>
      </c>
      <c r="CN902">
        <v>-0.25</v>
      </c>
      <c r="CO902">
        <v>67</v>
      </c>
      <c r="CP902">
        <v>9.1</v>
      </c>
      <c r="CQ902">
        <v>71</v>
      </c>
      <c r="CR902">
        <v>0</v>
      </c>
      <c r="CS902">
        <v>0</v>
      </c>
      <c r="CT902">
        <v>25.2</v>
      </c>
      <c r="CU902">
        <v>73</v>
      </c>
      <c r="CV902">
        <v>0.28000000000000003</v>
      </c>
      <c r="CW902">
        <v>41</v>
      </c>
      <c r="CX902" t="s">
        <v>316</v>
      </c>
    </row>
    <row r="903" spans="1:102" x14ac:dyDescent="0.3">
      <c r="A903" t="str">
        <f>HYPERLINK("https://webapp.icbf.com/v2/app/bull-search/view/760402291","MJJ")</f>
        <v>MJJ</v>
      </c>
      <c r="B903" t="s">
        <v>14866</v>
      </c>
      <c r="C903" t="s">
        <v>14867</v>
      </c>
      <c r="D903" s="1">
        <v>40023</v>
      </c>
      <c r="E903" t="s">
        <v>227</v>
      </c>
      <c r="F903">
        <v>0</v>
      </c>
      <c r="G903" t="s">
        <v>93</v>
      </c>
      <c r="H903">
        <v>150.03</v>
      </c>
      <c r="I903">
        <v>93</v>
      </c>
      <c r="J903">
        <v>37.369999999999997</v>
      </c>
      <c r="K903">
        <v>98</v>
      </c>
      <c r="L903">
        <v>55.59</v>
      </c>
      <c r="M903">
        <v>89</v>
      </c>
      <c r="N903">
        <v>50.14</v>
      </c>
      <c r="O903">
        <v>93</v>
      </c>
      <c r="P903">
        <v>-62.76</v>
      </c>
      <c r="Q903">
        <v>96</v>
      </c>
      <c r="R903">
        <v>0.54</v>
      </c>
      <c r="S903">
        <v>87</v>
      </c>
      <c r="T903">
        <v>54.67</v>
      </c>
      <c r="U903">
        <v>93</v>
      </c>
      <c r="V903">
        <v>14.48</v>
      </c>
      <c r="W903">
        <v>84</v>
      </c>
      <c r="X903" t="s">
        <v>276</v>
      </c>
      <c r="Y903" t="s">
        <v>329</v>
      </c>
      <c r="Z903">
        <v>0</v>
      </c>
      <c r="AA903" t="s">
        <v>13223</v>
      </c>
      <c r="AB903" t="s">
        <v>14868</v>
      </c>
      <c r="AC903">
        <v>239</v>
      </c>
      <c r="AD903">
        <v>79</v>
      </c>
      <c r="AE903">
        <v>98</v>
      </c>
      <c r="AF903">
        <v>-497.03</v>
      </c>
      <c r="AG903">
        <v>11.67</v>
      </c>
      <c r="AH903">
        <v>-5.38</v>
      </c>
      <c r="AI903">
        <v>0.59</v>
      </c>
      <c r="AJ903">
        <v>0.22</v>
      </c>
      <c r="AK903">
        <v>89</v>
      </c>
      <c r="AL903">
        <v>280</v>
      </c>
      <c r="AM903">
        <v>88</v>
      </c>
      <c r="AN903">
        <v>-2.5</v>
      </c>
      <c r="AO903">
        <v>1.94</v>
      </c>
      <c r="AP903">
        <v>462</v>
      </c>
      <c r="AQ903">
        <v>2</v>
      </c>
      <c r="AR903">
        <v>2.2200000000000002</v>
      </c>
      <c r="AS903">
        <v>92</v>
      </c>
      <c r="AT903">
        <v>1.18</v>
      </c>
      <c r="AU903">
        <v>92</v>
      </c>
      <c r="AV903">
        <v>-3.45</v>
      </c>
      <c r="AW903">
        <v>99</v>
      </c>
      <c r="AX903">
        <v>-0.43</v>
      </c>
      <c r="AY903">
        <v>91</v>
      </c>
      <c r="AZ903">
        <v>6.91</v>
      </c>
      <c r="BA903">
        <v>82</v>
      </c>
      <c r="BB903">
        <v>5.13</v>
      </c>
      <c r="BC903">
        <v>82</v>
      </c>
      <c r="BD903">
        <v>-0.02</v>
      </c>
      <c r="BE903">
        <v>-0.01</v>
      </c>
      <c r="BF903">
        <v>0.04</v>
      </c>
      <c r="BG903">
        <v>95</v>
      </c>
      <c r="BH903">
        <v>0.32</v>
      </c>
      <c r="BI903">
        <v>-9.69</v>
      </c>
      <c r="BJ903">
        <v>2</v>
      </c>
      <c r="BK903">
        <v>2</v>
      </c>
      <c r="BL903">
        <v>-2.86</v>
      </c>
      <c r="BM903">
        <v>-1.4</v>
      </c>
      <c r="BN903">
        <v>0.73</v>
      </c>
      <c r="BO903">
        <v>1.57</v>
      </c>
      <c r="BP903">
        <v>-0.96</v>
      </c>
      <c r="BQ903">
        <v>-4.5</v>
      </c>
      <c r="BR903">
        <v>2.46</v>
      </c>
      <c r="BS903">
        <v>6.43</v>
      </c>
      <c r="BT903">
        <v>-1.1599999999999999</v>
      </c>
      <c r="BU903">
        <v>-1.62</v>
      </c>
      <c r="BV903">
        <v>-0.45</v>
      </c>
      <c r="BW903">
        <v>-2.68</v>
      </c>
      <c r="BX903">
        <v>-4.16</v>
      </c>
      <c r="BY903">
        <v>-0.46</v>
      </c>
      <c r="BZ903">
        <v>-1.05</v>
      </c>
      <c r="CA903">
        <v>0.33</v>
      </c>
      <c r="CB903">
        <v>-1.25</v>
      </c>
      <c r="CC903">
        <v>3.83</v>
      </c>
      <c r="CD903">
        <v>-2.33</v>
      </c>
      <c r="CE903">
        <v>0.76</v>
      </c>
      <c r="CF903">
        <v>-3</v>
      </c>
      <c r="CG903">
        <v>0</v>
      </c>
      <c r="CH903">
        <v>-1.94</v>
      </c>
      <c r="CI903">
        <v>0</v>
      </c>
      <c r="CJ903">
        <v>-33.200000000000003</v>
      </c>
      <c r="CK903">
        <v>97</v>
      </c>
      <c r="CL903">
        <v>-1.31</v>
      </c>
      <c r="CM903">
        <v>96</v>
      </c>
      <c r="CN903">
        <v>-0.31</v>
      </c>
      <c r="CO903">
        <v>95</v>
      </c>
      <c r="CP903">
        <v>-47</v>
      </c>
      <c r="CQ903">
        <v>92</v>
      </c>
      <c r="CR903">
        <v>0</v>
      </c>
      <c r="CS903">
        <v>0</v>
      </c>
      <c r="CT903">
        <v>-60.1</v>
      </c>
      <c r="CU903">
        <v>93</v>
      </c>
      <c r="CV903">
        <v>-0.28000000000000003</v>
      </c>
      <c r="CW903">
        <v>46</v>
      </c>
      <c r="CX903" t="s">
        <v>229</v>
      </c>
    </row>
    <row r="904" spans="1:102" x14ac:dyDescent="0.3">
      <c r="A904" t="str">
        <f>HYPERLINK("https://webapp.icbf.com/v2/app/bull-search/view/152137421","S301")</f>
        <v>S301</v>
      </c>
      <c r="B904" t="s">
        <v>14829</v>
      </c>
      <c r="C904" t="s">
        <v>14830</v>
      </c>
      <c r="D904" s="1">
        <v>35410</v>
      </c>
      <c r="E904" t="s">
        <v>395</v>
      </c>
      <c r="F904">
        <v>9</v>
      </c>
      <c r="G904" t="s">
        <v>93</v>
      </c>
      <c r="H904">
        <v>150.02000000000001</v>
      </c>
      <c r="I904">
        <v>88</v>
      </c>
      <c r="J904">
        <v>18.43</v>
      </c>
      <c r="K904">
        <v>96</v>
      </c>
      <c r="L904">
        <v>87.77</v>
      </c>
      <c r="M904">
        <v>81</v>
      </c>
      <c r="N904">
        <v>14.65</v>
      </c>
      <c r="O904">
        <v>85</v>
      </c>
      <c r="P904">
        <v>12.65</v>
      </c>
      <c r="Q904">
        <v>93</v>
      </c>
      <c r="R904">
        <v>4.47</v>
      </c>
      <c r="S904">
        <v>74</v>
      </c>
      <c r="T904">
        <v>15.75</v>
      </c>
      <c r="U904">
        <v>95</v>
      </c>
      <c r="V904">
        <v>-3.7</v>
      </c>
      <c r="W904">
        <v>70</v>
      </c>
      <c r="X904" t="s">
        <v>110</v>
      </c>
      <c r="Y904" t="s">
        <v>95</v>
      </c>
      <c r="Z904">
        <v>0</v>
      </c>
      <c r="AA904" t="s">
        <v>14831</v>
      </c>
      <c r="AB904" t="s">
        <v>14832</v>
      </c>
      <c r="AC904">
        <v>105</v>
      </c>
      <c r="AD904">
        <v>59</v>
      </c>
      <c r="AE904">
        <v>96</v>
      </c>
      <c r="AF904">
        <v>-98.46</v>
      </c>
      <c r="AG904">
        <v>2.4500000000000002</v>
      </c>
      <c r="AH904">
        <v>0.76</v>
      </c>
      <c r="AI904">
        <v>0.11</v>
      </c>
      <c r="AJ904">
        <v>7.0000000000000007E-2</v>
      </c>
      <c r="AK904">
        <v>81</v>
      </c>
      <c r="AL904">
        <v>102</v>
      </c>
      <c r="AM904">
        <v>61</v>
      </c>
      <c r="AN904">
        <v>-3.95</v>
      </c>
      <c r="AO904">
        <v>3.06</v>
      </c>
      <c r="AP904">
        <v>168</v>
      </c>
      <c r="AQ904">
        <v>1</v>
      </c>
      <c r="AR904">
        <v>3.84</v>
      </c>
      <c r="AS904">
        <v>77</v>
      </c>
      <c r="AT904">
        <v>1.71</v>
      </c>
      <c r="AU904">
        <v>83</v>
      </c>
      <c r="AV904">
        <v>1</v>
      </c>
      <c r="AW904">
        <v>96</v>
      </c>
      <c r="AX904">
        <v>-0.42</v>
      </c>
      <c r="AY904">
        <v>83</v>
      </c>
      <c r="AZ904">
        <v>5.14</v>
      </c>
      <c r="BA904">
        <v>62</v>
      </c>
      <c r="BB904">
        <v>4.68</v>
      </c>
      <c r="BC904">
        <v>68</v>
      </c>
      <c r="BD904">
        <v>0.02</v>
      </c>
      <c r="BE904">
        <v>-0.04</v>
      </c>
      <c r="BF904">
        <v>-0.06</v>
      </c>
      <c r="BG904">
        <v>85</v>
      </c>
      <c r="BH904">
        <v>0</v>
      </c>
      <c r="BI904">
        <v>11.95</v>
      </c>
      <c r="BJ904">
        <v>29</v>
      </c>
      <c r="BK904">
        <v>17</v>
      </c>
      <c r="BL904">
        <v>-2.37</v>
      </c>
      <c r="BM904">
        <v>-0.13</v>
      </c>
      <c r="BN904">
        <v>-1.61</v>
      </c>
      <c r="BO904">
        <v>-1.03</v>
      </c>
      <c r="BP904">
        <v>5.53</v>
      </c>
      <c r="BQ904">
        <v>-3.52</v>
      </c>
      <c r="BR904">
        <v>-0.47</v>
      </c>
      <c r="BS904">
        <v>2.19</v>
      </c>
      <c r="BT904">
        <v>-0.02</v>
      </c>
      <c r="BU904">
        <v>-3.82</v>
      </c>
      <c r="BV904">
        <v>-3.05</v>
      </c>
      <c r="BW904">
        <v>-3.1</v>
      </c>
      <c r="BX904">
        <v>-5.1100000000000003</v>
      </c>
      <c r="BY904">
        <v>-4.3099999999999996</v>
      </c>
      <c r="BZ904">
        <v>-1.39</v>
      </c>
      <c r="CA904">
        <v>-1.61</v>
      </c>
      <c r="CB904">
        <v>-2.7</v>
      </c>
      <c r="CC904">
        <v>1.29</v>
      </c>
      <c r="CD904">
        <v>0.69</v>
      </c>
      <c r="CE904">
        <v>-0.48</v>
      </c>
      <c r="CF904">
        <v>-2.87</v>
      </c>
      <c r="CG904">
        <v>0</v>
      </c>
      <c r="CH904">
        <v>-2.54</v>
      </c>
      <c r="CI904">
        <v>0</v>
      </c>
      <c r="CJ904">
        <v>7.1</v>
      </c>
      <c r="CK904">
        <v>94</v>
      </c>
      <c r="CL904">
        <v>-0.06</v>
      </c>
      <c r="CM904">
        <v>93</v>
      </c>
      <c r="CN904">
        <v>-0.38</v>
      </c>
      <c r="CO904">
        <v>92</v>
      </c>
      <c r="CP904">
        <v>-6.5</v>
      </c>
      <c r="CQ904">
        <v>90</v>
      </c>
      <c r="CR904">
        <v>0</v>
      </c>
      <c r="CS904">
        <v>0</v>
      </c>
      <c r="CT904">
        <v>-7.5</v>
      </c>
      <c r="CU904">
        <v>95</v>
      </c>
      <c r="CV904">
        <v>7.0000000000000007E-2</v>
      </c>
      <c r="CW904">
        <v>28</v>
      </c>
      <c r="CX904" t="s">
        <v>14833</v>
      </c>
    </row>
    <row r="905" spans="1:102" x14ac:dyDescent="0.3">
      <c r="A905" t="str">
        <f>HYPERLINK("https://webapp.icbf.com/v2/app/bull-search/view/586070056","S1054")</f>
        <v>S1054</v>
      </c>
      <c r="B905" t="s">
        <v>14882</v>
      </c>
      <c r="C905" t="s">
        <v>9745</v>
      </c>
      <c r="D905" s="1">
        <v>38256</v>
      </c>
      <c r="E905" t="s">
        <v>92</v>
      </c>
      <c r="F905">
        <v>100</v>
      </c>
      <c r="G905" t="s">
        <v>93</v>
      </c>
      <c r="H905">
        <v>150.02000000000001</v>
      </c>
      <c r="I905">
        <v>90</v>
      </c>
      <c r="J905">
        <v>87.81</v>
      </c>
      <c r="K905">
        <v>96</v>
      </c>
      <c r="L905">
        <v>10.78</v>
      </c>
      <c r="M905">
        <v>91</v>
      </c>
      <c r="N905">
        <v>55.34</v>
      </c>
      <c r="O905">
        <v>86</v>
      </c>
      <c r="P905">
        <v>-2.83</v>
      </c>
      <c r="Q905">
        <v>90</v>
      </c>
      <c r="R905">
        <v>3.33</v>
      </c>
      <c r="S905">
        <v>83</v>
      </c>
      <c r="T905">
        <v>-1.86</v>
      </c>
      <c r="U905">
        <v>74</v>
      </c>
      <c r="V905">
        <v>-2.5499999999999998</v>
      </c>
      <c r="W905">
        <v>74</v>
      </c>
      <c r="X905" t="s">
        <v>94</v>
      </c>
      <c r="Y905" t="s">
        <v>336</v>
      </c>
      <c r="Z905" t="s">
        <v>96</v>
      </c>
      <c r="AA905" t="s">
        <v>316</v>
      </c>
      <c r="AB905" t="s">
        <v>14883</v>
      </c>
      <c r="AC905">
        <v>71</v>
      </c>
      <c r="AD905">
        <v>16</v>
      </c>
      <c r="AE905">
        <v>96</v>
      </c>
      <c r="AF905">
        <v>696.26</v>
      </c>
      <c r="AG905">
        <v>20.58</v>
      </c>
      <c r="AH905">
        <v>18.309999999999999</v>
      </c>
      <c r="AI905">
        <v>-0.1</v>
      </c>
      <c r="AJ905">
        <v>-0.08</v>
      </c>
      <c r="AK905">
        <v>91</v>
      </c>
      <c r="AL905">
        <v>73</v>
      </c>
      <c r="AM905">
        <v>15</v>
      </c>
      <c r="AN905">
        <v>0.19</v>
      </c>
      <c r="AO905">
        <v>1.06</v>
      </c>
      <c r="AP905">
        <v>192</v>
      </c>
      <c r="AQ905">
        <v>0</v>
      </c>
      <c r="AR905">
        <v>3.96</v>
      </c>
      <c r="AS905">
        <v>88</v>
      </c>
      <c r="AT905">
        <v>1.66</v>
      </c>
      <c r="AU905">
        <v>92</v>
      </c>
      <c r="AV905">
        <v>-5.0599999999999996</v>
      </c>
      <c r="AW905">
        <v>92</v>
      </c>
      <c r="AX905">
        <v>-0.68</v>
      </c>
      <c r="AY905">
        <v>82</v>
      </c>
      <c r="AZ905">
        <v>7.4</v>
      </c>
      <c r="BA905">
        <v>71</v>
      </c>
      <c r="BB905">
        <v>5.62</v>
      </c>
      <c r="BC905">
        <v>66</v>
      </c>
      <c r="BD905">
        <v>-0.01</v>
      </c>
      <c r="BE905">
        <v>0</v>
      </c>
      <c r="BF905">
        <v>-0.06</v>
      </c>
      <c r="BG905">
        <v>95</v>
      </c>
      <c r="BH905">
        <v>-0.08</v>
      </c>
      <c r="BI905">
        <v>-1.02</v>
      </c>
      <c r="BJ905">
        <v>26</v>
      </c>
      <c r="BK905">
        <v>9</v>
      </c>
      <c r="BL905">
        <v>0.84</v>
      </c>
      <c r="BM905">
        <v>0.87</v>
      </c>
      <c r="BN905">
        <v>1.51</v>
      </c>
      <c r="BO905">
        <v>0.67</v>
      </c>
      <c r="BP905">
        <v>-1.44</v>
      </c>
      <c r="BQ905">
        <v>0.96</v>
      </c>
      <c r="BR905">
        <v>-0.42</v>
      </c>
      <c r="BS905">
        <v>-1.32</v>
      </c>
      <c r="BT905">
        <v>-1.27</v>
      </c>
      <c r="BU905">
        <v>2.17</v>
      </c>
      <c r="BV905">
        <v>1.65</v>
      </c>
      <c r="BW905">
        <v>0.44</v>
      </c>
      <c r="BX905">
        <v>1.01</v>
      </c>
      <c r="BY905">
        <v>1.28</v>
      </c>
      <c r="BZ905">
        <v>-0.13</v>
      </c>
      <c r="CA905">
        <v>0.6</v>
      </c>
      <c r="CB905">
        <v>1.43</v>
      </c>
      <c r="CC905">
        <v>-1.38</v>
      </c>
      <c r="CD905">
        <v>-0.36</v>
      </c>
      <c r="CE905">
        <v>0.97</v>
      </c>
      <c r="CF905">
        <v>1.04</v>
      </c>
      <c r="CG905">
        <v>0</v>
      </c>
      <c r="CH905">
        <v>1.05</v>
      </c>
      <c r="CI905">
        <v>0</v>
      </c>
      <c r="CJ905">
        <v>2.9</v>
      </c>
      <c r="CK905">
        <v>92</v>
      </c>
      <c r="CL905">
        <v>-1.04</v>
      </c>
      <c r="CM905">
        <v>90</v>
      </c>
      <c r="CN905">
        <v>-0.26</v>
      </c>
      <c r="CO905">
        <v>89</v>
      </c>
      <c r="CP905">
        <v>5.7</v>
      </c>
      <c r="CQ905">
        <v>80</v>
      </c>
      <c r="CR905">
        <v>0</v>
      </c>
      <c r="CS905">
        <v>0</v>
      </c>
      <c r="CT905">
        <v>16.3</v>
      </c>
      <c r="CU905">
        <v>74</v>
      </c>
      <c r="CV905">
        <v>0.45</v>
      </c>
      <c r="CW905">
        <v>47</v>
      </c>
      <c r="CX905" t="s">
        <v>289</v>
      </c>
    </row>
    <row r="906" spans="1:102" x14ac:dyDescent="0.3">
      <c r="A906" t="str">
        <f>HYPERLINK("https://webapp.icbf.com/v2/app/bull-search/view/864315164","SBQ")</f>
        <v>SBQ</v>
      </c>
      <c r="B906" t="s">
        <v>5687</v>
      </c>
      <c r="C906" t="s">
        <v>5688</v>
      </c>
      <c r="D906" s="1">
        <v>40588</v>
      </c>
      <c r="E906" t="s">
        <v>92</v>
      </c>
      <c r="F906">
        <v>88</v>
      </c>
      <c r="G906" t="s">
        <v>93</v>
      </c>
      <c r="H906">
        <v>149.91999999999999</v>
      </c>
      <c r="I906">
        <v>94</v>
      </c>
      <c r="J906">
        <v>72.2</v>
      </c>
      <c r="K906">
        <v>99</v>
      </c>
      <c r="L906">
        <v>23.58</v>
      </c>
      <c r="M906">
        <v>90</v>
      </c>
      <c r="N906">
        <v>47.32</v>
      </c>
      <c r="O906">
        <v>95</v>
      </c>
      <c r="P906">
        <v>-7.06</v>
      </c>
      <c r="Q906">
        <v>97</v>
      </c>
      <c r="R906">
        <v>-1.39</v>
      </c>
      <c r="S906">
        <v>90</v>
      </c>
      <c r="T906">
        <v>6.87</v>
      </c>
      <c r="U906">
        <v>95</v>
      </c>
      <c r="V906">
        <v>8.4</v>
      </c>
      <c r="W906">
        <v>83</v>
      </c>
      <c r="X906" t="s">
        <v>102</v>
      </c>
      <c r="Y906" t="s">
        <v>1860</v>
      </c>
      <c r="Z906" t="s">
        <v>96</v>
      </c>
      <c r="AA906" t="s">
        <v>3094</v>
      </c>
      <c r="AB906" t="s">
        <v>5689</v>
      </c>
      <c r="AC906">
        <v>637</v>
      </c>
      <c r="AD906">
        <v>326</v>
      </c>
      <c r="AE906">
        <v>99</v>
      </c>
      <c r="AF906">
        <v>16.350000000000001</v>
      </c>
      <c r="AG906">
        <v>17.47</v>
      </c>
      <c r="AH906">
        <v>6.35</v>
      </c>
      <c r="AI906">
        <v>0.28999999999999998</v>
      </c>
      <c r="AJ906">
        <v>0.1</v>
      </c>
      <c r="AK906">
        <v>90</v>
      </c>
      <c r="AL906">
        <v>732</v>
      </c>
      <c r="AM906">
        <v>360</v>
      </c>
      <c r="AN906">
        <v>-1.31</v>
      </c>
      <c r="AO906">
        <v>0.56999999999999995</v>
      </c>
      <c r="AP906">
        <v>929</v>
      </c>
      <c r="AQ906">
        <v>8</v>
      </c>
      <c r="AR906">
        <v>5.19</v>
      </c>
      <c r="AS906">
        <v>96</v>
      </c>
      <c r="AT906">
        <v>2.06</v>
      </c>
      <c r="AU906">
        <v>95</v>
      </c>
      <c r="AV906">
        <v>-4.33</v>
      </c>
      <c r="AW906">
        <v>99</v>
      </c>
      <c r="AX906">
        <v>-0.64</v>
      </c>
      <c r="AY906">
        <v>95</v>
      </c>
      <c r="AZ906">
        <v>7.04</v>
      </c>
      <c r="BA906">
        <v>89</v>
      </c>
      <c r="BB906">
        <v>5.28</v>
      </c>
      <c r="BC906">
        <v>87</v>
      </c>
      <c r="BD906">
        <v>0</v>
      </c>
      <c r="BE906">
        <v>-0.02</v>
      </c>
      <c r="BF906">
        <v>7.0000000000000007E-2</v>
      </c>
      <c r="BG906">
        <v>97</v>
      </c>
      <c r="BH906">
        <v>0.1</v>
      </c>
      <c r="BI906">
        <v>-15.54</v>
      </c>
      <c r="BJ906">
        <v>69</v>
      </c>
      <c r="BK906">
        <v>43</v>
      </c>
      <c r="BL906">
        <v>-0.3</v>
      </c>
      <c r="BM906">
        <v>0.38</v>
      </c>
      <c r="BN906">
        <v>-0.49</v>
      </c>
      <c r="BO906">
        <v>-0.95</v>
      </c>
      <c r="BP906">
        <v>0.84</v>
      </c>
      <c r="BQ906">
        <v>-2.5299999999999998</v>
      </c>
      <c r="BR906">
        <v>-2.78</v>
      </c>
      <c r="BS906">
        <v>-1.2</v>
      </c>
      <c r="BT906">
        <v>1.08</v>
      </c>
      <c r="BU906">
        <v>-1.91</v>
      </c>
      <c r="BV906">
        <v>-2.23</v>
      </c>
      <c r="BW906">
        <v>-1.73</v>
      </c>
      <c r="BX906">
        <v>-1.36</v>
      </c>
      <c r="BY906">
        <v>-0.35</v>
      </c>
      <c r="BZ906">
        <v>-2.68</v>
      </c>
      <c r="CA906">
        <v>-1.66</v>
      </c>
      <c r="CB906">
        <v>-2.06</v>
      </c>
      <c r="CC906">
        <v>0.15</v>
      </c>
      <c r="CD906">
        <v>0.23</v>
      </c>
      <c r="CE906">
        <v>-0.86</v>
      </c>
      <c r="CF906">
        <v>-1.1100000000000001</v>
      </c>
      <c r="CG906">
        <v>0</v>
      </c>
      <c r="CH906">
        <v>-0.68</v>
      </c>
      <c r="CI906">
        <v>0</v>
      </c>
      <c r="CJ906">
        <v>-0.7</v>
      </c>
      <c r="CK906">
        <v>98</v>
      </c>
      <c r="CL906">
        <v>-0.54</v>
      </c>
      <c r="CM906">
        <v>97</v>
      </c>
      <c r="CN906">
        <v>-0.04</v>
      </c>
      <c r="CO906">
        <v>97</v>
      </c>
      <c r="CP906">
        <v>-6.6</v>
      </c>
      <c r="CQ906">
        <v>96</v>
      </c>
      <c r="CR906">
        <v>0</v>
      </c>
      <c r="CS906">
        <v>0</v>
      </c>
      <c r="CT906">
        <v>4.5</v>
      </c>
      <c r="CU906">
        <v>95</v>
      </c>
      <c r="CV906">
        <v>0.22</v>
      </c>
      <c r="CW906">
        <v>48</v>
      </c>
      <c r="CX906" t="s">
        <v>771</v>
      </c>
    </row>
    <row r="907" spans="1:102" x14ac:dyDescent="0.3">
      <c r="A907" t="str">
        <f>HYPERLINK("https://webapp.icbf.com/v2/app/bull-search/view/1337270250","FR4407")</f>
        <v>FR4407</v>
      </c>
      <c r="B907" t="s">
        <v>7222</v>
      </c>
      <c r="C907" t="s">
        <v>7223</v>
      </c>
      <c r="D907" s="1">
        <v>41589</v>
      </c>
      <c r="E907" t="s">
        <v>92</v>
      </c>
      <c r="F907">
        <v>100</v>
      </c>
      <c r="G907" t="s">
        <v>109</v>
      </c>
      <c r="H907">
        <v>149.80000000000001</v>
      </c>
      <c r="I907">
        <v>74</v>
      </c>
      <c r="J907">
        <v>30.49</v>
      </c>
      <c r="K907">
        <v>91</v>
      </c>
      <c r="L907">
        <v>79.349999999999994</v>
      </c>
      <c r="M907">
        <v>76</v>
      </c>
      <c r="N907">
        <v>29.48</v>
      </c>
      <c r="O907">
        <v>75</v>
      </c>
      <c r="P907">
        <v>-1.91</v>
      </c>
      <c r="Q907">
        <v>45</v>
      </c>
      <c r="R907">
        <v>6.5</v>
      </c>
      <c r="S907">
        <v>69</v>
      </c>
      <c r="T907">
        <v>13.68</v>
      </c>
      <c r="U907">
        <v>39</v>
      </c>
      <c r="V907">
        <v>-7.79</v>
      </c>
      <c r="W907">
        <v>55</v>
      </c>
      <c r="X907" t="s">
        <v>102</v>
      </c>
      <c r="Y907" t="s">
        <v>2261</v>
      </c>
      <c r="Z907" t="s">
        <v>96</v>
      </c>
      <c r="AA907" t="s">
        <v>2152</v>
      </c>
      <c r="AB907" t="s">
        <v>5990</v>
      </c>
      <c r="AC907">
        <v>0</v>
      </c>
      <c r="AD907">
        <v>0</v>
      </c>
      <c r="AE907">
        <v>91</v>
      </c>
      <c r="AF907">
        <v>-154.4</v>
      </c>
      <c r="AG907">
        <v>7.44</v>
      </c>
      <c r="AH907">
        <v>0.19</v>
      </c>
      <c r="AI907">
        <v>0.23</v>
      </c>
      <c r="AJ907">
        <v>0.1</v>
      </c>
      <c r="AK907">
        <v>76</v>
      </c>
      <c r="AL907">
        <v>0</v>
      </c>
      <c r="AM907">
        <v>0</v>
      </c>
      <c r="AN907">
        <v>-2.6</v>
      </c>
      <c r="AO907">
        <v>3.75</v>
      </c>
      <c r="AP907">
        <v>112</v>
      </c>
      <c r="AQ907">
        <v>0</v>
      </c>
      <c r="AR907">
        <v>8.1300000000000008</v>
      </c>
      <c r="AS907">
        <v>56</v>
      </c>
      <c r="AT907">
        <v>3.18</v>
      </c>
      <c r="AU907">
        <v>90</v>
      </c>
      <c r="AV907">
        <v>-3.79</v>
      </c>
      <c r="AW907">
        <v>87</v>
      </c>
      <c r="AX907">
        <v>-0.84</v>
      </c>
      <c r="AY907">
        <v>68</v>
      </c>
      <c r="AZ907">
        <v>7.04</v>
      </c>
      <c r="BA907">
        <v>38</v>
      </c>
      <c r="BB907">
        <v>4.99</v>
      </c>
      <c r="BC907">
        <v>35</v>
      </c>
      <c r="BD907">
        <v>-0.02</v>
      </c>
      <c r="BE907">
        <v>-0.04</v>
      </c>
      <c r="BF907">
        <v>-0.04</v>
      </c>
      <c r="BG907">
        <v>87</v>
      </c>
      <c r="BH907">
        <v>-0.03</v>
      </c>
      <c r="BI907">
        <v>21.65</v>
      </c>
      <c r="BJ907">
        <v>0</v>
      </c>
      <c r="BK907">
        <v>0</v>
      </c>
      <c r="BL907">
        <v>-0.33</v>
      </c>
      <c r="BM907">
        <v>0.61</v>
      </c>
      <c r="BN907">
        <v>0.04</v>
      </c>
      <c r="BO907">
        <v>-7.0000000000000007E-2</v>
      </c>
      <c r="BP907">
        <v>-0.6</v>
      </c>
      <c r="BQ907">
        <v>-1.94</v>
      </c>
      <c r="BR907">
        <v>-0.3</v>
      </c>
      <c r="BS907">
        <v>2.85</v>
      </c>
      <c r="BT907">
        <v>-7.0000000000000007E-2</v>
      </c>
      <c r="BU907">
        <v>1.89</v>
      </c>
      <c r="BV907">
        <v>0.04</v>
      </c>
      <c r="BW907">
        <v>0.72</v>
      </c>
      <c r="BX907">
        <v>0.95</v>
      </c>
      <c r="BY907">
        <v>1.1399999999999999</v>
      </c>
      <c r="BZ907">
        <v>0.4</v>
      </c>
      <c r="CA907">
        <v>1.81</v>
      </c>
      <c r="CB907">
        <v>0.98</v>
      </c>
      <c r="CC907">
        <v>2.4</v>
      </c>
      <c r="CD907">
        <v>0.98</v>
      </c>
      <c r="CE907">
        <v>0.46</v>
      </c>
      <c r="CF907">
        <v>0.31</v>
      </c>
      <c r="CG907">
        <v>0</v>
      </c>
      <c r="CH907">
        <v>0.95</v>
      </c>
      <c r="CI907">
        <v>0</v>
      </c>
      <c r="CJ907">
        <v>0.2</v>
      </c>
      <c r="CK907">
        <v>46</v>
      </c>
      <c r="CL907">
        <v>-0.71</v>
      </c>
      <c r="CM907">
        <v>45</v>
      </c>
      <c r="CN907">
        <v>-0.54</v>
      </c>
      <c r="CO907">
        <v>45</v>
      </c>
      <c r="CP907">
        <v>-7.9</v>
      </c>
      <c r="CQ907">
        <v>41</v>
      </c>
      <c r="CR907">
        <v>0</v>
      </c>
      <c r="CS907">
        <v>0</v>
      </c>
      <c r="CT907">
        <v>-4.7</v>
      </c>
      <c r="CU907">
        <v>39</v>
      </c>
      <c r="CV907">
        <v>0.1</v>
      </c>
      <c r="CW907">
        <v>34</v>
      </c>
      <c r="CX907" t="s">
        <v>2048</v>
      </c>
    </row>
    <row r="908" spans="1:102" x14ac:dyDescent="0.3">
      <c r="A908" t="str">
        <f>HYPERLINK("https://webapp.icbf.com/v2/app/bull-search/view/1125365709","JE4526")</f>
        <v>JE4526</v>
      </c>
      <c r="B908" t="s">
        <v>6560</v>
      </c>
      <c r="C908" t="s">
        <v>6561</v>
      </c>
      <c r="D908" s="1">
        <v>41124</v>
      </c>
      <c r="E908" t="s">
        <v>227</v>
      </c>
      <c r="F908">
        <v>6</v>
      </c>
      <c r="G908" t="s">
        <v>109</v>
      </c>
      <c r="H908">
        <v>149.75</v>
      </c>
      <c r="I908">
        <v>72</v>
      </c>
      <c r="J908">
        <v>88.9</v>
      </c>
      <c r="K908">
        <v>88</v>
      </c>
      <c r="L908">
        <v>5.37</v>
      </c>
      <c r="M908">
        <v>66</v>
      </c>
      <c r="N908">
        <v>44.15</v>
      </c>
      <c r="O908">
        <v>84</v>
      </c>
      <c r="P908">
        <v>-53.91</v>
      </c>
      <c r="Q908">
        <v>51</v>
      </c>
      <c r="R908">
        <v>5.75</v>
      </c>
      <c r="S908">
        <v>64</v>
      </c>
      <c r="T908">
        <v>47.87</v>
      </c>
      <c r="U908">
        <v>45</v>
      </c>
      <c r="V908">
        <v>11.62</v>
      </c>
      <c r="W908">
        <v>62</v>
      </c>
      <c r="X908" t="s">
        <v>276</v>
      </c>
      <c r="Y908" t="s">
        <v>442</v>
      </c>
      <c r="Z908">
        <v>0</v>
      </c>
      <c r="AA908" t="s">
        <v>6562</v>
      </c>
      <c r="AB908" t="s">
        <v>6563</v>
      </c>
      <c r="AC908">
        <v>0</v>
      </c>
      <c r="AD908">
        <v>0</v>
      </c>
      <c r="AE908">
        <v>88</v>
      </c>
      <c r="AF908">
        <v>-390.69</v>
      </c>
      <c r="AG908">
        <v>17.13</v>
      </c>
      <c r="AH908">
        <v>3.08</v>
      </c>
      <c r="AI908">
        <v>0.6</v>
      </c>
      <c r="AJ908">
        <v>0.31</v>
      </c>
      <c r="AK908">
        <v>66</v>
      </c>
      <c r="AL908">
        <v>0</v>
      </c>
      <c r="AM908">
        <v>0</v>
      </c>
      <c r="AN908">
        <v>1.41</v>
      </c>
      <c r="AO908">
        <v>1.86</v>
      </c>
      <c r="AP908">
        <v>419</v>
      </c>
      <c r="AQ908">
        <v>0</v>
      </c>
      <c r="AR908">
        <v>3.66</v>
      </c>
      <c r="AS908">
        <v>85</v>
      </c>
      <c r="AT908">
        <v>1.77</v>
      </c>
      <c r="AU908">
        <v>90</v>
      </c>
      <c r="AV908">
        <v>-3.81</v>
      </c>
      <c r="AW908">
        <v>98</v>
      </c>
      <c r="AX908">
        <v>0.12</v>
      </c>
      <c r="AY908">
        <v>84</v>
      </c>
      <c r="AZ908">
        <v>7.37</v>
      </c>
      <c r="BA908">
        <v>42</v>
      </c>
      <c r="BB908">
        <v>5.48</v>
      </c>
      <c r="BC908">
        <v>41</v>
      </c>
      <c r="BD908">
        <v>-0.05</v>
      </c>
      <c r="BE908">
        <v>-0.01</v>
      </c>
      <c r="BF908">
        <v>-0.03</v>
      </c>
      <c r="BG908">
        <v>72</v>
      </c>
      <c r="BH908">
        <v>0.23</v>
      </c>
      <c r="BI908">
        <v>-10.88</v>
      </c>
      <c r="BJ908">
        <v>0</v>
      </c>
      <c r="BK908">
        <v>0</v>
      </c>
      <c r="BL908">
        <v>-3.25</v>
      </c>
      <c r="BM908">
        <v>-1.39</v>
      </c>
      <c r="BN908">
        <v>-0.42</v>
      </c>
      <c r="BO908">
        <v>0.79</v>
      </c>
      <c r="BP908">
        <v>-0.91</v>
      </c>
      <c r="BQ908">
        <v>-5.38</v>
      </c>
      <c r="BR908">
        <v>2.83</v>
      </c>
      <c r="BS908">
        <v>5.52</v>
      </c>
      <c r="BT908">
        <v>-1.57</v>
      </c>
      <c r="BU908">
        <v>-1.07</v>
      </c>
      <c r="BV908">
        <v>-0.41</v>
      </c>
      <c r="BW908">
        <v>-2.52</v>
      </c>
      <c r="BX908">
        <v>-3.76</v>
      </c>
      <c r="BY908">
        <v>-0.12</v>
      </c>
      <c r="BZ908">
        <v>-0.73</v>
      </c>
      <c r="CA908">
        <v>0.66</v>
      </c>
      <c r="CB908">
        <v>-0.6</v>
      </c>
      <c r="CC908">
        <v>3.08</v>
      </c>
      <c r="CD908">
        <v>-1.35</v>
      </c>
      <c r="CE908">
        <v>0.53</v>
      </c>
      <c r="CF908">
        <v>-3.24</v>
      </c>
      <c r="CG908">
        <v>0</v>
      </c>
      <c r="CH908">
        <v>-0.84</v>
      </c>
      <c r="CI908">
        <v>0</v>
      </c>
      <c r="CJ908">
        <v>-28.8</v>
      </c>
      <c r="CK908">
        <v>56</v>
      </c>
      <c r="CL908">
        <v>-0.99</v>
      </c>
      <c r="CM908">
        <v>43</v>
      </c>
      <c r="CN908">
        <v>-0.17</v>
      </c>
      <c r="CO908">
        <v>43</v>
      </c>
      <c r="CP908">
        <v>-39.6</v>
      </c>
      <c r="CQ908">
        <v>45</v>
      </c>
      <c r="CR908">
        <v>0</v>
      </c>
      <c r="CS908">
        <v>0</v>
      </c>
      <c r="CT908">
        <v>-50.9</v>
      </c>
      <c r="CU908">
        <v>45</v>
      </c>
      <c r="CV908">
        <v>-0.28999999999999998</v>
      </c>
      <c r="CW908">
        <v>34</v>
      </c>
      <c r="CX908" t="s">
        <v>1928</v>
      </c>
    </row>
    <row r="909" spans="1:102" x14ac:dyDescent="0.3">
      <c r="A909" t="str">
        <f>HYPERLINK("https://webapp.icbf.com/v2/app/bull-search/view/1246193690","FR2350")</f>
        <v>FR2350</v>
      </c>
      <c r="B909" t="s">
        <v>6121</v>
      </c>
      <c r="C909" t="s">
        <v>6122</v>
      </c>
      <c r="D909" s="1">
        <v>42038</v>
      </c>
      <c r="E909" t="s">
        <v>108</v>
      </c>
      <c r="F909">
        <v>3</v>
      </c>
      <c r="G909" t="s">
        <v>93</v>
      </c>
      <c r="H909">
        <v>149.66</v>
      </c>
      <c r="I909">
        <v>78</v>
      </c>
      <c r="J909">
        <v>-1.93</v>
      </c>
      <c r="K909">
        <v>92</v>
      </c>
      <c r="L909">
        <v>105.17</v>
      </c>
      <c r="M909">
        <v>67</v>
      </c>
      <c r="N909">
        <v>35.06</v>
      </c>
      <c r="O909">
        <v>83</v>
      </c>
      <c r="P909">
        <v>-1.79</v>
      </c>
      <c r="Q909">
        <v>89</v>
      </c>
      <c r="R909">
        <v>4.74</v>
      </c>
      <c r="S909">
        <v>68</v>
      </c>
      <c r="T909">
        <v>10.130000000000001</v>
      </c>
      <c r="U909">
        <v>54</v>
      </c>
      <c r="V909">
        <v>-1.72</v>
      </c>
      <c r="W909">
        <v>67</v>
      </c>
      <c r="X909" t="s">
        <v>94</v>
      </c>
      <c r="Y909" t="s">
        <v>436</v>
      </c>
      <c r="Z909" t="s">
        <v>96</v>
      </c>
      <c r="AA909" t="s">
        <v>2411</v>
      </c>
      <c r="AB909" t="s">
        <v>6123</v>
      </c>
      <c r="AC909">
        <v>66</v>
      </c>
      <c r="AD909">
        <v>34</v>
      </c>
      <c r="AE909">
        <v>92</v>
      </c>
      <c r="AF909">
        <v>-109.01</v>
      </c>
      <c r="AG909">
        <v>-2.59</v>
      </c>
      <c r="AH909">
        <v>-1.08</v>
      </c>
      <c r="AI909">
        <v>0.03</v>
      </c>
      <c r="AJ909">
        <v>0.05</v>
      </c>
      <c r="AK909">
        <v>67</v>
      </c>
      <c r="AL909">
        <v>0</v>
      </c>
      <c r="AM909">
        <v>0</v>
      </c>
      <c r="AN909">
        <v>-7.05</v>
      </c>
      <c r="AO909">
        <v>1.32</v>
      </c>
      <c r="AP909">
        <v>283</v>
      </c>
      <c r="AQ909">
        <v>1</v>
      </c>
      <c r="AR909">
        <v>5.87</v>
      </c>
      <c r="AS909">
        <v>73</v>
      </c>
      <c r="AT909">
        <v>2.5299999999999998</v>
      </c>
      <c r="AU909">
        <v>88</v>
      </c>
      <c r="AV909">
        <v>-3.55</v>
      </c>
      <c r="AW909">
        <v>97</v>
      </c>
      <c r="AX909">
        <v>-0.36</v>
      </c>
      <c r="AY909">
        <v>83</v>
      </c>
      <c r="AZ909">
        <v>7.14</v>
      </c>
      <c r="BA909">
        <v>61</v>
      </c>
      <c r="BB909">
        <v>5.38</v>
      </c>
      <c r="BC909">
        <v>39</v>
      </c>
      <c r="BD909">
        <v>0.03</v>
      </c>
      <c r="BE909">
        <v>-0.01</v>
      </c>
      <c r="BF909">
        <v>-0.14000000000000001</v>
      </c>
      <c r="BG909">
        <v>79</v>
      </c>
      <c r="BH909">
        <v>-7.0000000000000007E-2</v>
      </c>
      <c r="BI909">
        <v>-2.5499999999999998</v>
      </c>
      <c r="BJ909">
        <v>0</v>
      </c>
      <c r="BK909">
        <v>0</v>
      </c>
      <c r="BL909">
        <v>-2.4700000000000002</v>
      </c>
      <c r="BM909">
        <v>2.87</v>
      </c>
      <c r="BN909">
        <v>-0.28000000000000003</v>
      </c>
      <c r="BO909">
        <v>-2.2000000000000002</v>
      </c>
      <c r="BP909">
        <v>-1.74</v>
      </c>
      <c r="BQ909">
        <v>2.76</v>
      </c>
      <c r="BR909">
        <v>-1.68</v>
      </c>
      <c r="BS909">
        <v>-0.01</v>
      </c>
      <c r="BT909">
        <v>0.49</v>
      </c>
      <c r="BU909">
        <v>-2.5</v>
      </c>
      <c r="BV909">
        <v>-2.78</v>
      </c>
      <c r="BW909">
        <v>-2.04</v>
      </c>
      <c r="BX909">
        <v>-1.93</v>
      </c>
      <c r="BY909">
        <v>-0.89</v>
      </c>
      <c r="BZ909">
        <v>0.66</v>
      </c>
      <c r="CA909">
        <v>-1.51</v>
      </c>
      <c r="CB909">
        <v>-1.74</v>
      </c>
      <c r="CC909">
        <v>-0.39</v>
      </c>
      <c r="CD909">
        <v>2.38</v>
      </c>
      <c r="CE909">
        <v>-1.9</v>
      </c>
      <c r="CF909">
        <v>-1.48</v>
      </c>
      <c r="CG909">
        <v>0</v>
      </c>
      <c r="CH909">
        <v>-0.42</v>
      </c>
      <c r="CI909">
        <v>0</v>
      </c>
      <c r="CJ909">
        <v>-2.1</v>
      </c>
      <c r="CK909">
        <v>92</v>
      </c>
      <c r="CL909">
        <v>-0.31</v>
      </c>
      <c r="CM909">
        <v>91</v>
      </c>
      <c r="CN909">
        <v>-0.41</v>
      </c>
      <c r="CO909">
        <v>90</v>
      </c>
      <c r="CP909">
        <v>-3.3</v>
      </c>
      <c r="CQ909">
        <v>62</v>
      </c>
      <c r="CR909">
        <v>0</v>
      </c>
      <c r="CS909">
        <v>0</v>
      </c>
      <c r="CT909">
        <v>0.1</v>
      </c>
      <c r="CU909">
        <v>54</v>
      </c>
      <c r="CV909">
        <v>0.06</v>
      </c>
      <c r="CW909">
        <v>44</v>
      </c>
      <c r="CX909" t="s">
        <v>5993</v>
      </c>
    </row>
    <row r="910" spans="1:102" x14ac:dyDescent="0.3">
      <c r="A910" t="str">
        <f>HYPERLINK("https://webapp.icbf.com/v2/app/bull-search/view/77856862","HFL")</f>
        <v>HFL</v>
      </c>
      <c r="B910" t="s">
        <v>3718</v>
      </c>
      <c r="C910" t="s">
        <v>1883</v>
      </c>
      <c r="D910" s="1">
        <v>34207</v>
      </c>
      <c r="E910" t="s">
        <v>92</v>
      </c>
      <c r="F910">
        <v>88</v>
      </c>
      <c r="G910" t="s">
        <v>93</v>
      </c>
      <c r="H910">
        <v>149.52000000000001</v>
      </c>
      <c r="I910">
        <v>98</v>
      </c>
      <c r="J910">
        <v>42.54</v>
      </c>
      <c r="K910">
        <v>99</v>
      </c>
      <c r="L910">
        <v>48</v>
      </c>
      <c r="M910">
        <v>97</v>
      </c>
      <c r="N910">
        <v>43.87</v>
      </c>
      <c r="O910">
        <v>99</v>
      </c>
      <c r="P910">
        <v>-0.67</v>
      </c>
      <c r="Q910">
        <v>99</v>
      </c>
      <c r="R910">
        <v>6.09</v>
      </c>
      <c r="S910">
        <v>98</v>
      </c>
      <c r="T910">
        <v>18.71</v>
      </c>
      <c r="U910">
        <v>99</v>
      </c>
      <c r="V910">
        <v>-9.02</v>
      </c>
      <c r="W910">
        <v>99</v>
      </c>
      <c r="X910" t="s">
        <v>102</v>
      </c>
      <c r="Y910" t="s">
        <v>95</v>
      </c>
      <c r="Z910" t="s">
        <v>96</v>
      </c>
      <c r="AA910" t="s">
        <v>193</v>
      </c>
      <c r="AB910" t="s">
        <v>3719</v>
      </c>
      <c r="AC910">
        <v>3193</v>
      </c>
      <c r="AD910">
        <v>727</v>
      </c>
      <c r="AE910">
        <v>99</v>
      </c>
      <c r="AF910">
        <v>114.15</v>
      </c>
      <c r="AG910">
        <v>12.19</v>
      </c>
      <c r="AH910">
        <v>4.67</v>
      </c>
      <c r="AI910">
        <v>0.13</v>
      </c>
      <c r="AJ910">
        <v>0.01</v>
      </c>
      <c r="AK910">
        <v>97</v>
      </c>
      <c r="AL910">
        <v>3636</v>
      </c>
      <c r="AM910">
        <v>961</v>
      </c>
      <c r="AN910">
        <v>-1.69</v>
      </c>
      <c r="AO910">
        <v>2.15</v>
      </c>
      <c r="AP910">
        <v>5169</v>
      </c>
      <c r="AQ910">
        <v>21</v>
      </c>
      <c r="AR910">
        <v>3.98</v>
      </c>
      <c r="AS910">
        <v>99</v>
      </c>
      <c r="AT910">
        <v>1.75</v>
      </c>
      <c r="AU910">
        <v>99</v>
      </c>
      <c r="AV910">
        <v>-3.71</v>
      </c>
      <c r="AW910">
        <v>99</v>
      </c>
      <c r="AX910">
        <v>-0.22</v>
      </c>
      <c r="AY910">
        <v>99</v>
      </c>
      <c r="AZ910">
        <v>6.89</v>
      </c>
      <c r="BA910">
        <v>98</v>
      </c>
      <c r="BB910">
        <v>5.61</v>
      </c>
      <c r="BC910">
        <v>98</v>
      </c>
      <c r="BD910">
        <v>-0.09</v>
      </c>
      <c r="BE910">
        <v>0</v>
      </c>
      <c r="BF910">
        <v>0.01</v>
      </c>
      <c r="BG910">
        <v>99</v>
      </c>
      <c r="BH910">
        <v>-7.0000000000000007E-2</v>
      </c>
      <c r="BI910">
        <v>21.01</v>
      </c>
      <c r="BJ910">
        <v>196</v>
      </c>
      <c r="BK910">
        <v>80</v>
      </c>
      <c r="BL910">
        <v>-0.76</v>
      </c>
      <c r="BM910">
        <v>0.62</v>
      </c>
      <c r="BN910">
        <v>-0.49</v>
      </c>
      <c r="BO910">
        <v>-0.71</v>
      </c>
      <c r="BP910">
        <v>-0.59</v>
      </c>
      <c r="BQ910">
        <v>-2.44</v>
      </c>
      <c r="BR910">
        <v>0.52</v>
      </c>
      <c r="BS910">
        <v>-0.78</v>
      </c>
      <c r="BT910">
        <v>-0.21</v>
      </c>
      <c r="BU910">
        <v>-1.55</v>
      </c>
      <c r="BV910">
        <v>-1.53</v>
      </c>
      <c r="BW910">
        <v>-0.78</v>
      </c>
      <c r="BX910">
        <v>-1.76</v>
      </c>
      <c r="BY910">
        <v>-1.62</v>
      </c>
      <c r="BZ910">
        <v>2.86</v>
      </c>
      <c r="CA910">
        <v>-1.19</v>
      </c>
      <c r="CB910">
        <v>-1.39</v>
      </c>
      <c r="CC910">
        <v>-0.45</v>
      </c>
      <c r="CD910">
        <v>0.49</v>
      </c>
      <c r="CE910">
        <v>-0.34</v>
      </c>
      <c r="CF910">
        <v>-0.97</v>
      </c>
      <c r="CG910">
        <v>0</v>
      </c>
      <c r="CH910">
        <v>-1.67</v>
      </c>
      <c r="CI910">
        <v>0</v>
      </c>
      <c r="CJ910">
        <v>0.4</v>
      </c>
      <c r="CK910">
        <v>99</v>
      </c>
      <c r="CL910">
        <v>-0.45</v>
      </c>
      <c r="CM910">
        <v>99</v>
      </c>
      <c r="CN910">
        <v>-0.4</v>
      </c>
      <c r="CO910">
        <v>99</v>
      </c>
      <c r="CP910">
        <v>-8.4</v>
      </c>
      <c r="CQ910">
        <v>99</v>
      </c>
      <c r="CR910">
        <v>0</v>
      </c>
      <c r="CS910">
        <v>0</v>
      </c>
      <c r="CT910">
        <v>-11.5</v>
      </c>
      <c r="CU910">
        <v>99</v>
      </c>
      <c r="CV910">
        <v>0.18</v>
      </c>
      <c r="CW910">
        <v>48</v>
      </c>
      <c r="CX910" t="s">
        <v>3720</v>
      </c>
    </row>
    <row r="911" spans="1:102" x14ac:dyDescent="0.3">
      <c r="A911" t="str">
        <f>HYPERLINK("https://webapp.icbf.com/v2/app/bull-search/view/910795128","KJT")</f>
        <v>KJT</v>
      </c>
      <c r="B911" t="s">
        <v>5724</v>
      </c>
      <c r="C911" t="s">
        <v>5725</v>
      </c>
      <c r="D911" s="1">
        <v>40412</v>
      </c>
      <c r="E911" t="s">
        <v>92</v>
      </c>
      <c r="F911">
        <v>56</v>
      </c>
      <c r="G911" t="s">
        <v>93</v>
      </c>
      <c r="H911">
        <v>149.51</v>
      </c>
      <c r="I911">
        <v>88</v>
      </c>
      <c r="J911">
        <v>91.19</v>
      </c>
      <c r="K911">
        <v>97</v>
      </c>
      <c r="L911">
        <v>17.34</v>
      </c>
      <c r="M911">
        <v>82</v>
      </c>
      <c r="N911">
        <v>41.57</v>
      </c>
      <c r="O911">
        <v>88</v>
      </c>
      <c r="P911">
        <v>-30.53</v>
      </c>
      <c r="Q911">
        <v>94</v>
      </c>
      <c r="R911">
        <v>-5.19</v>
      </c>
      <c r="S911">
        <v>76</v>
      </c>
      <c r="T911">
        <v>24.11</v>
      </c>
      <c r="U911">
        <v>82</v>
      </c>
      <c r="V911">
        <v>11.02</v>
      </c>
      <c r="W911">
        <v>70</v>
      </c>
      <c r="X911" t="s">
        <v>276</v>
      </c>
      <c r="Y911" t="s">
        <v>1775</v>
      </c>
      <c r="Z911" t="s">
        <v>330</v>
      </c>
      <c r="AA911" t="s">
        <v>5726</v>
      </c>
      <c r="AB911" t="s">
        <v>5727</v>
      </c>
      <c r="AC911">
        <v>201</v>
      </c>
      <c r="AD911">
        <v>68</v>
      </c>
      <c r="AE911">
        <v>97</v>
      </c>
      <c r="AF911">
        <v>355.7</v>
      </c>
      <c r="AG911">
        <v>11.12</v>
      </c>
      <c r="AH911">
        <v>17.02</v>
      </c>
      <c r="AI911">
        <v>-0.05</v>
      </c>
      <c r="AJ911">
        <v>0.08</v>
      </c>
      <c r="AK911">
        <v>82</v>
      </c>
      <c r="AL911">
        <v>200</v>
      </c>
      <c r="AM911">
        <v>70</v>
      </c>
      <c r="AN911">
        <v>-0.42</v>
      </c>
      <c r="AO911">
        <v>0.97</v>
      </c>
      <c r="AP911">
        <v>517</v>
      </c>
      <c r="AQ911">
        <v>3</v>
      </c>
      <c r="AR911">
        <v>5.64</v>
      </c>
      <c r="AS911">
        <v>83</v>
      </c>
      <c r="AT911">
        <v>2.31</v>
      </c>
      <c r="AU911">
        <v>93</v>
      </c>
      <c r="AV911">
        <v>-3.18</v>
      </c>
      <c r="AW911">
        <v>98</v>
      </c>
      <c r="AX911">
        <v>-1.23</v>
      </c>
      <c r="AY911">
        <v>90</v>
      </c>
      <c r="AZ911">
        <v>5.51</v>
      </c>
      <c r="BA911">
        <v>74</v>
      </c>
      <c r="BB911">
        <v>4.84</v>
      </c>
      <c r="BC911">
        <v>55</v>
      </c>
      <c r="BD911">
        <v>-0.01</v>
      </c>
      <c r="BE911">
        <v>0.04</v>
      </c>
      <c r="BF911">
        <v>0.06</v>
      </c>
      <c r="BG911">
        <v>92</v>
      </c>
      <c r="BH911">
        <v>0.21</v>
      </c>
      <c r="BI911">
        <v>-11.27</v>
      </c>
      <c r="BJ911">
        <v>1</v>
      </c>
      <c r="BK911">
        <v>1</v>
      </c>
      <c r="BL911">
        <v>-1.19</v>
      </c>
      <c r="BM911">
        <v>1.31</v>
      </c>
      <c r="BN911">
        <v>0.04</v>
      </c>
      <c r="BO911">
        <v>-1.26</v>
      </c>
      <c r="BP911">
        <v>1.22</v>
      </c>
      <c r="BQ911">
        <v>0.53</v>
      </c>
      <c r="BR911">
        <v>1.74</v>
      </c>
      <c r="BS911">
        <v>-1.81</v>
      </c>
      <c r="BT911">
        <v>-2.76</v>
      </c>
      <c r="BU911">
        <v>-0.94</v>
      </c>
      <c r="BV911">
        <v>-0.04</v>
      </c>
      <c r="BW911">
        <v>-0.8</v>
      </c>
      <c r="BX911">
        <v>-1.71</v>
      </c>
      <c r="BY911">
        <v>-0.06</v>
      </c>
      <c r="BZ911">
        <v>0.34</v>
      </c>
      <c r="CA911">
        <v>-0.81</v>
      </c>
      <c r="CB911">
        <v>-0.52</v>
      </c>
      <c r="CC911">
        <v>-2.29</v>
      </c>
      <c r="CD911">
        <v>0.8</v>
      </c>
      <c r="CE911">
        <v>-0.81</v>
      </c>
      <c r="CF911">
        <v>-1.45</v>
      </c>
      <c r="CG911">
        <v>0</v>
      </c>
      <c r="CH911">
        <v>-0.85</v>
      </c>
      <c r="CI911">
        <v>0</v>
      </c>
      <c r="CJ911">
        <v>-15.9</v>
      </c>
      <c r="CK911">
        <v>96</v>
      </c>
      <c r="CL911">
        <v>-0.95</v>
      </c>
      <c r="CM911">
        <v>95</v>
      </c>
      <c r="CN911">
        <v>-0.37</v>
      </c>
      <c r="CO911">
        <v>94</v>
      </c>
      <c r="CP911">
        <v>-20.8</v>
      </c>
      <c r="CQ911">
        <v>80</v>
      </c>
      <c r="CR911">
        <v>0</v>
      </c>
      <c r="CS911">
        <v>0</v>
      </c>
      <c r="CT911">
        <v>-18.8</v>
      </c>
      <c r="CU911">
        <v>82</v>
      </c>
      <c r="CV911">
        <v>0.02</v>
      </c>
      <c r="CW911">
        <v>45</v>
      </c>
      <c r="CX911" t="s">
        <v>1451</v>
      </c>
    </row>
    <row r="912" spans="1:102" x14ac:dyDescent="0.3">
      <c r="A912" t="str">
        <f>HYPERLINK("https://webapp.icbf.com/v2/app/bull-search/view/1029246874","FCM")</f>
        <v>FCM</v>
      </c>
      <c r="B912" t="s">
        <v>9212</v>
      </c>
      <c r="C912" t="s">
        <v>9213</v>
      </c>
      <c r="D912" s="1">
        <v>40810</v>
      </c>
      <c r="E912" t="s">
        <v>108</v>
      </c>
      <c r="F912">
        <v>3</v>
      </c>
      <c r="G912" t="s">
        <v>93</v>
      </c>
      <c r="H912">
        <v>149.47999999999999</v>
      </c>
      <c r="I912">
        <v>89</v>
      </c>
      <c r="J912">
        <v>-4.75</v>
      </c>
      <c r="K912">
        <v>98</v>
      </c>
      <c r="L912">
        <v>92.53</v>
      </c>
      <c r="M912">
        <v>82</v>
      </c>
      <c r="N912">
        <v>55.34</v>
      </c>
      <c r="O912">
        <v>93</v>
      </c>
      <c r="P912">
        <v>-15.7</v>
      </c>
      <c r="Q912">
        <v>97</v>
      </c>
      <c r="R912">
        <v>4.84</v>
      </c>
      <c r="S912">
        <v>81</v>
      </c>
      <c r="T912">
        <v>19.600000000000001</v>
      </c>
      <c r="U912">
        <v>83</v>
      </c>
      <c r="V912">
        <v>-2.38</v>
      </c>
      <c r="W912">
        <v>77</v>
      </c>
      <c r="X912" t="s">
        <v>102</v>
      </c>
      <c r="Y912" t="s">
        <v>375</v>
      </c>
      <c r="Z912" t="s">
        <v>96</v>
      </c>
      <c r="AA912" t="s">
        <v>4492</v>
      </c>
      <c r="AB912" t="s">
        <v>9214</v>
      </c>
      <c r="AC912">
        <v>313</v>
      </c>
      <c r="AD912">
        <v>103</v>
      </c>
      <c r="AE912">
        <v>98</v>
      </c>
      <c r="AF912">
        <v>-49.12</v>
      </c>
      <c r="AG912">
        <v>0.51</v>
      </c>
      <c r="AH912">
        <v>-1.74</v>
      </c>
      <c r="AI912">
        <v>0.04</v>
      </c>
      <c r="AJ912">
        <v>0</v>
      </c>
      <c r="AK912">
        <v>82</v>
      </c>
      <c r="AL912">
        <v>240</v>
      </c>
      <c r="AM912">
        <v>97</v>
      </c>
      <c r="AN912">
        <v>-5</v>
      </c>
      <c r="AO912">
        <v>2.38</v>
      </c>
      <c r="AP912">
        <v>2900</v>
      </c>
      <c r="AQ912">
        <v>4</v>
      </c>
      <c r="AR912">
        <v>5.35</v>
      </c>
      <c r="AS912">
        <v>98</v>
      </c>
      <c r="AT912">
        <v>2.02</v>
      </c>
      <c r="AU912">
        <v>97</v>
      </c>
      <c r="AV912">
        <v>-4.78</v>
      </c>
      <c r="AW912">
        <v>99</v>
      </c>
      <c r="AX912">
        <v>-0.81</v>
      </c>
      <c r="AY912">
        <v>98</v>
      </c>
      <c r="AZ912">
        <v>6.17</v>
      </c>
      <c r="BA912">
        <v>85</v>
      </c>
      <c r="BB912">
        <v>4.72</v>
      </c>
      <c r="BC912">
        <v>64</v>
      </c>
      <c r="BD912">
        <v>-0.02</v>
      </c>
      <c r="BE912">
        <v>-0.02</v>
      </c>
      <c r="BF912">
        <v>-0.04</v>
      </c>
      <c r="BG912">
        <v>93</v>
      </c>
      <c r="BH912">
        <v>-0.06</v>
      </c>
      <c r="BI912">
        <v>0.73</v>
      </c>
      <c r="BJ912">
        <v>1</v>
      </c>
      <c r="BK912">
        <v>1</v>
      </c>
      <c r="BL912">
        <v>-3.78</v>
      </c>
      <c r="BM912">
        <v>1.53</v>
      </c>
      <c r="BN912">
        <v>-2.16</v>
      </c>
      <c r="BO912">
        <v>-3.05</v>
      </c>
      <c r="BP912">
        <v>0.5</v>
      </c>
      <c r="BQ912">
        <v>0.15</v>
      </c>
      <c r="BR912">
        <v>-0.81</v>
      </c>
      <c r="BS912">
        <v>1.39</v>
      </c>
      <c r="BT912">
        <v>0.26</v>
      </c>
      <c r="BU912">
        <v>-2.27</v>
      </c>
      <c r="BV912">
        <v>-2.93</v>
      </c>
      <c r="BW912">
        <v>-2.64</v>
      </c>
      <c r="BX912">
        <v>-2.19</v>
      </c>
      <c r="BY912">
        <v>-2.86</v>
      </c>
      <c r="BZ912">
        <v>-1.53</v>
      </c>
      <c r="CA912">
        <v>-1.9</v>
      </c>
      <c r="CB912">
        <v>-2.2599999999999998</v>
      </c>
      <c r="CC912">
        <v>0.19</v>
      </c>
      <c r="CD912">
        <v>2.54</v>
      </c>
      <c r="CE912">
        <v>-1.86</v>
      </c>
      <c r="CF912">
        <v>-2.2400000000000002</v>
      </c>
      <c r="CG912">
        <v>0</v>
      </c>
      <c r="CH912">
        <v>-1.06</v>
      </c>
      <c r="CI912">
        <v>0</v>
      </c>
      <c r="CJ912">
        <v>-10.4</v>
      </c>
      <c r="CK912">
        <v>98</v>
      </c>
      <c r="CL912">
        <v>-0.25</v>
      </c>
      <c r="CM912">
        <v>98</v>
      </c>
      <c r="CN912">
        <v>-0.25</v>
      </c>
      <c r="CO912">
        <v>98</v>
      </c>
      <c r="CP912">
        <v>-11.3</v>
      </c>
      <c r="CQ912">
        <v>84</v>
      </c>
      <c r="CR912">
        <v>0</v>
      </c>
      <c r="CS912">
        <v>0</v>
      </c>
      <c r="CT912">
        <v>-12.7</v>
      </c>
      <c r="CU912">
        <v>83</v>
      </c>
      <c r="CV912">
        <v>-0.24</v>
      </c>
      <c r="CW912">
        <v>65</v>
      </c>
      <c r="CX912" t="s">
        <v>4705</v>
      </c>
    </row>
    <row r="913" spans="1:102" x14ac:dyDescent="0.3">
      <c r="A913" t="str">
        <f>HYPERLINK("https://webapp.icbf.com/v2/app/bull-search/view/1125384198","JE4499")</f>
        <v>JE4499</v>
      </c>
      <c r="B913" t="s">
        <v>9469</v>
      </c>
      <c r="C913" t="s">
        <v>9470</v>
      </c>
      <c r="D913" s="1">
        <v>41087</v>
      </c>
      <c r="E913" t="s">
        <v>227</v>
      </c>
      <c r="F913">
        <v>0</v>
      </c>
      <c r="G913" t="s">
        <v>109</v>
      </c>
      <c r="H913">
        <v>149.31</v>
      </c>
      <c r="I913">
        <v>72</v>
      </c>
      <c r="J913">
        <v>86.38</v>
      </c>
      <c r="K913">
        <v>88</v>
      </c>
      <c r="L913">
        <v>13.03</v>
      </c>
      <c r="M913">
        <v>67</v>
      </c>
      <c r="N913">
        <v>52.24</v>
      </c>
      <c r="O913">
        <v>82</v>
      </c>
      <c r="P913">
        <v>-56.73</v>
      </c>
      <c r="Q913">
        <v>51</v>
      </c>
      <c r="R913">
        <v>-6.31</v>
      </c>
      <c r="S913">
        <v>64</v>
      </c>
      <c r="T913">
        <v>56.15</v>
      </c>
      <c r="U913">
        <v>46</v>
      </c>
      <c r="V913">
        <v>4.55</v>
      </c>
      <c r="W913">
        <v>62</v>
      </c>
      <c r="X913" t="s">
        <v>94</v>
      </c>
      <c r="Y913" t="s">
        <v>2389</v>
      </c>
      <c r="Z913">
        <v>0</v>
      </c>
      <c r="AA913" t="s">
        <v>1836</v>
      </c>
      <c r="AB913" t="s">
        <v>9471</v>
      </c>
      <c r="AC913">
        <v>0</v>
      </c>
      <c r="AD913">
        <v>0</v>
      </c>
      <c r="AE913">
        <v>88</v>
      </c>
      <c r="AF913">
        <v>-271.19</v>
      </c>
      <c r="AG913">
        <v>15.01</v>
      </c>
      <c r="AH913">
        <v>5.23</v>
      </c>
      <c r="AI913">
        <v>0.46</v>
      </c>
      <c r="AJ913">
        <v>0.27</v>
      </c>
      <c r="AK913">
        <v>67</v>
      </c>
      <c r="AL913">
        <v>0</v>
      </c>
      <c r="AM913">
        <v>0</v>
      </c>
      <c r="AN913">
        <v>0.91</v>
      </c>
      <c r="AO913">
        <v>1.97</v>
      </c>
      <c r="AP913">
        <v>252</v>
      </c>
      <c r="AQ913">
        <v>0</v>
      </c>
      <c r="AR913">
        <v>2.5099999999999998</v>
      </c>
      <c r="AS913">
        <v>76</v>
      </c>
      <c r="AT913">
        <v>1.43</v>
      </c>
      <c r="AU913">
        <v>87</v>
      </c>
      <c r="AV913">
        <v>-4.2300000000000004</v>
      </c>
      <c r="AW913">
        <v>96</v>
      </c>
      <c r="AX913">
        <v>-0.56999999999999995</v>
      </c>
      <c r="AY913">
        <v>76</v>
      </c>
      <c r="AZ913">
        <v>7.92</v>
      </c>
      <c r="BA913">
        <v>45</v>
      </c>
      <c r="BB913">
        <v>5.39</v>
      </c>
      <c r="BC913">
        <v>47</v>
      </c>
      <c r="BD913">
        <v>-0.03</v>
      </c>
      <c r="BE913">
        <v>0.05</v>
      </c>
      <c r="BF913">
        <v>0.1</v>
      </c>
      <c r="BG913">
        <v>72</v>
      </c>
      <c r="BH913">
        <v>0.15</v>
      </c>
      <c r="BI913">
        <v>2.69</v>
      </c>
      <c r="BJ913">
        <v>0</v>
      </c>
      <c r="BK913">
        <v>0</v>
      </c>
      <c r="BL913">
        <v>-2.73</v>
      </c>
      <c r="BM913">
        <v>-1.47</v>
      </c>
      <c r="BN913">
        <v>-0.28999999999999998</v>
      </c>
      <c r="BO913">
        <v>0.97</v>
      </c>
      <c r="BP913">
        <v>-0.96</v>
      </c>
      <c r="BQ913">
        <v>-5.44</v>
      </c>
      <c r="BR913">
        <v>2.56</v>
      </c>
      <c r="BS913">
        <v>6.59</v>
      </c>
      <c r="BT913">
        <v>-0.69</v>
      </c>
      <c r="BU913">
        <v>-1.34</v>
      </c>
      <c r="BV913">
        <v>-0.67</v>
      </c>
      <c r="BW913">
        <v>-2.5299999999999998</v>
      </c>
      <c r="BX913">
        <v>-3.68</v>
      </c>
      <c r="BY913">
        <v>-0.2</v>
      </c>
      <c r="BZ913">
        <v>-0.14000000000000001</v>
      </c>
      <c r="CA913">
        <v>0.74</v>
      </c>
      <c r="CB913">
        <v>-0.95</v>
      </c>
      <c r="CC913">
        <v>3.96</v>
      </c>
      <c r="CD913">
        <v>-2</v>
      </c>
      <c r="CE913">
        <v>0.77</v>
      </c>
      <c r="CF913">
        <v>-3.06</v>
      </c>
      <c r="CG913">
        <v>0</v>
      </c>
      <c r="CH913">
        <v>-1.45</v>
      </c>
      <c r="CI913">
        <v>0</v>
      </c>
      <c r="CJ913">
        <v>-29.5</v>
      </c>
      <c r="CK913">
        <v>55</v>
      </c>
      <c r="CL913">
        <v>-1.1200000000000001</v>
      </c>
      <c r="CM913">
        <v>45</v>
      </c>
      <c r="CN913">
        <v>-0.17</v>
      </c>
      <c r="CO913">
        <v>44</v>
      </c>
      <c r="CP913">
        <v>-43</v>
      </c>
      <c r="CQ913">
        <v>46</v>
      </c>
      <c r="CR913">
        <v>0</v>
      </c>
      <c r="CS913">
        <v>0</v>
      </c>
      <c r="CT913">
        <v>-62.1</v>
      </c>
      <c r="CU913">
        <v>46</v>
      </c>
      <c r="CV913">
        <v>-0.2</v>
      </c>
      <c r="CW913">
        <v>34</v>
      </c>
      <c r="CX913" t="s">
        <v>229</v>
      </c>
    </row>
    <row r="914" spans="1:102" x14ac:dyDescent="0.3">
      <c r="A914" t="str">
        <f>HYPERLINK("https://webapp.icbf.com/v2/app/bull-search/view/650216412","S1323")</f>
        <v>S1323</v>
      </c>
      <c r="B914" t="s">
        <v>13051</v>
      </c>
      <c r="C914" t="s">
        <v>2021</v>
      </c>
      <c r="D914" s="1">
        <v>37837</v>
      </c>
      <c r="E914" t="s">
        <v>227</v>
      </c>
      <c r="F914">
        <v>0</v>
      </c>
      <c r="G914" t="s">
        <v>93</v>
      </c>
      <c r="H914">
        <v>149.31</v>
      </c>
      <c r="I914">
        <v>90</v>
      </c>
      <c r="J914">
        <v>73.09</v>
      </c>
      <c r="K914">
        <v>98</v>
      </c>
      <c r="L914">
        <v>48.2</v>
      </c>
      <c r="M914">
        <v>89</v>
      </c>
      <c r="N914">
        <v>-1.84</v>
      </c>
      <c r="O914">
        <v>86</v>
      </c>
      <c r="P914">
        <v>-59.82</v>
      </c>
      <c r="Q914">
        <v>83</v>
      </c>
      <c r="R914">
        <v>10.99</v>
      </c>
      <c r="S914">
        <v>80</v>
      </c>
      <c r="T914">
        <v>72.209999999999994</v>
      </c>
      <c r="U914">
        <v>80</v>
      </c>
      <c r="V914">
        <v>6.48</v>
      </c>
      <c r="W914">
        <v>76</v>
      </c>
      <c r="X914" t="s">
        <v>94</v>
      </c>
      <c r="Y914" t="s">
        <v>342</v>
      </c>
      <c r="Z914">
        <v>0</v>
      </c>
      <c r="AA914" t="s">
        <v>372</v>
      </c>
      <c r="AB914" t="s">
        <v>144</v>
      </c>
      <c r="AC914">
        <v>122</v>
      </c>
      <c r="AD914">
        <v>47</v>
      </c>
      <c r="AE914">
        <v>98</v>
      </c>
      <c r="AF914">
        <v>-423.76</v>
      </c>
      <c r="AG914">
        <v>17.37</v>
      </c>
      <c r="AH914">
        <v>-0.2</v>
      </c>
      <c r="AI914">
        <v>0.64</v>
      </c>
      <c r="AJ914">
        <v>0.27</v>
      </c>
      <c r="AK914">
        <v>89</v>
      </c>
      <c r="AL914">
        <v>118</v>
      </c>
      <c r="AM914">
        <v>47</v>
      </c>
      <c r="AN914">
        <v>-0.6</v>
      </c>
      <c r="AO914">
        <v>3.27</v>
      </c>
      <c r="AP914">
        <v>153</v>
      </c>
      <c r="AQ914">
        <v>1</v>
      </c>
      <c r="AR914">
        <v>3.39</v>
      </c>
      <c r="AS914">
        <v>87</v>
      </c>
      <c r="AT914">
        <v>1.88</v>
      </c>
      <c r="AU914">
        <v>83</v>
      </c>
      <c r="AV914">
        <v>0.44</v>
      </c>
      <c r="AW914">
        <v>96</v>
      </c>
      <c r="AX914">
        <v>6.81</v>
      </c>
      <c r="AY914">
        <v>83</v>
      </c>
      <c r="AZ914">
        <v>5.94</v>
      </c>
      <c r="BA914">
        <v>72</v>
      </c>
      <c r="BB914">
        <v>4.8899999999999997</v>
      </c>
      <c r="BC914">
        <v>68</v>
      </c>
      <c r="BD914">
        <v>-7.0000000000000007E-2</v>
      </c>
      <c r="BE914">
        <v>-0.04</v>
      </c>
      <c r="BF914">
        <v>-0.06</v>
      </c>
      <c r="BG914">
        <v>91</v>
      </c>
      <c r="BH914">
        <v>7.0000000000000007E-2</v>
      </c>
      <c r="BI914">
        <v>-12.82</v>
      </c>
      <c r="BJ914">
        <v>1</v>
      </c>
      <c r="BK914">
        <v>1</v>
      </c>
      <c r="BL914">
        <v>-1.37</v>
      </c>
      <c r="BM914">
        <v>-1.97</v>
      </c>
      <c r="BN914">
        <v>-0.26</v>
      </c>
      <c r="BO914">
        <v>1.52</v>
      </c>
      <c r="BP914">
        <v>-0.18</v>
      </c>
      <c r="BQ914">
        <v>-5.87</v>
      </c>
      <c r="BR914">
        <v>2.56</v>
      </c>
      <c r="BS914">
        <v>5.67</v>
      </c>
      <c r="BT914">
        <v>-1.58</v>
      </c>
      <c r="BU914">
        <v>0.41</v>
      </c>
      <c r="BV914">
        <v>0.5</v>
      </c>
      <c r="BW914">
        <v>-1.53</v>
      </c>
      <c r="BX914">
        <v>-2.34</v>
      </c>
      <c r="BY914">
        <v>0.09</v>
      </c>
      <c r="BZ914">
        <v>-0.66</v>
      </c>
      <c r="CA914">
        <v>1.84</v>
      </c>
      <c r="CB914">
        <v>0.5</v>
      </c>
      <c r="CC914">
        <v>3.72</v>
      </c>
      <c r="CD914">
        <v>-2.4300000000000002</v>
      </c>
      <c r="CE914">
        <v>1.48</v>
      </c>
      <c r="CF914">
        <v>-1.69</v>
      </c>
      <c r="CG914">
        <v>0</v>
      </c>
      <c r="CH914">
        <v>-0.72</v>
      </c>
      <c r="CI914">
        <v>0</v>
      </c>
      <c r="CJ914">
        <v>-32.299999999999997</v>
      </c>
      <c r="CK914">
        <v>85</v>
      </c>
      <c r="CL914">
        <v>-1.02</v>
      </c>
      <c r="CM914">
        <v>81</v>
      </c>
      <c r="CN914">
        <v>-0.25</v>
      </c>
      <c r="CO914">
        <v>79</v>
      </c>
      <c r="CP914">
        <v>-51</v>
      </c>
      <c r="CQ914">
        <v>81</v>
      </c>
      <c r="CR914">
        <v>0</v>
      </c>
      <c r="CS914">
        <v>0</v>
      </c>
      <c r="CT914">
        <v>-83.8</v>
      </c>
      <c r="CU914">
        <v>80</v>
      </c>
      <c r="CV914">
        <v>-0.31</v>
      </c>
      <c r="CW914">
        <v>43</v>
      </c>
      <c r="CX914" t="s">
        <v>554</v>
      </c>
    </row>
    <row r="915" spans="1:102" x14ac:dyDescent="0.3">
      <c r="A915" t="str">
        <f>HYPERLINK("https://webapp.icbf.com/v2/app/bull-search/view/1097413684","S1594")</f>
        <v>S1594</v>
      </c>
      <c r="B915" t="s">
        <v>5932</v>
      </c>
      <c r="C915" t="s">
        <v>5933</v>
      </c>
      <c r="D915" s="1">
        <v>40856</v>
      </c>
      <c r="E915" t="s">
        <v>92</v>
      </c>
      <c r="F915">
        <v>100</v>
      </c>
      <c r="G915" t="s">
        <v>109</v>
      </c>
      <c r="H915">
        <v>149.29</v>
      </c>
      <c r="I915">
        <v>69</v>
      </c>
      <c r="J915">
        <v>97.85</v>
      </c>
      <c r="K915">
        <v>77</v>
      </c>
      <c r="L915">
        <v>-13.21</v>
      </c>
      <c r="M915">
        <v>75</v>
      </c>
      <c r="N915">
        <v>53.35</v>
      </c>
      <c r="O915">
        <v>70</v>
      </c>
      <c r="P915">
        <v>6.89</v>
      </c>
      <c r="Q915">
        <v>69</v>
      </c>
      <c r="R915">
        <v>6.15</v>
      </c>
      <c r="S915">
        <v>61</v>
      </c>
      <c r="T915">
        <v>0.14000000000000001</v>
      </c>
      <c r="U915">
        <v>42</v>
      </c>
      <c r="V915">
        <v>-1.88</v>
      </c>
      <c r="W915">
        <v>19</v>
      </c>
      <c r="X915" t="s">
        <v>94</v>
      </c>
      <c r="Y915" t="s">
        <v>362</v>
      </c>
      <c r="Z915" t="s">
        <v>96</v>
      </c>
      <c r="AA915" t="s">
        <v>2269</v>
      </c>
      <c r="AB915" t="s">
        <v>5934</v>
      </c>
      <c r="AC915">
        <v>0</v>
      </c>
      <c r="AD915">
        <v>0</v>
      </c>
      <c r="AE915">
        <v>77</v>
      </c>
      <c r="AF915">
        <v>410.33</v>
      </c>
      <c r="AG915">
        <v>23.27</v>
      </c>
      <c r="AH915">
        <v>14.69</v>
      </c>
      <c r="AI915">
        <v>0.11</v>
      </c>
      <c r="AJ915">
        <v>0.01</v>
      </c>
      <c r="AK915">
        <v>75</v>
      </c>
      <c r="AL915">
        <v>0</v>
      </c>
      <c r="AM915">
        <v>0</v>
      </c>
      <c r="AN915">
        <v>1.75</v>
      </c>
      <c r="AO915">
        <v>0.71</v>
      </c>
      <c r="AP915">
        <v>43</v>
      </c>
      <c r="AQ915">
        <v>0</v>
      </c>
      <c r="AR915">
        <v>3.93</v>
      </c>
      <c r="AS915">
        <v>57</v>
      </c>
      <c r="AT915">
        <v>1.71</v>
      </c>
      <c r="AU915">
        <v>81</v>
      </c>
      <c r="AV915">
        <v>-3.73</v>
      </c>
      <c r="AW915">
        <v>85</v>
      </c>
      <c r="AX915">
        <v>-0.44</v>
      </c>
      <c r="AY915">
        <v>60</v>
      </c>
      <c r="AZ915">
        <v>5.23</v>
      </c>
      <c r="BA915">
        <v>41</v>
      </c>
      <c r="BB915">
        <v>4.37</v>
      </c>
      <c r="BC915">
        <v>25</v>
      </c>
      <c r="BD915">
        <v>-0.02</v>
      </c>
      <c r="BE915">
        <v>-0.02</v>
      </c>
      <c r="BF915">
        <v>-7.0000000000000007E-2</v>
      </c>
      <c r="BG915">
        <v>86</v>
      </c>
      <c r="BH915">
        <v>0</v>
      </c>
      <c r="BI915">
        <v>6.05</v>
      </c>
      <c r="BJ915">
        <v>16</v>
      </c>
      <c r="BK915">
        <v>6</v>
      </c>
      <c r="BL915">
        <v>1.0900000000000001</v>
      </c>
      <c r="BM915">
        <v>-1.4</v>
      </c>
      <c r="BN915">
        <v>0.45</v>
      </c>
      <c r="BO915">
        <v>1.63</v>
      </c>
      <c r="BP915">
        <v>0.7</v>
      </c>
      <c r="BQ915">
        <v>1.34</v>
      </c>
      <c r="BR915">
        <v>0.28999999999999998</v>
      </c>
      <c r="BS915">
        <v>0.38</v>
      </c>
      <c r="BT915">
        <v>-0.22</v>
      </c>
      <c r="BU915">
        <v>2.2200000000000002</v>
      </c>
      <c r="BV915">
        <v>3.3</v>
      </c>
      <c r="BW915">
        <v>2.63</v>
      </c>
      <c r="BX915">
        <v>1.93</v>
      </c>
      <c r="BY915">
        <v>1.03</v>
      </c>
      <c r="BZ915">
        <v>0.28000000000000003</v>
      </c>
      <c r="CA915">
        <v>2.2599999999999998</v>
      </c>
      <c r="CB915">
        <v>2.4700000000000002</v>
      </c>
      <c r="CC915">
        <v>0.93</v>
      </c>
      <c r="CD915">
        <v>-1.71</v>
      </c>
      <c r="CE915">
        <v>1.88</v>
      </c>
      <c r="CF915">
        <v>1.74</v>
      </c>
      <c r="CG915">
        <v>0</v>
      </c>
      <c r="CH915">
        <v>2.48</v>
      </c>
      <c r="CI915">
        <v>0</v>
      </c>
      <c r="CJ915">
        <v>6</v>
      </c>
      <c r="CK915">
        <v>73</v>
      </c>
      <c r="CL915">
        <v>-0.94</v>
      </c>
      <c r="CM915">
        <v>68</v>
      </c>
      <c r="CN915">
        <v>-0.73</v>
      </c>
      <c r="CO915">
        <v>66</v>
      </c>
      <c r="CP915">
        <v>-1.6</v>
      </c>
      <c r="CQ915">
        <v>50</v>
      </c>
      <c r="CR915">
        <v>0</v>
      </c>
      <c r="CS915">
        <v>0</v>
      </c>
      <c r="CT915">
        <v>13.6</v>
      </c>
      <c r="CU915">
        <v>42</v>
      </c>
      <c r="CV915">
        <v>0.4</v>
      </c>
      <c r="CW915">
        <v>20</v>
      </c>
      <c r="CX915" t="s">
        <v>1572</v>
      </c>
    </row>
    <row r="916" spans="1:102" x14ac:dyDescent="0.3">
      <c r="A916" t="str">
        <f>HYPERLINK("https://webapp.icbf.com/v2/app/bull-search/view/1354260217","JE4409")</f>
        <v>JE4409</v>
      </c>
      <c r="B916" t="s">
        <v>13770</v>
      </c>
      <c r="C916" t="s">
        <v>13771</v>
      </c>
      <c r="D916" s="1">
        <v>42388</v>
      </c>
      <c r="E916" t="s">
        <v>227</v>
      </c>
      <c r="F916">
        <v>0</v>
      </c>
      <c r="G916" t="s">
        <v>435</v>
      </c>
      <c r="H916">
        <v>149.16999999999999</v>
      </c>
      <c r="I916">
        <v>69</v>
      </c>
      <c r="J916">
        <v>91.8</v>
      </c>
      <c r="K916">
        <v>84</v>
      </c>
      <c r="L916">
        <v>36.81</v>
      </c>
      <c r="M916">
        <v>64</v>
      </c>
      <c r="N916">
        <v>29.43</v>
      </c>
      <c r="O916">
        <v>75</v>
      </c>
      <c r="P916">
        <v>-59.71</v>
      </c>
      <c r="Q916">
        <v>57</v>
      </c>
      <c r="R916">
        <v>4.0999999999999996</v>
      </c>
      <c r="S916">
        <v>64</v>
      </c>
      <c r="T916">
        <v>42.61</v>
      </c>
      <c r="U916">
        <v>43</v>
      </c>
      <c r="V916">
        <v>4.13</v>
      </c>
      <c r="W916">
        <v>62</v>
      </c>
      <c r="X916" t="s">
        <v>94</v>
      </c>
      <c r="Y916" t="s">
        <v>2255</v>
      </c>
      <c r="Z916">
        <v>0</v>
      </c>
      <c r="AA916" t="s">
        <v>2276</v>
      </c>
      <c r="AB916" t="s">
        <v>13772</v>
      </c>
      <c r="AC916">
        <v>0</v>
      </c>
      <c r="AD916">
        <v>0</v>
      </c>
      <c r="AE916">
        <v>84</v>
      </c>
      <c r="AF916">
        <v>-219.48</v>
      </c>
      <c r="AG916">
        <v>19.54</v>
      </c>
      <c r="AH916">
        <v>5.34</v>
      </c>
      <c r="AI916">
        <v>0.5</v>
      </c>
      <c r="AJ916">
        <v>0.23</v>
      </c>
      <c r="AK916">
        <v>64</v>
      </c>
      <c r="AL916">
        <v>0</v>
      </c>
      <c r="AM916">
        <v>0</v>
      </c>
      <c r="AN916">
        <v>-1.63</v>
      </c>
      <c r="AO916">
        <v>1.31</v>
      </c>
      <c r="AP916">
        <v>98</v>
      </c>
      <c r="AQ916">
        <v>0</v>
      </c>
      <c r="AR916">
        <v>4.8600000000000003</v>
      </c>
      <c r="AS916">
        <v>74</v>
      </c>
      <c r="AT916">
        <v>2.1800000000000002</v>
      </c>
      <c r="AU916">
        <v>75</v>
      </c>
      <c r="AV916">
        <v>-2.71</v>
      </c>
      <c r="AW916">
        <v>92</v>
      </c>
      <c r="AX916">
        <v>2.25</v>
      </c>
      <c r="AY916">
        <v>64</v>
      </c>
      <c r="AZ916">
        <v>6.83</v>
      </c>
      <c r="BA916">
        <v>45</v>
      </c>
      <c r="BB916">
        <v>4.83</v>
      </c>
      <c r="BC916">
        <v>43</v>
      </c>
      <c r="BD916">
        <v>-0.08</v>
      </c>
      <c r="BE916">
        <v>0.01</v>
      </c>
      <c r="BF916">
        <v>0.02</v>
      </c>
      <c r="BG916">
        <v>69</v>
      </c>
      <c r="BH916">
        <v>0.23</v>
      </c>
      <c r="BI916">
        <v>13.28</v>
      </c>
      <c r="BJ916">
        <v>0</v>
      </c>
      <c r="BK916">
        <v>0</v>
      </c>
      <c r="BL916">
        <v>-2.99</v>
      </c>
      <c r="BM916">
        <v>-1.26</v>
      </c>
      <c r="BN916">
        <v>0.08</v>
      </c>
      <c r="BO916">
        <v>1.22</v>
      </c>
      <c r="BP916">
        <v>-0.87</v>
      </c>
      <c r="BQ916">
        <v>-5.44</v>
      </c>
      <c r="BR916">
        <v>2.68</v>
      </c>
      <c r="BS916">
        <v>6.62</v>
      </c>
      <c r="BT916">
        <v>-1.26</v>
      </c>
      <c r="BU916">
        <v>-1.1599999999999999</v>
      </c>
      <c r="BV916">
        <v>-0.46</v>
      </c>
      <c r="BW916">
        <v>-2.97</v>
      </c>
      <c r="BX916">
        <v>-4.47</v>
      </c>
      <c r="BY916">
        <v>-0.23</v>
      </c>
      <c r="BZ916">
        <v>-0.28000000000000003</v>
      </c>
      <c r="CA916">
        <v>0.96</v>
      </c>
      <c r="CB916">
        <v>-0.79</v>
      </c>
      <c r="CC916">
        <v>4.3</v>
      </c>
      <c r="CD916">
        <v>-1.95</v>
      </c>
      <c r="CE916">
        <v>0.95</v>
      </c>
      <c r="CF916">
        <v>-2.94</v>
      </c>
      <c r="CG916">
        <v>0</v>
      </c>
      <c r="CH916">
        <v>-1.51</v>
      </c>
      <c r="CI916">
        <v>0</v>
      </c>
      <c r="CJ916">
        <v>-32.9</v>
      </c>
      <c r="CK916">
        <v>60</v>
      </c>
      <c r="CL916">
        <v>-1.01</v>
      </c>
      <c r="CM916">
        <v>54</v>
      </c>
      <c r="CN916">
        <v>-0.16</v>
      </c>
      <c r="CO916">
        <v>53</v>
      </c>
      <c r="CP916">
        <v>-38.4</v>
      </c>
      <c r="CQ916">
        <v>45</v>
      </c>
      <c r="CR916">
        <v>0</v>
      </c>
      <c r="CS916">
        <v>0</v>
      </c>
      <c r="CT916">
        <v>-43.8</v>
      </c>
      <c r="CU916">
        <v>43</v>
      </c>
      <c r="CV916">
        <v>-0.28000000000000003</v>
      </c>
      <c r="CW916">
        <v>37</v>
      </c>
      <c r="CX916" t="s">
        <v>2111</v>
      </c>
    </row>
    <row r="917" spans="1:102" x14ac:dyDescent="0.3">
      <c r="A917" t="str">
        <f>HYPERLINK("https://webapp.icbf.com/v2/app/bull-search/view/939074042","DKV")</f>
        <v>DKV</v>
      </c>
      <c r="B917" t="s">
        <v>7152</v>
      </c>
      <c r="C917" t="s">
        <v>7153</v>
      </c>
      <c r="D917" s="1">
        <v>40427</v>
      </c>
      <c r="E917" t="s">
        <v>108</v>
      </c>
      <c r="F917">
        <v>0</v>
      </c>
      <c r="G917" t="s">
        <v>93</v>
      </c>
      <c r="H917">
        <v>149.1</v>
      </c>
      <c r="I917">
        <v>86</v>
      </c>
      <c r="J917">
        <v>8.86</v>
      </c>
      <c r="K917">
        <v>97</v>
      </c>
      <c r="L917">
        <v>77.400000000000006</v>
      </c>
      <c r="M917">
        <v>78</v>
      </c>
      <c r="N917">
        <v>44.64</v>
      </c>
      <c r="O917">
        <v>84</v>
      </c>
      <c r="P917">
        <v>-19.53</v>
      </c>
      <c r="Q917">
        <v>92</v>
      </c>
      <c r="R917">
        <v>7.57</v>
      </c>
      <c r="S917">
        <v>77</v>
      </c>
      <c r="T917">
        <v>26.92</v>
      </c>
      <c r="U917">
        <v>74</v>
      </c>
      <c r="V917">
        <v>3.24</v>
      </c>
      <c r="W917">
        <v>75</v>
      </c>
      <c r="X917" t="s">
        <v>102</v>
      </c>
      <c r="Y917" t="s">
        <v>1923</v>
      </c>
      <c r="Z917" t="s">
        <v>96</v>
      </c>
      <c r="AA917" t="s">
        <v>5893</v>
      </c>
      <c r="AB917" t="s">
        <v>7154</v>
      </c>
      <c r="AC917">
        <v>78</v>
      </c>
      <c r="AD917">
        <v>38</v>
      </c>
      <c r="AE917">
        <v>97</v>
      </c>
      <c r="AF917">
        <v>-59</v>
      </c>
      <c r="AG917">
        <v>-2.59</v>
      </c>
      <c r="AH917">
        <v>1.52</v>
      </c>
      <c r="AI917">
        <v>-0.01</v>
      </c>
      <c r="AJ917">
        <v>0.06</v>
      </c>
      <c r="AK917">
        <v>78</v>
      </c>
      <c r="AL917">
        <v>101</v>
      </c>
      <c r="AM917">
        <v>59</v>
      </c>
      <c r="AN917">
        <v>-4.3899999999999997</v>
      </c>
      <c r="AO917">
        <v>1.78</v>
      </c>
      <c r="AP917">
        <v>196</v>
      </c>
      <c r="AQ917">
        <v>1</v>
      </c>
      <c r="AR917">
        <v>4.72</v>
      </c>
      <c r="AS917">
        <v>70</v>
      </c>
      <c r="AT917">
        <v>1.94</v>
      </c>
      <c r="AU917">
        <v>87</v>
      </c>
      <c r="AV917">
        <v>-3.61</v>
      </c>
      <c r="AW917">
        <v>95</v>
      </c>
      <c r="AX917">
        <v>-0.43</v>
      </c>
      <c r="AY917">
        <v>80</v>
      </c>
      <c r="AZ917">
        <v>6.16</v>
      </c>
      <c r="BA917">
        <v>65</v>
      </c>
      <c r="BB917">
        <v>5.16</v>
      </c>
      <c r="BC917">
        <v>64</v>
      </c>
      <c r="BD917">
        <v>0</v>
      </c>
      <c r="BE917">
        <v>-0.06</v>
      </c>
      <c r="BF917">
        <v>-0.06</v>
      </c>
      <c r="BG917">
        <v>85</v>
      </c>
      <c r="BH917">
        <v>0.01</v>
      </c>
      <c r="BI917">
        <v>-9.2899999999999991</v>
      </c>
      <c r="BJ917">
        <v>4</v>
      </c>
      <c r="BK917">
        <v>4</v>
      </c>
      <c r="BL917">
        <v>-3.5</v>
      </c>
      <c r="BM917">
        <v>3.07</v>
      </c>
      <c r="BN917">
        <v>-3.83</v>
      </c>
      <c r="BO917">
        <v>-4.7699999999999996</v>
      </c>
      <c r="BP917">
        <v>-0.71</v>
      </c>
      <c r="BQ917">
        <v>3.62</v>
      </c>
      <c r="BR917">
        <v>-2.13</v>
      </c>
      <c r="BS917">
        <v>0.72</v>
      </c>
      <c r="BT917">
        <v>0.22</v>
      </c>
      <c r="BU917">
        <v>-3.46</v>
      </c>
      <c r="BV917">
        <v>-4.58</v>
      </c>
      <c r="BW917">
        <v>-2.52</v>
      </c>
      <c r="BX917">
        <v>-1.63</v>
      </c>
      <c r="BY917">
        <v>-2.15</v>
      </c>
      <c r="BZ917">
        <v>-1.86</v>
      </c>
      <c r="CA917">
        <v>-2.5</v>
      </c>
      <c r="CB917">
        <v>-3.45</v>
      </c>
      <c r="CC917">
        <v>0.01</v>
      </c>
      <c r="CD917">
        <v>4.04</v>
      </c>
      <c r="CE917">
        <v>-4.2300000000000004</v>
      </c>
      <c r="CF917">
        <v>-2.2000000000000002</v>
      </c>
      <c r="CG917">
        <v>0</v>
      </c>
      <c r="CH917">
        <v>-1.96</v>
      </c>
      <c r="CI917">
        <v>0</v>
      </c>
      <c r="CJ917">
        <v>-10.6</v>
      </c>
      <c r="CK917">
        <v>94</v>
      </c>
      <c r="CL917">
        <v>-0.14000000000000001</v>
      </c>
      <c r="CM917">
        <v>92</v>
      </c>
      <c r="CN917">
        <v>0.09</v>
      </c>
      <c r="CO917">
        <v>91</v>
      </c>
      <c r="CP917">
        <v>-16</v>
      </c>
      <c r="CQ917">
        <v>80</v>
      </c>
      <c r="CR917">
        <v>0</v>
      </c>
      <c r="CS917">
        <v>0</v>
      </c>
      <c r="CT917">
        <v>-22.6</v>
      </c>
      <c r="CU917">
        <v>74</v>
      </c>
      <c r="CV917">
        <v>-0.04</v>
      </c>
      <c r="CW917">
        <v>44</v>
      </c>
      <c r="CX917" t="s">
        <v>7155</v>
      </c>
    </row>
    <row r="918" spans="1:102" x14ac:dyDescent="0.3">
      <c r="A918" t="str">
        <f>HYPERLINK("https://webapp.icbf.com/v2/app/bull-search/view/1139763900","FR2118")</f>
        <v>FR2118</v>
      </c>
      <c r="B918" t="s">
        <v>13630</v>
      </c>
      <c r="C918" t="s">
        <v>13631</v>
      </c>
      <c r="D918" s="1">
        <v>41666</v>
      </c>
      <c r="E918" t="s">
        <v>92</v>
      </c>
      <c r="F918">
        <v>81</v>
      </c>
      <c r="G918" t="s">
        <v>93</v>
      </c>
      <c r="H918">
        <v>149.02000000000001</v>
      </c>
      <c r="I918">
        <v>73</v>
      </c>
      <c r="J918">
        <v>44.87</v>
      </c>
      <c r="K918">
        <v>87</v>
      </c>
      <c r="L918">
        <v>71.540000000000006</v>
      </c>
      <c r="M918">
        <v>65</v>
      </c>
      <c r="N918">
        <v>29.54</v>
      </c>
      <c r="O918">
        <v>72</v>
      </c>
      <c r="P918">
        <v>-26.95</v>
      </c>
      <c r="Q918">
        <v>78</v>
      </c>
      <c r="R918">
        <v>-1.62</v>
      </c>
      <c r="S918">
        <v>66</v>
      </c>
      <c r="T918">
        <v>28.33</v>
      </c>
      <c r="U918">
        <v>53</v>
      </c>
      <c r="V918">
        <v>3.31</v>
      </c>
      <c r="W918">
        <v>61</v>
      </c>
      <c r="X918" t="s">
        <v>94</v>
      </c>
      <c r="Y918" t="s">
        <v>416</v>
      </c>
      <c r="Z918" t="s">
        <v>96</v>
      </c>
      <c r="AA918" t="s">
        <v>9180</v>
      </c>
      <c r="AB918" t="s">
        <v>13632</v>
      </c>
      <c r="AC918">
        <v>16</v>
      </c>
      <c r="AD918">
        <v>1</v>
      </c>
      <c r="AE918">
        <v>87</v>
      </c>
      <c r="AF918">
        <v>193</v>
      </c>
      <c r="AG918">
        <v>5.27</v>
      </c>
      <c r="AH918">
        <v>8.7200000000000006</v>
      </c>
      <c r="AI918">
        <v>-0.04</v>
      </c>
      <c r="AJ918">
        <v>0.04</v>
      </c>
      <c r="AK918">
        <v>65</v>
      </c>
      <c r="AL918">
        <v>0</v>
      </c>
      <c r="AM918">
        <v>0</v>
      </c>
      <c r="AN918">
        <v>-3.56</v>
      </c>
      <c r="AO918">
        <v>2.15</v>
      </c>
      <c r="AP918">
        <v>60</v>
      </c>
      <c r="AQ918">
        <v>0</v>
      </c>
      <c r="AR918">
        <v>6.01</v>
      </c>
      <c r="AS918">
        <v>64</v>
      </c>
      <c r="AT918">
        <v>2.37</v>
      </c>
      <c r="AU918">
        <v>72</v>
      </c>
      <c r="AV918">
        <v>-2.66</v>
      </c>
      <c r="AW918">
        <v>88</v>
      </c>
      <c r="AX918">
        <v>-0.84</v>
      </c>
      <c r="AY918">
        <v>60</v>
      </c>
      <c r="AZ918">
        <v>8.31</v>
      </c>
      <c r="BA918">
        <v>50</v>
      </c>
      <c r="BB918">
        <v>5.13</v>
      </c>
      <c r="BC918">
        <v>44</v>
      </c>
      <c r="BD918">
        <v>-0.01</v>
      </c>
      <c r="BE918">
        <v>0.06</v>
      </c>
      <c r="BF918">
        <v>-0.06</v>
      </c>
      <c r="BG918">
        <v>74</v>
      </c>
      <c r="BH918">
        <v>0.04</v>
      </c>
      <c r="BI918">
        <v>-6.06</v>
      </c>
      <c r="BJ918">
        <v>0</v>
      </c>
      <c r="BK918">
        <v>0</v>
      </c>
      <c r="BL918">
        <v>-2.1</v>
      </c>
      <c r="BM918">
        <v>-0.37</v>
      </c>
      <c r="BN918">
        <v>-1.72</v>
      </c>
      <c r="BO918">
        <v>-1.06</v>
      </c>
      <c r="BP918">
        <v>-1.75</v>
      </c>
      <c r="BQ918">
        <v>-2.62</v>
      </c>
      <c r="BR918">
        <v>1.0900000000000001</v>
      </c>
      <c r="BS918">
        <v>-0.03</v>
      </c>
      <c r="BT918">
        <v>-2.14</v>
      </c>
      <c r="BU918">
        <v>0.35</v>
      </c>
      <c r="BV918">
        <v>-0.6</v>
      </c>
      <c r="BW918">
        <v>-1.63</v>
      </c>
      <c r="BX918">
        <v>-0.72</v>
      </c>
      <c r="BY918">
        <v>-1.59</v>
      </c>
      <c r="BZ918">
        <v>-1.47</v>
      </c>
      <c r="CA918">
        <v>-1.57</v>
      </c>
      <c r="CB918">
        <v>-1.1000000000000001</v>
      </c>
      <c r="CC918">
        <v>-0.99</v>
      </c>
      <c r="CD918">
        <v>0.57999999999999996</v>
      </c>
      <c r="CE918">
        <v>-0.86</v>
      </c>
      <c r="CF918">
        <v>-2.69</v>
      </c>
      <c r="CG918">
        <v>0</v>
      </c>
      <c r="CH918">
        <v>-1.62</v>
      </c>
      <c r="CI918">
        <v>0</v>
      </c>
      <c r="CJ918">
        <v>-13.3</v>
      </c>
      <c r="CK918">
        <v>81</v>
      </c>
      <c r="CL918">
        <v>-0.77</v>
      </c>
      <c r="CM918">
        <v>78</v>
      </c>
      <c r="CN918">
        <v>-0.16</v>
      </c>
      <c r="CO918">
        <v>77</v>
      </c>
      <c r="CP918">
        <v>-16.8</v>
      </c>
      <c r="CQ918">
        <v>57</v>
      </c>
      <c r="CR918">
        <v>0</v>
      </c>
      <c r="CS918">
        <v>0</v>
      </c>
      <c r="CT918">
        <v>-24.5</v>
      </c>
      <c r="CU918">
        <v>53</v>
      </c>
      <c r="CV918">
        <v>-0.1</v>
      </c>
      <c r="CW918">
        <v>42</v>
      </c>
      <c r="CX918" t="s">
        <v>947</v>
      </c>
    </row>
    <row r="919" spans="1:102" x14ac:dyDescent="0.3">
      <c r="A919" t="str">
        <f>HYPERLINK("https://webapp.icbf.com/v2/app/bull-search/view/933356463","FR2443")</f>
        <v>FR2443</v>
      </c>
      <c r="B919" t="s">
        <v>9421</v>
      </c>
      <c r="C919" t="s">
        <v>9422</v>
      </c>
      <c r="D919" s="1">
        <v>40752</v>
      </c>
      <c r="E919" t="s">
        <v>92</v>
      </c>
      <c r="F919">
        <v>91</v>
      </c>
      <c r="G919" t="s">
        <v>93</v>
      </c>
      <c r="H919">
        <v>149</v>
      </c>
      <c r="I919">
        <v>85</v>
      </c>
      <c r="J919">
        <v>145.07</v>
      </c>
      <c r="K919">
        <v>98</v>
      </c>
      <c r="L919">
        <v>-9.74</v>
      </c>
      <c r="M919">
        <v>73</v>
      </c>
      <c r="N919">
        <v>33.51</v>
      </c>
      <c r="O919">
        <v>89</v>
      </c>
      <c r="P919">
        <v>-8.01</v>
      </c>
      <c r="Q919">
        <v>95</v>
      </c>
      <c r="R919">
        <v>-11.34</v>
      </c>
      <c r="S919">
        <v>78</v>
      </c>
      <c r="T919">
        <v>-4.2300000000000004</v>
      </c>
      <c r="U919">
        <v>76</v>
      </c>
      <c r="V919">
        <v>3.74</v>
      </c>
      <c r="W919">
        <v>73</v>
      </c>
      <c r="X919" t="s">
        <v>276</v>
      </c>
      <c r="Y919" t="s">
        <v>1775</v>
      </c>
      <c r="Z919" t="s">
        <v>96</v>
      </c>
      <c r="AA919" t="s">
        <v>2278</v>
      </c>
      <c r="AB919" t="s">
        <v>9423</v>
      </c>
      <c r="AC919">
        <v>324</v>
      </c>
      <c r="AD919">
        <v>98</v>
      </c>
      <c r="AE919">
        <v>98</v>
      </c>
      <c r="AF919">
        <v>453.35</v>
      </c>
      <c r="AG919">
        <v>21.8</v>
      </c>
      <c r="AH919">
        <v>23.9</v>
      </c>
      <c r="AI919">
        <v>7.0000000000000007E-2</v>
      </c>
      <c r="AJ919">
        <v>0.14000000000000001</v>
      </c>
      <c r="AK919">
        <v>73</v>
      </c>
      <c r="AL919">
        <v>0</v>
      </c>
      <c r="AM919">
        <v>0</v>
      </c>
      <c r="AN919">
        <v>1.86</v>
      </c>
      <c r="AO919">
        <v>1.1000000000000001</v>
      </c>
      <c r="AP919">
        <v>2519</v>
      </c>
      <c r="AQ919">
        <v>4</v>
      </c>
      <c r="AR919">
        <v>6.17</v>
      </c>
      <c r="AS919">
        <v>89</v>
      </c>
      <c r="AT919">
        <v>2.41</v>
      </c>
      <c r="AU919">
        <v>98</v>
      </c>
      <c r="AV919">
        <v>-3.88</v>
      </c>
      <c r="AW919">
        <v>99</v>
      </c>
      <c r="AX919">
        <v>-0.49</v>
      </c>
      <c r="AY919">
        <v>97</v>
      </c>
      <c r="AZ919">
        <v>9.16</v>
      </c>
      <c r="BA919">
        <v>76</v>
      </c>
      <c r="BB919">
        <v>5.63</v>
      </c>
      <c r="BC919">
        <v>40</v>
      </c>
      <c r="BD919">
        <v>0.04</v>
      </c>
      <c r="BE919">
        <v>0.06</v>
      </c>
      <c r="BF919">
        <v>0.08</v>
      </c>
      <c r="BG919">
        <v>92</v>
      </c>
      <c r="BH919">
        <v>0.08</v>
      </c>
      <c r="BI919">
        <v>-2.82</v>
      </c>
      <c r="BJ919">
        <v>0</v>
      </c>
      <c r="BK919">
        <v>0</v>
      </c>
      <c r="BL919">
        <v>1.36</v>
      </c>
      <c r="BM919">
        <v>3.16</v>
      </c>
      <c r="BN919">
        <v>1.32</v>
      </c>
      <c r="BO919">
        <v>-0.16</v>
      </c>
      <c r="BP919">
        <v>2.2599999999999998</v>
      </c>
      <c r="BQ919">
        <v>0.91</v>
      </c>
      <c r="BR919">
        <v>1.84</v>
      </c>
      <c r="BS919">
        <v>-2.4700000000000002</v>
      </c>
      <c r="BT919">
        <v>-1.6</v>
      </c>
      <c r="BU919">
        <v>0.8</v>
      </c>
      <c r="BV919">
        <v>0.77</v>
      </c>
      <c r="BW919">
        <v>0.5</v>
      </c>
      <c r="BX919">
        <v>1.03</v>
      </c>
      <c r="BY919">
        <v>0.4</v>
      </c>
      <c r="BZ919">
        <v>-2.27</v>
      </c>
      <c r="CA919">
        <v>0.69</v>
      </c>
      <c r="CB919">
        <v>0.8</v>
      </c>
      <c r="CC919">
        <v>-1.59</v>
      </c>
      <c r="CD919">
        <v>0.09</v>
      </c>
      <c r="CE919">
        <v>-0.2</v>
      </c>
      <c r="CF919">
        <v>0.2</v>
      </c>
      <c r="CG919">
        <v>0</v>
      </c>
      <c r="CH919">
        <v>0.59</v>
      </c>
      <c r="CI919">
        <v>0</v>
      </c>
      <c r="CJ919">
        <v>-1.9</v>
      </c>
      <c r="CK919">
        <v>97</v>
      </c>
      <c r="CL919">
        <v>-1</v>
      </c>
      <c r="CM919">
        <v>96</v>
      </c>
      <c r="CN919">
        <v>-0.38</v>
      </c>
      <c r="CO919">
        <v>96</v>
      </c>
      <c r="CP919">
        <v>3.2</v>
      </c>
      <c r="CQ919">
        <v>71</v>
      </c>
      <c r="CR919">
        <v>0</v>
      </c>
      <c r="CS919">
        <v>0</v>
      </c>
      <c r="CT919">
        <v>19.5</v>
      </c>
      <c r="CU919">
        <v>76</v>
      </c>
      <c r="CV919">
        <v>0.21</v>
      </c>
      <c r="CW919">
        <v>47</v>
      </c>
      <c r="CX919" t="s">
        <v>316</v>
      </c>
    </row>
    <row r="920" spans="1:102" x14ac:dyDescent="0.3">
      <c r="A920" t="str">
        <f>HYPERLINK("https://webapp.icbf.com/v2/app/bull-search/view/1259168215","F268")</f>
        <v>F268</v>
      </c>
      <c r="B920" t="s">
        <v>6216</v>
      </c>
      <c r="C920" t="s">
        <v>6217</v>
      </c>
      <c r="D920" s="1">
        <v>41928</v>
      </c>
      <c r="E920" t="s">
        <v>108</v>
      </c>
      <c r="F920">
        <v>6</v>
      </c>
      <c r="G920" t="s">
        <v>93</v>
      </c>
      <c r="H920">
        <v>148.94999999999999</v>
      </c>
      <c r="I920">
        <v>69</v>
      </c>
      <c r="J920">
        <v>-33.69</v>
      </c>
      <c r="K920">
        <v>88</v>
      </c>
      <c r="L920">
        <v>132.04</v>
      </c>
      <c r="M920">
        <v>54</v>
      </c>
      <c r="N920">
        <v>37.630000000000003</v>
      </c>
      <c r="O920">
        <v>78</v>
      </c>
      <c r="P920">
        <v>3.56</v>
      </c>
      <c r="Q920">
        <v>84</v>
      </c>
      <c r="R920">
        <v>-1.75</v>
      </c>
      <c r="S920">
        <v>56</v>
      </c>
      <c r="T920">
        <v>7.91</v>
      </c>
      <c r="U920">
        <v>49</v>
      </c>
      <c r="V920">
        <v>3.25</v>
      </c>
      <c r="W920">
        <v>43</v>
      </c>
      <c r="X920" t="s">
        <v>110</v>
      </c>
      <c r="Y920" t="s">
        <v>2345</v>
      </c>
      <c r="Z920" t="s">
        <v>96</v>
      </c>
      <c r="AA920" t="s">
        <v>2418</v>
      </c>
      <c r="AB920" t="s">
        <v>6218</v>
      </c>
      <c r="AC920">
        <v>39</v>
      </c>
      <c r="AD920">
        <v>4</v>
      </c>
      <c r="AE920">
        <v>88</v>
      </c>
      <c r="AF920">
        <v>-346.32</v>
      </c>
      <c r="AG920">
        <v>-10.35</v>
      </c>
      <c r="AH920">
        <v>-7.37</v>
      </c>
      <c r="AI920">
        <v>0.06</v>
      </c>
      <c r="AJ920">
        <v>0.08</v>
      </c>
      <c r="AK920">
        <v>54</v>
      </c>
      <c r="AL920">
        <v>0</v>
      </c>
      <c r="AM920">
        <v>0</v>
      </c>
      <c r="AN920">
        <v>-9.52</v>
      </c>
      <c r="AO920">
        <v>0.98</v>
      </c>
      <c r="AP920">
        <v>248</v>
      </c>
      <c r="AQ920">
        <v>0</v>
      </c>
      <c r="AR920">
        <v>4.5999999999999996</v>
      </c>
      <c r="AS920">
        <v>79</v>
      </c>
      <c r="AT920">
        <v>2.06</v>
      </c>
      <c r="AU920">
        <v>85</v>
      </c>
      <c r="AV920">
        <v>-3.28</v>
      </c>
      <c r="AW920">
        <v>93</v>
      </c>
      <c r="AX920">
        <v>-0.42</v>
      </c>
      <c r="AY920">
        <v>79</v>
      </c>
      <c r="AZ920">
        <v>7.97</v>
      </c>
      <c r="BA920">
        <v>39</v>
      </c>
      <c r="BB920">
        <v>5.36</v>
      </c>
      <c r="BC920">
        <v>24</v>
      </c>
      <c r="BD920">
        <v>0.02</v>
      </c>
      <c r="BE920">
        <v>0.03</v>
      </c>
      <c r="BF920">
        <v>-0.05</v>
      </c>
      <c r="BG920">
        <v>68</v>
      </c>
      <c r="BH920">
        <v>-0.06</v>
      </c>
      <c r="BI920">
        <v>-17.41</v>
      </c>
      <c r="BJ920">
        <v>0</v>
      </c>
      <c r="BK920">
        <v>0</v>
      </c>
      <c r="BL920">
        <v>-3.61</v>
      </c>
      <c r="BM920">
        <v>2.71</v>
      </c>
      <c r="BN920">
        <v>-1.47</v>
      </c>
      <c r="BO920">
        <v>-2.92</v>
      </c>
      <c r="BP920">
        <v>0.19</v>
      </c>
      <c r="BQ920">
        <v>0.87</v>
      </c>
      <c r="BR920">
        <v>0.12</v>
      </c>
      <c r="BS920">
        <v>-0.49</v>
      </c>
      <c r="BT920">
        <v>-0.28000000000000003</v>
      </c>
      <c r="BU920">
        <v>-1.07</v>
      </c>
      <c r="BV920">
        <v>-2.2999999999999998</v>
      </c>
      <c r="BW920">
        <v>-2.38</v>
      </c>
      <c r="BX920">
        <v>-1.3</v>
      </c>
      <c r="BY920">
        <v>-1.84</v>
      </c>
      <c r="BZ920">
        <v>-2.37</v>
      </c>
      <c r="CA920">
        <v>-1.82</v>
      </c>
      <c r="CB920">
        <v>-2.23</v>
      </c>
      <c r="CC920">
        <v>-1.75</v>
      </c>
      <c r="CD920">
        <v>3.19</v>
      </c>
      <c r="CE920">
        <v>-2.77</v>
      </c>
      <c r="CF920">
        <v>-2.8</v>
      </c>
      <c r="CG920">
        <v>0</v>
      </c>
      <c r="CH920">
        <v>-1.45</v>
      </c>
      <c r="CI920">
        <v>0</v>
      </c>
      <c r="CJ920">
        <v>2</v>
      </c>
      <c r="CK920">
        <v>88</v>
      </c>
      <c r="CL920">
        <v>-0.15</v>
      </c>
      <c r="CM920">
        <v>85</v>
      </c>
      <c r="CN920">
        <v>-0.24</v>
      </c>
      <c r="CO920">
        <v>84</v>
      </c>
      <c r="CP920">
        <v>-3.1</v>
      </c>
      <c r="CQ920">
        <v>53</v>
      </c>
      <c r="CR920">
        <v>0</v>
      </c>
      <c r="CS920">
        <v>0</v>
      </c>
      <c r="CT920">
        <v>3.1</v>
      </c>
      <c r="CU920">
        <v>49</v>
      </c>
      <c r="CV920">
        <v>0.18</v>
      </c>
      <c r="CW920">
        <v>43</v>
      </c>
      <c r="CX920" t="s">
        <v>2881</v>
      </c>
    </row>
    <row r="921" spans="1:102" x14ac:dyDescent="0.3">
      <c r="A921" t="str">
        <f>HYPERLINK("https://webapp.icbf.com/v2/app/bull-search/view/550983329","MJS")</f>
        <v>MJS</v>
      </c>
      <c r="B921" t="s">
        <v>12313</v>
      </c>
      <c r="C921" t="s">
        <v>12314</v>
      </c>
      <c r="D921" s="1">
        <v>38559</v>
      </c>
      <c r="E921" t="s">
        <v>227</v>
      </c>
      <c r="F921">
        <v>0</v>
      </c>
      <c r="G921" t="s">
        <v>93</v>
      </c>
      <c r="H921">
        <v>148.87</v>
      </c>
      <c r="I921">
        <v>98</v>
      </c>
      <c r="J921">
        <v>54.11</v>
      </c>
      <c r="K921">
        <v>99</v>
      </c>
      <c r="L921">
        <v>34.83</v>
      </c>
      <c r="M921">
        <v>97</v>
      </c>
      <c r="N921">
        <v>42.2</v>
      </c>
      <c r="O921">
        <v>99</v>
      </c>
      <c r="P921">
        <v>-49.54</v>
      </c>
      <c r="Q921">
        <v>99</v>
      </c>
      <c r="R921">
        <v>1.59</v>
      </c>
      <c r="S921">
        <v>97</v>
      </c>
      <c r="T921">
        <v>53.05</v>
      </c>
      <c r="U921">
        <v>99</v>
      </c>
      <c r="V921">
        <v>12.63</v>
      </c>
      <c r="W921">
        <v>98</v>
      </c>
      <c r="X921" t="s">
        <v>94</v>
      </c>
      <c r="Y921" t="s">
        <v>1524</v>
      </c>
      <c r="Z921">
        <v>0</v>
      </c>
      <c r="AA921" t="s">
        <v>229</v>
      </c>
      <c r="AB921" t="s">
        <v>12315</v>
      </c>
      <c r="AC921">
        <v>2545</v>
      </c>
      <c r="AD921">
        <v>635</v>
      </c>
      <c r="AE921">
        <v>99</v>
      </c>
      <c r="AF921">
        <v>-540.02</v>
      </c>
      <c r="AG921">
        <v>13.39</v>
      </c>
      <c r="AH921">
        <v>-3.8</v>
      </c>
      <c r="AI921">
        <v>0.66</v>
      </c>
      <c r="AJ921">
        <v>0.28000000000000003</v>
      </c>
      <c r="AK921">
        <v>97</v>
      </c>
      <c r="AL921">
        <v>2872</v>
      </c>
      <c r="AM921">
        <v>735</v>
      </c>
      <c r="AN921">
        <v>-0.96</v>
      </c>
      <c r="AO921">
        <v>1.83</v>
      </c>
      <c r="AP921">
        <v>4302</v>
      </c>
      <c r="AQ921">
        <v>26</v>
      </c>
      <c r="AR921">
        <v>2.35</v>
      </c>
      <c r="AS921">
        <v>99</v>
      </c>
      <c r="AT921">
        <v>1.33</v>
      </c>
      <c r="AU921">
        <v>99</v>
      </c>
      <c r="AV921">
        <v>-3.26</v>
      </c>
      <c r="AW921">
        <v>99</v>
      </c>
      <c r="AX921">
        <v>1.05</v>
      </c>
      <c r="AY921">
        <v>99</v>
      </c>
      <c r="AZ921">
        <v>7.18</v>
      </c>
      <c r="BA921">
        <v>97</v>
      </c>
      <c r="BB921">
        <v>5.4</v>
      </c>
      <c r="BC921">
        <v>98</v>
      </c>
      <c r="BD921">
        <v>-7.0000000000000007E-2</v>
      </c>
      <c r="BE921">
        <v>0</v>
      </c>
      <c r="BF921">
        <v>0.08</v>
      </c>
      <c r="BG921">
        <v>99</v>
      </c>
      <c r="BH921">
        <v>0.34</v>
      </c>
      <c r="BI921">
        <v>-1.4</v>
      </c>
      <c r="BJ921">
        <v>57</v>
      </c>
      <c r="BK921">
        <v>24</v>
      </c>
      <c r="BL921">
        <v>-2.2200000000000002</v>
      </c>
      <c r="BM921">
        <v>-2.14</v>
      </c>
      <c r="BN921">
        <v>-0.36</v>
      </c>
      <c r="BO921">
        <v>1.25</v>
      </c>
      <c r="BP921">
        <v>-0.27</v>
      </c>
      <c r="BQ921">
        <v>-6.07</v>
      </c>
      <c r="BR921">
        <v>3.28</v>
      </c>
      <c r="BS921">
        <v>7.36</v>
      </c>
      <c r="BT921">
        <v>-0.72</v>
      </c>
      <c r="BU921">
        <v>-1.28</v>
      </c>
      <c r="BV921">
        <v>-1.05</v>
      </c>
      <c r="BW921">
        <v>-2.57</v>
      </c>
      <c r="BX921">
        <v>-2.65</v>
      </c>
      <c r="BY921">
        <v>0.52</v>
      </c>
      <c r="BZ921">
        <v>-1.91</v>
      </c>
      <c r="CA921">
        <v>0.95</v>
      </c>
      <c r="CB921">
        <v>-1.34</v>
      </c>
      <c r="CC921">
        <v>5.24</v>
      </c>
      <c r="CD921">
        <v>-2.69</v>
      </c>
      <c r="CE921">
        <v>0.5</v>
      </c>
      <c r="CF921">
        <v>-3.06</v>
      </c>
      <c r="CG921">
        <v>0</v>
      </c>
      <c r="CH921">
        <v>-1.92</v>
      </c>
      <c r="CI921">
        <v>0</v>
      </c>
      <c r="CJ921">
        <v>-24.3</v>
      </c>
      <c r="CK921">
        <v>99</v>
      </c>
      <c r="CL921">
        <v>-1.04</v>
      </c>
      <c r="CM921">
        <v>99</v>
      </c>
      <c r="CN921">
        <v>-0.09</v>
      </c>
      <c r="CO921">
        <v>99</v>
      </c>
      <c r="CP921">
        <v>-42.2</v>
      </c>
      <c r="CQ921">
        <v>99</v>
      </c>
      <c r="CR921">
        <v>0</v>
      </c>
      <c r="CS921">
        <v>0</v>
      </c>
      <c r="CT921">
        <v>-57.9</v>
      </c>
      <c r="CU921">
        <v>99</v>
      </c>
      <c r="CV921">
        <v>-7.0000000000000007E-2</v>
      </c>
      <c r="CW921">
        <v>46</v>
      </c>
      <c r="CX921" t="s">
        <v>567</v>
      </c>
    </row>
    <row r="922" spans="1:102" x14ac:dyDescent="0.3">
      <c r="A922" t="str">
        <f>HYPERLINK("https://webapp.icbf.com/v2/app/bull-search/view/760399495","HDS")</f>
        <v>HDS</v>
      </c>
      <c r="B922" t="s">
        <v>13004</v>
      </c>
      <c r="C922" t="s">
        <v>13005</v>
      </c>
      <c r="D922" s="1">
        <v>40025</v>
      </c>
      <c r="E922" t="s">
        <v>92</v>
      </c>
      <c r="F922">
        <v>38</v>
      </c>
      <c r="G922" t="s">
        <v>93</v>
      </c>
      <c r="H922">
        <v>148.78</v>
      </c>
      <c r="I922">
        <v>91</v>
      </c>
      <c r="J922">
        <v>76.739999999999995</v>
      </c>
      <c r="K922">
        <v>98</v>
      </c>
      <c r="L922">
        <v>15.14</v>
      </c>
      <c r="M922">
        <v>86</v>
      </c>
      <c r="N922">
        <v>24.95</v>
      </c>
      <c r="O922">
        <v>92</v>
      </c>
      <c r="P922">
        <v>-35.97</v>
      </c>
      <c r="Q922">
        <v>96</v>
      </c>
      <c r="R922">
        <v>10.220000000000001</v>
      </c>
      <c r="S922">
        <v>80</v>
      </c>
      <c r="T922">
        <v>45.42</v>
      </c>
      <c r="U922">
        <v>89</v>
      </c>
      <c r="V922">
        <v>12.28</v>
      </c>
      <c r="W922">
        <v>75</v>
      </c>
      <c r="X922" t="s">
        <v>276</v>
      </c>
      <c r="Y922" t="s">
        <v>329</v>
      </c>
      <c r="Z922" t="s">
        <v>330</v>
      </c>
      <c r="AA922" t="s">
        <v>5286</v>
      </c>
      <c r="AB922" t="s">
        <v>144</v>
      </c>
      <c r="AC922">
        <v>229</v>
      </c>
      <c r="AD922">
        <v>64</v>
      </c>
      <c r="AE922">
        <v>98</v>
      </c>
      <c r="AF922">
        <v>-194.45</v>
      </c>
      <c r="AG922">
        <v>14.63</v>
      </c>
      <c r="AH922">
        <v>4.9000000000000004</v>
      </c>
      <c r="AI922">
        <v>0.4</v>
      </c>
      <c r="AJ922">
        <v>0.21</v>
      </c>
      <c r="AK922">
        <v>86</v>
      </c>
      <c r="AL922">
        <v>281</v>
      </c>
      <c r="AM922">
        <v>65</v>
      </c>
      <c r="AN922">
        <v>-0.64</v>
      </c>
      <c r="AO922">
        <v>0.56999999999999995</v>
      </c>
      <c r="AP922">
        <v>462</v>
      </c>
      <c r="AQ922">
        <v>3</v>
      </c>
      <c r="AR922">
        <v>3.73</v>
      </c>
      <c r="AS922">
        <v>90</v>
      </c>
      <c r="AT922">
        <v>1.75</v>
      </c>
      <c r="AU922">
        <v>91</v>
      </c>
      <c r="AV922">
        <v>-1.8</v>
      </c>
      <c r="AW922">
        <v>99</v>
      </c>
      <c r="AX922">
        <v>1.08</v>
      </c>
      <c r="AY922">
        <v>92</v>
      </c>
      <c r="AZ922">
        <v>7.99</v>
      </c>
      <c r="BA922">
        <v>77</v>
      </c>
      <c r="BB922">
        <v>5.42</v>
      </c>
      <c r="BC922">
        <v>74</v>
      </c>
      <c r="BD922">
        <v>-0.06</v>
      </c>
      <c r="BE922">
        <v>-0.05</v>
      </c>
      <c r="BF922">
        <v>-0.04</v>
      </c>
      <c r="BG922">
        <v>92</v>
      </c>
      <c r="BH922">
        <v>0.19</v>
      </c>
      <c r="BI922">
        <v>-17.62</v>
      </c>
      <c r="BJ922">
        <v>3</v>
      </c>
      <c r="BK922">
        <v>3</v>
      </c>
      <c r="BL922">
        <v>-3.17</v>
      </c>
      <c r="BM922">
        <v>0.04</v>
      </c>
      <c r="BN922">
        <v>-1.41</v>
      </c>
      <c r="BO922">
        <v>-0.27</v>
      </c>
      <c r="BP922">
        <v>-0.32</v>
      </c>
      <c r="BQ922">
        <v>0.1</v>
      </c>
      <c r="BR922">
        <v>1.37</v>
      </c>
      <c r="BS922">
        <v>0.76</v>
      </c>
      <c r="BT922">
        <v>-1.4</v>
      </c>
      <c r="BU922">
        <v>-1.4</v>
      </c>
      <c r="BV922">
        <v>-1.79</v>
      </c>
      <c r="BW922">
        <v>-2.5099999999999998</v>
      </c>
      <c r="BX922">
        <v>-2.71</v>
      </c>
      <c r="BY922">
        <v>-1.22</v>
      </c>
      <c r="BZ922">
        <v>0.34</v>
      </c>
      <c r="CA922">
        <v>-1.54</v>
      </c>
      <c r="CB922">
        <v>-1.63</v>
      </c>
      <c r="CC922">
        <v>-0.08</v>
      </c>
      <c r="CD922">
        <v>-0.5</v>
      </c>
      <c r="CE922">
        <v>0.05</v>
      </c>
      <c r="CF922">
        <v>-3.21</v>
      </c>
      <c r="CG922">
        <v>0</v>
      </c>
      <c r="CH922">
        <v>-1.64</v>
      </c>
      <c r="CI922">
        <v>0</v>
      </c>
      <c r="CJ922">
        <v>-19</v>
      </c>
      <c r="CK922">
        <v>97</v>
      </c>
      <c r="CL922">
        <v>-0.78</v>
      </c>
      <c r="CM922">
        <v>96</v>
      </c>
      <c r="CN922">
        <v>-0.26</v>
      </c>
      <c r="CO922">
        <v>95</v>
      </c>
      <c r="CP922">
        <v>-31.6</v>
      </c>
      <c r="CQ922">
        <v>91</v>
      </c>
      <c r="CR922">
        <v>0</v>
      </c>
      <c r="CS922">
        <v>0</v>
      </c>
      <c r="CT922">
        <v>-47.6</v>
      </c>
      <c r="CU922">
        <v>89</v>
      </c>
      <c r="CV922">
        <v>-0.15</v>
      </c>
      <c r="CW922">
        <v>45</v>
      </c>
      <c r="CX922" t="s">
        <v>5515</v>
      </c>
    </row>
    <row r="923" spans="1:102" x14ac:dyDescent="0.3">
      <c r="A923" t="str">
        <f>HYPERLINK("https://webapp.icbf.com/v2/app/bull-search/view/596253010","S1357")</f>
        <v>S1357</v>
      </c>
      <c r="B923" t="s">
        <v>9156</v>
      </c>
      <c r="C923" t="s">
        <v>9157</v>
      </c>
      <c r="D923" s="1">
        <v>38522</v>
      </c>
      <c r="E923" t="s">
        <v>210</v>
      </c>
      <c r="F923">
        <v>0</v>
      </c>
      <c r="G923" t="s">
        <v>109</v>
      </c>
      <c r="H923">
        <v>148.74</v>
      </c>
      <c r="I923">
        <v>62</v>
      </c>
      <c r="J923">
        <v>-0.02</v>
      </c>
      <c r="K923">
        <v>77</v>
      </c>
      <c r="L923">
        <v>107.57</v>
      </c>
      <c r="M923">
        <v>74</v>
      </c>
      <c r="N923">
        <v>36.32</v>
      </c>
      <c r="O923">
        <v>56</v>
      </c>
      <c r="P923">
        <v>-24.47</v>
      </c>
      <c r="Q923">
        <v>44</v>
      </c>
      <c r="R923">
        <v>3.33</v>
      </c>
      <c r="S923">
        <v>21</v>
      </c>
      <c r="T923">
        <v>27.44</v>
      </c>
      <c r="U923">
        <v>27</v>
      </c>
      <c r="V923">
        <v>-1.43</v>
      </c>
      <c r="W923">
        <v>4</v>
      </c>
      <c r="X923" t="s">
        <v>276</v>
      </c>
      <c r="Y923" t="s">
        <v>342</v>
      </c>
      <c r="Z923">
        <v>0</v>
      </c>
      <c r="AA923" t="s">
        <v>9158</v>
      </c>
      <c r="AB923" t="s">
        <v>9159</v>
      </c>
      <c r="AC923">
        <v>0</v>
      </c>
      <c r="AD923">
        <v>0</v>
      </c>
      <c r="AE923">
        <v>77</v>
      </c>
      <c r="AF923">
        <v>31.32</v>
      </c>
      <c r="AG923">
        <v>2.2799999999999998</v>
      </c>
      <c r="AH923">
        <v>-0.33</v>
      </c>
      <c r="AI923">
        <v>0.02</v>
      </c>
      <c r="AJ923">
        <v>-0.02</v>
      </c>
      <c r="AK923">
        <v>74</v>
      </c>
      <c r="AL923">
        <v>0</v>
      </c>
      <c r="AM923">
        <v>0</v>
      </c>
      <c r="AN923">
        <v>-4.9800000000000004</v>
      </c>
      <c r="AO923">
        <v>3.61</v>
      </c>
      <c r="AP923">
        <v>12</v>
      </c>
      <c r="AQ923">
        <v>0</v>
      </c>
      <c r="AR923">
        <v>4.1900000000000004</v>
      </c>
      <c r="AS923">
        <v>27</v>
      </c>
      <c r="AT923">
        <v>1.67</v>
      </c>
      <c r="AU923">
        <v>79</v>
      </c>
      <c r="AV923">
        <v>-1.85</v>
      </c>
      <c r="AW923">
        <v>75</v>
      </c>
      <c r="AX923">
        <v>-0.56999999999999995</v>
      </c>
      <c r="AY923">
        <v>26</v>
      </c>
      <c r="AZ923">
        <v>5.84</v>
      </c>
      <c r="BA923">
        <v>14</v>
      </c>
      <c r="BB923">
        <v>4.68</v>
      </c>
      <c r="BC923">
        <v>7</v>
      </c>
      <c r="BD923">
        <v>-0.01</v>
      </c>
      <c r="BE923">
        <v>0</v>
      </c>
      <c r="BF923">
        <v>-0.06</v>
      </c>
      <c r="BG923">
        <v>27</v>
      </c>
      <c r="BH923">
        <v>-0.02</v>
      </c>
      <c r="BI923">
        <v>2.31</v>
      </c>
      <c r="BJ923">
        <v>0</v>
      </c>
      <c r="BK923">
        <v>0</v>
      </c>
      <c r="BL923">
        <v>-0.99</v>
      </c>
      <c r="BM923">
        <v>0.69</v>
      </c>
      <c r="BN923">
        <v>-0.95</v>
      </c>
      <c r="BO923">
        <v>-1.1599999999999999</v>
      </c>
      <c r="BP923">
        <v>0.57999999999999996</v>
      </c>
      <c r="BQ923">
        <v>-0.43</v>
      </c>
      <c r="BR923">
        <v>0.28999999999999998</v>
      </c>
      <c r="BS923">
        <v>-0.03</v>
      </c>
      <c r="BT923">
        <v>-0.38</v>
      </c>
      <c r="BU923">
        <v>-0.88</v>
      </c>
      <c r="BV923">
        <v>-1.58</v>
      </c>
      <c r="BW923">
        <v>-1.21</v>
      </c>
      <c r="BX923">
        <v>-0.56000000000000005</v>
      </c>
      <c r="BY923">
        <v>-0.47</v>
      </c>
      <c r="BZ923">
        <v>-0.72</v>
      </c>
      <c r="CA923">
        <v>-1.06</v>
      </c>
      <c r="CB923">
        <v>-1.21</v>
      </c>
      <c r="CC923">
        <v>-0.4</v>
      </c>
      <c r="CD923">
        <v>0.95</v>
      </c>
      <c r="CE923">
        <v>-1.1100000000000001</v>
      </c>
      <c r="CF923">
        <v>-1.05</v>
      </c>
      <c r="CG923">
        <v>0</v>
      </c>
      <c r="CH923">
        <v>-0.71</v>
      </c>
      <c r="CI923">
        <v>0</v>
      </c>
      <c r="CJ923">
        <v>-13.6</v>
      </c>
      <c r="CK923">
        <v>50</v>
      </c>
      <c r="CL923">
        <v>-0.5</v>
      </c>
      <c r="CM923">
        <v>41</v>
      </c>
      <c r="CN923">
        <v>-0.15</v>
      </c>
      <c r="CO923">
        <v>38</v>
      </c>
      <c r="CP923">
        <v>-15.3</v>
      </c>
      <c r="CQ923">
        <v>24</v>
      </c>
      <c r="CR923">
        <v>0</v>
      </c>
      <c r="CS923">
        <v>0</v>
      </c>
      <c r="CT923">
        <v>-23.3</v>
      </c>
      <c r="CU923">
        <v>27</v>
      </c>
      <c r="CV923">
        <v>-0.24</v>
      </c>
      <c r="CW923">
        <v>13</v>
      </c>
      <c r="CX923" t="s">
        <v>9160</v>
      </c>
    </row>
    <row r="924" spans="1:102" x14ac:dyDescent="0.3">
      <c r="A924" t="str">
        <f>HYPERLINK("https://webapp.icbf.com/v2/app/bull-search/view/1196707392","FR2458")</f>
        <v>FR2458</v>
      </c>
      <c r="B924" t="s">
        <v>13697</v>
      </c>
      <c r="C924" t="s">
        <v>13698</v>
      </c>
      <c r="D924" s="1">
        <v>41284</v>
      </c>
      <c r="E924" t="s">
        <v>92</v>
      </c>
      <c r="F924">
        <v>100</v>
      </c>
      <c r="G924" t="s">
        <v>109</v>
      </c>
      <c r="H924">
        <v>148.72</v>
      </c>
      <c r="I924">
        <v>79</v>
      </c>
      <c r="J924">
        <v>97.53</v>
      </c>
      <c r="K924">
        <v>91</v>
      </c>
      <c r="L924">
        <v>-5.82</v>
      </c>
      <c r="M924">
        <v>81</v>
      </c>
      <c r="N924">
        <v>50.5</v>
      </c>
      <c r="O924">
        <v>79</v>
      </c>
      <c r="P924">
        <v>-4.54</v>
      </c>
      <c r="Q924">
        <v>76</v>
      </c>
      <c r="R924">
        <v>10.16</v>
      </c>
      <c r="S924">
        <v>71</v>
      </c>
      <c r="T924">
        <v>-2.5299999999999998</v>
      </c>
      <c r="U924">
        <v>46</v>
      </c>
      <c r="V924">
        <v>3.42</v>
      </c>
      <c r="W924">
        <v>55</v>
      </c>
      <c r="X924" t="s">
        <v>428</v>
      </c>
      <c r="Y924" t="s">
        <v>429</v>
      </c>
      <c r="Z924" t="s">
        <v>96</v>
      </c>
      <c r="AA924" t="s">
        <v>465</v>
      </c>
      <c r="AB924" t="s">
        <v>13699</v>
      </c>
      <c r="AC924">
        <v>0</v>
      </c>
      <c r="AD924">
        <v>0</v>
      </c>
      <c r="AE924">
        <v>91</v>
      </c>
      <c r="AF924">
        <v>651.03</v>
      </c>
      <c r="AG924">
        <v>22.11</v>
      </c>
      <c r="AH924">
        <v>18.73</v>
      </c>
      <c r="AI924">
        <v>-0.05</v>
      </c>
      <c r="AJ924">
        <v>-0.05</v>
      </c>
      <c r="AK924">
        <v>81</v>
      </c>
      <c r="AL924">
        <v>0</v>
      </c>
      <c r="AM924">
        <v>0</v>
      </c>
      <c r="AN924">
        <v>0.61</v>
      </c>
      <c r="AO924">
        <v>0.15</v>
      </c>
      <c r="AP924">
        <v>166</v>
      </c>
      <c r="AQ924">
        <v>8</v>
      </c>
      <c r="AR924">
        <v>6.29</v>
      </c>
      <c r="AS924">
        <v>66</v>
      </c>
      <c r="AT924">
        <v>2.15</v>
      </c>
      <c r="AU924">
        <v>90</v>
      </c>
      <c r="AV924">
        <v>-4.7300000000000004</v>
      </c>
      <c r="AW924">
        <v>92</v>
      </c>
      <c r="AX924">
        <v>7.0000000000000007E-2</v>
      </c>
      <c r="AY924">
        <v>79</v>
      </c>
      <c r="AZ924">
        <v>6.32</v>
      </c>
      <c r="BA924">
        <v>41</v>
      </c>
      <c r="BB924">
        <v>4.55</v>
      </c>
      <c r="BC924">
        <v>36</v>
      </c>
      <c r="BD924">
        <v>-0.01</v>
      </c>
      <c r="BE924">
        <v>-0.03</v>
      </c>
      <c r="BF924">
        <v>-0.16</v>
      </c>
      <c r="BG924">
        <v>88</v>
      </c>
      <c r="BH924">
        <v>0.02</v>
      </c>
      <c r="BI924">
        <v>-8.7100000000000009</v>
      </c>
      <c r="BJ924">
        <v>0</v>
      </c>
      <c r="BK924">
        <v>0</v>
      </c>
      <c r="BL924">
        <v>1.91</v>
      </c>
      <c r="BM924">
        <v>0.48</v>
      </c>
      <c r="BN924">
        <v>0.88</v>
      </c>
      <c r="BO924">
        <v>1.04</v>
      </c>
      <c r="BP924">
        <v>0.18</v>
      </c>
      <c r="BQ924">
        <v>2.73</v>
      </c>
      <c r="BR924">
        <v>0.08</v>
      </c>
      <c r="BS924">
        <v>0.1</v>
      </c>
      <c r="BT924">
        <v>0.23</v>
      </c>
      <c r="BU924">
        <v>1.18</v>
      </c>
      <c r="BV924">
        <v>1.88</v>
      </c>
      <c r="BW924">
        <v>2.2000000000000002</v>
      </c>
      <c r="BX924">
        <v>1.6</v>
      </c>
      <c r="BY924">
        <v>1.28</v>
      </c>
      <c r="BZ924">
        <v>1.04</v>
      </c>
      <c r="CA924">
        <v>1.76</v>
      </c>
      <c r="CB924">
        <v>1.72</v>
      </c>
      <c r="CC924">
        <v>1.05</v>
      </c>
      <c r="CD924">
        <v>-0.51</v>
      </c>
      <c r="CE924">
        <v>1.24</v>
      </c>
      <c r="CF924">
        <v>1.44</v>
      </c>
      <c r="CG924">
        <v>0</v>
      </c>
      <c r="CH924">
        <v>1.51</v>
      </c>
      <c r="CI924">
        <v>0</v>
      </c>
      <c r="CJ924">
        <v>-0.4</v>
      </c>
      <c r="CK924">
        <v>80</v>
      </c>
      <c r="CL924">
        <v>-1.1200000000000001</v>
      </c>
      <c r="CM924">
        <v>76</v>
      </c>
      <c r="CN924">
        <v>-0.62</v>
      </c>
      <c r="CO924">
        <v>74</v>
      </c>
      <c r="CP924">
        <v>2.1</v>
      </c>
      <c r="CQ924">
        <v>55</v>
      </c>
      <c r="CR924">
        <v>0</v>
      </c>
      <c r="CS924">
        <v>0</v>
      </c>
      <c r="CT924">
        <v>17.2</v>
      </c>
      <c r="CU924">
        <v>46</v>
      </c>
      <c r="CV924">
        <v>0.18</v>
      </c>
      <c r="CW924">
        <v>41</v>
      </c>
      <c r="CX924" t="s">
        <v>1848</v>
      </c>
    </row>
    <row r="925" spans="1:102" x14ac:dyDescent="0.3">
      <c r="A925" t="str">
        <f>HYPERLINK("https://webapp.icbf.com/v2/app/bull-search/view/1712850739","JE4750")</f>
        <v>JE4750</v>
      </c>
      <c r="B925" t="s">
        <v>6405</v>
      </c>
      <c r="C925" t="s">
        <v>6406</v>
      </c>
      <c r="D925" s="1">
        <v>42874</v>
      </c>
      <c r="E925" t="s">
        <v>227</v>
      </c>
      <c r="F925">
        <v>0</v>
      </c>
      <c r="G925" t="s">
        <v>435</v>
      </c>
      <c r="H925">
        <v>148.69</v>
      </c>
      <c r="I925">
        <v>58</v>
      </c>
      <c r="J925">
        <v>32.14</v>
      </c>
      <c r="K925">
        <v>76</v>
      </c>
      <c r="L925">
        <v>103.95</v>
      </c>
      <c r="M925">
        <v>55</v>
      </c>
      <c r="N925">
        <v>2.0099999999999998</v>
      </c>
      <c r="O925">
        <v>56</v>
      </c>
      <c r="P925">
        <v>-58.24</v>
      </c>
      <c r="Q925">
        <v>32</v>
      </c>
      <c r="R925">
        <v>7.84</v>
      </c>
      <c r="S925">
        <v>53</v>
      </c>
      <c r="T925">
        <v>59.71</v>
      </c>
      <c r="U925">
        <v>32</v>
      </c>
      <c r="V925">
        <v>1.28</v>
      </c>
      <c r="W925">
        <v>51</v>
      </c>
      <c r="X925" t="s">
        <v>94</v>
      </c>
      <c r="Y925" t="s">
        <v>2384</v>
      </c>
      <c r="Z925">
        <v>0</v>
      </c>
      <c r="AA925" t="s">
        <v>6407</v>
      </c>
      <c r="AB925" t="s">
        <v>144</v>
      </c>
      <c r="AC925">
        <v>0</v>
      </c>
      <c r="AD925">
        <v>0</v>
      </c>
      <c r="AE925">
        <v>76</v>
      </c>
      <c r="AF925">
        <v>-520.69000000000005</v>
      </c>
      <c r="AG925">
        <v>6.49</v>
      </c>
      <c r="AH925">
        <v>-4.8</v>
      </c>
      <c r="AI925">
        <v>0.5</v>
      </c>
      <c r="AJ925">
        <v>0.25</v>
      </c>
      <c r="AK925">
        <v>55</v>
      </c>
      <c r="AL925">
        <v>0</v>
      </c>
      <c r="AM925">
        <v>0</v>
      </c>
      <c r="AN925">
        <v>-4.09</v>
      </c>
      <c r="AO925">
        <v>4.22</v>
      </c>
      <c r="AP925">
        <v>17</v>
      </c>
      <c r="AQ925">
        <v>0</v>
      </c>
      <c r="AR925">
        <v>3.5</v>
      </c>
      <c r="AS925">
        <v>47</v>
      </c>
      <c r="AT925">
        <v>1.67</v>
      </c>
      <c r="AU925">
        <v>54</v>
      </c>
      <c r="AV925">
        <v>-0.03</v>
      </c>
      <c r="AW925">
        <v>72</v>
      </c>
      <c r="AX925">
        <v>6.4</v>
      </c>
      <c r="AY925">
        <v>42</v>
      </c>
      <c r="AZ925">
        <v>6.82</v>
      </c>
      <c r="BA925">
        <v>33</v>
      </c>
      <c r="BB925">
        <v>5.0199999999999996</v>
      </c>
      <c r="BC925">
        <v>32</v>
      </c>
      <c r="BD925">
        <v>-0.08</v>
      </c>
      <c r="BE925">
        <v>-0.03</v>
      </c>
      <c r="BF925">
        <v>0.01</v>
      </c>
      <c r="BG925">
        <v>59</v>
      </c>
      <c r="BH925">
        <v>0.05</v>
      </c>
      <c r="BI925">
        <v>1.64</v>
      </c>
      <c r="BJ925">
        <v>0</v>
      </c>
      <c r="BK925">
        <v>0</v>
      </c>
      <c r="BL925">
        <v>-1.2</v>
      </c>
      <c r="BM925">
        <v>-1.78</v>
      </c>
      <c r="BN925">
        <v>-0.34</v>
      </c>
      <c r="BO925">
        <v>1.36</v>
      </c>
      <c r="BP925">
        <v>-0.15</v>
      </c>
      <c r="BQ925">
        <v>-4.9400000000000004</v>
      </c>
      <c r="BR925">
        <v>2.2599999999999998</v>
      </c>
      <c r="BS925">
        <v>5.9</v>
      </c>
      <c r="BT925">
        <v>-1.17</v>
      </c>
      <c r="BU925">
        <v>0.82</v>
      </c>
      <c r="BV925">
        <v>0.84</v>
      </c>
      <c r="BW925">
        <v>-1.04</v>
      </c>
      <c r="BX925">
        <v>-1.64</v>
      </c>
      <c r="BY925">
        <v>0.42</v>
      </c>
      <c r="BZ925">
        <v>-0.49</v>
      </c>
      <c r="CA925">
        <v>2.0499999999999998</v>
      </c>
      <c r="CB925">
        <v>0.76</v>
      </c>
      <c r="CC925">
        <v>3.74</v>
      </c>
      <c r="CD925">
        <v>-2.16</v>
      </c>
      <c r="CE925">
        <v>1.29</v>
      </c>
      <c r="CF925">
        <v>-1.24</v>
      </c>
      <c r="CG925">
        <v>0</v>
      </c>
      <c r="CH925">
        <v>-0.38</v>
      </c>
      <c r="CI925">
        <v>0</v>
      </c>
      <c r="CJ925">
        <v>-30.6</v>
      </c>
      <c r="CK925">
        <v>32</v>
      </c>
      <c r="CL925">
        <v>-1.19</v>
      </c>
      <c r="CM925">
        <v>32</v>
      </c>
      <c r="CN925">
        <v>-0.28999999999999998</v>
      </c>
      <c r="CO925">
        <v>32</v>
      </c>
      <c r="CP925">
        <v>-47.5</v>
      </c>
      <c r="CQ925">
        <v>32</v>
      </c>
      <c r="CR925">
        <v>0</v>
      </c>
      <c r="CS925">
        <v>0</v>
      </c>
      <c r="CT925">
        <v>-66.900000000000006</v>
      </c>
      <c r="CU925">
        <v>32</v>
      </c>
      <c r="CV925">
        <v>-0.23</v>
      </c>
      <c r="CW925">
        <v>31</v>
      </c>
      <c r="CX925" t="s">
        <v>2251</v>
      </c>
    </row>
    <row r="926" spans="1:102" x14ac:dyDescent="0.3">
      <c r="A926" t="str">
        <f>HYPERLINK("https://webapp.icbf.com/v2/app/bull-search/view/910799048","S1221")</f>
        <v>S1221</v>
      </c>
      <c r="B926" t="s">
        <v>13015</v>
      </c>
      <c r="C926" t="s">
        <v>2187</v>
      </c>
      <c r="D926" s="1">
        <v>39865</v>
      </c>
      <c r="E926" t="s">
        <v>92</v>
      </c>
      <c r="F926">
        <v>100</v>
      </c>
      <c r="G926" t="s">
        <v>93</v>
      </c>
      <c r="H926">
        <v>148.58000000000001</v>
      </c>
      <c r="I926">
        <v>93</v>
      </c>
      <c r="J926">
        <v>87.56</v>
      </c>
      <c r="K926">
        <v>98</v>
      </c>
      <c r="L926">
        <v>9.43</v>
      </c>
      <c r="M926">
        <v>93</v>
      </c>
      <c r="N926">
        <v>30.84</v>
      </c>
      <c r="O926">
        <v>94</v>
      </c>
      <c r="P926">
        <v>-8.56</v>
      </c>
      <c r="Q926">
        <v>96</v>
      </c>
      <c r="R926">
        <v>15.29</v>
      </c>
      <c r="S926">
        <v>83</v>
      </c>
      <c r="T926">
        <v>13.09</v>
      </c>
      <c r="U926">
        <v>85</v>
      </c>
      <c r="V926">
        <v>0.93</v>
      </c>
      <c r="W926">
        <v>72</v>
      </c>
      <c r="X926" t="s">
        <v>428</v>
      </c>
      <c r="Y926" t="s">
        <v>336</v>
      </c>
      <c r="Z926" t="s">
        <v>96</v>
      </c>
      <c r="AA926" t="s">
        <v>1962</v>
      </c>
      <c r="AB926" t="s">
        <v>13016</v>
      </c>
      <c r="AC926">
        <v>268</v>
      </c>
      <c r="AD926">
        <v>93</v>
      </c>
      <c r="AE926">
        <v>98</v>
      </c>
      <c r="AF926">
        <v>569.11</v>
      </c>
      <c r="AG926">
        <v>13.46</v>
      </c>
      <c r="AH926">
        <v>18.84</v>
      </c>
      <c r="AI926">
        <v>-0.14000000000000001</v>
      </c>
      <c r="AJ926">
        <v>-0.01</v>
      </c>
      <c r="AK926">
        <v>93</v>
      </c>
      <c r="AL926">
        <v>243</v>
      </c>
      <c r="AM926">
        <v>80</v>
      </c>
      <c r="AN926">
        <v>0.89</v>
      </c>
      <c r="AO926">
        <v>1.66</v>
      </c>
      <c r="AP926">
        <v>498</v>
      </c>
      <c r="AQ926">
        <v>3</v>
      </c>
      <c r="AR926">
        <v>7.12</v>
      </c>
      <c r="AS926">
        <v>95</v>
      </c>
      <c r="AT926">
        <v>2.84</v>
      </c>
      <c r="AU926">
        <v>98</v>
      </c>
      <c r="AV926">
        <v>-2.74</v>
      </c>
      <c r="AW926">
        <v>98</v>
      </c>
      <c r="AX926">
        <v>-0.61</v>
      </c>
      <c r="AY926">
        <v>94</v>
      </c>
      <c r="AZ926">
        <v>5.59</v>
      </c>
      <c r="BA926">
        <v>84</v>
      </c>
      <c r="BB926">
        <v>4.45</v>
      </c>
      <c r="BC926">
        <v>75</v>
      </c>
      <c r="BD926">
        <v>-7.0000000000000007E-2</v>
      </c>
      <c r="BE926">
        <v>-0.05</v>
      </c>
      <c r="BF926">
        <v>-0.14000000000000001</v>
      </c>
      <c r="BG926">
        <v>95</v>
      </c>
      <c r="BH926">
        <v>0.13</v>
      </c>
      <c r="BI926">
        <v>12.05</v>
      </c>
      <c r="BJ926">
        <v>123</v>
      </c>
      <c r="BK926">
        <v>45</v>
      </c>
      <c r="BL926">
        <v>1.06</v>
      </c>
      <c r="BM926">
        <v>0.25</v>
      </c>
      <c r="BN926">
        <v>0.13</v>
      </c>
      <c r="BO926">
        <v>0.66</v>
      </c>
      <c r="BP926">
        <v>0.02</v>
      </c>
      <c r="BQ926">
        <v>0.41</v>
      </c>
      <c r="BR926">
        <v>1.04</v>
      </c>
      <c r="BS926">
        <v>0.98</v>
      </c>
      <c r="BT926">
        <v>-0.57999999999999996</v>
      </c>
      <c r="BU926">
        <v>1.57</v>
      </c>
      <c r="BV926">
        <v>1.91</v>
      </c>
      <c r="BW926">
        <v>0.89</v>
      </c>
      <c r="BX926">
        <v>0.94</v>
      </c>
      <c r="BY926">
        <v>1.81</v>
      </c>
      <c r="BZ926">
        <v>0.59</v>
      </c>
      <c r="CA926">
        <v>1.47</v>
      </c>
      <c r="CB926">
        <v>1.59</v>
      </c>
      <c r="CC926">
        <v>1.04</v>
      </c>
      <c r="CD926">
        <v>-0.03</v>
      </c>
      <c r="CE926">
        <v>1.24</v>
      </c>
      <c r="CF926">
        <v>1.18</v>
      </c>
      <c r="CG926">
        <v>0</v>
      </c>
      <c r="CH926">
        <v>1.41</v>
      </c>
      <c r="CI926">
        <v>0</v>
      </c>
      <c r="CJ926">
        <v>0.1</v>
      </c>
      <c r="CK926">
        <v>97</v>
      </c>
      <c r="CL926">
        <v>-1.1100000000000001</v>
      </c>
      <c r="CM926">
        <v>96</v>
      </c>
      <c r="CN926">
        <v>-0.33</v>
      </c>
      <c r="CO926">
        <v>96</v>
      </c>
      <c r="CP926">
        <v>-7.4</v>
      </c>
      <c r="CQ926">
        <v>89</v>
      </c>
      <c r="CR926">
        <v>0</v>
      </c>
      <c r="CS926">
        <v>0</v>
      </c>
      <c r="CT926">
        <v>-3.9</v>
      </c>
      <c r="CU926">
        <v>85</v>
      </c>
      <c r="CV926">
        <v>0.28999999999999998</v>
      </c>
      <c r="CW926">
        <v>45</v>
      </c>
      <c r="CX926" t="s">
        <v>277</v>
      </c>
    </row>
    <row r="927" spans="1:102" x14ac:dyDescent="0.3">
      <c r="A927" t="str">
        <f>HYPERLINK("https://webapp.icbf.com/v2/app/bull-search/view/579247869","CVX")</f>
        <v>CVX</v>
      </c>
      <c r="B927" t="s">
        <v>10106</v>
      </c>
      <c r="C927" t="s">
        <v>10107</v>
      </c>
      <c r="D927" s="1">
        <v>39518</v>
      </c>
      <c r="E927" t="s">
        <v>92</v>
      </c>
      <c r="F927">
        <v>91</v>
      </c>
      <c r="G927" t="s">
        <v>93</v>
      </c>
      <c r="H927">
        <v>148.54</v>
      </c>
      <c r="I927">
        <v>95</v>
      </c>
      <c r="J927">
        <v>21.82</v>
      </c>
      <c r="K927">
        <v>99</v>
      </c>
      <c r="L927">
        <v>58.19</v>
      </c>
      <c r="M927">
        <v>91</v>
      </c>
      <c r="N927">
        <v>39.74</v>
      </c>
      <c r="O927">
        <v>97</v>
      </c>
      <c r="P927">
        <v>-3.83</v>
      </c>
      <c r="Q927">
        <v>99</v>
      </c>
      <c r="R927">
        <v>14.34</v>
      </c>
      <c r="S927">
        <v>91</v>
      </c>
      <c r="T927">
        <v>9.31</v>
      </c>
      <c r="U927">
        <v>97</v>
      </c>
      <c r="V927">
        <v>8.9700000000000006</v>
      </c>
      <c r="W927">
        <v>87</v>
      </c>
      <c r="X927" t="s">
        <v>94</v>
      </c>
      <c r="Y927" t="s">
        <v>241</v>
      </c>
      <c r="Z927" t="s">
        <v>96</v>
      </c>
      <c r="AA927" t="s">
        <v>358</v>
      </c>
      <c r="AB927" t="s">
        <v>5149</v>
      </c>
      <c r="AC927">
        <v>855</v>
      </c>
      <c r="AD927">
        <v>338</v>
      </c>
      <c r="AE927">
        <v>99</v>
      </c>
      <c r="AF927">
        <v>-82.75</v>
      </c>
      <c r="AG927">
        <v>-2.59</v>
      </c>
      <c r="AH927">
        <v>3.36</v>
      </c>
      <c r="AI927">
        <v>0.01</v>
      </c>
      <c r="AJ927">
        <v>0.11</v>
      </c>
      <c r="AK927">
        <v>91</v>
      </c>
      <c r="AL927">
        <v>964</v>
      </c>
      <c r="AM927">
        <v>369</v>
      </c>
      <c r="AN927">
        <v>-3.2</v>
      </c>
      <c r="AO927">
        <v>1.44</v>
      </c>
      <c r="AP927">
        <v>1812</v>
      </c>
      <c r="AQ927">
        <v>15</v>
      </c>
      <c r="AR927">
        <v>4.68</v>
      </c>
      <c r="AS927">
        <v>94</v>
      </c>
      <c r="AT927">
        <v>2.11</v>
      </c>
      <c r="AU927">
        <v>98</v>
      </c>
      <c r="AV927">
        <v>-3.73</v>
      </c>
      <c r="AW927">
        <v>99</v>
      </c>
      <c r="AX927">
        <v>-7.0000000000000007E-2</v>
      </c>
      <c r="AY927">
        <v>97</v>
      </c>
      <c r="AZ927">
        <v>7.86</v>
      </c>
      <c r="BA927">
        <v>92</v>
      </c>
      <c r="BB927">
        <v>5.41</v>
      </c>
      <c r="BC927">
        <v>90</v>
      </c>
      <c r="BD927">
        <v>-0.04</v>
      </c>
      <c r="BE927">
        <v>-7.0000000000000007E-2</v>
      </c>
      <c r="BF927">
        <v>-0.13</v>
      </c>
      <c r="BG927">
        <v>97</v>
      </c>
      <c r="BH927">
        <v>0.04</v>
      </c>
      <c r="BI927">
        <v>-24.31</v>
      </c>
      <c r="BJ927">
        <v>99</v>
      </c>
      <c r="BK927">
        <v>42</v>
      </c>
      <c r="BL927">
        <v>-0.64</v>
      </c>
      <c r="BM927">
        <v>0.15</v>
      </c>
      <c r="BN927">
        <v>-1.0900000000000001</v>
      </c>
      <c r="BO927">
        <v>-0.72</v>
      </c>
      <c r="BP927">
        <v>-2.5099999999999998</v>
      </c>
      <c r="BQ927">
        <v>-0.57999999999999996</v>
      </c>
      <c r="BR927">
        <v>-0.63</v>
      </c>
      <c r="BS927">
        <v>1.77</v>
      </c>
      <c r="BT927">
        <v>0.63</v>
      </c>
      <c r="BU927">
        <v>-0.54</v>
      </c>
      <c r="BV927">
        <v>-0.67</v>
      </c>
      <c r="BW927">
        <v>-1.35</v>
      </c>
      <c r="BX927">
        <v>-0.14000000000000001</v>
      </c>
      <c r="BY927">
        <v>-2.2599999999999998</v>
      </c>
      <c r="BZ927">
        <v>-1.3</v>
      </c>
      <c r="CA927">
        <v>0.26</v>
      </c>
      <c r="CB927">
        <v>-0.71</v>
      </c>
      <c r="CC927">
        <v>1.72</v>
      </c>
      <c r="CD927">
        <v>0.2</v>
      </c>
      <c r="CE927">
        <v>-0.82</v>
      </c>
      <c r="CF927">
        <v>-1.32</v>
      </c>
      <c r="CG927">
        <v>0</v>
      </c>
      <c r="CH927">
        <v>-2.0699999999999998</v>
      </c>
      <c r="CI927">
        <v>0</v>
      </c>
      <c r="CJ927">
        <v>-1.8</v>
      </c>
      <c r="CK927">
        <v>99</v>
      </c>
      <c r="CL927">
        <v>-0.65</v>
      </c>
      <c r="CM927">
        <v>99</v>
      </c>
      <c r="CN927">
        <v>-0.48</v>
      </c>
      <c r="CO927">
        <v>99</v>
      </c>
      <c r="CP927">
        <v>-1.7</v>
      </c>
      <c r="CQ927">
        <v>96</v>
      </c>
      <c r="CR927">
        <v>0</v>
      </c>
      <c r="CS927">
        <v>0</v>
      </c>
      <c r="CT927">
        <v>1.2</v>
      </c>
      <c r="CU927">
        <v>97</v>
      </c>
      <c r="CV927">
        <v>0.03</v>
      </c>
      <c r="CW927">
        <v>46</v>
      </c>
      <c r="CX927" t="s">
        <v>1390</v>
      </c>
    </row>
    <row r="928" spans="1:102" x14ac:dyDescent="0.3">
      <c r="A928" t="str">
        <f>HYPERLINK("https://webapp.icbf.com/v2/app/bull-search/view/534364651","BQN")</f>
        <v>BQN</v>
      </c>
      <c r="B928" t="s">
        <v>15223</v>
      </c>
      <c r="C928" t="s">
        <v>15224</v>
      </c>
      <c r="D928" s="1">
        <v>39339</v>
      </c>
      <c r="E928" t="s">
        <v>92</v>
      </c>
      <c r="F928">
        <v>97</v>
      </c>
      <c r="G928" t="s">
        <v>93</v>
      </c>
      <c r="H928">
        <v>148.47</v>
      </c>
      <c r="I928">
        <v>98</v>
      </c>
      <c r="J928">
        <v>68.8</v>
      </c>
      <c r="K928">
        <v>99</v>
      </c>
      <c r="L928">
        <v>36.18</v>
      </c>
      <c r="M928">
        <v>96</v>
      </c>
      <c r="N928">
        <v>54.35</v>
      </c>
      <c r="O928">
        <v>99</v>
      </c>
      <c r="P928">
        <v>-10.06</v>
      </c>
      <c r="Q928">
        <v>99</v>
      </c>
      <c r="R928">
        <v>-3.54</v>
      </c>
      <c r="S928">
        <v>96</v>
      </c>
      <c r="T928">
        <v>-3.42</v>
      </c>
      <c r="U928">
        <v>99</v>
      </c>
      <c r="V928">
        <v>6.16</v>
      </c>
      <c r="W928">
        <v>95</v>
      </c>
      <c r="X928" t="s">
        <v>276</v>
      </c>
      <c r="Y928" t="s">
        <v>4217</v>
      </c>
      <c r="Z928" t="s">
        <v>96</v>
      </c>
      <c r="AA928" t="s">
        <v>316</v>
      </c>
      <c r="AB928" t="s">
        <v>15225</v>
      </c>
      <c r="AC928">
        <v>3033</v>
      </c>
      <c r="AD928">
        <v>845</v>
      </c>
      <c r="AE928">
        <v>99</v>
      </c>
      <c r="AF928">
        <v>663.86</v>
      </c>
      <c r="AG928">
        <v>12.05</v>
      </c>
      <c r="AH928">
        <v>17.600000000000001</v>
      </c>
      <c r="AI928">
        <v>-0.22</v>
      </c>
      <c r="AJ928">
        <v>-0.08</v>
      </c>
      <c r="AK928">
        <v>96</v>
      </c>
      <c r="AL928">
        <v>3732</v>
      </c>
      <c r="AM928">
        <v>1106</v>
      </c>
      <c r="AN928">
        <v>-2.4</v>
      </c>
      <c r="AO928">
        <v>0.48</v>
      </c>
      <c r="AP928">
        <v>5575</v>
      </c>
      <c r="AQ928">
        <v>78</v>
      </c>
      <c r="AR928">
        <v>4.24</v>
      </c>
      <c r="AS928">
        <v>98</v>
      </c>
      <c r="AT928">
        <v>1.83</v>
      </c>
      <c r="AU928">
        <v>99</v>
      </c>
      <c r="AV928">
        <v>-4.91</v>
      </c>
      <c r="AW928">
        <v>99</v>
      </c>
      <c r="AX928">
        <v>-0.32</v>
      </c>
      <c r="AY928">
        <v>99</v>
      </c>
      <c r="AZ928">
        <v>7.01</v>
      </c>
      <c r="BA928">
        <v>97</v>
      </c>
      <c r="BB928">
        <v>5.27</v>
      </c>
      <c r="BC928">
        <v>97</v>
      </c>
      <c r="BD928">
        <v>0.02</v>
      </c>
      <c r="BE928">
        <v>0.02</v>
      </c>
      <c r="BF928">
        <v>0.01</v>
      </c>
      <c r="BG928">
        <v>99</v>
      </c>
      <c r="BH928">
        <v>0.06</v>
      </c>
      <c r="BI928">
        <v>-12.93</v>
      </c>
      <c r="BJ928">
        <v>101</v>
      </c>
      <c r="BK928">
        <v>48</v>
      </c>
      <c r="BL928">
        <v>-0.35</v>
      </c>
      <c r="BM928">
        <v>2.21</v>
      </c>
      <c r="BN928">
        <v>-0.77</v>
      </c>
      <c r="BO928">
        <v>-1.7</v>
      </c>
      <c r="BP928">
        <v>-2.31</v>
      </c>
      <c r="BQ928">
        <v>0.56000000000000005</v>
      </c>
      <c r="BR928">
        <v>-0.4</v>
      </c>
      <c r="BS928">
        <v>-1.42</v>
      </c>
      <c r="BT928">
        <v>0.48</v>
      </c>
      <c r="BU928">
        <v>-0.47</v>
      </c>
      <c r="BV928">
        <v>-0.93</v>
      </c>
      <c r="BW928">
        <v>-0.92</v>
      </c>
      <c r="BX928">
        <v>-0.26</v>
      </c>
      <c r="BY928">
        <v>0.67</v>
      </c>
      <c r="BZ928">
        <v>-0.19</v>
      </c>
      <c r="CA928">
        <v>0.08</v>
      </c>
      <c r="CB928">
        <v>0.3</v>
      </c>
      <c r="CC928">
        <v>-0.51</v>
      </c>
      <c r="CD928">
        <v>1.78</v>
      </c>
      <c r="CE928">
        <v>-1.03</v>
      </c>
      <c r="CF928">
        <v>-0.51</v>
      </c>
      <c r="CG928">
        <v>0</v>
      </c>
      <c r="CH928">
        <v>0.64</v>
      </c>
      <c r="CI928">
        <v>0</v>
      </c>
      <c r="CJ928">
        <v>-1.3</v>
      </c>
      <c r="CK928">
        <v>99</v>
      </c>
      <c r="CL928">
        <v>-0.78</v>
      </c>
      <c r="CM928">
        <v>99</v>
      </c>
      <c r="CN928">
        <v>0.04</v>
      </c>
      <c r="CO928">
        <v>99</v>
      </c>
      <c r="CP928">
        <v>1.7</v>
      </c>
      <c r="CQ928">
        <v>99</v>
      </c>
      <c r="CR928">
        <v>0</v>
      </c>
      <c r="CS928">
        <v>0</v>
      </c>
      <c r="CT928">
        <v>18.399999999999999</v>
      </c>
      <c r="CU928">
        <v>99</v>
      </c>
      <c r="CV928">
        <v>0.2</v>
      </c>
      <c r="CW928">
        <v>51</v>
      </c>
      <c r="CX928" t="s">
        <v>4023</v>
      </c>
    </row>
    <row r="929" spans="1:102" x14ac:dyDescent="0.3">
      <c r="A929" t="str">
        <f>HYPERLINK("https://webapp.icbf.com/v2/app/bull-search/view/487001922","SKV")</f>
        <v>SKV</v>
      </c>
      <c r="B929" t="s">
        <v>1394</v>
      </c>
      <c r="C929" t="s">
        <v>1395</v>
      </c>
      <c r="D929" s="1">
        <v>38504</v>
      </c>
      <c r="E929" t="s">
        <v>92</v>
      </c>
      <c r="F929">
        <v>56</v>
      </c>
      <c r="G929" t="s">
        <v>93</v>
      </c>
      <c r="H929">
        <v>148.36000000000001</v>
      </c>
      <c r="I929">
        <v>96</v>
      </c>
      <c r="J929">
        <v>71.09</v>
      </c>
      <c r="K929">
        <v>99</v>
      </c>
      <c r="L929">
        <v>30.17</v>
      </c>
      <c r="M929">
        <v>93</v>
      </c>
      <c r="N929">
        <v>43.25</v>
      </c>
      <c r="O929">
        <v>97</v>
      </c>
      <c r="P929">
        <v>-20.059999999999999</v>
      </c>
      <c r="Q929">
        <v>99</v>
      </c>
      <c r="R929">
        <v>-3.19</v>
      </c>
      <c r="S929">
        <v>94</v>
      </c>
      <c r="T929">
        <v>25.15</v>
      </c>
      <c r="U929">
        <v>98</v>
      </c>
      <c r="V929">
        <v>1.95</v>
      </c>
      <c r="W929">
        <v>96</v>
      </c>
      <c r="X929" t="s">
        <v>276</v>
      </c>
      <c r="Y929" t="s">
        <v>435</v>
      </c>
      <c r="Z929" t="s">
        <v>330</v>
      </c>
      <c r="AA929" t="s">
        <v>1396</v>
      </c>
      <c r="AB929" t="s">
        <v>1397</v>
      </c>
      <c r="AC929">
        <v>938</v>
      </c>
      <c r="AD929">
        <v>343</v>
      </c>
      <c r="AE929">
        <v>99</v>
      </c>
      <c r="AF929">
        <v>103.03</v>
      </c>
      <c r="AG929">
        <v>7.03</v>
      </c>
      <c r="AH929">
        <v>11.18</v>
      </c>
      <c r="AI929">
        <v>0.05</v>
      </c>
      <c r="AJ929">
        <v>0.13</v>
      </c>
      <c r="AK929">
        <v>93</v>
      </c>
      <c r="AL929">
        <v>1021</v>
      </c>
      <c r="AM929">
        <v>380</v>
      </c>
      <c r="AN929">
        <v>-2.14</v>
      </c>
      <c r="AO929">
        <v>0.26</v>
      </c>
      <c r="AP929">
        <v>1798</v>
      </c>
      <c r="AQ929">
        <v>19</v>
      </c>
      <c r="AR929">
        <v>5.59</v>
      </c>
      <c r="AS929">
        <v>95</v>
      </c>
      <c r="AT929">
        <v>1.96</v>
      </c>
      <c r="AU929">
        <v>98</v>
      </c>
      <c r="AV929">
        <v>-3.37</v>
      </c>
      <c r="AW929">
        <v>99</v>
      </c>
      <c r="AX929">
        <v>-0.2</v>
      </c>
      <c r="AY929">
        <v>97</v>
      </c>
      <c r="AZ929">
        <v>5.6</v>
      </c>
      <c r="BA929">
        <v>93</v>
      </c>
      <c r="BB929">
        <v>4.74</v>
      </c>
      <c r="BC929">
        <v>93</v>
      </c>
      <c r="BD929">
        <v>-0.01</v>
      </c>
      <c r="BE929">
        <v>0</v>
      </c>
      <c r="BF929">
        <v>0.09</v>
      </c>
      <c r="BG929">
        <v>98</v>
      </c>
      <c r="BH929">
        <v>0.14000000000000001</v>
      </c>
      <c r="BI929">
        <v>9.89</v>
      </c>
      <c r="BJ929">
        <v>13</v>
      </c>
      <c r="BK929">
        <v>7</v>
      </c>
      <c r="BL929">
        <v>-1.56</v>
      </c>
      <c r="BM929">
        <v>-0.37</v>
      </c>
      <c r="BN929">
        <v>-1.04</v>
      </c>
      <c r="BO929">
        <v>-0.82</v>
      </c>
      <c r="BP929">
        <v>-0.89</v>
      </c>
      <c r="BQ929">
        <v>0.47</v>
      </c>
      <c r="BR929">
        <v>2.06</v>
      </c>
      <c r="BS929">
        <v>-1.64</v>
      </c>
      <c r="BT929">
        <v>-1.96</v>
      </c>
      <c r="BU929">
        <v>-1.1200000000000001</v>
      </c>
      <c r="BV929">
        <v>-0.66</v>
      </c>
      <c r="BW929">
        <v>-0.88</v>
      </c>
      <c r="BX929">
        <v>-1.99</v>
      </c>
      <c r="BY929">
        <v>-1.24</v>
      </c>
      <c r="BZ929">
        <v>2.54</v>
      </c>
      <c r="CA929">
        <v>-0.99</v>
      </c>
      <c r="CB929">
        <v>-0.84</v>
      </c>
      <c r="CC929">
        <v>-1.3</v>
      </c>
      <c r="CD929">
        <v>0.23</v>
      </c>
      <c r="CE929">
        <v>-1.37</v>
      </c>
      <c r="CF929">
        <v>-2.44</v>
      </c>
      <c r="CG929">
        <v>0</v>
      </c>
      <c r="CH929">
        <v>-1.05</v>
      </c>
      <c r="CI929">
        <v>0</v>
      </c>
      <c r="CJ929">
        <v>-7.8</v>
      </c>
      <c r="CK929">
        <v>99</v>
      </c>
      <c r="CL929">
        <v>-0.77</v>
      </c>
      <c r="CM929">
        <v>99</v>
      </c>
      <c r="CN929">
        <v>-0.1</v>
      </c>
      <c r="CO929">
        <v>99</v>
      </c>
      <c r="CP929">
        <v>-16.8</v>
      </c>
      <c r="CQ929">
        <v>98</v>
      </c>
      <c r="CR929">
        <v>0</v>
      </c>
      <c r="CS929">
        <v>0</v>
      </c>
      <c r="CT929">
        <v>-20.2</v>
      </c>
      <c r="CU929">
        <v>98</v>
      </c>
      <c r="CV929">
        <v>0.14000000000000001</v>
      </c>
      <c r="CW929">
        <v>46</v>
      </c>
      <c r="CX929" t="s">
        <v>792</v>
      </c>
    </row>
    <row r="930" spans="1:102" x14ac:dyDescent="0.3">
      <c r="A930" t="str">
        <f>HYPERLINK("https://webapp.icbf.com/v2/app/bull-search/view/946895734","RYK")</f>
        <v>RYK</v>
      </c>
      <c r="B930" t="s">
        <v>5821</v>
      </c>
      <c r="C930" t="s">
        <v>5822</v>
      </c>
      <c r="D930" s="1">
        <v>40933</v>
      </c>
      <c r="E930" t="s">
        <v>92</v>
      </c>
      <c r="F930">
        <v>78</v>
      </c>
      <c r="G930" t="s">
        <v>93</v>
      </c>
      <c r="H930">
        <v>148.36000000000001</v>
      </c>
      <c r="I930">
        <v>89</v>
      </c>
      <c r="J930">
        <v>36.369999999999997</v>
      </c>
      <c r="K930">
        <v>98</v>
      </c>
      <c r="L930">
        <v>83.39</v>
      </c>
      <c r="M930">
        <v>82</v>
      </c>
      <c r="N930">
        <v>27.14</v>
      </c>
      <c r="O930">
        <v>90</v>
      </c>
      <c r="P930">
        <v>-2.68</v>
      </c>
      <c r="Q930">
        <v>95</v>
      </c>
      <c r="R930">
        <v>3.87</v>
      </c>
      <c r="S930">
        <v>83</v>
      </c>
      <c r="T930">
        <v>0.06</v>
      </c>
      <c r="U930">
        <v>83</v>
      </c>
      <c r="V930">
        <v>0.21</v>
      </c>
      <c r="W930">
        <v>76</v>
      </c>
      <c r="X930" t="s">
        <v>251</v>
      </c>
      <c r="Y930" t="s">
        <v>1923</v>
      </c>
      <c r="Z930" t="s">
        <v>96</v>
      </c>
      <c r="AA930" t="s">
        <v>5742</v>
      </c>
      <c r="AB930" t="s">
        <v>5823</v>
      </c>
      <c r="AC930">
        <v>231</v>
      </c>
      <c r="AD930">
        <v>68</v>
      </c>
      <c r="AE930">
        <v>98</v>
      </c>
      <c r="AF930">
        <v>140.91999999999999</v>
      </c>
      <c r="AG930">
        <v>9.42</v>
      </c>
      <c r="AH930">
        <v>5.01</v>
      </c>
      <c r="AI930">
        <v>7.0000000000000007E-2</v>
      </c>
      <c r="AJ930">
        <v>0</v>
      </c>
      <c r="AK930">
        <v>82</v>
      </c>
      <c r="AL930">
        <v>241</v>
      </c>
      <c r="AM930">
        <v>81</v>
      </c>
      <c r="AN930">
        <v>-3.81</v>
      </c>
      <c r="AO930">
        <v>2.85</v>
      </c>
      <c r="AP930">
        <v>439</v>
      </c>
      <c r="AQ930">
        <v>0</v>
      </c>
      <c r="AR930">
        <v>7.63</v>
      </c>
      <c r="AS930">
        <v>89</v>
      </c>
      <c r="AT930">
        <v>2.7</v>
      </c>
      <c r="AU930">
        <v>91</v>
      </c>
      <c r="AV930">
        <v>-2.35</v>
      </c>
      <c r="AW930">
        <v>97</v>
      </c>
      <c r="AX930">
        <v>-0.28000000000000003</v>
      </c>
      <c r="AY930">
        <v>89</v>
      </c>
      <c r="AZ930">
        <v>5.46</v>
      </c>
      <c r="BA930">
        <v>76</v>
      </c>
      <c r="BB930">
        <v>4.41</v>
      </c>
      <c r="BC930">
        <v>72</v>
      </c>
      <c r="BD930">
        <v>-0.06</v>
      </c>
      <c r="BE930">
        <v>-0.01</v>
      </c>
      <c r="BF930">
        <v>0.03</v>
      </c>
      <c r="BG930">
        <v>92</v>
      </c>
      <c r="BH930">
        <v>0.12</v>
      </c>
      <c r="BI930">
        <v>13.19</v>
      </c>
      <c r="BJ930">
        <v>28</v>
      </c>
      <c r="BK930">
        <v>10</v>
      </c>
      <c r="BL930">
        <v>-0.19</v>
      </c>
      <c r="BM930">
        <v>2.2000000000000002</v>
      </c>
      <c r="BN930">
        <v>-0.15</v>
      </c>
      <c r="BO930">
        <v>-1.1399999999999999</v>
      </c>
      <c r="BP930">
        <v>-0.24</v>
      </c>
      <c r="BQ930">
        <v>1.88</v>
      </c>
      <c r="BR930">
        <v>2.11</v>
      </c>
      <c r="BS930">
        <v>-2.78</v>
      </c>
      <c r="BT930">
        <v>-2.31</v>
      </c>
      <c r="BU930">
        <v>-0.74</v>
      </c>
      <c r="BV930">
        <v>-1.1200000000000001</v>
      </c>
      <c r="BW930">
        <v>-0.37</v>
      </c>
      <c r="BX930">
        <v>-0.35</v>
      </c>
      <c r="BY930">
        <v>-0.71</v>
      </c>
      <c r="BZ930">
        <v>0.2</v>
      </c>
      <c r="CA930">
        <v>-1.1499999999999999</v>
      </c>
      <c r="CB930">
        <v>-0.57999999999999996</v>
      </c>
      <c r="CC930">
        <v>-1.68</v>
      </c>
      <c r="CD930">
        <v>2.2799999999999998</v>
      </c>
      <c r="CE930">
        <v>-1.1399999999999999</v>
      </c>
      <c r="CF930">
        <v>0.27</v>
      </c>
      <c r="CG930">
        <v>0</v>
      </c>
      <c r="CH930">
        <v>-0.38</v>
      </c>
      <c r="CI930">
        <v>0</v>
      </c>
      <c r="CJ930">
        <v>0.8</v>
      </c>
      <c r="CK930">
        <v>96</v>
      </c>
      <c r="CL930">
        <v>-0.56000000000000005</v>
      </c>
      <c r="CM930">
        <v>95</v>
      </c>
      <c r="CN930">
        <v>-0.16</v>
      </c>
      <c r="CO930">
        <v>95</v>
      </c>
      <c r="CP930">
        <v>0.8</v>
      </c>
      <c r="CQ930">
        <v>85</v>
      </c>
      <c r="CR930">
        <v>0</v>
      </c>
      <c r="CS930">
        <v>0</v>
      </c>
      <c r="CT930">
        <v>13.7</v>
      </c>
      <c r="CU930">
        <v>83</v>
      </c>
      <c r="CV930">
        <v>0.31</v>
      </c>
      <c r="CW930">
        <v>46</v>
      </c>
      <c r="CX930" t="s">
        <v>1165</v>
      </c>
    </row>
    <row r="931" spans="1:102" x14ac:dyDescent="0.3">
      <c r="A931" t="str">
        <f>HYPERLINK("https://webapp.icbf.com/v2/app/bull-search/view/550983789","OUK")</f>
        <v>OUK</v>
      </c>
      <c r="B931" t="s">
        <v>2465</v>
      </c>
      <c r="C931" t="s">
        <v>2466</v>
      </c>
      <c r="D931" s="1">
        <v>38442</v>
      </c>
      <c r="E931" t="s">
        <v>227</v>
      </c>
      <c r="F931">
        <v>0</v>
      </c>
      <c r="G931" t="s">
        <v>93</v>
      </c>
      <c r="H931">
        <v>148.32</v>
      </c>
      <c r="I931">
        <v>90</v>
      </c>
      <c r="J931">
        <v>73.09</v>
      </c>
      <c r="K931">
        <v>97</v>
      </c>
      <c r="L931">
        <v>18.2</v>
      </c>
      <c r="M931">
        <v>85</v>
      </c>
      <c r="N931">
        <v>40.99</v>
      </c>
      <c r="O931">
        <v>85</v>
      </c>
      <c r="P931">
        <v>-55.21</v>
      </c>
      <c r="Q931">
        <v>88</v>
      </c>
      <c r="R931">
        <v>6.09</v>
      </c>
      <c r="S931">
        <v>85</v>
      </c>
      <c r="T931">
        <v>60.3</v>
      </c>
      <c r="U931">
        <v>91</v>
      </c>
      <c r="V931">
        <v>4.8600000000000003</v>
      </c>
      <c r="W931">
        <v>87</v>
      </c>
      <c r="X931" t="s">
        <v>276</v>
      </c>
      <c r="Y931" t="s">
        <v>1524</v>
      </c>
      <c r="Z931">
        <v>0</v>
      </c>
      <c r="AA931" t="s">
        <v>1525</v>
      </c>
      <c r="AB931" t="s">
        <v>2467</v>
      </c>
      <c r="AC931">
        <v>87</v>
      </c>
      <c r="AD931">
        <v>47</v>
      </c>
      <c r="AE931">
        <v>97</v>
      </c>
      <c r="AF931">
        <v>-217.68</v>
      </c>
      <c r="AG931">
        <v>14.98</v>
      </c>
      <c r="AH931">
        <v>3.8</v>
      </c>
      <c r="AI931">
        <v>0.43</v>
      </c>
      <c r="AJ931">
        <v>0.2</v>
      </c>
      <c r="AK931">
        <v>85</v>
      </c>
      <c r="AL931">
        <v>93</v>
      </c>
      <c r="AM931">
        <v>47</v>
      </c>
      <c r="AN931">
        <v>1.2</v>
      </c>
      <c r="AO931">
        <v>2.68</v>
      </c>
      <c r="AP931">
        <v>112</v>
      </c>
      <c r="AQ931">
        <v>1</v>
      </c>
      <c r="AR931">
        <v>1.81</v>
      </c>
      <c r="AS931">
        <v>79</v>
      </c>
      <c r="AT931">
        <v>1.1299999999999999</v>
      </c>
      <c r="AU931">
        <v>83</v>
      </c>
      <c r="AV931">
        <v>-2.2599999999999998</v>
      </c>
      <c r="AW931">
        <v>95</v>
      </c>
      <c r="AX931">
        <v>-0.2</v>
      </c>
      <c r="AY931">
        <v>80</v>
      </c>
      <c r="AZ931">
        <v>6.22</v>
      </c>
      <c r="BA931">
        <v>70</v>
      </c>
      <c r="BB931">
        <v>5.3</v>
      </c>
      <c r="BC931">
        <v>72</v>
      </c>
      <c r="BD931">
        <v>-0.09</v>
      </c>
      <c r="BE931">
        <v>0</v>
      </c>
      <c r="BF931">
        <v>0.01</v>
      </c>
      <c r="BG931">
        <v>90</v>
      </c>
      <c r="BH931">
        <v>0.1</v>
      </c>
      <c r="BI931">
        <v>-4.1100000000000003</v>
      </c>
      <c r="BJ931">
        <v>37</v>
      </c>
      <c r="BK931">
        <v>13</v>
      </c>
      <c r="BL931">
        <v>-3.51</v>
      </c>
      <c r="BM931">
        <v>-2.59</v>
      </c>
      <c r="BN931">
        <v>-1.64</v>
      </c>
      <c r="BO931">
        <v>0.61</v>
      </c>
      <c r="BP931">
        <v>-0.6</v>
      </c>
      <c r="BQ931">
        <v>-7.02</v>
      </c>
      <c r="BR931">
        <v>4.55</v>
      </c>
      <c r="BS931">
        <v>2.76</v>
      </c>
      <c r="BT931">
        <v>-3.6</v>
      </c>
      <c r="BU931">
        <v>-1.46</v>
      </c>
      <c r="BV931">
        <v>-1.05</v>
      </c>
      <c r="BW931">
        <v>-2.82</v>
      </c>
      <c r="BX931">
        <v>-3.98</v>
      </c>
      <c r="BY931">
        <v>-0.41</v>
      </c>
      <c r="BZ931">
        <v>-0.85</v>
      </c>
      <c r="CA931">
        <v>-0.63</v>
      </c>
      <c r="CB931">
        <v>-0.96</v>
      </c>
      <c r="CC931">
        <v>0.32</v>
      </c>
      <c r="CD931">
        <v>-2.21</v>
      </c>
      <c r="CE931">
        <v>0.1</v>
      </c>
      <c r="CF931">
        <v>-5.15</v>
      </c>
      <c r="CG931">
        <v>0</v>
      </c>
      <c r="CH931">
        <v>-0.33</v>
      </c>
      <c r="CI931">
        <v>0</v>
      </c>
      <c r="CJ931">
        <v>-29.6</v>
      </c>
      <c r="CK931">
        <v>89</v>
      </c>
      <c r="CL931">
        <v>-0.88</v>
      </c>
      <c r="CM931">
        <v>87</v>
      </c>
      <c r="CN931">
        <v>-0.14000000000000001</v>
      </c>
      <c r="CO931">
        <v>85</v>
      </c>
      <c r="CP931">
        <v>-46.1</v>
      </c>
      <c r="CQ931">
        <v>88</v>
      </c>
      <c r="CR931">
        <v>0</v>
      </c>
      <c r="CS931">
        <v>0</v>
      </c>
      <c r="CT931">
        <v>-67.7</v>
      </c>
      <c r="CU931">
        <v>91</v>
      </c>
      <c r="CV931">
        <v>-0.26</v>
      </c>
      <c r="CW931">
        <v>44</v>
      </c>
      <c r="CX931" t="s">
        <v>1746</v>
      </c>
    </row>
    <row r="932" spans="1:102" x14ac:dyDescent="0.3">
      <c r="A932" t="str">
        <f>HYPERLINK("https://webapp.icbf.com/v2/app/bull-search/view/508760533","SJV")</f>
        <v>SJV</v>
      </c>
      <c r="B932" t="s">
        <v>1444</v>
      </c>
      <c r="C932" t="s">
        <v>1445</v>
      </c>
      <c r="D932" s="1">
        <v>36804</v>
      </c>
      <c r="E932" t="s">
        <v>395</v>
      </c>
      <c r="F932">
        <v>0</v>
      </c>
      <c r="G932" t="s">
        <v>93</v>
      </c>
      <c r="H932">
        <v>148.27000000000001</v>
      </c>
      <c r="I932">
        <v>84</v>
      </c>
      <c r="J932">
        <v>-24.9</v>
      </c>
      <c r="K932">
        <v>92</v>
      </c>
      <c r="L932">
        <v>96.37</v>
      </c>
      <c r="M932">
        <v>80</v>
      </c>
      <c r="N932">
        <v>49.36</v>
      </c>
      <c r="O932">
        <v>81</v>
      </c>
      <c r="P932">
        <v>-2.74</v>
      </c>
      <c r="Q932">
        <v>89</v>
      </c>
      <c r="R932">
        <v>10.8</v>
      </c>
      <c r="S932">
        <v>66</v>
      </c>
      <c r="T932">
        <v>21.67</v>
      </c>
      <c r="U932">
        <v>86</v>
      </c>
      <c r="V932">
        <v>-2.29</v>
      </c>
      <c r="W932">
        <v>71</v>
      </c>
      <c r="X932" t="s">
        <v>94</v>
      </c>
      <c r="Y932" t="s">
        <v>221</v>
      </c>
      <c r="Z932">
        <v>0</v>
      </c>
      <c r="AA932" t="s">
        <v>1446</v>
      </c>
      <c r="AB932" t="s">
        <v>1447</v>
      </c>
      <c r="AC932">
        <v>54</v>
      </c>
      <c r="AD932">
        <v>33</v>
      </c>
      <c r="AE932">
        <v>92</v>
      </c>
      <c r="AF932">
        <v>-190.39</v>
      </c>
      <c r="AG932">
        <v>-7.97</v>
      </c>
      <c r="AH932">
        <v>-4.33</v>
      </c>
      <c r="AI932">
        <v>-0.01</v>
      </c>
      <c r="AJ932">
        <v>0.04</v>
      </c>
      <c r="AK932">
        <v>80</v>
      </c>
      <c r="AL932">
        <v>60</v>
      </c>
      <c r="AM932">
        <v>27</v>
      </c>
      <c r="AN932">
        <v>-4.1399999999999997</v>
      </c>
      <c r="AO932">
        <v>3.56</v>
      </c>
      <c r="AP932">
        <v>108</v>
      </c>
      <c r="AQ932">
        <v>1</v>
      </c>
      <c r="AR932">
        <v>3.84</v>
      </c>
      <c r="AS932">
        <v>67</v>
      </c>
      <c r="AT932">
        <v>1.67</v>
      </c>
      <c r="AU932">
        <v>85</v>
      </c>
      <c r="AV932">
        <v>-2.91</v>
      </c>
      <c r="AW932">
        <v>95</v>
      </c>
      <c r="AX932">
        <v>-0.91</v>
      </c>
      <c r="AY932">
        <v>75</v>
      </c>
      <c r="AZ932">
        <v>4.79</v>
      </c>
      <c r="BA932">
        <v>47</v>
      </c>
      <c r="BB932">
        <v>4.28</v>
      </c>
      <c r="BC932">
        <v>52</v>
      </c>
      <c r="BD932">
        <v>-0.02</v>
      </c>
      <c r="BE932">
        <v>-0.05</v>
      </c>
      <c r="BF932">
        <v>-0.12</v>
      </c>
      <c r="BG932">
        <v>74</v>
      </c>
      <c r="BH932">
        <v>-0.03</v>
      </c>
      <c r="BI932">
        <v>3.92</v>
      </c>
      <c r="BJ932">
        <v>1</v>
      </c>
      <c r="BK932">
        <v>1</v>
      </c>
      <c r="BL932">
        <v>-1.51</v>
      </c>
      <c r="BM932">
        <v>1.62</v>
      </c>
      <c r="BN932">
        <v>-1.45</v>
      </c>
      <c r="BO932">
        <v>-2.08</v>
      </c>
      <c r="BP932">
        <v>2.04</v>
      </c>
      <c r="BQ932">
        <v>-0.5</v>
      </c>
      <c r="BR932">
        <v>0.38</v>
      </c>
      <c r="BS932">
        <v>0.33</v>
      </c>
      <c r="BT932">
        <v>-0.34</v>
      </c>
      <c r="BU932">
        <v>-0.97</v>
      </c>
      <c r="BV932">
        <v>-2.2999999999999998</v>
      </c>
      <c r="BW932">
        <v>-1.99</v>
      </c>
      <c r="BX932">
        <v>-0.59</v>
      </c>
      <c r="BY932">
        <v>-1.52</v>
      </c>
      <c r="BZ932">
        <v>-1.05</v>
      </c>
      <c r="CA932">
        <v>-1.52</v>
      </c>
      <c r="CB932">
        <v>-2.09</v>
      </c>
      <c r="CC932">
        <v>0.16</v>
      </c>
      <c r="CD932">
        <v>1.87</v>
      </c>
      <c r="CE932">
        <v>-2.25</v>
      </c>
      <c r="CF932">
        <v>-1.86</v>
      </c>
      <c r="CG932">
        <v>0</v>
      </c>
      <c r="CH932">
        <v>-1.81</v>
      </c>
      <c r="CI932">
        <v>0</v>
      </c>
      <c r="CJ932">
        <v>-2.7</v>
      </c>
      <c r="CK932">
        <v>91</v>
      </c>
      <c r="CL932">
        <v>-0.01</v>
      </c>
      <c r="CM932">
        <v>89</v>
      </c>
      <c r="CN932">
        <v>-0.18</v>
      </c>
      <c r="CO932">
        <v>87</v>
      </c>
      <c r="CP932">
        <v>-6.8</v>
      </c>
      <c r="CQ932">
        <v>83</v>
      </c>
      <c r="CR932">
        <v>0</v>
      </c>
      <c r="CS932">
        <v>0</v>
      </c>
      <c r="CT932">
        <v>-15.5</v>
      </c>
      <c r="CU932">
        <v>86</v>
      </c>
      <c r="CV932">
        <v>-0.13</v>
      </c>
      <c r="CW932">
        <v>26</v>
      </c>
      <c r="CX932" t="s">
        <v>1448</v>
      </c>
    </row>
    <row r="933" spans="1:102" x14ac:dyDescent="0.3">
      <c r="A933" t="str">
        <f>HYPERLINK("https://webapp.icbf.com/v2/app/bull-search/view/487000238","HWV")</f>
        <v>HWV</v>
      </c>
      <c r="B933" t="s">
        <v>5268</v>
      </c>
      <c r="C933" t="s">
        <v>5269</v>
      </c>
      <c r="D933" s="1">
        <v>38604</v>
      </c>
      <c r="E933" t="s">
        <v>227</v>
      </c>
      <c r="F933">
        <v>31</v>
      </c>
      <c r="G933" t="s">
        <v>93</v>
      </c>
      <c r="H933">
        <v>148</v>
      </c>
      <c r="I933">
        <v>93</v>
      </c>
      <c r="J933">
        <v>55.04</v>
      </c>
      <c r="K933">
        <v>98</v>
      </c>
      <c r="L933">
        <v>39.799999999999997</v>
      </c>
      <c r="M933">
        <v>89</v>
      </c>
      <c r="N933">
        <v>31.39</v>
      </c>
      <c r="O933">
        <v>92</v>
      </c>
      <c r="P933">
        <v>-43.46</v>
      </c>
      <c r="Q933">
        <v>96</v>
      </c>
      <c r="R933">
        <v>1.49</v>
      </c>
      <c r="S933">
        <v>83</v>
      </c>
      <c r="T933">
        <v>54.01</v>
      </c>
      <c r="U933">
        <v>94</v>
      </c>
      <c r="V933">
        <v>9.73</v>
      </c>
      <c r="W933">
        <v>83</v>
      </c>
      <c r="X933" t="s">
        <v>276</v>
      </c>
      <c r="Y933" t="s">
        <v>282</v>
      </c>
      <c r="Z933">
        <v>0</v>
      </c>
      <c r="AA933" t="s">
        <v>333</v>
      </c>
      <c r="AB933" t="s">
        <v>144</v>
      </c>
      <c r="AC933">
        <v>196</v>
      </c>
      <c r="AD933">
        <v>68</v>
      </c>
      <c r="AE933">
        <v>98</v>
      </c>
      <c r="AF933">
        <v>-130.80000000000001</v>
      </c>
      <c r="AG933">
        <v>6.61</v>
      </c>
      <c r="AH933">
        <v>5.0199999999999996</v>
      </c>
      <c r="AI933">
        <v>0.21</v>
      </c>
      <c r="AJ933">
        <v>0.17</v>
      </c>
      <c r="AK933">
        <v>89</v>
      </c>
      <c r="AL933">
        <v>236</v>
      </c>
      <c r="AM933">
        <v>73</v>
      </c>
      <c r="AN933">
        <v>-2.48</v>
      </c>
      <c r="AO933">
        <v>0.69</v>
      </c>
      <c r="AP933">
        <v>481</v>
      </c>
      <c r="AQ933">
        <v>3</v>
      </c>
      <c r="AR933">
        <v>4.34</v>
      </c>
      <c r="AS933">
        <v>91</v>
      </c>
      <c r="AT933">
        <v>1.57</v>
      </c>
      <c r="AU933">
        <v>92</v>
      </c>
      <c r="AV933">
        <v>-2.2999999999999998</v>
      </c>
      <c r="AW933">
        <v>98</v>
      </c>
      <c r="AX933">
        <v>0.01</v>
      </c>
      <c r="AY933">
        <v>91</v>
      </c>
      <c r="AZ933">
        <v>6.72</v>
      </c>
      <c r="BA933">
        <v>80</v>
      </c>
      <c r="BB933">
        <v>5.85</v>
      </c>
      <c r="BC933">
        <v>80</v>
      </c>
      <c r="BD933">
        <v>-0.02</v>
      </c>
      <c r="BE933">
        <v>0.01</v>
      </c>
      <c r="BF933">
        <v>-0.02</v>
      </c>
      <c r="BG933">
        <v>93</v>
      </c>
      <c r="BH933">
        <v>0.14000000000000001</v>
      </c>
      <c r="BI933">
        <v>-15.19</v>
      </c>
      <c r="BJ933">
        <v>26</v>
      </c>
      <c r="BK933">
        <v>6</v>
      </c>
      <c r="BL933">
        <v>-3.73</v>
      </c>
      <c r="BM933">
        <v>-1.92</v>
      </c>
      <c r="BN933">
        <v>-2.72</v>
      </c>
      <c r="BO933">
        <v>-0.54</v>
      </c>
      <c r="BP933">
        <v>-2.5</v>
      </c>
      <c r="BQ933">
        <v>-3.58</v>
      </c>
      <c r="BR933">
        <v>0.93</v>
      </c>
      <c r="BS933">
        <v>1.0900000000000001</v>
      </c>
      <c r="BT933">
        <v>-0.84</v>
      </c>
      <c r="BU933">
        <v>-1.87</v>
      </c>
      <c r="BV933">
        <v>-2.0099999999999998</v>
      </c>
      <c r="BW933">
        <v>-2.04</v>
      </c>
      <c r="BX933">
        <v>-3.54</v>
      </c>
      <c r="BY933">
        <v>-1.25</v>
      </c>
      <c r="BZ933">
        <v>-1.86</v>
      </c>
      <c r="CA933">
        <v>-1.74</v>
      </c>
      <c r="CB933">
        <v>-1.75</v>
      </c>
      <c r="CC933">
        <v>-0.53</v>
      </c>
      <c r="CD933">
        <v>-1.03</v>
      </c>
      <c r="CE933">
        <v>0.15</v>
      </c>
      <c r="CF933">
        <v>-3.63</v>
      </c>
      <c r="CG933">
        <v>0</v>
      </c>
      <c r="CH933">
        <v>-0.65</v>
      </c>
      <c r="CI933">
        <v>0</v>
      </c>
      <c r="CJ933">
        <v>-22.2</v>
      </c>
      <c r="CK933">
        <v>97</v>
      </c>
      <c r="CL933">
        <v>-0.64</v>
      </c>
      <c r="CM933">
        <v>96</v>
      </c>
      <c r="CN933">
        <v>0.01</v>
      </c>
      <c r="CO933">
        <v>95</v>
      </c>
      <c r="CP933">
        <v>-40.700000000000003</v>
      </c>
      <c r="CQ933">
        <v>93</v>
      </c>
      <c r="CR933">
        <v>0</v>
      </c>
      <c r="CS933">
        <v>0</v>
      </c>
      <c r="CT933">
        <v>-59.2</v>
      </c>
      <c r="CU933">
        <v>94</v>
      </c>
      <c r="CV933">
        <v>-0.16</v>
      </c>
      <c r="CW933">
        <v>46</v>
      </c>
      <c r="CX933" t="s">
        <v>4190</v>
      </c>
    </row>
    <row r="934" spans="1:102" x14ac:dyDescent="0.3">
      <c r="A934" t="str">
        <f>HYPERLINK("https://webapp.icbf.com/v2/app/bull-search/view/678696490","KRB")</f>
        <v>KRB</v>
      </c>
      <c r="B934" t="s">
        <v>5300</v>
      </c>
      <c r="C934" t="s">
        <v>5301</v>
      </c>
      <c r="D934" s="1">
        <v>39648</v>
      </c>
      <c r="E934" t="s">
        <v>227</v>
      </c>
      <c r="F934">
        <v>25</v>
      </c>
      <c r="G934" t="s">
        <v>93</v>
      </c>
      <c r="H934">
        <v>147.94999999999999</v>
      </c>
      <c r="I934">
        <v>78</v>
      </c>
      <c r="J934">
        <v>70.11</v>
      </c>
      <c r="K934">
        <v>92</v>
      </c>
      <c r="L934">
        <v>40.98</v>
      </c>
      <c r="M934">
        <v>66</v>
      </c>
      <c r="N934">
        <v>27.09</v>
      </c>
      <c r="O934">
        <v>77</v>
      </c>
      <c r="P934">
        <v>-45.04</v>
      </c>
      <c r="Q934">
        <v>86</v>
      </c>
      <c r="R934">
        <v>6.97</v>
      </c>
      <c r="S934">
        <v>62</v>
      </c>
      <c r="T934">
        <v>43.72</v>
      </c>
      <c r="U934">
        <v>79</v>
      </c>
      <c r="V934">
        <v>4.12</v>
      </c>
      <c r="W934">
        <v>61</v>
      </c>
      <c r="X934" t="s">
        <v>276</v>
      </c>
      <c r="Y934" t="s">
        <v>1775</v>
      </c>
      <c r="Z934" t="s">
        <v>330</v>
      </c>
      <c r="AA934" t="s">
        <v>5302</v>
      </c>
      <c r="AB934" t="s">
        <v>144</v>
      </c>
      <c r="AC934">
        <v>53</v>
      </c>
      <c r="AD934">
        <v>31</v>
      </c>
      <c r="AE934">
        <v>92</v>
      </c>
      <c r="AF934">
        <v>-174.43</v>
      </c>
      <c r="AG934">
        <v>11.32</v>
      </c>
      <c r="AH934">
        <v>5.25</v>
      </c>
      <c r="AI934">
        <v>0.31</v>
      </c>
      <c r="AJ934">
        <v>0.19</v>
      </c>
      <c r="AK934">
        <v>66</v>
      </c>
      <c r="AL934">
        <v>53</v>
      </c>
      <c r="AM934">
        <v>32</v>
      </c>
      <c r="AN934">
        <v>-2.1</v>
      </c>
      <c r="AO934">
        <v>1.17</v>
      </c>
      <c r="AP934">
        <v>156</v>
      </c>
      <c r="AQ934">
        <v>1</v>
      </c>
      <c r="AR934">
        <v>3.43</v>
      </c>
      <c r="AS934">
        <v>77</v>
      </c>
      <c r="AT934">
        <v>1.63</v>
      </c>
      <c r="AU934">
        <v>73</v>
      </c>
      <c r="AV934">
        <v>-2.54</v>
      </c>
      <c r="AW934">
        <v>95</v>
      </c>
      <c r="AX934">
        <v>2.9</v>
      </c>
      <c r="AY934">
        <v>71</v>
      </c>
      <c r="AZ934">
        <v>8.25</v>
      </c>
      <c r="BA934">
        <v>45</v>
      </c>
      <c r="BB934">
        <v>5.38</v>
      </c>
      <c r="BC934">
        <v>43</v>
      </c>
      <c r="BD934">
        <v>-0.05</v>
      </c>
      <c r="BE934">
        <v>-0.03</v>
      </c>
      <c r="BF934">
        <v>-0.02</v>
      </c>
      <c r="BG934">
        <v>80</v>
      </c>
      <c r="BH934">
        <v>7.0000000000000007E-2</v>
      </c>
      <c r="BI934">
        <v>-5.2</v>
      </c>
      <c r="BJ934">
        <v>0</v>
      </c>
      <c r="BK934">
        <v>0</v>
      </c>
      <c r="BL934">
        <v>-1.95</v>
      </c>
      <c r="BM934">
        <v>0.55000000000000004</v>
      </c>
      <c r="BN934">
        <v>-0.78</v>
      </c>
      <c r="BO934">
        <v>0</v>
      </c>
      <c r="BP934">
        <v>2.81</v>
      </c>
      <c r="BQ934">
        <v>-3.02</v>
      </c>
      <c r="BR934">
        <v>2.2799999999999998</v>
      </c>
      <c r="BS934">
        <v>0</v>
      </c>
      <c r="BT934">
        <v>0</v>
      </c>
      <c r="BU934">
        <v>-1.51</v>
      </c>
      <c r="BV934">
        <v>-2</v>
      </c>
      <c r="BW934">
        <v>-2.19</v>
      </c>
      <c r="BX934">
        <v>0</v>
      </c>
      <c r="BY934">
        <v>-1.28</v>
      </c>
      <c r="BZ934">
        <v>0</v>
      </c>
      <c r="CA934">
        <v>-1.36</v>
      </c>
      <c r="CB934">
        <v>-1.72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-22.6</v>
      </c>
      <c r="CK934">
        <v>89</v>
      </c>
      <c r="CL934">
        <v>-0.99</v>
      </c>
      <c r="CM934">
        <v>85</v>
      </c>
      <c r="CN934">
        <v>-0.12</v>
      </c>
      <c r="CO934">
        <v>83</v>
      </c>
      <c r="CP934">
        <v>-33.6</v>
      </c>
      <c r="CQ934">
        <v>76</v>
      </c>
      <c r="CR934">
        <v>0</v>
      </c>
      <c r="CS934">
        <v>0</v>
      </c>
      <c r="CT934">
        <v>-45.3</v>
      </c>
      <c r="CU934">
        <v>79</v>
      </c>
      <c r="CV934">
        <v>-0.14000000000000001</v>
      </c>
      <c r="CW934">
        <v>26</v>
      </c>
      <c r="CX934" t="s">
        <v>320</v>
      </c>
    </row>
    <row r="935" spans="1:102" x14ac:dyDescent="0.3">
      <c r="A935" t="str">
        <f>HYPERLINK("https://webapp.icbf.com/v2/app/bull-search/view/1086376322","S1579")</f>
        <v>S1579</v>
      </c>
      <c r="B935" t="s">
        <v>13276</v>
      </c>
      <c r="C935" t="s">
        <v>6031</v>
      </c>
      <c r="D935" s="1">
        <v>40934</v>
      </c>
      <c r="E935" t="s">
        <v>92</v>
      </c>
      <c r="F935">
        <v>100</v>
      </c>
      <c r="G935" t="s">
        <v>93</v>
      </c>
      <c r="H935">
        <v>147.93</v>
      </c>
      <c r="I935">
        <v>94</v>
      </c>
      <c r="J935">
        <v>85.01</v>
      </c>
      <c r="K935">
        <v>99</v>
      </c>
      <c r="L935">
        <v>25.2</v>
      </c>
      <c r="M935">
        <v>92</v>
      </c>
      <c r="N935">
        <v>32.22</v>
      </c>
      <c r="O935">
        <v>95</v>
      </c>
      <c r="P935">
        <v>1.1000000000000001</v>
      </c>
      <c r="Q935">
        <v>98</v>
      </c>
      <c r="R935">
        <v>5.52</v>
      </c>
      <c r="S935">
        <v>87</v>
      </c>
      <c r="T935">
        <v>0.95</v>
      </c>
      <c r="U935">
        <v>90</v>
      </c>
      <c r="V935">
        <v>-2.0699999999999998</v>
      </c>
      <c r="W935">
        <v>76</v>
      </c>
      <c r="X935" t="s">
        <v>94</v>
      </c>
      <c r="Y935" t="s">
        <v>362</v>
      </c>
      <c r="Z935" t="s">
        <v>96</v>
      </c>
      <c r="AA935" t="s">
        <v>2067</v>
      </c>
      <c r="AB935" t="s">
        <v>13277</v>
      </c>
      <c r="AC935">
        <v>1039</v>
      </c>
      <c r="AD935">
        <v>248</v>
      </c>
      <c r="AE935">
        <v>99</v>
      </c>
      <c r="AF935">
        <v>413.17</v>
      </c>
      <c r="AG935">
        <v>14.08</v>
      </c>
      <c r="AH935">
        <v>15.8</v>
      </c>
      <c r="AI935">
        <v>-0.03</v>
      </c>
      <c r="AJ935">
        <v>0.03</v>
      </c>
      <c r="AK935">
        <v>92</v>
      </c>
      <c r="AL935">
        <v>856</v>
      </c>
      <c r="AM935">
        <v>224</v>
      </c>
      <c r="AN935">
        <v>-1.32</v>
      </c>
      <c r="AO935">
        <v>0.69</v>
      </c>
      <c r="AP935">
        <v>1701</v>
      </c>
      <c r="AQ935">
        <v>7</v>
      </c>
      <c r="AR935">
        <v>7.37</v>
      </c>
      <c r="AS935">
        <v>98</v>
      </c>
      <c r="AT935">
        <v>2.52</v>
      </c>
      <c r="AU935">
        <v>96</v>
      </c>
      <c r="AV935">
        <v>-2.66</v>
      </c>
      <c r="AW935">
        <v>99</v>
      </c>
      <c r="AX935">
        <v>-0.56999999999999995</v>
      </c>
      <c r="AY935">
        <v>97</v>
      </c>
      <c r="AZ935">
        <v>5.32</v>
      </c>
      <c r="BA935">
        <v>92</v>
      </c>
      <c r="BB935">
        <v>4.47</v>
      </c>
      <c r="BC935">
        <v>83</v>
      </c>
      <c r="BD935">
        <v>0.03</v>
      </c>
      <c r="BE935">
        <v>-0.03</v>
      </c>
      <c r="BF935">
        <v>-0.12</v>
      </c>
      <c r="BG935">
        <v>98</v>
      </c>
      <c r="BH935">
        <v>-0.06</v>
      </c>
      <c r="BI935">
        <v>-0.25</v>
      </c>
      <c r="BJ935">
        <v>363</v>
      </c>
      <c r="BK935">
        <v>85</v>
      </c>
      <c r="BL935">
        <v>1.75</v>
      </c>
      <c r="BM935">
        <v>-2.4900000000000002</v>
      </c>
      <c r="BN935">
        <v>-1.66</v>
      </c>
      <c r="BO935">
        <v>0.97</v>
      </c>
      <c r="BP935">
        <v>0.61</v>
      </c>
      <c r="BQ935">
        <v>0.08</v>
      </c>
      <c r="BR935">
        <v>0.11</v>
      </c>
      <c r="BS935">
        <v>1.4</v>
      </c>
      <c r="BT935">
        <v>1.01</v>
      </c>
      <c r="BU935">
        <v>0.78</v>
      </c>
      <c r="BV935">
        <v>1.47</v>
      </c>
      <c r="BW935">
        <v>1.57</v>
      </c>
      <c r="BX935">
        <v>1.31</v>
      </c>
      <c r="BY935">
        <v>2.2200000000000002</v>
      </c>
      <c r="BZ935">
        <v>0.93</v>
      </c>
      <c r="CA935">
        <v>1.67</v>
      </c>
      <c r="CB935">
        <v>1.53</v>
      </c>
      <c r="CC935">
        <v>0.71</v>
      </c>
      <c r="CD935">
        <v>-1.74</v>
      </c>
      <c r="CE935">
        <v>1.2</v>
      </c>
      <c r="CF935">
        <v>0.03</v>
      </c>
      <c r="CG935">
        <v>0</v>
      </c>
      <c r="CH935">
        <v>2.13</v>
      </c>
      <c r="CI935">
        <v>0</v>
      </c>
      <c r="CJ935">
        <v>3</v>
      </c>
      <c r="CK935">
        <v>99</v>
      </c>
      <c r="CL935">
        <v>-1.1299999999999999</v>
      </c>
      <c r="CM935">
        <v>98</v>
      </c>
      <c r="CN935">
        <v>-0.7</v>
      </c>
      <c r="CO935">
        <v>98</v>
      </c>
      <c r="CP935">
        <v>2.8</v>
      </c>
      <c r="CQ935">
        <v>92</v>
      </c>
      <c r="CR935">
        <v>0</v>
      </c>
      <c r="CS935">
        <v>0</v>
      </c>
      <c r="CT935">
        <v>12.5</v>
      </c>
      <c r="CU935">
        <v>90</v>
      </c>
      <c r="CV935">
        <v>0.34</v>
      </c>
      <c r="CW935">
        <v>46</v>
      </c>
      <c r="CX935" t="s">
        <v>13278</v>
      </c>
    </row>
    <row r="936" spans="1:102" x14ac:dyDescent="0.3">
      <c r="A936" t="str">
        <f>HYPERLINK("https://webapp.icbf.com/v2/app/bull-search/view/914975568","S1166")</f>
        <v>S1166</v>
      </c>
      <c r="B936" t="s">
        <v>12948</v>
      </c>
      <c r="C936" t="s">
        <v>12949</v>
      </c>
      <c r="D936" s="1">
        <v>40318</v>
      </c>
      <c r="E936" t="s">
        <v>92</v>
      </c>
      <c r="F936">
        <v>100</v>
      </c>
      <c r="G936" t="s">
        <v>109</v>
      </c>
      <c r="H936">
        <v>147.85</v>
      </c>
      <c r="I936">
        <v>76</v>
      </c>
      <c r="J936">
        <v>71.12</v>
      </c>
      <c r="K936">
        <v>92</v>
      </c>
      <c r="L936">
        <v>42.81</v>
      </c>
      <c r="M936">
        <v>81</v>
      </c>
      <c r="N936">
        <v>31.67</v>
      </c>
      <c r="O936">
        <v>56</v>
      </c>
      <c r="P936">
        <v>-16.52</v>
      </c>
      <c r="Q936">
        <v>51</v>
      </c>
      <c r="R936">
        <v>8.6300000000000008</v>
      </c>
      <c r="S936">
        <v>73</v>
      </c>
      <c r="T936">
        <v>-0.09</v>
      </c>
      <c r="U936">
        <v>46</v>
      </c>
      <c r="V936">
        <v>10.23</v>
      </c>
      <c r="W936">
        <v>60</v>
      </c>
      <c r="X936" t="s">
        <v>251</v>
      </c>
      <c r="Y936" t="s">
        <v>336</v>
      </c>
      <c r="Z936" t="s">
        <v>96</v>
      </c>
      <c r="AA936" t="s">
        <v>1572</v>
      </c>
      <c r="AB936" t="s">
        <v>12950</v>
      </c>
      <c r="AC936">
        <v>0</v>
      </c>
      <c r="AD936">
        <v>0</v>
      </c>
      <c r="AE936">
        <v>92</v>
      </c>
      <c r="AF936">
        <v>330.31</v>
      </c>
      <c r="AG936">
        <v>13.32</v>
      </c>
      <c r="AH936">
        <v>12.44</v>
      </c>
      <c r="AI936">
        <v>0.01</v>
      </c>
      <c r="AJ936">
        <v>0.02</v>
      </c>
      <c r="AK936">
        <v>81</v>
      </c>
      <c r="AL936">
        <v>0</v>
      </c>
      <c r="AM936">
        <v>0</v>
      </c>
      <c r="AN936">
        <v>-1.89</v>
      </c>
      <c r="AO936">
        <v>1.53</v>
      </c>
      <c r="AP936">
        <v>5</v>
      </c>
      <c r="AQ936">
        <v>0</v>
      </c>
      <c r="AR936">
        <v>5.04</v>
      </c>
      <c r="AS936">
        <v>58</v>
      </c>
      <c r="AT936">
        <v>1.7</v>
      </c>
      <c r="AU936">
        <v>85</v>
      </c>
      <c r="AV936">
        <v>-2.02</v>
      </c>
      <c r="AW936">
        <v>46</v>
      </c>
      <c r="AX936">
        <v>0.59</v>
      </c>
      <c r="AY936">
        <v>45</v>
      </c>
      <c r="AZ936">
        <v>6.06</v>
      </c>
      <c r="BA936">
        <v>47</v>
      </c>
      <c r="BB936">
        <v>4.91</v>
      </c>
      <c r="BC936">
        <v>46</v>
      </c>
      <c r="BD936">
        <v>-0.02</v>
      </c>
      <c r="BE936">
        <v>-0.05</v>
      </c>
      <c r="BF936">
        <v>-7.0000000000000007E-2</v>
      </c>
      <c r="BG936">
        <v>88</v>
      </c>
      <c r="BH936">
        <v>0.08</v>
      </c>
      <c r="BI936">
        <v>-23.76</v>
      </c>
      <c r="BJ936">
        <v>0</v>
      </c>
      <c r="BK936">
        <v>0</v>
      </c>
      <c r="BL936">
        <v>1.02</v>
      </c>
      <c r="BM936">
        <v>-3.43</v>
      </c>
      <c r="BN936">
        <v>-1.05</v>
      </c>
      <c r="BO936">
        <v>1.35</v>
      </c>
      <c r="BP936">
        <v>-0.15</v>
      </c>
      <c r="BQ936">
        <v>-1.07</v>
      </c>
      <c r="BR936">
        <v>0.86</v>
      </c>
      <c r="BS936">
        <v>0.64</v>
      </c>
      <c r="BT936">
        <v>-0.15</v>
      </c>
      <c r="BU936">
        <v>1.35</v>
      </c>
      <c r="BV936">
        <v>2.2999999999999998</v>
      </c>
      <c r="BW936">
        <v>2.77</v>
      </c>
      <c r="BX936">
        <v>1.88</v>
      </c>
      <c r="BY936">
        <v>0.84</v>
      </c>
      <c r="BZ936">
        <v>1.07</v>
      </c>
      <c r="CA936">
        <v>1.33</v>
      </c>
      <c r="CB936">
        <v>1.35</v>
      </c>
      <c r="CC936">
        <v>0.42</v>
      </c>
      <c r="CD936">
        <v>-0.98</v>
      </c>
      <c r="CE936">
        <v>0.69</v>
      </c>
      <c r="CF936">
        <v>0.4</v>
      </c>
      <c r="CG936">
        <v>0</v>
      </c>
      <c r="CH936">
        <v>0.99</v>
      </c>
      <c r="CI936">
        <v>0</v>
      </c>
      <c r="CJ936">
        <v>-7.7</v>
      </c>
      <c r="CK936">
        <v>52</v>
      </c>
      <c r="CL936">
        <v>-1.29</v>
      </c>
      <c r="CM936">
        <v>51</v>
      </c>
      <c r="CN936">
        <v>-0.69</v>
      </c>
      <c r="CO936">
        <v>51</v>
      </c>
      <c r="CP936">
        <v>-4.4000000000000004</v>
      </c>
      <c r="CQ936">
        <v>47</v>
      </c>
      <c r="CR936">
        <v>0</v>
      </c>
      <c r="CS936">
        <v>0</v>
      </c>
      <c r="CT936">
        <v>13.9</v>
      </c>
      <c r="CU936">
        <v>46</v>
      </c>
      <c r="CV936">
        <v>0.22</v>
      </c>
      <c r="CW936">
        <v>37</v>
      </c>
      <c r="CX936" t="s">
        <v>309</v>
      </c>
    </row>
    <row r="937" spans="1:102" x14ac:dyDescent="0.3">
      <c r="A937" t="str">
        <f>HYPERLINK("https://webapp.icbf.com/v2/app/bull-search/view/556898821","CGB")</f>
        <v>CGB</v>
      </c>
      <c r="B937" t="s">
        <v>7507</v>
      </c>
      <c r="C937" t="s">
        <v>7508</v>
      </c>
      <c r="D937" s="1">
        <v>39461</v>
      </c>
      <c r="E937" t="s">
        <v>108</v>
      </c>
      <c r="F937">
        <v>3</v>
      </c>
      <c r="G937" t="s">
        <v>93</v>
      </c>
      <c r="H937">
        <v>147.77000000000001</v>
      </c>
      <c r="I937">
        <v>91</v>
      </c>
      <c r="J937">
        <v>-12.53</v>
      </c>
      <c r="K937">
        <v>98</v>
      </c>
      <c r="L937">
        <v>125.41</v>
      </c>
      <c r="M937">
        <v>83</v>
      </c>
      <c r="N937">
        <v>19.36</v>
      </c>
      <c r="O937">
        <v>90</v>
      </c>
      <c r="P937">
        <v>-11.72</v>
      </c>
      <c r="Q937">
        <v>95</v>
      </c>
      <c r="R937">
        <v>8.19</v>
      </c>
      <c r="S937">
        <v>86</v>
      </c>
      <c r="T937">
        <v>21.74</v>
      </c>
      <c r="U937">
        <v>90</v>
      </c>
      <c r="V937">
        <v>-2.68</v>
      </c>
      <c r="W937">
        <v>89</v>
      </c>
      <c r="X937" t="s">
        <v>102</v>
      </c>
      <c r="Y937" t="s">
        <v>1374</v>
      </c>
      <c r="Z937" t="s">
        <v>96</v>
      </c>
      <c r="AA937" t="s">
        <v>1543</v>
      </c>
      <c r="AB937" t="s">
        <v>7509</v>
      </c>
      <c r="AC937">
        <v>151</v>
      </c>
      <c r="AD937">
        <v>92</v>
      </c>
      <c r="AE937">
        <v>98</v>
      </c>
      <c r="AF937">
        <v>-96.58</v>
      </c>
      <c r="AG937">
        <v>1.87</v>
      </c>
      <c r="AH937">
        <v>-4.2699999999999996</v>
      </c>
      <c r="AI937">
        <v>0.1</v>
      </c>
      <c r="AJ937">
        <v>-0.02</v>
      </c>
      <c r="AK937">
        <v>83</v>
      </c>
      <c r="AL937">
        <v>156</v>
      </c>
      <c r="AM937">
        <v>92</v>
      </c>
      <c r="AN937">
        <v>-6.91</v>
      </c>
      <c r="AO937">
        <v>3.09</v>
      </c>
      <c r="AP937">
        <v>305</v>
      </c>
      <c r="AQ937">
        <v>1</v>
      </c>
      <c r="AR937">
        <v>7.67</v>
      </c>
      <c r="AS937">
        <v>78</v>
      </c>
      <c r="AT937">
        <v>3.18</v>
      </c>
      <c r="AU937">
        <v>91</v>
      </c>
      <c r="AV937">
        <v>-2.04</v>
      </c>
      <c r="AW937">
        <v>97</v>
      </c>
      <c r="AX937">
        <v>0.12</v>
      </c>
      <c r="AY937">
        <v>88</v>
      </c>
      <c r="AZ937">
        <v>5.41</v>
      </c>
      <c r="BA937">
        <v>73</v>
      </c>
      <c r="BB937">
        <v>4.4400000000000004</v>
      </c>
      <c r="BC937">
        <v>77</v>
      </c>
      <c r="BD937">
        <v>0.01</v>
      </c>
      <c r="BE937">
        <v>-0.05</v>
      </c>
      <c r="BF937">
        <v>-0.11</v>
      </c>
      <c r="BG937">
        <v>92</v>
      </c>
      <c r="BH937">
        <v>-0.06</v>
      </c>
      <c r="BI937">
        <v>1.72</v>
      </c>
      <c r="BJ937">
        <v>16</v>
      </c>
      <c r="BK937">
        <v>11</v>
      </c>
      <c r="BL937">
        <v>-2.02</v>
      </c>
      <c r="BM937">
        <v>2.04</v>
      </c>
      <c r="BN937">
        <v>-1.32</v>
      </c>
      <c r="BO937">
        <v>-2.48</v>
      </c>
      <c r="BP937">
        <v>0.26</v>
      </c>
      <c r="BQ937">
        <v>2.48</v>
      </c>
      <c r="BR937">
        <v>-1.51</v>
      </c>
      <c r="BS937">
        <v>1.06</v>
      </c>
      <c r="BT937">
        <v>1.59</v>
      </c>
      <c r="BU937">
        <v>-2.16</v>
      </c>
      <c r="BV937">
        <v>-1.37</v>
      </c>
      <c r="BW937">
        <v>-0.47</v>
      </c>
      <c r="BX937">
        <v>-1.77</v>
      </c>
      <c r="BY937">
        <v>-0.19</v>
      </c>
      <c r="BZ937">
        <v>-0.65</v>
      </c>
      <c r="CA937">
        <v>-1.04</v>
      </c>
      <c r="CB937">
        <v>-1.6</v>
      </c>
      <c r="CC937">
        <v>0.43</v>
      </c>
      <c r="CD937">
        <v>2.41</v>
      </c>
      <c r="CE937">
        <v>-1.88</v>
      </c>
      <c r="CF937">
        <v>-0.53</v>
      </c>
      <c r="CG937">
        <v>0</v>
      </c>
      <c r="CH937">
        <v>-0.62</v>
      </c>
      <c r="CI937">
        <v>0</v>
      </c>
      <c r="CJ937">
        <v>-7.1</v>
      </c>
      <c r="CK937">
        <v>96</v>
      </c>
      <c r="CL937">
        <v>-0.14000000000000001</v>
      </c>
      <c r="CM937">
        <v>95</v>
      </c>
      <c r="CN937">
        <v>-0.1</v>
      </c>
      <c r="CO937">
        <v>95</v>
      </c>
      <c r="CP937">
        <v>-11</v>
      </c>
      <c r="CQ937">
        <v>91</v>
      </c>
      <c r="CR937">
        <v>0</v>
      </c>
      <c r="CS937">
        <v>0</v>
      </c>
      <c r="CT937">
        <v>-15.6</v>
      </c>
      <c r="CU937">
        <v>90</v>
      </c>
      <c r="CV937">
        <v>-0.05</v>
      </c>
      <c r="CW937">
        <v>46</v>
      </c>
      <c r="CX937" t="s">
        <v>847</v>
      </c>
    </row>
    <row r="938" spans="1:102" x14ac:dyDescent="0.3">
      <c r="A938" t="str">
        <f>HYPERLINK("https://webapp.icbf.com/v2/app/bull-search/view/533414301","LDF")</f>
        <v>LDF</v>
      </c>
      <c r="B938" t="s">
        <v>7951</v>
      </c>
      <c r="C938" t="s">
        <v>7952</v>
      </c>
      <c r="D938" s="1">
        <v>39338</v>
      </c>
      <c r="E938" t="s">
        <v>92</v>
      </c>
      <c r="F938">
        <v>100</v>
      </c>
      <c r="G938" t="s">
        <v>93</v>
      </c>
      <c r="H938">
        <v>147.72</v>
      </c>
      <c r="I938">
        <v>94</v>
      </c>
      <c r="J938">
        <v>65.34</v>
      </c>
      <c r="K938">
        <v>99</v>
      </c>
      <c r="L938">
        <v>17.32</v>
      </c>
      <c r="M938">
        <v>89</v>
      </c>
      <c r="N938">
        <v>53.79</v>
      </c>
      <c r="O938">
        <v>95</v>
      </c>
      <c r="P938">
        <v>-3.23</v>
      </c>
      <c r="Q938">
        <v>98</v>
      </c>
      <c r="R938">
        <v>5.71</v>
      </c>
      <c r="S938">
        <v>89</v>
      </c>
      <c r="T938">
        <v>5.46</v>
      </c>
      <c r="U938">
        <v>95</v>
      </c>
      <c r="V938">
        <v>3.33</v>
      </c>
      <c r="W938">
        <v>89</v>
      </c>
      <c r="X938" t="s">
        <v>102</v>
      </c>
      <c r="Y938" t="s">
        <v>4217</v>
      </c>
      <c r="Z938" t="s">
        <v>96</v>
      </c>
      <c r="AA938" t="s">
        <v>358</v>
      </c>
      <c r="AB938" t="s">
        <v>7953</v>
      </c>
      <c r="AC938">
        <v>541</v>
      </c>
      <c r="AD938">
        <v>216</v>
      </c>
      <c r="AE938">
        <v>99</v>
      </c>
      <c r="AF938">
        <v>331.95</v>
      </c>
      <c r="AG938">
        <v>9.6199999999999992</v>
      </c>
      <c r="AH938">
        <v>12.79</v>
      </c>
      <c r="AI938">
        <v>-0.06</v>
      </c>
      <c r="AJ938">
        <v>0.03</v>
      </c>
      <c r="AK938">
        <v>89</v>
      </c>
      <c r="AL938">
        <v>597</v>
      </c>
      <c r="AM938">
        <v>244</v>
      </c>
      <c r="AN938">
        <v>-0.26</v>
      </c>
      <c r="AO938">
        <v>1.1299999999999999</v>
      </c>
      <c r="AP938">
        <v>1175</v>
      </c>
      <c r="AQ938">
        <v>9</v>
      </c>
      <c r="AR938">
        <v>3.83</v>
      </c>
      <c r="AS938">
        <v>95</v>
      </c>
      <c r="AT938">
        <v>1.64</v>
      </c>
      <c r="AU938">
        <v>96</v>
      </c>
      <c r="AV938">
        <v>-4.08</v>
      </c>
      <c r="AW938">
        <v>99</v>
      </c>
      <c r="AX938">
        <v>-0.3</v>
      </c>
      <c r="AY938">
        <v>96</v>
      </c>
      <c r="AZ938">
        <v>5.29</v>
      </c>
      <c r="BA938">
        <v>88</v>
      </c>
      <c r="BB938">
        <v>4.91</v>
      </c>
      <c r="BC938">
        <v>84</v>
      </c>
      <c r="BD938">
        <v>0.01</v>
      </c>
      <c r="BE938">
        <v>-0.02</v>
      </c>
      <c r="BF938">
        <v>-0.11</v>
      </c>
      <c r="BG938">
        <v>96</v>
      </c>
      <c r="BH938">
        <v>0.03</v>
      </c>
      <c r="BI938">
        <v>-7.26</v>
      </c>
      <c r="BJ938">
        <v>88</v>
      </c>
      <c r="BK938">
        <v>28</v>
      </c>
      <c r="BL938">
        <v>0.68</v>
      </c>
      <c r="BM938">
        <v>-0.4</v>
      </c>
      <c r="BN938">
        <v>7.0000000000000007E-2</v>
      </c>
      <c r="BO938">
        <v>0.71</v>
      </c>
      <c r="BP938">
        <v>2.09</v>
      </c>
      <c r="BQ938">
        <v>1.9</v>
      </c>
      <c r="BR938">
        <v>1.68</v>
      </c>
      <c r="BS938">
        <v>0.89</v>
      </c>
      <c r="BT938">
        <v>-1.51</v>
      </c>
      <c r="BU938">
        <v>1.21</v>
      </c>
      <c r="BV938">
        <v>0.92</v>
      </c>
      <c r="BW938">
        <v>0.86</v>
      </c>
      <c r="BX938">
        <v>1.76</v>
      </c>
      <c r="BY938">
        <v>2.77</v>
      </c>
      <c r="BZ938">
        <v>-1.1000000000000001</v>
      </c>
      <c r="CA938">
        <v>1.47</v>
      </c>
      <c r="CB938">
        <v>1.67</v>
      </c>
      <c r="CC938">
        <v>0.46</v>
      </c>
      <c r="CD938">
        <v>-0.91</v>
      </c>
      <c r="CE938">
        <v>0.79</v>
      </c>
      <c r="CF938">
        <v>0.96</v>
      </c>
      <c r="CG938">
        <v>0</v>
      </c>
      <c r="CH938">
        <v>2.5099999999999998</v>
      </c>
      <c r="CI938">
        <v>0</v>
      </c>
      <c r="CJ938">
        <v>1</v>
      </c>
      <c r="CK938">
        <v>99</v>
      </c>
      <c r="CL938">
        <v>-1.05</v>
      </c>
      <c r="CM938">
        <v>98</v>
      </c>
      <c r="CN938">
        <v>-0.51</v>
      </c>
      <c r="CO938">
        <v>98</v>
      </c>
      <c r="CP938">
        <v>1.7</v>
      </c>
      <c r="CQ938">
        <v>94</v>
      </c>
      <c r="CR938">
        <v>0</v>
      </c>
      <c r="CS938">
        <v>0</v>
      </c>
      <c r="CT938">
        <v>6.4</v>
      </c>
      <c r="CU938">
        <v>95</v>
      </c>
      <c r="CV938">
        <v>0.17</v>
      </c>
      <c r="CW938">
        <v>47</v>
      </c>
      <c r="CX938" t="s">
        <v>316</v>
      </c>
    </row>
    <row r="939" spans="1:102" x14ac:dyDescent="0.3">
      <c r="A939" t="str">
        <f>HYPERLINK("https://webapp.icbf.com/v2/app/bull-search/view/550978538","WIU")</f>
        <v>WIU</v>
      </c>
      <c r="B939" t="s">
        <v>14636</v>
      </c>
      <c r="C939" t="s">
        <v>14637</v>
      </c>
      <c r="D939" s="1">
        <v>38576</v>
      </c>
      <c r="E939" t="s">
        <v>227</v>
      </c>
      <c r="F939">
        <v>0</v>
      </c>
      <c r="G939" t="s">
        <v>93</v>
      </c>
      <c r="H939">
        <v>147.71</v>
      </c>
      <c r="I939">
        <v>96</v>
      </c>
      <c r="J939">
        <v>110.29</v>
      </c>
      <c r="K939">
        <v>99</v>
      </c>
      <c r="L939">
        <v>-23.07</v>
      </c>
      <c r="M939">
        <v>93</v>
      </c>
      <c r="N939">
        <v>40.380000000000003</v>
      </c>
      <c r="O939">
        <v>97</v>
      </c>
      <c r="P939">
        <v>-46.15</v>
      </c>
      <c r="Q939">
        <v>99</v>
      </c>
      <c r="R939">
        <v>0.62</v>
      </c>
      <c r="S939">
        <v>95</v>
      </c>
      <c r="T939">
        <v>50.16</v>
      </c>
      <c r="U939">
        <v>98</v>
      </c>
      <c r="V939">
        <v>15.48</v>
      </c>
      <c r="W939">
        <v>96</v>
      </c>
      <c r="X939" t="s">
        <v>276</v>
      </c>
      <c r="Y939" t="s">
        <v>8249</v>
      </c>
      <c r="Z939">
        <v>0</v>
      </c>
      <c r="AA939" t="s">
        <v>1525</v>
      </c>
      <c r="AB939" t="s">
        <v>14638</v>
      </c>
      <c r="AC939">
        <v>831</v>
      </c>
      <c r="AD939">
        <v>259</v>
      </c>
      <c r="AE939">
        <v>99</v>
      </c>
      <c r="AF939">
        <v>-161.94</v>
      </c>
      <c r="AG939">
        <v>21.82</v>
      </c>
      <c r="AH939">
        <v>8.56</v>
      </c>
      <c r="AI939">
        <v>0.5</v>
      </c>
      <c r="AJ939">
        <v>0.25</v>
      </c>
      <c r="AK939">
        <v>93</v>
      </c>
      <c r="AL939">
        <v>857</v>
      </c>
      <c r="AM939">
        <v>248</v>
      </c>
      <c r="AN939">
        <v>2.0099999999999998</v>
      </c>
      <c r="AO939">
        <v>0.18</v>
      </c>
      <c r="AP939">
        <v>1427</v>
      </c>
      <c r="AQ939">
        <v>12</v>
      </c>
      <c r="AR939">
        <v>2.16</v>
      </c>
      <c r="AS939">
        <v>97</v>
      </c>
      <c r="AT939">
        <v>1.26</v>
      </c>
      <c r="AU939">
        <v>97</v>
      </c>
      <c r="AV939">
        <v>-3.23</v>
      </c>
      <c r="AW939">
        <v>99</v>
      </c>
      <c r="AX939">
        <v>0.2</v>
      </c>
      <c r="AY939">
        <v>97</v>
      </c>
      <c r="AZ939">
        <v>7.45</v>
      </c>
      <c r="BA939">
        <v>93</v>
      </c>
      <c r="BB939">
        <v>6.09</v>
      </c>
      <c r="BC939">
        <v>94</v>
      </c>
      <c r="BD939">
        <v>-0.05</v>
      </c>
      <c r="BE939">
        <v>0.01</v>
      </c>
      <c r="BF939">
        <v>0.05</v>
      </c>
      <c r="BG939">
        <v>98</v>
      </c>
      <c r="BH939">
        <v>0.23</v>
      </c>
      <c r="BI939">
        <v>-23.33</v>
      </c>
      <c r="BJ939">
        <v>8</v>
      </c>
      <c r="BK939">
        <v>8</v>
      </c>
      <c r="BL939">
        <v>-3.23</v>
      </c>
      <c r="BM939">
        <v>-2.06</v>
      </c>
      <c r="BN939">
        <v>-0.67</v>
      </c>
      <c r="BO939">
        <v>1.1100000000000001</v>
      </c>
      <c r="BP939">
        <v>0.96</v>
      </c>
      <c r="BQ939">
        <v>-6.92</v>
      </c>
      <c r="BR939">
        <v>4.0199999999999996</v>
      </c>
      <c r="BS939">
        <v>4.4800000000000004</v>
      </c>
      <c r="BT939">
        <v>-2.73</v>
      </c>
      <c r="BU939">
        <v>-0.74</v>
      </c>
      <c r="BV939">
        <v>-0.35</v>
      </c>
      <c r="BW939">
        <v>-2.1</v>
      </c>
      <c r="BX939">
        <v>-4.04</v>
      </c>
      <c r="BY939">
        <v>-0.86</v>
      </c>
      <c r="BZ939">
        <v>-0.36</v>
      </c>
      <c r="CA939">
        <v>1.06</v>
      </c>
      <c r="CB939">
        <v>0.24</v>
      </c>
      <c r="CC939">
        <v>2.41</v>
      </c>
      <c r="CD939">
        <v>-1.95</v>
      </c>
      <c r="CE939">
        <v>0.82</v>
      </c>
      <c r="CF939">
        <v>-3.53</v>
      </c>
      <c r="CG939">
        <v>0</v>
      </c>
      <c r="CH939">
        <v>-1.33</v>
      </c>
      <c r="CI939">
        <v>0</v>
      </c>
      <c r="CJ939">
        <v>-23.6</v>
      </c>
      <c r="CK939">
        <v>99</v>
      </c>
      <c r="CL939">
        <v>-0.96</v>
      </c>
      <c r="CM939">
        <v>99</v>
      </c>
      <c r="CN939">
        <v>-0.2</v>
      </c>
      <c r="CO939">
        <v>98</v>
      </c>
      <c r="CP939">
        <v>-40.1</v>
      </c>
      <c r="CQ939">
        <v>98</v>
      </c>
      <c r="CR939">
        <v>0</v>
      </c>
      <c r="CS939">
        <v>0</v>
      </c>
      <c r="CT939">
        <v>-54</v>
      </c>
      <c r="CU939">
        <v>98</v>
      </c>
      <c r="CV939">
        <v>-0.19</v>
      </c>
      <c r="CW939">
        <v>46</v>
      </c>
      <c r="CX939" t="s">
        <v>8129</v>
      </c>
    </row>
    <row r="940" spans="1:102" x14ac:dyDescent="0.3">
      <c r="A940" t="str">
        <f>HYPERLINK("https://webapp.icbf.com/v2/app/bull-search/view/1054589114","ZFG")</f>
        <v>ZFG</v>
      </c>
      <c r="B940" t="s">
        <v>9760</v>
      </c>
      <c r="C940" t="s">
        <v>9761</v>
      </c>
      <c r="D940" s="1">
        <v>41348</v>
      </c>
      <c r="E940" t="s">
        <v>92</v>
      </c>
      <c r="F940">
        <v>69</v>
      </c>
      <c r="G940" t="s">
        <v>93</v>
      </c>
      <c r="H940">
        <v>147.69999999999999</v>
      </c>
      <c r="I940">
        <v>90</v>
      </c>
      <c r="J940">
        <v>97.39</v>
      </c>
      <c r="K940">
        <v>99</v>
      </c>
      <c r="L940">
        <v>57.49</v>
      </c>
      <c r="M940">
        <v>82</v>
      </c>
      <c r="N940">
        <v>-5.37</v>
      </c>
      <c r="O940">
        <v>93</v>
      </c>
      <c r="P940">
        <v>-5.69</v>
      </c>
      <c r="Q940">
        <v>97</v>
      </c>
      <c r="R940">
        <v>-8.4700000000000006</v>
      </c>
      <c r="S940">
        <v>84</v>
      </c>
      <c r="T940">
        <v>9.61</v>
      </c>
      <c r="U940">
        <v>90</v>
      </c>
      <c r="V940">
        <v>2.74</v>
      </c>
      <c r="W940">
        <v>75</v>
      </c>
      <c r="X940" t="s">
        <v>94</v>
      </c>
      <c r="Y940" t="s">
        <v>389</v>
      </c>
      <c r="Z940" t="s">
        <v>330</v>
      </c>
      <c r="AA940" t="s">
        <v>2148</v>
      </c>
      <c r="AB940" t="s">
        <v>9762</v>
      </c>
      <c r="AC940">
        <v>441</v>
      </c>
      <c r="AD940">
        <v>180</v>
      </c>
      <c r="AE940">
        <v>99</v>
      </c>
      <c r="AF940">
        <v>-0.17</v>
      </c>
      <c r="AG940">
        <v>16.309999999999999</v>
      </c>
      <c r="AH940">
        <v>10.79</v>
      </c>
      <c r="AI940">
        <v>0.28000000000000003</v>
      </c>
      <c r="AJ940">
        <v>0.19</v>
      </c>
      <c r="AK940">
        <v>82</v>
      </c>
      <c r="AL940">
        <v>463</v>
      </c>
      <c r="AM940">
        <v>195</v>
      </c>
      <c r="AN940">
        <v>-2.7</v>
      </c>
      <c r="AO940">
        <v>1.89</v>
      </c>
      <c r="AP940">
        <v>856</v>
      </c>
      <c r="AQ940">
        <v>13</v>
      </c>
      <c r="AR940">
        <v>11.29</v>
      </c>
      <c r="AS940">
        <v>85</v>
      </c>
      <c r="AT940">
        <v>4.41</v>
      </c>
      <c r="AU940">
        <v>95</v>
      </c>
      <c r="AV940">
        <v>-1.53</v>
      </c>
      <c r="AW940">
        <v>99</v>
      </c>
      <c r="AX940">
        <v>-0.44</v>
      </c>
      <c r="AY940">
        <v>94</v>
      </c>
      <c r="AZ940">
        <v>5.42</v>
      </c>
      <c r="BA940">
        <v>85</v>
      </c>
      <c r="BB940">
        <v>3.99</v>
      </c>
      <c r="BC940">
        <v>73</v>
      </c>
      <c r="BD940">
        <v>-0.02</v>
      </c>
      <c r="BE940">
        <v>0.02</v>
      </c>
      <c r="BF940">
        <v>0.19</v>
      </c>
      <c r="BG940">
        <v>95</v>
      </c>
      <c r="BH940">
        <v>0.09</v>
      </c>
      <c r="BI940">
        <v>1.57</v>
      </c>
      <c r="BJ940">
        <v>4</v>
      </c>
      <c r="BK940">
        <v>1</v>
      </c>
      <c r="BL940">
        <v>-0.48</v>
      </c>
      <c r="BM940">
        <v>0.26</v>
      </c>
      <c r="BN940">
        <v>-0.94</v>
      </c>
      <c r="BO940">
        <v>-0.84</v>
      </c>
      <c r="BP940">
        <v>0.52</v>
      </c>
      <c r="BQ940">
        <v>-2.39</v>
      </c>
      <c r="BR940">
        <v>0.24</v>
      </c>
      <c r="BS940">
        <v>-0.32</v>
      </c>
      <c r="BT940">
        <v>-1.52</v>
      </c>
      <c r="BU940">
        <v>-2.58</v>
      </c>
      <c r="BV940">
        <v>-1.44</v>
      </c>
      <c r="BW940">
        <v>-2.2599999999999998</v>
      </c>
      <c r="BX940">
        <v>-3.02</v>
      </c>
      <c r="BY940">
        <v>-1.92</v>
      </c>
      <c r="BZ940">
        <v>1.88</v>
      </c>
      <c r="CA940">
        <v>-0.92</v>
      </c>
      <c r="CB940">
        <v>-1.5</v>
      </c>
      <c r="CC940">
        <v>0</v>
      </c>
      <c r="CD940">
        <v>0.93</v>
      </c>
      <c r="CE940">
        <v>-0.43</v>
      </c>
      <c r="CF940">
        <v>-1.23</v>
      </c>
      <c r="CG940">
        <v>0</v>
      </c>
      <c r="CH940">
        <v>-1.29</v>
      </c>
      <c r="CI940">
        <v>0</v>
      </c>
      <c r="CJ940">
        <v>-1.8</v>
      </c>
      <c r="CK940">
        <v>98</v>
      </c>
      <c r="CL940">
        <v>-0.56999999999999995</v>
      </c>
      <c r="CM940">
        <v>98</v>
      </c>
      <c r="CN940">
        <v>-0.3</v>
      </c>
      <c r="CO940">
        <v>98</v>
      </c>
      <c r="CP940">
        <v>-5.6</v>
      </c>
      <c r="CQ940">
        <v>87</v>
      </c>
      <c r="CR940">
        <v>0</v>
      </c>
      <c r="CS940">
        <v>0</v>
      </c>
      <c r="CT940">
        <v>0.8</v>
      </c>
      <c r="CU940">
        <v>90</v>
      </c>
      <c r="CV940">
        <v>0.12</v>
      </c>
      <c r="CW940">
        <v>46</v>
      </c>
      <c r="CX940" t="s">
        <v>4821</v>
      </c>
    </row>
    <row r="941" spans="1:102" x14ac:dyDescent="0.3">
      <c r="A941" t="str">
        <f>HYPERLINK("https://webapp.icbf.com/v2/app/bull-search/view/760393208","SFZ")</f>
        <v>SFZ</v>
      </c>
      <c r="B941" t="s">
        <v>9104</v>
      </c>
      <c r="C941" t="s">
        <v>6199</v>
      </c>
      <c r="D941" s="1">
        <v>40029</v>
      </c>
      <c r="E941" t="s">
        <v>108</v>
      </c>
      <c r="F941">
        <v>41</v>
      </c>
      <c r="G941" t="s">
        <v>93</v>
      </c>
      <c r="H941">
        <v>147.41999999999999</v>
      </c>
      <c r="I941">
        <v>96</v>
      </c>
      <c r="J941">
        <v>90.15</v>
      </c>
      <c r="K941">
        <v>99</v>
      </c>
      <c r="L941">
        <v>7.71</v>
      </c>
      <c r="M941">
        <v>94</v>
      </c>
      <c r="N941">
        <v>34.42</v>
      </c>
      <c r="O941">
        <v>98</v>
      </c>
      <c r="P941">
        <v>-21.37</v>
      </c>
      <c r="Q941">
        <v>99</v>
      </c>
      <c r="R941">
        <v>8.42</v>
      </c>
      <c r="S941">
        <v>94</v>
      </c>
      <c r="T941">
        <v>23.45</v>
      </c>
      <c r="U941">
        <v>99</v>
      </c>
      <c r="V941">
        <v>4.6399999999999997</v>
      </c>
      <c r="W941">
        <v>81</v>
      </c>
      <c r="X941" t="s">
        <v>276</v>
      </c>
      <c r="Y941" t="s">
        <v>329</v>
      </c>
      <c r="Z941" t="s">
        <v>330</v>
      </c>
      <c r="AA941" t="s">
        <v>5531</v>
      </c>
      <c r="AB941" t="s">
        <v>144</v>
      </c>
      <c r="AC941">
        <v>2491</v>
      </c>
      <c r="AD941">
        <v>664</v>
      </c>
      <c r="AE941">
        <v>99</v>
      </c>
      <c r="AF941">
        <v>174.5</v>
      </c>
      <c r="AG941">
        <v>13.69</v>
      </c>
      <c r="AH941">
        <v>13.16</v>
      </c>
      <c r="AI941">
        <v>0.12</v>
      </c>
      <c r="AJ941">
        <v>0.12</v>
      </c>
      <c r="AK941">
        <v>94</v>
      </c>
      <c r="AL941">
        <v>2294</v>
      </c>
      <c r="AM941">
        <v>678</v>
      </c>
      <c r="AN941">
        <v>-0.05</v>
      </c>
      <c r="AO941">
        <v>0.56999999999999995</v>
      </c>
      <c r="AP941">
        <v>6701</v>
      </c>
      <c r="AQ941">
        <v>28</v>
      </c>
      <c r="AR941">
        <v>5.23</v>
      </c>
      <c r="AS941">
        <v>99</v>
      </c>
      <c r="AT941">
        <v>2.0299999999999998</v>
      </c>
      <c r="AU941">
        <v>99</v>
      </c>
      <c r="AV941">
        <v>-3.21</v>
      </c>
      <c r="AW941">
        <v>99</v>
      </c>
      <c r="AX941">
        <v>-0.25</v>
      </c>
      <c r="AY941">
        <v>99</v>
      </c>
      <c r="AZ941">
        <v>8.35</v>
      </c>
      <c r="BA941">
        <v>97</v>
      </c>
      <c r="BB941">
        <v>5.45</v>
      </c>
      <c r="BC941">
        <v>96</v>
      </c>
      <c r="BD941">
        <v>-0.04</v>
      </c>
      <c r="BE941">
        <v>-0.03</v>
      </c>
      <c r="BF941">
        <v>-7.0000000000000007E-2</v>
      </c>
      <c r="BG941">
        <v>99</v>
      </c>
      <c r="BH941">
        <v>-0.13</v>
      </c>
      <c r="BI941">
        <v>-30.01</v>
      </c>
      <c r="BJ941">
        <v>28</v>
      </c>
      <c r="BK941">
        <v>18</v>
      </c>
      <c r="BL941">
        <v>-2.1800000000000002</v>
      </c>
      <c r="BM941">
        <v>-0.56000000000000005</v>
      </c>
      <c r="BN941">
        <v>-1.53</v>
      </c>
      <c r="BO941">
        <v>-1.03</v>
      </c>
      <c r="BP941">
        <v>-0.75</v>
      </c>
      <c r="BQ941">
        <v>-4.1900000000000004</v>
      </c>
      <c r="BR941">
        <v>1.59</v>
      </c>
      <c r="BS941">
        <v>-0.17</v>
      </c>
      <c r="BT941">
        <v>-1.41</v>
      </c>
      <c r="BU941">
        <v>-0.22</v>
      </c>
      <c r="BV941">
        <v>-0.9</v>
      </c>
      <c r="BW941">
        <v>-0.64</v>
      </c>
      <c r="BX941">
        <v>-1.98</v>
      </c>
      <c r="BY941">
        <v>-0.26</v>
      </c>
      <c r="BZ941">
        <v>0.74</v>
      </c>
      <c r="CA941">
        <v>-0.2</v>
      </c>
      <c r="CB941">
        <v>-7.0000000000000007E-2</v>
      </c>
      <c r="CC941">
        <v>-0.57999999999999996</v>
      </c>
      <c r="CD941">
        <v>0.15</v>
      </c>
      <c r="CE941">
        <v>-0.86</v>
      </c>
      <c r="CF941">
        <v>-2.38</v>
      </c>
      <c r="CG941">
        <v>0</v>
      </c>
      <c r="CH941">
        <v>-0.33</v>
      </c>
      <c r="CI941">
        <v>0</v>
      </c>
      <c r="CJ941">
        <v>-10.9</v>
      </c>
      <c r="CK941">
        <v>99</v>
      </c>
      <c r="CL941">
        <v>-0.68</v>
      </c>
      <c r="CM941">
        <v>99</v>
      </c>
      <c r="CN941">
        <v>-0.22</v>
      </c>
      <c r="CO941">
        <v>99</v>
      </c>
      <c r="CP941">
        <v>-12.6</v>
      </c>
      <c r="CQ941">
        <v>99</v>
      </c>
      <c r="CR941">
        <v>0</v>
      </c>
      <c r="CS941">
        <v>0</v>
      </c>
      <c r="CT941">
        <v>-17.899999999999999</v>
      </c>
      <c r="CU941">
        <v>99</v>
      </c>
      <c r="CV941">
        <v>0.1</v>
      </c>
      <c r="CW941">
        <v>46</v>
      </c>
      <c r="CX941" t="s">
        <v>333</v>
      </c>
    </row>
    <row r="942" spans="1:102" x14ac:dyDescent="0.3">
      <c r="A942" t="str">
        <f>HYPERLINK("https://webapp.icbf.com/v2/app/bull-search/view/542954689","DJX")</f>
        <v>DJX</v>
      </c>
      <c r="B942" t="s">
        <v>12374</v>
      </c>
      <c r="C942" t="s">
        <v>2682</v>
      </c>
      <c r="D942" s="1">
        <v>37636</v>
      </c>
      <c r="E942" t="s">
        <v>227</v>
      </c>
      <c r="F942">
        <v>0</v>
      </c>
      <c r="G942" t="s">
        <v>93</v>
      </c>
      <c r="H942">
        <v>147.4</v>
      </c>
      <c r="I942">
        <v>94</v>
      </c>
      <c r="J942">
        <v>71.319999999999993</v>
      </c>
      <c r="K942">
        <v>98</v>
      </c>
      <c r="L942">
        <v>50.25</v>
      </c>
      <c r="M942">
        <v>91</v>
      </c>
      <c r="N942">
        <v>8.2100000000000009</v>
      </c>
      <c r="O942">
        <v>93</v>
      </c>
      <c r="P942">
        <v>-51.62</v>
      </c>
      <c r="Q942">
        <v>95</v>
      </c>
      <c r="R942">
        <v>-0.44</v>
      </c>
      <c r="S942">
        <v>90</v>
      </c>
      <c r="T942">
        <v>59.85</v>
      </c>
      <c r="U942">
        <v>92</v>
      </c>
      <c r="V942">
        <v>9.83</v>
      </c>
      <c r="W942">
        <v>90</v>
      </c>
      <c r="X942" t="s">
        <v>94</v>
      </c>
      <c r="Y942" t="s">
        <v>221</v>
      </c>
      <c r="Z942">
        <v>0</v>
      </c>
      <c r="AA942" t="s">
        <v>4856</v>
      </c>
      <c r="AB942" t="s">
        <v>144</v>
      </c>
      <c r="AC942">
        <v>238</v>
      </c>
      <c r="AD942">
        <v>65</v>
      </c>
      <c r="AE942">
        <v>98</v>
      </c>
      <c r="AF942">
        <v>-523.48</v>
      </c>
      <c r="AG942">
        <v>16.84</v>
      </c>
      <c r="AH942">
        <v>-1.84</v>
      </c>
      <c r="AI942">
        <v>0.71</v>
      </c>
      <c r="AJ942">
        <v>0.31</v>
      </c>
      <c r="AK942">
        <v>91</v>
      </c>
      <c r="AL942">
        <v>281</v>
      </c>
      <c r="AM942">
        <v>77</v>
      </c>
      <c r="AN942">
        <v>-0.97</v>
      </c>
      <c r="AO942">
        <v>3.06</v>
      </c>
      <c r="AP942">
        <v>395</v>
      </c>
      <c r="AQ942">
        <v>0</v>
      </c>
      <c r="AR942">
        <v>2.63</v>
      </c>
      <c r="AS942">
        <v>91</v>
      </c>
      <c r="AT942">
        <v>1.45</v>
      </c>
      <c r="AU942">
        <v>92</v>
      </c>
      <c r="AV942">
        <v>0</v>
      </c>
      <c r="AW942">
        <v>98</v>
      </c>
      <c r="AX942">
        <v>5.0599999999999996</v>
      </c>
      <c r="AY942">
        <v>91</v>
      </c>
      <c r="AZ942">
        <v>6.29</v>
      </c>
      <c r="BA942">
        <v>80</v>
      </c>
      <c r="BB942">
        <v>5.0599999999999996</v>
      </c>
      <c r="BC942">
        <v>84</v>
      </c>
      <c r="BD942">
        <v>-0.03</v>
      </c>
      <c r="BE942">
        <v>0</v>
      </c>
      <c r="BF942">
        <v>0.06</v>
      </c>
      <c r="BG942">
        <v>95</v>
      </c>
      <c r="BH942">
        <v>0.16</v>
      </c>
      <c r="BI942">
        <v>-13.19</v>
      </c>
      <c r="BJ942">
        <v>58</v>
      </c>
      <c r="BK942">
        <v>16</v>
      </c>
      <c r="BL942">
        <v>-1.22</v>
      </c>
      <c r="BM942">
        <v>-3.35</v>
      </c>
      <c r="BN942">
        <v>-1.67</v>
      </c>
      <c r="BO942">
        <v>1.42</v>
      </c>
      <c r="BP942">
        <v>0.65</v>
      </c>
      <c r="BQ942">
        <v>-6.61</v>
      </c>
      <c r="BR942">
        <v>3.03</v>
      </c>
      <c r="BS942">
        <v>6.65</v>
      </c>
      <c r="BT942">
        <v>-2.0499999999999998</v>
      </c>
      <c r="BU942">
        <v>1.33</v>
      </c>
      <c r="BV942">
        <v>1.84</v>
      </c>
      <c r="BW942">
        <v>-0.19</v>
      </c>
      <c r="BX942">
        <v>-0.98</v>
      </c>
      <c r="BY942">
        <v>0.38</v>
      </c>
      <c r="BZ942">
        <v>0.98</v>
      </c>
      <c r="CA942">
        <v>2.98</v>
      </c>
      <c r="CB942">
        <v>1.58</v>
      </c>
      <c r="CC942">
        <v>4.2</v>
      </c>
      <c r="CD942">
        <v>-2.6</v>
      </c>
      <c r="CE942">
        <v>1.82</v>
      </c>
      <c r="CF942">
        <v>-1.75</v>
      </c>
      <c r="CG942">
        <v>0</v>
      </c>
      <c r="CH942">
        <v>-0.45</v>
      </c>
      <c r="CI942">
        <v>0</v>
      </c>
      <c r="CJ942">
        <v>-26.4</v>
      </c>
      <c r="CK942">
        <v>96</v>
      </c>
      <c r="CL942">
        <v>-1.17</v>
      </c>
      <c r="CM942">
        <v>95</v>
      </c>
      <c r="CN942">
        <v>-0.33</v>
      </c>
      <c r="CO942">
        <v>94</v>
      </c>
      <c r="CP942">
        <v>-46.5</v>
      </c>
      <c r="CQ942">
        <v>95</v>
      </c>
      <c r="CR942">
        <v>0</v>
      </c>
      <c r="CS942">
        <v>0</v>
      </c>
      <c r="CT942">
        <v>-67.099999999999994</v>
      </c>
      <c r="CU942">
        <v>92</v>
      </c>
      <c r="CV942">
        <v>-0.22</v>
      </c>
      <c r="CW942">
        <v>45</v>
      </c>
      <c r="CX942" t="s">
        <v>554</v>
      </c>
    </row>
    <row r="943" spans="1:102" x14ac:dyDescent="0.3">
      <c r="A943" t="str">
        <f>HYPERLINK("https://webapp.icbf.com/v2/app/bull-search/view/586060976","WMZ")</f>
        <v>WMZ</v>
      </c>
      <c r="B943" t="s">
        <v>5126</v>
      </c>
      <c r="C943" t="s">
        <v>5127</v>
      </c>
      <c r="D943" s="1">
        <v>38204</v>
      </c>
      <c r="E943" t="s">
        <v>92</v>
      </c>
      <c r="F943">
        <v>100</v>
      </c>
      <c r="G943" t="s">
        <v>93</v>
      </c>
      <c r="H943">
        <v>147.16</v>
      </c>
      <c r="I943">
        <v>97</v>
      </c>
      <c r="J943">
        <v>47.45</v>
      </c>
      <c r="K943">
        <v>99</v>
      </c>
      <c r="L943">
        <v>54.35</v>
      </c>
      <c r="M943">
        <v>95</v>
      </c>
      <c r="N943">
        <v>40.21</v>
      </c>
      <c r="O943">
        <v>98</v>
      </c>
      <c r="P943">
        <v>-7.1</v>
      </c>
      <c r="Q943">
        <v>99</v>
      </c>
      <c r="R943">
        <v>6.73</v>
      </c>
      <c r="S943">
        <v>95</v>
      </c>
      <c r="T943">
        <v>1.76</v>
      </c>
      <c r="U943">
        <v>99</v>
      </c>
      <c r="V943">
        <v>3.76</v>
      </c>
      <c r="W943">
        <v>96</v>
      </c>
      <c r="X943" t="s">
        <v>276</v>
      </c>
      <c r="Y943" t="s">
        <v>235</v>
      </c>
      <c r="Z943" t="s">
        <v>96</v>
      </c>
      <c r="AA943" t="s">
        <v>316</v>
      </c>
      <c r="AB943" t="s">
        <v>5128</v>
      </c>
      <c r="AC943">
        <v>1552</v>
      </c>
      <c r="AD943">
        <v>518</v>
      </c>
      <c r="AE943">
        <v>99</v>
      </c>
      <c r="AF943">
        <v>217.24</v>
      </c>
      <c r="AG943">
        <v>8.86</v>
      </c>
      <c r="AH943">
        <v>8.26</v>
      </c>
      <c r="AI943">
        <v>0.01</v>
      </c>
      <c r="AJ943">
        <v>0.02</v>
      </c>
      <c r="AK943">
        <v>95</v>
      </c>
      <c r="AL943">
        <v>1763</v>
      </c>
      <c r="AM943">
        <v>599</v>
      </c>
      <c r="AN943">
        <v>-3.3</v>
      </c>
      <c r="AO943">
        <v>1.03</v>
      </c>
      <c r="AP943">
        <v>2841</v>
      </c>
      <c r="AQ943">
        <v>11</v>
      </c>
      <c r="AR943">
        <v>6</v>
      </c>
      <c r="AS943">
        <v>98</v>
      </c>
      <c r="AT943">
        <v>2.44</v>
      </c>
      <c r="AU943">
        <v>98</v>
      </c>
      <c r="AV943">
        <v>-3.8</v>
      </c>
      <c r="AW943">
        <v>99</v>
      </c>
      <c r="AX943">
        <v>0.17</v>
      </c>
      <c r="AY943">
        <v>98</v>
      </c>
      <c r="AZ943">
        <v>5.86</v>
      </c>
      <c r="BA943">
        <v>95</v>
      </c>
      <c r="BB943">
        <v>4.9400000000000004</v>
      </c>
      <c r="BC943">
        <v>96</v>
      </c>
      <c r="BD943">
        <v>-0.01</v>
      </c>
      <c r="BE943">
        <v>-0.02</v>
      </c>
      <c r="BF943">
        <v>-0.1</v>
      </c>
      <c r="BG943">
        <v>99</v>
      </c>
      <c r="BH943">
        <v>-0.04</v>
      </c>
      <c r="BI943">
        <v>-16.77</v>
      </c>
      <c r="BJ943">
        <v>69</v>
      </c>
      <c r="BK943">
        <v>32</v>
      </c>
      <c r="BL943">
        <v>0.81</v>
      </c>
      <c r="BM943">
        <v>1.07</v>
      </c>
      <c r="BN943">
        <v>0.74</v>
      </c>
      <c r="BO943">
        <v>0.1</v>
      </c>
      <c r="BP943">
        <v>0.74</v>
      </c>
      <c r="BQ943">
        <v>0.4</v>
      </c>
      <c r="BR943">
        <v>-0.01</v>
      </c>
      <c r="BS943">
        <v>-0.53</v>
      </c>
      <c r="BT943">
        <v>-0.13</v>
      </c>
      <c r="BU943">
        <v>0.89</v>
      </c>
      <c r="BV943">
        <v>0.63</v>
      </c>
      <c r="BW943">
        <v>-1.33</v>
      </c>
      <c r="BX943">
        <v>1.03</v>
      </c>
      <c r="BY943">
        <v>0.05</v>
      </c>
      <c r="BZ943">
        <v>-0.8</v>
      </c>
      <c r="CA943">
        <v>0.33</v>
      </c>
      <c r="CB943">
        <v>0.56000000000000005</v>
      </c>
      <c r="CC943">
        <v>-0.21</v>
      </c>
      <c r="CD943">
        <v>0.72</v>
      </c>
      <c r="CE943">
        <v>-0.47</v>
      </c>
      <c r="CF943">
        <v>1.08</v>
      </c>
      <c r="CG943">
        <v>0</v>
      </c>
      <c r="CH943">
        <v>0.2</v>
      </c>
      <c r="CI943">
        <v>0</v>
      </c>
      <c r="CJ943">
        <v>-0.1</v>
      </c>
      <c r="CK943">
        <v>99</v>
      </c>
      <c r="CL943">
        <v>-0.97</v>
      </c>
      <c r="CM943">
        <v>99</v>
      </c>
      <c r="CN943">
        <v>-0.25</v>
      </c>
      <c r="CO943">
        <v>99</v>
      </c>
      <c r="CP943">
        <v>0.8</v>
      </c>
      <c r="CQ943">
        <v>99</v>
      </c>
      <c r="CR943">
        <v>0</v>
      </c>
      <c r="CS943">
        <v>0</v>
      </c>
      <c r="CT943">
        <v>11.4</v>
      </c>
      <c r="CU943">
        <v>99</v>
      </c>
      <c r="CV943">
        <v>0.28000000000000003</v>
      </c>
      <c r="CW943">
        <v>49</v>
      </c>
      <c r="CX943" t="s">
        <v>596</v>
      </c>
    </row>
    <row r="944" spans="1:102" x14ac:dyDescent="0.3">
      <c r="A944" t="str">
        <f>HYPERLINK("https://webapp.icbf.com/v2/app/bull-search/view/583262150","GYR")</f>
        <v>GYR</v>
      </c>
      <c r="B944" t="s">
        <v>12477</v>
      </c>
      <c r="C944" t="s">
        <v>12478</v>
      </c>
      <c r="D944" s="1">
        <v>39546</v>
      </c>
      <c r="E944" t="s">
        <v>108</v>
      </c>
      <c r="F944">
        <v>47</v>
      </c>
      <c r="G944" t="s">
        <v>93</v>
      </c>
      <c r="H944">
        <v>147.12</v>
      </c>
      <c r="I944">
        <v>91</v>
      </c>
      <c r="J944">
        <v>39.25</v>
      </c>
      <c r="K944">
        <v>98</v>
      </c>
      <c r="L944">
        <v>81.96</v>
      </c>
      <c r="M944">
        <v>83</v>
      </c>
      <c r="N944">
        <v>6.97</v>
      </c>
      <c r="O944">
        <v>91</v>
      </c>
      <c r="P944">
        <v>-9.67</v>
      </c>
      <c r="Q944">
        <v>95</v>
      </c>
      <c r="R944">
        <v>11.4</v>
      </c>
      <c r="S944">
        <v>85</v>
      </c>
      <c r="T944">
        <v>14.71</v>
      </c>
      <c r="U944">
        <v>92</v>
      </c>
      <c r="V944">
        <v>2.5</v>
      </c>
      <c r="W944">
        <v>88</v>
      </c>
      <c r="X944" t="s">
        <v>94</v>
      </c>
      <c r="Y944" t="s">
        <v>4217</v>
      </c>
      <c r="Z944" t="s">
        <v>96</v>
      </c>
      <c r="AA944" t="s">
        <v>3087</v>
      </c>
      <c r="AB944" t="s">
        <v>12479</v>
      </c>
      <c r="AC944">
        <v>194</v>
      </c>
      <c r="AD944">
        <v>119</v>
      </c>
      <c r="AE944">
        <v>98</v>
      </c>
      <c r="AF944">
        <v>-211.03</v>
      </c>
      <c r="AG944">
        <v>8.5500000000000007</v>
      </c>
      <c r="AH944">
        <v>0.42</v>
      </c>
      <c r="AI944">
        <v>0.3</v>
      </c>
      <c r="AJ944">
        <v>0.14000000000000001</v>
      </c>
      <c r="AK944">
        <v>83</v>
      </c>
      <c r="AL944">
        <v>197</v>
      </c>
      <c r="AM944">
        <v>118</v>
      </c>
      <c r="AN944">
        <v>-3.38</v>
      </c>
      <c r="AO944">
        <v>3.17</v>
      </c>
      <c r="AP944">
        <v>454</v>
      </c>
      <c r="AQ944">
        <v>7</v>
      </c>
      <c r="AR944">
        <v>9.49</v>
      </c>
      <c r="AS944">
        <v>81</v>
      </c>
      <c r="AT944">
        <v>4.03</v>
      </c>
      <c r="AU944">
        <v>93</v>
      </c>
      <c r="AV944">
        <v>-1.83</v>
      </c>
      <c r="AW944">
        <v>98</v>
      </c>
      <c r="AX944">
        <v>-0.59</v>
      </c>
      <c r="AY944">
        <v>90</v>
      </c>
      <c r="AZ944">
        <v>4.97</v>
      </c>
      <c r="BA944">
        <v>77</v>
      </c>
      <c r="BB944">
        <v>4.3</v>
      </c>
      <c r="BC944">
        <v>78</v>
      </c>
      <c r="BD944">
        <v>-0.03</v>
      </c>
      <c r="BE944">
        <v>-0.08</v>
      </c>
      <c r="BF944">
        <v>-0.06</v>
      </c>
      <c r="BG944">
        <v>92</v>
      </c>
      <c r="BH944">
        <v>-0.02</v>
      </c>
      <c r="BI944">
        <v>-10.39</v>
      </c>
      <c r="BJ944">
        <v>44</v>
      </c>
      <c r="BK944">
        <v>33</v>
      </c>
      <c r="BL944">
        <v>-0.43</v>
      </c>
      <c r="BM944">
        <v>1.2</v>
      </c>
      <c r="BN944">
        <v>-0.91</v>
      </c>
      <c r="BO944">
        <v>-1.1499999999999999</v>
      </c>
      <c r="BP944">
        <v>-0.98</v>
      </c>
      <c r="BQ944">
        <v>-0.8</v>
      </c>
      <c r="BR944">
        <v>1.89</v>
      </c>
      <c r="BS944">
        <v>-1.08</v>
      </c>
      <c r="BT944">
        <v>-2.08</v>
      </c>
      <c r="BU944">
        <v>-0.57999999999999996</v>
      </c>
      <c r="BV944">
        <v>-1.41</v>
      </c>
      <c r="BW944">
        <v>-0.56000000000000005</v>
      </c>
      <c r="BX944">
        <v>-0.01</v>
      </c>
      <c r="BY944">
        <v>-2.0299999999999998</v>
      </c>
      <c r="BZ944">
        <v>0.94</v>
      </c>
      <c r="CA944">
        <v>-1</v>
      </c>
      <c r="CB944">
        <v>-0.67</v>
      </c>
      <c r="CC944">
        <v>-1.24</v>
      </c>
      <c r="CD944">
        <v>0.97</v>
      </c>
      <c r="CE944">
        <v>-1.1499999999999999</v>
      </c>
      <c r="CF944">
        <v>-0.28999999999999998</v>
      </c>
      <c r="CG944">
        <v>0</v>
      </c>
      <c r="CH944">
        <v>-1.9</v>
      </c>
      <c r="CI944">
        <v>0</v>
      </c>
      <c r="CJ944">
        <v>-2.6</v>
      </c>
      <c r="CK944">
        <v>96</v>
      </c>
      <c r="CL944">
        <v>-0.56999999999999995</v>
      </c>
      <c r="CM944">
        <v>95</v>
      </c>
      <c r="CN944">
        <v>-0.06</v>
      </c>
      <c r="CO944">
        <v>94</v>
      </c>
      <c r="CP944">
        <v>-6</v>
      </c>
      <c r="CQ944">
        <v>93</v>
      </c>
      <c r="CR944">
        <v>0</v>
      </c>
      <c r="CS944">
        <v>0</v>
      </c>
      <c r="CT944">
        <v>-6.1</v>
      </c>
      <c r="CU944">
        <v>92</v>
      </c>
      <c r="CV944">
        <v>0.14000000000000001</v>
      </c>
      <c r="CW944">
        <v>47</v>
      </c>
      <c r="CX944" t="s">
        <v>738</v>
      </c>
    </row>
    <row r="945" spans="1:102" x14ac:dyDescent="0.3">
      <c r="A945" t="str">
        <f>HYPERLINK("https://webapp.icbf.com/v2/app/bull-search/view/297595152","DUP")</f>
        <v>DUP</v>
      </c>
      <c r="B945" t="s">
        <v>11693</v>
      </c>
      <c r="C945" t="s">
        <v>11694</v>
      </c>
      <c r="D945" s="1">
        <v>37983</v>
      </c>
      <c r="E945" t="s">
        <v>108</v>
      </c>
      <c r="F945">
        <v>3</v>
      </c>
      <c r="G945" t="s">
        <v>93</v>
      </c>
      <c r="H945">
        <v>147.04</v>
      </c>
      <c r="I945">
        <v>84</v>
      </c>
      <c r="J945">
        <v>1.88</v>
      </c>
      <c r="K945">
        <v>94</v>
      </c>
      <c r="L945">
        <v>97.08</v>
      </c>
      <c r="M945">
        <v>76</v>
      </c>
      <c r="N945">
        <v>33.229999999999997</v>
      </c>
      <c r="O945">
        <v>80</v>
      </c>
      <c r="P945">
        <v>-8.34</v>
      </c>
      <c r="Q945">
        <v>90</v>
      </c>
      <c r="R945">
        <v>3.12</v>
      </c>
      <c r="S945">
        <v>76</v>
      </c>
      <c r="T945">
        <v>16.420000000000002</v>
      </c>
      <c r="U945">
        <v>82</v>
      </c>
      <c r="V945">
        <v>3.65</v>
      </c>
      <c r="W945">
        <v>73</v>
      </c>
      <c r="X945" t="s">
        <v>94</v>
      </c>
      <c r="Y945" t="s">
        <v>1153</v>
      </c>
      <c r="Z945" t="s">
        <v>96</v>
      </c>
      <c r="AA945" t="s">
        <v>738</v>
      </c>
      <c r="AB945" t="s">
        <v>11695</v>
      </c>
      <c r="AC945">
        <v>41</v>
      </c>
      <c r="AD945">
        <v>27</v>
      </c>
      <c r="AE945">
        <v>94</v>
      </c>
      <c r="AF945">
        <v>-114.7</v>
      </c>
      <c r="AG945">
        <v>-2.4500000000000002</v>
      </c>
      <c r="AH945">
        <v>-0.56999999999999995</v>
      </c>
      <c r="AI945">
        <v>0.04</v>
      </c>
      <c r="AJ945">
        <v>0.06</v>
      </c>
      <c r="AK945">
        <v>76</v>
      </c>
      <c r="AL945">
        <v>59</v>
      </c>
      <c r="AM945">
        <v>37</v>
      </c>
      <c r="AN945">
        <v>-5.45</v>
      </c>
      <c r="AO945">
        <v>2.29</v>
      </c>
      <c r="AP945">
        <v>94</v>
      </c>
      <c r="AQ945">
        <v>3</v>
      </c>
      <c r="AR945">
        <v>6.38</v>
      </c>
      <c r="AS945">
        <v>65</v>
      </c>
      <c r="AT945">
        <v>2.37</v>
      </c>
      <c r="AU945">
        <v>82</v>
      </c>
      <c r="AV945">
        <v>-3.3</v>
      </c>
      <c r="AW945">
        <v>90</v>
      </c>
      <c r="AX945">
        <v>-0.68</v>
      </c>
      <c r="AY945">
        <v>79</v>
      </c>
      <c r="AZ945">
        <v>6.84</v>
      </c>
      <c r="BA945">
        <v>58</v>
      </c>
      <c r="BB945">
        <v>5.61</v>
      </c>
      <c r="BC945">
        <v>63</v>
      </c>
      <c r="BD945">
        <v>0.02</v>
      </c>
      <c r="BE945">
        <v>-0.05</v>
      </c>
      <c r="BF945">
        <v>-0.01</v>
      </c>
      <c r="BG945">
        <v>83</v>
      </c>
      <c r="BH945">
        <v>0.06</v>
      </c>
      <c r="BI945">
        <v>-4.83</v>
      </c>
      <c r="BJ945">
        <v>17</v>
      </c>
      <c r="BK945">
        <v>12</v>
      </c>
      <c r="BL945">
        <v>-2.19</v>
      </c>
      <c r="BM945">
        <v>1.32</v>
      </c>
      <c r="BN945">
        <v>-2.46</v>
      </c>
      <c r="BO945">
        <v>-2.25</v>
      </c>
      <c r="BP945">
        <v>-1.71</v>
      </c>
      <c r="BQ945">
        <v>0.94</v>
      </c>
      <c r="BR945">
        <v>-1.95</v>
      </c>
      <c r="BS945">
        <v>0.28000000000000003</v>
      </c>
      <c r="BT945">
        <v>2.11</v>
      </c>
      <c r="BU945">
        <v>-1.33</v>
      </c>
      <c r="BV945">
        <v>-1.49</v>
      </c>
      <c r="BW945">
        <v>-1.44</v>
      </c>
      <c r="BX945">
        <v>-0.78</v>
      </c>
      <c r="BY945">
        <v>0.18</v>
      </c>
      <c r="BZ945">
        <v>0.25</v>
      </c>
      <c r="CA945">
        <v>-1.08</v>
      </c>
      <c r="CB945">
        <v>-1.58</v>
      </c>
      <c r="CC945">
        <v>0.37</v>
      </c>
      <c r="CD945">
        <v>2.13</v>
      </c>
      <c r="CE945">
        <v>-2.54</v>
      </c>
      <c r="CF945">
        <v>-1.29</v>
      </c>
      <c r="CG945">
        <v>0</v>
      </c>
      <c r="CH945">
        <v>-0.25</v>
      </c>
      <c r="CI945">
        <v>0</v>
      </c>
      <c r="CJ945">
        <v>-3.6</v>
      </c>
      <c r="CK945">
        <v>91</v>
      </c>
      <c r="CL945">
        <v>-0.14000000000000001</v>
      </c>
      <c r="CM945">
        <v>89</v>
      </c>
      <c r="CN945">
        <v>0.03</v>
      </c>
      <c r="CO945">
        <v>88</v>
      </c>
      <c r="CP945">
        <v>-10.5</v>
      </c>
      <c r="CQ945">
        <v>85</v>
      </c>
      <c r="CR945">
        <v>0</v>
      </c>
      <c r="CS945">
        <v>0</v>
      </c>
      <c r="CT945">
        <v>-8.4</v>
      </c>
      <c r="CU945">
        <v>82</v>
      </c>
      <c r="CV945">
        <v>0.05</v>
      </c>
      <c r="CW945">
        <v>44</v>
      </c>
      <c r="CX945" t="s">
        <v>4322</v>
      </c>
    </row>
    <row r="946" spans="1:102" x14ac:dyDescent="0.3">
      <c r="A946" t="str">
        <f>HYPERLINK("https://webapp.icbf.com/v2/app/bull-search/view/1037579561","OGY")</f>
        <v>OGY</v>
      </c>
      <c r="B946" t="s">
        <v>5715</v>
      </c>
      <c r="C946" t="s">
        <v>5716</v>
      </c>
      <c r="D946" s="1">
        <v>41301</v>
      </c>
      <c r="E946" t="s">
        <v>92</v>
      </c>
      <c r="F946">
        <v>66</v>
      </c>
      <c r="G946" t="s">
        <v>93</v>
      </c>
      <c r="H946">
        <v>146.99</v>
      </c>
      <c r="I946">
        <v>90</v>
      </c>
      <c r="J946">
        <v>72.900000000000006</v>
      </c>
      <c r="K946">
        <v>99</v>
      </c>
      <c r="L946">
        <v>36.49</v>
      </c>
      <c r="M946">
        <v>82</v>
      </c>
      <c r="N946">
        <v>27.34</v>
      </c>
      <c r="O946">
        <v>93</v>
      </c>
      <c r="P946">
        <v>-2.77</v>
      </c>
      <c r="Q946">
        <v>97</v>
      </c>
      <c r="R946">
        <v>4.0199999999999996</v>
      </c>
      <c r="S946">
        <v>84</v>
      </c>
      <c r="T946">
        <v>7.09</v>
      </c>
      <c r="U946">
        <v>90</v>
      </c>
      <c r="V946">
        <v>1.92</v>
      </c>
      <c r="W946">
        <v>76</v>
      </c>
      <c r="X946" t="s">
        <v>94</v>
      </c>
      <c r="Y946" t="s">
        <v>389</v>
      </c>
      <c r="Z946" t="s">
        <v>96</v>
      </c>
      <c r="AA946" t="s">
        <v>1919</v>
      </c>
      <c r="AB946" t="s">
        <v>5717</v>
      </c>
      <c r="AC946">
        <v>344</v>
      </c>
      <c r="AD946">
        <v>177</v>
      </c>
      <c r="AE946">
        <v>99</v>
      </c>
      <c r="AF946">
        <v>228.32</v>
      </c>
      <c r="AG946">
        <v>16.829999999999998</v>
      </c>
      <c r="AH946">
        <v>9.94</v>
      </c>
      <c r="AI946">
        <v>0.13</v>
      </c>
      <c r="AJ946">
        <v>0.04</v>
      </c>
      <c r="AK946">
        <v>82</v>
      </c>
      <c r="AL946">
        <v>382</v>
      </c>
      <c r="AM946">
        <v>218</v>
      </c>
      <c r="AN946">
        <v>-1.98</v>
      </c>
      <c r="AO946">
        <v>0.93</v>
      </c>
      <c r="AP946">
        <v>946</v>
      </c>
      <c r="AQ946">
        <v>9</v>
      </c>
      <c r="AR946">
        <v>7.78</v>
      </c>
      <c r="AS946">
        <v>86</v>
      </c>
      <c r="AT946">
        <v>2.88</v>
      </c>
      <c r="AU946">
        <v>96</v>
      </c>
      <c r="AV946">
        <v>-3.53</v>
      </c>
      <c r="AW946">
        <v>99</v>
      </c>
      <c r="AX946">
        <v>0.18</v>
      </c>
      <c r="AY946">
        <v>93</v>
      </c>
      <c r="AZ946">
        <v>6.48</v>
      </c>
      <c r="BA946">
        <v>84</v>
      </c>
      <c r="BB946">
        <v>5.35</v>
      </c>
      <c r="BC946">
        <v>73</v>
      </c>
      <c r="BD946">
        <v>0.01</v>
      </c>
      <c r="BE946">
        <v>-0.01</v>
      </c>
      <c r="BF946">
        <v>-0.09</v>
      </c>
      <c r="BG946">
        <v>94</v>
      </c>
      <c r="BH946">
        <v>-0.09</v>
      </c>
      <c r="BI946">
        <v>-16.59</v>
      </c>
      <c r="BJ946">
        <v>17</v>
      </c>
      <c r="BK946">
        <v>8</v>
      </c>
      <c r="BL946">
        <v>-1.58</v>
      </c>
      <c r="BM946">
        <v>0.67</v>
      </c>
      <c r="BN946">
        <v>-1.1200000000000001</v>
      </c>
      <c r="BO946">
        <v>-1.37</v>
      </c>
      <c r="BP946">
        <v>-2.4700000000000002</v>
      </c>
      <c r="BQ946">
        <v>0.48</v>
      </c>
      <c r="BR946">
        <v>-0.38</v>
      </c>
      <c r="BS946">
        <v>-0.35</v>
      </c>
      <c r="BT946">
        <v>-1.1399999999999999</v>
      </c>
      <c r="BU946">
        <v>-1.68</v>
      </c>
      <c r="BV946">
        <v>-2.3199999999999998</v>
      </c>
      <c r="BW946">
        <v>-2.0099999999999998</v>
      </c>
      <c r="BX946">
        <v>-0.66</v>
      </c>
      <c r="BY946">
        <v>-1.02</v>
      </c>
      <c r="BZ946">
        <v>0.52</v>
      </c>
      <c r="CA946">
        <v>-1.1299999999999999</v>
      </c>
      <c r="CB946">
        <v>-1.89</v>
      </c>
      <c r="CC946">
        <v>-0.36</v>
      </c>
      <c r="CD946">
        <v>0.75</v>
      </c>
      <c r="CE946">
        <v>-1.08</v>
      </c>
      <c r="CF946">
        <v>-0.89</v>
      </c>
      <c r="CG946">
        <v>0</v>
      </c>
      <c r="CH946">
        <v>-0.12</v>
      </c>
      <c r="CI946">
        <v>0</v>
      </c>
      <c r="CJ946">
        <v>-4</v>
      </c>
      <c r="CK946">
        <v>98</v>
      </c>
      <c r="CL946">
        <v>-0.4</v>
      </c>
      <c r="CM946">
        <v>98</v>
      </c>
      <c r="CN946">
        <v>-0.59</v>
      </c>
      <c r="CO946">
        <v>98</v>
      </c>
      <c r="CP946">
        <v>-0.2</v>
      </c>
      <c r="CQ946">
        <v>90</v>
      </c>
      <c r="CR946">
        <v>0</v>
      </c>
      <c r="CS946">
        <v>0</v>
      </c>
      <c r="CT946">
        <v>4.2</v>
      </c>
      <c r="CU946">
        <v>90</v>
      </c>
      <c r="CV946">
        <v>0.1</v>
      </c>
      <c r="CW946">
        <v>47</v>
      </c>
      <c r="CX946" t="s">
        <v>1865</v>
      </c>
    </row>
    <row r="947" spans="1:102" x14ac:dyDescent="0.3">
      <c r="A947" t="str">
        <f>HYPERLINK("https://webapp.icbf.com/v2/app/bull-search/view/163319475","S315")</f>
        <v>S315</v>
      </c>
      <c r="B947" t="s">
        <v>9940</v>
      </c>
      <c r="C947" t="s">
        <v>9941</v>
      </c>
      <c r="D947" s="1">
        <v>32121</v>
      </c>
      <c r="E947" t="s">
        <v>210</v>
      </c>
      <c r="F947">
        <v>0</v>
      </c>
      <c r="G947" t="s">
        <v>93</v>
      </c>
      <c r="H947">
        <v>146.97999999999999</v>
      </c>
      <c r="I947">
        <v>75</v>
      </c>
      <c r="J947">
        <v>-11.96</v>
      </c>
      <c r="K947">
        <v>94</v>
      </c>
      <c r="L947">
        <v>116.52</v>
      </c>
      <c r="M947">
        <v>60</v>
      </c>
      <c r="N947">
        <v>24.87</v>
      </c>
      <c r="O947">
        <v>69</v>
      </c>
      <c r="P947">
        <v>-8.7200000000000006</v>
      </c>
      <c r="Q947">
        <v>71</v>
      </c>
      <c r="R947">
        <v>12.39</v>
      </c>
      <c r="S947">
        <v>65</v>
      </c>
      <c r="T947">
        <v>16.71</v>
      </c>
      <c r="U947">
        <v>84</v>
      </c>
      <c r="V947">
        <v>-2.83</v>
      </c>
      <c r="W947">
        <v>55</v>
      </c>
      <c r="X947" t="s">
        <v>110</v>
      </c>
      <c r="Y947" t="s">
        <v>95</v>
      </c>
      <c r="Z947">
        <v>0</v>
      </c>
      <c r="AA947" t="s">
        <v>9942</v>
      </c>
      <c r="AB947" t="s">
        <v>144</v>
      </c>
      <c r="AC947">
        <v>59</v>
      </c>
      <c r="AD947">
        <v>8</v>
      </c>
      <c r="AE947">
        <v>94</v>
      </c>
      <c r="AF947">
        <v>-223.53</v>
      </c>
      <c r="AG947">
        <v>-3.21</v>
      </c>
      <c r="AH947">
        <v>-4.32</v>
      </c>
      <c r="AI947">
        <v>0.09</v>
      </c>
      <c r="AJ947">
        <v>0.06</v>
      </c>
      <c r="AK947">
        <v>60</v>
      </c>
      <c r="AL947">
        <v>60</v>
      </c>
      <c r="AM947">
        <v>6</v>
      </c>
      <c r="AN947">
        <v>-3.41</v>
      </c>
      <c r="AO947">
        <v>5.92</v>
      </c>
      <c r="AP947">
        <v>8</v>
      </c>
      <c r="AQ947">
        <v>0</v>
      </c>
      <c r="AR947">
        <v>4.57</v>
      </c>
      <c r="AS947">
        <v>42</v>
      </c>
      <c r="AT947">
        <v>2</v>
      </c>
      <c r="AU947">
        <v>61</v>
      </c>
      <c r="AV947">
        <v>-0.72</v>
      </c>
      <c r="AW947">
        <v>85</v>
      </c>
      <c r="AX947">
        <v>0.17</v>
      </c>
      <c r="AY947">
        <v>65</v>
      </c>
      <c r="AZ947">
        <v>5.29</v>
      </c>
      <c r="BA947">
        <v>47</v>
      </c>
      <c r="BB947">
        <v>4.41</v>
      </c>
      <c r="BC947">
        <v>56</v>
      </c>
      <c r="BD947">
        <v>-0.06</v>
      </c>
      <c r="BE947">
        <v>-0.05</v>
      </c>
      <c r="BF947">
        <v>-0.09</v>
      </c>
      <c r="BG947">
        <v>79</v>
      </c>
      <c r="BH947">
        <v>0.1</v>
      </c>
      <c r="BI947">
        <v>20.71</v>
      </c>
      <c r="BJ947">
        <v>0</v>
      </c>
      <c r="BK947">
        <v>0</v>
      </c>
      <c r="BL947">
        <v>-1.1399999999999999</v>
      </c>
      <c r="BM947">
        <v>1.0900000000000001</v>
      </c>
      <c r="BN947">
        <v>-1.1000000000000001</v>
      </c>
      <c r="BO947">
        <v>-1.31</v>
      </c>
      <c r="BP947">
        <v>0.81</v>
      </c>
      <c r="BQ947">
        <v>-0.72</v>
      </c>
      <c r="BR947">
        <v>0.01</v>
      </c>
      <c r="BS947">
        <v>0.94</v>
      </c>
      <c r="BT947">
        <v>0.33</v>
      </c>
      <c r="BU947">
        <v>-1.1499999999999999</v>
      </c>
      <c r="BV947">
        <v>-2.13</v>
      </c>
      <c r="BW947">
        <v>-1.88</v>
      </c>
      <c r="BX947">
        <v>-1.19</v>
      </c>
      <c r="BY947">
        <v>-0.85</v>
      </c>
      <c r="BZ947">
        <v>-0.76</v>
      </c>
      <c r="CA947">
        <v>-1.06</v>
      </c>
      <c r="CB947">
        <v>-1.52</v>
      </c>
      <c r="CC947">
        <v>0.19</v>
      </c>
      <c r="CD947">
        <v>0.76</v>
      </c>
      <c r="CE947">
        <v>-1.06</v>
      </c>
      <c r="CF947">
        <v>-1.0900000000000001</v>
      </c>
      <c r="CG947">
        <v>0</v>
      </c>
      <c r="CH947">
        <v>-1.27</v>
      </c>
      <c r="CI947">
        <v>0</v>
      </c>
      <c r="CJ947">
        <v>-4.7</v>
      </c>
      <c r="CK947">
        <v>73</v>
      </c>
      <c r="CL947">
        <v>-0.24</v>
      </c>
      <c r="CM947">
        <v>69</v>
      </c>
      <c r="CN947">
        <v>-0.13</v>
      </c>
      <c r="CO947">
        <v>65</v>
      </c>
      <c r="CP947">
        <v>-8.5</v>
      </c>
      <c r="CQ947">
        <v>77</v>
      </c>
      <c r="CR947">
        <v>0</v>
      </c>
      <c r="CS947">
        <v>0</v>
      </c>
      <c r="CT947">
        <v>-8.8000000000000007</v>
      </c>
      <c r="CU947">
        <v>84</v>
      </c>
      <c r="CV947">
        <v>-0.13</v>
      </c>
      <c r="CW947">
        <v>20</v>
      </c>
      <c r="CX947" t="s">
        <v>9943</v>
      </c>
    </row>
    <row r="948" spans="1:102" x14ac:dyDescent="0.3">
      <c r="A948" t="str">
        <f>HYPERLINK("https://webapp.icbf.com/v2/app/bull-search/view/804575563","S1015")</f>
        <v>S1015</v>
      </c>
      <c r="B948" t="s">
        <v>12740</v>
      </c>
      <c r="C948" t="s">
        <v>380</v>
      </c>
      <c r="D948" s="1">
        <v>39560</v>
      </c>
      <c r="E948" t="s">
        <v>92</v>
      </c>
      <c r="F948">
        <v>100</v>
      </c>
      <c r="G948" t="s">
        <v>109</v>
      </c>
      <c r="H948">
        <v>146.91999999999999</v>
      </c>
      <c r="I948">
        <v>83</v>
      </c>
      <c r="J948">
        <v>37.79</v>
      </c>
      <c r="K948">
        <v>94</v>
      </c>
      <c r="L948">
        <v>50.52</v>
      </c>
      <c r="M948">
        <v>86</v>
      </c>
      <c r="N948">
        <v>42.04</v>
      </c>
      <c r="O948">
        <v>75</v>
      </c>
      <c r="P948">
        <v>-0.28999999999999998</v>
      </c>
      <c r="Q948">
        <v>73</v>
      </c>
      <c r="R948">
        <v>7.94</v>
      </c>
      <c r="S948">
        <v>77</v>
      </c>
      <c r="T948">
        <v>-0.23</v>
      </c>
      <c r="U948">
        <v>62</v>
      </c>
      <c r="V948">
        <v>9.15</v>
      </c>
      <c r="W948">
        <v>65</v>
      </c>
      <c r="X948" t="s">
        <v>94</v>
      </c>
      <c r="Y948" t="s">
        <v>303</v>
      </c>
      <c r="Z948" t="s">
        <v>96</v>
      </c>
      <c r="AA948" t="s">
        <v>5747</v>
      </c>
      <c r="AB948" t="s">
        <v>12741</v>
      </c>
      <c r="AC948">
        <v>0</v>
      </c>
      <c r="AD948">
        <v>0</v>
      </c>
      <c r="AE948">
        <v>94</v>
      </c>
      <c r="AF948">
        <v>362.2</v>
      </c>
      <c r="AG948">
        <v>3.14</v>
      </c>
      <c r="AH948">
        <v>10.86</v>
      </c>
      <c r="AI948">
        <v>-0.18</v>
      </c>
      <c r="AJ948">
        <v>-0.02</v>
      </c>
      <c r="AK948">
        <v>86</v>
      </c>
      <c r="AL948">
        <v>0</v>
      </c>
      <c r="AM948">
        <v>0</v>
      </c>
      <c r="AN948">
        <v>-1.88</v>
      </c>
      <c r="AO948">
        <v>2.16</v>
      </c>
      <c r="AP948">
        <v>19</v>
      </c>
      <c r="AQ948">
        <v>0</v>
      </c>
      <c r="AR948">
        <v>6.3</v>
      </c>
      <c r="AS948">
        <v>69</v>
      </c>
      <c r="AT948">
        <v>2.8</v>
      </c>
      <c r="AU948">
        <v>97</v>
      </c>
      <c r="AV948">
        <v>-3.93</v>
      </c>
      <c r="AW948">
        <v>74</v>
      </c>
      <c r="AX948">
        <v>-0.04</v>
      </c>
      <c r="AY948">
        <v>66</v>
      </c>
      <c r="AZ948">
        <v>5.1100000000000003</v>
      </c>
      <c r="BA948">
        <v>57</v>
      </c>
      <c r="BB948">
        <v>4.3600000000000003</v>
      </c>
      <c r="BC948">
        <v>54</v>
      </c>
      <c r="BD948">
        <v>-0.04</v>
      </c>
      <c r="BE948">
        <v>-0.04</v>
      </c>
      <c r="BF948">
        <v>-0.04</v>
      </c>
      <c r="BG948">
        <v>92</v>
      </c>
      <c r="BH948">
        <v>0.1</v>
      </c>
      <c r="BI948">
        <v>-17.940000000000001</v>
      </c>
      <c r="BJ948">
        <v>7</v>
      </c>
      <c r="BK948">
        <v>5</v>
      </c>
      <c r="BL948">
        <v>1.08</v>
      </c>
      <c r="BM948">
        <v>-0.89</v>
      </c>
      <c r="BN948">
        <v>-1.74</v>
      </c>
      <c r="BO948">
        <v>-0.34</v>
      </c>
      <c r="BP948">
        <v>-0.84</v>
      </c>
      <c r="BQ948">
        <v>-0.47</v>
      </c>
      <c r="BR948">
        <v>-0.71</v>
      </c>
      <c r="BS948">
        <v>1.71</v>
      </c>
      <c r="BT948">
        <v>0.96</v>
      </c>
      <c r="BU948">
        <v>2.61</v>
      </c>
      <c r="BV948">
        <v>1.67</v>
      </c>
      <c r="BW948">
        <v>2.16</v>
      </c>
      <c r="BX948">
        <v>3.82</v>
      </c>
      <c r="BY948">
        <v>2.7</v>
      </c>
      <c r="BZ948">
        <v>-1.73</v>
      </c>
      <c r="CA948">
        <v>2.64</v>
      </c>
      <c r="CB948">
        <v>2.31</v>
      </c>
      <c r="CC948">
        <v>1.22</v>
      </c>
      <c r="CD948">
        <v>0.56999999999999995</v>
      </c>
      <c r="CE948">
        <v>0.55000000000000004</v>
      </c>
      <c r="CF948">
        <v>0.52</v>
      </c>
      <c r="CG948">
        <v>0</v>
      </c>
      <c r="CH948">
        <v>2.72</v>
      </c>
      <c r="CI948">
        <v>0</v>
      </c>
      <c r="CJ948">
        <v>0.1</v>
      </c>
      <c r="CK948">
        <v>75</v>
      </c>
      <c r="CL948">
        <v>-0.94</v>
      </c>
      <c r="CM948">
        <v>73</v>
      </c>
      <c r="CN948">
        <v>-0.7</v>
      </c>
      <c r="CO948">
        <v>71</v>
      </c>
      <c r="CP948">
        <v>7.2</v>
      </c>
      <c r="CQ948">
        <v>66</v>
      </c>
      <c r="CR948">
        <v>0</v>
      </c>
      <c r="CS948">
        <v>0</v>
      </c>
      <c r="CT948">
        <v>14.1</v>
      </c>
      <c r="CU948">
        <v>62</v>
      </c>
      <c r="CV948">
        <v>0.19</v>
      </c>
      <c r="CW948">
        <v>41</v>
      </c>
      <c r="CX948" t="s">
        <v>314</v>
      </c>
    </row>
    <row r="949" spans="1:102" x14ac:dyDescent="0.3">
      <c r="A949" t="str">
        <f>HYPERLINK("https://webapp.icbf.com/v2/app/bull-search/view/1087153974","VLX")</f>
        <v>VLX</v>
      </c>
      <c r="B949" t="s">
        <v>1984</v>
      </c>
      <c r="C949" t="s">
        <v>1985</v>
      </c>
      <c r="D949" s="1">
        <v>39580</v>
      </c>
      <c r="E949" t="s">
        <v>395</v>
      </c>
      <c r="F949">
        <v>0</v>
      </c>
      <c r="G949" t="s">
        <v>93</v>
      </c>
      <c r="H949">
        <v>146.85</v>
      </c>
      <c r="I949">
        <v>88</v>
      </c>
      <c r="J949">
        <v>27.7</v>
      </c>
      <c r="K949">
        <v>97</v>
      </c>
      <c r="L949">
        <v>72.47</v>
      </c>
      <c r="M949">
        <v>83</v>
      </c>
      <c r="N949">
        <v>40.479999999999997</v>
      </c>
      <c r="O949">
        <v>88</v>
      </c>
      <c r="P949">
        <v>-10.92</v>
      </c>
      <c r="Q949">
        <v>94</v>
      </c>
      <c r="R949">
        <v>2.46</v>
      </c>
      <c r="S949">
        <v>67</v>
      </c>
      <c r="T949">
        <v>16.93</v>
      </c>
      <c r="U949">
        <v>86</v>
      </c>
      <c r="V949">
        <v>-2.27</v>
      </c>
      <c r="W949">
        <v>60</v>
      </c>
      <c r="X949" t="s">
        <v>102</v>
      </c>
      <c r="Y949" t="s">
        <v>1980</v>
      </c>
      <c r="Z949">
        <v>0</v>
      </c>
      <c r="AA949" t="s">
        <v>1986</v>
      </c>
      <c r="AB949" t="s">
        <v>1987</v>
      </c>
      <c r="AC949">
        <v>158</v>
      </c>
      <c r="AD949">
        <v>55</v>
      </c>
      <c r="AE949">
        <v>97</v>
      </c>
      <c r="AF949">
        <v>242.53</v>
      </c>
      <c r="AG949">
        <v>1.65</v>
      </c>
      <c r="AH949">
        <v>7.84</v>
      </c>
      <c r="AI949">
        <v>-0.12</v>
      </c>
      <c r="AJ949">
        <v>-0.01</v>
      </c>
      <c r="AK949">
        <v>83</v>
      </c>
      <c r="AL949">
        <v>172</v>
      </c>
      <c r="AM949">
        <v>65</v>
      </c>
      <c r="AN949">
        <v>-3.9</v>
      </c>
      <c r="AO949">
        <v>1.88</v>
      </c>
      <c r="AP949">
        <v>388</v>
      </c>
      <c r="AQ949">
        <v>3</v>
      </c>
      <c r="AR949">
        <v>4.2</v>
      </c>
      <c r="AS949">
        <v>87</v>
      </c>
      <c r="AT949">
        <v>1.99</v>
      </c>
      <c r="AU949">
        <v>92</v>
      </c>
      <c r="AV949">
        <v>-3.03</v>
      </c>
      <c r="AW949">
        <v>98</v>
      </c>
      <c r="AX949">
        <v>-0.18</v>
      </c>
      <c r="AY949">
        <v>87</v>
      </c>
      <c r="AZ949">
        <v>6.43</v>
      </c>
      <c r="BA949">
        <v>69</v>
      </c>
      <c r="BB949">
        <v>4.99</v>
      </c>
      <c r="BC949">
        <v>57</v>
      </c>
      <c r="BD949">
        <v>-0.01</v>
      </c>
      <c r="BE949">
        <v>0</v>
      </c>
      <c r="BF949">
        <v>-0.04</v>
      </c>
      <c r="BG949">
        <v>85</v>
      </c>
      <c r="BH949">
        <v>-0.17</v>
      </c>
      <c r="BI949">
        <v>-12.34</v>
      </c>
      <c r="BJ949">
        <v>0</v>
      </c>
      <c r="BK949">
        <v>0</v>
      </c>
      <c r="BL949">
        <v>-1.07</v>
      </c>
      <c r="BM949">
        <v>0.62</v>
      </c>
      <c r="BN949">
        <v>-1</v>
      </c>
      <c r="BO949">
        <v>-1.1299999999999999</v>
      </c>
      <c r="BP949">
        <v>0.53</v>
      </c>
      <c r="BQ949">
        <v>-0.4</v>
      </c>
      <c r="BR949">
        <v>0.38</v>
      </c>
      <c r="BS949">
        <v>-0.05</v>
      </c>
      <c r="BT949">
        <v>-0.48</v>
      </c>
      <c r="BU949">
        <v>-0.88</v>
      </c>
      <c r="BV949">
        <v>-1.59</v>
      </c>
      <c r="BW949">
        <v>-1.22</v>
      </c>
      <c r="BX949">
        <v>-0.62</v>
      </c>
      <c r="BY949">
        <v>-0.75</v>
      </c>
      <c r="BZ949">
        <v>-0.8</v>
      </c>
      <c r="CA949">
        <v>-1.1499999999999999</v>
      </c>
      <c r="CB949">
        <v>-1.25</v>
      </c>
      <c r="CC949">
        <v>-0.54</v>
      </c>
      <c r="CD949">
        <v>0.91</v>
      </c>
      <c r="CE949">
        <v>-1.1100000000000001</v>
      </c>
      <c r="CF949">
        <v>-1.08</v>
      </c>
      <c r="CG949">
        <v>0</v>
      </c>
      <c r="CH949">
        <v>-0.8</v>
      </c>
      <c r="CI949">
        <v>0</v>
      </c>
      <c r="CJ949">
        <v>-2.9</v>
      </c>
      <c r="CK949">
        <v>96</v>
      </c>
      <c r="CL949">
        <v>-0.43</v>
      </c>
      <c r="CM949">
        <v>94</v>
      </c>
      <c r="CN949">
        <v>0.1</v>
      </c>
      <c r="CO949">
        <v>94</v>
      </c>
      <c r="CP949">
        <v>-8.6999999999999993</v>
      </c>
      <c r="CQ949">
        <v>80</v>
      </c>
      <c r="CR949">
        <v>0</v>
      </c>
      <c r="CS949">
        <v>0</v>
      </c>
      <c r="CT949">
        <v>-9.1</v>
      </c>
      <c r="CU949">
        <v>86</v>
      </c>
      <c r="CV949">
        <v>0.04</v>
      </c>
      <c r="CW949">
        <v>45</v>
      </c>
      <c r="CX949" t="s">
        <v>1988</v>
      </c>
    </row>
    <row r="950" spans="1:102" x14ac:dyDescent="0.3">
      <c r="A950" t="str">
        <f>HYPERLINK("https://webapp.icbf.com/v2/app/bull-search/view/1138797959","YFM")</f>
        <v>YFM</v>
      </c>
      <c r="B950" t="s">
        <v>13303</v>
      </c>
      <c r="C950" t="s">
        <v>13304</v>
      </c>
      <c r="D950" s="1">
        <v>41668</v>
      </c>
      <c r="E950" t="s">
        <v>92</v>
      </c>
      <c r="F950">
        <v>78</v>
      </c>
      <c r="G950" t="s">
        <v>93</v>
      </c>
      <c r="H950">
        <v>146.85</v>
      </c>
      <c r="I950">
        <v>87</v>
      </c>
      <c r="J950">
        <v>26.6</v>
      </c>
      <c r="K950">
        <v>97</v>
      </c>
      <c r="L950">
        <v>76.28</v>
      </c>
      <c r="M950">
        <v>78</v>
      </c>
      <c r="N950">
        <v>33.67</v>
      </c>
      <c r="O950">
        <v>87</v>
      </c>
      <c r="P950">
        <v>-27.19</v>
      </c>
      <c r="Q950">
        <v>93</v>
      </c>
      <c r="R950">
        <v>5.16</v>
      </c>
      <c r="S950">
        <v>77</v>
      </c>
      <c r="T950">
        <v>28.55</v>
      </c>
      <c r="U950">
        <v>84</v>
      </c>
      <c r="V950">
        <v>3.78</v>
      </c>
      <c r="W950">
        <v>73</v>
      </c>
      <c r="X950" t="s">
        <v>94</v>
      </c>
      <c r="Y950" t="s">
        <v>389</v>
      </c>
      <c r="Z950" t="s">
        <v>96</v>
      </c>
      <c r="AA950" t="s">
        <v>9180</v>
      </c>
      <c r="AB950" t="s">
        <v>13305</v>
      </c>
      <c r="AC950">
        <v>160</v>
      </c>
      <c r="AD950">
        <v>83</v>
      </c>
      <c r="AE950">
        <v>97</v>
      </c>
      <c r="AF950">
        <v>250.41</v>
      </c>
      <c r="AG950">
        <v>1.43</v>
      </c>
      <c r="AH950">
        <v>7.85</v>
      </c>
      <c r="AI950">
        <v>-0.14000000000000001</v>
      </c>
      <c r="AJ950">
        <v>-0.01</v>
      </c>
      <c r="AK950">
        <v>78</v>
      </c>
      <c r="AL950">
        <v>167</v>
      </c>
      <c r="AM950">
        <v>90</v>
      </c>
      <c r="AN950">
        <v>-3.62</v>
      </c>
      <c r="AO950">
        <v>2.4700000000000002</v>
      </c>
      <c r="AP950">
        <v>353</v>
      </c>
      <c r="AQ950">
        <v>3</v>
      </c>
      <c r="AR950">
        <v>4.78</v>
      </c>
      <c r="AS950">
        <v>75</v>
      </c>
      <c r="AT950">
        <v>2.2999999999999998</v>
      </c>
      <c r="AU950">
        <v>91</v>
      </c>
      <c r="AV950">
        <v>-2.42</v>
      </c>
      <c r="AW950">
        <v>98</v>
      </c>
      <c r="AX950">
        <v>-0.69</v>
      </c>
      <c r="AY950">
        <v>86</v>
      </c>
      <c r="AZ950">
        <v>6.88</v>
      </c>
      <c r="BA950">
        <v>72</v>
      </c>
      <c r="BB950">
        <v>4.9000000000000004</v>
      </c>
      <c r="BC950">
        <v>60</v>
      </c>
      <c r="BD950">
        <v>-0.04</v>
      </c>
      <c r="BE950">
        <v>0.02</v>
      </c>
      <c r="BF950">
        <v>-0.09</v>
      </c>
      <c r="BG950">
        <v>89</v>
      </c>
      <c r="BH950">
        <v>-0.12</v>
      </c>
      <c r="BI950">
        <v>-26.08</v>
      </c>
      <c r="BJ950">
        <v>5</v>
      </c>
      <c r="BK950">
        <v>5</v>
      </c>
      <c r="BL950">
        <v>-2.67</v>
      </c>
      <c r="BM950">
        <v>-1.72</v>
      </c>
      <c r="BN950">
        <v>-2.48</v>
      </c>
      <c r="BO950">
        <v>-0.96</v>
      </c>
      <c r="BP950">
        <v>1.01</v>
      </c>
      <c r="BQ950">
        <v>-3.28</v>
      </c>
      <c r="BR950">
        <v>1.41</v>
      </c>
      <c r="BS950">
        <v>-2.57</v>
      </c>
      <c r="BT950">
        <v>-2.23</v>
      </c>
      <c r="BU950">
        <v>0.16</v>
      </c>
      <c r="BV950">
        <v>-0.03</v>
      </c>
      <c r="BW950">
        <v>-1.43</v>
      </c>
      <c r="BX950">
        <v>-0.21</v>
      </c>
      <c r="BY950">
        <v>-1.07</v>
      </c>
      <c r="BZ950">
        <v>-1.86</v>
      </c>
      <c r="CA950">
        <v>-1.58</v>
      </c>
      <c r="CB950">
        <v>-1.1100000000000001</v>
      </c>
      <c r="CC950">
        <v>-2.29</v>
      </c>
      <c r="CD950">
        <v>-0.96</v>
      </c>
      <c r="CE950">
        <v>-1.06</v>
      </c>
      <c r="CF950">
        <v>-3.36</v>
      </c>
      <c r="CG950">
        <v>0</v>
      </c>
      <c r="CH950">
        <v>-1.45</v>
      </c>
      <c r="CI950">
        <v>0</v>
      </c>
      <c r="CJ950">
        <v>-11.7</v>
      </c>
      <c r="CK950">
        <v>95</v>
      </c>
      <c r="CL950">
        <v>-0.87</v>
      </c>
      <c r="CM950">
        <v>93</v>
      </c>
      <c r="CN950">
        <v>-0.03</v>
      </c>
      <c r="CO950">
        <v>93</v>
      </c>
      <c r="CP950">
        <v>-16.100000000000001</v>
      </c>
      <c r="CQ950">
        <v>76</v>
      </c>
      <c r="CR950">
        <v>0</v>
      </c>
      <c r="CS950">
        <v>0</v>
      </c>
      <c r="CT950">
        <v>-24.8</v>
      </c>
      <c r="CU950">
        <v>84</v>
      </c>
      <c r="CV950">
        <v>0.05</v>
      </c>
      <c r="CW950">
        <v>45</v>
      </c>
      <c r="CX950" t="s">
        <v>3773</v>
      </c>
    </row>
    <row r="951" spans="1:102" x14ac:dyDescent="0.3">
      <c r="A951" t="str">
        <f>HYPERLINK("https://webapp.icbf.com/v2/app/bull-search/view/1005573680","RRV")</f>
        <v>RRV</v>
      </c>
      <c r="B951" t="s">
        <v>14904</v>
      </c>
      <c r="C951" t="s">
        <v>14905</v>
      </c>
      <c r="D951" s="1">
        <v>39064</v>
      </c>
      <c r="E951" t="s">
        <v>395</v>
      </c>
      <c r="F951">
        <v>0</v>
      </c>
      <c r="G951" t="s">
        <v>93</v>
      </c>
      <c r="H951">
        <v>146.81</v>
      </c>
      <c r="I951">
        <v>86</v>
      </c>
      <c r="J951">
        <v>49.3</v>
      </c>
      <c r="K951">
        <v>94</v>
      </c>
      <c r="L951">
        <v>74.25</v>
      </c>
      <c r="M951">
        <v>83</v>
      </c>
      <c r="N951">
        <v>11.1</v>
      </c>
      <c r="O951">
        <v>82</v>
      </c>
      <c r="P951">
        <v>3.84</v>
      </c>
      <c r="Q951">
        <v>89</v>
      </c>
      <c r="R951">
        <v>9.2100000000000009</v>
      </c>
      <c r="S951">
        <v>68</v>
      </c>
      <c r="T951">
        <v>5.39</v>
      </c>
      <c r="U951">
        <v>89</v>
      </c>
      <c r="V951">
        <v>-6.28</v>
      </c>
      <c r="W951">
        <v>65</v>
      </c>
      <c r="X951" t="s">
        <v>94</v>
      </c>
      <c r="Y951" t="s">
        <v>1980</v>
      </c>
      <c r="Z951">
        <v>0</v>
      </c>
      <c r="AA951" t="s">
        <v>1855</v>
      </c>
      <c r="AB951" t="s">
        <v>14906</v>
      </c>
      <c r="AC951">
        <v>48</v>
      </c>
      <c r="AD951">
        <v>19</v>
      </c>
      <c r="AE951">
        <v>94</v>
      </c>
      <c r="AF951">
        <v>-16.27</v>
      </c>
      <c r="AG951">
        <v>4.2</v>
      </c>
      <c r="AH951">
        <v>6.65</v>
      </c>
      <c r="AI951">
        <v>0.08</v>
      </c>
      <c r="AJ951">
        <v>0.13</v>
      </c>
      <c r="AK951">
        <v>83</v>
      </c>
      <c r="AL951">
        <v>60</v>
      </c>
      <c r="AM951">
        <v>26</v>
      </c>
      <c r="AN951">
        <v>-3.39</v>
      </c>
      <c r="AO951">
        <v>2.54</v>
      </c>
      <c r="AP951">
        <v>153</v>
      </c>
      <c r="AQ951">
        <v>1</v>
      </c>
      <c r="AR951">
        <v>7.57</v>
      </c>
      <c r="AS951">
        <v>59</v>
      </c>
      <c r="AT951">
        <v>3.65</v>
      </c>
      <c r="AU951">
        <v>92</v>
      </c>
      <c r="AV951">
        <v>-2.3199999999999998</v>
      </c>
      <c r="AW951">
        <v>96</v>
      </c>
      <c r="AX951">
        <v>1.32</v>
      </c>
      <c r="AY951">
        <v>77</v>
      </c>
      <c r="AZ951">
        <v>5.88</v>
      </c>
      <c r="BA951">
        <v>53</v>
      </c>
      <c r="BB951">
        <v>5.01</v>
      </c>
      <c r="BC951">
        <v>47</v>
      </c>
      <c r="BD951">
        <v>-0.04</v>
      </c>
      <c r="BE951">
        <v>-0.05</v>
      </c>
      <c r="BF951">
        <v>-0.05</v>
      </c>
      <c r="BG951">
        <v>78</v>
      </c>
      <c r="BH951">
        <v>-0.26</v>
      </c>
      <c r="BI951">
        <v>-9.82</v>
      </c>
      <c r="BJ951">
        <v>0</v>
      </c>
      <c r="BK951">
        <v>0</v>
      </c>
      <c r="BL951">
        <v>-1.84</v>
      </c>
      <c r="BM951">
        <v>0.15</v>
      </c>
      <c r="BN951">
        <v>-1.76</v>
      </c>
      <c r="BO951">
        <v>-1.37</v>
      </c>
      <c r="BP951">
        <v>1.9</v>
      </c>
      <c r="BQ951">
        <v>-1.81</v>
      </c>
      <c r="BR951">
        <v>0.82</v>
      </c>
      <c r="BS951">
        <v>0.14000000000000001</v>
      </c>
      <c r="BT951">
        <v>-0.56999999999999995</v>
      </c>
      <c r="BU951">
        <v>-1.74</v>
      </c>
      <c r="BV951">
        <v>-3.07</v>
      </c>
      <c r="BW951">
        <v>-2.57</v>
      </c>
      <c r="BX951">
        <v>-1.79</v>
      </c>
      <c r="BY951">
        <v>-1.05</v>
      </c>
      <c r="BZ951">
        <v>-2.0299999999999998</v>
      </c>
      <c r="CA951">
        <v>-2.0699999999999998</v>
      </c>
      <c r="CB951">
        <v>-2.29</v>
      </c>
      <c r="CC951">
        <v>-0.84</v>
      </c>
      <c r="CD951">
        <v>0.83</v>
      </c>
      <c r="CE951">
        <v>-1.29</v>
      </c>
      <c r="CF951">
        <v>-2.19</v>
      </c>
      <c r="CG951">
        <v>0</v>
      </c>
      <c r="CH951">
        <v>-1.46</v>
      </c>
      <c r="CI951">
        <v>0</v>
      </c>
      <c r="CJ951">
        <v>2.2999999999999998</v>
      </c>
      <c r="CK951">
        <v>91</v>
      </c>
      <c r="CL951">
        <v>-0.13</v>
      </c>
      <c r="CM951">
        <v>89</v>
      </c>
      <c r="CN951">
        <v>-0.21</v>
      </c>
      <c r="CO951">
        <v>88</v>
      </c>
      <c r="CP951">
        <v>-3</v>
      </c>
      <c r="CQ951">
        <v>80</v>
      </c>
      <c r="CR951">
        <v>0</v>
      </c>
      <c r="CS951">
        <v>0</v>
      </c>
      <c r="CT951">
        <v>6.5</v>
      </c>
      <c r="CU951">
        <v>89</v>
      </c>
      <c r="CV951">
        <v>0.01</v>
      </c>
      <c r="CW951">
        <v>44</v>
      </c>
      <c r="CX951" t="s">
        <v>12850</v>
      </c>
    </row>
    <row r="952" spans="1:102" x14ac:dyDescent="0.3">
      <c r="A952" t="str">
        <f>HYPERLINK("https://webapp.icbf.com/v2/app/bull-search/view/861655814","DYM")</f>
        <v>DYM</v>
      </c>
      <c r="B952" t="s">
        <v>15280</v>
      </c>
      <c r="C952" t="s">
        <v>15281</v>
      </c>
      <c r="D952" s="1">
        <v>40583</v>
      </c>
      <c r="E952" t="s">
        <v>92</v>
      </c>
      <c r="F952">
        <v>78</v>
      </c>
      <c r="G952" t="s">
        <v>93</v>
      </c>
      <c r="H952">
        <v>146.69</v>
      </c>
      <c r="I952">
        <v>93</v>
      </c>
      <c r="J952">
        <v>75.489999999999995</v>
      </c>
      <c r="K952">
        <v>99</v>
      </c>
      <c r="L952">
        <v>34.67</v>
      </c>
      <c r="M952">
        <v>88</v>
      </c>
      <c r="N952">
        <v>34.5</v>
      </c>
      <c r="O952">
        <v>96</v>
      </c>
      <c r="P952">
        <v>3.64</v>
      </c>
      <c r="Q952">
        <v>99</v>
      </c>
      <c r="R952">
        <v>-0.64</v>
      </c>
      <c r="S952">
        <v>88</v>
      </c>
      <c r="T952">
        <v>-2.16</v>
      </c>
      <c r="U952">
        <v>93</v>
      </c>
      <c r="V952">
        <v>1.19</v>
      </c>
      <c r="W952">
        <v>80</v>
      </c>
      <c r="X952" t="s">
        <v>102</v>
      </c>
      <c r="Y952" t="s">
        <v>1860</v>
      </c>
      <c r="Z952" t="s">
        <v>96</v>
      </c>
      <c r="AA952" t="s">
        <v>419</v>
      </c>
      <c r="AB952" t="s">
        <v>15282</v>
      </c>
      <c r="AC952">
        <v>982</v>
      </c>
      <c r="AD952">
        <v>254</v>
      </c>
      <c r="AE952">
        <v>99</v>
      </c>
      <c r="AF952">
        <v>167.17</v>
      </c>
      <c r="AG952">
        <v>9.8000000000000007</v>
      </c>
      <c r="AH952">
        <v>11.93</v>
      </c>
      <c r="AI952">
        <v>0.06</v>
      </c>
      <c r="AJ952">
        <v>0.11</v>
      </c>
      <c r="AK952">
        <v>88</v>
      </c>
      <c r="AL952">
        <v>715</v>
      </c>
      <c r="AM952">
        <v>238</v>
      </c>
      <c r="AN952">
        <v>-1.49</v>
      </c>
      <c r="AO952">
        <v>1.28</v>
      </c>
      <c r="AP952">
        <v>2777</v>
      </c>
      <c r="AQ952">
        <v>25</v>
      </c>
      <c r="AR952">
        <v>8.02</v>
      </c>
      <c r="AS952">
        <v>94</v>
      </c>
      <c r="AT952">
        <v>2.85</v>
      </c>
      <c r="AU952">
        <v>98</v>
      </c>
      <c r="AV952">
        <v>-3.89</v>
      </c>
      <c r="AW952">
        <v>99</v>
      </c>
      <c r="AX952">
        <v>-0.53</v>
      </c>
      <c r="AY952">
        <v>98</v>
      </c>
      <c r="AZ952">
        <v>6.33</v>
      </c>
      <c r="BA952">
        <v>92</v>
      </c>
      <c r="BB952">
        <v>4.84</v>
      </c>
      <c r="BC952">
        <v>85</v>
      </c>
      <c r="BD952">
        <v>0.01</v>
      </c>
      <c r="BE952">
        <v>0.02</v>
      </c>
      <c r="BF952">
        <v>-0.04</v>
      </c>
      <c r="BG952">
        <v>97</v>
      </c>
      <c r="BH952">
        <v>0</v>
      </c>
      <c r="BI952">
        <v>-3.83</v>
      </c>
      <c r="BJ952">
        <v>29</v>
      </c>
      <c r="BK952">
        <v>15</v>
      </c>
      <c r="BL952">
        <v>-1.58</v>
      </c>
      <c r="BM952">
        <v>0.66</v>
      </c>
      <c r="BN952">
        <v>-0.75</v>
      </c>
      <c r="BO952">
        <v>-1.08</v>
      </c>
      <c r="BP952">
        <v>-0.55000000000000004</v>
      </c>
      <c r="BQ952">
        <v>-1.71</v>
      </c>
      <c r="BR952">
        <v>-0.75</v>
      </c>
      <c r="BS952">
        <v>-1.05</v>
      </c>
      <c r="BT952">
        <v>-0.32</v>
      </c>
      <c r="BU952">
        <v>-1.29</v>
      </c>
      <c r="BV952">
        <v>-1.48</v>
      </c>
      <c r="BW952">
        <v>-1.24</v>
      </c>
      <c r="BX952">
        <v>-0.56999999999999995</v>
      </c>
      <c r="BY952">
        <v>-3.24</v>
      </c>
      <c r="BZ952">
        <v>-0.43</v>
      </c>
      <c r="CA952">
        <v>-1.92</v>
      </c>
      <c r="CB952">
        <v>-1.77</v>
      </c>
      <c r="CC952">
        <v>-1.05</v>
      </c>
      <c r="CD952">
        <v>1.04</v>
      </c>
      <c r="CE952">
        <v>-1.29</v>
      </c>
      <c r="CF952">
        <v>-1.49</v>
      </c>
      <c r="CG952">
        <v>0</v>
      </c>
      <c r="CH952">
        <v>-3.09</v>
      </c>
      <c r="CI952">
        <v>0</v>
      </c>
      <c r="CJ952">
        <v>2</v>
      </c>
      <c r="CK952">
        <v>99</v>
      </c>
      <c r="CL952">
        <v>-0.34</v>
      </c>
      <c r="CM952">
        <v>99</v>
      </c>
      <c r="CN952">
        <v>-0.33</v>
      </c>
      <c r="CO952">
        <v>99</v>
      </c>
      <c r="CP952">
        <v>3.5</v>
      </c>
      <c r="CQ952">
        <v>93</v>
      </c>
      <c r="CR952">
        <v>0</v>
      </c>
      <c r="CS952">
        <v>0</v>
      </c>
      <c r="CT952">
        <v>16.7</v>
      </c>
      <c r="CU952">
        <v>93</v>
      </c>
      <c r="CV952">
        <v>0.12</v>
      </c>
      <c r="CW952">
        <v>47</v>
      </c>
      <c r="CX952" t="s">
        <v>4532</v>
      </c>
    </row>
    <row r="953" spans="1:102" x14ac:dyDescent="0.3">
      <c r="A953" t="str">
        <f>HYPERLINK("https://webapp.icbf.com/v2/app/bull-search/view/1206739850","S2249")</f>
        <v>S2249</v>
      </c>
      <c r="B953" t="s">
        <v>2086</v>
      </c>
      <c r="C953" t="s">
        <v>2087</v>
      </c>
      <c r="D953" s="1">
        <v>41330</v>
      </c>
      <c r="E953" t="s">
        <v>92</v>
      </c>
      <c r="F953">
        <v>100</v>
      </c>
      <c r="G953" t="s">
        <v>93</v>
      </c>
      <c r="H953">
        <v>146.61000000000001</v>
      </c>
      <c r="I953">
        <v>89</v>
      </c>
      <c r="J953">
        <v>82.17</v>
      </c>
      <c r="K953">
        <v>98</v>
      </c>
      <c r="L953">
        <v>24.17</v>
      </c>
      <c r="M953">
        <v>87</v>
      </c>
      <c r="N953">
        <v>33.65</v>
      </c>
      <c r="O953">
        <v>89</v>
      </c>
      <c r="P953">
        <v>-16.739999999999998</v>
      </c>
      <c r="Q953">
        <v>93</v>
      </c>
      <c r="R953">
        <v>1.22</v>
      </c>
      <c r="S953">
        <v>81</v>
      </c>
      <c r="T953">
        <v>13.97</v>
      </c>
      <c r="U953">
        <v>69</v>
      </c>
      <c r="V953">
        <v>8.17</v>
      </c>
      <c r="W953">
        <v>71</v>
      </c>
      <c r="X953" t="s">
        <v>94</v>
      </c>
      <c r="Y953" t="s">
        <v>367</v>
      </c>
      <c r="Z953" t="s">
        <v>96</v>
      </c>
      <c r="AA953" t="s">
        <v>401</v>
      </c>
      <c r="AB953" t="s">
        <v>2088</v>
      </c>
      <c r="AC953">
        <v>240</v>
      </c>
      <c r="AD953">
        <v>91</v>
      </c>
      <c r="AE953">
        <v>98</v>
      </c>
      <c r="AF953">
        <v>497.16</v>
      </c>
      <c r="AG953">
        <v>21.61</v>
      </c>
      <c r="AH953">
        <v>13.94</v>
      </c>
      <c r="AI953">
        <v>0.04</v>
      </c>
      <c r="AJ953">
        <v>-0.05</v>
      </c>
      <c r="AK953">
        <v>87</v>
      </c>
      <c r="AL953">
        <v>112</v>
      </c>
      <c r="AM953">
        <v>56</v>
      </c>
      <c r="AN953">
        <v>-0.33</v>
      </c>
      <c r="AO953">
        <v>1.61</v>
      </c>
      <c r="AP953">
        <v>457</v>
      </c>
      <c r="AQ953">
        <v>5</v>
      </c>
      <c r="AR953">
        <v>6.3</v>
      </c>
      <c r="AS953">
        <v>90</v>
      </c>
      <c r="AT953">
        <v>2.29</v>
      </c>
      <c r="AU953">
        <v>92</v>
      </c>
      <c r="AV953">
        <v>-2.7</v>
      </c>
      <c r="AW953">
        <v>98</v>
      </c>
      <c r="AX953">
        <v>-0.22</v>
      </c>
      <c r="AY953">
        <v>90</v>
      </c>
      <c r="AZ953">
        <v>5.47</v>
      </c>
      <c r="BA953">
        <v>77</v>
      </c>
      <c r="BB953">
        <v>4.91</v>
      </c>
      <c r="BC953">
        <v>59</v>
      </c>
      <c r="BD953">
        <v>0</v>
      </c>
      <c r="BE953">
        <v>-0.02</v>
      </c>
      <c r="BF953">
        <v>0.01</v>
      </c>
      <c r="BG953">
        <v>94</v>
      </c>
      <c r="BH953">
        <v>0.06</v>
      </c>
      <c r="BI953">
        <v>-19.43</v>
      </c>
      <c r="BJ953">
        <v>57</v>
      </c>
      <c r="BK953">
        <v>20</v>
      </c>
      <c r="BL953">
        <v>0.97</v>
      </c>
      <c r="BM953">
        <v>-1.92</v>
      </c>
      <c r="BN953">
        <v>-0.52</v>
      </c>
      <c r="BO953">
        <v>1.0900000000000001</v>
      </c>
      <c r="BP953">
        <v>1.23</v>
      </c>
      <c r="BQ953">
        <v>1.1299999999999999</v>
      </c>
      <c r="BR953">
        <v>7.0000000000000007E-2</v>
      </c>
      <c r="BS953">
        <v>1.8</v>
      </c>
      <c r="BT953">
        <v>1.01</v>
      </c>
      <c r="BU953">
        <v>2.29</v>
      </c>
      <c r="BV953">
        <v>2.87</v>
      </c>
      <c r="BW953">
        <v>2.77</v>
      </c>
      <c r="BX953">
        <v>1.92</v>
      </c>
      <c r="BY953">
        <v>2.7</v>
      </c>
      <c r="BZ953">
        <v>-1.39</v>
      </c>
      <c r="CA953">
        <v>2.44</v>
      </c>
      <c r="CB953">
        <v>2.54</v>
      </c>
      <c r="CC953">
        <v>0.96</v>
      </c>
      <c r="CD953">
        <v>-1.32</v>
      </c>
      <c r="CE953">
        <v>1.23</v>
      </c>
      <c r="CF953">
        <v>0.01</v>
      </c>
      <c r="CG953">
        <v>0</v>
      </c>
      <c r="CH953">
        <v>2.68</v>
      </c>
      <c r="CI953">
        <v>0</v>
      </c>
      <c r="CJ953">
        <v>-6.4</v>
      </c>
      <c r="CK953">
        <v>95</v>
      </c>
      <c r="CL953">
        <v>-1.2</v>
      </c>
      <c r="CM953">
        <v>94</v>
      </c>
      <c r="CN953">
        <v>-0.49</v>
      </c>
      <c r="CO953">
        <v>93</v>
      </c>
      <c r="CP953">
        <v>-8.4</v>
      </c>
      <c r="CQ953">
        <v>77</v>
      </c>
      <c r="CR953">
        <v>0</v>
      </c>
      <c r="CS953">
        <v>0</v>
      </c>
      <c r="CT953">
        <v>-5.0999999999999996</v>
      </c>
      <c r="CU953">
        <v>69</v>
      </c>
      <c r="CV953">
        <v>0.21</v>
      </c>
      <c r="CW953">
        <v>45</v>
      </c>
      <c r="CX953" t="s">
        <v>277</v>
      </c>
    </row>
    <row r="954" spans="1:102" x14ac:dyDescent="0.3">
      <c r="A954" t="str">
        <f>HYPERLINK("https://webapp.icbf.com/v2/app/bull-search/view/487001789","WLS")</f>
        <v>WLS</v>
      </c>
      <c r="B954" t="s">
        <v>1737</v>
      </c>
      <c r="C954" t="s">
        <v>1738</v>
      </c>
      <c r="D954" s="1">
        <v>38579</v>
      </c>
      <c r="E954" t="s">
        <v>92</v>
      </c>
      <c r="F954">
        <v>69</v>
      </c>
      <c r="G954" t="s">
        <v>93</v>
      </c>
      <c r="H954">
        <v>146.53</v>
      </c>
      <c r="I954">
        <v>93</v>
      </c>
      <c r="J954">
        <v>48.29</v>
      </c>
      <c r="K954">
        <v>99</v>
      </c>
      <c r="L954">
        <v>69.790000000000006</v>
      </c>
      <c r="M954">
        <v>89</v>
      </c>
      <c r="N954">
        <v>26.8</v>
      </c>
      <c r="O954">
        <v>94</v>
      </c>
      <c r="P954">
        <v>-16.2</v>
      </c>
      <c r="Q954">
        <v>97</v>
      </c>
      <c r="R954">
        <v>-8.5299999999999994</v>
      </c>
      <c r="S954">
        <v>86</v>
      </c>
      <c r="T954">
        <v>12.49</v>
      </c>
      <c r="U954">
        <v>93</v>
      </c>
      <c r="V954">
        <v>13.89</v>
      </c>
      <c r="W954">
        <v>81</v>
      </c>
      <c r="X954" t="s">
        <v>276</v>
      </c>
      <c r="Y954" t="s">
        <v>282</v>
      </c>
      <c r="Z954" t="s">
        <v>96</v>
      </c>
      <c r="AA954" t="s">
        <v>1229</v>
      </c>
      <c r="AB954" t="s">
        <v>1739</v>
      </c>
      <c r="AC954">
        <v>320</v>
      </c>
      <c r="AD954">
        <v>148</v>
      </c>
      <c r="AE954">
        <v>99</v>
      </c>
      <c r="AF954">
        <v>309.33999999999997</v>
      </c>
      <c r="AG954">
        <v>4.32</v>
      </c>
      <c r="AH954">
        <v>11.42</v>
      </c>
      <c r="AI954">
        <v>-0.13</v>
      </c>
      <c r="AJ954">
        <v>0.02</v>
      </c>
      <c r="AK954">
        <v>89</v>
      </c>
      <c r="AL954">
        <v>360</v>
      </c>
      <c r="AM954">
        <v>161</v>
      </c>
      <c r="AN954">
        <v>-2.71</v>
      </c>
      <c r="AO954">
        <v>2.87</v>
      </c>
      <c r="AP954">
        <v>700</v>
      </c>
      <c r="AQ954">
        <v>6</v>
      </c>
      <c r="AR954">
        <v>4.49</v>
      </c>
      <c r="AS954">
        <v>86</v>
      </c>
      <c r="AT954">
        <v>2.11</v>
      </c>
      <c r="AU954">
        <v>95</v>
      </c>
      <c r="AV954">
        <v>-1.1599999999999999</v>
      </c>
      <c r="AW954">
        <v>99</v>
      </c>
      <c r="AX954">
        <v>0.06</v>
      </c>
      <c r="AY954">
        <v>93</v>
      </c>
      <c r="AZ954">
        <v>5.55</v>
      </c>
      <c r="BA954">
        <v>81</v>
      </c>
      <c r="BB954">
        <v>4.62</v>
      </c>
      <c r="BC954">
        <v>83</v>
      </c>
      <c r="BD954">
        <v>-0.03</v>
      </c>
      <c r="BE954">
        <v>0.04</v>
      </c>
      <c r="BF954">
        <v>0.17</v>
      </c>
      <c r="BG954">
        <v>95</v>
      </c>
      <c r="BH954">
        <v>0.2</v>
      </c>
      <c r="BI954">
        <v>-21.66</v>
      </c>
      <c r="BJ954">
        <v>13</v>
      </c>
      <c r="BK954">
        <v>7</v>
      </c>
      <c r="BL954">
        <v>-1.53</v>
      </c>
      <c r="BM954">
        <v>0.44</v>
      </c>
      <c r="BN954">
        <v>-1.06</v>
      </c>
      <c r="BO954">
        <v>-1.46</v>
      </c>
      <c r="BP954">
        <v>-0.23</v>
      </c>
      <c r="BQ954">
        <v>-0.66</v>
      </c>
      <c r="BR954">
        <v>1.7</v>
      </c>
      <c r="BS954">
        <v>-1.79</v>
      </c>
      <c r="BT954">
        <v>-2.94</v>
      </c>
      <c r="BU954">
        <v>-3.05</v>
      </c>
      <c r="BV954">
        <v>-1.57</v>
      </c>
      <c r="BW954">
        <v>-2.69</v>
      </c>
      <c r="BX954">
        <v>-3.09</v>
      </c>
      <c r="BY954">
        <v>-2.69</v>
      </c>
      <c r="BZ954">
        <v>-1.06</v>
      </c>
      <c r="CA954">
        <v>-2.5499999999999998</v>
      </c>
      <c r="CB954">
        <v>-2.37</v>
      </c>
      <c r="CC954">
        <v>-1.41</v>
      </c>
      <c r="CD954">
        <v>0.45</v>
      </c>
      <c r="CE954">
        <v>-1.02</v>
      </c>
      <c r="CF954">
        <v>-1.23</v>
      </c>
      <c r="CG954">
        <v>0</v>
      </c>
      <c r="CH954">
        <v>-2.48</v>
      </c>
      <c r="CI954">
        <v>0</v>
      </c>
      <c r="CJ954">
        <v>-4.7</v>
      </c>
      <c r="CK954">
        <v>98</v>
      </c>
      <c r="CL954">
        <v>-0.57999999999999996</v>
      </c>
      <c r="CM954">
        <v>97</v>
      </c>
      <c r="CN954">
        <v>0.18</v>
      </c>
      <c r="CO954">
        <v>97</v>
      </c>
      <c r="CP954">
        <v>-10.8</v>
      </c>
      <c r="CQ954">
        <v>92</v>
      </c>
      <c r="CR954">
        <v>0</v>
      </c>
      <c r="CS954">
        <v>0</v>
      </c>
      <c r="CT954">
        <v>-3.1</v>
      </c>
      <c r="CU954">
        <v>93</v>
      </c>
      <c r="CV954">
        <v>0.16</v>
      </c>
      <c r="CW954">
        <v>46</v>
      </c>
      <c r="CX954" t="s">
        <v>1257</v>
      </c>
    </row>
    <row r="955" spans="1:102" x14ac:dyDescent="0.3">
      <c r="A955" t="str">
        <f>HYPERLINK("https://webapp.icbf.com/v2/app/bull-search/view/1712853166","JE4766")</f>
        <v>JE4766</v>
      </c>
      <c r="B955" t="s">
        <v>14030</v>
      </c>
      <c r="C955" t="s">
        <v>14031</v>
      </c>
      <c r="D955" s="1">
        <v>42861</v>
      </c>
      <c r="E955" t="s">
        <v>227</v>
      </c>
      <c r="F955">
        <v>0</v>
      </c>
      <c r="G955" t="s">
        <v>435</v>
      </c>
      <c r="H955">
        <v>146.53</v>
      </c>
      <c r="I955">
        <v>60</v>
      </c>
      <c r="J955">
        <v>56.26</v>
      </c>
      <c r="K955">
        <v>77</v>
      </c>
      <c r="L955">
        <v>76.64</v>
      </c>
      <c r="M955">
        <v>59</v>
      </c>
      <c r="N955">
        <v>-12.98</v>
      </c>
      <c r="O955">
        <v>55</v>
      </c>
      <c r="P955">
        <v>-58.55</v>
      </c>
      <c r="Q955">
        <v>33</v>
      </c>
      <c r="R955">
        <v>11.61</v>
      </c>
      <c r="S955">
        <v>54</v>
      </c>
      <c r="T955">
        <v>62.52</v>
      </c>
      <c r="U955">
        <v>33</v>
      </c>
      <c r="V955">
        <v>11.03</v>
      </c>
      <c r="W955">
        <v>53</v>
      </c>
      <c r="X955" t="s">
        <v>94</v>
      </c>
      <c r="Y955" t="s">
        <v>2384</v>
      </c>
      <c r="Z955">
        <v>0</v>
      </c>
      <c r="AA955" t="s">
        <v>8414</v>
      </c>
      <c r="AB955" t="s">
        <v>144</v>
      </c>
      <c r="AC955">
        <v>0</v>
      </c>
      <c r="AD955">
        <v>0</v>
      </c>
      <c r="AE955">
        <v>77</v>
      </c>
      <c r="AF955">
        <v>-543.04</v>
      </c>
      <c r="AG955">
        <v>13.22</v>
      </c>
      <c r="AH955">
        <v>-3.42</v>
      </c>
      <c r="AI955">
        <v>0.65</v>
      </c>
      <c r="AJ955">
        <v>0.28999999999999998</v>
      </c>
      <c r="AK955">
        <v>59</v>
      </c>
      <c r="AL955">
        <v>0</v>
      </c>
      <c r="AM955">
        <v>0</v>
      </c>
      <c r="AN955">
        <v>-2.78</v>
      </c>
      <c r="AO955">
        <v>3.35</v>
      </c>
      <c r="AP955">
        <v>11</v>
      </c>
      <c r="AQ955">
        <v>0</v>
      </c>
      <c r="AR955">
        <v>3.44</v>
      </c>
      <c r="AS955">
        <v>51</v>
      </c>
      <c r="AT955">
        <v>1.41</v>
      </c>
      <c r="AU955">
        <v>52</v>
      </c>
      <c r="AV955">
        <v>1.27</v>
      </c>
      <c r="AW955">
        <v>70</v>
      </c>
      <c r="AX955">
        <v>8.3699999999999992</v>
      </c>
      <c r="AY955">
        <v>42</v>
      </c>
      <c r="AZ955">
        <v>7.08</v>
      </c>
      <c r="BA955">
        <v>34</v>
      </c>
      <c r="BB955">
        <v>5.13</v>
      </c>
      <c r="BC955">
        <v>34</v>
      </c>
      <c r="BD955">
        <v>-0.09</v>
      </c>
      <c r="BE955">
        <v>-0.03</v>
      </c>
      <c r="BF955">
        <v>-0.06</v>
      </c>
      <c r="BG955">
        <v>60</v>
      </c>
      <c r="BH955">
        <v>0.13</v>
      </c>
      <c r="BI955">
        <v>-20.53</v>
      </c>
      <c r="BJ955">
        <v>0</v>
      </c>
      <c r="BK955">
        <v>0</v>
      </c>
      <c r="BL955">
        <v>-1.38</v>
      </c>
      <c r="BM955">
        <v>-2.2200000000000002</v>
      </c>
      <c r="BN955">
        <v>-0.62</v>
      </c>
      <c r="BO955">
        <v>1.49</v>
      </c>
      <c r="BP955">
        <v>0.43</v>
      </c>
      <c r="BQ955">
        <v>-5.81</v>
      </c>
      <c r="BR955">
        <v>2.4300000000000002</v>
      </c>
      <c r="BS955">
        <v>6.53</v>
      </c>
      <c r="BT955">
        <v>-1.25</v>
      </c>
      <c r="BU955">
        <v>0.8</v>
      </c>
      <c r="BV955">
        <v>0.79</v>
      </c>
      <c r="BW955">
        <v>-1.18</v>
      </c>
      <c r="BX955">
        <v>-1.82</v>
      </c>
      <c r="BY955">
        <v>0.24</v>
      </c>
      <c r="BZ955">
        <v>-0.49</v>
      </c>
      <c r="CA955">
        <v>2.25</v>
      </c>
      <c r="CB955">
        <v>0.83</v>
      </c>
      <c r="CC955">
        <v>4.07</v>
      </c>
      <c r="CD955">
        <v>-2.4500000000000002</v>
      </c>
      <c r="CE955">
        <v>1.39</v>
      </c>
      <c r="CF955">
        <v>-1.4</v>
      </c>
      <c r="CG955">
        <v>0</v>
      </c>
      <c r="CH955">
        <v>-0.43</v>
      </c>
      <c r="CI955">
        <v>0</v>
      </c>
      <c r="CJ955">
        <v>-33.1</v>
      </c>
      <c r="CK955">
        <v>33</v>
      </c>
      <c r="CL955">
        <v>-1.1399999999999999</v>
      </c>
      <c r="CM955">
        <v>33</v>
      </c>
      <c r="CN955">
        <v>-0.56000000000000005</v>
      </c>
      <c r="CO955">
        <v>33</v>
      </c>
      <c r="CP955">
        <v>-51.1</v>
      </c>
      <c r="CQ955">
        <v>33</v>
      </c>
      <c r="CR955">
        <v>0</v>
      </c>
      <c r="CS955">
        <v>0</v>
      </c>
      <c r="CT955">
        <v>-70.7</v>
      </c>
      <c r="CU955">
        <v>33</v>
      </c>
      <c r="CV955">
        <v>-0.26</v>
      </c>
      <c r="CW955">
        <v>31</v>
      </c>
      <c r="CX955" t="s">
        <v>14032</v>
      </c>
    </row>
    <row r="956" spans="1:102" x14ac:dyDescent="0.3">
      <c r="A956" t="str">
        <f>HYPERLINK("https://webapp.icbf.com/v2/app/bull-search/view/954583349","WWF")</f>
        <v>WWF</v>
      </c>
      <c r="B956" t="s">
        <v>5813</v>
      </c>
      <c r="C956" t="s">
        <v>5814</v>
      </c>
      <c r="D956" s="1">
        <v>40974</v>
      </c>
      <c r="E956" t="s">
        <v>92</v>
      </c>
      <c r="F956">
        <v>91</v>
      </c>
      <c r="G956" t="s">
        <v>93</v>
      </c>
      <c r="H956">
        <v>146.44</v>
      </c>
      <c r="I956">
        <v>93</v>
      </c>
      <c r="J956">
        <v>75.92</v>
      </c>
      <c r="K956">
        <v>99</v>
      </c>
      <c r="L956">
        <v>44.05</v>
      </c>
      <c r="M956">
        <v>88</v>
      </c>
      <c r="N956">
        <v>30.27</v>
      </c>
      <c r="O956">
        <v>95</v>
      </c>
      <c r="P956">
        <v>-10.35</v>
      </c>
      <c r="Q956">
        <v>98</v>
      </c>
      <c r="R956">
        <v>6.15</v>
      </c>
      <c r="S956">
        <v>88</v>
      </c>
      <c r="T956">
        <v>3.24</v>
      </c>
      <c r="U956">
        <v>95</v>
      </c>
      <c r="V956">
        <v>-2.84</v>
      </c>
      <c r="W956">
        <v>78</v>
      </c>
      <c r="X956" t="s">
        <v>94</v>
      </c>
      <c r="Y956" t="s">
        <v>1976</v>
      </c>
      <c r="Z956" t="s">
        <v>96</v>
      </c>
      <c r="AA956" t="s">
        <v>5692</v>
      </c>
      <c r="AB956" t="s">
        <v>5815</v>
      </c>
      <c r="AC956">
        <v>636</v>
      </c>
      <c r="AD956">
        <v>319</v>
      </c>
      <c r="AE956">
        <v>99</v>
      </c>
      <c r="AF956">
        <v>261.76</v>
      </c>
      <c r="AG956">
        <v>15.26</v>
      </c>
      <c r="AH956">
        <v>11.52</v>
      </c>
      <c r="AI956">
        <v>0.08</v>
      </c>
      <c r="AJ956">
        <v>0.04</v>
      </c>
      <c r="AK956">
        <v>88</v>
      </c>
      <c r="AL956">
        <v>774</v>
      </c>
      <c r="AM956">
        <v>421</v>
      </c>
      <c r="AN956">
        <v>-2.61</v>
      </c>
      <c r="AO956">
        <v>0.9</v>
      </c>
      <c r="AP956">
        <v>1067</v>
      </c>
      <c r="AQ956">
        <v>10</v>
      </c>
      <c r="AR956">
        <v>6.61</v>
      </c>
      <c r="AS956">
        <v>91</v>
      </c>
      <c r="AT956">
        <v>2.36</v>
      </c>
      <c r="AU956">
        <v>96</v>
      </c>
      <c r="AV956">
        <v>-2.73</v>
      </c>
      <c r="AW956">
        <v>99</v>
      </c>
      <c r="AX956">
        <v>-0.41</v>
      </c>
      <c r="AY956">
        <v>96</v>
      </c>
      <c r="AZ956">
        <v>6.44</v>
      </c>
      <c r="BA956">
        <v>88</v>
      </c>
      <c r="BB956">
        <v>5.21</v>
      </c>
      <c r="BC956">
        <v>84</v>
      </c>
      <c r="BD956">
        <v>-0.05</v>
      </c>
      <c r="BE956">
        <v>-0.02</v>
      </c>
      <c r="BF956">
        <v>-0.02</v>
      </c>
      <c r="BG956">
        <v>97</v>
      </c>
      <c r="BH956">
        <v>-0.14000000000000001</v>
      </c>
      <c r="BI956">
        <v>-7.02</v>
      </c>
      <c r="BJ956">
        <v>19</v>
      </c>
      <c r="BK956">
        <v>12</v>
      </c>
      <c r="BL956">
        <v>-0.89</v>
      </c>
      <c r="BM956">
        <v>1.17</v>
      </c>
      <c r="BN956">
        <v>0.56999999999999995</v>
      </c>
      <c r="BO956">
        <v>-0.39</v>
      </c>
      <c r="BP956">
        <v>0.86</v>
      </c>
      <c r="BQ956">
        <v>-0.31</v>
      </c>
      <c r="BR956">
        <v>-0.85</v>
      </c>
      <c r="BS956">
        <v>-1.66</v>
      </c>
      <c r="BT956">
        <v>-0.8</v>
      </c>
      <c r="BU956">
        <v>-2.31</v>
      </c>
      <c r="BV956">
        <v>-1.6</v>
      </c>
      <c r="BW956">
        <v>-2.4</v>
      </c>
      <c r="BX956">
        <v>-3</v>
      </c>
      <c r="BY956">
        <v>-2.91</v>
      </c>
      <c r="BZ956">
        <v>-0.2</v>
      </c>
      <c r="CA956">
        <v>-2.25</v>
      </c>
      <c r="CB956">
        <v>-2.19</v>
      </c>
      <c r="CC956">
        <v>-1.1299999999999999</v>
      </c>
      <c r="CD956">
        <v>0.12</v>
      </c>
      <c r="CE956">
        <v>-0.38</v>
      </c>
      <c r="CF956">
        <v>-0.71</v>
      </c>
      <c r="CG956">
        <v>0</v>
      </c>
      <c r="CH956">
        <v>-2.72</v>
      </c>
      <c r="CI956">
        <v>0</v>
      </c>
      <c r="CJ956">
        <v>-2.6</v>
      </c>
      <c r="CK956">
        <v>99</v>
      </c>
      <c r="CL956">
        <v>-0.75</v>
      </c>
      <c r="CM956">
        <v>98</v>
      </c>
      <c r="CN956">
        <v>-0.08</v>
      </c>
      <c r="CO956">
        <v>98</v>
      </c>
      <c r="CP956">
        <v>0.3</v>
      </c>
      <c r="CQ956">
        <v>94</v>
      </c>
      <c r="CR956">
        <v>0</v>
      </c>
      <c r="CS956">
        <v>0</v>
      </c>
      <c r="CT956">
        <v>9.4</v>
      </c>
      <c r="CU956">
        <v>95</v>
      </c>
      <c r="CV956">
        <v>0.08</v>
      </c>
      <c r="CW956">
        <v>46</v>
      </c>
      <c r="CX956" t="s">
        <v>5816</v>
      </c>
    </row>
    <row r="957" spans="1:102" x14ac:dyDescent="0.3">
      <c r="A957" t="str">
        <f>HYPERLINK("https://webapp.icbf.com/v2/app/bull-search/view/1387858795","MY4016")</f>
        <v>MY4016</v>
      </c>
      <c r="B957" t="s">
        <v>6557</v>
      </c>
      <c r="C957" t="s">
        <v>6558</v>
      </c>
      <c r="D957" s="1">
        <v>41695</v>
      </c>
      <c r="E957" t="s">
        <v>146</v>
      </c>
      <c r="F957">
        <v>3</v>
      </c>
      <c r="G957" t="s">
        <v>435</v>
      </c>
      <c r="H957">
        <v>146.41999999999999</v>
      </c>
      <c r="I957">
        <v>52</v>
      </c>
      <c r="J957">
        <v>33.46</v>
      </c>
      <c r="K957">
        <v>63</v>
      </c>
      <c r="L957">
        <v>63.28</v>
      </c>
      <c r="M957">
        <v>42</v>
      </c>
      <c r="N957">
        <v>31.56</v>
      </c>
      <c r="O957">
        <v>67</v>
      </c>
      <c r="P957">
        <v>-1.85</v>
      </c>
      <c r="Q957">
        <v>70</v>
      </c>
      <c r="R957">
        <v>6.15</v>
      </c>
      <c r="S957">
        <v>35</v>
      </c>
      <c r="T957">
        <v>17.079999999999998</v>
      </c>
      <c r="U957">
        <v>42</v>
      </c>
      <c r="V957">
        <v>-3.26</v>
      </c>
      <c r="W957">
        <v>15</v>
      </c>
      <c r="X957" t="s">
        <v>94</v>
      </c>
      <c r="Y957" t="s">
        <v>1775</v>
      </c>
      <c r="Z957">
        <v>0</v>
      </c>
      <c r="AA957" t="s">
        <v>341</v>
      </c>
      <c r="AB957" t="s">
        <v>6559</v>
      </c>
      <c r="AC957">
        <v>0</v>
      </c>
      <c r="AD957">
        <v>0</v>
      </c>
      <c r="AE957">
        <v>63</v>
      </c>
      <c r="AF957">
        <v>-223.51</v>
      </c>
      <c r="AG957">
        <v>-1.02</v>
      </c>
      <c r="AH957">
        <v>2.63</v>
      </c>
      <c r="AI957">
        <v>0.13</v>
      </c>
      <c r="AJ957">
        <v>0.18</v>
      </c>
      <c r="AK957">
        <v>42</v>
      </c>
      <c r="AL957">
        <v>0</v>
      </c>
      <c r="AM957">
        <v>0</v>
      </c>
      <c r="AN957">
        <v>-3.95</v>
      </c>
      <c r="AO957">
        <v>1.0900000000000001</v>
      </c>
      <c r="AP957">
        <v>41</v>
      </c>
      <c r="AQ957">
        <v>1</v>
      </c>
      <c r="AR957">
        <v>4.3600000000000003</v>
      </c>
      <c r="AS957">
        <v>61</v>
      </c>
      <c r="AT957">
        <v>1.79</v>
      </c>
      <c r="AU957">
        <v>77</v>
      </c>
      <c r="AV957">
        <v>-2.41</v>
      </c>
      <c r="AW957">
        <v>80</v>
      </c>
      <c r="AX957">
        <v>-0.74</v>
      </c>
      <c r="AY957">
        <v>67</v>
      </c>
      <c r="AZ957">
        <v>7.29</v>
      </c>
      <c r="BA957">
        <v>28</v>
      </c>
      <c r="BB957">
        <v>5.93</v>
      </c>
      <c r="BC957">
        <v>26</v>
      </c>
      <c r="BD957">
        <v>-0.02</v>
      </c>
      <c r="BE957">
        <v>-0.02</v>
      </c>
      <c r="BF957">
        <v>-7.0000000000000007E-2</v>
      </c>
      <c r="BG957">
        <v>56</v>
      </c>
      <c r="BH957">
        <v>-0.25</v>
      </c>
      <c r="BI957">
        <v>-18.399999999999999</v>
      </c>
      <c r="BJ957">
        <v>0</v>
      </c>
      <c r="BK957">
        <v>0</v>
      </c>
      <c r="BL957">
        <v>-1.02</v>
      </c>
      <c r="BM957">
        <v>2.08</v>
      </c>
      <c r="BN957">
        <v>-0.62</v>
      </c>
      <c r="BO957">
        <v>-1.08</v>
      </c>
      <c r="BP957">
        <v>3.38</v>
      </c>
      <c r="BQ957">
        <v>0.04</v>
      </c>
      <c r="BR957">
        <v>-0.18</v>
      </c>
      <c r="BS957">
        <v>0.31</v>
      </c>
      <c r="BT957">
        <v>0.51</v>
      </c>
      <c r="BU957">
        <v>-1.96</v>
      </c>
      <c r="BV957">
        <v>-1.9</v>
      </c>
      <c r="BW957">
        <v>-1.41</v>
      </c>
      <c r="BX957">
        <v>-2.21</v>
      </c>
      <c r="BY957">
        <v>0.61</v>
      </c>
      <c r="BZ957">
        <v>-0.08</v>
      </c>
      <c r="CA957">
        <v>-1.41</v>
      </c>
      <c r="CB957">
        <v>-1.66</v>
      </c>
      <c r="CC957">
        <v>-0.24</v>
      </c>
      <c r="CD957">
        <v>1.95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-0.7</v>
      </c>
      <c r="CK957">
        <v>75</v>
      </c>
      <c r="CL957">
        <v>-0.19</v>
      </c>
      <c r="CM957">
        <v>69</v>
      </c>
      <c r="CN957">
        <v>-0.18</v>
      </c>
      <c r="CO957">
        <v>68</v>
      </c>
      <c r="CP957">
        <v>-6.9</v>
      </c>
      <c r="CQ957">
        <v>46</v>
      </c>
      <c r="CR957">
        <v>0</v>
      </c>
      <c r="CS957">
        <v>0</v>
      </c>
      <c r="CT957">
        <v>-9.3000000000000007</v>
      </c>
      <c r="CU957">
        <v>42</v>
      </c>
      <c r="CV957">
        <v>-0.02</v>
      </c>
      <c r="CW957">
        <v>41</v>
      </c>
      <c r="CX957" t="s">
        <v>5819</v>
      </c>
    </row>
    <row r="958" spans="1:102" x14ac:dyDescent="0.3">
      <c r="A958" t="str">
        <f>HYPERLINK("https://webapp.icbf.com/v2/app/bull-search/view/321047714","DYR")</f>
        <v>DYR</v>
      </c>
      <c r="B958" t="s">
        <v>4192</v>
      </c>
      <c r="C958" t="s">
        <v>4193</v>
      </c>
      <c r="D958" s="1">
        <v>36052</v>
      </c>
      <c r="E958" t="s">
        <v>227</v>
      </c>
      <c r="F958">
        <v>0</v>
      </c>
      <c r="G958" t="s">
        <v>93</v>
      </c>
      <c r="H958">
        <v>146.37</v>
      </c>
      <c r="I958">
        <v>96</v>
      </c>
      <c r="J958">
        <v>61.01</v>
      </c>
      <c r="K958">
        <v>99</v>
      </c>
      <c r="L958">
        <v>42.31</v>
      </c>
      <c r="M958">
        <v>93</v>
      </c>
      <c r="N958">
        <v>36.96</v>
      </c>
      <c r="O958">
        <v>97</v>
      </c>
      <c r="P958">
        <v>-61.22</v>
      </c>
      <c r="Q958">
        <v>98</v>
      </c>
      <c r="R958">
        <v>2.13</v>
      </c>
      <c r="S958">
        <v>95</v>
      </c>
      <c r="T958">
        <v>64.81</v>
      </c>
      <c r="U958">
        <v>98</v>
      </c>
      <c r="V958">
        <v>0.37</v>
      </c>
      <c r="W958">
        <v>97</v>
      </c>
      <c r="X958" t="s">
        <v>302</v>
      </c>
      <c r="Y958" t="s">
        <v>95</v>
      </c>
      <c r="Z958">
        <v>0</v>
      </c>
      <c r="AA958" t="s">
        <v>4190</v>
      </c>
      <c r="AB958" t="s">
        <v>4194</v>
      </c>
      <c r="AC958">
        <v>550</v>
      </c>
      <c r="AD958">
        <v>135</v>
      </c>
      <c r="AE958">
        <v>99</v>
      </c>
      <c r="AF958">
        <v>-261.35000000000002</v>
      </c>
      <c r="AG958">
        <v>16.100000000000001</v>
      </c>
      <c r="AH958">
        <v>0.68</v>
      </c>
      <c r="AI958">
        <v>0.48</v>
      </c>
      <c r="AJ958">
        <v>0.17</v>
      </c>
      <c r="AK958">
        <v>93</v>
      </c>
      <c r="AL958">
        <v>623</v>
      </c>
      <c r="AM958">
        <v>140</v>
      </c>
      <c r="AN958">
        <v>-1.88</v>
      </c>
      <c r="AO958">
        <v>1.5</v>
      </c>
      <c r="AP958">
        <v>732</v>
      </c>
      <c r="AQ958">
        <v>3</v>
      </c>
      <c r="AR958">
        <v>2</v>
      </c>
      <c r="AS958">
        <v>96</v>
      </c>
      <c r="AT958">
        <v>1.2</v>
      </c>
      <c r="AU958">
        <v>96</v>
      </c>
      <c r="AV958">
        <v>-2.25</v>
      </c>
      <c r="AW958">
        <v>99</v>
      </c>
      <c r="AX958">
        <v>0.68</v>
      </c>
      <c r="AY958">
        <v>96</v>
      </c>
      <c r="AZ958">
        <v>6.43</v>
      </c>
      <c r="BA958">
        <v>91</v>
      </c>
      <c r="BB958">
        <v>5.47</v>
      </c>
      <c r="BC958">
        <v>93</v>
      </c>
      <c r="BD958">
        <v>-0.06</v>
      </c>
      <c r="BE958">
        <v>-0.01</v>
      </c>
      <c r="BF958">
        <v>7.0000000000000007E-2</v>
      </c>
      <c r="BG958">
        <v>98</v>
      </c>
      <c r="BH958">
        <v>0.08</v>
      </c>
      <c r="BI958">
        <v>8.0500000000000007</v>
      </c>
      <c r="BJ958">
        <v>44</v>
      </c>
      <c r="BK958">
        <v>11</v>
      </c>
      <c r="BL958">
        <v>-3.22</v>
      </c>
      <c r="BM958">
        <v>-3.94</v>
      </c>
      <c r="BN958">
        <v>-1.27</v>
      </c>
      <c r="BO958">
        <v>1.97</v>
      </c>
      <c r="BP958">
        <v>-0.17</v>
      </c>
      <c r="BQ958">
        <v>-8.33</v>
      </c>
      <c r="BR958">
        <v>2.08</v>
      </c>
      <c r="BS958">
        <v>5.41</v>
      </c>
      <c r="BT958">
        <v>-1.45</v>
      </c>
      <c r="BU958">
        <v>-1.62</v>
      </c>
      <c r="BV958">
        <v>-1.06</v>
      </c>
      <c r="BW958">
        <v>-2.7</v>
      </c>
      <c r="BX958">
        <v>-4.9000000000000004</v>
      </c>
      <c r="BY958">
        <v>-0.28000000000000003</v>
      </c>
      <c r="BZ958">
        <v>-0.73</v>
      </c>
      <c r="CA958">
        <v>0.6</v>
      </c>
      <c r="CB958">
        <v>-0.71</v>
      </c>
      <c r="CC958">
        <v>3.1</v>
      </c>
      <c r="CD958">
        <v>-3</v>
      </c>
      <c r="CE958">
        <v>1.55</v>
      </c>
      <c r="CF958">
        <v>-4.1100000000000003</v>
      </c>
      <c r="CG958">
        <v>0</v>
      </c>
      <c r="CH958">
        <v>-0.98</v>
      </c>
      <c r="CI958">
        <v>0</v>
      </c>
      <c r="CJ958">
        <v>-31.9</v>
      </c>
      <c r="CK958">
        <v>98</v>
      </c>
      <c r="CL958">
        <v>-1.01</v>
      </c>
      <c r="CM958">
        <v>98</v>
      </c>
      <c r="CN958">
        <v>-0.14000000000000001</v>
      </c>
      <c r="CO958">
        <v>98</v>
      </c>
      <c r="CP958">
        <v>-56.1</v>
      </c>
      <c r="CQ958">
        <v>98</v>
      </c>
      <c r="CR958">
        <v>0</v>
      </c>
      <c r="CS958">
        <v>0</v>
      </c>
      <c r="CT958">
        <v>-73.8</v>
      </c>
      <c r="CU958">
        <v>98</v>
      </c>
      <c r="CV958">
        <v>-0.31</v>
      </c>
      <c r="CW958">
        <v>47</v>
      </c>
      <c r="CX958" t="s">
        <v>514</v>
      </c>
    </row>
    <row r="959" spans="1:102" x14ac:dyDescent="0.3">
      <c r="A959" t="str">
        <f>HYPERLINK("https://webapp.icbf.com/v2/app/bull-search/view/596227924","RTA")</f>
        <v>RTA</v>
      </c>
      <c r="B959" t="s">
        <v>12455</v>
      </c>
      <c r="C959" t="s">
        <v>12456</v>
      </c>
      <c r="D959" s="1">
        <v>37352</v>
      </c>
      <c r="E959" t="s">
        <v>395</v>
      </c>
      <c r="F959">
        <v>0</v>
      </c>
      <c r="G959" t="s">
        <v>93</v>
      </c>
      <c r="H959">
        <v>146.30000000000001</v>
      </c>
      <c r="I959">
        <v>96</v>
      </c>
      <c r="J959">
        <v>20.27</v>
      </c>
      <c r="K959">
        <v>99</v>
      </c>
      <c r="L959">
        <v>64.42</v>
      </c>
      <c r="M959">
        <v>92</v>
      </c>
      <c r="N959">
        <v>22.2</v>
      </c>
      <c r="O959">
        <v>97</v>
      </c>
      <c r="P959">
        <v>2.48</v>
      </c>
      <c r="Q959">
        <v>99</v>
      </c>
      <c r="R959">
        <v>12.02</v>
      </c>
      <c r="S959">
        <v>93</v>
      </c>
      <c r="T959">
        <v>11.24</v>
      </c>
      <c r="U959">
        <v>98</v>
      </c>
      <c r="V959">
        <v>13.67</v>
      </c>
      <c r="W959">
        <v>94</v>
      </c>
      <c r="X959" t="s">
        <v>94</v>
      </c>
      <c r="Y959" t="s">
        <v>270</v>
      </c>
      <c r="Z959">
        <v>0</v>
      </c>
      <c r="AA959" t="s">
        <v>12457</v>
      </c>
      <c r="AB959" t="s">
        <v>144</v>
      </c>
      <c r="AC959">
        <v>791</v>
      </c>
      <c r="AD959">
        <v>257</v>
      </c>
      <c r="AE959">
        <v>99</v>
      </c>
      <c r="AF959">
        <v>-53.65</v>
      </c>
      <c r="AG959">
        <v>3.1</v>
      </c>
      <c r="AH959">
        <v>1.53</v>
      </c>
      <c r="AI959">
        <v>0.09</v>
      </c>
      <c r="AJ959">
        <v>0.06</v>
      </c>
      <c r="AK959">
        <v>92</v>
      </c>
      <c r="AL959">
        <v>914</v>
      </c>
      <c r="AM959">
        <v>287</v>
      </c>
      <c r="AN959">
        <v>-3.29</v>
      </c>
      <c r="AO959">
        <v>1.85</v>
      </c>
      <c r="AP959">
        <v>1718</v>
      </c>
      <c r="AQ959">
        <v>25</v>
      </c>
      <c r="AR959">
        <v>7.67</v>
      </c>
      <c r="AS959">
        <v>93</v>
      </c>
      <c r="AT959">
        <v>3.41</v>
      </c>
      <c r="AU959">
        <v>98</v>
      </c>
      <c r="AV959">
        <v>-2.5299999999999998</v>
      </c>
      <c r="AW959">
        <v>99</v>
      </c>
      <c r="AX959">
        <v>-7.0000000000000007E-2</v>
      </c>
      <c r="AY959">
        <v>97</v>
      </c>
      <c r="AZ959">
        <v>5.31</v>
      </c>
      <c r="BA959">
        <v>93</v>
      </c>
      <c r="BB959">
        <v>4.34</v>
      </c>
      <c r="BC959">
        <v>94</v>
      </c>
      <c r="BD959">
        <v>-0.05</v>
      </c>
      <c r="BE959">
        <v>-7.0000000000000007E-2</v>
      </c>
      <c r="BF959">
        <v>-0.06</v>
      </c>
      <c r="BG959">
        <v>98</v>
      </c>
      <c r="BH959">
        <v>0.12</v>
      </c>
      <c r="BI959">
        <v>-30.23</v>
      </c>
      <c r="BJ959">
        <v>2</v>
      </c>
      <c r="BK959">
        <v>2</v>
      </c>
      <c r="BL959">
        <v>-1.68</v>
      </c>
      <c r="BM959">
        <v>0.97</v>
      </c>
      <c r="BN959">
        <v>-2.13</v>
      </c>
      <c r="BO959">
        <v>-2.19</v>
      </c>
      <c r="BP959">
        <v>1.25</v>
      </c>
      <c r="BQ959">
        <v>-0.68</v>
      </c>
      <c r="BR959">
        <v>0.23</v>
      </c>
      <c r="BS959">
        <v>0.28999999999999998</v>
      </c>
      <c r="BT959">
        <v>-0.36</v>
      </c>
      <c r="BU959">
        <v>-7.0000000000000007E-2</v>
      </c>
      <c r="BV959">
        <v>-1.58</v>
      </c>
      <c r="BW959">
        <v>-1.26</v>
      </c>
      <c r="BX959">
        <v>0.13</v>
      </c>
      <c r="BY959">
        <v>-2.06</v>
      </c>
      <c r="BZ959">
        <v>-0.98</v>
      </c>
      <c r="CA959">
        <v>-1.45</v>
      </c>
      <c r="CB959">
        <v>-1.62</v>
      </c>
      <c r="CC959">
        <v>-0.73</v>
      </c>
      <c r="CD959">
        <v>1.42</v>
      </c>
      <c r="CE959">
        <v>-2.34</v>
      </c>
      <c r="CF959">
        <v>-1.83</v>
      </c>
      <c r="CG959">
        <v>0</v>
      </c>
      <c r="CH959">
        <v>-1.62</v>
      </c>
      <c r="CI959">
        <v>0</v>
      </c>
      <c r="CJ959">
        <v>0.4</v>
      </c>
      <c r="CK959">
        <v>99</v>
      </c>
      <c r="CL959">
        <v>-0.02</v>
      </c>
      <c r="CM959">
        <v>99</v>
      </c>
      <c r="CN959">
        <v>-0.2</v>
      </c>
      <c r="CO959">
        <v>99</v>
      </c>
      <c r="CP959">
        <v>-1.4</v>
      </c>
      <c r="CQ959">
        <v>98</v>
      </c>
      <c r="CR959">
        <v>0</v>
      </c>
      <c r="CS959">
        <v>0</v>
      </c>
      <c r="CT959">
        <v>-1.4</v>
      </c>
      <c r="CU959">
        <v>98</v>
      </c>
      <c r="CV959">
        <v>-7.0000000000000007E-2</v>
      </c>
      <c r="CW959">
        <v>46</v>
      </c>
      <c r="CX959" t="s">
        <v>12458</v>
      </c>
    </row>
    <row r="960" spans="1:102" x14ac:dyDescent="0.3">
      <c r="A960" t="str">
        <f>HYPERLINK("https://webapp.icbf.com/v2/app/bull-search/view/860904966","PSE")</f>
        <v>PSE</v>
      </c>
      <c r="B960" t="s">
        <v>3051</v>
      </c>
      <c r="C960" t="s">
        <v>3052</v>
      </c>
      <c r="D960" s="1">
        <v>40582</v>
      </c>
      <c r="E960" t="s">
        <v>227</v>
      </c>
      <c r="F960">
        <v>38</v>
      </c>
      <c r="G960" t="s">
        <v>93</v>
      </c>
      <c r="H960">
        <v>146.19999999999999</v>
      </c>
      <c r="I960">
        <v>89</v>
      </c>
      <c r="J960">
        <v>58.19</v>
      </c>
      <c r="K960">
        <v>98</v>
      </c>
      <c r="L960">
        <v>13.2</v>
      </c>
      <c r="M960">
        <v>81</v>
      </c>
      <c r="N960">
        <v>58.62</v>
      </c>
      <c r="O960">
        <v>90</v>
      </c>
      <c r="P960">
        <v>-37.75</v>
      </c>
      <c r="Q960">
        <v>96</v>
      </c>
      <c r="R960">
        <v>12.68</v>
      </c>
      <c r="S960">
        <v>81</v>
      </c>
      <c r="T960">
        <v>25</v>
      </c>
      <c r="U960">
        <v>86</v>
      </c>
      <c r="V960">
        <v>16.260000000000002</v>
      </c>
      <c r="W960">
        <v>81</v>
      </c>
      <c r="X960" t="s">
        <v>102</v>
      </c>
      <c r="Y960" t="s">
        <v>1860</v>
      </c>
      <c r="Z960">
        <v>0</v>
      </c>
      <c r="AA960" t="s">
        <v>1744</v>
      </c>
      <c r="AB960" t="s">
        <v>144</v>
      </c>
      <c r="AC960">
        <v>172</v>
      </c>
      <c r="AD960">
        <v>54</v>
      </c>
      <c r="AE960">
        <v>98</v>
      </c>
      <c r="AF960">
        <v>-10.99</v>
      </c>
      <c r="AG960">
        <v>12.12</v>
      </c>
      <c r="AH960">
        <v>5.44</v>
      </c>
      <c r="AI960">
        <v>0.22</v>
      </c>
      <c r="AJ960">
        <v>0.1</v>
      </c>
      <c r="AK960">
        <v>81</v>
      </c>
      <c r="AL960">
        <v>217</v>
      </c>
      <c r="AM960">
        <v>70</v>
      </c>
      <c r="AN960">
        <v>0.6</v>
      </c>
      <c r="AO960">
        <v>1.67</v>
      </c>
      <c r="AP960">
        <v>290</v>
      </c>
      <c r="AQ960">
        <v>2</v>
      </c>
      <c r="AR960">
        <v>2.77</v>
      </c>
      <c r="AS960">
        <v>89</v>
      </c>
      <c r="AT960">
        <v>1.35</v>
      </c>
      <c r="AU960">
        <v>88</v>
      </c>
      <c r="AV960">
        <v>-4.63</v>
      </c>
      <c r="AW960">
        <v>98</v>
      </c>
      <c r="AX960">
        <v>-0.95</v>
      </c>
      <c r="AY960">
        <v>90</v>
      </c>
      <c r="AZ960">
        <v>6.26</v>
      </c>
      <c r="BA960">
        <v>76</v>
      </c>
      <c r="BB960">
        <v>5.47</v>
      </c>
      <c r="BC960">
        <v>71</v>
      </c>
      <c r="BD960">
        <v>-7.0000000000000007E-2</v>
      </c>
      <c r="BE960">
        <v>-0.05</v>
      </c>
      <c r="BF960">
        <v>-0.08</v>
      </c>
      <c r="BG960">
        <v>91</v>
      </c>
      <c r="BH960">
        <v>0.35</v>
      </c>
      <c r="BI960">
        <v>-11.96</v>
      </c>
      <c r="BJ960">
        <v>0</v>
      </c>
      <c r="BK960">
        <v>0</v>
      </c>
      <c r="BL960">
        <v>-1.82</v>
      </c>
      <c r="BM960">
        <v>1.39</v>
      </c>
      <c r="BN960">
        <v>0.93</v>
      </c>
      <c r="BO960">
        <v>0.12</v>
      </c>
      <c r="BP960">
        <v>1.37</v>
      </c>
      <c r="BQ960">
        <v>-2.37</v>
      </c>
      <c r="BR960">
        <v>2.5</v>
      </c>
      <c r="BS960">
        <v>2.04</v>
      </c>
      <c r="BT960">
        <v>-1.74</v>
      </c>
      <c r="BU960">
        <v>-0.56999999999999995</v>
      </c>
      <c r="BV960">
        <v>-1.05</v>
      </c>
      <c r="BW960">
        <v>-2.2200000000000002</v>
      </c>
      <c r="BX960">
        <v>-2.83</v>
      </c>
      <c r="BY960">
        <v>1.1100000000000001</v>
      </c>
      <c r="BZ960">
        <v>-0.3</v>
      </c>
      <c r="CA960">
        <v>0.05</v>
      </c>
      <c r="CB960">
        <v>-0.43</v>
      </c>
      <c r="CC960">
        <v>1.29</v>
      </c>
      <c r="CD960">
        <v>0.51</v>
      </c>
      <c r="CE960">
        <v>-0.24</v>
      </c>
      <c r="CF960">
        <v>-1.31</v>
      </c>
      <c r="CG960">
        <v>0</v>
      </c>
      <c r="CH960">
        <v>-0.56000000000000005</v>
      </c>
      <c r="CI960">
        <v>0</v>
      </c>
      <c r="CJ960">
        <v>-19.100000000000001</v>
      </c>
      <c r="CK960">
        <v>97</v>
      </c>
      <c r="CL960">
        <v>-0.93</v>
      </c>
      <c r="CM960">
        <v>96</v>
      </c>
      <c r="CN960">
        <v>-0.14000000000000001</v>
      </c>
      <c r="CO960">
        <v>95</v>
      </c>
      <c r="CP960">
        <v>-22.9</v>
      </c>
      <c r="CQ960">
        <v>87</v>
      </c>
      <c r="CR960">
        <v>0</v>
      </c>
      <c r="CS960">
        <v>0</v>
      </c>
      <c r="CT960">
        <v>-20</v>
      </c>
      <c r="CU960">
        <v>86</v>
      </c>
      <c r="CV960">
        <v>-0.11</v>
      </c>
      <c r="CW960">
        <v>46</v>
      </c>
      <c r="CX960" t="s">
        <v>316</v>
      </c>
    </row>
    <row r="961" spans="1:102" x14ac:dyDescent="0.3">
      <c r="A961" t="str">
        <f>HYPERLINK("https://webapp.icbf.com/v2/app/bull-search/view/487000715","HFT")</f>
        <v>HFT</v>
      </c>
      <c r="B961" t="s">
        <v>7510</v>
      </c>
      <c r="C961" t="s">
        <v>5685</v>
      </c>
      <c r="D961" s="1">
        <v>38532</v>
      </c>
      <c r="E961" t="s">
        <v>108</v>
      </c>
      <c r="F961">
        <v>25</v>
      </c>
      <c r="G961" t="s">
        <v>93</v>
      </c>
      <c r="H961">
        <v>146.19</v>
      </c>
      <c r="I961">
        <v>97</v>
      </c>
      <c r="J961">
        <v>99.93</v>
      </c>
      <c r="K961">
        <v>99</v>
      </c>
      <c r="L961">
        <v>45.31</v>
      </c>
      <c r="M961">
        <v>94</v>
      </c>
      <c r="N961">
        <v>11.14</v>
      </c>
      <c r="O961">
        <v>98</v>
      </c>
      <c r="P961">
        <v>-8.09</v>
      </c>
      <c r="Q961">
        <v>99</v>
      </c>
      <c r="R961">
        <v>5.09</v>
      </c>
      <c r="S961">
        <v>94</v>
      </c>
      <c r="T961">
        <v>-3.19</v>
      </c>
      <c r="U961">
        <v>99</v>
      </c>
      <c r="V961">
        <v>-4</v>
      </c>
      <c r="W961">
        <v>94</v>
      </c>
      <c r="X961" t="s">
        <v>94</v>
      </c>
      <c r="Y961" t="s">
        <v>282</v>
      </c>
      <c r="Z961" t="s">
        <v>330</v>
      </c>
      <c r="AA961" t="s">
        <v>4822</v>
      </c>
      <c r="AB961" t="s">
        <v>7511</v>
      </c>
      <c r="AC961">
        <v>1390</v>
      </c>
      <c r="AD961">
        <v>541</v>
      </c>
      <c r="AE961">
        <v>99</v>
      </c>
      <c r="AF961">
        <v>-137.86000000000001</v>
      </c>
      <c r="AG961">
        <v>22.63</v>
      </c>
      <c r="AH961">
        <v>6.88</v>
      </c>
      <c r="AI961">
        <v>0.5</v>
      </c>
      <c r="AJ961">
        <v>0.21</v>
      </c>
      <c r="AK961">
        <v>94</v>
      </c>
      <c r="AL961">
        <v>1701</v>
      </c>
      <c r="AM961">
        <v>734</v>
      </c>
      <c r="AN961">
        <v>-2.75</v>
      </c>
      <c r="AO961">
        <v>0.86</v>
      </c>
      <c r="AP961">
        <v>2722</v>
      </c>
      <c r="AQ961">
        <v>15</v>
      </c>
      <c r="AR961">
        <v>9.0500000000000007</v>
      </c>
      <c r="AS961">
        <v>97</v>
      </c>
      <c r="AT961">
        <v>3.24</v>
      </c>
      <c r="AU961">
        <v>99</v>
      </c>
      <c r="AV961">
        <v>-1.25</v>
      </c>
      <c r="AW961">
        <v>99</v>
      </c>
      <c r="AX961">
        <v>-0.33</v>
      </c>
      <c r="AY961">
        <v>98</v>
      </c>
      <c r="AZ961">
        <v>5.1100000000000003</v>
      </c>
      <c r="BA961">
        <v>95</v>
      </c>
      <c r="BB961">
        <v>4.2300000000000004</v>
      </c>
      <c r="BC961">
        <v>95</v>
      </c>
      <c r="BD961">
        <v>-0.06</v>
      </c>
      <c r="BE961">
        <v>-0.03</v>
      </c>
      <c r="BF961">
        <v>0.04</v>
      </c>
      <c r="BG961">
        <v>99</v>
      </c>
      <c r="BH961">
        <v>-0.18</v>
      </c>
      <c r="BI961">
        <v>-7.91</v>
      </c>
      <c r="BJ961">
        <v>17</v>
      </c>
      <c r="BK961">
        <v>13</v>
      </c>
      <c r="BL961">
        <v>-0.6</v>
      </c>
      <c r="BM961">
        <v>1.7</v>
      </c>
      <c r="BN961">
        <v>-0.04</v>
      </c>
      <c r="BO961">
        <v>-1.53</v>
      </c>
      <c r="BP961">
        <v>-2.1800000000000002</v>
      </c>
      <c r="BQ961">
        <v>-0.5</v>
      </c>
      <c r="BR961">
        <v>0.7</v>
      </c>
      <c r="BS961">
        <v>-0.46</v>
      </c>
      <c r="BT961">
        <v>-0.35</v>
      </c>
      <c r="BU961">
        <v>-1.51</v>
      </c>
      <c r="BV961">
        <v>-1.39</v>
      </c>
      <c r="BW961">
        <v>-2.27</v>
      </c>
      <c r="BX961">
        <v>-1.18</v>
      </c>
      <c r="BY961">
        <v>-1.95</v>
      </c>
      <c r="BZ961">
        <v>2.0699999999999998</v>
      </c>
      <c r="CA961">
        <v>-1.49</v>
      </c>
      <c r="CB961">
        <v>-1.64</v>
      </c>
      <c r="CC961">
        <v>-1.24</v>
      </c>
      <c r="CD961">
        <v>0.84</v>
      </c>
      <c r="CE961">
        <v>-1.53</v>
      </c>
      <c r="CF961">
        <v>-1.18</v>
      </c>
      <c r="CG961">
        <v>0</v>
      </c>
      <c r="CH961">
        <v>-1.72</v>
      </c>
      <c r="CI961">
        <v>0</v>
      </c>
      <c r="CJ961">
        <v>-1.7</v>
      </c>
      <c r="CK961">
        <v>99</v>
      </c>
      <c r="CL961">
        <v>-0.89</v>
      </c>
      <c r="CM961">
        <v>99</v>
      </c>
      <c r="CN961">
        <v>-0.3</v>
      </c>
      <c r="CO961">
        <v>99</v>
      </c>
      <c r="CP961">
        <v>-0.5</v>
      </c>
      <c r="CQ961">
        <v>99</v>
      </c>
      <c r="CR961">
        <v>0</v>
      </c>
      <c r="CS961">
        <v>0</v>
      </c>
      <c r="CT961">
        <v>18.100000000000001</v>
      </c>
      <c r="CU961">
        <v>99</v>
      </c>
      <c r="CV961">
        <v>0.39</v>
      </c>
      <c r="CW961">
        <v>48</v>
      </c>
      <c r="CX961" t="s">
        <v>793</v>
      </c>
    </row>
    <row r="962" spans="1:102" x14ac:dyDescent="0.3">
      <c r="A962" t="str">
        <f>HYPERLINK("https://webapp.icbf.com/v2/app/bull-search/view/586069155","SYW")</f>
        <v>SYW</v>
      </c>
      <c r="B962" t="s">
        <v>12839</v>
      </c>
      <c r="C962" t="s">
        <v>12840</v>
      </c>
      <c r="D962" s="1">
        <v>39297</v>
      </c>
      <c r="E962" t="s">
        <v>92</v>
      </c>
      <c r="F962">
        <v>56</v>
      </c>
      <c r="G962" t="s">
        <v>93</v>
      </c>
      <c r="H962">
        <v>146.16999999999999</v>
      </c>
      <c r="I962">
        <v>96</v>
      </c>
      <c r="J962">
        <v>16.73</v>
      </c>
      <c r="K962">
        <v>99</v>
      </c>
      <c r="L962">
        <v>75.12</v>
      </c>
      <c r="M962">
        <v>94</v>
      </c>
      <c r="N962">
        <v>42.57</v>
      </c>
      <c r="O962">
        <v>98</v>
      </c>
      <c r="P962">
        <v>-26.61</v>
      </c>
      <c r="Q962">
        <v>99</v>
      </c>
      <c r="R962">
        <v>5.96</v>
      </c>
      <c r="S962">
        <v>93</v>
      </c>
      <c r="T962">
        <v>28.03</v>
      </c>
      <c r="U962">
        <v>99</v>
      </c>
      <c r="V962">
        <v>4.37</v>
      </c>
      <c r="W962">
        <v>82</v>
      </c>
      <c r="X962" t="s">
        <v>276</v>
      </c>
      <c r="Y962" t="s">
        <v>329</v>
      </c>
      <c r="Z962" t="s">
        <v>330</v>
      </c>
      <c r="AA962" t="s">
        <v>1772</v>
      </c>
      <c r="AB962" t="s">
        <v>144</v>
      </c>
      <c r="AC962">
        <v>1456</v>
      </c>
      <c r="AD962">
        <v>413</v>
      </c>
      <c r="AE962">
        <v>99</v>
      </c>
      <c r="AF962">
        <v>105.94</v>
      </c>
      <c r="AG962">
        <v>0.53</v>
      </c>
      <c r="AH962">
        <v>4.28</v>
      </c>
      <c r="AI962">
        <v>-0.06</v>
      </c>
      <c r="AJ962">
        <v>0.01</v>
      </c>
      <c r="AK962">
        <v>94</v>
      </c>
      <c r="AL962">
        <v>1714</v>
      </c>
      <c r="AM962">
        <v>520</v>
      </c>
      <c r="AN962">
        <v>-2.61</v>
      </c>
      <c r="AO962">
        <v>3.4</v>
      </c>
      <c r="AP962">
        <v>2490</v>
      </c>
      <c r="AQ962">
        <v>18</v>
      </c>
      <c r="AR962">
        <v>4.58</v>
      </c>
      <c r="AS962">
        <v>99</v>
      </c>
      <c r="AT962">
        <v>1.89</v>
      </c>
      <c r="AU962">
        <v>98</v>
      </c>
      <c r="AV962">
        <v>-2.81</v>
      </c>
      <c r="AW962">
        <v>99</v>
      </c>
      <c r="AX962">
        <v>-0.99</v>
      </c>
      <c r="AY962">
        <v>98</v>
      </c>
      <c r="AZ962">
        <v>5.64</v>
      </c>
      <c r="BA962">
        <v>94</v>
      </c>
      <c r="BB962">
        <v>4.8499999999999996</v>
      </c>
      <c r="BC962">
        <v>95</v>
      </c>
      <c r="BD962">
        <v>-0.06</v>
      </c>
      <c r="BE962">
        <v>-0.03</v>
      </c>
      <c r="BF962">
        <v>0.02</v>
      </c>
      <c r="BG962">
        <v>98</v>
      </c>
      <c r="BH962">
        <v>-0.11</v>
      </c>
      <c r="BI962">
        <v>-26.81</v>
      </c>
      <c r="BJ962">
        <v>11</v>
      </c>
      <c r="BK962">
        <v>10</v>
      </c>
      <c r="BL962">
        <v>-1.83</v>
      </c>
      <c r="BM962">
        <v>-0.97</v>
      </c>
      <c r="BN962">
        <v>-2.4700000000000002</v>
      </c>
      <c r="BO962">
        <v>-1.69</v>
      </c>
      <c r="BP962">
        <v>-2.62</v>
      </c>
      <c r="BQ962">
        <v>-3.19</v>
      </c>
      <c r="BR962">
        <v>1.33</v>
      </c>
      <c r="BS962">
        <v>-0.62</v>
      </c>
      <c r="BT962">
        <v>-2.13</v>
      </c>
      <c r="BU962">
        <v>-1.99</v>
      </c>
      <c r="BV962">
        <v>-3.06</v>
      </c>
      <c r="BW962">
        <v>-3.24</v>
      </c>
      <c r="BX962">
        <v>-1.41</v>
      </c>
      <c r="BY962">
        <v>-0.66</v>
      </c>
      <c r="BZ962">
        <v>-1.67</v>
      </c>
      <c r="CA962">
        <v>-2.63</v>
      </c>
      <c r="CB962">
        <v>-2.17</v>
      </c>
      <c r="CC962">
        <v>-2.17</v>
      </c>
      <c r="CD962">
        <v>0.28000000000000003</v>
      </c>
      <c r="CE962">
        <v>-0.9</v>
      </c>
      <c r="CF962">
        <v>-2.6</v>
      </c>
      <c r="CG962">
        <v>0</v>
      </c>
      <c r="CH962">
        <v>-0.2</v>
      </c>
      <c r="CI962">
        <v>0</v>
      </c>
      <c r="CJ962">
        <v>-12.3</v>
      </c>
      <c r="CK962">
        <v>99</v>
      </c>
      <c r="CL962">
        <v>-0.91</v>
      </c>
      <c r="CM962">
        <v>99</v>
      </c>
      <c r="CN962">
        <v>-0.18</v>
      </c>
      <c r="CO962">
        <v>99</v>
      </c>
      <c r="CP962">
        <v>-15.7</v>
      </c>
      <c r="CQ962">
        <v>98</v>
      </c>
      <c r="CR962">
        <v>0</v>
      </c>
      <c r="CS962">
        <v>0</v>
      </c>
      <c r="CT962">
        <v>-24.1</v>
      </c>
      <c r="CU962">
        <v>99</v>
      </c>
      <c r="CV962">
        <v>0.19</v>
      </c>
      <c r="CW962">
        <v>47</v>
      </c>
      <c r="CX962" t="s">
        <v>1451</v>
      </c>
    </row>
    <row r="963" spans="1:102" x14ac:dyDescent="0.3">
      <c r="A963" t="str">
        <f>HYPERLINK("https://webapp.icbf.com/v2/app/bull-search/view/1150881914","FR2102")</f>
        <v>FR2102</v>
      </c>
      <c r="B963" t="s">
        <v>7191</v>
      </c>
      <c r="C963" t="s">
        <v>7192</v>
      </c>
      <c r="D963" s="1">
        <v>41099</v>
      </c>
      <c r="E963" t="s">
        <v>92</v>
      </c>
      <c r="F963">
        <v>81</v>
      </c>
      <c r="G963" t="s">
        <v>109</v>
      </c>
      <c r="H963">
        <v>145.94999999999999</v>
      </c>
      <c r="I963">
        <v>80</v>
      </c>
      <c r="J963">
        <v>115.18</v>
      </c>
      <c r="K963">
        <v>92</v>
      </c>
      <c r="L963">
        <v>-3.36</v>
      </c>
      <c r="M963">
        <v>75</v>
      </c>
      <c r="N963">
        <v>34.36</v>
      </c>
      <c r="O963">
        <v>73</v>
      </c>
      <c r="P963">
        <v>-26.46</v>
      </c>
      <c r="Q963">
        <v>82</v>
      </c>
      <c r="R963">
        <v>-10.119999999999999</v>
      </c>
      <c r="S963">
        <v>71</v>
      </c>
      <c r="T963">
        <v>27.66</v>
      </c>
      <c r="U963">
        <v>72</v>
      </c>
      <c r="V963">
        <v>8.69</v>
      </c>
      <c r="W963">
        <v>65</v>
      </c>
      <c r="X963" t="s">
        <v>276</v>
      </c>
      <c r="Y963" t="s">
        <v>405</v>
      </c>
      <c r="Z963" t="s">
        <v>330</v>
      </c>
      <c r="AA963" t="s">
        <v>7193</v>
      </c>
      <c r="AB963" t="s">
        <v>144</v>
      </c>
      <c r="AC963">
        <v>48</v>
      </c>
      <c r="AD963">
        <v>14</v>
      </c>
      <c r="AE963">
        <v>92</v>
      </c>
      <c r="AF963">
        <v>204.57</v>
      </c>
      <c r="AG963">
        <v>18.43</v>
      </c>
      <c r="AH963">
        <v>16.2</v>
      </c>
      <c r="AI963">
        <v>0.18</v>
      </c>
      <c r="AJ963">
        <v>0.16</v>
      </c>
      <c r="AK963">
        <v>75</v>
      </c>
      <c r="AL963">
        <v>44</v>
      </c>
      <c r="AM963">
        <v>16</v>
      </c>
      <c r="AN963">
        <v>0.8</v>
      </c>
      <c r="AO963">
        <v>0.54</v>
      </c>
      <c r="AP963">
        <v>88</v>
      </c>
      <c r="AQ963">
        <v>0</v>
      </c>
      <c r="AR963">
        <v>6.07</v>
      </c>
      <c r="AS963">
        <v>72</v>
      </c>
      <c r="AT963">
        <v>2.52</v>
      </c>
      <c r="AU963">
        <v>70</v>
      </c>
      <c r="AV963">
        <v>-3.94</v>
      </c>
      <c r="AW963">
        <v>93</v>
      </c>
      <c r="AX963">
        <v>-0.03</v>
      </c>
      <c r="AY963">
        <v>68</v>
      </c>
      <c r="AZ963">
        <v>7.19</v>
      </c>
      <c r="BA963">
        <v>37</v>
      </c>
      <c r="BB963">
        <v>5.83</v>
      </c>
      <c r="BC963">
        <v>34</v>
      </c>
      <c r="BD963">
        <v>0.01</v>
      </c>
      <c r="BE963">
        <v>0.04</v>
      </c>
      <c r="BF963">
        <v>0.14000000000000001</v>
      </c>
      <c r="BG963">
        <v>89</v>
      </c>
      <c r="BH963">
        <v>0.08</v>
      </c>
      <c r="BI963">
        <v>-18.77</v>
      </c>
      <c r="BJ963">
        <v>0</v>
      </c>
      <c r="BK963">
        <v>0</v>
      </c>
      <c r="BL963">
        <v>-1.69</v>
      </c>
      <c r="BM963">
        <v>1.39</v>
      </c>
      <c r="BN963">
        <v>0.18</v>
      </c>
      <c r="BO963">
        <v>0</v>
      </c>
      <c r="BP963">
        <v>-0.87</v>
      </c>
      <c r="BQ963">
        <v>-1.76</v>
      </c>
      <c r="BR963">
        <v>2.86</v>
      </c>
      <c r="BS963">
        <v>0</v>
      </c>
      <c r="BT963">
        <v>0</v>
      </c>
      <c r="BU963">
        <v>-1.33</v>
      </c>
      <c r="BV963">
        <v>-2.04</v>
      </c>
      <c r="BW963">
        <v>-2.17</v>
      </c>
      <c r="BX963">
        <v>0</v>
      </c>
      <c r="BY963">
        <v>-1.96</v>
      </c>
      <c r="BZ963">
        <v>0</v>
      </c>
      <c r="CA963">
        <v>-1.17</v>
      </c>
      <c r="CB963">
        <v>-1.68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-13.1</v>
      </c>
      <c r="CK963">
        <v>85</v>
      </c>
      <c r="CL963">
        <v>-0.71</v>
      </c>
      <c r="CM963">
        <v>80</v>
      </c>
      <c r="CN963">
        <v>-0.17</v>
      </c>
      <c r="CO963">
        <v>79</v>
      </c>
      <c r="CP963">
        <v>-20.3</v>
      </c>
      <c r="CQ963">
        <v>66</v>
      </c>
      <c r="CR963">
        <v>0</v>
      </c>
      <c r="CS963">
        <v>0</v>
      </c>
      <c r="CT963">
        <v>-23.6</v>
      </c>
      <c r="CU963">
        <v>72</v>
      </c>
      <c r="CV963">
        <v>-0.04</v>
      </c>
      <c r="CW963">
        <v>43</v>
      </c>
      <c r="CX963" t="s">
        <v>333</v>
      </c>
    </row>
    <row r="964" spans="1:102" x14ac:dyDescent="0.3">
      <c r="A964" t="str">
        <f>HYPERLINK("https://webapp.icbf.com/v2/app/bull-search/view/564232717","AFD")</f>
        <v>AFD</v>
      </c>
      <c r="B964" t="s">
        <v>14458</v>
      </c>
      <c r="C964" t="s">
        <v>14459</v>
      </c>
      <c r="D964" s="1">
        <v>39504</v>
      </c>
      <c r="E964" t="s">
        <v>92</v>
      </c>
      <c r="F964">
        <v>88</v>
      </c>
      <c r="G964" t="s">
        <v>93</v>
      </c>
      <c r="H964">
        <v>145.93</v>
      </c>
      <c r="I964">
        <v>97</v>
      </c>
      <c r="J964">
        <v>59.79</v>
      </c>
      <c r="K964">
        <v>99</v>
      </c>
      <c r="L964">
        <v>36.5</v>
      </c>
      <c r="M964">
        <v>95</v>
      </c>
      <c r="N964">
        <v>42.33</v>
      </c>
      <c r="O964">
        <v>98</v>
      </c>
      <c r="P964">
        <v>-5.7</v>
      </c>
      <c r="Q964">
        <v>99</v>
      </c>
      <c r="R964">
        <v>-1.84</v>
      </c>
      <c r="S964">
        <v>96</v>
      </c>
      <c r="T964">
        <v>15.08</v>
      </c>
      <c r="U964">
        <v>99</v>
      </c>
      <c r="V964">
        <v>-0.23</v>
      </c>
      <c r="W964">
        <v>86</v>
      </c>
      <c r="X964" t="s">
        <v>94</v>
      </c>
      <c r="Y964" t="s">
        <v>4217</v>
      </c>
      <c r="Z964" t="s">
        <v>96</v>
      </c>
      <c r="AA964" t="s">
        <v>1883</v>
      </c>
      <c r="AB964" t="s">
        <v>14460</v>
      </c>
      <c r="AC964">
        <v>3912</v>
      </c>
      <c r="AD964">
        <v>1156</v>
      </c>
      <c r="AE964">
        <v>99</v>
      </c>
      <c r="AF964">
        <v>159.16999999999999</v>
      </c>
      <c r="AG964">
        <v>13.61</v>
      </c>
      <c r="AH964">
        <v>7.79</v>
      </c>
      <c r="AI964">
        <v>0.13</v>
      </c>
      <c r="AJ964">
        <v>0.04</v>
      </c>
      <c r="AK964">
        <v>95</v>
      </c>
      <c r="AL964">
        <v>4128</v>
      </c>
      <c r="AM964">
        <v>1420</v>
      </c>
      <c r="AN964">
        <v>-1.29</v>
      </c>
      <c r="AO964">
        <v>1.63</v>
      </c>
      <c r="AP964">
        <v>8269</v>
      </c>
      <c r="AQ964">
        <v>35</v>
      </c>
      <c r="AR964">
        <v>4.6399999999999997</v>
      </c>
      <c r="AS964">
        <v>99</v>
      </c>
      <c r="AT964">
        <v>1.8</v>
      </c>
      <c r="AU964">
        <v>99</v>
      </c>
      <c r="AV964">
        <v>-4.1500000000000004</v>
      </c>
      <c r="AW964">
        <v>99</v>
      </c>
      <c r="AX964">
        <v>1.61</v>
      </c>
      <c r="AY964">
        <v>99</v>
      </c>
      <c r="AZ964">
        <v>6.79</v>
      </c>
      <c r="BA964">
        <v>98</v>
      </c>
      <c r="BB964">
        <v>5.43</v>
      </c>
      <c r="BC964">
        <v>96</v>
      </c>
      <c r="BD964">
        <v>-0.04</v>
      </c>
      <c r="BE964">
        <v>0.01</v>
      </c>
      <c r="BF964">
        <v>0.09</v>
      </c>
      <c r="BG964">
        <v>99</v>
      </c>
      <c r="BH964">
        <v>0</v>
      </c>
      <c r="BI964">
        <v>0.73</v>
      </c>
      <c r="BJ964">
        <v>146</v>
      </c>
      <c r="BK964">
        <v>48</v>
      </c>
      <c r="BL964">
        <v>-1.32</v>
      </c>
      <c r="BM964">
        <v>0</v>
      </c>
      <c r="BN964">
        <v>-1.1000000000000001</v>
      </c>
      <c r="BO964">
        <v>-0.97</v>
      </c>
      <c r="BP964">
        <v>2.65</v>
      </c>
      <c r="BQ964">
        <v>-3.61</v>
      </c>
      <c r="BR964">
        <v>-0.8</v>
      </c>
      <c r="BS964">
        <v>-0.62</v>
      </c>
      <c r="BT964">
        <v>-7.0000000000000007E-2</v>
      </c>
      <c r="BU964">
        <v>-0.7</v>
      </c>
      <c r="BV964">
        <v>-2.4700000000000002</v>
      </c>
      <c r="BW964">
        <v>-1.65</v>
      </c>
      <c r="BX964">
        <v>-0.23</v>
      </c>
      <c r="BY964">
        <v>-1.55</v>
      </c>
      <c r="BZ964">
        <v>0.11</v>
      </c>
      <c r="CA964">
        <v>-1</v>
      </c>
      <c r="CB964">
        <v>-1.26</v>
      </c>
      <c r="CC964">
        <v>-7.0000000000000007E-2</v>
      </c>
      <c r="CD964">
        <v>0.74</v>
      </c>
      <c r="CE964">
        <v>-0.8</v>
      </c>
      <c r="CF964">
        <v>-1.39</v>
      </c>
      <c r="CG964">
        <v>0</v>
      </c>
      <c r="CH964">
        <v>-1.46</v>
      </c>
      <c r="CI964">
        <v>0</v>
      </c>
      <c r="CJ964">
        <v>-4.5</v>
      </c>
      <c r="CK964">
        <v>99</v>
      </c>
      <c r="CL964">
        <v>-0.52</v>
      </c>
      <c r="CM964">
        <v>99</v>
      </c>
      <c r="CN964">
        <v>-0.57999999999999996</v>
      </c>
      <c r="CO964">
        <v>99</v>
      </c>
      <c r="CP964">
        <v>-6.1</v>
      </c>
      <c r="CQ964">
        <v>98</v>
      </c>
      <c r="CR964">
        <v>0</v>
      </c>
      <c r="CS964">
        <v>0</v>
      </c>
      <c r="CT964">
        <v>-6.6</v>
      </c>
      <c r="CU964">
        <v>99</v>
      </c>
      <c r="CV964">
        <v>0.09</v>
      </c>
      <c r="CW964">
        <v>47</v>
      </c>
      <c r="CX964" t="s">
        <v>4532</v>
      </c>
    </row>
    <row r="965" spans="1:102" x14ac:dyDescent="0.3">
      <c r="A965" t="str">
        <f>HYPERLINK("https://webapp.icbf.com/v2/app/bull-search/view/933357058","KHT")</f>
        <v>KHT</v>
      </c>
      <c r="B965" t="s">
        <v>9247</v>
      </c>
      <c r="C965" t="s">
        <v>9248</v>
      </c>
      <c r="D965" s="1">
        <v>40772</v>
      </c>
      <c r="E965" t="s">
        <v>92</v>
      </c>
      <c r="F965">
        <v>56</v>
      </c>
      <c r="G965" t="s">
        <v>93</v>
      </c>
      <c r="H965">
        <v>145.84</v>
      </c>
      <c r="I965">
        <v>91</v>
      </c>
      <c r="J965">
        <v>64.47</v>
      </c>
      <c r="K965">
        <v>99</v>
      </c>
      <c r="L965">
        <v>25.87</v>
      </c>
      <c r="M965">
        <v>85</v>
      </c>
      <c r="N965">
        <v>43.63</v>
      </c>
      <c r="O965">
        <v>93</v>
      </c>
      <c r="P965">
        <v>-30.09</v>
      </c>
      <c r="Q965">
        <v>97</v>
      </c>
      <c r="R965">
        <v>7.45</v>
      </c>
      <c r="S965">
        <v>82</v>
      </c>
      <c r="T965">
        <v>29</v>
      </c>
      <c r="U965">
        <v>93</v>
      </c>
      <c r="V965">
        <v>5.51</v>
      </c>
      <c r="W965">
        <v>74</v>
      </c>
      <c r="X965" t="s">
        <v>276</v>
      </c>
      <c r="Y965" t="s">
        <v>1775</v>
      </c>
      <c r="Z965" t="s">
        <v>330</v>
      </c>
      <c r="AA965" t="s">
        <v>3081</v>
      </c>
      <c r="AB965" t="s">
        <v>9249</v>
      </c>
      <c r="AC965">
        <v>407</v>
      </c>
      <c r="AD965">
        <v>119</v>
      </c>
      <c r="AE965">
        <v>99</v>
      </c>
      <c r="AF965">
        <v>274.91000000000003</v>
      </c>
      <c r="AG965">
        <v>7.95</v>
      </c>
      <c r="AH965">
        <v>12.36</v>
      </c>
      <c r="AI965">
        <v>-0.05</v>
      </c>
      <c r="AJ965">
        <v>0.05</v>
      </c>
      <c r="AK965">
        <v>85</v>
      </c>
      <c r="AL965">
        <v>430</v>
      </c>
      <c r="AM965">
        <v>132</v>
      </c>
      <c r="AN965">
        <v>-0.12</v>
      </c>
      <c r="AO965">
        <v>1.96</v>
      </c>
      <c r="AP965">
        <v>707</v>
      </c>
      <c r="AQ965">
        <v>2</v>
      </c>
      <c r="AR965">
        <v>4.13</v>
      </c>
      <c r="AS965">
        <v>96</v>
      </c>
      <c r="AT965">
        <v>1.63</v>
      </c>
      <c r="AU965">
        <v>91</v>
      </c>
      <c r="AV965">
        <v>-3.74</v>
      </c>
      <c r="AW965">
        <v>99</v>
      </c>
      <c r="AX965">
        <v>-1.31</v>
      </c>
      <c r="AY965">
        <v>94</v>
      </c>
      <c r="AZ965">
        <v>8.35</v>
      </c>
      <c r="BA965">
        <v>82</v>
      </c>
      <c r="BB965">
        <v>5.82</v>
      </c>
      <c r="BC965">
        <v>75</v>
      </c>
      <c r="BD965">
        <v>-0.05</v>
      </c>
      <c r="BE965">
        <v>-0.02</v>
      </c>
      <c r="BF965">
        <v>-0.05</v>
      </c>
      <c r="BG965">
        <v>95</v>
      </c>
      <c r="BH965">
        <v>0.15</v>
      </c>
      <c r="BI965">
        <v>-0.43</v>
      </c>
      <c r="BJ965">
        <v>1</v>
      </c>
      <c r="BK965">
        <v>1</v>
      </c>
      <c r="BL965">
        <v>-3.26</v>
      </c>
      <c r="BM965">
        <v>-1.17</v>
      </c>
      <c r="BN965">
        <v>-1.86</v>
      </c>
      <c r="BO965">
        <v>-0.91</v>
      </c>
      <c r="BP965">
        <v>-0.81</v>
      </c>
      <c r="BQ965">
        <v>-1.64</v>
      </c>
      <c r="BR965">
        <v>3.65</v>
      </c>
      <c r="BS965">
        <v>-0.3</v>
      </c>
      <c r="BT965">
        <v>-2.71</v>
      </c>
      <c r="BU965">
        <v>-1.88</v>
      </c>
      <c r="BV965">
        <v>-2.2400000000000002</v>
      </c>
      <c r="BW965">
        <v>-2.82</v>
      </c>
      <c r="BX965">
        <v>-2.79</v>
      </c>
      <c r="BY965">
        <v>-2.48</v>
      </c>
      <c r="BZ965">
        <v>0.28000000000000003</v>
      </c>
      <c r="CA965">
        <v>-2.59</v>
      </c>
      <c r="CB965">
        <v>-2.1800000000000002</v>
      </c>
      <c r="CC965">
        <v>-1.39</v>
      </c>
      <c r="CD965">
        <v>-0.21</v>
      </c>
      <c r="CE965">
        <v>-0.99</v>
      </c>
      <c r="CF965">
        <v>-2.62</v>
      </c>
      <c r="CG965">
        <v>0</v>
      </c>
      <c r="CH965">
        <v>-2.4700000000000002</v>
      </c>
      <c r="CI965">
        <v>0</v>
      </c>
      <c r="CJ965">
        <v>-13.8</v>
      </c>
      <c r="CK965">
        <v>98</v>
      </c>
      <c r="CL965">
        <v>-0.82</v>
      </c>
      <c r="CM965">
        <v>98</v>
      </c>
      <c r="CN965">
        <v>-0.06</v>
      </c>
      <c r="CO965">
        <v>97</v>
      </c>
      <c r="CP965">
        <v>-21.9</v>
      </c>
      <c r="CQ965">
        <v>90</v>
      </c>
      <c r="CR965">
        <v>0</v>
      </c>
      <c r="CS965">
        <v>0</v>
      </c>
      <c r="CT965">
        <v>-25.4</v>
      </c>
      <c r="CU965">
        <v>93</v>
      </c>
      <c r="CV965">
        <v>0.11</v>
      </c>
      <c r="CW965">
        <v>46</v>
      </c>
      <c r="CX965" t="s">
        <v>331</v>
      </c>
    </row>
    <row r="966" spans="1:102" x14ac:dyDescent="0.3">
      <c r="A966" t="str">
        <f>HYPERLINK("https://webapp.icbf.com/v2/app/bull-search/view/1276132278","JE2269")</f>
        <v>JE2269</v>
      </c>
      <c r="B966" t="s">
        <v>13610</v>
      </c>
      <c r="C966" t="s">
        <v>13611</v>
      </c>
      <c r="D966" s="1">
        <v>41663</v>
      </c>
      <c r="E966" t="s">
        <v>227</v>
      </c>
      <c r="F966">
        <v>0</v>
      </c>
      <c r="G966" t="s">
        <v>109</v>
      </c>
      <c r="H966">
        <v>145.75</v>
      </c>
      <c r="I966">
        <v>51</v>
      </c>
      <c r="J966">
        <v>87.71</v>
      </c>
      <c r="K966">
        <v>67</v>
      </c>
      <c r="L966">
        <v>24.37</v>
      </c>
      <c r="M966">
        <v>58</v>
      </c>
      <c r="N966">
        <v>16.399999999999999</v>
      </c>
      <c r="O966">
        <v>44</v>
      </c>
      <c r="P966">
        <v>-62.66</v>
      </c>
      <c r="Q966">
        <v>22</v>
      </c>
      <c r="R966">
        <v>7.54</v>
      </c>
      <c r="S966">
        <v>28</v>
      </c>
      <c r="T966">
        <v>66.44</v>
      </c>
      <c r="U966">
        <v>18</v>
      </c>
      <c r="V966">
        <v>5.95</v>
      </c>
      <c r="W966">
        <v>23</v>
      </c>
      <c r="X966" t="s">
        <v>94</v>
      </c>
      <c r="Y966" t="s">
        <v>405</v>
      </c>
      <c r="Z966">
        <v>0</v>
      </c>
      <c r="AA966" t="s">
        <v>2208</v>
      </c>
      <c r="AB966" t="s">
        <v>144</v>
      </c>
      <c r="AC966">
        <v>0</v>
      </c>
      <c r="AD966">
        <v>0</v>
      </c>
      <c r="AE966">
        <v>67</v>
      </c>
      <c r="AF966">
        <v>-213.69</v>
      </c>
      <c r="AG966">
        <v>23</v>
      </c>
      <c r="AH966">
        <v>3.51</v>
      </c>
      <c r="AI966">
        <v>0.54</v>
      </c>
      <c r="AJ966">
        <v>0.19</v>
      </c>
      <c r="AK966">
        <v>58</v>
      </c>
      <c r="AL966">
        <v>0</v>
      </c>
      <c r="AM966">
        <v>0</v>
      </c>
      <c r="AN966">
        <v>-0.04</v>
      </c>
      <c r="AO966">
        <v>1.92</v>
      </c>
      <c r="AP966">
        <v>17</v>
      </c>
      <c r="AQ966">
        <v>3</v>
      </c>
      <c r="AR966">
        <v>3.63</v>
      </c>
      <c r="AS966">
        <v>31</v>
      </c>
      <c r="AT966">
        <v>1.82</v>
      </c>
      <c r="AU966">
        <v>35</v>
      </c>
      <c r="AV966">
        <v>-2.66</v>
      </c>
      <c r="AW966">
        <v>66</v>
      </c>
      <c r="AX966">
        <v>7.82</v>
      </c>
      <c r="AY966">
        <v>35</v>
      </c>
      <c r="AZ966">
        <v>7.09</v>
      </c>
      <c r="BA966">
        <v>21</v>
      </c>
      <c r="BB966">
        <v>5.27</v>
      </c>
      <c r="BC966">
        <v>13</v>
      </c>
      <c r="BD966">
        <v>-0.08</v>
      </c>
      <c r="BE966">
        <v>0</v>
      </c>
      <c r="BF966">
        <v>-0.04</v>
      </c>
      <c r="BG966">
        <v>34</v>
      </c>
      <c r="BH966">
        <v>0.13</v>
      </c>
      <c r="BI966">
        <v>-4.1500000000000004</v>
      </c>
      <c r="BJ966">
        <v>0</v>
      </c>
      <c r="BK966">
        <v>0</v>
      </c>
      <c r="BL966">
        <v>-1.1200000000000001</v>
      </c>
      <c r="BM966">
        <v>-1.81</v>
      </c>
      <c r="BN966">
        <v>-7.0000000000000007E-2</v>
      </c>
      <c r="BO966">
        <v>1.6</v>
      </c>
      <c r="BP966">
        <v>0.3</v>
      </c>
      <c r="BQ966">
        <v>-5.67</v>
      </c>
      <c r="BR966">
        <v>2.04</v>
      </c>
      <c r="BS966">
        <v>6.94</v>
      </c>
      <c r="BT966">
        <v>-0.86</v>
      </c>
      <c r="BU966">
        <v>0.69</v>
      </c>
      <c r="BV966">
        <v>0.84</v>
      </c>
      <c r="BW966">
        <v>-1.22</v>
      </c>
      <c r="BX966">
        <v>-2.02</v>
      </c>
      <c r="BY966">
        <v>0.24</v>
      </c>
      <c r="BZ966">
        <v>0.87</v>
      </c>
      <c r="CA966">
        <v>2.0699999999999998</v>
      </c>
      <c r="CB966">
        <v>0.69</v>
      </c>
      <c r="CC966">
        <v>3.93</v>
      </c>
      <c r="CD966">
        <v>-2.36</v>
      </c>
      <c r="CE966">
        <v>1.37</v>
      </c>
      <c r="CF966">
        <v>-0.94</v>
      </c>
      <c r="CG966">
        <v>0</v>
      </c>
      <c r="CH966">
        <v>-0.34</v>
      </c>
      <c r="CI966">
        <v>0</v>
      </c>
      <c r="CJ966">
        <v>-32.200000000000003</v>
      </c>
      <c r="CK966">
        <v>23</v>
      </c>
      <c r="CL966">
        <v>-1.29</v>
      </c>
      <c r="CM966">
        <v>22</v>
      </c>
      <c r="CN966">
        <v>-0.24</v>
      </c>
      <c r="CO966">
        <v>21</v>
      </c>
      <c r="CP966">
        <v>-51.5</v>
      </c>
      <c r="CQ966">
        <v>19</v>
      </c>
      <c r="CR966">
        <v>0</v>
      </c>
      <c r="CS966">
        <v>0</v>
      </c>
      <c r="CT966">
        <v>-76</v>
      </c>
      <c r="CU966">
        <v>18</v>
      </c>
      <c r="CV966">
        <v>-0.32</v>
      </c>
      <c r="CW966">
        <v>6</v>
      </c>
      <c r="CX966" t="s">
        <v>3045</v>
      </c>
    </row>
    <row r="967" spans="1:102" x14ac:dyDescent="0.3">
      <c r="A967" t="str">
        <f>HYPERLINK("https://webapp.icbf.com/v2/app/bull-search/view/503102728","SXN")</f>
        <v>SXN</v>
      </c>
      <c r="B967" t="s">
        <v>4233</v>
      </c>
      <c r="C967" t="s">
        <v>4234</v>
      </c>
      <c r="D967" s="1">
        <v>38689</v>
      </c>
      <c r="E967" t="s">
        <v>108</v>
      </c>
      <c r="F967">
        <v>3</v>
      </c>
      <c r="G967" t="s">
        <v>93</v>
      </c>
      <c r="H967">
        <v>145.69999999999999</v>
      </c>
      <c r="I967">
        <v>85</v>
      </c>
      <c r="J967">
        <v>-15.95</v>
      </c>
      <c r="K967">
        <v>96</v>
      </c>
      <c r="L967">
        <v>107.24</v>
      </c>
      <c r="M967">
        <v>74</v>
      </c>
      <c r="N967">
        <v>29.29</v>
      </c>
      <c r="O967">
        <v>85</v>
      </c>
      <c r="P967">
        <v>-14.41</v>
      </c>
      <c r="Q967">
        <v>92</v>
      </c>
      <c r="R967">
        <v>8.92</v>
      </c>
      <c r="S967">
        <v>79</v>
      </c>
      <c r="T967">
        <v>22.71</v>
      </c>
      <c r="U967">
        <v>86</v>
      </c>
      <c r="V967">
        <v>7.9</v>
      </c>
      <c r="W967">
        <v>82</v>
      </c>
      <c r="X967" t="s">
        <v>94</v>
      </c>
      <c r="Y967" t="s">
        <v>1513</v>
      </c>
      <c r="Z967" t="s">
        <v>96</v>
      </c>
      <c r="AA967" t="s">
        <v>4235</v>
      </c>
      <c r="AB967" t="s">
        <v>4236</v>
      </c>
      <c r="AC967">
        <v>82</v>
      </c>
      <c r="AD967">
        <v>59</v>
      </c>
      <c r="AE967">
        <v>96</v>
      </c>
      <c r="AF967">
        <v>-298.75</v>
      </c>
      <c r="AG967">
        <v>-5.33</v>
      </c>
      <c r="AH967">
        <v>-5.4</v>
      </c>
      <c r="AI967">
        <v>0.12</v>
      </c>
      <c r="AJ967">
        <v>0.09</v>
      </c>
      <c r="AK967">
        <v>74</v>
      </c>
      <c r="AL967">
        <v>77</v>
      </c>
      <c r="AM967">
        <v>57</v>
      </c>
      <c r="AN967">
        <v>-6.05</v>
      </c>
      <c r="AO967">
        <v>2.5</v>
      </c>
      <c r="AP967">
        <v>198</v>
      </c>
      <c r="AQ967">
        <v>0</v>
      </c>
      <c r="AR967">
        <v>5.5</v>
      </c>
      <c r="AS967">
        <v>69</v>
      </c>
      <c r="AT967">
        <v>2.35</v>
      </c>
      <c r="AU967">
        <v>87</v>
      </c>
      <c r="AV967">
        <v>-2.62</v>
      </c>
      <c r="AW967">
        <v>96</v>
      </c>
      <c r="AX967">
        <v>0.4</v>
      </c>
      <c r="AY967">
        <v>80</v>
      </c>
      <c r="AZ967">
        <v>7.62</v>
      </c>
      <c r="BA967">
        <v>63</v>
      </c>
      <c r="BB967">
        <v>4.96</v>
      </c>
      <c r="BC967">
        <v>65</v>
      </c>
      <c r="BD967">
        <v>-0.03</v>
      </c>
      <c r="BE967">
        <v>-0.05</v>
      </c>
      <c r="BF967">
        <v>-0.06</v>
      </c>
      <c r="BG967">
        <v>87</v>
      </c>
      <c r="BH967">
        <v>0.02</v>
      </c>
      <c r="BI967">
        <v>-23.16</v>
      </c>
      <c r="BJ967">
        <v>28</v>
      </c>
      <c r="BK967">
        <v>17</v>
      </c>
      <c r="BL967">
        <v>-2.71</v>
      </c>
      <c r="BM967">
        <v>1.27</v>
      </c>
      <c r="BN967">
        <v>-2.39</v>
      </c>
      <c r="BO967">
        <v>-2.5499999999999998</v>
      </c>
      <c r="BP967">
        <v>0.02</v>
      </c>
      <c r="BQ967">
        <v>7.0000000000000007E-2</v>
      </c>
      <c r="BR967">
        <v>-0.03</v>
      </c>
      <c r="BS967">
        <v>0.05</v>
      </c>
      <c r="BT967">
        <v>-0.56000000000000005</v>
      </c>
      <c r="BU967">
        <v>-0.84</v>
      </c>
      <c r="BV967">
        <v>-1.89</v>
      </c>
      <c r="BW967">
        <v>-2.09</v>
      </c>
      <c r="BX967">
        <v>-1.27</v>
      </c>
      <c r="BY967">
        <v>2.15</v>
      </c>
      <c r="BZ967">
        <v>-1.66</v>
      </c>
      <c r="CA967">
        <v>-1.39</v>
      </c>
      <c r="CB967">
        <v>-0.78</v>
      </c>
      <c r="CC967">
        <v>-2.15</v>
      </c>
      <c r="CD967">
        <v>2.39</v>
      </c>
      <c r="CE967">
        <v>-2.1800000000000002</v>
      </c>
      <c r="CF967">
        <v>-1.59</v>
      </c>
      <c r="CG967">
        <v>0</v>
      </c>
      <c r="CH967">
        <v>1.62</v>
      </c>
      <c r="CI967">
        <v>0</v>
      </c>
      <c r="CJ967">
        <v>-6.6</v>
      </c>
      <c r="CK967">
        <v>93</v>
      </c>
      <c r="CL967">
        <v>-0.28000000000000003</v>
      </c>
      <c r="CM967">
        <v>91</v>
      </c>
      <c r="CN967">
        <v>7.0000000000000007E-2</v>
      </c>
      <c r="CO967">
        <v>90</v>
      </c>
      <c r="CP967">
        <v>-10.6</v>
      </c>
      <c r="CQ967">
        <v>86</v>
      </c>
      <c r="CR967">
        <v>0</v>
      </c>
      <c r="CS967">
        <v>0</v>
      </c>
      <c r="CT967">
        <v>-16.899999999999999</v>
      </c>
      <c r="CU967">
        <v>86</v>
      </c>
      <c r="CV967">
        <v>0.03</v>
      </c>
      <c r="CW967">
        <v>44</v>
      </c>
      <c r="CX967" t="s">
        <v>1018</v>
      </c>
    </row>
    <row r="968" spans="1:102" x14ac:dyDescent="0.3">
      <c r="A968" t="str">
        <f>HYPERLINK("https://webapp.icbf.com/v2/app/bull-search/view/1337278165","RW2415")</f>
        <v>RW2415</v>
      </c>
      <c r="B968" t="s">
        <v>9405</v>
      </c>
      <c r="C968" t="s">
        <v>9406</v>
      </c>
      <c r="D968" s="1">
        <v>41782</v>
      </c>
      <c r="E968" t="s">
        <v>59</v>
      </c>
      <c r="F968">
        <v>0</v>
      </c>
      <c r="G968" t="s">
        <v>109</v>
      </c>
      <c r="H968">
        <v>145.66</v>
      </c>
      <c r="I968">
        <v>66</v>
      </c>
      <c r="J968">
        <v>41.48</v>
      </c>
      <c r="K968">
        <v>83</v>
      </c>
      <c r="L968">
        <v>77.67</v>
      </c>
      <c r="M968">
        <v>67</v>
      </c>
      <c r="N968">
        <v>22.59</v>
      </c>
      <c r="O968">
        <v>69</v>
      </c>
      <c r="P968">
        <v>-27.78</v>
      </c>
      <c r="Q968">
        <v>37</v>
      </c>
      <c r="R968">
        <v>2.9</v>
      </c>
      <c r="S968">
        <v>49</v>
      </c>
      <c r="T968">
        <v>29.81</v>
      </c>
      <c r="U968">
        <v>37</v>
      </c>
      <c r="V968">
        <v>-1.01</v>
      </c>
      <c r="W968">
        <v>48</v>
      </c>
      <c r="X968" t="s">
        <v>276</v>
      </c>
      <c r="Y968" t="s">
        <v>429</v>
      </c>
      <c r="Z968">
        <v>0</v>
      </c>
      <c r="AA968" t="s">
        <v>9407</v>
      </c>
      <c r="AB968" t="s">
        <v>144</v>
      </c>
      <c r="AC968">
        <v>0</v>
      </c>
      <c r="AD968">
        <v>0</v>
      </c>
      <c r="AE968">
        <v>83</v>
      </c>
      <c r="AF968">
        <v>28.27</v>
      </c>
      <c r="AG968">
        <v>4.46</v>
      </c>
      <c r="AH968">
        <v>5.91</v>
      </c>
      <c r="AI968">
        <v>0.06</v>
      </c>
      <c r="AJ968">
        <v>0.09</v>
      </c>
      <c r="AK968">
        <v>67</v>
      </c>
      <c r="AL968">
        <v>0</v>
      </c>
      <c r="AM968">
        <v>0</v>
      </c>
      <c r="AN968">
        <v>-1.42</v>
      </c>
      <c r="AO968">
        <v>4.8099999999999996</v>
      </c>
      <c r="AP968">
        <v>79</v>
      </c>
      <c r="AQ968">
        <v>0</v>
      </c>
      <c r="AR968">
        <v>6.99</v>
      </c>
      <c r="AS968">
        <v>47</v>
      </c>
      <c r="AT968">
        <v>3.02</v>
      </c>
      <c r="AU968">
        <v>81</v>
      </c>
      <c r="AV968">
        <v>-2.4500000000000002</v>
      </c>
      <c r="AW968">
        <v>87</v>
      </c>
      <c r="AX968">
        <v>-0.34</v>
      </c>
      <c r="AY968">
        <v>59</v>
      </c>
      <c r="AZ968">
        <v>6.03</v>
      </c>
      <c r="BA968">
        <v>39</v>
      </c>
      <c r="BB968">
        <v>5.17</v>
      </c>
      <c r="BC968">
        <v>19</v>
      </c>
      <c r="BD968">
        <v>-0.01</v>
      </c>
      <c r="BE968">
        <v>0</v>
      </c>
      <c r="BF968">
        <v>-0.05</v>
      </c>
      <c r="BG968">
        <v>61</v>
      </c>
      <c r="BH968">
        <v>-0.18</v>
      </c>
      <c r="BI968">
        <v>-17.579999999999998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-10.7</v>
      </c>
      <c r="CK968">
        <v>37</v>
      </c>
      <c r="CL968">
        <v>-1.1200000000000001</v>
      </c>
      <c r="CM968">
        <v>36</v>
      </c>
      <c r="CN968">
        <v>-0.22</v>
      </c>
      <c r="CO968">
        <v>35</v>
      </c>
      <c r="CP968">
        <v>-26.9</v>
      </c>
      <c r="CQ968">
        <v>38</v>
      </c>
      <c r="CR968">
        <v>0</v>
      </c>
      <c r="CS968">
        <v>0</v>
      </c>
      <c r="CT968">
        <v>-26.5</v>
      </c>
      <c r="CU968">
        <v>37</v>
      </c>
      <c r="CV968">
        <v>0.01</v>
      </c>
      <c r="CW968">
        <v>32</v>
      </c>
      <c r="CX968" t="s">
        <v>9005</v>
      </c>
    </row>
    <row r="969" spans="1:102" x14ac:dyDescent="0.3">
      <c r="A969" t="str">
        <f>HYPERLINK("https://webapp.icbf.com/v2/app/bull-search/view/1240327439","FR2261")</f>
        <v>FR2261</v>
      </c>
      <c r="B969" t="s">
        <v>13564</v>
      </c>
      <c r="C969" t="s">
        <v>13565</v>
      </c>
      <c r="D969" s="1">
        <v>41643</v>
      </c>
      <c r="E969" t="s">
        <v>92</v>
      </c>
      <c r="F969">
        <v>100</v>
      </c>
      <c r="G969" t="s">
        <v>109</v>
      </c>
      <c r="H969">
        <v>145.59</v>
      </c>
      <c r="I969">
        <v>75</v>
      </c>
      <c r="J969">
        <v>90.01</v>
      </c>
      <c r="K969">
        <v>91</v>
      </c>
      <c r="L969">
        <v>17.09</v>
      </c>
      <c r="M969">
        <v>76</v>
      </c>
      <c r="N969">
        <v>40.729999999999997</v>
      </c>
      <c r="O969">
        <v>72</v>
      </c>
      <c r="P969">
        <v>-5.76</v>
      </c>
      <c r="Q969">
        <v>57</v>
      </c>
      <c r="R969">
        <v>9.48</v>
      </c>
      <c r="S969">
        <v>69</v>
      </c>
      <c r="T969">
        <v>-0.97</v>
      </c>
      <c r="U969">
        <v>41</v>
      </c>
      <c r="V969">
        <v>-4.99</v>
      </c>
      <c r="W969">
        <v>53</v>
      </c>
      <c r="X969" t="s">
        <v>94</v>
      </c>
      <c r="Y969" t="s">
        <v>405</v>
      </c>
      <c r="Z969" t="s">
        <v>96</v>
      </c>
      <c r="AA969" t="s">
        <v>6247</v>
      </c>
      <c r="AB969" t="s">
        <v>13566</v>
      </c>
      <c r="AC969">
        <v>0</v>
      </c>
      <c r="AD969">
        <v>0</v>
      </c>
      <c r="AE969">
        <v>91</v>
      </c>
      <c r="AF969">
        <v>149.18</v>
      </c>
      <c r="AG969">
        <v>15.89</v>
      </c>
      <c r="AH969">
        <v>11.97</v>
      </c>
      <c r="AI969">
        <v>0.17</v>
      </c>
      <c r="AJ969">
        <v>0.12</v>
      </c>
      <c r="AK969">
        <v>76</v>
      </c>
      <c r="AL969">
        <v>0</v>
      </c>
      <c r="AM969">
        <v>0</v>
      </c>
      <c r="AN969">
        <v>-0.39</v>
      </c>
      <c r="AO969">
        <v>0.98</v>
      </c>
      <c r="AP969">
        <v>30</v>
      </c>
      <c r="AQ969">
        <v>0</v>
      </c>
      <c r="AR969">
        <v>7.96</v>
      </c>
      <c r="AS969">
        <v>61</v>
      </c>
      <c r="AT969">
        <v>2.41</v>
      </c>
      <c r="AU969">
        <v>86</v>
      </c>
      <c r="AV969">
        <v>-4.29</v>
      </c>
      <c r="AW969">
        <v>85</v>
      </c>
      <c r="AX969">
        <v>-0.65</v>
      </c>
      <c r="AY969">
        <v>56</v>
      </c>
      <c r="AZ969">
        <v>5.62</v>
      </c>
      <c r="BA969">
        <v>42</v>
      </c>
      <c r="BB969">
        <v>5.25</v>
      </c>
      <c r="BC969">
        <v>35</v>
      </c>
      <c r="BD969">
        <v>-0.06</v>
      </c>
      <c r="BE969">
        <v>-0.02</v>
      </c>
      <c r="BF969">
        <v>-0.08</v>
      </c>
      <c r="BG969">
        <v>87</v>
      </c>
      <c r="BH969">
        <v>-0.19</v>
      </c>
      <c r="BI969">
        <v>-5.87</v>
      </c>
      <c r="BJ969">
        <v>0</v>
      </c>
      <c r="BK969">
        <v>0</v>
      </c>
      <c r="BL969">
        <v>0.69</v>
      </c>
      <c r="BM969">
        <v>-1.04</v>
      </c>
      <c r="BN969">
        <v>-0.09</v>
      </c>
      <c r="BO969">
        <v>0.6</v>
      </c>
      <c r="BP969">
        <v>-1.64</v>
      </c>
      <c r="BQ969">
        <v>1.55</v>
      </c>
      <c r="BR969">
        <v>1.2</v>
      </c>
      <c r="BS969">
        <v>0.16</v>
      </c>
      <c r="BT969">
        <v>0</v>
      </c>
      <c r="BU969">
        <v>3.11</v>
      </c>
      <c r="BV969">
        <v>2.27</v>
      </c>
      <c r="BW969">
        <v>1.29</v>
      </c>
      <c r="BX969">
        <v>2.5499999999999998</v>
      </c>
      <c r="BY969">
        <v>1.72</v>
      </c>
      <c r="BZ969">
        <v>-1.7</v>
      </c>
      <c r="CA969">
        <v>2.23</v>
      </c>
      <c r="CB969">
        <v>2.4700000000000002</v>
      </c>
      <c r="CC969">
        <v>0.64</v>
      </c>
      <c r="CD969">
        <v>-7.0000000000000007E-2</v>
      </c>
      <c r="CE969">
        <v>0.9</v>
      </c>
      <c r="CF969">
        <v>1.52</v>
      </c>
      <c r="CG969">
        <v>0</v>
      </c>
      <c r="CH969">
        <v>1.4</v>
      </c>
      <c r="CI969">
        <v>0</v>
      </c>
      <c r="CJ969">
        <v>2.2999999999999998</v>
      </c>
      <c r="CK969">
        <v>60</v>
      </c>
      <c r="CL969">
        <v>-1.39</v>
      </c>
      <c r="CM969">
        <v>55</v>
      </c>
      <c r="CN969">
        <v>-0.39</v>
      </c>
      <c r="CO969">
        <v>54</v>
      </c>
      <c r="CP969">
        <v>5.6</v>
      </c>
      <c r="CQ969">
        <v>44</v>
      </c>
      <c r="CR969">
        <v>0</v>
      </c>
      <c r="CS969">
        <v>0</v>
      </c>
      <c r="CT969">
        <v>15.1</v>
      </c>
      <c r="CU969">
        <v>41</v>
      </c>
      <c r="CV969">
        <v>0.38</v>
      </c>
      <c r="CW969">
        <v>37</v>
      </c>
      <c r="CX969" t="s">
        <v>2423</v>
      </c>
    </row>
    <row r="970" spans="1:102" x14ac:dyDescent="0.3">
      <c r="A970" t="str">
        <f>HYPERLINK("https://webapp.icbf.com/v2/app/bull-search/view/108349086","ALD")</f>
        <v>ALD</v>
      </c>
      <c r="B970" t="s">
        <v>11141</v>
      </c>
      <c r="C970" t="s">
        <v>5426</v>
      </c>
      <c r="D970" s="1">
        <v>35272</v>
      </c>
      <c r="E970" t="s">
        <v>227</v>
      </c>
      <c r="F970">
        <v>0</v>
      </c>
      <c r="G970" t="s">
        <v>93</v>
      </c>
      <c r="H970">
        <v>145.44999999999999</v>
      </c>
      <c r="I970">
        <v>97</v>
      </c>
      <c r="J970">
        <v>45.87</v>
      </c>
      <c r="K970">
        <v>99</v>
      </c>
      <c r="L970">
        <v>45.94</v>
      </c>
      <c r="M970">
        <v>95</v>
      </c>
      <c r="N970">
        <v>34.549999999999997</v>
      </c>
      <c r="O970">
        <v>97</v>
      </c>
      <c r="P970">
        <v>-47.74</v>
      </c>
      <c r="Q970">
        <v>98</v>
      </c>
      <c r="R970">
        <v>4.45</v>
      </c>
      <c r="S970">
        <v>95</v>
      </c>
      <c r="T970">
        <v>55.49</v>
      </c>
      <c r="U970">
        <v>98</v>
      </c>
      <c r="V970">
        <v>6.89</v>
      </c>
      <c r="W970">
        <v>97</v>
      </c>
      <c r="X970" t="s">
        <v>302</v>
      </c>
      <c r="Y970" t="s">
        <v>95</v>
      </c>
      <c r="Z970">
        <v>0</v>
      </c>
      <c r="AA970" t="s">
        <v>11142</v>
      </c>
      <c r="AB970" t="s">
        <v>11143</v>
      </c>
      <c r="AC970">
        <v>634</v>
      </c>
      <c r="AD970">
        <v>173</v>
      </c>
      <c r="AE970">
        <v>99</v>
      </c>
      <c r="AF970">
        <v>-447.58</v>
      </c>
      <c r="AG970">
        <v>14.19</v>
      </c>
      <c r="AH970">
        <v>-4.07</v>
      </c>
      <c r="AI970">
        <v>0.6</v>
      </c>
      <c r="AJ970">
        <v>0.21</v>
      </c>
      <c r="AK970">
        <v>95</v>
      </c>
      <c r="AL970">
        <v>633</v>
      </c>
      <c r="AM970">
        <v>163</v>
      </c>
      <c r="AN970">
        <v>-2.02</v>
      </c>
      <c r="AO970">
        <v>1.65</v>
      </c>
      <c r="AP970">
        <v>955</v>
      </c>
      <c r="AQ970">
        <v>11</v>
      </c>
      <c r="AR970">
        <v>2.06</v>
      </c>
      <c r="AS970">
        <v>97</v>
      </c>
      <c r="AT970">
        <v>1.1599999999999999</v>
      </c>
      <c r="AU970">
        <v>97</v>
      </c>
      <c r="AV970">
        <v>-2.38</v>
      </c>
      <c r="AW970">
        <v>99</v>
      </c>
      <c r="AX970">
        <v>1.39</v>
      </c>
      <c r="AY970">
        <v>96</v>
      </c>
      <c r="AZ970">
        <v>7.1</v>
      </c>
      <c r="BA970">
        <v>91</v>
      </c>
      <c r="BB970">
        <v>5.58</v>
      </c>
      <c r="BC970">
        <v>93</v>
      </c>
      <c r="BD970">
        <v>-0.05</v>
      </c>
      <c r="BE970">
        <v>-0.01</v>
      </c>
      <c r="BF970">
        <v>0</v>
      </c>
      <c r="BG970">
        <v>98</v>
      </c>
      <c r="BH970">
        <v>0.22</v>
      </c>
      <c r="BI970">
        <v>3.23</v>
      </c>
      <c r="BJ970">
        <v>44</v>
      </c>
      <c r="BK970">
        <v>18</v>
      </c>
      <c r="BL970">
        <v>-3.07</v>
      </c>
      <c r="BM970">
        <v>-1.56</v>
      </c>
      <c r="BN970">
        <v>-0.98</v>
      </c>
      <c r="BO970">
        <v>0.5</v>
      </c>
      <c r="BP970">
        <v>-1.34</v>
      </c>
      <c r="BQ970">
        <v>-5.23</v>
      </c>
      <c r="BR970">
        <v>2.4500000000000002</v>
      </c>
      <c r="BS970">
        <v>7.07</v>
      </c>
      <c r="BT970">
        <v>-1.53</v>
      </c>
      <c r="BU970">
        <v>-2.73</v>
      </c>
      <c r="BV970">
        <v>-1.66</v>
      </c>
      <c r="BW970">
        <v>-3.63</v>
      </c>
      <c r="BX970">
        <v>-5.17</v>
      </c>
      <c r="BY970">
        <v>-1.1200000000000001</v>
      </c>
      <c r="BZ970">
        <v>0.3</v>
      </c>
      <c r="CA970">
        <v>0.84</v>
      </c>
      <c r="CB970">
        <v>-1.04</v>
      </c>
      <c r="CC970">
        <v>4.34</v>
      </c>
      <c r="CD970">
        <v>-1.29</v>
      </c>
      <c r="CE970">
        <v>0.39</v>
      </c>
      <c r="CF970">
        <v>-3.43</v>
      </c>
      <c r="CG970">
        <v>0</v>
      </c>
      <c r="CH970">
        <v>-2.16</v>
      </c>
      <c r="CI970">
        <v>0</v>
      </c>
      <c r="CJ970">
        <v>-24.8</v>
      </c>
      <c r="CK970">
        <v>98</v>
      </c>
      <c r="CL970">
        <v>-0.88</v>
      </c>
      <c r="CM970">
        <v>98</v>
      </c>
      <c r="CN970">
        <v>-0.2</v>
      </c>
      <c r="CO970">
        <v>98</v>
      </c>
      <c r="CP970">
        <v>-45.2</v>
      </c>
      <c r="CQ970">
        <v>98</v>
      </c>
      <c r="CR970">
        <v>0</v>
      </c>
      <c r="CS970">
        <v>0</v>
      </c>
      <c r="CT970">
        <v>-61.2</v>
      </c>
      <c r="CU970">
        <v>98</v>
      </c>
      <c r="CV970">
        <v>-0.2</v>
      </c>
      <c r="CW970">
        <v>46</v>
      </c>
      <c r="CX970" t="s">
        <v>514</v>
      </c>
    </row>
    <row r="971" spans="1:102" x14ac:dyDescent="0.3">
      <c r="A971" t="str">
        <f>HYPERLINK("https://webapp.icbf.com/v2/app/bull-search/view/1196689381","S2327")</f>
        <v>S2327</v>
      </c>
      <c r="B971" t="s">
        <v>9342</v>
      </c>
      <c r="C971" t="s">
        <v>9343</v>
      </c>
      <c r="D971" s="1">
        <v>41213</v>
      </c>
      <c r="E971" t="s">
        <v>92</v>
      </c>
      <c r="F971">
        <v>100</v>
      </c>
      <c r="G971" t="s">
        <v>109</v>
      </c>
      <c r="H971">
        <v>145.4</v>
      </c>
      <c r="I971">
        <v>67</v>
      </c>
      <c r="J971">
        <v>49.97</v>
      </c>
      <c r="K971">
        <v>84</v>
      </c>
      <c r="L971">
        <v>32.18</v>
      </c>
      <c r="M971">
        <v>77</v>
      </c>
      <c r="N971">
        <v>46.37</v>
      </c>
      <c r="O971">
        <v>54</v>
      </c>
      <c r="P971">
        <v>-7.07</v>
      </c>
      <c r="Q971">
        <v>42</v>
      </c>
      <c r="R971">
        <v>11.09</v>
      </c>
      <c r="S971">
        <v>54</v>
      </c>
      <c r="T971">
        <v>8.35</v>
      </c>
      <c r="U971">
        <v>26</v>
      </c>
      <c r="V971">
        <v>4.51</v>
      </c>
      <c r="W971">
        <v>18</v>
      </c>
      <c r="X971" t="s">
        <v>234</v>
      </c>
      <c r="Y971" t="s">
        <v>411</v>
      </c>
      <c r="Z971" t="s">
        <v>96</v>
      </c>
      <c r="AA971" t="s">
        <v>1894</v>
      </c>
      <c r="AB971" t="s">
        <v>2085</v>
      </c>
      <c r="AC971">
        <v>0</v>
      </c>
      <c r="AD971">
        <v>0</v>
      </c>
      <c r="AE971">
        <v>84</v>
      </c>
      <c r="AF971">
        <v>369.22</v>
      </c>
      <c r="AG971">
        <v>13.4</v>
      </c>
      <c r="AH971">
        <v>9.41</v>
      </c>
      <c r="AI971">
        <v>-0.02</v>
      </c>
      <c r="AJ971">
        <v>-0.05</v>
      </c>
      <c r="AK971">
        <v>77</v>
      </c>
      <c r="AL971">
        <v>0</v>
      </c>
      <c r="AM971">
        <v>0</v>
      </c>
      <c r="AN971">
        <v>-1.48</v>
      </c>
      <c r="AO971">
        <v>1.0900000000000001</v>
      </c>
      <c r="AP971">
        <v>4</v>
      </c>
      <c r="AQ971">
        <v>0</v>
      </c>
      <c r="AR971">
        <v>5.34</v>
      </c>
      <c r="AS971">
        <v>33</v>
      </c>
      <c r="AT971">
        <v>2.38</v>
      </c>
      <c r="AU971">
        <v>92</v>
      </c>
      <c r="AV971">
        <v>-3.98</v>
      </c>
      <c r="AW971">
        <v>53</v>
      </c>
      <c r="AX971">
        <v>-0.19</v>
      </c>
      <c r="AY971">
        <v>38</v>
      </c>
      <c r="AZ971">
        <v>5.49</v>
      </c>
      <c r="BA971">
        <v>25</v>
      </c>
      <c r="BB971">
        <v>4.63</v>
      </c>
      <c r="BC971">
        <v>18</v>
      </c>
      <c r="BD971">
        <v>-0.03</v>
      </c>
      <c r="BE971">
        <v>-0.05</v>
      </c>
      <c r="BF971">
        <v>-0.11</v>
      </c>
      <c r="BG971">
        <v>85</v>
      </c>
      <c r="BH971">
        <v>-0.03</v>
      </c>
      <c r="BI971">
        <v>-18.02</v>
      </c>
      <c r="BJ971">
        <v>0</v>
      </c>
      <c r="BK971">
        <v>0</v>
      </c>
      <c r="BL971">
        <v>1.51</v>
      </c>
      <c r="BM971">
        <v>0.33</v>
      </c>
      <c r="BN971">
        <v>0.27</v>
      </c>
      <c r="BO971">
        <v>0.94</v>
      </c>
      <c r="BP971">
        <v>0.14000000000000001</v>
      </c>
      <c r="BQ971">
        <v>-0.42</v>
      </c>
      <c r="BR971">
        <v>-1.32</v>
      </c>
      <c r="BS971">
        <v>2.8</v>
      </c>
      <c r="BT971">
        <v>2.0299999999999998</v>
      </c>
      <c r="BU971">
        <v>2.95</v>
      </c>
      <c r="BV971">
        <v>2.87</v>
      </c>
      <c r="BW971">
        <v>2.69</v>
      </c>
      <c r="BX971">
        <v>3.26</v>
      </c>
      <c r="BY971">
        <v>3.07</v>
      </c>
      <c r="BZ971">
        <v>-2.63</v>
      </c>
      <c r="CA971">
        <v>3.04</v>
      </c>
      <c r="CB971">
        <v>2.69</v>
      </c>
      <c r="CC971">
        <v>2.1800000000000002</v>
      </c>
      <c r="CD971">
        <v>0.52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-2</v>
      </c>
      <c r="CK971">
        <v>44</v>
      </c>
      <c r="CL971">
        <v>-1.1399999999999999</v>
      </c>
      <c r="CM971">
        <v>41</v>
      </c>
      <c r="CN971">
        <v>-0.68</v>
      </c>
      <c r="CO971">
        <v>40</v>
      </c>
      <c r="CP971">
        <v>-3.4</v>
      </c>
      <c r="CQ971">
        <v>31</v>
      </c>
      <c r="CR971">
        <v>0</v>
      </c>
      <c r="CS971">
        <v>0</v>
      </c>
      <c r="CT971">
        <v>2.5</v>
      </c>
      <c r="CU971">
        <v>26</v>
      </c>
      <c r="CV971">
        <v>0.31</v>
      </c>
      <c r="CW971">
        <v>12</v>
      </c>
      <c r="CX971" t="s">
        <v>1848</v>
      </c>
    </row>
    <row r="972" spans="1:102" x14ac:dyDescent="0.3">
      <c r="A972" t="str">
        <f>HYPERLINK("https://webapp.icbf.com/v2/app/bull-search/view/403521704","EYS")</f>
        <v>EYS</v>
      </c>
      <c r="B972" t="s">
        <v>11892</v>
      </c>
      <c r="C972" t="s">
        <v>11893</v>
      </c>
      <c r="D972" s="1">
        <v>38436</v>
      </c>
      <c r="E972" t="s">
        <v>92</v>
      </c>
      <c r="F972">
        <v>91</v>
      </c>
      <c r="G972" t="s">
        <v>93</v>
      </c>
      <c r="H972">
        <v>145.19999999999999</v>
      </c>
      <c r="I972">
        <v>86</v>
      </c>
      <c r="J972">
        <v>10.27</v>
      </c>
      <c r="K972">
        <v>96</v>
      </c>
      <c r="L972">
        <v>85.16</v>
      </c>
      <c r="M972">
        <v>79</v>
      </c>
      <c r="N972">
        <v>35.909999999999997</v>
      </c>
      <c r="O972">
        <v>84</v>
      </c>
      <c r="P972">
        <v>-3.4</v>
      </c>
      <c r="Q972">
        <v>87</v>
      </c>
      <c r="R972">
        <v>9.7899999999999991</v>
      </c>
      <c r="S972">
        <v>81</v>
      </c>
      <c r="T972">
        <v>12.72</v>
      </c>
      <c r="U972">
        <v>85</v>
      </c>
      <c r="V972">
        <v>-5.25</v>
      </c>
      <c r="W972">
        <v>82</v>
      </c>
      <c r="X972" t="s">
        <v>94</v>
      </c>
      <c r="Y972" t="s">
        <v>1164</v>
      </c>
      <c r="Z972" t="s">
        <v>96</v>
      </c>
      <c r="AA972" t="s">
        <v>1165</v>
      </c>
      <c r="AB972" t="s">
        <v>11894</v>
      </c>
      <c r="AC972">
        <v>58</v>
      </c>
      <c r="AD972">
        <v>46</v>
      </c>
      <c r="AE972">
        <v>96</v>
      </c>
      <c r="AF972">
        <v>-87.77</v>
      </c>
      <c r="AG972">
        <v>7.67</v>
      </c>
      <c r="AH972">
        <v>-2.31</v>
      </c>
      <c r="AI972">
        <v>0.2</v>
      </c>
      <c r="AJ972">
        <v>0.01</v>
      </c>
      <c r="AK972">
        <v>79</v>
      </c>
      <c r="AL972">
        <v>60</v>
      </c>
      <c r="AM972">
        <v>49</v>
      </c>
      <c r="AN972">
        <v>-5.52</v>
      </c>
      <c r="AO972">
        <v>1.26</v>
      </c>
      <c r="AP972">
        <v>125</v>
      </c>
      <c r="AQ972">
        <v>0</v>
      </c>
      <c r="AR972">
        <v>7.68</v>
      </c>
      <c r="AS972">
        <v>70</v>
      </c>
      <c r="AT972">
        <v>2.98</v>
      </c>
      <c r="AU972">
        <v>86</v>
      </c>
      <c r="AV972">
        <v>-3.71</v>
      </c>
      <c r="AW972">
        <v>93</v>
      </c>
      <c r="AX972">
        <v>-0.68</v>
      </c>
      <c r="AY972">
        <v>77</v>
      </c>
      <c r="AZ972">
        <v>5.54</v>
      </c>
      <c r="BA972">
        <v>64</v>
      </c>
      <c r="BB972">
        <v>4.5</v>
      </c>
      <c r="BC972">
        <v>69</v>
      </c>
      <c r="BD972">
        <v>-0.06</v>
      </c>
      <c r="BE972">
        <v>-0.05</v>
      </c>
      <c r="BF972">
        <v>-0.03</v>
      </c>
      <c r="BG972">
        <v>88</v>
      </c>
      <c r="BH972">
        <v>0.02</v>
      </c>
      <c r="BI972">
        <v>19.25</v>
      </c>
      <c r="BJ972">
        <v>33</v>
      </c>
      <c r="BK972">
        <v>24</v>
      </c>
      <c r="BL972">
        <v>-0.4</v>
      </c>
      <c r="BM972">
        <v>0.43</v>
      </c>
      <c r="BN972">
        <v>-0.91</v>
      </c>
      <c r="BO972">
        <v>-1.02</v>
      </c>
      <c r="BP972">
        <v>0.26</v>
      </c>
      <c r="BQ972">
        <v>-1.1299999999999999</v>
      </c>
      <c r="BR972">
        <v>0.24</v>
      </c>
      <c r="BS972">
        <v>-1.3</v>
      </c>
      <c r="BT972">
        <v>-1.38</v>
      </c>
      <c r="BU972">
        <v>0.2</v>
      </c>
      <c r="BV972">
        <v>-0.28000000000000003</v>
      </c>
      <c r="BW972">
        <v>-0.84</v>
      </c>
      <c r="BX972">
        <v>0.62</v>
      </c>
      <c r="BY972">
        <v>-0.56000000000000005</v>
      </c>
      <c r="BZ972">
        <v>0.19</v>
      </c>
      <c r="CA972">
        <v>-0.39</v>
      </c>
      <c r="CB972">
        <v>-7.0000000000000007E-2</v>
      </c>
      <c r="CC972">
        <v>-1.2</v>
      </c>
      <c r="CD972">
        <v>1.1200000000000001</v>
      </c>
      <c r="CE972">
        <v>-1.1599999999999999</v>
      </c>
      <c r="CF972">
        <v>-0.91</v>
      </c>
      <c r="CG972">
        <v>0</v>
      </c>
      <c r="CH972">
        <v>-0.09</v>
      </c>
      <c r="CI972">
        <v>0</v>
      </c>
      <c r="CJ972">
        <v>1.5</v>
      </c>
      <c r="CK972">
        <v>88</v>
      </c>
      <c r="CL972">
        <v>-0.35</v>
      </c>
      <c r="CM972">
        <v>86</v>
      </c>
      <c r="CN972">
        <v>0.1</v>
      </c>
      <c r="CO972">
        <v>84</v>
      </c>
      <c r="CP972">
        <v>-4.5999999999999996</v>
      </c>
      <c r="CQ972">
        <v>87</v>
      </c>
      <c r="CR972">
        <v>0</v>
      </c>
      <c r="CS972">
        <v>0</v>
      </c>
      <c r="CT972">
        <v>-3.4</v>
      </c>
      <c r="CU972">
        <v>85</v>
      </c>
      <c r="CV972">
        <v>0.13</v>
      </c>
      <c r="CW972">
        <v>46</v>
      </c>
      <c r="CX972" t="s">
        <v>1037</v>
      </c>
    </row>
    <row r="973" spans="1:102" x14ac:dyDescent="0.3">
      <c r="A973" t="str">
        <f>HYPERLINK("https://webapp.icbf.com/v2/app/bull-search/view/508757305","LEV")</f>
        <v>LEV</v>
      </c>
      <c r="B973" t="s">
        <v>12102</v>
      </c>
      <c r="C973" t="s">
        <v>12103</v>
      </c>
      <c r="D973" s="1">
        <v>36420</v>
      </c>
      <c r="E973" t="s">
        <v>395</v>
      </c>
      <c r="F973">
        <v>3</v>
      </c>
      <c r="G973" t="s">
        <v>93</v>
      </c>
      <c r="H973">
        <v>145.16999999999999</v>
      </c>
      <c r="I973">
        <v>97</v>
      </c>
      <c r="J973">
        <v>22.65</v>
      </c>
      <c r="K973">
        <v>99</v>
      </c>
      <c r="L973">
        <v>59.57</v>
      </c>
      <c r="M973">
        <v>94</v>
      </c>
      <c r="N973">
        <v>42.47</v>
      </c>
      <c r="O973">
        <v>97</v>
      </c>
      <c r="P973">
        <v>10.130000000000001</v>
      </c>
      <c r="Q973">
        <v>99</v>
      </c>
      <c r="R973">
        <v>8.6300000000000008</v>
      </c>
      <c r="S973">
        <v>95</v>
      </c>
      <c r="T973">
        <v>5.09</v>
      </c>
      <c r="U973">
        <v>98</v>
      </c>
      <c r="V973">
        <v>-3.37</v>
      </c>
      <c r="W973">
        <v>97</v>
      </c>
      <c r="X973" t="s">
        <v>94</v>
      </c>
      <c r="Y973" t="s">
        <v>95</v>
      </c>
      <c r="Z973">
        <v>0</v>
      </c>
      <c r="AA973" t="s">
        <v>12104</v>
      </c>
      <c r="AB973" t="s">
        <v>12105</v>
      </c>
      <c r="AC973">
        <v>589</v>
      </c>
      <c r="AD973">
        <v>217</v>
      </c>
      <c r="AE973">
        <v>99</v>
      </c>
      <c r="AF973">
        <v>-266.73</v>
      </c>
      <c r="AG973">
        <v>1.58</v>
      </c>
      <c r="AH973">
        <v>-0.79</v>
      </c>
      <c r="AI973">
        <v>0.22</v>
      </c>
      <c r="AJ973">
        <v>0.15</v>
      </c>
      <c r="AK973">
        <v>94</v>
      </c>
      <c r="AL973">
        <v>622</v>
      </c>
      <c r="AM973">
        <v>247</v>
      </c>
      <c r="AN973">
        <v>-2.5299999999999998</v>
      </c>
      <c r="AO973">
        <v>2.23</v>
      </c>
      <c r="AP973">
        <v>981</v>
      </c>
      <c r="AQ973">
        <v>6</v>
      </c>
      <c r="AR973">
        <v>4.0999999999999996</v>
      </c>
      <c r="AS973">
        <v>95</v>
      </c>
      <c r="AT973">
        <v>1.74</v>
      </c>
      <c r="AU973">
        <v>97</v>
      </c>
      <c r="AV973">
        <v>-2.8</v>
      </c>
      <c r="AW973">
        <v>99</v>
      </c>
      <c r="AX973">
        <v>-0.56999999999999995</v>
      </c>
      <c r="AY973">
        <v>96</v>
      </c>
      <c r="AZ973">
        <v>5.0599999999999996</v>
      </c>
      <c r="BA973">
        <v>90</v>
      </c>
      <c r="BB973">
        <v>5.17</v>
      </c>
      <c r="BC973">
        <v>93</v>
      </c>
      <c r="BD973">
        <v>-0.02</v>
      </c>
      <c r="BE973">
        <v>-0.05</v>
      </c>
      <c r="BF973">
        <v>-7.0000000000000007E-2</v>
      </c>
      <c r="BG973">
        <v>98</v>
      </c>
      <c r="BH973">
        <v>-0.05</v>
      </c>
      <c r="BI973">
        <v>5.08</v>
      </c>
      <c r="BJ973">
        <v>45</v>
      </c>
      <c r="BK973">
        <v>16</v>
      </c>
      <c r="BL973">
        <v>-1.84</v>
      </c>
      <c r="BM973">
        <v>1.1200000000000001</v>
      </c>
      <c r="BN973">
        <v>-1.96</v>
      </c>
      <c r="BO973">
        <v>-2.15</v>
      </c>
      <c r="BP973">
        <v>-1.79</v>
      </c>
      <c r="BQ973">
        <v>-1.07</v>
      </c>
      <c r="BR973">
        <v>0.62</v>
      </c>
      <c r="BS973">
        <v>-0.45</v>
      </c>
      <c r="BT973">
        <v>0.26</v>
      </c>
      <c r="BU973">
        <v>-2.4300000000000002</v>
      </c>
      <c r="BV973">
        <v>-4.0199999999999996</v>
      </c>
      <c r="BW973">
        <v>-3.17</v>
      </c>
      <c r="BX973">
        <v>-1.49</v>
      </c>
      <c r="BY973">
        <v>-1.91</v>
      </c>
      <c r="BZ973">
        <v>-2.6</v>
      </c>
      <c r="CA973">
        <v>-3.32</v>
      </c>
      <c r="CB973">
        <v>-3.29</v>
      </c>
      <c r="CC973">
        <v>-2.15</v>
      </c>
      <c r="CD973">
        <v>1.17</v>
      </c>
      <c r="CE973">
        <v>-2.2400000000000002</v>
      </c>
      <c r="CF973">
        <v>-1.74</v>
      </c>
      <c r="CG973">
        <v>0</v>
      </c>
      <c r="CH973">
        <v>-1.93</v>
      </c>
      <c r="CI973">
        <v>0</v>
      </c>
      <c r="CJ973">
        <v>6.4</v>
      </c>
      <c r="CK973">
        <v>99</v>
      </c>
      <c r="CL973">
        <v>-0.09</v>
      </c>
      <c r="CM973">
        <v>99</v>
      </c>
      <c r="CN973">
        <v>-0.17</v>
      </c>
      <c r="CO973">
        <v>98</v>
      </c>
      <c r="CP973">
        <v>1.6</v>
      </c>
      <c r="CQ973">
        <v>98</v>
      </c>
      <c r="CR973">
        <v>0</v>
      </c>
      <c r="CS973">
        <v>0</v>
      </c>
      <c r="CT973">
        <v>6.9</v>
      </c>
      <c r="CU973">
        <v>98</v>
      </c>
      <c r="CV973">
        <v>0.06</v>
      </c>
      <c r="CW973">
        <v>46</v>
      </c>
      <c r="CX973" t="s">
        <v>2426</v>
      </c>
    </row>
    <row r="974" spans="1:102" x14ac:dyDescent="0.3">
      <c r="A974" t="str">
        <f>HYPERLINK("https://webapp.icbf.com/v2/app/bull-search/view/586234836","HZC")</f>
        <v>HZC</v>
      </c>
      <c r="B974" t="s">
        <v>7134</v>
      </c>
      <c r="C974" t="s">
        <v>7135</v>
      </c>
      <c r="D974" s="1">
        <v>39147</v>
      </c>
      <c r="E974" t="s">
        <v>92</v>
      </c>
      <c r="F974">
        <v>75</v>
      </c>
      <c r="G974" t="s">
        <v>93</v>
      </c>
      <c r="H974">
        <v>145.09</v>
      </c>
      <c r="I974">
        <v>94</v>
      </c>
      <c r="J974">
        <v>82.57</v>
      </c>
      <c r="K974">
        <v>99</v>
      </c>
      <c r="L974">
        <v>19.2</v>
      </c>
      <c r="M974">
        <v>91</v>
      </c>
      <c r="N974">
        <v>43.76</v>
      </c>
      <c r="O974">
        <v>95</v>
      </c>
      <c r="P974">
        <v>-31</v>
      </c>
      <c r="Q974">
        <v>98</v>
      </c>
      <c r="R974">
        <v>3.87</v>
      </c>
      <c r="S974">
        <v>87</v>
      </c>
      <c r="T974">
        <v>21.82</v>
      </c>
      <c r="U974">
        <v>95</v>
      </c>
      <c r="V974">
        <v>4.87</v>
      </c>
      <c r="W974">
        <v>81</v>
      </c>
      <c r="X974" t="s">
        <v>276</v>
      </c>
      <c r="Y974" t="s">
        <v>1534</v>
      </c>
      <c r="Z974" t="s">
        <v>330</v>
      </c>
      <c r="AA974" t="s">
        <v>1256</v>
      </c>
      <c r="AB974" t="s">
        <v>7136</v>
      </c>
      <c r="AC974">
        <v>402</v>
      </c>
      <c r="AD974">
        <v>161</v>
      </c>
      <c r="AE974">
        <v>99</v>
      </c>
      <c r="AF974">
        <v>134.4</v>
      </c>
      <c r="AG974">
        <v>18.29</v>
      </c>
      <c r="AH974">
        <v>9.6300000000000008</v>
      </c>
      <c r="AI974">
        <v>0.22</v>
      </c>
      <c r="AJ974">
        <v>0.09</v>
      </c>
      <c r="AK974">
        <v>91</v>
      </c>
      <c r="AL974">
        <v>481</v>
      </c>
      <c r="AM974">
        <v>195</v>
      </c>
      <c r="AN974">
        <v>-1.1100000000000001</v>
      </c>
      <c r="AO974">
        <v>0.42</v>
      </c>
      <c r="AP974">
        <v>792</v>
      </c>
      <c r="AQ974">
        <v>5</v>
      </c>
      <c r="AR974">
        <v>4.28</v>
      </c>
      <c r="AS974">
        <v>96</v>
      </c>
      <c r="AT974">
        <v>1.92</v>
      </c>
      <c r="AU974">
        <v>94</v>
      </c>
      <c r="AV974">
        <v>-3.32</v>
      </c>
      <c r="AW974">
        <v>99</v>
      </c>
      <c r="AX974">
        <v>-7.0000000000000007E-2</v>
      </c>
      <c r="AY974">
        <v>95</v>
      </c>
      <c r="AZ974">
        <v>5.98</v>
      </c>
      <c r="BA974">
        <v>86</v>
      </c>
      <c r="BB974">
        <v>4.93</v>
      </c>
      <c r="BC974">
        <v>86</v>
      </c>
      <c r="BD974">
        <v>-0.06</v>
      </c>
      <c r="BE974">
        <v>-0.01</v>
      </c>
      <c r="BF974">
        <v>0.03</v>
      </c>
      <c r="BG974">
        <v>96</v>
      </c>
      <c r="BH974">
        <v>0.06</v>
      </c>
      <c r="BI974">
        <v>-8.7799999999999994</v>
      </c>
      <c r="BJ974">
        <v>5</v>
      </c>
      <c r="BK974">
        <v>4</v>
      </c>
      <c r="BL974">
        <v>-1.95</v>
      </c>
      <c r="BM974">
        <v>2.27</v>
      </c>
      <c r="BN974">
        <v>1.27</v>
      </c>
      <c r="BO974">
        <v>-0.48</v>
      </c>
      <c r="BP974">
        <v>1.1100000000000001</v>
      </c>
      <c r="BQ974">
        <v>-0.57999999999999996</v>
      </c>
      <c r="BR974">
        <v>3.19</v>
      </c>
      <c r="BS974">
        <v>-1.84</v>
      </c>
      <c r="BT974">
        <v>-2.5099999999999998</v>
      </c>
      <c r="BU974">
        <v>-1.85</v>
      </c>
      <c r="BV974">
        <v>-1.2</v>
      </c>
      <c r="BW974">
        <v>-1.92</v>
      </c>
      <c r="BX974">
        <v>-3.85</v>
      </c>
      <c r="BY974">
        <v>-2.0699999999999998</v>
      </c>
      <c r="BZ974">
        <v>1.51</v>
      </c>
      <c r="CA974">
        <v>-1.48</v>
      </c>
      <c r="CB974">
        <v>-1.42</v>
      </c>
      <c r="CC974">
        <v>-1.84</v>
      </c>
      <c r="CD974">
        <v>0.09</v>
      </c>
      <c r="CE974">
        <v>0.31</v>
      </c>
      <c r="CF974">
        <v>-1.17</v>
      </c>
      <c r="CG974">
        <v>0</v>
      </c>
      <c r="CH974">
        <v>-2.98</v>
      </c>
      <c r="CI974">
        <v>0</v>
      </c>
      <c r="CJ974">
        <v>-14</v>
      </c>
      <c r="CK974">
        <v>99</v>
      </c>
      <c r="CL974">
        <v>-0.96</v>
      </c>
      <c r="CM974">
        <v>98</v>
      </c>
      <c r="CN974">
        <v>-7.0000000000000007E-2</v>
      </c>
      <c r="CO974">
        <v>98</v>
      </c>
      <c r="CP974">
        <v>-17.3</v>
      </c>
      <c r="CQ974">
        <v>96</v>
      </c>
      <c r="CR974">
        <v>0</v>
      </c>
      <c r="CS974">
        <v>0</v>
      </c>
      <c r="CT974">
        <v>-15.7</v>
      </c>
      <c r="CU974">
        <v>95</v>
      </c>
      <c r="CV974">
        <v>0.04</v>
      </c>
      <c r="CW974">
        <v>46</v>
      </c>
      <c r="CX974" t="s">
        <v>285</v>
      </c>
    </row>
    <row r="975" spans="1:102" x14ac:dyDescent="0.3">
      <c r="A975" t="str">
        <f>HYPERLINK("https://webapp.icbf.com/v2/app/bull-search/view/1193949451","S2236")</f>
        <v>S2236</v>
      </c>
      <c r="B975" t="s">
        <v>15239</v>
      </c>
      <c r="C975" t="s">
        <v>15240</v>
      </c>
      <c r="D975" s="1">
        <v>41064</v>
      </c>
      <c r="E975" t="s">
        <v>92</v>
      </c>
      <c r="F975">
        <v>100</v>
      </c>
      <c r="G975" t="s">
        <v>109</v>
      </c>
      <c r="H975">
        <v>144.88</v>
      </c>
      <c r="I975">
        <v>62</v>
      </c>
      <c r="J975">
        <v>99.59</v>
      </c>
      <c r="K975">
        <v>81</v>
      </c>
      <c r="L975">
        <v>6.86</v>
      </c>
      <c r="M975">
        <v>77</v>
      </c>
      <c r="N975">
        <v>40.1</v>
      </c>
      <c r="O975">
        <v>40</v>
      </c>
      <c r="P975">
        <v>-7</v>
      </c>
      <c r="Q975">
        <v>24</v>
      </c>
      <c r="R975">
        <v>3.54</v>
      </c>
      <c r="S975">
        <v>55</v>
      </c>
      <c r="T975">
        <v>-0.68</v>
      </c>
      <c r="U975">
        <v>17</v>
      </c>
      <c r="V975">
        <v>2.4700000000000002</v>
      </c>
      <c r="W975">
        <v>13</v>
      </c>
      <c r="X975" t="s">
        <v>94</v>
      </c>
      <c r="Y975" t="s">
        <v>367</v>
      </c>
      <c r="Z975" t="s">
        <v>96</v>
      </c>
      <c r="AA975" t="s">
        <v>2000</v>
      </c>
      <c r="AB975" t="s">
        <v>15241</v>
      </c>
      <c r="AC975">
        <v>0</v>
      </c>
      <c r="AD975">
        <v>0</v>
      </c>
      <c r="AE975">
        <v>81</v>
      </c>
      <c r="AF975">
        <v>540.28</v>
      </c>
      <c r="AG975">
        <v>13.59</v>
      </c>
      <c r="AH975">
        <v>20.399999999999999</v>
      </c>
      <c r="AI975">
        <v>-0.11</v>
      </c>
      <c r="AJ975">
        <v>0.03</v>
      </c>
      <c r="AK975">
        <v>77</v>
      </c>
      <c r="AL975">
        <v>0</v>
      </c>
      <c r="AM975">
        <v>0</v>
      </c>
      <c r="AN975">
        <v>0.65</v>
      </c>
      <c r="AO975">
        <v>1.21</v>
      </c>
      <c r="AP975">
        <v>6</v>
      </c>
      <c r="AQ975">
        <v>0</v>
      </c>
      <c r="AR975">
        <v>4.7</v>
      </c>
      <c r="AS975">
        <v>36</v>
      </c>
      <c r="AT975">
        <v>1.82</v>
      </c>
      <c r="AU975">
        <v>85</v>
      </c>
      <c r="AV975">
        <v>-2.79</v>
      </c>
      <c r="AW975">
        <v>27</v>
      </c>
      <c r="AX975">
        <v>-0.12</v>
      </c>
      <c r="AY975">
        <v>27</v>
      </c>
      <c r="AZ975">
        <v>6.1</v>
      </c>
      <c r="BA975">
        <v>18</v>
      </c>
      <c r="BB975">
        <v>4.78</v>
      </c>
      <c r="BC975">
        <v>14</v>
      </c>
      <c r="BD975">
        <v>0.01</v>
      </c>
      <c r="BE975">
        <v>-0.02</v>
      </c>
      <c r="BF975">
        <v>-0.06</v>
      </c>
      <c r="BG975">
        <v>87</v>
      </c>
      <c r="BH975">
        <v>-0.03</v>
      </c>
      <c r="BI975">
        <v>-11.44</v>
      </c>
      <c r="BJ975">
        <v>1</v>
      </c>
      <c r="BK975">
        <v>1</v>
      </c>
      <c r="BL975">
        <v>1.4</v>
      </c>
      <c r="BM975">
        <v>-1</v>
      </c>
      <c r="BN975">
        <v>-0.17</v>
      </c>
      <c r="BO975">
        <v>0.71</v>
      </c>
      <c r="BP975">
        <v>-1.24</v>
      </c>
      <c r="BQ975">
        <v>-7.0000000000000007E-2</v>
      </c>
      <c r="BR975">
        <v>-0.96</v>
      </c>
      <c r="BS975">
        <v>1.43</v>
      </c>
      <c r="BT975">
        <v>0.48</v>
      </c>
      <c r="BU975">
        <v>2.11</v>
      </c>
      <c r="BV975">
        <v>2.77</v>
      </c>
      <c r="BW975">
        <v>2.29</v>
      </c>
      <c r="BX975">
        <v>1.58</v>
      </c>
      <c r="BY975">
        <v>2</v>
      </c>
      <c r="BZ975">
        <v>2.0699999999999998</v>
      </c>
      <c r="CA975">
        <v>2.44</v>
      </c>
      <c r="CB975">
        <v>2.2599999999999998</v>
      </c>
      <c r="CC975">
        <v>1.49</v>
      </c>
      <c r="CD975">
        <v>-0.75</v>
      </c>
      <c r="CE975">
        <v>1.06</v>
      </c>
      <c r="CF975">
        <v>1.48</v>
      </c>
      <c r="CG975">
        <v>0</v>
      </c>
      <c r="CH975">
        <v>1.26</v>
      </c>
      <c r="CI975">
        <v>0</v>
      </c>
      <c r="CJ975">
        <v>-1.5</v>
      </c>
      <c r="CK975">
        <v>25</v>
      </c>
      <c r="CL975">
        <v>-1.18</v>
      </c>
      <c r="CM975">
        <v>25</v>
      </c>
      <c r="CN975">
        <v>-0.6</v>
      </c>
      <c r="CO975">
        <v>24</v>
      </c>
      <c r="CP975">
        <v>1.5</v>
      </c>
      <c r="CQ975">
        <v>19</v>
      </c>
      <c r="CR975">
        <v>0</v>
      </c>
      <c r="CS975">
        <v>0</v>
      </c>
      <c r="CT975">
        <v>14.7</v>
      </c>
      <c r="CU975">
        <v>17</v>
      </c>
      <c r="CV975">
        <v>0.36</v>
      </c>
      <c r="CW975">
        <v>8</v>
      </c>
      <c r="CX975" t="s">
        <v>1572</v>
      </c>
    </row>
    <row r="976" spans="1:102" x14ac:dyDescent="0.3">
      <c r="A976" t="str">
        <f>HYPERLINK("https://webapp.icbf.com/v2/app/bull-search/view/444605055","PIM")</f>
        <v>PIM</v>
      </c>
      <c r="B976" t="s">
        <v>2919</v>
      </c>
      <c r="C976" t="s">
        <v>2920</v>
      </c>
      <c r="D976" s="1">
        <v>36270</v>
      </c>
      <c r="E976" t="s">
        <v>92</v>
      </c>
      <c r="F976">
        <v>100</v>
      </c>
      <c r="G976" t="s">
        <v>93</v>
      </c>
      <c r="H976">
        <v>144.84</v>
      </c>
      <c r="I976">
        <v>97</v>
      </c>
      <c r="J976">
        <v>72.44</v>
      </c>
      <c r="K976">
        <v>99</v>
      </c>
      <c r="L976">
        <v>32.619999999999997</v>
      </c>
      <c r="M976">
        <v>95</v>
      </c>
      <c r="N976">
        <v>33.15</v>
      </c>
      <c r="O976">
        <v>98</v>
      </c>
      <c r="P976">
        <v>-12.02</v>
      </c>
      <c r="Q976">
        <v>99</v>
      </c>
      <c r="R976">
        <v>6.73</v>
      </c>
      <c r="S976">
        <v>96</v>
      </c>
      <c r="T976">
        <v>11.83</v>
      </c>
      <c r="U976">
        <v>98</v>
      </c>
      <c r="V976">
        <v>0.09</v>
      </c>
      <c r="W976">
        <v>95</v>
      </c>
      <c r="X976" t="s">
        <v>102</v>
      </c>
      <c r="Y976" t="s">
        <v>221</v>
      </c>
      <c r="Z976" t="s">
        <v>96</v>
      </c>
      <c r="AA976" t="s">
        <v>1420</v>
      </c>
      <c r="AB976" t="s">
        <v>2921</v>
      </c>
      <c r="AC976">
        <v>2506</v>
      </c>
      <c r="AD976">
        <v>595</v>
      </c>
      <c r="AE976">
        <v>99</v>
      </c>
      <c r="AF976">
        <v>412.31</v>
      </c>
      <c r="AG976">
        <v>11.31</v>
      </c>
      <c r="AH976">
        <v>14.63</v>
      </c>
      <c r="AI976">
        <v>-0.08</v>
      </c>
      <c r="AJ976">
        <v>0.01</v>
      </c>
      <c r="AK976">
        <v>95</v>
      </c>
      <c r="AL976">
        <v>2775</v>
      </c>
      <c r="AM976">
        <v>703</v>
      </c>
      <c r="AN976">
        <v>-1.0900000000000001</v>
      </c>
      <c r="AO976">
        <v>1.52</v>
      </c>
      <c r="AP976">
        <v>5830</v>
      </c>
      <c r="AQ976">
        <v>34</v>
      </c>
      <c r="AR976">
        <v>6.75</v>
      </c>
      <c r="AS976">
        <v>98</v>
      </c>
      <c r="AT976">
        <v>2.72</v>
      </c>
      <c r="AU976">
        <v>99</v>
      </c>
      <c r="AV976">
        <v>-2.99</v>
      </c>
      <c r="AW976">
        <v>99</v>
      </c>
      <c r="AX976">
        <v>-0.34</v>
      </c>
      <c r="AY976">
        <v>99</v>
      </c>
      <c r="AZ976">
        <v>5.68</v>
      </c>
      <c r="BA976">
        <v>97</v>
      </c>
      <c r="BB976">
        <v>4.59</v>
      </c>
      <c r="BC976">
        <v>96</v>
      </c>
      <c r="BD976">
        <v>-0.04</v>
      </c>
      <c r="BE976">
        <v>-0.02</v>
      </c>
      <c r="BF976">
        <v>-0.05</v>
      </c>
      <c r="BG976">
        <v>99</v>
      </c>
      <c r="BH976">
        <v>0.14000000000000001</v>
      </c>
      <c r="BI976">
        <v>15.92</v>
      </c>
      <c r="BJ976">
        <v>200</v>
      </c>
      <c r="BK976">
        <v>56</v>
      </c>
      <c r="BL976">
        <v>-0.25</v>
      </c>
      <c r="BM976">
        <v>1.48</v>
      </c>
      <c r="BN976">
        <v>0.91</v>
      </c>
      <c r="BO976">
        <v>0.03</v>
      </c>
      <c r="BP976">
        <v>-1.24</v>
      </c>
      <c r="BQ976">
        <v>-7.0000000000000007E-2</v>
      </c>
      <c r="BR976">
        <v>-0.16</v>
      </c>
      <c r="BS976">
        <v>1.61</v>
      </c>
      <c r="BT976">
        <v>0.9</v>
      </c>
      <c r="BU976">
        <v>0.91</v>
      </c>
      <c r="BV976">
        <v>1.47</v>
      </c>
      <c r="BW976">
        <v>-0.01</v>
      </c>
      <c r="BX976">
        <v>-0.46</v>
      </c>
      <c r="BY976">
        <v>0.84</v>
      </c>
      <c r="BZ976">
        <v>0.09</v>
      </c>
      <c r="CA976">
        <v>1.3</v>
      </c>
      <c r="CB976">
        <v>1.0900000000000001</v>
      </c>
      <c r="CC976">
        <v>1.3</v>
      </c>
      <c r="CD976">
        <v>0.46</v>
      </c>
      <c r="CE976">
        <v>0.36</v>
      </c>
      <c r="CF976">
        <v>0.32</v>
      </c>
      <c r="CG976">
        <v>0</v>
      </c>
      <c r="CH976">
        <v>0.91</v>
      </c>
      <c r="CI976">
        <v>0</v>
      </c>
      <c r="CJ976">
        <v>-2.9</v>
      </c>
      <c r="CK976">
        <v>99</v>
      </c>
      <c r="CL976">
        <v>-0.95</v>
      </c>
      <c r="CM976">
        <v>99</v>
      </c>
      <c r="CN976">
        <v>-0.25</v>
      </c>
      <c r="CO976">
        <v>99</v>
      </c>
      <c r="CP976">
        <v>-7.6</v>
      </c>
      <c r="CQ976">
        <v>99</v>
      </c>
      <c r="CR976">
        <v>0</v>
      </c>
      <c r="CS976">
        <v>0</v>
      </c>
      <c r="CT976">
        <v>-2.2000000000000002</v>
      </c>
      <c r="CU976">
        <v>98</v>
      </c>
      <c r="CV976">
        <v>0.2</v>
      </c>
      <c r="CW976">
        <v>46</v>
      </c>
      <c r="CX976" t="s">
        <v>753</v>
      </c>
    </row>
    <row r="977" spans="1:102" x14ac:dyDescent="0.3">
      <c r="A977" t="str">
        <f>HYPERLINK("https://webapp.icbf.com/v2/app/bull-search/view/487001888","HDP")</f>
        <v>HDP</v>
      </c>
      <c r="B977" t="s">
        <v>1433</v>
      </c>
      <c r="C977" t="s">
        <v>1434</v>
      </c>
      <c r="D977" s="1">
        <v>38577</v>
      </c>
      <c r="E977" t="s">
        <v>92</v>
      </c>
      <c r="F977">
        <v>50</v>
      </c>
      <c r="G977" t="s">
        <v>93</v>
      </c>
      <c r="H977">
        <v>144.78</v>
      </c>
      <c r="I977">
        <v>95</v>
      </c>
      <c r="J977">
        <v>91.12</v>
      </c>
      <c r="K977">
        <v>99</v>
      </c>
      <c r="L977">
        <v>18.920000000000002</v>
      </c>
      <c r="M977">
        <v>91</v>
      </c>
      <c r="N977">
        <v>30.79</v>
      </c>
      <c r="O977">
        <v>95</v>
      </c>
      <c r="P977">
        <v>-14.97</v>
      </c>
      <c r="Q977">
        <v>98</v>
      </c>
      <c r="R977">
        <v>-9.64</v>
      </c>
      <c r="S977">
        <v>89</v>
      </c>
      <c r="T977">
        <v>19.23</v>
      </c>
      <c r="U977">
        <v>96</v>
      </c>
      <c r="V977">
        <v>9.33</v>
      </c>
      <c r="W977">
        <v>91</v>
      </c>
      <c r="X977" t="s">
        <v>276</v>
      </c>
      <c r="Y977" t="s">
        <v>435</v>
      </c>
      <c r="Z977" t="s">
        <v>330</v>
      </c>
      <c r="AA977" t="s">
        <v>1229</v>
      </c>
      <c r="AB977" t="s">
        <v>1435</v>
      </c>
      <c r="AC977">
        <v>390</v>
      </c>
      <c r="AD977">
        <v>124</v>
      </c>
      <c r="AE977">
        <v>99</v>
      </c>
      <c r="AF977">
        <v>421.42</v>
      </c>
      <c r="AG977">
        <v>15.85</v>
      </c>
      <c r="AH977">
        <v>16.34</v>
      </c>
      <c r="AI977">
        <v>-0.01</v>
      </c>
      <c r="AJ977">
        <v>0.03</v>
      </c>
      <c r="AK977">
        <v>91</v>
      </c>
      <c r="AL977">
        <v>457</v>
      </c>
      <c r="AM977">
        <v>152</v>
      </c>
      <c r="AN977">
        <v>-0.17</v>
      </c>
      <c r="AO977">
        <v>1.35</v>
      </c>
      <c r="AP977">
        <v>644</v>
      </c>
      <c r="AQ977">
        <v>2</v>
      </c>
      <c r="AR977">
        <v>5.41</v>
      </c>
      <c r="AS977">
        <v>91</v>
      </c>
      <c r="AT977">
        <v>2.2400000000000002</v>
      </c>
      <c r="AU977">
        <v>95</v>
      </c>
      <c r="AV977">
        <v>-1.92</v>
      </c>
      <c r="AW977">
        <v>99</v>
      </c>
      <c r="AX977">
        <v>-0.17</v>
      </c>
      <c r="AY977">
        <v>95</v>
      </c>
      <c r="AZ977">
        <v>5.43</v>
      </c>
      <c r="BA977">
        <v>84</v>
      </c>
      <c r="BB977">
        <v>4.6500000000000004</v>
      </c>
      <c r="BC977">
        <v>86</v>
      </c>
      <c r="BD977">
        <v>-0.02</v>
      </c>
      <c r="BE977">
        <v>0.05</v>
      </c>
      <c r="BF977">
        <v>0.16</v>
      </c>
      <c r="BG977">
        <v>96</v>
      </c>
      <c r="BH977">
        <v>0.1</v>
      </c>
      <c r="BI977">
        <v>-18.54</v>
      </c>
      <c r="BJ977">
        <v>2</v>
      </c>
      <c r="BK977">
        <v>2</v>
      </c>
      <c r="BL977">
        <v>-1.24</v>
      </c>
      <c r="BM977">
        <v>2.58</v>
      </c>
      <c r="BN977">
        <v>0.72</v>
      </c>
      <c r="BO977">
        <v>-1.5</v>
      </c>
      <c r="BP977">
        <v>-0.32</v>
      </c>
      <c r="BQ977">
        <v>-0.74</v>
      </c>
      <c r="BR977">
        <v>0.55000000000000004</v>
      </c>
      <c r="BS977">
        <v>-2.29</v>
      </c>
      <c r="BT977">
        <v>-1.94</v>
      </c>
      <c r="BU977">
        <v>-2.46</v>
      </c>
      <c r="BV977">
        <v>-1.59</v>
      </c>
      <c r="BW977">
        <v>-1.45</v>
      </c>
      <c r="BX977">
        <v>-2.92</v>
      </c>
      <c r="BY977">
        <v>-4.0199999999999996</v>
      </c>
      <c r="BZ977">
        <v>3.13</v>
      </c>
      <c r="CA977">
        <v>-1.55</v>
      </c>
      <c r="CB977">
        <v>-1.96</v>
      </c>
      <c r="CC977">
        <v>-1.49</v>
      </c>
      <c r="CD977">
        <v>1.05</v>
      </c>
      <c r="CE977">
        <v>-1.32</v>
      </c>
      <c r="CF977">
        <v>-1.5</v>
      </c>
      <c r="CG977">
        <v>0</v>
      </c>
      <c r="CH977">
        <v>-4.2</v>
      </c>
      <c r="CI977">
        <v>0</v>
      </c>
      <c r="CJ977">
        <v>-5.6</v>
      </c>
      <c r="CK977">
        <v>98</v>
      </c>
      <c r="CL977">
        <v>-0.56000000000000005</v>
      </c>
      <c r="CM977">
        <v>98</v>
      </c>
      <c r="CN977">
        <v>-0.03</v>
      </c>
      <c r="CO977">
        <v>97</v>
      </c>
      <c r="CP977">
        <v>-12.1</v>
      </c>
      <c r="CQ977">
        <v>96</v>
      </c>
      <c r="CR977">
        <v>0</v>
      </c>
      <c r="CS977">
        <v>0</v>
      </c>
      <c r="CT977">
        <v>-12.2</v>
      </c>
      <c r="CU977">
        <v>96</v>
      </c>
      <c r="CV977">
        <v>0.18</v>
      </c>
      <c r="CW977">
        <v>46</v>
      </c>
      <c r="CX977" t="s">
        <v>1436</v>
      </c>
    </row>
    <row r="978" spans="1:102" x14ac:dyDescent="0.3">
      <c r="A978" t="str">
        <f>HYPERLINK("https://webapp.icbf.com/v2/app/bull-search/view/871293136","DMQ")</f>
        <v>DMQ</v>
      </c>
      <c r="B978" t="s">
        <v>15464</v>
      </c>
      <c r="C978" t="s">
        <v>15465</v>
      </c>
      <c r="D978" s="1">
        <v>40616</v>
      </c>
      <c r="E978" t="s">
        <v>92</v>
      </c>
      <c r="F978">
        <v>72</v>
      </c>
      <c r="G978" t="s">
        <v>93</v>
      </c>
      <c r="H978">
        <v>144.66999999999999</v>
      </c>
      <c r="I978">
        <v>91</v>
      </c>
      <c r="J978">
        <v>56.14</v>
      </c>
      <c r="K978">
        <v>98</v>
      </c>
      <c r="L978">
        <v>57.33</v>
      </c>
      <c r="M978">
        <v>85</v>
      </c>
      <c r="N978">
        <v>37.36</v>
      </c>
      <c r="O978">
        <v>91</v>
      </c>
      <c r="P978">
        <v>-17.38</v>
      </c>
      <c r="Q978">
        <v>97</v>
      </c>
      <c r="R978">
        <v>-2.0699999999999998</v>
      </c>
      <c r="S978">
        <v>82</v>
      </c>
      <c r="T978">
        <v>13.53</v>
      </c>
      <c r="U978">
        <v>89</v>
      </c>
      <c r="V978">
        <v>-0.24</v>
      </c>
      <c r="W978">
        <v>78</v>
      </c>
      <c r="X978" t="s">
        <v>94</v>
      </c>
      <c r="Y978" t="s">
        <v>1860</v>
      </c>
      <c r="Z978" t="s">
        <v>330</v>
      </c>
      <c r="AA978" t="s">
        <v>2150</v>
      </c>
      <c r="AB978" t="s">
        <v>15466</v>
      </c>
      <c r="AC978">
        <v>190</v>
      </c>
      <c r="AD978">
        <v>75</v>
      </c>
      <c r="AE978">
        <v>98</v>
      </c>
      <c r="AF978">
        <v>-77.849999999999994</v>
      </c>
      <c r="AG978">
        <v>7.48</v>
      </c>
      <c r="AH978">
        <v>5.71</v>
      </c>
      <c r="AI978">
        <v>0.19</v>
      </c>
      <c r="AJ978">
        <v>0.15</v>
      </c>
      <c r="AK978">
        <v>85</v>
      </c>
      <c r="AL978">
        <v>347</v>
      </c>
      <c r="AM978">
        <v>126</v>
      </c>
      <c r="AN978">
        <v>-3.3</v>
      </c>
      <c r="AO978">
        <v>1.27</v>
      </c>
      <c r="AP978">
        <v>442</v>
      </c>
      <c r="AQ978">
        <v>4</v>
      </c>
      <c r="AR978">
        <v>6.69</v>
      </c>
      <c r="AS978">
        <v>84</v>
      </c>
      <c r="AT978">
        <v>2.81</v>
      </c>
      <c r="AU978">
        <v>93</v>
      </c>
      <c r="AV978">
        <v>-3.78</v>
      </c>
      <c r="AW978">
        <v>99</v>
      </c>
      <c r="AX978">
        <v>-0.17</v>
      </c>
      <c r="AY978">
        <v>88</v>
      </c>
      <c r="AZ978">
        <v>5.32</v>
      </c>
      <c r="BA978">
        <v>79</v>
      </c>
      <c r="BB978">
        <v>4.93</v>
      </c>
      <c r="BC978">
        <v>75</v>
      </c>
      <c r="BD978">
        <v>-0.02</v>
      </c>
      <c r="BE978">
        <v>-0.01</v>
      </c>
      <c r="BF978">
        <v>0.1</v>
      </c>
      <c r="BG978">
        <v>92</v>
      </c>
      <c r="BH978">
        <v>0</v>
      </c>
      <c r="BI978">
        <v>0.79</v>
      </c>
      <c r="BJ978">
        <v>35</v>
      </c>
      <c r="BK978">
        <v>11</v>
      </c>
      <c r="BL978">
        <v>-0.37</v>
      </c>
      <c r="BM978">
        <v>1.99</v>
      </c>
      <c r="BN978">
        <v>0.63</v>
      </c>
      <c r="BO978">
        <v>-0.47</v>
      </c>
      <c r="BP978">
        <v>0.73</v>
      </c>
      <c r="BQ978">
        <v>0.4</v>
      </c>
      <c r="BR978">
        <v>2.5099999999999998</v>
      </c>
      <c r="BS978">
        <v>-0.64</v>
      </c>
      <c r="BT978">
        <v>-3.37</v>
      </c>
      <c r="BU978">
        <v>-0.34</v>
      </c>
      <c r="BV978">
        <v>-1.26</v>
      </c>
      <c r="BW978">
        <v>-0.79</v>
      </c>
      <c r="BX978">
        <v>-0.59</v>
      </c>
      <c r="BY978">
        <v>0.31</v>
      </c>
      <c r="BZ978">
        <v>-3.1</v>
      </c>
      <c r="CA978">
        <v>-0.96</v>
      </c>
      <c r="CB978">
        <v>-0.67</v>
      </c>
      <c r="CC978">
        <v>-1.45</v>
      </c>
      <c r="CD978">
        <v>0.87</v>
      </c>
      <c r="CE978">
        <v>-0.56999999999999995</v>
      </c>
      <c r="CF978">
        <v>0.53</v>
      </c>
      <c r="CG978">
        <v>0</v>
      </c>
      <c r="CH978">
        <v>-0.13</v>
      </c>
      <c r="CI978">
        <v>0</v>
      </c>
      <c r="CJ978">
        <v>-8.5</v>
      </c>
      <c r="CK978">
        <v>98</v>
      </c>
      <c r="CL978">
        <v>-0.81</v>
      </c>
      <c r="CM978">
        <v>97</v>
      </c>
      <c r="CN978">
        <v>-0.34</v>
      </c>
      <c r="CO978">
        <v>97</v>
      </c>
      <c r="CP978">
        <v>-8.5</v>
      </c>
      <c r="CQ978">
        <v>89</v>
      </c>
      <c r="CR978">
        <v>0</v>
      </c>
      <c r="CS978">
        <v>0</v>
      </c>
      <c r="CT978">
        <v>-4.5</v>
      </c>
      <c r="CU978">
        <v>89</v>
      </c>
      <c r="CV978">
        <v>0.02</v>
      </c>
      <c r="CW978">
        <v>46</v>
      </c>
      <c r="CX978" t="s">
        <v>7828</v>
      </c>
    </row>
    <row r="979" spans="1:102" x14ac:dyDescent="0.3">
      <c r="A979" t="str">
        <f>HYPERLINK("https://webapp.icbf.com/v2/app/bull-search/view/910796116","S1622")</f>
        <v>S1622</v>
      </c>
      <c r="B979" t="s">
        <v>1954</v>
      </c>
      <c r="C979" t="s">
        <v>1955</v>
      </c>
      <c r="D979" s="1">
        <v>40101</v>
      </c>
      <c r="E979" t="s">
        <v>92</v>
      </c>
      <c r="F979">
        <v>100</v>
      </c>
      <c r="G979" t="s">
        <v>93</v>
      </c>
      <c r="H979">
        <v>144.58000000000001</v>
      </c>
      <c r="I979">
        <v>90</v>
      </c>
      <c r="J979">
        <v>68.14</v>
      </c>
      <c r="K979">
        <v>98</v>
      </c>
      <c r="L979">
        <v>32.979999999999997</v>
      </c>
      <c r="M979">
        <v>89</v>
      </c>
      <c r="N979">
        <v>35.409999999999997</v>
      </c>
      <c r="O979">
        <v>91</v>
      </c>
      <c r="P979">
        <v>1.33</v>
      </c>
      <c r="Q979">
        <v>94</v>
      </c>
      <c r="R979">
        <v>11.96</v>
      </c>
      <c r="S979">
        <v>81</v>
      </c>
      <c r="T979">
        <v>-8.3000000000000007</v>
      </c>
      <c r="U979">
        <v>70</v>
      </c>
      <c r="V979">
        <v>3.06</v>
      </c>
      <c r="W979">
        <v>74</v>
      </c>
      <c r="X979" t="s">
        <v>102</v>
      </c>
      <c r="Y979" t="s">
        <v>362</v>
      </c>
      <c r="Z979" t="s">
        <v>96</v>
      </c>
      <c r="AA979" t="s">
        <v>1924</v>
      </c>
      <c r="AB979" t="s">
        <v>1956</v>
      </c>
      <c r="AC979">
        <v>252</v>
      </c>
      <c r="AD979">
        <v>65</v>
      </c>
      <c r="AE979">
        <v>98</v>
      </c>
      <c r="AF979">
        <v>428.53</v>
      </c>
      <c r="AG979">
        <v>17.18</v>
      </c>
      <c r="AH979">
        <v>12.07</v>
      </c>
      <c r="AI979">
        <v>0.01</v>
      </c>
      <c r="AJ979">
        <v>-0.04</v>
      </c>
      <c r="AK979">
        <v>89</v>
      </c>
      <c r="AL979">
        <v>173</v>
      </c>
      <c r="AM979">
        <v>59</v>
      </c>
      <c r="AN979">
        <v>-1.02</v>
      </c>
      <c r="AO979">
        <v>1.62</v>
      </c>
      <c r="AP979">
        <v>865</v>
      </c>
      <c r="AQ979">
        <v>1</v>
      </c>
      <c r="AR979">
        <v>4.75</v>
      </c>
      <c r="AS979">
        <v>94</v>
      </c>
      <c r="AT979">
        <v>2.08</v>
      </c>
      <c r="AU979">
        <v>96</v>
      </c>
      <c r="AV979">
        <v>-3.28</v>
      </c>
      <c r="AW979">
        <v>98</v>
      </c>
      <c r="AX979">
        <v>0.2</v>
      </c>
      <c r="AY979">
        <v>94</v>
      </c>
      <c r="AZ979">
        <v>6.51</v>
      </c>
      <c r="BA979">
        <v>78</v>
      </c>
      <c r="BB979">
        <v>5.84</v>
      </c>
      <c r="BC979">
        <v>61</v>
      </c>
      <c r="BD979">
        <v>0</v>
      </c>
      <c r="BE979">
        <v>-0.05</v>
      </c>
      <c r="BF979">
        <v>-0.18</v>
      </c>
      <c r="BG979">
        <v>95</v>
      </c>
      <c r="BH979">
        <v>-0.02</v>
      </c>
      <c r="BI979">
        <v>-12.2</v>
      </c>
      <c r="BJ979">
        <v>25</v>
      </c>
      <c r="BK979">
        <v>11</v>
      </c>
      <c r="BL979">
        <v>0.82</v>
      </c>
      <c r="BM979">
        <v>0.94</v>
      </c>
      <c r="BN979">
        <v>-0.56000000000000005</v>
      </c>
      <c r="BO979">
        <v>-0.33</v>
      </c>
      <c r="BP979">
        <v>2.1800000000000002</v>
      </c>
      <c r="BQ979">
        <v>0.86</v>
      </c>
      <c r="BR979">
        <v>-2.2999999999999998</v>
      </c>
      <c r="BS979">
        <v>1</v>
      </c>
      <c r="BT979">
        <v>2.89</v>
      </c>
      <c r="BU979">
        <v>1.5</v>
      </c>
      <c r="BV979">
        <v>1.44</v>
      </c>
      <c r="BW979">
        <v>0.28000000000000003</v>
      </c>
      <c r="BX979">
        <v>2.39</v>
      </c>
      <c r="BY979">
        <v>-1.22</v>
      </c>
      <c r="BZ979">
        <v>1.22</v>
      </c>
      <c r="CA979">
        <v>1.58</v>
      </c>
      <c r="CB979">
        <v>0.96</v>
      </c>
      <c r="CC979">
        <v>1.37</v>
      </c>
      <c r="CD979">
        <v>0.9</v>
      </c>
      <c r="CE979">
        <v>0.28000000000000003</v>
      </c>
      <c r="CF979">
        <v>1.05</v>
      </c>
      <c r="CG979">
        <v>0</v>
      </c>
      <c r="CH979">
        <v>-1.29</v>
      </c>
      <c r="CI979">
        <v>0</v>
      </c>
      <c r="CJ979">
        <v>1.2</v>
      </c>
      <c r="CK979">
        <v>96</v>
      </c>
      <c r="CL979">
        <v>-0.7</v>
      </c>
      <c r="CM979">
        <v>95</v>
      </c>
      <c r="CN979">
        <v>-0.52</v>
      </c>
      <c r="CO979">
        <v>95</v>
      </c>
      <c r="CP979">
        <v>5.4</v>
      </c>
      <c r="CQ979">
        <v>74</v>
      </c>
      <c r="CR979">
        <v>0</v>
      </c>
      <c r="CS979">
        <v>0</v>
      </c>
      <c r="CT979">
        <v>25</v>
      </c>
      <c r="CU979">
        <v>70</v>
      </c>
      <c r="CV979">
        <v>0.22</v>
      </c>
      <c r="CW979">
        <v>46</v>
      </c>
      <c r="CX979" t="s">
        <v>1957</v>
      </c>
    </row>
    <row r="980" spans="1:102" x14ac:dyDescent="0.3">
      <c r="A980" t="str">
        <f>HYPERLINK("https://webapp.icbf.com/v2/app/bull-search/view/77854171","RUU")</f>
        <v>RUU</v>
      </c>
      <c r="B980" t="s">
        <v>14811</v>
      </c>
      <c r="C980" t="s">
        <v>1165</v>
      </c>
      <c r="D980" s="1">
        <v>35511</v>
      </c>
      <c r="E980" t="s">
        <v>92</v>
      </c>
      <c r="F980">
        <v>100</v>
      </c>
      <c r="G980" t="s">
        <v>93</v>
      </c>
      <c r="H980">
        <v>144.58000000000001</v>
      </c>
      <c r="I980">
        <v>99</v>
      </c>
      <c r="J980">
        <v>16.47</v>
      </c>
      <c r="K980">
        <v>99</v>
      </c>
      <c r="L980">
        <v>47.83</v>
      </c>
      <c r="M980">
        <v>99</v>
      </c>
      <c r="N980">
        <v>47.77</v>
      </c>
      <c r="O980">
        <v>99</v>
      </c>
      <c r="P980">
        <v>5.61</v>
      </c>
      <c r="Q980">
        <v>99</v>
      </c>
      <c r="R980">
        <v>9.5399999999999991</v>
      </c>
      <c r="S980">
        <v>99</v>
      </c>
      <c r="T980">
        <v>4.58</v>
      </c>
      <c r="U980">
        <v>99</v>
      </c>
      <c r="V980">
        <v>12.78</v>
      </c>
      <c r="W980">
        <v>99</v>
      </c>
      <c r="X980" t="s">
        <v>94</v>
      </c>
      <c r="Y980" t="s">
        <v>95</v>
      </c>
      <c r="Z980" t="s">
        <v>96</v>
      </c>
      <c r="AA980" t="s">
        <v>1104</v>
      </c>
      <c r="AB980" t="s">
        <v>206</v>
      </c>
      <c r="AC980">
        <v>30062</v>
      </c>
      <c r="AD980">
        <v>4734</v>
      </c>
      <c r="AE980">
        <v>99</v>
      </c>
      <c r="AF980">
        <v>64.92</v>
      </c>
      <c r="AG980">
        <v>7.25</v>
      </c>
      <c r="AH980">
        <v>1.23</v>
      </c>
      <c r="AI980">
        <v>0.08</v>
      </c>
      <c r="AJ980">
        <v>-0.02</v>
      </c>
      <c r="AK980">
        <v>99</v>
      </c>
      <c r="AL980">
        <v>33887</v>
      </c>
      <c r="AM980">
        <v>6901</v>
      </c>
      <c r="AN980">
        <v>-1.38</v>
      </c>
      <c r="AO980">
        <v>2.4500000000000002</v>
      </c>
      <c r="AP980">
        <v>48529</v>
      </c>
      <c r="AQ980">
        <v>219</v>
      </c>
      <c r="AR980">
        <v>5.05</v>
      </c>
      <c r="AS980">
        <v>99</v>
      </c>
      <c r="AT980">
        <v>1.82</v>
      </c>
      <c r="AU980">
        <v>99</v>
      </c>
      <c r="AV980">
        <v>-3.56</v>
      </c>
      <c r="AW980">
        <v>99</v>
      </c>
      <c r="AX980">
        <v>-0.66</v>
      </c>
      <c r="AY980">
        <v>99</v>
      </c>
      <c r="AZ980">
        <v>5.4</v>
      </c>
      <c r="BA980">
        <v>99</v>
      </c>
      <c r="BB980">
        <v>4.82</v>
      </c>
      <c r="BC980">
        <v>99</v>
      </c>
      <c r="BD980">
        <v>-0.05</v>
      </c>
      <c r="BE980">
        <v>-0.04</v>
      </c>
      <c r="BF980">
        <v>-0.06</v>
      </c>
      <c r="BG980">
        <v>99</v>
      </c>
      <c r="BH980">
        <v>0.24</v>
      </c>
      <c r="BI980">
        <v>-13.45</v>
      </c>
      <c r="BJ980">
        <v>2023</v>
      </c>
      <c r="BK980">
        <v>516</v>
      </c>
      <c r="BL980">
        <v>0.97</v>
      </c>
      <c r="BM980">
        <v>-0.91</v>
      </c>
      <c r="BN980">
        <v>-0.85</v>
      </c>
      <c r="BO980">
        <v>7.0000000000000007E-2</v>
      </c>
      <c r="BP980">
        <v>3.67</v>
      </c>
      <c r="BQ980">
        <v>-0.55000000000000004</v>
      </c>
      <c r="BR980">
        <v>0.66</v>
      </c>
      <c r="BS980">
        <v>-1.97</v>
      </c>
      <c r="BT980">
        <v>-2.2200000000000002</v>
      </c>
      <c r="BU980">
        <v>-0.34</v>
      </c>
      <c r="BV980">
        <v>-0.28999999999999998</v>
      </c>
      <c r="BW980">
        <v>0.05</v>
      </c>
      <c r="BX980">
        <v>1.45</v>
      </c>
      <c r="BY980">
        <v>-0.17</v>
      </c>
      <c r="BZ980">
        <v>-3.04</v>
      </c>
      <c r="CA980">
        <v>-0.04</v>
      </c>
      <c r="CB980">
        <v>0.56999999999999995</v>
      </c>
      <c r="CC980">
        <v>-1.45</v>
      </c>
      <c r="CD980">
        <v>-0.2</v>
      </c>
      <c r="CE980">
        <v>0.28000000000000003</v>
      </c>
      <c r="CF980">
        <v>0.28999999999999998</v>
      </c>
      <c r="CG980">
        <v>0</v>
      </c>
      <c r="CH980">
        <v>-0.18</v>
      </c>
      <c r="CI980">
        <v>0</v>
      </c>
      <c r="CJ980">
        <v>6.4</v>
      </c>
      <c r="CK980">
        <v>99</v>
      </c>
      <c r="CL980">
        <v>-0.69</v>
      </c>
      <c r="CM980">
        <v>99</v>
      </c>
      <c r="CN980">
        <v>-0.3</v>
      </c>
      <c r="CO980">
        <v>99</v>
      </c>
      <c r="CP980">
        <v>2.6</v>
      </c>
      <c r="CQ980">
        <v>99</v>
      </c>
      <c r="CR980">
        <v>0</v>
      </c>
      <c r="CS980">
        <v>0</v>
      </c>
      <c r="CT980">
        <v>7.6</v>
      </c>
      <c r="CU980">
        <v>99</v>
      </c>
      <c r="CV980">
        <v>0.35</v>
      </c>
      <c r="CW980">
        <v>54</v>
      </c>
      <c r="CX980" t="s">
        <v>207</v>
      </c>
    </row>
    <row r="981" spans="1:102" x14ac:dyDescent="0.3">
      <c r="A981" t="str">
        <f>HYPERLINK("https://webapp.icbf.com/v2/app/bull-search/view/77852995","WEP")</f>
        <v>WEP</v>
      </c>
      <c r="B981" t="s">
        <v>10591</v>
      </c>
      <c r="C981" t="s">
        <v>10592</v>
      </c>
      <c r="D981" s="1">
        <v>32527</v>
      </c>
      <c r="E981" t="s">
        <v>108</v>
      </c>
      <c r="F981">
        <v>25</v>
      </c>
      <c r="G981" t="s">
        <v>93</v>
      </c>
      <c r="H981">
        <v>144.53</v>
      </c>
      <c r="I981">
        <v>60</v>
      </c>
      <c r="J981">
        <v>-7.44</v>
      </c>
      <c r="K981">
        <v>74</v>
      </c>
      <c r="L981">
        <v>145.25</v>
      </c>
      <c r="M981">
        <v>53</v>
      </c>
      <c r="N981">
        <v>11.17</v>
      </c>
      <c r="O981">
        <v>43</v>
      </c>
      <c r="P981">
        <v>-21.21</v>
      </c>
      <c r="Q981">
        <v>78</v>
      </c>
      <c r="R981">
        <v>2.41</v>
      </c>
      <c r="S981">
        <v>56</v>
      </c>
      <c r="T981">
        <v>17.82</v>
      </c>
      <c r="U981">
        <v>52</v>
      </c>
      <c r="V981">
        <v>-3.47</v>
      </c>
      <c r="W981">
        <v>24</v>
      </c>
      <c r="X981" t="s">
        <v>102</v>
      </c>
      <c r="Y981" t="s">
        <v>95</v>
      </c>
      <c r="Z981" t="s">
        <v>96</v>
      </c>
      <c r="AA981" t="s">
        <v>607</v>
      </c>
      <c r="AB981" t="s">
        <v>608</v>
      </c>
      <c r="AC981">
        <v>16</v>
      </c>
      <c r="AD981">
        <v>14</v>
      </c>
      <c r="AE981">
        <v>74</v>
      </c>
      <c r="AF981">
        <v>-111.09</v>
      </c>
      <c r="AG981">
        <v>-4.4000000000000004</v>
      </c>
      <c r="AH981">
        <v>-1.41</v>
      </c>
      <c r="AI981">
        <v>0</v>
      </c>
      <c r="AJ981">
        <v>0.04</v>
      </c>
      <c r="AK981">
        <v>53</v>
      </c>
      <c r="AL981">
        <v>47</v>
      </c>
      <c r="AM981">
        <v>34</v>
      </c>
      <c r="AN981">
        <v>-8.2200000000000006</v>
      </c>
      <c r="AO981">
        <v>3.36</v>
      </c>
      <c r="AP981">
        <v>6</v>
      </c>
      <c r="AQ981">
        <v>0</v>
      </c>
      <c r="AR981">
        <v>7.88</v>
      </c>
      <c r="AS981">
        <v>22</v>
      </c>
      <c r="AT981">
        <v>3.04</v>
      </c>
      <c r="AU981">
        <v>39</v>
      </c>
      <c r="AV981">
        <v>-0.98</v>
      </c>
      <c r="AW981">
        <v>52</v>
      </c>
      <c r="AX981">
        <v>-0.48</v>
      </c>
      <c r="AY981">
        <v>49</v>
      </c>
      <c r="AZ981">
        <v>6.04</v>
      </c>
      <c r="BA981">
        <v>23</v>
      </c>
      <c r="BB981">
        <v>4.6900000000000004</v>
      </c>
      <c r="BC981">
        <v>33</v>
      </c>
      <c r="BD981">
        <v>0.01</v>
      </c>
      <c r="BE981">
        <v>0.02</v>
      </c>
      <c r="BF981">
        <v>-0.11</v>
      </c>
      <c r="BG981">
        <v>74</v>
      </c>
      <c r="BH981">
        <v>-0.11</v>
      </c>
      <c r="BI981">
        <v>-1.52</v>
      </c>
      <c r="BJ981">
        <v>7</v>
      </c>
      <c r="BK981">
        <v>7</v>
      </c>
      <c r="BL981">
        <v>-3.37</v>
      </c>
      <c r="BM981">
        <v>-0.48</v>
      </c>
      <c r="BN981">
        <v>-2.35</v>
      </c>
      <c r="BO981">
        <v>-1.86</v>
      </c>
      <c r="BP981">
        <v>0.13</v>
      </c>
      <c r="BQ981">
        <v>-1.39</v>
      </c>
      <c r="BR981">
        <v>-1.02</v>
      </c>
      <c r="BS981">
        <v>0.19</v>
      </c>
      <c r="BT981">
        <v>0.66</v>
      </c>
      <c r="BU981">
        <v>-1.5</v>
      </c>
      <c r="BV981">
        <v>-1.47</v>
      </c>
      <c r="BW981">
        <v>-0.97</v>
      </c>
      <c r="BX981">
        <v>-1.68</v>
      </c>
      <c r="BY981">
        <v>-0.57999999999999996</v>
      </c>
      <c r="BZ981">
        <v>0.26</v>
      </c>
      <c r="CA981">
        <v>-1.36</v>
      </c>
      <c r="CB981">
        <v>-1.51</v>
      </c>
      <c r="CC981">
        <v>-0.52</v>
      </c>
      <c r="CD981">
        <v>1.3</v>
      </c>
      <c r="CE981">
        <v>-1.9</v>
      </c>
      <c r="CF981">
        <v>-3.6</v>
      </c>
      <c r="CG981">
        <v>0</v>
      </c>
      <c r="CH981">
        <v>-0.69</v>
      </c>
      <c r="CI981">
        <v>0</v>
      </c>
      <c r="CJ981">
        <v>-13.1</v>
      </c>
      <c r="CK981">
        <v>81</v>
      </c>
      <c r="CL981">
        <v>-0.24</v>
      </c>
      <c r="CM981">
        <v>77</v>
      </c>
      <c r="CN981">
        <v>-0.1</v>
      </c>
      <c r="CO981">
        <v>75</v>
      </c>
      <c r="CP981">
        <v>-12.2</v>
      </c>
      <c r="CQ981">
        <v>63</v>
      </c>
      <c r="CR981">
        <v>0</v>
      </c>
      <c r="CS981">
        <v>0</v>
      </c>
      <c r="CT981">
        <v>-10.3</v>
      </c>
      <c r="CU981">
        <v>52</v>
      </c>
      <c r="CV981">
        <v>-0.15</v>
      </c>
      <c r="CW981">
        <v>24</v>
      </c>
      <c r="CX981" t="s">
        <v>609</v>
      </c>
    </row>
    <row r="982" spans="1:102" x14ac:dyDescent="0.3">
      <c r="A982" t="str">
        <f>HYPERLINK("https://webapp.icbf.com/v2/app/bull-search/view/1196701893","ZOL")</f>
        <v>ZOL</v>
      </c>
      <c r="B982" t="s">
        <v>2112</v>
      </c>
      <c r="C982" t="s">
        <v>2113</v>
      </c>
      <c r="D982" s="1">
        <v>41082</v>
      </c>
      <c r="E982" t="s">
        <v>92</v>
      </c>
      <c r="F982">
        <v>100</v>
      </c>
      <c r="G982" t="s">
        <v>93</v>
      </c>
      <c r="H982">
        <v>144.44</v>
      </c>
      <c r="I982">
        <v>93</v>
      </c>
      <c r="J982">
        <v>32.4</v>
      </c>
      <c r="K982">
        <v>99</v>
      </c>
      <c r="L982">
        <v>80.41</v>
      </c>
      <c r="M982">
        <v>89</v>
      </c>
      <c r="N982">
        <v>9.3800000000000008</v>
      </c>
      <c r="O982">
        <v>95</v>
      </c>
      <c r="P982">
        <v>-6.36</v>
      </c>
      <c r="Q982">
        <v>98</v>
      </c>
      <c r="R982">
        <v>13.47</v>
      </c>
      <c r="S982">
        <v>87</v>
      </c>
      <c r="T982">
        <v>7.83</v>
      </c>
      <c r="U982">
        <v>87</v>
      </c>
      <c r="V982">
        <v>7.31</v>
      </c>
      <c r="W982">
        <v>78</v>
      </c>
      <c r="X982" t="s">
        <v>428</v>
      </c>
      <c r="Y982" t="s">
        <v>2066</v>
      </c>
      <c r="Z982" t="s">
        <v>96</v>
      </c>
      <c r="AA982" t="s">
        <v>401</v>
      </c>
      <c r="AB982" t="s">
        <v>2114</v>
      </c>
      <c r="AC982">
        <v>1340</v>
      </c>
      <c r="AD982">
        <v>314</v>
      </c>
      <c r="AE982">
        <v>99</v>
      </c>
      <c r="AF982">
        <v>233.8</v>
      </c>
      <c r="AG982">
        <v>8.31</v>
      </c>
      <c r="AH982">
        <v>6.15</v>
      </c>
      <c r="AI982">
        <v>-0.01</v>
      </c>
      <c r="AJ982">
        <v>-0.03</v>
      </c>
      <c r="AK982">
        <v>89</v>
      </c>
      <c r="AL982">
        <v>503</v>
      </c>
      <c r="AM982">
        <v>155</v>
      </c>
      <c r="AN982">
        <v>-3.03</v>
      </c>
      <c r="AO982">
        <v>3.4</v>
      </c>
      <c r="AP982">
        <v>2954</v>
      </c>
      <c r="AQ982">
        <v>24</v>
      </c>
      <c r="AR982">
        <v>9.48</v>
      </c>
      <c r="AS982">
        <v>97</v>
      </c>
      <c r="AT982">
        <v>3.57</v>
      </c>
      <c r="AU982">
        <v>98</v>
      </c>
      <c r="AV982">
        <v>-2.0299999999999998</v>
      </c>
      <c r="AW982">
        <v>99</v>
      </c>
      <c r="AX982">
        <v>0.31</v>
      </c>
      <c r="AY982">
        <v>98</v>
      </c>
      <c r="AZ982">
        <v>5.15</v>
      </c>
      <c r="BA982">
        <v>93</v>
      </c>
      <c r="BB982">
        <v>4.63</v>
      </c>
      <c r="BC982">
        <v>75</v>
      </c>
      <c r="BD982">
        <v>0.02</v>
      </c>
      <c r="BE982">
        <v>-7.0000000000000007E-2</v>
      </c>
      <c r="BF982">
        <v>-0.21</v>
      </c>
      <c r="BG982">
        <v>98</v>
      </c>
      <c r="BH982">
        <v>-0.1</v>
      </c>
      <c r="BI982">
        <v>-35.14</v>
      </c>
      <c r="BJ982">
        <v>203</v>
      </c>
      <c r="BK982">
        <v>71</v>
      </c>
      <c r="BL982">
        <v>1.46</v>
      </c>
      <c r="BM982">
        <v>-0.4</v>
      </c>
      <c r="BN982">
        <v>-0.19</v>
      </c>
      <c r="BO982">
        <v>0.43</v>
      </c>
      <c r="BP982">
        <v>3.08</v>
      </c>
      <c r="BQ982">
        <v>3.24</v>
      </c>
      <c r="BR982">
        <v>1.24</v>
      </c>
      <c r="BS982">
        <v>0.69</v>
      </c>
      <c r="BT982">
        <v>0.19</v>
      </c>
      <c r="BU982">
        <v>2.44</v>
      </c>
      <c r="BV982">
        <v>2.4</v>
      </c>
      <c r="BW982">
        <v>3.16</v>
      </c>
      <c r="BX982">
        <v>2.73</v>
      </c>
      <c r="BY982">
        <v>1.78</v>
      </c>
      <c r="BZ982">
        <v>-2.63</v>
      </c>
      <c r="CA982">
        <v>1.62</v>
      </c>
      <c r="CB982">
        <v>1.89</v>
      </c>
      <c r="CC982">
        <v>0.45</v>
      </c>
      <c r="CD982">
        <v>-0.15</v>
      </c>
      <c r="CE982">
        <v>0.33</v>
      </c>
      <c r="CF982">
        <v>1.67</v>
      </c>
      <c r="CG982">
        <v>0</v>
      </c>
      <c r="CH982">
        <v>1.86</v>
      </c>
      <c r="CI982">
        <v>0</v>
      </c>
      <c r="CJ982">
        <v>-0.8</v>
      </c>
      <c r="CK982">
        <v>99</v>
      </c>
      <c r="CL982">
        <v>-1.1299999999999999</v>
      </c>
      <c r="CM982">
        <v>99</v>
      </c>
      <c r="CN982">
        <v>-0.53</v>
      </c>
      <c r="CO982">
        <v>99</v>
      </c>
      <c r="CP982">
        <v>1.3</v>
      </c>
      <c r="CQ982">
        <v>87</v>
      </c>
      <c r="CR982">
        <v>0</v>
      </c>
      <c r="CS982">
        <v>0</v>
      </c>
      <c r="CT982">
        <v>3.2</v>
      </c>
      <c r="CU982">
        <v>87</v>
      </c>
      <c r="CV982">
        <v>0.22</v>
      </c>
      <c r="CW982">
        <v>46</v>
      </c>
      <c r="CX982" t="s">
        <v>2115</v>
      </c>
    </row>
    <row r="983" spans="1:102" x14ac:dyDescent="0.3">
      <c r="A983" t="str">
        <f>HYPERLINK("https://webapp.icbf.com/v2/app/bull-search/view/1354716009","FR4226")</f>
        <v>FR4226</v>
      </c>
      <c r="B983" t="s">
        <v>6374</v>
      </c>
      <c r="C983" t="s">
        <v>6375</v>
      </c>
      <c r="D983" s="1">
        <v>42393</v>
      </c>
      <c r="E983" t="s">
        <v>92</v>
      </c>
      <c r="F983">
        <v>72</v>
      </c>
      <c r="G983" t="s">
        <v>435</v>
      </c>
      <c r="H983">
        <v>144.33000000000001</v>
      </c>
      <c r="I983">
        <v>68</v>
      </c>
      <c r="J983">
        <v>72.62</v>
      </c>
      <c r="K983">
        <v>85</v>
      </c>
      <c r="L983">
        <v>29.7</v>
      </c>
      <c r="M983">
        <v>59</v>
      </c>
      <c r="N983">
        <v>59.12</v>
      </c>
      <c r="O983">
        <v>76</v>
      </c>
      <c r="P983">
        <v>-6.05</v>
      </c>
      <c r="Q983">
        <v>52</v>
      </c>
      <c r="R983">
        <v>-11.63</v>
      </c>
      <c r="S983">
        <v>59</v>
      </c>
      <c r="T983">
        <v>-3.71</v>
      </c>
      <c r="U983">
        <v>47</v>
      </c>
      <c r="V983">
        <v>4.28</v>
      </c>
      <c r="W983">
        <v>53</v>
      </c>
      <c r="X983" t="s">
        <v>276</v>
      </c>
      <c r="Y983" t="s">
        <v>2255</v>
      </c>
      <c r="Z983" t="s">
        <v>330</v>
      </c>
      <c r="AA983" t="s">
        <v>6204</v>
      </c>
      <c r="AB983" t="s">
        <v>6376</v>
      </c>
      <c r="AC983">
        <v>0</v>
      </c>
      <c r="AD983">
        <v>0</v>
      </c>
      <c r="AE983">
        <v>85</v>
      </c>
      <c r="AF983">
        <v>93.57</v>
      </c>
      <c r="AG983">
        <v>8.77</v>
      </c>
      <c r="AH983">
        <v>10.68</v>
      </c>
      <c r="AI983">
        <v>0.08</v>
      </c>
      <c r="AJ983">
        <v>0.13</v>
      </c>
      <c r="AK983">
        <v>59</v>
      </c>
      <c r="AL983">
        <v>0</v>
      </c>
      <c r="AM983">
        <v>0</v>
      </c>
      <c r="AN983">
        <v>-2.2799999999999998</v>
      </c>
      <c r="AO983">
        <v>0.08</v>
      </c>
      <c r="AP983">
        <v>120</v>
      </c>
      <c r="AQ983">
        <v>0</v>
      </c>
      <c r="AR983">
        <v>4.5</v>
      </c>
      <c r="AS983">
        <v>55</v>
      </c>
      <c r="AT983">
        <v>1.85</v>
      </c>
      <c r="AU983">
        <v>81</v>
      </c>
      <c r="AV983">
        <v>-4.76</v>
      </c>
      <c r="AW983">
        <v>93</v>
      </c>
      <c r="AX983">
        <v>-0.03</v>
      </c>
      <c r="AY983">
        <v>76</v>
      </c>
      <c r="AZ983">
        <v>5.55</v>
      </c>
      <c r="BA983">
        <v>42</v>
      </c>
      <c r="BB983">
        <v>4.17</v>
      </c>
      <c r="BC983">
        <v>35</v>
      </c>
      <c r="BD983">
        <v>0.05</v>
      </c>
      <c r="BE983">
        <v>0.06</v>
      </c>
      <c r="BF983">
        <v>7.0000000000000007E-2</v>
      </c>
      <c r="BG983">
        <v>70</v>
      </c>
      <c r="BH983">
        <v>0.09</v>
      </c>
      <c r="BI983">
        <v>-3.41</v>
      </c>
      <c r="BJ983">
        <v>0</v>
      </c>
      <c r="BK983">
        <v>0</v>
      </c>
      <c r="BL983">
        <v>-0.7</v>
      </c>
      <c r="BM983">
        <v>0.51</v>
      </c>
      <c r="BN983">
        <v>-0.14000000000000001</v>
      </c>
      <c r="BO983">
        <v>-0.46</v>
      </c>
      <c r="BP983">
        <v>0.22</v>
      </c>
      <c r="BQ983">
        <v>-0.43</v>
      </c>
      <c r="BR983">
        <v>1.86</v>
      </c>
      <c r="BS983">
        <v>-0.39</v>
      </c>
      <c r="BT983">
        <v>-1.84</v>
      </c>
      <c r="BU983">
        <v>0.38</v>
      </c>
      <c r="BV983">
        <v>0.52</v>
      </c>
      <c r="BW983">
        <v>-7.0000000000000007E-2</v>
      </c>
      <c r="BX983">
        <v>-0.47</v>
      </c>
      <c r="BY983">
        <v>0.36</v>
      </c>
      <c r="BZ983">
        <v>0.15</v>
      </c>
      <c r="CA983">
        <v>0.14000000000000001</v>
      </c>
      <c r="CB983">
        <v>0.37</v>
      </c>
      <c r="CC983">
        <v>-0.38</v>
      </c>
      <c r="CD983">
        <v>0.06</v>
      </c>
      <c r="CE983">
        <v>-0.21</v>
      </c>
      <c r="CF983">
        <v>-0.4</v>
      </c>
      <c r="CG983">
        <v>0</v>
      </c>
      <c r="CH983">
        <v>0.18</v>
      </c>
      <c r="CI983">
        <v>0</v>
      </c>
      <c r="CJ983">
        <v>-1.6</v>
      </c>
      <c r="CK983">
        <v>56</v>
      </c>
      <c r="CL983">
        <v>-0.83</v>
      </c>
      <c r="CM983">
        <v>47</v>
      </c>
      <c r="CN983">
        <v>-0.36</v>
      </c>
      <c r="CO983">
        <v>47</v>
      </c>
      <c r="CP983">
        <v>3.4</v>
      </c>
      <c r="CQ983">
        <v>47</v>
      </c>
      <c r="CR983">
        <v>0</v>
      </c>
      <c r="CS983">
        <v>0</v>
      </c>
      <c r="CT983">
        <v>18.8</v>
      </c>
      <c r="CU983">
        <v>47</v>
      </c>
      <c r="CV983">
        <v>0.14000000000000001</v>
      </c>
      <c r="CW983">
        <v>36</v>
      </c>
      <c r="CX983" t="s">
        <v>4781</v>
      </c>
    </row>
    <row r="984" spans="1:102" x14ac:dyDescent="0.3">
      <c r="A984" t="str">
        <f>HYPERLINK("https://webapp.icbf.com/v2/app/bull-search/view/444415696","GIO")</f>
        <v>GIO</v>
      </c>
      <c r="B984" t="s">
        <v>4662</v>
      </c>
      <c r="C984" t="s">
        <v>1376</v>
      </c>
      <c r="D984" s="1">
        <v>35657</v>
      </c>
      <c r="E984" t="s">
        <v>92</v>
      </c>
      <c r="F984">
        <v>97</v>
      </c>
      <c r="G984" t="s">
        <v>93</v>
      </c>
      <c r="H984">
        <v>144.29</v>
      </c>
      <c r="I984">
        <v>98</v>
      </c>
      <c r="J984">
        <v>48.5</v>
      </c>
      <c r="K984">
        <v>99</v>
      </c>
      <c r="L984">
        <v>34.909999999999997</v>
      </c>
      <c r="M984">
        <v>97</v>
      </c>
      <c r="N984">
        <v>40.68</v>
      </c>
      <c r="O984">
        <v>99</v>
      </c>
      <c r="P984">
        <v>-4.95</v>
      </c>
      <c r="Q984">
        <v>99</v>
      </c>
      <c r="R984">
        <v>14.13</v>
      </c>
      <c r="S984">
        <v>98</v>
      </c>
      <c r="T984">
        <v>8.57</v>
      </c>
      <c r="U984">
        <v>99</v>
      </c>
      <c r="V984">
        <v>2.4500000000000002</v>
      </c>
      <c r="W984">
        <v>99</v>
      </c>
      <c r="X984" t="s">
        <v>102</v>
      </c>
      <c r="Y984" t="s">
        <v>270</v>
      </c>
      <c r="Z984" t="s">
        <v>96</v>
      </c>
      <c r="AA984" t="s">
        <v>751</v>
      </c>
      <c r="AB984" t="s">
        <v>4663</v>
      </c>
      <c r="AC984">
        <v>3378</v>
      </c>
      <c r="AD984">
        <v>896</v>
      </c>
      <c r="AE984">
        <v>99</v>
      </c>
      <c r="AF984">
        <v>423.28</v>
      </c>
      <c r="AG984">
        <v>4.9400000000000004</v>
      </c>
      <c r="AH984">
        <v>12.98</v>
      </c>
      <c r="AI984">
        <v>-0.19</v>
      </c>
      <c r="AJ984">
        <v>-0.02</v>
      </c>
      <c r="AK984">
        <v>97</v>
      </c>
      <c r="AL984">
        <v>3614</v>
      </c>
      <c r="AM984">
        <v>975</v>
      </c>
      <c r="AN984">
        <v>-0.67</v>
      </c>
      <c r="AO984">
        <v>2.13</v>
      </c>
      <c r="AP984">
        <v>6128</v>
      </c>
      <c r="AQ984">
        <v>34</v>
      </c>
      <c r="AR984">
        <v>5.36</v>
      </c>
      <c r="AS984">
        <v>99</v>
      </c>
      <c r="AT984">
        <v>2.17</v>
      </c>
      <c r="AU984">
        <v>99</v>
      </c>
      <c r="AV984">
        <v>-3.62</v>
      </c>
      <c r="AW984">
        <v>99</v>
      </c>
      <c r="AX984">
        <v>0.08</v>
      </c>
      <c r="AY984">
        <v>99</v>
      </c>
      <c r="AZ984">
        <v>6.15</v>
      </c>
      <c r="BA984">
        <v>98</v>
      </c>
      <c r="BB984">
        <v>5.18</v>
      </c>
      <c r="BC984">
        <v>98</v>
      </c>
      <c r="BD984">
        <v>-0.06</v>
      </c>
      <c r="BE984">
        <v>-0.05</v>
      </c>
      <c r="BF984">
        <v>-0.13</v>
      </c>
      <c r="BG984">
        <v>99</v>
      </c>
      <c r="BH984">
        <v>0.01</v>
      </c>
      <c r="BI984">
        <v>-6.74</v>
      </c>
      <c r="BJ984">
        <v>450</v>
      </c>
      <c r="BK984">
        <v>149</v>
      </c>
      <c r="BL984">
        <v>0.28000000000000003</v>
      </c>
      <c r="BM984">
        <v>-0.32</v>
      </c>
      <c r="BN984">
        <v>-0.72</v>
      </c>
      <c r="BO984">
        <v>-0.2</v>
      </c>
      <c r="BP984">
        <v>-0.28000000000000003</v>
      </c>
      <c r="BQ984">
        <v>-1.23</v>
      </c>
      <c r="BR984">
        <v>-1.65</v>
      </c>
      <c r="BS984">
        <v>1.43</v>
      </c>
      <c r="BT984">
        <v>0.98</v>
      </c>
      <c r="BU984">
        <v>1.1599999999999999</v>
      </c>
      <c r="BV984">
        <v>1.68</v>
      </c>
      <c r="BW984">
        <v>1.51</v>
      </c>
      <c r="BX984">
        <v>0.89</v>
      </c>
      <c r="BY984">
        <v>-0.63</v>
      </c>
      <c r="BZ984">
        <v>0.21</v>
      </c>
      <c r="CA984">
        <v>1.04</v>
      </c>
      <c r="CB984">
        <v>0.83</v>
      </c>
      <c r="CC984">
        <v>0.76</v>
      </c>
      <c r="CD984">
        <v>0.22</v>
      </c>
      <c r="CE984">
        <v>0.04</v>
      </c>
      <c r="CF984">
        <v>0.17</v>
      </c>
      <c r="CG984">
        <v>0</v>
      </c>
      <c r="CH984">
        <v>-0.66</v>
      </c>
      <c r="CI984">
        <v>0</v>
      </c>
      <c r="CJ984">
        <v>-1.3</v>
      </c>
      <c r="CK984">
        <v>99</v>
      </c>
      <c r="CL984">
        <v>-0.8</v>
      </c>
      <c r="CM984">
        <v>99</v>
      </c>
      <c r="CN984">
        <v>-0.48</v>
      </c>
      <c r="CO984">
        <v>99</v>
      </c>
      <c r="CP984">
        <v>-3.5</v>
      </c>
      <c r="CQ984">
        <v>99</v>
      </c>
      <c r="CR984">
        <v>0</v>
      </c>
      <c r="CS984">
        <v>0</v>
      </c>
      <c r="CT984">
        <v>2.2000000000000002</v>
      </c>
      <c r="CU984">
        <v>99</v>
      </c>
      <c r="CV984">
        <v>0.18</v>
      </c>
      <c r="CW984">
        <v>48</v>
      </c>
      <c r="CX984" t="s">
        <v>193</v>
      </c>
    </row>
    <row r="985" spans="1:102" x14ac:dyDescent="0.3">
      <c r="A985" t="str">
        <f>HYPERLINK("https://webapp.icbf.com/v2/app/bull-search/view/108907448","AMU")</f>
        <v>AMU</v>
      </c>
      <c r="B985" t="s">
        <v>4974</v>
      </c>
      <c r="C985" t="s">
        <v>4975</v>
      </c>
      <c r="D985" s="1">
        <v>34574</v>
      </c>
      <c r="E985" t="s">
        <v>227</v>
      </c>
      <c r="F985">
        <v>13</v>
      </c>
      <c r="G985" t="s">
        <v>109</v>
      </c>
      <c r="H985">
        <v>144.19999999999999</v>
      </c>
      <c r="I985">
        <v>69</v>
      </c>
      <c r="J985">
        <v>32.119999999999997</v>
      </c>
      <c r="K985">
        <v>87</v>
      </c>
      <c r="L985">
        <v>48.99</v>
      </c>
      <c r="M985">
        <v>72</v>
      </c>
      <c r="N985">
        <v>44.47</v>
      </c>
      <c r="O985">
        <v>48</v>
      </c>
      <c r="P985">
        <v>-36.06</v>
      </c>
      <c r="Q985">
        <v>52</v>
      </c>
      <c r="R985">
        <v>4.8899999999999997</v>
      </c>
      <c r="S985">
        <v>43</v>
      </c>
      <c r="T985">
        <v>38.840000000000003</v>
      </c>
      <c r="U985">
        <v>51</v>
      </c>
      <c r="V985">
        <v>10.95</v>
      </c>
      <c r="W985">
        <v>39</v>
      </c>
      <c r="X985" t="s">
        <v>4976</v>
      </c>
      <c r="Y985" t="s">
        <v>95</v>
      </c>
      <c r="Z985" t="s">
        <v>528</v>
      </c>
      <c r="AA985" t="s">
        <v>231</v>
      </c>
      <c r="AB985" t="s">
        <v>4977</v>
      </c>
      <c r="AC985">
        <v>0</v>
      </c>
      <c r="AD985">
        <v>0</v>
      </c>
      <c r="AE985">
        <v>87</v>
      </c>
      <c r="AF985">
        <v>-178.07</v>
      </c>
      <c r="AG985">
        <v>8.0500000000000007</v>
      </c>
      <c r="AH985">
        <v>-0.11</v>
      </c>
      <c r="AI985">
        <v>0.26</v>
      </c>
      <c r="AJ985">
        <v>0.1</v>
      </c>
      <c r="AK985">
        <v>72</v>
      </c>
      <c r="AL985">
        <v>0</v>
      </c>
      <c r="AM985">
        <v>0</v>
      </c>
      <c r="AN985">
        <v>-2.42</v>
      </c>
      <c r="AO985">
        <v>1.49</v>
      </c>
      <c r="AP985">
        <v>1</v>
      </c>
      <c r="AQ985">
        <v>0</v>
      </c>
      <c r="AR985">
        <v>2.6</v>
      </c>
      <c r="AS985">
        <v>37</v>
      </c>
      <c r="AT985">
        <v>1.45</v>
      </c>
      <c r="AU985">
        <v>62</v>
      </c>
      <c r="AV985">
        <v>-2.96</v>
      </c>
      <c r="AW985">
        <v>49</v>
      </c>
      <c r="AX985">
        <v>-0.1</v>
      </c>
      <c r="AY985">
        <v>44</v>
      </c>
      <c r="AZ985">
        <v>6.67</v>
      </c>
      <c r="BA985">
        <v>31</v>
      </c>
      <c r="BB985">
        <v>5.0599999999999996</v>
      </c>
      <c r="BC985">
        <v>35</v>
      </c>
      <c r="BD985">
        <v>-0.02</v>
      </c>
      <c r="BE985">
        <v>-0.01</v>
      </c>
      <c r="BF985">
        <v>-0.06</v>
      </c>
      <c r="BG985">
        <v>50</v>
      </c>
      <c r="BH985">
        <v>0.16</v>
      </c>
      <c r="BI985">
        <v>-16.82</v>
      </c>
      <c r="BJ985">
        <v>0</v>
      </c>
      <c r="BK985">
        <v>0</v>
      </c>
      <c r="BL985">
        <v>-2.72</v>
      </c>
      <c r="BM985">
        <v>-1.1100000000000001</v>
      </c>
      <c r="BN985">
        <v>-7.0000000000000007E-2</v>
      </c>
      <c r="BO985">
        <v>0.73</v>
      </c>
      <c r="BP985">
        <v>-1.49</v>
      </c>
      <c r="BQ985">
        <v>-4.99</v>
      </c>
      <c r="BR985">
        <v>2.67</v>
      </c>
      <c r="BS985">
        <v>4.78</v>
      </c>
      <c r="BT985">
        <v>-1.41</v>
      </c>
      <c r="BU985">
        <v>-1.05</v>
      </c>
      <c r="BV985">
        <v>-0.75</v>
      </c>
      <c r="BW985">
        <v>-2.66</v>
      </c>
      <c r="BX985">
        <v>-3.96</v>
      </c>
      <c r="BY985">
        <v>-0.2</v>
      </c>
      <c r="BZ985">
        <v>-0.99</v>
      </c>
      <c r="CA985">
        <v>0.46</v>
      </c>
      <c r="CB985">
        <v>-0.72</v>
      </c>
      <c r="CC985">
        <v>2.83</v>
      </c>
      <c r="CD985">
        <v>-0.88</v>
      </c>
      <c r="CE985">
        <v>0.56999999999999995</v>
      </c>
      <c r="CF985">
        <v>-2.38</v>
      </c>
      <c r="CG985">
        <v>0</v>
      </c>
      <c r="CH985">
        <v>-1.53</v>
      </c>
      <c r="CI985">
        <v>0</v>
      </c>
      <c r="CJ985">
        <v>-21</v>
      </c>
      <c r="CK985">
        <v>53</v>
      </c>
      <c r="CL985">
        <v>-0.63</v>
      </c>
      <c r="CM985">
        <v>50</v>
      </c>
      <c r="CN985">
        <v>-0.33</v>
      </c>
      <c r="CO985">
        <v>47</v>
      </c>
      <c r="CP985">
        <v>-29.6</v>
      </c>
      <c r="CQ985">
        <v>54</v>
      </c>
      <c r="CR985">
        <v>0</v>
      </c>
      <c r="CS985">
        <v>0</v>
      </c>
      <c r="CT985">
        <v>-38.700000000000003</v>
      </c>
      <c r="CU985">
        <v>51</v>
      </c>
      <c r="CV985">
        <v>-0.27</v>
      </c>
      <c r="CW985">
        <v>15</v>
      </c>
      <c r="CX985" t="s">
        <v>2844</v>
      </c>
    </row>
    <row r="986" spans="1:102" x14ac:dyDescent="0.3">
      <c r="A986" t="str">
        <f>HYPERLINK("https://webapp.icbf.com/v2/app/bull-search/view/1245776298","FR4001")</f>
        <v>FR4001</v>
      </c>
      <c r="B986" t="s">
        <v>13732</v>
      </c>
      <c r="C986" t="s">
        <v>13733</v>
      </c>
      <c r="D986" s="1">
        <v>42030</v>
      </c>
      <c r="E986" t="s">
        <v>108</v>
      </c>
      <c r="F986">
        <v>9</v>
      </c>
      <c r="G986" t="s">
        <v>435</v>
      </c>
      <c r="H986">
        <v>144.05000000000001</v>
      </c>
      <c r="I986">
        <v>69</v>
      </c>
      <c r="J986">
        <v>9.48</v>
      </c>
      <c r="K986">
        <v>85</v>
      </c>
      <c r="L986">
        <v>88.27</v>
      </c>
      <c r="M986">
        <v>60</v>
      </c>
      <c r="N986">
        <v>34.92</v>
      </c>
      <c r="O986">
        <v>71</v>
      </c>
      <c r="P986">
        <v>-6.88</v>
      </c>
      <c r="Q986">
        <v>67</v>
      </c>
      <c r="R986">
        <v>7.03</v>
      </c>
      <c r="S986">
        <v>61</v>
      </c>
      <c r="T986">
        <v>10.79</v>
      </c>
      <c r="U986">
        <v>50</v>
      </c>
      <c r="V986">
        <v>0.44</v>
      </c>
      <c r="W986">
        <v>57</v>
      </c>
      <c r="X986" t="s">
        <v>6363</v>
      </c>
      <c r="Y986" t="s">
        <v>436</v>
      </c>
      <c r="Z986" t="s">
        <v>96</v>
      </c>
      <c r="AA986" t="s">
        <v>13734</v>
      </c>
      <c r="AB986" t="s">
        <v>13735</v>
      </c>
      <c r="AC986">
        <v>0</v>
      </c>
      <c r="AD986">
        <v>0</v>
      </c>
      <c r="AE986">
        <v>85</v>
      </c>
      <c r="AF986">
        <v>-168.36</v>
      </c>
      <c r="AG986">
        <v>6.6</v>
      </c>
      <c r="AH986">
        <v>-3.3</v>
      </c>
      <c r="AI986">
        <v>0.23</v>
      </c>
      <c r="AJ986">
        <v>0.05</v>
      </c>
      <c r="AK986">
        <v>60</v>
      </c>
      <c r="AL986">
        <v>0</v>
      </c>
      <c r="AM986">
        <v>0</v>
      </c>
      <c r="AN986">
        <v>-3.97</v>
      </c>
      <c r="AO986">
        <v>3.08</v>
      </c>
      <c r="AP986">
        <v>88</v>
      </c>
      <c r="AQ986">
        <v>0</v>
      </c>
      <c r="AR986">
        <v>5.65</v>
      </c>
      <c r="AS986">
        <v>53</v>
      </c>
      <c r="AT986">
        <v>2.21</v>
      </c>
      <c r="AU986">
        <v>77</v>
      </c>
      <c r="AV986">
        <v>-2.91</v>
      </c>
      <c r="AW986">
        <v>83</v>
      </c>
      <c r="AX986">
        <v>-0.44</v>
      </c>
      <c r="AY986">
        <v>66</v>
      </c>
      <c r="AZ986">
        <v>6.17</v>
      </c>
      <c r="BA986">
        <v>43</v>
      </c>
      <c r="BB986">
        <v>5.29</v>
      </c>
      <c r="BC986">
        <v>43</v>
      </c>
      <c r="BD986">
        <v>-0.04</v>
      </c>
      <c r="BE986">
        <v>-0.05</v>
      </c>
      <c r="BF986">
        <v>0</v>
      </c>
      <c r="BG986">
        <v>68</v>
      </c>
      <c r="BH986">
        <v>-0.09</v>
      </c>
      <c r="BI986">
        <v>-11.83</v>
      </c>
      <c r="BJ986">
        <v>0</v>
      </c>
      <c r="BK986">
        <v>0</v>
      </c>
      <c r="BL986">
        <v>-1.63</v>
      </c>
      <c r="BM986">
        <v>2.13</v>
      </c>
      <c r="BN986">
        <v>-2.11</v>
      </c>
      <c r="BO986">
        <v>-2.88</v>
      </c>
      <c r="BP986">
        <v>1.03</v>
      </c>
      <c r="BQ986">
        <v>1.57</v>
      </c>
      <c r="BR986">
        <v>-2.0499999999999998</v>
      </c>
      <c r="BS986">
        <v>-0.42</v>
      </c>
      <c r="BT986">
        <v>0.63</v>
      </c>
      <c r="BU986">
        <v>-1.21</v>
      </c>
      <c r="BV986">
        <v>-2.2000000000000002</v>
      </c>
      <c r="BW986">
        <v>-1.74</v>
      </c>
      <c r="BX986">
        <v>-0.43</v>
      </c>
      <c r="BY986">
        <v>-1.24</v>
      </c>
      <c r="BZ986">
        <v>-0.19</v>
      </c>
      <c r="CA986">
        <v>-1.63</v>
      </c>
      <c r="CB986">
        <v>-1.52</v>
      </c>
      <c r="CC986">
        <v>-1.1399999999999999</v>
      </c>
      <c r="CD986">
        <v>2.67</v>
      </c>
      <c r="CE986">
        <v>-2.58</v>
      </c>
      <c r="CF986">
        <v>-1.39</v>
      </c>
      <c r="CG986">
        <v>0</v>
      </c>
      <c r="CH986">
        <v>-0.64</v>
      </c>
      <c r="CI986">
        <v>0</v>
      </c>
      <c r="CJ986">
        <v>-4.8</v>
      </c>
      <c r="CK986">
        <v>70</v>
      </c>
      <c r="CL986">
        <v>-0.08</v>
      </c>
      <c r="CM986">
        <v>66</v>
      </c>
      <c r="CN986">
        <v>-0.14000000000000001</v>
      </c>
      <c r="CO986">
        <v>65</v>
      </c>
      <c r="CP986">
        <v>-7.1</v>
      </c>
      <c r="CQ986">
        <v>53</v>
      </c>
      <c r="CR986">
        <v>0</v>
      </c>
      <c r="CS986">
        <v>0</v>
      </c>
      <c r="CT986">
        <v>-0.8</v>
      </c>
      <c r="CU986">
        <v>50</v>
      </c>
      <c r="CV986">
        <v>0.04</v>
      </c>
      <c r="CW986">
        <v>40</v>
      </c>
      <c r="CX986" t="s">
        <v>5059</v>
      </c>
    </row>
    <row r="987" spans="1:102" x14ac:dyDescent="0.3">
      <c r="A987" t="str">
        <f>HYPERLINK("https://webapp.icbf.com/v2/app/bull-search/view/910806982","S2022")</f>
        <v>S2022</v>
      </c>
      <c r="B987" t="s">
        <v>14699</v>
      </c>
      <c r="C987" t="s">
        <v>14700</v>
      </c>
      <c r="D987" s="1">
        <v>40055</v>
      </c>
      <c r="E987" t="s">
        <v>92</v>
      </c>
      <c r="F987">
        <v>100</v>
      </c>
      <c r="G987" t="s">
        <v>109</v>
      </c>
      <c r="H987">
        <v>143.84</v>
      </c>
      <c r="I987">
        <v>72</v>
      </c>
      <c r="J987">
        <v>47.84</v>
      </c>
      <c r="K987">
        <v>77</v>
      </c>
      <c r="L987">
        <v>55.11</v>
      </c>
      <c r="M987">
        <v>77</v>
      </c>
      <c r="N987">
        <v>41.39</v>
      </c>
      <c r="O987">
        <v>72</v>
      </c>
      <c r="P987">
        <v>-13.19</v>
      </c>
      <c r="Q987">
        <v>80</v>
      </c>
      <c r="R987">
        <v>9.48</v>
      </c>
      <c r="S987">
        <v>63</v>
      </c>
      <c r="T987">
        <v>4.72</v>
      </c>
      <c r="U987">
        <v>53</v>
      </c>
      <c r="V987">
        <v>-1.51</v>
      </c>
      <c r="W987">
        <v>20</v>
      </c>
      <c r="X987" t="s">
        <v>102</v>
      </c>
      <c r="Y987" t="s">
        <v>367</v>
      </c>
      <c r="Z987" t="s">
        <v>96</v>
      </c>
      <c r="AA987" t="s">
        <v>1962</v>
      </c>
      <c r="AB987" t="s">
        <v>2478</v>
      </c>
      <c r="AC987">
        <v>0</v>
      </c>
      <c r="AD987">
        <v>0</v>
      </c>
      <c r="AE987">
        <v>77</v>
      </c>
      <c r="AF987">
        <v>399.78</v>
      </c>
      <c r="AG987">
        <v>7.62</v>
      </c>
      <c r="AH987">
        <v>11.56</v>
      </c>
      <c r="AI987">
        <v>-0.12</v>
      </c>
      <c r="AJ987">
        <v>-0.03</v>
      </c>
      <c r="AK987">
        <v>77</v>
      </c>
      <c r="AL987">
        <v>0</v>
      </c>
      <c r="AM987">
        <v>0</v>
      </c>
      <c r="AN987">
        <v>-1.07</v>
      </c>
      <c r="AO987">
        <v>3.35</v>
      </c>
      <c r="AP987">
        <v>78</v>
      </c>
      <c r="AQ987">
        <v>0</v>
      </c>
      <c r="AR987">
        <v>5.49</v>
      </c>
      <c r="AS987">
        <v>61</v>
      </c>
      <c r="AT987">
        <v>2.2799999999999998</v>
      </c>
      <c r="AU987">
        <v>83</v>
      </c>
      <c r="AV987">
        <v>-3.1</v>
      </c>
      <c r="AW987">
        <v>84</v>
      </c>
      <c r="AX987">
        <v>-0.35</v>
      </c>
      <c r="AY987">
        <v>67</v>
      </c>
      <c r="AZ987">
        <v>5.45</v>
      </c>
      <c r="BA987">
        <v>43</v>
      </c>
      <c r="BB987">
        <v>4.37</v>
      </c>
      <c r="BC987">
        <v>33</v>
      </c>
      <c r="BD987">
        <v>0</v>
      </c>
      <c r="BE987">
        <v>-0.02</v>
      </c>
      <c r="BF987">
        <v>-0.18</v>
      </c>
      <c r="BG987">
        <v>86</v>
      </c>
      <c r="BH987">
        <v>-0.17</v>
      </c>
      <c r="BI987">
        <v>-14.79</v>
      </c>
      <c r="BJ987">
        <v>5</v>
      </c>
      <c r="BK987">
        <v>3</v>
      </c>
      <c r="BL987">
        <v>0.01</v>
      </c>
      <c r="BM987">
        <v>0.31</v>
      </c>
      <c r="BN987">
        <v>0.04</v>
      </c>
      <c r="BO987">
        <v>-0.22</v>
      </c>
      <c r="BP987">
        <v>-1.1499999999999999</v>
      </c>
      <c r="BQ987">
        <v>0.56000000000000005</v>
      </c>
      <c r="BR987">
        <v>0.77</v>
      </c>
      <c r="BS987">
        <v>-0.19</v>
      </c>
      <c r="BT987">
        <v>-1.33</v>
      </c>
      <c r="BU987">
        <v>1.99</v>
      </c>
      <c r="BV987">
        <v>1.1599999999999999</v>
      </c>
      <c r="BW987">
        <v>2.13</v>
      </c>
      <c r="BX987">
        <v>1.9</v>
      </c>
      <c r="BY987">
        <v>2.91</v>
      </c>
      <c r="BZ987">
        <v>-1.56</v>
      </c>
      <c r="CA987">
        <v>1.47</v>
      </c>
      <c r="CB987">
        <v>1.82</v>
      </c>
      <c r="CC987">
        <v>0.06</v>
      </c>
      <c r="CD987">
        <v>0.62</v>
      </c>
      <c r="CE987">
        <v>0.9</v>
      </c>
      <c r="CF987">
        <v>1.1499999999999999</v>
      </c>
      <c r="CG987">
        <v>0</v>
      </c>
      <c r="CH987">
        <v>2.38</v>
      </c>
      <c r="CI987">
        <v>0</v>
      </c>
      <c r="CJ987">
        <v>-3.6</v>
      </c>
      <c r="CK987">
        <v>83</v>
      </c>
      <c r="CL987">
        <v>-1.1000000000000001</v>
      </c>
      <c r="CM987">
        <v>79</v>
      </c>
      <c r="CN987">
        <v>-0.32</v>
      </c>
      <c r="CO987">
        <v>77</v>
      </c>
      <c r="CP987">
        <v>-4.0999999999999996</v>
      </c>
      <c r="CQ987">
        <v>62</v>
      </c>
      <c r="CR987">
        <v>0</v>
      </c>
      <c r="CS987">
        <v>0</v>
      </c>
      <c r="CT987">
        <v>7.4</v>
      </c>
      <c r="CU987">
        <v>53</v>
      </c>
      <c r="CV987">
        <v>0.28999999999999998</v>
      </c>
      <c r="CW987">
        <v>23</v>
      </c>
      <c r="CX987" t="s">
        <v>2479</v>
      </c>
    </row>
    <row r="988" spans="1:102" x14ac:dyDescent="0.3">
      <c r="A988" t="str">
        <f>HYPERLINK("https://webapp.icbf.com/v2/app/bull-search/view/910797638","JE2268")</f>
        <v>JE2268</v>
      </c>
      <c r="B988" t="s">
        <v>14736</v>
      </c>
      <c r="C988" t="s">
        <v>9426</v>
      </c>
      <c r="D988" s="1">
        <v>40329</v>
      </c>
      <c r="E988" t="s">
        <v>227</v>
      </c>
      <c r="F988">
        <v>0</v>
      </c>
      <c r="G988" t="s">
        <v>109</v>
      </c>
      <c r="H988">
        <v>143.74</v>
      </c>
      <c r="I988">
        <v>54</v>
      </c>
      <c r="J988">
        <v>80.5</v>
      </c>
      <c r="K988">
        <v>65</v>
      </c>
      <c r="L988">
        <v>56.77</v>
      </c>
      <c r="M988">
        <v>48</v>
      </c>
      <c r="N988">
        <v>-10.57</v>
      </c>
      <c r="O988">
        <v>73</v>
      </c>
      <c r="P988">
        <v>-67.16</v>
      </c>
      <c r="Q988">
        <v>52</v>
      </c>
      <c r="R988">
        <v>8.1199999999999992</v>
      </c>
      <c r="S988">
        <v>42</v>
      </c>
      <c r="T988">
        <v>70.069999999999993</v>
      </c>
      <c r="U988">
        <v>30</v>
      </c>
      <c r="V988">
        <v>6.01</v>
      </c>
      <c r="W988">
        <v>26</v>
      </c>
      <c r="X988" t="s">
        <v>94</v>
      </c>
      <c r="Y988" t="s">
        <v>422</v>
      </c>
      <c r="Z988">
        <v>0</v>
      </c>
      <c r="AA988" t="s">
        <v>2021</v>
      </c>
      <c r="AB988" t="s">
        <v>144</v>
      </c>
      <c r="AC988">
        <v>0</v>
      </c>
      <c r="AD988">
        <v>0</v>
      </c>
      <c r="AE988">
        <v>65</v>
      </c>
      <c r="AF988">
        <v>-493.68</v>
      </c>
      <c r="AG988">
        <v>17.170000000000002</v>
      </c>
      <c r="AH988">
        <v>0.06</v>
      </c>
      <c r="AI988">
        <v>0.66</v>
      </c>
      <c r="AJ988">
        <v>0.31</v>
      </c>
      <c r="AK988">
        <v>48</v>
      </c>
      <c r="AL988">
        <v>0</v>
      </c>
      <c r="AM988">
        <v>0</v>
      </c>
      <c r="AN988">
        <v>-2.09</v>
      </c>
      <c r="AO988">
        <v>2.4500000000000002</v>
      </c>
      <c r="AP988">
        <v>140</v>
      </c>
      <c r="AQ988">
        <v>5</v>
      </c>
      <c r="AR988">
        <v>3.95</v>
      </c>
      <c r="AS988">
        <v>74</v>
      </c>
      <c r="AT988">
        <v>1.99</v>
      </c>
      <c r="AU988">
        <v>70</v>
      </c>
      <c r="AV988">
        <v>0.09</v>
      </c>
      <c r="AW988">
        <v>94</v>
      </c>
      <c r="AX988">
        <v>10.119999999999999</v>
      </c>
      <c r="AY988">
        <v>70</v>
      </c>
      <c r="AZ988">
        <v>6.51</v>
      </c>
      <c r="BA988">
        <v>37</v>
      </c>
      <c r="BB988">
        <v>5</v>
      </c>
      <c r="BC988">
        <v>24</v>
      </c>
      <c r="BD988">
        <v>-7.0000000000000007E-2</v>
      </c>
      <c r="BE988">
        <v>0</v>
      </c>
      <c r="BF988">
        <v>-7.0000000000000007E-2</v>
      </c>
      <c r="BG988">
        <v>52</v>
      </c>
      <c r="BH988">
        <v>0.12</v>
      </c>
      <c r="BI988">
        <v>-5.51</v>
      </c>
      <c r="BJ988">
        <v>0</v>
      </c>
      <c r="BK988">
        <v>0</v>
      </c>
      <c r="BL988">
        <v>-1.31</v>
      </c>
      <c r="BM988">
        <v>-1.71</v>
      </c>
      <c r="BN988">
        <v>-0.17</v>
      </c>
      <c r="BO988">
        <v>1.48</v>
      </c>
      <c r="BP988">
        <v>-0.33</v>
      </c>
      <c r="BQ988">
        <v>-5.42</v>
      </c>
      <c r="BR988">
        <v>1.91</v>
      </c>
      <c r="BS988">
        <v>6.51</v>
      </c>
      <c r="BT988">
        <v>-0.85</v>
      </c>
      <c r="BU988">
        <v>0.56999999999999995</v>
      </c>
      <c r="BV988">
        <v>0.76</v>
      </c>
      <c r="BW988">
        <v>-1.1599999999999999</v>
      </c>
      <c r="BX988">
        <v>-2.19</v>
      </c>
      <c r="BY988">
        <v>0.21</v>
      </c>
      <c r="BZ988">
        <v>-0.01</v>
      </c>
      <c r="CA988">
        <v>1.96</v>
      </c>
      <c r="CB988">
        <v>0.5</v>
      </c>
      <c r="CC988">
        <v>4.05</v>
      </c>
      <c r="CD988">
        <v>-2.27</v>
      </c>
      <c r="CE988">
        <v>1.35</v>
      </c>
      <c r="CF988">
        <v>-1.32</v>
      </c>
      <c r="CG988">
        <v>0</v>
      </c>
      <c r="CH988">
        <v>-0.55000000000000004</v>
      </c>
      <c r="CI988">
        <v>0</v>
      </c>
      <c r="CJ988">
        <v>-36.6</v>
      </c>
      <c r="CK988">
        <v>57</v>
      </c>
      <c r="CL988">
        <v>-1.25</v>
      </c>
      <c r="CM988">
        <v>49</v>
      </c>
      <c r="CN988">
        <v>-0.41</v>
      </c>
      <c r="CO988">
        <v>47</v>
      </c>
      <c r="CP988">
        <v>-57</v>
      </c>
      <c r="CQ988">
        <v>34</v>
      </c>
      <c r="CR988">
        <v>0</v>
      </c>
      <c r="CS988">
        <v>0</v>
      </c>
      <c r="CT988">
        <v>-80.900000000000006</v>
      </c>
      <c r="CU988">
        <v>30</v>
      </c>
      <c r="CV988">
        <v>-0.42</v>
      </c>
      <c r="CW988">
        <v>14</v>
      </c>
      <c r="CX988" t="s">
        <v>2659</v>
      </c>
    </row>
    <row r="989" spans="1:102" x14ac:dyDescent="0.3">
      <c r="A989" t="str">
        <f>HYPERLINK("https://webapp.icbf.com/v2/app/bull-search/view/751408343","FYA")</f>
        <v>FYA</v>
      </c>
      <c r="B989" t="s">
        <v>12819</v>
      </c>
      <c r="C989" t="s">
        <v>12820</v>
      </c>
      <c r="D989" s="1">
        <v>40236</v>
      </c>
      <c r="E989" t="s">
        <v>108</v>
      </c>
      <c r="F989">
        <v>3</v>
      </c>
      <c r="G989" t="s">
        <v>435</v>
      </c>
      <c r="H989">
        <v>143.6</v>
      </c>
      <c r="I989">
        <v>73</v>
      </c>
      <c r="J989">
        <v>-19.21</v>
      </c>
      <c r="K989">
        <v>85</v>
      </c>
      <c r="L989">
        <v>138.97</v>
      </c>
      <c r="M989">
        <v>64</v>
      </c>
      <c r="N989">
        <v>13.1</v>
      </c>
      <c r="O989">
        <v>72</v>
      </c>
      <c r="P989">
        <v>-11.03</v>
      </c>
      <c r="Q989">
        <v>79</v>
      </c>
      <c r="R989">
        <v>8.8699999999999992</v>
      </c>
      <c r="S989">
        <v>63</v>
      </c>
      <c r="T989">
        <v>5.83</v>
      </c>
      <c r="U989">
        <v>70</v>
      </c>
      <c r="V989">
        <v>7.07</v>
      </c>
      <c r="W989">
        <v>58</v>
      </c>
      <c r="X989" t="s">
        <v>94</v>
      </c>
      <c r="Y989" t="s">
        <v>1685</v>
      </c>
      <c r="Z989" t="s">
        <v>96</v>
      </c>
      <c r="AA989" t="s">
        <v>5087</v>
      </c>
      <c r="AB989" t="s">
        <v>12821</v>
      </c>
      <c r="AC989">
        <v>7</v>
      </c>
      <c r="AD989">
        <v>5</v>
      </c>
      <c r="AE989">
        <v>85</v>
      </c>
      <c r="AF989">
        <v>-105.46</v>
      </c>
      <c r="AG989">
        <v>-5.15</v>
      </c>
      <c r="AH989">
        <v>-3.06</v>
      </c>
      <c r="AI989">
        <v>-0.02</v>
      </c>
      <c r="AJ989">
        <v>0.01</v>
      </c>
      <c r="AK989">
        <v>64</v>
      </c>
      <c r="AL989">
        <v>19</v>
      </c>
      <c r="AM989">
        <v>12</v>
      </c>
      <c r="AN989">
        <v>-7.78</v>
      </c>
      <c r="AO989">
        <v>3.3</v>
      </c>
      <c r="AP989">
        <v>28</v>
      </c>
      <c r="AQ989">
        <v>0</v>
      </c>
      <c r="AR989">
        <v>7.62</v>
      </c>
      <c r="AS989">
        <v>55</v>
      </c>
      <c r="AT989">
        <v>3.2</v>
      </c>
      <c r="AU989">
        <v>69</v>
      </c>
      <c r="AV989">
        <v>-1.94</v>
      </c>
      <c r="AW989">
        <v>89</v>
      </c>
      <c r="AX989">
        <v>-0.06</v>
      </c>
      <c r="AY989">
        <v>63</v>
      </c>
      <c r="AZ989">
        <v>6.66</v>
      </c>
      <c r="BA989">
        <v>46</v>
      </c>
      <c r="BB989">
        <v>5.27</v>
      </c>
      <c r="BC989">
        <v>45</v>
      </c>
      <c r="BD989">
        <v>0</v>
      </c>
      <c r="BE989">
        <v>-0.06</v>
      </c>
      <c r="BF989">
        <v>-0.09</v>
      </c>
      <c r="BG989">
        <v>71</v>
      </c>
      <c r="BH989">
        <v>0.05</v>
      </c>
      <c r="BI989">
        <v>-17.03</v>
      </c>
      <c r="BJ989">
        <v>0</v>
      </c>
      <c r="BK989">
        <v>0</v>
      </c>
      <c r="BL989">
        <v>-2.58</v>
      </c>
      <c r="BM989">
        <v>1.01</v>
      </c>
      <c r="BN989">
        <v>-2.62</v>
      </c>
      <c r="BO989">
        <v>-2.66</v>
      </c>
      <c r="BP989">
        <v>-0.1</v>
      </c>
      <c r="BQ989">
        <v>0.96</v>
      </c>
      <c r="BR989">
        <v>-0.67</v>
      </c>
      <c r="BS989">
        <v>0.15</v>
      </c>
      <c r="BT989">
        <v>0.55000000000000004</v>
      </c>
      <c r="BU989">
        <v>-0.87</v>
      </c>
      <c r="BV989">
        <v>-1.81</v>
      </c>
      <c r="BW989">
        <v>-1.75</v>
      </c>
      <c r="BX989">
        <v>-0.12</v>
      </c>
      <c r="BY989">
        <v>-0.21</v>
      </c>
      <c r="BZ989">
        <v>-2.91</v>
      </c>
      <c r="CA989">
        <v>-1.54</v>
      </c>
      <c r="CB989">
        <v>-1.64</v>
      </c>
      <c r="CC989">
        <v>-1.08</v>
      </c>
      <c r="CD989">
        <v>2.39</v>
      </c>
      <c r="CE989">
        <v>-2.5299999999999998</v>
      </c>
      <c r="CF989">
        <v>-1.47</v>
      </c>
      <c r="CG989">
        <v>0</v>
      </c>
      <c r="CH989">
        <v>0.4</v>
      </c>
      <c r="CI989">
        <v>0</v>
      </c>
      <c r="CJ989">
        <v>-6.6</v>
      </c>
      <c r="CK989">
        <v>81</v>
      </c>
      <c r="CL989">
        <v>-0.24</v>
      </c>
      <c r="CM989">
        <v>78</v>
      </c>
      <c r="CN989">
        <v>-0.1</v>
      </c>
      <c r="CO989">
        <v>76</v>
      </c>
      <c r="CP989">
        <v>-4.0999999999999996</v>
      </c>
      <c r="CQ989">
        <v>67</v>
      </c>
      <c r="CR989">
        <v>0</v>
      </c>
      <c r="CS989">
        <v>0</v>
      </c>
      <c r="CT989">
        <v>5.9</v>
      </c>
      <c r="CU989">
        <v>70</v>
      </c>
      <c r="CV989">
        <v>-0.03</v>
      </c>
      <c r="CW989">
        <v>42</v>
      </c>
      <c r="CX989" t="s">
        <v>7622</v>
      </c>
    </row>
    <row r="990" spans="1:102" x14ac:dyDescent="0.3">
      <c r="A990" t="str">
        <f>HYPERLINK("https://webapp.icbf.com/v2/app/bull-search/view/951796599","KDL")</f>
        <v>KDL</v>
      </c>
      <c r="B990" t="s">
        <v>13231</v>
      </c>
      <c r="C990" t="s">
        <v>13232</v>
      </c>
      <c r="D990" s="1">
        <v>40965</v>
      </c>
      <c r="E990" t="s">
        <v>92</v>
      </c>
      <c r="F990">
        <v>69</v>
      </c>
      <c r="G990" t="s">
        <v>93</v>
      </c>
      <c r="H990">
        <v>143.5</v>
      </c>
      <c r="I990">
        <v>79</v>
      </c>
      <c r="J990">
        <v>107.6</v>
      </c>
      <c r="K990">
        <v>93</v>
      </c>
      <c r="L990">
        <v>27.98</v>
      </c>
      <c r="M990">
        <v>70</v>
      </c>
      <c r="N990">
        <v>22.94</v>
      </c>
      <c r="O990">
        <v>77</v>
      </c>
      <c r="P990">
        <v>-14.36</v>
      </c>
      <c r="Q990">
        <v>88</v>
      </c>
      <c r="R990">
        <v>-0.73</v>
      </c>
      <c r="S990">
        <v>71</v>
      </c>
      <c r="T990">
        <v>3.32</v>
      </c>
      <c r="U990">
        <v>66</v>
      </c>
      <c r="V990">
        <v>-3.25</v>
      </c>
      <c r="W990">
        <v>66</v>
      </c>
      <c r="X990" t="s">
        <v>102</v>
      </c>
      <c r="Y990" t="s">
        <v>1976</v>
      </c>
      <c r="Z990" t="s">
        <v>330</v>
      </c>
      <c r="AA990" t="s">
        <v>5446</v>
      </c>
      <c r="AB990" t="s">
        <v>13233</v>
      </c>
      <c r="AC990">
        <v>43</v>
      </c>
      <c r="AD990">
        <v>15</v>
      </c>
      <c r="AE990">
        <v>93</v>
      </c>
      <c r="AF990">
        <v>84.4</v>
      </c>
      <c r="AG990">
        <v>19.96</v>
      </c>
      <c r="AH990">
        <v>12.53</v>
      </c>
      <c r="AI990">
        <v>0.28999999999999998</v>
      </c>
      <c r="AJ990">
        <v>0.17</v>
      </c>
      <c r="AK990">
        <v>70</v>
      </c>
      <c r="AL990">
        <v>51</v>
      </c>
      <c r="AM990">
        <v>18</v>
      </c>
      <c r="AN990">
        <v>-1.66</v>
      </c>
      <c r="AO990">
        <v>0.56999999999999995</v>
      </c>
      <c r="AP990">
        <v>71</v>
      </c>
      <c r="AQ990">
        <v>3</v>
      </c>
      <c r="AR990">
        <v>7.96</v>
      </c>
      <c r="AS990">
        <v>58</v>
      </c>
      <c r="AT990">
        <v>2.85</v>
      </c>
      <c r="AU990">
        <v>78</v>
      </c>
      <c r="AV990">
        <v>-2.72</v>
      </c>
      <c r="AW990">
        <v>92</v>
      </c>
      <c r="AX990">
        <v>0.52</v>
      </c>
      <c r="AY990">
        <v>72</v>
      </c>
      <c r="AZ990">
        <v>5.89</v>
      </c>
      <c r="BA990">
        <v>51</v>
      </c>
      <c r="BB990">
        <v>4.9000000000000004</v>
      </c>
      <c r="BC990">
        <v>51</v>
      </c>
      <c r="BD990">
        <v>-0.02</v>
      </c>
      <c r="BE990">
        <v>0</v>
      </c>
      <c r="BF990">
        <v>0.05</v>
      </c>
      <c r="BG990">
        <v>81</v>
      </c>
      <c r="BH990">
        <v>-0.08</v>
      </c>
      <c r="BI990">
        <v>1.24</v>
      </c>
      <c r="BJ990">
        <v>3</v>
      </c>
      <c r="BK990">
        <v>1</v>
      </c>
      <c r="BL990">
        <v>-0.79</v>
      </c>
      <c r="BM990">
        <v>-0.4</v>
      </c>
      <c r="BN990">
        <v>-1.01</v>
      </c>
      <c r="BO990">
        <v>-0.62</v>
      </c>
      <c r="BP990">
        <v>0.33</v>
      </c>
      <c r="BQ990">
        <v>-1.93</v>
      </c>
      <c r="BR990">
        <v>0.88</v>
      </c>
      <c r="BS990">
        <v>-2.12</v>
      </c>
      <c r="BT990">
        <v>-2.12</v>
      </c>
      <c r="BU990">
        <v>-1.25</v>
      </c>
      <c r="BV990">
        <v>-0.39</v>
      </c>
      <c r="BW990">
        <v>-1.2</v>
      </c>
      <c r="BX990">
        <v>-0.76</v>
      </c>
      <c r="BY990">
        <v>-0.16</v>
      </c>
      <c r="BZ990">
        <v>1.28</v>
      </c>
      <c r="CA990">
        <v>-1.56</v>
      </c>
      <c r="CB990">
        <v>-0.97</v>
      </c>
      <c r="CC990">
        <v>-1.93</v>
      </c>
      <c r="CD990">
        <v>-0.34</v>
      </c>
      <c r="CE990">
        <v>-0.3</v>
      </c>
      <c r="CF990">
        <v>-1.57</v>
      </c>
      <c r="CG990">
        <v>0</v>
      </c>
      <c r="CH990">
        <v>-1.34</v>
      </c>
      <c r="CI990">
        <v>0</v>
      </c>
      <c r="CJ990">
        <v>-4.9000000000000004</v>
      </c>
      <c r="CK990">
        <v>91</v>
      </c>
      <c r="CL990">
        <v>-0.87</v>
      </c>
      <c r="CM990">
        <v>89</v>
      </c>
      <c r="CN990">
        <v>-0.14000000000000001</v>
      </c>
      <c r="CO990">
        <v>87</v>
      </c>
      <c r="CP990">
        <v>-1.7</v>
      </c>
      <c r="CQ990">
        <v>71</v>
      </c>
      <c r="CR990">
        <v>0</v>
      </c>
      <c r="CS990">
        <v>0</v>
      </c>
      <c r="CT990">
        <v>9.3000000000000007</v>
      </c>
      <c r="CU990">
        <v>66</v>
      </c>
      <c r="CV990">
        <v>0.27</v>
      </c>
      <c r="CW990">
        <v>44</v>
      </c>
      <c r="CX990" t="s">
        <v>4059</v>
      </c>
    </row>
    <row r="991" spans="1:102" x14ac:dyDescent="0.3">
      <c r="A991" t="str">
        <f>HYPERLINK("https://webapp.icbf.com/v2/app/bull-search/view/1172746798","S3146")</f>
        <v>S3146</v>
      </c>
      <c r="B991" t="s">
        <v>13945</v>
      </c>
      <c r="C991" t="s">
        <v>13946</v>
      </c>
      <c r="D991" s="1">
        <v>41758</v>
      </c>
      <c r="E991" t="s">
        <v>108</v>
      </c>
      <c r="F991">
        <v>13</v>
      </c>
      <c r="G991" t="s">
        <v>435</v>
      </c>
      <c r="H991">
        <v>143.4</v>
      </c>
      <c r="I991">
        <v>67</v>
      </c>
      <c r="J991">
        <v>4.7300000000000004</v>
      </c>
      <c r="K991">
        <v>85</v>
      </c>
      <c r="L991">
        <v>92.15</v>
      </c>
      <c r="M991">
        <v>63</v>
      </c>
      <c r="N991">
        <v>30.64</v>
      </c>
      <c r="O991">
        <v>52</v>
      </c>
      <c r="P991">
        <v>-9.0500000000000007</v>
      </c>
      <c r="Q991">
        <v>48</v>
      </c>
      <c r="R991">
        <v>8.2799999999999994</v>
      </c>
      <c r="S991">
        <v>63</v>
      </c>
      <c r="T991">
        <v>14.94</v>
      </c>
      <c r="U991">
        <v>50</v>
      </c>
      <c r="V991">
        <v>1.71</v>
      </c>
      <c r="W991">
        <v>61</v>
      </c>
      <c r="X991" t="s">
        <v>110</v>
      </c>
      <c r="Y991" t="s">
        <v>457</v>
      </c>
      <c r="Z991" t="s">
        <v>96</v>
      </c>
      <c r="AA991" t="s">
        <v>5256</v>
      </c>
      <c r="AB991" t="s">
        <v>5874</v>
      </c>
      <c r="AC991">
        <v>0</v>
      </c>
      <c r="AD991">
        <v>0</v>
      </c>
      <c r="AE991">
        <v>85</v>
      </c>
      <c r="AF991">
        <v>-198.61</v>
      </c>
      <c r="AG991">
        <v>6.77</v>
      </c>
      <c r="AH991">
        <v>-4.63</v>
      </c>
      <c r="AI991">
        <v>0.26</v>
      </c>
      <c r="AJ991">
        <v>0.04</v>
      </c>
      <c r="AK991">
        <v>63</v>
      </c>
      <c r="AL991">
        <v>0</v>
      </c>
      <c r="AM991">
        <v>0</v>
      </c>
      <c r="AN991">
        <v>-4.13</v>
      </c>
      <c r="AO991">
        <v>3.23</v>
      </c>
      <c r="AP991">
        <v>9</v>
      </c>
      <c r="AQ991">
        <v>0</v>
      </c>
      <c r="AR991">
        <v>7.18</v>
      </c>
      <c r="AS991">
        <v>51</v>
      </c>
      <c r="AT991">
        <v>2.4500000000000002</v>
      </c>
      <c r="AU991">
        <v>63</v>
      </c>
      <c r="AV991">
        <v>-3</v>
      </c>
      <c r="AW991">
        <v>48</v>
      </c>
      <c r="AX991">
        <v>-0.67</v>
      </c>
      <c r="AY991">
        <v>51</v>
      </c>
      <c r="AZ991">
        <v>6.38</v>
      </c>
      <c r="BA991">
        <v>43</v>
      </c>
      <c r="BB991">
        <v>5.32</v>
      </c>
      <c r="BC991">
        <v>45</v>
      </c>
      <c r="BD991">
        <v>0.01</v>
      </c>
      <c r="BE991">
        <v>-0.03</v>
      </c>
      <c r="BF991">
        <v>-0.15</v>
      </c>
      <c r="BG991">
        <v>70</v>
      </c>
      <c r="BH991">
        <v>-0.01</v>
      </c>
      <c r="BI991">
        <v>-6.66</v>
      </c>
      <c r="BJ991">
        <v>0</v>
      </c>
      <c r="BK991">
        <v>0</v>
      </c>
      <c r="BL991">
        <v>-2.5299999999999998</v>
      </c>
      <c r="BM991">
        <v>1.1200000000000001</v>
      </c>
      <c r="BN991">
        <v>-1.3</v>
      </c>
      <c r="BO991">
        <v>-1.7</v>
      </c>
      <c r="BP991">
        <v>0.68</v>
      </c>
      <c r="BQ991">
        <v>1.37</v>
      </c>
      <c r="BR991">
        <v>1.43</v>
      </c>
      <c r="BS991">
        <v>-1.02</v>
      </c>
      <c r="BT991">
        <v>-1.1100000000000001</v>
      </c>
      <c r="BU991">
        <v>-1.32</v>
      </c>
      <c r="BV991">
        <v>-2.4500000000000002</v>
      </c>
      <c r="BW991">
        <v>-1.3</v>
      </c>
      <c r="BX991">
        <v>-1.5</v>
      </c>
      <c r="BY991">
        <v>-0.75</v>
      </c>
      <c r="BZ991">
        <v>-0.68</v>
      </c>
      <c r="CA991">
        <v>-2.41</v>
      </c>
      <c r="CB991">
        <v>-1.66</v>
      </c>
      <c r="CC991">
        <v>-2.1</v>
      </c>
      <c r="CD991">
        <v>1.54</v>
      </c>
      <c r="CE991">
        <v>-1.63</v>
      </c>
      <c r="CF991">
        <v>-0.71</v>
      </c>
      <c r="CG991">
        <v>0</v>
      </c>
      <c r="CH991">
        <v>0.15</v>
      </c>
      <c r="CI991">
        <v>0</v>
      </c>
      <c r="CJ991">
        <v>-1.1000000000000001</v>
      </c>
      <c r="CK991">
        <v>48</v>
      </c>
      <c r="CL991">
        <v>-0.31</v>
      </c>
      <c r="CM991">
        <v>48</v>
      </c>
      <c r="CN991">
        <v>0.25</v>
      </c>
      <c r="CO991">
        <v>48</v>
      </c>
      <c r="CP991">
        <v>-9.4</v>
      </c>
      <c r="CQ991">
        <v>49</v>
      </c>
      <c r="CR991">
        <v>0</v>
      </c>
      <c r="CS991">
        <v>0</v>
      </c>
      <c r="CT991">
        <v>-6.4</v>
      </c>
      <c r="CU991">
        <v>50</v>
      </c>
      <c r="CV991">
        <v>0.23</v>
      </c>
      <c r="CW991">
        <v>35</v>
      </c>
      <c r="CX991" t="s">
        <v>792</v>
      </c>
    </row>
    <row r="992" spans="1:102" x14ac:dyDescent="0.3">
      <c r="A992" t="str">
        <f>HYPERLINK("https://webapp.icbf.com/v2/app/bull-search/view/448283242","NTZ")</f>
        <v>NTZ</v>
      </c>
      <c r="B992" t="s">
        <v>1282</v>
      </c>
      <c r="C992" t="s">
        <v>333</v>
      </c>
      <c r="D992" s="1">
        <v>36738</v>
      </c>
      <c r="E992" t="s">
        <v>108</v>
      </c>
      <c r="F992">
        <v>13</v>
      </c>
      <c r="G992" t="s">
        <v>93</v>
      </c>
      <c r="H992">
        <v>143.25</v>
      </c>
      <c r="I992">
        <v>94</v>
      </c>
      <c r="J992">
        <v>81.569999999999993</v>
      </c>
      <c r="K992">
        <v>98</v>
      </c>
      <c r="L992">
        <v>3.65</v>
      </c>
      <c r="M992">
        <v>93</v>
      </c>
      <c r="N992">
        <v>42.98</v>
      </c>
      <c r="O992">
        <v>92</v>
      </c>
      <c r="P992">
        <v>-42.5</v>
      </c>
      <c r="Q992">
        <v>93</v>
      </c>
      <c r="R992">
        <v>-0.87</v>
      </c>
      <c r="S992">
        <v>89</v>
      </c>
      <c r="T992">
        <v>52.08</v>
      </c>
      <c r="U992">
        <v>94</v>
      </c>
      <c r="V992">
        <v>6.34</v>
      </c>
      <c r="W992">
        <v>89</v>
      </c>
      <c r="X992" t="s">
        <v>302</v>
      </c>
      <c r="Y992" t="s">
        <v>1208</v>
      </c>
      <c r="Z992" t="s">
        <v>330</v>
      </c>
      <c r="AA992" t="s">
        <v>792</v>
      </c>
      <c r="AB992" t="s">
        <v>144</v>
      </c>
      <c r="AC992">
        <v>98</v>
      </c>
      <c r="AD992">
        <v>46</v>
      </c>
      <c r="AE992">
        <v>98</v>
      </c>
      <c r="AF992">
        <v>-116.23</v>
      </c>
      <c r="AG992">
        <v>13.92</v>
      </c>
      <c r="AH992">
        <v>7.17</v>
      </c>
      <c r="AI992">
        <v>0.33</v>
      </c>
      <c r="AJ992">
        <v>0.2</v>
      </c>
      <c r="AK992">
        <v>93</v>
      </c>
      <c r="AL992">
        <v>94</v>
      </c>
      <c r="AM992">
        <v>32</v>
      </c>
      <c r="AN992">
        <v>-1.08</v>
      </c>
      <c r="AO992">
        <v>-0.8</v>
      </c>
      <c r="AP992">
        <v>148</v>
      </c>
      <c r="AQ992">
        <v>2</v>
      </c>
      <c r="AR992">
        <v>3.26</v>
      </c>
      <c r="AS992">
        <v>89</v>
      </c>
      <c r="AT992">
        <v>1.52</v>
      </c>
      <c r="AU992">
        <v>94</v>
      </c>
      <c r="AV992">
        <v>-3.76</v>
      </c>
      <c r="AW992">
        <v>96</v>
      </c>
      <c r="AX992">
        <v>-0.7</v>
      </c>
      <c r="AY992">
        <v>89</v>
      </c>
      <c r="AZ992">
        <v>8.85</v>
      </c>
      <c r="BA992">
        <v>82</v>
      </c>
      <c r="BB992">
        <v>5.88</v>
      </c>
      <c r="BC992">
        <v>82</v>
      </c>
      <c r="BD992">
        <v>0</v>
      </c>
      <c r="BE992">
        <v>0</v>
      </c>
      <c r="BF992">
        <v>0.02</v>
      </c>
      <c r="BG992">
        <v>93</v>
      </c>
      <c r="BH992">
        <v>0.02</v>
      </c>
      <c r="BI992">
        <v>-18.13</v>
      </c>
      <c r="BJ992">
        <v>2</v>
      </c>
      <c r="BK992">
        <v>1</v>
      </c>
      <c r="BL992">
        <v>-3.53</v>
      </c>
      <c r="BM992">
        <v>-0.55000000000000004</v>
      </c>
      <c r="BN992">
        <v>-1.49</v>
      </c>
      <c r="BO992">
        <v>-0.56000000000000005</v>
      </c>
      <c r="BP992">
        <v>-0.68</v>
      </c>
      <c r="BQ992">
        <v>-4.3</v>
      </c>
      <c r="BR992">
        <v>2.31</v>
      </c>
      <c r="BS992">
        <v>2.2200000000000002</v>
      </c>
      <c r="BT992">
        <v>-1.38</v>
      </c>
      <c r="BU992">
        <v>-1.23</v>
      </c>
      <c r="BV992">
        <v>-0.68</v>
      </c>
      <c r="BW992">
        <v>-1.43</v>
      </c>
      <c r="BX992">
        <v>-3.32</v>
      </c>
      <c r="BY992">
        <v>-2.1</v>
      </c>
      <c r="BZ992">
        <v>-0.66</v>
      </c>
      <c r="CA992">
        <v>-0.57999999999999996</v>
      </c>
      <c r="CB992">
        <v>-1.04</v>
      </c>
      <c r="CC992">
        <v>1.36</v>
      </c>
      <c r="CD992">
        <v>-0.75</v>
      </c>
      <c r="CE992">
        <v>-0.26</v>
      </c>
      <c r="CF992">
        <v>-3.48</v>
      </c>
      <c r="CG992">
        <v>0</v>
      </c>
      <c r="CH992">
        <v>-0.49</v>
      </c>
      <c r="CI992">
        <v>0</v>
      </c>
      <c r="CJ992">
        <v>-24.2</v>
      </c>
      <c r="CK992">
        <v>94</v>
      </c>
      <c r="CL992">
        <v>-0.59</v>
      </c>
      <c r="CM992">
        <v>93</v>
      </c>
      <c r="CN992">
        <v>-0.21</v>
      </c>
      <c r="CO992">
        <v>92</v>
      </c>
      <c r="CP992">
        <v>-36.5</v>
      </c>
      <c r="CQ992">
        <v>93</v>
      </c>
      <c r="CR992">
        <v>0</v>
      </c>
      <c r="CS992">
        <v>0</v>
      </c>
      <c r="CT992">
        <v>-56.6</v>
      </c>
      <c r="CU992">
        <v>94</v>
      </c>
      <c r="CV992">
        <v>-0.15</v>
      </c>
      <c r="CW992">
        <v>47</v>
      </c>
      <c r="CX992" t="s">
        <v>514</v>
      </c>
    </row>
    <row r="993" spans="1:102" x14ac:dyDescent="0.3">
      <c r="A993" t="str">
        <f>HYPERLINK("https://webapp.icbf.com/v2/app/bull-search/view/1041680538","OGM")</f>
        <v>OGM</v>
      </c>
      <c r="B993" t="s">
        <v>2109</v>
      </c>
      <c r="C993" t="s">
        <v>2110</v>
      </c>
      <c r="D993" s="1">
        <v>41315</v>
      </c>
      <c r="E993" t="s">
        <v>227</v>
      </c>
      <c r="F993">
        <v>25</v>
      </c>
      <c r="G993" t="s">
        <v>93</v>
      </c>
      <c r="H993">
        <v>143.21</v>
      </c>
      <c r="I993">
        <v>89</v>
      </c>
      <c r="J993">
        <v>59.14</v>
      </c>
      <c r="K993">
        <v>98</v>
      </c>
      <c r="L993">
        <v>50.3</v>
      </c>
      <c r="M993">
        <v>81</v>
      </c>
      <c r="N993">
        <v>30.05</v>
      </c>
      <c r="O993">
        <v>91</v>
      </c>
      <c r="P993">
        <v>-36.29</v>
      </c>
      <c r="Q993">
        <v>95</v>
      </c>
      <c r="R993">
        <v>4.6399999999999997</v>
      </c>
      <c r="S993">
        <v>81</v>
      </c>
      <c r="T993">
        <v>32.25</v>
      </c>
      <c r="U993">
        <v>86</v>
      </c>
      <c r="V993">
        <v>3.12</v>
      </c>
      <c r="W993">
        <v>78</v>
      </c>
      <c r="X993" t="s">
        <v>94</v>
      </c>
      <c r="Y993" t="s">
        <v>389</v>
      </c>
      <c r="Z993">
        <v>0</v>
      </c>
      <c r="AA993" t="s">
        <v>2111</v>
      </c>
      <c r="AB993" t="s">
        <v>144</v>
      </c>
      <c r="AC993">
        <v>359</v>
      </c>
      <c r="AD993">
        <v>95</v>
      </c>
      <c r="AE993">
        <v>98</v>
      </c>
      <c r="AF993">
        <v>101.41</v>
      </c>
      <c r="AG993">
        <v>9.98</v>
      </c>
      <c r="AH993">
        <v>8.08</v>
      </c>
      <c r="AI993">
        <v>0.1</v>
      </c>
      <c r="AJ993">
        <v>0.08</v>
      </c>
      <c r="AK993">
        <v>81</v>
      </c>
      <c r="AL993">
        <v>245</v>
      </c>
      <c r="AM993">
        <v>100</v>
      </c>
      <c r="AN993">
        <v>-2.04</v>
      </c>
      <c r="AO993">
        <v>1.98</v>
      </c>
      <c r="AP993">
        <v>1146</v>
      </c>
      <c r="AQ993">
        <v>5</v>
      </c>
      <c r="AR993">
        <v>4.7699999999999996</v>
      </c>
      <c r="AS993">
        <v>95</v>
      </c>
      <c r="AT993">
        <v>2.29</v>
      </c>
      <c r="AU993">
        <v>95</v>
      </c>
      <c r="AV993">
        <v>-1.53</v>
      </c>
      <c r="AW993">
        <v>99</v>
      </c>
      <c r="AX993">
        <v>-0.53</v>
      </c>
      <c r="AY993">
        <v>94</v>
      </c>
      <c r="AZ993">
        <v>5.87</v>
      </c>
      <c r="BA993">
        <v>82</v>
      </c>
      <c r="BB993">
        <v>4.42</v>
      </c>
      <c r="BC993">
        <v>59</v>
      </c>
      <c r="BD993">
        <v>-0.04</v>
      </c>
      <c r="BE993">
        <v>0</v>
      </c>
      <c r="BF993">
        <v>-0.04</v>
      </c>
      <c r="BG993">
        <v>93</v>
      </c>
      <c r="BH993">
        <v>-0.06</v>
      </c>
      <c r="BI993">
        <v>-17.02</v>
      </c>
      <c r="BJ993">
        <v>0</v>
      </c>
      <c r="BK993">
        <v>0</v>
      </c>
      <c r="BL993">
        <v>-2.12</v>
      </c>
      <c r="BM993">
        <v>0.44</v>
      </c>
      <c r="BN993">
        <v>-0.18</v>
      </c>
      <c r="BO993">
        <v>-0.11</v>
      </c>
      <c r="BP993">
        <v>-7.0000000000000007E-2</v>
      </c>
      <c r="BQ993">
        <v>-2.2400000000000002</v>
      </c>
      <c r="BR993">
        <v>1.24</v>
      </c>
      <c r="BS993">
        <v>4.2</v>
      </c>
      <c r="BT993">
        <v>-1.1299999999999999</v>
      </c>
      <c r="BU993">
        <v>-1.22</v>
      </c>
      <c r="BV993">
        <v>-0.71</v>
      </c>
      <c r="BW993">
        <v>-2.46</v>
      </c>
      <c r="BX993">
        <v>-3.45</v>
      </c>
      <c r="BY993">
        <v>-0.99</v>
      </c>
      <c r="BZ993">
        <v>1.78</v>
      </c>
      <c r="CA993">
        <v>0.09</v>
      </c>
      <c r="CB993">
        <v>-1.2</v>
      </c>
      <c r="CC993">
        <v>2.78</v>
      </c>
      <c r="CD993">
        <v>0.08</v>
      </c>
      <c r="CE993">
        <v>0.19</v>
      </c>
      <c r="CF993">
        <v>-1.57</v>
      </c>
      <c r="CG993">
        <v>0</v>
      </c>
      <c r="CH993">
        <v>-1.99</v>
      </c>
      <c r="CI993">
        <v>0</v>
      </c>
      <c r="CJ993">
        <v>-17.2</v>
      </c>
      <c r="CK993">
        <v>97</v>
      </c>
      <c r="CL993">
        <v>-0.82</v>
      </c>
      <c r="CM993">
        <v>96</v>
      </c>
      <c r="CN993">
        <v>0.05</v>
      </c>
      <c r="CO993">
        <v>95</v>
      </c>
      <c r="CP993">
        <v>-23.4</v>
      </c>
      <c r="CQ993">
        <v>81</v>
      </c>
      <c r="CR993">
        <v>0</v>
      </c>
      <c r="CS993">
        <v>0</v>
      </c>
      <c r="CT993">
        <v>-29.8</v>
      </c>
      <c r="CU993">
        <v>86</v>
      </c>
      <c r="CV993">
        <v>0.01</v>
      </c>
      <c r="CW993">
        <v>47</v>
      </c>
      <c r="CX993" t="s">
        <v>1229</v>
      </c>
    </row>
    <row r="994" spans="1:102" x14ac:dyDescent="0.3">
      <c r="A994" t="str">
        <f>HYPERLINK("https://webapp.icbf.com/v2/app/bull-search/view/1475742300","FR4479")</f>
        <v>FR4479</v>
      </c>
      <c r="B994" t="s">
        <v>13925</v>
      </c>
      <c r="C994" t="s">
        <v>13926</v>
      </c>
      <c r="D994" s="1">
        <v>42766</v>
      </c>
      <c r="E994" t="s">
        <v>92</v>
      </c>
      <c r="F994">
        <v>78</v>
      </c>
      <c r="G994" t="s">
        <v>435</v>
      </c>
      <c r="H994">
        <v>143.12</v>
      </c>
      <c r="I994">
        <v>69</v>
      </c>
      <c r="J994">
        <v>45.56</v>
      </c>
      <c r="K994">
        <v>88</v>
      </c>
      <c r="L994">
        <v>67.39</v>
      </c>
      <c r="M994">
        <v>60</v>
      </c>
      <c r="N994">
        <v>46.59</v>
      </c>
      <c r="O994">
        <v>81</v>
      </c>
      <c r="P994">
        <v>-10.99</v>
      </c>
      <c r="Q994">
        <v>50</v>
      </c>
      <c r="R994">
        <v>-7.9</v>
      </c>
      <c r="S994">
        <v>60</v>
      </c>
      <c r="T994">
        <v>2.21</v>
      </c>
      <c r="U994">
        <v>45</v>
      </c>
      <c r="V994">
        <v>0.26</v>
      </c>
      <c r="W994">
        <v>54</v>
      </c>
      <c r="X994" t="s">
        <v>94</v>
      </c>
      <c r="Y994" t="s">
        <v>2384</v>
      </c>
      <c r="Z994" t="s">
        <v>96</v>
      </c>
      <c r="AA994" t="s">
        <v>2710</v>
      </c>
      <c r="AB994" t="s">
        <v>13927</v>
      </c>
      <c r="AC994">
        <v>0</v>
      </c>
      <c r="AD994">
        <v>0</v>
      </c>
      <c r="AE994">
        <v>88</v>
      </c>
      <c r="AF994">
        <v>125.49</v>
      </c>
      <c r="AG994">
        <v>4.72</v>
      </c>
      <c r="AH994">
        <v>8</v>
      </c>
      <c r="AI994">
        <v>-0.01</v>
      </c>
      <c r="AJ994">
        <v>7.0000000000000007E-2</v>
      </c>
      <c r="AK994">
        <v>60</v>
      </c>
      <c r="AL994">
        <v>0</v>
      </c>
      <c r="AM994">
        <v>0</v>
      </c>
      <c r="AN994">
        <v>-3.22</v>
      </c>
      <c r="AO994">
        <v>2.16</v>
      </c>
      <c r="AP994">
        <v>308</v>
      </c>
      <c r="AQ994">
        <v>0</v>
      </c>
      <c r="AR994">
        <v>5.76</v>
      </c>
      <c r="AS994">
        <v>62</v>
      </c>
      <c r="AT994">
        <v>2.31</v>
      </c>
      <c r="AU994">
        <v>89</v>
      </c>
      <c r="AV994">
        <v>-4.1399999999999997</v>
      </c>
      <c r="AW994">
        <v>97</v>
      </c>
      <c r="AX994">
        <v>-0.78</v>
      </c>
      <c r="AY994">
        <v>82</v>
      </c>
      <c r="AZ994">
        <v>6.08</v>
      </c>
      <c r="BA994">
        <v>40</v>
      </c>
      <c r="BB994">
        <v>4.93</v>
      </c>
      <c r="BC994">
        <v>35</v>
      </c>
      <c r="BD994">
        <v>0.01</v>
      </c>
      <c r="BE994">
        <v>0.05</v>
      </c>
      <c r="BF994">
        <v>7.0000000000000007E-2</v>
      </c>
      <c r="BG994">
        <v>71</v>
      </c>
      <c r="BH994">
        <v>-0.09</v>
      </c>
      <c r="BI994">
        <v>-11.24</v>
      </c>
      <c r="BJ994">
        <v>0</v>
      </c>
      <c r="BK994">
        <v>0</v>
      </c>
      <c r="BL994">
        <v>-0.52</v>
      </c>
      <c r="BM994">
        <v>0.09</v>
      </c>
      <c r="BN994">
        <v>0.23</v>
      </c>
      <c r="BO994">
        <v>0.38</v>
      </c>
      <c r="BP994">
        <v>2.39</v>
      </c>
      <c r="BQ994">
        <v>0.59</v>
      </c>
      <c r="BR994">
        <v>0.74</v>
      </c>
      <c r="BS994">
        <v>0.99</v>
      </c>
      <c r="BT994">
        <v>-0.56000000000000005</v>
      </c>
      <c r="BU994">
        <v>0.77</v>
      </c>
      <c r="BV994">
        <v>0.26</v>
      </c>
      <c r="BW994">
        <v>-0.85</v>
      </c>
      <c r="BX994">
        <v>-0.42</v>
      </c>
      <c r="BY994">
        <v>-2.25</v>
      </c>
      <c r="BZ994">
        <v>-0.1</v>
      </c>
      <c r="CA994">
        <v>0.13</v>
      </c>
      <c r="CB994">
        <v>0.04</v>
      </c>
      <c r="CC994">
        <v>0.25</v>
      </c>
      <c r="CD994">
        <v>0.1</v>
      </c>
      <c r="CE994">
        <v>-0.1</v>
      </c>
      <c r="CF994">
        <v>-0.12</v>
      </c>
      <c r="CG994">
        <v>0</v>
      </c>
      <c r="CH994">
        <v>-1.06</v>
      </c>
      <c r="CI994">
        <v>0</v>
      </c>
      <c r="CJ994">
        <v>-3.8</v>
      </c>
      <c r="CK994">
        <v>53</v>
      </c>
      <c r="CL994">
        <v>-0.8</v>
      </c>
      <c r="CM994">
        <v>47</v>
      </c>
      <c r="CN994">
        <v>-0.2</v>
      </c>
      <c r="CO994">
        <v>45</v>
      </c>
      <c r="CP994">
        <v>1.1000000000000001</v>
      </c>
      <c r="CQ994">
        <v>46</v>
      </c>
      <c r="CR994">
        <v>0</v>
      </c>
      <c r="CS994">
        <v>0</v>
      </c>
      <c r="CT994">
        <v>10.8</v>
      </c>
      <c r="CU994">
        <v>45</v>
      </c>
      <c r="CV994">
        <v>0.18</v>
      </c>
      <c r="CW994">
        <v>35</v>
      </c>
      <c r="CX994" t="s">
        <v>6156</v>
      </c>
    </row>
    <row r="995" spans="1:102" x14ac:dyDescent="0.3">
      <c r="A995" t="str">
        <f>HYPERLINK("https://webapp.icbf.com/v2/app/bull-search/view/550980437","GHK")</f>
        <v>GHK</v>
      </c>
      <c r="B995" t="s">
        <v>7792</v>
      </c>
      <c r="C995" t="s">
        <v>7793</v>
      </c>
      <c r="D995" s="1">
        <v>38575</v>
      </c>
      <c r="E995" t="s">
        <v>227</v>
      </c>
      <c r="F995">
        <v>0</v>
      </c>
      <c r="G995" t="s">
        <v>93</v>
      </c>
      <c r="H995">
        <v>143.08000000000001</v>
      </c>
      <c r="I995">
        <v>94</v>
      </c>
      <c r="J995">
        <v>63.35</v>
      </c>
      <c r="K995">
        <v>98</v>
      </c>
      <c r="L995">
        <v>32.49</v>
      </c>
      <c r="M995">
        <v>89</v>
      </c>
      <c r="N995">
        <v>28.88</v>
      </c>
      <c r="O995">
        <v>93</v>
      </c>
      <c r="P995">
        <v>-61.24</v>
      </c>
      <c r="Q995">
        <v>94</v>
      </c>
      <c r="R995">
        <v>7.06</v>
      </c>
      <c r="S995">
        <v>92</v>
      </c>
      <c r="T995">
        <v>64.44</v>
      </c>
      <c r="U995">
        <v>96</v>
      </c>
      <c r="V995">
        <v>8.1</v>
      </c>
      <c r="W995">
        <v>94</v>
      </c>
      <c r="X995" t="s">
        <v>276</v>
      </c>
      <c r="Y995" t="s">
        <v>1524</v>
      </c>
      <c r="Z995">
        <v>0</v>
      </c>
      <c r="AA995" t="s">
        <v>1525</v>
      </c>
      <c r="AB995" t="s">
        <v>7794</v>
      </c>
      <c r="AC995">
        <v>246</v>
      </c>
      <c r="AD995">
        <v>97</v>
      </c>
      <c r="AE995">
        <v>98</v>
      </c>
      <c r="AF995">
        <v>-278.60000000000002</v>
      </c>
      <c r="AG995">
        <v>13.85</v>
      </c>
      <c r="AH995">
        <v>1.61</v>
      </c>
      <c r="AI995">
        <v>0.45</v>
      </c>
      <c r="AJ995">
        <v>0.2</v>
      </c>
      <c r="AK995">
        <v>89</v>
      </c>
      <c r="AL995">
        <v>244</v>
      </c>
      <c r="AM995">
        <v>81</v>
      </c>
      <c r="AN995">
        <v>-1.83</v>
      </c>
      <c r="AO995">
        <v>0.76</v>
      </c>
      <c r="AP995">
        <v>429</v>
      </c>
      <c r="AQ995">
        <v>3</v>
      </c>
      <c r="AR995">
        <v>3.54</v>
      </c>
      <c r="AS995">
        <v>91</v>
      </c>
      <c r="AT995">
        <v>1.48</v>
      </c>
      <c r="AU995">
        <v>93</v>
      </c>
      <c r="AV995">
        <v>-1.59</v>
      </c>
      <c r="AW995">
        <v>98</v>
      </c>
      <c r="AX995">
        <v>0.55000000000000004</v>
      </c>
      <c r="AY995">
        <v>91</v>
      </c>
      <c r="AZ995">
        <v>7.08</v>
      </c>
      <c r="BA995">
        <v>84</v>
      </c>
      <c r="BB995">
        <v>5.23</v>
      </c>
      <c r="BC995">
        <v>85</v>
      </c>
      <c r="BD995">
        <v>-0.05</v>
      </c>
      <c r="BE995">
        <v>-0.01</v>
      </c>
      <c r="BF995">
        <v>-0.06</v>
      </c>
      <c r="BG995">
        <v>96</v>
      </c>
      <c r="BH995">
        <v>0.17</v>
      </c>
      <c r="BI995">
        <v>-6.46</v>
      </c>
      <c r="BJ995">
        <v>53</v>
      </c>
      <c r="BK995">
        <v>19</v>
      </c>
      <c r="BL995">
        <v>-3.13</v>
      </c>
      <c r="BM995">
        <v>-1.52</v>
      </c>
      <c r="BN995">
        <v>-1.1599999999999999</v>
      </c>
      <c r="BO995">
        <v>0.79</v>
      </c>
      <c r="BP995">
        <v>0.94</v>
      </c>
      <c r="BQ995">
        <v>-6.53</v>
      </c>
      <c r="BR995">
        <v>3.5</v>
      </c>
      <c r="BS995">
        <v>5.36</v>
      </c>
      <c r="BT995">
        <v>-2.64</v>
      </c>
      <c r="BU995">
        <v>-0.92</v>
      </c>
      <c r="BV995">
        <v>-0.78</v>
      </c>
      <c r="BW995">
        <v>-1.88</v>
      </c>
      <c r="BX995">
        <v>-4.2</v>
      </c>
      <c r="BY995">
        <v>0.33</v>
      </c>
      <c r="BZ995">
        <v>-0.3</v>
      </c>
      <c r="CA995">
        <v>0.94</v>
      </c>
      <c r="CB995">
        <v>-0.33</v>
      </c>
      <c r="CC995">
        <v>3.16</v>
      </c>
      <c r="CD995">
        <v>-2.13</v>
      </c>
      <c r="CE995">
        <v>1.05</v>
      </c>
      <c r="CF995">
        <v>-3.25</v>
      </c>
      <c r="CG995">
        <v>0</v>
      </c>
      <c r="CH995">
        <v>-1.59</v>
      </c>
      <c r="CI995">
        <v>0</v>
      </c>
      <c r="CJ995">
        <v>-32.6</v>
      </c>
      <c r="CK995">
        <v>95</v>
      </c>
      <c r="CL995">
        <v>-1.08</v>
      </c>
      <c r="CM995">
        <v>94</v>
      </c>
      <c r="CN995">
        <v>-0.23</v>
      </c>
      <c r="CO995">
        <v>93</v>
      </c>
      <c r="CP995">
        <v>-52</v>
      </c>
      <c r="CQ995">
        <v>94</v>
      </c>
      <c r="CR995">
        <v>0</v>
      </c>
      <c r="CS995">
        <v>0</v>
      </c>
      <c r="CT995">
        <v>-73.3</v>
      </c>
      <c r="CU995">
        <v>96</v>
      </c>
      <c r="CV995">
        <v>-0.33</v>
      </c>
      <c r="CW995">
        <v>45</v>
      </c>
      <c r="CX995" t="s">
        <v>4190</v>
      </c>
    </row>
    <row r="996" spans="1:102" x14ac:dyDescent="0.3">
      <c r="A996" t="str">
        <f>HYPERLINK("https://webapp.icbf.com/v2/app/bull-search/view/152153876","S308")</f>
        <v>S308</v>
      </c>
      <c r="B996" t="s">
        <v>7224</v>
      </c>
      <c r="C996" t="s">
        <v>7225</v>
      </c>
      <c r="D996" s="1">
        <v>35315</v>
      </c>
      <c r="E996" t="s">
        <v>395</v>
      </c>
      <c r="F996">
        <v>0</v>
      </c>
      <c r="G996" t="s">
        <v>93</v>
      </c>
      <c r="H996">
        <v>143.06</v>
      </c>
      <c r="I996">
        <v>88</v>
      </c>
      <c r="J996">
        <v>14.71</v>
      </c>
      <c r="K996">
        <v>96</v>
      </c>
      <c r="L996">
        <v>75.39</v>
      </c>
      <c r="M996">
        <v>81</v>
      </c>
      <c r="N996">
        <v>20.68</v>
      </c>
      <c r="O996">
        <v>83</v>
      </c>
      <c r="P996">
        <v>-11.01</v>
      </c>
      <c r="Q996">
        <v>92</v>
      </c>
      <c r="R996">
        <v>12.5</v>
      </c>
      <c r="S996">
        <v>74</v>
      </c>
      <c r="T996">
        <v>37.06</v>
      </c>
      <c r="U996">
        <v>96</v>
      </c>
      <c r="V996">
        <v>-6.27</v>
      </c>
      <c r="W996">
        <v>70</v>
      </c>
      <c r="X996" t="s">
        <v>110</v>
      </c>
      <c r="Y996" t="s">
        <v>95</v>
      </c>
      <c r="Z996">
        <v>0</v>
      </c>
      <c r="AA996" t="s">
        <v>7226</v>
      </c>
      <c r="AB996" t="s">
        <v>7227</v>
      </c>
      <c r="AC996">
        <v>112</v>
      </c>
      <c r="AD996">
        <v>68</v>
      </c>
      <c r="AE996">
        <v>96</v>
      </c>
      <c r="AF996">
        <v>-34.76</v>
      </c>
      <c r="AG996">
        <v>6.36</v>
      </c>
      <c r="AH996">
        <v>-0.28000000000000003</v>
      </c>
      <c r="AI996">
        <v>0.13</v>
      </c>
      <c r="AJ996">
        <v>0.02</v>
      </c>
      <c r="AK996">
        <v>81</v>
      </c>
      <c r="AL996">
        <v>109</v>
      </c>
      <c r="AM996">
        <v>74</v>
      </c>
      <c r="AN996">
        <v>-5.05</v>
      </c>
      <c r="AO996">
        <v>0.95</v>
      </c>
      <c r="AP996">
        <v>151</v>
      </c>
      <c r="AQ996">
        <v>2</v>
      </c>
      <c r="AR996">
        <v>5.54</v>
      </c>
      <c r="AS996">
        <v>67</v>
      </c>
      <c r="AT996">
        <v>2.2999999999999998</v>
      </c>
      <c r="AU996">
        <v>83</v>
      </c>
      <c r="AV996">
        <v>-2.21</v>
      </c>
      <c r="AW996">
        <v>95</v>
      </c>
      <c r="AX996">
        <v>0.52</v>
      </c>
      <c r="AY996">
        <v>81</v>
      </c>
      <c r="AZ996">
        <v>8.1999999999999993</v>
      </c>
      <c r="BA996">
        <v>60</v>
      </c>
      <c r="BB996">
        <v>5.75</v>
      </c>
      <c r="BC996">
        <v>67</v>
      </c>
      <c r="BD996">
        <v>-0.05</v>
      </c>
      <c r="BE996">
        <v>-0.06</v>
      </c>
      <c r="BF996">
        <v>-0.09</v>
      </c>
      <c r="BG996">
        <v>86</v>
      </c>
      <c r="BH996">
        <v>0.02</v>
      </c>
      <c r="BI996">
        <v>22.53</v>
      </c>
      <c r="BJ996">
        <v>31</v>
      </c>
      <c r="BK996">
        <v>24</v>
      </c>
      <c r="BL996">
        <v>-2.66</v>
      </c>
      <c r="BM996">
        <v>0.9</v>
      </c>
      <c r="BN996">
        <v>-2.29</v>
      </c>
      <c r="BO996">
        <v>-2.59</v>
      </c>
      <c r="BP996">
        <v>-1.49</v>
      </c>
      <c r="BQ996">
        <v>-2.1800000000000002</v>
      </c>
      <c r="BR996">
        <v>1.36</v>
      </c>
      <c r="BS996">
        <v>-0.82</v>
      </c>
      <c r="BT996">
        <v>-2.0699999999999998</v>
      </c>
      <c r="BU996">
        <v>-2.2400000000000002</v>
      </c>
      <c r="BV996">
        <v>-3.26</v>
      </c>
      <c r="BW996">
        <v>-2.98</v>
      </c>
      <c r="BX996">
        <v>-3.35</v>
      </c>
      <c r="BY996">
        <v>0.02</v>
      </c>
      <c r="BZ996">
        <v>-1.1499999999999999</v>
      </c>
      <c r="CA996">
        <v>-2.2999999999999998</v>
      </c>
      <c r="CB996">
        <v>-2.5099999999999998</v>
      </c>
      <c r="CC996">
        <v>-1.1399999999999999</v>
      </c>
      <c r="CD996">
        <v>1.8</v>
      </c>
      <c r="CE996">
        <v>-1.91</v>
      </c>
      <c r="CF996">
        <v>-3.27</v>
      </c>
      <c r="CG996">
        <v>0</v>
      </c>
      <c r="CH996">
        <v>-1.1200000000000001</v>
      </c>
      <c r="CI996">
        <v>0</v>
      </c>
      <c r="CJ996">
        <v>-7.2</v>
      </c>
      <c r="CK996">
        <v>93</v>
      </c>
      <c r="CL996">
        <v>0.01</v>
      </c>
      <c r="CM996">
        <v>91</v>
      </c>
      <c r="CN996">
        <v>-0.24</v>
      </c>
      <c r="CO996">
        <v>90</v>
      </c>
      <c r="CP996">
        <v>-26.6</v>
      </c>
      <c r="CQ996">
        <v>91</v>
      </c>
      <c r="CR996">
        <v>0</v>
      </c>
      <c r="CS996">
        <v>0</v>
      </c>
      <c r="CT996">
        <v>-36.299999999999997</v>
      </c>
      <c r="CU996">
        <v>96</v>
      </c>
      <c r="CV996">
        <v>-0.21</v>
      </c>
      <c r="CW996">
        <v>27</v>
      </c>
      <c r="CX996" t="s">
        <v>2612</v>
      </c>
    </row>
    <row r="997" spans="1:102" x14ac:dyDescent="0.3">
      <c r="A997" t="str">
        <f>HYPERLINK("https://webapp.icbf.com/v2/app/bull-search/view/766103185","BKH")</f>
        <v>BKH</v>
      </c>
      <c r="B997" t="s">
        <v>1978</v>
      </c>
      <c r="C997" t="s">
        <v>1979</v>
      </c>
      <c r="D997" s="1">
        <v>38921</v>
      </c>
      <c r="E997" t="s">
        <v>210</v>
      </c>
      <c r="F997">
        <v>0</v>
      </c>
      <c r="G997" t="s">
        <v>109</v>
      </c>
      <c r="H997">
        <v>142.97</v>
      </c>
      <c r="I997">
        <v>70</v>
      </c>
      <c r="J997">
        <v>26.07</v>
      </c>
      <c r="K997">
        <v>80</v>
      </c>
      <c r="L997">
        <v>71.98</v>
      </c>
      <c r="M997">
        <v>76</v>
      </c>
      <c r="N997">
        <v>20.66</v>
      </c>
      <c r="O997">
        <v>63</v>
      </c>
      <c r="P997">
        <v>-6.33</v>
      </c>
      <c r="Q997">
        <v>63</v>
      </c>
      <c r="R997">
        <v>10.84</v>
      </c>
      <c r="S997">
        <v>30</v>
      </c>
      <c r="T997">
        <v>21</v>
      </c>
      <c r="U997">
        <v>59</v>
      </c>
      <c r="V997">
        <v>-1.25</v>
      </c>
      <c r="W997">
        <v>37</v>
      </c>
      <c r="X997" t="s">
        <v>251</v>
      </c>
      <c r="Y997" t="s">
        <v>1980</v>
      </c>
      <c r="Z997">
        <v>0</v>
      </c>
      <c r="AA997" t="s">
        <v>1981</v>
      </c>
      <c r="AB997" t="s">
        <v>1982</v>
      </c>
      <c r="AC997">
        <v>0</v>
      </c>
      <c r="AD997">
        <v>0</v>
      </c>
      <c r="AE997">
        <v>80</v>
      </c>
      <c r="AF997">
        <v>-45.32</v>
      </c>
      <c r="AG997">
        <v>2.77</v>
      </c>
      <c r="AH997">
        <v>2.76</v>
      </c>
      <c r="AI997">
        <v>0.08</v>
      </c>
      <c r="AJ997">
        <v>7.0000000000000007E-2</v>
      </c>
      <c r="AK997">
        <v>76</v>
      </c>
      <c r="AL997">
        <v>0</v>
      </c>
      <c r="AM997">
        <v>0</v>
      </c>
      <c r="AN997">
        <v>-2.4</v>
      </c>
      <c r="AO997">
        <v>3.36</v>
      </c>
      <c r="AP997">
        <v>31</v>
      </c>
      <c r="AQ997">
        <v>1</v>
      </c>
      <c r="AR997">
        <v>6.22</v>
      </c>
      <c r="AS997">
        <v>48</v>
      </c>
      <c r="AT997">
        <v>2.67</v>
      </c>
      <c r="AU997">
        <v>88</v>
      </c>
      <c r="AV997">
        <v>-1.53</v>
      </c>
      <c r="AW997">
        <v>74</v>
      </c>
      <c r="AX997">
        <v>0.1</v>
      </c>
      <c r="AY997">
        <v>38</v>
      </c>
      <c r="AZ997">
        <v>6.48</v>
      </c>
      <c r="BA997">
        <v>22</v>
      </c>
      <c r="BB997">
        <v>4.6500000000000004</v>
      </c>
      <c r="BC997">
        <v>19</v>
      </c>
      <c r="BD997">
        <v>-0.02</v>
      </c>
      <c r="BE997">
        <v>-0.04</v>
      </c>
      <c r="BF997">
        <v>-0.14000000000000001</v>
      </c>
      <c r="BG997">
        <v>38</v>
      </c>
      <c r="BH997">
        <v>-0.15</v>
      </c>
      <c r="BI997">
        <v>-13.33</v>
      </c>
      <c r="BJ997">
        <v>0</v>
      </c>
      <c r="BK997">
        <v>0</v>
      </c>
      <c r="BL997">
        <v>-0.65</v>
      </c>
      <c r="BM997">
        <v>0.59</v>
      </c>
      <c r="BN997">
        <v>-0.61</v>
      </c>
      <c r="BO997">
        <v>-0.82</v>
      </c>
      <c r="BP997">
        <v>0.26</v>
      </c>
      <c r="BQ997">
        <v>-0.28999999999999998</v>
      </c>
      <c r="BR997">
        <v>0.09</v>
      </c>
      <c r="BS997">
        <v>0.14000000000000001</v>
      </c>
      <c r="BT997">
        <v>-0.02</v>
      </c>
      <c r="BU997">
        <v>-0.57999999999999996</v>
      </c>
      <c r="BV997">
        <v>-1.17</v>
      </c>
      <c r="BW997">
        <v>-0.94</v>
      </c>
      <c r="BX997">
        <v>-0.41</v>
      </c>
      <c r="BY997">
        <v>-0.64</v>
      </c>
      <c r="BZ997">
        <v>-0.08</v>
      </c>
      <c r="CA997">
        <v>-0.71</v>
      </c>
      <c r="CB997">
        <v>-0.86</v>
      </c>
      <c r="CC997">
        <v>-0.16</v>
      </c>
      <c r="CD997">
        <v>0.67</v>
      </c>
      <c r="CE997">
        <v>-0.83</v>
      </c>
      <c r="CF997">
        <v>-0.68</v>
      </c>
      <c r="CG997">
        <v>0</v>
      </c>
      <c r="CH997">
        <v>-0.7</v>
      </c>
      <c r="CI997">
        <v>0</v>
      </c>
      <c r="CJ997">
        <v>-2.4</v>
      </c>
      <c r="CK997">
        <v>67</v>
      </c>
      <c r="CL997">
        <v>-0.32</v>
      </c>
      <c r="CM997">
        <v>62</v>
      </c>
      <c r="CN997">
        <v>-0.15</v>
      </c>
      <c r="CO997">
        <v>60</v>
      </c>
      <c r="CP997">
        <v>-9.8000000000000007</v>
      </c>
      <c r="CQ997">
        <v>48</v>
      </c>
      <c r="CR997">
        <v>0</v>
      </c>
      <c r="CS997">
        <v>0</v>
      </c>
      <c r="CT997">
        <v>-14.6</v>
      </c>
      <c r="CU997">
        <v>59</v>
      </c>
      <c r="CV997">
        <v>-0.04</v>
      </c>
      <c r="CW997">
        <v>18</v>
      </c>
      <c r="CX997" t="s">
        <v>1983</v>
      </c>
    </row>
    <row r="998" spans="1:102" x14ac:dyDescent="0.3">
      <c r="A998" t="str">
        <f>HYPERLINK("https://webapp.icbf.com/v2/app/bull-search/view/1139979316","S2068")</f>
        <v>S2068</v>
      </c>
      <c r="B998" t="s">
        <v>5718</v>
      </c>
      <c r="C998" t="s">
        <v>5719</v>
      </c>
      <c r="D998" s="1">
        <v>40976</v>
      </c>
      <c r="E998" t="s">
        <v>92</v>
      </c>
      <c r="F998">
        <v>100</v>
      </c>
      <c r="G998" t="s">
        <v>109</v>
      </c>
      <c r="H998">
        <v>142.9</v>
      </c>
      <c r="I998">
        <v>70</v>
      </c>
      <c r="J998">
        <v>96.99</v>
      </c>
      <c r="K998">
        <v>84</v>
      </c>
      <c r="L998">
        <v>10.71</v>
      </c>
      <c r="M998">
        <v>80</v>
      </c>
      <c r="N998">
        <v>33.409999999999997</v>
      </c>
      <c r="O998">
        <v>71</v>
      </c>
      <c r="P998">
        <v>-2.59</v>
      </c>
      <c r="Q998">
        <v>44</v>
      </c>
      <c r="R998">
        <v>6.25</v>
      </c>
      <c r="S998">
        <v>60</v>
      </c>
      <c r="T998">
        <v>-0.46</v>
      </c>
      <c r="U998">
        <v>29</v>
      </c>
      <c r="V998">
        <v>-1.41</v>
      </c>
      <c r="W998">
        <v>18</v>
      </c>
      <c r="X998" t="s">
        <v>94</v>
      </c>
      <c r="Y998" t="s">
        <v>367</v>
      </c>
      <c r="Z998" t="s">
        <v>96</v>
      </c>
      <c r="AA998" t="s">
        <v>2187</v>
      </c>
      <c r="AB998" t="s">
        <v>5720</v>
      </c>
      <c r="AC998">
        <v>0</v>
      </c>
      <c r="AD998">
        <v>0</v>
      </c>
      <c r="AE998">
        <v>84</v>
      </c>
      <c r="AF998">
        <v>463.85</v>
      </c>
      <c r="AG998">
        <v>15.22</v>
      </c>
      <c r="AH998">
        <v>18.21</v>
      </c>
      <c r="AI998">
        <v>-0.04</v>
      </c>
      <c r="AJ998">
        <v>0.04</v>
      </c>
      <c r="AK998">
        <v>80</v>
      </c>
      <c r="AL998">
        <v>0</v>
      </c>
      <c r="AM998">
        <v>0</v>
      </c>
      <c r="AN998">
        <v>0.62</v>
      </c>
      <c r="AO998">
        <v>1.49</v>
      </c>
      <c r="AP998">
        <v>51</v>
      </c>
      <c r="AQ998">
        <v>1</v>
      </c>
      <c r="AR998">
        <v>5.31</v>
      </c>
      <c r="AS998">
        <v>57</v>
      </c>
      <c r="AT998">
        <v>2.2999999999999998</v>
      </c>
      <c r="AU998">
        <v>92</v>
      </c>
      <c r="AV998">
        <v>-2.2000000000000002</v>
      </c>
      <c r="AW998">
        <v>82</v>
      </c>
      <c r="AX998">
        <v>-0.84</v>
      </c>
      <c r="AY998">
        <v>61</v>
      </c>
      <c r="AZ998">
        <v>5.84</v>
      </c>
      <c r="BA998">
        <v>29</v>
      </c>
      <c r="BB998">
        <v>4.7699999999999996</v>
      </c>
      <c r="BC998">
        <v>22</v>
      </c>
      <c r="BD998">
        <v>-0.01</v>
      </c>
      <c r="BE998">
        <v>-0.03</v>
      </c>
      <c r="BF998">
        <v>-7.0000000000000007E-2</v>
      </c>
      <c r="BG998">
        <v>89</v>
      </c>
      <c r="BH998">
        <v>-0.01</v>
      </c>
      <c r="BI998">
        <v>3.38</v>
      </c>
      <c r="BJ998">
        <v>5</v>
      </c>
      <c r="BK998">
        <v>4</v>
      </c>
      <c r="BL998">
        <v>1.8</v>
      </c>
      <c r="BM998">
        <v>-0.42</v>
      </c>
      <c r="BN998">
        <v>0.11</v>
      </c>
      <c r="BO998">
        <v>1.31</v>
      </c>
      <c r="BP998">
        <v>0.24</v>
      </c>
      <c r="BQ998">
        <v>0.67</v>
      </c>
      <c r="BR998">
        <v>0.6</v>
      </c>
      <c r="BS998">
        <v>2.74</v>
      </c>
      <c r="BT998">
        <v>0.23</v>
      </c>
      <c r="BU998">
        <v>2.16</v>
      </c>
      <c r="BV998">
        <v>2.6</v>
      </c>
      <c r="BW998">
        <v>2.2999999999999998</v>
      </c>
      <c r="BX998">
        <v>1.78</v>
      </c>
      <c r="BY998">
        <v>0.69</v>
      </c>
      <c r="BZ998">
        <v>0.5</v>
      </c>
      <c r="CA998">
        <v>2.52</v>
      </c>
      <c r="CB998">
        <v>2.1</v>
      </c>
      <c r="CC998">
        <v>2.08</v>
      </c>
      <c r="CD998">
        <v>-0.51</v>
      </c>
      <c r="CE998">
        <v>1.17</v>
      </c>
      <c r="CF998">
        <v>1.65</v>
      </c>
      <c r="CG998">
        <v>0</v>
      </c>
      <c r="CH998">
        <v>1.43</v>
      </c>
      <c r="CI998">
        <v>0</v>
      </c>
      <c r="CJ998">
        <v>3.3</v>
      </c>
      <c r="CK998">
        <v>46</v>
      </c>
      <c r="CL998">
        <v>-1.28</v>
      </c>
      <c r="CM998">
        <v>43</v>
      </c>
      <c r="CN998">
        <v>-0.5</v>
      </c>
      <c r="CO998">
        <v>42</v>
      </c>
      <c r="CP998">
        <v>1.4</v>
      </c>
      <c r="CQ998">
        <v>32</v>
      </c>
      <c r="CR998">
        <v>0</v>
      </c>
      <c r="CS998">
        <v>0</v>
      </c>
      <c r="CT998">
        <v>14.4</v>
      </c>
      <c r="CU998">
        <v>29</v>
      </c>
      <c r="CV998">
        <v>0.49</v>
      </c>
      <c r="CW998">
        <v>13</v>
      </c>
      <c r="CX998" t="s">
        <v>1572</v>
      </c>
    </row>
    <row r="999" spans="1:102" x14ac:dyDescent="0.3">
      <c r="A999" t="str">
        <f>HYPERLINK("https://webapp.icbf.com/v2/app/bull-search/view/1488778180","FR4342")</f>
        <v>FR4342</v>
      </c>
      <c r="B999" t="s">
        <v>6243</v>
      </c>
      <c r="C999" t="s">
        <v>6244</v>
      </c>
      <c r="D999" s="1">
        <v>42534</v>
      </c>
      <c r="E999" t="s">
        <v>92</v>
      </c>
      <c r="F999">
        <v>100</v>
      </c>
      <c r="G999" t="s">
        <v>435</v>
      </c>
      <c r="H999">
        <v>142.87</v>
      </c>
      <c r="I999">
        <v>58</v>
      </c>
      <c r="J999">
        <v>91.76</v>
      </c>
      <c r="K999">
        <v>72</v>
      </c>
      <c r="L999">
        <v>4.6399999999999997</v>
      </c>
      <c r="M999">
        <v>54</v>
      </c>
      <c r="N999">
        <v>41.96</v>
      </c>
      <c r="O999">
        <v>68</v>
      </c>
      <c r="P999">
        <v>-4.8099999999999996</v>
      </c>
      <c r="Q999">
        <v>36</v>
      </c>
      <c r="R999">
        <v>17.09</v>
      </c>
      <c r="S999">
        <v>49</v>
      </c>
      <c r="T999">
        <v>-10.82</v>
      </c>
      <c r="U999">
        <v>34</v>
      </c>
      <c r="V999">
        <v>3.05</v>
      </c>
      <c r="W999">
        <v>41</v>
      </c>
      <c r="X999" t="s">
        <v>276</v>
      </c>
      <c r="Y999" t="s">
        <v>2261</v>
      </c>
      <c r="Z999" t="s">
        <v>96</v>
      </c>
      <c r="AA999" t="s">
        <v>6245</v>
      </c>
      <c r="AB999" t="s">
        <v>6246</v>
      </c>
      <c r="AC999">
        <v>0</v>
      </c>
      <c r="AD999">
        <v>0</v>
      </c>
      <c r="AE999">
        <v>72</v>
      </c>
      <c r="AF999">
        <v>167.96</v>
      </c>
      <c r="AG999">
        <v>19.579999999999998</v>
      </c>
      <c r="AH999">
        <v>11.25</v>
      </c>
      <c r="AI999">
        <v>0.21</v>
      </c>
      <c r="AJ999">
        <v>0.1</v>
      </c>
      <c r="AK999">
        <v>54</v>
      </c>
      <c r="AL999">
        <v>0</v>
      </c>
      <c r="AM999">
        <v>0</v>
      </c>
      <c r="AN999">
        <v>1.28</v>
      </c>
      <c r="AO999">
        <v>1.67</v>
      </c>
      <c r="AP999">
        <v>66</v>
      </c>
      <c r="AQ999">
        <v>0</v>
      </c>
      <c r="AR999">
        <v>4.83</v>
      </c>
      <c r="AS999">
        <v>67</v>
      </c>
      <c r="AT999">
        <v>2.13</v>
      </c>
      <c r="AU999">
        <v>67</v>
      </c>
      <c r="AV999">
        <v>-3.96</v>
      </c>
      <c r="AW999">
        <v>87</v>
      </c>
      <c r="AX999">
        <v>0.45</v>
      </c>
      <c r="AY999">
        <v>64</v>
      </c>
      <c r="AZ999">
        <v>6.77</v>
      </c>
      <c r="BA999">
        <v>25</v>
      </c>
      <c r="BB999">
        <v>5.33</v>
      </c>
      <c r="BC999">
        <v>25</v>
      </c>
      <c r="BD999">
        <v>-0.06</v>
      </c>
      <c r="BE999">
        <v>-7.0000000000000007E-2</v>
      </c>
      <c r="BF999">
        <v>-0.16</v>
      </c>
      <c r="BG999">
        <v>60</v>
      </c>
      <c r="BH999">
        <v>-7.0000000000000007E-2</v>
      </c>
      <c r="BI999">
        <v>-17.920000000000002</v>
      </c>
      <c r="BJ999">
        <v>0</v>
      </c>
      <c r="BK999">
        <v>0</v>
      </c>
      <c r="BL999">
        <v>1.29</v>
      </c>
      <c r="BM999">
        <v>-1.47</v>
      </c>
      <c r="BN999">
        <v>-0.2</v>
      </c>
      <c r="BO999">
        <v>0.93</v>
      </c>
      <c r="BP999">
        <v>-0.47</v>
      </c>
      <c r="BQ999">
        <v>-0.01</v>
      </c>
      <c r="BR999">
        <v>-1.78</v>
      </c>
      <c r="BS999">
        <v>1.0900000000000001</v>
      </c>
      <c r="BT999">
        <v>3.07</v>
      </c>
      <c r="BU999">
        <v>2.86</v>
      </c>
      <c r="BV999">
        <v>3.24</v>
      </c>
      <c r="BW999">
        <v>1.53</v>
      </c>
      <c r="BX999">
        <v>2.81</v>
      </c>
      <c r="BY999">
        <v>1.74</v>
      </c>
      <c r="BZ999">
        <v>-0.94</v>
      </c>
      <c r="CA999">
        <v>2.4300000000000002</v>
      </c>
      <c r="CB999">
        <v>2.63</v>
      </c>
      <c r="CC999">
        <v>1.06</v>
      </c>
      <c r="CD999">
        <v>-0.71</v>
      </c>
      <c r="CE999">
        <v>0.92</v>
      </c>
      <c r="CF999">
        <v>1.44</v>
      </c>
      <c r="CG999">
        <v>0</v>
      </c>
      <c r="CH999">
        <v>1.56</v>
      </c>
      <c r="CI999">
        <v>0</v>
      </c>
      <c r="CJ999">
        <v>0.9</v>
      </c>
      <c r="CK999">
        <v>37</v>
      </c>
      <c r="CL999">
        <v>-1.45</v>
      </c>
      <c r="CM999">
        <v>35</v>
      </c>
      <c r="CN999">
        <v>-0.71</v>
      </c>
      <c r="CO999">
        <v>35</v>
      </c>
      <c r="CP999">
        <v>4</v>
      </c>
      <c r="CQ999">
        <v>34</v>
      </c>
      <c r="CR999">
        <v>0</v>
      </c>
      <c r="CS999">
        <v>0</v>
      </c>
      <c r="CT999">
        <v>28.4</v>
      </c>
      <c r="CU999">
        <v>34</v>
      </c>
      <c r="CV999">
        <v>0.26</v>
      </c>
      <c r="CW999">
        <v>32</v>
      </c>
      <c r="CX999" t="s">
        <v>6247</v>
      </c>
    </row>
    <row r="1000" spans="1:102" x14ac:dyDescent="0.3">
      <c r="A1000" t="str">
        <f>HYPERLINK("https://webapp.icbf.com/v2/app/bull-search/view/585210657","GZF")</f>
        <v>GZF</v>
      </c>
      <c r="B1000" t="s">
        <v>1126</v>
      </c>
      <c r="C1000" t="s">
        <v>1127</v>
      </c>
      <c r="D1000" s="1">
        <v>39011</v>
      </c>
      <c r="E1000" t="s">
        <v>108</v>
      </c>
      <c r="F1000">
        <v>0</v>
      </c>
      <c r="G1000" t="s">
        <v>93</v>
      </c>
      <c r="H1000">
        <v>142.86000000000001</v>
      </c>
      <c r="I1000">
        <v>97</v>
      </c>
      <c r="J1000">
        <v>-33</v>
      </c>
      <c r="K1000">
        <v>99</v>
      </c>
      <c r="L1000">
        <v>112.48</v>
      </c>
      <c r="M1000">
        <v>95</v>
      </c>
      <c r="N1000">
        <v>48.46</v>
      </c>
      <c r="O1000">
        <v>98</v>
      </c>
      <c r="P1000">
        <v>-18.649999999999999</v>
      </c>
      <c r="Q1000">
        <v>99</v>
      </c>
      <c r="R1000">
        <v>12.22</v>
      </c>
      <c r="S1000">
        <v>94</v>
      </c>
      <c r="T1000">
        <v>15.75</v>
      </c>
      <c r="U1000">
        <v>98</v>
      </c>
      <c r="V1000">
        <v>5.6</v>
      </c>
      <c r="W1000">
        <v>93</v>
      </c>
      <c r="X1000" t="s">
        <v>234</v>
      </c>
      <c r="Y1000" t="s">
        <v>1128</v>
      </c>
      <c r="Z1000" t="s">
        <v>96</v>
      </c>
      <c r="AA1000" t="s">
        <v>1129</v>
      </c>
      <c r="AB1000" t="s">
        <v>1130</v>
      </c>
      <c r="AC1000">
        <v>1441</v>
      </c>
      <c r="AD1000">
        <v>369</v>
      </c>
      <c r="AE1000">
        <v>99</v>
      </c>
      <c r="AF1000">
        <v>-311.13</v>
      </c>
      <c r="AG1000">
        <v>-2.84</v>
      </c>
      <c r="AH1000">
        <v>-9.3699999999999992</v>
      </c>
      <c r="AI1000">
        <v>0.17</v>
      </c>
      <c r="AJ1000">
        <v>0.02</v>
      </c>
      <c r="AK1000">
        <v>95</v>
      </c>
      <c r="AL1000">
        <v>2029</v>
      </c>
      <c r="AM1000">
        <v>570</v>
      </c>
      <c r="AN1000">
        <v>-6.17</v>
      </c>
      <c r="AO1000">
        <v>2.8</v>
      </c>
      <c r="AP1000">
        <v>3182</v>
      </c>
      <c r="AQ1000">
        <v>31</v>
      </c>
      <c r="AR1000">
        <v>5.58</v>
      </c>
      <c r="AS1000">
        <v>97</v>
      </c>
      <c r="AT1000">
        <v>2.1</v>
      </c>
      <c r="AU1000">
        <v>99</v>
      </c>
      <c r="AV1000">
        <v>-4.57</v>
      </c>
      <c r="AW1000">
        <v>99</v>
      </c>
      <c r="AX1000">
        <v>-0.61</v>
      </c>
      <c r="AY1000">
        <v>99</v>
      </c>
      <c r="AZ1000">
        <v>6.69</v>
      </c>
      <c r="BA1000">
        <v>95</v>
      </c>
      <c r="BB1000">
        <v>5.31</v>
      </c>
      <c r="BC1000">
        <v>96</v>
      </c>
      <c r="BD1000">
        <v>-0.03</v>
      </c>
      <c r="BE1000">
        <v>-0.09</v>
      </c>
      <c r="BF1000">
        <v>-0.06</v>
      </c>
      <c r="BG1000">
        <v>98</v>
      </c>
      <c r="BH1000">
        <v>0.04</v>
      </c>
      <c r="BI1000">
        <v>-13.43</v>
      </c>
      <c r="BJ1000">
        <v>64</v>
      </c>
      <c r="BK1000">
        <v>29</v>
      </c>
      <c r="BL1000">
        <v>-2.29</v>
      </c>
      <c r="BM1000">
        <v>2.4</v>
      </c>
      <c r="BN1000">
        <v>-1.27</v>
      </c>
      <c r="BO1000">
        <v>-2.17</v>
      </c>
      <c r="BP1000">
        <v>1.63</v>
      </c>
      <c r="BQ1000">
        <v>3.5</v>
      </c>
      <c r="BR1000">
        <v>-4.66</v>
      </c>
      <c r="BS1000">
        <v>3.28</v>
      </c>
      <c r="BT1000">
        <v>3.46</v>
      </c>
      <c r="BU1000">
        <v>-0.96</v>
      </c>
      <c r="BV1000">
        <v>-2.46</v>
      </c>
      <c r="BW1000">
        <v>-0.8</v>
      </c>
      <c r="BX1000">
        <v>0.35</v>
      </c>
      <c r="BY1000">
        <v>0.27</v>
      </c>
      <c r="BZ1000">
        <v>-0.87</v>
      </c>
      <c r="CA1000">
        <v>-0.15</v>
      </c>
      <c r="CB1000">
        <v>-1.21</v>
      </c>
      <c r="CC1000">
        <v>1.91</v>
      </c>
      <c r="CD1000">
        <v>2.54</v>
      </c>
      <c r="CE1000">
        <v>-1.78</v>
      </c>
      <c r="CF1000">
        <v>0.35</v>
      </c>
      <c r="CG1000">
        <v>0</v>
      </c>
      <c r="CH1000">
        <v>0.24</v>
      </c>
      <c r="CI1000">
        <v>0</v>
      </c>
      <c r="CJ1000">
        <v>-9.3000000000000007</v>
      </c>
      <c r="CK1000">
        <v>99</v>
      </c>
      <c r="CL1000">
        <v>-0.31</v>
      </c>
      <c r="CM1000">
        <v>99</v>
      </c>
      <c r="CN1000">
        <v>0.14000000000000001</v>
      </c>
      <c r="CO1000">
        <v>99</v>
      </c>
      <c r="CP1000">
        <v>-6.5</v>
      </c>
      <c r="CQ1000">
        <v>99</v>
      </c>
      <c r="CR1000">
        <v>0</v>
      </c>
      <c r="CS1000">
        <v>0</v>
      </c>
      <c r="CT1000">
        <v>-7.5</v>
      </c>
      <c r="CU1000">
        <v>98</v>
      </c>
      <c r="CV1000">
        <v>-0.09</v>
      </c>
      <c r="CW1000">
        <v>48</v>
      </c>
      <c r="CX1000" t="s">
        <v>823</v>
      </c>
    </row>
    <row r="1001" spans="1:102" x14ac:dyDescent="0.3">
      <c r="A1001" t="str">
        <f>HYPERLINK("https://webapp.icbf.com/v2/app/bull-search/view/861657751","JKF")</f>
        <v>JKF</v>
      </c>
      <c r="B1001" t="s">
        <v>7864</v>
      </c>
      <c r="C1001" t="s">
        <v>7865</v>
      </c>
      <c r="D1001" s="1">
        <v>40570</v>
      </c>
      <c r="E1001" t="s">
        <v>92</v>
      </c>
      <c r="F1001">
        <v>81</v>
      </c>
      <c r="G1001" t="s">
        <v>93</v>
      </c>
      <c r="H1001">
        <v>142.86000000000001</v>
      </c>
      <c r="I1001">
        <v>97</v>
      </c>
      <c r="J1001">
        <v>74.08</v>
      </c>
      <c r="K1001">
        <v>99</v>
      </c>
      <c r="L1001">
        <v>35.200000000000003</v>
      </c>
      <c r="M1001">
        <v>96</v>
      </c>
      <c r="N1001">
        <v>41.64</v>
      </c>
      <c r="O1001">
        <v>99</v>
      </c>
      <c r="P1001">
        <v>-3.52</v>
      </c>
      <c r="Q1001">
        <v>99</v>
      </c>
      <c r="R1001">
        <v>-3.44</v>
      </c>
      <c r="S1001">
        <v>97</v>
      </c>
      <c r="T1001">
        <v>0.14000000000000001</v>
      </c>
      <c r="U1001">
        <v>99</v>
      </c>
      <c r="V1001">
        <v>-1.24</v>
      </c>
      <c r="W1001">
        <v>86</v>
      </c>
      <c r="X1001" t="s">
        <v>94</v>
      </c>
      <c r="Y1001" t="s">
        <v>1775</v>
      </c>
      <c r="Z1001" t="s">
        <v>96</v>
      </c>
      <c r="AA1001" t="s">
        <v>5102</v>
      </c>
      <c r="AB1001" t="s">
        <v>7866</v>
      </c>
      <c r="AC1001">
        <v>6016</v>
      </c>
      <c r="AD1001">
        <v>1923</v>
      </c>
      <c r="AE1001">
        <v>99</v>
      </c>
      <c r="AF1001">
        <v>30.97</v>
      </c>
      <c r="AG1001">
        <v>17.79</v>
      </c>
      <c r="AH1001">
        <v>6.78</v>
      </c>
      <c r="AI1001">
        <v>0.28999999999999998</v>
      </c>
      <c r="AJ1001">
        <v>0.1</v>
      </c>
      <c r="AK1001">
        <v>96</v>
      </c>
      <c r="AL1001">
        <v>6583</v>
      </c>
      <c r="AM1001">
        <v>2411</v>
      </c>
      <c r="AN1001">
        <v>-1.72</v>
      </c>
      <c r="AO1001">
        <v>1.0900000000000001</v>
      </c>
      <c r="AP1001">
        <v>12031</v>
      </c>
      <c r="AQ1001">
        <v>101</v>
      </c>
      <c r="AR1001">
        <v>8.14</v>
      </c>
      <c r="AS1001">
        <v>99</v>
      </c>
      <c r="AT1001">
        <v>3.25</v>
      </c>
      <c r="AU1001">
        <v>99</v>
      </c>
      <c r="AV1001">
        <v>-5.38</v>
      </c>
      <c r="AW1001">
        <v>99</v>
      </c>
      <c r="AX1001">
        <v>0.05</v>
      </c>
      <c r="AY1001">
        <v>99</v>
      </c>
      <c r="AZ1001">
        <v>7.07</v>
      </c>
      <c r="BA1001">
        <v>99</v>
      </c>
      <c r="BB1001">
        <v>4.49</v>
      </c>
      <c r="BC1001">
        <v>98</v>
      </c>
      <c r="BD1001">
        <v>-0.03</v>
      </c>
      <c r="BE1001">
        <v>0.01</v>
      </c>
      <c r="BF1001">
        <v>0.11</v>
      </c>
      <c r="BG1001">
        <v>99</v>
      </c>
      <c r="BH1001">
        <v>-0.21</v>
      </c>
      <c r="BI1001">
        <v>-20.28</v>
      </c>
      <c r="BJ1001">
        <v>134</v>
      </c>
      <c r="BK1001">
        <v>70</v>
      </c>
      <c r="BL1001">
        <v>-0.64</v>
      </c>
      <c r="BM1001">
        <v>1</v>
      </c>
      <c r="BN1001">
        <v>-0.11</v>
      </c>
      <c r="BO1001">
        <v>-0.64</v>
      </c>
      <c r="BP1001">
        <v>0.34</v>
      </c>
      <c r="BQ1001">
        <v>-0.77</v>
      </c>
      <c r="BR1001">
        <v>-0.4</v>
      </c>
      <c r="BS1001">
        <v>-0.59</v>
      </c>
      <c r="BT1001">
        <v>-0.43</v>
      </c>
      <c r="BU1001">
        <v>-0.25</v>
      </c>
      <c r="BV1001">
        <v>-0.54</v>
      </c>
      <c r="BW1001">
        <v>-0.63</v>
      </c>
      <c r="BX1001">
        <v>-0.9</v>
      </c>
      <c r="BY1001">
        <v>-0.54</v>
      </c>
      <c r="BZ1001">
        <v>-1.34</v>
      </c>
      <c r="CA1001">
        <v>-0.83</v>
      </c>
      <c r="CB1001">
        <v>-0.49</v>
      </c>
      <c r="CC1001">
        <v>-1.4</v>
      </c>
      <c r="CD1001">
        <v>1.01</v>
      </c>
      <c r="CE1001">
        <v>-0.84</v>
      </c>
      <c r="CF1001">
        <v>-0.42</v>
      </c>
      <c r="CG1001">
        <v>0</v>
      </c>
      <c r="CH1001">
        <v>-0.73</v>
      </c>
      <c r="CI1001">
        <v>0</v>
      </c>
      <c r="CJ1001">
        <v>1</v>
      </c>
      <c r="CK1001">
        <v>99</v>
      </c>
      <c r="CL1001">
        <v>-0.62</v>
      </c>
      <c r="CM1001">
        <v>99</v>
      </c>
      <c r="CN1001">
        <v>-7.0000000000000007E-2</v>
      </c>
      <c r="CO1001">
        <v>99</v>
      </c>
      <c r="CP1001">
        <v>4.5</v>
      </c>
      <c r="CQ1001">
        <v>99</v>
      </c>
      <c r="CR1001">
        <v>0</v>
      </c>
      <c r="CS1001">
        <v>0</v>
      </c>
      <c r="CT1001">
        <v>13.6</v>
      </c>
      <c r="CU1001">
        <v>99</v>
      </c>
      <c r="CV1001">
        <v>0.31</v>
      </c>
      <c r="CW1001">
        <v>48</v>
      </c>
      <c r="CX1001" t="s">
        <v>3087</v>
      </c>
    </row>
    <row r="1002" spans="1:102" x14ac:dyDescent="0.3">
      <c r="A1002" t="str">
        <f>HYPERLINK("https://webapp.icbf.com/v2/app/bull-search/view/1305774721","FR2257")</f>
        <v>FR2257</v>
      </c>
      <c r="B1002" t="s">
        <v>15489</v>
      </c>
      <c r="C1002" t="s">
        <v>15490</v>
      </c>
      <c r="D1002" s="1">
        <v>41766</v>
      </c>
      <c r="E1002" t="s">
        <v>92</v>
      </c>
      <c r="F1002">
        <v>100</v>
      </c>
      <c r="G1002" t="s">
        <v>109</v>
      </c>
      <c r="H1002">
        <v>142.85</v>
      </c>
      <c r="I1002">
        <v>81</v>
      </c>
      <c r="J1002">
        <v>61.48</v>
      </c>
      <c r="K1002">
        <v>94</v>
      </c>
      <c r="L1002">
        <v>53.92</v>
      </c>
      <c r="M1002">
        <v>75</v>
      </c>
      <c r="N1002">
        <v>24.04</v>
      </c>
      <c r="O1002">
        <v>85</v>
      </c>
      <c r="P1002">
        <v>0.36</v>
      </c>
      <c r="Q1002">
        <v>86</v>
      </c>
      <c r="R1002">
        <v>6.54</v>
      </c>
      <c r="S1002">
        <v>72</v>
      </c>
      <c r="T1002">
        <v>-7.19</v>
      </c>
      <c r="U1002">
        <v>56</v>
      </c>
      <c r="V1002">
        <v>3.7</v>
      </c>
      <c r="W1002">
        <v>67</v>
      </c>
      <c r="X1002" t="s">
        <v>94</v>
      </c>
      <c r="Y1002" t="s">
        <v>405</v>
      </c>
      <c r="Z1002" t="s">
        <v>96</v>
      </c>
      <c r="AA1002" t="s">
        <v>6031</v>
      </c>
      <c r="AB1002" t="s">
        <v>15491</v>
      </c>
      <c r="AC1002">
        <v>52</v>
      </c>
      <c r="AD1002">
        <v>25</v>
      </c>
      <c r="AE1002">
        <v>94</v>
      </c>
      <c r="AF1002">
        <v>299.27999999999997</v>
      </c>
      <c r="AG1002">
        <v>11.07</v>
      </c>
      <c r="AH1002">
        <v>11.12</v>
      </c>
      <c r="AI1002">
        <v>-0.01</v>
      </c>
      <c r="AJ1002">
        <v>0.02</v>
      </c>
      <c r="AK1002">
        <v>75</v>
      </c>
      <c r="AL1002">
        <v>0</v>
      </c>
      <c r="AM1002">
        <v>0</v>
      </c>
      <c r="AN1002">
        <v>-2.95</v>
      </c>
      <c r="AO1002">
        <v>1.35</v>
      </c>
      <c r="AP1002">
        <v>289</v>
      </c>
      <c r="AQ1002">
        <v>0</v>
      </c>
      <c r="AR1002">
        <v>7.03</v>
      </c>
      <c r="AS1002">
        <v>86</v>
      </c>
      <c r="AT1002">
        <v>2.4700000000000002</v>
      </c>
      <c r="AU1002">
        <v>87</v>
      </c>
      <c r="AV1002">
        <v>-1.55</v>
      </c>
      <c r="AW1002">
        <v>97</v>
      </c>
      <c r="AX1002">
        <v>-0.84</v>
      </c>
      <c r="AY1002">
        <v>85</v>
      </c>
      <c r="AZ1002">
        <v>5.65</v>
      </c>
      <c r="BA1002">
        <v>63</v>
      </c>
      <c r="BB1002">
        <v>4.66</v>
      </c>
      <c r="BC1002">
        <v>46</v>
      </c>
      <c r="BD1002">
        <v>0.01</v>
      </c>
      <c r="BE1002">
        <v>-0.03</v>
      </c>
      <c r="BF1002">
        <v>-0.11</v>
      </c>
      <c r="BG1002">
        <v>83</v>
      </c>
      <c r="BH1002">
        <v>-0.11</v>
      </c>
      <c r="BI1002">
        <v>-24.67</v>
      </c>
      <c r="BJ1002">
        <v>0</v>
      </c>
      <c r="BK1002">
        <v>0</v>
      </c>
      <c r="BL1002">
        <v>1.47</v>
      </c>
      <c r="BM1002">
        <v>-2.2799999999999998</v>
      </c>
      <c r="BN1002">
        <v>-1.85</v>
      </c>
      <c r="BO1002">
        <v>0.42</v>
      </c>
      <c r="BP1002">
        <v>1.22</v>
      </c>
      <c r="BQ1002">
        <v>-1.03</v>
      </c>
      <c r="BR1002">
        <v>-0.67</v>
      </c>
      <c r="BS1002">
        <v>1.5</v>
      </c>
      <c r="BT1002">
        <v>1.44</v>
      </c>
      <c r="BU1002">
        <v>2.78</v>
      </c>
      <c r="BV1002">
        <v>1.97</v>
      </c>
      <c r="BW1002">
        <v>1.47</v>
      </c>
      <c r="BX1002">
        <v>2.88</v>
      </c>
      <c r="BY1002">
        <v>2.85</v>
      </c>
      <c r="BZ1002">
        <v>-0.49</v>
      </c>
      <c r="CA1002">
        <v>2.86</v>
      </c>
      <c r="CB1002">
        <v>2.29</v>
      </c>
      <c r="CC1002">
        <v>1.17</v>
      </c>
      <c r="CD1002">
        <v>-1.39</v>
      </c>
      <c r="CE1002">
        <v>0.73</v>
      </c>
      <c r="CF1002">
        <v>-0.23</v>
      </c>
      <c r="CG1002">
        <v>0</v>
      </c>
      <c r="CH1002">
        <v>3.06</v>
      </c>
      <c r="CI1002">
        <v>0</v>
      </c>
      <c r="CJ1002">
        <v>4.2</v>
      </c>
      <c r="CK1002">
        <v>90</v>
      </c>
      <c r="CL1002">
        <v>-1.01</v>
      </c>
      <c r="CM1002">
        <v>87</v>
      </c>
      <c r="CN1002">
        <v>-0.34</v>
      </c>
      <c r="CO1002">
        <v>86</v>
      </c>
      <c r="CP1002">
        <v>6.7</v>
      </c>
      <c r="CQ1002">
        <v>59</v>
      </c>
      <c r="CR1002">
        <v>0</v>
      </c>
      <c r="CS1002">
        <v>0</v>
      </c>
      <c r="CT1002">
        <v>23.5</v>
      </c>
      <c r="CU1002">
        <v>56</v>
      </c>
      <c r="CV1002">
        <v>0.32</v>
      </c>
      <c r="CW1002">
        <v>44</v>
      </c>
      <c r="CX1002" t="s">
        <v>5274</v>
      </c>
    </row>
    <row r="1003" spans="1:102" x14ac:dyDescent="0.3">
      <c r="A1003" t="str">
        <f>HYPERLINK("https://webapp.icbf.com/v2/app/bull-search/view/441400153","BHZ")</f>
        <v>BHZ</v>
      </c>
      <c r="B1003" t="s">
        <v>14745</v>
      </c>
      <c r="C1003" t="s">
        <v>5796</v>
      </c>
      <c r="D1003" s="1">
        <v>38744</v>
      </c>
      <c r="E1003" t="s">
        <v>92</v>
      </c>
      <c r="F1003">
        <v>66</v>
      </c>
      <c r="G1003" t="s">
        <v>93</v>
      </c>
      <c r="H1003">
        <v>142.72</v>
      </c>
      <c r="I1003">
        <v>99</v>
      </c>
      <c r="J1003">
        <v>75.260000000000005</v>
      </c>
      <c r="K1003">
        <v>99</v>
      </c>
      <c r="L1003">
        <v>33.42</v>
      </c>
      <c r="M1003">
        <v>98</v>
      </c>
      <c r="N1003">
        <v>37.81</v>
      </c>
      <c r="O1003">
        <v>99</v>
      </c>
      <c r="P1003">
        <v>-10.59</v>
      </c>
      <c r="Q1003">
        <v>99</v>
      </c>
      <c r="R1003">
        <v>-9.5399999999999991</v>
      </c>
      <c r="S1003">
        <v>98</v>
      </c>
      <c r="T1003">
        <v>11.46</v>
      </c>
      <c r="U1003">
        <v>99</v>
      </c>
      <c r="V1003">
        <v>4.9000000000000004</v>
      </c>
      <c r="W1003">
        <v>98</v>
      </c>
      <c r="X1003" t="s">
        <v>94</v>
      </c>
      <c r="Y1003" t="s">
        <v>1251</v>
      </c>
      <c r="Z1003" t="s">
        <v>96</v>
      </c>
      <c r="AA1003" t="s">
        <v>316</v>
      </c>
      <c r="AB1003" t="s">
        <v>14746</v>
      </c>
      <c r="AC1003">
        <v>8041</v>
      </c>
      <c r="AD1003">
        <v>2517</v>
      </c>
      <c r="AE1003">
        <v>99</v>
      </c>
      <c r="AF1003">
        <v>81.3</v>
      </c>
      <c r="AG1003">
        <v>9.34</v>
      </c>
      <c r="AH1003">
        <v>10.74</v>
      </c>
      <c r="AI1003">
        <v>0.11</v>
      </c>
      <c r="AJ1003">
        <v>0.14000000000000001</v>
      </c>
      <c r="AK1003">
        <v>98</v>
      </c>
      <c r="AL1003">
        <v>9624</v>
      </c>
      <c r="AM1003">
        <v>3341</v>
      </c>
      <c r="AN1003">
        <v>-2.2200000000000002</v>
      </c>
      <c r="AO1003">
        <v>0.44</v>
      </c>
      <c r="AP1003">
        <v>15606</v>
      </c>
      <c r="AQ1003">
        <v>123</v>
      </c>
      <c r="AR1003">
        <v>5.03</v>
      </c>
      <c r="AS1003">
        <v>99</v>
      </c>
      <c r="AT1003">
        <v>1.87</v>
      </c>
      <c r="AU1003">
        <v>99</v>
      </c>
      <c r="AV1003">
        <v>-3.73</v>
      </c>
      <c r="AW1003">
        <v>99</v>
      </c>
      <c r="AX1003">
        <v>-0.14000000000000001</v>
      </c>
      <c r="AY1003">
        <v>99</v>
      </c>
      <c r="AZ1003">
        <v>8.31</v>
      </c>
      <c r="BA1003">
        <v>99</v>
      </c>
      <c r="BB1003">
        <v>5.79</v>
      </c>
      <c r="BC1003">
        <v>99</v>
      </c>
      <c r="BD1003">
        <v>-0.04</v>
      </c>
      <c r="BE1003">
        <v>0.04</v>
      </c>
      <c r="BF1003">
        <v>0.21</v>
      </c>
      <c r="BG1003">
        <v>99</v>
      </c>
      <c r="BH1003">
        <v>0.15</v>
      </c>
      <c r="BI1003">
        <v>1.56</v>
      </c>
      <c r="BJ1003">
        <v>242</v>
      </c>
      <c r="BK1003">
        <v>113</v>
      </c>
      <c r="BL1003">
        <v>-0.95</v>
      </c>
      <c r="BM1003">
        <v>-0.56000000000000005</v>
      </c>
      <c r="BN1003">
        <v>-1.35</v>
      </c>
      <c r="BO1003">
        <v>-0.98</v>
      </c>
      <c r="BP1003">
        <v>0</v>
      </c>
      <c r="BQ1003">
        <v>-1.24</v>
      </c>
      <c r="BR1003">
        <v>-1.52</v>
      </c>
      <c r="BS1003">
        <v>-1.1599999999999999</v>
      </c>
      <c r="BT1003">
        <v>0.54</v>
      </c>
      <c r="BU1003">
        <v>-2.23</v>
      </c>
      <c r="BV1003">
        <v>-2.2799999999999998</v>
      </c>
      <c r="BW1003">
        <v>-3.26</v>
      </c>
      <c r="BX1003">
        <v>-1.51</v>
      </c>
      <c r="BY1003">
        <v>-2.2599999999999998</v>
      </c>
      <c r="BZ1003">
        <v>0.57999999999999996</v>
      </c>
      <c r="CA1003">
        <v>-2.0099999999999998</v>
      </c>
      <c r="CB1003">
        <v>-2.25</v>
      </c>
      <c r="CC1003">
        <v>-0.83</v>
      </c>
      <c r="CD1003">
        <v>-0.01</v>
      </c>
      <c r="CE1003">
        <v>-0.65</v>
      </c>
      <c r="CF1003">
        <v>-1.58</v>
      </c>
      <c r="CG1003">
        <v>0</v>
      </c>
      <c r="CH1003">
        <v>-2.33</v>
      </c>
      <c r="CI1003">
        <v>0</v>
      </c>
      <c r="CJ1003">
        <v>-2.2000000000000002</v>
      </c>
      <c r="CK1003">
        <v>99</v>
      </c>
      <c r="CL1003">
        <v>-0.68</v>
      </c>
      <c r="CM1003">
        <v>99</v>
      </c>
      <c r="CN1003">
        <v>-0.03</v>
      </c>
      <c r="CO1003">
        <v>99</v>
      </c>
      <c r="CP1003">
        <v>-5.9</v>
      </c>
      <c r="CQ1003">
        <v>99</v>
      </c>
      <c r="CR1003">
        <v>0</v>
      </c>
      <c r="CS1003">
        <v>0</v>
      </c>
      <c r="CT1003">
        <v>-1.7</v>
      </c>
      <c r="CU1003">
        <v>99</v>
      </c>
      <c r="CV1003">
        <v>0.32</v>
      </c>
      <c r="CW1003">
        <v>55</v>
      </c>
      <c r="CX1003" t="s">
        <v>792</v>
      </c>
    </row>
    <row r="1004" spans="1:102" x14ac:dyDescent="0.3">
      <c r="A1004" t="str">
        <f>HYPERLINK("https://webapp.icbf.com/v2/app/bull-search/view/571514311","FCL")</f>
        <v>FCL</v>
      </c>
      <c r="B1004" t="s">
        <v>5095</v>
      </c>
      <c r="C1004" t="s">
        <v>5096</v>
      </c>
      <c r="D1004" s="1">
        <v>39517</v>
      </c>
      <c r="E1004" t="s">
        <v>92</v>
      </c>
      <c r="F1004">
        <v>91</v>
      </c>
      <c r="G1004" t="s">
        <v>93</v>
      </c>
      <c r="H1004">
        <v>142.6</v>
      </c>
      <c r="I1004">
        <v>86</v>
      </c>
      <c r="J1004">
        <v>40.56</v>
      </c>
      <c r="K1004">
        <v>97</v>
      </c>
      <c r="L1004">
        <v>48.37</v>
      </c>
      <c r="M1004">
        <v>78</v>
      </c>
      <c r="N1004">
        <v>45.17</v>
      </c>
      <c r="O1004">
        <v>84</v>
      </c>
      <c r="P1004">
        <v>-14.1</v>
      </c>
      <c r="Q1004">
        <v>91</v>
      </c>
      <c r="R1004">
        <v>5.62</v>
      </c>
      <c r="S1004">
        <v>80</v>
      </c>
      <c r="T1004">
        <v>15.45</v>
      </c>
      <c r="U1004">
        <v>83</v>
      </c>
      <c r="V1004">
        <v>1.53</v>
      </c>
      <c r="W1004">
        <v>76</v>
      </c>
      <c r="X1004" t="s">
        <v>94</v>
      </c>
      <c r="Y1004" t="s">
        <v>241</v>
      </c>
      <c r="Z1004" t="s">
        <v>96</v>
      </c>
      <c r="AA1004" t="s">
        <v>1797</v>
      </c>
      <c r="AB1004" t="s">
        <v>5097</v>
      </c>
      <c r="AC1004">
        <v>81</v>
      </c>
      <c r="AD1004">
        <v>55</v>
      </c>
      <c r="AE1004">
        <v>97</v>
      </c>
      <c r="AF1004">
        <v>-90.58</v>
      </c>
      <c r="AG1004">
        <v>11.14</v>
      </c>
      <c r="AH1004">
        <v>1.57</v>
      </c>
      <c r="AI1004">
        <v>0.26</v>
      </c>
      <c r="AJ1004">
        <v>0.08</v>
      </c>
      <c r="AK1004">
        <v>78</v>
      </c>
      <c r="AL1004">
        <v>84</v>
      </c>
      <c r="AM1004">
        <v>58</v>
      </c>
      <c r="AN1004">
        <v>-1.64</v>
      </c>
      <c r="AO1004">
        <v>2.23</v>
      </c>
      <c r="AP1004">
        <v>158</v>
      </c>
      <c r="AQ1004">
        <v>0</v>
      </c>
      <c r="AR1004">
        <v>4.8600000000000003</v>
      </c>
      <c r="AS1004">
        <v>70</v>
      </c>
      <c r="AT1004">
        <v>1.77</v>
      </c>
      <c r="AU1004">
        <v>86</v>
      </c>
      <c r="AV1004">
        <v>-3.93</v>
      </c>
      <c r="AW1004">
        <v>95</v>
      </c>
      <c r="AX1004">
        <v>0.27</v>
      </c>
      <c r="AY1004">
        <v>78</v>
      </c>
      <c r="AZ1004">
        <v>5.96</v>
      </c>
      <c r="BA1004">
        <v>66</v>
      </c>
      <c r="BB1004">
        <v>5.42</v>
      </c>
      <c r="BC1004">
        <v>67</v>
      </c>
      <c r="BD1004">
        <v>-0.05</v>
      </c>
      <c r="BE1004">
        <v>-0.04</v>
      </c>
      <c r="BF1004">
        <v>0.03</v>
      </c>
      <c r="BG1004">
        <v>88</v>
      </c>
      <c r="BH1004">
        <v>0.05</v>
      </c>
      <c r="BI1004">
        <v>0.86</v>
      </c>
      <c r="BJ1004">
        <v>31</v>
      </c>
      <c r="BK1004">
        <v>17</v>
      </c>
      <c r="BL1004">
        <v>-0.8</v>
      </c>
      <c r="BM1004">
        <v>0.56999999999999995</v>
      </c>
      <c r="BN1004">
        <v>-0.18</v>
      </c>
      <c r="BO1004">
        <v>-0.43</v>
      </c>
      <c r="BP1004">
        <v>-1.1100000000000001</v>
      </c>
      <c r="BQ1004">
        <v>-1.72</v>
      </c>
      <c r="BR1004">
        <v>-1.35</v>
      </c>
      <c r="BS1004">
        <v>1.26</v>
      </c>
      <c r="BT1004">
        <v>1.28</v>
      </c>
      <c r="BU1004">
        <v>-0.42</v>
      </c>
      <c r="BV1004">
        <v>-0.32</v>
      </c>
      <c r="BW1004">
        <v>0.06</v>
      </c>
      <c r="BX1004">
        <v>-0.18</v>
      </c>
      <c r="BY1004">
        <v>1.27</v>
      </c>
      <c r="BZ1004">
        <v>-1.77</v>
      </c>
      <c r="CA1004">
        <v>0.17</v>
      </c>
      <c r="CB1004">
        <v>-0.26</v>
      </c>
      <c r="CC1004">
        <v>0.62</v>
      </c>
      <c r="CD1004">
        <v>-7.0000000000000007E-2</v>
      </c>
      <c r="CE1004">
        <v>-0.1</v>
      </c>
      <c r="CF1004">
        <v>-1.05</v>
      </c>
      <c r="CG1004">
        <v>0</v>
      </c>
      <c r="CH1004">
        <v>1.34</v>
      </c>
      <c r="CI1004">
        <v>0</v>
      </c>
      <c r="CJ1004">
        <v>-5.7</v>
      </c>
      <c r="CK1004">
        <v>92</v>
      </c>
      <c r="CL1004">
        <v>-0.87</v>
      </c>
      <c r="CM1004">
        <v>90</v>
      </c>
      <c r="CN1004">
        <v>-0.4</v>
      </c>
      <c r="CO1004">
        <v>89</v>
      </c>
      <c r="CP1004">
        <v>-12.9</v>
      </c>
      <c r="CQ1004">
        <v>85</v>
      </c>
      <c r="CR1004">
        <v>0</v>
      </c>
      <c r="CS1004">
        <v>0</v>
      </c>
      <c r="CT1004">
        <v>-7.1</v>
      </c>
      <c r="CU1004">
        <v>83</v>
      </c>
      <c r="CV1004">
        <v>0.09</v>
      </c>
      <c r="CW1004">
        <v>44</v>
      </c>
      <c r="CX1004" t="s">
        <v>4059</v>
      </c>
    </row>
    <row r="1005" spans="1:102" x14ac:dyDescent="0.3">
      <c r="A1005" t="str">
        <f>HYPERLINK("https://webapp.icbf.com/v2/app/bull-search/view/1022450738","FR4262")</f>
        <v>FR4262</v>
      </c>
      <c r="B1005" t="s">
        <v>13756</v>
      </c>
      <c r="C1005" t="s">
        <v>13757</v>
      </c>
      <c r="D1005" s="1">
        <v>41031</v>
      </c>
      <c r="E1005" t="s">
        <v>92</v>
      </c>
      <c r="F1005">
        <v>56</v>
      </c>
      <c r="G1005" t="s">
        <v>109</v>
      </c>
      <c r="H1005">
        <v>142.57</v>
      </c>
      <c r="I1005">
        <v>57</v>
      </c>
      <c r="J1005">
        <v>60.96</v>
      </c>
      <c r="K1005">
        <v>72</v>
      </c>
      <c r="L1005">
        <v>55.47</v>
      </c>
      <c r="M1005">
        <v>57</v>
      </c>
      <c r="N1005">
        <v>28.71</v>
      </c>
      <c r="O1005">
        <v>65</v>
      </c>
      <c r="P1005">
        <v>-22.96</v>
      </c>
      <c r="Q1005">
        <v>46</v>
      </c>
      <c r="R1005">
        <v>-1.42</v>
      </c>
      <c r="S1005">
        <v>50</v>
      </c>
      <c r="T1005">
        <v>17.97</v>
      </c>
      <c r="U1005">
        <v>19</v>
      </c>
      <c r="V1005">
        <v>3.84</v>
      </c>
      <c r="W1005">
        <v>11</v>
      </c>
      <c r="X1005" t="s">
        <v>276</v>
      </c>
      <c r="Y1005" t="s">
        <v>1923</v>
      </c>
      <c r="Z1005" t="s">
        <v>330</v>
      </c>
      <c r="AA1005" t="s">
        <v>13758</v>
      </c>
      <c r="AB1005" t="s">
        <v>13759</v>
      </c>
      <c r="AC1005">
        <v>0</v>
      </c>
      <c r="AD1005">
        <v>0</v>
      </c>
      <c r="AE1005">
        <v>72</v>
      </c>
      <c r="AF1005">
        <v>121.75</v>
      </c>
      <c r="AG1005">
        <v>3.48</v>
      </c>
      <c r="AH1005">
        <v>11</v>
      </c>
      <c r="AI1005">
        <v>-0.02</v>
      </c>
      <c r="AJ1005">
        <v>0.11</v>
      </c>
      <c r="AK1005">
        <v>57</v>
      </c>
      <c r="AL1005">
        <v>0</v>
      </c>
      <c r="AM1005">
        <v>0</v>
      </c>
      <c r="AN1005">
        <v>-2.52</v>
      </c>
      <c r="AO1005">
        <v>1.91</v>
      </c>
      <c r="AP1005">
        <v>72</v>
      </c>
      <c r="AQ1005">
        <v>1</v>
      </c>
      <c r="AR1005">
        <v>4.09</v>
      </c>
      <c r="AS1005">
        <v>33</v>
      </c>
      <c r="AT1005">
        <v>1.8</v>
      </c>
      <c r="AU1005">
        <v>72</v>
      </c>
      <c r="AV1005">
        <v>-1.82</v>
      </c>
      <c r="AW1005">
        <v>91</v>
      </c>
      <c r="AX1005">
        <v>0.08</v>
      </c>
      <c r="AY1005">
        <v>59</v>
      </c>
      <c r="AZ1005">
        <v>7.16</v>
      </c>
      <c r="BA1005">
        <v>10</v>
      </c>
      <c r="BB1005">
        <v>5.32</v>
      </c>
      <c r="BC1005">
        <v>9</v>
      </c>
      <c r="BD1005">
        <v>-0.02</v>
      </c>
      <c r="BE1005">
        <v>0.04</v>
      </c>
      <c r="BF1005">
        <v>-0.01</v>
      </c>
      <c r="BG1005">
        <v>83</v>
      </c>
      <c r="BH1005">
        <v>0.08</v>
      </c>
      <c r="BI1005">
        <v>-3.13</v>
      </c>
      <c r="BJ1005">
        <v>0</v>
      </c>
      <c r="BK1005">
        <v>0</v>
      </c>
      <c r="BL1005">
        <v>-2</v>
      </c>
      <c r="BM1005">
        <v>0.99</v>
      </c>
      <c r="BN1005">
        <v>-0.22</v>
      </c>
      <c r="BO1005">
        <v>0</v>
      </c>
      <c r="BP1005">
        <v>-1.6</v>
      </c>
      <c r="BQ1005">
        <v>-2.41</v>
      </c>
      <c r="BR1005">
        <v>0.34</v>
      </c>
      <c r="BS1005">
        <v>0</v>
      </c>
      <c r="BT1005">
        <v>0</v>
      </c>
      <c r="BU1005">
        <v>0.99</v>
      </c>
      <c r="BV1005">
        <v>1.98</v>
      </c>
      <c r="BW1005">
        <v>1.04</v>
      </c>
      <c r="BX1005">
        <v>0</v>
      </c>
      <c r="BY1005">
        <v>2.2599999999999998</v>
      </c>
      <c r="BZ1005">
        <v>0</v>
      </c>
      <c r="CA1005">
        <v>0.31</v>
      </c>
      <c r="CB1005">
        <v>1.27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-11.3</v>
      </c>
      <c r="CK1005">
        <v>53</v>
      </c>
      <c r="CL1005">
        <v>-0.8</v>
      </c>
      <c r="CM1005">
        <v>41</v>
      </c>
      <c r="CN1005">
        <v>-0.25</v>
      </c>
      <c r="CO1005">
        <v>40</v>
      </c>
      <c r="CP1005">
        <v>-13.6</v>
      </c>
      <c r="CQ1005">
        <v>25</v>
      </c>
      <c r="CR1005">
        <v>0</v>
      </c>
      <c r="CS1005">
        <v>0</v>
      </c>
      <c r="CT1005">
        <v>-10.5</v>
      </c>
      <c r="CU1005">
        <v>19</v>
      </c>
      <c r="CV1005">
        <v>0</v>
      </c>
      <c r="CW1005">
        <v>16</v>
      </c>
      <c r="CX1005" t="s">
        <v>2278</v>
      </c>
    </row>
    <row r="1006" spans="1:102" x14ac:dyDescent="0.3">
      <c r="A1006" t="str">
        <f>HYPERLINK("https://webapp.icbf.com/v2/app/bull-search/view/720498846","LKQ")</f>
        <v>LKQ</v>
      </c>
      <c r="B1006" t="s">
        <v>9039</v>
      </c>
      <c r="C1006" t="s">
        <v>9040</v>
      </c>
      <c r="D1006" s="1">
        <v>39305</v>
      </c>
      <c r="E1006" t="s">
        <v>227</v>
      </c>
      <c r="F1006">
        <v>0</v>
      </c>
      <c r="G1006" t="s">
        <v>93</v>
      </c>
      <c r="H1006">
        <v>142.53</v>
      </c>
      <c r="I1006">
        <v>95</v>
      </c>
      <c r="J1006">
        <v>86.54</v>
      </c>
      <c r="K1006">
        <v>99</v>
      </c>
      <c r="L1006">
        <v>1.85</v>
      </c>
      <c r="M1006">
        <v>91</v>
      </c>
      <c r="N1006">
        <v>48.53</v>
      </c>
      <c r="O1006">
        <v>96</v>
      </c>
      <c r="P1006">
        <v>-43.53</v>
      </c>
      <c r="Q1006">
        <v>97</v>
      </c>
      <c r="R1006">
        <v>-4.51</v>
      </c>
      <c r="S1006">
        <v>91</v>
      </c>
      <c r="T1006">
        <v>45.42</v>
      </c>
      <c r="U1006">
        <v>97</v>
      </c>
      <c r="V1006">
        <v>8.23</v>
      </c>
      <c r="W1006">
        <v>87</v>
      </c>
      <c r="X1006" t="s">
        <v>276</v>
      </c>
      <c r="Y1006" t="s">
        <v>319</v>
      </c>
      <c r="Z1006">
        <v>0</v>
      </c>
      <c r="AA1006" t="s">
        <v>229</v>
      </c>
      <c r="AB1006" t="s">
        <v>9041</v>
      </c>
      <c r="AC1006">
        <v>487</v>
      </c>
      <c r="AD1006">
        <v>147</v>
      </c>
      <c r="AE1006">
        <v>99</v>
      </c>
      <c r="AF1006">
        <v>-67.989999999999995</v>
      </c>
      <c r="AG1006">
        <v>18.48</v>
      </c>
      <c r="AH1006">
        <v>7.14</v>
      </c>
      <c r="AI1006">
        <v>0.37</v>
      </c>
      <c r="AJ1006">
        <v>0.17</v>
      </c>
      <c r="AK1006">
        <v>91</v>
      </c>
      <c r="AL1006">
        <v>508</v>
      </c>
      <c r="AM1006">
        <v>158</v>
      </c>
      <c r="AN1006">
        <v>0.1</v>
      </c>
      <c r="AO1006">
        <v>0.25</v>
      </c>
      <c r="AP1006">
        <v>772</v>
      </c>
      <c r="AQ1006">
        <v>2</v>
      </c>
      <c r="AR1006">
        <v>3.11</v>
      </c>
      <c r="AS1006">
        <v>94</v>
      </c>
      <c r="AT1006">
        <v>1.42</v>
      </c>
      <c r="AU1006">
        <v>96</v>
      </c>
      <c r="AV1006">
        <v>-3.78</v>
      </c>
      <c r="AW1006">
        <v>99</v>
      </c>
      <c r="AX1006">
        <v>0.43</v>
      </c>
      <c r="AY1006">
        <v>94</v>
      </c>
      <c r="AZ1006">
        <v>7.02</v>
      </c>
      <c r="BA1006">
        <v>89</v>
      </c>
      <c r="BB1006">
        <v>5.04</v>
      </c>
      <c r="BC1006">
        <v>89</v>
      </c>
      <c r="BD1006">
        <v>-0.05</v>
      </c>
      <c r="BE1006">
        <v>0.03</v>
      </c>
      <c r="BF1006">
        <v>0.13</v>
      </c>
      <c r="BG1006">
        <v>97</v>
      </c>
      <c r="BH1006">
        <v>0.2</v>
      </c>
      <c r="BI1006">
        <v>-3.4</v>
      </c>
      <c r="BJ1006">
        <v>31</v>
      </c>
      <c r="BK1006">
        <v>14</v>
      </c>
      <c r="BL1006">
        <v>-2.9</v>
      </c>
      <c r="BM1006">
        <v>-0.52</v>
      </c>
      <c r="BN1006">
        <v>1.18</v>
      </c>
      <c r="BO1006">
        <v>1.46</v>
      </c>
      <c r="BP1006">
        <v>-0.67</v>
      </c>
      <c r="BQ1006">
        <v>-5.43</v>
      </c>
      <c r="BR1006">
        <v>2.76</v>
      </c>
      <c r="BS1006">
        <v>6.78</v>
      </c>
      <c r="BT1006">
        <v>-0.49</v>
      </c>
      <c r="BU1006">
        <v>-1.45</v>
      </c>
      <c r="BV1006">
        <v>-1.1000000000000001</v>
      </c>
      <c r="BW1006">
        <v>-3.43</v>
      </c>
      <c r="BX1006">
        <v>-4.62</v>
      </c>
      <c r="BY1006">
        <v>-0.68</v>
      </c>
      <c r="BZ1006">
        <v>-1.17</v>
      </c>
      <c r="CA1006">
        <v>0.44</v>
      </c>
      <c r="CB1006">
        <v>-1.46</v>
      </c>
      <c r="CC1006">
        <v>4.53</v>
      </c>
      <c r="CD1006">
        <v>-2.27</v>
      </c>
      <c r="CE1006">
        <v>0.93</v>
      </c>
      <c r="CF1006">
        <v>-3.19</v>
      </c>
      <c r="CG1006">
        <v>0</v>
      </c>
      <c r="CH1006">
        <v>-2.99</v>
      </c>
      <c r="CI1006">
        <v>0</v>
      </c>
      <c r="CJ1006">
        <v>-22</v>
      </c>
      <c r="CK1006">
        <v>97</v>
      </c>
      <c r="CL1006">
        <v>-0.84</v>
      </c>
      <c r="CM1006">
        <v>97</v>
      </c>
      <c r="CN1006">
        <v>-0.11</v>
      </c>
      <c r="CO1006">
        <v>96</v>
      </c>
      <c r="CP1006">
        <v>-38.6</v>
      </c>
      <c r="CQ1006">
        <v>95</v>
      </c>
      <c r="CR1006">
        <v>0</v>
      </c>
      <c r="CS1006">
        <v>0</v>
      </c>
      <c r="CT1006">
        <v>-47.6</v>
      </c>
      <c r="CU1006">
        <v>97</v>
      </c>
      <c r="CV1006">
        <v>-0.15</v>
      </c>
      <c r="CW1006">
        <v>46</v>
      </c>
      <c r="CX1006" t="s">
        <v>1525</v>
      </c>
    </row>
    <row r="1007" spans="1:102" x14ac:dyDescent="0.3">
      <c r="A1007" t="str">
        <f>HYPERLINK("https://webapp.icbf.com/v2/app/bull-search/view/487000814","DBG")</f>
        <v>DBG</v>
      </c>
      <c r="B1007" t="s">
        <v>1734</v>
      </c>
      <c r="C1007" t="s">
        <v>1735</v>
      </c>
      <c r="D1007" s="1">
        <v>38565</v>
      </c>
      <c r="E1007" t="s">
        <v>92</v>
      </c>
      <c r="F1007">
        <v>78</v>
      </c>
      <c r="G1007" t="s">
        <v>93</v>
      </c>
      <c r="H1007">
        <v>142.37</v>
      </c>
      <c r="I1007">
        <v>89</v>
      </c>
      <c r="J1007">
        <v>62.98</v>
      </c>
      <c r="K1007">
        <v>96</v>
      </c>
      <c r="L1007">
        <v>36.17</v>
      </c>
      <c r="M1007">
        <v>85</v>
      </c>
      <c r="N1007">
        <v>18.97</v>
      </c>
      <c r="O1007">
        <v>85</v>
      </c>
      <c r="P1007">
        <v>-17.03</v>
      </c>
      <c r="Q1007">
        <v>93</v>
      </c>
      <c r="R1007">
        <v>14.03</v>
      </c>
      <c r="S1007">
        <v>78</v>
      </c>
      <c r="T1007">
        <v>15.23</v>
      </c>
      <c r="U1007">
        <v>83</v>
      </c>
      <c r="V1007">
        <v>12.02</v>
      </c>
      <c r="W1007">
        <v>77</v>
      </c>
      <c r="X1007" t="s">
        <v>276</v>
      </c>
      <c r="Y1007" t="s">
        <v>282</v>
      </c>
      <c r="Z1007" t="s">
        <v>96</v>
      </c>
      <c r="AA1007" t="s">
        <v>1229</v>
      </c>
      <c r="AB1007" t="s">
        <v>1736</v>
      </c>
      <c r="AC1007">
        <v>72</v>
      </c>
      <c r="AD1007">
        <v>35</v>
      </c>
      <c r="AE1007">
        <v>96</v>
      </c>
      <c r="AF1007">
        <v>328.86</v>
      </c>
      <c r="AG1007">
        <v>14.88</v>
      </c>
      <c r="AH1007">
        <v>10.48</v>
      </c>
      <c r="AI1007">
        <v>0.03</v>
      </c>
      <c r="AJ1007">
        <v>-0.01</v>
      </c>
      <c r="AK1007">
        <v>85</v>
      </c>
      <c r="AL1007">
        <v>91</v>
      </c>
      <c r="AM1007">
        <v>46</v>
      </c>
      <c r="AN1007">
        <v>-1.54</v>
      </c>
      <c r="AO1007">
        <v>1.35</v>
      </c>
      <c r="AP1007">
        <v>170</v>
      </c>
      <c r="AQ1007">
        <v>0</v>
      </c>
      <c r="AR1007">
        <v>6.32</v>
      </c>
      <c r="AS1007">
        <v>70</v>
      </c>
      <c r="AT1007">
        <v>2.88</v>
      </c>
      <c r="AU1007">
        <v>87</v>
      </c>
      <c r="AV1007">
        <v>-1.42</v>
      </c>
      <c r="AW1007">
        <v>96</v>
      </c>
      <c r="AX1007">
        <v>-0.03</v>
      </c>
      <c r="AY1007">
        <v>83</v>
      </c>
      <c r="AZ1007">
        <v>5.98</v>
      </c>
      <c r="BA1007">
        <v>61</v>
      </c>
      <c r="BB1007">
        <v>4.6500000000000004</v>
      </c>
      <c r="BC1007">
        <v>65</v>
      </c>
      <c r="BD1007">
        <v>-7.0000000000000007E-2</v>
      </c>
      <c r="BE1007">
        <v>-0.04</v>
      </c>
      <c r="BF1007">
        <v>-0.13</v>
      </c>
      <c r="BG1007">
        <v>89</v>
      </c>
      <c r="BH1007">
        <v>0.08</v>
      </c>
      <c r="BI1007">
        <v>-29.53</v>
      </c>
      <c r="BJ1007">
        <v>2</v>
      </c>
      <c r="BK1007">
        <v>1</v>
      </c>
      <c r="BL1007">
        <v>-1.0900000000000001</v>
      </c>
      <c r="BM1007">
        <v>1.36</v>
      </c>
      <c r="BN1007">
        <v>-0.75</v>
      </c>
      <c r="BO1007">
        <v>-1.69</v>
      </c>
      <c r="BP1007">
        <v>-0.71</v>
      </c>
      <c r="BQ1007">
        <v>-1.98</v>
      </c>
      <c r="BR1007">
        <v>0.51</v>
      </c>
      <c r="BS1007">
        <v>-1.1200000000000001</v>
      </c>
      <c r="BT1007">
        <v>-1.64</v>
      </c>
      <c r="BU1007">
        <v>-0.95</v>
      </c>
      <c r="BV1007">
        <v>-1.1100000000000001</v>
      </c>
      <c r="BW1007">
        <v>-1.19</v>
      </c>
      <c r="BX1007">
        <v>-1.1200000000000001</v>
      </c>
      <c r="BY1007">
        <v>-1.78</v>
      </c>
      <c r="BZ1007">
        <v>1.37</v>
      </c>
      <c r="CA1007">
        <v>-1.4</v>
      </c>
      <c r="CB1007">
        <v>-1.34</v>
      </c>
      <c r="CC1007">
        <v>-1.1599999999999999</v>
      </c>
      <c r="CD1007">
        <v>1.67</v>
      </c>
      <c r="CE1007">
        <v>-0.81</v>
      </c>
      <c r="CF1007">
        <v>-0.83</v>
      </c>
      <c r="CG1007">
        <v>0</v>
      </c>
      <c r="CH1007">
        <v>-1.99</v>
      </c>
      <c r="CI1007">
        <v>0</v>
      </c>
      <c r="CJ1007">
        <v>-7.5</v>
      </c>
      <c r="CK1007">
        <v>94</v>
      </c>
      <c r="CL1007">
        <v>-0.7</v>
      </c>
      <c r="CM1007">
        <v>93</v>
      </c>
      <c r="CN1007">
        <v>-0.2</v>
      </c>
      <c r="CO1007">
        <v>92</v>
      </c>
      <c r="CP1007">
        <v>-12</v>
      </c>
      <c r="CQ1007">
        <v>85</v>
      </c>
      <c r="CR1007">
        <v>0</v>
      </c>
      <c r="CS1007">
        <v>0</v>
      </c>
      <c r="CT1007">
        <v>-6.8</v>
      </c>
      <c r="CU1007">
        <v>83</v>
      </c>
      <c r="CV1007">
        <v>0.02</v>
      </c>
      <c r="CW1007">
        <v>45</v>
      </c>
      <c r="CX1007" t="s">
        <v>1360</v>
      </c>
    </row>
    <row r="1008" spans="1:102" x14ac:dyDescent="0.3">
      <c r="A1008" t="str">
        <f>HYPERLINK("https://webapp.icbf.com/v2/app/bull-search/view/1356895425","FR4148")</f>
        <v>FR4148</v>
      </c>
      <c r="B1008" t="s">
        <v>14756</v>
      </c>
      <c r="C1008" t="s">
        <v>14757</v>
      </c>
      <c r="D1008" s="1">
        <v>42414</v>
      </c>
      <c r="E1008" t="s">
        <v>92</v>
      </c>
      <c r="F1008">
        <v>53</v>
      </c>
      <c r="G1008" t="s">
        <v>435</v>
      </c>
      <c r="H1008">
        <v>141.99</v>
      </c>
      <c r="I1008">
        <v>72</v>
      </c>
      <c r="J1008">
        <v>98.45</v>
      </c>
      <c r="K1008">
        <v>87</v>
      </c>
      <c r="L1008">
        <v>7.93</v>
      </c>
      <c r="M1008">
        <v>63</v>
      </c>
      <c r="N1008">
        <v>43.91</v>
      </c>
      <c r="O1008">
        <v>85</v>
      </c>
      <c r="P1008">
        <v>-31.73</v>
      </c>
      <c r="Q1008">
        <v>66</v>
      </c>
      <c r="R1008">
        <v>0.62</v>
      </c>
      <c r="S1008">
        <v>63</v>
      </c>
      <c r="T1008">
        <v>21.74</v>
      </c>
      <c r="U1008">
        <v>51</v>
      </c>
      <c r="V1008">
        <v>1.07</v>
      </c>
      <c r="W1008">
        <v>56</v>
      </c>
      <c r="X1008" t="s">
        <v>94</v>
      </c>
      <c r="Y1008" t="s">
        <v>436</v>
      </c>
      <c r="Z1008" t="s">
        <v>330</v>
      </c>
      <c r="AA1008" t="s">
        <v>1830</v>
      </c>
      <c r="AB1008" t="s">
        <v>144</v>
      </c>
      <c r="AC1008">
        <v>0</v>
      </c>
      <c r="AD1008">
        <v>0</v>
      </c>
      <c r="AE1008">
        <v>87</v>
      </c>
      <c r="AF1008">
        <v>-8.15</v>
      </c>
      <c r="AG1008">
        <v>9.75</v>
      </c>
      <c r="AH1008">
        <v>13.17</v>
      </c>
      <c r="AI1008">
        <v>0.17</v>
      </c>
      <c r="AJ1008">
        <v>0.24</v>
      </c>
      <c r="AK1008">
        <v>63</v>
      </c>
      <c r="AL1008">
        <v>0</v>
      </c>
      <c r="AM1008">
        <v>0</v>
      </c>
      <c r="AN1008">
        <v>-1.4</v>
      </c>
      <c r="AO1008">
        <v>-0.78</v>
      </c>
      <c r="AP1008">
        <v>604</v>
      </c>
      <c r="AQ1008">
        <v>0</v>
      </c>
      <c r="AR1008">
        <v>4.8</v>
      </c>
      <c r="AS1008">
        <v>79</v>
      </c>
      <c r="AT1008">
        <v>2.13</v>
      </c>
      <c r="AU1008">
        <v>93</v>
      </c>
      <c r="AV1008">
        <v>-3.5</v>
      </c>
      <c r="AW1008">
        <v>97</v>
      </c>
      <c r="AX1008">
        <v>-0.84</v>
      </c>
      <c r="AY1008">
        <v>88</v>
      </c>
      <c r="AZ1008">
        <v>6.42</v>
      </c>
      <c r="BA1008">
        <v>43</v>
      </c>
      <c r="BB1008">
        <v>5.01</v>
      </c>
      <c r="BC1008">
        <v>44</v>
      </c>
      <c r="BD1008">
        <v>-0.05</v>
      </c>
      <c r="BE1008">
        <v>0.01</v>
      </c>
      <c r="BF1008">
        <v>0.05</v>
      </c>
      <c r="BG1008">
        <v>71</v>
      </c>
      <c r="BH1008">
        <v>0.02</v>
      </c>
      <c r="BI1008">
        <v>-1.1499999999999999</v>
      </c>
      <c r="BJ1008">
        <v>0</v>
      </c>
      <c r="BK1008">
        <v>0</v>
      </c>
      <c r="BL1008">
        <v>-1.84</v>
      </c>
      <c r="BM1008">
        <v>0.53</v>
      </c>
      <c r="BN1008">
        <v>0.08</v>
      </c>
      <c r="BO1008">
        <v>0.17</v>
      </c>
      <c r="BP1008">
        <v>0.99</v>
      </c>
      <c r="BQ1008">
        <v>-1.54</v>
      </c>
      <c r="BR1008">
        <v>0.96</v>
      </c>
      <c r="BS1008">
        <v>2.94</v>
      </c>
      <c r="BT1008">
        <v>-0.12</v>
      </c>
      <c r="BU1008">
        <v>-1.21</v>
      </c>
      <c r="BV1008">
        <v>-0.93</v>
      </c>
      <c r="BW1008">
        <v>-2.31</v>
      </c>
      <c r="BX1008">
        <v>-3.44</v>
      </c>
      <c r="BY1008">
        <v>-1.17</v>
      </c>
      <c r="BZ1008">
        <v>1.88</v>
      </c>
      <c r="CA1008">
        <v>-0.24</v>
      </c>
      <c r="CB1008">
        <v>-1.1100000000000001</v>
      </c>
      <c r="CC1008">
        <v>2.23</v>
      </c>
      <c r="CD1008">
        <v>0.31</v>
      </c>
      <c r="CE1008">
        <v>0.46</v>
      </c>
      <c r="CF1008">
        <v>-1.56</v>
      </c>
      <c r="CG1008">
        <v>0</v>
      </c>
      <c r="CH1008">
        <v>-1.73</v>
      </c>
      <c r="CI1008">
        <v>0</v>
      </c>
      <c r="CJ1008">
        <v>-16</v>
      </c>
      <c r="CK1008">
        <v>71</v>
      </c>
      <c r="CL1008">
        <v>-0.84</v>
      </c>
      <c r="CM1008">
        <v>60</v>
      </c>
      <c r="CN1008">
        <v>-0.13</v>
      </c>
      <c r="CO1008">
        <v>59</v>
      </c>
      <c r="CP1008">
        <v>-16.7</v>
      </c>
      <c r="CQ1008">
        <v>53</v>
      </c>
      <c r="CR1008">
        <v>0</v>
      </c>
      <c r="CS1008">
        <v>0</v>
      </c>
      <c r="CT1008">
        <v>-15.6</v>
      </c>
      <c r="CU1008">
        <v>51</v>
      </c>
      <c r="CV1008">
        <v>0.02</v>
      </c>
      <c r="CW1008">
        <v>41</v>
      </c>
      <c r="CX1008" t="s">
        <v>2111</v>
      </c>
    </row>
    <row r="1009" spans="1:102" x14ac:dyDescent="0.3">
      <c r="A1009" t="str">
        <f>HYPERLINK("https://webapp.icbf.com/v2/app/bull-search/view/1092506777","S3077")</f>
        <v>S3077</v>
      </c>
      <c r="B1009" t="s">
        <v>9394</v>
      </c>
      <c r="C1009" t="s">
        <v>9395</v>
      </c>
      <c r="D1009" s="1">
        <v>40962</v>
      </c>
      <c r="E1009" t="s">
        <v>92</v>
      </c>
      <c r="F1009">
        <v>100</v>
      </c>
      <c r="G1009" t="s">
        <v>109</v>
      </c>
      <c r="H1009">
        <v>141.75</v>
      </c>
      <c r="I1009">
        <v>55</v>
      </c>
      <c r="J1009">
        <v>56.59</v>
      </c>
      <c r="K1009">
        <v>71</v>
      </c>
      <c r="L1009">
        <v>42.26</v>
      </c>
      <c r="M1009">
        <v>63</v>
      </c>
      <c r="N1009">
        <v>36.28</v>
      </c>
      <c r="O1009">
        <v>43</v>
      </c>
      <c r="P1009">
        <v>-3.32</v>
      </c>
      <c r="Q1009">
        <v>27</v>
      </c>
      <c r="R1009">
        <v>8.57</v>
      </c>
      <c r="S1009">
        <v>53</v>
      </c>
      <c r="T1009">
        <v>1.39</v>
      </c>
      <c r="U1009">
        <v>22</v>
      </c>
      <c r="V1009">
        <v>-0.02</v>
      </c>
      <c r="W1009">
        <v>20</v>
      </c>
      <c r="X1009" t="s">
        <v>110</v>
      </c>
      <c r="Y1009" t="s">
        <v>457</v>
      </c>
      <c r="Z1009" t="s">
        <v>96</v>
      </c>
      <c r="AA1009" t="s">
        <v>2269</v>
      </c>
      <c r="AB1009" t="s">
        <v>9396</v>
      </c>
      <c r="AC1009">
        <v>0</v>
      </c>
      <c r="AD1009">
        <v>0</v>
      </c>
      <c r="AE1009">
        <v>71</v>
      </c>
      <c r="AF1009">
        <v>306.51</v>
      </c>
      <c r="AG1009">
        <v>13.19</v>
      </c>
      <c r="AH1009">
        <v>9.65</v>
      </c>
      <c r="AI1009">
        <v>0.02</v>
      </c>
      <c r="AJ1009">
        <v>-0.01</v>
      </c>
      <c r="AK1009">
        <v>63</v>
      </c>
      <c r="AL1009">
        <v>0</v>
      </c>
      <c r="AM1009">
        <v>0</v>
      </c>
      <c r="AN1009">
        <v>-1.54</v>
      </c>
      <c r="AO1009">
        <v>1.84</v>
      </c>
      <c r="AP1009">
        <v>8</v>
      </c>
      <c r="AQ1009">
        <v>0</v>
      </c>
      <c r="AR1009">
        <v>5.03</v>
      </c>
      <c r="AS1009">
        <v>41</v>
      </c>
      <c r="AT1009">
        <v>2.13</v>
      </c>
      <c r="AU1009">
        <v>54</v>
      </c>
      <c r="AV1009">
        <v>-2.5</v>
      </c>
      <c r="AW1009">
        <v>50</v>
      </c>
      <c r="AX1009">
        <v>0.1</v>
      </c>
      <c r="AY1009">
        <v>31</v>
      </c>
      <c r="AZ1009">
        <v>5.7</v>
      </c>
      <c r="BA1009">
        <v>24</v>
      </c>
      <c r="BB1009">
        <v>4.54</v>
      </c>
      <c r="BC1009">
        <v>19</v>
      </c>
      <c r="BD1009">
        <v>-0.03</v>
      </c>
      <c r="BE1009">
        <v>-0.03</v>
      </c>
      <c r="BF1009">
        <v>-0.09</v>
      </c>
      <c r="BG1009">
        <v>80</v>
      </c>
      <c r="BH1009">
        <v>-0.08</v>
      </c>
      <c r="BI1009">
        <v>-9.18</v>
      </c>
      <c r="BJ1009">
        <v>0</v>
      </c>
      <c r="BK1009">
        <v>0</v>
      </c>
      <c r="BL1009">
        <v>0.99</v>
      </c>
      <c r="BM1009">
        <v>-0.59</v>
      </c>
      <c r="BN1009">
        <v>-0.72</v>
      </c>
      <c r="BO1009">
        <v>0.52</v>
      </c>
      <c r="BP1009">
        <v>1.69</v>
      </c>
      <c r="BQ1009">
        <v>2.2000000000000002</v>
      </c>
      <c r="BR1009">
        <v>-0.62</v>
      </c>
      <c r="BS1009">
        <v>-0.37</v>
      </c>
      <c r="BT1009">
        <v>0.09</v>
      </c>
      <c r="BU1009">
        <v>2.4</v>
      </c>
      <c r="BV1009">
        <v>1.1499999999999999</v>
      </c>
      <c r="BW1009">
        <v>0.92</v>
      </c>
      <c r="BX1009">
        <v>2.38</v>
      </c>
      <c r="BY1009">
        <v>-0.24</v>
      </c>
      <c r="BZ1009">
        <v>-1.74</v>
      </c>
      <c r="CA1009">
        <v>1.32</v>
      </c>
      <c r="CB1009">
        <v>1.7</v>
      </c>
      <c r="CC1009">
        <v>-0.09</v>
      </c>
      <c r="CD1009">
        <v>-0.72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1.2</v>
      </c>
      <c r="CK1009">
        <v>27</v>
      </c>
      <c r="CL1009">
        <v>-0.88</v>
      </c>
      <c r="CM1009">
        <v>27</v>
      </c>
      <c r="CN1009">
        <v>-0.37</v>
      </c>
      <c r="CO1009">
        <v>26</v>
      </c>
      <c r="CP1009">
        <v>-1.5</v>
      </c>
      <c r="CQ1009">
        <v>23</v>
      </c>
      <c r="CR1009">
        <v>0</v>
      </c>
      <c r="CS1009">
        <v>0</v>
      </c>
      <c r="CT1009">
        <v>11.9</v>
      </c>
      <c r="CU1009">
        <v>22</v>
      </c>
      <c r="CV1009">
        <v>0.31</v>
      </c>
      <c r="CW1009">
        <v>9</v>
      </c>
      <c r="CX1009" t="s">
        <v>316</v>
      </c>
    </row>
    <row r="1010" spans="1:102" x14ac:dyDescent="0.3">
      <c r="A1010" t="str">
        <f>HYPERLINK("https://webapp.icbf.com/v2/app/bull-search/view/586201184","CKK")</f>
        <v>CKK</v>
      </c>
      <c r="B1010" t="s">
        <v>11764</v>
      </c>
      <c r="C1010" t="s">
        <v>11765</v>
      </c>
      <c r="D1010" s="1">
        <v>38049</v>
      </c>
      <c r="E1010" t="s">
        <v>92</v>
      </c>
      <c r="F1010">
        <v>100</v>
      </c>
      <c r="G1010" t="s">
        <v>93</v>
      </c>
      <c r="H1010">
        <v>141.57</v>
      </c>
      <c r="I1010">
        <v>93</v>
      </c>
      <c r="J1010">
        <v>47.04</v>
      </c>
      <c r="K1010">
        <v>98</v>
      </c>
      <c r="L1010">
        <v>36.67</v>
      </c>
      <c r="M1010">
        <v>92</v>
      </c>
      <c r="N1010">
        <v>50.03</v>
      </c>
      <c r="O1010">
        <v>89</v>
      </c>
      <c r="P1010">
        <v>1.45</v>
      </c>
      <c r="Q1010">
        <v>94</v>
      </c>
      <c r="R1010">
        <v>12.4</v>
      </c>
      <c r="S1010">
        <v>87</v>
      </c>
      <c r="T1010">
        <v>-5.64</v>
      </c>
      <c r="U1010">
        <v>86</v>
      </c>
      <c r="V1010">
        <v>-0.38</v>
      </c>
      <c r="W1010">
        <v>84</v>
      </c>
      <c r="X1010" t="s">
        <v>288</v>
      </c>
      <c r="Y1010" t="s">
        <v>235</v>
      </c>
      <c r="Z1010" t="s">
        <v>96</v>
      </c>
      <c r="AA1010" t="s">
        <v>316</v>
      </c>
      <c r="AB1010" t="s">
        <v>11766</v>
      </c>
      <c r="AC1010">
        <v>134</v>
      </c>
      <c r="AD1010">
        <v>55</v>
      </c>
      <c r="AE1010">
        <v>98</v>
      </c>
      <c r="AF1010">
        <v>265.01</v>
      </c>
      <c r="AG1010">
        <v>8.4700000000000006</v>
      </c>
      <c r="AH1010">
        <v>9.06</v>
      </c>
      <c r="AI1010">
        <v>-0.03</v>
      </c>
      <c r="AJ1010">
        <v>0</v>
      </c>
      <c r="AK1010">
        <v>92</v>
      </c>
      <c r="AL1010">
        <v>149</v>
      </c>
      <c r="AM1010">
        <v>64</v>
      </c>
      <c r="AN1010">
        <v>-1.57</v>
      </c>
      <c r="AO1010">
        <v>1.36</v>
      </c>
      <c r="AP1010">
        <v>240</v>
      </c>
      <c r="AQ1010">
        <v>3</v>
      </c>
      <c r="AR1010">
        <v>4.96</v>
      </c>
      <c r="AS1010">
        <v>83</v>
      </c>
      <c r="AT1010">
        <v>2.08</v>
      </c>
      <c r="AU1010">
        <v>95</v>
      </c>
      <c r="AV1010">
        <v>-4.3600000000000003</v>
      </c>
      <c r="AW1010">
        <v>94</v>
      </c>
      <c r="AX1010">
        <v>-0.05</v>
      </c>
      <c r="AY1010">
        <v>86</v>
      </c>
      <c r="AZ1010">
        <v>6.14</v>
      </c>
      <c r="BA1010">
        <v>73</v>
      </c>
      <c r="BB1010">
        <v>4.8099999999999996</v>
      </c>
      <c r="BC1010">
        <v>76</v>
      </c>
      <c r="BD1010">
        <v>-0.03</v>
      </c>
      <c r="BE1010">
        <v>-0.05</v>
      </c>
      <c r="BF1010">
        <v>-0.14000000000000001</v>
      </c>
      <c r="BG1010">
        <v>95</v>
      </c>
      <c r="BH1010">
        <v>0.06</v>
      </c>
      <c r="BI1010">
        <v>8.18</v>
      </c>
      <c r="BJ1010">
        <v>31</v>
      </c>
      <c r="BK1010">
        <v>15</v>
      </c>
      <c r="BL1010">
        <v>0.96</v>
      </c>
      <c r="BM1010">
        <v>1.47</v>
      </c>
      <c r="BN1010">
        <v>0.95</v>
      </c>
      <c r="BO1010">
        <v>0.1</v>
      </c>
      <c r="BP1010">
        <v>1.72</v>
      </c>
      <c r="BQ1010">
        <v>0.56000000000000005</v>
      </c>
      <c r="BR1010">
        <v>0.35</v>
      </c>
      <c r="BS1010">
        <v>-0.97</v>
      </c>
      <c r="BT1010">
        <v>-1.37</v>
      </c>
      <c r="BU1010">
        <v>0.16</v>
      </c>
      <c r="BV1010">
        <v>0.44</v>
      </c>
      <c r="BW1010">
        <v>1.08</v>
      </c>
      <c r="BX1010">
        <v>0.81</v>
      </c>
      <c r="BY1010">
        <v>1.47</v>
      </c>
      <c r="BZ1010">
        <v>-1.06</v>
      </c>
      <c r="CA1010">
        <v>0.53</v>
      </c>
      <c r="CB1010">
        <v>0.79</v>
      </c>
      <c r="CC1010">
        <v>-0.22</v>
      </c>
      <c r="CD1010">
        <v>0.98</v>
      </c>
      <c r="CE1010">
        <v>0.26</v>
      </c>
      <c r="CF1010">
        <v>1.17</v>
      </c>
      <c r="CG1010">
        <v>0</v>
      </c>
      <c r="CH1010">
        <v>1.51</v>
      </c>
      <c r="CI1010">
        <v>0</v>
      </c>
      <c r="CJ1010">
        <v>3.6</v>
      </c>
      <c r="CK1010">
        <v>95</v>
      </c>
      <c r="CL1010">
        <v>-0.88</v>
      </c>
      <c r="CM1010">
        <v>94</v>
      </c>
      <c r="CN1010">
        <v>-0.38</v>
      </c>
      <c r="CO1010">
        <v>94</v>
      </c>
      <c r="CP1010">
        <v>7.4</v>
      </c>
      <c r="CQ1010">
        <v>92</v>
      </c>
      <c r="CR1010">
        <v>0</v>
      </c>
      <c r="CS1010">
        <v>0</v>
      </c>
      <c r="CT1010">
        <v>21.4</v>
      </c>
      <c r="CU1010">
        <v>86</v>
      </c>
      <c r="CV1010">
        <v>0.28000000000000003</v>
      </c>
      <c r="CW1010">
        <v>48</v>
      </c>
      <c r="CX1010" t="s">
        <v>3035</v>
      </c>
    </row>
    <row r="1011" spans="1:102" x14ac:dyDescent="0.3">
      <c r="A1011" t="str">
        <f>HYPERLINK("https://webapp.icbf.com/v2/app/bull-search/view/714784740","MDW")</f>
        <v>MDW</v>
      </c>
      <c r="B1011" t="s">
        <v>7849</v>
      </c>
      <c r="C1011" t="s">
        <v>5735</v>
      </c>
      <c r="D1011" s="1">
        <v>39643</v>
      </c>
      <c r="E1011" t="s">
        <v>92</v>
      </c>
      <c r="F1011">
        <v>88</v>
      </c>
      <c r="G1011" t="s">
        <v>93</v>
      </c>
      <c r="H1011">
        <v>141.56</v>
      </c>
      <c r="I1011">
        <v>96</v>
      </c>
      <c r="J1011">
        <v>53.45</v>
      </c>
      <c r="K1011">
        <v>99</v>
      </c>
      <c r="L1011">
        <v>59.22</v>
      </c>
      <c r="M1011">
        <v>94</v>
      </c>
      <c r="N1011">
        <v>46.59</v>
      </c>
      <c r="O1011">
        <v>98</v>
      </c>
      <c r="P1011">
        <v>-9.7200000000000006</v>
      </c>
      <c r="Q1011">
        <v>99</v>
      </c>
      <c r="R1011">
        <v>-3.15</v>
      </c>
      <c r="S1011">
        <v>94</v>
      </c>
      <c r="T1011">
        <v>-12.81</v>
      </c>
      <c r="U1011">
        <v>98</v>
      </c>
      <c r="V1011">
        <v>7.98</v>
      </c>
      <c r="W1011">
        <v>82</v>
      </c>
      <c r="X1011" t="s">
        <v>94</v>
      </c>
      <c r="Y1011" t="s">
        <v>329</v>
      </c>
      <c r="Z1011" t="s">
        <v>330</v>
      </c>
      <c r="AA1011" t="s">
        <v>1493</v>
      </c>
      <c r="AB1011" t="s">
        <v>7850</v>
      </c>
      <c r="AC1011">
        <v>1729</v>
      </c>
      <c r="AD1011">
        <v>439</v>
      </c>
      <c r="AE1011">
        <v>99</v>
      </c>
      <c r="AF1011">
        <v>308.70999999999998</v>
      </c>
      <c r="AG1011">
        <v>8.92</v>
      </c>
      <c r="AH1011">
        <v>10.66</v>
      </c>
      <c r="AI1011">
        <v>-0.05</v>
      </c>
      <c r="AJ1011">
        <v>0</v>
      </c>
      <c r="AK1011">
        <v>94</v>
      </c>
      <c r="AL1011">
        <v>2013</v>
      </c>
      <c r="AM1011">
        <v>581</v>
      </c>
      <c r="AN1011">
        <v>-2.66</v>
      </c>
      <c r="AO1011">
        <v>2.0699999999999998</v>
      </c>
      <c r="AP1011">
        <v>3543</v>
      </c>
      <c r="AQ1011">
        <v>12</v>
      </c>
      <c r="AR1011">
        <v>3.92</v>
      </c>
      <c r="AS1011">
        <v>98</v>
      </c>
      <c r="AT1011">
        <v>1.8</v>
      </c>
      <c r="AU1011">
        <v>99</v>
      </c>
      <c r="AV1011">
        <v>-3.36</v>
      </c>
      <c r="AW1011">
        <v>99</v>
      </c>
      <c r="AX1011">
        <v>-0.21</v>
      </c>
      <c r="AY1011">
        <v>99</v>
      </c>
      <c r="AZ1011">
        <v>6.09</v>
      </c>
      <c r="BA1011">
        <v>96</v>
      </c>
      <c r="BB1011">
        <v>4.71</v>
      </c>
      <c r="BC1011">
        <v>95</v>
      </c>
      <c r="BD1011">
        <v>-0.01</v>
      </c>
      <c r="BE1011">
        <v>0.01</v>
      </c>
      <c r="BF1011">
        <v>7.0000000000000007E-2</v>
      </c>
      <c r="BG1011">
        <v>99</v>
      </c>
      <c r="BH1011">
        <v>0.24</v>
      </c>
      <c r="BI1011">
        <v>2.0299999999999998</v>
      </c>
      <c r="BJ1011">
        <v>25</v>
      </c>
      <c r="BK1011">
        <v>13</v>
      </c>
      <c r="BL1011">
        <v>0.06</v>
      </c>
      <c r="BM1011">
        <v>1.89</v>
      </c>
      <c r="BN1011">
        <v>-0.35</v>
      </c>
      <c r="BO1011">
        <v>-2.4300000000000002</v>
      </c>
      <c r="BP1011">
        <v>0.13</v>
      </c>
      <c r="BQ1011">
        <v>-1.61</v>
      </c>
      <c r="BR1011">
        <v>-1.57</v>
      </c>
      <c r="BS1011">
        <v>-0.77</v>
      </c>
      <c r="BT1011">
        <v>-0.13</v>
      </c>
      <c r="BU1011">
        <v>1</v>
      </c>
      <c r="BV1011">
        <v>-0.91</v>
      </c>
      <c r="BW1011">
        <v>0.17</v>
      </c>
      <c r="BX1011">
        <v>-0.54</v>
      </c>
      <c r="BY1011">
        <v>-0.34</v>
      </c>
      <c r="BZ1011">
        <v>2.42</v>
      </c>
      <c r="CA1011">
        <v>-0.01</v>
      </c>
      <c r="CB1011">
        <v>0.08</v>
      </c>
      <c r="CC1011">
        <v>-1.4</v>
      </c>
      <c r="CD1011">
        <v>2.2999999999999998</v>
      </c>
      <c r="CE1011">
        <v>-2.0699999999999998</v>
      </c>
      <c r="CF1011">
        <v>-0.38</v>
      </c>
      <c r="CG1011">
        <v>0</v>
      </c>
      <c r="CH1011">
        <v>-0.08</v>
      </c>
      <c r="CI1011">
        <v>0</v>
      </c>
      <c r="CJ1011">
        <v>-0.1</v>
      </c>
      <c r="CK1011">
        <v>99</v>
      </c>
      <c r="CL1011">
        <v>-1.06</v>
      </c>
      <c r="CM1011">
        <v>99</v>
      </c>
      <c r="CN1011">
        <v>-0.04</v>
      </c>
      <c r="CO1011">
        <v>99</v>
      </c>
      <c r="CP1011">
        <v>5.9</v>
      </c>
      <c r="CQ1011">
        <v>98</v>
      </c>
      <c r="CR1011">
        <v>0</v>
      </c>
      <c r="CS1011">
        <v>0</v>
      </c>
      <c r="CT1011">
        <v>31.1</v>
      </c>
      <c r="CU1011">
        <v>98</v>
      </c>
      <c r="CV1011">
        <v>0.28000000000000003</v>
      </c>
      <c r="CW1011">
        <v>47</v>
      </c>
      <c r="CX1011" t="s">
        <v>1089</v>
      </c>
    </row>
    <row r="1012" spans="1:102" x14ac:dyDescent="0.3">
      <c r="A1012" t="str">
        <f>HYPERLINK("https://webapp.icbf.com/v2/app/bull-search/view/910546180","PDW")</f>
        <v>PDW</v>
      </c>
      <c r="B1012" t="s">
        <v>5494</v>
      </c>
      <c r="C1012" t="s">
        <v>5495</v>
      </c>
      <c r="D1012" s="1">
        <v>40292</v>
      </c>
      <c r="E1012" t="s">
        <v>92</v>
      </c>
      <c r="F1012">
        <v>100</v>
      </c>
      <c r="G1012" t="s">
        <v>93</v>
      </c>
      <c r="H1012">
        <v>141.52000000000001</v>
      </c>
      <c r="I1012">
        <v>91</v>
      </c>
      <c r="J1012">
        <v>71.45</v>
      </c>
      <c r="K1012">
        <v>98</v>
      </c>
      <c r="L1012">
        <v>57.9</v>
      </c>
      <c r="M1012">
        <v>88</v>
      </c>
      <c r="N1012">
        <v>14.23</v>
      </c>
      <c r="O1012">
        <v>91</v>
      </c>
      <c r="P1012">
        <v>-13.12</v>
      </c>
      <c r="Q1012">
        <v>95</v>
      </c>
      <c r="R1012">
        <v>2.2799999999999998</v>
      </c>
      <c r="S1012">
        <v>82</v>
      </c>
      <c r="T1012">
        <v>2.13</v>
      </c>
      <c r="U1012">
        <v>89</v>
      </c>
      <c r="V1012">
        <v>6.65</v>
      </c>
      <c r="W1012">
        <v>74</v>
      </c>
      <c r="X1012" t="s">
        <v>94</v>
      </c>
      <c r="Y1012" t="s">
        <v>422</v>
      </c>
      <c r="Z1012" t="s">
        <v>96</v>
      </c>
      <c r="AA1012" t="s">
        <v>1572</v>
      </c>
      <c r="AB1012" t="s">
        <v>5496</v>
      </c>
      <c r="AC1012">
        <v>265</v>
      </c>
      <c r="AD1012">
        <v>87</v>
      </c>
      <c r="AE1012">
        <v>98</v>
      </c>
      <c r="AF1012">
        <v>329.01</v>
      </c>
      <c r="AG1012">
        <v>12.6</v>
      </c>
      <c r="AH1012">
        <v>12.73</v>
      </c>
      <c r="AI1012">
        <v>0</v>
      </c>
      <c r="AJ1012">
        <v>0.03</v>
      </c>
      <c r="AK1012">
        <v>88</v>
      </c>
      <c r="AL1012">
        <v>222</v>
      </c>
      <c r="AM1012">
        <v>72</v>
      </c>
      <c r="AN1012">
        <v>-2.95</v>
      </c>
      <c r="AO1012">
        <v>1.67</v>
      </c>
      <c r="AP1012">
        <v>441</v>
      </c>
      <c r="AQ1012">
        <v>4</v>
      </c>
      <c r="AR1012">
        <v>7.79</v>
      </c>
      <c r="AS1012">
        <v>87</v>
      </c>
      <c r="AT1012">
        <v>3.11</v>
      </c>
      <c r="AU1012">
        <v>93</v>
      </c>
      <c r="AV1012">
        <v>-1.93</v>
      </c>
      <c r="AW1012">
        <v>97</v>
      </c>
      <c r="AX1012">
        <v>0.52</v>
      </c>
      <c r="AY1012">
        <v>91</v>
      </c>
      <c r="AZ1012">
        <v>6.31</v>
      </c>
      <c r="BA1012">
        <v>78</v>
      </c>
      <c r="BB1012">
        <v>4.91</v>
      </c>
      <c r="BC1012">
        <v>73</v>
      </c>
      <c r="BD1012">
        <v>0.01</v>
      </c>
      <c r="BE1012">
        <v>-0.01</v>
      </c>
      <c r="BF1012">
        <v>-0.05</v>
      </c>
      <c r="BG1012">
        <v>94</v>
      </c>
      <c r="BH1012">
        <v>-0.06</v>
      </c>
      <c r="BI1012">
        <v>-28.38</v>
      </c>
      <c r="BJ1012">
        <v>88</v>
      </c>
      <c r="BK1012">
        <v>42</v>
      </c>
      <c r="BL1012">
        <v>2</v>
      </c>
      <c r="BM1012">
        <v>-2.5499999999999998</v>
      </c>
      <c r="BN1012">
        <v>-0.87</v>
      </c>
      <c r="BO1012">
        <v>1.2</v>
      </c>
      <c r="BP1012">
        <v>0.64</v>
      </c>
      <c r="BQ1012">
        <v>-0.28999999999999998</v>
      </c>
      <c r="BR1012">
        <v>-0.83</v>
      </c>
      <c r="BS1012">
        <v>1.1200000000000001</v>
      </c>
      <c r="BT1012">
        <v>0.13</v>
      </c>
      <c r="BU1012">
        <v>2.72</v>
      </c>
      <c r="BV1012">
        <v>3.64</v>
      </c>
      <c r="BW1012">
        <v>2.61</v>
      </c>
      <c r="BX1012">
        <v>2.57</v>
      </c>
      <c r="BY1012">
        <v>1.66</v>
      </c>
      <c r="BZ1012">
        <v>0.14000000000000001</v>
      </c>
      <c r="CA1012">
        <v>2.56</v>
      </c>
      <c r="CB1012">
        <v>2.4700000000000002</v>
      </c>
      <c r="CC1012">
        <v>1.2</v>
      </c>
      <c r="CD1012">
        <v>-1.75</v>
      </c>
      <c r="CE1012">
        <v>1.51</v>
      </c>
      <c r="CF1012">
        <v>0.97</v>
      </c>
      <c r="CG1012">
        <v>0</v>
      </c>
      <c r="CH1012">
        <v>1.68</v>
      </c>
      <c r="CI1012">
        <v>0</v>
      </c>
      <c r="CJ1012">
        <v>-5</v>
      </c>
      <c r="CK1012">
        <v>96</v>
      </c>
      <c r="CL1012">
        <v>-1.27</v>
      </c>
      <c r="CM1012">
        <v>95</v>
      </c>
      <c r="CN1012">
        <v>-0.63</v>
      </c>
      <c r="CO1012">
        <v>94</v>
      </c>
      <c r="CP1012">
        <v>-3.3</v>
      </c>
      <c r="CQ1012">
        <v>92</v>
      </c>
      <c r="CR1012">
        <v>0</v>
      </c>
      <c r="CS1012">
        <v>0</v>
      </c>
      <c r="CT1012">
        <v>10.9</v>
      </c>
      <c r="CU1012">
        <v>89</v>
      </c>
      <c r="CV1012">
        <v>0.26</v>
      </c>
      <c r="CW1012">
        <v>46</v>
      </c>
      <c r="CX1012" t="s">
        <v>309</v>
      </c>
    </row>
    <row r="1013" spans="1:102" x14ac:dyDescent="0.3">
      <c r="A1013" t="str">
        <f>HYPERLINK("https://webapp.icbf.com/v2/app/bull-search/view/543645288","LZI")</f>
        <v>LZI</v>
      </c>
      <c r="B1013" t="s">
        <v>6760</v>
      </c>
      <c r="C1013" t="s">
        <v>6761</v>
      </c>
      <c r="D1013" s="1">
        <v>38694</v>
      </c>
      <c r="E1013" t="s">
        <v>92</v>
      </c>
      <c r="F1013">
        <v>100</v>
      </c>
      <c r="G1013" t="s">
        <v>109</v>
      </c>
      <c r="H1013">
        <v>141.44</v>
      </c>
      <c r="I1013">
        <v>86</v>
      </c>
      <c r="J1013">
        <v>86.73</v>
      </c>
      <c r="K1013">
        <v>95</v>
      </c>
      <c r="L1013">
        <v>5.14</v>
      </c>
      <c r="M1013">
        <v>83</v>
      </c>
      <c r="N1013">
        <v>44.33</v>
      </c>
      <c r="O1013">
        <v>78</v>
      </c>
      <c r="P1013">
        <v>-1.5</v>
      </c>
      <c r="Q1013">
        <v>83</v>
      </c>
      <c r="R1013">
        <v>8.0299999999999994</v>
      </c>
      <c r="S1013">
        <v>80</v>
      </c>
      <c r="T1013">
        <v>-9.48</v>
      </c>
      <c r="U1013">
        <v>77</v>
      </c>
      <c r="V1013">
        <v>8.19</v>
      </c>
      <c r="W1013">
        <v>76</v>
      </c>
      <c r="X1013" t="s">
        <v>251</v>
      </c>
      <c r="Y1013" t="s">
        <v>1128</v>
      </c>
      <c r="Z1013" t="s">
        <v>96</v>
      </c>
      <c r="AA1013" t="s">
        <v>316</v>
      </c>
      <c r="AB1013" t="s">
        <v>6762</v>
      </c>
      <c r="AC1013">
        <v>40</v>
      </c>
      <c r="AD1013">
        <v>24</v>
      </c>
      <c r="AE1013">
        <v>95</v>
      </c>
      <c r="AF1013">
        <v>320.95999999999998</v>
      </c>
      <c r="AG1013">
        <v>15.33</v>
      </c>
      <c r="AH1013">
        <v>14.24</v>
      </c>
      <c r="AI1013">
        <v>0.05</v>
      </c>
      <c r="AJ1013">
        <v>0.06</v>
      </c>
      <c r="AK1013">
        <v>83</v>
      </c>
      <c r="AL1013">
        <v>37</v>
      </c>
      <c r="AM1013">
        <v>23</v>
      </c>
      <c r="AN1013">
        <v>0.48</v>
      </c>
      <c r="AO1013">
        <v>0.9</v>
      </c>
      <c r="AP1013">
        <v>66</v>
      </c>
      <c r="AQ1013">
        <v>2</v>
      </c>
      <c r="AR1013">
        <v>4.92</v>
      </c>
      <c r="AS1013">
        <v>66</v>
      </c>
      <c r="AT1013">
        <v>2.1800000000000002</v>
      </c>
      <c r="AU1013">
        <v>81</v>
      </c>
      <c r="AV1013">
        <v>-4.42</v>
      </c>
      <c r="AW1013">
        <v>87</v>
      </c>
      <c r="AX1013">
        <v>0.62</v>
      </c>
      <c r="AY1013">
        <v>69</v>
      </c>
      <c r="AZ1013">
        <v>6.05</v>
      </c>
      <c r="BA1013">
        <v>59</v>
      </c>
      <c r="BB1013">
        <v>5.61</v>
      </c>
      <c r="BC1013">
        <v>60</v>
      </c>
      <c r="BD1013">
        <v>-0.04</v>
      </c>
      <c r="BE1013">
        <v>-0.02</v>
      </c>
      <c r="BF1013">
        <v>-0.08</v>
      </c>
      <c r="BG1013">
        <v>89</v>
      </c>
      <c r="BH1013">
        <v>0.03</v>
      </c>
      <c r="BI1013">
        <v>-22.94</v>
      </c>
      <c r="BJ1013">
        <v>3</v>
      </c>
      <c r="BK1013">
        <v>3</v>
      </c>
      <c r="BL1013">
        <v>0.5</v>
      </c>
      <c r="BM1013">
        <v>2.16</v>
      </c>
      <c r="BN1013">
        <v>1.36</v>
      </c>
      <c r="BO1013">
        <v>-0.35</v>
      </c>
      <c r="BP1013">
        <v>-0.87</v>
      </c>
      <c r="BQ1013">
        <v>0.33</v>
      </c>
      <c r="BR1013">
        <v>-1.01</v>
      </c>
      <c r="BS1013">
        <v>-0.78</v>
      </c>
      <c r="BT1013">
        <v>0.76</v>
      </c>
      <c r="BU1013">
        <v>1.1100000000000001</v>
      </c>
      <c r="BV1013">
        <v>-0.75</v>
      </c>
      <c r="BW1013">
        <v>-0.06</v>
      </c>
      <c r="BX1013">
        <v>0.24</v>
      </c>
      <c r="BY1013">
        <v>2.15</v>
      </c>
      <c r="BZ1013">
        <v>-0.59</v>
      </c>
      <c r="CA1013">
        <v>0.34</v>
      </c>
      <c r="CB1013">
        <v>0.54</v>
      </c>
      <c r="CC1013">
        <v>-0.05</v>
      </c>
      <c r="CD1013">
        <v>1.3</v>
      </c>
      <c r="CE1013">
        <v>-0.02</v>
      </c>
      <c r="CF1013">
        <v>0.56000000000000005</v>
      </c>
      <c r="CG1013">
        <v>0</v>
      </c>
      <c r="CH1013">
        <v>1.72</v>
      </c>
      <c r="CI1013">
        <v>0</v>
      </c>
      <c r="CJ1013">
        <v>3.3</v>
      </c>
      <c r="CK1013">
        <v>85</v>
      </c>
      <c r="CL1013">
        <v>-0.94</v>
      </c>
      <c r="CM1013">
        <v>82</v>
      </c>
      <c r="CN1013">
        <v>-0.21</v>
      </c>
      <c r="CO1013">
        <v>80</v>
      </c>
      <c r="CP1013">
        <v>7.9</v>
      </c>
      <c r="CQ1013">
        <v>81</v>
      </c>
      <c r="CR1013">
        <v>0</v>
      </c>
      <c r="CS1013">
        <v>0</v>
      </c>
      <c r="CT1013">
        <v>26.6</v>
      </c>
      <c r="CU1013">
        <v>77</v>
      </c>
      <c r="CV1013">
        <v>0.31</v>
      </c>
      <c r="CW1013">
        <v>45</v>
      </c>
      <c r="CX1013" t="s">
        <v>273</v>
      </c>
    </row>
    <row r="1014" spans="1:102" x14ac:dyDescent="0.3">
      <c r="A1014" t="str">
        <f>HYPERLINK("https://webapp.icbf.com/v2/app/bull-search/view/1488778168","FR4268")</f>
        <v>FR4268</v>
      </c>
      <c r="B1014" t="s">
        <v>9777</v>
      </c>
      <c r="C1014" t="s">
        <v>9778</v>
      </c>
      <c r="D1014" s="1">
        <v>42374</v>
      </c>
      <c r="E1014" t="s">
        <v>92</v>
      </c>
      <c r="F1014">
        <v>100</v>
      </c>
      <c r="G1014" t="s">
        <v>435</v>
      </c>
      <c r="H1014">
        <v>141.41999999999999</v>
      </c>
      <c r="I1014">
        <v>66</v>
      </c>
      <c r="J1014">
        <v>78.430000000000007</v>
      </c>
      <c r="K1014">
        <v>87</v>
      </c>
      <c r="L1014">
        <v>15.78</v>
      </c>
      <c r="M1014">
        <v>66</v>
      </c>
      <c r="N1014">
        <v>32.299999999999997</v>
      </c>
      <c r="O1014">
        <v>53</v>
      </c>
      <c r="P1014">
        <v>7.86</v>
      </c>
      <c r="Q1014">
        <v>38</v>
      </c>
      <c r="R1014">
        <v>11.82</v>
      </c>
      <c r="S1014">
        <v>62</v>
      </c>
      <c r="T1014">
        <v>-11.26</v>
      </c>
      <c r="U1014">
        <v>34</v>
      </c>
      <c r="V1014">
        <v>6.49</v>
      </c>
      <c r="W1014">
        <v>52</v>
      </c>
      <c r="X1014" t="s">
        <v>276</v>
      </c>
      <c r="Y1014" t="s">
        <v>2261</v>
      </c>
      <c r="Z1014" t="s">
        <v>96</v>
      </c>
      <c r="AA1014" t="s">
        <v>2329</v>
      </c>
      <c r="AB1014" t="s">
        <v>9779</v>
      </c>
      <c r="AC1014">
        <v>0</v>
      </c>
      <c r="AD1014">
        <v>0</v>
      </c>
      <c r="AE1014">
        <v>87</v>
      </c>
      <c r="AF1014">
        <v>618.37</v>
      </c>
      <c r="AG1014">
        <v>12.22</v>
      </c>
      <c r="AH1014">
        <v>18.48</v>
      </c>
      <c r="AI1014">
        <v>-0.19</v>
      </c>
      <c r="AJ1014">
        <v>-0.04</v>
      </c>
      <c r="AK1014">
        <v>66</v>
      </c>
      <c r="AL1014">
        <v>0</v>
      </c>
      <c r="AM1014">
        <v>0</v>
      </c>
      <c r="AN1014">
        <v>-0.73</v>
      </c>
      <c r="AO1014">
        <v>0.53</v>
      </c>
      <c r="AP1014">
        <v>5</v>
      </c>
      <c r="AQ1014">
        <v>0</v>
      </c>
      <c r="AR1014">
        <v>8.8699999999999992</v>
      </c>
      <c r="AS1014">
        <v>51</v>
      </c>
      <c r="AT1014">
        <v>3.01</v>
      </c>
      <c r="AU1014">
        <v>84</v>
      </c>
      <c r="AV1014">
        <v>-3.97</v>
      </c>
      <c r="AW1014">
        <v>46</v>
      </c>
      <c r="AX1014">
        <v>-0.62</v>
      </c>
      <c r="AY1014">
        <v>41</v>
      </c>
      <c r="AZ1014">
        <v>5.85</v>
      </c>
      <c r="BA1014">
        <v>33</v>
      </c>
      <c r="BB1014">
        <v>4.8499999999999996</v>
      </c>
      <c r="BC1014">
        <v>32</v>
      </c>
      <c r="BD1014">
        <v>-0.01</v>
      </c>
      <c r="BE1014">
        <v>-0.05</v>
      </c>
      <c r="BF1014">
        <v>-0.16</v>
      </c>
      <c r="BG1014">
        <v>75</v>
      </c>
      <c r="BH1014">
        <v>-0.04</v>
      </c>
      <c r="BI1014">
        <v>-25.55</v>
      </c>
      <c r="BJ1014">
        <v>0</v>
      </c>
      <c r="BK1014">
        <v>0</v>
      </c>
      <c r="BL1014">
        <v>2.15</v>
      </c>
      <c r="BM1014">
        <v>-1.1000000000000001</v>
      </c>
      <c r="BN1014">
        <v>0.06</v>
      </c>
      <c r="BO1014">
        <v>1.1299999999999999</v>
      </c>
      <c r="BP1014">
        <v>0.37</v>
      </c>
      <c r="BQ1014">
        <v>1.43</v>
      </c>
      <c r="BR1014">
        <v>1.03</v>
      </c>
      <c r="BS1014">
        <v>1.3</v>
      </c>
      <c r="BT1014">
        <v>0.66</v>
      </c>
      <c r="BU1014">
        <v>3.86</v>
      </c>
      <c r="BV1014">
        <v>3.28</v>
      </c>
      <c r="BW1014">
        <v>1.27</v>
      </c>
      <c r="BX1014">
        <v>3.35</v>
      </c>
      <c r="BY1014">
        <v>0.5</v>
      </c>
      <c r="BZ1014">
        <v>1.33</v>
      </c>
      <c r="CA1014">
        <v>3.28</v>
      </c>
      <c r="CB1014">
        <v>3.12</v>
      </c>
      <c r="CC1014">
        <v>1.22</v>
      </c>
      <c r="CD1014">
        <v>-1.61</v>
      </c>
      <c r="CE1014">
        <v>1.47</v>
      </c>
      <c r="CF1014">
        <v>1.66</v>
      </c>
      <c r="CG1014">
        <v>0</v>
      </c>
      <c r="CH1014">
        <v>0.84</v>
      </c>
      <c r="CI1014">
        <v>0</v>
      </c>
      <c r="CJ1014">
        <v>4.7</v>
      </c>
      <c r="CK1014">
        <v>39</v>
      </c>
      <c r="CL1014">
        <v>-1.19</v>
      </c>
      <c r="CM1014">
        <v>38</v>
      </c>
      <c r="CN1014">
        <v>-1.03</v>
      </c>
      <c r="CO1014">
        <v>38</v>
      </c>
      <c r="CP1014">
        <v>10.6</v>
      </c>
      <c r="CQ1014">
        <v>35</v>
      </c>
      <c r="CR1014">
        <v>0</v>
      </c>
      <c r="CS1014">
        <v>0</v>
      </c>
      <c r="CT1014">
        <v>29</v>
      </c>
      <c r="CU1014">
        <v>34</v>
      </c>
      <c r="CV1014">
        <v>0.28000000000000003</v>
      </c>
      <c r="CW1014">
        <v>33</v>
      </c>
      <c r="CX1014" t="s">
        <v>465</v>
      </c>
    </row>
    <row r="1015" spans="1:102" x14ac:dyDescent="0.3">
      <c r="A1015" t="str">
        <f>HYPERLINK("https://webapp.icbf.com/v2/app/bull-search/view/1196692038","S2288")</f>
        <v>S2288</v>
      </c>
      <c r="B1015" t="s">
        <v>7867</v>
      </c>
      <c r="C1015" t="s">
        <v>2737</v>
      </c>
      <c r="D1015" s="1">
        <v>41186</v>
      </c>
      <c r="E1015" t="s">
        <v>92</v>
      </c>
      <c r="F1015">
        <v>100</v>
      </c>
      <c r="G1015" t="s">
        <v>109</v>
      </c>
      <c r="H1015">
        <v>141.35</v>
      </c>
      <c r="I1015">
        <v>68</v>
      </c>
      <c r="J1015">
        <v>39.85</v>
      </c>
      <c r="K1015">
        <v>81</v>
      </c>
      <c r="L1015">
        <v>42.54</v>
      </c>
      <c r="M1015">
        <v>77</v>
      </c>
      <c r="N1015">
        <v>47.48</v>
      </c>
      <c r="O1015">
        <v>73</v>
      </c>
      <c r="P1015">
        <v>-8.32</v>
      </c>
      <c r="Q1015">
        <v>48</v>
      </c>
      <c r="R1015">
        <v>4.51</v>
      </c>
      <c r="S1015">
        <v>55</v>
      </c>
      <c r="T1015">
        <v>11.46</v>
      </c>
      <c r="U1015">
        <v>26</v>
      </c>
      <c r="V1015">
        <v>3.83</v>
      </c>
      <c r="W1015">
        <v>17</v>
      </c>
      <c r="X1015" t="s">
        <v>102</v>
      </c>
      <c r="Y1015" t="s">
        <v>367</v>
      </c>
      <c r="Z1015" t="s">
        <v>96</v>
      </c>
      <c r="AA1015" t="s">
        <v>1894</v>
      </c>
      <c r="AB1015" t="s">
        <v>7868</v>
      </c>
      <c r="AC1015">
        <v>0</v>
      </c>
      <c r="AD1015">
        <v>0</v>
      </c>
      <c r="AE1015">
        <v>81</v>
      </c>
      <c r="AF1015">
        <v>407.35</v>
      </c>
      <c r="AG1015">
        <v>9.11</v>
      </c>
      <c r="AH1015">
        <v>9.7899999999999991</v>
      </c>
      <c r="AI1015">
        <v>-0.11</v>
      </c>
      <c r="AJ1015">
        <v>-0.06</v>
      </c>
      <c r="AK1015">
        <v>77</v>
      </c>
      <c r="AL1015">
        <v>0</v>
      </c>
      <c r="AM1015">
        <v>0</v>
      </c>
      <c r="AN1015">
        <v>-0.95</v>
      </c>
      <c r="AO1015">
        <v>2.46</v>
      </c>
      <c r="AP1015">
        <v>30</v>
      </c>
      <c r="AQ1015">
        <v>0</v>
      </c>
      <c r="AR1015">
        <v>4.8</v>
      </c>
      <c r="AS1015">
        <v>59</v>
      </c>
      <c r="AT1015">
        <v>2.12</v>
      </c>
      <c r="AU1015">
        <v>93</v>
      </c>
      <c r="AV1015">
        <v>-4.0999999999999996</v>
      </c>
      <c r="AW1015">
        <v>86</v>
      </c>
      <c r="AX1015">
        <v>0.09</v>
      </c>
      <c r="AY1015">
        <v>71</v>
      </c>
      <c r="AZ1015">
        <v>5.78</v>
      </c>
      <c r="BA1015">
        <v>25</v>
      </c>
      <c r="BB1015">
        <v>4.95</v>
      </c>
      <c r="BC1015">
        <v>18</v>
      </c>
      <c r="BD1015">
        <v>-0.01</v>
      </c>
      <c r="BE1015">
        <v>-0.03</v>
      </c>
      <c r="BF1015">
        <v>-0.03</v>
      </c>
      <c r="BG1015">
        <v>86</v>
      </c>
      <c r="BH1015">
        <v>-0.09</v>
      </c>
      <c r="BI1015">
        <v>-22.78</v>
      </c>
      <c r="BJ1015">
        <v>2</v>
      </c>
      <c r="BK1015">
        <v>2</v>
      </c>
      <c r="BL1015">
        <v>0.93</v>
      </c>
      <c r="BM1015">
        <v>-1.26</v>
      </c>
      <c r="BN1015">
        <v>0.15</v>
      </c>
      <c r="BO1015">
        <v>1.23</v>
      </c>
      <c r="BP1015">
        <v>2.1</v>
      </c>
      <c r="BQ1015">
        <v>-0.79</v>
      </c>
      <c r="BR1015">
        <v>-3.66</v>
      </c>
      <c r="BS1015">
        <v>3.08</v>
      </c>
      <c r="BT1015">
        <v>2.86</v>
      </c>
      <c r="BU1015">
        <v>2.0499999999999998</v>
      </c>
      <c r="BV1015">
        <v>2.46</v>
      </c>
      <c r="BW1015">
        <v>1.96</v>
      </c>
      <c r="BX1015">
        <v>2.0699999999999998</v>
      </c>
      <c r="BY1015">
        <v>1.7</v>
      </c>
      <c r="BZ1015">
        <v>-0.44</v>
      </c>
      <c r="CA1015">
        <v>2.77</v>
      </c>
      <c r="CB1015">
        <v>2.42</v>
      </c>
      <c r="CC1015">
        <v>2.19</v>
      </c>
      <c r="CD1015">
        <v>-0.85</v>
      </c>
      <c r="CE1015">
        <v>0.83</v>
      </c>
      <c r="CF1015">
        <v>0.77</v>
      </c>
      <c r="CG1015">
        <v>0</v>
      </c>
      <c r="CH1015">
        <v>1.89</v>
      </c>
      <c r="CI1015">
        <v>0</v>
      </c>
      <c r="CJ1015">
        <v>-2.9</v>
      </c>
      <c r="CK1015">
        <v>52</v>
      </c>
      <c r="CL1015">
        <v>-0.96</v>
      </c>
      <c r="CM1015">
        <v>45</v>
      </c>
      <c r="CN1015">
        <v>-0.54</v>
      </c>
      <c r="CO1015">
        <v>44</v>
      </c>
      <c r="CP1015">
        <v>-4.9000000000000004</v>
      </c>
      <c r="CQ1015">
        <v>32</v>
      </c>
      <c r="CR1015">
        <v>0</v>
      </c>
      <c r="CS1015">
        <v>0</v>
      </c>
      <c r="CT1015">
        <v>-1.7</v>
      </c>
      <c r="CU1015">
        <v>26</v>
      </c>
      <c r="CV1015">
        <v>0.23</v>
      </c>
      <c r="CW1015">
        <v>14</v>
      </c>
      <c r="CX1015" t="s">
        <v>1924</v>
      </c>
    </row>
    <row r="1016" spans="1:102" x14ac:dyDescent="0.3">
      <c r="A1016" t="str">
        <f>HYPERLINK("https://webapp.icbf.com/v2/app/bull-search/view/108368035","ATH")</f>
        <v>ATH</v>
      </c>
      <c r="B1016" t="s">
        <v>11139</v>
      </c>
      <c r="C1016" t="s">
        <v>7549</v>
      </c>
      <c r="D1016" s="1">
        <v>34932</v>
      </c>
      <c r="E1016" t="s">
        <v>92</v>
      </c>
      <c r="F1016">
        <v>94</v>
      </c>
      <c r="G1016" t="s">
        <v>93</v>
      </c>
      <c r="H1016">
        <v>141.32</v>
      </c>
      <c r="I1016">
        <v>97</v>
      </c>
      <c r="J1016">
        <v>26.46</v>
      </c>
      <c r="K1016">
        <v>99</v>
      </c>
      <c r="L1016">
        <v>93.06</v>
      </c>
      <c r="M1016">
        <v>93</v>
      </c>
      <c r="N1016">
        <v>5.34</v>
      </c>
      <c r="O1016">
        <v>97</v>
      </c>
      <c r="P1016">
        <v>-12.79</v>
      </c>
      <c r="Q1016">
        <v>99</v>
      </c>
      <c r="R1016">
        <v>0.25</v>
      </c>
      <c r="S1016">
        <v>96</v>
      </c>
      <c r="T1016">
        <v>28.26</v>
      </c>
      <c r="U1016">
        <v>98</v>
      </c>
      <c r="V1016">
        <v>0.74</v>
      </c>
      <c r="W1016">
        <v>97</v>
      </c>
      <c r="X1016" t="s">
        <v>302</v>
      </c>
      <c r="Y1016" t="s">
        <v>95</v>
      </c>
      <c r="Z1016" t="s">
        <v>96</v>
      </c>
      <c r="AA1016" t="s">
        <v>3908</v>
      </c>
      <c r="AB1016" t="s">
        <v>11140</v>
      </c>
      <c r="AC1016">
        <v>806</v>
      </c>
      <c r="AD1016">
        <v>282</v>
      </c>
      <c r="AE1016">
        <v>99</v>
      </c>
      <c r="AF1016">
        <v>48.36</v>
      </c>
      <c r="AG1016">
        <v>1.81</v>
      </c>
      <c r="AH1016">
        <v>4.5999999999999996</v>
      </c>
      <c r="AI1016">
        <v>0</v>
      </c>
      <c r="AJ1016">
        <v>0.05</v>
      </c>
      <c r="AK1016">
        <v>93</v>
      </c>
      <c r="AL1016">
        <v>814</v>
      </c>
      <c r="AM1016">
        <v>274</v>
      </c>
      <c r="AN1016">
        <v>-4.41</v>
      </c>
      <c r="AO1016">
        <v>3.02</v>
      </c>
      <c r="AP1016">
        <v>1514</v>
      </c>
      <c r="AQ1016">
        <v>10</v>
      </c>
      <c r="AR1016">
        <v>8.64</v>
      </c>
      <c r="AS1016">
        <v>92</v>
      </c>
      <c r="AT1016">
        <v>2.79</v>
      </c>
      <c r="AU1016">
        <v>98</v>
      </c>
      <c r="AV1016">
        <v>-0.41</v>
      </c>
      <c r="AW1016">
        <v>99</v>
      </c>
      <c r="AX1016">
        <v>0.63</v>
      </c>
      <c r="AY1016">
        <v>97</v>
      </c>
      <c r="AZ1016">
        <v>5.61</v>
      </c>
      <c r="BA1016">
        <v>92</v>
      </c>
      <c r="BB1016">
        <v>4.5</v>
      </c>
      <c r="BC1016">
        <v>94</v>
      </c>
      <c r="BD1016">
        <v>-0.01</v>
      </c>
      <c r="BE1016">
        <v>-0.01</v>
      </c>
      <c r="BF1016">
        <v>0.03</v>
      </c>
      <c r="BG1016">
        <v>98</v>
      </c>
      <c r="BH1016">
        <v>-0.02</v>
      </c>
      <c r="BI1016">
        <v>-4.6900000000000004</v>
      </c>
      <c r="BJ1016">
        <v>23</v>
      </c>
      <c r="BK1016">
        <v>10</v>
      </c>
      <c r="BL1016">
        <v>-1.35</v>
      </c>
      <c r="BM1016">
        <v>-0.28999999999999998</v>
      </c>
      <c r="BN1016">
        <v>-1.55</v>
      </c>
      <c r="BO1016">
        <v>-1.38</v>
      </c>
      <c r="BP1016">
        <v>-0.41</v>
      </c>
      <c r="BQ1016">
        <v>-2.0499999999999998</v>
      </c>
      <c r="BR1016">
        <v>2.0299999999999998</v>
      </c>
      <c r="BS1016">
        <v>-1.76</v>
      </c>
      <c r="BT1016">
        <v>-1.63</v>
      </c>
      <c r="BU1016">
        <v>-2.14</v>
      </c>
      <c r="BV1016">
        <v>-2.06</v>
      </c>
      <c r="BW1016">
        <v>-1.66</v>
      </c>
      <c r="BX1016">
        <v>-1.26</v>
      </c>
      <c r="BY1016">
        <v>-1.54</v>
      </c>
      <c r="BZ1016">
        <v>-0.44</v>
      </c>
      <c r="CA1016">
        <v>-1.71</v>
      </c>
      <c r="CB1016">
        <v>-1.88</v>
      </c>
      <c r="CC1016">
        <v>-0.96</v>
      </c>
      <c r="CD1016">
        <v>0.42</v>
      </c>
      <c r="CE1016">
        <v>-0.95</v>
      </c>
      <c r="CF1016">
        <v>-2.02</v>
      </c>
      <c r="CG1016">
        <v>0</v>
      </c>
      <c r="CH1016">
        <v>-1.72</v>
      </c>
      <c r="CI1016">
        <v>0</v>
      </c>
      <c r="CJ1016">
        <v>-6.8</v>
      </c>
      <c r="CK1016">
        <v>99</v>
      </c>
      <c r="CL1016">
        <v>-0.65</v>
      </c>
      <c r="CM1016">
        <v>99</v>
      </c>
      <c r="CN1016">
        <v>-0.51</v>
      </c>
      <c r="CO1016">
        <v>99</v>
      </c>
      <c r="CP1016">
        <v>-17.8</v>
      </c>
      <c r="CQ1016">
        <v>98</v>
      </c>
      <c r="CR1016">
        <v>0</v>
      </c>
      <c r="CS1016">
        <v>0</v>
      </c>
      <c r="CT1016">
        <v>-24.4</v>
      </c>
      <c r="CU1016">
        <v>98</v>
      </c>
      <c r="CV1016">
        <v>0.02</v>
      </c>
      <c r="CW1016">
        <v>46</v>
      </c>
      <c r="CX1016" t="s">
        <v>4295</v>
      </c>
    </row>
    <row r="1017" spans="1:102" x14ac:dyDescent="0.3">
      <c r="A1017" t="str">
        <f>HYPERLINK("https://webapp.icbf.com/v2/app/bull-search/view/877966531","DGC")</f>
        <v>DGC</v>
      </c>
      <c r="B1017" t="s">
        <v>3053</v>
      </c>
      <c r="C1017" t="s">
        <v>2711</v>
      </c>
      <c r="D1017" s="1">
        <v>40628</v>
      </c>
      <c r="E1017" t="s">
        <v>92</v>
      </c>
      <c r="F1017">
        <v>78</v>
      </c>
      <c r="G1017" t="s">
        <v>93</v>
      </c>
      <c r="H1017">
        <v>141.26</v>
      </c>
      <c r="I1017">
        <v>97</v>
      </c>
      <c r="J1017">
        <v>54.62</v>
      </c>
      <c r="K1017">
        <v>99</v>
      </c>
      <c r="L1017">
        <v>45.57</v>
      </c>
      <c r="M1017">
        <v>96</v>
      </c>
      <c r="N1017">
        <v>45.41</v>
      </c>
      <c r="O1017">
        <v>99</v>
      </c>
      <c r="P1017">
        <v>-15.34</v>
      </c>
      <c r="Q1017">
        <v>99</v>
      </c>
      <c r="R1017">
        <v>1.36</v>
      </c>
      <c r="S1017">
        <v>97</v>
      </c>
      <c r="T1017">
        <v>5.98</v>
      </c>
      <c r="U1017">
        <v>99</v>
      </c>
      <c r="V1017">
        <v>3.66</v>
      </c>
      <c r="W1017">
        <v>86</v>
      </c>
      <c r="X1017" t="s">
        <v>102</v>
      </c>
      <c r="Y1017" t="s">
        <v>1860</v>
      </c>
      <c r="Z1017" t="s">
        <v>96</v>
      </c>
      <c r="AA1017" t="s">
        <v>1939</v>
      </c>
      <c r="AB1017" t="s">
        <v>3054</v>
      </c>
      <c r="AC1017">
        <v>5584</v>
      </c>
      <c r="AD1017">
        <v>1201</v>
      </c>
      <c r="AE1017">
        <v>99</v>
      </c>
      <c r="AF1017">
        <v>136</v>
      </c>
      <c r="AG1017">
        <v>10.46</v>
      </c>
      <c r="AH1017">
        <v>7.67</v>
      </c>
      <c r="AI1017">
        <v>0.09</v>
      </c>
      <c r="AJ1017">
        <v>0.05</v>
      </c>
      <c r="AK1017">
        <v>96</v>
      </c>
      <c r="AL1017">
        <v>7002</v>
      </c>
      <c r="AM1017">
        <v>1604</v>
      </c>
      <c r="AN1017">
        <v>-1.27</v>
      </c>
      <c r="AO1017">
        <v>2.38</v>
      </c>
      <c r="AP1017">
        <v>11783</v>
      </c>
      <c r="AQ1017">
        <v>91</v>
      </c>
      <c r="AR1017">
        <v>5.5</v>
      </c>
      <c r="AS1017">
        <v>99</v>
      </c>
      <c r="AT1017">
        <v>2.12</v>
      </c>
      <c r="AU1017">
        <v>99</v>
      </c>
      <c r="AV1017">
        <v>-3.61</v>
      </c>
      <c r="AW1017">
        <v>99</v>
      </c>
      <c r="AX1017">
        <v>-0.43</v>
      </c>
      <c r="AY1017">
        <v>99</v>
      </c>
      <c r="AZ1017">
        <v>5.72</v>
      </c>
      <c r="BA1017">
        <v>99</v>
      </c>
      <c r="BB1017">
        <v>4.58</v>
      </c>
      <c r="BC1017">
        <v>98</v>
      </c>
      <c r="BD1017">
        <v>-0.05</v>
      </c>
      <c r="BE1017">
        <v>-0.02</v>
      </c>
      <c r="BF1017">
        <v>0.09</v>
      </c>
      <c r="BG1017">
        <v>99</v>
      </c>
      <c r="BH1017">
        <v>0.01</v>
      </c>
      <c r="BI1017">
        <v>-10.65</v>
      </c>
      <c r="BJ1017">
        <v>232</v>
      </c>
      <c r="BK1017">
        <v>81</v>
      </c>
      <c r="BL1017">
        <v>-0.32</v>
      </c>
      <c r="BM1017">
        <v>0.03</v>
      </c>
      <c r="BN1017">
        <v>1.03</v>
      </c>
      <c r="BO1017">
        <v>0.9</v>
      </c>
      <c r="BP1017">
        <v>0.23</v>
      </c>
      <c r="BQ1017">
        <v>0.12</v>
      </c>
      <c r="BR1017">
        <v>3.01</v>
      </c>
      <c r="BS1017">
        <v>0.59</v>
      </c>
      <c r="BT1017">
        <v>-1.35</v>
      </c>
      <c r="BU1017">
        <v>1.95</v>
      </c>
      <c r="BV1017">
        <v>0.64</v>
      </c>
      <c r="BW1017">
        <v>0.35</v>
      </c>
      <c r="BX1017">
        <v>0.36</v>
      </c>
      <c r="BY1017">
        <v>0.16</v>
      </c>
      <c r="BZ1017">
        <v>0.21</v>
      </c>
      <c r="CA1017">
        <v>0.53</v>
      </c>
      <c r="CB1017">
        <v>0.89</v>
      </c>
      <c r="CC1017">
        <v>-0.2</v>
      </c>
      <c r="CD1017">
        <v>-0.37</v>
      </c>
      <c r="CE1017">
        <v>0.43</v>
      </c>
      <c r="CF1017">
        <v>0.38</v>
      </c>
      <c r="CG1017">
        <v>0</v>
      </c>
      <c r="CH1017">
        <v>0.12</v>
      </c>
      <c r="CI1017">
        <v>0</v>
      </c>
      <c r="CJ1017">
        <v>-6.2</v>
      </c>
      <c r="CK1017">
        <v>99</v>
      </c>
      <c r="CL1017">
        <v>-0.96</v>
      </c>
      <c r="CM1017">
        <v>99</v>
      </c>
      <c r="CN1017">
        <v>-0.31</v>
      </c>
      <c r="CO1017">
        <v>99</v>
      </c>
      <c r="CP1017">
        <v>-3.4</v>
      </c>
      <c r="CQ1017">
        <v>99</v>
      </c>
      <c r="CR1017">
        <v>0</v>
      </c>
      <c r="CS1017">
        <v>0</v>
      </c>
      <c r="CT1017">
        <v>5.7</v>
      </c>
      <c r="CU1017">
        <v>99</v>
      </c>
      <c r="CV1017">
        <v>0.19</v>
      </c>
      <c r="CW1017">
        <v>48</v>
      </c>
      <c r="CX1017" t="s">
        <v>1883</v>
      </c>
    </row>
    <row r="1018" spans="1:102" x14ac:dyDescent="0.3">
      <c r="A1018" t="str">
        <f>HYPERLINK("https://webapp.icbf.com/v2/app/bull-search/view/946899768","OKF")</f>
        <v>OKF</v>
      </c>
      <c r="B1018" t="s">
        <v>13139</v>
      </c>
      <c r="C1018" t="s">
        <v>13140</v>
      </c>
      <c r="D1018" s="1">
        <v>40940</v>
      </c>
      <c r="E1018" t="s">
        <v>92</v>
      </c>
      <c r="F1018">
        <v>84</v>
      </c>
      <c r="G1018" t="s">
        <v>93</v>
      </c>
      <c r="H1018">
        <v>141.19999999999999</v>
      </c>
      <c r="I1018">
        <v>87</v>
      </c>
      <c r="J1018">
        <v>57.5</v>
      </c>
      <c r="K1018">
        <v>97</v>
      </c>
      <c r="L1018">
        <v>55.6</v>
      </c>
      <c r="M1018">
        <v>79</v>
      </c>
      <c r="N1018">
        <v>27.21</v>
      </c>
      <c r="O1018">
        <v>86</v>
      </c>
      <c r="P1018">
        <v>-0.47</v>
      </c>
      <c r="Q1018">
        <v>92</v>
      </c>
      <c r="R1018">
        <v>10.35</v>
      </c>
      <c r="S1018">
        <v>80</v>
      </c>
      <c r="T1018">
        <v>1.62</v>
      </c>
      <c r="U1018">
        <v>84</v>
      </c>
      <c r="V1018">
        <v>-10.61</v>
      </c>
      <c r="W1018">
        <v>75</v>
      </c>
      <c r="X1018" t="s">
        <v>94</v>
      </c>
      <c r="Y1018" t="s">
        <v>1860</v>
      </c>
      <c r="Z1018" t="s">
        <v>96</v>
      </c>
      <c r="AA1018" t="s">
        <v>5692</v>
      </c>
      <c r="AB1018" t="s">
        <v>13141</v>
      </c>
      <c r="AC1018">
        <v>100</v>
      </c>
      <c r="AD1018">
        <v>76</v>
      </c>
      <c r="AE1018">
        <v>97</v>
      </c>
      <c r="AF1018">
        <v>143.57</v>
      </c>
      <c r="AG1018">
        <v>9.6</v>
      </c>
      <c r="AH1018">
        <v>8.58</v>
      </c>
      <c r="AI1018">
        <v>7.0000000000000007E-2</v>
      </c>
      <c r="AJ1018">
        <v>0.06</v>
      </c>
      <c r="AK1018">
        <v>79</v>
      </c>
      <c r="AL1018">
        <v>107</v>
      </c>
      <c r="AM1018">
        <v>80</v>
      </c>
      <c r="AN1018">
        <v>-3.36</v>
      </c>
      <c r="AO1018">
        <v>1.07</v>
      </c>
      <c r="AP1018">
        <v>247</v>
      </c>
      <c r="AQ1018">
        <v>6</v>
      </c>
      <c r="AR1018">
        <v>5.03</v>
      </c>
      <c r="AS1018">
        <v>72</v>
      </c>
      <c r="AT1018">
        <v>2.11</v>
      </c>
      <c r="AU1018">
        <v>89</v>
      </c>
      <c r="AV1018">
        <v>-1.44</v>
      </c>
      <c r="AW1018">
        <v>97</v>
      </c>
      <c r="AX1018">
        <v>0.57999999999999996</v>
      </c>
      <c r="AY1018">
        <v>83</v>
      </c>
      <c r="AZ1018">
        <v>5.44</v>
      </c>
      <c r="BA1018">
        <v>66</v>
      </c>
      <c r="BB1018">
        <v>4.53</v>
      </c>
      <c r="BC1018">
        <v>65</v>
      </c>
      <c r="BD1018">
        <v>-0.09</v>
      </c>
      <c r="BE1018">
        <v>-0.02</v>
      </c>
      <c r="BF1018">
        <v>-0.05</v>
      </c>
      <c r="BG1018">
        <v>89</v>
      </c>
      <c r="BH1018">
        <v>-0.31</v>
      </c>
      <c r="BI1018">
        <v>-1.65</v>
      </c>
      <c r="BJ1018">
        <v>32</v>
      </c>
      <c r="BK1018">
        <v>22</v>
      </c>
      <c r="BL1018">
        <v>0.24</v>
      </c>
      <c r="BM1018">
        <v>0.95</v>
      </c>
      <c r="BN1018">
        <v>0.85</v>
      </c>
      <c r="BO1018">
        <v>0.23</v>
      </c>
      <c r="BP1018">
        <v>-0.68</v>
      </c>
      <c r="BQ1018">
        <v>-0.73</v>
      </c>
      <c r="BR1018">
        <v>1.94</v>
      </c>
      <c r="BS1018">
        <v>-1.56</v>
      </c>
      <c r="BT1018">
        <v>-2.78</v>
      </c>
      <c r="BU1018">
        <v>-1.18</v>
      </c>
      <c r="BV1018">
        <v>-1.22</v>
      </c>
      <c r="BW1018">
        <v>-1.42</v>
      </c>
      <c r="BX1018">
        <v>-1.2</v>
      </c>
      <c r="BY1018">
        <v>-2.59</v>
      </c>
      <c r="BZ1018">
        <v>0.25</v>
      </c>
      <c r="CA1018">
        <v>-1.45</v>
      </c>
      <c r="CB1018">
        <v>-1.28</v>
      </c>
      <c r="CC1018">
        <v>-1.06</v>
      </c>
      <c r="CD1018">
        <v>-0.16</v>
      </c>
      <c r="CE1018">
        <v>-0.05</v>
      </c>
      <c r="CF1018">
        <v>-0.1</v>
      </c>
      <c r="CG1018">
        <v>0</v>
      </c>
      <c r="CH1018">
        <v>-2.72</v>
      </c>
      <c r="CI1018">
        <v>0</v>
      </c>
      <c r="CJ1018">
        <v>2.8</v>
      </c>
      <c r="CK1018">
        <v>93</v>
      </c>
      <c r="CL1018">
        <v>-0.71</v>
      </c>
      <c r="CM1018">
        <v>91</v>
      </c>
      <c r="CN1018">
        <v>-0.19</v>
      </c>
      <c r="CO1018">
        <v>90</v>
      </c>
      <c r="CP1018">
        <v>5.0999999999999996</v>
      </c>
      <c r="CQ1018">
        <v>85</v>
      </c>
      <c r="CR1018">
        <v>0</v>
      </c>
      <c r="CS1018">
        <v>0</v>
      </c>
      <c r="CT1018">
        <v>11.6</v>
      </c>
      <c r="CU1018">
        <v>84</v>
      </c>
      <c r="CV1018">
        <v>0.24</v>
      </c>
      <c r="CW1018">
        <v>45</v>
      </c>
      <c r="CX1018" t="s">
        <v>1883</v>
      </c>
    </row>
    <row r="1019" spans="1:102" x14ac:dyDescent="0.3">
      <c r="A1019" t="str">
        <f>HYPERLINK("https://webapp.icbf.com/v2/app/bull-search/view/1028754687","S1660")</f>
        <v>S1660</v>
      </c>
      <c r="B1019" t="s">
        <v>14696</v>
      </c>
      <c r="C1019" t="s">
        <v>14697</v>
      </c>
      <c r="D1019" s="1">
        <v>40577</v>
      </c>
      <c r="E1019" t="s">
        <v>92</v>
      </c>
      <c r="F1019">
        <v>100</v>
      </c>
      <c r="G1019" t="s">
        <v>109</v>
      </c>
      <c r="H1019">
        <v>141.19999999999999</v>
      </c>
      <c r="I1019">
        <v>62</v>
      </c>
      <c r="J1019">
        <v>104.65</v>
      </c>
      <c r="K1019">
        <v>79</v>
      </c>
      <c r="L1019">
        <v>-2.19</v>
      </c>
      <c r="M1019">
        <v>76</v>
      </c>
      <c r="N1019">
        <v>36.97</v>
      </c>
      <c r="O1019">
        <v>38</v>
      </c>
      <c r="P1019">
        <v>-1.77</v>
      </c>
      <c r="Q1019">
        <v>33</v>
      </c>
      <c r="R1019">
        <v>3.73</v>
      </c>
      <c r="S1019">
        <v>53</v>
      </c>
      <c r="T1019">
        <v>1.76</v>
      </c>
      <c r="U1019">
        <v>16</v>
      </c>
      <c r="V1019">
        <v>-1.95</v>
      </c>
      <c r="W1019">
        <v>14</v>
      </c>
      <c r="X1019" t="s">
        <v>428</v>
      </c>
      <c r="Y1019" t="s">
        <v>362</v>
      </c>
      <c r="Z1019" t="s">
        <v>96</v>
      </c>
      <c r="AA1019" t="s">
        <v>2423</v>
      </c>
      <c r="AB1019" t="s">
        <v>14698</v>
      </c>
      <c r="AC1019">
        <v>0</v>
      </c>
      <c r="AD1019">
        <v>0</v>
      </c>
      <c r="AE1019">
        <v>79</v>
      </c>
      <c r="AF1019">
        <v>711.21</v>
      </c>
      <c r="AG1019">
        <v>25.34</v>
      </c>
      <c r="AH1019">
        <v>19.72</v>
      </c>
      <c r="AI1019">
        <v>-0.04</v>
      </c>
      <c r="AJ1019">
        <v>-7.0000000000000007E-2</v>
      </c>
      <c r="AK1019">
        <v>76</v>
      </c>
      <c r="AL1019">
        <v>0</v>
      </c>
      <c r="AM1019">
        <v>0</v>
      </c>
      <c r="AN1019">
        <v>0.47</v>
      </c>
      <c r="AO1019">
        <v>0.3</v>
      </c>
      <c r="AP1019">
        <v>12</v>
      </c>
      <c r="AQ1019">
        <v>0</v>
      </c>
      <c r="AR1019">
        <v>6.84</v>
      </c>
      <c r="AS1019">
        <v>25</v>
      </c>
      <c r="AT1019">
        <v>3</v>
      </c>
      <c r="AU1019">
        <v>87</v>
      </c>
      <c r="AV1019">
        <v>-3.49</v>
      </c>
      <c r="AW1019">
        <v>24</v>
      </c>
      <c r="AX1019">
        <v>-0.84</v>
      </c>
      <c r="AY1019">
        <v>30</v>
      </c>
      <c r="AZ1019">
        <v>5.46</v>
      </c>
      <c r="BA1019">
        <v>16</v>
      </c>
      <c r="BB1019">
        <v>4.43</v>
      </c>
      <c r="BC1019">
        <v>10</v>
      </c>
      <c r="BD1019">
        <v>-0.01</v>
      </c>
      <c r="BE1019">
        <v>-0.01</v>
      </c>
      <c r="BF1019">
        <v>-0.05</v>
      </c>
      <c r="BG1019">
        <v>85</v>
      </c>
      <c r="BH1019">
        <v>-0.08</v>
      </c>
      <c r="BI1019">
        <v>-2.95</v>
      </c>
      <c r="BJ1019">
        <v>3</v>
      </c>
      <c r="BK1019">
        <v>2</v>
      </c>
      <c r="BL1019">
        <v>1.33</v>
      </c>
      <c r="BM1019">
        <v>-1.53</v>
      </c>
      <c r="BN1019">
        <v>0.05</v>
      </c>
      <c r="BO1019">
        <v>1.4</v>
      </c>
      <c r="BP1019">
        <v>1.22</v>
      </c>
      <c r="BQ1019">
        <v>0.17</v>
      </c>
      <c r="BR1019">
        <v>2.11</v>
      </c>
      <c r="BS1019">
        <v>1.24</v>
      </c>
      <c r="BT1019">
        <v>-1.67</v>
      </c>
      <c r="BU1019">
        <v>1.27</v>
      </c>
      <c r="BV1019">
        <v>2.85</v>
      </c>
      <c r="BW1019">
        <v>3.11</v>
      </c>
      <c r="BX1019">
        <v>1.52</v>
      </c>
      <c r="BY1019">
        <v>2.39</v>
      </c>
      <c r="BZ1019">
        <v>-3.27</v>
      </c>
      <c r="CA1019">
        <v>2.16</v>
      </c>
      <c r="CB1019">
        <v>2.21</v>
      </c>
      <c r="CC1019">
        <v>1.07</v>
      </c>
      <c r="CD1019">
        <v>-1.54</v>
      </c>
      <c r="CE1019">
        <v>0.85</v>
      </c>
      <c r="CF1019">
        <v>0.42</v>
      </c>
      <c r="CG1019">
        <v>0</v>
      </c>
      <c r="CH1019">
        <v>1.84</v>
      </c>
      <c r="CI1019">
        <v>0</v>
      </c>
      <c r="CJ1019">
        <v>1.5</v>
      </c>
      <c r="CK1019">
        <v>35</v>
      </c>
      <c r="CL1019">
        <v>-1.02</v>
      </c>
      <c r="CM1019">
        <v>32</v>
      </c>
      <c r="CN1019">
        <v>-0.57999999999999996</v>
      </c>
      <c r="CO1019">
        <v>31</v>
      </c>
      <c r="CP1019">
        <v>-0.7</v>
      </c>
      <c r="CQ1019">
        <v>20</v>
      </c>
      <c r="CR1019">
        <v>0</v>
      </c>
      <c r="CS1019">
        <v>0</v>
      </c>
      <c r="CT1019">
        <v>11.4</v>
      </c>
      <c r="CU1019">
        <v>16</v>
      </c>
      <c r="CV1019">
        <v>0.35</v>
      </c>
      <c r="CW1019">
        <v>10</v>
      </c>
      <c r="CX1019" t="s">
        <v>1962</v>
      </c>
    </row>
    <row r="1020" spans="1:102" x14ac:dyDescent="0.3">
      <c r="A1020" t="str">
        <f>HYPERLINK("https://webapp.icbf.com/v2/app/bull-search/view/391631037","MLC")</f>
        <v>MLC</v>
      </c>
      <c r="B1020" t="s">
        <v>4474</v>
      </c>
      <c r="C1020" t="s">
        <v>4475</v>
      </c>
      <c r="D1020" s="1">
        <v>36724</v>
      </c>
      <c r="E1020" t="s">
        <v>108</v>
      </c>
      <c r="F1020">
        <v>44</v>
      </c>
      <c r="G1020" t="s">
        <v>93</v>
      </c>
      <c r="H1020">
        <v>141.16</v>
      </c>
      <c r="I1020">
        <v>95</v>
      </c>
      <c r="J1020">
        <v>60.5</v>
      </c>
      <c r="K1020">
        <v>99</v>
      </c>
      <c r="L1020">
        <v>53.38</v>
      </c>
      <c r="M1020">
        <v>91</v>
      </c>
      <c r="N1020">
        <v>13.37</v>
      </c>
      <c r="O1020">
        <v>95</v>
      </c>
      <c r="P1020">
        <v>-19.54</v>
      </c>
      <c r="Q1020">
        <v>98</v>
      </c>
      <c r="R1020">
        <v>1.45</v>
      </c>
      <c r="S1020">
        <v>93</v>
      </c>
      <c r="T1020">
        <v>22.26</v>
      </c>
      <c r="U1020">
        <v>96</v>
      </c>
      <c r="V1020">
        <v>9.74</v>
      </c>
      <c r="W1020">
        <v>95</v>
      </c>
      <c r="X1020" t="s">
        <v>302</v>
      </c>
      <c r="Y1020" t="s">
        <v>95</v>
      </c>
      <c r="Z1020" t="s">
        <v>330</v>
      </c>
      <c r="AA1020" t="s">
        <v>1035</v>
      </c>
      <c r="AB1020" t="s">
        <v>4476</v>
      </c>
      <c r="AC1020">
        <v>451</v>
      </c>
      <c r="AD1020">
        <v>168</v>
      </c>
      <c r="AE1020">
        <v>99</v>
      </c>
      <c r="AF1020">
        <v>313.75</v>
      </c>
      <c r="AG1020">
        <v>12.13</v>
      </c>
      <c r="AH1020">
        <v>10.8</v>
      </c>
      <c r="AI1020">
        <v>0</v>
      </c>
      <c r="AJ1020">
        <v>0</v>
      </c>
      <c r="AK1020">
        <v>91</v>
      </c>
      <c r="AL1020">
        <v>457</v>
      </c>
      <c r="AM1020">
        <v>157</v>
      </c>
      <c r="AN1020">
        <v>-1.1299999999999999</v>
      </c>
      <c r="AO1020">
        <v>3.15</v>
      </c>
      <c r="AP1020">
        <v>827</v>
      </c>
      <c r="AQ1020">
        <v>2</v>
      </c>
      <c r="AR1020">
        <v>9.6999999999999993</v>
      </c>
      <c r="AS1020">
        <v>92</v>
      </c>
      <c r="AT1020">
        <v>3.47</v>
      </c>
      <c r="AU1020">
        <v>96</v>
      </c>
      <c r="AV1020">
        <v>-2.4500000000000002</v>
      </c>
      <c r="AW1020">
        <v>99</v>
      </c>
      <c r="AX1020">
        <v>0.39</v>
      </c>
      <c r="AY1020">
        <v>95</v>
      </c>
      <c r="AZ1020">
        <v>5.13</v>
      </c>
      <c r="BA1020">
        <v>87</v>
      </c>
      <c r="BB1020">
        <v>4.53</v>
      </c>
      <c r="BC1020">
        <v>88</v>
      </c>
      <c r="BD1020">
        <v>0.04</v>
      </c>
      <c r="BE1020">
        <v>0</v>
      </c>
      <c r="BF1020">
        <v>-0.1</v>
      </c>
      <c r="BG1020">
        <v>97</v>
      </c>
      <c r="BH1020">
        <v>0.26</v>
      </c>
      <c r="BI1020">
        <v>-1.34</v>
      </c>
      <c r="BJ1020">
        <v>6</v>
      </c>
      <c r="BK1020">
        <v>5</v>
      </c>
      <c r="BL1020">
        <v>-1.6</v>
      </c>
      <c r="BM1020">
        <v>-0.1</v>
      </c>
      <c r="BN1020">
        <v>-0.99</v>
      </c>
      <c r="BO1020">
        <v>-0.5</v>
      </c>
      <c r="BP1020">
        <v>-2.0099999999999998</v>
      </c>
      <c r="BQ1020">
        <v>-0.56000000000000005</v>
      </c>
      <c r="BR1020">
        <v>0.41</v>
      </c>
      <c r="BS1020">
        <v>-0.56999999999999995</v>
      </c>
      <c r="BT1020">
        <v>-1.85</v>
      </c>
      <c r="BU1020">
        <v>-1.48</v>
      </c>
      <c r="BV1020">
        <v>-1.86</v>
      </c>
      <c r="BW1020">
        <v>-2.36</v>
      </c>
      <c r="BX1020">
        <v>-2</v>
      </c>
      <c r="BY1020">
        <v>-2.12</v>
      </c>
      <c r="BZ1020">
        <v>2.36</v>
      </c>
      <c r="CA1020">
        <v>-1.73</v>
      </c>
      <c r="CB1020">
        <v>-2.1</v>
      </c>
      <c r="CC1020">
        <v>-1.17</v>
      </c>
      <c r="CD1020">
        <v>0.16</v>
      </c>
      <c r="CE1020">
        <v>-0.77</v>
      </c>
      <c r="CF1020">
        <v>-0.91</v>
      </c>
      <c r="CG1020">
        <v>0</v>
      </c>
      <c r="CH1020">
        <v>-2.5</v>
      </c>
      <c r="CI1020">
        <v>0</v>
      </c>
      <c r="CJ1020">
        <v>-8.6</v>
      </c>
      <c r="CK1020">
        <v>98</v>
      </c>
      <c r="CL1020">
        <v>-0.81</v>
      </c>
      <c r="CM1020">
        <v>98</v>
      </c>
      <c r="CN1020">
        <v>-0.26</v>
      </c>
      <c r="CO1020">
        <v>98</v>
      </c>
      <c r="CP1020">
        <v>-15.7</v>
      </c>
      <c r="CQ1020">
        <v>97</v>
      </c>
      <c r="CR1020">
        <v>0</v>
      </c>
      <c r="CS1020">
        <v>0</v>
      </c>
      <c r="CT1020">
        <v>-16.3</v>
      </c>
      <c r="CU1020">
        <v>96</v>
      </c>
      <c r="CV1020">
        <v>0.12</v>
      </c>
      <c r="CW1020">
        <v>46</v>
      </c>
      <c r="CX1020" t="s">
        <v>734</v>
      </c>
    </row>
    <row r="1021" spans="1:102" x14ac:dyDescent="0.3">
      <c r="A1021" t="str">
        <f>HYPERLINK("https://webapp.icbf.com/v2/app/bull-search/view/390410358","DKE")</f>
        <v>DKE</v>
      </c>
      <c r="B1021" t="s">
        <v>15437</v>
      </c>
      <c r="C1021" t="s">
        <v>15438</v>
      </c>
      <c r="D1021" s="1">
        <v>38367</v>
      </c>
      <c r="E1021" t="s">
        <v>92</v>
      </c>
      <c r="F1021">
        <v>84</v>
      </c>
      <c r="G1021" t="s">
        <v>93</v>
      </c>
      <c r="H1021">
        <v>141.13</v>
      </c>
      <c r="I1021">
        <v>95</v>
      </c>
      <c r="J1021">
        <v>69</v>
      </c>
      <c r="K1021">
        <v>99</v>
      </c>
      <c r="L1021">
        <v>15.17</v>
      </c>
      <c r="M1021">
        <v>90</v>
      </c>
      <c r="N1021">
        <v>36</v>
      </c>
      <c r="O1021">
        <v>96</v>
      </c>
      <c r="P1021">
        <v>-2.48</v>
      </c>
      <c r="Q1021">
        <v>98</v>
      </c>
      <c r="R1021">
        <v>7.76</v>
      </c>
      <c r="S1021">
        <v>93</v>
      </c>
      <c r="T1021">
        <v>7.98</v>
      </c>
      <c r="U1021">
        <v>97</v>
      </c>
      <c r="V1021">
        <v>7.7</v>
      </c>
      <c r="W1021">
        <v>95</v>
      </c>
      <c r="X1021" t="s">
        <v>94</v>
      </c>
      <c r="Y1021" t="s">
        <v>1164</v>
      </c>
      <c r="Z1021" t="s">
        <v>96</v>
      </c>
      <c r="AA1021" t="s">
        <v>1165</v>
      </c>
      <c r="AB1021" t="s">
        <v>15439</v>
      </c>
      <c r="AC1021">
        <v>461</v>
      </c>
      <c r="AD1021">
        <v>266</v>
      </c>
      <c r="AE1021">
        <v>99</v>
      </c>
      <c r="AF1021">
        <v>-13.35</v>
      </c>
      <c r="AG1021">
        <v>15.52</v>
      </c>
      <c r="AH1021">
        <v>6.04</v>
      </c>
      <c r="AI1021">
        <v>0.28000000000000003</v>
      </c>
      <c r="AJ1021">
        <v>0.11</v>
      </c>
      <c r="AK1021">
        <v>90</v>
      </c>
      <c r="AL1021">
        <v>511</v>
      </c>
      <c r="AM1021">
        <v>298</v>
      </c>
      <c r="AN1021">
        <v>-0.02</v>
      </c>
      <c r="AO1021">
        <v>1.2</v>
      </c>
      <c r="AP1021">
        <v>903</v>
      </c>
      <c r="AQ1021">
        <v>9</v>
      </c>
      <c r="AR1021">
        <v>7.16</v>
      </c>
      <c r="AS1021">
        <v>88</v>
      </c>
      <c r="AT1021">
        <v>3.17</v>
      </c>
      <c r="AU1021">
        <v>97</v>
      </c>
      <c r="AV1021">
        <v>-3.75</v>
      </c>
      <c r="AW1021">
        <v>99</v>
      </c>
      <c r="AX1021">
        <v>-0.43</v>
      </c>
      <c r="AY1021">
        <v>95</v>
      </c>
      <c r="AZ1021">
        <v>5.37</v>
      </c>
      <c r="BA1021">
        <v>87</v>
      </c>
      <c r="BB1021">
        <v>4.38</v>
      </c>
      <c r="BC1021">
        <v>89</v>
      </c>
      <c r="BD1021">
        <v>-0.05</v>
      </c>
      <c r="BE1021">
        <v>-0.05</v>
      </c>
      <c r="BF1021">
        <v>0</v>
      </c>
      <c r="BG1021">
        <v>97</v>
      </c>
      <c r="BH1021">
        <v>0.1</v>
      </c>
      <c r="BI1021">
        <v>-13.28</v>
      </c>
      <c r="BJ1021">
        <v>58</v>
      </c>
      <c r="BK1021">
        <v>42</v>
      </c>
      <c r="BL1021">
        <v>-0.49</v>
      </c>
      <c r="BM1021">
        <v>-0.2</v>
      </c>
      <c r="BN1021">
        <v>-0.62</v>
      </c>
      <c r="BO1021">
        <v>-0.51</v>
      </c>
      <c r="BP1021">
        <v>0.79</v>
      </c>
      <c r="BQ1021">
        <v>-0.8</v>
      </c>
      <c r="BR1021">
        <v>2.19</v>
      </c>
      <c r="BS1021">
        <v>-1.39</v>
      </c>
      <c r="BT1021">
        <v>-2.02</v>
      </c>
      <c r="BU1021">
        <v>0.25</v>
      </c>
      <c r="BV1021">
        <v>-0.6</v>
      </c>
      <c r="BW1021">
        <v>-0.01</v>
      </c>
      <c r="BX1021">
        <v>-0.5</v>
      </c>
      <c r="BY1021">
        <v>0.93</v>
      </c>
      <c r="BZ1021">
        <v>-3.3</v>
      </c>
      <c r="CA1021">
        <v>-0.18</v>
      </c>
      <c r="CB1021">
        <v>0.34</v>
      </c>
      <c r="CC1021">
        <v>-1.31</v>
      </c>
      <c r="CD1021">
        <v>0.34</v>
      </c>
      <c r="CE1021">
        <v>-0.25</v>
      </c>
      <c r="CF1021">
        <v>-0.38</v>
      </c>
      <c r="CG1021">
        <v>0</v>
      </c>
      <c r="CH1021">
        <v>0.9</v>
      </c>
      <c r="CI1021">
        <v>0</v>
      </c>
      <c r="CJ1021">
        <v>2.4</v>
      </c>
      <c r="CK1021">
        <v>98</v>
      </c>
      <c r="CL1021">
        <v>-0.56000000000000005</v>
      </c>
      <c r="CM1021">
        <v>98</v>
      </c>
      <c r="CN1021">
        <v>0</v>
      </c>
      <c r="CO1021">
        <v>98</v>
      </c>
      <c r="CP1021">
        <v>-0.1</v>
      </c>
      <c r="CQ1021">
        <v>97</v>
      </c>
      <c r="CR1021">
        <v>0</v>
      </c>
      <c r="CS1021">
        <v>0</v>
      </c>
      <c r="CT1021">
        <v>3</v>
      </c>
      <c r="CU1021">
        <v>97</v>
      </c>
      <c r="CV1021">
        <v>0.15</v>
      </c>
      <c r="CW1021">
        <v>48</v>
      </c>
      <c r="CX1021" t="s">
        <v>1037</v>
      </c>
    </row>
    <row r="1022" spans="1:102" x14ac:dyDescent="0.3">
      <c r="A1022" t="str">
        <f>HYPERLINK("https://webapp.icbf.com/v2/app/bull-search/view/1038869332","FSW")</f>
        <v>FSW</v>
      </c>
      <c r="B1022" t="s">
        <v>14529</v>
      </c>
      <c r="C1022" t="s">
        <v>14530</v>
      </c>
      <c r="D1022" s="1">
        <v>41305</v>
      </c>
      <c r="E1022" t="s">
        <v>92</v>
      </c>
      <c r="F1022">
        <v>78</v>
      </c>
      <c r="G1022" t="s">
        <v>93</v>
      </c>
      <c r="H1022">
        <v>141.02000000000001</v>
      </c>
      <c r="I1022">
        <v>86</v>
      </c>
      <c r="J1022">
        <v>46.18</v>
      </c>
      <c r="K1022">
        <v>97</v>
      </c>
      <c r="L1022">
        <v>54.43</v>
      </c>
      <c r="M1022">
        <v>77</v>
      </c>
      <c r="N1022">
        <v>47.4</v>
      </c>
      <c r="O1022">
        <v>85</v>
      </c>
      <c r="P1022">
        <v>-9.8800000000000008</v>
      </c>
      <c r="Q1022">
        <v>92</v>
      </c>
      <c r="R1022">
        <v>-7.18</v>
      </c>
      <c r="S1022">
        <v>80</v>
      </c>
      <c r="T1022">
        <v>13.83</v>
      </c>
      <c r="U1022">
        <v>79</v>
      </c>
      <c r="V1022">
        <v>-3.76</v>
      </c>
      <c r="W1022">
        <v>74</v>
      </c>
      <c r="X1022" t="s">
        <v>94</v>
      </c>
      <c r="Y1022" t="s">
        <v>389</v>
      </c>
      <c r="Z1022" t="s">
        <v>96</v>
      </c>
      <c r="AA1022" t="s">
        <v>5692</v>
      </c>
      <c r="AB1022" t="s">
        <v>14531</v>
      </c>
      <c r="AC1022">
        <v>104</v>
      </c>
      <c r="AD1022">
        <v>72</v>
      </c>
      <c r="AE1022">
        <v>97</v>
      </c>
      <c r="AF1022">
        <v>120.7</v>
      </c>
      <c r="AG1022">
        <v>11.82</v>
      </c>
      <c r="AH1022">
        <v>5.52</v>
      </c>
      <c r="AI1022">
        <v>0.12</v>
      </c>
      <c r="AJ1022">
        <v>0.02</v>
      </c>
      <c r="AK1022">
        <v>77</v>
      </c>
      <c r="AL1022">
        <v>102</v>
      </c>
      <c r="AM1022">
        <v>72</v>
      </c>
      <c r="AN1022">
        <v>-1.47</v>
      </c>
      <c r="AO1022">
        <v>2.89</v>
      </c>
      <c r="AP1022">
        <v>227</v>
      </c>
      <c r="AQ1022">
        <v>3</v>
      </c>
      <c r="AR1022">
        <v>3.9</v>
      </c>
      <c r="AS1022">
        <v>73</v>
      </c>
      <c r="AT1022">
        <v>1.56</v>
      </c>
      <c r="AU1022">
        <v>88</v>
      </c>
      <c r="AV1022">
        <v>-4.21</v>
      </c>
      <c r="AW1022">
        <v>97</v>
      </c>
      <c r="AX1022">
        <v>-0.25</v>
      </c>
      <c r="AY1022">
        <v>81</v>
      </c>
      <c r="AZ1022">
        <v>7.75</v>
      </c>
      <c r="BA1022">
        <v>66</v>
      </c>
      <c r="BB1022">
        <v>5.65</v>
      </c>
      <c r="BC1022">
        <v>60</v>
      </c>
      <c r="BD1022">
        <v>0</v>
      </c>
      <c r="BE1022">
        <v>0.05</v>
      </c>
      <c r="BF1022">
        <v>7.0000000000000007E-2</v>
      </c>
      <c r="BG1022">
        <v>88</v>
      </c>
      <c r="BH1022">
        <v>-0.18</v>
      </c>
      <c r="BI1022">
        <v>-8.68</v>
      </c>
      <c r="BJ1022">
        <v>5</v>
      </c>
      <c r="BK1022">
        <v>4</v>
      </c>
      <c r="BL1022">
        <v>-1.43</v>
      </c>
      <c r="BM1022">
        <v>-2</v>
      </c>
      <c r="BN1022">
        <v>-1.57</v>
      </c>
      <c r="BO1022">
        <v>-0.3</v>
      </c>
      <c r="BP1022">
        <v>0.41</v>
      </c>
      <c r="BQ1022">
        <v>-2.38</v>
      </c>
      <c r="BR1022">
        <v>0.88</v>
      </c>
      <c r="BS1022">
        <v>-2.66</v>
      </c>
      <c r="BT1022">
        <v>-1.54</v>
      </c>
      <c r="BU1022">
        <v>-1.52</v>
      </c>
      <c r="BV1022">
        <v>-1.1000000000000001</v>
      </c>
      <c r="BW1022">
        <v>-1.1399999999999999</v>
      </c>
      <c r="BX1022">
        <v>-1.51</v>
      </c>
      <c r="BY1022">
        <v>-0.69</v>
      </c>
      <c r="BZ1022">
        <v>-0.47</v>
      </c>
      <c r="CA1022">
        <v>-1.72</v>
      </c>
      <c r="CB1022">
        <v>-1.58</v>
      </c>
      <c r="CC1022">
        <v>-1.65</v>
      </c>
      <c r="CD1022">
        <v>-0.96</v>
      </c>
      <c r="CE1022">
        <v>0</v>
      </c>
      <c r="CF1022">
        <v>-1.73</v>
      </c>
      <c r="CG1022">
        <v>0</v>
      </c>
      <c r="CH1022">
        <v>-1.83</v>
      </c>
      <c r="CI1022">
        <v>0</v>
      </c>
      <c r="CJ1022">
        <v>-2.1</v>
      </c>
      <c r="CK1022">
        <v>94</v>
      </c>
      <c r="CL1022">
        <v>-0.8</v>
      </c>
      <c r="CM1022">
        <v>93</v>
      </c>
      <c r="CN1022">
        <v>-0.2</v>
      </c>
      <c r="CO1022">
        <v>92</v>
      </c>
      <c r="CP1022">
        <v>-7.1</v>
      </c>
      <c r="CQ1022">
        <v>77</v>
      </c>
      <c r="CR1022">
        <v>0</v>
      </c>
      <c r="CS1022">
        <v>0</v>
      </c>
      <c r="CT1022">
        <v>-4.9000000000000004</v>
      </c>
      <c r="CU1022">
        <v>79</v>
      </c>
      <c r="CV1022">
        <v>0.17</v>
      </c>
      <c r="CW1022">
        <v>45</v>
      </c>
      <c r="CX1022" t="s">
        <v>4059</v>
      </c>
    </row>
    <row r="1023" spans="1:102" x14ac:dyDescent="0.3">
      <c r="A1023" t="str">
        <f>HYPERLINK("https://webapp.icbf.com/v2/app/bull-search/view/714742512","S1625")</f>
        <v>S1625</v>
      </c>
      <c r="B1023" t="s">
        <v>13190</v>
      </c>
      <c r="C1023" t="s">
        <v>13191</v>
      </c>
      <c r="D1023" s="1">
        <v>39409</v>
      </c>
      <c r="E1023" t="s">
        <v>92</v>
      </c>
      <c r="F1023">
        <v>100</v>
      </c>
      <c r="G1023" t="s">
        <v>109</v>
      </c>
      <c r="H1023">
        <v>141</v>
      </c>
      <c r="I1023">
        <v>72</v>
      </c>
      <c r="J1023">
        <v>63.36</v>
      </c>
      <c r="K1023">
        <v>83</v>
      </c>
      <c r="L1023">
        <v>31.93</v>
      </c>
      <c r="M1023">
        <v>81</v>
      </c>
      <c r="N1023">
        <v>35.590000000000003</v>
      </c>
      <c r="O1023">
        <v>64</v>
      </c>
      <c r="P1023">
        <v>-0.92</v>
      </c>
      <c r="Q1023">
        <v>59</v>
      </c>
      <c r="R1023">
        <v>6.74</v>
      </c>
      <c r="S1023">
        <v>68</v>
      </c>
      <c r="T1023">
        <v>0.73</v>
      </c>
      <c r="U1023">
        <v>42</v>
      </c>
      <c r="V1023">
        <v>3.57</v>
      </c>
      <c r="W1023">
        <v>29</v>
      </c>
      <c r="X1023" t="s">
        <v>251</v>
      </c>
      <c r="Y1023" t="s">
        <v>362</v>
      </c>
      <c r="Z1023" t="s">
        <v>96</v>
      </c>
      <c r="AA1023" t="s">
        <v>316</v>
      </c>
      <c r="AB1023" t="s">
        <v>13192</v>
      </c>
      <c r="AC1023">
        <v>0</v>
      </c>
      <c r="AD1023">
        <v>0</v>
      </c>
      <c r="AE1023">
        <v>83</v>
      </c>
      <c r="AF1023">
        <v>477.79</v>
      </c>
      <c r="AG1023">
        <v>9.27</v>
      </c>
      <c r="AH1023">
        <v>14.81</v>
      </c>
      <c r="AI1023">
        <v>-0.14000000000000001</v>
      </c>
      <c r="AJ1023">
        <v>-0.02</v>
      </c>
      <c r="AK1023">
        <v>81</v>
      </c>
      <c r="AL1023">
        <v>0</v>
      </c>
      <c r="AM1023">
        <v>0</v>
      </c>
      <c r="AN1023">
        <v>-1.44</v>
      </c>
      <c r="AO1023">
        <v>1.1100000000000001</v>
      </c>
      <c r="AP1023">
        <v>32</v>
      </c>
      <c r="AQ1023">
        <v>0</v>
      </c>
      <c r="AR1023">
        <v>5.0599999999999996</v>
      </c>
      <c r="AS1023">
        <v>58</v>
      </c>
      <c r="AT1023">
        <v>2.4300000000000002</v>
      </c>
      <c r="AU1023">
        <v>89</v>
      </c>
      <c r="AV1023">
        <v>-2.58</v>
      </c>
      <c r="AW1023">
        <v>63</v>
      </c>
      <c r="AX1023">
        <v>-0.49</v>
      </c>
      <c r="AY1023">
        <v>52</v>
      </c>
      <c r="AZ1023">
        <v>5.7</v>
      </c>
      <c r="BA1023">
        <v>48</v>
      </c>
      <c r="BB1023">
        <v>4.7300000000000004</v>
      </c>
      <c r="BC1023">
        <v>34</v>
      </c>
      <c r="BD1023">
        <v>-0.03</v>
      </c>
      <c r="BE1023">
        <v>-0.05</v>
      </c>
      <c r="BF1023">
        <v>-0.01</v>
      </c>
      <c r="BG1023">
        <v>87</v>
      </c>
      <c r="BH1023">
        <v>7.0000000000000007E-2</v>
      </c>
      <c r="BI1023">
        <v>-3.42</v>
      </c>
      <c r="BJ1023">
        <v>0</v>
      </c>
      <c r="BK1023">
        <v>0</v>
      </c>
      <c r="BL1023">
        <v>1.61</v>
      </c>
      <c r="BM1023">
        <v>0.95</v>
      </c>
      <c r="BN1023">
        <v>0.49</v>
      </c>
      <c r="BO1023">
        <v>0.15</v>
      </c>
      <c r="BP1023">
        <v>1.5</v>
      </c>
      <c r="BQ1023">
        <v>0.03</v>
      </c>
      <c r="BR1023">
        <v>-0.2</v>
      </c>
      <c r="BS1023">
        <v>0.75</v>
      </c>
      <c r="BT1023">
        <v>1.01</v>
      </c>
      <c r="BU1023">
        <v>2.34</v>
      </c>
      <c r="BV1023">
        <v>1.05</v>
      </c>
      <c r="BW1023">
        <v>1.05</v>
      </c>
      <c r="BX1023">
        <v>2.61</v>
      </c>
      <c r="BY1023">
        <v>2.16</v>
      </c>
      <c r="BZ1023">
        <v>-2.0299999999999998</v>
      </c>
      <c r="CA1023">
        <v>1.55</v>
      </c>
      <c r="CB1023">
        <v>1.51</v>
      </c>
      <c r="CC1023">
        <v>0.77</v>
      </c>
      <c r="CD1023">
        <v>0.56999999999999995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1.5</v>
      </c>
      <c r="CK1023">
        <v>62</v>
      </c>
      <c r="CL1023">
        <v>-0.81</v>
      </c>
      <c r="CM1023">
        <v>57</v>
      </c>
      <c r="CN1023">
        <v>-0.43</v>
      </c>
      <c r="CO1023">
        <v>54</v>
      </c>
      <c r="CP1023">
        <v>2.2000000000000002</v>
      </c>
      <c r="CQ1023">
        <v>53</v>
      </c>
      <c r="CR1023">
        <v>0</v>
      </c>
      <c r="CS1023">
        <v>0</v>
      </c>
      <c r="CT1023">
        <v>12.8</v>
      </c>
      <c r="CU1023">
        <v>42</v>
      </c>
      <c r="CV1023">
        <v>0.31</v>
      </c>
      <c r="CW1023">
        <v>22</v>
      </c>
      <c r="CX1023" t="s">
        <v>314</v>
      </c>
    </row>
    <row r="1024" spans="1:102" x14ac:dyDescent="0.3">
      <c r="A1024" t="str">
        <f>HYPERLINK("https://webapp.icbf.com/v2/app/bull-search/view/859909236","YSR")</f>
        <v>YSR</v>
      </c>
      <c r="B1024" t="s">
        <v>5700</v>
      </c>
      <c r="C1024" t="s">
        <v>5701</v>
      </c>
      <c r="D1024" s="1">
        <v>40572</v>
      </c>
      <c r="E1024" t="s">
        <v>92</v>
      </c>
      <c r="F1024">
        <v>53</v>
      </c>
      <c r="G1024" t="s">
        <v>93</v>
      </c>
      <c r="H1024">
        <v>140.97999999999999</v>
      </c>
      <c r="I1024">
        <v>84</v>
      </c>
      <c r="J1024">
        <v>41.19</v>
      </c>
      <c r="K1024">
        <v>97</v>
      </c>
      <c r="L1024">
        <v>41.57</v>
      </c>
      <c r="M1024">
        <v>73</v>
      </c>
      <c r="N1024">
        <v>52.55</v>
      </c>
      <c r="O1024">
        <v>83</v>
      </c>
      <c r="P1024">
        <v>-21.53</v>
      </c>
      <c r="Q1024">
        <v>89</v>
      </c>
      <c r="R1024">
        <v>5.09</v>
      </c>
      <c r="S1024">
        <v>76</v>
      </c>
      <c r="T1024">
        <v>26.48</v>
      </c>
      <c r="U1024">
        <v>85</v>
      </c>
      <c r="V1024">
        <v>-4.37</v>
      </c>
      <c r="W1024">
        <v>71</v>
      </c>
      <c r="X1024" t="s">
        <v>276</v>
      </c>
      <c r="Y1024" t="s">
        <v>1923</v>
      </c>
      <c r="Z1024" t="s">
        <v>330</v>
      </c>
      <c r="AA1024" t="s">
        <v>2727</v>
      </c>
      <c r="AB1024" t="s">
        <v>5702</v>
      </c>
      <c r="AC1024">
        <v>101</v>
      </c>
      <c r="AD1024">
        <v>60</v>
      </c>
      <c r="AE1024">
        <v>97</v>
      </c>
      <c r="AF1024">
        <v>117.49</v>
      </c>
      <c r="AG1024">
        <v>8.9700000000000006</v>
      </c>
      <c r="AH1024">
        <v>5.63</v>
      </c>
      <c r="AI1024">
        <v>0.08</v>
      </c>
      <c r="AJ1024">
        <v>0.03</v>
      </c>
      <c r="AK1024">
        <v>73</v>
      </c>
      <c r="AL1024">
        <v>91</v>
      </c>
      <c r="AM1024">
        <v>59</v>
      </c>
      <c r="AN1024">
        <v>-1.88</v>
      </c>
      <c r="AO1024">
        <v>1.44</v>
      </c>
      <c r="AP1024">
        <v>146</v>
      </c>
      <c r="AQ1024">
        <v>1</v>
      </c>
      <c r="AR1024">
        <v>4.09</v>
      </c>
      <c r="AS1024">
        <v>66</v>
      </c>
      <c r="AT1024">
        <v>1.85</v>
      </c>
      <c r="AU1024">
        <v>84</v>
      </c>
      <c r="AV1024">
        <v>-4.5999999999999996</v>
      </c>
      <c r="AW1024">
        <v>95</v>
      </c>
      <c r="AX1024">
        <v>-0.84</v>
      </c>
      <c r="AY1024">
        <v>77</v>
      </c>
      <c r="AZ1024">
        <v>7</v>
      </c>
      <c r="BA1024">
        <v>64</v>
      </c>
      <c r="BB1024">
        <v>5.41</v>
      </c>
      <c r="BC1024">
        <v>61</v>
      </c>
      <c r="BD1024">
        <v>0</v>
      </c>
      <c r="BE1024">
        <v>-0.03</v>
      </c>
      <c r="BF1024">
        <v>-0.06</v>
      </c>
      <c r="BG1024">
        <v>87</v>
      </c>
      <c r="BH1024">
        <v>-0.03</v>
      </c>
      <c r="BI1024">
        <v>10.63</v>
      </c>
      <c r="BJ1024">
        <v>3</v>
      </c>
      <c r="BK1024">
        <v>3</v>
      </c>
      <c r="BL1024">
        <v>-1.55</v>
      </c>
      <c r="BM1024">
        <v>-0.26</v>
      </c>
      <c r="BN1024">
        <v>-0.9</v>
      </c>
      <c r="BO1024">
        <v>-0.69</v>
      </c>
      <c r="BP1024">
        <v>0.99</v>
      </c>
      <c r="BQ1024">
        <v>-2.82</v>
      </c>
      <c r="BR1024">
        <v>0.15</v>
      </c>
      <c r="BS1024">
        <v>-0.35</v>
      </c>
      <c r="BT1024">
        <v>-2.2200000000000002</v>
      </c>
      <c r="BU1024">
        <v>-0.22</v>
      </c>
      <c r="BV1024">
        <v>0.39</v>
      </c>
      <c r="BW1024">
        <v>0.77</v>
      </c>
      <c r="BX1024">
        <v>-1.53</v>
      </c>
      <c r="BY1024">
        <v>0.54</v>
      </c>
      <c r="BZ1024">
        <v>1.46</v>
      </c>
      <c r="CA1024">
        <v>-0.55000000000000004</v>
      </c>
      <c r="CB1024">
        <v>-0.01</v>
      </c>
      <c r="CC1024">
        <v>-1.25</v>
      </c>
      <c r="CD1024">
        <v>0.59</v>
      </c>
      <c r="CE1024">
        <v>-0.32</v>
      </c>
      <c r="CF1024">
        <v>-1.4</v>
      </c>
      <c r="CG1024">
        <v>0</v>
      </c>
      <c r="CH1024">
        <v>0.39</v>
      </c>
      <c r="CI1024">
        <v>0</v>
      </c>
      <c r="CJ1024">
        <v>-10.6</v>
      </c>
      <c r="CK1024">
        <v>91</v>
      </c>
      <c r="CL1024">
        <v>-0.66</v>
      </c>
      <c r="CM1024">
        <v>89</v>
      </c>
      <c r="CN1024">
        <v>-0.21</v>
      </c>
      <c r="CO1024">
        <v>87</v>
      </c>
      <c r="CP1024">
        <v>-17</v>
      </c>
      <c r="CQ1024">
        <v>80</v>
      </c>
      <c r="CR1024">
        <v>0</v>
      </c>
      <c r="CS1024">
        <v>0</v>
      </c>
      <c r="CT1024">
        <v>-22</v>
      </c>
      <c r="CU1024">
        <v>85</v>
      </c>
      <c r="CV1024">
        <v>0.03</v>
      </c>
      <c r="CW1024">
        <v>45</v>
      </c>
      <c r="CX1024" t="s">
        <v>792</v>
      </c>
    </row>
    <row r="1025" spans="1:102" x14ac:dyDescent="0.3">
      <c r="A1025" t="str">
        <f>HYPERLINK("https://webapp.icbf.com/v2/app/bull-search/view/660040008","PGW")</f>
        <v>PGW</v>
      </c>
      <c r="B1025" t="s">
        <v>9110</v>
      </c>
      <c r="C1025" t="s">
        <v>9111</v>
      </c>
      <c r="D1025" s="1">
        <v>38862</v>
      </c>
      <c r="E1025" t="s">
        <v>92</v>
      </c>
      <c r="F1025">
        <v>100</v>
      </c>
      <c r="G1025" t="s">
        <v>93</v>
      </c>
      <c r="H1025">
        <v>140.79</v>
      </c>
      <c r="I1025">
        <v>96</v>
      </c>
      <c r="J1025">
        <v>97.05</v>
      </c>
      <c r="K1025">
        <v>99</v>
      </c>
      <c r="L1025">
        <v>-12.77</v>
      </c>
      <c r="M1025">
        <v>94</v>
      </c>
      <c r="N1025">
        <v>54.05</v>
      </c>
      <c r="O1025">
        <v>98</v>
      </c>
      <c r="P1025">
        <v>-2.14</v>
      </c>
      <c r="Q1025">
        <v>99</v>
      </c>
      <c r="R1025">
        <v>17.09</v>
      </c>
      <c r="S1025">
        <v>94</v>
      </c>
      <c r="T1025">
        <v>-5.64</v>
      </c>
      <c r="U1025">
        <v>98</v>
      </c>
      <c r="V1025">
        <v>-6.85</v>
      </c>
      <c r="W1025">
        <v>86</v>
      </c>
      <c r="X1025" t="s">
        <v>276</v>
      </c>
      <c r="Y1025" t="s">
        <v>1756</v>
      </c>
      <c r="Z1025" t="s">
        <v>96</v>
      </c>
      <c r="AA1025" t="s">
        <v>309</v>
      </c>
      <c r="AB1025" t="s">
        <v>9112</v>
      </c>
      <c r="AC1025">
        <v>2274</v>
      </c>
      <c r="AD1025">
        <v>583</v>
      </c>
      <c r="AE1025">
        <v>99</v>
      </c>
      <c r="AF1025">
        <v>406.71</v>
      </c>
      <c r="AG1025">
        <v>15.83</v>
      </c>
      <c r="AH1025">
        <v>17.13</v>
      </c>
      <c r="AI1025">
        <v>0</v>
      </c>
      <c r="AJ1025">
        <v>0.05</v>
      </c>
      <c r="AK1025">
        <v>94</v>
      </c>
      <c r="AL1025">
        <v>2084</v>
      </c>
      <c r="AM1025">
        <v>630</v>
      </c>
      <c r="AN1025">
        <v>0.54</v>
      </c>
      <c r="AO1025">
        <v>-0.48</v>
      </c>
      <c r="AP1025">
        <v>4537</v>
      </c>
      <c r="AQ1025">
        <v>28</v>
      </c>
      <c r="AR1025">
        <v>4.41</v>
      </c>
      <c r="AS1025">
        <v>98</v>
      </c>
      <c r="AT1025">
        <v>1.87</v>
      </c>
      <c r="AU1025">
        <v>99</v>
      </c>
      <c r="AV1025">
        <v>-4.8099999999999996</v>
      </c>
      <c r="AW1025">
        <v>99</v>
      </c>
      <c r="AX1025">
        <v>-7.0000000000000007E-2</v>
      </c>
      <c r="AY1025">
        <v>99</v>
      </c>
      <c r="AZ1025">
        <v>7.09</v>
      </c>
      <c r="BA1025">
        <v>96</v>
      </c>
      <c r="BB1025">
        <v>4.92</v>
      </c>
      <c r="BC1025">
        <v>94</v>
      </c>
      <c r="BD1025">
        <v>-0.06</v>
      </c>
      <c r="BE1025">
        <v>-7.0000000000000007E-2</v>
      </c>
      <c r="BF1025">
        <v>-0.16</v>
      </c>
      <c r="BG1025">
        <v>99</v>
      </c>
      <c r="BH1025">
        <v>-7.0000000000000007E-2</v>
      </c>
      <c r="BI1025">
        <v>13.99</v>
      </c>
      <c r="BJ1025">
        <v>726</v>
      </c>
      <c r="BK1025">
        <v>244</v>
      </c>
      <c r="BL1025">
        <v>1.7</v>
      </c>
      <c r="BM1025">
        <v>-0.47</v>
      </c>
      <c r="BN1025">
        <v>1.04</v>
      </c>
      <c r="BO1025">
        <v>1.1000000000000001</v>
      </c>
      <c r="BP1025">
        <v>1.66</v>
      </c>
      <c r="BQ1025">
        <v>-0.23</v>
      </c>
      <c r="BR1025">
        <v>-0.12</v>
      </c>
      <c r="BS1025">
        <v>1.73</v>
      </c>
      <c r="BT1025">
        <v>1.02</v>
      </c>
      <c r="BU1025">
        <v>1.53</v>
      </c>
      <c r="BV1025">
        <v>1.73</v>
      </c>
      <c r="BW1025">
        <v>0.61</v>
      </c>
      <c r="BX1025">
        <v>0.81</v>
      </c>
      <c r="BY1025">
        <v>0.13</v>
      </c>
      <c r="BZ1025">
        <v>2.04</v>
      </c>
      <c r="CA1025">
        <v>1.57</v>
      </c>
      <c r="CB1025">
        <v>1.19</v>
      </c>
      <c r="CC1025">
        <v>1.58</v>
      </c>
      <c r="CD1025">
        <v>-0.19</v>
      </c>
      <c r="CE1025">
        <v>0.95</v>
      </c>
      <c r="CF1025">
        <v>1.22</v>
      </c>
      <c r="CG1025">
        <v>0</v>
      </c>
      <c r="CH1025">
        <v>0.13</v>
      </c>
      <c r="CI1025">
        <v>0</v>
      </c>
      <c r="CJ1025">
        <v>4</v>
      </c>
      <c r="CK1025">
        <v>99</v>
      </c>
      <c r="CL1025">
        <v>-1.26</v>
      </c>
      <c r="CM1025">
        <v>99</v>
      </c>
      <c r="CN1025">
        <v>-0.35</v>
      </c>
      <c r="CO1025">
        <v>99</v>
      </c>
      <c r="CP1025">
        <v>8.3000000000000007</v>
      </c>
      <c r="CQ1025">
        <v>98</v>
      </c>
      <c r="CR1025">
        <v>0</v>
      </c>
      <c r="CS1025">
        <v>0</v>
      </c>
      <c r="CT1025">
        <v>21.4</v>
      </c>
      <c r="CU1025">
        <v>98</v>
      </c>
      <c r="CV1025">
        <v>0.41</v>
      </c>
      <c r="CW1025">
        <v>47</v>
      </c>
      <c r="CX1025" t="s">
        <v>316</v>
      </c>
    </row>
    <row r="1026" spans="1:102" x14ac:dyDescent="0.3">
      <c r="A1026" t="str">
        <f>HYPERLINK("https://webapp.icbf.com/v2/app/bull-search/view/1231246483","S3068")</f>
        <v>S3068</v>
      </c>
      <c r="B1026" t="s">
        <v>9337</v>
      </c>
      <c r="C1026" t="s">
        <v>9338</v>
      </c>
      <c r="D1026" s="1">
        <v>41423</v>
      </c>
      <c r="E1026" t="s">
        <v>92</v>
      </c>
      <c r="F1026">
        <v>100</v>
      </c>
      <c r="G1026" t="s">
        <v>109</v>
      </c>
      <c r="H1026">
        <v>140.79</v>
      </c>
      <c r="I1026">
        <v>77</v>
      </c>
      <c r="J1026">
        <v>68.180000000000007</v>
      </c>
      <c r="K1026">
        <v>93</v>
      </c>
      <c r="L1026">
        <v>6.63</v>
      </c>
      <c r="M1026">
        <v>84</v>
      </c>
      <c r="N1026">
        <v>44.98</v>
      </c>
      <c r="O1026">
        <v>64</v>
      </c>
      <c r="P1026">
        <v>1.1599999999999999</v>
      </c>
      <c r="Q1026">
        <v>48</v>
      </c>
      <c r="R1026">
        <v>11.86</v>
      </c>
      <c r="S1026">
        <v>72</v>
      </c>
      <c r="T1026">
        <v>-2.16</v>
      </c>
      <c r="U1026">
        <v>41</v>
      </c>
      <c r="V1026">
        <v>10.14</v>
      </c>
      <c r="W1026">
        <v>55</v>
      </c>
      <c r="X1026" t="s">
        <v>110</v>
      </c>
      <c r="Y1026" t="s">
        <v>411</v>
      </c>
      <c r="Z1026" t="s">
        <v>96</v>
      </c>
      <c r="AA1026" t="s">
        <v>2216</v>
      </c>
      <c r="AB1026" t="s">
        <v>5848</v>
      </c>
      <c r="AC1026">
        <v>0</v>
      </c>
      <c r="AD1026">
        <v>0</v>
      </c>
      <c r="AE1026">
        <v>93</v>
      </c>
      <c r="AF1026">
        <v>646.73</v>
      </c>
      <c r="AG1026">
        <v>9.34</v>
      </c>
      <c r="AH1026">
        <v>18.190000000000001</v>
      </c>
      <c r="AI1026">
        <v>-0.25</v>
      </c>
      <c r="AJ1026">
        <v>-0.06</v>
      </c>
      <c r="AK1026">
        <v>84</v>
      </c>
      <c r="AL1026">
        <v>0</v>
      </c>
      <c r="AM1026">
        <v>0</v>
      </c>
      <c r="AN1026">
        <v>1.29</v>
      </c>
      <c r="AO1026">
        <v>1.84</v>
      </c>
      <c r="AP1026">
        <v>7</v>
      </c>
      <c r="AQ1026">
        <v>0</v>
      </c>
      <c r="AR1026">
        <v>5.71</v>
      </c>
      <c r="AS1026">
        <v>58</v>
      </c>
      <c r="AT1026">
        <v>1.96</v>
      </c>
      <c r="AU1026">
        <v>91</v>
      </c>
      <c r="AV1026">
        <v>-4.1100000000000003</v>
      </c>
      <c r="AW1026">
        <v>62</v>
      </c>
      <c r="AX1026">
        <v>-0.38</v>
      </c>
      <c r="AY1026">
        <v>49</v>
      </c>
      <c r="AZ1026">
        <v>6.41</v>
      </c>
      <c r="BA1026">
        <v>43</v>
      </c>
      <c r="BB1026">
        <v>5.39</v>
      </c>
      <c r="BC1026">
        <v>38</v>
      </c>
      <c r="BD1026">
        <v>-0.01</v>
      </c>
      <c r="BE1026">
        <v>-0.04</v>
      </c>
      <c r="BF1026">
        <v>-0.18</v>
      </c>
      <c r="BG1026">
        <v>91</v>
      </c>
      <c r="BH1026">
        <v>0.15</v>
      </c>
      <c r="BI1026">
        <v>-15.36</v>
      </c>
      <c r="BJ1026">
        <v>0</v>
      </c>
      <c r="BK1026">
        <v>0</v>
      </c>
      <c r="BL1026">
        <v>1.49</v>
      </c>
      <c r="BM1026">
        <v>-0.24</v>
      </c>
      <c r="BN1026">
        <v>0.92</v>
      </c>
      <c r="BO1026">
        <v>1.28</v>
      </c>
      <c r="BP1026">
        <v>-1.69</v>
      </c>
      <c r="BQ1026">
        <v>1.99</v>
      </c>
      <c r="BR1026">
        <v>-0.87</v>
      </c>
      <c r="BS1026">
        <v>2.52</v>
      </c>
      <c r="BT1026">
        <v>0.95</v>
      </c>
      <c r="BU1026">
        <v>3.5</v>
      </c>
      <c r="BV1026">
        <v>2.92</v>
      </c>
      <c r="BW1026">
        <v>2.2000000000000002</v>
      </c>
      <c r="BX1026">
        <v>2.79</v>
      </c>
      <c r="BY1026">
        <v>2.82</v>
      </c>
      <c r="BZ1026">
        <v>-1.18</v>
      </c>
      <c r="CA1026">
        <v>3.52</v>
      </c>
      <c r="CB1026">
        <v>3.12</v>
      </c>
      <c r="CC1026">
        <v>2.46</v>
      </c>
      <c r="CD1026">
        <v>-0.7</v>
      </c>
      <c r="CE1026">
        <v>0.69</v>
      </c>
      <c r="CF1026">
        <v>0.85</v>
      </c>
      <c r="CG1026">
        <v>0</v>
      </c>
      <c r="CH1026">
        <v>3.39</v>
      </c>
      <c r="CI1026">
        <v>0</v>
      </c>
      <c r="CJ1026">
        <v>2.8</v>
      </c>
      <c r="CK1026">
        <v>49</v>
      </c>
      <c r="CL1026">
        <v>-1.39</v>
      </c>
      <c r="CM1026">
        <v>49</v>
      </c>
      <c r="CN1026">
        <v>-0.94</v>
      </c>
      <c r="CO1026">
        <v>48</v>
      </c>
      <c r="CP1026">
        <v>4.2</v>
      </c>
      <c r="CQ1026">
        <v>43</v>
      </c>
      <c r="CR1026">
        <v>0</v>
      </c>
      <c r="CS1026">
        <v>0</v>
      </c>
      <c r="CT1026">
        <v>16.7</v>
      </c>
      <c r="CU1026">
        <v>41</v>
      </c>
      <c r="CV1026">
        <v>0.32</v>
      </c>
      <c r="CW1026">
        <v>35</v>
      </c>
      <c r="CX1026" t="s">
        <v>2423</v>
      </c>
    </row>
    <row r="1027" spans="1:102" x14ac:dyDescent="0.3">
      <c r="A1027" t="str">
        <f>HYPERLINK("https://webapp.icbf.com/v2/app/bull-search/view/1231247828","S2279")</f>
        <v>S2279</v>
      </c>
      <c r="B1027" t="s">
        <v>2092</v>
      </c>
      <c r="C1027" t="s">
        <v>2093</v>
      </c>
      <c r="D1027" s="1">
        <v>41294</v>
      </c>
      <c r="E1027" t="s">
        <v>92</v>
      </c>
      <c r="F1027">
        <v>100</v>
      </c>
      <c r="G1027" t="s">
        <v>109</v>
      </c>
      <c r="H1027">
        <v>140.66999999999999</v>
      </c>
      <c r="I1027">
        <v>76</v>
      </c>
      <c r="J1027">
        <v>55.29</v>
      </c>
      <c r="K1027">
        <v>91</v>
      </c>
      <c r="L1027">
        <v>37.299999999999997</v>
      </c>
      <c r="M1027">
        <v>78</v>
      </c>
      <c r="N1027">
        <v>24.48</v>
      </c>
      <c r="O1027">
        <v>69</v>
      </c>
      <c r="P1027">
        <v>5.61</v>
      </c>
      <c r="Q1027">
        <v>63</v>
      </c>
      <c r="R1027">
        <v>21.64</v>
      </c>
      <c r="S1027">
        <v>71</v>
      </c>
      <c r="T1027">
        <v>-6.3</v>
      </c>
      <c r="U1027">
        <v>41</v>
      </c>
      <c r="V1027">
        <v>2.65</v>
      </c>
      <c r="W1027">
        <v>57</v>
      </c>
      <c r="X1027" t="s">
        <v>428</v>
      </c>
      <c r="Y1027" t="s">
        <v>367</v>
      </c>
      <c r="Z1027" t="s">
        <v>96</v>
      </c>
      <c r="AA1027" t="s">
        <v>2094</v>
      </c>
      <c r="AB1027" t="s">
        <v>2095</v>
      </c>
      <c r="AC1027">
        <v>0</v>
      </c>
      <c r="AD1027">
        <v>0</v>
      </c>
      <c r="AE1027">
        <v>91</v>
      </c>
      <c r="AF1027">
        <v>429.35</v>
      </c>
      <c r="AG1027">
        <v>12.31</v>
      </c>
      <c r="AH1027">
        <v>11.62</v>
      </c>
      <c r="AI1027">
        <v>-7.0000000000000007E-2</v>
      </c>
      <c r="AJ1027">
        <v>-0.05</v>
      </c>
      <c r="AK1027">
        <v>78</v>
      </c>
      <c r="AL1027">
        <v>0</v>
      </c>
      <c r="AM1027">
        <v>0</v>
      </c>
      <c r="AN1027">
        <v>-0.09</v>
      </c>
      <c r="AO1027">
        <v>2.91</v>
      </c>
      <c r="AP1027">
        <v>36</v>
      </c>
      <c r="AQ1027">
        <v>0</v>
      </c>
      <c r="AR1027">
        <v>7.1</v>
      </c>
      <c r="AS1027">
        <v>55</v>
      </c>
      <c r="AT1027">
        <v>4.32</v>
      </c>
      <c r="AU1027">
        <v>85</v>
      </c>
      <c r="AV1027">
        <v>-3.71</v>
      </c>
      <c r="AW1027">
        <v>78</v>
      </c>
      <c r="AX1027">
        <v>-0.53</v>
      </c>
      <c r="AY1027">
        <v>53</v>
      </c>
      <c r="AZ1027">
        <v>5.54</v>
      </c>
      <c r="BA1027">
        <v>42</v>
      </c>
      <c r="BB1027">
        <v>4.5199999999999996</v>
      </c>
      <c r="BC1027">
        <v>38</v>
      </c>
      <c r="BD1027">
        <v>-0.04</v>
      </c>
      <c r="BE1027">
        <v>-0.09</v>
      </c>
      <c r="BF1027">
        <v>-0.26</v>
      </c>
      <c r="BG1027">
        <v>86</v>
      </c>
      <c r="BH1027">
        <v>0.02</v>
      </c>
      <c r="BI1027">
        <v>-6.24</v>
      </c>
      <c r="BJ1027">
        <v>7</v>
      </c>
      <c r="BK1027">
        <v>2</v>
      </c>
      <c r="BL1027">
        <v>1.18</v>
      </c>
      <c r="BM1027">
        <v>0.49</v>
      </c>
      <c r="BN1027">
        <v>0.27</v>
      </c>
      <c r="BO1027">
        <v>0.01</v>
      </c>
      <c r="BP1027">
        <v>0.82</v>
      </c>
      <c r="BQ1027">
        <v>-0.25</v>
      </c>
      <c r="BR1027">
        <v>-1.92</v>
      </c>
      <c r="BS1027">
        <v>1.92</v>
      </c>
      <c r="BT1027">
        <v>1.32</v>
      </c>
      <c r="BU1027">
        <v>3.02</v>
      </c>
      <c r="BV1027">
        <v>2.31</v>
      </c>
      <c r="BW1027">
        <v>2.35</v>
      </c>
      <c r="BX1027">
        <v>3.06</v>
      </c>
      <c r="BY1027">
        <v>1.71</v>
      </c>
      <c r="BZ1027">
        <v>-0.86</v>
      </c>
      <c r="CA1027">
        <v>2.44</v>
      </c>
      <c r="CB1027">
        <v>2.4900000000000002</v>
      </c>
      <c r="CC1027">
        <v>1.43</v>
      </c>
      <c r="CD1027">
        <v>1.02</v>
      </c>
      <c r="CE1027">
        <v>0.83</v>
      </c>
      <c r="CF1027">
        <v>1.58</v>
      </c>
      <c r="CG1027">
        <v>0</v>
      </c>
      <c r="CH1027">
        <v>2.19</v>
      </c>
      <c r="CI1027">
        <v>0</v>
      </c>
      <c r="CJ1027">
        <v>7.4</v>
      </c>
      <c r="CK1027">
        <v>66</v>
      </c>
      <c r="CL1027">
        <v>-1.1000000000000001</v>
      </c>
      <c r="CM1027">
        <v>62</v>
      </c>
      <c r="CN1027">
        <v>-0.45</v>
      </c>
      <c r="CO1027">
        <v>60</v>
      </c>
      <c r="CP1027">
        <v>9.9</v>
      </c>
      <c r="CQ1027">
        <v>45</v>
      </c>
      <c r="CR1027">
        <v>0</v>
      </c>
      <c r="CS1027">
        <v>0</v>
      </c>
      <c r="CT1027">
        <v>22.3</v>
      </c>
      <c r="CU1027">
        <v>41</v>
      </c>
      <c r="CV1027">
        <v>0.32</v>
      </c>
      <c r="CW1027">
        <v>38</v>
      </c>
      <c r="CX1027" t="s">
        <v>1895</v>
      </c>
    </row>
    <row r="1028" spans="1:102" x14ac:dyDescent="0.3">
      <c r="A1028" t="str">
        <f>HYPERLINK("https://webapp.icbf.com/v2/app/bull-search/view/124414449","CBH")</f>
        <v>CBH</v>
      </c>
      <c r="B1028" t="s">
        <v>4645</v>
      </c>
      <c r="C1028" t="s">
        <v>3069</v>
      </c>
      <c r="D1028" s="1">
        <v>34929</v>
      </c>
      <c r="E1028" t="s">
        <v>92</v>
      </c>
      <c r="F1028">
        <v>69</v>
      </c>
      <c r="G1028" t="s">
        <v>93</v>
      </c>
      <c r="H1028">
        <v>140.66</v>
      </c>
      <c r="I1028">
        <v>97</v>
      </c>
      <c r="J1028">
        <v>35.58</v>
      </c>
      <c r="K1028">
        <v>99</v>
      </c>
      <c r="L1028">
        <v>85.33</v>
      </c>
      <c r="M1028">
        <v>93</v>
      </c>
      <c r="N1028">
        <v>36.85</v>
      </c>
      <c r="O1028">
        <v>98</v>
      </c>
      <c r="P1028">
        <v>-14.37</v>
      </c>
      <c r="Q1028">
        <v>99</v>
      </c>
      <c r="R1028">
        <v>-1.55</v>
      </c>
      <c r="S1028">
        <v>96</v>
      </c>
      <c r="T1028">
        <v>13.68</v>
      </c>
      <c r="U1028">
        <v>99</v>
      </c>
      <c r="V1028">
        <v>-14.86</v>
      </c>
      <c r="W1028">
        <v>98</v>
      </c>
      <c r="X1028" t="s">
        <v>302</v>
      </c>
      <c r="Y1028" t="s">
        <v>95</v>
      </c>
      <c r="Z1028" t="s">
        <v>96</v>
      </c>
      <c r="AA1028" t="s">
        <v>793</v>
      </c>
      <c r="AB1028" t="s">
        <v>4646</v>
      </c>
      <c r="AC1028">
        <v>922</v>
      </c>
      <c r="AD1028">
        <v>285</v>
      </c>
      <c r="AE1028">
        <v>99</v>
      </c>
      <c r="AF1028">
        <v>71.63</v>
      </c>
      <c r="AG1028">
        <v>5.93</v>
      </c>
      <c r="AH1028">
        <v>5.05</v>
      </c>
      <c r="AI1028">
        <v>0.05</v>
      </c>
      <c r="AJ1028">
        <v>0.05</v>
      </c>
      <c r="AK1028">
        <v>93</v>
      </c>
      <c r="AL1028">
        <v>934</v>
      </c>
      <c r="AM1028">
        <v>279</v>
      </c>
      <c r="AN1028">
        <v>-4.24</v>
      </c>
      <c r="AO1028">
        <v>2.57</v>
      </c>
      <c r="AP1028">
        <v>1537</v>
      </c>
      <c r="AQ1028">
        <v>9</v>
      </c>
      <c r="AR1028">
        <v>5.24</v>
      </c>
      <c r="AS1028">
        <v>96</v>
      </c>
      <c r="AT1028">
        <v>1.9</v>
      </c>
      <c r="AU1028">
        <v>98</v>
      </c>
      <c r="AV1028">
        <v>-2.41</v>
      </c>
      <c r="AW1028">
        <v>99</v>
      </c>
      <c r="AX1028">
        <v>-0.86</v>
      </c>
      <c r="AY1028">
        <v>98</v>
      </c>
      <c r="AZ1028">
        <v>6.42</v>
      </c>
      <c r="BA1028">
        <v>93</v>
      </c>
      <c r="BB1028">
        <v>4.8099999999999996</v>
      </c>
      <c r="BC1028">
        <v>95</v>
      </c>
      <c r="BD1028">
        <v>-0.02</v>
      </c>
      <c r="BE1028">
        <v>0.01</v>
      </c>
      <c r="BF1028">
        <v>0.05</v>
      </c>
      <c r="BG1028">
        <v>98</v>
      </c>
      <c r="BH1028">
        <v>-0.12</v>
      </c>
      <c r="BI1028">
        <v>34.04</v>
      </c>
      <c r="BJ1028">
        <v>41</v>
      </c>
      <c r="BK1028">
        <v>18</v>
      </c>
      <c r="BL1028">
        <v>-1.96</v>
      </c>
      <c r="BM1028">
        <v>1.1200000000000001</v>
      </c>
      <c r="BN1028">
        <v>-0.75</v>
      </c>
      <c r="BO1028">
        <v>-1.65</v>
      </c>
      <c r="BP1028">
        <v>2.37</v>
      </c>
      <c r="BQ1028">
        <v>-1.92</v>
      </c>
      <c r="BR1028">
        <v>0.99</v>
      </c>
      <c r="BS1028">
        <v>0.27</v>
      </c>
      <c r="BT1028">
        <v>-2.2000000000000002</v>
      </c>
      <c r="BU1028">
        <v>-2.1</v>
      </c>
      <c r="BV1028">
        <v>-2.81</v>
      </c>
      <c r="BW1028">
        <v>-2.5299999999999998</v>
      </c>
      <c r="BX1028">
        <v>-2.5</v>
      </c>
      <c r="BY1028">
        <v>-0.84</v>
      </c>
      <c r="BZ1028">
        <v>0.71</v>
      </c>
      <c r="CA1028">
        <v>-1.95</v>
      </c>
      <c r="CB1028">
        <v>-2.35</v>
      </c>
      <c r="CC1028">
        <v>-0.37</v>
      </c>
      <c r="CD1028">
        <v>1.33</v>
      </c>
      <c r="CE1028">
        <v>-1.65</v>
      </c>
      <c r="CF1028">
        <v>-1.49</v>
      </c>
      <c r="CG1028">
        <v>0</v>
      </c>
      <c r="CH1028">
        <v>-0.87</v>
      </c>
      <c r="CI1028">
        <v>0</v>
      </c>
      <c r="CJ1028">
        <v>-4.5999999999999996</v>
      </c>
      <c r="CK1028">
        <v>99</v>
      </c>
      <c r="CL1028">
        <v>-0.37</v>
      </c>
      <c r="CM1028">
        <v>99</v>
      </c>
      <c r="CN1028">
        <v>0.2</v>
      </c>
      <c r="CO1028">
        <v>99</v>
      </c>
      <c r="CP1028">
        <v>-12.4</v>
      </c>
      <c r="CQ1028">
        <v>99</v>
      </c>
      <c r="CR1028">
        <v>0</v>
      </c>
      <c r="CS1028">
        <v>0</v>
      </c>
      <c r="CT1028">
        <v>-4.7</v>
      </c>
      <c r="CU1028">
        <v>99</v>
      </c>
      <c r="CV1028">
        <v>0.09</v>
      </c>
      <c r="CW1028">
        <v>48</v>
      </c>
      <c r="CX1028" t="s">
        <v>795</v>
      </c>
    </row>
    <row r="1029" spans="1:102" x14ac:dyDescent="0.3">
      <c r="A1029" t="str">
        <f>HYPERLINK("https://webapp.icbf.com/v2/app/bull-search/view/1124378471","AWO")</f>
        <v>AWO</v>
      </c>
      <c r="B1029" t="s">
        <v>8469</v>
      </c>
      <c r="C1029" t="s">
        <v>8470</v>
      </c>
      <c r="D1029" s="1">
        <v>41586</v>
      </c>
      <c r="E1029" t="s">
        <v>92</v>
      </c>
      <c r="F1029">
        <v>91</v>
      </c>
      <c r="G1029" t="s">
        <v>93</v>
      </c>
      <c r="H1029">
        <v>140.65</v>
      </c>
      <c r="I1029">
        <v>92</v>
      </c>
      <c r="J1029">
        <v>44.87</v>
      </c>
      <c r="K1029">
        <v>99</v>
      </c>
      <c r="L1029">
        <v>53.91</v>
      </c>
      <c r="M1029">
        <v>86</v>
      </c>
      <c r="N1029">
        <v>45.62</v>
      </c>
      <c r="O1029">
        <v>95</v>
      </c>
      <c r="P1029">
        <v>-9.65</v>
      </c>
      <c r="Q1029">
        <v>98</v>
      </c>
      <c r="R1029">
        <v>-7.94</v>
      </c>
      <c r="S1029">
        <v>87</v>
      </c>
      <c r="T1029">
        <v>9.24</v>
      </c>
      <c r="U1029">
        <v>91</v>
      </c>
      <c r="V1029">
        <v>4.5999999999999996</v>
      </c>
      <c r="W1029">
        <v>80</v>
      </c>
      <c r="X1029" t="s">
        <v>94</v>
      </c>
      <c r="Y1029" t="s">
        <v>389</v>
      </c>
      <c r="Z1029" t="s">
        <v>96</v>
      </c>
      <c r="AA1029" t="s">
        <v>2172</v>
      </c>
      <c r="AB1029" t="s">
        <v>8471</v>
      </c>
      <c r="AC1029">
        <v>1335</v>
      </c>
      <c r="AD1029">
        <v>472</v>
      </c>
      <c r="AE1029">
        <v>99</v>
      </c>
      <c r="AF1029">
        <v>97.78</v>
      </c>
      <c r="AG1029">
        <v>7.68</v>
      </c>
      <c r="AH1029">
        <v>6.41</v>
      </c>
      <c r="AI1029">
        <v>7.0000000000000007E-2</v>
      </c>
      <c r="AJ1029">
        <v>0.05</v>
      </c>
      <c r="AK1029">
        <v>86</v>
      </c>
      <c r="AL1029">
        <v>540</v>
      </c>
      <c r="AM1029">
        <v>256</v>
      </c>
      <c r="AN1029">
        <v>-2.91</v>
      </c>
      <c r="AO1029">
        <v>1.39</v>
      </c>
      <c r="AP1029">
        <v>2793</v>
      </c>
      <c r="AQ1029">
        <v>14</v>
      </c>
      <c r="AR1029">
        <v>5.22</v>
      </c>
      <c r="AS1029">
        <v>96</v>
      </c>
      <c r="AT1029">
        <v>2.4500000000000002</v>
      </c>
      <c r="AU1029">
        <v>98</v>
      </c>
      <c r="AV1029">
        <v>-3.77</v>
      </c>
      <c r="AW1029">
        <v>99</v>
      </c>
      <c r="AX1029">
        <v>-0.49</v>
      </c>
      <c r="AY1029">
        <v>98</v>
      </c>
      <c r="AZ1029">
        <v>5.37</v>
      </c>
      <c r="BA1029">
        <v>94</v>
      </c>
      <c r="BB1029">
        <v>4.58</v>
      </c>
      <c r="BC1029">
        <v>75</v>
      </c>
      <c r="BD1029">
        <v>0.01</v>
      </c>
      <c r="BE1029">
        <v>0.04</v>
      </c>
      <c r="BF1029">
        <v>0.09</v>
      </c>
      <c r="BG1029">
        <v>97</v>
      </c>
      <c r="BH1029">
        <v>7.0000000000000007E-2</v>
      </c>
      <c r="BI1029">
        <v>-6.73</v>
      </c>
      <c r="BJ1029">
        <v>17</v>
      </c>
      <c r="BK1029">
        <v>9</v>
      </c>
      <c r="BL1029">
        <v>0.28000000000000003</v>
      </c>
      <c r="BM1029">
        <v>-0.49</v>
      </c>
      <c r="BN1029">
        <v>-0.78</v>
      </c>
      <c r="BO1029">
        <v>-0.17</v>
      </c>
      <c r="BP1029">
        <v>0.75</v>
      </c>
      <c r="BQ1029">
        <v>-1.1299999999999999</v>
      </c>
      <c r="BR1029">
        <v>-0.34</v>
      </c>
      <c r="BS1029">
        <v>-1.05</v>
      </c>
      <c r="BT1029">
        <v>-0.01</v>
      </c>
      <c r="BU1029">
        <v>-0.83</v>
      </c>
      <c r="BV1029">
        <v>-0.94</v>
      </c>
      <c r="BW1029">
        <v>0.13</v>
      </c>
      <c r="BX1029">
        <v>0.55000000000000004</v>
      </c>
      <c r="BY1029">
        <v>-0.99</v>
      </c>
      <c r="BZ1029">
        <v>1.59</v>
      </c>
      <c r="CA1029">
        <v>-0.71</v>
      </c>
      <c r="CB1029">
        <v>-1.1200000000000001</v>
      </c>
      <c r="CC1029">
        <v>0.21</v>
      </c>
      <c r="CD1029">
        <v>-0.71</v>
      </c>
      <c r="CE1029">
        <v>0.6</v>
      </c>
      <c r="CF1029">
        <v>-0.5</v>
      </c>
      <c r="CG1029">
        <v>0</v>
      </c>
      <c r="CH1029">
        <v>-1.5</v>
      </c>
      <c r="CI1029">
        <v>0</v>
      </c>
      <c r="CJ1029">
        <v>-4</v>
      </c>
      <c r="CK1029">
        <v>99</v>
      </c>
      <c r="CL1029">
        <v>-0.88</v>
      </c>
      <c r="CM1029">
        <v>99</v>
      </c>
      <c r="CN1029">
        <v>-0.45</v>
      </c>
      <c r="CO1029">
        <v>99</v>
      </c>
      <c r="CP1029">
        <v>-2.1</v>
      </c>
      <c r="CQ1029">
        <v>90</v>
      </c>
      <c r="CR1029">
        <v>0</v>
      </c>
      <c r="CS1029">
        <v>0</v>
      </c>
      <c r="CT1029">
        <v>1.3</v>
      </c>
      <c r="CU1029">
        <v>91</v>
      </c>
      <c r="CV1029">
        <v>0.13</v>
      </c>
      <c r="CW1029">
        <v>47</v>
      </c>
      <c r="CX1029" t="s">
        <v>8472</v>
      </c>
    </row>
    <row r="1030" spans="1:102" x14ac:dyDescent="0.3">
      <c r="A1030" t="str">
        <f>HYPERLINK("https://webapp.icbf.com/v2/app/bull-search/view/586057808","XDO")</f>
        <v>XDO</v>
      </c>
      <c r="B1030" t="s">
        <v>14675</v>
      </c>
      <c r="C1030" t="s">
        <v>14676</v>
      </c>
      <c r="D1030" s="1">
        <v>38691</v>
      </c>
      <c r="E1030" t="s">
        <v>92</v>
      </c>
      <c r="F1030">
        <v>100</v>
      </c>
      <c r="G1030" t="s">
        <v>93</v>
      </c>
      <c r="H1030">
        <v>140.36000000000001</v>
      </c>
      <c r="I1030">
        <v>95</v>
      </c>
      <c r="J1030">
        <v>69.91</v>
      </c>
      <c r="K1030">
        <v>99</v>
      </c>
      <c r="L1030">
        <v>30.93</v>
      </c>
      <c r="M1030">
        <v>92</v>
      </c>
      <c r="N1030">
        <v>33.68</v>
      </c>
      <c r="O1030">
        <v>97</v>
      </c>
      <c r="P1030">
        <v>-2.2000000000000002</v>
      </c>
      <c r="Q1030">
        <v>99</v>
      </c>
      <c r="R1030">
        <v>5.71</v>
      </c>
      <c r="S1030">
        <v>90</v>
      </c>
      <c r="T1030">
        <v>0.57999999999999996</v>
      </c>
      <c r="U1030">
        <v>97</v>
      </c>
      <c r="V1030">
        <v>1.75</v>
      </c>
      <c r="W1030">
        <v>81</v>
      </c>
      <c r="X1030" t="s">
        <v>276</v>
      </c>
      <c r="Y1030" t="s">
        <v>1128</v>
      </c>
      <c r="Z1030" t="s">
        <v>96</v>
      </c>
      <c r="AA1030" t="s">
        <v>350</v>
      </c>
      <c r="AB1030" t="s">
        <v>14677</v>
      </c>
      <c r="AC1030">
        <v>1844</v>
      </c>
      <c r="AD1030">
        <v>452</v>
      </c>
      <c r="AE1030">
        <v>99</v>
      </c>
      <c r="AF1030">
        <v>354.74</v>
      </c>
      <c r="AG1030">
        <v>12.89</v>
      </c>
      <c r="AH1030">
        <v>12.76</v>
      </c>
      <c r="AI1030">
        <v>-0.02</v>
      </c>
      <c r="AJ1030">
        <v>0.01</v>
      </c>
      <c r="AK1030">
        <v>92</v>
      </c>
      <c r="AL1030">
        <v>1724</v>
      </c>
      <c r="AM1030">
        <v>475</v>
      </c>
      <c r="AN1030">
        <v>0.11</v>
      </c>
      <c r="AO1030">
        <v>2.6</v>
      </c>
      <c r="AP1030">
        <v>3630</v>
      </c>
      <c r="AQ1030">
        <v>34</v>
      </c>
      <c r="AR1030">
        <v>5.29</v>
      </c>
      <c r="AS1030">
        <v>99</v>
      </c>
      <c r="AT1030">
        <v>2.5</v>
      </c>
      <c r="AU1030">
        <v>98</v>
      </c>
      <c r="AV1030">
        <v>-2.48</v>
      </c>
      <c r="AW1030">
        <v>99</v>
      </c>
      <c r="AX1030">
        <v>0.18</v>
      </c>
      <c r="AY1030">
        <v>98</v>
      </c>
      <c r="AZ1030">
        <v>5.64</v>
      </c>
      <c r="BA1030">
        <v>95</v>
      </c>
      <c r="BB1030">
        <v>4.3899999999999997</v>
      </c>
      <c r="BC1030">
        <v>90</v>
      </c>
      <c r="BD1030">
        <v>-0.02</v>
      </c>
      <c r="BE1030">
        <v>-0.02</v>
      </c>
      <c r="BF1030">
        <v>-0.06</v>
      </c>
      <c r="BG1030">
        <v>98</v>
      </c>
      <c r="BH1030">
        <v>0.04</v>
      </c>
      <c r="BI1030">
        <v>-1.03</v>
      </c>
      <c r="BJ1030">
        <v>254</v>
      </c>
      <c r="BK1030">
        <v>73</v>
      </c>
      <c r="BL1030">
        <v>0.24</v>
      </c>
      <c r="BM1030">
        <v>1.37</v>
      </c>
      <c r="BN1030">
        <v>0.83</v>
      </c>
      <c r="BO1030">
        <v>-0.14000000000000001</v>
      </c>
      <c r="BP1030">
        <v>0.98</v>
      </c>
      <c r="BQ1030">
        <v>0.59</v>
      </c>
      <c r="BR1030">
        <v>-0.68</v>
      </c>
      <c r="BS1030">
        <v>3.95</v>
      </c>
      <c r="BT1030">
        <v>0.97</v>
      </c>
      <c r="BU1030">
        <v>0.33</v>
      </c>
      <c r="BV1030">
        <v>0.36</v>
      </c>
      <c r="BW1030">
        <v>0.2</v>
      </c>
      <c r="BX1030">
        <v>0.25</v>
      </c>
      <c r="BY1030">
        <v>-0.94</v>
      </c>
      <c r="BZ1030">
        <v>-0.36</v>
      </c>
      <c r="CA1030">
        <v>1.22</v>
      </c>
      <c r="CB1030">
        <v>0.5</v>
      </c>
      <c r="CC1030">
        <v>2.27</v>
      </c>
      <c r="CD1030">
        <v>1.01</v>
      </c>
      <c r="CE1030">
        <v>0.32</v>
      </c>
      <c r="CF1030">
        <v>1.43</v>
      </c>
      <c r="CG1030">
        <v>0</v>
      </c>
      <c r="CH1030">
        <v>-0.96</v>
      </c>
      <c r="CI1030">
        <v>0</v>
      </c>
      <c r="CJ1030">
        <v>0.1</v>
      </c>
      <c r="CK1030">
        <v>99</v>
      </c>
      <c r="CL1030">
        <v>-0.81</v>
      </c>
      <c r="CM1030">
        <v>99</v>
      </c>
      <c r="CN1030">
        <v>-0.4</v>
      </c>
      <c r="CO1030">
        <v>99</v>
      </c>
      <c r="CP1030">
        <v>8.9</v>
      </c>
      <c r="CQ1030">
        <v>97</v>
      </c>
      <c r="CR1030">
        <v>0</v>
      </c>
      <c r="CS1030">
        <v>0</v>
      </c>
      <c r="CT1030">
        <v>13</v>
      </c>
      <c r="CU1030">
        <v>97</v>
      </c>
      <c r="CV1030">
        <v>0.15</v>
      </c>
      <c r="CW1030">
        <v>46</v>
      </c>
      <c r="CX1030" t="s">
        <v>326</v>
      </c>
    </row>
    <row r="1031" spans="1:102" x14ac:dyDescent="0.3">
      <c r="A1031" t="str">
        <f>HYPERLINK("https://webapp.icbf.com/v2/app/bull-search/view/1492480364","S3180")</f>
        <v>S3180</v>
      </c>
      <c r="B1031" t="s">
        <v>6233</v>
      </c>
      <c r="C1031" t="s">
        <v>2735</v>
      </c>
      <c r="D1031" s="1">
        <v>42228</v>
      </c>
      <c r="E1031" t="s">
        <v>92</v>
      </c>
      <c r="F1031">
        <v>100</v>
      </c>
      <c r="G1031" t="s">
        <v>435</v>
      </c>
      <c r="H1031">
        <v>140.28</v>
      </c>
      <c r="I1031">
        <v>69</v>
      </c>
      <c r="J1031">
        <v>106.74</v>
      </c>
      <c r="K1031">
        <v>89</v>
      </c>
      <c r="L1031">
        <v>-27.56</v>
      </c>
      <c r="M1031">
        <v>68</v>
      </c>
      <c r="N1031">
        <v>55.14</v>
      </c>
      <c r="O1031">
        <v>68</v>
      </c>
      <c r="P1031">
        <v>-4.62</v>
      </c>
      <c r="Q1031">
        <v>40</v>
      </c>
      <c r="R1031">
        <v>0</v>
      </c>
      <c r="S1031">
        <v>64</v>
      </c>
      <c r="T1031">
        <v>2.06</v>
      </c>
      <c r="U1031">
        <v>36</v>
      </c>
      <c r="V1031">
        <v>8.52</v>
      </c>
      <c r="W1031">
        <v>52</v>
      </c>
      <c r="X1031" t="s">
        <v>110</v>
      </c>
      <c r="Y1031" t="s">
        <v>453</v>
      </c>
      <c r="Z1031" t="s">
        <v>96</v>
      </c>
      <c r="AA1031" t="s">
        <v>430</v>
      </c>
      <c r="AB1031" t="s">
        <v>6234</v>
      </c>
      <c r="AC1031">
        <v>0</v>
      </c>
      <c r="AD1031">
        <v>0</v>
      </c>
      <c r="AE1031">
        <v>89</v>
      </c>
      <c r="AF1031">
        <v>553.19000000000005</v>
      </c>
      <c r="AG1031">
        <v>29.6</v>
      </c>
      <c r="AH1031">
        <v>16.149999999999999</v>
      </c>
      <c r="AI1031">
        <v>0.12</v>
      </c>
      <c r="AJ1031">
        <v>-0.04</v>
      </c>
      <c r="AK1031">
        <v>68</v>
      </c>
      <c r="AL1031">
        <v>0</v>
      </c>
      <c r="AM1031">
        <v>0</v>
      </c>
      <c r="AN1031">
        <v>2.12</v>
      </c>
      <c r="AO1031">
        <v>-7.0000000000000007E-2</v>
      </c>
      <c r="AP1031">
        <v>34</v>
      </c>
      <c r="AQ1031">
        <v>0</v>
      </c>
      <c r="AR1031">
        <v>3.44</v>
      </c>
      <c r="AS1031">
        <v>54</v>
      </c>
      <c r="AT1031">
        <v>2.0699999999999998</v>
      </c>
      <c r="AU1031">
        <v>92</v>
      </c>
      <c r="AV1031">
        <v>-4.13</v>
      </c>
      <c r="AW1031">
        <v>76</v>
      </c>
      <c r="AX1031">
        <v>-0.13</v>
      </c>
      <c r="AY1031">
        <v>51</v>
      </c>
      <c r="AZ1031">
        <v>5.54</v>
      </c>
      <c r="BA1031">
        <v>35</v>
      </c>
      <c r="BB1031">
        <v>4.12</v>
      </c>
      <c r="BC1031">
        <v>33</v>
      </c>
      <c r="BD1031">
        <v>0</v>
      </c>
      <c r="BE1031">
        <v>0</v>
      </c>
      <c r="BF1031">
        <v>0</v>
      </c>
      <c r="BG1031">
        <v>78</v>
      </c>
      <c r="BH1031">
        <v>0.09</v>
      </c>
      <c r="BI1031">
        <v>-17.07</v>
      </c>
      <c r="BJ1031">
        <v>0</v>
      </c>
      <c r="BK1031">
        <v>0</v>
      </c>
      <c r="BL1031">
        <v>1.54</v>
      </c>
      <c r="BM1031">
        <v>-0.47</v>
      </c>
      <c r="BN1031">
        <v>0.46</v>
      </c>
      <c r="BO1031">
        <v>1.53</v>
      </c>
      <c r="BP1031">
        <v>2.12</v>
      </c>
      <c r="BQ1031">
        <v>1.46</v>
      </c>
      <c r="BR1031">
        <v>-0.71</v>
      </c>
      <c r="BS1031">
        <v>2.4900000000000002</v>
      </c>
      <c r="BT1031">
        <v>0.41</v>
      </c>
      <c r="BU1031">
        <v>2.09</v>
      </c>
      <c r="BV1031">
        <v>2.1</v>
      </c>
      <c r="BW1031">
        <v>1.1000000000000001</v>
      </c>
      <c r="BX1031">
        <v>1.21</v>
      </c>
      <c r="BY1031">
        <v>1.39</v>
      </c>
      <c r="BZ1031">
        <v>-1.18</v>
      </c>
      <c r="CA1031">
        <v>2.15</v>
      </c>
      <c r="CB1031">
        <v>1.78</v>
      </c>
      <c r="CC1031">
        <v>1.99</v>
      </c>
      <c r="CD1031">
        <v>-1.43</v>
      </c>
      <c r="CE1031">
        <v>1.47</v>
      </c>
      <c r="CF1031">
        <v>0.96</v>
      </c>
      <c r="CG1031">
        <v>0</v>
      </c>
      <c r="CH1031">
        <v>1.43</v>
      </c>
      <c r="CI1031">
        <v>0</v>
      </c>
      <c r="CJ1031">
        <v>-1.3</v>
      </c>
      <c r="CK1031">
        <v>42</v>
      </c>
      <c r="CL1031">
        <v>-1.27</v>
      </c>
      <c r="CM1031">
        <v>37</v>
      </c>
      <c r="CN1031">
        <v>-0.82</v>
      </c>
      <c r="CO1031">
        <v>37</v>
      </c>
      <c r="CP1031">
        <v>4.5</v>
      </c>
      <c r="CQ1031">
        <v>37</v>
      </c>
      <c r="CR1031">
        <v>0</v>
      </c>
      <c r="CS1031">
        <v>0</v>
      </c>
      <c r="CT1031">
        <v>11</v>
      </c>
      <c r="CU1031">
        <v>36</v>
      </c>
      <c r="CV1031">
        <v>0.19</v>
      </c>
      <c r="CW1031">
        <v>32</v>
      </c>
      <c r="CX1031" t="s">
        <v>465</v>
      </c>
    </row>
    <row r="1032" spans="1:102" x14ac:dyDescent="0.3">
      <c r="A1032" t="str">
        <f>HYPERLINK("https://webapp.icbf.com/v2/app/bull-search/view/440100092","MLV")</f>
        <v>MLV</v>
      </c>
      <c r="B1032" t="s">
        <v>4534</v>
      </c>
      <c r="C1032" t="s">
        <v>4535</v>
      </c>
      <c r="D1032" s="1">
        <v>36744</v>
      </c>
      <c r="E1032" t="s">
        <v>92</v>
      </c>
      <c r="F1032">
        <v>53</v>
      </c>
      <c r="G1032" t="s">
        <v>93</v>
      </c>
      <c r="H1032">
        <v>140.25</v>
      </c>
      <c r="I1032">
        <v>93</v>
      </c>
      <c r="J1032">
        <v>73.7</v>
      </c>
      <c r="K1032">
        <v>98</v>
      </c>
      <c r="L1032">
        <v>21.24</v>
      </c>
      <c r="M1032">
        <v>88</v>
      </c>
      <c r="N1032">
        <v>45.15</v>
      </c>
      <c r="O1032">
        <v>93</v>
      </c>
      <c r="P1032">
        <v>-24.7</v>
      </c>
      <c r="Q1032">
        <v>96</v>
      </c>
      <c r="R1032">
        <v>-3.78</v>
      </c>
      <c r="S1032">
        <v>90</v>
      </c>
      <c r="T1032">
        <v>24.41</v>
      </c>
      <c r="U1032">
        <v>95</v>
      </c>
      <c r="V1032">
        <v>4.2300000000000004</v>
      </c>
      <c r="W1032">
        <v>91</v>
      </c>
      <c r="X1032" t="s">
        <v>302</v>
      </c>
      <c r="Y1032" t="s">
        <v>95</v>
      </c>
      <c r="Z1032" t="s">
        <v>528</v>
      </c>
      <c r="AA1032" t="s">
        <v>792</v>
      </c>
      <c r="AB1032" t="s">
        <v>4536</v>
      </c>
      <c r="AC1032">
        <v>275</v>
      </c>
      <c r="AD1032">
        <v>109</v>
      </c>
      <c r="AE1032">
        <v>98</v>
      </c>
      <c r="AF1032">
        <v>225.59</v>
      </c>
      <c r="AG1032">
        <v>15</v>
      </c>
      <c r="AH1032">
        <v>10.68</v>
      </c>
      <c r="AI1032">
        <v>0.1</v>
      </c>
      <c r="AJ1032">
        <v>0.05</v>
      </c>
      <c r="AK1032">
        <v>88</v>
      </c>
      <c r="AL1032">
        <v>283</v>
      </c>
      <c r="AM1032">
        <v>111</v>
      </c>
      <c r="AN1032">
        <v>-0.67</v>
      </c>
      <c r="AO1032">
        <v>1.03</v>
      </c>
      <c r="AP1032">
        <v>465</v>
      </c>
      <c r="AQ1032">
        <v>4</v>
      </c>
      <c r="AR1032">
        <v>4.47</v>
      </c>
      <c r="AS1032">
        <v>82</v>
      </c>
      <c r="AT1032">
        <v>1.72</v>
      </c>
      <c r="AU1032">
        <v>94</v>
      </c>
      <c r="AV1032">
        <v>-3.63</v>
      </c>
      <c r="AW1032">
        <v>99</v>
      </c>
      <c r="AX1032">
        <v>-0.47</v>
      </c>
      <c r="AY1032">
        <v>92</v>
      </c>
      <c r="AZ1032">
        <v>6.6</v>
      </c>
      <c r="BA1032">
        <v>79</v>
      </c>
      <c r="BB1032">
        <v>5.33</v>
      </c>
      <c r="BC1032">
        <v>83</v>
      </c>
      <c r="BD1032">
        <v>-0.03</v>
      </c>
      <c r="BE1032">
        <v>0.03</v>
      </c>
      <c r="BF1032">
        <v>0.08</v>
      </c>
      <c r="BG1032">
        <v>95</v>
      </c>
      <c r="BH1032">
        <v>0</v>
      </c>
      <c r="BI1032">
        <v>-13.64</v>
      </c>
      <c r="BJ1032">
        <v>3</v>
      </c>
      <c r="BK1032">
        <v>2</v>
      </c>
      <c r="BL1032">
        <v>-1.89</v>
      </c>
      <c r="BM1032">
        <v>-1.22</v>
      </c>
      <c r="BN1032">
        <v>-2.17</v>
      </c>
      <c r="BO1032">
        <v>-1.04</v>
      </c>
      <c r="BP1032">
        <v>0.74</v>
      </c>
      <c r="BQ1032">
        <v>-2.68</v>
      </c>
      <c r="BR1032">
        <v>1.72</v>
      </c>
      <c r="BS1032">
        <v>0.35</v>
      </c>
      <c r="BT1032">
        <v>-1.33</v>
      </c>
      <c r="BU1032">
        <v>-0.77</v>
      </c>
      <c r="BV1032">
        <v>-1.38</v>
      </c>
      <c r="BW1032">
        <v>-2.0699999999999998</v>
      </c>
      <c r="BX1032">
        <v>-0.67</v>
      </c>
      <c r="BY1032">
        <v>-2.21</v>
      </c>
      <c r="BZ1032">
        <v>-0.05</v>
      </c>
      <c r="CA1032">
        <v>-1.41</v>
      </c>
      <c r="CB1032">
        <v>-1.52</v>
      </c>
      <c r="CC1032">
        <v>-0.45</v>
      </c>
      <c r="CD1032">
        <v>0.12</v>
      </c>
      <c r="CE1032">
        <v>-0.55000000000000004</v>
      </c>
      <c r="CF1032">
        <v>-1.63</v>
      </c>
      <c r="CG1032">
        <v>0</v>
      </c>
      <c r="CH1032">
        <v>-2.54</v>
      </c>
      <c r="CI1032">
        <v>0</v>
      </c>
      <c r="CJ1032">
        <v>-11.1</v>
      </c>
      <c r="CK1032">
        <v>97</v>
      </c>
      <c r="CL1032">
        <v>-0.67</v>
      </c>
      <c r="CM1032">
        <v>96</v>
      </c>
      <c r="CN1032">
        <v>-0.04</v>
      </c>
      <c r="CO1032">
        <v>96</v>
      </c>
      <c r="CP1032">
        <v>-19.600000000000001</v>
      </c>
      <c r="CQ1032">
        <v>95</v>
      </c>
      <c r="CR1032">
        <v>0</v>
      </c>
      <c r="CS1032">
        <v>0</v>
      </c>
      <c r="CT1032">
        <v>-19.2</v>
      </c>
      <c r="CU1032">
        <v>95</v>
      </c>
      <c r="CV1032">
        <v>0.04</v>
      </c>
      <c r="CW1032">
        <v>46</v>
      </c>
      <c r="CX1032" t="s">
        <v>3343</v>
      </c>
    </row>
    <row r="1033" spans="1:102" x14ac:dyDescent="0.3">
      <c r="A1033" t="str">
        <f>HYPERLINK("https://webapp.icbf.com/v2/app/bull-search/view/1188894485","APP")</f>
        <v>APP</v>
      </c>
      <c r="B1033" t="s">
        <v>5902</v>
      </c>
      <c r="C1033" t="s">
        <v>5903</v>
      </c>
      <c r="D1033" s="1">
        <v>41330</v>
      </c>
      <c r="E1033" t="s">
        <v>92</v>
      </c>
      <c r="F1033">
        <v>97</v>
      </c>
      <c r="G1033" t="s">
        <v>109</v>
      </c>
      <c r="H1033">
        <v>140.1</v>
      </c>
      <c r="I1033">
        <v>76</v>
      </c>
      <c r="J1033">
        <v>49.05</v>
      </c>
      <c r="K1033">
        <v>90</v>
      </c>
      <c r="L1033">
        <v>57.62</v>
      </c>
      <c r="M1033">
        <v>75</v>
      </c>
      <c r="N1033">
        <v>12.72</v>
      </c>
      <c r="O1033">
        <v>71</v>
      </c>
      <c r="P1033">
        <v>-5.47</v>
      </c>
      <c r="Q1033">
        <v>67</v>
      </c>
      <c r="R1033">
        <v>20.59</v>
      </c>
      <c r="S1033">
        <v>70</v>
      </c>
      <c r="T1033">
        <v>-3.42</v>
      </c>
      <c r="U1033">
        <v>46</v>
      </c>
      <c r="V1033">
        <v>9.01</v>
      </c>
      <c r="W1033">
        <v>53</v>
      </c>
      <c r="X1033" t="s">
        <v>251</v>
      </c>
      <c r="Y1033" t="s">
        <v>2066</v>
      </c>
      <c r="Z1033" t="s">
        <v>96</v>
      </c>
      <c r="AA1033" t="s">
        <v>2004</v>
      </c>
      <c r="AB1033" t="s">
        <v>5904</v>
      </c>
      <c r="AC1033">
        <v>0</v>
      </c>
      <c r="AD1033">
        <v>0</v>
      </c>
      <c r="AE1033">
        <v>90</v>
      </c>
      <c r="AF1033">
        <v>344.84</v>
      </c>
      <c r="AG1033">
        <v>12.24</v>
      </c>
      <c r="AH1033">
        <v>9.2899999999999991</v>
      </c>
      <c r="AI1033">
        <v>-0.02</v>
      </c>
      <c r="AJ1033">
        <v>-0.04</v>
      </c>
      <c r="AK1033">
        <v>75</v>
      </c>
      <c r="AL1033">
        <v>0</v>
      </c>
      <c r="AM1033">
        <v>0</v>
      </c>
      <c r="AN1033">
        <v>-1.96</v>
      </c>
      <c r="AO1033">
        <v>2.65</v>
      </c>
      <c r="AP1033">
        <v>37</v>
      </c>
      <c r="AQ1033">
        <v>0</v>
      </c>
      <c r="AR1033">
        <v>8.4</v>
      </c>
      <c r="AS1033">
        <v>60</v>
      </c>
      <c r="AT1033">
        <v>3.82</v>
      </c>
      <c r="AU1033">
        <v>80</v>
      </c>
      <c r="AV1033">
        <v>-2.61</v>
      </c>
      <c r="AW1033">
        <v>84</v>
      </c>
      <c r="AX1033">
        <v>-0.79</v>
      </c>
      <c r="AY1033">
        <v>58</v>
      </c>
      <c r="AZ1033">
        <v>6.19</v>
      </c>
      <c r="BA1033">
        <v>46</v>
      </c>
      <c r="BB1033">
        <v>5.33</v>
      </c>
      <c r="BC1033">
        <v>39</v>
      </c>
      <c r="BD1033">
        <v>-0.05</v>
      </c>
      <c r="BE1033">
        <v>-0.1</v>
      </c>
      <c r="BF1033">
        <v>-0.2</v>
      </c>
      <c r="BG1033">
        <v>86</v>
      </c>
      <c r="BH1033">
        <v>0.09</v>
      </c>
      <c r="BI1033">
        <v>-18.649999999999999</v>
      </c>
      <c r="BJ1033">
        <v>8</v>
      </c>
      <c r="BK1033">
        <v>6</v>
      </c>
      <c r="BL1033">
        <v>1.49</v>
      </c>
      <c r="BM1033">
        <v>0.86</v>
      </c>
      <c r="BN1033">
        <v>1.2</v>
      </c>
      <c r="BO1033">
        <v>0.95</v>
      </c>
      <c r="BP1033">
        <v>-0.03</v>
      </c>
      <c r="BQ1033">
        <v>1.41</v>
      </c>
      <c r="BR1033">
        <v>-1.54</v>
      </c>
      <c r="BS1033">
        <v>1.77</v>
      </c>
      <c r="BT1033">
        <v>1.1399999999999999</v>
      </c>
      <c r="BU1033">
        <v>2.46</v>
      </c>
      <c r="BV1033">
        <v>1.81</v>
      </c>
      <c r="BW1033">
        <v>2.14</v>
      </c>
      <c r="BX1033">
        <v>1.63</v>
      </c>
      <c r="BY1033">
        <v>0.43</v>
      </c>
      <c r="BZ1033">
        <v>2.21</v>
      </c>
      <c r="CA1033">
        <v>2.04</v>
      </c>
      <c r="CB1033">
        <v>1.84</v>
      </c>
      <c r="CC1033">
        <v>1.32</v>
      </c>
      <c r="CD1033">
        <v>0.3</v>
      </c>
      <c r="CE1033">
        <v>0.69</v>
      </c>
      <c r="CF1033">
        <v>1.44</v>
      </c>
      <c r="CG1033">
        <v>0</v>
      </c>
      <c r="CH1033">
        <v>0.6</v>
      </c>
      <c r="CI1033">
        <v>0</v>
      </c>
      <c r="CJ1033">
        <v>-0.1</v>
      </c>
      <c r="CK1033">
        <v>70</v>
      </c>
      <c r="CL1033">
        <v>-1.1499999999999999</v>
      </c>
      <c r="CM1033">
        <v>67</v>
      </c>
      <c r="CN1033">
        <v>-0.54</v>
      </c>
      <c r="CO1033">
        <v>66</v>
      </c>
      <c r="CP1033">
        <v>1.4</v>
      </c>
      <c r="CQ1033">
        <v>49</v>
      </c>
      <c r="CR1033">
        <v>0</v>
      </c>
      <c r="CS1033">
        <v>0</v>
      </c>
      <c r="CT1033">
        <v>18.399999999999999</v>
      </c>
      <c r="CU1033">
        <v>46</v>
      </c>
      <c r="CV1033">
        <v>0.14000000000000001</v>
      </c>
      <c r="CW1033">
        <v>39</v>
      </c>
      <c r="CX1033" t="s">
        <v>3020</v>
      </c>
    </row>
    <row r="1034" spans="1:102" x14ac:dyDescent="0.3">
      <c r="A1034" t="str">
        <f>HYPERLINK("https://webapp.icbf.com/v2/app/bull-search/view/395336592","BXN")</f>
        <v>BXN</v>
      </c>
      <c r="B1034" t="s">
        <v>8783</v>
      </c>
      <c r="C1034" t="s">
        <v>8784</v>
      </c>
      <c r="D1034" s="1">
        <v>38405</v>
      </c>
      <c r="E1034" t="s">
        <v>92</v>
      </c>
      <c r="F1034">
        <v>84</v>
      </c>
      <c r="G1034" t="s">
        <v>93</v>
      </c>
      <c r="H1034">
        <v>140.07</v>
      </c>
      <c r="I1034">
        <v>87</v>
      </c>
      <c r="J1034">
        <v>31.5</v>
      </c>
      <c r="K1034">
        <v>97</v>
      </c>
      <c r="L1034">
        <v>95.12</v>
      </c>
      <c r="M1034">
        <v>79</v>
      </c>
      <c r="N1034">
        <v>8.6999999999999993</v>
      </c>
      <c r="O1034">
        <v>86</v>
      </c>
      <c r="P1034">
        <v>-19.47</v>
      </c>
      <c r="Q1034">
        <v>90</v>
      </c>
      <c r="R1034">
        <v>7.8</v>
      </c>
      <c r="S1034">
        <v>82</v>
      </c>
      <c r="T1034">
        <v>25.74</v>
      </c>
      <c r="U1034">
        <v>88</v>
      </c>
      <c r="V1034">
        <v>-9.32</v>
      </c>
      <c r="W1034">
        <v>82</v>
      </c>
      <c r="X1034" t="s">
        <v>94</v>
      </c>
      <c r="Y1034" t="s">
        <v>228</v>
      </c>
      <c r="Z1034" t="s">
        <v>96</v>
      </c>
      <c r="AA1034" t="s">
        <v>4398</v>
      </c>
      <c r="AB1034" t="s">
        <v>8785</v>
      </c>
      <c r="AC1034">
        <v>79</v>
      </c>
      <c r="AD1034">
        <v>61</v>
      </c>
      <c r="AE1034">
        <v>97</v>
      </c>
      <c r="AF1034">
        <v>-17.079999999999998</v>
      </c>
      <c r="AG1034">
        <v>5.7</v>
      </c>
      <c r="AH1034">
        <v>3.08</v>
      </c>
      <c r="AI1034">
        <v>0.11</v>
      </c>
      <c r="AJ1034">
        <v>0.06</v>
      </c>
      <c r="AK1034">
        <v>79</v>
      </c>
      <c r="AL1034">
        <v>79</v>
      </c>
      <c r="AM1034">
        <v>56</v>
      </c>
      <c r="AN1034">
        <v>-4.84</v>
      </c>
      <c r="AO1034">
        <v>2.75</v>
      </c>
      <c r="AP1034">
        <v>155</v>
      </c>
      <c r="AQ1034">
        <v>2</v>
      </c>
      <c r="AR1034">
        <v>9.19</v>
      </c>
      <c r="AS1034">
        <v>69</v>
      </c>
      <c r="AT1034">
        <v>3.74</v>
      </c>
      <c r="AU1034">
        <v>87</v>
      </c>
      <c r="AV1034">
        <v>-2.2200000000000002</v>
      </c>
      <c r="AW1034">
        <v>95</v>
      </c>
      <c r="AX1034">
        <v>0.6</v>
      </c>
      <c r="AY1034">
        <v>80</v>
      </c>
      <c r="AZ1034">
        <v>5.61</v>
      </c>
      <c r="BA1034">
        <v>66</v>
      </c>
      <c r="BB1034">
        <v>4.6399999999999997</v>
      </c>
      <c r="BC1034">
        <v>72</v>
      </c>
      <c r="BD1034">
        <v>-0.02</v>
      </c>
      <c r="BE1034">
        <v>-0.04</v>
      </c>
      <c r="BF1034">
        <v>-7.0000000000000007E-2</v>
      </c>
      <c r="BG1034">
        <v>89</v>
      </c>
      <c r="BH1034">
        <v>-0.26</v>
      </c>
      <c r="BI1034">
        <v>0</v>
      </c>
      <c r="BJ1034">
        <v>29</v>
      </c>
      <c r="BK1034">
        <v>20</v>
      </c>
      <c r="BL1034">
        <v>-0.42</v>
      </c>
      <c r="BM1034">
        <v>-1.67</v>
      </c>
      <c r="BN1034">
        <v>-1.91</v>
      </c>
      <c r="BO1034">
        <v>-0.64</v>
      </c>
      <c r="BP1034">
        <v>-0.17</v>
      </c>
      <c r="BQ1034">
        <v>-0.81</v>
      </c>
      <c r="BR1034">
        <v>1.02</v>
      </c>
      <c r="BS1034">
        <v>-1.1299999999999999</v>
      </c>
      <c r="BT1034">
        <v>-0.45</v>
      </c>
      <c r="BU1034">
        <v>-1.38</v>
      </c>
      <c r="BV1034">
        <v>-2.4500000000000002</v>
      </c>
      <c r="BW1034">
        <v>-1.88</v>
      </c>
      <c r="BX1034">
        <v>-0.53</v>
      </c>
      <c r="BY1034">
        <v>-2.4900000000000002</v>
      </c>
      <c r="BZ1034">
        <v>3.55</v>
      </c>
      <c r="CA1034">
        <v>-2.56</v>
      </c>
      <c r="CB1034">
        <v>-2.33</v>
      </c>
      <c r="CC1034">
        <v>-1.84</v>
      </c>
      <c r="CD1034">
        <v>-0.86</v>
      </c>
      <c r="CE1034">
        <v>-1.05</v>
      </c>
      <c r="CF1034">
        <v>-1.6</v>
      </c>
      <c r="CG1034">
        <v>0</v>
      </c>
      <c r="CH1034">
        <v>-2.52</v>
      </c>
      <c r="CI1034">
        <v>0</v>
      </c>
      <c r="CJ1034">
        <v>-7.2</v>
      </c>
      <c r="CK1034">
        <v>91</v>
      </c>
      <c r="CL1034">
        <v>-0.7</v>
      </c>
      <c r="CM1034">
        <v>89</v>
      </c>
      <c r="CN1034">
        <v>-0.04</v>
      </c>
      <c r="CO1034">
        <v>88</v>
      </c>
      <c r="CP1034">
        <v>-18.5</v>
      </c>
      <c r="CQ1034">
        <v>89</v>
      </c>
      <c r="CR1034">
        <v>0</v>
      </c>
      <c r="CS1034">
        <v>0</v>
      </c>
      <c r="CT1034">
        <v>-21</v>
      </c>
      <c r="CU1034">
        <v>88</v>
      </c>
      <c r="CV1034">
        <v>0.16</v>
      </c>
      <c r="CW1034">
        <v>44</v>
      </c>
      <c r="CX1034" t="s">
        <v>3831</v>
      </c>
    </row>
    <row r="1035" spans="1:102" x14ac:dyDescent="0.3">
      <c r="A1035" t="str">
        <f>HYPERLINK("https://webapp.icbf.com/v2/app/bull-search/view/586149202","S2035")</f>
        <v>S2035</v>
      </c>
      <c r="B1035" t="s">
        <v>2011</v>
      </c>
      <c r="C1035" t="s">
        <v>2012</v>
      </c>
      <c r="D1035" s="1">
        <v>38696</v>
      </c>
      <c r="E1035" t="s">
        <v>92</v>
      </c>
      <c r="F1035">
        <v>100</v>
      </c>
      <c r="G1035" t="s">
        <v>109</v>
      </c>
      <c r="H1035">
        <v>140.04</v>
      </c>
      <c r="I1035">
        <v>84</v>
      </c>
      <c r="J1035">
        <v>87.97</v>
      </c>
      <c r="K1035">
        <v>95</v>
      </c>
      <c r="L1035">
        <v>15.58</v>
      </c>
      <c r="M1035">
        <v>86</v>
      </c>
      <c r="N1035">
        <v>43.78</v>
      </c>
      <c r="O1035">
        <v>78</v>
      </c>
      <c r="P1035">
        <v>-1.97</v>
      </c>
      <c r="Q1035">
        <v>72</v>
      </c>
      <c r="R1035">
        <v>8.2899999999999991</v>
      </c>
      <c r="S1035">
        <v>80</v>
      </c>
      <c r="T1035">
        <v>-13.18</v>
      </c>
      <c r="U1035">
        <v>59</v>
      </c>
      <c r="V1035">
        <v>-0.43</v>
      </c>
      <c r="W1035">
        <v>67</v>
      </c>
      <c r="X1035" t="s">
        <v>1645</v>
      </c>
      <c r="Y1035" t="s">
        <v>367</v>
      </c>
      <c r="Z1035" t="s">
        <v>96</v>
      </c>
      <c r="AA1035" t="s">
        <v>316</v>
      </c>
      <c r="AB1035" t="s">
        <v>2013</v>
      </c>
      <c r="AC1035">
        <v>0</v>
      </c>
      <c r="AD1035">
        <v>0</v>
      </c>
      <c r="AE1035">
        <v>95</v>
      </c>
      <c r="AF1035">
        <v>182.5</v>
      </c>
      <c r="AG1035">
        <v>13.1</v>
      </c>
      <c r="AH1035">
        <v>13.12</v>
      </c>
      <c r="AI1035">
        <v>0.1</v>
      </c>
      <c r="AJ1035">
        <v>0.12</v>
      </c>
      <c r="AK1035">
        <v>86</v>
      </c>
      <c r="AL1035">
        <v>0</v>
      </c>
      <c r="AM1035">
        <v>0</v>
      </c>
      <c r="AN1035">
        <v>-1.03</v>
      </c>
      <c r="AO1035">
        <v>0.21</v>
      </c>
      <c r="AP1035">
        <v>61</v>
      </c>
      <c r="AQ1035">
        <v>1</v>
      </c>
      <c r="AR1035">
        <v>6.34</v>
      </c>
      <c r="AS1035">
        <v>65</v>
      </c>
      <c r="AT1035">
        <v>2.17</v>
      </c>
      <c r="AU1035">
        <v>92</v>
      </c>
      <c r="AV1035">
        <v>-4.2300000000000004</v>
      </c>
      <c r="AW1035">
        <v>87</v>
      </c>
      <c r="AX1035">
        <v>0.11</v>
      </c>
      <c r="AY1035">
        <v>61</v>
      </c>
      <c r="AZ1035">
        <v>6.3</v>
      </c>
      <c r="BA1035">
        <v>51</v>
      </c>
      <c r="BB1035">
        <v>5.05</v>
      </c>
      <c r="BC1035">
        <v>52</v>
      </c>
      <c r="BD1035">
        <v>-0.04</v>
      </c>
      <c r="BE1035">
        <v>-0.06</v>
      </c>
      <c r="BF1035">
        <v>-0.01</v>
      </c>
      <c r="BG1035">
        <v>93</v>
      </c>
      <c r="BH1035">
        <v>-0.12</v>
      </c>
      <c r="BI1035">
        <v>-12.5</v>
      </c>
      <c r="BJ1035">
        <v>0</v>
      </c>
      <c r="BK1035">
        <v>0</v>
      </c>
      <c r="BL1035">
        <v>1.31</v>
      </c>
      <c r="BM1035">
        <v>0.36</v>
      </c>
      <c r="BN1035">
        <v>-0.28000000000000003</v>
      </c>
      <c r="BO1035">
        <v>0.4</v>
      </c>
      <c r="BP1035">
        <v>0.95</v>
      </c>
      <c r="BQ1035">
        <v>1.55</v>
      </c>
      <c r="BR1035">
        <v>-1.34</v>
      </c>
      <c r="BS1035">
        <v>-1.42</v>
      </c>
      <c r="BT1035">
        <v>0.7</v>
      </c>
      <c r="BU1035">
        <v>2.23</v>
      </c>
      <c r="BV1035">
        <v>-0.27</v>
      </c>
      <c r="BW1035">
        <v>-0.26</v>
      </c>
      <c r="BX1035">
        <v>3.52</v>
      </c>
      <c r="BY1035">
        <v>-0.05</v>
      </c>
      <c r="BZ1035">
        <v>-2.0699999999999998</v>
      </c>
      <c r="CA1035">
        <v>0.9</v>
      </c>
      <c r="CB1035">
        <v>1.04</v>
      </c>
      <c r="CC1035">
        <v>-0.08</v>
      </c>
      <c r="CD1035">
        <v>0.39</v>
      </c>
      <c r="CE1035">
        <v>0.69</v>
      </c>
      <c r="CF1035">
        <v>1.24</v>
      </c>
      <c r="CG1035">
        <v>0</v>
      </c>
      <c r="CH1035">
        <v>0.23</v>
      </c>
      <c r="CI1035">
        <v>0</v>
      </c>
      <c r="CJ1035">
        <v>0.7</v>
      </c>
      <c r="CK1035">
        <v>74</v>
      </c>
      <c r="CL1035">
        <v>-0.89</v>
      </c>
      <c r="CM1035">
        <v>70</v>
      </c>
      <c r="CN1035">
        <v>-0.38</v>
      </c>
      <c r="CO1035">
        <v>68</v>
      </c>
      <c r="CP1035">
        <v>12</v>
      </c>
      <c r="CQ1035">
        <v>66</v>
      </c>
      <c r="CR1035">
        <v>0</v>
      </c>
      <c r="CS1035">
        <v>0</v>
      </c>
      <c r="CT1035">
        <v>31.6</v>
      </c>
      <c r="CU1035">
        <v>59</v>
      </c>
      <c r="CV1035">
        <v>0.21</v>
      </c>
      <c r="CW1035">
        <v>43</v>
      </c>
      <c r="CX1035" t="s">
        <v>2009</v>
      </c>
    </row>
    <row r="1036" spans="1:102" x14ac:dyDescent="0.3">
      <c r="A1036" t="str">
        <f>HYPERLINK("https://webapp.icbf.com/v2/app/bull-search/view/910797186","S1459")</f>
        <v>S1459</v>
      </c>
      <c r="B1036" t="s">
        <v>7296</v>
      </c>
      <c r="C1036" t="s">
        <v>7297</v>
      </c>
      <c r="D1036" s="1">
        <v>40203</v>
      </c>
      <c r="E1036" t="s">
        <v>92</v>
      </c>
      <c r="F1036">
        <v>100</v>
      </c>
      <c r="G1036" t="s">
        <v>109</v>
      </c>
      <c r="H1036">
        <v>139.91</v>
      </c>
      <c r="I1036">
        <v>69</v>
      </c>
      <c r="J1036">
        <v>33.28</v>
      </c>
      <c r="K1036">
        <v>81</v>
      </c>
      <c r="L1036">
        <v>57.41</v>
      </c>
      <c r="M1036">
        <v>78</v>
      </c>
      <c r="N1036">
        <v>40.47</v>
      </c>
      <c r="O1036">
        <v>62</v>
      </c>
      <c r="P1036">
        <v>-9.1999999999999993</v>
      </c>
      <c r="Q1036">
        <v>59</v>
      </c>
      <c r="R1036">
        <v>10.35</v>
      </c>
      <c r="S1036">
        <v>62</v>
      </c>
      <c r="T1036">
        <v>1.02</v>
      </c>
      <c r="U1036">
        <v>32</v>
      </c>
      <c r="V1036">
        <v>6.58</v>
      </c>
      <c r="W1036">
        <v>18</v>
      </c>
      <c r="X1036" t="s">
        <v>234</v>
      </c>
      <c r="Y1036" t="s">
        <v>342</v>
      </c>
      <c r="Z1036" t="s">
        <v>96</v>
      </c>
      <c r="AA1036" t="s">
        <v>1924</v>
      </c>
      <c r="AB1036" t="s">
        <v>7298</v>
      </c>
      <c r="AC1036">
        <v>0</v>
      </c>
      <c r="AD1036">
        <v>0</v>
      </c>
      <c r="AE1036">
        <v>81</v>
      </c>
      <c r="AF1036">
        <v>510.32</v>
      </c>
      <c r="AG1036">
        <v>5.94</v>
      </c>
      <c r="AH1036">
        <v>11.37</v>
      </c>
      <c r="AI1036">
        <v>-0.21</v>
      </c>
      <c r="AJ1036">
        <v>-0.09</v>
      </c>
      <c r="AK1036">
        <v>78</v>
      </c>
      <c r="AL1036">
        <v>0</v>
      </c>
      <c r="AM1036">
        <v>0</v>
      </c>
      <c r="AN1036">
        <v>-1.47</v>
      </c>
      <c r="AO1036">
        <v>3.13</v>
      </c>
      <c r="AP1036">
        <v>45</v>
      </c>
      <c r="AQ1036">
        <v>0</v>
      </c>
      <c r="AR1036">
        <v>3.88</v>
      </c>
      <c r="AS1036">
        <v>33</v>
      </c>
      <c r="AT1036">
        <v>1.71</v>
      </c>
      <c r="AU1036">
        <v>84</v>
      </c>
      <c r="AV1036">
        <v>-2.87</v>
      </c>
      <c r="AW1036">
        <v>73</v>
      </c>
      <c r="AX1036">
        <v>0.02</v>
      </c>
      <c r="AY1036">
        <v>44</v>
      </c>
      <c r="AZ1036">
        <v>6.24</v>
      </c>
      <c r="BA1036">
        <v>29</v>
      </c>
      <c r="BB1036">
        <v>5.12</v>
      </c>
      <c r="BC1036">
        <v>24</v>
      </c>
      <c r="BD1036">
        <v>0</v>
      </c>
      <c r="BE1036">
        <v>-0.02</v>
      </c>
      <c r="BF1036">
        <v>-0.2</v>
      </c>
      <c r="BG1036">
        <v>89</v>
      </c>
      <c r="BH1036">
        <v>0.05</v>
      </c>
      <c r="BI1036">
        <v>-15.45</v>
      </c>
      <c r="BJ1036">
        <v>5</v>
      </c>
      <c r="BK1036">
        <v>3</v>
      </c>
      <c r="BL1036">
        <v>0.74</v>
      </c>
      <c r="BM1036">
        <v>-0.94</v>
      </c>
      <c r="BN1036">
        <v>-0.95</v>
      </c>
      <c r="BO1036">
        <v>0.28999999999999998</v>
      </c>
      <c r="BP1036">
        <v>2</v>
      </c>
      <c r="BQ1036">
        <v>-0.37</v>
      </c>
      <c r="BR1036">
        <v>-1.31</v>
      </c>
      <c r="BS1036">
        <v>1.28</v>
      </c>
      <c r="BT1036">
        <v>1.02</v>
      </c>
      <c r="BU1036">
        <v>0.96</v>
      </c>
      <c r="BV1036">
        <v>1.51</v>
      </c>
      <c r="BW1036">
        <v>0.99</v>
      </c>
      <c r="BX1036">
        <v>1.44</v>
      </c>
      <c r="BY1036">
        <v>1.06</v>
      </c>
      <c r="BZ1036">
        <v>-1.73</v>
      </c>
      <c r="CA1036">
        <v>1.48</v>
      </c>
      <c r="CB1036">
        <v>1.1599999999999999</v>
      </c>
      <c r="CC1036">
        <v>1.25</v>
      </c>
      <c r="CD1036">
        <v>0.24</v>
      </c>
      <c r="CE1036">
        <v>0.96</v>
      </c>
      <c r="CF1036">
        <v>1.0900000000000001</v>
      </c>
      <c r="CG1036">
        <v>0</v>
      </c>
      <c r="CH1036">
        <v>1.1499999999999999</v>
      </c>
      <c r="CI1036">
        <v>0</v>
      </c>
      <c r="CJ1036">
        <v>-1.6</v>
      </c>
      <c r="CK1036">
        <v>62</v>
      </c>
      <c r="CL1036">
        <v>-1.1499999999999999</v>
      </c>
      <c r="CM1036">
        <v>58</v>
      </c>
      <c r="CN1036">
        <v>-0.37</v>
      </c>
      <c r="CO1036">
        <v>56</v>
      </c>
      <c r="CP1036">
        <v>3.6</v>
      </c>
      <c r="CQ1036">
        <v>40</v>
      </c>
      <c r="CR1036">
        <v>0</v>
      </c>
      <c r="CS1036">
        <v>0</v>
      </c>
      <c r="CT1036">
        <v>12.4</v>
      </c>
      <c r="CU1036">
        <v>32</v>
      </c>
      <c r="CV1036">
        <v>0.32</v>
      </c>
      <c r="CW1036">
        <v>18</v>
      </c>
      <c r="CX1036" t="s">
        <v>350</v>
      </c>
    </row>
    <row r="1037" spans="1:102" x14ac:dyDescent="0.3">
      <c r="A1037" t="str">
        <f>HYPERLINK("https://webapp.icbf.com/v2/app/bull-search/view/752073454","DYZ")</f>
        <v>DYZ</v>
      </c>
      <c r="B1037" t="s">
        <v>12960</v>
      </c>
      <c r="C1037" t="s">
        <v>12961</v>
      </c>
      <c r="D1037" s="1">
        <v>40231</v>
      </c>
      <c r="E1037" t="s">
        <v>227</v>
      </c>
      <c r="F1037">
        <v>0</v>
      </c>
      <c r="G1037" t="s">
        <v>93</v>
      </c>
      <c r="H1037">
        <v>139.81</v>
      </c>
      <c r="I1037">
        <v>78</v>
      </c>
      <c r="J1037">
        <v>20.58</v>
      </c>
      <c r="K1037">
        <v>93</v>
      </c>
      <c r="L1037">
        <v>64.7</v>
      </c>
      <c r="M1037">
        <v>62</v>
      </c>
      <c r="N1037">
        <v>46.48</v>
      </c>
      <c r="O1037">
        <v>78</v>
      </c>
      <c r="P1037">
        <v>-37.76</v>
      </c>
      <c r="Q1037">
        <v>87</v>
      </c>
      <c r="R1037">
        <v>3.54</v>
      </c>
      <c r="S1037">
        <v>66</v>
      </c>
      <c r="T1037">
        <v>38.39</v>
      </c>
      <c r="U1037">
        <v>82</v>
      </c>
      <c r="V1037">
        <v>3.88</v>
      </c>
      <c r="W1037">
        <v>66</v>
      </c>
      <c r="X1037" t="s">
        <v>102</v>
      </c>
      <c r="Y1037" t="s">
        <v>1685</v>
      </c>
      <c r="Z1037">
        <v>0</v>
      </c>
      <c r="AA1037" t="s">
        <v>5426</v>
      </c>
      <c r="AB1037" t="s">
        <v>5379</v>
      </c>
      <c r="AC1037">
        <v>56</v>
      </c>
      <c r="AD1037">
        <v>36</v>
      </c>
      <c r="AE1037">
        <v>93</v>
      </c>
      <c r="AF1037">
        <v>-436.8</v>
      </c>
      <c r="AG1037">
        <v>7.9</v>
      </c>
      <c r="AH1037">
        <v>-5.98</v>
      </c>
      <c r="AI1037">
        <v>0.45</v>
      </c>
      <c r="AJ1037">
        <v>0.16</v>
      </c>
      <c r="AK1037">
        <v>62</v>
      </c>
      <c r="AL1037">
        <v>61</v>
      </c>
      <c r="AM1037">
        <v>36</v>
      </c>
      <c r="AN1037">
        <v>-2.71</v>
      </c>
      <c r="AO1037">
        <v>2.46</v>
      </c>
      <c r="AP1037">
        <v>107</v>
      </c>
      <c r="AQ1037">
        <v>1</v>
      </c>
      <c r="AR1037">
        <v>3.03</v>
      </c>
      <c r="AS1037">
        <v>67</v>
      </c>
      <c r="AT1037">
        <v>1.36</v>
      </c>
      <c r="AU1037">
        <v>75</v>
      </c>
      <c r="AV1037">
        <v>-3.36</v>
      </c>
      <c r="AW1037">
        <v>94</v>
      </c>
      <c r="AX1037">
        <v>0.28000000000000003</v>
      </c>
      <c r="AY1037">
        <v>73</v>
      </c>
      <c r="AZ1037">
        <v>6.36</v>
      </c>
      <c r="BA1037">
        <v>51</v>
      </c>
      <c r="BB1037">
        <v>5.15</v>
      </c>
      <c r="BC1037">
        <v>54</v>
      </c>
      <c r="BD1037">
        <v>-0.05</v>
      </c>
      <c r="BE1037">
        <v>-0.02</v>
      </c>
      <c r="BF1037">
        <v>0.04</v>
      </c>
      <c r="BG1037">
        <v>76</v>
      </c>
      <c r="BH1037">
        <v>0.01</v>
      </c>
      <c r="BI1037">
        <v>-11.36</v>
      </c>
      <c r="BJ1037">
        <v>1</v>
      </c>
      <c r="BK1037">
        <v>1</v>
      </c>
      <c r="BL1037">
        <v>-2.54</v>
      </c>
      <c r="BM1037">
        <v>-0.91</v>
      </c>
      <c r="BN1037">
        <v>-0.45</v>
      </c>
      <c r="BO1037">
        <v>0.53</v>
      </c>
      <c r="BP1037">
        <v>-0.86</v>
      </c>
      <c r="BQ1037">
        <v>-4.5599999999999996</v>
      </c>
      <c r="BR1037">
        <v>2.74</v>
      </c>
      <c r="BS1037">
        <v>6.53</v>
      </c>
      <c r="BT1037">
        <v>-1.88</v>
      </c>
      <c r="BU1037">
        <v>-1.33</v>
      </c>
      <c r="BV1037">
        <v>-1.19</v>
      </c>
      <c r="BW1037">
        <v>-2.95</v>
      </c>
      <c r="BX1037">
        <v>-3.66</v>
      </c>
      <c r="BY1037">
        <v>-0.62</v>
      </c>
      <c r="BZ1037">
        <v>0.13</v>
      </c>
      <c r="CA1037">
        <v>0.97</v>
      </c>
      <c r="CB1037">
        <v>-0.66</v>
      </c>
      <c r="CC1037">
        <v>3.94</v>
      </c>
      <c r="CD1037">
        <v>-1.08</v>
      </c>
      <c r="CE1037">
        <v>0.37</v>
      </c>
      <c r="CF1037">
        <v>-2.59</v>
      </c>
      <c r="CG1037">
        <v>0</v>
      </c>
      <c r="CH1037">
        <v>-1.81</v>
      </c>
      <c r="CI1037">
        <v>0</v>
      </c>
      <c r="CJ1037">
        <v>-19.600000000000001</v>
      </c>
      <c r="CK1037">
        <v>89</v>
      </c>
      <c r="CL1037">
        <v>-0.79</v>
      </c>
      <c r="CM1037">
        <v>86</v>
      </c>
      <c r="CN1037">
        <v>-0.19</v>
      </c>
      <c r="CO1037">
        <v>84</v>
      </c>
      <c r="CP1037">
        <v>-31.9</v>
      </c>
      <c r="CQ1037">
        <v>78</v>
      </c>
      <c r="CR1037">
        <v>0</v>
      </c>
      <c r="CS1037">
        <v>0</v>
      </c>
      <c r="CT1037">
        <v>-38.1</v>
      </c>
      <c r="CU1037">
        <v>82</v>
      </c>
      <c r="CV1037">
        <v>-0.21</v>
      </c>
      <c r="CW1037">
        <v>26</v>
      </c>
      <c r="CX1037" t="s">
        <v>5314</v>
      </c>
    </row>
    <row r="1038" spans="1:102" x14ac:dyDescent="0.3">
      <c r="A1038" t="str">
        <f>HYPERLINK("https://webapp.icbf.com/v2/app/bull-search/view/391614442","WPE")</f>
        <v>WPE</v>
      </c>
      <c r="B1038" t="s">
        <v>14626</v>
      </c>
      <c r="C1038" t="s">
        <v>1514</v>
      </c>
      <c r="D1038" s="1">
        <v>36770</v>
      </c>
      <c r="E1038" t="s">
        <v>92</v>
      </c>
      <c r="F1038">
        <v>75</v>
      </c>
      <c r="G1038" t="s">
        <v>93</v>
      </c>
      <c r="H1038">
        <v>139.80000000000001</v>
      </c>
      <c r="I1038">
        <v>97</v>
      </c>
      <c r="J1038">
        <v>73.260000000000005</v>
      </c>
      <c r="K1038">
        <v>99</v>
      </c>
      <c r="L1038">
        <v>26.57</v>
      </c>
      <c r="M1038">
        <v>95</v>
      </c>
      <c r="N1038">
        <v>25.05</v>
      </c>
      <c r="O1038">
        <v>98</v>
      </c>
      <c r="P1038">
        <v>-16.36</v>
      </c>
      <c r="Q1038">
        <v>99</v>
      </c>
      <c r="R1038">
        <v>0.39</v>
      </c>
      <c r="S1038">
        <v>96</v>
      </c>
      <c r="T1038">
        <v>21.3</v>
      </c>
      <c r="U1038">
        <v>99</v>
      </c>
      <c r="V1038">
        <v>9.59</v>
      </c>
      <c r="W1038">
        <v>98</v>
      </c>
      <c r="X1038" t="s">
        <v>302</v>
      </c>
      <c r="Y1038" t="s">
        <v>95</v>
      </c>
      <c r="Z1038" t="s">
        <v>96</v>
      </c>
      <c r="AA1038" t="s">
        <v>4806</v>
      </c>
      <c r="AB1038" t="s">
        <v>8161</v>
      </c>
      <c r="AC1038">
        <v>1175</v>
      </c>
      <c r="AD1038">
        <v>224</v>
      </c>
      <c r="AE1038">
        <v>99</v>
      </c>
      <c r="AF1038">
        <v>225.8</v>
      </c>
      <c r="AG1038">
        <v>11.07</v>
      </c>
      <c r="AH1038">
        <v>12</v>
      </c>
      <c r="AI1038">
        <v>0.04</v>
      </c>
      <c r="AJ1038">
        <v>7.0000000000000007E-2</v>
      </c>
      <c r="AK1038">
        <v>95</v>
      </c>
      <c r="AL1038">
        <v>1151</v>
      </c>
      <c r="AM1038">
        <v>187</v>
      </c>
      <c r="AN1038">
        <v>-1.37</v>
      </c>
      <c r="AO1038">
        <v>0.75</v>
      </c>
      <c r="AP1038">
        <v>2100</v>
      </c>
      <c r="AQ1038">
        <v>17</v>
      </c>
      <c r="AR1038">
        <v>7.76</v>
      </c>
      <c r="AS1038">
        <v>96</v>
      </c>
      <c r="AT1038">
        <v>2.85</v>
      </c>
      <c r="AU1038">
        <v>99</v>
      </c>
      <c r="AV1038">
        <v>-2.17</v>
      </c>
      <c r="AW1038">
        <v>99</v>
      </c>
      <c r="AX1038">
        <v>-0.37</v>
      </c>
      <c r="AY1038">
        <v>98</v>
      </c>
      <c r="AZ1038">
        <v>5.16</v>
      </c>
      <c r="BA1038">
        <v>95</v>
      </c>
      <c r="BB1038">
        <v>4.33</v>
      </c>
      <c r="BC1038">
        <v>96</v>
      </c>
      <c r="BD1038">
        <v>0</v>
      </c>
      <c r="BE1038">
        <v>-0.01</v>
      </c>
      <c r="BF1038">
        <v>0.01</v>
      </c>
      <c r="BG1038">
        <v>98</v>
      </c>
      <c r="BH1038">
        <v>0.12</v>
      </c>
      <c r="BI1038">
        <v>-17.07</v>
      </c>
      <c r="BJ1038">
        <v>34</v>
      </c>
      <c r="BK1038">
        <v>24</v>
      </c>
      <c r="BL1038">
        <v>-0.25</v>
      </c>
      <c r="BM1038">
        <v>-0.96</v>
      </c>
      <c r="BN1038">
        <v>-1.46</v>
      </c>
      <c r="BO1038">
        <v>-0.43</v>
      </c>
      <c r="BP1038">
        <v>-2.1800000000000002</v>
      </c>
      <c r="BQ1038">
        <v>1.01</v>
      </c>
      <c r="BR1038">
        <v>2.0699999999999998</v>
      </c>
      <c r="BS1038">
        <v>-2.94</v>
      </c>
      <c r="BT1038">
        <v>-2.83</v>
      </c>
      <c r="BU1038">
        <v>1.29</v>
      </c>
      <c r="BV1038">
        <v>0.48</v>
      </c>
      <c r="BW1038">
        <v>-7.0000000000000007E-2</v>
      </c>
      <c r="BX1038">
        <v>1.32</v>
      </c>
      <c r="BY1038">
        <v>-0.02</v>
      </c>
      <c r="BZ1038">
        <v>-1.77</v>
      </c>
      <c r="CA1038">
        <v>-0.24</v>
      </c>
      <c r="CB1038">
        <v>0.66</v>
      </c>
      <c r="CC1038">
        <v>-2.4</v>
      </c>
      <c r="CD1038">
        <v>-0.21</v>
      </c>
      <c r="CE1038">
        <v>-0.2</v>
      </c>
      <c r="CF1038">
        <v>-0.82</v>
      </c>
      <c r="CG1038">
        <v>0</v>
      </c>
      <c r="CH1038">
        <v>0.37</v>
      </c>
      <c r="CI1038">
        <v>0</v>
      </c>
      <c r="CJ1038">
        <v>-5.0999999999999996</v>
      </c>
      <c r="CK1038">
        <v>99</v>
      </c>
      <c r="CL1038">
        <v>-0.91</v>
      </c>
      <c r="CM1038">
        <v>99</v>
      </c>
      <c r="CN1038">
        <v>-0.17</v>
      </c>
      <c r="CO1038">
        <v>99</v>
      </c>
      <c r="CP1038">
        <v>-12.8</v>
      </c>
      <c r="CQ1038">
        <v>99</v>
      </c>
      <c r="CR1038">
        <v>0</v>
      </c>
      <c r="CS1038">
        <v>0</v>
      </c>
      <c r="CT1038">
        <v>-15</v>
      </c>
      <c r="CU1038">
        <v>99</v>
      </c>
      <c r="CV1038">
        <v>0.05</v>
      </c>
      <c r="CW1038">
        <v>49</v>
      </c>
      <c r="CX1038" t="s">
        <v>3343</v>
      </c>
    </row>
    <row r="1039" spans="1:102" x14ac:dyDescent="0.3">
      <c r="A1039" t="str">
        <f>HYPERLINK("https://webapp.icbf.com/v2/app/bull-search/view/1246918490","JE2368")</f>
        <v>JE2368</v>
      </c>
      <c r="B1039" t="s">
        <v>6124</v>
      </c>
      <c r="C1039" t="s">
        <v>6125</v>
      </c>
      <c r="D1039" s="1">
        <v>42044</v>
      </c>
      <c r="E1039" t="s">
        <v>227</v>
      </c>
      <c r="F1039">
        <v>0</v>
      </c>
      <c r="G1039" t="s">
        <v>93</v>
      </c>
      <c r="H1039">
        <v>139.72999999999999</v>
      </c>
      <c r="I1039">
        <v>84</v>
      </c>
      <c r="J1039">
        <v>62.16</v>
      </c>
      <c r="K1039">
        <v>95</v>
      </c>
      <c r="L1039">
        <v>34.869999999999997</v>
      </c>
      <c r="M1039">
        <v>74</v>
      </c>
      <c r="N1039">
        <v>32.56</v>
      </c>
      <c r="O1039">
        <v>87</v>
      </c>
      <c r="P1039">
        <v>-44.85</v>
      </c>
      <c r="Q1039">
        <v>79</v>
      </c>
      <c r="R1039">
        <v>2.16</v>
      </c>
      <c r="S1039">
        <v>77</v>
      </c>
      <c r="T1039">
        <v>42.61</v>
      </c>
      <c r="U1039">
        <v>86</v>
      </c>
      <c r="V1039">
        <v>10.220000000000001</v>
      </c>
      <c r="W1039">
        <v>77</v>
      </c>
      <c r="X1039" t="s">
        <v>94</v>
      </c>
      <c r="Y1039" t="s">
        <v>436</v>
      </c>
      <c r="Z1039">
        <v>0</v>
      </c>
      <c r="AA1039" t="s">
        <v>2314</v>
      </c>
      <c r="AB1039" t="s">
        <v>6126</v>
      </c>
      <c r="AC1039">
        <v>109</v>
      </c>
      <c r="AD1039">
        <v>54</v>
      </c>
      <c r="AE1039">
        <v>95</v>
      </c>
      <c r="AF1039">
        <v>-253.67</v>
      </c>
      <c r="AG1039">
        <v>12.32</v>
      </c>
      <c r="AH1039">
        <v>2.33</v>
      </c>
      <c r="AI1039">
        <v>0.41</v>
      </c>
      <c r="AJ1039">
        <v>0.2</v>
      </c>
      <c r="AK1039">
        <v>74</v>
      </c>
      <c r="AL1039">
        <v>0</v>
      </c>
      <c r="AM1039">
        <v>0</v>
      </c>
      <c r="AN1039">
        <v>-1.1599999999999999</v>
      </c>
      <c r="AO1039">
        <v>1.63</v>
      </c>
      <c r="AP1039">
        <v>438</v>
      </c>
      <c r="AQ1039">
        <v>1</v>
      </c>
      <c r="AR1039">
        <v>5.79</v>
      </c>
      <c r="AS1039">
        <v>91</v>
      </c>
      <c r="AT1039">
        <v>2.36</v>
      </c>
      <c r="AU1039">
        <v>89</v>
      </c>
      <c r="AV1039">
        <v>-3.96</v>
      </c>
      <c r="AW1039">
        <v>98</v>
      </c>
      <c r="AX1039">
        <v>2.97</v>
      </c>
      <c r="AY1039">
        <v>88</v>
      </c>
      <c r="AZ1039">
        <v>6.9</v>
      </c>
      <c r="BA1039">
        <v>68</v>
      </c>
      <c r="BB1039">
        <v>5.17</v>
      </c>
      <c r="BC1039">
        <v>51</v>
      </c>
      <c r="BD1039">
        <v>-7.0000000000000007E-2</v>
      </c>
      <c r="BE1039">
        <v>0.03</v>
      </c>
      <c r="BF1039">
        <v>0.01</v>
      </c>
      <c r="BG1039">
        <v>86</v>
      </c>
      <c r="BH1039">
        <v>0.22</v>
      </c>
      <c r="BI1039">
        <v>-7.51</v>
      </c>
      <c r="BJ1039">
        <v>0</v>
      </c>
      <c r="BK1039">
        <v>0</v>
      </c>
      <c r="BL1039">
        <v>-2.68</v>
      </c>
      <c r="BM1039">
        <v>-1.87</v>
      </c>
      <c r="BN1039">
        <v>-0.15</v>
      </c>
      <c r="BO1039">
        <v>1.34</v>
      </c>
      <c r="BP1039">
        <v>-1.07</v>
      </c>
      <c r="BQ1039">
        <v>-5</v>
      </c>
      <c r="BR1039">
        <v>1.95</v>
      </c>
      <c r="BS1039">
        <v>7.42</v>
      </c>
      <c r="BT1039">
        <v>-0.28000000000000003</v>
      </c>
      <c r="BU1039">
        <v>-0.83</v>
      </c>
      <c r="BV1039">
        <v>-0.65</v>
      </c>
      <c r="BW1039">
        <v>-2.65</v>
      </c>
      <c r="BX1039">
        <v>-3.12</v>
      </c>
      <c r="BY1039">
        <v>0.67</v>
      </c>
      <c r="BZ1039">
        <v>-0.93</v>
      </c>
      <c r="CA1039">
        <v>0.91</v>
      </c>
      <c r="CB1039">
        <v>-0.85</v>
      </c>
      <c r="CC1039">
        <v>4.29</v>
      </c>
      <c r="CD1039">
        <v>-3</v>
      </c>
      <c r="CE1039">
        <v>0.6</v>
      </c>
      <c r="CF1039">
        <v>-2.85</v>
      </c>
      <c r="CG1039">
        <v>0</v>
      </c>
      <c r="CH1039">
        <v>-1.34</v>
      </c>
      <c r="CI1039">
        <v>0</v>
      </c>
      <c r="CJ1039">
        <v>-21.5</v>
      </c>
      <c r="CK1039">
        <v>83</v>
      </c>
      <c r="CL1039">
        <v>-1.26</v>
      </c>
      <c r="CM1039">
        <v>76</v>
      </c>
      <c r="CN1039">
        <v>-0.27</v>
      </c>
      <c r="CO1039">
        <v>74</v>
      </c>
      <c r="CP1039">
        <v>-35.6</v>
      </c>
      <c r="CQ1039">
        <v>70</v>
      </c>
      <c r="CR1039">
        <v>0</v>
      </c>
      <c r="CS1039">
        <v>0</v>
      </c>
      <c r="CT1039">
        <v>-43.8</v>
      </c>
      <c r="CU1039">
        <v>86</v>
      </c>
      <c r="CV1039">
        <v>-0.04</v>
      </c>
      <c r="CW1039">
        <v>43</v>
      </c>
      <c r="CX1039" t="s">
        <v>4353</v>
      </c>
    </row>
    <row r="1040" spans="1:102" x14ac:dyDescent="0.3">
      <c r="A1040" t="str">
        <f>HYPERLINK("https://webapp.icbf.com/v2/app/bull-search/view/586064969","AXP")</f>
        <v>AXP</v>
      </c>
      <c r="B1040" t="s">
        <v>5113</v>
      </c>
      <c r="C1040" t="s">
        <v>5114</v>
      </c>
      <c r="D1040" s="1">
        <v>38047</v>
      </c>
      <c r="E1040" t="s">
        <v>92</v>
      </c>
      <c r="F1040">
        <v>100</v>
      </c>
      <c r="G1040" t="s">
        <v>93</v>
      </c>
      <c r="H1040">
        <v>139.65</v>
      </c>
      <c r="I1040">
        <v>94</v>
      </c>
      <c r="J1040">
        <v>49.74</v>
      </c>
      <c r="K1040">
        <v>98</v>
      </c>
      <c r="L1040">
        <v>62.35</v>
      </c>
      <c r="M1040">
        <v>91</v>
      </c>
      <c r="N1040">
        <v>29.19</v>
      </c>
      <c r="O1040">
        <v>93</v>
      </c>
      <c r="P1040">
        <v>-2.5499999999999998</v>
      </c>
      <c r="Q1040">
        <v>97</v>
      </c>
      <c r="R1040">
        <v>8.09</v>
      </c>
      <c r="S1040">
        <v>87</v>
      </c>
      <c r="T1040">
        <v>-10.08</v>
      </c>
      <c r="U1040">
        <v>92</v>
      </c>
      <c r="V1040">
        <v>2.91</v>
      </c>
      <c r="W1040">
        <v>86</v>
      </c>
      <c r="X1040" t="s">
        <v>276</v>
      </c>
      <c r="Y1040" t="s">
        <v>235</v>
      </c>
      <c r="Z1040" t="s">
        <v>96</v>
      </c>
      <c r="AA1040" t="s">
        <v>316</v>
      </c>
      <c r="AB1040" t="s">
        <v>5115</v>
      </c>
      <c r="AC1040">
        <v>269</v>
      </c>
      <c r="AD1040">
        <v>108</v>
      </c>
      <c r="AE1040">
        <v>98</v>
      </c>
      <c r="AF1040">
        <v>484.22</v>
      </c>
      <c r="AG1040">
        <v>7.52</v>
      </c>
      <c r="AH1040">
        <v>13.21</v>
      </c>
      <c r="AI1040">
        <v>-0.18</v>
      </c>
      <c r="AJ1040">
        <v>-0.05</v>
      </c>
      <c r="AK1040">
        <v>91</v>
      </c>
      <c r="AL1040">
        <v>296</v>
      </c>
      <c r="AM1040">
        <v>114</v>
      </c>
      <c r="AN1040">
        <v>-3.61</v>
      </c>
      <c r="AO1040">
        <v>1.36</v>
      </c>
      <c r="AP1040">
        <v>559</v>
      </c>
      <c r="AQ1040">
        <v>2</v>
      </c>
      <c r="AR1040">
        <v>6.82</v>
      </c>
      <c r="AS1040">
        <v>88</v>
      </c>
      <c r="AT1040">
        <v>2.59</v>
      </c>
      <c r="AU1040">
        <v>95</v>
      </c>
      <c r="AV1040">
        <v>-2.97</v>
      </c>
      <c r="AW1040">
        <v>98</v>
      </c>
      <c r="AX1040">
        <v>-0.75</v>
      </c>
      <c r="AY1040">
        <v>92</v>
      </c>
      <c r="AZ1040">
        <v>7.2</v>
      </c>
      <c r="BA1040">
        <v>82</v>
      </c>
      <c r="BB1040">
        <v>5.3</v>
      </c>
      <c r="BC1040">
        <v>82</v>
      </c>
      <c r="BD1040">
        <v>-0.03</v>
      </c>
      <c r="BE1040">
        <v>-0.04</v>
      </c>
      <c r="BF1040">
        <v>-0.06</v>
      </c>
      <c r="BG1040">
        <v>95</v>
      </c>
      <c r="BH1040">
        <v>-0.17</v>
      </c>
      <c r="BI1040">
        <v>-29.04</v>
      </c>
      <c r="BJ1040">
        <v>26</v>
      </c>
      <c r="BK1040">
        <v>10</v>
      </c>
      <c r="BL1040">
        <v>1.84</v>
      </c>
      <c r="BM1040">
        <v>0.89</v>
      </c>
      <c r="BN1040">
        <v>0.76</v>
      </c>
      <c r="BO1040">
        <v>0.44</v>
      </c>
      <c r="BP1040">
        <v>3.67</v>
      </c>
      <c r="BQ1040">
        <v>0.32</v>
      </c>
      <c r="BR1040">
        <v>0.6</v>
      </c>
      <c r="BS1040">
        <v>-1.35</v>
      </c>
      <c r="BT1040">
        <v>-0.22</v>
      </c>
      <c r="BU1040">
        <v>1.1499999999999999</v>
      </c>
      <c r="BV1040">
        <v>0.57999999999999996</v>
      </c>
      <c r="BW1040">
        <v>-0.71</v>
      </c>
      <c r="BX1040">
        <v>1.88</v>
      </c>
      <c r="BY1040">
        <v>0.61</v>
      </c>
      <c r="BZ1040">
        <v>-1.1100000000000001</v>
      </c>
      <c r="CA1040">
        <v>0.74</v>
      </c>
      <c r="CB1040">
        <v>0.72</v>
      </c>
      <c r="CC1040">
        <v>-0.05</v>
      </c>
      <c r="CD1040">
        <v>0.66</v>
      </c>
      <c r="CE1040">
        <v>0.83</v>
      </c>
      <c r="CF1040">
        <v>1.4</v>
      </c>
      <c r="CG1040">
        <v>0</v>
      </c>
      <c r="CH1040">
        <v>0.59</v>
      </c>
      <c r="CI1040">
        <v>0</v>
      </c>
      <c r="CJ1040">
        <v>3.4</v>
      </c>
      <c r="CK1040">
        <v>98</v>
      </c>
      <c r="CL1040">
        <v>-1.01</v>
      </c>
      <c r="CM1040">
        <v>97</v>
      </c>
      <c r="CN1040">
        <v>-0.15</v>
      </c>
      <c r="CO1040">
        <v>97</v>
      </c>
      <c r="CP1040">
        <v>9.5</v>
      </c>
      <c r="CQ1040">
        <v>94</v>
      </c>
      <c r="CR1040">
        <v>0</v>
      </c>
      <c r="CS1040">
        <v>0</v>
      </c>
      <c r="CT1040">
        <v>27.4</v>
      </c>
      <c r="CU1040">
        <v>92</v>
      </c>
      <c r="CV1040">
        <v>0.38</v>
      </c>
      <c r="CW1040">
        <v>48</v>
      </c>
      <c r="CX1040" t="s">
        <v>596</v>
      </c>
    </row>
    <row r="1041" spans="1:102" x14ac:dyDescent="0.3">
      <c r="A1041" t="str">
        <f>HYPERLINK("https://webapp.icbf.com/v2/app/bull-search/view/1361575720","FR4710")</f>
        <v>FR4710</v>
      </c>
      <c r="B1041" t="s">
        <v>9559</v>
      </c>
      <c r="C1041" t="s">
        <v>9560</v>
      </c>
      <c r="D1041" s="1">
        <v>42216</v>
      </c>
      <c r="E1041" t="s">
        <v>92</v>
      </c>
      <c r="F1041">
        <v>100</v>
      </c>
      <c r="G1041" t="s">
        <v>435</v>
      </c>
      <c r="H1041">
        <v>139.63</v>
      </c>
      <c r="I1041">
        <v>68</v>
      </c>
      <c r="J1041">
        <v>108.2</v>
      </c>
      <c r="K1041">
        <v>90</v>
      </c>
      <c r="L1041">
        <v>-7.21</v>
      </c>
      <c r="M1041">
        <v>69</v>
      </c>
      <c r="N1041">
        <v>38.03</v>
      </c>
      <c r="O1041">
        <v>56</v>
      </c>
      <c r="P1041">
        <v>-0.73</v>
      </c>
      <c r="Q1041">
        <v>36</v>
      </c>
      <c r="R1041">
        <v>5.81</v>
      </c>
      <c r="S1041">
        <v>66</v>
      </c>
      <c r="T1041">
        <v>-8.23</v>
      </c>
      <c r="U1041">
        <v>34</v>
      </c>
      <c r="V1041">
        <v>3.76</v>
      </c>
      <c r="W1041">
        <v>54</v>
      </c>
      <c r="X1041" t="s">
        <v>428</v>
      </c>
      <c r="Y1041" t="s">
        <v>442</v>
      </c>
      <c r="Z1041" t="s">
        <v>96</v>
      </c>
      <c r="AA1041" t="s">
        <v>9561</v>
      </c>
      <c r="AB1041" t="s">
        <v>9562</v>
      </c>
      <c r="AC1041">
        <v>0</v>
      </c>
      <c r="AD1041">
        <v>0</v>
      </c>
      <c r="AE1041">
        <v>90</v>
      </c>
      <c r="AF1041">
        <v>531.80999999999995</v>
      </c>
      <c r="AG1041">
        <v>23.75</v>
      </c>
      <c r="AH1041">
        <v>18.14</v>
      </c>
      <c r="AI1041">
        <v>0.04</v>
      </c>
      <c r="AJ1041">
        <v>0.01</v>
      </c>
      <c r="AK1041">
        <v>69</v>
      </c>
      <c r="AL1041">
        <v>0</v>
      </c>
      <c r="AM1041">
        <v>0</v>
      </c>
      <c r="AN1041">
        <v>0.79</v>
      </c>
      <c r="AO1041">
        <v>0.22</v>
      </c>
      <c r="AP1041">
        <v>13</v>
      </c>
      <c r="AQ1041">
        <v>0</v>
      </c>
      <c r="AR1041">
        <v>6.38</v>
      </c>
      <c r="AS1041">
        <v>55</v>
      </c>
      <c r="AT1041">
        <v>2.96</v>
      </c>
      <c r="AU1041">
        <v>86</v>
      </c>
      <c r="AV1041">
        <v>-4.5599999999999996</v>
      </c>
      <c r="AW1041">
        <v>51</v>
      </c>
      <c r="AX1041">
        <v>-0.84</v>
      </c>
      <c r="AY1041">
        <v>42</v>
      </c>
      <c r="AZ1041">
        <v>7.19</v>
      </c>
      <c r="BA1041">
        <v>36</v>
      </c>
      <c r="BB1041">
        <v>5.68</v>
      </c>
      <c r="BC1041">
        <v>34</v>
      </c>
      <c r="BD1041">
        <v>-0.01</v>
      </c>
      <c r="BE1041">
        <v>-0.03</v>
      </c>
      <c r="BF1041">
        <v>-0.06</v>
      </c>
      <c r="BG1041">
        <v>81</v>
      </c>
      <c r="BH1041">
        <v>-0.04</v>
      </c>
      <c r="BI1041">
        <v>-16.739999999999998</v>
      </c>
      <c r="BJ1041">
        <v>0</v>
      </c>
      <c r="BK1041">
        <v>0</v>
      </c>
      <c r="BL1041">
        <v>2.04</v>
      </c>
      <c r="BM1041">
        <v>0.18</v>
      </c>
      <c r="BN1041">
        <v>0.74</v>
      </c>
      <c r="BO1041">
        <v>1.43</v>
      </c>
      <c r="BP1041">
        <v>0.24</v>
      </c>
      <c r="BQ1041">
        <v>1.48</v>
      </c>
      <c r="BR1041">
        <v>-0.39</v>
      </c>
      <c r="BS1041">
        <v>2.27</v>
      </c>
      <c r="BT1041">
        <v>1.4</v>
      </c>
      <c r="BU1041">
        <v>2.2999999999999998</v>
      </c>
      <c r="BV1041">
        <v>3.53</v>
      </c>
      <c r="BW1041">
        <v>2.54</v>
      </c>
      <c r="BX1041">
        <v>2.5499999999999998</v>
      </c>
      <c r="BY1041">
        <v>0.73</v>
      </c>
      <c r="BZ1041">
        <v>-3.36</v>
      </c>
      <c r="CA1041">
        <v>3.32</v>
      </c>
      <c r="CB1041">
        <v>2.76</v>
      </c>
      <c r="CC1041">
        <v>2.46</v>
      </c>
      <c r="CD1041">
        <v>-0.77</v>
      </c>
      <c r="CE1041">
        <v>1.1200000000000001</v>
      </c>
      <c r="CF1041">
        <v>0.56000000000000005</v>
      </c>
      <c r="CG1041">
        <v>0</v>
      </c>
      <c r="CH1041">
        <v>0.74</v>
      </c>
      <c r="CI1041">
        <v>0</v>
      </c>
      <c r="CJ1041">
        <v>1</v>
      </c>
      <c r="CK1041">
        <v>37</v>
      </c>
      <c r="CL1041">
        <v>-1.31</v>
      </c>
      <c r="CM1041">
        <v>36</v>
      </c>
      <c r="CN1041">
        <v>-0.94</v>
      </c>
      <c r="CO1041">
        <v>36</v>
      </c>
      <c r="CP1041">
        <v>2.7</v>
      </c>
      <c r="CQ1041">
        <v>35</v>
      </c>
      <c r="CR1041">
        <v>0</v>
      </c>
      <c r="CS1041">
        <v>0</v>
      </c>
      <c r="CT1041">
        <v>24.9</v>
      </c>
      <c r="CU1041">
        <v>34</v>
      </c>
      <c r="CV1041">
        <v>0.22</v>
      </c>
      <c r="CW1041">
        <v>32</v>
      </c>
      <c r="CX1041" t="s">
        <v>1894</v>
      </c>
    </row>
    <row r="1042" spans="1:102" x14ac:dyDescent="0.3">
      <c r="A1042" t="str">
        <f>HYPERLINK("https://webapp.icbf.com/v2/app/bull-search/view/1418735355","FR4188")</f>
        <v>FR4188</v>
      </c>
      <c r="B1042" t="s">
        <v>2359</v>
      </c>
      <c r="C1042" t="s">
        <v>2360</v>
      </c>
      <c r="D1042" s="1">
        <v>42217</v>
      </c>
      <c r="E1042" t="s">
        <v>92</v>
      </c>
      <c r="F1042">
        <v>100</v>
      </c>
      <c r="G1042" t="s">
        <v>435</v>
      </c>
      <c r="H1042">
        <v>139.6</v>
      </c>
      <c r="I1042">
        <v>69</v>
      </c>
      <c r="J1042">
        <v>119.88</v>
      </c>
      <c r="K1042">
        <v>86</v>
      </c>
      <c r="L1042">
        <v>-29.53</v>
      </c>
      <c r="M1042">
        <v>68</v>
      </c>
      <c r="N1042">
        <v>45.55</v>
      </c>
      <c r="O1042">
        <v>71</v>
      </c>
      <c r="P1042">
        <v>-15.16</v>
      </c>
      <c r="Q1042">
        <v>44</v>
      </c>
      <c r="R1042">
        <v>13.22</v>
      </c>
      <c r="S1042">
        <v>56</v>
      </c>
      <c r="T1042">
        <v>0.57999999999999996</v>
      </c>
      <c r="U1042">
        <v>36</v>
      </c>
      <c r="V1042">
        <v>5.0599999999999996</v>
      </c>
      <c r="W1042">
        <v>49</v>
      </c>
      <c r="X1042" t="s">
        <v>94</v>
      </c>
      <c r="Y1042" t="s">
        <v>2261</v>
      </c>
      <c r="Z1042" t="s">
        <v>330</v>
      </c>
      <c r="AA1042" t="s">
        <v>2361</v>
      </c>
      <c r="AB1042" t="s">
        <v>2362</v>
      </c>
      <c r="AC1042">
        <v>1</v>
      </c>
      <c r="AD1042">
        <v>1</v>
      </c>
      <c r="AE1042">
        <v>86</v>
      </c>
      <c r="AF1042">
        <v>483.82</v>
      </c>
      <c r="AG1042">
        <v>20.11</v>
      </c>
      <c r="AH1042">
        <v>20.68</v>
      </c>
      <c r="AI1042">
        <v>0.02</v>
      </c>
      <c r="AJ1042">
        <v>7.0000000000000007E-2</v>
      </c>
      <c r="AK1042">
        <v>68</v>
      </c>
      <c r="AL1042">
        <v>0</v>
      </c>
      <c r="AM1042">
        <v>0</v>
      </c>
      <c r="AN1042">
        <v>3.57</v>
      </c>
      <c r="AO1042">
        <v>1.24</v>
      </c>
      <c r="AP1042">
        <v>44</v>
      </c>
      <c r="AQ1042">
        <v>0</v>
      </c>
      <c r="AR1042">
        <v>4</v>
      </c>
      <c r="AS1042">
        <v>48</v>
      </c>
      <c r="AT1042">
        <v>1.8</v>
      </c>
      <c r="AU1042">
        <v>91</v>
      </c>
      <c r="AV1042">
        <v>-3.38</v>
      </c>
      <c r="AW1042">
        <v>85</v>
      </c>
      <c r="AX1042">
        <v>0.22</v>
      </c>
      <c r="AY1042">
        <v>56</v>
      </c>
      <c r="AZ1042">
        <v>5.6</v>
      </c>
      <c r="BA1042">
        <v>29</v>
      </c>
      <c r="BB1042">
        <v>4.8499999999999996</v>
      </c>
      <c r="BC1042">
        <v>29</v>
      </c>
      <c r="BD1042">
        <v>-0.06</v>
      </c>
      <c r="BE1042">
        <v>-0.06</v>
      </c>
      <c r="BF1042">
        <v>-0.09</v>
      </c>
      <c r="BG1042">
        <v>68</v>
      </c>
      <c r="BH1042">
        <v>-0.02</v>
      </c>
      <c r="BI1042">
        <v>-18.64</v>
      </c>
      <c r="BJ1042">
        <v>0</v>
      </c>
      <c r="BK1042">
        <v>0</v>
      </c>
      <c r="BL1042">
        <v>1.52</v>
      </c>
      <c r="BM1042">
        <v>0.75</v>
      </c>
      <c r="BN1042">
        <v>0.72</v>
      </c>
      <c r="BO1042">
        <v>1.0900000000000001</v>
      </c>
      <c r="BP1042">
        <v>2.79</v>
      </c>
      <c r="BQ1042">
        <v>1.48</v>
      </c>
      <c r="BR1042">
        <v>-1.97</v>
      </c>
      <c r="BS1042">
        <v>1.92</v>
      </c>
      <c r="BT1042">
        <v>2.69</v>
      </c>
      <c r="BU1042">
        <v>2.93</v>
      </c>
      <c r="BV1042">
        <v>3.28</v>
      </c>
      <c r="BW1042">
        <v>2.2799999999999998</v>
      </c>
      <c r="BX1042">
        <v>2.6</v>
      </c>
      <c r="BY1042">
        <v>2.29</v>
      </c>
      <c r="BZ1042">
        <v>-0.66</v>
      </c>
      <c r="CA1042">
        <v>3.13</v>
      </c>
      <c r="CB1042">
        <v>2.79</v>
      </c>
      <c r="CC1042">
        <v>2.17</v>
      </c>
      <c r="CD1042">
        <v>-0.11</v>
      </c>
      <c r="CE1042">
        <v>0.91</v>
      </c>
      <c r="CF1042">
        <v>0.87</v>
      </c>
      <c r="CG1042">
        <v>0</v>
      </c>
      <c r="CH1042">
        <v>2.71</v>
      </c>
      <c r="CI1042">
        <v>0</v>
      </c>
      <c r="CJ1042">
        <v>-6</v>
      </c>
      <c r="CK1042">
        <v>46</v>
      </c>
      <c r="CL1042">
        <v>-1.22</v>
      </c>
      <c r="CM1042">
        <v>41</v>
      </c>
      <c r="CN1042">
        <v>-0.48</v>
      </c>
      <c r="CO1042">
        <v>41</v>
      </c>
      <c r="CP1042">
        <v>0.6</v>
      </c>
      <c r="CQ1042">
        <v>37</v>
      </c>
      <c r="CR1042">
        <v>0</v>
      </c>
      <c r="CS1042">
        <v>0</v>
      </c>
      <c r="CT1042">
        <v>13</v>
      </c>
      <c r="CU1042">
        <v>36</v>
      </c>
      <c r="CV1042">
        <v>0.16</v>
      </c>
      <c r="CW1042">
        <v>34</v>
      </c>
      <c r="CX1042" t="s">
        <v>2363</v>
      </c>
    </row>
    <row r="1043" spans="1:102" x14ac:dyDescent="0.3">
      <c r="A1043" t="str">
        <f>HYPERLINK("https://webapp.icbf.com/v2/app/bull-search/view/550984507","OKR")</f>
        <v>OKR</v>
      </c>
      <c r="B1043" t="s">
        <v>8880</v>
      </c>
      <c r="C1043" t="s">
        <v>8881</v>
      </c>
      <c r="D1043" s="1">
        <v>38560</v>
      </c>
      <c r="E1043" t="s">
        <v>227</v>
      </c>
      <c r="F1043">
        <v>0</v>
      </c>
      <c r="G1043" t="s">
        <v>93</v>
      </c>
      <c r="H1043">
        <v>139.56</v>
      </c>
      <c r="I1043">
        <v>96</v>
      </c>
      <c r="J1043">
        <v>28.09</v>
      </c>
      <c r="K1043">
        <v>99</v>
      </c>
      <c r="L1043">
        <v>63.51</v>
      </c>
      <c r="M1043">
        <v>93</v>
      </c>
      <c r="N1043">
        <v>27.51</v>
      </c>
      <c r="O1043">
        <v>96</v>
      </c>
      <c r="P1043">
        <v>-60.19</v>
      </c>
      <c r="Q1043">
        <v>97</v>
      </c>
      <c r="R1043">
        <v>3.39</v>
      </c>
      <c r="S1043">
        <v>93</v>
      </c>
      <c r="T1043">
        <v>67.92</v>
      </c>
      <c r="U1043">
        <v>96</v>
      </c>
      <c r="V1043">
        <v>9.33</v>
      </c>
      <c r="W1043">
        <v>95</v>
      </c>
      <c r="X1043" t="s">
        <v>94</v>
      </c>
      <c r="Y1043" t="s">
        <v>228</v>
      </c>
      <c r="Z1043">
        <v>0</v>
      </c>
      <c r="AA1043" t="s">
        <v>229</v>
      </c>
      <c r="AB1043" t="s">
        <v>8260</v>
      </c>
      <c r="AC1043">
        <v>443</v>
      </c>
      <c r="AD1043">
        <v>132</v>
      </c>
      <c r="AE1043">
        <v>99</v>
      </c>
      <c r="AF1043">
        <v>-561.32000000000005</v>
      </c>
      <c r="AG1043">
        <v>9.91</v>
      </c>
      <c r="AH1043">
        <v>-7.32</v>
      </c>
      <c r="AI1043">
        <v>0.61</v>
      </c>
      <c r="AJ1043">
        <v>0.23</v>
      </c>
      <c r="AK1043">
        <v>93</v>
      </c>
      <c r="AL1043">
        <v>463</v>
      </c>
      <c r="AM1043">
        <v>123</v>
      </c>
      <c r="AN1043">
        <v>-3.04</v>
      </c>
      <c r="AO1043">
        <v>2.0299999999999998</v>
      </c>
      <c r="AP1043">
        <v>910</v>
      </c>
      <c r="AQ1043">
        <v>6</v>
      </c>
      <c r="AR1043">
        <v>2.57</v>
      </c>
      <c r="AS1043">
        <v>94</v>
      </c>
      <c r="AT1043">
        <v>1.29</v>
      </c>
      <c r="AU1043">
        <v>96</v>
      </c>
      <c r="AV1043">
        <v>-1.39</v>
      </c>
      <c r="AW1043">
        <v>99</v>
      </c>
      <c r="AX1043">
        <v>0.68</v>
      </c>
      <c r="AY1043">
        <v>95</v>
      </c>
      <c r="AZ1043">
        <v>8</v>
      </c>
      <c r="BA1043">
        <v>89</v>
      </c>
      <c r="BB1043">
        <v>5.28</v>
      </c>
      <c r="BC1043">
        <v>90</v>
      </c>
      <c r="BD1043">
        <v>-0.06</v>
      </c>
      <c r="BE1043">
        <v>-0.02</v>
      </c>
      <c r="BF1043">
        <v>0.06</v>
      </c>
      <c r="BG1043">
        <v>97</v>
      </c>
      <c r="BH1043">
        <v>0.17</v>
      </c>
      <c r="BI1043">
        <v>-10.44</v>
      </c>
      <c r="BJ1043">
        <v>7</v>
      </c>
      <c r="BK1043">
        <v>7</v>
      </c>
      <c r="BL1043">
        <v>-3.16</v>
      </c>
      <c r="BM1043">
        <v>-3.43</v>
      </c>
      <c r="BN1043">
        <v>-0.95</v>
      </c>
      <c r="BO1043">
        <v>1.83</v>
      </c>
      <c r="BP1043">
        <v>-0.59</v>
      </c>
      <c r="BQ1043">
        <v>-6.31</v>
      </c>
      <c r="BR1043">
        <v>2.7</v>
      </c>
      <c r="BS1043">
        <v>6.96</v>
      </c>
      <c r="BT1043">
        <v>-0.89</v>
      </c>
      <c r="BU1043">
        <v>-2.04</v>
      </c>
      <c r="BV1043">
        <v>-1.1000000000000001</v>
      </c>
      <c r="BW1043">
        <v>-3.47</v>
      </c>
      <c r="BX1043">
        <v>-4.38</v>
      </c>
      <c r="BY1043">
        <v>-0.34</v>
      </c>
      <c r="BZ1043">
        <v>-2.95</v>
      </c>
      <c r="CA1043">
        <v>0.45</v>
      </c>
      <c r="CB1043">
        <v>-1.75</v>
      </c>
      <c r="CC1043">
        <v>4.92</v>
      </c>
      <c r="CD1043">
        <v>-3.78</v>
      </c>
      <c r="CE1043">
        <v>1.27</v>
      </c>
      <c r="CF1043">
        <v>-4.2</v>
      </c>
      <c r="CG1043">
        <v>0</v>
      </c>
      <c r="CH1043">
        <v>-2.41</v>
      </c>
      <c r="CI1043">
        <v>0</v>
      </c>
      <c r="CJ1043">
        <v>-31.8</v>
      </c>
      <c r="CK1043">
        <v>98</v>
      </c>
      <c r="CL1043">
        <v>-1.1200000000000001</v>
      </c>
      <c r="CM1043">
        <v>97</v>
      </c>
      <c r="CN1043">
        <v>-0.23</v>
      </c>
      <c r="CO1043">
        <v>97</v>
      </c>
      <c r="CP1043">
        <v>-49.6</v>
      </c>
      <c r="CQ1043">
        <v>96</v>
      </c>
      <c r="CR1043">
        <v>0</v>
      </c>
      <c r="CS1043">
        <v>0</v>
      </c>
      <c r="CT1043">
        <v>-78</v>
      </c>
      <c r="CU1043">
        <v>96</v>
      </c>
      <c r="CV1043">
        <v>-0.27</v>
      </c>
      <c r="CW1043">
        <v>46</v>
      </c>
      <c r="CX1043" t="s">
        <v>1525</v>
      </c>
    </row>
    <row r="1044" spans="1:102" x14ac:dyDescent="0.3">
      <c r="A1044" t="str">
        <f>HYPERLINK("https://webapp.icbf.com/v2/app/bull-search/view/752062708","NJO")</f>
        <v>NJO</v>
      </c>
      <c r="B1044" t="s">
        <v>7580</v>
      </c>
      <c r="C1044" t="s">
        <v>7581</v>
      </c>
      <c r="D1044" s="1">
        <v>40214</v>
      </c>
      <c r="E1044" t="s">
        <v>92</v>
      </c>
      <c r="F1044">
        <v>88</v>
      </c>
      <c r="G1044" t="s">
        <v>435</v>
      </c>
      <c r="H1044">
        <v>139.41999999999999</v>
      </c>
      <c r="I1044">
        <v>73</v>
      </c>
      <c r="J1044">
        <v>5.16</v>
      </c>
      <c r="K1044">
        <v>89</v>
      </c>
      <c r="L1044">
        <v>84.24</v>
      </c>
      <c r="M1044">
        <v>68</v>
      </c>
      <c r="N1044">
        <v>32.159999999999997</v>
      </c>
      <c r="O1044">
        <v>65</v>
      </c>
      <c r="P1044">
        <v>-13.36</v>
      </c>
      <c r="Q1044">
        <v>68</v>
      </c>
      <c r="R1044">
        <v>13.51</v>
      </c>
      <c r="S1044">
        <v>67</v>
      </c>
      <c r="T1044">
        <v>17.899999999999999</v>
      </c>
      <c r="U1044">
        <v>54</v>
      </c>
      <c r="V1044">
        <v>-0.19</v>
      </c>
      <c r="W1044">
        <v>62</v>
      </c>
      <c r="X1044" t="s">
        <v>94</v>
      </c>
      <c r="Y1044" t="s">
        <v>1685</v>
      </c>
      <c r="Z1044" t="s">
        <v>96</v>
      </c>
      <c r="AA1044" t="s">
        <v>277</v>
      </c>
      <c r="AB1044" t="s">
        <v>7582</v>
      </c>
      <c r="AC1044">
        <v>3</v>
      </c>
      <c r="AD1044">
        <v>2</v>
      </c>
      <c r="AE1044">
        <v>89</v>
      </c>
      <c r="AF1044">
        <v>-406.68</v>
      </c>
      <c r="AG1044">
        <v>-1.04</v>
      </c>
      <c r="AH1044">
        <v>-4.9800000000000004</v>
      </c>
      <c r="AI1044">
        <v>0.28000000000000003</v>
      </c>
      <c r="AJ1044">
        <v>0.17</v>
      </c>
      <c r="AK1044">
        <v>68</v>
      </c>
      <c r="AL1044">
        <v>3</v>
      </c>
      <c r="AM1044">
        <v>2</v>
      </c>
      <c r="AN1044">
        <v>-6</v>
      </c>
      <c r="AO1044">
        <v>0.7</v>
      </c>
      <c r="AP1044">
        <v>12</v>
      </c>
      <c r="AQ1044">
        <v>0</v>
      </c>
      <c r="AR1044">
        <v>6.94</v>
      </c>
      <c r="AS1044">
        <v>55</v>
      </c>
      <c r="AT1044">
        <v>2.39</v>
      </c>
      <c r="AU1044">
        <v>68</v>
      </c>
      <c r="AV1044">
        <v>-3.31</v>
      </c>
      <c r="AW1044">
        <v>75</v>
      </c>
      <c r="AX1044">
        <v>0.49</v>
      </c>
      <c r="AY1044">
        <v>50</v>
      </c>
      <c r="AZ1044">
        <v>6.55</v>
      </c>
      <c r="BA1044">
        <v>46</v>
      </c>
      <c r="BB1044">
        <v>5.0599999999999996</v>
      </c>
      <c r="BC1044">
        <v>49</v>
      </c>
      <c r="BD1044">
        <v>-0.04</v>
      </c>
      <c r="BE1044">
        <v>-0.06</v>
      </c>
      <c r="BF1044">
        <v>-0.13</v>
      </c>
      <c r="BG1044">
        <v>76</v>
      </c>
      <c r="BH1044">
        <v>0.02</v>
      </c>
      <c r="BI1044">
        <v>2.94</v>
      </c>
      <c r="BJ1044">
        <v>0</v>
      </c>
      <c r="BK1044">
        <v>0</v>
      </c>
      <c r="BL1044">
        <v>-0.55000000000000004</v>
      </c>
      <c r="BM1044">
        <v>-1.1100000000000001</v>
      </c>
      <c r="BN1044">
        <v>-0.56999999999999995</v>
      </c>
      <c r="BO1044">
        <v>0.05</v>
      </c>
      <c r="BP1044">
        <v>1.93</v>
      </c>
      <c r="BQ1044">
        <v>-2.2400000000000002</v>
      </c>
      <c r="BR1044">
        <v>1.47</v>
      </c>
      <c r="BS1044">
        <v>0.57999999999999996</v>
      </c>
      <c r="BT1044">
        <v>-1.44</v>
      </c>
      <c r="BU1044">
        <v>-1.78</v>
      </c>
      <c r="BV1044">
        <v>-0.89</v>
      </c>
      <c r="BW1044">
        <v>-0.83</v>
      </c>
      <c r="BX1044">
        <v>-1.79</v>
      </c>
      <c r="BY1044">
        <v>-1.65</v>
      </c>
      <c r="BZ1044">
        <v>-1</v>
      </c>
      <c r="CA1044">
        <v>-1.0900000000000001</v>
      </c>
      <c r="CB1044">
        <v>-0.98</v>
      </c>
      <c r="CC1044">
        <v>-0.55000000000000004</v>
      </c>
      <c r="CD1044">
        <v>-0.81</v>
      </c>
      <c r="CE1044">
        <v>-0.08</v>
      </c>
      <c r="CF1044">
        <v>-1.55</v>
      </c>
      <c r="CG1044">
        <v>0</v>
      </c>
      <c r="CH1044">
        <v>-0.04</v>
      </c>
      <c r="CI1044">
        <v>0</v>
      </c>
      <c r="CJ1044">
        <v>-4.2</v>
      </c>
      <c r="CK1044">
        <v>70</v>
      </c>
      <c r="CL1044">
        <v>-1.02</v>
      </c>
      <c r="CM1044">
        <v>67</v>
      </c>
      <c r="CN1044">
        <v>-0.32</v>
      </c>
      <c r="CO1044">
        <v>65</v>
      </c>
      <c r="CP1044">
        <v>-5.2</v>
      </c>
      <c r="CQ1044">
        <v>57</v>
      </c>
      <c r="CR1044">
        <v>0</v>
      </c>
      <c r="CS1044">
        <v>0</v>
      </c>
      <c r="CT1044">
        <v>-10.4</v>
      </c>
      <c r="CU1044">
        <v>54</v>
      </c>
      <c r="CV1044">
        <v>0.25</v>
      </c>
      <c r="CW1044">
        <v>40</v>
      </c>
      <c r="CX1044" t="s">
        <v>771</v>
      </c>
    </row>
    <row r="1045" spans="1:102" x14ac:dyDescent="0.3">
      <c r="A1045" t="str">
        <f>HYPERLINK("https://webapp.icbf.com/v2/app/bull-search/view/720498848","HWY")</f>
        <v>HWY</v>
      </c>
      <c r="B1045" t="s">
        <v>6770</v>
      </c>
      <c r="C1045" t="s">
        <v>2026</v>
      </c>
      <c r="D1045" s="1">
        <v>39283</v>
      </c>
      <c r="E1045" t="s">
        <v>227</v>
      </c>
      <c r="F1045">
        <v>0</v>
      </c>
      <c r="G1045" t="s">
        <v>93</v>
      </c>
      <c r="H1045">
        <v>139.4</v>
      </c>
      <c r="I1045">
        <v>97</v>
      </c>
      <c r="J1045">
        <v>119.62</v>
      </c>
      <c r="K1045">
        <v>99</v>
      </c>
      <c r="L1045">
        <v>-24.4</v>
      </c>
      <c r="M1045">
        <v>95</v>
      </c>
      <c r="N1045">
        <v>36.06</v>
      </c>
      <c r="O1045">
        <v>98</v>
      </c>
      <c r="P1045">
        <v>-48.07</v>
      </c>
      <c r="Q1045">
        <v>99</v>
      </c>
      <c r="R1045">
        <v>-3.25</v>
      </c>
      <c r="S1045">
        <v>95</v>
      </c>
      <c r="T1045">
        <v>53.27</v>
      </c>
      <c r="U1045">
        <v>99</v>
      </c>
      <c r="V1045">
        <v>6.17</v>
      </c>
      <c r="W1045">
        <v>93</v>
      </c>
      <c r="X1045" t="s">
        <v>276</v>
      </c>
      <c r="Y1045" t="s">
        <v>319</v>
      </c>
      <c r="Z1045">
        <v>0</v>
      </c>
      <c r="AA1045" t="s">
        <v>229</v>
      </c>
      <c r="AB1045" t="s">
        <v>6771</v>
      </c>
      <c r="AC1045">
        <v>1696</v>
      </c>
      <c r="AD1045">
        <v>364</v>
      </c>
      <c r="AE1045">
        <v>99</v>
      </c>
      <c r="AF1045">
        <v>-100.26</v>
      </c>
      <c r="AG1045">
        <v>23.77</v>
      </c>
      <c r="AH1045">
        <v>10.4</v>
      </c>
      <c r="AI1045">
        <v>0.49</v>
      </c>
      <c r="AJ1045">
        <v>0.25</v>
      </c>
      <c r="AK1045">
        <v>95</v>
      </c>
      <c r="AL1045">
        <v>1753</v>
      </c>
      <c r="AM1045">
        <v>392</v>
      </c>
      <c r="AN1045">
        <v>1.03</v>
      </c>
      <c r="AO1045">
        <v>-0.92</v>
      </c>
      <c r="AP1045">
        <v>2864</v>
      </c>
      <c r="AQ1045">
        <v>17</v>
      </c>
      <c r="AR1045">
        <v>3.15</v>
      </c>
      <c r="AS1045">
        <v>98</v>
      </c>
      <c r="AT1045">
        <v>1.37</v>
      </c>
      <c r="AU1045">
        <v>98</v>
      </c>
      <c r="AV1045">
        <v>-2.74</v>
      </c>
      <c r="AW1045">
        <v>99</v>
      </c>
      <c r="AX1045">
        <v>1.1599999999999999</v>
      </c>
      <c r="AY1045">
        <v>98</v>
      </c>
      <c r="AZ1045">
        <v>7.29</v>
      </c>
      <c r="BA1045">
        <v>96</v>
      </c>
      <c r="BB1045">
        <v>5.44</v>
      </c>
      <c r="BC1045">
        <v>96</v>
      </c>
      <c r="BD1045">
        <v>-0.02</v>
      </c>
      <c r="BE1045">
        <v>0.02</v>
      </c>
      <c r="BF1045">
        <v>7.0000000000000007E-2</v>
      </c>
      <c r="BG1045">
        <v>99</v>
      </c>
      <c r="BH1045">
        <v>0.17</v>
      </c>
      <c r="BI1045">
        <v>-0.24</v>
      </c>
      <c r="BJ1045">
        <v>38</v>
      </c>
      <c r="BK1045">
        <v>17</v>
      </c>
      <c r="BL1045">
        <v>-3.71</v>
      </c>
      <c r="BM1045">
        <v>-1.91</v>
      </c>
      <c r="BN1045">
        <v>0.54</v>
      </c>
      <c r="BO1045">
        <v>1.69</v>
      </c>
      <c r="BP1045">
        <v>-2.37</v>
      </c>
      <c r="BQ1045">
        <v>-5.7</v>
      </c>
      <c r="BR1045">
        <v>3.83</v>
      </c>
      <c r="BS1045">
        <v>7.69</v>
      </c>
      <c r="BT1045">
        <v>-0.61</v>
      </c>
      <c r="BU1045">
        <v>-0.33</v>
      </c>
      <c r="BV1045">
        <v>0.73</v>
      </c>
      <c r="BW1045">
        <v>-2.2400000000000002</v>
      </c>
      <c r="BX1045">
        <v>-3.64</v>
      </c>
      <c r="BY1045">
        <v>0.64</v>
      </c>
      <c r="BZ1045">
        <v>-1.02</v>
      </c>
      <c r="CA1045">
        <v>1.56</v>
      </c>
      <c r="CB1045">
        <v>-0.35</v>
      </c>
      <c r="CC1045">
        <v>5.15</v>
      </c>
      <c r="CD1045">
        <v>-2.74</v>
      </c>
      <c r="CE1045">
        <v>1.19</v>
      </c>
      <c r="CF1045">
        <v>-3.86</v>
      </c>
      <c r="CG1045">
        <v>0</v>
      </c>
      <c r="CH1045">
        <v>0.43</v>
      </c>
      <c r="CI1045">
        <v>0</v>
      </c>
      <c r="CJ1045">
        <v>-24.4</v>
      </c>
      <c r="CK1045">
        <v>99</v>
      </c>
      <c r="CL1045">
        <v>-0.96</v>
      </c>
      <c r="CM1045">
        <v>99</v>
      </c>
      <c r="CN1045">
        <v>-0.18</v>
      </c>
      <c r="CO1045">
        <v>99</v>
      </c>
      <c r="CP1045">
        <v>-44</v>
      </c>
      <c r="CQ1045">
        <v>99</v>
      </c>
      <c r="CR1045">
        <v>0</v>
      </c>
      <c r="CS1045">
        <v>0</v>
      </c>
      <c r="CT1045">
        <v>-58.2</v>
      </c>
      <c r="CU1045">
        <v>99</v>
      </c>
      <c r="CV1045">
        <v>-0.14000000000000001</v>
      </c>
      <c r="CW1045">
        <v>46</v>
      </c>
      <c r="CX1045" t="s">
        <v>1525</v>
      </c>
    </row>
    <row r="1046" spans="1:102" x14ac:dyDescent="0.3">
      <c r="A1046" t="str">
        <f>HYPERLINK("https://webapp.icbf.com/v2/app/bull-search/view/391631115","LPP")</f>
        <v>LPP</v>
      </c>
      <c r="B1046" t="s">
        <v>7443</v>
      </c>
      <c r="C1046" t="s">
        <v>2713</v>
      </c>
      <c r="D1046" s="1">
        <v>36727</v>
      </c>
      <c r="E1046" t="s">
        <v>92</v>
      </c>
      <c r="F1046">
        <v>100</v>
      </c>
      <c r="G1046" t="s">
        <v>93</v>
      </c>
      <c r="H1046">
        <v>139.38999999999999</v>
      </c>
      <c r="I1046">
        <v>97</v>
      </c>
      <c r="J1046">
        <v>12.24</v>
      </c>
      <c r="K1046">
        <v>99</v>
      </c>
      <c r="L1046">
        <v>83.03</v>
      </c>
      <c r="M1046">
        <v>93</v>
      </c>
      <c r="N1046">
        <v>23.4</v>
      </c>
      <c r="O1046">
        <v>97</v>
      </c>
      <c r="P1046">
        <v>-15.43</v>
      </c>
      <c r="Q1046">
        <v>99</v>
      </c>
      <c r="R1046">
        <v>11.96</v>
      </c>
      <c r="S1046">
        <v>96</v>
      </c>
      <c r="T1046">
        <v>18.78</v>
      </c>
      <c r="U1046">
        <v>98</v>
      </c>
      <c r="V1046">
        <v>5.41</v>
      </c>
      <c r="W1046">
        <v>97</v>
      </c>
      <c r="X1046" t="s">
        <v>302</v>
      </c>
      <c r="Y1046" t="s">
        <v>95</v>
      </c>
      <c r="Z1046" t="s">
        <v>96</v>
      </c>
      <c r="AA1046" t="s">
        <v>4806</v>
      </c>
      <c r="AB1046" t="s">
        <v>7444</v>
      </c>
      <c r="AC1046">
        <v>781</v>
      </c>
      <c r="AD1046">
        <v>284</v>
      </c>
      <c r="AE1046">
        <v>99</v>
      </c>
      <c r="AF1046">
        <v>78.03</v>
      </c>
      <c r="AG1046">
        <v>0.47</v>
      </c>
      <c r="AH1046">
        <v>3.11</v>
      </c>
      <c r="AI1046">
        <v>-0.04</v>
      </c>
      <c r="AJ1046">
        <v>0.01</v>
      </c>
      <c r="AK1046">
        <v>93</v>
      </c>
      <c r="AL1046">
        <v>812</v>
      </c>
      <c r="AM1046">
        <v>299</v>
      </c>
      <c r="AN1046">
        <v>-3.87</v>
      </c>
      <c r="AO1046">
        <v>2.76</v>
      </c>
      <c r="AP1046">
        <v>1351</v>
      </c>
      <c r="AQ1046">
        <v>6</v>
      </c>
      <c r="AR1046">
        <v>7.76</v>
      </c>
      <c r="AS1046">
        <v>93</v>
      </c>
      <c r="AT1046">
        <v>3.65</v>
      </c>
      <c r="AU1046">
        <v>98</v>
      </c>
      <c r="AV1046">
        <v>-3</v>
      </c>
      <c r="AW1046">
        <v>99</v>
      </c>
      <c r="AX1046">
        <v>-0.17</v>
      </c>
      <c r="AY1046">
        <v>97</v>
      </c>
      <c r="AZ1046">
        <v>5.29</v>
      </c>
      <c r="BA1046">
        <v>92</v>
      </c>
      <c r="BB1046">
        <v>4.3899999999999997</v>
      </c>
      <c r="BC1046">
        <v>94</v>
      </c>
      <c r="BD1046">
        <v>-0.03</v>
      </c>
      <c r="BE1046">
        <v>-0.05</v>
      </c>
      <c r="BF1046">
        <v>-0.13</v>
      </c>
      <c r="BG1046">
        <v>98</v>
      </c>
      <c r="BH1046">
        <v>0.05</v>
      </c>
      <c r="BI1046">
        <v>-11.67</v>
      </c>
      <c r="BJ1046">
        <v>41</v>
      </c>
      <c r="BK1046">
        <v>24</v>
      </c>
      <c r="BL1046">
        <v>0.27</v>
      </c>
      <c r="BM1046">
        <v>0.14000000000000001</v>
      </c>
      <c r="BN1046">
        <v>-0.1</v>
      </c>
      <c r="BO1046">
        <v>-0.24</v>
      </c>
      <c r="BP1046">
        <v>-1.66</v>
      </c>
      <c r="BQ1046">
        <v>0.97</v>
      </c>
      <c r="BR1046">
        <v>2.88</v>
      </c>
      <c r="BS1046">
        <v>-3.23</v>
      </c>
      <c r="BT1046">
        <v>-3.56</v>
      </c>
      <c r="BU1046">
        <v>1.01</v>
      </c>
      <c r="BV1046">
        <v>-0.23</v>
      </c>
      <c r="BW1046">
        <v>-0.56999999999999995</v>
      </c>
      <c r="BX1046">
        <v>0.08</v>
      </c>
      <c r="BY1046">
        <v>-0.42</v>
      </c>
      <c r="BZ1046">
        <v>2.13</v>
      </c>
      <c r="CA1046">
        <v>-1.1100000000000001</v>
      </c>
      <c r="CB1046">
        <v>-0.38</v>
      </c>
      <c r="CC1046">
        <v>-2.77</v>
      </c>
      <c r="CD1046">
        <v>0.53</v>
      </c>
      <c r="CE1046">
        <v>-0.47</v>
      </c>
      <c r="CF1046">
        <v>0.05</v>
      </c>
      <c r="CG1046">
        <v>0</v>
      </c>
      <c r="CH1046">
        <v>-0.82</v>
      </c>
      <c r="CI1046">
        <v>0</v>
      </c>
      <c r="CJ1046">
        <v>-0.8</v>
      </c>
      <c r="CK1046">
        <v>99</v>
      </c>
      <c r="CL1046">
        <v>-1.03</v>
      </c>
      <c r="CM1046">
        <v>99</v>
      </c>
      <c r="CN1046">
        <v>0.14000000000000001</v>
      </c>
      <c r="CO1046">
        <v>99</v>
      </c>
      <c r="CP1046">
        <v>-13.7</v>
      </c>
      <c r="CQ1046">
        <v>98</v>
      </c>
      <c r="CR1046">
        <v>0</v>
      </c>
      <c r="CS1046">
        <v>0</v>
      </c>
      <c r="CT1046">
        <v>-11.6</v>
      </c>
      <c r="CU1046">
        <v>98</v>
      </c>
      <c r="CV1046">
        <v>0.27</v>
      </c>
      <c r="CW1046">
        <v>46</v>
      </c>
      <c r="CX1046" t="s">
        <v>1161</v>
      </c>
    </row>
    <row r="1047" spans="1:102" x14ac:dyDescent="0.3">
      <c r="A1047" t="str">
        <f>HYPERLINK("https://webapp.icbf.com/v2/app/bull-search/view/1244045948","FR2315")</f>
        <v>FR2315</v>
      </c>
      <c r="B1047" t="s">
        <v>13612</v>
      </c>
      <c r="C1047" t="s">
        <v>13613</v>
      </c>
      <c r="D1047" s="1">
        <v>42031</v>
      </c>
      <c r="E1047" t="s">
        <v>92</v>
      </c>
      <c r="F1047">
        <v>81</v>
      </c>
      <c r="G1047" t="s">
        <v>93</v>
      </c>
      <c r="H1047">
        <v>139.36000000000001</v>
      </c>
      <c r="I1047">
        <v>82</v>
      </c>
      <c r="J1047">
        <v>85.72</v>
      </c>
      <c r="K1047">
        <v>95</v>
      </c>
      <c r="L1047">
        <v>39.74</v>
      </c>
      <c r="M1047">
        <v>74</v>
      </c>
      <c r="N1047">
        <v>43.63</v>
      </c>
      <c r="O1047">
        <v>86</v>
      </c>
      <c r="P1047">
        <v>-9.19</v>
      </c>
      <c r="Q1047">
        <v>91</v>
      </c>
      <c r="R1047">
        <v>-9.5</v>
      </c>
      <c r="S1047">
        <v>75</v>
      </c>
      <c r="T1047">
        <v>-6.52</v>
      </c>
      <c r="U1047">
        <v>58</v>
      </c>
      <c r="V1047">
        <v>-4.5199999999999996</v>
      </c>
      <c r="W1047">
        <v>68</v>
      </c>
      <c r="X1047" t="s">
        <v>102</v>
      </c>
      <c r="Y1047" t="s">
        <v>436</v>
      </c>
      <c r="Z1047" t="s">
        <v>96</v>
      </c>
      <c r="AA1047" t="s">
        <v>2235</v>
      </c>
      <c r="AB1047" t="s">
        <v>13614</v>
      </c>
      <c r="AC1047">
        <v>114</v>
      </c>
      <c r="AD1047">
        <v>58</v>
      </c>
      <c r="AE1047">
        <v>95</v>
      </c>
      <c r="AF1047">
        <v>323.29000000000002</v>
      </c>
      <c r="AG1047">
        <v>15.17</v>
      </c>
      <c r="AH1047">
        <v>14.16</v>
      </c>
      <c r="AI1047">
        <v>0.04</v>
      </c>
      <c r="AJ1047">
        <v>0.05</v>
      </c>
      <c r="AK1047">
        <v>74</v>
      </c>
      <c r="AL1047">
        <v>0</v>
      </c>
      <c r="AM1047">
        <v>0</v>
      </c>
      <c r="AN1047">
        <v>-1.35</v>
      </c>
      <c r="AO1047">
        <v>1.83</v>
      </c>
      <c r="AP1047">
        <v>432</v>
      </c>
      <c r="AQ1047">
        <v>2</v>
      </c>
      <c r="AR1047">
        <v>6.28</v>
      </c>
      <c r="AS1047">
        <v>80</v>
      </c>
      <c r="AT1047">
        <v>2.21</v>
      </c>
      <c r="AU1047">
        <v>91</v>
      </c>
      <c r="AV1047">
        <v>-4.26</v>
      </c>
      <c r="AW1047">
        <v>98</v>
      </c>
      <c r="AX1047">
        <v>-0.61</v>
      </c>
      <c r="AY1047">
        <v>87</v>
      </c>
      <c r="AZ1047">
        <v>6.54</v>
      </c>
      <c r="BA1047">
        <v>68</v>
      </c>
      <c r="BB1047">
        <v>5.39</v>
      </c>
      <c r="BC1047">
        <v>46</v>
      </c>
      <c r="BD1047">
        <v>0.02</v>
      </c>
      <c r="BE1047">
        <v>0.05</v>
      </c>
      <c r="BF1047">
        <v>0.09</v>
      </c>
      <c r="BG1047">
        <v>85</v>
      </c>
      <c r="BH1047">
        <v>-0.2</v>
      </c>
      <c r="BI1047">
        <v>-8.56</v>
      </c>
      <c r="BJ1047">
        <v>0</v>
      </c>
      <c r="BK1047">
        <v>0</v>
      </c>
      <c r="BL1047">
        <v>-1.33</v>
      </c>
      <c r="BM1047">
        <v>2.62</v>
      </c>
      <c r="BN1047">
        <v>0.37</v>
      </c>
      <c r="BO1047">
        <v>-1.48</v>
      </c>
      <c r="BP1047">
        <v>2.09</v>
      </c>
      <c r="BQ1047">
        <v>1.18</v>
      </c>
      <c r="BR1047">
        <v>-1.32</v>
      </c>
      <c r="BS1047">
        <v>-0.65</v>
      </c>
      <c r="BT1047">
        <v>0.52</v>
      </c>
      <c r="BU1047">
        <v>-1.4</v>
      </c>
      <c r="BV1047">
        <v>-2</v>
      </c>
      <c r="BW1047">
        <v>-1.59</v>
      </c>
      <c r="BX1047">
        <v>-1.85</v>
      </c>
      <c r="BY1047">
        <v>-1.54</v>
      </c>
      <c r="BZ1047">
        <v>-0.62</v>
      </c>
      <c r="CA1047">
        <v>-1.26</v>
      </c>
      <c r="CB1047">
        <v>-1.38</v>
      </c>
      <c r="CC1047">
        <v>-0.28999999999999998</v>
      </c>
      <c r="CD1047">
        <v>2.76</v>
      </c>
      <c r="CE1047">
        <v>-1.66</v>
      </c>
      <c r="CF1047">
        <v>-0.28000000000000003</v>
      </c>
      <c r="CG1047">
        <v>0</v>
      </c>
      <c r="CH1047">
        <v>-1.58</v>
      </c>
      <c r="CI1047">
        <v>0</v>
      </c>
      <c r="CJ1047">
        <v>-4.5999999999999996</v>
      </c>
      <c r="CK1047">
        <v>94</v>
      </c>
      <c r="CL1047">
        <v>-0.51</v>
      </c>
      <c r="CM1047">
        <v>92</v>
      </c>
      <c r="CN1047">
        <v>-0.2</v>
      </c>
      <c r="CO1047">
        <v>91</v>
      </c>
      <c r="CP1047">
        <v>0.5</v>
      </c>
      <c r="CQ1047">
        <v>62</v>
      </c>
      <c r="CR1047">
        <v>0</v>
      </c>
      <c r="CS1047">
        <v>0</v>
      </c>
      <c r="CT1047">
        <v>22.6</v>
      </c>
      <c r="CU1047">
        <v>58</v>
      </c>
      <c r="CV1047">
        <v>0.05</v>
      </c>
      <c r="CW1047">
        <v>46</v>
      </c>
      <c r="CX1047" t="s">
        <v>6284</v>
      </c>
    </row>
    <row r="1048" spans="1:102" x14ac:dyDescent="0.3">
      <c r="A1048" t="str">
        <f>HYPERLINK("https://webapp.icbf.com/v2/app/bull-search/view/1349522168","S3166")</f>
        <v>S3166</v>
      </c>
      <c r="B1048" t="s">
        <v>15294</v>
      </c>
      <c r="C1048" t="s">
        <v>15295</v>
      </c>
      <c r="D1048" s="1">
        <v>42196</v>
      </c>
      <c r="E1048" t="s">
        <v>92</v>
      </c>
      <c r="F1048">
        <v>100</v>
      </c>
      <c r="G1048" t="s">
        <v>435</v>
      </c>
      <c r="H1048">
        <v>139.19999999999999</v>
      </c>
      <c r="I1048">
        <v>70</v>
      </c>
      <c r="J1048">
        <v>93.83</v>
      </c>
      <c r="K1048">
        <v>89</v>
      </c>
      <c r="L1048">
        <v>18.399999999999999</v>
      </c>
      <c r="M1048">
        <v>69</v>
      </c>
      <c r="N1048">
        <v>8.17</v>
      </c>
      <c r="O1048">
        <v>71</v>
      </c>
      <c r="P1048">
        <v>7.0000000000000007E-2</v>
      </c>
      <c r="Q1048">
        <v>42</v>
      </c>
      <c r="R1048">
        <v>17.53</v>
      </c>
      <c r="S1048">
        <v>64</v>
      </c>
      <c r="T1048">
        <v>-5.71</v>
      </c>
      <c r="U1048">
        <v>37</v>
      </c>
      <c r="V1048">
        <v>6.91</v>
      </c>
      <c r="W1048">
        <v>55</v>
      </c>
      <c r="X1048" t="s">
        <v>110</v>
      </c>
      <c r="Y1048" t="s">
        <v>453</v>
      </c>
      <c r="Z1048" t="s">
        <v>96</v>
      </c>
      <c r="AA1048" t="s">
        <v>463</v>
      </c>
      <c r="AB1048" t="s">
        <v>15296</v>
      </c>
      <c r="AC1048">
        <v>0</v>
      </c>
      <c r="AD1048">
        <v>0</v>
      </c>
      <c r="AE1048">
        <v>89</v>
      </c>
      <c r="AF1048">
        <v>303.83999999999997</v>
      </c>
      <c r="AG1048">
        <v>21.17</v>
      </c>
      <c r="AH1048">
        <v>13.12</v>
      </c>
      <c r="AI1048">
        <v>0.15</v>
      </c>
      <c r="AJ1048">
        <v>0.05</v>
      </c>
      <c r="AK1048">
        <v>69</v>
      </c>
      <c r="AL1048">
        <v>0</v>
      </c>
      <c r="AM1048">
        <v>0</v>
      </c>
      <c r="AN1048">
        <v>-0.77</v>
      </c>
      <c r="AO1048">
        <v>0.7</v>
      </c>
      <c r="AP1048">
        <v>66</v>
      </c>
      <c r="AQ1048">
        <v>0</v>
      </c>
      <c r="AR1048">
        <v>7.56</v>
      </c>
      <c r="AS1048">
        <v>56</v>
      </c>
      <c r="AT1048">
        <v>3.88</v>
      </c>
      <c r="AU1048">
        <v>80</v>
      </c>
      <c r="AV1048">
        <v>-1.95</v>
      </c>
      <c r="AW1048">
        <v>86</v>
      </c>
      <c r="AX1048">
        <v>0.69</v>
      </c>
      <c r="AY1048">
        <v>58</v>
      </c>
      <c r="AZ1048">
        <v>5.91</v>
      </c>
      <c r="BA1048">
        <v>38</v>
      </c>
      <c r="BB1048">
        <v>4.87</v>
      </c>
      <c r="BC1048">
        <v>36</v>
      </c>
      <c r="BD1048">
        <v>-0.09</v>
      </c>
      <c r="BE1048">
        <v>-7.0000000000000007E-2</v>
      </c>
      <c r="BF1048">
        <v>-0.12</v>
      </c>
      <c r="BG1048">
        <v>77</v>
      </c>
      <c r="BH1048">
        <v>-0.06</v>
      </c>
      <c r="BI1048">
        <v>-29.23</v>
      </c>
      <c r="BJ1048">
        <v>0</v>
      </c>
      <c r="BK1048">
        <v>0</v>
      </c>
      <c r="BL1048">
        <v>1.95</v>
      </c>
      <c r="BM1048">
        <v>0.69</v>
      </c>
      <c r="BN1048">
        <v>0.83</v>
      </c>
      <c r="BO1048">
        <v>0.64</v>
      </c>
      <c r="BP1048">
        <v>0.36</v>
      </c>
      <c r="BQ1048">
        <v>0.88</v>
      </c>
      <c r="BR1048">
        <v>-7.0000000000000007E-2</v>
      </c>
      <c r="BS1048">
        <v>2.59</v>
      </c>
      <c r="BT1048">
        <v>0.48</v>
      </c>
      <c r="BU1048">
        <v>3.69</v>
      </c>
      <c r="BV1048">
        <v>2.82</v>
      </c>
      <c r="BW1048">
        <v>2.19</v>
      </c>
      <c r="BX1048">
        <v>3.04</v>
      </c>
      <c r="BY1048">
        <v>2.2999999999999998</v>
      </c>
      <c r="BZ1048">
        <v>-0.94</v>
      </c>
      <c r="CA1048">
        <v>2.91</v>
      </c>
      <c r="CB1048">
        <v>2.72</v>
      </c>
      <c r="CC1048">
        <v>2.11</v>
      </c>
      <c r="CD1048">
        <v>0.28000000000000003</v>
      </c>
      <c r="CE1048">
        <v>1.67</v>
      </c>
      <c r="CF1048">
        <v>2.95</v>
      </c>
      <c r="CG1048">
        <v>0</v>
      </c>
      <c r="CH1048">
        <v>1.54</v>
      </c>
      <c r="CI1048">
        <v>0</v>
      </c>
      <c r="CJ1048">
        <v>1.5</v>
      </c>
      <c r="CK1048">
        <v>43</v>
      </c>
      <c r="CL1048">
        <v>-1.22</v>
      </c>
      <c r="CM1048">
        <v>42</v>
      </c>
      <c r="CN1048">
        <v>-0.84</v>
      </c>
      <c r="CO1048">
        <v>41</v>
      </c>
      <c r="CP1048">
        <v>5</v>
      </c>
      <c r="CQ1048">
        <v>38</v>
      </c>
      <c r="CR1048">
        <v>0</v>
      </c>
      <c r="CS1048">
        <v>0</v>
      </c>
      <c r="CT1048">
        <v>21.5</v>
      </c>
      <c r="CU1048">
        <v>37</v>
      </c>
      <c r="CV1048">
        <v>0.23</v>
      </c>
      <c r="CW1048">
        <v>34</v>
      </c>
      <c r="CX1048" t="s">
        <v>401</v>
      </c>
    </row>
    <row r="1049" spans="1:102" x14ac:dyDescent="0.3">
      <c r="A1049" t="str">
        <f>HYPERLINK("https://webapp.icbf.com/v2/app/bull-search/view/440225434","BZA")</f>
        <v>BZA</v>
      </c>
      <c r="B1049" t="s">
        <v>144</v>
      </c>
      <c r="C1049" t="s">
        <v>12635</v>
      </c>
      <c r="D1049" s="1">
        <v>35315</v>
      </c>
      <c r="E1049" t="s">
        <v>210</v>
      </c>
      <c r="F1049">
        <v>0</v>
      </c>
      <c r="G1049" t="s">
        <v>93</v>
      </c>
      <c r="H1049">
        <v>139.13999999999999</v>
      </c>
      <c r="I1049">
        <v>73</v>
      </c>
      <c r="J1049">
        <v>1.61</v>
      </c>
      <c r="K1049">
        <v>91</v>
      </c>
      <c r="L1049">
        <v>88.19</v>
      </c>
      <c r="M1049">
        <v>53</v>
      </c>
      <c r="N1049">
        <v>25.64</v>
      </c>
      <c r="O1049">
        <v>73</v>
      </c>
      <c r="P1049">
        <v>-8.6</v>
      </c>
      <c r="Q1049">
        <v>84</v>
      </c>
      <c r="R1049">
        <v>7.8</v>
      </c>
      <c r="S1049">
        <v>61</v>
      </c>
      <c r="T1049">
        <v>20.34</v>
      </c>
      <c r="U1049">
        <v>71</v>
      </c>
      <c r="V1049">
        <v>4.16</v>
      </c>
      <c r="W1049">
        <v>75</v>
      </c>
      <c r="X1049" t="s">
        <v>251</v>
      </c>
      <c r="Y1049" t="s">
        <v>95</v>
      </c>
      <c r="Z1049">
        <v>0</v>
      </c>
      <c r="AA1049" t="s">
        <v>12636</v>
      </c>
      <c r="AB1049" t="s">
        <v>12637</v>
      </c>
      <c r="AC1049">
        <v>43</v>
      </c>
      <c r="AD1049">
        <v>13</v>
      </c>
      <c r="AE1049">
        <v>91</v>
      </c>
      <c r="AF1049">
        <v>-309.73</v>
      </c>
      <c r="AG1049">
        <v>-4.4000000000000004</v>
      </c>
      <c r="AH1049">
        <v>-2.91</v>
      </c>
      <c r="AI1049">
        <v>0.13</v>
      </c>
      <c r="AJ1049">
        <v>0.13</v>
      </c>
      <c r="AK1049">
        <v>53</v>
      </c>
      <c r="AL1049">
        <v>48</v>
      </c>
      <c r="AM1049">
        <v>15</v>
      </c>
      <c r="AN1049">
        <v>-4.25</v>
      </c>
      <c r="AO1049">
        <v>2.79</v>
      </c>
      <c r="AP1049">
        <v>59</v>
      </c>
      <c r="AQ1049">
        <v>4</v>
      </c>
      <c r="AR1049">
        <v>4.28</v>
      </c>
      <c r="AS1049">
        <v>49</v>
      </c>
      <c r="AT1049">
        <v>2.08</v>
      </c>
      <c r="AU1049">
        <v>71</v>
      </c>
      <c r="AV1049">
        <v>-0.78</v>
      </c>
      <c r="AW1049">
        <v>90</v>
      </c>
      <c r="AX1049">
        <v>-1.03</v>
      </c>
      <c r="AY1049">
        <v>68</v>
      </c>
      <c r="AZ1049">
        <v>5.49</v>
      </c>
      <c r="BA1049">
        <v>46</v>
      </c>
      <c r="BB1049">
        <v>4.96</v>
      </c>
      <c r="BC1049">
        <v>50</v>
      </c>
      <c r="BD1049">
        <v>-0.02</v>
      </c>
      <c r="BE1049">
        <v>-0.04</v>
      </c>
      <c r="BF1049">
        <v>-7.0000000000000007E-2</v>
      </c>
      <c r="BG1049">
        <v>67</v>
      </c>
      <c r="BH1049">
        <v>0.06</v>
      </c>
      <c r="BI1049">
        <v>-6.49</v>
      </c>
      <c r="BJ1049">
        <v>0</v>
      </c>
      <c r="BK1049">
        <v>0</v>
      </c>
      <c r="BL1049">
        <v>-1.1200000000000001</v>
      </c>
      <c r="BM1049">
        <v>1.33</v>
      </c>
      <c r="BN1049">
        <v>-1.18</v>
      </c>
      <c r="BO1049">
        <v>-1.64</v>
      </c>
      <c r="BP1049">
        <v>1.1000000000000001</v>
      </c>
      <c r="BQ1049">
        <v>-0.15</v>
      </c>
      <c r="BR1049">
        <v>-1.02</v>
      </c>
      <c r="BS1049">
        <v>0.47</v>
      </c>
      <c r="BT1049">
        <v>0.2</v>
      </c>
      <c r="BU1049">
        <v>-1.69</v>
      </c>
      <c r="BV1049">
        <v>-1.68</v>
      </c>
      <c r="BW1049">
        <v>-2.02</v>
      </c>
      <c r="BX1049">
        <v>-1.25</v>
      </c>
      <c r="BY1049">
        <v>-1.92</v>
      </c>
      <c r="BZ1049">
        <v>-0.44</v>
      </c>
      <c r="CA1049">
        <v>-1.6</v>
      </c>
      <c r="CB1049">
        <v>-1.82</v>
      </c>
      <c r="CC1049">
        <v>-0.57999999999999996</v>
      </c>
      <c r="CD1049">
        <v>1.76</v>
      </c>
      <c r="CE1049">
        <v>-1.47</v>
      </c>
      <c r="CF1049">
        <v>-1.03</v>
      </c>
      <c r="CG1049">
        <v>0</v>
      </c>
      <c r="CH1049">
        <v>-2.1800000000000002</v>
      </c>
      <c r="CI1049">
        <v>0</v>
      </c>
      <c r="CJ1049">
        <v>-5.0999999999999996</v>
      </c>
      <c r="CK1049">
        <v>86</v>
      </c>
      <c r="CL1049">
        <v>-0.17</v>
      </c>
      <c r="CM1049">
        <v>83</v>
      </c>
      <c r="CN1049">
        <v>-0.2</v>
      </c>
      <c r="CO1049">
        <v>81</v>
      </c>
      <c r="CP1049">
        <v>-14.3</v>
      </c>
      <c r="CQ1049">
        <v>78</v>
      </c>
      <c r="CR1049">
        <v>0</v>
      </c>
      <c r="CS1049">
        <v>0</v>
      </c>
      <c r="CT1049">
        <v>-13.7</v>
      </c>
      <c r="CU1049">
        <v>71</v>
      </c>
      <c r="CV1049">
        <v>-0.13</v>
      </c>
      <c r="CW1049">
        <v>42</v>
      </c>
      <c r="CX1049" t="s">
        <v>12638</v>
      </c>
    </row>
    <row r="1050" spans="1:102" x14ac:dyDescent="0.3">
      <c r="A1050" t="str">
        <f>HYPERLINK("https://webapp.icbf.com/v2/app/bull-search/view/821941750","WKQ")</f>
        <v>WKQ</v>
      </c>
      <c r="B1050" t="s">
        <v>6787</v>
      </c>
      <c r="C1050" t="s">
        <v>6788</v>
      </c>
      <c r="D1050" s="1">
        <v>40437</v>
      </c>
      <c r="E1050" t="s">
        <v>108</v>
      </c>
      <c r="F1050">
        <v>0</v>
      </c>
      <c r="G1050" t="s">
        <v>435</v>
      </c>
      <c r="H1050">
        <v>139.13</v>
      </c>
      <c r="I1050">
        <v>71</v>
      </c>
      <c r="J1050">
        <v>-6.89</v>
      </c>
      <c r="K1050">
        <v>84</v>
      </c>
      <c r="L1050">
        <v>125.61</v>
      </c>
      <c r="M1050">
        <v>62</v>
      </c>
      <c r="N1050">
        <v>8.0399999999999991</v>
      </c>
      <c r="O1050">
        <v>53</v>
      </c>
      <c r="P1050">
        <v>-18.28</v>
      </c>
      <c r="Q1050">
        <v>84</v>
      </c>
      <c r="R1050">
        <v>2.48</v>
      </c>
      <c r="S1050">
        <v>60</v>
      </c>
      <c r="T1050">
        <v>29.51</v>
      </c>
      <c r="U1050">
        <v>77</v>
      </c>
      <c r="V1050">
        <v>-1.34</v>
      </c>
      <c r="W1050">
        <v>55</v>
      </c>
      <c r="X1050" t="s">
        <v>102</v>
      </c>
      <c r="Y1050" t="s">
        <v>1860</v>
      </c>
      <c r="Z1050" t="s">
        <v>96</v>
      </c>
      <c r="AA1050" t="s">
        <v>4026</v>
      </c>
      <c r="AB1050" t="s">
        <v>5422</v>
      </c>
      <c r="AC1050">
        <v>9</v>
      </c>
      <c r="AD1050">
        <v>2</v>
      </c>
      <c r="AE1050">
        <v>84</v>
      </c>
      <c r="AF1050">
        <v>-114.03</v>
      </c>
      <c r="AG1050">
        <v>-0.98</v>
      </c>
      <c r="AH1050">
        <v>-2.57</v>
      </c>
      <c r="AI1050">
        <v>0.06</v>
      </c>
      <c r="AJ1050">
        <v>0.02</v>
      </c>
      <c r="AK1050">
        <v>62</v>
      </c>
      <c r="AL1050">
        <v>24</v>
      </c>
      <c r="AM1050">
        <v>3</v>
      </c>
      <c r="AN1050">
        <v>-7.41</v>
      </c>
      <c r="AO1050">
        <v>2.6</v>
      </c>
      <c r="AP1050">
        <v>4</v>
      </c>
      <c r="AQ1050">
        <v>0</v>
      </c>
      <c r="AR1050">
        <v>6.98</v>
      </c>
      <c r="AS1050">
        <v>50</v>
      </c>
      <c r="AT1050">
        <v>2.97</v>
      </c>
      <c r="AU1050">
        <v>56</v>
      </c>
      <c r="AV1050">
        <v>-0.69</v>
      </c>
      <c r="AW1050">
        <v>55</v>
      </c>
      <c r="AX1050">
        <v>-0.12</v>
      </c>
      <c r="AY1050">
        <v>62</v>
      </c>
      <c r="AZ1050">
        <v>6.68</v>
      </c>
      <c r="BA1050">
        <v>41</v>
      </c>
      <c r="BB1050">
        <v>5.07</v>
      </c>
      <c r="BC1050">
        <v>42</v>
      </c>
      <c r="BD1050">
        <v>0.03</v>
      </c>
      <c r="BE1050">
        <v>-0.03</v>
      </c>
      <c r="BF1050">
        <v>-0.05</v>
      </c>
      <c r="BG1050">
        <v>68</v>
      </c>
      <c r="BH1050">
        <v>-0.1</v>
      </c>
      <c r="BI1050">
        <v>-7.24</v>
      </c>
      <c r="BJ1050">
        <v>0</v>
      </c>
      <c r="BK1050">
        <v>0</v>
      </c>
      <c r="BL1050">
        <v>-2.98</v>
      </c>
      <c r="BM1050">
        <v>1.35</v>
      </c>
      <c r="BN1050">
        <v>-2.69</v>
      </c>
      <c r="BO1050">
        <v>-2.58</v>
      </c>
      <c r="BP1050">
        <v>1.01</v>
      </c>
      <c r="BQ1050">
        <v>2</v>
      </c>
      <c r="BR1050">
        <v>-0.9</v>
      </c>
      <c r="BS1050">
        <v>0.83</v>
      </c>
      <c r="BT1050">
        <v>-0.62</v>
      </c>
      <c r="BU1050">
        <v>-2.16</v>
      </c>
      <c r="BV1050">
        <v>-3.59</v>
      </c>
      <c r="BW1050">
        <v>-2.42</v>
      </c>
      <c r="BX1050">
        <v>-1.57</v>
      </c>
      <c r="BY1050">
        <v>-1.1200000000000001</v>
      </c>
      <c r="BZ1050">
        <v>0.28999999999999998</v>
      </c>
      <c r="CA1050">
        <v>-1.58</v>
      </c>
      <c r="CB1050">
        <v>-2.29</v>
      </c>
      <c r="CC1050">
        <v>0.01</v>
      </c>
      <c r="CD1050">
        <v>2.4</v>
      </c>
      <c r="CE1050">
        <v>-2.35</v>
      </c>
      <c r="CF1050">
        <v>-1.63</v>
      </c>
      <c r="CG1050">
        <v>0</v>
      </c>
      <c r="CH1050">
        <v>-0.34</v>
      </c>
      <c r="CI1050">
        <v>0</v>
      </c>
      <c r="CJ1050">
        <v>-11.8</v>
      </c>
      <c r="CK1050">
        <v>86</v>
      </c>
      <c r="CL1050">
        <v>-0.25</v>
      </c>
      <c r="CM1050">
        <v>83</v>
      </c>
      <c r="CN1050">
        <v>-0.27</v>
      </c>
      <c r="CO1050">
        <v>81</v>
      </c>
      <c r="CP1050">
        <v>-17.2</v>
      </c>
      <c r="CQ1050">
        <v>75</v>
      </c>
      <c r="CR1050">
        <v>0</v>
      </c>
      <c r="CS1050">
        <v>0</v>
      </c>
      <c r="CT1050">
        <v>-26.1</v>
      </c>
      <c r="CU1050">
        <v>77</v>
      </c>
      <c r="CV1050">
        <v>-0.04</v>
      </c>
      <c r="CW1050">
        <v>43</v>
      </c>
      <c r="CX1050" t="s">
        <v>2778</v>
      </c>
    </row>
    <row r="1051" spans="1:102" x14ac:dyDescent="0.3">
      <c r="A1051" t="str">
        <f>HYPERLINK("https://webapp.icbf.com/v2/app/bull-search/view/586063800","FR2125")</f>
        <v>FR2125</v>
      </c>
      <c r="B1051" t="s">
        <v>2151</v>
      </c>
      <c r="C1051" t="s">
        <v>2152</v>
      </c>
      <c r="D1051" s="1">
        <v>38578</v>
      </c>
      <c r="E1051" t="s">
        <v>92</v>
      </c>
      <c r="F1051">
        <v>100</v>
      </c>
      <c r="G1051" t="s">
        <v>93</v>
      </c>
      <c r="H1051">
        <v>139.11000000000001</v>
      </c>
      <c r="I1051">
        <v>86</v>
      </c>
      <c r="J1051">
        <v>74.28</v>
      </c>
      <c r="K1051">
        <v>95</v>
      </c>
      <c r="L1051">
        <v>55.35</v>
      </c>
      <c r="M1051">
        <v>87</v>
      </c>
      <c r="N1051">
        <v>15.43</v>
      </c>
      <c r="O1051">
        <v>88</v>
      </c>
      <c r="P1051">
        <v>-5.14</v>
      </c>
      <c r="Q1051">
        <v>90</v>
      </c>
      <c r="R1051">
        <v>-3.29</v>
      </c>
      <c r="S1051">
        <v>78</v>
      </c>
      <c r="T1051">
        <v>6.8</v>
      </c>
      <c r="U1051">
        <v>56</v>
      </c>
      <c r="V1051">
        <v>-4.32</v>
      </c>
      <c r="W1051">
        <v>67</v>
      </c>
      <c r="X1051" t="s">
        <v>102</v>
      </c>
      <c r="Y1051" t="s">
        <v>422</v>
      </c>
      <c r="Z1051" t="s">
        <v>96</v>
      </c>
      <c r="AA1051" t="s">
        <v>2153</v>
      </c>
      <c r="AB1051" t="s">
        <v>2154</v>
      </c>
      <c r="AC1051">
        <v>111</v>
      </c>
      <c r="AD1051">
        <v>40</v>
      </c>
      <c r="AE1051">
        <v>95</v>
      </c>
      <c r="AF1051">
        <v>216.94</v>
      </c>
      <c r="AG1051">
        <v>14.71</v>
      </c>
      <c r="AH1051">
        <v>10.75</v>
      </c>
      <c r="AI1051">
        <v>0.11</v>
      </c>
      <c r="AJ1051">
        <v>0.06</v>
      </c>
      <c r="AK1051">
        <v>87</v>
      </c>
      <c r="AL1051">
        <v>0</v>
      </c>
      <c r="AM1051">
        <v>0</v>
      </c>
      <c r="AN1051">
        <v>-0.21</v>
      </c>
      <c r="AO1051">
        <v>4.24</v>
      </c>
      <c r="AP1051">
        <v>1039</v>
      </c>
      <c r="AQ1051">
        <v>2</v>
      </c>
      <c r="AR1051">
        <v>8.31</v>
      </c>
      <c r="AS1051">
        <v>78</v>
      </c>
      <c r="AT1051">
        <v>3.15</v>
      </c>
      <c r="AU1051">
        <v>97</v>
      </c>
      <c r="AV1051">
        <v>-2.48</v>
      </c>
      <c r="AW1051">
        <v>99</v>
      </c>
      <c r="AX1051">
        <v>-0.32</v>
      </c>
      <c r="AY1051">
        <v>94</v>
      </c>
      <c r="AZ1051">
        <v>7.73</v>
      </c>
      <c r="BA1051">
        <v>62</v>
      </c>
      <c r="BB1051">
        <v>5.19</v>
      </c>
      <c r="BC1051">
        <v>45</v>
      </c>
      <c r="BD1051">
        <v>-0.02</v>
      </c>
      <c r="BE1051">
        <v>0.01</v>
      </c>
      <c r="BF1051">
        <v>0.09</v>
      </c>
      <c r="BG1051">
        <v>93</v>
      </c>
      <c r="BH1051">
        <v>-0.1</v>
      </c>
      <c r="BI1051">
        <v>2.36</v>
      </c>
      <c r="BJ1051">
        <v>8</v>
      </c>
      <c r="BK1051">
        <v>3</v>
      </c>
      <c r="BL1051">
        <v>-0.72</v>
      </c>
      <c r="BM1051">
        <v>-1.63</v>
      </c>
      <c r="BN1051">
        <v>-1.32</v>
      </c>
      <c r="BO1051">
        <v>0.18</v>
      </c>
      <c r="BP1051">
        <v>1</v>
      </c>
      <c r="BQ1051">
        <v>-1.4</v>
      </c>
      <c r="BR1051">
        <v>-0.09</v>
      </c>
      <c r="BS1051">
        <v>0.91</v>
      </c>
      <c r="BT1051">
        <v>0.12</v>
      </c>
      <c r="BU1051">
        <v>1.94</v>
      </c>
      <c r="BV1051">
        <v>0.37</v>
      </c>
      <c r="BW1051">
        <v>0.39</v>
      </c>
      <c r="BX1051">
        <v>0.56000000000000005</v>
      </c>
      <c r="BY1051">
        <v>0.64</v>
      </c>
      <c r="BZ1051">
        <v>-0.24</v>
      </c>
      <c r="CA1051">
        <v>1.79</v>
      </c>
      <c r="CB1051">
        <v>1.4</v>
      </c>
      <c r="CC1051">
        <v>1.66</v>
      </c>
      <c r="CD1051">
        <v>-0.27</v>
      </c>
      <c r="CE1051">
        <v>0.56999999999999995</v>
      </c>
      <c r="CF1051">
        <v>-0.11</v>
      </c>
      <c r="CG1051">
        <v>0</v>
      </c>
      <c r="CH1051">
        <v>0.81</v>
      </c>
      <c r="CI1051">
        <v>0</v>
      </c>
      <c r="CJ1051">
        <v>-1.4</v>
      </c>
      <c r="CK1051">
        <v>93</v>
      </c>
      <c r="CL1051">
        <v>-0.78</v>
      </c>
      <c r="CM1051">
        <v>91</v>
      </c>
      <c r="CN1051">
        <v>-0.53</v>
      </c>
      <c r="CO1051">
        <v>90</v>
      </c>
      <c r="CP1051">
        <v>-9.1</v>
      </c>
      <c r="CQ1051">
        <v>65</v>
      </c>
      <c r="CR1051">
        <v>0</v>
      </c>
      <c r="CS1051">
        <v>0</v>
      </c>
      <c r="CT1051">
        <v>4.5999999999999996</v>
      </c>
      <c r="CU1051">
        <v>56</v>
      </c>
      <c r="CV1051">
        <v>0.08</v>
      </c>
      <c r="CW1051">
        <v>45</v>
      </c>
      <c r="CX1051" t="s">
        <v>961</v>
      </c>
    </row>
    <row r="1052" spans="1:102" x14ac:dyDescent="0.3">
      <c r="A1052" t="str">
        <f>HYPERLINK("https://webapp.icbf.com/v2/app/bull-search/view/586139150","RSP")</f>
        <v>RSP</v>
      </c>
      <c r="B1052" t="s">
        <v>5417</v>
      </c>
      <c r="C1052" t="s">
        <v>5418</v>
      </c>
      <c r="D1052" s="1">
        <v>38992</v>
      </c>
      <c r="E1052" t="s">
        <v>92</v>
      </c>
      <c r="F1052">
        <v>100</v>
      </c>
      <c r="G1052" t="s">
        <v>93</v>
      </c>
      <c r="H1052">
        <v>139.11000000000001</v>
      </c>
      <c r="I1052">
        <v>96</v>
      </c>
      <c r="J1052">
        <v>40.380000000000003</v>
      </c>
      <c r="K1052">
        <v>99</v>
      </c>
      <c r="L1052">
        <v>40.22</v>
      </c>
      <c r="M1052">
        <v>94</v>
      </c>
      <c r="N1052">
        <v>60.01</v>
      </c>
      <c r="O1052">
        <v>97</v>
      </c>
      <c r="P1052">
        <v>-14.81</v>
      </c>
      <c r="Q1052">
        <v>99</v>
      </c>
      <c r="R1052">
        <v>11.24</v>
      </c>
      <c r="S1052">
        <v>88</v>
      </c>
      <c r="T1052">
        <v>1.84</v>
      </c>
      <c r="U1052">
        <v>96</v>
      </c>
      <c r="V1052">
        <v>0.23</v>
      </c>
      <c r="W1052">
        <v>80</v>
      </c>
      <c r="X1052" t="s">
        <v>251</v>
      </c>
      <c r="Y1052" t="s">
        <v>1756</v>
      </c>
      <c r="Z1052" t="s">
        <v>96</v>
      </c>
      <c r="AA1052" t="s">
        <v>1784</v>
      </c>
      <c r="AB1052" t="s">
        <v>5419</v>
      </c>
      <c r="AC1052">
        <v>1077</v>
      </c>
      <c r="AD1052">
        <v>275</v>
      </c>
      <c r="AE1052">
        <v>99</v>
      </c>
      <c r="AF1052">
        <v>195.91</v>
      </c>
      <c r="AG1052">
        <v>8.1</v>
      </c>
      <c r="AH1052">
        <v>7</v>
      </c>
      <c r="AI1052">
        <v>0.01</v>
      </c>
      <c r="AJ1052">
        <v>0.01</v>
      </c>
      <c r="AK1052">
        <v>94</v>
      </c>
      <c r="AL1052">
        <v>1009</v>
      </c>
      <c r="AM1052">
        <v>277</v>
      </c>
      <c r="AN1052">
        <v>-3.56</v>
      </c>
      <c r="AO1052">
        <v>-0.37</v>
      </c>
      <c r="AP1052">
        <v>2067</v>
      </c>
      <c r="AQ1052">
        <v>11</v>
      </c>
      <c r="AR1052">
        <v>3.77</v>
      </c>
      <c r="AS1052">
        <v>98</v>
      </c>
      <c r="AT1052">
        <v>1.57</v>
      </c>
      <c r="AU1052">
        <v>97</v>
      </c>
      <c r="AV1052">
        <v>-5.26</v>
      </c>
      <c r="AW1052">
        <v>99</v>
      </c>
      <c r="AX1052">
        <v>0.27</v>
      </c>
      <c r="AY1052">
        <v>98</v>
      </c>
      <c r="AZ1052">
        <v>6.41</v>
      </c>
      <c r="BA1052">
        <v>92</v>
      </c>
      <c r="BB1052">
        <v>5.01</v>
      </c>
      <c r="BC1052">
        <v>89</v>
      </c>
      <c r="BD1052">
        <v>-0.05</v>
      </c>
      <c r="BE1052">
        <v>-0.05</v>
      </c>
      <c r="BF1052">
        <v>-0.08</v>
      </c>
      <c r="BG1052">
        <v>98</v>
      </c>
      <c r="BH1052">
        <v>0.06</v>
      </c>
      <c r="BI1052">
        <v>6.21</v>
      </c>
      <c r="BJ1052">
        <v>302</v>
      </c>
      <c r="BK1052">
        <v>109</v>
      </c>
      <c r="BL1052">
        <v>0.7</v>
      </c>
      <c r="BM1052">
        <v>-1.64</v>
      </c>
      <c r="BN1052">
        <v>-1.23</v>
      </c>
      <c r="BO1052">
        <v>-0.01</v>
      </c>
      <c r="BP1052">
        <v>1.01</v>
      </c>
      <c r="BQ1052">
        <v>-3.47</v>
      </c>
      <c r="BR1052">
        <v>-2.0499999999999998</v>
      </c>
      <c r="BS1052">
        <v>1.99</v>
      </c>
      <c r="BT1052">
        <v>1.38</v>
      </c>
      <c r="BU1052">
        <v>1.19</v>
      </c>
      <c r="BV1052">
        <v>1.59</v>
      </c>
      <c r="BW1052">
        <v>2.58</v>
      </c>
      <c r="BX1052">
        <v>2.84</v>
      </c>
      <c r="BY1052">
        <v>2.87</v>
      </c>
      <c r="BZ1052">
        <v>-1.89</v>
      </c>
      <c r="CA1052">
        <v>1.63</v>
      </c>
      <c r="CB1052">
        <v>1.2</v>
      </c>
      <c r="CC1052">
        <v>1.38</v>
      </c>
      <c r="CD1052">
        <v>-0.05</v>
      </c>
      <c r="CE1052">
        <v>-0.09</v>
      </c>
      <c r="CF1052">
        <v>-0.31</v>
      </c>
      <c r="CG1052">
        <v>0</v>
      </c>
      <c r="CH1052">
        <v>2.79</v>
      </c>
      <c r="CI1052">
        <v>0</v>
      </c>
      <c r="CJ1052">
        <v>-5.5</v>
      </c>
      <c r="CK1052">
        <v>99</v>
      </c>
      <c r="CL1052">
        <v>-1.02</v>
      </c>
      <c r="CM1052">
        <v>99</v>
      </c>
      <c r="CN1052">
        <v>-0.3</v>
      </c>
      <c r="CO1052">
        <v>99</v>
      </c>
      <c r="CP1052">
        <v>-1.4</v>
      </c>
      <c r="CQ1052">
        <v>97</v>
      </c>
      <c r="CR1052">
        <v>0</v>
      </c>
      <c r="CS1052">
        <v>0</v>
      </c>
      <c r="CT1052">
        <v>11.3</v>
      </c>
      <c r="CU1052">
        <v>96</v>
      </c>
      <c r="CV1052">
        <v>0.19</v>
      </c>
      <c r="CW1052">
        <v>47</v>
      </c>
      <c r="CX1052" t="s">
        <v>316</v>
      </c>
    </row>
    <row r="1053" spans="1:102" x14ac:dyDescent="0.3">
      <c r="A1053" t="str">
        <f>HYPERLINK("https://webapp.icbf.com/v2/app/bull-search/view/462434535","S532")</f>
        <v>S532</v>
      </c>
      <c r="B1053" t="s">
        <v>4773</v>
      </c>
      <c r="C1053" t="s">
        <v>4774</v>
      </c>
      <c r="D1053" s="1">
        <v>37065</v>
      </c>
      <c r="E1053" t="s">
        <v>92</v>
      </c>
      <c r="F1053">
        <v>84</v>
      </c>
      <c r="G1053" t="s">
        <v>109</v>
      </c>
      <c r="H1053">
        <v>139</v>
      </c>
      <c r="I1053">
        <v>78</v>
      </c>
      <c r="J1053">
        <v>75.08</v>
      </c>
      <c r="K1053">
        <v>89</v>
      </c>
      <c r="L1053">
        <v>16.88</v>
      </c>
      <c r="M1053">
        <v>82</v>
      </c>
      <c r="N1053">
        <v>37.81</v>
      </c>
      <c r="O1053">
        <v>68</v>
      </c>
      <c r="P1053">
        <v>-0.15</v>
      </c>
      <c r="Q1053">
        <v>66</v>
      </c>
      <c r="R1053">
        <v>-0.44</v>
      </c>
      <c r="S1053">
        <v>63</v>
      </c>
      <c r="T1053">
        <v>6.43</v>
      </c>
      <c r="U1053">
        <v>65</v>
      </c>
      <c r="V1053">
        <v>3.39</v>
      </c>
      <c r="W1053">
        <v>32</v>
      </c>
      <c r="X1053" t="s">
        <v>94</v>
      </c>
      <c r="Y1053" t="s">
        <v>95</v>
      </c>
      <c r="Z1053">
        <v>0</v>
      </c>
      <c r="AA1053" t="s">
        <v>4775</v>
      </c>
      <c r="AB1053" t="s">
        <v>4776</v>
      </c>
      <c r="AC1053">
        <v>0</v>
      </c>
      <c r="AD1053">
        <v>0</v>
      </c>
      <c r="AE1053">
        <v>89</v>
      </c>
      <c r="AF1053">
        <v>62.36</v>
      </c>
      <c r="AG1053">
        <v>10.92</v>
      </c>
      <c r="AH1053">
        <v>9.86</v>
      </c>
      <c r="AI1053">
        <v>0.14000000000000001</v>
      </c>
      <c r="AJ1053">
        <v>0.13</v>
      </c>
      <c r="AK1053">
        <v>82</v>
      </c>
      <c r="AL1053">
        <v>0</v>
      </c>
      <c r="AM1053">
        <v>0</v>
      </c>
      <c r="AN1053">
        <v>-1.4</v>
      </c>
      <c r="AO1053">
        <v>-0.06</v>
      </c>
      <c r="AP1053">
        <v>14</v>
      </c>
      <c r="AQ1053">
        <v>0</v>
      </c>
      <c r="AR1053">
        <v>4.95</v>
      </c>
      <c r="AS1053">
        <v>57</v>
      </c>
      <c r="AT1053">
        <v>1.9</v>
      </c>
      <c r="AU1053">
        <v>91</v>
      </c>
      <c r="AV1053">
        <v>-3.27</v>
      </c>
      <c r="AW1053">
        <v>71</v>
      </c>
      <c r="AX1053">
        <v>-0.84</v>
      </c>
      <c r="AY1053">
        <v>51</v>
      </c>
      <c r="AZ1053">
        <v>7.13</v>
      </c>
      <c r="BA1053">
        <v>42</v>
      </c>
      <c r="BB1053">
        <v>5.82</v>
      </c>
      <c r="BC1053">
        <v>44</v>
      </c>
      <c r="BD1053">
        <v>-0.03</v>
      </c>
      <c r="BE1053">
        <v>0</v>
      </c>
      <c r="BF1053">
        <v>0.06</v>
      </c>
      <c r="BG1053">
        <v>91</v>
      </c>
      <c r="BH1053">
        <v>0.06</v>
      </c>
      <c r="BI1053">
        <v>-4</v>
      </c>
      <c r="BJ1053">
        <v>1</v>
      </c>
      <c r="BK1053">
        <v>1</v>
      </c>
      <c r="BL1053">
        <v>-0.67</v>
      </c>
      <c r="BM1053">
        <v>0.64</v>
      </c>
      <c r="BN1053">
        <v>0.08</v>
      </c>
      <c r="BO1053">
        <v>0.12</v>
      </c>
      <c r="BP1053">
        <v>1.54</v>
      </c>
      <c r="BQ1053">
        <v>-0.74</v>
      </c>
      <c r="BR1053">
        <v>-0.35</v>
      </c>
      <c r="BS1053">
        <v>-1.39</v>
      </c>
      <c r="BT1053">
        <v>-1.1599999999999999</v>
      </c>
      <c r="BU1053">
        <v>-0.72</v>
      </c>
      <c r="BV1053">
        <v>0.26</v>
      </c>
      <c r="BW1053">
        <v>-0.24</v>
      </c>
      <c r="BX1053">
        <v>-0.98</v>
      </c>
      <c r="BY1053">
        <v>0.79</v>
      </c>
      <c r="BZ1053">
        <v>-1.1499999999999999</v>
      </c>
      <c r="CA1053">
        <v>-0.78</v>
      </c>
      <c r="CB1053">
        <v>-0.32</v>
      </c>
      <c r="CC1053">
        <v>-1.26</v>
      </c>
      <c r="CD1053">
        <v>-0.21</v>
      </c>
      <c r="CE1053">
        <v>0.48</v>
      </c>
      <c r="CF1053">
        <v>-0.48</v>
      </c>
      <c r="CG1053">
        <v>0</v>
      </c>
      <c r="CH1053">
        <v>-0.18</v>
      </c>
      <c r="CI1053">
        <v>0</v>
      </c>
      <c r="CJ1053">
        <v>0.7</v>
      </c>
      <c r="CK1053">
        <v>68</v>
      </c>
      <c r="CL1053">
        <v>-0.65</v>
      </c>
      <c r="CM1053">
        <v>65</v>
      </c>
      <c r="CN1053">
        <v>-0.47</v>
      </c>
      <c r="CO1053">
        <v>63</v>
      </c>
      <c r="CP1053">
        <v>0.6</v>
      </c>
      <c r="CQ1053">
        <v>61</v>
      </c>
      <c r="CR1053">
        <v>0</v>
      </c>
      <c r="CS1053">
        <v>0</v>
      </c>
      <c r="CT1053">
        <v>5.0999999999999996</v>
      </c>
      <c r="CU1053">
        <v>65</v>
      </c>
      <c r="CV1053">
        <v>0.02</v>
      </c>
      <c r="CW1053">
        <v>39</v>
      </c>
      <c r="CX1053" t="s">
        <v>1366</v>
      </c>
    </row>
    <row r="1054" spans="1:102" x14ac:dyDescent="0.3">
      <c r="A1054" t="str">
        <f>HYPERLINK("https://webapp.icbf.com/v2/app/bull-search/view/760395617","PYG")</f>
        <v>PYG</v>
      </c>
      <c r="B1054" t="s">
        <v>12697</v>
      </c>
      <c r="C1054" t="s">
        <v>9245</v>
      </c>
      <c r="D1054" s="1">
        <v>40017</v>
      </c>
      <c r="E1054" t="s">
        <v>227</v>
      </c>
      <c r="F1054">
        <v>25</v>
      </c>
      <c r="G1054" t="s">
        <v>93</v>
      </c>
      <c r="H1054">
        <v>138.97999999999999</v>
      </c>
      <c r="I1054">
        <v>95</v>
      </c>
      <c r="J1054">
        <v>92.29</v>
      </c>
      <c r="K1054">
        <v>99</v>
      </c>
      <c r="L1054">
        <v>1.25</v>
      </c>
      <c r="M1054">
        <v>92</v>
      </c>
      <c r="N1054">
        <v>42.33</v>
      </c>
      <c r="O1054">
        <v>96</v>
      </c>
      <c r="P1054">
        <v>-38.42</v>
      </c>
      <c r="Q1054">
        <v>98</v>
      </c>
      <c r="R1054">
        <v>-2.38</v>
      </c>
      <c r="S1054">
        <v>89</v>
      </c>
      <c r="T1054">
        <v>40.69</v>
      </c>
      <c r="U1054">
        <v>98</v>
      </c>
      <c r="V1054">
        <v>3.22</v>
      </c>
      <c r="W1054">
        <v>78</v>
      </c>
      <c r="X1054" t="s">
        <v>276</v>
      </c>
      <c r="Y1054" t="s">
        <v>329</v>
      </c>
      <c r="Z1054">
        <v>0</v>
      </c>
      <c r="AA1054" t="s">
        <v>6360</v>
      </c>
      <c r="AB1054" t="s">
        <v>144</v>
      </c>
      <c r="AC1054">
        <v>667</v>
      </c>
      <c r="AD1054">
        <v>155</v>
      </c>
      <c r="AE1054">
        <v>99</v>
      </c>
      <c r="AF1054">
        <v>-54.97</v>
      </c>
      <c r="AG1054">
        <v>16.04</v>
      </c>
      <c r="AH1054">
        <v>9.18</v>
      </c>
      <c r="AI1054">
        <v>0.32</v>
      </c>
      <c r="AJ1054">
        <v>0.19</v>
      </c>
      <c r="AK1054">
        <v>92</v>
      </c>
      <c r="AL1054">
        <v>727</v>
      </c>
      <c r="AM1054">
        <v>179</v>
      </c>
      <c r="AN1054">
        <v>-0.05</v>
      </c>
      <c r="AO1054">
        <v>0.05</v>
      </c>
      <c r="AP1054">
        <v>906</v>
      </c>
      <c r="AQ1054">
        <v>2</v>
      </c>
      <c r="AR1054">
        <v>5.46</v>
      </c>
      <c r="AS1054">
        <v>96</v>
      </c>
      <c r="AT1054">
        <v>1.88</v>
      </c>
      <c r="AU1054">
        <v>95</v>
      </c>
      <c r="AV1054">
        <v>-3.78</v>
      </c>
      <c r="AW1054">
        <v>99</v>
      </c>
      <c r="AX1054">
        <v>0.33</v>
      </c>
      <c r="AY1054">
        <v>96</v>
      </c>
      <c r="AZ1054">
        <v>6.15</v>
      </c>
      <c r="BA1054">
        <v>90</v>
      </c>
      <c r="BB1054">
        <v>5.3</v>
      </c>
      <c r="BC1054">
        <v>89</v>
      </c>
      <c r="BD1054">
        <v>-0.02</v>
      </c>
      <c r="BE1054">
        <v>0.02</v>
      </c>
      <c r="BF1054">
        <v>0.05</v>
      </c>
      <c r="BG1054">
        <v>98</v>
      </c>
      <c r="BH1054">
        <v>-0.01</v>
      </c>
      <c r="BI1054">
        <v>-11.53</v>
      </c>
      <c r="BJ1054">
        <v>1</v>
      </c>
      <c r="BK1054">
        <v>1</v>
      </c>
      <c r="BL1054">
        <v>-3.1</v>
      </c>
      <c r="BM1054">
        <v>-2.27</v>
      </c>
      <c r="BN1054">
        <v>-1.51</v>
      </c>
      <c r="BO1054">
        <v>0.25</v>
      </c>
      <c r="BP1054">
        <v>-2.36</v>
      </c>
      <c r="BQ1054">
        <v>-5.8</v>
      </c>
      <c r="BR1054">
        <v>3.37</v>
      </c>
      <c r="BS1054">
        <v>1.1599999999999999</v>
      </c>
      <c r="BT1054">
        <v>-2.74</v>
      </c>
      <c r="BU1054">
        <v>-1.22</v>
      </c>
      <c r="BV1054">
        <v>-1.1299999999999999</v>
      </c>
      <c r="BW1054">
        <v>-1.73</v>
      </c>
      <c r="BX1054">
        <v>-2.79</v>
      </c>
      <c r="BY1054">
        <v>0.08</v>
      </c>
      <c r="BZ1054">
        <v>-2.97</v>
      </c>
      <c r="CA1054">
        <v>-0.82</v>
      </c>
      <c r="CB1054">
        <v>-0.91</v>
      </c>
      <c r="CC1054">
        <v>-0.3</v>
      </c>
      <c r="CD1054">
        <v>-2.31</v>
      </c>
      <c r="CE1054">
        <v>-0.28000000000000003</v>
      </c>
      <c r="CF1054">
        <v>-4.16</v>
      </c>
      <c r="CG1054">
        <v>0</v>
      </c>
      <c r="CH1054">
        <v>-0.28999999999999998</v>
      </c>
      <c r="CI1054">
        <v>0</v>
      </c>
      <c r="CJ1054">
        <v>-20.2</v>
      </c>
      <c r="CK1054">
        <v>98</v>
      </c>
      <c r="CL1054">
        <v>-0.97</v>
      </c>
      <c r="CM1054">
        <v>98</v>
      </c>
      <c r="CN1054">
        <v>-0.33</v>
      </c>
      <c r="CO1054">
        <v>98</v>
      </c>
      <c r="CP1054">
        <v>-29.3</v>
      </c>
      <c r="CQ1054">
        <v>96</v>
      </c>
      <c r="CR1054">
        <v>0</v>
      </c>
      <c r="CS1054">
        <v>0</v>
      </c>
      <c r="CT1054">
        <v>-41.2</v>
      </c>
      <c r="CU1054">
        <v>98</v>
      </c>
      <c r="CV1054">
        <v>-0.05</v>
      </c>
      <c r="CW1054">
        <v>46</v>
      </c>
      <c r="CX1054" t="s">
        <v>333</v>
      </c>
    </row>
    <row r="1055" spans="1:102" x14ac:dyDescent="0.3">
      <c r="A1055" t="str">
        <f>HYPERLINK("https://webapp.icbf.com/v2/app/bull-search/view/69091705","FSG")</f>
        <v>FSG</v>
      </c>
      <c r="B1055" t="s">
        <v>7335</v>
      </c>
      <c r="C1055" t="s">
        <v>4190</v>
      </c>
      <c r="D1055" s="1">
        <v>34168</v>
      </c>
      <c r="E1055" t="s">
        <v>227</v>
      </c>
      <c r="F1055">
        <v>0</v>
      </c>
      <c r="G1055" t="s">
        <v>93</v>
      </c>
      <c r="H1055">
        <v>138.91</v>
      </c>
      <c r="I1055">
        <v>86</v>
      </c>
      <c r="J1055">
        <v>26.89</v>
      </c>
      <c r="K1055">
        <v>91</v>
      </c>
      <c r="L1055">
        <v>63.02</v>
      </c>
      <c r="M1055">
        <v>87</v>
      </c>
      <c r="N1055">
        <v>29.86</v>
      </c>
      <c r="O1055">
        <v>78</v>
      </c>
      <c r="P1055">
        <v>-65.83</v>
      </c>
      <c r="Q1055">
        <v>83</v>
      </c>
      <c r="R1055">
        <v>3.87</v>
      </c>
      <c r="S1055">
        <v>77</v>
      </c>
      <c r="T1055">
        <v>68.14</v>
      </c>
      <c r="U1055">
        <v>84</v>
      </c>
      <c r="V1055">
        <v>12.96</v>
      </c>
      <c r="W1055">
        <v>73</v>
      </c>
      <c r="X1055" t="s">
        <v>302</v>
      </c>
      <c r="Y1055" t="s">
        <v>95</v>
      </c>
      <c r="Z1055">
        <v>0</v>
      </c>
      <c r="AA1055" t="s">
        <v>231</v>
      </c>
      <c r="AB1055" t="s">
        <v>7336</v>
      </c>
      <c r="AC1055">
        <v>46</v>
      </c>
      <c r="AD1055">
        <v>15</v>
      </c>
      <c r="AE1055">
        <v>91</v>
      </c>
      <c r="AF1055">
        <v>-414.84</v>
      </c>
      <c r="AG1055">
        <v>11.12</v>
      </c>
      <c r="AH1055">
        <v>-5.71</v>
      </c>
      <c r="AI1055">
        <v>0.49</v>
      </c>
      <c r="AJ1055">
        <v>0.15</v>
      </c>
      <c r="AK1055">
        <v>87</v>
      </c>
      <c r="AL1055">
        <v>44</v>
      </c>
      <c r="AM1055">
        <v>13</v>
      </c>
      <c r="AN1055">
        <v>-3.12</v>
      </c>
      <c r="AO1055">
        <v>1.91</v>
      </c>
      <c r="AP1055">
        <v>7</v>
      </c>
      <c r="AQ1055">
        <v>0</v>
      </c>
      <c r="AR1055">
        <v>2.12</v>
      </c>
      <c r="AS1055">
        <v>69</v>
      </c>
      <c r="AT1055">
        <v>1.33</v>
      </c>
      <c r="AU1055">
        <v>77</v>
      </c>
      <c r="AV1055">
        <v>-1.3</v>
      </c>
      <c r="AW1055">
        <v>84</v>
      </c>
      <c r="AX1055">
        <v>0.37</v>
      </c>
      <c r="AY1055">
        <v>76</v>
      </c>
      <c r="AZ1055">
        <v>6.96</v>
      </c>
      <c r="BA1055">
        <v>68</v>
      </c>
      <c r="BB1055">
        <v>5.25</v>
      </c>
      <c r="BC1055">
        <v>69</v>
      </c>
      <c r="BD1055">
        <v>-0.03</v>
      </c>
      <c r="BE1055">
        <v>-0.01</v>
      </c>
      <c r="BF1055">
        <v>-0.02</v>
      </c>
      <c r="BG1055">
        <v>83</v>
      </c>
      <c r="BH1055">
        <v>0.24</v>
      </c>
      <c r="BI1055">
        <v>-14.05</v>
      </c>
      <c r="BJ1055">
        <v>0</v>
      </c>
      <c r="BK1055">
        <v>0</v>
      </c>
      <c r="BL1055">
        <v>-3.45</v>
      </c>
      <c r="BM1055">
        <v>-2.5</v>
      </c>
      <c r="BN1055">
        <v>-1.32</v>
      </c>
      <c r="BO1055">
        <v>0.78</v>
      </c>
      <c r="BP1055">
        <v>-1.08</v>
      </c>
      <c r="BQ1055">
        <v>-6.31</v>
      </c>
      <c r="BR1055">
        <v>2.79</v>
      </c>
      <c r="BS1055">
        <v>5.09</v>
      </c>
      <c r="BT1055">
        <v>-2.1800000000000002</v>
      </c>
      <c r="BU1055">
        <v>-0.76</v>
      </c>
      <c r="BV1055">
        <v>-0.32</v>
      </c>
      <c r="BW1055">
        <v>-2.31</v>
      </c>
      <c r="BX1055">
        <v>-3.49</v>
      </c>
      <c r="BY1055">
        <v>-0.13</v>
      </c>
      <c r="BZ1055">
        <v>-1.38</v>
      </c>
      <c r="CA1055">
        <v>0.94</v>
      </c>
      <c r="CB1055">
        <v>-0.21</v>
      </c>
      <c r="CC1055">
        <v>2.92</v>
      </c>
      <c r="CD1055">
        <v>-1.99</v>
      </c>
      <c r="CE1055">
        <v>0.86</v>
      </c>
      <c r="CF1055">
        <v>-3.56</v>
      </c>
      <c r="CG1055">
        <v>0</v>
      </c>
      <c r="CH1055">
        <v>-0.32</v>
      </c>
      <c r="CI1055">
        <v>0</v>
      </c>
      <c r="CJ1055">
        <v>-34.9</v>
      </c>
      <c r="CK1055">
        <v>84</v>
      </c>
      <c r="CL1055">
        <v>-0.97</v>
      </c>
      <c r="CM1055">
        <v>81</v>
      </c>
      <c r="CN1055">
        <v>-0.02</v>
      </c>
      <c r="CO1055">
        <v>79</v>
      </c>
      <c r="CP1055">
        <v>-52.6</v>
      </c>
      <c r="CQ1055">
        <v>86</v>
      </c>
      <c r="CR1055">
        <v>0</v>
      </c>
      <c r="CS1055">
        <v>0</v>
      </c>
      <c r="CT1055">
        <v>-78.3</v>
      </c>
      <c r="CU1055">
        <v>84</v>
      </c>
      <c r="CV1055">
        <v>-0.41</v>
      </c>
      <c r="CW1055">
        <v>24</v>
      </c>
      <c r="CX1055" t="s">
        <v>7337</v>
      </c>
    </row>
    <row r="1056" spans="1:102" x14ac:dyDescent="0.3">
      <c r="A1056" t="str">
        <f>HYPERLINK("https://webapp.icbf.com/v2/app/bull-search/view/1043686718","YMZ")</f>
        <v>YMZ</v>
      </c>
      <c r="B1056" t="s">
        <v>8334</v>
      </c>
      <c r="C1056" t="s">
        <v>8335</v>
      </c>
      <c r="D1056" s="1">
        <v>41316</v>
      </c>
      <c r="E1056" t="s">
        <v>108</v>
      </c>
      <c r="F1056">
        <v>22</v>
      </c>
      <c r="G1056" t="s">
        <v>93</v>
      </c>
      <c r="H1056">
        <v>138.9</v>
      </c>
      <c r="I1056">
        <v>83</v>
      </c>
      <c r="J1056">
        <v>8.2799999999999994</v>
      </c>
      <c r="K1056">
        <v>95</v>
      </c>
      <c r="L1056">
        <v>75.08</v>
      </c>
      <c r="M1056">
        <v>73</v>
      </c>
      <c r="N1056">
        <v>56.83</v>
      </c>
      <c r="O1056">
        <v>87</v>
      </c>
      <c r="P1056">
        <v>-11.34</v>
      </c>
      <c r="Q1056">
        <v>92</v>
      </c>
      <c r="R1056">
        <v>0.78</v>
      </c>
      <c r="S1056">
        <v>73</v>
      </c>
      <c r="T1056">
        <v>10.130000000000001</v>
      </c>
      <c r="U1056">
        <v>76</v>
      </c>
      <c r="V1056">
        <v>-0.86</v>
      </c>
      <c r="W1056">
        <v>71</v>
      </c>
      <c r="X1056" t="s">
        <v>94</v>
      </c>
      <c r="Y1056" t="s">
        <v>389</v>
      </c>
      <c r="Z1056" t="s">
        <v>96</v>
      </c>
      <c r="AA1056" t="s">
        <v>2016</v>
      </c>
      <c r="AB1056" t="s">
        <v>8336</v>
      </c>
      <c r="AC1056">
        <v>65</v>
      </c>
      <c r="AD1056">
        <v>41</v>
      </c>
      <c r="AE1056">
        <v>95</v>
      </c>
      <c r="AF1056">
        <v>-119.79</v>
      </c>
      <c r="AG1056">
        <v>-1.4</v>
      </c>
      <c r="AH1056">
        <v>7.0000000000000007E-2</v>
      </c>
      <c r="AI1056">
        <v>0.06</v>
      </c>
      <c r="AJ1056">
        <v>7.0000000000000007E-2</v>
      </c>
      <c r="AK1056">
        <v>73</v>
      </c>
      <c r="AL1056">
        <v>51</v>
      </c>
      <c r="AM1056">
        <v>37</v>
      </c>
      <c r="AN1056">
        <v>-6.25</v>
      </c>
      <c r="AO1056">
        <v>-0.28999999999999998</v>
      </c>
      <c r="AP1056">
        <v>516</v>
      </c>
      <c r="AQ1056">
        <v>1</v>
      </c>
      <c r="AR1056">
        <v>3.75</v>
      </c>
      <c r="AS1056">
        <v>74</v>
      </c>
      <c r="AT1056">
        <v>2.06</v>
      </c>
      <c r="AU1056">
        <v>92</v>
      </c>
      <c r="AV1056">
        <v>-4.9000000000000004</v>
      </c>
      <c r="AW1056">
        <v>98</v>
      </c>
      <c r="AX1056">
        <v>-0.42</v>
      </c>
      <c r="AY1056">
        <v>90</v>
      </c>
      <c r="AZ1056">
        <v>5.65</v>
      </c>
      <c r="BA1056">
        <v>60</v>
      </c>
      <c r="BB1056">
        <v>5.12</v>
      </c>
      <c r="BC1056">
        <v>54</v>
      </c>
      <c r="BD1056">
        <v>0</v>
      </c>
      <c r="BE1056">
        <v>-0.02</v>
      </c>
      <c r="BF1056">
        <v>0.02</v>
      </c>
      <c r="BG1056">
        <v>82</v>
      </c>
      <c r="BH1056">
        <v>0.03</v>
      </c>
      <c r="BI1056">
        <v>6.26</v>
      </c>
      <c r="BJ1056">
        <v>2</v>
      </c>
      <c r="BK1056">
        <v>1</v>
      </c>
      <c r="BL1056">
        <v>-1.7</v>
      </c>
      <c r="BM1056">
        <v>2.52</v>
      </c>
      <c r="BN1056">
        <v>0.26</v>
      </c>
      <c r="BO1056">
        <v>-1.29</v>
      </c>
      <c r="BP1056">
        <v>0.33</v>
      </c>
      <c r="BQ1056">
        <v>3.34</v>
      </c>
      <c r="BR1056">
        <v>-0.53</v>
      </c>
      <c r="BS1056">
        <v>7.0000000000000007E-2</v>
      </c>
      <c r="BT1056">
        <v>-0.52</v>
      </c>
      <c r="BU1056">
        <v>-2.11</v>
      </c>
      <c r="BV1056">
        <v>-1.61</v>
      </c>
      <c r="BW1056">
        <v>-1.73</v>
      </c>
      <c r="BX1056">
        <v>-2.97</v>
      </c>
      <c r="BY1056">
        <v>-1.24</v>
      </c>
      <c r="BZ1056">
        <v>0.56999999999999995</v>
      </c>
      <c r="CA1056">
        <v>-1.17</v>
      </c>
      <c r="CB1056">
        <v>-1.35</v>
      </c>
      <c r="CC1056">
        <v>0.05</v>
      </c>
      <c r="CD1056">
        <v>2.42</v>
      </c>
      <c r="CE1056">
        <v>-1.18</v>
      </c>
      <c r="CF1056">
        <v>0.53</v>
      </c>
      <c r="CG1056">
        <v>0</v>
      </c>
      <c r="CH1056">
        <v>-0.73</v>
      </c>
      <c r="CI1056">
        <v>0</v>
      </c>
      <c r="CJ1056">
        <v>-5.6</v>
      </c>
      <c r="CK1056">
        <v>94</v>
      </c>
      <c r="CL1056">
        <v>-0.28999999999999998</v>
      </c>
      <c r="CM1056">
        <v>93</v>
      </c>
      <c r="CN1056">
        <v>-0.06</v>
      </c>
      <c r="CO1056">
        <v>92</v>
      </c>
      <c r="CP1056">
        <v>-8.8000000000000007</v>
      </c>
      <c r="CQ1056">
        <v>74</v>
      </c>
      <c r="CR1056">
        <v>0</v>
      </c>
      <c r="CS1056">
        <v>0</v>
      </c>
      <c r="CT1056">
        <v>0.1</v>
      </c>
      <c r="CU1056">
        <v>76</v>
      </c>
      <c r="CV1056">
        <v>-0.05</v>
      </c>
      <c r="CW1056">
        <v>46</v>
      </c>
      <c r="CX1056" t="s">
        <v>5174</v>
      </c>
    </row>
    <row r="1057" spans="1:102" x14ac:dyDescent="0.3">
      <c r="A1057" t="str">
        <f>HYPERLINK("https://webapp.icbf.com/v2/app/bull-search/view/932331919","S1233")</f>
        <v>S1233</v>
      </c>
      <c r="B1057" t="s">
        <v>5444</v>
      </c>
      <c r="C1057" t="s">
        <v>401</v>
      </c>
      <c r="D1057" s="1">
        <v>40374</v>
      </c>
      <c r="E1057" t="s">
        <v>92</v>
      </c>
      <c r="F1057">
        <v>100</v>
      </c>
      <c r="G1057" t="s">
        <v>93</v>
      </c>
      <c r="H1057">
        <v>138.69</v>
      </c>
      <c r="I1057">
        <v>93</v>
      </c>
      <c r="J1057">
        <v>52.74</v>
      </c>
      <c r="K1057">
        <v>98</v>
      </c>
      <c r="L1057">
        <v>74.58</v>
      </c>
      <c r="M1057">
        <v>93</v>
      </c>
      <c r="N1057">
        <v>-2.8</v>
      </c>
      <c r="O1057">
        <v>95</v>
      </c>
      <c r="P1057">
        <v>-8.4600000000000009</v>
      </c>
      <c r="Q1057">
        <v>96</v>
      </c>
      <c r="R1057">
        <v>10.95</v>
      </c>
      <c r="S1057">
        <v>85</v>
      </c>
      <c r="T1057">
        <v>4.5</v>
      </c>
      <c r="U1057">
        <v>81</v>
      </c>
      <c r="V1057">
        <v>7.18</v>
      </c>
      <c r="W1057">
        <v>75</v>
      </c>
      <c r="X1057" t="s">
        <v>94</v>
      </c>
      <c r="Y1057" t="s">
        <v>336</v>
      </c>
      <c r="Z1057" t="s">
        <v>96</v>
      </c>
      <c r="AA1057" t="s">
        <v>1572</v>
      </c>
      <c r="AB1057" t="s">
        <v>2120</v>
      </c>
      <c r="AC1057">
        <v>369</v>
      </c>
      <c r="AD1057">
        <v>112</v>
      </c>
      <c r="AE1057">
        <v>98</v>
      </c>
      <c r="AF1057">
        <v>306.66000000000003</v>
      </c>
      <c r="AG1057">
        <v>16.63</v>
      </c>
      <c r="AH1057">
        <v>7.78</v>
      </c>
      <c r="AI1057">
        <v>0.08</v>
      </c>
      <c r="AJ1057">
        <v>-0.04</v>
      </c>
      <c r="AK1057">
        <v>93</v>
      </c>
      <c r="AL1057">
        <v>205</v>
      </c>
      <c r="AM1057">
        <v>76</v>
      </c>
      <c r="AN1057">
        <v>-3.9</v>
      </c>
      <c r="AO1057">
        <v>2.0499999999999998</v>
      </c>
      <c r="AP1057">
        <v>881</v>
      </c>
      <c r="AQ1057">
        <v>3</v>
      </c>
      <c r="AR1057">
        <v>9.7100000000000009</v>
      </c>
      <c r="AS1057">
        <v>94</v>
      </c>
      <c r="AT1057">
        <v>3.55</v>
      </c>
      <c r="AU1057">
        <v>99</v>
      </c>
      <c r="AV1057">
        <v>-0.71</v>
      </c>
      <c r="AW1057">
        <v>99</v>
      </c>
      <c r="AX1057">
        <v>0.19</v>
      </c>
      <c r="AY1057">
        <v>96</v>
      </c>
      <c r="AZ1057">
        <v>5.69</v>
      </c>
      <c r="BA1057">
        <v>86</v>
      </c>
      <c r="BB1057">
        <v>4.79</v>
      </c>
      <c r="BC1057">
        <v>75</v>
      </c>
      <c r="BD1057">
        <v>-0.01</v>
      </c>
      <c r="BE1057">
        <v>-0.05</v>
      </c>
      <c r="BF1057">
        <v>-0.14000000000000001</v>
      </c>
      <c r="BG1057">
        <v>96</v>
      </c>
      <c r="BH1057">
        <v>-0.03</v>
      </c>
      <c r="BI1057">
        <v>-26.63</v>
      </c>
      <c r="BJ1057">
        <v>177</v>
      </c>
      <c r="BK1057">
        <v>72</v>
      </c>
      <c r="BL1057">
        <v>1.47</v>
      </c>
      <c r="BM1057">
        <v>-0.56000000000000005</v>
      </c>
      <c r="BN1057">
        <v>-0.15</v>
      </c>
      <c r="BO1057">
        <v>0.34</v>
      </c>
      <c r="BP1057">
        <v>-0.43</v>
      </c>
      <c r="BQ1057">
        <v>1.69</v>
      </c>
      <c r="BR1057">
        <v>-0.59</v>
      </c>
      <c r="BS1057">
        <v>0.95</v>
      </c>
      <c r="BT1057">
        <v>1.45</v>
      </c>
      <c r="BU1057">
        <v>2.4900000000000002</v>
      </c>
      <c r="BV1057">
        <v>2.4900000000000002</v>
      </c>
      <c r="BW1057">
        <v>2.72</v>
      </c>
      <c r="BX1057">
        <v>1.99</v>
      </c>
      <c r="BY1057">
        <v>1.85</v>
      </c>
      <c r="BZ1057">
        <v>0.21</v>
      </c>
      <c r="CA1057">
        <v>2.02</v>
      </c>
      <c r="CB1057">
        <v>2.0499999999999998</v>
      </c>
      <c r="CC1057">
        <v>0.7</v>
      </c>
      <c r="CD1057">
        <v>0.18</v>
      </c>
      <c r="CE1057">
        <v>1.01</v>
      </c>
      <c r="CF1057">
        <v>1.71</v>
      </c>
      <c r="CG1057">
        <v>0</v>
      </c>
      <c r="CH1057">
        <v>1.45</v>
      </c>
      <c r="CI1057">
        <v>0</v>
      </c>
      <c r="CJ1057">
        <v>-1.3</v>
      </c>
      <c r="CK1057">
        <v>97</v>
      </c>
      <c r="CL1057">
        <v>-1.07</v>
      </c>
      <c r="CM1057">
        <v>97</v>
      </c>
      <c r="CN1057">
        <v>-0.37</v>
      </c>
      <c r="CO1057">
        <v>96</v>
      </c>
      <c r="CP1057">
        <v>0.3</v>
      </c>
      <c r="CQ1057">
        <v>87</v>
      </c>
      <c r="CR1057">
        <v>0</v>
      </c>
      <c r="CS1057">
        <v>0</v>
      </c>
      <c r="CT1057">
        <v>7.7</v>
      </c>
      <c r="CU1057">
        <v>81</v>
      </c>
      <c r="CV1057">
        <v>0.31</v>
      </c>
      <c r="CW1057">
        <v>46</v>
      </c>
      <c r="CX1057" t="s">
        <v>350</v>
      </c>
    </row>
    <row r="1058" spans="1:102" x14ac:dyDescent="0.3">
      <c r="A1058" t="str">
        <f>HYPERLINK("https://webapp.icbf.com/v2/app/bull-search/view/1246223313","FR2279")</f>
        <v>FR2279</v>
      </c>
      <c r="B1058" t="s">
        <v>8358</v>
      </c>
      <c r="C1058" t="s">
        <v>8359</v>
      </c>
      <c r="D1058" s="1">
        <v>42038</v>
      </c>
      <c r="E1058" t="s">
        <v>108</v>
      </c>
      <c r="F1058">
        <v>6</v>
      </c>
      <c r="G1058" t="s">
        <v>93</v>
      </c>
      <c r="H1058">
        <v>138.68</v>
      </c>
      <c r="I1058">
        <v>78</v>
      </c>
      <c r="J1058">
        <v>-1.35</v>
      </c>
      <c r="K1058">
        <v>92</v>
      </c>
      <c r="L1058">
        <v>114.58</v>
      </c>
      <c r="M1058">
        <v>67</v>
      </c>
      <c r="N1058">
        <v>26.5</v>
      </c>
      <c r="O1058">
        <v>83</v>
      </c>
      <c r="P1058">
        <v>-5.2</v>
      </c>
      <c r="Q1058">
        <v>89</v>
      </c>
      <c r="R1058">
        <v>1.88</v>
      </c>
      <c r="S1058">
        <v>68</v>
      </c>
      <c r="T1058">
        <v>12.27</v>
      </c>
      <c r="U1058">
        <v>59</v>
      </c>
      <c r="V1058">
        <v>-10</v>
      </c>
      <c r="W1058">
        <v>68</v>
      </c>
      <c r="X1058" t="s">
        <v>102</v>
      </c>
      <c r="Y1058" t="s">
        <v>416</v>
      </c>
      <c r="Z1058" t="s">
        <v>96</v>
      </c>
      <c r="AA1058" t="s">
        <v>5323</v>
      </c>
      <c r="AB1058" t="s">
        <v>8360</v>
      </c>
      <c r="AC1058">
        <v>71</v>
      </c>
      <c r="AD1058">
        <v>40</v>
      </c>
      <c r="AE1058">
        <v>92</v>
      </c>
      <c r="AF1058">
        <v>-271.36</v>
      </c>
      <c r="AG1058">
        <v>-1.48</v>
      </c>
      <c r="AH1058">
        <v>-3.86</v>
      </c>
      <c r="AI1058">
        <v>0.17</v>
      </c>
      <c r="AJ1058">
        <v>0.1</v>
      </c>
      <c r="AK1058">
        <v>67</v>
      </c>
      <c r="AL1058">
        <v>0</v>
      </c>
      <c r="AM1058">
        <v>0</v>
      </c>
      <c r="AN1058">
        <v>-7.61</v>
      </c>
      <c r="AO1058">
        <v>1.51</v>
      </c>
      <c r="AP1058">
        <v>319</v>
      </c>
      <c r="AQ1058">
        <v>4</v>
      </c>
      <c r="AR1058">
        <v>4.95</v>
      </c>
      <c r="AS1058">
        <v>72</v>
      </c>
      <c r="AT1058">
        <v>2.38</v>
      </c>
      <c r="AU1058">
        <v>89</v>
      </c>
      <c r="AV1058">
        <v>-2.27</v>
      </c>
      <c r="AW1058">
        <v>97</v>
      </c>
      <c r="AX1058">
        <v>-0.1</v>
      </c>
      <c r="AY1058">
        <v>85</v>
      </c>
      <c r="AZ1058">
        <v>7.38</v>
      </c>
      <c r="BA1058">
        <v>62</v>
      </c>
      <c r="BB1058">
        <v>5.44</v>
      </c>
      <c r="BC1058">
        <v>40</v>
      </c>
      <c r="BD1058">
        <v>-0.02</v>
      </c>
      <c r="BE1058">
        <v>0</v>
      </c>
      <c r="BF1058">
        <v>-0.01</v>
      </c>
      <c r="BG1058">
        <v>80</v>
      </c>
      <c r="BH1058">
        <v>-0.24</v>
      </c>
      <c r="BI1058">
        <v>4.51</v>
      </c>
      <c r="BJ1058">
        <v>0</v>
      </c>
      <c r="BK1058">
        <v>0</v>
      </c>
      <c r="BL1058">
        <v>-3.34</v>
      </c>
      <c r="BM1058">
        <v>2.23</v>
      </c>
      <c r="BN1058">
        <v>-2.59</v>
      </c>
      <c r="BO1058">
        <v>-3.48</v>
      </c>
      <c r="BP1058">
        <v>-1.65</v>
      </c>
      <c r="BQ1058">
        <v>1.73</v>
      </c>
      <c r="BR1058">
        <v>-0.52</v>
      </c>
      <c r="BS1058">
        <v>-1.29</v>
      </c>
      <c r="BT1058">
        <v>-0.28999999999999998</v>
      </c>
      <c r="BU1058">
        <v>-2.02</v>
      </c>
      <c r="BV1058">
        <v>-2.65</v>
      </c>
      <c r="BW1058">
        <v>-3.03</v>
      </c>
      <c r="BX1058">
        <v>-1.63</v>
      </c>
      <c r="BY1058">
        <v>-3.05</v>
      </c>
      <c r="BZ1058">
        <v>-1.1200000000000001</v>
      </c>
      <c r="CA1058">
        <v>-2.61</v>
      </c>
      <c r="CB1058">
        <v>-2.69</v>
      </c>
      <c r="CC1058">
        <v>-1.87</v>
      </c>
      <c r="CD1058">
        <v>2.89</v>
      </c>
      <c r="CE1058">
        <v>-3.1</v>
      </c>
      <c r="CF1058">
        <v>-2.09</v>
      </c>
      <c r="CG1058">
        <v>0</v>
      </c>
      <c r="CH1058">
        <v>-2.13</v>
      </c>
      <c r="CI1058">
        <v>0</v>
      </c>
      <c r="CJ1058">
        <v>-2</v>
      </c>
      <c r="CK1058">
        <v>92</v>
      </c>
      <c r="CL1058">
        <v>-0.17</v>
      </c>
      <c r="CM1058">
        <v>90</v>
      </c>
      <c r="CN1058">
        <v>-0.03</v>
      </c>
      <c r="CO1058">
        <v>89</v>
      </c>
      <c r="CP1058">
        <v>-6.9</v>
      </c>
      <c r="CQ1058">
        <v>64</v>
      </c>
      <c r="CR1058">
        <v>0</v>
      </c>
      <c r="CS1058">
        <v>0</v>
      </c>
      <c r="CT1058">
        <v>-2.8</v>
      </c>
      <c r="CU1058">
        <v>59</v>
      </c>
      <c r="CV1058">
        <v>7.0000000000000007E-2</v>
      </c>
      <c r="CW1058">
        <v>44</v>
      </c>
      <c r="CX1058" t="s">
        <v>8361</v>
      </c>
    </row>
    <row r="1059" spans="1:102" x14ac:dyDescent="0.3">
      <c r="A1059" t="str">
        <f>HYPERLINK("https://webapp.icbf.com/v2/app/bull-search/view/586201357","MWL")</f>
        <v>MWL</v>
      </c>
      <c r="B1059" t="s">
        <v>1782</v>
      </c>
      <c r="C1059" t="s">
        <v>1783</v>
      </c>
      <c r="D1059" s="1">
        <v>38981</v>
      </c>
      <c r="E1059" t="s">
        <v>92</v>
      </c>
      <c r="F1059">
        <v>100</v>
      </c>
      <c r="G1059" t="s">
        <v>93</v>
      </c>
      <c r="H1059">
        <v>138.63999999999999</v>
      </c>
      <c r="I1059">
        <v>96</v>
      </c>
      <c r="J1059">
        <v>70.040000000000006</v>
      </c>
      <c r="K1059">
        <v>99</v>
      </c>
      <c r="L1059">
        <v>18.68</v>
      </c>
      <c r="M1059">
        <v>94</v>
      </c>
      <c r="N1059">
        <v>55.54</v>
      </c>
      <c r="O1059">
        <v>98</v>
      </c>
      <c r="P1059">
        <v>-8.8699999999999992</v>
      </c>
      <c r="Q1059">
        <v>99</v>
      </c>
      <c r="R1059">
        <v>-0.15</v>
      </c>
      <c r="S1059">
        <v>94</v>
      </c>
      <c r="T1059">
        <v>5.46</v>
      </c>
      <c r="U1059">
        <v>98</v>
      </c>
      <c r="V1059">
        <v>-2.06</v>
      </c>
      <c r="W1059">
        <v>84</v>
      </c>
      <c r="X1059" t="s">
        <v>251</v>
      </c>
      <c r="Y1059" t="s">
        <v>1756</v>
      </c>
      <c r="Z1059" t="s">
        <v>96</v>
      </c>
      <c r="AA1059" t="s">
        <v>1784</v>
      </c>
      <c r="AB1059" t="s">
        <v>1785</v>
      </c>
      <c r="AC1059">
        <v>2275</v>
      </c>
      <c r="AD1059">
        <v>471</v>
      </c>
      <c r="AE1059">
        <v>99</v>
      </c>
      <c r="AF1059">
        <v>169.91</v>
      </c>
      <c r="AG1059">
        <v>13.97</v>
      </c>
      <c r="AH1059">
        <v>9.57</v>
      </c>
      <c r="AI1059">
        <v>0.12</v>
      </c>
      <c r="AJ1059">
        <v>0.06</v>
      </c>
      <c r="AK1059">
        <v>94</v>
      </c>
      <c r="AL1059">
        <v>2327</v>
      </c>
      <c r="AM1059">
        <v>531</v>
      </c>
      <c r="AN1059">
        <v>-0.97</v>
      </c>
      <c r="AO1059">
        <v>0.52</v>
      </c>
      <c r="AP1059">
        <v>4040</v>
      </c>
      <c r="AQ1059">
        <v>10</v>
      </c>
      <c r="AR1059">
        <v>5.27</v>
      </c>
      <c r="AS1059">
        <v>98</v>
      </c>
      <c r="AT1059">
        <v>1.95</v>
      </c>
      <c r="AU1059">
        <v>99</v>
      </c>
      <c r="AV1059">
        <v>-5.08</v>
      </c>
      <c r="AW1059">
        <v>99</v>
      </c>
      <c r="AX1059">
        <v>-0.12</v>
      </c>
      <c r="AY1059">
        <v>99</v>
      </c>
      <c r="AZ1059">
        <v>5.74</v>
      </c>
      <c r="BA1059">
        <v>96</v>
      </c>
      <c r="BB1059">
        <v>5.07</v>
      </c>
      <c r="BC1059">
        <v>95</v>
      </c>
      <c r="BD1059">
        <v>-0.01</v>
      </c>
      <c r="BE1059">
        <v>0</v>
      </c>
      <c r="BF1059">
        <v>0.02</v>
      </c>
      <c r="BG1059">
        <v>99</v>
      </c>
      <c r="BH1059">
        <v>-0.32</v>
      </c>
      <c r="BI1059">
        <v>-30.38</v>
      </c>
      <c r="BJ1059">
        <v>358</v>
      </c>
      <c r="BK1059">
        <v>124</v>
      </c>
      <c r="BL1059">
        <v>0.74</v>
      </c>
      <c r="BM1059">
        <v>-1.18</v>
      </c>
      <c r="BN1059">
        <v>0.15</v>
      </c>
      <c r="BO1059">
        <v>0.9</v>
      </c>
      <c r="BP1059">
        <v>2</v>
      </c>
      <c r="BQ1059">
        <v>-3.41</v>
      </c>
      <c r="BR1059">
        <v>-1</v>
      </c>
      <c r="BS1059">
        <v>-0.03</v>
      </c>
      <c r="BT1059">
        <v>1.42</v>
      </c>
      <c r="BU1059">
        <v>0.11</v>
      </c>
      <c r="BV1059">
        <v>0.2</v>
      </c>
      <c r="BW1059">
        <v>-1.24</v>
      </c>
      <c r="BX1059">
        <v>-0.02</v>
      </c>
      <c r="BY1059">
        <v>0.56000000000000005</v>
      </c>
      <c r="BZ1059">
        <v>-1.93</v>
      </c>
      <c r="CA1059">
        <v>0.32</v>
      </c>
      <c r="CB1059">
        <v>0.05</v>
      </c>
      <c r="CC1059">
        <v>0.56000000000000005</v>
      </c>
      <c r="CD1059">
        <v>-0.72</v>
      </c>
      <c r="CE1059">
        <v>0.71</v>
      </c>
      <c r="CF1059">
        <v>-0.12</v>
      </c>
      <c r="CG1059">
        <v>0</v>
      </c>
      <c r="CH1059">
        <v>0.69</v>
      </c>
      <c r="CI1059">
        <v>0</v>
      </c>
      <c r="CJ1059">
        <v>-1.9</v>
      </c>
      <c r="CK1059">
        <v>99</v>
      </c>
      <c r="CL1059">
        <v>-1</v>
      </c>
      <c r="CM1059">
        <v>99</v>
      </c>
      <c r="CN1059">
        <v>-0.38</v>
      </c>
      <c r="CO1059">
        <v>99</v>
      </c>
      <c r="CP1059">
        <v>-2.5</v>
      </c>
      <c r="CQ1059">
        <v>98</v>
      </c>
      <c r="CR1059">
        <v>0</v>
      </c>
      <c r="CS1059">
        <v>0</v>
      </c>
      <c r="CT1059">
        <v>6.4</v>
      </c>
      <c r="CU1059">
        <v>98</v>
      </c>
      <c r="CV1059">
        <v>0.26</v>
      </c>
      <c r="CW1059">
        <v>48</v>
      </c>
      <c r="CX1059" t="s">
        <v>316</v>
      </c>
    </row>
    <row r="1060" spans="1:102" x14ac:dyDescent="0.3">
      <c r="A1060" t="str">
        <f>HYPERLINK("https://webapp.icbf.com/v2/app/bull-search/view/865233438","SBP")</f>
        <v>SBP</v>
      </c>
      <c r="B1060" t="s">
        <v>5672</v>
      </c>
      <c r="C1060" t="s">
        <v>5673</v>
      </c>
      <c r="D1060" s="1">
        <v>40590</v>
      </c>
      <c r="E1060" t="s">
        <v>92</v>
      </c>
      <c r="F1060">
        <v>69</v>
      </c>
      <c r="G1060" t="s">
        <v>93</v>
      </c>
      <c r="H1060">
        <v>138.56</v>
      </c>
      <c r="I1060">
        <v>87</v>
      </c>
      <c r="J1060">
        <v>27.29</v>
      </c>
      <c r="K1060">
        <v>97</v>
      </c>
      <c r="L1060">
        <v>63.99</v>
      </c>
      <c r="M1060">
        <v>79</v>
      </c>
      <c r="N1060">
        <v>40.79</v>
      </c>
      <c r="O1060">
        <v>86</v>
      </c>
      <c r="P1060">
        <v>0.04</v>
      </c>
      <c r="Q1060">
        <v>92</v>
      </c>
      <c r="R1060">
        <v>6.15</v>
      </c>
      <c r="S1060">
        <v>80</v>
      </c>
      <c r="T1060">
        <v>-0.6</v>
      </c>
      <c r="U1060">
        <v>84</v>
      </c>
      <c r="V1060">
        <v>0.9</v>
      </c>
      <c r="W1060">
        <v>75</v>
      </c>
      <c r="X1060" t="s">
        <v>94</v>
      </c>
      <c r="Y1060" t="s">
        <v>1860</v>
      </c>
      <c r="Z1060" t="s">
        <v>96</v>
      </c>
      <c r="AA1060" t="s">
        <v>1942</v>
      </c>
      <c r="AB1060" t="s">
        <v>5674</v>
      </c>
      <c r="AC1060">
        <v>98</v>
      </c>
      <c r="AD1060">
        <v>64</v>
      </c>
      <c r="AE1060">
        <v>97</v>
      </c>
      <c r="AF1060">
        <v>129.63</v>
      </c>
      <c r="AG1060">
        <v>3.69</v>
      </c>
      <c r="AH1060">
        <v>5.32</v>
      </c>
      <c r="AI1060">
        <v>-0.02</v>
      </c>
      <c r="AJ1060">
        <v>0.02</v>
      </c>
      <c r="AK1060">
        <v>79</v>
      </c>
      <c r="AL1060">
        <v>98</v>
      </c>
      <c r="AM1060">
        <v>65</v>
      </c>
      <c r="AN1060">
        <v>-2.96</v>
      </c>
      <c r="AO1060">
        <v>2.15</v>
      </c>
      <c r="AP1060">
        <v>227</v>
      </c>
      <c r="AQ1060">
        <v>0</v>
      </c>
      <c r="AR1060">
        <v>6.14</v>
      </c>
      <c r="AS1060">
        <v>71</v>
      </c>
      <c r="AT1060">
        <v>2.06</v>
      </c>
      <c r="AU1060">
        <v>89</v>
      </c>
      <c r="AV1060">
        <v>-2.93</v>
      </c>
      <c r="AW1060">
        <v>96</v>
      </c>
      <c r="AX1060">
        <v>-0.84</v>
      </c>
      <c r="AY1060">
        <v>81</v>
      </c>
      <c r="AZ1060">
        <v>5.65</v>
      </c>
      <c r="BA1060">
        <v>67</v>
      </c>
      <c r="BB1060">
        <v>4.47</v>
      </c>
      <c r="BC1060">
        <v>69</v>
      </c>
      <c r="BD1060">
        <v>-0.05</v>
      </c>
      <c r="BE1060">
        <v>-0.02</v>
      </c>
      <c r="BF1060">
        <v>-0.02</v>
      </c>
      <c r="BG1060">
        <v>89</v>
      </c>
      <c r="BH1060">
        <v>0</v>
      </c>
      <c r="BI1060">
        <v>-2.9</v>
      </c>
      <c r="BJ1060">
        <v>8</v>
      </c>
      <c r="BK1060">
        <v>6</v>
      </c>
      <c r="BL1060">
        <v>-2.15</v>
      </c>
      <c r="BM1060">
        <v>0.67</v>
      </c>
      <c r="BN1060">
        <v>-2.82</v>
      </c>
      <c r="BO1060">
        <v>-2.62</v>
      </c>
      <c r="BP1060">
        <v>2.41</v>
      </c>
      <c r="BQ1060">
        <v>-1.65</v>
      </c>
      <c r="BR1060">
        <v>-2.97</v>
      </c>
      <c r="BS1060">
        <v>0.12</v>
      </c>
      <c r="BT1060">
        <v>1.48</v>
      </c>
      <c r="BU1060">
        <v>-2.02</v>
      </c>
      <c r="BV1060">
        <v>-2.8</v>
      </c>
      <c r="BW1060">
        <v>-2.2799999999999998</v>
      </c>
      <c r="BX1060">
        <v>-0.88</v>
      </c>
      <c r="BY1060">
        <v>-1.67</v>
      </c>
      <c r="BZ1060">
        <v>-2.15</v>
      </c>
      <c r="CA1060">
        <v>-1.47</v>
      </c>
      <c r="CB1060">
        <v>-2.17</v>
      </c>
      <c r="CC1060">
        <v>0.27</v>
      </c>
      <c r="CD1060">
        <v>2.12</v>
      </c>
      <c r="CE1060">
        <v>-2.11</v>
      </c>
      <c r="CF1060">
        <v>-1.9</v>
      </c>
      <c r="CG1060">
        <v>0</v>
      </c>
      <c r="CH1060">
        <v>-1.21</v>
      </c>
      <c r="CI1060">
        <v>0</v>
      </c>
      <c r="CJ1060">
        <v>-0.9</v>
      </c>
      <c r="CK1060">
        <v>94</v>
      </c>
      <c r="CL1060">
        <v>-0.15</v>
      </c>
      <c r="CM1060">
        <v>92</v>
      </c>
      <c r="CN1060">
        <v>-0.16</v>
      </c>
      <c r="CO1060">
        <v>91</v>
      </c>
      <c r="CP1060">
        <v>6.4</v>
      </c>
      <c r="CQ1060">
        <v>85</v>
      </c>
      <c r="CR1060">
        <v>0</v>
      </c>
      <c r="CS1060">
        <v>0</v>
      </c>
      <c r="CT1060">
        <v>14.6</v>
      </c>
      <c r="CU1060">
        <v>84</v>
      </c>
      <c r="CV1060">
        <v>-0.03</v>
      </c>
      <c r="CW1060">
        <v>47</v>
      </c>
      <c r="CX1060" t="s">
        <v>771</v>
      </c>
    </row>
    <row r="1061" spans="1:102" x14ac:dyDescent="0.3">
      <c r="A1061" t="str">
        <f>HYPERLINK("https://webapp.icbf.com/v2/app/bull-search/view/1488778250","FR4361")</f>
        <v>FR4361</v>
      </c>
      <c r="B1061" t="s">
        <v>2307</v>
      </c>
      <c r="C1061" t="s">
        <v>2308</v>
      </c>
      <c r="D1061" s="1">
        <v>42514</v>
      </c>
      <c r="E1061" t="s">
        <v>92</v>
      </c>
      <c r="F1061">
        <v>100</v>
      </c>
      <c r="G1061" t="s">
        <v>435</v>
      </c>
      <c r="H1061">
        <v>138.5</v>
      </c>
      <c r="I1061">
        <v>67</v>
      </c>
      <c r="J1061">
        <v>59.84</v>
      </c>
      <c r="K1061">
        <v>87</v>
      </c>
      <c r="L1061">
        <v>21.69</v>
      </c>
      <c r="M1061">
        <v>65</v>
      </c>
      <c r="N1061">
        <v>46.46</v>
      </c>
      <c r="O1061">
        <v>71</v>
      </c>
      <c r="P1061">
        <v>1.59</v>
      </c>
      <c r="Q1061">
        <v>35</v>
      </c>
      <c r="R1061">
        <v>7.55</v>
      </c>
      <c r="S1061">
        <v>61</v>
      </c>
      <c r="T1061">
        <v>-4.53</v>
      </c>
      <c r="U1061">
        <v>33</v>
      </c>
      <c r="V1061">
        <v>5.9</v>
      </c>
      <c r="W1061">
        <v>50</v>
      </c>
      <c r="X1061" t="s">
        <v>428</v>
      </c>
      <c r="Y1061" t="s">
        <v>2261</v>
      </c>
      <c r="Z1061" t="s">
        <v>96</v>
      </c>
      <c r="AA1061" t="s">
        <v>2309</v>
      </c>
      <c r="AB1061" t="s">
        <v>2310</v>
      </c>
      <c r="AC1061">
        <v>0</v>
      </c>
      <c r="AD1061">
        <v>0</v>
      </c>
      <c r="AE1061">
        <v>87</v>
      </c>
      <c r="AF1061">
        <v>472.69</v>
      </c>
      <c r="AG1061">
        <v>16.09</v>
      </c>
      <c r="AH1061">
        <v>11.72</v>
      </c>
      <c r="AI1061">
        <v>-0.04</v>
      </c>
      <c r="AJ1061">
        <v>-7.0000000000000007E-2</v>
      </c>
      <c r="AK1061">
        <v>65</v>
      </c>
      <c r="AL1061">
        <v>0</v>
      </c>
      <c r="AM1061">
        <v>0</v>
      </c>
      <c r="AN1061">
        <v>-1.1499999999999999</v>
      </c>
      <c r="AO1061">
        <v>0.57999999999999996</v>
      </c>
      <c r="AP1061">
        <v>25</v>
      </c>
      <c r="AQ1061">
        <v>3</v>
      </c>
      <c r="AR1061">
        <v>5.89</v>
      </c>
      <c r="AS1061">
        <v>56</v>
      </c>
      <c r="AT1061">
        <v>2.35</v>
      </c>
      <c r="AU1061">
        <v>86</v>
      </c>
      <c r="AV1061">
        <v>-4.04</v>
      </c>
      <c r="AW1061">
        <v>84</v>
      </c>
      <c r="AX1061">
        <v>-0.84</v>
      </c>
      <c r="AY1061">
        <v>59</v>
      </c>
      <c r="AZ1061">
        <v>5.63</v>
      </c>
      <c r="BA1061">
        <v>32</v>
      </c>
      <c r="BB1061">
        <v>4.84</v>
      </c>
      <c r="BC1061">
        <v>31</v>
      </c>
      <c r="BD1061">
        <v>-0.04</v>
      </c>
      <c r="BE1061">
        <v>-0.03</v>
      </c>
      <c r="BF1061">
        <v>-0.05</v>
      </c>
      <c r="BG1061">
        <v>75</v>
      </c>
      <c r="BH1061">
        <v>-0.02</v>
      </c>
      <c r="BI1061">
        <v>-21.34</v>
      </c>
      <c r="BJ1061">
        <v>0</v>
      </c>
      <c r="BK1061">
        <v>0</v>
      </c>
      <c r="BL1061">
        <v>0.99</v>
      </c>
      <c r="BM1061">
        <v>-0.69</v>
      </c>
      <c r="BN1061">
        <v>-0.36</v>
      </c>
      <c r="BO1061">
        <v>0.36</v>
      </c>
      <c r="BP1061">
        <v>-2.12</v>
      </c>
      <c r="BQ1061">
        <v>-0.94</v>
      </c>
      <c r="BR1061">
        <v>-0.44</v>
      </c>
      <c r="BS1061">
        <v>2.17</v>
      </c>
      <c r="BT1061">
        <v>1.32</v>
      </c>
      <c r="BU1061">
        <v>4.04</v>
      </c>
      <c r="BV1061">
        <v>3.22</v>
      </c>
      <c r="BW1061">
        <v>1.71</v>
      </c>
      <c r="BX1061">
        <v>2.68</v>
      </c>
      <c r="BY1061">
        <v>1.1299999999999999</v>
      </c>
      <c r="BZ1061">
        <v>-0.53</v>
      </c>
      <c r="CA1061">
        <v>2.87</v>
      </c>
      <c r="CB1061">
        <v>2.52</v>
      </c>
      <c r="CC1061">
        <v>1.77</v>
      </c>
      <c r="CD1061">
        <v>-0.11</v>
      </c>
      <c r="CE1061">
        <v>0.94</v>
      </c>
      <c r="CF1061">
        <v>1.31</v>
      </c>
      <c r="CG1061">
        <v>0</v>
      </c>
      <c r="CH1061">
        <v>1.8</v>
      </c>
      <c r="CI1061">
        <v>0</v>
      </c>
      <c r="CJ1061">
        <v>2.9</v>
      </c>
      <c r="CK1061">
        <v>35</v>
      </c>
      <c r="CL1061">
        <v>-1.21</v>
      </c>
      <c r="CM1061">
        <v>35</v>
      </c>
      <c r="CN1061">
        <v>-0.78</v>
      </c>
      <c r="CO1061">
        <v>35</v>
      </c>
      <c r="CP1061">
        <v>6.3</v>
      </c>
      <c r="CQ1061">
        <v>34</v>
      </c>
      <c r="CR1061">
        <v>0</v>
      </c>
      <c r="CS1061">
        <v>0</v>
      </c>
      <c r="CT1061">
        <v>19.899999999999999</v>
      </c>
      <c r="CU1061">
        <v>33</v>
      </c>
      <c r="CV1061">
        <v>0.23</v>
      </c>
      <c r="CW1061">
        <v>32</v>
      </c>
      <c r="CX1061" t="s">
        <v>2311</v>
      </c>
    </row>
    <row r="1062" spans="1:102" x14ac:dyDescent="0.3">
      <c r="A1062" t="str">
        <f>HYPERLINK("https://webapp.icbf.com/v2/app/bull-search/view/1467654297","JE4229")</f>
        <v>JE4229</v>
      </c>
      <c r="B1062" t="s">
        <v>2320</v>
      </c>
      <c r="C1062" t="s">
        <v>2321</v>
      </c>
      <c r="D1062" s="1">
        <v>42059</v>
      </c>
      <c r="E1062" t="s">
        <v>227</v>
      </c>
      <c r="F1062">
        <v>0</v>
      </c>
      <c r="G1062" t="s">
        <v>435</v>
      </c>
      <c r="H1062">
        <v>138.47999999999999</v>
      </c>
      <c r="I1062">
        <v>65</v>
      </c>
      <c r="J1062">
        <v>32.93</v>
      </c>
      <c r="K1062">
        <v>85</v>
      </c>
      <c r="L1062">
        <v>85.26</v>
      </c>
      <c r="M1062">
        <v>65</v>
      </c>
      <c r="N1062">
        <v>-2.63</v>
      </c>
      <c r="O1062">
        <v>46</v>
      </c>
      <c r="P1062">
        <v>-37.130000000000003</v>
      </c>
      <c r="Q1062">
        <v>39</v>
      </c>
      <c r="R1062">
        <v>9.0500000000000007</v>
      </c>
      <c r="S1062">
        <v>57</v>
      </c>
      <c r="T1062">
        <v>45.28</v>
      </c>
      <c r="U1062">
        <v>41</v>
      </c>
      <c r="V1062">
        <v>5.72</v>
      </c>
      <c r="W1062">
        <v>57</v>
      </c>
      <c r="X1062" t="s">
        <v>276</v>
      </c>
      <c r="Y1062" t="s">
        <v>2261</v>
      </c>
      <c r="Z1062">
        <v>0</v>
      </c>
      <c r="AA1062" t="s">
        <v>2322</v>
      </c>
      <c r="AB1062" t="s">
        <v>144</v>
      </c>
      <c r="AC1062">
        <v>0</v>
      </c>
      <c r="AD1062">
        <v>0</v>
      </c>
      <c r="AE1062">
        <v>85</v>
      </c>
      <c r="AF1062">
        <v>-579.58000000000004</v>
      </c>
      <c r="AG1062">
        <v>9.27</v>
      </c>
      <c r="AH1062">
        <v>-6.55</v>
      </c>
      <c r="AI1062">
        <v>0.61</v>
      </c>
      <c r="AJ1062">
        <v>0.26</v>
      </c>
      <c r="AK1062">
        <v>65</v>
      </c>
      <c r="AL1062">
        <v>0</v>
      </c>
      <c r="AM1062">
        <v>0</v>
      </c>
      <c r="AN1062">
        <v>-2.25</v>
      </c>
      <c r="AO1062">
        <v>4.58</v>
      </c>
      <c r="AP1062">
        <v>3</v>
      </c>
      <c r="AQ1062">
        <v>0</v>
      </c>
      <c r="AR1062">
        <v>2.68</v>
      </c>
      <c r="AS1062">
        <v>49</v>
      </c>
      <c r="AT1062">
        <v>1.6</v>
      </c>
      <c r="AU1062">
        <v>55</v>
      </c>
      <c r="AV1062">
        <v>1.26</v>
      </c>
      <c r="AW1062">
        <v>43</v>
      </c>
      <c r="AX1062">
        <v>4.9000000000000004</v>
      </c>
      <c r="AY1062">
        <v>42</v>
      </c>
      <c r="AZ1062">
        <v>6.6</v>
      </c>
      <c r="BA1062">
        <v>40</v>
      </c>
      <c r="BB1062">
        <v>5.05</v>
      </c>
      <c r="BC1062">
        <v>39</v>
      </c>
      <c r="BD1062">
        <v>-0.06</v>
      </c>
      <c r="BE1062">
        <v>-0.02</v>
      </c>
      <c r="BF1062">
        <v>-7.0000000000000007E-2</v>
      </c>
      <c r="BG1062">
        <v>61</v>
      </c>
      <c r="BH1062">
        <v>0.19</v>
      </c>
      <c r="BI1062">
        <v>3.52</v>
      </c>
      <c r="BJ1062">
        <v>0</v>
      </c>
      <c r="BK1062">
        <v>0</v>
      </c>
      <c r="BL1062">
        <v>-1.03</v>
      </c>
      <c r="BM1062">
        <v>-1.32</v>
      </c>
      <c r="BN1062">
        <v>-0.15</v>
      </c>
      <c r="BO1062">
        <v>1.1200000000000001</v>
      </c>
      <c r="BP1062">
        <v>-0.03</v>
      </c>
      <c r="BQ1062">
        <v>-4.1500000000000004</v>
      </c>
      <c r="BR1062">
        <v>1.6</v>
      </c>
      <c r="BS1062">
        <v>4.83</v>
      </c>
      <c r="BT1062">
        <v>-0.78</v>
      </c>
      <c r="BU1062">
        <v>0.36</v>
      </c>
      <c r="BV1062">
        <v>0.43</v>
      </c>
      <c r="BW1062">
        <v>-1.01</v>
      </c>
      <c r="BX1062">
        <v>-1.68</v>
      </c>
      <c r="BY1062">
        <v>0.18</v>
      </c>
      <c r="BZ1062">
        <v>-0.01</v>
      </c>
      <c r="CA1062">
        <v>1.44</v>
      </c>
      <c r="CB1062">
        <v>0.36</v>
      </c>
      <c r="CC1062">
        <v>3.01</v>
      </c>
      <c r="CD1062">
        <v>-1.73</v>
      </c>
      <c r="CE1062">
        <v>1</v>
      </c>
      <c r="CF1062">
        <v>-1.05</v>
      </c>
      <c r="CG1062">
        <v>0</v>
      </c>
      <c r="CH1062">
        <v>-0.48</v>
      </c>
      <c r="CI1062">
        <v>0</v>
      </c>
      <c r="CJ1062">
        <v>-21.5</v>
      </c>
      <c r="CK1062">
        <v>40</v>
      </c>
      <c r="CL1062">
        <v>-0.75</v>
      </c>
      <c r="CM1062">
        <v>38</v>
      </c>
      <c r="CN1062">
        <v>-0.48</v>
      </c>
      <c r="CO1062">
        <v>37</v>
      </c>
      <c r="CP1062">
        <v>-35.6</v>
      </c>
      <c r="CQ1062">
        <v>38</v>
      </c>
      <c r="CR1062">
        <v>0</v>
      </c>
      <c r="CS1062">
        <v>0</v>
      </c>
      <c r="CT1062">
        <v>-47.4</v>
      </c>
      <c r="CU1062">
        <v>41</v>
      </c>
      <c r="CV1062">
        <v>-0.25</v>
      </c>
      <c r="CW1062">
        <v>33</v>
      </c>
      <c r="CX1062" t="s">
        <v>2021</v>
      </c>
    </row>
    <row r="1063" spans="1:102" x14ac:dyDescent="0.3">
      <c r="A1063" t="str">
        <f>HYPERLINK("https://webapp.icbf.com/v2/app/bull-search/view/1077707043","S1662")</f>
        <v>S1662</v>
      </c>
      <c r="B1063" t="s">
        <v>9250</v>
      </c>
      <c r="C1063" t="s">
        <v>9251</v>
      </c>
      <c r="D1063" s="1">
        <v>40817</v>
      </c>
      <c r="E1063" t="s">
        <v>92</v>
      </c>
      <c r="F1063">
        <v>100</v>
      </c>
      <c r="G1063" t="s">
        <v>109</v>
      </c>
      <c r="H1063">
        <v>138.46</v>
      </c>
      <c r="I1063">
        <v>76</v>
      </c>
      <c r="J1063">
        <v>43.96</v>
      </c>
      <c r="K1063">
        <v>93</v>
      </c>
      <c r="L1063">
        <v>45.06</v>
      </c>
      <c r="M1063">
        <v>81</v>
      </c>
      <c r="N1063">
        <v>51.18</v>
      </c>
      <c r="O1063">
        <v>56</v>
      </c>
      <c r="P1063">
        <v>-12.28</v>
      </c>
      <c r="Q1063">
        <v>45</v>
      </c>
      <c r="R1063">
        <v>10.66</v>
      </c>
      <c r="S1063">
        <v>75</v>
      </c>
      <c r="T1063">
        <v>-3.79</v>
      </c>
      <c r="U1063">
        <v>44</v>
      </c>
      <c r="V1063">
        <v>3.67</v>
      </c>
      <c r="W1063">
        <v>64</v>
      </c>
      <c r="X1063" t="s">
        <v>276</v>
      </c>
      <c r="Y1063" t="s">
        <v>362</v>
      </c>
      <c r="Z1063" t="s">
        <v>96</v>
      </c>
      <c r="AA1063" t="s">
        <v>1572</v>
      </c>
      <c r="AB1063" t="s">
        <v>9252</v>
      </c>
      <c r="AC1063">
        <v>0</v>
      </c>
      <c r="AD1063">
        <v>0</v>
      </c>
      <c r="AE1063">
        <v>93</v>
      </c>
      <c r="AF1063">
        <v>117.15</v>
      </c>
      <c r="AG1063">
        <v>12.52</v>
      </c>
      <c r="AH1063">
        <v>4.84</v>
      </c>
      <c r="AI1063">
        <v>0.14000000000000001</v>
      </c>
      <c r="AJ1063">
        <v>0.02</v>
      </c>
      <c r="AK1063">
        <v>81</v>
      </c>
      <c r="AL1063">
        <v>0</v>
      </c>
      <c r="AM1063">
        <v>0</v>
      </c>
      <c r="AN1063">
        <v>-3.52</v>
      </c>
      <c r="AO1063">
        <v>0.06</v>
      </c>
      <c r="AP1063">
        <v>2</v>
      </c>
      <c r="AQ1063">
        <v>0</v>
      </c>
      <c r="AR1063">
        <v>5.42</v>
      </c>
      <c r="AS1063">
        <v>58</v>
      </c>
      <c r="AT1063">
        <v>2.2000000000000002</v>
      </c>
      <c r="AU1063">
        <v>79</v>
      </c>
      <c r="AV1063">
        <v>-4.62</v>
      </c>
      <c r="AW1063">
        <v>48</v>
      </c>
      <c r="AX1063">
        <v>0.35</v>
      </c>
      <c r="AY1063">
        <v>45</v>
      </c>
      <c r="AZ1063">
        <v>5.9</v>
      </c>
      <c r="BA1063">
        <v>47</v>
      </c>
      <c r="BB1063">
        <v>4.5</v>
      </c>
      <c r="BC1063">
        <v>47</v>
      </c>
      <c r="BD1063">
        <v>-0.03</v>
      </c>
      <c r="BE1063">
        <v>-0.05</v>
      </c>
      <c r="BF1063">
        <v>-0.1</v>
      </c>
      <c r="BG1063">
        <v>89</v>
      </c>
      <c r="BH1063">
        <v>-0.06</v>
      </c>
      <c r="BI1063">
        <v>-18.77</v>
      </c>
      <c r="BJ1063">
        <v>0</v>
      </c>
      <c r="BK1063">
        <v>0</v>
      </c>
      <c r="BL1063">
        <v>1.6</v>
      </c>
      <c r="BM1063">
        <v>-0.98</v>
      </c>
      <c r="BN1063">
        <v>-0.97</v>
      </c>
      <c r="BO1063">
        <v>0.34</v>
      </c>
      <c r="BP1063">
        <v>-1.38</v>
      </c>
      <c r="BQ1063">
        <v>0.79</v>
      </c>
      <c r="BR1063">
        <v>-7.0000000000000007E-2</v>
      </c>
      <c r="BS1063">
        <v>0.34</v>
      </c>
      <c r="BT1063">
        <v>0.56999999999999995</v>
      </c>
      <c r="BU1063">
        <v>2.66</v>
      </c>
      <c r="BV1063">
        <v>1.96</v>
      </c>
      <c r="BW1063">
        <v>1.56</v>
      </c>
      <c r="BX1063">
        <v>3.3</v>
      </c>
      <c r="BY1063">
        <v>1.04</v>
      </c>
      <c r="BZ1063">
        <v>-1.7</v>
      </c>
      <c r="CA1063">
        <v>1.69</v>
      </c>
      <c r="CB1063">
        <v>1.81</v>
      </c>
      <c r="CC1063">
        <v>0.25</v>
      </c>
      <c r="CD1063">
        <v>0.28000000000000003</v>
      </c>
      <c r="CE1063">
        <v>-0.15</v>
      </c>
      <c r="CF1063">
        <v>1.19</v>
      </c>
      <c r="CG1063">
        <v>0</v>
      </c>
      <c r="CH1063">
        <v>0.89</v>
      </c>
      <c r="CI1063">
        <v>0</v>
      </c>
      <c r="CJ1063">
        <v>-3.6</v>
      </c>
      <c r="CK1063">
        <v>45</v>
      </c>
      <c r="CL1063">
        <v>-1.42</v>
      </c>
      <c r="CM1063">
        <v>45</v>
      </c>
      <c r="CN1063">
        <v>-0.6</v>
      </c>
      <c r="CO1063">
        <v>45</v>
      </c>
      <c r="CP1063">
        <v>2.1</v>
      </c>
      <c r="CQ1063">
        <v>44</v>
      </c>
      <c r="CR1063">
        <v>0</v>
      </c>
      <c r="CS1063">
        <v>0</v>
      </c>
      <c r="CT1063">
        <v>18.899999999999999</v>
      </c>
      <c r="CU1063">
        <v>44</v>
      </c>
      <c r="CV1063">
        <v>0.28999999999999998</v>
      </c>
      <c r="CW1063">
        <v>35</v>
      </c>
      <c r="CX1063" t="s">
        <v>9253</v>
      </c>
    </row>
    <row r="1064" spans="1:102" x14ac:dyDescent="0.3">
      <c r="A1064" t="str">
        <f>HYPERLINK("https://webapp.icbf.com/v2/app/bull-search/view/1208577826","S2198")</f>
        <v>S2198</v>
      </c>
      <c r="B1064" t="s">
        <v>5952</v>
      </c>
      <c r="C1064" t="s">
        <v>5953</v>
      </c>
      <c r="D1064" s="1">
        <v>41416</v>
      </c>
      <c r="E1064" t="s">
        <v>92</v>
      </c>
      <c r="F1064">
        <v>100</v>
      </c>
      <c r="G1064" t="s">
        <v>109</v>
      </c>
      <c r="H1064">
        <v>138.44999999999999</v>
      </c>
      <c r="I1064">
        <v>76</v>
      </c>
      <c r="J1064">
        <v>60.14</v>
      </c>
      <c r="K1064">
        <v>92</v>
      </c>
      <c r="L1064">
        <v>35.03</v>
      </c>
      <c r="M1064">
        <v>85</v>
      </c>
      <c r="N1064">
        <v>48.13</v>
      </c>
      <c r="O1064">
        <v>56</v>
      </c>
      <c r="P1064">
        <v>-15.82</v>
      </c>
      <c r="Q1064">
        <v>49</v>
      </c>
      <c r="R1064">
        <v>9.77</v>
      </c>
      <c r="S1064">
        <v>72</v>
      </c>
      <c r="T1064">
        <v>-4.97</v>
      </c>
      <c r="U1064">
        <v>38</v>
      </c>
      <c r="V1064">
        <v>6.17</v>
      </c>
      <c r="W1064">
        <v>53</v>
      </c>
      <c r="X1064" t="s">
        <v>251</v>
      </c>
      <c r="Y1064" t="s">
        <v>367</v>
      </c>
      <c r="Z1064" t="s">
        <v>96</v>
      </c>
      <c r="AA1064" t="s">
        <v>465</v>
      </c>
      <c r="AB1064" t="s">
        <v>5954</v>
      </c>
      <c r="AC1064">
        <v>0</v>
      </c>
      <c r="AD1064">
        <v>0</v>
      </c>
      <c r="AE1064">
        <v>92</v>
      </c>
      <c r="AF1064">
        <v>722.99</v>
      </c>
      <c r="AG1064">
        <v>14.06</v>
      </c>
      <c r="AH1064">
        <v>16.32</v>
      </c>
      <c r="AI1064">
        <v>-0.22</v>
      </c>
      <c r="AJ1064">
        <v>-0.13</v>
      </c>
      <c r="AK1064">
        <v>85</v>
      </c>
      <c r="AL1064">
        <v>0</v>
      </c>
      <c r="AM1064">
        <v>0</v>
      </c>
      <c r="AN1064">
        <v>-0.62</v>
      </c>
      <c r="AO1064">
        <v>2.19</v>
      </c>
      <c r="AP1064">
        <v>5</v>
      </c>
      <c r="AQ1064">
        <v>0</v>
      </c>
      <c r="AR1064">
        <v>7.27</v>
      </c>
      <c r="AS1064">
        <v>55</v>
      </c>
      <c r="AT1064">
        <v>2.39</v>
      </c>
      <c r="AU1064">
        <v>90</v>
      </c>
      <c r="AV1064">
        <v>-4.5599999999999996</v>
      </c>
      <c r="AW1064">
        <v>45</v>
      </c>
      <c r="AX1064">
        <v>-0.03</v>
      </c>
      <c r="AY1064">
        <v>47</v>
      </c>
      <c r="AZ1064">
        <v>5.35</v>
      </c>
      <c r="BA1064">
        <v>39</v>
      </c>
      <c r="BB1064">
        <v>4.26</v>
      </c>
      <c r="BC1064">
        <v>35</v>
      </c>
      <c r="BD1064">
        <v>-0.01</v>
      </c>
      <c r="BE1064">
        <v>-0.02</v>
      </c>
      <c r="BF1064">
        <v>-0.17</v>
      </c>
      <c r="BG1064">
        <v>92</v>
      </c>
      <c r="BH1064">
        <v>0.11</v>
      </c>
      <c r="BI1064">
        <v>-7.17</v>
      </c>
      <c r="BJ1064">
        <v>1</v>
      </c>
      <c r="BK1064">
        <v>1</v>
      </c>
      <c r="BL1064">
        <v>1.79</v>
      </c>
      <c r="BM1064">
        <v>0.22</v>
      </c>
      <c r="BN1064">
        <v>-0.12</v>
      </c>
      <c r="BO1064">
        <v>0.6</v>
      </c>
      <c r="BP1064">
        <v>-0.34</v>
      </c>
      <c r="BQ1064">
        <v>1.26</v>
      </c>
      <c r="BR1064">
        <v>2.35</v>
      </c>
      <c r="BS1064">
        <v>1.62</v>
      </c>
      <c r="BT1064">
        <v>-1.98</v>
      </c>
      <c r="BU1064">
        <v>3.71</v>
      </c>
      <c r="BV1064">
        <v>3.42</v>
      </c>
      <c r="BW1064">
        <v>2.75</v>
      </c>
      <c r="BX1064">
        <v>4.2300000000000004</v>
      </c>
      <c r="BY1064">
        <v>0.94</v>
      </c>
      <c r="BZ1064">
        <v>-0.24</v>
      </c>
      <c r="CA1064">
        <v>2.88</v>
      </c>
      <c r="CB1064">
        <v>2.97</v>
      </c>
      <c r="CC1064">
        <v>0.95</v>
      </c>
      <c r="CD1064">
        <v>7.0000000000000007E-2</v>
      </c>
      <c r="CE1064">
        <v>1.3</v>
      </c>
      <c r="CF1064">
        <v>1.46</v>
      </c>
      <c r="CG1064">
        <v>0</v>
      </c>
      <c r="CH1064">
        <v>0.81</v>
      </c>
      <c r="CI1064">
        <v>0</v>
      </c>
      <c r="CJ1064">
        <v>-6.7</v>
      </c>
      <c r="CK1064">
        <v>50</v>
      </c>
      <c r="CL1064">
        <v>-1.5</v>
      </c>
      <c r="CM1064">
        <v>48</v>
      </c>
      <c r="CN1064">
        <v>-0.73</v>
      </c>
      <c r="CO1064">
        <v>48</v>
      </c>
      <c r="CP1064">
        <v>2.4</v>
      </c>
      <c r="CQ1064">
        <v>41</v>
      </c>
      <c r="CR1064">
        <v>0</v>
      </c>
      <c r="CS1064">
        <v>0</v>
      </c>
      <c r="CT1064">
        <v>20.5</v>
      </c>
      <c r="CU1064">
        <v>38</v>
      </c>
      <c r="CV1064">
        <v>0.16</v>
      </c>
      <c r="CW1064">
        <v>35</v>
      </c>
      <c r="CX1064" t="s">
        <v>5509</v>
      </c>
    </row>
    <row r="1065" spans="1:102" x14ac:dyDescent="0.3">
      <c r="A1065" t="str">
        <f>HYPERLINK("https://webapp.icbf.com/v2/app/bull-search/view/992932992","YKF")</f>
        <v>YKF</v>
      </c>
      <c r="B1065" t="s">
        <v>7163</v>
      </c>
      <c r="C1065" t="s">
        <v>7164</v>
      </c>
      <c r="D1065" s="1">
        <v>40762</v>
      </c>
      <c r="E1065" t="s">
        <v>227</v>
      </c>
      <c r="F1065">
        <v>0</v>
      </c>
      <c r="G1065" t="s">
        <v>109</v>
      </c>
      <c r="H1065">
        <v>138.36000000000001</v>
      </c>
      <c r="I1065">
        <v>80</v>
      </c>
      <c r="J1065">
        <v>77.64</v>
      </c>
      <c r="K1065">
        <v>92</v>
      </c>
      <c r="L1065">
        <v>32.619999999999997</v>
      </c>
      <c r="M1065">
        <v>74</v>
      </c>
      <c r="N1065">
        <v>30.18</v>
      </c>
      <c r="O1065">
        <v>84</v>
      </c>
      <c r="P1065">
        <v>-59.16</v>
      </c>
      <c r="Q1065">
        <v>75</v>
      </c>
      <c r="R1065">
        <v>5.36</v>
      </c>
      <c r="S1065">
        <v>74</v>
      </c>
      <c r="T1065">
        <v>47.72</v>
      </c>
      <c r="U1065">
        <v>62</v>
      </c>
      <c r="V1065">
        <v>4</v>
      </c>
      <c r="W1065">
        <v>71</v>
      </c>
      <c r="X1065" t="s">
        <v>276</v>
      </c>
      <c r="Y1065" t="s">
        <v>375</v>
      </c>
      <c r="Z1065">
        <v>0</v>
      </c>
      <c r="AA1065" t="s">
        <v>2111</v>
      </c>
      <c r="AB1065" t="s">
        <v>7165</v>
      </c>
      <c r="AC1065">
        <v>0</v>
      </c>
      <c r="AD1065">
        <v>0</v>
      </c>
      <c r="AE1065">
        <v>92</v>
      </c>
      <c r="AF1065">
        <v>-398.88</v>
      </c>
      <c r="AG1065">
        <v>13.2</v>
      </c>
      <c r="AH1065">
        <v>2.4300000000000002</v>
      </c>
      <c r="AI1065">
        <v>0.54</v>
      </c>
      <c r="AJ1065">
        <v>0.3</v>
      </c>
      <c r="AK1065">
        <v>74</v>
      </c>
      <c r="AL1065">
        <v>0</v>
      </c>
      <c r="AM1065">
        <v>0</v>
      </c>
      <c r="AN1065">
        <v>0.42</v>
      </c>
      <c r="AO1065">
        <v>3.05</v>
      </c>
      <c r="AP1065">
        <v>249</v>
      </c>
      <c r="AQ1065">
        <v>3</v>
      </c>
      <c r="AR1065">
        <v>4.13</v>
      </c>
      <c r="AS1065">
        <v>83</v>
      </c>
      <c r="AT1065">
        <v>1.74</v>
      </c>
      <c r="AU1065">
        <v>86</v>
      </c>
      <c r="AV1065">
        <v>-1.67</v>
      </c>
      <c r="AW1065">
        <v>96</v>
      </c>
      <c r="AX1065">
        <v>-0.39</v>
      </c>
      <c r="AY1065">
        <v>82</v>
      </c>
      <c r="AZ1065">
        <v>6.89</v>
      </c>
      <c r="BA1065">
        <v>60</v>
      </c>
      <c r="BB1065">
        <v>5.18</v>
      </c>
      <c r="BC1065">
        <v>50</v>
      </c>
      <c r="BD1065">
        <v>-0.05</v>
      </c>
      <c r="BE1065">
        <v>0</v>
      </c>
      <c r="BF1065">
        <v>-0.04</v>
      </c>
      <c r="BG1065">
        <v>81</v>
      </c>
      <c r="BH1065">
        <v>0.19</v>
      </c>
      <c r="BI1065">
        <v>9.06</v>
      </c>
      <c r="BJ1065">
        <v>0</v>
      </c>
      <c r="BK1065">
        <v>0</v>
      </c>
      <c r="BL1065">
        <v>-2.79</v>
      </c>
      <c r="BM1065">
        <v>-0.98</v>
      </c>
      <c r="BN1065">
        <v>0.16</v>
      </c>
      <c r="BO1065">
        <v>1.21</v>
      </c>
      <c r="BP1065">
        <v>-0.74</v>
      </c>
      <c r="BQ1065">
        <v>-5.05</v>
      </c>
      <c r="BR1065">
        <v>2.14</v>
      </c>
      <c r="BS1065">
        <v>7.36</v>
      </c>
      <c r="BT1065">
        <v>-0.94</v>
      </c>
      <c r="BU1065">
        <v>-1.32</v>
      </c>
      <c r="BV1065">
        <v>-0.47</v>
      </c>
      <c r="BW1065">
        <v>-3.14</v>
      </c>
      <c r="BX1065">
        <v>-4.76</v>
      </c>
      <c r="BY1065">
        <v>-0.22</v>
      </c>
      <c r="BZ1065">
        <v>0.69</v>
      </c>
      <c r="CA1065">
        <v>1.19</v>
      </c>
      <c r="CB1065">
        <v>-0.81</v>
      </c>
      <c r="CC1065">
        <v>4.92</v>
      </c>
      <c r="CD1065">
        <v>-1.58</v>
      </c>
      <c r="CE1065">
        <v>1.24</v>
      </c>
      <c r="CF1065">
        <v>-2.4900000000000002</v>
      </c>
      <c r="CG1065">
        <v>0</v>
      </c>
      <c r="CH1065">
        <v>-1.69</v>
      </c>
      <c r="CI1065">
        <v>0</v>
      </c>
      <c r="CJ1065">
        <v>-29.9</v>
      </c>
      <c r="CK1065">
        <v>80</v>
      </c>
      <c r="CL1065">
        <v>-1.01</v>
      </c>
      <c r="CM1065">
        <v>72</v>
      </c>
      <c r="CN1065">
        <v>0.14000000000000001</v>
      </c>
      <c r="CO1065">
        <v>70</v>
      </c>
      <c r="CP1065">
        <v>-38.9</v>
      </c>
      <c r="CQ1065">
        <v>59</v>
      </c>
      <c r="CR1065">
        <v>0</v>
      </c>
      <c r="CS1065">
        <v>0</v>
      </c>
      <c r="CT1065">
        <v>-50.7</v>
      </c>
      <c r="CU1065">
        <v>62</v>
      </c>
      <c r="CV1065">
        <v>-0.22</v>
      </c>
      <c r="CW1065">
        <v>43</v>
      </c>
      <c r="CX1065" t="s">
        <v>7166</v>
      </c>
    </row>
    <row r="1066" spans="1:102" x14ac:dyDescent="0.3">
      <c r="A1066" t="str">
        <f>HYPERLINK("https://webapp.icbf.com/v2/app/bull-search/view/321028908","CFJ")</f>
        <v>CFJ</v>
      </c>
      <c r="B1066" t="s">
        <v>11657</v>
      </c>
      <c r="C1066" t="s">
        <v>11658</v>
      </c>
      <c r="D1066" s="1">
        <v>36367</v>
      </c>
      <c r="E1066" t="s">
        <v>227</v>
      </c>
      <c r="F1066">
        <v>0</v>
      </c>
      <c r="G1066" t="s">
        <v>93</v>
      </c>
      <c r="H1066">
        <v>138.35</v>
      </c>
      <c r="I1066">
        <v>97</v>
      </c>
      <c r="J1066">
        <v>57.57</v>
      </c>
      <c r="K1066">
        <v>99</v>
      </c>
      <c r="L1066">
        <v>43.14</v>
      </c>
      <c r="M1066">
        <v>94</v>
      </c>
      <c r="N1066">
        <v>24.72</v>
      </c>
      <c r="O1066">
        <v>97</v>
      </c>
      <c r="P1066">
        <v>-60.5</v>
      </c>
      <c r="Q1066">
        <v>98</v>
      </c>
      <c r="R1066">
        <v>-0.1</v>
      </c>
      <c r="S1066">
        <v>95</v>
      </c>
      <c r="T1066">
        <v>67.7</v>
      </c>
      <c r="U1066">
        <v>98</v>
      </c>
      <c r="V1066">
        <v>5.82</v>
      </c>
      <c r="W1066">
        <v>97</v>
      </c>
      <c r="X1066" t="s">
        <v>302</v>
      </c>
      <c r="Y1066" t="s">
        <v>95</v>
      </c>
      <c r="Z1066">
        <v>0</v>
      </c>
      <c r="AA1066" t="s">
        <v>3240</v>
      </c>
      <c r="AB1066" t="s">
        <v>11659</v>
      </c>
      <c r="AC1066">
        <v>565</v>
      </c>
      <c r="AD1066">
        <v>144</v>
      </c>
      <c r="AE1066">
        <v>99</v>
      </c>
      <c r="AF1066">
        <v>-230.97</v>
      </c>
      <c r="AG1066">
        <v>14.15</v>
      </c>
      <c r="AH1066">
        <v>1.25</v>
      </c>
      <c r="AI1066">
        <v>0.42</v>
      </c>
      <c r="AJ1066">
        <v>0.17</v>
      </c>
      <c r="AK1066">
        <v>94</v>
      </c>
      <c r="AL1066">
        <v>551</v>
      </c>
      <c r="AM1066">
        <v>137</v>
      </c>
      <c r="AN1066">
        <v>-0.85</v>
      </c>
      <c r="AO1066">
        <v>2.61</v>
      </c>
      <c r="AP1066">
        <v>725</v>
      </c>
      <c r="AQ1066">
        <v>5</v>
      </c>
      <c r="AR1066">
        <v>2.11</v>
      </c>
      <c r="AS1066">
        <v>96</v>
      </c>
      <c r="AT1066">
        <v>1.32</v>
      </c>
      <c r="AU1066">
        <v>96</v>
      </c>
      <c r="AV1066">
        <v>-1.17</v>
      </c>
      <c r="AW1066">
        <v>99</v>
      </c>
      <c r="AX1066">
        <v>1.37</v>
      </c>
      <c r="AY1066">
        <v>96</v>
      </c>
      <c r="AZ1066">
        <v>6.97</v>
      </c>
      <c r="BA1066">
        <v>90</v>
      </c>
      <c r="BB1066">
        <v>5.54</v>
      </c>
      <c r="BC1066">
        <v>92</v>
      </c>
      <c r="BD1066">
        <v>-7.0000000000000007E-2</v>
      </c>
      <c r="BE1066">
        <v>0.01</v>
      </c>
      <c r="BF1066">
        <v>0.1</v>
      </c>
      <c r="BG1066">
        <v>98</v>
      </c>
      <c r="BH1066">
        <v>0.28000000000000003</v>
      </c>
      <c r="BI1066">
        <v>13.61</v>
      </c>
      <c r="BJ1066">
        <v>25</v>
      </c>
      <c r="BK1066">
        <v>16</v>
      </c>
      <c r="BL1066">
        <v>-2.87</v>
      </c>
      <c r="BM1066">
        <v>-1.8</v>
      </c>
      <c r="BN1066">
        <v>-0.86</v>
      </c>
      <c r="BO1066">
        <v>0.78</v>
      </c>
      <c r="BP1066">
        <v>0.3</v>
      </c>
      <c r="BQ1066">
        <v>-6.72</v>
      </c>
      <c r="BR1066">
        <v>2.29</v>
      </c>
      <c r="BS1066">
        <v>5.24</v>
      </c>
      <c r="BT1066">
        <v>-1.87</v>
      </c>
      <c r="BU1066">
        <v>-1.28</v>
      </c>
      <c r="BV1066">
        <v>-0.03</v>
      </c>
      <c r="BW1066">
        <v>-3</v>
      </c>
      <c r="BX1066">
        <v>-4.8499999999999996</v>
      </c>
      <c r="BY1066">
        <v>-0.24</v>
      </c>
      <c r="BZ1066">
        <v>-0.04</v>
      </c>
      <c r="CA1066">
        <v>0.44</v>
      </c>
      <c r="CB1066">
        <v>-0.34</v>
      </c>
      <c r="CC1066">
        <v>1.89</v>
      </c>
      <c r="CD1066">
        <v>-1.1399999999999999</v>
      </c>
      <c r="CE1066">
        <v>0.8</v>
      </c>
      <c r="CF1066">
        <v>-3.48</v>
      </c>
      <c r="CG1066">
        <v>0</v>
      </c>
      <c r="CH1066">
        <v>-0.37</v>
      </c>
      <c r="CI1066">
        <v>0</v>
      </c>
      <c r="CJ1066">
        <v>-30.8</v>
      </c>
      <c r="CK1066">
        <v>98</v>
      </c>
      <c r="CL1066">
        <v>-0.83</v>
      </c>
      <c r="CM1066">
        <v>98</v>
      </c>
      <c r="CN1066">
        <v>0.13</v>
      </c>
      <c r="CO1066">
        <v>98</v>
      </c>
      <c r="CP1066">
        <v>-52.7</v>
      </c>
      <c r="CQ1066">
        <v>98</v>
      </c>
      <c r="CR1066">
        <v>0</v>
      </c>
      <c r="CS1066">
        <v>0</v>
      </c>
      <c r="CT1066">
        <v>-77.7</v>
      </c>
      <c r="CU1066">
        <v>98</v>
      </c>
      <c r="CV1066">
        <v>-0.31</v>
      </c>
      <c r="CW1066">
        <v>46</v>
      </c>
      <c r="CX1066" t="s">
        <v>788</v>
      </c>
    </row>
    <row r="1067" spans="1:102" x14ac:dyDescent="0.3">
      <c r="A1067" t="str">
        <f>HYPERLINK("https://webapp.icbf.com/v2/app/bull-search/view/714771991","GZG")</f>
        <v>GZG</v>
      </c>
      <c r="B1067" t="s">
        <v>5491</v>
      </c>
      <c r="C1067" t="s">
        <v>5492</v>
      </c>
      <c r="D1067" s="1">
        <v>38946</v>
      </c>
      <c r="E1067" t="s">
        <v>92</v>
      </c>
      <c r="F1067">
        <v>100</v>
      </c>
      <c r="G1067" t="s">
        <v>93</v>
      </c>
      <c r="H1067">
        <v>138.25</v>
      </c>
      <c r="I1067">
        <v>96</v>
      </c>
      <c r="J1067">
        <v>82.33</v>
      </c>
      <c r="K1067">
        <v>99</v>
      </c>
      <c r="L1067">
        <v>15.97</v>
      </c>
      <c r="M1067">
        <v>94</v>
      </c>
      <c r="N1067">
        <v>34.19</v>
      </c>
      <c r="O1067">
        <v>97</v>
      </c>
      <c r="P1067">
        <v>-8.7899999999999991</v>
      </c>
      <c r="Q1067">
        <v>99</v>
      </c>
      <c r="R1067">
        <v>14.13</v>
      </c>
      <c r="S1067">
        <v>90</v>
      </c>
      <c r="T1067">
        <v>-4.9000000000000004</v>
      </c>
      <c r="U1067">
        <v>95</v>
      </c>
      <c r="V1067">
        <v>5.32</v>
      </c>
      <c r="W1067">
        <v>82</v>
      </c>
      <c r="X1067" t="s">
        <v>102</v>
      </c>
      <c r="Y1067" t="s">
        <v>1756</v>
      </c>
      <c r="Z1067" t="s">
        <v>96</v>
      </c>
      <c r="AA1067" t="s">
        <v>309</v>
      </c>
      <c r="AB1067" t="s">
        <v>5493</v>
      </c>
      <c r="AC1067">
        <v>1078</v>
      </c>
      <c r="AD1067">
        <v>251</v>
      </c>
      <c r="AE1067">
        <v>99</v>
      </c>
      <c r="AF1067">
        <v>483.91</v>
      </c>
      <c r="AG1067">
        <v>11.84</v>
      </c>
      <c r="AH1067">
        <v>17.22</v>
      </c>
      <c r="AI1067">
        <v>-0.11</v>
      </c>
      <c r="AJ1067">
        <v>0.01</v>
      </c>
      <c r="AK1067">
        <v>94</v>
      </c>
      <c r="AL1067">
        <v>972</v>
      </c>
      <c r="AM1067">
        <v>237</v>
      </c>
      <c r="AN1067">
        <v>0.42</v>
      </c>
      <c r="AO1067">
        <v>1.71</v>
      </c>
      <c r="AP1067">
        <v>1792</v>
      </c>
      <c r="AQ1067">
        <v>35</v>
      </c>
      <c r="AR1067">
        <v>5.44</v>
      </c>
      <c r="AS1067">
        <v>97</v>
      </c>
      <c r="AT1067">
        <v>2.14</v>
      </c>
      <c r="AU1067">
        <v>98</v>
      </c>
      <c r="AV1067">
        <v>-2.61</v>
      </c>
      <c r="AW1067">
        <v>99</v>
      </c>
      <c r="AX1067">
        <v>-0.16</v>
      </c>
      <c r="AY1067">
        <v>98</v>
      </c>
      <c r="AZ1067">
        <v>6.23</v>
      </c>
      <c r="BA1067">
        <v>92</v>
      </c>
      <c r="BB1067">
        <v>4.97</v>
      </c>
      <c r="BC1067">
        <v>89</v>
      </c>
      <c r="BD1067">
        <v>-0.03</v>
      </c>
      <c r="BE1067">
        <v>-0.05</v>
      </c>
      <c r="BF1067">
        <v>-0.18</v>
      </c>
      <c r="BG1067">
        <v>98</v>
      </c>
      <c r="BH1067">
        <v>0.06</v>
      </c>
      <c r="BI1067">
        <v>-10.220000000000001</v>
      </c>
      <c r="BJ1067">
        <v>375</v>
      </c>
      <c r="BK1067">
        <v>119</v>
      </c>
      <c r="BL1067">
        <v>1.34</v>
      </c>
      <c r="BM1067">
        <v>-7.0000000000000007E-2</v>
      </c>
      <c r="BN1067">
        <v>1.31</v>
      </c>
      <c r="BO1067">
        <v>1.26</v>
      </c>
      <c r="BP1067">
        <v>-0.98</v>
      </c>
      <c r="BQ1067">
        <v>0.74</v>
      </c>
      <c r="BR1067">
        <v>0.16</v>
      </c>
      <c r="BS1067">
        <v>2</v>
      </c>
      <c r="BT1067">
        <v>0.56999999999999995</v>
      </c>
      <c r="BU1067">
        <v>2.02</v>
      </c>
      <c r="BV1067">
        <v>1.99</v>
      </c>
      <c r="BW1067">
        <v>1.98</v>
      </c>
      <c r="BX1067">
        <v>1.45</v>
      </c>
      <c r="BY1067">
        <v>-0.08</v>
      </c>
      <c r="BZ1067">
        <v>-0.06</v>
      </c>
      <c r="CA1067">
        <v>2.14</v>
      </c>
      <c r="CB1067">
        <v>1.92</v>
      </c>
      <c r="CC1067">
        <v>1.65</v>
      </c>
      <c r="CD1067">
        <v>0.03</v>
      </c>
      <c r="CE1067">
        <v>1.1399999999999999</v>
      </c>
      <c r="CF1067">
        <v>1.47</v>
      </c>
      <c r="CG1067">
        <v>0</v>
      </c>
      <c r="CH1067">
        <v>-0.15</v>
      </c>
      <c r="CI1067">
        <v>0</v>
      </c>
      <c r="CJ1067">
        <v>0.2</v>
      </c>
      <c r="CK1067">
        <v>99</v>
      </c>
      <c r="CL1067">
        <v>-1.32</v>
      </c>
      <c r="CM1067">
        <v>99</v>
      </c>
      <c r="CN1067">
        <v>-0.36</v>
      </c>
      <c r="CO1067">
        <v>99</v>
      </c>
      <c r="CP1067">
        <v>2.2999999999999998</v>
      </c>
      <c r="CQ1067">
        <v>96</v>
      </c>
      <c r="CR1067">
        <v>0</v>
      </c>
      <c r="CS1067">
        <v>0</v>
      </c>
      <c r="CT1067">
        <v>20.399999999999999</v>
      </c>
      <c r="CU1067">
        <v>95</v>
      </c>
      <c r="CV1067">
        <v>0.34</v>
      </c>
      <c r="CW1067">
        <v>47</v>
      </c>
      <c r="CX1067" t="s">
        <v>316</v>
      </c>
    </row>
    <row r="1068" spans="1:102" x14ac:dyDescent="0.3">
      <c r="A1068" t="str">
        <f>HYPERLINK("https://webapp.icbf.com/v2/app/bull-search/view/440927512","DJJ")</f>
        <v>DJJ</v>
      </c>
      <c r="B1068" t="s">
        <v>4537</v>
      </c>
      <c r="C1068" t="s">
        <v>4538</v>
      </c>
      <c r="D1068" s="1">
        <v>38698</v>
      </c>
      <c r="E1068" t="s">
        <v>92</v>
      </c>
      <c r="F1068">
        <v>88</v>
      </c>
      <c r="G1068" t="s">
        <v>116</v>
      </c>
      <c r="H1068">
        <v>138.22</v>
      </c>
      <c r="I1068">
        <v>32</v>
      </c>
      <c r="J1068">
        <v>51.89</v>
      </c>
      <c r="K1068">
        <v>20</v>
      </c>
      <c r="L1068">
        <v>43.9</v>
      </c>
      <c r="M1068">
        <v>34</v>
      </c>
      <c r="N1068">
        <v>33.03</v>
      </c>
      <c r="O1068">
        <v>46</v>
      </c>
      <c r="P1068">
        <v>-6.66</v>
      </c>
      <c r="Q1068">
        <v>49</v>
      </c>
      <c r="R1068">
        <v>3.73</v>
      </c>
      <c r="S1068">
        <v>37</v>
      </c>
      <c r="T1068">
        <v>7.61</v>
      </c>
      <c r="U1068">
        <v>38</v>
      </c>
      <c r="V1068">
        <v>4.72</v>
      </c>
      <c r="W1068">
        <v>33</v>
      </c>
      <c r="X1068" t="s">
        <v>94</v>
      </c>
      <c r="Y1068" t="s">
        <v>1251</v>
      </c>
      <c r="Z1068" t="s">
        <v>96</v>
      </c>
      <c r="AA1068" t="s">
        <v>316</v>
      </c>
      <c r="AB1068" t="s">
        <v>4539</v>
      </c>
      <c r="AC1068">
        <v>2</v>
      </c>
      <c r="AD1068">
        <v>1</v>
      </c>
      <c r="AE1068">
        <v>20</v>
      </c>
      <c r="AF1068">
        <v>166.06</v>
      </c>
      <c r="AG1068">
        <v>8.84</v>
      </c>
      <c r="AH1068">
        <v>8.24</v>
      </c>
      <c r="AI1068">
        <v>0.04</v>
      </c>
      <c r="AJ1068">
        <v>0.04</v>
      </c>
      <c r="AK1068">
        <v>34</v>
      </c>
      <c r="AL1068">
        <v>3</v>
      </c>
      <c r="AM1068">
        <v>1</v>
      </c>
      <c r="AN1068">
        <v>-2.48</v>
      </c>
      <c r="AO1068">
        <v>1.02</v>
      </c>
      <c r="AP1068">
        <v>7</v>
      </c>
      <c r="AQ1068">
        <v>0</v>
      </c>
      <c r="AR1068">
        <v>4.59</v>
      </c>
      <c r="AS1068">
        <v>37</v>
      </c>
      <c r="AT1068">
        <v>1.79</v>
      </c>
      <c r="AU1068">
        <v>37</v>
      </c>
      <c r="AV1068">
        <v>-2.39</v>
      </c>
      <c r="AW1068">
        <v>62</v>
      </c>
      <c r="AX1068">
        <v>-0.51</v>
      </c>
      <c r="AY1068">
        <v>36</v>
      </c>
      <c r="AZ1068">
        <v>7.17</v>
      </c>
      <c r="BA1068">
        <v>30</v>
      </c>
      <c r="BB1068">
        <v>5.49</v>
      </c>
      <c r="BC1068">
        <v>31</v>
      </c>
      <c r="BD1068">
        <v>-0.01</v>
      </c>
      <c r="BE1068">
        <v>-0.01</v>
      </c>
      <c r="BF1068">
        <v>-0.05</v>
      </c>
      <c r="BG1068">
        <v>40</v>
      </c>
      <c r="BH1068">
        <v>0.11</v>
      </c>
      <c r="BI1068">
        <v>-2.4900000000000002</v>
      </c>
      <c r="BJ1068">
        <v>0</v>
      </c>
      <c r="BK1068">
        <v>0</v>
      </c>
      <c r="BL1068">
        <v>-0.25</v>
      </c>
      <c r="BM1068">
        <v>0.8</v>
      </c>
      <c r="BN1068">
        <v>0.1</v>
      </c>
      <c r="BO1068">
        <v>-0.51</v>
      </c>
      <c r="BP1068">
        <v>0.56000000000000005</v>
      </c>
      <c r="BQ1068">
        <v>-1.04</v>
      </c>
      <c r="BR1068">
        <v>-0.68</v>
      </c>
      <c r="BS1068">
        <v>-0.63</v>
      </c>
      <c r="BT1068">
        <v>-0.24</v>
      </c>
      <c r="BU1068">
        <v>-0.47</v>
      </c>
      <c r="BV1068">
        <v>-0.79</v>
      </c>
      <c r="BW1068">
        <v>-1.05</v>
      </c>
      <c r="BX1068">
        <v>-0.42</v>
      </c>
      <c r="BY1068">
        <v>0.16</v>
      </c>
      <c r="BZ1068">
        <v>-0.49</v>
      </c>
      <c r="CA1068">
        <v>-0.2</v>
      </c>
      <c r="CB1068">
        <v>-0.18</v>
      </c>
      <c r="CC1068">
        <v>-0.2</v>
      </c>
      <c r="CD1068">
        <v>0.82</v>
      </c>
      <c r="CE1068">
        <v>-0.3</v>
      </c>
      <c r="CF1068">
        <v>0.04</v>
      </c>
      <c r="CG1068">
        <v>0</v>
      </c>
      <c r="CH1068">
        <v>0.03</v>
      </c>
      <c r="CI1068">
        <v>0</v>
      </c>
      <c r="CJ1068">
        <v>-2.8</v>
      </c>
      <c r="CK1068">
        <v>51</v>
      </c>
      <c r="CL1068">
        <v>-0.56999999999999995</v>
      </c>
      <c r="CM1068">
        <v>48</v>
      </c>
      <c r="CN1068">
        <v>-0.33</v>
      </c>
      <c r="CO1068">
        <v>46</v>
      </c>
      <c r="CP1068">
        <v>-5.2</v>
      </c>
      <c r="CQ1068">
        <v>45</v>
      </c>
      <c r="CR1068">
        <v>0</v>
      </c>
      <c r="CS1068">
        <v>0</v>
      </c>
      <c r="CT1068">
        <v>3.5</v>
      </c>
      <c r="CU1068">
        <v>38</v>
      </c>
      <c r="CV1068">
        <v>0.14000000000000001</v>
      </c>
      <c r="CW1068">
        <v>19</v>
      </c>
      <c r="CX1068" t="s">
        <v>792</v>
      </c>
    </row>
    <row r="1069" spans="1:102" x14ac:dyDescent="0.3">
      <c r="A1069" t="str">
        <f>HYPERLINK("https://webapp.icbf.com/v2/app/bull-search/view/69092656","SFQ")</f>
        <v>SFQ</v>
      </c>
      <c r="B1069" t="s">
        <v>4750</v>
      </c>
      <c r="C1069" t="s">
        <v>4751</v>
      </c>
      <c r="D1069" s="1">
        <v>33446</v>
      </c>
      <c r="E1069" t="s">
        <v>227</v>
      </c>
      <c r="F1069">
        <v>0</v>
      </c>
      <c r="G1069" t="s">
        <v>109</v>
      </c>
      <c r="H1069">
        <v>138.22</v>
      </c>
      <c r="I1069">
        <v>64</v>
      </c>
      <c r="J1069">
        <v>18.510000000000002</v>
      </c>
      <c r="K1069">
        <v>83</v>
      </c>
      <c r="L1069">
        <v>81.03</v>
      </c>
      <c r="M1069">
        <v>66</v>
      </c>
      <c r="N1069">
        <v>34.75</v>
      </c>
      <c r="O1069">
        <v>39</v>
      </c>
      <c r="P1069">
        <v>-57.84</v>
      </c>
      <c r="Q1069">
        <v>49</v>
      </c>
      <c r="R1069">
        <v>1.3</v>
      </c>
      <c r="S1069">
        <v>38</v>
      </c>
      <c r="T1069">
        <v>64.66</v>
      </c>
      <c r="U1069">
        <v>49</v>
      </c>
      <c r="V1069">
        <v>-4.1900000000000004</v>
      </c>
      <c r="W1069">
        <v>34</v>
      </c>
      <c r="X1069" t="s">
        <v>302</v>
      </c>
      <c r="Y1069" t="s">
        <v>95</v>
      </c>
      <c r="Z1069">
        <v>0</v>
      </c>
      <c r="AA1069" t="s">
        <v>790</v>
      </c>
      <c r="AB1069" t="s">
        <v>4752</v>
      </c>
      <c r="AC1069">
        <v>0</v>
      </c>
      <c r="AD1069">
        <v>0</v>
      </c>
      <c r="AE1069">
        <v>83</v>
      </c>
      <c r="AF1069">
        <v>-492.55</v>
      </c>
      <c r="AG1069">
        <v>6.84</v>
      </c>
      <c r="AH1069">
        <v>-6.81</v>
      </c>
      <c r="AI1069">
        <v>0.47</v>
      </c>
      <c r="AJ1069">
        <v>0.18</v>
      </c>
      <c r="AK1069">
        <v>66</v>
      </c>
      <c r="AL1069">
        <v>0</v>
      </c>
      <c r="AM1069">
        <v>0</v>
      </c>
      <c r="AN1069">
        <v>-3</v>
      </c>
      <c r="AO1069">
        <v>3.48</v>
      </c>
      <c r="AP1069">
        <v>3</v>
      </c>
      <c r="AQ1069">
        <v>0</v>
      </c>
      <c r="AR1069">
        <v>2.54</v>
      </c>
      <c r="AS1069">
        <v>38</v>
      </c>
      <c r="AT1069">
        <v>1.4</v>
      </c>
      <c r="AU1069">
        <v>40</v>
      </c>
      <c r="AV1069">
        <v>-2.0099999999999998</v>
      </c>
      <c r="AW1069">
        <v>40</v>
      </c>
      <c r="AX1069">
        <v>0.03</v>
      </c>
      <c r="AY1069">
        <v>44</v>
      </c>
      <c r="AZ1069">
        <v>7.07</v>
      </c>
      <c r="BA1069">
        <v>33</v>
      </c>
      <c r="BB1069">
        <v>5.36</v>
      </c>
      <c r="BC1069">
        <v>34</v>
      </c>
      <c r="BD1069">
        <v>-0.06</v>
      </c>
      <c r="BE1069">
        <v>0</v>
      </c>
      <c r="BF1069">
        <v>7.0000000000000007E-2</v>
      </c>
      <c r="BG1069">
        <v>41</v>
      </c>
      <c r="BH1069">
        <v>-0.03</v>
      </c>
      <c r="BI1069">
        <v>10.050000000000001</v>
      </c>
      <c r="BJ1069">
        <v>0</v>
      </c>
      <c r="BK1069">
        <v>0</v>
      </c>
      <c r="BL1069">
        <v>-2.59</v>
      </c>
      <c r="BM1069">
        <v>-1.86</v>
      </c>
      <c r="BN1069">
        <v>-0.5</v>
      </c>
      <c r="BO1069">
        <v>1.1599999999999999</v>
      </c>
      <c r="BP1069">
        <v>-0.72</v>
      </c>
      <c r="BQ1069">
        <v>-5.88</v>
      </c>
      <c r="BR1069">
        <v>2.06</v>
      </c>
      <c r="BS1069">
        <v>6.37</v>
      </c>
      <c r="BT1069">
        <v>-1.47</v>
      </c>
      <c r="BU1069">
        <v>-0.96</v>
      </c>
      <c r="BV1069">
        <v>-0.12</v>
      </c>
      <c r="BW1069">
        <v>-2.2799999999999998</v>
      </c>
      <c r="BX1069">
        <v>-4.46</v>
      </c>
      <c r="BY1069">
        <v>-0.44</v>
      </c>
      <c r="BZ1069">
        <v>-0.35</v>
      </c>
      <c r="CA1069">
        <v>1.27</v>
      </c>
      <c r="CB1069">
        <v>-0.28000000000000003</v>
      </c>
      <c r="CC1069">
        <v>3.94</v>
      </c>
      <c r="CD1069">
        <v>-1.76</v>
      </c>
      <c r="CE1069">
        <v>1.32</v>
      </c>
      <c r="CF1069">
        <v>-2.67</v>
      </c>
      <c r="CG1069">
        <v>0</v>
      </c>
      <c r="CH1069">
        <v>-0.83</v>
      </c>
      <c r="CI1069">
        <v>0</v>
      </c>
      <c r="CJ1069">
        <v>-30</v>
      </c>
      <c r="CK1069">
        <v>51</v>
      </c>
      <c r="CL1069">
        <v>-0.94</v>
      </c>
      <c r="CM1069">
        <v>47</v>
      </c>
      <c r="CN1069">
        <v>-0.03</v>
      </c>
      <c r="CO1069">
        <v>46</v>
      </c>
      <c r="CP1069">
        <v>-47.3</v>
      </c>
      <c r="CQ1069">
        <v>47</v>
      </c>
      <c r="CR1069">
        <v>0</v>
      </c>
      <c r="CS1069">
        <v>0</v>
      </c>
      <c r="CT1069">
        <v>-73.599999999999994</v>
      </c>
      <c r="CU1069">
        <v>49</v>
      </c>
      <c r="CV1069">
        <v>-0.36</v>
      </c>
      <c r="CW1069">
        <v>15</v>
      </c>
      <c r="CX1069" t="s">
        <v>4753</v>
      </c>
    </row>
    <row r="1070" spans="1:102" x14ac:dyDescent="0.3">
      <c r="A1070" t="str">
        <f>HYPERLINK("https://webapp.icbf.com/v2/app/bull-search/view/1150928156","JE4512")</f>
        <v>JE4512</v>
      </c>
      <c r="B1070" t="s">
        <v>2312</v>
      </c>
      <c r="C1070" t="s">
        <v>2313</v>
      </c>
      <c r="D1070" s="1">
        <v>41479</v>
      </c>
      <c r="E1070" t="s">
        <v>227</v>
      </c>
      <c r="F1070">
        <v>25</v>
      </c>
      <c r="G1070" t="s">
        <v>109</v>
      </c>
      <c r="H1070">
        <v>138.19999999999999</v>
      </c>
      <c r="I1070">
        <v>73</v>
      </c>
      <c r="J1070">
        <v>92.4</v>
      </c>
      <c r="K1070">
        <v>89</v>
      </c>
      <c r="L1070">
        <v>-4.95</v>
      </c>
      <c r="M1070">
        <v>67</v>
      </c>
      <c r="N1070">
        <v>49.67</v>
      </c>
      <c r="O1070">
        <v>82</v>
      </c>
      <c r="P1070">
        <v>-54</v>
      </c>
      <c r="Q1070">
        <v>52</v>
      </c>
      <c r="R1070">
        <v>-2.48</v>
      </c>
      <c r="S1070">
        <v>65</v>
      </c>
      <c r="T1070">
        <v>46.16</v>
      </c>
      <c r="U1070">
        <v>47</v>
      </c>
      <c r="V1070">
        <v>11.4</v>
      </c>
      <c r="W1070">
        <v>61</v>
      </c>
      <c r="X1070" t="s">
        <v>276</v>
      </c>
      <c r="Y1070" t="s">
        <v>442</v>
      </c>
      <c r="Z1070">
        <v>0</v>
      </c>
      <c r="AA1070" t="s">
        <v>2314</v>
      </c>
      <c r="AB1070" t="s">
        <v>2315</v>
      </c>
      <c r="AC1070">
        <v>0</v>
      </c>
      <c r="AD1070">
        <v>0</v>
      </c>
      <c r="AE1070">
        <v>89</v>
      </c>
      <c r="AF1070">
        <v>-105.84</v>
      </c>
      <c r="AG1070">
        <v>16.86</v>
      </c>
      <c r="AH1070">
        <v>8.1300000000000008</v>
      </c>
      <c r="AI1070">
        <v>0.37</v>
      </c>
      <c r="AJ1070">
        <v>0.21</v>
      </c>
      <c r="AK1070">
        <v>67</v>
      </c>
      <c r="AL1070">
        <v>0</v>
      </c>
      <c r="AM1070">
        <v>0</v>
      </c>
      <c r="AN1070">
        <v>1.41</v>
      </c>
      <c r="AO1070">
        <v>1.03</v>
      </c>
      <c r="AP1070">
        <v>235</v>
      </c>
      <c r="AQ1070">
        <v>0</v>
      </c>
      <c r="AR1070">
        <v>3.48</v>
      </c>
      <c r="AS1070">
        <v>83</v>
      </c>
      <c r="AT1070">
        <v>1.48</v>
      </c>
      <c r="AU1070">
        <v>83</v>
      </c>
      <c r="AV1070">
        <v>-4.6399999999999997</v>
      </c>
      <c r="AW1070">
        <v>95</v>
      </c>
      <c r="AX1070">
        <v>0.72</v>
      </c>
      <c r="AY1070">
        <v>82</v>
      </c>
      <c r="AZ1070">
        <v>7.39</v>
      </c>
      <c r="BA1070">
        <v>47</v>
      </c>
      <c r="BB1070">
        <v>5.7</v>
      </c>
      <c r="BC1070">
        <v>46</v>
      </c>
      <c r="BD1070">
        <v>0</v>
      </c>
      <c r="BE1070">
        <v>0.03</v>
      </c>
      <c r="BF1070">
        <v>0</v>
      </c>
      <c r="BG1070">
        <v>72</v>
      </c>
      <c r="BH1070">
        <v>0.22</v>
      </c>
      <c r="BI1070">
        <v>-11.31</v>
      </c>
      <c r="BJ1070">
        <v>0</v>
      </c>
      <c r="BK1070">
        <v>0</v>
      </c>
      <c r="BL1070">
        <v>-3.05</v>
      </c>
      <c r="BM1070">
        <v>-1.1100000000000001</v>
      </c>
      <c r="BN1070">
        <v>-0.32</v>
      </c>
      <c r="BO1070">
        <v>0.56999999999999995</v>
      </c>
      <c r="BP1070">
        <v>-0.75</v>
      </c>
      <c r="BQ1070">
        <v>-4.05</v>
      </c>
      <c r="BR1070">
        <v>2.2799999999999998</v>
      </c>
      <c r="BS1070">
        <v>4.96</v>
      </c>
      <c r="BT1070">
        <v>-0.7</v>
      </c>
      <c r="BU1070">
        <v>-1.66</v>
      </c>
      <c r="BV1070">
        <v>-1.4</v>
      </c>
      <c r="BW1070">
        <v>-3.01</v>
      </c>
      <c r="BX1070">
        <v>-3.69</v>
      </c>
      <c r="BY1070">
        <v>0</v>
      </c>
      <c r="BZ1070">
        <v>-0.89</v>
      </c>
      <c r="CA1070">
        <v>-0.54</v>
      </c>
      <c r="CB1070">
        <v>-1.72</v>
      </c>
      <c r="CC1070">
        <v>2.41</v>
      </c>
      <c r="CD1070">
        <v>-2.06</v>
      </c>
      <c r="CE1070">
        <v>-0.23</v>
      </c>
      <c r="CF1070">
        <v>-2.95</v>
      </c>
      <c r="CG1070">
        <v>0</v>
      </c>
      <c r="CH1070">
        <v>-1.43</v>
      </c>
      <c r="CI1070">
        <v>0</v>
      </c>
      <c r="CJ1070">
        <v>-29.8</v>
      </c>
      <c r="CK1070">
        <v>56</v>
      </c>
      <c r="CL1070">
        <v>-0.88</v>
      </c>
      <c r="CM1070">
        <v>45</v>
      </c>
      <c r="CN1070">
        <v>-0.22</v>
      </c>
      <c r="CO1070">
        <v>45</v>
      </c>
      <c r="CP1070">
        <v>-42.5</v>
      </c>
      <c r="CQ1070">
        <v>48</v>
      </c>
      <c r="CR1070">
        <v>0</v>
      </c>
      <c r="CS1070">
        <v>0</v>
      </c>
      <c r="CT1070">
        <v>-48.6</v>
      </c>
      <c r="CU1070">
        <v>47</v>
      </c>
      <c r="CV1070">
        <v>-0.08</v>
      </c>
      <c r="CW1070">
        <v>35</v>
      </c>
      <c r="CX1070" t="s">
        <v>1700</v>
      </c>
    </row>
    <row r="1071" spans="1:102" x14ac:dyDescent="0.3">
      <c r="A1071" t="str">
        <f>HYPERLINK("https://webapp.icbf.com/v2/app/bull-search/view/863179681","WZB")</f>
        <v>WZB</v>
      </c>
      <c r="B1071" t="s">
        <v>5697</v>
      </c>
      <c r="C1071" t="s">
        <v>5698</v>
      </c>
      <c r="D1071" s="1">
        <v>40586</v>
      </c>
      <c r="E1071" t="s">
        <v>108</v>
      </c>
      <c r="F1071">
        <v>38</v>
      </c>
      <c r="G1071" t="s">
        <v>93</v>
      </c>
      <c r="H1071">
        <v>138.18</v>
      </c>
      <c r="I1071">
        <v>96</v>
      </c>
      <c r="J1071">
        <v>8.0500000000000007</v>
      </c>
      <c r="K1071">
        <v>99</v>
      </c>
      <c r="L1071">
        <v>77.02</v>
      </c>
      <c r="M1071">
        <v>93</v>
      </c>
      <c r="N1071">
        <v>56.02</v>
      </c>
      <c r="O1071">
        <v>98</v>
      </c>
      <c r="P1071">
        <v>-7.09</v>
      </c>
      <c r="Q1071">
        <v>99</v>
      </c>
      <c r="R1071">
        <v>6.64</v>
      </c>
      <c r="S1071">
        <v>92</v>
      </c>
      <c r="T1071">
        <v>-5.71</v>
      </c>
      <c r="U1071">
        <v>97</v>
      </c>
      <c r="V1071">
        <v>3.25</v>
      </c>
      <c r="W1071">
        <v>82</v>
      </c>
      <c r="X1071" t="s">
        <v>102</v>
      </c>
      <c r="Y1071" t="s">
        <v>1860</v>
      </c>
      <c r="Z1071" t="s">
        <v>96</v>
      </c>
      <c r="AA1071" t="s">
        <v>1512</v>
      </c>
      <c r="AB1071" t="s">
        <v>5699</v>
      </c>
      <c r="AC1071">
        <v>1341</v>
      </c>
      <c r="AD1071">
        <v>399</v>
      </c>
      <c r="AE1071">
        <v>99</v>
      </c>
      <c r="AF1071">
        <v>168.3</v>
      </c>
      <c r="AG1071">
        <v>3.49</v>
      </c>
      <c r="AH1071">
        <v>2.71</v>
      </c>
      <c r="AI1071">
        <v>-0.05</v>
      </c>
      <c r="AJ1071">
        <v>-0.05</v>
      </c>
      <c r="AK1071">
        <v>93</v>
      </c>
      <c r="AL1071">
        <v>2208</v>
      </c>
      <c r="AM1071">
        <v>667</v>
      </c>
      <c r="AN1071">
        <v>-3.61</v>
      </c>
      <c r="AO1071">
        <v>2.54</v>
      </c>
      <c r="AP1071">
        <v>4355</v>
      </c>
      <c r="AQ1071">
        <v>37</v>
      </c>
      <c r="AR1071">
        <v>5.15</v>
      </c>
      <c r="AS1071">
        <v>97</v>
      </c>
      <c r="AT1071">
        <v>2.2200000000000002</v>
      </c>
      <c r="AU1071">
        <v>99</v>
      </c>
      <c r="AV1071">
        <v>-4.68</v>
      </c>
      <c r="AW1071">
        <v>99</v>
      </c>
      <c r="AX1071">
        <v>-0.37</v>
      </c>
      <c r="AY1071">
        <v>99</v>
      </c>
      <c r="AZ1071">
        <v>5.26</v>
      </c>
      <c r="BA1071">
        <v>96</v>
      </c>
      <c r="BB1071">
        <v>4.22</v>
      </c>
      <c r="BC1071">
        <v>93</v>
      </c>
      <c r="BD1071">
        <v>-0.01</v>
      </c>
      <c r="BE1071">
        <v>-0.04</v>
      </c>
      <c r="BF1071">
        <v>-0.06</v>
      </c>
      <c r="BG1071">
        <v>98</v>
      </c>
      <c r="BH1071">
        <v>-0.09</v>
      </c>
      <c r="BI1071">
        <v>-20.89</v>
      </c>
      <c r="BJ1071">
        <v>42</v>
      </c>
      <c r="BK1071">
        <v>24</v>
      </c>
      <c r="BL1071">
        <v>-0.03</v>
      </c>
      <c r="BM1071">
        <v>3.21</v>
      </c>
      <c r="BN1071">
        <v>-0.23</v>
      </c>
      <c r="BO1071">
        <v>-2.46</v>
      </c>
      <c r="BP1071">
        <v>-2.77</v>
      </c>
      <c r="BQ1071">
        <v>4.62</v>
      </c>
      <c r="BR1071">
        <v>-1.24</v>
      </c>
      <c r="BS1071">
        <v>-1.52</v>
      </c>
      <c r="BT1071">
        <v>0.89</v>
      </c>
      <c r="BU1071">
        <v>-1.05</v>
      </c>
      <c r="BV1071">
        <v>-2.12</v>
      </c>
      <c r="BW1071">
        <v>-1.67</v>
      </c>
      <c r="BX1071">
        <v>-1.1100000000000001</v>
      </c>
      <c r="BY1071">
        <v>-2.62</v>
      </c>
      <c r="BZ1071">
        <v>1.5</v>
      </c>
      <c r="CA1071">
        <v>-1.55</v>
      </c>
      <c r="CB1071">
        <v>-1.69</v>
      </c>
      <c r="CC1071">
        <v>-0.53</v>
      </c>
      <c r="CD1071">
        <v>2.4900000000000002</v>
      </c>
      <c r="CE1071">
        <v>-2.37</v>
      </c>
      <c r="CF1071">
        <v>0.36</v>
      </c>
      <c r="CG1071">
        <v>0</v>
      </c>
      <c r="CH1071">
        <v>-2.15</v>
      </c>
      <c r="CI1071">
        <v>0</v>
      </c>
      <c r="CJ1071">
        <v>1.8</v>
      </c>
      <c r="CK1071">
        <v>99</v>
      </c>
      <c r="CL1071">
        <v>-0.83</v>
      </c>
      <c r="CM1071">
        <v>99</v>
      </c>
      <c r="CN1071">
        <v>0.19</v>
      </c>
      <c r="CO1071">
        <v>99</v>
      </c>
      <c r="CP1071">
        <v>8.1</v>
      </c>
      <c r="CQ1071">
        <v>97</v>
      </c>
      <c r="CR1071">
        <v>0</v>
      </c>
      <c r="CS1071">
        <v>0</v>
      </c>
      <c r="CT1071">
        <v>21.5</v>
      </c>
      <c r="CU1071">
        <v>97</v>
      </c>
      <c r="CV1071">
        <v>0.22</v>
      </c>
      <c r="CW1071">
        <v>47</v>
      </c>
      <c r="CX1071" t="s">
        <v>5324</v>
      </c>
    </row>
    <row r="1072" spans="1:102" x14ac:dyDescent="0.3">
      <c r="A1072" t="str">
        <f>HYPERLINK("https://webapp.icbf.com/v2/app/bull-search/view/1147500558","FR2057")</f>
        <v>FR2057</v>
      </c>
      <c r="B1072" t="s">
        <v>13523</v>
      </c>
      <c r="C1072" t="s">
        <v>13524</v>
      </c>
      <c r="D1072" s="1">
        <v>41706</v>
      </c>
      <c r="E1072" t="s">
        <v>92</v>
      </c>
      <c r="F1072">
        <v>78</v>
      </c>
      <c r="G1072" t="s">
        <v>93</v>
      </c>
      <c r="H1072">
        <v>138.13</v>
      </c>
      <c r="I1072">
        <v>91</v>
      </c>
      <c r="J1072">
        <v>106.68</v>
      </c>
      <c r="K1072">
        <v>99</v>
      </c>
      <c r="L1072">
        <v>-1.85</v>
      </c>
      <c r="M1072">
        <v>82</v>
      </c>
      <c r="N1072">
        <v>32.22</v>
      </c>
      <c r="O1072">
        <v>93</v>
      </c>
      <c r="P1072">
        <v>-3.78</v>
      </c>
      <c r="Q1072">
        <v>98</v>
      </c>
      <c r="R1072">
        <v>-10.67</v>
      </c>
      <c r="S1072">
        <v>84</v>
      </c>
      <c r="T1072">
        <v>9.31</v>
      </c>
      <c r="U1072">
        <v>89</v>
      </c>
      <c r="V1072">
        <v>6.22</v>
      </c>
      <c r="W1072">
        <v>79</v>
      </c>
      <c r="X1072" t="s">
        <v>94</v>
      </c>
      <c r="Y1072" t="s">
        <v>416</v>
      </c>
      <c r="Z1072" t="s">
        <v>330</v>
      </c>
      <c r="AA1072" t="s">
        <v>2514</v>
      </c>
      <c r="AB1072" t="s">
        <v>13525</v>
      </c>
      <c r="AC1072">
        <v>928</v>
      </c>
      <c r="AD1072">
        <v>321</v>
      </c>
      <c r="AE1072">
        <v>99</v>
      </c>
      <c r="AF1072">
        <v>353.37</v>
      </c>
      <c r="AG1072">
        <v>19.850000000000001</v>
      </c>
      <c r="AH1072">
        <v>16.53</v>
      </c>
      <c r="AI1072">
        <v>0.1</v>
      </c>
      <c r="AJ1072">
        <v>0.08</v>
      </c>
      <c r="AK1072">
        <v>82</v>
      </c>
      <c r="AL1072">
        <v>123</v>
      </c>
      <c r="AM1072">
        <v>45</v>
      </c>
      <c r="AN1072">
        <v>1.46</v>
      </c>
      <c r="AO1072">
        <v>1.33</v>
      </c>
      <c r="AP1072">
        <v>2562</v>
      </c>
      <c r="AQ1072">
        <v>26</v>
      </c>
      <c r="AR1072">
        <v>7.37</v>
      </c>
      <c r="AS1072">
        <v>93</v>
      </c>
      <c r="AT1072">
        <v>2.88</v>
      </c>
      <c r="AU1072">
        <v>98</v>
      </c>
      <c r="AV1072">
        <v>-4.2</v>
      </c>
      <c r="AW1072">
        <v>99</v>
      </c>
      <c r="AX1072">
        <v>0.08</v>
      </c>
      <c r="AY1072">
        <v>97</v>
      </c>
      <c r="AZ1072">
        <v>7.26</v>
      </c>
      <c r="BA1072">
        <v>92</v>
      </c>
      <c r="BB1072">
        <v>5.45</v>
      </c>
      <c r="BC1072">
        <v>60</v>
      </c>
      <c r="BD1072">
        <v>0.02</v>
      </c>
      <c r="BE1072">
        <v>0.08</v>
      </c>
      <c r="BF1072">
        <v>0.06</v>
      </c>
      <c r="BG1072">
        <v>97</v>
      </c>
      <c r="BH1072">
        <v>0.11</v>
      </c>
      <c r="BI1072">
        <v>-7.34</v>
      </c>
      <c r="BJ1072">
        <v>0</v>
      </c>
      <c r="BK1072">
        <v>0</v>
      </c>
      <c r="BL1072">
        <v>-1.51</v>
      </c>
      <c r="BM1072">
        <v>0.72</v>
      </c>
      <c r="BN1072">
        <v>-0.8</v>
      </c>
      <c r="BO1072">
        <v>-1.32</v>
      </c>
      <c r="BP1072">
        <v>-1.39</v>
      </c>
      <c r="BQ1072">
        <v>-0.35</v>
      </c>
      <c r="BR1072">
        <v>3</v>
      </c>
      <c r="BS1072">
        <v>-2.08</v>
      </c>
      <c r="BT1072">
        <v>-2.92</v>
      </c>
      <c r="BU1072">
        <v>-0.54</v>
      </c>
      <c r="BV1072">
        <v>-0.22</v>
      </c>
      <c r="BW1072">
        <v>-0.74</v>
      </c>
      <c r="BX1072">
        <v>-1.61</v>
      </c>
      <c r="BY1072">
        <v>-1.49</v>
      </c>
      <c r="BZ1072">
        <v>-0.65</v>
      </c>
      <c r="CA1072">
        <v>-1.36</v>
      </c>
      <c r="CB1072">
        <v>-0.34</v>
      </c>
      <c r="CC1072">
        <v>-2.3199999999999998</v>
      </c>
      <c r="CD1072">
        <v>1.1499999999999999</v>
      </c>
      <c r="CE1072">
        <v>-0.66</v>
      </c>
      <c r="CF1072">
        <v>-0.92</v>
      </c>
      <c r="CG1072">
        <v>0</v>
      </c>
      <c r="CH1072">
        <v>-0.02</v>
      </c>
      <c r="CI1072">
        <v>0</v>
      </c>
      <c r="CJ1072">
        <v>-1.2</v>
      </c>
      <c r="CK1072">
        <v>99</v>
      </c>
      <c r="CL1072">
        <v>-0.59</v>
      </c>
      <c r="CM1072">
        <v>99</v>
      </c>
      <c r="CN1072">
        <v>-0.38</v>
      </c>
      <c r="CO1072">
        <v>99</v>
      </c>
      <c r="CP1072">
        <v>-3.2</v>
      </c>
      <c r="CQ1072">
        <v>82</v>
      </c>
      <c r="CR1072">
        <v>0</v>
      </c>
      <c r="CS1072">
        <v>0</v>
      </c>
      <c r="CT1072">
        <v>1.2</v>
      </c>
      <c r="CU1072">
        <v>89</v>
      </c>
      <c r="CV1072">
        <v>0.18</v>
      </c>
      <c r="CW1072">
        <v>48</v>
      </c>
      <c r="CX1072" t="s">
        <v>316</v>
      </c>
    </row>
    <row r="1073" spans="1:102" x14ac:dyDescent="0.3">
      <c r="A1073" t="str">
        <f>HYPERLINK("https://webapp.icbf.com/v2/app/bull-search/view/1132412743","LEK")</f>
        <v>LEK</v>
      </c>
      <c r="B1073" t="s">
        <v>13427</v>
      </c>
      <c r="C1073" t="s">
        <v>12103</v>
      </c>
      <c r="D1073" s="1">
        <v>39003</v>
      </c>
      <c r="E1073" t="s">
        <v>395</v>
      </c>
      <c r="F1073">
        <v>0</v>
      </c>
      <c r="G1073" t="s">
        <v>93</v>
      </c>
      <c r="H1073">
        <v>137.99</v>
      </c>
      <c r="I1073">
        <v>81</v>
      </c>
      <c r="J1073">
        <v>2.27</v>
      </c>
      <c r="K1073">
        <v>94</v>
      </c>
      <c r="L1073">
        <v>91.41</v>
      </c>
      <c r="M1073">
        <v>79</v>
      </c>
      <c r="N1073">
        <v>25.4</v>
      </c>
      <c r="O1073">
        <v>80</v>
      </c>
      <c r="P1073">
        <v>4.63</v>
      </c>
      <c r="Q1073">
        <v>87</v>
      </c>
      <c r="R1073">
        <v>14.09</v>
      </c>
      <c r="S1073">
        <v>60</v>
      </c>
      <c r="T1073">
        <v>14.49</v>
      </c>
      <c r="U1073">
        <v>59</v>
      </c>
      <c r="V1073">
        <v>-14.3</v>
      </c>
      <c r="W1073">
        <v>57</v>
      </c>
      <c r="X1073" t="s">
        <v>94</v>
      </c>
      <c r="Y1073" t="s">
        <v>329</v>
      </c>
      <c r="Z1073">
        <v>0</v>
      </c>
      <c r="AA1073" t="s">
        <v>1855</v>
      </c>
      <c r="AB1073" t="s">
        <v>144</v>
      </c>
      <c r="AC1073">
        <v>68</v>
      </c>
      <c r="AD1073">
        <v>21</v>
      </c>
      <c r="AE1073">
        <v>94</v>
      </c>
      <c r="AF1073">
        <v>-215.52</v>
      </c>
      <c r="AG1073">
        <v>-2.41</v>
      </c>
      <c r="AH1073">
        <v>-2.06</v>
      </c>
      <c r="AI1073">
        <v>0.1</v>
      </c>
      <c r="AJ1073">
        <v>0.09</v>
      </c>
      <c r="AK1073">
        <v>79</v>
      </c>
      <c r="AL1073">
        <v>72</v>
      </c>
      <c r="AM1073">
        <v>29</v>
      </c>
      <c r="AN1073">
        <v>-4.9400000000000004</v>
      </c>
      <c r="AO1073">
        <v>2.35</v>
      </c>
      <c r="AP1073">
        <v>172</v>
      </c>
      <c r="AQ1073">
        <v>1</v>
      </c>
      <c r="AR1073">
        <v>7.8</v>
      </c>
      <c r="AS1073">
        <v>72</v>
      </c>
      <c r="AT1073">
        <v>2.82</v>
      </c>
      <c r="AU1073">
        <v>87</v>
      </c>
      <c r="AV1073">
        <v>-2.85</v>
      </c>
      <c r="AW1073">
        <v>96</v>
      </c>
      <c r="AX1073">
        <v>0.57999999999999996</v>
      </c>
      <c r="AY1073">
        <v>76</v>
      </c>
      <c r="AZ1073">
        <v>5.52</v>
      </c>
      <c r="BA1073">
        <v>47</v>
      </c>
      <c r="BB1073">
        <v>4.82</v>
      </c>
      <c r="BC1073">
        <v>33</v>
      </c>
      <c r="BD1073">
        <v>-0.03</v>
      </c>
      <c r="BE1073">
        <v>-0.06</v>
      </c>
      <c r="BF1073">
        <v>-0.16</v>
      </c>
      <c r="BG1073">
        <v>72</v>
      </c>
      <c r="BH1073">
        <v>-0.08</v>
      </c>
      <c r="BI1073">
        <v>36.869999999999997</v>
      </c>
      <c r="BJ1073">
        <v>2</v>
      </c>
      <c r="BK1073">
        <v>1</v>
      </c>
      <c r="BL1073">
        <v>-2.2200000000000002</v>
      </c>
      <c r="BM1073">
        <v>-0.4</v>
      </c>
      <c r="BN1073">
        <v>-2.5099999999999998</v>
      </c>
      <c r="BO1073">
        <v>-1.53</v>
      </c>
      <c r="BP1073">
        <v>2.8</v>
      </c>
      <c r="BQ1073">
        <v>-2.63</v>
      </c>
      <c r="BR1073">
        <v>0.84</v>
      </c>
      <c r="BS1073">
        <v>0.31</v>
      </c>
      <c r="BT1073">
        <v>-0.67</v>
      </c>
      <c r="BU1073">
        <v>-1.91</v>
      </c>
      <c r="BV1073">
        <v>-3.33</v>
      </c>
      <c r="BW1073">
        <v>-2.52</v>
      </c>
      <c r="BX1073">
        <v>-2.0699999999999998</v>
      </c>
      <c r="BY1073">
        <v>0.25</v>
      </c>
      <c r="BZ1073">
        <v>-2.34</v>
      </c>
      <c r="CA1073">
        <v>-2.25</v>
      </c>
      <c r="CB1073">
        <v>-2.63</v>
      </c>
      <c r="CC1073">
        <v>-0.67</v>
      </c>
      <c r="CD1073">
        <v>1.1399999999999999</v>
      </c>
      <c r="CE1073">
        <v>-1.55</v>
      </c>
      <c r="CF1073">
        <v>-2.83</v>
      </c>
      <c r="CG1073">
        <v>0</v>
      </c>
      <c r="CH1073">
        <v>-1.1000000000000001</v>
      </c>
      <c r="CI1073">
        <v>0</v>
      </c>
      <c r="CJ1073">
        <v>2.9</v>
      </c>
      <c r="CK1073">
        <v>90</v>
      </c>
      <c r="CL1073">
        <v>-0.16</v>
      </c>
      <c r="CM1073">
        <v>88</v>
      </c>
      <c r="CN1073">
        <v>-0.2</v>
      </c>
      <c r="CO1073">
        <v>86</v>
      </c>
      <c r="CP1073">
        <v>-0.4</v>
      </c>
      <c r="CQ1073">
        <v>68</v>
      </c>
      <c r="CR1073">
        <v>0</v>
      </c>
      <c r="CS1073">
        <v>0</v>
      </c>
      <c r="CT1073">
        <v>-5.8</v>
      </c>
      <c r="CU1073">
        <v>59</v>
      </c>
      <c r="CV1073">
        <v>-0.01</v>
      </c>
      <c r="CW1073">
        <v>26</v>
      </c>
      <c r="CX1073" t="s">
        <v>13428</v>
      </c>
    </row>
    <row r="1074" spans="1:102" x14ac:dyDescent="0.3">
      <c r="A1074" t="str">
        <f>HYPERLINK("https://webapp.icbf.com/v2/app/bull-search/view/408744407","RRK")</f>
        <v>RRK</v>
      </c>
      <c r="B1074" t="s">
        <v>4510</v>
      </c>
      <c r="C1074" t="s">
        <v>4511</v>
      </c>
      <c r="D1074" s="1">
        <v>35521</v>
      </c>
      <c r="E1074" t="s">
        <v>395</v>
      </c>
      <c r="F1074">
        <v>0</v>
      </c>
      <c r="G1074" t="s">
        <v>93</v>
      </c>
      <c r="H1074">
        <v>137.97</v>
      </c>
      <c r="I1074">
        <v>85</v>
      </c>
      <c r="J1074">
        <v>-22.7</v>
      </c>
      <c r="K1074">
        <v>93</v>
      </c>
      <c r="L1074">
        <v>127.13</v>
      </c>
      <c r="M1074">
        <v>80</v>
      </c>
      <c r="N1074">
        <v>4.7300000000000004</v>
      </c>
      <c r="O1074">
        <v>83</v>
      </c>
      <c r="P1074">
        <v>-9.91</v>
      </c>
      <c r="Q1074">
        <v>91</v>
      </c>
      <c r="R1074">
        <v>11.38</v>
      </c>
      <c r="S1074">
        <v>70</v>
      </c>
      <c r="T1074">
        <v>26.26</v>
      </c>
      <c r="U1074">
        <v>87</v>
      </c>
      <c r="V1074">
        <v>1.08</v>
      </c>
      <c r="W1074">
        <v>73</v>
      </c>
      <c r="X1074" t="s">
        <v>131</v>
      </c>
      <c r="Y1074" t="s">
        <v>95</v>
      </c>
      <c r="Z1074">
        <v>0</v>
      </c>
      <c r="AA1074" t="s">
        <v>4512</v>
      </c>
      <c r="AB1074" t="s">
        <v>4513</v>
      </c>
      <c r="AC1074">
        <v>64</v>
      </c>
      <c r="AD1074">
        <v>37</v>
      </c>
      <c r="AE1074">
        <v>93</v>
      </c>
      <c r="AF1074">
        <v>-246.29</v>
      </c>
      <c r="AG1074">
        <v>-12.13</v>
      </c>
      <c r="AH1074">
        <v>-3.34</v>
      </c>
      <c r="AI1074">
        <v>-0.04</v>
      </c>
      <c r="AJ1074">
        <v>0.09</v>
      </c>
      <c r="AK1074">
        <v>80</v>
      </c>
      <c r="AL1074">
        <v>67</v>
      </c>
      <c r="AM1074">
        <v>31</v>
      </c>
      <c r="AN1074">
        <v>-6.01</v>
      </c>
      <c r="AO1074">
        <v>4.1399999999999997</v>
      </c>
      <c r="AP1074">
        <v>140</v>
      </c>
      <c r="AQ1074">
        <v>2</v>
      </c>
      <c r="AR1074">
        <v>5.37</v>
      </c>
      <c r="AS1074">
        <v>73</v>
      </c>
      <c r="AT1074">
        <v>2.33</v>
      </c>
      <c r="AU1074">
        <v>85</v>
      </c>
      <c r="AV1074">
        <v>0.56999999999999995</v>
      </c>
      <c r="AW1074">
        <v>94</v>
      </c>
      <c r="AX1074">
        <v>0.99</v>
      </c>
      <c r="AY1074">
        <v>78</v>
      </c>
      <c r="AZ1074">
        <v>6.79</v>
      </c>
      <c r="BA1074">
        <v>55</v>
      </c>
      <c r="BB1074">
        <v>4.83</v>
      </c>
      <c r="BC1074">
        <v>60</v>
      </c>
      <c r="BD1074">
        <v>-0.04</v>
      </c>
      <c r="BE1074">
        <v>-0.05</v>
      </c>
      <c r="BF1074">
        <v>-0.1</v>
      </c>
      <c r="BG1074">
        <v>79</v>
      </c>
      <c r="BH1074">
        <v>0.11</v>
      </c>
      <c r="BI1074">
        <v>9.24</v>
      </c>
      <c r="BJ1074">
        <v>1</v>
      </c>
      <c r="BK1074">
        <v>1</v>
      </c>
      <c r="BL1074">
        <v>-1.53</v>
      </c>
      <c r="BM1074">
        <v>2.62</v>
      </c>
      <c r="BN1074">
        <v>-0.92</v>
      </c>
      <c r="BO1074">
        <v>-2.5099999999999998</v>
      </c>
      <c r="BP1074">
        <v>-0.18</v>
      </c>
      <c r="BQ1074">
        <v>-0.23</v>
      </c>
      <c r="BR1074">
        <v>0.43</v>
      </c>
      <c r="BS1074">
        <v>0.09</v>
      </c>
      <c r="BT1074">
        <v>-0.51</v>
      </c>
      <c r="BU1074">
        <v>-2.2400000000000002</v>
      </c>
      <c r="BV1074">
        <v>-3.18</v>
      </c>
      <c r="BW1074">
        <v>-2.5499999999999998</v>
      </c>
      <c r="BX1074">
        <v>-2.04</v>
      </c>
      <c r="BY1074">
        <v>-0.62</v>
      </c>
      <c r="BZ1074">
        <v>-2.16</v>
      </c>
      <c r="CA1074">
        <v>-1.96</v>
      </c>
      <c r="CB1074">
        <v>-2.2999999999999998</v>
      </c>
      <c r="CC1074">
        <v>-0.56000000000000005</v>
      </c>
      <c r="CD1074">
        <v>2.1800000000000002</v>
      </c>
      <c r="CE1074">
        <v>-2.16</v>
      </c>
      <c r="CF1074">
        <v>-1.42</v>
      </c>
      <c r="CG1074">
        <v>0</v>
      </c>
      <c r="CH1074">
        <v>-1.79</v>
      </c>
      <c r="CI1074">
        <v>0</v>
      </c>
      <c r="CJ1074">
        <v>-2.8</v>
      </c>
      <c r="CK1074">
        <v>92</v>
      </c>
      <c r="CL1074">
        <v>-0.27</v>
      </c>
      <c r="CM1074">
        <v>90</v>
      </c>
      <c r="CN1074">
        <v>0.08</v>
      </c>
      <c r="CO1074">
        <v>88</v>
      </c>
      <c r="CP1074">
        <v>-15.5</v>
      </c>
      <c r="CQ1074">
        <v>86</v>
      </c>
      <c r="CR1074">
        <v>0</v>
      </c>
      <c r="CS1074">
        <v>0</v>
      </c>
      <c r="CT1074">
        <v>-21.7</v>
      </c>
      <c r="CU1074">
        <v>87</v>
      </c>
      <c r="CV1074">
        <v>-0.02</v>
      </c>
      <c r="CW1074">
        <v>26</v>
      </c>
      <c r="CX1074" t="s">
        <v>2612</v>
      </c>
    </row>
    <row r="1075" spans="1:102" x14ac:dyDescent="0.3">
      <c r="A1075" t="str">
        <f>HYPERLINK("https://webapp.icbf.com/v2/app/bull-search/view/760396776","LKA")</f>
        <v>LKA</v>
      </c>
      <c r="B1075" t="s">
        <v>14665</v>
      </c>
      <c r="C1075" t="s">
        <v>14666</v>
      </c>
      <c r="D1075" s="1">
        <v>40023</v>
      </c>
      <c r="E1075" t="s">
        <v>227</v>
      </c>
      <c r="F1075">
        <v>0</v>
      </c>
      <c r="G1075" t="s">
        <v>109</v>
      </c>
      <c r="H1075">
        <v>137.91</v>
      </c>
      <c r="I1075">
        <v>75</v>
      </c>
      <c r="J1075">
        <v>107.11</v>
      </c>
      <c r="K1075">
        <v>92</v>
      </c>
      <c r="L1075">
        <v>-16.29</v>
      </c>
      <c r="M1075">
        <v>72</v>
      </c>
      <c r="N1075">
        <v>39.65</v>
      </c>
      <c r="O1075">
        <v>62</v>
      </c>
      <c r="P1075">
        <v>-61.54</v>
      </c>
      <c r="Q1075">
        <v>57</v>
      </c>
      <c r="R1075">
        <v>5.42</v>
      </c>
      <c r="S1075">
        <v>71</v>
      </c>
      <c r="T1075">
        <v>58.23</v>
      </c>
      <c r="U1075">
        <v>51</v>
      </c>
      <c r="V1075">
        <v>5.33</v>
      </c>
      <c r="W1075">
        <v>71</v>
      </c>
      <c r="X1075" t="s">
        <v>276</v>
      </c>
      <c r="Y1075" t="s">
        <v>329</v>
      </c>
      <c r="Z1075">
        <v>0</v>
      </c>
      <c r="AA1075" t="s">
        <v>2026</v>
      </c>
      <c r="AB1075" t="s">
        <v>14667</v>
      </c>
      <c r="AC1075">
        <v>0</v>
      </c>
      <c r="AD1075">
        <v>0</v>
      </c>
      <c r="AE1075">
        <v>92</v>
      </c>
      <c r="AF1075">
        <v>-206.06</v>
      </c>
      <c r="AG1075">
        <v>25.39</v>
      </c>
      <c r="AH1075">
        <v>6.08</v>
      </c>
      <c r="AI1075">
        <v>0.6</v>
      </c>
      <c r="AJ1075">
        <v>0.24</v>
      </c>
      <c r="AK1075">
        <v>72</v>
      </c>
      <c r="AL1075">
        <v>0</v>
      </c>
      <c r="AM1075">
        <v>0</v>
      </c>
      <c r="AN1075">
        <v>7.0000000000000007E-2</v>
      </c>
      <c r="AO1075">
        <v>-1.24</v>
      </c>
      <c r="AP1075">
        <v>25</v>
      </c>
      <c r="AQ1075">
        <v>0</v>
      </c>
      <c r="AR1075">
        <v>2.3199999999999998</v>
      </c>
      <c r="AS1075">
        <v>67</v>
      </c>
      <c r="AT1075">
        <v>1.55</v>
      </c>
      <c r="AU1075">
        <v>67</v>
      </c>
      <c r="AV1075">
        <v>-2.95</v>
      </c>
      <c r="AW1075">
        <v>62</v>
      </c>
      <c r="AX1075">
        <v>-0.33</v>
      </c>
      <c r="AY1075">
        <v>54</v>
      </c>
      <c r="AZ1075">
        <v>8.07</v>
      </c>
      <c r="BA1075">
        <v>56</v>
      </c>
      <c r="BB1075">
        <v>5.62</v>
      </c>
      <c r="BC1075">
        <v>55</v>
      </c>
      <c r="BD1075">
        <v>-7.0000000000000007E-2</v>
      </c>
      <c r="BE1075">
        <v>-0.02</v>
      </c>
      <c r="BF1075">
        <v>0.03</v>
      </c>
      <c r="BG1075">
        <v>77</v>
      </c>
      <c r="BH1075">
        <v>0.17</v>
      </c>
      <c r="BI1075">
        <v>2.48</v>
      </c>
      <c r="BJ1075">
        <v>0</v>
      </c>
      <c r="BK1075">
        <v>0</v>
      </c>
      <c r="BL1075">
        <v>-3.52</v>
      </c>
      <c r="BM1075">
        <v>-2.29</v>
      </c>
      <c r="BN1075">
        <v>-0.4</v>
      </c>
      <c r="BO1075">
        <v>1.28</v>
      </c>
      <c r="BP1075">
        <v>-1.89</v>
      </c>
      <c r="BQ1075">
        <v>-6.16</v>
      </c>
      <c r="BR1075">
        <v>3.13</v>
      </c>
      <c r="BS1075">
        <v>7</v>
      </c>
      <c r="BT1075">
        <v>-1.1499999999999999</v>
      </c>
      <c r="BU1075">
        <v>-0.32</v>
      </c>
      <c r="BV1075">
        <v>0.44</v>
      </c>
      <c r="BW1075">
        <v>-2.23</v>
      </c>
      <c r="BX1075">
        <v>-3.38</v>
      </c>
      <c r="BY1075">
        <v>0.47</v>
      </c>
      <c r="BZ1075">
        <v>-1.1100000000000001</v>
      </c>
      <c r="CA1075">
        <v>1.6</v>
      </c>
      <c r="CB1075">
        <v>-0.14000000000000001</v>
      </c>
      <c r="CC1075">
        <v>4.6100000000000003</v>
      </c>
      <c r="CD1075">
        <v>-2.66</v>
      </c>
      <c r="CE1075">
        <v>1</v>
      </c>
      <c r="CF1075">
        <v>-3.76</v>
      </c>
      <c r="CG1075">
        <v>0</v>
      </c>
      <c r="CH1075">
        <v>-0.05</v>
      </c>
      <c r="CI1075">
        <v>0</v>
      </c>
      <c r="CJ1075">
        <v>-32.4</v>
      </c>
      <c r="CK1075">
        <v>58</v>
      </c>
      <c r="CL1075">
        <v>-1.2</v>
      </c>
      <c r="CM1075">
        <v>56</v>
      </c>
      <c r="CN1075">
        <v>-0.23</v>
      </c>
      <c r="CO1075">
        <v>54</v>
      </c>
      <c r="CP1075">
        <v>-47.6</v>
      </c>
      <c r="CQ1075">
        <v>55</v>
      </c>
      <c r="CR1075">
        <v>0</v>
      </c>
      <c r="CS1075">
        <v>0</v>
      </c>
      <c r="CT1075">
        <v>-64.900000000000006</v>
      </c>
      <c r="CU1075">
        <v>51</v>
      </c>
      <c r="CV1075">
        <v>-0.21</v>
      </c>
      <c r="CW1075">
        <v>37</v>
      </c>
      <c r="CX1075" t="s">
        <v>7790</v>
      </c>
    </row>
    <row r="1076" spans="1:102" x14ac:dyDescent="0.3">
      <c r="A1076" t="str">
        <f>HYPERLINK("https://webapp.icbf.com/v2/app/bull-search/view/1376535414","S3134")</f>
        <v>S3134</v>
      </c>
      <c r="B1076" t="s">
        <v>13747</v>
      </c>
      <c r="C1076" t="s">
        <v>13748</v>
      </c>
      <c r="D1076" s="1">
        <v>42151</v>
      </c>
      <c r="E1076" t="s">
        <v>92</v>
      </c>
      <c r="F1076">
        <v>100</v>
      </c>
      <c r="G1076" t="s">
        <v>435</v>
      </c>
      <c r="H1076">
        <v>137.9</v>
      </c>
      <c r="I1076">
        <v>75</v>
      </c>
      <c r="J1076">
        <v>67.510000000000005</v>
      </c>
      <c r="K1076">
        <v>91</v>
      </c>
      <c r="L1076">
        <v>10.57</v>
      </c>
      <c r="M1076">
        <v>72</v>
      </c>
      <c r="N1076">
        <v>39.44</v>
      </c>
      <c r="O1076">
        <v>81</v>
      </c>
      <c r="P1076">
        <v>-2.2400000000000002</v>
      </c>
      <c r="Q1076">
        <v>57</v>
      </c>
      <c r="R1076">
        <v>26.59</v>
      </c>
      <c r="S1076">
        <v>71</v>
      </c>
      <c r="T1076">
        <v>-14.29</v>
      </c>
      <c r="U1076">
        <v>40</v>
      </c>
      <c r="V1076">
        <v>10.32</v>
      </c>
      <c r="W1076">
        <v>58</v>
      </c>
      <c r="X1076" t="s">
        <v>110</v>
      </c>
      <c r="Y1076" t="s">
        <v>457</v>
      </c>
      <c r="Z1076" t="s">
        <v>96</v>
      </c>
      <c r="AA1076" t="s">
        <v>463</v>
      </c>
      <c r="AB1076" t="s">
        <v>13749</v>
      </c>
      <c r="AC1076">
        <v>0</v>
      </c>
      <c r="AD1076">
        <v>0</v>
      </c>
      <c r="AE1076">
        <v>91</v>
      </c>
      <c r="AF1076">
        <v>345.83</v>
      </c>
      <c r="AG1076">
        <v>14.43</v>
      </c>
      <c r="AH1076">
        <v>11.67</v>
      </c>
      <c r="AI1076">
        <v>0.01</v>
      </c>
      <c r="AJ1076">
        <v>0</v>
      </c>
      <c r="AK1076">
        <v>72</v>
      </c>
      <c r="AL1076">
        <v>0</v>
      </c>
      <c r="AM1076">
        <v>0</v>
      </c>
      <c r="AN1076">
        <v>0.75</v>
      </c>
      <c r="AO1076">
        <v>1.61</v>
      </c>
      <c r="AP1076">
        <v>209</v>
      </c>
      <c r="AQ1076">
        <v>0</v>
      </c>
      <c r="AR1076">
        <v>6.38</v>
      </c>
      <c r="AS1076">
        <v>79</v>
      </c>
      <c r="AT1076">
        <v>3.19</v>
      </c>
      <c r="AU1076">
        <v>93</v>
      </c>
      <c r="AV1076">
        <v>-4.16</v>
      </c>
      <c r="AW1076">
        <v>92</v>
      </c>
      <c r="AX1076">
        <v>-0.27</v>
      </c>
      <c r="AY1076">
        <v>77</v>
      </c>
      <c r="AZ1076">
        <v>5.88</v>
      </c>
      <c r="BA1076">
        <v>43</v>
      </c>
      <c r="BB1076">
        <v>4.5199999999999996</v>
      </c>
      <c r="BC1076">
        <v>38</v>
      </c>
      <c r="BD1076">
        <v>-0.14000000000000001</v>
      </c>
      <c r="BE1076">
        <v>-0.12</v>
      </c>
      <c r="BF1076">
        <v>-0.15</v>
      </c>
      <c r="BG1076">
        <v>86</v>
      </c>
      <c r="BH1076">
        <v>0.11</v>
      </c>
      <c r="BI1076">
        <v>-20.56</v>
      </c>
      <c r="BJ1076">
        <v>0</v>
      </c>
      <c r="BK1076">
        <v>0</v>
      </c>
      <c r="BL1076">
        <v>2.2000000000000002</v>
      </c>
      <c r="BM1076">
        <v>-0.01</v>
      </c>
      <c r="BN1076">
        <v>0.48</v>
      </c>
      <c r="BO1076">
        <v>0.97</v>
      </c>
      <c r="BP1076">
        <v>-0.28000000000000003</v>
      </c>
      <c r="BQ1076">
        <v>0.96</v>
      </c>
      <c r="BR1076">
        <v>-2.13</v>
      </c>
      <c r="BS1076">
        <v>5.59</v>
      </c>
      <c r="BT1076">
        <v>3.08</v>
      </c>
      <c r="BU1076">
        <v>5.27</v>
      </c>
      <c r="BV1076">
        <v>4.93</v>
      </c>
      <c r="BW1076">
        <v>3.65</v>
      </c>
      <c r="BX1076">
        <v>5.58</v>
      </c>
      <c r="BY1076">
        <v>1.53</v>
      </c>
      <c r="BZ1076">
        <v>-3.21</v>
      </c>
      <c r="CA1076">
        <v>5.0199999999999996</v>
      </c>
      <c r="CB1076">
        <v>4.21</v>
      </c>
      <c r="CC1076">
        <v>4.21</v>
      </c>
      <c r="CD1076">
        <v>0.47</v>
      </c>
      <c r="CE1076">
        <v>0.74</v>
      </c>
      <c r="CF1076">
        <v>0.96</v>
      </c>
      <c r="CG1076">
        <v>0</v>
      </c>
      <c r="CH1076">
        <v>2.31</v>
      </c>
      <c r="CI1076">
        <v>0</v>
      </c>
      <c r="CJ1076">
        <v>2.2999999999999998</v>
      </c>
      <c r="CK1076">
        <v>61</v>
      </c>
      <c r="CL1076">
        <v>-1.35</v>
      </c>
      <c r="CM1076">
        <v>55</v>
      </c>
      <c r="CN1076">
        <v>-0.63</v>
      </c>
      <c r="CO1076">
        <v>54</v>
      </c>
      <c r="CP1076">
        <v>7.6</v>
      </c>
      <c r="CQ1076">
        <v>43</v>
      </c>
      <c r="CR1076">
        <v>0</v>
      </c>
      <c r="CS1076">
        <v>0</v>
      </c>
      <c r="CT1076">
        <v>33.1</v>
      </c>
      <c r="CU1076">
        <v>40</v>
      </c>
      <c r="CV1076">
        <v>0.28999999999999998</v>
      </c>
      <c r="CW1076">
        <v>38</v>
      </c>
      <c r="CX1076" t="s">
        <v>412</v>
      </c>
    </row>
    <row r="1077" spans="1:102" x14ac:dyDescent="0.3">
      <c r="A1077" t="str">
        <f>HYPERLINK("https://webapp.icbf.com/v2/app/bull-search/view/493208919","BMZ")</f>
        <v>BMZ</v>
      </c>
      <c r="B1077" t="s">
        <v>12273</v>
      </c>
      <c r="C1077" t="s">
        <v>12274</v>
      </c>
      <c r="D1077" s="1">
        <v>36692</v>
      </c>
      <c r="E1077" t="s">
        <v>227</v>
      </c>
      <c r="F1077">
        <v>0</v>
      </c>
      <c r="G1077" t="s">
        <v>93</v>
      </c>
      <c r="H1077">
        <v>137.88999999999999</v>
      </c>
      <c r="I1077">
        <v>89</v>
      </c>
      <c r="J1077">
        <v>73.290000000000006</v>
      </c>
      <c r="K1077">
        <v>97</v>
      </c>
      <c r="L1077">
        <v>38.89</v>
      </c>
      <c r="M1077">
        <v>82</v>
      </c>
      <c r="N1077">
        <v>11.42</v>
      </c>
      <c r="O1077">
        <v>86</v>
      </c>
      <c r="P1077">
        <v>-53.65</v>
      </c>
      <c r="Q1077">
        <v>93</v>
      </c>
      <c r="R1077">
        <v>4.5999999999999996</v>
      </c>
      <c r="S1077">
        <v>80</v>
      </c>
      <c r="T1077">
        <v>55.64</v>
      </c>
      <c r="U1077">
        <v>91</v>
      </c>
      <c r="V1077">
        <v>7.7</v>
      </c>
      <c r="W1077">
        <v>87</v>
      </c>
      <c r="X1077" t="s">
        <v>302</v>
      </c>
      <c r="Y1077" t="s">
        <v>221</v>
      </c>
      <c r="Z1077">
        <v>0</v>
      </c>
      <c r="AA1077" t="s">
        <v>1936</v>
      </c>
      <c r="AB1077" t="s">
        <v>12275</v>
      </c>
      <c r="AC1077">
        <v>136</v>
      </c>
      <c r="AD1077">
        <v>30</v>
      </c>
      <c r="AE1077">
        <v>97</v>
      </c>
      <c r="AF1077">
        <v>-233.65</v>
      </c>
      <c r="AG1077">
        <v>18.71</v>
      </c>
      <c r="AH1077">
        <v>2.27</v>
      </c>
      <c r="AI1077">
        <v>0.48</v>
      </c>
      <c r="AJ1077">
        <v>0.18</v>
      </c>
      <c r="AK1077">
        <v>82</v>
      </c>
      <c r="AL1077">
        <v>140</v>
      </c>
      <c r="AM1077">
        <v>28</v>
      </c>
      <c r="AN1077">
        <v>-1.43</v>
      </c>
      <c r="AO1077">
        <v>1.68</v>
      </c>
      <c r="AP1077">
        <v>207</v>
      </c>
      <c r="AQ1077">
        <v>1</v>
      </c>
      <c r="AR1077">
        <v>2.12</v>
      </c>
      <c r="AS1077">
        <v>83</v>
      </c>
      <c r="AT1077">
        <v>1.33</v>
      </c>
      <c r="AU1077">
        <v>83</v>
      </c>
      <c r="AV1077">
        <v>0.19</v>
      </c>
      <c r="AW1077">
        <v>95</v>
      </c>
      <c r="AX1077">
        <v>1.49</v>
      </c>
      <c r="AY1077">
        <v>86</v>
      </c>
      <c r="AZ1077">
        <v>7.45</v>
      </c>
      <c r="BA1077">
        <v>67</v>
      </c>
      <c r="BB1077">
        <v>5.79</v>
      </c>
      <c r="BC1077">
        <v>70</v>
      </c>
      <c r="BD1077">
        <v>-0.04</v>
      </c>
      <c r="BE1077">
        <v>-0.01</v>
      </c>
      <c r="BF1077">
        <v>-0.02</v>
      </c>
      <c r="BG1077">
        <v>88</v>
      </c>
      <c r="BH1077">
        <v>0.12</v>
      </c>
      <c r="BI1077">
        <v>-10.97</v>
      </c>
      <c r="BJ1077">
        <v>35</v>
      </c>
      <c r="BK1077">
        <v>12</v>
      </c>
      <c r="BL1077">
        <v>-2.66</v>
      </c>
      <c r="BM1077">
        <v>-0.5</v>
      </c>
      <c r="BN1077">
        <v>0.24</v>
      </c>
      <c r="BO1077">
        <v>1</v>
      </c>
      <c r="BP1077">
        <v>0.96</v>
      </c>
      <c r="BQ1077">
        <v>-4.2699999999999996</v>
      </c>
      <c r="BR1077">
        <v>4.75</v>
      </c>
      <c r="BS1077">
        <v>5.04</v>
      </c>
      <c r="BT1077">
        <v>-3.01</v>
      </c>
      <c r="BU1077">
        <v>-2.0299999999999998</v>
      </c>
      <c r="BV1077">
        <v>-1.6</v>
      </c>
      <c r="BW1077">
        <v>-3.97</v>
      </c>
      <c r="BX1077">
        <v>-5.19</v>
      </c>
      <c r="BY1077">
        <v>-0.33</v>
      </c>
      <c r="BZ1077">
        <v>-0.33</v>
      </c>
      <c r="CA1077">
        <v>-0.49</v>
      </c>
      <c r="CB1077">
        <v>-1.37</v>
      </c>
      <c r="CC1077">
        <v>1.82</v>
      </c>
      <c r="CD1077">
        <v>-1.41</v>
      </c>
      <c r="CE1077">
        <v>0.5</v>
      </c>
      <c r="CF1077">
        <v>-2.35</v>
      </c>
      <c r="CG1077">
        <v>0</v>
      </c>
      <c r="CH1077">
        <v>-1.42</v>
      </c>
      <c r="CI1077">
        <v>0</v>
      </c>
      <c r="CJ1077">
        <v>-27.1</v>
      </c>
      <c r="CK1077">
        <v>94</v>
      </c>
      <c r="CL1077">
        <v>-1.01</v>
      </c>
      <c r="CM1077">
        <v>93</v>
      </c>
      <c r="CN1077">
        <v>-0.12</v>
      </c>
      <c r="CO1077">
        <v>92</v>
      </c>
      <c r="CP1077">
        <v>-48.2</v>
      </c>
      <c r="CQ1077">
        <v>91</v>
      </c>
      <c r="CR1077">
        <v>0</v>
      </c>
      <c r="CS1077">
        <v>0</v>
      </c>
      <c r="CT1077">
        <v>-61.4</v>
      </c>
      <c r="CU1077">
        <v>91</v>
      </c>
      <c r="CV1077">
        <v>-0.23</v>
      </c>
      <c r="CW1077">
        <v>27</v>
      </c>
      <c r="CX1077" t="s">
        <v>514</v>
      </c>
    </row>
    <row r="1078" spans="1:102" x14ac:dyDescent="0.3">
      <c r="A1078" t="str">
        <f>HYPERLINK("https://webapp.icbf.com/v2/app/bull-search/view/747624115","ROZ")</f>
        <v>ROZ</v>
      </c>
      <c r="B1078" t="s">
        <v>322</v>
      </c>
      <c r="C1078" t="s">
        <v>323</v>
      </c>
      <c r="D1078" s="1">
        <v>38283</v>
      </c>
      <c r="E1078" t="s">
        <v>92</v>
      </c>
      <c r="F1078">
        <v>100</v>
      </c>
      <c r="G1078" t="s">
        <v>93</v>
      </c>
      <c r="H1078">
        <v>137.84</v>
      </c>
      <c r="I1078">
        <v>95</v>
      </c>
      <c r="J1078">
        <v>69.45</v>
      </c>
      <c r="K1078">
        <v>99</v>
      </c>
      <c r="L1078">
        <v>38.840000000000003</v>
      </c>
      <c r="M1078">
        <v>92</v>
      </c>
      <c r="N1078">
        <v>37.56</v>
      </c>
      <c r="O1078">
        <v>97</v>
      </c>
      <c r="P1078">
        <v>-9.3000000000000007</v>
      </c>
      <c r="Q1078">
        <v>99</v>
      </c>
      <c r="R1078">
        <v>-5.03</v>
      </c>
      <c r="S1078">
        <v>89</v>
      </c>
      <c r="T1078">
        <v>5.61</v>
      </c>
      <c r="U1078">
        <v>95</v>
      </c>
      <c r="V1078">
        <v>0.71</v>
      </c>
      <c r="W1078">
        <v>80</v>
      </c>
      <c r="X1078" t="s">
        <v>276</v>
      </c>
      <c r="Y1078" t="s">
        <v>282</v>
      </c>
      <c r="Z1078" t="s">
        <v>96</v>
      </c>
      <c r="AA1078" t="s">
        <v>324</v>
      </c>
      <c r="AB1078" t="s">
        <v>325</v>
      </c>
      <c r="AC1078">
        <v>793</v>
      </c>
      <c r="AD1078">
        <v>262</v>
      </c>
      <c r="AE1078">
        <v>99</v>
      </c>
      <c r="AF1078">
        <v>248.43</v>
      </c>
      <c r="AG1078">
        <v>9.1999999999999993</v>
      </c>
      <c r="AH1078">
        <v>12.36</v>
      </c>
      <c r="AI1078">
        <v>-0.01</v>
      </c>
      <c r="AJ1078">
        <v>7.0000000000000007E-2</v>
      </c>
      <c r="AK1078">
        <v>92</v>
      </c>
      <c r="AL1078">
        <v>855</v>
      </c>
      <c r="AM1078">
        <v>295</v>
      </c>
      <c r="AN1078">
        <v>-1.93</v>
      </c>
      <c r="AO1078">
        <v>1.17</v>
      </c>
      <c r="AP1078">
        <v>1686</v>
      </c>
      <c r="AQ1078">
        <v>18</v>
      </c>
      <c r="AR1078">
        <v>6.7</v>
      </c>
      <c r="AS1078">
        <v>96</v>
      </c>
      <c r="AT1078">
        <v>2.86</v>
      </c>
      <c r="AU1078">
        <v>98</v>
      </c>
      <c r="AV1078">
        <v>-3.91</v>
      </c>
      <c r="AW1078">
        <v>99</v>
      </c>
      <c r="AX1078">
        <v>-0.42</v>
      </c>
      <c r="AY1078">
        <v>97</v>
      </c>
      <c r="AZ1078">
        <v>6.28</v>
      </c>
      <c r="BA1078">
        <v>90</v>
      </c>
      <c r="BB1078">
        <v>4.87</v>
      </c>
      <c r="BC1078">
        <v>87</v>
      </c>
      <c r="BD1078">
        <v>0.01</v>
      </c>
      <c r="BE1078">
        <v>0.01</v>
      </c>
      <c r="BF1078">
        <v>0.08</v>
      </c>
      <c r="BG1078">
        <v>97</v>
      </c>
      <c r="BH1078">
        <v>0.04</v>
      </c>
      <c r="BI1078">
        <v>2.33</v>
      </c>
      <c r="BJ1078">
        <v>79</v>
      </c>
      <c r="BK1078">
        <v>29</v>
      </c>
      <c r="BL1078">
        <v>0.14000000000000001</v>
      </c>
      <c r="BM1078">
        <v>-2.13</v>
      </c>
      <c r="BN1078">
        <v>-2.74</v>
      </c>
      <c r="BO1078">
        <v>-0.24</v>
      </c>
      <c r="BP1078">
        <v>0.69</v>
      </c>
      <c r="BQ1078">
        <v>-1.41</v>
      </c>
      <c r="BR1078">
        <v>-0.53</v>
      </c>
      <c r="BS1078">
        <v>-2.19</v>
      </c>
      <c r="BT1078">
        <v>0.73</v>
      </c>
      <c r="BU1078">
        <v>0.88</v>
      </c>
      <c r="BV1078">
        <v>1.17</v>
      </c>
      <c r="BW1078">
        <v>0.68</v>
      </c>
      <c r="BX1078">
        <v>1.45</v>
      </c>
      <c r="BY1078">
        <v>2.15</v>
      </c>
      <c r="BZ1078">
        <v>-0.06</v>
      </c>
      <c r="CA1078">
        <v>0.45</v>
      </c>
      <c r="CB1078">
        <v>0.98</v>
      </c>
      <c r="CC1078">
        <v>-1.25</v>
      </c>
      <c r="CD1078">
        <v>-0.69</v>
      </c>
      <c r="CE1078">
        <v>0.13</v>
      </c>
      <c r="CF1078">
        <v>-1.49</v>
      </c>
      <c r="CG1078">
        <v>0</v>
      </c>
      <c r="CH1078">
        <v>2.11</v>
      </c>
      <c r="CI1078">
        <v>0</v>
      </c>
      <c r="CJ1078">
        <v>-2</v>
      </c>
      <c r="CK1078">
        <v>99</v>
      </c>
      <c r="CL1078">
        <v>-0.91</v>
      </c>
      <c r="CM1078">
        <v>99</v>
      </c>
      <c r="CN1078">
        <v>-0.28999999999999998</v>
      </c>
      <c r="CO1078">
        <v>99</v>
      </c>
      <c r="CP1078">
        <v>-3.6</v>
      </c>
      <c r="CQ1078">
        <v>95</v>
      </c>
      <c r="CR1078">
        <v>0</v>
      </c>
      <c r="CS1078">
        <v>0</v>
      </c>
      <c r="CT1078">
        <v>6.2</v>
      </c>
      <c r="CU1078">
        <v>95</v>
      </c>
      <c r="CV1078">
        <v>0.23</v>
      </c>
      <c r="CW1078">
        <v>46</v>
      </c>
      <c r="CX1078" t="s">
        <v>326</v>
      </c>
    </row>
    <row r="1079" spans="1:102" x14ac:dyDescent="0.3">
      <c r="A1079" t="str">
        <f>HYPERLINK("https://webapp.icbf.com/v2/app/bull-search/view/670589444","CYX")</f>
        <v>CYX</v>
      </c>
      <c r="B1079" t="s">
        <v>15269</v>
      </c>
      <c r="C1079" t="s">
        <v>15270</v>
      </c>
      <c r="D1079" s="1">
        <v>39845</v>
      </c>
      <c r="E1079" t="s">
        <v>108</v>
      </c>
      <c r="F1079">
        <v>0</v>
      </c>
      <c r="G1079" t="s">
        <v>93</v>
      </c>
      <c r="H1079">
        <v>137.80000000000001</v>
      </c>
      <c r="I1079">
        <v>92</v>
      </c>
      <c r="J1079">
        <v>-33.22</v>
      </c>
      <c r="K1079">
        <v>98</v>
      </c>
      <c r="L1079">
        <v>114.35</v>
      </c>
      <c r="M1079">
        <v>86</v>
      </c>
      <c r="N1079">
        <v>42.1</v>
      </c>
      <c r="O1079">
        <v>93</v>
      </c>
      <c r="P1079">
        <v>-11.15</v>
      </c>
      <c r="Q1079">
        <v>98</v>
      </c>
      <c r="R1079">
        <v>8.15</v>
      </c>
      <c r="S1079">
        <v>84</v>
      </c>
      <c r="T1079">
        <v>13.16</v>
      </c>
      <c r="U1079">
        <v>93</v>
      </c>
      <c r="V1079">
        <v>4.41</v>
      </c>
      <c r="W1079">
        <v>77</v>
      </c>
      <c r="X1079" t="s">
        <v>94</v>
      </c>
      <c r="Y1079" t="s">
        <v>1727</v>
      </c>
      <c r="Z1079" t="s">
        <v>96</v>
      </c>
      <c r="AA1079" t="s">
        <v>1129</v>
      </c>
      <c r="AB1079" t="s">
        <v>15271</v>
      </c>
      <c r="AC1079">
        <v>191</v>
      </c>
      <c r="AD1079">
        <v>112</v>
      </c>
      <c r="AE1079">
        <v>98</v>
      </c>
      <c r="AF1079">
        <v>-396.12</v>
      </c>
      <c r="AG1079">
        <v>-7.61</v>
      </c>
      <c r="AH1079">
        <v>-9.02</v>
      </c>
      <c r="AI1079">
        <v>0.15</v>
      </c>
      <c r="AJ1079">
        <v>0.08</v>
      </c>
      <c r="AK1079">
        <v>86</v>
      </c>
      <c r="AL1079">
        <v>343</v>
      </c>
      <c r="AM1079">
        <v>182</v>
      </c>
      <c r="AN1079">
        <v>-6.93</v>
      </c>
      <c r="AO1079">
        <v>2.1800000000000002</v>
      </c>
      <c r="AP1079">
        <v>509</v>
      </c>
      <c r="AQ1079">
        <v>7</v>
      </c>
      <c r="AR1079">
        <v>7.59</v>
      </c>
      <c r="AS1079">
        <v>81</v>
      </c>
      <c r="AT1079">
        <v>2.88</v>
      </c>
      <c r="AU1079">
        <v>94</v>
      </c>
      <c r="AV1079">
        <v>-4.09</v>
      </c>
      <c r="AW1079">
        <v>99</v>
      </c>
      <c r="AX1079">
        <v>-0.69</v>
      </c>
      <c r="AY1079">
        <v>93</v>
      </c>
      <c r="AZ1079">
        <v>5.27</v>
      </c>
      <c r="BA1079">
        <v>79</v>
      </c>
      <c r="BB1079">
        <v>4.12</v>
      </c>
      <c r="BC1079">
        <v>80</v>
      </c>
      <c r="BD1079">
        <v>0.01</v>
      </c>
      <c r="BE1079">
        <v>-0.06</v>
      </c>
      <c r="BF1079">
        <v>-0.09</v>
      </c>
      <c r="BG1079">
        <v>93</v>
      </c>
      <c r="BH1079">
        <v>0.03</v>
      </c>
      <c r="BI1079">
        <v>-10.76</v>
      </c>
      <c r="BJ1079">
        <v>7</v>
      </c>
      <c r="BK1079">
        <v>7</v>
      </c>
      <c r="BL1079">
        <v>-2.74</v>
      </c>
      <c r="BM1079">
        <v>2.2200000000000002</v>
      </c>
      <c r="BN1079">
        <v>-2.2599999999999998</v>
      </c>
      <c r="BO1079">
        <v>-3.13</v>
      </c>
      <c r="BP1079">
        <v>0.85</v>
      </c>
      <c r="BQ1079">
        <v>3.04</v>
      </c>
      <c r="BR1079">
        <v>-0.9</v>
      </c>
      <c r="BS1079">
        <v>1.28</v>
      </c>
      <c r="BT1079">
        <v>1.17</v>
      </c>
      <c r="BU1079">
        <v>-0.43</v>
      </c>
      <c r="BV1079">
        <v>-1.92</v>
      </c>
      <c r="BW1079">
        <v>-1.1000000000000001</v>
      </c>
      <c r="BX1079">
        <v>0.85</v>
      </c>
      <c r="BY1079">
        <v>-1.51</v>
      </c>
      <c r="BZ1079">
        <v>-2.62</v>
      </c>
      <c r="CA1079">
        <v>-1.05</v>
      </c>
      <c r="CB1079">
        <v>-1.34</v>
      </c>
      <c r="CC1079">
        <v>-0.28000000000000003</v>
      </c>
      <c r="CD1079">
        <v>2.75</v>
      </c>
      <c r="CE1079">
        <v>-2.91</v>
      </c>
      <c r="CF1079">
        <v>-1.1599999999999999</v>
      </c>
      <c r="CG1079">
        <v>0</v>
      </c>
      <c r="CH1079">
        <v>-0.26</v>
      </c>
      <c r="CI1079">
        <v>0</v>
      </c>
      <c r="CJ1079">
        <v>-5.3</v>
      </c>
      <c r="CK1079">
        <v>98</v>
      </c>
      <c r="CL1079">
        <v>-0.25</v>
      </c>
      <c r="CM1079">
        <v>98</v>
      </c>
      <c r="CN1079">
        <v>0.08</v>
      </c>
      <c r="CO1079">
        <v>98</v>
      </c>
      <c r="CP1079">
        <v>-2.1</v>
      </c>
      <c r="CQ1079">
        <v>92</v>
      </c>
      <c r="CR1079">
        <v>0</v>
      </c>
      <c r="CS1079">
        <v>0</v>
      </c>
      <c r="CT1079">
        <v>-4</v>
      </c>
      <c r="CU1079">
        <v>93</v>
      </c>
      <c r="CV1079">
        <v>0.04</v>
      </c>
      <c r="CW1079">
        <v>46</v>
      </c>
      <c r="CX1079" t="s">
        <v>1543</v>
      </c>
    </row>
    <row r="1080" spans="1:102" x14ac:dyDescent="0.3">
      <c r="A1080" t="str">
        <f>HYPERLINK("https://webapp.icbf.com/v2/app/bull-search/view/535087334","CXB")</f>
        <v>CXB</v>
      </c>
      <c r="B1080" t="s">
        <v>9928</v>
      </c>
      <c r="C1080" t="s">
        <v>9929</v>
      </c>
      <c r="D1080" s="1">
        <v>38750</v>
      </c>
      <c r="E1080" t="s">
        <v>108</v>
      </c>
      <c r="F1080">
        <v>13</v>
      </c>
      <c r="G1080" t="s">
        <v>93</v>
      </c>
      <c r="H1080">
        <v>137.77000000000001</v>
      </c>
      <c r="I1080">
        <v>87</v>
      </c>
      <c r="J1080">
        <v>-21.79</v>
      </c>
      <c r="K1080">
        <v>96</v>
      </c>
      <c r="L1080">
        <v>106.77</v>
      </c>
      <c r="M1080">
        <v>81</v>
      </c>
      <c r="N1080">
        <v>27.43</v>
      </c>
      <c r="O1080">
        <v>85</v>
      </c>
      <c r="P1080">
        <v>-12.47</v>
      </c>
      <c r="Q1080">
        <v>94</v>
      </c>
      <c r="R1080">
        <v>8.73</v>
      </c>
      <c r="S1080">
        <v>76</v>
      </c>
      <c r="T1080">
        <v>28.77</v>
      </c>
      <c r="U1080">
        <v>82</v>
      </c>
      <c r="V1080">
        <v>0.33</v>
      </c>
      <c r="W1080">
        <v>75</v>
      </c>
      <c r="X1080" t="s">
        <v>251</v>
      </c>
      <c r="Y1080" t="s">
        <v>1534</v>
      </c>
      <c r="Z1080" t="s">
        <v>96</v>
      </c>
      <c r="AA1080" t="s">
        <v>4828</v>
      </c>
      <c r="AB1080" t="s">
        <v>9930</v>
      </c>
      <c r="AC1080">
        <v>80</v>
      </c>
      <c r="AD1080">
        <v>38</v>
      </c>
      <c r="AE1080">
        <v>96</v>
      </c>
      <c r="AF1080">
        <v>-352.98</v>
      </c>
      <c r="AG1080">
        <v>-2.23</v>
      </c>
      <c r="AH1080">
        <v>-8.32</v>
      </c>
      <c r="AI1080">
        <v>0.21</v>
      </c>
      <c r="AJ1080">
        <v>7.0000000000000007E-2</v>
      </c>
      <c r="AK1080">
        <v>81</v>
      </c>
      <c r="AL1080">
        <v>88</v>
      </c>
      <c r="AM1080">
        <v>40</v>
      </c>
      <c r="AN1080">
        <v>-5.44</v>
      </c>
      <c r="AO1080">
        <v>3.08</v>
      </c>
      <c r="AP1080">
        <v>135</v>
      </c>
      <c r="AQ1080">
        <v>2</v>
      </c>
      <c r="AR1080">
        <v>5.87</v>
      </c>
      <c r="AS1080">
        <v>72</v>
      </c>
      <c r="AT1080">
        <v>2.72</v>
      </c>
      <c r="AU1080">
        <v>85</v>
      </c>
      <c r="AV1080">
        <v>-2.62</v>
      </c>
      <c r="AW1080">
        <v>94</v>
      </c>
      <c r="AX1080">
        <v>-0.31</v>
      </c>
      <c r="AY1080">
        <v>85</v>
      </c>
      <c r="AZ1080">
        <v>6.71</v>
      </c>
      <c r="BA1080">
        <v>65</v>
      </c>
      <c r="BB1080">
        <v>5.27</v>
      </c>
      <c r="BC1080">
        <v>67</v>
      </c>
      <c r="BD1080">
        <v>0.02</v>
      </c>
      <c r="BE1080">
        <v>-0.06</v>
      </c>
      <c r="BF1080">
        <v>-0.12</v>
      </c>
      <c r="BG1080">
        <v>88</v>
      </c>
      <c r="BH1080">
        <v>-0.12</v>
      </c>
      <c r="BI1080">
        <v>-14.93</v>
      </c>
      <c r="BJ1080">
        <v>5</v>
      </c>
      <c r="BK1080">
        <v>5</v>
      </c>
      <c r="BL1080">
        <v>-3.17</v>
      </c>
      <c r="BM1080">
        <v>1.96</v>
      </c>
      <c r="BN1080">
        <v>-2.1800000000000002</v>
      </c>
      <c r="BO1080">
        <v>-3.28</v>
      </c>
      <c r="BP1080">
        <v>-1.22</v>
      </c>
      <c r="BQ1080">
        <v>-1.1499999999999999</v>
      </c>
      <c r="BR1080">
        <v>-1.63</v>
      </c>
      <c r="BS1080">
        <v>0.68</v>
      </c>
      <c r="BT1080">
        <v>0.19</v>
      </c>
      <c r="BU1080">
        <v>-0.17</v>
      </c>
      <c r="BV1080">
        <v>-2.4900000000000002</v>
      </c>
      <c r="BW1080">
        <v>-1.1599999999999999</v>
      </c>
      <c r="BX1080">
        <v>0.3</v>
      </c>
      <c r="BY1080">
        <v>-0.97</v>
      </c>
      <c r="BZ1080">
        <v>-1.96</v>
      </c>
      <c r="CA1080">
        <v>-1.54</v>
      </c>
      <c r="CB1080">
        <v>-1.47</v>
      </c>
      <c r="CC1080">
        <v>-0.99</v>
      </c>
      <c r="CD1080">
        <v>3.44</v>
      </c>
      <c r="CE1080">
        <v>-1.61</v>
      </c>
      <c r="CF1080">
        <v>-1.57</v>
      </c>
      <c r="CG1080">
        <v>0</v>
      </c>
      <c r="CH1080">
        <v>-0.51</v>
      </c>
      <c r="CI1080">
        <v>0</v>
      </c>
      <c r="CJ1080">
        <v>-7.1</v>
      </c>
      <c r="CK1080">
        <v>95</v>
      </c>
      <c r="CL1080">
        <v>-0.1</v>
      </c>
      <c r="CM1080">
        <v>94</v>
      </c>
      <c r="CN1080">
        <v>-0.06</v>
      </c>
      <c r="CO1080">
        <v>93</v>
      </c>
      <c r="CP1080">
        <v>-15.6</v>
      </c>
      <c r="CQ1080">
        <v>87</v>
      </c>
      <c r="CR1080">
        <v>0</v>
      </c>
      <c r="CS1080">
        <v>0</v>
      </c>
      <c r="CT1080">
        <v>-25.1</v>
      </c>
      <c r="CU1080">
        <v>82</v>
      </c>
      <c r="CV1080">
        <v>-0.08</v>
      </c>
      <c r="CW1080">
        <v>45</v>
      </c>
      <c r="CX1080" t="s">
        <v>4235</v>
      </c>
    </row>
    <row r="1081" spans="1:102" x14ac:dyDescent="0.3">
      <c r="A1081" t="str">
        <f>HYPERLINK("https://webapp.icbf.com/v2/app/bull-search/view/1245970924","JE2054")</f>
        <v>JE2054</v>
      </c>
      <c r="B1081" t="s">
        <v>2179</v>
      </c>
      <c r="C1081" t="s">
        <v>2180</v>
      </c>
      <c r="D1081" s="1">
        <v>41387</v>
      </c>
      <c r="E1081" t="s">
        <v>227</v>
      </c>
      <c r="F1081">
        <v>0</v>
      </c>
      <c r="G1081" t="s">
        <v>435</v>
      </c>
      <c r="H1081">
        <v>137.43</v>
      </c>
      <c r="I1081">
        <v>69</v>
      </c>
      <c r="J1081">
        <v>41.98</v>
      </c>
      <c r="K1081">
        <v>85</v>
      </c>
      <c r="L1081">
        <v>52.47</v>
      </c>
      <c r="M1081">
        <v>66</v>
      </c>
      <c r="N1081">
        <v>5.26</v>
      </c>
      <c r="O1081">
        <v>63</v>
      </c>
      <c r="P1081">
        <v>-54</v>
      </c>
      <c r="Q1081">
        <v>48</v>
      </c>
      <c r="R1081">
        <v>18.579999999999998</v>
      </c>
      <c r="S1081">
        <v>64</v>
      </c>
      <c r="T1081">
        <v>66.14</v>
      </c>
      <c r="U1081">
        <v>46</v>
      </c>
      <c r="V1081">
        <v>7</v>
      </c>
      <c r="W1081">
        <v>59</v>
      </c>
      <c r="X1081" t="s">
        <v>276</v>
      </c>
      <c r="Y1081" t="s">
        <v>416</v>
      </c>
      <c r="Z1081">
        <v>0</v>
      </c>
      <c r="AA1081" t="s">
        <v>2181</v>
      </c>
      <c r="AB1081" t="s">
        <v>2182</v>
      </c>
      <c r="AC1081">
        <v>10</v>
      </c>
      <c r="AD1081">
        <v>4</v>
      </c>
      <c r="AE1081">
        <v>85</v>
      </c>
      <c r="AF1081">
        <v>-369.54</v>
      </c>
      <c r="AG1081">
        <v>13.69</v>
      </c>
      <c r="AH1081">
        <v>-3.36</v>
      </c>
      <c r="AI1081">
        <v>0.52</v>
      </c>
      <c r="AJ1081">
        <v>0.17</v>
      </c>
      <c r="AK1081">
        <v>66</v>
      </c>
      <c r="AL1081">
        <v>20</v>
      </c>
      <c r="AM1081">
        <v>7</v>
      </c>
      <c r="AN1081">
        <v>-0.08</v>
      </c>
      <c r="AO1081">
        <v>4.1399999999999997</v>
      </c>
      <c r="AP1081">
        <v>9</v>
      </c>
      <c r="AQ1081">
        <v>1</v>
      </c>
      <c r="AR1081">
        <v>3.54</v>
      </c>
      <c r="AS1081">
        <v>59</v>
      </c>
      <c r="AT1081">
        <v>2.25</v>
      </c>
      <c r="AU1081">
        <v>57</v>
      </c>
      <c r="AV1081">
        <v>-0.66</v>
      </c>
      <c r="AW1081">
        <v>76</v>
      </c>
      <c r="AX1081">
        <v>5.37</v>
      </c>
      <c r="AY1081">
        <v>56</v>
      </c>
      <c r="AZ1081">
        <v>6.92</v>
      </c>
      <c r="BA1081">
        <v>47</v>
      </c>
      <c r="BB1081">
        <v>5.18</v>
      </c>
      <c r="BC1081">
        <v>46</v>
      </c>
      <c r="BD1081">
        <v>-0.11</v>
      </c>
      <c r="BE1081">
        <v>-0.06</v>
      </c>
      <c r="BF1081">
        <v>-0.13</v>
      </c>
      <c r="BG1081">
        <v>71</v>
      </c>
      <c r="BH1081">
        <v>7.0000000000000007E-2</v>
      </c>
      <c r="BI1081">
        <v>-14.49</v>
      </c>
      <c r="BJ1081">
        <v>0</v>
      </c>
      <c r="BK1081">
        <v>0</v>
      </c>
      <c r="BL1081">
        <v>-0.48</v>
      </c>
      <c r="BM1081">
        <v>-2.46</v>
      </c>
      <c r="BN1081">
        <v>-0.56000000000000005</v>
      </c>
      <c r="BO1081">
        <v>1.74</v>
      </c>
      <c r="BP1081">
        <v>-0.32</v>
      </c>
      <c r="BQ1081">
        <v>-4.12</v>
      </c>
      <c r="BR1081">
        <v>2.0499999999999998</v>
      </c>
      <c r="BS1081">
        <v>6.37</v>
      </c>
      <c r="BT1081">
        <v>-0.87</v>
      </c>
      <c r="BU1081">
        <v>1.48</v>
      </c>
      <c r="BV1081">
        <v>1.47</v>
      </c>
      <c r="BW1081">
        <v>-0.34</v>
      </c>
      <c r="BX1081">
        <v>-0.72</v>
      </c>
      <c r="BY1081">
        <v>0.77</v>
      </c>
      <c r="BZ1081">
        <v>-0.91</v>
      </c>
      <c r="CA1081">
        <v>2.76</v>
      </c>
      <c r="CB1081">
        <v>1.37</v>
      </c>
      <c r="CC1081">
        <v>4.25</v>
      </c>
      <c r="CD1081">
        <v>-2.5499999999999998</v>
      </c>
      <c r="CE1081">
        <v>1.61</v>
      </c>
      <c r="CF1081">
        <v>-0.54</v>
      </c>
      <c r="CG1081">
        <v>0</v>
      </c>
      <c r="CH1081">
        <v>0.24</v>
      </c>
      <c r="CI1081">
        <v>0</v>
      </c>
      <c r="CJ1081">
        <v>-29.3</v>
      </c>
      <c r="CK1081">
        <v>49</v>
      </c>
      <c r="CL1081">
        <v>-1.1299999999999999</v>
      </c>
      <c r="CM1081">
        <v>48</v>
      </c>
      <c r="CN1081">
        <v>-0.5</v>
      </c>
      <c r="CO1081">
        <v>46</v>
      </c>
      <c r="CP1081">
        <v>-51.7</v>
      </c>
      <c r="CQ1081">
        <v>49</v>
      </c>
      <c r="CR1081">
        <v>0</v>
      </c>
      <c r="CS1081">
        <v>0</v>
      </c>
      <c r="CT1081">
        <v>-75.599999999999994</v>
      </c>
      <c r="CU1081">
        <v>46</v>
      </c>
      <c r="CV1081">
        <v>-0.28000000000000003</v>
      </c>
      <c r="CW1081">
        <v>35</v>
      </c>
      <c r="CX1081" t="s">
        <v>1914</v>
      </c>
    </row>
    <row r="1082" spans="1:102" x14ac:dyDescent="0.3">
      <c r="A1082" t="str">
        <f>HYPERLINK("https://webapp.icbf.com/v2/app/bull-search/view/586143716","OKL")</f>
        <v>OKL</v>
      </c>
      <c r="B1082" t="s">
        <v>5338</v>
      </c>
      <c r="C1082" t="s">
        <v>5339</v>
      </c>
      <c r="D1082" s="1">
        <v>39268</v>
      </c>
      <c r="E1082" t="s">
        <v>92</v>
      </c>
      <c r="F1082">
        <v>50</v>
      </c>
      <c r="G1082" t="s">
        <v>93</v>
      </c>
      <c r="H1082">
        <v>137.41</v>
      </c>
      <c r="I1082">
        <v>97</v>
      </c>
      <c r="J1082">
        <v>50.34</v>
      </c>
      <c r="K1082">
        <v>99</v>
      </c>
      <c r="L1082">
        <v>64.05</v>
      </c>
      <c r="M1082">
        <v>94</v>
      </c>
      <c r="N1082">
        <v>30.13</v>
      </c>
      <c r="O1082">
        <v>98</v>
      </c>
      <c r="P1082">
        <v>-18.34</v>
      </c>
      <c r="Q1082">
        <v>99</v>
      </c>
      <c r="R1082">
        <v>-2.86</v>
      </c>
      <c r="S1082">
        <v>94</v>
      </c>
      <c r="T1082">
        <v>5.61</v>
      </c>
      <c r="U1082">
        <v>99</v>
      </c>
      <c r="V1082">
        <v>8.48</v>
      </c>
      <c r="W1082">
        <v>92</v>
      </c>
      <c r="X1082" t="s">
        <v>276</v>
      </c>
      <c r="Y1082" t="s">
        <v>329</v>
      </c>
      <c r="Z1082" t="s">
        <v>330</v>
      </c>
      <c r="AA1082" t="s">
        <v>5340</v>
      </c>
      <c r="AB1082" t="s">
        <v>5341</v>
      </c>
      <c r="AC1082">
        <v>1553</v>
      </c>
      <c r="AD1082">
        <v>440</v>
      </c>
      <c r="AE1082">
        <v>99</v>
      </c>
      <c r="AF1082">
        <v>263.08999999999997</v>
      </c>
      <c r="AG1082">
        <v>8.0500000000000007</v>
      </c>
      <c r="AH1082">
        <v>9.74</v>
      </c>
      <c r="AI1082">
        <v>-0.04</v>
      </c>
      <c r="AJ1082">
        <v>0.01</v>
      </c>
      <c r="AK1082">
        <v>94</v>
      </c>
      <c r="AL1082">
        <v>1723</v>
      </c>
      <c r="AM1082">
        <v>523</v>
      </c>
      <c r="AN1082">
        <v>-3.3</v>
      </c>
      <c r="AO1082">
        <v>1.81</v>
      </c>
      <c r="AP1082">
        <v>3191</v>
      </c>
      <c r="AQ1082">
        <v>21</v>
      </c>
      <c r="AR1082">
        <v>7.27</v>
      </c>
      <c r="AS1082">
        <v>97</v>
      </c>
      <c r="AT1082">
        <v>2.39</v>
      </c>
      <c r="AU1082">
        <v>99</v>
      </c>
      <c r="AV1082">
        <v>-2.59</v>
      </c>
      <c r="AW1082">
        <v>99</v>
      </c>
      <c r="AX1082">
        <v>0.76</v>
      </c>
      <c r="AY1082">
        <v>98</v>
      </c>
      <c r="AZ1082">
        <v>5.18</v>
      </c>
      <c r="BA1082">
        <v>95</v>
      </c>
      <c r="BB1082">
        <v>4.3899999999999997</v>
      </c>
      <c r="BC1082">
        <v>96</v>
      </c>
      <c r="BD1082">
        <v>-0.05</v>
      </c>
      <c r="BE1082">
        <v>0.01</v>
      </c>
      <c r="BF1082">
        <v>0.13</v>
      </c>
      <c r="BG1082">
        <v>99</v>
      </c>
      <c r="BH1082">
        <v>0.15</v>
      </c>
      <c r="BI1082">
        <v>-10.01</v>
      </c>
      <c r="BJ1082">
        <v>7</v>
      </c>
      <c r="BK1082">
        <v>7</v>
      </c>
      <c r="BL1082">
        <v>-1.39</v>
      </c>
      <c r="BM1082">
        <v>1.58</v>
      </c>
      <c r="BN1082">
        <v>-0.21</v>
      </c>
      <c r="BO1082">
        <v>-1.49</v>
      </c>
      <c r="BP1082">
        <v>-1.91</v>
      </c>
      <c r="BQ1082">
        <v>0.02</v>
      </c>
      <c r="BR1082">
        <v>2.1800000000000002</v>
      </c>
      <c r="BS1082">
        <v>-2.06</v>
      </c>
      <c r="BT1082">
        <v>-2.66</v>
      </c>
      <c r="BU1082">
        <v>-0.39</v>
      </c>
      <c r="BV1082">
        <v>-0.92</v>
      </c>
      <c r="BW1082">
        <v>-1.01</v>
      </c>
      <c r="BX1082">
        <v>-1.59</v>
      </c>
      <c r="BY1082">
        <v>-0.18</v>
      </c>
      <c r="BZ1082">
        <v>-0.69</v>
      </c>
      <c r="CA1082">
        <v>-1.1200000000000001</v>
      </c>
      <c r="CB1082">
        <v>-0.75</v>
      </c>
      <c r="CC1082">
        <v>-2.63</v>
      </c>
      <c r="CD1082">
        <v>0.82</v>
      </c>
      <c r="CE1082">
        <v>-1.05</v>
      </c>
      <c r="CF1082">
        <v>-1.0900000000000001</v>
      </c>
      <c r="CG1082">
        <v>0</v>
      </c>
      <c r="CH1082">
        <v>-0.09</v>
      </c>
      <c r="CI1082">
        <v>0</v>
      </c>
      <c r="CJ1082">
        <v>-7.7</v>
      </c>
      <c r="CK1082">
        <v>99</v>
      </c>
      <c r="CL1082">
        <v>-0.89</v>
      </c>
      <c r="CM1082">
        <v>99</v>
      </c>
      <c r="CN1082">
        <v>-0.25</v>
      </c>
      <c r="CO1082">
        <v>99</v>
      </c>
      <c r="CP1082">
        <v>-9.6999999999999993</v>
      </c>
      <c r="CQ1082">
        <v>99</v>
      </c>
      <c r="CR1082">
        <v>0</v>
      </c>
      <c r="CS1082">
        <v>0</v>
      </c>
      <c r="CT1082">
        <v>6.2</v>
      </c>
      <c r="CU1082">
        <v>99</v>
      </c>
      <c r="CV1082">
        <v>0.22</v>
      </c>
      <c r="CW1082">
        <v>48</v>
      </c>
      <c r="CX1082" t="s">
        <v>1257</v>
      </c>
    </row>
    <row r="1083" spans="1:102" x14ac:dyDescent="0.3">
      <c r="A1083" t="str">
        <f>HYPERLINK("https://webapp.icbf.com/v2/app/bull-search/view/1196689712","FR4708")</f>
        <v>FR4708</v>
      </c>
      <c r="B1083" t="s">
        <v>14053</v>
      </c>
      <c r="C1083" t="s">
        <v>14054</v>
      </c>
      <c r="D1083" s="1">
        <v>41276</v>
      </c>
      <c r="E1083" t="s">
        <v>92</v>
      </c>
      <c r="F1083">
        <v>100</v>
      </c>
      <c r="G1083" t="s">
        <v>109</v>
      </c>
      <c r="H1083">
        <v>137.33000000000001</v>
      </c>
      <c r="I1083">
        <v>75</v>
      </c>
      <c r="J1083">
        <v>104.65</v>
      </c>
      <c r="K1083">
        <v>92</v>
      </c>
      <c r="L1083">
        <v>-26.46</v>
      </c>
      <c r="M1083">
        <v>82</v>
      </c>
      <c r="N1083">
        <v>52.94</v>
      </c>
      <c r="O1083">
        <v>64</v>
      </c>
      <c r="P1083">
        <v>2.1800000000000002</v>
      </c>
      <c r="Q1083">
        <v>44</v>
      </c>
      <c r="R1083">
        <v>4.0199999999999996</v>
      </c>
      <c r="S1083">
        <v>70</v>
      </c>
      <c r="T1083">
        <v>-6.89</v>
      </c>
      <c r="U1083">
        <v>38</v>
      </c>
      <c r="V1083">
        <v>6.89</v>
      </c>
      <c r="W1083">
        <v>54</v>
      </c>
      <c r="X1083" t="s">
        <v>428</v>
      </c>
      <c r="Y1083" t="s">
        <v>2389</v>
      </c>
      <c r="Z1083" t="s">
        <v>96</v>
      </c>
      <c r="AA1083" t="s">
        <v>465</v>
      </c>
      <c r="AB1083" t="s">
        <v>14055</v>
      </c>
      <c r="AC1083">
        <v>0</v>
      </c>
      <c r="AD1083">
        <v>0</v>
      </c>
      <c r="AE1083">
        <v>92</v>
      </c>
      <c r="AF1083">
        <v>790.92</v>
      </c>
      <c r="AG1083">
        <v>22.54</v>
      </c>
      <c r="AH1083">
        <v>21.93</v>
      </c>
      <c r="AI1083">
        <v>-0.13</v>
      </c>
      <c r="AJ1083">
        <v>-7.0000000000000007E-2</v>
      </c>
      <c r="AK1083">
        <v>82</v>
      </c>
      <c r="AL1083">
        <v>0</v>
      </c>
      <c r="AM1083">
        <v>0</v>
      </c>
      <c r="AN1083">
        <v>1.43</v>
      </c>
      <c r="AO1083">
        <v>-0.68</v>
      </c>
      <c r="AP1083">
        <v>17</v>
      </c>
      <c r="AQ1083">
        <v>0</v>
      </c>
      <c r="AR1083">
        <v>5.98</v>
      </c>
      <c r="AS1083">
        <v>59</v>
      </c>
      <c r="AT1083">
        <v>2.42</v>
      </c>
      <c r="AU1083">
        <v>90</v>
      </c>
      <c r="AV1083">
        <v>-4.68</v>
      </c>
      <c r="AW1083">
        <v>62</v>
      </c>
      <c r="AX1083">
        <v>-0.84</v>
      </c>
      <c r="AY1083">
        <v>57</v>
      </c>
      <c r="AZ1083">
        <v>5.92</v>
      </c>
      <c r="BA1083">
        <v>41</v>
      </c>
      <c r="BB1083">
        <v>4.29</v>
      </c>
      <c r="BC1083">
        <v>36</v>
      </c>
      <c r="BD1083">
        <v>0.01</v>
      </c>
      <c r="BE1083">
        <v>-0.01</v>
      </c>
      <c r="BF1083">
        <v>-0.09</v>
      </c>
      <c r="BG1083">
        <v>88</v>
      </c>
      <c r="BH1083">
        <v>0.18</v>
      </c>
      <c r="BI1083">
        <v>-1.39</v>
      </c>
      <c r="BJ1083">
        <v>0</v>
      </c>
      <c r="BK1083">
        <v>0</v>
      </c>
      <c r="BL1083">
        <v>1.48</v>
      </c>
      <c r="BM1083">
        <v>3.3</v>
      </c>
      <c r="BN1083">
        <v>2.08</v>
      </c>
      <c r="BO1083">
        <v>0.36</v>
      </c>
      <c r="BP1083">
        <v>-1.1299999999999999</v>
      </c>
      <c r="BQ1083">
        <v>1.63</v>
      </c>
      <c r="BR1083">
        <v>-0.79</v>
      </c>
      <c r="BS1083">
        <v>1.74</v>
      </c>
      <c r="BT1083">
        <v>1.63</v>
      </c>
      <c r="BU1083">
        <v>3.35</v>
      </c>
      <c r="BV1083">
        <v>3.48</v>
      </c>
      <c r="BW1083">
        <v>1.68</v>
      </c>
      <c r="BX1083">
        <v>2.17</v>
      </c>
      <c r="BY1083">
        <v>1.62</v>
      </c>
      <c r="BZ1083">
        <v>0.11</v>
      </c>
      <c r="CA1083">
        <v>2.85</v>
      </c>
      <c r="CB1083">
        <v>2.7</v>
      </c>
      <c r="CC1083">
        <v>1.74</v>
      </c>
      <c r="CD1083">
        <v>1.48</v>
      </c>
      <c r="CE1083">
        <v>0.89</v>
      </c>
      <c r="CF1083">
        <v>0.94</v>
      </c>
      <c r="CG1083">
        <v>0</v>
      </c>
      <c r="CH1083">
        <v>1.96</v>
      </c>
      <c r="CI1083">
        <v>0</v>
      </c>
      <c r="CJ1083">
        <v>3.8</v>
      </c>
      <c r="CK1083">
        <v>44</v>
      </c>
      <c r="CL1083">
        <v>-1.1399999999999999</v>
      </c>
      <c r="CM1083">
        <v>44</v>
      </c>
      <c r="CN1083">
        <v>-0.71</v>
      </c>
      <c r="CO1083">
        <v>44</v>
      </c>
      <c r="CP1083">
        <v>2.6</v>
      </c>
      <c r="CQ1083">
        <v>40</v>
      </c>
      <c r="CR1083">
        <v>0</v>
      </c>
      <c r="CS1083">
        <v>0</v>
      </c>
      <c r="CT1083">
        <v>23.1</v>
      </c>
      <c r="CU1083">
        <v>38</v>
      </c>
      <c r="CV1083">
        <v>0.21</v>
      </c>
      <c r="CW1083">
        <v>34</v>
      </c>
      <c r="CX1083" t="s">
        <v>2187</v>
      </c>
    </row>
    <row r="1084" spans="1:102" x14ac:dyDescent="0.3">
      <c r="A1084" t="str">
        <f>HYPERLINK("https://webapp.icbf.com/v2/app/bull-search/view/69092185","LYD")</f>
        <v>LYD</v>
      </c>
      <c r="B1084" t="s">
        <v>566</v>
      </c>
      <c r="C1084" t="s">
        <v>567</v>
      </c>
      <c r="D1084" s="1">
        <v>33463</v>
      </c>
      <c r="E1084" t="s">
        <v>227</v>
      </c>
      <c r="F1084">
        <v>0</v>
      </c>
      <c r="G1084" t="s">
        <v>93</v>
      </c>
      <c r="H1084">
        <v>137.25</v>
      </c>
      <c r="I1084">
        <v>87</v>
      </c>
      <c r="J1084">
        <v>-4.5599999999999996</v>
      </c>
      <c r="K1084">
        <v>96</v>
      </c>
      <c r="L1084">
        <v>98.02</v>
      </c>
      <c r="M1084">
        <v>85</v>
      </c>
      <c r="N1084">
        <v>25.07</v>
      </c>
      <c r="O1084">
        <v>76</v>
      </c>
      <c r="P1084">
        <v>-49.98</v>
      </c>
      <c r="Q1084">
        <v>85</v>
      </c>
      <c r="R1084">
        <v>-2.19</v>
      </c>
      <c r="S1084">
        <v>75</v>
      </c>
      <c r="T1084">
        <v>66.66</v>
      </c>
      <c r="U1084">
        <v>90</v>
      </c>
      <c r="V1084">
        <v>4.2300000000000004</v>
      </c>
      <c r="W1084">
        <v>73</v>
      </c>
      <c r="X1084" t="s">
        <v>302</v>
      </c>
      <c r="Y1084" t="s">
        <v>95</v>
      </c>
      <c r="Z1084">
        <v>0</v>
      </c>
      <c r="AA1084" t="s">
        <v>568</v>
      </c>
      <c r="AB1084" t="s">
        <v>569</v>
      </c>
      <c r="AC1084">
        <v>139</v>
      </c>
      <c r="AD1084">
        <v>39</v>
      </c>
      <c r="AE1084">
        <v>96</v>
      </c>
      <c r="AF1084">
        <v>-590.27</v>
      </c>
      <c r="AG1084">
        <v>2.46</v>
      </c>
      <c r="AH1084">
        <v>-10.68</v>
      </c>
      <c r="AI1084">
        <v>0.47</v>
      </c>
      <c r="AJ1084">
        <v>0.18</v>
      </c>
      <c r="AK1084">
        <v>85</v>
      </c>
      <c r="AL1084">
        <v>138</v>
      </c>
      <c r="AM1084">
        <v>43</v>
      </c>
      <c r="AN1084">
        <v>-4.32</v>
      </c>
      <c r="AO1084">
        <v>3.51</v>
      </c>
      <c r="AP1084">
        <v>10</v>
      </c>
      <c r="AQ1084">
        <v>0</v>
      </c>
      <c r="AR1084">
        <v>2.12</v>
      </c>
      <c r="AS1084">
        <v>52</v>
      </c>
      <c r="AT1084">
        <v>1.33</v>
      </c>
      <c r="AU1084">
        <v>71</v>
      </c>
      <c r="AV1084">
        <v>-1.2</v>
      </c>
      <c r="AW1084">
        <v>87</v>
      </c>
      <c r="AX1084">
        <v>1.1399999999999999</v>
      </c>
      <c r="AY1084">
        <v>82</v>
      </c>
      <c r="AZ1084">
        <v>7.57</v>
      </c>
      <c r="BA1084">
        <v>55</v>
      </c>
      <c r="BB1084">
        <v>5.44</v>
      </c>
      <c r="BC1084">
        <v>68</v>
      </c>
      <c r="BD1084">
        <v>-0.04</v>
      </c>
      <c r="BE1084">
        <v>0.03</v>
      </c>
      <c r="BF1084">
        <v>0.06</v>
      </c>
      <c r="BG1084">
        <v>87</v>
      </c>
      <c r="BH1084">
        <v>7.0000000000000007E-2</v>
      </c>
      <c r="BI1084">
        <v>-5.56</v>
      </c>
      <c r="BJ1084">
        <v>2</v>
      </c>
      <c r="BK1084">
        <v>2</v>
      </c>
      <c r="BL1084">
        <v>-1.96</v>
      </c>
      <c r="BM1084">
        <v>-1.97</v>
      </c>
      <c r="BN1084">
        <v>-0.18</v>
      </c>
      <c r="BO1084">
        <v>1.18</v>
      </c>
      <c r="BP1084">
        <v>-2.1</v>
      </c>
      <c r="BQ1084">
        <v>-5.98</v>
      </c>
      <c r="BR1084">
        <v>2.0699999999999998</v>
      </c>
      <c r="BS1084">
        <v>6.85</v>
      </c>
      <c r="BT1084">
        <v>-0.8</v>
      </c>
      <c r="BU1084">
        <v>0.11</v>
      </c>
      <c r="BV1084">
        <v>0.53</v>
      </c>
      <c r="BW1084">
        <v>-1.56</v>
      </c>
      <c r="BX1084">
        <v>-2.77</v>
      </c>
      <c r="BY1084">
        <v>0.14000000000000001</v>
      </c>
      <c r="BZ1084">
        <v>-1.61</v>
      </c>
      <c r="CA1084">
        <v>2.13</v>
      </c>
      <c r="CB1084">
        <v>0.23</v>
      </c>
      <c r="CC1084">
        <v>5</v>
      </c>
      <c r="CD1084">
        <v>-2.08</v>
      </c>
      <c r="CE1084">
        <v>0.91</v>
      </c>
      <c r="CF1084">
        <v>-2.06</v>
      </c>
      <c r="CG1084">
        <v>0</v>
      </c>
      <c r="CH1084">
        <v>-0.42</v>
      </c>
      <c r="CI1084">
        <v>0</v>
      </c>
      <c r="CJ1084">
        <v>-24.9</v>
      </c>
      <c r="CK1084">
        <v>86</v>
      </c>
      <c r="CL1084">
        <v>-0.72</v>
      </c>
      <c r="CM1084">
        <v>83</v>
      </c>
      <c r="CN1084">
        <v>0.1</v>
      </c>
      <c r="CO1084">
        <v>80</v>
      </c>
      <c r="CP1084">
        <v>-46.8</v>
      </c>
      <c r="CQ1084">
        <v>91</v>
      </c>
      <c r="CR1084">
        <v>0</v>
      </c>
      <c r="CS1084">
        <v>0</v>
      </c>
      <c r="CT1084">
        <v>-76.3</v>
      </c>
      <c r="CU1084">
        <v>90</v>
      </c>
      <c r="CV1084">
        <v>-0.28000000000000003</v>
      </c>
      <c r="CW1084">
        <v>24</v>
      </c>
      <c r="CX1084" t="s">
        <v>570</v>
      </c>
    </row>
    <row r="1085" spans="1:102" x14ac:dyDescent="0.3">
      <c r="A1085" t="str">
        <f>HYPERLINK("https://webapp.icbf.com/v2/app/bull-search/view/550983328","KLK")</f>
        <v>KLK</v>
      </c>
      <c r="B1085" t="s">
        <v>5069</v>
      </c>
      <c r="C1085" t="s">
        <v>5070</v>
      </c>
      <c r="D1085" s="1">
        <v>38565</v>
      </c>
      <c r="E1085" t="s">
        <v>227</v>
      </c>
      <c r="F1085">
        <v>0</v>
      </c>
      <c r="G1085" t="s">
        <v>93</v>
      </c>
      <c r="H1085">
        <v>137.09</v>
      </c>
      <c r="I1085">
        <v>95</v>
      </c>
      <c r="J1085">
        <v>75.239999999999995</v>
      </c>
      <c r="K1085">
        <v>99</v>
      </c>
      <c r="L1085">
        <v>6.66</v>
      </c>
      <c r="M1085">
        <v>90</v>
      </c>
      <c r="N1085">
        <v>60.71</v>
      </c>
      <c r="O1085">
        <v>95</v>
      </c>
      <c r="P1085">
        <v>-63.69</v>
      </c>
      <c r="Q1085">
        <v>96</v>
      </c>
      <c r="R1085">
        <v>-2.77</v>
      </c>
      <c r="S1085">
        <v>91</v>
      </c>
      <c r="T1085">
        <v>58.15</v>
      </c>
      <c r="U1085">
        <v>97</v>
      </c>
      <c r="V1085">
        <v>2.79</v>
      </c>
      <c r="W1085">
        <v>93</v>
      </c>
      <c r="X1085" t="s">
        <v>276</v>
      </c>
      <c r="Y1085" t="s">
        <v>1128</v>
      </c>
      <c r="Z1085">
        <v>0</v>
      </c>
      <c r="AA1085" t="s">
        <v>1634</v>
      </c>
      <c r="AB1085" t="s">
        <v>5071</v>
      </c>
      <c r="AC1085">
        <v>444</v>
      </c>
      <c r="AD1085">
        <v>155</v>
      </c>
      <c r="AE1085">
        <v>99</v>
      </c>
      <c r="AF1085">
        <v>-120.71</v>
      </c>
      <c r="AG1085">
        <v>12.04</v>
      </c>
      <c r="AH1085">
        <v>6.69</v>
      </c>
      <c r="AI1085">
        <v>0.3</v>
      </c>
      <c r="AJ1085">
        <v>0.19</v>
      </c>
      <c r="AK1085">
        <v>90</v>
      </c>
      <c r="AL1085">
        <v>429</v>
      </c>
      <c r="AM1085">
        <v>141</v>
      </c>
      <c r="AN1085">
        <v>1.1000000000000001</v>
      </c>
      <c r="AO1085">
        <v>1.65</v>
      </c>
      <c r="AP1085">
        <v>742</v>
      </c>
      <c r="AQ1085">
        <v>3</v>
      </c>
      <c r="AR1085">
        <v>2.34</v>
      </c>
      <c r="AS1085">
        <v>95</v>
      </c>
      <c r="AT1085">
        <v>1.24</v>
      </c>
      <c r="AU1085">
        <v>95</v>
      </c>
      <c r="AV1085">
        <v>-4.4400000000000004</v>
      </c>
      <c r="AW1085">
        <v>99</v>
      </c>
      <c r="AX1085">
        <v>-1.1000000000000001</v>
      </c>
      <c r="AY1085">
        <v>94</v>
      </c>
      <c r="AZ1085">
        <v>6.22</v>
      </c>
      <c r="BA1085">
        <v>87</v>
      </c>
      <c r="BB1085">
        <v>5.07</v>
      </c>
      <c r="BC1085">
        <v>85</v>
      </c>
      <c r="BD1085">
        <v>-0.02</v>
      </c>
      <c r="BE1085">
        <v>0.03</v>
      </c>
      <c r="BF1085">
        <v>0.04</v>
      </c>
      <c r="BG1085">
        <v>97</v>
      </c>
      <c r="BH1085">
        <v>0.09</v>
      </c>
      <c r="BI1085">
        <v>1.42</v>
      </c>
      <c r="BJ1085">
        <v>7</v>
      </c>
      <c r="BK1085">
        <v>7</v>
      </c>
      <c r="BL1085">
        <v>-3.89</v>
      </c>
      <c r="BM1085">
        <v>-3.06</v>
      </c>
      <c r="BN1085">
        <v>-1.7</v>
      </c>
      <c r="BO1085">
        <v>0.8</v>
      </c>
      <c r="BP1085">
        <v>-7.0000000000000007E-2</v>
      </c>
      <c r="BQ1085">
        <v>-7.33</v>
      </c>
      <c r="BR1085">
        <v>2.68</v>
      </c>
      <c r="BS1085">
        <v>5.83</v>
      </c>
      <c r="BT1085">
        <v>-2.52</v>
      </c>
      <c r="BU1085">
        <v>-1.37</v>
      </c>
      <c r="BV1085">
        <v>-0.27</v>
      </c>
      <c r="BW1085">
        <v>-2.6</v>
      </c>
      <c r="BX1085">
        <v>-5.93</v>
      </c>
      <c r="BY1085">
        <v>-1</v>
      </c>
      <c r="BZ1085">
        <v>0.1</v>
      </c>
      <c r="CA1085">
        <v>1.24</v>
      </c>
      <c r="CB1085">
        <v>-0.31</v>
      </c>
      <c r="CC1085">
        <v>3.88</v>
      </c>
      <c r="CD1085">
        <v>-1.9</v>
      </c>
      <c r="CE1085">
        <v>0.87</v>
      </c>
      <c r="CF1085">
        <v>-4.1399999999999997</v>
      </c>
      <c r="CG1085">
        <v>0</v>
      </c>
      <c r="CH1085">
        <v>-0.38</v>
      </c>
      <c r="CI1085">
        <v>0</v>
      </c>
      <c r="CJ1085">
        <v>-31.6</v>
      </c>
      <c r="CK1085">
        <v>97</v>
      </c>
      <c r="CL1085">
        <v>-0.98</v>
      </c>
      <c r="CM1085">
        <v>96</v>
      </c>
      <c r="CN1085">
        <v>0.18</v>
      </c>
      <c r="CO1085">
        <v>96</v>
      </c>
      <c r="CP1085">
        <v>-52.4</v>
      </c>
      <c r="CQ1085">
        <v>94</v>
      </c>
      <c r="CR1085">
        <v>0</v>
      </c>
      <c r="CS1085">
        <v>0</v>
      </c>
      <c r="CT1085">
        <v>-64.8</v>
      </c>
      <c r="CU1085">
        <v>97</v>
      </c>
      <c r="CV1085">
        <v>-0.31</v>
      </c>
      <c r="CW1085">
        <v>46</v>
      </c>
      <c r="CX1085" t="s">
        <v>5072</v>
      </c>
    </row>
    <row r="1086" spans="1:102" x14ac:dyDescent="0.3">
      <c r="A1086" t="str">
        <f>HYPERLINK("https://webapp.icbf.com/v2/app/bull-search/view/953700360","FKM")</f>
        <v>FKM</v>
      </c>
      <c r="B1086" t="s">
        <v>1974</v>
      </c>
      <c r="C1086" t="s">
        <v>1975</v>
      </c>
      <c r="D1086" s="1">
        <v>40945</v>
      </c>
      <c r="E1086" t="s">
        <v>92</v>
      </c>
      <c r="F1086">
        <v>75</v>
      </c>
      <c r="G1086" t="s">
        <v>93</v>
      </c>
      <c r="H1086">
        <v>137.06</v>
      </c>
      <c r="I1086">
        <v>90</v>
      </c>
      <c r="J1086">
        <v>89.18</v>
      </c>
      <c r="K1086">
        <v>98</v>
      </c>
      <c r="L1086">
        <v>13.39</v>
      </c>
      <c r="M1086">
        <v>83</v>
      </c>
      <c r="N1086">
        <v>37.630000000000003</v>
      </c>
      <c r="O1086">
        <v>92</v>
      </c>
      <c r="P1086">
        <v>-8.74</v>
      </c>
      <c r="Q1086">
        <v>97</v>
      </c>
      <c r="R1086">
        <v>-6.87</v>
      </c>
      <c r="S1086">
        <v>83</v>
      </c>
      <c r="T1086">
        <v>5.69</v>
      </c>
      <c r="U1086">
        <v>89</v>
      </c>
      <c r="V1086">
        <v>6.78</v>
      </c>
      <c r="W1086">
        <v>78</v>
      </c>
      <c r="X1086" t="s">
        <v>102</v>
      </c>
      <c r="Y1086" t="s">
        <v>1976</v>
      </c>
      <c r="Z1086" t="s">
        <v>330</v>
      </c>
      <c r="AA1086" t="s">
        <v>392</v>
      </c>
      <c r="AB1086" t="s">
        <v>1977</v>
      </c>
      <c r="AC1086">
        <v>257</v>
      </c>
      <c r="AD1086">
        <v>112</v>
      </c>
      <c r="AE1086">
        <v>98</v>
      </c>
      <c r="AF1086">
        <v>108.51</v>
      </c>
      <c r="AG1086">
        <v>15.26</v>
      </c>
      <c r="AH1086">
        <v>11.43</v>
      </c>
      <c r="AI1086">
        <v>0.19</v>
      </c>
      <c r="AJ1086">
        <v>0.13</v>
      </c>
      <c r="AK1086">
        <v>83</v>
      </c>
      <c r="AL1086">
        <v>327</v>
      </c>
      <c r="AM1086">
        <v>148</v>
      </c>
      <c r="AN1086">
        <v>-0.59</v>
      </c>
      <c r="AO1086">
        <v>0.48</v>
      </c>
      <c r="AP1086">
        <v>640</v>
      </c>
      <c r="AQ1086">
        <v>5</v>
      </c>
      <c r="AR1086">
        <v>7.62</v>
      </c>
      <c r="AS1086">
        <v>85</v>
      </c>
      <c r="AT1086">
        <v>3.26</v>
      </c>
      <c r="AU1086">
        <v>94</v>
      </c>
      <c r="AV1086">
        <v>-4.47</v>
      </c>
      <c r="AW1086">
        <v>99</v>
      </c>
      <c r="AX1086">
        <v>0.08</v>
      </c>
      <c r="AY1086">
        <v>92</v>
      </c>
      <c r="AZ1086">
        <v>5.78</v>
      </c>
      <c r="BA1086">
        <v>81</v>
      </c>
      <c r="BB1086">
        <v>4.4400000000000004</v>
      </c>
      <c r="BC1086">
        <v>76</v>
      </c>
      <c r="BD1086">
        <v>-0.03</v>
      </c>
      <c r="BE1086">
        <v>0.02</v>
      </c>
      <c r="BF1086">
        <v>0.17</v>
      </c>
      <c r="BG1086">
        <v>93</v>
      </c>
      <c r="BH1086">
        <v>-0.04</v>
      </c>
      <c r="BI1086">
        <v>-26.5</v>
      </c>
      <c r="BJ1086">
        <v>2</v>
      </c>
      <c r="BK1086">
        <v>2</v>
      </c>
      <c r="BL1086">
        <v>-0.83</v>
      </c>
      <c r="BM1086">
        <v>-1.02</v>
      </c>
      <c r="BN1086">
        <v>-1.48</v>
      </c>
      <c r="BO1086">
        <v>-0.48</v>
      </c>
      <c r="BP1086">
        <v>2.81</v>
      </c>
      <c r="BQ1086">
        <v>-2.52</v>
      </c>
      <c r="BR1086">
        <v>1.64</v>
      </c>
      <c r="BS1086">
        <v>0.47</v>
      </c>
      <c r="BT1086">
        <v>-1.17</v>
      </c>
      <c r="BU1086">
        <v>-0.32</v>
      </c>
      <c r="BV1086">
        <v>-1.03</v>
      </c>
      <c r="BW1086">
        <v>-2.37</v>
      </c>
      <c r="BX1086">
        <v>-0.61</v>
      </c>
      <c r="BY1086">
        <v>-1.95</v>
      </c>
      <c r="BZ1086">
        <v>-0.56000000000000005</v>
      </c>
      <c r="CA1086">
        <v>-1.05</v>
      </c>
      <c r="CB1086">
        <v>-1.1499999999999999</v>
      </c>
      <c r="CC1086">
        <v>-0.3</v>
      </c>
      <c r="CD1086">
        <v>0.09</v>
      </c>
      <c r="CE1086">
        <v>-0.23</v>
      </c>
      <c r="CF1086">
        <v>-1.75</v>
      </c>
      <c r="CG1086">
        <v>0</v>
      </c>
      <c r="CH1086">
        <v>-0.62</v>
      </c>
      <c r="CI1086">
        <v>0</v>
      </c>
      <c r="CJ1086">
        <v>-3.3</v>
      </c>
      <c r="CK1086">
        <v>98</v>
      </c>
      <c r="CL1086">
        <v>-0.81</v>
      </c>
      <c r="CM1086">
        <v>97</v>
      </c>
      <c r="CN1086">
        <v>-0.35</v>
      </c>
      <c r="CO1086">
        <v>97</v>
      </c>
      <c r="CP1086">
        <v>0.5</v>
      </c>
      <c r="CQ1086">
        <v>89</v>
      </c>
      <c r="CR1086">
        <v>0</v>
      </c>
      <c r="CS1086">
        <v>0</v>
      </c>
      <c r="CT1086">
        <v>6.1</v>
      </c>
      <c r="CU1086">
        <v>89</v>
      </c>
      <c r="CV1086">
        <v>0.14000000000000001</v>
      </c>
      <c r="CW1086">
        <v>46</v>
      </c>
      <c r="CX1086" t="s">
        <v>1514</v>
      </c>
    </row>
    <row r="1087" spans="1:102" x14ac:dyDescent="0.3">
      <c r="A1087" t="str">
        <f>HYPERLINK("https://webapp.icbf.com/v2/app/bull-search/view/393803479","SIZ")</f>
        <v>SIZ</v>
      </c>
      <c r="B1087" t="s">
        <v>15084</v>
      </c>
      <c r="C1087" t="s">
        <v>5951</v>
      </c>
      <c r="D1087" s="1">
        <v>38398</v>
      </c>
      <c r="E1087" t="s">
        <v>92</v>
      </c>
      <c r="F1087">
        <v>78</v>
      </c>
      <c r="G1087" t="s">
        <v>93</v>
      </c>
      <c r="H1087">
        <v>137.04</v>
      </c>
      <c r="I1087">
        <v>96</v>
      </c>
      <c r="J1087">
        <v>70.819999999999993</v>
      </c>
      <c r="K1087">
        <v>99</v>
      </c>
      <c r="L1087">
        <v>24.06</v>
      </c>
      <c r="M1087">
        <v>92</v>
      </c>
      <c r="N1087">
        <v>21.22</v>
      </c>
      <c r="O1087">
        <v>97</v>
      </c>
      <c r="P1087">
        <v>-7.11</v>
      </c>
      <c r="Q1087">
        <v>99</v>
      </c>
      <c r="R1087">
        <v>7.7</v>
      </c>
      <c r="S1087">
        <v>93</v>
      </c>
      <c r="T1087">
        <v>14.49</v>
      </c>
      <c r="U1087">
        <v>98</v>
      </c>
      <c r="V1087">
        <v>5.86</v>
      </c>
      <c r="W1087">
        <v>94</v>
      </c>
      <c r="X1087" t="s">
        <v>94</v>
      </c>
      <c r="Y1087" t="s">
        <v>1164</v>
      </c>
      <c r="Z1087" t="s">
        <v>96</v>
      </c>
      <c r="AA1087" t="s">
        <v>1229</v>
      </c>
      <c r="AB1087" t="s">
        <v>15085</v>
      </c>
      <c r="AC1087">
        <v>809</v>
      </c>
      <c r="AD1087">
        <v>417</v>
      </c>
      <c r="AE1087">
        <v>99</v>
      </c>
      <c r="AF1087">
        <v>292</v>
      </c>
      <c r="AG1087">
        <v>13.92</v>
      </c>
      <c r="AH1087">
        <v>11.59</v>
      </c>
      <c r="AI1087">
        <v>0.04</v>
      </c>
      <c r="AJ1087">
        <v>0.03</v>
      </c>
      <c r="AK1087">
        <v>92</v>
      </c>
      <c r="AL1087">
        <v>883</v>
      </c>
      <c r="AM1087">
        <v>490</v>
      </c>
      <c r="AN1087">
        <v>-1.21</v>
      </c>
      <c r="AO1087">
        <v>0.71</v>
      </c>
      <c r="AP1087">
        <v>1431</v>
      </c>
      <c r="AQ1087">
        <v>9</v>
      </c>
      <c r="AR1087">
        <v>6.74</v>
      </c>
      <c r="AS1087">
        <v>91</v>
      </c>
      <c r="AT1087">
        <v>3.07</v>
      </c>
      <c r="AU1087">
        <v>98</v>
      </c>
      <c r="AV1087">
        <v>-1.8</v>
      </c>
      <c r="AW1087">
        <v>99</v>
      </c>
      <c r="AX1087">
        <v>-0.19</v>
      </c>
      <c r="AY1087">
        <v>97</v>
      </c>
      <c r="AZ1087">
        <v>5.42</v>
      </c>
      <c r="BA1087">
        <v>91</v>
      </c>
      <c r="BB1087">
        <v>4.5199999999999996</v>
      </c>
      <c r="BC1087">
        <v>92</v>
      </c>
      <c r="BD1087">
        <v>-0.03</v>
      </c>
      <c r="BE1087">
        <v>-0.03</v>
      </c>
      <c r="BF1087">
        <v>-7.0000000000000007E-2</v>
      </c>
      <c r="BG1087">
        <v>98</v>
      </c>
      <c r="BH1087">
        <v>0</v>
      </c>
      <c r="BI1087">
        <v>-18.89</v>
      </c>
      <c r="BJ1087">
        <v>62</v>
      </c>
      <c r="BK1087">
        <v>41</v>
      </c>
      <c r="BL1087">
        <v>-1.25</v>
      </c>
      <c r="BM1087">
        <v>-0.89</v>
      </c>
      <c r="BN1087">
        <v>-0.9</v>
      </c>
      <c r="BO1087">
        <v>-0.28999999999999998</v>
      </c>
      <c r="BP1087">
        <v>-1.07</v>
      </c>
      <c r="BQ1087">
        <v>-1.8</v>
      </c>
      <c r="BR1087">
        <v>1.24</v>
      </c>
      <c r="BS1087">
        <v>-1.9</v>
      </c>
      <c r="BT1087">
        <v>-2.17</v>
      </c>
      <c r="BU1087">
        <v>-0.16</v>
      </c>
      <c r="BV1087">
        <v>0.57999999999999996</v>
      </c>
      <c r="BW1087">
        <v>0.17</v>
      </c>
      <c r="BX1087">
        <v>-0.79</v>
      </c>
      <c r="BY1087">
        <v>-1.1000000000000001</v>
      </c>
      <c r="BZ1087">
        <v>1.62</v>
      </c>
      <c r="CA1087">
        <v>-0.38</v>
      </c>
      <c r="CB1087">
        <v>-0.01</v>
      </c>
      <c r="CC1087">
        <v>-0.86</v>
      </c>
      <c r="CD1087">
        <v>-0.46</v>
      </c>
      <c r="CE1087">
        <v>0.2</v>
      </c>
      <c r="CF1087">
        <v>-1.46</v>
      </c>
      <c r="CG1087">
        <v>0</v>
      </c>
      <c r="CH1087">
        <v>-0.85</v>
      </c>
      <c r="CI1087">
        <v>0</v>
      </c>
      <c r="CJ1087">
        <v>-2.6</v>
      </c>
      <c r="CK1087">
        <v>99</v>
      </c>
      <c r="CL1087">
        <v>-0.46</v>
      </c>
      <c r="CM1087">
        <v>99</v>
      </c>
      <c r="CN1087">
        <v>-0.22</v>
      </c>
      <c r="CO1087">
        <v>99</v>
      </c>
      <c r="CP1087">
        <v>-9</v>
      </c>
      <c r="CQ1087">
        <v>98</v>
      </c>
      <c r="CR1087">
        <v>0</v>
      </c>
      <c r="CS1087">
        <v>0</v>
      </c>
      <c r="CT1087">
        <v>-5.8</v>
      </c>
      <c r="CU1087">
        <v>98</v>
      </c>
      <c r="CV1087">
        <v>0.08</v>
      </c>
      <c r="CW1087">
        <v>47</v>
      </c>
      <c r="CX1087" t="s">
        <v>985</v>
      </c>
    </row>
    <row r="1088" spans="1:102" x14ac:dyDescent="0.3">
      <c r="A1088" t="str">
        <f>HYPERLINK("https://webapp.icbf.com/v2/app/bull-search/view/666142600","ERY")</f>
        <v>ERY</v>
      </c>
      <c r="B1088" t="s">
        <v>5380</v>
      </c>
      <c r="C1088" t="s">
        <v>5381</v>
      </c>
      <c r="D1088" s="1">
        <v>39840</v>
      </c>
      <c r="E1088" t="s">
        <v>227</v>
      </c>
      <c r="F1088">
        <v>0</v>
      </c>
      <c r="G1088" t="s">
        <v>93</v>
      </c>
      <c r="H1088">
        <v>136.93</v>
      </c>
      <c r="I1088">
        <v>73</v>
      </c>
      <c r="J1088">
        <v>65.09</v>
      </c>
      <c r="K1088">
        <v>91</v>
      </c>
      <c r="L1088">
        <v>27.93</v>
      </c>
      <c r="M1088">
        <v>54</v>
      </c>
      <c r="N1088">
        <v>35.549999999999997</v>
      </c>
      <c r="O1088">
        <v>75</v>
      </c>
      <c r="P1088">
        <v>-55.23</v>
      </c>
      <c r="Q1088">
        <v>83</v>
      </c>
      <c r="R1088">
        <v>2.2799999999999998</v>
      </c>
      <c r="S1088">
        <v>60</v>
      </c>
      <c r="T1088">
        <v>56.97</v>
      </c>
      <c r="U1088">
        <v>74</v>
      </c>
      <c r="V1088">
        <v>4.34</v>
      </c>
      <c r="W1088">
        <v>64</v>
      </c>
      <c r="X1088" t="s">
        <v>94</v>
      </c>
      <c r="Y1088" t="s">
        <v>1727</v>
      </c>
      <c r="Z1088">
        <v>0</v>
      </c>
      <c r="AA1088" t="s">
        <v>5378</v>
      </c>
      <c r="AB1088" t="s">
        <v>5382</v>
      </c>
      <c r="AC1088">
        <v>45</v>
      </c>
      <c r="AD1088">
        <v>36</v>
      </c>
      <c r="AE1088">
        <v>91</v>
      </c>
      <c r="AF1088">
        <v>-38.06</v>
      </c>
      <c r="AG1088">
        <v>16.5</v>
      </c>
      <c r="AH1088">
        <v>4.6500000000000004</v>
      </c>
      <c r="AI1088">
        <v>0.3</v>
      </c>
      <c r="AJ1088">
        <v>0.1</v>
      </c>
      <c r="AK1088">
        <v>54</v>
      </c>
      <c r="AL1088">
        <v>43</v>
      </c>
      <c r="AM1088">
        <v>31</v>
      </c>
      <c r="AN1088">
        <v>-0.56999999999999995</v>
      </c>
      <c r="AO1088">
        <v>1.67</v>
      </c>
      <c r="AP1088">
        <v>99</v>
      </c>
      <c r="AQ1088">
        <v>1</v>
      </c>
      <c r="AR1088">
        <v>2.56</v>
      </c>
      <c r="AS1088">
        <v>58</v>
      </c>
      <c r="AT1088">
        <v>1.33</v>
      </c>
      <c r="AU1088">
        <v>73</v>
      </c>
      <c r="AV1088">
        <v>-2.1</v>
      </c>
      <c r="AW1088">
        <v>93</v>
      </c>
      <c r="AX1088">
        <v>0.32</v>
      </c>
      <c r="AY1088">
        <v>66</v>
      </c>
      <c r="AZ1088">
        <v>6.91</v>
      </c>
      <c r="BA1088">
        <v>46</v>
      </c>
      <c r="BB1088">
        <v>5.3</v>
      </c>
      <c r="BC1088">
        <v>47</v>
      </c>
      <c r="BD1088">
        <v>-0.05</v>
      </c>
      <c r="BE1088">
        <v>-0.01</v>
      </c>
      <c r="BF1088">
        <v>0.05</v>
      </c>
      <c r="BG1088">
        <v>72</v>
      </c>
      <c r="BH1088">
        <v>0.25</v>
      </c>
      <c r="BI1088">
        <v>14.91</v>
      </c>
      <c r="BJ1088">
        <v>2</v>
      </c>
      <c r="BK1088">
        <v>2</v>
      </c>
      <c r="BL1088">
        <v>-3.08</v>
      </c>
      <c r="BM1088">
        <v>-1.99</v>
      </c>
      <c r="BN1088">
        <v>-1.41</v>
      </c>
      <c r="BO1088">
        <v>0.45</v>
      </c>
      <c r="BP1088">
        <v>-0.46</v>
      </c>
      <c r="BQ1088">
        <v>-6.72</v>
      </c>
      <c r="BR1088">
        <v>2.4700000000000002</v>
      </c>
      <c r="BS1088">
        <v>6.56</v>
      </c>
      <c r="BT1088">
        <v>-1.57</v>
      </c>
      <c r="BU1088">
        <v>-0.64</v>
      </c>
      <c r="BV1088">
        <v>-0.27</v>
      </c>
      <c r="BW1088">
        <v>-2.2599999999999998</v>
      </c>
      <c r="BX1088">
        <v>-4.05</v>
      </c>
      <c r="BY1088">
        <v>-0.43</v>
      </c>
      <c r="BZ1088">
        <v>-0.14000000000000001</v>
      </c>
      <c r="CA1088">
        <v>1.29</v>
      </c>
      <c r="CB1088">
        <v>-0.32</v>
      </c>
      <c r="CC1088">
        <v>3.92</v>
      </c>
      <c r="CD1088">
        <v>-1.87</v>
      </c>
      <c r="CE1088">
        <v>0.6</v>
      </c>
      <c r="CF1088">
        <v>-3.72</v>
      </c>
      <c r="CG1088">
        <v>0</v>
      </c>
      <c r="CH1088">
        <v>0.11</v>
      </c>
      <c r="CI1088">
        <v>0</v>
      </c>
      <c r="CJ1088">
        <v>-26</v>
      </c>
      <c r="CK1088">
        <v>86</v>
      </c>
      <c r="CL1088">
        <v>-0.96</v>
      </c>
      <c r="CM1088">
        <v>82</v>
      </c>
      <c r="CN1088">
        <v>0.23</v>
      </c>
      <c r="CO1088">
        <v>79</v>
      </c>
      <c r="CP1088">
        <v>-45</v>
      </c>
      <c r="CQ1088">
        <v>72</v>
      </c>
      <c r="CR1088">
        <v>0</v>
      </c>
      <c r="CS1088">
        <v>0</v>
      </c>
      <c r="CT1088">
        <v>-63.2</v>
      </c>
      <c r="CU1088">
        <v>74</v>
      </c>
      <c r="CV1088">
        <v>-0.23</v>
      </c>
      <c r="CW1088">
        <v>24</v>
      </c>
      <c r="CX1088" t="s">
        <v>5383</v>
      </c>
    </row>
    <row r="1089" spans="1:102" x14ac:dyDescent="0.3">
      <c r="A1089" t="str">
        <f>HYPERLINK("https://webapp.icbf.com/v2/app/bull-search/view/1547629075","FR4434")</f>
        <v>FR4434</v>
      </c>
      <c r="B1089" t="s">
        <v>446</v>
      </c>
      <c r="C1089" t="s">
        <v>447</v>
      </c>
      <c r="D1089" s="1">
        <v>42450</v>
      </c>
      <c r="E1089" t="s">
        <v>92</v>
      </c>
      <c r="F1089">
        <v>100</v>
      </c>
      <c r="G1089" t="s">
        <v>435</v>
      </c>
      <c r="H1089">
        <v>136.82</v>
      </c>
      <c r="I1089">
        <v>68</v>
      </c>
      <c r="J1089">
        <v>73.680000000000007</v>
      </c>
      <c r="K1089">
        <v>87</v>
      </c>
      <c r="L1089">
        <v>6.53</v>
      </c>
      <c r="M1089">
        <v>66</v>
      </c>
      <c r="N1089">
        <v>48</v>
      </c>
      <c r="O1089">
        <v>70</v>
      </c>
      <c r="P1089">
        <v>-6.27</v>
      </c>
      <c r="Q1089">
        <v>40</v>
      </c>
      <c r="R1089">
        <v>24.73</v>
      </c>
      <c r="S1089">
        <v>62</v>
      </c>
      <c r="T1089">
        <v>-3.49</v>
      </c>
      <c r="U1089">
        <v>35</v>
      </c>
      <c r="V1089">
        <v>-6.36</v>
      </c>
      <c r="W1089">
        <v>52</v>
      </c>
      <c r="X1089" t="s">
        <v>428</v>
      </c>
      <c r="Y1089" t="s">
        <v>442</v>
      </c>
      <c r="Z1089" t="s">
        <v>96</v>
      </c>
      <c r="AA1089" t="s">
        <v>448</v>
      </c>
      <c r="AB1089" t="s">
        <v>449</v>
      </c>
      <c r="AC1089">
        <v>0</v>
      </c>
      <c r="AD1089">
        <v>0</v>
      </c>
      <c r="AE1089">
        <v>87</v>
      </c>
      <c r="AF1089">
        <v>744.47</v>
      </c>
      <c r="AG1089">
        <v>17.260000000000002</v>
      </c>
      <c r="AH1089">
        <v>17.82</v>
      </c>
      <c r="AI1089">
        <v>-0.18</v>
      </c>
      <c r="AJ1089">
        <v>-0.11</v>
      </c>
      <c r="AK1089">
        <v>66</v>
      </c>
      <c r="AL1089">
        <v>0</v>
      </c>
      <c r="AM1089">
        <v>0</v>
      </c>
      <c r="AN1089">
        <v>1.92</v>
      </c>
      <c r="AO1089">
        <v>2.4700000000000002</v>
      </c>
      <c r="AP1089">
        <v>29</v>
      </c>
      <c r="AQ1089">
        <v>0</v>
      </c>
      <c r="AR1089">
        <v>6.52</v>
      </c>
      <c r="AS1089">
        <v>62</v>
      </c>
      <c r="AT1089">
        <v>2.82</v>
      </c>
      <c r="AU1089">
        <v>88</v>
      </c>
      <c r="AV1089">
        <v>-4.99</v>
      </c>
      <c r="AW1089">
        <v>79</v>
      </c>
      <c r="AX1089">
        <v>-0.84</v>
      </c>
      <c r="AY1089">
        <v>58</v>
      </c>
      <c r="AZ1089">
        <v>6.23</v>
      </c>
      <c r="BA1089">
        <v>34</v>
      </c>
      <c r="BB1089">
        <v>4.8600000000000003</v>
      </c>
      <c r="BC1089">
        <v>32</v>
      </c>
      <c r="BD1089">
        <v>-0.1</v>
      </c>
      <c r="BE1089">
        <v>-0.08</v>
      </c>
      <c r="BF1089">
        <v>-0.25</v>
      </c>
      <c r="BG1089">
        <v>75</v>
      </c>
      <c r="BH1089">
        <v>-0.16</v>
      </c>
      <c r="BI1089">
        <v>2.02</v>
      </c>
      <c r="BJ1089">
        <v>0</v>
      </c>
      <c r="BK1089">
        <v>0</v>
      </c>
      <c r="BL1089">
        <v>1.48</v>
      </c>
      <c r="BM1089">
        <v>0.92</v>
      </c>
      <c r="BN1089">
        <v>0.19</v>
      </c>
      <c r="BO1089">
        <v>0.71</v>
      </c>
      <c r="BP1089">
        <v>-1.25</v>
      </c>
      <c r="BQ1089">
        <v>1.65</v>
      </c>
      <c r="BR1089">
        <v>-3.05</v>
      </c>
      <c r="BS1089">
        <v>2.83</v>
      </c>
      <c r="BT1089">
        <v>3.62</v>
      </c>
      <c r="BU1089">
        <v>4.79</v>
      </c>
      <c r="BV1089">
        <v>3.67</v>
      </c>
      <c r="BW1089">
        <v>2.2999999999999998</v>
      </c>
      <c r="BX1089">
        <v>5.03</v>
      </c>
      <c r="BY1089">
        <v>2.04</v>
      </c>
      <c r="BZ1089">
        <v>0.19</v>
      </c>
      <c r="CA1089">
        <v>3.67</v>
      </c>
      <c r="CB1089">
        <v>3.59</v>
      </c>
      <c r="CC1089">
        <v>1.9</v>
      </c>
      <c r="CD1089">
        <v>0.71</v>
      </c>
      <c r="CE1089">
        <v>0.98</v>
      </c>
      <c r="CF1089">
        <v>1.62</v>
      </c>
      <c r="CG1089">
        <v>0</v>
      </c>
      <c r="CH1089">
        <v>0.92</v>
      </c>
      <c r="CI1089">
        <v>0</v>
      </c>
      <c r="CJ1089">
        <v>-3.4</v>
      </c>
      <c r="CK1089">
        <v>41</v>
      </c>
      <c r="CL1089">
        <v>-1.3</v>
      </c>
      <c r="CM1089">
        <v>40</v>
      </c>
      <c r="CN1089">
        <v>-0.93</v>
      </c>
      <c r="CO1089">
        <v>40</v>
      </c>
      <c r="CP1089">
        <v>6.3</v>
      </c>
      <c r="CQ1089">
        <v>36</v>
      </c>
      <c r="CR1089">
        <v>0</v>
      </c>
      <c r="CS1089">
        <v>0</v>
      </c>
      <c r="CT1089">
        <v>18.5</v>
      </c>
      <c r="CU1089">
        <v>35</v>
      </c>
      <c r="CV1089">
        <v>0.18</v>
      </c>
      <c r="CW1089">
        <v>33</v>
      </c>
      <c r="CX1089" t="s">
        <v>450</v>
      </c>
    </row>
    <row r="1090" spans="1:102" x14ac:dyDescent="0.3">
      <c r="A1090" t="str">
        <f>HYPERLINK("https://webapp.icbf.com/v2/app/bull-search/view/821941751","RSK")</f>
        <v>RSK</v>
      </c>
      <c r="B1090" t="s">
        <v>5420</v>
      </c>
      <c r="C1090" t="s">
        <v>5421</v>
      </c>
      <c r="D1090" s="1">
        <v>40438</v>
      </c>
      <c r="E1090" t="s">
        <v>108</v>
      </c>
      <c r="F1090">
        <v>0</v>
      </c>
      <c r="G1090" t="s">
        <v>93</v>
      </c>
      <c r="H1090">
        <v>136.79</v>
      </c>
      <c r="I1090">
        <v>86</v>
      </c>
      <c r="J1090">
        <v>-16.350000000000001</v>
      </c>
      <c r="K1090">
        <v>97</v>
      </c>
      <c r="L1090">
        <v>115.29</v>
      </c>
      <c r="M1090">
        <v>77</v>
      </c>
      <c r="N1090">
        <v>12.33</v>
      </c>
      <c r="O1090">
        <v>86</v>
      </c>
      <c r="P1090">
        <v>-11.44</v>
      </c>
      <c r="Q1090">
        <v>94</v>
      </c>
      <c r="R1090">
        <v>8.73</v>
      </c>
      <c r="S1090">
        <v>78</v>
      </c>
      <c r="T1090">
        <v>25.52</v>
      </c>
      <c r="U1090">
        <v>82</v>
      </c>
      <c r="V1090">
        <v>2.71</v>
      </c>
      <c r="W1090">
        <v>73</v>
      </c>
      <c r="X1090" t="s">
        <v>102</v>
      </c>
      <c r="Y1090" t="s">
        <v>1860</v>
      </c>
      <c r="Z1090" t="s">
        <v>96</v>
      </c>
      <c r="AA1090" t="s">
        <v>4026</v>
      </c>
      <c r="AB1090" t="s">
        <v>5422</v>
      </c>
      <c r="AC1090">
        <v>103</v>
      </c>
      <c r="AD1090">
        <v>62</v>
      </c>
      <c r="AE1090">
        <v>97</v>
      </c>
      <c r="AF1090">
        <v>-103.15</v>
      </c>
      <c r="AG1090">
        <v>-6.33</v>
      </c>
      <c r="AH1090">
        <v>-2.12</v>
      </c>
      <c r="AI1090">
        <v>-0.04</v>
      </c>
      <c r="AJ1090">
        <v>0.02</v>
      </c>
      <c r="AK1090">
        <v>77</v>
      </c>
      <c r="AL1090">
        <v>131</v>
      </c>
      <c r="AM1090">
        <v>83</v>
      </c>
      <c r="AN1090">
        <v>-5.85</v>
      </c>
      <c r="AO1090">
        <v>3.35</v>
      </c>
      <c r="AP1090">
        <v>201</v>
      </c>
      <c r="AQ1090">
        <v>4</v>
      </c>
      <c r="AR1090">
        <v>6.04</v>
      </c>
      <c r="AS1090">
        <v>73</v>
      </c>
      <c r="AT1090">
        <v>2.63</v>
      </c>
      <c r="AU1090">
        <v>88</v>
      </c>
      <c r="AV1090">
        <v>-0.64</v>
      </c>
      <c r="AW1090">
        <v>96</v>
      </c>
      <c r="AX1090">
        <v>-0.64</v>
      </c>
      <c r="AY1090">
        <v>84</v>
      </c>
      <c r="AZ1090">
        <v>7.62</v>
      </c>
      <c r="BA1090">
        <v>69</v>
      </c>
      <c r="BB1090">
        <v>5.0999999999999996</v>
      </c>
      <c r="BC1090">
        <v>67</v>
      </c>
      <c r="BD1090">
        <v>0.02</v>
      </c>
      <c r="BE1090">
        <v>-0.06</v>
      </c>
      <c r="BF1090">
        <v>-0.12</v>
      </c>
      <c r="BG1090">
        <v>88</v>
      </c>
      <c r="BH1090">
        <v>-0.06</v>
      </c>
      <c r="BI1090">
        <v>-15.69</v>
      </c>
      <c r="BJ1090">
        <v>9</v>
      </c>
      <c r="BK1090">
        <v>5</v>
      </c>
      <c r="BL1090">
        <v>-3.38</v>
      </c>
      <c r="BM1090">
        <v>2.14</v>
      </c>
      <c r="BN1090">
        <v>-2.69</v>
      </c>
      <c r="BO1090">
        <v>-3.18</v>
      </c>
      <c r="BP1090">
        <v>1.78</v>
      </c>
      <c r="BQ1090">
        <v>2.5299999999999998</v>
      </c>
      <c r="BR1090">
        <v>-0.97</v>
      </c>
      <c r="BS1090">
        <v>0.69</v>
      </c>
      <c r="BT1090">
        <v>0.03</v>
      </c>
      <c r="BU1090">
        <v>-2.78</v>
      </c>
      <c r="BV1090">
        <v>-3.83</v>
      </c>
      <c r="BW1090">
        <v>-3.06</v>
      </c>
      <c r="BX1090">
        <v>-2.67</v>
      </c>
      <c r="BY1090">
        <v>-1.86</v>
      </c>
      <c r="BZ1090">
        <v>-0.31</v>
      </c>
      <c r="CA1090">
        <v>-2.09</v>
      </c>
      <c r="CB1090">
        <v>-2.7</v>
      </c>
      <c r="CC1090">
        <v>-0.36</v>
      </c>
      <c r="CD1090">
        <v>2.65</v>
      </c>
      <c r="CE1090">
        <v>-2.87</v>
      </c>
      <c r="CF1090">
        <v>-1.93</v>
      </c>
      <c r="CG1090">
        <v>0</v>
      </c>
      <c r="CH1090">
        <v>0.06</v>
      </c>
      <c r="CI1090">
        <v>0</v>
      </c>
      <c r="CJ1090">
        <v>-9.1999999999999993</v>
      </c>
      <c r="CK1090">
        <v>95</v>
      </c>
      <c r="CL1090">
        <v>0.01</v>
      </c>
      <c r="CM1090">
        <v>94</v>
      </c>
      <c r="CN1090">
        <v>-0.23</v>
      </c>
      <c r="CO1090">
        <v>93</v>
      </c>
      <c r="CP1090">
        <v>-10.3</v>
      </c>
      <c r="CQ1090">
        <v>83</v>
      </c>
      <c r="CR1090">
        <v>0</v>
      </c>
      <c r="CS1090">
        <v>0</v>
      </c>
      <c r="CT1090">
        <v>-20.7</v>
      </c>
      <c r="CU1090">
        <v>82</v>
      </c>
      <c r="CV1090">
        <v>-0.16</v>
      </c>
      <c r="CW1090">
        <v>46</v>
      </c>
      <c r="CX1090" t="s">
        <v>2778</v>
      </c>
    </row>
    <row r="1091" spans="1:102" x14ac:dyDescent="0.3">
      <c r="A1091" t="str">
        <f>HYPERLINK("https://webapp.icbf.com/v2/app/bull-search/view/1047479089","FOF")</f>
        <v>FOF</v>
      </c>
      <c r="B1091" t="s">
        <v>10173</v>
      </c>
      <c r="C1091" t="s">
        <v>10174</v>
      </c>
      <c r="D1091" s="1">
        <v>41323</v>
      </c>
      <c r="E1091" t="s">
        <v>92</v>
      </c>
      <c r="F1091">
        <v>72</v>
      </c>
      <c r="G1091" t="s">
        <v>93</v>
      </c>
      <c r="H1091">
        <v>136.72</v>
      </c>
      <c r="I1091">
        <v>81</v>
      </c>
      <c r="J1091">
        <v>56.7</v>
      </c>
      <c r="K1091">
        <v>94</v>
      </c>
      <c r="L1091">
        <v>54.71</v>
      </c>
      <c r="M1091">
        <v>72</v>
      </c>
      <c r="N1091">
        <v>18.88</v>
      </c>
      <c r="O1091">
        <v>80</v>
      </c>
      <c r="P1091">
        <v>-7.91</v>
      </c>
      <c r="Q1091">
        <v>87</v>
      </c>
      <c r="R1091">
        <v>-3.58</v>
      </c>
      <c r="S1091">
        <v>73</v>
      </c>
      <c r="T1091">
        <v>12.27</v>
      </c>
      <c r="U1091">
        <v>71</v>
      </c>
      <c r="V1091">
        <v>5.65</v>
      </c>
      <c r="W1091">
        <v>70</v>
      </c>
      <c r="X1091" t="s">
        <v>94</v>
      </c>
      <c r="Y1091" t="s">
        <v>389</v>
      </c>
      <c r="Z1091" t="s">
        <v>330</v>
      </c>
      <c r="AA1091" t="s">
        <v>3085</v>
      </c>
      <c r="AB1091" t="s">
        <v>10175</v>
      </c>
      <c r="AC1091">
        <v>46</v>
      </c>
      <c r="AD1091">
        <v>32</v>
      </c>
      <c r="AE1091">
        <v>94</v>
      </c>
      <c r="AF1091">
        <v>281.01</v>
      </c>
      <c r="AG1091">
        <v>10.02</v>
      </c>
      <c r="AH1091">
        <v>10.4</v>
      </c>
      <c r="AI1091">
        <v>-0.02</v>
      </c>
      <c r="AJ1091">
        <v>0.01</v>
      </c>
      <c r="AK1091">
        <v>72</v>
      </c>
      <c r="AL1091">
        <v>56</v>
      </c>
      <c r="AM1091">
        <v>38</v>
      </c>
      <c r="AN1091">
        <v>-1.65</v>
      </c>
      <c r="AO1091">
        <v>2.73</v>
      </c>
      <c r="AP1091">
        <v>116</v>
      </c>
      <c r="AQ1091">
        <v>0</v>
      </c>
      <c r="AR1091">
        <v>8.14</v>
      </c>
      <c r="AS1091">
        <v>65</v>
      </c>
      <c r="AT1091">
        <v>3.29</v>
      </c>
      <c r="AU1091">
        <v>82</v>
      </c>
      <c r="AV1091">
        <v>-3.2</v>
      </c>
      <c r="AW1091">
        <v>94</v>
      </c>
      <c r="AX1091">
        <v>0.23</v>
      </c>
      <c r="AY1091">
        <v>73</v>
      </c>
      <c r="AZ1091">
        <v>6.99</v>
      </c>
      <c r="BA1091">
        <v>58</v>
      </c>
      <c r="BB1091">
        <v>5.41</v>
      </c>
      <c r="BC1091">
        <v>54</v>
      </c>
      <c r="BD1091">
        <v>-0.01</v>
      </c>
      <c r="BE1091">
        <v>0.01</v>
      </c>
      <c r="BF1091">
        <v>0.08</v>
      </c>
      <c r="BG1091">
        <v>82</v>
      </c>
      <c r="BH1091">
        <v>0.02</v>
      </c>
      <c r="BI1091">
        <v>-15.92</v>
      </c>
      <c r="BJ1091">
        <v>3</v>
      </c>
      <c r="BK1091">
        <v>1</v>
      </c>
      <c r="BL1091">
        <v>-1.97</v>
      </c>
      <c r="BM1091">
        <v>0.05</v>
      </c>
      <c r="BN1091">
        <v>-0.64</v>
      </c>
      <c r="BO1091">
        <v>-0.47</v>
      </c>
      <c r="BP1091">
        <v>1.41</v>
      </c>
      <c r="BQ1091">
        <v>-3.54</v>
      </c>
      <c r="BR1091">
        <v>1.48</v>
      </c>
      <c r="BS1091">
        <v>-1.47</v>
      </c>
      <c r="BT1091">
        <v>-1.51</v>
      </c>
      <c r="BU1091">
        <v>1.1499999999999999</v>
      </c>
      <c r="BV1091">
        <v>0.35</v>
      </c>
      <c r="BW1091">
        <v>-0.85</v>
      </c>
      <c r="BX1091">
        <v>-0.35</v>
      </c>
      <c r="BY1091">
        <v>1.44</v>
      </c>
      <c r="BZ1091">
        <v>-1.34</v>
      </c>
      <c r="CA1091">
        <v>-0.19</v>
      </c>
      <c r="CB1091">
        <v>0.11</v>
      </c>
      <c r="CC1091">
        <v>-1.39</v>
      </c>
      <c r="CD1091">
        <v>1.08</v>
      </c>
      <c r="CE1091">
        <v>-0.36</v>
      </c>
      <c r="CF1091">
        <v>-1.65</v>
      </c>
      <c r="CG1091">
        <v>0</v>
      </c>
      <c r="CH1091">
        <v>0.57999999999999996</v>
      </c>
      <c r="CI1091">
        <v>0</v>
      </c>
      <c r="CJ1091">
        <v>-2.1</v>
      </c>
      <c r="CK1091">
        <v>89</v>
      </c>
      <c r="CL1091">
        <v>-0.68</v>
      </c>
      <c r="CM1091">
        <v>87</v>
      </c>
      <c r="CN1091">
        <v>-0.28000000000000003</v>
      </c>
      <c r="CO1091">
        <v>85</v>
      </c>
      <c r="CP1091">
        <v>-8.5</v>
      </c>
      <c r="CQ1091">
        <v>71</v>
      </c>
      <c r="CR1091">
        <v>0</v>
      </c>
      <c r="CS1091">
        <v>0</v>
      </c>
      <c r="CT1091">
        <v>-2.8</v>
      </c>
      <c r="CU1091">
        <v>71</v>
      </c>
      <c r="CV1091">
        <v>0.15</v>
      </c>
      <c r="CW1091">
        <v>44</v>
      </c>
      <c r="CX1091" t="s">
        <v>4088</v>
      </c>
    </row>
    <row r="1092" spans="1:102" x14ac:dyDescent="0.3">
      <c r="A1092" t="str">
        <f>HYPERLINK("https://webapp.icbf.com/v2/app/bull-search/view/1013737905","LWY")</f>
        <v>LWY</v>
      </c>
      <c r="B1092" t="s">
        <v>5752</v>
      </c>
      <c r="C1092" t="s">
        <v>5753</v>
      </c>
      <c r="D1092" s="1">
        <v>40776</v>
      </c>
      <c r="E1092" t="s">
        <v>227</v>
      </c>
      <c r="F1092">
        <v>0</v>
      </c>
      <c r="G1092" t="s">
        <v>109</v>
      </c>
      <c r="H1092">
        <v>136.41999999999999</v>
      </c>
      <c r="I1092">
        <v>69</v>
      </c>
      <c r="J1092">
        <v>62.07</v>
      </c>
      <c r="K1092">
        <v>87</v>
      </c>
      <c r="L1092">
        <v>36.19</v>
      </c>
      <c r="M1092">
        <v>62</v>
      </c>
      <c r="N1092">
        <v>38.020000000000003</v>
      </c>
      <c r="O1092">
        <v>61</v>
      </c>
      <c r="P1092">
        <v>-61.6</v>
      </c>
      <c r="Q1092">
        <v>59</v>
      </c>
      <c r="R1092">
        <v>3.44</v>
      </c>
      <c r="S1092">
        <v>59</v>
      </c>
      <c r="T1092">
        <v>49.79</v>
      </c>
      <c r="U1092">
        <v>55</v>
      </c>
      <c r="V1092">
        <v>8.51</v>
      </c>
      <c r="W1092">
        <v>58</v>
      </c>
      <c r="X1092" t="s">
        <v>276</v>
      </c>
      <c r="Y1092" t="s">
        <v>375</v>
      </c>
      <c r="Z1092">
        <v>0</v>
      </c>
      <c r="AA1092" t="s">
        <v>5754</v>
      </c>
      <c r="AB1092" t="s">
        <v>5755</v>
      </c>
      <c r="AC1092">
        <v>0</v>
      </c>
      <c r="AD1092">
        <v>0</v>
      </c>
      <c r="AE1092">
        <v>87</v>
      </c>
      <c r="AF1092">
        <v>-361.33</v>
      </c>
      <c r="AG1092">
        <v>12.37</v>
      </c>
      <c r="AH1092">
        <v>0.65</v>
      </c>
      <c r="AI1092">
        <v>0.49</v>
      </c>
      <c r="AJ1092">
        <v>0.24</v>
      </c>
      <c r="AK1092">
        <v>62</v>
      </c>
      <c r="AL1092">
        <v>0</v>
      </c>
      <c r="AM1092">
        <v>0</v>
      </c>
      <c r="AN1092">
        <v>-1.69</v>
      </c>
      <c r="AO1092">
        <v>1.2</v>
      </c>
      <c r="AP1092">
        <v>29</v>
      </c>
      <c r="AQ1092">
        <v>0</v>
      </c>
      <c r="AR1092">
        <v>3.05</v>
      </c>
      <c r="AS1092">
        <v>47</v>
      </c>
      <c r="AT1092">
        <v>1.1200000000000001</v>
      </c>
      <c r="AU1092">
        <v>61</v>
      </c>
      <c r="AV1092">
        <v>-1.97</v>
      </c>
      <c r="AW1092">
        <v>76</v>
      </c>
      <c r="AX1092">
        <v>-0.74</v>
      </c>
      <c r="AY1092">
        <v>45</v>
      </c>
      <c r="AZ1092">
        <v>7.51</v>
      </c>
      <c r="BA1092">
        <v>39</v>
      </c>
      <c r="BB1092">
        <v>5.03</v>
      </c>
      <c r="BC1092">
        <v>37</v>
      </c>
      <c r="BD1092">
        <v>-0.03</v>
      </c>
      <c r="BE1092">
        <v>-0.01</v>
      </c>
      <c r="BF1092">
        <v>-0.01</v>
      </c>
      <c r="BG1092">
        <v>64</v>
      </c>
      <c r="BH1092">
        <v>0.23</v>
      </c>
      <c r="BI1092">
        <v>-0.83</v>
      </c>
      <c r="BJ1092">
        <v>0</v>
      </c>
      <c r="BK1092">
        <v>0</v>
      </c>
      <c r="BL1092">
        <v>-3.01</v>
      </c>
      <c r="BM1092">
        <v>-1.91</v>
      </c>
      <c r="BN1092">
        <v>-0.84</v>
      </c>
      <c r="BO1092">
        <v>0.81</v>
      </c>
      <c r="BP1092">
        <v>-0.92</v>
      </c>
      <c r="BQ1092">
        <v>-6</v>
      </c>
      <c r="BR1092">
        <v>2.95</v>
      </c>
      <c r="BS1092">
        <v>5.61</v>
      </c>
      <c r="BT1092">
        <v>-1.8</v>
      </c>
      <c r="BU1092">
        <v>-0.6</v>
      </c>
      <c r="BV1092">
        <v>-0.25</v>
      </c>
      <c r="BW1092">
        <v>-2.4300000000000002</v>
      </c>
      <c r="BX1092">
        <v>-3.38</v>
      </c>
      <c r="BY1092">
        <v>-0.15</v>
      </c>
      <c r="BZ1092">
        <v>-1.03</v>
      </c>
      <c r="CA1092">
        <v>0.98</v>
      </c>
      <c r="CB1092">
        <v>-0.35</v>
      </c>
      <c r="CC1092">
        <v>3.22</v>
      </c>
      <c r="CD1092">
        <v>-1.98</v>
      </c>
      <c r="CE1092">
        <v>0.55000000000000004</v>
      </c>
      <c r="CF1092">
        <v>-3.3</v>
      </c>
      <c r="CG1092">
        <v>0</v>
      </c>
      <c r="CH1092">
        <v>-0.87</v>
      </c>
      <c r="CI1092">
        <v>0</v>
      </c>
      <c r="CJ1092">
        <v>-31.9</v>
      </c>
      <c r="CK1092">
        <v>62</v>
      </c>
      <c r="CL1092">
        <v>-1.17</v>
      </c>
      <c r="CM1092">
        <v>56</v>
      </c>
      <c r="CN1092">
        <v>-0.04</v>
      </c>
      <c r="CO1092">
        <v>54</v>
      </c>
      <c r="CP1092">
        <v>-39.799999999999997</v>
      </c>
      <c r="CQ1092">
        <v>51</v>
      </c>
      <c r="CR1092">
        <v>0</v>
      </c>
      <c r="CS1092">
        <v>0</v>
      </c>
      <c r="CT1092">
        <v>-53.5</v>
      </c>
      <c r="CU1092">
        <v>55</v>
      </c>
      <c r="CV1092">
        <v>-0.25</v>
      </c>
      <c r="CW1092">
        <v>37</v>
      </c>
      <c r="CX1092" t="s">
        <v>1776</v>
      </c>
    </row>
    <row r="1093" spans="1:102" x14ac:dyDescent="0.3">
      <c r="A1093" t="str">
        <f>HYPERLINK("https://webapp.icbf.com/v2/app/bull-search/view/997025994","DFW")</f>
        <v>DFW</v>
      </c>
      <c r="B1093" t="s">
        <v>1921</v>
      </c>
      <c r="C1093" t="s">
        <v>1922</v>
      </c>
      <c r="D1093" s="1">
        <v>40844</v>
      </c>
      <c r="E1093" t="s">
        <v>92</v>
      </c>
      <c r="F1093">
        <v>100</v>
      </c>
      <c r="G1093" t="s">
        <v>93</v>
      </c>
      <c r="H1093">
        <v>136.27000000000001</v>
      </c>
      <c r="I1093">
        <v>94</v>
      </c>
      <c r="J1093">
        <v>45.46</v>
      </c>
      <c r="K1093">
        <v>99</v>
      </c>
      <c r="L1093">
        <v>42.51</v>
      </c>
      <c r="M1093">
        <v>91</v>
      </c>
      <c r="N1093">
        <v>33.74</v>
      </c>
      <c r="O1093">
        <v>96</v>
      </c>
      <c r="P1093">
        <v>-6.62</v>
      </c>
      <c r="Q1093">
        <v>99</v>
      </c>
      <c r="R1093">
        <v>15.21</v>
      </c>
      <c r="S1093">
        <v>88</v>
      </c>
      <c r="T1093">
        <v>2.58</v>
      </c>
      <c r="U1093">
        <v>93</v>
      </c>
      <c r="V1093">
        <v>3.39</v>
      </c>
      <c r="W1093">
        <v>77</v>
      </c>
      <c r="X1093" t="s">
        <v>234</v>
      </c>
      <c r="Y1093" t="s">
        <v>1923</v>
      </c>
      <c r="Z1093" t="s">
        <v>96</v>
      </c>
      <c r="AA1093" t="s">
        <v>1924</v>
      </c>
      <c r="AB1093" t="s">
        <v>1925</v>
      </c>
      <c r="AC1093">
        <v>1011</v>
      </c>
      <c r="AD1093">
        <v>240</v>
      </c>
      <c r="AE1093">
        <v>99</v>
      </c>
      <c r="AF1093">
        <v>259.88</v>
      </c>
      <c r="AG1093">
        <v>4.5199999999999996</v>
      </c>
      <c r="AH1093">
        <v>10.11</v>
      </c>
      <c r="AI1093">
        <v>-0.09</v>
      </c>
      <c r="AJ1093">
        <v>0.02</v>
      </c>
      <c r="AK1093">
        <v>91</v>
      </c>
      <c r="AL1093">
        <v>864</v>
      </c>
      <c r="AM1093">
        <v>243</v>
      </c>
      <c r="AN1093">
        <v>-1.58</v>
      </c>
      <c r="AO1093">
        <v>1.82</v>
      </c>
      <c r="AP1093">
        <v>2286</v>
      </c>
      <c r="AQ1093">
        <v>9</v>
      </c>
      <c r="AR1093">
        <v>4.53</v>
      </c>
      <c r="AS1093">
        <v>97</v>
      </c>
      <c r="AT1093">
        <v>1.94</v>
      </c>
      <c r="AU1093">
        <v>98</v>
      </c>
      <c r="AV1093">
        <v>-2.3199999999999998</v>
      </c>
      <c r="AW1093">
        <v>99</v>
      </c>
      <c r="AX1093">
        <v>0.67</v>
      </c>
      <c r="AY1093">
        <v>98</v>
      </c>
      <c r="AZ1093">
        <v>5.57</v>
      </c>
      <c r="BA1093">
        <v>91</v>
      </c>
      <c r="BB1093">
        <v>4.96</v>
      </c>
      <c r="BC1093">
        <v>84</v>
      </c>
      <c r="BD1093">
        <v>-0.04</v>
      </c>
      <c r="BE1093">
        <v>-7.0000000000000007E-2</v>
      </c>
      <c r="BF1093">
        <v>-0.15</v>
      </c>
      <c r="BG1093">
        <v>97</v>
      </c>
      <c r="BH1093">
        <v>0.01</v>
      </c>
      <c r="BI1093">
        <v>-9.7899999999999991</v>
      </c>
      <c r="BJ1093">
        <v>247</v>
      </c>
      <c r="BK1093">
        <v>90</v>
      </c>
      <c r="BL1093">
        <v>1.52</v>
      </c>
      <c r="BM1093">
        <v>-1.2</v>
      </c>
      <c r="BN1093">
        <v>-2.1</v>
      </c>
      <c r="BO1093">
        <v>-0.33</v>
      </c>
      <c r="BP1093">
        <v>3.41</v>
      </c>
      <c r="BQ1093">
        <v>1.35</v>
      </c>
      <c r="BR1093">
        <v>1.03</v>
      </c>
      <c r="BS1093">
        <v>1.45</v>
      </c>
      <c r="BT1093">
        <v>-0.61</v>
      </c>
      <c r="BU1093">
        <v>3.38</v>
      </c>
      <c r="BV1093">
        <v>2.54</v>
      </c>
      <c r="BW1093">
        <v>1.41</v>
      </c>
      <c r="BX1093">
        <v>3.67</v>
      </c>
      <c r="BY1093">
        <v>1.7</v>
      </c>
      <c r="BZ1093">
        <v>-1.38</v>
      </c>
      <c r="CA1093">
        <v>2.2999999999999998</v>
      </c>
      <c r="CB1093">
        <v>2.2200000000000002</v>
      </c>
      <c r="CC1093">
        <v>1.06</v>
      </c>
      <c r="CD1093">
        <v>0.06</v>
      </c>
      <c r="CE1093">
        <v>0.19</v>
      </c>
      <c r="CF1093">
        <v>0.53</v>
      </c>
      <c r="CG1093">
        <v>0</v>
      </c>
      <c r="CH1093">
        <v>1.63</v>
      </c>
      <c r="CI1093">
        <v>0</v>
      </c>
      <c r="CJ1093">
        <v>-2.5</v>
      </c>
      <c r="CK1093">
        <v>99</v>
      </c>
      <c r="CL1093">
        <v>-1.1399999999999999</v>
      </c>
      <c r="CM1093">
        <v>99</v>
      </c>
      <c r="CN1093">
        <v>-0.71</v>
      </c>
      <c r="CO1093">
        <v>99</v>
      </c>
      <c r="CP1093">
        <v>1.9</v>
      </c>
      <c r="CQ1093">
        <v>94</v>
      </c>
      <c r="CR1093">
        <v>0</v>
      </c>
      <c r="CS1093">
        <v>0</v>
      </c>
      <c r="CT1093">
        <v>10.3</v>
      </c>
      <c r="CU1093">
        <v>93</v>
      </c>
      <c r="CV1093">
        <v>0.17</v>
      </c>
      <c r="CW1093">
        <v>47</v>
      </c>
      <c r="CX1093" t="s">
        <v>309</v>
      </c>
    </row>
    <row r="1094" spans="1:102" x14ac:dyDescent="0.3">
      <c r="A1094" t="str">
        <f>HYPERLINK("https://webapp.icbf.com/v2/app/bull-search/view/108907455","ROG")</f>
        <v>ROG</v>
      </c>
      <c r="B1094" t="s">
        <v>15220</v>
      </c>
      <c r="C1094" t="s">
        <v>15221</v>
      </c>
      <c r="D1094" s="1">
        <v>35273</v>
      </c>
      <c r="E1094" t="s">
        <v>227</v>
      </c>
      <c r="F1094">
        <v>0</v>
      </c>
      <c r="G1094" t="s">
        <v>109</v>
      </c>
      <c r="H1094">
        <v>136.24</v>
      </c>
      <c r="I1094">
        <v>59</v>
      </c>
      <c r="J1094">
        <v>57.22</v>
      </c>
      <c r="K1094">
        <v>84</v>
      </c>
      <c r="L1094">
        <v>38.630000000000003</v>
      </c>
      <c r="M1094">
        <v>64</v>
      </c>
      <c r="N1094">
        <v>32.78</v>
      </c>
      <c r="O1094">
        <v>28</v>
      </c>
      <c r="P1094">
        <v>-64.150000000000006</v>
      </c>
      <c r="Q1094">
        <v>37</v>
      </c>
      <c r="R1094">
        <v>2.94</v>
      </c>
      <c r="S1094">
        <v>24</v>
      </c>
      <c r="T1094">
        <v>66.37</v>
      </c>
      <c r="U1094">
        <v>27</v>
      </c>
      <c r="V1094">
        <v>2.4500000000000002</v>
      </c>
      <c r="W1094">
        <v>24</v>
      </c>
      <c r="X1094" t="s">
        <v>4976</v>
      </c>
      <c r="Y1094" t="s">
        <v>95</v>
      </c>
      <c r="Z1094">
        <v>0</v>
      </c>
      <c r="AA1094" t="s">
        <v>788</v>
      </c>
      <c r="AB1094" t="s">
        <v>15222</v>
      </c>
      <c r="AC1094">
        <v>0</v>
      </c>
      <c r="AD1094">
        <v>0</v>
      </c>
      <c r="AE1094">
        <v>84</v>
      </c>
      <c r="AF1094">
        <v>-238.82</v>
      </c>
      <c r="AG1094">
        <v>10.25</v>
      </c>
      <c r="AH1094">
        <v>2.4500000000000002</v>
      </c>
      <c r="AI1094">
        <v>0.34</v>
      </c>
      <c r="AJ1094">
        <v>0.18</v>
      </c>
      <c r="AK1094">
        <v>64</v>
      </c>
      <c r="AL1094">
        <v>0</v>
      </c>
      <c r="AM1094">
        <v>0</v>
      </c>
      <c r="AN1094">
        <v>-0.6</v>
      </c>
      <c r="AO1094">
        <v>2.5</v>
      </c>
      <c r="AP1094">
        <v>6</v>
      </c>
      <c r="AQ1094">
        <v>1</v>
      </c>
      <c r="AR1094">
        <v>2.12</v>
      </c>
      <c r="AS1094">
        <v>25</v>
      </c>
      <c r="AT1094">
        <v>1.33</v>
      </c>
      <c r="AU1094">
        <v>24</v>
      </c>
      <c r="AV1094">
        <v>-2.29</v>
      </c>
      <c r="AW1094">
        <v>36</v>
      </c>
      <c r="AX1094">
        <v>1.61</v>
      </c>
      <c r="AY1094">
        <v>29</v>
      </c>
      <c r="AZ1094">
        <v>7.36</v>
      </c>
      <c r="BA1094">
        <v>17</v>
      </c>
      <c r="BB1094">
        <v>5.45</v>
      </c>
      <c r="BC1094">
        <v>17</v>
      </c>
      <c r="BD1094">
        <v>-7.0000000000000007E-2</v>
      </c>
      <c r="BE1094">
        <v>0.01</v>
      </c>
      <c r="BF1094">
        <v>0.03</v>
      </c>
      <c r="BG1094">
        <v>26</v>
      </c>
      <c r="BH1094">
        <v>7.0000000000000007E-2</v>
      </c>
      <c r="BI1094">
        <v>0.2</v>
      </c>
      <c r="BJ1094">
        <v>0</v>
      </c>
      <c r="BK1094">
        <v>0</v>
      </c>
      <c r="BL1094">
        <v>-2.15</v>
      </c>
      <c r="BM1094">
        <v>-1.96</v>
      </c>
      <c r="BN1094">
        <v>-0.89</v>
      </c>
      <c r="BO1094">
        <v>1.05</v>
      </c>
      <c r="BP1094">
        <v>-0.76</v>
      </c>
      <c r="BQ1094">
        <v>-5.5</v>
      </c>
      <c r="BR1094">
        <v>2.21</v>
      </c>
      <c r="BS1094">
        <v>5.7</v>
      </c>
      <c r="BT1094">
        <v>-1.68</v>
      </c>
      <c r="BU1094">
        <v>-0.21</v>
      </c>
      <c r="BV1094">
        <v>0.22</v>
      </c>
      <c r="BW1094">
        <v>-1.79</v>
      </c>
      <c r="BX1094">
        <v>-3.17</v>
      </c>
      <c r="BY1094">
        <v>-0.09</v>
      </c>
      <c r="BZ1094">
        <v>0.19</v>
      </c>
      <c r="CA1094">
        <v>1.6</v>
      </c>
      <c r="CB1094">
        <v>0.27</v>
      </c>
      <c r="CC1094">
        <v>3.54</v>
      </c>
      <c r="CD1094">
        <v>-1.79</v>
      </c>
      <c r="CE1094">
        <v>0.92</v>
      </c>
      <c r="CF1094">
        <v>-2.25</v>
      </c>
      <c r="CG1094">
        <v>0</v>
      </c>
      <c r="CH1094">
        <v>-0.52</v>
      </c>
      <c r="CI1094">
        <v>0</v>
      </c>
      <c r="CJ1094">
        <v>-33.700000000000003</v>
      </c>
      <c r="CK1094">
        <v>40</v>
      </c>
      <c r="CL1094">
        <v>-1.03</v>
      </c>
      <c r="CM1094">
        <v>35</v>
      </c>
      <c r="CN1094">
        <v>-7.0000000000000007E-2</v>
      </c>
      <c r="CO1094">
        <v>33</v>
      </c>
      <c r="CP1094">
        <v>-52.2</v>
      </c>
      <c r="CQ1094">
        <v>31</v>
      </c>
      <c r="CR1094">
        <v>0</v>
      </c>
      <c r="CS1094">
        <v>0</v>
      </c>
      <c r="CT1094">
        <v>-75.900000000000006</v>
      </c>
      <c r="CU1094">
        <v>27</v>
      </c>
      <c r="CV1094">
        <v>-0.39</v>
      </c>
      <c r="CW1094">
        <v>11</v>
      </c>
      <c r="CX1094" t="s">
        <v>514</v>
      </c>
    </row>
    <row r="1095" spans="1:102" x14ac:dyDescent="0.3">
      <c r="A1095" t="str">
        <f>HYPERLINK("https://webapp.icbf.com/v2/app/bull-search/view/1001392199","S1461")</f>
        <v>S1461</v>
      </c>
      <c r="B1095" t="s">
        <v>5653</v>
      </c>
      <c r="C1095" t="s">
        <v>5654</v>
      </c>
      <c r="D1095" s="1">
        <v>40749</v>
      </c>
      <c r="E1095" t="s">
        <v>92</v>
      </c>
      <c r="F1095">
        <v>100</v>
      </c>
      <c r="G1095" t="s">
        <v>109</v>
      </c>
      <c r="H1095">
        <v>136.21</v>
      </c>
      <c r="I1095">
        <v>83</v>
      </c>
      <c r="J1095">
        <v>54.14</v>
      </c>
      <c r="K1095">
        <v>94</v>
      </c>
      <c r="L1095">
        <v>38.979999999999997</v>
      </c>
      <c r="M1095">
        <v>86</v>
      </c>
      <c r="N1095">
        <v>41.88</v>
      </c>
      <c r="O1095">
        <v>75</v>
      </c>
      <c r="P1095">
        <v>-8.77</v>
      </c>
      <c r="Q1095">
        <v>82</v>
      </c>
      <c r="R1095">
        <v>19.8</v>
      </c>
      <c r="S1095">
        <v>76</v>
      </c>
      <c r="T1095">
        <v>-13.33</v>
      </c>
      <c r="U1095">
        <v>49</v>
      </c>
      <c r="V1095">
        <v>3.51</v>
      </c>
      <c r="W1095">
        <v>62</v>
      </c>
      <c r="X1095" t="s">
        <v>234</v>
      </c>
      <c r="Y1095" t="s">
        <v>342</v>
      </c>
      <c r="Z1095" t="s">
        <v>96</v>
      </c>
      <c r="AA1095" t="s">
        <v>2693</v>
      </c>
      <c r="AB1095" t="s">
        <v>5655</v>
      </c>
      <c r="AC1095">
        <v>0</v>
      </c>
      <c r="AD1095">
        <v>0</v>
      </c>
      <c r="AE1095">
        <v>94</v>
      </c>
      <c r="AF1095">
        <v>485.94</v>
      </c>
      <c r="AG1095">
        <v>9.7100000000000009</v>
      </c>
      <c r="AH1095">
        <v>13.21</v>
      </c>
      <c r="AI1095">
        <v>-0.15</v>
      </c>
      <c r="AJ1095">
        <v>-0.05</v>
      </c>
      <c r="AK1095">
        <v>86</v>
      </c>
      <c r="AL1095">
        <v>0</v>
      </c>
      <c r="AM1095">
        <v>0</v>
      </c>
      <c r="AN1095">
        <v>0.31</v>
      </c>
      <c r="AO1095">
        <v>3.45</v>
      </c>
      <c r="AP1095">
        <v>102</v>
      </c>
      <c r="AQ1095">
        <v>0</v>
      </c>
      <c r="AR1095">
        <v>3.98</v>
      </c>
      <c r="AS1095">
        <v>74</v>
      </c>
      <c r="AT1095">
        <v>2.27</v>
      </c>
      <c r="AU1095">
        <v>96</v>
      </c>
      <c r="AV1095">
        <v>-3.08</v>
      </c>
      <c r="AW1095">
        <v>75</v>
      </c>
      <c r="AX1095">
        <v>-0.84</v>
      </c>
      <c r="AY1095">
        <v>74</v>
      </c>
      <c r="AZ1095">
        <v>5.88</v>
      </c>
      <c r="BA1095">
        <v>53</v>
      </c>
      <c r="BB1095">
        <v>5.03</v>
      </c>
      <c r="BC1095">
        <v>45</v>
      </c>
      <c r="BD1095">
        <v>-0.08</v>
      </c>
      <c r="BE1095">
        <v>-0.08</v>
      </c>
      <c r="BF1095">
        <v>-0.17</v>
      </c>
      <c r="BG1095">
        <v>93</v>
      </c>
      <c r="BH1095">
        <v>-0.13</v>
      </c>
      <c r="BI1095">
        <v>-26.37</v>
      </c>
      <c r="BJ1095">
        <v>9</v>
      </c>
      <c r="BK1095">
        <v>8</v>
      </c>
      <c r="BL1095">
        <v>0.45</v>
      </c>
      <c r="BM1095">
        <v>-2.27</v>
      </c>
      <c r="BN1095">
        <v>-1.22</v>
      </c>
      <c r="BO1095">
        <v>0.62</v>
      </c>
      <c r="BP1095">
        <v>0.2</v>
      </c>
      <c r="BQ1095">
        <v>-0.97</v>
      </c>
      <c r="BR1095">
        <v>0.72</v>
      </c>
      <c r="BS1095">
        <v>-0.04</v>
      </c>
      <c r="BT1095">
        <v>-1.86</v>
      </c>
      <c r="BU1095">
        <v>3.15</v>
      </c>
      <c r="BV1095">
        <v>3.18</v>
      </c>
      <c r="BW1095">
        <v>2.72</v>
      </c>
      <c r="BX1095">
        <v>2.62</v>
      </c>
      <c r="BY1095">
        <v>0.88</v>
      </c>
      <c r="BZ1095">
        <v>-2.17</v>
      </c>
      <c r="CA1095">
        <v>2.04</v>
      </c>
      <c r="CB1095">
        <v>2.4700000000000002</v>
      </c>
      <c r="CC1095">
        <v>0.01</v>
      </c>
      <c r="CD1095">
        <v>-0.79</v>
      </c>
      <c r="CE1095">
        <v>1.71</v>
      </c>
      <c r="CF1095">
        <v>1.1599999999999999</v>
      </c>
      <c r="CG1095">
        <v>0</v>
      </c>
      <c r="CH1095">
        <v>0.5</v>
      </c>
      <c r="CI1095">
        <v>0</v>
      </c>
      <c r="CJ1095">
        <v>-1.4</v>
      </c>
      <c r="CK1095">
        <v>85</v>
      </c>
      <c r="CL1095">
        <v>-1.31</v>
      </c>
      <c r="CM1095">
        <v>83</v>
      </c>
      <c r="CN1095">
        <v>-0.49</v>
      </c>
      <c r="CO1095">
        <v>82</v>
      </c>
      <c r="CP1095">
        <v>6.3</v>
      </c>
      <c r="CQ1095">
        <v>57</v>
      </c>
      <c r="CR1095">
        <v>0</v>
      </c>
      <c r="CS1095">
        <v>0</v>
      </c>
      <c r="CT1095">
        <v>31.8</v>
      </c>
      <c r="CU1095">
        <v>49</v>
      </c>
      <c r="CV1095">
        <v>0.27</v>
      </c>
      <c r="CW1095">
        <v>43</v>
      </c>
      <c r="CX1095" t="s">
        <v>309</v>
      </c>
    </row>
    <row r="1096" spans="1:102" x14ac:dyDescent="0.3">
      <c r="A1096" t="str">
        <f>HYPERLINK("https://webapp.icbf.com/v2/app/bull-search/view/1243230946","FR2273")</f>
        <v>FR2273</v>
      </c>
      <c r="B1096" t="s">
        <v>6037</v>
      </c>
      <c r="C1096" t="s">
        <v>6038</v>
      </c>
      <c r="D1096" s="1">
        <v>42025</v>
      </c>
      <c r="E1096" t="s">
        <v>92</v>
      </c>
      <c r="F1096">
        <v>69</v>
      </c>
      <c r="G1096" t="s">
        <v>93</v>
      </c>
      <c r="H1096">
        <v>136.13999999999999</v>
      </c>
      <c r="I1096">
        <v>85</v>
      </c>
      <c r="J1096">
        <v>64.64</v>
      </c>
      <c r="K1096">
        <v>97</v>
      </c>
      <c r="L1096">
        <v>31.73</v>
      </c>
      <c r="M1096">
        <v>74</v>
      </c>
      <c r="N1096">
        <v>61.38</v>
      </c>
      <c r="O1096">
        <v>89</v>
      </c>
      <c r="P1096">
        <v>-10.9</v>
      </c>
      <c r="Q1096">
        <v>93</v>
      </c>
      <c r="R1096">
        <v>-9.4499999999999993</v>
      </c>
      <c r="S1096">
        <v>76</v>
      </c>
      <c r="T1096">
        <v>-0.09</v>
      </c>
      <c r="U1096">
        <v>84</v>
      </c>
      <c r="V1096">
        <v>-1.17</v>
      </c>
      <c r="W1096">
        <v>71</v>
      </c>
      <c r="X1096" t="s">
        <v>102</v>
      </c>
      <c r="Y1096" t="s">
        <v>416</v>
      </c>
      <c r="Z1096" t="s">
        <v>330</v>
      </c>
      <c r="AA1096" t="s">
        <v>2235</v>
      </c>
      <c r="AB1096" t="s">
        <v>6039</v>
      </c>
      <c r="AC1096">
        <v>224</v>
      </c>
      <c r="AD1096">
        <v>90</v>
      </c>
      <c r="AE1096">
        <v>97</v>
      </c>
      <c r="AF1096">
        <v>-28.51</v>
      </c>
      <c r="AG1096">
        <v>12.71</v>
      </c>
      <c r="AH1096">
        <v>6.06</v>
      </c>
      <c r="AI1096">
        <v>0.24</v>
      </c>
      <c r="AJ1096">
        <v>0.12</v>
      </c>
      <c r="AK1096">
        <v>74</v>
      </c>
      <c r="AL1096">
        <v>0</v>
      </c>
      <c r="AM1096">
        <v>0</v>
      </c>
      <c r="AN1096">
        <v>-1.76</v>
      </c>
      <c r="AO1096">
        <v>0.77</v>
      </c>
      <c r="AP1096">
        <v>1052</v>
      </c>
      <c r="AQ1096">
        <v>1</v>
      </c>
      <c r="AR1096">
        <v>6</v>
      </c>
      <c r="AS1096">
        <v>89</v>
      </c>
      <c r="AT1096">
        <v>2.1</v>
      </c>
      <c r="AU1096">
        <v>95</v>
      </c>
      <c r="AV1096">
        <v>-5.98</v>
      </c>
      <c r="AW1096">
        <v>99</v>
      </c>
      <c r="AX1096">
        <v>-0.46</v>
      </c>
      <c r="AY1096">
        <v>93</v>
      </c>
      <c r="AZ1096">
        <v>5.89</v>
      </c>
      <c r="BA1096">
        <v>76</v>
      </c>
      <c r="BB1096">
        <v>4.96</v>
      </c>
      <c r="BC1096">
        <v>44</v>
      </c>
      <c r="BD1096">
        <v>-0.04</v>
      </c>
      <c r="BE1096">
        <v>0.06</v>
      </c>
      <c r="BF1096">
        <v>0.17</v>
      </c>
      <c r="BG1096">
        <v>89</v>
      </c>
      <c r="BH1096">
        <v>-0.1</v>
      </c>
      <c r="BI1096">
        <v>-7.78</v>
      </c>
      <c r="BJ1096">
        <v>0</v>
      </c>
      <c r="BK1096">
        <v>0</v>
      </c>
      <c r="BL1096">
        <v>-0.96</v>
      </c>
      <c r="BM1096">
        <v>0.57999999999999996</v>
      </c>
      <c r="BN1096">
        <v>-0.52</v>
      </c>
      <c r="BO1096">
        <v>-0.82</v>
      </c>
      <c r="BP1096">
        <v>0.99</v>
      </c>
      <c r="BQ1096">
        <v>1.18</v>
      </c>
      <c r="BR1096">
        <v>1.76</v>
      </c>
      <c r="BS1096">
        <v>-1.63</v>
      </c>
      <c r="BT1096">
        <v>-1.58</v>
      </c>
      <c r="BU1096">
        <v>-1.9</v>
      </c>
      <c r="BV1096">
        <v>-2.2400000000000002</v>
      </c>
      <c r="BW1096">
        <v>-2.27</v>
      </c>
      <c r="BX1096">
        <v>-1.73</v>
      </c>
      <c r="BY1096">
        <v>-2.4700000000000002</v>
      </c>
      <c r="BZ1096">
        <v>2.12</v>
      </c>
      <c r="CA1096">
        <v>-2.1</v>
      </c>
      <c r="CB1096">
        <v>-1.95</v>
      </c>
      <c r="CC1096">
        <v>-1.48</v>
      </c>
      <c r="CD1096">
        <v>1.35</v>
      </c>
      <c r="CE1096">
        <v>-1.03</v>
      </c>
      <c r="CF1096">
        <v>-0.96</v>
      </c>
      <c r="CG1096">
        <v>0</v>
      </c>
      <c r="CH1096">
        <v>-2.82</v>
      </c>
      <c r="CI1096">
        <v>0</v>
      </c>
      <c r="CJ1096">
        <v>-4.3</v>
      </c>
      <c r="CK1096">
        <v>96</v>
      </c>
      <c r="CL1096">
        <v>-0.63</v>
      </c>
      <c r="CM1096">
        <v>94</v>
      </c>
      <c r="CN1096">
        <v>-0.14000000000000001</v>
      </c>
      <c r="CO1096">
        <v>94</v>
      </c>
      <c r="CP1096">
        <v>-0.7</v>
      </c>
      <c r="CQ1096">
        <v>73</v>
      </c>
      <c r="CR1096">
        <v>0</v>
      </c>
      <c r="CS1096">
        <v>0</v>
      </c>
      <c r="CT1096">
        <v>13.9</v>
      </c>
      <c r="CU1096">
        <v>84</v>
      </c>
      <c r="CV1096">
        <v>0.09</v>
      </c>
      <c r="CW1096">
        <v>47</v>
      </c>
      <c r="CX1096" t="s">
        <v>5796</v>
      </c>
    </row>
    <row r="1097" spans="1:102" x14ac:dyDescent="0.3">
      <c r="A1097" t="str">
        <f>HYPERLINK("https://webapp.icbf.com/v2/app/bull-search/view/1025667965","S1457")</f>
        <v>S1457</v>
      </c>
      <c r="B1097" t="s">
        <v>6797</v>
      </c>
      <c r="C1097" t="s">
        <v>6798</v>
      </c>
      <c r="D1097" s="1">
        <v>40606</v>
      </c>
      <c r="E1097" t="s">
        <v>92</v>
      </c>
      <c r="F1097">
        <v>100</v>
      </c>
      <c r="G1097" t="s">
        <v>109</v>
      </c>
      <c r="H1097">
        <v>136.11000000000001</v>
      </c>
      <c r="I1097">
        <v>82</v>
      </c>
      <c r="J1097">
        <v>73.41</v>
      </c>
      <c r="K1097">
        <v>93</v>
      </c>
      <c r="L1097">
        <v>16.88</v>
      </c>
      <c r="M1097">
        <v>84</v>
      </c>
      <c r="N1097">
        <v>38.58</v>
      </c>
      <c r="O1097">
        <v>83</v>
      </c>
      <c r="P1097">
        <v>-7.13</v>
      </c>
      <c r="Q1097">
        <v>78</v>
      </c>
      <c r="R1097">
        <v>16.27</v>
      </c>
      <c r="S1097">
        <v>74</v>
      </c>
      <c r="T1097">
        <v>-0.31</v>
      </c>
      <c r="U1097">
        <v>52</v>
      </c>
      <c r="V1097">
        <v>-1.59</v>
      </c>
      <c r="W1097">
        <v>60</v>
      </c>
      <c r="X1097" t="s">
        <v>94</v>
      </c>
      <c r="Y1097" t="s">
        <v>342</v>
      </c>
      <c r="Z1097" t="s">
        <v>96</v>
      </c>
      <c r="AA1097" t="s">
        <v>2187</v>
      </c>
      <c r="AB1097" t="s">
        <v>6799</v>
      </c>
      <c r="AC1097">
        <v>0</v>
      </c>
      <c r="AD1097">
        <v>0</v>
      </c>
      <c r="AE1097">
        <v>93</v>
      </c>
      <c r="AF1097">
        <v>632.86</v>
      </c>
      <c r="AG1097">
        <v>15.07</v>
      </c>
      <c r="AH1097">
        <v>16.84</v>
      </c>
      <c r="AI1097">
        <v>-0.15</v>
      </c>
      <c r="AJ1097">
        <v>-7.0000000000000007E-2</v>
      </c>
      <c r="AK1097">
        <v>84</v>
      </c>
      <c r="AL1097">
        <v>0</v>
      </c>
      <c r="AM1097">
        <v>0</v>
      </c>
      <c r="AN1097">
        <v>0.18</v>
      </c>
      <c r="AO1097">
        <v>1.54</v>
      </c>
      <c r="AP1097">
        <v>188</v>
      </c>
      <c r="AQ1097">
        <v>5</v>
      </c>
      <c r="AR1097">
        <v>7.41</v>
      </c>
      <c r="AS1097">
        <v>74</v>
      </c>
      <c r="AT1097">
        <v>2.64</v>
      </c>
      <c r="AU1097">
        <v>91</v>
      </c>
      <c r="AV1097">
        <v>-3.84</v>
      </c>
      <c r="AW1097">
        <v>95</v>
      </c>
      <c r="AX1097">
        <v>-0.43</v>
      </c>
      <c r="AY1097">
        <v>83</v>
      </c>
      <c r="AZ1097">
        <v>5.63</v>
      </c>
      <c r="BA1097">
        <v>54</v>
      </c>
      <c r="BB1097">
        <v>4.74</v>
      </c>
      <c r="BC1097">
        <v>45</v>
      </c>
      <c r="BD1097">
        <v>-0.03</v>
      </c>
      <c r="BE1097">
        <v>-0.06</v>
      </c>
      <c r="BF1097">
        <v>-0.21</v>
      </c>
      <c r="BG1097">
        <v>90</v>
      </c>
      <c r="BH1097">
        <v>0.06</v>
      </c>
      <c r="BI1097">
        <v>12.06</v>
      </c>
      <c r="BJ1097">
        <v>2</v>
      </c>
      <c r="BK1097">
        <v>2</v>
      </c>
      <c r="BL1097">
        <v>1.02</v>
      </c>
      <c r="BM1097">
        <v>-0.56999999999999995</v>
      </c>
      <c r="BN1097">
        <v>0.52</v>
      </c>
      <c r="BO1097">
        <v>0.78</v>
      </c>
      <c r="BP1097">
        <v>-2.16</v>
      </c>
      <c r="BQ1097">
        <v>0.88</v>
      </c>
      <c r="BR1097">
        <v>0.52</v>
      </c>
      <c r="BS1097">
        <v>-0.47</v>
      </c>
      <c r="BT1097">
        <v>7.0000000000000007E-2</v>
      </c>
      <c r="BU1097">
        <v>3.21</v>
      </c>
      <c r="BV1097">
        <v>2.2200000000000002</v>
      </c>
      <c r="BW1097">
        <v>2.21</v>
      </c>
      <c r="BX1097">
        <v>2.64</v>
      </c>
      <c r="BY1097">
        <v>1.66</v>
      </c>
      <c r="BZ1097">
        <v>0.2</v>
      </c>
      <c r="CA1097">
        <v>2.04</v>
      </c>
      <c r="CB1097">
        <v>2.4700000000000002</v>
      </c>
      <c r="CC1097">
        <v>-0.28999999999999998</v>
      </c>
      <c r="CD1097">
        <v>-0.39</v>
      </c>
      <c r="CE1097">
        <v>1.04</v>
      </c>
      <c r="CF1097">
        <v>1.1299999999999999</v>
      </c>
      <c r="CG1097">
        <v>0</v>
      </c>
      <c r="CH1097">
        <v>2.37</v>
      </c>
      <c r="CI1097">
        <v>0</v>
      </c>
      <c r="CJ1097">
        <v>0.5</v>
      </c>
      <c r="CK1097">
        <v>81</v>
      </c>
      <c r="CL1097">
        <v>-1.22</v>
      </c>
      <c r="CM1097">
        <v>77</v>
      </c>
      <c r="CN1097">
        <v>-0.36</v>
      </c>
      <c r="CO1097">
        <v>76</v>
      </c>
      <c r="CP1097">
        <v>3.7</v>
      </c>
      <c r="CQ1097">
        <v>59</v>
      </c>
      <c r="CR1097">
        <v>0</v>
      </c>
      <c r="CS1097">
        <v>0</v>
      </c>
      <c r="CT1097">
        <v>14.2</v>
      </c>
      <c r="CU1097">
        <v>52</v>
      </c>
      <c r="CV1097">
        <v>0.27</v>
      </c>
      <c r="CW1097">
        <v>42</v>
      </c>
      <c r="CX1097" t="s">
        <v>350</v>
      </c>
    </row>
    <row r="1098" spans="1:102" x14ac:dyDescent="0.3">
      <c r="A1098" t="str">
        <f>HYPERLINK("https://webapp.icbf.com/v2/app/bull-search/view/879595995","DHZ")</f>
        <v>DHZ</v>
      </c>
      <c r="B1098" t="s">
        <v>12976</v>
      </c>
      <c r="C1098" t="s">
        <v>12977</v>
      </c>
      <c r="D1098" s="1">
        <v>40582</v>
      </c>
      <c r="E1098" t="s">
        <v>108</v>
      </c>
      <c r="F1098">
        <v>0</v>
      </c>
      <c r="G1098" t="s">
        <v>93</v>
      </c>
      <c r="H1098">
        <v>136.01</v>
      </c>
      <c r="I1098">
        <v>84</v>
      </c>
      <c r="J1098">
        <v>-11.38</v>
      </c>
      <c r="K1098">
        <v>96</v>
      </c>
      <c r="L1098">
        <v>83.06</v>
      </c>
      <c r="M1098">
        <v>73</v>
      </c>
      <c r="N1098">
        <v>40.36</v>
      </c>
      <c r="O1098">
        <v>87</v>
      </c>
      <c r="P1098">
        <v>-15.3</v>
      </c>
      <c r="Q1098">
        <v>96</v>
      </c>
      <c r="R1098">
        <v>13.76</v>
      </c>
      <c r="S1098">
        <v>71</v>
      </c>
      <c r="T1098">
        <v>31.81</v>
      </c>
      <c r="U1098">
        <v>85</v>
      </c>
      <c r="V1098">
        <v>-6.3</v>
      </c>
      <c r="W1098">
        <v>67</v>
      </c>
      <c r="X1098" t="s">
        <v>102</v>
      </c>
      <c r="Y1098" t="s">
        <v>1860</v>
      </c>
      <c r="Z1098" t="s">
        <v>96</v>
      </c>
      <c r="AA1098" t="s">
        <v>12978</v>
      </c>
      <c r="AB1098" t="s">
        <v>12979</v>
      </c>
      <c r="AC1098">
        <v>91</v>
      </c>
      <c r="AD1098">
        <v>49</v>
      </c>
      <c r="AE1098">
        <v>96</v>
      </c>
      <c r="AF1098">
        <v>-340.06</v>
      </c>
      <c r="AG1098">
        <v>3.25</v>
      </c>
      <c r="AH1098">
        <v>-8.2899999999999991</v>
      </c>
      <c r="AI1098">
        <v>0.31</v>
      </c>
      <c r="AJ1098">
        <v>0.06</v>
      </c>
      <c r="AK1098">
        <v>73</v>
      </c>
      <c r="AL1098">
        <v>149</v>
      </c>
      <c r="AM1098">
        <v>60</v>
      </c>
      <c r="AN1098">
        <v>-4.05</v>
      </c>
      <c r="AO1098">
        <v>2.58</v>
      </c>
      <c r="AP1098">
        <v>324</v>
      </c>
      <c r="AQ1098">
        <v>3</v>
      </c>
      <c r="AR1098">
        <v>4.3600000000000003</v>
      </c>
      <c r="AS1098">
        <v>82</v>
      </c>
      <c r="AT1098">
        <v>2.09</v>
      </c>
      <c r="AU1098">
        <v>89</v>
      </c>
      <c r="AV1098">
        <v>-3.46</v>
      </c>
      <c r="AW1098">
        <v>96</v>
      </c>
      <c r="AX1098">
        <v>-0.34</v>
      </c>
      <c r="AY1098">
        <v>87</v>
      </c>
      <c r="AZ1098">
        <v>6.78</v>
      </c>
      <c r="BA1098">
        <v>68</v>
      </c>
      <c r="BB1098">
        <v>5.48</v>
      </c>
      <c r="BC1098">
        <v>63</v>
      </c>
      <c r="BD1098">
        <v>0.01</v>
      </c>
      <c r="BE1098">
        <v>-7.0000000000000007E-2</v>
      </c>
      <c r="BF1098">
        <v>-0.2</v>
      </c>
      <c r="BG1098">
        <v>84</v>
      </c>
      <c r="BH1098">
        <v>-0.16</v>
      </c>
      <c r="BI1098">
        <v>1.8</v>
      </c>
      <c r="BJ1098">
        <v>3</v>
      </c>
      <c r="BK1098">
        <v>1</v>
      </c>
      <c r="BL1098">
        <v>-4.68</v>
      </c>
      <c r="BM1098">
        <v>2.4300000000000002</v>
      </c>
      <c r="BN1098">
        <v>-3.31</v>
      </c>
      <c r="BO1098">
        <v>-4.0199999999999996</v>
      </c>
      <c r="BP1098">
        <v>1.22</v>
      </c>
      <c r="BQ1098">
        <v>-0.06</v>
      </c>
      <c r="BR1098">
        <v>-0.74</v>
      </c>
      <c r="BS1098">
        <v>-0.04</v>
      </c>
      <c r="BT1098">
        <v>-0.2</v>
      </c>
      <c r="BU1098">
        <v>-2.59</v>
      </c>
      <c r="BV1098">
        <v>-3.58</v>
      </c>
      <c r="BW1098">
        <v>-2.96</v>
      </c>
      <c r="BX1098">
        <v>-1.64</v>
      </c>
      <c r="BY1098">
        <v>-2.7</v>
      </c>
      <c r="BZ1098">
        <v>-0.7</v>
      </c>
      <c r="CA1098">
        <v>-3</v>
      </c>
      <c r="CB1098">
        <v>-3.16</v>
      </c>
      <c r="CC1098">
        <v>-1.57</v>
      </c>
      <c r="CD1098">
        <v>3.54</v>
      </c>
      <c r="CE1098">
        <v>-3.47</v>
      </c>
      <c r="CF1098">
        <v>-3.47</v>
      </c>
      <c r="CG1098">
        <v>0</v>
      </c>
      <c r="CH1098">
        <v>-1.51</v>
      </c>
      <c r="CI1098">
        <v>0</v>
      </c>
      <c r="CJ1098">
        <v>-8.6999999999999993</v>
      </c>
      <c r="CK1098">
        <v>97</v>
      </c>
      <c r="CL1098">
        <v>-0.04</v>
      </c>
      <c r="CM1098">
        <v>96</v>
      </c>
      <c r="CN1098">
        <v>0.04</v>
      </c>
      <c r="CO1098">
        <v>95</v>
      </c>
      <c r="CP1098">
        <v>-16.100000000000001</v>
      </c>
      <c r="CQ1098">
        <v>86</v>
      </c>
      <c r="CR1098">
        <v>0</v>
      </c>
      <c r="CS1098">
        <v>0</v>
      </c>
      <c r="CT1098">
        <v>-29.2</v>
      </c>
      <c r="CU1098">
        <v>85</v>
      </c>
      <c r="CV1098">
        <v>-0.02</v>
      </c>
      <c r="CW1098">
        <v>45</v>
      </c>
      <c r="CX1098" t="s">
        <v>12980</v>
      </c>
    </row>
    <row r="1099" spans="1:102" x14ac:dyDescent="0.3">
      <c r="A1099" t="str">
        <f>HYPERLINK("https://webapp.icbf.com/v2/app/bull-search/view/683463518","LLK")</f>
        <v>LLK</v>
      </c>
      <c r="B1099" t="s">
        <v>12720</v>
      </c>
      <c r="C1099" t="s">
        <v>5692</v>
      </c>
      <c r="D1099" s="1">
        <v>39917</v>
      </c>
      <c r="E1099" t="s">
        <v>92</v>
      </c>
      <c r="F1099">
        <v>84</v>
      </c>
      <c r="G1099" t="s">
        <v>93</v>
      </c>
      <c r="H1099">
        <v>135.96</v>
      </c>
      <c r="I1099">
        <v>98</v>
      </c>
      <c r="J1099">
        <v>38.51</v>
      </c>
      <c r="K1099">
        <v>99</v>
      </c>
      <c r="L1099">
        <v>60.38</v>
      </c>
      <c r="M1099">
        <v>96</v>
      </c>
      <c r="N1099">
        <v>41.12</v>
      </c>
      <c r="O1099">
        <v>99</v>
      </c>
      <c r="P1099">
        <v>-14.55</v>
      </c>
      <c r="Q1099">
        <v>99</v>
      </c>
      <c r="R1099">
        <v>11.23</v>
      </c>
      <c r="S1099">
        <v>97</v>
      </c>
      <c r="T1099">
        <v>13.09</v>
      </c>
      <c r="U1099">
        <v>99</v>
      </c>
      <c r="V1099">
        <v>-13.82</v>
      </c>
      <c r="W1099">
        <v>92</v>
      </c>
      <c r="X1099" t="s">
        <v>94</v>
      </c>
      <c r="Y1099" t="s">
        <v>1727</v>
      </c>
      <c r="Z1099" t="s">
        <v>96</v>
      </c>
      <c r="AA1099" t="s">
        <v>2992</v>
      </c>
      <c r="AB1099" t="s">
        <v>12721</v>
      </c>
      <c r="AC1099">
        <v>2943</v>
      </c>
      <c r="AD1099">
        <v>944</v>
      </c>
      <c r="AE1099">
        <v>99</v>
      </c>
      <c r="AF1099">
        <v>-69.92</v>
      </c>
      <c r="AG1099">
        <v>11.36</v>
      </c>
      <c r="AH1099">
        <v>1.46</v>
      </c>
      <c r="AI1099">
        <v>0.25</v>
      </c>
      <c r="AJ1099">
        <v>7.0000000000000007E-2</v>
      </c>
      <c r="AK1099">
        <v>96</v>
      </c>
      <c r="AL1099">
        <v>3231</v>
      </c>
      <c r="AM1099">
        <v>1096</v>
      </c>
      <c r="AN1099">
        <v>-2.93</v>
      </c>
      <c r="AO1099">
        <v>1.89</v>
      </c>
      <c r="AP1099">
        <v>6094</v>
      </c>
      <c r="AQ1099">
        <v>66</v>
      </c>
      <c r="AR1099">
        <v>5.38</v>
      </c>
      <c r="AS1099">
        <v>98</v>
      </c>
      <c r="AT1099">
        <v>2.13</v>
      </c>
      <c r="AU1099">
        <v>99</v>
      </c>
      <c r="AV1099">
        <v>-3.03</v>
      </c>
      <c r="AW1099">
        <v>99</v>
      </c>
      <c r="AX1099">
        <v>-0.32</v>
      </c>
      <c r="AY1099">
        <v>99</v>
      </c>
      <c r="AZ1099">
        <v>5.49</v>
      </c>
      <c r="BA1099">
        <v>98</v>
      </c>
      <c r="BB1099">
        <v>4.5599999999999996</v>
      </c>
      <c r="BC1099">
        <v>98</v>
      </c>
      <c r="BD1099">
        <v>-0.08</v>
      </c>
      <c r="BE1099">
        <v>-0.05</v>
      </c>
      <c r="BF1099">
        <v>-0.03</v>
      </c>
      <c r="BG1099">
        <v>99</v>
      </c>
      <c r="BH1099">
        <v>-0.51</v>
      </c>
      <c r="BI1099">
        <v>-14.42</v>
      </c>
      <c r="BJ1099">
        <v>144</v>
      </c>
      <c r="BK1099">
        <v>68</v>
      </c>
      <c r="BL1099">
        <v>-1.19</v>
      </c>
      <c r="BM1099">
        <v>-0.12</v>
      </c>
      <c r="BN1099">
        <v>-0.22</v>
      </c>
      <c r="BO1099">
        <v>-0.28999999999999998</v>
      </c>
      <c r="BP1099">
        <v>0.6</v>
      </c>
      <c r="BQ1099">
        <v>-1.74</v>
      </c>
      <c r="BR1099">
        <v>0.75</v>
      </c>
      <c r="BS1099">
        <v>-1.07</v>
      </c>
      <c r="BT1099">
        <v>-1.59</v>
      </c>
      <c r="BU1099">
        <v>-1.66</v>
      </c>
      <c r="BV1099">
        <v>-1.9</v>
      </c>
      <c r="BW1099">
        <v>-3.13</v>
      </c>
      <c r="BX1099">
        <v>-2.15</v>
      </c>
      <c r="BY1099">
        <v>-4.58</v>
      </c>
      <c r="BZ1099">
        <v>0.59</v>
      </c>
      <c r="CA1099">
        <v>-2.35</v>
      </c>
      <c r="CB1099">
        <v>-2.46</v>
      </c>
      <c r="CC1099">
        <v>-0.84</v>
      </c>
      <c r="CD1099">
        <v>-0.28999999999999998</v>
      </c>
      <c r="CE1099">
        <v>-0.67</v>
      </c>
      <c r="CF1099">
        <v>-1.53</v>
      </c>
      <c r="CG1099">
        <v>0</v>
      </c>
      <c r="CH1099">
        <v>-4.25</v>
      </c>
      <c r="CI1099">
        <v>0</v>
      </c>
      <c r="CJ1099">
        <v>-5.3</v>
      </c>
      <c r="CK1099">
        <v>99</v>
      </c>
      <c r="CL1099">
        <v>-0.71</v>
      </c>
      <c r="CM1099">
        <v>99</v>
      </c>
      <c r="CN1099">
        <v>-0.09</v>
      </c>
      <c r="CO1099">
        <v>99</v>
      </c>
      <c r="CP1099">
        <v>-6.4</v>
      </c>
      <c r="CQ1099">
        <v>99</v>
      </c>
      <c r="CR1099">
        <v>0</v>
      </c>
      <c r="CS1099">
        <v>0</v>
      </c>
      <c r="CT1099">
        <v>-3.9</v>
      </c>
      <c r="CU1099">
        <v>99</v>
      </c>
      <c r="CV1099">
        <v>0.03</v>
      </c>
      <c r="CW1099">
        <v>48</v>
      </c>
      <c r="CX1099" t="s">
        <v>1252</v>
      </c>
    </row>
    <row r="1100" spans="1:102" x14ac:dyDescent="0.3">
      <c r="A1100" t="str">
        <f>HYPERLINK("https://webapp.icbf.com/v2/app/bull-search/view/499059111","SWY")</f>
        <v>SWY</v>
      </c>
      <c r="B1100" t="s">
        <v>7140</v>
      </c>
      <c r="C1100" t="s">
        <v>7141</v>
      </c>
      <c r="D1100" s="1">
        <v>39115</v>
      </c>
      <c r="E1100" t="s">
        <v>227</v>
      </c>
      <c r="F1100">
        <v>0</v>
      </c>
      <c r="G1100" t="s">
        <v>93</v>
      </c>
      <c r="H1100">
        <v>135.91999999999999</v>
      </c>
      <c r="I1100">
        <v>89</v>
      </c>
      <c r="J1100">
        <v>88.56</v>
      </c>
      <c r="K1100">
        <v>98</v>
      </c>
      <c r="L1100">
        <v>14.35</v>
      </c>
      <c r="M1100">
        <v>79</v>
      </c>
      <c r="N1100">
        <v>38.53</v>
      </c>
      <c r="O1100">
        <v>90</v>
      </c>
      <c r="P1100">
        <v>-49.08</v>
      </c>
      <c r="Q1100">
        <v>95</v>
      </c>
      <c r="R1100">
        <v>-0.97</v>
      </c>
      <c r="S1100">
        <v>79</v>
      </c>
      <c r="T1100">
        <v>38.020000000000003</v>
      </c>
      <c r="U1100">
        <v>93</v>
      </c>
      <c r="V1100">
        <v>6.51</v>
      </c>
      <c r="W1100">
        <v>77</v>
      </c>
      <c r="X1100" t="s">
        <v>102</v>
      </c>
      <c r="Y1100" t="s">
        <v>1727</v>
      </c>
      <c r="Z1100">
        <v>0</v>
      </c>
      <c r="AA1100" t="s">
        <v>1525</v>
      </c>
      <c r="AB1100" t="s">
        <v>5313</v>
      </c>
      <c r="AC1100">
        <v>216</v>
      </c>
      <c r="AD1100">
        <v>110</v>
      </c>
      <c r="AE1100">
        <v>98</v>
      </c>
      <c r="AF1100">
        <v>-295.58</v>
      </c>
      <c r="AG1100">
        <v>17.350000000000001</v>
      </c>
      <c r="AH1100">
        <v>4.4000000000000004</v>
      </c>
      <c r="AI1100">
        <v>0.5</v>
      </c>
      <c r="AJ1100">
        <v>0.25</v>
      </c>
      <c r="AK1100">
        <v>79</v>
      </c>
      <c r="AL1100">
        <v>252</v>
      </c>
      <c r="AM1100">
        <v>141</v>
      </c>
      <c r="AN1100">
        <v>0.4</v>
      </c>
      <c r="AO1100">
        <v>1.56</v>
      </c>
      <c r="AP1100">
        <v>374</v>
      </c>
      <c r="AQ1100">
        <v>3</v>
      </c>
      <c r="AR1100">
        <v>2.38</v>
      </c>
      <c r="AS1100">
        <v>87</v>
      </c>
      <c r="AT1100">
        <v>1.33</v>
      </c>
      <c r="AU1100">
        <v>89</v>
      </c>
      <c r="AV1100">
        <v>-1.88</v>
      </c>
      <c r="AW1100">
        <v>98</v>
      </c>
      <c r="AX1100">
        <v>-0.15</v>
      </c>
      <c r="AY1100">
        <v>90</v>
      </c>
      <c r="AZ1100">
        <v>5.59</v>
      </c>
      <c r="BA1100">
        <v>74</v>
      </c>
      <c r="BB1100">
        <v>5.05</v>
      </c>
      <c r="BC1100">
        <v>74</v>
      </c>
      <c r="BD1100">
        <v>-0.04</v>
      </c>
      <c r="BE1100">
        <v>0.01</v>
      </c>
      <c r="BF1100">
        <v>7.0000000000000007E-2</v>
      </c>
      <c r="BG1100">
        <v>91</v>
      </c>
      <c r="BH1100">
        <v>0.1</v>
      </c>
      <c r="BI1100">
        <v>-9.42</v>
      </c>
      <c r="BJ1100">
        <v>2</v>
      </c>
      <c r="BK1100">
        <v>2</v>
      </c>
      <c r="BL1100">
        <v>-2.16</v>
      </c>
      <c r="BM1100">
        <v>-1.48</v>
      </c>
      <c r="BN1100">
        <v>-0.26</v>
      </c>
      <c r="BO1100">
        <v>1.18</v>
      </c>
      <c r="BP1100">
        <v>1.05</v>
      </c>
      <c r="BQ1100">
        <v>-5.45</v>
      </c>
      <c r="BR1100">
        <v>3.76</v>
      </c>
      <c r="BS1100">
        <v>4.18</v>
      </c>
      <c r="BT1100">
        <v>-2.6</v>
      </c>
      <c r="BU1100">
        <v>7.0000000000000007E-2</v>
      </c>
      <c r="BV1100">
        <v>-0.25</v>
      </c>
      <c r="BW1100">
        <v>-1.81</v>
      </c>
      <c r="BX1100">
        <v>-2.62</v>
      </c>
      <c r="BY1100">
        <v>-0.08</v>
      </c>
      <c r="BZ1100">
        <v>-0.81</v>
      </c>
      <c r="CA1100">
        <v>0.7</v>
      </c>
      <c r="CB1100">
        <v>-0.02</v>
      </c>
      <c r="CC1100">
        <v>2.02</v>
      </c>
      <c r="CD1100">
        <v>-1.59</v>
      </c>
      <c r="CE1100">
        <v>0.61</v>
      </c>
      <c r="CF1100">
        <v>-2.27</v>
      </c>
      <c r="CG1100">
        <v>0</v>
      </c>
      <c r="CH1100">
        <v>-0.86</v>
      </c>
      <c r="CI1100">
        <v>0</v>
      </c>
      <c r="CJ1100">
        <v>-25</v>
      </c>
      <c r="CK1100">
        <v>96</v>
      </c>
      <c r="CL1100">
        <v>-1.0900000000000001</v>
      </c>
      <c r="CM1100">
        <v>95</v>
      </c>
      <c r="CN1100">
        <v>-0.1</v>
      </c>
      <c r="CO1100">
        <v>94</v>
      </c>
      <c r="CP1100">
        <v>-30</v>
      </c>
      <c r="CQ1100">
        <v>91</v>
      </c>
      <c r="CR1100">
        <v>0</v>
      </c>
      <c r="CS1100">
        <v>0</v>
      </c>
      <c r="CT1100">
        <v>-37.6</v>
      </c>
      <c r="CU1100">
        <v>93</v>
      </c>
      <c r="CV1100">
        <v>-0.23</v>
      </c>
      <c r="CW1100">
        <v>29</v>
      </c>
      <c r="CX1100" t="s">
        <v>5314</v>
      </c>
    </row>
    <row r="1101" spans="1:102" x14ac:dyDescent="0.3">
      <c r="A1101" t="str">
        <f>HYPERLINK("https://webapp.icbf.com/v2/app/bull-search/view/499386613","CUP")</f>
        <v>CUP</v>
      </c>
      <c r="B1101" t="s">
        <v>14443</v>
      </c>
      <c r="C1101" t="s">
        <v>14444</v>
      </c>
      <c r="D1101" s="1">
        <v>39135</v>
      </c>
      <c r="E1101" t="s">
        <v>92</v>
      </c>
      <c r="F1101">
        <v>97</v>
      </c>
      <c r="G1101" t="s">
        <v>93</v>
      </c>
      <c r="H1101">
        <v>135.76</v>
      </c>
      <c r="I1101">
        <v>87</v>
      </c>
      <c r="J1101">
        <v>12.46</v>
      </c>
      <c r="K1101">
        <v>97</v>
      </c>
      <c r="L1101">
        <v>73.099999999999994</v>
      </c>
      <c r="M1101">
        <v>79</v>
      </c>
      <c r="N1101">
        <v>26.76</v>
      </c>
      <c r="O1101">
        <v>85</v>
      </c>
      <c r="P1101">
        <v>-12.67</v>
      </c>
      <c r="Q1101">
        <v>92</v>
      </c>
      <c r="R1101">
        <v>17.010000000000002</v>
      </c>
      <c r="S1101">
        <v>81</v>
      </c>
      <c r="T1101">
        <v>18.12</v>
      </c>
      <c r="U1101">
        <v>83</v>
      </c>
      <c r="V1101">
        <v>0.98</v>
      </c>
      <c r="W1101">
        <v>78</v>
      </c>
      <c r="X1101" t="s">
        <v>94</v>
      </c>
      <c r="Y1101" t="s">
        <v>1113</v>
      </c>
      <c r="Z1101" t="s">
        <v>96</v>
      </c>
      <c r="AA1101" t="s">
        <v>12631</v>
      </c>
      <c r="AB1101" t="s">
        <v>14445</v>
      </c>
      <c r="AC1101">
        <v>88</v>
      </c>
      <c r="AD1101">
        <v>61</v>
      </c>
      <c r="AE1101">
        <v>97</v>
      </c>
      <c r="AF1101">
        <v>-155.47999999999999</v>
      </c>
      <c r="AG1101">
        <v>2.94</v>
      </c>
      <c r="AH1101">
        <v>-1.3</v>
      </c>
      <c r="AI1101">
        <v>0.16</v>
      </c>
      <c r="AJ1101">
        <v>7.0000000000000007E-2</v>
      </c>
      <c r="AK1101">
        <v>79</v>
      </c>
      <c r="AL1101">
        <v>88</v>
      </c>
      <c r="AM1101">
        <v>65</v>
      </c>
      <c r="AN1101">
        <v>-2.4300000000000002</v>
      </c>
      <c r="AO1101">
        <v>3.42</v>
      </c>
      <c r="AP1101">
        <v>179</v>
      </c>
      <c r="AQ1101">
        <v>3</v>
      </c>
      <c r="AR1101">
        <v>3.01</v>
      </c>
      <c r="AS1101">
        <v>70</v>
      </c>
      <c r="AT1101">
        <v>1.84</v>
      </c>
      <c r="AU1101">
        <v>87</v>
      </c>
      <c r="AV1101">
        <v>-1.08</v>
      </c>
      <c r="AW1101">
        <v>96</v>
      </c>
      <c r="AX1101">
        <v>-0.38</v>
      </c>
      <c r="AY1101">
        <v>81</v>
      </c>
      <c r="AZ1101">
        <v>7.86</v>
      </c>
      <c r="BA1101">
        <v>66</v>
      </c>
      <c r="BB1101">
        <v>4.8899999999999997</v>
      </c>
      <c r="BC1101">
        <v>67</v>
      </c>
      <c r="BD1101">
        <v>-0.06</v>
      </c>
      <c r="BE1101">
        <v>-0.09</v>
      </c>
      <c r="BF1101">
        <v>-0.12</v>
      </c>
      <c r="BG1101">
        <v>89</v>
      </c>
      <c r="BH1101">
        <v>-0.02</v>
      </c>
      <c r="BI1101">
        <v>-5.49</v>
      </c>
      <c r="BJ1101">
        <v>19</v>
      </c>
      <c r="BK1101">
        <v>14</v>
      </c>
      <c r="BL1101">
        <v>-1.04</v>
      </c>
      <c r="BM1101">
        <v>-2.25</v>
      </c>
      <c r="BN1101">
        <v>-1.28</v>
      </c>
      <c r="BO1101">
        <v>-0.2</v>
      </c>
      <c r="BP1101">
        <v>-0.77</v>
      </c>
      <c r="BQ1101">
        <v>-1.57</v>
      </c>
      <c r="BR1101">
        <v>-0.56999999999999995</v>
      </c>
      <c r="BS1101">
        <v>2.02</v>
      </c>
      <c r="BT1101">
        <v>-0.01</v>
      </c>
      <c r="BU1101">
        <v>0.6</v>
      </c>
      <c r="BV1101">
        <v>1.1000000000000001</v>
      </c>
      <c r="BW1101">
        <v>0.48</v>
      </c>
      <c r="BX1101">
        <v>0.06</v>
      </c>
      <c r="BY1101">
        <v>0.37</v>
      </c>
      <c r="BZ1101">
        <v>-2.67</v>
      </c>
      <c r="CA1101">
        <v>0.67</v>
      </c>
      <c r="CB1101">
        <v>0.43</v>
      </c>
      <c r="CC1101">
        <v>0.81</v>
      </c>
      <c r="CD1101">
        <v>-1.63</v>
      </c>
      <c r="CE1101">
        <v>-0.43</v>
      </c>
      <c r="CF1101">
        <v>-2.91</v>
      </c>
      <c r="CG1101">
        <v>0</v>
      </c>
      <c r="CH1101">
        <v>0.06</v>
      </c>
      <c r="CI1101">
        <v>0</v>
      </c>
      <c r="CJ1101">
        <v>-5.6</v>
      </c>
      <c r="CK1101">
        <v>93</v>
      </c>
      <c r="CL1101">
        <v>-0.75</v>
      </c>
      <c r="CM1101">
        <v>91</v>
      </c>
      <c r="CN1101">
        <v>-0.38</v>
      </c>
      <c r="CO1101">
        <v>90</v>
      </c>
      <c r="CP1101">
        <v>-11</v>
      </c>
      <c r="CQ1101">
        <v>88</v>
      </c>
      <c r="CR1101">
        <v>0</v>
      </c>
      <c r="CS1101">
        <v>0</v>
      </c>
      <c r="CT1101">
        <v>-10.7</v>
      </c>
      <c r="CU1101">
        <v>83</v>
      </c>
      <c r="CV1101">
        <v>0.04</v>
      </c>
      <c r="CW1101">
        <v>44</v>
      </c>
      <c r="CX1101" t="s">
        <v>1420</v>
      </c>
    </row>
    <row r="1102" spans="1:102" x14ac:dyDescent="0.3">
      <c r="A1102" t="str">
        <f>HYPERLINK("https://webapp.icbf.com/v2/app/bull-search/view/1593003338","FR4427")</f>
        <v>FR4427</v>
      </c>
      <c r="B1102" t="s">
        <v>10300</v>
      </c>
      <c r="C1102" t="s">
        <v>10301</v>
      </c>
      <c r="D1102" s="1">
        <v>42778</v>
      </c>
      <c r="E1102" t="s">
        <v>108</v>
      </c>
      <c r="F1102">
        <v>0</v>
      </c>
      <c r="G1102" t="s">
        <v>435</v>
      </c>
      <c r="H1102">
        <v>135.72999999999999</v>
      </c>
      <c r="I1102">
        <v>56</v>
      </c>
      <c r="J1102">
        <v>-20.62</v>
      </c>
      <c r="K1102">
        <v>77</v>
      </c>
      <c r="L1102">
        <v>114.31</v>
      </c>
      <c r="M1102">
        <v>52</v>
      </c>
      <c r="N1102">
        <v>22.56</v>
      </c>
      <c r="O1102">
        <v>42</v>
      </c>
      <c r="P1102">
        <v>-18.559999999999999</v>
      </c>
      <c r="Q1102">
        <v>34</v>
      </c>
      <c r="R1102">
        <v>6.06</v>
      </c>
      <c r="S1102">
        <v>51</v>
      </c>
      <c r="T1102">
        <v>26.26</v>
      </c>
      <c r="U1102">
        <v>33</v>
      </c>
      <c r="V1102">
        <v>5.72</v>
      </c>
      <c r="W1102">
        <v>47</v>
      </c>
      <c r="X1102" t="s">
        <v>102</v>
      </c>
      <c r="Y1102" t="s">
        <v>2261</v>
      </c>
      <c r="Z1102" t="s">
        <v>96</v>
      </c>
      <c r="AA1102" t="s">
        <v>10302</v>
      </c>
      <c r="AB1102" t="s">
        <v>10303</v>
      </c>
      <c r="AC1102">
        <v>0</v>
      </c>
      <c r="AD1102">
        <v>0</v>
      </c>
      <c r="AE1102">
        <v>77</v>
      </c>
      <c r="AF1102">
        <v>-303.07</v>
      </c>
      <c r="AG1102">
        <v>-3.18</v>
      </c>
      <c r="AH1102">
        <v>-7.02</v>
      </c>
      <c r="AI1102">
        <v>0.15</v>
      </c>
      <c r="AJ1102">
        <v>0.06</v>
      </c>
      <c r="AK1102">
        <v>52</v>
      </c>
      <c r="AL1102">
        <v>0</v>
      </c>
      <c r="AM1102">
        <v>0</v>
      </c>
      <c r="AN1102">
        <v>-7.51</v>
      </c>
      <c r="AO1102">
        <v>1.59</v>
      </c>
      <c r="AP1102">
        <v>4</v>
      </c>
      <c r="AQ1102">
        <v>0</v>
      </c>
      <c r="AR1102">
        <v>4.75</v>
      </c>
      <c r="AS1102">
        <v>35</v>
      </c>
      <c r="AT1102">
        <v>2.02</v>
      </c>
      <c r="AU1102">
        <v>52</v>
      </c>
      <c r="AV1102">
        <v>-2.0499999999999998</v>
      </c>
      <c r="AW1102">
        <v>45</v>
      </c>
      <c r="AX1102">
        <v>-0.11</v>
      </c>
      <c r="AY1102">
        <v>35</v>
      </c>
      <c r="AZ1102">
        <v>7.75</v>
      </c>
      <c r="BA1102">
        <v>27</v>
      </c>
      <c r="BB1102">
        <v>6.21</v>
      </c>
      <c r="BC1102">
        <v>29</v>
      </c>
      <c r="BD1102">
        <v>0.04</v>
      </c>
      <c r="BE1102">
        <v>-0.04</v>
      </c>
      <c r="BF1102">
        <v>-0.13</v>
      </c>
      <c r="BG1102">
        <v>59</v>
      </c>
      <c r="BH1102">
        <v>0.04</v>
      </c>
      <c r="BI1102">
        <v>-13.83</v>
      </c>
      <c r="BJ1102">
        <v>0</v>
      </c>
      <c r="BK1102">
        <v>0</v>
      </c>
      <c r="BL1102">
        <v>-2.72</v>
      </c>
      <c r="BM1102">
        <v>-0.04</v>
      </c>
      <c r="BN1102">
        <v>-2.93</v>
      </c>
      <c r="BO1102">
        <v>-2.46</v>
      </c>
      <c r="BP1102">
        <v>-0.68</v>
      </c>
      <c r="BQ1102">
        <v>-0.64</v>
      </c>
      <c r="BR1102">
        <v>-1.51</v>
      </c>
      <c r="BS1102">
        <v>-0.4</v>
      </c>
      <c r="BT1102">
        <v>0.92</v>
      </c>
      <c r="BU1102">
        <v>-2.11</v>
      </c>
      <c r="BV1102">
        <v>-2.39</v>
      </c>
      <c r="BW1102">
        <v>-1.76</v>
      </c>
      <c r="BX1102">
        <v>-0.83</v>
      </c>
      <c r="BY1102">
        <v>-1.1100000000000001</v>
      </c>
      <c r="BZ1102">
        <v>-2.0299999999999998</v>
      </c>
      <c r="CA1102">
        <v>-1.93</v>
      </c>
      <c r="CB1102">
        <v>-2.23</v>
      </c>
      <c r="CC1102">
        <v>-0.65</v>
      </c>
      <c r="CD1102">
        <v>1.51</v>
      </c>
      <c r="CE1102">
        <v>-1.67</v>
      </c>
      <c r="CF1102">
        <v>-1.83</v>
      </c>
      <c r="CG1102">
        <v>0</v>
      </c>
      <c r="CH1102">
        <v>-0.75</v>
      </c>
      <c r="CI1102">
        <v>0</v>
      </c>
      <c r="CJ1102">
        <v>-8</v>
      </c>
      <c r="CK1102">
        <v>34</v>
      </c>
      <c r="CL1102">
        <v>-0.34</v>
      </c>
      <c r="CM1102">
        <v>34</v>
      </c>
      <c r="CN1102">
        <v>0.17</v>
      </c>
      <c r="CO1102">
        <v>34</v>
      </c>
      <c r="CP1102">
        <v>-13.5</v>
      </c>
      <c r="CQ1102">
        <v>33</v>
      </c>
      <c r="CR1102">
        <v>0</v>
      </c>
      <c r="CS1102">
        <v>0</v>
      </c>
      <c r="CT1102">
        <v>-21.7</v>
      </c>
      <c r="CU1102">
        <v>33</v>
      </c>
      <c r="CV1102">
        <v>7.0000000000000007E-2</v>
      </c>
      <c r="CW1102">
        <v>31</v>
      </c>
      <c r="CX1102" t="s">
        <v>10304</v>
      </c>
    </row>
    <row r="1103" spans="1:102" x14ac:dyDescent="0.3">
      <c r="A1103" t="str">
        <f>HYPERLINK("https://webapp.icbf.com/v2/app/bull-search/view/760395102","HDZ")</f>
        <v>HDZ</v>
      </c>
      <c r="B1103" t="s">
        <v>9088</v>
      </c>
      <c r="C1103" t="s">
        <v>9089</v>
      </c>
      <c r="D1103" s="1">
        <v>40045</v>
      </c>
      <c r="E1103" t="s">
        <v>227</v>
      </c>
      <c r="F1103">
        <v>31</v>
      </c>
      <c r="G1103" t="s">
        <v>93</v>
      </c>
      <c r="H1103">
        <v>135.66999999999999</v>
      </c>
      <c r="I1103">
        <v>86</v>
      </c>
      <c r="J1103">
        <v>61.05</v>
      </c>
      <c r="K1103">
        <v>96</v>
      </c>
      <c r="L1103">
        <v>48.04</v>
      </c>
      <c r="M1103">
        <v>79</v>
      </c>
      <c r="N1103">
        <v>21.44</v>
      </c>
      <c r="O1103">
        <v>84</v>
      </c>
      <c r="P1103">
        <v>-27.66</v>
      </c>
      <c r="Q1103">
        <v>90</v>
      </c>
      <c r="R1103">
        <v>-0.04</v>
      </c>
      <c r="S1103">
        <v>76</v>
      </c>
      <c r="T1103">
        <v>27.59</v>
      </c>
      <c r="U1103">
        <v>87</v>
      </c>
      <c r="V1103">
        <v>5.25</v>
      </c>
      <c r="W1103">
        <v>75</v>
      </c>
      <c r="X1103" t="s">
        <v>276</v>
      </c>
      <c r="Y1103" t="s">
        <v>329</v>
      </c>
      <c r="Z1103" t="s">
        <v>330</v>
      </c>
      <c r="AA1103" t="s">
        <v>2026</v>
      </c>
      <c r="AB1103" t="s">
        <v>144</v>
      </c>
      <c r="AC1103">
        <v>91</v>
      </c>
      <c r="AD1103">
        <v>48</v>
      </c>
      <c r="AE1103">
        <v>96</v>
      </c>
      <c r="AF1103">
        <v>-61.21</v>
      </c>
      <c r="AG1103">
        <v>11.86</v>
      </c>
      <c r="AH1103">
        <v>5.25</v>
      </c>
      <c r="AI1103">
        <v>0.25</v>
      </c>
      <c r="AJ1103">
        <v>0.13</v>
      </c>
      <c r="AK1103">
        <v>79</v>
      </c>
      <c r="AL1103">
        <v>104</v>
      </c>
      <c r="AM1103">
        <v>48</v>
      </c>
      <c r="AN1103">
        <v>-1.94</v>
      </c>
      <c r="AO1103">
        <v>1.9</v>
      </c>
      <c r="AP1103">
        <v>139</v>
      </c>
      <c r="AQ1103">
        <v>6</v>
      </c>
      <c r="AR1103">
        <v>3.95</v>
      </c>
      <c r="AS1103">
        <v>76</v>
      </c>
      <c r="AT1103">
        <v>1.93</v>
      </c>
      <c r="AU1103">
        <v>83</v>
      </c>
      <c r="AV1103">
        <v>-0.96</v>
      </c>
      <c r="AW1103">
        <v>96</v>
      </c>
      <c r="AX1103">
        <v>-0.46</v>
      </c>
      <c r="AY1103">
        <v>82</v>
      </c>
      <c r="AZ1103">
        <v>7.5</v>
      </c>
      <c r="BA1103">
        <v>64</v>
      </c>
      <c r="BB1103">
        <v>5.48</v>
      </c>
      <c r="BC1103">
        <v>61</v>
      </c>
      <c r="BD1103">
        <v>0</v>
      </c>
      <c r="BE1103">
        <v>-0.01</v>
      </c>
      <c r="BF1103">
        <v>0.02</v>
      </c>
      <c r="BG1103">
        <v>87</v>
      </c>
      <c r="BH1103">
        <v>0.12</v>
      </c>
      <c r="BI1103">
        <v>-3.07</v>
      </c>
      <c r="BJ1103">
        <v>1</v>
      </c>
      <c r="BK1103">
        <v>1</v>
      </c>
      <c r="BL1103">
        <v>-2.71</v>
      </c>
      <c r="BM1103">
        <v>-1.35</v>
      </c>
      <c r="BN1103">
        <v>-0.25</v>
      </c>
      <c r="BO1103">
        <v>0.59</v>
      </c>
      <c r="BP1103">
        <v>-0.98</v>
      </c>
      <c r="BQ1103">
        <v>-4</v>
      </c>
      <c r="BR1103">
        <v>2.4500000000000002</v>
      </c>
      <c r="BS1103">
        <v>3.65</v>
      </c>
      <c r="BT1103">
        <v>-0.84</v>
      </c>
      <c r="BU1103">
        <v>-0.83</v>
      </c>
      <c r="BV1103">
        <v>-0.16</v>
      </c>
      <c r="BW1103">
        <v>-1.55</v>
      </c>
      <c r="BX1103">
        <v>-2.67</v>
      </c>
      <c r="BY1103">
        <v>0.23</v>
      </c>
      <c r="BZ1103">
        <v>-0.26</v>
      </c>
      <c r="CA1103">
        <v>0.11</v>
      </c>
      <c r="CB1103">
        <v>-0.83</v>
      </c>
      <c r="CC1103">
        <v>2.1800000000000002</v>
      </c>
      <c r="CD1103">
        <v>-1.59</v>
      </c>
      <c r="CE1103">
        <v>0.21</v>
      </c>
      <c r="CF1103">
        <v>-2.93</v>
      </c>
      <c r="CG1103">
        <v>0</v>
      </c>
      <c r="CH1103">
        <v>-0.11</v>
      </c>
      <c r="CI1103">
        <v>0</v>
      </c>
      <c r="CJ1103">
        <v>-14.9</v>
      </c>
      <c r="CK1103">
        <v>92</v>
      </c>
      <c r="CL1103">
        <v>-0.76</v>
      </c>
      <c r="CM1103">
        <v>90</v>
      </c>
      <c r="CN1103">
        <v>-0.38</v>
      </c>
      <c r="CO1103">
        <v>89</v>
      </c>
      <c r="CP1103">
        <v>-24.7</v>
      </c>
      <c r="CQ1103">
        <v>81</v>
      </c>
      <c r="CR1103">
        <v>0</v>
      </c>
      <c r="CS1103">
        <v>0</v>
      </c>
      <c r="CT1103">
        <v>-23.5</v>
      </c>
      <c r="CU1103">
        <v>87</v>
      </c>
      <c r="CV1103">
        <v>-0.05</v>
      </c>
      <c r="CW1103">
        <v>45</v>
      </c>
      <c r="CX1103" t="s">
        <v>5620</v>
      </c>
    </row>
    <row r="1104" spans="1:102" x14ac:dyDescent="0.3">
      <c r="A1104" t="str">
        <f>HYPERLINK("https://webapp.icbf.com/v2/app/bull-search/view/1092511773","ZAP")</f>
        <v>ZAP</v>
      </c>
      <c r="B1104" t="s">
        <v>2487</v>
      </c>
      <c r="C1104" t="s">
        <v>2488</v>
      </c>
      <c r="D1104" s="1">
        <v>41127</v>
      </c>
      <c r="E1104" t="s">
        <v>92</v>
      </c>
      <c r="F1104">
        <v>84</v>
      </c>
      <c r="G1104" t="s">
        <v>93</v>
      </c>
      <c r="H1104">
        <v>135.52000000000001</v>
      </c>
      <c r="I1104">
        <v>78</v>
      </c>
      <c r="J1104">
        <v>114.27</v>
      </c>
      <c r="K1104">
        <v>92</v>
      </c>
      <c r="L1104">
        <v>-2.85</v>
      </c>
      <c r="M1104">
        <v>68</v>
      </c>
      <c r="N1104">
        <v>20.77</v>
      </c>
      <c r="O1104">
        <v>76</v>
      </c>
      <c r="P1104">
        <v>-19.29</v>
      </c>
      <c r="Q1104">
        <v>86</v>
      </c>
      <c r="R1104">
        <v>-1.7</v>
      </c>
      <c r="S1104">
        <v>63</v>
      </c>
      <c r="T1104">
        <v>18.12</v>
      </c>
      <c r="U1104">
        <v>72</v>
      </c>
      <c r="V1104">
        <v>6.2</v>
      </c>
      <c r="W1104">
        <v>57</v>
      </c>
      <c r="X1104" t="s">
        <v>94</v>
      </c>
      <c r="Y1104" t="s">
        <v>375</v>
      </c>
      <c r="Z1104" t="s">
        <v>330</v>
      </c>
      <c r="AA1104" t="s">
        <v>1831</v>
      </c>
      <c r="AB1104" t="s">
        <v>144</v>
      </c>
      <c r="AC1104">
        <v>55</v>
      </c>
      <c r="AD1104">
        <v>24</v>
      </c>
      <c r="AE1104">
        <v>92</v>
      </c>
      <c r="AF1104">
        <v>309.42</v>
      </c>
      <c r="AG1104">
        <v>19.079999999999998</v>
      </c>
      <c r="AH1104">
        <v>17.420000000000002</v>
      </c>
      <c r="AI1104">
        <v>0.11</v>
      </c>
      <c r="AJ1104">
        <v>0.11</v>
      </c>
      <c r="AK1104">
        <v>68</v>
      </c>
      <c r="AL1104">
        <v>73</v>
      </c>
      <c r="AM1104">
        <v>33</v>
      </c>
      <c r="AN1104">
        <v>0.74</v>
      </c>
      <c r="AO1104">
        <v>0.52</v>
      </c>
      <c r="AP1104">
        <v>148</v>
      </c>
      <c r="AQ1104">
        <v>0</v>
      </c>
      <c r="AR1104">
        <v>6.24</v>
      </c>
      <c r="AS1104">
        <v>55</v>
      </c>
      <c r="AT1104">
        <v>2.54</v>
      </c>
      <c r="AU1104">
        <v>78</v>
      </c>
      <c r="AV1104">
        <v>-2.14</v>
      </c>
      <c r="AW1104">
        <v>95</v>
      </c>
      <c r="AX1104">
        <v>1.22</v>
      </c>
      <c r="AY1104">
        <v>73</v>
      </c>
      <c r="AZ1104">
        <v>6.4</v>
      </c>
      <c r="BA1104">
        <v>49</v>
      </c>
      <c r="BB1104">
        <v>5.24</v>
      </c>
      <c r="BC1104">
        <v>37</v>
      </c>
      <c r="BD1104">
        <v>-0.03</v>
      </c>
      <c r="BE1104">
        <v>0.01</v>
      </c>
      <c r="BF1104">
        <v>7.0000000000000007E-2</v>
      </c>
      <c r="BG1104">
        <v>79</v>
      </c>
      <c r="BH1104">
        <v>0.2</v>
      </c>
      <c r="BI1104">
        <v>3.15</v>
      </c>
      <c r="BJ1104">
        <v>0</v>
      </c>
      <c r="BK1104">
        <v>0</v>
      </c>
      <c r="BL1104">
        <v>-2.2799999999999998</v>
      </c>
      <c r="BM1104">
        <v>1.03</v>
      </c>
      <c r="BN1104">
        <v>-0.17</v>
      </c>
      <c r="BO1104">
        <v>0</v>
      </c>
      <c r="BP1104">
        <v>-0.23</v>
      </c>
      <c r="BQ1104">
        <v>-2.33</v>
      </c>
      <c r="BR1104">
        <v>0.99</v>
      </c>
      <c r="BS1104">
        <v>0</v>
      </c>
      <c r="BT1104">
        <v>0</v>
      </c>
      <c r="BU1104">
        <v>-0.35</v>
      </c>
      <c r="BV1104">
        <v>-0.97</v>
      </c>
      <c r="BW1104">
        <v>-1.17</v>
      </c>
      <c r="BX1104">
        <v>0</v>
      </c>
      <c r="BY1104">
        <v>-0.2</v>
      </c>
      <c r="BZ1104">
        <v>0</v>
      </c>
      <c r="CA1104">
        <v>-0.91</v>
      </c>
      <c r="CB1104">
        <v>-0.77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-11.2</v>
      </c>
      <c r="CK1104">
        <v>89</v>
      </c>
      <c r="CL1104">
        <v>-0.63</v>
      </c>
      <c r="CM1104">
        <v>86</v>
      </c>
      <c r="CN1104">
        <v>-0.41</v>
      </c>
      <c r="CO1104">
        <v>84</v>
      </c>
      <c r="CP1104">
        <v>-14.2</v>
      </c>
      <c r="CQ1104">
        <v>69</v>
      </c>
      <c r="CR1104">
        <v>0</v>
      </c>
      <c r="CS1104">
        <v>0</v>
      </c>
      <c r="CT1104">
        <v>-10.7</v>
      </c>
      <c r="CU1104">
        <v>72</v>
      </c>
      <c r="CV1104">
        <v>0.02</v>
      </c>
      <c r="CW1104">
        <v>25</v>
      </c>
      <c r="CX1104" t="s">
        <v>331</v>
      </c>
    </row>
    <row r="1105" spans="1:102" x14ac:dyDescent="0.3">
      <c r="A1105" t="str">
        <f>HYPERLINK("https://webapp.icbf.com/v2/app/bull-search/view/1231268035","S3167")</f>
        <v>S3167</v>
      </c>
      <c r="B1105" t="s">
        <v>9773</v>
      </c>
      <c r="C1105" t="s">
        <v>9774</v>
      </c>
      <c r="D1105" s="1">
        <v>40536</v>
      </c>
      <c r="E1105" t="s">
        <v>227</v>
      </c>
      <c r="F1105">
        <v>0</v>
      </c>
      <c r="G1105" t="s">
        <v>109</v>
      </c>
      <c r="H1105">
        <v>135.44</v>
      </c>
      <c r="I1105">
        <v>63</v>
      </c>
      <c r="J1105">
        <v>33.99</v>
      </c>
      <c r="K1105">
        <v>83</v>
      </c>
      <c r="L1105">
        <v>82.81</v>
      </c>
      <c r="M1105">
        <v>65</v>
      </c>
      <c r="N1105">
        <v>1.74</v>
      </c>
      <c r="O1105">
        <v>38</v>
      </c>
      <c r="P1105">
        <v>-56.87</v>
      </c>
      <c r="Q1105">
        <v>35</v>
      </c>
      <c r="R1105">
        <v>6.19</v>
      </c>
      <c r="S1105">
        <v>53</v>
      </c>
      <c r="T1105">
        <v>64.069999999999993</v>
      </c>
      <c r="U1105">
        <v>37</v>
      </c>
      <c r="V1105">
        <v>3.51</v>
      </c>
      <c r="W1105">
        <v>52</v>
      </c>
      <c r="X1105" t="s">
        <v>110</v>
      </c>
      <c r="Y1105" t="s">
        <v>453</v>
      </c>
      <c r="Z1105">
        <v>0</v>
      </c>
      <c r="AA1105" t="s">
        <v>9775</v>
      </c>
      <c r="AB1105" t="s">
        <v>144</v>
      </c>
      <c r="AC1105">
        <v>0</v>
      </c>
      <c r="AD1105">
        <v>0</v>
      </c>
      <c r="AE1105">
        <v>83</v>
      </c>
      <c r="AF1105">
        <v>-615.25</v>
      </c>
      <c r="AG1105">
        <v>12.22</v>
      </c>
      <c r="AH1105">
        <v>-7.96</v>
      </c>
      <c r="AI1105">
        <v>0.7</v>
      </c>
      <c r="AJ1105">
        <v>0.25</v>
      </c>
      <c r="AK1105">
        <v>65</v>
      </c>
      <c r="AL1105">
        <v>0</v>
      </c>
      <c r="AM1105">
        <v>0</v>
      </c>
      <c r="AN1105">
        <v>-2.52</v>
      </c>
      <c r="AO1105">
        <v>4.1100000000000003</v>
      </c>
      <c r="AP1105">
        <v>1</v>
      </c>
      <c r="AQ1105">
        <v>0</v>
      </c>
      <c r="AR1105">
        <v>3.29</v>
      </c>
      <c r="AS1105">
        <v>38</v>
      </c>
      <c r="AT1105">
        <v>1.93</v>
      </c>
      <c r="AU1105">
        <v>44</v>
      </c>
      <c r="AV1105">
        <v>0.37</v>
      </c>
      <c r="AW1105">
        <v>38</v>
      </c>
      <c r="AX1105">
        <v>4.53</v>
      </c>
      <c r="AY1105">
        <v>33</v>
      </c>
      <c r="AZ1105">
        <v>6.83</v>
      </c>
      <c r="BA1105">
        <v>33</v>
      </c>
      <c r="BB1105">
        <v>5.18</v>
      </c>
      <c r="BC1105">
        <v>33</v>
      </c>
      <c r="BD1105">
        <v>-0.08</v>
      </c>
      <c r="BE1105">
        <v>-0.01</v>
      </c>
      <c r="BF1105">
        <v>0.01</v>
      </c>
      <c r="BG1105">
        <v>58</v>
      </c>
      <c r="BH1105">
        <v>0.12</v>
      </c>
      <c r="BI1105">
        <v>2.56</v>
      </c>
      <c r="BJ1105">
        <v>0</v>
      </c>
      <c r="BK1105">
        <v>0</v>
      </c>
      <c r="BL1105">
        <v>-1.61</v>
      </c>
      <c r="BM1105">
        <v>-1.93</v>
      </c>
      <c r="BN1105">
        <v>-0.47</v>
      </c>
      <c r="BO1105">
        <v>1.34</v>
      </c>
      <c r="BP1105">
        <v>-0.19</v>
      </c>
      <c r="BQ1105">
        <v>-5.53</v>
      </c>
      <c r="BR1105">
        <v>2.25</v>
      </c>
      <c r="BS1105">
        <v>6.53</v>
      </c>
      <c r="BT1105">
        <v>-1.19</v>
      </c>
      <c r="BU1105">
        <v>0.6</v>
      </c>
      <c r="BV1105">
        <v>0.63</v>
      </c>
      <c r="BW1105">
        <v>-1.3</v>
      </c>
      <c r="BX1105">
        <v>-2.17</v>
      </c>
      <c r="BY1105">
        <v>0.36</v>
      </c>
      <c r="BZ1105">
        <v>-0.53</v>
      </c>
      <c r="CA1105">
        <v>2.13</v>
      </c>
      <c r="CB1105">
        <v>0.63</v>
      </c>
      <c r="CC1105">
        <v>4.22</v>
      </c>
      <c r="CD1105">
        <v>-2.2799999999999998</v>
      </c>
      <c r="CE1105">
        <v>1.3</v>
      </c>
      <c r="CF1105">
        <v>-1.72</v>
      </c>
      <c r="CG1105">
        <v>0</v>
      </c>
      <c r="CH1105">
        <v>-0.61</v>
      </c>
      <c r="CI1105">
        <v>0</v>
      </c>
      <c r="CJ1105">
        <v>-29.3</v>
      </c>
      <c r="CK1105">
        <v>36</v>
      </c>
      <c r="CL1105">
        <v>-1.01</v>
      </c>
      <c r="CM1105">
        <v>32</v>
      </c>
      <c r="CN1105">
        <v>-0.1</v>
      </c>
      <c r="CO1105">
        <v>33</v>
      </c>
      <c r="CP1105">
        <v>-47.9</v>
      </c>
      <c r="CQ1105">
        <v>35</v>
      </c>
      <c r="CR1105">
        <v>0</v>
      </c>
      <c r="CS1105">
        <v>0</v>
      </c>
      <c r="CT1105">
        <v>-72.8</v>
      </c>
      <c r="CU1105">
        <v>37</v>
      </c>
      <c r="CV1105">
        <v>-0.32</v>
      </c>
      <c r="CW1105">
        <v>32</v>
      </c>
      <c r="CX1105" t="s">
        <v>9776</v>
      </c>
    </row>
    <row r="1106" spans="1:102" x14ac:dyDescent="0.3">
      <c r="A1106" t="str">
        <f>HYPERLINK("https://webapp.icbf.com/v2/app/bull-search/view/586149406","GGF")</f>
        <v>GGF</v>
      </c>
      <c r="B1106" t="s">
        <v>6976</v>
      </c>
      <c r="C1106" t="s">
        <v>6977</v>
      </c>
      <c r="D1106" s="1">
        <v>39198</v>
      </c>
      <c r="E1106" t="s">
        <v>92</v>
      </c>
      <c r="F1106">
        <v>56</v>
      </c>
      <c r="G1106" t="s">
        <v>93</v>
      </c>
      <c r="H1106">
        <v>135.43</v>
      </c>
      <c r="I1106">
        <v>87</v>
      </c>
      <c r="J1106">
        <v>90.59</v>
      </c>
      <c r="K1106">
        <v>96</v>
      </c>
      <c r="L1106">
        <v>10.4</v>
      </c>
      <c r="M1106">
        <v>82</v>
      </c>
      <c r="N1106">
        <v>25.02</v>
      </c>
      <c r="O1106">
        <v>84</v>
      </c>
      <c r="P1106">
        <v>-25.02</v>
      </c>
      <c r="Q1106">
        <v>91</v>
      </c>
      <c r="R1106">
        <v>5.81</v>
      </c>
      <c r="S1106">
        <v>74</v>
      </c>
      <c r="T1106">
        <v>21.6</v>
      </c>
      <c r="U1106">
        <v>84</v>
      </c>
      <c r="V1106">
        <v>7.03</v>
      </c>
      <c r="W1106">
        <v>72</v>
      </c>
      <c r="X1106" t="s">
        <v>276</v>
      </c>
      <c r="Y1106" t="s">
        <v>228</v>
      </c>
      <c r="Z1106" t="s">
        <v>330</v>
      </c>
      <c r="AA1106" t="s">
        <v>6978</v>
      </c>
      <c r="AB1106" t="s">
        <v>144</v>
      </c>
      <c r="AC1106">
        <v>78</v>
      </c>
      <c r="AD1106">
        <v>30</v>
      </c>
      <c r="AE1106">
        <v>96</v>
      </c>
      <c r="AF1106">
        <v>273.85000000000002</v>
      </c>
      <c r="AG1106">
        <v>15.94</v>
      </c>
      <c r="AH1106">
        <v>13.96</v>
      </c>
      <c r="AI1106">
        <v>0.09</v>
      </c>
      <c r="AJ1106">
        <v>0.08</v>
      </c>
      <c r="AK1106">
        <v>82</v>
      </c>
      <c r="AL1106">
        <v>139</v>
      </c>
      <c r="AM1106">
        <v>44</v>
      </c>
      <c r="AN1106">
        <v>0.26</v>
      </c>
      <c r="AO1106">
        <v>1.1000000000000001</v>
      </c>
      <c r="AP1106">
        <v>152</v>
      </c>
      <c r="AQ1106">
        <v>4</v>
      </c>
      <c r="AR1106">
        <v>5.26</v>
      </c>
      <c r="AS1106">
        <v>67</v>
      </c>
      <c r="AT1106">
        <v>2.2400000000000002</v>
      </c>
      <c r="AU1106">
        <v>85</v>
      </c>
      <c r="AV1106">
        <v>-2.58</v>
      </c>
      <c r="AW1106">
        <v>96</v>
      </c>
      <c r="AX1106">
        <v>-0.2</v>
      </c>
      <c r="AY1106">
        <v>83</v>
      </c>
      <c r="AZ1106">
        <v>7.62</v>
      </c>
      <c r="BA1106">
        <v>63</v>
      </c>
      <c r="BB1106">
        <v>6.18</v>
      </c>
      <c r="BC1106">
        <v>58</v>
      </c>
      <c r="BD1106">
        <v>-0.01</v>
      </c>
      <c r="BE1106">
        <v>-0.03</v>
      </c>
      <c r="BF1106">
        <v>-0.06</v>
      </c>
      <c r="BG1106">
        <v>85</v>
      </c>
      <c r="BH1106">
        <v>0.03</v>
      </c>
      <c r="BI1106">
        <v>-19.22</v>
      </c>
      <c r="BJ1106">
        <v>1</v>
      </c>
      <c r="BK1106">
        <v>1</v>
      </c>
      <c r="BL1106">
        <v>-1.54</v>
      </c>
      <c r="BM1106">
        <v>0.83</v>
      </c>
      <c r="BN1106">
        <v>-0.28999999999999998</v>
      </c>
      <c r="BO1106">
        <v>-0.54</v>
      </c>
      <c r="BP1106">
        <v>0.72</v>
      </c>
      <c r="BQ1106">
        <v>-2.37</v>
      </c>
      <c r="BR1106">
        <v>1.4</v>
      </c>
      <c r="BS1106">
        <v>-1.35</v>
      </c>
      <c r="BT1106">
        <v>-2.74</v>
      </c>
      <c r="BU1106">
        <v>-1.71</v>
      </c>
      <c r="BV1106">
        <v>-1.66</v>
      </c>
      <c r="BW1106">
        <v>-2.33</v>
      </c>
      <c r="BX1106">
        <v>-2.34</v>
      </c>
      <c r="BY1106">
        <v>-2.2999999999999998</v>
      </c>
      <c r="BZ1106">
        <v>-0.55000000000000004</v>
      </c>
      <c r="CA1106">
        <v>-1.52</v>
      </c>
      <c r="CB1106">
        <v>-1.82</v>
      </c>
      <c r="CC1106">
        <v>-2.0699999999999998</v>
      </c>
      <c r="CD1106">
        <v>-0.05</v>
      </c>
      <c r="CE1106">
        <v>-0.28999999999999998</v>
      </c>
      <c r="CF1106">
        <v>-1.78</v>
      </c>
      <c r="CG1106">
        <v>0</v>
      </c>
      <c r="CH1106">
        <v>-2.4300000000000002</v>
      </c>
      <c r="CI1106">
        <v>0</v>
      </c>
      <c r="CJ1106">
        <v>-13.4</v>
      </c>
      <c r="CK1106">
        <v>93</v>
      </c>
      <c r="CL1106">
        <v>-0.59</v>
      </c>
      <c r="CM1106">
        <v>91</v>
      </c>
      <c r="CN1106">
        <v>-0.18</v>
      </c>
      <c r="CO1106">
        <v>89</v>
      </c>
      <c r="CP1106">
        <v>-17</v>
      </c>
      <c r="CQ1106">
        <v>84</v>
      </c>
      <c r="CR1106">
        <v>0</v>
      </c>
      <c r="CS1106">
        <v>0</v>
      </c>
      <c r="CT1106">
        <v>-15.4</v>
      </c>
      <c r="CU1106">
        <v>84</v>
      </c>
      <c r="CV1106">
        <v>0.01</v>
      </c>
      <c r="CW1106">
        <v>45</v>
      </c>
      <c r="CX1106" t="s">
        <v>1257</v>
      </c>
    </row>
    <row r="1107" spans="1:102" x14ac:dyDescent="0.3">
      <c r="A1107" t="str">
        <f>HYPERLINK("https://webapp.icbf.com/v2/app/bull-search/view/117881730","DDY")</f>
        <v>DDY</v>
      </c>
      <c r="B1107" t="s">
        <v>15056</v>
      </c>
      <c r="C1107" t="s">
        <v>2018</v>
      </c>
      <c r="D1107" s="1">
        <v>37295</v>
      </c>
      <c r="E1107" t="s">
        <v>108</v>
      </c>
      <c r="F1107">
        <v>0</v>
      </c>
      <c r="G1107" t="s">
        <v>93</v>
      </c>
      <c r="H1107">
        <v>135.41</v>
      </c>
      <c r="I1107">
        <v>96</v>
      </c>
      <c r="J1107">
        <v>-21.73</v>
      </c>
      <c r="K1107">
        <v>99</v>
      </c>
      <c r="L1107">
        <v>96.72</v>
      </c>
      <c r="M1107">
        <v>92</v>
      </c>
      <c r="N1107">
        <v>44.97</v>
      </c>
      <c r="O1107">
        <v>96</v>
      </c>
      <c r="P1107">
        <v>-18.190000000000001</v>
      </c>
      <c r="Q1107">
        <v>99</v>
      </c>
      <c r="R1107">
        <v>10.42</v>
      </c>
      <c r="S1107">
        <v>93</v>
      </c>
      <c r="T1107">
        <v>19.3</v>
      </c>
      <c r="U1107">
        <v>99</v>
      </c>
      <c r="V1107">
        <v>3.92</v>
      </c>
      <c r="W1107">
        <v>95</v>
      </c>
      <c r="X1107" t="s">
        <v>94</v>
      </c>
      <c r="Y1107" t="s">
        <v>95</v>
      </c>
      <c r="Z1107" t="s">
        <v>96</v>
      </c>
      <c r="AA1107" t="s">
        <v>4265</v>
      </c>
      <c r="AB1107" t="s">
        <v>15057</v>
      </c>
      <c r="AC1107">
        <v>483</v>
      </c>
      <c r="AD1107">
        <v>256</v>
      </c>
      <c r="AE1107">
        <v>99</v>
      </c>
      <c r="AF1107">
        <v>-133.57</v>
      </c>
      <c r="AG1107">
        <v>-4.92</v>
      </c>
      <c r="AH1107">
        <v>-4</v>
      </c>
      <c r="AI1107">
        <v>0.01</v>
      </c>
      <c r="AJ1107">
        <v>0.01</v>
      </c>
      <c r="AK1107">
        <v>92</v>
      </c>
      <c r="AL1107">
        <v>859</v>
      </c>
      <c r="AM1107">
        <v>477</v>
      </c>
      <c r="AN1107">
        <v>-5.52</v>
      </c>
      <c r="AO1107">
        <v>2.19</v>
      </c>
      <c r="AP1107">
        <v>988</v>
      </c>
      <c r="AQ1107">
        <v>20</v>
      </c>
      <c r="AR1107">
        <v>4.6500000000000004</v>
      </c>
      <c r="AS1107">
        <v>94</v>
      </c>
      <c r="AT1107">
        <v>2.0099999999999998</v>
      </c>
      <c r="AU1107">
        <v>97</v>
      </c>
      <c r="AV1107">
        <v>-3.69</v>
      </c>
      <c r="AW1107">
        <v>99</v>
      </c>
      <c r="AX1107">
        <v>-0.69</v>
      </c>
      <c r="AY1107">
        <v>97</v>
      </c>
      <c r="AZ1107">
        <v>6.1</v>
      </c>
      <c r="BA1107">
        <v>89</v>
      </c>
      <c r="BB1107">
        <v>5.31</v>
      </c>
      <c r="BC1107">
        <v>92</v>
      </c>
      <c r="BD1107">
        <v>-0.04</v>
      </c>
      <c r="BE1107">
        <v>-7.0000000000000007E-2</v>
      </c>
      <c r="BF1107">
        <v>-0.04</v>
      </c>
      <c r="BG1107">
        <v>97</v>
      </c>
      <c r="BH1107">
        <v>-7.0000000000000007E-2</v>
      </c>
      <c r="BI1107">
        <v>-20.75</v>
      </c>
      <c r="BJ1107">
        <v>45</v>
      </c>
      <c r="BK1107">
        <v>28</v>
      </c>
      <c r="BL1107">
        <v>-2.62</v>
      </c>
      <c r="BM1107">
        <v>1.82</v>
      </c>
      <c r="BN1107">
        <v>-2.4900000000000002</v>
      </c>
      <c r="BO1107">
        <v>-2.83</v>
      </c>
      <c r="BP1107">
        <v>-1.49</v>
      </c>
      <c r="BQ1107">
        <v>2.38</v>
      </c>
      <c r="BR1107">
        <v>-1.33</v>
      </c>
      <c r="BS1107">
        <v>-2.4</v>
      </c>
      <c r="BT1107">
        <v>0.8</v>
      </c>
      <c r="BU1107">
        <v>-3.5</v>
      </c>
      <c r="BV1107">
        <v>-2.75</v>
      </c>
      <c r="BW1107">
        <v>-2.85</v>
      </c>
      <c r="BX1107">
        <v>-1.65</v>
      </c>
      <c r="BY1107">
        <v>-3.46</v>
      </c>
      <c r="BZ1107">
        <v>-1.25</v>
      </c>
      <c r="CA1107">
        <v>-3.14</v>
      </c>
      <c r="CB1107">
        <v>-3.37</v>
      </c>
      <c r="CC1107">
        <v>-1.35</v>
      </c>
      <c r="CD1107">
        <v>2.57</v>
      </c>
      <c r="CE1107">
        <v>-2.83</v>
      </c>
      <c r="CF1107">
        <v>-1.9</v>
      </c>
      <c r="CG1107">
        <v>0</v>
      </c>
      <c r="CH1107">
        <v>-3.49</v>
      </c>
      <c r="CI1107">
        <v>0</v>
      </c>
      <c r="CJ1107">
        <v>-8.1999999999999993</v>
      </c>
      <c r="CK1107">
        <v>99</v>
      </c>
      <c r="CL1107">
        <v>-0.37</v>
      </c>
      <c r="CM1107">
        <v>99</v>
      </c>
      <c r="CN1107">
        <v>0.08</v>
      </c>
      <c r="CO1107">
        <v>99</v>
      </c>
      <c r="CP1107">
        <v>-14.1</v>
      </c>
      <c r="CQ1107">
        <v>98</v>
      </c>
      <c r="CR1107">
        <v>0</v>
      </c>
      <c r="CS1107">
        <v>0</v>
      </c>
      <c r="CT1107">
        <v>-12.3</v>
      </c>
      <c r="CU1107">
        <v>99</v>
      </c>
      <c r="CV1107">
        <v>7.0000000000000007E-2</v>
      </c>
      <c r="CW1107">
        <v>46</v>
      </c>
      <c r="CX1107" t="s">
        <v>15058</v>
      </c>
    </row>
    <row r="1108" spans="1:102" x14ac:dyDescent="0.3">
      <c r="A1108" t="str">
        <f>HYPERLINK("https://webapp.icbf.com/v2/app/bull-search/view/596276520","S1179")</f>
        <v>S1179</v>
      </c>
      <c r="B1108" t="s">
        <v>14747</v>
      </c>
      <c r="C1108" t="s">
        <v>14748</v>
      </c>
      <c r="D1108" s="1">
        <v>37638</v>
      </c>
      <c r="E1108" t="s">
        <v>210</v>
      </c>
      <c r="F1108">
        <v>0</v>
      </c>
      <c r="G1108" t="s">
        <v>109</v>
      </c>
      <c r="H1108">
        <v>135.36000000000001</v>
      </c>
      <c r="I1108">
        <v>58</v>
      </c>
      <c r="J1108">
        <v>22.8</v>
      </c>
      <c r="K1108">
        <v>77</v>
      </c>
      <c r="L1108">
        <v>58.11</v>
      </c>
      <c r="M1108">
        <v>67</v>
      </c>
      <c r="N1108">
        <v>21.06</v>
      </c>
      <c r="O1108">
        <v>54</v>
      </c>
      <c r="P1108">
        <v>10.98</v>
      </c>
      <c r="Q1108">
        <v>43</v>
      </c>
      <c r="R1108">
        <v>7.41</v>
      </c>
      <c r="S1108">
        <v>17</v>
      </c>
      <c r="T1108">
        <v>17.53</v>
      </c>
      <c r="U1108">
        <v>13</v>
      </c>
      <c r="V1108">
        <v>-2.5299999999999998</v>
      </c>
      <c r="W1108">
        <v>3</v>
      </c>
      <c r="X1108" t="s">
        <v>251</v>
      </c>
      <c r="Y1108" t="s">
        <v>336</v>
      </c>
      <c r="Z1108">
        <v>0</v>
      </c>
      <c r="AA1108" t="s">
        <v>14749</v>
      </c>
      <c r="AB1108" t="s">
        <v>14750</v>
      </c>
      <c r="AC1108">
        <v>0</v>
      </c>
      <c r="AD1108">
        <v>0</v>
      </c>
      <c r="AE1108">
        <v>77</v>
      </c>
      <c r="AF1108">
        <v>-68.319999999999993</v>
      </c>
      <c r="AG1108">
        <v>4.05</v>
      </c>
      <c r="AH1108">
        <v>1.4</v>
      </c>
      <c r="AI1108">
        <v>0.11</v>
      </c>
      <c r="AJ1108">
        <v>0.06</v>
      </c>
      <c r="AK1108">
        <v>67</v>
      </c>
      <c r="AL1108">
        <v>0</v>
      </c>
      <c r="AM1108">
        <v>0</v>
      </c>
      <c r="AN1108">
        <v>-2.7</v>
      </c>
      <c r="AO1108">
        <v>1.94</v>
      </c>
      <c r="AP1108">
        <v>22</v>
      </c>
      <c r="AQ1108">
        <v>0</v>
      </c>
      <c r="AR1108">
        <v>4.8</v>
      </c>
      <c r="AS1108">
        <v>15</v>
      </c>
      <c r="AT1108">
        <v>2.11</v>
      </c>
      <c r="AU1108">
        <v>78</v>
      </c>
      <c r="AV1108">
        <v>-0.73</v>
      </c>
      <c r="AW1108">
        <v>71</v>
      </c>
      <c r="AX1108">
        <v>0.34</v>
      </c>
      <c r="AY1108">
        <v>25</v>
      </c>
      <c r="AZ1108">
        <v>5.97</v>
      </c>
      <c r="BA1108">
        <v>12</v>
      </c>
      <c r="BB1108">
        <v>4.71</v>
      </c>
      <c r="BC1108">
        <v>8</v>
      </c>
      <c r="BD1108">
        <v>-0.02</v>
      </c>
      <c r="BE1108">
        <v>-0.03</v>
      </c>
      <c r="BF1108">
        <v>-0.08</v>
      </c>
      <c r="BG1108">
        <v>19</v>
      </c>
      <c r="BH1108">
        <v>-0.08</v>
      </c>
      <c r="BI1108">
        <v>-1.0900000000000001</v>
      </c>
      <c r="BJ1108">
        <v>0</v>
      </c>
      <c r="BK1108">
        <v>0</v>
      </c>
      <c r="BL1108">
        <v>-0.9</v>
      </c>
      <c r="BM1108">
        <v>0.57999999999999996</v>
      </c>
      <c r="BN1108">
        <v>-0.89</v>
      </c>
      <c r="BO1108">
        <v>-1.03</v>
      </c>
      <c r="BP1108">
        <v>0.4</v>
      </c>
      <c r="BQ1108">
        <v>-0.26</v>
      </c>
      <c r="BR1108">
        <v>0.23</v>
      </c>
      <c r="BS1108">
        <v>0.01</v>
      </c>
      <c r="BT1108">
        <v>-0.24</v>
      </c>
      <c r="BU1108">
        <v>-0.71</v>
      </c>
      <c r="BV1108">
        <v>-1.46</v>
      </c>
      <c r="BW1108">
        <v>-1.1100000000000001</v>
      </c>
      <c r="BX1108">
        <v>-0.39</v>
      </c>
      <c r="BY1108">
        <v>-0.82</v>
      </c>
      <c r="BZ1108">
        <v>-0.34</v>
      </c>
      <c r="CA1108">
        <v>-1</v>
      </c>
      <c r="CB1108">
        <v>-1.1200000000000001</v>
      </c>
      <c r="CC1108">
        <v>-0.41</v>
      </c>
      <c r="CD1108">
        <v>0.87</v>
      </c>
      <c r="CE1108">
        <v>-1.05</v>
      </c>
      <c r="CF1108">
        <v>-0.93</v>
      </c>
      <c r="CG1108">
        <v>0</v>
      </c>
      <c r="CH1108">
        <v>-0.82</v>
      </c>
      <c r="CI1108">
        <v>0</v>
      </c>
      <c r="CJ1108">
        <v>6.8</v>
      </c>
      <c r="CK1108">
        <v>48</v>
      </c>
      <c r="CL1108">
        <v>0.13</v>
      </c>
      <c r="CM1108">
        <v>42</v>
      </c>
      <c r="CN1108">
        <v>-7.0000000000000007E-2</v>
      </c>
      <c r="CO1108">
        <v>40</v>
      </c>
      <c r="CP1108">
        <v>-3.8</v>
      </c>
      <c r="CQ1108">
        <v>18</v>
      </c>
      <c r="CR1108">
        <v>0</v>
      </c>
      <c r="CS1108">
        <v>0</v>
      </c>
      <c r="CT1108">
        <v>-9.9</v>
      </c>
      <c r="CU1108">
        <v>13</v>
      </c>
      <c r="CV1108">
        <v>-0.01</v>
      </c>
      <c r="CW1108">
        <v>12</v>
      </c>
      <c r="CX1108" t="s">
        <v>12681</v>
      </c>
    </row>
    <row r="1109" spans="1:102" x14ac:dyDescent="0.3">
      <c r="A1109" t="str">
        <f>HYPERLINK("https://webapp.icbf.com/v2/app/bull-search/view/396501811","EWR")</f>
        <v>EWR</v>
      </c>
      <c r="B1109" t="s">
        <v>6680</v>
      </c>
      <c r="C1109" t="s">
        <v>6681</v>
      </c>
      <c r="D1109" s="1">
        <v>38391</v>
      </c>
      <c r="E1109" t="s">
        <v>92</v>
      </c>
      <c r="F1109">
        <v>100</v>
      </c>
      <c r="G1109" t="s">
        <v>93</v>
      </c>
      <c r="H1109">
        <v>135.34</v>
      </c>
      <c r="I1109">
        <v>89</v>
      </c>
      <c r="J1109">
        <v>28.03</v>
      </c>
      <c r="K1109">
        <v>97</v>
      </c>
      <c r="L1109">
        <v>57.14</v>
      </c>
      <c r="M1109">
        <v>83</v>
      </c>
      <c r="N1109">
        <v>43.41</v>
      </c>
      <c r="O1109">
        <v>87</v>
      </c>
      <c r="P1109">
        <v>3.37</v>
      </c>
      <c r="Q1109">
        <v>92</v>
      </c>
      <c r="R1109">
        <v>1.94</v>
      </c>
      <c r="S1109">
        <v>85</v>
      </c>
      <c r="T1109">
        <v>-2.97</v>
      </c>
      <c r="U1109">
        <v>87</v>
      </c>
      <c r="V1109">
        <v>4.42</v>
      </c>
      <c r="W1109">
        <v>83</v>
      </c>
      <c r="X1109" t="s">
        <v>94</v>
      </c>
      <c r="Y1109" t="s">
        <v>1164</v>
      </c>
      <c r="Z1109" t="s">
        <v>96</v>
      </c>
      <c r="AA1109" t="s">
        <v>1165</v>
      </c>
      <c r="AB1109" t="s">
        <v>6682</v>
      </c>
      <c r="AC1109">
        <v>83</v>
      </c>
      <c r="AD1109">
        <v>60</v>
      </c>
      <c r="AE1109">
        <v>97</v>
      </c>
      <c r="AF1109">
        <v>-59.26</v>
      </c>
      <c r="AG1109">
        <v>5.4</v>
      </c>
      <c r="AH1109">
        <v>1.95</v>
      </c>
      <c r="AI1109">
        <v>0.14000000000000001</v>
      </c>
      <c r="AJ1109">
        <v>7.0000000000000007E-2</v>
      </c>
      <c r="AK1109">
        <v>83</v>
      </c>
      <c r="AL1109">
        <v>78</v>
      </c>
      <c r="AM1109">
        <v>56</v>
      </c>
      <c r="AN1109">
        <v>-4.42</v>
      </c>
      <c r="AO1109">
        <v>0.12</v>
      </c>
      <c r="AP1109">
        <v>170</v>
      </c>
      <c r="AQ1109">
        <v>1</v>
      </c>
      <c r="AR1109">
        <v>3.66</v>
      </c>
      <c r="AS1109">
        <v>79</v>
      </c>
      <c r="AT1109">
        <v>1.54</v>
      </c>
      <c r="AU1109">
        <v>88</v>
      </c>
      <c r="AV1109">
        <v>-2.97</v>
      </c>
      <c r="AW1109">
        <v>95</v>
      </c>
      <c r="AX1109">
        <v>-0.84</v>
      </c>
      <c r="AY1109">
        <v>81</v>
      </c>
      <c r="AZ1109">
        <v>6.42</v>
      </c>
      <c r="BA1109">
        <v>69</v>
      </c>
      <c r="BB1109">
        <v>5.33</v>
      </c>
      <c r="BC1109">
        <v>71</v>
      </c>
      <c r="BD1109">
        <v>-0.04</v>
      </c>
      <c r="BE1109">
        <v>-0.02</v>
      </c>
      <c r="BF1109">
        <v>0.06</v>
      </c>
      <c r="BG1109">
        <v>90</v>
      </c>
      <c r="BH1109">
        <v>0.03</v>
      </c>
      <c r="BI1109">
        <v>-10.8</v>
      </c>
      <c r="BJ1109">
        <v>31</v>
      </c>
      <c r="BK1109">
        <v>25</v>
      </c>
      <c r="BL1109">
        <v>1.25</v>
      </c>
      <c r="BM1109">
        <v>0.54</v>
      </c>
      <c r="BN1109">
        <v>0.28000000000000003</v>
      </c>
      <c r="BO1109">
        <v>0.19</v>
      </c>
      <c r="BP1109">
        <v>2.1</v>
      </c>
      <c r="BQ1109">
        <v>1.07</v>
      </c>
      <c r="BR1109">
        <v>0.54</v>
      </c>
      <c r="BS1109">
        <v>7.0000000000000007E-2</v>
      </c>
      <c r="BT1109">
        <v>-0.49</v>
      </c>
      <c r="BU1109">
        <v>0.36</v>
      </c>
      <c r="BV1109">
        <v>0.83</v>
      </c>
      <c r="BW1109">
        <v>0.32</v>
      </c>
      <c r="BX1109">
        <v>1.03</v>
      </c>
      <c r="BY1109">
        <v>-0.14000000000000001</v>
      </c>
      <c r="BZ1109">
        <v>-1.37</v>
      </c>
      <c r="CA1109">
        <v>0.76</v>
      </c>
      <c r="CB1109">
        <v>1.07</v>
      </c>
      <c r="CC1109">
        <v>-0.04</v>
      </c>
      <c r="CD1109">
        <v>0.49</v>
      </c>
      <c r="CE1109">
        <v>0.72</v>
      </c>
      <c r="CF1109">
        <v>1.74</v>
      </c>
      <c r="CG1109">
        <v>0</v>
      </c>
      <c r="CH1109">
        <v>-0.94</v>
      </c>
      <c r="CI1109">
        <v>0</v>
      </c>
      <c r="CJ1109">
        <v>4.3</v>
      </c>
      <c r="CK1109">
        <v>93</v>
      </c>
      <c r="CL1109">
        <v>-0.8</v>
      </c>
      <c r="CM1109">
        <v>91</v>
      </c>
      <c r="CN1109">
        <v>-0.38</v>
      </c>
      <c r="CO1109">
        <v>90</v>
      </c>
      <c r="CP1109">
        <v>8.3000000000000007</v>
      </c>
      <c r="CQ1109">
        <v>89</v>
      </c>
      <c r="CR1109">
        <v>0</v>
      </c>
      <c r="CS1109">
        <v>0</v>
      </c>
      <c r="CT1109">
        <v>17.8</v>
      </c>
      <c r="CU1109">
        <v>87</v>
      </c>
      <c r="CV1109">
        <v>0.25</v>
      </c>
      <c r="CW1109">
        <v>46</v>
      </c>
      <c r="CX1109" t="s">
        <v>3915</v>
      </c>
    </row>
    <row r="1110" spans="1:102" x14ac:dyDescent="0.3">
      <c r="A1110" t="str">
        <f>HYPERLINK("https://webapp.icbf.com/v2/app/bull-search/view/1135207654","FYM")</f>
        <v>FYM</v>
      </c>
      <c r="B1110" t="s">
        <v>9264</v>
      </c>
      <c r="C1110" t="s">
        <v>9265</v>
      </c>
      <c r="D1110" s="1">
        <v>41657</v>
      </c>
      <c r="E1110" t="s">
        <v>92</v>
      </c>
      <c r="F1110">
        <v>66</v>
      </c>
      <c r="G1110" t="s">
        <v>93</v>
      </c>
      <c r="H1110">
        <v>135.34</v>
      </c>
      <c r="I1110">
        <v>87</v>
      </c>
      <c r="J1110">
        <v>82.45</v>
      </c>
      <c r="K1110">
        <v>98</v>
      </c>
      <c r="L1110">
        <v>54.92</v>
      </c>
      <c r="M1110">
        <v>78</v>
      </c>
      <c r="N1110">
        <v>7.6</v>
      </c>
      <c r="O1110">
        <v>90</v>
      </c>
      <c r="P1110">
        <v>-3.29</v>
      </c>
      <c r="Q1110">
        <v>95</v>
      </c>
      <c r="R1110">
        <v>-4.51</v>
      </c>
      <c r="S1110">
        <v>78</v>
      </c>
      <c r="T1110">
        <v>2.21</v>
      </c>
      <c r="U1110">
        <v>78</v>
      </c>
      <c r="V1110">
        <v>-4.04</v>
      </c>
      <c r="W1110">
        <v>72</v>
      </c>
      <c r="X1110" t="s">
        <v>102</v>
      </c>
      <c r="Y1110" t="s">
        <v>389</v>
      </c>
      <c r="Z1110" t="s">
        <v>96</v>
      </c>
      <c r="AA1110" t="s">
        <v>9230</v>
      </c>
      <c r="AB1110" t="s">
        <v>9266</v>
      </c>
      <c r="AC1110">
        <v>216</v>
      </c>
      <c r="AD1110">
        <v>137</v>
      </c>
      <c r="AE1110">
        <v>98</v>
      </c>
      <c r="AF1110">
        <v>326.27</v>
      </c>
      <c r="AG1110">
        <v>15.45</v>
      </c>
      <c r="AH1110">
        <v>13.55</v>
      </c>
      <c r="AI1110">
        <v>0.05</v>
      </c>
      <c r="AJ1110">
        <v>0.04</v>
      </c>
      <c r="AK1110">
        <v>78</v>
      </c>
      <c r="AL1110">
        <v>211</v>
      </c>
      <c r="AM1110">
        <v>128</v>
      </c>
      <c r="AN1110">
        <v>-3</v>
      </c>
      <c r="AO1110">
        <v>1.38</v>
      </c>
      <c r="AP1110">
        <v>659</v>
      </c>
      <c r="AQ1110">
        <v>14</v>
      </c>
      <c r="AR1110">
        <v>9.7799999999999994</v>
      </c>
      <c r="AS1110">
        <v>86</v>
      </c>
      <c r="AT1110">
        <v>4.16</v>
      </c>
      <c r="AU1110">
        <v>94</v>
      </c>
      <c r="AV1110">
        <v>-3.49</v>
      </c>
      <c r="AW1110">
        <v>99</v>
      </c>
      <c r="AX1110">
        <v>0.78</v>
      </c>
      <c r="AY1110">
        <v>91</v>
      </c>
      <c r="AZ1110">
        <v>6</v>
      </c>
      <c r="BA1110">
        <v>77</v>
      </c>
      <c r="BB1110">
        <v>5.42</v>
      </c>
      <c r="BC1110">
        <v>61</v>
      </c>
      <c r="BD1110">
        <v>0.01</v>
      </c>
      <c r="BE1110">
        <v>0.03</v>
      </c>
      <c r="BF1110">
        <v>0.03</v>
      </c>
      <c r="BG1110">
        <v>91</v>
      </c>
      <c r="BH1110">
        <v>-0.1</v>
      </c>
      <c r="BI1110">
        <v>1.47</v>
      </c>
      <c r="BJ1110">
        <v>9</v>
      </c>
      <c r="BK1110">
        <v>6</v>
      </c>
      <c r="BL1110">
        <v>-0.97</v>
      </c>
      <c r="BM1110">
        <v>0.33</v>
      </c>
      <c r="BN1110">
        <v>-0.38</v>
      </c>
      <c r="BO1110">
        <v>-0.56000000000000005</v>
      </c>
      <c r="BP1110">
        <v>1.97</v>
      </c>
      <c r="BQ1110">
        <v>-0.6</v>
      </c>
      <c r="BR1110">
        <v>1.95</v>
      </c>
      <c r="BS1110">
        <v>-2.85</v>
      </c>
      <c r="BT1110">
        <v>-1.81</v>
      </c>
      <c r="BU1110">
        <v>-0.83</v>
      </c>
      <c r="BV1110">
        <v>-0.51</v>
      </c>
      <c r="BW1110">
        <v>-0.51</v>
      </c>
      <c r="BX1110">
        <v>-1.85</v>
      </c>
      <c r="BY1110">
        <v>-1.02</v>
      </c>
      <c r="BZ1110">
        <v>1.17</v>
      </c>
      <c r="CA1110">
        <v>-1.31</v>
      </c>
      <c r="CB1110">
        <v>-0.56000000000000005</v>
      </c>
      <c r="CC1110">
        <v>-1.88</v>
      </c>
      <c r="CD1110">
        <v>0.08</v>
      </c>
      <c r="CE1110">
        <v>-0.11</v>
      </c>
      <c r="CF1110">
        <v>-0.75</v>
      </c>
      <c r="CG1110">
        <v>0</v>
      </c>
      <c r="CH1110">
        <v>0.09</v>
      </c>
      <c r="CI1110">
        <v>0</v>
      </c>
      <c r="CJ1110">
        <v>-0.2</v>
      </c>
      <c r="CK1110">
        <v>97</v>
      </c>
      <c r="CL1110">
        <v>-0.5</v>
      </c>
      <c r="CM1110">
        <v>97</v>
      </c>
      <c r="CN1110">
        <v>-0.15</v>
      </c>
      <c r="CO1110">
        <v>96</v>
      </c>
      <c r="CP1110">
        <v>2.6</v>
      </c>
      <c r="CQ1110">
        <v>79</v>
      </c>
      <c r="CR1110">
        <v>0</v>
      </c>
      <c r="CS1110">
        <v>0</v>
      </c>
      <c r="CT1110">
        <v>10.8</v>
      </c>
      <c r="CU1110">
        <v>78</v>
      </c>
      <c r="CV1110">
        <v>0.14000000000000001</v>
      </c>
      <c r="CW1110">
        <v>46</v>
      </c>
      <c r="CX1110" t="s">
        <v>792</v>
      </c>
    </row>
    <row r="1111" spans="1:102" x14ac:dyDescent="0.3">
      <c r="A1111" t="str">
        <f>HYPERLINK("https://webapp.icbf.com/v2/app/bull-search/view/1474875410","JE4546")</f>
        <v>JE4546</v>
      </c>
      <c r="B1111" t="s">
        <v>9424</v>
      </c>
      <c r="C1111" t="s">
        <v>9425</v>
      </c>
      <c r="D1111" s="1">
        <v>42769</v>
      </c>
      <c r="E1111" t="s">
        <v>227</v>
      </c>
      <c r="F1111">
        <v>0</v>
      </c>
      <c r="G1111" t="s">
        <v>435</v>
      </c>
      <c r="H1111">
        <v>135.33000000000001</v>
      </c>
      <c r="I1111">
        <v>61</v>
      </c>
      <c r="J1111">
        <v>17.21</v>
      </c>
      <c r="K1111">
        <v>78</v>
      </c>
      <c r="L1111">
        <v>89.61</v>
      </c>
      <c r="M1111">
        <v>57</v>
      </c>
      <c r="N1111">
        <v>0.04</v>
      </c>
      <c r="O1111">
        <v>60</v>
      </c>
      <c r="P1111">
        <v>-50.77</v>
      </c>
      <c r="Q1111">
        <v>39</v>
      </c>
      <c r="R1111">
        <v>6.48</v>
      </c>
      <c r="S1111">
        <v>56</v>
      </c>
      <c r="T1111">
        <v>65.92</v>
      </c>
      <c r="U1111">
        <v>37</v>
      </c>
      <c r="V1111">
        <v>6.84</v>
      </c>
      <c r="W1111">
        <v>53</v>
      </c>
      <c r="X1111" t="s">
        <v>94</v>
      </c>
      <c r="Y1111" t="s">
        <v>2384</v>
      </c>
      <c r="Z1111">
        <v>0</v>
      </c>
      <c r="AA1111" t="s">
        <v>9426</v>
      </c>
      <c r="AB1111" t="s">
        <v>9427</v>
      </c>
      <c r="AC1111">
        <v>0</v>
      </c>
      <c r="AD1111">
        <v>0</v>
      </c>
      <c r="AE1111">
        <v>78</v>
      </c>
      <c r="AF1111">
        <v>-705.08</v>
      </c>
      <c r="AG1111">
        <v>5.98</v>
      </c>
      <c r="AH1111">
        <v>-9.98</v>
      </c>
      <c r="AI1111">
        <v>0.65</v>
      </c>
      <c r="AJ1111">
        <v>0.28000000000000003</v>
      </c>
      <c r="AK1111">
        <v>57</v>
      </c>
      <c r="AL1111">
        <v>0</v>
      </c>
      <c r="AM1111">
        <v>0</v>
      </c>
      <c r="AN1111">
        <v>-3.07</v>
      </c>
      <c r="AO1111">
        <v>4.0999999999999996</v>
      </c>
      <c r="AP1111">
        <v>20</v>
      </c>
      <c r="AQ1111">
        <v>0</v>
      </c>
      <c r="AR1111">
        <v>3.58</v>
      </c>
      <c r="AS1111">
        <v>53</v>
      </c>
      <c r="AT1111">
        <v>1.59</v>
      </c>
      <c r="AU1111">
        <v>60</v>
      </c>
      <c r="AV1111">
        <v>-0.48</v>
      </c>
      <c r="AW1111">
        <v>75</v>
      </c>
      <c r="AX1111">
        <v>8.11</v>
      </c>
      <c r="AY1111">
        <v>48</v>
      </c>
      <c r="AZ1111">
        <v>6.9</v>
      </c>
      <c r="BA1111">
        <v>38</v>
      </c>
      <c r="BB1111">
        <v>5.26</v>
      </c>
      <c r="BC1111">
        <v>36</v>
      </c>
      <c r="BD1111">
        <v>-0.06</v>
      </c>
      <c r="BE1111">
        <v>-0.01</v>
      </c>
      <c r="BF1111">
        <v>-0.03</v>
      </c>
      <c r="BG1111">
        <v>62</v>
      </c>
      <c r="BH1111">
        <v>0.11</v>
      </c>
      <c r="BI1111">
        <v>-9.35</v>
      </c>
      <c r="BJ1111">
        <v>0</v>
      </c>
      <c r="BK1111">
        <v>0</v>
      </c>
      <c r="BL1111">
        <v>-0.9</v>
      </c>
      <c r="BM1111">
        <v>-1.1200000000000001</v>
      </c>
      <c r="BN1111">
        <v>0.25</v>
      </c>
      <c r="BO1111">
        <v>1.46</v>
      </c>
      <c r="BP1111">
        <v>-0.21</v>
      </c>
      <c r="BQ1111">
        <v>-4.6500000000000004</v>
      </c>
      <c r="BR1111">
        <v>1.74</v>
      </c>
      <c r="BS1111">
        <v>6.76</v>
      </c>
      <c r="BT1111">
        <v>-0.77</v>
      </c>
      <c r="BU1111">
        <v>0.94</v>
      </c>
      <c r="BV1111">
        <v>0.76</v>
      </c>
      <c r="BW1111">
        <v>-1.24</v>
      </c>
      <c r="BX1111">
        <v>-1.97</v>
      </c>
      <c r="BY1111">
        <v>0.28000000000000003</v>
      </c>
      <c r="BZ1111">
        <v>0.46</v>
      </c>
      <c r="CA1111">
        <v>2.2000000000000002</v>
      </c>
      <c r="CB1111">
        <v>0.73</v>
      </c>
      <c r="CC1111">
        <v>4.2300000000000004</v>
      </c>
      <c r="CD1111">
        <v>-1.97</v>
      </c>
      <c r="CE1111">
        <v>1.42</v>
      </c>
      <c r="CF1111">
        <v>-0.67</v>
      </c>
      <c r="CG1111">
        <v>0</v>
      </c>
      <c r="CH1111">
        <v>-0.59</v>
      </c>
      <c r="CI1111">
        <v>0</v>
      </c>
      <c r="CJ1111">
        <v>-27.3</v>
      </c>
      <c r="CK1111">
        <v>40</v>
      </c>
      <c r="CL1111">
        <v>-0.85</v>
      </c>
      <c r="CM1111">
        <v>39</v>
      </c>
      <c r="CN1111">
        <v>-0.27</v>
      </c>
      <c r="CO1111">
        <v>39</v>
      </c>
      <c r="CP1111">
        <v>-49.9</v>
      </c>
      <c r="CQ1111">
        <v>37</v>
      </c>
      <c r="CR1111">
        <v>0</v>
      </c>
      <c r="CS1111">
        <v>0</v>
      </c>
      <c r="CT1111">
        <v>-75.3</v>
      </c>
      <c r="CU1111">
        <v>37</v>
      </c>
      <c r="CV1111">
        <v>-0.26</v>
      </c>
      <c r="CW1111">
        <v>33</v>
      </c>
      <c r="CX1111" t="s">
        <v>5785</v>
      </c>
    </row>
    <row r="1112" spans="1:102" x14ac:dyDescent="0.3">
      <c r="A1112" t="str">
        <f>HYPERLINK("https://webapp.icbf.com/v2/app/bull-search/view/864315339","AEF")</f>
        <v>AEF</v>
      </c>
      <c r="B1112" t="s">
        <v>5694</v>
      </c>
      <c r="C1112" t="s">
        <v>5695</v>
      </c>
      <c r="D1112" s="1">
        <v>40568</v>
      </c>
      <c r="E1112" t="s">
        <v>92</v>
      </c>
      <c r="F1112">
        <v>59</v>
      </c>
      <c r="G1112" t="s">
        <v>435</v>
      </c>
      <c r="H1112">
        <v>135.29</v>
      </c>
      <c r="I1112">
        <v>71</v>
      </c>
      <c r="J1112">
        <v>45.76</v>
      </c>
      <c r="K1112">
        <v>88</v>
      </c>
      <c r="L1112">
        <v>66.42</v>
      </c>
      <c r="M1112">
        <v>66</v>
      </c>
      <c r="N1112">
        <v>6.91</v>
      </c>
      <c r="O1112">
        <v>58</v>
      </c>
      <c r="P1112">
        <v>1.99</v>
      </c>
      <c r="Q1112">
        <v>62</v>
      </c>
      <c r="R1112">
        <v>17.34</v>
      </c>
      <c r="S1112">
        <v>65</v>
      </c>
      <c r="T1112">
        <v>-0.23</v>
      </c>
      <c r="U1112">
        <v>51</v>
      </c>
      <c r="V1112">
        <v>-2.9</v>
      </c>
      <c r="W1112">
        <v>61</v>
      </c>
      <c r="X1112" t="s">
        <v>102</v>
      </c>
      <c r="Y1112" t="s">
        <v>1860</v>
      </c>
      <c r="Z1112" t="s">
        <v>330</v>
      </c>
      <c r="AA1112" t="s">
        <v>5685</v>
      </c>
      <c r="AB1112" t="s">
        <v>5696</v>
      </c>
      <c r="AC1112">
        <v>1</v>
      </c>
      <c r="AD1112">
        <v>1</v>
      </c>
      <c r="AE1112">
        <v>88</v>
      </c>
      <c r="AF1112">
        <v>-253.43</v>
      </c>
      <c r="AG1112">
        <v>9.76</v>
      </c>
      <c r="AH1112">
        <v>0.45</v>
      </c>
      <c r="AI1112">
        <v>0.35</v>
      </c>
      <c r="AJ1112">
        <v>0.17</v>
      </c>
      <c r="AK1112">
        <v>66</v>
      </c>
      <c r="AL1112">
        <v>0</v>
      </c>
      <c r="AM1112">
        <v>0</v>
      </c>
      <c r="AN1112">
        <v>-4.1500000000000004</v>
      </c>
      <c r="AO1112">
        <v>1.1399999999999999</v>
      </c>
      <c r="AP1112">
        <v>4</v>
      </c>
      <c r="AQ1112">
        <v>0</v>
      </c>
      <c r="AR1112">
        <v>7.72</v>
      </c>
      <c r="AS1112">
        <v>56</v>
      </c>
      <c r="AT1112">
        <v>3.65</v>
      </c>
      <c r="AU1112">
        <v>64</v>
      </c>
      <c r="AV1112">
        <v>-1.46</v>
      </c>
      <c r="AW1112">
        <v>63</v>
      </c>
      <c r="AX1112">
        <v>0.16</v>
      </c>
      <c r="AY1112">
        <v>49</v>
      </c>
      <c r="AZ1112">
        <v>5.52</v>
      </c>
      <c r="BA1112">
        <v>45</v>
      </c>
      <c r="BB1112">
        <v>5.09</v>
      </c>
      <c r="BC1112">
        <v>46</v>
      </c>
      <c r="BD1112">
        <v>-0.04</v>
      </c>
      <c r="BE1112">
        <v>-0.08</v>
      </c>
      <c r="BF1112">
        <v>-0.18</v>
      </c>
      <c r="BG1112">
        <v>75</v>
      </c>
      <c r="BH1112">
        <v>-0.18</v>
      </c>
      <c r="BI1112">
        <v>-11.48</v>
      </c>
      <c r="BJ1112">
        <v>1</v>
      </c>
      <c r="BK1112">
        <v>1</v>
      </c>
      <c r="BL1112">
        <v>-0.74</v>
      </c>
      <c r="BM1112">
        <v>0.8</v>
      </c>
      <c r="BN1112">
        <v>-1.32</v>
      </c>
      <c r="BO1112">
        <v>-1.54</v>
      </c>
      <c r="BP1112">
        <v>-3.25</v>
      </c>
      <c r="BQ1112">
        <v>-0.74</v>
      </c>
      <c r="BR1112">
        <v>-0.15</v>
      </c>
      <c r="BS1112">
        <v>-0.98</v>
      </c>
      <c r="BT1112">
        <v>-0.35</v>
      </c>
      <c r="BU1112">
        <v>-0.31</v>
      </c>
      <c r="BV1112">
        <v>-0.83</v>
      </c>
      <c r="BW1112">
        <v>-1.26</v>
      </c>
      <c r="BX1112">
        <v>0.79</v>
      </c>
      <c r="BY1112">
        <v>-1.68</v>
      </c>
      <c r="BZ1112">
        <v>-0.12</v>
      </c>
      <c r="CA1112">
        <v>-0.86</v>
      </c>
      <c r="CB1112">
        <v>-0.78</v>
      </c>
      <c r="CC1112">
        <v>-1.1599999999999999</v>
      </c>
      <c r="CD1112">
        <v>1.1299999999999999</v>
      </c>
      <c r="CE1112">
        <v>-1.52</v>
      </c>
      <c r="CF1112">
        <v>-1.77</v>
      </c>
      <c r="CG1112">
        <v>0</v>
      </c>
      <c r="CH1112">
        <v>-1.04</v>
      </c>
      <c r="CI1112">
        <v>0</v>
      </c>
      <c r="CJ1112">
        <v>4.0999999999999996</v>
      </c>
      <c r="CK1112">
        <v>64</v>
      </c>
      <c r="CL1112">
        <v>-0.57999999999999996</v>
      </c>
      <c r="CM1112">
        <v>60</v>
      </c>
      <c r="CN1112">
        <v>-0.14000000000000001</v>
      </c>
      <c r="CO1112">
        <v>59</v>
      </c>
      <c r="CP1112">
        <v>4.5</v>
      </c>
      <c r="CQ1112">
        <v>56</v>
      </c>
      <c r="CR1112">
        <v>0</v>
      </c>
      <c r="CS1112">
        <v>0</v>
      </c>
      <c r="CT1112">
        <v>14.1</v>
      </c>
      <c r="CU1112">
        <v>51</v>
      </c>
      <c r="CV1112">
        <v>0.35</v>
      </c>
      <c r="CW1112">
        <v>39</v>
      </c>
      <c r="CX1112" t="s">
        <v>204</v>
      </c>
    </row>
    <row r="1113" spans="1:102" x14ac:dyDescent="0.3">
      <c r="A1113" t="str">
        <f>HYPERLINK("https://webapp.icbf.com/v2/app/bull-search/view/122402617","KWA")</f>
        <v>KWA</v>
      </c>
      <c r="B1113" t="s">
        <v>4579</v>
      </c>
      <c r="C1113" t="s">
        <v>4580</v>
      </c>
      <c r="D1113" s="1">
        <v>35295</v>
      </c>
      <c r="E1113" t="s">
        <v>92</v>
      </c>
      <c r="F1113">
        <v>100</v>
      </c>
      <c r="G1113" t="s">
        <v>93</v>
      </c>
      <c r="H1113">
        <v>135.18</v>
      </c>
      <c r="I1113">
        <v>96</v>
      </c>
      <c r="J1113">
        <v>72.78</v>
      </c>
      <c r="K1113">
        <v>99</v>
      </c>
      <c r="L1113">
        <v>17.59</v>
      </c>
      <c r="M1113">
        <v>92</v>
      </c>
      <c r="N1113">
        <v>30.51</v>
      </c>
      <c r="O1113">
        <v>95</v>
      </c>
      <c r="P1113">
        <v>-14.91</v>
      </c>
      <c r="Q1113">
        <v>99</v>
      </c>
      <c r="R1113">
        <v>7.31</v>
      </c>
      <c r="S1113">
        <v>93</v>
      </c>
      <c r="T1113">
        <v>24.7</v>
      </c>
      <c r="U1113">
        <v>96</v>
      </c>
      <c r="V1113">
        <v>-2.8</v>
      </c>
      <c r="W1113">
        <v>93</v>
      </c>
      <c r="X1113" t="s">
        <v>276</v>
      </c>
      <c r="Y1113" t="s">
        <v>95</v>
      </c>
      <c r="Z1113" t="s">
        <v>96</v>
      </c>
      <c r="AA1113" t="s">
        <v>4581</v>
      </c>
      <c r="AB1113" t="s">
        <v>4582</v>
      </c>
      <c r="AC1113">
        <v>480</v>
      </c>
      <c r="AD1113">
        <v>171</v>
      </c>
      <c r="AE1113">
        <v>99</v>
      </c>
      <c r="AF1113">
        <v>245.08</v>
      </c>
      <c r="AG1113">
        <v>14.16</v>
      </c>
      <c r="AH1113">
        <v>11.12</v>
      </c>
      <c r="AI1113">
        <v>0.08</v>
      </c>
      <c r="AJ1113">
        <v>0.05</v>
      </c>
      <c r="AK1113">
        <v>92</v>
      </c>
      <c r="AL1113">
        <v>525</v>
      </c>
      <c r="AM1113">
        <v>197</v>
      </c>
      <c r="AN1113">
        <v>0.36</v>
      </c>
      <c r="AO1113">
        <v>1.78</v>
      </c>
      <c r="AP1113">
        <v>691</v>
      </c>
      <c r="AQ1113">
        <v>1</v>
      </c>
      <c r="AR1113">
        <v>6.1</v>
      </c>
      <c r="AS1113">
        <v>88</v>
      </c>
      <c r="AT1113">
        <v>2.5499999999999998</v>
      </c>
      <c r="AU1113">
        <v>96</v>
      </c>
      <c r="AV1113">
        <v>-2.27</v>
      </c>
      <c r="AW1113">
        <v>98</v>
      </c>
      <c r="AX1113">
        <v>-0.68</v>
      </c>
      <c r="AY1113">
        <v>95</v>
      </c>
      <c r="AZ1113">
        <v>5.44</v>
      </c>
      <c r="BA1113">
        <v>86</v>
      </c>
      <c r="BB1113">
        <v>4.79</v>
      </c>
      <c r="BC1113">
        <v>90</v>
      </c>
      <c r="BD1113">
        <v>-0.06</v>
      </c>
      <c r="BE1113">
        <v>-0.02</v>
      </c>
      <c r="BF1113">
        <v>-0.03</v>
      </c>
      <c r="BG1113">
        <v>97</v>
      </c>
      <c r="BH1113">
        <v>0.05</v>
      </c>
      <c r="BI1113">
        <v>14.81</v>
      </c>
      <c r="BJ1113">
        <v>17</v>
      </c>
      <c r="BK1113">
        <v>13</v>
      </c>
      <c r="BL1113">
        <v>-1.03</v>
      </c>
      <c r="BM1113">
        <v>-0.8</v>
      </c>
      <c r="BN1113">
        <v>-1.34</v>
      </c>
      <c r="BO1113">
        <v>-0.84</v>
      </c>
      <c r="BP1113">
        <v>0.83</v>
      </c>
      <c r="BQ1113">
        <v>-2.5</v>
      </c>
      <c r="BR1113">
        <v>1.3</v>
      </c>
      <c r="BS1113">
        <v>-0.57999999999999996</v>
      </c>
      <c r="BT1113">
        <v>-1.35</v>
      </c>
      <c r="BU1113">
        <v>0.09</v>
      </c>
      <c r="BV1113">
        <v>0.25</v>
      </c>
      <c r="BW1113">
        <v>-1.05</v>
      </c>
      <c r="BX1113">
        <v>-0.5</v>
      </c>
      <c r="BY1113">
        <v>-0.09</v>
      </c>
      <c r="BZ1113">
        <v>-0.42</v>
      </c>
      <c r="CA1113">
        <v>-0.82</v>
      </c>
      <c r="CB1113">
        <v>-0.56000000000000005</v>
      </c>
      <c r="CC1113">
        <v>-1.42</v>
      </c>
      <c r="CD1113">
        <v>0.13</v>
      </c>
      <c r="CE1113">
        <v>-0.62</v>
      </c>
      <c r="CF1113">
        <v>-2.0699999999999998</v>
      </c>
      <c r="CG1113">
        <v>0</v>
      </c>
      <c r="CH1113">
        <v>-0.19</v>
      </c>
      <c r="CI1113">
        <v>0</v>
      </c>
      <c r="CJ1113">
        <v>-4.5999999999999996</v>
      </c>
      <c r="CK1113">
        <v>99</v>
      </c>
      <c r="CL1113">
        <v>-0.74</v>
      </c>
      <c r="CM1113">
        <v>98</v>
      </c>
      <c r="CN1113">
        <v>-0.1</v>
      </c>
      <c r="CO1113">
        <v>98</v>
      </c>
      <c r="CP1113">
        <v>-14</v>
      </c>
      <c r="CQ1113">
        <v>98</v>
      </c>
      <c r="CR1113">
        <v>0</v>
      </c>
      <c r="CS1113">
        <v>0</v>
      </c>
      <c r="CT1113">
        <v>-19.600000000000001</v>
      </c>
      <c r="CU1113">
        <v>96</v>
      </c>
      <c r="CV1113">
        <v>0.09</v>
      </c>
      <c r="CW1113">
        <v>46</v>
      </c>
      <c r="CX1113" t="s">
        <v>180</v>
      </c>
    </row>
    <row r="1114" spans="1:102" x14ac:dyDescent="0.3">
      <c r="A1114" t="str">
        <f>HYPERLINK("https://webapp.icbf.com/v2/app/bull-search/view/1135790537","S2259")</f>
        <v>S2259</v>
      </c>
      <c r="B1114" t="s">
        <v>7176</v>
      </c>
      <c r="C1114" t="s">
        <v>7177</v>
      </c>
      <c r="D1114" s="1">
        <v>41219</v>
      </c>
      <c r="E1114" t="s">
        <v>92</v>
      </c>
      <c r="F1114">
        <v>100</v>
      </c>
      <c r="G1114" t="s">
        <v>109</v>
      </c>
      <c r="H1114">
        <v>135.1</v>
      </c>
      <c r="I1114">
        <v>79</v>
      </c>
      <c r="J1114">
        <v>60.54</v>
      </c>
      <c r="K1114">
        <v>93</v>
      </c>
      <c r="L1114">
        <v>9</v>
      </c>
      <c r="M1114">
        <v>85</v>
      </c>
      <c r="N1114">
        <v>45.37</v>
      </c>
      <c r="O1114">
        <v>72</v>
      </c>
      <c r="P1114">
        <v>-13.01</v>
      </c>
      <c r="Q1114">
        <v>48</v>
      </c>
      <c r="R1114">
        <v>15.54</v>
      </c>
      <c r="S1114">
        <v>74</v>
      </c>
      <c r="T1114">
        <v>9.09</v>
      </c>
      <c r="U1114">
        <v>44</v>
      </c>
      <c r="V1114">
        <v>8.57</v>
      </c>
      <c r="W1114">
        <v>59</v>
      </c>
      <c r="X1114" t="s">
        <v>428</v>
      </c>
      <c r="Y1114" t="s">
        <v>367</v>
      </c>
      <c r="Z1114" t="s">
        <v>96</v>
      </c>
      <c r="AA1114" t="s">
        <v>1894</v>
      </c>
      <c r="AB1114" t="s">
        <v>7178</v>
      </c>
      <c r="AC1114">
        <v>0</v>
      </c>
      <c r="AD1114">
        <v>0</v>
      </c>
      <c r="AE1114">
        <v>93</v>
      </c>
      <c r="AF1114">
        <v>540.29</v>
      </c>
      <c r="AG1114">
        <v>10.87</v>
      </c>
      <c r="AH1114">
        <v>14.72</v>
      </c>
      <c r="AI1114">
        <v>-0.16</v>
      </c>
      <c r="AJ1114">
        <v>-0.06</v>
      </c>
      <c r="AK1114">
        <v>85</v>
      </c>
      <c r="AL1114">
        <v>0</v>
      </c>
      <c r="AM1114">
        <v>0</v>
      </c>
      <c r="AN1114">
        <v>-1.0900000000000001</v>
      </c>
      <c r="AO1114">
        <v>-0.38</v>
      </c>
      <c r="AP1114">
        <v>32</v>
      </c>
      <c r="AQ1114">
        <v>0</v>
      </c>
      <c r="AR1114">
        <v>5.0199999999999996</v>
      </c>
      <c r="AS1114">
        <v>71</v>
      </c>
      <c r="AT1114">
        <v>2.06</v>
      </c>
      <c r="AU1114">
        <v>91</v>
      </c>
      <c r="AV1114">
        <v>-3.87</v>
      </c>
      <c r="AW1114">
        <v>75</v>
      </c>
      <c r="AX1114">
        <v>0.42</v>
      </c>
      <c r="AY1114">
        <v>58</v>
      </c>
      <c r="AZ1114">
        <v>6.16</v>
      </c>
      <c r="BA1114">
        <v>48</v>
      </c>
      <c r="BB1114">
        <v>4.72</v>
      </c>
      <c r="BC1114">
        <v>43</v>
      </c>
      <c r="BD1114">
        <v>-0.02</v>
      </c>
      <c r="BE1114">
        <v>-0.06</v>
      </c>
      <c r="BF1114">
        <v>-0.21</v>
      </c>
      <c r="BG1114">
        <v>91</v>
      </c>
      <c r="BH1114">
        <v>0.09</v>
      </c>
      <c r="BI1114">
        <v>-17.25</v>
      </c>
      <c r="BJ1114">
        <v>1</v>
      </c>
      <c r="BK1114">
        <v>1</v>
      </c>
      <c r="BL1114">
        <v>2.0299999999999998</v>
      </c>
      <c r="BM1114">
        <v>-1.76</v>
      </c>
      <c r="BN1114">
        <v>-0.4</v>
      </c>
      <c r="BO1114">
        <v>1.1000000000000001</v>
      </c>
      <c r="BP1114">
        <v>2.73</v>
      </c>
      <c r="BQ1114">
        <v>1.29</v>
      </c>
      <c r="BR1114">
        <v>-0.31</v>
      </c>
      <c r="BS1114">
        <v>2.75</v>
      </c>
      <c r="BT1114">
        <v>1.71</v>
      </c>
      <c r="BU1114">
        <v>3.17</v>
      </c>
      <c r="BV1114">
        <v>4.26</v>
      </c>
      <c r="BW1114">
        <v>2.68</v>
      </c>
      <c r="BX1114">
        <v>3.34</v>
      </c>
      <c r="BY1114">
        <v>2.48</v>
      </c>
      <c r="BZ1114">
        <v>0.86</v>
      </c>
      <c r="CA1114">
        <v>3.28</v>
      </c>
      <c r="CB1114">
        <v>3.24</v>
      </c>
      <c r="CC1114">
        <v>1.39</v>
      </c>
      <c r="CD1114">
        <v>-0.9</v>
      </c>
      <c r="CE1114">
        <v>1.23</v>
      </c>
      <c r="CF1114">
        <v>1.17</v>
      </c>
      <c r="CG1114">
        <v>0</v>
      </c>
      <c r="CH1114">
        <v>2.64</v>
      </c>
      <c r="CI1114">
        <v>0</v>
      </c>
      <c r="CJ1114">
        <v>-4.3</v>
      </c>
      <c r="CK1114">
        <v>49</v>
      </c>
      <c r="CL1114">
        <v>-1.27</v>
      </c>
      <c r="CM1114">
        <v>48</v>
      </c>
      <c r="CN1114">
        <v>-0.52</v>
      </c>
      <c r="CO1114">
        <v>47</v>
      </c>
      <c r="CP1114">
        <v>-0.4</v>
      </c>
      <c r="CQ1114">
        <v>47</v>
      </c>
      <c r="CR1114">
        <v>0</v>
      </c>
      <c r="CS1114">
        <v>0</v>
      </c>
      <c r="CT1114">
        <v>1.5</v>
      </c>
      <c r="CU1114">
        <v>44</v>
      </c>
      <c r="CV1114">
        <v>0.23</v>
      </c>
      <c r="CW1114">
        <v>35</v>
      </c>
      <c r="CX1114" t="s">
        <v>1572</v>
      </c>
    </row>
    <row r="1115" spans="1:102" x14ac:dyDescent="0.3">
      <c r="A1115" t="str">
        <f>HYPERLINK("https://webapp.icbf.com/v2/app/bull-search/view/487000340","MJD")</f>
        <v>MJD</v>
      </c>
      <c r="B1115" t="s">
        <v>12266</v>
      </c>
      <c r="C1115" t="s">
        <v>12267</v>
      </c>
      <c r="D1115" s="1">
        <v>38583</v>
      </c>
      <c r="E1115" t="s">
        <v>108</v>
      </c>
      <c r="F1115">
        <v>44</v>
      </c>
      <c r="G1115" t="s">
        <v>93</v>
      </c>
      <c r="H1115">
        <v>135.03</v>
      </c>
      <c r="I1115">
        <v>97</v>
      </c>
      <c r="J1115">
        <v>91.49</v>
      </c>
      <c r="K1115">
        <v>99</v>
      </c>
      <c r="L1115">
        <v>24.01</v>
      </c>
      <c r="M1115">
        <v>94</v>
      </c>
      <c r="N1115">
        <v>22.24</v>
      </c>
      <c r="O1115">
        <v>98</v>
      </c>
      <c r="P1115">
        <v>-23.11</v>
      </c>
      <c r="Q1115">
        <v>99</v>
      </c>
      <c r="R1115">
        <v>-10.55</v>
      </c>
      <c r="S1115">
        <v>94</v>
      </c>
      <c r="T1115">
        <v>15.9</v>
      </c>
      <c r="U1115">
        <v>99</v>
      </c>
      <c r="V1115">
        <v>15.05</v>
      </c>
      <c r="W1115">
        <v>94</v>
      </c>
      <c r="X1115" t="s">
        <v>276</v>
      </c>
      <c r="Y1115" t="s">
        <v>435</v>
      </c>
      <c r="Z1115" t="s">
        <v>330</v>
      </c>
      <c r="AA1115" t="s">
        <v>1229</v>
      </c>
      <c r="AB1115" t="s">
        <v>144</v>
      </c>
      <c r="AC1115">
        <v>1515</v>
      </c>
      <c r="AD1115">
        <v>510</v>
      </c>
      <c r="AE1115">
        <v>99</v>
      </c>
      <c r="AF1115">
        <v>247.5</v>
      </c>
      <c r="AG1115">
        <v>16.84</v>
      </c>
      <c r="AH1115">
        <v>13.39</v>
      </c>
      <c r="AI1115">
        <v>0.12</v>
      </c>
      <c r="AJ1115">
        <v>0.08</v>
      </c>
      <c r="AK1115">
        <v>94</v>
      </c>
      <c r="AL1115">
        <v>1779</v>
      </c>
      <c r="AM1115">
        <v>589</v>
      </c>
      <c r="AN1115">
        <v>-0.93</v>
      </c>
      <c r="AO1115">
        <v>0.99</v>
      </c>
      <c r="AP1115">
        <v>2940</v>
      </c>
      <c r="AQ1115">
        <v>35</v>
      </c>
      <c r="AR1115">
        <v>7.32</v>
      </c>
      <c r="AS1115">
        <v>95</v>
      </c>
      <c r="AT1115">
        <v>3.2</v>
      </c>
      <c r="AU1115">
        <v>99</v>
      </c>
      <c r="AV1115">
        <v>-2.66</v>
      </c>
      <c r="AW1115">
        <v>99</v>
      </c>
      <c r="AX1115">
        <v>0.2</v>
      </c>
      <c r="AY1115">
        <v>98</v>
      </c>
      <c r="AZ1115">
        <v>6.47</v>
      </c>
      <c r="BA1115">
        <v>95</v>
      </c>
      <c r="BB1115">
        <v>4.67</v>
      </c>
      <c r="BC1115">
        <v>95</v>
      </c>
      <c r="BD1115">
        <v>0.01</v>
      </c>
      <c r="BE1115">
        <v>0.04</v>
      </c>
      <c r="BF1115">
        <v>0.15</v>
      </c>
      <c r="BG1115">
        <v>99</v>
      </c>
      <c r="BH1115">
        <v>0.3</v>
      </c>
      <c r="BI1115">
        <v>-13.85</v>
      </c>
      <c r="BJ1115">
        <v>24</v>
      </c>
      <c r="BK1115">
        <v>14</v>
      </c>
      <c r="BL1115">
        <v>-1.35</v>
      </c>
      <c r="BM1115">
        <v>1.74</v>
      </c>
      <c r="BN1115">
        <v>0.82</v>
      </c>
      <c r="BO1115">
        <v>-0.26</v>
      </c>
      <c r="BP1115">
        <v>-1.31</v>
      </c>
      <c r="BQ1115">
        <v>-2.06</v>
      </c>
      <c r="BR1115">
        <v>-0.57999999999999996</v>
      </c>
      <c r="BS1115">
        <v>0.9</v>
      </c>
      <c r="BT1115">
        <v>-0.76</v>
      </c>
      <c r="BU1115">
        <v>-1.4</v>
      </c>
      <c r="BV1115">
        <v>-1.91</v>
      </c>
      <c r="BW1115">
        <v>-1.52</v>
      </c>
      <c r="BX1115">
        <v>-1.99</v>
      </c>
      <c r="BY1115">
        <v>-1.01</v>
      </c>
      <c r="BZ1115">
        <v>2.4500000000000002</v>
      </c>
      <c r="CA1115">
        <v>-0.86</v>
      </c>
      <c r="CB1115">
        <v>-1.49</v>
      </c>
      <c r="CC1115">
        <v>0.42</v>
      </c>
      <c r="CD1115">
        <v>0.25</v>
      </c>
      <c r="CE1115">
        <v>0.31</v>
      </c>
      <c r="CF1115">
        <v>-0.64</v>
      </c>
      <c r="CG1115">
        <v>0</v>
      </c>
      <c r="CH1115">
        <v>-0.87</v>
      </c>
      <c r="CI1115">
        <v>0</v>
      </c>
      <c r="CJ1115">
        <v>-10.6</v>
      </c>
      <c r="CK1115">
        <v>99</v>
      </c>
      <c r="CL1115">
        <v>-0.8</v>
      </c>
      <c r="CM1115">
        <v>99</v>
      </c>
      <c r="CN1115">
        <v>-0.2</v>
      </c>
      <c r="CO1115">
        <v>99</v>
      </c>
      <c r="CP1115">
        <v>-17.100000000000001</v>
      </c>
      <c r="CQ1115">
        <v>99</v>
      </c>
      <c r="CR1115">
        <v>0</v>
      </c>
      <c r="CS1115">
        <v>0</v>
      </c>
      <c r="CT1115">
        <v>-7.7</v>
      </c>
      <c r="CU1115">
        <v>99</v>
      </c>
      <c r="CV1115">
        <v>0.18</v>
      </c>
      <c r="CW1115">
        <v>48</v>
      </c>
      <c r="CX1115" t="s">
        <v>792</v>
      </c>
    </row>
    <row r="1116" spans="1:102" x14ac:dyDescent="0.3">
      <c r="A1116" t="str">
        <f>HYPERLINK("https://webapp.icbf.com/v2/app/bull-search/view/1103481392","ZSY")</f>
        <v>ZSY</v>
      </c>
      <c r="B1116" t="s">
        <v>14192</v>
      </c>
      <c r="C1116" t="s">
        <v>14193</v>
      </c>
      <c r="D1116" s="1">
        <v>40756</v>
      </c>
      <c r="E1116" t="s">
        <v>92</v>
      </c>
      <c r="F1116">
        <v>53</v>
      </c>
      <c r="G1116" t="s">
        <v>109</v>
      </c>
      <c r="H1116">
        <v>135.02000000000001</v>
      </c>
      <c r="I1116">
        <v>63</v>
      </c>
      <c r="J1116">
        <v>107.36</v>
      </c>
      <c r="K1116">
        <v>87</v>
      </c>
      <c r="L1116">
        <v>0.9</v>
      </c>
      <c r="M1116">
        <v>54</v>
      </c>
      <c r="N1116">
        <v>18.61</v>
      </c>
      <c r="O1116">
        <v>69</v>
      </c>
      <c r="P1116">
        <v>-41.82</v>
      </c>
      <c r="Q1116">
        <v>35</v>
      </c>
      <c r="R1116">
        <v>3.23</v>
      </c>
      <c r="S1116">
        <v>47</v>
      </c>
      <c r="T1116">
        <v>42.24</v>
      </c>
      <c r="U1116">
        <v>35</v>
      </c>
      <c r="V1116">
        <v>4.5</v>
      </c>
      <c r="W1116">
        <v>43</v>
      </c>
      <c r="X1116" t="s">
        <v>276</v>
      </c>
      <c r="Y1116" t="s">
        <v>375</v>
      </c>
      <c r="Z1116">
        <v>0</v>
      </c>
      <c r="AA1116" t="s">
        <v>9174</v>
      </c>
      <c r="AB1116" t="s">
        <v>144</v>
      </c>
      <c r="AC1116">
        <v>0</v>
      </c>
      <c r="AD1116">
        <v>0</v>
      </c>
      <c r="AE1116">
        <v>87</v>
      </c>
      <c r="AF1116">
        <v>3.55</v>
      </c>
      <c r="AG1116">
        <v>24.46</v>
      </c>
      <c r="AH1116">
        <v>9.66</v>
      </c>
      <c r="AI1116">
        <v>0.42</v>
      </c>
      <c r="AJ1116">
        <v>0.17</v>
      </c>
      <c r="AK1116">
        <v>54</v>
      </c>
      <c r="AL1116">
        <v>0</v>
      </c>
      <c r="AM1116">
        <v>0</v>
      </c>
      <c r="AN1116">
        <v>0.57999999999999996</v>
      </c>
      <c r="AO1116">
        <v>0.66</v>
      </c>
      <c r="AP1116">
        <v>107</v>
      </c>
      <c r="AQ1116">
        <v>0</v>
      </c>
      <c r="AR1116">
        <v>4.34</v>
      </c>
      <c r="AS1116">
        <v>56</v>
      </c>
      <c r="AT1116">
        <v>2.02</v>
      </c>
      <c r="AU1116">
        <v>74</v>
      </c>
      <c r="AV1116">
        <v>-0.99</v>
      </c>
      <c r="AW1116">
        <v>88</v>
      </c>
      <c r="AX1116">
        <v>1.08</v>
      </c>
      <c r="AY1116">
        <v>65</v>
      </c>
      <c r="AZ1116">
        <v>6.51</v>
      </c>
      <c r="BA1116">
        <v>25</v>
      </c>
      <c r="BB1116">
        <v>5.37</v>
      </c>
      <c r="BC1116">
        <v>25</v>
      </c>
      <c r="BD1116">
        <v>-0.05</v>
      </c>
      <c r="BE1116">
        <v>0.01</v>
      </c>
      <c r="BF1116">
        <v>-0.01</v>
      </c>
      <c r="BG1116">
        <v>56</v>
      </c>
      <c r="BH1116">
        <v>0.12</v>
      </c>
      <c r="BI1116">
        <v>-0.64</v>
      </c>
      <c r="BJ1116">
        <v>0</v>
      </c>
      <c r="BK1116">
        <v>0</v>
      </c>
      <c r="BL1116">
        <v>-2.29</v>
      </c>
      <c r="BM1116">
        <v>-0.44</v>
      </c>
      <c r="BN1116">
        <v>-0.62</v>
      </c>
      <c r="BO1116">
        <v>0.03</v>
      </c>
      <c r="BP1116">
        <v>-0.97</v>
      </c>
      <c r="BQ1116">
        <v>-3.3</v>
      </c>
      <c r="BR1116">
        <v>2.04</v>
      </c>
      <c r="BS1116">
        <v>2.52</v>
      </c>
      <c r="BT1116">
        <v>-1.23</v>
      </c>
      <c r="BU1116">
        <v>-1.1000000000000001</v>
      </c>
      <c r="BV1116">
        <v>-0.73</v>
      </c>
      <c r="BW1116">
        <v>-1.93</v>
      </c>
      <c r="BX1116">
        <v>-2.37</v>
      </c>
      <c r="BY1116">
        <v>-1.1599999999999999</v>
      </c>
      <c r="BZ1116">
        <v>0</v>
      </c>
      <c r="CA1116">
        <v>-0.27</v>
      </c>
      <c r="CB1116">
        <v>-0.96</v>
      </c>
      <c r="CC1116">
        <v>1.38</v>
      </c>
      <c r="CD1116">
        <v>-0.52</v>
      </c>
      <c r="CE1116">
        <v>-0.14000000000000001</v>
      </c>
      <c r="CF1116">
        <v>-2.16</v>
      </c>
      <c r="CG1116">
        <v>0</v>
      </c>
      <c r="CH1116">
        <v>-0.56000000000000005</v>
      </c>
      <c r="CI1116">
        <v>0</v>
      </c>
      <c r="CJ1116">
        <v>-22</v>
      </c>
      <c r="CK1116">
        <v>35</v>
      </c>
      <c r="CL1116">
        <v>-0.75</v>
      </c>
      <c r="CM1116">
        <v>35</v>
      </c>
      <c r="CN1116">
        <v>-0.1</v>
      </c>
      <c r="CO1116">
        <v>34</v>
      </c>
      <c r="CP1116">
        <v>-32.6</v>
      </c>
      <c r="CQ1116">
        <v>34</v>
      </c>
      <c r="CR1116">
        <v>0</v>
      </c>
      <c r="CS1116">
        <v>0</v>
      </c>
      <c r="CT1116">
        <v>-43.3</v>
      </c>
      <c r="CU1116">
        <v>35</v>
      </c>
      <c r="CV1116">
        <v>-0.16</v>
      </c>
      <c r="CW1116">
        <v>32</v>
      </c>
      <c r="CX1116" t="s">
        <v>2486</v>
      </c>
    </row>
    <row r="1117" spans="1:102" x14ac:dyDescent="0.3">
      <c r="A1117" t="str">
        <f>HYPERLINK("https://webapp.icbf.com/v2/app/bull-search/view/760402867","YBT")</f>
        <v>YBT</v>
      </c>
      <c r="B1117" t="s">
        <v>12992</v>
      </c>
      <c r="C1117" t="s">
        <v>12993</v>
      </c>
      <c r="D1117" s="1">
        <v>40037</v>
      </c>
      <c r="E1117" t="s">
        <v>108</v>
      </c>
      <c r="F1117">
        <v>44</v>
      </c>
      <c r="G1117" t="s">
        <v>93</v>
      </c>
      <c r="H1117">
        <v>135</v>
      </c>
      <c r="I1117">
        <v>82</v>
      </c>
      <c r="J1117">
        <v>87</v>
      </c>
      <c r="K1117">
        <v>94</v>
      </c>
      <c r="L1117">
        <v>9.3800000000000008</v>
      </c>
      <c r="M1117">
        <v>77</v>
      </c>
      <c r="N1117">
        <v>33.51</v>
      </c>
      <c r="O1117">
        <v>78</v>
      </c>
      <c r="P1117">
        <v>-22.94</v>
      </c>
      <c r="Q1117">
        <v>81</v>
      </c>
      <c r="R1117">
        <v>-3.06</v>
      </c>
      <c r="S1117">
        <v>74</v>
      </c>
      <c r="T1117">
        <v>27</v>
      </c>
      <c r="U1117">
        <v>69</v>
      </c>
      <c r="V1117">
        <v>4.1100000000000003</v>
      </c>
      <c r="W1117">
        <v>69</v>
      </c>
      <c r="X1117" t="s">
        <v>276</v>
      </c>
      <c r="Y1117" t="s">
        <v>1923</v>
      </c>
      <c r="Z1117" t="s">
        <v>330</v>
      </c>
      <c r="AA1117" t="s">
        <v>2339</v>
      </c>
      <c r="AB1117" t="s">
        <v>144</v>
      </c>
      <c r="AC1117">
        <v>51</v>
      </c>
      <c r="AD1117">
        <v>23</v>
      </c>
      <c r="AE1117">
        <v>94</v>
      </c>
      <c r="AF1117">
        <v>256.43</v>
      </c>
      <c r="AG1117">
        <v>11.62</v>
      </c>
      <c r="AH1117">
        <v>14.61</v>
      </c>
      <c r="AI1117">
        <v>0.03</v>
      </c>
      <c r="AJ1117">
        <v>0.1</v>
      </c>
      <c r="AK1117">
        <v>77</v>
      </c>
      <c r="AL1117">
        <v>53</v>
      </c>
      <c r="AM1117">
        <v>26</v>
      </c>
      <c r="AN1117">
        <v>0.42</v>
      </c>
      <c r="AO1117">
        <v>1.18</v>
      </c>
      <c r="AP1117">
        <v>81</v>
      </c>
      <c r="AQ1117">
        <v>4</v>
      </c>
      <c r="AR1117">
        <v>7.25</v>
      </c>
      <c r="AS1117">
        <v>59</v>
      </c>
      <c r="AT1117">
        <v>2.2999999999999998</v>
      </c>
      <c r="AU1117">
        <v>79</v>
      </c>
      <c r="AV1117">
        <v>-3.38</v>
      </c>
      <c r="AW1117">
        <v>93</v>
      </c>
      <c r="AX1117">
        <v>0.03</v>
      </c>
      <c r="AY1117">
        <v>70</v>
      </c>
      <c r="AZ1117">
        <v>6.61</v>
      </c>
      <c r="BA1117">
        <v>54</v>
      </c>
      <c r="BB1117">
        <v>5.12</v>
      </c>
      <c r="BC1117">
        <v>51</v>
      </c>
      <c r="BD1117">
        <v>-0.01</v>
      </c>
      <c r="BE1117">
        <v>0.03</v>
      </c>
      <c r="BF1117">
        <v>0.03</v>
      </c>
      <c r="BG1117">
        <v>86</v>
      </c>
      <c r="BH1117">
        <v>0.11</v>
      </c>
      <c r="BI1117">
        <v>-0.52</v>
      </c>
      <c r="BJ1117">
        <v>2</v>
      </c>
      <c r="BK1117">
        <v>2</v>
      </c>
      <c r="BL1117">
        <v>-1.22</v>
      </c>
      <c r="BM1117">
        <v>-2.2599999999999998</v>
      </c>
      <c r="BN1117">
        <v>-2.2999999999999998</v>
      </c>
      <c r="BO1117">
        <v>-0.9</v>
      </c>
      <c r="BP1117">
        <v>2.44</v>
      </c>
      <c r="BQ1117">
        <v>-2.38</v>
      </c>
      <c r="BR1117">
        <v>1.64</v>
      </c>
      <c r="BS1117">
        <v>-1.31</v>
      </c>
      <c r="BT1117">
        <v>-2.57</v>
      </c>
      <c r="BU1117">
        <v>-2.69</v>
      </c>
      <c r="BV1117">
        <v>-1.05</v>
      </c>
      <c r="BW1117">
        <v>-0.86</v>
      </c>
      <c r="BX1117">
        <v>-1.77</v>
      </c>
      <c r="BY1117">
        <v>0.28000000000000003</v>
      </c>
      <c r="BZ1117">
        <v>1.27</v>
      </c>
      <c r="CA1117">
        <v>-1.91</v>
      </c>
      <c r="CB1117">
        <v>-1.1100000000000001</v>
      </c>
      <c r="CC1117">
        <v>-1.46</v>
      </c>
      <c r="CD1117">
        <v>-0.25</v>
      </c>
      <c r="CE1117">
        <v>-0.04</v>
      </c>
      <c r="CF1117">
        <v>-1.25</v>
      </c>
      <c r="CG1117">
        <v>0</v>
      </c>
      <c r="CH1117">
        <v>0.13</v>
      </c>
      <c r="CI1117">
        <v>0</v>
      </c>
      <c r="CJ1117">
        <v>-9.3000000000000007</v>
      </c>
      <c r="CK1117">
        <v>84</v>
      </c>
      <c r="CL1117">
        <v>-0.92</v>
      </c>
      <c r="CM1117">
        <v>79</v>
      </c>
      <c r="CN1117">
        <v>-0.18</v>
      </c>
      <c r="CO1117">
        <v>77</v>
      </c>
      <c r="CP1117">
        <v>-18.100000000000001</v>
      </c>
      <c r="CQ1117">
        <v>75</v>
      </c>
      <c r="CR1117">
        <v>0</v>
      </c>
      <c r="CS1117">
        <v>0</v>
      </c>
      <c r="CT1117">
        <v>-22.7</v>
      </c>
      <c r="CU1117">
        <v>69</v>
      </c>
      <c r="CV1117">
        <v>0.11</v>
      </c>
      <c r="CW1117">
        <v>43</v>
      </c>
      <c r="CX1117" t="s">
        <v>1514</v>
      </c>
    </row>
    <row r="1118" spans="1:102" x14ac:dyDescent="0.3">
      <c r="A1118" t="str">
        <f>HYPERLINK("https://webapp.icbf.com/v2/app/bull-search/view/1109638870","KKG")</f>
        <v>KKG</v>
      </c>
      <c r="B1118" t="s">
        <v>9272</v>
      </c>
      <c r="C1118" t="s">
        <v>9273</v>
      </c>
      <c r="D1118" s="1">
        <v>41137</v>
      </c>
      <c r="E1118" t="s">
        <v>108</v>
      </c>
      <c r="F1118">
        <v>3</v>
      </c>
      <c r="G1118" t="s">
        <v>93</v>
      </c>
      <c r="H1118">
        <v>134.97999999999999</v>
      </c>
      <c r="I1118">
        <v>89</v>
      </c>
      <c r="J1118">
        <v>15.69</v>
      </c>
      <c r="K1118">
        <v>98</v>
      </c>
      <c r="L1118">
        <v>69.89</v>
      </c>
      <c r="M1118">
        <v>81</v>
      </c>
      <c r="N1118">
        <v>47.29</v>
      </c>
      <c r="O1118">
        <v>93</v>
      </c>
      <c r="P1118">
        <v>-5.89</v>
      </c>
      <c r="Q1118">
        <v>97</v>
      </c>
      <c r="R1118">
        <v>1.1599999999999999</v>
      </c>
      <c r="S1118">
        <v>80</v>
      </c>
      <c r="T1118">
        <v>11.98</v>
      </c>
      <c r="U1118">
        <v>80</v>
      </c>
      <c r="V1118">
        <v>-5.14</v>
      </c>
      <c r="W1118">
        <v>74</v>
      </c>
      <c r="X1118" t="s">
        <v>102</v>
      </c>
      <c r="Y1118" t="s">
        <v>375</v>
      </c>
      <c r="Z1118" t="s">
        <v>96</v>
      </c>
      <c r="AA1118" t="s">
        <v>2411</v>
      </c>
      <c r="AB1118" t="s">
        <v>9273</v>
      </c>
      <c r="AC1118">
        <v>292</v>
      </c>
      <c r="AD1118">
        <v>98</v>
      </c>
      <c r="AE1118">
        <v>98</v>
      </c>
      <c r="AF1118">
        <v>29.35</v>
      </c>
      <c r="AG1118">
        <v>1.1499999999999999</v>
      </c>
      <c r="AH1118">
        <v>2.71</v>
      </c>
      <c r="AI1118">
        <v>0</v>
      </c>
      <c r="AJ1118">
        <v>0.03</v>
      </c>
      <c r="AK1118">
        <v>81</v>
      </c>
      <c r="AL1118">
        <v>264</v>
      </c>
      <c r="AM1118">
        <v>99</v>
      </c>
      <c r="AN1118">
        <v>-4.08</v>
      </c>
      <c r="AO1118">
        <v>1.49</v>
      </c>
      <c r="AP1118">
        <v>2090</v>
      </c>
      <c r="AQ1118">
        <v>0</v>
      </c>
      <c r="AR1118">
        <v>5.46</v>
      </c>
      <c r="AS1118">
        <v>91</v>
      </c>
      <c r="AT1118">
        <v>2.4</v>
      </c>
      <c r="AU1118">
        <v>98</v>
      </c>
      <c r="AV1118">
        <v>-4.5599999999999996</v>
      </c>
      <c r="AW1118">
        <v>99</v>
      </c>
      <c r="AX1118">
        <v>-0.59</v>
      </c>
      <c r="AY1118">
        <v>97</v>
      </c>
      <c r="AZ1118">
        <v>6.64</v>
      </c>
      <c r="BA1118">
        <v>84</v>
      </c>
      <c r="BB1118">
        <v>5.19</v>
      </c>
      <c r="BC1118">
        <v>63</v>
      </c>
      <c r="BD1118">
        <v>-0.01</v>
      </c>
      <c r="BE1118">
        <v>0</v>
      </c>
      <c r="BF1118">
        <v>-0.01</v>
      </c>
      <c r="BG1118">
        <v>93</v>
      </c>
      <c r="BH1118">
        <v>-0.05</v>
      </c>
      <c r="BI1118">
        <v>10.8</v>
      </c>
      <c r="BJ1118">
        <v>25</v>
      </c>
      <c r="BK1118">
        <v>6</v>
      </c>
      <c r="BL1118">
        <v>-2.93</v>
      </c>
      <c r="BM1118">
        <v>2.13</v>
      </c>
      <c r="BN1118">
        <v>-0.78</v>
      </c>
      <c r="BO1118">
        <v>-2.29</v>
      </c>
      <c r="BP1118">
        <v>-0.03</v>
      </c>
      <c r="BQ1118">
        <v>1.66</v>
      </c>
      <c r="BR1118">
        <v>-0.98</v>
      </c>
      <c r="BS1118">
        <v>2.23</v>
      </c>
      <c r="BT1118">
        <v>0.8</v>
      </c>
      <c r="BU1118">
        <v>-1.65</v>
      </c>
      <c r="BV1118">
        <v>-1.84</v>
      </c>
      <c r="BW1118">
        <v>-2.56</v>
      </c>
      <c r="BX1118">
        <v>-1.39</v>
      </c>
      <c r="BY1118">
        <v>-1.73</v>
      </c>
      <c r="BZ1118">
        <v>2.2400000000000002</v>
      </c>
      <c r="CA1118">
        <v>-0.94</v>
      </c>
      <c r="CB1118">
        <v>-2.11</v>
      </c>
      <c r="CC1118">
        <v>1.25</v>
      </c>
      <c r="CD1118">
        <v>2.37</v>
      </c>
      <c r="CE1118">
        <v>-1.99</v>
      </c>
      <c r="CF1118">
        <v>-1.21</v>
      </c>
      <c r="CG1118">
        <v>0</v>
      </c>
      <c r="CH1118">
        <v>-1.54</v>
      </c>
      <c r="CI1118">
        <v>0</v>
      </c>
      <c r="CJ1118">
        <v>-3.6</v>
      </c>
      <c r="CK1118">
        <v>98</v>
      </c>
      <c r="CL1118">
        <v>-0.24</v>
      </c>
      <c r="CM1118">
        <v>98</v>
      </c>
      <c r="CN1118">
        <v>-0.18</v>
      </c>
      <c r="CO1118">
        <v>98</v>
      </c>
      <c r="CP1118">
        <v>-3.7</v>
      </c>
      <c r="CQ1118">
        <v>86</v>
      </c>
      <c r="CR1118">
        <v>0</v>
      </c>
      <c r="CS1118">
        <v>0</v>
      </c>
      <c r="CT1118">
        <v>-2.4</v>
      </c>
      <c r="CU1118">
        <v>80</v>
      </c>
      <c r="CV1118">
        <v>0.01</v>
      </c>
      <c r="CW1118">
        <v>45</v>
      </c>
      <c r="CX1118" t="s">
        <v>685</v>
      </c>
    </row>
    <row r="1119" spans="1:102" x14ac:dyDescent="0.3">
      <c r="A1119" t="str">
        <f>HYPERLINK("https://webapp.icbf.com/v2/app/bull-search/view/408747906","IEN")</f>
        <v>IEN</v>
      </c>
      <c r="B1119" t="s">
        <v>1579</v>
      </c>
      <c r="C1119" t="s">
        <v>1580</v>
      </c>
      <c r="D1119" s="1">
        <v>36238</v>
      </c>
      <c r="E1119" t="s">
        <v>395</v>
      </c>
      <c r="F1119">
        <v>0</v>
      </c>
      <c r="G1119" t="s">
        <v>93</v>
      </c>
      <c r="H1119">
        <v>134.77000000000001</v>
      </c>
      <c r="I1119">
        <v>87</v>
      </c>
      <c r="J1119">
        <v>29.61</v>
      </c>
      <c r="K1119">
        <v>93</v>
      </c>
      <c r="L1119">
        <v>66.709999999999994</v>
      </c>
      <c r="M1119">
        <v>83</v>
      </c>
      <c r="N1119">
        <v>16.5</v>
      </c>
      <c r="O1119">
        <v>85</v>
      </c>
      <c r="P1119">
        <v>-1.96</v>
      </c>
      <c r="Q1119">
        <v>87</v>
      </c>
      <c r="R1119">
        <v>9.73</v>
      </c>
      <c r="S1119">
        <v>72</v>
      </c>
      <c r="T1119">
        <v>17.38</v>
      </c>
      <c r="U1119">
        <v>93</v>
      </c>
      <c r="V1119">
        <v>-3.2</v>
      </c>
      <c r="W1119">
        <v>70</v>
      </c>
      <c r="X1119" t="s">
        <v>131</v>
      </c>
      <c r="Y1119" t="s">
        <v>95</v>
      </c>
      <c r="Z1119">
        <v>0</v>
      </c>
      <c r="AA1119" t="s">
        <v>398</v>
      </c>
      <c r="AB1119" t="s">
        <v>1581</v>
      </c>
      <c r="AC1119">
        <v>55</v>
      </c>
      <c r="AD1119">
        <v>40</v>
      </c>
      <c r="AE1119">
        <v>93</v>
      </c>
      <c r="AF1119">
        <v>82.56</v>
      </c>
      <c r="AG1119">
        <v>2.4</v>
      </c>
      <c r="AH1119">
        <v>5.45</v>
      </c>
      <c r="AI1119">
        <v>-0.01</v>
      </c>
      <c r="AJ1119">
        <v>0.04</v>
      </c>
      <c r="AK1119">
        <v>83</v>
      </c>
      <c r="AL1119">
        <v>54</v>
      </c>
      <c r="AM1119">
        <v>36</v>
      </c>
      <c r="AN1119">
        <v>-2.08</v>
      </c>
      <c r="AO1119">
        <v>3.26</v>
      </c>
      <c r="AP1119">
        <v>108</v>
      </c>
      <c r="AQ1119">
        <v>1</v>
      </c>
      <c r="AR1119">
        <v>8.07</v>
      </c>
      <c r="AS1119">
        <v>83</v>
      </c>
      <c r="AT1119">
        <v>2.67</v>
      </c>
      <c r="AU1119">
        <v>93</v>
      </c>
      <c r="AV1119">
        <v>-1.53</v>
      </c>
      <c r="AW1119">
        <v>93</v>
      </c>
      <c r="AX1119">
        <v>0.92</v>
      </c>
      <c r="AY1119">
        <v>76</v>
      </c>
      <c r="AZ1119">
        <v>4.84</v>
      </c>
      <c r="BA1119">
        <v>56</v>
      </c>
      <c r="BB1119">
        <v>4.63</v>
      </c>
      <c r="BC1119">
        <v>60</v>
      </c>
      <c r="BD1119">
        <v>-0.01</v>
      </c>
      <c r="BE1119">
        <v>-0.03</v>
      </c>
      <c r="BF1119">
        <v>-0.15</v>
      </c>
      <c r="BG1119">
        <v>80</v>
      </c>
      <c r="BH1119">
        <v>-0.28999999999999998</v>
      </c>
      <c r="BI1119">
        <v>-23.22</v>
      </c>
      <c r="BJ1119">
        <v>2</v>
      </c>
      <c r="BK1119">
        <v>2</v>
      </c>
      <c r="BL1119">
        <v>-1.48</v>
      </c>
      <c r="BM1119">
        <v>0.31</v>
      </c>
      <c r="BN1119">
        <v>-1.45</v>
      </c>
      <c r="BO1119">
        <v>-1.25</v>
      </c>
      <c r="BP1119">
        <v>1.72</v>
      </c>
      <c r="BQ1119">
        <v>-1.29</v>
      </c>
      <c r="BR1119">
        <v>1.68</v>
      </c>
      <c r="BS1119">
        <v>-0.97</v>
      </c>
      <c r="BT1119">
        <v>-1.32</v>
      </c>
      <c r="BU1119">
        <v>-1.92</v>
      </c>
      <c r="BV1119">
        <v>-2.68</v>
      </c>
      <c r="BW1119">
        <v>-2.42</v>
      </c>
      <c r="BX1119">
        <v>-1.6</v>
      </c>
      <c r="BY1119">
        <v>-1.93</v>
      </c>
      <c r="BZ1119">
        <v>-1.89</v>
      </c>
      <c r="CA1119">
        <v>-2.94</v>
      </c>
      <c r="CB1119">
        <v>-2.39</v>
      </c>
      <c r="CC1119">
        <v>-2.81</v>
      </c>
      <c r="CD1119">
        <v>0.9</v>
      </c>
      <c r="CE1119">
        <v>-1.27</v>
      </c>
      <c r="CF1119">
        <v>-1.85</v>
      </c>
      <c r="CG1119">
        <v>0</v>
      </c>
      <c r="CH1119">
        <v>-1.34</v>
      </c>
      <c r="CI1119">
        <v>0</v>
      </c>
      <c r="CJ1119">
        <v>2.2000000000000002</v>
      </c>
      <c r="CK1119">
        <v>88</v>
      </c>
      <c r="CL1119">
        <v>-0.13</v>
      </c>
      <c r="CM1119">
        <v>86</v>
      </c>
      <c r="CN1119">
        <v>0.21</v>
      </c>
      <c r="CO1119">
        <v>84</v>
      </c>
      <c r="CP1119">
        <v>-8</v>
      </c>
      <c r="CQ1119">
        <v>86</v>
      </c>
      <c r="CR1119">
        <v>0</v>
      </c>
      <c r="CS1119">
        <v>0</v>
      </c>
      <c r="CT1119">
        <v>-9.6999999999999993</v>
      </c>
      <c r="CU1119">
        <v>93</v>
      </c>
      <c r="CV1119">
        <v>0.05</v>
      </c>
      <c r="CW1119">
        <v>25</v>
      </c>
      <c r="CX1119" t="s">
        <v>1582</v>
      </c>
    </row>
    <row r="1120" spans="1:102" x14ac:dyDescent="0.3">
      <c r="A1120" t="str">
        <f>HYPERLINK("https://webapp.icbf.com/v2/app/bull-search/view/321043301","RKV")</f>
        <v>RKV</v>
      </c>
      <c r="B1120" t="s">
        <v>4188</v>
      </c>
      <c r="C1120" t="s">
        <v>4189</v>
      </c>
      <c r="D1120" s="1">
        <v>36375</v>
      </c>
      <c r="E1120" t="s">
        <v>227</v>
      </c>
      <c r="F1120">
        <v>0</v>
      </c>
      <c r="G1120" t="s">
        <v>93</v>
      </c>
      <c r="H1120">
        <v>134.68</v>
      </c>
      <c r="I1120">
        <v>97</v>
      </c>
      <c r="J1120">
        <v>56.03</v>
      </c>
      <c r="K1120">
        <v>99</v>
      </c>
      <c r="L1120">
        <v>47.99</v>
      </c>
      <c r="M1120">
        <v>95</v>
      </c>
      <c r="N1120">
        <v>12.96</v>
      </c>
      <c r="O1120">
        <v>98</v>
      </c>
      <c r="P1120">
        <v>-60.39</v>
      </c>
      <c r="Q1120">
        <v>99</v>
      </c>
      <c r="R1120">
        <v>6.73</v>
      </c>
      <c r="S1120">
        <v>96</v>
      </c>
      <c r="T1120">
        <v>64.52</v>
      </c>
      <c r="U1120">
        <v>99</v>
      </c>
      <c r="V1120">
        <v>6.84</v>
      </c>
      <c r="W1120">
        <v>98</v>
      </c>
      <c r="X1120" t="s">
        <v>302</v>
      </c>
      <c r="Y1120" t="s">
        <v>95</v>
      </c>
      <c r="Z1120">
        <v>0</v>
      </c>
      <c r="AA1120" t="s">
        <v>4190</v>
      </c>
      <c r="AB1120" t="s">
        <v>4191</v>
      </c>
      <c r="AC1120">
        <v>1027</v>
      </c>
      <c r="AD1120">
        <v>222</v>
      </c>
      <c r="AE1120">
        <v>99</v>
      </c>
      <c r="AF1120">
        <v>-381.36</v>
      </c>
      <c r="AG1120">
        <v>15.64</v>
      </c>
      <c r="AH1120">
        <v>-1.84</v>
      </c>
      <c r="AI1120">
        <v>0.56999999999999995</v>
      </c>
      <c r="AJ1120">
        <v>0.21</v>
      </c>
      <c r="AK1120">
        <v>95</v>
      </c>
      <c r="AL1120">
        <v>995</v>
      </c>
      <c r="AM1120">
        <v>205</v>
      </c>
      <c r="AN1120">
        <v>-1.61</v>
      </c>
      <c r="AO1120">
        <v>2.23</v>
      </c>
      <c r="AP1120">
        <v>1633</v>
      </c>
      <c r="AQ1120">
        <v>15</v>
      </c>
      <c r="AR1120">
        <v>2.27</v>
      </c>
      <c r="AS1120">
        <v>98</v>
      </c>
      <c r="AT1120">
        <v>1.28</v>
      </c>
      <c r="AU1120">
        <v>98</v>
      </c>
      <c r="AV1120">
        <v>-0.87</v>
      </c>
      <c r="AW1120">
        <v>99</v>
      </c>
      <c r="AX1120">
        <v>0.6</v>
      </c>
      <c r="AY1120">
        <v>98</v>
      </c>
      <c r="AZ1120">
        <v>11.1</v>
      </c>
      <c r="BA1120">
        <v>94</v>
      </c>
      <c r="BB1120">
        <v>6.21</v>
      </c>
      <c r="BC1120">
        <v>95</v>
      </c>
      <c r="BD1120">
        <v>-0.04</v>
      </c>
      <c r="BE1120">
        <v>-0.02</v>
      </c>
      <c r="BF1120">
        <v>-0.05</v>
      </c>
      <c r="BG1120">
        <v>98</v>
      </c>
      <c r="BH1120">
        <v>0.16</v>
      </c>
      <c r="BI1120">
        <v>-3.55</v>
      </c>
      <c r="BJ1120">
        <v>57</v>
      </c>
      <c r="BK1120">
        <v>17</v>
      </c>
      <c r="BL1120">
        <v>-3.94</v>
      </c>
      <c r="BM1120">
        <v>-2.37</v>
      </c>
      <c r="BN1120">
        <v>-1.97</v>
      </c>
      <c r="BO1120">
        <v>-0.18</v>
      </c>
      <c r="BP1120">
        <v>-1.95</v>
      </c>
      <c r="BQ1120">
        <v>-7.18</v>
      </c>
      <c r="BR1120">
        <v>3.78</v>
      </c>
      <c r="BS1120">
        <v>4.88</v>
      </c>
      <c r="BT1120">
        <v>-2.9</v>
      </c>
      <c r="BU1120">
        <v>0.17</v>
      </c>
      <c r="BV1120">
        <v>0.15</v>
      </c>
      <c r="BW1120">
        <v>-2.78</v>
      </c>
      <c r="BX1120">
        <v>-2.97</v>
      </c>
      <c r="BY1120">
        <v>-1.38</v>
      </c>
      <c r="BZ1120">
        <v>-1.55</v>
      </c>
      <c r="CA1120">
        <v>0.87</v>
      </c>
      <c r="CB1120">
        <v>-0.13</v>
      </c>
      <c r="CC1120">
        <v>2.39</v>
      </c>
      <c r="CD1120">
        <v>-1.39</v>
      </c>
      <c r="CE1120">
        <v>-0.25</v>
      </c>
      <c r="CF1120">
        <v>-4.54</v>
      </c>
      <c r="CG1120">
        <v>0</v>
      </c>
      <c r="CH1120">
        <v>-0.76</v>
      </c>
      <c r="CI1120">
        <v>0</v>
      </c>
      <c r="CJ1120">
        <v>-30.9</v>
      </c>
      <c r="CK1120">
        <v>99</v>
      </c>
      <c r="CL1120">
        <v>-0.87</v>
      </c>
      <c r="CM1120">
        <v>99</v>
      </c>
      <c r="CN1120">
        <v>0.11</v>
      </c>
      <c r="CO1120">
        <v>99</v>
      </c>
      <c r="CP1120">
        <v>-49.9</v>
      </c>
      <c r="CQ1120">
        <v>99</v>
      </c>
      <c r="CR1120">
        <v>0</v>
      </c>
      <c r="CS1120">
        <v>0</v>
      </c>
      <c r="CT1120">
        <v>-73.400000000000006</v>
      </c>
      <c r="CU1120">
        <v>99</v>
      </c>
      <c r="CV1120">
        <v>-0.33</v>
      </c>
      <c r="CW1120">
        <v>46</v>
      </c>
      <c r="CX1120" t="s">
        <v>567</v>
      </c>
    </row>
    <row r="1121" spans="1:102" x14ac:dyDescent="0.3">
      <c r="A1121" t="str">
        <f>HYPERLINK("https://webapp.icbf.com/v2/app/bull-search/view/77853100","TIH")</f>
        <v>TIH</v>
      </c>
      <c r="B1121" t="s">
        <v>15000</v>
      </c>
      <c r="C1121" t="s">
        <v>5174</v>
      </c>
      <c r="D1121" s="1">
        <v>36027</v>
      </c>
      <c r="E1121" t="s">
        <v>108</v>
      </c>
      <c r="F1121">
        <v>0</v>
      </c>
      <c r="G1121" t="s">
        <v>93</v>
      </c>
      <c r="H1121">
        <v>134.61000000000001</v>
      </c>
      <c r="I1121">
        <v>99</v>
      </c>
      <c r="J1121">
        <v>-17.690000000000001</v>
      </c>
      <c r="K1121">
        <v>99</v>
      </c>
      <c r="L1121">
        <v>119.79</v>
      </c>
      <c r="M1121">
        <v>99</v>
      </c>
      <c r="N1121">
        <v>27.55</v>
      </c>
      <c r="O1121">
        <v>99</v>
      </c>
      <c r="P1121">
        <v>-10.06</v>
      </c>
      <c r="Q1121">
        <v>99</v>
      </c>
      <c r="R1121">
        <v>6.2</v>
      </c>
      <c r="S1121">
        <v>99</v>
      </c>
      <c r="T1121">
        <v>10.42</v>
      </c>
      <c r="U1121">
        <v>99</v>
      </c>
      <c r="V1121">
        <v>-1.6</v>
      </c>
      <c r="W1121">
        <v>99</v>
      </c>
      <c r="X1121" t="s">
        <v>102</v>
      </c>
      <c r="Y1121" t="s">
        <v>95</v>
      </c>
      <c r="Z1121" t="s">
        <v>96</v>
      </c>
      <c r="AA1121" t="s">
        <v>479</v>
      </c>
      <c r="AB1121" t="s">
        <v>2780</v>
      </c>
      <c r="AC1121">
        <v>15770</v>
      </c>
      <c r="AD1121">
        <v>2228</v>
      </c>
      <c r="AE1121">
        <v>99</v>
      </c>
      <c r="AF1121">
        <v>-375.04</v>
      </c>
      <c r="AG1121">
        <v>-10.57</v>
      </c>
      <c r="AH1121">
        <v>-5.01</v>
      </c>
      <c r="AI1121">
        <v>0.08</v>
      </c>
      <c r="AJ1121">
        <v>0.14000000000000001</v>
      </c>
      <c r="AK1121">
        <v>99</v>
      </c>
      <c r="AL1121">
        <v>21500</v>
      </c>
      <c r="AM1121">
        <v>3708</v>
      </c>
      <c r="AN1121">
        <v>-6.76</v>
      </c>
      <c r="AO1121">
        <v>2.79</v>
      </c>
      <c r="AP1121">
        <v>28145</v>
      </c>
      <c r="AQ1121">
        <v>193</v>
      </c>
      <c r="AR1121">
        <v>4.8099999999999996</v>
      </c>
      <c r="AS1121">
        <v>99</v>
      </c>
      <c r="AT1121">
        <v>2.02</v>
      </c>
      <c r="AU1121">
        <v>99</v>
      </c>
      <c r="AV1121">
        <v>-2.44</v>
      </c>
      <c r="AW1121">
        <v>99</v>
      </c>
      <c r="AX1121">
        <v>-0.52</v>
      </c>
      <c r="AY1121">
        <v>99</v>
      </c>
      <c r="AZ1121">
        <v>7.58</v>
      </c>
      <c r="BA1121">
        <v>99</v>
      </c>
      <c r="BB1121">
        <v>6.1</v>
      </c>
      <c r="BC1121">
        <v>99</v>
      </c>
      <c r="BD1121">
        <v>-0.04</v>
      </c>
      <c r="BE1121">
        <v>-0.04</v>
      </c>
      <c r="BF1121">
        <v>0</v>
      </c>
      <c r="BG1121">
        <v>99</v>
      </c>
      <c r="BH1121">
        <v>0.04</v>
      </c>
      <c r="BI1121">
        <v>9.7799999999999994</v>
      </c>
      <c r="BJ1121">
        <v>486</v>
      </c>
      <c r="BK1121">
        <v>195</v>
      </c>
      <c r="BL1121">
        <v>-2.42</v>
      </c>
      <c r="BM1121">
        <v>1.71</v>
      </c>
      <c r="BN1121">
        <v>-3.09</v>
      </c>
      <c r="BO1121">
        <v>-3.22</v>
      </c>
      <c r="BP1121">
        <v>-1.61</v>
      </c>
      <c r="BQ1121">
        <v>1.77</v>
      </c>
      <c r="BR1121">
        <v>-3.54</v>
      </c>
      <c r="BS1121">
        <v>0.67</v>
      </c>
      <c r="BT1121">
        <v>1.27</v>
      </c>
      <c r="BU1121">
        <v>-2</v>
      </c>
      <c r="BV1121">
        <v>-2</v>
      </c>
      <c r="BW1121">
        <v>-1.43</v>
      </c>
      <c r="BX1121">
        <v>-0.33</v>
      </c>
      <c r="BY1121">
        <v>0.86</v>
      </c>
      <c r="BZ1121">
        <v>0.33</v>
      </c>
      <c r="CA1121">
        <v>-1.1399999999999999</v>
      </c>
      <c r="CB1121">
        <v>-1.77</v>
      </c>
      <c r="CC1121">
        <v>0.25</v>
      </c>
      <c r="CD1121">
        <v>2.85</v>
      </c>
      <c r="CE1121">
        <v>-2.94</v>
      </c>
      <c r="CF1121">
        <v>-1.59</v>
      </c>
      <c r="CG1121">
        <v>0</v>
      </c>
      <c r="CH1121">
        <v>0.89</v>
      </c>
      <c r="CI1121">
        <v>0</v>
      </c>
      <c r="CJ1121">
        <v>-4.2</v>
      </c>
      <c r="CK1121">
        <v>99</v>
      </c>
      <c r="CL1121">
        <v>-0.1</v>
      </c>
      <c r="CM1121">
        <v>99</v>
      </c>
      <c r="CN1121">
        <v>0.19</v>
      </c>
      <c r="CO1121">
        <v>99</v>
      </c>
      <c r="CP1121">
        <v>-6.7</v>
      </c>
      <c r="CQ1121">
        <v>99</v>
      </c>
      <c r="CR1121">
        <v>0</v>
      </c>
      <c r="CS1121">
        <v>0</v>
      </c>
      <c r="CT1121">
        <v>-0.3</v>
      </c>
      <c r="CU1121">
        <v>99</v>
      </c>
      <c r="CV1121">
        <v>0.1</v>
      </c>
      <c r="CW1121">
        <v>52</v>
      </c>
      <c r="CX1121" t="s">
        <v>2781</v>
      </c>
    </row>
    <row r="1122" spans="1:102" x14ac:dyDescent="0.3">
      <c r="A1122" t="str">
        <f>HYPERLINK("https://webapp.icbf.com/v2/app/bull-search/view/554312764","DZR")</f>
        <v>DZR</v>
      </c>
      <c r="B1122" t="s">
        <v>5073</v>
      </c>
      <c r="C1122" t="s">
        <v>5074</v>
      </c>
      <c r="D1122" s="1">
        <v>39238</v>
      </c>
      <c r="E1122" t="s">
        <v>108</v>
      </c>
      <c r="F1122">
        <v>0</v>
      </c>
      <c r="G1122" t="s">
        <v>93</v>
      </c>
      <c r="H1122">
        <v>134.47999999999999</v>
      </c>
      <c r="I1122">
        <v>92</v>
      </c>
      <c r="J1122">
        <v>-29.35</v>
      </c>
      <c r="K1122">
        <v>98</v>
      </c>
      <c r="L1122">
        <v>126.1</v>
      </c>
      <c r="M1122">
        <v>85</v>
      </c>
      <c r="N1122">
        <v>16.68</v>
      </c>
      <c r="O1122">
        <v>93</v>
      </c>
      <c r="P1122">
        <v>-5.78</v>
      </c>
      <c r="Q1122">
        <v>98</v>
      </c>
      <c r="R1122">
        <v>11.83</v>
      </c>
      <c r="S1122">
        <v>89</v>
      </c>
      <c r="T1122">
        <v>13.31</v>
      </c>
      <c r="U1122">
        <v>94</v>
      </c>
      <c r="V1122">
        <v>1.69</v>
      </c>
      <c r="W1122">
        <v>92</v>
      </c>
      <c r="X1122" t="s">
        <v>102</v>
      </c>
      <c r="Y1122" t="s">
        <v>4217</v>
      </c>
      <c r="Z1122" t="s">
        <v>96</v>
      </c>
      <c r="AA1122" t="s">
        <v>5075</v>
      </c>
      <c r="AB1122" t="s">
        <v>5076</v>
      </c>
      <c r="AC1122">
        <v>257</v>
      </c>
      <c r="AD1122">
        <v>144</v>
      </c>
      <c r="AE1122">
        <v>98</v>
      </c>
      <c r="AF1122">
        <v>-185.18</v>
      </c>
      <c r="AG1122">
        <v>-6.01</v>
      </c>
      <c r="AH1122">
        <v>-5.7</v>
      </c>
      <c r="AI1122">
        <v>0.02</v>
      </c>
      <c r="AJ1122">
        <v>0.01</v>
      </c>
      <c r="AK1122">
        <v>85</v>
      </c>
      <c r="AL1122">
        <v>344</v>
      </c>
      <c r="AM1122">
        <v>178</v>
      </c>
      <c r="AN1122">
        <v>-7.35</v>
      </c>
      <c r="AO1122">
        <v>2.7</v>
      </c>
      <c r="AP1122">
        <v>517</v>
      </c>
      <c r="AQ1122">
        <v>0</v>
      </c>
      <c r="AR1122">
        <v>7.47</v>
      </c>
      <c r="AS1122">
        <v>84</v>
      </c>
      <c r="AT1122">
        <v>2.9</v>
      </c>
      <c r="AU1122">
        <v>94</v>
      </c>
      <c r="AV1122">
        <v>-1.83</v>
      </c>
      <c r="AW1122">
        <v>98</v>
      </c>
      <c r="AX1122">
        <v>-0.32</v>
      </c>
      <c r="AY1122">
        <v>93</v>
      </c>
      <c r="AZ1122">
        <v>7.26</v>
      </c>
      <c r="BA1122">
        <v>81</v>
      </c>
      <c r="BB1122">
        <v>4.95</v>
      </c>
      <c r="BC1122">
        <v>85</v>
      </c>
      <c r="BD1122">
        <v>0</v>
      </c>
      <c r="BE1122">
        <v>-0.08</v>
      </c>
      <c r="BF1122">
        <v>-0.12</v>
      </c>
      <c r="BG1122">
        <v>95</v>
      </c>
      <c r="BH1122">
        <v>-0.01</v>
      </c>
      <c r="BI1122">
        <v>-6.62</v>
      </c>
      <c r="BJ1122">
        <v>52</v>
      </c>
      <c r="BK1122">
        <v>21</v>
      </c>
      <c r="BL1122">
        <v>-2.39</v>
      </c>
      <c r="BM1122">
        <v>3.75</v>
      </c>
      <c r="BN1122">
        <v>-1.36</v>
      </c>
      <c r="BO1122">
        <v>-3.34</v>
      </c>
      <c r="BP1122">
        <v>1.49</v>
      </c>
      <c r="BQ1122">
        <v>2.76</v>
      </c>
      <c r="BR1122">
        <v>-1.85</v>
      </c>
      <c r="BS1122">
        <v>-1.64</v>
      </c>
      <c r="BT1122">
        <v>-0.09</v>
      </c>
      <c r="BU1122">
        <v>-4.62</v>
      </c>
      <c r="BV1122">
        <v>-5.4</v>
      </c>
      <c r="BW1122">
        <v>-3.65</v>
      </c>
      <c r="BX1122">
        <v>-3.38</v>
      </c>
      <c r="BY1122">
        <v>-0.39</v>
      </c>
      <c r="BZ1122">
        <v>1.88</v>
      </c>
      <c r="CA1122">
        <v>-4.3899999999999997</v>
      </c>
      <c r="CB1122">
        <v>-4.2699999999999996</v>
      </c>
      <c r="CC1122">
        <v>-2.71</v>
      </c>
      <c r="CD1122">
        <v>3.7</v>
      </c>
      <c r="CE1122">
        <v>-3.1</v>
      </c>
      <c r="CF1122">
        <v>-0.12</v>
      </c>
      <c r="CG1122">
        <v>0</v>
      </c>
      <c r="CH1122">
        <v>-0.67</v>
      </c>
      <c r="CI1122">
        <v>0</v>
      </c>
      <c r="CJ1122">
        <v>-6.8</v>
      </c>
      <c r="CK1122">
        <v>98</v>
      </c>
      <c r="CL1122">
        <v>0.23</v>
      </c>
      <c r="CM1122">
        <v>98</v>
      </c>
      <c r="CN1122">
        <v>-0.17</v>
      </c>
      <c r="CO1122">
        <v>97</v>
      </c>
      <c r="CP1122">
        <v>-5.0999999999999996</v>
      </c>
      <c r="CQ1122">
        <v>95</v>
      </c>
      <c r="CR1122">
        <v>0</v>
      </c>
      <c r="CS1122">
        <v>0</v>
      </c>
      <c r="CT1122">
        <v>-4.2</v>
      </c>
      <c r="CU1122">
        <v>94</v>
      </c>
      <c r="CV1122">
        <v>-0.1</v>
      </c>
      <c r="CW1122">
        <v>45</v>
      </c>
      <c r="CX1122" t="s">
        <v>5077</v>
      </c>
    </row>
    <row r="1123" spans="1:102" x14ac:dyDescent="0.3">
      <c r="A1123" t="str">
        <f>HYPERLINK("https://webapp.icbf.com/v2/app/bull-search/view/586067854","VSC")</f>
        <v>VSC</v>
      </c>
      <c r="B1123" t="s">
        <v>14850</v>
      </c>
      <c r="C1123" t="s">
        <v>5596</v>
      </c>
      <c r="D1123" s="1">
        <v>38102</v>
      </c>
      <c r="E1123" t="s">
        <v>92</v>
      </c>
      <c r="F1123">
        <v>100</v>
      </c>
      <c r="G1123" t="s">
        <v>93</v>
      </c>
      <c r="H1123">
        <v>134.44999999999999</v>
      </c>
      <c r="I1123">
        <v>96</v>
      </c>
      <c r="J1123">
        <v>70.83</v>
      </c>
      <c r="K1123">
        <v>99</v>
      </c>
      <c r="L1123">
        <v>15.5</v>
      </c>
      <c r="M1123">
        <v>94</v>
      </c>
      <c r="N1123">
        <v>47.86</v>
      </c>
      <c r="O1123">
        <v>96</v>
      </c>
      <c r="P1123">
        <v>-5.66</v>
      </c>
      <c r="Q1123">
        <v>99</v>
      </c>
      <c r="R1123">
        <v>6.39</v>
      </c>
      <c r="S1123">
        <v>90</v>
      </c>
      <c r="T1123">
        <v>-6.82</v>
      </c>
      <c r="U1123">
        <v>97</v>
      </c>
      <c r="V1123">
        <v>6.35</v>
      </c>
      <c r="W1123">
        <v>87</v>
      </c>
      <c r="X1123" t="s">
        <v>276</v>
      </c>
      <c r="Y1123" t="s">
        <v>235</v>
      </c>
      <c r="Z1123" t="s">
        <v>96</v>
      </c>
      <c r="AA1123" t="s">
        <v>316</v>
      </c>
      <c r="AB1123" t="s">
        <v>14851</v>
      </c>
      <c r="AC1123">
        <v>632</v>
      </c>
      <c r="AD1123">
        <v>220</v>
      </c>
      <c r="AE1123">
        <v>99</v>
      </c>
      <c r="AF1123">
        <v>437.91</v>
      </c>
      <c r="AG1123">
        <v>10.09</v>
      </c>
      <c r="AH1123">
        <v>15.18</v>
      </c>
      <c r="AI1123">
        <v>-0.11</v>
      </c>
      <c r="AJ1123">
        <v>0.01</v>
      </c>
      <c r="AK1123">
        <v>94</v>
      </c>
      <c r="AL1123">
        <v>692</v>
      </c>
      <c r="AM1123">
        <v>257</v>
      </c>
      <c r="AN1123">
        <v>-0.55000000000000004</v>
      </c>
      <c r="AO1123">
        <v>0.69</v>
      </c>
      <c r="AP1123">
        <v>1388</v>
      </c>
      <c r="AQ1123">
        <v>2</v>
      </c>
      <c r="AR1123">
        <v>4.42</v>
      </c>
      <c r="AS1123">
        <v>95</v>
      </c>
      <c r="AT1123">
        <v>1.86</v>
      </c>
      <c r="AU1123">
        <v>97</v>
      </c>
      <c r="AV1123">
        <v>-3.88</v>
      </c>
      <c r="AW1123">
        <v>99</v>
      </c>
      <c r="AX1123">
        <v>0.31</v>
      </c>
      <c r="AY1123">
        <v>97</v>
      </c>
      <c r="AZ1123">
        <v>5.98</v>
      </c>
      <c r="BA1123">
        <v>89</v>
      </c>
      <c r="BB1123">
        <v>4.8099999999999996</v>
      </c>
      <c r="BC1123">
        <v>89</v>
      </c>
      <c r="BD1123">
        <v>0</v>
      </c>
      <c r="BE1123">
        <v>-0.03</v>
      </c>
      <c r="BF1123">
        <v>-0.09</v>
      </c>
      <c r="BG1123">
        <v>97</v>
      </c>
      <c r="BH1123">
        <v>0.06</v>
      </c>
      <c r="BI1123">
        <v>-13.54</v>
      </c>
      <c r="BJ1123">
        <v>124</v>
      </c>
      <c r="BK1123">
        <v>45</v>
      </c>
      <c r="BL1123">
        <v>1.1200000000000001</v>
      </c>
      <c r="BM1123">
        <v>1.35</v>
      </c>
      <c r="BN1123">
        <v>-0.38</v>
      </c>
      <c r="BO1123">
        <v>-0.59</v>
      </c>
      <c r="BP1123">
        <v>-0.11</v>
      </c>
      <c r="BQ1123">
        <v>1.17</v>
      </c>
      <c r="BR1123">
        <v>-2.02</v>
      </c>
      <c r="BS1123">
        <v>0.16</v>
      </c>
      <c r="BT1123">
        <v>1.9</v>
      </c>
      <c r="BU1123">
        <v>1.72</v>
      </c>
      <c r="BV1123">
        <v>1.73</v>
      </c>
      <c r="BW1123">
        <v>2.11</v>
      </c>
      <c r="BX1123">
        <v>3.14</v>
      </c>
      <c r="BY1123">
        <v>1.75</v>
      </c>
      <c r="BZ1123">
        <v>-0.63</v>
      </c>
      <c r="CA1123">
        <v>1.51</v>
      </c>
      <c r="CB1123">
        <v>1.63</v>
      </c>
      <c r="CC1123">
        <v>0.44</v>
      </c>
      <c r="CD1123">
        <v>1.2</v>
      </c>
      <c r="CE1123">
        <v>-0.55000000000000004</v>
      </c>
      <c r="CF1123">
        <v>0.79</v>
      </c>
      <c r="CG1123">
        <v>0</v>
      </c>
      <c r="CH1123">
        <v>1.71</v>
      </c>
      <c r="CI1123">
        <v>0</v>
      </c>
      <c r="CJ1123">
        <v>0.4</v>
      </c>
      <c r="CK1123">
        <v>99</v>
      </c>
      <c r="CL1123">
        <v>-0.89</v>
      </c>
      <c r="CM1123">
        <v>99</v>
      </c>
      <c r="CN1123">
        <v>-0.19</v>
      </c>
      <c r="CO1123">
        <v>99</v>
      </c>
      <c r="CP1123">
        <v>5</v>
      </c>
      <c r="CQ1123">
        <v>97</v>
      </c>
      <c r="CR1123">
        <v>0</v>
      </c>
      <c r="CS1123">
        <v>0</v>
      </c>
      <c r="CT1123">
        <v>23</v>
      </c>
      <c r="CU1123">
        <v>97</v>
      </c>
      <c r="CV1123">
        <v>0.36</v>
      </c>
      <c r="CW1123">
        <v>49</v>
      </c>
      <c r="CX1123" t="s">
        <v>273</v>
      </c>
    </row>
    <row r="1124" spans="1:102" x14ac:dyDescent="0.3">
      <c r="A1124" t="str">
        <f>HYPERLINK("https://webapp.icbf.com/v2/app/bull-search/view/910796029","S1160")</f>
        <v>S1160</v>
      </c>
      <c r="B1124" t="s">
        <v>5489</v>
      </c>
      <c r="C1124" t="s">
        <v>2269</v>
      </c>
      <c r="D1124" s="1">
        <v>40067</v>
      </c>
      <c r="E1124" t="s">
        <v>92</v>
      </c>
      <c r="F1124">
        <v>100</v>
      </c>
      <c r="G1124" t="s">
        <v>93</v>
      </c>
      <c r="H1124">
        <v>134.21</v>
      </c>
      <c r="I1124">
        <v>88</v>
      </c>
      <c r="J1124">
        <v>58.71</v>
      </c>
      <c r="K1124">
        <v>96</v>
      </c>
      <c r="L1124">
        <v>29.63</v>
      </c>
      <c r="M1124">
        <v>90</v>
      </c>
      <c r="N1124">
        <v>41.17</v>
      </c>
      <c r="O1124">
        <v>86</v>
      </c>
      <c r="P1124">
        <v>-4.32</v>
      </c>
      <c r="Q1124">
        <v>88</v>
      </c>
      <c r="R1124">
        <v>5.46</v>
      </c>
      <c r="S1124">
        <v>79</v>
      </c>
      <c r="T1124">
        <v>3.1</v>
      </c>
      <c r="U1124">
        <v>70</v>
      </c>
      <c r="V1124">
        <v>0.46</v>
      </c>
      <c r="W1124">
        <v>64</v>
      </c>
      <c r="X1124" t="s">
        <v>276</v>
      </c>
      <c r="Y1124" t="s">
        <v>336</v>
      </c>
      <c r="Z1124" t="s">
        <v>96</v>
      </c>
      <c r="AA1124" t="s">
        <v>1962</v>
      </c>
      <c r="AB1124" t="s">
        <v>5490</v>
      </c>
      <c r="AC1124">
        <v>52</v>
      </c>
      <c r="AD1124">
        <v>30</v>
      </c>
      <c r="AE1124">
        <v>96</v>
      </c>
      <c r="AF1124">
        <v>571.62</v>
      </c>
      <c r="AG1124">
        <v>16.89</v>
      </c>
      <c r="AH1124">
        <v>12.76</v>
      </c>
      <c r="AI1124">
        <v>-0.09</v>
      </c>
      <c r="AJ1124">
        <v>-0.11</v>
      </c>
      <c r="AK1124">
        <v>90</v>
      </c>
      <c r="AL1124">
        <v>47</v>
      </c>
      <c r="AM1124">
        <v>20</v>
      </c>
      <c r="AN1124">
        <v>-0.32</v>
      </c>
      <c r="AO1124">
        <v>2.06</v>
      </c>
      <c r="AP1124">
        <v>67</v>
      </c>
      <c r="AQ1124">
        <v>2</v>
      </c>
      <c r="AR1124">
        <v>6.26</v>
      </c>
      <c r="AS1124">
        <v>86</v>
      </c>
      <c r="AT1124">
        <v>2.29</v>
      </c>
      <c r="AU1124">
        <v>98</v>
      </c>
      <c r="AV1124">
        <v>-3.35</v>
      </c>
      <c r="AW1124">
        <v>90</v>
      </c>
      <c r="AX1124">
        <v>0.11</v>
      </c>
      <c r="AY1124">
        <v>85</v>
      </c>
      <c r="AZ1124">
        <v>4.79</v>
      </c>
      <c r="BA1124">
        <v>69</v>
      </c>
      <c r="BB1124">
        <v>4.43</v>
      </c>
      <c r="BC1124">
        <v>59</v>
      </c>
      <c r="BD1124">
        <v>-0.04</v>
      </c>
      <c r="BE1124">
        <v>-0.01</v>
      </c>
      <c r="BF1124">
        <v>-0.04</v>
      </c>
      <c r="BG1124">
        <v>94</v>
      </c>
      <c r="BH1124">
        <v>-0.03</v>
      </c>
      <c r="BI1124">
        <v>-4.95</v>
      </c>
      <c r="BJ1124">
        <v>42</v>
      </c>
      <c r="BK1124">
        <v>23</v>
      </c>
      <c r="BL1124">
        <v>0.15</v>
      </c>
      <c r="BM1124">
        <v>-0.17</v>
      </c>
      <c r="BN1124">
        <v>0.22</v>
      </c>
      <c r="BO1124">
        <v>0.78</v>
      </c>
      <c r="BP1124">
        <v>0.72</v>
      </c>
      <c r="BQ1124">
        <v>2.4</v>
      </c>
      <c r="BR1124">
        <v>1.25</v>
      </c>
      <c r="BS1124">
        <v>0.68</v>
      </c>
      <c r="BT1124">
        <v>-0.66</v>
      </c>
      <c r="BU1124">
        <v>2.37</v>
      </c>
      <c r="BV1124">
        <v>1.65</v>
      </c>
      <c r="BW1124">
        <v>1.75</v>
      </c>
      <c r="BX1124">
        <v>1.5</v>
      </c>
      <c r="BY1124">
        <v>3.17</v>
      </c>
      <c r="BZ1124">
        <v>-3.38</v>
      </c>
      <c r="CA1124">
        <v>1.77</v>
      </c>
      <c r="CB1124">
        <v>2.13</v>
      </c>
      <c r="CC1124">
        <v>1.1200000000000001</v>
      </c>
      <c r="CD1124">
        <v>-0.36</v>
      </c>
      <c r="CE1124">
        <v>1.36</v>
      </c>
      <c r="CF1124">
        <v>1.45</v>
      </c>
      <c r="CG1124">
        <v>0</v>
      </c>
      <c r="CH1124">
        <v>2.94</v>
      </c>
      <c r="CI1124">
        <v>0</v>
      </c>
      <c r="CJ1124">
        <v>1.3</v>
      </c>
      <c r="CK1124">
        <v>90</v>
      </c>
      <c r="CL1124">
        <v>-0.96</v>
      </c>
      <c r="CM1124">
        <v>88</v>
      </c>
      <c r="CN1124">
        <v>-0.36</v>
      </c>
      <c r="CO1124">
        <v>87</v>
      </c>
      <c r="CP1124">
        <v>-2.8</v>
      </c>
      <c r="CQ1124">
        <v>76</v>
      </c>
      <c r="CR1124">
        <v>0</v>
      </c>
      <c r="CS1124">
        <v>0</v>
      </c>
      <c r="CT1124">
        <v>9.6</v>
      </c>
      <c r="CU1124">
        <v>70</v>
      </c>
      <c r="CV1124">
        <v>0.24</v>
      </c>
      <c r="CW1124">
        <v>44</v>
      </c>
      <c r="CX1124" t="s">
        <v>350</v>
      </c>
    </row>
    <row r="1125" spans="1:102" x14ac:dyDescent="0.3">
      <c r="A1125" t="str">
        <f>HYPERLINK("https://webapp.icbf.com/v2/app/bull-search/view/1304701969","FR2473")</f>
        <v>FR2473</v>
      </c>
      <c r="B1125" t="s">
        <v>2316</v>
      </c>
      <c r="C1125" t="s">
        <v>2317</v>
      </c>
      <c r="D1125" s="1">
        <v>41742</v>
      </c>
      <c r="E1125" t="s">
        <v>92</v>
      </c>
      <c r="F1125">
        <v>100</v>
      </c>
      <c r="G1125" t="s">
        <v>109</v>
      </c>
      <c r="H1125">
        <v>134.09</v>
      </c>
      <c r="I1125">
        <v>78</v>
      </c>
      <c r="J1125">
        <v>106.27</v>
      </c>
      <c r="K1125">
        <v>92</v>
      </c>
      <c r="L1125">
        <v>-4.21</v>
      </c>
      <c r="M1125">
        <v>77</v>
      </c>
      <c r="N1125">
        <v>34.46</v>
      </c>
      <c r="O1125">
        <v>76</v>
      </c>
      <c r="P1125">
        <v>-8.9</v>
      </c>
      <c r="Q1125">
        <v>70</v>
      </c>
      <c r="R1125">
        <v>10.9</v>
      </c>
      <c r="S1125">
        <v>71</v>
      </c>
      <c r="T1125">
        <v>-2.38</v>
      </c>
      <c r="U1125">
        <v>47</v>
      </c>
      <c r="V1125">
        <v>-2.0499999999999998</v>
      </c>
      <c r="W1125">
        <v>59</v>
      </c>
      <c r="X1125" t="s">
        <v>94</v>
      </c>
      <c r="Y1125" t="s">
        <v>1775</v>
      </c>
      <c r="Z1125" t="s">
        <v>96</v>
      </c>
      <c r="AA1125" t="s">
        <v>2318</v>
      </c>
      <c r="AB1125" t="s">
        <v>2319</v>
      </c>
      <c r="AC1125">
        <v>0</v>
      </c>
      <c r="AD1125">
        <v>0</v>
      </c>
      <c r="AE1125">
        <v>92</v>
      </c>
      <c r="AF1125">
        <v>379.78</v>
      </c>
      <c r="AG1125">
        <v>23.17</v>
      </c>
      <c r="AH1125">
        <v>15.69</v>
      </c>
      <c r="AI1125">
        <v>0.14000000000000001</v>
      </c>
      <c r="AJ1125">
        <v>0.05</v>
      </c>
      <c r="AK1125">
        <v>77</v>
      </c>
      <c r="AL1125">
        <v>0</v>
      </c>
      <c r="AM1125">
        <v>0</v>
      </c>
      <c r="AN1125">
        <v>-0.1</v>
      </c>
      <c r="AO1125">
        <v>-0.44</v>
      </c>
      <c r="AP1125">
        <v>70</v>
      </c>
      <c r="AQ1125">
        <v>0</v>
      </c>
      <c r="AR1125">
        <v>6.02</v>
      </c>
      <c r="AS1125">
        <v>64</v>
      </c>
      <c r="AT1125">
        <v>2.75</v>
      </c>
      <c r="AU1125">
        <v>88</v>
      </c>
      <c r="AV1125">
        <v>-3.41</v>
      </c>
      <c r="AW1125">
        <v>88</v>
      </c>
      <c r="AX1125">
        <v>-0.4</v>
      </c>
      <c r="AY1125">
        <v>72</v>
      </c>
      <c r="AZ1125">
        <v>5.42</v>
      </c>
      <c r="BA1125">
        <v>49</v>
      </c>
      <c r="BB1125">
        <v>5.43</v>
      </c>
      <c r="BC1125">
        <v>39</v>
      </c>
      <c r="BD1125">
        <v>-0.04</v>
      </c>
      <c r="BE1125">
        <v>-0.06</v>
      </c>
      <c r="BF1125">
        <v>-7.0000000000000007E-2</v>
      </c>
      <c r="BG1125">
        <v>87</v>
      </c>
      <c r="BH1125">
        <v>-0.14000000000000001</v>
      </c>
      <c r="BI1125">
        <v>-9.57</v>
      </c>
      <c r="BJ1125">
        <v>0</v>
      </c>
      <c r="BK1125">
        <v>0</v>
      </c>
      <c r="BL1125">
        <v>2.8</v>
      </c>
      <c r="BM1125">
        <v>-0.39</v>
      </c>
      <c r="BN1125">
        <v>1.36</v>
      </c>
      <c r="BO1125">
        <v>2.08</v>
      </c>
      <c r="BP1125">
        <v>1.8</v>
      </c>
      <c r="BQ1125">
        <v>2.31</v>
      </c>
      <c r="BR1125">
        <v>-0.63</v>
      </c>
      <c r="BS1125">
        <v>2.52</v>
      </c>
      <c r="BT1125">
        <v>1.67</v>
      </c>
      <c r="BU1125">
        <v>2.93</v>
      </c>
      <c r="BV1125">
        <v>4.1900000000000004</v>
      </c>
      <c r="BW1125">
        <v>2.83</v>
      </c>
      <c r="BX1125">
        <v>2.41</v>
      </c>
      <c r="BY1125">
        <v>2.5099999999999998</v>
      </c>
      <c r="BZ1125">
        <v>0.12</v>
      </c>
      <c r="CA1125">
        <v>3.21</v>
      </c>
      <c r="CB1125">
        <v>2.9</v>
      </c>
      <c r="CC1125">
        <v>2.5099999999999998</v>
      </c>
      <c r="CD1125">
        <v>-1.3</v>
      </c>
      <c r="CE1125">
        <v>1.06</v>
      </c>
      <c r="CF1125">
        <v>1.41</v>
      </c>
      <c r="CG1125">
        <v>0</v>
      </c>
      <c r="CH1125">
        <v>2.25</v>
      </c>
      <c r="CI1125">
        <v>0</v>
      </c>
      <c r="CJ1125">
        <v>-2.7</v>
      </c>
      <c r="CK1125">
        <v>73</v>
      </c>
      <c r="CL1125">
        <v>-1.48</v>
      </c>
      <c r="CM1125">
        <v>69</v>
      </c>
      <c r="CN1125">
        <v>-0.8</v>
      </c>
      <c r="CO1125">
        <v>68</v>
      </c>
      <c r="CP1125">
        <v>4.9000000000000004</v>
      </c>
      <c r="CQ1125">
        <v>52</v>
      </c>
      <c r="CR1125">
        <v>0</v>
      </c>
      <c r="CS1125">
        <v>0</v>
      </c>
      <c r="CT1125">
        <v>17</v>
      </c>
      <c r="CU1125">
        <v>47</v>
      </c>
      <c r="CV1125">
        <v>0.26</v>
      </c>
      <c r="CW1125">
        <v>40</v>
      </c>
      <c r="CX1125" t="s">
        <v>1894</v>
      </c>
    </row>
    <row r="1126" spans="1:102" x14ac:dyDescent="0.3">
      <c r="A1126" t="str">
        <f>HYPERLINK("https://webapp.icbf.com/v2/app/bull-search/view/550980587","OKY")</f>
        <v>OKY</v>
      </c>
      <c r="B1126" t="s">
        <v>9931</v>
      </c>
      <c r="C1126" t="s">
        <v>9932</v>
      </c>
      <c r="D1126" s="1">
        <v>38959</v>
      </c>
      <c r="E1126" t="s">
        <v>227</v>
      </c>
      <c r="F1126">
        <v>0</v>
      </c>
      <c r="G1126" t="s">
        <v>93</v>
      </c>
      <c r="H1126">
        <v>133.99</v>
      </c>
      <c r="I1126">
        <v>94</v>
      </c>
      <c r="J1126">
        <v>59.96</v>
      </c>
      <c r="K1126">
        <v>98</v>
      </c>
      <c r="L1126">
        <v>45.75</v>
      </c>
      <c r="M1126">
        <v>89</v>
      </c>
      <c r="N1126">
        <v>21.85</v>
      </c>
      <c r="O1126">
        <v>94</v>
      </c>
      <c r="P1126">
        <v>-50.54</v>
      </c>
      <c r="Q1126">
        <v>95</v>
      </c>
      <c r="R1126">
        <v>4.16</v>
      </c>
      <c r="S1126">
        <v>91</v>
      </c>
      <c r="T1126">
        <v>52.16</v>
      </c>
      <c r="U1126">
        <v>95</v>
      </c>
      <c r="V1126">
        <v>0.65</v>
      </c>
      <c r="W1126">
        <v>93</v>
      </c>
      <c r="X1126" t="s">
        <v>94</v>
      </c>
      <c r="Y1126" t="s">
        <v>1524</v>
      </c>
      <c r="Z1126">
        <v>0</v>
      </c>
      <c r="AA1126" t="s">
        <v>1837</v>
      </c>
      <c r="AB1126" t="s">
        <v>8260</v>
      </c>
      <c r="AC1126">
        <v>286</v>
      </c>
      <c r="AD1126">
        <v>90</v>
      </c>
      <c r="AE1126">
        <v>98</v>
      </c>
      <c r="AF1126">
        <v>-263.13</v>
      </c>
      <c r="AG1126">
        <v>11.73</v>
      </c>
      <c r="AH1126">
        <v>2.02</v>
      </c>
      <c r="AI1126">
        <v>0.4</v>
      </c>
      <c r="AJ1126">
        <v>0.2</v>
      </c>
      <c r="AK1126">
        <v>89</v>
      </c>
      <c r="AL1126">
        <v>293</v>
      </c>
      <c r="AM1126">
        <v>88</v>
      </c>
      <c r="AN1126">
        <v>-1.62</v>
      </c>
      <c r="AO1126">
        <v>2.04</v>
      </c>
      <c r="AP1126">
        <v>510</v>
      </c>
      <c r="AQ1126">
        <v>5</v>
      </c>
      <c r="AR1126">
        <v>2.27</v>
      </c>
      <c r="AS1126">
        <v>92</v>
      </c>
      <c r="AT1126">
        <v>1.28</v>
      </c>
      <c r="AU1126">
        <v>94</v>
      </c>
      <c r="AV1126">
        <v>-1.08</v>
      </c>
      <c r="AW1126">
        <v>99</v>
      </c>
      <c r="AX1126">
        <v>0.54</v>
      </c>
      <c r="AY1126">
        <v>92</v>
      </c>
      <c r="AZ1126">
        <v>8.25</v>
      </c>
      <c r="BA1126">
        <v>83</v>
      </c>
      <c r="BB1126">
        <v>5.91</v>
      </c>
      <c r="BC1126">
        <v>86</v>
      </c>
      <c r="BD1126">
        <v>-7.0000000000000007E-2</v>
      </c>
      <c r="BE1126">
        <v>-0.01</v>
      </c>
      <c r="BF1126">
        <v>0.04</v>
      </c>
      <c r="BG1126">
        <v>96</v>
      </c>
      <c r="BH1126">
        <v>-0.11</v>
      </c>
      <c r="BI1126">
        <v>-14.81</v>
      </c>
      <c r="BJ1126">
        <v>58</v>
      </c>
      <c r="BK1126">
        <v>14</v>
      </c>
      <c r="BL1126">
        <v>-2.2799999999999998</v>
      </c>
      <c r="BM1126">
        <v>-1.37</v>
      </c>
      <c r="BN1126">
        <v>-0.38</v>
      </c>
      <c r="BO1126">
        <v>1.1499999999999999</v>
      </c>
      <c r="BP1126">
        <v>-0.76</v>
      </c>
      <c r="BQ1126">
        <v>-4.63</v>
      </c>
      <c r="BR1126">
        <v>1.92</v>
      </c>
      <c r="BS1126">
        <v>7.57</v>
      </c>
      <c r="BT1126">
        <v>-0.24</v>
      </c>
      <c r="BU1126">
        <v>-1.62</v>
      </c>
      <c r="BV1126">
        <v>-0.64</v>
      </c>
      <c r="BW1126">
        <v>-2.06</v>
      </c>
      <c r="BX1126">
        <v>-3.86</v>
      </c>
      <c r="BY1126">
        <v>-0.79</v>
      </c>
      <c r="BZ1126">
        <v>-1.63</v>
      </c>
      <c r="CA1126">
        <v>1.07</v>
      </c>
      <c r="CB1126">
        <v>-0.8</v>
      </c>
      <c r="CC1126">
        <v>4.51</v>
      </c>
      <c r="CD1126">
        <v>-1.48</v>
      </c>
      <c r="CE1126">
        <v>1.04</v>
      </c>
      <c r="CF1126">
        <v>-2.34</v>
      </c>
      <c r="CG1126">
        <v>0</v>
      </c>
      <c r="CH1126">
        <v>-0.77</v>
      </c>
      <c r="CI1126">
        <v>0</v>
      </c>
      <c r="CJ1126">
        <v>-27</v>
      </c>
      <c r="CK1126">
        <v>96</v>
      </c>
      <c r="CL1126">
        <v>-1</v>
      </c>
      <c r="CM1126">
        <v>95</v>
      </c>
      <c r="CN1126">
        <v>-0.22</v>
      </c>
      <c r="CO1126">
        <v>95</v>
      </c>
      <c r="CP1126">
        <v>-36.9</v>
      </c>
      <c r="CQ1126">
        <v>94</v>
      </c>
      <c r="CR1126">
        <v>0</v>
      </c>
      <c r="CS1126">
        <v>0</v>
      </c>
      <c r="CT1126">
        <v>-56.7</v>
      </c>
      <c r="CU1126">
        <v>95</v>
      </c>
      <c r="CV1126">
        <v>-0.2</v>
      </c>
      <c r="CW1126">
        <v>45</v>
      </c>
      <c r="CX1126" t="s">
        <v>1525</v>
      </c>
    </row>
    <row r="1127" spans="1:102" x14ac:dyDescent="0.3">
      <c r="A1127" t="str">
        <f>HYPERLINK("https://webapp.icbf.com/v2/app/bull-search/view/760394800","TEZ")</f>
        <v>TEZ</v>
      </c>
      <c r="B1127" t="s">
        <v>12932</v>
      </c>
      <c r="C1127" t="s">
        <v>12933</v>
      </c>
      <c r="D1127" s="1">
        <v>40025</v>
      </c>
      <c r="E1127" t="s">
        <v>92</v>
      </c>
      <c r="F1127">
        <v>50</v>
      </c>
      <c r="G1127" t="s">
        <v>93</v>
      </c>
      <c r="H1127">
        <v>133.94</v>
      </c>
      <c r="I1127">
        <v>95</v>
      </c>
      <c r="J1127">
        <v>72.900000000000006</v>
      </c>
      <c r="K1127">
        <v>99</v>
      </c>
      <c r="L1127">
        <v>39.32</v>
      </c>
      <c r="M1127">
        <v>91</v>
      </c>
      <c r="N1127">
        <v>25.45</v>
      </c>
      <c r="O1127">
        <v>96</v>
      </c>
      <c r="P1127">
        <v>-28.78</v>
      </c>
      <c r="Q1127">
        <v>98</v>
      </c>
      <c r="R1127">
        <v>-1.02</v>
      </c>
      <c r="S1127">
        <v>88</v>
      </c>
      <c r="T1127">
        <v>22.63</v>
      </c>
      <c r="U1127">
        <v>97</v>
      </c>
      <c r="V1127">
        <v>3.44</v>
      </c>
      <c r="W1127">
        <v>80</v>
      </c>
      <c r="X1127" t="s">
        <v>276</v>
      </c>
      <c r="Y1127" t="s">
        <v>422</v>
      </c>
      <c r="Z1127" t="s">
        <v>330</v>
      </c>
      <c r="AA1127" t="s">
        <v>5615</v>
      </c>
      <c r="AB1127" t="s">
        <v>12934</v>
      </c>
      <c r="AC1127">
        <v>580</v>
      </c>
      <c r="AD1127">
        <v>204</v>
      </c>
      <c r="AE1127">
        <v>99</v>
      </c>
      <c r="AF1127">
        <v>16.170000000000002</v>
      </c>
      <c r="AG1127">
        <v>12.71</v>
      </c>
      <c r="AH1127">
        <v>8.15</v>
      </c>
      <c r="AI1127">
        <v>0.21</v>
      </c>
      <c r="AJ1127">
        <v>0.13</v>
      </c>
      <c r="AK1127">
        <v>91</v>
      </c>
      <c r="AL1127">
        <v>632</v>
      </c>
      <c r="AM1127">
        <v>229</v>
      </c>
      <c r="AN1127">
        <v>-2.59</v>
      </c>
      <c r="AO1127">
        <v>0.54</v>
      </c>
      <c r="AP1127">
        <v>1298</v>
      </c>
      <c r="AQ1127">
        <v>3</v>
      </c>
      <c r="AR1127">
        <v>4.5199999999999996</v>
      </c>
      <c r="AS1127">
        <v>96</v>
      </c>
      <c r="AT1127">
        <v>1.81</v>
      </c>
      <c r="AU1127">
        <v>96</v>
      </c>
      <c r="AV1127">
        <v>-1.62</v>
      </c>
      <c r="AW1127">
        <v>99</v>
      </c>
      <c r="AX1127">
        <v>-0.38</v>
      </c>
      <c r="AY1127">
        <v>96</v>
      </c>
      <c r="AZ1127">
        <v>7.71</v>
      </c>
      <c r="BA1127">
        <v>89</v>
      </c>
      <c r="BB1127">
        <v>5.54</v>
      </c>
      <c r="BC1127">
        <v>86</v>
      </c>
      <c r="BD1127">
        <v>-0.04</v>
      </c>
      <c r="BE1127">
        <v>0</v>
      </c>
      <c r="BF1127">
        <v>0.09</v>
      </c>
      <c r="BG1127">
        <v>97</v>
      </c>
      <c r="BH1127">
        <v>0.05</v>
      </c>
      <c r="BI1127">
        <v>-5.3</v>
      </c>
      <c r="BJ1127">
        <v>1</v>
      </c>
      <c r="BK1127">
        <v>1</v>
      </c>
      <c r="BL1127">
        <v>-1.48</v>
      </c>
      <c r="BM1127">
        <v>0.48</v>
      </c>
      <c r="BN1127">
        <v>-0.72</v>
      </c>
      <c r="BO1127">
        <v>-0.84</v>
      </c>
      <c r="BP1127">
        <v>-2.27</v>
      </c>
      <c r="BQ1127">
        <v>-2.4900000000000002</v>
      </c>
      <c r="BR1127">
        <v>1.1499999999999999</v>
      </c>
      <c r="BS1127">
        <v>-1.71</v>
      </c>
      <c r="BT1127">
        <v>-2.13</v>
      </c>
      <c r="BU1127">
        <v>-0.67</v>
      </c>
      <c r="BV1127">
        <v>-2.31</v>
      </c>
      <c r="BW1127">
        <v>-1.59</v>
      </c>
      <c r="BX1127">
        <v>-2.38</v>
      </c>
      <c r="BY1127">
        <v>-0.02</v>
      </c>
      <c r="BZ1127">
        <v>-0.02</v>
      </c>
      <c r="CA1127">
        <v>-1.72</v>
      </c>
      <c r="CB1127">
        <v>-1.1299999999999999</v>
      </c>
      <c r="CC1127">
        <v>-1.93</v>
      </c>
      <c r="CD1127">
        <v>0.56000000000000005</v>
      </c>
      <c r="CE1127">
        <v>-0.68</v>
      </c>
      <c r="CF1127">
        <v>-1.84</v>
      </c>
      <c r="CG1127">
        <v>0</v>
      </c>
      <c r="CH1127">
        <v>-0.55000000000000004</v>
      </c>
      <c r="CI1127">
        <v>0</v>
      </c>
      <c r="CJ1127">
        <v>-12.7</v>
      </c>
      <c r="CK1127">
        <v>99</v>
      </c>
      <c r="CL1127">
        <v>-0.89</v>
      </c>
      <c r="CM1127">
        <v>98</v>
      </c>
      <c r="CN1127">
        <v>-0.06</v>
      </c>
      <c r="CO1127">
        <v>98</v>
      </c>
      <c r="CP1127">
        <v>-18.5</v>
      </c>
      <c r="CQ1127">
        <v>95</v>
      </c>
      <c r="CR1127">
        <v>0</v>
      </c>
      <c r="CS1127">
        <v>0</v>
      </c>
      <c r="CT1127">
        <v>-16.8</v>
      </c>
      <c r="CU1127">
        <v>97</v>
      </c>
      <c r="CV1127">
        <v>0.12</v>
      </c>
      <c r="CW1127">
        <v>46</v>
      </c>
      <c r="CX1127" t="s">
        <v>1256</v>
      </c>
    </row>
    <row r="1128" spans="1:102" x14ac:dyDescent="0.3">
      <c r="A1128" t="str">
        <f>HYPERLINK("https://webapp.icbf.com/v2/app/bull-search/view/1194906910","FR2022")</f>
        <v>FR2022</v>
      </c>
      <c r="B1128" t="s">
        <v>6831</v>
      </c>
      <c r="C1128" t="s">
        <v>6832</v>
      </c>
      <c r="D1128" s="1">
        <v>41475</v>
      </c>
      <c r="E1128" t="s">
        <v>92</v>
      </c>
      <c r="F1128">
        <v>100</v>
      </c>
      <c r="G1128" t="s">
        <v>109</v>
      </c>
      <c r="H1128">
        <v>133.88999999999999</v>
      </c>
      <c r="I1128">
        <v>83</v>
      </c>
      <c r="J1128">
        <v>41.85</v>
      </c>
      <c r="K1128">
        <v>94</v>
      </c>
      <c r="L1128">
        <v>53.4</v>
      </c>
      <c r="M1128">
        <v>82</v>
      </c>
      <c r="N1128">
        <v>21.73</v>
      </c>
      <c r="O1128">
        <v>81</v>
      </c>
      <c r="P1128">
        <v>-14.4</v>
      </c>
      <c r="Q1128">
        <v>85</v>
      </c>
      <c r="R1128">
        <v>11.38</v>
      </c>
      <c r="S1128">
        <v>76</v>
      </c>
      <c r="T1128">
        <v>10.35</v>
      </c>
      <c r="U1128">
        <v>53</v>
      </c>
      <c r="V1128">
        <v>9.58</v>
      </c>
      <c r="W1128">
        <v>67</v>
      </c>
      <c r="X1128" t="s">
        <v>94</v>
      </c>
      <c r="Y1128" t="s">
        <v>405</v>
      </c>
      <c r="Z1128" t="s">
        <v>96</v>
      </c>
      <c r="AA1128" t="s">
        <v>401</v>
      </c>
      <c r="AB1128" t="s">
        <v>2088</v>
      </c>
      <c r="AC1128">
        <v>48</v>
      </c>
      <c r="AD1128">
        <v>23</v>
      </c>
      <c r="AE1128">
        <v>94</v>
      </c>
      <c r="AF1128">
        <v>488.28</v>
      </c>
      <c r="AG1128">
        <v>11.03</v>
      </c>
      <c r="AH1128">
        <v>10.69</v>
      </c>
      <c r="AI1128">
        <v>-0.13</v>
      </c>
      <c r="AJ1128">
        <v>-0.09</v>
      </c>
      <c r="AK1128">
        <v>82</v>
      </c>
      <c r="AL1128">
        <v>26</v>
      </c>
      <c r="AM1128">
        <v>12</v>
      </c>
      <c r="AN1128">
        <v>-2</v>
      </c>
      <c r="AO1128">
        <v>2.27</v>
      </c>
      <c r="AP1128">
        <v>145</v>
      </c>
      <c r="AQ1128">
        <v>2</v>
      </c>
      <c r="AR1128">
        <v>7.1</v>
      </c>
      <c r="AS1128">
        <v>73</v>
      </c>
      <c r="AT1128">
        <v>2.27</v>
      </c>
      <c r="AU1128">
        <v>86</v>
      </c>
      <c r="AV1128">
        <v>-1.94</v>
      </c>
      <c r="AW1128">
        <v>92</v>
      </c>
      <c r="AX1128">
        <v>0.09</v>
      </c>
      <c r="AY1128">
        <v>76</v>
      </c>
      <c r="AZ1128">
        <v>6.28</v>
      </c>
      <c r="BA1128">
        <v>61</v>
      </c>
      <c r="BB1128">
        <v>5.37</v>
      </c>
      <c r="BC1128">
        <v>50</v>
      </c>
      <c r="BD1128">
        <v>-0.04</v>
      </c>
      <c r="BE1128">
        <v>-0.05</v>
      </c>
      <c r="BF1128">
        <v>-0.1</v>
      </c>
      <c r="BG1128">
        <v>88</v>
      </c>
      <c r="BH1128">
        <v>0.1</v>
      </c>
      <c r="BI1128">
        <v>-19.32</v>
      </c>
      <c r="BJ1128">
        <v>2</v>
      </c>
      <c r="BK1128">
        <v>2</v>
      </c>
      <c r="BL1128">
        <v>0.91</v>
      </c>
      <c r="BM1128">
        <v>-1.23</v>
      </c>
      <c r="BN1128">
        <v>0.42</v>
      </c>
      <c r="BO1128">
        <v>1.23</v>
      </c>
      <c r="BP1128">
        <v>2.42</v>
      </c>
      <c r="BQ1128">
        <v>2.5099999999999998</v>
      </c>
      <c r="BR1128">
        <v>1.81</v>
      </c>
      <c r="BS1128">
        <v>0.84</v>
      </c>
      <c r="BT1128">
        <v>0.2</v>
      </c>
      <c r="BU1128">
        <v>1.3</v>
      </c>
      <c r="BV1128">
        <v>2.16</v>
      </c>
      <c r="BW1128">
        <v>2.0699999999999998</v>
      </c>
      <c r="BX1128">
        <v>1.19</v>
      </c>
      <c r="BY1128">
        <v>2.1800000000000002</v>
      </c>
      <c r="BZ1128">
        <v>0.51</v>
      </c>
      <c r="CA1128">
        <v>1.8</v>
      </c>
      <c r="CB1128">
        <v>1.92</v>
      </c>
      <c r="CC1128">
        <v>1.18</v>
      </c>
      <c r="CD1128">
        <v>-0.67</v>
      </c>
      <c r="CE1128">
        <v>1.21</v>
      </c>
      <c r="CF1128">
        <v>0.86</v>
      </c>
      <c r="CG1128">
        <v>0</v>
      </c>
      <c r="CH1128">
        <v>1.17</v>
      </c>
      <c r="CI1128">
        <v>0</v>
      </c>
      <c r="CJ1128">
        <v>-5.7</v>
      </c>
      <c r="CK1128">
        <v>88</v>
      </c>
      <c r="CL1128">
        <v>-1.21</v>
      </c>
      <c r="CM1128">
        <v>85</v>
      </c>
      <c r="CN1128">
        <v>-0.56000000000000005</v>
      </c>
      <c r="CO1128">
        <v>84</v>
      </c>
      <c r="CP1128">
        <v>-4</v>
      </c>
      <c r="CQ1128">
        <v>61</v>
      </c>
      <c r="CR1128">
        <v>0</v>
      </c>
      <c r="CS1128">
        <v>0</v>
      </c>
      <c r="CT1128">
        <v>-0.2</v>
      </c>
      <c r="CU1128">
        <v>53</v>
      </c>
      <c r="CV1128">
        <v>0.13</v>
      </c>
      <c r="CW1128">
        <v>44</v>
      </c>
      <c r="CX1128" t="s">
        <v>277</v>
      </c>
    </row>
    <row r="1129" spans="1:102" x14ac:dyDescent="0.3">
      <c r="A1129" t="str">
        <f>HYPERLINK("https://webapp.icbf.com/v2/app/bull-search/view/1208766110","JE2263")</f>
        <v>JE2263</v>
      </c>
      <c r="B1129" t="s">
        <v>13567</v>
      </c>
      <c r="C1129" t="s">
        <v>13568</v>
      </c>
      <c r="D1129" s="1">
        <v>41883</v>
      </c>
      <c r="E1129" t="s">
        <v>227</v>
      </c>
      <c r="F1129">
        <v>0</v>
      </c>
      <c r="G1129" t="s">
        <v>93</v>
      </c>
      <c r="H1129">
        <v>133.85</v>
      </c>
      <c r="I1129">
        <v>85</v>
      </c>
      <c r="J1129">
        <v>81.8</v>
      </c>
      <c r="K1129">
        <v>97</v>
      </c>
      <c r="L1129">
        <v>50.87</v>
      </c>
      <c r="M1129">
        <v>75</v>
      </c>
      <c r="N1129">
        <v>0.96</v>
      </c>
      <c r="O1129">
        <v>88</v>
      </c>
      <c r="P1129">
        <v>-44.36</v>
      </c>
      <c r="Q1129">
        <v>86</v>
      </c>
      <c r="R1129">
        <v>-10.86</v>
      </c>
      <c r="S1129">
        <v>78</v>
      </c>
      <c r="T1129">
        <v>49.42</v>
      </c>
      <c r="U1129">
        <v>83</v>
      </c>
      <c r="V1129">
        <v>6.02</v>
      </c>
      <c r="W1129">
        <v>75</v>
      </c>
      <c r="X1129" t="s">
        <v>102</v>
      </c>
      <c r="Y1129" t="s">
        <v>416</v>
      </c>
      <c r="Z1129">
        <v>0</v>
      </c>
      <c r="AA1129" t="s">
        <v>13196</v>
      </c>
      <c r="AB1129" t="s">
        <v>13569</v>
      </c>
      <c r="AC1129">
        <v>165</v>
      </c>
      <c r="AD1129">
        <v>74</v>
      </c>
      <c r="AE1129">
        <v>97</v>
      </c>
      <c r="AF1129">
        <v>-225.65</v>
      </c>
      <c r="AG1129">
        <v>17.010000000000002</v>
      </c>
      <c r="AH1129">
        <v>4.4400000000000004</v>
      </c>
      <c r="AI1129">
        <v>0.47</v>
      </c>
      <c r="AJ1129">
        <v>0.22</v>
      </c>
      <c r="AK1129">
        <v>75</v>
      </c>
      <c r="AL1129">
        <v>2</v>
      </c>
      <c r="AM1129">
        <v>1</v>
      </c>
      <c r="AN1129">
        <v>-1.72</v>
      </c>
      <c r="AO1129">
        <v>2.35</v>
      </c>
      <c r="AP1129">
        <v>650</v>
      </c>
      <c r="AQ1129">
        <v>1</v>
      </c>
      <c r="AR1129">
        <v>4.41</v>
      </c>
      <c r="AS1129">
        <v>91</v>
      </c>
      <c r="AT1129">
        <v>2.02</v>
      </c>
      <c r="AU1129">
        <v>93</v>
      </c>
      <c r="AV1129">
        <v>0.76</v>
      </c>
      <c r="AW1129">
        <v>99</v>
      </c>
      <c r="AX1129">
        <v>3.84</v>
      </c>
      <c r="AY1129">
        <v>91</v>
      </c>
      <c r="AZ1129">
        <v>5.8</v>
      </c>
      <c r="BA1129">
        <v>76</v>
      </c>
      <c r="BB1129">
        <v>4.88</v>
      </c>
      <c r="BC1129">
        <v>44</v>
      </c>
      <c r="BD1129">
        <v>-0.05</v>
      </c>
      <c r="BE1129">
        <v>7.0000000000000007E-2</v>
      </c>
      <c r="BF1129">
        <v>0.2</v>
      </c>
      <c r="BG1129">
        <v>89</v>
      </c>
      <c r="BH1129">
        <v>0.09</v>
      </c>
      <c r="BI1129">
        <v>-9.02</v>
      </c>
      <c r="BJ1129">
        <v>0</v>
      </c>
      <c r="BK1129">
        <v>0</v>
      </c>
      <c r="BL1129">
        <v>-1.79</v>
      </c>
      <c r="BM1129">
        <v>-2.0299999999999998</v>
      </c>
      <c r="BN1129">
        <v>-0.76</v>
      </c>
      <c r="BO1129">
        <v>1.1599999999999999</v>
      </c>
      <c r="BP1129">
        <v>-0.98</v>
      </c>
      <c r="BQ1129">
        <v>-5.63</v>
      </c>
      <c r="BR1129">
        <v>1.9</v>
      </c>
      <c r="BS1129">
        <v>6.52</v>
      </c>
      <c r="BT1129">
        <v>-1.08</v>
      </c>
      <c r="BU1129">
        <v>0.86</v>
      </c>
      <c r="BV1129">
        <v>1.1200000000000001</v>
      </c>
      <c r="BW1129">
        <v>-0.78</v>
      </c>
      <c r="BX1129">
        <v>-1.72</v>
      </c>
      <c r="BY1129">
        <v>0.38</v>
      </c>
      <c r="BZ1129">
        <v>-0.16</v>
      </c>
      <c r="CA1129">
        <v>2.29</v>
      </c>
      <c r="CB1129">
        <v>0.74</v>
      </c>
      <c r="CC1129">
        <v>4.32</v>
      </c>
      <c r="CD1129">
        <v>-2.25</v>
      </c>
      <c r="CE1129">
        <v>1.3</v>
      </c>
      <c r="CF1129">
        <v>-1.93</v>
      </c>
      <c r="CG1129">
        <v>0</v>
      </c>
      <c r="CH1129">
        <v>-0.81</v>
      </c>
      <c r="CI1129">
        <v>0</v>
      </c>
      <c r="CJ1129">
        <v>-24.3</v>
      </c>
      <c r="CK1129">
        <v>89</v>
      </c>
      <c r="CL1129">
        <v>-0.81</v>
      </c>
      <c r="CM1129">
        <v>85</v>
      </c>
      <c r="CN1129">
        <v>-0.28999999999999998</v>
      </c>
      <c r="CO1129">
        <v>84</v>
      </c>
      <c r="CP1129">
        <v>-39.1</v>
      </c>
      <c r="CQ1129">
        <v>72</v>
      </c>
      <c r="CR1129">
        <v>0</v>
      </c>
      <c r="CS1129">
        <v>0</v>
      </c>
      <c r="CT1129">
        <v>-53</v>
      </c>
      <c r="CU1129">
        <v>83</v>
      </c>
      <c r="CV1129">
        <v>-0.33</v>
      </c>
      <c r="CW1129">
        <v>44</v>
      </c>
      <c r="CX1129" t="s">
        <v>4353</v>
      </c>
    </row>
    <row r="1130" spans="1:102" x14ac:dyDescent="0.3">
      <c r="A1130" t="str">
        <f>HYPERLINK("https://webapp.icbf.com/v2/app/bull-search/view/1150880110","FR2250")</f>
        <v>FR2250</v>
      </c>
      <c r="B1130" t="s">
        <v>9332</v>
      </c>
      <c r="C1130" t="s">
        <v>9333</v>
      </c>
      <c r="D1130" s="1">
        <v>40840</v>
      </c>
      <c r="E1130" t="s">
        <v>92</v>
      </c>
      <c r="F1130">
        <v>100</v>
      </c>
      <c r="G1130" t="s">
        <v>109</v>
      </c>
      <c r="H1130">
        <v>133.84</v>
      </c>
      <c r="I1130">
        <v>80</v>
      </c>
      <c r="J1130">
        <v>72.510000000000005</v>
      </c>
      <c r="K1130">
        <v>91</v>
      </c>
      <c r="L1130">
        <v>-3.27</v>
      </c>
      <c r="M1130">
        <v>82</v>
      </c>
      <c r="N1130">
        <v>59.61</v>
      </c>
      <c r="O1130">
        <v>81</v>
      </c>
      <c r="P1130">
        <v>0.18</v>
      </c>
      <c r="Q1130">
        <v>72</v>
      </c>
      <c r="R1130">
        <v>4.16</v>
      </c>
      <c r="S1130">
        <v>71</v>
      </c>
      <c r="T1130">
        <v>5.24</v>
      </c>
      <c r="U1130">
        <v>44</v>
      </c>
      <c r="V1130">
        <v>-4.59</v>
      </c>
      <c r="W1130">
        <v>58</v>
      </c>
      <c r="X1130" t="s">
        <v>102</v>
      </c>
      <c r="Y1130" t="s">
        <v>1923</v>
      </c>
      <c r="Z1130" t="s">
        <v>96</v>
      </c>
      <c r="AA1130" t="s">
        <v>2423</v>
      </c>
      <c r="AB1130" t="s">
        <v>9334</v>
      </c>
      <c r="AC1130">
        <v>0</v>
      </c>
      <c r="AD1130">
        <v>0</v>
      </c>
      <c r="AE1130">
        <v>91</v>
      </c>
      <c r="AF1130">
        <v>296.20999999999998</v>
      </c>
      <c r="AG1130">
        <v>20.48</v>
      </c>
      <c r="AH1130">
        <v>9.6199999999999992</v>
      </c>
      <c r="AI1130">
        <v>0.15</v>
      </c>
      <c r="AJ1130">
        <v>-0.01</v>
      </c>
      <c r="AK1130">
        <v>82</v>
      </c>
      <c r="AL1130">
        <v>0</v>
      </c>
      <c r="AM1130">
        <v>0</v>
      </c>
      <c r="AN1130">
        <v>1.04</v>
      </c>
      <c r="AO1130">
        <v>0.79</v>
      </c>
      <c r="AP1130">
        <v>242</v>
      </c>
      <c r="AQ1130">
        <v>1</v>
      </c>
      <c r="AR1130">
        <v>5.55</v>
      </c>
      <c r="AS1130">
        <v>86</v>
      </c>
      <c r="AT1130">
        <v>2.11</v>
      </c>
      <c r="AU1130">
        <v>89</v>
      </c>
      <c r="AV1130">
        <v>-5.16</v>
      </c>
      <c r="AW1130">
        <v>94</v>
      </c>
      <c r="AX1130">
        <v>-0.47</v>
      </c>
      <c r="AY1130">
        <v>83</v>
      </c>
      <c r="AZ1130">
        <v>5.33</v>
      </c>
      <c r="BA1130">
        <v>43</v>
      </c>
      <c r="BB1130">
        <v>4.29</v>
      </c>
      <c r="BC1130">
        <v>36</v>
      </c>
      <c r="BD1130">
        <v>-0.01</v>
      </c>
      <c r="BE1130">
        <v>-0.01</v>
      </c>
      <c r="BF1130">
        <v>-0.06</v>
      </c>
      <c r="BG1130">
        <v>87</v>
      </c>
      <c r="BH1130">
        <v>-0.22</v>
      </c>
      <c r="BI1130">
        <v>-10.65</v>
      </c>
      <c r="BJ1130">
        <v>0</v>
      </c>
      <c r="BK1130">
        <v>0</v>
      </c>
      <c r="BL1130">
        <v>0.57999999999999996</v>
      </c>
      <c r="BM1130">
        <v>-1.61</v>
      </c>
      <c r="BN1130">
        <v>-1.23</v>
      </c>
      <c r="BO1130">
        <v>0.59</v>
      </c>
      <c r="BP1130">
        <v>-0.15</v>
      </c>
      <c r="BQ1130">
        <v>-1.27</v>
      </c>
      <c r="BR1130">
        <v>0.34</v>
      </c>
      <c r="BS1130">
        <v>1.79</v>
      </c>
      <c r="BT1130">
        <v>-0.27</v>
      </c>
      <c r="BU1130">
        <v>1.59</v>
      </c>
      <c r="BV1130">
        <v>1.83</v>
      </c>
      <c r="BW1130">
        <v>1.63</v>
      </c>
      <c r="BX1130">
        <v>1.88</v>
      </c>
      <c r="BY1130">
        <v>2.12</v>
      </c>
      <c r="BZ1130">
        <v>-2.38</v>
      </c>
      <c r="CA1130">
        <v>2.4700000000000002</v>
      </c>
      <c r="CB1130">
        <v>2.15</v>
      </c>
      <c r="CC1130">
        <v>1.73</v>
      </c>
      <c r="CD1130">
        <v>-0.69</v>
      </c>
      <c r="CE1130">
        <v>0.99</v>
      </c>
      <c r="CF1130">
        <v>0.73</v>
      </c>
      <c r="CG1130">
        <v>0</v>
      </c>
      <c r="CH1130">
        <v>2.2000000000000002</v>
      </c>
      <c r="CI1130">
        <v>0</v>
      </c>
      <c r="CJ1130">
        <v>2.1</v>
      </c>
      <c r="CK1130">
        <v>76</v>
      </c>
      <c r="CL1130">
        <v>-1.03</v>
      </c>
      <c r="CM1130">
        <v>71</v>
      </c>
      <c r="CN1130">
        <v>-0.64</v>
      </c>
      <c r="CO1130">
        <v>69</v>
      </c>
      <c r="CP1130">
        <v>2.8</v>
      </c>
      <c r="CQ1130">
        <v>50</v>
      </c>
      <c r="CR1130">
        <v>0</v>
      </c>
      <c r="CS1130">
        <v>0</v>
      </c>
      <c r="CT1130">
        <v>6.7</v>
      </c>
      <c r="CU1130">
        <v>44</v>
      </c>
      <c r="CV1130">
        <v>0.2</v>
      </c>
      <c r="CW1130">
        <v>41</v>
      </c>
      <c r="CX1130" t="s">
        <v>277</v>
      </c>
    </row>
    <row r="1131" spans="1:102" x14ac:dyDescent="0.3">
      <c r="A1131" t="str">
        <f>HYPERLINK("https://webapp.icbf.com/v2/app/bull-search/view/671031281","KXV")</f>
        <v>KXV</v>
      </c>
      <c r="B1131" t="s">
        <v>12824</v>
      </c>
      <c r="C1131" t="s">
        <v>8297</v>
      </c>
      <c r="D1131" s="1">
        <v>39863</v>
      </c>
      <c r="E1131" t="s">
        <v>92</v>
      </c>
      <c r="F1131">
        <v>94</v>
      </c>
      <c r="G1131" t="s">
        <v>93</v>
      </c>
      <c r="H1131">
        <v>133.75</v>
      </c>
      <c r="I1131">
        <v>98</v>
      </c>
      <c r="J1131">
        <v>-27.67</v>
      </c>
      <c r="K1131">
        <v>99</v>
      </c>
      <c r="L1131">
        <v>97.85</v>
      </c>
      <c r="M1131">
        <v>97</v>
      </c>
      <c r="N1131">
        <v>52.97</v>
      </c>
      <c r="O1131">
        <v>99</v>
      </c>
      <c r="P1131">
        <v>-6.23</v>
      </c>
      <c r="Q1131">
        <v>99</v>
      </c>
      <c r="R1131">
        <v>19.28</v>
      </c>
      <c r="S1131">
        <v>97</v>
      </c>
      <c r="T1131">
        <v>-2.16</v>
      </c>
      <c r="U1131">
        <v>99</v>
      </c>
      <c r="V1131">
        <v>-0.28999999999999998</v>
      </c>
      <c r="W1131">
        <v>93</v>
      </c>
      <c r="X1131" t="s">
        <v>102</v>
      </c>
      <c r="Y1131" t="s">
        <v>1727</v>
      </c>
      <c r="Z1131" t="s">
        <v>96</v>
      </c>
      <c r="AA1131" t="s">
        <v>277</v>
      </c>
      <c r="AB1131" t="s">
        <v>12825</v>
      </c>
      <c r="AC1131">
        <v>4098</v>
      </c>
      <c r="AD1131">
        <v>1048</v>
      </c>
      <c r="AE1131">
        <v>99</v>
      </c>
      <c r="AF1131">
        <v>-303.33999999999997</v>
      </c>
      <c r="AG1131">
        <v>-9.1</v>
      </c>
      <c r="AH1131">
        <v>-6.13</v>
      </c>
      <c r="AI1131">
        <v>0.05</v>
      </c>
      <c r="AJ1131">
        <v>0.08</v>
      </c>
      <c r="AK1131">
        <v>97</v>
      </c>
      <c r="AL1131">
        <v>5263</v>
      </c>
      <c r="AM1131">
        <v>1408</v>
      </c>
      <c r="AN1131">
        <v>-4.84</v>
      </c>
      <c r="AO1131">
        <v>2.97</v>
      </c>
      <c r="AP1131">
        <v>9020</v>
      </c>
      <c r="AQ1131">
        <v>75</v>
      </c>
      <c r="AR1131">
        <v>6.09</v>
      </c>
      <c r="AS1131">
        <v>99</v>
      </c>
      <c r="AT1131">
        <v>2.37</v>
      </c>
      <c r="AU1131">
        <v>99</v>
      </c>
      <c r="AV1131">
        <v>-4.88</v>
      </c>
      <c r="AW1131">
        <v>99</v>
      </c>
      <c r="AX1131">
        <v>-0.28999999999999998</v>
      </c>
      <c r="AY1131">
        <v>99</v>
      </c>
      <c r="AZ1131">
        <v>5.35</v>
      </c>
      <c r="BA1131">
        <v>98</v>
      </c>
      <c r="BB1131">
        <v>4.5</v>
      </c>
      <c r="BC1131">
        <v>98</v>
      </c>
      <c r="BD1131">
        <v>-0.05</v>
      </c>
      <c r="BE1131">
        <v>-0.1</v>
      </c>
      <c r="BF1131">
        <v>-0.17</v>
      </c>
      <c r="BG1131">
        <v>99</v>
      </c>
      <c r="BH1131">
        <v>-0.03</v>
      </c>
      <c r="BI1131">
        <v>-2.5499999999999998</v>
      </c>
      <c r="BJ1131">
        <v>185</v>
      </c>
      <c r="BK1131">
        <v>84</v>
      </c>
      <c r="BL1131">
        <v>0.47</v>
      </c>
      <c r="BM1131">
        <v>1.82</v>
      </c>
      <c r="BN1131">
        <v>-0.65</v>
      </c>
      <c r="BO1131">
        <v>-1.93</v>
      </c>
      <c r="BP1131">
        <v>-0.62</v>
      </c>
      <c r="BQ1131">
        <v>-0.25</v>
      </c>
      <c r="BR1131">
        <v>-0.86</v>
      </c>
      <c r="BS1131">
        <v>-1.06</v>
      </c>
      <c r="BT1131">
        <v>0.65</v>
      </c>
      <c r="BU1131">
        <v>-0.15</v>
      </c>
      <c r="BV1131">
        <v>-1.57</v>
      </c>
      <c r="BW1131">
        <v>-1.85</v>
      </c>
      <c r="BX1131">
        <v>1.46</v>
      </c>
      <c r="BY1131">
        <v>-0.96</v>
      </c>
      <c r="BZ1131">
        <v>-1.17</v>
      </c>
      <c r="CA1131">
        <v>-1.03</v>
      </c>
      <c r="CB1131">
        <v>-1.25</v>
      </c>
      <c r="CC1131">
        <v>-0.28999999999999998</v>
      </c>
      <c r="CD1131">
        <v>2.21</v>
      </c>
      <c r="CE1131">
        <v>-2.0299999999999998</v>
      </c>
      <c r="CF1131">
        <v>-7.0000000000000007E-2</v>
      </c>
      <c r="CG1131">
        <v>0</v>
      </c>
      <c r="CH1131">
        <v>-0.62</v>
      </c>
      <c r="CI1131">
        <v>0</v>
      </c>
      <c r="CJ1131">
        <v>-0.5</v>
      </c>
      <c r="CK1131">
        <v>99</v>
      </c>
      <c r="CL1131">
        <v>-0.88</v>
      </c>
      <c r="CM1131">
        <v>99</v>
      </c>
      <c r="CN1131">
        <v>-0.2</v>
      </c>
      <c r="CO1131">
        <v>99</v>
      </c>
      <c r="CP1131">
        <v>8</v>
      </c>
      <c r="CQ1131">
        <v>99</v>
      </c>
      <c r="CR1131">
        <v>0</v>
      </c>
      <c r="CS1131">
        <v>0</v>
      </c>
      <c r="CT1131">
        <v>16.7</v>
      </c>
      <c r="CU1131">
        <v>99</v>
      </c>
      <c r="CV1131">
        <v>0.2</v>
      </c>
      <c r="CW1131">
        <v>50</v>
      </c>
      <c r="CX1131" t="s">
        <v>316</v>
      </c>
    </row>
    <row r="1132" spans="1:102" x14ac:dyDescent="0.3">
      <c r="A1132" t="str">
        <f>HYPERLINK("https://webapp.icbf.com/v2/app/bull-search/view/586070625","JUX")</f>
        <v>JUX</v>
      </c>
      <c r="B1132" t="s">
        <v>3019</v>
      </c>
      <c r="C1132" t="s">
        <v>3020</v>
      </c>
      <c r="D1132" s="1">
        <v>37706</v>
      </c>
      <c r="E1132" t="s">
        <v>92</v>
      </c>
      <c r="F1132">
        <v>94</v>
      </c>
      <c r="G1132" t="s">
        <v>93</v>
      </c>
      <c r="H1132">
        <v>133.71</v>
      </c>
      <c r="I1132">
        <v>96</v>
      </c>
      <c r="J1132">
        <v>72.56</v>
      </c>
      <c r="K1132">
        <v>99</v>
      </c>
      <c r="L1132">
        <v>29.09</v>
      </c>
      <c r="M1132">
        <v>94</v>
      </c>
      <c r="N1132">
        <v>19.350000000000001</v>
      </c>
      <c r="O1132">
        <v>98</v>
      </c>
      <c r="P1132">
        <v>0.59</v>
      </c>
      <c r="Q1132">
        <v>99</v>
      </c>
      <c r="R1132">
        <v>7.99</v>
      </c>
      <c r="S1132">
        <v>93</v>
      </c>
      <c r="T1132">
        <v>-2.31</v>
      </c>
      <c r="U1132">
        <v>98</v>
      </c>
      <c r="V1132">
        <v>6.44</v>
      </c>
      <c r="W1132">
        <v>87</v>
      </c>
      <c r="X1132" t="s">
        <v>102</v>
      </c>
      <c r="Y1132" t="s">
        <v>282</v>
      </c>
      <c r="Z1132" t="s">
        <v>96</v>
      </c>
      <c r="AA1132" t="s">
        <v>3021</v>
      </c>
      <c r="AB1132" t="s">
        <v>3022</v>
      </c>
      <c r="AC1132">
        <v>2265</v>
      </c>
      <c r="AD1132">
        <v>513</v>
      </c>
      <c r="AE1132">
        <v>99</v>
      </c>
      <c r="AF1132">
        <v>353.51</v>
      </c>
      <c r="AG1132">
        <v>14.11</v>
      </c>
      <c r="AH1132">
        <v>12.76</v>
      </c>
      <c r="AI1132">
        <v>0.01</v>
      </c>
      <c r="AJ1132">
        <v>0.01</v>
      </c>
      <c r="AK1132">
        <v>94</v>
      </c>
      <c r="AL1132">
        <v>1923</v>
      </c>
      <c r="AM1132">
        <v>532</v>
      </c>
      <c r="AN1132">
        <v>-1.58</v>
      </c>
      <c r="AO1132">
        <v>0.74</v>
      </c>
      <c r="AP1132">
        <v>4487</v>
      </c>
      <c r="AQ1132">
        <v>45</v>
      </c>
      <c r="AR1132">
        <v>6.58</v>
      </c>
      <c r="AS1132">
        <v>98</v>
      </c>
      <c r="AT1132">
        <v>2.87</v>
      </c>
      <c r="AU1132">
        <v>99</v>
      </c>
      <c r="AV1132">
        <v>-2.1800000000000002</v>
      </c>
      <c r="AW1132">
        <v>99</v>
      </c>
      <c r="AX1132">
        <v>0.21</v>
      </c>
      <c r="AY1132">
        <v>99</v>
      </c>
      <c r="AZ1132">
        <v>6.97</v>
      </c>
      <c r="BA1132">
        <v>96</v>
      </c>
      <c r="BB1132">
        <v>5.27</v>
      </c>
      <c r="BC1132">
        <v>94</v>
      </c>
      <c r="BD1132">
        <v>-0.01</v>
      </c>
      <c r="BE1132">
        <v>-0.03</v>
      </c>
      <c r="BF1132">
        <v>-0.11</v>
      </c>
      <c r="BG1132">
        <v>99</v>
      </c>
      <c r="BH1132">
        <v>-0.03</v>
      </c>
      <c r="BI1132">
        <v>-24.23</v>
      </c>
      <c r="BJ1132">
        <v>440</v>
      </c>
      <c r="BK1132">
        <v>154</v>
      </c>
      <c r="BL1132">
        <v>0.83</v>
      </c>
      <c r="BM1132">
        <v>-0.31</v>
      </c>
      <c r="BN1132">
        <v>0.41</v>
      </c>
      <c r="BO1132">
        <v>0.81</v>
      </c>
      <c r="BP1132">
        <v>0.65</v>
      </c>
      <c r="BQ1132">
        <v>-0.22</v>
      </c>
      <c r="BR1132">
        <v>1.53</v>
      </c>
      <c r="BS1132">
        <v>0.77</v>
      </c>
      <c r="BT1132">
        <v>-0.19</v>
      </c>
      <c r="BU1132">
        <v>0.82</v>
      </c>
      <c r="BV1132">
        <v>-0.38</v>
      </c>
      <c r="BW1132">
        <v>-0.32</v>
      </c>
      <c r="BX1132">
        <v>0.37</v>
      </c>
      <c r="BY1132">
        <v>-7.0000000000000007E-2</v>
      </c>
      <c r="BZ1132">
        <v>-4.3899999999999997</v>
      </c>
      <c r="CA1132">
        <v>0.62</v>
      </c>
      <c r="CB1132">
        <v>0.19</v>
      </c>
      <c r="CC1132">
        <v>1.17</v>
      </c>
      <c r="CD1132">
        <v>-0.48</v>
      </c>
      <c r="CE1132">
        <v>0.76</v>
      </c>
      <c r="CF1132">
        <v>0.79</v>
      </c>
      <c r="CG1132">
        <v>0</v>
      </c>
      <c r="CH1132">
        <v>-7.0000000000000007E-2</v>
      </c>
      <c r="CI1132">
        <v>0</v>
      </c>
      <c r="CJ1132">
        <v>2.8</v>
      </c>
      <c r="CK1132">
        <v>99</v>
      </c>
      <c r="CL1132">
        <v>-0.87</v>
      </c>
      <c r="CM1132">
        <v>99</v>
      </c>
      <c r="CN1132">
        <v>-0.41</v>
      </c>
      <c r="CO1132">
        <v>99</v>
      </c>
      <c r="CP1132">
        <v>6</v>
      </c>
      <c r="CQ1132">
        <v>98</v>
      </c>
      <c r="CR1132">
        <v>0</v>
      </c>
      <c r="CS1132">
        <v>0</v>
      </c>
      <c r="CT1132">
        <v>16.899999999999999</v>
      </c>
      <c r="CU1132">
        <v>98</v>
      </c>
      <c r="CV1132">
        <v>0.16</v>
      </c>
      <c r="CW1132">
        <v>46</v>
      </c>
      <c r="CX1132" t="s">
        <v>596</v>
      </c>
    </row>
    <row r="1133" spans="1:102" x14ac:dyDescent="0.3">
      <c r="A1133" t="str">
        <f>HYPERLINK("https://webapp.icbf.com/v2/app/bull-search/view/487000825","MSW")</f>
        <v>MSW</v>
      </c>
      <c r="B1133" t="s">
        <v>15630</v>
      </c>
      <c r="C1133" t="s">
        <v>15631</v>
      </c>
      <c r="D1133" s="1">
        <v>38577</v>
      </c>
      <c r="E1133" t="s">
        <v>108</v>
      </c>
      <c r="F1133">
        <v>25</v>
      </c>
      <c r="G1133" t="s">
        <v>93</v>
      </c>
      <c r="H1133">
        <v>133.71</v>
      </c>
      <c r="I1133">
        <v>92</v>
      </c>
      <c r="J1133">
        <v>33.56</v>
      </c>
      <c r="K1133">
        <v>98</v>
      </c>
      <c r="L1133">
        <v>92.65</v>
      </c>
      <c r="M1133">
        <v>86</v>
      </c>
      <c r="N1133">
        <v>13.39</v>
      </c>
      <c r="O1133">
        <v>92</v>
      </c>
      <c r="P1133">
        <v>-27.83</v>
      </c>
      <c r="Q1133">
        <v>96</v>
      </c>
      <c r="R1133">
        <v>-6.33</v>
      </c>
      <c r="S1133">
        <v>87</v>
      </c>
      <c r="T1133">
        <v>26.41</v>
      </c>
      <c r="U1133">
        <v>94</v>
      </c>
      <c r="V1133">
        <v>1.86</v>
      </c>
      <c r="W1133">
        <v>89</v>
      </c>
      <c r="X1133" t="s">
        <v>276</v>
      </c>
      <c r="Y1133" t="s">
        <v>435</v>
      </c>
      <c r="Z1133" t="s">
        <v>330</v>
      </c>
      <c r="AA1133" t="s">
        <v>4801</v>
      </c>
      <c r="AB1133" t="s">
        <v>15632</v>
      </c>
      <c r="AC1133">
        <v>226</v>
      </c>
      <c r="AD1133">
        <v>97</v>
      </c>
      <c r="AE1133">
        <v>98</v>
      </c>
      <c r="AF1133">
        <v>-56.64</v>
      </c>
      <c r="AG1133">
        <v>8.34</v>
      </c>
      <c r="AH1133">
        <v>1.89</v>
      </c>
      <c r="AI1133">
        <v>0.19</v>
      </c>
      <c r="AJ1133">
        <v>7.0000000000000007E-2</v>
      </c>
      <c r="AK1133">
        <v>86</v>
      </c>
      <c r="AL1133">
        <v>245</v>
      </c>
      <c r="AM1133">
        <v>101</v>
      </c>
      <c r="AN1133">
        <v>-4.9800000000000004</v>
      </c>
      <c r="AO1133">
        <v>2.41</v>
      </c>
      <c r="AP1133">
        <v>469</v>
      </c>
      <c r="AQ1133">
        <v>3</v>
      </c>
      <c r="AR1133">
        <v>5.86</v>
      </c>
      <c r="AS1133">
        <v>85</v>
      </c>
      <c r="AT1133">
        <v>2.06</v>
      </c>
      <c r="AU1133">
        <v>93</v>
      </c>
      <c r="AV1133">
        <v>-0.3</v>
      </c>
      <c r="AW1133">
        <v>98</v>
      </c>
      <c r="AX1133">
        <v>0.2</v>
      </c>
      <c r="AY1133">
        <v>91</v>
      </c>
      <c r="AZ1133">
        <v>6.72</v>
      </c>
      <c r="BA1133">
        <v>77</v>
      </c>
      <c r="BB1133">
        <v>5.08</v>
      </c>
      <c r="BC1133">
        <v>81</v>
      </c>
      <c r="BD1133">
        <v>0.04</v>
      </c>
      <c r="BE1133">
        <v>0.01</v>
      </c>
      <c r="BF1133">
        <v>0.06</v>
      </c>
      <c r="BG1133">
        <v>93</v>
      </c>
      <c r="BH1133">
        <v>0.11</v>
      </c>
      <c r="BI1133">
        <v>6.72</v>
      </c>
      <c r="BJ1133">
        <v>0</v>
      </c>
      <c r="BK1133">
        <v>0</v>
      </c>
      <c r="BL1133">
        <v>-1.84</v>
      </c>
      <c r="BM1133">
        <v>2.62</v>
      </c>
      <c r="BN1133">
        <v>-0.03</v>
      </c>
      <c r="BO1133">
        <v>-2.27</v>
      </c>
      <c r="BP1133">
        <v>2.31</v>
      </c>
      <c r="BQ1133">
        <v>-1.87</v>
      </c>
      <c r="BR1133">
        <v>2.3199999999999998</v>
      </c>
      <c r="BS1133">
        <v>-1.6</v>
      </c>
      <c r="BT1133">
        <v>-1.99</v>
      </c>
      <c r="BU1133">
        <v>-1.78</v>
      </c>
      <c r="BV1133">
        <v>-2.25</v>
      </c>
      <c r="BW1133">
        <v>-1.98</v>
      </c>
      <c r="BX1133">
        <v>-0.77</v>
      </c>
      <c r="BY1133">
        <v>-3.42</v>
      </c>
      <c r="BZ1133">
        <v>0.51</v>
      </c>
      <c r="CA1133">
        <v>-2.0499999999999998</v>
      </c>
      <c r="CB1133">
        <v>-2.5</v>
      </c>
      <c r="CC1133">
        <v>-1.64</v>
      </c>
      <c r="CD1133">
        <v>2.12</v>
      </c>
      <c r="CE1133">
        <v>-1.52</v>
      </c>
      <c r="CF1133">
        <v>-1.76</v>
      </c>
      <c r="CG1133">
        <v>0</v>
      </c>
      <c r="CH1133">
        <v>-3.82</v>
      </c>
      <c r="CI1133">
        <v>0</v>
      </c>
      <c r="CJ1133">
        <v>-14</v>
      </c>
      <c r="CK1133">
        <v>97</v>
      </c>
      <c r="CL1133">
        <v>-0.75</v>
      </c>
      <c r="CM1133">
        <v>96</v>
      </c>
      <c r="CN1133">
        <v>-0.21</v>
      </c>
      <c r="CO1133">
        <v>95</v>
      </c>
      <c r="CP1133">
        <v>-21.5</v>
      </c>
      <c r="CQ1133">
        <v>94</v>
      </c>
      <c r="CR1133">
        <v>0</v>
      </c>
      <c r="CS1133">
        <v>0</v>
      </c>
      <c r="CT1133">
        <v>-21.9</v>
      </c>
      <c r="CU1133">
        <v>94</v>
      </c>
      <c r="CV1133">
        <v>7.0000000000000007E-2</v>
      </c>
      <c r="CW1133">
        <v>45</v>
      </c>
      <c r="CX1133" t="s">
        <v>1035</v>
      </c>
    </row>
    <row r="1134" spans="1:102" x14ac:dyDescent="0.3">
      <c r="A1134" t="str">
        <f>HYPERLINK("https://webapp.icbf.com/v2/app/bull-search/view/68302945","BCG")</f>
        <v>BCG</v>
      </c>
      <c r="B1134" t="s">
        <v>3317</v>
      </c>
      <c r="C1134" t="s">
        <v>1543</v>
      </c>
      <c r="D1134" s="1">
        <v>34045</v>
      </c>
      <c r="E1134" t="s">
        <v>108</v>
      </c>
      <c r="F1134">
        <v>0</v>
      </c>
      <c r="G1134" t="s">
        <v>93</v>
      </c>
      <c r="H1134">
        <v>133.69</v>
      </c>
      <c r="I1134">
        <v>97</v>
      </c>
      <c r="J1134">
        <v>-30.18</v>
      </c>
      <c r="K1134">
        <v>99</v>
      </c>
      <c r="L1134">
        <v>107.91</v>
      </c>
      <c r="M1134">
        <v>95</v>
      </c>
      <c r="N1134">
        <v>32.14</v>
      </c>
      <c r="O1134">
        <v>98</v>
      </c>
      <c r="P1134">
        <v>-4.3899999999999997</v>
      </c>
      <c r="Q1134">
        <v>99</v>
      </c>
      <c r="R1134">
        <v>14.73</v>
      </c>
      <c r="S1134">
        <v>96</v>
      </c>
      <c r="T1134">
        <v>5.69</v>
      </c>
      <c r="U1134">
        <v>98</v>
      </c>
      <c r="V1134">
        <v>7.79</v>
      </c>
      <c r="W1134">
        <v>97</v>
      </c>
      <c r="X1134" t="s">
        <v>234</v>
      </c>
      <c r="Y1134" t="s">
        <v>95</v>
      </c>
      <c r="Z1134" t="s">
        <v>96</v>
      </c>
      <c r="AA1134" t="s">
        <v>823</v>
      </c>
      <c r="AB1134" t="s">
        <v>3318</v>
      </c>
      <c r="AC1134">
        <v>645</v>
      </c>
      <c r="AD1134">
        <v>206</v>
      </c>
      <c r="AE1134">
        <v>99</v>
      </c>
      <c r="AF1134">
        <v>-266.01</v>
      </c>
      <c r="AG1134">
        <v>-4.79</v>
      </c>
      <c r="AH1134">
        <v>-7.51</v>
      </c>
      <c r="AI1134">
        <v>0.1</v>
      </c>
      <c r="AJ1134">
        <v>0.03</v>
      </c>
      <c r="AK1134">
        <v>95</v>
      </c>
      <c r="AL1134">
        <v>688</v>
      </c>
      <c r="AM1134">
        <v>210</v>
      </c>
      <c r="AN1134">
        <v>-5.53</v>
      </c>
      <c r="AO1134">
        <v>3.08</v>
      </c>
      <c r="AP1134">
        <v>785</v>
      </c>
      <c r="AQ1134">
        <v>8</v>
      </c>
      <c r="AR1134">
        <v>6.87</v>
      </c>
      <c r="AS1134">
        <v>96</v>
      </c>
      <c r="AT1134">
        <v>2.2000000000000002</v>
      </c>
      <c r="AU1134">
        <v>98</v>
      </c>
      <c r="AV1134">
        <v>-3.07</v>
      </c>
      <c r="AW1134">
        <v>99</v>
      </c>
      <c r="AX1134">
        <v>0.5</v>
      </c>
      <c r="AY1134">
        <v>98</v>
      </c>
      <c r="AZ1134">
        <v>6.69</v>
      </c>
      <c r="BA1134">
        <v>94</v>
      </c>
      <c r="BB1134">
        <v>4.96</v>
      </c>
      <c r="BC1134">
        <v>96</v>
      </c>
      <c r="BD1134">
        <v>-0.04</v>
      </c>
      <c r="BE1134">
        <v>-0.08</v>
      </c>
      <c r="BF1134">
        <v>-0.12</v>
      </c>
      <c r="BG1134">
        <v>98</v>
      </c>
      <c r="BH1134">
        <v>0.18</v>
      </c>
      <c r="BI1134">
        <v>-4.3099999999999996</v>
      </c>
      <c r="BJ1134">
        <v>64</v>
      </c>
      <c r="BK1134">
        <v>18</v>
      </c>
      <c r="BL1134">
        <v>-2.44</v>
      </c>
      <c r="BM1134">
        <v>1.5</v>
      </c>
      <c r="BN1134">
        <v>-1.67</v>
      </c>
      <c r="BO1134">
        <v>-2.27</v>
      </c>
      <c r="BP1134">
        <v>-1.01</v>
      </c>
      <c r="BQ1134">
        <v>2.19</v>
      </c>
      <c r="BR1134">
        <v>-2.93</v>
      </c>
      <c r="BS1134">
        <v>1.7</v>
      </c>
      <c r="BT1134">
        <v>2.6</v>
      </c>
      <c r="BU1134">
        <v>0.14000000000000001</v>
      </c>
      <c r="BV1134">
        <v>-0.69</v>
      </c>
      <c r="BW1134">
        <v>0.31</v>
      </c>
      <c r="BX1134">
        <v>1.02</v>
      </c>
      <c r="BY1134">
        <v>0.97</v>
      </c>
      <c r="BZ1134">
        <v>-4.2</v>
      </c>
      <c r="CA1134">
        <v>0.05</v>
      </c>
      <c r="CB1134">
        <v>-0.21</v>
      </c>
      <c r="CC1134">
        <v>0.47</v>
      </c>
      <c r="CD1134">
        <v>2.08</v>
      </c>
      <c r="CE1134">
        <v>-2.5099999999999998</v>
      </c>
      <c r="CF1134">
        <v>-1.61</v>
      </c>
      <c r="CG1134">
        <v>0</v>
      </c>
      <c r="CH1134">
        <v>0.91</v>
      </c>
      <c r="CI1134">
        <v>0</v>
      </c>
      <c r="CJ1134">
        <v>-2.9</v>
      </c>
      <c r="CK1134">
        <v>99</v>
      </c>
      <c r="CL1134">
        <v>-0.24</v>
      </c>
      <c r="CM1134">
        <v>99</v>
      </c>
      <c r="CN1134">
        <v>-0.18</v>
      </c>
      <c r="CO1134">
        <v>99</v>
      </c>
      <c r="CP1134">
        <v>-0.1</v>
      </c>
      <c r="CQ1134">
        <v>99</v>
      </c>
      <c r="CR1134">
        <v>0</v>
      </c>
      <c r="CS1134">
        <v>0</v>
      </c>
      <c r="CT1134">
        <v>6.1</v>
      </c>
      <c r="CU1134">
        <v>98</v>
      </c>
      <c r="CV1134">
        <v>0.05</v>
      </c>
      <c r="CW1134">
        <v>48</v>
      </c>
      <c r="CX1134" t="s">
        <v>262</v>
      </c>
    </row>
    <row r="1135" spans="1:102" x14ac:dyDescent="0.3">
      <c r="A1135" t="str">
        <f>HYPERLINK("https://webapp.icbf.com/v2/app/bull-search/view/349439897","DKZ")</f>
        <v>DKZ</v>
      </c>
      <c r="B1135" t="s">
        <v>7943</v>
      </c>
      <c r="C1135" t="s">
        <v>7944</v>
      </c>
      <c r="D1135" s="1">
        <v>37661</v>
      </c>
      <c r="E1135" t="s">
        <v>108</v>
      </c>
      <c r="F1135">
        <v>0</v>
      </c>
      <c r="G1135" t="s">
        <v>93</v>
      </c>
      <c r="H1135">
        <v>133.68</v>
      </c>
      <c r="I1135">
        <v>75</v>
      </c>
      <c r="J1135">
        <v>7.63</v>
      </c>
      <c r="K1135">
        <v>89</v>
      </c>
      <c r="L1135">
        <v>119.09</v>
      </c>
      <c r="M1135">
        <v>66</v>
      </c>
      <c r="N1135">
        <v>-15.28</v>
      </c>
      <c r="O1135">
        <v>67</v>
      </c>
      <c r="P1135">
        <v>-7.83</v>
      </c>
      <c r="Q1135">
        <v>82</v>
      </c>
      <c r="R1135">
        <v>-4.93</v>
      </c>
      <c r="S1135">
        <v>67</v>
      </c>
      <c r="T1135">
        <v>28.7</v>
      </c>
      <c r="U1135">
        <v>65</v>
      </c>
      <c r="V1135">
        <v>6.3</v>
      </c>
      <c r="W1135">
        <v>61</v>
      </c>
      <c r="X1135" t="s">
        <v>102</v>
      </c>
      <c r="Y1135" t="s">
        <v>1775</v>
      </c>
      <c r="Z1135" t="s">
        <v>96</v>
      </c>
      <c r="AA1135" t="s">
        <v>7945</v>
      </c>
      <c r="AB1135" t="s">
        <v>7946</v>
      </c>
      <c r="AC1135">
        <v>16</v>
      </c>
      <c r="AD1135">
        <v>13</v>
      </c>
      <c r="AE1135">
        <v>89</v>
      </c>
      <c r="AF1135">
        <v>-102.53</v>
      </c>
      <c r="AG1135">
        <v>1.52</v>
      </c>
      <c r="AH1135">
        <v>-0.81</v>
      </c>
      <c r="AI1135">
        <v>0.1</v>
      </c>
      <c r="AJ1135">
        <v>0.05</v>
      </c>
      <c r="AK1135">
        <v>66</v>
      </c>
      <c r="AL1135">
        <v>23</v>
      </c>
      <c r="AM1135">
        <v>18</v>
      </c>
      <c r="AN1135">
        <v>-8.6300000000000008</v>
      </c>
      <c r="AO1135">
        <v>0.84</v>
      </c>
      <c r="AP1135">
        <v>41</v>
      </c>
      <c r="AQ1135">
        <v>1</v>
      </c>
      <c r="AR1135">
        <v>6.76</v>
      </c>
      <c r="AS1135">
        <v>60</v>
      </c>
      <c r="AT1135">
        <v>2.87</v>
      </c>
      <c r="AU1135">
        <v>70</v>
      </c>
      <c r="AV1135">
        <v>1.1499999999999999</v>
      </c>
      <c r="AW1135">
        <v>73</v>
      </c>
      <c r="AX1135">
        <v>-0.71</v>
      </c>
      <c r="AY1135">
        <v>63</v>
      </c>
      <c r="AZ1135">
        <v>7.81</v>
      </c>
      <c r="BA1135">
        <v>49</v>
      </c>
      <c r="BB1135">
        <v>6.79</v>
      </c>
      <c r="BC1135">
        <v>51</v>
      </c>
      <c r="BD1135">
        <v>0.05</v>
      </c>
      <c r="BE1135">
        <v>0</v>
      </c>
      <c r="BF1135">
        <v>0.03</v>
      </c>
      <c r="BG1135">
        <v>75</v>
      </c>
      <c r="BH1135">
        <v>0.14000000000000001</v>
      </c>
      <c r="BI1135">
        <v>-4.12</v>
      </c>
      <c r="BJ1135">
        <v>10</v>
      </c>
      <c r="BK1135">
        <v>7</v>
      </c>
      <c r="BL1135">
        <v>-2.7</v>
      </c>
      <c r="BM1135">
        <v>1.25</v>
      </c>
      <c r="BN1135">
        <v>-3.18</v>
      </c>
      <c r="BO1135">
        <v>-3.27</v>
      </c>
      <c r="BP1135">
        <v>-0.41</v>
      </c>
      <c r="BQ1135">
        <v>1.94</v>
      </c>
      <c r="BR1135">
        <v>-1.03</v>
      </c>
      <c r="BS1135">
        <v>-1.43</v>
      </c>
      <c r="BT1135">
        <v>-0.02</v>
      </c>
      <c r="BU1135">
        <v>-2.72</v>
      </c>
      <c r="BV1135">
        <v>-4.3600000000000003</v>
      </c>
      <c r="BW1135">
        <v>-3.59</v>
      </c>
      <c r="BX1135">
        <v>-0.28999999999999998</v>
      </c>
      <c r="BY1135">
        <v>-2.52</v>
      </c>
      <c r="BZ1135">
        <v>-3.22</v>
      </c>
      <c r="CA1135">
        <v>-3.56</v>
      </c>
      <c r="CB1135">
        <v>-3.78</v>
      </c>
      <c r="CC1135">
        <v>-2.34</v>
      </c>
      <c r="CD1135">
        <v>2.73</v>
      </c>
      <c r="CE1135">
        <v>-2.85</v>
      </c>
      <c r="CF1135">
        <v>-1.8</v>
      </c>
      <c r="CG1135">
        <v>0</v>
      </c>
      <c r="CH1135">
        <v>-3.08</v>
      </c>
      <c r="CI1135">
        <v>0</v>
      </c>
      <c r="CJ1135">
        <v>-3.4</v>
      </c>
      <c r="CK1135">
        <v>84</v>
      </c>
      <c r="CL1135">
        <v>-0.14000000000000001</v>
      </c>
      <c r="CM1135">
        <v>81</v>
      </c>
      <c r="CN1135">
        <v>-0.1</v>
      </c>
      <c r="CO1135">
        <v>79</v>
      </c>
      <c r="CP1135">
        <v>-19.100000000000001</v>
      </c>
      <c r="CQ1135">
        <v>73</v>
      </c>
      <c r="CR1135">
        <v>0</v>
      </c>
      <c r="CS1135">
        <v>0</v>
      </c>
      <c r="CT1135">
        <v>-25</v>
      </c>
      <c r="CU1135">
        <v>65</v>
      </c>
      <c r="CV1135">
        <v>0.1</v>
      </c>
      <c r="CW1135">
        <v>42</v>
      </c>
      <c r="CX1135" t="s">
        <v>7947</v>
      </c>
    </row>
    <row r="1136" spans="1:102" x14ac:dyDescent="0.3">
      <c r="A1136" t="str">
        <f>HYPERLINK("https://webapp.icbf.com/v2/app/bull-search/view/746642650","BSJ")</f>
        <v>BSJ</v>
      </c>
      <c r="B1136" t="s">
        <v>12848</v>
      </c>
      <c r="C1136" t="s">
        <v>12849</v>
      </c>
      <c r="D1136" s="1">
        <v>38167</v>
      </c>
      <c r="E1136" t="s">
        <v>395</v>
      </c>
      <c r="F1136">
        <v>0</v>
      </c>
      <c r="G1136" t="s">
        <v>93</v>
      </c>
      <c r="H1136">
        <v>133.53</v>
      </c>
      <c r="I1136">
        <v>98</v>
      </c>
      <c r="J1136">
        <v>61.39</v>
      </c>
      <c r="K1136">
        <v>99</v>
      </c>
      <c r="L1136">
        <v>28.4</v>
      </c>
      <c r="M1136">
        <v>96</v>
      </c>
      <c r="N1136">
        <v>39.22</v>
      </c>
      <c r="O1136">
        <v>99</v>
      </c>
      <c r="P1136">
        <v>-7.43</v>
      </c>
      <c r="Q1136">
        <v>99</v>
      </c>
      <c r="R1136">
        <v>3.49</v>
      </c>
      <c r="S1136">
        <v>97</v>
      </c>
      <c r="T1136">
        <v>21.74</v>
      </c>
      <c r="U1136">
        <v>99</v>
      </c>
      <c r="V1136">
        <v>-13.28</v>
      </c>
      <c r="W1136">
        <v>95</v>
      </c>
      <c r="X1136" t="s">
        <v>94</v>
      </c>
      <c r="Y1136" t="s">
        <v>282</v>
      </c>
      <c r="Z1136">
        <v>0</v>
      </c>
      <c r="AA1136" t="s">
        <v>5538</v>
      </c>
      <c r="AB1136" t="s">
        <v>144</v>
      </c>
      <c r="AC1136">
        <v>2683</v>
      </c>
      <c r="AD1136">
        <v>623</v>
      </c>
      <c r="AE1136">
        <v>99</v>
      </c>
      <c r="AF1136">
        <v>126.54</v>
      </c>
      <c r="AG1136">
        <v>9.49</v>
      </c>
      <c r="AH1136">
        <v>9.02</v>
      </c>
      <c r="AI1136">
        <v>0.08</v>
      </c>
      <c r="AJ1136">
        <v>0.08</v>
      </c>
      <c r="AK1136">
        <v>96</v>
      </c>
      <c r="AL1136">
        <v>3218</v>
      </c>
      <c r="AM1136">
        <v>797</v>
      </c>
      <c r="AN1136">
        <v>-1.17</v>
      </c>
      <c r="AO1136">
        <v>1.1000000000000001</v>
      </c>
      <c r="AP1136">
        <v>5940</v>
      </c>
      <c r="AQ1136">
        <v>59</v>
      </c>
      <c r="AR1136">
        <v>3.82</v>
      </c>
      <c r="AS1136">
        <v>99</v>
      </c>
      <c r="AT1136">
        <v>1.71</v>
      </c>
      <c r="AU1136">
        <v>99</v>
      </c>
      <c r="AV1136">
        <v>-3.04</v>
      </c>
      <c r="AW1136">
        <v>99</v>
      </c>
      <c r="AX1136">
        <v>-0.53</v>
      </c>
      <c r="AY1136">
        <v>99</v>
      </c>
      <c r="AZ1136">
        <v>7.24</v>
      </c>
      <c r="BA1136">
        <v>98</v>
      </c>
      <c r="BB1136">
        <v>5.6</v>
      </c>
      <c r="BC1136">
        <v>98</v>
      </c>
      <c r="BD1136">
        <v>-0.02</v>
      </c>
      <c r="BE1136">
        <v>-0.03</v>
      </c>
      <c r="BF1136">
        <v>0.01</v>
      </c>
      <c r="BG1136">
        <v>99</v>
      </c>
      <c r="BH1136">
        <v>-0.3</v>
      </c>
      <c r="BI1136">
        <v>8.15</v>
      </c>
      <c r="BJ1136">
        <v>2</v>
      </c>
      <c r="BK1136">
        <v>2</v>
      </c>
      <c r="BL1136">
        <v>-1.9</v>
      </c>
      <c r="BM1136">
        <v>0.6</v>
      </c>
      <c r="BN1136">
        <v>-1.39</v>
      </c>
      <c r="BO1136">
        <v>-1.44</v>
      </c>
      <c r="BP1136">
        <v>-0.63</v>
      </c>
      <c r="BQ1136">
        <v>-1.67</v>
      </c>
      <c r="BR1136">
        <v>1.71</v>
      </c>
      <c r="BS1136">
        <v>-0.15</v>
      </c>
      <c r="BT1136">
        <v>-1.53</v>
      </c>
      <c r="BU1136">
        <v>-0.92</v>
      </c>
      <c r="BV1136">
        <v>-1.59</v>
      </c>
      <c r="BW1136">
        <v>-1.19</v>
      </c>
      <c r="BX1136">
        <v>-0.9</v>
      </c>
      <c r="BY1136">
        <v>-0.84</v>
      </c>
      <c r="BZ1136">
        <v>-1.48</v>
      </c>
      <c r="CA1136">
        <v>-1.54</v>
      </c>
      <c r="CB1136">
        <v>-1.07</v>
      </c>
      <c r="CC1136">
        <v>-1.92</v>
      </c>
      <c r="CD1136">
        <v>0.46</v>
      </c>
      <c r="CE1136">
        <v>-1.56</v>
      </c>
      <c r="CF1136">
        <v>-2.57</v>
      </c>
      <c r="CG1136">
        <v>0</v>
      </c>
      <c r="CH1136">
        <v>-0.72</v>
      </c>
      <c r="CI1136">
        <v>0</v>
      </c>
      <c r="CJ1136">
        <v>-4.9000000000000004</v>
      </c>
      <c r="CK1136">
        <v>99</v>
      </c>
      <c r="CL1136">
        <v>-0.57999999999999996</v>
      </c>
      <c r="CM1136">
        <v>99</v>
      </c>
      <c r="CN1136">
        <v>-0.64</v>
      </c>
      <c r="CO1136">
        <v>99</v>
      </c>
      <c r="CP1136">
        <v>-14.5</v>
      </c>
      <c r="CQ1136">
        <v>99</v>
      </c>
      <c r="CR1136">
        <v>0</v>
      </c>
      <c r="CS1136">
        <v>0</v>
      </c>
      <c r="CT1136">
        <v>-15.6</v>
      </c>
      <c r="CU1136">
        <v>99</v>
      </c>
      <c r="CV1136">
        <v>0</v>
      </c>
      <c r="CW1136">
        <v>48</v>
      </c>
      <c r="CX1136" t="s">
        <v>12850</v>
      </c>
    </row>
    <row r="1137" spans="1:102" x14ac:dyDescent="0.3">
      <c r="A1137" t="str">
        <f>HYPERLINK("https://webapp.icbf.com/v2/app/bull-search/view/1103481642","S2291")</f>
        <v>S2291</v>
      </c>
      <c r="B1137" t="s">
        <v>5967</v>
      </c>
      <c r="C1137" t="s">
        <v>5968</v>
      </c>
      <c r="D1137" s="1">
        <v>40218</v>
      </c>
      <c r="E1137" t="s">
        <v>92</v>
      </c>
      <c r="F1137">
        <v>78</v>
      </c>
      <c r="G1137" t="s">
        <v>109</v>
      </c>
      <c r="H1137">
        <v>133.41</v>
      </c>
      <c r="I1137">
        <v>79</v>
      </c>
      <c r="J1137">
        <v>43.42</v>
      </c>
      <c r="K1137">
        <v>91</v>
      </c>
      <c r="L1137">
        <v>56.99</v>
      </c>
      <c r="M1137">
        <v>78</v>
      </c>
      <c r="N1137">
        <v>21.94</v>
      </c>
      <c r="O1137">
        <v>81</v>
      </c>
      <c r="P1137">
        <v>-4.03</v>
      </c>
      <c r="Q1137">
        <v>84</v>
      </c>
      <c r="R1137">
        <v>4.99</v>
      </c>
      <c r="S1137">
        <v>69</v>
      </c>
      <c r="T1137">
        <v>6.35</v>
      </c>
      <c r="U1137">
        <v>49</v>
      </c>
      <c r="V1137">
        <v>3.75</v>
      </c>
      <c r="W1137">
        <v>52</v>
      </c>
      <c r="X1137" t="s">
        <v>102</v>
      </c>
      <c r="Y1137" t="s">
        <v>367</v>
      </c>
      <c r="Z1137" t="s">
        <v>330</v>
      </c>
      <c r="AA1137" t="s">
        <v>5588</v>
      </c>
      <c r="AB1137" t="s">
        <v>5969</v>
      </c>
      <c r="AC1137">
        <v>0</v>
      </c>
      <c r="AD1137">
        <v>0</v>
      </c>
      <c r="AE1137">
        <v>91</v>
      </c>
      <c r="AF1137">
        <v>21.23</v>
      </c>
      <c r="AG1137">
        <v>3.53</v>
      </c>
      <c r="AH1137">
        <v>6.46</v>
      </c>
      <c r="AI1137">
        <v>0.05</v>
      </c>
      <c r="AJ1137">
        <v>0.1</v>
      </c>
      <c r="AK1137">
        <v>78</v>
      </c>
      <c r="AL1137">
        <v>0</v>
      </c>
      <c r="AM1137">
        <v>0</v>
      </c>
      <c r="AN1137">
        <v>-2.7</v>
      </c>
      <c r="AO1137">
        <v>1.85</v>
      </c>
      <c r="AP1137">
        <v>275</v>
      </c>
      <c r="AQ1137">
        <v>1</v>
      </c>
      <c r="AR1137">
        <v>6.39</v>
      </c>
      <c r="AS1137">
        <v>66</v>
      </c>
      <c r="AT1137">
        <v>2.69</v>
      </c>
      <c r="AU1137">
        <v>89</v>
      </c>
      <c r="AV1137">
        <v>-1.95</v>
      </c>
      <c r="AW1137">
        <v>96</v>
      </c>
      <c r="AX1137">
        <v>-0.84</v>
      </c>
      <c r="AY1137">
        <v>85</v>
      </c>
      <c r="AZ1137">
        <v>6.57</v>
      </c>
      <c r="BA1137">
        <v>42</v>
      </c>
      <c r="BB1137">
        <v>5.42</v>
      </c>
      <c r="BC1137">
        <v>32</v>
      </c>
      <c r="BD1137">
        <v>-7.0000000000000007E-2</v>
      </c>
      <c r="BE1137">
        <v>-0.02</v>
      </c>
      <c r="BF1137">
        <v>0.04</v>
      </c>
      <c r="BG1137">
        <v>89</v>
      </c>
      <c r="BH1137">
        <v>0.03</v>
      </c>
      <c r="BI1137">
        <v>-8.6300000000000008</v>
      </c>
      <c r="BJ1137">
        <v>1</v>
      </c>
      <c r="BK1137">
        <v>1</v>
      </c>
      <c r="BL1137">
        <v>-0.81</v>
      </c>
      <c r="BM1137">
        <v>-1.4</v>
      </c>
      <c r="BN1137">
        <v>-1.58</v>
      </c>
      <c r="BO1137">
        <v>-0.57999999999999996</v>
      </c>
      <c r="BP1137">
        <v>-1.89</v>
      </c>
      <c r="BQ1137">
        <v>-1.67</v>
      </c>
      <c r="BR1137">
        <v>0.46</v>
      </c>
      <c r="BS1137">
        <v>2.0499999999999998</v>
      </c>
      <c r="BT1137">
        <v>-0.57999999999999996</v>
      </c>
      <c r="BU1137">
        <v>0.86</v>
      </c>
      <c r="BV1137">
        <v>-1.05</v>
      </c>
      <c r="BW1137">
        <v>-0.92</v>
      </c>
      <c r="BX1137">
        <v>0.34</v>
      </c>
      <c r="BY1137">
        <v>1.05</v>
      </c>
      <c r="BZ1137">
        <v>-1.63</v>
      </c>
      <c r="CA1137">
        <v>0.19</v>
      </c>
      <c r="CB1137">
        <v>-0.41</v>
      </c>
      <c r="CC1137">
        <v>1.03</v>
      </c>
      <c r="CD1137">
        <v>0.06</v>
      </c>
      <c r="CE1137">
        <v>-0.1</v>
      </c>
      <c r="CF1137">
        <v>-0.48</v>
      </c>
      <c r="CG1137">
        <v>0</v>
      </c>
      <c r="CH1137">
        <v>-1.04</v>
      </c>
      <c r="CI1137">
        <v>0</v>
      </c>
      <c r="CJ1137">
        <v>-1.1000000000000001</v>
      </c>
      <c r="CK1137">
        <v>88</v>
      </c>
      <c r="CL1137">
        <v>-0.45</v>
      </c>
      <c r="CM1137">
        <v>85</v>
      </c>
      <c r="CN1137">
        <v>-0.26</v>
      </c>
      <c r="CO1137">
        <v>83</v>
      </c>
      <c r="CP1137">
        <v>-6.1</v>
      </c>
      <c r="CQ1137">
        <v>54</v>
      </c>
      <c r="CR1137">
        <v>0</v>
      </c>
      <c r="CS1137">
        <v>0</v>
      </c>
      <c r="CT1137">
        <v>5.2</v>
      </c>
      <c r="CU1137">
        <v>49</v>
      </c>
      <c r="CV1137">
        <v>0.05</v>
      </c>
      <c r="CW1137">
        <v>43</v>
      </c>
      <c r="CX1137" t="s">
        <v>5970</v>
      </c>
    </row>
    <row r="1138" spans="1:102" x14ac:dyDescent="0.3">
      <c r="A1138" t="str">
        <f>HYPERLINK("https://webapp.icbf.com/v2/app/bull-search/view/1292341267","FR2209")</f>
        <v>FR2209</v>
      </c>
      <c r="B1138" t="s">
        <v>2188</v>
      </c>
      <c r="C1138" t="s">
        <v>448</v>
      </c>
      <c r="D1138" s="1">
        <v>41770</v>
      </c>
      <c r="E1138" t="s">
        <v>92</v>
      </c>
      <c r="F1138">
        <v>100</v>
      </c>
      <c r="G1138" t="s">
        <v>109</v>
      </c>
      <c r="H1138">
        <v>133.4</v>
      </c>
      <c r="I1138">
        <v>79</v>
      </c>
      <c r="J1138">
        <v>108.39</v>
      </c>
      <c r="K1138">
        <v>93</v>
      </c>
      <c r="L1138">
        <v>-19.14</v>
      </c>
      <c r="M1138">
        <v>82</v>
      </c>
      <c r="N1138">
        <v>41.68</v>
      </c>
      <c r="O1138">
        <v>82</v>
      </c>
      <c r="P1138">
        <v>-9.26</v>
      </c>
      <c r="Q1138">
        <v>62</v>
      </c>
      <c r="R1138">
        <v>11.65</v>
      </c>
      <c r="S1138">
        <v>72</v>
      </c>
      <c r="T1138">
        <v>-0.46</v>
      </c>
      <c r="U1138">
        <v>41</v>
      </c>
      <c r="V1138">
        <v>0.54</v>
      </c>
      <c r="W1138">
        <v>57</v>
      </c>
      <c r="X1138" t="s">
        <v>428</v>
      </c>
      <c r="Y1138" t="s">
        <v>405</v>
      </c>
      <c r="Z1138" t="s">
        <v>96</v>
      </c>
      <c r="AA1138" t="s">
        <v>2189</v>
      </c>
      <c r="AB1138" t="s">
        <v>2190</v>
      </c>
      <c r="AC1138">
        <v>18</v>
      </c>
      <c r="AD1138">
        <v>10</v>
      </c>
      <c r="AE1138">
        <v>93</v>
      </c>
      <c r="AF1138">
        <v>915.74</v>
      </c>
      <c r="AG1138">
        <v>19.96</v>
      </c>
      <c r="AH1138">
        <v>25.39</v>
      </c>
      <c r="AI1138">
        <v>-0.24</v>
      </c>
      <c r="AJ1138">
        <v>-0.09</v>
      </c>
      <c r="AK1138">
        <v>82</v>
      </c>
      <c r="AL1138">
        <v>0</v>
      </c>
      <c r="AM1138">
        <v>0</v>
      </c>
      <c r="AN1138">
        <v>3.11</v>
      </c>
      <c r="AO1138">
        <v>1.61</v>
      </c>
      <c r="AP1138">
        <v>93</v>
      </c>
      <c r="AQ1138">
        <v>3</v>
      </c>
      <c r="AR1138">
        <v>5.94</v>
      </c>
      <c r="AS1138">
        <v>78</v>
      </c>
      <c r="AT1138">
        <v>2.79</v>
      </c>
      <c r="AU1138">
        <v>97</v>
      </c>
      <c r="AV1138">
        <v>-3.94</v>
      </c>
      <c r="AW1138">
        <v>93</v>
      </c>
      <c r="AX1138">
        <v>-0.84</v>
      </c>
      <c r="AY1138">
        <v>77</v>
      </c>
      <c r="AZ1138">
        <v>6.17</v>
      </c>
      <c r="BA1138">
        <v>43</v>
      </c>
      <c r="BB1138">
        <v>4.8</v>
      </c>
      <c r="BC1138">
        <v>34</v>
      </c>
      <c r="BD1138">
        <v>-0.06</v>
      </c>
      <c r="BE1138">
        <v>-0.02</v>
      </c>
      <c r="BF1138">
        <v>-0.13</v>
      </c>
      <c r="BG1138">
        <v>90</v>
      </c>
      <c r="BH1138">
        <v>-0.03</v>
      </c>
      <c r="BI1138">
        <v>-5.21</v>
      </c>
      <c r="BJ1138">
        <v>1</v>
      </c>
      <c r="BK1138">
        <v>1</v>
      </c>
      <c r="BL1138">
        <v>1.68</v>
      </c>
      <c r="BM1138">
        <v>1.01</v>
      </c>
      <c r="BN1138">
        <v>1.23</v>
      </c>
      <c r="BO1138">
        <v>1.1299999999999999</v>
      </c>
      <c r="BP1138">
        <v>0.03</v>
      </c>
      <c r="BQ1138">
        <v>0.21</v>
      </c>
      <c r="BR1138">
        <v>-3.48</v>
      </c>
      <c r="BS1138">
        <v>1.31</v>
      </c>
      <c r="BT1138">
        <v>2.5499999999999998</v>
      </c>
      <c r="BU1138">
        <v>2.98</v>
      </c>
      <c r="BV1138">
        <v>3.02</v>
      </c>
      <c r="BW1138">
        <v>2.97</v>
      </c>
      <c r="BX1138">
        <v>2.59</v>
      </c>
      <c r="BY1138">
        <v>0.94</v>
      </c>
      <c r="BZ1138">
        <v>0.27</v>
      </c>
      <c r="CA1138">
        <v>2.36</v>
      </c>
      <c r="CB1138">
        <v>2.65</v>
      </c>
      <c r="CC1138">
        <v>0.74</v>
      </c>
      <c r="CD1138">
        <v>0.27</v>
      </c>
      <c r="CE1138">
        <v>1.55</v>
      </c>
      <c r="CF1138">
        <v>1.62</v>
      </c>
      <c r="CG1138">
        <v>0</v>
      </c>
      <c r="CH1138">
        <v>0.93</v>
      </c>
      <c r="CI1138">
        <v>0</v>
      </c>
      <c r="CJ1138">
        <v>-3.4</v>
      </c>
      <c r="CK1138">
        <v>65</v>
      </c>
      <c r="CL1138">
        <v>-1.18</v>
      </c>
      <c r="CM1138">
        <v>62</v>
      </c>
      <c r="CN1138">
        <v>-0.65</v>
      </c>
      <c r="CO1138">
        <v>60</v>
      </c>
      <c r="CP1138">
        <v>0</v>
      </c>
      <c r="CQ1138">
        <v>44</v>
      </c>
      <c r="CR1138">
        <v>0</v>
      </c>
      <c r="CS1138">
        <v>0</v>
      </c>
      <c r="CT1138">
        <v>14.4</v>
      </c>
      <c r="CU1138">
        <v>41</v>
      </c>
      <c r="CV1138">
        <v>0.2</v>
      </c>
      <c r="CW1138">
        <v>38</v>
      </c>
      <c r="CX1138" t="s">
        <v>465</v>
      </c>
    </row>
    <row r="1139" spans="1:102" x14ac:dyDescent="0.3">
      <c r="A1139" t="str">
        <f>HYPERLINK("https://webapp.icbf.com/v2/app/bull-search/view/863182273","YGL")</f>
        <v>YGL</v>
      </c>
      <c r="B1139" t="s">
        <v>1880</v>
      </c>
      <c r="C1139" t="s">
        <v>1881</v>
      </c>
      <c r="D1139" s="1">
        <v>40588</v>
      </c>
      <c r="E1139" t="s">
        <v>92</v>
      </c>
      <c r="F1139">
        <v>81</v>
      </c>
      <c r="G1139" t="s">
        <v>435</v>
      </c>
      <c r="H1139">
        <v>133.26</v>
      </c>
      <c r="I1139">
        <v>73</v>
      </c>
      <c r="J1139">
        <v>53.44</v>
      </c>
      <c r="K1139">
        <v>89</v>
      </c>
      <c r="L1139">
        <v>41.71</v>
      </c>
      <c r="M1139">
        <v>65</v>
      </c>
      <c r="N1139">
        <v>27.12</v>
      </c>
      <c r="O1139">
        <v>61</v>
      </c>
      <c r="P1139">
        <v>-12.73</v>
      </c>
      <c r="Q1139">
        <v>74</v>
      </c>
      <c r="R1139">
        <v>3.48</v>
      </c>
      <c r="S1139">
        <v>65</v>
      </c>
      <c r="T1139">
        <v>19.670000000000002</v>
      </c>
      <c r="U1139">
        <v>59</v>
      </c>
      <c r="V1139">
        <v>0.56999999999999995</v>
      </c>
      <c r="W1139">
        <v>64</v>
      </c>
      <c r="X1139" t="s">
        <v>94</v>
      </c>
      <c r="Y1139" t="s">
        <v>1860</v>
      </c>
      <c r="Z1139" t="s">
        <v>96</v>
      </c>
      <c r="AA1139" t="s">
        <v>419</v>
      </c>
      <c r="AB1139" t="s">
        <v>1882</v>
      </c>
      <c r="AC1139">
        <v>10</v>
      </c>
      <c r="AD1139">
        <v>5</v>
      </c>
      <c r="AE1139">
        <v>89</v>
      </c>
      <c r="AF1139">
        <v>137.51</v>
      </c>
      <c r="AG1139">
        <v>8.52</v>
      </c>
      <c r="AH1139">
        <v>8.18</v>
      </c>
      <c r="AI1139">
        <v>0.05</v>
      </c>
      <c r="AJ1139">
        <v>0.06</v>
      </c>
      <c r="AK1139">
        <v>65</v>
      </c>
      <c r="AL1139">
        <v>9</v>
      </c>
      <c r="AM1139">
        <v>3</v>
      </c>
      <c r="AN1139">
        <v>-1.22</v>
      </c>
      <c r="AO1139">
        <v>2.12</v>
      </c>
      <c r="AP1139">
        <v>24</v>
      </c>
      <c r="AQ1139">
        <v>0</v>
      </c>
      <c r="AR1139">
        <v>7.22</v>
      </c>
      <c r="AS1139">
        <v>68</v>
      </c>
      <c r="AT1139">
        <v>2.5</v>
      </c>
      <c r="AU1139">
        <v>62</v>
      </c>
      <c r="AV1139">
        <v>-2.34</v>
      </c>
      <c r="AW1139">
        <v>68</v>
      </c>
      <c r="AX1139">
        <v>-0.67</v>
      </c>
      <c r="AY1139">
        <v>55</v>
      </c>
      <c r="AZ1139">
        <v>6.31</v>
      </c>
      <c r="BA1139">
        <v>45</v>
      </c>
      <c r="BB1139">
        <v>4.9000000000000004</v>
      </c>
      <c r="BC1139">
        <v>45</v>
      </c>
      <c r="BD1139">
        <v>-0.03</v>
      </c>
      <c r="BE1139">
        <v>0</v>
      </c>
      <c r="BF1139">
        <v>-0.03</v>
      </c>
      <c r="BG1139">
        <v>75</v>
      </c>
      <c r="BH1139">
        <v>0.03</v>
      </c>
      <c r="BI1139">
        <v>1.62</v>
      </c>
      <c r="BJ1139">
        <v>1</v>
      </c>
      <c r="BK1139">
        <v>1</v>
      </c>
      <c r="BL1139">
        <v>-1.49</v>
      </c>
      <c r="BM1139">
        <v>0.56000000000000005</v>
      </c>
      <c r="BN1139">
        <v>-0.5</v>
      </c>
      <c r="BO1139">
        <v>-0.68</v>
      </c>
      <c r="BP1139">
        <v>-1.33</v>
      </c>
      <c r="BQ1139">
        <v>-1.41</v>
      </c>
      <c r="BR1139">
        <v>0.03</v>
      </c>
      <c r="BS1139">
        <v>-0.6</v>
      </c>
      <c r="BT1139">
        <v>-1.62</v>
      </c>
      <c r="BU1139">
        <v>-0.48</v>
      </c>
      <c r="BV1139">
        <v>-0.91</v>
      </c>
      <c r="BW1139">
        <v>-0.68</v>
      </c>
      <c r="BX1139">
        <v>-1.61</v>
      </c>
      <c r="BY1139">
        <v>-1.34</v>
      </c>
      <c r="BZ1139">
        <v>0.43</v>
      </c>
      <c r="CA1139">
        <v>-0.65</v>
      </c>
      <c r="CB1139">
        <v>-0.76</v>
      </c>
      <c r="CC1139">
        <v>-1.08</v>
      </c>
      <c r="CD1139">
        <v>0.46</v>
      </c>
      <c r="CE1139">
        <v>-0.53</v>
      </c>
      <c r="CF1139">
        <v>-0.87</v>
      </c>
      <c r="CG1139">
        <v>0</v>
      </c>
      <c r="CH1139">
        <v>-2.2599999999999998</v>
      </c>
      <c r="CI1139">
        <v>0</v>
      </c>
      <c r="CJ1139">
        <v>-8.3000000000000007</v>
      </c>
      <c r="CK1139">
        <v>77</v>
      </c>
      <c r="CL1139">
        <v>-0.5</v>
      </c>
      <c r="CM1139">
        <v>73</v>
      </c>
      <c r="CN1139">
        <v>-0.47</v>
      </c>
      <c r="CO1139">
        <v>72</v>
      </c>
      <c r="CP1139">
        <v>-10.8</v>
      </c>
      <c r="CQ1139">
        <v>62</v>
      </c>
      <c r="CR1139">
        <v>0</v>
      </c>
      <c r="CS1139">
        <v>0</v>
      </c>
      <c r="CT1139">
        <v>-12.8</v>
      </c>
      <c r="CU1139">
        <v>59</v>
      </c>
      <c r="CV1139">
        <v>-0.04</v>
      </c>
      <c r="CW1139">
        <v>41</v>
      </c>
      <c r="CX1139" t="s">
        <v>1883</v>
      </c>
    </row>
    <row r="1140" spans="1:102" x14ac:dyDescent="0.3">
      <c r="A1140" t="str">
        <f>HYPERLINK("https://webapp.icbf.com/v2/app/bull-search/view/437081760","SJT")</f>
        <v>SJT</v>
      </c>
      <c r="B1140" t="s">
        <v>7469</v>
      </c>
      <c r="C1140" t="s">
        <v>7470</v>
      </c>
      <c r="D1140" s="1">
        <v>36731</v>
      </c>
      <c r="E1140" t="s">
        <v>108</v>
      </c>
      <c r="F1140">
        <v>47</v>
      </c>
      <c r="G1140" t="s">
        <v>93</v>
      </c>
      <c r="H1140">
        <v>133.07</v>
      </c>
      <c r="I1140">
        <v>97</v>
      </c>
      <c r="J1140">
        <v>82.3</v>
      </c>
      <c r="K1140">
        <v>99</v>
      </c>
      <c r="L1140">
        <v>14.94</v>
      </c>
      <c r="M1140">
        <v>93</v>
      </c>
      <c r="N1140">
        <v>42.56</v>
      </c>
      <c r="O1140">
        <v>97</v>
      </c>
      <c r="P1140">
        <v>-20.329999999999998</v>
      </c>
      <c r="Q1140">
        <v>99</v>
      </c>
      <c r="R1140">
        <v>-21.21</v>
      </c>
      <c r="S1140">
        <v>96</v>
      </c>
      <c r="T1140">
        <v>24.93</v>
      </c>
      <c r="U1140">
        <v>99</v>
      </c>
      <c r="V1140">
        <v>9.8800000000000008</v>
      </c>
      <c r="W1140">
        <v>98</v>
      </c>
      <c r="X1140" t="s">
        <v>302</v>
      </c>
      <c r="Y1140" t="s">
        <v>95</v>
      </c>
      <c r="Z1140" t="s">
        <v>528</v>
      </c>
      <c r="AA1140" t="s">
        <v>792</v>
      </c>
      <c r="AB1140" t="s">
        <v>7471</v>
      </c>
      <c r="AC1140">
        <v>1027</v>
      </c>
      <c r="AD1140">
        <v>311</v>
      </c>
      <c r="AE1140">
        <v>99</v>
      </c>
      <c r="AF1140">
        <v>108.11</v>
      </c>
      <c r="AG1140">
        <v>13.6</v>
      </c>
      <c r="AH1140">
        <v>10.84</v>
      </c>
      <c r="AI1140">
        <v>0.16</v>
      </c>
      <c r="AJ1140">
        <v>0.12</v>
      </c>
      <c r="AK1140">
        <v>93</v>
      </c>
      <c r="AL1140">
        <v>1054</v>
      </c>
      <c r="AM1140">
        <v>321</v>
      </c>
      <c r="AN1140">
        <v>-0.93</v>
      </c>
      <c r="AO1140">
        <v>0.26</v>
      </c>
      <c r="AP1140">
        <v>1848</v>
      </c>
      <c r="AQ1140">
        <v>10</v>
      </c>
      <c r="AR1140">
        <v>6.42</v>
      </c>
      <c r="AS1140">
        <v>93</v>
      </c>
      <c r="AT1140">
        <v>2.12</v>
      </c>
      <c r="AU1140">
        <v>98</v>
      </c>
      <c r="AV1140">
        <v>-3.53</v>
      </c>
      <c r="AW1140">
        <v>99</v>
      </c>
      <c r="AX1140">
        <v>-0.79</v>
      </c>
      <c r="AY1140">
        <v>98</v>
      </c>
      <c r="AZ1140">
        <v>5.43</v>
      </c>
      <c r="BA1140">
        <v>93</v>
      </c>
      <c r="BB1140">
        <v>4.93</v>
      </c>
      <c r="BC1140">
        <v>94</v>
      </c>
      <c r="BD1140">
        <v>0.01</v>
      </c>
      <c r="BE1140">
        <v>0.09</v>
      </c>
      <c r="BF1140">
        <v>0.3</v>
      </c>
      <c r="BG1140">
        <v>98</v>
      </c>
      <c r="BH1140">
        <v>0.23</v>
      </c>
      <c r="BI1140">
        <v>-5.25</v>
      </c>
      <c r="BJ1140">
        <v>13</v>
      </c>
      <c r="BK1140">
        <v>12</v>
      </c>
      <c r="BL1140">
        <v>-1.1000000000000001</v>
      </c>
      <c r="BM1140">
        <v>-0.94</v>
      </c>
      <c r="BN1140">
        <v>-1.8</v>
      </c>
      <c r="BO1140">
        <v>-1.22</v>
      </c>
      <c r="BP1140">
        <v>1.06</v>
      </c>
      <c r="BQ1140">
        <v>-2.99</v>
      </c>
      <c r="BR1140">
        <v>1.63</v>
      </c>
      <c r="BS1140">
        <v>0.05</v>
      </c>
      <c r="BT1140">
        <v>-0.49</v>
      </c>
      <c r="BU1140">
        <v>-2.81</v>
      </c>
      <c r="BV1140">
        <v>-2.1</v>
      </c>
      <c r="BW1140">
        <v>-2.59</v>
      </c>
      <c r="BX1140">
        <v>-1.84</v>
      </c>
      <c r="BY1140">
        <v>-1.35</v>
      </c>
      <c r="BZ1140">
        <v>3.51</v>
      </c>
      <c r="CA1140">
        <v>-1.95</v>
      </c>
      <c r="CB1140">
        <v>-2.2200000000000002</v>
      </c>
      <c r="CC1140">
        <v>-0.63</v>
      </c>
      <c r="CD1140">
        <v>0.93</v>
      </c>
      <c r="CE1140">
        <v>-1.19</v>
      </c>
      <c r="CF1140">
        <v>-1.92</v>
      </c>
      <c r="CG1140">
        <v>0</v>
      </c>
      <c r="CH1140">
        <v>-1.72</v>
      </c>
      <c r="CI1140">
        <v>0</v>
      </c>
      <c r="CJ1140">
        <v>-8.4</v>
      </c>
      <c r="CK1140">
        <v>99</v>
      </c>
      <c r="CL1140">
        <v>-0.63</v>
      </c>
      <c r="CM1140">
        <v>99</v>
      </c>
      <c r="CN1140">
        <v>-0.02</v>
      </c>
      <c r="CO1140">
        <v>99</v>
      </c>
      <c r="CP1140">
        <v>-16.5</v>
      </c>
      <c r="CQ1140">
        <v>99</v>
      </c>
      <c r="CR1140">
        <v>0</v>
      </c>
      <c r="CS1140">
        <v>0</v>
      </c>
      <c r="CT1140">
        <v>-19.899999999999999</v>
      </c>
      <c r="CU1140">
        <v>99</v>
      </c>
      <c r="CV1140">
        <v>0.12</v>
      </c>
      <c r="CW1140">
        <v>47</v>
      </c>
      <c r="CX1140" t="s">
        <v>1089</v>
      </c>
    </row>
    <row r="1141" spans="1:102" x14ac:dyDescent="0.3">
      <c r="A1141" t="str">
        <f>HYPERLINK("https://webapp.icbf.com/v2/app/bull-search/view/1136123584","OBR")</f>
        <v>OBR</v>
      </c>
      <c r="B1141" t="s">
        <v>13476</v>
      </c>
      <c r="C1141" t="s">
        <v>13477</v>
      </c>
      <c r="D1141" s="1">
        <v>41662</v>
      </c>
      <c r="E1141" t="s">
        <v>92</v>
      </c>
      <c r="F1141">
        <v>75</v>
      </c>
      <c r="G1141" t="s">
        <v>93</v>
      </c>
      <c r="H1141">
        <v>133.06</v>
      </c>
      <c r="I1141">
        <v>84</v>
      </c>
      <c r="J1141">
        <v>11.18</v>
      </c>
      <c r="K1141">
        <v>96</v>
      </c>
      <c r="L1141">
        <v>64.989999999999995</v>
      </c>
      <c r="M1141">
        <v>75</v>
      </c>
      <c r="N1141">
        <v>48.07</v>
      </c>
      <c r="O1141">
        <v>84</v>
      </c>
      <c r="P1141">
        <v>-17.829999999999998</v>
      </c>
      <c r="Q1141">
        <v>88</v>
      </c>
      <c r="R1141">
        <v>4.93</v>
      </c>
      <c r="S1141">
        <v>76</v>
      </c>
      <c r="T1141">
        <v>18.190000000000001</v>
      </c>
      <c r="U1141">
        <v>82</v>
      </c>
      <c r="V1141">
        <v>3.53</v>
      </c>
      <c r="W1141">
        <v>71</v>
      </c>
      <c r="X1141" t="s">
        <v>94</v>
      </c>
      <c r="Y1141" t="s">
        <v>389</v>
      </c>
      <c r="Z1141" t="s">
        <v>96</v>
      </c>
      <c r="AA1141" t="s">
        <v>9180</v>
      </c>
      <c r="AB1141" t="s">
        <v>13478</v>
      </c>
      <c r="AC1141">
        <v>87</v>
      </c>
      <c r="AD1141">
        <v>47</v>
      </c>
      <c r="AE1141">
        <v>96</v>
      </c>
      <c r="AF1141">
        <v>121.9</v>
      </c>
      <c r="AG1141">
        <v>-0.83</v>
      </c>
      <c r="AH1141">
        <v>4.0599999999999996</v>
      </c>
      <c r="AI1141">
        <v>-0.1</v>
      </c>
      <c r="AJ1141">
        <v>0</v>
      </c>
      <c r="AK1141">
        <v>75</v>
      </c>
      <c r="AL1141">
        <v>82</v>
      </c>
      <c r="AM1141">
        <v>56</v>
      </c>
      <c r="AN1141">
        <v>-4.5599999999999996</v>
      </c>
      <c r="AO1141">
        <v>0.61</v>
      </c>
      <c r="AP1141">
        <v>207</v>
      </c>
      <c r="AQ1141">
        <v>1</v>
      </c>
      <c r="AR1141">
        <v>4</v>
      </c>
      <c r="AS1141">
        <v>77</v>
      </c>
      <c r="AT1141">
        <v>1.73</v>
      </c>
      <c r="AU1141">
        <v>86</v>
      </c>
      <c r="AV1141">
        <v>-4.04</v>
      </c>
      <c r="AW1141">
        <v>96</v>
      </c>
      <c r="AX1141">
        <v>0.1</v>
      </c>
      <c r="AY1141">
        <v>79</v>
      </c>
      <c r="AZ1141">
        <v>7.53</v>
      </c>
      <c r="BA1141">
        <v>63</v>
      </c>
      <c r="BB1141">
        <v>4.97</v>
      </c>
      <c r="BC1141">
        <v>55</v>
      </c>
      <c r="BD1141">
        <v>-0.02</v>
      </c>
      <c r="BE1141">
        <v>0</v>
      </c>
      <c r="BF1141">
        <v>-0.08</v>
      </c>
      <c r="BG1141">
        <v>86</v>
      </c>
      <c r="BH1141">
        <v>-0.02</v>
      </c>
      <c r="BI1141">
        <v>-13.7</v>
      </c>
      <c r="BJ1141">
        <v>3</v>
      </c>
      <c r="BK1141">
        <v>3</v>
      </c>
      <c r="BL1141">
        <v>-2.3199999999999998</v>
      </c>
      <c r="BM1141">
        <v>-1.07</v>
      </c>
      <c r="BN1141">
        <v>-1.37</v>
      </c>
      <c r="BO1141">
        <v>-0.87</v>
      </c>
      <c r="BP1141">
        <v>-1.78</v>
      </c>
      <c r="BQ1141">
        <v>-1.31</v>
      </c>
      <c r="BR1141">
        <v>0.28999999999999998</v>
      </c>
      <c r="BS1141">
        <v>-0.92</v>
      </c>
      <c r="BT1141">
        <v>-1.02</v>
      </c>
      <c r="BU1141">
        <v>0.48</v>
      </c>
      <c r="BV1141">
        <v>0.72</v>
      </c>
      <c r="BW1141">
        <v>-0.37</v>
      </c>
      <c r="BX1141">
        <v>-0.4</v>
      </c>
      <c r="BY1141">
        <v>-0.61</v>
      </c>
      <c r="BZ1141">
        <v>-0.76</v>
      </c>
      <c r="CA1141">
        <v>-0.98</v>
      </c>
      <c r="CB1141">
        <v>-0.48</v>
      </c>
      <c r="CC1141">
        <v>-1.22</v>
      </c>
      <c r="CD1141">
        <v>-0.21</v>
      </c>
      <c r="CE1141">
        <v>-0.41</v>
      </c>
      <c r="CF1141">
        <v>-1.49</v>
      </c>
      <c r="CG1141">
        <v>0</v>
      </c>
      <c r="CH1141">
        <v>-1.26</v>
      </c>
      <c r="CI1141">
        <v>0</v>
      </c>
      <c r="CJ1141">
        <v>-9.5</v>
      </c>
      <c r="CK1141">
        <v>91</v>
      </c>
      <c r="CL1141">
        <v>-0.74</v>
      </c>
      <c r="CM1141">
        <v>88</v>
      </c>
      <c r="CN1141">
        <v>-0.39</v>
      </c>
      <c r="CO1141">
        <v>87</v>
      </c>
      <c r="CP1141">
        <v>-11</v>
      </c>
      <c r="CQ1141">
        <v>73</v>
      </c>
      <c r="CR1141">
        <v>0</v>
      </c>
      <c r="CS1141">
        <v>0</v>
      </c>
      <c r="CT1141">
        <v>-10.8</v>
      </c>
      <c r="CU1141">
        <v>82</v>
      </c>
      <c r="CV1141">
        <v>-7.0000000000000007E-2</v>
      </c>
      <c r="CW1141">
        <v>45</v>
      </c>
      <c r="CX1141" t="s">
        <v>6720</v>
      </c>
    </row>
    <row r="1142" spans="1:102" x14ac:dyDescent="0.3">
      <c r="A1142" t="str">
        <f>HYPERLINK("https://webapp.icbf.com/v2/app/bull-search/view/122669701","RIP")</f>
        <v>RIP</v>
      </c>
      <c r="B1142" t="s">
        <v>14148</v>
      </c>
      <c r="C1142" t="s">
        <v>5059</v>
      </c>
      <c r="D1142" s="1">
        <v>37318</v>
      </c>
      <c r="E1142" t="s">
        <v>108</v>
      </c>
      <c r="F1142">
        <v>25</v>
      </c>
      <c r="G1142" t="s">
        <v>93</v>
      </c>
      <c r="H1142">
        <v>132.82</v>
      </c>
      <c r="I1142">
        <v>99</v>
      </c>
      <c r="J1142">
        <v>14.12</v>
      </c>
      <c r="K1142">
        <v>99</v>
      </c>
      <c r="L1142">
        <v>81.06</v>
      </c>
      <c r="M1142">
        <v>98</v>
      </c>
      <c r="N1142">
        <v>24.5</v>
      </c>
      <c r="O1142">
        <v>99</v>
      </c>
      <c r="P1142">
        <v>-7.5</v>
      </c>
      <c r="Q1142">
        <v>99</v>
      </c>
      <c r="R1142">
        <v>5.57</v>
      </c>
      <c r="S1142">
        <v>99</v>
      </c>
      <c r="T1142">
        <v>11.16</v>
      </c>
      <c r="U1142">
        <v>99</v>
      </c>
      <c r="V1142">
        <v>3.91</v>
      </c>
      <c r="W1142">
        <v>99</v>
      </c>
      <c r="X1142" t="s">
        <v>102</v>
      </c>
      <c r="Y1142" t="s">
        <v>95</v>
      </c>
      <c r="Z1142" t="s">
        <v>96</v>
      </c>
      <c r="AA1142" t="s">
        <v>4265</v>
      </c>
      <c r="AB1142" t="s">
        <v>4588</v>
      </c>
      <c r="AC1142">
        <v>5434</v>
      </c>
      <c r="AD1142">
        <v>1193</v>
      </c>
      <c r="AE1142">
        <v>99</v>
      </c>
      <c r="AF1142">
        <v>-37.76</v>
      </c>
      <c r="AG1142">
        <v>4.45</v>
      </c>
      <c r="AH1142">
        <v>0.25</v>
      </c>
      <c r="AI1142">
        <v>0.1</v>
      </c>
      <c r="AJ1142">
        <v>0.03</v>
      </c>
      <c r="AK1142">
        <v>98</v>
      </c>
      <c r="AL1142">
        <v>8014</v>
      </c>
      <c r="AM1142">
        <v>1922</v>
      </c>
      <c r="AN1142">
        <v>-4</v>
      </c>
      <c r="AO1142">
        <v>2.4700000000000002</v>
      </c>
      <c r="AP1142">
        <v>10596</v>
      </c>
      <c r="AQ1142">
        <v>125</v>
      </c>
      <c r="AR1142">
        <v>7.42</v>
      </c>
      <c r="AS1142">
        <v>99</v>
      </c>
      <c r="AT1142">
        <v>2.56</v>
      </c>
      <c r="AU1142">
        <v>99</v>
      </c>
      <c r="AV1142">
        <v>-1.92</v>
      </c>
      <c r="AW1142">
        <v>99</v>
      </c>
      <c r="AX1142">
        <v>0.01</v>
      </c>
      <c r="AY1142">
        <v>99</v>
      </c>
      <c r="AZ1142">
        <v>5.2</v>
      </c>
      <c r="BA1142">
        <v>99</v>
      </c>
      <c r="BB1142">
        <v>4.5</v>
      </c>
      <c r="BC1142">
        <v>99</v>
      </c>
      <c r="BD1142">
        <v>-0.03</v>
      </c>
      <c r="BE1142">
        <v>-0.02</v>
      </c>
      <c r="BF1142">
        <v>-0.04</v>
      </c>
      <c r="BG1142">
        <v>99</v>
      </c>
      <c r="BH1142">
        <v>-0.01</v>
      </c>
      <c r="BI1142">
        <v>-13.76</v>
      </c>
      <c r="BJ1142">
        <v>177</v>
      </c>
      <c r="BK1142">
        <v>90</v>
      </c>
      <c r="BL1142">
        <v>-1.37</v>
      </c>
      <c r="BM1142">
        <v>1.44</v>
      </c>
      <c r="BN1142">
        <v>-2.37</v>
      </c>
      <c r="BO1142">
        <v>-2.2599999999999998</v>
      </c>
      <c r="BP1142">
        <v>-0.86</v>
      </c>
      <c r="BQ1142">
        <v>1.41</v>
      </c>
      <c r="BR1142">
        <v>-1.1499999999999999</v>
      </c>
      <c r="BS1142">
        <v>-1.43</v>
      </c>
      <c r="BT1142">
        <v>-0.27</v>
      </c>
      <c r="BU1142">
        <v>-0.63</v>
      </c>
      <c r="BV1142">
        <v>-0.79</v>
      </c>
      <c r="BW1142">
        <v>-1.76</v>
      </c>
      <c r="BX1142">
        <v>-0.2</v>
      </c>
      <c r="BY1142">
        <v>-1.81</v>
      </c>
      <c r="BZ1142">
        <v>-0.86</v>
      </c>
      <c r="CA1142">
        <v>-1.57</v>
      </c>
      <c r="CB1142">
        <v>-1.18</v>
      </c>
      <c r="CC1142">
        <v>-1.92</v>
      </c>
      <c r="CD1142">
        <v>1.86</v>
      </c>
      <c r="CE1142">
        <v>-2.17</v>
      </c>
      <c r="CF1142">
        <v>-1.46</v>
      </c>
      <c r="CG1142">
        <v>0</v>
      </c>
      <c r="CH1142">
        <v>-1.7</v>
      </c>
      <c r="CI1142">
        <v>0</v>
      </c>
      <c r="CJ1142">
        <v>-2.7</v>
      </c>
      <c r="CK1142">
        <v>99</v>
      </c>
      <c r="CL1142">
        <v>-0.27</v>
      </c>
      <c r="CM1142">
        <v>99</v>
      </c>
      <c r="CN1142">
        <v>0.02</v>
      </c>
      <c r="CO1142">
        <v>99</v>
      </c>
      <c r="CP1142">
        <v>-5</v>
      </c>
      <c r="CQ1142">
        <v>99</v>
      </c>
      <c r="CR1142">
        <v>0</v>
      </c>
      <c r="CS1142">
        <v>0</v>
      </c>
      <c r="CT1142">
        <v>-1.3</v>
      </c>
      <c r="CU1142">
        <v>99</v>
      </c>
      <c r="CV1142">
        <v>0.02</v>
      </c>
      <c r="CW1142">
        <v>48</v>
      </c>
      <c r="CX1142" t="s">
        <v>99</v>
      </c>
    </row>
    <row r="1143" spans="1:102" x14ac:dyDescent="0.3">
      <c r="A1143" t="str">
        <f>HYPERLINK("https://webapp.icbf.com/v2/app/bull-search/view/864919222","XRB")</f>
        <v>XRB</v>
      </c>
      <c r="B1143" t="s">
        <v>6805</v>
      </c>
      <c r="C1143" t="s">
        <v>6806</v>
      </c>
      <c r="D1143" s="1">
        <v>40593</v>
      </c>
      <c r="E1143" t="s">
        <v>92</v>
      </c>
      <c r="F1143">
        <v>72</v>
      </c>
      <c r="G1143" t="s">
        <v>93</v>
      </c>
      <c r="H1143">
        <v>132.78</v>
      </c>
      <c r="I1143">
        <v>96</v>
      </c>
      <c r="J1143">
        <v>38.61</v>
      </c>
      <c r="K1143">
        <v>99</v>
      </c>
      <c r="L1143">
        <v>59.17</v>
      </c>
      <c r="M1143">
        <v>92</v>
      </c>
      <c r="N1143">
        <v>27.51</v>
      </c>
      <c r="O1143">
        <v>97</v>
      </c>
      <c r="P1143">
        <v>-6.74</v>
      </c>
      <c r="Q1143">
        <v>99</v>
      </c>
      <c r="R1143">
        <v>15.35</v>
      </c>
      <c r="S1143">
        <v>93</v>
      </c>
      <c r="T1143">
        <v>1.17</v>
      </c>
      <c r="U1143">
        <v>98</v>
      </c>
      <c r="V1143">
        <v>-2.29</v>
      </c>
      <c r="W1143">
        <v>84</v>
      </c>
      <c r="X1143" t="s">
        <v>94</v>
      </c>
      <c r="Y1143" t="s">
        <v>1860</v>
      </c>
      <c r="Z1143" t="s">
        <v>96</v>
      </c>
      <c r="AA1143" t="s">
        <v>1939</v>
      </c>
      <c r="AB1143" t="s">
        <v>6807</v>
      </c>
      <c r="AC1143">
        <v>1281</v>
      </c>
      <c r="AD1143">
        <v>615</v>
      </c>
      <c r="AE1143">
        <v>99</v>
      </c>
      <c r="AF1143">
        <v>-50.76</v>
      </c>
      <c r="AG1143">
        <v>10.4</v>
      </c>
      <c r="AH1143">
        <v>2.11</v>
      </c>
      <c r="AI1143">
        <v>0.22</v>
      </c>
      <c r="AJ1143">
        <v>7.0000000000000007E-2</v>
      </c>
      <c r="AK1143">
        <v>92</v>
      </c>
      <c r="AL1143">
        <v>1498</v>
      </c>
      <c r="AM1143">
        <v>780</v>
      </c>
      <c r="AN1143">
        <v>-3.15</v>
      </c>
      <c r="AO1143">
        <v>1.57</v>
      </c>
      <c r="AP1143">
        <v>2671</v>
      </c>
      <c r="AQ1143">
        <v>18</v>
      </c>
      <c r="AR1143">
        <v>6.25</v>
      </c>
      <c r="AS1143">
        <v>97</v>
      </c>
      <c r="AT1143">
        <v>2.2599999999999998</v>
      </c>
      <c r="AU1143">
        <v>98</v>
      </c>
      <c r="AV1143">
        <v>-1.97</v>
      </c>
      <c r="AW1143">
        <v>99</v>
      </c>
      <c r="AX1143">
        <v>-0.17</v>
      </c>
      <c r="AY1143">
        <v>98</v>
      </c>
      <c r="AZ1143">
        <v>6.83</v>
      </c>
      <c r="BA1143">
        <v>94</v>
      </c>
      <c r="BB1143">
        <v>4.6100000000000003</v>
      </c>
      <c r="BC1143">
        <v>92</v>
      </c>
      <c r="BD1143">
        <v>-0.06</v>
      </c>
      <c r="BE1143">
        <v>-7.0000000000000007E-2</v>
      </c>
      <c r="BF1143">
        <v>-0.12</v>
      </c>
      <c r="BG1143">
        <v>98</v>
      </c>
      <c r="BH1143">
        <v>-0.11</v>
      </c>
      <c r="BI1143">
        <v>-5.34</v>
      </c>
      <c r="BJ1143">
        <v>57</v>
      </c>
      <c r="BK1143">
        <v>29</v>
      </c>
      <c r="BL1143">
        <v>-1.07</v>
      </c>
      <c r="BM1143">
        <v>0.13</v>
      </c>
      <c r="BN1143">
        <v>-0.56999999999999995</v>
      </c>
      <c r="BO1143">
        <v>-0.75</v>
      </c>
      <c r="BP1143">
        <v>1.34</v>
      </c>
      <c r="BQ1143">
        <v>-1.68</v>
      </c>
      <c r="BR1143">
        <v>-1.36</v>
      </c>
      <c r="BS1143">
        <v>1.58</v>
      </c>
      <c r="BT1143">
        <v>1.17</v>
      </c>
      <c r="BU1143">
        <v>-0.53</v>
      </c>
      <c r="BV1143">
        <v>-1.1000000000000001</v>
      </c>
      <c r="BW1143">
        <v>-1.48</v>
      </c>
      <c r="BX1143">
        <v>-0.28000000000000003</v>
      </c>
      <c r="BY1143">
        <v>-0.52</v>
      </c>
      <c r="BZ1143">
        <v>0.52</v>
      </c>
      <c r="CA1143">
        <v>-0.1</v>
      </c>
      <c r="CB1143">
        <v>-0.76</v>
      </c>
      <c r="CC1143">
        <v>1.05</v>
      </c>
      <c r="CD1143">
        <v>1.33</v>
      </c>
      <c r="CE1143">
        <v>-0.84</v>
      </c>
      <c r="CF1143">
        <v>-0.1</v>
      </c>
      <c r="CG1143">
        <v>0</v>
      </c>
      <c r="CH1143">
        <v>-0.86</v>
      </c>
      <c r="CI1143">
        <v>0</v>
      </c>
      <c r="CJ1143">
        <v>-3.1</v>
      </c>
      <c r="CK1143">
        <v>99</v>
      </c>
      <c r="CL1143">
        <v>-0.62</v>
      </c>
      <c r="CM1143">
        <v>99</v>
      </c>
      <c r="CN1143">
        <v>-0.34</v>
      </c>
      <c r="CO1143">
        <v>99</v>
      </c>
      <c r="CP1143">
        <v>-0.3</v>
      </c>
      <c r="CQ1143">
        <v>97</v>
      </c>
      <c r="CR1143">
        <v>0</v>
      </c>
      <c r="CS1143">
        <v>0</v>
      </c>
      <c r="CT1143">
        <v>12.2</v>
      </c>
      <c r="CU1143">
        <v>98</v>
      </c>
      <c r="CV1143">
        <v>0.11</v>
      </c>
      <c r="CW1143">
        <v>47</v>
      </c>
      <c r="CX1143" t="s">
        <v>1165</v>
      </c>
    </row>
    <row r="1144" spans="1:102" x14ac:dyDescent="0.3">
      <c r="A1144" t="str">
        <f>HYPERLINK("https://webapp.icbf.com/v2/app/bull-search/view/860635880","WSY")</f>
        <v>WSY</v>
      </c>
      <c r="B1144" t="s">
        <v>5670</v>
      </c>
      <c r="C1144" t="s">
        <v>5671</v>
      </c>
      <c r="D1144" s="1">
        <v>40569</v>
      </c>
      <c r="E1144" t="s">
        <v>227</v>
      </c>
      <c r="F1144">
        <v>0</v>
      </c>
      <c r="G1144" t="s">
        <v>93</v>
      </c>
      <c r="H1144">
        <v>132.41999999999999</v>
      </c>
      <c r="I1144">
        <v>84</v>
      </c>
      <c r="J1144">
        <v>52.75</v>
      </c>
      <c r="K1144">
        <v>97</v>
      </c>
      <c r="L1144">
        <v>44.04</v>
      </c>
      <c r="M1144">
        <v>72</v>
      </c>
      <c r="N1144">
        <v>46.07</v>
      </c>
      <c r="O1144">
        <v>86</v>
      </c>
      <c r="P1144">
        <v>-40.770000000000003</v>
      </c>
      <c r="Q1144">
        <v>89</v>
      </c>
      <c r="R1144">
        <v>-0.44</v>
      </c>
      <c r="S1144">
        <v>74</v>
      </c>
      <c r="T1144">
        <v>20.260000000000002</v>
      </c>
      <c r="U1144">
        <v>86</v>
      </c>
      <c r="V1144">
        <v>10.51</v>
      </c>
      <c r="W1144">
        <v>71</v>
      </c>
      <c r="X1144" t="s">
        <v>102</v>
      </c>
      <c r="Y1144" t="s">
        <v>1860</v>
      </c>
      <c r="Z1144">
        <v>0</v>
      </c>
      <c r="AA1144" t="s">
        <v>1744</v>
      </c>
      <c r="AB1144" t="s">
        <v>5313</v>
      </c>
      <c r="AC1144">
        <v>174</v>
      </c>
      <c r="AD1144">
        <v>85</v>
      </c>
      <c r="AE1144">
        <v>97</v>
      </c>
      <c r="AF1144">
        <v>-364.26</v>
      </c>
      <c r="AG1144">
        <v>13.98</v>
      </c>
      <c r="AH1144">
        <v>-1.55</v>
      </c>
      <c r="AI1144">
        <v>0.5</v>
      </c>
      <c r="AJ1144">
        <v>0.19</v>
      </c>
      <c r="AK1144">
        <v>72</v>
      </c>
      <c r="AL1144">
        <v>169</v>
      </c>
      <c r="AM1144">
        <v>90</v>
      </c>
      <c r="AN1144">
        <v>-1.82</v>
      </c>
      <c r="AO1144">
        <v>1.7</v>
      </c>
      <c r="AP1144">
        <v>304</v>
      </c>
      <c r="AQ1144">
        <v>1</v>
      </c>
      <c r="AR1144">
        <v>2.15</v>
      </c>
      <c r="AS1144">
        <v>87</v>
      </c>
      <c r="AT1144">
        <v>1.33</v>
      </c>
      <c r="AU1144">
        <v>84</v>
      </c>
      <c r="AV1144">
        <v>-3.01</v>
      </c>
      <c r="AW1144">
        <v>97</v>
      </c>
      <c r="AX1144">
        <v>0.8</v>
      </c>
      <c r="AY1144">
        <v>86</v>
      </c>
      <c r="AZ1144">
        <v>5.25</v>
      </c>
      <c r="BA1144">
        <v>70</v>
      </c>
      <c r="BB1144">
        <v>4.99</v>
      </c>
      <c r="BC1144">
        <v>61</v>
      </c>
      <c r="BD1144">
        <v>-0.06</v>
      </c>
      <c r="BE1144">
        <v>0</v>
      </c>
      <c r="BF1144">
        <v>0.11</v>
      </c>
      <c r="BG1144">
        <v>87</v>
      </c>
      <c r="BH1144">
        <v>0.13</v>
      </c>
      <c r="BI1144">
        <v>-18.86</v>
      </c>
      <c r="BJ1144">
        <v>2</v>
      </c>
      <c r="BK1144">
        <v>2</v>
      </c>
      <c r="BL1144">
        <v>-2.21</v>
      </c>
      <c r="BM1144">
        <v>0.55000000000000004</v>
      </c>
      <c r="BN1144">
        <v>0.82</v>
      </c>
      <c r="BO1144">
        <v>0.43</v>
      </c>
      <c r="BP1144">
        <v>-0.45</v>
      </c>
      <c r="BQ1144">
        <v>-4.16</v>
      </c>
      <c r="BR1144">
        <v>3.93</v>
      </c>
      <c r="BS1144">
        <v>3.59</v>
      </c>
      <c r="BT1144">
        <v>-2.97</v>
      </c>
      <c r="BU1144">
        <v>0.33</v>
      </c>
      <c r="BV1144">
        <v>-0.96</v>
      </c>
      <c r="BW1144">
        <v>-2.44</v>
      </c>
      <c r="BX1144">
        <v>-1.95</v>
      </c>
      <c r="BY1144">
        <v>0.68</v>
      </c>
      <c r="BZ1144">
        <v>-1.06</v>
      </c>
      <c r="CA1144">
        <v>0.42</v>
      </c>
      <c r="CB1144">
        <v>-0.26</v>
      </c>
      <c r="CC1144">
        <v>1.88</v>
      </c>
      <c r="CD1144">
        <v>-0.19</v>
      </c>
      <c r="CE1144">
        <v>-0.23</v>
      </c>
      <c r="CF1144">
        <v>-1.96</v>
      </c>
      <c r="CG1144">
        <v>0</v>
      </c>
      <c r="CH1144">
        <v>-0.94</v>
      </c>
      <c r="CI1144">
        <v>0</v>
      </c>
      <c r="CJ1144">
        <v>-23.2</v>
      </c>
      <c r="CK1144">
        <v>91</v>
      </c>
      <c r="CL1144">
        <v>-0.98</v>
      </c>
      <c r="CM1144">
        <v>89</v>
      </c>
      <c r="CN1144">
        <v>-0.33</v>
      </c>
      <c r="CO1144">
        <v>88</v>
      </c>
      <c r="CP1144">
        <v>-16.7</v>
      </c>
      <c r="CQ1144">
        <v>82</v>
      </c>
      <c r="CR1144">
        <v>0</v>
      </c>
      <c r="CS1144">
        <v>0</v>
      </c>
      <c r="CT1144">
        <v>-13.6</v>
      </c>
      <c r="CU1144">
        <v>86</v>
      </c>
      <c r="CV1144">
        <v>-0.34</v>
      </c>
      <c r="CW1144">
        <v>28</v>
      </c>
      <c r="CX1144" t="s">
        <v>5314</v>
      </c>
    </row>
    <row r="1145" spans="1:102" x14ac:dyDescent="0.3">
      <c r="A1145" t="str">
        <f>HYPERLINK("https://webapp.icbf.com/v2/app/bull-search/view/1274110077","FR2126")</f>
        <v>FR2126</v>
      </c>
      <c r="B1145" t="s">
        <v>10248</v>
      </c>
      <c r="C1145" t="s">
        <v>10249</v>
      </c>
      <c r="D1145" s="1">
        <v>40361</v>
      </c>
      <c r="E1145" t="s">
        <v>108</v>
      </c>
      <c r="F1145">
        <v>0</v>
      </c>
      <c r="G1145" t="s">
        <v>109</v>
      </c>
      <c r="H1145">
        <v>132.28</v>
      </c>
      <c r="I1145">
        <v>87</v>
      </c>
      <c r="J1145">
        <v>21.58</v>
      </c>
      <c r="K1145">
        <v>94</v>
      </c>
      <c r="L1145">
        <v>77.88</v>
      </c>
      <c r="M1145">
        <v>86</v>
      </c>
      <c r="N1145">
        <v>44.56</v>
      </c>
      <c r="O1145">
        <v>90</v>
      </c>
      <c r="P1145">
        <v>-12.49</v>
      </c>
      <c r="Q1145">
        <v>94</v>
      </c>
      <c r="R1145">
        <v>-5.22</v>
      </c>
      <c r="S1145">
        <v>78</v>
      </c>
      <c r="T1145">
        <v>7.17</v>
      </c>
      <c r="U1145">
        <v>66</v>
      </c>
      <c r="V1145">
        <v>-1.2</v>
      </c>
      <c r="W1145">
        <v>72</v>
      </c>
      <c r="X1145" t="s">
        <v>102</v>
      </c>
      <c r="Y1145" t="s">
        <v>422</v>
      </c>
      <c r="Z1145" t="s">
        <v>96</v>
      </c>
      <c r="AA1145" t="s">
        <v>5993</v>
      </c>
      <c r="AB1145" t="s">
        <v>10250</v>
      </c>
      <c r="AC1145">
        <v>0</v>
      </c>
      <c r="AD1145">
        <v>0</v>
      </c>
      <c r="AE1145">
        <v>94</v>
      </c>
      <c r="AF1145">
        <v>-90.18</v>
      </c>
      <c r="AG1145">
        <v>0.11</v>
      </c>
      <c r="AH1145">
        <v>2.25</v>
      </c>
      <c r="AI1145">
        <v>0.06</v>
      </c>
      <c r="AJ1145">
        <v>0.09</v>
      </c>
      <c r="AK1145">
        <v>86</v>
      </c>
      <c r="AL1145">
        <v>42</v>
      </c>
      <c r="AM1145">
        <v>25</v>
      </c>
      <c r="AN1145">
        <v>-4.3099999999999996</v>
      </c>
      <c r="AO1145">
        <v>1.9</v>
      </c>
      <c r="AP1145">
        <v>1194</v>
      </c>
      <c r="AQ1145">
        <v>2</v>
      </c>
      <c r="AR1145">
        <v>5.57</v>
      </c>
      <c r="AS1145">
        <v>85</v>
      </c>
      <c r="AT1145">
        <v>2.59</v>
      </c>
      <c r="AU1145">
        <v>96</v>
      </c>
      <c r="AV1145">
        <v>-4.13</v>
      </c>
      <c r="AW1145">
        <v>99</v>
      </c>
      <c r="AX1145">
        <v>-0.92</v>
      </c>
      <c r="AY1145">
        <v>95</v>
      </c>
      <c r="AZ1145">
        <v>6.41</v>
      </c>
      <c r="BA1145">
        <v>75</v>
      </c>
      <c r="BB1145">
        <v>4.96</v>
      </c>
      <c r="BC1145">
        <v>53</v>
      </c>
      <c r="BD1145">
        <v>0.06</v>
      </c>
      <c r="BE1145">
        <v>0</v>
      </c>
      <c r="BF1145">
        <v>0.02</v>
      </c>
      <c r="BG1145">
        <v>89</v>
      </c>
      <c r="BH1145">
        <v>0.01</v>
      </c>
      <c r="BI1145">
        <v>5.04</v>
      </c>
      <c r="BJ1145">
        <v>2</v>
      </c>
      <c r="BK1145">
        <v>2</v>
      </c>
      <c r="BL1145">
        <v>-2.2999999999999998</v>
      </c>
      <c r="BM1145">
        <v>1.52</v>
      </c>
      <c r="BN1145">
        <v>-2.1</v>
      </c>
      <c r="BO1145">
        <v>-2.41</v>
      </c>
      <c r="BP1145">
        <v>-1.96</v>
      </c>
      <c r="BQ1145">
        <v>2.66</v>
      </c>
      <c r="BR1145">
        <v>-4.16</v>
      </c>
      <c r="BS1145">
        <v>0.43</v>
      </c>
      <c r="BT1145">
        <v>1.93</v>
      </c>
      <c r="BU1145">
        <v>-3.56</v>
      </c>
      <c r="BV1145">
        <v>-3.21</v>
      </c>
      <c r="BW1145">
        <v>-1.7</v>
      </c>
      <c r="BX1145">
        <v>-2.0099999999999998</v>
      </c>
      <c r="BY1145">
        <v>-0.56000000000000005</v>
      </c>
      <c r="BZ1145">
        <v>0.09</v>
      </c>
      <c r="CA1145">
        <v>-1.49</v>
      </c>
      <c r="CB1145">
        <v>-1.87</v>
      </c>
      <c r="CC1145">
        <v>0.2</v>
      </c>
      <c r="CD1145">
        <v>1.92</v>
      </c>
      <c r="CE1145">
        <v>-1.54</v>
      </c>
      <c r="CF1145">
        <v>-1.53</v>
      </c>
      <c r="CG1145">
        <v>0</v>
      </c>
      <c r="CH1145">
        <v>-0.98</v>
      </c>
      <c r="CI1145">
        <v>0</v>
      </c>
      <c r="CJ1145">
        <v>-8.9</v>
      </c>
      <c r="CK1145">
        <v>97</v>
      </c>
      <c r="CL1145">
        <v>-0.27</v>
      </c>
      <c r="CM1145">
        <v>96</v>
      </c>
      <c r="CN1145">
        <v>-0.31</v>
      </c>
      <c r="CO1145">
        <v>95</v>
      </c>
      <c r="CP1145">
        <v>-7</v>
      </c>
      <c r="CQ1145">
        <v>71</v>
      </c>
      <c r="CR1145">
        <v>0</v>
      </c>
      <c r="CS1145">
        <v>0</v>
      </c>
      <c r="CT1145">
        <v>4.0999999999999996</v>
      </c>
      <c r="CU1145">
        <v>66</v>
      </c>
      <c r="CV1145">
        <v>-0.03</v>
      </c>
      <c r="CW1145">
        <v>45</v>
      </c>
      <c r="CX1145" t="s">
        <v>10251</v>
      </c>
    </row>
    <row r="1146" spans="1:102" x14ac:dyDescent="0.3">
      <c r="A1146" t="str">
        <f>HYPERLINK("https://webapp.icbf.com/v2/app/bull-search/view/576079842","DYO")</f>
        <v>DYO</v>
      </c>
      <c r="B1146" t="s">
        <v>7525</v>
      </c>
      <c r="C1146" t="s">
        <v>7526</v>
      </c>
      <c r="D1146" s="1">
        <v>39528</v>
      </c>
      <c r="E1146" t="s">
        <v>227</v>
      </c>
      <c r="F1146">
        <v>0</v>
      </c>
      <c r="G1146" t="s">
        <v>93</v>
      </c>
      <c r="H1146">
        <v>132.21</v>
      </c>
      <c r="I1146">
        <v>85</v>
      </c>
      <c r="J1146">
        <v>49.58</v>
      </c>
      <c r="K1146">
        <v>96</v>
      </c>
      <c r="L1146">
        <v>47.28</v>
      </c>
      <c r="M1146">
        <v>77</v>
      </c>
      <c r="N1146">
        <v>15.47</v>
      </c>
      <c r="O1146">
        <v>84</v>
      </c>
      <c r="P1146">
        <v>-46.12</v>
      </c>
      <c r="Q1146">
        <v>87</v>
      </c>
      <c r="R1146">
        <v>8.57</v>
      </c>
      <c r="S1146">
        <v>79</v>
      </c>
      <c r="T1146">
        <v>51.94</v>
      </c>
      <c r="U1146">
        <v>83</v>
      </c>
      <c r="V1146">
        <v>5.49</v>
      </c>
      <c r="W1146">
        <v>79</v>
      </c>
      <c r="X1146" t="s">
        <v>94</v>
      </c>
      <c r="Y1146" t="s">
        <v>319</v>
      </c>
      <c r="Z1146">
        <v>0</v>
      </c>
      <c r="AA1146" t="s">
        <v>5314</v>
      </c>
      <c r="AB1146" t="s">
        <v>7527</v>
      </c>
      <c r="AC1146">
        <v>56</v>
      </c>
      <c r="AD1146">
        <v>45</v>
      </c>
      <c r="AE1146">
        <v>96</v>
      </c>
      <c r="AF1146">
        <v>-134.58000000000001</v>
      </c>
      <c r="AG1146">
        <v>11.82</v>
      </c>
      <c r="AH1146">
        <v>2.19</v>
      </c>
      <c r="AI1146">
        <v>0.3</v>
      </c>
      <c r="AJ1146">
        <v>0.12</v>
      </c>
      <c r="AK1146">
        <v>77</v>
      </c>
      <c r="AL1146">
        <v>63</v>
      </c>
      <c r="AM1146">
        <v>47</v>
      </c>
      <c r="AN1146">
        <v>-1.81</v>
      </c>
      <c r="AO1146">
        <v>1.97</v>
      </c>
      <c r="AP1146">
        <v>129</v>
      </c>
      <c r="AQ1146">
        <v>1</v>
      </c>
      <c r="AR1146">
        <v>4.32</v>
      </c>
      <c r="AS1146">
        <v>76</v>
      </c>
      <c r="AT1146">
        <v>1.74</v>
      </c>
      <c r="AU1146">
        <v>83</v>
      </c>
      <c r="AV1146">
        <v>-0.68</v>
      </c>
      <c r="AW1146">
        <v>95</v>
      </c>
      <c r="AX1146">
        <v>2.59</v>
      </c>
      <c r="AY1146">
        <v>76</v>
      </c>
      <c r="AZ1146">
        <v>6.32</v>
      </c>
      <c r="BA1146">
        <v>64</v>
      </c>
      <c r="BB1146">
        <v>5.12</v>
      </c>
      <c r="BC1146">
        <v>67</v>
      </c>
      <c r="BD1146">
        <v>-0.12</v>
      </c>
      <c r="BE1146">
        <v>-0.03</v>
      </c>
      <c r="BF1146">
        <v>0.06</v>
      </c>
      <c r="BG1146">
        <v>86</v>
      </c>
      <c r="BH1146">
        <v>0.02</v>
      </c>
      <c r="BI1146">
        <v>-15.41</v>
      </c>
      <c r="BJ1146">
        <v>21</v>
      </c>
      <c r="BK1146">
        <v>14</v>
      </c>
      <c r="BL1146">
        <v>-1.67</v>
      </c>
      <c r="BM1146">
        <v>-1.41</v>
      </c>
      <c r="BN1146">
        <v>0.13</v>
      </c>
      <c r="BO1146">
        <v>1.21</v>
      </c>
      <c r="BP1146">
        <v>0.03</v>
      </c>
      <c r="BQ1146">
        <v>-5.53</v>
      </c>
      <c r="BR1146">
        <v>3.97</v>
      </c>
      <c r="BS1146">
        <v>2.98</v>
      </c>
      <c r="BT1146">
        <v>-3.06</v>
      </c>
      <c r="BU1146">
        <v>-0.05</v>
      </c>
      <c r="BV1146">
        <v>-0.03</v>
      </c>
      <c r="BW1146">
        <v>-1.72</v>
      </c>
      <c r="BX1146">
        <v>-2.35</v>
      </c>
      <c r="BY1146">
        <v>0.72</v>
      </c>
      <c r="BZ1146">
        <v>1.19</v>
      </c>
      <c r="CA1146">
        <v>-0.08</v>
      </c>
      <c r="CB1146">
        <v>0.12</v>
      </c>
      <c r="CC1146">
        <v>-0.35</v>
      </c>
      <c r="CD1146">
        <v>-1.58</v>
      </c>
      <c r="CE1146">
        <v>0.84</v>
      </c>
      <c r="CF1146">
        <v>-2.16</v>
      </c>
      <c r="CG1146">
        <v>0</v>
      </c>
      <c r="CH1146">
        <v>-0.26</v>
      </c>
      <c r="CI1146">
        <v>0</v>
      </c>
      <c r="CJ1146">
        <v>-23.9</v>
      </c>
      <c r="CK1146">
        <v>89</v>
      </c>
      <c r="CL1146">
        <v>-0.99</v>
      </c>
      <c r="CM1146">
        <v>86</v>
      </c>
      <c r="CN1146">
        <v>-0.25</v>
      </c>
      <c r="CO1146">
        <v>84</v>
      </c>
      <c r="CP1146">
        <v>-39</v>
      </c>
      <c r="CQ1146">
        <v>83</v>
      </c>
      <c r="CR1146">
        <v>0</v>
      </c>
      <c r="CS1146">
        <v>0</v>
      </c>
      <c r="CT1146">
        <v>-56.4</v>
      </c>
      <c r="CU1146">
        <v>83</v>
      </c>
      <c r="CV1146">
        <v>-0.16</v>
      </c>
      <c r="CW1146">
        <v>43</v>
      </c>
      <c r="CX1146" t="s">
        <v>7528</v>
      </c>
    </row>
    <row r="1147" spans="1:102" x14ac:dyDescent="0.3">
      <c r="A1147" t="str">
        <f>HYPERLINK("https://webapp.icbf.com/v2/app/bull-search/view/668386137","BQU")</f>
        <v>BQU</v>
      </c>
      <c r="B1147" t="s">
        <v>9056</v>
      </c>
      <c r="C1147" t="s">
        <v>9057</v>
      </c>
      <c r="D1147" s="1">
        <v>39849</v>
      </c>
      <c r="E1147" t="s">
        <v>92</v>
      </c>
      <c r="F1147">
        <v>81</v>
      </c>
      <c r="G1147" t="s">
        <v>435</v>
      </c>
      <c r="H1147">
        <v>132.19</v>
      </c>
      <c r="I1147">
        <v>72</v>
      </c>
      <c r="J1147">
        <v>67.67</v>
      </c>
      <c r="K1147">
        <v>91</v>
      </c>
      <c r="L1147">
        <v>30.68</v>
      </c>
      <c r="M1147">
        <v>66</v>
      </c>
      <c r="N1147">
        <v>21.4</v>
      </c>
      <c r="O1147">
        <v>59</v>
      </c>
      <c r="P1147">
        <v>-13.17</v>
      </c>
      <c r="Q1147">
        <v>57</v>
      </c>
      <c r="R1147">
        <v>-1.2</v>
      </c>
      <c r="S1147">
        <v>67</v>
      </c>
      <c r="T1147">
        <v>19.38</v>
      </c>
      <c r="U1147">
        <v>52</v>
      </c>
      <c r="V1147">
        <v>7.43</v>
      </c>
      <c r="W1147">
        <v>65</v>
      </c>
      <c r="X1147" t="s">
        <v>94</v>
      </c>
      <c r="Y1147" t="s">
        <v>1727</v>
      </c>
      <c r="Z1147" t="s">
        <v>96</v>
      </c>
      <c r="AA1147" t="s">
        <v>1514</v>
      </c>
      <c r="AB1147" t="s">
        <v>5774</v>
      </c>
      <c r="AC1147">
        <v>0</v>
      </c>
      <c r="AD1147">
        <v>0</v>
      </c>
      <c r="AE1147">
        <v>91</v>
      </c>
      <c r="AF1147">
        <v>395.32</v>
      </c>
      <c r="AG1147">
        <v>8.11</v>
      </c>
      <c r="AH1147">
        <v>14.69</v>
      </c>
      <c r="AI1147">
        <v>-0.12</v>
      </c>
      <c r="AJ1147">
        <v>0.02</v>
      </c>
      <c r="AK1147">
        <v>66</v>
      </c>
      <c r="AL1147">
        <v>1</v>
      </c>
      <c r="AM1147">
        <v>1</v>
      </c>
      <c r="AN1147">
        <v>-2.2000000000000002</v>
      </c>
      <c r="AO1147">
        <v>0.24</v>
      </c>
      <c r="AP1147">
        <v>2</v>
      </c>
      <c r="AQ1147">
        <v>0</v>
      </c>
      <c r="AR1147">
        <v>6.5</v>
      </c>
      <c r="AS1147">
        <v>53</v>
      </c>
      <c r="AT1147">
        <v>3.52</v>
      </c>
      <c r="AU1147">
        <v>65</v>
      </c>
      <c r="AV1147">
        <v>-2.08</v>
      </c>
      <c r="AW1147">
        <v>64</v>
      </c>
      <c r="AX1147">
        <v>-0.26</v>
      </c>
      <c r="AY1147">
        <v>49</v>
      </c>
      <c r="AZ1147">
        <v>5.27</v>
      </c>
      <c r="BA1147">
        <v>45</v>
      </c>
      <c r="BB1147">
        <v>4.3099999999999996</v>
      </c>
      <c r="BC1147">
        <v>46</v>
      </c>
      <c r="BD1147">
        <v>0.01</v>
      </c>
      <c r="BE1147">
        <v>-0.01</v>
      </c>
      <c r="BF1147">
        <v>0.03</v>
      </c>
      <c r="BG1147">
        <v>76</v>
      </c>
      <c r="BH1147">
        <v>-0.02</v>
      </c>
      <c r="BI1147">
        <v>-26.27</v>
      </c>
      <c r="BJ1147">
        <v>0</v>
      </c>
      <c r="BK1147">
        <v>0</v>
      </c>
      <c r="BL1147">
        <v>-0.63</v>
      </c>
      <c r="BM1147">
        <v>0.49</v>
      </c>
      <c r="BN1147">
        <v>-0.56000000000000005</v>
      </c>
      <c r="BO1147">
        <v>-1.28</v>
      </c>
      <c r="BP1147">
        <v>0</v>
      </c>
      <c r="BQ1147">
        <v>0.48</v>
      </c>
      <c r="BR1147">
        <v>0.87</v>
      </c>
      <c r="BS1147">
        <v>-1.85</v>
      </c>
      <c r="BT1147">
        <v>-2.52</v>
      </c>
      <c r="BU1147">
        <v>-0.67</v>
      </c>
      <c r="BV1147">
        <v>-0.52</v>
      </c>
      <c r="BW1147">
        <v>-0.74</v>
      </c>
      <c r="BX1147">
        <v>-1.02</v>
      </c>
      <c r="BY1147">
        <v>-2.85</v>
      </c>
      <c r="BZ1147">
        <v>2.2799999999999998</v>
      </c>
      <c r="CA1147">
        <v>-1.35</v>
      </c>
      <c r="CB1147">
        <v>-0.76</v>
      </c>
      <c r="CC1147">
        <v>-1.68</v>
      </c>
      <c r="CD1147">
        <v>0.83</v>
      </c>
      <c r="CE1147">
        <v>-0.98</v>
      </c>
      <c r="CF1147">
        <v>-0.76</v>
      </c>
      <c r="CG1147">
        <v>0</v>
      </c>
      <c r="CH1147">
        <v>-1.28</v>
      </c>
      <c r="CI1147">
        <v>0</v>
      </c>
      <c r="CJ1147">
        <v>-6.8</v>
      </c>
      <c r="CK1147">
        <v>58</v>
      </c>
      <c r="CL1147">
        <v>-0.35</v>
      </c>
      <c r="CM1147">
        <v>56</v>
      </c>
      <c r="CN1147">
        <v>-0.14000000000000001</v>
      </c>
      <c r="CO1147">
        <v>55</v>
      </c>
      <c r="CP1147">
        <v>-12.1</v>
      </c>
      <c r="CQ1147">
        <v>52</v>
      </c>
      <c r="CR1147">
        <v>0</v>
      </c>
      <c r="CS1147">
        <v>0</v>
      </c>
      <c r="CT1147">
        <v>-12.4</v>
      </c>
      <c r="CU1147">
        <v>52</v>
      </c>
      <c r="CV1147">
        <v>-0.04</v>
      </c>
      <c r="CW1147">
        <v>38</v>
      </c>
      <c r="CX1147" t="s">
        <v>1229</v>
      </c>
    </row>
    <row r="1148" spans="1:102" x14ac:dyDescent="0.3">
      <c r="A1148" t="str">
        <f>HYPERLINK("https://webapp.icbf.com/v2/app/bull-search/view/1418735855","S3310")</f>
        <v>S3310</v>
      </c>
      <c r="B1148" t="s">
        <v>14938</v>
      </c>
      <c r="C1148" t="s">
        <v>14939</v>
      </c>
      <c r="D1148" s="1">
        <v>42294</v>
      </c>
      <c r="E1148" t="s">
        <v>92</v>
      </c>
      <c r="F1148">
        <v>100</v>
      </c>
      <c r="G1148" t="s">
        <v>435</v>
      </c>
      <c r="H1148">
        <v>132.11000000000001</v>
      </c>
      <c r="I1148">
        <v>66</v>
      </c>
      <c r="J1148">
        <v>71.95</v>
      </c>
      <c r="K1148">
        <v>87</v>
      </c>
      <c r="L1148">
        <v>28.09</v>
      </c>
      <c r="M1148">
        <v>67</v>
      </c>
      <c r="N1148">
        <v>35.17</v>
      </c>
      <c r="O1148">
        <v>52</v>
      </c>
      <c r="P1148">
        <v>-13.3</v>
      </c>
      <c r="Q1148">
        <v>35</v>
      </c>
      <c r="R1148">
        <v>8.6300000000000008</v>
      </c>
      <c r="S1148">
        <v>62</v>
      </c>
      <c r="T1148">
        <v>-2.9</v>
      </c>
      <c r="U1148">
        <v>34</v>
      </c>
      <c r="V1148">
        <v>4.47</v>
      </c>
      <c r="W1148">
        <v>54</v>
      </c>
      <c r="X1148" t="s">
        <v>110</v>
      </c>
      <c r="Y1148" t="s">
        <v>2394</v>
      </c>
      <c r="Z1148" t="s">
        <v>96</v>
      </c>
      <c r="AA1148" t="s">
        <v>2721</v>
      </c>
      <c r="AB1148" t="s">
        <v>14940</v>
      </c>
      <c r="AC1148">
        <v>0</v>
      </c>
      <c r="AD1148">
        <v>0</v>
      </c>
      <c r="AE1148">
        <v>87</v>
      </c>
      <c r="AF1148">
        <v>428.09</v>
      </c>
      <c r="AG1148">
        <v>14.95</v>
      </c>
      <c r="AH1148">
        <v>13.5</v>
      </c>
      <c r="AI1148">
        <v>-0.03</v>
      </c>
      <c r="AJ1148">
        <v>-0.01</v>
      </c>
      <c r="AK1148">
        <v>67</v>
      </c>
      <c r="AL1148">
        <v>0</v>
      </c>
      <c r="AM1148">
        <v>0</v>
      </c>
      <c r="AN1148">
        <v>0.76</v>
      </c>
      <c r="AO1148">
        <v>3.03</v>
      </c>
      <c r="AP1148">
        <v>2</v>
      </c>
      <c r="AQ1148">
        <v>0</v>
      </c>
      <c r="AR1148">
        <v>5.88</v>
      </c>
      <c r="AS1148">
        <v>48</v>
      </c>
      <c r="AT1148">
        <v>2.8</v>
      </c>
      <c r="AU1148">
        <v>84</v>
      </c>
      <c r="AV1148">
        <v>-3.58</v>
      </c>
      <c r="AW1148">
        <v>43</v>
      </c>
      <c r="AX1148">
        <v>0.26</v>
      </c>
      <c r="AY1148">
        <v>38</v>
      </c>
      <c r="AZ1148">
        <v>6.14</v>
      </c>
      <c r="BA1148">
        <v>33</v>
      </c>
      <c r="BB1148">
        <v>4.9800000000000004</v>
      </c>
      <c r="BC1148">
        <v>34</v>
      </c>
      <c r="BD1148">
        <v>-0.02</v>
      </c>
      <c r="BE1148">
        <v>-0.05</v>
      </c>
      <c r="BF1148">
        <v>-7.0000000000000007E-2</v>
      </c>
      <c r="BG1148">
        <v>74</v>
      </c>
      <c r="BH1148">
        <v>0.01</v>
      </c>
      <c r="BI1148">
        <v>-13.27</v>
      </c>
      <c r="BJ1148">
        <v>0</v>
      </c>
      <c r="BK1148">
        <v>0</v>
      </c>
      <c r="BL1148">
        <v>1.07</v>
      </c>
      <c r="BM1148">
        <v>-1.96</v>
      </c>
      <c r="BN1148">
        <v>-1.59</v>
      </c>
      <c r="BO1148">
        <v>1.1599999999999999</v>
      </c>
      <c r="BP1148">
        <v>0.95</v>
      </c>
      <c r="BQ1148">
        <v>1.68</v>
      </c>
      <c r="BR1148">
        <v>-1.41</v>
      </c>
      <c r="BS1148">
        <v>1.93</v>
      </c>
      <c r="BT1148">
        <v>1.27</v>
      </c>
      <c r="BU1148">
        <v>2.83</v>
      </c>
      <c r="BV1148">
        <v>3.57</v>
      </c>
      <c r="BW1148">
        <v>1.61</v>
      </c>
      <c r="BX1148">
        <v>3.94</v>
      </c>
      <c r="BY1148">
        <v>1.75</v>
      </c>
      <c r="BZ1148">
        <v>-1.99</v>
      </c>
      <c r="CA1148">
        <v>2.98</v>
      </c>
      <c r="CB1148">
        <v>2.5299999999999998</v>
      </c>
      <c r="CC1148">
        <v>1.72</v>
      </c>
      <c r="CD1148">
        <v>-0.77</v>
      </c>
      <c r="CE1148">
        <v>1.47</v>
      </c>
      <c r="CF1148">
        <v>1.18</v>
      </c>
      <c r="CG1148">
        <v>0</v>
      </c>
      <c r="CH1148">
        <v>0.77</v>
      </c>
      <c r="CI1148">
        <v>0</v>
      </c>
      <c r="CJ1148">
        <v>-5.4</v>
      </c>
      <c r="CK1148">
        <v>35</v>
      </c>
      <c r="CL1148">
        <v>-1.54</v>
      </c>
      <c r="CM1148">
        <v>35</v>
      </c>
      <c r="CN1148">
        <v>-0.8</v>
      </c>
      <c r="CO1148">
        <v>35</v>
      </c>
      <c r="CP1148">
        <v>4.5</v>
      </c>
      <c r="CQ1148">
        <v>34</v>
      </c>
      <c r="CR1148">
        <v>0</v>
      </c>
      <c r="CS1148">
        <v>0</v>
      </c>
      <c r="CT1148">
        <v>17.7</v>
      </c>
      <c r="CU1148">
        <v>34</v>
      </c>
      <c r="CV1148">
        <v>0.18</v>
      </c>
      <c r="CW1148">
        <v>32</v>
      </c>
      <c r="CX1148" t="s">
        <v>6242</v>
      </c>
    </row>
    <row r="1149" spans="1:102" x14ac:dyDescent="0.3">
      <c r="A1149" t="str">
        <f>HYPERLINK("https://webapp.icbf.com/v2/app/bull-search/view/1034024844","KCS")</f>
        <v>KCS</v>
      </c>
      <c r="B1149" t="s">
        <v>13254</v>
      </c>
      <c r="C1149" t="s">
        <v>13255</v>
      </c>
      <c r="D1149" s="1">
        <v>41283</v>
      </c>
      <c r="E1149" t="s">
        <v>108</v>
      </c>
      <c r="F1149">
        <v>9</v>
      </c>
      <c r="G1149" t="s">
        <v>93</v>
      </c>
      <c r="H1149">
        <v>132.05000000000001</v>
      </c>
      <c r="I1149">
        <v>82</v>
      </c>
      <c r="J1149">
        <v>18.89</v>
      </c>
      <c r="K1149">
        <v>95</v>
      </c>
      <c r="L1149">
        <v>84.28</v>
      </c>
      <c r="M1149">
        <v>73</v>
      </c>
      <c r="N1149">
        <v>35.21</v>
      </c>
      <c r="O1149">
        <v>85</v>
      </c>
      <c r="P1149">
        <v>4.53</v>
      </c>
      <c r="Q1149">
        <v>92</v>
      </c>
      <c r="R1149">
        <v>-5.22</v>
      </c>
      <c r="S1149">
        <v>72</v>
      </c>
      <c r="T1149">
        <v>4.87</v>
      </c>
      <c r="U1149">
        <v>63</v>
      </c>
      <c r="V1149">
        <v>-10.51</v>
      </c>
      <c r="W1149">
        <v>71</v>
      </c>
      <c r="X1149" t="s">
        <v>94</v>
      </c>
      <c r="Y1149" t="s">
        <v>389</v>
      </c>
      <c r="Z1149" t="s">
        <v>96</v>
      </c>
      <c r="AA1149" t="s">
        <v>5323</v>
      </c>
      <c r="AB1149" t="s">
        <v>13256</v>
      </c>
      <c r="AC1149">
        <v>94</v>
      </c>
      <c r="AD1149">
        <v>32</v>
      </c>
      <c r="AE1149">
        <v>95</v>
      </c>
      <c r="AF1149">
        <v>90.67</v>
      </c>
      <c r="AG1149">
        <v>6.36</v>
      </c>
      <c r="AH1149">
        <v>2.35</v>
      </c>
      <c r="AI1149">
        <v>0.05</v>
      </c>
      <c r="AJ1149">
        <v>-0.01</v>
      </c>
      <c r="AK1149">
        <v>73</v>
      </c>
      <c r="AL1149">
        <v>77</v>
      </c>
      <c r="AM1149">
        <v>27</v>
      </c>
      <c r="AN1149">
        <v>-5.49</v>
      </c>
      <c r="AO1149">
        <v>1.22</v>
      </c>
      <c r="AP1149">
        <v>249</v>
      </c>
      <c r="AQ1149">
        <v>5</v>
      </c>
      <c r="AR1149">
        <v>6.94</v>
      </c>
      <c r="AS1149">
        <v>77</v>
      </c>
      <c r="AT1149">
        <v>2.91</v>
      </c>
      <c r="AU1149">
        <v>87</v>
      </c>
      <c r="AV1149">
        <v>-3.09</v>
      </c>
      <c r="AW1149">
        <v>96</v>
      </c>
      <c r="AX1149">
        <v>-1.1100000000000001</v>
      </c>
      <c r="AY1149">
        <v>86</v>
      </c>
      <c r="AZ1149">
        <v>5.13</v>
      </c>
      <c r="BA1149">
        <v>64</v>
      </c>
      <c r="BB1149">
        <v>4.47</v>
      </c>
      <c r="BC1149">
        <v>53</v>
      </c>
      <c r="BD1149">
        <v>0.03</v>
      </c>
      <c r="BE1149">
        <v>0</v>
      </c>
      <c r="BF1149">
        <v>7.0000000000000007E-2</v>
      </c>
      <c r="BG1149">
        <v>84</v>
      </c>
      <c r="BH1149">
        <v>-0.27</v>
      </c>
      <c r="BI1149">
        <v>2.68</v>
      </c>
      <c r="BJ1149">
        <v>1</v>
      </c>
      <c r="BK1149">
        <v>1</v>
      </c>
      <c r="BL1149">
        <v>-3.07</v>
      </c>
      <c r="BM1149">
        <v>3.23</v>
      </c>
      <c r="BN1149">
        <v>-2.75</v>
      </c>
      <c r="BO1149">
        <v>-3.95</v>
      </c>
      <c r="BP1149">
        <v>-0.7</v>
      </c>
      <c r="BQ1149">
        <v>2.67</v>
      </c>
      <c r="BR1149">
        <v>-0.52</v>
      </c>
      <c r="BS1149">
        <v>-2.42</v>
      </c>
      <c r="BT1149">
        <v>0.02</v>
      </c>
      <c r="BU1149">
        <v>-2.3199999999999998</v>
      </c>
      <c r="BV1149">
        <v>-2.89</v>
      </c>
      <c r="BW1149">
        <v>-2.88</v>
      </c>
      <c r="BX1149">
        <v>-2.19</v>
      </c>
      <c r="BY1149">
        <v>-2.94</v>
      </c>
      <c r="BZ1149">
        <v>-1.44</v>
      </c>
      <c r="CA1149">
        <v>-2.63</v>
      </c>
      <c r="CB1149">
        <v>-2.4700000000000002</v>
      </c>
      <c r="CC1149">
        <v>-2.02</v>
      </c>
      <c r="CD1149">
        <v>3.91</v>
      </c>
      <c r="CE1149">
        <v>-3.07</v>
      </c>
      <c r="CF1149">
        <v>-1.1499999999999999</v>
      </c>
      <c r="CG1149">
        <v>0</v>
      </c>
      <c r="CH1149">
        <v>-2.39</v>
      </c>
      <c r="CI1149">
        <v>0</v>
      </c>
      <c r="CJ1149">
        <v>1</v>
      </c>
      <c r="CK1149">
        <v>95</v>
      </c>
      <c r="CL1149">
        <v>0.1</v>
      </c>
      <c r="CM1149">
        <v>93</v>
      </c>
      <c r="CN1149">
        <v>-0.13</v>
      </c>
      <c r="CO1149">
        <v>93</v>
      </c>
      <c r="CP1149">
        <v>4</v>
      </c>
      <c r="CQ1149">
        <v>67</v>
      </c>
      <c r="CR1149">
        <v>0</v>
      </c>
      <c r="CS1149">
        <v>0</v>
      </c>
      <c r="CT1149">
        <v>7.2</v>
      </c>
      <c r="CU1149">
        <v>63</v>
      </c>
      <c r="CV1149">
        <v>0</v>
      </c>
      <c r="CW1149">
        <v>45</v>
      </c>
      <c r="CX1149" t="s">
        <v>1018</v>
      </c>
    </row>
    <row r="1150" spans="1:102" x14ac:dyDescent="0.3">
      <c r="A1150" t="str">
        <f>HYPERLINK("https://webapp.icbf.com/v2/app/bull-search/view/1103481650","ZML")</f>
        <v>ZML</v>
      </c>
      <c r="B1150" t="s">
        <v>10171</v>
      </c>
      <c r="C1150" t="s">
        <v>10172</v>
      </c>
      <c r="D1150" s="1">
        <v>40757</v>
      </c>
      <c r="E1150" t="s">
        <v>227</v>
      </c>
      <c r="F1150">
        <v>47</v>
      </c>
      <c r="G1150" t="s">
        <v>93</v>
      </c>
      <c r="H1150">
        <v>131.97</v>
      </c>
      <c r="I1150">
        <v>85</v>
      </c>
      <c r="J1150">
        <v>68.25</v>
      </c>
      <c r="K1150">
        <v>96</v>
      </c>
      <c r="L1150">
        <v>45.85</v>
      </c>
      <c r="M1150">
        <v>78</v>
      </c>
      <c r="N1150">
        <v>29.94</v>
      </c>
      <c r="O1150">
        <v>86</v>
      </c>
      <c r="P1150">
        <v>-32.479999999999997</v>
      </c>
      <c r="Q1150">
        <v>86</v>
      </c>
      <c r="R1150">
        <v>-13.14</v>
      </c>
      <c r="S1150">
        <v>76</v>
      </c>
      <c r="T1150">
        <v>22.11</v>
      </c>
      <c r="U1150">
        <v>80</v>
      </c>
      <c r="V1150">
        <v>11.44</v>
      </c>
      <c r="W1150">
        <v>71</v>
      </c>
      <c r="X1150" t="s">
        <v>94</v>
      </c>
      <c r="Y1150" t="s">
        <v>2066</v>
      </c>
      <c r="Z1150">
        <v>0</v>
      </c>
      <c r="AA1150" t="s">
        <v>2111</v>
      </c>
      <c r="AB1150" t="s">
        <v>144</v>
      </c>
      <c r="AC1150">
        <v>116</v>
      </c>
      <c r="AD1150">
        <v>36</v>
      </c>
      <c r="AE1150">
        <v>96</v>
      </c>
      <c r="AF1150">
        <v>-13.84</v>
      </c>
      <c r="AG1150">
        <v>11.55</v>
      </c>
      <c r="AH1150">
        <v>7.31</v>
      </c>
      <c r="AI1150">
        <v>0.21</v>
      </c>
      <c r="AJ1150">
        <v>0.14000000000000001</v>
      </c>
      <c r="AK1150">
        <v>78</v>
      </c>
      <c r="AL1150">
        <v>66</v>
      </c>
      <c r="AM1150">
        <v>23</v>
      </c>
      <c r="AN1150">
        <v>-2.21</v>
      </c>
      <c r="AO1150">
        <v>1.45</v>
      </c>
      <c r="AP1150">
        <v>350</v>
      </c>
      <c r="AQ1150">
        <v>0</v>
      </c>
      <c r="AR1150">
        <v>4.99</v>
      </c>
      <c r="AS1150">
        <v>87</v>
      </c>
      <c r="AT1150">
        <v>2.23</v>
      </c>
      <c r="AU1150">
        <v>87</v>
      </c>
      <c r="AV1150">
        <v>-1.83</v>
      </c>
      <c r="AW1150">
        <v>97</v>
      </c>
      <c r="AX1150">
        <v>0.3</v>
      </c>
      <c r="AY1150">
        <v>82</v>
      </c>
      <c r="AZ1150">
        <v>5.93</v>
      </c>
      <c r="BA1150">
        <v>70</v>
      </c>
      <c r="BB1150">
        <v>4.4800000000000004</v>
      </c>
      <c r="BC1150">
        <v>53</v>
      </c>
      <c r="BD1150">
        <v>0</v>
      </c>
      <c r="BE1150">
        <v>0.08</v>
      </c>
      <c r="BF1150">
        <v>0.15</v>
      </c>
      <c r="BG1150">
        <v>86</v>
      </c>
      <c r="BH1150">
        <v>0.34</v>
      </c>
      <c r="BI1150">
        <v>2.4300000000000002</v>
      </c>
      <c r="BJ1150">
        <v>0</v>
      </c>
      <c r="BK1150">
        <v>0</v>
      </c>
      <c r="BL1150">
        <v>-1.5</v>
      </c>
      <c r="BM1150">
        <v>-0.12</v>
      </c>
      <c r="BN1150">
        <v>0.35</v>
      </c>
      <c r="BO1150">
        <v>0.77</v>
      </c>
      <c r="BP1150">
        <v>-0.38</v>
      </c>
      <c r="BQ1150">
        <v>-2.54</v>
      </c>
      <c r="BR1150">
        <v>1.64</v>
      </c>
      <c r="BS1150">
        <v>4.1399999999999997</v>
      </c>
      <c r="BT1150">
        <v>-0.66</v>
      </c>
      <c r="BU1150">
        <v>-1.03</v>
      </c>
      <c r="BV1150">
        <v>-0.35</v>
      </c>
      <c r="BW1150">
        <v>-2.16</v>
      </c>
      <c r="BX1150">
        <v>-2.71</v>
      </c>
      <c r="BY1150">
        <v>0.1</v>
      </c>
      <c r="BZ1150">
        <v>0.77</v>
      </c>
      <c r="CA1150">
        <v>0.57999999999999996</v>
      </c>
      <c r="CB1150">
        <v>-0.6</v>
      </c>
      <c r="CC1150">
        <v>3.08</v>
      </c>
      <c r="CD1150">
        <v>-0.8</v>
      </c>
      <c r="CE1150">
        <v>0.99</v>
      </c>
      <c r="CF1150">
        <v>-1.1100000000000001</v>
      </c>
      <c r="CG1150">
        <v>0</v>
      </c>
      <c r="CH1150">
        <v>-1.31</v>
      </c>
      <c r="CI1150">
        <v>0</v>
      </c>
      <c r="CJ1150">
        <v>-14.7</v>
      </c>
      <c r="CK1150">
        <v>89</v>
      </c>
      <c r="CL1150">
        <v>-1.06</v>
      </c>
      <c r="CM1150">
        <v>85</v>
      </c>
      <c r="CN1150">
        <v>-0.15</v>
      </c>
      <c r="CO1150">
        <v>84</v>
      </c>
      <c r="CP1150">
        <v>-20.100000000000001</v>
      </c>
      <c r="CQ1150">
        <v>73</v>
      </c>
      <c r="CR1150">
        <v>0</v>
      </c>
      <c r="CS1150">
        <v>0</v>
      </c>
      <c r="CT1150">
        <v>-16.100000000000001</v>
      </c>
      <c r="CU1150">
        <v>80</v>
      </c>
      <c r="CV1150">
        <v>-0.03</v>
      </c>
      <c r="CW1150">
        <v>45</v>
      </c>
      <c r="CX1150" t="s">
        <v>2045</v>
      </c>
    </row>
    <row r="1151" spans="1:102" x14ac:dyDescent="0.3">
      <c r="A1151" t="str">
        <f>HYPERLINK("https://webapp.icbf.com/v2/app/bull-search/view/566242973","SHK")</f>
        <v>SHK</v>
      </c>
      <c r="B1151" t="s">
        <v>5057</v>
      </c>
      <c r="C1151" t="s">
        <v>5058</v>
      </c>
      <c r="D1151" s="1">
        <v>39498</v>
      </c>
      <c r="E1151" t="s">
        <v>108</v>
      </c>
      <c r="F1151">
        <v>25</v>
      </c>
      <c r="G1151" t="s">
        <v>93</v>
      </c>
      <c r="H1151">
        <v>131.77000000000001</v>
      </c>
      <c r="I1151">
        <v>96</v>
      </c>
      <c r="J1151">
        <v>51.02</v>
      </c>
      <c r="K1151">
        <v>99</v>
      </c>
      <c r="L1151">
        <v>66.900000000000006</v>
      </c>
      <c r="M1151">
        <v>93</v>
      </c>
      <c r="N1151">
        <v>14.99</v>
      </c>
      <c r="O1151">
        <v>98</v>
      </c>
      <c r="P1151">
        <v>-20.66</v>
      </c>
      <c r="Q1151">
        <v>99</v>
      </c>
      <c r="R1151">
        <v>1.1599999999999999</v>
      </c>
      <c r="S1151">
        <v>93</v>
      </c>
      <c r="T1151">
        <v>10.64</v>
      </c>
      <c r="U1151">
        <v>98</v>
      </c>
      <c r="V1151">
        <v>7.72</v>
      </c>
      <c r="W1151">
        <v>86</v>
      </c>
      <c r="X1151" t="s">
        <v>94</v>
      </c>
      <c r="Y1151" t="s">
        <v>319</v>
      </c>
      <c r="Z1151" t="s">
        <v>96</v>
      </c>
      <c r="AA1151" t="s">
        <v>5059</v>
      </c>
      <c r="AB1151" t="s">
        <v>5060</v>
      </c>
      <c r="AC1151">
        <v>1866</v>
      </c>
      <c r="AD1151">
        <v>630</v>
      </c>
      <c r="AE1151">
        <v>99</v>
      </c>
      <c r="AF1151">
        <v>-0.79</v>
      </c>
      <c r="AG1151">
        <v>6.29</v>
      </c>
      <c r="AH1151">
        <v>6.44</v>
      </c>
      <c r="AI1151">
        <v>0.11</v>
      </c>
      <c r="AJ1151">
        <v>0.11</v>
      </c>
      <c r="AK1151">
        <v>93</v>
      </c>
      <c r="AL1151">
        <v>2493</v>
      </c>
      <c r="AM1151">
        <v>948</v>
      </c>
      <c r="AN1151">
        <v>-3.28</v>
      </c>
      <c r="AO1151">
        <v>2.06</v>
      </c>
      <c r="AP1151">
        <v>5768</v>
      </c>
      <c r="AQ1151">
        <v>30</v>
      </c>
      <c r="AR1151">
        <v>8.0500000000000007</v>
      </c>
      <c r="AS1151">
        <v>97</v>
      </c>
      <c r="AT1151">
        <v>2.72</v>
      </c>
      <c r="AU1151">
        <v>99</v>
      </c>
      <c r="AV1151">
        <v>-1.9</v>
      </c>
      <c r="AW1151">
        <v>99</v>
      </c>
      <c r="AX1151">
        <v>0.03</v>
      </c>
      <c r="AY1151">
        <v>99</v>
      </c>
      <c r="AZ1151">
        <v>7.34</v>
      </c>
      <c r="BA1151">
        <v>96</v>
      </c>
      <c r="BB1151">
        <v>5.19</v>
      </c>
      <c r="BC1151">
        <v>94</v>
      </c>
      <c r="BD1151">
        <v>-0.01</v>
      </c>
      <c r="BE1151">
        <v>0</v>
      </c>
      <c r="BF1151">
        <v>-0.01</v>
      </c>
      <c r="BG1151">
        <v>98</v>
      </c>
      <c r="BH1151">
        <v>0.01</v>
      </c>
      <c r="BI1151">
        <v>-23.75</v>
      </c>
      <c r="BJ1151">
        <v>39</v>
      </c>
      <c r="BK1151">
        <v>24</v>
      </c>
      <c r="BL1151">
        <v>-1.66</v>
      </c>
      <c r="BM1151">
        <v>0.92</v>
      </c>
      <c r="BN1151">
        <v>-2.23</v>
      </c>
      <c r="BO1151">
        <v>-1.77</v>
      </c>
      <c r="BP1151">
        <v>-1.32</v>
      </c>
      <c r="BQ1151">
        <v>0.63</v>
      </c>
      <c r="BR1151">
        <v>-1.27</v>
      </c>
      <c r="BS1151">
        <v>-0.9</v>
      </c>
      <c r="BT1151">
        <v>-0.32</v>
      </c>
      <c r="BU1151">
        <v>-0.69</v>
      </c>
      <c r="BV1151">
        <v>-0.43</v>
      </c>
      <c r="BW1151">
        <v>-1.41</v>
      </c>
      <c r="BX1151">
        <v>0.69</v>
      </c>
      <c r="BY1151">
        <v>-0.57999999999999996</v>
      </c>
      <c r="BZ1151">
        <v>-1.93</v>
      </c>
      <c r="CA1151">
        <v>-0.89</v>
      </c>
      <c r="CB1151">
        <v>-0.77</v>
      </c>
      <c r="CC1151">
        <v>-0.79</v>
      </c>
      <c r="CD1151">
        <v>1.33</v>
      </c>
      <c r="CE1151">
        <v>-1.5</v>
      </c>
      <c r="CF1151">
        <v>-1.06</v>
      </c>
      <c r="CG1151">
        <v>0</v>
      </c>
      <c r="CH1151">
        <v>-0.66</v>
      </c>
      <c r="CI1151">
        <v>0</v>
      </c>
      <c r="CJ1151">
        <v>-9.1999999999999993</v>
      </c>
      <c r="CK1151">
        <v>99</v>
      </c>
      <c r="CL1151">
        <v>-0.62</v>
      </c>
      <c r="CM1151">
        <v>99</v>
      </c>
      <c r="CN1151">
        <v>7.0000000000000007E-2</v>
      </c>
      <c r="CO1151">
        <v>99</v>
      </c>
      <c r="CP1151">
        <v>-5</v>
      </c>
      <c r="CQ1151">
        <v>98</v>
      </c>
      <c r="CR1151">
        <v>0</v>
      </c>
      <c r="CS1151">
        <v>0</v>
      </c>
      <c r="CT1151">
        <v>-0.6</v>
      </c>
      <c r="CU1151">
        <v>98</v>
      </c>
      <c r="CV1151">
        <v>0.06</v>
      </c>
      <c r="CW1151">
        <v>47</v>
      </c>
      <c r="CX1151" t="s">
        <v>478</v>
      </c>
    </row>
    <row r="1152" spans="1:102" x14ac:dyDescent="0.3">
      <c r="A1152" t="str">
        <f>HYPERLINK("https://webapp.icbf.com/v2/app/bull-search/view/910814390","FCW")</f>
        <v>FCW</v>
      </c>
      <c r="B1152" t="s">
        <v>9177</v>
      </c>
      <c r="C1152" t="s">
        <v>6562</v>
      </c>
      <c r="D1152" s="1">
        <v>40384</v>
      </c>
      <c r="E1152" t="s">
        <v>227</v>
      </c>
      <c r="F1152">
        <v>0</v>
      </c>
      <c r="G1152" t="s">
        <v>93</v>
      </c>
      <c r="H1152">
        <v>131.75</v>
      </c>
      <c r="I1152">
        <v>85</v>
      </c>
      <c r="J1152">
        <v>88.04</v>
      </c>
      <c r="K1152">
        <v>95</v>
      </c>
      <c r="L1152">
        <v>-6.64</v>
      </c>
      <c r="M1152">
        <v>79</v>
      </c>
      <c r="N1152">
        <v>42.95</v>
      </c>
      <c r="O1152">
        <v>81</v>
      </c>
      <c r="P1152">
        <v>-53.24</v>
      </c>
      <c r="Q1152">
        <v>83</v>
      </c>
      <c r="R1152">
        <v>6.33</v>
      </c>
      <c r="S1152">
        <v>77</v>
      </c>
      <c r="T1152">
        <v>48.38</v>
      </c>
      <c r="U1152">
        <v>81</v>
      </c>
      <c r="V1152">
        <v>5.93</v>
      </c>
      <c r="W1152">
        <v>75</v>
      </c>
      <c r="X1152" t="s">
        <v>276</v>
      </c>
      <c r="Y1152" t="s">
        <v>422</v>
      </c>
      <c r="Z1152">
        <v>0</v>
      </c>
      <c r="AA1152" t="s">
        <v>2276</v>
      </c>
      <c r="AB1152" t="s">
        <v>9178</v>
      </c>
      <c r="AC1152">
        <v>50</v>
      </c>
      <c r="AD1152">
        <v>31</v>
      </c>
      <c r="AE1152">
        <v>95</v>
      </c>
      <c r="AF1152">
        <v>-156.72</v>
      </c>
      <c r="AG1152">
        <v>11.46</v>
      </c>
      <c r="AH1152">
        <v>8.52</v>
      </c>
      <c r="AI1152">
        <v>0.32</v>
      </c>
      <c r="AJ1152">
        <v>0.25</v>
      </c>
      <c r="AK1152">
        <v>79</v>
      </c>
      <c r="AL1152">
        <v>55</v>
      </c>
      <c r="AM1152">
        <v>33</v>
      </c>
      <c r="AN1152">
        <v>1.9</v>
      </c>
      <c r="AO1152">
        <v>1.39</v>
      </c>
      <c r="AP1152">
        <v>87</v>
      </c>
      <c r="AQ1152">
        <v>2</v>
      </c>
      <c r="AR1152">
        <v>3.42</v>
      </c>
      <c r="AS1152">
        <v>75</v>
      </c>
      <c r="AT1152">
        <v>1.55</v>
      </c>
      <c r="AU1152">
        <v>82</v>
      </c>
      <c r="AV1152">
        <v>-3.61</v>
      </c>
      <c r="AW1152">
        <v>93</v>
      </c>
      <c r="AX1152">
        <v>0.88</v>
      </c>
      <c r="AY1152">
        <v>74</v>
      </c>
      <c r="AZ1152">
        <v>7.1</v>
      </c>
      <c r="BA1152">
        <v>61</v>
      </c>
      <c r="BB1152">
        <v>5.4</v>
      </c>
      <c r="BC1152">
        <v>56</v>
      </c>
      <c r="BD1152">
        <v>-0.04</v>
      </c>
      <c r="BE1152">
        <v>-0.01</v>
      </c>
      <c r="BF1152">
        <v>-0.06</v>
      </c>
      <c r="BG1152">
        <v>85</v>
      </c>
      <c r="BH1152">
        <v>0.18</v>
      </c>
      <c r="BI1152">
        <v>1.68</v>
      </c>
      <c r="BJ1152">
        <v>1</v>
      </c>
      <c r="BK1152">
        <v>1</v>
      </c>
      <c r="BL1152">
        <v>-3.51</v>
      </c>
      <c r="BM1152">
        <v>-1.78</v>
      </c>
      <c r="BN1152">
        <v>-0.37</v>
      </c>
      <c r="BO1152">
        <v>1.1000000000000001</v>
      </c>
      <c r="BP1152">
        <v>-1.48</v>
      </c>
      <c r="BQ1152">
        <v>-6.06</v>
      </c>
      <c r="BR1152">
        <v>3.58</v>
      </c>
      <c r="BS1152">
        <v>5.86</v>
      </c>
      <c r="BT1152">
        <v>-1.94</v>
      </c>
      <c r="BU1152">
        <v>-0.98</v>
      </c>
      <c r="BV1152">
        <v>-0.43</v>
      </c>
      <c r="BW1152">
        <v>-2.34</v>
      </c>
      <c r="BX1152">
        <v>-3.71</v>
      </c>
      <c r="BY1152">
        <v>0.12</v>
      </c>
      <c r="BZ1152">
        <v>-1.32</v>
      </c>
      <c r="CA1152">
        <v>0.98</v>
      </c>
      <c r="CB1152">
        <v>-0.55000000000000004</v>
      </c>
      <c r="CC1152">
        <v>3.86</v>
      </c>
      <c r="CD1152">
        <v>-2.06</v>
      </c>
      <c r="CE1152">
        <v>0.73</v>
      </c>
      <c r="CF1152">
        <v>-3.53</v>
      </c>
      <c r="CG1152">
        <v>0</v>
      </c>
      <c r="CH1152">
        <v>-0.73</v>
      </c>
      <c r="CI1152">
        <v>0</v>
      </c>
      <c r="CJ1152">
        <v>-28.6</v>
      </c>
      <c r="CK1152">
        <v>86</v>
      </c>
      <c r="CL1152">
        <v>-0.96</v>
      </c>
      <c r="CM1152">
        <v>82</v>
      </c>
      <c r="CN1152">
        <v>-0.2</v>
      </c>
      <c r="CO1152">
        <v>80</v>
      </c>
      <c r="CP1152">
        <v>-41.4</v>
      </c>
      <c r="CQ1152">
        <v>74</v>
      </c>
      <c r="CR1152">
        <v>0</v>
      </c>
      <c r="CS1152">
        <v>0</v>
      </c>
      <c r="CT1152">
        <v>-51.6</v>
      </c>
      <c r="CU1152">
        <v>81</v>
      </c>
      <c r="CV1152">
        <v>-0.31</v>
      </c>
      <c r="CW1152">
        <v>44</v>
      </c>
      <c r="CX1152" t="s">
        <v>226</v>
      </c>
    </row>
    <row r="1153" spans="1:102" x14ac:dyDescent="0.3">
      <c r="A1153" t="str">
        <f>HYPERLINK("https://webapp.icbf.com/v2/app/bull-search/view/1071683710","S1559")</f>
        <v>S1559</v>
      </c>
      <c r="B1153" t="s">
        <v>5980</v>
      </c>
      <c r="C1153" t="s">
        <v>5981</v>
      </c>
      <c r="D1153" s="1">
        <v>40804</v>
      </c>
      <c r="E1153" t="s">
        <v>92</v>
      </c>
      <c r="F1153">
        <v>100</v>
      </c>
      <c r="G1153" t="s">
        <v>93</v>
      </c>
      <c r="H1153">
        <v>131.69999999999999</v>
      </c>
      <c r="I1153">
        <v>89</v>
      </c>
      <c r="J1153">
        <v>40</v>
      </c>
      <c r="K1153">
        <v>98</v>
      </c>
      <c r="L1153">
        <v>68.06</v>
      </c>
      <c r="M1153">
        <v>87</v>
      </c>
      <c r="N1153">
        <v>20.420000000000002</v>
      </c>
      <c r="O1153">
        <v>89</v>
      </c>
      <c r="P1153">
        <v>-17.16</v>
      </c>
      <c r="Q1153">
        <v>94</v>
      </c>
      <c r="R1153">
        <v>8.2799999999999994</v>
      </c>
      <c r="S1153">
        <v>81</v>
      </c>
      <c r="T1153">
        <v>4.5</v>
      </c>
      <c r="U1153">
        <v>74</v>
      </c>
      <c r="V1153">
        <v>7.6</v>
      </c>
      <c r="W1153">
        <v>69</v>
      </c>
      <c r="X1153" t="s">
        <v>94</v>
      </c>
      <c r="Y1153" t="s">
        <v>362</v>
      </c>
      <c r="Z1153" t="s">
        <v>96</v>
      </c>
      <c r="AA1153" t="s">
        <v>1572</v>
      </c>
      <c r="AB1153" t="s">
        <v>5982</v>
      </c>
      <c r="AC1153">
        <v>221</v>
      </c>
      <c r="AD1153">
        <v>85</v>
      </c>
      <c r="AE1153">
        <v>98</v>
      </c>
      <c r="AF1153">
        <v>311.58</v>
      </c>
      <c r="AG1153">
        <v>11.54</v>
      </c>
      <c r="AH1153">
        <v>7.49</v>
      </c>
      <c r="AI1153">
        <v>-0.01</v>
      </c>
      <c r="AJ1153">
        <v>-0.05</v>
      </c>
      <c r="AK1153">
        <v>87</v>
      </c>
      <c r="AL1153">
        <v>137</v>
      </c>
      <c r="AM1153">
        <v>57</v>
      </c>
      <c r="AN1153">
        <v>-2.74</v>
      </c>
      <c r="AO1153">
        <v>2.7</v>
      </c>
      <c r="AP1153">
        <v>597</v>
      </c>
      <c r="AQ1153">
        <v>6</v>
      </c>
      <c r="AR1153">
        <v>7.13</v>
      </c>
      <c r="AS1153">
        <v>85</v>
      </c>
      <c r="AT1153">
        <v>2.94</v>
      </c>
      <c r="AU1153">
        <v>94</v>
      </c>
      <c r="AV1153">
        <v>-2.78</v>
      </c>
      <c r="AW1153">
        <v>98</v>
      </c>
      <c r="AX1153">
        <v>1</v>
      </c>
      <c r="AY1153">
        <v>91</v>
      </c>
      <c r="AZ1153">
        <v>6.47</v>
      </c>
      <c r="BA1153">
        <v>74</v>
      </c>
      <c r="BB1153">
        <v>5.36</v>
      </c>
      <c r="BC1153">
        <v>59</v>
      </c>
      <c r="BD1153">
        <v>0.01</v>
      </c>
      <c r="BE1153">
        <v>-0.03</v>
      </c>
      <c r="BF1153">
        <v>-0.15</v>
      </c>
      <c r="BG1153">
        <v>94</v>
      </c>
      <c r="BH1153">
        <v>0.14000000000000001</v>
      </c>
      <c r="BI1153">
        <v>-8.33</v>
      </c>
      <c r="BJ1153">
        <v>51</v>
      </c>
      <c r="BK1153">
        <v>20</v>
      </c>
      <c r="BL1153">
        <v>1.33</v>
      </c>
      <c r="BM1153">
        <v>-0.7</v>
      </c>
      <c r="BN1153">
        <v>0.22</v>
      </c>
      <c r="BO1153">
        <v>0.63</v>
      </c>
      <c r="BP1153">
        <v>2.56</v>
      </c>
      <c r="BQ1153">
        <v>-0.65</v>
      </c>
      <c r="BR1153">
        <v>-0.63</v>
      </c>
      <c r="BS1153">
        <v>1.19</v>
      </c>
      <c r="BT1153">
        <v>0.7</v>
      </c>
      <c r="BU1153">
        <v>1.43</v>
      </c>
      <c r="BV1153">
        <v>1.42</v>
      </c>
      <c r="BW1153">
        <v>1.88</v>
      </c>
      <c r="BX1153">
        <v>1.97</v>
      </c>
      <c r="BY1153">
        <v>0.53</v>
      </c>
      <c r="BZ1153">
        <v>0.48</v>
      </c>
      <c r="CA1153">
        <v>1.34</v>
      </c>
      <c r="CB1153">
        <v>1.04</v>
      </c>
      <c r="CC1153">
        <v>1.37</v>
      </c>
      <c r="CD1153">
        <v>-0.2</v>
      </c>
      <c r="CE1153">
        <v>0.74</v>
      </c>
      <c r="CF1153">
        <v>1.42</v>
      </c>
      <c r="CG1153">
        <v>0</v>
      </c>
      <c r="CH1153">
        <v>0.47</v>
      </c>
      <c r="CI1153">
        <v>0</v>
      </c>
      <c r="CJ1153">
        <v>-5.2</v>
      </c>
      <c r="CK1153">
        <v>96</v>
      </c>
      <c r="CL1153">
        <v>-1.3</v>
      </c>
      <c r="CM1153">
        <v>95</v>
      </c>
      <c r="CN1153">
        <v>-0.33</v>
      </c>
      <c r="CO1153">
        <v>94</v>
      </c>
      <c r="CP1153">
        <v>-2.9</v>
      </c>
      <c r="CQ1153">
        <v>79</v>
      </c>
      <c r="CR1153">
        <v>0</v>
      </c>
      <c r="CS1153">
        <v>0</v>
      </c>
      <c r="CT1153">
        <v>7.7</v>
      </c>
      <c r="CU1153">
        <v>74</v>
      </c>
      <c r="CV1153">
        <v>0.22</v>
      </c>
      <c r="CW1153">
        <v>46</v>
      </c>
      <c r="CX1153" t="s">
        <v>350</v>
      </c>
    </row>
    <row r="1154" spans="1:102" x14ac:dyDescent="0.3">
      <c r="A1154" t="str">
        <f>HYPERLINK("https://webapp.icbf.com/v2/app/bull-search/view/993259385","AZC")</f>
        <v>AZC</v>
      </c>
      <c r="B1154" t="s">
        <v>10181</v>
      </c>
      <c r="C1154" t="s">
        <v>10182</v>
      </c>
      <c r="D1154" s="1">
        <v>40744</v>
      </c>
      <c r="E1154" t="s">
        <v>92</v>
      </c>
      <c r="F1154">
        <v>66</v>
      </c>
      <c r="G1154" t="s">
        <v>93</v>
      </c>
      <c r="H1154">
        <v>131.66999999999999</v>
      </c>
      <c r="I1154">
        <v>83</v>
      </c>
      <c r="J1154">
        <v>133.9</v>
      </c>
      <c r="K1154">
        <v>94</v>
      </c>
      <c r="L1154">
        <v>-21.37</v>
      </c>
      <c r="M1154">
        <v>79</v>
      </c>
      <c r="N1154">
        <v>33.630000000000003</v>
      </c>
      <c r="O1154">
        <v>79</v>
      </c>
      <c r="P1154">
        <v>-36.39</v>
      </c>
      <c r="Q1154">
        <v>84</v>
      </c>
      <c r="R1154">
        <v>-9.73</v>
      </c>
      <c r="S1154">
        <v>77</v>
      </c>
      <c r="T1154">
        <v>25.22</v>
      </c>
      <c r="U1154">
        <v>68</v>
      </c>
      <c r="V1154">
        <v>6.41</v>
      </c>
      <c r="W1154">
        <v>69</v>
      </c>
      <c r="X1154" t="s">
        <v>276</v>
      </c>
      <c r="Y1154" t="s">
        <v>1775</v>
      </c>
      <c r="Z1154" t="s">
        <v>330</v>
      </c>
      <c r="AA1154" t="s">
        <v>2278</v>
      </c>
      <c r="AB1154" t="s">
        <v>10183</v>
      </c>
      <c r="AC1154">
        <v>52</v>
      </c>
      <c r="AD1154">
        <v>11</v>
      </c>
      <c r="AE1154">
        <v>94</v>
      </c>
      <c r="AF1154">
        <v>299.27</v>
      </c>
      <c r="AG1154">
        <v>20.56</v>
      </c>
      <c r="AH1154">
        <v>20.079999999999998</v>
      </c>
      <c r="AI1154">
        <v>0.15</v>
      </c>
      <c r="AJ1154">
        <v>0.16</v>
      </c>
      <c r="AK1154">
        <v>79</v>
      </c>
      <c r="AL1154">
        <v>50</v>
      </c>
      <c r="AM1154">
        <v>14</v>
      </c>
      <c r="AN1154">
        <v>1.52</v>
      </c>
      <c r="AO1154">
        <v>-0.18</v>
      </c>
      <c r="AP1154">
        <v>46</v>
      </c>
      <c r="AQ1154">
        <v>0</v>
      </c>
      <c r="AR1154">
        <v>4.53</v>
      </c>
      <c r="AS1154">
        <v>74</v>
      </c>
      <c r="AT1154">
        <v>1.81</v>
      </c>
      <c r="AU1154">
        <v>79</v>
      </c>
      <c r="AV1154">
        <v>-3.41</v>
      </c>
      <c r="AW1154">
        <v>93</v>
      </c>
      <c r="AX1154">
        <v>0.54</v>
      </c>
      <c r="AY1154">
        <v>72</v>
      </c>
      <c r="AZ1154">
        <v>8.6999999999999993</v>
      </c>
      <c r="BA1154">
        <v>51</v>
      </c>
      <c r="BB1154">
        <v>5.87</v>
      </c>
      <c r="BC1154">
        <v>49</v>
      </c>
      <c r="BD1154">
        <v>-0.05</v>
      </c>
      <c r="BE1154">
        <v>0.03</v>
      </c>
      <c r="BF1154">
        <v>0.25</v>
      </c>
      <c r="BG1154">
        <v>90</v>
      </c>
      <c r="BH1154">
        <v>0.18</v>
      </c>
      <c r="BI1154">
        <v>0.13</v>
      </c>
      <c r="BJ1154">
        <v>0</v>
      </c>
      <c r="BK1154">
        <v>0</v>
      </c>
      <c r="BL1154">
        <v>-2.86</v>
      </c>
      <c r="BM1154">
        <v>1.19</v>
      </c>
      <c r="BN1154">
        <v>0.12</v>
      </c>
      <c r="BO1154">
        <v>0</v>
      </c>
      <c r="BP1154">
        <v>-0.88</v>
      </c>
      <c r="BQ1154">
        <v>-1.6</v>
      </c>
      <c r="BR1154">
        <v>3.32</v>
      </c>
      <c r="BS1154">
        <v>0</v>
      </c>
      <c r="BT1154">
        <v>0</v>
      </c>
      <c r="BU1154">
        <v>-0.8</v>
      </c>
      <c r="BV1154">
        <v>-0.63</v>
      </c>
      <c r="BW1154">
        <v>-1.24</v>
      </c>
      <c r="BX1154">
        <v>0</v>
      </c>
      <c r="BY1154">
        <v>-0.81</v>
      </c>
      <c r="BZ1154">
        <v>0</v>
      </c>
      <c r="CA1154">
        <v>-0.56999999999999995</v>
      </c>
      <c r="CB1154">
        <v>-0.81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-19.5</v>
      </c>
      <c r="CK1154">
        <v>87</v>
      </c>
      <c r="CL1154">
        <v>-0.96</v>
      </c>
      <c r="CM1154">
        <v>84</v>
      </c>
      <c r="CN1154">
        <v>-0.33</v>
      </c>
      <c r="CO1154">
        <v>82</v>
      </c>
      <c r="CP1154">
        <v>-22.9</v>
      </c>
      <c r="CQ1154">
        <v>69</v>
      </c>
      <c r="CR1154">
        <v>0</v>
      </c>
      <c r="CS1154">
        <v>0</v>
      </c>
      <c r="CT1154">
        <v>-20.3</v>
      </c>
      <c r="CU1154">
        <v>68</v>
      </c>
      <c r="CV1154">
        <v>-0.19</v>
      </c>
      <c r="CW1154">
        <v>43</v>
      </c>
      <c r="CX1154" t="s">
        <v>333</v>
      </c>
    </row>
    <row r="1155" spans="1:102" x14ac:dyDescent="0.3">
      <c r="A1155" t="str">
        <f>HYPERLINK("https://webapp.icbf.com/v2/app/bull-search/view/952697319","ZRT")</f>
        <v>ZRT</v>
      </c>
      <c r="B1155" t="s">
        <v>10187</v>
      </c>
      <c r="C1155" t="s">
        <v>10188</v>
      </c>
      <c r="D1155" s="1">
        <v>40966</v>
      </c>
      <c r="E1155" t="s">
        <v>146</v>
      </c>
      <c r="F1155">
        <v>9</v>
      </c>
      <c r="G1155" t="s">
        <v>435</v>
      </c>
      <c r="H1155">
        <v>131.66999999999999</v>
      </c>
      <c r="I1155">
        <v>46</v>
      </c>
      <c r="J1155">
        <v>24.25</v>
      </c>
      <c r="K1155">
        <v>45</v>
      </c>
      <c r="L1155">
        <v>53.45</v>
      </c>
      <c r="M1155">
        <v>36</v>
      </c>
      <c r="N1155">
        <v>30.49</v>
      </c>
      <c r="O1155">
        <v>69</v>
      </c>
      <c r="P1155">
        <v>1.69</v>
      </c>
      <c r="Q1155">
        <v>81</v>
      </c>
      <c r="R1155">
        <v>0</v>
      </c>
      <c r="S1155">
        <v>26</v>
      </c>
      <c r="T1155">
        <v>24.11</v>
      </c>
      <c r="U1155">
        <v>48</v>
      </c>
      <c r="V1155">
        <v>-2.3199999999999998</v>
      </c>
      <c r="W1155">
        <v>23</v>
      </c>
      <c r="X1155" t="s">
        <v>102</v>
      </c>
      <c r="Y1155" t="s">
        <v>375</v>
      </c>
      <c r="Z1155">
        <v>0</v>
      </c>
      <c r="AA1155" t="s">
        <v>10189</v>
      </c>
      <c r="AB1155" t="s">
        <v>10190</v>
      </c>
      <c r="AC1155">
        <v>4</v>
      </c>
      <c r="AD1155">
        <v>3</v>
      </c>
      <c r="AE1155">
        <v>45</v>
      </c>
      <c r="AF1155">
        <v>-35.86</v>
      </c>
      <c r="AG1155">
        <v>1.06</v>
      </c>
      <c r="AH1155">
        <v>3.2</v>
      </c>
      <c r="AI1155">
        <v>0.04</v>
      </c>
      <c r="AJ1155">
        <v>7.0000000000000007E-2</v>
      </c>
      <c r="AK1155">
        <v>36</v>
      </c>
      <c r="AL1155">
        <v>24</v>
      </c>
      <c r="AM1155">
        <v>7</v>
      </c>
      <c r="AN1155">
        <v>-3.14</v>
      </c>
      <c r="AO1155">
        <v>1.1200000000000001</v>
      </c>
      <c r="AP1155">
        <v>59</v>
      </c>
      <c r="AQ1155">
        <v>5</v>
      </c>
      <c r="AR1155">
        <v>6.14</v>
      </c>
      <c r="AS1155">
        <v>48</v>
      </c>
      <c r="AT1155">
        <v>2.59</v>
      </c>
      <c r="AU1155">
        <v>70</v>
      </c>
      <c r="AV1155">
        <v>-3.06</v>
      </c>
      <c r="AW1155">
        <v>88</v>
      </c>
      <c r="AX1155">
        <v>-0.4</v>
      </c>
      <c r="AY1155">
        <v>61</v>
      </c>
      <c r="AZ1155">
        <v>6.76</v>
      </c>
      <c r="BA1155">
        <v>44</v>
      </c>
      <c r="BB1155">
        <v>5.44</v>
      </c>
      <c r="BC1155">
        <v>36</v>
      </c>
      <c r="BD1155">
        <v>0</v>
      </c>
      <c r="BE1155">
        <v>0</v>
      </c>
      <c r="BF1155">
        <v>0</v>
      </c>
      <c r="BG1155">
        <v>32</v>
      </c>
      <c r="BH1155">
        <v>-0.19</v>
      </c>
      <c r="BI1155">
        <v>-14.5</v>
      </c>
      <c r="BJ1155">
        <v>0</v>
      </c>
      <c r="BK1155">
        <v>0</v>
      </c>
      <c r="BL1155">
        <v>-1.72</v>
      </c>
      <c r="BM1155">
        <v>1.64</v>
      </c>
      <c r="BN1155">
        <v>-1.39</v>
      </c>
      <c r="BO1155">
        <v>-2.12</v>
      </c>
      <c r="BP1155">
        <v>0.86</v>
      </c>
      <c r="BQ1155">
        <v>-0.04</v>
      </c>
      <c r="BR1155">
        <v>0.11</v>
      </c>
      <c r="BS1155">
        <v>0.05</v>
      </c>
      <c r="BT1155">
        <v>-0.53</v>
      </c>
      <c r="BU1155">
        <v>-1.17</v>
      </c>
      <c r="BV1155">
        <v>-1.99</v>
      </c>
      <c r="BW1155">
        <v>-1.72</v>
      </c>
      <c r="BX1155">
        <v>-0.63</v>
      </c>
      <c r="BY1155">
        <v>-0.87</v>
      </c>
      <c r="BZ1155">
        <v>0</v>
      </c>
      <c r="CA1155">
        <v>-1.79</v>
      </c>
      <c r="CB1155">
        <v>-1.88</v>
      </c>
      <c r="CC1155">
        <v>-0.91</v>
      </c>
      <c r="CD1155">
        <v>1.77</v>
      </c>
      <c r="CE1155">
        <v>-2.0299999999999998</v>
      </c>
      <c r="CF1155">
        <v>-1.44</v>
      </c>
      <c r="CG1155">
        <v>0</v>
      </c>
      <c r="CH1155">
        <v>-0.91</v>
      </c>
      <c r="CI1155">
        <v>0</v>
      </c>
      <c r="CJ1155">
        <v>-0.6</v>
      </c>
      <c r="CK1155">
        <v>84</v>
      </c>
      <c r="CL1155">
        <v>0.12</v>
      </c>
      <c r="CM1155">
        <v>81</v>
      </c>
      <c r="CN1155">
        <v>-0.28000000000000003</v>
      </c>
      <c r="CO1155">
        <v>79</v>
      </c>
      <c r="CP1155">
        <v>-13.3</v>
      </c>
      <c r="CQ1155">
        <v>59</v>
      </c>
      <c r="CR1155">
        <v>0</v>
      </c>
      <c r="CS1155">
        <v>0</v>
      </c>
      <c r="CT1155">
        <v>-18.8</v>
      </c>
      <c r="CU1155">
        <v>48</v>
      </c>
      <c r="CV1155">
        <v>-0.2</v>
      </c>
      <c r="CW1155">
        <v>42</v>
      </c>
      <c r="CX1155" t="s">
        <v>10191</v>
      </c>
    </row>
    <row r="1156" spans="1:102" x14ac:dyDescent="0.3">
      <c r="A1156" t="str">
        <f>HYPERLINK("https://webapp.icbf.com/v2/app/bull-search/view/354823313","NEE")</f>
        <v>NEE</v>
      </c>
      <c r="B1156" t="s">
        <v>4179</v>
      </c>
      <c r="C1156" t="s">
        <v>4180</v>
      </c>
      <c r="D1156" s="1">
        <v>37528</v>
      </c>
      <c r="E1156" t="s">
        <v>92</v>
      </c>
      <c r="F1156">
        <v>100</v>
      </c>
      <c r="G1156" t="s">
        <v>93</v>
      </c>
      <c r="H1156">
        <v>131.62</v>
      </c>
      <c r="I1156">
        <v>83</v>
      </c>
      <c r="J1156">
        <v>48.09</v>
      </c>
      <c r="K1156">
        <v>96</v>
      </c>
      <c r="L1156">
        <v>21.3</v>
      </c>
      <c r="M1156">
        <v>69</v>
      </c>
      <c r="N1156">
        <v>30.85</v>
      </c>
      <c r="O1156">
        <v>83</v>
      </c>
      <c r="P1156">
        <v>-8.4499999999999993</v>
      </c>
      <c r="Q1156">
        <v>92</v>
      </c>
      <c r="R1156">
        <v>13.5</v>
      </c>
      <c r="S1156">
        <v>76</v>
      </c>
      <c r="T1156">
        <v>20.04</v>
      </c>
      <c r="U1156">
        <v>90</v>
      </c>
      <c r="V1156">
        <v>6.29</v>
      </c>
      <c r="W1156">
        <v>70</v>
      </c>
      <c r="X1156" t="s">
        <v>94</v>
      </c>
      <c r="Y1156" t="s">
        <v>2565</v>
      </c>
      <c r="Z1156" t="s">
        <v>96</v>
      </c>
      <c r="AA1156" t="s">
        <v>4181</v>
      </c>
      <c r="AB1156" t="s">
        <v>4182</v>
      </c>
      <c r="AC1156">
        <v>107</v>
      </c>
      <c r="AD1156">
        <v>81</v>
      </c>
      <c r="AE1156">
        <v>96</v>
      </c>
      <c r="AF1156">
        <v>293.57</v>
      </c>
      <c r="AG1156">
        <v>10.69</v>
      </c>
      <c r="AH1156">
        <v>8.89</v>
      </c>
      <c r="AI1156">
        <v>-0.01</v>
      </c>
      <c r="AJ1156">
        <v>-0.02</v>
      </c>
      <c r="AK1156">
        <v>69</v>
      </c>
      <c r="AL1156">
        <v>107</v>
      </c>
      <c r="AM1156">
        <v>78</v>
      </c>
      <c r="AN1156">
        <v>-1.07</v>
      </c>
      <c r="AO1156">
        <v>0.63</v>
      </c>
      <c r="AP1156">
        <v>185</v>
      </c>
      <c r="AQ1156">
        <v>0</v>
      </c>
      <c r="AR1156">
        <v>3.88</v>
      </c>
      <c r="AS1156">
        <v>60</v>
      </c>
      <c r="AT1156">
        <v>1.71</v>
      </c>
      <c r="AU1156">
        <v>86</v>
      </c>
      <c r="AV1156">
        <v>-1.73</v>
      </c>
      <c r="AW1156">
        <v>94</v>
      </c>
      <c r="AX1156">
        <v>-0.19</v>
      </c>
      <c r="AY1156">
        <v>81</v>
      </c>
      <c r="AZ1156">
        <v>5.44</v>
      </c>
      <c r="BA1156">
        <v>58</v>
      </c>
      <c r="BB1156">
        <v>5.58</v>
      </c>
      <c r="BC1156">
        <v>66</v>
      </c>
      <c r="BD1156">
        <v>-0.05</v>
      </c>
      <c r="BE1156">
        <v>-0.03</v>
      </c>
      <c r="BF1156">
        <v>-0.17</v>
      </c>
      <c r="BG1156">
        <v>86</v>
      </c>
      <c r="BH1156">
        <v>0.09</v>
      </c>
      <c r="BI1156">
        <v>-9.8800000000000008</v>
      </c>
      <c r="BJ1156">
        <v>44</v>
      </c>
      <c r="BK1156">
        <v>31</v>
      </c>
      <c r="BL1156">
        <v>-0.67</v>
      </c>
      <c r="BM1156">
        <v>-1.85</v>
      </c>
      <c r="BN1156">
        <v>-0.89</v>
      </c>
      <c r="BO1156">
        <v>0.43</v>
      </c>
      <c r="BP1156">
        <v>1.25</v>
      </c>
      <c r="BQ1156">
        <v>-2.1</v>
      </c>
      <c r="BR1156">
        <v>-0.94</v>
      </c>
      <c r="BS1156">
        <v>0.71</v>
      </c>
      <c r="BT1156">
        <v>-0.32</v>
      </c>
      <c r="BU1156">
        <v>-0.59</v>
      </c>
      <c r="BV1156">
        <v>0.01</v>
      </c>
      <c r="BW1156">
        <v>0.17</v>
      </c>
      <c r="BX1156">
        <v>-0.26</v>
      </c>
      <c r="BY1156">
        <v>1.27</v>
      </c>
      <c r="BZ1156">
        <v>-1.27</v>
      </c>
      <c r="CA1156">
        <v>0.33</v>
      </c>
      <c r="CB1156">
        <v>0.44</v>
      </c>
      <c r="CC1156">
        <v>-0.1</v>
      </c>
      <c r="CD1156">
        <v>-1.17</v>
      </c>
      <c r="CE1156">
        <v>0.14000000000000001</v>
      </c>
      <c r="CF1156">
        <v>-1.71</v>
      </c>
      <c r="CG1156">
        <v>0</v>
      </c>
      <c r="CH1156">
        <v>0.31</v>
      </c>
      <c r="CI1156">
        <v>0</v>
      </c>
      <c r="CJ1156">
        <v>-3.9</v>
      </c>
      <c r="CK1156">
        <v>93</v>
      </c>
      <c r="CL1156">
        <v>-0.47</v>
      </c>
      <c r="CM1156">
        <v>91</v>
      </c>
      <c r="CN1156">
        <v>-0.31</v>
      </c>
      <c r="CO1156">
        <v>90</v>
      </c>
      <c r="CP1156">
        <v>-12.3</v>
      </c>
      <c r="CQ1156">
        <v>91</v>
      </c>
      <c r="CR1156">
        <v>0</v>
      </c>
      <c r="CS1156">
        <v>0</v>
      </c>
      <c r="CT1156">
        <v>-13.3</v>
      </c>
      <c r="CU1156">
        <v>90</v>
      </c>
      <c r="CV1156">
        <v>0.04</v>
      </c>
      <c r="CW1156">
        <v>26</v>
      </c>
      <c r="CX1156" t="s">
        <v>4183</v>
      </c>
    </row>
    <row r="1157" spans="1:102" x14ac:dyDescent="0.3">
      <c r="A1157" t="str">
        <f>HYPERLINK("https://webapp.icbf.com/v2/app/bull-search/view/586144390","CVZ")</f>
        <v>CVZ</v>
      </c>
      <c r="B1157" t="s">
        <v>6523</v>
      </c>
      <c r="C1157" t="s">
        <v>6524</v>
      </c>
      <c r="D1157" s="1">
        <v>38531</v>
      </c>
      <c r="E1157" t="s">
        <v>92</v>
      </c>
      <c r="F1157">
        <v>100</v>
      </c>
      <c r="G1157" t="s">
        <v>93</v>
      </c>
      <c r="H1157">
        <v>131.57</v>
      </c>
      <c r="I1157">
        <v>93</v>
      </c>
      <c r="J1157">
        <v>58.54</v>
      </c>
      <c r="K1157">
        <v>98</v>
      </c>
      <c r="L1157">
        <v>40.409999999999997</v>
      </c>
      <c r="M1157">
        <v>91</v>
      </c>
      <c r="N1157">
        <v>20.61</v>
      </c>
      <c r="O1157">
        <v>91</v>
      </c>
      <c r="P1157">
        <v>0.1</v>
      </c>
      <c r="Q1157">
        <v>94</v>
      </c>
      <c r="R1157">
        <v>7.7</v>
      </c>
      <c r="S1157">
        <v>86</v>
      </c>
      <c r="T1157">
        <v>-5.49</v>
      </c>
      <c r="U1157">
        <v>93</v>
      </c>
      <c r="V1157">
        <v>9.6999999999999993</v>
      </c>
      <c r="W1157">
        <v>86</v>
      </c>
      <c r="X1157" t="s">
        <v>102</v>
      </c>
      <c r="Y1157" t="s">
        <v>282</v>
      </c>
      <c r="Z1157" t="s">
        <v>96</v>
      </c>
      <c r="AA1157" t="s">
        <v>316</v>
      </c>
      <c r="AB1157" t="s">
        <v>6525</v>
      </c>
      <c r="AC1157">
        <v>250</v>
      </c>
      <c r="AD1157">
        <v>95</v>
      </c>
      <c r="AE1157">
        <v>98</v>
      </c>
      <c r="AF1157">
        <v>253.39</v>
      </c>
      <c r="AG1157">
        <v>15.05</v>
      </c>
      <c r="AH1157">
        <v>8.51</v>
      </c>
      <c r="AI1157">
        <v>0.09</v>
      </c>
      <c r="AJ1157">
        <v>0</v>
      </c>
      <c r="AK1157">
        <v>91</v>
      </c>
      <c r="AL1157">
        <v>253</v>
      </c>
      <c r="AM1157">
        <v>101</v>
      </c>
      <c r="AN1157">
        <v>-3.16</v>
      </c>
      <c r="AO1157">
        <v>0.05</v>
      </c>
      <c r="AP1157">
        <v>257</v>
      </c>
      <c r="AQ1157">
        <v>5</v>
      </c>
      <c r="AR1157">
        <v>7.28</v>
      </c>
      <c r="AS1157">
        <v>89</v>
      </c>
      <c r="AT1157">
        <v>3.36</v>
      </c>
      <c r="AU1157">
        <v>90</v>
      </c>
      <c r="AV1157">
        <v>-2.0699999999999998</v>
      </c>
      <c r="AW1157">
        <v>97</v>
      </c>
      <c r="AX1157">
        <v>-0.1</v>
      </c>
      <c r="AY1157">
        <v>88</v>
      </c>
      <c r="AZ1157">
        <v>5.07</v>
      </c>
      <c r="BA1157">
        <v>78</v>
      </c>
      <c r="BB1157">
        <v>4.3</v>
      </c>
      <c r="BC1157">
        <v>79</v>
      </c>
      <c r="BD1157">
        <v>0</v>
      </c>
      <c r="BE1157">
        <v>-0.03</v>
      </c>
      <c r="BF1157">
        <v>-0.12</v>
      </c>
      <c r="BG1157">
        <v>94</v>
      </c>
      <c r="BH1157">
        <v>0.11</v>
      </c>
      <c r="BI1157">
        <v>-18.55</v>
      </c>
      <c r="BJ1157">
        <v>13</v>
      </c>
      <c r="BK1157">
        <v>10</v>
      </c>
      <c r="BL1157">
        <v>0.77</v>
      </c>
      <c r="BM1157">
        <v>1.72</v>
      </c>
      <c r="BN1157">
        <v>0.21</v>
      </c>
      <c r="BO1157">
        <v>-0.65</v>
      </c>
      <c r="BP1157">
        <v>1.4</v>
      </c>
      <c r="BQ1157">
        <v>-0.42</v>
      </c>
      <c r="BR1157">
        <v>-3.7</v>
      </c>
      <c r="BS1157">
        <v>0.82</v>
      </c>
      <c r="BT1157">
        <v>3.7</v>
      </c>
      <c r="BU1157">
        <v>0.56000000000000005</v>
      </c>
      <c r="BV1157">
        <v>-0.23</v>
      </c>
      <c r="BW1157">
        <v>0.02</v>
      </c>
      <c r="BX1157">
        <v>1.25</v>
      </c>
      <c r="BY1157">
        <v>1.29</v>
      </c>
      <c r="BZ1157">
        <v>0.18</v>
      </c>
      <c r="CA1157">
        <v>1.1399999999999999</v>
      </c>
      <c r="CB1157">
        <v>0.36</v>
      </c>
      <c r="CC1157">
        <v>1.48</v>
      </c>
      <c r="CD1157">
        <v>1.69</v>
      </c>
      <c r="CE1157">
        <v>-0.77</v>
      </c>
      <c r="CF1157">
        <v>0.26</v>
      </c>
      <c r="CG1157">
        <v>0</v>
      </c>
      <c r="CH1157">
        <v>1.22</v>
      </c>
      <c r="CI1157">
        <v>0</v>
      </c>
      <c r="CJ1157">
        <v>2.7</v>
      </c>
      <c r="CK1157">
        <v>95</v>
      </c>
      <c r="CL1157">
        <v>-0.7</v>
      </c>
      <c r="CM1157">
        <v>94</v>
      </c>
      <c r="CN1157">
        <v>-0.22</v>
      </c>
      <c r="CO1157">
        <v>93</v>
      </c>
      <c r="CP1157">
        <v>6.8</v>
      </c>
      <c r="CQ1157">
        <v>93</v>
      </c>
      <c r="CR1157">
        <v>0</v>
      </c>
      <c r="CS1157">
        <v>0</v>
      </c>
      <c r="CT1157">
        <v>21.2</v>
      </c>
      <c r="CU1157">
        <v>93</v>
      </c>
      <c r="CV1157">
        <v>0.23</v>
      </c>
      <c r="CW1157">
        <v>48</v>
      </c>
      <c r="CX1157" t="s">
        <v>279</v>
      </c>
    </row>
    <row r="1158" spans="1:102" x14ac:dyDescent="0.3">
      <c r="A1158" t="str">
        <f>HYPERLINK("https://webapp.icbf.com/v2/app/bull-search/view/566240338","MFY")</f>
        <v>MFY</v>
      </c>
      <c r="B1158" t="s">
        <v>1528</v>
      </c>
      <c r="C1158" t="s">
        <v>1529</v>
      </c>
      <c r="D1158" s="1">
        <v>39509</v>
      </c>
      <c r="E1158" t="s">
        <v>92</v>
      </c>
      <c r="F1158">
        <v>75</v>
      </c>
      <c r="G1158" t="s">
        <v>435</v>
      </c>
      <c r="H1158">
        <v>131.52000000000001</v>
      </c>
      <c r="I1158">
        <v>70</v>
      </c>
      <c r="J1158">
        <v>29.59</v>
      </c>
      <c r="K1158">
        <v>88</v>
      </c>
      <c r="L1158">
        <v>75.819999999999993</v>
      </c>
      <c r="M1158">
        <v>65</v>
      </c>
      <c r="N1158">
        <v>14.72</v>
      </c>
      <c r="O1158">
        <v>58</v>
      </c>
      <c r="P1158">
        <v>-12.28</v>
      </c>
      <c r="Q1158">
        <v>62</v>
      </c>
      <c r="R1158">
        <v>6.09</v>
      </c>
      <c r="S1158">
        <v>65</v>
      </c>
      <c r="T1158">
        <v>19.3</v>
      </c>
      <c r="U1158">
        <v>51</v>
      </c>
      <c r="V1158">
        <v>-1.72</v>
      </c>
      <c r="W1158">
        <v>62</v>
      </c>
      <c r="X1158" t="s">
        <v>94</v>
      </c>
      <c r="Y1158" t="s">
        <v>241</v>
      </c>
      <c r="Z1158" t="s">
        <v>96</v>
      </c>
      <c r="AA1158" t="s">
        <v>1530</v>
      </c>
      <c r="AB1158" t="s">
        <v>1531</v>
      </c>
      <c r="AC1158">
        <v>5</v>
      </c>
      <c r="AD1158">
        <v>4</v>
      </c>
      <c r="AE1158">
        <v>88</v>
      </c>
      <c r="AF1158">
        <v>180.71</v>
      </c>
      <c r="AG1158">
        <v>4.04</v>
      </c>
      <c r="AH1158">
        <v>6.37</v>
      </c>
      <c r="AI1158">
        <v>-0.05</v>
      </c>
      <c r="AJ1158">
        <v>0</v>
      </c>
      <c r="AK1158">
        <v>65</v>
      </c>
      <c r="AL1158">
        <v>4</v>
      </c>
      <c r="AM1158">
        <v>2</v>
      </c>
      <c r="AN1158">
        <v>-6.22</v>
      </c>
      <c r="AO1158">
        <v>-0.2</v>
      </c>
      <c r="AP1158">
        <v>4</v>
      </c>
      <c r="AQ1158">
        <v>0</v>
      </c>
      <c r="AR1158">
        <v>7.83</v>
      </c>
      <c r="AS1158">
        <v>54</v>
      </c>
      <c r="AT1158">
        <v>3.05</v>
      </c>
      <c r="AU1158">
        <v>65</v>
      </c>
      <c r="AV1158">
        <v>-1.36</v>
      </c>
      <c r="AW1158">
        <v>63</v>
      </c>
      <c r="AX1158">
        <v>-0.5</v>
      </c>
      <c r="AY1158">
        <v>49</v>
      </c>
      <c r="AZ1158">
        <v>5.2</v>
      </c>
      <c r="BA1158">
        <v>44</v>
      </c>
      <c r="BB1158">
        <v>4.83</v>
      </c>
      <c r="BC1158">
        <v>45</v>
      </c>
      <c r="BD1158">
        <v>-0.03</v>
      </c>
      <c r="BE1158">
        <v>0</v>
      </c>
      <c r="BF1158">
        <v>-0.09</v>
      </c>
      <c r="BG1158">
        <v>75</v>
      </c>
      <c r="BH1158">
        <v>0</v>
      </c>
      <c r="BI1158">
        <v>5.55</v>
      </c>
      <c r="BJ1158">
        <v>0</v>
      </c>
      <c r="BK1158">
        <v>0</v>
      </c>
      <c r="BL1158">
        <v>-0.79</v>
      </c>
      <c r="BM1158">
        <v>-0.6</v>
      </c>
      <c r="BN1158">
        <v>-0.61</v>
      </c>
      <c r="BO1158">
        <v>-0.24</v>
      </c>
      <c r="BP1158">
        <v>2.2799999999999998</v>
      </c>
      <c r="BQ1158">
        <v>-0.42</v>
      </c>
      <c r="BR1158">
        <v>1.45</v>
      </c>
      <c r="BS1158">
        <v>-1.39</v>
      </c>
      <c r="BT1158">
        <v>-2.25</v>
      </c>
      <c r="BU1158">
        <v>-0.71</v>
      </c>
      <c r="BV1158">
        <v>-0.56999999999999995</v>
      </c>
      <c r="BW1158">
        <v>-0.62</v>
      </c>
      <c r="BX1158">
        <v>0.28999999999999998</v>
      </c>
      <c r="BY1158">
        <v>-1.28</v>
      </c>
      <c r="BZ1158">
        <v>-0.05</v>
      </c>
      <c r="CA1158">
        <v>-1.22</v>
      </c>
      <c r="CB1158">
        <v>-0.78</v>
      </c>
      <c r="CC1158">
        <v>-1.35</v>
      </c>
      <c r="CD1158">
        <v>-0.66</v>
      </c>
      <c r="CE1158">
        <v>-0.28999999999999998</v>
      </c>
      <c r="CF1158">
        <v>-0.82</v>
      </c>
      <c r="CG1158">
        <v>0</v>
      </c>
      <c r="CH1158">
        <v>-1.94</v>
      </c>
      <c r="CI1158">
        <v>0</v>
      </c>
      <c r="CJ1158">
        <v>-1.9</v>
      </c>
      <c r="CK1158">
        <v>64</v>
      </c>
      <c r="CL1158">
        <v>-0.77</v>
      </c>
      <c r="CM1158">
        <v>60</v>
      </c>
      <c r="CN1158">
        <v>0.01</v>
      </c>
      <c r="CO1158">
        <v>59</v>
      </c>
      <c r="CP1158">
        <v>-10.6</v>
      </c>
      <c r="CQ1158">
        <v>55</v>
      </c>
      <c r="CR1158">
        <v>0</v>
      </c>
      <c r="CS1158">
        <v>0</v>
      </c>
      <c r="CT1158">
        <v>-12.3</v>
      </c>
      <c r="CU1158">
        <v>51</v>
      </c>
      <c r="CV1158">
        <v>0.18</v>
      </c>
      <c r="CW1158">
        <v>38</v>
      </c>
      <c r="CX1158" t="s">
        <v>792</v>
      </c>
    </row>
    <row r="1159" spans="1:102" x14ac:dyDescent="0.3">
      <c r="A1159" t="str">
        <f>HYPERLINK("https://webapp.icbf.com/v2/app/bull-search/view/371711243","VMG")</f>
        <v>VMG</v>
      </c>
      <c r="B1159" t="s">
        <v>8765</v>
      </c>
      <c r="C1159" t="s">
        <v>6826</v>
      </c>
      <c r="D1159" s="1">
        <v>38223</v>
      </c>
      <c r="E1159" t="s">
        <v>92</v>
      </c>
      <c r="F1159">
        <v>100</v>
      </c>
      <c r="G1159" t="s">
        <v>93</v>
      </c>
      <c r="H1159">
        <v>131.52000000000001</v>
      </c>
      <c r="I1159">
        <v>98</v>
      </c>
      <c r="J1159">
        <v>40.880000000000003</v>
      </c>
      <c r="K1159">
        <v>99</v>
      </c>
      <c r="L1159">
        <v>50.43</v>
      </c>
      <c r="M1159">
        <v>97</v>
      </c>
      <c r="N1159">
        <v>46.18</v>
      </c>
      <c r="O1159">
        <v>99</v>
      </c>
      <c r="P1159">
        <v>-13.66</v>
      </c>
      <c r="Q1159">
        <v>99</v>
      </c>
      <c r="R1159">
        <v>-1.02</v>
      </c>
      <c r="S1159">
        <v>98</v>
      </c>
      <c r="T1159">
        <v>3.1</v>
      </c>
      <c r="U1159">
        <v>99</v>
      </c>
      <c r="V1159">
        <v>5.61</v>
      </c>
      <c r="W1159">
        <v>99</v>
      </c>
      <c r="X1159" t="s">
        <v>94</v>
      </c>
      <c r="Y1159" t="s">
        <v>1164</v>
      </c>
      <c r="Z1159" t="s">
        <v>96</v>
      </c>
      <c r="AA1159" t="s">
        <v>316</v>
      </c>
      <c r="AB1159" t="s">
        <v>4287</v>
      </c>
      <c r="AC1159">
        <v>3935</v>
      </c>
      <c r="AD1159">
        <v>1388</v>
      </c>
      <c r="AE1159">
        <v>99</v>
      </c>
      <c r="AF1159">
        <v>204.42</v>
      </c>
      <c r="AG1159">
        <v>4.47</v>
      </c>
      <c r="AH1159">
        <v>8.5</v>
      </c>
      <c r="AI1159">
        <v>-0.06</v>
      </c>
      <c r="AJ1159">
        <v>0.03</v>
      </c>
      <c r="AK1159">
        <v>97</v>
      </c>
      <c r="AL1159">
        <v>5275</v>
      </c>
      <c r="AM1159">
        <v>2049</v>
      </c>
      <c r="AN1159">
        <v>-2.88</v>
      </c>
      <c r="AO1159">
        <v>1.1399999999999999</v>
      </c>
      <c r="AP1159">
        <v>7311</v>
      </c>
      <c r="AQ1159">
        <v>60</v>
      </c>
      <c r="AR1159">
        <v>5.28</v>
      </c>
      <c r="AS1159">
        <v>99</v>
      </c>
      <c r="AT1159">
        <v>2.1</v>
      </c>
      <c r="AU1159">
        <v>99</v>
      </c>
      <c r="AV1159">
        <v>-3.74</v>
      </c>
      <c r="AW1159">
        <v>99</v>
      </c>
      <c r="AX1159">
        <v>-0.21</v>
      </c>
      <c r="AY1159">
        <v>99</v>
      </c>
      <c r="AZ1159">
        <v>5.27</v>
      </c>
      <c r="BA1159">
        <v>98</v>
      </c>
      <c r="BB1159">
        <v>4.7699999999999996</v>
      </c>
      <c r="BC1159">
        <v>98</v>
      </c>
      <c r="BD1159">
        <v>-0.04</v>
      </c>
      <c r="BE1159">
        <v>0</v>
      </c>
      <c r="BF1159">
        <v>0.09</v>
      </c>
      <c r="BG1159">
        <v>99</v>
      </c>
      <c r="BH1159">
        <v>-0.03</v>
      </c>
      <c r="BI1159">
        <v>-21.56</v>
      </c>
      <c r="BJ1159">
        <v>271</v>
      </c>
      <c r="BK1159">
        <v>109</v>
      </c>
      <c r="BL1159">
        <v>-0.08</v>
      </c>
      <c r="BM1159">
        <v>1.72</v>
      </c>
      <c r="BN1159">
        <v>-0.24</v>
      </c>
      <c r="BO1159">
        <v>-0.93</v>
      </c>
      <c r="BP1159">
        <v>1.39</v>
      </c>
      <c r="BQ1159">
        <v>0.27</v>
      </c>
      <c r="BR1159">
        <v>-3.15</v>
      </c>
      <c r="BS1159">
        <v>-0.55000000000000004</v>
      </c>
      <c r="BT1159">
        <v>2.12</v>
      </c>
      <c r="BU1159">
        <v>-0.43</v>
      </c>
      <c r="BV1159">
        <v>-0.4</v>
      </c>
      <c r="BW1159">
        <v>-0.74</v>
      </c>
      <c r="BX1159">
        <v>-0.13</v>
      </c>
      <c r="BY1159">
        <v>-0.27</v>
      </c>
      <c r="BZ1159">
        <v>-1.55</v>
      </c>
      <c r="CA1159">
        <v>0.01</v>
      </c>
      <c r="CB1159">
        <v>-0.18</v>
      </c>
      <c r="CC1159">
        <v>0.14000000000000001</v>
      </c>
      <c r="CD1159">
        <v>1.0900000000000001</v>
      </c>
      <c r="CE1159">
        <v>-0.84</v>
      </c>
      <c r="CF1159">
        <v>0.17</v>
      </c>
      <c r="CG1159">
        <v>0</v>
      </c>
      <c r="CH1159">
        <v>-0.13</v>
      </c>
      <c r="CI1159">
        <v>0</v>
      </c>
      <c r="CJ1159">
        <v>-3.5</v>
      </c>
      <c r="CK1159">
        <v>99</v>
      </c>
      <c r="CL1159">
        <v>-0.88</v>
      </c>
      <c r="CM1159">
        <v>99</v>
      </c>
      <c r="CN1159">
        <v>-0.02</v>
      </c>
      <c r="CO1159">
        <v>99</v>
      </c>
      <c r="CP1159">
        <v>0.1</v>
      </c>
      <c r="CQ1159">
        <v>99</v>
      </c>
      <c r="CR1159">
        <v>0</v>
      </c>
      <c r="CS1159">
        <v>0</v>
      </c>
      <c r="CT1159">
        <v>9.6</v>
      </c>
      <c r="CU1159">
        <v>99</v>
      </c>
      <c r="CV1159">
        <v>0.19</v>
      </c>
      <c r="CW1159">
        <v>51</v>
      </c>
      <c r="CX1159" t="s">
        <v>1278</v>
      </c>
    </row>
    <row r="1160" spans="1:102" x14ac:dyDescent="0.3">
      <c r="A1160" t="str">
        <f>HYPERLINK("https://webapp.icbf.com/v2/app/bull-search/view/586050024","WWP")</f>
        <v>WWP</v>
      </c>
      <c r="B1160" t="s">
        <v>317</v>
      </c>
      <c r="C1160" t="s">
        <v>318</v>
      </c>
      <c r="D1160" s="1">
        <v>39285</v>
      </c>
      <c r="E1160" t="s">
        <v>227</v>
      </c>
      <c r="F1160">
        <v>38</v>
      </c>
      <c r="G1160" t="s">
        <v>93</v>
      </c>
      <c r="H1160">
        <v>131.44</v>
      </c>
      <c r="I1160">
        <v>89</v>
      </c>
      <c r="J1160">
        <v>44.74</v>
      </c>
      <c r="K1160">
        <v>98</v>
      </c>
      <c r="L1160">
        <v>29.24</v>
      </c>
      <c r="M1160">
        <v>83</v>
      </c>
      <c r="N1160">
        <v>46.99</v>
      </c>
      <c r="O1160">
        <v>87</v>
      </c>
      <c r="P1160">
        <v>-38.29</v>
      </c>
      <c r="Q1160">
        <v>91</v>
      </c>
      <c r="R1160">
        <v>-1.1599999999999999</v>
      </c>
      <c r="S1160">
        <v>79</v>
      </c>
      <c r="T1160">
        <v>35.659999999999997</v>
      </c>
      <c r="U1160">
        <v>87</v>
      </c>
      <c r="V1160">
        <v>14.26</v>
      </c>
      <c r="W1160">
        <v>78</v>
      </c>
      <c r="X1160" t="s">
        <v>276</v>
      </c>
      <c r="Y1160" t="s">
        <v>319</v>
      </c>
      <c r="Z1160">
        <v>0</v>
      </c>
      <c r="AA1160" t="s">
        <v>320</v>
      </c>
      <c r="AB1160" t="s">
        <v>144</v>
      </c>
      <c r="AC1160">
        <v>130</v>
      </c>
      <c r="AD1160">
        <v>55</v>
      </c>
      <c r="AE1160">
        <v>98</v>
      </c>
      <c r="AF1160">
        <v>-46.89</v>
      </c>
      <c r="AG1160">
        <v>6.42</v>
      </c>
      <c r="AH1160">
        <v>4.62</v>
      </c>
      <c r="AI1160">
        <v>0.15</v>
      </c>
      <c r="AJ1160">
        <v>0.11</v>
      </c>
      <c r="AK1160">
        <v>83</v>
      </c>
      <c r="AL1160">
        <v>143</v>
      </c>
      <c r="AM1160">
        <v>54</v>
      </c>
      <c r="AN1160">
        <v>-1.73</v>
      </c>
      <c r="AO1160">
        <v>0.6</v>
      </c>
      <c r="AP1160">
        <v>232</v>
      </c>
      <c r="AQ1160">
        <v>4</v>
      </c>
      <c r="AR1160">
        <v>4.25</v>
      </c>
      <c r="AS1160">
        <v>77</v>
      </c>
      <c r="AT1160">
        <v>1.68</v>
      </c>
      <c r="AU1160">
        <v>88</v>
      </c>
      <c r="AV1160">
        <v>-3.72</v>
      </c>
      <c r="AW1160">
        <v>97</v>
      </c>
      <c r="AX1160">
        <v>-0.68</v>
      </c>
      <c r="AY1160">
        <v>84</v>
      </c>
      <c r="AZ1160">
        <v>6.46</v>
      </c>
      <c r="BA1160">
        <v>69</v>
      </c>
      <c r="BB1160">
        <v>5.37</v>
      </c>
      <c r="BC1160">
        <v>69</v>
      </c>
      <c r="BD1160">
        <v>0.01</v>
      </c>
      <c r="BE1160">
        <v>0</v>
      </c>
      <c r="BF1160">
        <v>0.01</v>
      </c>
      <c r="BG1160">
        <v>90</v>
      </c>
      <c r="BH1160">
        <v>0.18</v>
      </c>
      <c r="BI1160">
        <v>-25.18</v>
      </c>
      <c r="BJ1160">
        <v>5</v>
      </c>
      <c r="BK1160">
        <v>4</v>
      </c>
      <c r="BL1160">
        <v>-2.38</v>
      </c>
      <c r="BM1160">
        <v>1.17</v>
      </c>
      <c r="BN1160">
        <v>-0.28999999999999998</v>
      </c>
      <c r="BO1160">
        <v>-0.26</v>
      </c>
      <c r="BP1160">
        <v>-2.15</v>
      </c>
      <c r="BQ1160">
        <v>-0.8</v>
      </c>
      <c r="BR1160">
        <v>1.94</v>
      </c>
      <c r="BS1160">
        <v>0.74</v>
      </c>
      <c r="BT1160">
        <v>-2.2000000000000002</v>
      </c>
      <c r="BU1160">
        <v>-1.65</v>
      </c>
      <c r="BV1160">
        <v>-2.09</v>
      </c>
      <c r="BW1160">
        <v>-2.21</v>
      </c>
      <c r="BX1160">
        <v>-2.2999999999999998</v>
      </c>
      <c r="BY1160">
        <v>0.41</v>
      </c>
      <c r="BZ1160">
        <v>0.04</v>
      </c>
      <c r="CA1160">
        <v>-1.39</v>
      </c>
      <c r="CB1160">
        <v>-1.7</v>
      </c>
      <c r="CC1160">
        <v>7.0000000000000007E-2</v>
      </c>
      <c r="CD1160">
        <v>-0.15</v>
      </c>
      <c r="CE1160">
        <v>-0.39</v>
      </c>
      <c r="CF1160">
        <v>-1.97</v>
      </c>
      <c r="CG1160">
        <v>0</v>
      </c>
      <c r="CH1160">
        <v>-1.58</v>
      </c>
      <c r="CI1160">
        <v>0</v>
      </c>
      <c r="CJ1160">
        <v>-17.5</v>
      </c>
      <c r="CK1160">
        <v>93</v>
      </c>
      <c r="CL1160">
        <v>-1.01</v>
      </c>
      <c r="CM1160">
        <v>91</v>
      </c>
      <c r="CN1160">
        <v>-0.05</v>
      </c>
      <c r="CO1160">
        <v>90</v>
      </c>
      <c r="CP1160">
        <v>-28.7</v>
      </c>
      <c r="CQ1160">
        <v>84</v>
      </c>
      <c r="CR1160">
        <v>0</v>
      </c>
      <c r="CS1160">
        <v>0</v>
      </c>
      <c r="CT1160">
        <v>-34.4</v>
      </c>
      <c r="CU1160">
        <v>87</v>
      </c>
      <c r="CV1160">
        <v>0.03</v>
      </c>
      <c r="CW1160">
        <v>45</v>
      </c>
      <c r="CX1160" t="s">
        <v>321</v>
      </c>
    </row>
    <row r="1161" spans="1:102" x14ac:dyDescent="0.3">
      <c r="A1161" t="str">
        <f>HYPERLINK("https://webapp.icbf.com/v2/app/bull-search/view/910799191","S2087")</f>
        <v>S2087</v>
      </c>
      <c r="B1161" t="s">
        <v>2019</v>
      </c>
      <c r="C1161" t="s">
        <v>2020</v>
      </c>
      <c r="D1161" s="1">
        <v>40069</v>
      </c>
      <c r="E1161" t="s">
        <v>227</v>
      </c>
      <c r="F1161">
        <v>0</v>
      </c>
      <c r="G1161" t="s">
        <v>93</v>
      </c>
      <c r="H1161">
        <v>131.26</v>
      </c>
      <c r="I1161">
        <v>81</v>
      </c>
      <c r="J1161">
        <v>99.67</v>
      </c>
      <c r="K1161">
        <v>96</v>
      </c>
      <c r="L1161">
        <v>14.95</v>
      </c>
      <c r="M1161">
        <v>81</v>
      </c>
      <c r="N1161">
        <v>6.6</v>
      </c>
      <c r="O1161">
        <v>85</v>
      </c>
      <c r="P1161">
        <v>-50.23</v>
      </c>
      <c r="Q1161">
        <v>70</v>
      </c>
      <c r="R1161">
        <v>-1.23</v>
      </c>
      <c r="S1161">
        <v>63</v>
      </c>
      <c r="T1161">
        <v>55.41</v>
      </c>
      <c r="U1161">
        <v>56</v>
      </c>
      <c r="V1161">
        <v>6.09</v>
      </c>
      <c r="W1161">
        <v>27</v>
      </c>
      <c r="X1161" t="s">
        <v>94</v>
      </c>
      <c r="Y1161" t="s">
        <v>367</v>
      </c>
      <c r="Z1161">
        <v>0</v>
      </c>
      <c r="AA1161" t="s">
        <v>2021</v>
      </c>
      <c r="AB1161" t="s">
        <v>2022</v>
      </c>
      <c r="AC1161">
        <v>144</v>
      </c>
      <c r="AD1161">
        <v>26</v>
      </c>
      <c r="AE1161">
        <v>96</v>
      </c>
      <c r="AF1161">
        <v>-138.30000000000001</v>
      </c>
      <c r="AG1161">
        <v>21.13</v>
      </c>
      <c r="AH1161">
        <v>7.36</v>
      </c>
      <c r="AI1161">
        <v>0.45</v>
      </c>
      <c r="AJ1161">
        <v>0.2</v>
      </c>
      <c r="AK1161">
        <v>81</v>
      </c>
      <c r="AL1161">
        <v>108</v>
      </c>
      <c r="AM1161">
        <v>19</v>
      </c>
      <c r="AN1161">
        <v>0.55000000000000004</v>
      </c>
      <c r="AO1161">
        <v>1.76</v>
      </c>
      <c r="AP1161">
        <v>321</v>
      </c>
      <c r="AQ1161">
        <v>4</v>
      </c>
      <c r="AR1161">
        <v>4.5999999999999996</v>
      </c>
      <c r="AS1161">
        <v>87</v>
      </c>
      <c r="AT1161">
        <v>2.42</v>
      </c>
      <c r="AU1161">
        <v>84</v>
      </c>
      <c r="AV1161">
        <v>-1.46</v>
      </c>
      <c r="AW1161">
        <v>98</v>
      </c>
      <c r="AX1161">
        <v>7.03</v>
      </c>
      <c r="AY1161">
        <v>87</v>
      </c>
      <c r="AZ1161">
        <v>6.39</v>
      </c>
      <c r="BA1161">
        <v>66</v>
      </c>
      <c r="BB1161">
        <v>4.87</v>
      </c>
      <c r="BC1161">
        <v>48</v>
      </c>
      <c r="BD1161">
        <v>-7.0000000000000007E-2</v>
      </c>
      <c r="BE1161">
        <v>0.05</v>
      </c>
      <c r="BF1161">
        <v>0.05</v>
      </c>
      <c r="BG1161">
        <v>82</v>
      </c>
      <c r="BH1161">
        <v>0.08</v>
      </c>
      <c r="BI1161">
        <v>-10.4</v>
      </c>
      <c r="BJ1161">
        <v>0</v>
      </c>
      <c r="BK1161">
        <v>0</v>
      </c>
      <c r="BL1161">
        <v>-1.17</v>
      </c>
      <c r="BM1161">
        <v>-1.48</v>
      </c>
      <c r="BN1161">
        <v>-0.08</v>
      </c>
      <c r="BO1161">
        <v>1.44</v>
      </c>
      <c r="BP1161">
        <v>0.04</v>
      </c>
      <c r="BQ1161">
        <v>-5.28</v>
      </c>
      <c r="BR1161">
        <v>2.5299999999999998</v>
      </c>
      <c r="BS1161">
        <v>5.96</v>
      </c>
      <c r="BT1161">
        <v>-1.3</v>
      </c>
      <c r="BU1161">
        <v>0.81</v>
      </c>
      <c r="BV1161">
        <v>0.82</v>
      </c>
      <c r="BW1161">
        <v>-1.3</v>
      </c>
      <c r="BX1161">
        <v>-1.88</v>
      </c>
      <c r="BY1161">
        <v>0.32</v>
      </c>
      <c r="BZ1161">
        <v>-0.04</v>
      </c>
      <c r="CA1161">
        <v>1.99</v>
      </c>
      <c r="CB1161">
        <v>0.69</v>
      </c>
      <c r="CC1161">
        <v>3.72</v>
      </c>
      <c r="CD1161">
        <v>-2.17</v>
      </c>
      <c r="CE1161">
        <v>1.44</v>
      </c>
      <c r="CF1161">
        <v>-1.38</v>
      </c>
      <c r="CG1161">
        <v>0</v>
      </c>
      <c r="CH1161">
        <v>-0.69</v>
      </c>
      <c r="CI1161">
        <v>0</v>
      </c>
      <c r="CJ1161">
        <v>-25.6</v>
      </c>
      <c r="CK1161">
        <v>74</v>
      </c>
      <c r="CL1161">
        <v>-1.1399999999999999</v>
      </c>
      <c r="CM1161">
        <v>66</v>
      </c>
      <c r="CN1161">
        <v>-0.28000000000000003</v>
      </c>
      <c r="CO1161">
        <v>61</v>
      </c>
      <c r="CP1161">
        <v>-42.8</v>
      </c>
      <c r="CQ1161">
        <v>65</v>
      </c>
      <c r="CR1161">
        <v>0</v>
      </c>
      <c r="CS1161">
        <v>0</v>
      </c>
      <c r="CT1161">
        <v>-61.1</v>
      </c>
      <c r="CU1161">
        <v>56</v>
      </c>
      <c r="CV1161">
        <v>-0.25</v>
      </c>
      <c r="CW1161">
        <v>21</v>
      </c>
      <c r="CX1161" t="s">
        <v>2023</v>
      </c>
    </row>
    <row r="1162" spans="1:102" x14ac:dyDescent="0.3">
      <c r="A1162" t="str">
        <f>HYPERLINK("https://webapp.icbf.com/v2/app/bull-search/view/861655881","ZSE")</f>
        <v>ZSE</v>
      </c>
      <c r="B1162" t="s">
        <v>1934</v>
      </c>
      <c r="C1162" t="s">
        <v>1935</v>
      </c>
      <c r="D1162" s="1">
        <v>40586</v>
      </c>
      <c r="E1162" t="s">
        <v>227</v>
      </c>
      <c r="F1162">
        <v>22</v>
      </c>
      <c r="G1162" t="s">
        <v>435</v>
      </c>
      <c r="H1162">
        <v>131.22999999999999</v>
      </c>
      <c r="I1162">
        <v>74</v>
      </c>
      <c r="J1162">
        <v>51.79</v>
      </c>
      <c r="K1162">
        <v>89</v>
      </c>
      <c r="L1162">
        <v>41.11</v>
      </c>
      <c r="M1162">
        <v>69</v>
      </c>
      <c r="N1162">
        <v>36.35</v>
      </c>
      <c r="O1162">
        <v>65</v>
      </c>
      <c r="P1162">
        <v>-43.47</v>
      </c>
      <c r="Q1162">
        <v>66</v>
      </c>
      <c r="R1162">
        <v>-4.6500000000000004</v>
      </c>
      <c r="S1162">
        <v>69</v>
      </c>
      <c r="T1162">
        <v>38.25</v>
      </c>
      <c r="U1162">
        <v>55</v>
      </c>
      <c r="V1162">
        <v>11.85</v>
      </c>
      <c r="W1162">
        <v>68</v>
      </c>
      <c r="X1162" t="s">
        <v>102</v>
      </c>
      <c r="Y1162" t="s">
        <v>1860</v>
      </c>
      <c r="Z1162">
        <v>0</v>
      </c>
      <c r="AA1162" t="s">
        <v>1744</v>
      </c>
      <c r="AB1162" t="s">
        <v>144</v>
      </c>
      <c r="AC1162">
        <v>5</v>
      </c>
      <c r="AD1162">
        <v>4</v>
      </c>
      <c r="AE1162">
        <v>89</v>
      </c>
      <c r="AF1162">
        <v>-73.7</v>
      </c>
      <c r="AG1162">
        <v>12.07</v>
      </c>
      <c r="AH1162">
        <v>3.41</v>
      </c>
      <c r="AI1162">
        <v>0.26</v>
      </c>
      <c r="AJ1162">
        <v>0.1</v>
      </c>
      <c r="AK1162">
        <v>69</v>
      </c>
      <c r="AL1162">
        <v>7</v>
      </c>
      <c r="AM1162">
        <v>5</v>
      </c>
      <c r="AN1162">
        <v>-2.91</v>
      </c>
      <c r="AO1162">
        <v>0.36</v>
      </c>
      <c r="AP1162">
        <v>15</v>
      </c>
      <c r="AQ1162">
        <v>0</v>
      </c>
      <c r="AR1162">
        <v>3.23</v>
      </c>
      <c r="AS1162">
        <v>62</v>
      </c>
      <c r="AT1162">
        <v>1.26</v>
      </c>
      <c r="AU1162">
        <v>64</v>
      </c>
      <c r="AV1162">
        <v>-1.91</v>
      </c>
      <c r="AW1162">
        <v>74</v>
      </c>
      <c r="AX1162">
        <v>0.02</v>
      </c>
      <c r="AY1162">
        <v>54</v>
      </c>
      <c r="AZ1162">
        <v>6</v>
      </c>
      <c r="BA1162">
        <v>51</v>
      </c>
      <c r="BB1162">
        <v>5.15</v>
      </c>
      <c r="BC1162">
        <v>51</v>
      </c>
      <c r="BD1162">
        <v>0</v>
      </c>
      <c r="BE1162">
        <v>0.03</v>
      </c>
      <c r="BF1162">
        <v>0.05</v>
      </c>
      <c r="BG1162">
        <v>75</v>
      </c>
      <c r="BH1162">
        <v>0.35</v>
      </c>
      <c r="BI1162">
        <v>2.25</v>
      </c>
      <c r="BJ1162">
        <v>0</v>
      </c>
      <c r="BK1162">
        <v>0</v>
      </c>
      <c r="BL1162">
        <v>-2.06</v>
      </c>
      <c r="BM1162">
        <v>0.13</v>
      </c>
      <c r="BN1162">
        <v>0.71</v>
      </c>
      <c r="BO1162">
        <v>0.71</v>
      </c>
      <c r="BP1162">
        <v>1.04</v>
      </c>
      <c r="BQ1162">
        <v>-3.54</v>
      </c>
      <c r="BR1162">
        <v>3.41</v>
      </c>
      <c r="BS1162">
        <v>3.51</v>
      </c>
      <c r="BT1162">
        <v>-2.25</v>
      </c>
      <c r="BU1162">
        <v>-0.87</v>
      </c>
      <c r="BV1162">
        <v>-1.1200000000000001</v>
      </c>
      <c r="BW1162">
        <v>-2.56</v>
      </c>
      <c r="BX1162">
        <v>-3.41</v>
      </c>
      <c r="BY1162">
        <v>0.77</v>
      </c>
      <c r="BZ1162">
        <v>-0.5</v>
      </c>
      <c r="CA1162">
        <v>0.14000000000000001</v>
      </c>
      <c r="CB1162">
        <v>-0.75</v>
      </c>
      <c r="CC1162">
        <v>2.17</v>
      </c>
      <c r="CD1162">
        <v>-0.61</v>
      </c>
      <c r="CE1162">
        <v>0.28999999999999998</v>
      </c>
      <c r="CF1162">
        <v>-1.75</v>
      </c>
      <c r="CG1162">
        <v>0</v>
      </c>
      <c r="CH1162">
        <v>-0.61</v>
      </c>
      <c r="CI1162">
        <v>0</v>
      </c>
      <c r="CJ1162">
        <v>-22.4</v>
      </c>
      <c r="CK1162">
        <v>69</v>
      </c>
      <c r="CL1162">
        <v>-1.07</v>
      </c>
      <c r="CM1162">
        <v>64</v>
      </c>
      <c r="CN1162">
        <v>-0.22</v>
      </c>
      <c r="CO1162">
        <v>63</v>
      </c>
      <c r="CP1162">
        <v>-27.3</v>
      </c>
      <c r="CQ1162">
        <v>58</v>
      </c>
      <c r="CR1162">
        <v>0</v>
      </c>
      <c r="CS1162">
        <v>0</v>
      </c>
      <c r="CT1162">
        <v>-37.9</v>
      </c>
      <c r="CU1162">
        <v>55</v>
      </c>
      <c r="CV1162">
        <v>-0.17</v>
      </c>
      <c r="CW1162">
        <v>39</v>
      </c>
      <c r="CX1162" t="s">
        <v>1936</v>
      </c>
    </row>
    <row r="1163" spans="1:102" x14ac:dyDescent="0.3">
      <c r="A1163" t="str">
        <f>HYPERLINK("https://webapp.icbf.com/v2/app/bull-search/view/1253641292","F270")</f>
        <v>F270</v>
      </c>
      <c r="B1163" t="s">
        <v>2343</v>
      </c>
      <c r="C1163" t="s">
        <v>2344</v>
      </c>
      <c r="D1163" s="1">
        <v>41935</v>
      </c>
      <c r="E1163" t="s">
        <v>108</v>
      </c>
      <c r="F1163">
        <v>0</v>
      </c>
      <c r="G1163" t="s">
        <v>93</v>
      </c>
      <c r="H1163">
        <v>131.22</v>
      </c>
      <c r="I1163">
        <v>65</v>
      </c>
      <c r="J1163">
        <v>-89.82</v>
      </c>
      <c r="K1163">
        <v>82</v>
      </c>
      <c r="L1163">
        <v>163.28</v>
      </c>
      <c r="M1163">
        <v>53</v>
      </c>
      <c r="N1163">
        <v>35.68</v>
      </c>
      <c r="O1163">
        <v>66</v>
      </c>
      <c r="P1163">
        <v>-8.14</v>
      </c>
      <c r="Q1163">
        <v>69</v>
      </c>
      <c r="R1163">
        <v>14.57</v>
      </c>
      <c r="S1163">
        <v>52</v>
      </c>
      <c r="T1163">
        <v>13.23</v>
      </c>
      <c r="U1163">
        <v>59</v>
      </c>
      <c r="V1163">
        <v>2.42</v>
      </c>
      <c r="W1163">
        <v>45</v>
      </c>
      <c r="X1163" t="s">
        <v>110</v>
      </c>
      <c r="Y1163" t="s">
        <v>2345</v>
      </c>
      <c r="Z1163" t="s">
        <v>96</v>
      </c>
      <c r="AA1163" t="s">
        <v>2346</v>
      </c>
      <c r="AB1163" t="s">
        <v>2347</v>
      </c>
      <c r="AC1163">
        <v>13</v>
      </c>
      <c r="AD1163">
        <v>3</v>
      </c>
      <c r="AE1163">
        <v>82</v>
      </c>
      <c r="AF1163">
        <v>-439.45</v>
      </c>
      <c r="AG1163">
        <v>-18.350000000000001</v>
      </c>
      <c r="AH1163">
        <v>-15.51</v>
      </c>
      <c r="AI1163">
        <v>-0.02</v>
      </c>
      <c r="AJ1163">
        <v>-0.01</v>
      </c>
      <c r="AK1163">
        <v>53</v>
      </c>
      <c r="AL1163">
        <v>0</v>
      </c>
      <c r="AM1163">
        <v>0</v>
      </c>
      <c r="AN1163">
        <v>-9.7799999999999994</v>
      </c>
      <c r="AO1163">
        <v>3.23</v>
      </c>
      <c r="AP1163">
        <v>66</v>
      </c>
      <c r="AQ1163">
        <v>0</v>
      </c>
      <c r="AR1163">
        <v>4.99</v>
      </c>
      <c r="AS1163">
        <v>46</v>
      </c>
      <c r="AT1163">
        <v>2.11</v>
      </c>
      <c r="AU1163">
        <v>70</v>
      </c>
      <c r="AV1163">
        <v>-2.7</v>
      </c>
      <c r="AW1163">
        <v>84</v>
      </c>
      <c r="AX1163">
        <v>-0.13</v>
      </c>
      <c r="AY1163">
        <v>58</v>
      </c>
      <c r="AZ1163">
        <v>6.47</v>
      </c>
      <c r="BA1163">
        <v>36</v>
      </c>
      <c r="BB1163">
        <v>4.95</v>
      </c>
      <c r="BC1163">
        <v>27</v>
      </c>
      <c r="BD1163">
        <v>0</v>
      </c>
      <c r="BE1163">
        <v>-0.05</v>
      </c>
      <c r="BF1163">
        <v>-0.24</v>
      </c>
      <c r="BG1163">
        <v>62</v>
      </c>
      <c r="BH1163">
        <v>-0.13</v>
      </c>
      <c r="BI1163">
        <v>-22.85</v>
      </c>
      <c r="BJ1163">
        <v>0</v>
      </c>
      <c r="BK1163">
        <v>0</v>
      </c>
      <c r="BL1163">
        <v>-3.41</v>
      </c>
      <c r="BM1163">
        <v>2.5099999999999998</v>
      </c>
      <c r="BN1163">
        <v>-1.51</v>
      </c>
      <c r="BO1163">
        <v>-2.99</v>
      </c>
      <c r="BP1163">
        <v>1.32</v>
      </c>
      <c r="BQ1163">
        <v>-0.13</v>
      </c>
      <c r="BR1163">
        <v>-2.9</v>
      </c>
      <c r="BS1163">
        <v>0.68</v>
      </c>
      <c r="BT1163">
        <v>1.27</v>
      </c>
      <c r="BU1163">
        <v>-1.1000000000000001</v>
      </c>
      <c r="BV1163">
        <v>-1.62</v>
      </c>
      <c r="BW1163">
        <v>-1.08</v>
      </c>
      <c r="BX1163">
        <v>-0.77</v>
      </c>
      <c r="BY1163">
        <v>-0.48</v>
      </c>
      <c r="BZ1163">
        <v>-1.2</v>
      </c>
      <c r="CA1163">
        <v>-1.32</v>
      </c>
      <c r="CB1163">
        <v>-1.5</v>
      </c>
      <c r="CC1163">
        <v>-0.36</v>
      </c>
      <c r="CD1163">
        <v>3.2</v>
      </c>
      <c r="CE1163">
        <v>-2.9</v>
      </c>
      <c r="CF1163">
        <v>-2.92</v>
      </c>
      <c r="CG1163">
        <v>0</v>
      </c>
      <c r="CH1163">
        <v>-0.48</v>
      </c>
      <c r="CI1163">
        <v>0</v>
      </c>
      <c r="CJ1163">
        <v>-5</v>
      </c>
      <c r="CK1163">
        <v>72</v>
      </c>
      <c r="CL1163">
        <v>0.11</v>
      </c>
      <c r="CM1163">
        <v>68</v>
      </c>
      <c r="CN1163">
        <v>0.13</v>
      </c>
      <c r="CO1163">
        <v>66</v>
      </c>
      <c r="CP1163">
        <v>-5.7</v>
      </c>
      <c r="CQ1163">
        <v>53</v>
      </c>
      <c r="CR1163">
        <v>0</v>
      </c>
      <c r="CS1163">
        <v>0</v>
      </c>
      <c r="CT1163">
        <v>-4.0999999999999996</v>
      </c>
      <c r="CU1163">
        <v>59</v>
      </c>
      <c r="CV1163">
        <v>-0.11</v>
      </c>
      <c r="CW1163">
        <v>39</v>
      </c>
      <c r="CX1163" t="s">
        <v>2348</v>
      </c>
    </row>
    <row r="1164" spans="1:102" x14ac:dyDescent="0.3">
      <c r="A1164" t="str">
        <f>HYPERLINK("https://webapp.icbf.com/v2/app/bull-search/view/379834783","WLI")</f>
        <v>WLI</v>
      </c>
      <c r="B1164" t="s">
        <v>11785</v>
      </c>
      <c r="C1164" t="s">
        <v>1951</v>
      </c>
      <c r="D1164" s="1">
        <v>36018</v>
      </c>
      <c r="E1164" t="s">
        <v>108</v>
      </c>
      <c r="F1164">
        <v>44</v>
      </c>
      <c r="G1164" t="s">
        <v>93</v>
      </c>
      <c r="H1164">
        <v>131.11000000000001</v>
      </c>
      <c r="I1164">
        <v>95</v>
      </c>
      <c r="J1164">
        <v>58.35</v>
      </c>
      <c r="K1164">
        <v>99</v>
      </c>
      <c r="L1164">
        <v>39.94</v>
      </c>
      <c r="M1164">
        <v>90</v>
      </c>
      <c r="N1164">
        <v>14.82</v>
      </c>
      <c r="O1164">
        <v>95</v>
      </c>
      <c r="P1164">
        <v>-12.73</v>
      </c>
      <c r="Q1164">
        <v>97</v>
      </c>
      <c r="R1164">
        <v>1.94</v>
      </c>
      <c r="S1164">
        <v>92</v>
      </c>
      <c r="T1164">
        <v>24.48</v>
      </c>
      <c r="U1164">
        <v>96</v>
      </c>
      <c r="V1164">
        <v>4.3099999999999996</v>
      </c>
      <c r="W1164">
        <v>95</v>
      </c>
      <c r="X1164" t="s">
        <v>302</v>
      </c>
      <c r="Y1164" t="s">
        <v>95</v>
      </c>
      <c r="Z1164" t="s">
        <v>96</v>
      </c>
      <c r="AA1164" t="s">
        <v>2740</v>
      </c>
      <c r="AB1164" t="s">
        <v>8161</v>
      </c>
      <c r="AC1164">
        <v>315</v>
      </c>
      <c r="AD1164">
        <v>118</v>
      </c>
      <c r="AE1164">
        <v>99</v>
      </c>
      <c r="AF1164">
        <v>-116.48</v>
      </c>
      <c r="AG1164">
        <v>12.27</v>
      </c>
      <c r="AH1164">
        <v>3.8</v>
      </c>
      <c r="AI1164">
        <v>0.3</v>
      </c>
      <c r="AJ1164">
        <v>0.14000000000000001</v>
      </c>
      <c r="AK1164">
        <v>90</v>
      </c>
      <c r="AL1164">
        <v>346</v>
      </c>
      <c r="AM1164">
        <v>108</v>
      </c>
      <c r="AN1164">
        <v>-2.56</v>
      </c>
      <c r="AO1164">
        <v>0.62</v>
      </c>
      <c r="AP1164">
        <v>601</v>
      </c>
      <c r="AQ1164">
        <v>4</v>
      </c>
      <c r="AR1164">
        <v>7.41</v>
      </c>
      <c r="AS1164">
        <v>85</v>
      </c>
      <c r="AT1164">
        <v>3</v>
      </c>
      <c r="AU1164">
        <v>95</v>
      </c>
      <c r="AV1164">
        <v>-1.64</v>
      </c>
      <c r="AW1164">
        <v>99</v>
      </c>
      <c r="AX1164">
        <v>0.65</v>
      </c>
      <c r="AY1164">
        <v>94</v>
      </c>
      <c r="AZ1164">
        <v>5.37</v>
      </c>
      <c r="BA1164">
        <v>85</v>
      </c>
      <c r="BB1164">
        <v>4.9400000000000004</v>
      </c>
      <c r="BC1164">
        <v>87</v>
      </c>
      <c r="BD1164">
        <v>-0.04</v>
      </c>
      <c r="BE1164">
        <v>-0.02</v>
      </c>
      <c r="BF1164">
        <v>0.06</v>
      </c>
      <c r="BG1164">
        <v>95</v>
      </c>
      <c r="BH1164">
        <v>0.02</v>
      </c>
      <c r="BI1164">
        <v>-11.59</v>
      </c>
      <c r="BJ1164">
        <v>5</v>
      </c>
      <c r="BK1164">
        <v>5</v>
      </c>
      <c r="BL1164">
        <v>-1.32</v>
      </c>
      <c r="BM1164">
        <v>0.83</v>
      </c>
      <c r="BN1164">
        <v>-0.98</v>
      </c>
      <c r="BO1164">
        <v>-1.38</v>
      </c>
      <c r="BP1164">
        <v>0.46</v>
      </c>
      <c r="BQ1164">
        <v>-0.39</v>
      </c>
      <c r="BR1164">
        <v>1.93</v>
      </c>
      <c r="BS1164">
        <v>-2.71</v>
      </c>
      <c r="BT1164">
        <v>-2.92</v>
      </c>
      <c r="BU1164">
        <v>-0.89</v>
      </c>
      <c r="BV1164">
        <v>-1.33</v>
      </c>
      <c r="BW1164">
        <v>-2.25</v>
      </c>
      <c r="BX1164">
        <v>-2.52</v>
      </c>
      <c r="BY1164">
        <v>-2.36</v>
      </c>
      <c r="BZ1164">
        <v>1.85</v>
      </c>
      <c r="CA1164">
        <v>-1.64</v>
      </c>
      <c r="CB1164">
        <v>-1.66</v>
      </c>
      <c r="CC1164">
        <v>-3</v>
      </c>
      <c r="CD1164">
        <v>0.61</v>
      </c>
      <c r="CE1164">
        <v>-1.1399999999999999</v>
      </c>
      <c r="CF1164">
        <v>-1.68</v>
      </c>
      <c r="CG1164">
        <v>0</v>
      </c>
      <c r="CH1164">
        <v>-2.2000000000000002</v>
      </c>
      <c r="CI1164">
        <v>0</v>
      </c>
      <c r="CJ1164">
        <v>-5.6</v>
      </c>
      <c r="CK1164">
        <v>98</v>
      </c>
      <c r="CL1164">
        <v>-0.55000000000000004</v>
      </c>
      <c r="CM1164">
        <v>97</v>
      </c>
      <c r="CN1164">
        <v>-0.26</v>
      </c>
      <c r="CO1164">
        <v>97</v>
      </c>
      <c r="CP1164">
        <v>-15.8</v>
      </c>
      <c r="CQ1164">
        <v>96</v>
      </c>
      <c r="CR1164">
        <v>0</v>
      </c>
      <c r="CS1164">
        <v>0</v>
      </c>
      <c r="CT1164">
        <v>-19.3</v>
      </c>
      <c r="CU1164">
        <v>96</v>
      </c>
      <c r="CV1164">
        <v>0.11</v>
      </c>
      <c r="CW1164">
        <v>46</v>
      </c>
      <c r="CX1164" t="s">
        <v>3343</v>
      </c>
    </row>
    <row r="1165" spans="1:102" x14ac:dyDescent="0.3">
      <c r="A1165" t="str">
        <f>HYPERLINK("https://webapp.icbf.com/v2/app/bull-search/view/596240936","GUO")</f>
        <v>GUO</v>
      </c>
      <c r="B1165" t="s">
        <v>5048</v>
      </c>
      <c r="C1165" t="s">
        <v>2061</v>
      </c>
      <c r="D1165" s="1">
        <v>37427</v>
      </c>
      <c r="E1165" t="s">
        <v>210</v>
      </c>
      <c r="F1165">
        <v>0</v>
      </c>
      <c r="G1165" t="s">
        <v>93</v>
      </c>
      <c r="H1165">
        <v>131.08000000000001</v>
      </c>
      <c r="I1165">
        <v>88</v>
      </c>
      <c r="J1165">
        <v>-19.079999999999998</v>
      </c>
      <c r="K1165">
        <v>96</v>
      </c>
      <c r="L1165">
        <v>75.040000000000006</v>
      </c>
      <c r="M1165">
        <v>85</v>
      </c>
      <c r="N1165">
        <v>41.96</v>
      </c>
      <c r="O1165">
        <v>87</v>
      </c>
      <c r="P1165">
        <v>-14.82</v>
      </c>
      <c r="Q1165">
        <v>94</v>
      </c>
      <c r="R1165">
        <v>14.13</v>
      </c>
      <c r="S1165">
        <v>69</v>
      </c>
      <c r="T1165">
        <v>34.619999999999997</v>
      </c>
      <c r="U1165">
        <v>87</v>
      </c>
      <c r="V1165">
        <v>-0.77</v>
      </c>
      <c r="W1165">
        <v>70</v>
      </c>
      <c r="X1165" t="s">
        <v>251</v>
      </c>
      <c r="Y1165" t="s">
        <v>235</v>
      </c>
      <c r="Z1165">
        <v>0</v>
      </c>
      <c r="AA1165" t="s">
        <v>5049</v>
      </c>
      <c r="AB1165" t="s">
        <v>5050</v>
      </c>
      <c r="AC1165">
        <v>115</v>
      </c>
      <c r="AD1165">
        <v>40</v>
      </c>
      <c r="AE1165">
        <v>96</v>
      </c>
      <c r="AF1165">
        <v>-69.989999999999995</v>
      </c>
      <c r="AG1165">
        <v>-2.79</v>
      </c>
      <c r="AH1165">
        <v>-3.33</v>
      </c>
      <c r="AI1165">
        <v>0</v>
      </c>
      <c r="AJ1165">
        <v>-0.02</v>
      </c>
      <c r="AK1165">
        <v>85</v>
      </c>
      <c r="AL1165">
        <v>121</v>
      </c>
      <c r="AM1165">
        <v>44</v>
      </c>
      <c r="AN1165">
        <v>-2.89</v>
      </c>
      <c r="AO1165">
        <v>3.11</v>
      </c>
      <c r="AP1165">
        <v>215</v>
      </c>
      <c r="AQ1165">
        <v>21</v>
      </c>
      <c r="AR1165">
        <v>3.97</v>
      </c>
      <c r="AS1165">
        <v>81</v>
      </c>
      <c r="AT1165">
        <v>1.65</v>
      </c>
      <c r="AU1165">
        <v>91</v>
      </c>
      <c r="AV1165">
        <v>-2.73</v>
      </c>
      <c r="AW1165">
        <v>97</v>
      </c>
      <c r="AX1165">
        <v>-1.03</v>
      </c>
      <c r="AY1165">
        <v>84</v>
      </c>
      <c r="AZ1165">
        <v>6.28</v>
      </c>
      <c r="BA1165">
        <v>63</v>
      </c>
      <c r="BB1165">
        <v>5.18</v>
      </c>
      <c r="BC1165">
        <v>59</v>
      </c>
      <c r="BD1165">
        <v>-0.03</v>
      </c>
      <c r="BE1165">
        <v>-0.05</v>
      </c>
      <c r="BF1165">
        <v>-0.18</v>
      </c>
      <c r="BG1165">
        <v>83</v>
      </c>
      <c r="BH1165">
        <v>-0.08</v>
      </c>
      <c r="BI1165">
        <v>-6.76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-9.1</v>
      </c>
      <c r="CK1165">
        <v>95</v>
      </c>
      <c r="CL1165">
        <v>-0.34</v>
      </c>
      <c r="CM1165">
        <v>94</v>
      </c>
      <c r="CN1165">
        <v>-0.32</v>
      </c>
      <c r="CO1165">
        <v>93</v>
      </c>
      <c r="CP1165">
        <v>-16.7</v>
      </c>
      <c r="CQ1165">
        <v>83</v>
      </c>
      <c r="CR1165">
        <v>0</v>
      </c>
      <c r="CS1165">
        <v>0</v>
      </c>
      <c r="CT1165">
        <v>-33</v>
      </c>
      <c r="CU1165">
        <v>87</v>
      </c>
      <c r="CV1165">
        <v>-0.13</v>
      </c>
      <c r="CW1165">
        <v>45</v>
      </c>
      <c r="CX1165" t="s">
        <v>5051</v>
      </c>
    </row>
    <row r="1166" spans="1:102" x14ac:dyDescent="0.3">
      <c r="A1166" t="str">
        <f>HYPERLINK("https://webapp.icbf.com/v2/app/bull-search/view/1467656819","JE4230")</f>
        <v>JE4230</v>
      </c>
      <c r="B1166" t="s">
        <v>13960</v>
      </c>
      <c r="C1166" t="s">
        <v>13961</v>
      </c>
      <c r="D1166" s="1">
        <v>42240</v>
      </c>
      <c r="E1166" t="s">
        <v>227</v>
      </c>
      <c r="F1166">
        <v>0</v>
      </c>
      <c r="G1166" t="s">
        <v>435</v>
      </c>
      <c r="H1166">
        <v>131.07</v>
      </c>
      <c r="I1166">
        <v>62</v>
      </c>
      <c r="J1166">
        <v>30.08</v>
      </c>
      <c r="K1166">
        <v>80</v>
      </c>
      <c r="L1166">
        <v>63</v>
      </c>
      <c r="M1166">
        <v>60</v>
      </c>
      <c r="N1166">
        <v>12.47</v>
      </c>
      <c r="O1166">
        <v>50</v>
      </c>
      <c r="P1166">
        <v>-53.36</v>
      </c>
      <c r="Q1166">
        <v>38</v>
      </c>
      <c r="R1166">
        <v>3.83</v>
      </c>
      <c r="S1166">
        <v>58</v>
      </c>
      <c r="T1166">
        <v>71.84</v>
      </c>
      <c r="U1166">
        <v>34</v>
      </c>
      <c r="V1166">
        <v>3.21</v>
      </c>
      <c r="W1166">
        <v>57</v>
      </c>
      <c r="X1166" t="s">
        <v>276</v>
      </c>
      <c r="Y1166" t="s">
        <v>2261</v>
      </c>
      <c r="Z1166">
        <v>0</v>
      </c>
      <c r="AA1166" t="s">
        <v>13596</v>
      </c>
      <c r="AB1166" t="s">
        <v>144</v>
      </c>
      <c r="AC1166">
        <v>0</v>
      </c>
      <c r="AD1166">
        <v>0</v>
      </c>
      <c r="AE1166">
        <v>80</v>
      </c>
      <c r="AF1166">
        <v>-830.82</v>
      </c>
      <c r="AG1166">
        <v>8.2799999999999994</v>
      </c>
      <c r="AH1166">
        <v>-10.53</v>
      </c>
      <c r="AI1166">
        <v>0.82</v>
      </c>
      <c r="AJ1166">
        <v>0.36</v>
      </c>
      <c r="AK1166">
        <v>60</v>
      </c>
      <c r="AL1166">
        <v>0</v>
      </c>
      <c r="AM1166">
        <v>0</v>
      </c>
      <c r="AN1166">
        <v>-2.23</v>
      </c>
      <c r="AO1166">
        <v>2.81</v>
      </c>
      <c r="AP1166">
        <v>8</v>
      </c>
      <c r="AQ1166">
        <v>0</v>
      </c>
      <c r="AR1166">
        <v>4</v>
      </c>
      <c r="AS1166">
        <v>54</v>
      </c>
      <c r="AT1166">
        <v>2.04</v>
      </c>
      <c r="AU1166">
        <v>54</v>
      </c>
      <c r="AV1166">
        <v>-1.1299999999999999</v>
      </c>
      <c r="AW1166">
        <v>54</v>
      </c>
      <c r="AX1166">
        <v>4.2300000000000004</v>
      </c>
      <c r="AY1166">
        <v>46</v>
      </c>
      <c r="AZ1166">
        <v>6.52</v>
      </c>
      <c r="BA1166">
        <v>37</v>
      </c>
      <c r="BB1166">
        <v>5.29</v>
      </c>
      <c r="BC1166">
        <v>36</v>
      </c>
      <c r="BD1166">
        <v>-0.06</v>
      </c>
      <c r="BE1166">
        <v>-0.02</v>
      </c>
      <c r="BF1166">
        <v>0.05</v>
      </c>
      <c r="BG1166">
        <v>64</v>
      </c>
      <c r="BH1166">
        <v>7.0000000000000007E-2</v>
      </c>
      <c r="BI1166">
        <v>-2.2599999999999998</v>
      </c>
      <c r="BJ1166">
        <v>0</v>
      </c>
      <c r="BK1166">
        <v>0</v>
      </c>
      <c r="BL1166">
        <v>-1.36</v>
      </c>
      <c r="BM1166">
        <v>-1.7</v>
      </c>
      <c r="BN1166">
        <v>-0.4</v>
      </c>
      <c r="BO1166">
        <v>1.2</v>
      </c>
      <c r="BP1166">
        <v>0.14000000000000001</v>
      </c>
      <c r="BQ1166">
        <v>-4.92</v>
      </c>
      <c r="BR1166">
        <v>2.2200000000000002</v>
      </c>
      <c r="BS1166">
        <v>5.61</v>
      </c>
      <c r="BT1166">
        <v>-1.17</v>
      </c>
      <c r="BU1166">
        <v>0.46</v>
      </c>
      <c r="BV1166">
        <v>0.43</v>
      </c>
      <c r="BW1166">
        <v>-1.21</v>
      </c>
      <c r="BX1166">
        <v>-2</v>
      </c>
      <c r="BY1166">
        <v>0.32</v>
      </c>
      <c r="BZ1166">
        <v>-0.35</v>
      </c>
      <c r="CA1166">
        <v>1.82</v>
      </c>
      <c r="CB1166">
        <v>0.55000000000000004</v>
      </c>
      <c r="CC1166">
        <v>3.55</v>
      </c>
      <c r="CD1166">
        <v>-1.99</v>
      </c>
      <c r="CE1166">
        <v>1.1399999999999999</v>
      </c>
      <c r="CF1166">
        <v>-1.36</v>
      </c>
      <c r="CG1166">
        <v>0</v>
      </c>
      <c r="CH1166">
        <v>-0.52</v>
      </c>
      <c r="CI1166">
        <v>0</v>
      </c>
      <c r="CJ1166">
        <v>-29.7</v>
      </c>
      <c r="CK1166">
        <v>39</v>
      </c>
      <c r="CL1166">
        <v>-1.01</v>
      </c>
      <c r="CM1166">
        <v>38</v>
      </c>
      <c r="CN1166">
        <v>-0.47</v>
      </c>
      <c r="CO1166">
        <v>38</v>
      </c>
      <c r="CP1166">
        <v>-49.7</v>
      </c>
      <c r="CQ1166">
        <v>36</v>
      </c>
      <c r="CR1166">
        <v>0</v>
      </c>
      <c r="CS1166">
        <v>0</v>
      </c>
      <c r="CT1166">
        <v>-83.3</v>
      </c>
      <c r="CU1166">
        <v>34</v>
      </c>
      <c r="CV1166">
        <v>-0.31</v>
      </c>
      <c r="CW1166">
        <v>33</v>
      </c>
      <c r="CX1166" t="s">
        <v>6142</v>
      </c>
    </row>
    <row r="1167" spans="1:102" x14ac:dyDescent="0.3">
      <c r="A1167" t="str">
        <f>HYPERLINK("https://webapp.icbf.com/v2/app/bull-search/view/415988114","SKX")</f>
        <v>SKX</v>
      </c>
      <c r="B1167" t="s">
        <v>4491</v>
      </c>
      <c r="C1167" t="s">
        <v>4492</v>
      </c>
      <c r="D1167" s="1">
        <v>35423</v>
      </c>
      <c r="E1167" t="s">
        <v>108</v>
      </c>
      <c r="F1167">
        <v>0</v>
      </c>
      <c r="G1167" t="s">
        <v>93</v>
      </c>
      <c r="H1167">
        <v>131.03</v>
      </c>
      <c r="I1167">
        <v>95</v>
      </c>
      <c r="J1167">
        <v>12.24</v>
      </c>
      <c r="K1167">
        <v>98</v>
      </c>
      <c r="L1167">
        <v>69.05</v>
      </c>
      <c r="M1167">
        <v>92</v>
      </c>
      <c r="N1167">
        <v>37.14</v>
      </c>
      <c r="O1167">
        <v>94</v>
      </c>
      <c r="P1167">
        <v>-29.92</v>
      </c>
      <c r="Q1167">
        <v>98</v>
      </c>
      <c r="R1167">
        <v>8.09</v>
      </c>
      <c r="S1167">
        <v>89</v>
      </c>
      <c r="T1167">
        <v>33.51</v>
      </c>
      <c r="U1167">
        <v>94</v>
      </c>
      <c r="V1167">
        <v>0.92</v>
      </c>
      <c r="W1167">
        <v>92</v>
      </c>
      <c r="X1167" t="s">
        <v>251</v>
      </c>
      <c r="Y1167" t="s">
        <v>95</v>
      </c>
      <c r="Z1167" t="s">
        <v>96</v>
      </c>
      <c r="AA1167" t="s">
        <v>4367</v>
      </c>
      <c r="AB1167" t="s">
        <v>4493</v>
      </c>
      <c r="AC1167">
        <v>242</v>
      </c>
      <c r="AD1167">
        <v>118</v>
      </c>
      <c r="AE1167">
        <v>98</v>
      </c>
      <c r="AF1167">
        <v>-122.86</v>
      </c>
      <c r="AG1167">
        <v>2.3199999999999998</v>
      </c>
      <c r="AH1167">
        <v>-0.62</v>
      </c>
      <c r="AI1167">
        <v>0.13</v>
      </c>
      <c r="AJ1167">
        <v>0.06</v>
      </c>
      <c r="AK1167">
        <v>92</v>
      </c>
      <c r="AL1167">
        <v>326</v>
      </c>
      <c r="AM1167">
        <v>156</v>
      </c>
      <c r="AN1167">
        <v>-3.52</v>
      </c>
      <c r="AO1167">
        <v>1.99</v>
      </c>
      <c r="AP1167">
        <v>453</v>
      </c>
      <c r="AQ1167">
        <v>2</v>
      </c>
      <c r="AR1167">
        <v>5.15</v>
      </c>
      <c r="AS1167">
        <v>89</v>
      </c>
      <c r="AT1167">
        <v>1.96</v>
      </c>
      <c r="AU1167">
        <v>95</v>
      </c>
      <c r="AV1167">
        <v>-2.29</v>
      </c>
      <c r="AW1167">
        <v>98</v>
      </c>
      <c r="AX1167">
        <v>-1.33</v>
      </c>
      <c r="AY1167">
        <v>94</v>
      </c>
      <c r="AZ1167">
        <v>5.96</v>
      </c>
      <c r="BA1167">
        <v>85</v>
      </c>
      <c r="BB1167">
        <v>4.91</v>
      </c>
      <c r="BC1167">
        <v>87</v>
      </c>
      <c r="BD1167">
        <v>-0.03</v>
      </c>
      <c r="BE1167">
        <v>-0.04</v>
      </c>
      <c r="BF1167">
        <v>-0.06</v>
      </c>
      <c r="BG1167">
        <v>95</v>
      </c>
      <c r="BH1167">
        <v>0</v>
      </c>
      <c r="BI1167">
        <v>-2.96</v>
      </c>
      <c r="BJ1167">
        <v>15</v>
      </c>
      <c r="BK1167">
        <v>10</v>
      </c>
      <c r="BL1167">
        <v>-3.81</v>
      </c>
      <c r="BM1167">
        <v>0.55000000000000004</v>
      </c>
      <c r="BN1167">
        <v>-1.9</v>
      </c>
      <c r="BO1167">
        <v>-2.2200000000000002</v>
      </c>
      <c r="BP1167">
        <v>-1.21</v>
      </c>
      <c r="BQ1167">
        <v>-1.45</v>
      </c>
      <c r="BR1167">
        <v>-0.85</v>
      </c>
      <c r="BS1167">
        <v>1.95</v>
      </c>
      <c r="BT1167">
        <v>0.51</v>
      </c>
      <c r="BU1167">
        <v>-2.31</v>
      </c>
      <c r="BV1167">
        <v>-2.44</v>
      </c>
      <c r="BW1167">
        <v>-2.42</v>
      </c>
      <c r="BX1167">
        <v>-2.57</v>
      </c>
      <c r="BY1167">
        <v>-1.57</v>
      </c>
      <c r="BZ1167">
        <v>0.56000000000000005</v>
      </c>
      <c r="CA1167">
        <v>-1.25</v>
      </c>
      <c r="CB1167">
        <v>-2.12</v>
      </c>
      <c r="CC1167">
        <v>1.27</v>
      </c>
      <c r="CD1167">
        <v>1.89</v>
      </c>
      <c r="CE1167">
        <v>-1.95</v>
      </c>
      <c r="CF1167">
        <v>-2.87</v>
      </c>
      <c r="CG1167">
        <v>0</v>
      </c>
      <c r="CH1167">
        <v>-1.5</v>
      </c>
      <c r="CI1167">
        <v>0</v>
      </c>
      <c r="CJ1167">
        <v>-17.5</v>
      </c>
      <c r="CK1167">
        <v>98</v>
      </c>
      <c r="CL1167">
        <v>-0.31</v>
      </c>
      <c r="CM1167">
        <v>98</v>
      </c>
      <c r="CN1167">
        <v>-0.08</v>
      </c>
      <c r="CO1167">
        <v>98</v>
      </c>
      <c r="CP1167">
        <v>-23.4</v>
      </c>
      <c r="CQ1167">
        <v>96</v>
      </c>
      <c r="CR1167">
        <v>0</v>
      </c>
      <c r="CS1167">
        <v>0</v>
      </c>
      <c r="CT1167">
        <v>-31.5</v>
      </c>
      <c r="CU1167">
        <v>94</v>
      </c>
      <c r="CV1167">
        <v>-0.28000000000000003</v>
      </c>
      <c r="CW1167">
        <v>50</v>
      </c>
      <c r="CX1167" t="s">
        <v>2906</v>
      </c>
    </row>
    <row r="1168" spans="1:102" x14ac:dyDescent="0.3">
      <c r="A1168" t="str">
        <f>HYPERLINK("https://webapp.icbf.com/v2/app/bull-search/view/499401807","NIE")</f>
        <v>NIE</v>
      </c>
      <c r="B1168" t="s">
        <v>12573</v>
      </c>
      <c r="C1168" t="s">
        <v>12574</v>
      </c>
      <c r="D1168" s="1">
        <v>39136</v>
      </c>
      <c r="E1168" t="s">
        <v>92</v>
      </c>
      <c r="F1168">
        <v>94</v>
      </c>
      <c r="G1168" t="s">
        <v>93</v>
      </c>
      <c r="H1168">
        <v>130.94</v>
      </c>
      <c r="I1168">
        <v>84</v>
      </c>
      <c r="J1168">
        <v>50.31</v>
      </c>
      <c r="K1168">
        <v>95</v>
      </c>
      <c r="L1168">
        <v>25.02</v>
      </c>
      <c r="M1168">
        <v>75</v>
      </c>
      <c r="N1168">
        <v>28.09</v>
      </c>
      <c r="O1168">
        <v>81</v>
      </c>
      <c r="P1168">
        <v>-8.34</v>
      </c>
      <c r="Q1168">
        <v>89</v>
      </c>
      <c r="R1168">
        <v>7.31</v>
      </c>
      <c r="S1168">
        <v>77</v>
      </c>
      <c r="T1168">
        <v>21.74</v>
      </c>
      <c r="U1168">
        <v>78</v>
      </c>
      <c r="V1168">
        <v>6.81</v>
      </c>
      <c r="W1168">
        <v>75</v>
      </c>
      <c r="X1168" t="s">
        <v>94</v>
      </c>
      <c r="Y1168" t="s">
        <v>1513</v>
      </c>
      <c r="Z1168" t="s">
        <v>96</v>
      </c>
      <c r="AA1168" t="s">
        <v>4631</v>
      </c>
      <c r="AB1168" t="s">
        <v>12575</v>
      </c>
      <c r="AC1168">
        <v>57</v>
      </c>
      <c r="AD1168">
        <v>42</v>
      </c>
      <c r="AE1168">
        <v>95</v>
      </c>
      <c r="AF1168">
        <v>98.17</v>
      </c>
      <c r="AG1168">
        <v>8.14</v>
      </c>
      <c r="AH1168">
        <v>7.18</v>
      </c>
      <c r="AI1168">
        <v>7.0000000000000007E-2</v>
      </c>
      <c r="AJ1168">
        <v>7.0000000000000007E-2</v>
      </c>
      <c r="AK1168">
        <v>75</v>
      </c>
      <c r="AL1168">
        <v>55</v>
      </c>
      <c r="AM1168">
        <v>43</v>
      </c>
      <c r="AN1168">
        <v>-2.5499999999999998</v>
      </c>
      <c r="AO1168">
        <v>-0.56999999999999995</v>
      </c>
      <c r="AP1168">
        <v>138</v>
      </c>
      <c r="AQ1168">
        <v>0</v>
      </c>
      <c r="AR1168">
        <v>6.95</v>
      </c>
      <c r="AS1168">
        <v>63</v>
      </c>
      <c r="AT1168">
        <v>2.4300000000000002</v>
      </c>
      <c r="AU1168">
        <v>84</v>
      </c>
      <c r="AV1168">
        <v>-2.62</v>
      </c>
      <c r="AW1168">
        <v>94</v>
      </c>
      <c r="AX1168">
        <v>-0.84</v>
      </c>
      <c r="AY1168">
        <v>75</v>
      </c>
      <c r="AZ1168">
        <v>6.73</v>
      </c>
      <c r="BA1168">
        <v>57</v>
      </c>
      <c r="BB1168">
        <v>5.34</v>
      </c>
      <c r="BC1168">
        <v>59</v>
      </c>
      <c r="BD1168">
        <v>-0.03</v>
      </c>
      <c r="BE1168">
        <v>-0.02</v>
      </c>
      <c r="BF1168">
        <v>-0.08</v>
      </c>
      <c r="BG1168">
        <v>86</v>
      </c>
      <c r="BH1168">
        <v>0.16</v>
      </c>
      <c r="BI1168">
        <v>-3.46</v>
      </c>
      <c r="BJ1168">
        <v>27</v>
      </c>
      <c r="BK1168">
        <v>20</v>
      </c>
      <c r="BL1168">
        <v>-0.53</v>
      </c>
      <c r="BM1168">
        <v>-0.26</v>
      </c>
      <c r="BN1168">
        <v>0.4</v>
      </c>
      <c r="BO1168">
        <v>0.42</v>
      </c>
      <c r="BP1168">
        <v>1.47</v>
      </c>
      <c r="BQ1168">
        <v>-1.78</v>
      </c>
      <c r="BR1168">
        <v>-0.12</v>
      </c>
      <c r="BS1168">
        <v>-0.64</v>
      </c>
      <c r="BT1168">
        <v>-0.82</v>
      </c>
      <c r="BU1168">
        <v>-0.21</v>
      </c>
      <c r="BV1168">
        <v>-0.35</v>
      </c>
      <c r="BW1168">
        <v>-0.72</v>
      </c>
      <c r="BX1168">
        <v>-1.91</v>
      </c>
      <c r="BY1168">
        <v>0.03</v>
      </c>
      <c r="BZ1168">
        <v>0.04</v>
      </c>
      <c r="CA1168">
        <v>-0.14000000000000001</v>
      </c>
      <c r="CB1168">
        <v>0.11</v>
      </c>
      <c r="CC1168">
        <v>-0.5</v>
      </c>
      <c r="CD1168">
        <v>0.19</v>
      </c>
      <c r="CE1168">
        <v>0.38</v>
      </c>
      <c r="CF1168">
        <v>0.09</v>
      </c>
      <c r="CG1168">
        <v>0</v>
      </c>
      <c r="CH1168">
        <v>0.85</v>
      </c>
      <c r="CI1168">
        <v>0</v>
      </c>
      <c r="CJ1168">
        <v>-0.5</v>
      </c>
      <c r="CK1168">
        <v>90</v>
      </c>
      <c r="CL1168">
        <v>-0.79</v>
      </c>
      <c r="CM1168">
        <v>88</v>
      </c>
      <c r="CN1168">
        <v>-0.18</v>
      </c>
      <c r="CO1168">
        <v>87</v>
      </c>
      <c r="CP1168">
        <v>-10.7</v>
      </c>
      <c r="CQ1168">
        <v>85</v>
      </c>
      <c r="CR1168">
        <v>0</v>
      </c>
      <c r="CS1168">
        <v>0</v>
      </c>
      <c r="CT1168">
        <v>-15.6</v>
      </c>
      <c r="CU1168">
        <v>78</v>
      </c>
      <c r="CV1168">
        <v>0.23</v>
      </c>
      <c r="CW1168">
        <v>44</v>
      </c>
      <c r="CX1168" t="s">
        <v>1037</v>
      </c>
    </row>
    <row r="1169" spans="1:102" x14ac:dyDescent="0.3">
      <c r="A1169" t="str">
        <f>HYPERLINK("https://webapp.icbf.com/v2/app/bull-search/view/120077688","STW")</f>
        <v>STW</v>
      </c>
      <c r="B1169" t="s">
        <v>3765</v>
      </c>
      <c r="C1169" t="s">
        <v>3766</v>
      </c>
      <c r="D1169" s="1">
        <v>37344</v>
      </c>
      <c r="E1169" t="s">
        <v>92</v>
      </c>
      <c r="F1169">
        <v>81</v>
      </c>
      <c r="G1169" t="s">
        <v>93</v>
      </c>
      <c r="H1169">
        <v>130.86000000000001</v>
      </c>
      <c r="I1169">
        <v>92</v>
      </c>
      <c r="J1169">
        <v>29.1</v>
      </c>
      <c r="K1169">
        <v>98</v>
      </c>
      <c r="L1169">
        <v>94.05</v>
      </c>
      <c r="M1169">
        <v>85</v>
      </c>
      <c r="N1169">
        <v>12.72</v>
      </c>
      <c r="O1169">
        <v>92</v>
      </c>
      <c r="P1169">
        <v>1.25</v>
      </c>
      <c r="Q1169">
        <v>96</v>
      </c>
      <c r="R1169">
        <v>1.65</v>
      </c>
      <c r="S1169">
        <v>89</v>
      </c>
      <c r="T1169">
        <v>5.09</v>
      </c>
      <c r="U1169">
        <v>93</v>
      </c>
      <c r="V1169">
        <v>-13</v>
      </c>
      <c r="W1169">
        <v>89</v>
      </c>
      <c r="X1169" t="s">
        <v>94</v>
      </c>
      <c r="Y1169" t="s">
        <v>95</v>
      </c>
      <c r="Z1169" t="s">
        <v>96</v>
      </c>
      <c r="AA1169" t="s">
        <v>771</v>
      </c>
      <c r="AB1169" t="s">
        <v>3767</v>
      </c>
      <c r="AC1169">
        <v>198</v>
      </c>
      <c r="AD1169">
        <v>133</v>
      </c>
      <c r="AE1169">
        <v>98</v>
      </c>
      <c r="AF1169">
        <v>-116.5</v>
      </c>
      <c r="AG1169">
        <v>1.63</v>
      </c>
      <c r="AH1169">
        <v>2.59</v>
      </c>
      <c r="AI1169">
        <v>0.11</v>
      </c>
      <c r="AJ1169">
        <v>0.12</v>
      </c>
      <c r="AK1169">
        <v>85</v>
      </c>
      <c r="AL1169">
        <v>231</v>
      </c>
      <c r="AM1169">
        <v>154</v>
      </c>
      <c r="AN1169">
        <v>-5.15</v>
      </c>
      <c r="AO1169">
        <v>2.35</v>
      </c>
      <c r="AP1169">
        <v>364</v>
      </c>
      <c r="AQ1169">
        <v>1</v>
      </c>
      <c r="AR1169">
        <v>6.77</v>
      </c>
      <c r="AS1169">
        <v>80</v>
      </c>
      <c r="AT1169">
        <v>2.69</v>
      </c>
      <c r="AU1169">
        <v>93</v>
      </c>
      <c r="AV1169">
        <v>-1.1599999999999999</v>
      </c>
      <c r="AW1169">
        <v>98</v>
      </c>
      <c r="AX1169">
        <v>-0.26</v>
      </c>
      <c r="AY1169">
        <v>90</v>
      </c>
      <c r="AZ1169">
        <v>6.53</v>
      </c>
      <c r="BA1169">
        <v>78</v>
      </c>
      <c r="BB1169">
        <v>5.53</v>
      </c>
      <c r="BC1169">
        <v>82</v>
      </c>
      <c r="BD1169">
        <v>-0.03</v>
      </c>
      <c r="BE1169">
        <v>-0.02</v>
      </c>
      <c r="BF1169">
        <v>0.05</v>
      </c>
      <c r="BG1169">
        <v>94</v>
      </c>
      <c r="BH1169">
        <v>0</v>
      </c>
      <c r="BI1169">
        <v>41.95</v>
      </c>
      <c r="BJ1169">
        <v>45</v>
      </c>
      <c r="BK1169">
        <v>28</v>
      </c>
      <c r="BL1169">
        <v>0.43</v>
      </c>
      <c r="BM1169">
        <v>1.96</v>
      </c>
      <c r="BN1169">
        <v>-0.19</v>
      </c>
      <c r="BO1169">
        <v>-1.01</v>
      </c>
      <c r="BP1169">
        <v>1.77</v>
      </c>
      <c r="BQ1169">
        <v>0.51</v>
      </c>
      <c r="BR1169">
        <v>-0.79</v>
      </c>
      <c r="BS1169">
        <v>-1.0900000000000001</v>
      </c>
      <c r="BT1169">
        <v>0.9</v>
      </c>
      <c r="BU1169">
        <v>-0.53</v>
      </c>
      <c r="BV1169">
        <v>-0.64</v>
      </c>
      <c r="BW1169">
        <v>-0.57999999999999996</v>
      </c>
      <c r="BX1169">
        <v>-0.36</v>
      </c>
      <c r="BY1169">
        <v>-1.56</v>
      </c>
      <c r="BZ1169">
        <v>1.66</v>
      </c>
      <c r="CA1169">
        <v>-1.01</v>
      </c>
      <c r="CB1169">
        <v>-0.93</v>
      </c>
      <c r="CC1169">
        <v>-1.02</v>
      </c>
      <c r="CD1169">
        <v>1.83</v>
      </c>
      <c r="CE1169">
        <v>-1.0900000000000001</v>
      </c>
      <c r="CF1169">
        <v>0.52</v>
      </c>
      <c r="CG1169">
        <v>0</v>
      </c>
      <c r="CH1169">
        <v>-1.89</v>
      </c>
      <c r="CI1169">
        <v>0</v>
      </c>
      <c r="CJ1169">
        <v>2.8</v>
      </c>
      <c r="CK1169">
        <v>97</v>
      </c>
      <c r="CL1169">
        <v>-0.52</v>
      </c>
      <c r="CM1169">
        <v>96</v>
      </c>
      <c r="CN1169">
        <v>-0.19</v>
      </c>
      <c r="CO1169">
        <v>96</v>
      </c>
      <c r="CP1169">
        <v>3.5</v>
      </c>
      <c r="CQ1169">
        <v>95</v>
      </c>
      <c r="CR1169">
        <v>0</v>
      </c>
      <c r="CS1169">
        <v>0</v>
      </c>
      <c r="CT1169">
        <v>6.9</v>
      </c>
      <c r="CU1169">
        <v>93</v>
      </c>
      <c r="CV1169">
        <v>0.26</v>
      </c>
      <c r="CW1169">
        <v>47</v>
      </c>
      <c r="CX1169" t="s">
        <v>193</v>
      </c>
    </row>
    <row r="1170" spans="1:102" x14ac:dyDescent="0.3">
      <c r="A1170" t="str">
        <f>HYPERLINK("https://webapp.icbf.com/v2/app/bull-search/view/1620880740","S3350")</f>
        <v>S3350</v>
      </c>
      <c r="B1170" t="s">
        <v>14021</v>
      </c>
      <c r="C1170" t="s">
        <v>14022</v>
      </c>
      <c r="D1170" s="1">
        <v>42829</v>
      </c>
      <c r="E1170" t="s">
        <v>92</v>
      </c>
      <c r="F1170">
        <v>100</v>
      </c>
      <c r="G1170" t="s">
        <v>435</v>
      </c>
      <c r="H1170">
        <v>130.69999999999999</v>
      </c>
      <c r="I1170">
        <v>62</v>
      </c>
      <c r="J1170">
        <v>81.209999999999994</v>
      </c>
      <c r="K1170">
        <v>85</v>
      </c>
      <c r="L1170">
        <v>2.4700000000000002</v>
      </c>
      <c r="M1170">
        <v>60</v>
      </c>
      <c r="N1170">
        <v>44.27</v>
      </c>
      <c r="O1170">
        <v>48</v>
      </c>
      <c r="P1170">
        <v>-7.4</v>
      </c>
      <c r="Q1170">
        <v>32</v>
      </c>
      <c r="R1170">
        <v>10.64</v>
      </c>
      <c r="S1170">
        <v>56</v>
      </c>
      <c r="T1170">
        <v>0.36</v>
      </c>
      <c r="U1170">
        <v>32</v>
      </c>
      <c r="V1170">
        <v>-0.85</v>
      </c>
      <c r="W1170">
        <v>48</v>
      </c>
      <c r="X1170" t="s">
        <v>110</v>
      </c>
      <c r="Y1170" t="s">
        <v>2394</v>
      </c>
      <c r="Z1170" t="s">
        <v>96</v>
      </c>
      <c r="AA1170" t="s">
        <v>14023</v>
      </c>
      <c r="AB1170" t="s">
        <v>14024</v>
      </c>
      <c r="AC1170">
        <v>0</v>
      </c>
      <c r="AD1170">
        <v>0</v>
      </c>
      <c r="AE1170">
        <v>85</v>
      </c>
      <c r="AF1170">
        <v>751.16</v>
      </c>
      <c r="AG1170">
        <v>17.440000000000001</v>
      </c>
      <c r="AH1170">
        <v>19.14</v>
      </c>
      <c r="AI1170">
        <v>-0.19</v>
      </c>
      <c r="AJ1170">
        <v>-0.09</v>
      </c>
      <c r="AK1170">
        <v>60</v>
      </c>
      <c r="AL1170">
        <v>0</v>
      </c>
      <c r="AM1170">
        <v>0</v>
      </c>
      <c r="AN1170">
        <v>2.4300000000000002</v>
      </c>
      <c r="AO1170">
        <v>2.66</v>
      </c>
      <c r="AP1170">
        <v>1</v>
      </c>
      <c r="AQ1170">
        <v>0</v>
      </c>
      <c r="AR1170">
        <v>4.66</v>
      </c>
      <c r="AS1170">
        <v>40</v>
      </c>
      <c r="AT1170">
        <v>1.99</v>
      </c>
      <c r="AU1170">
        <v>81</v>
      </c>
      <c r="AV1170">
        <v>-3.85</v>
      </c>
      <c r="AW1170">
        <v>41</v>
      </c>
      <c r="AX1170">
        <v>0.39</v>
      </c>
      <c r="AY1170">
        <v>33</v>
      </c>
      <c r="AZ1170">
        <v>6.51</v>
      </c>
      <c r="BA1170">
        <v>26</v>
      </c>
      <c r="BB1170">
        <v>5.05</v>
      </c>
      <c r="BC1170">
        <v>28</v>
      </c>
      <c r="BD1170">
        <v>-0.01</v>
      </c>
      <c r="BE1170">
        <v>-0.02</v>
      </c>
      <c r="BF1170">
        <v>-0.19</v>
      </c>
      <c r="BG1170">
        <v>69</v>
      </c>
      <c r="BH1170">
        <v>-0.08</v>
      </c>
      <c r="BI1170">
        <v>-6.52</v>
      </c>
      <c r="BJ1170">
        <v>0</v>
      </c>
      <c r="BK1170">
        <v>0</v>
      </c>
      <c r="BL1170">
        <v>1.59</v>
      </c>
      <c r="BM1170">
        <v>-2.91</v>
      </c>
      <c r="BN1170">
        <v>-0.88</v>
      </c>
      <c r="BO1170">
        <v>1.94</v>
      </c>
      <c r="BP1170">
        <v>0.51</v>
      </c>
      <c r="BQ1170">
        <v>1.2</v>
      </c>
      <c r="BR1170">
        <v>-0.7</v>
      </c>
      <c r="BS1170">
        <v>2.93</v>
      </c>
      <c r="BT1170">
        <v>0.99</v>
      </c>
      <c r="BU1170">
        <v>2.62</v>
      </c>
      <c r="BV1170">
        <v>3.02</v>
      </c>
      <c r="BW1170">
        <v>2.25</v>
      </c>
      <c r="BX1170">
        <v>2.0499999999999998</v>
      </c>
      <c r="BY1170">
        <v>2.02</v>
      </c>
      <c r="BZ1170">
        <v>-0.42</v>
      </c>
      <c r="CA1170">
        <v>3.44</v>
      </c>
      <c r="CB1170">
        <v>2.35</v>
      </c>
      <c r="CC1170">
        <v>3.31</v>
      </c>
      <c r="CD1170">
        <v>-2.16</v>
      </c>
      <c r="CE1170">
        <v>1.98</v>
      </c>
      <c r="CF1170">
        <v>1.52</v>
      </c>
      <c r="CG1170">
        <v>0</v>
      </c>
      <c r="CH1170">
        <v>1.1299999999999999</v>
      </c>
      <c r="CI1170">
        <v>0</v>
      </c>
      <c r="CJ1170">
        <v>-2.2000000000000002</v>
      </c>
      <c r="CK1170">
        <v>32</v>
      </c>
      <c r="CL1170">
        <v>-1.53</v>
      </c>
      <c r="CM1170">
        <v>32</v>
      </c>
      <c r="CN1170">
        <v>-0.99</v>
      </c>
      <c r="CO1170">
        <v>32</v>
      </c>
      <c r="CP1170">
        <v>-1.1000000000000001</v>
      </c>
      <c r="CQ1170">
        <v>32</v>
      </c>
      <c r="CR1170">
        <v>0</v>
      </c>
      <c r="CS1170">
        <v>0</v>
      </c>
      <c r="CT1170">
        <v>13.3</v>
      </c>
      <c r="CU1170">
        <v>32</v>
      </c>
      <c r="CV1170">
        <v>0.19</v>
      </c>
      <c r="CW1170">
        <v>31</v>
      </c>
      <c r="CX1170" t="s">
        <v>6310</v>
      </c>
    </row>
    <row r="1171" spans="1:102" x14ac:dyDescent="0.3">
      <c r="A1171" t="str">
        <f>HYPERLINK("https://webapp.icbf.com/v2/app/bull-search/view/816093492","CZZ")</f>
        <v>CZZ</v>
      </c>
      <c r="B1171" t="s">
        <v>12684</v>
      </c>
      <c r="C1171" t="s">
        <v>2416</v>
      </c>
      <c r="D1171" s="1">
        <v>39988</v>
      </c>
      <c r="E1171" t="s">
        <v>108</v>
      </c>
      <c r="F1171">
        <v>0</v>
      </c>
      <c r="G1171" t="s">
        <v>93</v>
      </c>
      <c r="H1171">
        <v>130.63999999999999</v>
      </c>
      <c r="I1171">
        <v>79</v>
      </c>
      <c r="J1171">
        <v>-25.15</v>
      </c>
      <c r="K1171">
        <v>90</v>
      </c>
      <c r="L1171">
        <v>93.82</v>
      </c>
      <c r="M1171">
        <v>69</v>
      </c>
      <c r="N1171">
        <v>34.58</v>
      </c>
      <c r="O1171">
        <v>86</v>
      </c>
      <c r="P1171">
        <v>-9.51</v>
      </c>
      <c r="Q1171">
        <v>89</v>
      </c>
      <c r="R1171">
        <v>20.92</v>
      </c>
      <c r="S1171">
        <v>67</v>
      </c>
      <c r="T1171">
        <v>12.49</v>
      </c>
      <c r="U1171">
        <v>73</v>
      </c>
      <c r="V1171">
        <v>3.49</v>
      </c>
      <c r="W1171">
        <v>65</v>
      </c>
      <c r="X1171" t="s">
        <v>251</v>
      </c>
      <c r="Y1171" t="s">
        <v>1727</v>
      </c>
      <c r="Z1171" t="s">
        <v>96</v>
      </c>
      <c r="AA1171" t="s">
        <v>1909</v>
      </c>
      <c r="AB1171" t="s">
        <v>9930</v>
      </c>
      <c r="AC1171">
        <v>23</v>
      </c>
      <c r="AD1171">
        <v>11</v>
      </c>
      <c r="AE1171">
        <v>90</v>
      </c>
      <c r="AF1171">
        <v>-235.68</v>
      </c>
      <c r="AG1171">
        <v>-3.69</v>
      </c>
      <c r="AH1171">
        <v>-6.58</v>
      </c>
      <c r="AI1171">
        <v>0.1</v>
      </c>
      <c r="AJ1171">
        <v>0.03</v>
      </c>
      <c r="AK1171">
        <v>69</v>
      </c>
      <c r="AL1171">
        <v>22</v>
      </c>
      <c r="AM1171">
        <v>11</v>
      </c>
      <c r="AN1171">
        <v>-5.29</v>
      </c>
      <c r="AO1171">
        <v>2.19</v>
      </c>
      <c r="AP1171">
        <v>404</v>
      </c>
      <c r="AQ1171">
        <v>0</v>
      </c>
      <c r="AR1171">
        <v>5.66</v>
      </c>
      <c r="AS1171">
        <v>72</v>
      </c>
      <c r="AT1171">
        <v>2.2999999999999998</v>
      </c>
      <c r="AU1171">
        <v>91</v>
      </c>
      <c r="AV1171">
        <v>-2.81</v>
      </c>
      <c r="AW1171">
        <v>98</v>
      </c>
      <c r="AX1171">
        <v>-0.68</v>
      </c>
      <c r="AY1171">
        <v>90</v>
      </c>
      <c r="AZ1171">
        <v>6.21</v>
      </c>
      <c r="BA1171">
        <v>50</v>
      </c>
      <c r="BB1171">
        <v>5.18</v>
      </c>
      <c r="BC1171">
        <v>50</v>
      </c>
      <c r="BD1171">
        <v>-0.03</v>
      </c>
      <c r="BE1171">
        <v>-0.09</v>
      </c>
      <c r="BF1171">
        <v>-0.26</v>
      </c>
      <c r="BG1171">
        <v>76</v>
      </c>
      <c r="BH1171">
        <v>-0.08</v>
      </c>
      <c r="BI1171">
        <v>-20.5</v>
      </c>
      <c r="BJ1171">
        <v>1</v>
      </c>
      <c r="BK1171">
        <v>1</v>
      </c>
      <c r="BL1171">
        <v>-2.2000000000000002</v>
      </c>
      <c r="BM1171">
        <v>1.88</v>
      </c>
      <c r="BN1171">
        <v>-1.68</v>
      </c>
      <c r="BO1171">
        <v>-2.0699999999999998</v>
      </c>
      <c r="BP1171">
        <v>-0.54</v>
      </c>
      <c r="BQ1171">
        <v>1.05</v>
      </c>
      <c r="BR1171">
        <v>-1.62</v>
      </c>
      <c r="BS1171">
        <v>1.7</v>
      </c>
      <c r="BT1171">
        <v>-0.17</v>
      </c>
      <c r="BU1171">
        <v>-0.87</v>
      </c>
      <c r="BV1171">
        <v>-1.1299999999999999</v>
      </c>
      <c r="BW1171">
        <v>-0.51</v>
      </c>
      <c r="BX1171">
        <v>0.02</v>
      </c>
      <c r="BY1171">
        <v>-0.61</v>
      </c>
      <c r="BZ1171">
        <v>-0.59</v>
      </c>
      <c r="CA1171">
        <v>-0.28000000000000003</v>
      </c>
      <c r="CB1171">
        <v>-0.51</v>
      </c>
      <c r="CC1171">
        <v>0.35</v>
      </c>
      <c r="CD1171">
        <v>2.1</v>
      </c>
      <c r="CE1171">
        <v>-2.35</v>
      </c>
      <c r="CF1171">
        <v>-2.0099999999999998</v>
      </c>
      <c r="CG1171">
        <v>0</v>
      </c>
      <c r="CH1171">
        <v>-0.82</v>
      </c>
      <c r="CI1171">
        <v>0</v>
      </c>
      <c r="CJ1171">
        <v>-1.9</v>
      </c>
      <c r="CK1171">
        <v>91</v>
      </c>
      <c r="CL1171">
        <v>-0.39</v>
      </c>
      <c r="CM1171">
        <v>89</v>
      </c>
      <c r="CN1171">
        <v>0.22</v>
      </c>
      <c r="CO1171">
        <v>88</v>
      </c>
      <c r="CP1171">
        <v>-1.9</v>
      </c>
      <c r="CQ1171">
        <v>71</v>
      </c>
      <c r="CR1171">
        <v>0</v>
      </c>
      <c r="CS1171">
        <v>0</v>
      </c>
      <c r="CT1171">
        <v>-3.1</v>
      </c>
      <c r="CU1171">
        <v>73</v>
      </c>
      <c r="CV1171">
        <v>0.16</v>
      </c>
      <c r="CW1171">
        <v>44</v>
      </c>
      <c r="CX1171" t="s">
        <v>4235</v>
      </c>
    </row>
    <row r="1172" spans="1:102" x14ac:dyDescent="0.3">
      <c r="A1172" t="str">
        <f>HYPERLINK("https://webapp.icbf.com/v2/app/bull-search/view/1150885543","FR2124")</f>
        <v>FR2124</v>
      </c>
      <c r="B1172" t="s">
        <v>13604</v>
      </c>
      <c r="C1172" t="s">
        <v>13605</v>
      </c>
      <c r="D1172" s="1">
        <v>40851</v>
      </c>
      <c r="E1172" t="s">
        <v>92</v>
      </c>
      <c r="F1172">
        <v>100</v>
      </c>
      <c r="G1172" t="s">
        <v>109</v>
      </c>
      <c r="H1172">
        <v>130.63999999999999</v>
      </c>
      <c r="I1172">
        <v>71</v>
      </c>
      <c r="J1172">
        <v>99.63</v>
      </c>
      <c r="K1172">
        <v>90</v>
      </c>
      <c r="L1172">
        <v>-33.68</v>
      </c>
      <c r="M1172">
        <v>75</v>
      </c>
      <c r="N1172">
        <v>44.17</v>
      </c>
      <c r="O1172">
        <v>57</v>
      </c>
      <c r="P1172">
        <v>8.07</v>
      </c>
      <c r="Q1172">
        <v>42</v>
      </c>
      <c r="R1172">
        <v>5.96</v>
      </c>
      <c r="S1172">
        <v>68</v>
      </c>
      <c r="T1172">
        <v>5.76</v>
      </c>
      <c r="U1172">
        <v>38</v>
      </c>
      <c r="V1172">
        <v>0.73</v>
      </c>
      <c r="W1172">
        <v>55</v>
      </c>
      <c r="X1172" t="s">
        <v>102</v>
      </c>
      <c r="Y1172" t="s">
        <v>422</v>
      </c>
      <c r="Z1172" t="s">
        <v>96</v>
      </c>
      <c r="AA1172" t="s">
        <v>2006</v>
      </c>
      <c r="AB1172" t="s">
        <v>13606</v>
      </c>
      <c r="AC1172">
        <v>0</v>
      </c>
      <c r="AD1172">
        <v>0</v>
      </c>
      <c r="AE1172">
        <v>90</v>
      </c>
      <c r="AF1172">
        <v>413.8</v>
      </c>
      <c r="AG1172">
        <v>20.49</v>
      </c>
      <c r="AH1172">
        <v>16.03</v>
      </c>
      <c r="AI1172">
        <v>7.0000000000000007E-2</v>
      </c>
      <c r="AJ1172">
        <v>0.03</v>
      </c>
      <c r="AK1172">
        <v>75</v>
      </c>
      <c r="AL1172">
        <v>0</v>
      </c>
      <c r="AM1172">
        <v>0</v>
      </c>
      <c r="AN1172">
        <v>3.1</v>
      </c>
      <c r="AO1172">
        <v>0.43</v>
      </c>
      <c r="AP1172">
        <v>6</v>
      </c>
      <c r="AQ1172">
        <v>0</v>
      </c>
      <c r="AR1172">
        <v>3.5</v>
      </c>
      <c r="AS1172">
        <v>49</v>
      </c>
      <c r="AT1172">
        <v>1.84</v>
      </c>
      <c r="AU1172">
        <v>83</v>
      </c>
      <c r="AV1172">
        <v>-3.75</v>
      </c>
      <c r="AW1172">
        <v>55</v>
      </c>
      <c r="AX1172">
        <v>0.83</v>
      </c>
      <c r="AY1172">
        <v>43</v>
      </c>
      <c r="AZ1172">
        <v>5.88</v>
      </c>
      <c r="BA1172">
        <v>34</v>
      </c>
      <c r="BB1172">
        <v>5.45</v>
      </c>
      <c r="BC1172">
        <v>36</v>
      </c>
      <c r="BD1172">
        <v>-0.03</v>
      </c>
      <c r="BE1172">
        <v>-0.03</v>
      </c>
      <c r="BF1172">
        <v>-0.03</v>
      </c>
      <c r="BG1172">
        <v>86</v>
      </c>
      <c r="BH1172">
        <v>0</v>
      </c>
      <c r="BI1172">
        <v>-2.37</v>
      </c>
      <c r="BJ1172">
        <v>0</v>
      </c>
      <c r="BK1172">
        <v>0</v>
      </c>
      <c r="BL1172">
        <v>0.11</v>
      </c>
      <c r="BM1172">
        <v>-0.94</v>
      </c>
      <c r="BN1172">
        <v>-0.4</v>
      </c>
      <c r="BO1172">
        <v>0.43</v>
      </c>
      <c r="BP1172">
        <v>0.47</v>
      </c>
      <c r="BQ1172">
        <v>-1.03</v>
      </c>
      <c r="BR1172">
        <v>0.15</v>
      </c>
      <c r="BS1172">
        <v>1.1399999999999999</v>
      </c>
      <c r="BT1172">
        <v>-0.32</v>
      </c>
      <c r="BU1172">
        <v>0.62</v>
      </c>
      <c r="BV1172">
        <v>0.46</v>
      </c>
      <c r="BW1172">
        <v>0.36</v>
      </c>
      <c r="BX1172">
        <v>1.38</v>
      </c>
      <c r="BY1172">
        <v>0.94</v>
      </c>
      <c r="BZ1172">
        <v>0.63</v>
      </c>
      <c r="CA1172">
        <v>1.29</v>
      </c>
      <c r="CB1172">
        <v>0.91</v>
      </c>
      <c r="CC1172">
        <v>0.47</v>
      </c>
      <c r="CD1172">
        <v>-0.94</v>
      </c>
      <c r="CE1172">
        <v>-0.06</v>
      </c>
      <c r="CF1172">
        <v>-0.27</v>
      </c>
      <c r="CG1172">
        <v>0</v>
      </c>
      <c r="CH1172">
        <v>1.1000000000000001</v>
      </c>
      <c r="CI1172">
        <v>0</v>
      </c>
      <c r="CJ1172">
        <v>6.1</v>
      </c>
      <c r="CK1172">
        <v>43</v>
      </c>
      <c r="CL1172">
        <v>-0.73</v>
      </c>
      <c r="CM1172">
        <v>41</v>
      </c>
      <c r="CN1172">
        <v>-0.55000000000000004</v>
      </c>
      <c r="CO1172">
        <v>40</v>
      </c>
      <c r="CP1172">
        <v>5</v>
      </c>
      <c r="CQ1172">
        <v>39</v>
      </c>
      <c r="CR1172">
        <v>0</v>
      </c>
      <c r="CS1172">
        <v>0</v>
      </c>
      <c r="CT1172">
        <v>6</v>
      </c>
      <c r="CU1172">
        <v>38</v>
      </c>
      <c r="CV1172">
        <v>0.23</v>
      </c>
      <c r="CW1172">
        <v>33</v>
      </c>
      <c r="CX1172" t="s">
        <v>1114</v>
      </c>
    </row>
    <row r="1173" spans="1:102" x14ac:dyDescent="0.3">
      <c r="A1173" t="str">
        <f>HYPERLINK("https://webapp.icbf.com/v2/app/bull-search/view/69091933","ICP")</f>
        <v>ICP</v>
      </c>
      <c r="B1173" t="s">
        <v>10723</v>
      </c>
      <c r="C1173" t="s">
        <v>10724</v>
      </c>
      <c r="D1173" s="1">
        <v>34032</v>
      </c>
      <c r="E1173" t="s">
        <v>140</v>
      </c>
      <c r="F1173">
        <v>0</v>
      </c>
      <c r="G1173" t="s">
        <v>93</v>
      </c>
      <c r="H1173">
        <v>130.62</v>
      </c>
      <c r="I1173">
        <v>83</v>
      </c>
      <c r="J1173">
        <v>-30.23</v>
      </c>
      <c r="K1173">
        <v>95</v>
      </c>
      <c r="L1173">
        <v>157.59</v>
      </c>
      <c r="M1173">
        <v>70</v>
      </c>
      <c r="N1173">
        <v>3.8</v>
      </c>
      <c r="O1173">
        <v>78</v>
      </c>
      <c r="P1173">
        <v>18.32</v>
      </c>
      <c r="Q1173">
        <v>93</v>
      </c>
      <c r="R1173">
        <v>-5.81</v>
      </c>
      <c r="S1173">
        <v>74</v>
      </c>
      <c r="T1173">
        <v>-0.75</v>
      </c>
      <c r="U1173">
        <v>87</v>
      </c>
      <c r="V1173">
        <v>-12.3</v>
      </c>
      <c r="W1173">
        <v>74</v>
      </c>
      <c r="X1173" t="s">
        <v>102</v>
      </c>
      <c r="Y1173" t="s">
        <v>95</v>
      </c>
      <c r="Z1173">
        <v>0</v>
      </c>
      <c r="AA1173" t="s">
        <v>224</v>
      </c>
      <c r="AB1173" t="s">
        <v>10725</v>
      </c>
      <c r="AC1173">
        <v>85</v>
      </c>
      <c r="AD1173">
        <v>45</v>
      </c>
      <c r="AE1173">
        <v>95</v>
      </c>
      <c r="AF1173">
        <v>-213.86</v>
      </c>
      <c r="AG1173">
        <v>-7.22</v>
      </c>
      <c r="AH1173">
        <v>-5.86</v>
      </c>
      <c r="AI1173">
        <v>0.02</v>
      </c>
      <c r="AJ1173">
        <v>0.03</v>
      </c>
      <c r="AK1173">
        <v>70</v>
      </c>
      <c r="AL1173">
        <v>110</v>
      </c>
      <c r="AM1173">
        <v>58</v>
      </c>
      <c r="AN1173">
        <v>-7.6</v>
      </c>
      <c r="AO1173">
        <v>4.9800000000000004</v>
      </c>
      <c r="AP1173">
        <v>74</v>
      </c>
      <c r="AQ1173">
        <v>4</v>
      </c>
      <c r="AR1173">
        <v>6.82</v>
      </c>
      <c r="AS1173">
        <v>64</v>
      </c>
      <c r="AT1173">
        <v>3.56</v>
      </c>
      <c r="AU1173">
        <v>76</v>
      </c>
      <c r="AV1173">
        <v>0.51</v>
      </c>
      <c r="AW1173">
        <v>86</v>
      </c>
      <c r="AX1173">
        <v>-0.13</v>
      </c>
      <c r="AY1173">
        <v>82</v>
      </c>
      <c r="AZ1173">
        <v>4.16</v>
      </c>
      <c r="BA1173">
        <v>52</v>
      </c>
      <c r="BB1173">
        <v>3.54</v>
      </c>
      <c r="BC1173">
        <v>68</v>
      </c>
      <c r="BD1173">
        <v>0.1</v>
      </c>
      <c r="BE1173">
        <v>0.03</v>
      </c>
      <c r="BF1173">
        <v>-0.09</v>
      </c>
      <c r="BG1173">
        <v>83</v>
      </c>
      <c r="BH1173">
        <v>0.01</v>
      </c>
      <c r="BI1173">
        <v>40.82</v>
      </c>
      <c r="BJ1173">
        <v>0</v>
      </c>
      <c r="BK1173">
        <v>0</v>
      </c>
      <c r="BL1173">
        <v>-0.65</v>
      </c>
      <c r="BM1173">
        <v>4.63</v>
      </c>
      <c r="BN1173">
        <v>-1.41</v>
      </c>
      <c r="BO1173">
        <v>-3.47</v>
      </c>
      <c r="BP1173">
        <v>4.3600000000000003</v>
      </c>
      <c r="BQ1173">
        <v>-1.28</v>
      </c>
      <c r="BR1173">
        <v>-3</v>
      </c>
      <c r="BS1173">
        <v>-0.12</v>
      </c>
      <c r="BT1173">
        <v>3.22</v>
      </c>
      <c r="BU1173">
        <v>-3.36</v>
      </c>
      <c r="BV1173">
        <v>-3.54</v>
      </c>
      <c r="BW1173">
        <v>-2.63</v>
      </c>
      <c r="BX1173">
        <v>-2.75</v>
      </c>
      <c r="BY1173">
        <v>-1.44</v>
      </c>
      <c r="BZ1173">
        <v>1.25</v>
      </c>
      <c r="CA1173">
        <v>-2.21</v>
      </c>
      <c r="CB1173">
        <v>-3</v>
      </c>
      <c r="CC1173">
        <v>-7.0000000000000007E-2</v>
      </c>
      <c r="CD1173">
        <v>4.62</v>
      </c>
      <c r="CE1173">
        <v>-3.18</v>
      </c>
      <c r="CF1173">
        <v>-0.68</v>
      </c>
      <c r="CG1173">
        <v>0</v>
      </c>
      <c r="CH1173">
        <v>-3.28</v>
      </c>
      <c r="CI1173">
        <v>0</v>
      </c>
      <c r="CJ1173">
        <v>9.9</v>
      </c>
      <c r="CK1173">
        <v>94</v>
      </c>
      <c r="CL1173">
        <v>0.38</v>
      </c>
      <c r="CM1173">
        <v>93</v>
      </c>
      <c r="CN1173">
        <v>0.05</v>
      </c>
      <c r="CO1173">
        <v>92</v>
      </c>
      <c r="CP1173">
        <v>8.8000000000000007</v>
      </c>
      <c r="CQ1173">
        <v>92</v>
      </c>
      <c r="CR1173">
        <v>0</v>
      </c>
      <c r="CS1173">
        <v>0</v>
      </c>
      <c r="CT1173">
        <v>14.8</v>
      </c>
      <c r="CU1173">
        <v>87</v>
      </c>
      <c r="CV1173">
        <v>-0.02</v>
      </c>
      <c r="CW1173">
        <v>27</v>
      </c>
      <c r="CX1173" t="s">
        <v>696</v>
      </c>
    </row>
    <row r="1174" spans="1:102" x14ac:dyDescent="0.3">
      <c r="A1174" t="str">
        <f>HYPERLINK("https://webapp.icbf.com/v2/app/bull-search/view/1599959281","S3356")</f>
        <v>S3356</v>
      </c>
      <c r="B1174" t="s">
        <v>7906</v>
      </c>
      <c r="C1174" t="s">
        <v>7907</v>
      </c>
      <c r="D1174" s="1">
        <v>42663</v>
      </c>
      <c r="E1174" t="s">
        <v>92</v>
      </c>
      <c r="F1174">
        <v>100</v>
      </c>
      <c r="G1174" t="s">
        <v>435</v>
      </c>
      <c r="H1174">
        <v>130.36000000000001</v>
      </c>
      <c r="I1174">
        <v>66</v>
      </c>
      <c r="J1174">
        <v>103.83</v>
      </c>
      <c r="K1174">
        <v>87</v>
      </c>
      <c r="L1174">
        <v>-17.559999999999999</v>
      </c>
      <c r="M1174">
        <v>65</v>
      </c>
      <c r="N1174">
        <v>40.71</v>
      </c>
      <c r="O1174">
        <v>52</v>
      </c>
      <c r="P1174">
        <v>-8.1999999999999993</v>
      </c>
      <c r="Q1174">
        <v>38</v>
      </c>
      <c r="R1174">
        <v>14.03</v>
      </c>
      <c r="S1174">
        <v>61</v>
      </c>
      <c r="T1174">
        <v>-1.79</v>
      </c>
      <c r="U1174">
        <v>34</v>
      </c>
      <c r="V1174">
        <v>-0.66</v>
      </c>
      <c r="W1174">
        <v>52</v>
      </c>
      <c r="X1174" t="s">
        <v>110</v>
      </c>
      <c r="Y1174" t="s">
        <v>2394</v>
      </c>
      <c r="Z1174" t="s">
        <v>96</v>
      </c>
      <c r="AA1174" t="s">
        <v>448</v>
      </c>
      <c r="AB1174" t="s">
        <v>7908</v>
      </c>
      <c r="AC1174">
        <v>0</v>
      </c>
      <c r="AD1174">
        <v>0</v>
      </c>
      <c r="AE1174">
        <v>87</v>
      </c>
      <c r="AF1174">
        <v>705.35</v>
      </c>
      <c r="AG1174">
        <v>21.13</v>
      </c>
      <c r="AH1174">
        <v>20.98</v>
      </c>
      <c r="AI1174">
        <v>-0.1</v>
      </c>
      <c r="AJ1174">
        <v>-0.04</v>
      </c>
      <c r="AK1174">
        <v>65</v>
      </c>
      <c r="AL1174">
        <v>0</v>
      </c>
      <c r="AM1174">
        <v>0</v>
      </c>
      <c r="AN1174">
        <v>4.07</v>
      </c>
      <c r="AO1174">
        <v>2.71</v>
      </c>
      <c r="AP1174">
        <v>1</v>
      </c>
      <c r="AQ1174">
        <v>0</v>
      </c>
      <c r="AR1174">
        <v>5.05</v>
      </c>
      <c r="AS1174">
        <v>51</v>
      </c>
      <c r="AT1174">
        <v>1.97</v>
      </c>
      <c r="AU1174">
        <v>85</v>
      </c>
      <c r="AV1174">
        <v>-3.12</v>
      </c>
      <c r="AW1174">
        <v>44</v>
      </c>
      <c r="AX1174">
        <v>-0.18</v>
      </c>
      <c r="AY1174">
        <v>41</v>
      </c>
      <c r="AZ1174">
        <v>6.39</v>
      </c>
      <c r="BA1174">
        <v>32</v>
      </c>
      <c r="BB1174">
        <v>4.8</v>
      </c>
      <c r="BC1174">
        <v>31</v>
      </c>
      <c r="BD1174">
        <v>-0.04</v>
      </c>
      <c r="BE1174">
        <v>-0.04</v>
      </c>
      <c r="BF1174">
        <v>-0.18</v>
      </c>
      <c r="BG1174">
        <v>74</v>
      </c>
      <c r="BH1174">
        <v>-0.03</v>
      </c>
      <c r="BI1174">
        <v>-1.33</v>
      </c>
      <c r="BJ1174">
        <v>0</v>
      </c>
      <c r="BK1174">
        <v>0</v>
      </c>
      <c r="BL1174">
        <v>2.06</v>
      </c>
      <c r="BM1174">
        <v>-0.54</v>
      </c>
      <c r="BN1174">
        <v>1.1399999999999999</v>
      </c>
      <c r="BO1174">
        <v>1.39</v>
      </c>
      <c r="BP1174">
        <v>1.18</v>
      </c>
      <c r="BQ1174">
        <v>0.97</v>
      </c>
      <c r="BR1174">
        <v>-1.97</v>
      </c>
      <c r="BS1174">
        <v>1.1499999999999999</v>
      </c>
      <c r="BT1174">
        <v>1.82</v>
      </c>
      <c r="BU1174">
        <v>1.57</v>
      </c>
      <c r="BV1174">
        <v>2.12</v>
      </c>
      <c r="BW1174">
        <v>2.17</v>
      </c>
      <c r="BX1174">
        <v>1.63</v>
      </c>
      <c r="BY1174">
        <v>2.0499999999999998</v>
      </c>
      <c r="BZ1174">
        <v>-0.28000000000000003</v>
      </c>
      <c r="CA1174">
        <v>1.47</v>
      </c>
      <c r="CB1174">
        <v>1.48</v>
      </c>
      <c r="CC1174">
        <v>0.94</v>
      </c>
      <c r="CD1174">
        <v>-0.44</v>
      </c>
      <c r="CE1174">
        <v>1.33</v>
      </c>
      <c r="CF1174">
        <v>1.1200000000000001</v>
      </c>
      <c r="CG1174">
        <v>0</v>
      </c>
      <c r="CH1174">
        <v>0.98</v>
      </c>
      <c r="CI1174">
        <v>0</v>
      </c>
      <c r="CJ1174">
        <v>-2.8</v>
      </c>
      <c r="CK1174">
        <v>39</v>
      </c>
      <c r="CL1174">
        <v>-1.29</v>
      </c>
      <c r="CM1174">
        <v>38</v>
      </c>
      <c r="CN1174">
        <v>-0.74</v>
      </c>
      <c r="CO1174">
        <v>38</v>
      </c>
      <c r="CP1174">
        <v>2.1</v>
      </c>
      <c r="CQ1174">
        <v>35</v>
      </c>
      <c r="CR1174">
        <v>0</v>
      </c>
      <c r="CS1174">
        <v>0</v>
      </c>
      <c r="CT1174">
        <v>16.2</v>
      </c>
      <c r="CU1174">
        <v>34</v>
      </c>
      <c r="CV1174">
        <v>0.24</v>
      </c>
      <c r="CW1174">
        <v>33</v>
      </c>
      <c r="CX1174" t="s">
        <v>7656</v>
      </c>
    </row>
    <row r="1175" spans="1:102" x14ac:dyDescent="0.3">
      <c r="A1175" t="str">
        <f>HYPERLINK("https://webapp.icbf.com/v2/app/bull-search/view/401623551","ATI")</f>
        <v>ATI</v>
      </c>
      <c r="B1175" t="s">
        <v>8789</v>
      </c>
      <c r="C1175" t="s">
        <v>8790</v>
      </c>
      <c r="D1175" s="1">
        <v>38415</v>
      </c>
      <c r="E1175" t="s">
        <v>92</v>
      </c>
      <c r="F1175">
        <v>91</v>
      </c>
      <c r="G1175" t="s">
        <v>93</v>
      </c>
      <c r="H1175">
        <v>130.29</v>
      </c>
      <c r="I1175">
        <v>88</v>
      </c>
      <c r="J1175">
        <v>44.05</v>
      </c>
      <c r="K1175">
        <v>97</v>
      </c>
      <c r="L1175">
        <v>38.64</v>
      </c>
      <c r="M1175">
        <v>80</v>
      </c>
      <c r="N1175">
        <v>26.79</v>
      </c>
      <c r="O1175">
        <v>85</v>
      </c>
      <c r="P1175">
        <v>-3.62</v>
      </c>
      <c r="Q1175">
        <v>91</v>
      </c>
      <c r="R1175">
        <v>6.29</v>
      </c>
      <c r="S1175">
        <v>82</v>
      </c>
      <c r="T1175">
        <v>25.15</v>
      </c>
      <c r="U1175">
        <v>88</v>
      </c>
      <c r="V1175">
        <v>-7.01</v>
      </c>
      <c r="W1175">
        <v>80</v>
      </c>
      <c r="X1175" t="s">
        <v>94</v>
      </c>
      <c r="Y1175" t="s">
        <v>1164</v>
      </c>
      <c r="Z1175" t="s">
        <v>96</v>
      </c>
      <c r="AA1175" t="s">
        <v>3445</v>
      </c>
      <c r="AB1175" t="s">
        <v>8791</v>
      </c>
      <c r="AC1175">
        <v>84</v>
      </c>
      <c r="AD1175">
        <v>69</v>
      </c>
      <c r="AE1175">
        <v>97</v>
      </c>
      <c r="AF1175">
        <v>-43.7</v>
      </c>
      <c r="AG1175">
        <v>14.54</v>
      </c>
      <c r="AH1175">
        <v>1.68</v>
      </c>
      <c r="AI1175">
        <v>0.28999999999999998</v>
      </c>
      <c r="AJ1175">
        <v>0.06</v>
      </c>
      <c r="AK1175">
        <v>80</v>
      </c>
      <c r="AL1175">
        <v>83</v>
      </c>
      <c r="AM1175">
        <v>63</v>
      </c>
      <c r="AN1175">
        <v>-1.44</v>
      </c>
      <c r="AO1175">
        <v>1.65</v>
      </c>
      <c r="AP1175">
        <v>158</v>
      </c>
      <c r="AQ1175">
        <v>0</v>
      </c>
      <c r="AR1175">
        <v>5.13</v>
      </c>
      <c r="AS1175">
        <v>70</v>
      </c>
      <c r="AT1175">
        <v>2.17</v>
      </c>
      <c r="AU1175">
        <v>87</v>
      </c>
      <c r="AV1175">
        <v>-1.82</v>
      </c>
      <c r="AW1175">
        <v>94</v>
      </c>
      <c r="AX1175">
        <v>-0.84</v>
      </c>
      <c r="AY1175">
        <v>80</v>
      </c>
      <c r="AZ1175">
        <v>6.79</v>
      </c>
      <c r="BA1175">
        <v>66</v>
      </c>
      <c r="BB1175">
        <v>5.45</v>
      </c>
      <c r="BC1175">
        <v>71</v>
      </c>
      <c r="BD1175">
        <v>-0.01</v>
      </c>
      <c r="BE1175">
        <v>-0.02</v>
      </c>
      <c r="BF1175">
        <v>-0.09</v>
      </c>
      <c r="BG1175">
        <v>89</v>
      </c>
      <c r="BH1175">
        <v>-0.18</v>
      </c>
      <c r="BI1175">
        <v>1.8</v>
      </c>
      <c r="BJ1175">
        <v>37</v>
      </c>
      <c r="BK1175">
        <v>29</v>
      </c>
      <c r="BL1175">
        <v>-0.11</v>
      </c>
      <c r="BM1175">
        <v>-1.1000000000000001</v>
      </c>
      <c r="BN1175">
        <v>-0.63</v>
      </c>
      <c r="BO1175">
        <v>0.32</v>
      </c>
      <c r="BP1175">
        <v>-1.95</v>
      </c>
      <c r="BQ1175">
        <v>0</v>
      </c>
      <c r="BR1175">
        <v>1.19</v>
      </c>
      <c r="BS1175">
        <v>-0.72</v>
      </c>
      <c r="BT1175">
        <v>-0.74</v>
      </c>
      <c r="BU1175">
        <v>-0.27</v>
      </c>
      <c r="BV1175">
        <v>-0.19</v>
      </c>
      <c r="BW1175">
        <v>0.02</v>
      </c>
      <c r="BX1175">
        <v>7.0000000000000007E-2</v>
      </c>
      <c r="BY1175">
        <v>1.77</v>
      </c>
      <c r="BZ1175">
        <v>-2.17</v>
      </c>
      <c r="CA1175">
        <v>0.47</v>
      </c>
      <c r="CB1175">
        <v>0.19</v>
      </c>
      <c r="CC1175">
        <v>0.05</v>
      </c>
      <c r="CD1175">
        <v>-1.33</v>
      </c>
      <c r="CE1175">
        <v>0.27</v>
      </c>
      <c r="CF1175">
        <v>-1.08</v>
      </c>
      <c r="CG1175">
        <v>0</v>
      </c>
      <c r="CH1175">
        <v>1.57</v>
      </c>
      <c r="CI1175">
        <v>0</v>
      </c>
      <c r="CJ1175">
        <v>3</v>
      </c>
      <c r="CK1175">
        <v>92</v>
      </c>
      <c r="CL1175">
        <v>-0.62</v>
      </c>
      <c r="CM1175">
        <v>91</v>
      </c>
      <c r="CN1175">
        <v>-0.08</v>
      </c>
      <c r="CO1175">
        <v>90</v>
      </c>
      <c r="CP1175">
        <v>-15.3</v>
      </c>
      <c r="CQ1175">
        <v>89</v>
      </c>
      <c r="CR1175">
        <v>0</v>
      </c>
      <c r="CS1175">
        <v>0</v>
      </c>
      <c r="CT1175">
        <v>-20.2</v>
      </c>
      <c r="CU1175">
        <v>88</v>
      </c>
      <c r="CV1175">
        <v>0.24</v>
      </c>
      <c r="CW1175">
        <v>44</v>
      </c>
      <c r="CX1175" t="s">
        <v>2775</v>
      </c>
    </row>
    <row r="1176" spans="1:102" x14ac:dyDescent="0.3">
      <c r="A1176" t="str">
        <f>HYPERLINK("https://webapp.icbf.com/v2/app/bull-search/view/760395633","SHW")</f>
        <v>SHW</v>
      </c>
      <c r="B1176" t="s">
        <v>14886</v>
      </c>
      <c r="C1176" t="s">
        <v>14887</v>
      </c>
      <c r="D1176" s="1">
        <v>40035</v>
      </c>
      <c r="E1176" t="s">
        <v>92</v>
      </c>
      <c r="F1176">
        <v>63</v>
      </c>
      <c r="G1176" t="s">
        <v>93</v>
      </c>
      <c r="H1176">
        <v>129.97999999999999</v>
      </c>
      <c r="I1176">
        <v>87</v>
      </c>
      <c r="J1176">
        <v>95.98</v>
      </c>
      <c r="K1176">
        <v>96</v>
      </c>
      <c r="L1176">
        <v>19.29</v>
      </c>
      <c r="M1176">
        <v>83</v>
      </c>
      <c r="N1176">
        <v>28.34</v>
      </c>
      <c r="O1176">
        <v>81</v>
      </c>
      <c r="P1176">
        <v>-18.07</v>
      </c>
      <c r="Q1176">
        <v>88</v>
      </c>
      <c r="R1176">
        <v>-2.42</v>
      </c>
      <c r="S1176">
        <v>77</v>
      </c>
      <c r="T1176">
        <v>1.1000000000000001</v>
      </c>
      <c r="U1176">
        <v>83</v>
      </c>
      <c r="V1176">
        <v>5.76</v>
      </c>
      <c r="W1176">
        <v>70</v>
      </c>
      <c r="X1176" t="s">
        <v>276</v>
      </c>
      <c r="Y1176" t="s">
        <v>329</v>
      </c>
      <c r="Z1176" t="s">
        <v>330</v>
      </c>
      <c r="AA1176" t="s">
        <v>2245</v>
      </c>
      <c r="AB1176" t="s">
        <v>14888</v>
      </c>
      <c r="AC1176">
        <v>73</v>
      </c>
      <c r="AD1176">
        <v>22</v>
      </c>
      <c r="AE1176">
        <v>96</v>
      </c>
      <c r="AF1176">
        <v>206.17</v>
      </c>
      <c r="AG1176">
        <v>14.02</v>
      </c>
      <c r="AH1176">
        <v>14.52</v>
      </c>
      <c r="AI1176">
        <v>0.1</v>
      </c>
      <c r="AJ1176">
        <v>0.13</v>
      </c>
      <c r="AK1176">
        <v>83</v>
      </c>
      <c r="AL1176">
        <v>83</v>
      </c>
      <c r="AM1176">
        <v>26</v>
      </c>
      <c r="AN1176">
        <v>-0.91</v>
      </c>
      <c r="AO1176">
        <v>0.63</v>
      </c>
      <c r="AP1176">
        <v>104</v>
      </c>
      <c r="AQ1176">
        <v>0</v>
      </c>
      <c r="AR1176">
        <v>6.76</v>
      </c>
      <c r="AS1176">
        <v>65</v>
      </c>
      <c r="AT1176">
        <v>2.48</v>
      </c>
      <c r="AU1176">
        <v>84</v>
      </c>
      <c r="AV1176">
        <v>-2.2999999999999998</v>
      </c>
      <c r="AW1176">
        <v>94</v>
      </c>
      <c r="AX1176">
        <v>-0.3</v>
      </c>
      <c r="AY1176">
        <v>76</v>
      </c>
      <c r="AZ1176">
        <v>6.13</v>
      </c>
      <c r="BA1176">
        <v>59</v>
      </c>
      <c r="BB1176">
        <v>4.7</v>
      </c>
      <c r="BC1176">
        <v>54</v>
      </c>
      <c r="BD1176">
        <v>-0.02</v>
      </c>
      <c r="BE1176">
        <v>0.01</v>
      </c>
      <c r="BF1176">
        <v>7.0000000000000007E-2</v>
      </c>
      <c r="BG1176">
        <v>89</v>
      </c>
      <c r="BH1176">
        <v>0.06</v>
      </c>
      <c r="BI1176">
        <v>-11.63</v>
      </c>
      <c r="BJ1176">
        <v>0</v>
      </c>
      <c r="BK1176">
        <v>0</v>
      </c>
      <c r="BL1176">
        <v>0.68</v>
      </c>
      <c r="BM1176">
        <v>2.65</v>
      </c>
      <c r="BN1176">
        <v>1.1399999999999999</v>
      </c>
      <c r="BO1176">
        <v>-0.28999999999999998</v>
      </c>
      <c r="BP1176">
        <v>-1.5</v>
      </c>
      <c r="BQ1176">
        <v>0.97</v>
      </c>
      <c r="BR1176">
        <v>1.29</v>
      </c>
      <c r="BS1176">
        <v>-0.26</v>
      </c>
      <c r="BT1176">
        <v>-0.53</v>
      </c>
      <c r="BU1176">
        <v>-1.7</v>
      </c>
      <c r="BV1176">
        <v>-0.51</v>
      </c>
      <c r="BW1176">
        <v>-1.1399999999999999</v>
      </c>
      <c r="BX1176">
        <v>-1.25</v>
      </c>
      <c r="BY1176">
        <v>-1.67</v>
      </c>
      <c r="BZ1176">
        <v>-0.48</v>
      </c>
      <c r="CA1176">
        <v>-0.13</v>
      </c>
      <c r="CB1176">
        <v>-1.03</v>
      </c>
      <c r="CC1176">
        <v>0.21</v>
      </c>
      <c r="CD1176">
        <v>-0.05</v>
      </c>
      <c r="CE1176">
        <v>0.06</v>
      </c>
      <c r="CF1176">
        <v>0.01</v>
      </c>
      <c r="CG1176">
        <v>0</v>
      </c>
      <c r="CH1176">
        <v>-1.91</v>
      </c>
      <c r="CI1176">
        <v>0</v>
      </c>
      <c r="CJ1176">
        <v>-7.7</v>
      </c>
      <c r="CK1176">
        <v>90</v>
      </c>
      <c r="CL1176">
        <v>-1</v>
      </c>
      <c r="CM1176">
        <v>88</v>
      </c>
      <c r="CN1176">
        <v>-0.27</v>
      </c>
      <c r="CO1176">
        <v>87</v>
      </c>
      <c r="CP1176">
        <v>-1.9</v>
      </c>
      <c r="CQ1176">
        <v>77</v>
      </c>
      <c r="CR1176">
        <v>0</v>
      </c>
      <c r="CS1176">
        <v>0</v>
      </c>
      <c r="CT1176">
        <v>12.3</v>
      </c>
      <c r="CU1176">
        <v>83</v>
      </c>
      <c r="CV1176">
        <v>0.09</v>
      </c>
      <c r="CW1176">
        <v>44</v>
      </c>
      <c r="CX1176" t="s">
        <v>7715</v>
      </c>
    </row>
    <row r="1177" spans="1:102" x14ac:dyDescent="0.3">
      <c r="A1177" t="str">
        <f>HYPERLINK("https://webapp.icbf.com/v2/app/bull-search/view/498782162","GVI")</f>
        <v>GVI</v>
      </c>
      <c r="B1177" t="s">
        <v>10043</v>
      </c>
      <c r="C1177" t="s">
        <v>10044</v>
      </c>
      <c r="D1177" s="1">
        <v>39135</v>
      </c>
      <c r="E1177" t="s">
        <v>92</v>
      </c>
      <c r="F1177">
        <v>88</v>
      </c>
      <c r="G1177" t="s">
        <v>93</v>
      </c>
      <c r="H1177">
        <v>129.94999999999999</v>
      </c>
      <c r="I1177">
        <v>87</v>
      </c>
      <c r="J1177">
        <v>34.19</v>
      </c>
      <c r="K1177">
        <v>97</v>
      </c>
      <c r="L1177">
        <v>91.82</v>
      </c>
      <c r="M1177">
        <v>78</v>
      </c>
      <c r="N1177">
        <v>6.37</v>
      </c>
      <c r="O1177">
        <v>85</v>
      </c>
      <c r="P1177">
        <v>-17.28</v>
      </c>
      <c r="Q1177">
        <v>90</v>
      </c>
      <c r="R1177">
        <v>4.26</v>
      </c>
      <c r="S1177">
        <v>82</v>
      </c>
      <c r="T1177">
        <v>10.72</v>
      </c>
      <c r="U1177">
        <v>86</v>
      </c>
      <c r="V1177">
        <v>-0.13</v>
      </c>
      <c r="W1177">
        <v>82</v>
      </c>
      <c r="X1177" t="s">
        <v>94</v>
      </c>
      <c r="Y1177" t="s">
        <v>4217</v>
      </c>
      <c r="Z1177" t="s">
        <v>96</v>
      </c>
      <c r="AA1177" t="s">
        <v>1406</v>
      </c>
      <c r="AB1177" t="s">
        <v>10045</v>
      </c>
      <c r="AC1177">
        <v>90</v>
      </c>
      <c r="AD1177">
        <v>66</v>
      </c>
      <c r="AE1177">
        <v>97</v>
      </c>
      <c r="AF1177">
        <v>-38.659999999999997</v>
      </c>
      <c r="AG1177">
        <v>1.76</v>
      </c>
      <c r="AH1177">
        <v>4.5999999999999996</v>
      </c>
      <c r="AI1177">
        <v>0.06</v>
      </c>
      <c r="AJ1177">
        <v>0.1</v>
      </c>
      <c r="AK1177">
        <v>78</v>
      </c>
      <c r="AL1177">
        <v>90</v>
      </c>
      <c r="AM1177">
        <v>66</v>
      </c>
      <c r="AN1177">
        <v>-6.78</v>
      </c>
      <c r="AO1177">
        <v>0.52</v>
      </c>
      <c r="AP1177">
        <v>196</v>
      </c>
      <c r="AQ1177">
        <v>0</v>
      </c>
      <c r="AR1177">
        <v>7.92</v>
      </c>
      <c r="AS1177">
        <v>67</v>
      </c>
      <c r="AT1177">
        <v>3.27</v>
      </c>
      <c r="AU1177">
        <v>87</v>
      </c>
      <c r="AV1177">
        <v>-0.86</v>
      </c>
      <c r="AW1177">
        <v>96</v>
      </c>
      <c r="AX1177">
        <v>0.06</v>
      </c>
      <c r="AY1177">
        <v>81</v>
      </c>
      <c r="AZ1177">
        <v>6.74</v>
      </c>
      <c r="BA1177">
        <v>64</v>
      </c>
      <c r="BB1177">
        <v>4.53</v>
      </c>
      <c r="BC1177">
        <v>67</v>
      </c>
      <c r="BD1177">
        <v>-0.06</v>
      </c>
      <c r="BE1177">
        <v>-0.02</v>
      </c>
      <c r="BF1177">
        <v>0.04</v>
      </c>
      <c r="BG1177">
        <v>88</v>
      </c>
      <c r="BH1177">
        <v>-0.06</v>
      </c>
      <c r="BI1177">
        <v>-6.53</v>
      </c>
      <c r="BJ1177">
        <v>25</v>
      </c>
      <c r="BK1177">
        <v>15</v>
      </c>
      <c r="BL1177">
        <v>0.13</v>
      </c>
      <c r="BM1177">
        <v>0.15</v>
      </c>
      <c r="BN1177">
        <v>-0.78</v>
      </c>
      <c r="BO1177">
        <v>-0.72</v>
      </c>
      <c r="BP1177">
        <v>-0.47</v>
      </c>
      <c r="BQ1177">
        <v>-0.24</v>
      </c>
      <c r="BR1177">
        <v>1.98</v>
      </c>
      <c r="BS1177">
        <v>-1.81</v>
      </c>
      <c r="BT1177">
        <v>-0.75</v>
      </c>
      <c r="BU1177">
        <v>-0.16</v>
      </c>
      <c r="BV1177">
        <v>-0.18</v>
      </c>
      <c r="BW1177">
        <v>-0.36</v>
      </c>
      <c r="BX1177">
        <v>0.31</v>
      </c>
      <c r="BY1177">
        <v>0.23</v>
      </c>
      <c r="BZ1177">
        <v>-1.03</v>
      </c>
      <c r="CA1177">
        <v>-0.81</v>
      </c>
      <c r="CB1177">
        <v>-0.17</v>
      </c>
      <c r="CC1177">
        <v>-2.08</v>
      </c>
      <c r="CD1177">
        <v>0.3</v>
      </c>
      <c r="CE1177">
        <v>-0.98</v>
      </c>
      <c r="CF1177">
        <v>-0.77</v>
      </c>
      <c r="CG1177">
        <v>0</v>
      </c>
      <c r="CH1177">
        <v>0.06</v>
      </c>
      <c r="CI1177">
        <v>0</v>
      </c>
      <c r="CJ1177">
        <v>-7.7</v>
      </c>
      <c r="CK1177">
        <v>91</v>
      </c>
      <c r="CL1177">
        <v>-0.73</v>
      </c>
      <c r="CM1177">
        <v>89</v>
      </c>
      <c r="CN1177">
        <v>-0.16</v>
      </c>
      <c r="CO1177">
        <v>87</v>
      </c>
      <c r="CP1177">
        <v>-6.6</v>
      </c>
      <c r="CQ1177">
        <v>89</v>
      </c>
      <c r="CR1177">
        <v>0</v>
      </c>
      <c r="CS1177">
        <v>0</v>
      </c>
      <c r="CT1177">
        <v>-0.7</v>
      </c>
      <c r="CU1177">
        <v>86</v>
      </c>
      <c r="CV1177">
        <v>0.02</v>
      </c>
      <c r="CW1177">
        <v>44</v>
      </c>
      <c r="CX1177" t="s">
        <v>1252</v>
      </c>
    </row>
    <row r="1178" spans="1:102" x14ac:dyDescent="0.3">
      <c r="A1178" t="str">
        <f>HYPERLINK("https://webapp.icbf.com/v2/app/bull-search/view/760395084","UDP")</f>
        <v>UDP</v>
      </c>
      <c r="B1178" t="s">
        <v>1773</v>
      </c>
      <c r="C1178" t="s">
        <v>1774</v>
      </c>
      <c r="D1178" s="1">
        <v>40015</v>
      </c>
      <c r="E1178" t="s">
        <v>227</v>
      </c>
      <c r="F1178">
        <v>0</v>
      </c>
      <c r="G1178" t="s">
        <v>93</v>
      </c>
      <c r="H1178">
        <v>129.80000000000001</v>
      </c>
      <c r="I1178">
        <v>85</v>
      </c>
      <c r="J1178">
        <v>71.28</v>
      </c>
      <c r="K1178">
        <v>96</v>
      </c>
      <c r="L1178">
        <v>33.85</v>
      </c>
      <c r="M1178">
        <v>77</v>
      </c>
      <c r="N1178">
        <v>39.81</v>
      </c>
      <c r="O1178">
        <v>82</v>
      </c>
      <c r="P1178">
        <v>-51.63</v>
      </c>
      <c r="Q1178">
        <v>88</v>
      </c>
      <c r="R1178">
        <v>-3.93</v>
      </c>
      <c r="S1178">
        <v>75</v>
      </c>
      <c r="T1178">
        <v>33.950000000000003</v>
      </c>
      <c r="U1178">
        <v>87</v>
      </c>
      <c r="V1178">
        <v>6.47</v>
      </c>
      <c r="W1178">
        <v>74</v>
      </c>
      <c r="X1178" t="s">
        <v>276</v>
      </c>
      <c r="Y1178" t="s">
        <v>1775</v>
      </c>
      <c r="Z1178">
        <v>0</v>
      </c>
      <c r="AA1178" t="s">
        <v>1776</v>
      </c>
      <c r="AB1178" t="s">
        <v>1777</v>
      </c>
      <c r="AC1178">
        <v>64</v>
      </c>
      <c r="AD1178">
        <v>31</v>
      </c>
      <c r="AE1178">
        <v>96</v>
      </c>
      <c r="AF1178">
        <v>-172.73</v>
      </c>
      <c r="AG1178">
        <v>13.48</v>
      </c>
      <c r="AH1178">
        <v>4.71</v>
      </c>
      <c r="AI1178">
        <v>0.36</v>
      </c>
      <c r="AJ1178">
        <v>0.19</v>
      </c>
      <c r="AK1178">
        <v>77</v>
      </c>
      <c r="AL1178">
        <v>65</v>
      </c>
      <c r="AM1178">
        <v>28</v>
      </c>
      <c r="AN1178">
        <v>-2.57</v>
      </c>
      <c r="AO1178">
        <v>0.12</v>
      </c>
      <c r="AP1178">
        <v>151</v>
      </c>
      <c r="AQ1178">
        <v>0</v>
      </c>
      <c r="AR1178">
        <v>3.04</v>
      </c>
      <c r="AS1178">
        <v>76</v>
      </c>
      <c r="AT1178">
        <v>1.3</v>
      </c>
      <c r="AU1178">
        <v>82</v>
      </c>
      <c r="AV1178">
        <v>-2.83</v>
      </c>
      <c r="AW1178">
        <v>95</v>
      </c>
      <c r="AX1178">
        <v>0.52</v>
      </c>
      <c r="AY1178">
        <v>75</v>
      </c>
      <c r="AZ1178">
        <v>7</v>
      </c>
      <c r="BA1178">
        <v>60</v>
      </c>
      <c r="BB1178">
        <v>5.36</v>
      </c>
      <c r="BC1178">
        <v>57</v>
      </c>
      <c r="BD1178">
        <v>-0.04</v>
      </c>
      <c r="BE1178">
        <v>0.03</v>
      </c>
      <c r="BF1178">
        <v>0.1</v>
      </c>
      <c r="BG1178">
        <v>85</v>
      </c>
      <c r="BH1178">
        <v>0.18</v>
      </c>
      <c r="BI1178">
        <v>-0.06</v>
      </c>
      <c r="BJ1178">
        <v>1</v>
      </c>
      <c r="BK1178">
        <v>1</v>
      </c>
      <c r="BL1178">
        <v>-3.1</v>
      </c>
      <c r="BM1178">
        <v>-1.81</v>
      </c>
      <c r="BN1178">
        <v>-1.01</v>
      </c>
      <c r="BO1178">
        <v>0.69</v>
      </c>
      <c r="BP1178">
        <v>-0.41</v>
      </c>
      <c r="BQ1178">
        <v>-5.83</v>
      </c>
      <c r="BR1178">
        <v>2.84</v>
      </c>
      <c r="BS1178">
        <v>5.82</v>
      </c>
      <c r="BT1178">
        <v>-1.62</v>
      </c>
      <c r="BU1178">
        <v>-0.49</v>
      </c>
      <c r="BV1178">
        <v>-0.55000000000000004</v>
      </c>
      <c r="BW1178">
        <v>-2.4700000000000002</v>
      </c>
      <c r="BX1178">
        <v>-2.82</v>
      </c>
      <c r="BY1178">
        <v>0.56999999999999995</v>
      </c>
      <c r="BZ1178">
        <v>-1.04</v>
      </c>
      <c r="CA1178">
        <v>1.0900000000000001</v>
      </c>
      <c r="CB1178">
        <v>-0.37</v>
      </c>
      <c r="CC1178">
        <v>3.64</v>
      </c>
      <c r="CD1178">
        <v>-2.0299999999999998</v>
      </c>
      <c r="CE1178">
        <v>0.34</v>
      </c>
      <c r="CF1178">
        <v>-3.4</v>
      </c>
      <c r="CG1178">
        <v>0</v>
      </c>
      <c r="CH1178">
        <v>-1.22</v>
      </c>
      <c r="CI1178">
        <v>0</v>
      </c>
      <c r="CJ1178">
        <v>-28.3</v>
      </c>
      <c r="CK1178">
        <v>90</v>
      </c>
      <c r="CL1178">
        <v>-1.1200000000000001</v>
      </c>
      <c r="CM1178">
        <v>88</v>
      </c>
      <c r="CN1178">
        <v>-0.42</v>
      </c>
      <c r="CO1178">
        <v>86</v>
      </c>
      <c r="CP1178">
        <v>-39.6</v>
      </c>
      <c r="CQ1178">
        <v>80</v>
      </c>
      <c r="CR1178">
        <v>0</v>
      </c>
      <c r="CS1178">
        <v>0</v>
      </c>
      <c r="CT1178">
        <v>-32.1</v>
      </c>
      <c r="CU1178">
        <v>87</v>
      </c>
      <c r="CV1178">
        <v>-0.14000000000000001</v>
      </c>
      <c r="CW1178">
        <v>44</v>
      </c>
      <c r="CX1178" t="s">
        <v>1525</v>
      </c>
    </row>
    <row r="1179" spans="1:102" x14ac:dyDescent="0.3">
      <c r="A1179" t="str">
        <f>HYPERLINK("https://webapp.icbf.com/v2/app/bull-search/view/1495299923","FR4343")</f>
        <v>FR4343</v>
      </c>
      <c r="B1179" t="s">
        <v>2259</v>
      </c>
      <c r="C1179" t="s">
        <v>2260</v>
      </c>
      <c r="D1179" s="1">
        <v>42460</v>
      </c>
      <c r="E1179" t="s">
        <v>92</v>
      </c>
      <c r="F1179">
        <v>100</v>
      </c>
      <c r="G1179" t="s">
        <v>435</v>
      </c>
      <c r="H1179">
        <v>129.66</v>
      </c>
      <c r="I1179">
        <v>69</v>
      </c>
      <c r="J1179">
        <v>60.33</v>
      </c>
      <c r="K1179">
        <v>87</v>
      </c>
      <c r="L1179">
        <v>31.73</v>
      </c>
      <c r="M1179">
        <v>65</v>
      </c>
      <c r="N1179">
        <v>39.97</v>
      </c>
      <c r="O1179">
        <v>82</v>
      </c>
      <c r="P1179">
        <v>-12.63</v>
      </c>
      <c r="Q1179">
        <v>36</v>
      </c>
      <c r="R1179">
        <v>23.24</v>
      </c>
      <c r="S1179">
        <v>62</v>
      </c>
      <c r="T1179">
        <v>-20.14</v>
      </c>
      <c r="U1179">
        <v>33</v>
      </c>
      <c r="V1179">
        <v>7.16</v>
      </c>
      <c r="W1179">
        <v>54</v>
      </c>
      <c r="X1179" t="s">
        <v>276</v>
      </c>
      <c r="Y1179" t="s">
        <v>2261</v>
      </c>
      <c r="Z1179" t="s">
        <v>96</v>
      </c>
      <c r="AA1179" t="s">
        <v>2262</v>
      </c>
      <c r="AB1179" t="s">
        <v>2263</v>
      </c>
      <c r="AC1179">
        <v>0</v>
      </c>
      <c r="AD1179">
        <v>0</v>
      </c>
      <c r="AE1179">
        <v>87</v>
      </c>
      <c r="AF1179">
        <v>354.85</v>
      </c>
      <c r="AG1179">
        <v>11.65</v>
      </c>
      <c r="AH1179">
        <v>11.57</v>
      </c>
      <c r="AI1179">
        <v>-0.04</v>
      </c>
      <c r="AJ1179">
        <v>0</v>
      </c>
      <c r="AK1179">
        <v>65</v>
      </c>
      <c r="AL1179">
        <v>0</v>
      </c>
      <c r="AM1179">
        <v>0</v>
      </c>
      <c r="AN1179">
        <v>-1</v>
      </c>
      <c r="AO1179">
        <v>1.54</v>
      </c>
      <c r="AP1179">
        <v>266</v>
      </c>
      <c r="AQ1179">
        <v>0</v>
      </c>
      <c r="AR1179">
        <v>4.5</v>
      </c>
      <c r="AS1179">
        <v>79</v>
      </c>
      <c r="AT1179">
        <v>2.0699999999999998</v>
      </c>
      <c r="AU1179">
        <v>92</v>
      </c>
      <c r="AV1179">
        <v>-2.7</v>
      </c>
      <c r="AW1179">
        <v>96</v>
      </c>
      <c r="AX1179">
        <v>-0.45</v>
      </c>
      <c r="AY1179">
        <v>81</v>
      </c>
      <c r="AZ1179">
        <v>6.15</v>
      </c>
      <c r="BA1179">
        <v>32</v>
      </c>
      <c r="BB1179">
        <v>4.5599999999999996</v>
      </c>
      <c r="BC1179">
        <v>33</v>
      </c>
      <c r="BD1179">
        <v>-0.08</v>
      </c>
      <c r="BE1179">
        <v>-0.09</v>
      </c>
      <c r="BF1179">
        <v>-0.23</v>
      </c>
      <c r="BG1179">
        <v>74</v>
      </c>
      <c r="BH1179">
        <v>7.0000000000000007E-2</v>
      </c>
      <c r="BI1179">
        <v>-15.01</v>
      </c>
      <c r="BJ1179">
        <v>0</v>
      </c>
      <c r="BK1179">
        <v>0</v>
      </c>
      <c r="BL1179">
        <v>1.85</v>
      </c>
      <c r="BM1179">
        <v>-0.04</v>
      </c>
      <c r="BN1179">
        <v>0.62</v>
      </c>
      <c r="BO1179">
        <v>0.78</v>
      </c>
      <c r="BP1179">
        <v>1.1200000000000001</v>
      </c>
      <c r="BQ1179">
        <v>-0.12</v>
      </c>
      <c r="BR1179">
        <v>0.33</v>
      </c>
      <c r="BS1179">
        <v>2.85</v>
      </c>
      <c r="BT1179">
        <v>0.09</v>
      </c>
      <c r="BU1179">
        <v>5.08</v>
      </c>
      <c r="BV1179">
        <v>4.5999999999999996</v>
      </c>
      <c r="BW1179">
        <v>2.2400000000000002</v>
      </c>
      <c r="BX1179">
        <v>4.43</v>
      </c>
      <c r="BY1179">
        <v>3.51</v>
      </c>
      <c r="BZ1179">
        <v>-0.02</v>
      </c>
      <c r="CA1179">
        <v>4.2300000000000004</v>
      </c>
      <c r="CB1179">
        <v>4.05</v>
      </c>
      <c r="CC1179">
        <v>2.09</v>
      </c>
      <c r="CD1179">
        <v>0.14000000000000001</v>
      </c>
      <c r="CE1179">
        <v>1.28</v>
      </c>
      <c r="CF1179">
        <v>1.6</v>
      </c>
      <c r="CG1179">
        <v>0</v>
      </c>
      <c r="CH1179">
        <v>3.25</v>
      </c>
      <c r="CI1179">
        <v>0</v>
      </c>
      <c r="CJ1179">
        <v>-6.1</v>
      </c>
      <c r="CK1179">
        <v>38</v>
      </c>
      <c r="CL1179">
        <v>-1.65</v>
      </c>
      <c r="CM1179">
        <v>33</v>
      </c>
      <c r="CN1179">
        <v>-1.01</v>
      </c>
      <c r="CO1179">
        <v>33</v>
      </c>
      <c r="CP1179">
        <v>6.6</v>
      </c>
      <c r="CQ1179">
        <v>34</v>
      </c>
      <c r="CR1179">
        <v>0</v>
      </c>
      <c r="CS1179">
        <v>0</v>
      </c>
      <c r="CT1179">
        <v>41</v>
      </c>
      <c r="CU1179">
        <v>33</v>
      </c>
      <c r="CV1179">
        <v>0.16</v>
      </c>
      <c r="CW1179">
        <v>31</v>
      </c>
      <c r="CX1179" t="s">
        <v>2264</v>
      </c>
    </row>
    <row r="1180" spans="1:102" x14ac:dyDescent="0.3">
      <c r="A1180" t="str">
        <f>HYPERLINK("https://webapp.icbf.com/v2/app/bull-search/view/910800205","S2237")</f>
        <v>S2237</v>
      </c>
      <c r="B1180" t="s">
        <v>5955</v>
      </c>
      <c r="C1180" t="s">
        <v>5885</v>
      </c>
      <c r="D1180" s="1">
        <v>40265</v>
      </c>
      <c r="E1180" t="s">
        <v>92</v>
      </c>
      <c r="F1180">
        <v>100</v>
      </c>
      <c r="G1180" t="s">
        <v>109</v>
      </c>
      <c r="H1180">
        <v>129.46</v>
      </c>
      <c r="I1180">
        <v>73</v>
      </c>
      <c r="J1180">
        <v>97.15</v>
      </c>
      <c r="K1180">
        <v>83</v>
      </c>
      <c r="L1180">
        <v>22.74</v>
      </c>
      <c r="M1180">
        <v>81</v>
      </c>
      <c r="N1180">
        <v>22.93</v>
      </c>
      <c r="O1180">
        <v>70</v>
      </c>
      <c r="P1180">
        <v>-17.489999999999998</v>
      </c>
      <c r="Q1180">
        <v>67</v>
      </c>
      <c r="R1180">
        <v>-0.1</v>
      </c>
      <c r="S1180">
        <v>63</v>
      </c>
      <c r="T1180">
        <v>3.17</v>
      </c>
      <c r="U1180">
        <v>44</v>
      </c>
      <c r="V1180">
        <v>1.06</v>
      </c>
      <c r="W1180">
        <v>23</v>
      </c>
      <c r="X1180" t="s">
        <v>94</v>
      </c>
      <c r="Y1180" t="s">
        <v>367</v>
      </c>
      <c r="Z1180" t="s">
        <v>96</v>
      </c>
      <c r="AA1180" t="s">
        <v>1572</v>
      </c>
      <c r="AB1180" t="s">
        <v>5956</v>
      </c>
      <c r="AC1180">
        <v>0</v>
      </c>
      <c r="AD1180">
        <v>0</v>
      </c>
      <c r="AE1180">
        <v>83</v>
      </c>
      <c r="AF1180">
        <v>639.22</v>
      </c>
      <c r="AG1180">
        <v>23.17</v>
      </c>
      <c r="AH1180">
        <v>18.11</v>
      </c>
      <c r="AI1180">
        <v>-0.03</v>
      </c>
      <c r="AJ1180">
        <v>-0.06</v>
      </c>
      <c r="AK1180">
        <v>81</v>
      </c>
      <c r="AL1180">
        <v>0</v>
      </c>
      <c r="AM1180">
        <v>0</v>
      </c>
      <c r="AN1180">
        <v>-2.27</v>
      </c>
      <c r="AO1180">
        <v>-0.47</v>
      </c>
      <c r="AP1180">
        <v>34</v>
      </c>
      <c r="AQ1180">
        <v>0</v>
      </c>
      <c r="AR1180">
        <v>5.94</v>
      </c>
      <c r="AS1180">
        <v>51</v>
      </c>
      <c r="AT1180">
        <v>2.4900000000000002</v>
      </c>
      <c r="AU1180">
        <v>90</v>
      </c>
      <c r="AV1180">
        <v>-2.2999999999999998</v>
      </c>
      <c r="AW1180">
        <v>81</v>
      </c>
      <c r="AX1180">
        <v>-0.22</v>
      </c>
      <c r="AY1180">
        <v>56</v>
      </c>
      <c r="AZ1180">
        <v>7.83</v>
      </c>
      <c r="BA1180">
        <v>39</v>
      </c>
      <c r="BB1180">
        <v>5.54</v>
      </c>
      <c r="BC1180">
        <v>27</v>
      </c>
      <c r="BD1180">
        <v>0.02</v>
      </c>
      <c r="BE1180">
        <v>0.01</v>
      </c>
      <c r="BF1180">
        <v>-0.05</v>
      </c>
      <c r="BG1180">
        <v>88</v>
      </c>
      <c r="BH1180">
        <v>-7.0000000000000007E-2</v>
      </c>
      <c r="BI1180">
        <v>-11.52</v>
      </c>
      <c r="BJ1180">
        <v>10</v>
      </c>
      <c r="BK1180">
        <v>4</v>
      </c>
      <c r="BL1180">
        <v>2.2999999999999998</v>
      </c>
      <c r="BM1180">
        <v>-1.01</v>
      </c>
      <c r="BN1180">
        <v>1.1100000000000001</v>
      </c>
      <c r="BO1180">
        <v>1.62</v>
      </c>
      <c r="BP1180">
        <v>-2.02</v>
      </c>
      <c r="BQ1180">
        <v>0.7</v>
      </c>
      <c r="BR1180">
        <v>0.61</v>
      </c>
      <c r="BS1180">
        <v>1</v>
      </c>
      <c r="BT1180">
        <v>0.31</v>
      </c>
      <c r="BU1180">
        <v>1.2</v>
      </c>
      <c r="BV1180">
        <v>2.29</v>
      </c>
      <c r="BW1180">
        <v>2.4</v>
      </c>
      <c r="BX1180">
        <v>1.34</v>
      </c>
      <c r="BY1180">
        <v>2.0299999999999998</v>
      </c>
      <c r="BZ1180">
        <v>0.02</v>
      </c>
      <c r="CA1180">
        <v>1.41</v>
      </c>
      <c r="CB1180">
        <v>1.82</v>
      </c>
      <c r="CC1180">
        <v>-0.1</v>
      </c>
      <c r="CD1180">
        <v>-1.32</v>
      </c>
      <c r="CE1180">
        <v>1.0900000000000001</v>
      </c>
      <c r="CF1180">
        <v>1.74</v>
      </c>
      <c r="CG1180">
        <v>0</v>
      </c>
      <c r="CH1180">
        <v>1.33</v>
      </c>
      <c r="CI1180">
        <v>0</v>
      </c>
      <c r="CJ1180">
        <v>-5.9</v>
      </c>
      <c r="CK1180">
        <v>71</v>
      </c>
      <c r="CL1180">
        <v>-1.36</v>
      </c>
      <c r="CM1180">
        <v>67</v>
      </c>
      <c r="CN1180">
        <v>-0.43</v>
      </c>
      <c r="CO1180">
        <v>65</v>
      </c>
      <c r="CP1180">
        <v>-2.2999999999999998</v>
      </c>
      <c r="CQ1180">
        <v>47</v>
      </c>
      <c r="CR1180">
        <v>0</v>
      </c>
      <c r="CS1180">
        <v>0</v>
      </c>
      <c r="CT1180">
        <v>9.5</v>
      </c>
      <c r="CU1180">
        <v>44</v>
      </c>
      <c r="CV1180">
        <v>0.37</v>
      </c>
      <c r="CW1180">
        <v>21</v>
      </c>
      <c r="CX1180" t="s">
        <v>5957</v>
      </c>
    </row>
    <row r="1181" spans="1:102" x14ac:dyDescent="0.3">
      <c r="A1181" t="str">
        <f>HYPERLINK("https://webapp.icbf.com/v2/app/bull-search/view/668860085","PYI")</f>
        <v>PYI</v>
      </c>
      <c r="B1181" t="s">
        <v>12802</v>
      </c>
      <c r="C1181" t="s">
        <v>12803</v>
      </c>
      <c r="D1181" s="1">
        <v>39853</v>
      </c>
      <c r="E1181" t="s">
        <v>92</v>
      </c>
      <c r="F1181">
        <v>59</v>
      </c>
      <c r="G1181" t="s">
        <v>435</v>
      </c>
      <c r="H1181">
        <v>129.44</v>
      </c>
      <c r="I1181">
        <v>71</v>
      </c>
      <c r="J1181">
        <v>85.73</v>
      </c>
      <c r="K1181">
        <v>89</v>
      </c>
      <c r="L1181">
        <v>19.96</v>
      </c>
      <c r="M1181">
        <v>67</v>
      </c>
      <c r="N1181">
        <v>16.61</v>
      </c>
      <c r="O1181">
        <v>58</v>
      </c>
      <c r="P1181">
        <v>-6.37</v>
      </c>
      <c r="Q1181">
        <v>61</v>
      </c>
      <c r="R1181">
        <v>-7.66</v>
      </c>
      <c r="S1181">
        <v>66</v>
      </c>
      <c r="T1181">
        <v>12.94</v>
      </c>
      <c r="U1181">
        <v>52</v>
      </c>
      <c r="V1181">
        <v>8.23</v>
      </c>
      <c r="W1181">
        <v>63</v>
      </c>
      <c r="X1181" t="s">
        <v>94</v>
      </c>
      <c r="Y1181" t="s">
        <v>1727</v>
      </c>
      <c r="Z1181" t="s">
        <v>96</v>
      </c>
      <c r="AA1181" t="s">
        <v>1514</v>
      </c>
      <c r="AB1181" t="s">
        <v>12804</v>
      </c>
      <c r="AC1181">
        <v>1</v>
      </c>
      <c r="AD1181">
        <v>1</v>
      </c>
      <c r="AE1181">
        <v>89</v>
      </c>
      <c r="AF1181">
        <v>366.09</v>
      </c>
      <c r="AG1181">
        <v>12.93</v>
      </c>
      <c r="AH1181">
        <v>15.61</v>
      </c>
      <c r="AI1181">
        <v>-0.03</v>
      </c>
      <c r="AJ1181">
        <v>0.06</v>
      </c>
      <c r="AK1181">
        <v>67</v>
      </c>
      <c r="AL1181">
        <v>0</v>
      </c>
      <c r="AM1181">
        <v>0</v>
      </c>
      <c r="AN1181">
        <v>-0.44</v>
      </c>
      <c r="AO1181">
        <v>1.1599999999999999</v>
      </c>
      <c r="AP1181">
        <v>0</v>
      </c>
      <c r="AQ1181">
        <v>1</v>
      </c>
      <c r="AR1181">
        <v>8.75</v>
      </c>
      <c r="AS1181">
        <v>53</v>
      </c>
      <c r="AT1181">
        <v>3.32</v>
      </c>
      <c r="AU1181">
        <v>63</v>
      </c>
      <c r="AV1181">
        <v>-2.0299999999999998</v>
      </c>
      <c r="AW1181">
        <v>62</v>
      </c>
      <c r="AX1181">
        <v>-0.18</v>
      </c>
      <c r="AY1181">
        <v>48</v>
      </c>
      <c r="AZ1181">
        <v>5.33</v>
      </c>
      <c r="BA1181">
        <v>44</v>
      </c>
      <c r="BB1181">
        <v>4.26</v>
      </c>
      <c r="BC1181">
        <v>46</v>
      </c>
      <c r="BD1181">
        <v>0</v>
      </c>
      <c r="BE1181">
        <v>0.04</v>
      </c>
      <c r="BF1181">
        <v>0.1</v>
      </c>
      <c r="BG1181">
        <v>74</v>
      </c>
      <c r="BH1181">
        <v>0.17</v>
      </c>
      <c r="BI1181">
        <v>-6.88</v>
      </c>
      <c r="BJ1181">
        <v>0</v>
      </c>
      <c r="BK1181">
        <v>0</v>
      </c>
      <c r="BL1181">
        <v>-0.34</v>
      </c>
      <c r="BM1181">
        <v>-0.98</v>
      </c>
      <c r="BN1181">
        <v>-1.84</v>
      </c>
      <c r="BO1181">
        <v>-0.7</v>
      </c>
      <c r="BP1181">
        <v>-1.84</v>
      </c>
      <c r="BQ1181">
        <v>0.69</v>
      </c>
      <c r="BR1181">
        <v>3.16</v>
      </c>
      <c r="BS1181">
        <v>-1.96</v>
      </c>
      <c r="BT1181">
        <v>-2.64</v>
      </c>
      <c r="BU1181">
        <v>-1.76</v>
      </c>
      <c r="BV1181">
        <v>-1.1000000000000001</v>
      </c>
      <c r="BW1181">
        <v>-1.51</v>
      </c>
      <c r="BX1181">
        <v>-0.13</v>
      </c>
      <c r="BY1181">
        <v>-1.87</v>
      </c>
      <c r="BZ1181">
        <v>-1.69</v>
      </c>
      <c r="CA1181">
        <v>-1.3</v>
      </c>
      <c r="CB1181">
        <v>-1.53</v>
      </c>
      <c r="CC1181">
        <v>-1.32</v>
      </c>
      <c r="CD1181">
        <v>-0.23</v>
      </c>
      <c r="CE1181">
        <v>-0.43</v>
      </c>
      <c r="CF1181">
        <v>-0.71</v>
      </c>
      <c r="CG1181">
        <v>0</v>
      </c>
      <c r="CH1181">
        <v>-2.0499999999999998</v>
      </c>
      <c r="CI1181">
        <v>0</v>
      </c>
      <c r="CJ1181">
        <v>1.2</v>
      </c>
      <c r="CK1181">
        <v>63</v>
      </c>
      <c r="CL1181">
        <v>-0.72</v>
      </c>
      <c r="CM1181">
        <v>60</v>
      </c>
      <c r="CN1181">
        <v>-0.05</v>
      </c>
      <c r="CO1181">
        <v>58</v>
      </c>
      <c r="CP1181">
        <v>-7.9</v>
      </c>
      <c r="CQ1181">
        <v>53</v>
      </c>
      <c r="CR1181">
        <v>0</v>
      </c>
      <c r="CS1181">
        <v>0</v>
      </c>
      <c r="CT1181">
        <v>-3.7</v>
      </c>
      <c r="CU1181">
        <v>52</v>
      </c>
      <c r="CV1181">
        <v>0.11</v>
      </c>
      <c r="CW1181">
        <v>39</v>
      </c>
      <c r="CX1181" t="s">
        <v>1229</v>
      </c>
    </row>
    <row r="1182" spans="1:102" x14ac:dyDescent="0.3">
      <c r="A1182" t="str">
        <f>HYPERLINK("https://webapp.icbf.com/v2/app/bull-search/view/1161619300","HPP")</f>
        <v>HPP</v>
      </c>
      <c r="B1182" t="s">
        <v>13381</v>
      </c>
      <c r="C1182" t="s">
        <v>13382</v>
      </c>
      <c r="D1182" s="1">
        <v>41064</v>
      </c>
      <c r="E1182" t="s">
        <v>92</v>
      </c>
      <c r="F1182">
        <v>100</v>
      </c>
      <c r="G1182" t="s">
        <v>93</v>
      </c>
      <c r="H1182">
        <v>129.38</v>
      </c>
      <c r="I1182">
        <v>84</v>
      </c>
      <c r="J1182">
        <v>97.94</v>
      </c>
      <c r="K1182">
        <v>96</v>
      </c>
      <c r="L1182">
        <v>10.73</v>
      </c>
      <c r="M1182">
        <v>82</v>
      </c>
      <c r="N1182">
        <v>28.71</v>
      </c>
      <c r="O1182">
        <v>82</v>
      </c>
      <c r="P1182">
        <v>-11.05</v>
      </c>
      <c r="Q1182">
        <v>87</v>
      </c>
      <c r="R1182">
        <v>3.25</v>
      </c>
      <c r="S1182">
        <v>75</v>
      </c>
      <c r="T1182">
        <v>-2.82</v>
      </c>
      <c r="U1182">
        <v>61</v>
      </c>
      <c r="V1182">
        <v>2.62</v>
      </c>
      <c r="W1182">
        <v>64</v>
      </c>
      <c r="X1182" t="s">
        <v>428</v>
      </c>
      <c r="Y1182" t="s">
        <v>2066</v>
      </c>
      <c r="Z1182" t="s">
        <v>96</v>
      </c>
      <c r="AA1182" t="s">
        <v>2004</v>
      </c>
      <c r="AB1182" t="s">
        <v>13383</v>
      </c>
      <c r="AC1182">
        <v>86</v>
      </c>
      <c r="AD1182">
        <v>31</v>
      </c>
      <c r="AE1182">
        <v>96</v>
      </c>
      <c r="AF1182">
        <v>363.44</v>
      </c>
      <c r="AG1182">
        <v>16.82</v>
      </c>
      <c r="AH1182">
        <v>16.27</v>
      </c>
      <c r="AI1182">
        <v>0.04</v>
      </c>
      <c r="AJ1182">
        <v>7.0000000000000007E-2</v>
      </c>
      <c r="AK1182">
        <v>82</v>
      </c>
      <c r="AL1182">
        <v>56</v>
      </c>
      <c r="AM1182">
        <v>25</v>
      </c>
      <c r="AN1182">
        <v>-1.02</v>
      </c>
      <c r="AO1182">
        <v>-0.17</v>
      </c>
      <c r="AP1182">
        <v>166</v>
      </c>
      <c r="AQ1182">
        <v>3</v>
      </c>
      <c r="AR1182">
        <v>4.82</v>
      </c>
      <c r="AS1182">
        <v>75</v>
      </c>
      <c r="AT1182">
        <v>1.94</v>
      </c>
      <c r="AU1182">
        <v>88</v>
      </c>
      <c r="AV1182">
        <v>-2.1800000000000002</v>
      </c>
      <c r="AW1182">
        <v>94</v>
      </c>
      <c r="AX1182">
        <v>-0.08</v>
      </c>
      <c r="AY1182">
        <v>77</v>
      </c>
      <c r="AZ1182">
        <v>7.38</v>
      </c>
      <c r="BA1182">
        <v>61</v>
      </c>
      <c r="BB1182">
        <v>5.47</v>
      </c>
      <c r="BC1182">
        <v>46</v>
      </c>
      <c r="BD1182">
        <v>-0.01</v>
      </c>
      <c r="BE1182">
        <v>-0.02</v>
      </c>
      <c r="BF1182">
        <v>-0.02</v>
      </c>
      <c r="BG1182">
        <v>89</v>
      </c>
      <c r="BH1182">
        <v>-0.09</v>
      </c>
      <c r="BI1182">
        <v>-18.850000000000001</v>
      </c>
      <c r="BJ1182">
        <v>10</v>
      </c>
      <c r="BK1182">
        <v>8</v>
      </c>
      <c r="BL1182">
        <v>1.25</v>
      </c>
      <c r="BM1182">
        <v>-0.72</v>
      </c>
      <c r="BN1182">
        <v>-0.94</v>
      </c>
      <c r="BO1182">
        <v>-0.03</v>
      </c>
      <c r="BP1182">
        <v>-1.71</v>
      </c>
      <c r="BQ1182">
        <v>0.02</v>
      </c>
      <c r="BR1182">
        <v>-2.5099999999999998</v>
      </c>
      <c r="BS1182">
        <v>1.08</v>
      </c>
      <c r="BT1182">
        <v>2.48</v>
      </c>
      <c r="BU1182">
        <v>2.95</v>
      </c>
      <c r="BV1182">
        <v>2.15</v>
      </c>
      <c r="BW1182">
        <v>1.22</v>
      </c>
      <c r="BX1182">
        <v>2.04</v>
      </c>
      <c r="BY1182">
        <v>1.1399999999999999</v>
      </c>
      <c r="BZ1182">
        <v>-0.19</v>
      </c>
      <c r="CA1182">
        <v>1.94</v>
      </c>
      <c r="CB1182">
        <v>2.02</v>
      </c>
      <c r="CC1182">
        <v>1.06</v>
      </c>
      <c r="CD1182">
        <v>0.55000000000000004</v>
      </c>
      <c r="CE1182">
        <v>0.55000000000000004</v>
      </c>
      <c r="CF1182">
        <v>0.09</v>
      </c>
      <c r="CG1182">
        <v>0</v>
      </c>
      <c r="CH1182">
        <v>1.39</v>
      </c>
      <c r="CI1182">
        <v>0</v>
      </c>
      <c r="CJ1182">
        <v>-2.4</v>
      </c>
      <c r="CK1182">
        <v>90</v>
      </c>
      <c r="CL1182">
        <v>-1.23</v>
      </c>
      <c r="CM1182">
        <v>87</v>
      </c>
      <c r="CN1182">
        <v>-0.44</v>
      </c>
      <c r="CO1182">
        <v>86</v>
      </c>
      <c r="CP1182">
        <v>-1.3</v>
      </c>
      <c r="CQ1182">
        <v>70</v>
      </c>
      <c r="CR1182">
        <v>0</v>
      </c>
      <c r="CS1182">
        <v>0</v>
      </c>
      <c r="CT1182">
        <v>17.600000000000001</v>
      </c>
      <c r="CU1182">
        <v>61</v>
      </c>
      <c r="CV1182">
        <v>0.26</v>
      </c>
      <c r="CW1182">
        <v>44</v>
      </c>
      <c r="CX1182" t="s">
        <v>1572</v>
      </c>
    </row>
    <row r="1183" spans="1:102" x14ac:dyDescent="0.3">
      <c r="A1183" t="str">
        <f>HYPERLINK("https://webapp.icbf.com/v2/app/bull-search/view/1145126358","JE2017")</f>
        <v>JE2017</v>
      </c>
      <c r="B1183" t="s">
        <v>6098</v>
      </c>
      <c r="C1183" t="s">
        <v>6099</v>
      </c>
      <c r="D1183" s="1">
        <v>41697</v>
      </c>
      <c r="E1183" t="s">
        <v>227</v>
      </c>
      <c r="F1183">
        <v>0</v>
      </c>
      <c r="G1183" t="s">
        <v>93</v>
      </c>
      <c r="H1183">
        <v>129.16</v>
      </c>
      <c r="I1183">
        <v>80</v>
      </c>
      <c r="J1183">
        <v>49.45</v>
      </c>
      <c r="K1183">
        <v>96</v>
      </c>
      <c r="L1183">
        <v>32.49</v>
      </c>
      <c r="M1183">
        <v>66</v>
      </c>
      <c r="N1183">
        <v>33.6</v>
      </c>
      <c r="O1183">
        <v>87</v>
      </c>
      <c r="P1183">
        <v>-38.93</v>
      </c>
      <c r="Q1183">
        <v>93</v>
      </c>
      <c r="R1183">
        <v>9.09</v>
      </c>
      <c r="S1183">
        <v>69</v>
      </c>
      <c r="T1183">
        <v>37.51</v>
      </c>
      <c r="U1183">
        <v>81</v>
      </c>
      <c r="V1183">
        <v>5.95</v>
      </c>
      <c r="W1183">
        <v>38</v>
      </c>
      <c r="X1183" t="s">
        <v>102</v>
      </c>
      <c r="Y1183" t="s">
        <v>416</v>
      </c>
      <c r="Z1183">
        <v>0</v>
      </c>
      <c r="AA1183" t="s">
        <v>5349</v>
      </c>
      <c r="AB1183" t="s">
        <v>6100</v>
      </c>
      <c r="AC1183">
        <v>180</v>
      </c>
      <c r="AD1183">
        <v>54</v>
      </c>
      <c r="AE1183">
        <v>96</v>
      </c>
      <c r="AF1183">
        <v>-418.67</v>
      </c>
      <c r="AG1183">
        <v>10.89</v>
      </c>
      <c r="AH1183">
        <v>-1.85</v>
      </c>
      <c r="AI1183">
        <v>0.48</v>
      </c>
      <c r="AJ1183">
        <v>0.22</v>
      </c>
      <c r="AK1183">
        <v>66</v>
      </c>
      <c r="AL1183">
        <v>132</v>
      </c>
      <c r="AM1183">
        <v>49</v>
      </c>
      <c r="AN1183">
        <v>-1.85</v>
      </c>
      <c r="AO1183">
        <v>0.74</v>
      </c>
      <c r="AP1183">
        <v>565</v>
      </c>
      <c r="AQ1183">
        <v>5</v>
      </c>
      <c r="AR1183">
        <v>3.66</v>
      </c>
      <c r="AS1183">
        <v>90</v>
      </c>
      <c r="AT1183">
        <v>1.73</v>
      </c>
      <c r="AU1183">
        <v>90</v>
      </c>
      <c r="AV1183">
        <v>-2.09</v>
      </c>
      <c r="AW1183">
        <v>99</v>
      </c>
      <c r="AX1183">
        <v>0.47</v>
      </c>
      <c r="AY1183">
        <v>91</v>
      </c>
      <c r="AZ1183">
        <v>6.3</v>
      </c>
      <c r="BA1183">
        <v>64</v>
      </c>
      <c r="BB1183">
        <v>5.0599999999999996</v>
      </c>
      <c r="BC1183">
        <v>44</v>
      </c>
      <c r="BD1183">
        <v>-0.03</v>
      </c>
      <c r="BE1183">
        <v>-0.01</v>
      </c>
      <c r="BF1183">
        <v>-0.14000000000000001</v>
      </c>
      <c r="BG1183">
        <v>85</v>
      </c>
      <c r="BH1183">
        <v>0.16</v>
      </c>
      <c r="BI1183">
        <v>-0.67</v>
      </c>
      <c r="BJ1183">
        <v>0</v>
      </c>
      <c r="BK1183">
        <v>0</v>
      </c>
      <c r="BL1183">
        <v>-3.57</v>
      </c>
      <c r="BM1183">
        <v>-1.57</v>
      </c>
      <c r="BN1183">
        <v>-0.94</v>
      </c>
      <c r="BO1183">
        <v>0.31</v>
      </c>
      <c r="BP1183">
        <v>-1.41</v>
      </c>
      <c r="BQ1183">
        <v>-5.79</v>
      </c>
      <c r="BR1183">
        <v>3.16</v>
      </c>
      <c r="BS1183">
        <v>6.51</v>
      </c>
      <c r="BT1183">
        <v>-2.17</v>
      </c>
      <c r="BU1183">
        <v>-0.19</v>
      </c>
      <c r="BV1183">
        <v>-0.1</v>
      </c>
      <c r="BW1183">
        <v>-2.37</v>
      </c>
      <c r="BX1183">
        <v>-2.74</v>
      </c>
      <c r="BY1183">
        <v>-0.17</v>
      </c>
      <c r="BZ1183">
        <v>-0.5</v>
      </c>
      <c r="CA1183">
        <v>1.34</v>
      </c>
      <c r="CB1183">
        <v>-0.13</v>
      </c>
      <c r="CC1183">
        <v>3.79</v>
      </c>
      <c r="CD1183">
        <v>-1.56</v>
      </c>
      <c r="CE1183">
        <v>0.22</v>
      </c>
      <c r="CF1183">
        <v>-3.59</v>
      </c>
      <c r="CG1183">
        <v>0</v>
      </c>
      <c r="CH1183">
        <v>-1.47</v>
      </c>
      <c r="CI1183">
        <v>0</v>
      </c>
      <c r="CJ1183">
        <v>-18</v>
      </c>
      <c r="CK1183">
        <v>95</v>
      </c>
      <c r="CL1183">
        <v>-0.74</v>
      </c>
      <c r="CM1183">
        <v>93</v>
      </c>
      <c r="CN1183">
        <v>0.16</v>
      </c>
      <c r="CO1183">
        <v>92</v>
      </c>
      <c r="CP1183">
        <v>-30.5</v>
      </c>
      <c r="CQ1183">
        <v>80</v>
      </c>
      <c r="CR1183">
        <v>0</v>
      </c>
      <c r="CS1183">
        <v>0</v>
      </c>
      <c r="CT1183">
        <v>-36.9</v>
      </c>
      <c r="CU1183">
        <v>81</v>
      </c>
      <c r="CV1183">
        <v>-0.18</v>
      </c>
      <c r="CW1183">
        <v>28</v>
      </c>
      <c r="CX1183" t="s">
        <v>4189</v>
      </c>
    </row>
    <row r="1184" spans="1:102" x14ac:dyDescent="0.3">
      <c r="A1184" t="str">
        <f>HYPERLINK("https://webapp.icbf.com/v2/app/bull-search/view/910797967","GKW")</f>
        <v>GKW</v>
      </c>
      <c r="B1184" t="s">
        <v>9163</v>
      </c>
      <c r="C1184" t="s">
        <v>9164</v>
      </c>
      <c r="D1184" s="1">
        <v>40389</v>
      </c>
      <c r="E1184" t="s">
        <v>108</v>
      </c>
      <c r="F1184">
        <v>44</v>
      </c>
      <c r="G1184" t="s">
        <v>93</v>
      </c>
      <c r="H1184">
        <v>129.13999999999999</v>
      </c>
      <c r="I1184">
        <v>92</v>
      </c>
      <c r="J1184">
        <v>92.29</v>
      </c>
      <c r="K1184">
        <v>98</v>
      </c>
      <c r="L1184">
        <v>-6.17</v>
      </c>
      <c r="M1184">
        <v>86</v>
      </c>
      <c r="N1184">
        <v>47.91</v>
      </c>
      <c r="O1184">
        <v>92</v>
      </c>
      <c r="P1184">
        <v>-28.77</v>
      </c>
      <c r="Q1184">
        <v>96</v>
      </c>
      <c r="R1184">
        <v>-7.94</v>
      </c>
      <c r="S1184">
        <v>84</v>
      </c>
      <c r="T1184">
        <v>30.55</v>
      </c>
      <c r="U1184">
        <v>94</v>
      </c>
      <c r="V1184">
        <v>1.27</v>
      </c>
      <c r="W1184">
        <v>78</v>
      </c>
      <c r="X1184" t="s">
        <v>276</v>
      </c>
      <c r="Y1184" t="s">
        <v>1923</v>
      </c>
      <c r="Z1184" t="s">
        <v>330</v>
      </c>
      <c r="AA1184" t="s">
        <v>392</v>
      </c>
      <c r="AB1184" t="s">
        <v>9165</v>
      </c>
      <c r="AC1184">
        <v>288</v>
      </c>
      <c r="AD1184">
        <v>94</v>
      </c>
      <c r="AE1184">
        <v>98</v>
      </c>
      <c r="AF1184">
        <v>336.43</v>
      </c>
      <c r="AG1184">
        <v>18.899999999999999</v>
      </c>
      <c r="AH1184">
        <v>14.16</v>
      </c>
      <c r="AI1184">
        <v>0.1</v>
      </c>
      <c r="AJ1184">
        <v>0.05</v>
      </c>
      <c r="AK1184">
        <v>86</v>
      </c>
      <c r="AL1184">
        <v>312</v>
      </c>
      <c r="AM1184">
        <v>104</v>
      </c>
      <c r="AN1184">
        <v>0.48</v>
      </c>
      <c r="AO1184">
        <v>-0.01</v>
      </c>
      <c r="AP1184">
        <v>615</v>
      </c>
      <c r="AQ1184">
        <v>3</v>
      </c>
      <c r="AR1184">
        <v>4.91</v>
      </c>
      <c r="AS1184">
        <v>84</v>
      </c>
      <c r="AT1184">
        <v>1.96</v>
      </c>
      <c r="AU1184">
        <v>94</v>
      </c>
      <c r="AV1184">
        <v>-3.91</v>
      </c>
      <c r="AW1184">
        <v>99</v>
      </c>
      <c r="AX1184">
        <v>0.16</v>
      </c>
      <c r="AY1184">
        <v>92</v>
      </c>
      <c r="AZ1184">
        <v>5.45</v>
      </c>
      <c r="BA1184">
        <v>80</v>
      </c>
      <c r="BB1184">
        <v>4.7699999999999996</v>
      </c>
      <c r="BC1184">
        <v>78</v>
      </c>
      <c r="BD1184">
        <v>0.01</v>
      </c>
      <c r="BE1184">
        <v>0.04</v>
      </c>
      <c r="BF1184">
        <v>0.09</v>
      </c>
      <c r="BG1184">
        <v>94</v>
      </c>
      <c r="BH1184">
        <v>0.04</v>
      </c>
      <c r="BI1184">
        <v>0.53</v>
      </c>
      <c r="BJ1184">
        <v>3</v>
      </c>
      <c r="BK1184">
        <v>3</v>
      </c>
      <c r="BL1184">
        <v>-2.25</v>
      </c>
      <c r="BM1184">
        <v>-0.72</v>
      </c>
      <c r="BN1184">
        <v>-1.37</v>
      </c>
      <c r="BO1184">
        <v>-0.92</v>
      </c>
      <c r="BP1184">
        <v>0.33</v>
      </c>
      <c r="BQ1184">
        <v>-2.23</v>
      </c>
      <c r="BR1184">
        <v>2.1</v>
      </c>
      <c r="BS1184">
        <v>2.02</v>
      </c>
      <c r="BT1184">
        <v>-0.64</v>
      </c>
      <c r="BU1184">
        <v>-2.5299999999999998</v>
      </c>
      <c r="BV1184">
        <v>-2.23</v>
      </c>
      <c r="BW1184">
        <v>-3.14</v>
      </c>
      <c r="BX1184">
        <v>-3.14</v>
      </c>
      <c r="BY1184">
        <v>-1.59</v>
      </c>
      <c r="BZ1184">
        <v>0.38</v>
      </c>
      <c r="CA1184">
        <v>-2.09</v>
      </c>
      <c r="CB1184">
        <v>-2.4</v>
      </c>
      <c r="CC1184">
        <v>0.45</v>
      </c>
      <c r="CD1184">
        <v>0.92</v>
      </c>
      <c r="CE1184">
        <v>-0.31</v>
      </c>
      <c r="CF1184">
        <v>-2.83</v>
      </c>
      <c r="CG1184">
        <v>0</v>
      </c>
      <c r="CH1184">
        <v>-1.92</v>
      </c>
      <c r="CI1184">
        <v>0</v>
      </c>
      <c r="CJ1184">
        <v>-13.7</v>
      </c>
      <c r="CK1184">
        <v>97</v>
      </c>
      <c r="CL1184">
        <v>-0.73</v>
      </c>
      <c r="CM1184">
        <v>96</v>
      </c>
      <c r="CN1184">
        <v>-0.03</v>
      </c>
      <c r="CO1184">
        <v>96</v>
      </c>
      <c r="CP1184">
        <v>-17.899999999999999</v>
      </c>
      <c r="CQ1184">
        <v>92</v>
      </c>
      <c r="CR1184">
        <v>0</v>
      </c>
      <c r="CS1184">
        <v>0</v>
      </c>
      <c r="CT1184">
        <v>-27.5</v>
      </c>
      <c r="CU1184">
        <v>94</v>
      </c>
      <c r="CV1184">
        <v>0.04</v>
      </c>
      <c r="CW1184">
        <v>46</v>
      </c>
      <c r="CX1184" t="s">
        <v>333</v>
      </c>
    </row>
    <row r="1185" spans="1:102" x14ac:dyDescent="0.3">
      <c r="A1185" t="str">
        <f>HYPERLINK("https://webapp.icbf.com/v2/app/bull-search/view/1376535302","FR4211")</f>
        <v>FR4211</v>
      </c>
      <c r="B1185" t="s">
        <v>2279</v>
      </c>
      <c r="C1185" t="s">
        <v>2280</v>
      </c>
      <c r="D1185" s="1">
        <v>42100</v>
      </c>
      <c r="E1185" t="s">
        <v>92</v>
      </c>
      <c r="F1185">
        <v>100</v>
      </c>
      <c r="G1185" t="s">
        <v>109</v>
      </c>
      <c r="H1185">
        <v>129.02000000000001</v>
      </c>
      <c r="I1185">
        <v>71</v>
      </c>
      <c r="J1185">
        <v>86.41</v>
      </c>
      <c r="K1185">
        <v>91</v>
      </c>
      <c r="L1185">
        <v>-42.22</v>
      </c>
      <c r="M1185">
        <v>74</v>
      </c>
      <c r="N1185">
        <v>56.63</v>
      </c>
      <c r="O1185">
        <v>57</v>
      </c>
      <c r="P1185">
        <v>0.16</v>
      </c>
      <c r="Q1185">
        <v>44</v>
      </c>
      <c r="R1185">
        <v>16.559999999999999</v>
      </c>
      <c r="S1185">
        <v>68</v>
      </c>
      <c r="T1185">
        <v>-2.75</v>
      </c>
      <c r="U1185">
        <v>36</v>
      </c>
      <c r="V1185">
        <v>14.23</v>
      </c>
      <c r="W1185">
        <v>54</v>
      </c>
      <c r="X1185" t="s">
        <v>94</v>
      </c>
      <c r="Y1185" t="s">
        <v>2261</v>
      </c>
      <c r="Z1185" t="s">
        <v>96</v>
      </c>
      <c r="AA1185" t="s">
        <v>2272</v>
      </c>
      <c r="AB1185" t="s">
        <v>2281</v>
      </c>
      <c r="AC1185">
        <v>0</v>
      </c>
      <c r="AD1185">
        <v>0</v>
      </c>
      <c r="AE1185">
        <v>91</v>
      </c>
      <c r="AF1185">
        <v>624.27</v>
      </c>
      <c r="AG1185">
        <v>17.670000000000002</v>
      </c>
      <c r="AH1185">
        <v>18</v>
      </c>
      <c r="AI1185">
        <v>-0.11</v>
      </c>
      <c r="AJ1185">
        <v>-0.05</v>
      </c>
      <c r="AK1185">
        <v>74</v>
      </c>
      <c r="AL1185">
        <v>0</v>
      </c>
      <c r="AM1185">
        <v>0</v>
      </c>
      <c r="AN1185">
        <v>3.62</v>
      </c>
      <c r="AO1185">
        <v>0.27</v>
      </c>
      <c r="AP1185">
        <v>10</v>
      </c>
      <c r="AQ1185">
        <v>0</v>
      </c>
      <c r="AR1185">
        <v>6.83</v>
      </c>
      <c r="AS1185">
        <v>61</v>
      </c>
      <c r="AT1185">
        <v>2.06</v>
      </c>
      <c r="AU1185">
        <v>91</v>
      </c>
      <c r="AV1185">
        <v>-5.29</v>
      </c>
      <c r="AW1185">
        <v>49</v>
      </c>
      <c r="AX1185">
        <v>0.27</v>
      </c>
      <c r="AY1185">
        <v>47</v>
      </c>
      <c r="AZ1185">
        <v>5.53</v>
      </c>
      <c r="BA1185">
        <v>38</v>
      </c>
      <c r="BB1185">
        <v>4.18</v>
      </c>
      <c r="BC1185">
        <v>33</v>
      </c>
      <c r="BD1185">
        <v>-0.04</v>
      </c>
      <c r="BE1185">
        <v>-0.06</v>
      </c>
      <c r="BF1185">
        <v>-0.2</v>
      </c>
      <c r="BG1185">
        <v>86</v>
      </c>
      <c r="BH1185">
        <v>0.15</v>
      </c>
      <c r="BI1185">
        <v>-28.56</v>
      </c>
      <c r="BJ1185">
        <v>0</v>
      </c>
      <c r="BK1185">
        <v>0</v>
      </c>
      <c r="BL1185">
        <v>0.82</v>
      </c>
      <c r="BM1185">
        <v>-1.58</v>
      </c>
      <c r="BN1185">
        <v>-0.52</v>
      </c>
      <c r="BO1185">
        <v>0.96</v>
      </c>
      <c r="BP1185">
        <v>0.69</v>
      </c>
      <c r="BQ1185">
        <v>-0.97</v>
      </c>
      <c r="BR1185">
        <v>-0.31</v>
      </c>
      <c r="BS1185">
        <v>2.65</v>
      </c>
      <c r="BT1185">
        <v>0.56999999999999995</v>
      </c>
      <c r="BU1185">
        <v>2.2999999999999998</v>
      </c>
      <c r="BV1185">
        <v>2.73</v>
      </c>
      <c r="BW1185">
        <v>1.44</v>
      </c>
      <c r="BX1185">
        <v>1.57</v>
      </c>
      <c r="BY1185">
        <v>2.5099999999999998</v>
      </c>
      <c r="BZ1185">
        <v>-1.26</v>
      </c>
      <c r="CA1185">
        <v>2.63</v>
      </c>
      <c r="CB1185">
        <v>2.29</v>
      </c>
      <c r="CC1185">
        <v>2.2599999999999998</v>
      </c>
      <c r="CD1185">
        <v>-1.35</v>
      </c>
      <c r="CE1185">
        <v>0.5</v>
      </c>
      <c r="CF1185">
        <v>-0.16</v>
      </c>
      <c r="CG1185">
        <v>0</v>
      </c>
      <c r="CH1185">
        <v>2.48</v>
      </c>
      <c r="CI1185">
        <v>0</v>
      </c>
      <c r="CJ1185">
        <v>0.9</v>
      </c>
      <c r="CK1185">
        <v>45</v>
      </c>
      <c r="CL1185">
        <v>-1.1200000000000001</v>
      </c>
      <c r="CM1185">
        <v>43</v>
      </c>
      <c r="CN1185">
        <v>-0.85</v>
      </c>
      <c r="CO1185">
        <v>42</v>
      </c>
      <c r="CP1185">
        <v>3.5</v>
      </c>
      <c r="CQ1185">
        <v>38</v>
      </c>
      <c r="CR1185">
        <v>0</v>
      </c>
      <c r="CS1185">
        <v>0</v>
      </c>
      <c r="CT1185">
        <v>17.5</v>
      </c>
      <c r="CU1185">
        <v>36</v>
      </c>
      <c r="CV1185">
        <v>0.26</v>
      </c>
      <c r="CW1185">
        <v>34</v>
      </c>
      <c r="CX1185" t="s">
        <v>1894</v>
      </c>
    </row>
    <row r="1186" spans="1:102" x14ac:dyDescent="0.3">
      <c r="A1186" t="str">
        <f>HYPERLINK("https://webapp.icbf.com/v2/app/bull-search/view/666905467","KBY")</f>
        <v>KBY</v>
      </c>
      <c r="B1186" t="s">
        <v>5384</v>
      </c>
      <c r="C1186" t="s">
        <v>5385</v>
      </c>
      <c r="D1186" s="1">
        <v>39847</v>
      </c>
      <c r="E1186" t="s">
        <v>227</v>
      </c>
      <c r="F1186">
        <v>0</v>
      </c>
      <c r="G1186" t="s">
        <v>116</v>
      </c>
      <c r="H1186">
        <v>128.99</v>
      </c>
      <c r="I1186">
        <v>36</v>
      </c>
      <c r="J1186">
        <v>41.94</v>
      </c>
      <c r="K1186">
        <v>46</v>
      </c>
      <c r="L1186">
        <v>48.26</v>
      </c>
      <c r="M1186">
        <v>32</v>
      </c>
      <c r="N1186">
        <v>20.39</v>
      </c>
      <c r="O1186">
        <v>29</v>
      </c>
      <c r="P1186">
        <v>-49.95</v>
      </c>
      <c r="Q1186">
        <v>35</v>
      </c>
      <c r="R1186">
        <v>6</v>
      </c>
      <c r="S1186">
        <v>33</v>
      </c>
      <c r="T1186">
        <v>58.82</v>
      </c>
      <c r="U1186">
        <v>31</v>
      </c>
      <c r="V1186">
        <v>3.53</v>
      </c>
      <c r="W1186">
        <v>31</v>
      </c>
      <c r="X1186" t="s">
        <v>94</v>
      </c>
      <c r="Y1186" t="s">
        <v>1727</v>
      </c>
      <c r="Z1186">
        <v>0</v>
      </c>
      <c r="AA1186" t="s">
        <v>4189</v>
      </c>
      <c r="AB1186" t="s">
        <v>5386</v>
      </c>
      <c r="AC1186">
        <v>0</v>
      </c>
      <c r="AD1186">
        <v>0</v>
      </c>
      <c r="AE1186">
        <v>46</v>
      </c>
      <c r="AF1186">
        <v>-497.98</v>
      </c>
      <c r="AG1186">
        <v>10.01</v>
      </c>
      <c r="AH1186">
        <v>-4.03</v>
      </c>
      <c r="AI1186">
        <v>0.55000000000000004</v>
      </c>
      <c r="AJ1186">
        <v>0.25</v>
      </c>
      <c r="AK1186">
        <v>32</v>
      </c>
      <c r="AL1186">
        <v>0</v>
      </c>
      <c r="AM1186">
        <v>0</v>
      </c>
      <c r="AN1186">
        <v>-1.74</v>
      </c>
      <c r="AO1186">
        <v>2.12</v>
      </c>
      <c r="AP1186">
        <v>0</v>
      </c>
      <c r="AQ1186">
        <v>1</v>
      </c>
      <c r="AR1186">
        <v>2.4</v>
      </c>
      <c r="AS1186">
        <v>28</v>
      </c>
      <c r="AT1186">
        <v>1.34</v>
      </c>
      <c r="AU1186">
        <v>29</v>
      </c>
      <c r="AV1186">
        <v>-0.67</v>
      </c>
      <c r="AW1186">
        <v>30</v>
      </c>
      <c r="AX1186">
        <v>0.7</v>
      </c>
      <c r="AY1186">
        <v>31</v>
      </c>
      <c r="AZ1186">
        <v>8.18</v>
      </c>
      <c r="BA1186">
        <v>27</v>
      </c>
      <c r="BB1186">
        <v>5.48</v>
      </c>
      <c r="BC1186">
        <v>27</v>
      </c>
      <c r="BD1186">
        <v>-0.06</v>
      </c>
      <c r="BE1186">
        <v>-0.02</v>
      </c>
      <c r="BF1186">
        <v>0</v>
      </c>
      <c r="BG1186">
        <v>35</v>
      </c>
      <c r="BH1186">
        <v>0.11</v>
      </c>
      <c r="BI1186">
        <v>1.33</v>
      </c>
      <c r="BJ1186">
        <v>0</v>
      </c>
      <c r="BK1186">
        <v>0</v>
      </c>
      <c r="BL1186">
        <v>-2.96</v>
      </c>
      <c r="BM1186">
        <v>-1.53</v>
      </c>
      <c r="BN1186">
        <v>-1.02</v>
      </c>
      <c r="BO1186">
        <v>0.26</v>
      </c>
      <c r="BP1186">
        <v>-0.93</v>
      </c>
      <c r="BQ1186">
        <v>-5.85</v>
      </c>
      <c r="BR1186">
        <v>3.25</v>
      </c>
      <c r="BS1186">
        <v>5.26</v>
      </c>
      <c r="BT1186">
        <v>-2.41</v>
      </c>
      <c r="BU1186">
        <v>0.18</v>
      </c>
      <c r="BV1186">
        <v>0.04</v>
      </c>
      <c r="BW1186">
        <v>-2.38</v>
      </c>
      <c r="BX1186">
        <v>-2.94</v>
      </c>
      <c r="BY1186">
        <v>-0.6</v>
      </c>
      <c r="BZ1186">
        <v>-0.56999999999999995</v>
      </c>
      <c r="CA1186">
        <v>1.05</v>
      </c>
      <c r="CB1186">
        <v>0</v>
      </c>
      <c r="CC1186">
        <v>2.68</v>
      </c>
      <c r="CD1186">
        <v>-1.21</v>
      </c>
      <c r="CE1186">
        <v>0.17</v>
      </c>
      <c r="CF1186">
        <v>-3.16</v>
      </c>
      <c r="CG1186">
        <v>0</v>
      </c>
      <c r="CH1186">
        <v>-0.88</v>
      </c>
      <c r="CI1186">
        <v>0</v>
      </c>
      <c r="CJ1186">
        <v>-25.6</v>
      </c>
      <c r="CK1186">
        <v>36</v>
      </c>
      <c r="CL1186">
        <v>-0.82</v>
      </c>
      <c r="CM1186">
        <v>34</v>
      </c>
      <c r="CN1186">
        <v>-0.04</v>
      </c>
      <c r="CO1186">
        <v>33</v>
      </c>
      <c r="CP1186">
        <v>-44.2</v>
      </c>
      <c r="CQ1186">
        <v>33</v>
      </c>
      <c r="CR1186">
        <v>0</v>
      </c>
      <c r="CS1186">
        <v>0</v>
      </c>
      <c r="CT1186">
        <v>-65.7</v>
      </c>
      <c r="CU1186">
        <v>31</v>
      </c>
      <c r="CV1186">
        <v>-0.3</v>
      </c>
      <c r="CW1186">
        <v>10</v>
      </c>
      <c r="CX1186" t="s">
        <v>5314</v>
      </c>
    </row>
    <row r="1187" spans="1:102" x14ac:dyDescent="0.3">
      <c r="A1187" t="str">
        <f>HYPERLINK("https://webapp.icbf.com/v2/app/bull-search/view/1354259368","FR4115")</f>
        <v>FR4115</v>
      </c>
      <c r="B1187" t="s">
        <v>6165</v>
      </c>
      <c r="C1187" t="s">
        <v>6166</v>
      </c>
      <c r="D1187" s="1">
        <v>42404</v>
      </c>
      <c r="E1187" t="s">
        <v>92</v>
      </c>
      <c r="F1187">
        <v>72</v>
      </c>
      <c r="G1187" t="s">
        <v>435</v>
      </c>
      <c r="H1187">
        <v>128.99</v>
      </c>
      <c r="I1187">
        <v>71</v>
      </c>
      <c r="J1187">
        <v>18.309999999999999</v>
      </c>
      <c r="K1187">
        <v>88</v>
      </c>
      <c r="L1187">
        <v>61.24</v>
      </c>
      <c r="M1187">
        <v>59</v>
      </c>
      <c r="N1187">
        <v>39.020000000000003</v>
      </c>
      <c r="O1187">
        <v>78</v>
      </c>
      <c r="P1187">
        <v>-5.05</v>
      </c>
      <c r="Q1187">
        <v>76</v>
      </c>
      <c r="R1187">
        <v>-2.38</v>
      </c>
      <c r="S1187">
        <v>59</v>
      </c>
      <c r="T1187">
        <v>11.61</v>
      </c>
      <c r="U1187">
        <v>57</v>
      </c>
      <c r="V1187">
        <v>6.24</v>
      </c>
      <c r="W1187">
        <v>54</v>
      </c>
      <c r="X1187" t="s">
        <v>94</v>
      </c>
      <c r="Y1187" t="s">
        <v>436</v>
      </c>
      <c r="Z1187" t="s">
        <v>96</v>
      </c>
      <c r="AA1187" t="s">
        <v>2499</v>
      </c>
      <c r="AB1187" t="s">
        <v>6167</v>
      </c>
      <c r="AC1187">
        <v>0</v>
      </c>
      <c r="AD1187">
        <v>0</v>
      </c>
      <c r="AE1187">
        <v>88</v>
      </c>
      <c r="AF1187">
        <v>-208.76</v>
      </c>
      <c r="AG1187">
        <v>-1.53</v>
      </c>
      <c r="AH1187">
        <v>0.46</v>
      </c>
      <c r="AI1187">
        <v>0.11</v>
      </c>
      <c r="AJ1187">
        <v>0.14000000000000001</v>
      </c>
      <c r="AK1187">
        <v>59</v>
      </c>
      <c r="AL1187">
        <v>0</v>
      </c>
      <c r="AM1187">
        <v>0</v>
      </c>
      <c r="AN1187">
        <v>-2.86</v>
      </c>
      <c r="AO1187">
        <v>2.0299999999999998</v>
      </c>
      <c r="AP1187">
        <v>196</v>
      </c>
      <c r="AQ1187">
        <v>1</v>
      </c>
      <c r="AR1187">
        <v>6.97</v>
      </c>
      <c r="AS1187">
        <v>53</v>
      </c>
      <c r="AT1187">
        <v>2.65</v>
      </c>
      <c r="AU1187">
        <v>85</v>
      </c>
      <c r="AV1187">
        <v>-3.91</v>
      </c>
      <c r="AW1187">
        <v>96</v>
      </c>
      <c r="AX1187">
        <v>0.04</v>
      </c>
      <c r="AY1187">
        <v>75</v>
      </c>
      <c r="AZ1187">
        <v>5.28</v>
      </c>
      <c r="BA1187">
        <v>41</v>
      </c>
      <c r="BB1187">
        <v>4.83</v>
      </c>
      <c r="BC1187">
        <v>37</v>
      </c>
      <c r="BD1187">
        <v>-0.02</v>
      </c>
      <c r="BE1187">
        <v>0.02</v>
      </c>
      <c r="BF1187">
        <v>0.05</v>
      </c>
      <c r="BG1187">
        <v>70</v>
      </c>
      <c r="BH1187">
        <v>0.12</v>
      </c>
      <c r="BI1187">
        <v>-6.24</v>
      </c>
      <c r="BJ1187">
        <v>0</v>
      </c>
      <c r="BK1187">
        <v>0</v>
      </c>
      <c r="BL1187">
        <v>-0.37</v>
      </c>
      <c r="BM1187">
        <v>0.26</v>
      </c>
      <c r="BN1187">
        <v>-1.04</v>
      </c>
      <c r="BO1187">
        <v>-0.46</v>
      </c>
      <c r="BP1187">
        <v>1.02</v>
      </c>
      <c r="BQ1187">
        <v>-0.76</v>
      </c>
      <c r="BR1187">
        <v>0.06</v>
      </c>
      <c r="BS1187">
        <v>0.41</v>
      </c>
      <c r="BT1187">
        <v>-0.6</v>
      </c>
      <c r="BU1187">
        <v>0.04</v>
      </c>
      <c r="BV1187">
        <v>-0.18</v>
      </c>
      <c r="BW1187">
        <v>-0.16</v>
      </c>
      <c r="BX1187">
        <v>-0.38</v>
      </c>
      <c r="BY1187">
        <v>0.09</v>
      </c>
      <c r="BZ1187">
        <v>0.14000000000000001</v>
      </c>
      <c r="CA1187">
        <v>-0.2</v>
      </c>
      <c r="CB1187">
        <v>0.13</v>
      </c>
      <c r="CC1187">
        <v>-0.1</v>
      </c>
      <c r="CD1187">
        <v>0.28000000000000003</v>
      </c>
      <c r="CE1187">
        <v>-0.6</v>
      </c>
      <c r="CF1187">
        <v>-0.8</v>
      </c>
      <c r="CG1187">
        <v>0</v>
      </c>
      <c r="CH1187">
        <v>1.85</v>
      </c>
      <c r="CI1187">
        <v>0</v>
      </c>
      <c r="CJ1187">
        <v>0.6</v>
      </c>
      <c r="CK1187">
        <v>80</v>
      </c>
      <c r="CL1187">
        <v>-0.56999999999999995</v>
      </c>
      <c r="CM1187">
        <v>76</v>
      </c>
      <c r="CN1187">
        <v>-0.05</v>
      </c>
      <c r="CO1187">
        <v>74</v>
      </c>
      <c r="CP1187">
        <v>-3.9</v>
      </c>
      <c r="CQ1187">
        <v>56</v>
      </c>
      <c r="CR1187">
        <v>0</v>
      </c>
      <c r="CS1187">
        <v>0</v>
      </c>
      <c r="CT1187">
        <v>-1.9</v>
      </c>
      <c r="CU1187">
        <v>57</v>
      </c>
      <c r="CV1187">
        <v>0.06</v>
      </c>
      <c r="CW1187">
        <v>42</v>
      </c>
      <c r="CX1187" t="s">
        <v>4059</v>
      </c>
    </row>
    <row r="1188" spans="1:102" x14ac:dyDescent="0.3">
      <c r="A1188" t="str">
        <f>HYPERLINK("https://webapp.icbf.com/v2/app/bull-search/view/497281557","OTH")</f>
        <v>OTH</v>
      </c>
      <c r="B1188" t="s">
        <v>4230</v>
      </c>
      <c r="C1188" t="s">
        <v>4231</v>
      </c>
      <c r="D1188" s="1">
        <v>39127</v>
      </c>
      <c r="E1188" t="s">
        <v>92</v>
      </c>
      <c r="F1188">
        <v>81</v>
      </c>
      <c r="G1188" t="s">
        <v>93</v>
      </c>
      <c r="H1188">
        <v>128.88</v>
      </c>
      <c r="I1188">
        <v>93</v>
      </c>
      <c r="J1188">
        <v>25.2</v>
      </c>
      <c r="K1188">
        <v>99</v>
      </c>
      <c r="L1188">
        <v>47.4</v>
      </c>
      <c r="M1188">
        <v>87</v>
      </c>
      <c r="N1188">
        <v>38.35</v>
      </c>
      <c r="O1188">
        <v>94</v>
      </c>
      <c r="P1188">
        <v>-17.45</v>
      </c>
      <c r="Q1188">
        <v>98</v>
      </c>
      <c r="R1188">
        <v>4.9400000000000004</v>
      </c>
      <c r="S1188">
        <v>87</v>
      </c>
      <c r="T1188">
        <v>26.26</v>
      </c>
      <c r="U1188">
        <v>93</v>
      </c>
      <c r="V1188">
        <v>4.18</v>
      </c>
      <c r="W1188">
        <v>86</v>
      </c>
      <c r="X1188" t="s">
        <v>94</v>
      </c>
      <c r="Y1188" t="s">
        <v>1513</v>
      </c>
      <c r="Z1188" t="s">
        <v>96</v>
      </c>
      <c r="AA1188" t="s">
        <v>1406</v>
      </c>
      <c r="AB1188" t="s">
        <v>4232</v>
      </c>
      <c r="AC1188">
        <v>304</v>
      </c>
      <c r="AD1188">
        <v>130</v>
      </c>
      <c r="AE1188">
        <v>99</v>
      </c>
      <c r="AF1188">
        <v>-54.12</v>
      </c>
      <c r="AG1188">
        <v>2.14</v>
      </c>
      <c r="AH1188">
        <v>2.7</v>
      </c>
      <c r="AI1188">
        <v>0.08</v>
      </c>
      <c r="AJ1188">
        <v>0.08</v>
      </c>
      <c r="AK1188">
        <v>87</v>
      </c>
      <c r="AL1188">
        <v>352</v>
      </c>
      <c r="AM1188">
        <v>156</v>
      </c>
      <c r="AN1188">
        <v>-1.84</v>
      </c>
      <c r="AO1188">
        <v>1.95</v>
      </c>
      <c r="AP1188">
        <v>616</v>
      </c>
      <c r="AQ1188">
        <v>5</v>
      </c>
      <c r="AR1188">
        <v>5.18</v>
      </c>
      <c r="AS1188">
        <v>94</v>
      </c>
      <c r="AT1188">
        <v>2.08</v>
      </c>
      <c r="AU1188">
        <v>93</v>
      </c>
      <c r="AV1188">
        <v>-4.05</v>
      </c>
      <c r="AW1188">
        <v>99</v>
      </c>
      <c r="AX1188">
        <v>0.63</v>
      </c>
      <c r="AY1188">
        <v>93</v>
      </c>
      <c r="AZ1188">
        <v>7.75</v>
      </c>
      <c r="BA1188">
        <v>84</v>
      </c>
      <c r="BB1188">
        <v>5.69</v>
      </c>
      <c r="BC1188">
        <v>84</v>
      </c>
      <c r="BD1188">
        <v>-0.04</v>
      </c>
      <c r="BE1188">
        <v>-0.03</v>
      </c>
      <c r="BF1188">
        <v>0.01</v>
      </c>
      <c r="BG1188">
        <v>95</v>
      </c>
      <c r="BH1188">
        <v>0.11</v>
      </c>
      <c r="BI1188">
        <v>-0.77</v>
      </c>
      <c r="BJ1188">
        <v>36</v>
      </c>
      <c r="BK1188">
        <v>22</v>
      </c>
      <c r="BL1188">
        <v>-1.37</v>
      </c>
      <c r="BM1188">
        <v>0</v>
      </c>
      <c r="BN1188">
        <v>-1.58</v>
      </c>
      <c r="BO1188">
        <v>-1.36</v>
      </c>
      <c r="BP1188">
        <v>0.55000000000000004</v>
      </c>
      <c r="BQ1188">
        <v>-1.48</v>
      </c>
      <c r="BR1188">
        <v>0.82</v>
      </c>
      <c r="BS1188">
        <v>-1.63</v>
      </c>
      <c r="BT1188">
        <v>-0.71</v>
      </c>
      <c r="BU1188">
        <v>-1.83</v>
      </c>
      <c r="BV1188">
        <v>-1.1200000000000001</v>
      </c>
      <c r="BW1188">
        <v>-0.71</v>
      </c>
      <c r="BX1188">
        <v>-0.64</v>
      </c>
      <c r="BY1188">
        <v>-1.3</v>
      </c>
      <c r="BZ1188">
        <v>-0.84</v>
      </c>
      <c r="CA1188">
        <v>-1.42</v>
      </c>
      <c r="CB1188">
        <v>-1.38</v>
      </c>
      <c r="CC1188">
        <v>-1.24</v>
      </c>
      <c r="CD1188">
        <v>0.31</v>
      </c>
      <c r="CE1188">
        <v>-0.74</v>
      </c>
      <c r="CF1188">
        <v>-1.74</v>
      </c>
      <c r="CG1188">
        <v>0</v>
      </c>
      <c r="CH1188">
        <v>-1.43</v>
      </c>
      <c r="CI1188">
        <v>0</v>
      </c>
      <c r="CJ1188">
        <v>-6.4</v>
      </c>
      <c r="CK1188">
        <v>98</v>
      </c>
      <c r="CL1188">
        <v>-0.8</v>
      </c>
      <c r="CM1188">
        <v>98</v>
      </c>
      <c r="CN1188">
        <v>-0.17</v>
      </c>
      <c r="CO1188">
        <v>98</v>
      </c>
      <c r="CP1188">
        <v>-15.7</v>
      </c>
      <c r="CQ1188">
        <v>95</v>
      </c>
      <c r="CR1188">
        <v>0</v>
      </c>
      <c r="CS1188">
        <v>0</v>
      </c>
      <c r="CT1188">
        <v>-21.7</v>
      </c>
      <c r="CU1188">
        <v>93</v>
      </c>
      <c r="CV1188">
        <v>0.06</v>
      </c>
      <c r="CW1188">
        <v>46</v>
      </c>
      <c r="CX1188" t="s">
        <v>4059</v>
      </c>
    </row>
    <row r="1189" spans="1:102" x14ac:dyDescent="0.3">
      <c r="A1189" t="str">
        <f>HYPERLINK("https://webapp.icbf.com/v2/app/bull-search/view/556239122","TGK")</f>
        <v>TGK</v>
      </c>
      <c r="B1189" t="s">
        <v>12108</v>
      </c>
      <c r="C1189" t="s">
        <v>12109</v>
      </c>
      <c r="D1189" s="1">
        <v>39481</v>
      </c>
      <c r="E1189" t="s">
        <v>395</v>
      </c>
      <c r="F1189">
        <v>0</v>
      </c>
      <c r="G1189" t="s">
        <v>93</v>
      </c>
      <c r="H1189">
        <v>128.77000000000001</v>
      </c>
      <c r="I1189">
        <v>89</v>
      </c>
      <c r="J1189">
        <v>8.58</v>
      </c>
      <c r="K1189">
        <v>98</v>
      </c>
      <c r="L1189">
        <v>64.13</v>
      </c>
      <c r="M1189">
        <v>81</v>
      </c>
      <c r="N1189">
        <v>36.89</v>
      </c>
      <c r="O1189">
        <v>89</v>
      </c>
      <c r="P1189">
        <v>-0.28999999999999998</v>
      </c>
      <c r="Q1189">
        <v>95</v>
      </c>
      <c r="R1189">
        <v>8.52</v>
      </c>
      <c r="S1189">
        <v>82</v>
      </c>
      <c r="T1189">
        <v>15.53</v>
      </c>
      <c r="U1189">
        <v>92</v>
      </c>
      <c r="V1189">
        <v>-4.59</v>
      </c>
      <c r="W1189">
        <v>82</v>
      </c>
      <c r="X1189" t="s">
        <v>94</v>
      </c>
      <c r="Y1189" t="s">
        <v>319</v>
      </c>
      <c r="Z1189">
        <v>0</v>
      </c>
      <c r="AA1189" t="s">
        <v>12103</v>
      </c>
      <c r="AB1189" t="s">
        <v>12110</v>
      </c>
      <c r="AC1189">
        <v>147</v>
      </c>
      <c r="AD1189">
        <v>98</v>
      </c>
      <c r="AE1189">
        <v>98</v>
      </c>
      <c r="AF1189">
        <v>-116.36</v>
      </c>
      <c r="AG1189">
        <v>-1.42</v>
      </c>
      <c r="AH1189">
        <v>0.18</v>
      </c>
      <c r="AI1189">
        <v>0.06</v>
      </c>
      <c r="AJ1189">
        <v>7.0000000000000007E-2</v>
      </c>
      <c r="AK1189">
        <v>81</v>
      </c>
      <c r="AL1189">
        <v>169</v>
      </c>
      <c r="AM1189">
        <v>110</v>
      </c>
      <c r="AN1189">
        <v>-3.85</v>
      </c>
      <c r="AO1189">
        <v>1.26</v>
      </c>
      <c r="AP1189">
        <v>355</v>
      </c>
      <c r="AQ1189">
        <v>7</v>
      </c>
      <c r="AR1189">
        <v>5.16</v>
      </c>
      <c r="AS1189">
        <v>79</v>
      </c>
      <c r="AT1189">
        <v>2.1800000000000002</v>
      </c>
      <c r="AU1189">
        <v>91</v>
      </c>
      <c r="AV1189">
        <v>-2.61</v>
      </c>
      <c r="AW1189">
        <v>98</v>
      </c>
      <c r="AX1189">
        <v>0.15</v>
      </c>
      <c r="AY1189">
        <v>89</v>
      </c>
      <c r="AZ1189">
        <v>5.15</v>
      </c>
      <c r="BA1189">
        <v>72</v>
      </c>
      <c r="BB1189">
        <v>4.5999999999999996</v>
      </c>
      <c r="BC1189">
        <v>72</v>
      </c>
      <c r="BD1189">
        <v>-0.06</v>
      </c>
      <c r="BE1189">
        <v>-0.04</v>
      </c>
      <c r="BF1189">
        <v>-0.02</v>
      </c>
      <c r="BG1189">
        <v>91</v>
      </c>
      <c r="BH1189">
        <v>-0.3</v>
      </c>
      <c r="BI1189">
        <v>-19.899999999999999</v>
      </c>
      <c r="BJ1189">
        <v>21</v>
      </c>
      <c r="BK1189">
        <v>9</v>
      </c>
      <c r="BL1189">
        <v>-2.08</v>
      </c>
      <c r="BM1189">
        <v>-0.33</v>
      </c>
      <c r="BN1189">
        <v>-2.06</v>
      </c>
      <c r="BO1189">
        <v>-1.29</v>
      </c>
      <c r="BP1189">
        <v>-1.1299999999999999</v>
      </c>
      <c r="BQ1189">
        <v>-1.95</v>
      </c>
      <c r="BR1189">
        <v>0.55000000000000004</v>
      </c>
      <c r="BS1189">
        <v>-0.47</v>
      </c>
      <c r="BT1189">
        <v>-7.0000000000000007E-2</v>
      </c>
      <c r="BU1189">
        <v>-1.1599999999999999</v>
      </c>
      <c r="BV1189">
        <v>-3.43</v>
      </c>
      <c r="BW1189">
        <v>-2.86</v>
      </c>
      <c r="BX1189">
        <v>-0.56000000000000005</v>
      </c>
      <c r="BY1189">
        <v>-1.05</v>
      </c>
      <c r="BZ1189">
        <v>-2.41</v>
      </c>
      <c r="CA1189">
        <v>-2.2799999999999998</v>
      </c>
      <c r="CB1189">
        <v>-2.04</v>
      </c>
      <c r="CC1189">
        <v>-1.92</v>
      </c>
      <c r="CD1189">
        <v>0.04</v>
      </c>
      <c r="CE1189">
        <v>-1.54</v>
      </c>
      <c r="CF1189">
        <v>-2.06</v>
      </c>
      <c r="CG1189">
        <v>0</v>
      </c>
      <c r="CH1189">
        <v>-0.97</v>
      </c>
      <c r="CI1189">
        <v>0</v>
      </c>
      <c r="CJ1189">
        <v>0.1</v>
      </c>
      <c r="CK1189">
        <v>96</v>
      </c>
      <c r="CL1189">
        <v>-0.28999999999999998</v>
      </c>
      <c r="CM1189">
        <v>95</v>
      </c>
      <c r="CN1189">
        <v>-0.27</v>
      </c>
      <c r="CO1189">
        <v>95</v>
      </c>
      <c r="CP1189">
        <v>-4</v>
      </c>
      <c r="CQ1189">
        <v>89</v>
      </c>
      <c r="CR1189">
        <v>0</v>
      </c>
      <c r="CS1189">
        <v>0</v>
      </c>
      <c r="CT1189">
        <v>-7.2</v>
      </c>
      <c r="CU1189">
        <v>92</v>
      </c>
      <c r="CV1189">
        <v>0.04</v>
      </c>
      <c r="CW1189">
        <v>45</v>
      </c>
      <c r="CX1189" t="s">
        <v>1580</v>
      </c>
    </row>
    <row r="1190" spans="1:102" x14ac:dyDescent="0.3">
      <c r="A1190" t="str">
        <f>HYPERLINK("https://webapp.icbf.com/v2/app/bull-search/view/452621345","HZK")</f>
        <v>HZK</v>
      </c>
      <c r="B1190" t="s">
        <v>7465</v>
      </c>
      <c r="C1190" t="s">
        <v>7466</v>
      </c>
      <c r="D1190" s="1">
        <v>38798</v>
      </c>
      <c r="E1190" t="s">
        <v>227</v>
      </c>
      <c r="F1190">
        <v>0</v>
      </c>
      <c r="G1190" t="s">
        <v>93</v>
      </c>
      <c r="H1190">
        <v>128.69999999999999</v>
      </c>
      <c r="I1190">
        <v>92</v>
      </c>
      <c r="J1190">
        <v>11.16</v>
      </c>
      <c r="K1190">
        <v>98</v>
      </c>
      <c r="L1190">
        <v>93.67</v>
      </c>
      <c r="M1190">
        <v>85</v>
      </c>
      <c r="N1190">
        <v>8.01</v>
      </c>
      <c r="O1190">
        <v>91</v>
      </c>
      <c r="P1190">
        <v>-57.02</v>
      </c>
      <c r="Q1190">
        <v>94</v>
      </c>
      <c r="R1190">
        <v>8.81</v>
      </c>
      <c r="S1190">
        <v>89</v>
      </c>
      <c r="T1190">
        <v>63.04</v>
      </c>
      <c r="U1190">
        <v>93</v>
      </c>
      <c r="V1190">
        <v>1.03</v>
      </c>
      <c r="W1190">
        <v>92</v>
      </c>
      <c r="X1190" t="s">
        <v>94</v>
      </c>
      <c r="Y1190" t="s">
        <v>1128</v>
      </c>
      <c r="Z1190">
        <v>0</v>
      </c>
      <c r="AA1190" t="s">
        <v>1781</v>
      </c>
      <c r="AB1190" t="s">
        <v>7467</v>
      </c>
      <c r="AC1190">
        <v>160</v>
      </c>
      <c r="AD1190">
        <v>94</v>
      </c>
      <c r="AE1190">
        <v>98</v>
      </c>
      <c r="AF1190">
        <v>-698.33</v>
      </c>
      <c r="AG1190">
        <v>8.17</v>
      </c>
      <c r="AH1190">
        <v>-11.68</v>
      </c>
      <c r="AI1190">
        <v>0.7</v>
      </c>
      <c r="AJ1190">
        <v>0.24</v>
      </c>
      <c r="AK1190">
        <v>85</v>
      </c>
      <c r="AL1190">
        <v>171</v>
      </c>
      <c r="AM1190">
        <v>103</v>
      </c>
      <c r="AN1190">
        <v>-3.54</v>
      </c>
      <c r="AO1190">
        <v>3.95</v>
      </c>
      <c r="AP1190">
        <v>308</v>
      </c>
      <c r="AQ1190">
        <v>3</v>
      </c>
      <c r="AR1190">
        <v>2.66</v>
      </c>
      <c r="AS1190">
        <v>87</v>
      </c>
      <c r="AT1190">
        <v>1.33</v>
      </c>
      <c r="AU1190">
        <v>91</v>
      </c>
      <c r="AV1190">
        <v>0.93</v>
      </c>
      <c r="AW1190">
        <v>98</v>
      </c>
      <c r="AX1190">
        <v>2.64</v>
      </c>
      <c r="AY1190">
        <v>88</v>
      </c>
      <c r="AZ1190">
        <v>6.69</v>
      </c>
      <c r="BA1190">
        <v>75</v>
      </c>
      <c r="BB1190">
        <v>4.84</v>
      </c>
      <c r="BC1190">
        <v>80</v>
      </c>
      <c r="BD1190">
        <v>-7.0000000000000007E-2</v>
      </c>
      <c r="BE1190">
        <v>-0.04</v>
      </c>
      <c r="BF1190">
        <v>-0.01</v>
      </c>
      <c r="BG1190">
        <v>94</v>
      </c>
      <c r="BH1190">
        <v>-0.04</v>
      </c>
      <c r="BI1190">
        <v>-7.95</v>
      </c>
      <c r="BJ1190">
        <v>38</v>
      </c>
      <c r="BK1190">
        <v>21</v>
      </c>
      <c r="BL1190">
        <v>-2.81</v>
      </c>
      <c r="BM1190">
        <v>-2.88</v>
      </c>
      <c r="BN1190">
        <v>-2.02</v>
      </c>
      <c r="BO1190">
        <v>0.34</v>
      </c>
      <c r="BP1190">
        <v>0.79</v>
      </c>
      <c r="BQ1190">
        <v>-6.06</v>
      </c>
      <c r="BR1190">
        <v>2.46</v>
      </c>
      <c r="BS1190">
        <v>6.42</v>
      </c>
      <c r="BT1190">
        <v>-1.93</v>
      </c>
      <c r="BU1190">
        <v>-0.53</v>
      </c>
      <c r="BV1190">
        <v>-0.19</v>
      </c>
      <c r="BW1190">
        <v>-1.42</v>
      </c>
      <c r="BX1190">
        <v>-2.89</v>
      </c>
      <c r="BY1190">
        <v>-0.6</v>
      </c>
      <c r="BZ1190">
        <v>-0.1</v>
      </c>
      <c r="CA1190">
        <v>1.5</v>
      </c>
      <c r="CB1190">
        <v>-0.17</v>
      </c>
      <c r="CC1190">
        <v>4.09</v>
      </c>
      <c r="CD1190">
        <v>-1.75</v>
      </c>
      <c r="CE1190">
        <v>0.61</v>
      </c>
      <c r="CF1190">
        <v>-3.15</v>
      </c>
      <c r="CG1190">
        <v>0</v>
      </c>
      <c r="CH1190">
        <v>-0.39</v>
      </c>
      <c r="CI1190">
        <v>0</v>
      </c>
      <c r="CJ1190">
        <v>-29.2</v>
      </c>
      <c r="CK1190">
        <v>95</v>
      </c>
      <c r="CL1190">
        <v>-1.18</v>
      </c>
      <c r="CM1190">
        <v>94</v>
      </c>
      <c r="CN1190">
        <v>-0.27</v>
      </c>
      <c r="CO1190">
        <v>93</v>
      </c>
      <c r="CP1190">
        <v>-51.4</v>
      </c>
      <c r="CQ1190">
        <v>92</v>
      </c>
      <c r="CR1190">
        <v>0</v>
      </c>
      <c r="CS1190">
        <v>0</v>
      </c>
      <c r="CT1190">
        <v>-71.400000000000006</v>
      </c>
      <c r="CU1190">
        <v>93</v>
      </c>
      <c r="CV1190">
        <v>-0.21</v>
      </c>
      <c r="CW1190">
        <v>45</v>
      </c>
      <c r="CX1190" t="s">
        <v>7468</v>
      </c>
    </row>
    <row r="1191" spans="1:102" x14ac:dyDescent="0.3">
      <c r="A1191" t="str">
        <f>HYPERLINK("https://webapp.icbf.com/v2/app/bull-search/view/108368001","SLW")</f>
        <v>SLW</v>
      </c>
      <c r="B1191" t="s">
        <v>8614</v>
      </c>
      <c r="C1191" t="s">
        <v>8615</v>
      </c>
      <c r="D1191" s="1">
        <v>35659</v>
      </c>
      <c r="E1191" t="s">
        <v>108</v>
      </c>
      <c r="F1191">
        <v>25</v>
      </c>
      <c r="G1191" t="s">
        <v>93</v>
      </c>
      <c r="H1191">
        <v>128.66999999999999</v>
      </c>
      <c r="I1191">
        <v>96</v>
      </c>
      <c r="J1191">
        <v>0.55000000000000004</v>
      </c>
      <c r="K1191">
        <v>99</v>
      </c>
      <c r="L1191">
        <v>85.89</v>
      </c>
      <c r="M1191">
        <v>93</v>
      </c>
      <c r="N1191">
        <v>19.86</v>
      </c>
      <c r="O1191">
        <v>97</v>
      </c>
      <c r="P1191">
        <v>-18.350000000000001</v>
      </c>
      <c r="Q1191">
        <v>99</v>
      </c>
      <c r="R1191">
        <v>2.81</v>
      </c>
      <c r="S1191">
        <v>95</v>
      </c>
      <c r="T1191">
        <v>34.03</v>
      </c>
      <c r="U1191">
        <v>98</v>
      </c>
      <c r="V1191">
        <v>3.88</v>
      </c>
      <c r="W1191">
        <v>96</v>
      </c>
      <c r="X1191" t="s">
        <v>302</v>
      </c>
      <c r="Y1191" t="s">
        <v>95</v>
      </c>
      <c r="Z1191" t="s">
        <v>96</v>
      </c>
      <c r="AA1191" t="s">
        <v>1035</v>
      </c>
      <c r="AB1191" t="s">
        <v>8616</v>
      </c>
      <c r="AC1191">
        <v>739</v>
      </c>
      <c r="AD1191">
        <v>210</v>
      </c>
      <c r="AE1191">
        <v>99</v>
      </c>
      <c r="AF1191">
        <v>-120.04</v>
      </c>
      <c r="AG1191">
        <v>1.94</v>
      </c>
      <c r="AH1191">
        <v>-2.4300000000000002</v>
      </c>
      <c r="AI1191">
        <v>0.12</v>
      </c>
      <c r="AJ1191">
        <v>0.03</v>
      </c>
      <c r="AK1191">
        <v>93</v>
      </c>
      <c r="AL1191">
        <v>765</v>
      </c>
      <c r="AM1191">
        <v>202</v>
      </c>
      <c r="AN1191">
        <v>-3.86</v>
      </c>
      <c r="AO1191">
        <v>3</v>
      </c>
      <c r="AP1191">
        <v>1066</v>
      </c>
      <c r="AQ1191">
        <v>3</v>
      </c>
      <c r="AR1191">
        <v>4.8499999999999996</v>
      </c>
      <c r="AS1191">
        <v>96</v>
      </c>
      <c r="AT1191">
        <v>1.94</v>
      </c>
      <c r="AU1191">
        <v>97</v>
      </c>
      <c r="AV1191">
        <v>-0.87</v>
      </c>
      <c r="AW1191">
        <v>99</v>
      </c>
      <c r="AX1191">
        <v>0.25</v>
      </c>
      <c r="AY1191">
        <v>97</v>
      </c>
      <c r="AZ1191">
        <v>6.22</v>
      </c>
      <c r="BA1191">
        <v>92</v>
      </c>
      <c r="BB1191">
        <v>5.35</v>
      </c>
      <c r="BC1191">
        <v>94</v>
      </c>
      <c r="BD1191">
        <v>-0.01</v>
      </c>
      <c r="BE1191">
        <v>-0.02</v>
      </c>
      <c r="BF1191">
        <v>-0.01</v>
      </c>
      <c r="BG1191">
        <v>98</v>
      </c>
      <c r="BH1191">
        <v>0.02</v>
      </c>
      <c r="BI1191">
        <v>-10.199999999999999</v>
      </c>
      <c r="BJ1191">
        <v>30</v>
      </c>
      <c r="BK1191">
        <v>14</v>
      </c>
      <c r="BL1191">
        <v>-1.58</v>
      </c>
      <c r="BM1191">
        <v>-0.2</v>
      </c>
      <c r="BN1191">
        <v>-1.43</v>
      </c>
      <c r="BO1191">
        <v>-1.27</v>
      </c>
      <c r="BP1191">
        <v>-1.61</v>
      </c>
      <c r="BQ1191">
        <v>-2.4</v>
      </c>
      <c r="BR1191">
        <v>2.95</v>
      </c>
      <c r="BS1191">
        <v>-2.0099999999999998</v>
      </c>
      <c r="BT1191">
        <v>-2.06</v>
      </c>
      <c r="BU1191">
        <v>-0.34</v>
      </c>
      <c r="BV1191">
        <v>-1.59</v>
      </c>
      <c r="BW1191">
        <v>-2.06</v>
      </c>
      <c r="BX1191">
        <v>-0.24</v>
      </c>
      <c r="BY1191">
        <v>0.09</v>
      </c>
      <c r="BZ1191">
        <v>0.46</v>
      </c>
      <c r="CA1191">
        <v>-1.33</v>
      </c>
      <c r="CB1191">
        <v>-1.05</v>
      </c>
      <c r="CC1191">
        <v>-1.98</v>
      </c>
      <c r="CD1191">
        <v>0.2</v>
      </c>
      <c r="CE1191">
        <v>-1.43</v>
      </c>
      <c r="CF1191">
        <v>-2.15</v>
      </c>
      <c r="CG1191">
        <v>0</v>
      </c>
      <c r="CH1191">
        <v>0.48</v>
      </c>
      <c r="CI1191">
        <v>0</v>
      </c>
      <c r="CJ1191">
        <v>-7.6</v>
      </c>
      <c r="CK1191">
        <v>99</v>
      </c>
      <c r="CL1191">
        <v>-0.8</v>
      </c>
      <c r="CM1191">
        <v>99</v>
      </c>
      <c r="CN1191">
        <v>-0.31</v>
      </c>
      <c r="CO1191">
        <v>99</v>
      </c>
      <c r="CP1191">
        <v>-21.6</v>
      </c>
      <c r="CQ1191">
        <v>99</v>
      </c>
      <c r="CR1191">
        <v>0</v>
      </c>
      <c r="CS1191">
        <v>0</v>
      </c>
      <c r="CT1191">
        <v>-32.200000000000003</v>
      </c>
      <c r="CU1191">
        <v>98</v>
      </c>
      <c r="CV1191">
        <v>0.14000000000000001</v>
      </c>
      <c r="CW1191">
        <v>46</v>
      </c>
      <c r="CX1191" t="s">
        <v>8617</v>
      </c>
    </row>
    <row r="1192" spans="1:102" x14ac:dyDescent="0.3">
      <c r="A1192" t="str">
        <f>HYPERLINK("https://webapp.icbf.com/v2/app/bull-search/view/760394448","UPS")</f>
        <v>UPS</v>
      </c>
      <c r="B1192" t="s">
        <v>9136</v>
      </c>
      <c r="C1192" t="s">
        <v>9137</v>
      </c>
      <c r="D1192" s="1">
        <v>40029</v>
      </c>
      <c r="E1192" t="s">
        <v>92</v>
      </c>
      <c r="F1192">
        <v>50</v>
      </c>
      <c r="G1192" t="s">
        <v>93</v>
      </c>
      <c r="H1192">
        <v>128.66999999999999</v>
      </c>
      <c r="I1192">
        <v>88</v>
      </c>
      <c r="J1192">
        <v>55.26</v>
      </c>
      <c r="K1192">
        <v>97</v>
      </c>
      <c r="L1192">
        <v>53.29</v>
      </c>
      <c r="M1192">
        <v>83</v>
      </c>
      <c r="N1192">
        <v>34.78</v>
      </c>
      <c r="O1192">
        <v>86</v>
      </c>
      <c r="P1192">
        <v>-22.8</v>
      </c>
      <c r="Q1192">
        <v>93</v>
      </c>
      <c r="R1192">
        <v>-1.84</v>
      </c>
      <c r="S1192">
        <v>80</v>
      </c>
      <c r="T1192">
        <v>1.84</v>
      </c>
      <c r="U1192">
        <v>79</v>
      </c>
      <c r="V1192">
        <v>8.14</v>
      </c>
      <c r="W1192">
        <v>70</v>
      </c>
      <c r="X1192" t="s">
        <v>276</v>
      </c>
      <c r="Y1192" t="s">
        <v>1923</v>
      </c>
      <c r="Z1192" t="s">
        <v>330</v>
      </c>
      <c r="AA1192" t="s">
        <v>7715</v>
      </c>
      <c r="AB1192" t="s">
        <v>144</v>
      </c>
      <c r="AC1192">
        <v>123</v>
      </c>
      <c r="AD1192">
        <v>49</v>
      </c>
      <c r="AE1192">
        <v>97</v>
      </c>
      <c r="AF1192">
        <v>27.21</v>
      </c>
      <c r="AG1192">
        <v>9.34</v>
      </c>
      <c r="AH1192">
        <v>6.51</v>
      </c>
      <c r="AI1192">
        <v>0.14000000000000001</v>
      </c>
      <c r="AJ1192">
        <v>0.1</v>
      </c>
      <c r="AK1192">
        <v>83</v>
      </c>
      <c r="AL1192">
        <v>157</v>
      </c>
      <c r="AM1192">
        <v>61</v>
      </c>
      <c r="AN1192">
        <v>-2.86</v>
      </c>
      <c r="AO1192">
        <v>1.39</v>
      </c>
      <c r="AP1192">
        <v>312</v>
      </c>
      <c r="AQ1192">
        <v>1</v>
      </c>
      <c r="AR1192">
        <v>4.99</v>
      </c>
      <c r="AS1192">
        <v>69</v>
      </c>
      <c r="AT1192">
        <v>1.95</v>
      </c>
      <c r="AU1192">
        <v>90</v>
      </c>
      <c r="AV1192">
        <v>-1.99</v>
      </c>
      <c r="AW1192">
        <v>97</v>
      </c>
      <c r="AX1192">
        <v>0.2</v>
      </c>
      <c r="AY1192">
        <v>85</v>
      </c>
      <c r="AZ1192">
        <v>5.33</v>
      </c>
      <c r="BA1192">
        <v>67</v>
      </c>
      <c r="BB1192">
        <v>4.3</v>
      </c>
      <c r="BC1192">
        <v>60</v>
      </c>
      <c r="BD1192">
        <v>-0.01</v>
      </c>
      <c r="BE1192">
        <v>0.01</v>
      </c>
      <c r="BF1192">
        <v>0.04</v>
      </c>
      <c r="BG1192">
        <v>92</v>
      </c>
      <c r="BH1192">
        <v>0.15</v>
      </c>
      <c r="BI1192">
        <v>-8.92</v>
      </c>
      <c r="BJ1192">
        <v>1</v>
      </c>
      <c r="BK1192">
        <v>1</v>
      </c>
      <c r="BL1192">
        <v>-1.22</v>
      </c>
      <c r="BM1192">
        <v>0.82</v>
      </c>
      <c r="BN1192">
        <v>0.26</v>
      </c>
      <c r="BO1192">
        <v>-0.93</v>
      </c>
      <c r="BP1192">
        <v>0.86</v>
      </c>
      <c r="BQ1192">
        <v>-1.27</v>
      </c>
      <c r="BR1192">
        <v>1.8</v>
      </c>
      <c r="BS1192">
        <v>-1.04</v>
      </c>
      <c r="BT1192">
        <v>-2.16</v>
      </c>
      <c r="BU1192">
        <v>-1.24</v>
      </c>
      <c r="BV1192">
        <v>-2.35</v>
      </c>
      <c r="BW1192">
        <v>-2.71</v>
      </c>
      <c r="BX1192">
        <v>-2.48</v>
      </c>
      <c r="BY1192">
        <v>-1.26</v>
      </c>
      <c r="BZ1192">
        <v>0.4</v>
      </c>
      <c r="CA1192">
        <v>-1.53</v>
      </c>
      <c r="CB1192">
        <v>-1.64</v>
      </c>
      <c r="CC1192">
        <v>-1.32</v>
      </c>
      <c r="CD1192">
        <v>1.1100000000000001</v>
      </c>
      <c r="CE1192">
        <v>-0.87</v>
      </c>
      <c r="CF1192">
        <v>-1.1100000000000001</v>
      </c>
      <c r="CG1192">
        <v>0</v>
      </c>
      <c r="CH1192">
        <v>-0.98</v>
      </c>
      <c r="CI1192">
        <v>0</v>
      </c>
      <c r="CJ1192">
        <v>-12.7</v>
      </c>
      <c r="CK1192">
        <v>95</v>
      </c>
      <c r="CL1192">
        <v>-0.79</v>
      </c>
      <c r="CM1192">
        <v>94</v>
      </c>
      <c r="CN1192">
        <v>-0.35</v>
      </c>
      <c r="CO1192">
        <v>93</v>
      </c>
      <c r="CP1192">
        <v>-8.1</v>
      </c>
      <c r="CQ1192">
        <v>81</v>
      </c>
      <c r="CR1192">
        <v>0</v>
      </c>
      <c r="CS1192">
        <v>0</v>
      </c>
      <c r="CT1192">
        <v>11.3</v>
      </c>
      <c r="CU1192">
        <v>79</v>
      </c>
      <c r="CV1192">
        <v>0.04</v>
      </c>
      <c r="CW1192">
        <v>45</v>
      </c>
      <c r="CX1192" t="s">
        <v>792</v>
      </c>
    </row>
    <row r="1193" spans="1:102" x14ac:dyDescent="0.3">
      <c r="A1193" t="str">
        <f>HYPERLINK("https://webapp.icbf.com/v2/app/bull-search/view/1135790539","S2223")</f>
        <v>S2223</v>
      </c>
      <c r="B1193" t="s">
        <v>8473</v>
      </c>
      <c r="C1193" t="s">
        <v>2162</v>
      </c>
      <c r="D1193" s="1">
        <v>41163</v>
      </c>
      <c r="E1193" t="s">
        <v>92</v>
      </c>
      <c r="F1193">
        <v>100</v>
      </c>
      <c r="G1193" t="s">
        <v>109</v>
      </c>
      <c r="H1193">
        <v>128.51</v>
      </c>
      <c r="I1193">
        <v>78</v>
      </c>
      <c r="J1193">
        <v>69.3</v>
      </c>
      <c r="K1193">
        <v>93</v>
      </c>
      <c r="L1193">
        <v>12.62</v>
      </c>
      <c r="M1193">
        <v>86</v>
      </c>
      <c r="N1193">
        <v>48.69</v>
      </c>
      <c r="O1193">
        <v>63</v>
      </c>
      <c r="P1193">
        <v>-17.420000000000002</v>
      </c>
      <c r="Q1193">
        <v>51</v>
      </c>
      <c r="R1193">
        <v>15.29</v>
      </c>
      <c r="S1193">
        <v>74</v>
      </c>
      <c r="T1193">
        <v>-4.3</v>
      </c>
      <c r="U1193">
        <v>40</v>
      </c>
      <c r="V1193">
        <v>4.33</v>
      </c>
      <c r="W1193">
        <v>56</v>
      </c>
      <c r="X1193" t="s">
        <v>428</v>
      </c>
      <c r="Y1193" t="s">
        <v>367</v>
      </c>
      <c r="Z1193" t="s">
        <v>96</v>
      </c>
      <c r="AA1193" t="s">
        <v>8268</v>
      </c>
      <c r="AB1193" t="s">
        <v>8474</v>
      </c>
      <c r="AC1193">
        <v>0</v>
      </c>
      <c r="AD1193">
        <v>0</v>
      </c>
      <c r="AE1193">
        <v>93</v>
      </c>
      <c r="AF1193">
        <v>420.48</v>
      </c>
      <c r="AG1193">
        <v>9.42</v>
      </c>
      <c r="AH1193">
        <v>14.89</v>
      </c>
      <c r="AI1193">
        <v>-0.11</v>
      </c>
      <c r="AJ1193">
        <v>0.01</v>
      </c>
      <c r="AK1193">
        <v>86</v>
      </c>
      <c r="AL1193">
        <v>0</v>
      </c>
      <c r="AM1193">
        <v>0</v>
      </c>
      <c r="AN1193">
        <v>0.39</v>
      </c>
      <c r="AO1193">
        <v>1.41</v>
      </c>
      <c r="AP1193">
        <v>6</v>
      </c>
      <c r="AQ1193">
        <v>0</v>
      </c>
      <c r="AR1193">
        <v>4.37</v>
      </c>
      <c r="AS1193">
        <v>57</v>
      </c>
      <c r="AT1193">
        <v>1.7</v>
      </c>
      <c r="AU1193">
        <v>92</v>
      </c>
      <c r="AV1193">
        <v>-4.2</v>
      </c>
      <c r="AW1193">
        <v>61</v>
      </c>
      <c r="AX1193">
        <v>0.44</v>
      </c>
      <c r="AY1193">
        <v>46</v>
      </c>
      <c r="AZ1193">
        <v>5.97</v>
      </c>
      <c r="BA1193">
        <v>40</v>
      </c>
      <c r="BB1193">
        <v>5.31</v>
      </c>
      <c r="BC1193">
        <v>38</v>
      </c>
      <c r="BD1193">
        <v>-0.04</v>
      </c>
      <c r="BE1193">
        <v>-0.05</v>
      </c>
      <c r="BF1193">
        <v>-0.19</v>
      </c>
      <c r="BG1193">
        <v>93</v>
      </c>
      <c r="BH1193">
        <v>0.05</v>
      </c>
      <c r="BI1193">
        <v>-8.17</v>
      </c>
      <c r="BJ1193">
        <v>4</v>
      </c>
      <c r="BK1193">
        <v>1</v>
      </c>
      <c r="BL1193">
        <v>1.68</v>
      </c>
      <c r="BM1193">
        <v>-0.23</v>
      </c>
      <c r="BN1193">
        <v>0.1</v>
      </c>
      <c r="BO1193">
        <v>0.28000000000000003</v>
      </c>
      <c r="BP1193">
        <v>1.68</v>
      </c>
      <c r="BQ1193">
        <v>0.42</v>
      </c>
      <c r="BR1193">
        <v>-0.46</v>
      </c>
      <c r="BS1193">
        <v>2.81</v>
      </c>
      <c r="BT1193">
        <v>-0.71</v>
      </c>
      <c r="BU1193">
        <v>3.92</v>
      </c>
      <c r="BV1193">
        <v>2.73</v>
      </c>
      <c r="BW1193">
        <v>2.37</v>
      </c>
      <c r="BX1193">
        <v>3.32</v>
      </c>
      <c r="BY1193">
        <v>3.65</v>
      </c>
      <c r="BZ1193">
        <v>-1.31</v>
      </c>
      <c r="CA1193">
        <v>3.31</v>
      </c>
      <c r="CB1193">
        <v>2.97</v>
      </c>
      <c r="CC1193">
        <v>2.04</v>
      </c>
      <c r="CD1193">
        <v>0.33</v>
      </c>
      <c r="CE1193">
        <v>1.01</v>
      </c>
      <c r="CF1193">
        <v>1.1100000000000001</v>
      </c>
      <c r="CG1193">
        <v>0</v>
      </c>
      <c r="CH1193">
        <v>3.67</v>
      </c>
      <c r="CI1193">
        <v>0</v>
      </c>
      <c r="CJ1193">
        <v>-6.3</v>
      </c>
      <c r="CK1193">
        <v>53</v>
      </c>
      <c r="CL1193">
        <v>-1.53</v>
      </c>
      <c r="CM1193">
        <v>51</v>
      </c>
      <c r="CN1193">
        <v>-0.59</v>
      </c>
      <c r="CO1193">
        <v>50</v>
      </c>
      <c r="CP1193">
        <v>1</v>
      </c>
      <c r="CQ1193">
        <v>42</v>
      </c>
      <c r="CR1193">
        <v>0</v>
      </c>
      <c r="CS1193">
        <v>0</v>
      </c>
      <c r="CT1193">
        <v>19.600000000000001</v>
      </c>
      <c r="CU1193">
        <v>40</v>
      </c>
      <c r="CV1193">
        <v>0.28000000000000003</v>
      </c>
      <c r="CW1193">
        <v>36</v>
      </c>
      <c r="CX1193" t="s">
        <v>2693</v>
      </c>
    </row>
    <row r="1194" spans="1:102" x14ac:dyDescent="0.3">
      <c r="A1194" t="str">
        <f>HYPERLINK("https://webapp.icbf.com/v2/app/bull-search/view/1147918420","ZGS")</f>
        <v>ZGS</v>
      </c>
      <c r="B1194" t="s">
        <v>2059</v>
      </c>
      <c r="C1194" t="s">
        <v>2060</v>
      </c>
      <c r="D1194" s="1">
        <v>39654</v>
      </c>
      <c r="E1194" t="s">
        <v>210</v>
      </c>
      <c r="F1194">
        <v>0</v>
      </c>
      <c r="G1194" t="s">
        <v>109</v>
      </c>
      <c r="H1194">
        <v>128.44999999999999</v>
      </c>
      <c r="I1194">
        <v>58</v>
      </c>
      <c r="J1194">
        <v>26.31</v>
      </c>
      <c r="K1194">
        <v>71</v>
      </c>
      <c r="L1194">
        <v>55.71</v>
      </c>
      <c r="M1194">
        <v>69</v>
      </c>
      <c r="N1194">
        <v>19.41</v>
      </c>
      <c r="O1194">
        <v>44</v>
      </c>
      <c r="P1194">
        <v>-10.11</v>
      </c>
      <c r="Q1194">
        <v>34</v>
      </c>
      <c r="R1194">
        <v>9.15</v>
      </c>
      <c r="S1194">
        <v>21</v>
      </c>
      <c r="T1194">
        <v>29.81</v>
      </c>
      <c r="U1194">
        <v>34</v>
      </c>
      <c r="V1194">
        <v>-1.83</v>
      </c>
      <c r="W1194">
        <v>18</v>
      </c>
      <c r="X1194" t="s">
        <v>251</v>
      </c>
      <c r="Y1194" t="s">
        <v>329</v>
      </c>
      <c r="Z1194">
        <v>0</v>
      </c>
      <c r="AA1194" t="s">
        <v>2061</v>
      </c>
      <c r="AB1194" t="s">
        <v>2062</v>
      </c>
      <c r="AC1194">
        <v>0</v>
      </c>
      <c r="AD1194">
        <v>0</v>
      </c>
      <c r="AE1194">
        <v>71</v>
      </c>
      <c r="AF1194">
        <v>-37.18</v>
      </c>
      <c r="AG1194">
        <v>5.16</v>
      </c>
      <c r="AH1194">
        <v>2.08</v>
      </c>
      <c r="AI1194">
        <v>0.11</v>
      </c>
      <c r="AJ1194">
        <v>0.06</v>
      </c>
      <c r="AK1194">
        <v>69</v>
      </c>
      <c r="AL1194">
        <v>0</v>
      </c>
      <c r="AM1194">
        <v>0</v>
      </c>
      <c r="AN1194">
        <v>-1.72</v>
      </c>
      <c r="AO1194">
        <v>2.74</v>
      </c>
      <c r="AP1194">
        <v>5</v>
      </c>
      <c r="AQ1194">
        <v>0</v>
      </c>
      <c r="AR1194">
        <v>6.28</v>
      </c>
      <c r="AS1194">
        <v>21</v>
      </c>
      <c r="AT1194">
        <v>2.61</v>
      </c>
      <c r="AU1194">
        <v>72</v>
      </c>
      <c r="AV1194">
        <v>-1.64</v>
      </c>
      <c r="AW1194">
        <v>47</v>
      </c>
      <c r="AX1194">
        <v>-0.89</v>
      </c>
      <c r="AY1194">
        <v>25</v>
      </c>
      <c r="AZ1194">
        <v>7.21</v>
      </c>
      <c r="BA1194">
        <v>17</v>
      </c>
      <c r="BB1194">
        <v>5.43</v>
      </c>
      <c r="BC1194">
        <v>15</v>
      </c>
      <c r="BD1194">
        <v>-0.02</v>
      </c>
      <c r="BE1194">
        <v>-0.03</v>
      </c>
      <c r="BF1194">
        <v>-0.12</v>
      </c>
      <c r="BG1194">
        <v>26</v>
      </c>
      <c r="BH1194">
        <v>-7.0000000000000007E-2</v>
      </c>
      <c r="BI1194">
        <v>-2.21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-5.8</v>
      </c>
      <c r="CK1194">
        <v>36</v>
      </c>
      <c r="CL1194">
        <v>-0.23</v>
      </c>
      <c r="CM1194">
        <v>33</v>
      </c>
      <c r="CN1194">
        <v>-0.18</v>
      </c>
      <c r="CO1194">
        <v>32</v>
      </c>
      <c r="CP1194">
        <v>-12.3</v>
      </c>
      <c r="CQ1194">
        <v>29</v>
      </c>
      <c r="CR1194">
        <v>0</v>
      </c>
      <c r="CS1194">
        <v>0</v>
      </c>
      <c r="CT1194">
        <v>-26.5</v>
      </c>
      <c r="CU1194">
        <v>34</v>
      </c>
      <c r="CV1194">
        <v>-0.14000000000000001</v>
      </c>
      <c r="CW1194">
        <v>10</v>
      </c>
      <c r="CX1194" t="s">
        <v>2063</v>
      </c>
    </row>
    <row r="1195" spans="1:102" x14ac:dyDescent="0.3">
      <c r="A1195" t="str">
        <f>HYPERLINK("https://webapp.icbf.com/v2/app/bull-search/view/487001903","SWP")</f>
        <v>SWP</v>
      </c>
      <c r="B1195" t="s">
        <v>14441</v>
      </c>
      <c r="C1195" t="s">
        <v>14442</v>
      </c>
      <c r="D1195" s="1">
        <v>38589</v>
      </c>
      <c r="E1195" t="s">
        <v>92</v>
      </c>
      <c r="F1195">
        <v>56</v>
      </c>
      <c r="G1195" t="s">
        <v>93</v>
      </c>
      <c r="H1195">
        <v>128.44999999999999</v>
      </c>
      <c r="I1195">
        <v>86</v>
      </c>
      <c r="J1195">
        <v>53.99</v>
      </c>
      <c r="K1195">
        <v>95</v>
      </c>
      <c r="L1195">
        <v>59.91</v>
      </c>
      <c r="M1195">
        <v>85</v>
      </c>
      <c r="N1195">
        <v>-8.7799999999999994</v>
      </c>
      <c r="O1195">
        <v>80</v>
      </c>
      <c r="P1195">
        <v>-27.86</v>
      </c>
      <c r="Q1195">
        <v>85</v>
      </c>
      <c r="R1195">
        <v>3.87</v>
      </c>
      <c r="S1195">
        <v>79</v>
      </c>
      <c r="T1195">
        <v>35.29</v>
      </c>
      <c r="U1195">
        <v>75</v>
      </c>
      <c r="V1195">
        <v>12.03</v>
      </c>
      <c r="W1195">
        <v>75</v>
      </c>
      <c r="X1195" t="s">
        <v>276</v>
      </c>
      <c r="Y1195" t="s">
        <v>435</v>
      </c>
      <c r="Z1195" t="s">
        <v>330</v>
      </c>
      <c r="AA1195" t="s">
        <v>1229</v>
      </c>
      <c r="AB1195" t="s">
        <v>144</v>
      </c>
      <c r="AC1195">
        <v>52</v>
      </c>
      <c r="AD1195">
        <v>29</v>
      </c>
      <c r="AE1195">
        <v>95</v>
      </c>
      <c r="AF1195">
        <v>245.26</v>
      </c>
      <c r="AG1195">
        <v>10.050000000000001</v>
      </c>
      <c r="AH1195">
        <v>9.3800000000000008</v>
      </c>
      <c r="AI1195">
        <v>0.01</v>
      </c>
      <c r="AJ1195">
        <v>0.02</v>
      </c>
      <c r="AK1195">
        <v>85</v>
      </c>
      <c r="AL1195">
        <v>51</v>
      </c>
      <c r="AM1195">
        <v>28</v>
      </c>
      <c r="AN1195">
        <v>-2.31</v>
      </c>
      <c r="AO1195">
        <v>2.48</v>
      </c>
      <c r="AP1195">
        <v>89</v>
      </c>
      <c r="AQ1195">
        <v>0</v>
      </c>
      <c r="AR1195">
        <v>8.4600000000000009</v>
      </c>
      <c r="AS1195">
        <v>62</v>
      </c>
      <c r="AT1195">
        <v>3.39</v>
      </c>
      <c r="AU1195">
        <v>81</v>
      </c>
      <c r="AV1195">
        <v>-0.14000000000000001</v>
      </c>
      <c r="AW1195">
        <v>92</v>
      </c>
      <c r="AX1195">
        <v>1.42</v>
      </c>
      <c r="AY1195">
        <v>74</v>
      </c>
      <c r="AZ1195">
        <v>6.91</v>
      </c>
      <c r="BA1195">
        <v>56</v>
      </c>
      <c r="BB1195">
        <v>5.14</v>
      </c>
      <c r="BC1195">
        <v>59</v>
      </c>
      <c r="BD1195">
        <v>-0.06</v>
      </c>
      <c r="BE1195">
        <v>-0.01</v>
      </c>
      <c r="BF1195">
        <v>0.03</v>
      </c>
      <c r="BG1195">
        <v>90</v>
      </c>
      <c r="BH1195">
        <v>0.28000000000000003</v>
      </c>
      <c r="BI1195">
        <v>-6.41</v>
      </c>
      <c r="BJ1195">
        <v>0</v>
      </c>
      <c r="BK1195">
        <v>0</v>
      </c>
      <c r="BL1195">
        <v>-2.2200000000000002</v>
      </c>
      <c r="BM1195">
        <v>-0.05</v>
      </c>
      <c r="BN1195">
        <v>-1.52</v>
      </c>
      <c r="BO1195">
        <v>-1.41</v>
      </c>
      <c r="BP1195">
        <v>-0.51</v>
      </c>
      <c r="BQ1195">
        <v>-3.35</v>
      </c>
      <c r="BR1195">
        <v>1.34</v>
      </c>
      <c r="BS1195">
        <v>-1.22</v>
      </c>
      <c r="BT1195">
        <v>-2.94</v>
      </c>
      <c r="BU1195">
        <v>-1.74</v>
      </c>
      <c r="BV1195">
        <v>-1.1100000000000001</v>
      </c>
      <c r="BW1195">
        <v>-0.95</v>
      </c>
      <c r="BX1195">
        <v>-2.19</v>
      </c>
      <c r="BY1195">
        <v>-2.72</v>
      </c>
      <c r="BZ1195">
        <v>0.01</v>
      </c>
      <c r="CA1195">
        <v>-2.08</v>
      </c>
      <c r="CB1195">
        <v>-1.57</v>
      </c>
      <c r="CC1195">
        <v>-1.6</v>
      </c>
      <c r="CD1195">
        <v>0.43</v>
      </c>
      <c r="CE1195">
        <v>-0.93</v>
      </c>
      <c r="CF1195">
        <v>-1.76</v>
      </c>
      <c r="CG1195">
        <v>0</v>
      </c>
      <c r="CH1195">
        <v>-2.66</v>
      </c>
      <c r="CI1195">
        <v>0</v>
      </c>
      <c r="CJ1195">
        <v>-13.8</v>
      </c>
      <c r="CK1195">
        <v>87</v>
      </c>
      <c r="CL1195">
        <v>-0.68</v>
      </c>
      <c r="CM1195">
        <v>84</v>
      </c>
      <c r="CN1195">
        <v>-0.15</v>
      </c>
      <c r="CO1195">
        <v>83</v>
      </c>
      <c r="CP1195">
        <v>-23.7</v>
      </c>
      <c r="CQ1195">
        <v>83</v>
      </c>
      <c r="CR1195">
        <v>0</v>
      </c>
      <c r="CS1195">
        <v>0</v>
      </c>
      <c r="CT1195">
        <v>-33.9</v>
      </c>
      <c r="CU1195">
        <v>75</v>
      </c>
      <c r="CV1195">
        <v>0.08</v>
      </c>
      <c r="CW1195">
        <v>43</v>
      </c>
      <c r="CX1195" t="s">
        <v>1257</v>
      </c>
    </row>
    <row r="1196" spans="1:102" x14ac:dyDescent="0.3">
      <c r="A1196" t="str">
        <f>HYPERLINK("https://webapp.icbf.com/v2/app/bull-search/view/861664508","GSK")</f>
        <v>GSK</v>
      </c>
      <c r="B1196" t="s">
        <v>13221</v>
      </c>
      <c r="C1196" t="s">
        <v>13222</v>
      </c>
      <c r="D1196" s="1">
        <v>40586</v>
      </c>
      <c r="E1196" t="s">
        <v>227</v>
      </c>
      <c r="F1196">
        <v>31</v>
      </c>
      <c r="G1196" t="s">
        <v>93</v>
      </c>
      <c r="H1196">
        <v>128.32</v>
      </c>
      <c r="I1196">
        <v>78</v>
      </c>
      <c r="J1196">
        <v>15.98</v>
      </c>
      <c r="K1196">
        <v>94</v>
      </c>
      <c r="L1196">
        <v>85.46</v>
      </c>
      <c r="M1196">
        <v>61</v>
      </c>
      <c r="N1196">
        <v>30.2</v>
      </c>
      <c r="O1196">
        <v>79</v>
      </c>
      <c r="P1196">
        <v>-32.36</v>
      </c>
      <c r="Q1196">
        <v>84</v>
      </c>
      <c r="R1196">
        <v>-1.31</v>
      </c>
      <c r="S1196">
        <v>66</v>
      </c>
      <c r="T1196">
        <v>22.78</v>
      </c>
      <c r="U1196">
        <v>86</v>
      </c>
      <c r="V1196">
        <v>7.57</v>
      </c>
      <c r="W1196">
        <v>66</v>
      </c>
      <c r="X1196" t="s">
        <v>276</v>
      </c>
      <c r="Y1196" t="s">
        <v>1923</v>
      </c>
      <c r="Z1196" t="s">
        <v>528</v>
      </c>
      <c r="AA1196" t="s">
        <v>13223</v>
      </c>
      <c r="AB1196" t="s">
        <v>13224</v>
      </c>
      <c r="AC1196">
        <v>71</v>
      </c>
      <c r="AD1196">
        <v>48</v>
      </c>
      <c r="AE1196">
        <v>94</v>
      </c>
      <c r="AF1196">
        <v>-267.58999999999997</v>
      </c>
      <c r="AG1196">
        <v>7.3</v>
      </c>
      <c r="AH1196">
        <v>-3.96</v>
      </c>
      <c r="AI1196">
        <v>0.31</v>
      </c>
      <c r="AJ1196">
        <v>0.09</v>
      </c>
      <c r="AK1196">
        <v>61</v>
      </c>
      <c r="AL1196">
        <v>73</v>
      </c>
      <c r="AM1196">
        <v>52</v>
      </c>
      <c r="AN1196">
        <v>-3.54</v>
      </c>
      <c r="AO1196">
        <v>3.29</v>
      </c>
      <c r="AP1196">
        <v>132</v>
      </c>
      <c r="AQ1196">
        <v>0</v>
      </c>
      <c r="AR1196">
        <v>5.36</v>
      </c>
      <c r="AS1196">
        <v>60</v>
      </c>
      <c r="AT1196">
        <v>2.1800000000000002</v>
      </c>
      <c r="AU1196">
        <v>78</v>
      </c>
      <c r="AV1196">
        <v>-2.67</v>
      </c>
      <c r="AW1196">
        <v>95</v>
      </c>
      <c r="AX1196">
        <v>0.49</v>
      </c>
      <c r="AY1196">
        <v>73</v>
      </c>
      <c r="AZ1196">
        <v>6.77</v>
      </c>
      <c r="BA1196">
        <v>55</v>
      </c>
      <c r="BB1196">
        <v>5.34</v>
      </c>
      <c r="BC1196">
        <v>51</v>
      </c>
      <c r="BD1196">
        <v>-0.03</v>
      </c>
      <c r="BE1196">
        <v>0</v>
      </c>
      <c r="BF1196">
        <v>0.08</v>
      </c>
      <c r="BG1196">
        <v>78</v>
      </c>
      <c r="BH1196">
        <v>0.2</v>
      </c>
      <c r="BI1196">
        <v>-1.28</v>
      </c>
      <c r="BJ1196">
        <v>3</v>
      </c>
      <c r="BK1196">
        <v>2</v>
      </c>
      <c r="BL1196">
        <v>-1.93</v>
      </c>
      <c r="BM1196">
        <v>-0.26</v>
      </c>
      <c r="BN1196">
        <v>0.1</v>
      </c>
      <c r="BO1196">
        <v>0.17</v>
      </c>
      <c r="BP1196">
        <v>-0.93</v>
      </c>
      <c r="BQ1196">
        <v>-3.05</v>
      </c>
      <c r="BR1196">
        <v>1.95</v>
      </c>
      <c r="BS1196">
        <v>2.57</v>
      </c>
      <c r="BT1196">
        <v>-1.94</v>
      </c>
      <c r="BU1196">
        <v>-1.66</v>
      </c>
      <c r="BV1196">
        <v>-0.91</v>
      </c>
      <c r="BW1196">
        <v>-1.87</v>
      </c>
      <c r="BX1196">
        <v>-2.4300000000000002</v>
      </c>
      <c r="BY1196">
        <v>-0.17</v>
      </c>
      <c r="BZ1196">
        <v>2.0699999999999998</v>
      </c>
      <c r="CA1196">
        <v>-0.96</v>
      </c>
      <c r="CB1196">
        <v>-1.38</v>
      </c>
      <c r="CC1196">
        <v>0.49</v>
      </c>
      <c r="CD1196">
        <v>-0.47</v>
      </c>
      <c r="CE1196">
        <v>-0.13</v>
      </c>
      <c r="CF1196">
        <v>-2.06</v>
      </c>
      <c r="CG1196">
        <v>0</v>
      </c>
      <c r="CH1196">
        <v>-0.76</v>
      </c>
      <c r="CI1196">
        <v>0</v>
      </c>
      <c r="CJ1196">
        <v>-15.7</v>
      </c>
      <c r="CK1196">
        <v>86</v>
      </c>
      <c r="CL1196">
        <v>-0.71</v>
      </c>
      <c r="CM1196">
        <v>82</v>
      </c>
      <c r="CN1196">
        <v>0.02</v>
      </c>
      <c r="CO1196">
        <v>80</v>
      </c>
      <c r="CP1196">
        <v>-20.9</v>
      </c>
      <c r="CQ1196">
        <v>76</v>
      </c>
      <c r="CR1196">
        <v>0</v>
      </c>
      <c r="CS1196">
        <v>0</v>
      </c>
      <c r="CT1196">
        <v>-17</v>
      </c>
      <c r="CU1196">
        <v>86</v>
      </c>
      <c r="CV1196">
        <v>-0.11</v>
      </c>
      <c r="CW1196">
        <v>25</v>
      </c>
      <c r="CX1196" t="s">
        <v>2990</v>
      </c>
    </row>
    <row r="1197" spans="1:102" x14ac:dyDescent="0.3">
      <c r="A1197" t="str">
        <f>HYPERLINK("https://webapp.icbf.com/v2/app/bull-search/view/560648002","KTA")</f>
        <v>KTA</v>
      </c>
      <c r="B1197" t="s">
        <v>7830</v>
      </c>
      <c r="C1197" t="s">
        <v>7831</v>
      </c>
      <c r="D1197" s="1">
        <v>39496</v>
      </c>
      <c r="E1197" t="s">
        <v>227</v>
      </c>
      <c r="F1197">
        <v>0</v>
      </c>
      <c r="G1197" t="s">
        <v>93</v>
      </c>
      <c r="H1197">
        <v>128.26</v>
      </c>
      <c r="I1197">
        <v>76</v>
      </c>
      <c r="J1197">
        <v>18.02</v>
      </c>
      <c r="K1197">
        <v>90</v>
      </c>
      <c r="L1197">
        <v>53.54</v>
      </c>
      <c r="M1197">
        <v>68</v>
      </c>
      <c r="N1197">
        <v>31.46</v>
      </c>
      <c r="O1197">
        <v>71</v>
      </c>
      <c r="P1197">
        <v>-52.55</v>
      </c>
      <c r="Q1197">
        <v>78</v>
      </c>
      <c r="R1197">
        <v>7.02</v>
      </c>
      <c r="S1197">
        <v>69</v>
      </c>
      <c r="T1197">
        <v>65.48</v>
      </c>
      <c r="U1197">
        <v>67</v>
      </c>
      <c r="V1197">
        <v>5.29</v>
      </c>
      <c r="W1197">
        <v>68</v>
      </c>
      <c r="X1197" t="s">
        <v>94</v>
      </c>
      <c r="Y1197" t="s">
        <v>241</v>
      </c>
      <c r="Z1197">
        <v>0</v>
      </c>
      <c r="AA1197" t="s">
        <v>4853</v>
      </c>
      <c r="AB1197" t="s">
        <v>7832</v>
      </c>
      <c r="AC1197">
        <v>14</v>
      </c>
      <c r="AD1197">
        <v>11</v>
      </c>
      <c r="AE1197">
        <v>90</v>
      </c>
      <c r="AF1197">
        <v>-598.62</v>
      </c>
      <c r="AG1197">
        <v>3.99</v>
      </c>
      <c r="AH1197">
        <v>-7.51</v>
      </c>
      <c r="AI1197">
        <v>0.53</v>
      </c>
      <c r="AJ1197">
        <v>0.25</v>
      </c>
      <c r="AK1197">
        <v>68</v>
      </c>
      <c r="AL1197">
        <v>17</v>
      </c>
      <c r="AM1197">
        <v>11</v>
      </c>
      <c r="AN1197">
        <v>-2.15</v>
      </c>
      <c r="AO1197">
        <v>2.13</v>
      </c>
      <c r="AP1197">
        <v>39</v>
      </c>
      <c r="AQ1197">
        <v>0</v>
      </c>
      <c r="AR1197">
        <v>3.18</v>
      </c>
      <c r="AS1197">
        <v>51</v>
      </c>
      <c r="AT1197">
        <v>1.31</v>
      </c>
      <c r="AU1197">
        <v>71</v>
      </c>
      <c r="AV1197">
        <v>-2.5299999999999998</v>
      </c>
      <c r="AW1197">
        <v>87</v>
      </c>
      <c r="AX1197">
        <v>4.1500000000000004</v>
      </c>
      <c r="AY1197">
        <v>62</v>
      </c>
      <c r="AZ1197">
        <v>6.48</v>
      </c>
      <c r="BA1197">
        <v>48</v>
      </c>
      <c r="BB1197">
        <v>4.8</v>
      </c>
      <c r="BC1197">
        <v>51</v>
      </c>
      <c r="BD1197">
        <v>-0.08</v>
      </c>
      <c r="BE1197">
        <v>-0.02</v>
      </c>
      <c r="BF1197">
        <v>0.01</v>
      </c>
      <c r="BG1197">
        <v>76</v>
      </c>
      <c r="BH1197">
        <v>0.03</v>
      </c>
      <c r="BI1197">
        <v>-13.59</v>
      </c>
      <c r="BJ1197">
        <v>5</v>
      </c>
      <c r="BK1197">
        <v>3</v>
      </c>
      <c r="BL1197">
        <v>-1.0900000000000001</v>
      </c>
      <c r="BM1197">
        <v>-1.98</v>
      </c>
      <c r="BN1197">
        <v>-0.46</v>
      </c>
      <c r="BO1197">
        <v>1.33</v>
      </c>
      <c r="BP1197">
        <v>0.06</v>
      </c>
      <c r="BQ1197">
        <v>-4.2300000000000004</v>
      </c>
      <c r="BR1197">
        <v>2.0699999999999998</v>
      </c>
      <c r="BS1197">
        <v>4.58</v>
      </c>
      <c r="BT1197">
        <v>-1.1299999999999999</v>
      </c>
      <c r="BU1197">
        <v>0.6</v>
      </c>
      <c r="BV1197">
        <v>0.85</v>
      </c>
      <c r="BW1197">
        <v>-0.76</v>
      </c>
      <c r="BX1197">
        <v>-1.1200000000000001</v>
      </c>
      <c r="BY1197">
        <v>0.14000000000000001</v>
      </c>
      <c r="BZ1197">
        <v>0.02</v>
      </c>
      <c r="CA1197">
        <v>1.44</v>
      </c>
      <c r="CB1197">
        <v>0.59</v>
      </c>
      <c r="CC1197">
        <v>2.5099999999999998</v>
      </c>
      <c r="CD1197">
        <v>-1.72</v>
      </c>
      <c r="CE1197">
        <v>1.23</v>
      </c>
      <c r="CF1197">
        <v>-1.45</v>
      </c>
      <c r="CG1197">
        <v>0</v>
      </c>
      <c r="CH1197">
        <v>-0.23</v>
      </c>
      <c r="CI1197">
        <v>0</v>
      </c>
      <c r="CJ1197">
        <v>-26.3</v>
      </c>
      <c r="CK1197">
        <v>80</v>
      </c>
      <c r="CL1197">
        <v>-1.22</v>
      </c>
      <c r="CM1197">
        <v>76</v>
      </c>
      <c r="CN1197">
        <v>-0.24</v>
      </c>
      <c r="CO1197">
        <v>74</v>
      </c>
      <c r="CP1197">
        <v>-43.2</v>
      </c>
      <c r="CQ1197">
        <v>70</v>
      </c>
      <c r="CR1197">
        <v>0</v>
      </c>
      <c r="CS1197">
        <v>0</v>
      </c>
      <c r="CT1197">
        <v>-74.7</v>
      </c>
      <c r="CU1197">
        <v>67</v>
      </c>
      <c r="CV1197">
        <v>-0.13</v>
      </c>
      <c r="CW1197">
        <v>41</v>
      </c>
      <c r="CX1197" t="s">
        <v>7833</v>
      </c>
    </row>
    <row r="1198" spans="1:102" x14ac:dyDescent="0.3">
      <c r="A1198" t="str">
        <f>HYPERLINK("https://webapp.icbf.com/v2/app/bull-search/view/1028750408","ZMA")</f>
        <v>ZMA</v>
      </c>
      <c r="B1198" t="s">
        <v>373</v>
      </c>
      <c r="C1198" t="s">
        <v>374</v>
      </c>
      <c r="D1198" s="1">
        <v>40663</v>
      </c>
      <c r="E1198" t="s">
        <v>92</v>
      </c>
      <c r="F1198">
        <v>100</v>
      </c>
      <c r="G1198" t="s">
        <v>93</v>
      </c>
      <c r="H1198">
        <v>128.22999999999999</v>
      </c>
      <c r="I1198">
        <v>94</v>
      </c>
      <c r="J1198">
        <v>30.75</v>
      </c>
      <c r="K1198">
        <v>99</v>
      </c>
      <c r="L1198">
        <v>59.17</v>
      </c>
      <c r="M1198">
        <v>89</v>
      </c>
      <c r="N1198">
        <v>36.68</v>
      </c>
      <c r="O1198">
        <v>95</v>
      </c>
      <c r="P1198">
        <v>-2.58</v>
      </c>
      <c r="Q1198">
        <v>97</v>
      </c>
      <c r="R1198">
        <v>9.06</v>
      </c>
      <c r="S1198">
        <v>87</v>
      </c>
      <c r="T1198">
        <v>-11.04</v>
      </c>
      <c r="U1198">
        <v>95</v>
      </c>
      <c r="V1198">
        <v>6.19</v>
      </c>
      <c r="W1198">
        <v>78</v>
      </c>
      <c r="X1198" t="s">
        <v>276</v>
      </c>
      <c r="Y1198" t="s">
        <v>375</v>
      </c>
      <c r="Z1198" t="s">
        <v>96</v>
      </c>
      <c r="AA1198" t="s">
        <v>376</v>
      </c>
      <c r="AB1198" t="s">
        <v>377</v>
      </c>
      <c r="AC1198">
        <v>912</v>
      </c>
      <c r="AD1198">
        <v>278</v>
      </c>
      <c r="AE1198">
        <v>99</v>
      </c>
      <c r="AF1198">
        <v>232.28</v>
      </c>
      <c r="AG1198">
        <v>10.220000000000001</v>
      </c>
      <c r="AH1198">
        <v>5.17</v>
      </c>
      <c r="AI1198">
        <v>0.02</v>
      </c>
      <c r="AJ1198">
        <v>-0.05</v>
      </c>
      <c r="AK1198">
        <v>89</v>
      </c>
      <c r="AL1198">
        <v>727</v>
      </c>
      <c r="AM1198">
        <v>250</v>
      </c>
      <c r="AN1198">
        <v>-3.14</v>
      </c>
      <c r="AO1198">
        <v>1.58</v>
      </c>
      <c r="AP1198">
        <v>1534</v>
      </c>
      <c r="AQ1198">
        <v>15</v>
      </c>
      <c r="AR1198">
        <v>7.59</v>
      </c>
      <c r="AS1198">
        <v>97</v>
      </c>
      <c r="AT1198">
        <v>2.89</v>
      </c>
      <c r="AU1198">
        <v>96</v>
      </c>
      <c r="AV1198">
        <v>-3.99</v>
      </c>
      <c r="AW1198">
        <v>99</v>
      </c>
      <c r="AX1198">
        <v>-0.1</v>
      </c>
      <c r="AY1198">
        <v>96</v>
      </c>
      <c r="AZ1198">
        <v>5.85</v>
      </c>
      <c r="BA1198">
        <v>90</v>
      </c>
      <c r="BB1198">
        <v>4.62</v>
      </c>
      <c r="BC1198">
        <v>80</v>
      </c>
      <c r="BD1198">
        <v>-0.05</v>
      </c>
      <c r="BE1198">
        <v>-0.05</v>
      </c>
      <c r="BF1198">
        <v>-0.03</v>
      </c>
      <c r="BG1198">
        <v>97</v>
      </c>
      <c r="BH1198">
        <v>-0.13</v>
      </c>
      <c r="BI1198">
        <v>-35.01</v>
      </c>
      <c r="BJ1198">
        <v>135</v>
      </c>
      <c r="BK1198">
        <v>46</v>
      </c>
      <c r="BL1198">
        <v>1.41</v>
      </c>
      <c r="BM1198">
        <v>1.22</v>
      </c>
      <c r="BN1198">
        <v>0.77</v>
      </c>
      <c r="BO1198">
        <v>0.2</v>
      </c>
      <c r="BP1198">
        <v>1.61</v>
      </c>
      <c r="BQ1198">
        <v>1.84</v>
      </c>
      <c r="BR1198">
        <v>-1.76</v>
      </c>
      <c r="BS1198">
        <v>-0.46</v>
      </c>
      <c r="BT1198">
        <v>1.87</v>
      </c>
      <c r="BU1198">
        <v>2.44</v>
      </c>
      <c r="BV1198">
        <v>2.35</v>
      </c>
      <c r="BW1198">
        <v>1.74</v>
      </c>
      <c r="BX1198">
        <v>2.5499999999999998</v>
      </c>
      <c r="BY1198">
        <v>0.73</v>
      </c>
      <c r="BZ1198">
        <v>-3.62</v>
      </c>
      <c r="CA1198">
        <v>1.62</v>
      </c>
      <c r="CB1198">
        <v>2.06</v>
      </c>
      <c r="CC1198">
        <v>7.0000000000000007E-2</v>
      </c>
      <c r="CD1198">
        <v>1.02</v>
      </c>
      <c r="CE1198">
        <v>0.12</v>
      </c>
      <c r="CF1198">
        <v>1.42</v>
      </c>
      <c r="CG1198">
        <v>0</v>
      </c>
      <c r="CH1198">
        <v>0.71</v>
      </c>
      <c r="CI1198">
        <v>0</v>
      </c>
      <c r="CJ1198">
        <v>0.9</v>
      </c>
      <c r="CK1198">
        <v>98</v>
      </c>
      <c r="CL1198">
        <v>-1.06</v>
      </c>
      <c r="CM1198">
        <v>98</v>
      </c>
      <c r="CN1198">
        <v>-0.5</v>
      </c>
      <c r="CO1198">
        <v>97</v>
      </c>
      <c r="CP1198">
        <v>8.4</v>
      </c>
      <c r="CQ1198">
        <v>92</v>
      </c>
      <c r="CR1198">
        <v>0</v>
      </c>
      <c r="CS1198">
        <v>0</v>
      </c>
      <c r="CT1198">
        <v>28.7</v>
      </c>
      <c r="CU1198">
        <v>95</v>
      </c>
      <c r="CV1198">
        <v>0.27</v>
      </c>
      <c r="CW1198">
        <v>46</v>
      </c>
      <c r="CX1198" t="s">
        <v>316</v>
      </c>
    </row>
    <row r="1199" spans="1:102" x14ac:dyDescent="0.3">
      <c r="A1199" t="str">
        <f>HYPERLINK("https://webapp.icbf.com/v2/app/bull-search/view/760391959","FR2045")</f>
        <v>FR2045</v>
      </c>
      <c r="B1199" t="s">
        <v>8362</v>
      </c>
      <c r="C1199" t="s">
        <v>8363</v>
      </c>
      <c r="D1199" s="1">
        <v>40038</v>
      </c>
      <c r="E1199" t="s">
        <v>108</v>
      </c>
      <c r="F1199">
        <v>44</v>
      </c>
      <c r="G1199" t="s">
        <v>93</v>
      </c>
      <c r="H1199">
        <v>128.19</v>
      </c>
      <c r="I1199">
        <v>90</v>
      </c>
      <c r="J1199">
        <v>105.61</v>
      </c>
      <c r="K1199">
        <v>98</v>
      </c>
      <c r="L1199">
        <v>-8.14</v>
      </c>
      <c r="M1199">
        <v>84</v>
      </c>
      <c r="N1199">
        <v>37.799999999999997</v>
      </c>
      <c r="O1199">
        <v>90</v>
      </c>
      <c r="P1199">
        <v>-32.700000000000003</v>
      </c>
      <c r="Q1199">
        <v>94</v>
      </c>
      <c r="R1199">
        <v>-5.92</v>
      </c>
      <c r="S1199">
        <v>77</v>
      </c>
      <c r="T1199">
        <v>28.4</v>
      </c>
      <c r="U1199">
        <v>89</v>
      </c>
      <c r="V1199">
        <v>3.14</v>
      </c>
      <c r="W1199">
        <v>74</v>
      </c>
      <c r="X1199" t="s">
        <v>276</v>
      </c>
      <c r="Y1199" t="s">
        <v>422</v>
      </c>
      <c r="Z1199" t="s">
        <v>330</v>
      </c>
      <c r="AA1199" t="s">
        <v>331</v>
      </c>
      <c r="AB1199" t="s">
        <v>8364</v>
      </c>
      <c r="AC1199">
        <v>232</v>
      </c>
      <c r="AD1199">
        <v>75</v>
      </c>
      <c r="AE1199">
        <v>98</v>
      </c>
      <c r="AF1199">
        <v>336.64</v>
      </c>
      <c r="AG1199">
        <v>18.440000000000001</v>
      </c>
      <c r="AH1199">
        <v>16.59</v>
      </c>
      <c r="AI1199">
        <v>0.09</v>
      </c>
      <c r="AJ1199">
        <v>0.09</v>
      </c>
      <c r="AK1199">
        <v>84</v>
      </c>
      <c r="AL1199">
        <v>223</v>
      </c>
      <c r="AM1199">
        <v>69</v>
      </c>
      <c r="AN1199">
        <v>1.1399999999999999</v>
      </c>
      <c r="AO1199">
        <v>0.5</v>
      </c>
      <c r="AP1199">
        <v>613</v>
      </c>
      <c r="AQ1199">
        <v>0</v>
      </c>
      <c r="AR1199">
        <v>4.87</v>
      </c>
      <c r="AS1199">
        <v>92</v>
      </c>
      <c r="AT1199">
        <v>1.87</v>
      </c>
      <c r="AU1199">
        <v>92</v>
      </c>
      <c r="AV1199">
        <v>-2.81</v>
      </c>
      <c r="AW1199">
        <v>99</v>
      </c>
      <c r="AX1199">
        <v>0</v>
      </c>
      <c r="AY1199">
        <v>91</v>
      </c>
      <c r="AZ1199">
        <v>6.74</v>
      </c>
      <c r="BA1199">
        <v>78</v>
      </c>
      <c r="BB1199">
        <v>4.8899999999999997</v>
      </c>
      <c r="BC1199">
        <v>59</v>
      </c>
      <c r="BD1199">
        <v>0</v>
      </c>
      <c r="BE1199">
        <v>0.04</v>
      </c>
      <c r="BF1199">
        <v>0.06</v>
      </c>
      <c r="BG1199">
        <v>93</v>
      </c>
      <c r="BH1199">
        <v>-0.01</v>
      </c>
      <c r="BI1199">
        <v>-11.29</v>
      </c>
      <c r="BJ1199">
        <v>0</v>
      </c>
      <c r="BK1199">
        <v>0</v>
      </c>
      <c r="BL1199">
        <v>-2.4900000000000002</v>
      </c>
      <c r="BM1199">
        <v>-0.27</v>
      </c>
      <c r="BN1199">
        <v>-1.01</v>
      </c>
      <c r="BO1199">
        <v>-0.15</v>
      </c>
      <c r="BP1199">
        <v>-2.68</v>
      </c>
      <c r="BQ1199">
        <v>-1.65</v>
      </c>
      <c r="BR1199">
        <v>3.44</v>
      </c>
      <c r="BS1199">
        <v>0.8</v>
      </c>
      <c r="BT1199">
        <v>-0.79</v>
      </c>
      <c r="BU1199">
        <v>-1.61</v>
      </c>
      <c r="BV1199">
        <v>-0.19</v>
      </c>
      <c r="BW1199">
        <v>-0.87</v>
      </c>
      <c r="BX1199">
        <v>-1.54</v>
      </c>
      <c r="BY1199">
        <v>-1.91</v>
      </c>
      <c r="BZ1199">
        <v>-0.53</v>
      </c>
      <c r="CA1199">
        <v>-1.18</v>
      </c>
      <c r="CB1199">
        <v>-1.06</v>
      </c>
      <c r="CC1199">
        <v>-0.15</v>
      </c>
      <c r="CD1199">
        <v>0.1</v>
      </c>
      <c r="CE1199">
        <v>0.11</v>
      </c>
      <c r="CF1199">
        <v>-0.64</v>
      </c>
      <c r="CG1199">
        <v>0</v>
      </c>
      <c r="CH1199">
        <v>-2.25</v>
      </c>
      <c r="CI1199">
        <v>0</v>
      </c>
      <c r="CJ1199">
        <v>-15.7</v>
      </c>
      <c r="CK1199">
        <v>96</v>
      </c>
      <c r="CL1199">
        <v>-0.88</v>
      </c>
      <c r="CM1199">
        <v>95</v>
      </c>
      <c r="CN1199">
        <v>-7.0000000000000007E-2</v>
      </c>
      <c r="CO1199">
        <v>95</v>
      </c>
      <c r="CP1199">
        <v>-18.5</v>
      </c>
      <c r="CQ1199">
        <v>81</v>
      </c>
      <c r="CR1199">
        <v>0</v>
      </c>
      <c r="CS1199">
        <v>0</v>
      </c>
      <c r="CT1199">
        <v>-24.6</v>
      </c>
      <c r="CU1199">
        <v>89</v>
      </c>
      <c r="CV1199">
        <v>0.11</v>
      </c>
      <c r="CW1199">
        <v>46</v>
      </c>
      <c r="CX1199" t="s">
        <v>5620</v>
      </c>
    </row>
    <row r="1200" spans="1:102" x14ac:dyDescent="0.3">
      <c r="A1200" t="str">
        <f>HYPERLINK("https://webapp.icbf.com/v2/app/bull-search/view/866874359","YKE")</f>
        <v>YKE</v>
      </c>
      <c r="B1200" t="s">
        <v>8463</v>
      </c>
      <c r="C1200" t="s">
        <v>8464</v>
      </c>
      <c r="D1200" s="1">
        <v>40609</v>
      </c>
      <c r="E1200" t="s">
        <v>92</v>
      </c>
      <c r="F1200">
        <v>63</v>
      </c>
      <c r="G1200" t="s">
        <v>93</v>
      </c>
      <c r="H1200">
        <v>128.1</v>
      </c>
      <c r="I1200">
        <v>89</v>
      </c>
      <c r="J1200">
        <v>81.41</v>
      </c>
      <c r="K1200">
        <v>98</v>
      </c>
      <c r="L1200">
        <v>-6.15</v>
      </c>
      <c r="M1200">
        <v>81</v>
      </c>
      <c r="N1200">
        <v>54.81</v>
      </c>
      <c r="O1200">
        <v>90</v>
      </c>
      <c r="P1200">
        <v>-14.34</v>
      </c>
      <c r="Q1200">
        <v>95</v>
      </c>
      <c r="R1200">
        <v>0.43</v>
      </c>
      <c r="S1200">
        <v>82</v>
      </c>
      <c r="T1200">
        <v>12.79</v>
      </c>
      <c r="U1200">
        <v>86</v>
      </c>
      <c r="V1200">
        <v>-0.85</v>
      </c>
      <c r="W1200">
        <v>78</v>
      </c>
      <c r="X1200" t="s">
        <v>94</v>
      </c>
      <c r="Y1200" t="s">
        <v>1860</v>
      </c>
      <c r="Z1200" t="s">
        <v>330</v>
      </c>
      <c r="AA1200" t="s">
        <v>2727</v>
      </c>
      <c r="AB1200" t="s">
        <v>8465</v>
      </c>
      <c r="AC1200">
        <v>145</v>
      </c>
      <c r="AD1200">
        <v>46</v>
      </c>
      <c r="AE1200">
        <v>98</v>
      </c>
      <c r="AF1200">
        <v>-27.61</v>
      </c>
      <c r="AG1200">
        <v>13.01</v>
      </c>
      <c r="AH1200">
        <v>8.82</v>
      </c>
      <c r="AI1200">
        <v>0.25</v>
      </c>
      <c r="AJ1200">
        <v>0.17</v>
      </c>
      <c r="AK1200">
        <v>81</v>
      </c>
      <c r="AL1200">
        <v>200</v>
      </c>
      <c r="AM1200">
        <v>67</v>
      </c>
      <c r="AN1200">
        <v>1.1499999999999999</v>
      </c>
      <c r="AO1200">
        <v>0.67</v>
      </c>
      <c r="AP1200">
        <v>390</v>
      </c>
      <c r="AQ1200">
        <v>3</v>
      </c>
      <c r="AR1200">
        <v>5.63</v>
      </c>
      <c r="AS1200">
        <v>88</v>
      </c>
      <c r="AT1200">
        <v>2.06</v>
      </c>
      <c r="AU1200">
        <v>91</v>
      </c>
      <c r="AV1200">
        <v>-5.26</v>
      </c>
      <c r="AW1200">
        <v>98</v>
      </c>
      <c r="AX1200">
        <v>-0.56999999999999995</v>
      </c>
      <c r="AY1200">
        <v>88</v>
      </c>
      <c r="AZ1200">
        <v>6.98</v>
      </c>
      <c r="BA1200">
        <v>77</v>
      </c>
      <c r="BB1200">
        <v>5.07</v>
      </c>
      <c r="BC1200">
        <v>73</v>
      </c>
      <c r="BD1200">
        <v>-0.03</v>
      </c>
      <c r="BE1200">
        <v>0</v>
      </c>
      <c r="BF1200">
        <v>0.04</v>
      </c>
      <c r="BG1200">
        <v>91</v>
      </c>
      <c r="BH1200">
        <v>-0.12</v>
      </c>
      <c r="BI1200">
        <v>-11.14</v>
      </c>
      <c r="BJ1200">
        <v>0</v>
      </c>
      <c r="BK1200">
        <v>0</v>
      </c>
      <c r="BL1200">
        <v>-1.82</v>
      </c>
      <c r="BM1200">
        <v>-0.51</v>
      </c>
      <c r="BN1200">
        <v>-1.43</v>
      </c>
      <c r="BO1200">
        <v>-1.2</v>
      </c>
      <c r="BP1200">
        <v>-0.2</v>
      </c>
      <c r="BQ1200">
        <v>-1.58</v>
      </c>
      <c r="BR1200">
        <v>0.83</v>
      </c>
      <c r="BS1200">
        <v>-1.55</v>
      </c>
      <c r="BT1200">
        <v>-1.92</v>
      </c>
      <c r="BU1200">
        <v>-0.94</v>
      </c>
      <c r="BV1200">
        <v>-0.51</v>
      </c>
      <c r="BW1200">
        <v>-0.89</v>
      </c>
      <c r="BX1200">
        <v>-2.0299999999999998</v>
      </c>
      <c r="BY1200">
        <v>0.06</v>
      </c>
      <c r="BZ1200">
        <v>-1.61</v>
      </c>
      <c r="CA1200">
        <v>-0.78</v>
      </c>
      <c r="CB1200">
        <v>-0.86</v>
      </c>
      <c r="CC1200">
        <v>-1.1599999999999999</v>
      </c>
      <c r="CD1200">
        <v>-0.22</v>
      </c>
      <c r="CE1200">
        <v>-0.67</v>
      </c>
      <c r="CF1200">
        <v>-1.93</v>
      </c>
      <c r="CG1200">
        <v>0</v>
      </c>
      <c r="CH1200">
        <v>-0.84</v>
      </c>
      <c r="CI1200">
        <v>0</v>
      </c>
      <c r="CJ1200">
        <v>-8.5</v>
      </c>
      <c r="CK1200">
        <v>96</v>
      </c>
      <c r="CL1200">
        <v>-0.45</v>
      </c>
      <c r="CM1200">
        <v>95</v>
      </c>
      <c r="CN1200">
        <v>-0.28999999999999998</v>
      </c>
      <c r="CO1200">
        <v>95</v>
      </c>
      <c r="CP1200">
        <v>-9.1</v>
      </c>
      <c r="CQ1200">
        <v>86</v>
      </c>
      <c r="CR1200">
        <v>0</v>
      </c>
      <c r="CS1200">
        <v>0</v>
      </c>
      <c r="CT1200">
        <v>-3.5</v>
      </c>
      <c r="CU1200">
        <v>86</v>
      </c>
      <c r="CV1200">
        <v>-0.01</v>
      </c>
      <c r="CW1200">
        <v>46</v>
      </c>
      <c r="CX1200" t="s">
        <v>792</v>
      </c>
    </row>
    <row r="1201" spans="1:102" x14ac:dyDescent="0.3">
      <c r="A1201" t="str">
        <f>HYPERLINK("https://webapp.icbf.com/v2/app/bull-search/view/1417502265","JE4613")</f>
        <v>JE4613</v>
      </c>
      <c r="B1201" t="s">
        <v>8413</v>
      </c>
      <c r="C1201" t="s">
        <v>8414</v>
      </c>
      <c r="D1201" s="1">
        <v>42036</v>
      </c>
      <c r="E1201" t="s">
        <v>227</v>
      </c>
      <c r="F1201">
        <v>0</v>
      </c>
      <c r="G1201" t="s">
        <v>109</v>
      </c>
      <c r="H1201">
        <v>127.92</v>
      </c>
      <c r="I1201">
        <v>67</v>
      </c>
      <c r="J1201">
        <v>62.5</v>
      </c>
      <c r="K1201">
        <v>84</v>
      </c>
      <c r="L1201">
        <v>43.93</v>
      </c>
      <c r="M1201">
        <v>70</v>
      </c>
      <c r="N1201">
        <v>-11.16</v>
      </c>
      <c r="O1201">
        <v>63</v>
      </c>
      <c r="P1201">
        <v>-53.4</v>
      </c>
      <c r="Q1201">
        <v>37</v>
      </c>
      <c r="R1201">
        <v>9.48</v>
      </c>
      <c r="S1201">
        <v>55</v>
      </c>
      <c r="T1201">
        <v>66.290000000000006</v>
      </c>
      <c r="U1201">
        <v>37</v>
      </c>
      <c r="V1201">
        <v>10.28</v>
      </c>
      <c r="W1201">
        <v>54</v>
      </c>
      <c r="X1201" t="s">
        <v>94</v>
      </c>
      <c r="Y1201" t="s">
        <v>442</v>
      </c>
      <c r="Z1201">
        <v>0</v>
      </c>
      <c r="AA1201" t="s">
        <v>2251</v>
      </c>
      <c r="AB1201" t="s">
        <v>144</v>
      </c>
      <c r="AC1201">
        <v>0</v>
      </c>
      <c r="AD1201">
        <v>0</v>
      </c>
      <c r="AE1201">
        <v>84</v>
      </c>
      <c r="AF1201">
        <v>-404.32</v>
      </c>
      <c r="AG1201">
        <v>15.35</v>
      </c>
      <c r="AH1201">
        <v>-0.99</v>
      </c>
      <c r="AI1201">
        <v>0.56999999999999995</v>
      </c>
      <c r="AJ1201">
        <v>0.24</v>
      </c>
      <c r="AK1201">
        <v>70</v>
      </c>
      <c r="AL1201">
        <v>0</v>
      </c>
      <c r="AM1201">
        <v>0</v>
      </c>
      <c r="AN1201">
        <v>-1.0900000000000001</v>
      </c>
      <c r="AO1201">
        <v>2.4300000000000002</v>
      </c>
      <c r="AP1201">
        <v>30</v>
      </c>
      <c r="AQ1201">
        <v>0</v>
      </c>
      <c r="AR1201">
        <v>3.8</v>
      </c>
      <c r="AS1201">
        <v>58</v>
      </c>
      <c r="AT1201">
        <v>1.97</v>
      </c>
      <c r="AU1201">
        <v>60</v>
      </c>
      <c r="AV1201">
        <v>0.56000000000000005</v>
      </c>
      <c r="AW1201">
        <v>80</v>
      </c>
      <c r="AX1201">
        <v>9.3000000000000007</v>
      </c>
      <c r="AY1201">
        <v>49</v>
      </c>
      <c r="AZ1201">
        <v>6.8</v>
      </c>
      <c r="BA1201">
        <v>37</v>
      </c>
      <c r="BB1201">
        <v>4.79</v>
      </c>
      <c r="BC1201">
        <v>36</v>
      </c>
      <c r="BD1201">
        <v>-0.09</v>
      </c>
      <c r="BE1201">
        <v>-0.02</v>
      </c>
      <c r="BF1201">
        <v>-0.03</v>
      </c>
      <c r="BG1201">
        <v>61</v>
      </c>
      <c r="BH1201">
        <v>0.15</v>
      </c>
      <c r="BI1201">
        <v>-15.81</v>
      </c>
      <c r="BJ1201">
        <v>0</v>
      </c>
      <c r="BK1201">
        <v>0</v>
      </c>
      <c r="BL1201">
        <v>-1.35</v>
      </c>
      <c r="BM1201">
        <v>-2.25</v>
      </c>
      <c r="BN1201">
        <v>-0.66</v>
      </c>
      <c r="BO1201">
        <v>1.47</v>
      </c>
      <c r="BP1201">
        <v>0.44</v>
      </c>
      <c r="BQ1201">
        <v>-5.9</v>
      </c>
      <c r="BR1201">
        <v>2.58</v>
      </c>
      <c r="BS1201">
        <v>6.53</v>
      </c>
      <c r="BT1201">
        <v>-1.28</v>
      </c>
      <c r="BU1201">
        <v>0.86</v>
      </c>
      <c r="BV1201">
        <v>0.9</v>
      </c>
      <c r="BW1201">
        <v>-0.99</v>
      </c>
      <c r="BX1201">
        <v>-1.71</v>
      </c>
      <c r="BY1201">
        <v>0.35</v>
      </c>
      <c r="BZ1201">
        <v>-0.56999999999999995</v>
      </c>
      <c r="CA1201">
        <v>2.2799999999999998</v>
      </c>
      <c r="CB1201">
        <v>0.87</v>
      </c>
      <c r="CC1201">
        <v>4.04</v>
      </c>
      <c r="CD1201">
        <v>-2.4500000000000002</v>
      </c>
      <c r="CE1201">
        <v>1.42</v>
      </c>
      <c r="CF1201">
        <v>-1.5</v>
      </c>
      <c r="CG1201">
        <v>0</v>
      </c>
      <c r="CH1201">
        <v>-0.25</v>
      </c>
      <c r="CI1201">
        <v>0</v>
      </c>
      <c r="CJ1201">
        <v>-29.9</v>
      </c>
      <c r="CK1201">
        <v>37</v>
      </c>
      <c r="CL1201">
        <v>-0.99</v>
      </c>
      <c r="CM1201">
        <v>36</v>
      </c>
      <c r="CN1201">
        <v>-0.48</v>
      </c>
      <c r="CO1201">
        <v>36</v>
      </c>
      <c r="CP1201">
        <v>-50.3</v>
      </c>
      <c r="CQ1201">
        <v>36</v>
      </c>
      <c r="CR1201">
        <v>0</v>
      </c>
      <c r="CS1201">
        <v>0</v>
      </c>
      <c r="CT1201">
        <v>-75.8</v>
      </c>
      <c r="CU1201">
        <v>37</v>
      </c>
      <c r="CV1201">
        <v>-0.3</v>
      </c>
      <c r="CW1201">
        <v>32</v>
      </c>
      <c r="CX1201" t="s">
        <v>2208</v>
      </c>
    </row>
    <row r="1202" spans="1:102" x14ac:dyDescent="0.3">
      <c r="A1202" t="str">
        <f>HYPERLINK("https://webapp.icbf.com/v2/app/bull-search/view/1231248095","FR4430")</f>
        <v>FR4430</v>
      </c>
      <c r="B1202" t="s">
        <v>6329</v>
      </c>
      <c r="C1202" t="s">
        <v>6330</v>
      </c>
      <c r="D1202" s="1">
        <v>41384</v>
      </c>
      <c r="E1202" t="s">
        <v>92</v>
      </c>
      <c r="F1202">
        <v>100</v>
      </c>
      <c r="G1202" t="s">
        <v>109</v>
      </c>
      <c r="H1202">
        <v>127.86</v>
      </c>
      <c r="I1202">
        <v>76</v>
      </c>
      <c r="J1202">
        <v>110.79</v>
      </c>
      <c r="K1202">
        <v>92</v>
      </c>
      <c r="L1202">
        <v>-38.31</v>
      </c>
      <c r="M1202">
        <v>81</v>
      </c>
      <c r="N1202">
        <v>50.93</v>
      </c>
      <c r="O1202">
        <v>77</v>
      </c>
      <c r="P1202">
        <v>-2.81</v>
      </c>
      <c r="Q1202">
        <v>43</v>
      </c>
      <c r="R1202">
        <v>2.71</v>
      </c>
      <c r="S1202">
        <v>70</v>
      </c>
      <c r="T1202">
        <v>0.65</v>
      </c>
      <c r="U1202">
        <v>38</v>
      </c>
      <c r="V1202">
        <v>3.9</v>
      </c>
      <c r="W1202">
        <v>54</v>
      </c>
      <c r="X1202" t="s">
        <v>428</v>
      </c>
      <c r="Y1202" t="s">
        <v>442</v>
      </c>
      <c r="Z1202" t="s">
        <v>96</v>
      </c>
      <c r="AA1202" t="s">
        <v>465</v>
      </c>
      <c r="AB1202" t="s">
        <v>6331</v>
      </c>
      <c r="AC1202">
        <v>0</v>
      </c>
      <c r="AD1202">
        <v>0</v>
      </c>
      <c r="AE1202">
        <v>92</v>
      </c>
      <c r="AF1202">
        <v>662.36</v>
      </c>
      <c r="AG1202">
        <v>21.06</v>
      </c>
      <c r="AH1202">
        <v>21.53</v>
      </c>
      <c r="AI1202">
        <v>-0.08</v>
      </c>
      <c r="AJ1202">
        <v>-0.01</v>
      </c>
      <c r="AK1202">
        <v>81</v>
      </c>
      <c r="AL1202">
        <v>0</v>
      </c>
      <c r="AM1202">
        <v>0</v>
      </c>
      <c r="AN1202">
        <v>3.27</v>
      </c>
      <c r="AO1202">
        <v>0.23</v>
      </c>
      <c r="AP1202">
        <v>148</v>
      </c>
      <c r="AQ1202">
        <v>0</v>
      </c>
      <c r="AR1202">
        <v>4.62</v>
      </c>
      <c r="AS1202">
        <v>68</v>
      </c>
      <c r="AT1202">
        <v>2.37</v>
      </c>
      <c r="AU1202">
        <v>91</v>
      </c>
      <c r="AV1202">
        <v>-4.57</v>
      </c>
      <c r="AW1202">
        <v>88</v>
      </c>
      <c r="AX1202">
        <v>-0.84</v>
      </c>
      <c r="AY1202">
        <v>74</v>
      </c>
      <c r="AZ1202">
        <v>6.37</v>
      </c>
      <c r="BA1202">
        <v>40</v>
      </c>
      <c r="BB1202">
        <v>5.0599999999999996</v>
      </c>
      <c r="BC1202">
        <v>36</v>
      </c>
      <c r="BD1202">
        <v>-0.02</v>
      </c>
      <c r="BE1202">
        <v>-0.01</v>
      </c>
      <c r="BF1202">
        <v>-0.01</v>
      </c>
      <c r="BG1202">
        <v>88</v>
      </c>
      <c r="BH1202">
        <v>0.05</v>
      </c>
      <c r="BI1202">
        <v>-6.81</v>
      </c>
      <c r="BJ1202">
        <v>0</v>
      </c>
      <c r="BK1202">
        <v>0</v>
      </c>
      <c r="BL1202">
        <v>2.0699999999999998</v>
      </c>
      <c r="BM1202">
        <v>1.01</v>
      </c>
      <c r="BN1202">
        <v>1.46</v>
      </c>
      <c r="BO1202">
        <v>1.24</v>
      </c>
      <c r="BP1202">
        <v>-1.21</v>
      </c>
      <c r="BQ1202">
        <v>2.95</v>
      </c>
      <c r="BR1202">
        <v>-0.87</v>
      </c>
      <c r="BS1202">
        <v>2.82</v>
      </c>
      <c r="BT1202">
        <v>2.3199999999999998</v>
      </c>
      <c r="BU1202">
        <v>3.38</v>
      </c>
      <c r="BV1202">
        <v>3.13</v>
      </c>
      <c r="BW1202">
        <v>1.56</v>
      </c>
      <c r="BX1202">
        <v>2.88</v>
      </c>
      <c r="BY1202">
        <v>2.48</v>
      </c>
      <c r="BZ1202">
        <v>-1.45</v>
      </c>
      <c r="CA1202">
        <v>3.45</v>
      </c>
      <c r="CB1202">
        <v>2.97</v>
      </c>
      <c r="CC1202">
        <v>3.16</v>
      </c>
      <c r="CD1202">
        <v>-0.42</v>
      </c>
      <c r="CE1202">
        <v>1.24</v>
      </c>
      <c r="CF1202">
        <v>1.48</v>
      </c>
      <c r="CG1202">
        <v>0</v>
      </c>
      <c r="CH1202">
        <v>2.4900000000000002</v>
      </c>
      <c r="CI1202">
        <v>0</v>
      </c>
      <c r="CJ1202">
        <v>2.4</v>
      </c>
      <c r="CK1202">
        <v>44</v>
      </c>
      <c r="CL1202">
        <v>-1.3</v>
      </c>
      <c r="CM1202">
        <v>43</v>
      </c>
      <c r="CN1202">
        <v>-0.65</v>
      </c>
      <c r="CO1202">
        <v>43</v>
      </c>
      <c r="CP1202">
        <v>-2.1</v>
      </c>
      <c r="CQ1202">
        <v>40</v>
      </c>
      <c r="CR1202">
        <v>0</v>
      </c>
      <c r="CS1202">
        <v>0</v>
      </c>
      <c r="CT1202">
        <v>12.9</v>
      </c>
      <c r="CU1202">
        <v>38</v>
      </c>
      <c r="CV1202">
        <v>0.24</v>
      </c>
      <c r="CW1202">
        <v>34</v>
      </c>
      <c r="CX1202" t="s">
        <v>2187</v>
      </c>
    </row>
    <row r="1203" spans="1:102" x14ac:dyDescent="0.3">
      <c r="A1203" t="str">
        <f>HYPERLINK("https://webapp.icbf.com/v2/app/bull-search/view/146114005","BGW")</f>
        <v>BGW</v>
      </c>
      <c r="B1203" t="s">
        <v>7940</v>
      </c>
      <c r="C1203" t="s">
        <v>7941</v>
      </c>
      <c r="D1203" s="1">
        <v>36036</v>
      </c>
      <c r="E1203" t="s">
        <v>108</v>
      </c>
      <c r="F1203">
        <v>44</v>
      </c>
      <c r="G1203" t="s">
        <v>93</v>
      </c>
      <c r="H1203">
        <v>127.82</v>
      </c>
      <c r="I1203">
        <v>96</v>
      </c>
      <c r="J1203">
        <v>50.66</v>
      </c>
      <c r="K1203">
        <v>99</v>
      </c>
      <c r="L1203">
        <v>42.82</v>
      </c>
      <c r="M1203">
        <v>92</v>
      </c>
      <c r="N1203">
        <v>14.96</v>
      </c>
      <c r="O1203">
        <v>97</v>
      </c>
      <c r="P1203">
        <v>-18.510000000000002</v>
      </c>
      <c r="Q1203">
        <v>99</v>
      </c>
      <c r="R1203">
        <v>7.6</v>
      </c>
      <c r="S1203">
        <v>96</v>
      </c>
      <c r="T1203">
        <v>28.33</v>
      </c>
      <c r="U1203">
        <v>98</v>
      </c>
      <c r="V1203">
        <v>1.96</v>
      </c>
      <c r="W1203">
        <v>97</v>
      </c>
      <c r="X1203" t="s">
        <v>302</v>
      </c>
      <c r="Y1203" t="s">
        <v>95</v>
      </c>
      <c r="Z1203" t="s">
        <v>96</v>
      </c>
      <c r="AA1203" t="s">
        <v>2740</v>
      </c>
      <c r="AB1203" t="s">
        <v>7942</v>
      </c>
      <c r="AC1203">
        <v>702</v>
      </c>
      <c r="AD1203">
        <v>231</v>
      </c>
      <c r="AE1203">
        <v>99</v>
      </c>
      <c r="AF1203">
        <v>60.57</v>
      </c>
      <c r="AG1203">
        <v>11.4</v>
      </c>
      <c r="AH1203">
        <v>5.51</v>
      </c>
      <c r="AI1203">
        <v>0.16</v>
      </c>
      <c r="AJ1203">
        <v>0.06</v>
      </c>
      <c r="AK1203">
        <v>92</v>
      </c>
      <c r="AL1203">
        <v>743</v>
      </c>
      <c r="AM1203">
        <v>244</v>
      </c>
      <c r="AN1203">
        <v>-1.95</v>
      </c>
      <c r="AO1203">
        <v>1.47</v>
      </c>
      <c r="AP1203">
        <v>1262</v>
      </c>
      <c r="AQ1203">
        <v>11</v>
      </c>
      <c r="AR1203">
        <v>7.04</v>
      </c>
      <c r="AS1203">
        <v>94</v>
      </c>
      <c r="AT1203">
        <v>2.82</v>
      </c>
      <c r="AU1203">
        <v>97</v>
      </c>
      <c r="AV1203">
        <v>-1.44</v>
      </c>
      <c r="AW1203">
        <v>99</v>
      </c>
      <c r="AX1203">
        <v>0.32</v>
      </c>
      <c r="AY1203">
        <v>97</v>
      </c>
      <c r="AZ1203">
        <v>6.33</v>
      </c>
      <c r="BA1203">
        <v>91</v>
      </c>
      <c r="BB1203">
        <v>4.97</v>
      </c>
      <c r="BC1203">
        <v>93</v>
      </c>
      <c r="BD1203">
        <v>-0.04</v>
      </c>
      <c r="BE1203">
        <v>-0.02</v>
      </c>
      <c r="BF1203">
        <v>-7.0000000000000007E-2</v>
      </c>
      <c r="BG1203">
        <v>98</v>
      </c>
      <c r="BH1203">
        <v>0.08</v>
      </c>
      <c r="BI1203">
        <v>2.92</v>
      </c>
      <c r="BJ1203">
        <v>24</v>
      </c>
      <c r="BK1203">
        <v>15</v>
      </c>
      <c r="BL1203">
        <v>-2.56</v>
      </c>
      <c r="BM1203">
        <v>2.5099999999999998</v>
      </c>
      <c r="BN1203">
        <v>-0.33</v>
      </c>
      <c r="BO1203">
        <v>-2.0699999999999998</v>
      </c>
      <c r="BP1203">
        <v>-3.36</v>
      </c>
      <c r="BQ1203">
        <v>-1.5</v>
      </c>
      <c r="BR1203">
        <v>1.24</v>
      </c>
      <c r="BS1203">
        <v>-1.4</v>
      </c>
      <c r="BT1203">
        <v>-1.5</v>
      </c>
      <c r="BU1203">
        <v>-1.75</v>
      </c>
      <c r="BV1203">
        <v>-2.23</v>
      </c>
      <c r="BW1203">
        <v>-2.71</v>
      </c>
      <c r="BX1203">
        <v>-3.65</v>
      </c>
      <c r="BY1203">
        <v>-1.71</v>
      </c>
      <c r="BZ1203">
        <v>1.34</v>
      </c>
      <c r="CA1203">
        <v>-1.98</v>
      </c>
      <c r="CB1203">
        <v>-2.21</v>
      </c>
      <c r="CC1203">
        <v>-1.53</v>
      </c>
      <c r="CD1203">
        <v>1.75</v>
      </c>
      <c r="CE1203">
        <v>-2.2599999999999998</v>
      </c>
      <c r="CF1203">
        <v>-2.65</v>
      </c>
      <c r="CG1203">
        <v>0</v>
      </c>
      <c r="CH1203">
        <v>-1.86</v>
      </c>
      <c r="CI1203">
        <v>0</v>
      </c>
      <c r="CJ1203">
        <v>-9.8000000000000007</v>
      </c>
      <c r="CK1203">
        <v>99</v>
      </c>
      <c r="CL1203">
        <v>-0.4</v>
      </c>
      <c r="CM1203">
        <v>99</v>
      </c>
      <c r="CN1203">
        <v>-0.18</v>
      </c>
      <c r="CO1203">
        <v>98</v>
      </c>
      <c r="CP1203">
        <v>-19.8</v>
      </c>
      <c r="CQ1203">
        <v>98</v>
      </c>
      <c r="CR1203">
        <v>0</v>
      </c>
      <c r="CS1203">
        <v>0</v>
      </c>
      <c r="CT1203">
        <v>-24.5</v>
      </c>
      <c r="CU1203">
        <v>98</v>
      </c>
      <c r="CV1203">
        <v>0.02</v>
      </c>
      <c r="CW1203">
        <v>47</v>
      </c>
      <c r="CX1203" t="s">
        <v>1625</v>
      </c>
    </row>
    <row r="1204" spans="1:102" x14ac:dyDescent="0.3">
      <c r="A1204" t="str">
        <f>HYPERLINK("https://webapp.icbf.com/v2/app/bull-search/view/720527646","AMC")</f>
        <v>AMC</v>
      </c>
      <c r="B1204" t="s">
        <v>14869</v>
      </c>
      <c r="C1204" t="s">
        <v>14870</v>
      </c>
      <c r="D1204" s="1">
        <v>39268</v>
      </c>
      <c r="E1204" t="s">
        <v>227</v>
      </c>
      <c r="F1204">
        <v>0</v>
      </c>
      <c r="G1204" t="s">
        <v>109</v>
      </c>
      <c r="H1204">
        <v>127.74</v>
      </c>
      <c r="I1204">
        <v>73</v>
      </c>
      <c r="J1204">
        <v>78.77</v>
      </c>
      <c r="K1204">
        <v>90</v>
      </c>
      <c r="L1204">
        <v>-5.97</v>
      </c>
      <c r="M1204">
        <v>71</v>
      </c>
      <c r="N1204">
        <v>41.34</v>
      </c>
      <c r="O1204">
        <v>57</v>
      </c>
      <c r="P1204">
        <v>-50.58</v>
      </c>
      <c r="Q1204">
        <v>48</v>
      </c>
      <c r="R1204">
        <v>-4.51</v>
      </c>
      <c r="S1204">
        <v>68</v>
      </c>
      <c r="T1204">
        <v>59.04</v>
      </c>
      <c r="U1204">
        <v>56</v>
      </c>
      <c r="V1204">
        <v>9.65</v>
      </c>
      <c r="W1204">
        <v>67</v>
      </c>
      <c r="X1204" t="s">
        <v>276</v>
      </c>
      <c r="Y1204" t="s">
        <v>8249</v>
      </c>
      <c r="Z1204">
        <v>0</v>
      </c>
      <c r="AA1204" t="s">
        <v>229</v>
      </c>
      <c r="AB1204" t="s">
        <v>14871</v>
      </c>
      <c r="AC1204">
        <v>0</v>
      </c>
      <c r="AD1204">
        <v>0</v>
      </c>
      <c r="AE1204">
        <v>90</v>
      </c>
      <c r="AF1204">
        <v>-409.71</v>
      </c>
      <c r="AG1204">
        <v>17.43</v>
      </c>
      <c r="AH1204">
        <v>0.96</v>
      </c>
      <c r="AI1204">
        <v>0.63</v>
      </c>
      <c r="AJ1204">
        <v>0.28000000000000003</v>
      </c>
      <c r="AK1204">
        <v>71</v>
      </c>
      <c r="AL1204">
        <v>0</v>
      </c>
      <c r="AM1204">
        <v>0</v>
      </c>
      <c r="AN1204">
        <v>-0.77</v>
      </c>
      <c r="AO1204">
        <v>-1.26</v>
      </c>
      <c r="AP1204">
        <v>8</v>
      </c>
      <c r="AQ1204">
        <v>0</v>
      </c>
      <c r="AR1204">
        <v>4.24</v>
      </c>
      <c r="AS1204">
        <v>56</v>
      </c>
      <c r="AT1204">
        <v>1.67</v>
      </c>
      <c r="AU1204">
        <v>60</v>
      </c>
      <c r="AV1204">
        <v>-3.55</v>
      </c>
      <c r="AW1204">
        <v>62</v>
      </c>
      <c r="AX1204">
        <v>0.78</v>
      </c>
      <c r="AY1204">
        <v>45</v>
      </c>
      <c r="AZ1204">
        <v>7.35</v>
      </c>
      <c r="BA1204">
        <v>51</v>
      </c>
      <c r="BB1204">
        <v>5.22</v>
      </c>
      <c r="BC1204">
        <v>50</v>
      </c>
      <c r="BD1204">
        <v>-0.05</v>
      </c>
      <c r="BE1204">
        <v>0.03</v>
      </c>
      <c r="BF1204">
        <v>0.13</v>
      </c>
      <c r="BG1204">
        <v>72</v>
      </c>
      <c r="BH1204">
        <v>0.28999999999999998</v>
      </c>
      <c r="BI1204">
        <v>2.42</v>
      </c>
      <c r="BJ1204">
        <v>0</v>
      </c>
      <c r="BK1204">
        <v>0</v>
      </c>
      <c r="BL1204">
        <v>-2.99</v>
      </c>
      <c r="BM1204">
        <v>-2.1</v>
      </c>
      <c r="BN1204">
        <v>-0.2</v>
      </c>
      <c r="BO1204">
        <v>1.34</v>
      </c>
      <c r="BP1204">
        <v>-1.1599999999999999</v>
      </c>
      <c r="BQ1204">
        <v>-5.84</v>
      </c>
      <c r="BR1204">
        <v>2.97</v>
      </c>
      <c r="BS1204">
        <v>6.94</v>
      </c>
      <c r="BT1204">
        <v>-0.86</v>
      </c>
      <c r="BU1204">
        <v>-1.42</v>
      </c>
      <c r="BV1204">
        <v>-0.7</v>
      </c>
      <c r="BW1204">
        <v>-3.2</v>
      </c>
      <c r="BX1204">
        <v>-3.98</v>
      </c>
      <c r="BY1204">
        <v>-0.12</v>
      </c>
      <c r="BZ1204">
        <v>-0.73</v>
      </c>
      <c r="CA1204">
        <v>0.59</v>
      </c>
      <c r="CB1204">
        <v>-1.25</v>
      </c>
      <c r="CC1204">
        <v>4.2300000000000004</v>
      </c>
      <c r="CD1204">
        <v>-2.69</v>
      </c>
      <c r="CE1204">
        <v>0.74</v>
      </c>
      <c r="CF1204">
        <v>-3.49</v>
      </c>
      <c r="CG1204">
        <v>0</v>
      </c>
      <c r="CH1204">
        <v>-1.62</v>
      </c>
      <c r="CI1204">
        <v>0</v>
      </c>
      <c r="CJ1204">
        <v>-24.9</v>
      </c>
      <c r="CK1204">
        <v>50</v>
      </c>
      <c r="CL1204">
        <v>-0.99</v>
      </c>
      <c r="CM1204">
        <v>45</v>
      </c>
      <c r="CN1204">
        <v>-0.02</v>
      </c>
      <c r="CO1204">
        <v>45</v>
      </c>
      <c r="CP1204">
        <v>-41.6</v>
      </c>
      <c r="CQ1204">
        <v>50</v>
      </c>
      <c r="CR1204">
        <v>0</v>
      </c>
      <c r="CS1204">
        <v>0</v>
      </c>
      <c r="CT1204">
        <v>-66</v>
      </c>
      <c r="CU1204">
        <v>56</v>
      </c>
      <c r="CV1204">
        <v>-0.14000000000000001</v>
      </c>
      <c r="CW1204">
        <v>35</v>
      </c>
      <c r="CX1204" t="s">
        <v>7080</v>
      </c>
    </row>
    <row r="1205" spans="1:102" x14ac:dyDescent="0.3">
      <c r="A1205" t="str">
        <f>HYPERLINK("https://webapp.icbf.com/v2/app/bull-search/view/388956218","TMI")</f>
        <v>TMI</v>
      </c>
      <c r="B1205" t="s">
        <v>4318</v>
      </c>
      <c r="C1205" t="s">
        <v>4319</v>
      </c>
      <c r="D1205" s="1">
        <v>38034</v>
      </c>
      <c r="E1205" t="s">
        <v>108</v>
      </c>
      <c r="F1205">
        <v>0</v>
      </c>
      <c r="G1205" t="s">
        <v>93</v>
      </c>
      <c r="H1205">
        <v>127.56</v>
      </c>
      <c r="I1205">
        <v>97</v>
      </c>
      <c r="J1205">
        <v>-5.31</v>
      </c>
      <c r="K1205">
        <v>99</v>
      </c>
      <c r="L1205">
        <v>103.17</v>
      </c>
      <c r="M1205">
        <v>94</v>
      </c>
      <c r="N1205">
        <v>6.24</v>
      </c>
      <c r="O1205">
        <v>98</v>
      </c>
      <c r="P1205">
        <v>-2.98</v>
      </c>
      <c r="Q1205">
        <v>99</v>
      </c>
      <c r="R1205">
        <v>2.19</v>
      </c>
      <c r="S1205">
        <v>94</v>
      </c>
      <c r="T1205">
        <v>18.41</v>
      </c>
      <c r="U1205">
        <v>98</v>
      </c>
      <c r="V1205">
        <v>5.84</v>
      </c>
      <c r="W1205">
        <v>94</v>
      </c>
      <c r="X1205" t="s">
        <v>102</v>
      </c>
      <c r="Y1205" t="s">
        <v>1153</v>
      </c>
      <c r="Z1205" t="s">
        <v>96</v>
      </c>
      <c r="AA1205" t="s">
        <v>4320</v>
      </c>
      <c r="AB1205" t="s">
        <v>4321</v>
      </c>
      <c r="AC1205">
        <v>1041</v>
      </c>
      <c r="AD1205">
        <v>336</v>
      </c>
      <c r="AE1205">
        <v>99</v>
      </c>
      <c r="AF1205">
        <v>-161.36000000000001</v>
      </c>
      <c r="AG1205">
        <v>-2.2400000000000002</v>
      </c>
      <c r="AH1205">
        <v>-2.58</v>
      </c>
      <c r="AI1205">
        <v>7.0000000000000007E-2</v>
      </c>
      <c r="AJ1205">
        <v>0.05</v>
      </c>
      <c r="AK1205">
        <v>94</v>
      </c>
      <c r="AL1205">
        <v>1742</v>
      </c>
      <c r="AM1205">
        <v>570</v>
      </c>
      <c r="AN1205">
        <v>-5.42</v>
      </c>
      <c r="AO1205">
        <v>2.81</v>
      </c>
      <c r="AP1205">
        <v>2950</v>
      </c>
      <c r="AQ1205">
        <v>25</v>
      </c>
      <c r="AR1205">
        <v>6.58</v>
      </c>
      <c r="AS1205">
        <v>98</v>
      </c>
      <c r="AT1205">
        <v>2.74</v>
      </c>
      <c r="AU1205">
        <v>98</v>
      </c>
      <c r="AV1205">
        <v>-0.75</v>
      </c>
      <c r="AW1205">
        <v>99</v>
      </c>
      <c r="AX1205">
        <v>-7.0000000000000007E-2</v>
      </c>
      <c r="AY1205">
        <v>99</v>
      </c>
      <c r="AZ1205">
        <v>7.71</v>
      </c>
      <c r="BA1205">
        <v>95</v>
      </c>
      <c r="BB1205">
        <v>5.7</v>
      </c>
      <c r="BC1205">
        <v>95</v>
      </c>
      <c r="BD1205">
        <v>-0.02</v>
      </c>
      <c r="BE1205">
        <v>-0.03</v>
      </c>
      <c r="BF1205">
        <v>0.04</v>
      </c>
      <c r="BG1205">
        <v>98</v>
      </c>
      <c r="BH1205">
        <v>0.04</v>
      </c>
      <c r="BI1205">
        <v>-14.2</v>
      </c>
      <c r="BJ1205">
        <v>47</v>
      </c>
      <c r="BK1205">
        <v>29</v>
      </c>
      <c r="BL1205">
        <v>-2.6</v>
      </c>
      <c r="BM1205">
        <v>1.51</v>
      </c>
      <c r="BN1205">
        <v>-1.82</v>
      </c>
      <c r="BO1205">
        <v>-2.36</v>
      </c>
      <c r="BP1205">
        <v>-1.29</v>
      </c>
      <c r="BQ1205">
        <v>2.46</v>
      </c>
      <c r="BR1205">
        <v>-2.0099999999999998</v>
      </c>
      <c r="BS1205">
        <v>0.33</v>
      </c>
      <c r="BT1205">
        <v>1.1599999999999999</v>
      </c>
      <c r="BU1205">
        <v>-3.03</v>
      </c>
      <c r="BV1205">
        <v>-3.45</v>
      </c>
      <c r="BW1205">
        <v>-2.3199999999999998</v>
      </c>
      <c r="BX1205">
        <v>-0.24</v>
      </c>
      <c r="BY1205">
        <v>0.83</v>
      </c>
      <c r="BZ1205">
        <v>-1.21</v>
      </c>
      <c r="CA1205">
        <v>-2.42</v>
      </c>
      <c r="CB1205">
        <v>-2.33</v>
      </c>
      <c r="CC1205">
        <v>-1.47</v>
      </c>
      <c r="CD1205">
        <v>2.15</v>
      </c>
      <c r="CE1205">
        <v>-2.59</v>
      </c>
      <c r="CF1205">
        <v>-1.72</v>
      </c>
      <c r="CG1205">
        <v>0</v>
      </c>
      <c r="CH1205">
        <v>0.78</v>
      </c>
      <c r="CI1205">
        <v>0</v>
      </c>
      <c r="CJ1205">
        <v>-3.3</v>
      </c>
      <c r="CK1205">
        <v>99</v>
      </c>
      <c r="CL1205">
        <v>0.05</v>
      </c>
      <c r="CM1205">
        <v>99</v>
      </c>
      <c r="CN1205">
        <v>-0.24</v>
      </c>
      <c r="CO1205">
        <v>99</v>
      </c>
      <c r="CP1205">
        <v>-11.7</v>
      </c>
      <c r="CQ1205">
        <v>99</v>
      </c>
      <c r="CR1205">
        <v>0</v>
      </c>
      <c r="CS1205">
        <v>0</v>
      </c>
      <c r="CT1205">
        <v>-11.1</v>
      </c>
      <c r="CU1205">
        <v>98</v>
      </c>
      <c r="CV1205">
        <v>0.06</v>
      </c>
      <c r="CW1205">
        <v>47</v>
      </c>
      <c r="CX1205" t="s">
        <v>4322</v>
      </c>
    </row>
    <row r="1206" spans="1:102" x14ac:dyDescent="0.3">
      <c r="A1206" t="str">
        <f>HYPERLINK("https://webapp.icbf.com/v2/app/bull-search/view/1338898430","S3078")</f>
        <v>S3078</v>
      </c>
      <c r="B1206" t="s">
        <v>6130</v>
      </c>
      <c r="C1206" t="s">
        <v>6131</v>
      </c>
      <c r="D1206" s="1">
        <v>41823</v>
      </c>
      <c r="E1206" t="s">
        <v>92</v>
      </c>
      <c r="F1206">
        <v>100</v>
      </c>
      <c r="G1206" t="s">
        <v>109</v>
      </c>
      <c r="H1206">
        <v>127.48</v>
      </c>
      <c r="I1206">
        <v>70</v>
      </c>
      <c r="J1206">
        <v>69.02</v>
      </c>
      <c r="K1206">
        <v>91</v>
      </c>
      <c r="L1206">
        <v>7.6</v>
      </c>
      <c r="M1206">
        <v>66</v>
      </c>
      <c r="N1206">
        <v>44.27</v>
      </c>
      <c r="O1206">
        <v>59</v>
      </c>
      <c r="P1206">
        <v>2.9</v>
      </c>
      <c r="Q1206">
        <v>46</v>
      </c>
      <c r="R1206">
        <v>12.92</v>
      </c>
      <c r="S1206">
        <v>70</v>
      </c>
      <c r="T1206">
        <v>-14.52</v>
      </c>
      <c r="U1206">
        <v>44</v>
      </c>
      <c r="V1206">
        <v>5.29</v>
      </c>
      <c r="W1206">
        <v>56</v>
      </c>
      <c r="X1206" t="s">
        <v>110</v>
      </c>
      <c r="Y1206" t="s">
        <v>457</v>
      </c>
      <c r="Z1206" t="s">
        <v>96</v>
      </c>
      <c r="AA1206" t="s">
        <v>2267</v>
      </c>
      <c r="AB1206" t="s">
        <v>6132</v>
      </c>
      <c r="AC1206">
        <v>0</v>
      </c>
      <c r="AD1206">
        <v>0</v>
      </c>
      <c r="AE1206">
        <v>91</v>
      </c>
      <c r="AF1206">
        <v>536.88</v>
      </c>
      <c r="AG1206">
        <v>13.36</v>
      </c>
      <c r="AH1206">
        <v>15.23</v>
      </c>
      <c r="AI1206">
        <v>-0.12</v>
      </c>
      <c r="AJ1206">
        <v>-0.05</v>
      </c>
      <c r="AK1206">
        <v>66</v>
      </c>
      <c r="AL1206">
        <v>0</v>
      </c>
      <c r="AM1206">
        <v>0</v>
      </c>
      <c r="AN1206">
        <v>0.68</v>
      </c>
      <c r="AO1206">
        <v>1.3</v>
      </c>
      <c r="AP1206">
        <v>9</v>
      </c>
      <c r="AQ1206">
        <v>0</v>
      </c>
      <c r="AR1206">
        <v>4.8</v>
      </c>
      <c r="AS1206">
        <v>58</v>
      </c>
      <c r="AT1206">
        <v>2.33</v>
      </c>
      <c r="AU1206">
        <v>74</v>
      </c>
      <c r="AV1206">
        <v>-4.1900000000000004</v>
      </c>
      <c r="AW1206">
        <v>64</v>
      </c>
      <c r="AX1206">
        <v>-0.23</v>
      </c>
      <c r="AY1206">
        <v>45</v>
      </c>
      <c r="AZ1206">
        <v>6.54</v>
      </c>
      <c r="BA1206">
        <v>40</v>
      </c>
      <c r="BB1206">
        <v>5.4</v>
      </c>
      <c r="BC1206">
        <v>36</v>
      </c>
      <c r="BD1206">
        <v>-0.03</v>
      </c>
      <c r="BE1206">
        <v>-0.03</v>
      </c>
      <c r="BF1206">
        <v>-0.19</v>
      </c>
      <c r="BG1206">
        <v>86</v>
      </c>
      <c r="BH1206">
        <v>0.04</v>
      </c>
      <c r="BI1206">
        <v>-12.45</v>
      </c>
      <c r="BJ1206">
        <v>0</v>
      </c>
      <c r="BK1206">
        <v>0</v>
      </c>
      <c r="BL1206">
        <v>1.5</v>
      </c>
      <c r="BM1206">
        <v>0.21</v>
      </c>
      <c r="BN1206">
        <v>1.06</v>
      </c>
      <c r="BO1206">
        <v>0.92</v>
      </c>
      <c r="BP1206">
        <v>0.59</v>
      </c>
      <c r="BQ1206">
        <v>0.39</v>
      </c>
      <c r="BR1206">
        <v>-2.02</v>
      </c>
      <c r="BS1206">
        <v>3.11</v>
      </c>
      <c r="BT1206">
        <v>2.84</v>
      </c>
      <c r="BU1206">
        <v>1.82</v>
      </c>
      <c r="BV1206">
        <v>2.0299999999999998</v>
      </c>
      <c r="BW1206">
        <v>2.0699999999999998</v>
      </c>
      <c r="BX1206">
        <v>1.21</v>
      </c>
      <c r="BY1206">
        <v>2.39</v>
      </c>
      <c r="BZ1206">
        <v>0.45</v>
      </c>
      <c r="CA1206">
        <v>2.8</v>
      </c>
      <c r="CB1206">
        <v>2.44</v>
      </c>
      <c r="CC1206">
        <v>2.66</v>
      </c>
      <c r="CD1206">
        <v>0.24</v>
      </c>
      <c r="CE1206">
        <v>0.72</v>
      </c>
      <c r="CF1206">
        <v>0.31</v>
      </c>
      <c r="CG1206">
        <v>0</v>
      </c>
      <c r="CH1206">
        <v>2.63</v>
      </c>
      <c r="CI1206">
        <v>0</v>
      </c>
      <c r="CJ1206">
        <v>5.7</v>
      </c>
      <c r="CK1206">
        <v>47</v>
      </c>
      <c r="CL1206">
        <v>-1.25</v>
      </c>
      <c r="CM1206">
        <v>44</v>
      </c>
      <c r="CN1206">
        <v>-0.56000000000000005</v>
      </c>
      <c r="CO1206">
        <v>44</v>
      </c>
      <c r="CP1206">
        <v>9.1999999999999993</v>
      </c>
      <c r="CQ1206">
        <v>42</v>
      </c>
      <c r="CR1206">
        <v>0</v>
      </c>
      <c r="CS1206">
        <v>0</v>
      </c>
      <c r="CT1206">
        <v>33.4</v>
      </c>
      <c r="CU1206">
        <v>44</v>
      </c>
      <c r="CV1206">
        <v>0.28999999999999998</v>
      </c>
      <c r="CW1206">
        <v>34</v>
      </c>
      <c r="CX1206" t="s">
        <v>2067</v>
      </c>
    </row>
    <row r="1207" spans="1:102" x14ac:dyDescent="0.3">
      <c r="A1207" t="str">
        <f>HYPERLINK("https://webapp.icbf.com/v2/app/bull-search/view/1125380749","S1686")</f>
        <v>S1686</v>
      </c>
      <c r="B1207" t="s">
        <v>13413</v>
      </c>
      <c r="C1207" t="s">
        <v>13414</v>
      </c>
      <c r="D1207" s="1">
        <v>40884</v>
      </c>
      <c r="E1207" t="s">
        <v>92</v>
      </c>
      <c r="F1207">
        <v>100</v>
      </c>
      <c r="G1207" t="s">
        <v>109</v>
      </c>
      <c r="H1207">
        <v>127.44</v>
      </c>
      <c r="I1207">
        <v>82</v>
      </c>
      <c r="J1207">
        <v>82.35</v>
      </c>
      <c r="K1207">
        <v>94</v>
      </c>
      <c r="L1207">
        <v>31.36</v>
      </c>
      <c r="M1207">
        <v>87</v>
      </c>
      <c r="N1207">
        <v>20.67</v>
      </c>
      <c r="O1207">
        <v>77</v>
      </c>
      <c r="P1207">
        <v>-3.64</v>
      </c>
      <c r="Q1207">
        <v>69</v>
      </c>
      <c r="R1207">
        <v>4.55</v>
      </c>
      <c r="S1207">
        <v>78</v>
      </c>
      <c r="T1207">
        <v>-14.22</v>
      </c>
      <c r="U1207">
        <v>48</v>
      </c>
      <c r="V1207">
        <v>6.37</v>
      </c>
      <c r="W1207">
        <v>64</v>
      </c>
      <c r="X1207" t="s">
        <v>94</v>
      </c>
      <c r="Y1207" t="s">
        <v>362</v>
      </c>
      <c r="Z1207" t="s">
        <v>96</v>
      </c>
      <c r="AA1207" t="s">
        <v>5885</v>
      </c>
      <c r="AB1207" t="s">
        <v>13415</v>
      </c>
      <c r="AC1207">
        <v>0</v>
      </c>
      <c r="AD1207">
        <v>0</v>
      </c>
      <c r="AE1207">
        <v>94</v>
      </c>
      <c r="AF1207">
        <v>658.11</v>
      </c>
      <c r="AG1207">
        <v>14.41</v>
      </c>
      <c r="AH1207">
        <v>18.98</v>
      </c>
      <c r="AI1207">
        <v>-0.18</v>
      </c>
      <c r="AJ1207">
        <v>-0.05</v>
      </c>
      <c r="AK1207">
        <v>87</v>
      </c>
      <c r="AL1207">
        <v>0</v>
      </c>
      <c r="AM1207">
        <v>0</v>
      </c>
      <c r="AN1207">
        <v>-0.99</v>
      </c>
      <c r="AO1207">
        <v>1.52</v>
      </c>
      <c r="AP1207">
        <v>43</v>
      </c>
      <c r="AQ1207">
        <v>0</v>
      </c>
      <c r="AR1207">
        <v>5.84</v>
      </c>
      <c r="AS1207">
        <v>78</v>
      </c>
      <c r="AT1207">
        <v>2.68</v>
      </c>
      <c r="AU1207">
        <v>93</v>
      </c>
      <c r="AV1207">
        <v>-2.85</v>
      </c>
      <c r="AW1207">
        <v>84</v>
      </c>
      <c r="AX1207">
        <v>1.55</v>
      </c>
      <c r="AY1207">
        <v>62</v>
      </c>
      <c r="AZ1207">
        <v>7.6</v>
      </c>
      <c r="BA1207">
        <v>48</v>
      </c>
      <c r="BB1207">
        <v>5.75</v>
      </c>
      <c r="BC1207">
        <v>45</v>
      </c>
      <c r="BD1207">
        <v>-0.01</v>
      </c>
      <c r="BE1207">
        <v>-0.02</v>
      </c>
      <c r="BF1207">
        <v>-0.05</v>
      </c>
      <c r="BG1207">
        <v>93</v>
      </c>
      <c r="BH1207">
        <v>0.05</v>
      </c>
      <c r="BI1207">
        <v>-14.78</v>
      </c>
      <c r="BJ1207">
        <v>2</v>
      </c>
      <c r="BK1207">
        <v>2</v>
      </c>
      <c r="BL1207">
        <v>2.14</v>
      </c>
      <c r="BM1207">
        <v>-0.44</v>
      </c>
      <c r="BN1207">
        <v>0.95</v>
      </c>
      <c r="BO1207">
        <v>1.3</v>
      </c>
      <c r="BP1207">
        <v>1.1200000000000001</v>
      </c>
      <c r="BQ1207">
        <v>0.85</v>
      </c>
      <c r="BR1207">
        <v>0.04</v>
      </c>
      <c r="BS1207">
        <v>2.27</v>
      </c>
      <c r="BT1207">
        <v>0.89</v>
      </c>
      <c r="BU1207">
        <v>0.8</v>
      </c>
      <c r="BV1207">
        <v>2.58</v>
      </c>
      <c r="BW1207">
        <v>2.14</v>
      </c>
      <c r="BX1207">
        <v>1.85</v>
      </c>
      <c r="BY1207">
        <v>1.58</v>
      </c>
      <c r="BZ1207">
        <v>1.27</v>
      </c>
      <c r="CA1207">
        <v>2.21</v>
      </c>
      <c r="CB1207">
        <v>1.75</v>
      </c>
      <c r="CC1207">
        <v>1.83</v>
      </c>
      <c r="CD1207">
        <v>-0.54</v>
      </c>
      <c r="CE1207">
        <v>1.0900000000000001</v>
      </c>
      <c r="CF1207">
        <v>1.78</v>
      </c>
      <c r="CG1207">
        <v>0</v>
      </c>
      <c r="CH1207">
        <v>1.5</v>
      </c>
      <c r="CI1207">
        <v>0</v>
      </c>
      <c r="CJ1207">
        <v>2.4</v>
      </c>
      <c r="CK1207">
        <v>72</v>
      </c>
      <c r="CL1207">
        <v>-1.47</v>
      </c>
      <c r="CM1207">
        <v>68</v>
      </c>
      <c r="CN1207">
        <v>-0.53</v>
      </c>
      <c r="CO1207">
        <v>66</v>
      </c>
      <c r="CP1207">
        <v>13.4</v>
      </c>
      <c r="CQ1207">
        <v>50</v>
      </c>
      <c r="CR1207">
        <v>0</v>
      </c>
      <c r="CS1207">
        <v>0</v>
      </c>
      <c r="CT1207">
        <v>33</v>
      </c>
      <c r="CU1207">
        <v>48</v>
      </c>
      <c r="CV1207">
        <v>0.42</v>
      </c>
      <c r="CW1207">
        <v>40</v>
      </c>
      <c r="CX1207" t="s">
        <v>350</v>
      </c>
    </row>
    <row r="1208" spans="1:102" x14ac:dyDescent="0.3">
      <c r="A1208" t="str">
        <f>HYPERLINK("https://webapp.icbf.com/v2/app/bull-search/view/953381742","LCL")</f>
        <v>LCL</v>
      </c>
      <c r="B1208" t="s">
        <v>13410</v>
      </c>
      <c r="C1208" t="s">
        <v>13411</v>
      </c>
      <c r="D1208" s="1">
        <v>40963</v>
      </c>
      <c r="E1208" t="s">
        <v>92</v>
      </c>
      <c r="F1208">
        <v>91</v>
      </c>
      <c r="G1208" t="s">
        <v>93</v>
      </c>
      <c r="H1208">
        <v>127.42</v>
      </c>
      <c r="I1208">
        <v>94</v>
      </c>
      <c r="J1208">
        <v>52.06</v>
      </c>
      <c r="K1208">
        <v>99</v>
      </c>
      <c r="L1208">
        <v>49.15</v>
      </c>
      <c r="M1208">
        <v>88</v>
      </c>
      <c r="N1208">
        <v>45.97</v>
      </c>
      <c r="O1208">
        <v>96</v>
      </c>
      <c r="P1208">
        <v>-21.17</v>
      </c>
      <c r="Q1208">
        <v>98</v>
      </c>
      <c r="R1208">
        <v>-11.47</v>
      </c>
      <c r="S1208">
        <v>90</v>
      </c>
      <c r="T1208">
        <v>13.53</v>
      </c>
      <c r="U1208">
        <v>96</v>
      </c>
      <c r="V1208">
        <v>-0.65</v>
      </c>
      <c r="W1208">
        <v>82</v>
      </c>
      <c r="X1208" t="s">
        <v>276</v>
      </c>
      <c r="Y1208" t="s">
        <v>1923</v>
      </c>
      <c r="Z1208" t="s">
        <v>96</v>
      </c>
      <c r="AA1208" t="s">
        <v>5692</v>
      </c>
      <c r="AB1208" t="s">
        <v>13412</v>
      </c>
      <c r="AC1208">
        <v>748</v>
      </c>
      <c r="AD1208">
        <v>299</v>
      </c>
      <c r="AE1208">
        <v>99</v>
      </c>
      <c r="AF1208">
        <v>9.6300000000000008</v>
      </c>
      <c r="AG1208">
        <v>11.14</v>
      </c>
      <c r="AH1208">
        <v>5.0599999999999996</v>
      </c>
      <c r="AI1208">
        <v>0.19</v>
      </c>
      <c r="AJ1208">
        <v>0.08</v>
      </c>
      <c r="AK1208">
        <v>88</v>
      </c>
      <c r="AL1208">
        <v>666</v>
      </c>
      <c r="AM1208">
        <v>274</v>
      </c>
      <c r="AN1208">
        <v>-2.65</v>
      </c>
      <c r="AO1208">
        <v>1.27</v>
      </c>
      <c r="AP1208">
        <v>1552</v>
      </c>
      <c r="AQ1208">
        <v>8</v>
      </c>
      <c r="AR1208">
        <v>5.1100000000000003</v>
      </c>
      <c r="AS1208">
        <v>96</v>
      </c>
      <c r="AT1208">
        <v>1.73</v>
      </c>
      <c r="AU1208">
        <v>97</v>
      </c>
      <c r="AV1208">
        <v>-4.25</v>
      </c>
      <c r="AW1208">
        <v>99</v>
      </c>
      <c r="AX1208">
        <v>0.38</v>
      </c>
      <c r="AY1208">
        <v>96</v>
      </c>
      <c r="AZ1208">
        <v>6.63</v>
      </c>
      <c r="BA1208">
        <v>89</v>
      </c>
      <c r="BB1208">
        <v>5.45</v>
      </c>
      <c r="BC1208">
        <v>83</v>
      </c>
      <c r="BD1208">
        <v>-0.02</v>
      </c>
      <c r="BE1208">
        <v>0.03</v>
      </c>
      <c r="BF1208">
        <v>0.24</v>
      </c>
      <c r="BG1208">
        <v>97</v>
      </c>
      <c r="BH1208">
        <v>-0.09</v>
      </c>
      <c r="BI1208">
        <v>-8.33</v>
      </c>
      <c r="BJ1208">
        <v>20</v>
      </c>
      <c r="BK1208">
        <v>10</v>
      </c>
      <c r="BL1208">
        <v>-1.07</v>
      </c>
      <c r="BM1208">
        <v>0.28000000000000003</v>
      </c>
      <c r="BN1208">
        <v>-0.78</v>
      </c>
      <c r="BO1208">
        <v>-0.91</v>
      </c>
      <c r="BP1208">
        <v>-0.06</v>
      </c>
      <c r="BQ1208">
        <v>-1.67</v>
      </c>
      <c r="BR1208">
        <v>-0.53</v>
      </c>
      <c r="BS1208">
        <v>-2.29</v>
      </c>
      <c r="BT1208">
        <v>-0.44</v>
      </c>
      <c r="BU1208">
        <v>-1.29</v>
      </c>
      <c r="BV1208">
        <v>-1.4</v>
      </c>
      <c r="BW1208">
        <v>-1.96</v>
      </c>
      <c r="BX1208">
        <v>-1.23</v>
      </c>
      <c r="BY1208">
        <v>-1.65</v>
      </c>
      <c r="BZ1208">
        <v>0.63</v>
      </c>
      <c r="CA1208">
        <v>-1.52</v>
      </c>
      <c r="CB1208">
        <v>-1.23</v>
      </c>
      <c r="CC1208">
        <v>-1.58</v>
      </c>
      <c r="CD1208">
        <v>0.68</v>
      </c>
      <c r="CE1208">
        <v>-0.56000000000000005</v>
      </c>
      <c r="CF1208">
        <v>-1.1100000000000001</v>
      </c>
      <c r="CG1208">
        <v>0</v>
      </c>
      <c r="CH1208">
        <v>-1.33</v>
      </c>
      <c r="CI1208">
        <v>0</v>
      </c>
      <c r="CJ1208">
        <v>-10.7</v>
      </c>
      <c r="CK1208">
        <v>99</v>
      </c>
      <c r="CL1208">
        <v>-0.7</v>
      </c>
      <c r="CM1208">
        <v>99</v>
      </c>
      <c r="CN1208">
        <v>-0.18</v>
      </c>
      <c r="CO1208">
        <v>98</v>
      </c>
      <c r="CP1208">
        <v>-8.6</v>
      </c>
      <c r="CQ1208">
        <v>93</v>
      </c>
      <c r="CR1208">
        <v>0</v>
      </c>
      <c r="CS1208">
        <v>0</v>
      </c>
      <c r="CT1208">
        <v>-4.5</v>
      </c>
      <c r="CU1208">
        <v>96</v>
      </c>
      <c r="CV1208">
        <v>-0.01</v>
      </c>
      <c r="CW1208">
        <v>47</v>
      </c>
      <c r="CX1208" t="s">
        <v>316</v>
      </c>
    </row>
    <row r="1209" spans="1:102" x14ac:dyDescent="0.3">
      <c r="A1209" t="str">
        <f>HYPERLINK("https://webapp.icbf.com/v2/app/bull-search/view/1266715020","FR2351")</f>
        <v>FR2351</v>
      </c>
      <c r="B1209" t="s">
        <v>9389</v>
      </c>
      <c r="C1209" t="s">
        <v>9390</v>
      </c>
      <c r="D1209" s="1">
        <v>42097</v>
      </c>
      <c r="E1209" t="s">
        <v>92</v>
      </c>
      <c r="F1209">
        <v>78</v>
      </c>
      <c r="G1209" t="s">
        <v>93</v>
      </c>
      <c r="H1209">
        <v>127.41</v>
      </c>
      <c r="I1209">
        <v>84</v>
      </c>
      <c r="J1209">
        <v>40.770000000000003</v>
      </c>
      <c r="K1209">
        <v>96</v>
      </c>
      <c r="L1209">
        <v>100.91</v>
      </c>
      <c r="M1209">
        <v>73</v>
      </c>
      <c r="N1209">
        <v>-13.2</v>
      </c>
      <c r="O1209">
        <v>89</v>
      </c>
      <c r="P1209">
        <v>-17.149999999999999</v>
      </c>
      <c r="Q1209">
        <v>93</v>
      </c>
      <c r="R1209">
        <v>2.8</v>
      </c>
      <c r="S1209">
        <v>73</v>
      </c>
      <c r="T1209">
        <v>15.23</v>
      </c>
      <c r="U1209">
        <v>82</v>
      </c>
      <c r="V1209">
        <v>-1.95</v>
      </c>
      <c r="W1209">
        <v>64</v>
      </c>
      <c r="X1209" t="s">
        <v>94</v>
      </c>
      <c r="Y1209" t="s">
        <v>436</v>
      </c>
      <c r="Z1209" t="s">
        <v>96</v>
      </c>
      <c r="AA1209" t="s">
        <v>9391</v>
      </c>
      <c r="AB1209" t="s">
        <v>6872</v>
      </c>
      <c r="AC1209">
        <v>166</v>
      </c>
      <c r="AD1209">
        <v>64</v>
      </c>
      <c r="AE1209">
        <v>96</v>
      </c>
      <c r="AF1209">
        <v>-6.73</v>
      </c>
      <c r="AG1209">
        <v>8.0299999999999994</v>
      </c>
      <c r="AH1209">
        <v>3.99</v>
      </c>
      <c r="AI1209">
        <v>0.15</v>
      </c>
      <c r="AJ1209">
        <v>7.0000000000000007E-2</v>
      </c>
      <c r="AK1209">
        <v>73</v>
      </c>
      <c r="AL1209">
        <v>0</v>
      </c>
      <c r="AM1209">
        <v>0</v>
      </c>
      <c r="AN1209">
        <v>-9.16</v>
      </c>
      <c r="AO1209">
        <v>-1.1599999999999999</v>
      </c>
      <c r="AP1209">
        <v>1613</v>
      </c>
      <c r="AQ1209">
        <v>6</v>
      </c>
      <c r="AR1209">
        <v>9.7100000000000009</v>
      </c>
      <c r="AS1209">
        <v>88</v>
      </c>
      <c r="AT1209">
        <v>4.25</v>
      </c>
      <c r="AU1209">
        <v>97</v>
      </c>
      <c r="AV1209">
        <v>-0.17</v>
      </c>
      <c r="AW1209">
        <v>99</v>
      </c>
      <c r="AX1209">
        <v>0.41</v>
      </c>
      <c r="AY1209">
        <v>96</v>
      </c>
      <c r="AZ1209">
        <v>5.3</v>
      </c>
      <c r="BA1209">
        <v>74</v>
      </c>
      <c r="BB1209">
        <v>4.49</v>
      </c>
      <c r="BC1209">
        <v>41</v>
      </c>
      <c r="BD1209">
        <v>-0.02</v>
      </c>
      <c r="BE1209">
        <v>0.01</v>
      </c>
      <c r="BF1209">
        <v>-0.05</v>
      </c>
      <c r="BG1209">
        <v>86</v>
      </c>
      <c r="BH1209">
        <v>-0.04</v>
      </c>
      <c r="BI1209">
        <v>1.66</v>
      </c>
      <c r="BJ1209">
        <v>1</v>
      </c>
      <c r="BK1209">
        <v>1</v>
      </c>
      <c r="BL1209">
        <v>-0.67</v>
      </c>
      <c r="BM1209">
        <v>1.3</v>
      </c>
      <c r="BN1209">
        <v>-0.14000000000000001</v>
      </c>
      <c r="BO1209">
        <v>-1.01</v>
      </c>
      <c r="BP1209">
        <v>0.23</v>
      </c>
      <c r="BQ1209">
        <v>0.31</v>
      </c>
      <c r="BR1209">
        <v>-0.4</v>
      </c>
      <c r="BS1209">
        <v>-0.69</v>
      </c>
      <c r="BT1209">
        <v>-0.26</v>
      </c>
      <c r="BU1209">
        <v>0.15</v>
      </c>
      <c r="BV1209">
        <v>-0.33</v>
      </c>
      <c r="BW1209">
        <v>-0.91</v>
      </c>
      <c r="BX1209">
        <v>-0.31</v>
      </c>
      <c r="BY1209">
        <v>-1.67</v>
      </c>
      <c r="BZ1209">
        <v>-0.5</v>
      </c>
      <c r="CA1209">
        <v>-0.33</v>
      </c>
      <c r="CB1209">
        <v>-0.35</v>
      </c>
      <c r="CC1209">
        <v>0.18</v>
      </c>
      <c r="CD1209">
        <v>1.3</v>
      </c>
      <c r="CE1209">
        <v>-0.77</v>
      </c>
      <c r="CF1209">
        <v>-0.86</v>
      </c>
      <c r="CG1209">
        <v>0</v>
      </c>
      <c r="CH1209">
        <v>-0.27</v>
      </c>
      <c r="CI1209">
        <v>0</v>
      </c>
      <c r="CJ1209">
        <v>-7.3</v>
      </c>
      <c r="CK1209">
        <v>96</v>
      </c>
      <c r="CL1209">
        <v>-0.8</v>
      </c>
      <c r="CM1209">
        <v>95</v>
      </c>
      <c r="CN1209">
        <v>-0.27</v>
      </c>
      <c r="CO1209">
        <v>95</v>
      </c>
      <c r="CP1209">
        <v>-13.2</v>
      </c>
      <c r="CQ1209">
        <v>69</v>
      </c>
      <c r="CR1209">
        <v>0</v>
      </c>
      <c r="CS1209">
        <v>0</v>
      </c>
      <c r="CT1209">
        <v>-6.8</v>
      </c>
      <c r="CU1209">
        <v>82</v>
      </c>
      <c r="CV1209">
        <v>0.14000000000000001</v>
      </c>
      <c r="CW1209">
        <v>46</v>
      </c>
      <c r="CX1209" t="s">
        <v>4532</v>
      </c>
    </row>
    <row r="1210" spans="1:102" x14ac:dyDescent="0.3">
      <c r="A1210" t="str">
        <f>HYPERLINK("https://webapp.icbf.com/v2/app/bull-search/view/495514523","HVA")</f>
        <v>HVA</v>
      </c>
      <c r="B1210" t="s">
        <v>12598</v>
      </c>
      <c r="C1210" t="s">
        <v>1714</v>
      </c>
      <c r="D1210" s="1">
        <v>37392</v>
      </c>
      <c r="E1210" t="s">
        <v>92</v>
      </c>
      <c r="F1210">
        <v>94</v>
      </c>
      <c r="G1210" t="s">
        <v>93</v>
      </c>
      <c r="H1210">
        <v>127.37</v>
      </c>
      <c r="I1210">
        <v>96</v>
      </c>
      <c r="J1210">
        <v>62.56</v>
      </c>
      <c r="K1210">
        <v>99</v>
      </c>
      <c r="L1210">
        <v>24.72</v>
      </c>
      <c r="M1210">
        <v>93</v>
      </c>
      <c r="N1210">
        <v>35.65</v>
      </c>
      <c r="O1210">
        <v>98</v>
      </c>
      <c r="P1210">
        <v>-11.03</v>
      </c>
      <c r="Q1210">
        <v>99</v>
      </c>
      <c r="R1210">
        <v>11.92</v>
      </c>
      <c r="S1210">
        <v>94</v>
      </c>
      <c r="T1210">
        <v>10.27</v>
      </c>
      <c r="U1210">
        <v>98</v>
      </c>
      <c r="V1210">
        <v>-6.72</v>
      </c>
      <c r="W1210">
        <v>95</v>
      </c>
      <c r="X1210" t="s">
        <v>94</v>
      </c>
      <c r="Y1210" t="s">
        <v>270</v>
      </c>
      <c r="Z1210" t="s">
        <v>96</v>
      </c>
      <c r="AA1210" t="s">
        <v>2009</v>
      </c>
      <c r="AB1210" t="s">
        <v>12599</v>
      </c>
      <c r="AC1210">
        <v>1218</v>
      </c>
      <c r="AD1210">
        <v>404</v>
      </c>
      <c r="AE1210">
        <v>99</v>
      </c>
      <c r="AF1210">
        <v>95.8</v>
      </c>
      <c r="AG1210">
        <v>5.84</v>
      </c>
      <c r="AH1210">
        <v>10.039999999999999</v>
      </c>
      <c r="AI1210">
        <v>0.04</v>
      </c>
      <c r="AJ1210">
        <v>0.12</v>
      </c>
      <c r="AK1210">
        <v>93</v>
      </c>
      <c r="AL1210">
        <v>1271</v>
      </c>
      <c r="AM1210">
        <v>452</v>
      </c>
      <c r="AN1210">
        <v>-1.48</v>
      </c>
      <c r="AO1210">
        <v>0.49</v>
      </c>
      <c r="AP1210">
        <v>2071</v>
      </c>
      <c r="AQ1210">
        <v>41</v>
      </c>
      <c r="AR1210">
        <v>5.94</v>
      </c>
      <c r="AS1210">
        <v>97</v>
      </c>
      <c r="AT1210">
        <v>2.36</v>
      </c>
      <c r="AU1210">
        <v>98</v>
      </c>
      <c r="AV1210">
        <v>-3.46</v>
      </c>
      <c r="AW1210">
        <v>99</v>
      </c>
      <c r="AX1210">
        <v>-0.56000000000000005</v>
      </c>
      <c r="AY1210">
        <v>98</v>
      </c>
      <c r="AZ1210">
        <v>7.11</v>
      </c>
      <c r="BA1210">
        <v>94</v>
      </c>
      <c r="BB1210">
        <v>5.45</v>
      </c>
      <c r="BC1210">
        <v>94</v>
      </c>
      <c r="BD1210">
        <v>-0.03</v>
      </c>
      <c r="BE1210">
        <v>-0.06</v>
      </c>
      <c r="BF1210">
        <v>-0.11</v>
      </c>
      <c r="BG1210">
        <v>98</v>
      </c>
      <c r="BH1210">
        <v>-0.12</v>
      </c>
      <c r="BI1210">
        <v>7.81</v>
      </c>
      <c r="BJ1210">
        <v>194</v>
      </c>
      <c r="BK1210">
        <v>68</v>
      </c>
      <c r="BL1210">
        <v>0.4</v>
      </c>
      <c r="BM1210">
        <v>-2.25</v>
      </c>
      <c r="BN1210">
        <v>-1.87</v>
      </c>
      <c r="BO1210">
        <v>0</v>
      </c>
      <c r="BP1210">
        <v>0.52</v>
      </c>
      <c r="BQ1210">
        <v>0.67</v>
      </c>
      <c r="BR1210">
        <v>-2.1800000000000002</v>
      </c>
      <c r="BS1210">
        <v>-0.14000000000000001</v>
      </c>
      <c r="BT1210">
        <v>1.56</v>
      </c>
      <c r="BU1210">
        <v>-0.79</v>
      </c>
      <c r="BV1210">
        <v>0.32</v>
      </c>
      <c r="BW1210">
        <v>-0.62</v>
      </c>
      <c r="BX1210">
        <v>0.59</v>
      </c>
      <c r="BY1210">
        <v>-0.72</v>
      </c>
      <c r="BZ1210">
        <v>-1.42</v>
      </c>
      <c r="CA1210">
        <v>-0.13</v>
      </c>
      <c r="CB1210">
        <v>-0.4</v>
      </c>
      <c r="CC1210">
        <v>0.19</v>
      </c>
      <c r="CD1210">
        <v>-0.67</v>
      </c>
      <c r="CE1210">
        <v>0.05</v>
      </c>
      <c r="CF1210">
        <v>-0.11</v>
      </c>
      <c r="CG1210">
        <v>0</v>
      </c>
      <c r="CH1210">
        <v>-0.85</v>
      </c>
      <c r="CI1210">
        <v>0</v>
      </c>
      <c r="CJ1210">
        <v>-2.5</v>
      </c>
      <c r="CK1210">
        <v>99</v>
      </c>
      <c r="CL1210">
        <v>-0.89</v>
      </c>
      <c r="CM1210">
        <v>99</v>
      </c>
      <c r="CN1210">
        <v>-0.21</v>
      </c>
      <c r="CO1210">
        <v>99</v>
      </c>
      <c r="CP1210">
        <v>-5.7</v>
      </c>
      <c r="CQ1210">
        <v>98</v>
      </c>
      <c r="CR1210">
        <v>0</v>
      </c>
      <c r="CS1210">
        <v>0</v>
      </c>
      <c r="CT1210">
        <v>-0.1</v>
      </c>
      <c r="CU1210">
        <v>98</v>
      </c>
      <c r="CV1210">
        <v>-0.01</v>
      </c>
      <c r="CW1210">
        <v>47</v>
      </c>
      <c r="CX1210" t="s">
        <v>1390</v>
      </c>
    </row>
    <row r="1211" spans="1:102" x14ac:dyDescent="0.3">
      <c r="A1211" t="str">
        <f>HYPERLINK("https://webapp.icbf.com/v2/app/bull-search/view/493101079","HXL")</f>
        <v>HXL</v>
      </c>
      <c r="B1211" t="s">
        <v>12588</v>
      </c>
      <c r="C1211" t="s">
        <v>6839</v>
      </c>
      <c r="D1211" s="1">
        <v>39103</v>
      </c>
      <c r="E1211" t="s">
        <v>92</v>
      </c>
      <c r="F1211">
        <v>97</v>
      </c>
      <c r="G1211" t="s">
        <v>93</v>
      </c>
      <c r="H1211">
        <v>127.36</v>
      </c>
      <c r="I1211">
        <v>87</v>
      </c>
      <c r="J1211">
        <v>9.08</v>
      </c>
      <c r="K1211">
        <v>97</v>
      </c>
      <c r="L1211">
        <v>75.63</v>
      </c>
      <c r="M1211">
        <v>79</v>
      </c>
      <c r="N1211">
        <v>36.869999999999997</v>
      </c>
      <c r="O1211">
        <v>84</v>
      </c>
      <c r="P1211">
        <v>-11.55</v>
      </c>
      <c r="Q1211">
        <v>88</v>
      </c>
      <c r="R1211">
        <v>0.68</v>
      </c>
      <c r="S1211">
        <v>81</v>
      </c>
      <c r="T1211">
        <v>15.6</v>
      </c>
      <c r="U1211">
        <v>84</v>
      </c>
      <c r="V1211">
        <v>1.05</v>
      </c>
      <c r="W1211">
        <v>80</v>
      </c>
      <c r="X1211" t="s">
        <v>94</v>
      </c>
      <c r="Y1211" t="s">
        <v>4217</v>
      </c>
      <c r="Z1211" t="s">
        <v>96</v>
      </c>
      <c r="AA1211" t="s">
        <v>1165</v>
      </c>
      <c r="AB1211" t="s">
        <v>12589</v>
      </c>
      <c r="AC1211">
        <v>72</v>
      </c>
      <c r="AD1211">
        <v>55</v>
      </c>
      <c r="AE1211">
        <v>97</v>
      </c>
      <c r="AF1211">
        <v>-14.6</v>
      </c>
      <c r="AG1211">
        <v>-0.93</v>
      </c>
      <c r="AH1211">
        <v>1.65</v>
      </c>
      <c r="AI1211">
        <v>-0.01</v>
      </c>
      <c r="AJ1211">
        <v>0.04</v>
      </c>
      <c r="AK1211">
        <v>79</v>
      </c>
      <c r="AL1211">
        <v>71</v>
      </c>
      <c r="AM1211">
        <v>50</v>
      </c>
      <c r="AN1211">
        <v>-3.45</v>
      </c>
      <c r="AO1211">
        <v>2.59</v>
      </c>
      <c r="AP1211">
        <v>144</v>
      </c>
      <c r="AQ1211">
        <v>1</v>
      </c>
      <c r="AR1211">
        <v>4.87</v>
      </c>
      <c r="AS1211">
        <v>68</v>
      </c>
      <c r="AT1211">
        <v>2.5099999999999998</v>
      </c>
      <c r="AU1211">
        <v>86</v>
      </c>
      <c r="AV1211">
        <v>-2.94</v>
      </c>
      <c r="AW1211">
        <v>95</v>
      </c>
      <c r="AX1211">
        <v>-0.77</v>
      </c>
      <c r="AY1211">
        <v>78</v>
      </c>
      <c r="AZ1211">
        <v>5.69</v>
      </c>
      <c r="BA1211">
        <v>64</v>
      </c>
      <c r="BB1211">
        <v>5.17</v>
      </c>
      <c r="BC1211">
        <v>67</v>
      </c>
      <c r="BD1211">
        <v>-0.04</v>
      </c>
      <c r="BE1211">
        <v>-0.01</v>
      </c>
      <c r="BF1211">
        <v>7.0000000000000007E-2</v>
      </c>
      <c r="BG1211">
        <v>88</v>
      </c>
      <c r="BH1211">
        <v>-0.04</v>
      </c>
      <c r="BI1211">
        <v>-8.0299999999999994</v>
      </c>
      <c r="BJ1211">
        <v>32</v>
      </c>
      <c r="BK1211">
        <v>21</v>
      </c>
      <c r="BL1211">
        <v>-7.0000000000000007E-2</v>
      </c>
      <c r="BM1211">
        <v>-1.78</v>
      </c>
      <c r="BN1211">
        <v>-1.72</v>
      </c>
      <c r="BO1211">
        <v>-0.28999999999999998</v>
      </c>
      <c r="BP1211">
        <v>1.56</v>
      </c>
      <c r="BQ1211">
        <v>-1.85</v>
      </c>
      <c r="BR1211">
        <v>1.68</v>
      </c>
      <c r="BS1211">
        <v>-2.62</v>
      </c>
      <c r="BT1211">
        <v>-1.46</v>
      </c>
      <c r="BU1211">
        <v>-0.88</v>
      </c>
      <c r="BV1211">
        <v>-0.24</v>
      </c>
      <c r="BW1211">
        <v>0</v>
      </c>
      <c r="BX1211">
        <v>0.17</v>
      </c>
      <c r="BY1211">
        <v>-1.28</v>
      </c>
      <c r="BZ1211">
        <v>2.1800000000000002</v>
      </c>
      <c r="CA1211">
        <v>-0.82</v>
      </c>
      <c r="CB1211">
        <v>-0.16</v>
      </c>
      <c r="CC1211">
        <v>-2.37</v>
      </c>
      <c r="CD1211">
        <v>-0.55000000000000004</v>
      </c>
      <c r="CE1211">
        <v>0.11</v>
      </c>
      <c r="CF1211">
        <v>-0.69</v>
      </c>
      <c r="CG1211">
        <v>0</v>
      </c>
      <c r="CH1211">
        <v>-1.44</v>
      </c>
      <c r="CI1211">
        <v>0</v>
      </c>
      <c r="CJ1211">
        <v>-6.2</v>
      </c>
      <c r="CK1211">
        <v>90</v>
      </c>
      <c r="CL1211">
        <v>-0.63</v>
      </c>
      <c r="CM1211">
        <v>87</v>
      </c>
      <c r="CN1211">
        <v>-0.41</v>
      </c>
      <c r="CO1211">
        <v>86</v>
      </c>
      <c r="CP1211">
        <v>-8.6</v>
      </c>
      <c r="CQ1211">
        <v>86</v>
      </c>
      <c r="CR1211">
        <v>0</v>
      </c>
      <c r="CS1211">
        <v>0</v>
      </c>
      <c r="CT1211">
        <v>-7.3</v>
      </c>
      <c r="CU1211">
        <v>84</v>
      </c>
      <c r="CV1211">
        <v>0.01</v>
      </c>
      <c r="CW1211">
        <v>45</v>
      </c>
      <c r="CX1211" t="s">
        <v>1406</v>
      </c>
    </row>
    <row r="1212" spans="1:102" x14ac:dyDescent="0.3">
      <c r="A1212" t="str">
        <f>HYPERLINK("https://webapp.icbf.com/v2/app/bull-search/view/408748546","EGZ")</f>
        <v>EGZ</v>
      </c>
      <c r="B1212" t="s">
        <v>11906</v>
      </c>
      <c r="C1212" t="s">
        <v>11907</v>
      </c>
      <c r="D1212" s="1">
        <v>36319</v>
      </c>
      <c r="E1212" t="s">
        <v>395</v>
      </c>
      <c r="F1212">
        <v>0</v>
      </c>
      <c r="G1212" t="s">
        <v>93</v>
      </c>
      <c r="H1212">
        <v>127.31</v>
      </c>
      <c r="I1212">
        <v>90</v>
      </c>
      <c r="J1212">
        <v>-42.38</v>
      </c>
      <c r="K1212">
        <v>97</v>
      </c>
      <c r="L1212">
        <v>96.25</v>
      </c>
      <c r="M1212">
        <v>83</v>
      </c>
      <c r="N1212">
        <v>40.43</v>
      </c>
      <c r="O1212">
        <v>88</v>
      </c>
      <c r="P1212">
        <v>-9.58</v>
      </c>
      <c r="Q1212">
        <v>94</v>
      </c>
      <c r="R1212">
        <v>15.85</v>
      </c>
      <c r="S1212">
        <v>79</v>
      </c>
      <c r="T1212">
        <v>23.59</v>
      </c>
      <c r="U1212">
        <v>93</v>
      </c>
      <c r="V1212">
        <v>3.15</v>
      </c>
      <c r="W1212">
        <v>82</v>
      </c>
      <c r="X1212" t="s">
        <v>131</v>
      </c>
      <c r="Y1212" t="s">
        <v>95</v>
      </c>
      <c r="Z1212">
        <v>0</v>
      </c>
      <c r="AA1212" t="s">
        <v>1599</v>
      </c>
      <c r="AB1212" t="s">
        <v>11908</v>
      </c>
      <c r="AC1212">
        <v>112</v>
      </c>
      <c r="AD1212">
        <v>51</v>
      </c>
      <c r="AE1212">
        <v>97</v>
      </c>
      <c r="AF1212">
        <v>-308.24</v>
      </c>
      <c r="AG1212">
        <v>-14.49</v>
      </c>
      <c r="AH1212">
        <v>-6.8</v>
      </c>
      <c r="AI1212">
        <v>-0.04</v>
      </c>
      <c r="AJ1212">
        <v>7.0000000000000007E-2</v>
      </c>
      <c r="AK1212">
        <v>83</v>
      </c>
      <c r="AL1212">
        <v>110</v>
      </c>
      <c r="AM1212">
        <v>42</v>
      </c>
      <c r="AN1212">
        <v>-4.12</v>
      </c>
      <c r="AO1212">
        <v>3.57</v>
      </c>
      <c r="AP1212">
        <v>218</v>
      </c>
      <c r="AQ1212">
        <v>0</v>
      </c>
      <c r="AR1212">
        <v>4.29</v>
      </c>
      <c r="AS1212">
        <v>85</v>
      </c>
      <c r="AT1212">
        <v>1.77</v>
      </c>
      <c r="AU1212">
        <v>88</v>
      </c>
      <c r="AV1212">
        <v>-2.81</v>
      </c>
      <c r="AW1212">
        <v>96</v>
      </c>
      <c r="AX1212">
        <v>-1.03</v>
      </c>
      <c r="AY1212">
        <v>85</v>
      </c>
      <c r="AZ1212">
        <v>6.72</v>
      </c>
      <c r="BA1212">
        <v>67</v>
      </c>
      <c r="BB1212">
        <v>5.22</v>
      </c>
      <c r="BC1212">
        <v>73</v>
      </c>
      <c r="BD1212">
        <v>-0.05</v>
      </c>
      <c r="BE1212">
        <v>-0.09</v>
      </c>
      <c r="BF1212">
        <v>-0.11</v>
      </c>
      <c r="BG1212">
        <v>87</v>
      </c>
      <c r="BH1212">
        <v>0.02</v>
      </c>
      <c r="BI1212">
        <v>-7.86</v>
      </c>
      <c r="BJ1212">
        <v>3</v>
      </c>
      <c r="BK1212">
        <v>2</v>
      </c>
      <c r="BL1212">
        <v>-1.7</v>
      </c>
      <c r="BM1212">
        <v>1.4</v>
      </c>
      <c r="BN1212">
        <v>-1.05</v>
      </c>
      <c r="BO1212">
        <v>-1.68</v>
      </c>
      <c r="BP1212">
        <v>0.55000000000000004</v>
      </c>
      <c r="BQ1212">
        <v>-0.45</v>
      </c>
      <c r="BR1212">
        <v>0.84</v>
      </c>
      <c r="BS1212">
        <v>0.1</v>
      </c>
      <c r="BT1212">
        <v>-0.93</v>
      </c>
      <c r="BU1212">
        <v>-1.96</v>
      </c>
      <c r="BV1212">
        <v>-2.83</v>
      </c>
      <c r="BW1212">
        <v>-2.4300000000000002</v>
      </c>
      <c r="BX1212">
        <v>-2.0299999999999998</v>
      </c>
      <c r="BY1212">
        <v>-0.8</v>
      </c>
      <c r="BZ1212">
        <v>-0.21</v>
      </c>
      <c r="CA1212">
        <v>-1.82</v>
      </c>
      <c r="CB1212">
        <v>-2.0699999999999998</v>
      </c>
      <c r="CC1212">
        <v>-0.56000000000000005</v>
      </c>
      <c r="CD1212">
        <v>1.45</v>
      </c>
      <c r="CE1212">
        <v>-1.7</v>
      </c>
      <c r="CF1212">
        <v>-1.58</v>
      </c>
      <c r="CG1212">
        <v>0</v>
      </c>
      <c r="CH1212">
        <v>-2.35</v>
      </c>
      <c r="CI1212">
        <v>0</v>
      </c>
      <c r="CJ1212">
        <v>-5.4</v>
      </c>
      <c r="CK1212">
        <v>95</v>
      </c>
      <c r="CL1212">
        <v>0</v>
      </c>
      <c r="CM1212">
        <v>93</v>
      </c>
      <c r="CN1212">
        <v>-0.01</v>
      </c>
      <c r="CO1212">
        <v>93</v>
      </c>
      <c r="CP1212">
        <v>-15</v>
      </c>
      <c r="CQ1212">
        <v>91</v>
      </c>
      <c r="CR1212">
        <v>0</v>
      </c>
      <c r="CS1212">
        <v>0</v>
      </c>
      <c r="CT1212">
        <v>-18.100000000000001</v>
      </c>
      <c r="CU1212">
        <v>93</v>
      </c>
      <c r="CV1212">
        <v>-0.14000000000000001</v>
      </c>
      <c r="CW1212">
        <v>28</v>
      </c>
      <c r="CX1212" t="s">
        <v>5013</v>
      </c>
    </row>
    <row r="1213" spans="1:102" x14ac:dyDescent="0.3">
      <c r="A1213" t="str">
        <f>HYPERLINK("https://webapp.icbf.com/v2/app/bull-search/view/586213848","S1390")</f>
        <v>S1390</v>
      </c>
      <c r="B1213" t="s">
        <v>340</v>
      </c>
      <c r="C1213" t="s">
        <v>341</v>
      </c>
      <c r="D1213" s="1">
        <v>39112</v>
      </c>
      <c r="E1213" t="s">
        <v>146</v>
      </c>
      <c r="F1213">
        <v>0</v>
      </c>
      <c r="G1213" t="s">
        <v>109</v>
      </c>
      <c r="H1213">
        <v>127.14</v>
      </c>
      <c r="I1213">
        <v>65</v>
      </c>
      <c r="J1213">
        <v>39.32</v>
      </c>
      <c r="K1213">
        <v>77</v>
      </c>
      <c r="L1213">
        <v>59.33</v>
      </c>
      <c r="M1213">
        <v>67</v>
      </c>
      <c r="N1213">
        <v>13.58</v>
      </c>
      <c r="O1213">
        <v>63</v>
      </c>
      <c r="P1213">
        <v>4</v>
      </c>
      <c r="Q1213">
        <v>72</v>
      </c>
      <c r="R1213">
        <v>6.23</v>
      </c>
      <c r="S1213">
        <v>56</v>
      </c>
      <c r="T1213">
        <v>9.16</v>
      </c>
      <c r="U1213">
        <v>29</v>
      </c>
      <c r="V1213">
        <v>-4.4800000000000004</v>
      </c>
      <c r="W1213">
        <v>22</v>
      </c>
      <c r="X1213" t="s">
        <v>276</v>
      </c>
      <c r="Y1213" t="s">
        <v>342</v>
      </c>
      <c r="Z1213">
        <v>0</v>
      </c>
      <c r="AA1213" t="s">
        <v>343</v>
      </c>
      <c r="AB1213" t="s">
        <v>344</v>
      </c>
      <c r="AC1213">
        <v>0</v>
      </c>
      <c r="AD1213">
        <v>0</v>
      </c>
      <c r="AE1213">
        <v>77</v>
      </c>
      <c r="AF1213">
        <v>-105.16</v>
      </c>
      <c r="AG1213">
        <v>0.36</v>
      </c>
      <c r="AH1213">
        <v>4.95</v>
      </c>
      <c r="AI1213">
        <v>0.08</v>
      </c>
      <c r="AJ1213">
        <v>0.14000000000000001</v>
      </c>
      <c r="AK1213">
        <v>67</v>
      </c>
      <c r="AL1213">
        <v>0</v>
      </c>
      <c r="AM1213">
        <v>0</v>
      </c>
      <c r="AN1213">
        <v>-3.38</v>
      </c>
      <c r="AO1213">
        <v>1.35</v>
      </c>
      <c r="AP1213">
        <v>3</v>
      </c>
      <c r="AQ1213">
        <v>0</v>
      </c>
      <c r="AR1213">
        <v>5.42</v>
      </c>
      <c r="AS1213">
        <v>61</v>
      </c>
      <c r="AT1213">
        <v>1.87</v>
      </c>
      <c r="AU1213">
        <v>86</v>
      </c>
      <c r="AV1213">
        <v>-1.03</v>
      </c>
      <c r="AW1213">
        <v>67</v>
      </c>
      <c r="AX1213">
        <v>0.7</v>
      </c>
      <c r="AY1213">
        <v>64</v>
      </c>
      <c r="AZ1213">
        <v>7.48</v>
      </c>
      <c r="BA1213">
        <v>26</v>
      </c>
      <c r="BB1213">
        <v>6.02</v>
      </c>
      <c r="BC1213">
        <v>17</v>
      </c>
      <c r="BD1213">
        <v>-0.02</v>
      </c>
      <c r="BE1213">
        <v>0</v>
      </c>
      <c r="BF1213">
        <v>-0.11</v>
      </c>
      <c r="BG1213">
        <v>84</v>
      </c>
      <c r="BH1213">
        <v>-0.24</v>
      </c>
      <c r="BI1213">
        <v>-13.32</v>
      </c>
      <c r="BJ1213">
        <v>0</v>
      </c>
      <c r="BK1213">
        <v>0</v>
      </c>
      <c r="BL1213">
        <v>-2.0299999999999998</v>
      </c>
      <c r="BM1213">
        <v>2.2999999999999998</v>
      </c>
      <c r="BN1213">
        <v>-0.49</v>
      </c>
      <c r="BO1213">
        <v>-0.88</v>
      </c>
      <c r="BP1213">
        <v>2.52</v>
      </c>
      <c r="BQ1213">
        <v>-0.83</v>
      </c>
      <c r="BR1213">
        <v>-0.78</v>
      </c>
      <c r="BS1213">
        <v>0.13</v>
      </c>
      <c r="BT1213">
        <v>1.74</v>
      </c>
      <c r="BU1213">
        <v>-3.17</v>
      </c>
      <c r="BV1213">
        <v>-1.1299999999999999</v>
      </c>
      <c r="BW1213">
        <v>-0.98</v>
      </c>
      <c r="BX1213">
        <v>-3.83</v>
      </c>
      <c r="BY1213">
        <v>1.28</v>
      </c>
      <c r="BZ1213">
        <v>1.4</v>
      </c>
      <c r="CA1213">
        <v>-1.74</v>
      </c>
      <c r="CB1213">
        <v>-2.1</v>
      </c>
      <c r="CC1213">
        <v>-0.09</v>
      </c>
      <c r="CD1213">
        <v>1.69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0.2</v>
      </c>
      <c r="CK1213">
        <v>76</v>
      </c>
      <c r="CL1213">
        <v>0.09</v>
      </c>
      <c r="CM1213">
        <v>74</v>
      </c>
      <c r="CN1213">
        <v>-0.28000000000000003</v>
      </c>
      <c r="CO1213">
        <v>73</v>
      </c>
      <c r="CP1213">
        <v>-3.2</v>
      </c>
      <c r="CQ1213">
        <v>39</v>
      </c>
      <c r="CR1213">
        <v>0</v>
      </c>
      <c r="CS1213">
        <v>0</v>
      </c>
      <c r="CT1213">
        <v>1.4</v>
      </c>
      <c r="CU1213">
        <v>29</v>
      </c>
      <c r="CV1213">
        <v>-0.13</v>
      </c>
      <c r="CW1213">
        <v>21</v>
      </c>
      <c r="CX1213" t="s">
        <v>345</v>
      </c>
    </row>
    <row r="1214" spans="1:102" x14ac:dyDescent="0.3">
      <c r="A1214" t="str">
        <f>HYPERLINK("https://webapp.icbf.com/v2/app/bull-search/view/726123931","GSX")</f>
        <v>GSX</v>
      </c>
      <c r="B1214" t="s">
        <v>5297</v>
      </c>
      <c r="C1214" t="s">
        <v>5298</v>
      </c>
      <c r="D1214" s="1">
        <v>40091</v>
      </c>
      <c r="E1214" t="s">
        <v>92</v>
      </c>
      <c r="F1214">
        <v>91</v>
      </c>
      <c r="G1214" t="s">
        <v>93</v>
      </c>
      <c r="H1214">
        <v>127.11</v>
      </c>
      <c r="I1214">
        <v>87</v>
      </c>
      <c r="J1214">
        <v>26.05</v>
      </c>
      <c r="K1214">
        <v>97</v>
      </c>
      <c r="L1214">
        <v>50.18</v>
      </c>
      <c r="M1214">
        <v>76</v>
      </c>
      <c r="N1214">
        <v>27.5</v>
      </c>
      <c r="O1214">
        <v>89</v>
      </c>
      <c r="P1214">
        <v>-8.3000000000000007</v>
      </c>
      <c r="Q1214">
        <v>96</v>
      </c>
      <c r="R1214">
        <v>8.48</v>
      </c>
      <c r="S1214">
        <v>76</v>
      </c>
      <c r="T1214">
        <v>16.420000000000002</v>
      </c>
      <c r="U1214">
        <v>89</v>
      </c>
      <c r="V1214">
        <v>6.78</v>
      </c>
      <c r="W1214">
        <v>69</v>
      </c>
      <c r="X1214" t="s">
        <v>102</v>
      </c>
      <c r="Y1214" t="s">
        <v>1727</v>
      </c>
      <c r="Z1214" t="s">
        <v>96</v>
      </c>
      <c r="AA1214" t="s">
        <v>277</v>
      </c>
      <c r="AB1214" t="s">
        <v>5299</v>
      </c>
      <c r="AC1214">
        <v>147</v>
      </c>
      <c r="AD1214">
        <v>109</v>
      </c>
      <c r="AE1214">
        <v>97</v>
      </c>
      <c r="AF1214">
        <v>-102.64</v>
      </c>
      <c r="AG1214">
        <v>3.19</v>
      </c>
      <c r="AH1214">
        <v>1.73</v>
      </c>
      <c r="AI1214">
        <v>0.12</v>
      </c>
      <c r="AJ1214">
        <v>0.09</v>
      </c>
      <c r="AK1214">
        <v>76</v>
      </c>
      <c r="AL1214">
        <v>174</v>
      </c>
      <c r="AM1214">
        <v>118</v>
      </c>
      <c r="AN1214">
        <v>-1.32</v>
      </c>
      <c r="AO1214">
        <v>2.7</v>
      </c>
      <c r="AP1214">
        <v>341</v>
      </c>
      <c r="AQ1214">
        <v>4</v>
      </c>
      <c r="AR1214">
        <v>7.25</v>
      </c>
      <c r="AS1214">
        <v>74</v>
      </c>
      <c r="AT1214">
        <v>2.99</v>
      </c>
      <c r="AU1214">
        <v>90</v>
      </c>
      <c r="AV1214">
        <v>-2.99</v>
      </c>
      <c r="AW1214">
        <v>98</v>
      </c>
      <c r="AX1214">
        <v>-0.26</v>
      </c>
      <c r="AY1214">
        <v>88</v>
      </c>
      <c r="AZ1214">
        <v>6.21</v>
      </c>
      <c r="BA1214">
        <v>70</v>
      </c>
      <c r="BB1214">
        <v>4.8600000000000003</v>
      </c>
      <c r="BC1214">
        <v>72</v>
      </c>
      <c r="BD1214">
        <v>-0.03</v>
      </c>
      <c r="BE1214">
        <v>-0.05</v>
      </c>
      <c r="BF1214">
        <v>-0.05</v>
      </c>
      <c r="BG1214">
        <v>88</v>
      </c>
      <c r="BH1214">
        <v>0.05</v>
      </c>
      <c r="BI1214">
        <v>-16.09</v>
      </c>
      <c r="BJ1214">
        <v>18</v>
      </c>
      <c r="BK1214">
        <v>13</v>
      </c>
      <c r="BL1214">
        <v>-0.46</v>
      </c>
      <c r="BM1214">
        <v>-0.28999999999999998</v>
      </c>
      <c r="BN1214">
        <v>-0.6</v>
      </c>
      <c r="BO1214">
        <v>-0.54</v>
      </c>
      <c r="BP1214">
        <v>0.71</v>
      </c>
      <c r="BQ1214">
        <v>-1.78</v>
      </c>
      <c r="BR1214">
        <v>-0.37</v>
      </c>
      <c r="BS1214">
        <v>1.39</v>
      </c>
      <c r="BT1214">
        <v>-0.4</v>
      </c>
      <c r="BU1214">
        <v>0.75</v>
      </c>
      <c r="BV1214">
        <v>0.14000000000000001</v>
      </c>
      <c r="BW1214">
        <v>-0.33</v>
      </c>
      <c r="BX1214">
        <v>0.86</v>
      </c>
      <c r="BY1214">
        <v>0.73</v>
      </c>
      <c r="BZ1214">
        <v>-1.23</v>
      </c>
      <c r="CA1214">
        <v>0.1</v>
      </c>
      <c r="CB1214">
        <v>-0.13</v>
      </c>
      <c r="CC1214">
        <v>0.39</v>
      </c>
      <c r="CD1214">
        <v>-0.21</v>
      </c>
      <c r="CE1214">
        <v>-0.31</v>
      </c>
      <c r="CF1214">
        <v>-1.07</v>
      </c>
      <c r="CG1214">
        <v>0</v>
      </c>
      <c r="CH1214">
        <v>-1.24</v>
      </c>
      <c r="CI1214">
        <v>0</v>
      </c>
      <c r="CJ1214">
        <v>-0.4</v>
      </c>
      <c r="CK1214">
        <v>97</v>
      </c>
      <c r="CL1214">
        <v>-0.67</v>
      </c>
      <c r="CM1214">
        <v>96</v>
      </c>
      <c r="CN1214">
        <v>0.03</v>
      </c>
      <c r="CO1214">
        <v>95</v>
      </c>
      <c r="CP1214">
        <v>-3.2</v>
      </c>
      <c r="CQ1214">
        <v>89</v>
      </c>
      <c r="CR1214">
        <v>0</v>
      </c>
      <c r="CS1214">
        <v>0</v>
      </c>
      <c r="CT1214">
        <v>-8.4</v>
      </c>
      <c r="CU1214">
        <v>89</v>
      </c>
      <c r="CV1214">
        <v>0.17</v>
      </c>
      <c r="CW1214">
        <v>30</v>
      </c>
      <c r="CX1214" t="s">
        <v>1037</v>
      </c>
    </row>
    <row r="1215" spans="1:102" x14ac:dyDescent="0.3">
      <c r="A1215" t="str">
        <f>HYPERLINK("https://webapp.icbf.com/v2/app/bull-search/view/947777722","RFJ")</f>
        <v>RFJ</v>
      </c>
      <c r="B1215" t="s">
        <v>9279</v>
      </c>
      <c r="C1215" t="s">
        <v>9280</v>
      </c>
      <c r="D1215" s="1">
        <v>40947</v>
      </c>
      <c r="E1215" t="s">
        <v>92</v>
      </c>
      <c r="F1215">
        <v>75</v>
      </c>
      <c r="G1215" t="s">
        <v>93</v>
      </c>
      <c r="H1215">
        <v>127.07</v>
      </c>
      <c r="I1215">
        <v>86</v>
      </c>
      <c r="J1215">
        <v>28.06</v>
      </c>
      <c r="K1215">
        <v>97</v>
      </c>
      <c r="L1215">
        <v>56.06</v>
      </c>
      <c r="M1215">
        <v>77</v>
      </c>
      <c r="N1215">
        <v>40.01</v>
      </c>
      <c r="O1215">
        <v>87</v>
      </c>
      <c r="P1215">
        <v>-10.51</v>
      </c>
      <c r="Q1215">
        <v>92</v>
      </c>
      <c r="R1215">
        <v>-9.2899999999999991</v>
      </c>
      <c r="S1215">
        <v>78</v>
      </c>
      <c r="T1215">
        <v>17.899999999999999</v>
      </c>
      <c r="U1215">
        <v>86</v>
      </c>
      <c r="V1215">
        <v>4.84</v>
      </c>
      <c r="W1215">
        <v>73</v>
      </c>
      <c r="X1215" t="s">
        <v>94</v>
      </c>
      <c r="Y1215" t="s">
        <v>1976</v>
      </c>
      <c r="Z1215" t="s">
        <v>96</v>
      </c>
      <c r="AA1215" t="s">
        <v>3085</v>
      </c>
      <c r="AB1215" t="s">
        <v>9281</v>
      </c>
      <c r="AC1215">
        <v>101</v>
      </c>
      <c r="AD1215">
        <v>68</v>
      </c>
      <c r="AE1215">
        <v>97</v>
      </c>
      <c r="AF1215">
        <v>-84.97</v>
      </c>
      <c r="AG1215">
        <v>9.84</v>
      </c>
      <c r="AH1215">
        <v>-0.01</v>
      </c>
      <c r="AI1215">
        <v>0.23</v>
      </c>
      <c r="AJ1215">
        <v>0.05</v>
      </c>
      <c r="AK1215">
        <v>77</v>
      </c>
      <c r="AL1215">
        <v>109</v>
      </c>
      <c r="AM1215">
        <v>74</v>
      </c>
      <c r="AN1215">
        <v>-3.11</v>
      </c>
      <c r="AO1215">
        <v>1.36</v>
      </c>
      <c r="AP1215">
        <v>269</v>
      </c>
      <c r="AQ1215">
        <v>2</v>
      </c>
      <c r="AR1215">
        <v>6.67</v>
      </c>
      <c r="AS1215">
        <v>79</v>
      </c>
      <c r="AT1215">
        <v>2.37</v>
      </c>
      <c r="AU1215">
        <v>88</v>
      </c>
      <c r="AV1215">
        <v>-4.9000000000000004</v>
      </c>
      <c r="AW1215">
        <v>97</v>
      </c>
      <c r="AX1215">
        <v>-0.06</v>
      </c>
      <c r="AY1215">
        <v>83</v>
      </c>
      <c r="AZ1215">
        <v>8.7799999999999994</v>
      </c>
      <c r="BA1215">
        <v>68</v>
      </c>
      <c r="BB1215">
        <v>5.68</v>
      </c>
      <c r="BC1215">
        <v>64</v>
      </c>
      <c r="BD1215">
        <v>0.01</v>
      </c>
      <c r="BE1215">
        <v>0.03</v>
      </c>
      <c r="BF1215">
        <v>0.14000000000000001</v>
      </c>
      <c r="BG1215">
        <v>88</v>
      </c>
      <c r="BH1215">
        <v>0.21</v>
      </c>
      <c r="BI1215">
        <v>8.69</v>
      </c>
      <c r="BJ1215">
        <v>29</v>
      </c>
      <c r="BK1215">
        <v>20</v>
      </c>
      <c r="BL1215">
        <v>-2.0299999999999998</v>
      </c>
      <c r="BM1215">
        <v>1.2</v>
      </c>
      <c r="BN1215">
        <v>0</v>
      </c>
      <c r="BO1215">
        <v>-0.78</v>
      </c>
      <c r="BP1215">
        <v>-0.34</v>
      </c>
      <c r="BQ1215">
        <v>-3.51</v>
      </c>
      <c r="BR1215">
        <v>2.2999999999999998</v>
      </c>
      <c r="BS1215">
        <v>-0.97</v>
      </c>
      <c r="BT1215">
        <v>-2.2400000000000002</v>
      </c>
      <c r="BU1215">
        <v>0.96</v>
      </c>
      <c r="BV1215">
        <v>0.3</v>
      </c>
      <c r="BW1215">
        <v>-0.21</v>
      </c>
      <c r="BX1215">
        <v>-0.61</v>
      </c>
      <c r="BY1215">
        <v>1.45</v>
      </c>
      <c r="BZ1215">
        <v>-3.42</v>
      </c>
      <c r="CA1215">
        <v>-0.56000000000000005</v>
      </c>
      <c r="CB1215">
        <v>-0.13</v>
      </c>
      <c r="CC1215">
        <v>-1.31</v>
      </c>
      <c r="CD1215">
        <v>1.23</v>
      </c>
      <c r="CE1215">
        <v>-0.82</v>
      </c>
      <c r="CF1215">
        <v>-1.44</v>
      </c>
      <c r="CG1215">
        <v>0</v>
      </c>
      <c r="CH1215">
        <v>1.19</v>
      </c>
      <c r="CI1215">
        <v>0</v>
      </c>
      <c r="CJ1215">
        <v>-5.4</v>
      </c>
      <c r="CK1215">
        <v>94</v>
      </c>
      <c r="CL1215">
        <v>-0.45</v>
      </c>
      <c r="CM1215">
        <v>92</v>
      </c>
      <c r="CN1215">
        <v>-0.28000000000000003</v>
      </c>
      <c r="CO1215">
        <v>91</v>
      </c>
      <c r="CP1215">
        <v>-11.3</v>
      </c>
      <c r="CQ1215">
        <v>84</v>
      </c>
      <c r="CR1215">
        <v>0</v>
      </c>
      <c r="CS1215">
        <v>0</v>
      </c>
      <c r="CT1215">
        <v>-10.4</v>
      </c>
      <c r="CU1215">
        <v>86</v>
      </c>
      <c r="CV1215">
        <v>0</v>
      </c>
      <c r="CW1215">
        <v>45</v>
      </c>
      <c r="CX1215" t="s">
        <v>7941</v>
      </c>
    </row>
    <row r="1216" spans="1:102" x14ac:dyDescent="0.3">
      <c r="A1216" t="str">
        <f>HYPERLINK("https://webapp.icbf.com/v2/app/bull-search/view/559584071","HRJ")</f>
        <v>HRJ</v>
      </c>
      <c r="B1216" t="s">
        <v>12472</v>
      </c>
      <c r="C1216" t="s">
        <v>12473</v>
      </c>
      <c r="D1216" s="1">
        <v>39491</v>
      </c>
      <c r="E1216" t="s">
        <v>92</v>
      </c>
      <c r="F1216">
        <v>94</v>
      </c>
      <c r="G1216" t="s">
        <v>93</v>
      </c>
      <c r="H1216">
        <v>127.02</v>
      </c>
      <c r="I1216">
        <v>97</v>
      </c>
      <c r="J1216">
        <v>17.3</v>
      </c>
      <c r="K1216">
        <v>99</v>
      </c>
      <c r="L1216">
        <v>74.41</v>
      </c>
      <c r="M1216">
        <v>95</v>
      </c>
      <c r="N1216">
        <v>42.56</v>
      </c>
      <c r="O1216">
        <v>98</v>
      </c>
      <c r="P1216">
        <v>6.15</v>
      </c>
      <c r="Q1216">
        <v>99</v>
      </c>
      <c r="R1216">
        <v>6.89</v>
      </c>
      <c r="S1216">
        <v>96</v>
      </c>
      <c r="T1216">
        <v>-23.25</v>
      </c>
      <c r="U1216">
        <v>99</v>
      </c>
      <c r="V1216">
        <v>2.96</v>
      </c>
      <c r="W1216">
        <v>96</v>
      </c>
      <c r="X1216" t="s">
        <v>94</v>
      </c>
      <c r="Y1216" t="s">
        <v>1513</v>
      </c>
      <c r="Z1216" t="s">
        <v>96</v>
      </c>
      <c r="AA1216" t="s">
        <v>316</v>
      </c>
      <c r="AB1216" t="s">
        <v>12474</v>
      </c>
      <c r="AC1216">
        <v>1913</v>
      </c>
      <c r="AD1216">
        <v>828</v>
      </c>
      <c r="AE1216">
        <v>99</v>
      </c>
      <c r="AF1216">
        <v>70.09</v>
      </c>
      <c r="AG1216">
        <v>-1.43</v>
      </c>
      <c r="AH1216">
        <v>4.5199999999999996</v>
      </c>
      <c r="AI1216">
        <v>-7.0000000000000007E-2</v>
      </c>
      <c r="AJ1216">
        <v>0.04</v>
      </c>
      <c r="AK1216">
        <v>95</v>
      </c>
      <c r="AL1216">
        <v>2287</v>
      </c>
      <c r="AM1216">
        <v>1046</v>
      </c>
      <c r="AN1216">
        <v>-5.14</v>
      </c>
      <c r="AO1216">
        <v>0.78</v>
      </c>
      <c r="AP1216">
        <v>3864</v>
      </c>
      <c r="AQ1216">
        <v>55</v>
      </c>
      <c r="AR1216">
        <v>6.74</v>
      </c>
      <c r="AS1216">
        <v>98</v>
      </c>
      <c r="AT1216">
        <v>2.34</v>
      </c>
      <c r="AU1216">
        <v>99</v>
      </c>
      <c r="AV1216">
        <v>-4.47</v>
      </c>
      <c r="AW1216">
        <v>99</v>
      </c>
      <c r="AX1216">
        <v>-0.15</v>
      </c>
      <c r="AY1216">
        <v>99</v>
      </c>
      <c r="AZ1216">
        <v>7.21</v>
      </c>
      <c r="BA1216">
        <v>96</v>
      </c>
      <c r="BB1216">
        <v>5.12</v>
      </c>
      <c r="BC1216">
        <v>96</v>
      </c>
      <c r="BD1216">
        <v>-0.05</v>
      </c>
      <c r="BE1216">
        <v>-0.05</v>
      </c>
      <c r="BF1216">
        <v>0.02</v>
      </c>
      <c r="BG1216">
        <v>99</v>
      </c>
      <c r="BH1216">
        <v>-0.03</v>
      </c>
      <c r="BI1216">
        <v>-13.02</v>
      </c>
      <c r="BJ1216">
        <v>122</v>
      </c>
      <c r="BK1216">
        <v>52</v>
      </c>
      <c r="BL1216">
        <v>1.1200000000000001</v>
      </c>
      <c r="BM1216">
        <v>2.52</v>
      </c>
      <c r="BN1216">
        <v>0.04</v>
      </c>
      <c r="BO1216">
        <v>-1.25</v>
      </c>
      <c r="BP1216">
        <v>0.62</v>
      </c>
      <c r="BQ1216">
        <v>2.09</v>
      </c>
      <c r="BR1216">
        <v>0.02</v>
      </c>
      <c r="BS1216">
        <v>-2.89</v>
      </c>
      <c r="BT1216">
        <v>-0.19</v>
      </c>
      <c r="BU1216">
        <v>-0.59</v>
      </c>
      <c r="BV1216">
        <v>-2.93</v>
      </c>
      <c r="BW1216">
        <v>-1.75</v>
      </c>
      <c r="BX1216">
        <v>0.91</v>
      </c>
      <c r="BY1216">
        <v>-2.68</v>
      </c>
      <c r="BZ1216">
        <v>-0.5</v>
      </c>
      <c r="CA1216">
        <v>-1.72</v>
      </c>
      <c r="CB1216">
        <v>-1.33</v>
      </c>
      <c r="CC1216">
        <v>-1.78</v>
      </c>
      <c r="CD1216">
        <v>2.0499999999999998</v>
      </c>
      <c r="CE1216">
        <v>-1.38</v>
      </c>
      <c r="CF1216">
        <v>1.34</v>
      </c>
      <c r="CG1216">
        <v>0</v>
      </c>
      <c r="CH1216">
        <v>-2.36</v>
      </c>
      <c r="CI1216">
        <v>0</v>
      </c>
      <c r="CJ1216">
        <v>5.9</v>
      </c>
      <c r="CK1216">
        <v>99</v>
      </c>
      <c r="CL1216">
        <v>-0.79</v>
      </c>
      <c r="CM1216">
        <v>99</v>
      </c>
      <c r="CN1216">
        <v>-0.23</v>
      </c>
      <c r="CO1216">
        <v>99</v>
      </c>
      <c r="CP1216">
        <v>23.1</v>
      </c>
      <c r="CQ1216">
        <v>99</v>
      </c>
      <c r="CR1216">
        <v>0</v>
      </c>
      <c r="CS1216">
        <v>0</v>
      </c>
      <c r="CT1216">
        <v>45.2</v>
      </c>
      <c r="CU1216">
        <v>99</v>
      </c>
      <c r="CV1216">
        <v>0.43</v>
      </c>
      <c r="CW1216">
        <v>51</v>
      </c>
      <c r="CX1216" t="s">
        <v>1165</v>
      </c>
    </row>
    <row r="1217" spans="1:102" x14ac:dyDescent="0.3">
      <c r="A1217" t="str">
        <f>HYPERLINK("https://webapp.icbf.com/v2/app/bull-search/view/321046481","LIF")</f>
        <v>LIF</v>
      </c>
      <c r="B1217" t="s">
        <v>7789</v>
      </c>
      <c r="C1217" t="s">
        <v>7790</v>
      </c>
      <c r="D1217" s="1">
        <v>36007</v>
      </c>
      <c r="E1217" t="s">
        <v>227</v>
      </c>
      <c r="F1217">
        <v>0</v>
      </c>
      <c r="G1217" t="s">
        <v>93</v>
      </c>
      <c r="H1217">
        <v>127</v>
      </c>
      <c r="I1217">
        <v>94</v>
      </c>
      <c r="J1217">
        <v>49.18</v>
      </c>
      <c r="K1217">
        <v>98</v>
      </c>
      <c r="L1217">
        <v>21.43</v>
      </c>
      <c r="M1217">
        <v>91</v>
      </c>
      <c r="N1217">
        <v>33.200000000000003</v>
      </c>
      <c r="O1217">
        <v>93</v>
      </c>
      <c r="P1217">
        <v>-60.84</v>
      </c>
      <c r="Q1217">
        <v>95</v>
      </c>
      <c r="R1217">
        <v>-1.31</v>
      </c>
      <c r="S1217">
        <v>92</v>
      </c>
      <c r="T1217">
        <v>73.47</v>
      </c>
      <c r="U1217">
        <v>96</v>
      </c>
      <c r="V1217">
        <v>11.87</v>
      </c>
      <c r="W1217">
        <v>94</v>
      </c>
      <c r="X1217" t="s">
        <v>302</v>
      </c>
      <c r="Y1217" t="s">
        <v>95</v>
      </c>
      <c r="Z1217">
        <v>0</v>
      </c>
      <c r="AA1217" t="s">
        <v>4190</v>
      </c>
      <c r="AB1217" t="s">
        <v>7791</v>
      </c>
      <c r="AC1217">
        <v>260</v>
      </c>
      <c r="AD1217">
        <v>64</v>
      </c>
      <c r="AE1217">
        <v>98</v>
      </c>
      <c r="AF1217">
        <v>-193.98</v>
      </c>
      <c r="AG1217">
        <v>9.3699999999999992</v>
      </c>
      <c r="AH1217">
        <v>2.08</v>
      </c>
      <c r="AI1217">
        <v>0.31</v>
      </c>
      <c r="AJ1217">
        <v>0.16</v>
      </c>
      <c r="AK1217">
        <v>91</v>
      </c>
      <c r="AL1217">
        <v>253</v>
      </c>
      <c r="AM1217">
        <v>51</v>
      </c>
      <c r="AN1217">
        <v>-1.1200000000000001</v>
      </c>
      <c r="AO1217">
        <v>0.59</v>
      </c>
      <c r="AP1217">
        <v>346</v>
      </c>
      <c r="AQ1217">
        <v>0</v>
      </c>
      <c r="AR1217">
        <v>2.29</v>
      </c>
      <c r="AS1217">
        <v>93</v>
      </c>
      <c r="AT1217">
        <v>1.33</v>
      </c>
      <c r="AU1217">
        <v>92</v>
      </c>
      <c r="AV1217">
        <v>-1.75</v>
      </c>
      <c r="AW1217">
        <v>98</v>
      </c>
      <c r="AX1217">
        <v>0.68</v>
      </c>
      <c r="AY1217">
        <v>91</v>
      </c>
      <c r="AZ1217">
        <v>7.26</v>
      </c>
      <c r="BA1217">
        <v>84</v>
      </c>
      <c r="BB1217">
        <v>5</v>
      </c>
      <c r="BC1217">
        <v>86</v>
      </c>
      <c r="BD1217">
        <v>-0.03</v>
      </c>
      <c r="BE1217">
        <v>0</v>
      </c>
      <c r="BF1217">
        <v>0.08</v>
      </c>
      <c r="BG1217">
        <v>95</v>
      </c>
      <c r="BH1217">
        <v>0.23</v>
      </c>
      <c r="BI1217">
        <v>-11.7</v>
      </c>
      <c r="BJ1217">
        <v>31</v>
      </c>
      <c r="BK1217">
        <v>10</v>
      </c>
      <c r="BL1217">
        <v>-3.87</v>
      </c>
      <c r="BM1217">
        <v>-4.0999999999999996</v>
      </c>
      <c r="BN1217">
        <v>-2.0099999999999998</v>
      </c>
      <c r="BO1217">
        <v>1.3</v>
      </c>
      <c r="BP1217">
        <v>-1.67</v>
      </c>
      <c r="BQ1217">
        <v>-7.1</v>
      </c>
      <c r="BR1217">
        <v>2.84</v>
      </c>
      <c r="BS1217">
        <v>6.03</v>
      </c>
      <c r="BT1217">
        <v>-2.39</v>
      </c>
      <c r="BU1217">
        <v>-0.35</v>
      </c>
      <c r="BV1217">
        <v>0.28999999999999998</v>
      </c>
      <c r="BW1217">
        <v>-1.99</v>
      </c>
      <c r="BX1217">
        <v>-2.75</v>
      </c>
      <c r="BY1217">
        <v>0.55000000000000004</v>
      </c>
      <c r="BZ1217">
        <v>-2.35</v>
      </c>
      <c r="CA1217">
        <v>1.95</v>
      </c>
      <c r="CB1217">
        <v>0.52</v>
      </c>
      <c r="CC1217">
        <v>3.97</v>
      </c>
      <c r="CD1217">
        <v>-3.32</v>
      </c>
      <c r="CE1217">
        <v>1.28</v>
      </c>
      <c r="CF1217">
        <v>-4.41</v>
      </c>
      <c r="CG1217">
        <v>0</v>
      </c>
      <c r="CH1217">
        <v>0.13</v>
      </c>
      <c r="CI1217">
        <v>0</v>
      </c>
      <c r="CJ1217">
        <v>-33.799999999999997</v>
      </c>
      <c r="CK1217">
        <v>96</v>
      </c>
      <c r="CL1217">
        <v>-0.97</v>
      </c>
      <c r="CM1217">
        <v>95</v>
      </c>
      <c r="CN1217">
        <v>-0.36</v>
      </c>
      <c r="CO1217">
        <v>94</v>
      </c>
      <c r="CP1217">
        <v>-56</v>
      </c>
      <c r="CQ1217">
        <v>94</v>
      </c>
      <c r="CR1217">
        <v>0</v>
      </c>
      <c r="CS1217">
        <v>0</v>
      </c>
      <c r="CT1217">
        <v>-85.5</v>
      </c>
      <c r="CU1217">
        <v>96</v>
      </c>
      <c r="CV1217">
        <v>-0.39</v>
      </c>
      <c r="CW1217">
        <v>45</v>
      </c>
      <c r="CX1217" t="s">
        <v>788</v>
      </c>
    </row>
    <row r="1218" spans="1:102" x14ac:dyDescent="0.3">
      <c r="A1218" t="str">
        <f>HYPERLINK("https://webapp.icbf.com/v2/app/bull-search/view/399630116","MHO")</f>
        <v>MHO</v>
      </c>
      <c r="B1218" t="s">
        <v>4477</v>
      </c>
      <c r="C1218" t="s">
        <v>4478</v>
      </c>
      <c r="D1218" s="1">
        <v>38429</v>
      </c>
      <c r="E1218" t="s">
        <v>108</v>
      </c>
      <c r="F1218">
        <v>47</v>
      </c>
      <c r="G1218" t="s">
        <v>93</v>
      </c>
      <c r="H1218">
        <v>126.97</v>
      </c>
      <c r="I1218">
        <v>96</v>
      </c>
      <c r="J1218">
        <v>66.260000000000005</v>
      </c>
      <c r="K1218">
        <v>99</v>
      </c>
      <c r="L1218">
        <v>40.03</v>
      </c>
      <c r="M1218">
        <v>92</v>
      </c>
      <c r="N1218">
        <v>29.94</v>
      </c>
      <c r="O1218">
        <v>97</v>
      </c>
      <c r="P1218">
        <v>-23.28</v>
      </c>
      <c r="Q1218">
        <v>99</v>
      </c>
      <c r="R1218">
        <v>-3.73</v>
      </c>
      <c r="S1218">
        <v>95</v>
      </c>
      <c r="T1218">
        <v>28.55</v>
      </c>
      <c r="U1218">
        <v>98</v>
      </c>
      <c r="V1218">
        <v>-10.8</v>
      </c>
      <c r="W1218">
        <v>96</v>
      </c>
      <c r="X1218" t="s">
        <v>94</v>
      </c>
      <c r="Y1218" t="s">
        <v>1164</v>
      </c>
      <c r="Z1218" t="s">
        <v>96</v>
      </c>
      <c r="AA1218" t="s">
        <v>792</v>
      </c>
      <c r="AB1218" t="s">
        <v>4479</v>
      </c>
      <c r="AC1218">
        <v>688</v>
      </c>
      <c r="AD1218">
        <v>352</v>
      </c>
      <c r="AE1218">
        <v>99</v>
      </c>
      <c r="AF1218">
        <v>-143.26</v>
      </c>
      <c r="AG1218">
        <v>12.03</v>
      </c>
      <c r="AH1218">
        <v>4.82</v>
      </c>
      <c r="AI1218">
        <v>0.32</v>
      </c>
      <c r="AJ1218">
        <v>0.17</v>
      </c>
      <c r="AK1218">
        <v>92</v>
      </c>
      <c r="AL1218">
        <v>733</v>
      </c>
      <c r="AM1218">
        <v>386</v>
      </c>
      <c r="AN1218">
        <v>-2.37</v>
      </c>
      <c r="AO1218">
        <v>0.82</v>
      </c>
      <c r="AP1218">
        <v>1322</v>
      </c>
      <c r="AQ1218">
        <v>6</v>
      </c>
      <c r="AR1218">
        <v>7.32</v>
      </c>
      <c r="AS1218">
        <v>93</v>
      </c>
      <c r="AT1218">
        <v>2.54</v>
      </c>
      <c r="AU1218">
        <v>97</v>
      </c>
      <c r="AV1218">
        <v>-3.2</v>
      </c>
      <c r="AW1218">
        <v>99</v>
      </c>
      <c r="AX1218">
        <v>-0.44</v>
      </c>
      <c r="AY1218">
        <v>97</v>
      </c>
      <c r="AZ1218">
        <v>6.47</v>
      </c>
      <c r="BA1218">
        <v>91</v>
      </c>
      <c r="BB1218">
        <v>5.42</v>
      </c>
      <c r="BC1218">
        <v>92</v>
      </c>
      <c r="BD1218">
        <v>0.01</v>
      </c>
      <c r="BE1218">
        <v>0.01</v>
      </c>
      <c r="BF1218">
        <v>0.05</v>
      </c>
      <c r="BG1218">
        <v>98</v>
      </c>
      <c r="BH1218">
        <v>-0.34</v>
      </c>
      <c r="BI1218">
        <v>-4.5</v>
      </c>
      <c r="BJ1218">
        <v>57</v>
      </c>
      <c r="BK1218">
        <v>48</v>
      </c>
      <c r="BL1218">
        <v>-2.15</v>
      </c>
      <c r="BM1218">
        <v>-1.71</v>
      </c>
      <c r="BN1218">
        <v>-2.02</v>
      </c>
      <c r="BO1218">
        <v>-0.85</v>
      </c>
      <c r="BP1218">
        <v>2.1</v>
      </c>
      <c r="BQ1218">
        <v>-3.73</v>
      </c>
      <c r="BR1218">
        <v>2.81</v>
      </c>
      <c r="BS1218">
        <v>-1.48</v>
      </c>
      <c r="BT1218">
        <v>-4.3499999999999996</v>
      </c>
      <c r="BU1218">
        <v>-3.38</v>
      </c>
      <c r="BV1218">
        <v>-2.58</v>
      </c>
      <c r="BW1218">
        <v>-2.7</v>
      </c>
      <c r="BX1218">
        <v>-3.08</v>
      </c>
      <c r="BY1218">
        <v>-2.72</v>
      </c>
      <c r="BZ1218">
        <v>-0.04</v>
      </c>
      <c r="CA1218">
        <v>-2.79</v>
      </c>
      <c r="CB1218">
        <v>-2.84</v>
      </c>
      <c r="CC1218">
        <v>-1.6</v>
      </c>
      <c r="CD1218">
        <v>-0.36</v>
      </c>
      <c r="CE1218">
        <v>-1.1499999999999999</v>
      </c>
      <c r="CF1218">
        <v>-2.46</v>
      </c>
      <c r="CG1218">
        <v>0</v>
      </c>
      <c r="CH1218">
        <v>-2.75</v>
      </c>
      <c r="CI1218">
        <v>0</v>
      </c>
      <c r="CJ1218">
        <v>-10.1</v>
      </c>
      <c r="CK1218">
        <v>99</v>
      </c>
      <c r="CL1218">
        <v>-0.59</v>
      </c>
      <c r="CM1218">
        <v>99</v>
      </c>
      <c r="CN1218">
        <v>0.02</v>
      </c>
      <c r="CO1218">
        <v>98</v>
      </c>
      <c r="CP1218">
        <v>-20.100000000000001</v>
      </c>
      <c r="CQ1218">
        <v>98</v>
      </c>
      <c r="CR1218">
        <v>0</v>
      </c>
      <c r="CS1218">
        <v>0</v>
      </c>
      <c r="CT1218">
        <v>-24.8</v>
      </c>
      <c r="CU1218">
        <v>98</v>
      </c>
      <c r="CV1218">
        <v>0.05</v>
      </c>
      <c r="CW1218">
        <v>47</v>
      </c>
      <c r="CX1218" t="s">
        <v>4480</v>
      </c>
    </row>
    <row r="1219" spans="1:102" x14ac:dyDescent="0.3">
      <c r="A1219" t="str">
        <f>HYPERLINK("https://webapp.icbf.com/v2/app/bull-search/view/1310248587","FR2328")</f>
        <v>FR2328</v>
      </c>
      <c r="B1219" t="s">
        <v>10259</v>
      </c>
      <c r="C1219" t="s">
        <v>10260</v>
      </c>
      <c r="D1219" s="1">
        <v>41614</v>
      </c>
      <c r="E1219" t="s">
        <v>108</v>
      </c>
      <c r="F1219">
        <v>0</v>
      </c>
      <c r="G1219" t="s">
        <v>93</v>
      </c>
      <c r="H1219">
        <v>126.81</v>
      </c>
      <c r="I1219">
        <v>76</v>
      </c>
      <c r="J1219">
        <v>-16.57</v>
      </c>
      <c r="K1219">
        <v>90</v>
      </c>
      <c r="L1219">
        <v>97.22</v>
      </c>
      <c r="M1219">
        <v>66</v>
      </c>
      <c r="N1219">
        <v>41.69</v>
      </c>
      <c r="O1219">
        <v>82</v>
      </c>
      <c r="P1219">
        <v>-8.9</v>
      </c>
      <c r="Q1219">
        <v>84</v>
      </c>
      <c r="R1219">
        <v>5.32</v>
      </c>
      <c r="S1219">
        <v>65</v>
      </c>
      <c r="T1219">
        <v>11.16</v>
      </c>
      <c r="U1219">
        <v>55</v>
      </c>
      <c r="V1219">
        <v>-3.11</v>
      </c>
      <c r="W1219">
        <v>57</v>
      </c>
      <c r="X1219" t="s">
        <v>276</v>
      </c>
      <c r="Y1219" t="s">
        <v>429</v>
      </c>
      <c r="Z1219" t="s">
        <v>96</v>
      </c>
      <c r="AA1219" t="s">
        <v>2411</v>
      </c>
      <c r="AB1219" t="s">
        <v>10261</v>
      </c>
      <c r="AC1219">
        <v>42</v>
      </c>
      <c r="AD1219">
        <v>15</v>
      </c>
      <c r="AE1219">
        <v>90</v>
      </c>
      <c r="AF1219">
        <v>-117.22</v>
      </c>
      <c r="AG1219">
        <v>-1.76</v>
      </c>
      <c r="AH1219">
        <v>-3.99</v>
      </c>
      <c r="AI1219">
        <v>0.05</v>
      </c>
      <c r="AJ1219">
        <v>0</v>
      </c>
      <c r="AK1219">
        <v>66</v>
      </c>
      <c r="AL1219">
        <v>0</v>
      </c>
      <c r="AM1219">
        <v>0</v>
      </c>
      <c r="AN1219">
        <v>-6.33</v>
      </c>
      <c r="AO1219">
        <v>1.41</v>
      </c>
      <c r="AP1219">
        <v>250</v>
      </c>
      <c r="AQ1219">
        <v>0</v>
      </c>
      <c r="AR1219">
        <v>4.5199999999999996</v>
      </c>
      <c r="AS1219">
        <v>74</v>
      </c>
      <c r="AT1219">
        <v>2.08</v>
      </c>
      <c r="AU1219">
        <v>86</v>
      </c>
      <c r="AV1219">
        <v>-3.53</v>
      </c>
      <c r="AW1219">
        <v>97</v>
      </c>
      <c r="AX1219">
        <v>-1.03</v>
      </c>
      <c r="AY1219">
        <v>83</v>
      </c>
      <c r="AZ1219">
        <v>7.44</v>
      </c>
      <c r="BA1219">
        <v>59</v>
      </c>
      <c r="BB1219">
        <v>5.43</v>
      </c>
      <c r="BC1219">
        <v>37</v>
      </c>
      <c r="BD1219">
        <v>0.01</v>
      </c>
      <c r="BE1219">
        <v>-0.01</v>
      </c>
      <c r="BF1219">
        <v>-0.12</v>
      </c>
      <c r="BG1219">
        <v>75</v>
      </c>
      <c r="BH1219">
        <v>-0.04</v>
      </c>
      <c r="BI1219">
        <v>5.42</v>
      </c>
      <c r="BJ1219">
        <v>0</v>
      </c>
      <c r="BK1219">
        <v>0</v>
      </c>
      <c r="BL1219">
        <v>-2</v>
      </c>
      <c r="BM1219">
        <v>1.94</v>
      </c>
      <c r="BN1219">
        <v>-0.43</v>
      </c>
      <c r="BO1219">
        <v>-1.26</v>
      </c>
      <c r="BP1219">
        <v>-0.44</v>
      </c>
      <c r="BQ1219">
        <v>2.92</v>
      </c>
      <c r="BR1219">
        <v>-0.54</v>
      </c>
      <c r="BS1219">
        <v>0.85</v>
      </c>
      <c r="BT1219">
        <v>-0.28000000000000003</v>
      </c>
      <c r="BU1219">
        <v>-1.47</v>
      </c>
      <c r="BV1219">
        <v>-2.19</v>
      </c>
      <c r="BW1219">
        <v>-1.9</v>
      </c>
      <c r="BX1219">
        <v>-1.1200000000000001</v>
      </c>
      <c r="BY1219">
        <v>-0.54</v>
      </c>
      <c r="BZ1219">
        <v>0.96</v>
      </c>
      <c r="CA1219">
        <v>-0.88</v>
      </c>
      <c r="CB1219">
        <v>-1.25</v>
      </c>
      <c r="CC1219">
        <v>0.46</v>
      </c>
      <c r="CD1219">
        <v>1.43</v>
      </c>
      <c r="CE1219">
        <v>-1.52</v>
      </c>
      <c r="CF1219">
        <v>-0.55000000000000004</v>
      </c>
      <c r="CG1219">
        <v>0</v>
      </c>
      <c r="CH1219">
        <v>-0.06</v>
      </c>
      <c r="CI1219">
        <v>0</v>
      </c>
      <c r="CJ1219">
        <v>-2.9</v>
      </c>
      <c r="CK1219">
        <v>87</v>
      </c>
      <c r="CL1219">
        <v>-0.5</v>
      </c>
      <c r="CM1219">
        <v>84</v>
      </c>
      <c r="CN1219">
        <v>-7.0000000000000007E-2</v>
      </c>
      <c r="CO1219">
        <v>83</v>
      </c>
      <c r="CP1219">
        <v>-3.7</v>
      </c>
      <c r="CQ1219">
        <v>59</v>
      </c>
      <c r="CR1219">
        <v>0</v>
      </c>
      <c r="CS1219">
        <v>0</v>
      </c>
      <c r="CT1219">
        <v>-1.3</v>
      </c>
      <c r="CU1219">
        <v>55</v>
      </c>
      <c r="CV1219">
        <v>0.16</v>
      </c>
      <c r="CW1219">
        <v>43</v>
      </c>
      <c r="CX1219" t="s">
        <v>1543</v>
      </c>
    </row>
    <row r="1220" spans="1:102" x14ac:dyDescent="0.3">
      <c r="A1220" t="str">
        <f>HYPERLINK("https://webapp.icbf.com/v2/app/bull-search/view/1126497640","YOM")</f>
        <v>YOM</v>
      </c>
      <c r="B1220" t="s">
        <v>13479</v>
      </c>
      <c r="C1220" t="s">
        <v>13480</v>
      </c>
      <c r="D1220" s="1">
        <v>41596</v>
      </c>
      <c r="E1220" t="s">
        <v>92</v>
      </c>
      <c r="F1220">
        <v>100</v>
      </c>
      <c r="G1220" t="s">
        <v>93</v>
      </c>
      <c r="H1220">
        <v>126.68</v>
      </c>
      <c r="I1220">
        <v>72</v>
      </c>
      <c r="J1220">
        <v>23.67</v>
      </c>
      <c r="K1220">
        <v>90</v>
      </c>
      <c r="L1220">
        <v>52.16</v>
      </c>
      <c r="M1220">
        <v>65</v>
      </c>
      <c r="N1220">
        <v>28.68</v>
      </c>
      <c r="O1220">
        <v>68</v>
      </c>
      <c r="P1220">
        <v>-0.76</v>
      </c>
      <c r="Q1220">
        <v>66</v>
      </c>
      <c r="R1220">
        <v>20.18</v>
      </c>
      <c r="S1220">
        <v>64</v>
      </c>
      <c r="T1220">
        <v>6.35</v>
      </c>
      <c r="U1220">
        <v>48</v>
      </c>
      <c r="V1220">
        <v>-3.6</v>
      </c>
      <c r="W1220">
        <v>55</v>
      </c>
      <c r="X1220" t="s">
        <v>94</v>
      </c>
      <c r="Y1220" t="s">
        <v>389</v>
      </c>
      <c r="Z1220" t="s">
        <v>96</v>
      </c>
      <c r="AA1220" t="s">
        <v>13481</v>
      </c>
      <c r="AB1220" t="s">
        <v>13482</v>
      </c>
      <c r="AC1220">
        <v>14</v>
      </c>
      <c r="AD1220">
        <v>1</v>
      </c>
      <c r="AE1220">
        <v>90</v>
      </c>
      <c r="AF1220">
        <v>159.57</v>
      </c>
      <c r="AG1220">
        <v>1.89</v>
      </c>
      <c r="AH1220">
        <v>5.8</v>
      </c>
      <c r="AI1220">
        <v>-7.0000000000000007E-2</v>
      </c>
      <c r="AJ1220">
        <v>0.01</v>
      </c>
      <c r="AK1220">
        <v>65</v>
      </c>
      <c r="AL1220">
        <v>14</v>
      </c>
      <c r="AM1220">
        <v>1</v>
      </c>
      <c r="AN1220">
        <v>-2.02</v>
      </c>
      <c r="AO1220">
        <v>2.15</v>
      </c>
      <c r="AP1220">
        <v>36</v>
      </c>
      <c r="AQ1220">
        <v>0</v>
      </c>
      <c r="AR1220">
        <v>4.75</v>
      </c>
      <c r="AS1220">
        <v>72</v>
      </c>
      <c r="AT1220">
        <v>2.11</v>
      </c>
      <c r="AU1220">
        <v>64</v>
      </c>
      <c r="AV1220">
        <v>-2.2599999999999998</v>
      </c>
      <c r="AW1220">
        <v>83</v>
      </c>
      <c r="AX1220">
        <v>0.47</v>
      </c>
      <c r="AY1220">
        <v>56</v>
      </c>
      <c r="AZ1220">
        <v>6.6</v>
      </c>
      <c r="BA1220">
        <v>44</v>
      </c>
      <c r="BB1220">
        <v>5.38</v>
      </c>
      <c r="BC1220">
        <v>41</v>
      </c>
      <c r="BD1220">
        <v>-0.06</v>
      </c>
      <c r="BE1220">
        <v>-0.06</v>
      </c>
      <c r="BF1220">
        <v>-0.25</v>
      </c>
      <c r="BG1220">
        <v>75</v>
      </c>
      <c r="BH1220">
        <v>-0.1</v>
      </c>
      <c r="BI1220">
        <v>0.05</v>
      </c>
      <c r="BJ1220">
        <v>12</v>
      </c>
      <c r="BK1220">
        <v>1</v>
      </c>
      <c r="BL1220">
        <v>0.3</v>
      </c>
      <c r="BM1220">
        <v>-0.78</v>
      </c>
      <c r="BN1220">
        <v>0.13</v>
      </c>
      <c r="BO1220">
        <v>0.93</v>
      </c>
      <c r="BP1220">
        <v>1.48</v>
      </c>
      <c r="BQ1220">
        <v>-0.51</v>
      </c>
      <c r="BR1220">
        <v>0.51</v>
      </c>
      <c r="BS1220">
        <v>2.4500000000000002</v>
      </c>
      <c r="BT1220">
        <v>-0.5</v>
      </c>
      <c r="BU1220">
        <v>0.67</v>
      </c>
      <c r="BV1220">
        <v>1.1200000000000001</v>
      </c>
      <c r="BW1220">
        <v>1.58</v>
      </c>
      <c r="BX1220">
        <v>0.72</v>
      </c>
      <c r="BY1220">
        <v>0.04</v>
      </c>
      <c r="BZ1220">
        <v>0.85</v>
      </c>
      <c r="CA1220">
        <v>1.2</v>
      </c>
      <c r="CB1220">
        <v>0.93</v>
      </c>
      <c r="CC1220">
        <v>1.57</v>
      </c>
      <c r="CD1220">
        <v>-0.59</v>
      </c>
      <c r="CE1220">
        <v>0.81</v>
      </c>
      <c r="CF1220">
        <v>0.37</v>
      </c>
      <c r="CG1220">
        <v>0</v>
      </c>
      <c r="CH1220">
        <v>0.8</v>
      </c>
      <c r="CI1220">
        <v>0</v>
      </c>
      <c r="CJ1220">
        <v>0.6</v>
      </c>
      <c r="CK1220">
        <v>69</v>
      </c>
      <c r="CL1220">
        <v>-0.77</v>
      </c>
      <c r="CM1220">
        <v>65</v>
      </c>
      <c r="CN1220">
        <v>-0.53</v>
      </c>
      <c r="CO1220">
        <v>64</v>
      </c>
      <c r="CP1220">
        <v>1</v>
      </c>
      <c r="CQ1220">
        <v>52</v>
      </c>
      <c r="CR1220">
        <v>0</v>
      </c>
      <c r="CS1220">
        <v>0</v>
      </c>
      <c r="CT1220">
        <v>5.2</v>
      </c>
      <c r="CU1220">
        <v>48</v>
      </c>
      <c r="CV1220">
        <v>0.12</v>
      </c>
      <c r="CW1220">
        <v>39</v>
      </c>
      <c r="CX1220" t="s">
        <v>13483</v>
      </c>
    </row>
    <row r="1221" spans="1:102" x14ac:dyDescent="0.3">
      <c r="A1221" t="str">
        <f>HYPERLINK("https://webapp.icbf.com/v2/app/bull-search/view/1089499142","S1664")</f>
        <v>S1664</v>
      </c>
      <c r="B1221" t="s">
        <v>1958</v>
      </c>
      <c r="C1221" t="s">
        <v>1959</v>
      </c>
      <c r="D1221" s="1">
        <v>40856</v>
      </c>
      <c r="E1221" t="s">
        <v>92</v>
      </c>
      <c r="F1221">
        <v>100</v>
      </c>
      <c r="G1221" t="s">
        <v>93</v>
      </c>
      <c r="H1221">
        <v>126.66</v>
      </c>
      <c r="I1221">
        <v>87</v>
      </c>
      <c r="J1221">
        <v>39.82</v>
      </c>
      <c r="K1221">
        <v>97</v>
      </c>
      <c r="L1221">
        <v>42.37</v>
      </c>
      <c r="M1221">
        <v>87</v>
      </c>
      <c r="N1221">
        <v>28.51</v>
      </c>
      <c r="O1221">
        <v>84</v>
      </c>
      <c r="P1221">
        <v>-12.71</v>
      </c>
      <c r="Q1221">
        <v>80</v>
      </c>
      <c r="R1221">
        <v>13.7</v>
      </c>
      <c r="S1221">
        <v>78</v>
      </c>
      <c r="T1221">
        <v>5.91</v>
      </c>
      <c r="U1221">
        <v>71</v>
      </c>
      <c r="V1221">
        <v>9.06</v>
      </c>
      <c r="W1221">
        <v>63</v>
      </c>
      <c r="X1221" t="s">
        <v>94</v>
      </c>
      <c r="Y1221" t="s">
        <v>362</v>
      </c>
      <c r="Z1221" t="s">
        <v>96</v>
      </c>
      <c r="AA1221" t="s">
        <v>1960</v>
      </c>
      <c r="AB1221" t="s">
        <v>1961</v>
      </c>
      <c r="AC1221">
        <v>143</v>
      </c>
      <c r="AD1221">
        <v>35</v>
      </c>
      <c r="AE1221">
        <v>97</v>
      </c>
      <c r="AF1221">
        <v>178.07</v>
      </c>
      <c r="AG1221">
        <v>5.9</v>
      </c>
      <c r="AH1221">
        <v>7.41</v>
      </c>
      <c r="AI1221">
        <v>-0.02</v>
      </c>
      <c r="AJ1221">
        <v>0.02</v>
      </c>
      <c r="AK1221">
        <v>87</v>
      </c>
      <c r="AL1221">
        <v>107</v>
      </c>
      <c r="AM1221">
        <v>30</v>
      </c>
      <c r="AN1221">
        <v>-1.43</v>
      </c>
      <c r="AO1221">
        <v>1.96</v>
      </c>
      <c r="AP1221">
        <v>217</v>
      </c>
      <c r="AQ1221">
        <v>0</v>
      </c>
      <c r="AR1221">
        <v>5.08</v>
      </c>
      <c r="AS1221">
        <v>84</v>
      </c>
      <c r="AT1221">
        <v>2.25</v>
      </c>
      <c r="AU1221">
        <v>88</v>
      </c>
      <c r="AV1221">
        <v>-2.19</v>
      </c>
      <c r="AW1221">
        <v>94</v>
      </c>
      <c r="AX1221">
        <v>1.19</v>
      </c>
      <c r="AY1221">
        <v>80</v>
      </c>
      <c r="AZ1221">
        <v>6.15</v>
      </c>
      <c r="BA1221">
        <v>62</v>
      </c>
      <c r="BB1221">
        <v>4.76</v>
      </c>
      <c r="BC1221">
        <v>52</v>
      </c>
      <c r="BD1221">
        <v>-0.09</v>
      </c>
      <c r="BE1221">
        <v>-0.05</v>
      </c>
      <c r="BF1221">
        <v>-7.0000000000000007E-2</v>
      </c>
      <c r="BG1221">
        <v>94</v>
      </c>
      <c r="BH1221">
        <v>0.13</v>
      </c>
      <c r="BI1221">
        <v>-14.18</v>
      </c>
      <c r="BJ1221">
        <v>26</v>
      </c>
      <c r="BK1221">
        <v>9</v>
      </c>
      <c r="BL1221">
        <v>0.97</v>
      </c>
      <c r="BM1221">
        <v>-0.85</v>
      </c>
      <c r="BN1221">
        <v>0.21</v>
      </c>
      <c r="BO1221">
        <v>0.91</v>
      </c>
      <c r="BP1221">
        <v>0.6</v>
      </c>
      <c r="BQ1221">
        <v>2.59</v>
      </c>
      <c r="BR1221">
        <v>0.23</v>
      </c>
      <c r="BS1221">
        <v>0.92</v>
      </c>
      <c r="BT1221">
        <v>0.09</v>
      </c>
      <c r="BU1221">
        <v>1.97</v>
      </c>
      <c r="BV1221">
        <v>2.74</v>
      </c>
      <c r="BW1221">
        <v>1.94</v>
      </c>
      <c r="BX1221">
        <v>2.25</v>
      </c>
      <c r="BY1221">
        <v>2.4300000000000002</v>
      </c>
      <c r="BZ1221">
        <v>-2.27</v>
      </c>
      <c r="CA1221">
        <v>2.19</v>
      </c>
      <c r="CB1221">
        <v>2.2000000000000002</v>
      </c>
      <c r="CC1221">
        <v>1.49</v>
      </c>
      <c r="CD1221">
        <v>-0.62</v>
      </c>
      <c r="CE1221">
        <v>1.19</v>
      </c>
      <c r="CF1221">
        <v>0.99</v>
      </c>
      <c r="CG1221">
        <v>0</v>
      </c>
      <c r="CH1221">
        <v>2.2000000000000002</v>
      </c>
      <c r="CI1221">
        <v>0</v>
      </c>
      <c r="CJ1221">
        <v>-4.5999999999999996</v>
      </c>
      <c r="CK1221">
        <v>83</v>
      </c>
      <c r="CL1221">
        <v>-1.21</v>
      </c>
      <c r="CM1221">
        <v>79</v>
      </c>
      <c r="CN1221">
        <v>-0.56000000000000005</v>
      </c>
      <c r="CO1221">
        <v>76</v>
      </c>
      <c r="CP1221">
        <v>-2.9</v>
      </c>
      <c r="CQ1221">
        <v>73</v>
      </c>
      <c r="CR1221">
        <v>0</v>
      </c>
      <c r="CS1221">
        <v>0</v>
      </c>
      <c r="CT1221">
        <v>5.8</v>
      </c>
      <c r="CU1221">
        <v>71</v>
      </c>
      <c r="CV1221">
        <v>0.15</v>
      </c>
      <c r="CW1221">
        <v>43</v>
      </c>
      <c r="CX1221" t="s">
        <v>1962</v>
      </c>
    </row>
    <row r="1222" spans="1:102" x14ac:dyDescent="0.3">
      <c r="A1222" t="str">
        <f>HYPERLINK("https://webapp.icbf.com/v2/app/bull-search/view/355615705","MXP")</f>
        <v>MXP</v>
      </c>
      <c r="B1222" t="s">
        <v>8075</v>
      </c>
      <c r="C1222" t="s">
        <v>8076</v>
      </c>
      <c r="D1222" s="1">
        <v>37513</v>
      </c>
      <c r="E1222" t="s">
        <v>92</v>
      </c>
      <c r="F1222">
        <v>84</v>
      </c>
      <c r="G1222" t="s">
        <v>109</v>
      </c>
      <c r="H1222">
        <v>126.65</v>
      </c>
      <c r="I1222">
        <v>72</v>
      </c>
      <c r="J1222">
        <v>48.88</v>
      </c>
      <c r="K1222">
        <v>86</v>
      </c>
      <c r="L1222">
        <v>58.13</v>
      </c>
      <c r="M1222">
        <v>63</v>
      </c>
      <c r="N1222">
        <v>-4.8099999999999996</v>
      </c>
      <c r="O1222">
        <v>68</v>
      </c>
      <c r="P1222">
        <v>-13.46</v>
      </c>
      <c r="Q1222">
        <v>80</v>
      </c>
      <c r="R1222">
        <v>11.09</v>
      </c>
      <c r="S1222">
        <v>59</v>
      </c>
      <c r="T1222">
        <v>28.11</v>
      </c>
      <c r="U1222">
        <v>72</v>
      </c>
      <c r="V1222">
        <v>-1.29</v>
      </c>
      <c r="W1222">
        <v>48</v>
      </c>
      <c r="X1222" t="s">
        <v>94</v>
      </c>
      <c r="Y1222" t="s">
        <v>171</v>
      </c>
      <c r="Z1222" t="s">
        <v>528</v>
      </c>
      <c r="AA1222" t="s">
        <v>1436</v>
      </c>
      <c r="AB1222" t="s">
        <v>8077</v>
      </c>
      <c r="AC1222">
        <v>30</v>
      </c>
      <c r="AD1222">
        <v>19</v>
      </c>
      <c r="AE1222">
        <v>86</v>
      </c>
      <c r="AF1222">
        <v>-41.7</v>
      </c>
      <c r="AG1222">
        <v>14.57</v>
      </c>
      <c r="AH1222">
        <v>2.52</v>
      </c>
      <c r="AI1222">
        <v>0.27</v>
      </c>
      <c r="AJ1222">
        <v>7.0000000000000007E-2</v>
      </c>
      <c r="AK1222">
        <v>63</v>
      </c>
      <c r="AL1222">
        <v>33</v>
      </c>
      <c r="AM1222">
        <v>21</v>
      </c>
      <c r="AN1222">
        <v>-2.82</v>
      </c>
      <c r="AO1222">
        <v>1.82</v>
      </c>
      <c r="AP1222">
        <v>48</v>
      </c>
      <c r="AQ1222">
        <v>0</v>
      </c>
      <c r="AR1222">
        <v>8.86</v>
      </c>
      <c r="AS1222">
        <v>39</v>
      </c>
      <c r="AT1222">
        <v>3.28</v>
      </c>
      <c r="AU1222">
        <v>67</v>
      </c>
      <c r="AV1222">
        <v>-0.34</v>
      </c>
      <c r="AW1222">
        <v>85</v>
      </c>
      <c r="AX1222">
        <v>0.39</v>
      </c>
      <c r="AY1222">
        <v>60</v>
      </c>
      <c r="AZ1222">
        <v>6.04</v>
      </c>
      <c r="BA1222">
        <v>41</v>
      </c>
      <c r="BB1222">
        <v>5.46</v>
      </c>
      <c r="BC1222">
        <v>47</v>
      </c>
      <c r="BD1222">
        <v>-0.06</v>
      </c>
      <c r="BE1222">
        <v>-0.05</v>
      </c>
      <c r="BF1222">
        <v>-0.06</v>
      </c>
      <c r="BG1222">
        <v>66</v>
      </c>
      <c r="BH1222">
        <v>0.01</v>
      </c>
      <c r="BI1222">
        <v>5.31</v>
      </c>
      <c r="BJ1222">
        <v>6</v>
      </c>
      <c r="BK1222">
        <v>3</v>
      </c>
      <c r="BL1222">
        <v>-0.94</v>
      </c>
      <c r="BM1222">
        <v>0.97</v>
      </c>
      <c r="BN1222">
        <v>-0.01</v>
      </c>
      <c r="BO1222">
        <v>-0.79</v>
      </c>
      <c r="BP1222">
        <v>-1.37</v>
      </c>
      <c r="BQ1222">
        <v>-0.69</v>
      </c>
      <c r="BR1222">
        <v>0.87</v>
      </c>
      <c r="BS1222">
        <v>-1.19</v>
      </c>
      <c r="BT1222">
        <v>-0.75</v>
      </c>
      <c r="BU1222">
        <v>-0.6</v>
      </c>
      <c r="BV1222">
        <v>-0.97</v>
      </c>
      <c r="BW1222">
        <v>-1.56</v>
      </c>
      <c r="BX1222">
        <v>-1.75</v>
      </c>
      <c r="BY1222">
        <v>-1.48</v>
      </c>
      <c r="BZ1222">
        <v>0.71</v>
      </c>
      <c r="CA1222">
        <v>-0.77</v>
      </c>
      <c r="CB1222">
        <v>-0.64</v>
      </c>
      <c r="CC1222">
        <v>-0.69</v>
      </c>
      <c r="CD1222">
        <v>0.79</v>
      </c>
      <c r="CE1222">
        <v>-0.56000000000000005</v>
      </c>
      <c r="CF1222">
        <v>-0.59</v>
      </c>
      <c r="CG1222">
        <v>0</v>
      </c>
      <c r="CH1222">
        <v>-1.76</v>
      </c>
      <c r="CI1222">
        <v>0</v>
      </c>
      <c r="CJ1222">
        <v>-5.0999999999999996</v>
      </c>
      <c r="CK1222">
        <v>82</v>
      </c>
      <c r="CL1222">
        <v>-0.53</v>
      </c>
      <c r="CM1222">
        <v>79</v>
      </c>
      <c r="CN1222">
        <v>-0.14000000000000001</v>
      </c>
      <c r="CO1222">
        <v>77</v>
      </c>
      <c r="CP1222">
        <v>-17.3</v>
      </c>
      <c r="CQ1222">
        <v>78</v>
      </c>
      <c r="CR1222">
        <v>0</v>
      </c>
      <c r="CS1222">
        <v>0</v>
      </c>
      <c r="CT1222">
        <v>-24.2</v>
      </c>
      <c r="CU1222">
        <v>72</v>
      </c>
      <c r="CV1222">
        <v>0.14000000000000001</v>
      </c>
      <c r="CW1222">
        <v>23</v>
      </c>
      <c r="CX1222" t="s">
        <v>2844</v>
      </c>
    </row>
    <row r="1223" spans="1:102" x14ac:dyDescent="0.3">
      <c r="A1223" t="str">
        <f>HYPERLINK("https://webapp.icbf.com/v2/app/bull-search/view/815996388","SKW")</f>
        <v>SKW</v>
      </c>
      <c r="B1223" t="s">
        <v>12971</v>
      </c>
      <c r="C1223" t="s">
        <v>12972</v>
      </c>
      <c r="D1223" s="1">
        <v>40439</v>
      </c>
      <c r="E1223" t="s">
        <v>92</v>
      </c>
      <c r="F1223">
        <v>100</v>
      </c>
      <c r="G1223" t="s">
        <v>93</v>
      </c>
      <c r="H1223">
        <v>126.53</v>
      </c>
      <c r="I1223">
        <v>91</v>
      </c>
      <c r="J1223">
        <v>59.15</v>
      </c>
      <c r="K1223">
        <v>99</v>
      </c>
      <c r="L1223">
        <v>34.74</v>
      </c>
      <c r="M1223">
        <v>85</v>
      </c>
      <c r="N1223">
        <v>42.19</v>
      </c>
      <c r="O1223">
        <v>93</v>
      </c>
      <c r="P1223">
        <v>-7.15</v>
      </c>
      <c r="Q1223">
        <v>97</v>
      </c>
      <c r="R1223">
        <v>0.64</v>
      </c>
      <c r="S1223">
        <v>83</v>
      </c>
      <c r="T1223">
        <v>-4.5999999999999996</v>
      </c>
      <c r="U1223">
        <v>91</v>
      </c>
      <c r="V1223">
        <v>1.56</v>
      </c>
      <c r="W1223">
        <v>74</v>
      </c>
      <c r="X1223" t="s">
        <v>102</v>
      </c>
      <c r="Y1223" t="s">
        <v>1685</v>
      </c>
      <c r="Z1223" t="s">
        <v>96</v>
      </c>
      <c r="AA1223" t="s">
        <v>1572</v>
      </c>
      <c r="AB1223" t="s">
        <v>2035</v>
      </c>
      <c r="AC1223">
        <v>361</v>
      </c>
      <c r="AD1223">
        <v>134</v>
      </c>
      <c r="AE1223">
        <v>99</v>
      </c>
      <c r="AF1223">
        <v>357.47</v>
      </c>
      <c r="AG1223">
        <v>7.38</v>
      </c>
      <c r="AH1223">
        <v>12.92</v>
      </c>
      <c r="AI1223">
        <v>-0.11</v>
      </c>
      <c r="AJ1223">
        <v>0.01</v>
      </c>
      <c r="AK1223">
        <v>85</v>
      </c>
      <c r="AL1223">
        <v>324</v>
      </c>
      <c r="AM1223">
        <v>131</v>
      </c>
      <c r="AN1223">
        <v>-2.68</v>
      </c>
      <c r="AO1223">
        <v>0.08</v>
      </c>
      <c r="AP1223">
        <v>839</v>
      </c>
      <c r="AQ1223">
        <v>3</v>
      </c>
      <c r="AR1223">
        <v>5.57</v>
      </c>
      <c r="AS1223">
        <v>92</v>
      </c>
      <c r="AT1223">
        <v>2.2799999999999998</v>
      </c>
      <c r="AU1223">
        <v>95</v>
      </c>
      <c r="AV1223">
        <v>-3.54</v>
      </c>
      <c r="AW1223">
        <v>98</v>
      </c>
      <c r="AX1223">
        <v>-0.18</v>
      </c>
      <c r="AY1223">
        <v>94</v>
      </c>
      <c r="AZ1223">
        <v>5.96</v>
      </c>
      <c r="BA1223">
        <v>82</v>
      </c>
      <c r="BB1223">
        <v>4.67</v>
      </c>
      <c r="BC1223">
        <v>74</v>
      </c>
      <c r="BD1223">
        <v>0.05</v>
      </c>
      <c r="BE1223">
        <v>-0.02</v>
      </c>
      <c r="BF1223">
        <v>-0.06</v>
      </c>
      <c r="BG1223">
        <v>95</v>
      </c>
      <c r="BH1223">
        <v>0.04</v>
      </c>
      <c r="BI1223">
        <v>-0.42</v>
      </c>
      <c r="BJ1223">
        <v>110</v>
      </c>
      <c r="BK1223">
        <v>55</v>
      </c>
      <c r="BL1223">
        <v>1.37</v>
      </c>
      <c r="BM1223">
        <v>-0.68</v>
      </c>
      <c r="BN1223">
        <v>-0.21</v>
      </c>
      <c r="BO1223">
        <v>0.44</v>
      </c>
      <c r="BP1223">
        <v>-0.64</v>
      </c>
      <c r="BQ1223">
        <v>1.34</v>
      </c>
      <c r="BR1223">
        <v>-2.16</v>
      </c>
      <c r="BS1223">
        <v>1.22</v>
      </c>
      <c r="BT1223">
        <v>1.34</v>
      </c>
      <c r="BU1223">
        <v>1.67</v>
      </c>
      <c r="BV1223">
        <v>1.7</v>
      </c>
      <c r="BW1223">
        <v>2.4500000000000002</v>
      </c>
      <c r="BX1223">
        <v>1.93</v>
      </c>
      <c r="BY1223">
        <v>2.21</v>
      </c>
      <c r="BZ1223">
        <v>-0.8</v>
      </c>
      <c r="CA1223">
        <v>1.94</v>
      </c>
      <c r="CB1223">
        <v>1.75</v>
      </c>
      <c r="CC1223">
        <v>1.5</v>
      </c>
      <c r="CD1223">
        <v>0.33</v>
      </c>
      <c r="CE1223">
        <v>0.54</v>
      </c>
      <c r="CF1223">
        <v>1.04</v>
      </c>
      <c r="CG1223">
        <v>0</v>
      </c>
      <c r="CH1223">
        <v>2.39</v>
      </c>
      <c r="CI1223">
        <v>0</v>
      </c>
      <c r="CJ1223">
        <v>0.5</v>
      </c>
      <c r="CK1223">
        <v>98</v>
      </c>
      <c r="CL1223">
        <v>-1.0900000000000001</v>
      </c>
      <c r="CM1223">
        <v>97</v>
      </c>
      <c r="CN1223">
        <v>-0.2</v>
      </c>
      <c r="CO1223">
        <v>97</v>
      </c>
      <c r="CP1223">
        <v>7.1</v>
      </c>
      <c r="CQ1223">
        <v>92</v>
      </c>
      <c r="CR1223">
        <v>0</v>
      </c>
      <c r="CS1223">
        <v>0</v>
      </c>
      <c r="CT1223">
        <v>20</v>
      </c>
      <c r="CU1223">
        <v>91</v>
      </c>
      <c r="CV1223">
        <v>0.28999999999999998</v>
      </c>
      <c r="CW1223">
        <v>46</v>
      </c>
      <c r="CX1223" t="s">
        <v>350</v>
      </c>
    </row>
    <row r="1224" spans="1:102" x14ac:dyDescent="0.3">
      <c r="A1224" t="str">
        <f>HYPERLINK("https://webapp.icbf.com/v2/app/bull-search/view/319364815","SSI")</f>
        <v>SSI</v>
      </c>
      <c r="B1224" t="s">
        <v>1093</v>
      </c>
      <c r="C1224" t="s">
        <v>1094</v>
      </c>
      <c r="D1224" s="1">
        <v>35631</v>
      </c>
      <c r="E1224" t="s">
        <v>92</v>
      </c>
      <c r="F1224">
        <v>69</v>
      </c>
      <c r="G1224" t="s">
        <v>93</v>
      </c>
      <c r="H1224">
        <v>126.52</v>
      </c>
      <c r="I1224">
        <v>97</v>
      </c>
      <c r="J1224">
        <v>73.989999999999995</v>
      </c>
      <c r="K1224">
        <v>99</v>
      </c>
      <c r="L1224">
        <v>23.01</v>
      </c>
      <c r="M1224">
        <v>94</v>
      </c>
      <c r="N1224">
        <v>43.97</v>
      </c>
      <c r="O1224">
        <v>98</v>
      </c>
      <c r="P1224">
        <v>-26.6</v>
      </c>
      <c r="Q1224">
        <v>99</v>
      </c>
      <c r="R1224">
        <v>-11.83</v>
      </c>
      <c r="S1224">
        <v>96</v>
      </c>
      <c r="T1224">
        <v>25.89</v>
      </c>
      <c r="U1224">
        <v>99</v>
      </c>
      <c r="V1224">
        <v>-1.91</v>
      </c>
      <c r="W1224">
        <v>98</v>
      </c>
      <c r="X1224" t="s">
        <v>302</v>
      </c>
      <c r="Y1224" t="s">
        <v>95</v>
      </c>
      <c r="Z1224" t="s">
        <v>96</v>
      </c>
      <c r="AA1224" t="s">
        <v>1095</v>
      </c>
      <c r="AB1224" t="s">
        <v>1096</v>
      </c>
      <c r="AC1224">
        <v>1113</v>
      </c>
      <c r="AD1224">
        <v>336</v>
      </c>
      <c r="AE1224">
        <v>99</v>
      </c>
      <c r="AF1224">
        <v>60.32</v>
      </c>
      <c r="AG1224">
        <v>17.63</v>
      </c>
      <c r="AH1224">
        <v>7.27</v>
      </c>
      <c r="AI1224">
        <v>0.26</v>
      </c>
      <c r="AJ1224">
        <v>0.09</v>
      </c>
      <c r="AK1224">
        <v>94</v>
      </c>
      <c r="AL1224">
        <v>1127</v>
      </c>
      <c r="AM1224">
        <v>336</v>
      </c>
      <c r="AN1224">
        <v>-0.87</v>
      </c>
      <c r="AO1224">
        <v>0.97</v>
      </c>
      <c r="AP1224">
        <v>1738</v>
      </c>
      <c r="AQ1224">
        <v>26</v>
      </c>
      <c r="AR1224">
        <v>4.5</v>
      </c>
      <c r="AS1224">
        <v>95</v>
      </c>
      <c r="AT1224">
        <v>2.14</v>
      </c>
      <c r="AU1224">
        <v>98</v>
      </c>
      <c r="AV1224">
        <v>-2.96</v>
      </c>
      <c r="AW1224">
        <v>99</v>
      </c>
      <c r="AX1224">
        <v>-0.74</v>
      </c>
      <c r="AY1224">
        <v>98</v>
      </c>
      <c r="AZ1224">
        <v>5.25</v>
      </c>
      <c r="BA1224">
        <v>94</v>
      </c>
      <c r="BB1224">
        <v>4.49</v>
      </c>
      <c r="BC1224">
        <v>96</v>
      </c>
      <c r="BD1224">
        <v>-0.06</v>
      </c>
      <c r="BE1224">
        <v>0.08</v>
      </c>
      <c r="BF1224">
        <v>0.22</v>
      </c>
      <c r="BG1224">
        <v>98</v>
      </c>
      <c r="BH1224">
        <v>0.04</v>
      </c>
      <c r="BI1224">
        <v>10.79</v>
      </c>
      <c r="BJ1224">
        <v>27</v>
      </c>
      <c r="BK1224">
        <v>16</v>
      </c>
      <c r="BL1224">
        <v>-1.97</v>
      </c>
      <c r="BM1224">
        <v>-0.6</v>
      </c>
      <c r="BN1224">
        <v>-1.7</v>
      </c>
      <c r="BO1224">
        <v>-1.26</v>
      </c>
      <c r="BP1224">
        <v>1.33</v>
      </c>
      <c r="BQ1224">
        <v>-1.72</v>
      </c>
      <c r="BR1224">
        <v>0.93</v>
      </c>
      <c r="BS1224">
        <v>-2.27</v>
      </c>
      <c r="BT1224">
        <v>-2.9</v>
      </c>
      <c r="BU1224">
        <v>-3.22</v>
      </c>
      <c r="BV1224">
        <v>-2.35</v>
      </c>
      <c r="BW1224">
        <v>-3.3</v>
      </c>
      <c r="BX1224">
        <v>-5.47</v>
      </c>
      <c r="BY1224">
        <v>-2.2799999999999998</v>
      </c>
      <c r="BZ1224">
        <v>3.63</v>
      </c>
      <c r="CA1224">
        <v>-2.34</v>
      </c>
      <c r="CB1224">
        <v>-2.5099999999999998</v>
      </c>
      <c r="CC1224">
        <v>-1.57</v>
      </c>
      <c r="CD1224">
        <v>0.91</v>
      </c>
      <c r="CE1224">
        <v>-1.38</v>
      </c>
      <c r="CF1224">
        <v>-2</v>
      </c>
      <c r="CG1224">
        <v>0</v>
      </c>
      <c r="CH1224">
        <v>-2.17</v>
      </c>
      <c r="CI1224">
        <v>0</v>
      </c>
      <c r="CJ1224">
        <v>-12.8</v>
      </c>
      <c r="CK1224">
        <v>99</v>
      </c>
      <c r="CL1224">
        <v>-0.69</v>
      </c>
      <c r="CM1224">
        <v>99</v>
      </c>
      <c r="CN1224">
        <v>-0.2</v>
      </c>
      <c r="CO1224">
        <v>99</v>
      </c>
      <c r="CP1224">
        <v>-27.7</v>
      </c>
      <c r="CQ1224">
        <v>99</v>
      </c>
      <c r="CR1224">
        <v>0</v>
      </c>
      <c r="CS1224">
        <v>0</v>
      </c>
      <c r="CT1224">
        <v>-21.2</v>
      </c>
      <c r="CU1224">
        <v>99</v>
      </c>
      <c r="CV1224">
        <v>-0.05</v>
      </c>
      <c r="CW1224">
        <v>46</v>
      </c>
      <c r="CX1224" t="s">
        <v>1097</v>
      </c>
    </row>
    <row r="1225" spans="1:102" x14ac:dyDescent="0.3">
      <c r="A1225" t="str">
        <f>HYPERLINK("https://webapp.icbf.com/v2/app/bull-search/view/1349522176","S3165")</f>
        <v>S3165</v>
      </c>
      <c r="B1225" t="s">
        <v>6308</v>
      </c>
      <c r="C1225" t="s">
        <v>6309</v>
      </c>
      <c r="D1225" s="1">
        <v>42014</v>
      </c>
      <c r="E1225" t="s">
        <v>92</v>
      </c>
      <c r="F1225">
        <v>100</v>
      </c>
      <c r="G1225" t="s">
        <v>435</v>
      </c>
      <c r="H1225">
        <v>126.5</v>
      </c>
      <c r="I1225">
        <v>66</v>
      </c>
      <c r="J1225">
        <v>105.94</v>
      </c>
      <c r="K1225">
        <v>87</v>
      </c>
      <c r="L1225">
        <v>0.69</v>
      </c>
      <c r="M1225">
        <v>66</v>
      </c>
      <c r="N1225">
        <v>30.1</v>
      </c>
      <c r="O1225">
        <v>56</v>
      </c>
      <c r="P1225">
        <v>-14.19</v>
      </c>
      <c r="Q1225">
        <v>35</v>
      </c>
      <c r="R1225">
        <v>5.67</v>
      </c>
      <c r="S1225">
        <v>61</v>
      </c>
      <c r="T1225">
        <v>-7.04</v>
      </c>
      <c r="U1225">
        <v>34</v>
      </c>
      <c r="V1225">
        <v>5.33</v>
      </c>
      <c r="W1225">
        <v>53</v>
      </c>
      <c r="X1225" t="s">
        <v>110</v>
      </c>
      <c r="Y1225" t="s">
        <v>453</v>
      </c>
      <c r="Z1225" t="s">
        <v>96</v>
      </c>
      <c r="AA1225" t="s">
        <v>6310</v>
      </c>
      <c r="AB1225" t="s">
        <v>6311</v>
      </c>
      <c r="AC1225">
        <v>0</v>
      </c>
      <c r="AD1225">
        <v>0</v>
      </c>
      <c r="AE1225">
        <v>87</v>
      </c>
      <c r="AF1225">
        <v>376.07</v>
      </c>
      <c r="AG1225">
        <v>21.69</v>
      </c>
      <c r="AH1225">
        <v>16.100000000000001</v>
      </c>
      <c r="AI1225">
        <v>0.11</v>
      </c>
      <c r="AJ1225">
        <v>0.06</v>
      </c>
      <c r="AK1225">
        <v>66</v>
      </c>
      <c r="AL1225">
        <v>0</v>
      </c>
      <c r="AM1225">
        <v>0</v>
      </c>
      <c r="AN1225">
        <v>1.1399999999999999</v>
      </c>
      <c r="AO1225">
        <v>1.21</v>
      </c>
      <c r="AP1225">
        <v>11</v>
      </c>
      <c r="AQ1225">
        <v>0</v>
      </c>
      <c r="AR1225">
        <v>4.78</v>
      </c>
      <c r="AS1225">
        <v>55</v>
      </c>
      <c r="AT1225">
        <v>2.2000000000000002</v>
      </c>
      <c r="AU1225">
        <v>80</v>
      </c>
      <c r="AV1225">
        <v>-3.31</v>
      </c>
      <c r="AW1225">
        <v>56</v>
      </c>
      <c r="AX1225">
        <v>0.33</v>
      </c>
      <c r="AY1225">
        <v>40</v>
      </c>
      <c r="AZ1225">
        <v>7.39</v>
      </c>
      <c r="BA1225">
        <v>32</v>
      </c>
      <c r="BB1225">
        <v>6.34</v>
      </c>
      <c r="BC1225">
        <v>32</v>
      </c>
      <c r="BD1225">
        <v>-0.02</v>
      </c>
      <c r="BE1225">
        <v>-0.03</v>
      </c>
      <c r="BF1225">
        <v>-0.04</v>
      </c>
      <c r="BG1225">
        <v>74</v>
      </c>
      <c r="BH1225">
        <v>0.08</v>
      </c>
      <c r="BI1225">
        <v>-7.94</v>
      </c>
      <c r="BJ1225">
        <v>0</v>
      </c>
      <c r="BK1225">
        <v>0</v>
      </c>
      <c r="BL1225">
        <v>0.77</v>
      </c>
      <c r="BM1225">
        <v>-2.29</v>
      </c>
      <c r="BN1225">
        <v>-0.9</v>
      </c>
      <c r="BO1225">
        <v>1.33</v>
      </c>
      <c r="BP1225">
        <v>-0.87</v>
      </c>
      <c r="BQ1225">
        <v>-0.08</v>
      </c>
      <c r="BR1225">
        <v>-1.91</v>
      </c>
      <c r="BS1225">
        <v>1.08</v>
      </c>
      <c r="BT1225">
        <v>0.96</v>
      </c>
      <c r="BU1225">
        <v>1.99</v>
      </c>
      <c r="BV1225">
        <v>3.27</v>
      </c>
      <c r="BW1225">
        <v>2.1</v>
      </c>
      <c r="BX1225">
        <v>1.4</v>
      </c>
      <c r="BY1225">
        <v>1.53</v>
      </c>
      <c r="BZ1225">
        <v>2.96</v>
      </c>
      <c r="CA1225">
        <v>2.25</v>
      </c>
      <c r="CB1225">
        <v>1.77</v>
      </c>
      <c r="CC1225">
        <v>1.26</v>
      </c>
      <c r="CD1225">
        <v>-1.22</v>
      </c>
      <c r="CE1225">
        <v>0.47</v>
      </c>
      <c r="CF1225">
        <v>0.51</v>
      </c>
      <c r="CG1225">
        <v>0</v>
      </c>
      <c r="CH1225">
        <v>-0.01</v>
      </c>
      <c r="CI1225">
        <v>0</v>
      </c>
      <c r="CJ1225">
        <v>-7.8</v>
      </c>
      <c r="CK1225">
        <v>35</v>
      </c>
      <c r="CL1225">
        <v>-1.41</v>
      </c>
      <c r="CM1225">
        <v>35</v>
      </c>
      <c r="CN1225">
        <v>-0.96</v>
      </c>
      <c r="CO1225">
        <v>35</v>
      </c>
      <c r="CP1225">
        <v>-0.8</v>
      </c>
      <c r="CQ1225">
        <v>34</v>
      </c>
      <c r="CR1225">
        <v>0</v>
      </c>
      <c r="CS1225">
        <v>0</v>
      </c>
      <c r="CT1225">
        <v>23.3</v>
      </c>
      <c r="CU1225">
        <v>34</v>
      </c>
      <c r="CV1225">
        <v>0.19</v>
      </c>
      <c r="CW1225">
        <v>32</v>
      </c>
      <c r="CX1225" t="s">
        <v>2004</v>
      </c>
    </row>
    <row r="1226" spans="1:102" x14ac:dyDescent="0.3">
      <c r="A1226" t="str">
        <f>HYPERLINK("https://webapp.icbf.com/v2/app/bull-search/view/1417505588","S3132")</f>
        <v>S3132</v>
      </c>
      <c r="B1226" t="s">
        <v>6256</v>
      </c>
      <c r="C1226" t="s">
        <v>6257</v>
      </c>
      <c r="D1226" s="1">
        <v>42069</v>
      </c>
      <c r="E1226" t="s">
        <v>92</v>
      </c>
      <c r="F1226">
        <v>100</v>
      </c>
      <c r="G1226" t="s">
        <v>109</v>
      </c>
      <c r="H1226">
        <v>126.49</v>
      </c>
      <c r="I1226">
        <v>71</v>
      </c>
      <c r="J1226">
        <v>95.91</v>
      </c>
      <c r="K1226">
        <v>91</v>
      </c>
      <c r="L1226">
        <v>-41.08</v>
      </c>
      <c r="M1226">
        <v>72</v>
      </c>
      <c r="N1226">
        <v>58.41</v>
      </c>
      <c r="O1226">
        <v>58</v>
      </c>
      <c r="P1226">
        <v>5.28</v>
      </c>
      <c r="Q1226">
        <v>42</v>
      </c>
      <c r="R1226">
        <v>11.03</v>
      </c>
      <c r="S1226">
        <v>67</v>
      </c>
      <c r="T1226">
        <v>-5.04</v>
      </c>
      <c r="U1226">
        <v>36</v>
      </c>
      <c r="V1226">
        <v>1.98</v>
      </c>
      <c r="W1226">
        <v>53</v>
      </c>
      <c r="X1226" t="s">
        <v>110</v>
      </c>
      <c r="Y1226" t="s">
        <v>457</v>
      </c>
      <c r="Z1226" t="s">
        <v>96</v>
      </c>
      <c r="AA1226" t="s">
        <v>2272</v>
      </c>
      <c r="AB1226" t="s">
        <v>6258</v>
      </c>
      <c r="AC1226">
        <v>0</v>
      </c>
      <c r="AD1226">
        <v>0</v>
      </c>
      <c r="AE1226">
        <v>91</v>
      </c>
      <c r="AF1226">
        <v>827.32</v>
      </c>
      <c r="AG1226">
        <v>21.27</v>
      </c>
      <c r="AH1226">
        <v>21.45</v>
      </c>
      <c r="AI1226">
        <v>-0.17</v>
      </c>
      <c r="AJ1226">
        <v>-0.1</v>
      </c>
      <c r="AK1226">
        <v>72</v>
      </c>
      <c r="AL1226">
        <v>0</v>
      </c>
      <c r="AM1226">
        <v>0</v>
      </c>
      <c r="AN1226">
        <v>4.26</v>
      </c>
      <c r="AO1226">
        <v>1.01</v>
      </c>
      <c r="AP1226">
        <v>2</v>
      </c>
      <c r="AQ1226">
        <v>0</v>
      </c>
      <c r="AR1226">
        <v>4.8600000000000003</v>
      </c>
      <c r="AS1226">
        <v>58</v>
      </c>
      <c r="AT1226">
        <v>2.09</v>
      </c>
      <c r="AU1226">
        <v>87</v>
      </c>
      <c r="AV1226">
        <v>-5.1100000000000003</v>
      </c>
      <c r="AW1226">
        <v>53</v>
      </c>
      <c r="AX1226">
        <v>-0.16</v>
      </c>
      <c r="AY1226">
        <v>45</v>
      </c>
      <c r="AZ1226">
        <v>5.57</v>
      </c>
      <c r="BA1226">
        <v>39</v>
      </c>
      <c r="BB1226">
        <v>4.55</v>
      </c>
      <c r="BC1226">
        <v>33</v>
      </c>
      <c r="BD1226">
        <v>-0.04</v>
      </c>
      <c r="BE1226">
        <v>-0.03</v>
      </c>
      <c r="BF1226">
        <v>-0.13</v>
      </c>
      <c r="BG1226">
        <v>84</v>
      </c>
      <c r="BH1226">
        <v>-0.04</v>
      </c>
      <c r="BI1226">
        <v>-11</v>
      </c>
      <c r="BJ1226">
        <v>0</v>
      </c>
      <c r="BK1226">
        <v>0</v>
      </c>
      <c r="BL1226">
        <v>0.52</v>
      </c>
      <c r="BM1226">
        <v>0.31</v>
      </c>
      <c r="BN1226">
        <v>1.02</v>
      </c>
      <c r="BO1226">
        <v>1.05</v>
      </c>
      <c r="BP1226">
        <v>-2.21</v>
      </c>
      <c r="BQ1226">
        <v>1.52</v>
      </c>
      <c r="BR1226">
        <v>-0.83</v>
      </c>
      <c r="BS1226">
        <v>2.93</v>
      </c>
      <c r="BT1226">
        <v>1.99</v>
      </c>
      <c r="BU1226">
        <v>3.49</v>
      </c>
      <c r="BV1226">
        <v>3.82</v>
      </c>
      <c r="BW1226">
        <v>2.19</v>
      </c>
      <c r="BX1226">
        <v>1.94</v>
      </c>
      <c r="BY1226">
        <v>2</v>
      </c>
      <c r="BZ1226">
        <v>-0.18</v>
      </c>
      <c r="CA1226">
        <v>3.49</v>
      </c>
      <c r="CB1226">
        <v>3.27</v>
      </c>
      <c r="CC1226">
        <v>2.4500000000000002</v>
      </c>
      <c r="CD1226">
        <v>-0.57999999999999996</v>
      </c>
      <c r="CE1226">
        <v>1.1000000000000001</v>
      </c>
      <c r="CF1226">
        <v>1.18</v>
      </c>
      <c r="CG1226">
        <v>0</v>
      </c>
      <c r="CH1226">
        <v>2.4700000000000002</v>
      </c>
      <c r="CI1226">
        <v>0</v>
      </c>
      <c r="CJ1226">
        <v>4.2</v>
      </c>
      <c r="CK1226">
        <v>43</v>
      </c>
      <c r="CL1226">
        <v>-1.07</v>
      </c>
      <c r="CM1226">
        <v>42</v>
      </c>
      <c r="CN1226">
        <v>-0.8</v>
      </c>
      <c r="CO1226">
        <v>42</v>
      </c>
      <c r="CP1226">
        <v>7.7</v>
      </c>
      <c r="CQ1226">
        <v>37</v>
      </c>
      <c r="CR1226">
        <v>0</v>
      </c>
      <c r="CS1226">
        <v>0</v>
      </c>
      <c r="CT1226">
        <v>20.6</v>
      </c>
      <c r="CU1226">
        <v>36</v>
      </c>
      <c r="CV1226">
        <v>0.21</v>
      </c>
      <c r="CW1226">
        <v>34</v>
      </c>
      <c r="CX1226" t="s">
        <v>1894</v>
      </c>
    </row>
    <row r="1227" spans="1:102" x14ac:dyDescent="0.3">
      <c r="A1227" t="str">
        <f>HYPERLINK("https://webapp.icbf.com/v2/app/bull-search/view/159192983","BCX")</f>
        <v>BCX</v>
      </c>
      <c r="B1227" t="s">
        <v>2405</v>
      </c>
      <c r="C1227" t="s">
        <v>2406</v>
      </c>
      <c r="D1227" s="1">
        <v>32721</v>
      </c>
      <c r="E1227" t="s">
        <v>210</v>
      </c>
      <c r="F1227">
        <v>0</v>
      </c>
      <c r="G1227" t="s">
        <v>93</v>
      </c>
      <c r="H1227">
        <v>126.47</v>
      </c>
      <c r="I1227">
        <v>87</v>
      </c>
      <c r="J1227">
        <v>-3.16</v>
      </c>
      <c r="K1227">
        <v>97</v>
      </c>
      <c r="L1227">
        <v>78.52</v>
      </c>
      <c r="M1227">
        <v>75</v>
      </c>
      <c r="N1227">
        <v>37.03</v>
      </c>
      <c r="O1227">
        <v>90</v>
      </c>
      <c r="P1227">
        <v>-3.1</v>
      </c>
      <c r="Q1227">
        <v>95</v>
      </c>
      <c r="R1227">
        <v>10.95</v>
      </c>
      <c r="S1227">
        <v>79</v>
      </c>
      <c r="T1227">
        <v>12.86</v>
      </c>
      <c r="U1227">
        <v>93</v>
      </c>
      <c r="V1227">
        <v>-6.63</v>
      </c>
      <c r="W1227">
        <v>87</v>
      </c>
      <c r="X1227" t="s">
        <v>251</v>
      </c>
      <c r="Y1227" t="s">
        <v>95</v>
      </c>
      <c r="Z1227">
        <v>0</v>
      </c>
      <c r="AA1227" t="s">
        <v>2407</v>
      </c>
      <c r="AB1227" t="s">
        <v>144</v>
      </c>
      <c r="AC1227">
        <v>165</v>
      </c>
      <c r="AD1227">
        <v>46</v>
      </c>
      <c r="AE1227">
        <v>97</v>
      </c>
      <c r="AF1227">
        <v>-273.39999999999998</v>
      </c>
      <c r="AG1227">
        <v>-3.03</v>
      </c>
      <c r="AH1227">
        <v>-3.65</v>
      </c>
      <c r="AI1227">
        <v>0.13</v>
      </c>
      <c r="AJ1227">
        <v>0.1</v>
      </c>
      <c r="AK1227">
        <v>75</v>
      </c>
      <c r="AL1227">
        <v>173</v>
      </c>
      <c r="AM1227">
        <v>51</v>
      </c>
      <c r="AN1227">
        <v>-3.62</v>
      </c>
      <c r="AO1227">
        <v>2.65</v>
      </c>
      <c r="AP1227">
        <v>289</v>
      </c>
      <c r="AQ1227">
        <v>4</v>
      </c>
      <c r="AR1227">
        <v>3.48</v>
      </c>
      <c r="AS1227">
        <v>86</v>
      </c>
      <c r="AT1227">
        <v>1.64</v>
      </c>
      <c r="AU1227">
        <v>88</v>
      </c>
      <c r="AV1227">
        <v>-3.04</v>
      </c>
      <c r="AW1227">
        <v>97</v>
      </c>
      <c r="AX1227">
        <v>0.53</v>
      </c>
      <c r="AY1227">
        <v>88</v>
      </c>
      <c r="AZ1227">
        <v>6.98</v>
      </c>
      <c r="BA1227">
        <v>72</v>
      </c>
      <c r="BB1227">
        <v>5.76</v>
      </c>
      <c r="BC1227">
        <v>77</v>
      </c>
      <c r="BD1227">
        <v>-0.04</v>
      </c>
      <c r="BE1227">
        <v>-0.05</v>
      </c>
      <c r="BF1227">
        <v>-0.09</v>
      </c>
      <c r="BG1227">
        <v>89</v>
      </c>
      <c r="BH1227">
        <v>0.01</v>
      </c>
      <c r="BI1227">
        <v>22.54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-2.4</v>
      </c>
      <c r="CK1227">
        <v>96</v>
      </c>
      <c r="CL1227">
        <v>-0.11</v>
      </c>
      <c r="CM1227">
        <v>95</v>
      </c>
      <c r="CN1227">
        <v>-0.17</v>
      </c>
      <c r="CO1227">
        <v>94</v>
      </c>
      <c r="CP1227">
        <v>-4.3</v>
      </c>
      <c r="CQ1227">
        <v>93</v>
      </c>
      <c r="CR1227">
        <v>0</v>
      </c>
      <c r="CS1227">
        <v>0</v>
      </c>
      <c r="CT1227">
        <v>-3.6</v>
      </c>
      <c r="CU1227">
        <v>93</v>
      </c>
      <c r="CV1227">
        <v>-7.0000000000000007E-2</v>
      </c>
      <c r="CW1227">
        <v>45</v>
      </c>
      <c r="CX1227">
        <v>0</v>
      </c>
    </row>
    <row r="1228" spans="1:102" x14ac:dyDescent="0.3">
      <c r="A1228" t="str">
        <f>HYPERLINK("https://webapp.icbf.com/v2/app/bull-search/view/910796852","TAJ")</f>
        <v>TAJ</v>
      </c>
      <c r="B1228" t="s">
        <v>9172</v>
      </c>
      <c r="C1228" t="s">
        <v>9173</v>
      </c>
      <c r="D1228" s="1">
        <v>40387</v>
      </c>
      <c r="E1228" t="s">
        <v>227</v>
      </c>
      <c r="F1228">
        <v>3</v>
      </c>
      <c r="G1228" t="s">
        <v>93</v>
      </c>
      <c r="H1228">
        <v>126.23</v>
      </c>
      <c r="I1228">
        <v>89</v>
      </c>
      <c r="J1228">
        <v>68.819999999999993</v>
      </c>
      <c r="K1228">
        <v>98</v>
      </c>
      <c r="L1228">
        <v>30.95</v>
      </c>
      <c r="M1228">
        <v>82</v>
      </c>
      <c r="N1228">
        <v>26.28</v>
      </c>
      <c r="O1228">
        <v>89</v>
      </c>
      <c r="P1228">
        <v>-50.5</v>
      </c>
      <c r="Q1228">
        <v>92</v>
      </c>
      <c r="R1228">
        <v>5.65</v>
      </c>
      <c r="S1228">
        <v>79</v>
      </c>
      <c r="T1228">
        <v>39.5</v>
      </c>
      <c r="U1228">
        <v>92</v>
      </c>
      <c r="V1228">
        <v>5.53</v>
      </c>
      <c r="W1228">
        <v>75</v>
      </c>
      <c r="X1228" t="s">
        <v>276</v>
      </c>
      <c r="Y1228" t="s">
        <v>422</v>
      </c>
      <c r="Z1228">
        <v>0</v>
      </c>
      <c r="AA1228" t="s">
        <v>9174</v>
      </c>
      <c r="AB1228" t="s">
        <v>9175</v>
      </c>
      <c r="AC1228">
        <v>155</v>
      </c>
      <c r="AD1228">
        <v>60</v>
      </c>
      <c r="AE1228">
        <v>98</v>
      </c>
      <c r="AF1228">
        <v>-53.41</v>
      </c>
      <c r="AG1228">
        <v>12.12</v>
      </c>
      <c r="AH1228">
        <v>6.6</v>
      </c>
      <c r="AI1228">
        <v>0.25</v>
      </c>
      <c r="AJ1228">
        <v>0.15</v>
      </c>
      <c r="AK1228">
        <v>82</v>
      </c>
      <c r="AL1228">
        <v>184</v>
      </c>
      <c r="AM1228">
        <v>64</v>
      </c>
      <c r="AN1228">
        <v>-0.76</v>
      </c>
      <c r="AO1228">
        <v>1.72</v>
      </c>
      <c r="AP1228">
        <v>316</v>
      </c>
      <c r="AQ1228">
        <v>0</v>
      </c>
      <c r="AR1228">
        <v>3.58</v>
      </c>
      <c r="AS1228">
        <v>85</v>
      </c>
      <c r="AT1228">
        <v>1.66</v>
      </c>
      <c r="AU1228">
        <v>89</v>
      </c>
      <c r="AV1228">
        <v>-2.1800000000000002</v>
      </c>
      <c r="AW1228">
        <v>98</v>
      </c>
      <c r="AX1228">
        <v>1.78</v>
      </c>
      <c r="AY1228">
        <v>86</v>
      </c>
      <c r="AZ1228">
        <v>7.19</v>
      </c>
      <c r="BA1228">
        <v>72</v>
      </c>
      <c r="BB1228">
        <v>5.77</v>
      </c>
      <c r="BC1228">
        <v>69</v>
      </c>
      <c r="BD1228">
        <v>-0.06</v>
      </c>
      <c r="BE1228">
        <v>0</v>
      </c>
      <c r="BF1228">
        <v>-0.03</v>
      </c>
      <c r="BG1228">
        <v>91</v>
      </c>
      <c r="BH1228">
        <v>0.18</v>
      </c>
      <c r="BI1228">
        <v>2.98</v>
      </c>
      <c r="BJ1228">
        <v>3</v>
      </c>
      <c r="BK1228">
        <v>2</v>
      </c>
      <c r="BL1228">
        <v>-2.71</v>
      </c>
      <c r="BM1228">
        <v>-1.1100000000000001</v>
      </c>
      <c r="BN1228">
        <v>-0.26</v>
      </c>
      <c r="BO1228">
        <v>0.72</v>
      </c>
      <c r="BP1228">
        <v>-1.48</v>
      </c>
      <c r="BQ1228">
        <v>-5.05</v>
      </c>
      <c r="BR1228">
        <v>2.66</v>
      </c>
      <c r="BS1228">
        <v>4.9800000000000004</v>
      </c>
      <c r="BT1228">
        <v>-1.74</v>
      </c>
      <c r="BU1228">
        <v>0.06</v>
      </c>
      <c r="BV1228">
        <v>0.65</v>
      </c>
      <c r="BW1228">
        <v>-1.33</v>
      </c>
      <c r="BX1228">
        <v>-2.63</v>
      </c>
      <c r="BY1228">
        <v>0.17</v>
      </c>
      <c r="BZ1228">
        <v>-0.94</v>
      </c>
      <c r="CA1228">
        <v>1.56</v>
      </c>
      <c r="CB1228">
        <v>0.26</v>
      </c>
      <c r="CC1228">
        <v>3.58</v>
      </c>
      <c r="CD1228">
        <v>-1.61</v>
      </c>
      <c r="CE1228">
        <v>0.34</v>
      </c>
      <c r="CF1228">
        <v>-2.79</v>
      </c>
      <c r="CG1228">
        <v>0</v>
      </c>
      <c r="CH1228">
        <v>1.04</v>
      </c>
      <c r="CI1228">
        <v>0</v>
      </c>
      <c r="CJ1228">
        <v>-26.3</v>
      </c>
      <c r="CK1228">
        <v>93</v>
      </c>
      <c r="CL1228">
        <v>-1</v>
      </c>
      <c r="CM1228">
        <v>91</v>
      </c>
      <c r="CN1228">
        <v>-0.16</v>
      </c>
      <c r="CO1228">
        <v>90</v>
      </c>
      <c r="CP1228">
        <v>-38.4</v>
      </c>
      <c r="CQ1228">
        <v>86</v>
      </c>
      <c r="CR1228">
        <v>0</v>
      </c>
      <c r="CS1228">
        <v>0</v>
      </c>
      <c r="CT1228">
        <v>-39.6</v>
      </c>
      <c r="CU1228">
        <v>92</v>
      </c>
      <c r="CV1228">
        <v>-0.22</v>
      </c>
      <c r="CW1228">
        <v>45</v>
      </c>
      <c r="CX1228" t="s">
        <v>9176</v>
      </c>
    </row>
    <row r="1229" spans="1:102" x14ac:dyDescent="0.3">
      <c r="A1229" t="str">
        <f>HYPERLINK("https://webapp.icbf.com/v2/app/bull-search/view/69092221","MEJ")</f>
        <v>MEJ</v>
      </c>
      <c r="B1229" t="s">
        <v>512</v>
      </c>
      <c r="C1229" t="s">
        <v>513</v>
      </c>
      <c r="D1229" s="1">
        <v>34960</v>
      </c>
      <c r="E1229" t="s">
        <v>227</v>
      </c>
      <c r="F1229">
        <v>0</v>
      </c>
      <c r="G1229" t="s">
        <v>93</v>
      </c>
      <c r="H1229">
        <v>126.18</v>
      </c>
      <c r="I1229">
        <v>88</v>
      </c>
      <c r="J1229">
        <v>26.82</v>
      </c>
      <c r="K1229">
        <v>96</v>
      </c>
      <c r="L1229">
        <v>55.9</v>
      </c>
      <c r="M1229">
        <v>85</v>
      </c>
      <c r="N1229">
        <v>20.07</v>
      </c>
      <c r="O1229">
        <v>81</v>
      </c>
      <c r="P1229">
        <v>-59.41</v>
      </c>
      <c r="Q1229">
        <v>89</v>
      </c>
      <c r="R1229">
        <v>8.86</v>
      </c>
      <c r="S1229">
        <v>78</v>
      </c>
      <c r="T1229">
        <v>66</v>
      </c>
      <c r="U1229">
        <v>90</v>
      </c>
      <c r="V1229">
        <v>7.94</v>
      </c>
      <c r="W1229">
        <v>76</v>
      </c>
      <c r="X1229" t="s">
        <v>302</v>
      </c>
      <c r="Y1229" t="s">
        <v>95</v>
      </c>
      <c r="Z1229">
        <v>0</v>
      </c>
      <c r="AA1229" t="s">
        <v>514</v>
      </c>
      <c r="AB1229" t="s">
        <v>515</v>
      </c>
      <c r="AC1229">
        <v>127</v>
      </c>
      <c r="AD1229">
        <v>43</v>
      </c>
      <c r="AE1229">
        <v>96</v>
      </c>
      <c r="AF1229">
        <v>-408.44</v>
      </c>
      <c r="AG1229">
        <v>7.69</v>
      </c>
      <c r="AH1229">
        <v>-4.41</v>
      </c>
      <c r="AI1229">
        <v>0.42</v>
      </c>
      <c r="AJ1229">
        <v>0.17</v>
      </c>
      <c r="AK1229">
        <v>85</v>
      </c>
      <c r="AL1229">
        <v>137</v>
      </c>
      <c r="AM1229">
        <v>40</v>
      </c>
      <c r="AN1229">
        <v>-2.09</v>
      </c>
      <c r="AO1229">
        <v>2.38</v>
      </c>
      <c r="AP1229">
        <v>91</v>
      </c>
      <c r="AQ1229">
        <v>2</v>
      </c>
      <c r="AR1229">
        <v>2.12</v>
      </c>
      <c r="AS1229">
        <v>79</v>
      </c>
      <c r="AT1229">
        <v>1.33</v>
      </c>
      <c r="AU1229">
        <v>74</v>
      </c>
      <c r="AV1229">
        <v>-0.01</v>
      </c>
      <c r="AW1229">
        <v>91</v>
      </c>
      <c r="AX1229">
        <v>0.33</v>
      </c>
      <c r="AY1229">
        <v>82</v>
      </c>
      <c r="AZ1229">
        <v>6.51</v>
      </c>
      <c r="BA1229">
        <v>59</v>
      </c>
      <c r="BB1229">
        <v>5.32</v>
      </c>
      <c r="BC1229">
        <v>68</v>
      </c>
      <c r="BD1229">
        <v>-0.1</v>
      </c>
      <c r="BE1229">
        <v>-0.03</v>
      </c>
      <c r="BF1229">
        <v>0.02</v>
      </c>
      <c r="BG1229">
        <v>88</v>
      </c>
      <c r="BH1229">
        <v>0.21</v>
      </c>
      <c r="BI1229">
        <v>-1.32</v>
      </c>
      <c r="BJ1229">
        <v>0</v>
      </c>
      <c r="BK1229">
        <v>0</v>
      </c>
      <c r="BL1229">
        <v>-3.76</v>
      </c>
      <c r="BM1229">
        <v>-1.77</v>
      </c>
      <c r="BN1229">
        <v>-1.34</v>
      </c>
      <c r="BO1229">
        <v>0.43</v>
      </c>
      <c r="BP1229">
        <v>-0.7</v>
      </c>
      <c r="BQ1229">
        <v>-6.68</v>
      </c>
      <c r="BR1229">
        <v>2.94</v>
      </c>
      <c r="BS1229">
        <v>5.54</v>
      </c>
      <c r="BT1229">
        <v>-2.19</v>
      </c>
      <c r="BU1229">
        <v>-1.9</v>
      </c>
      <c r="BV1229">
        <v>-0.85</v>
      </c>
      <c r="BW1229">
        <v>-3.06</v>
      </c>
      <c r="BX1229">
        <v>-5.23</v>
      </c>
      <c r="BY1229">
        <v>-0.33</v>
      </c>
      <c r="BZ1229">
        <v>-1.66</v>
      </c>
      <c r="CA1229">
        <v>0.2</v>
      </c>
      <c r="CB1229">
        <v>-1.07</v>
      </c>
      <c r="CC1229">
        <v>2.77</v>
      </c>
      <c r="CD1229">
        <v>-1.18</v>
      </c>
      <c r="CE1229">
        <v>-0.26</v>
      </c>
      <c r="CF1229">
        <v>-4.3899999999999997</v>
      </c>
      <c r="CG1229">
        <v>0</v>
      </c>
      <c r="CH1229">
        <v>-1.1100000000000001</v>
      </c>
      <c r="CI1229">
        <v>0</v>
      </c>
      <c r="CJ1229">
        <v>-31.1</v>
      </c>
      <c r="CK1229">
        <v>90</v>
      </c>
      <c r="CL1229">
        <v>-0.89</v>
      </c>
      <c r="CM1229">
        <v>88</v>
      </c>
      <c r="CN1229">
        <v>0.05</v>
      </c>
      <c r="CO1229">
        <v>86</v>
      </c>
      <c r="CP1229">
        <v>-44.8</v>
      </c>
      <c r="CQ1229">
        <v>92</v>
      </c>
      <c r="CR1229">
        <v>0</v>
      </c>
      <c r="CS1229">
        <v>0</v>
      </c>
      <c r="CT1229">
        <v>-75.400000000000006</v>
      </c>
      <c r="CU1229">
        <v>90</v>
      </c>
      <c r="CV1229">
        <v>-0.39</v>
      </c>
      <c r="CW1229">
        <v>26</v>
      </c>
      <c r="CX1229" t="s">
        <v>516</v>
      </c>
    </row>
    <row r="1230" spans="1:102" x14ac:dyDescent="0.3">
      <c r="A1230" t="str">
        <f>HYPERLINK("https://webapp.icbf.com/v2/app/bull-search/view/1231248535","FR4594")</f>
        <v>FR4594</v>
      </c>
      <c r="B1230" t="s">
        <v>7695</v>
      </c>
      <c r="C1230" t="s">
        <v>7696</v>
      </c>
      <c r="D1230" s="1">
        <v>41357</v>
      </c>
      <c r="E1230" t="s">
        <v>92</v>
      </c>
      <c r="F1230">
        <v>100</v>
      </c>
      <c r="G1230" t="s">
        <v>109</v>
      </c>
      <c r="H1230">
        <v>126</v>
      </c>
      <c r="I1230">
        <v>73</v>
      </c>
      <c r="J1230">
        <v>55.77</v>
      </c>
      <c r="K1230">
        <v>90</v>
      </c>
      <c r="L1230">
        <v>37.880000000000003</v>
      </c>
      <c r="M1230">
        <v>78</v>
      </c>
      <c r="N1230">
        <v>36.479999999999997</v>
      </c>
      <c r="O1230">
        <v>73</v>
      </c>
      <c r="P1230">
        <v>-6.45</v>
      </c>
      <c r="Q1230">
        <v>35</v>
      </c>
      <c r="R1230">
        <v>8.9600000000000009</v>
      </c>
      <c r="S1230">
        <v>66</v>
      </c>
      <c r="T1230">
        <v>-4.9000000000000004</v>
      </c>
      <c r="U1230">
        <v>34</v>
      </c>
      <c r="V1230">
        <v>-1.74</v>
      </c>
      <c r="W1230">
        <v>49</v>
      </c>
      <c r="X1230" t="s">
        <v>428</v>
      </c>
      <c r="Y1230" t="s">
        <v>442</v>
      </c>
      <c r="Z1230" t="s">
        <v>96</v>
      </c>
      <c r="AA1230" t="s">
        <v>7697</v>
      </c>
      <c r="AB1230" t="s">
        <v>7698</v>
      </c>
      <c r="AC1230">
        <v>0</v>
      </c>
      <c r="AD1230">
        <v>0</v>
      </c>
      <c r="AE1230">
        <v>90</v>
      </c>
      <c r="AF1230">
        <v>372.6</v>
      </c>
      <c r="AG1230">
        <v>12.94</v>
      </c>
      <c r="AH1230">
        <v>10.61</v>
      </c>
      <c r="AI1230">
        <v>-0.03</v>
      </c>
      <c r="AJ1230">
        <v>-0.03</v>
      </c>
      <c r="AK1230">
        <v>78</v>
      </c>
      <c r="AL1230">
        <v>0</v>
      </c>
      <c r="AM1230">
        <v>0</v>
      </c>
      <c r="AN1230">
        <v>0.17</v>
      </c>
      <c r="AO1230">
        <v>3.22</v>
      </c>
      <c r="AP1230">
        <v>62</v>
      </c>
      <c r="AQ1230">
        <v>0</v>
      </c>
      <c r="AR1230">
        <v>5.72</v>
      </c>
      <c r="AS1230">
        <v>57</v>
      </c>
      <c r="AT1230">
        <v>2.79</v>
      </c>
      <c r="AU1230">
        <v>90</v>
      </c>
      <c r="AV1230">
        <v>-3.88</v>
      </c>
      <c r="AW1230">
        <v>86</v>
      </c>
      <c r="AX1230">
        <v>-0.47</v>
      </c>
      <c r="AY1230">
        <v>65</v>
      </c>
      <c r="AZ1230">
        <v>6.88</v>
      </c>
      <c r="BA1230">
        <v>28</v>
      </c>
      <c r="BB1230">
        <v>5.44</v>
      </c>
      <c r="BC1230">
        <v>30</v>
      </c>
      <c r="BD1230">
        <v>0</v>
      </c>
      <c r="BE1230">
        <v>-0.04</v>
      </c>
      <c r="BF1230">
        <v>-0.13</v>
      </c>
      <c r="BG1230">
        <v>86</v>
      </c>
      <c r="BH1230">
        <v>0.05</v>
      </c>
      <c r="BI1230">
        <v>11.41</v>
      </c>
      <c r="BJ1230">
        <v>0</v>
      </c>
      <c r="BK1230">
        <v>0</v>
      </c>
      <c r="BL1230">
        <v>1.68</v>
      </c>
      <c r="BM1230">
        <v>1.0900000000000001</v>
      </c>
      <c r="BN1230">
        <v>2.37</v>
      </c>
      <c r="BO1230">
        <v>1.6</v>
      </c>
      <c r="BP1230">
        <v>1.28</v>
      </c>
      <c r="BQ1230">
        <v>2.4</v>
      </c>
      <c r="BR1230">
        <v>0.74</v>
      </c>
      <c r="BS1230">
        <v>2.13</v>
      </c>
      <c r="BT1230">
        <v>0.88</v>
      </c>
      <c r="BU1230">
        <v>2.75</v>
      </c>
      <c r="BV1230">
        <v>2.42</v>
      </c>
      <c r="BW1230">
        <v>2.25</v>
      </c>
      <c r="BX1230">
        <v>1.81</v>
      </c>
      <c r="BY1230">
        <v>1.38</v>
      </c>
      <c r="BZ1230">
        <v>-1.25</v>
      </c>
      <c r="CA1230">
        <v>2.84</v>
      </c>
      <c r="CB1230">
        <v>2.54</v>
      </c>
      <c r="CC1230">
        <v>2.34</v>
      </c>
      <c r="CD1230">
        <v>-0.87</v>
      </c>
      <c r="CE1230">
        <v>0.56000000000000005</v>
      </c>
      <c r="CF1230">
        <v>1.51</v>
      </c>
      <c r="CG1230">
        <v>0</v>
      </c>
      <c r="CH1230">
        <v>1.81</v>
      </c>
      <c r="CI1230">
        <v>0</v>
      </c>
      <c r="CJ1230">
        <v>0.4</v>
      </c>
      <c r="CK1230">
        <v>35</v>
      </c>
      <c r="CL1230">
        <v>-1.41</v>
      </c>
      <c r="CM1230">
        <v>35</v>
      </c>
      <c r="CN1230">
        <v>-0.61</v>
      </c>
      <c r="CO1230">
        <v>35</v>
      </c>
      <c r="CP1230">
        <v>2.7</v>
      </c>
      <c r="CQ1230">
        <v>34</v>
      </c>
      <c r="CR1230">
        <v>0</v>
      </c>
      <c r="CS1230">
        <v>0</v>
      </c>
      <c r="CT1230">
        <v>20.399999999999999</v>
      </c>
      <c r="CU1230">
        <v>34</v>
      </c>
      <c r="CV1230">
        <v>0.22</v>
      </c>
      <c r="CW1230">
        <v>32</v>
      </c>
      <c r="CX1230" t="s">
        <v>2693</v>
      </c>
    </row>
    <row r="1231" spans="1:102" x14ac:dyDescent="0.3">
      <c r="A1231" t="str">
        <f>HYPERLINK("https://webapp.icbf.com/v2/app/bull-search/view/935874441","EKF")</f>
        <v>EKF</v>
      </c>
      <c r="B1231" t="s">
        <v>13452</v>
      </c>
      <c r="C1231" t="s">
        <v>13453</v>
      </c>
      <c r="D1231" s="1">
        <v>40859</v>
      </c>
      <c r="E1231" t="s">
        <v>92</v>
      </c>
      <c r="F1231">
        <v>100</v>
      </c>
      <c r="G1231" t="s">
        <v>93</v>
      </c>
      <c r="H1231">
        <v>125.99</v>
      </c>
      <c r="I1231">
        <v>90</v>
      </c>
      <c r="J1231">
        <v>15.22</v>
      </c>
      <c r="K1231">
        <v>98</v>
      </c>
      <c r="L1231">
        <v>46.01</v>
      </c>
      <c r="M1231">
        <v>84</v>
      </c>
      <c r="N1231">
        <v>51.22</v>
      </c>
      <c r="O1231">
        <v>92</v>
      </c>
      <c r="P1231">
        <v>-10.93</v>
      </c>
      <c r="Q1231">
        <v>96</v>
      </c>
      <c r="R1231">
        <v>11.09</v>
      </c>
      <c r="S1231">
        <v>84</v>
      </c>
      <c r="T1231">
        <v>15.97</v>
      </c>
      <c r="U1231">
        <v>87</v>
      </c>
      <c r="V1231">
        <v>-2.59</v>
      </c>
      <c r="W1231">
        <v>76</v>
      </c>
      <c r="X1231" t="s">
        <v>94</v>
      </c>
      <c r="Y1231" t="s">
        <v>1976</v>
      </c>
      <c r="Z1231" t="s">
        <v>96</v>
      </c>
      <c r="AA1231" t="s">
        <v>12732</v>
      </c>
      <c r="AB1231" t="s">
        <v>13454</v>
      </c>
      <c r="AC1231">
        <v>313</v>
      </c>
      <c r="AD1231">
        <v>162</v>
      </c>
      <c r="AE1231">
        <v>98</v>
      </c>
      <c r="AF1231">
        <v>58.03</v>
      </c>
      <c r="AG1231">
        <v>4.5999999999999996</v>
      </c>
      <c r="AH1231">
        <v>1.85</v>
      </c>
      <c r="AI1231">
        <v>0.04</v>
      </c>
      <c r="AJ1231">
        <v>0</v>
      </c>
      <c r="AK1231">
        <v>84</v>
      </c>
      <c r="AL1231">
        <v>301</v>
      </c>
      <c r="AM1231">
        <v>172</v>
      </c>
      <c r="AN1231">
        <v>-1.69</v>
      </c>
      <c r="AO1231">
        <v>1.99</v>
      </c>
      <c r="AP1231">
        <v>634</v>
      </c>
      <c r="AQ1231">
        <v>2</v>
      </c>
      <c r="AR1231">
        <v>4.4000000000000004</v>
      </c>
      <c r="AS1231">
        <v>93</v>
      </c>
      <c r="AT1231">
        <v>1.81</v>
      </c>
      <c r="AU1231">
        <v>93</v>
      </c>
      <c r="AV1231">
        <v>-4</v>
      </c>
      <c r="AW1231">
        <v>99</v>
      </c>
      <c r="AX1231">
        <v>-0.15</v>
      </c>
      <c r="AY1231">
        <v>92</v>
      </c>
      <c r="AZ1231">
        <v>6.22</v>
      </c>
      <c r="BA1231">
        <v>80</v>
      </c>
      <c r="BB1231">
        <v>4.54</v>
      </c>
      <c r="BC1231">
        <v>72</v>
      </c>
      <c r="BD1231">
        <v>-0.06</v>
      </c>
      <c r="BE1231">
        <v>-0.05</v>
      </c>
      <c r="BF1231">
        <v>-0.06</v>
      </c>
      <c r="BG1231">
        <v>94</v>
      </c>
      <c r="BH1231">
        <v>0.09</v>
      </c>
      <c r="BI1231">
        <v>18.760000000000002</v>
      </c>
      <c r="BJ1231">
        <v>62</v>
      </c>
      <c r="BK1231">
        <v>22</v>
      </c>
      <c r="BL1231">
        <v>0.42</v>
      </c>
      <c r="BM1231">
        <v>-1.82</v>
      </c>
      <c r="BN1231">
        <v>-1.92</v>
      </c>
      <c r="BO1231">
        <v>-0.48</v>
      </c>
      <c r="BP1231">
        <v>3.98</v>
      </c>
      <c r="BQ1231">
        <v>-0.86</v>
      </c>
      <c r="BR1231">
        <v>-0.1</v>
      </c>
      <c r="BS1231">
        <v>0.33</v>
      </c>
      <c r="BT1231">
        <v>-0.77</v>
      </c>
      <c r="BU1231">
        <v>-0.1</v>
      </c>
      <c r="BV1231">
        <v>-0.56999999999999995</v>
      </c>
      <c r="BW1231">
        <v>-0.01</v>
      </c>
      <c r="BX1231">
        <v>1.42</v>
      </c>
      <c r="BY1231">
        <v>0.93</v>
      </c>
      <c r="BZ1231">
        <v>-1.0900000000000001</v>
      </c>
      <c r="CA1231">
        <v>-0.37</v>
      </c>
      <c r="CB1231">
        <v>-0.28999999999999998</v>
      </c>
      <c r="CC1231">
        <v>-0.13</v>
      </c>
      <c r="CD1231">
        <v>-7.0000000000000007E-2</v>
      </c>
      <c r="CE1231">
        <v>-0.28000000000000003</v>
      </c>
      <c r="CF1231">
        <v>-0.59</v>
      </c>
      <c r="CG1231">
        <v>0</v>
      </c>
      <c r="CH1231">
        <v>1.45</v>
      </c>
      <c r="CI1231">
        <v>0</v>
      </c>
      <c r="CJ1231">
        <v>-3.8</v>
      </c>
      <c r="CK1231">
        <v>97</v>
      </c>
      <c r="CL1231">
        <v>-0.94</v>
      </c>
      <c r="CM1231">
        <v>96</v>
      </c>
      <c r="CN1231">
        <v>-0.37</v>
      </c>
      <c r="CO1231">
        <v>96</v>
      </c>
      <c r="CP1231">
        <v>-2.1</v>
      </c>
      <c r="CQ1231">
        <v>87</v>
      </c>
      <c r="CR1231">
        <v>0</v>
      </c>
      <c r="CS1231">
        <v>0</v>
      </c>
      <c r="CT1231">
        <v>-7.8</v>
      </c>
      <c r="CU1231">
        <v>87</v>
      </c>
      <c r="CV1231">
        <v>0.1</v>
      </c>
      <c r="CW1231">
        <v>46</v>
      </c>
      <c r="CX1231" t="s">
        <v>316</v>
      </c>
    </row>
    <row r="1232" spans="1:102" x14ac:dyDescent="0.3">
      <c r="A1232" t="str">
        <f>HYPERLINK("https://webapp.icbf.com/v2/app/bull-search/view/1143340741","FWE")</f>
        <v>FWE</v>
      </c>
      <c r="B1232" t="s">
        <v>15314</v>
      </c>
      <c r="C1232" t="s">
        <v>15315</v>
      </c>
      <c r="D1232" s="1">
        <v>41683</v>
      </c>
      <c r="E1232" t="s">
        <v>92</v>
      </c>
      <c r="F1232">
        <v>69</v>
      </c>
      <c r="G1232" t="s">
        <v>93</v>
      </c>
      <c r="H1232">
        <v>125.89</v>
      </c>
      <c r="I1232">
        <v>92</v>
      </c>
      <c r="J1232">
        <v>67.77</v>
      </c>
      <c r="K1232">
        <v>99</v>
      </c>
      <c r="L1232">
        <v>13.27</v>
      </c>
      <c r="M1232">
        <v>85</v>
      </c>
      <c r="N1232">
        <v>44.42</v>
      </c>
      <c r="O1232">
        <v>95</v>
      </c>
      <c r="P1232">
        <v>-18.690000000000001</v>
      </c>
      <c r="Q1232">
        <v>98</v>
      </c>
      <c r="R1232">
        <v>3.9</v>
      </c>
      <c r="S1232">
        <v>85</v>
      </c>
      <c r="T1232">
        <v>13.6</v>
      </c>
      <c r="U1232">
        <v>94</v>
      </c>
      <c r="V1232">
        <v>1.62</v>
      </c>
      <c r="W1232">
        <v>77</v>
      </c>
      <c r="X1232" t="s">
        <v>102</v>
      </c>
      <c r="Y1232" t="s">
        <v>389</v>
      </c>
      <c r="Z1232" t="s">
        <v>96</v>
      </c>
      <c r="AA1232" t="s">
        <v>9180</v>
      </c>
      <c r="AB1232" t="s">
        <v>15316</v>
      </c>
      <c r="AC1232">
        <v>976</v>
      </c>
      <c r="AD1232">
        <v>332</v>
      </c>
      <c r="AE1232">
        <v>99</v>
      </c>
      <c r="AF1232">
        <v>551.07000000000005</v>
      </c>
      <c r="AG1232">
        <v>12.27</v>
      </c>
      <c r="AH1232">
        <v>15.62</v>
      </c>
      <c r="AI1232">
        <v>-0.15</v>
      </c>
      <c r="AJ1232">
        <v>-0.05</v>
      </c>
      <c r="AK1232">
        <v>85</v>
      </c>
      <c r="AL1232">
        <v>930</v>
      </c>
      <c r="AM1232">
        <v>342</v>
      </c>
      <c r="AN1232">
        <v>-0.6</v>
      </c>
      <c r="AO1232">
        <v>0.46</v>
      </c>
      <c r="AP1232">
        <v>2385</v>
      </c>
      <c r="AQ1232">
        <v>33</v>
      </c>
      <c r="AR1232">
        <v>5.31</v>
      </c>
      <c r="AS1232">
        <v>95</v>
      </c>
      <c r="AT1232">
        <v>2.4500000000000002</v>
      </c>
      <c r="AU1232">
        <v>98</v>
      </c>
      <c r="AV1232">
        <v>-3.87</v>
      </c>
      <c r="AW1232">
        <v>99</v>
      </c>
      <c r="AX1232">
        <v>-0.61</v>
      </c>
      <c r="AY1232">
        <v>97</v>
      </c>
      <c r="AZ1232">
        <v>6.19</v>
      </c>
      <c r="BA1232">
        <v>92</v>
      </c>
      <c r="BB1232">
        <v>4.79</v>
      </c>
      <c r="BC1232">
        <v>80</v>
      </c>
      <c r="BD1232">
        <v>-0.01</v>
      </c>
      <c r="BE1232">
        <v>0.03</v>
      </c>
      <c r="BF1232">
        <v>-0.13</v>
      </c>
      <c r="BG1232">
        <v>97</v>
      </c>
      <c r="BH1232">
        <v>-0.03</v>
      </c>
      <c r="BI1232">
        <v>-8.68</v>
      </c>
      <c r="BJ1232">
        <v>15</v>
      </c>
      <c r="BK1232">
        <v>9</v>
      </c>
      <c r="BL1232">
        <v>-1.98</v>
      </c>
      <c r="BM1232">
        <v>-0.19</v>
      </c>
      <c r="BN1232">
        <v>-1.91</v>
      </c>
      <c r="BO1232">
        <v>-1.8</v>
      </c>
      <c r="BP1232">
        <v>1.07</v>
      </c>
      <c r="BQ1232">
        <v>-1.93</v>
      </c>
      <c r="BR1232">
        <v>-1.2</v>
      </c>
      <c r="BS1232">
        <v>-0.96</v>
      </c>
      <c r="BT1232">
        <v>-0.54</v>
      </c>
      <c r="BU1232">
        <v>-1.39</v>
      </c>
      <c r="BV1232">
        <v>-1.1100000000000001</v>
      </c>
      <c r="BW1232">
        <v>-2.23</v>
      </c>
      <c r="BX1232">
        <v>-1.99</v>
      </c>
      <c r="BY1232">
        <v>-1.1499999999999999</v>
      </c>
      <c r="BZ1232">
        <v>-0.59</v>
      </c>
      <c r="CA1232">
        <v>-1.53</v>
      </c>
      <c r="CB1232">
        <v>-1.7</v>
      </c>
      <c r="CC1232">
        <v>-0.53</v>
      </c>
      <c r="CD1232">
        <v>0.55000000000000004</v>
      </c>
      <c r="CE1232">
        <v>-1.23</v>
      </c>
      <c r="CF1232">
        <v>-2.09</v>
      </c>
      <c r="CG1232">
        <v>0</v>
      </c>
      <c r="CH1232">
        <v>-2.21</v>
      </c>
      <c r="CI1232">
        <v>0</v>
      </c>
      <c r="CJ1232">
        <v>-8.5</v>
      </c>
      <c r="CK1232">
        <v>99</v>
      </c>
      <c r="CL1232">
        <v>-0.61</v>
      </c>
      <c r="CM1232">
        <v>99</v>
      </c>
      <c r="CN1232">
        <v>-0.01</v>
      </c>
      <c r="CO1232">
        <v>99</v>
      </c>
      <c r="CP1232">
        <v>-5.2</v>
      </c>
      <c r="CQ1232">
        <v>89</v>
      </c>
      <c r="CR1232">
        <v>0</v>
      </c>
      <c r="CS1232">
        <v>0</v>
      </c>
      <c r="CT1232">
        <v>-4.5999999999999996</v>
      </c>
      <c r="CU1232">
        <v>94</v>
      </c>
      <c r="CV1232">
        <v>0.02</v>
      </c>
      <c r="CW1232">
        <v>47</v>
      </c>
      <c r="CX1232" t="s">
        <v>15317</v>
      </c>
    </row>
    <row r="1233" spans="1:102" x14ac:dyDescent="0.3">
      <c r="A1233" t="str">
        <f>HYPERLINK("https://webapp.icbf.com/v2/app/bull-search/view/1232642716","S2253")</f>
        <v>S2253</v>
      </c>
      <c r="B1233" t="s">
        <v>5962</v>
      </c>
      <c r="C1233" t="s">
        <v>5963</v>
      </c>
      <c r="D1233" s="1">
        <v>41520</v>
      </c>
      <c r="E1233" t="s">
        <v>92</v>
      </c>
      <c r="F1233">
        <v>100</v>
      </c>
      <c r="G1233" t="s">
        <v>109</v>
      </c>
      <c r="H1233">
        <v>125.79</v>
      </c>
      <c r="I1233">
        <v>66</v>
      </c>
      <c r="J1233">
        <v>53.17</v>
      </c>
      <c r="K1233">
        <v>78</v>
      </c>
      <c r="L1233">
        <v>33.020000000000003</v>
      </c>
      <c r="M1233">
        <v>74</v>
      </c>
      <c r="N1233">
        <v>33.090000000000003</v>
      </c>
      <c r="O1233">
        <v>60</v>
      </c>
      <c r="P1233">
        <v>1.85</v>
      </c>
      <c r="Q1233">
        <v>56</v>
      </c>
      <c r="R1233">
        <v>7.6</v>
      </c>
      <c r="S1233">
        <v>56</v>
      </c>
      <c r="T1233">
        <v>-3.34</v>
      </c>
      <c r="U1233">
        <v>34</v>
      </c>
      <c r="V1233">
        <v>0.4</v>
      </c>
      <c r="W1233">
        <v>11</v>
      </c>
      <c r="X1233" t="s">
        <v>251</v>
      </c>
      <c r="Y1233" t="s">
        <v>367</v>
      </c>
      <c r="Z1233" t="s">
        <v>96</v>
      </c>
      <c r="AA1233" t="s">
        <v>465</v>
      </c>
      <c r="AB1233" t="s">
        <v>5964</v>
      </c>
      <c r="AC1233">
        <v>0</v>
      </c>
      <c r="AD1233">
        <v>0</v>
      </c>
      <c r="AE1233">
        <v>78</v>
      </c>
      <c r="AF1233">
        <v>426.79</v>
      </c>
      <c r="AG1233">
        <v>12.14</v>
      </c>
      <c r="AH1233">
        <v>11.28</v>
      </c>
      <c r="AI1233">
        <v>-7.0000000000000007E-2</v>
      </c>
      <c r="AJ1233">
        <v>-0.05</v>
      </c>
      <c r="AK1233">
        <v>74</v>
      </c>
      <c r="AL1233">
        <v>0</v>
      </c>
      <c r="AM1233">
        <v>0</v>
      </c>
      <c r="AN1233">
        <v>-1.3</v>
      </c>
      <c r="AO1233">
        <v>1.34</v>
      </c>
      <c r="AP1233">
        <v>20</v>
      </c>
      <c r="AQ1233">
        <v>0</v>
      </c>
      <c r="AR1233">
        <v>7.69</v>
      </c>
      <c r="AS1233">
        <v>47</v>
      </c>
      <c r="AT1233">
        <v>3</v>
      </c>
      <c r="AU1233">
        <v>83</v>
      </c>
      <c r="AV1233">
        <v>-3.69</v>
      </c>
      <c r="AW1233">
        <v>69</v>
      </c>
      <c r="AX1233">
        <v>0.31</v>
      </c>
      <c r="AY1233">
        <v>51</v>
      </c>
      <c r="AZ1233">
        <v>5.74</v>
      </c>
      <c r="BA1233">
        <v>27</v>
      </c>
      <c r="BB1233">
        <v>4.42</v>
      </c>
      <c r="BC1233">
        <v>13</v>
      </c>
      <c r="BD1233">
        <v>-0.01</v>
      </c>
      <c r="BE1233">
        <v>-0.02</v>
      </c>
      <c r="BF1233">
        <v>-0.12</v>
      </c>
      <c r="BG1233">
        <v>86</v>
      </c>
      <c r="BH1233">
        <v>-0.03</v>
      </c>
      <c r="BI1233">
        <v>-4.75</v>
      </c>
      <c r="BJ1233">
        <v>6</v>
      </c>
      <c r="BK1233">
        <v>5</v>
      </c>
      <c r="BL1233">
        <v>0.72</v>
      </c>
      <c r="BM1233">
        <v>2.96</v>
      </c>
      <c r="BN1233">
        <v>1.04</v>
      </c>
      <c r="BO1233">
        <v>-0.12</v>
      </c>
      <c r="BP1233">
        <v>-2.5099999999999998</v>
      </c>
      <c r="BQ1233">
        <v>1.02</v>
      </c>
      <c r="BR1233">
        <v>0.82</v>
      </c>
      <c r="BS1233">
        <v>1.6</v>
      </c>
      <c r="BT1233">
        <v>-1.02</v>
      </c>
      <c r="BU1233">
        <v>3.26</v>
      </c>
      <c r="BV1233">
        <v>2.4</v>
      </c>
      <c r="BW1233">
        <v>1.1599999999999999</v>
      </c>
      <c r="BX1233">
        <v>2.4300000000000002</v>
      </c>
      <c r="BY1233">
        <v>1.25</v>
      </c>
      <c r="BZ1233">
        <v>-0.96</v>
      </c>
      <c r="CA1233">
        <v>2.65</v>
      </c>
      <c r="CB1233">
        <v>2.56</v>
      </c>
      <c r="CC1233">
        <v>1.54</v>
      </c>
      <c r="CD1233">
        <v>1.53</v>
      </c>
      <c r="CE1233">
        <v>1.07</v>
      </c>
      <c r="CF1233">
        <v>1.88</v>
      </c>
      <c r="CG1233">
        <v>0</v>
      </c>
      <c r="CH1233">
        <v>1.04</v>
      </c>
      <c r="CI1233">
        <v>0</v>
      </c>
      <c r="CJ1233">
        <v>5.5</v>
      </c>
      <c r="CK1233">
        <v>60</v>
      </c>
      <c r="CL1233">
        <v>-1.07</v>
      </c>
      <c r="CM1233">
        <v>56</v>
      </c>
      <c r="CN1233">
        <v>-0.4</v>
      </c>
      <c r="CO1233">
        <v>54</v>
      </c>
      <c r="CP1233">
        <v>4.0999999999999996</v>
      </c>
      <c r="CQ1233">
        <v>35</v>
      </c>
      <c r="CR1233">
        <v>0</v>
      </c>
      <c r="CS1233">
        <v>0</v>
      </c>
      <c r="CT1233">
        <v>18.3</v>
      </c>
      <c r="CU1233">
        <v>34</v>
      </c>
      <c r="CV1233">
        <v>0.47</v>
      </c>
      <c r="CW1233">
        <v>17</v>
      </c>
      <c r="CX1233" t="s">
        <v>1924</v>
      </c>
    </row>
    <row r="1234" spans="1:102" x14ac:dyDescent="0.3">
      <c r="A1234" t="str">
        <f>HYPERLINK("https://webapp.icbf.com/v2/app/bull-search/view/1140834519","FR2074")</f>
        <v>FR2074</v>
      </c>
      <c r="B1234" t="s">
        <v>13651</v>
      </c>
      <c r="C1234" t="s">
        <v>13652</v>
      </c>
      <c r="D1234" s="1">
        <v>41682</v>
      </c>
      <c r="E1234" t="s">
        <v>92</v>
      </c>
      <c r="F1234">
        <v>69</v>
      </c>
      <c r="G1234" t="s">
        <v>93</v>
      </c>
      <c r="H1234">
        <v>125.76</v>
      </c>
      <c r="I1234">
        <v>85</v>
      </c>
      <c r="J1234">
        <v>51.52</v>
      </c>
      <c r="K1234">
        <v>97</v>
      </c>
      <c r="L1234">
        <v>64.459999999999994</v>
      </c>
      <c r="M1234">
        <v>78</v>
      </c>
      <c r="N1234">
        <v>5.28</v>
      </c>
      <c r="O1234">
        <v>86</v>
      </c>
      <c r="P1234">
        <v>-29.51</v>
      </c>
      <c r="Q1234">
        <v>92</v>
      </c>
      <c r="R1234">
        <v>9.0500000000000007</v>
      </c>
      <c r="S1234">
        <v>78</v>
      </c>
      <c r="T1234">
        <v>17.82</v>
      </c>
      <c r="U1234">
        <v>68</v>
      </c>
      <c r="V1234">
        <v>7.14</v>
      </c>
      <c r="W1234">
        <v>75</v>
      </c>
      <c r="X1234" t="s">
        <v>94</v>
      </c>
      <c r="Y1234" t="s">
        <v>416</v>
      </c>
      <c r="Z1234" t="s">
        <v>96</v>
      </c>
      <c r="AA1234" t="s">
        <v>9180</v>
      </c>
      <c r="AB1234" t="s">
        <v>13653</v>
      </c>
      <c r="AC1234">
        <v>124</v>
      </c>
      <c r="AD1234">
        <v>58</v>
      </c>
      <c r="AE1234">
        <v>97</v>
      </c>
      <c r="AF1234">
        <v>-40.68</v>
      </c>
      <c r="AG1234">
        <v>7.83</v>
      </c>
      <c r="AH1234">
        <v>5.37</v>
      </c>
      <c r="AI1234">
        <v>0.17</v>
      </c>
      <c r="AJ1234">
        <v>0.12</v>
      </c>
      <c r="AK1234">
        <v>78</v>
      </c>
      <c r="AL1234">
        <v>102</v>
      </c>
      <c r="AM1234">
        <v>53</v>
      </c>
      <c r="AN1234">
        <v>-2.77</v>
      </c>
      <c r="AO1234">
        <v>2.38</v>
      </c>
      <c r="AP1234">
        <v>304</v>
      </c>
      <c r="AQ1234">
        <v>0</v>
      </c>
      <c r="AR1234">
        <v>8.6999999999999993</v>
      </c>
      <c r="AS1234">
        <v>71</v>
      </c>
      <c r="AT1234">
        <v>3.22</v>
      </c>
      <c r="AU1234">
        <v>90</v>
      </c>
      <c r="AV1234">
        <v>-2.8</v>
      </c>
      <c r="AW1234">
        <v>97</v>
      </c>
      <c r="AX1234">
        <v>-0.09</v>
      </c>
      <c r="AY1234">
        <v>83</v>
      </c>
      <c r="AZ1234">
        <v>9.48</v>
      </c>
      <c r="BA1234">
        <v>65</v>
      </c>
      <c r="BB1234">
        <v>6.44</v>
      </c>
      <c r="BC1234">
        <v>57</v>
      </c>
      <c r="BD1234">
        <v>-0.06</v>
      </c>
      <c r="BE1234">
        <v>-0.02</v>
      </c>
      <c r="BF1234">
        <v>-7.0000000000000007E-2</v>
      </c>
      <c r="BG1234">
        <v>88</v>
      </c>
      <c r="BH1234">
        <v>-0.1</v>
      </c>
      <c r="BI1234">
        <v>-34.590000000000003</v>
      </c>
      <c r="BJ1234">
        <v>1</v>
      </c>
      <c r="BK1234">
        <v>1</v>
      </c>
      <c r="BL1234">
        <v>-2.23</v>
      </c>
      <c r="BM1234">
        <v>-0.77</v>
      </c>
      <c r="BN1234">
        <v>-1.79</v>
      </c>
      <c r="BO1234">
        <v>-1.17</v>
      </c>
      <c r="BP1234">
        <v>-0.97</v>
      </c>
      <c r="BQ1234">
        <v>-3.58</v>
      </c>
      <c r="BR1234">
        <v>0.85</v>
      </c>
      <c r="BS1234">
        <v>0.43</v>
      </c>
      <c r="BT1234">
        <v>-1.86</v>
      </c>
      <c r="BU1234">
        <v>0.65</v>
      </c>
      <c r="BV1234">
        <v>0.25</v>
      </c>
      <c r="BW1234">
        <v>-0.72</v>
      </c>
      <c r="BX1234">
        <v>-0.13</v>
      </c>
      <c r="BY1234">
        <v>-1.08</v>
      </c>
      <c r="BZ1234">
        <v>0.4</v>
      </c>
      <c r="CA1234">
        <v>-0.3</v>
      </c>
      <c r="CB1234">
        <v>-0.13</v>
      </c>
      <c r="CC1234">
        <v>-0.16</v>
      </c>
      <c r="CD1234">
        <v>0.15</v>
      </c>
      <c r="CE1234">
        <v>-1.1599999999999999</v>
      </c>
      <c r="CF1234">
        <v>-2.44</v>
      </c>
      <c r="CG1234">
        <v>0</v>
      </c>
      <c r="CH1234">
        <v>-1.67</v>
      </c>
      <c r="CI1234">
        <v>0</v>
      </c>
      <c r="CJ1234">
        <v>-15.3</v>
      </c>
      <c r="CK1234">
        <v>94</v>
      </c>
      <c r="CL1234">
        <v>-0.83</v>
      </c>
      <c r="CM1234">
        <v>93</v>
      </c>
      <c r="CN1234">
        <v>-0.15</v>
      </c>
      <c r="CO1234">
        <v>92</v>
      </c>
      <c r="CP1234">
        <v>-10.6</v>
      </c>
      <c r="CQ1234">
        <v>72</v>
      </c>
      <c r="CR1234">
        <v>0</v>
      </c>
      <c r="CS1234">
        <v>0</v>
      </c>
      <c r="CT1234">
        <v>-10.3</v>
      </c>
      <c r="CU1234">
        <v>68</v>
      </c>
      <c r="CV1234">
        <v>-0.08</v>
      </c>
      <c r="CW1234">
        <v>46</v>
      </c>
      <c r="CX1234" t="s">
        <v>3087</v>
      </c>
    </row>
    <row r="1235" spans="1:102" x14ac:dyDescent="0.3">
      <c r="A1235" t="str">
        <f>HYPERLINK("https://webapp.icbf.com/v2/app/bull-search/view/170003161","MKX")</f>
        <v>MKX</v>
      </c>
      <c r="B1235" t="s">
        <v>11633</v>
      </c>
      <c r="C1235" t="s">
        <v>9050</v>
      </c>
      <c r="D1235" s="1">
        <v>34453</v>
      </c>
      <c r="E1235" t="s">
        <v>108</v>
      </c>
      <c r="F1235">
        <v>0</v>
      </c>
      <c r="G1235" t="s">
        <v>93</v>
      </c>
      <c r="H1235">
        <v>125.75</v>
      </c>
      <c r="I1235">
        <v>94</v>
      </c>
      <c r="J1235">
        <v>5.7</v>
      </c>
      <c r="K1235">
        <v>98</v>
      </c>
      <c r="L1235">
        <v>71.91</v>
      </c>
      <c r="M1235">
        <v>90</v>
      </c>
      <c r="N1235">
        <v>36.369999999999997</v>
      </c>
      <c r="O1235">
        <v>94</v>
      </c>
      <c r="P1235">
        <v>-9.6999999999999993</v>
      </c>
      <c r="Q1235">
        <v>98</v>
      </c>
      <c r="R1235">
        <v>3.49</v>
      </c>
      <c r="S1235">
        <v>90</v>
      </c>
      <c r="T1235">
        <v>22.63</v>
      </c>
      <c r="U1235">
        <v>93</v>
      </c>
      <c r="V1235">
        <v>-4.6500000000000004</v>
      </c>
      <c r="W1235">
        <v>91</v>
      </c>
      <c r="X1235" t="s">
        <v>94</v>
      </c>
      <c r="Y1235" t="s">
        <v>95</v>
      </c>
      <c r="Z1235" t="s">
        <v>96</v>
      </c>
      <c r="AA1235" t="s">
        <v>11634</v>
      </c>
      <c r="AB1235" t="s">
        <v>10796</v>
      </c>
      <c r="AC1235">
        <v>271</v>
      </c>
      <c r="AD1235">
        <v>121</v>
      </c>
      <c r="AE1235">
        <v>98</v>
      </c>
      <c r="AF1235">
        <v>-74.77</v>
      </c>
      <c r="AG1235">
        <v>1.2</v>
      </c>
      <c r="AH1235">
        <v>-0.6</v>
      </c>
      <c r="AI1235">
        <v>7.0000000000000007E-2</v>
      </c>
      <c r="AJ1235">
        <v>0.03</v>
      </c>
      <c r="AK1235">
        <v>90</v>
      </c>
      <c r="AL1235">
        <v>352</v>
      </c>
      <c r="AM1235">
        <v>152</v>
      </c>
      <c r="AN1235">
        <v>-5.09</v>
      </c>
      <c r="AO1235">
        <v>0.63</v>
      </c>
      <c r="AP1235">
        <v>562</v>
      </c>
      <c r="AQ1235">
        <v>0</v>
      </c>
      <c r="AR1235">
        <v>4.83</v>
      </c>
      <c r="AS1235">
        <v>95</v>
      </c>
      <c r="AT1235">
        <v>1.94</v>
      </c>
      <c r="AU1235">
        <v>93</v>
      </c>
      <c r="AV1235">
        <v>-3.29</v>
      </c>
      <c r="AW1235">
        <v>99</v>
      </c>
      <c r="AX1235">
        <v>-0.08</v>
      </c>
      <c r="AY1235">
        <v>94</v>
      </c>
      <c r="AZ1235">
        <v>6.52</v>
      </c>
      <c r="BA1235">
        <v>83</v>
      </c>
      <c r="BB1235">
        <v>5.93</v>
      </c>
      <c r="BC1235">
        <v>85</v>
      </c>
      <c r="BD1235">
        <v>-0.02</v>
      </c>
      <c r="BE1235">
        <v>-0.03</v>
      </c>
      <c r="BF1235">
        <v>0.01</v>
      </c>
      <c r="BG1235">
        <v>95</v>
      </c>
      <c r="BH1235">
        <v>0.1</v>
      </c>
      <c r="BI1235">
        <v>26.58</v>
      </c>
      <c r="BJ1235">
        <v>14</v>
      </c>
      <c r="BK1235">
        <v>10</v>
      </c>
      <c r="BL1235">
        <v>-2.91</v>
      </c>
      <c r="BM1235">
        <v>-0.95</v>
      </c>
      <c r="BN1235">
        <v>-2.98</v>
      </c>
      <c r="BO1235">
        <v>-2.15</v>
      </c>
      <c r="BP1235">
        <v>-2.91</v>
      </c>
      <c r="BQ1235">
        <v>1.47</v>
      </c>
      <c r="BR1235">
        <v>-1.72</v>
      </c>
      <c r="BS1235">
        <v>0.11</v>
      </c>
      <c r="BT1235">
        <v>0.78</v>
      </c>
      <c r="BU1235">
        <v>-3.56</v>
      </c>
      <c r="BV1235">
        <v>-3.76</v>
      </c>
      <c r="BW1235">
        <v>-1.57</v>
      </c>
      <c r="BX1235">
        <v>-2.5099999999999998</v>
      </c>
      <c r="BY1235">
        <v>0.77</v>
      </c>
      <c r="BZ1235">
        <v>-1.08</v>
      </c>
      <c r="CA1235">
        <v>-2.15</v>
      </c>
      <c r="CB1235">
        <v>-2.81</v>
      </c>
      <c r="CC1235">
        <v>-0.92</v>
      </c>
      <c r="CD1235">
        <v>1.33</v>
      </c>
      <c r="CE1235">
        <v>-0.8</v>
      </c>
      <c r="CF1235">
        <v>-2.52</v>
      </c>
      <c r="CG1235">
        <v>0</v>
      </c>
      <c r="CH1235">
        <v>0.18</v>
      </c>
      <c r="CI1235">
        <v>0</v>
      </c>
      <c r="CJ1235">
        <v>-2.9</v>
      </c>
      <c r="CK1235">
        <v>98</v>
      </c>
      <c r="CL1235">
        <v>-0.23</v>
      </c>
      <c r="CM1235">
        <v>98</v>
      </c>
      <c r="CN1235">
        <v>0.06</v>
      </c>
      <c r="CO1235">
        <v>98</v>
      </c>
      <c r="CP1235">
        <v>-17.5</v>
      </c>
      <c r="CQ1235">
        <v>96</v>
      </c>
      <c r="CR1235">
        <v>0</v>
      </c>
      <c r="CS1235">
        <v>0</v>
      </c>
      <c r="CT1235">
        <v>-16.8</v>
      </c>
      <c r="CU1235">
        <v>93</v>
      </c>
      <c r="CV1235">
        <v>0.16</v>
      </c>
      <c r="CW1235">
        <v>46</v>
      </c>
      <c r="CX1235" t="s">
        <v>8632</v>
      </c>
    </row>
    <row r="1236" spans="1:102" x14ac:dyDescent="0.3">
      <c r="A1236" t="str">
        <f>HYPERLINK("https://webapp.icbf.com/v2/app/bull-search/view/586202560","CGH")</f>
        <v>CGH</v>
      </c>
      <c r="B1236" t="s">
        <v>12496</v>
      </c>
      <c r="C1236" t="s">
        <v>5435</v>
      </c>
      <c r="D1236" s="1">
        <v>38047</v>
      </c>
      <c r="E1236" t="s">
        <v>92</v>
      </c>
      <c r="F1236">
        <v>100</v>
      </c>
      <c r="G1236" t="s">
        <v>93</v>
      </c>
      <c r="H1236">
        <v>125.74</v>
      </c>
      <c r="I1236">
        <v>99</v>
      </c>
      <c r="J1236">
        <v>77.069999999999993</v>
      </c>
      <c r="K1236">
        <v>99</v>
      </c>
      <c r="L1236">
        <v>16.55</v>
      </c>
      <c r="M1236">
        <v>98</v>
      </c>
      <c r="N1236">
        <v>47.32</v>
      </c>
      <c r="O1236">
        <v>99</v>
      </c>
      <c r="P1236">
        <v>-9.39</v>
      </c>
      <c r="Q1236">
        <v>99</v>
      </c>
      <c r="R1236">
        <v>-1.84</v>
      </c>
      <c r="S1236">
        <v>98</v>
      </c>
      <c r="T1236">
        <v>-0.75</v>
      </c>
      <c r="U1236">
        <v>99</v>
      </c>
      <c r="V1236">
        <v>-3.22</v>
      </c>
      <c r="W1236">
        <v>97</v>
      </c>
      <c r="X1236" t="s">
        <v>94</v>
      </c>
      <c r="Y1236" t="s">
        <v>235</v>
      </c>
      <c r="Z1236" t="s">
        <v>96</v>
      </c>
      <c r="AA1236" t="s">
        <v>316</v>
      </c>
      <c r="AB1236" t="s">
        <v>11766</v>
      </c>
      <c r="AC1236">
        <v>7127</v>
      </c>
      <c r="AD1236">
        <v>1493</v>
      </c>
      <c r="AE1236">
        <v>99</v>
      </c>
      <c r="AF1236">
        <v>456.64</v>
      </c>
      <c r="AG1236">
        <v>13.22</v>
      </c>
      <c r="AH1236">
        <v>15.42</v>
      </c>
      <c r="AI1236">
        <v>-7.0000000000000007E-2</v>
      </c>
      <c r="AJ1236">
        <v>0</v>
      </c>
      <c r="AK1236">
        <v>98</v>
      </c>
      <c r="AL1236">
        <v>7530</v>
      </c>
      <c r="AM1236">
        <v>1841</v>
      </c>
      <c r="AN1236">
        <v>-0.11</v>
      </c>
      <c r="AO1236">
        <v>1.22</v>
      </c>
      <c r="AP1236">
        <v>12815</v>
      </c>
      <c r="AQ1236">
        <v>81</v>
      </c>
      <c r="AR1236">
        <v>5.43</v>
      </c>
      <c r="AS1236">
        <v>99</v>
      </c>
      <c r="AT1236">
        <v>2.13</v>
      </c>
      <c r="AU1236">
        <v>99</v>
      </c>
      <c r="AV1236">
        <v>-4.4400000000000004</v>
      </c>
      <c r="AW1236">
        <v>99</v>
      </c>
      <c r="AX1236">
        <v>-0.12</v>
      </c>
      <c r="AY1236">
        <v>99</v>
      </c>
      <c r="AZ1236">
        <v>6.66</v>
      </c>
      <c r="BA1236">
        <v>99</v>
      </c>
      <c r="BB1236">
        <v>5.1100000000000003</v>
      </c>
      <c r="BC1236">
        <v>99</v>
      </c>
      <c r="BD1236">
        <v>-0.01</v>
      </c>
      <c r="BE1236">
        <v>0.01</v>
      </c>
      <c r="BF1236">
        <v>0.04</v>
      </c>
      <c r="BG1236">
        <v>99</v>
      </c>
      <c r="BH1236">
        <v>0.06</v>
      </c>
      <c r="BI1236">
        <v>17.32</v>
      </c>
      <c r="BJ1236">
        <v>984</v>
      </c>
      <c r="BK1236">
        <v>264</v>
      </c>
      <c r="BL1236">
        <v>0.51</v>
      </c>
      <c r="BM1236">
        <v>1.27</v>
      </c>
      <c r="BN1236">
        <v>1.23</v>
      </c>
      <c r="BO1236">
        <v>0.57999999999999996</v>
      </c>
      <c r="BP1236">
        <v>1.94</v>
      </c>
      <c r="BQ1236">
        <v>1.87</v>
      </c>
      <c r="BR1236">
        <v>-0.11</v>
      </c>
      <c r="BS1236">
        <v>0.09</v>
      </c>
      <c r="BT1236">
        <v>-0.56999999999999995</v>
      </c>
      <c r="BU1236">
        <v>0.12</v>
      </c>
      <c r="BV1236">
        <v>1.1100000000000001</v>
      </c>
      <c r="BW1236">
        <v>0.44</v>
      </c>
      <c r="BX1236">
        <v>-0.04</v>
      </c>
      <c r="BY1236">
        <v>0.79</v>
      </c>
      <c r="BZ1236">
        <v>0.02</v>
      </c>
      <c r="CA1236">
        <v>0.82</v>
      </c>
      <c r="CB1236">
        <v>0.99</v>
      </c>
      <c r="CC1236">
        <v>0.28999999999999998</v>
      </c>
      <c r="CD1236">
        <v>0.57999999999999996</v>
      </c>
      <c r="CE1236">
        <v>0.71</v>
      </c>
      <c r="CF1236">
        <v>1.42</v>
      </c>
      <c r="CG1236">
        <v>0</v>
      </c>
      <c r="CH1236">
        <v>0.75</v>
      </c>
      <c r="CI1236">
        <v>0</v>
      </c>
      <c r="CJ1236">
        <v>-2.1</v>
      </c>
      <c r="CK1236">
        <v>99</v>
      </c>
      <c r="CL1236">
        <v>-0.9</v>
      </c>
      <c r="CM1236">
        <v>99</v>
      </c>
      <c r="CN1236">
        <v>-0.24</v>
      </c>
      <c r="CO1236">
        <v>99</v>
      </c>
      <c r="CP1236">
        <v>-0.1</v>
      </c>
      <c r="CQ1236">
        <v>99</v>
      </c>
      <c r="CR1236">
        <v>0</v>
      </c>
      <c r="CS1236">
        <v>0</v>
      </c>
      <c r="CT1236">
        <v>14.8</v>
      </c>
      <c r="CU1236">
        <v>99</v>
      </c>
      <c r="CV1236">
        <v>0.2</v>
      </c>
      <c r="CW1236">
        <v>49</v>
      </c>
      <c r="CX1236" t="s">
        <v>3035</v>
      </c>
    </row>
    <row r="1237" spans="1:102" x14ac:dyDescent="0.3">
      <c r="A1237" t="str">
        <f>HYPERLINK("https://webapp.icbf.com/v2/app/bull-search/view/933356753","ZKS")</f>
        <v>ZKS</v>
      </c>
      <c r="B1237" t="s">
        <v>9287</v>
      </c>
      <c r="C1237" t="s">
        <v>9288</v>
      </c>
      <c r="D1237" s="1">
        <v>40763</v>
      </c>
      <c r="E1237" t="s">
        <v>108</v>
      </c>
      <c r="F1237">
        <v>47</v>
      </c>
      <c r="G1237" t="s">
        <v>109</v>
      </c>
      <c r="H1237">
        <v>125.5</v>
      </c>
      <c r="I1237">
        <v>79</v>
      </c>
      <c r="J1237">
        <v>60.73</v>
      </c>
      <c r="K1237">
        <v>90</v>
      </c>
      <c r="L1237">
        <v>23.09</v>
      </c>
      <c r="M1237">
        <v>77</v>
      </c>
      <c r="N1237">
        <v>40.270000000000003</v>
      </c>
      <c r="O1237">
        <v>73</v>
      </c>
      <c r="P1237">
        <v>-29.45</v>
      </c>
      <c r="Q1237">
        <v>78</v>
      </c>
      <c r="R1237">
        <v>1.35</v>
      </c>
      <c r="S1237">
        <v>72</v>
      </c>
      <c r="T1237">
        <v>25.3</v>
      </c>
      <c r="U1237">
        <v>71</v>
      </c>
      <c r="V1237">
        <v>4.21</v>
      </c>
      <c r="W1237">
        <v>53</v>
      </c>
      <c r="X1237" t="s">
        <v>276</v>
      </c>
      <c r="Y1237" t="s">
        <v>1775</v>
      </c>
      <c r="Z1237" t="s">
        <v>330</v>
      </c>
      <c r="AA1237" t="s">
        <v>3081</v>
      </c>
      <c r="AB1237" t="s">
        <v>9289</v>
      </c>
      <c r="AC1237">
        <v>0</v>
      </c>
      <c r="AD1237">
        <v>0</v>
      </c>
      <c r="AE1237">
        <v>90</v>
      </c>
      <c r="AF1237">
        <v>170.36</v>
      </c>
      <c r="AG1237">
        <v>9.57</v>
      </c>
      <c r="AH1237">
        <v>9.5500000000000007</v>
      </c>
      <c r="AI1237">
        <v>0.05</v>
      </c>
      <c r="AJ1237">
        <v>0.06</v>
      </c>
      <c r="AK1237">
        <v>77</v>
      </c>
      <c r="AL1237">
        <v>24</v>
      </c>
      <c r="AM1237">
        <v>10</v>
      </c>
      <c r="AN1237">
        <v>-0.6</v>
      </c>
      <c r="AO1237">
        <v>1.25</v>
      </c>
      <c r="AP1237">
        <v>30</v>
      </c>
      <c r="AQ1237">
        <v>0</v>
      </c>
      <c r="AR1237">
        <v>5.07</v>
      </c>
      <c r="AS1237">
        <v>62</v>
      </c>
      <c r="AT1237">
        <v>1.51</v>
      </c>
      <c r="AU1237">
        <v>74</v>
      </c>
      <c r="AV1237">
        <v>-3.7</v>
      </c>
      <c r="AW1237">
        <v>90</v>
      </c>
      <c r="AX1237">
        <v>0.56000000000000005</v>
      </c>
      <c r="AY1237">
        <v>65</v>
      </c>
      <c r="AZ1237">
        <v>7.19</v>
      </c>
      <c r="BA1237">
        <v>49</v>
      </c>
      <c r="BB1237">
        <v>5.69</v>
      </c>
      <c r="BC1237">
        <v>41</v>
      </c>
      <c r="BD1237">
        <v>-0.06</v>
      </c>
      <c r="BE1237">
        <v>0.01</v>
      </c>
      <c r="BF1237">
        <v>0.05</v>
      </c>
      <c r="BG1237">
        <v>88</v>
      </c>
      <c r="BH1237">
        <v>0.04</v>
      </c>
      <c r="BI1237">
        <v>-8.9600000000000009</v>
      </c>
      <c r="BJ1237">
        <v>0</v>
      </c>
      <c r="BK1237">
        <v>0</v>
      </c>
      <c r="BL1237">
        <v>-2.02</v>
      </c>
      <c r="BM1237">
        <v>-2.0299999999999998</v>
      </c>
      <c r="BN1237">
        <v>-2.19</v>
      </c>
      <c r="BO1237">
        <v>-0.65</v>
      </c>
      <c r="BP1237">
        <v>-2.25</v>
      </c>
      <c r="BQ1237">
        <v>-0.85</v>
      </c>
      <c r="BR1237">
        <v>1.23</v>
      </c>
      <c r="BS1237">
        <v>-0.37</v>
      </c>
      <c r="BT1237">
        <v>-1.45</v>
      </c>
      <c r="BU1237">
        <v>-1.6</v>
      </c>
      <c r="BV1237">
        <v>-1.43</v>
      </c>
      <c r="BW1237">
        <v>-1.9</v>
      </c>
      <c r="BX1237">
        <v>-0.6</v>
      </c>
      <c r="BY1237">
        <v>-2.76</v>
      </c>
      <c r="BZ1237">
        <v>0.46</v>
      </c>
      <c r="CA1237">
        <v>-1.74</v>
      </c>
      <c r="CB1237">
        <v>-1.53</v>
      </c>
      <c r="CC1237">
        <v>-0.65</v>
      </c>
      <c r="CD1237">
        <v>-0.32</v>
      </c>
      <c r="CE1237">
        <v>-0.37</v>
      </c>
      <c r="CF1237">
        <v>-1.57</v>
      </c>
      <c r="CG1237">
        <v>0</v>
      </c>
      <c r="CH1237">
        <v>-2.63</v>
      </c>
      <c r="CI1237">
        <v>0</v>
      </c>
      <c r="CJ1237">
        <v>-14</v>
      </c>
      <c r="CK1237">
        <v>81</v>
      </c>
      <c r="CL1237">
        <v>-0.98</v>
      </c>
      <c r="CM1237">
        <v>77</v>
      </c>
      <c r="CN1237">
        <v>-0.3</v>
      </c>
      <c r="CO1237">
        <v>75</v>
      </c>
      <c r="CP1237">
        <v>-23.5</v>
      </c>
      <c r="CQ1237">
        <v>66</v>
      </c>
      <c r="CR1237">
        <v>0</v>
      </c>
      <c r="CS1237">
        <v>0</v>
      </c>
      <c r="CT1237">
        <v>-20.399999999999999</v>
      </c>
      <c r="CU1237">
        <v>71</v>
      </c>
      <c r="CV1237">
        <v>0.1</v>
      </c>
      <c r="CW1237">
        <v>42</v>
      </c>
      <c r="CX1237" t="s">
        <v>792</v>
      </c>
    </row>
    <row r="1238" spans="1:102" x14ac:dyDescent="0.3">
      <c r="A1238" t="str">
        <f>HYPERLINK("https://webapp.icbf.com/v2/app/bull-search/view/586235511","S1422")</f>
        <v>S1422</v>
      </c>
      <c r="B1238" t="s">
        <v>15467</v>
      </c>
      <c r="C1238" t="s">
        <v>15468</v>
      </c>
      <c r="D1238" s="1">
        <v>38162</v>
      </c>
      <c r="E1238" t="s">
        <v>92</v>
      </c>
      <c r="F1238">
        <v>100</v>
      </c>
      <c r="G1238" t="s">
        <v>109</v>
      </c>
      <c r="H1238">
        <v>125.46</v>
      </c>
      <c r="I1238">
        <v>78</v>
      </c>
      <c r="J1238">
        <v>50.11</v>
      </c>
      <c r="K1238">
        <v>93</v>
      </c>
      <c r="L1238">
        <v>16.12</v>
      </c>
      <c r="M1238">
        <v>85</v>
      </c>
      <c r="N1238">
        <v>43.56</v>
      </c>
      <c r="O1238">
        <v>60</v>
      </c>
      <c r="P1238">
        <v>-7.54</v>
      </c>
      <c r="Q1238">
        <v>46</v>
      </c>
      <c r="R1238">
        <v>13.21</v>
      </c>
      <c r="S1238">
        <v>76</v>
      </c>
      <c r="T1238">
        <v>0.88</v>
      </c>
      <c r="U1238">
        <v>46</v>
      </c>
      <c r="V1238">
        <v>9.1199999999999992</v>
      </c>
      <c r="W1238">
        <v>66</v>
      </c>
      <c r="X1238" t="s">
        <v>251</v>
      </c>
      <c r="Y1238" t="s">
        <v>342</v>
      </c>
      <c r="Z1238" t="s">
        <v>96</v>
      </c>
      <c r="AA1238" t="s">
        <v>316</v>
      </c>
      <c r="AB1238" t="s">
        <v>15469</v>
      </c>
      <c r="AC1238">
        <v>0</v>
      </c>
      <c r="AD1238">
        <v>0</v>
      </c>
      <c r="AE1238">
        <v>93</v>
      </c>
      <c r="AF1238">
        <v>575.04999999999995</v>
      </c>
      <c r="AG1238">
        <v>10.16</v>
      </c>
      <c r="AH1238">
        <v>13.73</v>
      </c>
      <c r="AI1238">
        <v>-0.19</v>
      </c>
      <c r="AJ1238">
        <v>-0.09</v>
      </c>
      <c r="AK1238">
        <v>85</v>
      </c>
      <c r="AL1238">
        <v>0</v>
      </c>
      <c r="AM1238">
        <v>0</v>
      </c>
      <c r="AN1238">
        <v>0.23</v>
      </c>
      <c r="AO1238">
        <v>1.53</v>
      </c>
      <c r="AP1238">
        <v>4</v>
      </c>
      <c r="AQ1238">
        <v>0</v>
      </c>
      <c r="AR1238">
        <v>5.07</v>
      </c>
      <c r="AS1238">
        <v>61</v>
      </c>
      <c r="AT1238">
        <v>2.4300000000000002</v>
      </c>
      <c r="AU1238">
        <v>87</v>
      </c>
      <c r="AV1238">
        <v>-4.05</v>
      </c>
      <c r="AW1238">
        <v>51</v>
      </c>
      <c r="AX1238">
        <v>-0.22</v>
      </c>
      <c r="AY1238">
        <v>48</v>
      </c>
      <c r="AZ1238">
        <v>5.98</v>
      </c>
      <c r="BA1238">
        <v>49</v>
      </c>
      <c r="BB1238">
        <v>5.24</v>
      </c>
      <c r="BC1238">
        <v>50</v>
      </c>
      <c r="BD1238">
        <v>-0.01</v>
      </c>
      <c r="BE1238">
        <v>-0.03</v>
      </c>
      <c r="BF1238">
        <v>-0.23</v>
      </c>
      <c r="BG1238">
        <v>90</v>
      </c>
      <c r="BH1238">
        <v>0.25</v>
      </c>
      <c r="BI1238">
        <v>-0.49</v>
      </c>
      <c r="BJ1238">
        <v>0</v>
      </c>
      <c r="BK1238">
        <v>0</v>
      </c>
      <c r="BL1238">
        <v>1.01</v>
      </c>
      <c r="BM1238">
        <v>1.23</v>
      </c>
      <c r="BN1238">
        <v>0.23</v>
      </c>
      <c r="BO1238">
        <v>-0.01</v>
      </c>
      <c r="BP1238">
        <v>0.02</v>
      </c>
      <c r="BQ1238">
        <v>1.44</v>
      </c>
      <c r="BR1238">
        <v>-0.33</v>
      </c>
      <c r="BS1238">
        <v>-0.57999999999999996</v>
      </c>
      <c r="BT1238">
        <v>1.1299999999999999</v>
      </c>
      <c r="BU1238">
        <v>0.56999999999999995</v>
      </c>
      <c r="BV1238">
        <v>0.13</v>
      </c>
      <c r="BW1238">
        <v>0.67</v>
      </c>
      <c r="BX1238">
        <v>0.6</v>
      </c>
      <c r="BY1238">
        <v>1.33</v>
      </c>
      <c r="BZ1238">
        <v>-0.39</v>
      </c>
      <c r="CA1238">
        <v>0.74</v>
      </c>
      <c r="CB1238">
        <v>0.68</v>
      </c>
      <c r="CC1238">
        <v>0.64</v>
      </c>
      <c r="CD1238">
        <v>0.64</v>
      </c>
      <c r="CE1238">
        <v>-0.42</v>
      </c>
      <c r="CF1238">
        <v>0</v>
      </c>
      <c r="CG1238">
        <v>0</v>
      </c>
      <c r="CH1238">
        <v>1.51</v>
      </c>
      <c r="CI1238">
        <v>0</v>
      </c>
      <c r="CJ1238">
        <v>-1.7</v>
      </c>
      <c r="CK1238">
        <v>46</v>
      </c>
      <c r="CL1238">
        <v>-1.02</v>
      </c>
      <c r="CM1238">
        <v>46</v>
      </c>
      <c r="CN1238">
        <v>-0.44</v>
      </c>
      <c r="CO1238">
        <v>46</v>
      </c>
      <c r="CP1238">
        <v>1.2</v>
      </c>
      <c r="CQ1238">
        <v>46</v>
      </c>
      <c r="CR1238">
        <v>0</v>
      </c>
      <c r="CS1238">
        <v>0</v>
      </c>
      <c r="CT1238">
        <v>12.6</v>
      </c>
      <c r="CU1238">
        <v>46</v>
      </c>
      <c r="CV1238">
        <v>0.2</v>
      </c>
      <c r="CW1238">
        <v>37</v>
      </c>
      <c r="CX1238" t="s">
        <v>596</v>
      </c>
    </row>
    <row r="1239" spans="1:102" x14ac:dyDescent="0.3">
      <c r="A1239" t="str">
        <f>HYPERLINK("https://webapp.icbf.com/v2/app/bull-search/view/732885723","S824")</f>
        <v>S824</v>
      </c>
      <c r="B1239" t="s">
        <v>5334</v>
      </c>
      <c r="C1239" t="s">
        <v>5335</v>
      </c>
      <c r="D1239" s="1">
        <v>39340</v>
      </c>
      <c r="E1239" t="s">
        <v>146</v>
      </c>
      <c r="F1239">
        <v>6</v>
      </c>
      <c r="G1239" t="s">
        <v>93</v>
      </c>
      <c r="H1239">
        <v>125.44</v>
      </c>
      <c r="I1239">
        <v>80</v>
      </c>
      <c r="J1239">
        <v>25.32</v>
      </c>
      <c r="K1239">
        <v>94</v>
      </c>
      <c r="L1239">
        <v>71.569999999999993</v>
      </c>
      <c r="M1239">
        <v>65</v>
      </c>
      <c r="N1239">
        <v>28.66</v>
      </c>
      <c r="O1239">
        <v>86</v>
      </c>
      <c r="P1239">
        <v>14.14</v>
      </c>
      <c r="Q1239">
        <v>95</v>
      </c>
      <c r="R1239">
        <v>-8.86</v>
      </c>
      <c r="S1239">
        <v>66</v>
      </c>
      <c r="T1239">
        <v>-2.75</v>
      </c>
      <c r="U1239">
        <v>82</v>
      </c>
      <c r="V1239">
        <v>-2.64</v>
      </c>
      <c r="W1239">
        <v>59</v>
      </c>
      <c r="X1239" t="s">
        <v>102</v>
      </c>
      <c r="Y1239" t="s">
        <v>1494</v>
      </c>
      <c r="Z1239">
        <v>0</v>
      </c>
      <c r="AA1239" t="s">
        <v>343</v>
      </c>
      <c r="AB1239" t="s">
        <v>5336</v>
      </c>
      <c r="AC1239">
        <v>72</v>
      </c>
      <c r="AD1239">
        <v>26</v>
      </c>
      <c r="AE1239">
        <v>94</v>
      </c>
      <c r="AF1239">
        <v>-60.65</v>
      </c>
      <c r="AG1239">
        <v>-1.93</v>
      </c>
      <c r="AH1239">
        <v>4.0599999999999996</v>
      </c>
      <c r="AI1239">
        <v>0.01</v>
      </c>
      <c r="AJ1239">
        <v>0.1</v>
      </c>
      <c r="AK1239">
        <v>65</v>
      </c>
      <c r="AL1239">
        <v>0</v>
      </c>
      <c r="AM1239">
        <v>0</v>
      </c>
      <c r="AN1239">
        <v>-4.51</v>
      </c>
      <c r="AO1239">
        <v>1.19</v>
      </c>
      <c r="AP1239">
        <v>193</v>
      </c>
      <c r="AQ1239">
        <v>0</v>
      </c>
      <c r="AR1239">
        <v>7.13</v>
      </c>
      <c r="AS1239">
        <v>82</v>
      </c>
      <c r="AT1239">
        <v>2.96</v>
      </c>
      <c r="AU1239">
        <v>87</v>
      </c>
      <c r="AV1239">
        <v>-3.74</v>
      </c>
      <c r="AW1239">
        <v>96</v>
      </c>
      <c r="AX1239">
        <v>0.06</v>
      </c>
      <c r="AY1239">
        <v>86</v>
      </c>
      <c r="AZ1239">
        <v>6.62</v>
      </c>
      <c r="BA1239">
        <v>63</v>
      </c>
      <c r="BB1239">
        <v>5.62</v>
      </c>
      <c r="BC1239">
        <v>59</v>
      </c>
      <c r="BD1239">
        <v>-0.02</v>
      </c>
      <c r="BE1239">
        <v>0.03</v>
      </c>
      <c r="BF1239">
        <v>0.18</v>
      </c>
      <c r="BG1239">
        <v>85</v>
      </c>
      <c r="BH1239">
        <v>-0.27</v>
      </c>
      <c r="BI1239">
        <v>-22.73</v>
      </c>
      <c r="BJ1239">
        <v>0</v>
      </c>
      <c r="BK1239">
        <v>0</v>
      </c>
      <c r="BL1239">
        <v>-1.3</v>
      </c>
      <c r="BM1239">
        <v>2.85</v>
      </c>
      <c r="BN1239">
        <v>-0.89</v>
      </c>
      <c r="BO1239">
        <v>-1.35</v>
      </c>
      <c r="BP1239">
        <v>2.15</v>
      </c>
      <c r="BQ1239">
        <v>0.38</v>
      </c>
      <c r="BR1239">
        <v>-1.5</v>
      </c>
      <c r="BS1239">
        <v>1.26</v>
      </c>
      <c r="BT1239">
        <v>0.84</v>
      </c>
      <c r="BU1239">
        <v>-1.56</v>
      </c>
      <c r="BV1239">
        <v>-2.2799999999999998</v>
      </c>
      <c r="BW1239">
        <v>-1.46</v>
      </c>
      <c r="BX1239">
        <v>-0.86</v>
      </c>
      <c r="BY1239">
        <v>-1.1499999999999999</v>
      </c>
      <c r="BZ1239">
        <v>-0.27</v>
      </c>
      <c r="CA1239">
        <v>-0.83</v>
      </c>
      <c r="CB1239">
        <v>-1.31</v>
      </c>
      <c r="CC1239">
        <v>0.46</v>
      </c>
      <c r="CD1239">
        <v>2.92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6.9</v>
      </c>
      <c r="CK1239">
        <v>96</v>
      </c>
      <c r="CL1239">
        <v>0.13</v>
      </c>
      <c r="CM1239">
        <v>95</v>
      </c>
      <c r="CN1239">
        <v>-0.25</v>
      </c>
      <c r="CO1239">
        <v>94</v>
      </c>
      <c r="CP1239">
        <v>2.2999999999999998</v>
      </c>
      <c r="CQ1239">
        <v>85</v>
      </c>
      <c r="CR1239">
        <v>0</v>
      </c>
      <c r="CS1239">
        <v>0</v>
      </c>
      <c r="CT1239">
        <v>17.5</v>
      </c>
      <c r="CU1239">
        <v>82</v>
      </c>
      <c r="CV1239">
        <v>0</v>
      </c>
      <c r="CW1239">
        <v>45</v>
      </c>
      <c r="CX1239" t="s">
        <v>5337</v>
      </c>
    </row>
    <row r="1240" spans="1:102" x14ac:dyDescent="0.3">
      <c r="A1240" t="str">
        <f>HYPERLINK("https://webapp.icbf.com/v2/app/bull-search/view/448282213","NUO")</f>
        <v>NUO</v>
      </c>
      <c r="B1240" t="s">
        <v>7425</v>
      </c>
      <c r="C1240" t="s">
        <v>5054</v>
      </c>
      <c r="D1240" s="1">
        <v>36733</v>
      </c>
      <c r="E1240" t="s">
        <v>108</v>
      </c>
      <c r="F1240">
        <v>25</v>
      </c>
      <c r="G1240" t="s">
        <v>93</v>
      </c>
      <c r="H1240">
        <v>125.35</v>
      </c>
      <c r="I1240">
        <v>92</v>
      </c>
      <c r="J1240">
        <v>55.88</v>
      </c>
      <c r="K1240">
        <v>97</v>
      </c>
      <c r="L1240">
        <v>35.81</v>
      </c>
      <c r="M1240">
        <v>88</v>
      </c>
      <c r="N1240">
        <v>36.369999999999997</v>
      </c>
      <c r="O1240">
        <v>89</v>
      </c>
      <c r="P1240">
        <v>-39.39</v>
      </c>
      <c r="Q1240">
        <v>91</v>
      </c>
      <c r="R1240">
        <v>-7.84</v>
      </c>
      <c r="S1240">
        <v>84</v>
      </c>
      <c r="T1240">
        <v>40.020000000000003</v>
      </c>
      <c r="U1240">
        <v>93</v>
      </c>
      <c r="V1240">
        <v>4.5</v>
      </c>
      <c r="W1240">
        <v>87</v>
      </c>
      <c r="X1240" t="s">
        <v>302</v>
      </c>
      <c r="Y1240" t="s">
        <v>95</v>
      </c>
      <c r="Z1240">
        <v>0</v>
      </c>
      <c r="AA1240" t="s">
        <v>792</v>
      </c>
      <c r="AB1240" t="s">
        <v>7426</v>
      </c>
      <c r="AC1240">
        <v>101</v>
      </c>
      <c r="AD1240">
        <v>28</v>
      </c>
      <c r="AE1240">
        <v>97</v>
      </c>
      <c r="AF1240">
        <v>-282.70999999999998</v>
      </c>
      <c r="AG1240">
        <v>12.37</v>
      </c>
      <c r="AH1240">
        <v>0.8</v>
      </c>
      <c r="AI1240">
        <v>0.43</v>
      </c>
      <c r="AJ1240">
        <v>0.19</v>
      </c>
      <c r="AK1240">
        <v>88</v>
      </c>
      <c r="AL1240">
        <v>104</v>
      </c>
      <c r="AM1240">
        <v>30</v>
      </c>
      <c r="AN1240">
        <v>-0.82</v>
      </c>
      <c r="AO1240">
        <v>2.0499999999999998</v>
      </c>
      <c r="AP1240">
        <v>159</v>
      </c>
      <c r="AQ1240">
        <v>6</v>
      </c>
      <c r="AR1240">
        <v>3.85</v>
      </c>
      <c r="AS1240">
        <v>85</v>
      </c>
      <c r="AT1240">
        <v>1.79</v>
      </c>
      <c r="AU1240">
        <v>88</v>
      </c>
      <c r="AV1240">
        <v>-3.07</v>
      </c>
      <c r="AW1240">
        <v>96</v>
      </c>
      <c r="AX1240">
        <v>-0.84</v>
      </c>
      <c r="AY1240">
        <v>87</v>
      </c>
      <c r="AZ1240">
        <v>7.98</v>
      </c>
      <c r="BA1240">
        <v>74</v>
      </c>
      <c r="BB1240">
        <v>5.99</v>
      </c>
      <c r="BC1240">
        <v>77</v>
      </c>
      <c r="BD1240">
        <v>0.02</v>
      </c>
      <c r="BE1240">
        <v>0.03</v>
      </c>
      <c r="BF1240">
        <v>0.09</v>
      </c>
      <c r="BG1240">
        <v>88</v>
      </c>
      <c r="BH1240">
        <v>0.18</v>
      </c>
      <c r="BI1240">
        <v>6.32</v>
      </c>
      <c r="BJ1240">
        <v>1</v>
      </c>
      <c r="BK1240">
        <v>1</v>
      </c>
      <c r="BL1240">
        <v>-2.7</v>
      </c>
      <c r="BM1240">
        <v>-0.89</v>
      </c>
      <c r="BN1240">
        <v>-1.42</v>
      </c>
      <c r="BO1240">
        <v>-1.19</v>
      </c>
      <c r="BP1240">
        <v>0.67</v>
      </c>
      <c r="BQ1240">
        <v>-3.36</v>
      </c>
      <c r="BR1240">
        <v>0.14000000000000001</v>
      </c>
      <c r="BS1240">
        <v>0.86</v>
      </c>
      <c r="BT1240">
        <v>-1.07</v>
      </c>
      <c r="BU1240">
        <v>-0.72</v>
      </c>
      <c r="BV1240">
        <v>-1.34</v>
      </c>
      <c r="BW1240">
        <v>-1.72</v>
      </c>
      <c r="BX1240">
        <v>-2.95</v>
      </c>
      <c r="BY1240">
        <v>-2.69</v>
      </c>
      <c r="BZ1240">
        <v>-1.19</v>
      </c>
      <c r="CA1240">
        <v>-1.58</v>
      </c>
      <c r="CB1240">
        <v>-1.4</v>
      </c>
      <c r="CC1240">
        <v>0.13</v>
      </c>
      <c r="CD1240">
        <v>0.27</v>
      </c>
      <c r="CE1240">
        <v>-1.1399999999999999</v>
      </c>
      <c r="CF1240">
        <v>-2.78</v>
      </c>
      <c r="CG1240">
        <v>0</v>
      </c>
      <c r="CH1240">
        <v>-0.99</v>
      </c>
      <c r="CI1240">
        <v>0</v>
      </c>
      <c r="CJ1240">
        <v>-18.8</v>
      </c>
      <c r="CK1240">
        <v>92</v>
      </c>
      <c r="CL1240">
        <v>-0.79</v>
      </c>
      <c r="CM1240">
        <v>90</v>
      </c>
      <c r="CN1240">
        <v>0.06</v>
      </c>
      <c r="CO1240">
        <v>89</v>
      </c>
      <c r="CP1240">
        <v>-30.6</v>
      </c>
      <c r="CQ1240">
        <v>90</v>
      </c>
      <c r="CR1240">
        <v>0</v>
      </c>
      <c r="CS1240">
        <v>0</v>
      </c>
      <c r="CT1240">
        <v>-40.299999999999997</v>
      </c>
      <c r="CU1240">
        <v>93</v>
      </c>
      <c r="CV1240">
        <v>-0.02</v>
      </c>
      <c r="CW1240">
        <v>46</v>
      </c>
      <c r="CX1240" t="s">
        <v>7427</v>
      </c>
    </row>
    <row r="1241" spans="1:102" x14ac:dyDescent="0.3">
      <c r="A1241" t="str">
        <f>HYPERLINK("https://webapp.icbf.com/v2/app/bull-search/view/1196698520","S2261")</f>
        <v>S2261</v>
      </c>
      <c r="B1241" t="s">
        <v>7261</v>
      </c>
      <c r="C1241" t="s">
        <v>7262</v>
      </c>
      <c r="D1241" s="1">
        <v>41230</v>
      </c>
      <c r="E1241" t="s">
        <v>92</v>
      </c>
      <c r="F1241">
        <v>100</v>
      </c>
      <c r="G1241" t="s">
        <v>109</v>
      </c>
      <c r="H1241">
        <v>125.31</v>
      </c>
      <c r="I1241">
        <v>63</v>
      </c>
      <c r="J1241">
        <v>47.89</v>
      </c>
      <c r="K1241">
        <v>76</v>
      </c>
      <c r="L1241">
        <v>28.86</v>
      </c>
      <c r="M1241">
        <v>71</v>
      </c>
      <c r="N1241">
        <v>47.7</v>
      </c>
      <c r="O1241">
        <v>57</v>
      </c>
      <c r="P1241">
        <v>-0.06</v>
      </c>
      <c r="Q1241">
        <v>43</v>
      </c>
      <c r="R1241">
        <v>4.99</v>
      </c>
      <c r="S1241">
        <v>54</v>
      </c>
      <c r="T1241">
        <v>-2.82</v>
      </c>
      <c r="U1241">
        <v>29</v>
      </c>
      <c r="V1241">
        <v>-1.25</v>
      </c>
      <c r="W1241">
        <v>11</v>
      </c>
      <c r="X1241" t="s">
        <v>428</v>
      </c>
      <c r="Y1241" t="s">
        <v>367</v>
      </c>
      <c r="Z1241" t="s">
        <v>96</v>
      </c>
      <c r="AA1241" t="s">
        <v>465</v>
      </c>
      <c r="AB1241" t="s">
        <v>7263</v>
      </c>
      <c r="AC1241">
        <v>0</v>
      </c>
      <c r="AD1241">
        <v>0</v>
      </c>
      <c r="AE1241">
        <v>76</v>
      </c>
      <c r="AF1241">
        <v>573.73</v>
      </c>
      <c r="AG1241">
        <v>8.27</v>
      </c>
      <c r="AH1241">
        <v>14</v>
      </c>
      <c r="AI1241">
        <v>-0.21</v>
      </c>
      <c r="AJ1241">
        <v>-0.09</v>
      </c>
      <c r="AK1241">
        <v>71</v>
      </c>
      <c r="AL1241">
        <v>0</v>
      </c>
      <c r="AM1241">
        <v>0</v>
      </c>
      <c r="AN1241">
        <v>-0.15</v>
      </c>
      <c r="AO1241">
        <v>2.17</v>
      </c>
      <c r="AP1241">
        <v>20</v>
      </c>
      <c r="AQ1241">
        <v>0</v>
      </c>
      <c r="AR1241">
        <v>6.16</v>
      </c>
      <c r="AS1241">
        <v>38</v>
      </c>
      <c r="AT1241">
        <v>2.61</v>
      </c>
      <c r="AU1241">
        <v>81</v>
      </c>
      <c r="AV1241">
        <v>-4.29</v>
      </c>
      <c r="AW1241">
        <v>68</v>
      </c>
      <c r="AX1241">
        <v>-0.54</v>
      </c>
      <c r="AY1241">
        <v>36</v>
      </c>
      <c r="AZ1241">
        <v>5.29</v>
      </c>
      <c r="BA1241">
        <v>22</v>
      </c>
      <c r="BB1241">
        <v>4.37</v>
      </c>
      <c r="BC1241">
        <v>11</v>
      </c>
      <c r="BD1241">
        <v>-0.01</v>
      </c>
      <c r="BE1241">
        <v>-0.02</v>
      </c>
      <c r="BF1241">
        <v>-0.06</v>
      </c>
      <c r="BG1241">
        <v>85</v>
      </c>
      <c r="BH1241">
        <v>-0.02</v>
      </c>
      <c r="BI1241">
        <v>1.72</v>
      </c>
      <c r="BJ1241">
        <v>4</v>
      </c>
      <c r="BK1241">
        <v>1</v>
      </c>
      <c r="BL1241">
        <v>1.63</v>
      </c>
      <c r="BM1241">
        <v>-0.87</v>
      </c>
      <c r="BN1241">
        <v>-0.52</v>
      </c>
      <c r="BO1241">
        <v>0.43</v>
      </c>
      <c r="BP1241">
        <v>-1.1200000000000001</v>
      </c>
      <c r="BQ1241">
        <v>1.75</v>
      </c>
      <c r="BR1241">
        <v>0.52</v>
      </c>
      <c r="BS1241">
        <v>1.74</v>
      </c>
      <c r="BT1241">
        <v>0.46</v>
      </c>
      <c r="BU1241">
        <v>3.71</v>
      </c>
      <c r="BV1241">
        <v>3.1</v>
      </c>
      <c r="BW1241">
        <v>2.68</v>
      </c>
      <c r="BX1241">
        <v>4.53</v>
      </c>
      <c r="BY1241">
        <v>0.54</v>
      </c>
      <c r="BZ1241">
        <v>1.36</v>
      </c>
      <c r="CA1241">
        <v>3.37</v>
      </c>
      <c r="CB1241">
        <v>3.14</v>
      </c>
      <c r="CC1241">
        <v>2.0499999999999998</v>
      </c>
      <c r="CD1241">
        <v>0.35</v>
      </c>
      <c r="CE1241">
        <v>1.1000000000000001</v>
      </c>
      <c r="CF1241">
        <v>1.38</v>
      </c>
      <c r="CG1241">
        <v>0</v>
      </c>
      <c r="CH1241">
        <v>1.87</v>
      </c>
      <c r="CI1241">
        <v>0</v>
      </c>
      <c r="CJ1241">
        <v>2.9</v>
      </c>
      <c r="CK1241">
        <v>47</v>
      </c>
      <c r="CL1241">
        <v>-1.04</v>
      </c>
      <c r="CM1241">
        <v>41</v>
      </c>
      <c r="CN1241">
        <v>-0.52</v>
      </c>
      <c r="CO1241">
        <v>39</v>
      </c>
      <c r="CP1241">
        <v>3.9</v>
      </c>
      <c r="CQ1241">
        <v>31</v>
      </c>
      <c r="CR1241">
        <v>0</v>
      </c>
      <c r="CS1241">
        <v>0</v>
      </c>
      <c r="CT1241">
        <v>17.600000000000001</v>
      </c>
      <c r="CU1241">
        <v>29</v>
      </c>
      <c r="CV1241">
        <v>0.35</v>
      </c>
      <c r="CW1241">
        <v>13</v>
      </c>
      <c r="CX1241" t="s">
        <v>5509</v>
      </c>
    </row>
    <row r="1242" spans="1:102" x14ac:dyDescent="0.3">
      <c r="A1242" t="str">
        <f>HYPERLINK("https://webapp.icbf.com/v2/app/bull-search/view/987112706","S1371")</f>
        <v>S1371</v>
      </c>
      <c r="B1242" t="s">
        <v>5611</v>
      </c>
      <c r="C1242" t="s">
        <v>2185</v>
      </c>
      <c r="D1242" s="1">
        <v>40571</v>
      </c>
      <c r="E1242" t="s">
        <v>92</v>
      </c>
      <c r="F1242">
        <v>100</v>
      </c>
      <c r="G1242" t="s">
        <v>93</v>
      </c>
      <c r="H1242">
        <v>125</v>
      </c>
      <c r="I1242">
        <v>85</v>
      </c>
      <c r="J1242">
        <v>66.12</v>
      </c>
      <c r="K1242">
        <v>96</v>
      </c>
      <c r="L1242">
        <v>27.21</v>
      </c>
      <c r="M1242">
        <v>87</v>
      </c>
      <c r="N1242">
        <v>36.729999999999997</v>
      </c>
      <c r="O1242">
        <v>79</v>
      </c>
      <c r="P1242">
        <v>-3.66</v>
      </c>
      <c r="Q1242">
        <v>76</v>
      </c>
      <c r="R1242">
        <v>12.68</v>
      </c>
      <c r="S1242">
        <v>78</v>
      </c>
      <c r="T1242">
        <v>-20.07</v>
      </c>
      <c r="U1242">
        <v>65</v>
      </c>
      <c r="V1242">
        <v>5.99</v>
      </c>
      <c r="W1242">
        <v>64</v>
      </c>
      <c r="X1242" t="s">
        <v>234</v>
      </c>
      <c r="Y1242" t="s">
        <v>342</v>
      </c>
      <c r="Z1242" t="s">
        <v>96</v>
      </c>
      <c r="AA1242" t="s">
        <v>1924</v>
      </c>
      <c r="AB1242" t="s">
        <v>5612</v>
      </c>
      <c r="AC1242">
        <v>50</v>
      </c>
      <c r="AD1242">
        <v>20</v>
      </c>
      <c r="AE1242">
        <v>96</v>
      </c>
      <c r="AF1242">
        <v>452.16</v>
      </c>
      <c r="AG1242">
        <v>9.77</v>
      </c>
      <c r="AH1242">
        <v>14.71</v>
      </c>
      <c r="AI1242">
        <v>-0.13</v>
      </c>
      <c r="AJ1242">
        <v>-0.01</v>
      </c>
      <c r="AK1242">
        <v>87</v>
      </c>
      <c r="AL1242">
        <v>39</v>
      </c>
      <c r="AM1242">
        <v>19</v>
      </c>
      <c r="AN1242">
        <v>-0.69</v>
      </c>
      <c r="AO1242">
        <v>1.49</v>
      </c>
      <c r="AP1242">
        <v>82</v>
      </c>
      <c r="AQ1242">
        <v>1</v>
      </c>
      <c r="AR1242">
        <v>5.35</v>
      </c>
      <c r="AS1242">
        <v>77</v>
      </c>
      <c r="AT1242">
        <v>2.08</v>
      </c>
      <c r="AU1242">
        <v>91</v>
      </c>
      <c r="AV1242">
        <v>-2.82</v>
      </c>
      <c r="AW1242">
        <v>83</v>
      </c>
      <c r="AX1242">
        <v>-7.0000000000000007E-2</v>
      </c>
      <c r="AY1242">
        <v>73</v>
      </c>
      <c r="AZ1242">
        <v>5.71</v>
      </c>
      <c r="BA1242">
        <v>62</v>
      </c>
      <c r="BB1242">
        <v>5.0199999999999996</v>
      </c>
      <c r="BC1242">
        <v>53</v>
      </c>
      <c r="BD1242">
        <v>-7.0000000000000007E-2</v>
      </c>
      <c r="BE1242">
        <v>-0.05</v>
      </c>
      <c r="BF1242">
        <v>-0.08</v>
      </c>
      <c r="BG1242">
        <v>92</v>
      </c>
      <c r="BH1242">
        <v>-0.09</v>
      </c>
      <c r="BI1242">
        <v>-29.73</v>
      </c>
      <c r="BJ1242">
        <v>21</v>
      </c>
      <c r="BK1242">
        <v>13</v>
      </c>
      <c r="BL1242">
        <v>0.69</v>
      </c>
      <c r="BM1242">
        <v>-1</v>
      </c>
      <c r="BN1242">
        <v>-0.43</v>
      </c>
      <c r="BO1242">
        <v>0.5</v>
      </c>
      <c r="BP1242">
        <v>2.04</v>
      </c>
      <c r="BQ1242">
        <v>-0.15</v>
      </c>
      <c r="BR1242">
        <v>-0.63</v>
      </c>
      <c r="BS1242">
        <v>1.68</v>
      </c>
      <c r="BT1242">
        <v>0.48</v>
      </c>
      <c r="BU1242">
        <v>1.75</v>
      </c>
      <c r="BV1242">
        <v>1.66</v>
      </c>
      <c r="BW1242">
        <v>1.8</v>
      </c>
      <c r="BX1242">
        <v>1.65</v>
      </c>
      <c r="BY1242">
        <v>1.98</v>
      </c>
      <c r="BZ1242">
        <v>-2.59</v>
      </c>
      <c r="CA1242">
        <v>1.85</v>
      </c>
      <c r="CB1242">
        <v>1.66</v>
      </c>
      <c r="CC1242">
        <v>1.56</v>
      </c>
      <c r="CD1242">
        <v>-0.14000000000000001</v>
      </c>
      <c r="CE1242">
        <v>0.81</v>
      </c>
      <c r="CF1242">
        <v>0.75</v>
      </c>
      <c r="CG1242">
        <v>0</v>
      </c>
      <c r="CH1242">
        <v>2.29</v>
      </c>
      <c r="CI1242">
        <v>0</v>
      </c>
      <c r="CJ1242">
        <v>-0.6</v>
      </c>
      <c r="CK1242">
        <v>79</v>
      </c>
      <c r="CL1242">
        <v>-1.33</v>
      </c>
      <c r="CM1242">
        <v>75</v>
      </c>
      <c r="CN1242">
        <v>-0.77</v>
      </c>
      <c r="CO1242">
        <v>73</v>
      </c>
      <c r="CP1242">
        <v>12.5</v>
      </c>
      <c r="CQ1242">
        <v>67</v>
      </c>
      <c r="CR1242">
        <v>0</v>
      </c>
      <c r="CS1242">
        <v>0</v>
      </c>
      <c r="CT1242">
        <v>40.9</v>
      </c>
      <c r="CU1242">
        <v>65</v>
      </c>
      <c r="CV1242">
        <v>0.3</v>
      </c>
      <c r="CW1242">
        <v>42</v>
      </c>
      <c r="CX1242" t="s">
        <v>309</v>
      </c>
    </row>
    <row r="1243" spans="1:102" x14ac:dyDescent="0.3">
      <c r="A1243" t="str">
        <f>HYPERLINK("https://webapp.icbf.com/v2/app/bull-search/view/319376688","LWK")</f>
        <v>LWK</v>
      </c>
      <c r="B1243" t="s">
        <v>7069</v>
      </c>
      <c r="C1243" t="s">
        <v>7070</v>
      </c>
      <c r="D1243" s="1">
        <v>35659</v>
      </c>
      <c r="E1243" t="s">
        <v>108</v>
      </c>
      <c r="F1243">
        <v>44</v>
      </c>
      <c r="G1243" t="s">
        <v>93</v>
      </c>
      <c r="H1243">
        <v>124.98</v>
      </c>
      <c r="I1243">
        <v>98</v>
      </c>
      <c r="J1243">
        <v>3.87</v>
      </c>
      <c r="K1243">
        <v>99</v>
      </c>
      <c r="L1243">
        <v>84.18</v>
      </c>
      <c r="M1243">
        <v>95</v>
      </c>
      <c r="N1243">
        <v>43.5</v>
      </c>
      <c r="O1243">
        <v>98</v>
      </c>
      <c r="P1243">
        <v>-16.87</v>
      </c>
      <c r="Q1243">
        <v>99</v>
      </c>
      <c r="R1243">
        <v>-7.31</v>
      </c>
      <c r="S1243">
        <v>97</v>
      </c>
      <c r="T1243">
        <v>20.04</v>
      </c>
      <c r="U1243">
        <v>99</v>
      </c>
      <c r="V1243">
        <v>-2.4300000000000002</v>
      </c>
      <c r="W1243">
        <v>99</v>
      </c>
      <c r="X1243" t="s">
        <v>302</v>
      </c>
      <c r="Y1243" t="s">
        <v>95</v>
      </c>
      <c r="Z1243" t="s">
        <v>330</v>
      </c>
      <c r="AA1243" t="s">
        <v>4480</v>
      </c>
      <c r="AB1243" t="s">
        <v>144</v>
      </c>
      <c r="AC1243">
        <v>1465</v>
      </c>
      <c r="AD1243">
        <v>415</v>
      </c>
      <c r="AE1243">
        <v>99</v>
      </c>
      <c r="AF1243">
        <v>-42.29</v>
      </c>
      <c r="AG1243">
        <v>-3.9</v>
      </c>
      <c r="AH1243">
        <v>1.39</v>
      </c>
      <c r="AI1243">
        <v>-0.04</v>
      </c>
      <c r="AJ1243">
        <v>0.05</v>
      </c>
      <c r="AK1243">
        <v>95</v>
      </c>
      <c r="AL1243">
        <v>1591</v>
      </c>
      <c r="AM1243">
        <v>453</v>
      </c>
      <c r="AN1243">
        <v>-4.08</v>
      </c>
      <c r="AO1243">
        <v>2.64</v>
      </c>
      <c r="AP1243">
        <v>2085</v>
      </c>
      <c r="AQ1243">
        <v>6</v>
      </c>
      <c r="AR1243">
        <v>5.2</v>
      </c>
      <c r="AS1243">
        <v>95</v>
      </c>
      <c r="AT1243">
        <v>2.0699999999999998</v>
      </c>
      <c r="AU1243">
        <v>99</v>
      </c>
      <c r="AV1243">
        <v>-3.12</v>
      </c>
      <c r="AW1243">
        <v>99</v>
      </c>
      <c r="AX1243">
        <v>-0.83</v>
      </c>
      <c r="AY1243">
        <v>98</v>
      </c>
      <c r="AZ1243">
        <v>5.22</v>
      </c>
      <c r="BA1243">
        <v>95</v>
      </c>
      <c r="BB1243">
        <v>4.72</v>
      </c>
      <c r="BC1243">
        <v>96</v>
      </c>
      <c r="BD1243">
        <v>-0.03</v>
      </c>
      <c r="BE1243">
        <v>0.02</v>
      </c>
      <c r="BF1243">
        <v>0.18</v>
      </c>
      <c r="BG1243">
        <v>99</v>
      </c>
      <c r="BH1243">
        <v>-0.03</v>
      </c>
      <c r="BI1243">
        <v>4.38</v>
      </c>
      <c r="BJ1243">
        <v>14</v>
      </c>
      <c r="BK1243">
        <v>13</v>
      </c>
      <c r="BL1243">
        <v>-1.54</v>
      </c>
      <c r="BM1243">
        <v>1.76</v>
      </c>
      <c r="BN1243">
        <v>-0.12</v>
      </c>
      <c r="BO1243">
        <v>-1.8</v>
      </c>
      <c r="BP1243">
        <v>1.33</v>
      </c>
      <c r="BQ1243">
        <v>-0.25</v>
      </c>
      <c r="BR1243">
        <v>1.53</v>
      </c>
      <c r="BS1243">
        <v>-1.24</v>
      </c>
      <c r="BT1243">
        <v>-2.84</v>
      </c>
      <c r="BU1243">
        <v>-1.29</v>
      </c>
      <c r="BV1243">
        <v>-1.91</v>
      </c>
      <c r="BW1243">
        <v>-2.2000000000000002</v>
      </c>
      <c r="BX1243">
        <v>-3.31</v>
      </c>
      <c r="BY1243">
        <v>-1.17</v>
      </c>
      <c r="BZ1243">
        <v>0.43</v>
      </c>
      <c r="CA1243">
        <v>-2.0099999999999998</v>
      </c>
      <c r="CB1243">
        <v>-1.85</v>
      </c>
      <c r="CC1243">
        <v>-1.18</v>
      </c>
      <c r="CD1243">
        <v>1.78</v>
      </c>
      <c r="CE1243">
        <v>-1.78</v>
      </c>
      <c r="CF1243">
        <v>-1.22</v>
      </c>
      <c r="CG1243">
        <v>0</v>
      </c>
      <c r="CH1243">
        <v>-1.1000000000000001</v>
      </c>
      <c r="CI1243">
        <v>0</v>
      </c>
      <c r="CJ1243">
        <v>-10.3</v>
      </c>
      <c r="CK1243">
        <v>99</v>
      </c>
      <c r="CL1243">
        <v>-0.47</v>
      </c>
      <c r="CM1243">
        <v>99</v>
      </c>
      <c r="CN1243">
        <v>-0.39</v>
      </c>
      <c r="CO1243">
        <v>99</v>
      </c>
      <c r="CP1243">
        <v>-15.8</v>
      </c>
      <c r="CQ1243">
        <v>99</v>
      </c>
      <c r="CR1243">
        <v>0</v>
      </c>
      <c r="CS1243">
        <v>0</v>
      </c>
      <c r="CT1243">
        <v>-13.3</v>
      </c>
      <c r="CU1243">
        <v>99</v>
      </c>
      <c r="CV1243">
        <v>0.01</v>
      </c>
      <c r="CW1243">
        <v>46</v>
      </c>
      <c r="CX1243" t="s">
        <v>1618</v>
      </c>
    </row>
    <row r="1244" spans="1:102" x14ac:dyDescent="0.3">
      <c r="A1244" t="str">
        <f>HYPERLINK("https://webapp.icbf.com/v2/app/bull-search/view/1141178465","FR2130")</f>
        <v>FR2130</v>
      </c>
      <c r="B1244" t="s">
        <v>13654</v>
      </c>
      <c r="C1244" t="s">
        <v>13655</v>
      </c>
      <c r="D1244" s="1">
        <v>41684</v>
      </c>
      <c r="E1244" t="s">
        <v>92</v>
      </c>
      <c r="F1244">
        <v>69</v>
      </c>
      <c r="G1244" t="s">
        <v>93</v>
      </c>
      <c r="H1244">
        <v>124.91</v>
      </c>
      <c r="I1244">
        <v>81</v>
      </c>
      <c r="J1244">
        <v>30.34</v>
      </c>
      <c r="K1244">
        <v>95</v>
      </c>
      <c r="L1244">
        <v>54.2</v>
      </c>
      <c r="M1244">
        <v>73</v>
      </c>
      <c r="N1244">
        <v>21.15</v>
      </c>
      <c r="O1244">
        <v>82</v>
      </c>
      <c r="P1244">
        <v>-11.22</v>
      </c>
      <c r="Q1244">
        <v>87</v>
      </c>
      <c r="R1244">
        <v>13.89</v>
      </c>
      <c r="S1244">
        <v>74</v>
      </c>
      <c r="T1244">
        <v>12.49</v>
      </c>
      <c r="U1244">
        <v>59</v>
      </c>
      <c r="V1244">
        <v>4.0599999999999996</v>
      </c>
      <c r="W1244">
        <v>67</v>
      </c>
      <c r="X1244" t="s">
        <v>276</v>
      </c>
      <c r="Y1244" t="s">
        <v>416</v>
      </c>
      <c r="Z1244" t="s">
        <v>96</v>
      </c>
      <c r="AA1244" t="s">
        <v>9180</v>
      </c>
      <c r="AB1244" t="s">
        <v>13656</v>
      </c>
      <c r="AC1244">
        <v>83</v>
      </c>
      <c r="AD1244">
        <v>46</v>
      </c>
      <c r="AE1244">
        <v>95</v>
      </c>
      <c r="AF1244">
        <v>175.99</v>
      </c>
      <c r="AG1244">
        <v>3.15</v>
      </c>
      <c r="AH1244">
        <v>6.74</v>
      </c>
      <c r="AI1244">
        <v>-0.06</v>
      </c>
      <c r="AJ1244">
        <v>0.01</v>
      </c>
      <c r="AK1244">
        <v>73</v>
      </c>
      <c r="AL1244">
        <v>33</v>
      </c>
      <c r="AM1244">
        <v>17</v>
      </c>
      <c r="AN1244">
        <v>-3.14</v>
      </c>
      <c r="AO1244">
        <v>1.18</v>
      </c>
      <c r="AP1244">
        <v>179</v>
      </c>
      <c r="AQ1244">
        <v>0</v>
      </c>
      <c r="AR1244">
        <v>4.18</v>
      </c>
      <c r="AS1244">
        <v>73</v>
      </c>
      <c r="AT1244">
        <v>1.69</v>
      </c>
      <c r="AU1244">
        <v>85</v>
      </c>
      <c r="AV1244">
        <v>-1.47</v>
      </c>
      <c r="AW1244">
        <v>95</v>
      </c>
      <c r="AX1244">
        <v>0.14000000000000001</v>
      </c>
      <c r="AY1244">
        <v>76</v>
      </c>
      <c r="AZ1244">
        <v>8.51</v>
      </c>
      <c r="BA1244">
        <v>65</v>
      </c>
      <c r="BB1244">
        <v>5.84</v>
      </c>
      <c r="BC1244">
        <v>49</v>
      </c>
      <c r="BD1244">
        <v>-0.02</v>
      </c>
      <c r="BE1244">
        <v>-0.04</v>
      </c>
      <c r="BF1244">
        <v>-0.21</v>
      </c>
      <c r="BG1244">
        <v>85</v>
      </c>
      <c r="BH1244">
        <v>0.05</v>
      </c>
      <c r="BI1244">
        <v>-7.32</v>
      </c>
      <c r="BJ1244">
        <v>0</v>
      </c>
      <c r="BK1244">
        <v>0</v>
      </c>
      <c r="BL1244">
        <v>-1.78</v>
      </c>
      <c r="BM1244">
        <v>7.0000000000000007E-2</v>
      </c>
      <c r="BN1244">
        <v>-1.42</v>
      </c>
      <c r="BO1244">
        <v>-1.1499999999999999</v>
      </c>
      <c r="BP1244">
        <v>1.06</v>
      </c>
      <c r="BQ1244">
        <v>-1.71</v>
      </c>
      <c r="BR1244">
        <v>-2.08</v>
      </c>
      <c r="BS1244">
        <v>-0.33</v>
      </c>
      <c r="BT1244">
        <v>0.26</v>
      </c>
      <c r="BU1244">
        <v>-0.39</v>
      </c>
      <c r="BV1244">
        <v>-0.81</v>
      </c>
      <c r="BW1244">
        <v>-0.79</v>
      </c>
      <c r="BX1244">
        <v>-7.0000000000000007E-2</v>
      </c>
      <c r="BY1244">
        <v>-1.18</v>
      </c>
      <c r="BZ1244">
        <v>-0.76</v>
      </c>
      <c r="CA1244">
        <v>-1.1000000000000001</v>
      </c>
      <c r="CB1244">
        <v>-1.22</v>
      </c>
      <c r="CC1244">
        <v>-0.38</v>
      </c>
      <c r="CD1244">
        <v>0.67</v>
      </c>
      <c r="CE1244">
        <v>-1.1299999999999999</v>
      </c>
      <c r="CF1244">
        <v>-1.64</v>
      </c>
      <c r="CG1244">
        <v>0</v>
      </c>
      <c r="CH1244">
        <v>-0.97</v>
      </c>
      <c r="CI1244">
        <v>0</v>
      </c>
      <c r="CJ1244">
        <v>-5</v>
      </c>
      <c r="CK1244">
        <v>90</v>
      </c>
      <c r="CL1244">
        <v>-0.61</v>
      </c>
      <c r="CM1244">
        <v>88</v>
      </c>
      <c r="CN1244">
        <v>-0.21</v>
      </c>
      <c r="CO1244">
        <v>87</v>
      </c>
      <c r="CP1244">
        <v>-3.2</v>
      </c>
      <c r="CQ1244">
        <v>64</v>
      </c>
      <c r="CR1244">
        <v>0</v>
      </c>
      <c r="CS1244">
        <v>0</v>
      </c>
      <c r="CT1244">
        <v>-3.1</v>
      </c>
      <c r="CU1244">
        <v>59</v>
      </c>
      <c r="CV1244">
        <v>0.08</v>
      </c>
      <c r="CW1244">
        <v>45</v>
      </c>
      <c r="CX1244" t="s">
        <v>1942</v>
      </c>
    </row>
    <row r="1245" spans="1:102" x14ac:dyDescent="0.3">
      <c r="A1245" t="str">
        <f>HYPERLINK("https://webapp.icbf.com/v2/app/bull-search/view/720504618","S1522")</f>
        <v>S1522</v>
      </c>
      <c r="B1245" t="s">
        <v>369</v>
      </c>
      <c r="C1245" t="s">
        <v>370</v>
      </c>
      <c r="D1245" s="1">
        <v>39515</v>
      </c>
      <c r="E1245" t="s">
        <v>227</v>
      </c>
      <c r="F1245">
        <v>0</v>
      </c>
      <c r="G1245" t="s">
        <v>109</v>
      </c>
      <c r="H1245">
        <v>124.85</v>
      </c>
      <c r="I1245">
        <v>61</v>
      </c>
      <c r="J1245">
        <v>43.57</v>
      </c>
      <c r="K1245">
        <v>70</v>
      </c>
      <c r="L1245">
        <v>69.09</v>
      </c>
      <c r="M1245">
        <v>65</v>
      </c>
      <c r="N1245">
        <v>-1.35</v>
      </c>
      <c r="O1245">
        <v>70</v>
      </c>
      <c r="P1245">
        <v>-64.77</v>
      </c>
      <c r="Q1245">
        <v>46</v>
      </c>
      <c r="R1245">
        <v>6.87</v>
      </c>
      <c r="S1245">
        <v>41</v>
      </c>
      <c r="T1245">
        <v>65.63</v>
      </c>
      <c r="U1245">
        <v>36</v>
      </c>
      <c r="V1245">
        <v>5.81</v>
      </c>
      <c r="W1245">
        <v>40</v>
      </c>
      <c r="X1245" t="s">
        <v>94</v>
      </c>
      <c r="Y1245" t="s">
        <v>362</v>
      </c>
      <c r="Z1245">
        <v>0</v>
      </c>
      <c r="AA1245" t="s">
        <v>371</v>
      </c>
      <c r="AB1245" t="s">
        <v>144</v>
      </c>
      <c r="AC1245">
        <v>0</v>
      </c>
      <c r="AD1245">
        <v>0</v>
      </c>
      <c r="AE1245">
        <v>70</v>
      </c>
      <c r="AF1245">
        <v>-585.83000000000004</v>
      </c>
      <c r="AG1245">
        <v>11.88</v>
      </c>
      <c r="AH1245">
        <v>-5.76</v>
      </c>
      <c r="AI1245">
        <v>0.64</v>
      </c>
      <c r="AJ1245">
        <v>0.26</v>
      </c>
      <c r="AK1245">
        <v>65</v>
      </c>
      <c r="AL1245">
        <v>0</v>
      </c>
      <c r="AM1245">
        <v>0</v>
      </c>
      <c r="AN1245">
        <v>-2.97</v>
      </c>
      <c r="AO1245">
        <v>2.5499999999999998</v>
      </c>
      <c r="AP1245">
        <v>92</v>
      </c>
      <c r="AQ1245">
        <v>2</v>
      </c>
      <c r="AR1245">
        <v>3.15</v>
      </c>
      <c r="AS1245">
        <v>57</v>
      </c>
      <c r="AT1245">
        <v>1.9</v>
      </c>
      <c r="AU1245">
        <v>65</v>
      </c>
      <c r="AV1245">
        <v>-1.91</v>
      </c>
      <c r="AW1245">
        <v>93</v>
      </c>
      <c r="AX1245">
        <v>14.57</v>
      </c>
      <c r="AY1245">
        <v>64</v>
      </c>
      <c r="AZ1245">
        <v>5.7</v>
      </c>
      <c r="BA1245">
        <v>38</v>
      </c>
      <c r="BB1245">
        <v>4.62</v>
      </c>
      <c r="BC1245">
        <v>26</v>
      </c>
      <c r="BD1245">
        <v>-0.03</v>
      </c>
      <c r="BE1245">
        <v>-0.02</v>
      </c>
      <c r="BF1245">
        <v>-7.0000000000000007E-2</v>
      </c>
      <c r="BG1245">
        <v>53</v>
      </c>
      <c r="BH1245">
        <v>7.0000000000000007E-2</v>
      </c>
      <c r="BI1245">
        <v>-10.66</v>
      </c>
      <c r="BJ1245">
        <v>0</v>
      </c>
      <c r="BK1245">
        <v>0</v>
      </c>
      <c r="BL1245">
        <v>-1.37</v>
      </c>
      <c r="BM1245">
        <v>-1.46</v>
      </c>
      <c r="BN1245">
        <v>-0.05</v>
      </c>
      <c r="BO1245">
        <v>1.38</v>
      </c>
      <c r="BP1245">
        <v>-0.54</v>
      </c>
      <c r="BQ1245">
        <v>-5.05</v>
      </c>
      <c r="BR1245">
        <v>1.71</v>
      </c>
      <c r="BS1245">
        <v>6.8</v>
      </c>
      <c r="BT1245">
        <v>-0.8</v>
      </c>
      <c r="BU1245">
        <v>0.32</v>
      </c>
      <c r="BV1245">
        <v>0.47</v>
      </c>
      <c r="BW1245">
        <v>-1.55</v>
      </c>
      <c r="BX1245">
        <v>-2.46</v>
      </c>
      <c r="BY1245">
        <v>0.01</v>
      </c>
      <c r="BZ1245">
        <v>0.36</v>
      </c>
      <c r="CA1245">
        <v>2.0299999999999998</v>
      </c>
      <c r="CB1245">
        <v>0.41</v>
      </c>
      <c r="CC1245">
        <v>4.42</v>
      </c>
      <c r="CD1245">
        <v>-2.12</v>
      </c>
      <c r="CE1245">
        <v>1.26</v>
      </c>
      <c r="CF1245">
        <v>-1.18</v>
      </c>
      <c r="CG1245">
        <v>0</v>
      </c>
      <c r="CH1245">
        <v>-0.86</v>
      </c>
      <c r="CI1245">
        <v>0</v>
      </c>
      <c r="CJ1245">
        <v>-35.6</v>
      </c>
      <c r="CK1245">
        <v>50</v>
      </c>
      <c r="CL1245">
        <v>-1.3</v>
      </c>
      <c r="CM1245">
        <v>42</v>
      </c>
      <c r="CN1245">
        <v>-0.49</v>
      </c>
      <c r="CO1245">
        <v>37</v>
      </c>
      <c r="CP1245">
        <v>-53.1</v>
      </c>
      <c r="CQ1245">
        <v>41</v>
      </c>
      <c r="CR1245">
        <v>0</v>
      </c>
      <c r="CS1245">
        <v>0</v>
      </c>
      <c r="CT1245">
        <v>-74.900000000000006</v>
      </c>
      <c r="CU1245">
        <v>36</v>
      </c>
      <c r="CV1245">
        <v>-0.4</v>
      </c>
      <c r="CW1245">
        <v>12</v>
      </c>
      <c r="CX1245" t="s">
        <v>372</v>
      </c>
    </row>
    <row r="1246" spans="1:102" x14ac:dyDescent="0.3">
      <c r="A1246" t="str">
        <f>HYPERLINK("https://webapp.icbf.com/v2/app/bull-search/view/812469672","S2088")</f>
        <v>S2088</v>
      </c>
      <c r="B1246" t="s">
        <v>5784</v>
      </c>
      <c r="C1246" t="s">
        <v>5785</v>
      </c>
      <c r="D1246" s="1">
        <v>39888</v>
      </c>
      <c r="E1246" t="s">
        <v>227</v>
      </c>
      <c r="F1246">
        <v>0</v>
      </c>
      <c r="G1246" t="s">
        <v>93</v>
      </c>
      <c r="H1246">
        <v>124.73</v>
      </c>
      <c r="I1246">
        <v>85</v>
      </c>
      <c r="J1246">
        <v>35.32</v>
      </c>
      <c r="K1246">
        <v>96</v>
      </c>
      <c r="L1246">
        <v>65.97</v>
      </c>
      <c r="M1246">
        <v>81</v>
      </c>
      <c r="N1246">
        <v>5.41</v>
      </c>
      <c r="O1246">
        <v>84</v>
      </c>
      <c r="P1246">
        <v>-49.16</v>
      </c>
      <c r="Q1246">
        <v>82</v>
      </c>
      <c r="R1246">
        <v>5.8</v>
      </c>
      <c r="S1246">
        <v>64</v>
      </c>
      <c r="T1246">
        <v>60.45</v>
      </c>
      <c r="U1246">
        <v>91</v>
      </c>
      <c r="V1246">
        <v>0.94</v>
      </c>
      <c r="W1246">
        <v>56</v>
      </c>
      <c r="X1246" t="s">
        <v>94</v>
      </c>
      <c r="Y1246" t="s">
        <v>367</v>
      </c>
      <c r="Z1246">
        <v>0</v>
      </c>
      <c r="AA1246" t="s">
        <v>5786</v>
      </c>
      <c r="AB1246" t="s">
        <v>144</v>
      </c>
      <c r="AC1246">
        <v>154</v>
      </c>
      <c r="AD1246">
        <v>43</v>
      </c>
      <c r="AE1246">
        <v>96</v>
      </c>
      <c r="AF1246">
        <v>-306.45</v>
      </c>
      <c r="AG1246">
        <v>10.14</v>
      </c>
      <c r="AH1246">
        <v>-2.27</v>
      </c>
      <c r="AI1246">
        <v>0.39</v>
      </c>
      <c r="AJ1246">
        <v>0.14000000000000001</v>
      </c>
      <c r="AK1246">
        <v>81</v>
      </c>
      <c r="AL1246">
        <v>115</v>
      </c>
      <c r="AM1246">
        <v>44</v>
      </c>
      <c r="AN1246">
        <v>-2.12</v>
      </c>
      <c r="AO1246">
        <v>3.16</v>
      </c>
      <c r="AP1246">
        <v>313</v>
      </c>
      <c r="AQ1246">
        <v>4</v>
      </c>
      <c r="AR1246">
        <v>3.7</v>
      </c>
      <c r="AS1246">
        <v>86</v>
      </c>
      <c r="AT1246">
        <v>2.2599999999999998</v>
      </c>
      <c r="AU1246">
        <v>84</v>
      </c>
      <c r="AV1246">
        <v>-1.35</v>
      </c>
      <c r="AW1246">
        <v>97</v>
      </c>
      <c r="AX1246">
        <v>7.62</v>
      </c>
      <c r="AY1246">
        <v>84</v>
      </c>
      <c r="AZ1246">
        <v>6.75</v>
      </c>
      <c r="BA1246">
        <v>65</v>
      </c>
      <c r="BB1246">
        <v>5.07</v>
      </c>
      <c r="BC1246">
        <v>46</v>
      </c>
      <c r="BD1246">
        <v>-0.02</v>
      </c>
      <c r="BE1246">
        <v>0</v>
      </c>
      <c r="BF1246">
        <v>-0.1</v>
      </c>
      <c r="BG1246">
        <v>84</v>
      </c>
      <c r="BH1246">
        <v>0.06</v>
      </c>
      <c r="BI1246">
        <v>3.92</v>
      </c>
      <c r="BJ1246">
        <v>2</v>
      </c>
      <c r="BK1246">
        <v>2</v>
      </c>
      <c r="BL1246">
        <v>-0.85</v>
      </c>
      <c r="BM1246">
        <v>-0.95</v>
      </c>
      <c r="BN1246">
        <v>0.15</v>
      </c>
      <c r="BO1246">
        <v>1.35</v>
      </c>
      <c r="BP1246">
        <v>-0.26</v>
      </c>
      <c r="BQ1246">
        <v>-3.72</v>
      </c>
      <c r="BR1246">
        <v>1.52</v>
      </c>
      <c r="BS1246">
        <v>7.07</v>
      </c>
      <c r="BT1246">
        <v>-0.67</v>
      </c>
      <c r="BU1246">
        <v>0.93</v>
      </c>
      <c r="BV1246">
        <v>0.8</v>
      </c>
      <c r="BW1246">
        <v>-0.81</v>
      </c>
      <c r="BX1246">
        <v>-1.63</v>
      </c>
      <c r="BY1246">
        <v>0.22</v>
      </c>
      <c r="BZ1246">
        <v>1.96</v>
      </c>
      <c r="CA1246">
        <v>2.57</v>
      </c>
      <c r="CB1246">
        <v>1.1499999999999999</v>
      </c>
      <c r="CC1246">
        <v>4.3099999999999996</v>
      </c>
      <c r="CD1246">
        <v>-1.72</v>
      </c>
      <c r="CE1246">
        <v>1.25</v>
      </c>
      <c r="CF1246">
        <v>-0.26</v>
      </c>
      <c r="CG1246">
        <v>0</v>
      </c>
      <c r="CH1246">
        <v>-0.32</v>
      </c>
      <c r="CI1246">
        <v>0</v>
      </c>
      <c r="CJ1246">
        <v>-27.3</v>
      </c>
      <c r="CK1246">
        <v>85</v>
      </c>
      <c r="CL1246">
        <v>-1.03</v>
      </c>
      <c r="CM1246">
        <v>79</v>
      </c>
      <c r="CN1246">
        <v>-0.48</v>
      </c>
      <c r="CO1246">
        <v>77</v>
      </c>
      <c r="CP1246">
        <v>-43.2</v>
      </c>
      <c r="CQ1246">
        <v>71</v>
      </c>
      <c r="CR1246">
        <v>0</v>
      </c>
      <c r="CS1246">
        <v>0</v>
      </c>
      <c r="CT1246">
        <v>-67.900000000000006</v>
      </c>
      <c r="CU1246">
        <v>91</v>
      </c>
      <c r="CV1246">
        <v>-0.34</v>
      </c>
      <c r="CW1246">
        <v>23</v>
      </c>
      <c r="CX1246" t="s">
        <v>371</v>
      </c>
    </row>
    <row r="1247" spans="1:102" x14ac:dyDescent="0.3">
      <c r="A1247" t="str">
        <f>HYPERLINK("https://webapp.icbf.com/v2/app/bull-search/view/379836713","LGI")</f>
        <v>LGI</v>
      </c>
      <c r="B1247" t="s">
        <v>11835</v>
      </c>
      <c r="C1247" t="s">
        <v>4822</v>
      </c>
      <c r="D1247" s="1">
        <v>36015</v>
      </c>
      <c r="E1247" t="s">
        <v>108</v>
      </c>
      <c r="F1247">
        <v>44</v>
      </c>
      <c r="G1247" t="s">
        <v>109</v>
      </c>
      <c r="H1247">
        <v>124.73</v>
      </c>
      <c r="I1247">
        <v>85</v>
      </c>
      <c r="J1247">
        <v>52.36</v>
      </c>
      <c r="K1247">
        <v>95</v>
      </c>
      <c r="L1247">
        <v>42.94</v>
      </c>
      <c r="M1247">
        <v>87</v>
      </c>
      <c r="N1247">
        <v>13.68</v>
      </c>
      <c r="O1247">
        <v>73</v>
      </c>
      <c r="P1247">
        <v>-3.97</v>
      </c>
      <c r="Q1247">
        <v>67</v>
      </c>
      <c r="R1247">
        <v>6.29</v>
      </c>
      <c r="S1247">
        <v>82</v>
      </c>
      <c r="T1247">
        <v>8.5</v>
      </c>
      <c r="U1247">
        <v>69</v>
      </c>
      <c r="V1247">
        <v>4.93</v>
      </c>
      <c r="W1247">
        <v>75</v>
      </c>
      <c r="X1247" t="s">
        <v>302</v>
      </c>
      <c r="Y1247" t="s">
        <v>95</v>
      </c>
      <c r="Z1247" t="s">
        <v>528</v>
      </c>
      <c r="AA1247" t="s">
        <v>2740</v>
      </c>
      <c r="AB1247" t="s">
        <v>11836</v>
      </c>
      <c r="AC1247">
        <v>0</v>
      </c>
      <c r="AD1247">
        <v>0</v>
      </c>
      <c r="AE1247">
        <v>95</v>
      </c>
      <c r="AF1247">
        <v>105.44</v>
      </c>
      <c r="AG1247">
        <v>7.63</v>
      </c>
      <c r="AH1247">
        <v>7.82</v>
      </c>
      <c r="AI1247">
        <v>0.06</v>
      </c>
      <c r="AJ1247">
        <v>7.0000000000000007E-2</v>
      </c>
      <c r="AK1247">
        <v>87</v>
      </c>
      <c r="AL1247">
        <v>0</v>
      </c>
      <c r="AM1247">
        <v>0</v>
      </c>
      <c r="AN1247">
        <v>-1.89</v>
      </c>
      <c r="AO1247">
        <v>1.54</v>
      </c>
      <c r="AP1247">
        <v>1</v>
      </c>
      <c r="AQ1247">
        <v>0</v>
      </c>
      <c r="AR1247">
        <v>8.8699999999999992</v>
      </c>
      <c r="AS1247">
        <v>70</v>
      </c>
      <c r="AT1247">
        <v>2.8</v>
      </c>
      <c r="AU1247">
        <v>87</v>
      </c>
      <c r="AV1247">
        <v>-1.43</v>
      </c>
      <c r="AW1247">
        <v>69</v>
      </c>
      <c r="AX1247">
        <v>0.06</v>
      </c>
      <c r="AY1247">
        <v>67</v>
      </c>
      <c r="AZ1247">
        <v>5.5</v>
      </c>
      <c r="BA1247">
        <v>65</v>
      </c>
      <c r="BB1247">
        <v>4.66</v>
      </c>
      <c r="BC1247">
        <v>66</v>
      </c>
      <c r="BD1247">
        <v>-7.0000000000000007E-2</v>
      </c>
      <c r="BE1247">
        <v>-0.02</v>
      </c>
      <c r="BF1247">
        <v>0.01</v>
      </c>
      <c r="BG1247">
        <v>93</v>
      </c>
      <c r="BH1247">
        <v>0.03</v>
      </c>
      <c r="BI1247">
        <v>-12.44</v>
      </c>
      <c r="BJ1247">
        <v>0</v>
      </c>
      <c r="BK1247">
        <v>0</v>
      </c>
      <c r="BL1247">
        <v>-1.58</v>
      </c>
      <c r="BM1247">
        <v>1.8</v>
      </c>
      <c r="BN1247">
        <v>-0.23</v>
      </c>
      <c r="BO1247">
        <v>-2.58</v>
      </c>
      <c r="BP1247">
        <v>0.03</v>
      </c>
      <c r="BQ1247">
        <v>-1.66</v>
      </c>
      <c r="BR1247">
        <v>2.79</v>
      </c>
      <c r="BS1247">
        <v>-2.46</v>
      </c>
      <c r="BT1247">
        <v>-2.33</v>
      </c>
      <c r="BU1247">
        <v>-0.74</v>
      </c>
      <c r="BV1247">
        <v>-2.4900000000000002</v>
      </c>
      <c r="BW1247">
        <v>-2.14</v>
      </c>
      <c r="BX1247">
        <v>-1.91</v>
      </c>
      <c r="BY1247">
        <v>-1.06</v>
      </c>
      <c r="BZ1247">
        <v>1.54</v>
      </c>
      <c r="CA1247">
        <v>-1.56</v>
      </c>
      <c r="CB1247">
        <v>-1.72</v>
      </c>
      <c r="CC1247">
        <v>-2.2599999999999998</v>
      </c>
      <c r="CD1247">
        <v>1.85</v>
      </c>
      <c r="CE1247">
        <v>-2.4500000000000002</v>
      </c>
      <c r="CF1247">
        <v>-2.02</v>
      </c>
      <c r="CG1247">
        <v>0</v>
      </c>
      <c r="CH1247">
        <v>-0.91</v>
      </c>
      <c r="CI1247">
        <v>0</v>
      </c>
      <c r="CJ1247">
        <v>-2.2000000000000002</v>
      </c>
      <c r="CK1247">
        <v>67</v>
      </c>
      <c r="CL1247">
        <v>-0.46</v>
      </c>
      <c r="CM1247">
        <v>66</v>
      </c>
      <c r="CN1247">
        <v>-0.41</v>
      </c>
      <c r="CO1247">
        <v>66</v>
      </c>
      <c r="CP1247">
        <v>-6.6</v>
      </c>
      <c r="CQ1247">
        <v>67</v>
      </c>
      <c r="CR1247">
        <v>0</v>
      </c>
      <c r="CS1247">
        <v>0</v>
      </c>
      <c r="CT1247">
        <v>2.2999999999999998</v>
      </c>
      <c r="CU1247">
        <v>69</v>
      </c>
      <c r="CV1247">
        <v>0.17</v>
      </c>
      <c r="CW1247">
        <v>41</v>
      </c>
      <c r="CX1247" t="s">
        <v>6601</v>
      </c>
    </row>
    <row r="1248" spans="1:102" x14ac:dyDescent="0.3">
      <c r="A1248" t="str">
        <f>HYPERLINK("https://webapp.icbf.com/v2/app/bull-search/view/440614343","CZR")</f>
        <v>CZR</v>
      </c>
      <c r="B1248" t="s">
        <v>15627</v>
      </c>
      <c r="C1248" t="s">
        <v>15628</v>
      </c>
      <c r="D1248" s="1">
        <v>38743</v>
      </c>
      <c r="E1248" t="s">
        <v>92</v>
      </c>
      <c r="F1248">
        <v>88</v>
      </c>
      <c r="G1248" t="s">
        <v>93</v>
      </c>
      <c r="H1248">
        <v>124.67</v>
      </c>
      <c r="I1248">
        <v>95</v>
      </c>
      <c r="J1248">
        <v>-11.9</v>
      </c>
      <c r="K1248">
        <v>99</v>
      </c>
      <c r="L1248">
        <v>44.14</v>
      </c>
      <c r="M1248">
        <v>89</v>
      </c>
      <c r="N1248">
        <v>53.11</v>
      </c>
      <c r="O1248">
        <v>95</v>
      </c>
      <c r="P1248">
        <v>-7.74</v>
      </c>
      <c r="Q1248">
        <v>98</v>
      </c>
      <c r="R1248">
        <v>14.34</v>
      </c>
      <c r="S1248">
        <v>93</v>
      </c>
      <c r="T1248">
        <v>20.41</v>
      </c>
      <c r="U1248">
        <v>97</v>
      </c>
      <c r="V1248">
        <v>12.31</v>
      </c>
      <c r="W1248">
        <v>94</v>
      </c>
      <c r="X1248" t="s">
        <v>94</v>
      </c>
      <c r="Y1248" t="s">
        <v>1251</v>
      </c>
      <c r="Z1248" t="s">
        <v>96</v>
      </c>
      <c r="AA1248" t="s">
        <v>1165</v>
      </c>
      <c r="AB1248" t="s">
        <v>15629</v>
      </c>
      <c r="AC1248">
        <v>431</v>
      </c>
      <c r="AD1248">
        <v>218</v>
      </c>
      <c r="AE1248">
        <v>99</v>
      </c>
      <c r="AF1248">
        <v>-363.6</v>
      </c>
      <c r="AG1248">
        <v>1.36</v>
      </c>
      <c r="AH1248">
        <v>-8.07</v>
      </c>
      <c r="AI1248">
        <v>0.28999999999999998</v>
      </c>
      <c r="AJ1248">
        <v>0.08</v>
      </c>
      <c r="AK1248">
        <v>89</v>
      </c>
      <c r="AL1248">
        <v>420</v>
      </c>
      <c r="AM1248">
        <v>232</v>
      </c>
      <c r="AN1248">
        <v>-1.66</v>
      </c>
      <c r="AO1248">
        <v>1.87</v>
      </c>
      <c r="AP1248">
        <v>868</v>
      </c>
      <c r="AQ1248">
        <v>3</v>
      </c>
      <c r="AR1248">
        <v>5.58</v>
      </c>
      <c r="AS1248">
        <v>93</v>
      </c>
      <c r="AT1248">
        <v>2.21</v>
      </c>
      <c r="AU1248">
        <v>96</v>
      </c>
      <c r="AV1248">
        <v>-4.71</v>
      </c>
      <c r="AW1248">
        <v>99</v>
      </c>
      <c r="AX1248">
        <v>-0.13</v>
      </c>
      <c r="AY1248">
        <v>95</v>
      </c>
      <c r="AZ1248">
        <v>5.5</v>
      </c>
      <c r="BA1248">
        <v>87</v>
      </c>
      <c r="BB1248">
        <v>4.53</v>
      </c>
      <c r="BC1248">
        <v>88</v>
      </c>
      <c r="BD1248">
        <v>-0.04</v>
      </c>
      <c r="BE1248">
        <v>-7.0000000000000007E-2</v>
      </c>
      <c r="BF1248">
        <v>-0.13</v>
      </c>
      <c r="BG1248">
        <v>97</v>
      </c>
      <c r="BH1248">
        <v>0.23</v>
      </c>
      <c r="BI1248">
        <v>-13.09</v>
      </c>
      <c r="BJ1248">
        <v>14</v>
      </c>
      <c r="BK1248">
        <v>11</v>
      </c>
      <c r="BL1248">
        <v>-0.41</v>
      </c>
      <c r="BM1248">
        <v>-0.6</v>
      </c>
      <c r="BN1248">
        <v>-1.54</v>
      </c>
      <c r="BO1248">
        <v>-0.8</v>
      </c>
      <c r="BP1248">
        <v>1.07</v>
      </c>
      <c r="BQ1248">
        <v>-2.3199999999999998</v>
      </c>
      <c r="BR1248">
        <v>1.63</v>
      </c>
      <c r="BS1248">
        <v>-2.79</v>
      </c>
      <c r="BT1248">
        <v>-2.13</v>
      </c>
      <c r="BU1248">
        <v>-1.75</v>
      </c>
      <c r="BV1248">
        <v>-2.21</v>
      </c>
      <c r="BW1248">
        <v>-1.28</v>
      </c>
      <c r="BX1248">
        <v>-0.49</v>
      </c>
      <c r="BY1248">
        <v>-0.65</v>
      </c>
      <c r="BZ1248">
        <v>-3.47</v>
      </c>
      <c r="CA1248">
        <v>-1.59</v>
      </c>
      <c r="CB1248">
        <v>-1.01</v>
      </c>
      <c r="CC1248">
        <v>-2.2200000000000002</v>
      </c>
      <c r="CD1248">
        <v>0.09</v>
      </c>
      <c r="CE1248">
        <v>-0.93</v>
      </c>
      <c r="CF1248">
        <v>-1.25</v>
      </c>
      <c r="CG1248">
        <v>0</v>
      </c>
      <c r="CH1248">
        <v>7.0000000000000007E-2</v>
      </c>
      <c r="CI1248">
        <v>0</v>
      </c>
      <c r="CJ1248">
        <v>-1.1000000000000001</v>
      </c>
      <c r="CK1248">
        <v>98</v>
      </c>
      <c r="CL1248">
        <v>-0.56999999999999995</v>
      </c>
      <c r="CM1248">
        <v>98</v>
      </c>
      <c r="CN1248">
        <v>-0.08</v>
      </c>
      <c r="CO1248">
        <v>97</v>
      </c>
      <c r="CP1248">
        <v>-8.5</v>
      </c>
      <c r="CQ1248">
        <v>97</v>
      </c>
      <c r="CR1248">
        <v>0</v>
      </c>
      <c r="CS1248">
        <v>0</v>
      </c>
      <c r="CT1248">
        <v>-13.8</v>
      </c>
      <c r="CU1248">
        <v>97</v>
      </c>
      <c r="CV1248">
        <v>0.15</v>
      </c>
      <c r="CW1248">
        <v>48</v>
      </c>
      <c r="CX1248" t="s">
        <v>1037</v>
      </c>
    </row>
    <row r="1249" spans="1:102" x14ac:dyDescent="0.3">
      <c r="A1249" t="str">
        <f>HYPERLINK("https://webapp.icbf.com/v2/app/bull-search/view/585539307","LBN")</f>
        <v>LBN</v>
      </c>
      <c r="B1249" t="s">
        <v>8220</v>
      </c>
      <c r="C1249" t="s">
        <v>8221</v>
      </c>
      <c r="D1249" s="1">
        <v>39555</v>
      </c>
      <c r="E1249" t="s">
        <v>92</v>
      </c>
      <c r="F1249">
        <v>100</v>
      </c>
      <c r="G1249" t="s">
        <v>93</v>
      </c>
      <c r="H1249">
        <v>124.66</v>
      </c>
      <c r="I1249">
        <v>90</v>
      </c>
      <c r="J1249">
        <v>2.59</v>
      </c>
      <c r="K1249">
        <v>98</v>
      </c>
      <c r="L1249">
        <v>76.34</v>
      </c>
      <c r="M1249">
        <v>83</v>
      </c>
      <c r="N1249">
        <v>35.799999999999997</v>
      </c>
      <c r="O1249">
        <v>89</v>
      </c>
      <c r="P1249">
        <v>-7.61</v>
      </c>
      <c r="Q1249">
        <v>95</v>
      </c>
      <c r="R1249">
        <v>10.02</v>
      </c>
      <c r="S1249">
        <v>85</v>
      </c>
      <c r="T1249">
        <v>4.5</v>
      </c>
      <c r="U1249">
        <v>91</v>
      </c>
      <c r="V1249">
        <v>3.02</v>
      </c>
      <c r="W1249">
        <v>85</v>
      </c>
      <c r="X1249" t="s">
        <v>102</v>
      </c>
      <c r="Y1249" t="s">
        <v>1513</v>
      </c>
      <c r="Z1249" t="s">
        <v>96</v>
      </c>
      <c r="AA1249" t="s">
        <v>277</v>
      </c>
      <c r="AB1249" t="s">
        <v>8222</v>
      </c>
      <c r="AC1249">
        <v>161</v>
      </c>
      <c r="AD1249">
        <v>95</v>
      </c>
      <c r="AE1249">
        <v>98</v>
      </c>
      <c r="AF1249">
        <v>165.78</v>
      </c>
      <c r="AG1249">
        <v>0.19</v>
      </c>
      <c r="AH1249">
        <v>2.91</v>
      </c>
      <c r="AI1249">
        <v>-0.11</v>
      </c>
      <c r="AJ1249">
        <v>-0.05</v>
      </c>
      <c r="AK1249">
        <v>83</v>
      </c>
      <c r="AL1249">
        <v>156</v>
      </c>
      <c r="AM1249">
        <v>89</v>
      </c>
      <c r="AN1249">
        <v>-3.98</v>
      </c>
      <c r="AO1249">
        <v>2.11</v>
      </c>
      <c r="AP1249">
        <v>317</v>
      </c>
      <c r="AQ1249">
        <v>4</v>
      </c>
      <c r="AR1249">
        <v>6.52</v>
      </c>
      <c r="AS1249">
        <v>77</v>
      </c>
      <c r="AT1249">
        <v>2.54</v>
      </c>
      <c r="AU1249">
        <v>92</v>
      </c>
      <c r="AV1249">
        <v>-3.43</v>
      </c>
      <c r="AW1249">
        <v>97</v>
      </c>
      <c r="AX1249">
        <v>0.4</v>
      </c>
      <c r="AY1249">
        <v>88</v>
      </c>
      <c r="AZ1249">
        <v>5.93</v>
      </c>
      <c r="BA1249">
        <v>71</v>
      </c>
      <c r="BB1249">
        <v>4.7</v>
      </c>
      <c r="BC1249">
        <v>74</v>
      </c>
      <c r="BD1249">
        <v>-0.02</v>
      </c>
      <c r="BE1249">
        <v>-0.03</v>
      </c>
      <c r="BF1249">
        <v>-0.14000000000000001</v>
      </c>
      <c r="BG1249">
        <v>92</v>
      </c>
      <c r="BH1249">
        <v>-0.06</v>
      </c>
      <c r="BI1249">
        <v>-16.68</v>
      </c>
      <c r="BJ1249">
        <v>40</v>
      </c>
      <c r="BK1249">
        <v>22</v>
      </c>
      <c r="BL1249">
        <v>1.07</v>
      </c>
      <c r="BM1249">
        <v>-1.4</v>
      </c>
      <c r="BN1249">
        <v>0.02</v>
      </c>
      <c r="BO1249">
        <v>0.59</v>
      </c>
      <c r="BP1249">
        <v>1.1000000000000001</v>
      </c>
      <c r="BQ1249">
        <v>-0.88</v>
      </c>
      <c r="BR1249">
        <v>2.12</v>
      </c>
      <c r="BS1249">
        <v>-0.95</v>
      </c>
      <c r="BT1249">
        <v>-1.52</v>
      </c>
      <c r="BU1249">
        <v>0.17</v>
      </c>
      <c r="BV1249">
        <v>-0.09</v>
      </c>
      <c r="BW1249">
        <v>-0.79</v>
      </c>
      <c r="BX1249">
        <v>0.46</v>
      </c>
      <c r="BY1249">
        <v>0.49</v>
      </c>
      <c r="BZ1249">
        <v>-0.46</v>
      </c>
      <c r="CA1249">
        <v>-0.08</v>
      </c>
      <c r="CB1249">
        <v>0.31</v>
      </c>
      <c r="CC1249">
        <v>-1.0900000000000001</v>
      </c>
      <c r="CD1249">
        <v>-0.94</v>
      </c>
      <c r="CE1249">
        <v>0.56000000000000005</v>
      </c>
      <c r="CF1249">
        <v>0.59</v>
      </c>
      <c r="CG1249">
        <v>0</v>
      </c>
      <c r="CH1249">
        <v>0.99</v>
      </c>
      <c r="CI1249">
        <v>0</v>
      </c>
      <c r="CJ1249">
        <v>0.7</v>
      </c>
      <c r="CK1249">
        <v>96</v>
      </c>
      <c r="CL1249">
        <v>-0.96</v>
      </c>
      <c r="CM1249">
        <v>94</v>
      </c>
      <c r="CN1249">
        <v>-0.06</v>
      </c>
      <c r="CO1249">
        <v>94</v>
      </c>
      <c r="CP1249">
        <v>4.2</v>
      </c>
      <c r="CQ1249">
        <v>90</v>
      </c>
      <c r="CR1249">
        <v>0</v>
      </c>
      <c r="CS1249">
        <v>0</v>
      </c>
      <c r="CT1249">
        <v>7.7</v>
      </c>
      <c r="CU1249">
        <v>91</v>
      </c>
      <c r="CV1249">
        <v>0.33</v>
      </c>
      <c r="CW1249">
        <v>46</v>
      </c>
      <c r="CX1249" t="s">
        <v>316</v>
      </c>
    </row>
    <row r="1250" spans="1:102" x14ac:dyDescent="0.3">
      <c r="A1250" t="str">
        <f>HYPERLINK("https://webapp.icbf.com/v2/app/bull-search/view/1276119269","FR4578")</f>
        <v>FR4578</v>
      </c>
      <c r="B1250" t="s">
        <v>14003</v>
      </c>
      <c r="C1250" t="s">
        <v>14004</v>
      </c>
      <c r="D1250" s="1">
        <v>41482</v>
      </c>
      <c r="E1250" t="s">
        <v>92</v>
      </c>
      <c r="F1250">
        <v>63</v>
      </c>
      <c r="G1250" t="s">
        <v>109</v>
      </c>
      <c r="H1250">
        <v>124.65</v>
      </c>
      <c r="I1250">
        <v>67</v>
      </c>
      <c r="J1250">
        <v>85.83</v>
      </c>
      <c r="K1250">
        <v>86</v>
      </c>
      <c r="L1250">
        <v>6.58</v>
      </c>
      <c r="M1250">
        <v>67</v>
      </c>
      <c r="N1250">
        <v>43.02</v>
      </c>
      <c r="O1250">
        <v>65</v>
      </c>
      <c r="P1250">
        <v>-56.18</v>
      </c>
      <c r="Q1250">
        <v>36</v>
      </c>
      <c r="R1250">
        <v>-6.79</v>
      </c>
      <c r="S1250">
        <v>65</v>
      </c>
      <c r="T1250">
        <v>40.61</v>
      </c>
      <c r="U1250">
        <v>36</v>
      </c>
      <c r="V1250">
        <v>11.58</v>
      </c>
      <c r="W1250">
        <v>49</v>
      </c>
      <c r="X1250" t="s">
        <v>276</v>
      </c>
      <c r="Y1250" t="s">
        <v>442</v>
      </c>
      <c r="Z1250">
        <v>0</v>
      </c>
      <c r="AA1250" t="s">
        <v>14005</v>
      </c>
      <c r="AB1250" t="s">
        <v>14006</v>
      </c>
      <c r="AC1250">
        <v>0</v>
      </c>
      <c r="AD1250">
        <v>0</v>
      </c>
      <c r="AE1250">
        <v>86</v>
      </c>
      <c r="AF1250">
        <v>61.28</v>
      </c>
      <c r="AG1250">
        <v>17.23</v>
      </c>
      <c r="AH1250">
        <v>9.44</v>
      </c>
      <c r="AI1250">
        <v>0.25</v>
      </c>
      <c r="AJ1250">
        <v>0.13</v>
      </c>
      <c r="AK1250">
        <v>67</v>
      </c>
      <c r="AL1250">
        <v>0</v>
      </c>
      <c r="AM1250">
        <v>0</v>
      </c>
      <c r="AN1250">
        <v>0.05</v>
      </c>
      <c r="AO1250">
        <v>0.57999999999999996</v>
      </c>
      <c r="AP1250">
        <v>31</v>
      </c>
      <c r="AQ1250">
        <v>0</v>
      </c>
      <c r="AR1250">
        <v>5.91</v>
      </c>
      <c r="AS1250">
        <v>45</v>
      </c>
      <c r="AT1250">
        <v>1.69</v>
      </c>
      <c r="AU1250">
        <v>74</v>
      </c>
      <c r="AV1250">
        <v>-4.0199999999999996</v>
      </c>
      <c r="AW1250">
        <v>82</v>
      </c>
      <c r="AX1250">
        <v>-0.63</v>
      </c>
      <c r="AY1250">
        <v>50</v>
      </c>
      <c r="AZ1250">
        <v>7.4</v>
      </c>
      <c r="BA1250">
        <v>30</v>
      </c>
      <c r="BB1250">
        <v>5.69</v>
      </c>
      <c r="BC1250">
        <v>30</v>
      </c>
      <c r="BD1250">
        <v>-0.03</v>
      </c>
      <c r="BE1250">
        <v>0.04</v>
      </c>
      <c r="BF1250">
        <v>0.13</v>
      </c>
      <c r="BG1250">
        <v>84</v>
      </c>
      <c r="BH1250">
        <v>0.02</v>
      </c>
      <c r="BI1250">
        <v>-35.04</v>
      </c>
      <c r="BJ1250">
        <v>0</v>
      </c>
      <c r="BK1250">
        <v>0</v>
      </c>
      <c r="BL1250">
        <v>-3.09</v>
      </c>
      <c r="BM1250">
        <v>0.54</v>
      </c>
      <c r="BN1250">
        <v>-0.75</v>
      </c>
      <c r="BO1250">
        <v>0</v>
      </c>
      <c r="BP1250">
        <v>-1.1299999999999999</v>
      </c>
      <c r="BQ1250">
        <v>-1.79</v>
      </c>
      <c r="BR1250">
        <v>1</v>
      </c>
      <c r="BS1250">
        <v>0</v>
      </c>
      <c r="BT1250">
        <v>0</v>
      </c>
      <c r="BU1250">
        <v>0.24</v>
      </c>
      <c r="BV1250">
        <v>-0.11</v>
      </c>
      <c r="BW1250">
        <v>-0.49</v>
      </c>
      <c r="BX1250">
        <v>0</v>
      </c>
      <c r="BY1250">
        <v>-1.04</v>
      </c>
      <c r="BZ1250">
        <v>0</v>
      </c>
      <c r="CA1250">
        <v>-0.36</v>
      </c>
      <c r="CB1250">
        <v>-0.28999999999999998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-30.5</v>
      </c>
      <c r="CK1250">
        <v>36</v>
      </c>
      <c r="CL1250">
        <v>-1.18</v>
      </c>
      <c r="CM1250">
        <v>38</v>
      </c>
      <c r="CN1250">
        <v>-0.28999999999999998</v>
      </c>
      <c r="CO1250">
        <v>36</v>
      </c>
      <c r="CP1250">
        <v>-35.4</v>
      </c>
      <c r="CQ1250">
        <v>36</v>
      </c>
      <c r="CR1250">
        <v>0</v>
      </c>
      <c r="CS1250">
        <v>0</v>
      </c>
      <c r="CT1250">
        <v>-41.1</v>
      </c>
      <c r="CU1250">
        <v>36</v>
      </c>
      <c r="CV1250">
        <v>-0.13</v>
      </c>
      <c r="CW1250">
        <v>32</v>
      </c>
      <c r="CX1250" t="s">
        <v>333</v>
      </c>
    </row>
    <row r="1251" spans="1:102" x14ac:dyDescent="0.3">
      <c r="A1251" t="str">
        <f>HYPERLINK("https://webapp.icbf.com/v2/app/bull-search/view/1307334007","S3058")</f>
        <v>S3058</v>
      </c>
      <c r="B1251" t="s">
        <v>6009</v>
      </c>
      <c r="C1251" t="s">
        <v>6010</v>
      </c>
      <c r="D1251" s="1">
        <v>41763</v>
      </c>
      <c r="E1251" t="s">
        <v>92</v>
      </c>
      <c r="F1251">
        <v>100</v>
      </c>
      <c r="G1251" t="s">
        <v>109</v>
      </c>
      <c r="H1251">
        <v>124.56</v>
      </c>
      <c r="I1251">
        <v>76</v>
      </c>
      <c r="J1251">
        <v>77.540000000000006</v>
      </c>
      <c r="K1251">
        <v>93</v>
      </c>
      <c r="L1251">
        <v>-3.39</v>
      </c>
      <c r="M1251">
        <v>80</v>
      </c>
      <c r="N1251">
        <v>26.7</v>
      </c>
      <c r="O1251">
        <v>59</v>
      </c>
      <c r="P1251">
        <v>-6.32</v>
      </c>
      <c r="Q1251">
        <v>51</v>
      </c>
      <c r="R1251">
        <v>30.07</v>
      </c>
      <c r="S1251">
        <v>73</v>
      </c>
      <c r="T1251">
        <v>-2.9</v>
      </c>
      <c r="U1251">
        <v>42</v>
      </c>
      <c r="V1251">
        <v>2.86</v>
      </c>
      <c r="W1251">
        <v>58</v>
      </c>
      <c r="X1251" t="s">
        <v>110</v>
      </c>
      <c r="Y1251" t="s">
        <v>411</v>
      </c>
      <c r="Z1251" t="s">
        <v>96</v>
      </c>
      <c r="AA1251" t="s">
        <v>2216</v>
      </c>
      <c r="AB1251" t="s">
        <v>6011</v>
      </c>
      <c r="AC1251">
        <v>0</v>
      </c>
      <c r="AD1251">
        <v>0</v>
      </c>
      <c r="AE1251">
        <v>93</v>
      </c>
      <c r="AF1251">
        <v>358.78</v>
      </c>
      <c r="AG1251">
        <v>11.39</v>
      </c>
      <c r="AH1251">
        <v>14.65</v>
      </c>
      <c r="AI1251">
        <v>-0.04</v>
      </c>
      <c r="AJ1251">
        <v>0.04</v>
      </c>
      <c r="AK1251">
        <v>80</v>
      </c>
      <c r="AL1251">
        <v>0</v>
      </c>
      <c r="AM1251">
        <v>0</v>
      </c>
      <c r="AN1251">
        <v>0.96</v>
      </c>
      <c r="AO1251">
        <v>0.7</v>
      </c>
      <c r="AP1251">
        <v>1</v>
      </c>
      <c r="AQ1251">
        <v>0</v>
      </c>
      <c r="AR1251">
        <v>6.21</v>
      </c>
      <c r="AS1251">
        <v>61</v>
      </c>
      <c r="AT1251">
        <v>2.4</v>
      </c>
      <c r="AU1251">
        <v>93</v>
      </c>
      <c r="AV1251">
        <v>-2.16</v>
      </c>
      <c r="AW1251">
        <v>48</v>
      </c>
      <c r="AX1251">
        <v>0.7</v>
      </c>
      <c r="AY1251">
        <v>47</v>
      </c>
      <c r="AZ1251">
        <v>6.44</v>
      </c>
      <c r="BA1251">
        <v>43</v>
      </c>
      <c r="BB1251">
        <v>4.54</v>
      </c>
      <c r="BC1251">
        <v>40</v>
      </c>
      <c r="BD1251">
        <v>-0.08</v>
      </c>
      <c r="BE1251">
        <v>-0.12</v>
      </c>
      <c r="BF1251">
        <v>-0.33</v>
      </c>
      <c r="BG1251">
        <v>91</v>
      </c>
      <c r="BH1251">
        <v>0</v>
      </c>
      <c r="BI1251">
        <v>-9.2200000000000006</v>
      </c>
      <c r="BJ1251">
        <v>0</v>
      </c>
      <c r="BK1251">
        <v>0</v>
      </c>
      <c r="BL1251">
        <v>1.31</v>
      </c>
      <c r="BM1251">
        <v>0.36</v>
      </c>
      <c r="BN1251">
        <v>0.73</v>
      </c>
      <c r="BO1251">
        <v>0.64</v>
      </c>
      <c r="BP1251">
        <v>0.42</v>
      </c>
      <c r="BQ1251">
        <v>2.69</v>
      </c>
      <c r="BR1251">
        <v>-1.39</v>
      </c>
      <c r="BS1251">
        <v>3.03</v>
      </c>
      <c r="BT1251">
        <v>2.57</v>
      </c>
      <c r="BU1251">
        <v>5.32</v>
      </c>
      <c r="BV1251">
        <v>3.14</v>
      </c>
      <c r="BW1251">
        <v>1.41</v>
      </c>
      <c r="BX1251">
        <v>4.3</v>
      </c>
      <c r="BY1251">
        <v>4.0599999999999996</v>
      </c>
      <c r="BZ1251">
        <v>-2.06</v>
      </c>
      <c r="CA1251">
        <v>3.93</v>
      </c>
      <c r="CB1251">
        <v>3.98</v>
      </c>
      <c r="CC1251">
        <v>2.17</v>
      </c>
      <c r="CD1251">
        <v>0.38</v>
      </c>
      <c r="CE1251">
        <v>0.47</v>
      </c>
      <c r="CF1251">
        <v>0.45</v>
      </c>
      <c r="CG1251">
        <v>0</v>
      </c>
      <c r="CH1251">
        <v>4.22</v>
      </c>
      <c r="CI1251">
        <v>0</v>
      </c>
      <c r="CJ1251">
        <v>-1.6</v>
      </c>
      <c r="CK1251">
        <v>53</v>
      </c>
      <c r="CL1251">
        <v>-1.17</v>
      </c>
      <c r="CM1251">
        <v>51</v>
      </c>
      <c r="CN1251">
        <v>-0.63</v>
      </c>
      <c r="CO1251">
        <v>50</v>
      </c>
      <c r="CP1251">
        <v>3.9</v>
      </c>
      <c r="CQ1251">
        <v>44</v>
      </c>
      <c r="CR1251">
        <v>0</v>
      </c>
      <c r="CS1251">
        <v>0</v>
      </c>
      <c r="CT1251">
        <v>17.7</v>
      </c>
      <c r="CU1251">
        <v>42</v>
      </c>
      <c r="CV1251">
        <v>0.18</v>
      </c>
      <c r="CW1251">
        <v>36</v>
      </c>
      <c r="CX1251" t="s">
        <v>6012</v>
      </c>
    </row>
    <row r="1252" spans="1:102" x14ac:dyDescent="0.3">
      <c r="A1252" t="str">
        <f>HYPERLINK("https://webapp.icbf.com/v2/app/bull-search/view/760399726","PKB")</f>
        <v>PKB</v>
      </c>
      <c r="B1252" t="s">
        <v>9132</v>
      </c>
      <c r="C1252" t="s">
        <v>9133</v>
      </c>
      <c r="D1252" s="1">
        <v>40020</v>
      </c>
      <c r="E1252" t="s">
        <v>227</v>
      </c>
      <c r="F1252">
        <v>34</v>
      </c>
      <c r="G1252" t="s">
        <v>93</v>
      </c>
      <c r="H1252">
        <v>124.54</v>
      </c>
      <c r="I1252">
        <v>94</v>
      </c>
      <c r="J1252">
        <v>77.72</v>
      </c>
      <c r="K1252">
        <v>99</v>
      </c>
      <c r="L1252">
        <v>30.45</v>
      </c>
      <c r="M1252">
        <v>90</v>
      </c>
      <c r="N1252">
        <v>17.59</v>
      </c>
      <c r="O1252">
        <v>96</v>
      </c>
      <c r="P1252">
        <v>-33.590000000000003</v>
      </c>
      <c r="Q1252">
        <v>98</v>
      </c>
      <c r="R1252">
        <v>-4.6500000000000004</v>
      </c>
      <c r="S1252">
        <v>88</v>
      </c>
      <c r="T1252">
        <v>31.96</v>
      </c>
      <c r="U1252">
        <v>97</v>
      </c>
      <c r="V1252">
        <v>5.0599999999999996</v>
      </c>
      <c r="W1252">
        <v>76</v>
      </c>
      <c r="X1252" t="s">
        <v>276</v>
      </c>
      <c r="Y1252" t="s">
        <v>329</v>
      </c>
      <c r="Z1252" t="s">
        <v>330</v>
      </c>
      <c r="AA1252" t="s">
        <v>9134</v>
      </c>
      <c r="AB1252" t="s">
        <v>9135</v>
      </c>
      <c r="AC1252">
        <v>584</v>
      </c>
      <c r="AD1252">
        <v>139</v>
      </c>
      <c r="AE1252">
        <v>99</v>
      </c>
      <c r="AF1252">
        <v>175.28</v>
      </c>
      <c r="AG1252">
        <v>11.79</v>
      </c>
      <c r="AH1252">
        <v>11.73</v>
      </c>
      <c r="AI1252">
        <v>0.08</v>
      </c>
      <c r="AJ1252">
        <v>0.1</v>
      </c>
      <c r="AK1252">
        <v>90</v>
      </c>
      <c r="AL1252">
        <v>683</v>
      </c>
      <c r="AM1252">
        <v>148</v>
      </c>
      <c r="AN1252">
        <v>-1.53</v>
      </c>
      <c r="AO1252">
        <v>0.9</v>
      </c>
      <c r="AP1252">
        <v>965</v>
      </c>
      <c r="AQ1252">
        <v>3</v>
      </c>
      <c r="AR1252">
        <v>6.42</v>
      </c>
      <c r="AS1252">
        <v>96</v>
      </c>
      <c r="AT1252">
        <v>2.23</v>
      </c>
      <c r="AU1252">
        <v>95</v>
      </c>
      <c r="AV1252">
        <v>-1.3</v>
      </c>
      <c r="AW1252">
        <v>99</v>
      </c>
      <c r="AX1252">
        <v>0.89</v>
      </c>
      <c r="AY1252">
        <v>96</v>
      </c>
      <c r="AZ1252">
        <v>6.83</v>
      </c>
      <c r="BA1252">
        <v>89</v>
      </c>
      <c r="BB1252">
        <v>4.97</v>
      </c>
      <c r="BC1252">
        <v>89</v>
      </c>
      <c r="BD1252">
        <v>0</v>
      </c>
      <c r="BE1252">
        <v>0.03</v>
      </c>
      <c r="BF1252">
        <v>0.05</v>
      </c>
      <c r="BG1252">
        <v>97</v>
      </c>
      <c r="BH1252">
        <v>0.13</v>
      </c>
      <c r="BI1252">
        <v>-1.27</v>
      </c>
      <c r="BJ1252">
        <v>3</v>
      </c>
      <c r="BK1252">
        <v>3</v>
      </c>
      <c r="BL1252">
        <v>-1.83</v>
      </c>
      <c r="BM1252">
        <v>0.12</v>
      </c>
      <c r="BN1252">
        <v>-1.02</v>
      </c>
      <c r="BO1252">
        <v>-0.18</v>
      </c>
      <c r="BP1252">
        <v>-1.84</v>
      </c>
      <c r="BQ1252">
        <v>-3.15</v>
      </c>
      <c r="BR1252">
        <v>1.68</v>
      </c>
      <c r="BS1252">
        <v>3.6</v>
      </c>
      <c r="BT1252">
        <v>-0.59</v>
      </c>
      <c r="BU1252">
        <v>-0.63</v>
      </c>
      <c r="BV1252">
        <v>0.22</v>
      </c>
      <c r="BW1252">
        <v>-0.83</v>
      </c>
      <c r="BX1252">
        <v>-3.7</v>
      </c>
      <c r="BY1252">
        <v>0.06</v>
      </c>
      <c r="BZ1252">
        <v>2.13</v>
      </c>
      <c r="CA1252">
        <v>-0.52</v>
      </c>
      <c r="CB1252">
        <v>-0.22</v>
      </c>
      <c r="CC1252">
        <v>2.88</v>
      </c>
      <c r="CD1252">
        <v>-0.35</v>
      </c>
      <c r="CE1252">
        <v>0.04</v>
      </c>
      <c r="CF1252">
        <v>-2.35</v>
      </c>
      <c r="CG1252">
        <v>0</v>
      </c>
      <c r="CH1252">
        <v>-0.62</v>
      </c>
      <c r="CI1252">
        <v>0</v>
      </c>
      <c r="CJ1252">
        <v>-16.2</v>
      </c>
      <c r="CK1252">
        <v>98</v>
      </c>
      <c r="CL1252">
        <v>-0.9</v>
      </c>
      <c r="CM1252">
        <v>98</v>
      </c>
      <c r="CN1252">
        <v>-0.13</v>
      </c>
      <c r="CO1252">
        <v>98</v>
      </c>
      <c r="CP1252">
        <v>-23.1</v>
      </c>
      <c r="CQ1252">
        <v>95</v>
      </c>
      <c r="CR1252">
        <v>0</v>
      </c>
      <c r="CS1252">
        <v>0</v>
      </c>
      <c r="CT1252">
        <v>-29.4</v>
      </c>
      <c r="CU1252">
        <v>97</v>
      </c>
      <c r="CV1252">
        <v>-0.03</v>
      </c>
      <c r="CW1252">
        <v>46</v>
      </c>
      <c r="CX1252" t="s">
        <v>1837</v>
      </c>
    </row>
    <row r="1253" spans="1:102" x14ac:dyDescent="0.3">
      <c r="A1253" t="str">
        <f>HYPERLINK("https://webapp.icbf.com/v2/app/bull-search/view/1256838389","FR2095")</f>
        <v>FR2095</v>
      </c>
      <c r="B1253" t="s">
        <v>13601</v>
      </c>
      <c r="C1253" t="s">
        <v>13602</v>
      </c>
      <c r="D1253" s="1">
        <v>41546</v>
      </c>
      <c r="E1253" t="s">
        <v>92</v>
      </c>
      <c r="F1253">
        <v>100</v>
      </c>
      <c r="G1253" t="s">
        <v>93</v>
      </c>
      <c r="H1253">
        <v>124.54</v>
      </c>
      <c r="I1253">
        <v>74</v>
      </c>
      <c r="J1253">
        <v>41.63</v>
      </c>
      <c r="K1253">
        <v>92</v>
      </c>
      <c r="L1253">
        <v>38.35</v>
      </c>
      <c r="M1253">
        <v>73</v>
      </c>
      <c r="N1253">
        <v>21.74</v>
      </c>
      <c r="O1253">
        <v>65</v>
      </c>
      <c r="P1253">
        <v>-6.35</v>
      </c>
      <c r="Q1253">
        <v>51</v>
      </c>
      <c r="R1253">
        <v>32.24</v>
      </c>
      <c r="S1253">
        <v>69</v>
      </c>
      <c r="T1253">
        <v>-7.19</v>
      </c>
      <c r="U1253">
        <v>44</v>
      </c>
      <c r="V1253">
        <v>4.12</v>
      </c>
      <c r="W1253">
        <v>60</v>
      </c>
      <c r="X1253" t="s">
        <v>94</v>
      </c>
      <c r="Y1253" t="s">
        <v>416</v>
      </c>
      <c r="Z1253" t="s">
        <v>96</v>
      </c>
      <c r="AA1253" t="s">
        <v>2216</v>
      </c>
      <c r="AB1253" t="s">
        <v>13603</v>
      </c>
      <c r="AC1253">
        <v>17</v>
      </c>
      <c r="AD1253">
        <v>13</v>
      </c>
      <c r="AE1253">
        <v>92</v>
      </c>
      <c r="AF1253">
        <v>184.27</v>
      </c>
      <c r="AG1253">
        <v>11</v>
      </c>
      <c r="AH1253">
        <v>6.01</v>
      </c>
      <c r="AI1253">
        <v>0.06</v>
      </c>
      <c r="AJ1253">
        <v>0</v>
      </c>
      <c r="AK1253">
        <v>73</v>
      </c>
      <c r="AL1253">
        <v>5</v>
      </c>
      <c r="AM1253">
        <v>3</v>
      </c>
      <c r="AN1253">
        <v>-1.94</v>
      </c>
      <c r="AO1253">
        <v>1.1200000000000001</v>
      </c>
      <c r="AP1253">
        <v>15</v>
      </c>
      <c r="AQ1253">
        <v>0</v>
      </c>
      <c r="AR1253">
        <v>7.3</v>
      </c>
      <c r="AS1253">
        <v>69</v>
      </c>
      <c r="AT1253">
        <v>3.05</v>
      </c>
      <c r="AU1253">
        <v>72</v>
      </c>
      <c r="AV1253">
        <v>-2.62</v>
      </c>
      <c r="AW1253">
        <v>70</v>
      </c>
      <c r="AX1253">
        <v>-7.0000000000000007E-2</v>
      </c>
      <c r="AY1253">
        <v>55</v>
      </c>
      <c r="AZ1253">
        <v>6.63</v>
      </c>
      <c r="BA1253">
        <v>51</v>
      </c>
      <c r="BB1253">
        <v>5.07</v>
      </c>
      <c r="BC1253">
        <v>44</v>
      </c>
      <c r="BD1253">
        <v>-0.08</v>
      </c>
      <c r="BE1253">
        <v>-0.12</v>
      </c>
      <c r="BF1253">
        <v>-0.38</v>
      </c>
      <c r="BG1253">
        <v>81</v>
      </c>
      <c r="BH1253">
        <v>0.11</v>
      </c>
      <c r="BI1253">
        <v>-0.57999999999999996</v>
      </c>
      <c r="BJ1253">
        <v>5</v>
      </c>
      <c r="BK1253">
        <v>4</v>
      </c>
      <c r="BL1253">
        <v>2.74</v>
      </c>
      <c r="BM1253">
        <v>-0.88</v>
      </c>
      <c r="BN1253">
        <v>0.18</v>
      </c>
      <c r="BO1253">
        <v>1.32</v>
      </c>
      <c r="BP1253">
        <v>-0.37</v>
      </c>
      <c r="BQ1253">
        <v>1.76</v>
      </c>
      <c r="BR1253">
        <v>-1.65</v>
      </c>
      <c r="BS1253">
        <v>4.12</v>
      </c>
      <c r="BT1253">
        <v>2.06</v>
      </c>
      <c r="BU1253">
        <v>4.5199999999999996</v>
      </c>
      <c r="BV1253">
        <v>3.66</v>
      </c>
      <c r="BW1253">
        <v>2.23</v>
      </c>
      <c r="BX1253">
        <v>3.94</v>
      </c>
      <c r="BY1253">
        <v>2.31</v>
      </c>
      <c r="BZ1253">
        <v>0.69</v>
      </c>
      <c r="CA1253">
        <v>3.67</v>
      </c>
      <c r="CB1253">
        <v>2.84</v>
      </c>
      <c r="CC1253">
        <v>3.18</v>
      </c>
      <c r="CD1253">
        <v>-0.95</v>
      </c>
      <c r="CE1253">
        <v>1.17</v>
      </c>
      <c r="CF1253">
        <v>2.37</v>
      </c>
      <c r="CG1253">
        <v>0</v>
      </c>
      <c r="CH1253">
        <v>2.4300000000000002</v>
      </c>
      <c r="CI1253">
        <v>0</v>
      </c>
      <c r="CJ1253">
        <v>0.8</v>
      </c>
      <c r="CK1253">
        <v>53</v>
      </c>
      <c r="CL1253">
        <v>-1.63</v>
      </c>
      <c r="CM1253">
        <v>50</v>
      </c>
      <c r="CN1253">
        <v>-0.74</v>
      </c>
      <c r="CO1253">
        <v>50</v>
      </c>
      <c r="CP1253">
        <v>4.7</v>
      </c>
      <c r="CQ1253">
        <v>47</v>
      </c>
      <c r="CR1253">
        <v>0</v>
      </c>
      <c r="CS1253">
        <v>0</v>
      </c>
      <c r="CT1253">
        <v>23.5</v>
      </c>
      <c r="CU1253">
        <v>44</v>
      </c>
      <c r="CV1253">
        <v>0.27</v>
      </c>
      <c r="CW1253">
        <v>36</v>
      </c>
      <c r="CX1253" t="s">
        <v>309</v>
      </c>
    </row>
    <row r="1254" spans="1:102" x14ac:dyDescent="0.3">
      <c r="A1254" t="str">
        <f>HYPERLINK("https://webapp.icbf.com/v2/app/bull-search/view/442306536","RHS")</f>
        <v>RHS</v>
      </c>
      <c r="B1254" t="s">
        <v>8178</v>
      </c>
      <c r="C1254" t="s">
        <v>8179</v>
      </c>
      <c r="D1254" s="1">
        <v>38735</v>
      </c>
      <c r="E1254" t="s">
        <v>108</v>
      </c>
      <c r="F1254">
        <v>0</v>
      </c>
      <c r="G1254" t="s">
        <v>93</v>
      </c>
      <c r="H1254">
        <v>124.36</v>
      </c>
      <c r="I1254">
        <v>97</v>
      </c>
      <c r="J1254">
        <v>-6.65</v>
      </c>
      <c r="K1254">
        <v>99</v>
      </c>
      <c r="L1254">
        <v>79.099999999999994</v>
      </c>
      <c r="M1254">
        <v>94</v>
      </c>
      <c r="N1254">
        <v>51.01</v>
      </c>
      <c r="O1254">
        <v>98</v>
      </c>
      <c r="P1254">
        <v>-17.190000000000001</v>
      </c>
      <c r="Q1254">
        <v>99</v>
      </c>
      <c r="R1254">
        <v>12.31</v>
      </c>
      <c r="S1254">
        <v>94</v>
      </c>
      <c r="T1254">
        <v>7.24</v>
      </c>
      <c r="U1254">
        <v>98</v>
      </c>
      <c r="V1254">
        <v>-1.46</v>
      </c>
      <c r="W1254">
        <v>92</v>
      </c>
      <c r="X1254" t="s">
        <v>94</v>
      </c>
      <c r="Y1254" t="s">
        <v>228</v>
      </c>
      <c r="Z1254" t="s">
        <v>96</v>
      </c>
      <c r="AA1254" t="s">
        <v>4220</v>
      </c>
      <c r="AB1254" t="s">
        <v>8180</v>
      </c>
      <c r="AC1254">
        <v>1540</v>
      </c>
      <c r="AD1254">
        <v>567</v>
      </c>
      <c r="AE1254">
        <v>99</v>
      </c>
      <c r="AF1254">
        <v>-280.39999999999998</v>
      </c>
      <c r="AG1254">
        <v>-3.23</v>
      </c>
      <c r="AH1254">
        <v>-4.28</v>
      </c>
      <c r="AI1254">
        <v>0.14000000000000001</v>
      </c>
      <c r="AJ1254">
        <v>0.1</v>
      </c>
      <c r="AK1254">
        <v>94</v>
      </c>
      <c r="AL1254">
        <v>2373</v>
      </c>
      <c r="AM1254">
        <v>905</v>
      </c>
      <c r="AN1254">
        <v>-4.95</v>
      </c>
      <c r="AO1254">
        <v>1.35</v>
      </c>
      <c r="AP1254">
        <v>4145</v>
      </c>
      <c r="AQ1254">
        <v>51</v>
      </c>
      <c r="AR1254">
        <v>4.8899999999999997</v>
      </c>
      <c r="AS1254">
        <v>98</v>
      </c>
      <c r="AT1254">
        <v>2.1</v>
      </c>
      <c r="AU1254">
        <v>99</v>
      </c>
      <c r="AV1254">
        <v>-4.13</v>
      </c>
      <c r="AW1254">
        <v>99</v>
      </c>
      <c r="AX1254">
        <v>-0.28999999999999998</v>
      </c>
      <c r="AY1254">
        <v>99</v>
      </c>
      <c r="AZ1254">
        <v>5.14</v>
      </c>
      <c r="BA1254">
        <v>96</v>
      </c>
      <c r="BB1254">
        <v>4.6399999999999997</v>
      </c>
      <c r="BC1254">
        <v>94</v>
      </c>
      <c r="BD1254">
        <v>0</v>
      </c>
      <c r="BE1254">
        <v>-7.0000000000000007E-2</v>
      </c>
      <c r="BF1254">
        <v>-0.15</v>
      </c>
      <c r="BG1254">
        <v>98</v>
      </c>
      <c r="BH1254">
        <v>0.1</v>
      </c>
      <c r="BI1254">
        <v>16.28</v>
      </c>
      <c r="BJ1254">
        <v>28</v>
      </c>
      <c r="BK1254">
        <v>15</v>
      </c>
      <c r="BL1254">
        <v>-2.4700000000000002</v>
      </c>
      <c r="BM1254">
        <v>2.39</v>
      </c>
      <c r="BN1254">
        <v>-2.7</v>
      </c>
      <c r="BO1254">
        <v>-3.25</v>
      </c>
      <c r="BP1254">
        <v>-4.05</v>
      </c>
      <c r="BQ1254">
        <v>2.36</v>
      </c>
      <c r="BR1254">
        <v>-2.0299999999999998</v>
      </c>
      <c r="BS1254">
        <v>0.16</v>
      </c>
      <c r="BT1254">
        <v>0.97</v>
      </c>
      <c r="BU1254">
        <v>-0.69</v>
      </c>
      <c r="BV1254">
        <v>-1.43</v>
      </c>
      <c r="BW1254">
        <v>-0.57999999999999996</v>
      </c>
      <c r="BX1254">
        <v>0.56000000000000005</v>
      </c>
      <c r="BY1254">
        <v>-0.46</v>
      </c>
      <c r="BZ1254">
        <v>0.56999999999999995</v>
      </c>
      <c r="CA1254">
        <v>-0.91</v>
      </c>
      <c r="CB1254">
        <v>-1.19</v>
      </c>
      <c r="CC1254">
        <v>-0.54</v>
      </c>
      <c r="CD1254">
        <v>2.9</v>
      </c>
      <c r="CE1254">
        <v>-2.57</v>
      </c>
      <c r="CF1254">
        <v>-1.8</v>
      </c>
      <c r="CG1254">
        <v>0</v>
      </c>
      <c r="CH1254">
        <v>-0.53</v>
      </c>
      <c r="CI1254">
        <v>0</v>
      </c>
      <c r="CJ1254">
        <v>-7.2</v>
      </c>
      <c r="CK1254">
        <v>99</v>
      </c>
      <c r="CL1254">
        <v>-0.27</v>
      </c>
      <c r="CM1254">
        <v>99</v>
      </c>
      <c r="CN1254">
        <v>0.38</v>
      </c>
      <c r="CO1254">
        <v>99</v>
      </c>
      <c r="CP1254">
        <v>-0.1</v>
      </c>
      <c r="CQ1254">
        <v>98</v>
      </c>
      <c r="CR1254">
        <v>0</v>
      </c>
      <c r="CS1254">
        <v>0</v>
      </c>
      <c r="CT1254">
        <v>4</v>
      </c>
      <c r="CU1254">
        <v>98</v>
      </c>
      <c r="CV1254">
        <v>0.04</v>
      </c>
      <c r="CW1254">
        <v>47</v>
      </c>
      <c r="CX1254" t="s">
        <v>5174</v>
      </c>
    </row>
    <row r="1255" spans="1:102" x14ac:dyDescent="0.3">
      <c r="A1255" t="str">
        <f>HYPERLINK("https://webapp.icbf.com/v2/app/bull-search/view/760393207","WKZ")</f>
        <v>WKZ</v>
      </c>
      <c r="B1255" t="s">
        <v>12922</v>
      </c>
      <c r="C1255" t="s">
        <v>12923</v>
      </c>
      <c r="D1255" s="1">
        <v>40026</v>
      </c>
      <c r="E1255" t="s">
        <v>92</v>
      </c>
      <c r="F1255">
        <v>50</v>
      </c>
      <c r="G1255" t="s">
        <v>93</v>
      </c>
      <c r="H1255">
        <v>124.31</v>
      </c>
      <c r="I1255">
        <v>86</v>
      </c>
      <c r="J1255">
        <v>62.95</v>
      </c>
      <c r="K1255">
        <v>97</v>
      </c>
      <c r="L1255">
        <v>23.87</v>
      </c>
      <c r="M1255">
        <v>83</v>
      </c>
      <c r="N1255">
        <v>38.39</v>
      </c>
      <c r="O1255">
        <v>83</v>
      </c>
      <c r="P1255">
        <v>-24.65</v>
      </c>
      <c r="Q1255">
        <v>90</v>
      </c>
      <c r="R1255">
        <v>3.04</v>
      </c>
      <c r="S1255">
        <v>75</v>
      </c>
      <c r="T1255">
        <v>16.79</v>
      </c>
      <c r="U1255">
        <v>72</v>
      </c>
      <c r="V1255">
        <v>3.92</v>
      </c>
      <c r="W1255">
        <v>67</v>
      </c>
      <c r="X1255" t="s">
        <v>276</v>
      </c>
      <c r="Y1255" t="s">
        <v>1923</v>
      </c>
      <c r="Z1255" t="s">
        <v>330</v>
      </c>
      <c r="AA1255" t="s">
        <v>5615</v>
      </c>
      <c r="AB1255" t="s">
        <v>144</v>
      </c>
      <c r="AC1255">
        <v>97</v>
      </c>
      <c r="AD1255">
        <v>40</v>
      </c>
      <c r="AE1255">
        <v>97</v>
      </c>
      <c r="AF1255">
        <v>156.33000000000001</v>
      </c>
      <c r="AG1255">
        <v>10.51</v>
      </c>
      <c r="AH1255">
        <v>9.3800000000000008</v>
      </c>
      <c r="AI1255">
        <v>0.08</v>
      </c>
      <c r="AJ1255">
        <v>7.0000000000000007E-2</v>
      </c>
      <c r="AK1255">
        <v>83</v>
      </c>
      <c r="AL1255">
        <v>117</v>
      </c>
      <c r="AM1255">
        <v>48</v>
      </c>
      <c r="AN1255">
        <v>-0.8</v>
      </c>
      <c r="AO1255">
        <v>1.1100000000000001</v>
      </c>
      <c r="AP1255">
        <v>174</v>
      </c>
      <c r="AQ1255">
        <v>1</v>
      </c>
      <c r="AR1255">
        <v>4.09</v>
      </c>
      <c r="AS1255">
        <v>69</v>
      </c>
      <c r="AT1255">
        <v>1.8</v>
      </c>
      <c r="AU1255">
        <v>84</v>
      </c>
      <c r="AV1255">
        <v>-3.03</v>
      </c>
      <c r="AW1255">
        <v>97</v>
      </c>
      <c r="AX1255">
        <v>-0.91</v>
      </c>
      <c r="AY1255">
        <v>81</v>
      </c>
      <c r="AZ1255">
        <v>7.74</v>
      </c>
      <c r="BA1255">
        <v>55</v>
      </c>
      <c r="BB1255">
        <v>5.6</v>
      </c>
      <c r="BC1255">
        <v>55</v>
      </c>
      <c r="BD1255">
        <v>-0.03</v>
      </c>
      <c r="BE1255">
        <v>0</v>
      </c>
      <c r="BF1255">
        <v>-0.02</v>
      </c>
      <c r="BG1255">
        <v>92</v>
      </c>
      <c r="BH1255">
        <v>0.02</v>
      </c>
      <c r="BI1255">
        <v>-10.32</v>
      </c>
      <c r="BJ1255">
        <v>0</v>
      </c>
      <c r="BK1255">
        <v>0</v>
      </c>
      <c r="BL1255">
        <v>-1.9</v>
      </c>
      <c r="BM1255">
        <v>-0.38</v>
      </c>
      <c r="BN1255">
        <v>-1.55</v>
      </c>
      <c r="BO1255">
        <v>-0.52</v>
      </c>
      <c r="BP1255">
        <v>-1.05</v>
      </c>
      <c r="BQ1255">
        <v>-0.12</v>
      </c>
      <c r="BR1255">
        <v>1.26</v>
      </c>
      <c r="BS1255">
        <v>-0.71</v>
      </c>
      <c r="BT1255">
        <v>-1.78</v>
      </c>
      <c r="BU1255">
        <v>0.14000000000000001</v>
      </c>
      <c r="BV1255">
        <v>-1.18</v>
      </c>
      <c r="BW1255">
        <v>-1.3</v>
      </c>
      <c r="BX1255">
        <v>-1.24</v>
      </c>
      <c r="BY1255">
        <v>0</v>
      </c>
      <c r="BZ1255">
        <v>0.34</v>
      </c>
      <c r="CA1255">
        <v>-1.19</v>
      </c>
      <c r="CB1255">
        <v>-0.52</v>
      </c>
      <c r="CC1255">
        <v>-1.4</v>
      </c>
      <c r="CD1255">
        <v>0.17</v>
      </c>
      <c r="CE1255">
        <v>-7.0000000000000007E-2</v>
      </c>
      <c r="CF1255">
        <v>-0.21</v>
      </c>
      <c r="CG1255">
        <v>0</v>
      </c>
      <c r="CH1255">
        <v>-0.11</v>
      </c>
      <c r="CI1255">
        <v>0</v>
      </c>
      <c r="CJ1255">
        <v>-10.1</v>
      </c>
      <c r="CK1255">
        <v>92</v>
      </c>
      <c r="CL1255">
        <v>-0.72</v>
      </c>
      <c r="CM1255">
        <v>90</v>
      </c>
      <c r="CN1255">
        <v>0.1</v>
      </c>
      <c r="CO1255">
        <v>89</v>
      </c>
      <c r="CP1255">
        <v>-14.1</v>
      </c>
      <c r="CQ1255">
        <v>77</v>
      </c>
      <c r="CR1255">
        <v>0</v>
      </c>
      <c r="CS1255">
        <v>0</v>
      </c>
      <c r="CT1255">
        <v>-8.9</v>
      </c>
      <c r="CU1255">
        <v>72</v>
      </c>
      <c r="CV1255">
        <v>7.0000000000000007E-2</v>
      </c>
      <c r="CW1255">
        <v>44</v>
      </c>
      <c r="CX1255" t="s">
        <v>320</v>
      </c>
    </row>
    <row r="1256" spans="1:102" x14ac:dyDescent="0.3">
      <c r="A1256" t="str">
        <f>HYPERLINK("https://webapp.icbf.com/v2/app/bull-search/view/1417505928","FR4224")</f>
        <v>FR4224</v>
      </c>
      <c r="B1256" t="s">
        <v>14709</v>
      </c>
      <c r="C1256" t="s">
        <v>14710</v>
      </c>
      <c r="D1256" s="1">
        <v>42030</v>
      </c>
      <c r="E1256" t="s">
        <v>92</v>
      </c>
      <c r="F1256">
        <v>100</v>
      </c>
      <c r="G1256" t="s">
        <v>109</v>
      </c>
      <c r="H1256">
        <v>124.21</v>
      </c>
      <c r="I1256">
        <v>71</v>
      </c>
      <c r="J1256">
        <v>101.17</v>
      </c>
      <c r="K1256">
        <v>90</v>
      </c>
      <c r="L1256">
        <v>-26.3</v>
      </c>
      <c r="M1256">
        <v>70</v>
      </c>
      <c r="N1256">
        <v>37.92</v>
      </c>
      <c r="O1256">
        <v>70</v>
      </c>
      <c r="P1256">
        <v>9.01</v>
      </c>
      <c r="Q1256">
        <v>47</v>
      </c>
      <c r="R1256">
        <v>13.37</v>
      </c>
      <c r="S1256">
        <v>65</v>
      </c>
      <c r="T1256">
        <v>-12.74</v>
      </c>
      <c r="U1256">
        <v>36</v>
      </c>
      <c r="V1256">
        <v>1.78</v>
      </c>
      <c r="W1256">
        <v>52</v>
      </c>
      <c r="X1256" t="s">
        <v>428</v>
      </c>
      <c r="Y1256" t="s">
        <v>2261</v>
      </c>
      <c r="Z1256" t="s">
        <v>96</v>
      </c>
      <c r="AA1256" t="s">
        <v>2272</v>
      </c>
      <c r="AB1256" t="s">
        <v>14711</v>
      </c>
      <c r="AC1256">
        <v>0</v>
      </c>
      <c r="AD1256">
        <v>0</v>
      </c>
      <c r="AE1256">
        <v>90</v>
      </c>
      <c r="AF1256">
        <v>600.25</v>
      </c>
      <c r="AG1256">
        <v>14.82</v>
      </c>
      <c r="AH1256">
        <v>21.15</v>
      </c>
      <c r="AI1256">
        <v>-0.14000000000000001</v>
      </c>
      <c r="AJ1256">
        <v>0.02</v>
      </c>
      <c r="AK1256">
        <v>70</v>
      </c>
      <c r="AL1256">
        <v>0</v>
      </c>
      <c r="AM1256">
        <v>0</v>
      </c>
      <c r="AN1256">
        <v>2.77</v>
      </c>
      <c r="AO1256">
        <v>0.69</v>
      </c>
      <c r="AP1256">
        <v>93</v>
      </c>
      <c r="AQ1256">
        <v>0</v>
      </c>
      <c r="AR1256">
        <v>5.87</v>
      </c>
      <c r="AS1256">
        <v>56</v>
      </c>
      <c r="AT1256">
        <v>2.86</v>
      </c>
      <c r="AU1256">
        <v>85</v>
      </c>
      <c r="AV1256">
        <v>-3.59</v>
      </c>
      <c r="AW1256">
        <v>81</v>
      </c>
      <c r="AX1256">
        <v>-0.76</v>
      </c>
      <c r="AY1256">
        <v>62</v>
      </c>
      <c r="AZ1256">
        <v>6.11</v>
      </c>
      <c r="BA1256">
        <v>36</v>
      </c>
      <c r="BB1256">
        <v>4.9000000000000004</v>
      </c>
      <c r="BC1256">
        <v>31</v>
      </c>
      <c r="BD1256">
        <v>-0.02</v>
      </c>
      <c r="BE1256">
        <v>-0.06</v>
      </c>
      <c r="BF1256">
        <v>-0.16</v>
      </c>
      <c r="BG1256">
        <v>82</v>
      </c>
      <c r="BH1256">
        <v>-0.02</v>
      </c>
      <c r="BI1256">
        <v>-8.06</v>
      </c>
      <c r="BJ1256">
        <v>0</v>
      </c>
      <c r="BK1256">
        <v>0</v>
      </c>
      <c r="BL1256">
        <v>2.23</v>
      </c>
      <c r="BM1256">
        <v>0.49</v>
      </c>
      <c r="BN1256">
        <v>1.43</v>
      </c>
      <c r="BO1256">
        <v>1.92</v>
      </c>
      <c r="BP1256">
        <v>0.34</v>
      </c>
      <c r="BQ1256">
        <v>2.92</v>
      </c>
      <c r="BR1256">
        <v>0.9</v>
      </c>
      <c r="BS1256">
        <v>1.36</v>
      </c>
      <c r="BT1256">
        <v>0.33</v>
      </c>
      <c r="BU1256">
        <v>3.76</v>
      </c>
      <c r="BV1256">
        <v>3.59</v>
      </c>
      <c r="BW1256">
        <v>2.12</v>
      </c>
      <c r="BX1256">
        <v>2.2599999999999998</v>
      </c>
      <c r="BY1256">
        <v>1.97</v>
      </c>
      <c r="BZ1256">
        <v>2.39</v>
      </c>
      <c r="CA1256">
        <v>3.21</v>
      </c>
      <c r="CB1256">
        <v>3.07</v>
      </c>
      <c r="CC1256">
        <v>1.86</v>
      </c>
      <c r="CD1256">
        <v>-1.39</v>
      </c>
      <c r="CE1256">
        <v>1.34</v>
      </c>
      <c r="CF1256">
        <v>1.07</v>
      </c>
      <c r="CG1256">
        <v>0</v>
      </c>
      <c r="CH1256">
        <v>2.14</v>
      </c>
      <c r="CI1256">
        <v>0</v>
      </c>
      <c r="CJ1256">
        <v>6.1</v>
      </c>
      <c r="CK1256">
        <v>50</v>
      </c>
      <c r="CL1256">
        <v>-1.02</v>
      </c>
      <c r="CM1256">
        <v>44</v>
      </c>
      <c r="CN1256">
        <v>-0.8</v>
      </c>
      <c r="CO1256">
        <v>44</v>
      </c>
      <c r="CP1256">
        <v>11.7</v>
      </c>
      <c r="CQ1256">
        <v>38</v>
      </c>
      <c r="CR1256">
        <v>0</v>
      </c>
      <c r="CS1256">
        <v>0</v>
      </c>
      <c r="CT1256">
        <v>31</v>
      </c>
      <c r="CU1256">
        <v>36</v>
      </c>
      <c r="CV1256">
        <v>0.25</v>
      </c>
      <c r="CW1256">
        <v>35</v>
      </c>
      <c r="CX1256" t="s">
        <v>13220</v>
      </c>
    </row>
    <row r="1257" spans="1:102" x14ac:dyDescent="0.3">
      <c r="A1257" t="str">
        <f>HYPERLINK("https://webapp.icbf.com/v2/app/bull-search/view/1196690977","S2231")</f>
        <v>S2231</v>
      </c>
      <c r="B1257" t="s">
        <v>7635</v>
      </c>
      <c r="C1257" t="s">
        <v>7636</v>
      </c>
      <c r="D1257" s="1">
        <v>41041</v>
      </c>
      <c r="E1257" t="s">
        <v>92</v>
      </c>
      <c r="F1257">
        <v>100</v>
      </c>
      <c r="G1257" t="s">
        <v>93</v>
      </c>
      <c r="H1257">
        <v>124.2</v>
      </c>
      <c r="I1257">
        <v>86</v>
      </c>
      <c r="J1257">
        <v>111.67</v>
      </c>
      <c r="K1257">
        <v>96</v>
      </c>
      <c r="L1257">
        <v>-41.38</v>
      </c>
      <c r="M1257">
        <v>88</v>
      </c>
      <c r="N1257">
        <v>34.33</v>
      </c>
      <c r="O1257">
        <v>87</v>
      </c>
      <c r="P1257">
        <v>-2.76</v>
      </c>
      <c r="Q1257">
        <v>85</v>
      </c>
      <c r="R1257">
        <v>18.11</v>
      </c>
      <c r="S1257">
        <v>76</v>
      </c>
      <c r="T1257">
        <v>0.8</v>
      </c>
      <c r="U1257">
        <v>58</v>
      </c>
      <c r="V1257">
        <v>3.43</v>
      </c>
      <c r="W1257">
        <v>62</v>
      </c>
      <c r="X1257" t="s">
        <v>428</v>
      </c>
      <c r="Y1257" t="s">
        <v>367</v>
      </c>
      <c r="Z1257" t="s">
        <v>96</v>
      </c>
      <c r="AA1257" t="s">
        <v>1894</v>
      </c>
      <c r="AB1257" t="s">
        <v>7637</v>
      </c>
      <c r="AC1257">
        <v>87</v>
      </c>
      <c r="AD1257">
        <v>23</v>
      </c>
      <c r="AE1257">
        <v>96</v>
      </c>
      <c r="AF1257">
        <v>612.23</v>
      </c>
      <c r="AG1257">
        <v>22</v>
      </c>
      <c r="AH1257">
        <v>20.58</v>
      </c>
      <c r="AI1257">
        <v>-0.03</v>
      </c>
      <c r="AJ1257">
        <v>0</v>
      </c>
      <c r="AK1257">
        <v>88</v>
      </c>
      <c r="AL1257">
        <v>52</v>
      </c>
      <c r="AM1257">
        <v>20</v>
      </c>
      <c r="AN1257">
        <v>3.04</v>
      </c>
      <c r="AO1257">
        <v>-0.25</v>
      </c>
      <c r="AP1257">
        <v>413</v>
      </c>
      <c r="AQ1257">
        <v>0</v>
      </c>
      <c r="AR1257">
        <v>7.04</v>
      </c>
      <c r="AS1257">
        <v>87</v>
      </c>
      <c r="AT1257">
        <v>2.41</v>
      </c>
      <c r="AU1257">
        <v>94</v>
      </c>
      <c r="AV1257">
        <v>-3.56</v>
      </c>
      <c r="AW1257">
        <v>97</v>
      </c>
      <c r="AX1257">
        <v>0.68</v>
      </c>
      <c r="AY1257">
        <v>87</v>
      </c>
      <c r="AZ1257">
        <v>5.54</v>
      </c>
      <c r="BA1257">
        <v>67</v>
      </c>
      <c r="BB1257">
        <v>5.16</v>
      </c>
      <c r="BC1257">
        <v>50</v>
      </c>
      <c r="BD1257">
        <v>-0.11</v>
      </c>
      <c r="BE1257">
        <v>-7.0000000000000007E-2</v>
      </c>
      <c r="BF1257">
        <v>-0.1</v>
      </c>
      <c r="BG1257">
        <v>92</v>
      </c>
      <c r="BH1257">
        <v>-7.0000000000000007E-2</v>
      </c>
      <c r="BI1257">
        <v>-19.149999999999999</v>
      </c>
      <c r="BJ1257">
        <v>24</v>
      </c>
      <c r="BK1257">
        <v>11</v>
      </c>
      <c r="BL1257">
        <v>1.39</v>
      </c>
      <c r="BM1257">
        <v>0.7</v>
      </c>
      <c r="BN1257">
        <v>1.86</v>
      </c>
      <c r="BO1257">
        <v>1.5</v>
      </c>
      <c r="BP1257">
        <v>-1.82</v>
      </c>
      <c r="BQ1257">
        <v>1.56</v>
      </c>
      <c r="BR1257">
        <v>-1.71</v>
      </c>
      <c r="BS1257">
        <v>2.8</v>
      </c>
      <c r="BT1257">
        <v>2.0499999999999998</v>
      </c>
      <c r="BU1257">
        <v>3.32</v>
      </c>
      <c r="BV1257">
        <v>3.27</v>
      </c>
      <c r="BW1257">
        <v>1.79</v>
      </c>
      <c r="BX1257">
        <v>2.63</v>
      </c>
      <c r="BY1257">
        <v>2.4</v>
      </c>
      <c r="BZ1257">
        <v>-0.13</v>
      </c>
      <c r="CA1257">
        <v>2.57</v>
      </c>
      <c r="CB1257">
        <v>2.59</v>
      </c>
      <c r="CC1257">
        <v>1.56</v>
      </c>
      <c r="CD1257">
        <v>-0.63</v>
      </c>
      <c r="CE1257">
        <v>0.99</v>
      </c>
      <c r="CF1257">
        <v>1.77</v>
      </c>
      <c r="CG1257">
        <v>0</v>
      </c>
      <c r="CH1257">
        <v>2.33</v>
      </c>
      <c r="CI1257">
        <v>0</v>
      </c>
      <c r="CJ1257">
        <v>1.7</v>
      </c>
      <c r="CK1257">
        <v>88</v>
      </c>
      <c r="CL1257">
        <v>-1.07</v>
      </c>
      <c r="CM1257">
        <v>85</v>
      </c>
      <c r="CN1257">
        <v>-0.52</v>
      </c>
      <c r="CO1257">
        <v>84</v>
      </c>
      <c r="CP1257">
        <v>-1</v>
      </c>
      <c r="CQ1257">
        <v>68</v>
      </c>
      <c r="CR1257">
        <v>0</v>
      </c>
      <c r="CS1257">
        <v>0</v>
      </c>
      <c r="CT1257">
        <v>12.7</v>
      </c>
      <c r="CU1257">
        <v>58</v>
      </c>
      <c r="CV1257">
        <v>0.33</v>
      </c>
      <c r="CW1257">
        <v>43</v>
      </c>
      <c r="CX1257" t="s">
        <v>7638</v>
      </c>
    </row>
    <row r="1258" spans="1:102" x14ac:dyDescent="0.3">
      <c r="A1258" t="str">
        <f>HYPERLINK("https://webapp.icbf.com/v2/app/bull-search/view/1240482607","FR2207")</f>
        <v>FR2207</v>
      </c>
      <c r="B1258" t="s">
        <v>403</v>
      </c>
      <c r="C1258" t="s">
        <v>404</v>
      </c>
      <c r="D1258" s="1">
        <v>41490</v>
      </c>
      <c r="E1258" t="s">
        <v>92</v>
      </c>
      <c r="F1258">
        <v>100</v>
      </c>
      <c r="G1258" t="s">
        <v>109</v>
      </c>
      <c r="H1258">
        <v>124.16</v>
      </c>
      <c r="I1258">
        <v>79</v>
      </c>
      <c r="J1258">
        <v>92.02</v>
      </c>
      <c r="K1258">
        <v>94</v>
      </c>
      <c r="L1258">
        <v>1.75</v>
      </c>
      <c r="M1258">
        <v>73</v>
      </c>
      <c r="N1258">
        <v>44.47</v>
      </c>
      <c r="O1258">
        <v>80</v>
      </c>
      <c r="P1258">
        <v>-7.95</v>
      </c>
      <c r="Q1258">
        <v>80</v>
      </c>
      <c r="R1258">
        <v>-6.1</v>
      </c>
      <c r="S1258">
        <v>73</v>
      </c>
      <c r="T1258">
        <v>-7.49</v>
      </c>
      <c r="U1258">
        <v>53</v>
      </c>
      <c r="V1258">
        <v>7.46</v>
      </c>
      <c r="W1258">
        <v>62</v>
      </c>
      <c r="X1258" t="s">
        <v>276</v>
      </c>
      <c r="Y1258" t="s">
        <v>405</v>
      </c>
      <c r="Z1258" t="s">
        <v>96</v>
      </c>
      <c r="AA1258" t="s">
        <v>406</v>
      </c>
      <c r="AB1258" t="s">
        <v>407</v>
      </c>
      <c r="AC1258">
        <v>40</v>
      </c>
      <c r="AD1258">
        <v>15</v>
      </c>
      <c r="AE1258">
        <v>94</v>
      </c>
      <c r="AF1258">
        <v>433.44</v>
      </c>
      <c r="AG1258">
        <v>15.9</v>
      </c>
      <c r="AH1258">
        <v>16.66</v>
      </c>
      <c r="AI1258">
        <v>-0.02</v>
      </c>
      <c r="AJ1258">
        <v>0.03</v>
      </c>
      <c r="AK1258">
        <v>73</v>
      </c>
      <c r="AL1258">
        <v>0</v>
      </c>
      <c r="AM1258">
        <v>0</v>
      </c>
      <c r="AN1258">
        <v>-0.08</v>
      </c>
      <c r="AO1258">
        <v>0.06</v>
      </c>
      <c r="AP1258">
        <v>126</v>
      </c>
      <c r="AQ1258">
        <v>0</v>
      </c>
      <c r="AR1258">
        <v>4.41</v>
      </c>
      <c r="AS1258">
        <v>80</v>
      </c>
      <c r="AT1258">
        <v>1.82</v>
      </c>
      <c r="AU1258">
        <v>88</v>
      </c>
      <c r="AV1258">
        <v>-3.36</v>
      </c>
      <c r="AW1258">
        <v>94</v>
      </c>
      <c r="AX1258">
        <v>0.91</v>
      </c>
      <c r="AY1258">
        <v>74</v>
      </c>
      <c r="AZ1258">
        <v>5.07</v>
      </c>
      <c r="BA1258">
        <v>45</v>
      </c>
      <c r="BB1258">
        <v>4.6399999999999997</v>
      </c>
      <c r="BC1258">
        <v>37</v>
      </c>
      <c r="BD1258">
        <v>0.05</v>
      </c>
      <c r="BE1258">
        <v>0.03</v>
      </c>
      <c r="BF1258">
        <v>0</v>
      </c>
      <c r="BG1258">
        <v>89</v>
      </c>
      <c r="BH1258">
        <v>-0.06</v>
      </c>
      <c r="BI1258">
        <v>-31</v>
      </c>
      <c r="BJ1258">
        <v>8</v>
      </c>
      <c r="BK1258">
        <v>3</v>
      </c>
      <c r="BL1258">
        <v>2.16</v>
      </c>
      <c r="BM1258">
        <v>0.4</v>
      </c>
      <c r="BN1258">
        <v>0.69</v>
      </c>
      <c r="BO1258">
        <v>0.65</v>
      </c>
      <c r="BP1258">
        <v>0.56000000000000005</v>
      </c>
      <c r="BQ1258">
        <v>2.5099999999999998</v>
      </c>
      <c r="BR1258">
        <v>-2.35</v>
      </c>
      <c r="BS1258">
        <v>1.65</v>
      </c>
      <c r="BT1258">
        <v>1.81</v>
      </c>
      <c r="BU1258">
        <v>2.4700000000000002</v>
      </c>
      <c r="BV1258">
        <v>2.1800000000000002</v>
      </c>
      <c r="BW1258">
        <v>2.16</v>
      </c>
      <c r="BX1258">
        <v>2.98</v>
      </c>
      <c r="BY1258">
        <v>2.69</v>
      </c>
      <c r="BZ1258">
        <v>-0.98</v>
      </c>
      <c r="CA1258">
        <v>2.4300000000000002</v>
      </c>
      <c r="CB1258">
        <v>2.2400000000000002</v>
      </c>
      <c r="CC1258">
        <v>1.42</v>
      </c>
      <c r="CD1258">
        <v>-0.52</v>
      </c>
      <c r="CE1258">
        <v>1.42</v>
      </c>
      <c r="CF1258">
        <v>2.16</v>
      </c>
      <c r="CG1258">
        <v>0</v>
      </c>
      <c r="CH1258">
        <v>2.99</v>
      </c>
      <c r="CI1258">
        <v>0</v>
      </c>
      <c r="CJ1258">
        <v>-2</v>
      </c>
      <c r="CK1258">
        <v>84</v>
      </c>
      <c r="CL1258">
        <v>-1.1100000000000001</v>
      </c>
      <c r="CM1258">
        <v>81</v>
      </c>
      <c r="CN1258">
        <v>-0.48</v>
      </c>
      <c r="CO1258">
        <v>79</v>
      </c>
      <c r="CP1258">
        <v>4.3</v>
      </c>
      <c r="CQ1258">
        <v>53</v>
      </c>
      <c r="CR1258">
        <v>0</v>
      </c>
      <c r="CS1258">
        <v>0</v>
      </c>
      <c r="CT1258">
        <v>23.9</v>
      </c>
      <c r="CU1258">
        <v>53</v>
      </c>
      <c r="CV1258">
        <v>0.2</v>
      </c>
      <c r="CW1258">
        <v>42</v>
      </c>
      <c r="CX1258" t="s">
        <v>408</v>
      </c>
    </row>
    <row r="1259" spans="1:102" x14ac:dyDescent="0.3">
      <c r="A1259" t="str">
        <f>HYPERLINK("https://webapp.icbf.com/v2/app/bull-search/view/866588871","JKZ")</f>
        <v>JKZ</v>
      </c>
      <c r="B1259" t="s">
        <v>5559</v>
      </c>
      <c r="C1259" t="s">
        <v>5560</v>
      </c>
      <c r="D1259" s="1">
        <v>40601</v>
      </c>
      <c r="E1259" t="s">
        <v>92</v>
      </c>
      <c r="F1259">
        <v>81</v>
      </c>
      <c r="G1259" t="s">
        <v>93</v>
      </c>
      <c r="H1259">
        <v>124.14</v>
      </c>
      <c r="I1259">
        <v>83</v>
      </c>
      <c r="J1259">
        <v>35.96</v>
      </c>
      <c r="K1259">
        <v>96</v>
      </c>
      <c r="L1259">
        <v>50.32</v>
      </c>
      <c r="M1259">
        <v>76</v>
      </c>
      <c r="N1259">
        <v>27.11</v>
      </c>
      <c r="O1259">
        <v>80</v>
      </c>
      <c r="P1259">
        <v>2.44</v>
      </c>
      <c r="Q1259">
        <v>83</v>
      </c>
      <c r="R1259">
        <v>3.83</v>
      </c>
      <c r="S1259">
        <v>77</v>
      </c>
      <c r="T1259">
        <v>-8.82</v>
      </c>
      <c r="U1259">
        <v>76</v>
      </c>
      <c r="V1259">
        <v>13.3</v>
      </c>
      <c r="W1259">
        <v>73</v>
      </c>
      <c r="X1259" t="s">
        <v>94</v>
      </c>
      <c r="Y1259" t="s">
        <v>1860</v>
      </c>
      <c r="Z1259" t="s">
        <v>96</v>
      </c>
      <c r="AA1259" t="s">
        <v>1942</v>
      </c>
      <c r="AB1259" t="s">
        <v>5561</v>
      </c>
      <c r="AC1259">
        <v>43</v>
      </c>
      <c r="AD1259">
        <v>28</v>
      </c>
      <c r="AE1259">
        <v>96</v>
      </c>
      <c r="AF1259">
        <v>-22.3</v>
      </c>
      <c r="AG1259">
        <v>3.32</v>
      </c>
      <c r="AH1259">
        <v>4.5999999999999996</v>
      </c>
      <c r="AI1259">
        <v>7.0000000000000007E-2</v>
      </c>
      <c r="AJ1259">
        <v>0.09</v>
      </c>
      <c r="AK1259">
        <v>76</v>
      </c>
      <c r="AL1259">
        <v>38</v>
      </c>
      <c r="AM1259">
        <v>28</v>
      </c>
      <c r="AN1259">
        <v>-2.1800000000000002</v>
      </c>
      <c r="AO1259">
        <v>1.84</v>
      </c>
      <c r="AP1259">
        <v>82</v>
      </c>
      <c r="AQ1259">
        <v>1</v>
      </c>
      <c r="AR1259">
        <v>6.36</v>
      </c>
      <c r="AS1259">
        <v>66</v>
      </c>
      <c r="AT1259">
        <v>2.84</v>
      </c>
      <c r="AU1259">
        <v>82</v>
      </c>
      <c r="AV1259">
        <v>-3.31</v>
      </c>
      <c r="AW1259">
        <v>92</v>
      </c>
      <c r="AX1259">
        <v>0.77</v>
      </c>
      <c r="AY1259">
        <v>70</v>
      </c>
      <c r="AZ1259">
        <v>7</v>
      </c>
      <c r="BA1259">
        <v>60</v>
      </c>
      <c r="BB1259">
        <v>5.35</v>
      </c>
      <c r="BC1259">
        <v>60</v>
      </c>
      <c r="BD1259">
        <v>0</v>
      </c>
      <c r="BE1259">
        <v>-0.02</v>
      </c>
      <c r="BF1259">
        <v>-0.05</v>
      </c>
      <c r="BG1259">
        <v>85</v>
      </c>
      <c r="BH1259">
        <v>0.36</v>
      </c>
      <c r="BI1259">
        <v>-1.25</v>
      </c>
      <c r="BJ1259">
        <v>7</v>
      </c>
      <c r="BK1259">
        <v>7</v>
      </c>
      <c r="BL1259">
        <v>0.53</v>
      </c>
      <c r="BM1259">
        <v>0.59</v>
      </c>
      <c r="BN1259">
        <v>-0.98</v>
      </c>
      <c r="BO1259">
        <v>-1.37</v>
      </c>
      <c r="BP1259">
        <v>2.73</v>
      </c>
      <c r="BQ1259">
        <v>0.1</v>
      </c>
      <c r="BR1259">
        <v>-1.53</v>
      </c>
      <c r="BS1259">
        <v>-0.86</v>
      </c>
      <c r="BT1259">
        <v>0.7</v>
      </c>
      <c r="BU1259">
        <v>0.1</v>
      </c>
      <c r="BV1259">
        <v>-1.05</v>
      </c>
      <c r="BW1259">
        <v>-0.11</v>
      </c>
      <c r="BX1259">
        <v>1.02</v>
      </c>
      <c r="BY1259">
        <v>-0.17</v>
      </c>
      <c r="BZ1259">
        <v>-1.56</v>
      </c>
      <c r="CA1259">
        <v>0.06</v>
      </c>
      <c r="CB1259">
        <v>-0.17</v>
      </c>
      <c r="CC1259">
        <v>-0.46</v>
      </c>
      <c r="CD1259">
        <v>1.35</v>
      </c>
      <c r="CE1259">
        <v>-0.71</v>
      </c>
      <c r="CF1259">
        <v>0.7</v>
      </c>
      <c r="CG1259">
        <v>0</v>
      </c>
      <c r="CH1259">
        <v>-0.18</v>
      </c>
      <c r="CI1259">
        <v>0</v>
      </c>
      <c r="CJ1259">
        <v>2.9</v>
      </c>
      <c r="CK1259">
        <v>85</v>
      </c>
      <c r="CL1259">
        <v>-0.57999999999999996</v>
      </c>
      <c r="CM1259">
        <v>81</v>
      </c>
      <c r="CN1259">
        <v>-0.2</v>
      </c>
      <c r="CO1259">
        <v>79</v>
      </c>
      <c r="CP1259">
        <v>13.9</v>
      </c>
      <c r="CQ1259">
        <v>77</v>
      </c>
      <c r="CR1259">
        <v>0</v>
      </c>
      <c r="CS1259">
        <v>0</v>
      </c>
      <c r="CT1259">
        <v>25.7</v>
      </c>
      <c r="CU1259">
        <v>76</v>
      </c>
      <c r="CV1259">
        <v>0.16</v>
      </c>
      <c r="CW1259">
        <v>45</v>
      </c>
      <c r="CX1259" t="s">
        <v>1165</v>
      </c>
    </row>
    <row r="1260" spans="1:102" x14ac:dyDescent="0.3">
      <c r="A1260" t="str">
        <f>HYPERLINK("https://webapp.icbf.com/v2/app/bull-search/view/666252735","SWZ")</f>
        <v>SWZ</v>
      </c>
      <c r="B1260" t="s">
        <v>5311</v>
      </c>
      <c r="C1260" t="s">
        <v>5312</v>
      </c>
      <c r="D1260" s="1">
        <v>39827</v>
      </c>
      <c r="E1260" t="s">
        <v>227</v>
      </c>
      <c r="F1260">
        <v>0</v>
      </c>
      <c r="G1260" t="s">
        <v>116</v>
      </c>
      <c r="H1260">
        <v>123.96</v>
      </c>
      <c r="I1260">
        <v>41</v>
      </c>
      <c r="J1260">
        <v>94.22</v>
      </c>
      <c r="K1260">
        <v>46</v>
      </c>
      <c r="L1260">
        <v>2.98</v>
      </c>
      <c r="M1260">
        <v>36</v>
      </c>
      <c r="N1260">
        <v>33.380000000000003</v>
      </c>
      <c r="O1260">
        <v>41</v>
      </c>
      <c r="P1260">
        <v>-59.98</v>
      </c>
      <c r="Q1260">
        <v>51</v>
      </c>
      <c r="R1260">
        <v>-0.25</v>
      </c>
      <c r="S1260">
        <v>37</v>
      </c>
      <c r="T1260">
        <v>48.83</v>
      </c>
      <c r="U1260">
        <v>36</v>
      </c>
      <c r="V1260">
        <v>4.78</v>
      </c>
      <c r="W1260">
        <v>36</v>
      </c>
      <c r="X1260" t="s">
        <v>94</v>
      </c>
      <c r="Y1260" t="s">
        <v>1685</v>
      </c>
      <c r="Z1260">
        <v>0</v>
      </c>
      <c r="AA1260" t="s">
        <v>1525</v>
      </c>
      <c r="AB1260" t="s">
        <v>5313</v>
      </c>
      <c r="AC1260">
        <v>0</v>
      </c>
      <c r="AD1260">
        <v>0</v>
      </c>
      <c r="AE1260">
        <v>46</v>
      </c>
      <c r="AF1260">
        <v>-196.52</v>
      </c>
      <c r="AG1260">
        <v>18.28</v>
      </c>
      <c r="AH1260">
        <v>6.55</v>
      </c>
      <c r="AI1260">
        <v>0.46</v>
      </c>
      <c r="AJ1260">
        <v>0.24</v>
      </c>
      <c r="AK1260">
        <v>36</v>
      </c>
      <c r="AL1260">
        <v>0</v>
      </c>
      <c r="AM1260">
        <v>0</v>
      </c>
      <c r="AN1260">
        <v>0.82</v>
      </c>
      <c r="AO1260">
        <v>1.07</v>
      </c>
      <c r="AP1260">
        <v>1</v>
      </c>
      <c r="AQ1260">
        <v>0</v>
      </c>
      <c r="AR1260">
        <v>2.67</v>
      </c>
      <c r="AS1260">
        <v>31</v>
      </c>
      <c r="AT1260">
        <v>1.33</v>
      </c>
      <c r="AU1260">
        <v>32</v>
      </c>
      <c r="AV1260">
        <v>-1.86</v>
      </c>
      <c r="AW1260">
        <v>54</v>
      </c>
      <c r="AX1260">
        <v>1.28</v>
      </c>
      <c r="AY1260">
        <v>34</v>
      </c>
      <c r="AZ1260">
        <v>5.86</v>
      </c>
      <c r="BA1260">
        <v>29</v>
      </c>
      <c r="BB1260">
        <v>5.15</v>
      </c>
      <c r="BC1260">
        <v>30</v>
      </c>
      <c r="BD1260">
        <v>-0.05</v>
      </c>
      <c r="BE1260">
        <v>0.01</v>
      </c>
      <c r="BF1260">
        <v>7.0000000000000007E-2</v>
      </c>
      <c r="BG1260">
        <v>40</v>
      </c>
      <c r="BH1260">
        <v>0.08</v>
      </c>
      <c r="BI1260">
        <v>-6.16</v>
      </c>
      <c r="BJ1260">
        <v>0</v>
      </c>
      <c r="BK1260">
        <v>0</v>
      </c>
      <c r="BL1260">
        <v>-2.21</v>
      </c>
      <c r="BM1260">
        <v>-1.17</v>
      </c>
      <c r="BN1260">
        <v>-0.22</v>
      </c>
      <c r="BO1260">
        <v>0.99</v>
      </c>
      <c r="BP1260">
        <v>0.36</v>
      </c>
      <c r="BQ1260">
        <v>-5.25</v>
      </c>
      <c r="BR1260">
        <v>3.55</v>
      </c>
      <c r="BS1260">
        <v>4.34</v>
      </c>
      <c r="BT1260">
        <v>-2.4700000000000002</v>
      </c>
      <c r="BU1260">
        <v>-0.01</v>
      </c>
      <c r="BV1260">
        <v>-0.39</v>
      </c>
      <c r="BW1260">
        <v>-1.91</v>
      </c>
      <c r="BX1260">
        <v>-2.59</v>
      </c>
      <c r="BY1260">
        <v>0.03</v>
      </c>
      <c r="BZ1260">
        <v>-1.0900000000000001</v>
      </c>
      <c r="CA1260">
        <v>0.78</v>
      </c>
      <c r="CB1260">
        <v>-0.02</v>
      </c>
      <c r="CC1260">
        <v>2.15</v>
      </c>
      <c r="CD1260">
        <v>-1.59</v>
      </c>
      <c r="CE1260">
        <v>0.59</v>
      </c>
      <c r="CF1260">
        <v>-2.38</v>
      </c>
      <c r="CG1260">
        <v>0</v>
      </c>
      <c r="CH1260">
        <v>-0.95</v>
      </c>
      <c r="CI1260">
        <v>0</v>
      </c>
      <c r="CJ1260">
        <v>-32.799999999999997</v>
      </c>
      <c r="CK1260">
        <v>54</v>
      </c>
      <c r="CL1260">
        <v>-1.04</v>
      </c>
      <c r="CM1260">
        <v>49</v>
      </c>
      <c r="CN1260">
        <v>-0.19</v>
      </c>
      <c r="CO1260">
        <v>48</v>
      </c>
      <c r="CP1260">
        <v>-41.4</v>
      </c>
      <c r="CQ1260">
        <v>39</v>
      </c>
      <c r="CR1260">
        <v>0</v>
      </c>
      <c r="CS1260">
        <v>0</v>
      </c>
      <c r="CT1260">
        <v>-52.2</v>
      </c>
      <c r="CU1260">
        <v>36</v>
      </c>
      <c r="CV1260">
        <v>-0.38</v>
      </c>
      <c r="CW1260">
        <v>15</v>
      </c>
      <c r="CX1260" t="s">
        <v>5314</v>
      </c>
    </row>
    <row r="1261" spans="1:102" x14ac:dyDescent="0.3">
      <c r="A1261" t="str">
        <f>HYPERLINK("https://webapp.icbf.com/v2/app/bull-search/view/564794761","MYP")</f>
        <v>MYP</v>
      </c>
      <c r="B1261" t="s">
        <v>144</v>
      </c>
      <c r="C1261" t="s">
        <v>12512</v>
      </c>
      <c r="D1261" s="1">
        <v>38642</v>
      </c>
      <c r="E1261" t="s">
        <v>1061</v>
      </c>
      <c r="F1261">
        <v>0</v>
      </c>
      <c r="G1261" t="s">
        <v>93</v>
      </c>
      <c r="H1261">
        <v>123.96</v>
      </c>
      <c r="I1261">
        <v>71</v>
      </c>
      <c r="J1261">
        <v>9.6</v>
      </c>
      <c r="K1261">
        <v>91</v>
      </c>
      <c r="L1261">
        <v>97.75</v>
      </c>
      <c r="M1261">
        <v>49</v>
      </c>
      <c r="N1261">
        <v>17.04</v>
      </c>
      <c r="O1261">
        <v>68</v>
      </c>
      <c r="P1261">
        <v>-7.27</v>
      </c>
      <c r="Q1261">
        <v>82</v>
      </c>
      <c r="R1261">
        <v>-7.49</v>
      </c>
      <c r="S1261">
        <v>59</v>
      </c>
      <c r="T1261">
        <v>31.96</v>
      </c>
      <c r="U1261">
        <v>78</v>
      </c>
      <c r="V1261">
        <v>-17.63</v>
      </c>
      <c r="W1261">
        <v>66</v>
      </c>
      <c r="X1261" t="s">
        <v>102</v>
      </c>
      <c r="Y1261" t="s">
        <v>1122</v>
      </c>
      <c r="Z1261">
        <v>0</v>
      </c>
      <c r="AA1261" t="s">
        <v>12513</v>
      </c>
      <c r="AB1261" t="s">
        <v>12514</v>
      </c>
      <c r="AC1261">
        <v>41</v>
      </c>
      <c r="AD1261">
        <v>18</v>
      </c>
      <c r="AE1261">
        <v>91</v>
      </c>
      <c r="AF1261">
        <v>-152.5</v>
      </c>
      <c r="AG1261">
        <v>-0.77</v>
      </c>
      <c r="AH1261">
        <v>-0.43</v>
      </c>
      <c r="AI1261">
        <v>0.09</v>
      </c>
      <c r="AJ1261">
        <v>0.08</v>
      </c>
      <c r="AK1261">
        <v>49</v>
      </c>
      <c r="AL1261">
        <v>42</v>
      </c>
      <c r="AM1261">
        <v>17</v>
      </c>
      <c r="AN1261">
        <v>-3.41</v>
      </c>
      <c r="AO1261">
        <v>4.41</v>
      </c>
      <c r="AP1261">
        <v>53</v>
      </c>
      <c r="AQ1261">
        <v>2</v>
      </c>
      <c r="AR1261">
        <v>5.5</v>
      </c>
      <c r="AS1261">
        <v>43</v>
      </c>
      <c r="AT1261">
        <v>2.36</v>
      </c>
      <c r="AU1261">
        <v>62</v>
      </c>
      <c r="AV1261">
        <v>-0.52</v>
      </c>
      <c r="AW1261">
        <v>89</v>
      </c>
      <c r="AX1261">
        <v>-0.53</v>
      </c>
      <c r="AY1261">
        <v>59</v>
      </c>
      <c r="AZ1261">
        <v>6.24</v>
      </c>
      <c r="BA1261">
        <v>38</v>
      </c>
      <c r="BB1261">
        <v>4.95</v>
      </c>
      <c r="BC1261">
        <v>41</v>
      </c>
      <c r="BD1261">
        <v>0.05</v>
      </c>
      <c r="BE1261">
        <v>0.01</v>
      </c>
      <c r="BF1261">
        <v>7.0000000000000007E-2</v>
      </c>
      <c r="BG1261">
        <v>67</v>
      </c>
      <c r="BH1261">
        <v>-0.45</v>
      </c>
      <c r="BI1261">
        <v>4.8099999999999996</v>
      </c>
      <c r="BJ1261">
        <v>0</v>
      </c>
      <c r="BK1261">
        <v>0</v>
      </c>
      <c r="BL1261">
        <v>-1.3</v>
      </c>
      <c r="BM1261">
        <v>1.71</v>
      </c>
      <c r="BN1261">
        <v>-1.2</v>
      </c>
      <c r="BO1261">
        <v>-1.98</v>
      </c>
      <c r="BP1261">
        <v>0.28999999999999998</v>
      </c>
      <c r="BQ1261">
        <v>-0.02</v>
      </c>
      <c r="BR1261">
        <v>-0.83</v>
      </c>
      <c r="BS1261">
        <v>0.18</v>
      </c>
      <c r="BT1261">
        <v>0.27</v>
      </c>
      <c r="BU1261">
        <v>-2.02</v>
      </c>
      <c r="BV1261">
        <v>-1.92</v>
      </c>
      <c r="BW1261">
        <v>-2.06</v>
      </c>
      <c r="BX1261">
        <v>-1.63</v>
      </c>
      <c r="BY1261">
        <v>-1.9</v>
      </c>
      <c r="BZ1261">
        <v>0.16</v>
      </c>
      <c r="CA1261">
        <v>-1.9</v>
      </c>
      <c r="CB1261">
        <v>-2.08</v>
      </c>
      <c r="CC1261">
        <v>-0.83</v>
      </c>
      <c r="CD1261">
        <v>1.95</v>
      </c>
      <c r="CE1261">
        <v>-2.11</v>
      </c>
      <c r="CF1261">
        <v>-1.39</v>
      </c>
      <c r="CG1261">
        <v>0</v>
      </c>
      <c r="CH1261">
        <v>-2.6</v>
      </c>
      <c r="CI1261">
        <v>0</v>
      </c>
      <c r="CJ1261">
        <v>-4.4000000000000004</v>
      </c>
      <c r="CK1261">
        <v>84</v>
      </c>
      <c r="CL1261">
        <v>-0.28999999999999998</v>
      </c>
      <c r="CM1261">
        <v>80</v>
      </c>
      <c r="CN1261">
        <v>-0.38</v>
      </c>
      <c r="CO1261">
        <v>78</v>
      </c>
      <c r="CP1261">
        <v>-17.7</v>
      </c>
      <c r="CQ1261">
        <v>76</v>
      </c>
      <c r="CR1261">
        <v>0</v>
      </c>
      <c r="CS1261">
        <v>0</v>
      </c>
      <c r="CT1261">
        <v>-29.4</v>
      </c>
      <c r="CU1261">
        <v>78</v>
      </c>
      <c r="CV1261">
        <v>-0.14000000000000001</v>
      </c>
      <c r="CW1261">
        <v>22</v>
      </c>
      <c r="CX1261" t="s">
        <v>12515</v>
      </c>
    </row>
    <row r="1262" spans="1:102" x14ac:dyDescent="0.3">
      <c r="A1262" t="str">
        <f>HYPERLINK("https://webapp.icbf.com/v2/app/bull-search/view/910796543","PYA")</f>
        <v>PYA</v>
      </c>
      <c r="B1262" t="s">
        <v>7156</v>
      </c>
      <c r="C1262" t="s">
        <v>7157</v>
      </c>
      <c r="D1262" s="1">
        <v>40374</v>
      </c>
      <c r="E1262" t="s">
        <v>92</v>
      </c>
      <c r="F1262">
        <v>69</v>
      </c>
      <c r="G1262" t="s">
        <v>109</v>
      </c>
      <c r="H1262">
        <v>123.94</v>
      </c>
      <c r="I1262">
        <v>71</v>
      </c>
      <c r="J1262">
        <v>82.73</v>
      </c>
      <c r="K1262">
        <v>88</v>
      </c>
      <c r="L1262">
        <v>27.68</v>
      </c>
      <c r="M1262">
        <v>72</v>
      </c>
      <c r="N1262">
        <v>30.13</v>
      </c>
      <c r="O1262">
        <v>54</v>
      </c>
      <c r="P1262">
        <v>-37.200000000000003</v>
      </c>
      <c r="Q1262">
        <v>52</v>
      </c>
      <c r="R1262">
        <v>-12.05</v>
      </c>
      <c r="S1262">
        <v>69</v>
      </c>
      <c r="T1262">
        <v>22.56</v>
      </c>
      <c r="U1262">
        <v>45</v>
      </c>
      <c r="V1262">
        <v>10.09</v>
      </c>
      <c r="W1262">
        <v>52</v>
      </c>
      <c r="X1262" t="s">
        <v>276</v>
      </c>
      <c r="Y1262" t="s">
        <v>422</v>
      </c>
      <c r="Z1262" t="s">
        <v>330</v>
      </c>
      <c r="AA1262" t="s">
        <v>2278</v>
      </c>
      <c r="AB1262" t="s">
        <v>7158</v>
      </c>
      <c r="AC1262">
        <v>0</v>
      </c>
      <c r="AD1262">
        <v>0</v>
      </c>
      <c r="AE1262">
        <v>88</v>
      </c>
      <c r="AF1262">
        <v>58.88</v>
      </c>
      <c r="AG1262">
        <v>20.95</v>
      </c>
      <c r="AH1262">
        <v>7.56</v>
      </c>
      <c r="AI1262">
        <v>0.32</v>
      </c>
      <c r="AJ1262">
        <v>0.1</v>
      </c>
      <c r="AK1262">
        <v>72</v>
      </c>
      <c r="AL1262">
        <v>0</v>
      </c>
      <c r="AM1262">
        <v>0</v>
      </c>
      <c r="AN1262">
        <v>-2.0699999999999998</v>
      </c>
      <c r="AO1262">
        <v>0.13</v>
      </c>
      <c r="AP1262">
        <v>5</v>
      </c>
      <c r="AQ1262">
        <v>0</v>
      </c>
      <c r="AR1262">
        <v>4.13</v>
      </c>
      <c r="AS1262">
        <v>48</v>
      </c>
      <c r="AT1262">
        <v>1.69</v>
      </c>
      <c r="AU1262">
        <v>79</v>
      </c>
      <c r="AV1262">
        <v>-1.94</v>
      </c>
      <c r="AW1262">
        <v>50</v>
      </c>
      <c r="AX1262">
        <v>-0.09</v>
      </c>
      <c r="AY1262">
        <v>43</v>
      </c>
      <c r="AZ1262">
        <v>6.53</v>
      </c>
      <c r="BA1262">
        <v>38</v>
      </c>
      <c r="BB1262">
        <v>5.61</v>
      </c>
      <c r="BC1262">
        <v>37</v>
      </c>
      <c r="BD1262">
        <v>0</v>
      </c>
      <c r="BE1262">
        <v>0.03</v>
      </c>
      <c r="BF1262">
        <v>0.22</v>
      </c>
      <c r="BG1262">
        <v>88</v>
      </c>
      <c r="BH1262">
        <v>0.24</v>
      </c>
      <c r="BI1262">
        <v>-4.7699999999999996</v>
      </c>
      <c r="BJ1262">
        <v>0</v>
      </c>
      <c r="BK1262">
        <v>0</v>
      </c>
      <c r="BL1262">
        <v>-0.3</v>
      </c>
      <c r="BM1262">
        <v>2.38</v>
      </c>
      <c r="BN1262">
        <v>1.39</v>
      </c>
      <c r="BO1262">
        <v>0.03</v>
      </c>
      <c r="BP1262">
        <v>-1.94</v>
      </c>
      <c r="BQ1262">
        <v>0.71</v>
      </c>
      <c r="BR1262">
        <v>1.89</v>
      </c>
      <c r="BS1262">
        <v>-1.55</v>
      </c>
      <c r="BT1262">
        <v>-2.34</v>
      </c>
      <c r="BU1262">
        <v>-0.94</v>
      </c>
      <c r="BV1262">
        <v>-1.79</v>
      </c>
      <c r="BW1262">
        <v>-1.8</v>
      </c>
      <c r="BX1262">
        <v>-1.65</v>
      </c>
      <c r="BY1262">
        <v>-2.2599999999999998</v>
      </c>
      <c r="BZ1262">
        <v>0.33</v>
      </c>
      <c r="CA1262">
        <v>-1</v>
      </c>
      <c r="CB1262">
        <v>-1.3</v>
      </c>
      <c r="CC1262">
        <v>-1.9</v>
      </c>
      <c r="CD1262">
        <v>0.08</v>
      </c>
      <c r="CE1262">
        <v>0.02</v>
      </c>
      <c r="CF1262">
        <v>0</v>
      </c>
      <c r="CG1262">
        <v>0</v>
      </c>
      <c r="CH1262">
        <v>-2.52</v>
      </c>
      <c r="CI1262">
        <v>0</v>
      </c>
      <c r="CJ1262">
        <v>-20.8</v>
      </c>
      <c r="CK1262">
        <v>53</v>
      </c>
      <c r="CL1262">
        <v>-1</v>
      </c>
      <c r="CM1262">
        <v>51</v>
      </c>
      <c r="CN1262">
        <v>-0.38</v>
      </c>
      <c r="CO1262">
        <v>50</v>
      </c>
      <c r="CP1262">
        <v>-17.5</v>
      </c>
      <c r="CQ1262">
        <v>46</v>
      </c>
      <c r="CR1262">
        <v>0</v>
      </c>
      <c r="CS1262">
        <v>0</v>
      </c>
      <c r="CT1262">
        <v>-16.7</v>
      </c>
      <c r="CU1262">
        <v>45</v>
      </c>
      <c r="CV1262">
        <v>-0.17</v>
      </c>
      <c r="CW1262">
        <v>36</v>
      </c>
      <c r="CX1262" t="s">
        <v>1256</v>
      </c>
    </row>
    <row r="1263" spans="1:102" x14ac:dyDescent="0.3">
      <c r="A1263" t="str">
        <f>HYPERLINK("https://webapp.icbf.com/v2/app/bull-search/view/314185288","RJI")</f>
        <v>RJI</v>
      </c>
      <c r="B1263" t="s">
        <v>2874</v>
      </c>
      <c r="C1263" t="s">
        <v>2875</v>
      </c>
      <c r="D1263" s="1">
        <v>36343</v>
      </c>
      <c r="E1263" t="s">
        <v>92</v>
      </c>
      <c r="F1263">
        <v>100</v>
      </c>
      <c r="G1263" t="s">
        <v>93</v>
      </c>
      <c r="H1263">
        <v>123.85</v>
      </c>
      <c r="I1263">
        <v>95</v>
      </c>
      <c r="J1263">
        <v>45.06</v>
      </c>
      <c r="K1263">
        <v>99</v>
      </c>
      <c r="L1263">
        <v>41.58</v>
      </c>
      <c r="M1263">
        <v>91</v>
      </c>
      <c r="N1263">
        <v>27.63</v>
      </c>
      <c r="O1263">
        <v>93</v>
      </c>
      <c r="P1263">
        <v>-12.79</v>
      </c>
      <c r="Q1263">
        <v>97</v>
      </c>
      <c r="R1263">
        <v>1.99</v>
      </c>
      <c r="S1263">
        <v>91</v>
      </c>
      <c r="T1263">
        <v>20.49</v>
      </c>
      <c r="U1263">
        <v>95</v>
      </c>
      <c r="V1263">
        <v>-0.11</v>
      </c>
      <c r="W1263">
        <v>92</v>
      </c>
      <c r="X1263" t="s">
        <v>302</v>
      </c>
      <c r="Y1263" t="s">
        <v>95</v>
      </c>
      <c r="Z1263" t="s">
        <v>96</v>
      </c>
      <c r="AA1263" t="s">
        <v>985</v>
      </c>
      <c r="AB1263" t="s">
        <v>2876</v>
      </c>
      <c r="AC1263">
        <v>293</v>
      </c>
      <c r="AD1263">
        <v>128</v>
      </c>
      <c r="AE1263">
        <v>99</v>
      </c>
      <c r="AF1263">
        <v>-80.25</v>
      </c>
      <c r="AG1263">
        <v>14.26</v>
      </c>
      <c r="AH1263">
        <v>1.39</v>
      </c>
      <c r="AI1263">
        <v>0.31</v>
      </c>
      <c r="AJ1263">
        <v>7.0000000000000007E-2</v>
      </c>
      <c r="AK1263">
        <v>91</v>
      </c>
      <c r="AL1263">
        <v>310</v>
      </c>
      <c r="AM1263">
        <v>140</v>
      </c>
      <c r="AN1263">
        <v>-1.19</v>
      </c>
      <c r="AO1263">
        <v>2.14</v>
      </c>
      <c r="AP1263">
        <v>498</v>
      </c>
      <c r="AQ1263">
        <v>7</v>
      </c>
      <c r="AR1263">
        <v>8.32</v>
      </c>
      <c r="AS1263">
        <v>82</v>
      </c>
      <c r="AT1263">
        <v>2.98</v>
      </c>
      <c r="AU1263">
        <v>95</v>
      </c>
      <c r="AV1263">
        <v>-4.04</v>
      </c>
      <c r="AW1263">
        <v>98</v>
      </c>
      <c r="AX1263">
        <v>-0.32</v>
      </c>
      <c r="AY1263">
        <v>93</v>
      </c>
      <c r="AZ1263">
        <v>7.03</v>
      </c>
      <c r="BA1263">
        <v>81</v>
      </c>
      <c r="BB1263">
        <v>5.71</v>
      </c>
      <c r="BC1263">
        <v>85</v>
      </c>
      <c r="BD1263">
        <v>-0.04</v>
      </c>
      <c r="BE1263">
        <v>-0.01</v>
      </c>
      <c r="BF1263">
        <v>0.04</v>
      </c>
      <c r="BG1263">
        <v>95</v>
      </c>
      <c r="BH1263">
        <v>0.04</v>
      </c>
      <c r="BI1263">
        <v>4.9800000000000004</v>
      </c>
      <c r="BJ1263">
        <v>9</v>
      </c>
      <c r="BK1263">
        <v>9</v>
      </c>
      <c r="BL1263">
        <v>-1.39</v>
      </c>
      <c r="BM1263">
        <v>-1.34</v>
      </c>
      <c r="BN1263">
        <v>-1.76</v>
      </c>
      <c r="BO1263">
        <v>-0.46</v>
      </c>
      <c r="BP1263">
        <v>1.65</v>
      </c>
      <c r="BQ1263">
        <v>-2.27</v>
      </c>
      <c r="BR1263">
        <v>1.1399999999999999</v>
      </c>
      <c r="BS1263">
        <v>-0.7</v>
      </c>
      <c r="BT1263">
        <v>-2.4300000000000002</v>
      </c>
      <c r="BU1263">
        <v>-0.48</v>
      </c>
      <c r="BV1263">
        <v>-0.14000000000000001</v>
      </c>
      <c r="BW1263">
        <v>-0.31</v>
      </c>
      <c r="BX1263">
        <v>-0.74</v>
      </c>
      <c r="BY1263">
        <v>1</v>
      </c>
      <c r="BZ1263">
        <v>2.39</v>
      </c>
      <c r="CA1263">
        <v>-0.68</v>
      </c>
      <c r="CB1263">
        <v>-0.38</v>
      </c>
      <c r="CC1263">
        <v>-0.88</v>
      </c>
      <c r="CD1263">
        <v>-0.6</v>
      </c>
      <c r="CE1263">
        <v>-0.19</v>
      </c>
      <c r="CF1263">
        <v>-1.33</v>
      </c>
      <c r="CG1263">
        <v>0</v>
      </c>
      <c r="CH1263">
        <v>0.56000000000000005</v>
      </c>
      <c r="CI1263">
        <v>0</v>
      </c>
      <c r="CJ1263">
        <v>-5.8</v>
      </c>
      <c r="CK1263">
        <v>98</v>
      </c>
      <c r="CL1263">
        <v>-0.53</v>
      </c>
      <c r="CM1263">
        <v>97</v>
      </c>
      <c r="CN1263">
        <v>-0.23</v>
      </c>
      <c r="CO1263">
        <v>97</v>
      </c>
      <c r="CP1263">
        <v>-13.4</v>
      </c>
      <c r="CQ1263">
        <v>96</v>
      </c>
      <c r="CR1263">
        <v>0</v>
      </c>
      <c r="CS1263">
        <v>0</v>
      </c>
      <c r="CT1263">
        <v>-13.9</v>
      </c>
      <c r="CU1263">
        <v>95</v>
      </c>
      <c r="CV1263">
        <v>0.03</v>
      </c>
      <c r="CW1263">
        <v>46</v>
      </c>
      <c r="CX1263" t="s">
        <v>265</v>
      </c>
    </row>
    <row r="1264" spans="1:102" x14ac:dyDescent="0.3">
      <c r="A1264" t="str">
        <f>HYPERLINK("https://webapp.icbf.com/v2/app/bull-search/view/1302949913","FR2287")</f>
        <v>FR2287</v>
      </c>
      <c r="B1264" t="s">
        <v>6084</v>
      </c>
      <c r="C1264" t="s">
        <v>6085</v>
      </c>
      <c r="D1264" s="1">
        <v>41658</v>
      </c>
      <c r="E1264" t="s">
        <v>92</v>
      </c>
      <c r="F1264">
        <v>100</v>
      </c>
      <c r="G1264" t="s">
        <v>109</v>
      </c>
      <c r="H1264">
        <v>123.67</v>
      </c>
      <c r="I1264">
        <v>75</v>
      </c>
      <c r="J1264">
        <v>76.47</v>
      </c>
      <c r="K1264">
        <v>92</v>
      </c>
      <c r="L1264">
        <v>17.100000000000001</v>
      </c>
      <c r="M1264">
        <v>74</v>
      </c>
      <c r="N1264">
        <v>27.35</v>
      </c>
      <c r="O1264">
        <v>73</v>
      </c>
      <c r="P1264">
        <v>-1.36</v>
      </c>
      <c r="Q1264">
        <v>50</v>
      </c>
      <c r="R1264">
        <v>19.89</v>
      </c>
      <c r="S1264">
        <v>70</v>
      </c>
      <c r="T1264">
        <v>-16.96</v>
      </c>
      <c r="U1264">
        <v>50</v>
      </c>
      <c r="V1264">
        <v>1.18</v>
      </c>
      <c r="W1264">
        <v>56</v>
      </c>
      <c r="X1264" t="s">
        <v>102</v>
      </c>
      <c r="Y1264" t="s">
        <v>405</v>
      </c>
      <c r="Z1264" t="s">
        <v>96</v>
      </c>
      <c r="AA1264" t="s">
        <v>6086</v>
      </c>
      <c r="AB1264" t="s">
        <v>6087</v>
      </c>
      <c r="AC1264">
        <v>18</v>
      </c>
      <c r="AD1264">
        <v>11</v>
      </c>
      <c r="AE1264">
        <v>92</v>
      </c>
      <c r="AF1264">
        <v>485.06</v>
      </c>
      <c r="AG1264">
        <v>8.59</v>
      </c>
      <c r="AH1264">
        <v>17.39</v>
      </c>
      <c r="AI1264">
        <v>-0.17</v>
      </c>
      <c r="AJ1264">
        <v>0.02</v>
      </c>
      <c r="AK1264">
        <v>74</v>
      </c>
      <c r="AL1264">
        <v>0</v>
      </c>
      <c r="AM1264">
        <v>0</v>
      </c>
      <c r="AN1264">
        <v>-0.44</v>
      </c>
      <c r="AO1264">
        <v>0.93</v>
      </c>
      <c r="AP1264">
        <v>94</v>
      </c>
      <c r="AQ1264">
        <v>0</v>
      </c>
      <c r="AR1264">
        <v>7.51</v>
      </c>
      <c r="AS1264">
        <v>63</v>
      </c>
      <c r="AT1264">
        <v>2.81</v>
      </c>
      <c r="AU1264">
        <v>84</v>
      </c>
      <c r="AV1264">
        <v>-3.01</v>
      </c>
      <c r="AW1264">
        <v>86</v>
      </c>
      <c r="AX1264">
        <v>0.1</v>
      </c>
      <c r="AY1264">
        <v>65</v>
      </c>
      <c r="AZ1264">
        <v>5.67</v>
      </c>
      <c r="BA1264">
        <v>42</v>
      </c>
      <c r="BB1264">
        <v>5.07</v>
      </c>
      <c r="BC1264">
        <v>35</v>
      </c>
      <c r="BD1264">
        <v>-0.08</v>
      </c>
      <c r="BE1264">
        <v>-0.06</v>
      </c>
      <c r="BF1264">
        <v>-0.21</v>
      </c>
      <c r="BG1264">
        <v>86</v>
      </c>
      <c r="BH1264">
        <v>-0.05</v>
      </c>
      <c r="BI1264">
        <v>-9.58</v>
      </c>
      <c r="BJ1264">
        <v>2</v>
      </c>
      <c r="BK1264">
        <v>2</v>
      </c>
      <c r="BL1264">
        <v>1.72</v>
      </c>
      <c r="BM1264">
        <v>-0.03</v>
      </c>
      <c r="BN1264">
        <v>0.22</v>
      </c>
      <c r="BO1264">
        <v>0.47</v>
      </c>
      <c r="BP1264">
        <v>1.67</v>
      </c>
      <c r="BQ1264">
        <v>2.57</v>
      </c>
      <c r="BR1264">
        <v>0.28999999999999998</v>
      </c>
      <c r="BS1264">
        <v>1.0900000000000001</v>
      </c>
      <c r="BT1264">
        <v>0.19</v>
      </c>
      <c r="BU1264">
        <v>4.37</v>
      </c>
      <c r="BV1264">
        <v>2.2200000000000002</v>
      </c>
      <c r="BW1264">
        <v>2.1800000000000002</v>
      </c>
      <c r="BX1264">
        <v>4.01</v>
      </c>
      <c r="BY1264">
        <v>2</v>
      </c>
      <c r="BZ1264">
        <v>-0.82</v>
      </c>
      <c r="CA1264">
        <v>3.15</v>
      </c>
      <c r="CB1264">
        <v>3.01</v>
      </c>
      <c r="CC1264">
        <v>0.95</v>
      </c>
      <c r="CD1264">
        <v>0.27</v>
      </c>
      <c r="CE1264">
        <v>1.45</v>
      </c>
      <c r="CF1264">
        <v>1.8</v>
      </c>
      <c r="CG1264">
        <v>0</v>
      </c>
      <c r="CH1264">
        <v>2.64</v>
      </c>
      <c r="CI1264">
        <v>0</v>
      </c>
      <c r="CJ1264">
        <v>2.9</v>
      </c>
      <c r="CK1264">
        <v>53</v>
      </c>
      <c r="CL1264">
        <v>-1.71</v>
      </c>
      <c r="CM1264">
        <v>46</v>
      </c>
      <c r="CN1264">
        <v>-0.94</v>
      </c>
      <c r="CO1264">
        <v>45</v>
      </c>
      <c r="CP1264">
        <v>8.5</v>
      </c>
      <c r="CQ1264">
        <v>45</v>
      </c>
      <c r="CR1264">
        <v>0</v>
      </c>
      <c r="CS1264">
        <v>0</v>
      </c>
      <c r="CT1264">
        <v>36.700000000000003</v>
      </c>
      <c r="CU1264">
        <v>50</v>
      </c>
      <c r="CV1264">
        <v>0.26</v>
      </c>
      <c r="CW1264">
        <v>36</v>
      </c>
      <c r="CX1264" t="s">
        <v>2269</v>
      </c>
    </row>
    <row r="1265" spans="1:102" x14ac:dyDescent="0.3">
      <c r="A1265" t="str">
        <f>HYPERLINK("https://webapp.icbf.com/v2/app/bull-search/view/1137363642","FR2033")</f>
        <v>FR2033</v>
      </c>
      <c r="B1265" t="s">
        <v>6071</v>
      </c>
      <c r="C1265" t="s">
        <v>6072</v>
      </c>
      <c r="D1265" s="1">
        <v>41672</v>
      </c>
      <c r="E1265" t="s">
        <v>92</v>
      </c>
      <c r="F1265">
        <v>100</v>
      </c>
      <c r="G1265" t="s">
        <v>93</v>
      </c>
      <c r="H1265">
        <v>123.62</v>
      </c>
      <c r="I1265">
        <v>86</v>
      </c>
      <c r="J1265">
        <v>53.43</v>
      </c>
      <c r="K1265">
        <v>97</v>
      </c>
      <c r="L1265">
        <v>8.9600000000000009</v>
      </c>
      <c r="M1265">
        <v>80</v>
      </c>
      <c r="N1265">
        <v>35.36</v>
      </c>
      <c r="O1265">
        <v>89</v>
      </c>
      <c r="P1265">
        <v>-3.36</v>
      </c>
      <c r="Q1265">
        <v>94</v>
      </c>
      <c r="R1265">
        <v>26.63</v>
      </c>
      <c r="S1265">
        <v>80</v>
      </c>
      <c r="T1265">
        <v>0.36</v>
      </c>
      <c r="U1265">
        <v>67</v>
      </c>
      <c r="V1265">
        <v>2.2400000000000002</v>
      </c>
      <c r="W1265">
        <v>71</v>
      </c>
      <c r="X1265" t="s">
        <v>94</v>
      </c>
      <c r="Y1265" t="s">
        <v>416</v>
      </c>
      <c r="Z1265" t="s">
        <v>96</v>
      </c>
      <c r="AA1265" t="s">
        <v>1803</v>
      </c>
      <c r="AB1265" t="s">
        <v>6073</v>
      </c>
      <c r="AC1265">
        <v>256</v>
      </c>
      <c r="AD1265">
        <v>101</v>
      </c>
      <c r="AE1265">
        <v>97</v>
      </c>
      <c r="AF1265">
        <v>398.12</v>
      </c>
      <c r="AG1265">
        <v>9.7799999999999994</v>
      </c>
      <c r="AH1265">
        <v>11.72</v>
      </c>
      <c r="AI1265">
        <v>-0.09</v>
      </c>
      <c r="AJ1265">
        <v>-0.03</v>
      </c>
      <c r="AK1265">
        <v>80</v>
      </c>
      <c r="AL1265">
        <v>35</v>
      </c>
      <c r="AM1265">
        <v>14</v>
      </c>
      <c r="AN1265">
        <v>-0.08</v>
      </c>
      <c r="AO1265">
        <v>0.64</v>
      </c>
      <c r="AP1265">
        <v>659</v>
      </c>
      <c r="AQ1265">
        <v>7</v>
      </c>
      <c r="AR1265">
        <v>6.43</v>
      </c>
      <c r="AS1265">
        <v>83</v>
      </c>
      <c r="AT1265">
        <v>2.5499999999999998</v>
      </c>
      <c r="AU1265">
        <v>94</v>
      </c>
      <c r="AV1265">
        <v>-3.83</v>
      </c>
      <c r="AW1265">
        <v>99</v>
      </c>
      <c r="AX1265">
        <v>-0.06</v>
      </c>
      <c r="AY1265">
        <v>92</v>
      </c>
      <c r="AZ1265">
        <v>6.32</v>
      </c>
      <c r="BA1265">
        <v>75</v>
      </c>
      <c r="BB1265">
        <v>5.58</v>
      </c>
      <c r="BC1265">
        <v>56</v>
      </c>
      <c r="BD1265">
        <v>-0.08</v>
      </c>
      <c r="BE1265">
        <v>-0.11</v>
      </c>
      <c r="BF1265">
        <v>-0.27</v>
      </c>
      <c r="BG1265">
        <v>91</v>
      </c>
      <c r="BH1265">
        <v>-0.01</v>
      </c>
      <c r="BI1265">
        <v>-8.39</v>
      </c>
      <c r="BJ1265">
        <v>16</v>
      </c>
      <c r="BK1265">
        <v>8</v>
      </c>
      <c r="BL1265">
        <v>0.95</v>
      </c>
      <c r="BM1265">
        <v>-0.2</v>
      </c>
      <c r="BN1265">
        <v>-0.49</v>
      </c>
      <c r="BO1265">
        <v>-0.23</v>
      </c>
      <c r="BP1265">
        <v>2.2000000000000002</v>
      </c>
      <c r="BQ1265">
        <v>-1.18</v>
      </c>
      <c r="BR1265">
        <v>-1.68</v>
      </c>
      <c r="BS1265">
        <v>1.42</v>
      </c>
      <c r="BT1265">
        <v>2.36</v>
      </c>
      <c r="BU1265">
        <v>2.7</v>
      </c>
      <c r="BV1265">
        <v>2.15</v>
      </c>
      <c r="BW1265">
        <v>1.71</v>
      </c>
      <c r="BX1265">
        <v>1.87</v>
      </c>
      <c r="BY1265">
        <v>1.23</v>
      </c>
      <c r="BZ1265">
        <v>3.24</v>
      </c>
      <c r="CA1265">
        <v>2.0099999999999998</v>
      </c>
      <c r="CB1265">
        <v>1.5</v>
      </c>
      <c r="CC1265">
        <v>1.64</v>
      </c>
      <c r="CD1265">
        <v>0.83</v>
      </c>
      <c r="CE1265">
        <v>0.22</v>
      </c>
      <c r="CF1265">
        <v>-0.06</v>
      </c>
      <c r="CG1265">
        <v>0</v>
      </c>
      <c r="CH1265">
        <v>1.33</v>
      </c>
      <c r="CI1265">
        <v>0</v>
      </c>
      <c r="CJ1265">
        <v>2.5</v>
      </c>
      <c r="CK1265">
        <v>96</v>
      </c>
      <c r="CL1265">
        <v>-1.1200000000000001</v>
      </c>
      <c r="CM1265">
        <v>95</v>
      </c>
      <c r="CN1265">
        <v>-0.35</v>
      </c>
      <c r="CO1265">
        <v>95</v>
      </c>
      <c r="CP1265">
        <v>4.3</v>
      </c>
      <c r="CQ1265">
        <v>73</v>
      </c>
      <c r="CR1265">
        <v>0</v>
      </c>
      <c r="CS1265">
        <v>0</v>
      </c>
      <c r="CT1265">
        <v>13.3</v>
      </c>
      <c r="CU1265">
        <v>67</v>
      </c>
      <c r="CV1265">
        <v>0.32</v>
      </c>
      <c r="CW1265">
        <v>45</v>
      </c>
      <c r="CX1265" t="s">
        <v>309</v>
      </c>
    </row>
    <row r="1266" spans="1:102" x14ac:dyDescent="0.3">
      <c r="A1266" t="str">
        <f>HYPERLINK("https://webapp.icbf.com/v2/app/bull-search/view/1133025222","S2048")</f>
        <v>S2048</v>
      </c>
      <c r="B1266" t="s">
        <v>1998</v>
      </c>
      <c r="C1266" t="s">
        <v>1999</v>
      </c>
      <c r="D1266" s="1">
        <v>41163</v>
      </c>
      <c r="E1266" t="s">
        <v>92</v>
      </c>
      <c r="F1266">
        <v>100</v>
      </c>
      <c r="G1266" t="s">
        <v>109</v>
      </c>
      <c r="H1266">
        <v>123.58</v>
      </c>
      <c r="I1266">
        <v>78</v>
      </c>
      <c r="J1266">
        <v>69.13</v>
      </c>
      <c r="K1266">
        <v>93</v>
      </c>
      <c r="L1266">
        <v>5.03</v>
      </c>
      <c r="M1266">
        <v>83</v>
      </c>
      <c r="N1266">
        <v>44.53</v>
      </c>
      <c r="O1266">
        <v>64</v>
      </c>
      <c r="P1266">
        <v>-1.44</v>
      </c>
      <c r="Q1266">
        <v>58</v>
      </c>
      <c r="R1266">
        <v>11.58</v>
      </c>
      <c r="S1266">
        <v>73</v>
      </c>
      <c r="T1266">
        <v>-14.07</v>
      </c>
      <c r="U1266">
        <v>44</v>
      </c>
      <c r="V1266">
        <v>8.82</v>
      </c>
      <c r="W1266">
        <v>56</v>
      </c>
      <c r="X1266" t="s">
        <v>234</v>
      </c>
      <c r="Y1266" t="s">
        <v>367</v>
      </c>
      <c r="Z1266" t="s">
        <v>96</v>
      </c>
      <c r="AA1266" t="s">
        <v>2000</v>
      </c>
      <c r="AB1266" t="s">
        <v>2001</v>
      </c>
      <c r="AC1266">
        <v>0</v>
      </c>
      <c r="AD1266">
        <v>0</v>
      </c>
      <c r="AE1266">
        <v>93</v>
      </c>
      <c r="AF1266">
        <v>348.28</v>
      </c>
      <c r="AG1266">
        <v>16.7</v>
      </c>
      <c r="AH1266">
        <v>11.18</v>
      </c>
      <c r="AI1266">
        <v>0.05</v>
      </c>
      <c r="AJ1266">
        <v>-0.01</v>
      </c>
      <c r="AK1266">
        <v>83</v>
      </c>
      <c r="AL1266">
        <v>0</v>
      </c>
      <c r="AM1266">
        <v>0</v>
      </c>
      <c r="AN1266">
        <v>1.17</v>
      </c>
      <c r="AO1266">
        <v>1.59</v>
      </c>
      <c r="AP1266">
        <v>11</v>
      </c>
      <c r="AQ1266">
        <v>0</v>
      </c>
      <c r="AR1266">
        <v>5.32</v>
      </c>
      <c r="AS1266">
        <v>60</v>
      </c>
      <c r="AT1266">
        <v>2</v>
      </c>
      <c r="AU1266">
        <v>92</v>
      </c>
      <c r="AV1266">
        <v>-3.81</v>
      </c>
      <c r="AW1266">
        <v>61</v>
      </c>
      <c r="AX1266">
        <v>-0.52</v>
      </c>
      <c r="AY1266">
        <v>55</v>
      </c>
      <c r="AZ1266">
        <v>6.28</v>
      </c>
      <c r="BA1266">
        <v>44</v>
      </c>
      <c r="BB1266">
        <v>5.22</v>
      </c>
      <c r="BC1266">
        <v>38</v>
      </c>
      <c r="BD1266">
        <v>-0.05</v>
      </c>
      <c r="BE1266">
        <v>-7.0000000000000007E-2</v>
      </c>
      <c r="BF1266">
        <v>-0.05</v>
      </c>
      <c r="BG1266">
        <v>91</v>
      </c>
      <c r="BH1266">
        <v>0.04</v>
      </c>
      <c r="BI1266">
        <v>-23.82</v>
      </c>
      <c r="BJ1266">
        <v>0</v>
      </c>
      <c r="BK1266">
        <v>0</v>
      </c>
      <c r="BL1266">
        <v>1.39</v>
      </c>
      <c r="BM1266">
        <v>0.49</v>
      </c>
      <c r="BN1266">
        <v>0.7</v>
      </c>
      <c r="BO1266">
        <v>0.6</v>
      </c>
      <c r="BP1266">
        <v>0.04</v>
      </c>
      <c r="BQ1266">
        <v>0.42</v>
      </c>
      <c r="BR1266">
        <v>-1.54</v>
      </c>
      <c r="BS1266">
        <v>2.87</v>
      </c>
      <c r="BT1266">
        <v>1.27</v>
      </c>
      <c r="BU1266">
        <v>3.12</v>
      </c>
      <c r="BV1266">
        <v>2.0499999999999998</v>
      </c>
      <c r="BW1266">
        <v>1.57</v>
      </c>
      <c r="BX1266">
        <v>3.49</v>
      </c>
      <c r="BY1266">
        <v>0.61</v>
      </c>
      <c r="BZ1266">
        <v>-0.01</v>
      </c>
      <c r="CA1266">
        <v>2.88</v>
      </c>
      <c r="CB1266">
        <v>2.2799999999999998</v>
      </c>
      <c r="CC1266">
        <v>2.81</v>
      </c>
      <c r="CD1266">
        <v>0.34</v>
      </c>
      <c r="CE1266">
        <v>1.57</v>
      </c>
      <c r="CF1266">
        <v>1.66</v>
      </c>
      <c r="CG1266">
        <v>0</v>
      </c>
      <c r="CH1266">
        <v>0.66</v>
      </c>
      <c r="CI1266">
        <v>0</v>
      </c>
      <c r="CJ1266">
        <v>-0.1</v>
      </c>
      <c r="CK1266">
        <v>60</v>
      </c>
      <c r="CL1266">
        <v>-0.97</v>
      </c>
      <c r="CM1266">
        <v>58</v>
      </c>
      <c r="CN1266">
        <v>-0.65</v>
      </c>
      <c r="CO1266">
        <v>57</v>
      </c>
      <c r="CP1266">
        <v>7.3</v>
      </c>
      <c r="CQ1266">
        <v>48</v>
      </c>
      <c r="CR1266">
        <v>0</v>
      </c>
      <c r="CS1266">
        <v>0</v>
      </c>
      <c r="CT1266">
        <v>32.799999999999997</v>
      </c>
      <c r="CU1266">
        <v>44</v>
      </c>
      <c r="CV1266">
        <v>0.19</v>
      </c>
      <c r="CW1266">
        <v>37</v>
      </c>
      <c r="CX1266" t="s">
        <v>1924</v>
      </c>
    </row>
    <row r="1267" spans="1:102" x14ac:dyDescent="0.3">
      <c r="A1267" t="str">
        <f>HYPERLINK("https://webapp.icbf.com/v2/app/bull-search/view/1177762884","S2155")</f>
        <v>S2155</v>
      </c>
      <c r="B1267" t="s">
        <v>13354</v>
      </c>
      <c r="C1267" t="s">
        <v>2251</v>
      </c>
      <c r="D1267" s="1">
        <v>41114</v>
      </c>
      <c r="E1267" t="s">
        <v>227</v>
      </c>
      <c r="F1267">
        <v>0</v>
      </c>
      <c r="G1267" t="s">
        <v>109</v>
      </c>
      <c r="H1267">
        <v>123.42</v>
      </c>
      <c r="I1267">
        <v>73</v>
      </c>
      <c r="J1267">
        <v>69.59</v>
      </c>
      <c r="K1267">
        <v>87</v>
      </c>
      <c r="L1267">
        <v>51.75</v>
      </c>
      <c r="M1267">
        <v>77</v>
      </c>
      <c r="N1267">
        <v>-17.829999999999998</v>
      </c>
      <c r="O1267">
        <v>66</v>
      </c>
      <c r="P1267">
        <v>-50.94</v>
      </c>
      <c r="Q1267">
        <v>46</v>
      </c>
      <c r="R1267">
        <v>4.88</v>
      </c>
      <c r="S1267">
        <v>61</v>
      </c>
      <c r="T1267">
        <v>59.56</v>
      </c>
      <c r="U1267">
        <v>50</v>
      </c>
      <c r="V1267">
        <v>6.41</v>
      </c>
      <c r="W1267">
        <v>57</v>
      </c>
      <c r="X1267" t="s">
        <v>94</v>
      </c>
      <c r="Y1267" t="s">
        <v>367</v>
      </c>
      <c r="Z1267">
        <v>0</v>
      </c>
      <c r="AA1267" t="s">
        <v>2020</v>
      </c>
      <c r="AB1267" t="s">
        <v>144</v>
      </c>
      <c r="AC1267">
        <v>0</v>
      </c>
      <c r="AD1267">
        <v>0</v>
      </c>
      <c r="AE1267">
        <v>87</v>
      </c>
      <c r="AF1267">
        <v>-301.98</v>
      </c>
      <c r="AG1267">
        <v>12.73</v>
      </c>
      <c r="AH1267">
        <v>2.71</v>
      </c>
      <c r="AI1267">
        <v>0.45</v>
      </c>
      <c r="AJ1267">
        <v>0.24</v>
      </c>
      <c r="AK1267">
        <v>77</v>
      </c>
      <c r="AL1267">
        <v>0</v>
      </c>
      <c r="AM1267">
        <v>0</v>
      </c>
      <c r="AN1267">
        <v>-1.01</v>
      </c>
      <c r="AO1267">
        <v>3.14</v>
      </c>
      <c r="AP1267">
        <v>11</v>
      </c>
      <c r="AQ1267">
        <v>1</v>
      </c>
      <c r="AR1267">
        <v>4.82</v>
      </c>
      <c r="AS1267">
        <v>65</v>
      </c>
      <c r="AT1267">
        <v>2.46</v>
      </c>
      <c r="AU1267">
        <v>62</v>
      </c>
      <c r="AV1267">
        <v>0.34</v>
      </c>
      <c r="AW1267">
        <v>81</v>
      </c>
      <c r="AX1267">
        <v>9.68</v>
      </c>
      <c r="AY1267">
        <v>56</v>
      </c>
      <c r="AZ1267">
        <v>7.36</v>
      </c>
      <c r="BA1267">
        <v>46</v>
      </c>
      <c r="BB1267">
        <v>5.0999999999999996</v>
      </c>
      <c r="BC1267">
        <v>42</v>
      </c>
      <c r="BD1267">
        <v>-0.05</v>
      </c>
      <c r="BE1267">
        <v>-0.01</v>
      </c>
      <c r="BF1267">
        <v>-0.01</v>
      </c>
      <c r="BG1267">
        <v>69</v>
      </c>
      <c r="BH1267">
        <v>0.04</v>
      </c>
      <c r="BI1267">
        <v>-16.04</v>
      </c>
      <c r="BJ1267">
        <v>0</v>
      </c>
      <c r="BK1267">
        <v>0</v>
      </c>
      <c r="BL1267">
        <v>-1.25</v>
      </c>
      <c r="BM1267">
        <v>-2.21</v>
      </c>
      <c r="BN1267">
        <v>-0.56000000000000005</v>
      </c>
      <c r="BO1267">
        <v>1.55</v>
      </c>
      <c r="BP1267">
        <v>0.1</v>
      </c>
      <c r="BQ1267">
        <v>-5.51</v>
      </c>
      <c r="BR1267">
        <v>2.67</v>
      </c>
      <c r="BS1267">
        <v>6.38</v>
      </c>
      <c r="BT1267">
        <v>-1.38</v>
      </c>
      <c r="BU1267">
        <v>1.08</v>
      </c>
      <c r="BV1267">
        <v>1.07</v>
      </c>
      <c r="BW1267">
        <v>-0.9</v>
      </c>
      <c r="BX1267">
        <v>-1.47</v>
      </c>
      <c r="BY1267">
        <v>0.65</v>
      </c>
      <c r="BZ1267">
        <v>-0.92</v>
      </c>
      <c r="CA1267">
        <v>2.38</v>
      </c>
      <c r="CB1267">
        <v>0.99</v>
      </c>
      <c r="CC1267">
        <v>4.07</v>
      </c>
      <c r="CD1267">
        <v>-2.48</v>
      </c>
      <c r="CE1267">
        <v>1.47</v>
      </c>
      <c r="CF1267">
        <v>-1.42</v>
      </c>
      <c r="CG1267">
        <v>0</v>
      </c>
      <c r="CH1267">
        <v>-0.24</v>
      </c>
      <c r="CI1267">
        <v>0</v>
      </c>
      <c r="CJ1267">
        <v>-27</v>
      </c>
      <c r="CK1267">
        <v>47</v>
      </c>
      <c r="CL1267">
        <v>-1.1399999999999999</v>
      </c>
      <c r="CM1267">
        <v>43</v>
      </c>
      <c r="CN1267">
        <v>-0.45</v>
      </c>
      <c r="CO1267">
        <v>43</v>
      </c>
      <c r="CP1267">
        <v>-47.9</v>
      </c>
      <c r="CQ1267">
        <v>46</v>
      </c>
      <c r="CR1267">
        <v>0</v>
      </c>
      <c r="CS1267">
        <v>0</v>
      </c>
      <c r="CT1267">
        <v>-66.7</v>
      </c>
      <c r="CU1267">
        <v>50</v>
      </c>
      <c r="CV1267">
        <v>-0.18</v>
      </c>
      <c r="CW1267">
        <v>34</v>
      </c>
      <c r="CX1267" t="s">
        <v>2181</v>
      </c>
    </row>
    <row r="1268" spans="1:102" x14ac:dyDescent="0.3">
      <c r="A1268" t="str">
        <f>HYPERLINK("https://webapp.icbf.com/v2/app/bull-search/view/952697567","PRW")</f>
        <v>PRW</v>
      </c>
      <c r="B1268" t="s">
        <v>15144</v>
      </c>
      <c r="C1268" t="s">
        <v>6156</v>
      </c>
      <c r="D1268" s="1">
        <v>40965</v>
      </c>
      <c r="E1268" t="s">
        <v>92</v>
      </c>
      <c r="F1268">
        <v>72</v>
      </c>
      <c r="G1268" t="s">
        <v>93</v>
      </c>
      <c r="H1268">
        <v>123.4</v>
      </c>
      <c r="I1268">
        <v>95</v>
      </c>
      <c r="J1268">
        <v>79.430000000000007</v>
      </c>
      <c r="K1268">
        <v>99</v>
      </c>
      <c r="L1268">
        <v>23.98</v>
      </c>
      <c r="M1268">
        <v>90</v>
      </c>
      <c r="N1268">
        <v>35.33</v>
      </c>
      <c r="O1268">
        <v>97</v>
      </c>
      <c r="P1268">
        <v>-27.9</v>
      </c>
      <c r="Q1268">
        <v>99</v>
      </c>
      <c r="R1268">
        <v>-2.2799999999999998</v>
      </c>
      <c r="S1268">
        <v>91</v>
      </c>
      <c r="T1268">
        <v>11.53</v>
      </c>
      <c r="U1268">
        <v>97</v>
      </c>
      <c r="V1268">
        <v>3.31</v>
      </c>
      <c r="W1268">
        <v>82</v>
      </c>
      <c r="X1268" t="s">
        <v>276</v>
      </c>
      <c r="Y1268" t="s">
        <v>1923</v>
      </c>
      <c r="Z1268" t="s">
        <v>96</v>
      </c>
      <c r="AA1268" t="s">
        <v>1939</v>
      </c>
      <c r="AB1268" t="s">
        <v>15145</v>
      </c>
      <c r="AC1268">
        <v>1063</v>
      </c>
      <c r="AD1268">
        <v>371</v>
      </c>
      <c r="AE1268">
        <v>99</v>
      </c>
      <c r="AF1268">
        <v>203.53</v>
      </c>
      <c r="AG1268">
        <v>9.68</v>
      </c>
      <c r="AH1268">
        <v>13.2</v>
      </c>
      <c r="AI1268">
        <v>0.03</v>
      </c>
      <c r="AJ1268">
        <v>0.11</v>
      </c>
      <c r="AK1268">
        <v>90</v>
      </c>
      <c r="AL1268">
        <v>1122</v>
      </c>
      <c r="AM1268">
        <v>410</v>
      </c>
      <c r="AN1268">
        <v>-0.7</v>
      </c>
      <c r="AO1268">
        <v>1.22</v>
      </c>
      <c r="AP1268">
        <v>2736</v>
      </c>
      <c r="AQ1268">
        <v>7</v>
      </c>
      <c r="AR1268">
        <v>8.81</v>
      </c>
      <c r="AS1268">
        <v>97</v>
      </c>
      <c r="AT1268">
        <v>2.87</v>
      </c>
      <c r="AU1268">
        <v>98</v>
      </c>
      <c r="AV1268">
        <v>-4.68</v>
      </c>
      <c r="AW1268">
        <v>99</v>
      </c>
      <c r="AX1268">
        <v>0.22</v>
      </c>
      <c r="AY1268">
        <v>98</v>
      </c>
      <c r="AZ1268">
        <v>7.23</v>
      </c>
      <c r="BA1268">
        <v>93</v>
      </c>
      <c r="BB1268">
        <v>4.8099999999999996</v>
      </c>
      <c r="BC1268">
        <v>88</v>
      </c>
      <c r="BD1268">
        <v>-0.01</v>
      </c>
      <c r="BE1268">
        <v>0.01</v>
      </c>
      <c r="BF1268">
        <v>0.05</v>
      </c>
      <c r="BG1268">
        <v>97</v>
      </c>
      <c r="BH1268">
        <v>0.02</v>
      </c>
      <c r="BI1268">
        <v>-8.35</v>
      </c>
      <c r="BJ1268">
        <v>32</v>
      </c>
      <c r="BK1268">
        <v>9</v>
      </c>
      <c r="BL1268">
        <v>-0.66</v>
      </c>
      <c r="BM1268">
        <v>-0.55000000000000004</v>
      </c>
      <c r="BN1268">
        <v>-7.0000000000000007E-2</v>
      </c>
      <c r="BO1268">
        <v>0.28999999999999998</v>
      </c>
      <c r="BP1268">
        <v>1.63</v>
      </c>
      <c r="BQ1268">
        <v>-1.2</v>
      </c>
      <c r="BR1268">
        <v>1.24</v>
      </c>
      <c r="BS1268">
        <v>-1.08</v>
      </c>
      <c r="BT1268">
        <v>-0.95</v>
      </c>
      <c r="BU1268">
        <v>-0.38</v>
      </c>
      <c r="BV1268">
        <v>-0.48</v>
      </c>
      <c r="BW1268">
        <v>-0.33</v>
      </c>
      <c r="BX1268">
        <v>-1.21</v>
      </c>
      <c r="BY1268">
        <v>-1.97</v>
      </c>
      <c r="BZ1268">
        <v>-0.04</v>
      </c>
      <c r="CA1268">
        <v>-0.5</v>
      </c>
      <c r="CB1268">
        <v>-0.13</v>
      </c>
      <c r="CC1268">
        <v>-0.31</v>
      </c>
      <c r="CD1268">
        <v>-0.41</v>
      </c>
      <c r="CE1268">
        <v>0.16</v>
      </c>
      <c r="CF1268">
        <v>-0.54</v>
      </c>
      <c r="CG1268">
        <v>0</v>
      </c>
      <c r="CH1268">
        <v>-1.03</v>
      </c>
      <c r="CI1268">
        <v>0</v>
      </c>
      <c r="CJ1268">
        <v>-11.6</v>
      </c>
      <c r="CK1268">
        <v>99</v>
      </c>
      <c r="CL1268">
        <v>-1.07</v>
      </c>
      <c r="CM1268">
        <v>99</v>
      </c>
      <c r="CN1268">
        <v>-0.05</v>
      </c>
      <c r="CO1268">
        <v>99</v>
      </c>
      <c r="CP1268">
        <v>-9.6</v>
      </c>
      <c r="CQ1268">
        <v>95</v>
      </c>
      <c r="CR1268">
        <v>0</v>
      </c>
      <c r="CS1268">
        <v>0</v>
      </c>
      <c r="CT1268">
        <v>-1.8</v>
      </c>
      <c r="CU1268">
        <v>97</v>
      </c>
      <c r="CV1268">
        <v>0.1</v>
      </c>
      <c r="CW1268">
        <v>47</v>
      </c>
      <c r="CX1268" t="s">
        <v>792</v>
      </c>
    </row>
    <row r="1269" spans="1:102" x14ac:dyDescent="0.3">
      <c r="A1269" t="str">
        <f>HYPERLINK("https://webapp.icbf.com/v2/app/bull-search/view/1525187730","FR4316")</f>
        <v>FR4316</v>
      </c>
      <c r="B1269" t="s">
        <v>13711</v>
      </c>
      <c r="C1269" t="s">
        <v>13712</v>
      </c>
      <c r="D1269" s="1">
        <v>40615</v>
      </c>
      <c r="E1269" t="s">
        <v>108</v>
      </c>
      <c r="F1269">
        <v>0</v>
      </c>
      <c r="G1269" t="s">
        <v>435</v>
      </c>
      <c r="H1269">
        <v>123.31</v>
      </c>
      <c r="I1269">
        <v>61</v>
      </c>
      <c r="J1269">
        <v>-1.4</v>
      </c>
      <c r="K1269">
        <v>76</v>
      </c>
      <c r="L1269">
        <v>87.8</v>
      </c>
      <c r="M1269">
        <v>49</v>
      </c>
      <c r="N1269">
        <v>27.72</v>
      </c>
      <c r="O1269">
        <v>84</v>
      </c>
      <c r="P1269">
        <v>-9.44</v>
      </c>
      <c r="Q1269">
        <v>47</v>
      </c>
      <c r="R1269">
        <v>-2.46</v>
      </c>
      <c r="S1269">
        <v>50</v>
      </c>
      <c r="T1269">
        <v>19.82</v>
      </c>
      <c r="U1269">
        <v>44</v>
      </c>
      <c r="V1269">
        <v>1.27</v>
      </c>
      <c r="W1269">
        <v>48</v>
      </c>
      <c r="X1269" t="s">
        <v>102</v>
      </c>
      <c r="Y1269" t="s">
        <v>1923</v>
      </c>
      <c r="Z1269" t="s">
        <v>96</v>
      </c>
      <c r="AA1269" t="s">
        <v>4026</v>
      </c>
      <c r="AB1269" t="s">
        <v>13713</v>
      </c>
      <c r="AC1269">
        <v>0</v>
      </c>
      <c r="AD1269">
        <v>0</v>
      </c>
      <c r="AE1269">
        <v>76</v>
      </c>
      <c r="AF1269">
        <v>-10.29</v>
      </c>
      <c r="AG1269">
        <v>0.21</v>
      </c>
      <c r="AH1269">
        <v>-0.47</v>
      </c>
      <c r="AI1269">
        <v>0.01</v>
      </c>
      <c r="AJ1269">
        <v>0</v>
      </c>
      <c r="AK1269">
        <v>49</v>
      </c>
      <c r="AL1269">
        <v>0</v>
      </c>
      <c r="AM1269">
        <v>0</v>
      </c>
      <c r="AN1269">
        <v>-5.73</v>
      </c>
      <c r="AO1269">
        <v>1.26</v>
      </c>
      <c r="AP1269">
        <v>934</v>
      </c>
      <c r="AQ1269">
        <v>1</v>
      </c>
      <c r="AR1269">
        <v>6.49</v>
      </c>
      <c r="AS1269">
        <v>65</v>
      </c>
      <c r="AT1269">
        <v>3.12</v>
      </c>
      <c r="AU1269">
        <v>95</v>
      </c>
      <c r="AV1269">
        <v>-2.99</v>
      </c>
      <c r="AW1269">
        <v>99</v>
      </c>
      <c r="AX1269">
        <v>-0.85</v>
      </c>
      <c r="AY1269">
        <v>94</v>
      </c>
      <c r="AZ1269">
        <v>7.04</v>
      </c>
      <c r="BA1269">
        <v>33</v>
      </c>
      <c r="BB1269">
        <v>5.03</v>
      </c>
      <c r="BC1269">
        <v>35</v>
      </c>
      <c r="BD1269">
        <v>0.01</v>
      </c>
      <c r="BE1269">
        <v>0</v>
      </c>
      <c r="BF1269">
        <v>0.04</v>
      </c>
      <c r="BG1269">
        <v>57</v>
      </c>
      <c r="BH1269">
        <v>-0.02</v>
      </c>
      <c r="BI1269">
        <v>-6.4</v>
      </c>
      <c r="BJ1269">
        <v>0</v>
      </c>
      <c r="BK1269">
        <v>0</v>
      </c>
      <c r="BL1269">
        <v>-2.77</v>
      </c>
      <c r="BM1269">
        <v>1.18</v>
      </c>
      <c r="BN1269">
        <v>-1.64</v>
      </c>
      <c r="BO1269">
        <v>-2.0299999999999998</v>
      </c>
      <c r="BP1269">
        <v>1.58</v>
      </c>
      <c r="BQ1269">
        <v>1.97</v>
      </c>
      <c r="BR1269">
        <v>-1.52</v>
      </c>
      <c r="BS1269">
        <v>0.43</v>
      </c>
      <c r="BT1269">
        <v>0.33</v>
      </c>
      <c r="BU1269">
        <v>-1.45</v>
      </c>
      <c r="BV1269">
        <v>-2.4</v>
      </c>
      <c r="BW1269">
        <v>-1.96</v>
      </c>
      <c r="BX1269">
        <v>-1.28</v>
      </c>
      <c r="BY1269">
        <v>-1.54</v>
      </c>
      <c r="BZ1269">
        <v>0.53</v>
      </c>
      <c r="CA1269">
        <v>-1.68</v>
      </c>
      <c r="CB1269">
        <v>-1.82</v>
      </c>
      <c r="CC1269">
        <v>-0.1</v>
      </c>
      <c r="CD1269">
        <v>2.2000000000000002</v>
      </c>
      <c r="CE1269">
        <v>-1.86</v>
      </c>
      <c r="CF1269">
        <v>-0.92</v>
      </c>
      <c r="CG1269">
        <v>0</v>
      </c>
      <c r="CH1269">
        <v>-0.25</v>
      </c>
      <c r="CI1269">
        <v>0</v>
      </c>
      <c r="CJ1269">
        <v>-5.4</v>
      </c>
      <c r="CK1269">
        <v>49</v>
      </c>
      <c r="CL1269">
        <v>-0.03</v>
      </c>
      <c r="CM1269">
        <v>44</v>
      </c>
      <c r="CN1269">
        <v>0</v>
      </c>
      <c r="CO1269">
        <v>44</v>
      </c>
      <c r="CP1269">
        <v>-11.2</v>
      </c>
      <c r="CQ1269">
        <v>45</v>
      </c>
      <c r="CR1269">
        <v>0</v>
      </c>
      <c r="CS1269">
        <v>0</v>
      </c>
      <c r="CT1269">
        <v>-13</v>
      </c>
      <c r="CU1269">
        <v>44</v>
      </c>
      <c r="CV1269">
        <v>0.03</v>
      </c>
      <c r="CW1269">
        <v>34</v>
      </c>
      <c r="CX1269" t="s">
        <v>13714</v>
      </c>
    </row>
    <row r="1270" spans="1:102" x14ac:dyDescent="0.3">
      <c r="A1270" t="str">
        <f>HYPERLINK("https://webapp.icbf.com/v2/app/bull-search/view/1194906898","FR2078")</f>
        <v>FR2078</v>
      </c>
      <c r="B1270" t="s">
        <v>7264</v>
      </c>
      <c r="C1270" t="s">
        <v>7265</v>
      </c>
      <c r="D1270" s="1">
        <v>41538</v>
      </c>
      <c r="E1270" t="s">
        <v>92</v>
      </c>
      <c r="F1270">
        <v>100</v>
      </c>
      <c r="G1270" t="s">
        <v>109</v>
      </c>
      <c r="H1270">
        <v>123.27</v>
      </c>
      <c r="I1270">
        <v>78</v>
      </c>
      <c r="J1270">
        <v>102.75</v>
      </c>
      <c r="K1270">
        <v>92</v>
      </c>
      <c r="L1270">
        <v>-5.9</v>
      </c>
      <c r="M1270">
        <v>72</v>
      </c>
      <c r="N1270">
        <v>20.16</v>
      </c>
      <c r="O1270">
        <v>74</v>
      </c>
      <c r="P1270">
        <v>7.66</v>
      </c>
      <c r="Q1270">
        <v>74</v>
      </c>
      <c r="R1270">
        <v>8.86</v>
      </c>
      <c r="S1270">
        <v>70</v>
      </c>
      <c r="T1270">
        <v>-15.33</v>
      </c>
      <c r="U1270">
        <v>63</v>
      </c>
      <c r="V1270">
        <v>5.07</v>
      </c>
      <c r="W1270">
        <v>58</v>
      </c>
      <c r="X1270" t="s">
        <v>251</v>
      </c>
      <c r="Y1270" t="s">
        <v>405</v>
      </c>
      <c r="Z1270" t="s">
        <v>96</v>
      </c>
      <c r="AA1270" t="s">
        <v>5319</v>
      </c>
      <c r="AB1270" t="s">
        <v>7266</v>
      </c>
      <c r="AC1270">
        <v>29</v>
      </c>
      <c r="AD1270">
        <v>10</v>
      </c>
      <c r="AE1270">
        <v>92</v>
      </c>
      <c r="AF1270">
        <v>500.6</v>
      </c>
      <c r="AG1270">
        <v>18.14</v>
      </c>
      <c r="AH1270">
        <v>18.72</v>
      </c>
      <c r="AI1270">
        <v>-0.02</v>
      </c>
      <c r="AJ1270">
        <v>0.03</v>
      </c>
      <c r="AK1270">
        <v>72</v>
      </c>
      <c r="AL1270">
        <v>0</v>
      </c>
      <c r="AM1270">
        <v>0</v>
      </c>
      <c r="AN1270">
        <v>1.1599999999999999</v>
      </c>
      <c r="AO1270">
        <v>0.7</v>
      </c>
      <c r="AP1270">
        <v>73</v>
      </c>
      <c r="AQ1270">
        <v>1</v>
      </c>
      <c r="AR1270">
        <v>7.09</v>
      </c>
      <c r="AS1270">
        <v>63</v>
      </c>
      <c r="AT1270">
        <v>3.2</v>
      </c>
      <c r="AU1270">
        <v>78</v>
      </c>
      <c r="AV1270">
        <v>-1.91</v>
      </c>
      <c r="AW1270">
        <v>87</v>
      </c>
      <c r="AX1270">
        <v>-0.49</v>
      </c>
      <c r="AY1270">
        <v>64</v>
      </c>
      <c r="AZ1270">
        <v>5.8</v>
      </c>
      <c r="BA1270">
        <v>53</v>
      </c>
      <c r="BB1270">
        <v>4.5599999999999996</v>
      </c>
      <c r="BC1270">
        <v>47</v>
      </c>
      <c r="BD1270">
        <v>-0.04</v>
      </c>
      <c r="BE1270">
        <v>-0.03</v>
      </c>
      <c r="BF1270">
        <v>-0.08</v>
      </c>
      <c r="BG1270">
        <v>81</v>
      </c>
      <c r="BH1270">
        <v>0.05</v>
      </c>
      <c r="BI1270">
        <v>-10.56</v>
      </c>
      <c r="BJ1270">
        <v>8</v>
      </c>
      <c r="BK1270">
        <v>3</v>
      </c>
      <c r="BL1270">
        <v>1.42</v>
      </c>
      <c r="BM1270">
        <v>0.27</v>
      </c>
      <c r="BN1270">
        <v>0.71</v>
      </c>
      <c r="BO1270">
        <v>1</v>
      </c>
      <c r="BP1270">
        <v>-0.23</v>
      </c>
      <c r="BQ1270">
        <v>3.45</v>
      </c>
      <c r="BR1270">
        <v>-1.63</v>
      </c>
      <c r="BS1270">
        <v>3.05</v>
      </c>
      <c r="BT1270">
        <v>2.59</v>
      </c>
      <c r="BU1270">
        <v>2.2200000000000002</v>
      </c>
      <c r="BV1270">
        <v>2.12</v>
      </c>
      <c r="BW1270">
        <v>2.83</v>
      </c>
      <c r="BX1270">
        <v>2.15</v>
      </c>
      <c r="BY1270">
        <v>2.89</v>
      </c>
      <c r="BZ1270">
        <v>-0.76</v>
      </c>
      <c r="CA1270">
        <v>3.05</v>
      </c>
      <c r="CB1270">
        <v>2.69</v>
      </c>
      <c r="CC1270">
        <v>2.21</v>
      </c>
      <c r="CD1270">
        <v>-0.24</v>
      </c>
      <c r="CE1270">
        <v>1.84</v>
      </c>
      <c r="CF1270">
        <v>2.64</v>
      </c>
      <c r="CG1270">
        <v>0</v>
      </c>
      <c r="CH1270">
        <v>2.63</v>
      </c>
      <c r="CI1270">
        <v>0</v>
      </c>
      <c r="CJ1270">
        <v>6.3</v>
      </c>
      <c r="CK1270">
        <v>77</v>
      </c>
      <c r="CL1270">
        <v>-0.82</v>
      </c>
      <c r="CM1270">
        <v>72</v>
      </c>
      <c r="CN1270">
        <v>-0.5</v>
      </c>
      <c r="CO1270">
        <v>70</v>
      </c>
      <c r="CP1270">
        <v>10.5</v>
      </c>
      <c r="CQ1270">
        <v>60</v>
      </c>
      <c r="CR1270">
        <v>0</v>
      </c>
      <c r="CS1270">
        <v>0</v>
      </c>
      <c r="CT1270">
        <v>34.5</v>
      </c>
      <c r="CU1270">
        <v>63</v>
      </c>
      <c r="CV1270">
        <v>0.21</v>
      </c>
      <c r="CW1270">
        <v>41</v>
      </c>
      <c r="CX1270" t="s">
        <v>2491</v>
      </c>
    </row>
    <row r="1271" spans="1:102" x14ac:dyDescent="0.3">
      <c r="A1271" t="str">
        <f>HYPERLINK("https://webapp.icbf.com/v2/app/bull-search/view/1456848407","S3153")</f>
        <v>S3153</v>
      </c>
      <c r="B1271" t="s">
        <v>2291</v>
      </c>
      <c r="C1271" t="s">
        <v>2292</v>
      </c>
      <c r="D1271" s="1">
        <v>42137</v>
      </c>
      <c r="E1271" t="s">
        <v>92</v>
      </c>
      <c r="F1271">
        <v>100</v>
      </c>
      <c r="G1271" t="s">
        <v>435</v>
      </c>
      <c r="H1271">
        <v>123.22</v>
      </c>
      <c r="I1271">
        <v>70</v>
      </c>
      <c r="J1271">
        <v>73.180000000000007</v>
      </c>
      <c r="K1271">
        <v>89</v>
      </c>
      <c r="L1271">
        <v>5.21</v>
      </c>
      <c r="M1271">
        <v>70</v>
      </c>
      <c r="N1271">
        <v>41.15</v>
      </c>
      <c r="O1271">
        <v>67</v>
      </c>
      <c r="P1271">
        <v>-5.43</v>
      </c>
      <c r="Q1271">
        <v>42</v>
      </c>
      <c r="R1271">
        <v>12.4</v>
      </c>
      <c r="S1271">
        <v>64</v>
      </c>
      <c r="T1271">
        <v>-5.71</v>
      </c>
      <c r="U1271">
        <v>36</v>
      </c>
      <c r="V1271">
        <v>2.42</v>
      </c>
      <c r="W1271">
        <v>56</v>
      </c>
      <c r="X1271" t="s">
        <v>110</v>
      </c>
      <c r="Y1271" t="s">
        <v>457</v>
      </c>
      <c r="Z1271" t="s">
        <v>96</v>
      </c>
      <c r="AA1271" t="s">
        <v>2293</v>
      </c>
      <c r="AB1271" t="s">
        <v>2294</v>
      </c>
      <c r="AC1271">
        <v>0</v>
      </c>
      <c r="AD1271">
        <v>0</v>
      </c>
      <c r="AE1271">
        <v>89</v>
      </c>
      <c r="AF1271">
        <v>296.60000000000002</v>
      </c>
      <c r="AG1271">
        <v>13.3</v>
      </c>
      <c r="AH1271">
        <v>12.28</v>
      </c>
      <c r="AI1271">
        <v>0.02</v>
      </c>
      <c r="AJ1271">
        <v>0.04</v>
      </c>
      <c r="AK1271">
        <v>70</v>
      </c>
      <c r="AL1271">
        <v>0</v>
      </c>
      <c r="AM1271">
        <v>0</v>
      </c>
      <c r="AN1271">
        <v>0.09</v>
      </c>
      <c r="AO1271">
        <v>0.51</v>
      </c>
      <c r="AP1271">
        <v>1</v>
      </c>
      <c r="AQ1271">
        <v>0</v>
      </c>
      <c r="AR1271">
        <v>5.58</v>
      </c>
      <c r="AS1271">
        <v>53</v>
      </c>
      <c r="AT1271">
        <v>2.2400000000000002</v>
      </c>
      <c r="AU1271">
        <v>88</v>
      </c>
      <c r="AV1271">
        <v>-3.05</v>
      </c>
      <c r="AW1271">
        <v>75</v>
      </c>
      <c r="AX1271">
        <v>-0.6</v>
      </c>
      <c r="AY1271">
        <v>49</v>
      </c>
      <c r="AZ1271">
        <v>5.65</v>
      </c>
      <c r="BA1271">
        <v>38</v>
      </c>
      <c r="BB1271">
        <v>4.4400000000000004</v>
      </c>
      <c r="BC1271">
        <v>36</v>
      </c>
      <c r="BD1271">
        <v>-0.03</v>
      </c>
      <c r="BE1271">
        <v>-0.05</v>
      </c>
      <c r="BF1271">
        <v>-0.14000000000000001</v>
      </c>
      <c r="BG1271">
        <v>77</v>
      </c>
      <c r="BH1271">
        <v>0.04</v>
      </c>
      <c r="BI1271">
        <v>-3.18</v>
      </c>
      <c r="BJ1271">
        <v>0</v>
      </c>
      <c r="BK1271">
        <v>0</v>
      </c>
      <c r="BL1271">
        <v>2.02</v>
      </c>
      <c r="BM1271">
        <v>-0.96</v>
      </c>
      <c r="BN1271">
        <v>-0.22</v>
      </c>
      <c r="BO1271">
        <v>0.92</v>
      </c>
      <c r="BP1271">
        <v>-0.53</v>
      </c>
      <c r="BQ1271">
        <v>1.62</v>
      </c>
      <c r="BR1271">
        <v>-7.0000000000000007E-2</v>
      </c>
      <c r="BS1271">
        <v>1.96</v>
      </c>
      <c r="BT1271">
        <v>0.28999999999999998</v>
      </c>
      <c r="BU1271">
        <v>4.1100000000000003</v>
      </c>
      <c r="BV1271">
        <v>3.48</v>
      </c>
      <c r="BW1271">
        <v>2.35</v>
      </c>
      <c r="BX1271">
        <v>3.64</v>
      </c>
      <c r="BY1271">
        <v>2.65</v>
      </c>
      <c r="BZ1271">
        <v>-0.31</v>
      </c>
      <c r="CA1271">
        <v>3.54</v>
      </c>
      <c r="CB1271">
        <v>3.19</v>
      </c>
      <c r="CC1271">
        <v>1.83</v>
      </c>
      <c r="CD1271">
        <v>-1.25</v>
      </c>
      <c r="CE1271">
        <v>1.02</v>
      </c>
      <c r="CF1271">
        <v>2.33</v>
      </c>
      <c r="CG1271">
        <v>0</v>
      </c>
      <c r="CH1271">
        <v>2.86</v>
      </c>
      <c r="CI1271">
        <v>0</v>
      </c>
      <c r="CJ1271">
        <v>-0.4</v>
      </c>
      <c r="CK1271">
        <v>42</v>
      </c>
      <c r="CL1271">
        <v>-1.53</v>
      </c>
      <c r="CM1271">
        <v>42</v>
      </c>
      <c r="CN1271">
        <v>-0.85</v>
      </c>
      <c r="CO1271">
        <v>42</v>
      </c>
      <c r="CP1271">
        <v>6.4</v>
      </c>
      <c r="CQ1271">
        <v>37</v>
      </c>
      <c r="CR1271">
        <v>0</v>
      </c>
      <c r="CS1271">
        <v>0</v>
      </c>
      <c r="CT1271">
        <v>21.5</v>
      </c>
      <c r="CU1271">
        <v>36</v>
      </c>
      <c r="CV1271">
        <v>0.33</v>
      </c>
      <c r="CW1271">
        <v>34</v>
      </c>
      <c r="CX1271" t="s">
        <v>2295</v>
      </c>
    </row>
    <row r="1272" spans="1:102" x14ac:dyDescent="0.3">
      <c r="A1272" t="str">
        <f>HYPERLINK("https://webapp.icbf.com/v2/app/bull-search/view/120522349","PRK")</f>
        <v>PRK</v>
      </c>
      <c r="B1272" t="s">
        <v>4599</v>
      </c>
      <c r="C1272" t="s">
        <v>4600</v>
      </c>
      <c r="D1272" s="1">
        <v>35280</v>
      </c>
      <c r="E1272" t="s">
        <v>146</v>
      </c>
      <c r="F1272">
        <v>0</v>
      </c>
      <c r="G1272" t="s">
        <v>93</v>
      </c>
      <c r="H1272">
        <v>123.18</v>
      </c>
      <c r="I1272">
        <v>75</v>
      </c>
      <c r="J1272">
        <v>-57.04</v>
      </c>
      <c r="K1272">
        <v>88</v>
      </c>
      <c r="L1272">
        <v>117.06</v>
      </c>
      <c r="M1272">
        <v>62</v>
      </c>
      <c r="N1272">
        <v>29.97</v>
      </c>
      <c r="O1272">
        <v>81</v>
      </c>
      <c r="P1272">
        <v>8.8800000000000008</v>
      </c>
      <c r="Q1272">
        <v>94</v>
      </c>
      <c r="R1272">
        <v>14.05</v>
      </c>
      <c r="S1272">
        <v>54</v>
      </c>
      <c r="T1272">
        <v>20.12</v>
      </c>
      <c r="U1272">
        <v>82</v>
      </c>
      <c r="V1272">
        <v>-9.86</v>
      </c>
      <c r="W1272">
        <v>37</v>
      </c>
      <c r="X1272" t="s">
        <v>94</v>
      </c>
      <c r="Y1272" t="s">
        <v>95</v>
      </c>
      <c r="Z1272">
        <v>0</v>
      </c>
      <c r="AA1272" t="s">
        <v>4601</v>
      </c>
      <c r="AB1272" t="s">
        <v>4602</v>
      </c>
      <c r="AC1272">
        <v>31</v>
      </c>
      <c r="AD1272">
        <v>18</v>
      </c>
      <c r="AE1272">
        <v>88</v>
      </c>
      <c r="AF1272">
        <v>-480.64</v>
      </c>
      <c r="AG1272">
        <v>-16.079999999999998</v>
      </c>
      <c r="AH1272">
        <v>-11.37</v>
      </c>
      <c r="AI1272">
        <v>0.05</v>
      </c>
      <c r="AJ1272">
        <v>0.09</v>
      </c>
      <c r="AK1272">
        <v>62</v>
      </c>
      <c r="AL1272">
        <v>81</v>
      </c>
      <c r="AM1272">
        <v>29</v>
      </c>
      <c r="AN1272">
        <v>-6.8</v>
      </c>
      <c r="AO1272">
        <v>2.5299999999999998</v>
      </c>
      <c r="AP1272">
        <v>91</v>
      </c>
      <c r="AQ1272">
        <v>2</v>
      </c>
      <c r="AR1272">
        <v>5.57</v>
      </c>
      <c r="AS1272">
        <v>55</v>
      </c>
      <c r="AT1272">
        <v>2.23</v>
      </c>
      <c r="AU1272">
        <v>81</v>
      </c>
      <c r="AV1272">
        <v>-1.93</v>
      </c>
      <c r="AW1272">
        <v>93</v>
      </c>
      <c r="AX1272">
        <v>-0.61</v>
      </c>
      <c r="AY1272">
        <v>83</v>
      </c>
      <c r="AZ1272">
        <v>6.03</v>
      </c>
      <c r="BA1272">
        <v>51</v>
      </c>
      <c r="BB1272">
        <v>4.8499999999999996</v>
      </c>
      <c r="BC1272">
        <v>66</v>
      </c>
      <c r="BD1272">
        <v>-0.06</v>
      </c>
      <c r="BE1272">
        <v>-7.0000000000000007E-2</v>
      </c>
      <c r="BF1272">
        <v>-0.09</v>
      </c>
      <c r="BG1272">
        <v>63</v>
      </c>
      <c r="BH1272">
        <v>-0.28999999999999998</v>
      </c>
      <c r="BI1272">
        <v>-1.75</v>
      </c>
      <c r="BJ1272">
        <v>0</v>
      </c>
      <c r="BK1272">
        <v>0</v>
      </c>
      <c r="BL1272">
        <v>-0.94</v>
      </c>
      <c r="BM1272">
        <v>0.92</v>
      </c>
      <c r="BN1272">
        <v>-0.97</v>
      </c>
      <c r="BO1272">
        <v>-1.55</v>
      </c>
      <c r="BP1272">
        <v>1.85</v>
      </c>
      <c r="BQ1272">
        <v>-0.13</v>
      </c>
      <c r="BR1272">
        <v>-0.21</v>
      </c>
      <c r="BS1272">
        <v>0.3</v>
      </c>
      <c r="BT1272">
        <v>0.5</v>
      </c>
      <c r="BU1272">
        <v>-1.34</v>
      </c>
      <c r="BV1272">
        <v>-2.17</v>
      </c>
      <c r="BW1272">
        <v>-1.74</v>
      </c>
      <c r="BX1272">
        <v>-0.8</v>
      </c>
      <c r="BY1272">
        <v>-0.91</v>
      </c>
      <c r="BZ1272">
        <v>0.51</v>
      </c>
      <c r="CA1272">
        <v>-1.38</v>
      </c>
      <c r="CB1272">
        <v>-1.5</v>
      </c>
      <c r="CC1272">
        <v>0.09</v>
      </c>
      <c r="CD1272">
        <v>1.91</v>
      </c>
      <c r="CE1272">
        <v>-1.51</v>
      </c>
      <c r="CF1272">
        <v>-0.62</v>
      </c>
      <c r="CG1272">
        <v>0</v>
      </c>
      <c r="CH1272">
        <v>-0.76</v>
      </c>
      <c r="CI1272">
        <v>0</v>
      </c>
      <c r="CJ1272">
        <v>2.2999999999999998</v>
      </c>
      <c r="CK1272">
        <v>95</v>
      </c>
      <c r="CL1272">
        <v>0.16</v>
      </c>
      <c r="CM1272">
        <v>94</v>
      </c>
      <c r="CN1272">
        <v>-0.39</v>
      </c>
      <c r="CO1272">
        <v>93</v>
      </c>
      <c r="CP1272">
        <v>-3.4</v>
      </c>
      <c r="CQ1272">
        <v>91</v>
      </c>
      <c r="CR1272">
        <v>0</v>
      </c>
      <c r="CS1272">
        <v>0</v>
      </c>
      <c r="CT1272">
        <v>-13.4</v>
      </c>
      <c r="CU1272">
        <v>82</v>
      </c>
      <c r="CV1272">
        <v>-0.22</v>
      </c>
      <c r="CW1272">
        <v>44</v>
      </c>
      <c r="CX1272" t="s">
        <v>4603</v>
      </c>
    </row>
    <row r="1273" spans="1:102" x14ac:dyDescent="0.3">
      <c r="A1273" t="str">
        <f>HYPERLINK("https://webapp.icbf.com/v2/app/bull-search/view/1417511792","JE4136")</f>
        <v>JE4136</v>
      </c>
      <c r="B1273" t="s">
        <v>2249</v>
      </c>
      <c r="C1273" t="s">
        <v>2250</v>
      </c>
      <c r="D1273" s="1">
        <v>42088</v>
      </c>
      <c r="E1273" t="s">
        <v>227</v>
      </c>
      <c r="F1273">
        <v>0</v>
      </c>
      <c r="G1273" t="s">
        <v>109</v>
      </c>
      <c r="H1273">
        <v>123.12</v>
      </c>
      <c r="I1273">
        <v>50</v>
      </c>
      <c r="J1273">
        <v>48.94</v>
      </c>
      <c r="K1273">
        <v>66</v>
      </c>
      <c r="L1273">
        <v>69.209999999999994</v>
      </c>
      <c r="M1273">
        <v>52</v>
      </c>
      <c r="N1273">
        <v>-7.81</v>
      </c>
      <c r="O1273">
        <v>57</v>
      </c>
      <c r="P1273">
        <v>-64.709999999999994</v>
      </c>
      <c r="Q1273">
        <v>33</v>
      </c>
      <c r="R1273">
        <v>4.74</v>
      </c>
      <c r="S1273">
        <v>16</v>
      </c>
      <c r="T1273">
        <v>66.37</v>
      </c>
      <c r="U1273">
        <v>17</v>
      </c>
      <c r="V1273">
        <v>6.38</v>
      </c>
      <c r="W1273">
        <v>18</v>
      </c>
      <c r="X1273" t="s">
        <v>94</v>
      </c>
      <c r="Y1273" t="s">
        <v>1775</v>
      </c>
      <c r="Z1273">
        <v>0</v>
      </c>
      <c r="AA1273" t="s">
        <v>2251</v>
      </c>
      <c r="AB1273" t="s">
        <v>144</v>
      </c>
      <c r="AC1273">
        <v>0</v>
      </c>
      <c r="AD1273">
        <v>0</v>
      </c>
      <c r="AE1273">
        <v>66</v>
      </c>
      <c r="AF1273">
        <v>-296.33999999999997</v>
      </c>
      <c r="AG1273">
        <v>10.65</v>
      </c>
      <c r="AH1273">
        <v>0.02</v>
      </c>
      <c r="AI1273">
        <v>0.39</v>
      </c>
      <c r="AJ1273">
        <v>0.18</v>
      </c>
      <c r="AK1273">
        <v>52</v>
      </c>
      <c r="AL1273">
        <v>0</v>
      </c>
      <c r="AM1273">
        <v>0</v>
      </c>
      <c r="AN1273">
        <v>-2.93</v>
      </c>
      <c r="AO1273">
        <v>2.6</v>
      </c>
      <c r="AP1273">
        <v>64</v>
      </c>
      <c r="AQ1273">
        <v>0</v>
      </c>
      <c r="AR1273">
        <v>3.47</v>
      </c>
      <c r="AS1273">
        <v>56</v>
      </c>
      <c r="AT1273">
        <v>1.82</v>
      </c>
      <c r="AU1273">
        <v>48</v>
      </c>
      <c r="AV1273">
        <v>1.46</v>
      </c>
      <c r="AW1273">
        <v>86</v>
      </c>
      <c r="AX1273">
        <v>4.8099999999999996</v>
      </c>
      <c r="AY1273">
        <v>47</v>
      </c>
      <c r="AZ1273">
        <v>7.11</v>
      </c>
      <c r="BA1273">
        <v>16</v>
      </c>
      <c r="BB1273">
        <v>5.19</v>
      </c>
      <c r="BC1273">
        <v>7</v>
      </c>
      <c r="BD1273">
        <v>-0.06</v>
      </c>
      <c r="BE1273">
        <v>-0.01</v>
      </c>
      <c r="BF1273">
        <v>0.01</v>
      </c>
      <c r="BG1273">
        <v>19</v>
      </c>
      <c r="BH1273">
        <v>0.08</v>
      </c>
      <c r="BI1273">
        <v>-11.32</v>
      </c>
      <c r="BJ1273">
        <v>0</v>
      </c>
      <c r="BK1273">
        <v>0</v>
      </c>
      <c r="BL1273">
        <v>-1.37</v>
      </c>
      <c r="BM1273">
        <v>-2.15</v>
      </c>
      <c r="BN1273">
        <v>-0.54</v>
      </c>
      <c r="BO1273">
        <v>1.51</v>
      </c>
      <c r="BP1273">
        <v>0.02</v>
      </c>
      <c r="BQ1273">
        <v>-5.67</v>
      </c>
      <c r="BR1273">
        <v>2.1800000000000002</v>
      </c>
      <c r="BS1273">
        <v>6.88</v>
      </c>
      <c r="BT1273">
        <v>-0.98</v>
      </c>
      <c r="BU1273">
        <v>1.04</v>
      </c>
      <c r="BV1273">
        <v>1.03</v>
      </c>
      <c r="BW1273">
        <v>-0.91</v>
      </c>
      <c r="BX1273">
        <v>-1.62</v>
      </c>
      <c r="BY1273">
        <v>0.46</v>
      </c>
      <c r="BZ1273">
        <v>-0.54</v>
      </c>
      <c r="CA1273">
        <v>2.39</v>
      </c>
      <c r="CB1273">
        <v>0.87</v>
      </c>
      <c r="CC1273">
        <v>4.37</v>
      </c>
      <c r="CD1273">
        <v>-2.44</v>
      </c>
      <c r="CE1273">
        <v>1.48</v>
      </c>
      <c r="CF1273">
        <v>-1.45</v>
      </c>
      <c r="CG1273">
        <v>0</v>
      </c>
      <c r="CH1273">
        <v>-0.41</v>
      </c>
      <c r="CI1273">
        <v>0</v>
      </c>
      <c r="CJ1273">
        <v>-33.5</v>
      </c>
      <c r="CK1273">
        <v>36</v>
      </c>
      <c r="CL1273">
        <v>-1.42</v>
      </c>
      <c r="CM1273">
        <v>31</v>
      </c>
      <c r="CN1273">
        <v>-0.36</v>
      </c>
      <c r="CO1273">
        <v>30</v>
      </c>
      <c r="CP1273">
        <v>-53.6</v>
      </c>
      <c r="CQ1273">
        <v>19</v>
      </c>
      <c r="CR1273">
        <v>0</v>
      </c>
      <c r="CS1273">
        <v>0</v>
      </c>
      <c r="CT1273">
        <v>-75.900000000000006</v>
      </c>
      <c r="CU1273">
        <v>17</v>
      </c>
      <c r="CV1273">
        <v>-0.3</v>
      </c>
      <c r="CW1273">
        <v>9</v>
      </c>
      <c r="CX1273" t="s">
        <v>2252</v>
      </c>
    </row>
    <row r="1274" spans="1:102" x14ac:dyDescent="0.3">
      <c r="A1274" t="str">
        <f>HYPERLINK("https://webapp.icbf.com/v2/app/bull-search/view/499373110","YBS")</f>
        <v>YBS</v>
      </c>
      <c r="B1274" t="s">
        <v>12293</v>
      </c>
      <c r="C1274" t="s">
        <v>12294</v>
      </c>
      <c r="D1274" s="1">
        <v>39133</v>
      </c>
      <c r="E1274" t="s">
        <v>92</v>
      </c>
      <c r="F1274">
        <v>84</v>
      </c>
      <c r="G1274" t="s">
        <v>93</v>
      </c>
      <c r="H1274">
        <v>122.95</v>
      </c>
      <c r="I1274">
        <v>88</v>
      </c>
      <c r="J1274">
        <v>64.41</v>
      </c>
      <c r="K1274">
        <v>97</v>
      </c>
      <c r="L1274">
        <v>26.11</v>
      </c>
      <c r="M1274">
        <v>80</v>
      </c>
      <c r="N1274">
        <v>25.39</v>
      </c>
      <c r="O1274">
        <v>86</v>
      </c>
      <c r="P1274">
        <v>-22.54</v>
      </c>
      <c r="Q1274">
        <v>91</v>
      </c>
      <c r="R1274">
        <v>1.65</v>
      </c>
      <c r="S1274">
        <v>82</v>
      </c>
      <c r="T1274">
        <v>24.56</v>
      </c>
      <c r="U1274">
        <v>88</v>
      </c>
      <c r="V1274">
        <v>3.37</v>
      </c>
      <c r="W1274">
        <v>85</v>
      </c>
      <c r="X1274" t="s">
        <v>94</v>
      </c>
      <c r="Y1274" t="s">
        <v>1405</v>
      </c>
      <c r="Z1274" t="s">
        <v>96</v>
      </c>
      <c r="AA1274" t="s">
        <v>1406</v>
      </c>
      <c r="AB1274" t="s">
        <v>12295</v>
      </c>
      <c r="AC1274">
        <v>84</v>
      </c>
      <c r="AD1274">
        <v>58</v>
      </c>
      <c r="AE1274">
        <v>97</v>
      </c>
      <c r="AF1274">
        <v>-260.57</v>
      </c>
      <c r="AG1274">
        <v>11.69</v>
      </c>
      <c r="AH1274">
        <v>2.83</v>
      </c>
      <c r="AI1274">
        <v>0.4</v>
      </c>
      <c r="AJ1274">
        <v>0.21</v>
      </c>
      <c r="AK1274">
        <v>80</v>
      </c>
      <c r="AL1274">
        <v>87</v>
      </c>
      <c r="AM1274">
        <v>65</v>
      </c>
      <c r="AN1274">
        <v>-0.8</v>
      </c>
      <c r="AO1274">
        <v>1.29</v>
      </c>
      <c r="AP1274">
        <v>207</v>
      </c>
      <c r="AQ1274">
        <v>2</v>
      </c>
      <c r="AR1274">
        <v>5.48</v>
      </c>
      <c r="AS1274">
        <v>70</v>
      </c>
      <c r="AT1274">
        <v>2.17</v>
      </c>
      <c r="AU1274">
        <v>89</v>
      </c>
      <c r="AV1274">
        <v>-1.25</v>
      </c>
      <c r="AW1274">
        <v>96</v>
      </c>
      <c r="AX1274">
        <v>-0.21</v>
      </c>
      <c r="AY1274">
        <v>81</v>
      </c>
      <c r="AZ1274">
        <v>7.31</v>
      </c>
      <c r="BA1274">
        <v>65</v>
      </c>
      <c r="BB1274">
        <v>4.2</v>
      </c>
      <c r="BC1274">
        <v>69</v>
      </c>
      <c r="BD1274">
        <v>-0.03</v>
      </c>
      <c r="BE1274">
        <v>-0.02</v>
      </c>
      <c r="BF1274">
        <v>0.05</v>
      </c>
      <c r="BG1274">
        <v>88</v>
      </c>
      <c r="BH1274">
        <v>0.02</v>
      </c>
      <c r="BI1274">
        <v>-8.57</v>
      </c>
      <c r="BJ1274">
        <v>18</v>
      </c>
      <c r="BK1274">
        <v>15</v>
      </c>
      <c r="BL1274">
        <v>-1.48</v>
      </c>
      <c r="BM1274">
        <v>-0.57999999999999996</v>
      </c>
      <c r="BN1274">
        <v>-1.52</v>
      </c>
      <c r="BO1274">
        <v>-0.93</v>
      </c>
      <c r="BP1274">
        <v>0.16</v>
      </c>
      <c r="BQ1274">
        <v>-3.27</v>
      </c>
      <c r="BR1274">
        <v>2.21</v>
      </c>
      <c r="BS1274">
        <v>-1.51</v>
      </c>
      <c r="BT1274">
        <v>-3.2</v>
      </c>
      <c r="BU1274">
        <v>-0.34</v>
      </c>
      <c r="BV1274">
        <v>-0.14000000000000001</v>
      </c>
      <c r="BW1274">
        <v>0.01</v>
      </c>
      <c r="BX1274">
        <v>0.36</v>
      </c>
      <c r="BY1274">
        <v>-0.42</v>
      </c>
      <c r="BZ1274">
        <v>-3.28</v>
      </c>
      <c r="CA1274">
        <v>-1.05</v>
      </c>
      <c r="CB1274">
        <v>-0.32</v>
      </c>
      <c r="CC1274">
        <v>-2.16</v>
      </c>
      <c r="CD1274">
        <v>0.11</v>
      </c>
      <c r="CE1274">
        <v>-1.04</v>
      </c>
      <c r="CF1274">
        <v>-2.11</v>
      </c>
      <c r="CG1274">
        <v>0</v>
      </c>
      <c r="CH1274">
        <v>0.09</v>
      </c>
      <c r="CI1274">
        <v>0</v>
      </c>
      <c r="CJ1274">
        <v>-11</v>
      </c>
      <c r="CK1274">
        <v>92</v>
      </c>
      <c r="CL1274">
        <v>-0.67</v>
      </c>
      <c r="CM1274">
        <v>91</v>
      </c>
      <c r="CN1274">
        <v>-0.2</v>
      </c>
      <c r="CO1274">
        <v>89</v>
      </c>
      <c r="CP1274">
        <v>-18.600000000000001</v>
      </c>
      <c r="CQ1274">
        <v>88</v>
      </c>
      <c r="CR1274">
        <v>0</v>
      </c>
      <c r="CS1274">
        <v>0</v>
      </c>
      <c r="CT1274">
        <v>-19.399999999999999</v>
      </c>
      <c r="CU1274">
        <v>88</v>
      </c>
      <c r="CV1274">
        <v>-0.03</v>
      </c>
      <c r="CW1274">
        <v>45</v>
      </c>
      <c r="CX1274" t="s">
        <v>792</v>
      </c>
    </row>
    <row r="1275" spans="1:102" x14ac:dyDescent="0.3">
      <c r="A1275" t="str">
        <f>HYPERLINK("https://webapp.icbf.com/v2/app/bull-search/view/760392061","S2090")</f>
        <v>S2090</v>
      </c>
      <c r="B1275" t="s">
        <v>5787</v>
      </c>
      <c r="C1275" t="s">
        <v>2195</v>
      </c>
      <c r="D1275" s="1">
        <v>39898</v>
      </c>
      <c r="E1275" t="s">
        <v>92</v>
      </c>
      <c r="F1275">
        <v>100</v>
      </c>
      <c r="G1275" t="s">
        <v>93</v>
      </c>
      <c r="H1275">
        <v>122.94</v>
      </c>
      <c r="I1275">
        <v>88</v>
      </c>
      <c r="J1275">
        <v>84.36</v>
      </c>
      <c r="K1275">
        <v>96</v>
      </c>
      <c r="L1275">
        <v>1.46</v>
      </c>
      <c r="M1275">
        <v>88</v>
      </c>
      <c r="N1275">
        <v>42.7</v>
      </c>
      <c r="O1275">
        <v>85</v>
      </c>
      <c r="P1275">
        <v>-2.63</v>
      </c>
      <c r="Q1275">
        <v>88</v>
      </c>
      <c r="R1275">
        <v>10.26</v>
      </c>
      <c r="S1275">
        <v>80</v>
      </c>
      <c r="T1275">
        <v>-5.41</v>
      </c>
      <c r="U1275">
        <v>65</v>
      </c>
      <c r="V1275">
        <v>-7.8</v>
      </c>
      <c r="W1275">
        <v>76</v>
      </c>
      <c r="X1275" t="s">
        <v>102</v>
      </c>
      <c r="Y1275" t="s">
        <v>367</v>
      </c>
      <c r="Z1275" t="s">
        <v>96</v>
      </c>
      <c r="AA1275" t="s">
        <v>309</v>
      </c>
      <c r="AB1275" t="s">
        <v>5788</v>
      </c>
      <c r="AC1275">
        <v>98</v>
      </c>
      <c r="AD1275">
        <v>37</v>
      </c>
      <c r="AE1275">
        <v>96</v>
      </c>
      <c r="AF1275">
        <v>417.27</v>
      </c>
      <c r="AG1275">
        <v>19.32</v>
      </c>
      <c r="AH1275">
        <v>13.9</v>
      </c>
      <c r="AI1275">
        <v>0.05</v>
      </c>
      <c r="AJ1275">
        <v>0</v>
      </c>
      <c r="AK1275">
        <v>88</v>
      </c>
      <c r="AL1275">
        <v>83</v>
      </c>
      <c r="AM1275">
        <v>34</v>
      </c>
      <c r="AN1275">
        <v>0.18</v>
      </c>
      <c r="AO1275">
        <v>0.3</v>
      </c>
      <c r="AP1275">
        <v>201</v>
      </c>
      <c r="AQ1275">
        <v>4</v>
      </c>
      <c r="AR1275">
        <v>4.96</v>
      </c>
      <c r="AS1275">
        <v>81</v>
      </c>
      <c r="AT1275">
        <v>2.02</v>
      </c>
      <c r="AU1275">
        <v>91</v>
      </c>
      <c r="AV1275">
        <v>-3.55</v>
      </c>
      <c r="AW1275">
        <v>94</v>
      </c>
      <c r="AX1275">
        <v>-0.65</v>
      </c>
      <c r="AY1275">
        <v>81</v>
      </c>
      <c r="AZ1275">
        <v>6.88</v>
      </c>
      <c r="BA1275">
        <v>66</v>
      </c>
      <c r="BB1275">
        <v>5.15</v>
      </c>
      <c r="BC1275">
        <v>57</v>
      </c>
      <c r="BD1275">
        <v>-0.03</v>
      </c>
      <c r="BE1275">
        <v>-0.04</v>
      </c>
      <c r="BF1275">
        <v>-0.11</v>
      </c>
      <c r="BG1275">
        <v>93</v>
      </c>
      <c r="BH1275">
        <v>-0.12</v>
      </c>
      <c r="BI1275">
        <v>11.27</v>
      </c>
      <c r="BJ1275">
        <v>7</v>
      </c>
      <c r="BK1275">
        <v>5</v>
      </c>
      <c r="BL1275">
        <v>2.0099999999999998</v>
      </c>
      <c r="BM1275">
        <v>-1.93</v>
      </c>
      <c r="BN1275">
        <v>0.35</v>
      </c>
      <c r="BO1275">
        <v>1.69</v>
      </c>
      <c r="BP1275">
        <v>0.41</v>
      </c>
      <c r="BQ1275">
        <v>-0.1</v>
      </c>
      <c r="BR1275">
        <v>0.53</v>
      </c>
      <c r="BS1275">
        <v>2.42</v>
      </c>
      <c r="BT1275">
        <v>-0.08</v>
      </c>
      <c r="BU1275">
        <v>1.28</v>
      </c>
      <c r="BV1275">
        <v>1.61</v>
      </c>
      <c r="BW1275">
        <v>0.05</v>
      </c>
      <c r="BX1275">
        <v>1.3</v>
      </c>
      <c r="BY1275">
        <v>-0.57999999999999996</v>
      </c>
      <c r="BZ1275">
        <v>0.91</v>
      </c>
      <c r="CA1275">
        <v>1.43</v>
      </c>
      <c r="CB1275">
        <v>0.97</v>
      </c>
      <c r="CC1275">
        <v>1.17</v>
      </c>
      <c r="CD1275">
        <v>-1.54</v>
      </c>
      <c r="CE1275">
        <v>1.39</v>
      </c>
      <c r="CF1275">
        <v>0.97</v>
      </c>
      <c r="CG1275">
        <v>0</v>
      </c>
      <c r="CH1275">
        <v>-0.3</v>
      </c>
      <c r="CI1275">
        <v>0</v>
      </c>
      <c r="CJ1275">
        <v>3.4</v>
      </c>
      <c r="CK1275">
        <v>91</v>
      </c>
      <c r="CL1275">
        <v>-1.47</v>
      </c>
      <c r="CM1275">
        <v>89</v>
      </c>
      <c r="CN1275">
        <v>-0.61</v>
      </c>
      <c r="CO1275">
        <v>88</v>
      </c>
      <c r="CP1275">
        <v>4.7</v>
      </c>
      <c r="CQ1275">
        <v>69</v>
      </c>
      <c r="CR1275">
        <v>0</v>
      </c>
      <c r="CS1275">
        <v>0</v>
      </c>
      <c r="CT1275">
        <v>21.1</v>
      </c>
      <c r="CU1275">
        <v>65</v>
      </c>
      <c r="CV1275">
        <v>0.44</v>
      </c>
      <c r="CW1275">
        <v>44</v>
      </c>
      <c r="CX1275" t="s">
        <v>316</v>
      </c>
    </row>
    <row r="1276" spans="1:102" x14ac:dyDescent="0.3">
      <c r="A1276" t="str">
        <f>HYPERLINK("https://webapp.icbf.com/v2/app/bull-search/view/108378464","CJY")</f>
        <v>CJY</v>
      </c>
      <c r="B1276" t="s">
        <v>7501</v>
      </c>
      <c r="C1276" t="s">
        <v>5383</v>
      </c>
      <c r="D1276" s="1">
        <v>35072</v>
      </c>
      <c r="E1276" t="s">
        <v>227</v>
      </c>
      <c r="F1276">
        <v>0</v>
      </c>
      <c r="G1276" t="s">
        <v>93</v>
      </c>
      <c r="H1276">
        <v>122.94</v>
      </c>
      <c r="I1276">
        <v>96</v>
      </c>
      <c r="J1276">
        <v>24.8</v>
      </c>
      <c r="K1276">
        <v>99</v>
      </c>
      <c r="L1276">
        <v>53.66</v>
      </c>
      <c r="M1276">
        <v>92</v>
      </c>
      <c r="N1276">
        <v>31.23</v>
      </c>
      <c r="O1276">
        <v>95</v>
      </c>
      <c r="P1276">
        <v>-55.86</v>
      </c>
      <c r="Q1276">
        <v>98</v>
      </c>
      <c r="R1276">
        <v>8.86</v>
      </c>
      <c r="S1276">
        <v>93</v>
      </c>
      <c r="T1276">
        <v>64.959999999999994</v>
      </c>
      <c r="U1276">
        <v>97</v>
      </c>
      <c r="V1276">
        <v>-4.71</v>
      </c>
      <c r="W1276">
        <v>95</v>
      </c>
      <c r="X1276" t="s">
        <v>302</v>
      </c>
      <c r="Y1276" t="s">
        <v>95</v>
      </c>
      <c r="Z1276">
        <v>0</v>
      </c>
      <c r="AA1276" t="s">
        <v>7502</v>
      </c>
      <c r="AB1276" t="s">
        <v>7503</v>
      </c>
      <c r="AC1276">
        <v>454</v>
      </c>
      <c r="AD1276">
        <v>112</v>
      </c>
      <c r="AE1276">
        <v>99</v>
      </c>
      <c r="AF1276">
        <v>-402.18</v>
      </c>
      <c r="AG1276">
        <v>5.18</v>
      </c>
      <c r="AH1276">
        <v>-3.77</v>
      </c>
      <c r="AI1276">
        <v>0.39</v>
      </c>
      <c r="AJ1276">
        <v>0.19</v>
      </c>
      <c r="AK1276">
        <v>92</v>
      </c>
      <c r="AL1276">
        <v>448</v>
      </c>
      <c r="AM1276">
        <v>105</v>
      </c>
      <c r="AN1276">
        <v>-1.33</v>
      </c>
      <c r="AO1276">
        <v>2.97</v>
      </c>
      <c r="AP1276">
        <v>527</v>
      </c>
      <c r="AQ1276">
        <v>9</v>
      </c>
      <c r="AR1276">
        <v>2.0499999999999998</v>
      </c>
      <c r="AS1276">
        <v>95</v>
      </c>
      <c r="AT1276">
        <v>1.1499999999999999</v>
      </c>
      <c r="AU1276">
        <v>94</v>
      </c>
      <c r="AV1276">
        <v>-1.82</v>
      </c>
      <c r="AW1276">
        <v>98</v>
      </c>
      <c r="AX1276">
        <v>0.53</v>
      </c>
      <c r="AY1276">
        <v>95</v>
      </c>
      <c r="AZ1276">
        <v>7.36</v>
      </c>
      <c r="BA1276">
        <v>87</v>
      </c>
      <c r="BB1276">
        <v>5.71</v>
      </c>
      <c r="BC1276">
        <v>90</v>
      </c>
      <c r="BD1276">
        <v>-7.0000000000000007E-2</v>
      </c>
      <c r="BE1276">
        <v>-0.03</v>
      </c>
      <c r="BF1276">
        <v>-0.03</v>
      </c>
      <c r="BG1276">
        <v>97</v>
      </c>
      <c r="BH1276">
        <v>7.0000000000000007E-2</v>
      </c>
      <c r="BI1276">
        <v>23.28</v>
      </c>
      <c r="BJ1276">
        <v>25</v>
      </c>
      <c r="BK1276">
        <v>8</v>
      </c>
      <c r="BL1276">
        <v>-3.78</v>
      </c>
      <c r="BM1276">
        <v>-0.86</v>
      </c>
      <c r="BN1276">
        <v>-1.69</v>
      </c>
      <c r="BO1276">
        <v>-0.8</v>
      </c>
      <c r="BP1276">
        <v>-1.43</v>
      </c>
      <c r="BQ1276">
        <v>-6.8</v>
      </c>
      <c r="BR1276">
        <v>0.94</v>
      </c>
      <c r="BS1276">
        <v>6.83</v>
      </c>
      <c r="BT1276">
        <v>0.43</v>
      </c>
      <c r="BU1276">
        <v>-1.1000000000000001</v>
      </c>
      <c r="BV1276">
        <v>-1.35</v>
      </c>
      <c r="BW1276">
        <v>-3.45</v>
      </c>
      <c r="BX1276">
        <v>-4.42</v>
      </c>
      <c r="BY1276">
        <v>-0.6</v>
      </c>
      <c r="BZ1276">
        <v>0.03</v>
      </c>
      <c r="CA1276">
        <v>0.41</v>
      </c>
      <c r="CB1276">
        <v>-1.81</v>
      </c>
      <c r="CC1276">
        <v>4.58</v>
      </c>
      <c r="CD1276">
        <v>-1.37</v>
      </c>
      <c r="CE1276">
        <v>-0.47</v>
      </c>
      <c r="CF1276">
        <v>-4.84</v>
      </c>
      <c r="CG1276">
        <v>0</v>
      </c>
      <c r="CH1276">
        <v>-1.01</v>
      </c>
      <c r="CI1276">
        <v>0</v>
      </c>
      <c r="CJ1276">
        <v>-30.2</v>
      </c>
      <c r="CK1276">
        <v>98</v>
      </c>
      <c r="CL1276">
        <v>-0.71</v>
      </c>
      <c r="CM1276">
        <v>97</v>
      </c>
      <c r="CN1276">
        <v>-0.02</v>
      </c>
      <c r="CO1276">
        <v>97</v>
      </c>
      <c r="CP1276">
        <v>-47.3</v>
      </c>
      <c r="CQ1276">
        <v>97</v>
      </c>
      <c r="CR1276">
        <v>0</v>
      </c>
      <c r="CS1276">
        <v>0</v>
      </c>
      <c r="CT1276">
        <v>-74</v>
      </c>
      <c r="CU1276">
        <v>97</v>
      </c>
      <c r="CV1276">
        <v>-0.31</v>
      </c>
      <c r="CW1276">
        <v>46</v>
      </c>
      <c r="CX1276" t="s">
        <v>514</v>
      </c>
    </row>
    <row r="1277" spans="1:102" x14ac:dyDescent="0.3">
      <c r="A1277" t="str">
        <f>HYPERLINK("https://webapp.icbf.com/v2/app/bull-search/view/69092071","KMD")</f>
        <v>KMD</v>
      </c>
      <c r="B1277" t="s">
        <v>5011</v>
      </c>
      <c r="C1277" t="s">
        <v>5012</v>
      </c>
      <c r="D1277" s="1">
        <v>33834</v>
      </c>
      <c r="E1277" t="s">
        <v>395</v>
      </c>
      <c r="F1277">
        <v>0</v>
      </c>
      <c r="G1277" t="s">
        <v>93</v>
      </c>
      <c r="H1277">
        <v>122.88</v>
      </c>
      <c r="I1277">
        <v>89</v>
      </c>
      <c r="J1277">
        <v>-12.7</v>
      </c>
      <c r="K1277">
        <v>97</v>
      </c>
      <c r="L1277">
        <v>85.13</v>
      </c>
      <c r="M1277">
        <v>84</v>
      </c>
      <c r="N1277">
        <v>26.92</v>
      </c>
      <c r="O1277">
        <v>85</v>
      </c>
      <c r="P1277">
        <v>-3.51</v>
      </c>
      <c r="Q1277">
        <v>91</v>
      </c>
      <c r="R1277">
        <v>8.86</v>
      </c>
      <c r="S1277">
        <v>78</v>
      </c>
      <c r="T1277">
        <v>18.12</v>
      </c>
      <c r="U1277">
        <v>89</v>
      </c>
      <c r="V1277">
        <v>0.06</v>
      </c>
      <c r="W1277">
        <v>70</v>
      </c>
      <c r="X1277" t="s">
        <v>94</v>
      </c>
      <c r="Y1277" t="s">
        <v>95</v>
      </c>
      <c r="Z1277">
        <v>0</v>
      </c>
      <c r="AA1277" t="s">
        <v>5013</v>
      </c>
      <c r="AB1277" t="s">
        <v>5014</v>
      </c>
      <c r="AC1277">
        <v>151</v>
      </c>
      <c r="AD1277">
        <v>70</v>
      </c>
      <c r="AE1277">
        <v>97</v>
      </c>
      <c r="AF1277">
        <v>-105.34</v>
      </c>
      <c r="AG1277">
        <v>-3.34</v>
      </c>
      <c r="AH1277">
        <v>-2.59</v>
      </c>
      <c r="AI1277">
        <v>0.01</v>
      </c>
      <c r="AJ1277">
        <v>0.02</v>
      </c>
      <c r="AK1277">
        <v>84</v>
      </c>
      <c r="AL1277">
        <v>145</v>
      </c>
      <c r="AM1277">
        <v>70</v>
      </c>
      <c r="AN1277">
        <v>-3.01</v>
      </c>
      <c r="AO1277">
        <v>3.8</v>
      </c>
      <c r="AP1277">
        <v>80</v>
      </c>
      <c r="AQ1277">
        <v>0</v>
      </c>
      <c r="AR1277">
        <v>5.49</v>
      </c>
      <c r="AS1277">
        <v>69</v>
      </c>
      <c r="AT1277">
        <v>2.37</v>
      </c>
      <c r="AU1277">
        <v>88</v>
      </c>
      <c r="AV1277">
        <v>-1.68</v>
      </c>
      <c r="AW1277">
        <v>92</v>
      </c>
      <c r="AX1277">
        <v>-0.32</v>
      </c>
      <c r="AY1277">
        <v>85</v>
      </c>
      <c r="AZ1277">
        <v>5.65</v>
      </c>
      <c r="BA1277">
        <v>59</v>
      </c>
      <c r="BB1277">
        <v>4.8600000000000003</v>
      </c>
      <c r="BC1277">
        <v>72</v>
      </c>
      <c r="BD1277">
        <v>0.02</v>
      </c>
      <c r="BE1277">
        <v>-0.03</v>
      </c>
      <c r="BF1277">
        <v>-0.18</v>
      </c>
      <c r="BG1277">
        <v>89</v>
      </c>
      <c r="BH1277">
        <v>0.01</v>
      </c>
      <c r="BI1277">
        <v>0.97</v>
      </c>
      <c r="BJ1277">
        <v>5</v>
      </c>
      <c r="BK1277">
        <v>2</v>
      </c>
      <c r="BL1277">
        <v>-2.4900000000000002</v>
      </c>
      <c r="BM1277">
        <v>1.62</v>
      </c>
      <c r="BN1277">
        <v>-1.82</v>
      </c>
      <c r="BO1277">
        <v>-2.52</v>
      </c>
      <c r="BP1277">
        <v>2.63</v>
      </c>
      <c r="BQ1277">
        <v>-1.02</v>
      </c>
      <c r="BR1277">
        <v>0.28000000000000003</v>
      </c>
      <c r="BS1277">
        <v>0.96</v>
      </c>
      <c r="BT1277">
        <v>-0.03</v>
      </c>
      <c r="BU1277">
        <v>-2.56</v>
      </c>
      <c r="BV1277">
        <v>-2.78</v>
      </c>
      <c r="BW1277">
        <v>-2.21</v>
      </c>
      <c r="BX1277">
        <v>-3.39</v>
      </c>
      <c r="BY1277">
        <v>0.36</v>
      </c>
      <c r="BZ1277">
        <v>-1.9</v>
      </c>
      <c r="CA1277">
        <v>-1.65</v>
      </c>
      <c r="CB1277">
        <v>-2.29</v>
      </c>
      <c r="CC1277">
        <v>0.24</v>
      </c>
      <c r="CD1277">
        <v>2.4</v>
      </c>
      <c r="CE1277">
        <v>-1.87</v>
      </c>
      <c r="CF1277">
        <v>-2.17</v>
      </c>
      <c r="CG1277">
        <v>0</v>
      </c>
      <c r="CH1277">
        <v>-1.07</v>
      </c>
      <c r="CI1277">
        <v>0</v>
      </c>
      <c r="CJ1277">
        <v>-0.8</v>
      </c>
      <c r="CK1277">
        <v>92</v>
      </c>
      <c r="CL1277">
        <v>0.17</v>
      </c>
      <c r="CM1277">
        <v>91</v>
      </c>
      <c r="CN1277">
        <v>0.19</v>
      </c>
      <c r="CO1277">
        <v>90</v>
      </c>
      <c r="CP1277">
        <v>-12.9</v>
      </c>
      <c r="CQ1277">
        <v>90</v>
      </c>
      <c r="CR1277">
        <v>0</v>
      </c>
      <c r="CS1277">
        <v>0</v>
      </c>
      <c r="CT1277">
        <v>-10.7</v>
      </c>
      <c r="CU1277">
        <v>89</v>
      </c>
      <c r="CV1277">
        <v>-0.09</v>
      </c>
      <c r="CW1277">
        <v>26</v>
      </c>
      <c r="CX1277" t="s">
        <v>5015</v>
      </c>
    </row>
    <row r="1278" spans="1:102" x14ac:dyDescent="0.3">
      <c r="A1278" t="str">
        <f>HYPERLINK("https://webapp.icbf.com/v2/app/bull-search/view/943841149","EEN")</f>
        <v>EEN</v>
      </c>
      <c r="B1278" t="s">
        <v>5915</v>
      </c>
      <c r="C1278" t="s">
        <v>5916</v>
      </c>
      <c r="D1278" s="1">
        <v>40922</v>
      </c>
      <c r="E1278" t="s">
        <v>92</v>
      </c>
      <c r="F1278">
        <v>72</v>
      </c>
      <c r="G1278" t="s">
        <v>93</v>
      </c>
      <c r="H1278">
        <v>122.88</v>
      </c>
      <c r="I1278">
        <v>93</v>
      </c>
      <c r="J1278">
        <v>49.53</v>
      </c>
      <c r="K1278">
        <v>99</v>
      </c>
      <c r="L1278">
        <v>32.450000000000003</v>
      </c>
      <c r="M1278">
        <v>87</v>
      </c>
      <c r="N1278">
        <v>42.32</v>
      </c>
      <c r="O1278">
        <v>95</v>
      </c>
      <c r="P1278">
        <v>-4.96</v>
      </c>
      <c r="Q1278">
        <v>98</v>
      </c>
      <c r="R1278">
        <v>-0.25</v>
      </c>
      <c r="S1278">
        <v>88</v>
      </c>
      <c r="T1278">
        <v>4.8</v>
      </c>
      <c r="U1278">
        <v>94</v>
      </c>
      <c r="V1278">
        <v>-1.01</v>
      </c>
      <c r="W1278">
        <v>79</v>
      </c>
      <c r="X1278" t="s">
        <v>276</v>
      </c>
      <c r="Y1278" t="s">
        <v>1923</v>
      </c>
      <c r="Z1278" t="s">
        <v>96</v>
      </c>
      <c r="AA1278" t="s">
        <v>5742</v>
      </c>
      <c r="AB1278" t="s">
        <v>5917</v>
      </c>
      <c r="AC1278">
        <v>728</v>
      </c>
      <c r="AD1278">
        <v>247</v>
      </c>
      <c r="AE1278">
        <v>99</v>
      </c>
      <c r="AF1278">
        <v>446.38</v>
      </c>
      <c r="AG1278">
        <v>7.76</v>
      </c>
      <c r="AH1278">
        <v>12.51</v>
      </c>
      <c r="AI1278">
        <v>-0.16</v>
      </c>
      <c r="AJ1278">
        <v>-0.04</v>
      </c>
      <c r="AK1278">
        <v>87</v>
      </c>
      <c r="AL1278">
        <v>650</v>
      </c>
      <c r="AM1278">
        <v>260</v>
      </c>
      <c r="AN1278">
        <v>-0.81</v>
      </c>
      <c r="AO1278">
        <v>1.79</v>
      </c>
      <c r="AP1278">
        <v>1487</v>
      </c>
      <c r="AQ1278">
        <v>13</v>
      </c>
      <c r="AR1278">
        <v>5.67</v>
      </c>
      <c r="AS1278">
        <v>94</v>
      </c>
      <c r="AT1278">
        <v>2.2999999999999998</v>
      </c>
      <c r="AU1278">
        <v>97</v>
      </c>
      <c r="AV1278">
        <v>-4.74</v>
      </c>
      <c r="AW1278">
        <v>99</v>
      </c>
      <c r="AX1278">
        <v>-0.52</v>
      </c>
      <c r="AY1278">
        <v>97</v>
      </c>
      <c r="AZ1278">
        <v>8.11</v>
      </c>
      <c r="BA1278">
        <v>89</v>
      </c>
      <c r="BB1278">
        <v>5.91</v>
      </c>
      <c r="BC1278">
        <v>80</v>
      </c>
      <c r="BD1278">
        <v>0.01</v>
      </c>
      <c r="BE1278">
        <v>0.01</v>
      </c>
      <c r="BF1278">
        <v>-0.03</v>
      </c>
      <c r="BG1278">
        <v>97</v>
      </c>
      <c r="BH1278">
        <v>-0.05</v>
      </c>
      <c r="BI1278">
        <v>-2.54</v>
      </c>
      <c r="BJ1278">
        <v>12</v>
      </c>
      <c r="BK1278">
        <v>7</v>
      </c>
      <c r="BL1278">
        <v>-1.3</v>
      </c>
      <c r="BM1278">
        <v>1.44</v>
      </c>
      <c r="BN1278">
        <v>-0.93</v>
      </c>
      <c r="BO1278">
        <v>-1.72</v>
      </c>
      <c r="BP1278">
        <v>-1.1499999999999999</v>
      </c>
      <c r="BQ1278">
        <v>-0.24</v>
      </c>
      <c r="BR1278">
        <v>1.75</v>
      </c>
      <c r="BS1278">
        <v>-2.36</v>
      </c>
      <c r="BT1278">
        <v>-1.82</v>
      </c>
      <c r="BU1278">
        <v>-3.35</v>
      </c>
      <c r="BV1278">
        <v>-2.94</v>
      </c>
      <c r="BW1278">
        <v>-2.4500000000000002</v>
      </c>
      <c r="BX1278">
        <v>-3.41</v>
      </c>
      <c r="BY1278">
        <v>-2.4700000000000002</v>
      </c>
      <c r="BZ1278">
        <v>1.81</v>
      </c>
      <c r="CA1278">
        <v>-2.56</v>
      </c>
      <c r="CB1278">
        <v>-2.4500000000000002</v>
      </c>
      <c r="CC1278">
        <v>-2.19</v>
      </c>
      <c r="CD1278">
        <v>1.49</v>
      </c>
      <c r="CE1278">
        <v>-1.06</v>
      </c>
      <c r="CF1278">
        <v>-0.96</v>
      </c>
      <c r="CG1278">
        <v>0</v>
      </c>
      <c r="CH1278">
        <v>-1.18</v>
      </c>
      <c r="CI1278">
        <v>0</v>
      </c>
      <c r="CJ1278">
        <v>0.3</v>
      </c>
      <c r="CK1278">
        <v>99</v>
      </c>
      <c r="CL1278">
        <v>-0.24</v>
      </c>
      <c r="CM1278">
        <v>99</v>
      </c>
      <c r="CN1278">
        <v>0.24</v>
      </c>
      <c r="CO1278">
        <v>98</v>
      </c>
      <c r="CP1278">
        <v>-0.6</v>
      </c>
      <c r="CQ1278">
        <v>93</v>
      </c>
      <c r="CR1278">
        <v>0</v>
      </c>
      <c r="CS1278">
        <v>0</v>
      </c>
      <c r="CT1278">
        <v>7.3</v>
      </c>
      <c r="CU1278">
        <v>94</v>
      </c>
      <c r="CV1278">
        <v>0.11</v>
      </c>
      <c r="CW1278">
        <v>47</v>
      </c>
      <c r="CX1278" t="s">
        <v>1390</v>
      </c>
    </row>
    <row r="1279" spans="1:102" x14ac:dyDescent="0.3">
      <c r="A1279" t="str">
        <f>HYPERLINK("https://webapp.icbf.com/v2/app/bull-search/view/108205012","BTQ")</f>
        <v>BTQ</v>
      </c>
      <c r="B1279" t="s">
        <v>7909</v>
      </c>
      <c r="C1279" t="s">
        <v>7910</v>
      </c>
      <c r="D1279" s="1">
        <v>37232</v>
      </c>
      <c r="E1279" t="s">
        <v>108</v>
      </c>
      <c r="F1279">
        <v>0</v>
      </c>
      <c r="G1279" t="s">
        <v>93</v>
      </c>
      <c r="H1279">
        <v>122.81</v>
      </c>
      <c r="I1279">
        <v>88</v>
      </c>
      <c r="J1279">
        <v>-3.06</v>
      </c>
      <c r="K1279">
        <v>96</v>
      </c>
      <c r="L1279">
        <v>106.82</v>
      </c>
      <c r="M1279">
        <v>80</v>
      </c>
      <c r="N1279">
        <v>3.77</v>
      </c>
      <c r="O1279">
        <v>86</v>
      </c>
      <c r="P1279">
        <v>-6.27</v>
      </c>
      <c r="Q1279">
        <v>95</v>
      </c>
      <c r="R1279">
        <v>6.64</v>
      </c>
      <c r="S1279">
        <v>80</v>
      </c>
      <c r="T1279">
        <v>11.61</v>
      </c>
      <c r="U1279">
        <v>88</v>
      </c>
      <c r="V1279">
        <v>3.3</v>
      </c>
      <c r="W1279">
        <v>79</v>
      </c>
      <c r="X1279" t="s">
        <v>94</v>
      </c>
      <c r="Y1279" t="s">
        <v>1062</v>
      </c>
      <c r="Z1279" t="s">
        <v>96</v>
      </c>
      <c r="AA1279" t="s">
        <v>4265</v>
      </c>
      <c r="AB1279" t="s">
        <v>7911</v>
      </c>
      <c r="AC1279">
        <v>79</v>
      </c>
      <c r="AD1279">
        <v>26</v>
      </c>
      <c r="AE1279">
        <v>96</v>
      </c>
      <c r="AF1279">
        <v>-131.16</v>
      </c>
      <c r="AG1279">
        <v>1.53</v>
      </c>
      <c r="AH1279">
        <v>-3.07</v>
      </c>
      <c r="AI1279">
        <v>0.12</v>
      </c>
      <c r="AJ1279">
        <v>0.02</v>
      </c>
      <c r="AK1279">
        <v>80</v>
      </c>
      <c r="AL1279">
        <v>116</v>
      </c>
      <c r="AM1279">
        <v>48</v>
      </c>
      <c r="AN1279">
        <v>-5.72</v>
      </c>
      <c r="AO1279">
        <v>2.8</v>
      </c>
      <c r="AP1279">
        <v>221</v>
      </c>
      <c r="AQ1279">
        <v>2</v>
      </c>
      <c r="AR1279">
        <v>7.4</v>
      </c>
      <c r="AS1279">
        <v>68</v>
      </c>
      <c r="AT1279">
        <v>2.99</v>
      </c>
      <c r="AU1279">
        <v>88</v>
      </c>
      <c r="AV1279">
        <v>-0.37</v>
      </c>
      <c r="AW1279">
        <v>96</v>
      </c>
      <c r="AX1279">
        <v>-0.46</v>
      </c>
      <c r="AY1279">
        <v>87</v>
      </c>
      <c r="AZ1279">
        <v>5.93</v>
      </c>
      <c r="BA1279">
        <v>64</v>
      </c>
      <c r="BB1279">
        <v>5.56</v>
      </c>
      <c r="BC1279">
        <v>71</v>
      </c>
      <c r="BD1279">
        <v>0.02</v>
      </c>
      <c r="BE1279">
        <v>-0.04</v>
      </c>
      <c r="BF1279">
        <v>-0.11</v>
      </c>
      <c r="BG1279">
        <v>87</v>
      </c>
      <c r="BH1279">
        <v>0.17</v>
      </c>
      <c r="BI1279">
        <v>9.02</v>
      </c>
      <c r="BJ1279">
        <v>5</v>
      </c>
      <c r="BK1279">
        <v>4</v>
      </c>
      <c r="BL1279">
        <v>-2.76</v>
      </c>
      <c r="BM1279">
        <v>1.71</v>
      </c>
      <c r="BN1279">
        <v>-2.44</v>
      </c>
      <c r="BO1279">
        <v>-2.9</v>
      </c>
      <c r="BP1279">
        <v>-0.93</v>
      </c>
      <c r="BQ1279">
        <v>0.96</v>
      </c>
      <c r="BR1279">
        <v>-1.34</v>
      </c>
      <c r="BS1279">
        <v>-1.1100000000000001</v>
      </c>
      <c r="BT1279">
        <v>0.04</v>
      </c>
      <c r="BU1279">
        <v>-2.96</v>
      </c>
      <c r="BV1279">
        <v>-2.77</v>
      </c>
      <c r="BW1279">
        <v>-2.5</v>
      </c>
      <c r="BX1279">
        <v>-1.39</v>
      </c>
      <c r="BY1279">
        <v>-2.1</v>
      </c>
      <c r="BZ1279">
        <v>-0.39</v>
      </c>
      <c r="CA1279">
        <v>-2.63</v>
      </c>
      <c r="CB1279">
        <v>-2.84</v>
      </c>
      <c r="CC1279">
        <v>-1.0900000000000001</v>
      </c>
      <c r="CD1279">
        <v>2.52</v>
      </c>
      <c r="CE1279">
        <v>-3.3</v>
      </c>
      <c r="CF1279">
        <v>-2.23</v>
      </c>
      <c r="CG1279">
        <v>0</v>
      </c>
      <c r="CH1279">
        <v>-2.46</v>
      </c>
      <c r="CI1279">
        <v>0</v>
      </c>
      <c r="CJ1279">
        <v>-1.7</v>
      </c>
      <c r="CK1279">
        <v>96</v>
      </c>
      <c r="CL1279">
        <v>-0.35</v>
      </c>
      <c r="CM1279">
        <v>95</v>
      </c>
      <c r="CN1279">
        <v>-0.04</v>
      </c>
      <c r="CO1279">
        <v>95</v>
      </c>
      <c r="CP1279">
        <v>-5.2</v>
      </c>
      <c r="CQ1279">
        <v>89</v>
      </c>
      <c r="CR1279">
        <v>0</v>
      </c>
      <c r="CS1279">
        <v>0</v>
      </c>
      <c r="CT1279">
        <v>-1.9</v>
      </c>
      <c r="CU1279">
        <v>88</v>
      </c>
      <c r="CV1279">
        <v>0.17</v>
      </c>
      <c r="CW1279">
        <v>45</v>
      </c>
      <c r="CX1279" t="s">
        <v>3865</v>
      </c>
    </row>
    <row r="1280" spans="1:102" x14ac:dyDescent="0.3">
      <c r="A1280" t="str">
        <f>HYPERLINK("https://webapp.icbf.com/v2/app/bull-search/view/948673463","KKP")</f>
        <v>KKP</v>
      </c>
      <c r="B1280" t="s">
        <v>13309</v>
      </c>
      <c r="C1280" t="s">
        <v>13310</v>
      </c>
      <c r="D1280" s="1">
        <v>40952</v>
      </c>
      <c r="E1280" t="s">
        <v>395</v>
      </c>
      <c r="F1280">
        <v>0</v>
      </c>
      <c r="G1280" t="s">
        <v>93</v>
      </c>
      <c r="H1280">
        <v>122.69</v>
      </c>
      <c r="I1280">
        <v>61</v>
      </c>
      <c r="J1280">
        <v>24.7</v>
      </c>
      <c r="K1280">
        <v>76</v>
      </c>
      <c r="L1280">
        <v>63.88</v>
      </c>
      <c r="M1280">
        <v>45</v>
      </c>
      <c r="N1280">
        <v>26.97</v>
      </c>
      <c r="O1280">
        <v>67</v>
      </c>
      <c r="P1280">
        <v>-17.010000000000002</v>
      </c>
      <c r="Q1280">
        <v>80</v>
      </c>
      <c r="R1280">
        <v>10.08</v>
      </c>
      <c r="S1280">
        <v>45</v>
      </c>
      <c r="T1280">
        <v>22.04</v>
      </c>
      <c r="U1280">
        <v>59</v>
      </c>
      <c r="V1280">
        <v>-7.97</v>
      </c>
      <c r="W1280">
        <v>31</v>
      </c>
      <c r="X1280" t="s">
        <v>102</v>
      </c>
      <c r="Y1280" t="s">
        <v>1976</v>
      </c>
      <c r="Z1280">
        <v>0</v>
      </c>
      <c r="AA1280" t="s">
        <v>12849</v>
      </c>
      <c r="AB1280" t="s">
        <v>13311</v>
      </c>
      <c r="AC1280">
        <v>15</v>
      </c>
      <c r="AD1280">
        <v>8</v>
      </c>
      <c r="AE1280">
        <v>76</v>
      </c>
      <c r="AF1280">
        <v>-13.13</v>
      </c>
      <c r="AG1280">
        <v>-2.46</v>
      </c>
      <c r="AH1280">
        <v>4.87</v>
      </c>
      <c r="AI1280">
        <v>-0.03</v>
      </c>
      <c r="AJ1280">
        <v>0.09</v>
      </c>
      <c r="AK1280">
        <v>45</v>
      </c>
      <c r="AL1280">
        <v>22</v>
      </c>
      <c r="AM1280">
        <v>13</v>
      </c>
      <c r="AN1280">
        <v>-3.04</v>
      </c>
      <c r="AO1280">
        <v>2.06</v>
      </c>
      <c r="AP1280">
        <v>66</v>
      </c>
      <c r="AQ1280">
        <v>0</v>
      </c>
      <c r="AR1280">
        <v>3.97</v>
      </c>
      <c r="AS1280">
        <v>57</v>
      </c>
      <c r="AT1280">
        <v>1.87</v>
      </c>
      <c r="AU1280">
        <v>62</v>
      </c>
      <c r="AV1280">
        <v>-1.54</v>
      </c>
      <c r="AW1280">
        <v>88</v>
      </c>
      <c r="AX1280">
        <v>-0.27</v>
      </c>
      <c r="AY1280">
        <v>56</v>
      </c>
      <c r="AZ1280">
        <v>7.34</v>
      </c>
      <c r="BA1280">
        <v>37</v>
      </c>
      <c r="BB1280">
        <v>5.32</v>
      </c>
      <c r="BC1280">
        <v>36</v>
      </c>
      <c r="BD1280">
        <v>-0.04</v>
      </c>
      <c r="BE1280">
        <v>-0.05</v>
      </c>
      <c r="BF1280">
        <v>-7.0000000000000007E-2</v>
      </c>
      <c r="BG1280">
        <v>53</v>
      </c>
      <c r="BH1280">
        <v>-0.2</v>
      </c>
      <c r="BI1280">
        <v>2.58</v>
      </c>
      <c r="BJ1280">
        <v>0</v>
      </c>
      <c r="BK1280">
        <v>0</v>
      </c>
      <c r="BL1280">
        <v>-1.85</v>
      </c>
      <c r="BM1280">
        <v>1.06</v>
      </c>
      <c r="BN1280">
        <v>-1.48</v>
      </c>
      <c r="BO1280">
        <v>-1.81</v>
      </c>
      <c r="BP1280">
        <v>0.19</v>
      </c>
      <c r="BQ1280">
        <v>-1.32</v>
      </c>
      <c r="BR1280">
        <v>1.19</v>
      </c>
      <c r="BS1280">
        <v>0.22</v>
      </c>
      <c r="BT1280">
        <v>-1.2</v>
      </c>
      <c r="BU1280">
        <v>-1.32</v>
      </c>
      <c r="BV1280">
        <v>-2.1800000000000002</v>
      </c>
      <c r="BW1280">
        <v>-1.72</v>
      </c>
      <c r="BX1280">
        <v>-1.35</v>
      </c>
      <c r="BY1280">
        <v>-1.05</v>
      </c>
      <c r="BZ1280">
        <v>-1.8</v>
      </c>
      <c r="CA1280">
        <v>-1.56</v>
      </c>
      <c r="CB1280">
        <v>-1.62</v>
      </c>
      <c r="CC1280">
        <v>-0.9</v>
      </c>
      <c r="CD1280">
        <v>1.1399999999999999</v>
      </c>
      <c r="CE1280">
        <v>-1.78</v>
      </c>
      <c r="CF1280">
        <v>-2.25</v>
      </c>
      <c r="CG1280">
        <v>0</v>
      </c>
      <c r="CH1280">
        <v>-1.51</v>
      </c>
      <c r="CI1280">
        <v>0</v>
      </c>
      <c r="CJ1280">
        <v>-7.2</v>
      </c>
      <c r="CK1280">
        <v>83</v>
      </c>
      <c r="CL1280">
        <v>-0.6</v>
      </c>
      <c r="CM1280">
        <v>79</v>
      </c>
      <c r="CN1280">
        <v>-0.11</v>
      </c>
      <c r="CO1280">
        <v>77</v>
      </c>
      <c r="CP1280">
        <v>-14.5</v>
      </c>
      <c r="CQ1280">
        <v>61</v>
      </c>
      <c r="CR1280">
        <v>0</v>
      </c>
      <c r="CS1280">
        <v>0</v>
      </c>
      <c r="CT1280">
        <v>-16</v>
      </c>
      <c r="CU1280">
        <v>59</v>
      </c>
      <c r="CV1280">
        <v>-0.03</v>
      </c>
      <c r="CW1280">
        <v>23</v>
      </c>
      <c r="CX1280" t="s">
        <v>4511</v>
      </c>
    </row>
    <row r="1281" spans="1:102" x14ac:dyDescent="0.3">
      <c r="A1281" t="str">
        <f>HYPERLINK("https://webapp.icbf.com/v2/app/bull-search/view/821941090","DWS")</f>
        <v>DWS</v>
      </c>
      <c r="B1281" t="s">
        <v>6536</v>
      </c>
      <c r="C1281" t="s">
        <v>6537</v>
      </c>
      <c r="D1281" s="1">
        <v>40442</v>
      </c>
      <c r="E1281" t="s">
        <v>108</v>
      </c>
      <c r="F1281">
        <v>0</v>
      </c>
      <c r="G1281" t="s">
        <v>93</v>
      </c>
      <c r="H1281">
        <v>122.39</v>
      </c>
      <c r="I1281">
        <v>88</v>
      </c>
      <c r="J1281">
        <v>-5.61</v>
      </c>
      <c r="K1281">
        <v>98</v>
      </c>
      <c r="L1281">
        <v>111.72</v>
      </c>
      <c r="M1281">
        <v>80</v>
      </c>
      <c r="N1281">
        <v>-3.28</v>
      </c>
      <c r="O1281">
        <v>90</v>
      </c>
      <c r="P1281">
        <v>-10.5</v>
      </c>
      <c r="Q1281">
        <v>96</v>
      </c>
      <c r="R1281">
        <v>11.58</v>
      </c>
      <c r="S1281">
        <v>79</v>
      </c>
      <c r="T1281">
        <v>17.16</v>
      </c>
      <c r="U1281">
        <v>84</v>
      </c>
      <c r="V1281">
        <v>1.32</v>
      </c>
      <c r="W1281">
        <v>75</v>
      </c>
      <c r="X1281" t="s">
        <v>102</v>
      </c>
      <c r="Y1281" t="s">
        <v>1860</v>
      </c>
      <c r="Z1281" t="s">
        <v>96</v>
      </c>
      <c r="AA1281" t="s">
        <v>4026</v>
      </c>
      <c r="AB1281" t="s">
        <v>5422</v>
      </c>
      <c r="AC1281">
        <v>200</v>
      </c>
      <c r="AD1281">
        <v>90</v>
      </c>
      <c r="AE1281">
        <v>98</v>
      </c>
      <c r="AF1281">
        <v>-25.01</v>
      </c>
      <c r="AG1281">
        <v>-3.27</v>
      </c>
      <c r="AH1281">
        <v>-0.18</v>
      </c>
      <c r="AI1281">
        <v>-0.04</v>
      </c>
      <c r="AJ1281">
        <v>0.01</v>
      </c>
      <c r="AK1281">
        <v>80</v>
      </c>
      <c r="AL1281">
        <v>157</v>
      </c>
      <c r="AM1281">
        <v>86</v>
      </c>
      <c r="AN1281">
        <v>-5.28</v>
      </c>
      <c r="AO1281">
        <v>3.64</v>
      </c>
      <c r="AP1281">
        <v>509</v>
      </c>
      <c r="AQ1281">
        <v>3</v>
      </c>
      <c r="AR1281">
        <v>7.32</v>
      </c>
      <c r="AS1281">
        <v>78</v>
      </c>
      <c r="AT1281">
        <v>3.17</v>
      </c>
      <c r="AU1281">
        <v>93</v>
      </c>
      <c r="AV1281">
        <v>1.1599999999999999</v>
      </c>
      <c r="AW1281">
        <v>98</v>
      </c>
      <c r="AX1281">
        <v>-0.45</v>
      </c>
      <c r="AY1281">
        <v>90</v>
      </c>
      <c r="AZ1281">
        <v>5.44</v>
      </c>
      <c r="BA1281">
        <v>77</v>
      </c>
      <c r="BB1281">
        <v>4.37</v>
      </c>
      <c r="BC1281">
        <v>71</v>
      </c>
      <c r="BD1281">
        <v>0.01</v>
      </c>
      <c r="BE1281">
        <v>-7.0000000000000007E-2</v>
      </c>
      <c r="BF1281">
        <v>-0.15</v>
      </c>
      <c r="BG1281">
        <v>91</v>
      </c>
      <c r="BH1281">
        <v>-0.1</v>
      </c>
      <c r="BI1281">
        <v>-15.83</v>
      </c>
      <c r="BJ1281">
        <v>8</v>
      </c>
      <c r="BK1281">
        <v>6</v>
      </c>
      <c r="BL1281">
        <v>-2.8</v>
      </c>
      <c r="BM1281">
        <v>1.05</v>
      </c>
      <c r="BN1281">
        <v>-2.52</v>
      </c>
      <c r="BO1281">
        <v>-2.39</v>
      </c>
      <c r="BP1281">
        <v>1.53</v>
      </c>
      <c r="BQ1281">
        <v>2.39</v>
      </c>
      <c r="BR1281">
        <v>-0.71</v>
      </c>
      <c r="BS1281">
        <v>0.42</v>
      </c>
      <c r="BT1281">
        <v>-0.8</v>
      </c>
      <c r="BU1281">
        <v>-2.44</v>
      </c>
      <c r="BV1281">
        <v>-3.81</v>
      </c>
      <c r="BW1281">
        <v>-2.93</v>
      </c>
      <c r="BX1281">
        <v>-1.7</v>
      </c>
      <c r="BY1281">
        <v>-1.1299999999999999</v>
      </c>
      <c r="BZ1281">
        <v>0.04</v>
      </c>
      <c r="CA1281">
        <v>-2.08</v>
      </c>
      <c r="CB1281">
        <v>-2.77</v>
      </c>
      <c r="CC1281">
        <v>-0.3</v>
      </c>
      <c r="CD1281">
        <v>2.23</v>
      </c>
      <c r="CE1281">
        <v>-2.2799999999999998</v>
      </c>
      <c r="CF1281">
        <v>-0.97</v>
      </c>
      <c r="CG1281">
        <v>0</v>
      </c>
      <c r="CH1281">
        <v>-0.12</v>
      </c>
      <c r="CI1281">
        <v>0</v>
      </c>
      <c r="CJ1281">
        <v>-8</v>
      </c>
      <c r="CK1281">
        <v>97</v>
      </c>
      <c r="CL1281">
        <v>-0.17</v>
      </c>
      <c r="CM1281">
        <v>97</v>
      </c>
      <c r="CN1281">
        <v>-0.27</v>
      </c>
      <c r="CO1281">
        <v>96</v>
      </c>
      <c r="CP1281">
        <v>-5.8</v>
      </c>
      <c r="CQ1281">
        <v>85</v>
      </c>
      <c r="CR1281">
        <v>0</v>
      </c>
      <c r="CS1281">
        <v>0</v>
      </c>
      <c r="CT1281">
        <v>-9.4</v>
      </c>
      <c r="CU1281">
        <v>84</v>
      </c>
      <c r="CV1281">
        <v>-0.06</v>
      </c>
      <c r="CW1281">
        <v>45</v>
      </c>
      <c r="CX1281" t="s">
        <v>2778</v>
      </c>
    </row>
    <row r="1282" spans="1:102" x14ac:dyDescent="0.3">
      <c r="A1282" t="str">
        <f>HYPERLINK("https://webapp.icbf.com/v2/app/bull-search/view/945821783","EGS")</f>
        <v>EGS</v>
      </c>
      <c r="B1282" t="s">
        <v>5891</v>
      </c>
      <c r="C1282" t="s">
        <v>5892</v>
      </c>
      <c r="D1282" s="1">
        <v>40930</v>
      </c>
      <c r="E1282" t="s">
        <v>108</v>
      </c>
      <c r="F1282">
        <v>25</v>
      </c>
      <c r="G1282" t="s">
        <v>93</v>
      </c>
      <c r="H1282">
        <v>122.31</v>
      </c>
      <c r="I1282">
        <v>87</v>
      </c>
      <c r="J1282">
        <v>-3.32</v>
      </c>
      <c r="K1282">
        <v>97</v>
      </c>
      <c r="L1282">
        <v>85.92</v>
      </c>
      <c r="M1282">
        <v>79</v>
      </c>
      <c r="N1282">
        <v>43.28</v>
      </c>
      <c r="O1282">
        <v>90</v>
      </c>
      <c r="P1282">
        <v>-18.440000000000001</v>
      </c>
      <c r="Q1282">
        <v>97</v>
      </c>
      <c r="R1282">
        <v>8.0500000000000007</v>
      </c>
      <c r="S1282">
        <v>77</v>
      </c>
      <c r="T1282">
        <v>2.95</v>
      </c>
      <c r="U1282">
        <v>83</v>
      </c>
      <c r="V1282">
        <v>3.87</v>
      </c>
      <c r="W1282">
        <v>73</v>
      </c>
      <c r="X1282" t="s">
        <v>94</v>
      </c>
      <c r="Y1282" t="s">
        <v>1976</v>
      </c>
      <c r="Z1282" t="s">
        <v>96</v>
      </c>
      <c r="AA1282" t="s">
        <v>5893</v>
      </c>
      <c r="AB1282" t="s">
        <v>5894</v>
      </c>
      <c r="AC1282">
        <v>167</v>
      </c>
      <c r="AD1282">
        <v>81</v>
      </c>
      <c r="AE1282">
        <v>97</v>
      </c>
      <c r="AF1282">
        <v>-204.07</v>
      </c>
      <c r="AG1282">
        <v>-4.1500000000000004</v>
      </c>
      <c r="AH1282">
        <v>-2.2200000000000002</v>
      </c>
      <c r="AI1282">
        <v>7.0000000000000007E-2</v>
      </c>
      <c r="AJ1282">
        <v>0.09</v>
      </c>
      <c r="AK1282">
        <v>79</v>
      </c>
      <c r="AL1282">
        <v>187</v>
      </c>
      <c r="AM1282">
        <v>90</v>
      </c>
      <c r="AN1282">
        <v>-4.84</v>
      </c>
      <c r="AO1282">
        <v>2.0099999999999998</v>
      </c>
      <c r="AP1282">
        <v>629</v>
      </c>
      <c r="AQ1282">
        <v>4</v>
      </c>
      <c r="AR1282">
        <v>5.79</v>
      </c>
      <c r="AS1282">
        <v>89</v>
      </c>
      <c r="AT1282">
        <v>2.08</v>
      </c>
      <c r="AU1282">
        <v>94</v>
      </c>
      <c r="AV1282">
        <v>-3.88</v>
      </c>
      <c r="AW1282">
        <v>99</v>
      </c>
      <c r="AX1282">
        <v>-0.98</v>
      </c>
      <c r="AY1282">
        <v>94</v>
      </c>
      <c r="AZ1282">
        <v>6.78</v>
      </c>
      <c r="BA1282">
        <v>75</v>
      </c>
      <c r="BB1282">
        <v>5.36</v>
      </c>
      <c r="BC1282">
        <v>60</v>
      </c>
      <c r="BD1282">
        <v>-0.03</v>
      </c>
      <c r="BE1282">
        <v>-0.05</v>
      </c>
      <c r="BF1282">
        <v>-0.04</v>
      </c>
      <c r="BG1282">
        <v>88</v>
      </c>
      <c r="BH1282">
        <v>0.14000000000000001</v>
      </c>
      <c r="BI1282">
        <v>3.72</v>
      </c>
      <c r="BJ1282">
        <v>3</v>
      </c>
      <c r="BK1282">
        <v>2</v>
      </c>
      <c r="BL1282">
        <v>-1.89</v>
      </c>
      <c r="BM1282">
        <v>2.41</v>
      </c>
      <c r="BN1282">
        <v>-1.31</v>
      </c>
      <c r="BO1282">
        <v>-2.12</v>
      </c>
      <c r="BP1282">
        <v>-0.22</v>
      </c>
      <c r="BQ1282">
        <v>2.4500000000000002</v>
      </c>
      <c r="BR1282">
        <v>-1.1499999999999999</v>
      </c>
      <c r="BS1282">
        <v>0.5</v>
      </c>
      <c r="BT1282">
        <v>1.51</v>
      </c>
      <c r="BU1282">
        <v>-2</v>
      </c>
      <c r="BV1282">
        <v>-2.1</v>
      </c>
      <c r="BW1282">
        <v>-0.49</v>
      </c>
      <c r="BX1282">
        <v>-1.23</v>
      </c>
      <c r="BY1282">
        <v>0.23</v>
      </c>
      <c r="BZ1282">
        <v>-1.46</v>
      </c>
      <c r="CA1282">
        <v>-1.64</v>
      </c>
      <c r="CB1282">
        <v>-1.85</v>
      </c>
      <c r="CC1282">
        <v>-0.18</v>
      </c>
      <c r="CD1282">
        <v>2.09</v>
      </c>
      <c r="CE1282">
        <v>-2.4</v>
      </c>
      <c r="CF1282">
        <v>-0.56999999999999995</v>
      </c>
      <c r="CG1282">
        <v>0</v>
      </c>
      <c r="CH1282">
        <v>-0.95</v>
      </c>
      <c r="CI1282">
        <v>0</v>
      </c>
      <c r="CJ1282">
        <v>-10.8</v>
      </c>
      <c r="CK1282">
        <v>98</v>
      </c>
      <c r="CL1282">
        <v>-0.42</v>
      </c>
      <c r="CM1282">
        <v>97</v>
      </c>
      <c r="CN1282">
        <v>-0.13</v>
      </c>
      <c r="CO1282">
        <v>97</v>
      </c>
      <c r="CP1282">
        <v>-4.8</v>
      </c>
      <c r="CQ1282">
        <v>84</v>
      </c>
      <c r="CR1282">
        <v>0</v>
      </c>
      <c r="CS1282">
        <v>0</v>
      </c>
      <c r="CT1282">
        <v>9.8000000000000007</v>
      </c>
      <c r="CU1282">
        <v>83</v>
      </c>
      <c r="CV1282">
        <v>0.01</v>
      </c>
      <c r="CW1282">
        <v>45</v>
      </c>
      <c r="CX1282" t="s">
        <v>5895</v>
      </c>
    </row>
    <row r="1283" spans="1:102" x14ac:dyDescent="0.3">
      <c r="A1283" t="str">
        <f>HYPERLINK("https://webapp.icbf.com/v2/app/bull-search/view/1306331981","JE4134")</f>
        <v>JE4134</v>
      </c>
      <c r="B1283" t="s">
        <v>15612</v>
      </c>
      <c r="C1283" t="s">
        <v>15613</v>
      </c>
      <c r="D1283" s="1">
        <v>40835</v>
      </c>
      <c r="E1283" t="s">
        <v>227</v>
      </c>
      <c r="F1283">
        <v>0</v>
      </c>
      <c r="G1283" t="s">
        <v>109</v>
      </c>
      <c r="H1283">
        <v>122.2</v>
      </c>
      <c r="I1283">
        <v>48</v>
      </c>
      <c r="J1283">
        <v>69.459999999999994</v>
      </c>
      <c r="K1283">
        <v>65</v>
      </c>
      <c r="L1283">
        <v>52.68</v>
      </c>
      <c r="M1283">
        <v>47</v>
      </c>
      <c r="N1283">
        <v>-22.45</v>
      </c>
      <c r="O1283">
        <v>50</v>
      </c>
      <c r="P1283">
        <v>-66.099999999999994</v>
      </c>
      <c r="Q1283">
        <v>26</v>
      </c>
      <c r="R1283">
        <v>10.89</v>
      </c>
      <c r="S1283">
        <v>27</v>
      </c>
      <c r="T1283">
        <v>71.180000000000007</v>
      </c>
      <c r="U1283">
        <v>25</v>
      </c>
      <c r="V1283">
        <v>6.54</v>
      </c>
      <c r="W1283">
        <v>26</v>
      </c>
      <c r="X1283" t="s">
        <v>94</v>
      </c>
      <c r="Y1283" t="s">
        <v>1775</v>
      </c>
      <c r="Z1283">
        <v>0</v>
      </c>
      <c r="AA1283" t="s">
        <v>2021</v>
      </c>
      <c r="AB1283" t="s">
        <v>144</v>
      </c>
      <c r="AC1283">
        <v>0</v>
      </c>
      <c r="AD1283">
        <v>0</v>
      </c>
      <c r="AE1283">
        <v>65</v>
      </c>
      <c r="AF1283">
        <v>-478.06</v>
      </c>
      <c r="AG1283">
        <v>16.100000000000001</v>
      </c>
      <c r="AH1283">
        <v>-1.2</v>
      </c>
      <c r="AI1283">
        <v>0.62</v>
      </c>
      <c r="AJ1283">
        <v>0.27</v>
      </c>
      <c r="AK1283">
        <v>47</v>
      </c>
      <c r="AL1283">
        <v>0</v>
      </c>
      <c r="AM1283">
        <v>0</v>
      </c>
      <c r="AN1283">
        <v>-1.39</v>
      </c>
      <c r="AO1283">
        <v>2.83</v>
      </c>
      <c r="AP1283">
        <v>16</v>
      </c>
      <c r="AQ1283">
        <v>3</v>
      </c>
      <c r="AR1283">
        <v>4.03</v>
      </c>
      <c r="AS1283">
        <v>28</v>
      </c>
      <c r="AT1283">
        <v>2.12</v>
      </c>
      <c r="AU1283">
        <v>39</v>
      </c>
      <c r="AV1283">
        <v>1.9</v>
      </c>
      <c r="AW1283">
        <v>77</v>
      </c>
      <c r="AX1283">
        <v>8.6</v>
      </c>
      <c r="AY1283">
        <v>38</v>
      </c>
      <c r="AZ1283">
        <v>6.45</v>
      </c>
      <c r="BA1283">
        <v>24</v>
      </c>
      <c r="BB1283">
        <v>5.13</v>
      </c>
      <c r="BC1283">
        <v>18</v>
      </c>
      <c r="BD1283">
        <v>-0.08</v>
      </c>
      <c r="BE1283">
        <v>-0.03</v>
      </c>
      <c r="BF1283">
        <v>-0.06</v>
      </c>
      <c r="BG1283">
        <v>31</v>
      </c>
      <c r="BH1283">
        <v>0.08</v>
      </c>
      <c r="BI1283">
        <v>-11.83</v>
      </c>
      <c r="BJ1283">
        <v>0</v>
      </c>
      <c r="BK1283">
        <v>0</v>
      </c>
      <c r="BL1283">
        <v>-1.3</v>
      </c>
      <c r="BM1283">
        <v>-2.09</v>
      </c>
      <c r="BN1283">
        <v>-0.3</v>
      </c>
      <c r="BO1283">
        <v>1.62</v>
      </c>
      <c r="BP1283">
        <v>0.54</v>
      </c>
      <c r="BQ1283">
        <v>-6.02</v>
      </c>
      <c r="BR1283">
        <v>2.13</v>
      </c>
      <c r="BS1283">
        <v>6.34</v>
      </c>
      <c r="BT1283">
        <v>-1.04</v>
      </c>
      <c r="BU1283">
        <v>0.64</v>
      </c>
      <c r="BV1283">
        <v>0.59</v>
      </c>
      <c r="BW1283">
        <v>-1.44</v>
      </c>
      <c r="BX1283">
        <v>-2.0699999999999998</v>
      </c>
      <c r="BY1283">
        <v>0.19</v>
      </c>
      <c r="BZ1283">
        <v>-0.12</v>
      </c>
      <c r="CA1283">
        <v>1.97</v>
      </c>
      <c r="CB1283">
        <v>0.55000000000000004</v>
      </c>
      <c r="CC1283">
        <v>3.94</v>
      </c>
      <c r="CD1283">
        <v>-2.5299999999999998</v>
      </c>
      <c r="CE1283">
        <v>1.51</v>
      </c>
      <c r="CF1283">
        <v>-1.41</v>
      </c>
      <c r="CG1283">
        <v>0</v>
      </c>
      <c r="CH1283">
        <v>-0.8</v>
      </c>
      <c r="CI1283">
        <v>0</v>
      </c>
      <c r="CJ1283">
        <v>-35.5</v>
      </c>
      <c r="CK1283">
        <v>28</v>
      </c>
      <c r="CL1283">
        <v>-1.1399999999999999</v>
      </c>
      <c r="CM1283">
        <v>24</v>
      </c>
      <c r="CN1283">
        <v>-0.26</v>
      </c>
      <c r="CO1283">
        <v>24</v>
      </c>
      <c r="CP1283">
        <v>-55.9</v>
      </c>
      <c r="CQ1283">
        <v>25</v>
      </c>
      <c r="CR1283">
        <v>0</v>
      </c>
      <c r="CS1283">
        <v>0</v>
      </c>
      <c r="CT1283">
        <v>-82.4</v>
      </c>
      <c r="CU1283">
        <v>25</v>
      </c>
      <c r="CV1283">
        <v>-0.42</v>
      </c>
      <c r="CW1283">
        <v>8</v>
      </c>
      <c r="CX1283" t="s">
        <v>5972</v>
      </c>
    </row>
    <row r="1284" spans="1:102" x14ac:dyDescent="0.3">
      <c r="A1284" t="str">
        <f>HYPERLINK("https://webapp.icbf.com/v2/app/bull-search/view/1196704977","S3074")</f>
        <v>S3074</v>
      </c>
      <c r="B1284" t="s">
        <v>9339</v>
      </c>
      <c r="C1284" t="s">
        <v>9340</v>
      </c>
      <c r="D1284" s="1">
        <v>41312</v>
      </c>
      <c r="E1284" t="s">
        <v>92</v>
      </c>
      <c r="F1284">
        <v>100</v>
      </c>
      <c r="G1284" t="s">
        <v>109</v>
      </c>
      <c r="H1284">
        <v>122.05</v>
      </c>
      <c r="I1284">
        <v>59</v>
      </c>
      <c r="J1284">
        <v>74.7</v>
      </c>
      <c r="K1284">
        <v>77</v>
      </c>
      <c r="L1284">
        <v>21.12</v>
      </c>
      <c r="M1284">
        <v>74</v>
      </c>
      <c r="N1284">
        <v>30.1</v>
      </c>
      <c r="O1284">
        <v>32</v>
      </c>
      <c r="P1284">
        <v>-5.88</v>
      </c>
      <c r="Q1284">
        <v>23</v>
      </c>
      <c r="R1284">
        <v>1.07</v>
      </c>
      <c r="S1284">
        <v>53</v>
      </c>
      <c r="T1284">
        <v>-0.31</v>
      </c>
      <c r="U1284">
        <v>16</v>
      </c>
      <c r="V1284">
        <v>1.25</v>
      </c>
      <c r="W1284">
        <v>10</v>
      </c>
      <c r="X1284" t="s">
        <v>110</v>
      </c>
      <c r="Y1284" t="s">
        <v>411</v>
      </c>
      <c r="Z1284" t="s">
        <v>96</v>
      </c>
      <c r="AA1284" t="s">
        <v>5847</v>
      </c>
      <c r="AB1284" t="s">
        <v>9341</v>
      </c>
      <c r="AC1284">
        <v>0</v>
      </c>
      <c r="AD1284">
        <v>0</v>
      </c>
      <c r="AE1284">
        <v>77</v>
      </c>
      <c r="AF1284">
        <v>576.91999999999996</v>
      </c>
      <c r="AG1284">
        <v>13.75</v>
      </c>
      <c r="AH1284">
        <v>16.670000000000002</v>
      </c>
      <c r="AI1284">
        <v>-0.13</v>
      </c>
      <c r="AJ1284">
        <v>-0.05</v>
      </c>
      <c r="AK1284">
        <v>74</v>
      </c>
      <c r="AL1284">
        <v>0</v>
      </c>
      <c r="AM1284">
        <v>0</v>
      </c>
      <c r="AN1284">
        <v>-0.73</v>
      </c>
      <c r="AO1284">
        <v>0.96</v>
      </c>
      <c r="AP1284">
        <v>1</v>
      </c>
      <c r="AQ1284">
        <v>0</v>
      </c>
      <c r="AR1284">
        <v>6.9</v>
      </c>
      <c r="AS1284">
        <v>18</v>
      </c>
      <c r="AT1284">
        <v>2.93</v>
      </c>
      <c r="AU1284">
        <v>85</v>
      </c>
      <c r="AV1284">
        <v>-3.33</v>
      </c>
      <c r="AW1284">
        <v>16</v>
      </c>
      <c r="AX1284">
        <v>0.35</v>
      </c>
      <c r="AY1284">
        <v>15</v>
      </c>
      <c r="AZ1284">
        <v>6.13</v>
      </c>
      <c r="BA1284">
        <v>13</v>
      </c>
      <c r="BB1284">
        <v>4.87</v>
      </c>
      <c r="BC1284">
        <v>10</v>
      </c>
      <c r="BD1284">
        <v>-0.01</v>
      </c>
      <c r="BE1284">
        <v>-0.02</v>
      </c>
      <c r="BF1284">
        <v>0.03</v>
      </c>
      <c r="BG1284">
        <v>86</v>
      </c>
      <c r="BH1284">
        <v>-0.01</v>
      </c>
      <c r="BI1284">
        <v>-5.19</v>
      </c>
      <c r="BJ1284">
        <v>0</v>
      </c>
      <c r="BK1284">
        <v>0</v>
      </c>
      <c r="BL1284">
        <v>2.16</v>
      </c>
      <c r="BM1284">
        <v>-0.39</v>
      </c>
      <c r="BN1284">
        <v>0.13</v>
      </c>
      <c r="BO1284">
        <v>1.02</v>
      </c>
      <c r="BP1284">
        <v>1.17</v>
      </c>
      <c r="BQ1284">
        <v>1.55</v>
      </c>
      <c r="BR1284">
        <v>0.03</v>
      </c>
      <c r="BS1284">
        <v>1.25</v>
      </c>
      <c r="BT1284">
        <v>0.45</v>
      </c>
      <c r="BU1284">
        <v>1.92</v>
      </c>
      <c r="BV1284">
        <v>3.37</v>
      </c>
      <c r="BW1284">
        <v>2.16</v>
      </c>
      <c r="BX1284">
        <v>2.13</v>
      </c>
      <c r="BY1284">
        <v>-0.49</v>
      </c>
      <c r="BZ1284">
        <v>0.83</v>
      </c>
      <c r="CA1284">
        <v>2.2599999999999998</v>
      </c>
      <c r="CB1284">
        <v>2.16</v>
      </c>
      <c r="CC1284">
        <v>1.31</v>
      </c>
      <c r="CD1284">
        <v>0.01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-0.3</v>
      </c>
      <c r="CK1284">
        <v>24</v>
      </c>
      <c r="CL1284">
        <v>-1.1399999999999999</v>
      </c>
      <c r="CM1284">
        <v>22</v>
      </c>
      <c r="CN1284">
        <v>-0.56000000000000005</v>
      </c>
      <c r="CO1284">
        <v>20</v>
      </c>
      <c r="CP1284">
        <v>-1.7</v>
      </c>
      <c r="CQ1284">
        <v>21</v>
      </c>
      <c r="CR1284">
        <v>0</v>
      </c>
      <c r="CS1284">
        <v>0</v>
      </c>
      <c r="CT1284">
        <v>14.2</v>
      </c>
      <c r="CU1284">
        <v>16</v>
      </c>
      <c r="CV1284">
        <v>0.39</v>
      </c>
      <c r="CW1284">
        <v>6</v>
      </c>
      <c r="CX1284" t="s">
        <v>2693</v>
      </c>
    </row>
    <row r="1285" spans="1:102" x14ac:dyDescent="0.3">
      <c r="A1285" t="str">
        <f>HYPERLINK("https://webapp.icbf.com/v2/app/bull-search/view/867774412","OBH")</f>
        <v>OBH</v>
      </c>
      <c r="B1285" t="s">
        <v>13101</v>
      </c>
      <c r="C1285" t="s">
        <v>13102</v>
      </c>
      <c r="D1285" s="1">
        <v>40609</v>
      </c>
      <c r="E1285" t="s">
        <v>92</v>
      </c>
      <c r="F1285">
        <v>66</v>
      </c>
      <c r="G1285" t="s">
        <v>93</v>
      </c>
      <c r="H1285">
        <v>122.05</v>
      </c>
      <c r="I1285">
        <v>88</v>
      </c>
      <c r="J1285">
        <v>82.76</v>
      </c>
      <c r="K1285">
        <v>98</v>
      </c>
      <c r="L1285">
        <v>5.94</v>
      </c>
      <c r="M1285">
        <v>80</v>
      </c>
      <c r="N1285">
        <v>43.99</v>
      </c>
      <c r="O1285">
        <v>90</v>
      </c>
      <c r="P1285">
        <v>-21.93</v>
      </c>
      <c r="Q1285">
        <v>96</v>
      </c>
      <c r="R1285">
        <v>-6.5</v>
      </c>
      <c r="S1285">
        <v>80</v>
      </c>
      <c r="T1285">
        <v>10.79</v>
      </c>
      <c r="U1285">
        <v>85</v>
      </c>
      <c r="V1285">
        <v>7</v>
      </c>
      <c r="W1285">
        <v>74</v>
      </c>
      <c r="X1285" t="s">
        <v>102</v>
      </c>
      <c r="Y1285" t="s">
        <v>1860</v>
      </c>
      <c r="Z1285" t="s">
        <v>330</v>
      </c>
      <c r="AA1285" t="s">
        <v>392</v>
      </c>
      <c r="AB1285" t="s">
        <v>13103</v>
      </c>
      <c r="AC1285">
        <v>172</v>
      </c>
      <c r="AD1285">
        <v>50</v>
      </c>
      <c r="AE1285">
        <v>98</v>
      </c>
      <c r="AF1285">
        <v>191.56</v>
      </c>
      <c r="AG1285">
        <v>13.9</v>
      </c>
      <c r="AH1285">
        <v>12.09</v>
      </c>
      <c r="AI1285">
        <v>0.11</v>
      </c>
      <c r="AJ1285">
        <v>0.09</v>
      </c>
      <c r="AK1285">
        <v>80</v>
      </c>
      <c r="AL1285">
        <v>208</v>
      </c>
      <c r="AM1285">
        <v>64</v>
      </c>
      <c r="AN1285">
        <v>0.97</v>
      </c>
      <c r="AO1285">
        <v>1.46</v>
      </c>
      <c r="AP1285">
        <v>529</v>
      </c>
      <c r="AQ1285">
        <v>1</v>
      </c>
      <c r="AR1285">
        <v>5.33</v>
      </c>
      <c r="AS1285">
        <v>89</v>
      </c>
      <c r="AT1285">
        <v>2.29</v>
      </c>
      <c r="AU1285">
        <v>92</v>
      </c>
      <c r="AV1285">
        <v>-3.25</v>
      </c>
      <c r="AW1285">
        <v>98</v>
      </c>
      <c r="AX1285">
        <v>-0.44</v>
      </c>
      <c r="AY1285">
        <v>91</v>
      </c>
      <c r="AZ1285">
        <v>5.15</v>
      </c>
      <c r="BA1285">
        <v>72</v>
      </c>
      <c r="BB1285">
        <v>4.26</v>
      </c>
      <c r="BC1285">
        <v>68</v>
      </c>
      <c r="BD1285">
        <v>-0.01</v>
      </c>
      <c r="BE1285">
        <v>0.04</v>
      </c>
      <c r="BF1285">
        <v>0.09</v>
      </c>
      <c r="BG1285">
        <v>91</v>
      </c>
      <c r="BH1285">
        <v>-7.0000000000000007E-2</v>
      </c>
      <c r="BI1285">
        <v>-30.69</v>
      </c>
      <c r="BJ1285">
        <v>5</v>
      </c>
      <c r="BK1285">
        <v>2</v>
      </c>
      <c r="BL1285">
        <v>-1.66</v>
      </c>
      <c r="BM1285">
        <v>-1.89</v>
      </c>
      <c r="BN1285">
        <v>-1.83</v>
      </c>
      <c r="BO1285">
        <v>-7.0000000000000007E-2</v>
      </c>
      <c r="BP1285">
        <v>3.81</v>
      </c>
      <c r="BQ1285">
        <v>-3.37</v>
      </c>
      <c r="BR1285">
        <v>2.5299999999999998</v>
      </c>
      <c r="BS1285">
        <v>0.45</v>
      </c>
      <c r="BT1285">
        <v>-2.68</v>
      </c>
      <c r="BU1285">
        <v>-1.48</v>
      </c>
      <c r="BV1285">
        <v>-1.1499999999999999</v>
      </c>
      <c r="BW1285">
        <v>-2.33</v>
      </c>
      <c r="BX1285">
        <v>-1.1100000000000001</v>
      </c>
      <c r="BY1285">
        <v>-1.33</v>
      </c>
      <c r="BZ1285">
        <v>-0.31</v>
      </c>
      <c r="CA1285">
        <v>-0.86</v>
      </c>
      <c r="CB1285">
        <v>-1.32</v>
      </c>
      <c r="CC1285">
        <v>0.32</v>
      </c>
      <c r="CD1285">
        <v>-0.66</v>
      </c>
      <c r="CE1285">
        <v>0</v>
      </c>
      <c r="CF1285">
        <v>-1.61</v>
      </c>
      <c r="CG1285">
        <v>0</v>
      </c>
      <c r="CH1285">
        <v>-2.41</v>
      </c>
      <c r="CI1285">
        <v>0</v>
      </c>
      <c r="CJ1285">
        <v>-10.8</v>
      </c>
      <c r="CK1285">
        <v>97</v>
      </c>
      <c r="CL1285">
        <v>-0.94</v>
      </c>
      <c r="CM1285">
        <v>96</v>
      </c>
      <c r="CN1285">
        <v>-0.34</v>
      </c>
      <c r="CO1285">
        <v>96</v>
      </c>
      <c r="CP1285">
        <v>-8.6999999999999993</v>
      </c>
      <c r="CQ1285">
        <v>87</v>
      </c>
      <c r="CR1285">
        <v>0</v>
      </c>
      <c r="CS1285">
        <v>0</v>
      </c>
      <c r="CT1285">
        <v>-0.8</v>
      </c>
      <c r="CU1285">
        <v>85</v>
      </c>
      <c r="CV1285">
        <v>0.1</v>
      </c>
      <c r="CW1285">
        <v>46</v>
      </c>
      <c r="CX1285" t="s">
        <v>2159</v>
      </c>
    </row>
    <row r="1286" spans="1:102" x14ac:dyDescent="0.3">
      <c r="A1286" t="str">
        <f>HYPERLINK("https://webapp.icbf.com/v2/app/bull-search/view/1600739247","S3302")</f>
        <v>S3302</v>
      </c>
      <c r="B1286" t="s">
        <v>9563</v>
      </c>
      <c r="C1286" t="s">
        <v>9564</v>
      </c>
      <c r="D1286" s="1">
        <v>42558</v>
      </c>
      <c r="E1286" t="s">
        <v>92</v>
      </c>
      <c r="F1286">
        <v>100</v>
      </c>
      <c r="G1286" t="s">
        <v>435</v>
      </c>
      <c r="H1286">
        <v>122.01</v>
      </c>
      <c r="I1286">
        <v>68</v>
      </c>
      <c r="J1286">
        <v>109.41</v>
      </c>
      <c r="K1286">
        <v>88</v>
      </c>
      <c r="L1286">
        <v>-19.7</v>
      </c>
      <c r="M1286">
        <v>65</v>
      </c>
      <c r="N1286">
        <v>25.19</v>
      </c>
      <c r="O1286">
        <v>69</v>
      </c>
      <c r="P1286">
        <v>-2.0699999999999998</v>
      </c>
      <c r="Q1286">
        <v>41</v>
      </c>
      <c r="R1286">
        <v>6.44</v>
      </c>
      <c r="S1286">
        <v>62</v>
      </c>
      <c r="T1286">
        <v>-1.64</v>
      </c>
      <c r="U1286">
        <v>35</v>
      </c>
      <c r="V1286">
        <v>4.38</v>
      </c>
      <c r="W1286">
        <v>52</v>
      </c>
      <c r="X1286" t="s">
        <v>110</v>
      </c>
      <c r="Y1286" t="s">
        <v>2394</v>
      </c>
      <c r="Z1286" t="s">
        <v>96</v>
      </c>
      <c r="AA1286" t="s">
        <v>6024</v>
      </c>
      <c r="AB1286" t="s">
        <v>9565</v>
      </c>
      <c r="AC1286">
        <v>0</v>
      </c>
      <c r="AD1286">
        <v>0</v>
      </c>
      <c r="AE1286">
        <v>88</v>
      </c>
      <c r="AF1286">
        <v>806.91</v>
      </c>
      <c r="AG1286">
        <v>23.88</v>
      </c>
      <c r="AH1286">
        <v>22.51</v>
      </c>
      <c r="AI1286">
        <v>-0.12</v>
      </c>
      <c r="AJ1286">
        <v>-7.0000000000000007E-2</v>
      </c>
      <c r="AK1286">
        <v>65</v>
      </c>
      <c r="AL1286">
        <v>0</v>
      </c>
      <c r="AM1286">
        <v>0</v>
      </c>
      <c r="AN1286">
        <v>4.28</v>
      </c>
      <c r="AO1286">
        <v>2.75</v>
      </c>
      <c r="AP1286">
        <v>22</v>
      </c>
      <c r="AQ1286">
        <v>0</v>
      </c>
      <c r="AR1286">
        <v>10.24</v>
      </c>
      <c r="AS1286">
        <v>54</v>
      </c>
      <c r="AT1286">
        <v>3.21</v>
      </c>
      <c r="AU1286">
        <v>86</v>
      </c>
      <c r="AV1286">
        <v>-3.98</v>
      </c>
      <c r="AW1286">
        <v>80</v>
      </c>
      <c r="AX1286">
        <v>-0.14000000000000001</v>
      </c>
      <c r="AY1286">
        <v>56</v>
      </c>
      <c r="AZ1286">
        <v>6.09</v>
      </c>
      <c r="BA1286">
        <v>34</v>
      </c>
      <c r="BB1286">
        <v>4.8</v>
      </c>
      <c r="BC1286">
        <v>32</v>
      </c>
      <c r="BD1286">
        <v>0</v>
      </c>
      <c r="BE1286">
        <v>-0.02</v>
      </c>
      <c r="BF1286">
        <v>-0.11</v>
      </c>
      <c r="BG1286">
        <v>76</v>
      </c>
      <c r="BH1286">
        <v>0.08</v>
      </c>
      <c r="BI1286">
        <v>-4.8899999999999997</v>
      </c>
      <c r="BJ1286">
        <v>0</v>
      </c>
      <c r="BK1286">
        <v>0</v>
      </c>
      <c r="BL1286">
        <v>0.95</v>
      </c>
      <c r="BM1286">
        <v>-1.43</v>
      </c>
      <c r="BN1286">
        <v>-0.8</v>
      </c>
      <c r="BO1286">
        <v>0.73</v>
      </c>
      <c r="BP1286">
        <v>0.22</v>
      </c>
      <c r="BQ1286">
        <v>-0.81</v>
      </c>
      <c r="BR1286">
        <v>-0.61</v>
      </c>
      <c r="BS1286">
        <v>1.82</v>
      </c>
      <c r="BT1286">
        <v>0.36</v>
      </c>
      <c r="BU1286">
        <v>2.39</v>
      </c>
      <c r="BV1286">
        <v>2.88</v>
      </c>
      <c r="BW1286">
        <v>1.89</v>
      </c>
      <c r="BX1286">
        <v>1.4</v>
      </c>
      <c r="BY1286">
        <v>1.07</v>
      </c>
      <c r="BZ1286">
        <v>2.4</v>
      </c>
      <c r="CA1286">
        <v>2.02</v>
      </c>
      <c r="CB1286">
        <v>2.0099999999999998</v>
      </c>
      <c r="CC1286">
        <v>1.37</v>
      </c>
      <c r="CD1286">
        <v>-0.09</v>
      </c>
      <c r="CE1286">
        <v>0.6</v>
      </c>
      <c r="CF1286">
        <v>0.03</v>
      </c>
      <c r="CG1286">
        <v>0</v>
      </c>
      <c r="CH1286">
        <v>-0.08</v>
      </c>
      <c r="CI1286">
        <v>0</v>
      </c>
      <c r="CJ1286">
        <v>1.1000000000000001</v>
      </c>
      <c r="CK1286">
        <v>42</v>
      </c>
      <c r="CL1286">
        <v>-1.17</v>
      </c>
      <c r="CM1286">
        <v>41</v>
      </c>
      <c r="CN1286">
        <v>-0.7</v>
      </c>
      <c r="CO1286">
        <v>41</v>
      </c>
      <c r="CP1286">
        <v>1.9</v>
      </c>
      <c r="CQ1286">
        <v>36</v>
      </c>
      <c r="CR1286">
        <v>0</v>
      </c>
      <c r="CS1286">
        <v>0</v>
      </c>
      <c r="CT1286">
        <v>16</v>
      </c>
      <c r="CU1286">
        <v>35</v>
      </c>
      <c r="CV1286">
        <v>0.28999999999999998</v>
      </c>
      <c r="CW1286">
        <v>33</v>
      </c>
      <c r="CX1286" t="s">
        <v>465</v>
      </c>
    </row>
    <row r="1287" spans="1:102" x14ac:dyDescent="0.3">
      <c r="A1287" t="str">
        <f>HYPERLINK("https://webapp.icbf.com/v2/app/bull-search/view/667945678","HHT")</f>
        <v>HHT</v>
      </c>
      <c r="B1287" t="s">
        <v>12799</v>
      </c>
      <c r="C1287" t="s">
        <v>12800</v>
      </c>
      <c r="D1287" s="1">
        <v>39847</v>
      </c>
      <c r="E1287" t="s">
        <v>92</v>
      </c>
      <c r="F1287">
        <v>75</v>
      </c>
      <c r="G1287" t="s">
        <v>435</v>
      </c>
      <c r="H1287">
        <v>121.88</v>
      </c>
      <c r="I1287">
        <v>69</v>
      </c>
      <c r="J1287">
        <v>-2.21</v>
      </c>
      <c r="K1287">
        <v>86</v>
      </c>
      <c r="L1287">
        <v>108.3</v>
      </c>
      <c r="M1287">
        <v>64</v>
      </c>
      <c r="N1287">
        <v>25.02</v>
      </c>
      <c r="O1287">
        <v>56</v>
      </c>
      <c r="P1287">
        <v>-17.62</v>
      </c>
      <c r="Q1287">
        <v>60</v>
      </c>
      <c r="R1287">
        <v>-6.25</v>
      </c>
      <c r="S1287">
        <v>64</v>
      </c>
      <c r="T1287">
        <v>18.64</v>
      </c>
      <c r="U1287">
        <v>50</v>
      </c>
      <c r="V1287">
        <v>-4</v>
      </c>
      <c r="W1287">
        <v>59</v>
      </c>
      <c r="X1287" t="s">
        <v>94</v>
      </c>
      <c r="Y1287" t="s">
        <v>1727</v>
      </c>
      <c r="Z1287" t="s">
        <v>96</v>
      </c>
      <c r="AA1287" t="s">
        <v>3069</v>
      </c>
      <c r="AB1287" t="s">
        <v>12801</v>
      </c>
      <c r="AC1287">
        <v>1</v>
      </c>
      <c r="AD1287">
        <v>1</v>
      </c>
      <c r="AE1287">
        <v>86</v>
      </c>
      <c r="AF1287">
        <v>-77.45</v>
      </c>
      <c r="AG1287">
        <v>-8.4</v>
      </c>
      <c r="AH1287">
        <v>1.41</v>
      </c>
      <c r="AI1287">
        <v>-0.1</v>
      </c>
      <c r="AJ1287">
        <v>7.0000000000000007E-2</v>
      </c>
      <c r="AK1287">
        <v>64</v>
      </c>
      <c r="AL1287">
        <v>1</v>
      </c>
      <c r="AM1287">
        <v>1</v>
      </c>
      <c r="AN1287">
        <v>-7.22</v>
      </c>
      <c r="AO1287">
        <v>1.4</v>
      </c>
      <c r="AP1287">
        <v>1</v>
      </c>
      <c r="AQ1287">
        <v>0</v>
      </c>
      <c r="AR1287">
        <v>5.51</v>
      </c>
      <c r="AS1287">
        <v>53</v>
      </c>
      <c r="AT1287">
        <v>2.1800000000000002</v>
      </c>
      <c r="AU1287">
        <v>60</v>
      </c>
      <c r="AV1287">
        <v>-1.59</v>
      </c>
      <c r="AW1287">
        <v>62</v>
      </c>
      <c r="AX1287">
        <v>-0.54</v>
      </c>
      <c r="AY1287">
        <v>48</v>
      </c>
      <c r="AZ1287">
        <v>6.77</v>
      </c>
      <c r="BA1287">
        <v>43</v>
      </c>
      <c r="BB1287">
        <v>5.14</v>
      </c>
      <c r="BC1287">
        <v>45</v>
      </c>
      <c r="BD1287">
        <v>0.01</v>
      </c>
      <c r="BE1287">
        <v>0.03</v>
      </c>
      <c r="BF1287">
        <v>7.0000000000000007E-2</v>
      </c>
      <c r="BG1287">
        <v>73</v>
      </c>
      <c r="BH1287">
        <v>-0.03</v>
      </c>
      <c r="BI1287">
        <v>9.43</v>
      </c>
      <c r="BJ1287">
        <v>0</v>
      </c>
      <c r="BK1287">
        <v>0</v>
      </c>
      <c r="BL1287">
        <v>-1.82</v>
      </c>
      <c r="BM1287">
        <v>-0.68</v>
      </c>
      <c r="BN1287">
        <v>-1.85</v>
      </c>
      <c r="BO1287">
        <v>-0.92</v>
      </c>
      <c r="BP1287">
        <v>1.86</v>
      </c>
      <c r="BQ1287">
        <v>-1.64</v>
      </c>
      <c r="BR1287">
        <v>1.0900000000000001</v>
      </c>
      <c r="BS1287">
        <v>-1.31</v>
      </c>
      <c r="BT1287">
        <v>-1.83</v>
      </c>
      <c r="BU1287">
        <v>-1.83</v>
      </c>
      <c r="BV1287">
        <v>-2.67</v>
      </c>
      <c r="BW1287">
        <v>-2.2599999999999998</v>
      </c>
      <c r="BX1287">
        <v>-1.62</v>
      </c>
      <c r="BY1287">
        <v>-0.56000000000000005</v>
      </c>
      <c r="BZ1287">
        <v>-1.48</v>
      </c>
      <c r="CA1287">
        <v>-2.2400000000000002</v>
      </c>
      <c r="CB1287">
        <v>-1.98</v>
      </c>
      <c r="CC1287">
        <v>-1.82</v>
      </c>
      <c r="CD1287">
        <v>-0.13</v>
      </c>
      <c r="CE1287">
        <v>-1.04</v>
      </c>
      <c r="CF1287">
        <v>-1.07</v>
      </c>
      <c r="CG1287">
        <v>0</v>
      </c>
      <c r="CH1287">
        <v>-0.83</v>
      </c>
      <c r="CI1287">
        <v>0</v>
      </c>
      <c r="CJ1287">
        <v>-7.1</v>
      </c>
      <c r="CK1287">
        <v>62</v>
      </c>
      <c r="CL1287">
        <v>-0.54</v>
      </c>
      <c r="CM1287">
        <v>58</v>
      </c>
      <c r="CN1287">
        <v>0.06</v>
      </c>
      <c r="CO1287">
        <v>57</v>
      </c>
      <c r="CP1287">
        <v>-10.3</v>
      </c>
      <c r="CQ1287">
        <v>52</v>
      </c>
      <c r="CR1287">
        <v>0</v>
      </c>
      <c r="CS1287">
        <v>0</v>
      </c>
      <c r="CT1287">
        <v>-11.4</v>
      </c>
      <c r="CU1287">
        <v>50</v>
      </c>
      <c r="CV1287">
        <v>0.05</v>
      </c>
      <c r="CW1287">
        <v>38</v>
      </c>
      <c r="CX1287" t="s">
        <v>1037</v>
      </c>
    </row>
    <row r="1288" spans="1:102" x14ac:dyDescent="0.3">
      <c r="A1288" t="str">
        <f>HYPERLINK("https://webapp.icbf.com/v2/app/bull-search/view/1044731557","GWF")</f>
        <v>GWF</v>
      </c>
      <c r="B1288" t="s">
        <v>5872</v>
      </c>
      <c r="C1288" t="s">
        <v>5873</v>
      </c>
      <c r="D1288" s="1">
        <v>41322</v>
      </c>
      <c r="E1288" t="s">
        <v>108</v>
      </c>
      <c r="F1288">
        <v>9</v>
      </c>
      <c r="G1288" t="s">
        <v>93</v>
      </c>
      <c r="H1288">
        <v>121.75</v>
      </c>
      <c r="I1288">
        <v>76</v>
      </c>
      <c r="J1288">
        <v>33.409999999999997</v>
      </c>
      <c r="K1288">
        <v>91</v>
      </c>
      <c r="L1288">
        <v>31.74</v>
      </c>
      <c r="M1288">
        <v>67</v>
      </c>
      <c r="N1288">
        <v>38.97</v>
      </c>
      <c r="O1288">
        <v>73</v>
      </c>
      <c r="P1288">
        <v>-7.13</v>
      </c>
      <c r="Q1288">
        <v>83</v>
      </c>
      <c r="R1288">
        <v>1.1000000000000001</v>
      </c>
      <c r="S1288">
        <v>67</v>
      </c>
      <c r="T1288">
        <v>21.82</v>
      </c>
      <c r="U1288">
        <v>63</v>
      </c>
      <c r="V1288">
        <v>1.84</v>
      </c>
      <c r="W1288">
        <v>63</v>
      </c>
      <c r="X1288" t="s">
        <v>94</v>
      </c>
      <c r="Y1288" t="s">
        <v>389</v>
      </c>
      <c r="Z1288" t="s">
        <v>96</v>
      </c>
      <c r="AA1288" t="s">
        <v>5791</v>
      </c>
      <c r="AB1288" t="s">
        <v>5874</v>
      </c>
      <c r="AC1288">
        <v>35</v>
      </c>
      <c r="AD1288">
        <v>12</v>
      </c>
      <c r="AE1288">
        <v>91</v>
      </c>
      <c r="AF1288">
        <v>109.96</v>
      </c>
      <c r="AG1288">
        <v>10.7</v>
      </c>
      <c r="AH1288">
        <v>3.58</v>
      </c>
      <c r="AI1288">
        <v>0.11</v>
      </c>
      <c r="AJ1288">
        <v>0</v>
      </c>
      <c r="AK1288">
        <v>67</v>
      </c>
      <c r="AL1288">
        <v>39</v>
      </c>
      <c r="AM1288">
        <v>16</v>
      </c>
      <c r="AN1288">
        <v>-1.83</v>
      </c>
      <c r="AO1288">
        <v>0.7</v>
      </c>
      <c r="AP1288">
        <v>80</v>
      </c>
      <c r="AQ1288">
        <v>1</v>
      </c>
      <c r="AR1288">
        <v>4.8899999999999997</v>
      </c>
      <c r="AS1288">
        <v>67</v>
      </c>
      <c r="AT1288">
        <v>2.0499999999999998</v>
      </c>
      <c r="AU1288">
        <v>75</v>
      </c>
      <c r="AV1288">
        <v>-3.64</v>
      </c>
      <c r="AW1288">
        <v>83</v>
      </c>
      <c r="AX1288">
        <v>-0.75</v>
      </c>
      <c r="AY1288">
        <v>70</v>
      </c>
      <c r="AZ1288">
        <v>8.1300000000000008</v>
      </c>
      <c r="BA1288">
        <v>50</v>
      </c>
      <c r="BB1288">
        <v>5.65</v>
      </c>
      <c r="BC1288">
        <v>47</v>
      </c>
      <c r="BD1288">
        <v>-0.02</v>
      </c>
      <c r="BE1288">
        <v>0.02</v>
      </c>
      <c r="BF1288">
        <v>-0.03</v>
      </c>
      <c r="BG1288">
        <v>77</v>
      </c>
      <c r="BH1288">
        <v>-0.05</v>
      </c>
      <c r="BI1288">
        <v>-11.73</v>
      </c>
      <c r="BJ1288">
        <v>5</v>
      </c>
      <c r="BK1288">
        <v>3</v>
      </c>
      <c r="BL1288">
        <v>-2.62</v>
      </c>
      <c r="BM1288">
        <v>0.68</v>
      </c>
      <c r="BN1288">
        <v>-1.66</v>
      </c>
      <c r="BO1288">
        <v>-1.78</v>
      </c>
      <c r="BP1288">
        <v>-0.18</v>
      </c>
      <c r="BQ1288">
        <v>-0.76</v>
      </c>
      <c r="BR1288">
        <v>0.09</v>
      </c>
      <c r="BS1288">
        <v>0.38</v>
      </c>
      <c r="BT1288">
        <v>-0.66</v>
      </c>
      <c r="BU1288">
        <v>-2.37</v>
      </c>
      <c r="BV1288">
        <v>-2.4700000000000002</v>
      </c>
      <c r="BW1288">
        <v>-2.66</v>
      </c>
      <c r="BX1288">
        <v>-1.8</v>
      </c>
      <c r="BY1288">
        <v>-2.46</v>
      </c>
      <c r="BZ1288">
        <v>-0.93</v>
      </c>
      <c r="CA1288">
        <v>-2.2599999999999998</v>
      </c>
      <c r="CB1288">
        <v>-2.64</v>
      </c>
      <c r="CC1288">
        <v>-0.62</v>
      </c>
      <c r="CD1288">
        <v>1.1299999999999999</v>
      </c>
      <c r="CE1288">
        <v>-1.61</v>
      </c>
      <c r="CF1288">
        <v>-1.65</v>
      </c>
      <c r="CG1288">
        <v>0</v>
      </c>
      <c r="CH1288">
        <v>-2.68</v>
      </c>
      <c r="CI1288">
        <v>0</v>
      </c>
      <c r="CJ1288">
        <v>-0.9</v>
      </c>
      <c r="CK1288">
        <v>86</v>
      </c>
      <c r="CL1288">
        <v>-0.27</v>
      </c>
      <c r="CM1288">
        <v>83</v>
      </c>
      <c r="CN1288">
        <v>0.15</v>
      </c>
      <c r="CO1288">
        <v>82</v>
      </c>
      <c r="CP1288">
        <v>-9</v>
      </c>
      <c r="CQ1288">
        <v>66</v>
      </c>
      <c r="CR1288">
        <v>0</v>
      </c>
      <c r="CS1288">
        <v>0</v>
      </c>
      <c r="CT1288">
        <v>-15.7</v>
      </c>
      <c r="CU1288">
        <v>63</v>
      </c>
      <c r="CV1288">
        <v>0.18</v>
      </c>
      <c r="CW1288">
        <v>43</v>
      </c>
      <c r="CX1288" t="s">
        <v>792</v>
      </c>
    </row>
    <row r="1289" spans="1:102" x14ac:dyDescent="0.3">
      <c r="A1289" t="str">
        <f>HYPERLINK("https://webapp.icbf.com/v2/app/bull-search/view/760396088","HYK")</f>
        <v>HYK</v>
      </c>
      <c r="B1289" t="s">
        <v>5511</v>
      </c>
      <c r="C1289" t="s">
        <v>5512</v>
      </c>
      <c r="D1289" s="1">
        <v>40038</v>
      </c>
      <c r="E1289" t="s">
        <v>227</v>
      </c>
      <c r="F1289">
        <v>0</v>
      </c>
      <c r="G1289" t="s">
        <v>93</v>
      </c>
      <c r="H1289">
        <v>121.72</v>
      </c>
      <c r="I1289">
        <v>90</v>
      </c>
      <c r="J1289">
        <v>69.94</v>
      </c>
      <c r="K1289">
        <v>98</v>
      </c>
      <c r="L1289">
        <v>24.42</v>
      </c>
      <c r="M1289">
        <v>84</v>
      </c>
      <c r="N1289">
        <v>25.47</v>
      </c>
      <c r="O1289">
        <v>90</v>
      </c>
      <c r="P1289">
        <v>-50.74</v>
      </c>
      <c r="Q1289">
        <v>93</v>
      </c>
      <c r="R1289">
        <v>-1.1200000000000001</v>
      </c>
      <c r="S1289">
        <v>82</v>
      </c>
      <c r="T1289">
        <v>50.53</v>
      </c>
      <c r="U1289">
        <v>92</v>
      </c>
      <c r="V1289">
        <v>3.22</v>
      </c>
      <c r="W1289">
        <v>80</v>
      </c>
      <c r="X1289" t="s">
        <v>276</v>
      </c>
      <c r="Y1289" t="s">
        <v>329</v>
      </c>
      <c r="Z1289">
        <v>0</v>
      </c>
      <c r="AA1289" t="s">
        <v>5513</v>
      </c>
      <c r="AB1289" t="s">
        <v>5514</v>
      </c>
      <c r="AC1289">
        <v>138</v>
      </c>
      <c r="AD1289">
        <v>45</v>
      </c>
      <c r="AE1289">
        <v>98</v>
      </c>
      <c r="AF1289">
        <v>-207.78</v>
      </c>
      <c r="AG1289">
        <v>14.29</v>
      </c>
      <c r="AH1289">
        <v>3.66</v>
      </c>
      <c r="AI1289">
        <v>0.41</v>
      </c>
      <c r="AJ1289">
        <v>0.19</v>
      </c>
      <c r="AK1289">
        <v>84</v>
      </c>
      <c r="AL1289">
        <v>157</v>
      </c>
      <c r="AM1289">
        <v>49</v>
      </c>
      <c r="AN1289">
        <v>-1.1499999999999999</v>
      </c>
      <c r="AO1289">
        <v>0.8</v>
      </c>
      <c r="AP1289">
        <v>322</v>
      </c>
      <c r="AQ1289">
        <v>0</v>
      </c>
      <c r="AR1289">
        <v>2.75</v>
      </c>
      <c r="AS1289">
        <v>86</v>
      </c>
      <c r="AT1289">
        <v>1.18</v>
      </c>
      <c r="AU1289">
        <v>90</v>
      </c>
      <c r="AV1289">
        <v>0.06</v>
      </c>
      <c r="AW1289">
        <v>98</v>
      </c>
      <c r="AX1289">
        <v>-0.72</v>
      </c>
      <c r="AY1289">
        <v>85</v>
      </c>
      <c r="AZ1289">
        <v>6.65</v>
      </c>
      <c r="BA1289">
        <v>75</v>
      </c>
      <c r="BB1289">
        <v>4.58</v>
      </c>
      <c r="BC1289">
        <v>74</v>
      </c>
      <c r="BD1289">
        <v>-0.05</v>
      </c>
      <c r="BE1289">
        <v>0.01</v>
      </c>
      <c r="BF1289">
        <v>0.09</v>
      </c>
      <c r="BG1289">
        <v>92</v>
      </c>
      <c r="BH1289">
        <v>0.28999999999999998</v>
      </c>
      <c r="BI1289">
        <v>23.16</v>
      </c>
      <c r="BJ1289">
        <v>1</v>
      </c>
      <c r="BK1289">
        <v>1</v>
      </c>
      <c r="BL1289">
        <v>-3.26</v>
      </c>
      <c r="BM1289">
        <v>-2.15</v>
      </c>
      <c r="BN1289">
        <v>-0.08</v>
      </c>
      <c r="BO1289">
        <v>1.34</v>
      </c>
      <c r="BP1289">
        <v>-2.31</v>
      </c>
      <c r="BQ1289">
        <v>-6.11</v>
      </c>
      <c r="BR1289">
        <v>3.12</v>
      </c>
      <c r="BS1289">
        <v>6</v>
      </c>
      <c r="BT1289">
        <v>-1.37</v>
      </c>
      <c r="BU1289">
        <v>-0.61</v>
      </c>
      <c r="BV1289">
        <v>-0.08</v>
      </c>
      <c r="BW1289">
        <v>-2.74</v>
      </c>
      <c r="BX1289">
        <v>-3.88</v>
      </c>
      <c r="BY1289">
        <v>-0.17</v>
      </c>
      <c r="BZ1289">
        <v>-0.4</v>
      </c>
      <c r="CA1289">
        <v>0.77</v>
      </c>
      <c r="CB1289">
        <v>-0.51</v>
      </c>
      <c r="CC1289">
        <v>3.27</v>
      </c>
      <c r="CD1289">
        <v>-2.72</v>
      </c>
      <c r="CE1289">
        <v>0.65</v>
      </c>
      <c r="CF1289">
        <v>-3.83</v>
      </c>
      <c r="CG1289">
        <v>0</v>
      </c>
      <c r="CH1289">
        <v>-0.6</v>
      </c>
      <c r="CI1289">
        <v>0</v>
      </c>
      <c r="CJ1289">
        <v>-24.9</v>
      </c>
      <c r="CK1289">
        <v>94</v>
      </c>
      <c r="CL1289">
        <v>-1.1100000000000001</v>
      </c>
      <c r="CM1289">
        <v>93</v>
      </c>
      <c r="CN1289">
        <v>-0.1</v>
      </c>
      <c r="CO1289">
        <v>92</v>
      </c>
      <c r="CP1289">
        <v>-40.6</v>
      </c>
      <c r="CQ1289">
        <v>89</v>
      </c>
      <c r="CR1289">
        <v>0</v>
      </c>
      <c r="CS1289">
        <v>0</v>
      </c>
      <c r="CT1289">
        <v>-54.5</v>
      </c>
      <c r="CU1289">
        <v>92</v>
      </c>
      <c r="CV1289">
        <v>-0.11</v>
      </c>
      <c r="CW1289">
        <v>45</v>
      </c>
      <c r="CX1289" t="s">
        <v>5515</v>
      </c>
    </row>
    <row r="1290" spans="1:102" x14ac:dyDescent="0.3">
      <c r="A1290" t="str">
        <f>HYPERLINK("https://webapp.icbf.com/v2/app/bull-search/view/120495817","RAM")</f>
        <v>RAM</v>
      </c>
      <c r="B1290" t="s">
        <v>3923</v>
      </c>
      <c r="C1290" t="s">
        <v>3924</v>
      </c>
      <c r="D1290" s="1">
        <v>33885</v>
      </c>
      <c r="E1290" t="s">
        <v>210</v>
      </c>
      <c r="F1290">
        <v>0</v>
      </c>
      <c r="G1290" t="s">
        <v>109</v>
      </c>
      <c r="H1290">
        <v>121.67</v>
      </c>
      <c r="I1290">
        <v>71</v>
      </c>
      <c r="J1290">
        <v>-1.38</v>
      </c>
      <c r="K1290">
        <v>75</v>
      </c>
      <c r="L1290">
        <v>59.17</v>
      </c>
      <c r="M1290">
        <v>72</v>
      </c>
      <c r="N1290">
        <v>37.9</v>
      </c>
      <c r="O1290">
        <v>69</v>
      </c>
      <c r="P1290">
        <v>-8.83</v>
      </c>
      <c r="Q1290">
        <v>78</v>
      </c>
      <c r="R1290">
        <v>11.96</v>
      </c>
      <c r="S1290">
        <v>48</v>
      </c>
      <c r="T1290">
        <v>29.44</v>
      </c>
      <c r="U1290">
        <v>70</v>
      </c>
      <c r="V1290">
        <v>-6.59</v>
      </c>
      <c r="W1290">
        <v>47</v>
      </c>
      <c r="X1290" t="s">
        <v>251</v>
      </c>
      <c r="Y1290" t="s">
        <v>95</v>
      </c>
      <c r="Z1290">
        <v>0</v>
      </c>
      <c r="AA1290" t="s">
        <v>3925</v>
      </c>
      <c r="AB1290" t="s">
        <v>144</v>
      </c>
      <c r="AC1290">
        <v>0</v>
      </c>
      <c r="AD1290">
        <v>0</v>
      </c>
      <c r="AE1290">
        <v>75</v>
      </c>
      <c r="AF1290">
        <v>-174.93</v>
      </c>
      <c r="AG1290">
        <v>-0.94</v>
      </c>
      <c r="AH1290">
        <v>-2.58</v>
      </c>
      <c r="AI1290">
        <v>0.1</v>
      </c>
      <c r="AJ1290">
        <v>0.06</v>
      </c>
      <c r="AK1290">
        <v>72</v>
      </c>
      <c r="AL1290">
        <v>0</v>
      </c>
      <c r="AM1290">
        <v>0</v>
      </c>
      <c r="AN1290">
        <v>-3.13</v>
      </c>
      <c r="AO1290">
        <v>1.59</v>
      </c>
      <c r="AP1290">
        <v>54</v>
      </c>
      <c r="AQ1290">
        <v>3</v>
      </c>
      <c r="AR1290">
        <v>3.97</v>
      </c>
      <c r="AS1290">
        <v>57</v>
      </c>
      <c r="AT1290">
        <v>2.02</v>
      </c>
      <c r="AU1290">
        <v>80</v>
      </c>
      <c r="AV1290">
        <v>-2.36</v>
      </c>
      <c r="AW1290">
        <v>78</v>
      </c>
      <c r="AX1290">
        <v>-0.25</v>
      </c>
      <c r="AY1290">
        <v>65</v>
      </c>
      <c r="AZ1290">
        <v>5.73</v>
      </c>
      <c r="BA1290">
        <v>31</v>
      </c>
      <c r="BB1290">
        <v>4.72</v>
      </c>
      <c r="BC1290">
        <v>41</v>
      </c>
      <c r="BD1290">
        <v>-0.03</v>
      </c>
      <c r="BE1290">
        <v>-0.05</v>
      </c>
      <c r="BF1290">
        <v>-0.13</v>
      </c>
      <c r="BG1290">
        <v>59</v>
      </c>
      <c r="BH1290">
        <v>7.0000000000000007E-2</v>
      </c>
      <c r="BI1290">
        <v>29.37</v>
      </c>
      <c r="BJ1290">
        <v>0</v>
      </c>
      <c r="BK1290">
        <v>0</v>
      </c>
      <c r="BL1290">
        <v>-1.37</v>
      </c>
      <c r="BM1290">
        <v>0.73</v>
      </c>
      <c r="BN1290">
        <v>-1.38</v>
      </c>
      <c r="BO1290">
        <v>-1.49</v>
      </c>
      <c r="BP1290">
        <v>1.03</v>
      </c>
      <c r="BQ1290">
        <v>-0.76</v>
      </c>
      <c r="BR1290">
        <v>0.37</v>
      </c>
      <c r="BS1290">
        <v>-0.13</v>
      </c>
      <c r="BT1290">
        <v>-0.36</v>
      </c>
      <c r="BU1290">
        <v>-1.08</v>
      </c>
      <c r="BV1290">
        <v>-2.0099999999999998</v>
      </c>
      <c r="BW1290">
        <v>-1.66</v>
      </c>
      <c r="BX1290">
        <v>-0.84</v>
      </c>
      <c r="BY1290">
        <v>-0.75</v>
      </c>
      <c r="BZ1290">
        <v>-0.85</v>
      </c>
      <c r="CA1290">
        <v>-1.38</v>
      </c>
      <c r="CB1290">
        <v>-1.62</v>
      </c>
      <c r="CC1290">
        <v>-0.43</v>
      </c>
      <c r="CD1290">
        <v>1.1200000000000001</v>
      </c>
      <c r="CE1290">
        <v>-1.35</v>
      </c>
      <c r="CF1290">
        <v>-1.61</v>
      </c>
      <c r="CG1290">
        <v>0</v>
      </c>
      <c r="CH1290">
        <v>-1.05</v>
      </c>
      <c r="CI1290">
        <v>0</v>
      </c>
      <c r="CJ1290">
        <v>-3</v>
      </c>
      <c r="CK1290">
        <v>80</v>
      </c>
      <c r="CL1290">
        <v>-0.35</v>
      </c>
      <c r="CM1290">
        <v>77</v>
      </c>
      <c r="CN1290">
        <v>-0.15</v>
      </c>
      <c r="CO1290">
        <v>74</v>
      </c>
      <c r="CP1290">
        <v>-18.899999999999999</v>
      </c>
      <c r="CQ1290">
        <v>71</v>
      </c>
      <c r="CR1290">
        <v>0</v>
      </c>
      <c r="CS1290">
        <v>0</v>
      </c>
      <c r="CT1290">
        <v>-26</v>
      </c>
      <c r="CU1290">
        <v>70</v>
      </c>
      <c r="CV1290">
        <v>-0.04</v>
      </c>
      <c r="CW1290">
        <v>41</v>
      </c>
      <c r="CX1290" t="s">
        <v>3926</v>
      </c>
    </row>
    <row r="1291" spans="1:102" x14ac:dyDescent="0.3">
      <c r="A1291" t="str">
        <f>HYPERLINK("https://webapp.icbf.com/v2/app/bull-search/view/1100684937","S1621")</f>
        <v>S1621</v>
      </c>
      <c r="B1291" t="s">
        <v>9271</v>
      </c>
      <c r="C1291" t="s">
        <v>6247</v>
      </c>
      <c r="D1291" s="1">
        <v>40993</v>
      </c>
      <c r="E1291" t="s">
        <v>92</v>
      </c>
      <c r="F1291">
        <v>100</v>
      </c>
      <c r="G1291" t="s">
        <v>93</v>
      </c>
      <c r="H1291">
        <v>121.54</v>
      </c>
      <c r="I1291">
        <v>87</v>
      </c>
      <c r="J1291">
        <v>116.4</v>
      </c>
      <c r="K1291">
        <v>97</v>
      </c>
      <c r="L1291">
        <v>-38.42</v>
      </c>
      <c r="M1291">
        <v>89</v>
      </c>
      <c r="N1291">
        <v>41.14</v>
      </c>
      <c r="O1291">
        <v>87</v>
      </c>
      <c r="P1291">
        <v>-6.37</v>
      </c>
      <c r="Q1291">
        <v>85</v>
      </c>
      <c r="R1291">
        <v>13.02</v>
      </c>
      <c r="S1291">
        <v>79</v>
      </c>
      <c r="T1291">
        <v>-1.34</v>
      </c>
      <c r="U1291">
        <v>60</v>
      </c>
      <c r="V1291">
        <v>-2.89</v>
      </c>
      <c r="W1291">
        <v>63</v>
      </c>
      <c r="X1291" t="s">
        <v>251</v>
      </c>
      <c r="Y1291" t="s">
        <v>362</v>
      </c>
      <c r="Z1291" t="s">
        <v>96</v>
      </c>
      <c r="AA1291" t="s">
        <v>2187</v>
      </c>
      <c r="AB1291" t="s">
        <v>7637</v>
      </c>
      <c r="AC1291">
        <v>92</v>
      </c>
      <c r="AD1291">
        <v>36</v>
      </c>
      <c r="AE1291">
        <v>97</v>
      </c>
      <c r="AF1291">
        <v>396.35</v>
      </c>
      <c r="AG1291">
        <v>17.559999999999999</v>
      </c>
      <c r="AH1291">
        <v>19.649999999999999</v>
      </c>
      <c r="AI1291">
        <v>0.03</v>
      </c>
      <c r="AJ1291">
        <v>0.1</v>
      </c>
      <c r="AK1291">
        <v>89</v>
      </c>
      <c r="AL1291">
        <v>59</v>
      </c>
      <c r="AM1291">
        <v>28</v>
      </c>
      <c r="AN1291">
        <v>3.95</v>
      </c>
      <c r="AO1291">
        <v>0.91</v>
      </c>
      <c r="AP1291">
        <v>197</v>
      </c>
      <c r="AQ1291">
        <v>2</v>
      </c>
      <c r="AR1291">
        <v>7.78</v>
      </c>
      <c r="AS1291">
        <v>88</v>
      </c>
      <c r="AT1291">
        <v>2.11</v>
      </c>
      <c r="AU1291">
        <v>98</v>
      </c>
      <c r="AV1291">
        <v>-4.1500000000000004</v>
      </c>
      <c r="AW1291">
        <v>93</v>
      </c>
      <c r="AX1291">
        <v>0.03</v>
      </c>
      <c r="AY1291">
        <v>89</v>
      </c>
      <c r="AZ1291">
        <v>5.91</v>
      </c>
      <c r="BA1291">
        <v>68</v>
      </c>
      <c r="BB1291">
        <v>5.08</v>
      </c>
      <c r="BC1291">
        <v>52</v>
      </c>
      <c r="BD1291">
        <v>-0.08</v>
      </c>
      <c r="BE1291">
        <v>-0.04</v>
      </c>
      <c r="BF1291">
        <v>-0.09</v>
      </c>
      <c r="BG1291">
        <v>95</v>
      </c>
      <c r="BH1291">
        <v>-0.1</v>
      </c>
      <c r="BI1291">
        <v>-2.2599999999999998</v>
      </c>
      <c r="BJ1291">
        <v>53</v>
      </c>
      <c r="BK1291">
        <v>23</v>
      </c>
      <c r="BL1291">
        <v>1.54</v>
      </c>
      <c r="BM1291">
        <v>0.15</v>
      </c>
      <c r="BN1291">
        <v>1.73</v>
      </c>
      <c r="BO1291">
        <v>1.35</v>
      </c>
      <c r="BP1291">
        <v>-1.55</v>
      </c>
      <c r="BQ1291">
        <v>1.99</v>
      </c>
      <c r="BR1291">
        <v>0.65</v>
      </c>
      <c r="BS1291">
        <v>-0.28000000000000003</v>
      </c>
      <c r="BT1291">
        <v>0.83</v>
      </c>
      <c r="BU1291">
        <v>2.12</v>
      </c>
      <c r="BV1291">
        <v>2.09</v>
      </c>
      <c r="BW1291">
        <v>0.06</v>
      </c>
      <c r="BX1291">
        <v>1.59</v>
      </c>
      <c r="BY1291">
        <v>1.38</v>
      </c>
      <c r="BZ1291">
        <v>0.94</v>
      </c>
      <c r="CA1291">
        <v>0.92</v>
      </c>
      <c r="CB1291">
        <v>1.61</v>
      </c>
      <c r="CC1291">
        <v>-0.28000000000000003</v>
      </c>
      <c r="CD1291">
        <v>-0.76</v>
      </c>
      <c r="CE1291">
        <v>1.4</v>
      </c>
      <c r="CF1291">
        <v>2.12</v>
      </c>
      <c r="CG1291">
        <v>0</v>
      </c>
      <c r="CH1291">
        <v>1.17</v>
      </c>
      <c r="CI1291">
        <v>0</v>
      </c>
      <c r="CJ1291">
        <v>2.7</v>
      </c>
      <c r="CK1291">
        <v>88</v>
      </c>
      <c r="CL1291">
        <v>-1.3</v>
      </c>
      <c r="CM1291">
        <v>85</v>
      </c>
      <c r="CN1291">
        <v>-0.28000000000000003</v>
      </c>
      <c r="CO1291">
        <v>84</v>
      </c>
      <c r="CP1291">
        <v>0.3</v>
      </c>
      <c r="CQ1291">
        <v>66</v>
      </c>
      <c r="CR1291">
        <v>0</v>
      </c>
      <c r="CS1291">
        <v>0</v>
      </c>
      <c r="CT1291">
        <v>15.6</v>
      </c>
      <c r="CU1291">
        <v>60</v>
      </c>
      <c r="CV1291">
        <v>0.42</v>
      </c>
      <c r="CW1291">
        <v>44</v>
      </c>
      <c r="CX1291" t="s">
        <v>7638</v>
      </c>
    </row>
    <row r="1292" spans="1:102" x14ac:dyDescent="0.3">
      <c r="A1292" t="str">
        <f>HYPERLINK("https://webapp.icbf.com/v2/app/bull-search/view/1210960804","FR2324")</f>
        <v>FR2324</v>
      </c>
      <c r="B1292" t="s">
        <v>2191</v>
      </c>
      <c r="C1292" t="s">
        <v>2192</v>
      </c>
      <c r="D1292" s="1">
        <v>41550</v>
      </c>
      <c r="E1292" t="s">
        <v>92</v>
      </c>
      <c r="F1292">
        <v>100</v>
      </c>
      <c r="G1292" t="s">
        <v>109</v>
      </c>
      <c r="H1292">
        <v>121.52</v>
      </c>
      <c r="I1292">
        <v>70</v>
      </c>
      <c r="J1292">
        <v>51.56</v>
      </c>
      <c r="K1292">
        <v>89</v>
      </c>
      <c r="L1292">
        <v>31.75</v>
      </c>
      <c r="M1292">
        <v>71</v>
      </c>
      <c r="N1292">
        <v>44.12</v>
      </c>
      <c r="O1292">
        <v>61</v>
      </c>
      <c r="P1292">
        <v>-15.16</v>
      </c>
      <c r="Q1292">
        <v>45</v>
      </c>
      <c r="R1292">
        <v>8.1199999999999992</v>
      </c>
      <c r="S1292">
        <v>66</v>
      </c>
      <c r="T1292">
        <v>2.36</v>
      </c>
      <c r="U1292">
        <v>36</v>
      </c>
      <c r="V1292">
        <v>-1.23</v>
      </c>
      <c r="W1292">
        <v>53</v>
      </c>
      <c r="X1292" t="s">
        <v>276</v>
      </c>
      <c r="Y1292" t="s">
        <v>429</v>
      </c>
      <c r="Z1292" t="s">
        <v>96</v>
      </c>
      <c r="AA1292" t="s">
        <v>2193</v>
      </c>
      <c r="AB1292" t="s">
        <v>2194</v>
      </c>
      <c r="AC1292">
        <v>0</v>
      </c>
      <c r="AD1292">
        <v>0</v>
      </c>
      <c r="AE1292">
        <v>89</v>
      </c>
      <c r="AF1292">
        <v>62.98</v>
      </c>
      <c r="AG1292">
        <v>11.43</v>
      </c>
      <c r="AH1292">
        <v>5.69</v>
      </c>
      <c r="AI1292">
        <v>0.16</v>
      </c>
      <c r="AJ1292">
        <v>0.06</v>
      </c>
      <c r="AK1292">
        <v>71</v>
      </c>
      <c r="AL1292">
        <v>0</v>
      </c>
      <c r="AM1292">
        <v>0</v>
      </c>
      <c r="AN1292">
        <v>-1.0900000000000001</v>
      </c>
      <c r="AO1292">
        <v>1.45</v>
      </c>
      <c r="AP1292">
        <v>19</v>
      </c>
      <c r="AQ1292">
        <v>0</v>
      </c>
      <c r="AR1292">
        <v>4.2</v>
      </c>
      <c r="AS1292">
        <v>47</v>
      </c>
      <c r="AT1292">
        <v>2.16</v>
      </c>
      <c r="AU1292">
        <v>76</v>
      </c>
      <c r="AV1292">
        <v>-3.87</v>
      </c>
      <c r="AW1292">
        <v>71</v>
      </c>
      <c r="AX1292">
        <v>-0.68</v>
      </c>
      <c r="AY1292">
        <v>47</v>
      </c>
      <c r="AZ1292">
        <v>7.09</v>
      </c>
      <c r="BA1292">
        <v>32</v>
      </c>
      <c r="BB1292">
        <v>5.43</v>
      </c>
      <c r="BC1292">
        <v>31</v>
      </c>
      <c r="BD1292">
        <v>-0.04</v>
      </c>
      <c r="BE1292">
        <v>0</v>
      </c>
      <c r="BF1292">
        <v>-0.12</v>
      </c>
      <c r="BG1292">
        <v>84</v>
      </c>
      <c r="BH1292">
        <v>-0.09</v>
      </c>
      <c r="BI1292">
        <v>-6.43</v>
      </c>
      <c r="BJ1292">
        <v>0</v>
      </c>
      <c r="BK1292">
        <v>0</v>
      </c>
      <c r="BL1292">
        <v>0.97</v>
      </c>
      <c r="BM1292">
        <v>-0.62</v>
      </c>
      <c r="BN1292">
        <v>-1.45</v>
      </c>
      <c r="BO1292">
        <v>-0.13</v>
      </c>
      <c r="BP1292">
        <v>0.02</v>
      </c>
      <c r="BQ1292">
        <v>-1.79</v>
      </c>
      <c r="BR1292">
        <v>-0.64</v>
      </c>
      <c r="BS1292">
        <v>1.89</v>
      </c>
      <c r="BT1292">
        <v>1.02</v>
      </c>
      <c r="BU1292">
        <v>1.0900000000000001</v>
      </c>
      <c r="BV1292">
        <v>1.25</v>
      </c>
      <c r="BW1292">
        <v>0.1</v>
      </c>
      <c r="BX1292">
        <v>2.58</v>
      </c>
      <c r="BY1292">
        <v>-0.23</v>
      </c>
      <c r="BZ1292">
        <v>0</v>
      </c>
      <c r="CA1292">
        <v>1.75</v>
      </c>
      <c r="CB1292">
        <v>0.9</v>
      </c>
      <c r="CC1292">
        <v>2.0099999999999998</v>
      </c>
      <c r="CD1292">
        <v>0.47</v>
      </c>
      <c r="CE1292">
        <v>0.05</v>
      </c>
      <c r="CF1292">
        <v>-0.36</v>
      </c>
      <c r="CG1292">
        <v>0</v>
      </c>
      <c r="CH1292">
        <v>0.18</v>
      </c>
      <c r="CI1292">
        <v>0</v>
      </c>
      <c r="CJ1292">
        <v>-5.5</v>
      </c>
      <c r="CK1292">
        <v>47</v>
      </c>
      <c r="CL1292">
        <v>-1.18</v>
      </c>
      <c r="CM1292">
        <v>44</v>
      </c>
      <c r="CN1292">
        <v>-0.42</v>
      </c>
      <c r="CO1292">
        <v>43</v>
      </c>
      <c r="CP1292">
        <v>-2.1</v>
      </c>
      <c r="CQ1292">
        <v>37</v>
      </c>
      <c r="CR1292">
        <v>0</v>
      </c>
      <c r="CS1292">
        <v>0</v>
      </c>
      <c r="CT1292">
        <v>10.6</v>
      </c>
      <c r="CU1292">
        <v>36</v>
      </c>
      <c r="CV1292">
        <v>0.13</v>
      </c>
      <c r="CW1292">
        <v>34</v>
      </c>
      <c r="CX1292" t="s">
        <v>2195</v>
      </c>
    </row>
    <row r="1293" spans="1:102" x14ac:dyDescent="0.3">
      <c r="A1293" t="str">
        <f>HYPERLINK("https://webapp.icbf.com/v2/app/bull-search/view/586148444","VTH")</f>
        <v>VTH</v>
      </c>
      <c r="B1293" t="s">
        <v>12779</v>
      </c>
      <c r="C1293" t="s">
        <v>12780</v>
      </c>
      <c r="D1293" s="1">
        <v>38092</v>
      </c>
      <c r="E1293" t="s">
        <v>92</v>
      </c>
      <c r="F1293">
        <v>100</v>
      </c>
      <c r="G1293" t="s">
        <v>93</v>
      </c>
      <c r="H1293">
        <v>121.51</v>
      </c>
      <c r="I1293">
        <v>88</v>
      </c>
      <c r="J1293">
        <v>103.22</v>
      </c>
      <c r="K1293">
        <v>97</v>
      </c>
      <c r="L1293">
        <v>-30.76</v>
      </c>
      <c r="M1293">
        <v>84</v>
      </c>
      <c r="N1293">
        <v>33.65</v>
      </c>
      <c r="O1293">
        <v>85</v>
      </c>
      <c r="P1293">
        <v>1.17</v>
      </c>
      <c r="Q1293">
        <v>92</v>
      </c>
      <c r="R1293">
        <v>2.13</v>
      </c>
      <c r="S1293">
        <v>73</v>
      </c>
      <c r="T1293">
        <v>6.2</v>
      </c>
      <c r="U1293">
        <v>83</v>
      </c>
      <c r="V1293">
        <v>5.9</v>
      </c>
      <c r="W1293">
        <v>63</v>
      </c>
      <c r="X1293" t="s">
        <v>94</v>
      </c>
      <c r="Y1293" t="s">
        <v>235</v>
      </c>
      <c r="Z1293" t="s">
        <v>96</v>
      </c>
      <c r="AA1293" t="s">
        <v>316</v>
      </c>
      <c r="AB1293" t="s">
        <v>12781</v>
      </c>
      <c r="AC1293">
        <v>132</v>
      </c>
      <c r="AD1293">
        <v>40</v>
      </c>
      <c r="AE1293">
        <v>97</v>
      </c>
      <c r="AF1293">
        <v>601.58000000000004</v>
      </c>
      <c r="AG1293">
        <v>16.32</v>
      </c>
      <c r="AH1293">
        <v>20.99</v>
      </c>
      <c r="AI1293">
        <v>-0.11</v>
      </c>
      <c r="AJ1293">
        <v>0.01</v>
      </c>
      <c r="AK1293">
        <v>84</v>
      </c>
      <c r="AL1293">
        <v>126</v>
      </c>
      <c r="AM1293">
        <v>41</v>
      </c>
      <c r="AN1293">
        <v>1.93</v>
      </c>
      <c r="AO1293">
        <v>-0.52</v>
      </c>
      <c r="AP1293">
        <v>209</v>
      </c>
      <c r="AQ1293">
        <v>0</v>
      </c>
      <c r="AR1293">
        <v>3.88</v>
      </c>
      <c r="AS1293">
        <v>79</v>
      </c>
      <c r="AT1293">
        <v>1.71</v>
      </c>
      <c r="AU1293">
        <v>90</v>
      </c>
      <c r="AV1293">
        <v>-2.4900000000000002</v>
      </c>
      <c r="AW1293">
        <v>94</v>
      </c>
      <c r="AX1293">
        <v>-0.59</v>
      </c>
      <c r="AY1293">
        <v>83</v>
      </c>
      <c r="AZ1293">
        <v>7.21</v>
      </c>
      <c r="BA1293">
        <v>59</v>
      </c>
      <c r="BB1293">
        <v>5.85</v>
      </c>
      <c r="BC1293">
        <v>58</v>
      </c>
      <c r="BD1293">
        <v>0</v>
      </c>
      <c r="BE1293">
        <v>-0.01</v>
      </c>
      <c r="BF1293">
        <v>-0.03</v>
      </c>
      <c r="BG1293">
        <v>84</v>
      </c>
      <c r="BH1293">
        <v>0.02</v>
      </c>
      <c r="BI1293">
        <v>-16.73</v>
      </c>
      <c r="BJ1293">
        <v>53</v>
      </c>
      <c r="BK1293">
        <v>15</v>
      </c>
      <c r="BL1293">
        <v>0.78</v>
      </c>
      <c r="BM1293">
        <v>1.04</v>
      </c>
      <c r="BN1293">
        <v>0.2</v>
      </c>
      <c r="BO1293">
        <v>-0.03</v>
      </c>
      <c r="BP1293">
        <v>-1.56</v>
      </c>
      <c r="BQ1293">
        <v>0.48</v>
      </c>
      <c r="BR1293">
        <v>-2.54</v>
      </c>
      <c r="BS1293">
        <v>0.68</v>
      </c>
      <c r="BT1293">
        <v>1.65</v>
      </c>
      <c r="BU1293">
        <v>0.62</v>
      </c>
      <c r="BV1293">
        <v>1.1299999999999999</v>
      </c>
      <c r="BW1293">
        <v>-0.36</v>
      </c>
      <c r="BX1293">
        <v>1.32</v>
      </c>
      <c r="BY1293">
        <v>0.57999999999999996</v>
      </c>
      <c r="BZ1293">
        <v>0.14000000000000001</v>
      </c>
      <c r="CA1293">
        <v>0.94</v>
      </c>
      <c r="CB1293">
        <v>0.84</v>
      </c>
      <c r="CC1293">
        <v>0.57999999999999996</v>
      </c>
      <c r="CD1293">
        <v>0.96</v>
      </c>
      <c r="CE1293">
        <v>7.0000000000000007E-2</v>
      </c>
      <c r="CF1293">
        <v>1.17</v>
      </c>
      <c r="CG1293">
        <v>0</v>
      </c>
      <c r="CH1293">
        <v>-0.54</v>
      </c>
      <c r="CI1293">
        <v>0</v>
      </c>
      <c r="CJ1293">
        <v>4.8</v>
      </c>
      <c r="CK1293">
        <v>93</v>
      </c>
      <c r="CL1293">
        <v>-0.93</v>
      </c>
      <c r="CM1293">
        <v>92</v>
      </c>
      <c r="CN1293">
        <v>-0.31</v>
      </c>
      <c r="CO1293">
        <v>91</v>
      </c>
      <c r="CP1293">
        <v>3.4</v>
      </c>
      <c r="CQ1293">
        <v>89</v>
      </c>
      <c r="CR1293">
        <v>0</v>
      </c>
      <c r="CS1293">
        <v>0</v>
      </c>
      <c r="CT1293">
        <v>5.4</v>
      </c>
      <c r="CU1293">
        <v>83</v>
      </c>
      <c r="CV1293">
        <v>0.4</v>
      </c>
      <c r="CW1293">
        <v>32</v>
      </c>
      <c r="CX1293" t="s">
        <v>12782</v>
      </c>
    </row>
    <row r="1294" spans="1:102" x14ac:dyDescent="0.3">
      <c r="A1294" t="str">
        <f>HYPERLINK("https://webapp.icbf.com/v2/app/bull-search/view/503102741","TZU")</f>
        <v>TZU</v>
      </c>
      <c r="B1294" t="s">
        <v>10027</v>
      </c>
      <c r="C1294" t="s">
        <v>10028</v>
      </c>
      <c r="D1294" s="1">
        <v>38869</v>
      </c>
      <c r="E1294" t="s">
        <v>108</v>
      </c>
      <c r="F1294">
        <v>0</v>
      </c>
      <c r="G1294" t="s">
        <v>93</v>
      </c>
      <c r="H1294">
        <v>121.23</v>
      </c>
      <c r="I1294">
        <v>91</v>
      </c>
      <c r="J1294">
        <v>-4.53</v>
      </c>
      <c r="K1294">
        <v>98</v>
      </c>
      <c r="L1294">
        <v>75.010000000000005</v>
      </c>
      <c r="M1294">
        <v>85</v>
      </c>
      <c r="N1294">
        <v>27.52</v>
      </c>
      <c r="O1294">
        <v>92</v>
      </c>
      <c r="P1294">
        <v>-10.92</v>
      </c>
      <c r="Q1294">
        <v>96</v>
      </c>
      <c r="R1294">
        <v>3.97</v>
      </c>
      <c r="S1294">
        <v>86</v>
      </c>
      <c r="T1294">
        <v>19.3</v>
      </c>
      <c r="U1294">
        <v>91</v>
      </c>
      <c r="V1294">
        <v>10.88</v>
      </c>
      <c r="W1294">
        <v>87</v>
      </c>
      <c r="X1294" t="s">
        <v>94</v>
      </c>
      <c r="Y1294" t="s">
        <v>1423</v>
      </c>
      <c r="Z1294" t="s">
        <v>96</v>
      </c>
      <c r="AA1294" t="s">
        <v>8559</v>
      </c>
      <c r="AB1294" t="s">
        <v>10029</v>
      </c>
      <c r="AC1294">
        <v>171</v>
      </c>
      <c r="AD1294">
        <v>109</v>
      </c>
      <c r="AE1294">
        <v>98</v>
      </c>
      <c r="AF1294">
        <v>-156.71</v>
      </c>
      <c r="AG1294">
        <v>-7.43</v>
      </c>
      <c r="AH1294">
        <v>-0.54</v>
      </c>
      <c r="AI1294">
        <v>-0.02</v>
      </c>
      <c r="AJ1294">
        <v>0.09</v>
      </c>
      <c r="AK1294">
        <v>85</v>
      </c>
      <c r="AL1294">
        <v>245</v>
      </c>
      <c r="AM1294">
        <v>146</v>
      </c>
      <c r="AN1294">
        <v>-5</v>
      </c>
      <c r="AO1294">
        <v>0.97</v>
      </c>
      <c r="AP1294">
        <v>374</v>
      </c>
      <c r="AQ1294">
        <v>1</v>
      </c>
      <c r="AR1294">
        <v>4.2699999999999996</v>
      </c>
      <c r="AS1294">
        <v>84</v>
      </c>
      <c r="AT1294">
        <v>1.97</v>
      </c>
      <c r="AU1294">
        <v>92</v>
      </c>
      <c r="AV1294">
        <v>-3.91</v>
      </c>
      <c r="AW1294">
        <v>98</v>
      </c>
      <c r="AX1294">
        <v>-0.92</v>
      </c>
      <c r="AY1294">
        <v>91</v>
      </c>
      <c r="AZ1294">
        <v>11.23</v>
      </c>
      <c r="BA1294">
        <v>78</v>
      </c>
      <c r="BB1294">
        <v>7.17</v>
      </c>
      <c r="BC1294">
        <v>79</v>
      </c>
      <c r="BD1294">
        <v>-0.02</v>
      </c>
      <c r="BE1294">
        <v>-0.02</v>
      </c>
      <c r="BF1294">
        <v>-0.02</v>
      </c>
      <c r="BG1294">
        <v>93</v>
      </c>
      <c r="BH1294">
        <v>0.1</v>
      </c>
      <c r="BI1294">
        <v>-23.54</v>
      </c>
      <c r="BJ1294">
        <v>7</v>
      </c>
      <c r="BK1294">
        <v>7</v>
      </c>
      <c r="BL1294">
        <v>-3.3</v>
      </c>
      <c r="BM1294">
        <v>1.01</v>
      </c>
      <c r="BN1294">
        <v>-2</v>
      </c>
      <c r="BO1294">
        <v>-2.35</v>
      </c>
      <c r="BP1294">
        <v>0.65</v>
      </c>
      <c r="BQ1294">
        <v>-0.9</v>
      </c>
      <c r="BR1294">
        <v>-1.98</v>
      </c>
      <c r="BS1294">
        <v>1.48</v>
      </c>
      <c r="BT1294">
        <v>1.01</v>
      </c>
      <c r="BU1294">
        <v>-2.2799999999999998</v>
      </c>
      <c r="BV1294">
        <v>-1.42</v>
      </c>
      <c r="BW1294">
        <v>-1.19</v>
      </c>
      <c r="BX1294">
        <v>-1.76</v>
      </c>
      <c r="BY1294">
        <v>-0.11</v>
      </c>
      <c r="BZ1294">
        <v>-3.8</v>
      </c>
      <c r="CA1294">
        <v>-1.26</v>
      </c>
      <c r="CB1294">
        <v>-1.87</v>
      </c>
      <c r="CC1294">
        <v>0.24</v>
      </c>
      <c r="CD1294">
        <v>1.34</v>
      </c>
      <c r="CE1294">
        <v>-2.42</v>
      </c>
      <c r="CF1294">
        <v>-2.66</v>
      </c>
      <c r="CG1294">
        <v>0</v>
      </c>
      <c r="CH1294">
        <v>-0.96</v>
      </c>
      <c r="CI1294">
        <v>0</v>
      </c>
      <c r="CJ1294">
        <v>-7.9</v>
      </c>
      <c r="CK1294">
        <v>97</v>
      </c>
      <c r="CL1294">
        <v>-0.02</v>
      </c>
      <c r="CM1294">
        <v>96</v>
      </c>
      <c r="CN1294">
        <v>-0.19</v>
      </c>
      <c r="CO1294">
        <v>96</v>
      </c>
      <c r="CP1294">
        <v>-13.6</v>
      </c>
      <c r="CQ1294">
        <v>92</v>
      </c>
      <c r="CR1294">
        <v>0</v>
      </c>
      <c r="CS1294">
        <v>0</v>
      </c>
      <c r="CT1294">
        <v>-12.3</v>
      </c>
      <c r="CU1294">
        <v>91</v>
      </c>
      <c r="CV1294">
        <v>-0.16</v>
      </c>
      <c r="CW1294">
        <v>45</v>
      </c>
      <c r="CX1294" t="s">
        <v>686</v>
      </c>
    </row>
    <row r="1295" spans="1:102" x14ac:dyDescent="0.3">
      <c r="A1295" t="str">
        <f>HYPERLINK("https://webapp.icbf.com/v2/app/bull-search/view/108367937","TAE")</f>
        <v>TAE</v>
      </c>
      <c r="B1295" t="s">
        <v>9791</v>
      </c>
      <c r="C1295" t="s">
        <v>9792</v>
      </c>
      <c r="D1295" s="1">
        <v>36908</v>
      </c>
      <c r="E1295" t="s">
        <v>108</v>
      </c>
      <c r="F1295">
        <v>6</v>
      </c>
      <c r="G1295" t="s">
        <v>93</v>
      </c>
      <c r="H1295">
        <v>121.22</v>
      </c>
      <c r="I1295">
        <v>98</v>
      </c>
      <c r="J1295">
        <v>-22.03</v>
      </c>
      <c r="K1295">
        <v>99</v>
      </c>
      <c r="L1295">
        <v>86.78</v>
      </c>
      <c r="M1295">
        <v>96</v>
      </c>
      <c r="N1295">
        <v>16.29</v>
      </c>
      <c r="O1295">
        <v>99</v>
      </c>
      <c r="P1295">
        <v>-23.4</v>
      </c>
      <c r="Q1295">
        <v>99</v>
      </c>
      <c r="R1295">
        <v>16.899999999999999</v>
      </c>
      <c r="S1295">
        <v>97</v>
      </c>
      <c r="T1295">
        <v>32.619999999999997</v>
      </c>
      <c r="U1295">
        <v>99</v>
      </c>
      <c r="V1295">
        <v>14.06</v>
      </c>
      <c r="W1295">
        <v>98</v>
      </c>
      <c r="X1295" t="s">
        <v>94</v>
      </c>
      <c r="Y1295" t="s">
        <v>95</v>
      </c>
      <c r="Z1295" t="s">
        <v>96</v>
      </c>
      <c r="AA1295" t="s">
        <v>975</v>
      </c>
      <c r="AB1295" t="s">
        <v>9793</v>
      </c>
      <c r="AC1295">
        <v>1537</v>
      </c>
      <c r="AD1295">
        <v>656</v>
      </c>
      <c r="AE1295">
        <v>99</v>
      </c>
      <c r="AF1295">
        <v>-31.62</v>
      </c>
      <c r="AG1295">
        <v>-6.9</v>
      </c>
      <c r="AH1295">
        <v>-1.79</v>
      </c>
      <c r="AI1295">
        <v>-0.1</v>
      </c>
      <c r="AJ1295">
        <v>-0.01</v>
      </c>
      <c r="AK1295">
        <v>96</v>
      </c>
      <c r="AL1295">
        <v>2820</v>
      </c>
      <c r="AM1295">
        <v>1176</v>
      </c>
      <c r="AN1295">
        <v>-3.97</v>
      </c>
      <c r="AO1295">
        <v>2.96</v>
      </c>
      <c r="AP1295">
        <v>3021</v>
      </c>
      <c r="AQ1295">
        <v>32</v>
      </c>
      <c r="AR1295">
        <v>7.71</v>
      </c>
      <c r="AS1295">
        <v>97</v>
      </c>
      <c r="AT1295">
        <v>3.24</v>
      </c>
      <c r="AU1295">
        <v>99</v>
      </c>
      <c r="AV1295">
        <v>-2.09</v>
      </c>
      <c r="AW1295">
        <v>99</v>
      </c>
      <c r="AX1295">
        <v>-0.05</v>
      </c>
      <c r="AY1295">
        <v>99</v>
      </c>
      <c r="AZ1295">
        <v>6.38</v>
      </c>
      <c r="BA1295">
        <v>96</v>
      </c>
      <c r="BB1295">
        <v>4.83</v>
      </c>
      <c r="BC1295">
        <v>97</v>
      </c>
      <c r="BD1295">
        <v>-0.04</v>
      </c>
      <c r="BE1295">
        <v>-0.08</v>
      </c>
      <c r="BF1295">
        <v>-0.17</v>
      </c>
      <c r="BG1295">
        <v>99</v>
      </c>
      <c r="BH1295">
        <v>0.18</v>
      </c>
      <c r="BI1295">
        <v>-24.54</v>
      </c>
      <c r="BJ1295">
        <v>67</v>
      </c>
      <c r="BK1295">
        <v>42</v>
      </c>
      <c r="BL1295">
        <v>-2.86</v>
      </c>
      <c r="BM1295">
        <v>0.16</v>
      </c>
      <c r="BN1295">
        <v>-2.4</v>
      </c>
      <c r="BO1295">
        <v>-2.04</v>
      </c>
      <c r="BP1295">
        <v>1.4</v>
      </c>
      <c r="BQ1295">
        <v>-0.34</v>
      </c>
      <c r="BR1295">
        <v>-1.85</v>
      </c>
      <c r="BS1295">
        <v>-0.51</v>
      </c>
      <c r="BT1295">
        <v>-0.12</v>
      </c>
      <c r="BU1295">
        <v>-2.83</v>
      </c>
      <c r="BV1295">
        <v>-2.58</v>
      </c>
      <c r="BW1295">
        <v>-2.19</v>
      </c>
      <c r="BX1295">
        <v>-1.74</v>
      </c>
      <c r="BY1295">
        <v>-0.19</v>
      </c>
      <c r="BZ1295">
        <v>-0.81</v>
      </c>
      <c r="CA1295">
        <v>-1.91</v>
      </c>
      <c r="CB1295">
        <v>-2.37</v>
      </c>
      <c r="CC1295">
        <v>-0.28999999999999998</v>
      </c>
      <c r="CD1295">
        <v>2.13</v>
      </c>
      <c r="CE1295">
        <v>-2.11</v>
      </c>
      <c r="CF1295">
        <v>-2.4</v>
      </c>
      <c r="CG1295">
        <v>0</v>
      </c>
      <c r="CH1295">
        <v>-0.24</v>
      </c>
      <c r="CI1295">
        <v>0</v>
      </c>
      <c r="CJ1295">
        <v>-12.1</v>
      </c>
      <c r="CK1295">
        <v>99</v>
      </c>
      <c r="CL1295">
        <v>-0.32</v>
      </c>
      <c r="CM1295">
        <v>99</v>
      </c>
      <c r="CN1295">
        <v>0.03</v>
      </c>
      <c r="CO1295">
        <v>99</v>
      </c>
      <c r="CP1295">
        <v>-20.3</v>
      </c>
      <c r="CQ1295">
        <v>99</v>
      </c>
      <c r="CR1295">
        <v>0</v>
      </c>
      <c r="CS1295">
        <v>0</v>
      </c>
      <c r="CT1295">
        <v>-30.3</v>
      </c>
      <c r="CU1295">
        <v>99</v>
      </c>
      <c r="CV1295">
        <v>-0.06</v>
      </c>
      <c r="CW1295">
        <v>46</v>
      </c>
      <c r="CX1295" t="s">
        <v>9794</v>
      </c>
    </row>
    <row r="1296" spans="1:102" x14ac:dyDescent="0.3">
      <c r="A1296" t="str">
        <f>HYPERLINK("https://webapp.icbf.com/v2/app/bull-search/view/672801939","KRD")</f>
        <v>KRD</v>
      </c>
      <c r="B1296" t="s">
        <v>12805</v>
      </c>
      <c r="C1296" t="s">
        <v>12806</v>
      </c>
      <c r="D1296" s="1">
        <v>39863</v>
      </c>
      <c r="E1296" t="s">
        <v>92</v>
      </c>
      <c r="F1296">
        <v>100</v>
      </c>
      <c r="G1296" t="s">
        <v>435</v>
      </c>
      <c r="H1296">
        <v>121.2</v>
      </c>
      <c r="I1296">
        <v>77</v>
      </c>
      <c r="J1296">
        <v>21.93</v>
      </c>
      <c r="K1296">
        <v>92</v>
      </c>
      <c r="L1296">
        <v>55.76</v>
      </c>
      <c r="M1296">
        <v>74</v>
      </c>
      <c r="N1296">
        <v>39.450000000000003</v>
      </c>
      <c r="O1296">
        <v>63</v>
      </c>
      <c r="P1296">
        <v>-9.02</v>
      </c>
      <c r="Q1296">
        <v>77</v>
      </c>
      <c r="R1296">
        <v>18.3</v>
      </c>
      <c r="S1296">
        <v>72</v>
      </c>
      <c r="T1296">
        <v>-2.97</v>
      </c>
      <c r="U1296">
        <v>56</v>
      </c>
      <c r="V1296">
        <v>-2.25</v>
      </c>
      <c r="W1296">
        <v>68</v>
      </c>
      <c r="X1296" t="s">
        <v>94</v>
      </c>
      <c r="Y1296" t="s">
        <v>1727</v>
      </c>
      <c r="Z1296" t="s">
        <v>96</v>
      </c>
      <c r="AA1296" t="s">
        <v>277</v>
      </c>
      <c r="AB1296" t="s">
        <v>12807</v>
      </c>
      <c r="AC1296">
        <v>1</v>
      </c>
      <c r="AD1296">
        <v>1</v>
      </c>
      <c r="AE1296">
        <v>92</v>
      </c>
      <c r="AF1296">
        <v>32.369999999999997</v>
      </c>
      <c r="AG1296">
        <v>3.66</v>
      </c>
      <c r="AH1296">
        <v>2.93</v>
      </c>
      <c r="AI1296">
        <v>0.04</v>
      </c>
      <c r="AJ1296">
        <v>0.04</v>
      </c>
      <c r="AK1296">
        <v>74</v>
      </c>
      <c r="AL1296">
        <v>12</v>
      </c>
      <c r="AM1296">
        <v>3</v>
      </c>
      <c r="AN1296">
        <v>-2.76</v>
      </c>
      <c r="AO1296">
        <v>1.69</v>
      </c>
      <c r="AP1296">
        <v>14</v>
      </c>
      <c r="AQ1296">
        <v>0</v>
      </c>
      <c r="AR1296">
        <v>4.21</v>
      </c>
      <c r="AS1296">
        <v>63</v>
      </c>
      <c r="AT1296">
        <v>1.54</v>
      </c>
      <c r="AU1296">
        <v>73</v>
      </c>
      <c r="AV1296">
        <v>-2.34</v>
      </c>
      <c r="AW1296">
        <v>62</v>
      </c>
      <c r="AX1296">
        <v>-0.7</v>
      </c>
      <c r="AY1296">
        <v>58</v>
      </c>
      <c r="AZ1296">
        <v>5.46</v>
      </c>
      <c r="BA1296">
        <v>53</v>
      </c>
      <c r="BB1296">
        <v>5.17</v>
      </c>
      <c r="BC1296">
        <v>54</v>
      </c>
      <c r="BD1296">
        <v>-0.04</v>
      </c>
      <c r="BE1296">
        <v>-0.06</v>
      </c>
      <c r="BF1296">
        <v>-0.24</v>
      </c>
      <c r="BG1296">
        <v>81</v>
      </c>
      <c r="BH1296">
        <v>-7.0000000000000007E-2</v>
      </c>
      <c r="BI1296">
        <v>-0.85</v>
      </c>
      <c r="BJ1296">
        <v>0</v>
      </c>
      <c r="BK1296">
        <v>0</v>
      </c>
      <c r="BL1296">
        <v>0</v>
      </c>
      <c r="BM1296">
        <v>0.03</v>
      </c>
      <c r="BN1296">
        <v>0.08</v>
      </c>
      <c r="BO1296">
        <v>-0.4</v>
      </c>
      <c r="BP1296">
        <v>-0.05</v>
      </c>
      <c r="BQ1296">
        <v>-2.58</v>
      </c>
      <c r="BR1296">
        <v>-1.65</v>
      </c>
      <c r="BS1296">
        <v>0.5</v>
      </c>
      <c r="BT1296">
        <v>0.4</v>
      </c>
      <c r="BU1296">
        <v>0.53</v>
      </c>
      <c r="BV1296">
        <v>-0.39</v>
      </c>
      <c r="BW1296">
        <v>-1.42</v>
      </c>
      <c r="BX1296">
        <v>0.15</v>
      </c>
      <c r="BY1296">
        <v>-1.1499999999999999</v>
      </c>
      <c r="BZ1296">
        <v>-1.1499999999999999</v>
      </c>
      <c r="CA1296">
        <v>0.31</v>
      </c>
      <c r="CB1296">
        <v>-0.15</v>
      </c>
      <c r="CC1296">
        <v>0.34</v>
      </c>
      <c r="CD1296">
        <v>0.54</v>
      </c>
      <c r="CE1296">
        <v>0.23</v>
      </c>
      <c r="CF1296">
        <v>1</v>
      </c>
      <c r="CG1296">
        <v>0</v>
      </c>
      <c r="CH1296">
        <v>0.5</v>
      </c>
      <c r="CI1296">
        <v>0</v>
      </c>
      <c r="CJ1296">
        <v>-4.0999999999999996</v>
      </c>
      <c r="CK1296">
        <v>79</v>
      </c>
      <c r="CL1296">
        <v>-0.69</v>
      </c>
      <c r="CM1296">
        <v>76</v>
      </c>
      <c r="CN1296">
        <v>-0.32</v>
      </c>
      <c r="CO1296">
        <v>75</v>
      </c>
      <c r="CP1296">
        <v>0.1</v>
      </c>
      <c r="CQ1296">
        <v>63</v>
      </c>
      <c r="CR1296">
        <v>0</v>
      </c>
      <c r="CS1296">
        <v>0</v>
      </c>
      <c r="CT1296">
        <v>17.8</v>
      </c>
      <c r="CU1296">
        <v>56</v>
      </c>
      <c r="CV1296">
        <v>0.11</v>
      </c>
      <c r="CW1296">
        <v>42</v>
      </c>
      <c r="CX1296" t="s">
        <v>316</v>
      </c>
    </row>
    <row r="1297" spans="1:102" x14ac:dyDescent="0.3">
      <c r="A1297" t="str">
        <f>HYPERLINK("https://webapp.icbf.com/v2/app/bull-search/view/386618610","RMU")</f>
        <v>RMU</v>
      </c>
      <c r="B1297" t="s">
        <v>8128</v>
      </c>
      <c r="C1297" t="s">
        <v>5260</v>
      </c>
      <c r="D1297" s="1">
        <v>36421</v>
      </c>
      <c r="E1297" t="s">
        <v>227</v>
      </c>
      <c r="F1297">
        <v>0</v>
      </c>
      <c r="G1297" t="s">
        <v>93</v>
      </c>
      <c r="H1297">
        <v>121.15</v>
      </c>
      <c r="I1297">
        <v>96</v>
      </c>
      <c r="J1297">
        <v>61.77</v>
      </c>
      <c r="K1297">
        <v>99</v>
      </c>
      <c r="L1297">
        <v>26.73</v>
      </c>
      <c r="M1297">
        <v>92</v>
      </c>
      <c r="N1297">
        <v>35.04</v>
      </c>
      <c r="O1297">
        <v>95</v>
      </c>
      <c r="P1297">
        <v>-55.79</v>
      </c>
      <c r="Q1297">
        <v>97</v>
      </c>
      <c r="R1297">
        <v>-7.99</v>
      </c>
      <c r="S1297">
        <v>94</v>
      </c>
      <c r="T1297">
        <v>59.41</v>
      </c>
      <c r="U1297">
        <v>97</v>
      </c>
      <c r="V1297">
        <v>1.98</v>
      </c>
      <c r="W1297">
        <v>96</v>
      </c>
      <c r="X1297" t="s">
        <v>302</v>
      </c>
      <c r="Y1297" t="s">
        <v>95</v>
      </c>
      <c r="Z1297">
        <v>0</v>
      </c>
      <c r="AA1297" t="s">
        <v>8129</v>
      </c>
      <c r="AB1297" t="s">
        <v>8130</v>
      </c>
      <c r="AC1297">
        <v>426</v>
      </c>
      <c r="AD1297">
        <v>133</v>
      </c>
      <c r="AE1297">
        <v>99</v>
      </c>
      <c r="AF1297">
        <v>-439.28</v>
      </c>
      <c r="AG1297">
        <v>15.13</v>
      </c>
      <c r="AH1297">
        <v>-1.57</v>
      </c>
      <c r="AI1297">
        <v>0.61</v>
      </c>
      <c r="AJ1297">
        <v>0.25</v>
      </c>
      <c r="AK1297">
        <v>92</v>
      </c>
      <c r="AL1297">
        <v>429</v>
      </c>
      <c r="AM1297">
        <v>127</v>
      </c>
      <c r="AN1297">
        <v>-1.58</v>
      </c>
      <c r="AO1297">
        <v>0.55000000000000004</v>
      </c>
      <c r="AP1297">
        <v>633</v>
      </c>
      <c r="AQ1297">
        <v>3</v>
      </c>
      <c r="AR1297">
        <v>2.16</v>
      </c>
      <c r="AS1297">
        <v>94</v>
      </c>
      <c r="AT1297">
        <v>1.27</v>
      </c>
      <c r="AU1297">
        <v>95</v>
      </c>
      <c r="AV1297">
        <v>-2.14</v>
      </c>
      <c r="AW1297">
        <v>99</v>
      </c>
      <c r="AX1297">
        <v>0.03</v>
      </c>
      <c r="AY1297">
        <v>94</v>
      </c>
      <c r="AZ1297">
        <v>7.06</v>
      </c>
      <c r="BA1297">
        <v>86</v>
      </c>
      <c r="BB1297">
        <v>5.69</v>
      </c>
      <c r="BC1297">
        <v>88</v>
      </c>
      <c r="BD1297">
        <v>-0.05</v>
      </c>
      <c r="BE1297">
        <v>0.03</v>
      </c>
      <c r="BF1297">
        <v>0.21</v>
      </c>
      <c r="BG1297">
        <v>97</v>
      </c>
      <c r="BH1297">
        <v>0.15</v>
      </c>
      <c r="BI1297">
        <v>10.96</v>
      </c>
      <c r="BJ1297">
        <v>40</v>
      </c>
      <c r="BK1297">
        <v>16</v>
      </c>
      <c r="BL1297">
        <v>-3.21</v>
      </c>
      <c r="BM1297">
        <v>-0.42</v>
      </c>
      <c r="BN1297">
        <v>-0.61</v>
      </c>
      <c r="BO1297">
        <v>-0.16</v>
      </c>
      <c r="BP1297">
        <v>-0.49</v>
      </c>
      <c r="BQ1297">
        <v>-5.43</v>
      </c>
      <c r="BR1297">
        <v>3.8</v>
      </c>
      <c r="BS1297">
        <v>3.2</v>
      </c>
      <c r="BT1297">
        <v>-3.42</v>
      </c>
      <c r="BU1297">
        <v>-1.53</v>
      </c>
      <c r="BV1297">
        <v>-1.25</v>
      </c>
      <c r="BW1297">
        <v>-3.81</v>
      </c>
      <c r="BX1297">
        <v>-5.19</v>
      </c>
      <c r="BY1297">
        <v>-1.99</v>
      </c>
      <c r="BZ1297">
        <v>1.2</v>
      </c>
      <c r="CA1297">
        <v>-0.82</v>
      </c>
      <c r="CB1297">
        <v>-1.72</v>
      </c>
      <c r="CC1297">
        <v>1.45</v>
      </c>
      <c r="CD1297">
        <v>-0.66</v>
      </c>
      <c r="CE1297">
        <v>-0.98</v>
      </c>
      <c r="CF1297">
        <v>-4.05</v>
      </c>
      <c r="CG1297">
        <v>0</v>
      </c>
      <c r="CH1297">
        <v>-1.55</v>
      </c>
      <c r="CI1297">
        <v>0</v>
      </c>
      <c r="CJ1297">
        <v>-27</v>
      </c>
      <c r="CK1297">
        <v>97</v>
      </c>
      <c r="CL1297">
        <v>-1</v>
      </c>
      <c r="CM1297">
        <v>96</v>
      </c>
      <c r="CN1297">
        <v>0.13</v>
      </c>
      <c r="CO1297">
        <v>96</v>
      </c>
      <c r="CP1297">
        <v>-44.6</v>
      </c>
      <c r="CQ1297">
        <v>97</v>
      </c>
      <c r="CR1297">
        <v>0</v>
      </c>
      <c r="CS1297">
        <v>0</v>
      </c>
      <c r="CT1297">
        <v>-66.5</v>
      </c>
      <c r="CU1297">
        <v>97</v>
      </c>
      <c r="CV1297">
        <v>-0.21</v>
      </c>
      <c r="CW1297">
        <v>45</v>
      </c>
      <c r="CX1297" t="s">
        <v>514</v>
      </c>
    </row>
    <row r="1298" spans="1:102" x14ac:dyDescent="0.3">
      <c r="A1298" t="str">
        <f>HYPERLINK("https://webapp.icbf.com/v2/app/bull-search/view/69092023","JSB")</f>
        <v>JSB</v>
      </c>
      <c r="B1298" t="s">
        <v>12205</v>
      </c>
      <c r="C1298" t="s">
        <v>4355</v>
      </c>
      <c r="D1298" s="1">
        <v>32253</v>
      </c>
      <c r="E1298" t="s">
        <v>227</v>
      </c>
      <c r="F1298">
        <v>0</v>
      </c>
      <c r="G1298" t="s">
        <v>93</v>
      </c>
      <c r="H1298">
        <v>121.1</v>
      </c>
      <c r="I1298">
        <v>82</v>
      </c>
      <c r="J1298">
        <v>14.37</v>
      </c>
      <c r="K1298">
        <v>92</v>
      </c>
      <c r="L1298">
        <v>88.68</v>
      </c>
      <c r="M1298">
        <v>85</v>
      </c>
      <c r="N1298">
        <v>3.89</v>
      </c>
      <c r="O1298">
        <v>67</v>
      </c>
      <c r="P1298">
        <v>-85</v>
      </c>
      <c r="Q1298">
        <v>75</v>
      </c>
      <c r="R1298">
        <v>9.1</v>
      </c>
      <c r="S1298">
        <v>67</v>
      </c>
      <c r="T1298">
        <v>87.53</v>
      </c>
      <c r="U1298">
        <v>76</v>
      </c>
      <c r="V1298">
        <v>2.5299999999999998</v>
      </c>
      <c r="W1298">
        <v>51</v>
      </c>
      <c r="X1298" t="s">
        <v>94</v>
      </c>
      <c r="Y1298" t="s">
        <v>95</v>
      </c>
      <c r="Z1298" t="s">
        <v>96</v>
      </c>
      <c r="AA1298" t="s">
        <v>555</v>
      </c>
      <c r="AB1298" t="s">
        <v>12206</v>
      </c>
      <c r="AC1298">
        <v>50</v>
      </c>
      <c r="AD1298">
        <v>11</v>
      </c>
      <c r="AE1298">
        <v>92</v>
      </c>
      <c r="AF1298">
        <v>-818.34</v>
      </c>
      <c r="AG1298">
        <v>7.88</v>
      </c>
      <c r="AH1298">
        <v>-12.87</v>
      </c>
      <c r="AI1298">
        <v>0.76</v>
      </c>
      <c r="AJ1298">
        <v>0.28999999999999998</v>
      </c>
      <c r="AK1298">
        <v>85</v>
      </c>
      <c r="AL1298">
        <v>72</v>
      </c>
      <c r="AM1298">
        <v>20</v>
      </c>
      <c r="AN1298">
        <v>-2.69</v>
      </c>
      <c r="AO1298">
        <v>4.41</v>
      </c>
      <c r="AP1298">
        <v>9</v>
      </c>
      <c r="AQ1298">
        <v>0</v>
      </c>
      <c r="AR1298">
        <v>4.4800000000000004</v>
      </c>
      <c r="AS1298">
        <v>53</v>
      </c>
      <c r="AT1298">
        <v>1.79</v>
      </c>
      <c r="AU1298">
        <v>59</v>
      </c>
      <c r="AV1298">
        <v>1.59</v>
      </c>
      <c r="AW1298">
        <v>78</v>
      </c>
      <c r="AX1298">
        <v>0.27</v>
      </c>
      <c r="AY1298">
        <v>79</v>
      </c>
      <c r="AZ1298">
        <v>6.27</v>
      </c>
      <c r="BA1298">
        <v>40</v>
      </c>
      <c r="BB1298">
        <v>4.93</v>
      </c>
      <c r="BC1298">
        <v>57</v>
      </c>
      <c r="BD1298">
        <v>-0.02</v>
      </c>
      <c r="BE1298">
        <v>-0.04</v>
      </c>
      <c r="BF1298">
        <v>-0.1</v>
      </c>
      <c r="BG1298">
        <v>82</v>
      </c>
      <c r="BH1298">
        <v>0.17</v>
      </c>
      <c r="BI1298">
        <v>11.5</v>
      </c>
      <c r="BJ1298">
        <v>0</v>
      </c>
      <c r="BK1298">
        <v>0</v>
      </c>
      <c r="BL1298">
        <v>-1.93</v>
      </c>
      <c r="BM1298">
        <v>-2.19</v>
      </c>
      <c r="BN1298">
        <v>-0.51</v>
      </c>
      <c r="BO1298">
        <v>1.45</v>
      </c>
      <c r="BP1298">
        <v>-0.32</v>
      </c>
      <c r="BQ1298">
        <v>-5.96</v>
      </c>
      <c r="BR1298">
        <v>1.5</v>
      </c>
      <c r="BS1298">
        <v>7.29</v>
      </c>
      <c r="BT1298">
        <v>-0.79</v>
      </c>
      <c r="BU1298">
        <v>0.08</v>
      </c>
      <c r="BV1298">
        <v>0.48</v>
      </c>
      <c r="BW1298">
        <v>-1.25</v>
      </c>
      <c r="BX1298">
        <v>-2.98</v>
      </c>
      <c r="BY1298">
        <v>0.28000000000000003</v>
      </c>
      <c r="BZ1298">
        <v>-1.02</v>
      </c>
      <c r="CA1298">
        <v>1.76</v>
      </c>
      <c r="CB1298">
        <v>0.03</v>
      </c>
      <c r="CC1298">
        <v>4.51</v>
      </c>
      <c r="CD1298">
        <v>-2.4500000000000002</v>
      </c>
      <c r="CE1298">
        <v>1.17</v>
      </c>
      <c r="CF1298">
        <v>-1.97</v>
      </c>
      <c r="CG1298">
        <v>0</v>
      </c>
      <c r="CH1298">
        <v>-0.77</v>
      </c>
      <c r="CI1298">
        <v>0</v>
      </c>
      <c r="CJ1298">
        <v>-46</v>
      </c>
      <c r="CK1298">
        <v>76</v>
      </c>
      <c r="CL1298">
        <v>-1.24</v>
      </c>
      <c r="CM1298">
        <v>73</v>
      </c>
      <c r="CN1298">
        <v>-0.13</v>
      </c>
      <c r="CO1298">
        <v>69</v>
      </c>
      <c r="CP1298">
        <v>-68.3</v>
      </c>
      <c r="CQ1298">
        <v>84</v>
      </c>
      <c r="CR1298">
        <v>0</v>
      </c>
      <c r="CS1298">
        <v>0</v>
      </c>
      <c r="CT1298">
        <v>-104.5</v>
      </c>
      <c r="CU1298">
        <v>76</v>
      </c>
      <c r="CV1298">
        <v>-0.6</v>
      </c>
      <c r="CW1298">
        <v>20</v>
      </c>
      <c r="CX1298" t="s">
        <v>12207</v>
      </c>
    </row>
    <row r="1299" spans="1:102" x14ac:dyDescent="0.3">
      <c r="A1299" t="str">
        <f>HYPERLINK("https://webapp.icbf.com/v2/app/bull-search/view/509385461","SUS")</f>
        <v>SUS</v>
      </c>
      <c r="B1299" t="s">
        <v>12097</v>
      </c>
      <c r="C1299" t="s">
        <v>12098</v>
      </c>
      <c r="D1299" s="1">
        <v>36051</v>
      </c>
      <c r="E1299" t="s">
        <v>395</v>
      </c>
      <c r="F1299">
        <v>0</v>
      </c>
      <c r="G1299" t="s">
        <v>93</v>
      </c>
      <c r="H1299">
        <v>120.96</v>
      </c>
      <c r="I1299">
        <v>78</v>
      </c>
      <c r="J1299">
        <v>17.93</v>
      </c>
      <c r="K1299">
        <v>91</v>
      </c>
      <c r="L1299">
        <v>68.709999999999994</v>
      </c>
      <c r="M1299">
        <v>73</v>
      </c>
      <c r="N1299">
        <v>20.98</v>
      </c>
      <c r="O1299">
        <v>69</v>
      </c>
      <c r="P1299">
        <v>-6.46</v>
      </c>
      <c r="Q1299">
        <v>80</v>
      </c>
      <c r="R1299">
        <v>5.92</v>
      </c>
      <c r="S1299">
        <v>58</v>
      </c>
      <c r="T1299">
        <v>14.79</v>
      </c>
      <c r="U1299">
        <v>66</v>
      </c>
      <c r="V1299">
        <v>-0.91</v>
      </c>
      <c r="W1299">
        <v>67</v>
      </c>
      <c r="X1299" t="s">
        <v>94</v>
      </c>
      <c r="Y1299" t="s">
        <v>95</v>
      </c>
      <c r="Z1299">
        <v>0</v>
      </c>
      <c r="AA1299" t="s">
        <v>12099</v>
      </c>
      <c r="AB1299" t="s">
        <v>12100</v>
      </c>
      <c r="AC1299">
        <v>40</v>
      </c>
      <c r="AD1299">
        <v>18</v>
      </c>
      <c r="AE1299">
        <v>91</v>
      </c>
      <c r="AF1299">
        <v>-68.37</v>
      </c>
      <c r="AG1299">
        <v>0.12</v>
      </c>
      <c r="AH1299">
        <v>1.96</v>
      </c>
      <c r="AI1299">
        <v>0.05</v>
      </c>
      <c r="AJ1299">
        <v>7.0000000000000007E-2</v>
      </c>
      <c r="AK1299">
        <v>73</v>
      </c>
      <c r="AL1299">
        <v>45</v>
      </c>
      <c r="AM1299">
        <v>20</v>
      </c>
      <c r="AN1299">
        <v>-3.73</v>
      </c>
      <c r="AO1299">
        <v>1.75</v>
      </c>
      <c r="AP1299">
        <v>40</v>
      </c>
      <c r="AQ1299">
        <v>2</v>
      </c>
      <c r="AR1299">
        <v>6.15</v>
      </c>
      <c r="AS1299">
        <v>36</v>
      </c>
      <c r="AT1299">
        <v>2.62</v>
      </c>
      <c r="AU1299">
        <v>68</v>
      </c>
      <c r="AV1299">
        <v>-0.69</v>
      </c>
      <c r="AW1299">
        <v>90</v>
      </c>
      <c r="AX1299">
        <v>-0.92</v>
      </c>
      <c r="AY1299">
        <v>62</v>
      </c>
      <c r="AZ1299">
        <v>4.96</v>
      </c>
      <c r="BA1299">
        <v>26</v>
      </c>
      <c r="BB1299">
        <v>4.2699999999999996</v>
      </c>
      <c r="BC1299">
        <v>42</v>
      </c>
      <c r="BD1299">
        <v>-0.03</v>
      </c>
      <c r="BE1299">
        <v>-0.04</v>
      </c>
      <c r="BF1299">
        <v>-0.01</v>
      </c>
      <c r="BG1299">
        <v>65</v>
      </c>
      <c r="BH1299">
        <v>0.02</v>
      </c>
      <c r="BI1299">
        <v>5.26</v>
      </c>
      <c r="BJ1299">
        <v>0</v>
      </c>
      <c r="BK1299">
        <v>0</v>
      </c>
      <c r="BL1299">
        <v>-1.48</v>
      </c>
      <c r="BM1299">
        <v>0.76</v>
      </c>
      <c r="BN1299">
        <v>-1.36</v>
      </c>
      <c r="BO1299">
        <v>-1.45</v>
      </c>
      <c r="BP1299">
        <v>1.34</v>
      </c>
      <c r="BQ1299">
        <v>-0.76</v>
      </c>
      <c r="BR1299">
        <v>0.53</v>
      </c>
      <c r="BS1299">
        <v>0.25</v>
      </c>
      <c r="BT1299">
        <v>-0.7</v>
      </c>
      <c r="BU1299">
        <v>-1.21</v>
      </c>
      <c r="BV1299">
        <v>-2.19</v>
      </c>
      <c r="BW1299">
        <v>-1.75</v>
      </c>
      <c r="BX1299">
        <v>-1.23</v>
      </c>
      <c r="BY1299">
        <v>-1.03</v>
      </c>
      <c r="BZ1299">
        <v>-1.35</v>
      </c>
      <c r="CA1299">
        <v>-1.46</v>
      </c>
      <c r="CB1299">
        <v>-1.73</v>
      </c>
      <c r="CC1299">
        <v>-0.38</v>
      </c>
      <c r="CD1299">
        <v>1.2</v>
      </c>
      <c r="CE1299">
        <v>-1.41</v>
      </c>
      <c r="CF1299">
        <v>-1.63</v>
      </c>
      <c r="CG1299">
        <v>0</v>
      </c>
      <c r="CH1299">
        <v>-1.32</v>
      </c>
      <c r="CI1299">
        <v>0</v>
      </c>
      <c r="CJ1299">
        <v>-2.1</v>
      </c>
      <c r="CK1299">
        <v>82</v>
      </c>
      <c r="CL1299">
        <v>-0.3</v>
      </c>
      <c r="CM1299">
        <v>79</v>
      </c>
      <c r="CN1299">
        <v>-0.06</v>
      </c>
      <c r="CO1299">
        <v>76</v>
      </c>
      <c r="CP1299">
        <v>-7.8</v>
      </c>
      <c r="CQ1299">
        <v>77</v>
      </c>
      <c r="CR1299">
        <v>0</v>
      </c>
      <c r="CS1299">
        <v>0</v>
      </c>
      <c r="CT1299">
        <v>-6.2</v>
      </c>
      <c r="CU1299">
        <v>66</v>
      </c>
      <c r="CV1299">
        <v>-0.03</v>
      </c>
      <c r="CW1299">
        <v>22</v>
      </c>
      <c r="CX1299" t="s">
        <v>12101</v>
      </c>
    </row>
    <row r="1300" spans="1:102" x14ac:dyDescent="0.3">
      <c r="A1300" t="str">
        <f>HYPERLINK("https://webapp.icbf.com/v2/app/bull-search/view/910794503","S1538")</f>
        <v>S1538</v>
      </c>
      <c r="B1300" t="s">
        <v>14909</v>
      </c>
      <c r="C1300" t="s">
        <v>14910</v>
      </c>
      <c r="D1300" s="1">
        <v>40213</v>
      </c>
      <c r="E1300" t="s">
        <v>146</v>
      </c>
      <c r="F1300">
        <v>0</v>
      </c>
      <c r="G1300" t="s">
        <v>109</v>
      </c>
      <c r="H1300">
        <v>120.74</v>
      </c>
      <c r="I1300">
        <v>66</v>
      </c>
      <c r="J1300">
        <v>13.54</v>
      </c>
      <c r="K1300">
        <v>75</v>
      </c>
      <c r="L1300">
        <v>49.91</v>
      </c>
      <c r="M1300">
        <v>60</v>
      </c>
      <c r="N1300">
        <v>30.11</v>
      </c>
      <c r="O1300">
        <v>77</v>
      </c>
      <c r="P1300">
        <v>9.3000000000000007</v>
      </c>
      <c r="Q1300">
        <v>84</v>
      </c>
      <c r="R1300">
        <v>8.19</v>
      </c>
      <c r="S1300">
        <v>55</v>
      </c>
      <c r="T1300">
        <v>16.86</v>
      </c>
      <c r="U1300">
        <v>53</v>
      </c>
      <c r="V1300">
        <v>-7.17</v>
      </c>
      <c r="W1300">
        <v>15</v>
      </c>
      <c r="X1300" t="s">
        <v>94</v>
      </c>
      <c r="Y1300" t="s">
        <v>362</v>
      </c>
      <c r="Z1300">
        <v>0</v>
      </c>
      <c r="AA1300" t="s">
        <v>5819</v>
      </c>
      <c r="AB1300" t="s">
        <v>14911</v>
      </c>
      <c r="AC1300">
        <v>0</v>
      </c>
      <c r="AD1300">
        <v>0</v>
      </c>
      <c r="AE1300">
        <v>75</v>
      </c>
      <c r="AF1300">
        <v>-217.9</v>
      </c>
      <c r="AG1300">
        <v>1.21</v>
      </c>
      <c r="AH1300">
        <v>-1.46</v>
      </c>
      <c r="AI1300">
        <v>0.17</v>
      </c>
      <c r="AJ1300">
        <v>0.1</v>
      </c>
      <c r="AK1300">
        <v>60</v>
      </c>
      <c r="AL1300">
        <v>0</v>
      </c>
      <c r="AM1300">
        <v>0</v>
      </c>
      <c r="AN1300">
        <v>-1.97</v>
      </c>
      <c r="AO1300">
        <v>2.02</v>
      </c>
      <c r="AP1300">
        <v>98</v>
      </c>
      <c r="AQ1300">
        <v>0</v>
      </c>
      <c r="AR1300">
        <v>7.68</v>
      </c>
      <c r="AS1300">
        <v>54</v>
      </c>
      <c r="AT1300">
        <v>3</v>
      </c>
      <c r="AU1300">
        <v>82</v>
      </c>
      <c r="AV1300">
        <v>-3.26</v>
      </c>
      <c r="AW1300">
        <v>92</v>
      </c>
      <c r="AX1300">
        <v>-0.53</v>
      </c>
      <c r="AY1300">
        <v>66</v>
      </c>
      <c r="AZ1300">
        <v>5.97</v>
      </c>
      <c r="BA1300">
        <v>52</v>
      </c>
      <c r="BB1300">
        <v>4.72</v>
      </c>
      <c r="BC1300">
        <v>46</v>
      </c>
      <c r="BD1300">
        <v>-0.02</v>
      </c>
      <c r="BE1300">
        <v>-0.05</v>
      </c>
      <c r="BF1300">
        <v>-0.06</v>
      </c>
      <c r="BG1300">
        <v>80</v>
      </c>
      <c r="BH1300">
        <v>-0.21</v>
      </c>
      <c r="BI1300">
        <v>-1.1499999999999999</v>
      </c>
      <c r="BJ1300">
        <v>0</v>
      </c>
      <c r="BK1300">
        <v>0</v>
      </c>
      <c r="BL1300">
        <v>-1.1399999999999999</v>
      </c>
      <c r="BM1300">
        <v>2.63</v>
      </c>
      <c r="BN1300">
        <v>-0.3</v>
      </c>
      <c r="BO1300">
        <v>-1.33</v>
      </c>
      <c r="BP1300">
        <v>1.79</v>
      </c>
      <c r="BQ1300">
        <v>0.84</v>
      </c>
      <c r="BR1300">
        <v>-7.0000000000000007E-2</v>
      </c>
      <c r="BS1300">
        <v>1.08</v>
      </c>
      <c r="BT1300">
        <v>-0.65</v>
      </c>
      <c r="BU1300">
        <v>-0.15</v>
      </c>
      <c r="BV1300">
        <v>-2.77</v>
      </c>
      <c r="BW1300">
        <v>-1.97</v>
      </c>
      <c r="BX1300">
        <v>-0.12</v>
      </c>
      <c r="BY1300">
        <v>-1.1399999999999999</v>
      </c>
      <c r="BZ1300">
        <v>-0.11</v>
      </c>
      <c r="CA1300">
        <v>-0.61</v>
      </c>
      <c r="CB1300">
        <v>-0.95</v>
      </c>
      <c r="CC1300">
        <v>0.4</v>
      </c>
      <c r="CD1300">
        <v>2.59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2.9</v>
      </c>
      <c r="CK1300">
        <v>87</v>
      </c>
      <c r="CL1300">
        <v>0.11</v>
      </c>
      <c r="CM1300">
        <v>84</v>
      </c>
      <c r="CN1300">
        <v>-0.38</v>
      </c>
      <c r="CO1300">
        <v>83</v>
      </c>
      <c r="CP1300">
        <v>-1.9</v>
      </c>
      <c r="CQ1300">
        <v>67</v>
      </c>
      <c r="CR1300">
        <v>0</v>
      </c>
      <c r="CS1300">
        <v>0</v>
      </c>
      <c r="CT1300">
        <v>-9</v>
      </c>
      <c r="CU1300">
        <v>53</v>
      </c>
      <c r="CV1300">
        <v>-0.12</v>
      </c>
      <c r="CW1300">
        <v>43</v>
      </c>
      <c r="CX1300" t="s">
        <v>7111</v>
      </c>
    </row>
    <row r="1301" spans="1:102" x14ac:dyDescent="0.3">
      <c r="A1301" t="str">
        <f>HYPERLINK("https://webapp.icbf.com/v2/app/bull-search/view/440182588","PLU")</f>
        <v>PLU</v>
      </c>
      <c r="B1301" t="s">
        <v>11934</v>
      </c>
      <c r="C1301" t="s">
        <v>11935</v>
      </c>
      <c r="D1301" s="1">
        <v>38346</v>
      </c>
      <c r="E1301" t="s">
        <v>108</v>
      </c>
      <c r="F1301">
        <v>0</v>
      </c>
      <c r="G1301" t="s">
        <v>93</v>
      </c>
      <c r="H1301">
        <v>120.73</v>
      </c>
      <c r="I1301">
        <v>94</v>
      </c>
      <c r="J1301">
        <v>-5.45</v>
      </c>
      <c r="K1301">
        <v>99</v>
      </c>
      <c r="L1301">
        <v>91.8</v>
      </c>
      <c r="M1301">
        <v>88</v>
      </c>
      <c r="N1301">
        <v>2.77</v>
      </c>
      <c r="O1301">
        <v>94</v>
      </c>
      <c r="P1301">
        <v>-9.3699999999999992</v>
      </c>
      <c r="Q1301">
        <v>98</v>
      </c>
      <c r="R1301">
        <v>-0.27</v>
      </c>
      <c r="S1301">
        <v>92</v>
      </c>
      <c r="T1301">
        <v>25.22</v>
      </c>
      <c r="U1301">
        <v>95</v>
      </c>
      <c r="V1301">
        <v>16.03</v>
      </c>
      <c r="W1301">
        <v>93</v>
      </c>
      <c r="X1301" t="s">
        <v>102</v>
      </c>
      <c r="Y1301" t="s">
        <v>228</v>
      </c>
      <c r="Z1301" t="s">
        <v>96</v>
      </c>
      <c r="AA1301" t="s">
        <v>11936</v>
      </c>
      <c r="AB1301" t="s">
        <v>11937</v>
      </c>
      <c r="AC1301">
        <v>273</v>
      </c>
      <c r="AD1301">
        <v>169</v>
      </c>
      <c r="AE1301">
        <v>99</v>
      </c>
      <c r="AF1301">
        <v>-28.86</v>
      </c>
      <c r="AG1301">
        <v>-2.57</v>
      </c>
      <c r="AH1301">
        <v>-0.46</v>
      </c>
      <c r="AI1301">
        <v>-0.03</v>
      </c>
      <c r="AJ1301">
        <v>0.01</v>
      </c>
      <c r="AK1301">
        <v>88</v>
      </c>
      <c r="AL1301">
        <v>323</v>
      </c>
      <c r="AM1301">
        <v>191</v>
      </c>
      <c r="AN1301">
        <v>-5.0999999999999996</v>
      </c>
      <c r="AO1301">
        <v>2.2200000000000002</v>
      </c>
      <c r="AP1301">
        <v>535</v>
      </c>
      <c r="AQ1301">
        <v>8</v>
      </c>
      <c r="AR1301">
        <v>9.39</v>
      </c>
      <c r="AS1301">
        <v>86</v>
      </c>
      <c r="AT1301">
        <v>3.78</v>
      </c>
      <c r="AU1301">
        <v>95</v>
      </c>
      <c r="AV1301">
        <v>-3.36</v>
      </c>
      <c r="AW1301">
        <v>99</v>
      </c>
      <c r="AX1301">
        <v>0.72</v>
      </c>
      <c r="AY1301">
        <v>94</v>
      </c>
      <c r="AZ1301">
        <v>7.2</v>
      </c>
      <c r="BA1301">
        <v>82</v>
      </c>
      <c r="BB1301">
        <v>6.69</v>
      </c>
      <c r="BC1301">
        <v>87</v>
      </c>
      <c r="BD1301">
        <v>0.02</v>
      </c>
      <c r="BE1301">
        <v>-0.03</v>
      </c>
      <c r="BF1301">
        <v>0.03</v>
      </c>
      <c r="BG1301">
        <v>96</v>
      </c>
      <c r="BH1301">
        <v>0.31</v>
      </c>
      <c r="BI1301">
        <v>-15.84</v>
      </c>
      <c r="BJ1301">
        <v>62</v>
      </c>
      <c r="BK1301">
        <v>32</v>
      </c>
      <c r="BL1301">
        <v>-2.72</v>
      </c>
      <c r="BM1301">
        <v>0.79</v>
      </c>
      <c r="BN1301">
        <v>-3.19</v>
      </c>
      <c r="BO1301">
        <v>-2.75</v>
      </c>
      <c r="BP1301">
        <v>-2.83</v>
      </c>
      <c r="BQ1301">
        <v>2.2200000000000002</v>
      </c>
      <c r="BR1301">
        <v>-0.56999999999999995</v>
      </c>
      <c r="BS1301">
        <v>-2.35</v>
      </c>
      <c r="BT1301">
        <v>-0.45</v>
      </c>
      <c r="BU1301">
        <v>-2.96</v>
      </c>
      <c r="BV1301">
        <v>-2.54</v>
      </c>
      <c r="BW1301">
        <v>-1.88</v>
      </c>
      <c r="BX1301">
        <v>-0.24</v>
      </c>
      <c r="BY1301">
        <v>0.06</v>
      </c>
      <c r="BZ1301">
        <v>-0.78</v>
      </c>
      <c r="CA1301">
        <v>-2.83</v>
      </c>
      <c r="CB1301">
        <v>-2.36</v>
      </c>
      <c r="CC1301">
        <v>-2.89</v>
      </c>
      <c r="CD1301">
        <v>1.64</v>
      </c>
      <c r="CE1301">
        <v>-2.0699999999999998</v>
      </c>
      <c r="CF1301">
        <v>-1.85</v>
      </c>
      <c r="CG1301">
        <v>0</v>
      </c>
      <c r="CH1301">
        <v>-0.12</v>
      </c>
      <c r="CI1301">
        <v>0</v>
      </c>
      <c r="CJ1301">
        <v>-4.2</v>
      </c>
      <c r="CK1301">
        <v>98</v>
      </c>
      <c r="CL1301">
        <v>-0.15</v>
      </c>
      <c r="CM1301">
        <v>98</v>
      </c>
      <c r="CN1301">
        <v>-0.02</v>
      </c>
      <c r="CO1301">
        <v>98</v>
      </c>
      <c r="CP1301">
        <v>-15.1</v>
      </c>
      <c r="CQ1301">
        <v>97</v>
      </c>
      <c r="CR1301">
        <v>0</v>
      </c>
      <c r="CS1301">
        <v>0</v>
      </c>
      <c r="CT1301">
        <v>-20.3</v>
      </c>
      <c r="CU1301">
        <v>95</v>
      </c>
      <c r="CV1301">
        <v>0.02</v>
      </c>
      <c r="CW1301">
        <v>46</v>
      </c>
      <c r="CX1301" t="s">
        <v>3562</v>
      </c>
    </row>
    <row r="1302" spans="1:102" x14ac:dyDescent="0.3">
      <c r="A1302" t="str">
        <f>HYPERLINK("https://webapp.icbf.com/v2/app/bull-search/view/694208848","KGZ")</f>
        <v>KGZ</v>
      </c>
      <c r="B1302" t="s">
        <v>12830</v>
      </c>
      <c r="C1302" t="s">
        <v>12831</v>
      </c>
      <c r="D1302" s="1">
        <v>39952</v>
      </c>
      <c r="E1302" t="s">
        <v>92</v>
      </c>
      <c r="F1302">
        <v>94</v>
      </c>
      <c r="G1302" t="s">
        <v>93</v>
      </c>
      <c r="H1302">
        <v>120.72</v>
      </c>
      <c r="I1302">
        <v>92</v>
      </c>
      <c r="J1302">
        <v>-10.67</v>
      </c>
      <c r="K1302">
        <v>98</v>
      </c>
      <c r="L1302">
        <v>83.18</v>
      </c>
      <c r="M1302">
        <v>86</v>
      </c>
      <c r="N1302">
        <v>35.229999999999997</v>
      </c>
      <c r="O1302">
        <v>93</v>
      </c>
      <c r="P1302">
        <v>-12.84</v>
      </c>
      <c r="Q1302">
        <v>97</v>
      </c>
      <c r="R1302">
        <v>13.8</v>
      </c>
      <c r="S1302">
        <v>85</v>
      </c>
      <c r="T1302">
        <v>6.87</v>
      </c>
      <c r="U1302">
        <v>92</v>
      </c>
      <c r="V1302">
        <v>5.15</v>
      </c>
      <c r="W1302">
        <v>84</v>
      </c>
      <c r="X1302" t="s">
        <v>102</v>
      </c>
      <c r="Y1302" t="s">
        <v>1727</v>
      </c>
      <c r="Z1302" t="s">
        <v>96</v>
      </c>
      <c r="AA1302" t="s">
        <v>1376</v>
      </c>
      <c r="AB1302" t="s">
        <v>12107</v>
      </c>
      <c r="AC1302">
        <v>271</v>
      </c>
      <c r="AD1302">
        <v>137</v>
      </c>
      <c r="AE1302">
        <v>98</v>
      </c>
      <c r="AF1302">
        <v>87.14</v>
      </c>
      <c r="AG1302">
        <v>-9.36</v>
      </c>
      <c r="AH1302">
        <v>2.83</v>
      </c>
      <c r="AI1302">
        <v>-0.22</v>
      </c>
      <c r="AJ1302">
        <v>0</v>
      </c>
      <c r="AK1302">
        <v>86</v>
      </c>
      <c r="AL1302">
        <v>269</v>
      </c>
      <c r="AM1302">
        <v>154</v>
      </c>
      <c r="AN1302">
        <v>-4.04</v>
      </c>
      <c r="AO1302">
        <v>2.6</v>
      </c>
      <c r="AP1302">
        <v>593</v>
      </c>
      <c r="AQ1302">
        <v>2</v>
      </c>
      <c r="AR1302">
        <v>5.98</v>
      </c>
      <c r="AS1302">
        <v>92</v>
      </c>
      <c r="AT1302">
        <v>2.65</v>
      </c>
      <c r="AU1302">
        <v>93</v>
      </c>
      <c r="AV1302">
        <v>-3.21</v>
      </c>
      <c r="AW1302">
        <v>99</v>
      </c>
      <c r="AX1302">
        <v>0.54</v>
      </c>
      <c r="AY1302">
        <v>92</v>
      </c>
      <c r="AZ1302">
        <v>5.2</v>
      </c>
      <c r="BA1302">
        <v>80</v>
      </c>
      <c r="BB1302">
        <v>4.67</v>
      </c>
      <c r="BC1302">
        <v>80</v>
      </c>
      <c r="BD1302">
        <v>-0.05</v>
      </c>
      <c r="BE1302">
        <v>-0.06</v>
      </c>
      <c r="BF1302">
        <v>-0.12</v>
      </c>
      <c r="BG1302">
        <v>94</v>
      </c>
      <c r="BH1302">
        <v>0.13</v>
      </c>
      <c r="BI1302">
        <v>-1.59</v>
      </c>
      <c r="BJ1302">
        <v>22</v>
      </c>
      <c r="BK1302">
        <v>16</v>
      </c>
      <c r="BL1302">
        <v>0.56000000000000005</v>
      </c>
      <c r="BM1302">
        <v>-0.43</v>
      </c>
      <c r="BN1302">
        <v>0.81</v>
      </c>
      <c r="BO1302">
        <v>0.34</v>
      </c>
      <c r="BP1302">
        <v>0.65</v>
      </c>
      <c r="BQ1302">
        <v>-1.7</v>
      </c>
      <c r="BR1302">
        <v>0.92</v>
      </c>
      <c r="BS1302">
        <v>-0.24</v>
      </c>
      <c r="BT1302">
        <v>-1.63</v>
      </c>
      <c r="BU1302">
        <v>1.7</v>
      </c>
      <c r="BV1302">
        <v>1.1200000000000001</v>
      </c>
      <c r="BW1302">
        <v>1.1399999999999999</v>
      </c>
      <c r="BX1302">
        <v>1.55</v>
      </c>
      <c r="BY1302">
        <v>0.23</v>
      </c>
      <c r="BZ1302">
        <v>-1.1200000000000001</v>
      </c>
      <c r="CA1302">
        <v>0.76</v>
      </c>
      <c r="CB1302">
        <v>1.2</v>
      </c>
      <c r="CC1302">
        <v>-0.39</v>
      </c>
      <c r="CD1302">
        <v>0.14000000000000001</v>
      </c>
      <c r="CE1302">
        <v>0.2</v>
      </c>
      <c r="CF1302">
        <v>0.28999999999999998</v>
      </c>
      <c r="CG1302">
        <v>0</v>
      </c>
      <c r="CH1302">
        <v>0.91</v>
      </c>
      <c r="CI1302">
        <v>0</v>
      </c>
      <c r="CJ1302">
        <v>-4.3</v>
      </c>
      <c r="CK1302">
        <v>98</v>
      </c>
      <c r="CL1302">
        <v>-1.1299999999999999</v>
      </c>
      <c r="CM1302">
        <v>97</v>
      </c>
      <c r="CN1302">
        <v>-0.42</v>
      </c>
      <c r="CO1302">
        <v>97</v>
      </c>
      <c r="CP1302">
        <v>-1.1000000000000001</v>
      </c>
      <c r="CQ1302">
        <v>94</v>
      </c>
      <c r="CR1302">
        <v>0</v>
      </c>
      <c r="CS1302">
        <v>0</v>
      </c>
      <c r="CT1302">
        <v>4.5</v>
      </c>
      <c r="CU1302">
        <v>92</v>
      </c>
      <c r="CV1302">
        <v>0.22</v>
      </c>
      <c r="CW1302">
        <v>46</v>
      </c>
      <c r="CX1302" t="s">
        <v>596</v>
      </c>
    </row>
    <row r="1303" spans="1:102" x14ac:dyDescent="0.3">
      <c r="A1303" t="str">
        <f>HYPERLINK("https://webapp.icbf.com/v2/app/bull-search/view/132507533","TUD")</f>
        <v>TUD</v>
      </c>
      <c r="B1303" t="s">
        <v>15369</v>
      </c>
      <c r="C1303" t="s">
        <v>5314</v>
      </c>
      <c r="D1303" s="1">
        <v>35650</v>
      </c>
      <c r="E1303" t="s">
        <v>227</v>
      </c>
      <c r="F1303">
        <v>0</v>
      </c>
      <c r="G1303" t="s">
        <v>93</v>
      </c>
      <c r="H1303">
        <v>120.59</v>
      </c>
      <c r="I1303">
        <v>95</v>
      </c>
      <c r="J1303">
        <v>47.81</v>
      </c>
      <c r="K1303">
        <v>99</v>
      </c>
      <c r="L1303">
        <v>37.26</v>
      </c>
      <c r="M1303">
        <v>89</v>
      </c>
      <c r="N1303">
        <v>22.75</v>
      </c>
      <c r="O1303">
        <v>95</v>
      </c>
      <c r="P1303">
        <v>-50.87</v>
      </c>
      <c r="Q1303">
        <v>98</v>
      </c>
      <c r="R1303">
        <v>9.5399999999999991</v>
      </c>
      <c r="S1303">
        <v>92</v>
      </c>
      <c r="T1303">
        <v>56.52</v>
      </c>
      <c r="U1303">
        <v>97</v>
      </c>
      <c r="V1303">
        <v>-2.42</v>
      </c>
      <c r="W1303">
        <v>94</v>
      </c>
      <c r="X1303" t="s">
        <v>94</v>
      </c>
      <c r="Y1303" t="s">
        <v>95</v>
      </c>
      <c r="Z1303">
        <v>0</v>
      </c>
      <c r="AA1303" t="s">
        <v>9670</v>
      </c>
      <c r="AB1303" t="s">
        <v>15370</v>
      </c>
      <c r="AC1303">
        <v>503</v>
      </c>
      <c r="AD1303">
        <v>211</v>
      </c>
      <c r="AE1303">
        <v>99</v>
      </c>
      <c r="AF1303">
        <v>-254.91</v>
      </c>
      <c r="AG1303">
        <v>11.59</v>
      </c>
      <c r="AH1303">
        <v>0.13</v>
      </c>
      <c r="AI1303">
        <v>0.37</v>
      </c>
      <c r="AJ1303">
        <v>0.15</v>
      </c>
      <c r="AK1303">
        <v>89</v>
      </c>
      <c r="AL1303">
        <v>512</v>
      </c>
      <c r="AM1303">
        <v>230</v>
      </c>
      <c r="AN1303">
        <v>-1.36</v>
      </c>
      <c r="AO1303">
        <v>1.62</v>
      </c>
      <c r="AP1303">
        <v>723</v>
      </c>
      <c r="AQ1303">
        <v>4</v>
      </c>
      <c r="AR1303">
        <v>2.2400000000000002</v>
      </c>
      <c r="AS1303">
        <v>95</v>
      </c>
      <c r="AT1303">
        <v>1.33</v>
      </c>
      <c r="AU1303">
        <v>94</v>
      </c>
      <c r="AV1303">
        <v>-0.14000000000000001</v>
      </c>
      <c r="AW1303">
        <v>99</v>
      </c>
      <c r="AX1303">
        <v>0.95</v>
      </c>
      <c r="AY1303">
        <v>95</v>
      </c>
      <c r="AZ1303">
        <v>5.25</v>
      </c>
      <c r="BA1303">
        <v>86</v>
      </c>
      <c r="BB1303">
        <v>5</v>
      </c>
      <c r="BC1303">
        <v>90</v>
      </c>
      <c r="BD1303">
        <v>-0.11</v>
      </c>
      <c r="BE1303">
        <v>-0.04</v>
      </c>
      <c r="BF1303">
        <v>0.04</v>
      </c>
      <c r="BG1303">
        <v>96</v>
      </c>
      <c r="BH1303">
        <v>0.05</v>
      </c>
      <c r="BI1303">
        <v>13.58</v>
      </c>
      <c r="BJ1303">
        <v>31</v>
      </c>
      <c r="BK1303">
        <v>10</v>
      </c>
      <c r="BL1303">
        <v>-2.35</v>
      </c>
      <c r="BM1303">
        <v>0.25</v>
      </c>
      <c r="BN1303">
        <v>0.31</v>
      </c>
      <c r="BO1303">
        <v>0.28000000000000003</v>
      </c>
      <c r="BP1303">
        <v>0.66</v>
      </c>
      <c r="BQ1303">
        <v>-4.26</v>
      </c>
      <c r="BR1303">
        <v>3.44</v>
      </c>
      <c r="BS1303">
        <v>5.85</v>
      </c>
      <c r="BT1303">
        <v>-2.64</v>
      </c>
      <c r="BU1303">
        <v>0.44</v>
      </c>
      <c r="BV1303">
        <v>-0.4</v>
      </c>
      <c r="BW1303">
        <v>-2.36</v>
      </c>
      <c r="BX1303">
        <v>-3.24</v>
      </c>
      <c r="BY1303">
        <v>0.49</v>
      </c>
      <c r="BZ1303">
        <v>0.68</v>
      </c>
      <c r="CA1303">
        <v>0.96</v>
      </c>
      <c r="CB1303">
        <v>0</v>
      </c>
      <c r="CC1303">
        <v>2.65</v>
      </c>
      <c r="CD1303">
        <v>-0.25</v>
      </c>
      <c r="CE1303">
        <v>0.21</v>
      </c>
      <c r="CF1303">
        <v>-2</v>
      </c>
      <c r="CG1303">
        <v>0</v>
      </c>
      <c r="CH1303">
        <v>-1.29</v>
      </c>
      <c r="CI1303">
        <v>0</v>
      </c>
      <c r="CJ1303">
        <v>-24.7</v>
      </c>
      <c r="CK1303">
        <v>98</v>
      </c>
      <c r="CL1303">
        <v>-1.1000000000000001</v>
      </c>
      <c r="CM1303">
        <v>98</v>
      </c>
      <c r="CN1303">
        <v>-0.12</v>
      </c>
      <c r="CO1303">
        <v>98</v>
      </c>
      <c r="CP1303">
        <v>-45.6</v>
      </c>
      <c r="CQ1303">
        <v>98</v>
      </c>
      <c r="CR1303">
        <v>0</v>
      </c>
      <c r="CS1303">
        <v>0</v>
      </c>
      <c r="CT1303">
        <v>-62.6</v>
      </c>
      <c r="CU1303">
        <v>97</v>
      </c>
      <c r="CV1303">
        <v>-0.21</v>
      </c>
      <c r="CW1303">
        <v>29</v>
      </c>
      <c r="CX1303" t="s">
        <v>15371</v>
      </c>
    </row>
    <row r="1304" spans="1:102" x14ac:dyDescent="0.3">
      <c r="A1304" t="str">
        <f>HYPERLINK("https://webapp.icbf.com/v2/app/bull-search/view/1240327381","FR2256")</f>
        <v>FR2256</v>
      </c>
      <c r="B1304" t="s">
        <v>9335</v>
      </c>
      <c r="C1304" t="s">
        <v>9336</v>
      </c>
      <c r="D1304" s="1">
        <v>41759</v>
      </c>
      <c r="E1304" t="s">
        <v>92</v>
      </c>
      <c r="F1304">
        <v>100</v>
      </c>
      <c r="G1304" t="s">
        <v>93</v>
      </c>
      <c r="H1304">
        <v>120.55</v>
      </c>
      <c r="I1304">
        <v>82</v>
      </c>
      <c r="J1304">
        <v>96.71</v>
      </c>
      <c r="K1304">
        <v>96</v>
      </c>
      <c r="L1304">
        <v>-4.4000000000000004</v>
      </c>
      <c r="M1304">
        <v>75</v>
      </c>
      <c r="N1304">
        <v>28.65</v>
      </c>
      <c r="O1304">
        <v>87</v>
      </c>
      <c r="P1304">
        <v>-5.3</v>
      </c>
      <c r="Q1304">
        <v>89</v>
      </c>
      <c r="R1304">
        <v>15.15</v>
      </c>
      <c r="S1304">
        <v>72</v>
      </c>
      <c r="T1304">
        <v>-5.64</v>
      </c>
      <c r="U1304">
        <v>53</v>
      </c>
      <c r="V1304">
        <v>-4.62</v>
      </c>
      <c r="W1304">
        <v>63</v>
      </c>
      <c r="X1304" t="s">
        <v>94</v>
      </c>
      <c r="Y1304" t="s">
        <v>405</v>
      </c>
      <c r="Z1304" t="s">
        <v>96</v>
      </c>
      <c r="AA1304" t="s">
        <v>6247</v>
      </c>
      <c r="AB1304" t="s">
        <v>6132</v>
      </c>
      <c r="AC1304">
        <v>138</v>
      </c>
      <c r="AD1304">
        <v>52</v>
      </c>
      <c r="AE1304">
        <v>96</v>
      </c>
      <c r="AF1304">
        <v>464.68</v>
      </c>
      <c r="AG1304">
        <v>13.74</v>
      </c>
      <c r="AH1304">
        <v>18.7</v>
      </c>
      <c r="AI1304">
        <v>-7.0000000000000007E-2</v>
      </c>
      <c r="AJ1304">
        <v>0.05</v>
      </c>
      <c r="AK1304">
        <v>75</v>
      </c>
      <c r="AL1304">
        <v>0</v>
      </c>
      <c r="AM1304">
        <v>0</v>
      </c>
      <c r="AN1304">
        <v>1.88</v>
      </c>
      <c r="AO1304">
        <v>1.55</v>
      </c>
      <c r="AP1304">
        <v>749</v>
      </c>
      <c r="AQ1304">
        <v>5</v>
      </c>
      <c r="AR1304">
        <v>7.51</v>
      </c>
      <c r="AS1304">
        <v>82</v>
      </c>
      <c r="AT1304">
        <v>2.93</v>
      </c>
      <c r="AU1304">
        <v>95</v>
      </c>
      <c r="AV1304">
        <v>-3.19</v>
      </c>
      <c r="AW1304">
        <v>99</v>
      </c>
      <c r="AX1304">
        <v>-0.73</v>
      </c>
      <c r="AY1304">
        <v>93</v>
      </c>
      <c r="AZ1304">
        <v>5.9</v>
      </c>
      <c r="BA1304">
        <v>66</v>
      </c>
      <c r="BB1304">
        <v>5.26</v>
      </c>
      <c r="BC1304">
        <v>38</v>
      </c>
      <c r="BD1304">
        <v>-0.05</v>
      </c>
      <c r="BE1304">
        <v>-0.05</v>
      </c>
      <c r="BF1304">
        <v>-0.17</v>
      </c>
      <c r="BG1304">
        <v>86</v>
      </c>
      <c r="BH1304">
        <v>-0.02</v>
      </c>
      <c r="BI1304">
        <v>12.6</v>
      </c>
      <c r="BJ1304">
        <v>3</v>
      </c>
      <c r="BK1304">
        <v>3</v>
      </c>
      <c r="BL1304">
        <v>2.39</v>
      </c>
      <c r="BM1304">
        <v>0.22</v>
      </c>
      <c r="BN1304">
        <v>1.42</v>
      </c>
      <c r="BO1304">
        <v>1.46</v>
      </c>
      <c r="BP1304">
        <v>0.31</v>
      </c>
      <c r="BQ1304">
        <v>1.36</v>
      </c>
      <c r="BR1304">
        <v>-0.08</v>
      </c>
      <c r="BS1304">
        <v>2.0299999999999998</v>
      </c>
      <c r="BT1304">
        <v>0.66</v>
      </c>
      <c r="BU1304">
        <v>3.24</v>
      </c>
      <c r="BV1304">
        <v>3.45</v>
      </c>
      <c r="BW1304">
        <v>0.95</v>
      </c>
      <c r="BX1304">
        <v>2.13</v>
      </c>
      <c r="BY1304">
        <v>1.1000000000000001</v>
      </c>
      <c r="BZ1304">
        <v>0.56000000000000005</v>
      </c>
      <c r="CA1304">
        <v>2.77</v>
      </c>
      <c r="CB1304">
        <v>2.66</v>
      </c>
      <c r="CC1304">
        <v>1.56</v>
      </c>
      <c r="CD1304">
        <v>-0.52</v>
      </c>
      <c r="CE1304">
        <v>1.42</v>
      </c>
      <c r="CF1304">
        <v>2.21</v>
      </c>
      <c r="CG1304">
        <v>0</v>
      </c>
      <c r="CH1304">
        <v>1.49</v>
      </c>
      <c r="CI1304">
        <v>0</v>
      </c>
      <c r="CJ1304">
        <v>3.3</v>
      </c>
      <c r="CK1304">
        <v>93</v>
      </c>
      <c r="CL1304">
        <v>-1.34</v>
      </c>
      <c r="CM1304">
        <v>91</v>
      </c>
      <c r="CN1304">
        <v>-0.31</v>
      </c>
      <c r="CO1304">
        <v>90</v>
      </c>
      <c r="CP1304">
        <v>2.2999999999999998</v>
      </c>
      <c r="CQ1304">
        <v>59</v>
      </c>
      <c r="CR1304">
        <v>0</v>
      </c>
      <c r="CS1304">
        <v>0</v>
      </c>
      <c r="CT1304">
        <v>21.4</v>
      </c>
      <c r="CU1304">
        <v>53</v>
      </c>
      <c r="CV1304">
        <v>0.45</v>
      </c>
      <c r="CW1304">
        <v>44</v>
      </c>
      <c r="CX1304" t="s">
        <v>2067</v>
      </c>
    </row>
    <row r="1305" spans="1:102" x14ac:dyDescent="0.3">
      <c r="A1305" t="str">
        <f>HYPERLINK("https://webapp.icbf.com/v2/app/bull-search/view/1157654458","S2112")</f>
        <v>S2112</v>
      </c>
      <c r="B1305" t="s">
        <v>13466</v>
      </c>
      <c r="C1305" t="s">
        <v>13467</v>
      </c>
      <c r="D1305" s="1">
        <v>40746</v>
      </c>
      <c r="E1305" t="s">
        <v>146</v>
      </c>
      <c r="F1305">
        <v>6</v>
      </c>
      <c r="G1305" t="s">
        <v>109</v>
      </c>
      <c r="H1305">
        <v>120.53</v>
      </c>
      <c r="I1305">
        <v>69</v>
      </c>
      <c r="J1305">
        <v>14.12</v>
      </c>
      <c r="K1305">
        <v>76</v>
      </c>
      <c r="L1305">
        <v>86.04</v>
      </c>
      <c r="M1305">
        <v>64</v>
      </c>
      <c r="N1305">
        <v>13.36</v>
      </c>
      <c r="O1305">
        <v>81</v>
      </c>
      <c r="P1305">
        <v>9.8000000000000007</v>
      </c>
      <c r="Q1305">
        <v>88</v>
      </c>
      <c r="R1305">
        <v>-10.08</v>
      </c>
      <c r="S1305">
        <v>56</v>
      </c>
      <c r="T1305">
        <v>11.68</v>
      </c>
      <c r="U1305">
        <v>57</v>
      </c>
      <c r="V1305">
        <v>-4.3899999999999997</v>
      </c>
      <c r="W1305">
        <v>15</v>
      </c>
      <c r="X1305" t="s">
        <v>94</v>
      </c>
      <c r="Y1305" t="s">
        <v>367</v>
      </c>
      <c r="Z1305">
        <v>0</v>
      </c>
      <c r="AA1305" t="s">
        <v>5819</v>
      </c>
      <c r="AB1305" t="s">
        <v>13468</v>
      </c>
      <c r="AC1305">
        <v>0</v>
      </c>
      <c r="AD1305">
        <v>0</v>
      </c>
      <c r="AE1305">
        <v>76</v>
      </c>
      <c r="AF1305">
        <v>-133.51</v>
      </c>
      <c r="AG1305">
        <v>-0.56999999999999995</v>
      </c>
      <c r="AH1305">
        <v>0.56000000000000005</v>
      </c>
      <c r="AI1305">
        <v>0.08</v>
      </c>
      <c r="AJ1305">
        <v>0.09</v>
      </c>
      <c r="AK1305">
        <v>64</v>
      </c>
      <c r="AL1305">
        <v>0</v>
      </c>
      <c r="AM1305">
        <v>0</v>
      </c>
      <c r="AN1305">
        <v>-4.03</v>
      </c>
      <c r="AO1305">
        <v>2.84</v>
      </c>
      <c r="AP1305">
        <v>160</v>
      </c>
      <c r="AQ1305">
        <v>0</v>
      </c>
      <c r="AR1305">
        <v>7.88</v>
      </c>
      <c r="AS1305">
        <v>67</v>
      </c>
      <c r="AT1305">
        <v>3.16</v>
      </c>
      <c r="AU1305">
        <v>87</v>
      </c>
      <c r="AV1305">
        <v>-2.99</v>
      </c>
      <c r="AW1305">
        <v>95</v>
      </c>
      <c r="AX1305">
        <v>0.31</v>
      </c>
      <c r="AY1305">
        <v>76</v>
      </c>
      <c r="AZ1305">
        <v>8.6199999999999992</v>
      </c>
      <c r="BA1305">
        <v>58</v>
      </c>
      <c r="BB1305">
        <v>5.9</v>
      </c>
      <c r="BC1305">
        <v>43</v>
      </c>
      <c r="BD1305">
        <v>0.01</v>
      </c>
      <c r="BE1305">
        <v>0.05</v>
      </c>
      <c r="BF1305">
        <v>0.12</v>
      </c>
      <c r="BG1305">
        <v>82</v>
      </c>
      <c r="BH1305">
        <v>-0.21</v>
      </c>
      <c r="BI1305">
        <v>-10.130000000000001</v>
      </c>
      <c r="BJ1305">
        <v>0</v>
      </c>
      <c r="BK1305">
        <v>0</v>
      </c>
      <c r="BL1305">
        <v>-1.4</v>
      </c>
      <c r="BM1305">
        <v>2.15</v>
      </c>
      <c r="BN1305">
        <v>-1.52</v>
      </c>
      <c r="BO1305">
        <v>-1.43</v>
      </c>
      <c r="BP1305">
        <v>3.65</v>
      </c>
      <c r="BQ1305">
        <v>-0.18</v>
      </c>
      <c r="BR1305">
        <v>-1.69</v>
      </c>
      <c r="BS1305">
        <v>0.18</v>
      </c>
      <c r="BT1305">
        <v>1.9</v>
      </c>
      <c r="BU1305">
        <v>-0.87</v>
      </c>
      <c r="BV1305">
        <v>-2.94</v>
      </c>
      <c r="BW1305">
        <v>-2.23</v>
      </c>
      <c r="BX1305">
        <v>-1.1299999999999999</v>
      </c>
      <c r="BY1305">
        <v>-0.76</v>
      </c>
      <c r="BZ1305">
        <v>-1.83</v>
      </c>
      <c r="CA1305">
        <v>-1.3</v>
      </c>
      <c r="CB1305">
        <v>-1.54</v>
      </c>
      <c r="CC1305">
        <v>-0.32</v>
      </c>
      <c r="CD1305">
        <v>2.31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4.0999999999999996</v>
      </c>
      <c r="CK1305">
        <v>91</v>
      </c>
      <c r="CL1305">
        <v>0.24</v>
      </c>
      <c r="CM1305">
        <v>89</v>
      </c>
      <c r="CN1305">
        <v>-0.15</v>
      </c>
      <c r="CO1305">
        <v>88</v>
      </c>
      <c r="CP1305">
        <v>-0.6</v>
      </c>
      <c r="CQ1305">
        <v>64</v>
      </c>
      <c r="CR1305">
        <v>0</v>
      </c>
      <c r="CS1305">
        <v>0</v>
      </c>
      <c r="CT1305">
        <v>-2</v>
      </c>
      <c r="CU1305">
        <v>57</v>
      </c>
      <c r="CV1305">
        <v>-0.18</v>
      </c>
      <c r="CW1305">
        <v>44</v>
      </c>
      <c r="CX1305" t="s">
        <v>343</v>
      </c>
    </row>
    <row r="1306" spans="1:102" x14ac:dyDescent="0.3">
      <c r="A1306" t="str">
        <f>HYPERLINK("https://webapp.icbf.com/v2/app/bull-search/view/669824260","KBD")</f>
        <v>KBD</v>
      </c>
      <c r="B1306" t="s">
        <v>12644</v>
      </c>
      <c r="C1306" t="s">
        <v>12645</v>
      </c>
      <c r="D1306" s="1">
        <v>39860</v>
      </c>
      <c r="E1306" t="s">
        <v>92</v>
      </c>
      <c r="F1306">
        <v>75</v>
      </c>
      <c r="G1306" t="s">
        <v>93</v>
      </c>
      <c r="H1306">
        <v>120.47</v>
      </c>
      <c r="I1306">
        <v>86</v>
      </c>
      <c r="J1306">
        <v>42.43</v>
      </c>
      <c r="K1306">
        <v>97</v>
      </c>
      <c r="L1306">
        <v>42.04</v>
      </c>
      <c r="M1306">
        <v>78</v>
      </c>
      <c r="N1306">
        <v>25.48</v>
      </c>
      <c r="O1306">
        <v>85</v>
      </c>
      <c r="P1306">
        <v>-16.45</v>
      </c>
      <c r="Q1306">
        <v>93</v>
      </c>
      <c r="R1306">
        <v>-5.32</v>
      </c>
      <c r="S1306">
        <v>79</v>
      </c>
      <c r="T1306">
        <v>25.52</v>
      </c>
      <c r="U1306">
        <v>82</v>
      </c>
      <c r="V1306">
        <v>6.77</v>
      </c>
      <c r="W1306">
        <v>74</v>
      </c>
      <c r="X1306" t="s">
        <v>94</v>
      </c>
      <c r="Y1306" t="s">
        <v>1727</v>
      </c>
      <c r="Z1306" t="s">
        <v>330</v>
      </c>
      <c r="AA1306" t="s">
        <v>1086</v>
      </c>
      <c r="AB1306" t="s">
        <v>12646</v>
      </c>
      <c r="AC1306">
        <v>83</v>
      </c>
      <c r="AD1306">
        <v>66</v>
      </c>
      <c r="AE1306">
        <v>97</v>
      </c>
      <c r="AF1306">
        <v>49.23</v>
      </c>
      <c r="AG1306">
        <v>13.99</v>
      </c>
      <c r="AH1306">
        <v>3.02</v>
      </c>
      <c r="AI1306">
        <v>0.21</v>
      </c>
      <c r="AJ1306">
        <v>0.02</v>
      </c>
      <c r="AK1306">
        <v>78</v>
      </c>
      <c r="AL1306">
        <v>90</v>
      </c>
      <c r="AM1306">
        <v>70</v>
      </c>
      <c r="AN1306">
        <v>-2.4700000000000002</v>
      </c>
      <c r="AO1306">
        <v>0.88</v>
      </c>
      <c r="AP1306">
        <v>178</v>
      </c>
      <c r="AQ1306">
        <v>0</v>
      </c>
      <c r="AR1306">
        <v>8.58</v>
      </c>
      <c r="AS1306">
        <v>67</v>
      </c>
      <c r="AT1306">
        <v>2.72</v>
      </c>
      <c r="AU1306">
        <v>87</v>
      </c>
      <c r="AV1306">
        <v>-2.58</v>
      </c>
      <c r="AW1306">
        <v>96</v>
      </c>
      <c r="AX1306">
        <v>-0.04</v>
      </c>
      <c r="AY1306">
        <v>80</v>
      </c>
      <c r="AZ1306">
        <v>5.1100000000000003</v>
      </c>
      <c r="BA1306">
        <v>64</v>
      </c>
      <c r="BB1306">
        <v>4.57</v>
      </c>
      <c r="BC1306">
        <v>67</v>
      </c>
      <c r="BD1306">
        <v>0.02</v>
      </c>
      <c r="BE1306">
        <v>0.01</v>
      </c>
      <c r="BF1306">
        <v>7.0000000000000007E-2</v>
      </c>
      <c r="BG1306">
        <v>89</v>
      </c>
      <c r="BH1306">
        <v>-0.06</v>
      </c>
      <c r="BI1306">
        <v>-28.79</v>
      </c>
      <c r="BJ1306">
        <v>9</v>
      </c>
      <c r="BK1306">
        <v>9</v>
      </c>
      <c r="BL1306">
        <v>-1.7</v>
      </c>
      <c r="BM1306">
        <v>0.81</v>
      </c>
      <c r="BN1306">
        <v>-0.63</v>
      </c>
      <c r="BO1306">
        <v>-1.33</v>
      </c>
      <c r="BP1306">
        <v>-1.44</v>
      </c>
      <c r="BQ1306">
        <v>-2.54</v>
      </c>
      <c r="BR1306">
        <v>1.56</v>
      </c>
      <c r="BS1306">
        <v>-0.97</v>
      </c>
      <c r="BT1306">
        <v>-1.63</v>
      </c>
      <c r="BU1306">
        <v>-0.09</v>
      </c>
      <c r="BV1306">
        <v>-1.5</v>
      </c>
      <c r="BW1306">
        <v>-1.97</v>
      </c>
      <c r="BX1306">
        <v>-1.32</v>
      </c>
      <c r="BY1306">
        <v>-1.08</v>
      </c>
      <c r="BZ1306">
        <v>2.16</v>
      </c>
      <c r="CA1306">
        <v>-1.7</v>
      </c>
      <c r="CB1306">
        <v>-1.33</v>
      </c>
      <c r="CC1306">
        <v>-1.1000000000000001</v>
      </c>
      <c r="CD1306">
        <v>0.84</v>
      </c>
      <c r="CE1306">
        <v>-1.47</v>
      </c>
      <c r="CF1306">
        <v>-2.14</v>
      </c>
      <c r="CG1306">
        <v>0</v>
      </c>
      <c r="CH1306">
        <v>-1.65</v>
      </c>
      <c r="CI1306">
        <v>0</v>
      </c>
      <c r="CJ1306">
        <v>-7</v>
      </c>
      <c r="CK1306">
        <v>94</v>
      </c>
      <c r="CL1306">
        <v>-0.47</v>
      </c>
      <c r="CM1306">
        <v>93</v>
      </c>
      <c r="CN1306">
        <v>-0.01</v>
      </c>
      <c r="CO1306">
        <v>92</v>
      </c>
      <c r="CP1306">
        <v>-13.7</v>
      </c>
      <c r="CQ1306">
        <v>85</v>
      </c>
      <c r="CR1306">
        <v>0</v>
      </c>
      <c r="CS1306">
        <v>0</v>
      </c>
      <c r="CT1306">
        <v>-20.7</v>
      </c>
      <c r="CU1306">
        <v>82</v>
      </c>
      <c r="CV1306">
        <v>0.06</v>
      </c>
      <c r="CW1306">
        <v>45</v>
      </c>
      <c r="CX1306" t="s">
        <v>1035</v>
      </c>
    </row>
    <row r="1307" spans="1:102" x14ac:dyDescent="0.3">
      <c r="A1307" t="str">
        <f>HYPERLINK("https://webapp.icbf.com/v2/app/bull-search/view/953045780","S2055")</f>
        <v>S2055</v>
      </c>
      <c r="B1307" t="s">
        <v>7633</v>
      </c>
      <c r="C1307" t="s">
        <v>7634</v>
      </c>
      <c r="D1307" s="1">
        <v>40957</v>
      </c>
      <c r="E1307" t="s">
        <v>227</v>
      </c>
      <c r="F1307">
        <v>0</v>
      </c>
      <c r="G1307" t="s">
        <v>93</v>
      </c>
      <c r="H1307">
        <v>120.4</v>
      </c>
      <c r="I1307">
        <v>86</v>
      </c>
      <c r="J1307">
        <v>23.79</v>
      </c>
      <c r="K1307">
        <v>96</v>
      </c>
      <c r="L1307">
        <v>46.46</v>
      </c>
      <c r="M1307">
        <v>80</v>
      </c>
      <c r="N1307">
        <v>28.32</v>
      </c>
      <c r="O1307">
        <v>83</v>
      </c>
      <c r="P1307">
        <v>-57.02</v>
      </c>
      <c r="Q1307">
        <v>79</v>
      </c>
      <c r="R1307">
        <v>10.220000000000001</v>
      </c>
      <c r="S1307">
        <v>80</v>
      </c>
      <c r="T1307">
        <v>55.86</v>
      </c>
      <c r="U1307">
        <v>92</v>
      </c>
      <c r="V1307">
        <v>12.77</v>
      </c>
      <c r="W1307">
        <v>80</v>
      </c>
      <c r="X1307" t="s">
        <v>234</v>
      </c>
      <c r="Y1307" t="s">
        <v>367</v>
      </c>
      <c r="Z1307">
        <v>0</v>
      </c>
      <c r="AA1307" t="s">
        <v>1744</v>
      </c>
      <c r="AB1307" t="s">
        <v>5094</v>
      </c>
      <c r="AC1307">
        <v>67</v>
      </c>
      <c r="AD1307">
        <v>23</v>
      </c>
      <c r="AE1307">
        <v>96</v>
      </c>
      <c r="AF1307">
        <v>-448.3</v>
      </c>
      <c r="AG1307">
        <v>11.46</v>
      </c>
      <c r="AH1307">
        <v>-6.87</v>
      </c>
      <c r="AI1307">
        <v>0.55000000000000004</v>
      </c>
      <c r="AJ1307">
        <v>0.16</v>
      </c>
      <c r="AK1307">
        <v>80</v>
      </c>
      <c r="AL1307">
        <v>37</v>
      </c>
      <c r="AM1307">
        <v>15</v>
      </c>
      <c r="AN1307">
        <v>-1.4</v>
      </c>
      <c r="AO1307">
        <v>2.3199999999999998</v>
      </c>
      <c r="AP1307">
        <v>147</v>
      </c>
      <c r="AQ1307">
        <v>0</v>
      </c>
      <c r="AR1307">
        <v>2.95</v>
      </c>
      <c r="AS1307">
        <v>82</v>
      </c>
      <c r="AT1307">
        <v>1.47</v>
      </c>
      <c r="AU1307">
        <v>82</v>
      </c>
      <c r="AV1307">
        <v>-0.7</v>
      </c>
      <c r="AW1307">
        <v>94</v>
      </c>
      <c r="AX1307">
        <v>-0.7</v>
      </c>
      <c r="AY1307">
        <v>76</v>
      </c>
      <c r="AZ1307">
        <v>6.09</v>
      </c>
      <c r="BA1307">
        <v>67</v>
      </c>
      <c r="BB1307">
        <v>5.07</v>
      </c>
      <c r="BC1307">
        <v>61</v>
      </c>
      <c r="BD1307">
        <v>-0.09</v>
      </c>
      <c r="BE1307">
        <v>-0.05</v>
      </c>
      <c r="BF1307">
        <v>0.01</v>
      </c>
      <c r="BG1307">
        <v>87</v>
      </c>
      <c r="BH1307">
        <v>0.25</v>
      </c>
      <c r="BI1307">
        <v>-12.26</v>
      </c>
      <c r="BJ1307">
        <v>0</v>
      </c>
      <c r="BK1307">
        <v>0</v>
      </c>
      <c r="BL1307">
        <v>-2.8</v>
      </c>
      <c r="BM1307">
        <v>-0.4</v>
      </c>
      <c r="BN1307">
        <v>0.59</v>
      </c>
      <c r="BO1307">
        <v>1.03</v>
      </c>
      <c r="BP1307">
        <v>0.08</v>
      </c>
      <c r="BQ1307">
        <v>-5.03</v>
      </c>
      <c r="BR1307">
        <v>4.38</v>
      </c>
      <c r="BS1307">
        <v>4.43</v>
      </c>
      <c r="BT1307">
        <v>-2.74</v>
      </c>
      <c r="BU1307">
        <v>-0.86</v>
      </c>
      <c r="BV1307">
        <v>-1.32</v>
      </c>
      <c r="BW1307">
        <v>-3.3</v>
      </c>
      <c r="BX1307">
        <v>-4.26</v>
      </c>
      <c r="BY1307">
        <v>1.19</v>
      </c>
      <c r="BZ1307">
        <v>-0.94</v>
      </c>
      <c r="CA1307">
        <v>0.23</v>
      </c>
      <c r="CB1307">
        <v>-0.88</v>
      </c>
      <c r="CC1307">
        <v>2.7</v>
      </c>
      <c r="CD1307">
        <v>-1.1200000000000001</v>
      </c>
      <c r="CE1307">
        <v>0.5</v>
      </c>
      <c r="CF1307">
        <v>-2.7</v>
      </c>
      <c r="CG1307">
        <v>0</v>
      </c>
      <c r="CH1307">
        <v>-0.78</v>
      </c>
      <c r="CI1307">
        <v>0</v>
      </c>
      <c r="CJ1307">
        <v>-30.4</v>
      </c>
      <c r="CK1307">
        <v>82</v>
      </c>
      <c r="CL1307">
        <v>-0.99</v>
      </c>
      <c r="CM1307">
        <v>76</v>
      </c>
      <c r="CN1307">
        <v>-0.11</v>
      </c>
      <c r="CO1307">
        <v>74</v>
      </c>
      <c r="CP1307">
        <v>-40.9</v>
      </c>
      <c r="CQ1307">
        <v>76</v>
      </c>
      <c r="CR1307">
        <v>0</v>
      </c>
      <c r="CS1307">
        <v>0</v>
      </c>
      <c r="CT1307">
        <v>-61.7</v>
      </c>
      <c r="CU1307">
        <v>92</v>
      </c>
      <c r="CV1307">
        <v>-0.26</v>
      </c>
      <c r="CW1307">
        <v>42</v>
      </c>
      <c r="CX1307" t="s">
        <v>1936</v>
      </c>
    </row>
    <row r="1308" spans="1:102" x14ac:dyDescent="0.3">
      <c r="A1308" t="str">
        <f>HYPERLINK("https://webapp.icbf.com/v2/app/bull-search/view/108367992","DVJ")</f>
        <v>DVJ</v>
      </c>
      <c r="B1308" t="s">
        <v>10913</v>
      </c>
      <c r="C1308" t="s">
        <v>10914</v>
      </c>
      <c r="D1308" s="1">
        <v>35328</v>
      </c>
      <c r="E1308" t="s">
        <v>108</v>
      </c>
      <c r="F1308">
        <v>31</v>
      </c>
      <c r="G1308" t="s">
        <v>93</v>
      </c>
      <c r="H1308">
        <v>120.25</v>
      </c>
      <c r="I1308">
        <v>97</v>
      </c>
      <c r="J1308">
        <v>46.66</v>
      </c>
      <c r="K1308">
        <v>99</v>
      </c>
      <c r="L1308">
        <v>36.630000000000003</v>
      </c>
      <c r="M1308">
        <v>94</v>
      </c>
      <c r="N1308">
        <v>24.13</v>
      </c>
      <c r="O1308">
        <v>97</v>
      </c>
      <c r="P1308">
        <v>-19.8</v>
      </c>
      <c r="Q1308">
        <v>99</v>
      </c>
      <c r="R1308">
        <v>-10.45</v>
      </c>
      <c r="S1308">
        <v>96</v>
      </c>
      <c r="T1308">
        <v>37.58</v>
      </c>
      <c r="U1308">
        <v>99</v>
      </c>
      <c r="V1308">
        <v>5.5</v>
      </c>
      <c r="W1308">
        <v>98</v>
      </c>
      <c r="X1308" t="s">
        <v>302</v>
      </c>
      <c r="Y1308" t="s">
        <v>95</v>
      </c>
      <c r="Z1308" t="s">
        <v>96</v>
      </c>
      <c r="AA1308" t="s">
        <v>1089</v>
      </c>
      <c r="AB1308" t="s">
        <v>10915</v>
      </c>
      <c r="AC1308">
        <v>958</v>
      </c>
      <c r="AD1308">
        <v>260</v>
      </c>
      <c r="AE1308">
        <v>99</v>
      </c>
      <c r="AF1308">
        <v>66.959999999999994</v>
      </c>
      <c r="AG1308">
        <v>12.41</v>
      </c>
      <c r="AH1308">
        <v>4.57</v>
      </c>
      <c r="AI1308">
        <v>0.17</v>
      </c>
      <c r="AJ1308">
        <v>0.04</v>
      </c>
      <c r="AK1308">
        <v>94</v>
      </c>
      <c r="AL1308">
        <v>957</v>
      </c>
      <c r="AM1308">
        <v>251</v>
      </c>
      <c r="AN1308">
        <v>-1.32</v>
      </c>
      <c r="AO1308">
        <v>1.61</v>
      </c>
      <c r="AP1308">
        <v>1659</v>
      </c>
      <c r="AQ1308">
        <v>6</v>
      </c>
      <c r="AR1308">
        <v>4.97</v>
      </c>
      <c r="AS1308">
        <v>98</v>
      </c>
      <c r="AT1308">
        <v>1.87</v>
      </c>
      <c r="AU1308">
        <v>97</v>
      </c>
      <c r="AV1308">
        <v>-1.7</v>
      </c>
      <c r="AW1308">
        <v>99</v>
      </c>
      <c r="AX1308">
        <v>-0.02</v>
      </c>
      <c r="AY1308">
        <v>98</v>
      </c>
      <c r="AZ1308">
        <v>6.37</v>
      </c>
      <c r="BA1308">
        <v>93</v>
      </c>
      <c r="BB1308">
        <v>5.92</v>
      </c>
      <c r="BC1308">
        <v>94</v>
      </c>
      <c r="BD1308">
        <v>0.05</v>
      </c>
      <c r="BE1308">
        <v>0.03</v>
      </c>
      <c r="BF1308">
        <v>0.1</v>
      </c>
      <c r="BG1308">
        <v>98</v>
      </c>
      <c r="BH1308">
        <v>0.17</v>
      </c>
      <c r="BI1308">
        <v>1.93</v>
      </c>
      <c r="BJ1308">
        <v>14</v>
      </c>
      <c r="BK1308">
        <v>13</v>
      </c>
      <c r="BL1308">
        <v>-2.52</v>
      </c>
      <c r="BM1308">
        <v>-1.67</v>
      </c>
      <c r="BN1308">
        <v>-2.88</v>
      </c>
      <c r="BO1308">
        <v>-1.33</v>
      </c>
      <c r="BP1308">
        <v>3.66</v>
      </c>
      <c r="BQ1308">
        <v>-5.08</v>
      </c>
      <c r="BR1308">
        <v>-0.34</v>
      </c>
      <c r="BS1308">
        <v>-1.46</v>
      </c>
      <c r="BT1308">
        <v>-0.59</v>
      </c>
      <c r="BU1308">
        <v>-1.35</v>
      </c>
      <c r="BV1308">
        <v>-2.4</v>
      </c>
      <c r="BW1308">
        <v>-1.73</v>
      </c>
      <c r="BX1308">
        <v>-0.63</v>
      </c>
      <c r="BY1308">
        <v>-2.0499999999999998</v>
      </c>
      <c r="BZ1308">
        <v>1.43</v>
      </c>
      <c r="CA1308">
        <v>-2.52</v>
      </c>
      <c r="CB1308">
        <v>-2.21</v>
      </c>
      <c r="CC1308">
        <v>-1.85</v>
      </c>
      <c r="CD1308">
        <v>-0.81</v>
      </c>
      <c r="CE1308">
        <v>-1.61</v>
      </c>
      <c r="CF1308">
        <v>-3.48</v>
      </c>
      <c r="CG1308">
        <v>0</v>
      </c>
      <c r="CH1308">
        <v>-1.89</v>
      </c>
      <c r="CI1308">
        <v>0</v>
      </c>
      <c r="CJ1308">
        <v>-7.9</v>
      </c>
      <c r="CK1308">
        <v>99</v>
      </c>
      <c r="CL1308">
        <v>-0.44</v>
      </c>
      <c r="CM1308">
        <v>99</v>
      </c>
      <c r="CN1308">
        <v>0.08</v>
      </c>
      <c r="CO1308">
        <v>99</v>
      </c>
      <c r="CP1308">
        <v>-22.8</v>
      </c>
      <c r="CQ1308">
        <v>99</v>
      </c>
      <c r="CR1308">
        <v>0</v>
      </c>
      <c r="CS1308">
        <v>0</v>
      </c>
      <c r="CT1308">
        <v>-37</v>
      </c>
      <c r="CU1308">
        <v>99</v>
      </c>
      <c r="CV1308">
        <v>7.0000000000000007E-2</v>
      </c>
      <c r="CW1308">
        <v>46</v>
      </c>
      <c r="CX1308" t="s">
        <v>8617</v>
      </c>
    </row>
    <row r="1309" spans="1:102" x14ac:dyDescent="0.3">
      <c r="A1309" t="str">
        <f>HYPERLINK("https://webapp.icbf.com/v2/app/bull-search/view/433310430","PKI")</f>
        <v>PKI</v>
      </c>
      <c r="B1309" t="s">
        <v>11920</v>
      </c>
      <c r="C1309" t="s">
        <v>11921</v>
      </c>
      <c r="D1309" s="1">
        <v>38675</v>
      </c>
      <c r="E1309" t="s">
        <v>92</v>
      </c>
      <c r="F1309">
        <v>88</v>
      </c>
      <c r="G1309" t="s">
        <v>93</v>
      </c>
      <c r="H1309">
        <v>120.22</v>
      </c>
      <c r="I1309">
        <v>86</v>
      </c>
      <c r="J1309">
        <v>36.799999999999997</v>
      </c>
      <c r="K1309">
        <v>96</v>
      </c>
      <c r="L1309">
        <v>41.69</v>
      </c>
      <c r="M1309">
        <v>78</v>
      </c>
      <c r="N1309">
        <v>40.71</v>
      </c>
      <c r="O1309">
        <v>84</v>
      </c>
      <c r="P1309">
        <v>-9.43</v>
      </c>
      <c r="Q1309">
        <v>92</v>
      </c>
      <c r="R1309">
        <v>4.55</v>
      </c>
      <c r="S1309">
        <v>81</v>
      </c>
      <c r="T1309">
        <v>7.02</v>
      </c>
      <c r="U1309">
        <v>82</v>
      </c>
      <c r="V1309">
        <v>-1.1200000000000001</v>
      </c>
      <c r="W1309">
        <v>80</v>
      </c>
      <c r="X1309" t="s">
        <v>94</v>
      </c>
      <c r="Y1309" t="s">
        <v>228</v>
      </c>
      <c r="Z1309" t="s">
        <v>96</v>
      </c>
      <c r="AA1309" t="s">
        <v>1165</v>
      </c>
      <c r="AB1309" t="s">
        <v>11922</v>
      </c>
      <c r="AC1309">
        <v>82</v>
      </c>
      <c r="AD1309">
        <v>57</v>
      </c>
      <c r="AE1309">
        <v>96</v>
      </c>
      <c r="AF1309">
        <v>-57.22</v>
      </c>
      <c r="AG1309">
        <v>7.95</v>
      </c>
      <c r="AH1309">
        <v>2.57</v>
      </c>
      <c r="AI1309">
        <v>0.18</v>
      </c>
      <c r="AJ1309">
        <v>0.08</v>
      </c>
      <c r="AK1309">
        <v>78</v>
      </c>
      <c r="AL1309">
        <v>74</v>
      </c>
      <c r="AM1309">
        <v>53</v>
      </c>
      <c r="AN1309">
        <v>-2.62</v>
      </c>
      <c r="AO1309">
        <v>0.7</v>
      </c>
      <c r="AP1309">
        <v>189</v>
      </c>
      <c r="AQ1309">
        <v>0</v>
      </c>
      <c r="AR1309">
        <v>4.68</v>
      </c>
      <c r="AS1309">
        <v>67</v>
      </c>
      <c r="AT1309">
        <v>1.89</v>
      </c>
      <c r="AU1309">
        <v>87</v>
      </c>
      <c r="AV1309">
        <v>-2.74</v>
      </c>
      <c r="AW1309">
        <v>96</v>
      </c>
      <c r="AX1309">
        <v>-0.76</v>
      </c>
      <c r="AY1309">
        <v>80</v>
      </c>
      <c r="AZ1309">
        <v>5.85</v>
      </c>
      <c r="BA1309">
        <v>64</v>
      </c>
      <c r="BB1309">
        <v>4.9000000000000004</v>
      </c>
      <c r="BC1309">
        <v>64</v>
      </c>
      <c r="BD1309">
        <v>-0.01</v>
      </c>
      <c r="BE1309">
        <v>-0.02</v>
      </c>
      <c r="BF1309">
        <v>-0.05</v>
      </c>
      <c r="BG1309">
        <v>87</v>
      </c>
      <c r="BH1309">
        <v>0.05</v>
      </c>
      <c r="BI1309">
        <v>9.4</v>
      </c>
      <c r="BJ1309">
        <v>12</v>
      </c>
      <c r="BK1309">
        <v>10</v>
      </c>
      <c r="BL1309">
        <v>0.08</v>
      </c>
      <c r="BM1309">
        <v>0.67</v>
      </c>
      <c r="BN1309">
        <v>0.56000000000000005</v>
      </c>
      <c r="BO1309">
        <v>0.09</v>
      </c>
      <c r="BP1309">
        <v>2.63</v>
      </c>
      <c r="BQ1309">
        <v>-0.73</v>
      </c>
      <c r="BR1309">
        <v>0.5</v>
      </c>
      <c r="BS1309">
        <v>-0.42</v>
      </c>
      <c r="BT1309">
        <v>-0.77</v>
      </c>
      <c r="BU1309">
        <v>0.11</v>
      </c>
      <c r="BV1309">
        <v>0.3</v>
      </c>
      <c r="BW1309">
        <v>-0.24</v>
      </c>
      <c r="BX1309">
        <v>-7.0000000000000007E-2</v>
      </c>
      <c r="BY1309">
        <v>0.6</v>
      </c>
      <c r="BZ1309">
        <v>-1.1299999999999999</v>
      </c>
      <c r="CA1309">
        <v>0.33</v>
      </c>
      <c r="CB1309">
        <v>0.1</v>
      </c>
      <c r="CC1309">
        <v>0.22</v>
      </c>
      <c r="CD1309">
        <v>0.98</v>
      </c>
      <c r="CE1309">
        <v>0.03</v>
      </c>
      <c r="CF1309">
        <v>0.14000000000000001</v>
      </c>
      <c r="CG1309">
        <v>0</v>
      </c>
      <c r="CH1309">
        <v>-0.64</v>
      </c>
      <c r="CI1309">
        <v>0</v>
      </c>
      <c r="CJ1309">
        <v>-3</v>
      </c>
      <c r="CK1309">
        <v>93</v>
      </c>
      <c r="CL1309">
        <v>-0.89</v>
      </c>
      <c r="CM1309">
        <v>91</v>
      </c>
      <c r="CN1309">
        <v>-0.42</v>
      </c>
      <c r="CO1309">
        <v>90</v>
      </c>
      <c r="CP1309">
        <v>-6.8</v>
      </c>
      <c r="CQ1309">
        <v>89</v>
      </c>
      <c r="CR1309">
        <v>0</v>
      </c>
      <c r="CS1309">
        <v>0</v>
      </c>
      <c r="CT1309">
        <v>4.3</v>
      </c>
      <c r="CU1309">
        <v>82</v>
      </c>
      <c r="CV1309">
        <v>0.2</v>
      </c>
      <c r="CW1309">
        <v>46</v>
      </c>
      <c r="CX1309" t="s">
        <v>6877</v>
      </c>
    </row>
    <row r="1310" spans="1:102" x14ac:dyDescent="0.3">
      <c r="A1310" t="str">
        <f>HYPERLINK("https://webapp.icbf.com/v2/app/bull-search/view/586147599","S789")</f>
        <v>S789</v>
      </c>
      <c r="B1310" t="s">
        <v>1571</v>
      </c>
      <c r="C1310" t="s">
        <v>1572</v>
      </c>
      <c r="D1310" s="1">
        <v>38107</v>
      </c>
      <c r="E1310" t="s">
        <v>92</v>
      </c>
      <c r="F1310">
        <v>100</v>
      </c>
      <c r="G1310" t="s">
        <v>93</v>
      </c>
      <c r="H1310">
        <v>120.11</v>
      </c>
      <c r="I1310">
        <v>95</v>
      </c>
      <c r="J1310">
        <v>82.97</v>
      </c>
      <c r="K1310">
        <v>98</v>
      </c>
      <c r="L1310">
        <v>3.18</v>
      </c>
      <c r="M1310">
        <v>95</v>
      </c>
      <c r="N1310">
        <v>38.29</v>
      </c>
      <c r="O1310">
        <v>94</v>
      </c>
      <c r="P1310">
        <v>-10.83</v>
      </c>
      <c r="Q1310">
        <v>95</v>
      </c>
      <c r="R1310">
        <v>-3.29</v>
      </c>
      <c r="S1310">
        <v>89</v>
      </c>
      <c r="T1310">
        <v>3.39</v>
      </c>
      <c r="U1310">
        <v>89</v>
      </c>
      <c r="V1310">
        <v>6.4</v>
      </c>
      <c r="W1310">
        <v>81</v>
      </c>
      <c r="X1310" t="s">
        <v>276</v>
      </c>
      <c r="Y1310" t="s">
        <v>1494</v>
      </c>
      <c r="Z1310" t="s">
        <v>96</v>
      </c>
      <c r="AA1310" t="s">
        <v>316</v>
      </c>
      <c r="AB1310" t="s">
        <v>1573</v>
      </c>
      <c r="AC1310">
        <v>89</v>
      </c>
      <c r="AD1310">
        <v>44</v>
      </c>
      <c r="AE1310">
        <v>98</v>
      </c>
      <c r="AF1310">
        <v>445.3</v>
      </c>
      <c r="AG1310">
        <v>14.32</v>
      </c>
      <c r="AH1310">
        <v>15.86</v>
      </c>
      <c r="AI1310">
        <v>-0.05</v>
      </c>
      <c r="AJ1310">
        <v>0.01</v>
      </c>
      <c r="AK1310">
        <v>95</v>
      </c>
      <c r="AL1310">
        <v>87</v>
      </c>
      <c r="AM1310">
        <v>39</v>
      </c>
      <c r="AN1310">
        <v>-0.48</v>
      </c>
      <c r="AO1310">
        <v>-0.23</v>
      </c>
      <c r="AP1310">
        <v>109</v>
      </c>
      <c r="AQ1310">
        <v>1</v>
      </c>
      <c r="AR1310">
        <v>6.44</v>
      </c>
      <c r="AS1310">
        <v>94</v>
      </c>
      <c r="AT1310">
        <v>1.98</v>
      </c>
      <c r="AU1310">
        <v>99</v>
      </c>
      <c r="AV1310">
        <v>-3.25</v>
      </c>
      <c r="AW1310">
        <v>96</v>
      </c>
      <c r="AX1310">
        <v>0.38</v>
      </c>
      <c r="AY1310">
        <v>93</v>
      </c>
      <c r="AZ1310">
        <v>5.93</v>
      </c>
      <c r="BA1310">
        <v>88</v>
      </c>
      <c r="BB1310">
        <v>4.7699999999999996</v>
      </c>
      <c r="BC1310">
        <v>84</v>
      </c>
      <c r="BD1310">
        <v>0.04</v>
      </c>
      <c r="BE1310">
        <v>0.01</v>
      </c>
      <c r="BF1310">
        <v>-0.01</v>
      </c>
      <c r="BG1310">
        <v>96</v>
      </c>
      <c r="BH1310">
        <v>0.05</v>
      </c>
      <c r="BI1310">
        <v>-14.87</v>
      </c>
      <c r="BJ1310">
        <v>66</v>
      </c>
      <c r="BK1310">
        <v>29</v>
      </c>
      <c r="BL1310">
        <v>1.45</v>
      </c>
      <c r="BM1310">
        <v>-0.64</v>
      </c>
      <c r="BN1310">
        <v>-0.06</v>
      </c>
      <c r="BO1310">
        <v>0.54</v>
      </c>
      <c r="BP1310">
        <v>-0.74</v>
      </c>
      <c r="BQ1310">
        <v>0.67</v>
      </c>
      <c r="BR1310">
        <v>-1.19</v>
      </c>
      <c r="BS1310">
        <v>0.24</v>
      </c>
      <c r="BT1310">
        <v>1.33</v>
      </c>
      <c r="BU1310">
        <v>-0.39</v>
      </c>
      <c r="BV1310">
        <v>1.53</v>
      </c>
      <c r="BW1310">
        <v>2.77</v>
      </c>
      <c r="BX1310">
        <v>0.38</v>
      </c>
      <c r="BY1310">
        <v>1.53</v>
      </c>
      <c r="BZ1310">
        <v>-0.32</v>
      </c>
      <c r="CA1310">
        <v>0.46</v>
      </c>
      <c r="CB1310">
        <v>0.57999999999999996</v>
      </c>
      <c r="CC1310">
        <v>0.05</v>
      </c>
      <c r="CD1310">
        <v>-0.49</v>
      </c>
      <c r="CE1310">
        <v>0.99</v>
      </c>
      <c r="CF1310">
        <v>1.0900000000000001</v>
      </c>
      <c r="CG1310">
        <v>0</v>
      </c>
      <c r="CH1310">
        <v>0.86</v>
      </c>
      <c r="CI1310">
        <v>0</v>
      </c>
      <c r="CJ1310">
        <v>-2.5</v>
      </c>
      <c r="CK1310">
        <v>95</v>
      </c>
      <c r="CL1310">
        <v>-0.85</v>
      </c>
      <c r="CM1310">
        <v>95</v>
      </c>
      <c r="CN1310">
        <v>-0.13</v>
      </c>
      <c r="CO1310">
        <v>94</v>
      </c>
      <c r="CP1310">
        <v>-0.9</v>
      </c>
      <c r="CQ1310">
        <v>92</v>
      </c>
      <c r="CR1310">
        <v>0</v>
      </c>
      <c r="CS1310">
        <v>0</v>
      </c>
      <c r="CT1310">
        <v>9.1999999999999993</v>
      </c>
      <c r="CU1310">
        <v>89</v>
      </c>
      <c r="CV1310">
        <v>0.35</v>
      </c>
      <c r="CW1310">
        <v>48</v>
      </c>
      <c r="CX1310" t="s">
        <v>1574</v>
      </c>
    </row>
    <row r="1311" spans="1:102" x14ac:dyDescent="0.3">
      <c r="A1311" t="str">
        <f>HYPERLINK("https://webapp.icbf.com/v2/app/bull-search/view/508749812","GJU")</f>
        <v>GJU</v>
      </c>
      <c r="B1311" t="s">
        <v>12579</v>
      </c>
      <c r="C1311" t="s">
        <v>12580</v>
      </c>
      <c r="D1311" s="1">
        <v>36317</v>
      </c>
      <c r="E1311" t="s">
        <v>395</v>
      </c>
      <c r="F1311">
        <v>0</v>
      </c>
      <c r="G1311" t="s">
        <v>109</v>
      </c>
      <c r="H1311">
        <v>120.02</v>
      </c>
      <c r="I1311">
        <v>69</v>
      </c>
      <c r="J1311">
        <v>-29.15</v>
      </c>
      <c r="K1311">
        <v>62</v>
      </c>
      <c r="L1311">
        <v>101.7</v>
      </c>
      <c r="M1311">
        <v>74</v>
      </c>
      <c r="N1311">
        <v>29</v>
      </c>
      <c r="O1311">
        <v>69</v>
      </c>
      <c r="P1311">
        <v>-3.78</v>
      </c>
      <c r="Q1311">
        <v>82</v>
      </c>
      <c r="R1311">
        <v>3.89</v>
      </c>
      <c r="S1311">
        <v>55</v>
      </c>
      <c r="T1311">
        <v>18.64</v>
      </c>
      <c r="U1311">
        <v>71</v>
      </c>
      <c r="V1311">
        <v>-0.28000000000000003</v>
      </c>
      <c r="W1311">
        <v>59</v>
      </c>
      <c r="X1311" t="s">
        <v>94</v>
      </c>
      <c r="Y1311" t="s">
        <v>95</v>
      </c>
      <c r="Z1311">
        <v>0</v>
      </c>
      <c r="AA1311" t="s">
        <v>1599</v>
      </c>
      <c r="AB1311" t="s">
        <v>12581</v>
      </c>
      <c r="AC1311">
        <v>0</v>
      </c>
      <c r="AD1311">
        <v>0</v>
      </c>
      <c r="AE1311">
        <v>62</v>
      </c>
      <c r="AF1311">
        <v>-275.14</v>
      </c>
      <c r="AG1311">
        <v>-8.93</v>
      </c>
      <c r="AH1311">
        <v>-6.01</v>
      </c>
      <c r="AI1311">
        <v>0.03</v>
      </c>
      <c r="AJ1311">
        <v>0.06</v>
      </c>
      <c r="AK1311">
        <v>74</v>
      </c>
      <c r="AL1311">
        <v>31</v>
      </c>
      <c r="AM1311">
        <v>21</v>
      </c>
      <c r="AN1311">
        <v>-6.33</v>
      </c>
      <c r="AO1311">
        <v>1.77</v>
      </c>
      <c r="AP1311">
        <v>39</v>
      </c>
      <c r="AQ1311">
        <v>1</v>
      </c>
      <c r="AR1311">
        <v>5.99</v>
      </c>
      <c r="AS1311">
        <v>35</v>
      </c>
      <c r="AT1311">
        <v>2.4300000000000002</v>
      </c>
      <c r="AU1311">
        <v>69</v>
      </c>
      <c r="AV1311">
        <v>-2.5</v>
      </c>
      <c r="AW1311">
        <v>91</v>
      </c>
      <c r="AX1311">
        <v>-0.63</v>
      </c>
      <c r="AY1311">
        <v>58</v>
      </c>
      <c r="AZ1311">
        <v>6.92</v>
      </c>
      <c r="BA1311">
        <v>33</v>
      </c>
      <c r="BB1311">
        <v>5.23</v>
      </c>
      <c r="BC1311">
        <v>38</v>
      </c>
      <c r="BD1311">
        <v>-0.02</v>
      </c>
      <c r="BE1311">
        <v>-0.04</v>
      </c>
      <c r="BF1311">
        <v>0.02</v>
      </c>
      <c r="BG1311">
        <v>62</v>
      </c>
      <c r="BH1311">
        <v>-0.13</v>
      </c>
      <c r="BI1311">
        <v>-14.12</v>
      </c>
      <c r="BJ1311">
        <v>0</v>
      </c>
      <c r="BK1311">
        <v>0</v>
      </c>
      <c r="BL1311">
        <v>-1.32</v>
      </c>
      <c r="BM1311">
        <v>0.52</v>
      </c>
      <c r="BN1311">
        <v>-1.3</v>
      </c>
      <c r="BO1311">
        <v>-1.26</v>
      </c>
      <c r="BP1311">
        <v>0.95</v>
      </c>
      <c r="BQ1311">
        <v>-0.69</v>
      </c>
      <c r="BR1311">
        <v>0.39</v>
      </c>
      <c r="BS1311">
        <v>0.43</v>
      </c>
      <c r="BT1311">
        <v>-0.64</v>
      </c>
      <c r="BU1311">
        <v>-1.28</v>
      </c>
      <c r="BV1311">
        <v>-2.33</v>
      </c>
      <c r="BW1311">
        <v>-2.1800000000000002</v>
      </c>
      <c r="BX1311">
        <v>-1.05</v>
      </c>
      <c r="BY1311">
        <v>-1.3</v>
      </c>
      <c r="BZ1311">
        <v>-1.24</v>
      </c>
      <c r="CA1311">
        <v>-1.53</v>
      </c>
      <c r="CB1311">
        <v>-1.72</v>
      </c>
      <c r="CC1311">
        <v>-0.55000000000000004</v>
      </c>
      <c r="CD1311">
        <v>0.85</v>
      </c>
      <c r="CE1311">
        <v>-1.4</v>
      </c>
      <c r="CF1311">
        <v>-1.52</v>
      </c>
      <c r="CG1311">
        <v>0</v>
      </c>
      <c r="CH1311">
        <v>-1.41</v>
      </c>
      <c r="CI1311">
        <v>0</v>
      </c>
      <c r="CJ1311">
        <v>0.3</v>
      </c>
      <c r="CK1311">
        <v>84</v>
      </c>
      <c r="CL1311">
        <v>-0.28000000000000003</v>
      </c>
      <c r="CM1311">
        <v>81</v>
      </c>
      <c r="CN1311">
        <v>-0.01</v>
      </c>
      <c r="CO1311">
        <v>79</v>
      </c>
      <c r="CP1311">
        <v>-9.5</v>
      </c>
      <c r="CQ1311">
        <v>74</v>
      </c>
      <c r="CR1311">
        <v>0</v>
      </c>
      <c r="CS1311">
        <v>0</v>
      </c>
      <c r="CT1311">
        <v>-11.4</v>
      </c>
      <c r="CU1311">
        <v>71</v>
      </c>
      <c r="CV1311">
        <v>0.1</v>
      </c>
      <c r="CW1311">
        <v>23</v>
      </c>
      <c r="CX1311" t="s">
        <v>12582</v>
      </c>
    </row>
    <row r="1312" spans="1:102" x14ac:dyDescent="0.3">
      <c r="A1312" t="str">
        <f>HYPERLINK("https://webapp.icbf.com/v2/app/bull-search/view/855895102","PMN")</f>
        <v>PMN</v>
      </c>
      <c r="B1312" t="s">
        <v>12919</v>
      </c>
      <c r="C1312" t="s">
        <v>12920</v>
      </c>
      <c r="D1312" s="1">
        <v>39914</v>
      </c>
      <c r="E1312" t="s">
        <v>92</v>
      </c>
      <c r="F1312">
        <v>100</v>
      </c>
      <c r="G1312" t="s">
        <v>93</v>
      </c>
      <c r="H1312">
        <v>119.95</v>
      </c>
      <c r="I1312">
        <v>88</v>
      </c>
      <c r="J1312">
        <v>94.82</v>
      </c>
      <c r="K1312">
        <v>97</v>
      </c>
      <c r="L1312">
        <v>2.46</v>
      </c>
      <c r="M1312">
        <v>82</v>
      </c>
      <c r="N1312">
        <v>27.92</v>
      </c>
      <c r="O1312">
        <v>86</v>
      </c>
      <c r="P1312">
        <v>-18.25</v>
      </c>
      <c r="Q1312">
        <v>92</v>
      </c>
      <c r="R1312">
        <v>10.84</v>
      </c>
      <c r="S1312">
        <v>80</v>
      </c>
      <c r="T1312">
        <v>1.62</v>
      </c>
      <c r="U1312">
        <v>79</v>
      </c>
      <c r="V1312">
        <v>0.54</v>
      </c>
      <c r="W1312">
        <v>76</v>
      </c>
      <c r="X1312" t="s">
        <v>276</v>
      </c>
      <c r="Y1312" t="s">
        <v>329</v>
      </c>
      <c r="Z1312" t="s">
        <v>96</v>
      </c>
      <c r="AA1312" t="s">
        <v>316</v>
      </c>
      <c r="AB1312" t="s">
        <v>12921</v>
      </c>
      <c r="AC1312">
        <v>80</v>
      </c>
      <c r="AD1312">
        <v>43</v>
      </c>
      <c r="AE1312">
        <v>97</v>
      </c>
      <c r="AF1312">
        <v>196.29</v>
      </c>
      <c r="AG1312">
        <v>13.54</v>
      </c>
      <c r="AH1312">
        <v>14.34</v>
      </c>
      <c r="AI1312">
        <v>0.1</v>
      </c>
      <c r="AJ1312">
        <v>0.13</v>
      </c>
      <c r="AK1312">
        <v>82</v>
      </c>
      <c r="AL1312">
        <v>94</v>
      </c>
      <c r="AM1312">
        <v>52</v>
      </c>
      <c r="AN1312">
        <v>-0.59</v>
      </c>
      <c r="AO1312">
        <v>-0.4</v>
      </c>
      <c r="AP1312">
        <v>172</v>
      </c>
      <c r="AQ1312">
        <v>0</v>
      </c>
      <c r="AR1312">
        <v>5.87</v>
      </c>
      <c r="AS1312">
        <v>73</v>
      </c>
      <c r="AT1312">
        <v>1.7</v>
      </c>
      <c r="AU1312">
        <v>88</v>
      </c>
      <c r="AV1312">
        <v>-3.22</v>
      </c>
      <c r="AW1312">
        <v>96</v>
      </c>
      <c r="AX1312">
        <v>1.76</v>
      </c>
      <c r="AY1312">
        <v>82</v>
      </c>
      <c r="AZ1312">
        <v>7.33</v>
      </c>
      <c r="BA1312">
        <v>67</v>
      </c>
      <c r="BB1312">
        <v>6.16</v>
      </c>
      <c r="BC1312">
        <v>66</v>
      </c>
      <c r="BD1312">
        <v>-0.05</v>
      </c>
      <c r="BE1312">
        <v>-0.04</v>
      </c>
      <c r="BF1312">
        <v>-0.09</v>
      </c>
      <c r="BG1312">
        <v>89</v>
      </c>
      <c r="BH1312">
        <v>-0.16</v>
      </c>
      <c r="BI1312">
        <v>-20.239999999999998</v>
      </c>
      <c r="BJ1312">
        <v>6</v>
      </c>
      <c r="BK1312">
        <v>6</v>
      </c>
      <c r="BL1312">
        <v>0.34</v>
      </c>
      <c r="BM1312">
        <v>1.33</v>
      </c>
      <c r="BN1312">
        <v>1.06</v>
      </c>
      <c r="BO1312">
        <v>0.27</v>
      </c>
      <c r="BP1312">
        <v>-0.04</v>
      </c>
      <c r="BQ1312">
        <v>-0.32</v>
      </c>
      <c r="BR1312">
        <v>-0.59</v>
      </c>
      <c r="BS1312">
        <v>1.19</v>
      </c>
      <c r="BT1312">
        <v>0.33</v>
      </c>
      <c r="BU1312">
        <v>1.03</v>
      </c>
      <c r="BV1312">
        <v>1.54</v>
      </c>
      <c r="BW1312">
        <v>1.4</v>
      </c>
      <c r="BX1312">
        <v>0.73</v>
      </c>
      <c r="BY1312">
        <v>0.97</v>
      </c>
      <c r="BZ1312">
        <v>-0.43</v>
      </c>
      <c r="CA1312">
        <v>1.38</v>
      </c>
      <c r="CB1312">
        <v>1.48</v>
      </c>
      <c r="CC1312">
        <v>1.07</v>
      </c>
      <c r="CD1312">
        <v>0.62</v>
      </c>
      <c r="CE1312">
        <v>0.34</v>
      </c>
      <c r="CF1312">
        <v>0.21</v>
      </c>
      <c r="CG1312">
        <v>0</v>
      </c>
      <c r="CH1312">
        <v>0.78</v>
      </c>
      <c r="CI1312">
        <v>0</v>
      </c>
      <c r="CJ1312">
        <v>-7.5</v>
      </c>
      <c r="CK1312">
        <v>94</v>
      </c>
      <c r="CL1312">
        <v>-1.32</v>
      </c>
      <c r="CM1312">
        <v>92</v>
      </c>
      <c r="CN1312">
        <v>-0.53</v>
      </c>
      <c r="CO1312">
        <v>91</v>
      </c>
      <c r="CP1312">
        <v>-3.2</v>
      </c>
      <c r="CQ1312">
        <v>85</v>
      </c>
      <c r="CR1312">
        <v>0</v>
      </c>
      <c r="CS1312">
        <v>0</v>
      </c>
      <c r="CT1312">
        <v>11.6</v>
      </c>
      <c r="CU1312">
        <v>79</v>
      </c>
      <c r="CV1312">
        <v>0.16</v>
      </c>
      <c r="CW1312">
        <v>47</v>
      </c>
      <c r="CX1312" t="s">
        <v>309</v>
      </c>
    </row>
    <row r="1313" spans="1:102" x14ac:dyDescent="0.3">
      <c r="A1313" t="str">
        <f>HYPERLINK("https://webapp.icbf.com/v2/app/bull-search/view/1259145825","FR4003")</f>
        <v>FR4003</v>
      </c>
      <c r="B1313" t="s">
        <v>6361</v>
      </c>
      <c r="C1313" t="s">
        <v>6362</v>
      </c>
      <c r="D1313" s="1">
        <v>42063</v>
      </c>
      <c r="E1313" t="s">
        <v>108</v>
      </c>
      <c r="F1313">
        <v>3</v>
      </c>
      <c r="G1313" t="s">
        <v>435</v>
      </c>
      <c r="H1313">
        <v>119.89</v>
      </c>
      <c r="I1313">
        <v>70</v>
      </c>
      <c r="J1313">
        <v>29.98</v>
      </c>
      <c r="K1313">
        <v>84</v>
      </c>
      <c r="L1313">
        <v>74.680000000000007</v>
      </c>
      <c r="M1313">
        <v>61</v>
      </c>
      <c r="N1313">
        <v>11.62</v>
      </c>
      <c r="O1313">
        <v>73</v>
      </c>
      <c r="P1313">
        <v>9.67</v>
      </c>
      <c r="Q1313">
        <v>70</v>
      </c>
      <c r="R1313">
        <v>-7.55</v>
      </c>
      <c r="S1313">
        <v>62</v>
      </c>
      <c r="T1313">
        <v>1.99</v>
      </c>
      <c r="U1313">
        <v>52</v>
      </c>
      <c r="V1313">
        <v>-0.5</v>
      </c>
      <c r="W1313">
        <v>61</v>
      </c>
      <c r="X1313" t="s">
        <v>6363</v>
      </c>
      <c r="Y1313" t="s">
        <v>436</v>
      </c>
      <c r="Z1313" t="s">
        <v>96</v>
      </c>
      <c r="AA1313" t="s">
        <v>2016</v>
      </c>
      <c r="AB1313" t="s">
        <v>6364</v>
      </c>
      <c r="AC1313">
        <v>0</v>
      </c>
      <c r="AD1313">
        <v>0</v>
      </c>
      <c r="AE1313">
        <v>84</v>
      </c>
      <c r="AF1313">
        <v>-215.33</v>
      </c>
      <c r="AG1313">
        <v>0.6</v>
      </c>
      <c r="AH1313">
        <v>1.59</v>
      </c>
      <c r="AI1313">
        <v>0.16</v>
      </c>
      <c r="AJ1313">
        <v>0.16</v>
      </c>
      <c r="AK1313">
        <v>61</v>
      </c>
      <c r="AL1313">
        <v>0</v>
      </c>
      <c r="AM1313">
        <v>0</v>
      </c>
      <c r="AN1313">
        <v>-4.53</v>
      </c>
      <c r="AO1313">
        <v>1.42</v>
      </c>
      <c r="AP1313">
        <v>83</v>
      </c>
      <c r="AQ1313">
        <v>1</v>
      </c>
      <c r="AR1313">
        <v>7.86</v>
      </c>
      <c r="AS1313">
        <v>58</v>
      </c>
      <c r="AT1313">
        <v>2.91</v>
      </c>
      <c r="AU1313">
        <v>75</v>
      </c>
      <c r="AV1313">
        <v>-1.32</v>
      </c>
      <c r="AW1313">
        <v>89</v>
      </c>
      <c r="AX1313">
        <v>-0.05</v>
      </c>
      <c r="AY1313">
        <v>68</v>
      </c>
      <c r="AZ1313">
        <v>6.27</v>
      </c>
      <c r="BA1313">
        <v>44</v>
      </c>
      <c r="BB1313">
        <v>5.09</v>
      </c>
      <c r="BC1313">
        <v>44</v>
      </c>
      <c r="BD1313">
        <v>0.04</v>
      </c>
      <c r="BE1313">
        <v>0.03</v>
      </c>
      <c r="BF1313">
        <v>0.05</v>
      </c>
      <c r="BG1313">
        <v>68</v>
      </c>
      <c r="BH1313">
        <v>-0.05</v>
      </c>
      <c r="BI1313">
        <v>-4.16</v>
      </c>
      <c r="BJ1313">
        <v>0</v>
      </c>
      <c r="BK1313">
        <v>0</v>
      </c>
      <c r="BL1313">
        <v>-1.89</v>
      </c>
      <c r="BM1313">
        <v>1.88</v>
      </c>
      <c r="BN1313">
        <v>-0.28999999999999998</v>
      </c>
      <c r="BO1313">
        <v>-1.65</v>
      </c>
      <c r="BP1313">
        <v>1.1399999999999999</v>
      </c>
      <c r="BQ1313">
        <v>3.67</v>
      </c>
      <c r="BR1313">
        <v>-0.18</v>
      </c>
      <c r="BS1313">
        <v>0.37</v>
      </c>
      <c r="BT1313">
        <v>0.03</v>
      </c>
      <c r="BU1313">
        <v>-2.21</v>
      </c>
      <c r="BV1313">
        <v>-2.4700000000000002</v>
      </c>
      <c r="BW1313">
        <v>-2.63</v>
      </c>
      <c r="BX1313">
        <v>-1.97</v>
      </c>
      <c r="BY1313">
        <v>-1.07</v>
      </c>
      <c r="BZ1313">
        <v>-0.79</v>
      </c>
      <c r="CA1313">
        <v>-1.7</v>
      </c>
      <c r="CB1313">
        <v>-2.35</v>
      </c>
      <c r="CC1313">
        <v>-0.05</v>
      </c>
      <c r="CD1313">
        <v>2.64</v>
      </c>
      <c r="CE1313">
        <v>-1.1000000000000001</v>
      </c>
      <c r="CF1313">
        <v>0.3</v>
      </c>
      <c r="CG1313">
        <v>0</v>
      </c>
      <c r="CH1313">
        <v>-2.0099999999999998</v>
      </c>
      <c r="CI1313">
        <v>0</v>
      </c>
      <c r="CJ1313">
        <v>3.9</v>
      </c>
      <c r="CK1313">
        <v>74</v>
      </c>
      <c r="CL1313">
        <v>-0.06</v>
      </c>
      <c r="CM1313">
        <v>68</v>
      </c>
      <c r="CN1313">
        <v>-0.39</v>
      </c>
      <c r="CO1313">
        <v>67</v>
      </c>
      <c r="CP1313">
        <v>2.2999999999999998</v>
      </c>
      <c r="CQ1313">
        <v>55</v>
      </c>
      <c r="CR1313">
        <v>0</v>
      </c>
      <c r="CS1313">
        <v>0</v>
      </c>
      <c r="CT1313">
        <v>11.1</v>
      </c>
      <c r="CU1313">
        <v>52</v>
      </c>
      <c r="CV1313">
        <v>0.1</v>
      </c>
      <c r="CW1313">
        <v>41</v>
      </c>
      <c r="CX1313" t="s">
        <v>1543</v>
      </c>
    </row>
    <row r="1314" spans="1:102" x14ac:dyDescent="0.3">
      <c r="A1314" t="str">
        <f>HYPERLINK("https://webapp.icbf.com/v2/app/bull-search/view/586151638","ROF")</f>
        <v>ROF</v>
      </c>
      <c r="B1314" t="s">
        <v>1709</v>
      </c>
      <c r="C1314" t="s">
        <v>1710</v>
      </c>
      <c r="D1314" s="1">
        <v>38046</v>
      </c>
      <c r="E1314" t="s">
        <v>92</v>
      </c>
      <c r="F1314">
        <v>100</v>
      </c>
      <c r="G1314" t="s">
        <v>93</v>
      </c>
      <c r="H1314">
        <v>119.87</v>
      </c>
      <c r="I1314">
        <v>97</v>
      </c>
      <c r="J1314">
        <v>38.840000000000003</v>
      </c>
      <c r="K1314">
        <v>99</v>
      </c>
      <c r="L1314">
        <v>24.56</v>
      </c>
      <c r="M1314">
        <v>95</v>
      </c>
      <c r="N1314">
        <v>47.91</v>
      </c>
      <c r="O1314">
        <v>98</v>
      </c>
      <c r="P1314">
        <v>0.69</v>
      </c>
      <c r="Q1314">
        <v>99</v>
      </c>
      <c r="R1314">
        <v>13.37</v>
      </c>
      <c r="S1314">
        <v>94</v>
      </c>
      <c r="T1314">
        <v>-11.33</v>
      </c>
      <c r="U1314">
        <v>99</v>
      </c>
      <c r="V1314">
        <v>5.83</v>
      </c>
      <c r="W1314">
        <v>91</v>
      </c>
      <c r="X1314" t="s">
        <v>94</v>
      </c>
      <c r="Y1314" t="s">
        <v>235</v>
      </c>
      <c r="Z1314" t="s">
        <v>96</v>
      </c>
      <c r="AA1314" t="s">
        <v>316</v>
      </c>
      <c r="AB1314" t="s">
        <v>1711</v>
      </c>
      <c r="AC1314">
        <v>2095</v>
      </c>
      <c r="AD1314">
        <v>629</v>
      </c>
      <c r="AE1314">
        <v>99</v>
      </c>
      <c r="AF1314">
        <v>404.92</v>
      </c>
      <c r="AG1314">
        <v>2.41</v>
      </c>
      <c r="AH1314">
        <v>11.95</v>
      </c>
      <c r="AI1314">
        <v>-0.22</v>
      </c>
      <c r="AJ1314">
        <v>-0.03</v>
      </c>
      <c r="AK1314">
        <v>95</v>
      </c>
      <c r="AL1314">
        <v>2301</v>
      </c>
      <c r="AM1314">
        <v>736</v>
      </c>
      <c r="AN1314">
        <v>-1.23</v>
      </c>
      <c r="AO1314">
        <v>0.73</v>
      </c>
      <c r="AP1314">
        <v>3980</v>
      </c>
      <c r="AQ1314">
        <v>13</v>
      </c>
      <c r="AR1314">
        <v>4.82</v>
      </c>
      <c r="AS1314">
        <v>98</v>
      </c>
      <c r="AT1314">
        <v>1.9</v>
      </c>
      <c r="AU1314">
        <v>99</v>
      </c>
      <c r="AV1314">
        <v>-3.9</v>
      </c>
      <c r="AW1314">
        <v>99</v>
      </c>
      <c r="AX1314">
        <v>-0.01</v>
      </c>
      <c r="AY1314">
        <v>99</v>
      </c>
      <c r="AZ1314">
        <v>5.61</v>
      </c>
      <c r="BA1314">
        <v>96</v>
      </c>
      <c r="BB1314">
        <v>4.92</v>
      </c>
      <c r="BC1314">
        <v>96</v>
      </c>
      <c r="BD1314">
        <v>-0.02</v>
      </c>
      <c r="BE1314">
        <v>-0.06</v>
      </c>
      <c r="BF1314">
        <v>-0.16</v>
      </c>
      <c r="BG1314">
        <v>99</v>
      </c>
      <c r="BH1314">
        <v>0.01</v>
      </c>
      <c r="BI1314">
        <v>-17.66</v>
      </c>
      <c r="BJ1314">
        <v>317</v>
      </c>
      <c r="BK1314">
        <v>100</v>
      </c>
      <c r="BL1314">
        <v>1.06</v>
      </c>
      <c r="BM1314">
        <v>1.87</v>
      </c>
      <c r="BN1314">
        <v>0.78</v>
      </c>
      <c r="BO1314">
        <v>-0.32</v>
      </c>
      <c r="BP1314">
        <v>1.49</v>
      </c>
      <c r="BQ1314">
        <v>2.17</v>
      </c>
      <c r="BR1314">
        <v>-1.19</v>
      </c>
      <c r="BS1314">
        <v>0.63</v>
      </c>
      <c r="BT1314">
        <v>0.61</v>
      </c>
      <c r="BU1314">
        <v>1.52</v>
      </c>
      <c r="BV1314">
        <v>0.14000000000000001</v>
      </c>
      <c r="BW1314">
        <v>0.91</v>
      </c>
      <c r="BX1314">
        <v>2.8</v>
      </c>
      <c r="BY1314">
        <v>1.87</v>
      </c>
      <c r="BZ1314">
        <v>-0.72</v>
      </c>
      <c r="CA1314">
        <v>1.21</v>
      </c>
      <c r="CB1314">
        <v>1.05</v>
      </c>
      <c r="CC1314">
        <v>0.87</v>
      </c>
      <c r="CD1314">
        <v>1.29</v>
      </c>
      <c r="CE1314">
        <v>-0.08</v>
      </c>
      <c r="CF1314">
        <v>1.95</v>
      </c>
      <c r="CG1314">
        <v>0</v>
      </c>
      <c r="CH1314">
        <v>1.74</v>
      </c>
      <c r="CI1314">
        <v>0</v>
      </c>
      <c r="CJ1314">
        <v>2</v>
      </c>
      <c r="CK1314">
        <v>99</v>
      </c>
      <c r="CL1314">
        <v>-0.96</v>
      </c>
      <c r="CM1314">
        <v>99</v>
      </c>
      <c r="CN1314">
        <v>-0.49</v>
      </c>
      <c r="CO1314">
        <v>99</v>
      </c>
      <c r="CP1314">
        <v>14</v>
      </c>
      <c r="CQ1314">
        <v>99</v>
      </c>
      <c r="CR1314">
        <v>0</v>
      </c>
      <c r="CS1314">
        <v>0</v>
      </c>
      <c r="CT1314">
        <v>29.1</v>
      </c>
      <c r="CU1314">
        <v>99</v>
      </c>
      <c r="CV1314">
        <v>0.3</v>
      </c>
      <c r="CW1314">
        <v>49</v>
      </c>
      <c r="CX1314" t="s">
        <v>311</v>
      </c>
    </row>
    <row r="1315" spans="1:102" x14ac:dyDescent="0.3">
      <c r="A1315" t="str">
        <f>HYPERLINK("https://webapp.icbf.com/v2/app/bull-search/view/861453807","JSE")</f>
        <v>JSE</v>
      </c>
      <c r="B1315" t="s">
        <v>13019</v>
      </c>
      <c r="C1315" t="s">
        <v>13020</v>
      </c>
      <c r="D1315" s="1">
        <v>40583</v>
      </c>
      <c r="E1315" t="s">
        <v>227</v>
      </c>
      <c r="F1315">
        <v>41</v>
      </c>
      <c r="G1315" t="s">
        <v>435</v>
      </c>
      <c r="H1315">
        <v>119.82</v>
      </c>
      <c r="I1315">
        <v>71</v>
      </c>
      <c r="J1315">
        <v>25.11</v>
      </c>
      <c r="K1315">
        <v>88</v>
      </c>
      <c r="L1315">
        <v>54.07</v>
      </c>
      <c r="M1315">
        <v>66</v>
      </c>
      <c r="N1315">
        <v>36.909999999999997</v>
      </c>
      <c r="O1315">
        <v>58</v>
      </c>
      <c r="P1315">
        <v>-47.95</v>
      </c>
      <c r="Q1315">
        <v>63</v>
      </c>
      <c r="R1315">
        <v>5.67</v>
      </c>
      <c r="S1315">
        <v>66</v>
      </c>
      <c r="T1315">
        <v>40.24</v>
      </c>
      <c r="U1315">
        <v>51</v>
      </c>
      <c r="V1315">
        <v>5.77</v>
      </c>
      <c r="W1315">
        <v>64</v>
      </c>
      <c r="X1315" t="s">
        <v>102</v>
      </c>
      <c r="Y1315" t="s">
        <v>1860</v>
      </c>
      <c r="Z1315">
        <v>0</v>
      </c>
      <c r="AA1315" t="s">
        <v>1744</v>
      </c>
      <c r="AB1315" t="s">
        <v>13021</v>
      </c>
      <c r="AC1315">
        <v>2</v>
      </c>
      <c r="AD1315">
        <v>1</v>
      </c>
      <c r="AE1315">
        <v>88</v>
      </c>
      <c r="AF1315">
        <v>-345.48</v>
      </c>
      <c r="AG1315">
        <v>7.47</v>
      </c>
      <c r="AH1315">
        <v>-3.66</v>
      </c>
      <c r="AI1315">
        <v>0.38</v>
      </c>
      <c r="AJ1315">
        <v>0.15</v>
      </c>
      <c r="AK1315">
        <v>66</v>
      </c>
      <c r="AL1315">
        <v>3</v>
      </c>
      <c r="AM1315">
        <v>2</v>
      </c>
      <c r="AN1315">
        <v>-4.68</v>
      </c>
      <c r="AO1315">
        <v>-0.39</v>
      </c>
      <c r="AP1315">
        <v>4</v>
      </c>
      <c r="AQ1315">
        <v>0</v>
      </c>
      <c r="AR1315">
        <v>3.19</v>
      </c>
      <c r="AS1315">
        <v>58</v>
      </c>
      <c r="AT1315">
        <v>1.66</v>
      </c>
      <c r="AU1315">
        <v>61</v>
      </c>
      <c r="AV1315">
        <v>-2.85</v>
      </c>
      <c r="AW1315">
        <v>62</v>
      </c>
      <c r="AX1315">
        <v>0.21</v>
      </c>
      <c r="AY1315">
        <v>51</v>
      </c>
      <c r="AZ1315">
        <v>6.84</v>
      </c>
      <c r="BA1315">
        <v>48</v>
      </c>
      <c r="BB1315">
        <v>5.76</v>
      </c>
      <c r="BC1315">
        <v>48</v>
      </c>
      <c r="BD1315">
        <v>-0.05</v>
      </c>
      <c r="BE1315">
        <v>-0.03</v>
      </c>
      <c r="BF1315">
        <v>0.01</v>
      </c>
      <c r="BG1315">
        <v>73</v>
      </c>
      <c r="BH1315">
        <v>0.14000000000000001</v>
      </c>
      <c r="BI1315">
        <v>-2.42</v>
      </c>
      <c r="BJ1315">
        <v>0</v>
      </c>
      <c r="BK1315">
        <v>0</v>
      </c>
      <c r="BL1315">
        <v>-1.79</v>
      </c>
      <c r="BM1315">
        <v>0.5</v>
      </c>
      <c r="BN1315">
        <v>0.46</v>
      </c>
      <c r="BO1315">
        <v>0.18</v>
      </c>
      <c r="BP1315">
        <v>1.2</v>
      </c>
      <c r="BQ1315">
        <v>-2.94</v>
      </c>
      <c r="BR1315">
        <v>2.13</v>
      </c>
      <c r="BS1315">
        <v>1.23</v>
      </c>
      <c r="BT1315">
        <v>-1.59</v>
      </c>
      <c r="BU1315">
        <v>-0.63</v>
      </c>
      <c r="BV1315">
        <v>-0.95</v>
      </c>
      <c r="BW1315">
        <v>-1.46</v>
      </c>
      <c r="BX1315">
        <v>-2.17</v>
      </c>
      <c r="BY1315">
        <v>1.21</v>
      </c>
      <c r="BZ1315">
        <v>-0.48</v>
      </c>
      <c r="CA1315">
        <v>-7.0000000000000007E-2</v>
      </c>
      <c r="CB1315">
        <v>-0.38</v>
      </c>
      <c r="CC1315">
        <v>0.79</v>
      </c>
      <c r="CD1315">
        <v>-0.17</v>
      </c>
      <c r="CE1315">
        <v>-0.18</v>
      </c>
      <c r="CF1315">
        <v>-1.62</v>
      </c>
      <c r="CG1315">
        <v>0</v>
      </c>
      <c r="CH1315">
        <v>0.39</v>
      </c>
      <c r="CI1315">
        <v>0</v>
      </c>
      <c r="CJ1315">
        <v>-26.5</v>
      </c>
      <c r="CK1315">
        <v>65</v>
      </c>
      <c r="CL1315">
        <v>-0.94</v>
      </c>
      <c r="CM1315">
        <v>62</v>
      </c>
      <c r="CN1315">
        <v>-0.32</v>
      </c>
      <c r="CO1315">
        <v>60</v>
      </c>
      <c r="CP1315">
        <v>-36.200000000000003</v>
      </c>
      <c r="CQ1315">
        <v>55</v>
      </c>
      <c r="CR1315">
        <v>0</v>
      </c>
      <c r="CS1315">
        <v>0</v>
      </c>
      <c r="CT1315">
        <v>-40.6</v>
      </c>
      <c r="CU1315">
        <v>51</v>
      </c>
      <c r="CV1315">
        <v>-0.25</v>
      </c>
      <c r="CW1315">
        <v>39</v>
      </c>
      <c r="CX1315" t="s">
        <v>4059</v>
      </c>
    </row>
    <row r="1316" spans="1:102" x14ac:dyDescent="0.3">
      <c r="A1316" t="str">
        <f>HYPERLINK("https://webapp.icbf.com/v2/app/bull-search/view/508745569","BXG")</f>
        <v>BXG</v>
      </c>
      <c r="B1316" t="s">
        <v>14425</v>
      </c>
      <c r="C1316" t="s">
        <v>12113</v>
      </c>
      <c r="D1316" s="1">
        <v>36489</v>
      </c>
      <c r="E1316" t="s">
        <v>395</v>
      </c>
      <c r="F1316">
        <v>0</v>
      </c>
      <c r="G1316" t="s">
        <v>93</v>
      </c>
      <c r="H1316">
        <v>119.54</v>
      </c>
      <c r="I1316">
        <v>84</v>
      </c>
      <c r="J1316">
        <v>5.77</v>
      </c>
      <c r="K1316">
        <v>92</v>
      </c>
      <c r="L1316">
        <v>56.67</v>
      </c>
      <c r="M1316">
        <v>80</v>
      </c>
      <c r="N1316">
        <v>15.87</v>
      </c>
      <c r="O1316">
        <v>82</v>
      </c>
      <c r="P1316">
        <v>-16.72</v>
      </c>
      <c r="Q1316">
        <v>87</v>
      </c>
      <c r="R1316">
        <v>18.350000000000001</v>
      </c>
      <c r="S1316">
        <v>68</v>
      </c>
      <c r="T1316">
        <v>38.1</v>
      </c>
      <c r="U1316">
        <v>86</v>
      </c>
      <c r="V1316">
        <v>1.5</v>
      </c>
      <c r="W1316">
        <v>68</v>
      </c>
      <c r="X1316" t="s">
        <v>94</v>
      </c>
      <c r="Y1316" t="s">
        <v>95</v>
      </c>
      <c r="Z1316">
        <v>0</v>
      </c>
      <c r="AA1316" t="s">
        <v>398</v>
      </c>
      <c r="AB1316" t="s">
        <v>144</v>
      </c>
      <c r="AC1316">
        <v>44</v>
      </c>
      <c r="AD1316">
        <v>29</v>
      </c>
      <c r="AE1316">
        <v>92</v>
      </c>
      <c r="AF1316">
        <v>-70.73</v>
      </c>
      <c r="AG1316">
        <v>0.25</v>
      </c>
      <c r="AH1316">
        <v>-0.19</v>
      </c>
      <c r="AI1316">
        <v>0.05</v>
      </c>
      <c r="AJ1316">
        <v>0.04</v>
      </c>
      <c r="AK1316">
        <v>80</v>
      </c>
      <c r="AL1316">
        <v>43</v>
      </c>
      <c r="AM1316">
        <v>22</v>
      </c>
      <c r="AN1316">
        <v>-1.5</v>
      </c>
      <c r="AO1316">
        <v>3.04</v>
      </c>
      <c r="AP1316">
        <v>114</v>
      </c>
      <c r="AQ1316">
        <v>0</v>
      </c>
      <c r="AR1316">
        <v>5.81</v>
      </c>
      <c r="AS1316">
        <v>76</v>
      </c>
      <c r="AT1316">
        <v>2.1800000000000002</v>
      </c>
      <c r="AU1316">
        <v>85</v>
      </c>
      <c r="AV1316">
        <v>-0.84</v>
      </c>
      <c r="AW1316">
        <v>93</v>
      </c>
      <c r="AX1316">
        <v>0.47</v>
      </c>
      <c r="AY1316">
        <v>75</v>
      </c>
      <c r="AZ1316">
        <v>6.87</v>
      </c>
      <c r="BA1316">
        <v>54</v>
      </c>
      <c r="BB1316">
        <v>5.12</v>
      </c>
      <c r="BC1316">
        <v>57</v>
      </c>
      <c r="BD1316">
        <v>-0.06</v>
      </c>
      <c r="BE1316">
        <v>-0.08</v>
      </c>
      <c r="BF1316">
        <v>-0.17</v>
      </c>
      <c r="BG1316">
        <v>76</v>
      </c>
      <c r="BH1316">
        <v>-7.0000000000000007E-2</v>
      </c>
      <c r="BI1316">
        <v>-12.93</v>
      </c>
      <c r="BJ1316">
        <v>0</v>
      </c>
      <c r="BK1316">
        <v>0</v>
      </c>
      <c r="BL1316">
        <v>-1.79</v>
      </c>
      <c r="BM1316">
        <v>0.93</v>
      </c>
      <c r="BN1316">
        <v>-1.64</v>
      </c>
      <c r="BO1316">
        <v>-1.77</v>
      </c>
      <c r="BP1316">
        <v>2.8</v>
      </c>
      <c r="BQ1316">
        <v>-1.22</v>
      </c>
      <c r="BR1316">
        <v>1.8</v>
      </c>
      <c r="BS1316">
        <v>-0.15</v>
      </c>
      <c r="BT1316">
        <v>-1.37</v>
      </c>
      <c r="BU1316">
        <v>-1.21</v>
      </c>
      <c r="BV1316">
        <v>-2.5499999999999998</v>
      </c>
      <c r="BW1316">
        <v>-2.14</v>
      </c>
      <c r="BX1316">
        <v>-0.94</v>
      </c>
      <c r="BY1316">
        <v>-0.26</v>
      </c>
      <c r="BZ1316">
        <v>-2.86</v>
      </c>
      <c r="CA1316">
        <v>-2.37</v>
      </c>
      <c r="CB1316">
        <v>-2.14</v>
      </c>
      <c r="CC1316">
        <v>-1.86</v>
      </c>
      <c r="CD1316">
        <v>1.33</v>
      </c>
      <c r="CE1316">
        <v>-1.82</v>
      </c>
      <c r="CF1316">
        <v>-1.84</v>
      </c>
      <c r="CG1316">
        <v>0</v>
      </c>
      <c r="CH1316">
        <v>-0.41</v>
      </c>
      <c r="CI1316">
        <v>0</v>
      </c>
      <c r="CJ1316">
        <v>-7.1</v>
      </c>
      <c r="CK1316">
        <v>89</v>
      </c>
      <c r="CL1316">
        <v>-0.28999999999999998</v>
      </c>
      <c r="CM1316">
        <v>86</v>
      </c>
      <c r="CN1316">
        <v>0.09</v>
      </c>
      <c r="CO1316">
        <v>85</v>
      </c>
      <c r="CP1316">
        <v>-19.2</v>
      </c>
      <c r="CQ1316">
        <v>83</v>
      </c>
      <c r="CR1316">
        <v>0</v>
      </c>
      <c r="CS1316">
        <v>0</v>
      </c>
      <c r="CT1316">
        <v>-37.700000000000003</v>
      </c>
      <c r="CU1316">
        <v>86</v>
      </c>
      <c r="CV1316">
        <v>-0.1</v>
      </c>
      <c r="CW1316">
        <v>25</v>
      </c>
      <c r="CX1316" t="s">
        <v>14426</v>
      </c>
    </row>
    <row r="1317" spans="1:102" x14ac:dyDescent="0.3">
      <c r="A1317" t="str">
        <f>HYPERLINK("https://webapp.icbf.com/v2/app/bull-search/view/443048134","SFU")</f>
        <v>SFU</v>
      </c>
      <c r="B1317" t="s">
        <v>11947</v>
      </c>
      <c r="C1317" t="s">
        <v>11948</v>
      </c>
      <c r="D1317" s="1">
        <v>38750</v>
      </c>
      <c r="E1317" t="s">
        <v>92</v>
      </c>
      <c r="F1317">
        <v>88</v>
      </c>
      <c r="G1317" t="s">
        <v>93</v>
      </c>
      <c r="H1317">
        <v>119.39</v>
      </c>
      <c r="I1317">
        <v>95</v>
      </c>
      <c r="J1317">
        <v>25.74</v>
      </c>
      <c r="K1317">
        <v>99</v>
      </c>
      <c r="L1317">
        <v>70.12</v>
      </c>
      <c r="M1317">
        <v>91</v>
      </c>
      <c r="N1317">
        <v>21.94</v>
      </c>
      <c r="O1317">
        <v>96</v>
      </c>
      <c r="P1317">
        <v>-6.72</v>
      </c>
      <c r="Q1317">
        <v>99</v>
      </c>
      <c r="R1317">
        <v>5.96</v>
      </c>
      <c r="S1317">
        <v>91</v>
      </c>
      <c r="T1317">
        <v>-0.01</v>
      </c>
      <c r="U1317">
        <v>97</v>
      </c>
      <c r="V1317">
        <v>2.36</v>
      </c>
      <c r="W1317">
        <v>88</v>
      </c>
      <c r="X1317" t="s">
        <v>94</v>
      </c>
      <c r="Y1317" t="s">
        <v>1128</v>
      </c>
      <c r="Z1317" t="s">
        <v>96</v>
      </c>
      <c r="AA1317" t="s">
        <v>1165</v>
      </c>
      <c r="AB1317" t="s">
        <v>11949</v>
      </c>
      <c r="AC1317">
        <v>607</v>
      </c>
      <c r="AD1317">
        <v>359</v>
      </c>
      <c r="AE1317">
        <v>99</v>
      </c>
      <c r="AF1317">
        <v>-40.19</v>
      </c>
      <c r="AG1317">
        <v>5.52</v>
      </c>
      <c r="AH1317">
        <v>1.81</v>
      </c>
      <c r="AI1317">
        <v>0.12</v>
      </c>
      <c r="AJ1317">
        <v>0.06</v>
      </c>
      <c r="AK1317">
        <v>91</v>
      </c>
      <c r="AL1317">
        <v>792</v>
      </c>
      <c r="AM1317">
        <v>494</v>
      </c>
      <c r="AN1317">
        <v>-3.17</v>
      </c>
      <c r="AO1317">
        <v>2.4300000000000002</v>
      </c>
      <c r="AP1317">
        <v>1087</v>
      </c>
      <c r="AQ1317">
        <v>10</v>
      </c>
      <c r="AR1317">
        <v>8.41</v>
      </c>
      <c r="AS1317">
        <v>88</v>
      </c>
      <c r="AT1317">
        <v>3.26</v>
      </c>
      <c r="AU1317">
        <v>97</v>
      </c>
      <c r="AV1317">
        <v>-2.77</v>
      </c>
      <c r="AW1317">
        <v>99</v>
      </c>
      <c r="AX1317">
        <v>-0.4</v>
      </c>
      <c r="AY1317">
        <v>96</v>
      </c>
      <c r="AZ1317">
        <v>5.62</v>
      </c>
      <c r="BA1317">
        <v>87</v>
      </c>
      <c r="BB1317">
        <v>4.7699999999999996</v>
      </c>
      <c r="BC1317">
        <v>88</v>
      </c>
      <c r="BD1317">
        <v>0</v>
      </c>
      <c r="BE1317">
        <v>-0.03</v>
      </c>
      <c r="BF1317">
        <v>-0.08</v>
      </c>
      <c r="BG1317">
        <v>97</v>
      </c>
      <c r="BH1317">
        <v>0.15</v>
      </c>
      <c r="BI1317">
        <v>9.75</v>
      </c>
      <c r="BJ1317">
        <v>43</v>
      </c>
      <c r="BK1317">
        <v>25</v>
      </c>
      <c r="BL1317">
        <v>0.34</v>
      </c>
      <c r="BM1317">
        <v>1.82</v>
      </c>
      <c r="BN1317">
        <v>0.78</v>
      </c>
      <c r="BO1317">
        <v>-0.54</v>
      </c>
      <c r="BP1317">
        <v>3.3</v>
      </c>
      <c r="BQ1317">
        <v>0.72</v>
      </c>
      <c r="BR1317">
        <v>-0.25</v>
      </c>
      <c r="BS1317">
        <v>-0.17</v>
      </c>
      <c r="BT1317">
        <v>-0.8</v>
      </c>
      <c r="BU1317">
        <v>0.44</v>
      </c>
      <c r="BV1317">
        <v>-0.4</v>
      </c>
      <c r="BW1317">
        <v>0.47</v>
      </c>
      <c r="BX1317">
        <v>0.74</v>
      </c>
      <c r="BY1317">
        <v>0.14000000000000001</v>
      </c>
      <c r="BZ1317">
        <v>0.73</v>
      </c>
      <c r="CA1317">
        <v>-0.1</v>
      </c>
      <c r="CB1317">
        <v>0.09</v>
      </c>
      <c r="CC1317">
        <v>-0.43</v>
      </c>
      <c r="CD1317">
        <v>1.45</v>
      </c>
      <c r="CE1317">
        <v>-1.05</v>
      </c>
      <c r="CF1317">
        <v>0.59</v>
      </c>
      <c r="CG1317">
        <v>0</v>
      </c>
      <c r="CH1317">
        <v>0.27</v>
      </c>
      <c r="CI1317">
        <v>0</v>
      </c>
      <c r="CJ1317">
        <v>-1</v>
      </c>
      <c r="CK1317">
        <v>99</v>
      </c>
      <c r="CL1317">
        <v>-0.71</v>
      </c>
      <c r="CM1317">
        <v>99</v>
      </c>
      <c r="CN1317">
        <v>-0.19</v>
      </c>
      <c r="CO1317">
        <v>99</v>
      </c>
      <c r="CP1317">
        <v>-1.6</v>
      </c>
      <c r="CQ1317">
        <v>97</v>
      </c>
      <c r="CR1317">
        <v>0</v>
      </c>
      <c r="CS1317">
        <v>0</v>
      </c>
      <c r="CT1317">
        <v>13.8</v>
      </c>
      <c r="CU1317">
        <v>97</v>
      </c>
      <c r="CV1317">
        <v>0.27</v>
      </c>
      <c r="CW1317">
        <v>48</v>
      </c>
      <c r="CX1317" t="s">
        <v>612</v>
      </c>
    </row>
    <row r="1318" spans="1:102" x14ac:dyDescent="0.3">
      <c r="A1318" t="str">
        <f>HYPERLINK("https://webapp.icbf.com/v2/app/bull-search/view/391644235","SHX")</f>
        <v>SHX</v>
      </c>
      <c r="B1318" t="s">
        <v>4472</v>
      </c>
      <c r="C1318" t="s">
        <v>4473</v>
      </c>
      <c r="D1318" s="1">
        <v>38372</v>
      </c>
      <c r="E1318" t="s">
        <v>92</v>
      </c>
      <c r="F1318">
        <v>94</v>
      </c>
      <c r="G1318" t="s">
        <v>435</v>
      </c>
      <c r="H1318">
        <v>119.38</v>
      </c>
      <c r="I1318">
        <v>76</v>
      </c>
      <c r="J1318">
        <v>16.12</v>
      </c>
      <c r="K1318">
        <v>90</v>
      </c>
      <c r="L1318">
        <v>100.75</v>
      </c>
      <c r="M1318">
        <v>70</v>
      </c>
      <c r="N1318">
        <v>-6.8</v>
      </c>
      <c r="O1318">
        <v>64</v>
      </c>
      <c r="P1318">
        <v>-8.58</v>
      </c>
      <c r="Q1318">
        <v>82</v>
      </c>
      <c r="R1318">
        <v>-1.68</v>
      </c>
      <c r="S1318">
        <v>69</v>
      </c>
      <c r="T1318">
        <v>23.3</v>
      </c>
      <c r="U1318">
        <v>65</v>
      </c>
      <c r="V1318">
        <v>-3.73</v>
      </c>
      <c r="W1318">
        <v>66</v>
      </c>
      <c r="X1318" t="s">
        <v>94</v>
      </c>
      <c r="Y1318" t="s">
        <v>1164</v>
      </c>
      <c r="Z1318" t="s">
        <v>96</v>
      </c>
      <c r="AA1318" t="s">
        <v>725</v>
      </c>
      <c r="AB1318" t="s">
        <v>2602</v>
      </c>
      <c r="AC1318">
        <v>2</v>
      </c>
      <c r="AD1318">
        <v>2</v>
      </c>
      <c r="AE1318">
        <v>90</v>
      </c>
      <c r="AF1318">
        <v>-278.37</v>
      </c>
      <c r="AG1318">
        <v>-0.25</v>
      </c>
      <c r="AH1318">
        <v>-1.43</v>
      </c>
      <c r="AI1318">
        <v>0.19</v>
      </c>
      <c r="AJ1318">
        <v>0.15</v>
      </c>
      <c r="AK1318">
        <v>70</v>
      </c>
      <c r="AL1318">
        <v>1</v>
      </c>
      <c r="AM1318">
        <v>1</v>
      </c>
      <c r="AN1318">
        <v>-5.09</v>
      </c>
      <c r="AO1318">
        <v>2.95</v>
      </c>
      <c r="AP1318">
        <v>3</v>
      </c>
      <c r="AQ1318">
        <v>17</v>
      </c>
      <c r="AR1318">
        <v>10.199999999999999</v>
      </c>
      <c r="AS1318">
        <v>57</v>
      </c>
      <c r="AT1318">
        <v>4.18</v>
      </c>
      <c r="AU1318">
        <v>67</v>
      </c>
      <c r="AV1318">
        <v>-2.0099999999999998</v>
      </c>
      <c r="AW1318">
        <v>68</v>
      </c>
      <c r="AX1318">
        <v>-0.48</v>
      </c>
      <c r="AY1318">
        <v>68</v>
      </c>
      <c r="AZ1318">
        <v>7.93</v>
      </c>
      <c r="BA1318">
        <v>47</v>
      </c>
      <c r="BB1318">
        <v>5.64</v>
      </c>
      <c r="BC1318">
        <v>49</v>
      </c>
      <c r="BD1318">
        <v>7.0000000000000007E-2</v>
      </c>
      <c r="BE1318">
        <v>-0.02</v>
      </c>
      <c r="BF1318">
        <v>-0.04</v>
      </c>
      <c r="BG1318">
        <v>78</v>
      </c>
      <c r="BH1318">
        <v>-0.18</v>
      </c>
      <c r="BI1318">
        <v>-8.8000000000000007</v>
      </c>
      <c r="BJ1318">
        <v>0</v>
      </c>
      <c r="BK1318">
        <v>0</v>
      </c>
      <c r="BL1318">
        <v>-0.08</v>
      </c>
      <c r="BM1318">
        <v>-1.27</v>
      </c>
      <c r="BN1318">
        <v>-1.67</v>
      </c>
      <c r="BO1318">
        <v>-0.61</v>
      </c>
      <c r="BP1318">
        <v>-0.82</v>
      </c>
      <c r="BQ1318">
        <v>-2.0699999999999998</v>
      </c>
      <c r="BR1318">
        <v>-0.01</v>
      </c>
      <c r="BS1318">
        <v>-0.62</v>
      </c>
      <c r="BT1318">
        <v>-0.38</v>
      </c>
      <c r="BU1318">
        <v>0.03</v>
      </c>
      <c r="BV1318">
        <v>-0.04</v>
      </c>
      <c r="BW1318">
        <v>0.79</v>
      </c>
      <c r="BX1318">
        <v>0.52</v>
      </c>
      <c r="BY1318">
        <v>0.89</v>
      </c>
      <c r="BZ1318">
        <v>-1.69</v>
      </c>
      <c r="CA1318">
        <v>0.33</v>
      </c>
      <c r="CB1318">
        <v>0.52</v>
      </c>
      <c r="CC1318">
        <v>-0.41</v>
      </c>
      <c r="CD1318">
        <v>-0.13</v>
      </c>
      <c r="CE1318">
        <v>-0.54</v>
      </c>
      <c r="CF1318">
        <v>-1.03</v>
      </c>
      <c r="CG1318">
        <v>0</v>
      </c>
      <c r="CH1318">
        <v>1.3</v>
      </c>
      <c r="CI1318">
        <v>0</v>
      </c>
      <c r="CJ1318">
        <v>-4.3</v>
      </c>
      <c r="CK1318">
        <v>85</v>
      </c>
      <c r="CL1318">
        <v>-0.11</v>
      </c>
      <c r="CM1318">
        <v>81</v>
      </c>
      <c r="CN1318">
        <v>-0.03</v>
      </c>
      <c r="CO1318">
        <v>79</v>
      </c>
      <c r="CP1318">
        <v>-12.4</v>
      </c>
      <c r="CQ1318">
        <v>67</v>
      </c>
      <c r="CR1318">
        <v>0</v>
      </c>
      <c r="CS1318">
        <v>0</v>
      </c>
      <c r="CT1318">
        <v>-17.7</v>
      </c>
      <c r="CU1318">
        <v>65</v>
      </c>
      <c r="CV1318">
        <v>-0.09</v>
      </c>
      <c r="CW1318">
        <v>43</v>
      </c>
      <c r="CX1318" t="s">
        <v>1037</v>
      </c>
    </row>
    <row r="1319" spans="1:102" x14ac:dyDescent="0.3">
      <c r="A1319" t="str">
        <f>HYPERLINK("https://webapp.icbf.com/v2/app/bull-search/view/1028556214","S1488")</f>
        <v>S1488</v>
      </c>
      <c r="B1319" t="s">
        <v>9227</v>
      </c>
      <c r="C1319" t="s">
        <v>2216</v>
      </c>
      <c r="D1319" s="1">
        <v>40761</v>
      </c>
      <c r="E1319" t="s">
        <v>92</v>
      </c>
      <c r="F1319">
        <v>100</v>
      </c>
      <c r="G1319" t="s">
        <v>93</v>
      </c>
      <c r="H1319">
        <v>119.23</v>
      </c>
      <c r="I1319">
        <v>91</v>
      </c>
      <c r="J1319">
        <v>83.33</v>
      </c>
      <c r="K1319">
        <v>98</v>
      </c>
      <c r="L1319">
        <v>-10.57</v>
      </c>
      <c r="M1319">
        <v>91</v>
      </c>
      <c r="N1319">
        <v>17.5</v>
      </c>
      <c r="O1319">
        <v>92</v>
      </c>
      <c r="P1319">
        <v>1.1499999999999999</v>
      </c>
      <c r="Q1319">
        <v>94</v>
      </c>
      <c r="R1319">
        <v>28.04</v>
      </c>
      <c r="S1319">
        <v>81</v>
      </c>
      <c r="T1319">
        <v>-3.49</v>
      </c>
      <c r="U1319">
        <v>72</v>
      </c>
      <c r="V1319">
        <v>3.27</v>
      </c>
      <c r="W1319">
        <v>67</v>
      </c>
      <c r="X1319" t="s">
        <v>94</v>
      </c>
      <c r="Y1319" t="s">
        <v>362</v>
      </c>
      <c r="Z1319" t="s">
        <v>96</v>
      </c>
      <c r="AA1319" t="s">
        <v>2187</v>
      </c>
      <c r="AB1319" t="s">
        <v>9228</v>
      </c>
      <c r="AC1319">
        <v>266</v>
      </c>
      <c r="AD1319">
        <v>90</v>
      </c>
      <c r="AE1319">
        <v>98</v>
      </c>
      <c r="AF1319">
        <v>362.65</v>
      </c>
      <c r="AG1319">
        <v>13.83</v>
      </c>
      <c r="AH1319">
        <v>14.83</v>
      </c>
      <c r="AI1319">
        <v>-0.01</v>
      </c>
      <c r="AJ1319">
        <v>0.04</v>
      </c>
      <c r="AK1319">
        <v>91</v>
      </c>
      <c r="AL1319">
        <v>144</v>
      </c>
      <c r="AM1319">
        <v>64</v>
      </c>
      <c r="AN1319">
        <v>2.33</v>
      </c>
      <c r="AO1319">
        <v>1.51</v>
      </c>
      <c r="AP1319">
        <v>649</v>
      </c>
      <c r="AQ1319">
        <v>1</v>
      </c>
      <c r="AR1319">
        <v>8.9</v>
      </c>
      <c r="AS1319">
        <v>94</v>
      </c>
      <c r="AT1319">
        <v>3.1</v>
      </c>
      <c r="AU1319">
        <v>98</v>
      </c>
      <c r="AV1319">
        <v>-3.02</v>
      </c>
      <c r="AW1319">
        <v>98</v>
      </c>
      <c r="AX1319">
        <v>0.49</v>
      </c>
      <c r="AY1319">
        <v>94</v>
      </c>
      <c r="AZ1319">
        <v>6.84</v>
      </c>
      <c r="BA1319">
        <v>79</v>
      </c>
      <c r="BB1319">
        <v>5.27</v>
      </c>
      <c r="BC1319">
        <v>61</v>
      </c>
      <c r="BD1319">
        <v>-7.0000000000000007E-2</v>
      </c>
      <c r="BE1319">
        <v>-0.12</v>
      </c>
      <c r="BF1319">
        <v>-0.3</v>
      </c>
      <c r="BG1319">
        <v>95</v>
      </c>
      <c r="BH1319">
        <v>0.19</v>
      </c>
      <c r="BI1319">
        <v>11.44</v>
      </c>
      <c r="BJ1319">
        <v>154</v>
      </c>
      <c r="BK1319">
        <v>60</v>
      </c>
      <c r="BL1319">
        <v>2.65</v>
      </c>
      <c r="BM1319">
        <v>0.56999999999999995</v>
      </c>
      <c r="BN1319">
        <v>2.0499999999999998</v>
      </c>
      <c r="BO1319">
        <v>1.64</v>
      </c>
      <c r="BP1319">
        <v>-1.56</v>
      </c>
      <c r="BQ1319">
        <v>3.23</v>
      </c>
      <c r="BR1319">
        <v>0.56000000000000005</v>
      </c>
      <c r="BS1319">
        <v>2.91</v>
      </c>
      <c r="BT1319">
        <v>0.36</v>
      </c>
      <c r="BU1319">
        <v>3.87</v>
      </c>
      <c r="BV1319">
        <v>2.92</v>
      </c>
      <c r="BW1319">
        <v>2.0299999999999998</v>
      </c>
      <c r="BX1319">
        <v>2.77</v>
      </c>
      <c r="BY1319">
        <v>2.94</v>
      </c>
      <c r="BZ1319">
        <v>-0.74</v>
      </c>
      <c r="CA1319">
        <v>2.94</v>
      </c>
      <c r="CB1319">
        <v>2.64</v>
      </c>
      <c r="CC1319">
        <v>2.2000000000000002</v>
      </c>
      <c r="CD1319">
        <v>-0.5</v>
      </c>
      <c r="CE1319">
        <v>1.23</v>
      </c>
      <c r="CF1319">
        <v>2.72</v>
      </c>
      <c r="CG1319">
        <v>0</v>
      </c>
      <c r="CH1319">
        <v>2.84</v>
      </c>
      <c r="CI1319">
        <v>0</v>
      </c>
      <c r="CJ1319">
        <v>4.5</v>
      </c>
      <c r="CK1319">
        <v>96</v>
      </c>
      <c r="CL1319">
        <v>-1.23</v>
      </c>
      <c r="CM1319">
        <v>94</v>
      </c>
      <c r="CN1319">
        <v>-0.62</v>
      </c>
      <c r="CO1319">
        <v>94</v>
      </c>
      <c r="CP1319">
        <v>2.5</v>
      </c>
      <c r="CQ1319">
        <v>80</v>
      </c>
      <c r="CR1319">
        <v>0</v>
      </c>
      <c r="CS1319">
        <v>0</v>
      </c>
      <c r="CT1319">
        <v>18.5</v>
      </c>
      <c r="CU1319">
        <v>72</v>
      </c>
      <c r="CV1319">
        <v>0.34</v>
      </c>
      <c r="CW1319">
        <v>45</v>
      </c>
      <c r="CX1319" t="s">
        <v>350</v>
      </c>
    </row>
    <row r="1320" spans="1:102" x14ac:dyDescent="0.3">
      <c r="A1320" t="str">
        <f>HYPERLINK("https://webapp.icbf.com/v2/app/bull-search/view/1308726562","FR2230")</f>
        <v>FR2230</v>
      </c>
      <c r="B1320" t="s">
        <v>6029</v>
      </c>
      <c r="C1320" t="s">
        <v>6030</v>
      </c>
      <c r="D1320" s="1">
        <v>41909</v>
      </c>
      <c r="E1320" t="s">
        <v>92</v>
      </c>
      <c r="F1320">
        <v>100</v>
      </c>
      <c r="G1320" t="s">
        <v>109</v>
      </c>
      <c r="H1320">
        <v>119.16</v>
      </c>
      <c r="I1320">
        <v>80</v>
      </c>
      <c r="J1320">
        <v>110.36</v>
      </c>
      <c r="K1320">
        <v>94</v>
      </c>
      <c r="L1320">
        <v>-11.23</v>
      </c>
      <c r="M1320">
        <v>76</v>
      </c>
      <c r="N1320">
        <v>15.71</v>
      </c>
      <c r="O1320">
        <v>81</v>
      </c>
      <c r="P1320">
        <v>-9.35</v>
      </c>
      <c r="Q1320">
        <v>82</v>
      </c>
      <c r="R1320">
        <v>7.16</v>
      </c>
      <c r="S1320">
        <v>73</v>
      </c>
      <c r="T1320">
        <v>3.84</v>
      </c>
      <c r="U1320">
        <v>53</v>
      </c>
      <c r="V1320">
        <v>2.67</v>
      </c>
      <c r="W1320">
        <v>64</v>
      </c>
      <c r="X1320" t="s">
        <v>276</v>
      </c>
      <c r="Y1320" t="s">
        <v>405</v>
      </c>
      <c r="Z1320" t="s">
        <v>96</v>
      </c>
      <c r="AA1320" t="s">
        <v>6031</v>
      </c>
      <c r="AB1320" t="s">
        <v>6032</v>
      </c>
      <c r="AC1320">
        <v>43</v>
      </c>
      <c r="AD1320">
        <v>17</v>
      </c>
      <c r="AE1320">
        <v>94</v>
      </c>
      <c r="AF1320">
        <v>398.04</v>
      </c>
      <c r="AG1320">
        <v>20.61</v>
      </c>
      <c r="AH1320">
        <v>17.57</v>
      </c>
      <c r="AI1320">
        <v>0.08</v>
      </c>
      <c r="AJ1320">
        <v>7.0000000000000007E-2</v>
      </c>
      <c r="AK1320">
        <v>76</v>
      </c>
      <c r="AL1320">
        <v>1</v>
      </c>
      <c r="AM1320">
        <v>1</v>
      </c>
      <c r="AN1320">
        <v>1.82</v>
      </c>
      <c r="AO1320">
        <v>0.94</v>
      </c>
      <c r="AP1320">
        <v>162</v>
      </c>
      <c r="AQ1320">
        <v>0</v>
      </c>
      <c r="AR1320">
        <v>8.73</v>
      </c>
      <c r="AS1320">
        <v>72</v>
      </c>
      <c r="AT1320">
        <v>2.73</v>
      </c>
      <c r="AU1320">
        <v>85</v>
      </c>
      <c r="AV1320">
        <v>-1.62</v>
      </c>
      <c r="AW1320">
        <v>93</v>
      </c>
      <c r="AX1320">
        <v>-0.24</v>
      </c>
      <c r="AY1320">
        <v>86</v>
      </c>
      <c r="AZ1320">
        <v>5.46</v>
      </c>
      <c r="BA1320">
        <v>57</v>
      </c>
      <c r="BB1320">
        <v>4.9400000000000004</v>
      </c>
      <c r="BC1320">
        <v>47</v>
      </c>
      <c r="BD1320">
        <v>-0.01</v>
      </c>
      <c r="BE1320">
        <v>-0.02</v>
      </c>
      <c r="BF1320">
        <v>-0.11</v>
      </c>
      <c r="BG1320">
        <v>85</v>
      </c>
      <c r="BH1320">
        <v>0.02</v>
      </c>
      <c r="BI1320">
        <v>-6.3</v>
      </c>
      <c r="BJ1320">
        <v>2</v>
      </c>
      <c r="BK1320">
        <v>1</v>
      </c>
      <c r="BL1320">
        <v>1.31</v>
      </c>
      <c r="BM1320">
        <v>-1.6</v>
      </c>
      <c r="BN1320">
        <v>-1.31</v>
      </c>
      <c r="BO1320">
        <v>0.78</v>
      </c>
      <c r="BP1320">
        <v>0.04</v>
      </c>
      <c r="BQ1320">
        <v>0.79</v>
      </c>
      <c r="BR1320">
        <v>-0.63</v>
      </c>
      <c r="BS1320">
        <v>0.55000000000000004</v>
      </c>
      <c r="BT1320">
        <v>1.17</v>
      </c>
      <c r="BU1320">
        <v>1.76</v>
      </c>
      <c r="BV1320">
        <v>2.69</v>
      </c>
      <c r="BW1320">
        <v>1.7</v>
      </c>
      <c r="BX1320">
        <v>1.38</v>
      </c>
      <c r="BY1320">
        <v>1.47</v>
      </c>
      <c r="BZ1320">
        <v>1.62</v>
      </c>
      <c r="CA1320">
        <v>2.2000000000000002</v>
      </c>
      <c r="CB1320">
        <v>2.27</v>
      </c>
      <c r="CC1320">
        <v>0.9</v>
      </c>
      <c r="CD1320">
        <v>-0.65</v>
      </c>
      <c r="CE1320">
        <v>0.88</v>
      </c>
      <c r="CF1320">
        <v>0.33</v>
      </c>
      <c r="CG1320">
        <v>0</v>
      </c>
      <c r="CH1320">
        <v>1.45</v>
      </c>
      <c r="CI1320">
        <v>0</v>
      </c>
      <c r="CJ1320">
        <v>-2</v>
      </c>
      <c r="CK1320">
        <v>85</v>
      </c>
      <c r="CL1320">
        <v>-1.1299999999999999</v>
      </c>
      <c r="CM1320">
        <v>82</v>
      </c>
      <c r="CN1320">
        <v>-0.46</v>
      </c>
      <c r="CO1320">
        <v>81</v>
      </c>
      <c r="CP1320">
        <v>-2.1</v>
      </c>
      <c r="CQ1320">
        <v>59</v>
      </c>
      <c r="CR1320">
        <v>0</v>
      </c>
      <c r="CS1320">
        <v>0</v>
      </c>
      <c r="CT1320">
        <v>8.6</v>
      </c>
      <c r="CU1320">
        <v>53</v>
      </c>
      <c r="CV1320">
        <v>0.18</v>
      </c>
      <c r="CW1320">
        <v>43</v>
      </c>
      <c r="CX1320" t="s">
        <v>6033</v>
      </c>
    </row>
    <row r="1321" spans="1:102" x14ac:dyDescent="0.3">
      <c r="A1321" t="str">
        <f>HYPERLINK("https://webapp.icbf.com/v2/app/bull-search/view/660040337","RFT")</f>
        <v>RFT</v>
      </c>
      <c r="B1321" t="s">
        <v>7841</v>
      </c>
      <c r="C1321" t="s">
        <v>7842</v>
      </c>
      <c r="D1321" s="1">
        <v>39276</v>
      </c>
      <c r="E1321" t="s">
        <v>92</v>
      </c>
      <c r="F1321">
        <v>50</v>
      </c>
      <c r="G1321" t="s">
        <v>109</v>
      </c>
      <c r="H1321">
        <v>119.09</v>
      </c>
      <c r="I1321">
        <v>66</v>
      </c>
      <c r="J1321">
        <v>56.09</v>
      </c>
      <c r="K1321">
        <v>87</v>
      </c>
      <c r="L1321">
        <v>59.88</v>
      </c>
      <c r="M1321">
        <v>64</v>
      </c>
      <c r="N1321">
        <v>9.0299999999999994</v>
      </c>
      <c r="O1321">
        <v>46</v>
      </c>
      <c r="P1321">
        <v>-22.15</v>
      </c>
      <c r="Q1321">
        <v>46</v>
      </c>
      <c r="R1321">
        <v>0.57999999999999996</v>
      </c>
      <c r="S1321">
        <v>61</v>
      </c>
      <c r="T1321">
        <v>15.16</v>
      </c>
      <c r="U1321">
        <v>41</v>
      </c>
      <c r="V1321">
        <v>0.5</v>
      </c>
      <c r="W1321">
        <v>50</v>
      </c>
      <c r="X1321" t="s">
        <v>94</v>
      </c>
      <c r="Y1321" t="s">
        <v>228</v>
      </c>
      <c r="Z1321">
        <v>0</v>
      </c>
      <c r="AA1321" t="s">
        <v>5620</v>
      </c>
      <c r="AB1321" t="s">
        <v>7843</v>
      </c>
      <c r="AC1321">
        <v>0</v>
      </c>
      <c r="AD1321">
        <v>0</v>
      </c>
      <c r="AE1321">
        <v>87</v>
      </c>
      <c r="AF1321">
        <v>77.84</v>
      </c>
      <c r="AG1321">
        <v>14.53</v>
      </c>
      <c r="AH1321">
        <v>5.59</v>
      </c>
      <c r="AI1321">
        <v>0.2</v>
      </c>
      <c r="AJ1321">
        <v>0.05</v>
      </c>
      <c r="AK1321">
        <v>64</v>
      </c>
      <c r="AL1321">
        <v>0</v>
      </c>
      <c r="AM1321">
        <v>0</v>
      </c>
      <c r="AN1321">
        <v>-2.88</v>
      </c>
      <c r="AO1321">
        <v>1.9</v>
      </c>
      <c r="AP1321">
        <v>1</v>
      </c>
      <c r="AQ1321">
        <v>0</v>
      </c>
      <c r="AR1321">
        <v>8.91</v>
      </c>
      <c r="AS1321">
        <v>40</v>
      </c>
      <c r="AT1321">
        <v>3.11</v>
      </c>
      <c r="AU1321">
        <v>57</v>
      </c>
      <c r="AV1321">
        <v>-2.15</v>
      </c>
      <c r="AW1321">
        <v>49</v>
      </c>
      <c r="AX1321">
        <v>-0.14000000000000001</v>
      </c>
      <c r="AY1321">
        <v>40</v>
      </c>
      <c r="AZ1321">
        <v>7.16</v>
      </c>
      <c r="BA1321">
        <v>29</v>
      </c>
      <c r="BB1321">
        <v>5.75</v>
      </c>
      <c r="BC1321">
        <v>30</v>
      </c>
      <c r="BD1321">
        <v>0.01</v>
      </c>
      <c r="BE1321">
        <v>0</v>
      </c>
      <c r="BF1321">
        <v>-0.03</v>
      </c>
      <c r="BG1321">
        <v>78</v>
      </c>
      <c r="BH1321">
        <v>0.03</v>
      </c>
      <c r="BI1321">
        <v>1.87</v>
      </c>
      <c r="BJ1321">
        <v>0</v>
      </c>
      <c r="BK1321">
        <v>0</v>
      </c>
      <c r="BL1321">
        <v>-1</v>
      </c>
      <c r="BM1321">
        <v>0.61</v>
      </c>
      <c r="BN1321">
        <v>-0.92</v>
      </c>
      <c r="BO1321">
        <v>-1.52</v>
      </c>
      <c r="BP1321">
        <v>0.96</v>
      </c>
      <c r="BQ1321">
        <v>-0.71</v>
      </c>
      <c r="BR1321">
        <v>1.54</v>
      </c>
      <c r="BS1321">
        <v>-1.24</v>
      </c>
      <c r="BT1321">
        <v>-1.56</v>
      </c>
      <c r="BU1321">
        <v>-0.85</v>
      </c>
      <c r="BV1321">
        <v>-0.75</v>
      </c>
      <c r="BW1321">
        <v>-0.63</v>
      </c>
      <c r="BX1321">
        <v>-0.05</v>
      </c>
      <c r="BY1321">
        <v>-1.25</v>
      </c>
      <c r="BZ1321">
        <v>0.24</v>
      </c>
      <c r="CA1321">
        <v>-1.31</v>
      </c>
      <c r="CB1321">
        <v>-1.1200000000000001</v>
      </c>
      <c r="CC1321">
        <v>-1.84</v>
      </c>
      <c r="CD1321">
        <v>1.1200000000000001</v>
      </c>
      <c r="CE1321">
        <v>-0.68</v>
      </c>
      <c r="CF1321">
        <v>-1.31</v>
      </c>
      <c r="CG1321">
        <v>0</v>
      </c>
      <c r="CH1321">
        <v>-1.69</v>
      </c>
      <c r="CI1321">
        <v>0</v>
      </c>
      <c r="CJ1321">
        <v>-9.9</v>
      </c>
      <c r="CK1321">
        <v>48</v>
      </c>
      <c r="CL1321">
        <v>-0.92</v>
      </c>
      <c r="CM1321">
        <v>45</v>
      </c>
      <c r="CN1321">
        <v>-0.26</v>
      </c>
      <c r="CO1321">
        <v>44</v>
      </c>
      <c r="CP1321">
        <v>-13.6</v>
      </c>
      <c r="CQ1321">
        <v>42</v>
      </c>
      <c r="CR1321">
        <v>0</v>
      </c>
      <c r="CS1321">
        <v>0</v>
      </c>
      <c r="CT1321">
        <v>-6.7</v>
      </c>
      <c r="CU1321">
        <v>41</v>
      </c>
      <c r="CV1321">
        <v>0.1</v>
      </c>
      <c r="CW1321">
        <v>35</v>
      </c>
      <c r="CX1321" t="s">
        <v>7844</v>
      </c>
    </row>
    <row r="1322" spans="1:102" x14ac:dyDescent="0.3">
      <c r="A1322" t="str">
        <f>HYPERLINK("https://webapp.icbf.com/v2/app/bull-search/view/720523589","DJS")</f>
        <v>DJS</v>
      </c>
      <c r="B1322" t="s">
        <v>6884</v>
      </c>
      <c r="C1322" t="s">
        <v>454</v>
      </c>
      <c r="D1322" s="1">
        <v>38190</v>
      </c>
      <c r="E1322" t="s">
        <v>227</v>
      </c>
      <c r="F1322">
        <v>0</v>
      </c>
      <c r="G1322" t="s">
        <v>93</v>
      </c>
      <c r="H1322">
        <v>119.04</v>
      </c>
      <c r="I1322">
        <v>90</v>
      </c>
      <c r="J1322">
        <v>41.95</v>
      </c>
      <c r="K1322">
        <v>97</v>
      </c>
      <c r="L1322">
        <v>62.4</v>
      </c>
      <c r="M1322">
        <v>89</v>
      </c>
      <c r="N1322">
        <v>5.2</v>
      </c>
      <c r="O1322">
        <v>88</v>
      </c>
      <c r="P1322">
        <v>-55.56</v>
      </c>
      <c r="Q1322">
        <v>92</v>
      </c>
      <c r="R1322">
        <v>2.0299999999999998</v>
      </c>
      <c r="S1322">
        <v>80</v>
      </c>
      <c r="T1322">
        <v>61.26</v>
      </c>
      <c r="U1322">
        <v>81</v>
      </c>
      <c r="V1322">
        <v>1.76</v>
      </c>
      <c r="W1322">
        <v>78</v>
      </c>
      <c r="X1322" t="s">
        <v>94</v>
      </c>
      <c r="Y1322" t="s">
        <v>235</v>
      </c>
      <c r="Z1322">
        <v>0</v>
      </c>
      <c r="AA1322" t="s">
        <v>3046</v>
      </c>
      <c r="AB1322" t="s">
        <v>144</v>
      </c>
      <c r="AC1322">
        <v>106</v>
      </c>
      <c r="AD1322">
        <v>39</v>
      </c>
      <c r="AE1322">
        <v>97</v>
      </c>
      <c r="AF1322">
        <v>-379.66</v>
      </c>
      <c r="AG1322">
        <v>10.78</v>
      </c>
      <c r="AH1322">
        <v>-2.4900000000000002</v>
      </c>
      <c r="AI1322">
        <v>0.48</v>
      </c>
      <c r="AJ1322">
        <v>0.19</v>
      </c>
      <c r="AK1322">
        <v>89</v>
      </c>
      <c r="AL1322">
        <v>145</v>
      </c>
      <c r="AM1322">
        <v>44</v>
      </c>
      <c r="AN1322">
        <v>-2.34</v>
      </c>
      <c r="AO1322">
        <v>2.65</v>
      </c>
      <c r="AP1322">
        <v>215</v>
      </c>
      <c r="AQ1322">
        <v>1</v>
      </c>
      <c r="AR1322">
        <v>3.15</v>
      </c>
      <c r="AS1322">
        <v>89</v>
      </c>
      <c r="AT1322">
        <v>1.69</v>
      </c>
      <c r="AU1322">
        <v>87</v>
      </c>
      <c r="AV1322">
        <v>-0.43</v>
      </c>
      <c r="AW1322">
        <v>97</v>
      </c>
      <c r="AX1322">
        <v>4.84</v>
      </c>
      <c r="AY1322">
        <v>85</v>
      </c>
      <c r="AZ1322">
        <v>7.8</v>
      </c>
      <c r="BA1322">
        <v>74</v>
      </c>
      <c r="BB1322">
        <v>5.55</v>
      </c>
      <c r="BC1322">
        <v>70</v>
      </c>
      <c r="BD1322">
        <v>-7.0000000000000007E-2</v>
      </c>
      <c r="BE1322">
        <v>0</v>
      </c>
      <c r="BF1322">
        <v>7.0000000000000007E-2</v>
      </c>
      <c r="BG1322">
        <v>91</v>
      </c>
      <c r="BH1322">
        <v>-0.04</v>
      </c>
      <c r="BI1322">
        <v>-10.3</v>
      </c>
      <c r="BJ1322">
        <v>7</v>
      </c>
      <c r="BK1322">
        <v>1</v>
      </c>
      <c r="BL1322">
        <v>-1.43</v>
      </c>
      <c r="BM1322">
        <v>-2.57</v>
      </c>
      <c r="BN1322">
        <v>-1.07</v>
      </c>
      <c r="BO1322">
        <v>1.45</v>
      </c>
      <c r="BP1322">
        <v>-0.06</v>
      </c>
      <c r="BQ1322">
        <v>-5.39</v>
      </c>
      <c r="BR1322">
        <v>2.25</v>
      </c>
      <c r="BS1322">
        <v>6.43</v>
      </c>
      <c r="BT1322">
        <v>-1.48</v>
      </c>
      <c r="BU1322">
        <v>1.43</v>
      </c>
      <c r="BV1322">
        <v>1.28</v>
      </c>
      <c r="BW1322">
        <v>-0.87</v>
      </c>
      <c r="BX1322">
        <v>-1.19</v>
      </c>
      <c r="BY1322">
        <v>0.14000000000000001</v>
      </c>
      <c r="BZ1322">
        <v>-1.35</v>
      </c>
      <c r="CA1322">
        <v>2.67</v>
      </c>
      <c r="CB1322">
        <v>1.35</v>
      </c>
      <c r="CC1322">
        <v>4.03</v>
      </c>
      <c r="CD1322">
        <v>-2.5099999999999998</v>
      </c>
      <c r="CE1322">
        <v>1.1100000000000001</v>
      </c>
      <c r="CF1322">
        <v>-1.04</v>
      </c>
      <c r="CG1322">
        <v>0</v>
      </c>
      <c r="CH1322">
        <v>-7.0000000000000007E-2</v>
      </c>
      <c r="CI1322">
        <v>0</v>
      </c>
      <c r="CJ1322">
        <v>-28.8</v>
      </c>
      <c r="CK1322">
        <v>93</v>
      </c>
      <c r="CL1322">
        <v>-1.2</v>
      </c>
      <c r="CM1322">
        <v>91</v>
      </c>
      <c r="CN1322">
        <v>-0.28999999999999998</v>
      </c>
      <c r="CO1322">
        <v>90</v>
      </c>
      <c r="CP1322">
        <v>-45.5</v>
      </c>
      <c r="CQ1322">
        <v>85</v>
      </c>
      <c r="CR1322">
        <v>0</v>
      </c>
      <c r="CS1322">
        <v>0</v>
      </c>
      <c r="CT1322">
        <v>-69</v>
      </c>
      <c r="CU1322">
        <v>81</v>
      </c>
      <c r="CV1322">
        <v>-0.2</v>
      </c>
      <c r="CW1322">
        <v>44</v>
      </c>
      <c r="CX1322" t="s">
        <v>6688</v>
      </c>
    </row>
    <row r="1323" spans="1:102" x14ac:dyDescent="0.3">
      <c r="A1323" t="str">
        <f>HYPERLINK("https://webapp.icbf.com/v2/app/bull-search/view/660007901","S1599")</f>
        <v>S1599</v>
      </c>
      <c r="B1323" t="s">
        <v>8466</v>
      </c>
      <c r="C1323" t="s">
        <v>8467</v>
      </c>
      <c r="D1323" s="1">
        <v>39126</v>
      </c>
      <c r="E1323" t="s">
        <v>92</v>
      </c>
      <c r="F1323">
        <v>100</v>
      </c>
      <c r="G1323" t="s">
        <v>93</v>
      </c>
      <c r="H1323">
        <v>119.02</v>
      </c>
      <c r="I1323">
        <v>94</v>
      </c>
      <c r="J1323">
        <v>54.46</v>
      </c>
      <c r="K1323">
        <v>99</v>
      </c>
      <c r="L1323">
        <v>31.07</v>
      </c>
      <c r="M1323">
        <v>92</v>
      </c>
      <c r="N1323">
        <v>42.78</v>
      </c>
      <c r="O1323">
        <v>95</v>
      </c>
      <c r="P1323">
        <v>-6.69</v>
      </c>
      <c r="Q1323">
        <v>98</v>
      </c>
      <c r="R1323">
        <v>4.51</v>
      </c>
      <c r="S1323">
        <v>87</v>
      </c>
      <c r="T1323">
        <v>-4.67</v>
      </c>
      <c r="U1323">
        <v>94</v>
      </c>
      <c r="V1323">
        <v>-2.44</v>
      </c>
      <c r="W1323">
        <v>78</v>
      </c>
      <c r="X1323" t="s">
        <v>102</v>
      </c>
      <c r="Y1323" t="s">
        <v>362</v>
      </c>
      <c r="Z1323" t="s">
        <v>96</v>
      </c>
      <c r="AA1323" t="s">
        <v>5747</v>
      </c>
      <c r="AB1323" t="s">
        <v>8468</v>
      </c>
      <c r="AC1323">
        <v>1012</v>
      </c>
      <c r="AD1323">
        <v>221</v>
      </c>
      <c r="AE1323">
        <v>99</v>
      </c>
      <c r="AF1323">
        <v>245.95</v>
      </c>
      <c r="AG1323">
        <v>11.1</v>
      </c>
      <c r="AH1323">
        <v>9.1</v>
      </c>
      <c r="AI1323">
        <v>0.03</v>
      </c>
      <c r="AJ1323">
        <v>0.01</v>
      </c>
      <c r="AK1323">
        <v>92</v>
      </c>
      <c r="AL1323">
        <v>1011</v>
      </c>
      <c r="AM1323">
        <v>242</v>
      </c>
      <c r="AN1323">
        <v>-1.5</v>
      </c>
      <c r="AO1323">
        <v>0.98</v>
      </c>
      <c r="AP1323">
        <v>1533</v>
      </c>
      <c r="AQ1323">
        <v>6</v>
      </c>
      <c r="AR1323">
        <v>5.93</v>
      </c>
      <c r="AS1323">
        <v>98</v>
      </c>
      <c r="AT1323">
        <v>2.89</v>
      </c>
      <c r="AU1323">
        <v>96</v>
      </c>
      <c r="AV1323">
        <v>-4.46</v>
      </c>
      <c r="AW1323">
        <v>99</v>
      </c>
      <c r="AX1323">
        <v>0.14000000000000001</v>
      </c>
      <c r="AY1323">
        <v>97</v>
      </c>
      <c r="AZ1323">
        <v>5.51</v>
      </c>
      <c r="BA1323">
        <v>91</v>
      </c>
      <c r="BB1323">
        <v>4.9400000000000004</v>
      </c>
      <c r="BC1323">
        <v>83</v>
      </c>
      <c r="BD1323">
        <v>-0.04</v>
      </c>
      <c r="BE1323">
        <v>-0.03</v>
      </c>
      <c r="BF1323">
        <v>0.02</v>
      </c>
      <c r="BG1323">
        <v>97</v>
      </c>
      <c r="BH1323">
        <v>-0.17</v>
      </c>
      <c r="BI1323">
        <v>-11.78</v>
      </c>
      <c r="BJ1323">
        <v>149</v>
      </c>
      <c r="BK1323">
        <v>39</v>
      </c>
      <c r="BL1323">
        <v>2.2999999999999998</v>
      </c>
      <c r="BM1323">
        <v>-1.82</v>
      </c>
      <c r="BN1323">
        <v>-0.36</v>
      </c>
      <c r="BO1323">
        <v>1.1499999999999999</v>
      </c>
      <c r="BP1323">
        <v>-1.85</v>
      </c>
      <c r="BQ1323">
        <v>0.22</v>
      </c>
      <c r="BR1323">
        <v>0.16</v>
      </c>
      <c r="BS1323">
        <v>1.64</v>
      </c>
      <c r="BT1323">
        <v>0.02</v>
      </c>
      <c r="BU1323">
        <v>2.02</v>
      </c>
      <c r="BV1323">
        <v>1.64</v>
      </c>
      <c r="BW1323">
        <v>2.65</v>
      </c>
      <c r="BX1323">
        <v>2.83</v>
      </c>
      <c r="BY1323">
        <v>3.02</v>
      </c>
      <c r="BZ1323">
        <v>-2.41</v>
      </c>
      <c r="CA1323">
        <v>2.36</v>
      </c>
      <c r="CB1323">
        <v>2.09</v>
      </c>
      <c r="CC1323">
        <v>1.28</v>
      </c>
      <c r="CD1323">
        <v>-1.49</v>
      </c>
      <c r="CE1323">
        <v>1.22</v>
      </c>
      <c r="CF1323">
        <v>0.38</v>
      </c>
      <c r="CG1323">
        <v>0</v>
      </c>
      <c r="CH1323">
        <v>3.07</v>
      </c>
      <c r="CI1323">
        <v>0</v>
      </c>
      <c r="CJ1323">
        <v>0</v>
      </c>
      <c r="CK1323">
        <v>98</v>
      </c>
      <c r="CL1323">
        <v>-1.28</v>
      </c>
      <c r="CM1323">
        <v>98</v>
      </c>
      <c r="CN1323">
        <v>-0.5</v>
      </c>
      <c r="CO1323">
        <v>98</v>
      </c>
      <c r="CP1323">
        <v>4.4000000000000004</v>
      </c>
      <c r="CQ1323">
        <v>94</v>
      </c>
      <c r="CR1323">
        <v>0</v>
      </c>
      <c r="CS1323">
        <v>0</v>
      </c>
      <c r="CT1323">
        <v>20.100000000000001</v>
      </c>
      <c r="CU1323">
        <v>94</v>
      </c>
      <c r="CV1323">
        <v>0.34</v>
      </c>
      <c r="CW1323">
        <v>46</v>
      </c>
      <c r="CX1323" t="s">
        <v>289</v>
      </c>
    </row>
    <row r="1324" spans="1:102" x14ac:dyDescent="0.3">
      <c r="A1324" t="str">
        <f>HYPERLINK("https://webapp.icbf.com/v2/app/bull-search/view/1196700417","FR2059")</f>
        <v>FR2059</v>
      </c>
      <c r="B1324" t="s">
        <v>8357</v>
      </c>
      <c r="C1324" t="s">
        <v>2293</v>
      </c>
      <c r="D1324" s="1">
        <v>41295</v>
      </c>
      <c r="E1324" t="s">
        <v>92</v>
      </c>
      <c r="F1324">
        <v>100</v>
      </c>
      <c r="G1324" t="s">
        <v>109</v>
      </c>
      <c r="H1324">
        <v>118.97</v>
      </c>
      <c r="I1324">
        <v>85</v>
      </c>
      <c r="J1324">
        <v>100.06</v>
      </c>
      <c r="K1324">
        <v>95</v>
      </c>
      <c r="L1324">
        <v>-6.86</v>
      </c>
      <c r="M1324">
        <v>88</v>
      </c>
      <c r="N1324">
        <v>35.020000000000003</v>
      </c>
      <c r="O1324">
        <v>83</v>
      </c>
      <c r="P1324">
        <v>-3.13</v>
      </c>
      <c r="Q1324">
        <v>82</v>
      </c>
      <c r="R1324">
        <v>3.1</v>
      </c>
      <c r="S1324">
        <v>76</v>
      </c>
      <c r="T1324">
        <v>-10.52</v>
      </c>
      <c r="U1324">
        <v>49</v>
      </c>
      <c r="V1324">
        <v>1.3</v>
      </c>
      <c r="W1324">
        <v>59</v>
      </c>
      <c r="X1324" t="s">
        <v>251</v>
      </c>
      <c r="Y1324" t="s">
        <v>405</v>
      </c>
      <c r="Z1324" t="s">
        <v>96</v>
      </c>
      <c r="AA1324" t="s">
        <v>412</v>
      </c>
      <c r="AB1324" t="s">
        <v>5848</v>
      </c>
      <c r="AC1324">
        <v>54</v>
      </c>
      <c r="AD1324">
        <v>27</v>
      </c>
      <c r="AE1324">
        <v>95</v>
      </c>
      <c r="AF1324">
        <v>546.67999999999995</v>
      </c>
      <c r="AG1324">
        <v>17.510000000000002</v>
      </c>
      <c r="AH1324">
        <v>19.190000000000001</v>
      </c>
      <c r="AI1324">
        <v>-0.06</v>
      </c>
      <c r="AJ1324">
        <v>0.01</v>
      </c>
      <c r="AK1324">
        <v>88</v>
      </c>
      <c r="AL1324">
        <v>11</v>
      </c>
      <c r="AM1324">
        <v>10</v>
      </c>
      <c r="AN1324">
        <v>1.68</v>
      </c>
      <c r="AO1324">
        <v>1.1499999999999999</v>
      </c>
      <c r="AP1324">
        <v>146</v>
      </c>
      <c r="AQ1324">
        <v>0</v>
      </c>
      <c r="AR1324">
        <v>5.42</v>
      </c>
      <c r="AS1324">
        <v>79</v>
      </c>
      <c r="AT1324">
        <v>2.36</v>
      </c>
      <c r="AU1324">
        <v>97</v>
      </c>
      <c r="AV1324">
        <v>-2.46</v>
      </c>
      <c r="AW1324">
        <v>92</v>
      </c>
      <c r="AX1324">
        <v>-0.44</v>
      </c>
      <c r="AY1324">
        <v>80</v>
      </c>
      <c r="AZ1324">
        <v>5.14</v>
      </c>
      <c r="BA1324">
        <v>58</v>
      </c>
      <c r="BB1324">
        <v>4.72</v>
      </c>
      <c r="BC1324">
        <v>42</v>
      </c>
      <c r="BD1324">
        <v>-0.02</v>
      </c>
      <c r="BE1324">
        <v>-0.02</v>
      </c>
      <c r="BF1324">
        <v>0</v>
      </c>
      <c r="BG1324">
        <v>93</v>
      </c>
      <c r="BH1324">
        <v>-0.03</v>
      </c>
      <c r="BI1324">
        <v>-7.65</v>
      </c>
      <c r="BJ1324">
        <v>17</v>
      </c>
      <c r="BK1324">
        <v>12</v>
      </c>
      <c r="BL1324">
        <v>2.83</v>
      </c>
      <c r="BM1324">
        <v>-1.1299999999999999</v>
      </c>
      <c r="BN1324">
        <v>0.33</v>
      </c>
      <c r="BO1324">
        <v>1.5</v>
      </c>
      <c r="BP1324">
        <v>-3.68</v>
      </c>
      <c r="BQ1324">
        <v>3.05</v>
      </c>
      <c r="BR1324">
        <v>-0.66</v>
      </c>
      <c r="BS1324">
        <v>3.02</v>
      </c>
      <c r="BT1324">
        <v>1.07</v>
      </c>
      <c r="BU1324">
        <v>3.76</v>
      </c>
      <c r="BV1324">
        <v>4.1100000000000003</v>
      </c>
      <c r="BW1324">
        <v>3.37</v>
      </c>
      <c r="BX1324">
        <v>3.84</v>
      </c>
      <c r="BY1324">
        <v>2.54</v>
      </c>
      <c r="BZ1324">
        <v>-0.59</v>
      </c>
      <c r="CA1324">
        <v>3.22</v>
      </c>
      <c r="CB1324">
        <v>3.2</v>
      </c>
      <c r="CC1324">
        <v>1.52</v>
      </c>
      <c r="CD1324">
        <v>-1.46</v>
      </c>
      <c r="CE1324">
        <v>1.07</v>
      </c>
      <c r="CF1324">
        <v>2.04</v>
      </c>
      <c r="CG1324">
        <v>0</v>
      </c>
      <c r="CH1324">
        <v>2.19</v>
      </c>
      <c r="CI1324">
        <v>0</v>
      </c>
      <c r="CJ1324">
        <v>1.3</v>
      </c>
      <c r="CK1324">
        <v>86</v>
      </c>
      <c r="CL1324">
        <v>-1.46</v>
      </c>
      <c r="CM1324">
        <v>83</v>
      </c>
      <c r="CN1324">
        <v>-0.75</v>
      </c>
      <c r="CO1324">
        <v>82</v>
      </c>
      <c r="CP1324">
        <v>9.1</v>
      </c>
      <c r="CQ1324">
        <v>54</v>
      </c>
      <c r="CR1324">
        <v>0</v>
      </c>
      <c r="CS1324">
        <v>0</v>
      </c>
      <c r="CT1324">
        <v>28</v>
      </c>
      <c r="CU1324">
        <v>49</v>
      </c>
      <c r="CV1324">
        <v>0.38</v>
      </c>
      <c r="CW1324">
        <v>43</v>
      </c>
      <c r="CX1324" t="s">
        <v>2423</v>
      </c>
    </row>
    <row r="1325" spans="1:102" x14ac:dyDescent="0.3">
      <c r="A1325" t="str">
        <f>HYPERLINK("https://webapp.icbf.com/v2/app/bull-search/view/1310248583","FR2327")</f>
        <v>FR2327</v>
      </c>
      <c r="B1325" t="s">
        <v>14753</v>
      </c>
      <c r="C1325" t="s">
        <v>14754</v>
      </c>
      <c r="D1325" s="1">
        <v>41125</v>
      </c>
      <c r="E1325" t="s">
        <v>108</v>
      </c>
      <c r="F1325">
        <v>0</v>
      </c>
      <c r="G1325" t="s">
        <v>93</v>
      </c>
      <c r="H1325">
        <v>118.95</v>
      </c>
      <c r="I1325">
        <v>73</v>
      </c>
      <c r="J1325">
        <v>2.4</v>
      </c>
      <c r="K1325">
        <v>87</v>
      </c>
      <c r="L1325">
        <v>76.239999999999995</v>
      </c>
      <c r="M1325">
        <v>64</v>
      </c>
      <c r="N1325">
        <v>38.270000000000003</v>
      </c>
      <c r="O1325">
        <v>77</v>
      </c>
      <c r="P1325">
        <v>-2.3199999999999998</v>
      </c>
      <c r="Q1325">
        <v>78</v>
      </c>
      <c r="R1325">
        <v>0.83</v>
      </c>
      <c r="S1325">
        <v>64</v>
      </c>
      <c r="T1325">
        <v>9.09</v>
      </c>
      <c r="U1325">
        <v>51</v>
      </c>
      <c r="V1325">
        <v>-5.56</v>
      </c>
      <c r="W1325">
        <v>64</v>
      </c>
      <c r="X1325" t="s">
        <v>276</v>
      </c>
      <c r="Y1325" t="s">
        <v>429</v>
      </c>
      <c r="Z1325" t="s">
        <v>96</v>
      </c>
      <c r="AA1325" t="s">
        <v>2411</v>
      </c>
      <c r="AB1325" t="s">
        <v>14755</v>
      </c>
      <c r="AC1325">
        <v>25</v>
      </c>
      <c r="AD1325">
        <v>9</v>
      </c>
      <c r="AE1325">
        <v>87</v>
      </c>
      <c r="AF1325">
        <v>-222.99</v>
      </c>
      <c r="AG1325">
        <v>-1.37</v>
      </c>
      <c r="AH1325">
        <v>-2.52</v>
      </c>
      <c r="AI1325">
        <v>0.13</v>
      </c>
      <c r="AJ1325">
        <v>0.09</v>
      </c>
      <c r="AK1325">
        <v>64</v>
      </c>
      <c r="AL1325">
        <v>0</v>
      </c>
      <c r="AM1325">
        <v>0</v>
      </c>
      <c r="AN1325">
        <v>-4.93</v>
      </c>
      <c r="AO1325">
        <v>1.1399999999999999</v>
      </c>
      <c r="AP1325">
        <v>116</v>
      </c>
      <c r="AQ1325">
        <v>0</v>
      </c>
      <c r="AR1325">
        <v>6.24</v>
      </c>
      <c r="AS1325">
        <v>60</v>
      </c>
      <c r="AT1325">
        <v>2.2200000000000002</v>
      </c>
      <c r="AU1325">
        <v>80</v>
      </c>
      <c r="AV1325">
        <v>-3.72</v>
      </c>
      <c r="AW1325">
        <v>94</v>
      </c>
      <c r="AX1325">
        <v>0.08</v>
      </c>
      <c r="AY1325">
        <v>72</v>
      </c>
      <c r="AZ1325">
        <v>6.84</v>
      </c>
      <c r="BA1325">
        <v>53</v>
      </c>
      <c r="BB1325">
        <v>5.18</v>
      </c>
      <c r="BC1325">
        <v>38</v>
      </c>
      <c r="BD1325">
        <v>0.03</v>
      </c>
      <c r="BE1325">
        <v>-0.01</v>
      </c>
      <c r="BF1325">
        <v>-0.05</v>
      </c>
      <c r="BG1325">
        <v>72</v>
      </c>
      <c r="BH1325">
        <v>-0.19</v>
      </c>
      <c r="BI1325">
        <v>-4.03</v>
      </c>
      <c r="BJ1325">
        <v>0</v>
      </c>
      <c r="BK1325">
        <v>0</v>
      </c>
      <c r="BL1325">
        <v>-2.75</v>
      </c>
      <c r="BM1325">
        <v>2.62</v>
      </c>
      <c r="BN1325">
        <v>-1.06</v>
      </c>
      <c r="BO1325">
        <v>-2.44</v>
      </c>
      <c r="BP1325">
        <v>-0.04</v>
      </c>
      <c r="BQ1325">
        <v>2.4300000000000002</v>
      </c>
      <c r="BR1325">
        <v>-1.49</v>
      </c>
      <c r="BS1325">
        <v>1.94</v>
      </c>
      <c r="BT1325">
        <v>-0.43</v>
      </c>
      <c r="BU1325">
        <v>-2.5499999999999998</v>
      </c>
      <c r="BV1325">
        <v>-2.31</v>
      </c>
      <c r="BW1325">
        <v>-2.68</v>
      </c>
      <c r="BX1325">
        <v>-2.44</v>
      </c>
      <c r="BY1325">
        <v>-1.67</v>
      </c>
      <c r="BZ1325">
        <v>1.07</v>
      </c>
      <c r="CA1325">
        <v>-1.91</v>
      </c>
      <c r="CB1325">
        <v>-2.59</v>
      </c>
      <c r="CC1325">
        <v>0.75</v>
      </c>
      <c r="CD1325">
        <v>2.5499999999999998</v>
      </c>
      <c r="CE1325">
        <v>-2.12</v>
      </c>
      <c r="CF1325">
        <v>-1.2</v>
      </c>
      <c r="CG1325">
        <v>0</v>
      </c>
      <c r="CH1325">
        <v>-1.8</v>
      </c>
      <c r="CI1325">
        <v>0</v>
      </c>
      <c r="CJ1325">
        <v>-0.3</v>
      </c>
      <c r="CK1325">
        <v>81</v>
      </c>
      <c r="CL1325">
        <v>-0.15</v>
      </c>
      <c r="CM1325">
        <v>78</v>
      </c>
      <c r="CN1325">
        <v>-0.04</v>
      </c>
      <c r="CO1325">
        <v>76</v>
      </c>
      <c r="CP1325">
        <v>-5.5</v>
      </c>
      <c r="CQ1325">
        <v>56</v>
      </c>
      <c r="CR1325">
        <v>0</v>
      </c>
      <c r="CS1325">
        <v>0</v>
      </c>
      <c r="CT1325">
        <v>1.5</v>
      </c>
      <c r="CU1325">
        <v>51</v>
      </c>
      <c r="CV1325">
        <v>0.08</v>
      </c>
      <c r="CW1325">
        <v>42</v>
      </c>
      <c r="CX1325" t="s">
        <v>2827</v>
      </c>
    </row>
    <row r="1326" spans="1:102" x14ac:dyDescent="0.3">
      <c r="A1326" t="str">
        <f>HYPERLINK("https://webapp.icbf.com/v2/app/bull-search/view/667946258","VXD")</f>
        <v>VXD</v>
      </c>
      <c r="B1326" t="s">
        <v>12859</v>
      </c>
      <c r="C1326" t="s">
        <v>12860</v>
      </c>
      <c r="D1326" s="1">
        <v>39849</v>
      </c>
      <c r="E1326" t="s">
        <v>92</v>
      </c>
      <c r="F1326">
        <v>69</v>
      </c>
      <c r="G1326" t="s">
        <v>93</v>
      </c>
      <c r="H1326">
        <v>118.92</v>
      </c>
      <c r="I1326">
        <v>82</v>
      </c>
      <c r="J1326">
        <v>36.47</v>
      </c>
      <c r="K1326">
        <v>94</v>
      </c>
      <c r="L1326">
        <v>34.08</v>
      </c>
      <c r="M1326">
        <v>72</v>
      </c>
      <c r="N1326">
        <v>44.48</v>
      </c>
      <c r="O1326">
        <v>81</v>
      </c>
      <c r="P1326">
        <v>-43.48</v>
      </c>
      <c r="Q1326">
        <v>90</v>
      </c>
      <c r="R1326">
        <v>-4.3499999999999996</v>
      </c>
      <c r="S1326">
        <v>73</v>
      </c>
      <c r="T1326">
        <v>42.54</v>
      </c>
      <c r="U1326">
        <v>79</v>
      </c>
      <c r="V1326">
        <v>9.18</v>
      </c>
      <c r="W1326">
        <v>74</v>
      </c>
      <c r="X1326" t="s">
        <v>94</v>
      </c>
      <c r="Y1326" t="s">
        <v>1727</v>
      </c>
      <c r="Z1326" t="s">
        <v>330</v>
      </c>
      <c r="AA1326" t="s">
        <v>12861</v>
      </c>
      <c r="AB1326" t="s">
        <v>144</v>
      </c>
      <c r="AC1326">
        <v>52</v>
      </c>
      <c r="AD1326">
        <v>31</v>
      </c>
      <c r="AE1326">
        <v>94</v>
      </c>
      <c r="AF1326">
        <v>-108.9</v>
      </c>
      <c r="AG1326">
        <v>9.09</v>
      </c>
      <c r="AH1326">
        <v>1.32</v>
      </c>
      <c r="AI1326">
        <v>0.24</v>
      </c>
      <c r="AJ1326">
        <v>0.09</v>
      </c>
      <c r="AK1326">
        <v>72</v>
      </c>
      <c r="AL1326">
        <v>53</v>
      </c>
      <c r="AM1326">
        <v>26</v>
      </c>
      <c r="AN1326">
        <v>-1.71</v>
      </c>
      <c r="AO1326">
        <v>1.01</v>
      </c>
      <c r="AP1326">
        <v>140</v>
      </c>
      <c r="AQ1326">
        <v>1</v>
      </c>
      <c r="AR1326">
        <v>2.5</v>
      </c>
      <c r="AS1326">
        <v>75</v>
      </c>
      <c r="AT1326">
        <v>1.53</v>
      </c>
      <c r="AU1326">
        <v>82</v>
      </c>
      <c r="AV1326">
        <v>-3.23</v>
      </c>
      <c r="AW1326">
        <v>93</v>
      </c>
      <c r="AX1326">
        <v>0.35</v>
      </c>
      <c r="AY1326">
        <v>75</v>
      </c>
      <c r="AZ1326">
        <v>6.79</v>
      </c>
      <c r="BA1326">
        <v>58</v>
      </c>
      <c r="BB1326">
        <v>5.17</v>
      </c>
      <c r="BC1326">
        <v>59</v>
      </c>
      <c r="BD1326">
        <v>0</v>
      </c>
      <c r="BE1326">
        <v>0</v>
      </c>
      <c r="BF1326">
        <v>0.1</v>
      </c>
      <c r="BG1326">
        <v>83</v>
      </c>
      <c r="BH1326">
        <v>0.14000000000000001</v>
      </c>
      <c r="BI1326">
        <v>-13.42</v>
      </c>
      <c r="BJ1326">
        <v>0</v>
      </c>
      <c r="BK1326">
        <v>0</v>
      </c>
      <c r="BL1326">
        <v>-1.1399999999999999</v>
      </c>
      <c r="BM1326">
        <v>-1.39</v>
      </c>
      <c r="BN1326">
        <v>-0.91</v>
      </c>
      <c r="BO1326">
        <v>0.55000000000000004</v>
      </c>
      <c r="BP1326">
        <v>0.89</v>
      </c>
      <c r="BQ1326">
        <v>-2.66</v>
      </c>
      <c r="BR1326">
        <v>2.58</v>
      </c>
      <c r="BS1326">
        <v>0.92</v>
      </c>
      <c r="BT1326">
        <v>-2.0699999999999998</v>
      </c>
      <c r="BU1326">
        <v>-1.01</v>
      </c>
      <c r="BV1326">
        <v>-0.74</v>
      </c>
      <c r="BW1326">
        <v>-1.66</v>
      </c>
      <c r="BX1326">
        <v>-1.34</v>
      </c>
      <c r="BY1326">
        <v>1.04</v>
      </c>
      <c r="BZ1326">
        <v>-0.14000000000000001</v>
      </c>
      <c r="CA1326">
        <v>-0.24</v>
      </c>
      <c r="CB1326">
        <v>-0.4</v>
      </c>
      <c r="CC1326">
        <v>-0.28000000000000003</v>
      </c>
      <c r="CD1326">
        <v>-0.93</v>
      </c>
      <c r="CE1326">
        <v>0.3</v>
      </c>
      <c r="CF1326">
        <v>-1.52</v>
      </c>
      <c r="CG1326">
        <v>0</v>
      </c>
      <c r="CH1326">
        <v>-0.65</v>
      </c>
      <c r="CI1326">
        <v>0</v>
      </c>
      <c r="CJ1326">
        <v>-21.4</v>
      </c>
      <c r="CK1326">
        <v>92</v>
      </c>
      <c r="CL1326">
        <v>-1.06</v>
      </c>
      <c r="CM1326">
        <v>89</v>
      </c>
      <c r="CN1326">
        <v>-0.18</v>
      </c>
      <c r="CO1326">
        <v>88</v>
      </c>
      <c r="CP1326">
        <v>-34.1</v>
      </c>
      <c r="CQ1326">
        <v>78</v>
      </c>
      <c r="CR1326">
        <v>0</v>
      </c>
      <c r="CS1326">
        <v>0</v>
      </c>
      <c r="CT1326">
        <v>-43.7</v>
      </c>
      <c r="CU1326">
        <v>79</v>
      </c>
      <c r="CV1326">
        <v>-0.11</v>
      </c>
      <c r="CW1326">
        <v>44</v>
      </c>
      <c r="CX1326" t="s">
        <v>1936</v>
      </c>
    </row>
    <row r="1327" spans="1:102" x14ac:dyDescent="0.3">
      <c r="A1327" t="str">
        <f>HYPERLINK("https://webapp.icbf.com/v2/app/bull-search/view/946047679","AMY")</f>
        <v>AMY</v>
      </c>
      <c r="B1327" t="s">
        <v>6815</v>
      </c>
      <c r="C1327" t="s">
        <v>2177</v>
      </c>
      <c r="D1327" s="1">
        <v>40935</v>
      </c>
      <c r="E1327" t="s">
        <v>92</v>
      </c>
      <c r="F1327">
        <v>75</v>
      </c>
      <c r="G1327" t="s">
        <v>93</v>
      </c>
      <c r="H1327">
        <v>118.79</v>
      </c>
      <c r="I1327">
        <v>93</v>
      </c>
      <c r="J1327">
        <v>10.76</v>
      </c>
      <c r="K1327">
        <v>99</v>
      </c>
      <c r="L1327">
        <v>104.14</v>
      </c>
      <c r="M1327">
        <v>88</v>
      </c>
      <c r="N1327">
        <v>6.17</v>
      </c>
      <c r="O1327">
        <v>95</v>
      </c>
      <c r="P1327">
        <v>-3.61</v>
      </c>
      <c r="Q1327">
        <v>98</v>
      </c>
      <c r="R1327">
        <v>14.15</v>
      </c>
      <c r="S1327">
        <v>88</v>
      </c>
      <c r="T1327">
        <v>-9.41</v>
      </c>
      <c r="U1327">
        <v>94</v>
      </c>
      <c r="V1327">
        <v>-3.41</v>
      </c>
      <c r="W1327">
        <v>83</v>
      </c>
      <c r="X1327" t="s">
        <v>102</v>
      </c>
      <c r="Y1327" t="s">
        <v>1976</v>
      </c>
      <c r="Z1327" t="s">
        <v>96</v>
      </c>
      <c r="AA1327" t="s">
        <v>1939</v>
      </c>
      <c r="AB1327" t="s">
        <v>6816</v>
      </c>
      <c r="AC1327">
        <v>387</v>
      </c>
      <c r="AD1327">
        <v>145</v>
      </c>
      <c r="AE1327">
        <v>99</v>
      </c>
      <c r="AF1327">
        <v>-290.04000000000002</v>
      </c>
      <c r="AG1327">
        <v>-0.99</v>
      </c>
      <c r="AH1327">
        <v>-2.2599999999999998</v>
      </c>
      <c r="AI1327">
        <v>0.19</v>
      </c>
      <c r="AJ1327">
        <v>0.14000000000000001</v>
      </c>
      <c r="AK1327">
        <v>88</v>
      </c>
      <c r="AL1327">
        <v>432</v>
      </c>
      <c r="AM1327">
        <v>174</v>
      </c>
      <c r="AN1327">
        <v>-6.07</v>
      </c>
      <c r="AO1327">
        <v>2.23</v>
      </c>
      <c r="AP1327">
        <v>839</v>
      </c>
      <c r="AQ1327">
        <v>11</v>
      </c>
      <c r="AR1327">
        <v>11.14</v>
      </c>
      <c r="AS1327">
        <v>91</v>
      </c>
      <c r="AT1327">
        <v>4</v>
      </c>
      <c r="AU1327">
        <v>96</v>
      </c>
      <c r="AV1327">
        <v>-3.47</v>
      </c>
      <c r="AW1327">
        <v>99</v>
      </c>
      <c r="AX1327">
        <v>-0.28999999999999998</v>
      </c>
      <c r="AY1327">
        <v>94</v>
      </c>
      <c r="AZ1327">
        <v>8.23</v>
      </c>
      <c r="BA1327">
        <v>86</v>
      </c>
      <c r="BB1327">
        <v>4.99</v>
      </c>
      <c r="BC1327">
        <v>82</v>
      </c>
      <c r="BD1327">
        <v>-0.05</v>
      </c>
      <c r="BE1327">
        <v>-0.08</v>
      </c>
      <c r="BF1327">
        <v>-0.09</v>
      </c>
      <c r="BG1327">
        <v>96</v>
      </c>
      <c r="BH1327">
        <v>-0.12</v>
      </c>
      <c r="BI1327">
        <v>-2.87</v>
      </c>
      <c r="BJ1327">
        <v>8</v>
      </c>
      <c r="BK1327">
        <v>6</v>
      </c>
      <c r="BL1327">
        <v>-1.24</v>
      </c>
      <c r="BM1327">
        <v>-0.15</v>
      </c>
      <c r="BN1327">
        <v>-1.1000000000000001</v>
      </c>
      <c r="BO1327">
        <v>-0.95</v>
      </c>
      <c r="BP1327">
        <v>1.76</v>
      </c>
      <c r="BQ1327">
        <v>-1.44</v>
      </c>
      <c r="BR1327">
        <v>-0.96</v>
      </c>
      <c r="BS1327">
        <v>-0.08</v>
      </c>
      <c r="BT1327">
        <v>0.06</v>
      </c>
      <c r="BU1327">
        <v>0.61</v>
      </c>
      <c r="BV1327">
        <v>-0.37</v>
      </c>
      <c r="BW1327">
        <v>-0.56000000000000005</v>
      </c>
      <c r="BX1327">
        <v>0.6</v>
      </c>
      <c r="BY1327">
        <v>0.28000000000000003</v>
      </c>
      <c r="BZ1327">
        <v>-0.73</v>
      </c>
      <c r="CA1327">
        <v>-0.1</v>
      </c>
      <c r="CB1327">
        <v>-0.04</v>
      </c>
      <c r="CC1327">
        <v>-0.27</v>
      </c>
      <c r="CD1327">
        <v>0.53</v>
      </c>
      <c r="CE1327">
        <v>-0.96</v>
      </c>
      <c r="CF1327">
        <v>-0.82</v>
      </c>
      <c r="CG1327">
        <v>0</v>
      </c>
      <c r="CH1327">
        <v>0.49</v>
      </c>
      <c r="CI1327">
        <v>0</v>
      </c>
      <c r="CJ1327">
        <v>-0.6</v>
      </c>
      <c r="CK1327">
        <v>98</v>
      </c>
      <c r="CL1327">
        <v>-0.59</v>
      </c>
      <c r="CM1327">
        <v>98</v>
      </c>
      <c r="CN1327">
        <v>-0.2</v>
      </c>
      <c r="CO1327">
        <v>98</v>
      </c>
      <c r="CP1327">
        <v>6.4</v>
      </c>
      <c r="CQ1327">
        <v>94</v>
      </c>
      <c r="CR1327">
        <v>0</v>
      </c>
      <c r="CS1327">
        <v>0</v>
      </c>
      <c r="CT1327">
        <v>26.5</v>
      </c>
      <c r="CU1327">
        <v>94</v>
      </c>
      <c r="CV1327">
        <v>0.12</v>
      </c>
      <c r="CW1327">
        <v>47</v>
      </c>
      <c r="CX1327" t="s">
        <v>1037</v>
      </c>
    </row>
    <row r="1328" spans="1:102" x14ac:dyDescent="0.3">
      <c r="A1328" t="str">
        <f>HYPERLINK("https://webapp.icbf.com/v2/app/bull-search/view/409522116","MZX")</f>
        <v>MZX</v>
      </c>
      <c r="B1328" t="s">
        <v>4424</v>
      </c>
      <c r="C1328" t="s">
        <v>4425</v>
      </c>
      <c r="D1328" s="1">
        <v>35665</v>
      </c>
      <c r="E1328" t="s">
        <v>146</v>
      </c>
      <c r="F1328">
        <v>13</v>
      </c>
      <c r="G1328" t="s">
        <v>93</v>
      </c>
      <c r="H1328">
        <v>118.73</v>
      </c>
      <c r="I1328">
        <v>70</v>
      </c>
      <c r="J1328">
        <v>49.07</v>
      </c>
      <c r="K1328">
        <v>84</v>
      </c>
      <c r="L1328">
        <v>21.67</v>
      </c>
      <c r="M1328">
        <v>52</v>
      </c>
      <c r="N1328">
        <v>36.17</v>
      </c>
      <c r="O1328">
        <v>70</v>
      </c>
      <c r="P1328">
        <v>4.16</v>
      </c>
      <c r="Q1328">
        <v>88</v>
      </c>
      <c r="R1328">
        <v>3</v>
      </c>
      <c r="S1328">
        <v>53</v>
      </c>
      <c r="T1328">
        <v>9.31</v>
      </c>
      <c r="U1328">
        <v>77</v>
      </c>
      <c r="V1328">
        <v>-4.6500000000000004</v>
      </c>
      <c r="W1328">
        <v>59</v>
      </c>
      <c r="X1328" t="s">
        <v>276</v>
      </c>
      <c r="Y1328" t="s">
        <v>95</v>
      </c>
      <c r="Z1328">
        <v>0</v>
      </c>
      <c r="AA1328" t="s">
        <v>4426</v>
      </c>
      <c r="AB1328" t="s">
        <v>4427</v>
      </c>
      <c r="AC1328">
        <v>26</v>
      </c>
      <c r="AD1328">
        <v>12</v>
      </c>
      <c r="AE1328">
        <v>84</v>
      </c>
      <c r="AF1328">
        <v>127.5</v>
      </c>
      <c r="AG1328">
        <v>7.99</v>
      </c>
      <c r="AH1328">
        <v>7.47</v>
      </c>
      <c r="AI1328">
        <v>0.05</v>
      </c>
      <c r="AJ1328">
        <v>0.05</v>
      </c>
      <c r="AK1328">
        <v>52</v>
      </c>
      <c r="AL1328">
        <v>0</v>
      </c>
      <c r="AM1328">
        <v>0</v>
      </c>
      <c r="AN1328">
        <v>-1.84</v>
      </c>
      <c r="AO1328">
        <v>-0.12</v>
      </c>
      <c r="AP1328">
        <v>70</v>
      </c>
      <c r="AQ1328">
        <v>0</v>
      </c>
      <c r="AR1328">
        <v>5.12</v>
      </c>
      <c r="AS1328">
        <v>68</v>
      </c>
      <c r="AT1328">
        <v>2.2999999999999998</v>
      </c>
      <c r="AU1328">
        <v>68</v>
      </c>
      <c r="AV1328">
        <v>-2.93</v>
      </c>
      <c r="AW1328">
        <v>81</v>
      </c>
      <c r="AX1328">
        <v>0.11</v>
      </c>
      <c r="AY1328">
        <v>72</v>
      </c>
      <c r="AZ1328">
        <v>6.89</v>
      </c>
      <c r="BA1328">
        <v>38</v>
      </c>
      <c r="BB1328">
        <v>4.66</v>
      </c>
      <c r="BC1328">
        <v>47</v>
      </c>
      <c r="BD1328">
        <v>-0.03</v>
      </c>
      <c r="BE1328">
        <v>-0.01</v>
      </c>
      <c r="BF1328">
        <v>0</v>
      </c>
      <c r="BG1328">
        <v>61</v>
      </c>
      <c r="BH1328">
        <v>-0.14000000000000001</v>
      </c>
      <c r="BI1328">
        <v>-1.21</v>
      </c>
      <c r="BJ1328">
        <v>0</v>
      </c>
      <c r="BK1328">
        <v>0</v>
      </c>
      <c r="BL1328">
        <v>-1.07</v>
      </c>
      <c r="BM1328">
        <v>2.08</v>
      </c>
      <c r="BN1328">
        <v>-0.52</v>
      </c>
      <c r="BO1328">
        <v>-1.61</v>
      </c>
      <c r="BP1328">
        <v>1.55</v>
      </c>
      <c r="BQ1328">
        <v>0.73</v>
      </c>
      <c r="BR1328">
        <v>0.09</v>
      </c>
      <c r="BS1328">
        <v>0.02</v>
      </c>
      <c r="BT1328">
        <v>-0.28000000000000003</v>
      </c>
      <c r="BU1328">
        <v>-1.07</v>
      </c>
      <c r="BV1328">
        <v>-2.0699999999999998</v>
      </c>
      <c r="BW1328">
        <v>-1.7</v>
      </c>
      <c r="BX1328">
        <v>-0.99</v>
      </c>
      <c r="BY1328">
        <v>-0.7</v>
      </c>
      <c r="BZ1328">
        <v>-0.66</v>
      </c>
      <c r="CA1328">
        <v>-1.57</v>
      </c>
      <c r="CB1328">
        <v>-1.73</v>
      </c>
      <c r="CC1328">
        <v>-0.55000000000000004</v>
      </c>
      <c r="CD1328">
        <v>1.75</v>
      </c>
      <c r="CE1328">
        <v>-1.73</v>
      </c>
      <c r="CF1328">
        <v>-0.65</v>
      </c>
      <c r="CG1328">
        <v>0</v>
      </c>
      <c r="CH1328">
        <v>-0.49</v>
      </c>
      <c r="CI1328">
        <v>0</v>
      </c>
      <c r="CJ1328">
        <v>1.9</v>
      </c>
      <c r="CK1328">
        <v>90</v>
      </c>
      <c r="CL1328">
        <v>-0.14000000000000001</v>
      </c>
      <c r="CM1328">
        <v>88</v>
      </c>
      <c r="CN1328">
        <v>-0.28000000000000003</v>
      </c>
      <c r="CO1328">
        <v>87</v>
      </c>
      <c r="CP1328">
        <v>-2</v>
      </c>
      <c r="CQ1328">
        <v>81</v>
      </c>
      <c r="CR1328">
        <v>0</v>
      </c>
      <c r="CS1328">
        <v>0</v>
      </c>
      <c r="CT1328">
        <v>1.2</v>
      </c>
      <c r="CU1328">
        <v>77</v>
      </c>
      <c r="CV1328">
        <v>-0.01</v>
      </c>
      <c r="CW1328">
        <v>25</v>
      </c>
      <c r="CX1328" t="s">
        <v>4428</v>
      </c>
    </row>
    <row r="1329" spans="1:102" x14ac:dyDescent="0.3">
      <c r="A1329" t="str">
        <f>HYPERLINK("https://webapp.icbf.com/v2/app/bull-search/view/586050930","S955")</f>
        <v>S955</v>
      </c>
      <c r="B1329" t="s">
        <v>10090</v>
      </c>
      <c r="C1329" t="s">
        <v>10091</v>
      </c>
      <c r="D1329" s="1">
        <v>38145</v>
      </c>
      <c r="E1329" t="s">
        <v>92</v>
      </c>
      <c r="F1329">
        <v>100</v>
      </c>
      <c r="G1329" t="s">
        <v>109</v>
      </c>
      <c r="H1329">
        <v>118.6</v>
      </c>
      <c r="I1329">
        <v>82</v>
      </c>
      <c r="J1329">
        <v>30.01</v>
      </c>
      <c r="K1329">
        <v>91</v>
      </c>
      <c r="L1329">
        <v>39.33</v>
      </c>
      <c r="M1329">
        <v>87</v>
      </c>
      <c r="N1329">
        <v>47.11</v>
      </c>
      <c r="O1329">
        <v>72</v>
      </c>
      <c r="P1329">
        <v>1.52</v>
      </c>
      <c r="Q1329">
        <v>76</v>
      </c>
      <c r="R1329">
        <v>11.18</v>
      </c>
      <c r="S1329">
        <v>70</v>
      </c>
      <c r="T1329">
        <v>-12.89</v>
      </c>
      <c r="U1329">
        <v>64</v>
      </c>
      <c r="V1329">
        <v>2.34</v>
      </c>
      <c r="W1329">
        <v>49</v>
      </c>
      <c r="X1329" t="s">
        <v>251</v>
      </c>
      <c r="Y1329" t="s">
        <v>303</v>
      </c>
      <c r="Z1329" t="s">
        <v>96</v>
      </c>
      <c r="AA1329" t="s">
        <v>316</v>
      </c>
      <c r="AB1329" t="s">
        <v>1711</v>
      </c>
      <c r="AC1329">
        <v>29</v>
      </c>
      <c r="AD1329">
        <v>14</v>
      </c>
      <c r="AE1329">
        <v>91</v>
      </c>
      <c r="AF1329">
        <v>537.37</v>
      </c>
      <c r="AG1329">
        <v>7.8</v>
      </c>
      <c r="AH1329">
        <v>10.57</v>
      </c>
      <c r="AI1329">
        <v>-0.2</v>
      </c>
      <c r="AJ1329">
        <v>-0.12</v>
      </c>
      <c r="AK1329">
        <v>87</v>
      </c>
      <c r="AL1329">
        <v>28</v>
      </c>
      <c r="AM1329">
        <v>16</v>
      </c>
      <c r="AN1329">
        <v>-1.86</v>
      </c>
      <c r="AO1329">
        <v>1.28</v>
      </c>
      <c r="AP1329">
        <v>46</v>
      </c>
      <c r="AQ1329">
        <v>0</v>
      </c>
      <c r="AR1329">
        <v>3.88</v>
      </c>
      <c r="AS1329">
        <v>70</v>
      </c>
      <c r="AT1329">
        <v>1.71</v>
      </c>
      <c r="AU1329">
        <v>87</v>
      </c>
      <c r="AV1329">
        <v>-3.12</v>
      </c>
      <c r="AW1329">
        <v>79</v>
      </c>
      <c r="AX1329">
        <v>-0.48</v>
      </c>
      <c r="AY1329">
        <v>60</v>
      </c>
      <c r="AZ1329">
        <v>5.32</v>
      </c>
      <c r="BA1329">
        <v>49</v>
      </c>
      <c r="BB1329">
        <v>4.7</v>
      </c>
      <c r="BC1329">
        <v>42</v>
      </c>
      <c r="BD1329">
        <v>-0.03</v>
      </c>
      <c r="BE1329">
        <v>-0.03</v>
      </c>
      <c r="BF1329">
        <v>-0.15</v>
      </c>
      <c r="BG1329">
        <v>91</v>
      </c>
      <c r="BH1329">
        <v>-0.04</v>
      </c>
      <c r="BI1329">
        <v>-12.16</v>
      </c>
      <c r="BJ1329">
        <v>6</v>
      </c>
      <c r="BK1329">
        <v>4</v>
      </c>
      <c r="BL1329">
        <v>1.07</v>
      </c>
      <c r="BM1329">
        <v>-0.47</v>
      </c>
      <c r="BN1329">
        <v>0.3</v>
      </c>
      <c r="BO1329">
        <v>0.25</v>
      </c>
      <c r="BP1329">
        <v>0.43</v>
      </c>
      <c r="BQ1329">
        <v>0.74</v>
      </c>
      <c r="BR1329">
        <v>0.44</v>
      </c>
      <c r="BS1329">
        <v>0.95</v>
      </c>
      <c r="BT1329">
        <v>-1.33</v>
      </c>
      <c r="BU1329">
        <v>1.72</v>
      </c>
      <c r="BV1329">
        <v>0.85</v>
      </c>
      <c r="BW1329">
        <v>0.85</v>
      </c>
      <c r="BX1329">
        <v>2.25</v>
      </c>
      <c r="BY1329">
        <v>2.71</v>
      </c>
      <c r="BZ1329">
        <v>0.39</v>
      </c>
      <c r="CA1329">
        <v>1.45</v>
      </c>
      <c r="CB1329">
        <v>1.6</v>
      </c>
      <c r="CC1329">
        <v>0.43</v>
      </c>
      <c r="CD1329">
        <v>-0.09</v>
      </c>
      <c r="CE1329">
        <v>-0.2</v>
      </c>
      <c r="CF1329">
        <v>1.1399999999999999</v>
      </c>
      <c r="CG1329">
        <v>0</v>
      </c>
      <c r="CH1329">
        <v>-0.81</v>
      </c>
      <c r="CI1329">
        <v>0</v>
      </c>
      <c r="CJ1329">
        <v>4.4000000000000004</v>
      </c>
      <c r="CK1329">
        <v>78</v>
      </c>
      <c r="CL1329">
        <v>-0.9</v>
      </c>
      <c r="CM1329">
        <v>74</v>
      </c>
      <c r="CN1329">
        <v>-0.26</v>
      </c>
      <c r="CO1329">
        <v>71</v>
      </c>
      <c r="CP1329">
        <v>11.3</v>
      </c>
      <c r="CQ1329">
        <v>73</v>
      </c>
      <c r="CR1329">
        <v>0</v>
      </c>
      <c r="CS1329">
        <v>0</v>
      </c>
      <c r="CT1329">
        <v>31.2</v>
      </c>
      <c r="CU1329">
        <v>64</v>
      </c>
      <c r="CV1329">
        <v>0.39</v>
      </c>
      <c r="CW1329">
        <v>27</v>
      </c>
      <c r="CX1329" t="s">
        <v>311</v>
      </c>
    </row>
    <row r="1330" spans="1:102" x14ac:dyDescent="0.3">
      <c r="A1330" t="str">
        <f>HYPERLINK("https://webapp.icbf.com/v2/app/bull-search/view/1417505622","S3208")</f>
        <v>S3208</v>
      </c>
      <c r="B1330" t="s">
        <v>2305</v>
      </c>
      <c r="C1330" t="s">
        <v>2306</v>
      </c>
      <c r="D1330" s="1">
        <v>41972</v>
      </c>
      <c r="E1330" t="s">
        <v>92</v>
      </c>
      <c r="F1330">
        <v>100</v>
      </c>
      <c r="G1330" t="s">
        <v>109</v>
      </c>
      <c r="H1330">
        <v>118.44</v>
      </c>
      <c r="I1330">
        <v>72</v>
      </c>
      <c r="J1330">
        <v>76.89</v>
      </c>
      <c r="K1330">
        <v>92</v>
      </c>
      <c r="L1330">
        <v>-12.06</v>
      </c>
      <c r="M1330">
        <v>76</v>
      </c>
      <c r="N1330">
        <v>41.25</v>
      </c>
      <c r="O1330">
        <v>56</v>
      </c>
      <c r="P1330">
        <v>6.6</v>
      </c>
      <c r="Q1330">
        <v>41</v>
      </c>
      <c r="R1330">
        <v>10.6</v>
      </c>
      <c r="S1330">
        <v>71</v>
      </c>
      <c r="T1330">
        <v>-6.01</v>
      </c>
      <c r="U1330">
        <v>37</v>
      </c>
      <c r="V1330">
        <v>1.17</v>
      </c>
      <c r="W1330">
        <v>56</v>
      </c>
      <c r="X1330" t="s">
        <v>110</v>
      </c>
      <c r="Y1330" t="s">
        <v>453</v>
      </c>
      <c r="Z1330" t="s">
        <v>96</v>
      </c>
      <c r="AA1330" t="s">
        <v>2189</v>
      </c>
      <c r="AB1330" t="s">
        <v>431</v>
      </c>
      <c r="AC1330">
        <v>0</v>
      </c>
      <c r="AD1330">
        <v>0</v>
      </c>
      <c r="AE1330">
        <v>92</v>
      </c>
      <c r="AF1330">
        <v>681.94</v>
      </c>
      <c r="AG1330">
        <v>17.850000000000001</v>
      </c>
      <c r="AH1330">
        <v>17.2</v>
      </c>
      <c r="AI1330">
        <v>-0.14000000000000001</v>
      </c>
      <c r="AJ1330">
        <v>-0.09</v>
      </c>
      <c r="AK1330">
        <v>76</v>
      </c>
      <c r="AL1330">
        <v>0</v>
      </c>
      <c r="AM1330">
        <v>0</v>
      </c>
      <c r="AN1330">
        <v>2.36</v>
      </c>
      <c r="AO1330">
        <v>1.42</v>
      </c>
      <c r="AP1330">
        <v>4</v>
      </c>
      <c r="AQ1330">
        <v>0</v>
      </c>
      <c r="AR1330">
        <v>5.66</v>
      </c>
      <c r="AS1330">
        <v>57</v>
      </c>
      <c r="AT1330">
        <v>2.89</v>
      </c>
      <c r="AU1330">
        <v>91</v>
      </c>
      <c r="AV1330">
        <v>-4.03</v>
      </c>
      <c r="AW1330">
        <v>46</v>
      </c>
      <c r="AX1330">
        <v>0.28000000000000003</v>
      </c>
      <c r="AY1330">
        <v>45</v>
      </c>
      <c r="AZ1330">
        <v>5.84</v>
      </c>
      <c r="BA1330">
        <v>39</v>
      </c>
      <c r="BB1330">
        <v>4.49</v>
      </c>
      <c r="BC1330">
        <v>37</v>
      </c>
      <c r="BD1330">
        <v>-0.04</v>
      </c>
      <c r="BE1330">
        <v>-0.03</v>
      </c>
      <c r="BF1330">
        <v>-0.12</v>
      </c>
      <c r="BG1330">
        <v>88</v>
      </c>
      <c r="BH1330">
        <v>-0.09</v>
      </c>
      <c r="BI1330">
        <v>-14.17</v>
      </c>
      <c r="BJ1330">
        <v>0</v>
      </c>
      <c r="BK1330">
        <v>0</v>
      </c>
      <c r="BL1330">
        <v>1.46</v>
      </c>
      <c r="BM1330">
        <v>0.85</v>
      </c>
      <c r="BN1330">
        <v>1.37</v>
      </c>
      <c r="BO1330">
        <v>1.05</v>
      </c>
      <c r="BP1330">
        <v>7.0000000000000007E-2</v>
      </c>
      <c r="BQ1330">
        <v>0.39</v>
      </c>
      <c r="BR1330">
        <v>-1.1599999999999999</v>
      </c>
      <c r="BS1330">
        <v>1.1499999999999999</v>
      </c>
      <c r="BT1330">
        <v>0.68</v>
      </c>
      <c r="BU1330">
        <v>3.09</v>
      </c>
      <c r="BV1330">
        <v>2.71</v>
      </c>
      <c r="BW1330">
        <v>1.87</v>
      </c>
      <c r="BX1330">
        <v>2.02</v>
      </c>
      <c r="BY1330">
        <v>0.89</v>
      </c>
      <c r="BZ1330">
        <v>-0.3</v>
      </c>
      <c r="CA1330">
        <v>2.4700000000000002</v>
      </c>
      <c r="CB1330">
        <v>2.5</v>
      </c>
      <c r="CC1330">
        <v>1.06</v>
      </c>
      <c r="CD1330">
        <v>0.48</v>
      </c>
      <c r="CE1330">
        <v>0.35</v>
      </c>
      <c r="CF1330">
        <v>0.84</v>
      </c>
      <c r="CG1330">
        <v>0</v>
      </c>
      <c r="CH1330">
        <v>1.18</v>
      </c>
      <c r="CI1330">
        <v>0</v>
      </c>
      <c r="CJ1330">
        <v>4.5999999999999996</v>
      </c>
      <c r="CK1330">
        <v>41</v>
      </c>
      <c r="CL1330">
        <v>-1.06</v>
      </c>
      <c r="CM1330">
        <v>41</v>
      </c>
      <c r="CN1330">
        <v>-0.83</v>
      </c>
      <c r="CO1330">
        <v>41</v>
      </c>
      <c r="CP1330">
        <v>9.8000000000000007</v>
      </c>
      <c r="CQ1330">
        <v>38</v>
      </c>
      <c r="CR1330">
        <v>0</v>
      </c>
      <c r="CS1330">
        <v>0</v>
      </c>
      <c r="CT1330">
        <v>21.9</v>
      </c>
      <c r="CU1330">
        <v>37</v>
      </c>
      <c r="CV1330">
        <v>0.25</v>
      </c>
      <c r="CW1330">
        <v>33</v>
      </c>
      <c r="CX1330" t="s">
        <v>432</v>
      </c>
    </row>
    <row r="1331" spans="1:102" x14ac:dyDescent="0.3">
      <c r="A1331" t="str">
        <f>HYPERLINK("https://webapp.icbf.com/v2/app/bull-search/view/1084613213","PZZ")</f>
        <v>PZZ</v>
      </c>
      <c r="B1331" t="s">
        <v>5888</v>
      </c>
      <c r="C1331" t="s">
        <v>5889</v>
      </c>
      <c r="D1331" s="1">
        <v>41009</v>
      </c>
      <c r="E1331" t="s">
        <v>108</v>
      </c>
      <c r="F1331">
        <v>3</v>
      </c>
      <c r="G1331" t="s">
        <v>93</v>
      </c>
      <c r="H1331">
        <v>118.38</v>
      </c>
      <c r="I1331">
        <v>88</v>
      </c>
      <c r="J1331">
        <v>20.13</v>
      </c>
      <c r="K1331">
        <v>96</v>
      </c>
      <c r="L1331">
        <v>75.94</v>
      </c>
      <c r="M1331">
        <v>81</v>
      </c>
      <c r="N1331">
        <v>-0.18</v>
      </c>
      <c r="O1331">
        <v>90</v>
      </c>
      <c r="P1331">
        <v>-8.9600000000000009</v>
      </c>
      <c r="Q1331">
        <v>94</v>
      </c>
      <c r="R1331">
        <v>7.08</v>
      </c>
      <c r="S1331">
        <v>77</v>
      </c>
      <c r="T1331">
        <v>15.75</v>
      </c>
      <c r="U1331">
        <v>82</v>
      </c>
      <c r="V1331">
        <v>8.6199999999999992</v>
      </c>
      <c r="W1331">
        <v>75</v>
      </c>
      <c r="X1331" t="s">
        <v>102</v>
      </c>
      <c r="Y1331" t="s">
        <v>375</v>
      </c>
      <c r="Z1331" t="s">
        <v>96</v>
      </c>
      <c r="AA1331" t="s">
        <v>5256</v>
      </c>
      <c r="AB1331" t="s">
        <v>5890</v>
      </c>
      <c r="AC1331">
        <v>96</v>
      </c>
      <c r="AD1331">
        <v>47</v>
      </c>
      <c r="AE1331">
        <v>96</v>
      </c>
      <c r="AF1331">
        <v>121.31</v>
      </c>
      <c r="AG1331">
        <v>2.29</v>
      </c>
      <c r="AH1331">
        <v>4.47</v>
      </c>
      <c r="AI1331">
        <v>-0.04</v>
      </c>
      <c r="AJ1331">
        <v>0.01</v>
      </c>
      <c r="AK1331">
        <v>81</v>
      </c>
      <c r="AL1331">
        <v>118</v>
      </c>
      <c r="AM1331">
        <v>73</v>
      </c>
      <c r="AN1331">
        <v>-4.6399999999999997</v>
      </c>
      <c r="AO1331">
        <v>1.41</v>
      </c>
      <c r="AP1331">
        <v>1072</v>
      </c>
      <c r="AQ1331">
        <v>4</v>
      </c>
      <c r="AR1331">
        <v>9.94</v>
      </c>
      <c r="AS1331">
        <v>81</v>
      </c>
      <c r="AT1331">
        <v>4.16</v>
      </c>
      <c r="AU1331">
        <v>96</v>
      </c>
      <c r="AV1331">
        <v>-1.66</v>
      </c>
      <c r="AW1331">
        <v>99</v>
      </c>
      <c r="AX1331">
        <v>-0.31</v>
      </c>
      <c r="AY1331">
        <v>95</v>
      </c>
      <c r="AZ1331">
        <v>5.47</v>
      </c>
      <c r="BA1331">
        <v>69</v>
      </c>
      <c r="BB1331">
        <v>4.6500000000000004</v>
      </c>
      <c r="BC1331">
        <v>60</v>
      </c>
      <c r="BD1331">
        <v>-0.01</v>
      </c>
      <c r="BE1331">
        <v>-0.04</v>
      </c>
      <c r="BF1331">
        <v>-7.0000000000000007E-2</v>
      </c>
      <c r="BG1331">
        <v>85</v>
      </c>
      <c r="BH1331">
        <v>0.09</v>
      </c>
      <c r="BI1331">
        <v>-17.39</v>
      </c>
      <c r="BJ1331">
        <v>5</v>
      </c>
      <c r="BK1331">
        <v>3</v>
      </c>
      <c r="BL1331">
        <v>-2.19</v>
      </c>
      <c r="BM1331">
        <v>2.44</v>
      </c>
      <c r="BN1331">
        <v>-2.04</v>
      </c>
      <c r="BO1331">
        <v>-2.62</v>
      </c>
      <c r="BP1331">
        <v>-1.1200000000000001</v>
      </c>
      <c r="BQ1331">
        <v>4.18</v>
      </c>
      <c r="BR1331">
        <v>-2.02</v>
      </c>
      <c r="BS1331">
        <v>-0.36</v>
      </c>
      <c r="BT1331">
        <v>1.06</v>
      </c>
      <c r="BU1331">
        <v>-3.28</v>
      </c>
      <c r="BV1331">
        <v>-3.35</v>
      </c>
      <c r="BW1331">
        <v>-2.0499999999999998</v>
      </c>
      <c r="BX1331">
        <v>-2.78</v>
      </c>
      <c r="BY1331">
        <v>-1.95</v>
      </c>
      <c r="BZ1331">
        <v>0.66</v>
      </c>
      <c r="CA1331">
        <v>-2.2799999999999998</v>
      </c>
      <c r="CB1331">
        <v>-2.5099999999999998</v>
      </c>
      <c r="CC1331">
        <v>-0.59</v>
      </c>
      <c r="CD1331">
        <v>2.65</v>
      </c>
      <c r="CE1331">
        <v>-1.85</v>
      </c>
      <c r="CF1331">
        <v>-0.14000000000000001</v>
      </c>
      <c r="CG1331">
        <v>0</v>
      </c>
      <c r="CH1331">
        <v>0.48</v>
      </c>
      <c r="CI1331">
        <v>0</v>
      </c>
      <c r="CJ1331">
        <v>-4.0999999999999996</v>
      </c>
      <c r="CK1331">
        <v>96</v>
      </c>
      <c r="CL1331">
        <v>-0.18</v>
      </c>
      <c r="CM1331">
        <v>95</v>
      </c>
      <c r="CN1331">
        <v>0.03</v>
      </c>
      <c r="CO1331">
        <v>95</v>
      </c>
      <c r="CP1331">
        <v>-7.3</v>
      </c>
      <c r="CQ1331">
        <v>81</v>
      </c>
      <c r="CR1331">
        <v>0</v>
      </c>
      <c r="CS1331">
        <v>0</v>
      </c>
      <c r="CT1331">
        <v>-7.5</v>
      </c>
      <c r="CU1331">
        <v>82</v>
      </c>
      <c r="CV1331">
        <v>0.1</v>
      </c>
      <c r="CW1331">
        <v>45</v>
      </c>
      <c r="CX1331" t="s">
        <v>1226</v>
      </c>
    </row>
    <row r="1332" spans="1:102" x14ac:dyDescent="0.3">
      <c r="A1332" t="str">
        <f>HYPERLINK("https://webapp.icbf.com/v2/app/bull-search/view/729508806","BJL")</f>
        <v>BJL</v>
      </c>
      <c r="B1332" t="s">
        <v>10103</v>
      </c>
      <c r="C1332" t="s">
        <v>10104</v>
      </c>
      <c r="D1332" s="1">
        <v>40101</v>
      </c>
      <c r="E1332" t="s">
        <v>92</v>
      </c>
      <c r="F1332">
        <v>100</v>
      </c>
      <c r="G1332" t="s">
        <v>93</v>
      </c>
      <c r="H1332">
        <v>118.36</v>
      </c>
      <c r="I1332">
        <v>84</v>
      </c>
      <c r="J1332">
        <v>24.06</v>
      </c>
      <c r="K1332">
        <v>96</v>
      </c>
      <c r="L1332">
        <v>29.57</v>
      </c>
      <c r="M1332">
        <v>72</v>
      </c>
      <c r="N1332">
        <v>42.48</v>
      </c>
      <c r="O1332">
        <v>86</v>
      </c>
      <c r="P1332">
        <v>-20.56</v>
      </c>
      <c r="Q1332">
        <v>95</v>
      </c>
      <c r="R1332">
        <v>9</v>
      </c>
      <c r="S1332">
        <v>74</v>
      </c>
      <c r="T1332">
        <v>25.07</v>
      </c>
      <c r="U1332">
        <v>86</v>
      </c>
      <c r="V1332">
        <v>8.74</v>
      </c>
      <c r="W1332">
        <v>70</v>
      </c>
      <c r="X1332" t="s">
        <v>102</v>
      </c>
      <c r="Y1332" t="s">
        <v>1727</v>
      </c>
      <c r="Z1332" t="s">
        <v>96</v>
      </c>
      <c r="AA1332" t="s">
        <v>277</v>
      </c>
      <c r="AB1332" t="s">
        <v>10105</v>
      </c>
      <c r="AC1332">
        <v>113</v>
      </c>
      <c r="AD1332">
        <v>87</v>
      </c>
      <c r="AE1332">
        <v>96</v>
      </c>
      <c r="AF1332">
        <v>273.16000000000003</v>
      </c>
      <c r="AG1332">
        <v>5.35</v>
      </c>
      <c r="AH1332">
        <v>6.38</v>
      </c>
      <c r="AI1332">
        <v>-0.08</v>
      </c>
      <c r="AJ1332">
        <v>-0.05</v>
      </c>
      <c r="AK1332">
        <v>72</v>
      </c>
      <c r="AL1332">
        <v>129</v>
      </c>
      <c r="AM1332">
        <v>98</v>
      </c>
      <c r="AN1332">
        <v>-1.45</v>
      </c>
      <c r="AO1332">
        <v>0.91</v>
      </c>
      <c r="AP1332">
        <v>292</v>
      </c>
      <c r="AQ1332">
        <v>3</v>
      </c>
      <c r="AR1332">
        <v>3.88</v>
      </c>
      <c r="AS1332">
        <v>70</v>
      </c>
      <c r="AT1332">
        <v>1.71</v>
      </c>
      <c r="AU1332">
        <v>88</v>
      </c>
      <c r="AV1332">
        <v>-2.81</v>
      </c>
      <c r="AW1332">
        <v>97</v>
      </c>
      <c r="AX1332">
        <v>-0.3</v>
      </c>
      <c r="AY1332">
        <v>84</v>
      </c>
      <c r="AZ1332">
        <v>5.5</v>
      </c>
      <c r="BA1332">
        <v>64</v>
      </c>
      <c r="BB1332">
        <v>5.01</v>
      </c>
      <c r="BC1332">
        <v>65</v>
      </c>
      <c r="BD1332">
        <v>-0.03</v>
      </c>
      <c r="BE1332">
        <v>-0.03</v>
      </c>
      <c r="BF1332">
        <v>-0.1</v>
      </c>
      <c r="BG1332">
        <v>85</v>
      </c>
      <c r="BH1332">
        <v>-0.08</v>
      </c>
      <c r="BI1332">
        <v>-37.46</v>
      </c>
      <c r="BJ1332">
        <v>9</v>
      </c>
      <c r="BK1332">
        <v>8</v>
      </c>
      <c r="BL1332">
        <v>0.25</v>
      </c>
      <c r="BM1332">
        <v>-2.0099999999999998</v>
      </c>
      <c r="BN1332">
        <v>-0.71</v>
      </c>
      <c r="BO1332">
        <v>0.56999999999999995</v>
      </c>
      <c r="BP1332">
        <v>0.09</v>
      </c>
      <c r="BQ1332">
        <v>-2.0699999999999998</v>
      </c>
      <c r="BR1332">
        <v>-0.87</v>
      </c>
      <c r="BS1332">
        <v>1.55</v>
      </c>
      <c r="BT1332">
        <v>0.33</v>
      </c>
      <c r="BU1332">
        <v>0.51</v>
      </c>
      <c r="BV1332">
        <v>-0.17</v>
      </c>
      <c r="BW1332">
        <v>-0.68</v>
      </c>
      <c r="BX1332">
        <v>1.08</v>
      </c>
      <c r="BY1332">
        <v>1.58</v>
      </c>
      <c r="BZ1332">
        <v>-2.2999999999999998</v>
      </c>
      <c r="CA1332">
        <v>0.42</v>
      </c>
      <c r="CB1332">
        <v>-0.34</v>
      </c>
      <c r="CC1332">
        <v>1.62</v>
      </c>
      <c r="CD1332">
        <v>-0.77</v>
      </c>
      <c r="CE1332">
        <v>0.55000000000000004</v>
      </c>
      <c r="CF1332">
        <v>-0.28999999999999998</v>
      </c>
      <c r="CG1332">
        <v>0</v>
      </c>
      <c r="CH1332">
        <v>-0.91</v>
      </c>
      <c r="CI1332">
        <v>0</v>
      </c>
      <c r="CJ1332">
        <v>-7.9</v>
      </c>
      <c r="CK1332">
        <v>96</v>
      </c>
      <c r="CL1332">
        <v>-0.88</v>
      </c>
      <c r="CM1332">
        <v>95</v>
      </c>
      <c r="CN1332">
        <v>-0.09</v>
      </c>
      <c r="CO1332">
        <v>95</v>
      </c>
      <c r="CP1332">
        <v>-10.9</v>
      </c>
      <c r="CQ1332">
        <v>88</v>
      </c>
      <c r="CR1332">
        <v>0</v>
      </c>
      <c r="CS1332">
        <v>0</v>
      </c>
      <c r="CT1332">
        <v>-20.100000000000001</v>
      </c>
      <c r="CU1332">
        <v>86</v>
      </c>
      <c r="CV1332">
        <v>0.1</v>
      </c>
      <c r="CW1332">
        <v>30</v>
      </c>
      <c r="CX1332" t="s">
        <v>316</v>
      </c>
    </row>
    <row r="1333" spans="1:102" x14ac:dyDescent="0.3">
      <c r="A1333" t="str">
        <f>HYPERLINK("https://webapp.icbf.com/v2/app/bull-search/view/946889192","YBR")</f>
        <v>YBR</v>
      </c>
      <c r="B1333" t="s">
        <v>8303</v>
      </c>
      <c r="C1333" t="s">
        <v>8304</v>
      </c>
      <c r="D1333" s="1">
        <v>40936</v>
      </c>
      <c r="E1333" t="s">
        <v>108</v>
      </c>
      <c r="F1333">
        <v>44</v>
      </c>
      <c r="G1333" t="s">
        <v>93</v>
      </c>
      <c r="H1333">
        <v>118.29</v>
      </c>
      <c r="I1333">
        <v>88</v>
      </c>
      <c r="J1333">
        <v>93.46</v>
      </c>
      <c r="K1333">
        <v>98</v>
      </c>
      <c r="L1333">
        <v>9.2100000000000009</v>
      </c>
      <c r="M1333">
        <v>79</v>
      </c>
      <c r="N1333">
        <v>30.66</v>
      </c>
      <c r="O1333">
        <v>89</v>
      </c>
      <c r="P1333">
        <v>-25.02</v>
      </c>
      <c r="Q1333">
        <v>95</v>
      </c>
      <c r="R1333">
        <v>-14.86</v>
      </c>
      <c r="S1333">
        <v>80</v>
      </c>
      <c r="T1333">
        <v>23.59</v>
      </c>
      <c r="U1333">
        <v>88</v>
      </c>
      <c r="V1333">
        <v>1.25</v>
      </c>
      <c r="W1333">
        <v>74</v>
      </c>
      <c r="X1333" t="s">
        <v>102</v>
      </c>
      <c r="Y1333" t="s">
        <v>1976</v>
      </c>
      <c r="Z1333" t="s">
        <v>330</v>
      </c>
      <c r="AA1333" t="s">
        <v>2245</v>
      </c>
      <c r="AB1333" t="s">
        <v>8305</v>
      </c>
      <c r="AC1333">
        <v>155</v>
      </c>
      <c r="AD1333">
        <v>84</v>
      </c>
      <c r="AE1333">
        <v>98</v>
      </c>
      <c r="AF1333">
        <v>139.54</v>
      </c>
      <c r="AG1333">
        <v>13.09</v>
      </c>
      <c r="AH1333">
        <v>13.4</v>
      </c>
      <c r="AI1333">
        <v>0.13</v>
      </c>
      <c r="AJ1333">
        <v>0.15</v>
      </c>
      <c r="AK1333">
        <v>79</v>
      </c>
      <c r="AL1333">
        <v>165</v>
      </c>
      <c r="AM1333">
        <v>96</v>
      </c>
      <c r="AN1333">
        <v>-0.85</v>
      </c>
      <c r="AO1333">
        <v>-0.12</v>
      </c>
      <c r="AP1333">
        <v>379</v>
      </c>
      <c r="AQ1333">
        <v>8</v>
      </c>
      <c r="AR1333">
        <v>5.78</v>
      </c>
      <c r="AS1333">
        <v>82</v>
      </c>
      <c r="AT1333">
        <v>2.23</v>
      </c>
      <c r="AU1333">
        <v>91</v>
      </c>
      <c r="AV1333">
        <v>-2.92</v>
      </c>
      <c r="AW1333">
        <v>98</v>
      </c>
      <c r="AX1333">
        <v>-0.18</v>
      </c>
      <c r="AY1333">
        <v>87</v>
      </c>
      <c r="AZ1333">
        <v>7.04</v>
      </c>
      <c r="BA1333">
        <v>72</v>
      </c>
      <c r="BB1333">
        <v>5.64</v>
      </c>
      <c r="BC1333">
        <v>68</v>
      </c>
      <c r="BD1333">
        <v>0.01</v>
      </c>
      <c r="BE1333">
        <v>0.05</v>
      </c>
      <c r="BF1333">
        <v>0.23</v>
      </c>
      <c r="BG1333">
        <v>90</v>
      </c>
      <c r="BH1333">
        <v>0.14000000000000001</v>
      </c>
      <c r="BI1333">
        <v>12.16</v>
      </c>
      <c r="BJ1333">
        <v>6</v>
      </c>
      <c r="BK1333">
        <v>6</v>
      </c>
      <c r="BL1333">
        <v>-1.81</v>
      </c>
      <c r="BM1333">
        <v>0.74</v>
      </c>
      <c r="BN1333">
        <v>-0.56000000000000005</v>
      </c>
      <c r="BO1333">
        <v>-1.28</v>
      </c>
      <c r="BP1333">
        <v>-2.89</v>
      </c>
      <c r="BQ1333">
        <v>0.46</v>
      </c>
      <c r="BR1333">
        <v>0.01</v>
      </c>
      <c r="BS1333">
        <v>-0.08</v>
      </c>
      <c r="BT1333">
        <v>-1.5</v>
      </c>
      <c r="BU1333">
        <v>-1.62</v>
      </c>
      <c r="BV1333">
        <v>-1.1100000000000001</v>
      </c>
      <c r="BW1333">
        <v>-1.58</v>
      </c>
      <c r="BX1333">
        <v>-2.14</v>
      </c>
      <c r="BY1333">
        <v>-1.5</v>
      </c>
      <c r="BZ1333">
        <v>-1.19</v>
      </c>
      <c r="CA1333">
        <v>-0.88</v>
      </c>
      <c r="CB1333">
        <v>-1.02</v>
      </c>
      <c r="CC1333">
        <v>-0.44</v>
      </c>
      <c r="CD1333">
        <v>0.78</v>
      </c>
      <c r="CE1333">
        <v>-0.62</v>
      </c>
      <c r="CF1333">
        <v>-1.01</v>
      </c>
      <c r="CG1333">
        <v>0</v>
      </c>
      <c r="CH1333">
        <v>-1.97</v>
      </c>
      <c r="CI1333">
        <v>0</v>
      </c>
      <c r="CJ1333">
        <v>-10.8</v>
      </c>
      <c r="CK1333">
        <v>96</v>
      </c>
      <c r="CL1333">
        <v>-0.81</v>
      </c>
      <c r="CM1333">
        <v>95</v>
      </c>
      <c r="CN1333">
        <v>-0.02</v>
      </c>
      <c r="CO1333">
        <v>95</v>
      </c>
      <c r="CP1333">
        <v>-13.3</v>
      </c>
      <c r="CQ1333">
        <v>85</v>
      </c>
      <c r="CR1333">
        <v>0</v>
      </c>
      <c r="CS1333">
        <v>0</v>
      </c>
      <c r="CT1333">
        <v>-18.100000000000001</v>
      </c>
      <c r="CU1333">
        <v>88</v>
      </c>
      <c r="CV1333">
        <v>0.05</v>
      </c>
      <c r="CW1333">
        <v>46</v>
      </c>
      <c r="CX1333" t="s">
        <v>792</v>
      </c>
    </row>
    <row r="1334" spans="1:102" x14ac:dyDescent="0.3">
      <c r="A1334" t="str">
        <f>HYPERLINK("https://webapp.icbf.com/v2/app/bull-search/view/1361575506","FR4114")</f>
        <v>FR4114</v>
      </c>
      <c r="B1334" t="s">
        <v>13895</v>
      </c>
      <c r="C1334" t="s">
        <v>13896</v>
      </c>
      <c r="D1334" s="1">
        <v>41943</v>
      </c>
      <c r="E1334" t="s">
        <v>92</v>
      </c>
      <c r="F1334">
        <v>100</v>
      </c>
      <c r="G1334" t="s">
        <v>109</v>
      </c>
      <c r="H1334">
        <v>118.28</v>
      </c>
      <c r="I1334">
        <v>76</v>
      </c>
      <c r="J1334">
        <v>68.400000000000006</v>
      </c>
      <c r="K1334">
        <v>91</v>
      </c>
      <c r="L1334">
        <v>26.25</v>
      </c>
      <c r="M1334">
        <v>74</v>
      </c>
      <c r="N1334">
        <v>9.69</v>
      </c>
      <c r="O1334">
        <v>82</v>
      </c>
      <c r="P1334">
        <v>7.45</v>
      </c>
      <c r="Q1334">
        <v>65</v>
      </c>
      <c r="R1334">
        <v>17.96</v>
      </c>
      <c r="S1334">
        <v>70</v>
      </c>
      <c r="T1334">
        <v>-13.55</v>
      </c>
      <c r="U1334">
        <v>44</v>
      </c>
      <c r="V1334">
        <v>2.08</v>
      </c>
      <c r="W1334">
        <v>56</v>
      </c>
      <c r="X1334" t="s">
        <v>428</v>
      </c>
      <c r="Y1334" t="s">
        <v>429</v>
      </c>
      <c r="Z1334" t="s">
        <v>96</v>
      </c>
      <c r="AA1334" t="s">
        <v>2311</v>
      </c>
      <c r="AB1334" t="s">
        <v>13897</v>
      </c>
      <c r="AC1334">
        <v>0</v>
      </c>
      <c r="AD1334">
        <v>0</v>
      </c>
      <c r="AE1334">
        <v>91</v>
      </c>
      <c r="AF1334">
        <v>537.57000000000005</v>
      </c>
      <c r="AG1334">
        <v>16.399999999999999</v>
      </c>
      <c r="AH1334">
        <v>14.06</v>
      </c>
      <c r="AI1334">
        <v>-7.0000000000000007E-2</v>
      </c>
      <c r="AJ1334">
        <v>-7.0000000000000007E-2</v>
      </c>
      <c r="AK1334">
        <v>74</v>
      </c>
      <c r="AL1334">
        <v>0</v>
      </c>
      <c r="AM1334">
        <v>0</v>
      </c>
      <c r="AN1334">
        <v>0.62</v>
      </c>
      <c r="AO1334">
        <v>2.74</v>
      </c>
      <c r="AP1334">
        <v>228</v>
      </c>
      <c r="AQ1334">
        <v>0</v>
      </c>
      <c r="AR1334">
        <v>9.65</v>
      </c>
      <c r="AS1334">
        <v>64</v>
      </c>
      <c r="AT1334">
        <v>3.82</v>
      </c>
      <c r="AU1334">
        <v>93</v>
      </c>
      <c r="AV1334">
        <v>-2.61</v>
      </c>
      <c r="AW1334">
        <v>96</v>
      </c>
      <c r="AX1334">
        <v>0.87</v>
      </c>
      <c r="AY1334">
        <v>81</v>
      </c>
      <c r="AZ1334">
        <v>5.0599999999999996</v>
      </c>
      <c r="BA1334">
        <v>42</v>
      </c>
      <c r="BB1334">
        <v>4.6100000000000003</v>
      </c>
      <c r="BC1334">
        <v>38</v>
      </c>
      <c r="BD1334">
        <v>-0.06</v>
      </c>
      <c r="BE1334">
        <v>-7.0000000000000007E-2</v>
      </c>
      <c r="BF1334">
        <v>-0.18</v>
      </c>
      <c r="BG1334">
        <v>87</v>
      </c>
      <c r="BH1334">
        <v>0.02</v>
      </c>
      <c r="BI1334">
        <v>-4.3899999999999997</v>
      </c>
      <c r="BJ1334">
        <v>0</v>
      </c>
      <c r="BK1334">
        <v>0</v>
      </c>
      <c r="BL1334">
        <v>2.77</v>
      </c>
      <c r="BM1334">
        <v>0.4</v>
      </c>
      <c r="BN1334">
        <v>0.13</v>
      </c>
      <c r="BO1334">
        <v>0.92</v>
      </c>
      <c r="BP1334">
        <v>2.0099999999999998</v>
      </c>
      <c r="BQ1334">
        <v>2.69</v>
      </c>
      <c r="BR1334">
        <v>-2.97</v>
      </c>
      <c r="BS1334">
        <v>2.98</v>
      </c>
      <c r="BT1334">
        <v>2.59</v>
      </c>
      <c r="BU1334">
        <v>2.83</v>
      </c>
      <c r="BV1334">
        <v>3.76</v>
      </c>
      <c r="BW1334">
        <v>3.55</v>
      </c>
      <c r="BX1334">
        <v>3.34</v>
      </c>
      <c r="BY1334">
        <v>2.39</v>
      </c>
      <c r="BZ1334">
        <v>-1.66</v>
      </c>
      <c r="CA1334">
        <v>3.47</v>
      </c>
      <c r="CB1334">
        <v>2.97</v>
      </c>
      <c r="CC1334">
        <v>2.77</v>
      </c>
      <c r="CD1334">
        <v>-0.01</v>
      </c>
      <c r="CE1334">
        <v>0.7</v>
      </c>
      <c r="CF1334">
        <v>1.39</v>
      </c>
      <c r="CG1334">
        <v>0</v>
      </c>
      <c r="CH1334">
        <v>2.38</v>
      </c>
      <c r="CI1334">
        <v>0</v>
      </c>
      <c r="CJ1334">
        <v>6.5</v>
      </c>
      <c r="CK1334">
        <v>69</v>
      </c>
      <c r="CL1334">
        <v>-1.17</v>
      </c>
      <c r="CM1334">
        <v>62</v>
      </c>
      <c r="CN1334">
        <v>-0.73</v>
      </c>
      <c r="CO1334">
        <v>61</v>
      </c>
      <c r="CP1334">
        <v>13.4</v>
      </c>
      <c r="CQ1334">
        <v>48</v>
      </c>
      <c r="CR1334">
        <v>0</v>
      </c>
      <c r="CS1334">
        <v>0</v>
      </c>
      <c r="CT1334">
        <v>32.1</v>
      </c>
      <c r="CU1334">
        <v>44</v>
      </c>
      <c r="CV1334">
        <v>0.37</v>
      </c>
      <c r="CW1334">
        <v>39</v>
      </c>
      <c r="CX1334" t="s">
        <v>401</v>
      </c>
    </row>
    <row r="1335" spans="1:102" x14ac:dyDescent="0.3">
      <c r="A1335" t="str">
        <f>HYPERLINK("https://webapp.icbf.com/v2/app/bull-search/view/345631994","PVO")</f>
        <v>PVO</v>
      </c>
      <c r="B1335" t="s">
        <v>8233</v>
      </c>
      <c r="C1335" t="s">
        <v>8234</v>
      </c>
      <c r="D1335" s="1">
        <v>38035</v>
      </c>
      <c r="E1335" t="s">
        <v>92</v>
      </c>
      <c r="F1335">
        <v>84</v>
      </c>
      <c r="G1335" t="s">
        <v>116</v>
      </c>
      <c r="H1335">
        <v>118.25</v>
      </c>
      <c r="I1335">
        <v>30</v>
      </c>
      <c r="J1335">
        <v>25.42</v>
      </c>
      <c r="K1335">
        <v>16</v>
      </c>
      <c r="L1335">
        <v>58.88</v>
      </c>
      <c r="M1335">
        <v>32</v>
      </c>
      <c r="N1335">
        <v>22.92</v>
      </c>
      <c r="O1335">
        <v>41</v>
      </c>
      <c r="P1335">
        <v>3.69</v>
      </c>
      <c r="Q1335">
        <v>58</v>
      </c>
      <c r="R1335">
        <v>4.3099999999999996</v>
      </c>
      <c r="S1335">
        <v>36</v>
      </c>
      <c r="T1335">
        <v>9.4600000000000009</v>
      </c>
      <c r="U1335">
        <v>38</v>
      </c>
      <c r="V1335">
        <v>-6.43</v>
      </c>
      <c r="W1335">
        <v>33</v>
      </c>
      <c r="X1335" t="s">
        <v>8235</v>
      </c>
      <c r="Y1335" t="s">
        <v>1153</v>
      </c>
      <c r="Z1335" t="s">
        <v>96</v>
      </c>
      <c r="AA1335" t="s">
        <v>2992</v>
      </c>
      <c r="AB1335" t="s">
        <v>8236</v>
      </c>
      <c r="AC1335">
        <v>1</v>
      </c>
      <c r="AD1335">
        <v>1</v>
      </c>
      <c r="AE1335">
        <v>16</v>
      </c>
      <c r="AF1335">
        <v>-24.11</v>
      </c>
      <c r="AG1335">
        <v>4.28</v>
      </c>
      <c r="AH1335">
        <v>2.44</v>
      </c>
      <c r="AI1335">
        <v>0.09</v>
      </c>
      <c r="AJ1335">
        <v>0.05</v>
      </c>
      <c r="AK1335">
        <v>32</v>
      </c>
      <c r="AL1335">
        <v>1</v>
      </c>
      <c r="AM1335">
        <v>1</v>
      </c>
      <c r="AN1335">
        <v>-3.63</v>
      </c>
      <c r="AO1335">
        <v>1.06</v>
      </c>
      <c r="AP1335">
        <v>4</v>
      </c>
      <c r="AQ1335">
        <v>1</v>
      </c>
      <c r="AR1335">
        <v>7.31</v>
      </c>
      <c r="AS1335">
        <v>30</v>
      </c>
      <c r="AT1335">
        <v>2.66</v>
      </c>
      <c r="AU1335">
        <v>39</v>
      </c>
      <c r="AV1335">
        <v>-1.9</v>
      </c>
      <c r="AW1335">
        <v>50</v>
      </c>
      <c r="AX1335">
        <v>-0.26</v>
      </c>
      <c r="AY1335">
        <v>36</v>
      </c>
      <c r="AZ1335">
        <v>6.04</v>
      </c>
      <c r="BA1335">
        <v>30</v>
      </c>
      <c r="BB1335">
        <v>4.5999999999999996</v>
      </c>
      <c r="BC1335">
        <v>31</v>
      </c>
      <c r="BD1335">
        <v>-0.03</v>
      </c>
      <c r="BE1335">
        <v>-0.01</v>
      </c>
      <c r="BF1335">
        <v>-0.03</v>
      </c>
      <c r="BG1335">
        <v>41</v>
      </c>
      <c r="BH1335">
        <v>-0.1</v>
      </c>
      <c r="BI1335">
        <v>9.19</v>
      </c>
      <c r="BJ1335">
        <v>1</v>
      </c>
      <c r="BK1335">
        <v>1</v>
      </c>
      <c r="BL1335">
        <v>-0.74</v>
      </c>
      <c r="BM1335">
        <v>0.84</v>
      </c>
      <c r="BN1335">
        <v>-0.13</v>
      </c>
      <c r="BO1335">
        <v>-0.7</v>
      </c>
      <c r="BP1335">
        <v>0.75</v>
      </c>
      <c r="BQ1335">
        <v>-0.43</v>
      </c>
      <c r="BR1335">
        <v>0.28000000000000003</v>
      </c>
      <c r="BS1335">
        <v>-0.69</v>
      </c>
      <c r="BT1335">
        <v>-0.6</v>
      </c>
      <c r="BU1335">
        <v>-0.33</v>
      </c>
      <c r="BV1335">
        <v>-0.64</v>
      </c>
      <c r="BW1335">
        <v>-1.55</v>
      </c>
      <c r="BX1335">
        <v>-1.23</v>
      </c>
      <c r="BY1335">
        <v>-1.69</v>
      </c>
      <c r="BZ1335">
        <v>0.86</v>
      </c>
      <c r="CA1335">
        <v>-1.1100000000000001</v>
      </c>
      <c r="CB1335">
        <v>-1.04</v>
      </c>
      <c r="CC1335">
        <v>-0.71</v>
      </c>
      <c r="CD1335">
        <v>0.94</v>
      </c>
      <c r="CE1335">
        <v>-0.69</v>
      </c>
      <c r="CF1335">
        <v>-0.6</v>
      </c>
      <c r="CG1335">
        <v>0</v>
      </c>
      <c r="CH1335">
        <v>-1.53</v>
      </c>
      <c r="CI1335">
        <v>0</v>
      </c>
      <c r="CJ1335">
        <v>3</v>
      </c>
      <c r="CK1335">
        <v>61</v>
      </c>
      <c r="CL1335">
        <v>-0.21</v>
      </c>
      <c r="CM1335">
        <v>56</v>
      </c>
      <c r="CN1335">
        <v>-0.18</v>
      </c>
      <c r="CO1335">
        <v>55</v>
      </c>
      <c r="CP1335">
        <v>-2.6</v>
      </c>
      <c r="CQ1335">
        <v>43</v>
      </c>
      <c r="CR1335">
        <v>0</v>
      </c>
      <c r="CS1335">
        <v>0</v>
      </c>
      <c r="CT1335">
        <v>1</v>
      </c>
      <c r="CU1335">
        <v>38</v>
      </c>
      <c r="CV1335">
        <v>0.1</v>
      </c>
      <c r="CW1335">
        <v>17</v>
      </c>
      <c r="CX1335" t="s">
        <v>1252</v>
      </c>
    </row>
    <row r="1336" spans="1:102" x14ac:dyDescent="0.3">
      <c r="A1336" t="str">
        <f>HYPERLINK("https://webapp.icbf.com/v2/app/bull-search/view/564794873","S594")</f>
        <v>S594</v>
      </c>
      <c r="B1336" t="s">
        <v>1117</v>
      </c>
      <c r="C1336" t="s">
        <v>1118</v>
      </c>
      <c r="D1336" s="1">
        <v>36574</v>
      </c>
      <c r="E1336" t="s">
        <v>227</v>
      </c>
      <c r="F1336">
        <v>0</v>
      </c>
      <c r="G1336" t="s">
        <v>109</v>
      </c>
      <c r="H1336">
        <v>118.2</v>
      </c>
      <c r="I1336">
        <v>81</v>
      </c>
      <c r="J1336">
        <v>55.01</v>
      </c>
      <c r="K1336">
        <v>91</v>
      </c>
      <c r="L1336">
        <v>25.91</v>
      </c>
      <c r="M1336">
        <v>77</v>
      </c>
      <c r="N1336">
        <v>30.03</v>
      </c>
      <c r="O1336">
        <v>68</v>
      </c>
      <c r="P1336">
        <v>-57.02</v>
      </c>
      <c r="Q1336">
        <v>84</v>
      </c>
      <c r="R1336">
        <v>-9.06</v>
      </c>
      <c r="S1336">
        <v>62</v>
      </c>
      <c r="T1336">
        <v>69.84</v>
      </c>
      <c r="U1336">
        <v>81</v>
      </c>
      <c r="V1336">
        <v>3.49</v>
      </c>
      <c r="W1336">
        <v>68</v>
      </c>
      <c r="X1336" t="s">
        <v>102</v>
      </c>
      <c r="Y1336" t="s">
        <v>545</v>
      </c>
      <c r="Z1336">
        <v>0</v>
      </c>
      <c r="AA1336" t="s">
        <v>554</v>
      </c>
      <c r="AB1336" t="s">
        <v>1119</v>
      </c>
      <c r="AC1336">
        <v>36</v>
      </c>
      <c r="AD1336">
        <v>21</v>
      </c>
      <c r="AE1336">
        <v>91</v>
      </c>
      <c r="AF1336">
        <v>-313.63</v>
      </c>
      <c r="AG1336">
        <v>12.34</v>
      </c>
      <c r="AH1336">
        <v>0.19</v>
      </c>
      <c r="AI1336">
        <v>0.43</v>
      </c>
      <c r="AJ1336">
        <v>0.19</v>
      </c>
      <c r="AK1336">
        <v>77</v>
      </c>
      <c r="AL1336">
        <v>49</v>
      </c>
      <c r="AM1336">
        <v>21</v>
      </c>
      <c r="AN1336">
        <v>-0.35</v>
      </c>
      <c r="AO1336">
        <v>1.73</v>
      </c>
      <c r="AP1336">
        <v>44</v>
      </c>
      <c r="AQ1336">
        <v>1</v>
      </c>
      <c r="AR1336">
        <v>3.24</v>
      </c>
      <c r="AS1336">
        <v>67</v>
      </c>
      <c r="AT1336">
        <v>1.71</v>
      </c>
      <c r="AU1336">
        <v>52</v>
      </c>
      <c r="AV1336">
        <v>-1.66</v>
      </c>
      <c r="AW1336">
        <v>88</v>
      </c>
      <c r="AX1336">
        <v>-0.02</v>
      </c>
      <c r="AY1336">
        <v>67</v>
      </c>
      <c r="AZ1336">
        <v>6.6</v>
      </c>
      <c r="BA1336">
        <v>43</v>
      </c>
      <c r="BB1336">
        <v>5.4</v>
      </c>
      <c r="BC1336">
        <v>47</v>
      </c>
      <c r="BD1336">
        <v>-0.01</v>
      </c>
      <c r="BE1336">
        <v>0.05</v>
      </c>
      <c r="BF1336">
        <v>0.13</v>
      </c>
      <c r="BG1336">
        <v>69</v>
      </c>
      <c r="BH1336">
        <v>0.02</v>
      </c>
      <c r="BI1336">
        <v>-8.9499999999999993</v>
      </c>
      <c r="BJ1336">
        <v>9</v>
      </c>
      <c r="BK1336">
        <v>3</v>
      </c>
      <c r="BL1336">
        <v>-2.36</v>
      </c>
      <c r="BM1336">
        <v>-3.45</v>
      </c>
      <c r="BN1336">
        <v>-1</v>
      </c>
      <c r="BO1336">
        <v>1.72</v>
      </c>
      <c r="BP1336">
        <v>0.39</v>
      </c>
      <c r="BQ1336">
        <v>-7.93</v>
      </c>
      <c r="BR1336">
        <v>3.94</v>
      </c>
      <c r="BS1336">
        <v>4.7</v>
      </c>
      <c r="BT1336">
        <v>-2.68</v>
      </c>
      <c r="BU1336">
        <v>1.1100000000000001</v>
      </c>
      <c r="BV1336">
        <v>0.79</v>
      </c>
      <c r="BW1336">
        <v>-1.1200000000000001</v>
      </c>
      <c r="BX1336">
        <v>-2.0299999999999998</v>
      </c>
      <c r="BY1336">
        <v>0.91</v>
      </c>
      <c r="BZ1336">
        <v>0.04</v>
      </c>
      <c r="CA1336">
        <v>1.74</v>
      </c>
      <c r="CB1336">
        <v>0.93</v>
      </c>
      <c r="CC1336">
        <v>2.58</v>
      </c>
      <c r="CD1336">
        <v>-3.04</v>
      </c>
      <c r="CE1336">
        <v>1.1599999999999999</v>
      </c>
      <c r="CF1336">
        <v>-3.49</v>
      </c>
      <c r="CG1336">
        <v>0</v>
      </c>
      <c r="CH1336">
        <v>-0.23</v>
      </c>
      <c r="CI1336">
        <v>0</v>
      </c>
      <c r="CJ1336">
        <v>-28.4</v>
      </c>
      <c r="CK1336">
        <v>86</v>
      </c>
      <c r="CL1336">
        <v>-1.0900000000000001</v>
      </c>
      <c r="CM1336">
        <v>83</v>
      </c>
      <c r="CN1336">
        <v>-0.17</v>
      </c>
      <c r="CO1336">
        <v>81</v>
      </c>
      <c r="CP1336">
        <v>-57.1</v>
      </c>
      <c r="CQ1336">
        <v>80</v>
      </c>
      <c r="CR1336">
        <v>0</v>
      </c>
      <c r="CS1336">
        <v>0</v>
      </c>
      <c r="CT1336">
        <v>-80.599999999999994</v>
      </c>
      <c r="CU1336">
        <v>81</v>
      </c>
      <c r="CV1336">
        <v>-0.27</v>
      </c>
      <c r="CW1336">
        <v>24</v>
      </c>
      <c r="CX1336" t="s">
        <v>1051</v>
      </c>
    </row>
    <row r="1337" spans="1:102" x14ac:dyDescent="0.3">
      <c r="A1337" t="str">
        <f>HYPERLINK("https://webapp.icbf.com/v2/app/bull-search/view/614839905","OPM")</f>
        <v>OPM</v>
      </c>
      <c r="B1337" t="s">
        <v>7081</v>
      </c>
      <c r="C1337" t="s">
        <v>7082</v>
      </c>
      <c r="D1337" s="1">
        <v>38544</v>
      </c>
      <c r="E1337" t="s">
        <v>227</v>
      </c>
      <c r="F1337">
        <v>38</v>
      </c>
      <c r="G1337" t="s">
        <v>93</v>
      </c>
      <c r="H1337">
        <v>118.09</v>
      </c>
      <c r="I1337">
        <v>94</v>
      </c>
      <c r="J1337">
        <v>45.23</v>
      </c>
      <c r="K1337">
        <v>99</v>
      </c>
      <c r="L1337">
        <v>13.07</v>
      </c>
      <c r="M1337">
        <v>89</v>
      </c>
      <c r="N1337">
        <v>45.04</v>
      </c>
      <c r="O1337">
        <v>94</v>
      </c>
      <c r="P1337">
        <v>-43.25</v>
      </c>
      <c r="Q1337">
        <v>96</v>
      </c>
      <c r="R1337">
        <v>-0.78</v>
      </c>
      <c r="S1337">
        <v>89</v>
      </c>
      <c r="T1337">
        <v>53.12</v>
      </c>
      <c r="U1337">
        <v>95</v>
      </c>
      <c r="V1337">
        <v>5.66</v>
      </c>
      <c r="W1337">
        <v>92</v>
      </c>
      <c r="X1337" t="s">
        <v>276</v>
      </c>
      <c r="Y1337" t="s">
        <v>1524</v>
      </c>
      <c r="Z1337">
        <v>0</v>
      </c>
      <c r="AA1337" t="s">
        <v>1525</v>
      </c>
      <c r="AB1337" t="s">
        <v>144</v>
      </c>
      <c r="AC1337">
        <v>317</v>
      </c>
      <c r="AD1337">
        <v>123</v>
      </c>
      <c r="AE1337">
        <v>99</v>
      </c>
      <c r="AF1337">
        <v>-61.57</v>
      </c>
      <c r="AG1337">
        <v>8.99</v>
      </c>
      <c r="AH1337">
        <v>3.57</v>
      </c>
      <c r="AI1337">
        <v>0.2</v>
      </c>
      <c r="AJ1337">
        <v>0.1</v>
      </c>
      <c r="AK1337">
        <v>89</v>
      </c>
      <c r="AL1337">
        <v>317</v>
      </c>
      <c r="AM1337">
        <v>131</v>
      </c>
      <c r="AN1337">
        <v>-0.14000000000000001</v>
      </c>
      <c r="AO1337">
        <v>0.91</v>
      </c>
      <c r="AP1337">
        <v>555</v>
      </c>
      <c r="AQ1337">
        <v>8</v>
      </c>
      <c r="AR1337">
        <v>3.84</v>
      </c>
      <c r="AS1337">
        <v>92</v>
      </c>
      <c r="AT1337">
        <v>1.46</v>
      </c>
      <c r="AU1337">
        <v>93</v>
      </c>
      <c r="AV1337">
        <v>-3.51</v>
      </c>
      <c r="AW1337">
        <v>99</v>
      </c>
      <c r="AX1337">
        <v>0.32</v>
      </c>
      <c r="AY1337">
        <v>93</v>
      </c>
      <c r="AZ1337">
        <v>6.5</v>
      </c>
      <c r="BA1337">
        <v>82</v>
      </c>
      <c r="BB1337">
        <v>5.26</v>
      </c>
      <c r="BC1337">
        <v>84</v>
      </c>
      <c r="BD1337">
        <v>-0.03</v>
      </c>
      <c r="BE1337">
        <v>0.02</v>
      </c>
      <c r="BF1337">
        <v>0.03</v>
      </c>
      <c r="BG1337">
        <v>95</v>
      </c>
      <c r="BH1337">
        <v>0.02</v>
      </c>
      <c r="BI1337">
        <v>-15.95</v>
      </c>
      <c r="BJ1337">
        <v>30</v>
      </c>
      <c r="BK1337">
        <v>15</v>
      </c>
      <c r="BL1337">
        <v>-2.74</v>
      </c>
      <c r="BM1337">
        <v>-1.68</v>
      </c>
      <c r="BN1337">
        <v>-0.87</v>
      </c>
      <c r="BO1337">
        <v>0.34</v>
      </c>
      <c r="BP1337">
        <v>1.03</v>
      </c>
      <c r="BQ1337">
        <v>-6.45</v>
      </c>
      <c r="BR1337">
        <v>4.45</v>
      </c>
      <c r="BS1337">
        <v>1.37</v>
      </c>
      <c r="BT1337">
        <v>-3.4</v>
      </c>
      <c r="BU1337">
        <v>-1.28</v>
      </c>
      <c r="BV1337">
        <v>-0.51</v>
      </c>
      <c r="BW1337">
        <v>-1.75</v>
      </c>
      <c r="BX1337">
        <v>-3.75</v>
      </c>
      <c r="BY1337">
        <v>-0.04</v>
      </c>
      <c r="BZ1337">
        <v>-0.18</v>
      </c>
      <c r="CA1337">
        <v>-0.5</v>
      </c>
      <c r="CB1337">
        <v>-0.52</v>
      </c>
      <c r="CC1337">
        <v>-0.17</v>
      </c>
      <c r="CD1337">
        <v>-2.12</v>
      </c>
      <c r="CE1337">
        <v>0.25</v>
      </c>
      <c r="CF1337">
        <v>-3.68</v>
      </c>
      <c r="CG1337">
        <v>0</v>
      </c>
      <c r="CH1337">
        <v>-0.72</v>
      </c>
      <c r="CI1337">
        <v>0</v>
      </c>
      <c r="CJ1337">
        <v>-23.5</v>
      </c>
      <c r="CK1337">
        <v>97</v>
      </c>
      <c r="CL1337">
        <v>-0.77</v>
      </c>
      <c r="CM1337">
        <v>96</v>
      </c>
      <c r="CN1337">
        <v>-0.25</v>
      </c>
      <c r="CO1337">
        <v>96</v>
      </c>
      <c r="CP1337">
        <v>-38.700000000000003</v>
      </c>
      <c r="CQ1337">
        <v>94</v>
      </c>
      <c r="CR1337">
        <v>0</v>
      </c>
      <c r="CS1337">
        <v>0</v>
      </c>
      <c r="CT1337">
        <v>-58</v>
      </c>
      <c r="CU1337">
        <v>95</v>
      </c>
      <c r="CV1337">
        <v>-0.27</v>
      </c>
      <c r="CW1337">
        <v>46</v>
      </c>
      <c r="CX1337" t="s">
        <v>792</v>
      </c>
    </row>
    <row r="1338" spans="1:102" x14ac:dyDescent="0.3">
      <c r="A1338" t="str">
        <f>HYPERLINK("https://webapp.icbf.com/v2/app/bull-search/view/558500728","BYW")</f>
        <v>BYW</v>
      </c>
      <c r="B1338" t="s">
        <v>12493</v>
      </c>
      <c r="C1338" t="s">
        <v>12494</v>
      </c>
      <c r="D1338" s="1">
        <v>39491</v>
      </c>
      <c r="E1338" t="s">
        <v>227</v>
      </c>
      <c r="F1338">
        <v>0</v>
      </c>
      <c r="G1338" t="s">
        <v>93</v>
      </c>
      <c r="H1338">
        <v>118.03</v>
      </c>
      <c r="I1338">
        <v>85</v>
      </c>
      <c r="J1338">
        <v>23.98</v>
      </c>
      <c r="K1338">
        <v>96</v>
      </c>
      <c r="L1338">
        <v>52.38</v>
      </c>
      <c r="M1338">
        <v>77</v>
      </c>
      <c r="N1338">
        <v>28.55</v>
      </c>
      <c r="O1338">
        <v>83</v>
      </c>
      <c r="P1338">
        <v>-57.3</v>
      </c>
      <c r="Q1338">
        <v>88</v>
      </c>
      <c r="R1338">
        <v>10.119999999999999</v>
      </c>
      <c r="S1338">
        <v>77</v>
      </c>
      <c r="T1338">
        <v>57.93</v>
      </c>
      <c r="U1338">
        <v>79</v>
      </c>
      <c r="V1338">
        <v>2.37</v>
      </c>
      <c r="W1338">
        <v>78</v>
      </c>
      <c r="X1338" t="s">
        <v>94</v>
      </c>
      <c r="Y1338" t="s">
        <v>241</v>
      </c>
      <c r="Z1338">
        <v>0</v>
      </c>
      <c r="AA1338" t="s">
        <v>4853</v>
      </c>
      <c r="AB1338" t="s">
        <v>12495</v>
      </c>
      <c r="AC1338">
        <v>50</v>
      </c>
      <c r="AD1338">
        <v>42</v>
      </c>
      <c r="AE1338">
        <v>96</v>
      </c>
      <c r="AF1338">
        <v>-362.14</v>
      </c>
      <c r="AG1338">
        <v>4.37</v>
      </c>
      <c r="AH1338">
        <v>-3.01</v>
      </c>
      <c r="AI1338">
        <v>0.34</v>
      </c>
      <c r="AJ1338">
        <v>0.17</v>
      </c>
      <c r="AK1338">
        <v>77</v>
      </c>
      <c r="AL1338">
        <v>62</v>
      </c>
      <c r="AM1338">
        <v>47</v>
      </c>
      <c r="AN1338">
        <v>-1.86</v>
      </c>
      <c r="AO1338">
        <v>2.33</v>
      </c>
      <c r="AP1338">
        <v>97</v>
      </c>
      <c r="AQ1338">
        <v>1</v>
      </c>
      <c r="AR1338">
        <v>2.4</v>
      </c>
      <c r="AS1338">
        <v>76</v>
      </c>
      <c r="AT1338">
        <v>1.55</v>
      </c>
      <c r="AU1338">
        <v>81</v>
      </c>
      <c r="AV1338">
        <v>-1.27</v>
      </c>
      <c r="AW1338">
        <v>94</v>
      </c>
      <c r="AX1338">
        <v>0.73</v>
      </c>
      <c r="AY1338">
        <v>75</v>
      </c>
      <c r="AZ1338">
        <v>7.06</v>
      </c>
      <c r="BA1338">
        <v>63</v>
      </c>
      <c r="BB1338">
        <v>4.97</v>
      </c>
      <c r="BC1338">
        <v>67</v>
      </c>
      <c r="BD1338">
        <v>-0.1</v>
      </c>
      <c r="BE1338">
        <v>-0.04</v>
      </c>
      <c r="BF1338">
        <v>0.01</v>
      </c>
      <c r="BG1338">
        <v>86</v>
      </c>
      <c r="BH1338">
        <v>-0.11</v>
      </c>
      <c r="BI1338">
        <v>-20.36</v>
      </c>
      <c r="BJ1338">
        <v>20</v>
      </c>
      <c r="BK1338">
        <v>12</v>
      </c>
      <c r="BL1338">
        <v>-1.71</v>
      </c>
      <c r="BM1338">
        <v>-2.5299999999999998</v>
      </c>
      <c r="BN1338">
        <v>-0.22</v>
      </c>
      <c r="BO1338">
        <v>1.78</v>
      </c>
      <c r="BP1338">
        <v>1.51</v>
      </c>
      <c r="BQ1338">
        <v>-5.8</v>
      </c>
      <c r="BR1338">
        <v>2.85</v>
      </c>
      <c r="BS1338">
        <v>4.4400000000000004</v>
      </c>
      <c r="BT1338">
        <v>-2.4</v>
      </c>
      <c r="BU1338">
        <v>-0.19</v>
      </c>
      <c r="BV1338">
        <v>0.22</v>
      </c>
      <c r="BW1338">
        <v>-1.5</v>
      </c>
      <c r="BX1338">
        <v>-3.45</v>
      </c>
      <c r="BY1338">
        <v>-0.22</v>
      </c>
      <c r="BZ1338">
        <v>0.12</v>
      </c>
      <c r="CA1338">
        <v>1.17</v>
      </c>
      <c r="CB1338">
        <v>0.41</v>
      </c>
      <c r="CC1338">
        <v>2.3199999999999998</v>
      </c>
      <c r="CD1338">
        <v>-2.0299999999999998</v>
      </c>
      <c r="CE1338">
        <v>1.32</v>
      </c>
      <c r="CF1338">
        <v>-1.94</v>
      </c>
      <c r="CG1338">
        <v>0</v>
      </c>
      <c r="CH1338">
        <v>-1.23</v>
      </c>
      <c r="CI1338">
        <v>0</v>
      </c>
      <c r="CJ1338">
        <v>-28.3</v>
      </c>
      <c r="CK1338">
        <v>90</v>
      </c>
      <c r="CL1338">
        <v>-1.19</v>
      </c>
      <c r="CM1338">
        <v>88</v>
      </c>
      <c r="CN1338">
        <v>-0.15</v>
      </c>
      <c r="CO1338">
        <v>87</v>
      </c>
      <c r="CP1338">
        <v>-51.5</v>
      </c>
      <c r="CQ1338">
        <v>79</v>
      </c>
      <c r="CR1338">
        <v>0</v>
      </c>
      <c r="CS1338">
        <v>0</v>
      </c>
      <c r="CT1338">
        <v>-64.5</v>
      </c>
      <c r="CU1338">
        <v>79</v>
      </c>
      <c r="CV1338">
        <v>-0.22</v>
      </c>
      <c r="CW1338">
        <v>44</v>
      </c>
      <c r="CX1338" t="s">
        <v>787</v>
      </c>
    </row>
    <row r="1339" spans="1:102" x14ac:dyDescent="0.3">
      <c r="A1339" t="str">
        <f>HYPERLINK("https://webapp.icbf.com/v2/app/bull-search/view/1712867483","JE4762")</f>
        <v>JE4762</v>
      </c>
      <c r="B1339" t="s">
        <v>14044</v>
      </c>
      <c r="C1339" t="s">
        <v>14045</v>
      </c>
      <c r="D1339" s="1">
        <v>42855</v>
      </c>
      <c r="E1339" t="s">
        <v>227</v>
      </c>
      <c r="F1339">
        <v>0</v>
      </c>
      <c r="G1339" t="s">
        <v>435</v>
      </c>
      <c r="H1339">
        <v>117.98</v>
      </c>
      <c r="I1339">
        <v>61</v>
      </c>
      <c r="J1339">
        <v>43.75</v>
      </c>
      <c r="K1339">
        <v>78</v>
      </c>
      <c r="L1339">
        <v>56.22</v>
      </c>
      <c r="M1339">
        <v>60</v>
      </c>
      <c r="N1339">
        <v>-6.05</v>
      </c>
      <c r="O1339">
        <v>54</v>
      </c>
      <c r="P1339">
        <v>-72.8</v>
      </c>
      <c r="Q1339">
        <v>32</v>
      </c>
      <c r="R1339">
        <v>13.8</v>
      </c>
      <c r="S1339">
        <v>56</v>
      </c>
      <c r="T1339">
        <v>81.239999999999995</v>
      </c>
      <c r="U1339">
        <v>32</v>
      </c>
      <c r="V1339">
        <v>1.82</v>
      </c>
      <c r="W1339">
        <v>55</v>
      </c>
      <c r="X1339" t="s">
        <v>94</v>
      </c>
      <c r="Y1339" t="s">
        <v>2384</v>
      </c>
      <c r="Z1339">
        <v>0</v>
      </c>
      <c r="AA1339" t="s">
        <v>14046</v>
      </c>
      <c r="AB1339" t="s">
        <v>144</v>
      </c>
      <c r="AC1339">
        <v>0</v>
      </c>
      <c r="AD1339">
        <v>0</v>
      </c>
      <c r="AE1339">
        <v>78</v>
      </c>
      <c r="AF1339">
        <v>-719.65</v>
      </c>
      <c r="AG1339">
        <v>13.16</v>
      </c>
      <c r="AH1339">
        <v>-8.23</v>
      </c>
      <c r="AI1339">
        <v>0.81</v>
      </c>
      <c r="AJ1339">
        <v>0.32</v>
      </c>
      <c r="AK1339">
        <v>60</v>
      </c>
      <c r="AL1339">
        <v>0</v>
      </c>
      <c r="AM1339">
        <v>0</v>
      </c>
      <c r="AN1339">
        <v>-0.22</v>
      </c>
      <c r="AO1339">
        <v>4.3</v>
      </c>
      <c r="AP1339">
        <v>16</v>
      </c>
      <c r="AQ1339">
        <v>0</v>
      </c>
      <c r="AR1339">
        <v>4.76</v>
      </c>
      <c r="AS1339">
        <v>52</v>
      </c>
      <c r="AT1339">
        <v>1.76</v>
      </c>
      <c r="AU1339">
        <v>51</v>
      </c>
      <c r="AV1339">
        <v>0.35</v>
      </c>
      <c r="AW1339">
        <v>68</v>
      </c>
      <c r="AX1339">
        <v>6.98</v>
      </c>
      <c r="AY1339">
        <v>39</v>
      </c>
      <c r="AZ1339">
        <v>6.56</v>
      </c>
      <c r="BA1339">
        <v>35</v>
      </c>
      <c r="BB1339">
        <v>5.27</v>
      </c>
      <c r="BC1339">
        <v>35</v>
      </c>
      <c r="BD1339">
        <v>-0.11</v>
      </c>
      <c r="BE1339">
        <v>-0.06</v>
      </c>
      <c r="BF1339">
        <v>-0.02</v>
      </c>
      <c r="BG1339">
        <v>61</v>
      </c>
      <c r="BH1339">
        <v>-0.02</v>
      </c>
      <c r="BI1339">
        <v>-8.19</v>
      </c>
      <c r="BJ1339">
        <v>0</v>
      </c>
      <c r="BK1339">
        <v>0</v>
      </c>
      <c r="BL1339">
        <v>-1.29</v>
      </c>
      <c r="BM1339">
        <v>-1.7</v>
      </c>
      <c r="BN1339">
        <v>-0.25</v>
      </c>
      <c r="BO1339">
        <v>1.41</v>
      </c>
      <c r="BP1339">
        <v>0.06</v>
      </c>
      <c r="BQ1339">
        <v>-5.25</v>
      </c>
      <c r="BR1339">
        <v>2.4700000000000002</v>
      </c>
      <c r="BS1339">
        <v>6.31</v>
      </c>
      <c r="BT1339">
        <v>-1.33</v>
      </c>
      <c r="BU1339">
        <v>0.65</v>
      </c>
      <c r="BV1339">
        <v>0.66</v>
      </c>
      <c r="BW1339">
        <v>-1.37</v>
      </c>
      <c r="BX1339">
        <v>-2.09</v>
      </c>
      <c r="BY1339">
        <v>0.18</v>
      </c>
      <c r="BZ1339">
        <v>7.0000000000000007E-2</v>
      </c>
      <c r="CA1339">
        <v>2.13</v>
      </c>
      <c r="CB1339">
        <v>0.74</v>
      </c>
      <c r="CC1339">
        <v>3.95</v>
      </c>
      <c r="CD1339">
        <v>-2.2000000000000002</v>
      </c>
      <c r="CE1339">
        <v>1.37</v>
      </c>
      <c r="CF1339">
        <v>-1.31</v>
      </c>
      <c r="CG1339">
        <v>0</v>
      </c>
      <c r="CH1339">
        <v>-0.65</v>
      </c>
      <c r="CI1339">
        <v>0</v>
      </c>
      <c r="CJ1339">
        <v>-41.2</v>
      </c>
      <c r="CK1339">
        <v>32</v>
      </c>
      <c r="CL1339">
        <v>-1.1599999999999999</v>
      </c>
      <c r="CM1339">
        <v>32</v>
      </c>
      <c r="CN1339">
        <v>-0.36</v>
      </c>
      <c r="CO1339">
        <v>32</v>
      </c>
      <c r="CP1339">
        <v>-54.6</v>
      </c>
      <c r="CQ1339">
        <v>32</v>
      </c>
      <c r="CR1339">
        <v>0</v>
      </c>
      <c r="CS1339">
        <v>0</v>
      </c>
      <c r="CT1339">
        <v>-96</v>
      </c>
      <c r="CU1339">
        <v>32</v>
      </c>
      <c r="CV1339">
        <v>-0.27</v>
      </c>
      <c r="CW1339">
        <v>31</v>
      </c>
      <c r="CX1339" t="s">
        <v>14047</v>
      </c>
    </row>
    <row r="1340" spans="1:102" x14ac:dyDescent="0.3">
      <c r="A1340" t="str">
        <f>HYPERLINK("https://webapp.icbf.com/v2/app/bull-search/view/1511412877","F355")</f>
        <v>F355</v>
      </c>
      <c r="B1340" t="s">
        <v>2408</v>
      </c>
      <c r="C1340" t="s">
        <v>2409</v>
      </c>
      <c r="D1340" s="1">
        <v>42664</v>
      </c>
      <c r="E1340" t="s">
        <v>108</v>
      </c>
      <c r="F1340">
        <v>0</v>
      </c>
      <c r="G1340" t="s">
        <v>435</v>
      </c>
      <c r="H1340">
        <v>117.84</v>
      </c>
      <c r="I1340">
        <v>61</v>
      </c>
      <c r="J1340">
        <v>-7.82</v>
      </c>
      <c r="K1340">
        <v>78</v>
      </c>
      <c r="L1340">
        <v>74.38</v>
      </c>
      <c r="M1340">
        <v>55</v>
      </c>
      <c r="N1340">
        <v>33.58</v>
      </c>
      <c r="O1340">
        <v>59</v>
      </c>
      <c r="P1340">
        <v>-9.4</v>
      </c>
      <c r="Q1340">
        <v>44</v>
      </c>
      <c r="R1340">
        <v>9.83</v>
      </c>
      <c r="S1340">
        <v>54</v>
      </c>
      <c r="T1340">
        <v>20.93</v>
      </c>
      <c r="U1340">
        <v>43</v>
      </c>
      <c r="V1340">
        <v>-3.66</v>
      </c>
      <c r="W1340">
        <v>49</v>
      </c>
      <c r="X1340" t="s">
        <v>110</v>
      </c>
      <c r="Y1340" t="s">
        <v>2410</v>
      </c>
      <c r="Z1340" t="s">
        <v>96</v>
      </c>
      <c r="AA1340" t="s">
        <v>2411</v>
      </c>
      <c r="AB1340" t="s">
        <v>2412</v>
      </c>
      <c r="AC1340">
        <v>0</v>
      </c>
      <c r="AD1340">
        <v>0</v>
      </c>
      <c r="AE1340">
        <v>78</v>
      </c>
      <c r="AF1340">
        <v>-141.99</v>
      </c>
      <c r="AG1340">
        <v>1.83</v>
      </c>
      <c r="AH1340">
        <v>-4.1500000000000004</v>
      </c>
      <c r="AI1340">
        <v>0.13</v>
      </c>
      <c r="AJ1340">
        <v>0.02</v>
      </c>
      <c r="AK1340">
        <v>55</v>
      </c>
      <c r="AL1340">
        <v>0</v>
      </c>
      <c r="AM1340">
        <v>0</v>
      </c>
      <c r="AN1340">
        <v>-4.9800000000000004</v>
      </c>
      <c r="AO1340">
        <v>0.94</v>
      </c>
      <c r="AP1340">
        <v>23</v>
      </c>
      <c r="AQ1340">
        <v>0</v>
      </c>
      <c r="AR1340">
        <v>7.23</v>
      </c>
      <c r="AS1340">
        <v>48</v>
      </c>
      <c r="AT1340">
        <v>2.54</v>
      </c>
      <c r="AU1340">
        <v>63</v>
      </c>
      <c r="AV1340">
        <v>-3.29</v>
      </c>
      <c r="AW1340">
        <v>71</v>
      </c>
      <c r="AX1340">
        <v>-0.47</v>
      </c>
      <c r="AY1340">
        <v>51</v>
      </c>
      <c r="AZ1340">
        <v>6.85</v>
      </c>
      <c r="BA1340">
        <v>37</v>
      </c>
      <c r="BB1340">
        <v>4.78</v>
      </c>
      <c r="BC1340">
        <v>34</v>
      </c>
      <c r="BD1340">
        <v>-0.03</v>
      </c>
      <c r="BE1340">
        <v>-0.04</v>
      </c>
      <c r="BF1340">
        <v>-0.1</v>
      </c>
      <c r="BG1340">
        <v>62</v>
      </c>
      <c r="BH1340">
        <v>-0.1</v>
      </c>
      <c r="BI1340">
        <v>0.25</v>
      </c>
      <c r="BJ1340">
        <v>0</v>
      </c>
      <c r="BK1340">
        <v>0</v>
      </c>
      <c r="BL1340">
        <v>-3.04</v>
      </c>
      <c r="BM1340">
        <v>2.5499999999999998</v>
      </c>
      <c r="BN1340">
        <v>-0.83</v>
      </c>
      <c r="BO1340">
        <v>-2.41</v>
      </c>
      <c r="BP1340">
        <v>0.83</v>
      </c>
      <c r="BQ1340">
        <v>1.1299999999999999</v>
      </c>
      <c r="BR1340">
        <v>-1.08</v>
      </c>
      <c r="BS1340">
        <v>1.18</v>
      </c>
      <c r="BT1340">
        <v>0.7</v>
      </c>
      <c r="BU1340">
        <v>-2.27</v>
      </c>
      <c r="BV1340">
        <v>-2.4</v>
      </c>
      <c r="BW1340">
        <v>-2.0299999999999998</v>
      </c>
      <c r="BX1340">
        <v>-1.58</v>
      </c>
      <c r="BY1340">
        <v>-1.58</v>
      </c>
      <c r="BZ1340">
        <v>0.56999999999999995</v>
      </c>
      <c r="CA1340">
        <v>-1.52</v>
      </c>
      <c r="CB1340">
        <v>-2.2000000000000002</v>
      </c>
      <c r="CC1340">
        <v>0.24</v>
      </c>
      <c r="CD1340">
        <v>2.41</v>
      </c>
      <c r="CE1340">
        <v>-2.0699999999999998</v>
      </c>
      <c r="CF1340">
        <v>-1.75</v>
      </c>
      <c r="CG1340">
        <v>0</v>
      </c>
      <c r="CH1340">
        <v>-1.44</v>
      </c>
      <c r="CI1340">
        <v>0</v>
      </c>
      <c r="CJ1340">
        <v>-4.5</v>
      </c>
      <c r="CK1340">
        <v>45</v>
      </c>
      <c r="CL1340">
        <v>-0.22</v>
      </c>
      <c r="CM1340">
        <v>44</v>
      </c>
      <c r="CN1340">
        <v>-0.03</v>
      </c>
      <c r="CO1340">
        <v>44</v>
      </c>
      <c r="CP1340">
        <v>-8.5</v>
      </c>
      <c r="CQ1340">
        <v>43</v>
      </c>
      <c r="CR1340">
        <v>0</v>
      </c>
      <c r="CS1340">
        <v>0</v>
      </c>
      <c r="CT1340">
        <v>-14.5</v>
      </c>
      <c r="CU1340">
        <v>43</v>
      </c>
      <c r="CV1340">
        <v>0.01</v>
      </c>
      <c r="CW1340">
        <v>34</v>
      </c>
      <c r="CX1340" t="s">
        <v>2413</v>
      </c>
    </row>
    <row r="1341" spans="1:102" x14ac:dyDescent="0.3">
      <c r="A1341" t="str">
        <f>HYPERLINK("https://webapp.icbf.com/v2/app/bull-search/view/399815530","MXR")</f>
        <v>MXR</v>
      </c>
      <c r="B1341" t="s">
        <v>11866</v>
      </c>
      <c r="C1341" t="s">
        <v>11867</v>
      </c>
      <c r="D1341" s="1">
        <v>38418</v>
      </c>
      <c r="E1341" t="s">
        <v>108</v>
      </c>
      <c r="F1341">
        <v>47</v>
      </c>
      <c r="G1341" t="s">
        <v>93</v>
      </c>
      <c r="H1341">
        <v>117.83</v>
      </c>
      <c r="I1341">
        <v>89</v>
      </c>
      <c r="J1341">
        <v>32.86</v>
      </c>
      <c r="K1341">
        <v>97</v>
      </c>
      <c r="L1341">
        <v>79.59</v>
      </c>
      <c r="M1341">
        <v>81</v>
      </c>
      <c r="N1341">
        <v>11.94</v>
      </c>
      <c r="O1341">
        <v>88</v>
      </c>
      <c r="P1341">
        <v>-20.440000000000001</v>
      </c>
      <c r="Q1341">
        <v>92</v>
      </c>
      <c r="R1341">
        <v>-3.44</v>
      </c>
      <c r="S1341">
        <v>84</v>
      </c>
      <c r="T1341">
        <v>20.41</v>
      </c>
      <c r="U1341">
        <v>91</v>
      </c>
      <c r="V1341">
        <v>-3.09</v>
      </c>
      <c r="W1341">
        <v>85</v>
      </c>
      <c r="X1341" t="s">
        <v>94</v>
      </c>
      <c r="Y1341" t="s">
        <v>1164</v>
      </c>
      <c r="Z1341" t="s">
        <v>96</v>
      </c>
      <c r="AA1341" t="s">
        <v>792</v>
      </c>
      <c r="AB1341" t="s">
        <v>11862</v>
      </c>
      <c r="AC1341">
        <v>87</v>
      </c>
      <c r="AD1341">
        <v>65</v>
      </c>
      <c r="AE1341">
        <v>97</v>
      </c>
      <c r="AF1341">
        <v>190.14</v>
      </c>
      <c r="AG1341">
        <v>6.5</v>
      </c>
      <c r="AH1341">
        <v>6.2</v>
      </c>
      <c r="AI1341">
        <v>-0.02</v>
      </c>
      <c r="AJ1341">
        <v>0</v>
      </c>
      <c r="AK1341">
        <v>81</v>
      </c>
      <c r="AL1341">
        <v>95</v>
      </c>
      <c r="AM1341">
        <v>69</v>
      </c>
      <c r="AN1341">
        <v>-4.13</v>
      </c>
      <c r="AO1341">
        <v>2.2200000000000002</v>
      </c>
      <c r="AP1341">
        <v>225</v>
      </c>
      <c r="AQ1341">
        <v>2</v>
      </c>
      <c r="AR1341">
        <v>8.23</v>
      </c>
      <c r="AS1341">
        <v>76</v>
      </c>
      <c r="AT1341">
        <v>2.83</v>
      </c>
      <c r="AU1341">
        <v>89</v>
      </c>
      <c r="AV1341">
        <v>-2.11</v>
      </c>
      <c r="AW1341">
        <v>96</v>
      </c>
      <c r="AX1341">
        <v>0.64</v>
      </c>
      <c r="AY1341">
        <v>84</v>
      </c>
      <c r="AZ1341">
        <v>6.57</v>
      </c>
      <c r="BA1341">
        <v>71</v>
      </c>
      <c r="BB1341">
        <v>5.75</v>
      </c>
      <c r="BC1341">
        <v>72</v>
      </c>
      <c r="BD1341">
        <v>0</v>
      </c>
      <c r="BE1341">
        <v>0.01</v>
      </c>
      <c r="BF1341">
        <v>0.06</v>
      </c>
      <c r="BG1341">
        <v>90</v>
      </c>
      <c r="BH1341">
        <v>0.03</v>
      </c>
      <c r="BI1341">
        <v>13.45</v>
      </c>
      <c r="BJ1341">
        <v>27</v>
      </c>
      <c r="BK1341">
        <v>24</v>
      </c>
      <c r="BL1341">
        <v>-1.88</v>
      </c>
      <c r="BM1341">
        <v>1.38</v>
      </c>
      <c r="BN1341">
        <v>0</v>
      </c>
      <c r="BO1341">
        <v>-1.44</v>
      </c>
      <c r="BP1341">
        <v>0.3</v>
      </c>
      <c r="BQ1341">
        <v>-2.3199999999999998</v>
      </c>
      <c r="BR1341">
        <v>1.87</v>
      </c>
      <c r="BS1341">
        <v>-0.68</v>
      </c>
      <c r="BT1341">
        <v>-2.88</v>
      </c>
      <c r="BU1341">
        <v>-2.5299999999999998</v>
      </c>
      <c r="BV1341">
        <v>-2.92</v>
      </c>
      <c r="BW1341">
        <v>-2.6</v>
      </c>
      <c r="BX1341">
        <v>-1.95</v>
      </c>
      <c r="BY1341">
        <v>-1.79</v>
      </c>
      <c r="BZ1341">
        <v>2.57</v>
      </c>
      <c r="CA1341">
        <v>-2.68</v>
      </c>
      <c r="CB1341">
        <v>-2.84</v>
      </c>
      <c r="CC1341">
        <v>-1.28</v>
      </c>
      <c r="CD1341">
        <v>1.1499999999999999</v>
      </c>
      <c r="CE1341">
        <v>-1.61</v>
      </c>
      <c r="CF1341">
        <v>-1.35</v>
      </c>
      <c r="CG1341">
        <v>0</v>
      </c>
      <c r="CH1341">
        <v>-2.38</v>
      </c>
      <c r="CI1341">
        <v>0</v>
      </c>
      <c r="CJ1341">
        <v>-10.4</v>
      </c>
      <c r="CK1341">
        <v>93</v>
      </c>
      <c r="CL1341">
        <v>-0.45</v>
      </c>
      <c r="CM1341">
        <v>92</v>
      </c>
      <c r="CN1341">
        <v>-0.13</v>
      </c>
      <c r="CO1341">
        <v>91</v>
      </c>
      <c r="CP1341">
        <v>-19.8</v>
      </c>
      <c r="CQ1341">
        <v>89</v>
      </c>
      <c r="CR1341">
        <v>0</v>
      </c>
      <c r="CS1341">
        <v>0</v>
      </c>
      <c r="CT1341">
        <v>-13.8</v>
      </c>
      <c r="CU1341">
        <v>91</v>
      </c>
      <c r="CV1341">
        <v>0.01</v>
      </c>
      <c r="CW1341">
        <v>46</v>
      </c>
      <c r="CX1341" t="s">
        <v>4480</v>
      </c>
    </row>
    <row r="1342" spans="1:102" x14ac:dyDescent="0.3">
      <c r="A1342" t="str">
        <f>HYPERLINK("https://webapp.icbf.com/v2/app/bull-search/view/586046802","RNM")</f>
        <v>RNM</v>
      </c>
      <c r="B1342" t="s">
        <v>274</v>
      </c>
      <c r="C1342" t="s">
        <v>275</v>
      </c>
      <c r="D1342" s="1">
        <v>38244</v>
      </c>
      <c r="E1342" t="s">
        <v>92</v>
      </c>
      <c r="F1342">
        <v>100</v>
      </c>
      <c r="G1342" t="s">
        <v>93</v>
      </c>
      <c r="H1342">
        <v>117.56</v>
      </c>
      <c r="I1342">
        <v>92</v>
      </c>
      <c r="J1342">
        <v>35.119999999999997</v>
      </c>
      <c r="K1342">
        <v>98</v>
      </c>
      <c r="L1342">
        <v>46.22</v>
      </c>
      <c r="M1342">
        <v>89</v>
      </c>
      <c r="N1342">
        <v>30.97</v>
      </c>
      <c r="O1342">
        <v>91</v>
      </c>
      <c r="P1342">
        <v>-13.07</v>
      </c>
      <c r="Q1342">
        <v>95</v>
      </c>
      <c r="R1342">
        <v>10.119999999999999</v>
      </c>
      <c r="S1342">
        <v>86</v>
      </c>
      <c r="T1342">
        <v>8.1999999999999993</v>
      </c>
      <c r="U1342">
        <v>90</v>
      </c>
      <c r="V1342">
        <v>0</v>
      </c>
      <c r="W1342">
        <v>83</v>
      </c>
      <c r="X1342" t="s">
        <v>276</v>
      </c>
      <c r="Y1342" t="s">
        <v>235</v>
      </c>
      <c r="Z1342" t="s">
        <v>96</v>
      </c>
      <c r="AA1342" t="s">
        <v>277</v>
      </c>
      <c r="AB1342" t="s">
        <v>278</v>
      </c>
      <c r="AC1342">
        <v>222</v>
      </c>
      <c r="AD1342">
        <v>88</v>
      </c>
      <c r="AE1342">
        <v>98</v>
      </c>
      <c r="AF1342">
        <v>18.920000000000002</v>
      </c>
      <c r="AG1342">
        <v>12.67</v>
      </c>
      <c r="AH1342">
        <v>1.78</v>
      </c>
      <c r="AI1342">
        <v>0.21</v>
      </c>
      <c r="AJ1342">
        <v>0.02</v>
      </c>
      <c r="AK1342">
        <v>89</v>
      </c>
      <c r="AL1342">
        <v>235</v>
      </c>
      <c r="AM1342">
        <v>96</v>
      </c>
      <c r="AN1342">
        <v>-2.1800000000000002</v>
      </c>
      <c r="AO1342">
        <v>1.51</v>
      </c>
      <c r="AP1342">
        <v>427</v>
      </c>
      <c r="AQ1342">
        <v>9</v>
      </c>
      <c r="AR1342">
        <v>6.78</v>
      </c>
      <c r="AS1342">
        <v>86</v>
      </c>
      <c r="AT1342">
        <v>2.89</v>
      </c>
      <c r="AU1342">
        <v>93</v>
      </c>
      <c r="AV1342">
        <v>-3.61</v>
      </c>
      <c r="AW1342">
        <v>98</v>
      </c>
      <c r="AX1342">
        <v>-0.33</v>
      </c>
      <c r="AY1342">
        <v>90</v>
      </c>
      <c r="AZ1342">
        <v>6.65</v>
      </c>
      <c r="BA1342">
        <v>78</v>
      </c>
      <c r="BB1342">
        <v>5.46</v>
      </c>
      <c r="BC1342">
        <v>77</v>
      </c>
      <c r="BD1342">
        <v>-0.04</v>
      </c>
      <c r="BE1342">
        <v>-0.04</v>
      </c>
      <c r="BF1342">
        <v>-0.09</v>
      </c>
      <c r="BG1342">
        <v>94</v>
      </c>
      <c r="BH1342">
        <v>-0.01</v>
      </c>
      <c r="BI1342">
        <v>-1.1499999999999999</v>
      </c>
      <c r="BJ1342">
        <v>15</v>
      </c>
      <c r="BK1342">
        <v>11</v>
      </c>
      <c r="BL1342">
        <v>0.25</v>
      </c>
      <c r="BM1342">
        <v>-1.69</v>
      </c>
      <c r="BN1342">
        <v>-1.57</v>
      </c>
      <c r="BO1342">
        <v>0.11</v>
      </c>
      <c r="BP1342">
        <v>-2.77</v>
      </c>
      <c r="BQ1342">
        <v>-1.97</v>
      </c>
      <c r="BR1342">
        <v>-0.85</v>
      </c>
      <c r="BS1342">
        <v>0.44</v>
      </c>
      <c r="BT1342">
        <v>-0.03</v>
      </c>
      <c r="BU1342">
        <v>0.84</v>
      </c>
      <c r="BV1342">
        <v>0.31</v>
      </c>
      <c r="BW1342">
        <v>0.05</v>
      </c>
      <c r="BX1342">
        <v>2.19</v>
      </c>
      <c r="BY1342">
        <v>0.23</v>
      </c>
      <c r="BZ1342">
        <v>-0.8</v>
      </c>
      <c r="CA1342">
        <v>0.55000000000000004</v>
      </c>
      <c r="CB1342">
        <v>0.37</v>
      </c>
      <c r="CC1342">
        <v>-7.0000000000000007E-2</v>
      </c>
      <c r="CD1342">
        <v>-1.1200000000000001</v>
      </c>
      <c r="CE1342">
        <v>-0.41</v>
      </c>
      <c r="CF1342">
        <v>0.02</v>
      </c>
      <c r="CG1342">
        <v>0</v>
      </c>
      <c r="CH1342">
        <v>0.05</v>
      </c>
      <c r="CI1342">
        <v>0</v>
      </c>
      <c r="CJ1342">
        <v>-4.4000000000000004</v>
      </c>
      <c r="CK1342">
        <v>96</v>
      </c>
      <c r="CL1342">
        <v>-0.96</v>
      </c>
      <c r="CM1342">
        <v>95</v>
      </c>
      <c r="CN1342">
        <v>-0.27</v>
      </c>
      <c r="CO1342">
        <v>95</v>
      </c>
      <c r="CP1342">
        <v>-1.7</v>
      </c>
      <c r="CQ1342">
        <v>91</v>
      </c>
      <c r="CR1342">
        <v>0</v>
      </c>
      <c r="CS1342">
        <v>0</v>
      </c>
      <c r="CT1342">
        <v>2.7</v>
      </c>
      <c r="CU1342">
        <v>90</v>
      </c>
      <c r="CV1342">
        <v>0.12</v>
      </c>
      <c r="CW1342">
        <v>45</v>
      </c>
      <c r="CX1342" t="s">
        <v>279</v>
      </c>
    </row>
    <row r="1343" spans="1:102" x14ac:dyDescent="0.3">
      <c r="A1343" t="str">
        <f>HYPERLINK("https://webapp.icbf.com/v2/app/bull-search/view/1129311968","S2008")</f>
        <v>S2008</v>
      </c>
      <c r="B1343" t="s">
        <v>13203</v>
      </c>
      <c r="C1343" t="s">
        <v>13204</v>
      </c>
      <c r="D1343" s="1">
        <v>41009</v>
      </c>
      <c r="E1343" t="s">
        <v>92</v>
      </c>
      <c r="F1343">
        <v>100</v>
      </c>
      <c r="G1343" t="s">
        <v>109</v>
      </c>
      <c r="H1343">
        <v>117.46</v>
      </c>
      <c r="I1343">
        <v>63</v>
      </c>
      <c r="J1343">
        <v>44.37</v>
      </c>
      <c r="K1343">
        <v>80</v>
      </c>
      <c r="L1343">
        <v>50.48</v>
      </c>
      <c r="M1343">
        <v>77</v>
      </c>
      <c r="N1343">
        <v>27.25</v>
      </c>
      <c r="O1343">
        <v>43</v>
      </c>
      <c r="P1343">
        <v>-6</v>
      </c>
      <c r="Q1343">
        <v>29</v>
      </c>
      <c r="R1343">
        <v>4.07</v>
      </c>
      <c r="S1343">
        <v>56</v>
      </c>
      <c r="T1343">
        <v>-5.53</v>
      </c>
      <c r="U1343">
        <v>23</v>
      </c>
      <c r="V1343">
        <v>2.82</v>
      </c>
      <c r="W1343">
        <v>12</v>
      </c>
      <c r="X1343" t="s">
        <v>94</v>
      </c>
      <c r="Y1343" t="s">
        <v>362</v>
      </c>
      <c r="Z1343" t="s">
        <v>96</v>
      </c>
      <c r="AA1343" t="s">
        <v>2000</v>
      </c>
      <c r="AB1343" t="s">
        <v>5711</v>
      </c>
      <c r="AC1343">
        <v>0</v>
      </c>
      <c r="AD1343">
        <v>0</v>
      </c>
      <c r="AE1343">
        <v>80</v>
      </c>
      <c r="AF1343">
        <v>678.98</v>
      </c>
      <c r="AG1343">
        <v>17.239999999999998</v>
      </c>
      <c r="AH1343">
        <v>11.84</v>
      </c>
      <c r="AI1343">
        <v>-0.14000000000000001</v>
      </c>
      <c r="AJ1343">
        <v>-0.17</v>
      </c>
      <c r="AK1343">
        <v>77</v>
      </c>
      <c r="AL1343">
        <v>0</v>
      </c>
      <c r="AM1343">
        <v>0</v>
      </c>
      <c r="AN1343">
        <v>-2.4</v>
      </c>
      <c r="AO1343">
        <v>1.63</v>
      </c>
      <c r="AP1343">
        <v>1</v>
      </c>
      <c r="AQ1343">
        <v>0</v>
      </c>
      <c r="AR1343">
        <v>5.15</v>
      </c>
      <c r="AS1343">
        <v>25</v>
      </c>
      <c r="AT1343">
        <v>1.94</v>
      </c>
      <c r="AU1343">
        <v>87</v>
      </c>
      <c r="AV1343">
        <v>-1.61</v>
      </c>
      <c r="AW1343">
        <v>34</v>
      </c>
      <c r="AX1343">
        <v>0.15</v>
      </c>
      <c r="AY1343">
        <v>27</v>
      </c>
      <c r="AZ1343">
        <v>6.44</v>
      </c>
      <c r="BA1343">
        <v>20</v>
      </c>
      <c r="BB1343">
        <v>4.92</v>
      </c>
      <c r="BC1343">
        <v>15</v>
      </c>
      <c r="BD1343">
        <v>-0.01</v>
      </c>
      <c r="BE1343">
        <v>-0.03</v>
      </c>
      <c r="BF1343">
        <v>-0.02</v>
      </c>
      <c r="BG1343">
        <v>87</v>
      </c>
      <c r="BH1343">
        <v>-0.02</v>
      </c>
      <c r="BI1343">
        <v>-11.42</v>
      </c>
      <c r="BJ1343">
        <v>2</v>
      </c>
      <c r="BK1343">
        <v>2</v>
      </c>
      <c r="BL1343">
        <v>2.77</v>
      </c>
      <c r="BM1343">
        <v>-2.06</v>
      </c>
      <c r="BN1343">
        <v>-0.24</v>
      </c>
      <c r="BO1343">
        <v>1.44</v>
      </c>
      <c r="BP1343">
        <v>2.65</v>
      </c>
      <c r="BQ1343">
        <v>1.86</v>
      </c>
      <c r="BR1343">
        <v>-1.48</v>
      </c>
      <c r="BS1343">
        <v>2.0099999999999998</v>
      </c>
      <c r="BT1343">
        <v>1.1499999999999999</v>
      </c>
      <c r="BU1343">
        <v>2.68</v>
      </c>
      <c r="BV1343">
        <v>3.84</v>
      </c>
      <c r="BW1343">
        <v>2.17</v>
      </c>
      <c r="BX1343">
        <v>3.28</v>
      </c>
      <c r="BY1343">
        <v>0.63</v>
      </c>
      <c r="BZ1343">
        <v>0.82</v>
      </c>
      <c r="CA1343">
        <v>2.8</v>
      </c>
      <c r="CB1343">
        <v>2.4</v>
      </c>
      <c r="CC1343">
        <v>2.1800000000000002</v>
      </c>
      <c r="CD1343">
        <v>-1.18</v>
      </c>
      <c r="CE1343">
        <v>1.28</v>
      </c>
      <c r="CF1343">
        <v>1.6</v>
      </c>
      <c r="CG1343">
        <v>0</v>
      </c>
      <c r="CH1343">
        <v>0.95</v>
      </c>
      <c r="CI1343">
        <v>0</v>
      </c>
      <c r="CJ1343">
        <v>-0.55000000000000004</v>
      </c>
      <c r="CK1343">
        <v>30</v>
      </c>
      <c r="CL1343">
        <v>-1.22</v>
      </c>
      <c r="CM1343">
        <v>30</v>
      </c>
      <c r="CN1343">
        <v>-0.6</v>
      </c>
      <c r="CO1343">
        <v>29</v>
      </c>
      <c r="CP1343">
        <v>2.15</v>
      </c>
      <c r="CQ1343">
        <v>24</v>
      </c>
      <c r="CR1343">
        <v>0</v>
      </c>
      <c r="CS1343">
        <v>0</v>
      </c>
      <c r="CT1343">
        <v>21.25</v>
      </c>
      <c r="CU1343">
        <v>23</v>
      </c>
      <c r="CV1343">
        <v>0.33</v>
      </c>
      <c r="CW1343">
        <v>14</v>
      </c>
      <c r="CX1343" t="s">
        <v>1572</v>
      </c>
    </row>
    <row r="1344" spans="1:102" x14ac:dyDescent="0.3">
      <c r="A1344" t="str">
        <f>HYPERLINK("https://webapp.icbf.com/v2/app/bull-search/view/438233028","HZL")</f>
        <v>HZL</v>
      </c>
      <c r="B1344" t="s">
        <v>8817</v>
      </c>
      <c r="C1344" t="s">
        <v>8818</v>
      </c>
      <c r="D1344" s="1">
        <v>38723</v>
      </c>
      <c r="E1344" t="s">
        <v>92</v>
      </c>
      <c r="F1344">
        <v>91</v>
      </c>
      <c r="G1344" t="s">
        <v>93</v>
      </c>
      <c r="H1344">
        <v>117.44</v>
      </c>
      <c r="I1344">
        <v>97</v>
      </c>
      <c r="J1344">
        <v>-3.6</v>
      </c>
      <c r="K1344">
        <v>99</v>
      </c>
      <c r="L1344">
        <v>60.05</v>
      </c>
      <c r="M1344">
        <v>95</v>
      </c>
      <c r="N1344">
        <v>59.73</v>
      </c>
      <c r="O1344">
        <v>98</v>
      </c>
      <c r="P1344">
        <v>-11.53</v>
      </c>
      <c r="Q1344">
        <v>99</v>
      </c>
      <c r="R1344">
        <v>2.0299999999999998</v>
      </c>
      <c r="S1344">
        <v>97</v>
      </c>
      <c r="T1344">
        <v>15.38</v>
      </c>
      <c r="U1344">
        <v>99</v>
      </c>
      <c r="V1344">
        <v>-4.62</v>
      </c>
      <c r="W1344">
        <v>98</v>
      </c>
      <c r="X1344" t="s">
        <v>94</v>
      </c>
      <c r="Y1344" t="s">
        <v>228</v>
      </c>
      <c r="Z1344" t="s">
        <v>96</v>
      </c>
      <c r="AA1344" t="s">
        <v>1165</v>
      </c>
      <c r="AB1344" t="s">
        <v>8819</v>
      </c>
      <c r="AC1344">
        <v>1752</v>
      </c>
      <c r="AD1344">
        <v>870</v>
      </c>
      <c r="AE1344">
        <v>99</v>
      </c>
      <c r="AF1344">
        <v>-59.78</v>
      </c>
      <c r="AG1344">
        <v>1.79</v>
      </c>
      <c r="AH1344">
        <v>-2.16</v>
      </c>
      <c r="AI1344">
        <v>7.0000000000000007E-2</v>
      </c>
      <c r="AJ1344">
        <v>0</v>
      </c>
      <c r="AK1344">
        <v>95</v>
      </c>
      <c r="AL1344">
        <v>1979</v>
      </c>
      <c r="AM1344">
        <v>1016</v>
      </c>
      <c r="AN1344">
        <v>-3.17</v>
      </c>
      <c r="AO1344">
        <v>1.62</v>
      </c>
      <c r="AP1344">
        <v>3107</v>
      </c>
      <c r="AQ1344">
        <v>18</v>
      </c>
      <c r="AR1344">
        <v>5.54</v>
      </c>
      <c r="AS1344">
        <v>96</v>
      </c>
      <c r="AT1344">
        <v>1.96</v>
      </c>
      <c r="AU1344">
        <v>99</v>
      </c>
      <c r="AV1344">
        <v>-5.47</v>
      </c>
      <c r="AW1344">
        <v>99</v>
      </c>
      <c r="AX1344">
        <v>-0.7</v>
      </c>
      <c r="AY1344">
        <v>99</v>
      </c>
      <c r="AZ1344">
        <v>5.88</v>
      </c>
      <c r="BA1344">
        <v>96</v>
      </c>
      <c r="BB1344">
        <v>4.99</v>
      </c>
      <c r="BC1344">
        <v>96</v>
      </c>
      <c r="BD1344">
        <v>-0.04</v>
      </c>
      <c r="BE1344">
        <v>0</v>
      </c>
      <c r="BF1344">
        <v>0.02</v>
      </c>
      <c r="BG1344">
        <v>99</v>
      </c>
      <c r="BH1344">
        <v>-0.04</v>
      </c>
      <c r="BI1344">
        <v>10.27</v>
      </c>
      <c r="BJ1344">
        <v>77</v>
      </c>
      <c r="BK1344">
        <v>53</v>
      </c>
      <c r="BL1344">
        <v>-0.02</v>
      </c>
      <c r="BM1344">
        <v>-0.76</v>
      </c>
      <c r="BN1344">
        <v>-2.0499999999999998</v>
      </c>
      <c r="BO1344">
        <v>-0.8</v>
      </c>
      <c r="BP1344">
        <v>2.42</v>
      </c>
      <c r="BQ1344">
        <v>-0.91</v>
      </c>
      <c r="BR1344">
        <v>-0.02</v>
      </c>
      <c r="BS1344">
        <v>-2.57</v>
      </c>
      <c r="BT1344">
        <v>-0.42</v>
      </c>
      <c r="BU1344">
        <v>-0.51</v>
      </c>
      <c r="BV1344">
        <v>0.14000000000000001</v>
      </c>
      <c r="BW1344">
        <v>-1.35</v>
      </c>
      <c r="BX1344">
        <v>0.06</v>
      </c>
      <c r="BY1344">
        <v>-0.42</v>
      </c>
      <c r="BZ1344">
        <v>-0.9</v>
      </c>
      <c r="CA1344">
        <v>-0.78</v>
      </c>
      <c r="CB1344">
        <v>-0.12</v>
      </c>
      <c r="CC1344">
        <v>-2</v>
      </c>
      <c r="CD1344">
        <v>0.33</v>
      </c>
      <c r="CE1344">
        <v>-0.77</v>
      </c>
      <c r="CF1344">
        <v>-0.97</v>
      </c>
      <c r="CG1344">
        <v>0</v>
      </c>
      <c r="CH1344">
        <v>-0.73</v>
      </c>
      <c r="CI1344">
        <v>0</v>
      </c>
      <c r="CJ1344">
        <v>-3</v>
      </c>
      <c r="CK1344">
        <v>99</v>
      </c>
      <c r="CL1344">
        <v>-0.73</v>
      </c>
      <c r="CM1344">
        <v>99</v>
      </c>
      <c r="CN1344">
        <v>-0.11</v>
      </c>
      <c r="CO1344">
        <v>99</v>
      </c>
      <c r="CP1344">
        <v>-7.6</v>
      </c>
      <c r="CQ1344">
        <v>99</v>
      </c>
      <c r="CR1344">
        <v>0</v>
      </c>
      <c r="CS1344">
        <v>0</v>
      </c>
      <c r="CT1344">
        <v>-7</v>
      </c>
      <c r="CU1344">
        <v>99</v>
      </c>
      <c r="CV1344">
        <v>0.22</v>
      </c>
      <c r="CW1344">
        <v>49</v>
      </c>
      <c r="CX1344" t="s">
        <v>643</v>
      </c>
    </row>
    <row r="1345" spans="1:102" x14ac:dyDescent="0.3">
      <c r="A1345" t="str">
        <f>HYPERLINK("https://webapp.icbf.com/v2/app/bull-search/view/586059151","S707")</f>
        <v>S707</v>
      </c>
      <c r="B1345" t="s">
        <v>15524</v>
      </c>
      <c r="C1345" t="s">
        <v>15525</v>
      </c>
      <c r="D1345" s="1">
        <v>38932</v>
      </c>
      <c r="E1345" t="s">
        <v>92</v>
      </c>
      <c r="F1345">
        <v>81</v>
      </c>
      <c r="G1345" t="s">
        <v>109</v>
      </c>
      <c r="H1345">
        <v>117.4</v>
      </c>
      <c r="I1345">
        <v>82</v>
      </c>
      <c r="J1345">
        <v>23.94</v>
      </c>
      <c r="K1345">
        <v>93</v>
      </c>
      <c r="L1345">
        <v>54.28</v>
      </c>
      <c r="M1345">
        <v>78</v>
      </c>
      <c r="N1345">
        <v>15.93</v>
      </c>
      <c r="O1345">
        <v>76</v>
      </c>
      <c r="P1345">
        <v>-17.600000000000001</v>
      </c>
      <c r="Q1345">
        <v>79</v>
      </c>
      <c r="R1345">
        <v>-0.28999999999999998</v>
      </c>
      <c r="S1345">
        <v>74</v>
      </c>
      <c r="T1345">
        <v>32.99</v>
      </c>
      <c r="U1345">
        <v>68</v>
      </c>
      <c r="V1345">
        <v>8.15</v>
      </c>
      <c r="W1345">
        <v>71</v>
      </c>
      <c r="X1345" t="s">
        <v>94</v>
      </c>
      <c r="Y1345" t="s">
        <v>1494</v>
      </c>
      <c r="Z1345" t="s">
        <v>96</v>
      </c>
      <c r="AA1345" t="s">
        <v>320</v>
      </c>
      <c r="AB1345" t="s">
        <v>15526</v>
      </c>
      <c r="AC1345">
        <v>25</v>
      </c>
      <c r="AD1345">
        <v>13</v>
      </c>
      <c r="AE1345">
        <v>93</v>
      </c>
      <c r="AF1345">
        <v>-23.44</v>
      </c>
      <c r="AG1345">
        <v>1.1399999999999999</v>
      </c>
      <c r="AH1345">
        <v>3.31</v>
      </c>
      <c r="AI1345">
        <v>0.04</v>
      </c>
      <c r="AJ1345">
        <v>7.0000000000000007E-2</v>
      </c>
      <c r="AK1345">
        <v>78</v>
      </c>
      <c r="AL1345">
        <v>26</v>
      </c>
      <c r="AM1345">
        <v>14</v>
      </c>
      <c r="AN1345">
        <v>-2.88</v>
      </c>
      <c r="AO1345">
        <v>1.45</v>
      </c>
      <c r="AP1345">
        <v>62</v>
      </c>
      <c r="AQ1345">
        <v>0</v>
      </c>
      <c r="AR1345">
        <v>8.26</v>
      </c>
      <c r="AS1345">
        <v>63</v>
      </c>
      <c r="AT1345">
        <v>2.68</v>
      </c>
      <c r="AU1345">
        <v>78</v>
      </c>
      <c r="AV1345">
        <v>-2.72</v>
      </c>
      <c r="AW1345">
        <v>90</v>
      </c>
      <c r="AX1345">
        <v>1.25</v>
      </c>
      <c r="AY1345">
        <v>69</v>
      </c>
      <c r="AZ1345">
        <v>7.97</v>
      </c>
      <c r="BA1345">
        <v>44</v>
      </c>
      <c r="BB1345">
        <v>5.43</v>
      </c>
      <c r="BC1345">
        <v>50</v>
      </c>
      <c r="BD1345">
        <v>0.01</v>
      </c>
      <c r="BE1345">
        <v>0</v>
      </c>
      <c r="BF1345">
        <v>-0.01</v>
      </c>
      <c r="BG1345">
        <v>88</v>
      </c>
      <c r="BH1345">
        <v>7.0000000000000007E-2</v>
      </c>
      <c r="BI1345">
        <v>-18.2</v>
      </c>
      <c r="BJ1345">
        <v>0</v>
      </c>
      <c r="BK1345">
        <v>0</v>
      </c>
      <c r="BL1345">
        <v>-1.75</v>
      </c>
      <c r="BM1345">
        <v>-1.61</v>
      </c>
      <c r="BN1345">
        <v>-1.63</v>
      </c>
      <c r="BO1345">
        <v>-0.7</v>
      </c>
      <c r="BP1345">
        <v>-1.67</v>
      </c>
      <c r="BQ1345">
        <v>-2.44</v>
      </c>
      <c r="BR1345">
        <v>1.61</v>
      </c>
      <c r="BS1345">
        <v>-1.33</v>
      </c>
      <c r="BT1345">
        <v>-1.66</v>
      </c>
      <c r="BU1345">
        <v>0.27</v>
      </c>
      <c r="BV1345">
        <v>-0.95</v>
      </c>
      <c r="BW1345">
        <v>-1.1100000000000001</v>
      </c>
      <c r="BX1345">
        <v>0.34</v>
      </c>
      <c r="BY1345">
        <v>0.66</v>
      </c>
      <c r="BZ1345">
        <v>-1.44</v>
      </c>
      <c r="CA1345">
        <v>-0.43</v>
      </c>
      <c r="CB1345">
        <v>-0.16</v>
      </c>
      <c r="CC1345">
        <v>-1.54</v>
      </c>
      <c r="CD1345">
        <v>-0.26</v>
      </c>
      <c r="CE1345">
        <v>-0.47</v>
      </c>
      <c r="CF1345">
        <v>-1.53</v>
      </c>
      <c r="CG1345">
        <v>0</v>
      </c>
      <c r="CH1345">
        <v>1.1200000000000001</v>
      </c>
      <c r="CI1345">
        <v>0</v>
      </c>
      <c r="CJ1345">
        <v>-6.4</v>
      </c>
      <c r="CK1345">
        <v>82</v>
      </c>
      <c r="CL1345">
        <v>-0.51</v>
      </c>
      <c r="CM1345">
        <v>77</v>
      </c>
      <c r="CN1345">
        <v>0.03</v>
      </c>
      <c r="CO1345">
        <v>75</v>
      </c>
      <c r="CP1345">
        <v>-21</v>
      </c>
      <c r="CQ1345">
        <v>74</v>
      </c>
      <c r="CR1345">
        <v>0</v>
      </c>
      <c r="CS1345">
        <v>0</v>
      </c>
      <c r="CT1345">
        <v>-30.8</v>
      </c>
      <c r="CU1345">
        <v>68</v>
      </c>
      <c r="CV1345">
        <v>-0.01</v>
      </c>
      <c r="CW1345">
        <v>42</v>
      </c>
      <c r="CX1345" t="s">
        <v>1360</v>
      </c>
    </row>
    <row r="1346" spans="1:102" x14ac:dyDescent="0.3">
      <c r="A1346" t="str">
        <f>HYPERLINK("https://webapp.icbf.com/v2/app/bull-search/view/760394197","JPS")</f>
        <v>JPS</v>
      </c>
      <c r="B1346" t="s">
        <v>13195</v>
      </c>
      <c r="C1346" t="s">
        <v>13196</v>
      </c>
      <c r="D1346" s="1">
        <v>39717</v>
      </c>
      <c r="E1346" t="s">
        <v>227</v>
      </c>
      <c r="F1346">
        <v>0</v>
      </c>
      <c r="G1346" t="s">
        <v>93</v>
      </c>
      <c r="H1346">
        <v>117.32</v>
      </c>
      <c r="I1346">
        <v>87</v>
      </c>
      <c r="J1346">
        <v>83.79</v>
      </c>
      <c r="K1346">
        <v>97</v>
      </c>
      <c r="L1346">
        <v>31.84</v>
      </c>
      <c r="M1346">
        <v>81</v>
      </c>
      <c r="N1346">
        <v>0.93</v>
      </c>
      <c r="O1346">
        <v>89</v>
      </c>
      <c r="P1346">
        <v>-44.45</v>
      </c>
      <c r="Q1346">
        <v>87</v>
      </c>
      <c r="R1346">
        <v>-11.82</v>
      </c>
      <c r="S1346">
        <v>75</v>
      </c>
      <c r="T1346">
        <v>48.53</v>
      </c>
      <c r="U1346">
        <v>89</v>
      </c>
      <c r="V1346">
        <v>8.5</v>
      </c>
      <c r="W1346">
        <v>69</v>
      </c>
      <c r="X1346" t="s">
        <v>94</v>
      </c>
      <c r="Y1346" t="s">
        <v>1980</v>
      </c>
      <c r="Z1346">
        <v>0</v>
      </c>
      <c r="AA1346" t="s">
        <v>2682</v>
      </c>
      <c r="AB1346" t="s">
        <v>144</v>
      </c>
      <c r="AC1346">
        <v>206</v>
      </c>
      <c r="AD1346">
        <v>64</v>
      </c>
      <c r="AE1346">
        <v>97</v>
      </c>
      <c r="AF1346">
        <v>-242.12</v>
      </c>
      <c r="AG1346">
        <v>16.86</v>
      </c>
      <c r="AH1346">
        <v>4.58</v>
      </c>
      <c r="AI1346">
        <v>0.45</v>
      </c>
      <c r="AJ1346">
        <v>0.22</v>
      </c>
      <c r="AK1346">
        <v>81</v>
      </c>
      <c r="AL1346">
        <v>257</v>
      </c>
      <c r="AM1346">
        <v>69</v>
      </c>
      <c r="AN1346">
        <v>-0.9</v>
      </c>
      <c r="AO1346">
        <v>1.65</v>
      </c>
      <c r="AP1346">
        <v>346</v>
      </c>
      <c r="AQ1346">
        <v>1</v>
      </c>
      <c r="AR1346">
        <v>5.37</v>
      </c>
      <c r="AS1346">
        <v>91</v>
      </c>
      <c r="AT1346">
        <v>2.54</v>
      </c>
      <c r="AU1346">
        <v>86</v>
      </c>
      <c r="AV1346">
        <v>0.05</v>
      </c>
      <c r="AW1346">
        <v>98</v>
      </c>
      <c r="AX1346">
        <v>4.46</v>
      </c>
      <c r="AY1346">
        <v>88</v>
      </c>
      <c r="AZ1346">
        <v>5.42</v>
      </c>
      <c r="BA1346">
        <v>79</v>
      </c>
      <c r="BB1346">
        <v>4.72</v>
      </c>
      <c r="BC1346">
        <v>66</v>
      </c>
      <c r="BD1346">
        <v>-0.02</v>
      </c>
      <c r="BE1346">
        <v>0.05</v>
      </c>
      <c r="BF1346">
        <v>0.21</v>
      </c>
      <c r="BG1346">
        <v>89</v>
      </c>
      <c r="BH1346">
        <v>0.13</v>
      </c>
      <c r="BI1346">
        <v>-12.39</v>
      </c>
      <c r="BJ1346">
        <v>1</v>
      </c>
      <c r="BK1346">
        <v>1</v>
      </c>
      <c r="BL1346">
        <v>-1.57</v>
      </c>
      <c r="BM1346">
        <v>-2.48</v>
      </c>
      <c r="BN1346">
        <v>-1.02</v>
      </c>
      <c r="BO1346">
        <v>1.33</v>
      </c>
      <c r="BP1346">
        <v>0.25</v>
      </c>
      <c r="BQ1346">
        <v>-5.99</v>
      </c>
      <c r="BR1346">
        <v>2.4</v>
      </c>
      <c r="BS1346">
        <v>6.7</v>
      </c>
      <c r="BT1346">
        <v>-1.28</v>
      </c>
      <c r="BU1346">
        <v>1.1299999999999999</v>
      </c>
      <c r="BV1346">
        <v>1.39</v>
      </c>
      <c r="BW1346">
        <v>-0.48</v>
      </c>
      <c r="BX1346">
        <v>-0.97</v>
      </c>
      <c r="BY1346">
        <v>0.36</v>
      </c>
      <c r="BZ1346">
        <v>0.59</v>
      </c>
      <c r="CA1346">
        <v>2.42</v>
      </c>
      <c r="CB1346">
        <v>1.01</v>
      </c>
      <c r="CC1346">
        <v>4.09</v>
      </c>
      <c r="CD1346">
        <v>-2.4900000000000002</v>
      </c>
      <c r="CE1346">
        <v>1.43</v>
      </c>
      <c r="CF1346">
        <v>-1.54</v>
      </c>
      <c r="CG1346">
        <v>0</v>
      </c>
      <c r="CH1346">
        <v>-0.7</v>
      </c>
      <c r="CI1346">
        <v>0</v>
      </c>
      <c r="CJ1346">
        <v>-22.4</v>
      </c>
      <c r="CK1346">
        <v>89</v>
      </c>
      <c r="CL1346">
        <v>-1.3</v>
      </c>
      <c r="CM1346">
        <v>86</v>
      </c>
      <c r="CN1346">
        <v>-0.52</v>
      </c>
      <c r="CO1346">
        <v>84</v>
      </c>
      <c r="CP1346">
        <v>-41.4</v>
      </c>
      <c r="CQ1346">
        <v>84</v>
      </c>
      <c r="CR1346">
        <v>0</v>
      </c>
      <c r="CS1346">
        <v>0</v>
      </c>
      <c r="CT1346">
        <v>-51.8</v>
      </c>
      <c r="CU1346">
        <v>89</v>
      </c>
      <c r="CV1346">
        <v>-0.14000000000000001</v>
      </c>
      <c r="CW1346">
        <v>26</v>
      </c>
      <c r="CX1346" t="s">
        <v>2659</v>
      </c>
    </row>
    <row r="1347" spans="1:102" x14ac:dyDescent="0.3">
      <c r="A1347" t="str">
        <f>HYPERLINK("https://webapp.icbf.com/v2/app/bull-search/view/414148719","LGX")</f>
        <v>LGX</v>
      </c>
      <c r="B1347" t="s">
        <v>144</v>
      </c>
      <c r="C1347" t="s">
        <v>11909</v>
      </c>
      <c r="D1347" s="1">
        <v>36155</v>
      </c>
      <c r="E1347" t="s">
        <v>146</v>
      </c>
      <c r="F1347">
        <v>0</v>
      </c>
      <c r="G1347" t="s">
        <v>93</v>
      </c>
      <c r="H1347">
        <v>117.28</v>
      </c>
      <c r="I1347">
        <v>60</v>
      </c>
      <c r="J1347">
        <v>-0.98</v>
      </c>
      <c r="K1347">
        <v>80</v>
      </c>
      <c r="L1347">
        <v>51.09</v>
      </c>
      <c r="M1347">
        <v>43</v>
      </c>
      <c r="N1347">
        <v>43.77</v>
      </c>
      <c r="O1347">
        <v>61</v>
      </c>
      <c r="P1347">
        <v>23.06</v>
      </c>
      <c r="Q1347">
        <v>75</v>
      </c>
      <c r="R1347">
        <v>-13.12</v>
      </c>
      <c r="S1347">
        <v>42</v>
      </c>
      <c r="T1347">
        <v>15.53</v>
      </c>
      <c r="U1347">
        <v>49</v>
      </c>
      <c r="V1347">
        <v>-2.0699999999999998</v>
      </c>
      <c r="W1347">
        <v>31</v>
      </c>
      <c r="X1347" t="s">
        <v>276</v>
      </c>
      <c r="Y1347" t="s">
        <v>95</v>
      </c>
      <c r="Z1347">
        <v>0</v>
      </c>
      <c r="AA1347" t="s">
        <v>11375</v>
      </c>
      <c r="AB1347" t="s">
        <v>11910</v>
      </c>
      <c r="AC1347">
        <v>17</v>
      </c>
      <c r="AD1347">
        <v>7</v>
      </c>
      <c r="AE1347">
        <v>80</v>
      </c>
      <c r="AF1347">
        <v>-93.67</v>
      </c>
      <c r="AG1347">
        <v>-4.72</v>
      </c>
      <c r="AH1347">
        <v>7.0000000000000007E-2</v>
      </c>
      <c r="AI1347">
        <v>-0.02</v>
      </c>
      <c r="AJ1347">
        <v>0.06</v>
      </c>
      <c r="AK1347">
        <v>43</v>
      </c>
      <c r="AL1347">
        <v>24</v>
      </c>
      <c r="AM1347">
        <v>10</v>
      </c>
      <c r="AN1347">
        <v>-3.88</v>
      </c>
      <c r="AO1347">
        <v>0.18</v>
      </c>
      <c r="AP1347">
        <v>42</v>
      </c>
      <c r="AQ1347">
        <v>0</v>
      </c>
      <c r="AR1347">
        <v>5.09</v>
      </c>
      <c r="AS1347">
        <v>38</v>
      </c>
      <c r="AT1347">
        <v>1.92</v>
      </c>
      <c r="AU1347">
        <v>57</v>
      </c>
      <c r="AV1347">
        <v>-3.5</v>
      </c>
      <c r="AW1347">
        <v>82</v>
      </c>
      <c r="AX1347">
        <v>0.45</v>
      </c>
      <c r="AY1347">
        <v>54</v>
      </c>
      <c r="AZ1347">
        <v>5.47</v>
      </c>
      <c r="BA1347">
        <v>25</v>
      </c>
      <c r="BB1347">
        <v>4.78</v>
      </c>
      <c r="BC1347">
        <v>31</v>
      </c>
      <c r="BD1347">
        <v>0.01</v>
      </c>
      <c r="BE1347">
        <v>0.05</v>
      </c>
      <c r="BF1347">
        <v>0.19</v>
      </c>
      <c r="BG1347">
        <v>51</v>
      </c>
      <c r="BH1347">
        <v>0.03</v>
      </c>
      <c r="BI1347">
        <v>10.14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6.7</v>
      </c>
      <c r="CK1347">
        <v>78</v>
      </c>
      <c r="CL1347">
        <v>0.62</v>
      </c>
      <c r="CM1347">
        <v>75</v>
      </c>
      <c r="CN1347">
        <v>-0.64</v>
      </c>
      <c r="CO1347">
        <v>72</v>
      </c>
      <c r="CP1347">
        <v>-0.5</v>
      </c>
      <c r="CQ1347">
        <v>64</v>
      </c>
      <c r="CR1347">
        <v>0</v>
      </c>
      <c r="CS1347">
        <v>0</v>
      </c>
      <c r="CT1347">
        <v>-7.2</v>
      </c>
      <c r="CU1347">
        <v>49</v>
      </c>
      <c r="CV1347">
        <v>-0.22</v>
      </c>
      <c r="CW1347">
        <v>21</v>
      </c>
      <c r="CX1347" t="s">
        <v>11911</v>
      </c>
    </row>
    <row r="1348" spans="1:102" x14ac:dyDescent="0.3">
      <c r="A1348" t="str">
        <f>HYPERLINK("https://webapp.icbf.com/v2/app/bull-search/view/586206502","S1002")</f>
        <v>S1002</v>
      </c>
      <c r="B1348" t="s">
        <v>1691</v>
      </c>
      <c r="C1348" t="s">
        <v>1692</v>
      </c>
      <c r="D1348" s="1">
        <v>38421</v>
      </c>
      <c r="E1348" t="s">
        <v>92</v>
      </c>
      <c r="F1348">
        <v>100</v>
      </c>
      <c r="G1348" t="s">
        <v>93</v>
      </c>
      <c r="H1348">
        <v>117.1</v>
      </c>
      <c r="I1348">
        <v>88</v>
      </c>
      <c r="J1348">
        <v>81.44</v>
      </c>
      <c r="K1348">
        <v>96</v>
      </c>
      <c r="L1348">
        <v>-1.51</v>
      </c>
      <c r="M1348">
        <v>87</v>
      </c>
      <c r="N1348">
        <v>38.6</v>
      </c>
      <c r="O1348">
        <v>83</v>
      </c>
      <c r="P1348">
        <v>4.08</v>
      </c>
      <c r="Q1348">
        <v>89</v>
      </c>
      <c r="R1348">
        <v>-0.28999999999999998</v>
      </c>
      <c r="S1348">
        <v>74</v>
      </c>
      <c r="T1348">
        <v>-5.71</v>
      </c>
      <c r="U1348">
        <v>81</v>
      </c>
      <c r="V1348">
        <v>0.49</v>
      </c>
      <c r="W1348">
        <v>71</v>
      </c>
      <c r="X1348" t="s">
        <v>94</v>
      </c>
      <c r="Y1348" t="s">
        <v>303</v>
      </c>
      <c r="Z1348" t="s">
        <v>96</v>
      </c>
      <c r="AA1348" t="s">
        <v>316</v>
      </c>
      <c r="AB1348" t="s">
        <v>1693</v>
      </c>
      <c r="AC1348">
        <v>132</v>
      </c>
      <c r="AD1348">
        <v>29</v>
      </c>
      <c r="AE1348">
        <v>96</v>
      </c>
      <c r="AF1348">
        <v>499.65</v>
      </c>
      <c r="AG1348">
        <v>13.48</v>
      </c>
      <c r="AH1348">
        <v>16.73</v>
      </c>
      <c r="AI1348">
        <v>-0.09</v>
      </c>
      <c r="AJ1348">
        <v>-0.01</v>
      </c>
      <c r="AK1348">
        <v>87</v>
      </c>
      <c r="AL1348">
        <v>130</v>
      </c>
      <c r="AM1348">
        <v>36</v>
      </c>
      <c r="AN1348">
        <v>0.11</v>
      </c>
      <c r="AO1348">
        <v>-0.01</v>
      </c>
      <c r="AP1348">
        <v>169</v>
      </c>
      <c r="AQ1348">
        <v>0</v>
      </c>
      <c r="AR1348">
        <v>4.5199999999999996</v>
      </c>
      <c r="AS1348">
        <v>82</v>
      </c>
      <c r="AT1348">
        <v>2.16</v>
      </c>
      <c r="AU1348">
        <v>84</v>
      </c>
      <c r="AV1348">
        <v>-3.03</v>
      </c>
      <c r="AW1348">
        <v>92</v>
      </c>
      <c r="AX1348">
        <v>-0.84</v>
      </c>
      <c r="AY1348">
        <v>76</v>
      </c>
      <c r="AZ1348">
        <v>6.34</v>
      </c>
      <c r="BA1348">
        <v>65</v>
      </c>
      <c r="BB1348">
        <v>5.41</v>
      </c>
      <c r="BC1348">
        <v>60</v>
      </c>
      <c r="BD1348">
        <v>0.01</v>
      </c>
      <c r="BE1348">
        <v>0</v>
      </c>
      <c r="BF1348">
        <v>-0.01</v>
      </c>
      <c r="BG1348">
        <v>93</v>
      </c>
      <c r="BH1348">
        <v>-0.06</v>
      </c>
      <c r="BI1348">
        <v>-8.52</v>
      </c>
      <c r="BJ1348">
        <v>26</v>
      </c>
      <c r="BK1348">
        <v>9</v>
      </c>
      <c r="BL1348">
        <v>1.02</v>
      </c>
      <c r="BM1348">
        <v>1.67</v>
      </c>
      <c r="BN1348">
        <v>0.6</v>
      </c>
      <c r="BO1348">
        <v>0.15</v>
      </c>
      <c r="BP1348">
        <v>1.1499999999999999</v>
      </c>
      <c r="BQ1348">
        <v>2.2799999999999998</v>
      </c>
      <c r="BR1348">
        <v>-0.37</v>
      </c>
      <c r="BS1348">
        <v>-1</v>
      </c>
      <c r="BT1348">
        <v>0.3</v>
      </c>
      <c r="BU1348">
        <v>-0.06</v>
      </c>
      <c r="BV1348">
        <v>0.03</v>
      </c>
      <c r="BW1348">
        <v>0.9</v>
      </c>
      <c r="BX1348">
        <v>0.02</v>
      </c>
      <c r="BY1348">
        <v>2.4500000000000002</v>
      </c>
      <c r="BZ1348">
        <v>-1.9</v>
      </c>
      <c r="CA1348">
        <v>0.48</v>
      </c>
      <c r="CB1348">
        <v>0.57999999999999996</v>
      </c>
      <c r="CC1348">
        <v>0.1</v>
      </c>
      <c r="CD1348">
        <v>0.87</v>
      </c>
      <c r="CE1348">
        <v>0.32</v>
      </c>
      <c r="CF1348">
        <v>1.44</v>
      </c>
      <c r="CG1348">
        <v>0</v>
      </c>
      <c r="CH1348">
        <v>-0.19</v>
      </c>
      <c r="CI1348">
        <v>0</v>
      </c>
      <c r="CJ1348">
        <v>7.7</v>
      </c>
      <c r="CK1348">
        <v>90</v>
      </c>
      <c r="CL1348">
        <v>-0.83</v>
      </c>
      <c r="CM1348">
        <v>88</v>
      </c>
      <c r="CN1348">
        <v>-7.0000000000000007E-2</v>
      </c>
      <c r="CO1348">
        <v>86</v>
      </c>
      <c r="CP1348">
        <v>8</v>
      </c>
      <c r="CQ1348">
        <v>88</v>
      </c>
      <c r="CR1348">
        <v>0</v>
      </c>
      <c r="CS1348">
        <v>0</v>
      </c>
      <c r="CT1348">
        <v>21.5</v>
      </c>
      <c r="CU1348">
        <v>81</v>
      </c>
      <c r="CV1348">
        <v>0.45</v>
      </c>
      <c r="CW1348">
        <v>31</v>
      </c>
      <c r="CX1348" t="s">
        <v>1682</v>
      </c>
    </row>
    <row r="1349" spans="1:102" x14ac:dyDescent="0.3">
      <c r="A1349" t="str">
        <f>HYPERLINK("https://webapp.icbf.com/v2/app/bull-search/view/495735989","YHY")</f>
        <v>YHY</v>
      </c>
      <c r="B1349" t="s">
        <v>12282</v>
      </c>
      <c r="C1349" t="s">
        <v>12283</v>
      </c>
      <c r="D1349" s="1">
        <v>39118</v>
      </c>
      <c r="E1349" t="s">
        <v>227</v>
      </c>
      <c r="F1349">
        <v>0</v>
      </c>
      <c r="G1349" t="s">
        <v>93</v>
      </c>
      <c r="H1349">
        <v>117.04</v>
      </c>
      <c r="I1349">
        <v>89</v>
      </c>
      <c r="J1349">
        <v>49.74</v>
      </c>
      <c r="K1349">
        <v>98</v>
      </c>
      <c r="L1349">
        <v>16.3</v>
      </c>
      <c r="M1349">
        <v>82</v>
      </c>
      <c r="N1349">
        <v>28.86</v>
      </c>
      <c r="O1349">
        <v>87</v>
      </c>
      <c r="P1349">
        <v>-56.17</v>
      </c>
      <c r="Q1349">
        <v>91</v>
      </c>
      <c r="R1349">
        <v>3.04</v>
      </c>
      <c r="S1349">
        <v>85</v>
      </c>
      <c r="T1349">
        <v>65.260000000000005</v>
      </c>
      <c r="U1349">
        <v>86</v>
      </c>
      <c r="V1349">
        <v>10.01</v>
      </c>
      <c r="W1349">
        <v>89</v>
      </c>
      <c r="X1349" t="s">
        <v>94</v>
      </c>
      <c r="Y1349" t="s">
        <v>4217</v>
      </c>
      <c r="Z1349">
        <v>0</v>
      </c>
      <c r="AA1349" t="s">
        <v>7790</v>
      </c>
      <c r="AB1349" t="s">
        <v>5094</v>
      </c>
      <c r="AC1349">
        <v>99</v>
      </c>
      <c r="AD1349">
        <v>60</v>
      </c>
      <c r="AE1349">
        <v>98</v>
      </c>
      <c r="AF1349">
        <v>-148.53</v>
      </c>
      <c r="AG1349">
        <v>9.23</v>
      </c>
      <c r="AH1349">
        <v>2.92</v>
      </c>
      <c r="AI1349">
        <v>0.27</v>
      </c>
      <c r="AJ1349">
        <v>0.14000000000000001</v>
      </c>
      <c r="AK1349">
        <v>82</v>
      </c>
      <c r="AL1349">
        <v>101</v>
      </c>
      <c r="AM1349">
        <v>57</v>
      </c>
      <c r="AN1349">
        <v>0.65</v>
      </c>
      <c r="AO1349">
        <v>1.97</v>
      </c>
      <c r="AP1349">
        <v>154</v>
      </c>
      <c r="AQ1349">
        <v>0</v>
      </c>
      <c r="AR1349">
        <v>3.41</v>
      </c>
      <c r="AS1349">
        <v>83</v>
      </c>
      <c r="AT1349">
        <v>1.69</v>
      </c>
      <c r="AU1349">
        <v>86</v>
      </c>
      <c r="AV1349">
        <v>-0.97</v>
      </c>
      <c r="AW1349">
        <v>96</v>
      </c>
      <c r="AX1349">
        <v>-0.04</v>
      </c>
      <c r="AY1349">
        <v>81</v>
      </c>
      <c r="AZ1349">
        <v>6.03</v>
      </c>
      <c r="BA1349">
        <v>72</v>
      </c>
      <c r="BB1349">
        <v>4.68</v>
      </c>
      <c r="BC1349">
        <v>76</v>
      </c>
      <c r="BD1349">
        <v>-0.06</v>
      </c>
      <c r="BE1349">
        <v>0</v>
      </c>
      <c r="BF1349">
        <v>0.03</v>
      </c>
      <c r="BG1349">
        <v>91</v>
      </c>
      <c r="BH1349">
        <v>0.26</v>
      </c>
      <c r="BI1349">
        <v>-2.2000000000000002</v>
      </c>
      <c r="BJ1349">
        <v>41</v>
      </c>
      <c r="BK1349">
        <v>19</v>
      </c>
      <c r="BL1349">
        <v>-3.46</v>
      </c>
      <c r="BM1349">
        <v>-2.59</v>
      </c>
      <c r="BN1349">
        <v>-1.56</v>
      </c>
      <c r="BO1349">
        <v>0.57999999999999996</v>
      </c>
      <c r="BP1349">
        <v>-2.99</v>
      </c>
      <c r="BQ1349">
        <v>-6.29</v>
      </c>
      <c r="BR1349">
        <v>4.49</v>
      </c>
      <c r="BS1349">
        <v>5.07</v>
      </c>
      <c r="BT1349">
        <v>-3.1</v>
      </c>
      <c r="BU1349">
        <v>-1.38</v>
      </c>
      <c r="BV1349">
        <v>-1.17</v>
      </c>
      <c r="BW1349">
        <v>-3.36</v>
      </c>
      <c r="BX1349">
        <v>-3.49</v>
      </c>
      <c r="BY1349">
        <v>0.36</v>
      </c>
      <c r="BZ1349">
        <v>-1.17</v>
      </c>
      <c r="CA1349">
        <v>-0.02</v>
      </c>
      <c r="CB1349">
        <v>-1.5</v>
      </c>
      <c r="CC1349">
        <v>2.96</v>
      </c>
      <c r="CD1349">
        <v>-2.89</v>
      </c>
      <c r="CE1349">
        <v>0.74</v>
      </c>
      <c r="CF1349">
        <v>-4.4400000000000004</v>
      </c>
      <c r="CG1349">
        <v>0</v>
      </c>
      <c r="CH1349">
        <v>-1.49</v>
      </c>
      <c r="CI1349">
        <v>0</v>
      </c>
      <c r="CJ1349">
        <v>-30.2</v>
      </c>
      <c r="CK1349">
        <v>92</v>
      </c>
      <c r="CL1349">
        <v>-1.04</v>
      </c>
      <c r="CM1349">
        <v>90</v>
      </c>
      <c r="CN1349">
        <v>-0.28000000000000003</v>
      </c>
      <c r="CO1349">
        <v>89</v>
      </c>
      <c r="CP1349">
        <v>-46.9</v>
      </c>
      <c r="CQ1349">
        <v>87</v>
      </c>
      <c r="CR1349">
        <v>0</v>
      </c>
      <c r="CS1349">
        <v>0</v>
      </c>
      <c r="CT1349">
        <v>-74.400000000000006</v>
      </c>
      <c r="CU1349">
        <v>86</v>
      </c>
      <c r="CV1349">
        <v>-0.24</v>
      </c>
      <c r="CW1349">
        <v>44</v>
      </c>
      <c r="CX1349" t="s">
        <v>1936</v>
      </c>
    </row>
    <row r="1350" spans="1:102" x14ac:dyDescent="0.3">
      <c r="A1350" t="str">
        <f>HYPERLINK("https://webapp.icbf.com/v2/app/bull-search/view/748120533","PDY")</f>
        <v>PDY</v>
      </c>
      <c r="B1350" t="s">
        <v>15112</v>
      </c>
      <c r="C1350" t="s">
        <v>7930</v>
      </c>
      <c r="D1350" s="1">
        <v>39655</v>
      </c>
      <c r="E1350" t="s">
        <v>108</v>
      </c>
      <c r="F1350">
        <v>0</v>
      </c>
      <c r="G1350" t="s">
        <v>93</v>
      </c>
      <c r="H1350">
        <v>117.02</v>
      </c>
      <c r="I1350">
        <v>94</v>
      </c>
      <c r="J1350">
        <v>35.96</v>
      </c>
      <c r="K1350">
        <v>99</v>
      </c>
      <c r="L1350">
        <v>36.869999999999997</v>
      </c>
      <c r="M1350">
        <v>89</v>
      </c>
      <c r="N1350">
        <v>56.47</v>
      </c>
      <c r="O1350">
        <v>96</v>
      </c>
      <c r="P1350">
        <v>-21.94</v>
      </c>
      <c r="Q1350">
        <v>99</v>
      </c>
      <c r="R1350">
        <v>-8.9</v>
      </c>
      <c r="S1350">
        <v>87</v>
      </c>
      <c r="T1350">
        <v>17.53</v>
      </c>
      <c r="U1350">
        <v>96</v>
      </c>
      <c r="V1350">
        <v>1.03</v>
      </c>
      <c r="W1350">
        <v>80</v>
      </c>
      <c r="X1350" t="s">
        <v>102</v>
      </c>
      <c r="Y1350" t="s">
        <v>329</v>
      </c>
      <c r="Z1350" t="s">
        <v>96</v>
      </c>
      <c r="AA1350" t="s">
        <v>15113</v>
      </c>
      <c r="AB1350" t="s">
        <v>10250</v>
      </c>
      <c r="AC1350">
        <v>535</v>
      </c>
      <c r="AD1350">
        <v>224</v>
      </c>
      <c r="AE1350">
        <v>99</v>
      </c>
      <c r="AF1350">
        <v>-23.48</v>
      </c>
      <c r="AG1350">
        <v>3.89</v>
      </c>
      <c r="AH1350">
        <v>4.38</v>
      </c>
      <c r="AI1350">
        <v>0.08</v>
      </c>
      <c r="AJ1350">
        <v>0.09</v>
      </c>
      <c r="AK1350">
        <v>89</v>
      </c>
      <c r="AL1350">
        <v>621</v>
      </c>
      <c r="AM1350">
        <v>297</v>
      </c>
      <c r="AN1350">
        <v>-2.06</v>
      </c>
      <c r="AO1350">
        <v>0.88</v>
      </c>
      <c r="AP1350">
        <v>1632</v>
      </c>
      <c r="AQ1350">
        <v>16</v>
      </c>
      <c r="AR1350">
        <v>4.72</v>
      </c>
      <c r="AS1350">
        <v>97</v>
      </c>
      <c r="AT1350">
        <v>1.98</v>
      </c>
      <c r="AU1350">
        <v>97</v>
      </c>
      <c r="AV1350">
        <v>-5.56</v>
      </c>
      <c r="AW1350">
        <v>99</v>
      </c>
      <c r="AX1350">
        <v>-0.48</v>
      </c>
      <c r="AY1350">
        <v>97</v>
      </c>
      <c r="AZ1350">
        <v>6.9</v>
      </c>
      <c r="BA1350">
        <v>90</v>
      </c>
      <c r="BB1350">
        <v>5.62</v>
      </c>
      <c r="BC1350">
        <v>84</v>
      </c>
      <c r="BD1350">
        <v>7.0000000000000007E-2</v>
      </c>
      <c r="BE1350">
        <v>0.02</v>
      </c>
      <c r="BF1350">
        <v>0.05</v>
      </c>
      <c r="BG1350">
        <v>96</v>
      </c>
      <c r="BH1350">
        <v>7.0000000000000007E-2</v>
      </c>
      <c r="BI1350">
        <v>4.7699999999999996</v>
      </c>
      <c r="BJ1350">
        <v>21</v>
      </c>
      <c r="BK1350">
        <v>12</v>
      </c>
      <c r="BL1350">
        <v>-2.94</v>
      </c>
      <c r="BM1350">
        <v>0.83</v>
      </c>
      <c r="BN1350">
        <v>-2.61</v>
      </c>
      <c r="BO1350">
        <v>-2.5299999999999998</v>
      </c>
      <c r="BP1350">
        <v>-3.01</v>
      </c>
      <c r="BQ1350">
        <v>0.92</v>
      </c>
      <c r="BR1350">
        <v>-1.62</v>
      </c>
      <c r="BS1350">
        <v>-0.57999999999999996</v>
      </c>
      <c r="BT1350">
        <v>-0.18</v>
      </c>
      <c r="BU1350">
        <v>-4.21</v>
      </c>
      <c r="BV1350">
        <v>-2.92</v>
      </c>
      <c r="BW1350">
        <v>-2.02</v>
      </c>
      <c r="BX1350">
        <v>-3.05</v>
      </c>
      <c r="BY1350">
        <v>-0.93</v>
      </c>
      <c r="BZ1350">
        <v>-0.18</v>
      </c>
      <c r="CA1350">
        <v>-1.96</v>
      </c>
      <c r="CB1350">
        <v>-2.5499999999999998</v>
      </c>
      <c r="CC1350">
        <v>-0.31</v>
      </c>
      <c r="CD1350">
        <v>1.78</v>
      </c>
      <c r="CE1350">
        <v>-1.71</v>
      </c>
      <c r="CF1350">
        <v>-2.63</v>
      </c>
      <c r="CG1350">
        <v>0</v>
      </c>
      <c r="CH1350">
        <v>-0.95</v>
      </c>
      <c r="CI1350">
        <v>0</v>
      </c>
      <c r="CJ1350">
        <v>-15.4</v>
      </c>
      <c r="CK1350">
        <v>99</v>
      </c>
      <c r="CL1350">
        <v>-0.32</v>
      </c>
      <c r="CM1350">
        <v>99</v>
      </c>
      <c r="CN1350">
        <v>-0.41</v>
      </c>
      <c r="CO1350">
        <v>99</v>
      </c>
      <c r="CP1350">
        <v>-14.6</v>
      </c>
      <c r="CQ1350">
        <v>96</v>
      </c>
      <c r="CR1350">
        <v>0</v>
      </c>
      <c r="CS1350">
        <v>0</v>
      </c>
      <c r="CT1350">
        <v>-9.9</v>
      </c>
      <c r="CU1350">
        <v>96</v>
      </c>
      <c r="CV1350">
        <v>-0.12</v>
      </c>
      <c r="CW1350">
        <v>46</v>
      </c>
      <c r="CX1350" t="s">
        <v>10251</v>
      </c>
    </row>
    <row r="1351" spans="1:102" x14ac:dyDescent="0.3">
      <c r="A1351" t="str">
        <f>HYPERLINK("https://webapp.icbf.com/v2/app/bull-search/view/493367429","AWA")</f>
        <v>AWA</v>
      </c>
      <c r="B1351" t="s">
        <v>7816</v>
      </c>
      <c r="C1351" t="s">
        <v>7817</v>
      </c>
      <c r="D1351" s="1">
        <v>39102</v>
      </c>
      <c r="E1351" t="s">
        <v>92</v>
      </c>
      <c r="F1351">
        <v>91</v>
      </c>
      <c r="G1351" t="s">
        <v>93</v>
      </c>
      <c r="H1351">
        <v>116.98</v>
      </c>
      <c r="I1351">
        <v>88</v>
      </c>
      <c r="J1351">
        <v>3.81</v>
      </c>
      <c r="K1351">
        <v>97</v>
      </c>
      <c r="L1351">
        <v>60.36</v>
      </c>
      <c r="M1351">
        <v>81</v>
      </c>
      <c r="N1351">
        <v>40.03</v>
      </c>
      <c r="O1351">
        <v>86</v>
      </c>
      <c r="P1351">
        <v>0.38</v>
      </c>
      <c r="Q1351">
        <v>92</v>
      </c>
      <c r="R1351">
        <v>-1.41</v>
      </c>
      <c r="S1351">
        <v>83</v>
      </c>
      <c r="T1351">
        <v>11.38</v>
      </c>
      <c r="U1351">
        <v>88</v>
      </c>
      <c r="V1351">
        <v>2.4300000000000002</v>
      </c>
      <c r="W1351">
        <v>82</v>
      </c>
      <c r="X1351" t="s">
        <v>94</v>
      </c>
      <c r="Y1351" t="s">
        <v>1405</v>
      </c>
      <c r="Z1351" t="s">
        <v>96</v>
      </c>
      <c r="AA1351" t="s">
        <v>1165</v>
      </c>
      <c r="AB1351" t="s">
        <v>7818</v>
      </c>
      <c r="AC1351">
        <v>88</v>
      </c>
      <c r="AD1351">
        <v>67</v>
      </c>
      <c r="AE1351">
        <v>97</v>
      </c>
      <c r="AF1351">
        <v>27.77</v>
      </c>
      <c r="AG1351">
        <v>5.66</v>
      </c>
      <c r="AH1351">
        <v>-0.93</v>
      </c>
      <c r="AI1351">
        <v>0.08</v>
      </c>
      <c r="AJ1351">
        <v>-0.03</v>
      </c>
      <c r="AK1351">
        <v>81</v>
      </c>
      <c r="AL1351">
        <v>90</v>
      </c>
      <c r="AM1351">
        <v>66</v>
      </c>
      <c r="AN1351">
        <v>-2.04</v>
      </c>
      <c r="AO1351">
        <v>2.79</v>
      </c>
      <c r="AP1351">
        <v>195</v>
      </c>
      <c r="AQ1351">
        <v>1</v>
      </c>
      <c r="AR1351">
        <v>4.6399999999999997</v>
      </c>
      <c r="AS1351">
        <v>70</v>
      </c>
      <c r="AT1351">
        <v>2.21</v>
      </c>
      <c r="AU1351">
        <v>88</v>
      </c>
      <c r="AV1351">
        <v>-2.89</v>
      </c>
      <c r="AW1351">
        <v>96</v>
      </c>
      <c r="AX1351">
        <v>-0.36</v>
      </c>
      <c r="AY1351">
        <v>82</v>
      </c>
      <c r="AZ1351">
        <v>5.34</v>
      </c>
      <c r="BA1351">
        <v>66</v>
      </c>
      <c r="BB1351">
        <v>4.82</v>
      </c>
      <c r="BC1351">
        <v>70</v>
      </c>
      <c r="BD1351">
        <v>-0.01</v>
      </c>
      <c r="BE1351">
        <v>0.01</v>
      </c>
      <c r="BF1351">
        <v>0.03</v>
      </c>
      <c r="BG1351">
        <v>89</v>
      </c>
      <c r="BH1351">
        <v>0.25</v>
      </c>
      <c r="BI1351">
        <v>21.09</v>
      </c>
      <c r="BJ1351">
        <v>9</v>
      </c>
      <c r="BK1351">
        <v>8</v>
      </c>
      <c r="BL1351">
        <v>-0.26</v>
      </c>
      <c r="BM1351">
        <v>0.03</v>
      </c>
      <c r="BN1351">
        <v>-0.23</v>
      </c>
      <c r="BO1351">
        <v>-0.3</v>
      </c>
      <c r="BP1351">
        <v>0.87</v>
      </c>
      <c r="BQ1351">
        <v>-0.09</v>
      </c>
      <c r="BR1351">
        <v>0.56000000000000005</v>
      </c>
      <c r="BS1351">
        <v>0.04</v>
      </c>
      <c r="BT1351">
        <v>-0.61</v>
      </c>
      <c r="BU1351">
        <v>0.17</v>
      </c>
      <c r="BV1351">
        <v>-0.45</v>
      </c>
      <c r="BW1351">
        <v>0.04</v>
      </c>
      <c r="BX1351">
        <v>1.5</v>
      </c>
      <c r="BY1351">
        <v>0.25</v>
      </c>
      <c r="BZ1351">
        <v>-2.91</v>
      </c>
      <c r="CA1351">
        <v>0.53</v>
      </c>
      <c r="CB1351">
        <v>0.63</v>
      </c>
      <c r="CC1351">
        <v>0</v>
      </c>
      <c r="CD1351">
        <v>0.24</v>
      </c>
      <c r="CE1351">
        <v>0.08</v>
      </c>
      <c r="CF1351">
        <v>0.42</v>
      </c>
      <c r="CG1351">
        <v>0</v>
      </c>
      <c r="CH1351">
        <v>0.72</v>
      </c>
      <c r="CI1351">
        <v>0</v>
      </c>
      <c r="CJ1351">
        <v>1</v>
      </c>
      <c r="CK1351">
        <v>93</v>
      </c>
      <c r="CL1351">
        <v>-0.5</v>
      </c>
      <c r="CM1351">
        <v>91</v>
      </c>
      <c r="CN1351">
        <v>-0.4</v>
      </c>
      <c r="CO1351">
        <v>90</v>
      </c>
      <c r="CP1351">
        <v>-3.5</v>
      </c>
      <c r="CQ1351">
        <v>89</v>
      </c>
      <c r="CR1351">
        <v>0</v>
      </c>
      <c r="CS1351">
        <v>0</v>
      </c>
      <c r="CT1351">
        <v>-1.6</v>
      </c>
      <c r="CU1351">
        <v>88</v>
      </c>
      <c r="CV1351">
        <v>0.15</v>
      </c>
      <c r="CW1351">
        <v>46</v>
      </c>
      <c r="CX1351" t="s">
        <v>2775</v>
      </c>
    </row>
    <row r="1352" spans="1:102" x14ac:dyDescent="0.3">
      <c r="A1352" t="str">
        <f>HYPERLINK("https://webapp.icbf.com/v2/app/bull-search/view/1511416009","F353")</f>
        <v>F353</v>
      </c>
      <c r="B1352" t="s">
        <v>2414</v>
      </c>
      <c r="C1352" t="s">
        <v>2415</v>
      </c>
      <c r="D1352" s="1">
        <v>42658</v>
      </c>
      <c r="E1352" t="s">
        <v>108</v>
      </c>
      <c r="F1352">
        <v>3</v>
      </c>
      <c r="G1352" t="s">
        <v>435</v>
      </c>
      <c r="H1352">
        <v>116.92</v>
      </c>
      <c r="I1352">
        <v>60</v>
      </c>
      <c r="J1352">
        <v>-64.87</v>
      </c>
      <c r="K1352">
        <v>78</v>
      </c>
      <c r="L1352">
        <v>134.57</v>
      </c>
      <c r="M1352">
        <v>52</v>
      </c>
      <c r="N1352">
        <v>22.18</v>
      </c>
      <c r="O1352">
        <v>65</v>
      </c>
      <c r="P1352">
        <v>-4.34</v>
      </c>
      <c r="Q1352">
        <v>43</v>
      </c>
      <c r="R1352">
        <v>15.11</v>
      </c>
      <c r="S1352">
        <v>51</v>
      </c>
      <c r="T1352">
        <v>10.050000000000001</v>
      </c>
      <c r="U1352">
        <v>40</v>
      </c>
      <c r="V1352">
        <v>4.22</v>
      </c>
      <c r="W1352">
        <v>48</v>
      </c>
      <c r="X1352" t="s">
        <v>110</v>
      </c>
      <c r="Y1352" t="s">
        <v>2410</v>
      </c>
      <c r="Z1352" t="s">
        <v>96</v>
      </c>
      <c r="AA1352" t="s">
        <v>2416</v>
      </c>
      <c r="AB1352" t="s">
        <v>2417</v>
      </c>
      <c r="AC1352">
        <v>0</v>
      </c>
      <c r="AD1352">
        <v>0</v>
      </c>
      <c r="AE1352">
        <v>78</v>
      </c>
      <c r="AF1352">
        <v>-291.42</v>
      </c>
      <c r="AG1352">
        <v>-14.85</v>
      </c>
      <c r="AH1352">
        <v>-10.24</v>
      </c>
      <c r="AI1352">
        <v>-7.0000000000000007E-2</v>
      </c>
      <c r="AJ1352">
        <v>0</v>
      </c>
      <c r="AK1352">
        <v>52</v>
      </c>
      <c r="AL1352">
        <v>0</v>
      </c>
      <c r="AM1352">
        <v>0</v>
      </c>
      <c r="AN1352">
        <v>-9.02</v>
      </c>
      <c r="AO1352">
        <v>1.69</v>
      </c>
      <c r="AP1352">
        <v>54</v>
      </c>
      <c r="AQ1352">
        <v>0</v>
      </c>
      <c r="AR1352">
        <v>5.94</v>
      </c>
      <c r="AS1352">
        <v>71</v>
      </c>
      <c r="AT1352">
        <v>2.25</v>
      </c>
      <c r="AU1352">
        <v>60</v>
      </c>
      <c r="AV1352">
        <v>-1.43</v>
      </c>
      <c r="AW1352">
        <v>82</v>
      </c>
      <c r="AX1352">
        <v>0.4</v>
      </c>
      <c r="AY1352">
        <v>57</v>
      </c>
      <c r="AZ1352">
        <v>6.16</v>
      </c>
      <c r="BA1352">
        <v>30</v>
      </c>
      <c r="BB1352">
        <v>4.88</v>
      </c>
      <c r="BC1352">
        <v>31</v>
      </c>
      <c r="BD1352">
        <v>-0.02</v>
      </c>
      <c r="BE1352">
        <v>-0.06</v>
      </c>
      <c r="BF1352">
        <v>-0.2</v>
      </c>
      <c r="BG1352">
        <v>59</v>
      </c>
      <c r="BH1352">
        <v>-0.11</v>
      </c>
      <c r="BI1352">
        <v>-26.33</v>
      </c>
      <c r="BJ1352">
        <v>0</v>
      </c>
      <c r="BK1352">
        <v>0</v>
      </c>
      <c r="BL1352">
        <v>-2.5</v>
      </c>
      <c r="BM1352">
        <v>2.15</v>
      </c>
      <c r="BN1352">
        <v>-2.35</v>
      </c>
      <c r="BO1352">
        <v>-2.68</v>
      </c>
      <c r="BP1352">
        <v>0.09</v>
      </c>
      <c r="BQ1352">
        <v>0.68</v>
      </c>
      <c r="BR1352">
        <v>-0.8</v>
      </c>
      <c r="BS1352">
        <v>0.51</v>
      </c>
      <c r="BT1352">
        <v>-0.14000000000000001</v>
      </c>
      <c r="BU1352">
        <v>-0.86</v>
      </c>
      <c r="BV1352">
        <v>-1.84</v>
      </c>
      <c r="BW1352">
        <v>-1.54</v>
      </c>
      <c r="BX1352">
        <v>0.27</v>
      </c>
      <c r="BY1352">
        <v>-1.04</v>
      </c>
      <c r="BZ1352">
        <v>-2.4500000000000002</v>
      </c>
      <c r="CA1352">
        <v>-1.25</v>
      </c>
      <c r="CB1352">
        <v>-1.56</v>
      </c>
      <c r="CC1352">
        <v>-0.55000000000000004</v>
      </c>
      <c r="CD1352">
        <v>2.85</v>
      </c>
      <c r="CE1352">
        <v>-3.04</v>
      </c>
      <c r="CF1352">
        <v>-2.1</v>
      </c>
      <c r="CG1352">
        <v>0</v>
      </c>
      <c r="CH1352">
        <v>-0.94</v>
      </c>
      <c r="CI1352">
        <v>0</v>
      </c>
      <c r="CJ1352">
        <v>-1.5</v>
      </c>
      <c r="CK1352">
        <v>44</v>
      </c>
      <c r="CL1352">
        <v>-0.17</v>
      </c>
      <c r="CM1352">
        <v>43</v>
      </c>
      <c r="CN1352">
        <v>7.0000000000000007E-2</v>
      </c>
      <c r="CO1352">
        <v>43</v>
      </c>
      <c r="CP1352">
        <v>2</v>
      </c>
      <c r="CQ1352">
        <v>40</v>
      </c>
      <c r="CR1352">
        <v>0</v>
      </c>
      <c r="CS1352">
        <v>0</v>
      </c>
      <c r="CT1352">
        <v>0.2</v>
      </c>
      <c r="CU1352">
        <v>40</v>
      </c>
      <c r="CV1352">
        <v>0.12</v>
      </c>
      <c r="CW1352">
        <v>34</v>
      </c>
      <c r="CX1352" t="s">
        <v>2418</v>
      </c>
    </row>
    <row r="1353" spans="1:102" x14ac:dyDescent="0.3">
      <c r="A1353" t="str">
        <f>HYPERLINK("https://webapp.icbf.com/v2/app/bull-search/view/1116493701","FR2002")</f>
        <v>FR2002</v>
      </c>
      <c r="B1353" t="s">
        <v>13484</v>
      </c>
      <c r="C1353" t="s">
        <v>13485</v>
      </c>
      <c r="D1353" s="1">
        <v>41567</v>
      </c>
      <c r="E1353" t="s">
        <v>92</v>
      </c>
      <c r="F1353">
        <v>100</v>
      </c>
      <c r="G1353" t="s">
        <v>93</v>
      </c>
      <c r="H1353">
        <v>116.88</v>
      </c>
      <c r="I1353">
        <v>75</v>
      </c>
      <c r="J1353">
        <v>67.349999999999994</v>
      </c>
      <c r="K1353">
        <v>91</v>
      </c>
      <c r="L1353">
        <v>-19.36</v>
      </c>
      <c r="M1353">
        <v>71</v>
      </c>
      <c r="N1353">
        <v>64.459999999999994</v>
      </c>
      <c r="O1353">
        <v>70</v>
      </c>
      <c r="P1353">
        <v>-6</v>
      </c>
      <c r="Q1353">
        <v>75</v>
      </c>
      <c r="R1353">
        <v>8.2799999999999994</v>
      </c>
      <c r="S1353">
        <v>68</v>
      </c>
      <c r="T1353">
        <v>0.65</v>
      </c>
      <c r="U1353">
        <v>48</v>
      </c>
      <c r="V1353">
        <v>1.5</v>
      </c>
      <c r="W1353">
        <v>60</v>
      </c>
      <c r="X1353" t="s">
        <v>94</v>
      </c>
      <c r="Y1353" t="s">
        <v>416</v>
      </c>
      <c r="Z1353" t="s">
        <v>96</v>
      </c>
      <c r="AA1353" t="s">
        <v>6798</v>
      </c>
      <c r="AB1353" t="s">
        <v>5871</v>
      </c>
      <c r="AC1353">
        <v>14</v>
      </c>
      <c r="AD1353">
        <v>9</v>
      </c>
      <c r="AE1353">
        <v>91</v>
      </c>
      <c r="AF1353">
        <v>528.9</v>
      </c>
      <c r="AG1353">
        <v>9.75</v>
      </c>
      <c r="AH1353">
        <v>16.100000000000001</v>
      </c>
      <c r="AI1353">
        <v>-0.17</v>
      </c>
      <c r="AJ1353">
        <v>-0.03</v>
      </c>
      <c r="AK1353">
        <v>71</v>
      </c>
      <c r="AL1353">
        <v>2</v>
      </c>
      <c r="AM1353">
        <v>2</v>
      </c>
      <c r="AN1353">
        <v>2.91</v>
      </c>
      <c r="AO1353">
        <v>1.39</v>
      </c>
      <c r="AP1353">
        <v>36</v>
      </c>
      <c r="AQ1353">
        <v>0</v>
      </c>
      <c r="AR1353">
        <v>3.68</v>
      </c>
      <c r="AS1353">
        <v>60</v>
      </c>
      <c r="AT1353">
        <v>1.53</v>
      </c>
      <c r="AU1353">
        <v>76</v>
      </c>
      <c r="AV1353">
        <v>-4.92</v>
      </c>
      <c r="AW1353">
        <v>82</v>
      </c>
      <c r="AX1353">
        <v>-0.84</v>
      </c>
      <c r="AY1353">
        <v>60</v>
      </c>
      <c r="AZ1353">
        <v>5.1100000000000003</v>
      </c>
      <c r="BA1353">
        <v>48</v>
      </c>
      <c r="BB1353">
        <v>4.58</v>
      </c>
      <c r="BC1353">
        <v>40</v>
      </c>
      <c r="BD1353">
        <v>-0.02</v>
      </c>
      <c r="BE1353">
        <v>-0.03</v>
      </c>
      <c r="BF1353">
        <v>-0.1</v>
      </c>
      <c r="BG1353">
        <v>80</v>
      </c>
      <c r="BH1353">
        <v>0.02</v>
      </c>
      <c r="BI1353">
        <v>-2.5299999999999998</v>
      </c>
      <c r="BJ1353">
        <v>0</v>
      </c>
      <c r="BK1353">
        <v>0</v>
      </c>
      <c r="BL1353">
        <v>0.54</v>
      </c>
      <c r="BM1353">
        <v>-1.7</v>
      </c>
      <c r="BN1353">
        <v>-0.12</v>
      </c>
      <c r="BO1353">
        <v>0.9</v>
      </c>
      <c r="BP1353">
        <v>-1.24</v>
      </c>
      <c r="BQ1353">
        <v>-1.1299999999999999</v>
      </c>
      <c r="BR1353">
        <v>1.18</v>
      </c>
      <c r="BS1353">
        <v>-1.32</v>
      </c>
      <c r="BT1353">
        <v>-1.59</v>
      </c>
      <c r="BU1353">
        <v>1.45</v>
      </c>
      <c r="BV1353">
        <v>1.5</v>
      </c>
      <c r="BW1353">
        <v>0.51</v>
      </c>
      <c r="BX1353">
        <v>1.46</v>
      </c>
      <c r="BY1353">
        <v>1.17</v>
      </c>
      <c r="BZ1353">
        <v>-0.12</v>
      </c>
      <c r="CA1353">
        <v>1.1399999999999999</v>
      </c>
      <c r="CB1353">
        <v>1.08</v>
      </c>
      <c r="CC1353">
        <v>-0.3</v>
      </c>
      <c r="CD1353">
        <v>-1.17</v>
      </c>
      <c r="CE1353">
        <v>0.9</v>
      </c>
      <c r="CF1353">
        <v>0.46</v>
      </c>
      <c r="CG1353">
        <v>0</v>
      </c>
      <c r="CH1353">
        <v>0.51</v>
      </c>
      <c r="CI1353">
        <v>0</v>
      </c>
      <c r="CJ1353">
        <v>-0.1</v>
      </c>
      <c r="CK1353">
        <v>78</v>
      </c>
      <c r="CL1353">
        <v>-1.1599999999999999</v>
      </c>
      <c r="CM1353">
        <v>75</v>
      </c>
      <c r="CN1353">
        <v>-0.46</v>
      </c>
      <c r="CO1353">
        <v>73</v>
      </c>
      <c r="CP1353">
        <v>4.8</v>
      </c>
      <c r="CQ1353">
        <v>56</v>
      </c>
      <c r="CR1353">
        <v>0</v>
      </c>
      <c r="CS1353">
        <v>0</v>
      </c>
      <c r="CT1353">
        <v>12.9</v>
      </c>
      <c r="CU1353">
        <v>48</v>
      </c>
      <c r="CV1353">
        <v>0.2</v>
      </c>
      <c r="CW1353">
        <v>41</v>
      </c>
      <c r="CX1353" t="s">
        <v>358</v>
      </c>
    </row>
    <row r="1354" spans="1:102" x14ac:dyDescent="0.3">
      <c r="A1354" t="str">
        <f>HYPERLINK("https://webapp.icbf.com/v2/app/bull-search/view/586065700","S2113")</f>
        <v>S2113</v>
      </c>
      <c r="B1354" t="s">
        <v>13469</v>
      </c>
      <c r="C1354" t="s">
        <v>13470</v>
      </c>
      <c r="D1354" s="1">
        <v>39159</v>
      </c>
      <c r="E1354" t="s">
        <v>146</v>
      </c>
      <c r="F1354">
        <v>0</v>
      </c>
      <c r="G1354" t="s">
        <v>109</v>
      </c>
      <c r="H1354">
        <v>116.81</v>
      </c>
      <c r="I1354">
        <v>61</v>
      </c>
      <c r="J1354">
        <v>7.0000000000000007E-2</v>
      </c>
      <c r="K1354">
        <v>76</v>
      </c>
      <c r="L1354">
        <v>61.38</v>
      </c>
      <c r="M1354">
        <v>59</v>
      </c>
      <c r="N1354">
        <v>38.04</v>
      </c>
      <c r="O1354">
        <v>62</v>
      </c>
      <c r="P1354">
        <v>5.37</v>
      </c>
      <c r="Q1354">
        <v>72</v>
      </c>
      <c r="R1354">
        <v>1.7</v>
      </c>
      <c r="S1354">
        <v>47</v>
      </c>
      <c r="T1354">
        <v>14.64</v>
      </c>
      <c r="U1354">
        <v>24</v>
      </c>
      <c r="V1354">
        <v>-4.3899999999999997</v>
      </c>
      <c r="W1354">
        <v>6</v>
      </c>
      <c r="X1354" t="s">
        <v>94</v>
      </c>
      <c r="Y1354" t="s">
        <v>367</v>
      </c>
      <c r="Z1354">
        <v>0</v>
      </c>
      <c r="AA1354" t="s">
        <v>2198</v>
      </c>
      <c r="AB1354" t="s">
        <v>13471</v>
      </c>
      <c r="AC1354">
        <v>0</v>
      </c>
      <c r="AD1354">
        <v>0</v>
      </c>
      <c r="AE1354">
        <v>76</v>
      </c>
      <c r="AF1354">
        <v>-221.14</v>
      </c>
      <c r="AG1354">
        <v>-3.91</v>
      </c>
      <c r="AH1354">
        <v>-1.99</v>
      </c>
      <c r="AI1354">
        <v>0.08</v>
      </c>
      <c r="AJ1354">
        <v>0.1</v>
      </c>
      <c r="AK1354">
        <v>59</v>
      </c>
      <c r="AL1354">
        <v>0</v>
      </c>
      <c r="AM1354">
        <v>0</v>
      </c>
      <c r="AN1354">
        <v>-4.53</v>
      </c>
      <c r="AO1354">
        <v>0.35</v>
      </c>
      <c r="AP1354">
        <v>45</v>
      </c>
      <c r="AQ1354">
        <v>0</v>
      </c>
      <c r="AR1354">
        <v>6.03</v>
      </c>
      <c r="AS1354">
        <v>30</v>
      </c>
      <c r="AT1354">
        <v>2.48</v>
      </c>
      <c r="AU1354">
        <v>80</v>
      </c>
      <c r="AV1354">
        <v>-2.82</v>
      </c>
      <c r="AW1354">
        <v>80</v>
      </c>
      <c r="AX1354">
        <v>-0.89</v>
      </c>
      <c r="AY1354">
        <v>43</v>
      </c>
      <c r="AZ1354">
        <v>5.4</v>
      </c>
      <c r="BA1354">
        <v>24</v>
      </c>
      <c r="BB1354">
        <v>4.37</v>
      </c>
      <c r="BC1354">
        <v>13</v>
      </c>
      <c r="BD1354">
        <v>0</v>
      </c>
      <c r="BE1354">
        <v>-0.01</v>
      </c>
      <c r="BF1354">
        <v>-0.02</v>
      </c>
      <c r="BG1354">
        <v>80</v>
      </c>
      <c r="BH1354">
        <v>-0.12</v>
      </c>
      <c r="BI1354">
        <v>0.28999999999999998</v>
      </c>
      <c r="BJ1354">
        <v>0</v>
      </c>
      <c r="BK1354">
        <v>0</v>
      </c>
      <c r="BL1354">
        <v>-0.41</v>
      </c>
      <c r="BM1354">
        <v>3.77</v>
      </c>
      <c r="BN1354">
        <v>-0.2</v>
      </c>
      <c r="BO1354">
        <v>-1.58</v>
      </c>
      <c r="BP1354">
        <v>5.32</v>
      </c>
      <c r="BQ1354">
        <v>1.79</v>
      </c>
      <c r="BR1354">
        <v>-0.26</v>
      </c>
      <c r="BS1354">
        <v>0.59</v>
      </c>
      <c r="BT1354">
        <v>0.52</v>
      </c>
      <c r="BU1354">
        <v>-1.35</v>
      </c>
      <c r="BV1354">
        <v>-2.56</v>
      </c>
      <c r="BW1354">
        <v>-2.37</v>
      </c>
      <c r="BX1354">
        <v>-0.56000000000000005</v>
      </c>
      <c r="BY1354">
        <v>-0.84</v>
      </c>
      <c r="BZ1354">
        <v>1.6</v>
      </c>
      <c r="CA1354">
        <v>-1.32</v>
      </c>
      <c r="CB1354">
        <v>-1.56</v>
      </c>
      <c r="CC1354">
        <v>-0.21</v>
      </c>
      <c r="CD1354">
        <v>2.98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0.4</v>
      </c>
      <c r="CK1354">
        <v>77</v>
      </c>
      <c r="CL1354">
        <v>-0.06</v>
      </c>
      <c r="CM1354">
        <v>73</v>
      </c>
      <c r="CN1354">
        <v>-0.5</v>
      </c>
      <c r="CO1354">
        <v>71</v>
      </c>
      <c r="CP1354">
        <v>-2.8</v>
      </c>
      <c r="CQ1354">
        <v>35</v>
      </c>
      <c r="CR1354">
        <v>0</v>
      </c>
      <c r="CS1354">
        <v>0</v>
      </c>
      <c r="CT1354">
        <v>-6</v>
      </c>
      <c r="CU1354">
        <v>24</v>
      </c>
      <c r="CV1354">
        <v>-0.1</v>
      </c>
      <c r="CW1354">
        <v>21</v>
      </c>
      <c r="CX1354" t="s">
        <v>3061</v>
      </c>
    </row>
    <row r="1355" spans="1:102" x14ac:dyDescent="0.3">
      <c r="A1355" t="str">
        <f>HYPERLINK("https://webapp.icbf.com/v2/app/bull-search/view/1361184922","S3131")</f>
        <v>S3131</v>
      </c>
      <c r="B1355" t="s">
        <v>13790</v>
      </c>
      <c r="C1355" t="s">
        <v>13791</v>
      </c>
      <c r="D1355" s="1">
        <v>41927</v>
      </c>
      <c r="E1355" t="s">
        <v>92</v>
      </c>
      <c r="F1355">
        <v>100</v>
      </c>
      <c r="G1355" t="s">
        <v>109</v>
      </c>
      <c r="H1355">
        <v>116.76</v>
      </c>
      <c r="I1355">
        <v>76</v>
      </c>
      <c r="J1355">
        <v>87.6</v>
      </c>
      <c r="K1355">
        <v>92</v>
      </c>
      <c r="L1355">
        <v>5.08</v>
      </c>
      <c r="M1355">
        <v>81</v>
      </c>
      <c r="N1355">
        <v>24.59</v>
      </c>
      <c r="O1355">
        <v>70</v>
      </c>
      <c r="P1355">
        <v>-1.1499999999999999</v>
      </c>
      <c r="Q1355">
        <v>46</v>
      </c>
      <c r="R1355">
        <v>7.42</v>
      </c>
      <c r="S1355">
        <v>71</v>
      </c>
      <c r="T1355">
        <v>-13.26</v>
      </c>
      <c r="U1355">
        <v>41</v>
      </c>
      <c r="V1355">
        <v>6.48</v>
      </c>
      <c r="W1355">
        <v>55</v>
      </c>
      <c r="X1355" t="s">
        <v>110</v>
      </c>
      <c r="Y1355" t="s">
        <v>457</v>
      </c>
      <c r="Z1355" t="s">
        <v>96</v>
      </c>
      <c r="AA1355" t="s">
        <v>2311</v>
      </c>
      <c r="AB1355" t="s">
        <v>13792</v>
      </c>
      <c r="AC1355">
        <v>0</v>
      </c>
      <c r="AD1355">
        <v>0</v>
      </c>
      <c r="AE1355">
        <v>92</v>
      </c>
      <c r="AF1355">
        <v>534.32000000000005</v>
      </c>
      <c r="AG1355">
        <v>18.14</v>
      </c>
      <c r="AH1355">
        <v>16.66</v>
      </c>
      <c r="AI1355">
        <v>-0.05</v>
      </c>
      <c r="AJ1355">
        <v>-0.02</v>
      </c>
      <c r="AK1355">
        <v>81</v>
      </c>
      <c r="AL1355">
        <v>0</v>
      </c>
      <c r="AM1355">
        <v>0</v>
      </c>
      <c r="AN1355">
        <v>0.13</v>
      </c>
      <c r="AO1355">
        <v>0.54</v>
      </c>
      <c r="AP1355">
        <v>12</v>
      </c>
      <c r="AQ1355">
        <v>0</v>
      </c>
      <c r="AR1355">
        <v>6.95</v>
      </c>
      <c r="AS1355">
        <v>59</v>
      </c>
      <c r="AT1355">
        <v>3.11</v>
      </c>
      <c r="AU1355">
        <v>92</v>
      </c>
      <c r="AV1355">
        <v>-2.31</v>
      </c>
      <c r="AW1355">
        <v>76</v>
      </c>
      <c r="AX1355">
        <v>-0.34</v>
      </c>
      <c r="AY1355">
        <v>53</v>
      </c>
      <c r="AZ1355">
        <v>5.51</v>
      </c>
      <c r="BA1355">
        <v>41</v>
      </c>
      <c r="BB1355">
        <v>4.54</v>
      </c>
      <c r="BC1355">
        <v>37</v>
      </c>
      <c r="BD1355">
        <v>-0.01</v>
      </c>
      <c r="BE1355">
        <v>-0.06</v>
      </c>
      <c r="BF1355">
        <v>-0.04</v>
      </c>
      <c r="BG1355">
        <v>89</v>
      </c>
      <c r="BH1355">
        <v>0.06</v>
      </c>
      <c r="BI1355">
        <v>-13.97</v>
      </c>
      <c r="BJ1355">
        <v>0</v>
      </c>
      <c r="BK1355">
        <v>0</v>
      </c>
      <c r="BL1355">
        <v>2.4700000000000002</v>
      </c>
      <c r="BM1355">
        <v>-0.33</v>
      </c>
      <c r="BN1355">
        <v>0.38</v>
      </c>
      <c r="BO1355">
        <v>1.18</v>
      </c>
      <c r="BP1355">
        <v>1.1299999999999999</v>
      </c>
      <c r="BQ1355">
        <v>3.35</v>
      </c>
      <c r="BR1355">
        <v>0.31</v>
      </c>
      <c r="BS1355">
        <v>-0.23</v>
      </c>
      <c r="BT1355">
        <v>0.04</v>
      </c>
      <c r="BU1355">
        <v>2.0099999999999998</v>
      </c>
      <c r="BV1355">
        <v>2.82</v>
      </c>
      <c r="BW1355">
        <v>3.27</v>
      </c>
      <c r="BX1355">
        <v>2.25</v>
      </c>
      <c r="BY1355">
        <v>2.78</v>
      </c>
      <c r="BZ1355">
        <v>0.03</v>
      </c>
      <c r="CA1355">
        <v>1.62</v>
      </c>
      <c r="CB1355">
        <v>2.2799999999999998</v>
      </c>
      <c r="CC1355">
        <v>-0.1</v>
      </c>
      <c r="CD1355">
        <v>-0.79</v>
      </c>
      <c r="CE1355">
        <v>0.36</v>
      </c>
      <c r="CF1355">
        <v>0.76</v>
      </c>
      <c r="CG1355">
        <v>0</v>
      </c>
      <c r="CH1355">
        <v>2.59</v>
      </c>
      <c r="CI1355">
        <v>0</v>
      </c>
      <c r="CJ1355">
        <v>2.2000000000000002</v>
      </c>
      <c r="CK1355">
        <v>47</v>
      </c>
      <c r="CL1355">
        <v>-1.56</v>
      </c>
      <c r="CM1355">
        <v>46</v>
      </c>
      <c r="CN1355">
        <v>-0.86</v>
      </c>
      <c r="CO1355">
        <v>46</v>
      </c>
      <c r="CP1355">
        <v>12.3</v>
      </c>
      <c r="CQ1355">
        <v>42</v>
      </c>
      <c r="CR1355">
        <v>0</v>
      </c>
      <c r="CS1355">
        <v>0</v>
      </c>
      <c r="CT1355">
        <v>31.7</v>
      </c>
      <c r="CU1355">
        <v>41</v>
      </c>
      <c r="CV1355">
        <v>0.28000000000000003</v>
      </c>
      <c r="CW1355">
        <v>35</v>
      </c>
      <c r="CX1355" t="s">
        <v>401</v>
      </c>
    </row>
    <row r="1356" spans="1:102" x14ac:dyDescent="0.3">
      <c r="A1356" t="str">
        <f>HYPERLINK("https://webapp.icbf.com/v2/app/bull-search/view/463280781","DXU")</f>
        <v>DXU</v>
      </c>
      <c r="B1356" t="s">
        <v>7912</v>
      </c>
      <c r="C1356" t="s">
        <v>1451</v>
      </c>
      <c r="D1356" s="1">
        <v>36761</v>
      </c>
      <c r="E1356" t="s">
        <v>92</v>
      </c>
      <c r="F1356">
        <v>75</v>
      </c>
      <c r="G1356" t="s">
        <v>93</v>
      </c>
      <c r="H1356">
        <v>116.64</v>
      </c>
      <c r="I1356">
        <v>96</v>
      </c>
      <c r="J1356">
        <v>61.39</v>
      </c>
      <c r="K1356">
        <v>99</v>
      </c>
      <c r="L1356">
        <v>11.18</v>
      </c>
      <c r="M1356">
        <v>94</v>
      </c>
      <c r="N1356">
        <v>27.99</v>
      </c>
      <c r="O1356">
        <v>96</v>
      </c>
      <c r="P1356">
        <v>-29.07</v>
      </c>
      <c r="Q1356">
        <v>97</v>
      </c>
      <c r="R1356">
        <v>2.0699999999999998</v>
      </c>
      <c r="S1356">
        <v>92</v>
      </c>
      <c r="T1356">
        <v>27.96</v>
      </c>
      <c r="U1356">
        <v>97</v>
      </c>
      <c r="V1356">
        <v>15.12</v>
      </c>
      <c r="W1356">
        <v>94</v>
      </c>
      <c r="X1356" t="s">
        <v>302</v>
      </c>
      <c r="Y1356" t="s">
        <v>95</v>
      </c>
      <c r="Z1356" t="s">
        <v>96</v>
      </c>
      <c r="AA1356" t="s">
        <v>1257</v>
      </c>
      <c r="AB1356" t="s">
        <v>7913</v>
      </c>
      <c r="AC1356">
        <v>379</v>
      </c>
      <c r="AD1356">
        <v>96</v>
      </c>
      <c r="AE1356">
        <v>99</v>
      </c>
      <c r="AF1356">
        <v>234.08</v>
      </c>
      <c r="AG1356">
        <v>12.7</v>
      </c>
      <c r="AH1356">
        <v>9.5299999999999994</v>
      </c>
      <c r="AI1356">
        <v>0.06</v>
      </c>
      <c r="AJ1356">
        <v>0.03</v>
      </c>
      <c r="AK1356">
        <v>94</v>
      </c>
      <c r="AL1356">
        <v>377</v>
      </c>
      <c r="AM1356">
        <v>87</v>
      </c>
      <c r="AN1356">
        <v>0.06</v>
      </c>
      <c r="AO1356">
        <v>0.96</v>
      </c>
      <c r="AP1356">
        <v>601</v>
      </c>
      <c r="AQ1356">
        <v>7</v>
      </c>
      <c r="AR1356">
        <v>4.1900000000000004</v>
      </c>
      <c r="AS1356">
        <v>94</v>
      </c>
      <c r="AT1356">
        <v>1.71</v>
      </c>
      <c r="AU1356">
        <v>97</v>
      </c>
      <c r="AV1356">
        <v>-1.21</v>
      </c>
      <c r="AW1356">
        <v>99</v>
      </c>
      <c r="AX1356">
        <v>-0.19</v>
      </c>
      <c r="AY1356">
        <v>94</v>
      </c>
      <c r="AZ1356">
        <v>5.86</v>
      </c>
      <c r="BA1356">
        <v>88</v>
      </c>
      <c r="BB1356">
        <v>5.1100000000000003</v>
      </c>
      <c r="BC1356">
        <v>89</v>
      </c>
      <c r="BD1356">
        <v>-0.04</v>
      </c>
      <c r="BE1356">
        <v>0.01</v>
      </c>
      <c r="BF1356">
        <v>0</v>
      </c>
      <c r="BG1356">
        <v>96</v>
      </c>
      <c r="BH1356">
        <v>0.16</v>
      </c>
      <c r="BI1356">
        <v>-30.27</v>
      </c>
      <c r="BJ1356">
        <v>6</v>
      </c>
      <c r="BK1356">
        <v>6</v>
      </c>
      <c r="BL1356">
        <v>-1.29</v>
      </c>
      <c r="BM1356">
        <v>-0.82</v>
      </c>
      <c r="BN1356">
        <v>-0.87</v>
      </c>
      <c r="BO1356">
        <v>-0.28999999999999998</v>
      </c>
      <c r="BP1356">
        <v>-2.64</v>
      </c>
      <c r="BQ1356">
        <v>-2.59</v>
      </c>
      <c r="BR1356">
        <v>0.79</v>
      </c>
      <c r="BS1356">
        <v>-1.26</v>
      </c>
      <c r="BT1356">
        <v>-1.78</v>
      </c>
      <c r="BU1356">
        <v>-1.28</v>
      </c>
      <c r="BV1356">
        <v>-1.1399999999999999</v>
      </c>
      <c r="BW1356">
        <v>-0.85</v>
      </c>
      <c r="BX1356">
        <v>-2.38</v>
      </c>
      <c r="BY1356">
        <v>-0.75</v>
      </c>
      <c r="BZ1356">
        <v>-1.89</v>
      </c>
      <c r="CA1356">
        <v>-0.78</v>
      </c>
      <c r="CB1356">
        <v>-0.63</v>
      </c>
      <c r="CC1356">
        <v>-1.31</v>
      </c>
      <c r="CD1356">
        <v>-0.08</v>
      </c>
      <c r="CE1356">
        <v>-0.88</v>
      </c>
      <c r="CF1356">
        <v>-2.52</v>
      </c>
      <c r="CG1356">
        <v>0</v>
      </c>
      <c r="CH1356">
        <v>-0.65</v>
      </c>
      <c r="CI1356">
        <v>0</v>
      </c>
      <c r="CJ1356">
        <v>-14.4</v>
      </c>
      <c r="CK1356">
        <v>97</v>
      </c>
      <c r="CL1356">
        <v>-0.72</v>
      </c>
      <c r="CM1356">
        <v>97</v>
      </c>
      <c r="CN1356">
        <v>-0.11</v>
      </c>
      <c r="CO1356">
        <v>96</v>
      </c>
      <c r="CP1356">
        <v>-20.399999999999999</v>
      </c>
      <c r="CQ1356">
        <v>97</v>
      </c>
      <c r="CR1356">
        <v>0</v>
      </c>
      <c r="CS1356">
        <v>0</v>
      </c>
      <c r="CT1356">
        <v>-24</v>
      </c>
      <c r="CU1356">
        <v>97</v>
      </c>
      <c r="CV1356">
        <v>0.03</v>
      </c>
      <c r="CW1356">
        <v>46</v>
      </c>
      <c r="CX1356" t="s">
        <v>6611</v>
      </c>
    </row>
    <row r="1357" spans="1:102" x14ac:dyDescent="0.3">
      <c r="A1357" t="str">
        <f>HYPERLINK("https://webapp.icbf.com/v2/app/bull-search/view/69091333","CDZ")</f>
        <v>CDZ</v>
      </c>
      <c r="B1357" t="s">
        <v>684</v>
      </c>
      <c r="C1357" t="s">
        <v>685</v>
      </c>
      <c r="D1357" s="1">
        <v>36213</v>
      </c>
      <c r="E1357" t="s">
        <v>108</v>
      </c>
      <c r="F1357">
        <v>3</v>
      </c>
      <c r="G1357" t="s">
        <v>93</v>
      </c>
      <c r="H1357">
        <v>116.46</v>
      </c>
      <c r="I1357">
        <v>93</v>
      </c>
      <c r="J1357">
        <v>-38.28</v>
      </c>
      <c r="K1357">
        <v>98</v>
      </c>
      <c r="L1357">
        <v>109.44</v>
      </c>
      <c r="M1357">
        <v>87</v>
      </c>
      <c r="N1357">
        <v>30.25</v>
      </c>
      <c r="O1357">
        <v>93</v>
      </c>
      <c r="P1357">
        <v>-15.35</v>
      </c>
      <c r="Q1357">
        <v>98</v>
      </c>
      <c r="R1357">
        <v>4.7</v>
      </c>
      <c r="S1357">
        <v>88</v>
      </c>
      <c r="T1357">
        <v>23.37</v>
      </c>
      <c r="U1357">
        <v>94</v>
      </c>
      <c r="V1357">
        <v>2.33</v>
      </c>
      <c r="W1357">
        <v>91</v>
      </c>
      <c r="X1357" t="s">
        <v>276</v>
      </c>
      <c r="Y1357" t="s">
        <v>95</v>
      </c>
      <c r="Z1357" t="s">
        <v>96</v>
      </c>
      <c r="AA1357" t="s">
        <v>686</v>
      </c>
      <c r="AB1357" t="s">
        <v>687</v>
      </c>
      <c r="AC1357">
        <v>234</v>
      </c>
      <c r="AD1357">
        <v>90</v>
      </c>
      <c r="AE1357">
        <v>98</v>
      </c>
      <c r="AF1357">
        <v>-73.62</v>
      </c>
      <c r="AG1357">
        <v>-1.52</v>
      </c>
      <c r="AH1357">
        <v>-7.1</v>
      </c>
      <c r="AI1357">
        <v>0.02</v>
      </c>
      <c r="AJ1357">
        <v>-0.08</v>
      </c>
      <c r="AK1357">
        <v>87</v>
      </c>
      <c r="AL1357">
        <v>407</v>
      </c>
      <c r="AM1357">
        <v>149</v>
      </c>
      <c r="AN1357">
        <v>-6.57</v>
      </c>
      <c r="AO1357">
        <v>2.15</v>
      </c>
      <c r="AP1357">
        <v>507</v>
      </c>
      <c r="AQ1357">
        <v>6</v>
      </c>
      <c r="AR1357">
        <v>7.73</v>
      </c>
      <c r="AS1357">
        <v>94</v>
      </c>
      <c r="AT1357">
        <v>2.94</v>
      </c>
      <c r="AU1357">
        <v>92</v>
      </c>
      <c r="AV1357">
        <v>-3.5</v>
      </c>
      <c r="AW1357">
        <v>98</v>
      </c>
      <c r="AX1357">
        <v>-0.13</v>
      </c>
      <c r="AY1357">
        <v>94</v>
      </c>
      <c r="AZ1357">
        <v>6.56</v>
      </c>
      <c r="BA1357">
        <v>81</v>
      </c>
      <c r="BB1357">
        <v>4.8</v>
      </c>
      <c r="BC1357">
        <v>85</v>
      </c>
      <c r="BD1357">
        <v>0</v>
      </c>
      <c r="BE1357">
        <v>-0.02</v>
      </c>
      <c r="BF1357">
        <v>-7.0000000000000007E-2</v>
      </c>
      <c r="BG1357">
        <v>94</v>
      </c>
      <c r="BH1357">
        <v>-0.06</v>
      </c>
      <c r="BI1357">
        <v>-14.47</v>
      </c>
      <c r="BJ1357">
        <v>11</v>
      </c>
      <c r="BK1357">
        <v>7</v>
      </c>
      <c r="BL1357">
        <v>-3.21</v>
      </c>
      <c r="BM1357">
        <v>0.63</v>
      </c>
      <c r="BN1357">
        <v>-2.4500000000000002</v>
      </c>
      <c r="BO1357">
        <v>-2.74</v>
      </c>
      <c r="BP1357">
        <v>0.47</v>
      </c>
      <c r="BQ1357">
        <v>-1.61</v>
      </c>
      <c r="BR1357">
        <v>-0.82</v>
      </c>
      <c r="BS1357">
        <v>0.63</v>
      </c>
      <c r="BT1357">
        <v>-0.25</v>
      </c>
      <c r="BU1357">
        <v>-1.65</v>
      </c>
      <c r="BV1357">
        <v>-2.33</v>
      </c>
      <c r="BW1357">
        <v>-2.76</v>
      </c>
      <c r="BX1357">
        <v>-1.46</v>
      </c>
      <c r="BY1357">
        <v>-2.75</v>
      </c>
      <c r="BZ1357">
        <v>-1.66</v>
      </c>
      <c r="CA1357">
        <v>-1.64</v>
      </c>
      <c r="CB1357">
        <v>-2.88</v>
      </c>
      <c r="CC1357">
        <v>0.15</v>
      </c>
      <c r="CD1357">
        <v>2.08</v>
      </c>
      <c r="CE1357">
        <v>-2.13</v>
      </c>
      <c r="CF1357">
        <v>-2.48</v>
      </c>
      <c r="CG1357">
        <v>0</v>
      </c>
      <c r="CH1357">
        <v>-0.42</v>
      </c>
      <c r="CI1357">
        <v>0</v>
      </c>
      <c r="CJ1357">
        <v>-8.5</v>
      </c>
      <c r="CK1357">
        <v>98</v>
      </c>
      <c r="CL1357">
        <v>-0.25</v>
      </c>
      <c r="CM1357">
        <v>98</v>
      </c>
      <c r="CN1357">
        <v>-0.06</v>
      </c>
      <c r="CO1357">
        <v>98</v>
      </c>
      <c r="CP1357">
        <v>-11.6</v>
      </c>
      <c r="CQ1357">
        <v>96</v>
      </c>
      <c r="CR1357">
        <v>0</v>
      </c>
      <c r="CS1357">
        <v>0</v>
      </c>
      <c r="CT1357">
        <v>-17.8</v>
      </c>
      <c r="CU1357">
        <v>94</v>
      </c>
      <c r="CV1357">
        <v>-0.05</v>
      </c>
      <c r="CW1357">
        <v>45</v>
      </c>
      <c r="CX1357" t="s">
        <v>688</v>
      </c>
    </row>
    <row r="1358" spans="1:102" x14ac:dyDescent="0.3">
      <c r="A1358" t="str">
        <f>HYPERLINK("https://webapp.icbf.com/v2/app/bull-search/view/124414609","DOV")</f>
        <v>DOV</v>
      </c>
      <c r="B1358" t="s">
        <v>8245</v>
      </c>
      <c r="C1358" t="s">
        <v>8246</v>
      </c>
      <c r="D1358" s="1">
        <v>35334</v>
      </c>
      <c r="E1358" t="s">
        <v>92</v>
      </c>
      <c r="F1358">
        <v>81</v>
      </c>
      <c r="G1358" t="s">
        <v>93</v>
      </c>
      <c r="H1358">
        <v>116.44</v>
      </c>
      <c r="I1358">
        <v>93</v>
      </c>
      <c r="J1358">
        <v>14.59</v>
      </c>
      <c r="K1358">
        <v>98</v>
      </c>
      <c r="L1358">
        <v>80.510000000000005</v>
      </c>
      <c r="M1358">
        <v>87</v>
      </c>
      <c r="N1358">
        <v>17.54</v>
      </c>
      <c r="O1358">
        <v>93</v>
      </c>
      <c r="P1358">
        <v>-15.19</v>
      </c>
      <c r="Q1358">
        <v>98</v>
      </c>
      <c r="R1358">
        <v>12.79</v>
      </c>
      <c r="S1358">
        <v>91</v>
      </c>
      <c r="T1358">
        <v>12.86</v>
      </c>
      <c r="U1358">
        <v>96</v>
      </c>
      <c r="V1358">
        <v>-6.66</v>
      </c>
      <c r="W1358">
        <v>92</v>
      </c>
      <c r="X1358" t="s">
        <v>102</v>
      </c>
      <c r="Y1358" t="s">
        <v>95</v>
      </c>
      <c r="Z1358" t="s">
        <v>96</v>
      </c>
      <c r="AA1358" t="s">
        <v>529</v>
      </c>
      <c r="AB1358" t="s">
        <v>981</v>
      </c>
      <c r="AC1358">
        <v>289</v>
      </c>
      <c r="AD1358">
        <v>160</v>
      </c>
      <c r="AE1358">
        <v>98</v>
      </c>
      <c r="AF1358">
        <v>3.99</v>
      </c>
      <c r="AG1358">
        <v>0.15</v>
      </c>
      <c r="AH1358">
        <v>2.4900000000000002</v>
      </c>
      <c r="AI1358">
        <v>0</v>
      </c>
      <c r="AJ1358">
        <v>0.04</v>
      </c>
      <c r="AK1358">
        <v>87</v>
      </c>
      <c r="AL1358">
        <v>361</v>
      </c>
      <c r="AM1358">
        <v>182</v>
      </c>
      <c r="AN1358">
        <v>-3.68</v>
      </c>
      <c r="AO1358">
        <v>2.75</v>
      </c>
      <c r="AP1358">
        <v>464</v>
      </c>
      <c r="AQ1358">
        <v>2</v>
      </c>
      <c r="AR1358">
        <v>7.01</v>
      </c>
      <c r="AS1358">
        <v>83</v>
      </c>
      <c r="AT1358">
        <v>2.79</v>
      </c>
      <c r="AU1358">
        <v>94</v>
      </c>
      <c r="AV1358">
        <v>-0.99</v>
      </c>
      <c r="AW1358">
        <v>98</v>
      </c>
      <c r="AX1358">
        <v>-0.7</v>
      </c>
      <c r="AY1358">
        <v>94</v>
      </c>
      <c r="AZ1358">
        <v>5.55</v>
      </c>
      <c r="BA1358">
        <v>82</v>
      </c>
      <c r="BB1358">
        <v>4.53</v>
      </c>
      <c r="BC1358">
        <v>86</v>
      </c>
      <c r="BD1358">
        <v>-0.03</v>
      </c>
      <c r="BE1358">
        <v>-0.06</v>
      </c>
      <c r="BF1358">
        <v>-0.13</v>
      </c>
      <c r="BG1358">
        <v>95</v>
      </c>
      <c r="BH1358">
        <v>-0.24</v>
      </c>
      <c r="BI1358">
        <v>-6.27</v>
      </c>
      <c r="BJ1358">
        <v>10</v>
      </c>
      <c r="BK1358">
        <v>10</v>
      </c>
      <c r="BL1358">
        <v>-1.86</v>
      </c>
      <c r="BM1358">
        <v>-0.11</v>
      </c>
      <c r="BN1358">
        <v>-1.81</v>
      </c>
      <c r="BO1358">
        <v>-1.47</v>
      </c>
      <c r="BP1358">
        <v>-0.4</v>
      </c>
      <c r="BQ1358">
        <v>-0.27</v>
      </c>
      <c r="BR1358">
        <v>-1.73</v>
      </c>
      <c r="BS1358">
        <v>0.35</v>
      </c>
      <c r="BT1358">
        <v>0.67</v>
      </c>
      <c r="BU1358">
        <v>-1.72</v>
      </c>
      <c r="BV1358">
        <v>-1.44</v>
      </c>
      <c r="BW1358">
        <v>-2.3199999999999998</v>
      </c>
      <c r="BX1358">
        <v>-1.31</v>
      </c>
      <c r="BY1358">
        <v>-2.67</v>
      </c>
      <c r="BZ1358">
        <v>-1.48</v>
      </c>
      <c r="CA1358">
        <v>-1.97</v>
      </c>
      <c r="CB1358">
        <v>-2.23</v>
      </c>
      <c r="CC1358">
        <v>-0.56999999999999995</v>
      </c>
      <c r="CD1358">
        <v>0.93</v>
      </c>
      <c r="CE1358">
        <v>-1.32</v>
      </c>
      <c r="CF1358">
        <v>-1.1599999999999999</v>
      </c>
      <c r="CG1358">
        <v>0</v>
      </c>
      <c r="CH1358">
        <v>-2.44</v>
      </c>
      <c r="CI1358">
        <v>0</v>
      </c>
      <c r="CJ1358">
        <v>-6.8</v>
      </c>
      <c r="CK1358">
        <v>98</v>
      </c>
      <c r="CL1358">
        <v>-0.5</v>
      </c>
      <c r="CM1358">
        <v>97</v>
      </c>
      <c r="CN1358">
        <v>-0.04</v>
      </c>
      <c r="CO1358">
        <v>97</v>
      </c>
      <c r="CP1358">
        <v>-7.4</v>
      </c>
      <c r="CQ1358">
        <v>97</v>
      </c>
      <c r="CR1358">
        <v>0</v>
      </c>
      <c r="CS1358">
        <v>0</v>
      </c>
      <c r="CT1358">
        <v>-3.6</v>
      </c>
      <c r="CU1358">
        <v>96</v>
      </c>
      <c r="CV1358">
        <v>-0.01</v>
      </c>
      <c r="CW1358">
        <v>46</v>
      </c>
      <c r="CX1358" t="s">
        <v>982</v>
      </c>
    </row>
    <row r="1359" spans="1:102" x14ac:dyDescent="0.3">
      <c r="A1359" t="str">
        <f>HYPERLINK("https://webapp.icbf.com/v2/app/bull-search/view/812469561","S1527")</f>
        <v>S1527</v>
      </c>
      <c r="B1359" t="s">
        <v>9628</v>
      </c>
      <c r="C1359" t="s">
        <v>9629</v>
      </c>
      <c r="D1359" s="1">
        <v>39886</v>
      </c>
      <c r="E1359" t="s">
        <v>227</v>
      </c>
      <c r="F1359">
        <v>0</v>
      </c>
      <c r="G1359" t="s">
        <v>109</v>
      </c>
      <c r="H1359">
        <v>116.44</v>
      </c>
      <c r="I1359">
        <v>70</v>
      </c>
      <c r="J1359">
        <v>59.49</v>
      </c>
      <c r="K1359">
        <v>87</v>
      </c>
      <c r="L1359">
        <v>40.130000000000003</v>
      </c>
      <c r="M1359">
        <v>75</v>
      </c>
      <c r="N1359">
        <v>28.21</v>
      </c>
      <c r="O1359">
        <v>47</v>
      </c>
      <c r="P1359">
        <v>-66.16</v>
      </c>
      <c r="Q1359">
        <v>49</v>
      </c>
      <c r="R1359">
        <v>-2.23</v>
      </c>
      <c r="S1359">
        <v>59</v>
      </c>
      <c r="T1359">
        <v>55.71</v>
      </c>
      <c r="U1359">
        <v>37</v>
      </c>
      <c r="V1359">
        <v>1.29</v>
      </c>
      <c r="W1359">
        <v>60</v>
      </c>
      <c r="X1359" t="s">
        <v>251</v>
      </c>
      <c r="Y1359" t="s">
        <v>362</v>
      </c>
      <c r="Z1359">
        <v>0</v>
      </c>
      <c r="AA1359" t="s">
        <v>9630</v>
      </c>
      <c r="AB1359" t="s">
        <v>9631</v>
      </c>
      <c r="AC1359">
        <v>0</v>
      </c>
      <c r="AD1359">
        <v>0</v>
      </c>
      <c r="AE1359">
        <v>87</v>
      </c>
      <c r="AF1359">
        <v>-252.55</v>
      </c>
      <c r="AG1359">
        <v>13.12</v>
      </c>
      <c r="AH1359">
        <v>1.61</v>
      </c>
      <c r="AI1359">
        <v>0.42</v>
      </c>
      <c r="AJ1359">
        <v>0.19</v>
      </c>
      <c r="AK1359">
        <v>75</v>
      </c>
      <c r="AL1359">
        <v>0</v>
      </c>
      <c r="AM1359">
        <v>0</v>
      </c>
      <c r="AN1359">
        <v>-0.65</v>
      </c>
      <c r="AO1359">
        <v>2.57</v>
      </c>
      <c r="AP1359">
        <v>9</v>
      </c>
      <c r="AQ1359">
        <v>0</v>
      </c>
      <c r="AR1359">
        <v>2.4900000000000002</v>
      </c>
      <c r="AS1359">
        <v>45</v>
      </c>
      <c r="AT1359">
        <v>1.53</v>
      </c>
      <c r="AU1359">
        <v>53</v>
      </c>
      <c r="AV1359">
        <v>-1.72</v>
      </c>
      <c r="AW1359">
        <v>51</v>
      </c>
      <c r="AX1359">
        <v>1.03</v>
      </c>
      <c r="AY1359">
        <v>40</v>
      </c>
      <c r="AZ1359">
        <v>7.3</v>
      </c>
      <c r="BA1359">
        <v>38</v>
      </c>
      <c r="BB1359">
        <v>5.5</v>
      </c>
      <c r="BC1359">
        <v>36</v>
      </c>
      <c r="BD1359">
        <v>-7.0000000000000007E-2</v>
      </c>
      <c r="BE1359">
        <v>0.02</v>
      </c>
      <c r="BF1359">
        <v>0.13</v>
      </c>
      <c r="BG1359">
        <v>64</v>
      </c>
      <c r="BH1359">
        <v>0.08</v>
      </c>
      <c r="BI1359">
        <v>5.0999999999999996</v>
      </c>
      <c r="BJ1359">
        <v>1</v>
      </c>
      <c r="BK1359">
        <v>1</v>
      </c>
      <c r="BL1359">
        <v>-1.68</v>
      </c>
      <c r="BM1359">
        <v>-1.87</v>
      </c>
      <c r="BN1359">
        <v>-0.47</v>
      </c>
      <c r="BO1359">
        <v>1.35</v>
      </c>
      <c r="BP1359">
        <v>7.0000000000000007E-2</v>
      </c>
      <c r="BQ1359">
        <v>-5.25</v>
      </c>
      <c r="BR1359">
        <v>2.35</v>
      </c>
      <c r="BS1359">
        <v>6.25</v>
      </c>
      <c r="BT1359">
        <v>-1.58</v>
      </c>
      <c r="BU1359">
        <v>-0.01</v>
      </c>
      <c r="BV1359">
        <v>0.63</v>
      </c>
      <c r="BW1359">
        <v>-1.56</v>
      </c>
      <c r="BX1359">
        <v>-3.11</v>
      </c>
      <c r="BY1359">
        <v>0</v>
      </c>
      <c r="BZ1359">
        <v>-0.01</v>
      </c>
      <c r="CA1359">
        <v>2.04</v>
      </c>
      <c r="CB1359">
        <v>0.45</v>
      </c>
      <c r="CC1359">
        <v>4.33</v>
      </c>
      <c r="CD1359">
        <v>-2.0299999999999998</v>
      </c>
      <c r="CE1359">
        <v>1.28</v>
      </c>
      <c r="CF1359">
        <v>-1.54</v>
      </c>
      <c r="CG1359">
        <v>0</v>
      </c>
      <c r="CH1359">
        <v>-0.41</v>
      </c>
      <c r="CI1359">
        <v>0</v>
      </c>
      <c r="CJ1359">
        <v>-33.1</v>
      </c>
      <c r="CK1359">
        <v>52</v>
      </c>
      <c r="CL1359">
        <v>-1.44</v>
      </c>
      <c r="CM1359">
        <v>48</v>
      </c>
      <c r="CN1359">
        <v>-0.13</v>
      </c>
      <c r="CO1359">
        <v>47</v>
      </c>
      <c r="CP1359">
        <v>-47.6</v>
      </c>
      <c r="CQ1359">
        <v>39</v>
      </c>
      <c r="CR1359">
        <v>0</v>
      </c>
      <c r="CS1359">
        <v>0</v>
      </c>
      <c r="CT1359">
        <v>-61.5</v>
      </c>
      <c r="CU1359">
        <v>37</v>
      </c>
      <c r="CV1359">
        <v>-0.27</v>
      </c>
      <c r="CW1359">
        <v>35</v>
      </c>
      <c r="CX1359" t="s">
        <v>788</v>
      </c>
    </row>
    <row r="1360" spans="1:102" x14ac:dyDescent="0.3">
      <c r="A1360" t="str">
        <f>HYPERLINK("https://webapp.icbf.com/v2/app/bull-search/view/1125386737","S2065")</f>
        <v>S2065</v>
      </c>
      <c r="B1360" t="s">
        <v>6951</v>
      </c>
      <c r="C1360" t="s">
        <v>6952</v>
      </c>
      <c r="D1360" s="1">
        <v>40426</v>
      </c>
      <c r="E1360" t="s">
        <v>92</v>
      </c>
      <c r="F1360">
        <v>100</v>
      </c>
      <c r="G1360" t="s">
        <v>109</v>
      </c>
      <c r="H1360">
        <v>116.35</v>
      </c>
      <c r="I1360">
        <v>51</v>
      </c>
      <c r="J1360">
        <v>55.56</v>
      </c>
      <c r="K1360">
        <v>66</v>
      </c>
      <c r="L1360">
        <v>35.1</v>
      </c>
      <c r="M1360">
        <v>51</v>
      </c>
      <c r="N1360">
        <v>13.76</v>
      </c>
      <c r="O1360">
        <v>41</v>
      </c>
      <c r="P1360">
        <v>-5.67</v>
      </c>
      <c r="Q1360">
        <v>35</v>
      </c>
      <c r="R1360">
        <v>12.58</v>
      </c>
      <c r="S1360">
        <v>45</v>
      </c>
      <c r="T1360">
        <v>1.17</v>
      </c>
      <c r="U1360">
        <v>28</v>
      </c>
      <c r="V1360">
        <v>3.85</v>
      </c>
      <c r="W1360">
        <v>25</v>
      </c>
      <c r="X1360" t="s">
        <v>234</v>
      </c>
      <c r="Y1360" t="s">
        <v>367</v>
      </c>
      <c r="Z1360" t="s">
        <v>96</v>
      </c>
      <c r="AA1360" t="s">
        <v>1848</v>
      </c>
      <c r="AB1360" t="s">
        <v>6953</v>
      </c>
      <c r="AC1360">
        <v>0</v>
      </c>
      <c r="AD1360">
        <v>0</v>
      </c>
      <c r="AE1360">
        <v>66</v>
      </c>
      <c r="AF1360">
        <v>438.47</v>
      </c>
      <c r="AG1360">
        <v>9.16</v>
      </c>
      <c r="AH1360">
        <v>12.92</v>
      </c>
      <c r="AI1360">
        <v>-0.12</v>
      </c>
      <c r="AJ1360">
        <v>-0.03</v>
      </c>
      <c r="AK1360">
        <v>51</v>
      </c>
      <c r="AL1360">
        <v>0</v>
      </c>
      <c r="AM1360">
        <v>0</v>
      </c>
      <c r="AN1360">
        <v>-1.06</v>
      </c>
      <c r="AO1360">
        <v>1.75</v>
      </c>
      <c r="AP1360">
        <v>4</v>
      </c>
      <c r="AQ1360">
        <v>0</v>
      </c>
      <c r="AR1360">
        <v>7.63</v>
      </c>
      <c r="AS1360">
        <v>34</v>
      </c>
      <c r="AT1360">
        <v>3.41</v>
      </c>
      <c r="AU1360">
        <v>65</v>
      </c>
      <c r="AV1360">
        <v>-1.87</v>
      </c>
      <c r="AW1360">
        <v>39</v>
      </c>
      <c r="AX1360">
        <v>0.47</v>
      </c>
      <c r="AY1360">
        <v>31</v>
      </c>
      <c r="AZ1360">
        <v>6.01</v>
      </c>
      <c r="BA1360">
        <v>24</v>
      </c>
      <c r="BB1360">
        <v>4.5599999999999996</v>
      </c>
      <c r="BC1360">
        <v>21</v>
      </c>
      <c r="BD1360">
        <v>-0.02</v>
      </c>
      <c r="BE1360">
        <v>-0.04</v>
      </c>
      <c r="BF1360">
        <v>-0.18</v>
      </c>
      <c r="BG1360">
        <v>65</v>
      </c>
      <c r="BH1360">
        <v>7.0000000000000007E-2</v>
      </c>
      <c r="BI1360">
        <v>-4.3099999999999996</v>
      </c>
      <c r="BJ1360">
        <v>1</v>
      </c>
      <c r="BK1360">
        <v>1</v>
      </c>
      <c r="BL1360">
        <v>1.43</v>
      </c>
      <c r="BM1360">
        <v>0.35</v>
      </c>
      <c r="BN1360">
        <v>0.75</v>
      </c>
      <c r="BO1360">
        <v>0.62</v>
      </c>
      <c r="BP1360">
        <v>-0.81</v>
      </c>
      <c r="BQ1360">
        <v>0.83</v>
      </c>
      <c r="BR1360">
        <v>0.02</v>
      </c>
      <c r="BS1360">
        <v>0.68</v>
      </c>
      <c r="BT1360">
        <v>0.7</v>
      </c>
      <c r="BU1360">
        <v>1.54</v>
      </c>
      <c r="BV1360">
        <v>1.33</v>
      </c>
      <c r="BW1360">
        <v>1.47</v>
      </c>
      <c r="BX1360">
        <v>1.55</v>
      </c>
      <c r="BY1360">
        <v>1.07</v>
      </c>
      <c r="BZ1360">
        <v>-0.1</v>
      </c>
      <c r="CA1360">
        <v>1.45</v>
      </c>
      <c r="CB1360">
        <v>1.3</v>
      </c>
      <c r="CC1360">
        <v>1.06</v>
      </c>
      <c r="CD1360">
        <v>-0.09</v>
      </c>
      <c r="CE1360">
        <v>0.63</v>
      </c>
      <c r="CF1360">
        <v>1.1100000000000001</v>
      </c>
      <c r="CG1360">
        <v>0</v>
      </c>
      <c r="CH1360">
        <v>0.84</v>
      </c>
      <c r="CI1360">
        <v>0</v>
      </c>
      <c r="CJ1360">
        <v>-1.4</v>
      </c>
      <c r="CK1360">
        <v>36</v>
      </c>
      <c r="CL1360">
        <v>-1.02</v>
      </c>
      <c r="CM1360">
        <v>34</v>
      </c>
      <c r="CN1360">
        <v>-0.55000000000000004</v>
      </c>
      <c r="CO1360">
        <v>33</v>
      </c>
      <c r="CP1360">
        <v>2.2999999999999998</v>
      </c>
      <c r="CQ1360">
        <v>32</v>
      </c>
      <c r="CR1360">
        <v>0</v>
      </c>
      <c r="CS1360">
        <v>0</v>
      </c>
      <c r="CT1360">
        <v>12.2</v>
      </c>
      <c r="CU1360">
        <v>28</v>
      </c>
      <c r="CV1360">
        <v>0.27</v>
      </c>
      <c r="CW1360">
        <v>11</v>
      </c>
      <c r="CX1360" t="s">
        <v>350</v>
      </c>
    </row>
    <row r="1361" spans="1:102" x14ac:dyDescent="0.3">
      <c r="A1361" t="str">
        <f>HYPERLINK("https://webapp.icbf.com/v2/app/bull-search/view/804576769","S1036")</f>
        <v>S1036</v>
      </c>
      <c r="B1361" t="s">
        <v>5318</v>
      </c>
      <c r="C1361" t="s">
        <v>5319</v>
      </c>
      <c r="D1361" s="1">
        <v>38614</v>
      </c>
      <c r="E1361" t="s">
        <v>92</v>
      </c>
      <c r="F1361">
        <v>100</v>
      </c>
      <c r="G1361" t="s">
        <v>93</v>
      </c>
      <c r="H1361">
        <v>116.32</v>
      </c>
      <c r="I1361">
        <v>96</v>
      </c>
      <c r="J1361">
        <v>92.63</v>
      </c>
      <c r="K1361">
        <v>99</v>
      </c>
      <c r="L1361">
        <v>8.68</v>
      </c>
      <c r="M1361">
        <v>94</v>
      </c>
      <c r="N1361">
        <v>13.72</v>
      </c>
      <c r="O1361">
        <v>98</v>
      </c>
      <c r="P1361">
        <v>-2.68</v>
      </c>
      <c r="Q1361">
        <v>99</v>
      </c>
      <c r="R1361">
        <v>4.0599999999999996</v>
      </c>
      <c r="S1361">
        <v>94</v>
      </c>
      <c r="T1361">
        <v>-7.26</v>
      </c>
      <c r="U1361">
        <v>98</v>
      </c>
      <c r="V1361">
        <v>7.17</v>
      </c>
      <c r="W1361">
        <v>86</v>
      </c>
      <c r="X1361" t="s">
        <v>276</v>
      </c>
      <c r="Y1361" t="s">
        <v>336</v>
      </c>
      <c r="Z1361" t="s">
        <v>96</v>
      </c>
      <c r="AA1361" t="s">
        <v>350</v>
      </c>
      <c r="AB1361" t="s">
        <v>5320</v>
      </c>
      <c r="AC1361">
        <v>3569</v>
      </c>
      <c r="AD1361">
        <v>696</v>
      </c>
      <c r="AE1361">
        <v>99</v>
      </c>
      <c r="AF1361">
        <v>390.25</v>
      </c>
      <c r="AG1361">
        <v>20.88</v>
      </c>
      <c r="AH1361">
        <v>14.34</v>
      </c>
      <c r="AI1361">
        <v>0.09</v>
      </c>
      <c r="AJ1361">
        <v>0.02</v>
      </c>
      <c r="AK1361">
        <v>94</v>
      </c>
      <c r="AL1361">
        <v>3020</v>
      </c>
      <c r="AM1361">
        <v>713</v>
      </c>
      <c r="AN1361">
        <v>0.93</v>
      </c>
      <c r="AO1361">
        <v>1.64</v>
      </c>
      <c r="AP1361">
        <v>6612</v>
      </c>
      <c r="AQ1361">
        <v>46</v>
      </c>
      <c r="AR1361">
        <v>7.5</v>
      </c>
      <c r="AS1361">
        <v>99</v>
      </c>
      <c r="AT1361">
        <v>3.54</v>
      </c>
      <c r="AU1361">
        <v>99</v>
      </c>
      <c r="AV1361">
        <v>-1.5</v>
      </c>
      <c r="AW1361">
        <v>99</v>
      </c>
      <c r="AX1361">
        <v>-0.86</v>
      </c>
      <c r="AY1361">
        <v>99</v>
      </c>
      <c r="AZ1361">
        <v>6.22</v>
      </c>
      <c r="BA1361">
        <v>97</v>
      </c>
      <c r="BB1361">
        <v>4.43</v>
      </c>
      <c r="BC1361">
        <v>96</v>
      </c>
      <c r="BD1361">
        <v>-0.02</v>
      </c>
      <c r="BE1361">
        <v>0</v>
      </c>
      <c r="BF1361">
        <v>-0.06</v>
      </c>
      <c r="BG1361">
        <v>99</v>
      </c>
      <c r="BH1361">
        <v>0.09</v>
      </c>
      <c r="BI1361">
        <v>-12.73</v>
      </c>
      <c r="BJ1361">
        <v>902</v>
      </c>
      <c r="BK1361">
        <v>279</v>
      </c>
      <c r="BL1361">
        <v>1.83</v>
      </c>
      <c r="BM1361">
        <v>1.44</v>
      </c>
      <c r="BN1361">
        <v>1.81</v>
      </c>
      <c r="BO1361">
        <v>1.1399999999999999</v>
      </c>
      <c r="BP1361">
        <v>4.09</v>
      </c>
      <c r="BQ1361">
        <v>3.05</v>
      </c>
      <c r="BR1361">
        <v>-2.12</v>
      </c>
      <c r="BS1361">
        <v>4.8499999999999996</v>
      </c>
      <c r="BT1361">
        <v>2.98</v>
      </c>
      <c r="BU1361">
        <v>0.74</v>
      </c>
      <c r="BV1361">
        <v>0.57999999999999996</v>
      </c>
      <c r="BW1361">
        <v>0.62</v>
      </c>
      <c r="BX1361">
        <v>0.15</v>
      </c>
      <c r="BY1361">
        <v>0.72</v>
      </c>
      <c r="BZ1361">
        <v>1.33</v>
      </c>
      <c r="CA1361">
        <v>1.95</v>
      </c>
      <c r="CB1361">
        <v>1.05</v>
      </c>
      <c r="CC1361">
        <v>3.16</v>
      </c>
      <c r="CD1361">
        <v>0.87</v>
      </c>
      <c r="CE1361">
        <v>1.04</v>
      </c>
      <c r="CF1361">
        <v>2.5299999999999998</v>
      </c>
      <c r="CG1361">
        <v>0</v>
      </c>
      <c r="CH1361">
        <v>0.74</v>
      </c>
      <c r="CI1361">
        <v>0</v>
      </c>
      <c r="CJ1361">
        <v>0.6</v>
      </c>
      <c r="CK1361">
        <v>99</v>
      </c>
      <c r="CL1361">
        <v>-0.94</v>
      </c>
      <c r="CM1361">
        <v>99</v>
      </c>
      <c r="CN1361">
        <v>-0.48</v>
      </c>
      <c r="CO1361">
        <v>99</v>
      </c>
      <c r="CP1361">
        <v>3.8</v>
      </c>
      <c r="CQ1361">
        <v>99</v>
      </c>
      <c r="CR1361">
        <v>0</v>
      </c>
      <c r="CS1361">
        <v>0</v>
      </c>
      <c r="CT1361">
        <v>23.6</v>
      </c>
      <c r="CU1361">
        <v>98</v>
      </c>
      <c r="CV1361">
        <v>0.21</v>
      </c>
      <c r="CW1361">
        <v>46</v>
      </c>
      <c r="CX1361" t="s">
        <v>5321</v>
      </c>
    </row>
    <row r="1362" spans="1:102" x14ac:dyDescent="0.3">
      <c r="A1362" t="str">
        <f>HYPERLINK("https://webapp.icbf.com/v2/app/bull-search/view/586204776","UFB")</f>
        <v>UFB</v>
      </c>
      <c r="B1362" t="s">
        <v>12846</v>
      </c>
      <c r="C1362" t="s">
        <v>6033</v>
      </c>
      <c r="D1362" s="1">
        <v>38370</v>
      </c>
      <c r="E1362" t="s">
        <v>92</v>
      </c>
      <c r="F1362">
        <v>100</v>
      </c>
      <c r="G1362" t="s">
        <v>93</v>
      </c>
      <c r="H1362">
        <v>116.27</v>
      </c>
      <c r="I1362">
        <v>95</v>
      </c>
      <c r="J1362">
        <v>89.17</v>
      </c>
      <c r="K1362">
        <v>99</v>
      </c>
      <c r="L1362">
        <v>-9.6199999999999992</v>
      </c>
      <c r="M1362">
        <v>93</v>
      </c>
      <c r="N1362">
        <v>39.96</v>
      </c>
      <c r="O1362">
        <v>95</v>
      </c>
      <c r="P1362">
        <v>-5.79</v>
      </c>
      <c r="Q1362">
        <v>97</v>
      </c>
      <c r="R1362">
        <v>1.8</v>
      </c>
      <c r="S1362">
        <v>85</v>
      </c>
      <c r="T1362">
        <v>-2.82</v>
      </c>
      <c r="U1362">
        <v>93</v>
      </c>
      <c r="V1362">
        <v>3.57</v>
      </c>
      <c r="W1362">
        <v>80</v>
      </c>
      <c r="X1362" t="s">
        <v>288</v>
      </c>
      <c r="Y1362" t="s">
        <v>282</v>
      </c>
      <c r="Z1362" t="s">
        <v>96</v>
      </c>
      <c r="AA1362" t="s">
        <v>316</v>
      </c>
      <c r="AB1362" t="s">
        <v>12847</v>
      </c>
      <c r="AC1362">
        <v>407</v>
      </c>
      <c r="AD1362">
        <v>112</v>
      </c>
      <c r="AE1362">
        <v>99</v>
      </c>
      <c r="AF1362">
        <v>328.91</v>
      </c>
      <c r="AG1362">
        <v>18.46</v>
      </c>
      <c r="AH1362">
        <v>13.67</v>
      </c>
      <c r="AI1362">
        <v>0.09</v>
      </c>
      <c r="AJ1362">
        <v>0.04</v>
      </c>
      <c r="AK1362">
        <v>93</v>
      </c>
      <c r="AL1362">
        <v>443</v>
      </c>
      <c r="AM1362">
        <v>133</v>
      </c>
      <c r="AN1362">
        <v>0.28000000000000003</v>
      </c>
      <c r="AO1362">
        <v>-0.49</v>
      </c>
      <c r="AP1362">
        <v>762</v>
      </c>
      <c r="AQ1362">
        <v>6</v>
      </c>
      <c r="AR1362">
        <v>4.46</v>
      </c>
      <c r="AS1362">
        <v>94</v>
      </c>
      <c r="AT1362">
        <v>1.78</v>
      </c>
      <c r="AU1362">
        <v>95</v>
      </c>
      <c r="AV1362">
        <v>-3.1</v>
      </c>
      <c r="AW1362">
        <v>99</v>
      </c>
      <c r="AX1362">
        <v>0.56000000000000005</v>
      </c>
      <c r="AY1362">
        <v>94</v>
      </c>
      <c r="AZ1362">
        <v>6.61</v>
      </c>
      <c r="BA1362">
        <v>84</v>
      </c>
      <c r="BB1362">
        <v>4.92</v>
      </c>
      <c r="BC1362">
        <v>83</v>
      </c>
      <c r="BD1362">
        <v>-0.02</v>
      </c>
      <c r="BE1362">
        <v>-0.02</v>
      </c>
      <c r="BF1362">
        <v>0.03</v>
      </c>
      <c r="BG1362">
        <v>95</v>
      </c>
      <c r="BH1362">
        <v>0.08</v>
      </c>
      <c r="BI1362">
        <v>-2.27</v>
      </c>
      <c r="BJ1362">
        <v>120</v>
      </c>
      <c r="BK1362">
        <v>32</v>
      </c>
      <c r="BL1362">
        <v>1.35</v>
      </c>
      <c r="BM1362">
        <v>1.08</v>
      </c>
      <c r="BN1362">
        <v>1.39</v>
      </c>
      <c r="BO1362">
        <v>0.77</v>
      </c>
      <c r="BP1362">
        <v>-0.41</v>
      </c>
      <c r="BQ1362">
        <v>3.81</v>
      </c>
      <c r="BR1362">
        <v>-1.51</v>
      </c>
      <c r="BS1362">
        <v>0.25</v>
      </c>
      <c r="BT1362">
        <v>0.23</v>
      </c>
      <c r="BU1362">
        <v>0.06</v>
      </c>
      <c r="BV1362">
        <v>1.3</v>
      </c>
      <c r="BW1362">
        <v>-0.14000000000000001</v>
      </c>
      <c r="BX1362">
        <v>-0.26</v>
      </c>
      <c r="BY1362">
        <v>0.88</v>
      </c>
      <c r="BZ1362">
        <v>-0.23</v>
      </c>
      <c r="CA1362">
        <v>0.93</v>
      </c>
      <c r="CB1362">
        <v>0.69</v>
      </c>
      <c r="CC1362">
        <v>1.25</v>
      </c>
      <c r="CD1362">
        <v>7.0000000000000007E-2</v>
      </c>
      <c r="CE1362">
        <v>0.68</v>
      </c>
      <c r="CF1362">
        <v>1.7</v>
      </c>
      <c r="CG1362">
        <v>0</v>
      </c>
      <c r="CH1362">
        <v>0.82</v>
      </c>
      <c r="CI1362">
        <v>0</v>
      </c>
      <c r="CJ1362">
        <v>2.1</v>
      </c>
      <c r="CK1362">
        <v>98</v>
      </c>
      <c r="CL1362">
        <v>-1.07</v>
      </c>
      <c r="CM1362">
        <v>97</v>
      </c>
      <c r="CN1362">
        <v>-0.17</v>
      </c>
      <c r="CO1362">
        <v>97</v>
      </c>
      <c r="CP1362">
        <v>2.4</v>
      </c>
      <c r="CQ1362">
        <v>95</v>
      </c>
      <c r="CR1362">
        <v>0</v>
      </c>
      <c r="CS1362">
        <v>0</v>
      </c>
      <c r="CT1362">
        <v>17.600000000000001</v>
      </c>
      <c r="CU1362">
        <v>93</v>
      </c>
      <c r="CV1362">
        <v>0.41</v>
      </c>
      <c r="CW1362">
        <v>48</v>
      </c>
      <c r="CX1362" t="s">
        <v>12164</v>
      </c>
    </row>
    <row r="1363" spans="1:102" x14ac:dyDescent="0.3">
      <c r="A1363" t="str">
        <f>HYPERLINK("https://webapp.icbf.com/v2/app/bull-search/view/501415070","CCF")</f>
        <v>CCF</v>
      </c>
      <c r="B1363" t="s">
        <v>12378</v>
      </c>
      <c r="C1363" t="s">
        <v>12379</v>
      </c>
      <c r="D1363" s="1">
        <v>39128</v>
      </c>
      <c r="E1363" t="s">
        <v>108</v>
      </c>
      <c r="F1363">
        <v>34</v>
      </c>
      <c r="G1363" t="s">
        <v>93</v>
      </c>
      <c r="H1363">
        <v>116.25</v>
      </c>
      <c r="I1363">
        <v>97</v>
      </c>
      <c r="J1363">
        <v>23.21</v>
      </c>
      <c r="K1363">
        <v>99</v>
      </c>
      <c r="L1363">
        <v>61.74</v>
      </c>
      <c r="M1363">
        <v>94</v>
      </c>
      <c r="N1363">
        <v>17.670000000000002</v>
      </c>
      <c r="O1363">
        <v>98</v>
      </c>
      <c r="P1363">
        <v>-7.49</v>
      </c>
      <c r="Q1363">
        <v>99</v>
      </c>
      <c r="R1363">
        <v>-0.71</v>
      </c>
      <c r="S1363">
        <v>94</v>
      </c>
      <c r="T1363">
        <v>18.489999999999998</v>
      </c>
      <c r="U1363">
        <v>99</v>
      </c>
      <c r="V1363">
        <v>3.34</v>
      </c>
      <c r="W1363">
        <v>95</v>
      </c>
      <c r="X1363" t="s">
        <v>102</v>
      </c>
      <c r="Y1363" t="s">
        <v>4217</v>
      </c>
      <c r="Z1363" t="s">
        <v>96</v>
      </c>
      <c r="AA1363" t="s">
        <v>1543</v>
      </c>
      <c r="AB1363" t="s">
        <v>12380</v>
      </c>
      <c r="AC1363">
        <v>1253</v>
      </c>
      <c r="AD1363">
        <v>455</v>
      </c>
      <c r="AE1363">
        <v>99</v>
      </c>
      <c r="AF1363">
        <v>-213.08</v>
      </c>
      <c r="AG1363">
        <v>2.42</v>
      </c>
      <c r="AH1363">
        <v>-0.17</v>
      </c>
      <c r="AI1363">
        <v>0.19</v>
      </c>
      <c r="AJ1363">
        <v>0.13</v>
      </c>
      <c r="AK1363">
        <v>94</v>
      </c>
      <c r="AL1363">
        <v>1856</v>
      </c>
      <c r="AM1363">
        <v>704</v>
      </c>
      <c r="AN1363">
        <v>-3.68</v>
      </c>
      <c r="AO1363">
        <v>1.24</v>
      </c>
      <c r="AP1363">
        <v>2937</v>
      </c>
      <c r="AQ1363">
        <v>37</v>
      </c>
      <c r="AR1363">
        <v>7.42</v>
      </c>
      <c r="AS1363">
        <v>96</v>
      </c>
      <c r="AT1363">
        <v>2.93</v>
      </c>
      <c r="AU1363">
        <v>99</v>
      </c>
      <c r="AV1363">
        <v>-2.16</v>
      </c>
      <c r="AW1363">
        <v>99</v>
      </c>
      <c r="AX1363">
        <v>0.01</v>
      </c>
      <c r="AY1363">
        <v>99</v>
      </c>
      <c r="AZ1363">
        <v>8.09</v>
      </c>
      <c r="BA1363">
        <v>95</v>
      </c>
      <c r="BB1363">
        <v>4.83</v>
      </c>
      <c r="BC1363">
        <v>95</v>
      </c>
      <c r="BD1363">
        <v>0.05</v>
      </c>
      <c r="BE1363">
        <v>-0.03</v>
      </c>
      <c r="BF1363">
        <v>-0.01</v>
      </c>
      <c r="BG1363">
        <v>98</v>
      </c>
      <c r="BH1363">
        <v>-0.09</v>
      </c>
      <c r="BI1363">
        <v>-21.18</v>
      </c>
      <c r="BJ1363">
        <v>88</v>
      </c>
      <c r="BK1363">
        <v>50</v>
      </c>
      <c r="BL1363">
        <v>-1.39</v>
      </c>
      <c r="BM1363">
        <v>-0.03</v>
      </c>
      <c r="BN1363">
        <v>-1.81</v>
      </c>
      <c r="BO1363">
        <v>-1.22</v>
      </c>
      <c r="BP1363">
        <v>-0.7</v>
      </c>
      <c r="BQ1363">
        <v>0.4</v>
      </c>
      <c r="BR1363">
        <v>-0.38</v>
      </c>
      <c r="BS1363">
        <v>0.76</v>
      </c>
      <c r="BT1363">
        <v>-0.02</v>
      </c>
      <c r="BU1363">
        <v>-0.87</v>
      </c>
      <c r="BV1363">
        <v>-1.17</v>
      </c>
      <c r="BW1363">
        <v>-0.11</v>
      </c>
      <c r="BX1363">
        <v>-0.15</v>
      </c>
      <c r="BY1363">
        <v>1.01</v>
      </c>
      <c r="BZ1363">
        <v>-4.09</v>
      </c>
      <c r="CA1363">
        <v>-1.18</v>
      </c>
      <c r="CB1363">
        <v>-1.01</v>
      </c>
      <c r="CC1363">
        <v>-0.97</v>
      </c>
      <c r="CD1363">
        <v>0.6</v>
      </c>
      <c r="CE1363">
        <v>-0.84</v>
      </c>
      <c r="CF1363">
        <v>-1.26</v>
      </c>
      <c r="CG1363">
        <v>0</v>
      </c>
      <c r="CH1363">
        <v>0.96</v>
      </c>
      <c r="CI1363">
        <v>0</v>
      </c>
      <c r="CJ1363">
        <v>-3.8</v>
      </c>
      <c r="CK1363">
        <v>99</v>
      </c>
      <c r="CL1363">
        <v>-0.44</v>
      </c>
      <c r="CM1363">
        <v>99</v>
      </c>
      <c r="CN1363">
        <v>-0.27</v>
      </c>
      <c r="CO1363">
        <v>99</v>
      </c>
      <c r="CP1363">
        <v>-5.8</v>
      </c>
      <c r="CQ1363">
        <v>99</v>
      </c>
      <c r="CR1363">
        <v>0</v>
      </c>
      <c r="CS1363">
        <v>0</v>
      </c>
      <c r="CT1363">
        <v>-11.2</v>
      </c>
      <c r="CU1363">
        <v>99</v>
      </c>
      <c r="CV1363">
        <v>0.04</v>
      </c>
      <c r="CW1363">
        <v>47</v>
      </c>
      <c r="CX1363" t="s">
        <v>11676</v>
      </c>
    </row>
    <row r="1364" spans="1:102" x14ac:dyDescent="0.3">
      <c r="A1364" t="str">
        <f>HYPERLINK("https://webapp.icbf.com/v2/app/bull-search/view/760401202","S1648")</f>
        <v>S1648</v>
      </c>
      <c r="B1364" t="s">
        <v>2680</v>
      </c>
      <c r="C1364" t="s">
        <v>2681</v>
      </c>
      <c r="D1364" s="1">
        <v>39696</v>
      </c>
      <c r="E1364" t="s">
        <v>227</v>
      </c>
      <c r="F1364">
        <v>0</v>
      </c>
      <c r="G1364" t="s">
        <v>109</v>
      </c>
      <c r="H1364">
        <v>116.23</v>
      </c>
      <c r="I1364">
        <v>60</v>
      </c>
      <c r="J1364">
        <v>54.55</v>
      </c>
      <c r="K1364">
        <v>71</v>
      </c>
      <c r="L1364">
        <v>41.87</v>
      </c>
      <c r="M1364">
        <v>66</v>
      </c>
      <c r="N1364">
        <v>-1.72</v>
      </c>
      <c r="O1364">
        <v>56</v>
      </c>
      <c r="P1364">
        <v>-55.51</v>
      </c>
      <c r="Q1364">
        <v>49</v>
      </c>
      <c r="R1364">
        <v>5.03</v>
      </c>
      <c r="S1364">
        <v>42</v>
      </c>
      <c r="T1364">
        <v>65.180000000000007</v>
      </c>
      <c r="U1364">
        <v>34</v>
      </c>
      <c r="V1364">
        <v>6.83</v>
      </c>
      <c r="W1364">
        <v>25</v>
      </c>
      <c r="X1364" t="s">
        <v>94</v>
      </c>
      <c r="Y1364" t="s">
        <v>362</v>
      </c>
      <c r="Z1364">
        <v>0</v>
      </c>
      <c r="AA1364" t="s">
        <v>2682</v>
      </c>
      <c r="AB1364" t="s">
        <v>144</v>
      </c>
      <c r="AC1364">
        <v>0</v>
      </c>
      <c r="AD1364">
        <v>0</v>
      </c>
      <c r="AE1364">
        <v>71</v>
      </c>
      <c r="AF1364">
        <v>-496.3</v>
      </c>
      <c r="AG1364">
        <v>11.76</v>
      </c>
      <c r="AH1364">
        <v>-2.48</v>
      </c>
      <c r="AI1364">
        <v>0.56000000000000005</v>
      </c>
      <c r="AJ1364">
        <v>0.26</v>
      </c>
      <c r="AK1364">
        <v>66</v>
      </c>
      <c r="AL1364">
        <v>0</v>
      </c>
      <c r="AM1364">
        <v>0</v>
      </c>
      <c r="AN1364">
        <v>-0.68</v>
      </c>
      <c r="AO1364">
        <v>2.68</v>
      </c>
      <c r="AP1364">
        <v>7</v>
      </c>
      <c r="AQ1364">
        <v>0</v>
      </c>
      <c r="AR1364">
        <v>2.81</v>
      </c>
      <c r="AS1364">
        <v>53</v>
      </c>
      <c r="AT1364">
        <v>1.53</v>
      </c>
      <c r="AU1364">
        <v>37</v>
      </c>
      <c r="AV1364">
        <v>-0.17</v>
      </c>
      <c r="AW1364">
        <v>80</v>
      </c>
      <c r="AX1364">
        <v>9.24</v>
      </c>
      <c r="AY1364">
        <v>50</v>
      </c>
      <c r="AZ1364">
        <v>6.41</v>
      </c>
      <c r="BA1364">
        <v>34</v>
      </c>
      <c r="BB1364">
        <v>4.99</v>
      </c>
      <c r="BC1364">
        <v>29</v>
      </c>
      <c r="BD1364">
        <v>-0.04</v>
      </c>
      <c r="BE1364">
        <v>-0.01</v>
      </c>
      <c r="BF1364">
        <v>-0.03</v>
      </c>
      <c r="BG1364">
        <v>51</v>
      </c>
      <c r="BH1364">
        <v>0.13</v>
      </c>
      <c r="BI1364">
        <v>-6.98</v>
      </c>
      <c r="BJ1364">
        <v>0</v>
      </c>
      <c r="BK1364">
        <v>0</v>
      </c>
      <c r="BL1364">
        <v>-1.23</v>
      </c>
      <c r="BM1364">
        <v>-2.4900000000000002</v>
      </c>
      <c r="BN1364">
        <v>-0.93</v>
      </c>
      <c r="BO1364">
        <v>1.42</v>
      </c>
      <c r="BP1364">
        <v>0.4</v>
      </c>
      <c r="BQ1364">
        <v>-5.92</v>
      </c>
      <c r="BR1364">
        <v>2.59</v>
      </c>
      <c r="BS1364">
        <v>6.54</v>
      </c>
      <c r="BT1364">
        <v>-1.5</v>
      </c>
      <c r="BU1364">
        <v>1.0900000000000001</v>
      </c>
      <c r="BV1364">
        <v>1.33</v>
      </c>
      <c r="BW1364">
        <v>-0.65</v>
      </c>
      <c r="BX1364">
        <v>-1.38</v>
      </c>
      <c r="BY1364">
        <v>0.32</v>
      </c>
      <c r="BZ1364">
        <v>0.43</v>
      </c>
      <c r="CA1364">
        <v>2.4700000000000002</v>
      </c>
      <c r="CB1364">
        <v>1.1100000000000001</v>
      </c>
      <c r="CC1364">
        <v>3.99</v>
      </c>
      <c r="CD1364">
        <v>-2.39</v>
      </c>
      <c r="CE1364">
        <v>1.57</v>
      </c>
      <c r="CF1364">
        <v>-1.47</v>
      </c>
      <c r="CG1364">
        <v>0</v>
      </c>
      <c r="CH1364">
        <v>-0.45</v>
      </c>
      <c r="CI1364">
        <v>0</v>
      </c>
      <c r="CJ1364">
        <v>-31.5</v>
      </c>
      <c r="CK1364">
        <v>52</v>
      </c>
      <c r="CL1364">
        <v>-1.1499999999999999</v>
      </c>
      <c r="CM1364">
        <v>45</v>
      </c>
      <c r="CN1364">
        <v>-0.64</v>
      </c>
      <c r="CO1364">
        <v>43</v>
      </c>
      <c r="CP1364">
        <v>-51.1</v>
      </c>
      <c r="CQ1364">
        <v>43</v>
      </c>
      <c r="CR1364">
        <v>0</v>
      </c>
      <c r="CS1364">
        <v>0</v>
      </c>
      <c r="CT1364">
        <v>-74.3</v>
      </c>
      <c r="CU1364">
        <v>34</v>
      </c>
      <c r="CV1364">
        <v>-0.36</v>
      </c>
      <c r="CW1364">
        <v>14</v>
      </c>
      <c r="CX1364" t="s">
        <v>2683</v>
      </c>
    </row>
    <row r="1365" spans="1:102" x14ac:dyDescent="0.3">
      <c r="A1365" t="str">
        <f>HYPERLINK("https://webapp.icbf.com/v2/app/bull-search/view/951466189","HYY")</f>
        <v>HYY</v>
      </c>
      <c r="B1365" t="s">
        <v>13225</v>
      </c>
      <c r="C1365" t="s">
        <v>13226</v>
      </c>
      <c r="D1365" s="1">
        <v>40963</v>
      </c>
      <c r="E1365" t="s">
        <v>92</v>
      </c>
      <c r="F1365">
        <v>53</v>
      </c>
      <c r="G1365" t="s">
        <v>93</v>
      </c>
      <c r="H1365">
        <v>116.1</v>
      </c>
      <c r="I1365">
        <v>94</v>
      </c>
      <c r="J1365">
        <v>64.77</v>
      </c>
      <c r="K1365">
        <v>99</v>
      </c>
      <c r="L1365">
        <v>31.94</v>
      </c>
      <c r="M1365">
        <v>89</v>
      </c>
      <c r="N1365">
        <v>35.79</v>
      </c>
      <c r="O1365">
        <v>96</v>
      </c>
      <c r="P1365">
        <v>-9.16</v>
      </c>
      <c r="Q1365">
        <v>99</v>
      </c>
      <c r="R1365">
        <v>-14.82</v>
      </c>
      <c r="S1365">
        <v>91</v>
      </c>
      <c r="T1365">
        <v>6.72</v>
      </c>
      <c r="U1365">
        <v>95</v>
      </c>
      <c r="V1365">
        <v>0.86</v>
      </c>
      <c r="W1365">
        <v>80</v>
      </c>
      <c r="X1365" t="s">
        <v>94</v>
      </c>
      <c r="Y1365" t="s">
        <v>1976</v>
      </c>
      <c r="Z1365" t="s">
        <v>330</v>
      </c>
      <c r="AA1365" t="s">
        <v>5446</v>
      </c>
      <c r="AB1365" t="s">
        <v>13227</v>
      </c>
      <c r="AC1365">
        <v>841</v>
      </c>
      <c r="AD1365">
        <v>294</v>
      </c>
      <c r="AE1365">
        <v>99</v>
      </c>
      <c r="AF1365">
        <v>150.87</v>
      </c>
      <c r="AG1365">
        <v>12.45</v>
      </c>
      <c r="AH1365">
        <v>8.92</v>
      </c>
      <c r="AI1365">
        <v>0.11</v>
      </c>
      <c r="AJ1365">
        <v>7.0000000000000007E-2</v>
      </c>
      <c r="AK1365">
        <v>89</v>
      </c>
      <c r="AL1365">
        <v>1089</v>
      </c>
      <c r="AM1365">
        <v>393</v>
      </c>
      <c r="AN1365">
        <v>-1.55</v>
      </c>
      <c r="AO1365">
        <v>1</v>
      </c>
      <c r="AP1365">
        <v>2113</v>
      </c>
      <c r="AQ1365">
        <v>39</v>
      </c>
      <c r="AR1365">
        <v>7.67</v>
      </c>
      <c r="AS1365">
        <v>94</v>
      </c>
      <c r="AT1365">
        <v>3.53</v>
      </c>
      <c r="AU1365">
        <v>98</v>
      </c>
      <c r="AV1365">
        <v>-4.3899999999999997</v>
      </c>
      <c r="AW1365">
        <v>99</v>
      </c>
      <c r="AX1365">
        <v>-0.42</v>
      </c>
      <c r="AY1365">
        <v>97</v>
      </c>
      <c r="AZ1365">
        <v>5.81</v>
      </c>
      <c r="BA1365">
        <v>93</v>
      </c>
      <c r="BB1365">
        <v>4.41</v>
      </c>
      <c r="BC1365">
        <v>86</v>
      </c>
      <c r="BD1365">
        <v>0.01</v>
      </c>
      <c r="BE1365">
        <v>0.06</v>
      </c>
      <c r="BF1365">
        <v>0.21</v>
      </c>
      <c r="BG1365">
        <v>97</v>
      </c>
      <c r="BH1365">
        <v>0.06</v>
      </c>
      <c r="BI1365">
        <v>4.18</v>
      </c>
      <c r="BJ1365">
        <v>3</v>
      </c>
      <c r="BK1365">
        <v>1</v>
      </c>
      <c r="BL1365">
        <v>-1.36</v>
      </c>
      <c r="BM1365">
        <v>-0.13</v>
      </c>
      <c r="BN1365">
        <v>-1.03</v>
      </c>
      <c r="BO1365">
        <v>-0.99</v>
      </c>
      <c r="BP1365">
        <v>0.9</v>
      </c>
      <c r="BQ1365">
        <v>-1.61</v>
      </c>
      <c r="BR1365">
        <v>2.61</v>
      </c>
      <c r="BS1365">
        <v>-1.33</v>
      </c>
      <c r="BT1365">
        <v>-3.95</v>
      </c>
      <c r="BU1365">
        <v>-1.94</v>
      </c>
      <c r="BV1365">
        <v>-1.2</v>
      </c>
      <c r="BW1365">
        <v>-1.43</v>
      </c>
      <c r="BX1365">
        <v>-1.1399999999999999</v>
      </c>
      <c r="BY1365">
        <v>-2.46</v>
      </c>
      <c r="BZ1365">
        <v>-0.53</v>
      </c>
      <c r="CA1365">
        <v>-1.76</v>
      </c>
      <c r="CB1365">
        <v>-1.45</v>
      </c>
      <c r="CC1365">
        <v>-2.0299999999999998</v>
      </c>
      <c r="CD1365">
        <v>0.14000000000000001</v>
      </c>
      <c r="CE1365">
        <v>-0.32</v>
      </c>
      <c r="CF1365">
        <v>-1.76</v>
      </c>
      <c r="CG1365">
        <v>0</v>
      </c>
      <c r="CH1365">
        <v>-1.58</v>
      </c>
      <c r="CI1365">
        <v>0</v>
      </c>
      <c r="CJ1365">
        <v>-1</v>
      </c>
      <c r="CK1365">
        <v>99</v>
      </c>
      <c r="CL1365">
        <v>-0.54</v>
      </c>
      <c r="CM1365">
        <v>99</v>
      </c>
      <c r="CN1365">
        <v>0.16</v>
      </c>
      <c r="CO1365">
        <v>99</v>
      </c>
      <c r="CP1365">
        <v>-2.2000000000000002</v>
      </c>
      <c r="CQ1365">
        <v>96</v>
      </c>
      <c r="CR1365">
        <v>0</v>
      </c>
      <c r="CS1365">
        <v>0</v>
      </c>
      <c r="CT1365">
        <v>4.7</v>
      </c>
      <c r="CU1365">
        <v>95</v>
      </c>
      <c r="CV1365">
        <v>0.23</v>
      </c>
      <c r="CW1365">
        <v>47</v>
      </c>
      <c r="CX1365" t="s">
        <v>792</v>
      </c>
    </row>
    <row r="1366" spans="1:102" x14ac:dyDescent="0.3">
      <c r="A1366" t="str">
        <f>HYPERLINK("https://webapp.icbf.com/v2/app/bull-search/view/743137440","DXM")</f>
        <v>DXM</v>
      </c>
      <c r="B1366" t="s">
        <v>12808</v>
      </c>
      <c r="C1366" t="s">
        <v>12809</v>
      </c>
      <c r="D1366" s="1">
        <v>40118</v>
      </c>
      <c r="E1366" t="s">
        <v>108</v>
      </c>
      <c r="F1366">
        <v>0</v>
      </c>
      <c r="G1366" t="s">
        <v>93</v>
      </c>
      <c r="H1366">
        <v>116.05</v>
      </c>
      <c r="I1366">
        <v>85</v>
      </c>
      <c r="J1366">
        <v>-42.26</v>
      </c>
      <c r="K1366">
        <v>96</v>
      </c>
      <c r="L1366">
        <v>125.7</v>
      </c>
      <c r="M1366">
        <v>75</v>
      </c>
      <c r="N1366">
        <v>13.55</v>
      </c>
      <c r="O1366">
        <v>84</v>
      </c>
      <c r="P1366">
        <v>-27.11</v>
      </c>
      <c r="Q1366">
        <v>92</v>
      </c>
      <c r="R1366">
        <v>9.41</v>
      </c>
      <c r="S1366">
        <v>75</v>
      </c>
      <c r="T1366">
        <v>36.909999999999997</v>
      </c>
      <c r="U1366">
        <v>84</v>
      </c>
      <c r="V1366">
        <v>-0.15</v>
      </c>
      <c r="W1366">
        <v>73</v>
      </c>
      <c r="X1366" t="s">
        <v>102</v>
      </c>
      <c r="Y1366" t="s">
        <v>319</v>
      </c>
      <c r="Z1366" t="s">
        <v>96</v>
      </c>
      <c r="AA1366" t="s">
        <v>10185</v>
      </c>
      <c r="AB1366" t="s">
        <v>12810</v>
      </c>
      <c r="AC1366">
        <v>71</v>
      </c>
      <c r="AD1366">
        <v>51</v>
      </c>
      <c r="AE1366">
        <v>96</v>
      </c>
      <c r="AF1366">
        <v>-222.38</v>
      </c>
      <c r="AG1366">
        <v>-6.22</v>
      </c>
      <c r="AH1366">
        <v>-8.39</v>
      </c>
      <c r="AI1366">
        <v>0.04</v>
      </c>
      <c r="AJ1366">
        <v>-0.02</v>
      </c>
      <c r="AK1366">
        <v>75</v>
      </c>
      <c r="AL1366">
        <v>86</v>
      </c>
      <c r="AM1366">
        <v>64</v>
      </c>
      <c r="AN1366">
        <v>-7.96</v>
      </c>
      <c r="AO1366">
        <v>2.0499999999999998</v>
      </c>
      <c r="AP1366">
        <v>207</v>
      </c>
      <c r="AQ1366">
        <v>0</v>
      </c>
      <c r="AR1366">
        <v>5.71</v>
      </c>
      <c r="AS1366">
        <v>69</v>
      </c>
      <c r="AT1366">
        <v>2.37</v>
      </c>
      <c r="AU1366">
        <v>88</v>
      </c>
      <c r="AV1366">
        <v>-0.76</v>
      </c>
      <c r="AW1366">
        <v>94</v>
      </c>
      <c r="AX1366">
        <v>-0.56000000000000005</v>
      </c>
      <c r="AY1366">
        <v>81</v>
      </c>
      <c r="AZ1366">
        <v>6.24</v>
      </c>
      <c r="BA1366">
        <v>62</v>
      </c>
      <c r="BB1366">
        <v>5.9</v>
      </c>
      <c r="BC1366">
        <v>65</v>
      </c>
      <c r="BD1366">
        <v>0.01</v>
      </c>
      <c r="BE1366">
        <v>-7.0000000000000007E-2</v>
      </c>
      <c r="BF1366">
        <v>-0.1</v>
      </c>
      <c r="BG1366">
        <v>85</v>
      </c>
      <c r="BH1366">
        <v>-0.19</v>
      </c>
      <c r="BI1366">
        <v>-21.51</v>
      </c>
      <c r="BJ1366">
        <v>18</v>
      </c>
      <c r="BK1366">
        <v>11</v>
      </c>
      <c r="BL1366">
        <v>-3.13</v>
      </c>
      <c r="BM1366">
        <v>-0.4</v>
      </c>
      <c r="BN1366">
        <v>-4.01</v>
      </c>
      <c r="BO1366">
        <v>-2.5299999999999998</v>
      </c>
      <c r="BP1366">
        <v>-2.0499999999999998</v>
      </c>
      <c r="BQ1366">
        <v>0.95</v>
      </c>
      <c r="BR1366">
        <v>-3.44</v>
      </c>
      <c r="BS1366">
        <v>0.15</v>
      </c>
      <c r="BT1366">
        <v>2.0099999999999998</v>
      </c>
      <c r="BU1366">
        <v>-2.42</v>
      </c>
      <c r="BV1366">
        <v>-2.4300000000000002</v>
      </c>
      <c r="BW1366">
        <v>-1.97</v>
      </c>
      <c r="BX1366">
        <v>-0.9</v>
      </c>
      <c r="BY1366">
        <v>-1.89</v>
      </c>
      <c r="BZ1366">
        <v>0.99</v>
      </c>
      <c r="CA1366">
        <v>-1.71</v>
      </c>
      <c r="CB1366">
        <v>-2.4300000000000002</v>
      </c>
      <c r="CC1366">
        <v>0.12</v>
      </c>
      <c r="CD1366">
        <v>2.29</v>
      </c>
      <c r="CE1366">
        <v>-1.77</v>
      </c>
      <c r="CF1366">
        <v>-2.84</v>
      </c>
      <c r="CG1366">
        <v>0</v>
      </c>
      <c r="CH1366">
        <v>-1.91</v>
      </c>
      <c r="CI1366">
        <v>0</v>
      </c>
      <c r="CJ1366">
        <v>-15.5</v>
      </c>
      <c r="CK1366">
        <v>94</v>
      </c>
      <c r="CL1366">
        <v>-0.38</v>
      </c>
      <c r="CM1366">
        <v>92</v>
      </c>
      <c r="CN1366">
        <v>-0.14000000000000001</v>
      </c>
      <c r="CO1366">
        <v>91</v>
      </c>
      <c r="CP1366">
        <v>-22.9</v>
      </c>
      <c r="CQ1366">
        <v>83</v>
      </c>
      <c r="CR1366">
        <v>0</v>
      </c>
      <c r="CS1366">
        <v>0</v>
      </c>
      <c r="CT1366">
        <v>-36.1</v>
      </c>
      <c r="CU1366">
        <v>84</v>
      </c>
      <c r="CV1366">
        <v>-0.05</v>
      </c>
      <c r="CW1366">
        <v>45</v>
      </c>
      <c r="CX1366" t="s">
        <v>12811</v>
      </c>
    </row>
    <row r="1367" spans="1:102" x14ac:dyDescent="0.3">
      <c r="A1367" t="str">
        <f>HYPERLINK("https://webapp.icbf.com/v2/app/bull-search/view/760398852","S969")</f>
        <v>S969</v>
      </c>
      <c r="B1367" t="s">
        <v>8986</v>
      </c>
      <c r="C1367" t="s">
        <v>2693</v>
      </c>
      <c r="D1367" s="1">
        <v>39759</v>
      </c>
      <c r="E1367" t="s">
        <v>92</v>
      </c>
      <c r="F1367">
        <v>100</v>
      </c>
      <c r="G1367" t="s">
        <v>93</v>
      </c>
      <c r="H1367">
        <v>115.89</v>
      </c>
      <c r="I1367">
        <v>88</v>
      </c>
      <c r="J1367">
        <v>68.86</v>
      </c>
      <c r="K1367">
        <v>96</v>
      </c>
      <c r="L1367">
        <v>-1.01</v>
      </c>
      <c r="M1367">
        <v>90</v>
      </c>
      <c r="N1367">
        <v>47.07</v>
      </c>
      <c r="O1367">
        <v>86</v>
      </c>
      <c r="P1367">
        <v>-10.42</v>
      </c>
      <c r="Q1367">
        <v>89</v>
      </c>
      <c r="R1367">
        <v>10.41</v>
      </c>
      <c r="S1367">
        <v>79</v>
      </c>
      <c r="T1367">
        <v>-0.23</v>
      </c>
      <c r="U1367">
        <v>65</v>
      </c>
      <c r="V1367">
        <v>1.21</v>
      </c>
      <c r="W1367">
        <v>65</v>
      </c>
      <c r="X1367" t="s">
        <v>94</v>
      </c>
      <c r="Y1367" t="s">
        <v>303</v>
      </c>
      <c r="Z1367" t="s">
        <v>96</v>
      </c>
      <c r="AA1367" t="s">
        <v>1962</v>
      </c>
      <c r="AB1367" t="s">
        <v>8987</v>
      </c>
      <c r="AC1367">
        <v>66</v>
      </c>
      <c r="AD1367">
        <v>37</v>
      </c>
      <c r="AE1367">
        <v>96</v>
      </c>
      <c r="AF1367">
        <v>546.63</v>
      </c>
      <c r="AG1367">
        <v>11.36</v>
      </c>
      <c r="AH1367">
        <v>16.059999999999999</v>
      </c>
      <c r="AI1367">
        <v>-0.16</v>
      </c>
      <c r="AJ1367">
        <v>-0.04</v>
      </c>
      <c r="AK1367">
        <v>90</v>
      </c>
      <c r="AL1367">
        <v>45</v>
      </c>
      <c r="AM1367">
        <v>25</v>
      </c>
      <c r="AN1367">
        <v>0.86</v>
      </c>
      <c r="AO1367">
        <v>0.79</v>
      </c>
      <c r="AP1367">
        <v>196</v>
      </c>
      <c r="AQ1367">
        <v>1</v>
      </c>
      <c r="AR1367">
        <v>5.68</v>
      </c>
      <c r="AS1367">
        <v>84</v>
      </c>
      <c r="AT1367">
        <v>2.58</v>
      </c>
      <c r="AU1367">
        <v>98</v>
      </c>
      <c r="AV1367">
        <v>-4.76</v>
      </c>
      <c r="AW1367">
        <v>92</v>
      </c>
      <c r="AX1367">
        <v>0.18</v>
      </c>
      <c r="AY1367">
        <v>83</v>
      </c>
      <c r="AZ1367">
        <v>6.3</v>
      </c>
      <c r="BA1367">
        <v>64</v>
      </c>
      <c r="BB1367">
        <v>4.9000000000000004</v>
      </c>
      <c r="BC1367">
        <v>55</v>
      </c>
      <c r="BD1367">
        <v>-0.05</v>
      </c>
      <c r="BE1367">
        <v>-0.04</v>
      </c>
      <c r="BF1367">
        <v>-0.08</v>
      </c>
      <c r="BG1367">
        <v>94</v>
      </c>
      <c r="BH1367">
        <v>-0.08</v>
      </c>
      <c r="BI1367">
        <v>-13.15</v>
      </c>
      <c r="BJ1367">
        <v>29</v>
      </c>
      <c r="BK1367">
        <v>21</v>
      </c>
      <c r="BL1367">
        <v>0.78</v>
      </c>
      <c r="BM1367">
        <v>-2.0299999999999998</v>
      </c>
      <c r="BN1367">
        <v>-0.94</v>
      </c>
      <c r="BO1367">
        <v>1.03</v>
      </c>
      <c r="BP1367">
        <v>1.83</v>
      </c>
      <c r="BQ1367">
        <v>2.0299999999999998</v>
      </c>
      <c r="BR1367">
        <v>2.52</v>
      </c>
      <c r="BS1367">
        <v>-1.03</v>
      </c>
      <c r="BT1367">
        <v>-3.16</v>
      </c>
      <c r="BU1367">
        <v>2.4700000000000002</v>
      </c>
      <c r="BV1367">
        <v>2.63</v>
      </c>
      <c r="BW1367">
        <v>2.2200000000000002</v>
      </c>
      <c r="BX1367">
        <v>2.25</v>
      </c>
      <c r="BY1367">
        <v>2.8</v>
      </c>
      <c r="BZ1367">
        <v>-3.93</v>
      </c>
      <c r="CA1367">
        <v>1.45</v>
      </c>
      <c r="CB1367">
        <v>2.34</v>
      </c>
      <c r="CC1367">
        <v>-0.3</v>
      </c>
      <c r="CD1367">
        <v>-1.48</v>
      </c>
      <c r="CE1367">
        <v>1.25</v>
      </c>
      <c r="CF1367">
        <v>1.37</v>
      </c>
      <c r="CG1367">
        <v>0</v>
      </c>
      <c r="CH1367">
        <v>2.39</v>
      </c>
      <c r="CI1367">
        <v>0</v>
      </c>
      <c r="CJ1367">
        <v>-0.8</v>
      </c>
      <c r="CK1367">
        <v>91</v>
      </c>
      <c r="CL1367">
        <v>-1.06</v>
      </c>
      <c r="CM1367">
        <v>89</v>
      </c>
      <c r="CN1367">
        <v>-0.13</v>
      </c>
      <c r="CO1367">
        <v>88</v>
      </c>
      <c r="CP1367">
        <v>0.7</v>
      </c>
      <c r="CQ1367">
        <v>74</v>
      </c>
      <c r="CR1367">
        <v>0</v>
      </c>
      <c r="CS1367">
        <v>0</v>
      </c>
      <c r="CT1367">
        <v>14.1</v>
      </c>
      <c r="CU1367">
        <v>65</v>
      </c>
      <c r="CV1367">
        <v>0.31</v>
      </c>
      <c r="CW1367">
        <v>45</v>
      </c>
      <c r="CX1367" t="s">
        <v>316</v>
      </c>
    </row>
    <row r="1368" spans="1:102" x14ac:dyDescent="0.3">
      <c r="A1368" t="str">
        <f>HYPERLINK("https://webapp.icbf.com/v2/app/bull-search/view/1118600253","S1646")</f>
        <v>S1646</v>
      </c>
      <c r="B1368" t="s">
        <v>13363</v>
      </c>
      <c r="C1368" t="s">
        <v>13364</v>
      </c>
      <c r="D1368" s="1">
        <v>40831</v>
      </c>
      <c r="E1368" t="s">
        <v>92</v>
      </c>
      <c r="F1368">
        <v>100</v>
      </c>
      <c r="G1368" t="s">
        <v>109</v>
      </c>
      <c r="H1368">
        <v>115.88</v>
      </c>
      <c r="I1368">
        <v>60</v>
      </c>
      <c r="J1368">
        <v>64.739999999999995</v>
      </c>
      <c r="K1368">
        <v>79</v>
      </c>
      <c r="L1368">
        <v>12.87</v>
      </c>
      <c r="M1368">
        <v>75</v>
      </c>
      <c r="N1368">
        <v>31.72</v>
      </c>
      <c r="O1368">
        <v>36</v>
      </c>
      <c r="P1368">
        <v>-7.16</v>
      </c>
      <c r="Q1368">
        <v>27</v>
      </c>
      <c r="R1368">
        <v>13.41</v>
      </c>
      <c r="S1368">
        <v>54</v>
      </c>
      <c r="T1368">
        <v>-0.68</v>
      </c>
      <c r="U1368">
        <v>14</v>
      </c>
      <c r="V1368">
        <v>0.98</v>
      </c>
      <c r="W1368">
        <v>8</v>
      </c>
      <c r="X1368" t="s">
        <v>102</v>
      </c>
      <c r="Y1368" t="s">
        <v>362</v>
      </c>
      <c r="Z1368" t="s">
        <v>96</v>
      </c>
      <c r="AA1368" t="s">
        <v>13365</v>
      </c>
      <c r="AB1368" t="s">
        <v>13366</v>
      </c>
      <c r="AC1368">
        <v>0</v>
      </c>
      <c r="AD1368">
        <v>0</v>
      </c>
      <c r="AE1368">
        <v>79</v>
      </c>
      <c r="AF1368">
        <v>396.89</v>
      </c>
      <c r="AG1368">
        <v>15.25</v>
      </c>
      <c r="AH1368">
        <v>11.69</v>
      </c>
      <c r="AI1368">
        <v>0</v>
      </c>
      <c r="AJ1368">
        <v>-0.03</v>
      </c>
      <c r="AK1368">
        <v>75</v>
      </c>
      <c r="AL1368">
        <v>0</v>
      </c>
      <c r="AM1368">
        <v>0</v>
      </c>
      <c r="AN1368">
        <v>0.37</v>
      </c>
      <c r="AO1368">
        <v>1.41</v>
      </c>
      <c r="AP1368">
        <v>4</v>
      </c>
      <c r="AQ1368">
        <v>0</v>
      </c>
      <c r="AR1368">
        <v>3.88</v>
      </c>
      <c r="AS1368">
        <v>24</v>
      </c>
      <c r="AT1368">
        <v>1.85</v>
      </c>
      <c r="AU1368">
        <v>86</v>
      </c>
      <c r="AV1368">
        <v>-1.64</v>
      </c>
      <c r="AW1368">
        <v>22</v>
      </c>
      <c r="AX1368">
        <v>0.06</v>
      </c>
      <c r="AY1368">
        <v>27</v>
      </c>
      <c r="AZ1368">
        <v>6.2</v>
      </c>
      <c r="BA1368">
        <v>12</v>
      </c>
      <c r="BB1368">
        <v>4.75</v>
      </c>
      <c r="BC1368">
        <v>9</v>
      </c>
      <c r="BD1368">
        <v>-0.02</v>
      </c>
      <c r="BE1368">
        <v>-0.05</v>
      </c>
      <c r="BF1368">
        <v>-0.18</v>
      </c>
      <c r="BG1368">
        <v>86</v>
      </c>
      <c r="BH1368">
        <v>-0.09</v>
      </c>
      <c r="BI1368">
        <v>-13.57</v>
      </c>
      <c r="BJ1368">
        <v>3</v>
      </c>
      <c r="BK1368">
        <v>3</v>
      </c>
      <c r="BL1368">
        <v>-0.21</v>
      </c>
      <c r="BM1368">
        <v>-1.64</v>
      </c>
      <c r="BN1368">
        <v>-2.11</v>
      </c>
      <c r="BO1368">
        <v>-0.01</v>
      </c>
      <c r="BP1368">
        <v>0.95</v>
      </c>
      <c r="BQ1368">
        <v>-0.84</v>
      </c>
      <c r="BR1368">
        <v>0.12</v>
      </c>
      <c r="BS1368">
        <v>0.61</v>
      </c>
      <c r="BT1368">
        <v>-0.38</v>
      </c>
      <c r="BU1368">
        <v>2.98</v>
      </c>
      <c r="BV1368">
        <v>2.3199999999999998</v>
      </c>
      <c r="BW1368">
        <v>1.73</v>
      </c>
      <c r="BX1368">
        <v>2.8</v>
      </c>
      <c r="BY1368">
        <v>2.5499999999999998</v>
      </c>
      <c r="BZ1368">
        <v>-1.62</v>
      </c>
      <c r="CA1368">
        <v>2.39</v>
      </c>
      <c r="CB1368">
        <v>2.4</v>
      </c>
      <c r="CC1368">
        <v>0.96</v>
      </c>
      <c r="CD1368">
        <v>0.3</v>
      </c>
      <c r="CE1368">
        <v>0.14000000000000001</v>
      </c>
      <c r="CF1368">
        <v>0.38</v>
      </c>
      <c r="CG1368">
        <v>0</v>
      </c>
      <c r="CH1368">
        <v>2.0099999999999998</v>
      </c>
      <c r="CI1368">
        <v>0</v>
      </c>
      <c r="CJ1368">
        <v>-2.2000000000000002</v>
      </c>
      <c r="CK1368">
        <v>29</v>
      </c>
      <c r="CL1368">
        <v>-1.01</v>
      </c>
      <c r="CM1368">
        <v>25</v>
      </c>
      <c r="CN1368">
        <v>-0.53</v>
      </c>
      <c r="CO1368">
        <v>25</v>
      </c>
      <c r="CP1368">
        <v>0.6</v>
      </c>
      <c r="CQ1368">
        <v>17</v>
      </c>
      <c r="CR1368">
        <v>0</v>
      </c>
      <c r="CS1368">
        <v>0</v>
      </c>
      <c r="CT1368">
        <v>14.7</v>
      </c>
      <c r="CU1368">
        <v>14</v>
      </c>
      <c r="CV1368">
        <v>0.27</v>
      </c>
      <c r="CW1368">
        <v>8</v>
      </c>
      <c r="CX1368" t="s">
        <v>1962</v>
      </c>
    </row>
    <row r="1369" spans="1:102" x14ac:dyDescent="0.3">
      <c r="A1369" t="str">
        <f>HYPERLINK("https://webapp.icbf.com/v2/app/bull-search/view/910793933","S3363")</f>
        <v>S3363</v>
      </c>
      <c r="B1369" t="s">
        <v>472</v>
      </c>
      <c r="C1369" t="s">
        <v>473</v>
      </c>
      <c r="D1369" s="1">
        <v>40466</v>
      </c>
      <c r="E1369" t="s">
        <v>92</v>
      </c>
      <c r="F1369">
        <v>100</v>
      </c>
      <c r="G1369" t="s">
        <v>109</v>
      </c>
      <c r="H1369">
        <v>115.85</v>
      </c>
      <c r="I1369">
        <v>75</v>
      </c>
      <c r="J1369">
        <v>84.72</v>
      </c>
      <c r="K1369">
        <v>92</v>
      </c>
      <c r="L1369">
        <v>-0.89</v>
      </c>
      <c r="M1369">
        <v>80</v>
      </c>
      <c r="N1369">
        <v>19.75</v>
      </c>
      <c r="O1369">
        <v>58</v>
      </c>
      <c r="P1369">
        <v>-11.14</v>
      </c>
      <c r="Q1369">
        <v>46</v>
      </c>
      <c r="R1369">
        <v>12.21</v>
      </c>
      <c r="S1369">
        <v>73</v>
      </c>
      <c r="T1369">
        <v>4.8</v>
      </c>
      <c r="U1369">
        <v>46</v>
      </c>
      <c r="V1369">
        <v>6.4</v>
      </c>
      <c r="W1369">
        <v>63</v>
      </c>
      <c r="X1369" t="s">
        <v>110</v>
      </c>
      <c r="Y1369" t="s">
        <v>468</v>
      </c>
      <c r="Z1369" t="s">
        <v>96</v>
      </c>
      <c r="AA1369" t="s">
        <v>474</v>
      </c>
      <c r="AB1369" t="s">
        <v>475</v>
      </c>
      <c r="AC1369">
        <v>0</v>
      </c>
      <c r="AD1369">
        <v>0</v>
      </c>
      <c r="AE1369">
        <v>92</v>
      </c>
      <c r="AF1369">
        <v>280.97000000000003</v>
      </c>
      <c r="AG1369">
        <v>13.51</v>
      </c>
      <c r="AH1369">
        <v>13.93</v>
      </c>
      <c r="AI1369">
        <v>0.04</v>
      </c>
      <c r="AJ1369">
        <v>0.08</v>
      </c>
      <c r="AK1369">
        <v>80</v>
      </c>
      <c r="AL1369">
        <v>0</v>
      </c>
      <c r="AM1369">
        <v>0</v>
      </c>
      <c r="AN1369">
        <v>0.11</v>
      </c>
      <c r="AO1369">
        <v>0.04</v>
      </c>
      <c r="AP1369">
        <v>4</v>
      </c>
      <c r="AQ1369">
        <v>0</v>
      </c>
      <c r="AR1369">
        <v>7.58</v>
      </c>
      <c r="AS1369">
        <v>57</v>
      </c>
      <c r="AT1369">
        <v>3.22</v>
      </c>
      <c r="AU1369">
        <v>90</v>
      </c>
      <c r="AV1369">
        <v>-2.21</v>
      </c>
      <c r="AW1369">
        <v>46</v>
      </c>
      <c r="AX1369">
        <v>0.22</v>
      </c>
      <c r="AY1369">
        <v>46</v>
      </c>
      <c r="AZ1369">
        <v>4.8499999999999996</v>
      </c>
      <c r="BA1369">
        <v>44</v>
      </c>
      <c r="BB1369">
        <v>4.7300000000000004</v>
      </c>
      <c r="BC1369">
        <v>46</v>
      </c>
      <c r="BD1369">
        <v>-7.0000000000000007E-2</v>
      </c>
      <c r="BE1369">
        <v>-0.06</v>
      </c>
      <c r="BF1369">
        <v>-0.05</v>
      </c>
      <c r="BG1369">
        <v>88</v>
      </c>
      <c r="BH1369">
        <v>7.0000000000000007E-2</v>
      </c>
      <c r="BI1369">
        <v>-12.56</v>
      </c>
      <c r="BJ1369">
        <v>0</v>
      </c>
      <c r="BK1369">
        <v>0</v>
      </c>
      <c r="BL1369">
        <v>0.16</v>
      </c>
      <c r="BM1369">
        <v>-0.83</v>
      </c>
      <c r="BN1369">
        <v>-0.24</v>
      </c>
      <c r="BO1369">
        <v>0.77</v>
      </c>
      <c r="BP1369">
        <v>-0.62</v>
      </c>
      <c r="BQ1369">
        <v>0.54</v>
      </c>
      <c r="BR1369">
        <v>1.27</v>
      </c>
      <c r="BS1369">
        <v>1.75</v>
      </c>
      <c r="BT1369">
        <v>-0.63</v>
      </c>
      <c r="BU1369">
        <v>1.6</v>
      </c>
      <c r="BV1369">
        <v>1.72</v>
      </c>
      <c r="BW1369">
        <v>0.3</v>
      </c>
      <c r="BX1369">
        <v>1.1299999999999999</v>
      </c>
      <c r="BY1369">
        <v>0.45</v>
      </c>
      <c r="BZ1369">
        <v>-3.34</v>
      </c>
      <c r="CA1369">
        <v>2.0499999999999998</v>
      </c>
      <c r="CB1369">
        <v>1.87</v>
      </c>
      <c r="CC1369">
        <v>1.72</v>
      </c>
      <c r="CD1369">
        <v>-0.76</v>
      </c>
      <c r="CE1369">
        <v>0.69</v>
      </c>
      <c r="CF1369">
        <v>0.37</v>
      </c>
      <c r="CG1369">
        <v>0</v>
      </c>
      <c r="CH1369">
        <v>0.56999999999999995</v>
      </c>
      <c r="CI1369">
        <v>0</v>
      </c>
      <c r="CJ1369">
        <v>-5.2</v>
      </c>
      <c r="CK1369">
        <v>46</v>
      </c>
      <c r="CL1369">
        <v>-1.0900000000000001</v>
      </c>
      <c r="CM1369">
        <v>46</v>
      </c>
      <c r="CN1369">
        <v>-0.6</v>
      </c>
      <c r="CO1369">
        <v>46</v>
      </c>
      <c r="CP1369">
        <v>1.7</v>
      </c>
      <c r="CQ1369">
        <v>46</v>
      </c>
      <c r="CR1369">
        <v>0</v>
      </c>
      <c r="CS1369">
        <v>0</v>
      </c>
      <c r="CT1369">
        <v>7.3</v>
      </c>
      <c r="CU1369">
        <v>46</v>
      </c>
      <c r="CV1369">
        <v>0.22</v>
      </c>
      <c r="CW1369">
        <v>35</v>
      </c>
      <c r="CX1369" t="s">
        <v>476</v>
      </c>
    </row>
    <row r="1370" spans="1:102" x14ac:dyDescent="0.3">
      <c r="A1370" t="str">
        <f>HYPERLINK("https://webapp.icbf.com/v2/app/bull-search/view/586060009","MJM")</f>
        <v>MJM</v>
      </c>
      <c r="B1370" t="s">
        <v>6763</v>
      </c>
      <c r="C1370" t="s">
        <v>6764</v>
      </c>
      <c r="D1370" s="1">
        <v>38223</v>
      </c>
      <c r="E1370" t="s">
        <v>92</v>
      </c>
      <c r="F1370">
        <v>100</v>
      </c>
      <c r="G1370" t="s">
        <v>93</v>
      </c>
      <c r="H1370">
        <v>115.77</v>
      </c>
      <c r="I1370">
        <v>95</v>
      </c>
      <c r="J1370">
        <v>53.72</v>
      </c>
      <c r="K1370">
        <v>99</v>
      </c>
      <c r="L1370">
        <v>38.08</v>
      </c>
      <c r="M1370">
        <v>91</v>
      </c>
      <c r="N1370">
        <v>21.25</v>
      </c>
      <c r="O1370">
        <v>94</v>
      </c>
      <c r="P1370">
        <v>-4.92</v>
      </c>
      <c r="Q1370">
        <v>98</v>
      </c>
      <c r="R1370">
        <v>6.04</v>
      </c>
      <c r="S1370">
        <v>88</v>
      </c>
      <c r="T1370">
        <v>1.84</v>
      </c>
      <c r="U1370">
        <v>95</v>
      </c>
      <c r="V1370">
        <v>-0.24</v>
      </c>
      <c r="W1370">
        <v>89</v>
      </c>
      <c r="X1370" t="s">
        <v>102</v>
      </c>
      <c r="Y1370" t="s">
        <v>235</v>
      </c>
      <c r="Z1370" t="s">
        <v>96</v>
      </c>
      <c r="AA1370" t="s">
        <v>316</v>
      </c>
      <c r="AB1370" t="s">
        <v>6765</v>
      </c>
      <c r="AC1370">
        <v>314</v>
      </c>
      <c r="AD1370">
        <v>132</v>
      </c>
      <c r="AE1370">
        <v>99</v>
      </c>
      <c r="AF1370">
        <v>302.32</v>
      </c>
      <c r="AG1370">
        <v>11.15</v>
      </c>
      <c r="AH1370">
        <v>9.82</v>
      </c>
      <c r="AI1370">
        <v>-0.01</v>
      </c>
      <c r="AJ1370">
        <v>-0.01</v>
      </c>
      <c r="AK1370">
        <v>91</v>
      </c>
      <c r="AL1370">
        <v>371</v>
      </c>
      <c r="AM1370">
        <v>158</v>
      </c>
      <c r="AN1370">
        <v>-1.83</v>
      </c>
      <c r="AO1370">
        <v>1.21</v>
      </c>
      <c r="AP1370">
        <v>570</v>
      </c>
      <c r="AQ1370">
        <v>7</v>
      </c>
      <c r="AR1370">
        <v>6.07</v>
      </c>
      <c r="AS1370">
        <v>92</v>
      </c>
      <c r="AT1370">
        <v>2.4</v>
      </c>
      <c r="AU1370">
        <v>94</v>
      </c>
      <c r="AV1370">
        <v>-1.1399999999999999</v>
      </c>
      <c r="AW1370">
        <v>99</v>
      </c>
      <c r="AX1370">
        <v>-0.15</v>
      </c>
      <c r="AY1370">
        <v>93</v>
      </c>
      <c r="AZ1370">
        <v>5.76</v>
      </c>
      <c r="BA1370">
        <v>82</v>
      </c>
      <c r="BB1370">
        <v>4.74</v>
      </c>
      <c r="BC1370">
        <v>85</v>
      </c>
      <c r="BD1370">
        <v>-0.03</v>
      </c>
      <c r="BE1370">
        <v>-0.01</v>
      </c>
      <c r="BF1370">
        <v>-7.0000000000000007E-2</v>
      </c>
      <c r="BG1370">
        <v>95</v>
      </c>
      <c r="BH1370">
        <v>-0.16</v>
      </c>
      <c r="BI1370">
        <v>-17.72</v>
      </c>
      <c r="BJ1370">
        <v>23</v>
      </c>
      <c r="BK1370">
        <v>7</v>
      </c>
      <c r="BL1370">
        <v>0.9</v>
      </c>
      <c r="BM1370">
        <v>1.1000000000000001</v>
      </c>
      <c r="BN1370">
        <v>0.82</v>
      </c>
      <c r="BO1370">
        <v>0.54</v>
      </c>
      <c r="BP1370">
        <v>0.56999999999999995</v>
      </c>
      <c r="BQ1370">
        <v>-1.03</v>
      </c>
      <c r="BR1370">
        <v>-2.35</v>
      </c>
      <c r="BS1370">
        <v>0.25</v>
      </c>
      <c r="BT1370">
        <v>1.06</v>
      </c>
      <c r="BU1370">
        <v>0.2</v>
      </c>
      <c r="BV1370">
        <v>0.64</v>
      </c>
      <c r="BW1370">
        <v>-1.2</v>
      </c>
      <c r="BX1370">
        <v>0.33</v>
      </c>
      <c r="BY1370">
        <v>1.19</v>
      </c>
      <c r="BZ1370">
        <v>-2.0099999999999998</v>
      </c>
      <c r="CA1370">
        <v>0.28000000000000003</v>
      </c>
      <c r="CB1370">
        <v>0.24</v>
      </c>
      <c r="CC1370">
        <v>0.7</v>
      </c>
      <c r="CD1370">
        <v>-0.04</v>
      </c>
      <c r="CE1370">
        <v>-0.12</v>
      </c>
      <c r="CF1370">
        <v>0.12</v>
      </c>
      <c r="CG1370">
        <v>0</v>
      </c>
      <c r="CH1370">
        <v>0.33</v>
      </c>
      <c r="CI1370">
        <v>0</v>
      </c>
      <c r="CJ1370">
        <v>0.6</v>
      </c>
      <c r="CK1370">
        <v>98</v>
      </c>
      <c r="CL1370">
        <v>-0.93</v>
      </c>
      <c r="CM1370">
        <v>98</v>
      </c>
      <c r="CN1370">
        <v>-0.27</v>
      </c>
      <c r="CO1370">
        <v>98</v>
      </c>
      <c r="CP1370">
        <v>4.5999999999999996</v>
      </c>
      <c r="CQ1370">
        <v>96</v>
      </c>
      <c r="CR1370">
        <v>0</v>
      </c>
      <c r="CS1370">
        <v>0</v>
      </c>
      <c r="CT1370">
        <v>11.3</v>
      </c>
      <c r="CU1370">
        <v>95</v>
      </c>
      <c r="CV1370">
        <v>0.36</v>
      </c>
      <c r="CW1370">
        <v>48</v>
      </c>
      <c r="CX1370" t="s">
        <v>6766</v>
      </c>
    </row>
    <row r="1371" spans="1:102" x14ac:dyDescent="0.3">
      <c r="A1371" t="str">
        <f>HYPERLINK("https://webapp.icbf.com/v2/app/bull-search/view/496462576","IRP")</f>
        <v>IRP</v>
      </c>
      <c r="B1371" t="s">
        <v>8898</v>
      </c>
      <c r="C1371" t="s">
        <v>1939</v>
      </c>
      <c r="D1371" s="1">
        <v>39123</v>
      </c>
      <c r="E1371" t="s">
        <v>92</v>
      </c>
      <c r="F1371">
        <v>72</v>
      </c>
      <c r="G1371" t="s">
        <v>93</v>
      </c>
      <c r="H1371">
        <v>115.69</v>
      </c>
      <c r="I1371">
        <v>98</v>
      </c>
      <c r="J1371">
        <v>73.02</v>
      </c>
      <c r="K1371">
        <v>99</v>
      </c>
      <c r="L1371">
        <v>18.600000000000001</v>
      </c>
      <c r="M1371">
        <v>97</v>
      </c>
      <c r="N1371">
        <v>26.7</v>
      </c>
      <c r="O1371">
        <v>99</v>
      </c>
      <c r="P1371">
        <v>-14.07</v>
      </c>
      <c r="Q1371">
        <v>99</v>
      </c>
      <c r="R1371">
        <v>7.18</v>
      </c>
      <c r="S1371">
        <v>97</v>
      </c>
      <c r="T1371">
        <v>3.02</v>
      </c>
      <c r="U1371">
        <v>99</v>
      </c>
      <c r="V1371">
        <v>1.24</v>
      </c>
      <c r="W1371">
        <v>96</v>
      </c>
      <c r="X1371" t="s">
        <v>94</v>
      </c>
      <c r="Y1371" t="s">
        <v>1374</v>
      </c>
      <c r="Z1371" t="s">
        <v>96</v>
      </c>
      <c r="AA1371" t="s">
        <v>4532</v>
      </c>
      <c r="AB1371" t="s">
        <v>8899</v>
      </c>
      <c r="AC1371">
        <v>3686</v>
      </c>
      <c r="AD1371">
        <v>1305</v>
      </c>
      <c r="AE1371">
        <v>99</v>
      </c>
      <c r="AF1371">
        <v>52.76</v>
      </c>
      <c r="AG1371">
        <v>9.74</v>
      </c>
      <c r="AH1371">
        <v>9.7799999999999994</v>
      </c>
      <c r="AI1371">
        <v>0.13</v>
      </c>
      <c r="AJ1371">
        <v>0.14000000000000001</v>
      </c>
      <c r="AK1371">
        <v>97</v>
      </c>
      <c r="AL1371">
        <v>4569</v>
      </c>
      <c r="AM1371">
        <v>1740</v>
      </c>
      <c r="AN1371">
        <v>0.3</v>
      </c>
      <c r="AO1371">
        <v>1.8</v>
      </c>
      <c r="AP1371">
        <v>7306</v>
      </c>
      <c r="AQ1371">
        <v>89</v>
      </c>
      <c r="AR1371">
        <v>6.99</v>
      </c>
      <c r="AS1371">
        <v>98</v>
      </c>
      <c r="AT1371">
        <v>2.52</v>
      </c>
      <c r="AU1371">
        <v>99</v>
      </c>
      <c r="AV1371">
        <v>-2.48</v>
      </c>
      <c r="AW1371">
        <v>99</v>
      </c>
      <c r="AX1371">
        <v>-0.65</v>
      </c>
      <c r="AY1371">
        <v>99</v>
      </c>
      <c r="AZ1371">
        <v>7.3</v>
      </c>
      <c r="BA1371">
        <v>98</v>
      </c>
      <c r="BB1371">
        <v>4.97</v>
      </c>
      <c r="BC1371">
        <v>98</v>
      </c>
      <c r="BD1371">
        <v>-0.06</v>
      </c>
      <c r="BE1371">
        <v>-0.05</v>
      </c>
      <c r="BF1371">
        <v>0.03</v>
      </c>
      <c r="BG1371">
        <v>99</v>
      </c>
      <c r="BH1371">
        <v>0.05</v>
      </c>
      <c r="BI1371">
        <v>1.77</v>
      </c>
      <c r="BJ1371">
        <v>150</v>
      </c>
      <c r="BK1371">
        <v>61</v>
      </c>
      <c r="BL1371">
        <v>-1.06</v>
      </c>
      <c r="BM1371">
        <v>0.39</v>
      </c>
      <c r="BN1371">
        <v>-0.03</v>
      </c>
      <c r="BO1371">
        <v>-0.27</v>
      </c>
      <c r="BP1371">
        <v>0.67</v>
      </c>
      <c r="BQ1371">
        <v>-0.08</v>
      </c>
      <c r="BR1371">
        <v>0.06</v>
      </c>
      <c r="BS1371">
        <v>0.42</v>
      </c>
      <c r="BT1371">
        <v>-0.12</v>
      </c>
      <c r="BU1371">
        <v>0.72</v>
      </c>
      <c r="BV1371">
        <v>-0.36</v>
      </c>
      <c r="BW1371">
        <v>0.06</v>
      </c>
      <c r="BX1371">
        <v>-0.35</v>
      </c>
      <c r="BY1371">
        <v>1.24</v>
      </c>
      <c r="BZ1371">
        <v>-0.54</v>
      </c>
      <c r="CA1371">
        <v>0.26</v>
      </c>
      <c r="CB1371">
        <v>0.38</v>
      </c>
      <c r="CC1371">
        <v>0.06</v>
      </c>
      <c r="CD1371">
        <v>0.9</v>
      </c>
      <c r="CE1371">
        <v>-0.18</v>
      </c>
      <c r="CF1371">
        <v>-0.17</v>
      </c>
      <c r="CG1371">
        <v>0</v>
      </c>
      <c r="CH1371">
        <v>1.03</v>
      </c>
      <c r="CI1371">
        <v>0</v>
      </c>
      <c r="CJ1371">
        <v>-7</v>
      </c>
      <c r="CK1371">
        <v>99</v>
      </c>
      <c r="CL1371">
        <v>-0.84</v>
      </c>
      <c r="CM1371">
        <v>99</v>
      </c>
      <c r="CN1371">
        <v>-0.38</v>
      </c>
      <c r="CO1371">
        <v>99</v>
      </c>
      <c r="CP1371">
        <v>-1.3</v>
      </c>
      <c r="CQ1371">
        <v>99</v>
      </c>
      <c r="CR1371">
        <v>0</v>
      </c>
      <c r="CS1371">
        <v>0</v>
      </c>
      <c r="CT1371">
        <v>9.6999999999999993</v>
      </c>
      <c r="CU1371">
        <v>99</v>
      </c>
      <c r="CV1371">
        <v>0.09</v>
      </c>
      <c r="CW1371">
        <v>50</v>
      </c>
      <c r="CX1371" t="s">
        <v>1037</v>
      </c>
    </row>
    <row r="1372" spans="1:102" x14ac:dyDescent="0.3">
      <c r="A1372" t="str">
        <f>HYPERLINK("https://webapp.icbf.com/v2/app/bull-search/view/1417509829","S3156")</f>
        <v>S3156</v>
      </c>
      <c r="B1372" t="s">
        <v>14562</v>
      </c>
      <c r="C1372" t="s">
        <v>14563</v>
      </c>
      <c r="D1372" s="1">
        <v>42084</v>
      </c>
      <c r="E1372" t="s">
        <v>92</v>
      </c>
      <c r="F1372">
        <v>100</v>
      </c>
      <c r="G1372" t="s">
        <v>435</v>
      </c>
      <c r="H1372">
        <v>115.69</v>
      </c>
      <c r="I1372">
        <v>70</v>
      </c>
      <c r="J1372">
        <v>57.93</v>
      </c>
      <c r="K1372">
        <v>90</v>
      </c>
      <c r="L1372">
        <v>22.9</v>
      </c>
      <c r="M1372">
        <v>68</v>
      </c>
      <c r="N1372">
        <v>28.17</v>
      </c>
      <c r="O1372">
        <v>67</v>
      </c>
      <c r="P1372">
        <v>3.77</v>
      </c>
      <c r="Q1372">
        <v>41</v>
      </c>
      <c r="R1372">
        <v>14.77</v>
      </c>
      <c r="S1372">
        <v>66</v>
      </c>
      <c r="T1372">
        <v>-16.07</v>
      </c>
      <c r="U1372">
        <v>36</v>
      </c>
      <c r="V1372">
        <v>4.22</v>
      </c>
      <c r="W1372">
        <v>55</v>
      </c>
      <c r="X1372" t="s">
        <v>110</v>
      </c>
      <c r="Y1372" t="s">
        <v>457</v>
      </c>
      <c r="Z1372" t="s">
        <v>96</v>
      </c>
      <c r="AA1372" t="s">
        <v>2329</v>
      </c>
      <c r="AB1372" t="s">
        <v>14564</v>
      </c>
      <c r="AC1372">
        <v>0</v>
      </c>
      <c r="AD1372">
        <v>0</v>
      </c>
      <c r="AE1372">
        <v>90</v>
      </c>
      <c r="AF1372">
        <v>561.69000000000005</v>
      </c>
      <c r="AG1372">
        <v>10.09</v>
      </c>
      <c r="AH1372">
        <v>14.88</v>
      </c>
      <c r="AI1372">
        <v>-0.19</v>
      </c>
      <c r="AJ1372">
        <v>-0.06</v>
      </c>
      <c r="AK1372">
        <v>68</v>
      </c>
      <c r="AL1372">
        <v>0</v>
      </c>
      <c r="AM1372">
        <v>0</v>
      </c>
      <c r="AN1372">
        <v>-0.19</v>
      </c>
      <c r="AO1372">
        <v>1.65</v>
      </c>
      <c r="AP1372">
        <v>1</v>
      </c>
      <c r="AQ1372">
        <v>0</v>
      </c>
      <c r="AR1372">
        <v>7.41</v>
      </c>
      <c r="AS1372">
        <v>51</v>
      </c>
      <c r="AT1372">
        <v>2.61</v>
      </c>
      <c r="AU1372">
        <v>87</v>
      </c>
      <c r="AV1372">
        <v>-2.81</v>
      </c>
      <c r="AW1372">
        <v>76</v>
      </c>
      <c r="AX1372">
        <v>-0.26</v>
      </c>
      <c r="AY1372">
        <v>49</v>
      </c>
      <c r="AZ1372">
        <v>5.97</v>
      </c>
      <c r="BA1372">
        <v>36</v>
      </c>
      <c r="BB1372">
        <v>5.08</v>
      </c>
      <c r="BC1372">
        <v>35</v>
      </c>
      <c r="BD1372">
        <v>-0.04</v>
      </c>
      <c r="BE1372">
        <v>-7.0000000000000007E-2</v>
      </c>
      <c r="BF1372">
        <v>-0.14000000000000001</v>
      </c>
      <c r="BG1372">
        <v>81</v>
      </c>
      <c r="BH1372">
        <v>-0.02</v>
      </c>
      <c r="BI1372">
        <v>-15.93</v>
      </c>
      <c r="BJ1372">
        <v>0</v>
      </c>
      <c r="BK1372">
        <v>0</v>
      </c>
      <c r="BL1372">
        <v>2.08</v>
      </c>
      <c r="BM1372">
        <v>-1</v>
      </c>
      <c r="BN1372">
        <v>0.56999999999999995</v>
      </c>
      <c r="BO1372">
        <v>1.37</v>
      </c>
      <c r="BP1372">
        <v>-0.06</v>
      </c>
      <c r="BQ1372">
        <v>0.37</v>
      </c>
      <c r="BR1372">
        <v>0.8</v>
      </c>
      <c r="BS1372">
        <v>0.53</v>
      </c>
      <c r="BT1372">
        <v>-0.42</v>
      </c>
      <c r="BU1372">
        <v>2.2599999999999998</v>
      </c>
      <c r="BV1372">
        <v>2.59</v>
      </c>
      <c r="BW1372">
        <v>3.01</v>
      </c>
      <c r="BX1372">
        <v>2.4500000000000002</v>
      </c>
      <c r="BY1372">
        <v>1.52</v>
      </c>
      <c r="BZ1372">
        <v>2.52</v>
      </c>
      <c r="CA1372">
        <v>2.48</v>
      </c>
      <c r="CB1372">
        <v>2.64</v>
      </c>
      <c r="CC1372">
        <v>1.19</v>
      </c>
      <c r="CD1372">
        <v>-0.91</v>
      </c>
      <c r="CE1372">
        <v>1.01</v>
      </c>
      <c r="CF1372">
        <v>1.72</v>
      </c>
      <c r="CG1372">
        <v>0</v>
      </c>
      <c r="CH1372">
        <v>1</v>
      </c>
      <c r="CI1372">
        <v>0</v>
      </c>
      <c r="CJ1372">
        <v>4</v>
      </c>
      <c r="CK1372">
        <v>42</v>
      </c>
      <c r="CL1372">
        <v>-1.41</v>
      </c>
      <c r="CM1372">
        <v>40</v>
      </c>
      <c r="CN1372">
        <v>-0.95</v>
      </c>
      <c r="CO1372">
        <v>39</v>
      </c>
      <c r="CP1372">
        <v>11.2</v>
      </c>
      <c r="CQ1372">
        <v>37</v>
      </c>
      <c r="CR1372">
        <v>0</v>
      </c>
      <c r="CS1372">
        <v>0</v>
      </c>
      <c r="CT1372">
        <v>35.5</v>
      </c>
      <c r="CU1372">
        <v>36</v>
      </c>
      <c r="CV1372">
        <v>0.36</v>
      </c>
      <c r="CW1372">
        <v>33</v>
      </c>
      <c r="CX1372" t="s">
        <v>401</v>
      </c>
    </row>
    <row r="1373" spans="1:102" x14ac:dyDescent="0.3">
      <c r="A1373" t="str">
        <f>HYPERLINK("https://webapp.icbf.com/v2/app/bull-search/view/910808151","KAB")</f>
        <v>KAB</v>
      </c>
      <c r="B1373" t="s">
        <v>7603</v>
      </c>
      <c r="C1373" t="s">
        <v>7604</v>
      </c>
      <c r="D1373" s="1">
        <v>40391</v>
      </c>
      <c r="E1373" t="s">
        <v>92</v>
      </c>
      <c r="F1373">
        <v>63</v>
      </c>
      <c r="G1373" t="s">
        <v>109</v>
      </c>
      <c r="H1373">
        <v>115.64</v>
      </c>
      <c r="I1373">
        <v>70</v>
      </c>
      <c r="J1373">
        <v>98.31</v>
      </c>
      <c r="K1373">
        <v>87</v>
      </c>
      <c r="L1373">
        <v>2.3199999999999998</v>
      </c>
      <c r="M1373">
        <v>65</v>
      </c>
      <c r="N1373">
        <v>25.82</v>
      </c>
      <c r="O1373">
        <v>54</v>
      </c>
      <c r="P1373">
        <v>-30.48</v>
      </c>
      <c r="Q1373">
        <v>57</v>
      </c>
      <c r="R1373">
        <v>-4.45</v>
      </c>
      <c r="S1373">
        <v>64</v>
      </c>
      <c r="T1373">
        <v>20.41</v>
      </c>
      <c r="U1373">
        <v>61</v>
      </c>
      <c r="V1373">
        <v>3.71</v>
      </c>
      <c r="W1373">
        <v>55</v>
      </c>
      <c r="X1373" t="s">
        <v>276</v>
      </c>
      <c r="Y1373" t="s">
        <v>2066</v>
      </c>
      <c r="Z1373" t="s">
        <v>330</v>
      </c>
      <c r="AA1373" t="s">
        <v>7605</v>
      </c>
      <c r="AB1373" t="s">
        <v>144</v>
      </c>
      <c r="AC1373">
        <v>0</v>
      </c>
      <c r="AD1373">
        <v>0</v>
      </c>
      <c r="AE1373">
        <v>87</v>
      </c>
      <c r="AF1373">
        <v>88.51</v>
      </c>
      <c r="AG1373">
        <v>15.53</v>
      </c>
      <c r="AH1373">
        <v>12.58</v>
      </c>
      <c r="AI1373">
        <v>0.21</v>
      </c>
      <c r="AJ1373">
        <v>0.16</v>
      </c>
      <c r="AK1373">
        <v>65</v>
      </c>
      <c r="AL1373">
        <v>0</v>
      </c>
      <c r="AM1373">
        <v>0</v>
      </c>
      <c r="AN1373">
        <v>0.24</v>
      </c>
      <c r="AO1373">
        <v>0.43</v>
      </c>
      <c r="AP1373">
        <v>10</v>
      </c>
      <c r="AQ1373">
        <v>0</v>
      </c>
      <c r="AR1373">
        <v>6.26</v>
      </c>
      <c r="AS1373">
        <v>43</v>
      </c>
      <c r="AT1373">
        <v>2.04</v>
      </c>
      <c r="AU1373">
        <v>60</v>
      </c>
      <c r="AV1373">
        <v>-2.0299999999999998</v>
      </c>
      <c r="AW1373">
        <v>64</v>
      </c>
      <c r="AX1373">
        <v>-0.52</v>
      </c>
      <c r="AY1373">
        <v>45</v>
      </c>
      <c r="AZ1373">
        <v>7.14</v>
      </c>
      <c r="BA1373">
        <v>33</v>
      </c>
      <c r="BB1373">
        <v>5.42</v>
      </c>
      <c r="BC1373">
        <v>31</v>
      </c>
      <c r="BD1373">
        <v>0.05</v>
      </c>
      <c r="BE1373">
        <v>0.01</v>
      </c>
      <c r="BF1373">
        <v>0</v>
      </c>
      <c r="BG1373">
        <v>81</v>
      </c>
      <c r="BH1373">
        <v>0.21</v>
      </c>
      <c r="BI1373">
        <v>12.34</v>
      </c>
      <c r="BJ1373">
        <v>0</v>
      </c>
      <c r="BK1373">
        <v>0</v>
      </c>
      <c r="BL1373">
        <v>-0.64</v>
      </c>
      <c r="BM1373">
        <v>0.17</v>
      </c>
      <c r="BN1373">
        <v>-0.87</v>
      </c>
      <c r="BO1373">
        <v>-0.65</v>
      </c>
      <c r="BP1373">
        <v>2.81</v>
      </c>
      <c r="BQ1373">
        <v>-0.53</v>
      </c>
      <c r="BR1373">
        <v>1.74</v>
      </c>
      <c r="BS1373">
        <v>0.18</v>
      </c>
      <c r="BT1373">
        <v>-0.65</v>
      </c>
      <c r="BU1373">
        <v>-1.66</v>
      </c>
      <c r="BV1373">
        <v>-2.5</v>
      </c>
      <c r="BW1373">
        <v>-2.14</v>
      </c>
      <c r="BX1373">
        <v>0.14000000000000001</v>
      </c>
      <c r="BY1373">
        <v>0.21</v>
      </c>
      <c r="BZ1373">
        <v>-1.1599999999999999</v>
      </c>
      <c r="CA1373">
        <v>-1.19</v>
      </c>
      <c r="CB1373">
        <v>-1.79</v>
      </c>
      <c r="CC1373">
        <v>-0.25</v>
      </c>
      <c r="CD1373">
        <v>0.77</v>
      </c>
      <c r="CE1373">
        <v>7.0000000000000007E-2</v>
      </c>
      <c r="CF1373">
        <v>0</v>
      </c>
      <c r="CG1373">
        <v>0</v>
      </c>
      <c r="CH1373">
        <v>7.0000000000000007E-2</v>
      </c>
      <c r="CI1373">
        <v>0</v>
      </c>
      <c r="CJ1373">
        <v>-12.3</v>
      </c>
      <c r="CK1373">
        <v>60</v>
      </c>
      <c r="CL1373">
        <v>-1.23</v>
      </c>
      <c r="CM1373">
        <v>52</v>
      </c>
      <c r="CN1373">
        <v>-0.16</v>
      </c>
      <c r="CO1373">
        <v>49</v>
      </c>
      <c r="CP1373">
        <v>-17.899999999999999</v>
      </c>
      <c r="CQ1373">
        <v>58</v>
      </c>
      <c r="CR1373">
        <v>0</v>
      </c>
      <c r="CS1373">
        <v>0</v>
      </c>
      <c r="CT1373">
        <v>-13.8</v>
      </c>
      <c r="CU1373">
        <v>61</v>
      </c>
      <c r="CV1373">
        <v>0.03</v>
      </c>
      <c r="CW1373">
        <v>37</v>
      </c>
      <c r="CX1373" t="s">
        <v>320</v>
      </c>
    </row>
    <row r="1374" spans="1:102" x14ac:dyDescent="0.3">
      <c r="A1374" t="str">
        <f>HYPERLINK("https://webapp.icbf.com/v2/app/bull-search/view/1061308821","JYR")</f>
        <v>JYR</v>
      </c>
      <c r="B1374" t="s">
        <v>9240</v>
      </c>
      <c r="C1374" t="s">
        <v>9241</v>
      </c>
      <c r="D1374" s="1">
        <v>40754</v>
      </c>
      <c r="E1374" t="s">
        <v>108</v>
      </c>
      <c r="F1374">
        <v>3</v>
      </c>
      <c r="G1374" t="s">
        <v>93</v>
      </c>
      <c r="H1374">
        <v>115.55</v>
      </c>
      <c r="I1374">
        <v>88</v>
      </c>
      <c r="J1374">
        <v>-8.3000000000000007</v>
      </c>
      <c r="K1374">
        <v>97</v>
      </c>
      <c r="L1374">
        <v>95.29</v>
      </c>
      <c r="M1374">
        <v>82</v>
      </c>
      <c r="N1374">
        <v>18.39</v>
      </c>
      <c r="O1374">
        <v>89</v>
      </c>
      <c r="P1374">
        <v>-20.81</v>
      </c>
      <c r="Q1374">
        <v>95</v>
      </c>
      <c r="R1374">
        <v>5.86</v>
      </c>
      <c r="S1374">
        <v>75</v>
      </c>
      <c r="T1374">
        <v>17.82</v>
      </c>
      <c r="U1374">
        <v>81</v>
      </c>
      <c r="V1374">
        <v>7.3</v>
      </c>
      <c r="W1374">
        <v>70</v>
      </c>
      <c r="X1374" t="s">
        <v>276</v>
      </c>
      <c r="Y1374" t="s">
        <v>375</v>
      </c>
      <c r="Z1374" t="s">
        <v>96</v>
      </c>
      <c r="AA1374" t="s">
        <v>1909</v>
      </c>
      <c r="AB1374" t="s">
        <v>9242</v>
      </c>
      <c r="AC1374">
        <v>131</v>
      </c>
      <c r="AD1374">
        <v>53</v>
      </c>
      <c r="AE1374">
        <v>97</v>
      </c>
      <c r="AF1374">
        <v>-122.39</v>
      </c>
      <c r="AG1374">
        <v>-1.54</v>
      </c>
      <c r="AH1374">
        <v>-2.74</v>
      </c>
      <c r="AI1374">
        <v>0.06</v>
      </c>
      <c r="AJ1374">
        <v>0.03</v>
      </c>
      <c r="AK1374">
        <v>82</v>
      </c>
      <c r="AL1374">
        <v>171</v>
      </c>
      <c r="AM1374">
        <v>77</v>
      </c>
      <c r="AN1374">
        <v>-5.93</v>
      </c>
      <c r="AO1374">
        <v>1.66</v>
      </c>
      <c r="AP1374">
        <v>522</v>
      </c>
      <c r="AQ1374">
        <v>1</v>
      </c>
      <c r="AR1374">
        <v>5.68</v>
      </c>
      <c r="AS1374">
        <v>81</v>
      </c>
      <c r="AT1374">
        <v>2.57</v>
      </c>
      <c r="AU1374">
        <v>93</v>
      </c>
      <c r="AV1374">
        <v>-0.7</v>
      </c>
      <c r="AW1374">
        <v>98</v>
      </c>
      <c r="AX1374">
        <v>0.09</v>
      </c>
      <c r="AY1374">
        <v>92</v>
      </c>
      <c r="AZ1374">
        <v>5.42</v>
      </c>
      <c r="BA1374">
        <v>71</v>
      </c>
      <c r="BB1374">
        <v>4.46</v>
      </c>
      <c r="BC1374">
        <v>58</v>
      </c>
      <c r="BD1374">
        <v>-0.01</v>
      </c>
      <c r="BE1374">
        <v>-0.02</v>
      </c>
      <c r="BF1374">
        <v>-0.08</v>
      </c>
      <c r="BG1374">
        <v>85</v>
      </c>
      <c r="BH1374">
        <v>-0.01</v>
      </c>
      <c r="BI1374">
        <v>-24.69</v>
      </c>
      <c r="BJ1374">
        <v>2</v>
      </c>
      <c r="BK1374">
        <v>1</v>
      </c>
      <c r="BL1374">
        <v>-2.36</v>
      </c>
      <c r="BM1374">
        <v>1.85</v>
      </c>
      <c r="BN1374">
        <v>-0.97</v>
      </c>
      <c r="BO1374">
        <v>-1.95</v>
      </c>
      <c r="BP1374">
        <v>0.01</v>
      </c>
      <c r="BQ1374">
        <v>-0.16</v>
      </c>
      <c r="BR1374">
        <v>-0.87</v>
      </c>
      <c r="BS1374">
        <v>1.24</v>
      </c>
      <c r="BT1374">
        <v>0.66</v>
      </c>
      <c r="BU1374">
        <v>0.24</v>
      </c>
      <c r="BV1374">
        <v>-0.78</v>
      </c>
      <c r="BW1374">
        <v>-0.87</v>
      </c>
      <c r="BX1374">
        <v>-0.73</v>
      </c>
      <c r="BY1374">
        <v>0.54</v>
      </c>
      <c r="BZ1374">
        <v>-2.71</v>
      </c>
      <c r="CA1374">
        <v>-0.06</v>
      </c>
      <c r="CB1374">
        <v>-0.27</v>
      </c>
      <c r="CC1374">
        <v>0.43</v>
      </c>
      <c r="CD1374">
        <v>2.4500000000000002</v>
      </c>
      <c r="CE1374">
        <v>-1.98</v>
      </c>
      <c r="CF1374">
        <v>-2.12</v>
      </c>
      <c r="CG1374">
        <v>0</v>
      </c>
      <c r="CH1374">
        <v>0.63</v>
      </c>
      <c r="CI1374">
        <v>0</v>
      </c>
      <c r="CJ1374">
        <v>-7.7</v>
      </c>
      <c r="CK1374">
        <v>97</v>
      </c>
      <c r="CL1374">
        <v>-0.56999999999999995</v>
      </c>
      <c r="CM1374">
        <v>96</v>
      </c>
      <c r="CN1374">
        <v>0.23</v>
      </c>
      <c r="CO1374">
        <v>95</v>
      </c>
      <c r="CP1374">
        <v>-10.7</v>
      </c>
      <c r="CQ1374">
        <v>82</v>
      </c>
      <c r="CR1374">
        <v>0</v>
      </c>
      <c r="CS1374">
        <v>0</v>
      </c>
      <c r="CT1374">
        <v>-10.3</v>
      </c>
      <c r="CU1374">
        <v>81</v>
      </c>
      <c r="CV1374">
        <v>0.09</v>
      </c>
      <c r="CW1374">
        <v>45</v>
      </c>
      <c r="CX1374" t="s">
        <v>1911</v>
      </c>
    </row>
    <row r="1375" spans="1:102" x14ac:dyDescent="0.3">
      <c r="A1375" t="str">
        <f>HYPERLINK("https://webapp.icbf.com/v2/app/bull-search/view/1146002838","S2080")</f>
        <v>S2080</v>
      </c>
      <c r="B1375" t="s">
        <v>13461</v>
      </c>
      <c r="C1375" t="s">
        <v>13462</v>
      </c>
      <c r="D1375" s="1">
        <v>40558</v>
      </c>
      <c r="E1375" t="s">
        <v>146</v>
      </c>
      <c r="F1375">
        <v>6</v>
      </c>
      <c r="G1375" t="s">
        <v>109</v>
      </c>
      <c r="H1375">
        <v>115.52</v>
      </c>
      <c r="I1375">
        <v>54</v>
      </c>
      <c r="J1375">
        <v>4.41</v>
      </c>
      <c r="K1375">
        <v>73</v>
      </c>
      <c r="L1375">
        <v>71.739999999999995</v>
      </c>
      <c r="M1375">
        <v>54</v>
      </c>
      <c r="N1375">
        <v>39.11</v>
      </c>
      <c r="O1375">
        <v>44</v>
      </c>
      <c r="P1375">
        <v>2.85</v>
      </c>
      <c r="Q1375">
        <v>34</v>
      </c>
      <c r="R1375">
        <v>-3.35</v>
      </c>
      <c r="S1375">
        <v>44</v>
      </c>
      <c r="T1375">
        <v>7.91</v>
      </c>
      <c r="U1375">
        <v>34</v>
      </c>
      <c r="V1375">
        <v>-7.15</v>
      </c>
      <c r="W1375">
        <v>6</v>
      </c>
      <c r="X1375" t="s">
        <v>110</v>
      </c>
      <c r="Y1375" t="s">
        <v>367</v>
      </c>
      <c r="Z1375">
        <v>0</v>
      </c>
      <c r="AA1375" t="s">
        <v>13463</v>
      </c>
      <c r="AB1375" t="s">
        <v>13464</v>
      </c>
      <c r="AC1375">
        <v>0</v>
      </c>
      <c r="AD1375">
        <v>0</v>
      </c>
      <c r="AE1375">
        <v>73</v>
      </c>
      <c r="AF1375">
        <v>-225.18</v>
      </c>
      <c r="AG1375">
        <v>-1.94</v>
      </c>
      <c r="AH1375">
        <v>-2.0099999999999998</v>
      </c>
      <c r="AI1375">
        <v>0.12</v>
      </c>
      <c r="AJ1375">
        <v>0.1</v>
      </c>
      <c r="AK1375">
        <v>54</v>
      </c>
      <c r="AL1375">
        <v>0</v>
      </c>
      <c r="AM1375">
        <v>0</v>
      </c>
      <c r="AN1375">
        <v>-4</v>
      </c>
      <c r="AO1375">
        <v>1.72</v>
      </c>
      <c r="AP1375">
        <v>3</v>
      </c>
      <c r="AQ1375">
        <v>0</v>
      </c>
      <c r="AR1375">
        <v>4.9800000000000004</v>
      </c>
      <c r="AS1375">
        <v>33</v>
      </c>
      <c r="AT1375">
        <v>1.59</v>
      </c>
      <c r="AU1375">
        <v>82</v>
      </c>
      <c r="AV1375">
        <v>-2.76</v>
      </c>
      <c r="AW1375">
        <v>34</v>
      </c>
      <c r="AX1375">
        <v>-7.0000000000000007E-2</v>
      </c>
      <c r="AY1375">
        <v>36</v>
      </c>
      <c r="AZ1375">
        <v>6.11</v>
      </c>
      <c r="BA1375">
        <v>22</v>
      </c>
      <c r="BB1375">
        <v>5.07</v>
      </c>
      <c r="BC1375">
        <v>24</v>
      </c>
      <c r="BD1375">
        <v>0</v>
      </c>
      <c r="BE1375">
        <v>0.03</v>
      </c>
      <c r="BF1375">
        <v>0.02</v>
      </c>
      <c r="BG1375">
        <v>76</v>
      </c>
      <c r="BH1375">
        <v>-0.14000000000000001</v>
      </c>
      <c r="BI1375">
        <v>6.87</v>
      </c>
      <c r="BJ1375">
        <v>0</v>
      </c>
      <c r="BK1375">
        <v>0</v>
      </c>
      <c r="BL1375">
        <v>-1.84</v>
      </c>
      <c r="BM1375">
        <v>1.82</v>
      </c>
      <c r="BN1375">
        <v>-1.37</v>
      </c>
      <c r="BO1375">
        <v>-2.0299999999999998</v>
      </c>
      <c r="BP1375">
        <v>2.11</v>
      </c>
      <c r="BQ1375">
        <v>-0.65</v>
      </c>
      <c r="BR1375">
        <v>-0.74</v>
      </c>
      <c r="BS1375">
        <v>0.97</v>
      </c>
      <c r="BT1375">
        <v>0.53</v>
      </c>
      <c r="BU1375">
        <v>-1.1399999999999999</v>
      </c>
      <c r="BV1375">
        <v>-2.2000000000000002</v>
      </c>
      <c r="BW1375">
        <v>-2.09</v>
      </c>
      <c r="BX1375">
        <v>-1.07</v>
      </c>
      <c r="BY1375">
        <v>-1.59</v>
      </c>
      <c r="BZ1375">
        <v>-0.63</v>
      </c>
      <c r="CA1375">
        <v>-1.06</v>
      </c>
      <c r="CB1375">
        <v>-1.52</v>
      </c>
      <c r="CC1375">
        <v>0.41</v>
      </c>
      <c r="CD1375">
        <v>2.23</v>
      </c>
      <c r="CE1375">
        <v>-0.23</v>
      </c>
      <c r="CF1375">
        <v>0.01</v>
      </c>
      <c r="CG1375">
        <v>0</v>
      </c>
      <c r="CH1375">
        <v>-0.17</v>
      </c>
      <c r="CI1375">
        <v>0</v>
      </c>
      <c r="CJ1375">
        <v>1</v>
      </c>
      <c r="CK1375">
        <v>34</v>
      </c>
      <c r="CL1375">
        <v>-0.17</v>
      </c>
      <c r="CM1375">
        <v>35</v>
      </c>
      <c r="CN1375">
        <v>-0.41</v>
      </c>
      <c r="CO1375">
        <v>34</v>
      </c>
      <c r="CP1375">
        <v>-10.5</v>
      </c>
      <c r="CQ1375">
        <v>34</v>
      </c>
      <c r="CR1375">
        <v>0</v>
      </c>
      <c r="CS1375">
        <v>0</v>
      </c>
      <c r="CT1375">
        <v>3.1</v>
      </c>
      <c r="CU1375">
        <v>34</v>
      </c>
      <c r="CV1375">
        <v>-0.16</v>
      </c>
      <c r="CW1375">
        <v>31</v>
      </c>
      <c r="CX1375" t="s">
        <v>2472</v>
      </c>
    </row>
    <row r="1376" spans="1:102" x14ac:dyDescent="0.3">
      <c r="A1376" t="str">
        <f>HYPERLINK("https://webapp.icbf.com/v2/app/bull-search/view/494036591","QWA")</f>
        <v>QWA</v>
      </c>
      <c r="B1376" t="s">
        <v>7116</v>
      </c>
      <c r="C1376" t="s">
        <v>7117</v>
      </c>
      <c r="D1376" s="1">
        <v>39101</v>
      </c>
      <c r="E1376" t="s">
        <v>92</v>
      </c>
      <c r="F1376">
        <v>100</v>
      </c>
      <c r="G1376" t="s">
        <v>93</v>
      </c>
      <c r="H1376">
        <v>115.38</v>
      </c>
      <c r="I1376">
        <v>89</v>
      </c>
      <c r="J1376">
        <v>82.7</v>
      </c>
      <c r="K1376">
        <v>98</v>
      </c>
      <c r="L1376">
        <v>-24.63</v>
      </c>
      <c r="M1376">
        <v>81</v>
      </c>
      <c r="N1376">
        <v>53.31</v>
      </c>
      <c r="O1376">
        <v>88</v>
      </c>
      <c r="P1376">
        <v>-4.09</v>
      </c>
      <c r="Q1376">
        <v>93</v>
      </c>
      <c r="R1376">
        <v>0.43</v>
      </c>
      <c r="S1376">
        <v>84</v>
      </c>
      <c r="T1376">
        <v>2.8</v>
      </c>
      <c r="U1376">
        <v>89</v>
      </c>
      <c r="V1376">
        <v>4.8600000000000003</v>
      </c>
      <c r="W1376">
        <v>86</v>
      </c>
      <c r="X1376" t="s">
        <v>94</v>
      </c>
      <c r="Y1376" t="s">
        <v>1405</v>
      </c>
      <c r="Z1376" t="s">
        <v>96</v>
      </c>
      <c r="AA1376" t="s">
        <v>1414</v>
      </c>
      <c r="AB1376" t="s">
        <v>7118</v>
      </c>
      <c r="AC1376">
        <v>115</v>
      </c>
      <c r="AD1376">
        <v>80</v>
      </c>
      <c r="AE1376">
        <v>98</v>
      </c>
      <c r="AF1376">
        <v>320.39999999999998</v>
      </c>
      <c r="AG1376">
        <v>13.48</v>
      </c>
      <c r="AH1376">
        <v>14.2</v>
      </c>
      <c r="AI1376">
        <v>0.02</v>
      </c>
      <c r="AJ1376">
        <v>0.06</v>
      </c>
      <c r="AK1376">
        <v>81</v>
      </c>
      <c r="AL1376">
        <v>110</v>
      </c>
      <c r="AM1376">
        <v>76</v>
      </c>
      <c r="AN1376">
        <v>3.25</v>
      </c>
      <c r="AO1376">
        <v>1.31</v>
      </c>
      <c r="AP1376">
        <v>230</v>
      </c>
      <c r="AQ1376">
        <v>2</v>
      </c>
      <c r="AR1376">
        <v>4.45</v>
      </c>
      <c r="AS1376">
        <v>73</v>
      </c>
      <c r="AT1376">
        <v>1.93</v>
      </c>
      <c r="AU1376">
        <v>90</v>
      </c>
      <c r="AV1376">
        <v>-4.41</v>
      </c>
      <c r="AW1376">
        <v>97</v>
      </c>
      <c r="AX1376">
        <v>-0.84</v>
      </c>
      <c r="AY1376">
        <v>83</v>
      </c>
      <c r="AZ1376">
        <v>6.21</v>
      </c>
      <c r="BA1376">
        <v>69</v>
      </c>
      <c r="BB1376">
        <v>5</v>
      </c>
      <c r="BC1376">
        <v>72</v>
      </c>
      <c r="BD1376">
        <v>-0.03</v>
      </c>
      <c r="BE1376">
        <v>0</v>
      </c>
      <c r="BF1376">
        <v>0.04</v>
      </c>
      <c r="BG1376">
        <v>90</v>
      </c>
      <c r="BH1376">
        <v>-0.01</v>
      </c>
      <c r="BI1376">
        <v>-16.850000000000001</v>
      </c>
      <c r="BJ1376">
        <v>11</v>
      </c>
      <c r="BK1376">
        <v>11</v>
      </c>
      <c r="BL1376">
        <v>0.06</v>
      </c>
      <c r="BM1376">
        <v>-0.27</v>
      </c>
      <c r="BN1376">
        <v>-0.28000000000000003</v>
      </c>
      <c r="BO1376">
        <v>0.34</v>
      </c>
      <c r="BP1376">
        <v>0.82</v>
      </c>
      <c r="BQ1376">
        <v>-0.15</v>
      </c>
      <c r="BR1376">
        <v>2.06</v>
      </c>
      <c r="BS1376">
        <v>-0.54</v>
      </c>
      <c r="BT1376">
        <v>-1.94</v>
      </c>
      <c r="BU1376">
        <v>-0.2</v>
      </c>
      <c r="BV1376">
        <v>0.86</v>
      </c>
      <c r="BW1376">
        <v>1.0900000000000001</v>
      </c>
      <c r="BX1376">
        <v>0.08</v>
      </c>
      <c r="BY1376">
        <v>0.2</v>
      </c>
      <c r="BZ1376">
        <v>-0.75</v>
      </c>
      <c r="CA1376">
        <v>0.14000000000000001</v>
      </c>
      <c r="CB1376">
        <v>0.39</v>
      </c>
      <c r="CC1376">
        <v>-0.32</v>
      </c>
      <c r="CD1376">
        <v>-0.66</v>
      </c>
      <c r="CE1376">
        <v>0.52</v>
      </c>
      <c r="CF1376">
        <v>0.01</v>
      </c>
      <c r="CG1376">
        <v>0</v>
      </c>
      <c r="CH1376">
        <v>-0.22</v>
      </c>
      <c r="CI1376">
        <v>0</v>
      </c>
      <c r="CJ1376">
        <v>0.5</v>
      </c>
      <c r="CK1376">
        <v>94</v>
      </c>
      <c r="CL1376">
        <v>-0.83</v>
      </c>
      <c r="CM1376">
        <v>92</v>
      </c>
      <c r="CN1376">
        <v>-0.38</v>
      </c>
      <c r="CO1376">
        <v>91</v>
      </c>
      <c r="CP1376">
        <v>-4.4000000000000004</v>
      </c>
      <c r="CQ1376">
        <v>90</v>
      </c>
      <c r="CR1376">
        <v>0</v>
      </c>
      <c r="CS1376">
        <v>0</v>
      </c>
      <c r="CT1376">
        <v>10</v>
      </c>
      <c r="CU1376">
        <v>89</v>
      </c>
      <c r="CV1376">
        <v>0.15</v>
      </c>
      <c r="CW1376">
        <v>45</v>
      </c>
      <c r="CX1376" t="s">
        <v>1165</v>
      </c>
    </row>
    <row r="1377" spans="1:102" x14ac:dyDescent="0.3">
      <c r="A1377" t="str">
        <f>HYPERLINK("https://webapp.icbf.com/v2/app/bull-search/view/503102748","CZI")</f>
        <v>CZI</v>
      </c>
      <c r="B1377" t="s">
        <v>12357</v>
      </c>
      <c r="C1377" t="s">
        <v>12358</v>
      </c>
      <c r="D1377" s="1">
        <v>38839</v>
      </c>
      <c r="E1377" t="s">
        <v>108</v>
      </c>
      <c r="F1377">
        <v>0</v>
      </c>
      <c r="G1377" t="s">
        <v>93</v>
      </c>
      <c r="H1377">
        <v>115.31</v>
      </c>
      <c r="I1377">
        <v>92</v>
      </c>
      <c r="J1377">
        <v>-18.21</v>
      </c>
      <c r="K1377">
        <v>98</v>
      </c>
      <c r="L1377">
        <v>113.46</v>
      </c>
      <c r="M1377">
        <v>86</v>
      </c>
      <c r="N1377">
        <v>11.77</v>
      </c>
      <c r="O1377">
        <v>94</v>
      </c>
      <c r="P1377">
        <v>-24.7</v>
      </c>
      <c r="Q1377">
        <v>98</v>
      </c>
      <c r="R1377">
        <v>9.6</v>
      </c>
      <c r="S1377">
        <v>86</v>
      </c>
      <c r="T1377">
        <v>27.37</v>
      </c>
      <c r="U1377">
        <v>94</v>
      </c>
      <c r="V1377">
        <v>-3.98</v>
      </c>
      <c r="W1377">
        <v>88</v>
      </c>
      <c r="X1377" t="s">
        <v>94</v>
      </c>
      <c r="Y1377" t="s">
        <v>228</v>
      </c>
      <c r="Z1377" t="s">
        <v>96</v>
      </c>
      <c r="AA1377" t="s">
        <v>4492</v>
      </c>
      <c r="AB1377" t="s">
        <v>12359</v>
      </c>
      <c r="AC1377">
        <v>229</v>
      </c>
      <c r="AD1377">
        <v>133</v>
      </c>
      <c r="AE1377">
        <v>98</v>
      </c>
      <c r="AF1377">
        <v>-409.13</v>
      </c>
      <c r="AG1377">
        <v>-9.07</v>
      </c>
      <c r="AH1377">
        <v>-6.15</v>
      </c>
      <c r="AI1377">
        <v>0.13</v>
      </c>
      <c r="AJ1377">
        <v>0.15</v>
      </c>
      <c r="AK1377">
        <v>86</v>
      </c>
      <c r="AL1377">
        <v>367</v>
      </c>
      <c r="AM1377">
        <v>206</v>
      </c>
      <c r="AN1377">
        <v>-7.63</v>
      </c>
      <c r="AO1377">
        <v>1.4</v>
      </c>
      <c r="AP1377">
        <v>525</v>
      </c>
      <c r="AQ1377">
        <v>3</v>
      </c>
      <c r="AR1377">
        <v>8.7200000000000006</v>
      </c>
      <c r="AS1377">
        <v>89</v>
      </c>
      <c r="AT1377">
        <v>2.97</v>
      </c>
      <c r="AU1377">
        <v>94</v>
      </c>
      <c r="AV1377">
        <v>-1.81</v>
      </c>
      <c r="AW1377">
        <v>99</v>
      </c>
      <c r="AX1377">
        <v>0.28000000000000003</v>
      </c>
      <c r="AY1377">
        <v>94</v>
      </c>
      <c r="AZ1377">
        <v>6.63</v>
      </c>
      <c r="BA1377">
        <v>80</v>
      </c>
      <c r="BB1377">
        <v>5.01</v>
      </c>
      <c r="BC1377">
        <v>82</v>
      </c>
      <c r="BD1377">
        <v>-0.01</v>
      </c>
      <c r="BE1377">
        <v>-0.06</v>
      </c>
      <c r="BF1377">
        <v>-0.09</v>
      </c>
      <c r="BG1377">
        <v>94</v>
      </c>
      <c r="BH1377">
        <v>-0.09</v>
      </c>
      <c r="BI1377">
        <v>2.42</v>
      </c>
      <c r="BJ1377">
        <v>13</v>
      </c>
      <c r="BK1377">
        <v>10</v>
      </c>
      <c r="BL1377">
        <v>-3.72</v>
      </c>
      <c r="BM1377">
        <v>0.87</v>
      </c>
      <c r="BN1377">
        <v>-3.51</v>
      </c>
      <c r="BO1377">
        <v>-3.47</v>
      </c>
      <c r="BP1377">
        <v>0.13</v>
      </c>
      <c r="BQ1377">
        <v>-1.77</v>
      </c>
      <c r="BR1377">
        <v>-1.96</v>
      </c>
      <c r="BS1377">
        <v>1.48</v>
      </c>
      <c r="BT1377">
        <v>1.63</v>
      </c>
      <c r="BU1377">
        <v>-3.96</v>
      </c>
      <c r="BV1377">
        <v>-3.74</v>
      </c>
      <c r="BW1377">
        <v>-3.06</v>
      </c>
      <c r="BX1377">
        <v>-3.1</v>
      </c>
      <c r="BY1377">
        <v>-1.4</v>
      </c>
      <c r="BZ1377">
        <v>-0.85</v>
      </c>
      <c r="CA1377">
        <v>-2.59</v>
      </c>
      <c r="CB1377">
        <v>-3.69</v>
      </c>
      <c r="CC1377">
        <v>0.27</v>
      </c>
      <c r="CD1377">
        <v>2.77</v>
      </c>
      <c r="CE1377">
        <v>-3.11</v>
      </c>
      <c r="CF1377">
        <v>-3.12</v>
      </c>
      <c r="CG1377">
        <v>0</v>
      </c>
      <c r="CH1377">
        <v>-2.19</v>
      </c>
      <c r="CI1377">
        <v>0</v>
      </c>
      <c r="CJ1377">
        <v>-13.3</v>
      </c>
      <c r="CK1377">
        <v>98</v>
      </c>
      <c r="CL1377">
        <v>-0.23</v>
      </c>
      <c r="CM1377">
        <v>98</v>
      </c>
      <c r="CN1377">
        <v>0.11</v>
      </c>
      <c r="CO1377">
        <v>98</v>
      </c>
      <c r="CP1377">
        <v>-17.899999999999999</v>
      </c>
      <c r="CQ1377">
        <v>94</v>
      </c>
      <c r="CR1377">
        <v>0</v>
      </c>
      <c r="CS1377">
        <v>0</v>
      </c>
      <c r="CT1377">
        <v>-23.2</v>
      </c>
      <c r="CU1377">
        <v>94</v>
      </c>
      <c r="CV1377">
        <v>-0.15</v>
      </c>
      <c r="CW1377">
        <v>46</v>
      </c>
      <c r="CX1377" t="s">
        <v>590</v>
      </c>
    </row>
    <row r="1378" spans="1:102" x14ac:dyDescent="0.3">
      <c r="A1378" t="str">
        <f>HYPERLINK("https://webapp.icbf.com/v2/app/bull-search/view/1248843428","FR2430")</f>
        <v>FR2430</v>
      </c>
      <c r="B1378" t="s">
        <v>13691</v>
      </c>
      <c r="C1378" t="s">
        <v>13692</v>
      </c>
      <c r="D1378" s="1">
        <v>42032</v>
      </c>
      <c r="E1378" t="s">
        <v>108</v>
      </c>
      <c r="F1378">
        <v>9</v>
      </c>
      <c r="G1378" t="s">
        <v>93</v>
      </c>
      <c r="H1378">
        <v>115.31</v>
      </c>
      <c r="I1378">
        <v>83</v>
      </c>
      <c r="J1378">
        <v>13.06</v>
      </c>
      <c r="K1378">
        <v>96</v>
      </c>
      <c r="L1378">
        <v>84.86</v>
      </c>
      <c r="M1378">
        <v>73</v>
      </c>
      <c r="N1378">
        <v>8.1999999999999993</v>
      </c>
      <c r="O1378">
        <v>89</v>
      </c>
      <c r="P1378">
        <v>-2.59</v>
      </c>
      <c r="Q1378">
        <v>94</v>
      </c>
      <c r="R1378">
        <v>0.15</v>
      </c>
      <c r="S1378">
        <v>75</v>
      </c>
      <c r="T1378">
        <v>9.39</v>
      </c>
      <c r="U1378">
        <v>66</v>
      </c>
      <c r="V1378">
        <v>2.2400000000000002</v>
      </c>
      <c r="W1378">
        <v>74</v>
      </c>
      <c r="X1378" t="s">
        <v>234</v>
      </c>
      <c r="Y1378" t="s">
        <v>1775</v>
      </c>
      <c r="Z1378" t="s">
        <v>96</v>
      </c>
      <c r="AA1378" t="s">
        <v>1543</v>
      </c>
      <c r="AB1378" t="s">
        <v>13693</v>
      </c>
      <c r="AC1378">
        <v>170</v>
      </c>
      <c r="AD1378">
        <v>47</v>
      </c>
      <c r="AE1378">
        <v>96</v>
      </c>
      <c r="AF1378">
        <v>-262.79000000000002</v>
      </c>
      <c r="AG1378">
        <v>-0.06</v>
      </c>
      <c r="AH1378">
        <v>-1.78</v>
      </c>
      <c r="AI1378">
        <v>0.19</v>
      </c>
      <c r="AJ1378">
        <v>0.13</v>
      </c>
      <c r="AK1378">
        <v>73</v>
      </c>
      <c r="AL1378">
        <v>1</v>
      </c>
      <c r="AM1378">
        <v>1</v>
      </c>
      <c r="AN1378">
        <v>-5.18</v>
      </c>
      <c r="AO1378">
        <v>1.58</v>
      </c>
      <c r="AP1378">
        <v>1499</v>
      </c>
      <c r="AQ1378">
        <v>3</v>
      </c>
      <c r="AR1378">
        <v>7.46</v>
      </c>
      <c r="AS1378">
        <v>84</v>
      </c>
      <c r="AT1378">
        <v>2.67</v>
      </c>
      <c r="AU1378">
        <v>97</v>
      </c>
      <c r="AV1378">
        <v>-1.25</v>
      </c>
      <c r="AW1378">
        <v>99</v>
      </c>
      <c r="AX1378">
        <v>-0.24</v>
      </c>
      <c r="AY1378">
        <v>96</v>
      </c>
      <c r="AZ1378">
        <v>8.94</v>
      </c>
      <c r="BA1378">
        <v>74</v>
      </c>
      <c r="BB1378">
        <v>5.49</v>
      </c>
      <c r="BC1378">
        <v>46</v>
      </c>
      <c r="BD1378">
        <v>0.04</v>
      </c>
      <c r="BE1378">
        <v>0</v>
      </c>
      <c r="BF1378">
        <v>-7.0000000000000007E-2</v>
      </c>
      <c r="BG1378">
        <v>87</v>
      </c>
      <c r="BH1378">
        <v>-0.01</v>
      </c>
      <c r="BI1378">
        <v>-8.3699999999999992</v>
      </c>
      <c r="BJ1378">
        <v>1</v>
      </c>
      <c r="BK1378">
        <v>1</v>
      </c>
      <c r="BL1378">
        <v>-2.84</v>
      </c>
      <c r="BM1378">
        <v>1.56</v>
      </c>
      <c r="BN1378">
        <v>-2.2000000000000002</v>
      </c>
      <c r="BO1378">
        <v>-2.54</v>
      </c>
      <c r="BP1378">
        <v>-0.65</v>
      </c>
      <c r="BQ1378">
        <v>1.84</v>
      </c>
      <c r="BR1378">
        <v>-1.0900000000000001</v>
      </c>
      <c r="BS1378">
        <v>0.4</v>
      </c>
      <c r="BT1378">
        <v>0.27</v>
      </c>
      <c r="BU1378">
        <v>-1.45</v>
      </c>
      <c r="BV1378">
        <v>-1.86</v>
      </c>
      <c r="BW1378">
        <v>-1.65</v>
      </c>
      <c r="BX1378">
        <v>-0.52</v>
      </c>
      <c r="BY1378">
        <v>-1.29</v>
      </c>
      <c r="BZ1378">
        <v>-2.63</v>
      </c>
      <c r="CA1378">
        <v>-1.39</v>
      </c>
      <c r="CB1378">
        <v>-1.78</v>
      </c>
      <c r="CC1378">
        <v>-0.9</v>
      </c>
      <c r="CD1378">
        <v>2.57</v>
      </c>
      <c r="CE1378">
        <v>-1.87</v>
      </c>
      <c r="CF1378">
        <v>-1.59</v>
      </c>
      <c r="CG1378">
        <v>0</v>
      </c>
      <c r="CH1378">
        <v>-1.42</v>
      </c>
      <c r="CI1378">
        <v>0</v>
      </c>
      <c r="CJ1378">
        <v>-0.9</v>
      </c>
      <c r="CK1378">
        <v>97</v>
      </c>
      <c r="CL1378">
        <v>-0.16</v>
      </c>
      <c r="CM1378">
        <v>96</v>
      </c>
      <c r="CN1378">
        <v>-0.05</v>
      </c>
      <c r="CO1378">
        <v>95</v>
      </c>
      <c r="CP1378">
        <v>-1.9</v>
      </c>
      <c r="CQ1378">
        <v>66</v>
      </c>
      <c r="CR1378">
        <v>0</v>
      </c>
      <c r="CS1378">
        <v>0</v>
      </c>
      <c r="CT1378">
        <v>1.1000000000000001</v>
      </c>
      <c r="CU1378">
        <v>66</v>
      </c>
      <c r="CV1378">
        <v>0.04</v>
      </c>
      <c r="CW1378">
        <v>46</v>
      </c>
      <c r="CX1378" t="s">
        <v>8030</v>
      </c>
    </row>
    <row r="1379" spans="1:102" x14ac:dyDescent="0.3">
      <c r="A1379" t="str">
        <f>HYPERLINK("https://webapp.icbf.com/v2/app/bull-search/view/1242303946","S2312")</f>
        <v>S2312</v>
      </c>
      <c r="B1379" t="s">
        <v>6101</v>
      </c>
      <c r="C1379" t="s">
        <v>6102</v>
      </c>
      <c r="D1379" s="1">
        <v>41533</v>
      </c>
      <c r="E1379" t="s">
        <v>92</v>
      </c>
      <c r="F1379">
        <v>100</v>
      </c>
      <c r="G1379" t="s">
        <v>109</v>
      </c>
      <c r="H1379">
        <v>115.15</v>
      </c>
      <c r="I1379">
        <v>79</v>
      </c>
      <c r="J1379">
        <v>98.33</v>
      </c>
      <c r="K1379">
        <v>93</v>
      </c>
      <c r="L1379">
        <v>-1.85</v>
      </c>
      <c r="M1379">
        <v>78</v>
      </c>
      <c r="N1379">
        <v>35.32</v>
      </c>
      <c r="O1379">
        <v>79</v>
      </c>
      <c r="P1379">
        <v>-19.399999999999999</v>
      </c>
      <c r="Q1379">
        <v>72</v>
      </c>
      <c r="R1379">
        <v>10.99</v>
      </c>
      <c r="S1379">
        <v>73</v>
      </c>
      <c r="T1379">
        <v>-0.83</v>
      </c>
      <c r="U1379">
        <v>47</v>
      </c>
      <c r="V1379">
        <v>-7.41</v>
      </c>
      <c r="W1379">
        <v>59</v>
      </c>
      <c r="X1379" t="s">
        <v>428</v>
      </c>
      <c r="Y1379" t="s">
        <v>411</v>
      </c>
      <c r="Z1379" t="s">
        <v>96</v>
      </c>
      <c r="AA1379" t="s">
        <v>2203</v>
      </c>
      <c r="AB1379" t="s">
        <v>6103</v>
      </c>
      <c r="AC1379">
        <v>29</v>
      </c>
      <c r="AD1379">
        <v>13</v>
      </c>
      <c r="AE1379">
        <v>93</v>
      </c>
      <c r="AF1379">
        <v>437.25</v>
      </c>
      <c r="AG1379">
        <v>16.75</v>
      </c>
      <c r="AH1379">
        <v>17.489999999999998</v>
      </c>
      <c r="AI1379">
        <v>-0.01</v>
      </c>
      <c r="AJ1379">
        <v>0.04</v>
      </c>
      <c r="AK1379">
        <v>78</v>
      </c>
      <c r="AL1379">
        <v>0</v>
      </c>
      <c r="AM1379">
        <v>0</v>
      </c>
      <c r="AN1379">
        <v>-7.0000000000000007E-2</v>
      </c>
      <c r="AO1379">
        <v>-0.22</v>
      </c>
      <c r="AP1379">
        <v>149</v>
      </c>
      <c r="AQ1379">
        <v>0</v>
      </c>
      <c r="AR1379">
        <v>4.5999999999999996</v>
      </c>
      <c r="AS1379">
        <v>76</v>
      </c>
      <c r="AT1379">
        <v>1.85</v>
      </c>
      <c r="AU1379">
        <v>87</v>
      </c>
      <c r="AV1379">
        <v>-3.27</v>
      </c>
      <c r="AW1379">
        <v>91</v>
      </c>
      <c r="AX1379">
        <v>0.55000000000000004</v>
      </c>
      <c r="AY1379">
        <v>75</v>
      </c>
      <c r="AZ1379">
        <v>7.16</v>
      </c>
      <c r="BA1379">
        <v>49</v>
      </c>
      <c r="BB1379">
        <v>5.78</v>
      </c>
      <c r="BC1379">
        <v>38</v>
      </c>
      <c r="BD1379">
        <v>-0.04</v>
      </c>
      <c r="BE1379">
        <v>-0.04</v>
      </c>
      <c r="BF1379">
        <v>-0.11</v>
      </c>
      <c r="BG1379">
        <v>89</v>
      </c>
      <c r="BH1379">
        <v>-0.11</v>
      </c>
      <c r="BI1379">
        <v>11.19</v>
      </c>
      <c r="BJ1379">
        <v>2</v>
      </c>
      <c r="BK1379">
        <v>1</v>
      </c>
      <c r="BL1379">
        <v>1.02</v>
      </c>
      <c r="BM1379">
        <v>-0.53</v>
      </c>
      <c r="BN1379">
        <v>0.63</v>
      </c>
      <c r="BO1379">
        <v>0.8</v>
      </c>
      <c r="BP1379">
        <v>-0.09</v>
      </c>
      <c r="BQ1379">
        <v>0.15</v>
      </c>
      <c r="BR1379">
        <v>0.36</v>
      </c>
      <c r="BS1379">
        <v>1.3</v>
      </c>
      <c r="BT1379">
        <v>0.71</v>
      </c>
      <c r="BU1379">
        <v>1.07</v>
      </c>
      <c r="BV1379">
        <v>2.41</v>
      </c>
      <c r="BW1379">
        <v>2.1</v>
      </c>
      <c r="BX1379">
        <v>0.45</v>
      </c>
      <c r="BY1379">
        <v>3.5</v>
      </c>
      <c r="BZ1379">
        <v>-0.98</v>
      </c>
      <c r="CA1379">
        <v>1.25</v>
      </c>
      <c r="CB1379">
        <v>1.51</v>
      </c>
      <c r="CC1379">
        <v>0.95</v>
      </c>
      <c r="CD1379">
        <v>-0.05</v>
      </c>
      <c r="CE1379">
        <v>1.03</v>
      </c>
      <c r="CF1379">
        <v>0.99</v>
      </c>
      <c r="CG1379">
        <v>0</v>
      </c>
      <c r="CH1379">
        <v>3.53</v>
      </c>
      <c r="CI1379">
        <v>0</v>
      </c>
      <c r="CJ1379">
        <v>-7.3</v>
      </c>
      <c r="CK1379">
        <v>76</v>
      </c>
      <c r="CL1379">
        <v>-1.4</v>
      </c>
      <c r="CM1379">
        <v>72</v>
      </c>
      <c r="CN1379">
        <v>-0.45</v>
      </c>
      <c r="CO1379">
        <v>70</v>
      </c>
      <c r="CP1379">
        <v>-1</v>
      </c>
      <c r="CQ1379">
        <v>52</v>
      </c>
      <c r="CR1379">
        <v>0</v>
      </c>
      <c r="CS1379">
        <v>0</v>
      </c>
      <c r="CT1379">
        <v>14.9</v>
      </c>
      <c r="CU1379">
        <v>47</v>
      </c>
      <c r="CV1379">
        <v>0.19</v>
      </c>
      <c r="CW1379">
        <v>41</v>
      </c>
      <c r="CX1379" t="s">
        <v>1572</v>
      </c>
    </row>
    <row r="1380" spans="1:102" x14ac:dyDescent="0.3">
      <c r="A1380" t="str">
        <f>HYPERLINK("https://webapp.icbf.com/v2/app/bull-search/view/815248586","S987")</f>
        <v>S987</v>
      </c>
      <c r="B1380" t="s">
        <v>9004</v>
      </c>
      <c r="C1380" t="s">
        <v>9005</v>
      </c>
      <c r="D1380" s="1">
        <v>38227</v>
      </c>
      <c r="E1380" t="s">
        <v>210</v>
      </c>
      <c r="F1380">
        <v>0</v>
      </c>
      <c r="G1380" t="s">
        <v>109</v>
      </c>
      <c r="H1380">
        <v>115.14</v>
      </c>
      <c r="I1380">
        <v>76</v>
      </c>
      <c r="J1380">
        <v>1.1599999999999999</v>
      </c>
      <c r="K1380">
        <v>81</v>
      </c>
      <c r="L1380">
        <v>82.23</v>
      </c>
      <c r="M1380">
        <v>78</v>
      </c>
      <c r="N1380">
        <v>13.19</v>
      </c>
      <c r="O1380">
        <v>74</v>
      </c>
      <c r="P1380">
        <v>-22.41</v>
      </c>
      <c r="Q1380">
        <v>74</v>
      </c>
      <c r="R1380">
        <v>8.2799999999999994</v>
      </c>
      <c r="S1380">
        <v>45</v>
      </c>
      <c r="T1380">
        <v>34.549999999999997</v>
      </c>
      <c r="U1380">
        <v>72</v>
      </c>
      <c r="V1380">
        <v>-1.86</v>
      </c>
      <c r="W1380">
        <v>54</v>
      </c>
      <c r="X1380" t="s">
        <v>251</v>
      </c>
      <c r="Y1380" t="s">
        <v>303</v>
      </c>
      <c r="Z1380">
        <v>0</v>
      </c>
      <c r="AA1380" t="s">
        <v>1988</v>
      </c>
      <c r="AB1380" t="s">
        <v>9006</v>
      </c>
      <c r="AC1380">
        <v>0</v>
      </c>
      <c r="AD1380">
        <v>0</v>
      </c>
      <c r="AE1380">
        <v>81</v>
      </c>
      <c r="AF1380">
        <v>-53.53</v>
      </c>
      <c r="AG1380">
        <v>-2.5499999999999998</v>
      </c>
      <c r="AH1380">
        <v>0.28000000000000003</v>
      </c>
      <c r="AI1380">
        <v>-0.01</v>
      </c>
      <c r="AJ1380">
        <v>0.04</v>
      </c>
      <c r="AK1380">
        <v>78</v>
      </c>
      <c r="AL1380">
        <v>0</v>
      </c>
      <c r="AM1380">
        <v>0</v>
      </c>
      <c r="AN1380">
        <v>-4.3</v>
      </c>
      <c r="AO1380">
        <v>2.2599999999999998</v>
      </c>
      <c r="AP1380">
        <v>67</v>
      </c>
      <c r="AQ1380">
        <v>1</v>
      </c>
      <c r="AR1380">
        <v>7.8</v>
      </c>
      <c r="AS1380">
        <v>61</v>
      </c>
      <c r="AT1380">
        <v>3.49</v>
      </c>
      <c r="AU1380">
        <v>86</v>
      </c>
      <c r="AV1380">
        <v>-1.8</v>
      </c>
      <c r="AW1380">
        <v>92</v>
      </c>
      <c r="AX1380">
        <v>0.93</v>
      </c>
      <c r="AY1380">
        <v>58</v>
      </c>
      <c r="AZ1380">
        <v>4.76</v>
      </c>
      <c r="BA1380">
        <v>36</v>
      </c>
      <c r="BB1380">
        <v>4.4000000000000004</v>
      </c>
      <c r="BC1380">
        <v>23</v>
      </c>
      <c r="BD1380">
        <v>-0.02</v>
      </c>
      <c r="BE1380">
        <v>-0.03</v>
      </c>
      <c r="BF1380">
        <v>-0.1</v>
      </c>
      <c r="BG1380">
        <v>58</v>
      </c>
      <c r="BH1380">
        <v>-0.05</v>
      </c>
      <c r="BI1380">
        <v>0.2</v>
      </c>
      <c r="BJ1380">
        <v>0</v>
      </c>
      <c r="BK1380">
        <v>0</v>
      </c>
      <c r="BL1380">
        <v>-0.82</v>
      </c>
      <c r="BM1380">
        <v>0.77</v>
      </c>
      <c r="BN1380">
        <v>-0.76</v>
      </c>
      <c r="BO1380">
        <v>-1.08</v>
      </c>
      <c r="BP1380">
        <v>0.44</v>
      </c>
      <c r="BQ1380">
        <v>-0.38</v>
      </c>
      <c r="BR1380">
        <v>0.17</v>
      </c>
      <c r="BS1380">
        <v>0.19</v>
      </c>
      <c r="BT1380">
        <v>-0.13</v>
      </c>
      <c r="BU1380">
        <v>-0.87</v>
      </c>
      <c r="BV1380">
        <v>-1.64</v>
      </c>
      <c r="BW1380">
        <v>-1.1499999999999999</v>
      </c>
      <c r="BX1380">
        <v>-0.43</v>
      </c>
      <c r="BY1380">
        <v>-0.54</v>
      </c>
      <c r="BZ1380">
        <v>-0.36</v>
      </c>
      <c r="CA1380">
        <v>-0.93</v>
      </c>
      <c r="CB1380">
        <v>-1.1299999999999999</v>
      </c>
      <c r="CC1380">
        <v>-0.2</v>
      </c>
      <c r="CD1380">
        <v>0.95</v>
      </c>
      <c r="CE1380">
        <v>-1.03</v>
      </c>
      <c r="CF1380">
        <v>-0.82</v>
      </c>
      <c r="CG1380">
        <v>0</v>
      </c>
      <c r="CH1380">
        <v>-0.85</v>
      </c>
      <c r="CI1380">
        <v>0</v>
      </c>
      <c r="CJ1380">
        <v>-9.6</v>
      </c>
      <c r="CK1380">
        <v>78</v>
      </c>
      <c r="CL1380">
        <v>-0.83</v>
      </c>
      <c r="CM1380">
        <v>73</v>
      </c>
      <c r="CN1380">
        <v>-0.21</v>
      </c>
      <c r="CO1380">
        <v>69</v>
      </c>
      <c r="CP1380">
        <v>-20.399999999999999</v>
      </c>
      <c r="CQ1380">
        <v>63</v>
      </c>
      <c r="CR1380">
        <v>0</v>
      </c>
      <c r="CS1380">
        <v>0</v>
      </c>
      <c r="CT1380">
        <v>-32.9</v>
      </c>
      <c r="CU1380">
        <v>72</v>
      </c>
      <c r="CV1380">
        <v>0.02</v>
      </c>
      <c r="CW1380">
        <v>21</v>
      </c>
      <c r="CX1380" t="s">
        <v>5051</v>
      </c>
    </row>
    <row r="1381" spans="1:102" x14ac:dyDescent="0.3">
      <c r="A1381" t="str">
        <f>HYPERLINK("https://webapp.icbf.com/v2/app/bull-search/view/1492473885","FR4392")</f>
        <v>FR4392</v>
      </c>
      <c r="B1381" t="s">
        <v>2286</v>
      </c>
      <c r="C1381" t="s">
        <v>2287</v>
      </c>
      <c r="D1381" s="1">
        <v>42233</v>
      </c>
      <c r="E1381" t="s">
        <v>92</v>
      </c>
      <c r="F1381">
        <v>100</v>
      </c>
      <c r="G1381" t="s">
        <v>435</v>
      </c>
      <c r="H1381">
        <v>115.1</v>
      </c>
      <c r="I1381">
        <v>67</v>
      </c>
      <c r="J1381">
        <v>55.39</v>
      </c>
      <c r="K1381">
        <v>89</v>
      </c>
      <c r="L1381">
        <v>22.15</v>
      </c>
      <c r="M1381">
        <v>67</v>
      </c>
      <c r="N1381">
        <v>21.95</v>
      </c>
      <c r="O1381">
        <v>51</v>
      </c>
      <c r="P1381">
        <v>-2.2000000000000002</v>
      </c>
      <c r="Q1381">
        <v>37</v>
      </c>
      <c r="R1381">
        <v>14.87</v>
      </c>
      <c r="S1381">
        <v>64</v>
      </c>
      <c r="T1381">
        <v>-3.42</v>
      </c>
      <c r="U1381">
        <v>35</v>
      </c>
      <c r="V1381">
        <v>6.36</v>
      </c>
      <c r="W1381">
        <v>53</v>
      </c>
      <c r="X1381" t="s">
        <v>428</v>
      </c>
      <c r="Y1381" t="s">
        <v>2261</v>
      </c>
      <c r="Z1381" t="s">
        <v>96</v>
      </c>
      <c r="AA1381" t="s">
        <v>2288</v>
      </c>
      <c r="AB1381" t="s">
        <v>2289</v>
      </c>
      <c r="AC1381">
        <v>0</v>
      </c>
      <c r="AD1381">
        <v>0</v>
      </c>
      <c r="AE1381">
        <v>89</v>
      </c>
      <c r="AF1381">
        <v>513.98</v>
      </c>
      <c r="AG1381">
        <v>15.54</v>
      </c>
      <c r="AH1381">
        <v>11.79</v>
      </c>
      <c r="AI1381">
        <v>-0.08</v>
      </c>
      <c r="AJ1381">
        <v>-0.09</v>
      </c>
      <c r="AK1381">
        <v>67</v>
      </c>
      <c r="AL1381">
        <v>0</v>
      </c>
      <c r="AM1381">
        <v>0</v>
      </c>
      <c r="AN1381">
        <v>-0.14000000000000001</v>
      </c>
      <c r="AO1381">
        <v>1.64</v>
      </c>
      <c r="AP1381">
        <v>13</v>
      </c>
      <c r="AQ1381">
        <v>0</v>
      </c>
      <c r="AR1381">
        <v>7.16</v>
      </c>
      <c r="AS1381">
        <v>49</v>
      </c>
      <c r="AT1381">
        <v>4.24</v>
      </c>
      <c r="AU1381">
        <v>87</v>
      </c>
      <c r="AV1381">
        <v>-3.7</v>
      </c>
      <c r="AW1381">
        <v>41</v>
      </c>
      <c r="AX1381">
        <v>-0.17</v>
      </c>
      <c r="AY1381">
        <v>41</v>
      </c>
      <c r="AZ1381">
        <v>5.16</v>
      </c>
      <c r="BA1381">
        <v>34</v>
      </c>
      <c r="BB1381">
        <v>5.09</v>
      </c>
      <c r="BC1381">
        <v>33</v>
      </c>
      <c r="BD1381">
        <v>-0.12</v>
      </c>
      <c r="BE1381">
        <v>-0.08</v>
      </c>
      <c r="BF1381">
        <v>0.01</v>
      </c>
      <c r="BG1381">
        <v>78</v>
      </c>
      <c r="BH1381">
        <v>-0.03</v>
      </c>
      <c r="BI1381">
        <v>-24</v>
      </c>
      <c r="BJ1381">
        <v>0</v>
      </c>
      <c r="BK1381">
        <v>0</v>
      </c>
      <c r="BL1381">
        <v>2.5499999999999998</v>
      </c>
      <c r="BM1381">
        <v>-1.06</v>
      </c>
      <c r="BN1381">
        <v>0.49</v>
      </c>
      <c r="BO1381">
        <v>2.17</v>
      </c>
      <c r="BP1381">
        <v>1.56</v>
      </c>
      <c r="BQ1381">
        <v>0.93</v>
      </c>
      <c r="BR1381">
        <v>-0.64</v>
      </c>
      <c r="BS1381">
        <v>1.92</v>
      </c>
      <c r="BT1381">
        <v>2.7</v>
      </c>
      <c r="BU1381">
        <v>3.75</v>
      </c>
      <c r="BV1381">
        <v>4.1900000000000004</v>
      </c>
      <c r="BW1381">
        <v>1.7</v>
      </c>
      <c r="BX1381">
        <v>3.92</v>
      </c>
      <c r="BY1381">
        <v>1.49</v>
      </c>
      <c r="BZ1381">
        <v>-0.38</v>
      </c>
      <c r="CA1381">
        <v>3.5</v>
      </c>
      <c r="CB1381">
        <v>3.49</v>
      </c>
      <c r="CC1381">
        <v>2.02</v>
      </c>
      <c r="CD1381">
        <v>-1.52</v>
      </c>
      <c r="CE1381">
        <v>1.3</v>
      </c>
      <c r="CF1381">
        <v>0.9</v>
      </c>
      <c r="CG1381">
        <v>0</v>
      </c>
      <c r="CH1381">
        <v>1.29</v>
      </c>
      <c r="CI1381">
        <v>0</v>
      </c>
      <c r="CJ1381">
        <v>2.2999999999999998</v>
      </c>
      <c r="CK1381">
        <v>38</v>
      </c>
      <c r="CL1381">
        <v>-1.47</v>
      </c>
      <c r="CM1381">
        <v>36</v>
      </c>
      <c r="CN1381">
        <v>-0.82</v>
      </c>
      <c r="CO1381">
        <v>36</v>
      </c>
      <c r="CP1381">
        <v>1.3</v>
      </c>
      <c r="CQ1381">
        <v>36</v>
      </c>
      <c r="CR1381">
        <v>0</v>
      </c>
      <c r="CS1381">
        <v>0</v>
      </c>
      <c r="CT1381">
        <v>18.399999999999999</v>
      </c>
      <c r="CU1381">
        <v>35</v>
      </c>
      <c r="CV1381">
        <v>0.21</v>
      </c>
      <c r="CW1381">
        <v>32</v>
      </c>
      <c r="CX1381" t="s">
        <v>2290</v>
      </c>
    </row>
    <row r="1382" spans="1:102" x14ac:dyDescent="0.3">
      <c r="A1382" t="str">
        <f>HYPERLINK("https://webapp.icbf.com/v2/app/bull-search/view/1306329664","JE2223")</f>
        <v>JE2223</v>
      </c>
      <c r="B1382" t="s">
        <v>14556</v>
      </c>
      <c r="C1382" t="s">
        <v>14557</v>
      </c>
      <c r="D1382" s="1">
        <v>41526</v>
      </c>
      <c r="E1382" t="s">
        <v>227</v>
      </c>
      <c r="F1382">
        <v>0</v>
      </c>
      <c r="G1382" t="s">
        <v>109</v>
      </c>
      <c r="H1382">
        <v>115.09</v>
      </c>
      <c r="I1382">
        <v>58</v>
      </c>
      <c r="J1382">
        <v>57.78</v>
      </c>
      <c r="K1382">
        <v>82</v>
      </c>
      <c r="L1382">
        <v>44.11</v>
      </c>
      <c r="M1382">
        <v>69</v>
      </c>
      <c r="N1382">
        <v>7.83</v>
      </c>
      <c r="O1382">
        <v>52</v>
      </c>
      <c r="P1382">
        <v>-72.72</v>
      </c>
      <c r="Q1382">
        <v>23</v>
      </c>
      <c r="R1382">
        <v>1.59</v>
      </c>
      <c r="S1382">
        <v>9</v>
      </c>
      <c r="T1382">
        <v>77.69</v>
      </c>
      <c r="U1382">
        <v>9</v>
      </c>
      <c r="V1382">
        <v>-1.19</v>
      </c>
      <c r="W1382">
        <v>7</v>
      </c>
      <c r="X1382" t="s">
        <v>428</v>
      </c>
      <c r="Y1382" t="s">
        <v>405</v>
      </c>
      <c r="Z1382">
        <v>0</v>
      </c>
      <c r="AA1382" t="s">
        <v>14558</v>
      </c>
      <c r="AB1382" t="s">
        <v>14559</v>
      </c>
      <c r="AC1382">
        <v>0</v>
      </c>
      <c r="AD1382">
        <v>0</v>
      </c>
      <c r="AE1382">
        <v>82</v>
      </c>
      <c r="AF1382">
        <v>-178.78</v>
      </c>
      <c r="AG1382">
        <v>14.5</v>
      </c>
      <c r="AH1382">
        <v>1.96</v>
      </c>
      <c r="AI1382">
        <v>0.37</v>
      </c>
      <c r="AJ1382">
        <v>0.14000000000000001</v>
      </c>
      <c r="AK1382">
        <v>69</v>
      </c>
      <c r="AL1382">
        <v>0</v>
      </c>
      <c r="AM1382">
        <v>0</v>
      </c>
      <c r="AN1382">
        <v>-0.65</v>
      </c>
      <c r="AO1382">
        <v>2.89</v>
      </c>
      <c r="AP1382">
        <v>49</v>
      </c>
      <c r="AQ1382">
        <v>2</v>
      </c>
      <c r="AR1382">
        <v>2.91</v>
      </c>
      <c r="AS1382">
        <v>37</v>
      </c>
      <c r="AT1382">
        <v>1.8</v>
      </c>
      <c r="AU1382">
        <v>44</v>
      </c>
      <c r="AV1382">
        <v>0.1</v>
      </c>
      <c r="AW1382">
        <v>82</v>
      </c>
      <c r="AX1382">
        <v>2.72</v>
      </c>
      <c r="AY1382">
        <v>42</v>
      </c>
      <c r="AZ1382">
        <v>7.52</v>
      </c>
      <c r="BA1382">
        <v>6</v>
      </c>
      <c r="BB1382">
        <v>5.35</v>
      </c>
      <c r="BC1382">
        <v>2</v>
      </c>
      <c r="BD1382">
        <v>-0.04</v>
      </c>
      <c r="BE1382">
        <v>0</v>
      </c>
      <c r="BF1382">
        <v>0.03</v>
      </c>
      <c r="BG1382">
        <v>12</v>
      </c>
      <c r="BH1382">
        <v>-0.05</v>
      </c>
      <c r="BI1382">
        <v>-1.93</v>
      </c>
      <c r="BJ1382">
        <v>0</v>
      </c>
      <c r="BK1382">
        <v>0</v>
      </c>
      <c r="BL1382">
        <v>-0.68</v>
      </c>
      <c r="BM1382">
        <v>-1.48</v>
      </c>
      <c r="BN1382">
        <v>0.14000000000000001</v>
      </c>
      <c r="BO1382">
        <v>1.69</v>
      </c>
      <c r="BP1382">
        <v>0.06</v>
      </c>
      <c r="BQ1382">
        <v>-4.18</v>
      </c>
      <c r="BR1382">
        <v>1.98</v>
      </c>
      <c r="BS1382">
        <v>6.54</v>
      </c>
      <c r="BT1382">
        <v>-1.04</v>
      </c>
      <c r="BU1382">
        <v>1.42</v>
      </c>
      <c r="BV1382">
        <v>1.34</v>
      </c>
      <c r="BW1382">
        <v>-1.2</v>
      </c>
      <c r="BX1382">
        <v>-1.71</v>
      </c>
      <c r="BY1382">
        <v>0.36</v>
      </c>
      <c r="BZ1382">
        <v>0.3</v>
      </c>
      <c r="CA1382">
        <v>2.79</v>
      </c>
      <c r="CB1382">
        <v>1.44</v>
      </c>
      <c r="CC1382">
        <v>4.29</v>
      </c>
      <c r="CD1382">
        <v>-2.19</v>
      </c>
      <c r="CE1382">
        <v>1.72</v>
      </c>
      <c r="CF1382">
        <v>-0.1</v>
      </c>
      <c r="CG1382">
        <v>0</v>
      </c>
      <c r="CH1382">
        <v>-0.41</v>
      </c>
      <c r="CI1382">
        <v>0</v>
      </c>
      <c r="CJ1382">
        <v>-38.1</v>
      </c>
      <c r="CK1382">
        <v>28</v>
      </c>
      <c r="CL1382">
        <v>-1.6</v>
      </c>
      <c r="CM1382">
        <v>19</v>
      </c>
      <c r="CN1382">
        <v>-0.45</v>
      </c>
      <c r="CO1382">
        <v>18</v>
      </c>
      <c r="CP1382">
        <v>-59.3</v>
      </c>
      <c r="CQ1382">
        <v>12</v>
      </c>
      <c r="CR1382">
        <v>0</v>
      </c>
      <c r="CS1382">
        <v>0</v>
      </c>
      <c r="CT1382">
        <v>-91.2</v>
      </c>
      <c r="CU1382">
        <v>9</v>
      </c>
      <c r="CV1382">
        <v>-0.31</v>
      </c>
      <c r="CW1382">
        <v>7</v>
      </c>
      <c r="CX1382" t="s">
        <v>9642</v>
      </c>
    </row>
    <row r="1383" spans="1:102" x14ac:dyDescent="0.3">
      <c r="A1383" t="str">
        <f>HYPERLINK("https://webapp.icbf.com/v2/app/bull-search/view/1097411511","S2041")</f>
        <v>S2041</v>
      </c>
      <c r="B1383" t="s">
        <v>13424</v>
      </c>
      <c r="C1383" t="s">
        <v>13425</v>
      </c>
      <c r="D1383" s="1">
        <v>40788</v>
      </c>
      <c r="E1383" t="s">
        <v>92</v>
      </c>
      <c r="F1383">
        <v>100</v>
      </c>
      <c r="G1383" t="s">
        <v>109</v>
      </c>
      <c r="H1383">
        <v>114.99</v>
      </c>
      <c r="I1383">
        <v>81</v>
      </c>
      <c r="J1383">
        <v>35.01</v>
      </c>
      <c r="K1383">
        <v>92</v>
      </c>
      <c r="L1383">
        <v>34.61</v>
      </c>
      <c r="M1383">
        <v>81</v>
      </c>
      <c r="N1383">
        <v>41.11</v>
      </c>
      <c r="O1383">
        <v>83</v>
      </c>
      <c r="P1383">
        <v>-8.1300000000000008</v>
      </c>
      <c r="Q1383">
        <v>77</v>
      </c>
      <c r="R1383">
        <v>-1.03</v>
      </c>
      <c r="S1383">
        <v>72</v>
      </c>
      <c r="T1383">
        <v>10.130000000000001</v>
      </c>
      <c r="U1383">
        <v>48</v>
      </c>
      <c r="V1383">
        <v>3.29</v>
      </c>
      <c r="W1383">
        <v>56</v>
      </c>
      <c r="X1383" t="s">
        <v>102</v>
      </c>
      <c r="Y1383" t="s">
        <v>367</v>
      </c>
      <c r="Z1383" t="s">
        <v>96</v>
      </c>
      <c r="AA1383" t="s">
        <v>9016</v>
      </c>
      <c r="AB1383" t="s">
        <v>13426</v>
      </c>
      <c r="AC1383">
        <v>0</v>
      </c>
      <c r="AD1383">
        <v>0</v>
      </c>
      <c r="AE1383">
        <v>92</v>
      </c>
      <c r="AF1383">
        <v>243.59</v>
      </c>
      <c r="AG1383">
        <v>0.43</v>
      </c>
      <c r="AH1383">
        <v>9.5299999999999994</v>
      </c>
      <c r="AI1383">
        <v>-0.15</v>
      </c>
      <c r="AJ1383">
        <v>0.02</v>
      </c>
      <c r="AK1383">
        <v>81</v>
      </c>
      <c r="AL1383">
        <v>0</v>
      </c>
      <c r="AM1383">
        <v>0</v>
      </c>
      <c r="AN1383">
        <v>-0.31</v>
      </c>
      <c r="AO1383">
        <v>2.4700000000000002</v>
      </c>
      <c r="AP1383">
        <v>316</v>
      </c>
      <c r="AQ1383">
        <v>1</v>
      </c>
      <c r="AR1383">
        <v>5.5</v>
      </c>
      <c r="AS1383">
        <v>79</v>
      </c>
      <c r="AT1383">
        <v>2.46</v>
      </c>
      <c r="AU1383">
        <v>93</v>
      </c>
      <c r="AV1383">
        <v>-4.22</v>
      </c>
      <c r="AW1383">
        <v>96</v>
      </c>
      <c r="AX1383">
        <v>-0.03</v>
      </c>
      <c r="AY1383">
        <v>82</v>
      </c>
      <c r="AZ1383">
        <v>6.29</v>
      </c>
      <c r="BA1383">
        <v>46</v>
      </c>
      <c r="BB1383">
        <v>5.57</v>
      </c>
      <c r="BC1383">
        <v>34</v>
      </c>
      <c r="BD1383">
        <v>0.01</v>
      </c>
      <c r="BE1383">
        <v>0.03</v>
      </c>
      <c r="BF1383">
        <v>-0.05</v>
      </c>
      <c r="BG1383">
        <v>91</v>
      </c>
      <c r="BH1383">
        <v>0.14000000000000001</v>
      </c>
      <c r="BI1383">
        <v>5.59</v>
      </c>
      <c r="BJ1383">
        <v>7</v>
      </c>
      <c r="BK1383">
        <v>4</v>
      </c>
      <c r="BL1383">
        <v>0.27</v>
      </c>
      <c r="BM1383">
        <v>-0.84</v>
      </c>
      <c r="BN1383">
        <v>0.15</v>
      </c>
      <c r="BO1383">
        <v>0.61</v>
      </c>
      <c r="BP1383">
        <v>-1.69</v>
      </c>
      <c r="BQ1383">
        <v>-1.98</v>
      </c>
      <c r="BR1383">
        <v>0.25</v>
      </c>
      <c r="BS1383">
        <v>0.81</v>
      </c>
      <c r="BT1383">
        <v>-0.87</v>
      </c>
      <c r="BU1383">
        <v>0.36</v>
      </c>
      <c r="BV1383">
        <v>0.9</v>
      </c>
      <c r="BW1383">
        <v>2</v>
      </c>
      <c r="BX1383">
        <v>0.53</v>
      </c>
      <c r="BY1383">
        <v>1.61</v>
      </c>
      <c r="BZ1383">
        <v>-2.11</v>
      </c>
      <c r="CA1383">
        <v>1.03</v>
      </c>
      <c r="CB1383">
        <v>1.1499999999999999</v>
      </c>
      <c r="CC1383">
        <v>0.91</v>
      </c>
      <c r="CD1383">
        <v>-0.38</v>
      </c>
      <c r="CE1383">
        <v>0.4</v>
      </c>
      <c r="CF1383">
        <v>-0.19</v>
      </c>
      <c r="CG1383">
        <v>0</v>
      </c>
      <c r="CH1383">
        <v>1.72</v>
      </c>
      <c r="CI1383">
        <v>0</v>
      </c>
      <c r="CJ1383">
        <v>-0.6</v>
      </c>
      <c r="CK1383">
        <v>81</v>
      </c>
      <c r="CL1383">
        <v>-0.89</v>
      </c>
      <c r="CM1383">
        <v>76</v>
      </c>
      <c r="CN1383">
        <v>-0.17</v>
      </c>
      <c r="CO1383">
        <v>74</v>
      </c>
      <c r="CP1383">
        <v>-0.7</v>
      </c>
      <c r="CQ1383">
        <v>54</v>
      </c>
      <c r="CR1383">
        <v>0</v>
      </c>
      <c r="CS1383">
        <v>0</v>
      </c>
      <c r="CT1383">
        <v>0.1</v>
      </c>
      <c r="CU1383">
        <v>48</v>
      </c>
      <c r="CV1383">
        <v>0.17</v>
      </c>
      <c r="CW1383">
        <v>42</v>
      </c>
      <c r="CX1383" t="s">
        <v>12897</v>
      </c>
    </row>
    <row r="1384" spans="1:102" x14ac:dyDescent="0.3">
      <c r="A1384" t="str">
        <f>HYPERLINK("https://webapp.icbf.com/v2/app/bull-search/view/1108471598","FR2001")</f>
        <v>FR2001</v>
      </c>
      <c r="B1384" t="s">
        <v>13439</v>
      </c>
      <c r="C1384" t="s">
        <v>13440</v>
      </c>
      <c r="D1384" s="1">
        <v>41536</v>
      </c>
      <c r="E1384" t="s">
        <v>92</v>
      </c>
      <c r="F1384">
        <v>100</v>
      </c>
      <c r="G1384" t="s">
        <v>93</v>
      </c>
      <c r="H1384">
        <v>114.96</v>
      </c>
      <c r="I1384">
        <v>86</v>
      </c>
      <c r="J1384">
        <v>83.95</v>
      </c>
      <c r="K1384">
        <v>97</v>
      </c>
      <c r="L1384">
        <v>-16.12</v>
      </c>
      <c r="M1384">
        <v>79</v>
      </c>
      <c r="N1384">
        <v>44.86</v>
      </c>
      <c r="O1384">
        <v>88</v>
      </c>
      <c r="P1384">
        <v>-1.86</v>
      </c>
      <c r="Q1384">
        <v>92</v>
      </c>
      <c r="R1384">
        <v>10.16</v>
      </c>
      <c r="S1384">
        <v>78</v>
      </c>
      <c r="T1384">
        <v>-9.41</v>
      </c>
      <c r="U1384">
        <v>71</v>
      </c>
      <c r="V1384">
        <v>3.38</v>
      </c>
      <c r="W1384">
        <v>70</v>
      </c>
      <c r="X1384" t="s">
        <v>94</v>
      </c>
      <c r="Y1384" t="s">
        <v>416</v>
      </c>
      <c r="Z1384" t="s">
        <v>96</v>
      </c>
      <c r="AA1384" t="s">
        <v>2185</v>
      </c>
      <c r="AB1384" t="s">
        <v>5871</v>
      </c>
      <c r="AC1384">
        <v>210</v>
      </c>
      <c r="AD1384">
        <v>66</v>
      </c>
      <c r="AE1384">
        <v>97</v>
      </c>
      <c r="AF1384">
        <v>470.61</v>
      </c>
      <c r="AG1384">
        <v>10.97</v>
      </c>
      <c r="AH1384">
        <v>17.600000000000001</v>
      </c>
      <c r="AI1384">
        <v>-0.12</v>
      </c>
      <c r="AJ1384">
        <v>0.03</v>
      </c>
      <c r="AK1384">
        <v>79</v>
      </c>
      <c r="AL1384">
        <v>77</v>
      </c>
      <c r="AM1384">
        <v>31</v>
      </c>
      <c r="AN1384">
        <v>2.0699999999999998</v>
      </c>
      <c r="AO1384">
        <v>0.8</v>
      </c>
      <c r="AP1384">
        <v>615</v>
      </c>
      <c r="AQ1384">
        <v>5</v>
      </c>
      <c r="AR1384">
        <v>4.91</v>
      </c>
      <c r="AS1384">
        <v>83</v>
      </c>
      <c r="AT1384">
        <v>2.31</v>
      </c>
      <c r="AU1384">
        <v>94</v>
      </c>
      <c r="AV1384">
        <v>-4.38</v>
      </c>
      <c r="AW1384">
        <v>98</v>
      </c>
      <c r="AX1384">
        <v>0.01</v>
      </c>
      <c r="AY1384">
        <v>90</v>
      </c>
      <c r="AZ1384">
        <v>6.52</v>
      </c>
      <c r="BA1384">
        <v>74</v>
      </c>
      <c r="BB1384">
        <v>5.44</v>
      </c>
      <c r="BC1384">
        <v>53</v>
      </c>
      <c r="BD1384">
        <v>-7.0000000000000007E-2</v>
      </c>
      <c r="BE1384">
        <v>-0.03</v>
      </c>
      <c r="BF1384">
        <v>-0.06</v>
      </c>
      <c r="BG1384">
        <v>91</v>
      </c>
      <c r="BH1384">
        <v>-0.15</v>
      </c>
      <c r="BI1384">
        <v>-28.24</v>
      </c>
      <c r="BJ1384">
        <v>26</v>
      </c>
      <c r="BK1384">
        <v>9</v>
      </c>
      <c r="BL1384">
        <v>0.63</v>
      </c>
      <c r="BM1384">
        <v>-2.15</v>
      </c>
      <c r="BN1384">
        <v>-1</v>
      </c>
      <c r="BO1384">
        <v>1.05</v>
      </c>
      <c r="BP1384">
        <v>1.97</v>
      </c>
      <c r="BQ1384">
        <v>-1.33</v>
      </c>
      <c r="BR1384">
        <v>0.14000000000000001</v>
      </c>
      <c r="BS1384">
        <v>-0.95</v>
      </c>
      <c r="BT1384">
        <v>-0.69</v>
      </c>
      <c r="BU1384">
        <v>2.38</v>
      </c>
      <c r="BV1384">
        <v>2.54</v>
      </c>
      <c r="BW1384">
        <v>1.47</v>
      </c>
      <c r="BX1384">
        <v>2.65</v>
      </c>
      <c r="BY1384">
        <v>2.23</v>
      </c>
      <c r="BZ1384">
        <v>-3.23</v>
      </c>
      <c r="CA1384">
        <v>1.77</v>
      </c>
      <c r="CB1384">
        <v>1.95</v>
      </c>
      <c r="CC1384">
        <v>0.05</v>
      </c>
      <c r="CD1384">
        <v>-1.31</v>
      </c>
      <c r="CE1384">
        <v>1.02</v>
      </c>
      <c r="CF1384">
        <v>0.32</v>
      </c>
      <c r="CG1384">
        <v>0</v>
      </c>
      <c r="CH1384">
        <v>2.81</v>
      </c>
      <c r="CI1384">
        <v>0</v>
      </c>
      <c r="CJ1384">
        <v>1.7</v>
      </c>
      <c r="CK1384">
        <v>95</v>
      </c>
      <c r="CL1384">
        <v>-0.98</v>
      </c>
      <c r="CM1384">
        <v>93</v>
      </c>
      <c r="CN1384">
        <v>-0.42</v>
      </c>
      <c r="CO1384">
        <v>93</v>
      </c>
      <c r="CP1384">
        <v>6.6</v>
      </c>
      <c r="CQ1384">
        <v>69</v>
      </c>
      <c r="CR1384">
        <v>0</v>
      </c>
      <c r="CS1384">
        <v>0</v>
      </c>
      <c r="CT1384">
        <v>26.5</v>
      </c>
      <c r="CU1384">
        <v>71</v>
      </c>
      <c r="CV1384">
        <v>0.28999999999999998</v>
      </c>
      <c r="CW1384">
        <v>45</v>
      </c>
      <c r="CX1384" t="s">
        <v>358</v>
      </c>
    </row>
    <row r="1385" spans="1:102" x14ac:dyDescent="0.3">
      <c r="A1385" t="str">
        <f>HYPERLINK("https://webapp.icbf.com/v2/app/bull-search/view/760395959","KZA")</f>
        <v>KZA</v>
      </c>
      <c r="B1385" t="s">
        <v>2024</v>
      </c>
      <c r="C1385" t="s">
        <v>2025</v>
      </c>
      <c r="D1385" s="1">
        <v>40016</v>
      </c>
      <c r="E1385" t="s">
        <v>227</v>
      </c>
      <c r="F1385">
        <v>44</v>
      </c>
      <c r="G1385" t="s">
        <v>93</v>
      </c>
      <c r="H1385">
        <v>114.92</v>
      </c>
      <c r="I1385">
        <v>92</v>
      </c>
      <c r="J1385">
        <v>71.98</v>
      </c>
      <c r="K1385">
        <v>99</v>
      </c>
      <c r="L1385">
        <v>-6.95</v>
      </c>
      <c r="M1385">
        <v>85</v>
      </c>
      <c r="N1385">
        <v>40.56</v>
      </c>
      <c r="O1385">
        <v>93</v>
      </c>
      <c r="P1385">
        <v>-27.94</v>
      </c>
      <c r="Q1385">
        <v>96</v>
      </c>
      <c r="R1385">
        <v>6.19</v>
      </c>
      <c r="S1385">
        <v>81</v>
      </c>
      <c r="T1385">
        <v>28.92</v>
      </c>
      <c r="U1385">
        <v>95</v>
      </c>
      <c r="V1385">
        <v>2.16</v>
      </c>
      <c r="W1385">
        <v>77</v>
      </c>
      <c r="X1385" t="s">
        <v>276</v>
      </c>
      <c r="Y1385" t="s">
        <v>329</v>
      </c>
      <c r="Z1385">
        <v>0</v>
      </c>
      <c r="AA1385" t="s">
        <v>2026</v>
      </c>
      <c r="AB1385" t="s">
        <v>144</v>
      </c>
      <c r="AC1385">
        <v>385</v>
      </c>
      <c r="AD1385">
        <v>78</v>
      </c>
      <c r="AE1385">
        <v>99</v>
      </c>
      <c r="AF1385">
        <v>93.91</v>
      </c>
      <c r="AG1385">
        <v>11.67</v>
      </c>
      <c r="AH1385">
        <v>9.5500000000000007</v>
      </c>
      <c r="AI1385">
        <v>0.14000000000000001</v>
      </c>
      <c r="AJ1385">
        <v>0.11</v>
      </c>
      <c r="AK1385">
        <v>85</v>
      </c>
      <c r="AL1385">
        <v>449</v>
      </c>
      <c r="AM1385">
        <v>92</v>
      </c>
      <c r="AN1385">
        <v>0.7</v>
      </c>
      <c r="AO1385">
        <v>0.15</v>
      </c>
      <c r="AP1385">
        <v>672</v>
      </c>
      <c r="AQ1385">
        <v>4</v>
      </c>
      <c r="AR1385">
        <v>4.7</v>
      </c>
      <c r="AS1385">
        <v>91</v>
      </c>
      <c r="AT1385">
        <v>1.84</v>
      </c>
      <c r="AU1385">
        <v>94</v>
      </c>
      <c r="AV1385">
        <v>-3.71</v>
      </c>
      <c r="AW1385">
        <v>99</v>
      </c>
      <c r="AX1385">
        <v>-0.7</v>
      </c>
      <c r="AY1385">
        <v>93</v>
      </c>
      <c r="AZ1385">
        <v>7.63</v>
      </c>
      <c r="BA1385">
        <v>83</v>
      </c>
      <c r="BB1385">
        <v>5.88</v>
      </c>
      <c r="BC1385">
        <v>74</v>
      </c>
      <c r="BD1385">
        <v>-0.05</v>
      </c>
      <c r="BE1385">
        <v>-0.01</v>
      </c>
      <c r="BF1385">
        <v>-0.04</v>
      </c>
      <c r="BG1385">
        <v>94</v>
      </c>
      <c r="BH1385">
        <v>0.14000000000000001</v>
      </c>
      <c r="BI1385">
        <v>9.23</v>
      </c>
      <c r="BJ1385">
        <v>18</v>
      </c>
      <c r="BK1385">
        <v>1</v>
      </c>
      <c r="BL1385">
        <v>-3.1</v>
      </c>
      <c r="BM1385">
        <v>-0.12</v>
      </c>
      <c r="BN1385">
        <v>-0.85</v>
      </c>
      <c r="BO1385">
        <v>-0.84</v>
      </c>
      <c r="BP1385">
        <v>-5</v>
      </c>
      <c r="BQ1385">
        <v>-3.9</v>
      </c>
      <c r="BR1385">
        <v>2.88</v>
      </c>
      <c r="BS1385">
        <v>5.15</v>
      </c>
      <c r="BT1385">
        <v>-0.49</v>
      </c>
      <c r="BU1385">
        <v>-1.46</v>
      </c>
      <c r="BV1385">
        <v>-1.06</v>
      </c>
      <c r="BW1385">
        <v>-3.32</v>
      </c>
      <c r="BX1385">
        <v>-4.03</v>
      </c>
      <c r="BY1385">
        <v>0.46</v>
      </c>
      <c r="BZ1385">
        <v>1.19</v>
      </c>
      <c r="CA1385">
        <v>-0.94</v>
      </c>
      <c r="CB1385">
        <v>-2.12</v>
      </c>
      <c r="CC1385">
        <v>1.81</v>
      </c>
      <c r="CD1385">
        <v>-2.25</v>
      </c>
      <c r="CE1385">
        <v>-1.6</v>
      </c>
      <c r="CF1385">
        <v>-4.0199999999999996</v>
      </c>
      <c r="CG1385">
        <v>0</v>
      </c>
      <c r="CH1385">
        <v>0.21</v>
      </c>
      <c r="CI1385">
        <v>0</v>
      </c>
      <c r="CJ1385">
        <v>-14.7</v>
      </c>
      <c r="CK1385">
        <v>97</v>
      </c>
      <c r="CL1385">
        <v>-0.81</v>
      </c>
      <c r="CM1385">
        <v>96</v>
      </c>
      <c r="CN1385">
        <v>-0.35</v>
      </c>
      <c r="CO1385">
        <v>96</v>
      </c>
      <c r="CP1385">
        <v>-22.6</v>
      </c>
      <c r="CQ1385">
        <v>92</v>
      </c>
      <c r="CR1385">
        <v>0</v>
      </c>
      <c r="CS1385">
        <v>0</v>
      </c>
      <c r="CT1385">
        <v>-25.3</v>
      </c>
      <c r="CU1385">
        <v>95</v>
      </c>
      <c r="CV1385">
        <v>-0.08</v>
      </c>
      <c r="CW1385">
        <v>46</v>
      </c>
      <c r="CX1385" t="s">
        <v>2027</v>
      </c>
    </row>
    <row r="1386" spans="1:102" x14ac:dyDescent="0.3">
      <c r="A1386" t="str">
        <f>HYPERLINK("https://webapp.icbf.com/v2/app/bull-search/view/560117264","GSA")</f>
        <v>GSA</v>
      </c>
      <c r="B1386" t="s">
        <v>12487</v>
      </c>
      <c r="C1386" t="s">
        <v>12488</v>
      </c>
      <c r="D1386" s="1">
        <v>39493</v>
      </c>
      <c r="E1386" t="s">
        <v>92</v>
      </c>
      <c r="F1386">
        <v>94</v>
      </c>
      <c r="G1386" t="s">
        <v>93</v>
      </c>
      <c r="H1386">
        <v>114.86</v>
      </c>
      <c r="I1386">
        <v>88</v>
      </c>
      <c r="J1386">
        <v>73.17</v>
      </c>
      <c r="K1386">
        <v>97</v>
      </c>
      <c r="L1386">
        <v>10.02</v>
      </c>
      <c r="M1386">
        <v>81</v>
      </c>
      <c r="N1386">
        <v>29.76</v>
      </c>
      <c r="O1386">
        <v>88</v>
      </c>
      <c r="P1386">
        <v>-13.79</v>
      </c>
      <c r="Q1386">
        <v>91</v>
      </c>
      <c r="R1386">
        <v>0</v>
      </c>
      <c r="S1386">
        <v>83</v>
      </c>
      <c r="T1386">
        <v>4.5</v>
      </c>
      <c r="U1386">
        <v>87</v>
      </c>
      <c r="V1386">
        <v>11.2</v>
      </c>
      <c r="W1386">
        <v>83</v>
      </c>
      <c r="X1386" t="s">
        <v>94</v>
      </c>
      <c r="Y1386" t="s">
        <v>1513</v>
      </c>
      <c r="Z1386" t="s">
        <v>96</v>
      </c>
      <c r="AA1386" t="s">
        <v>316</v>
      </c>
      <c r="AB1386" t="s">
        <v>12489</v>
      </c>
      <c r="AC1386">
        <v>93</v>
      </c>
      <c r="AD1386">
        <v>69</v>
      </c>
      <c r="AE1386">
        <v>97</v>
      </c>
      <c r="AF1386">
        <v>455.25</v>
      </c>
      <c r="AG1386">
        <v>17.39</v>
      </c>
      <c r="AH1386">
        <v>13.26</v>
      </c>
      <c r="AI1386">
        <v>-0.01</v>
      </c>
      <c r="AJ1386">
        <v>-0.04</v>
      </c>
      <c r="AK1386">
        <v>81</v>
      </c>
      <c r="AL1386">
        <v>98</v>
      </c>
      <c r="AM1386">
        <v>70</v>
      </c>
      <c r="AN1386">
        <v>0.28000000000000003</v>
      </c>
      <c r="AO1386">
        <v>1.0900000000000001</v>
      </c>
      <c r="AP1386">
        <v>225</v>
      </c>
      <c r="AQ1386">
        <v>3</v>
      </c>
      <c r="AR1386">
        <v>5.65</v>
      </c>
      <c r="AS1386">
        <v>74</v>
      </c>
      <c r="AT1386">
        <v>2.27</v>
      </c>
      <c r="AU1386">
        <v>90</v>
      </c>
      <c r="AV1386">
        <v>-2.76</v>
      </c>
      <c r="AW1386">
        <v>97</v>
      </c>
      <c r="AX1386">
        <v>0.11</v>
      </c>
      <c r="AY1386">
        <v>83</v>
      </c>
      <c r="AZ1386">
        <v>7.3</v>
      </c>
      <c r="BA1386">
        <v>68</v>
      </c>
      <c r="BB1386">
        <v>5.35</v>
      </c>
      <c r="BC1386">
        <v>72</v>
      </c>
      <c r="BD1386">
        <v>0.03</v>
      </c>
      <c r="BE1386">
        <v>0</v>
      </c>
      <c r="BF1386">
        <v>-0.05</v>
      </c>
      <c r="BG1386">
        <v>89</v>
      </c>
      <c r="BH1386">
        <v>0.13</v>
      </c>
      <c r="BI1386">
        <v>-21.08</v>
      </c>
      <c r="BJ1386">
        <v>26</v>
      </c>
      <c r="BK1386">
        <v>16</v>
      </c>
      <c r="BL1386">
        <v>-0.41</v>
      </c>
      <c r="BM1386">
        <v>1.05</v>
      </c>
      <c r="BN1386">
        <v>-0.24</v>
      </c>
      <c r="BO1386">
        <v>-0.69</v>
      </c>
      <c r="BP1386">
        <v>1.56</v>
      </c>
      <c r="BQ1386">
        <v>-0.89</v>
      </c>
      <c r="BR1386">
        <v>0.49</v>
      </c>
      <c r="BS1386">
        <v>-2.02</v>
      </c>
      <c r="BT1386">
        <v>-0.44</v>
      </c>
      <c r="BU1386">
        <v>0.25</v>
      </c>
      <c r="BV1386">
        <v>-1.26</v>
      </c>
      <c r="BW1386">
        <v>-0.75</v>
      </c>
      <c r="BX1386">
        <v>0.17</v>
      </c>
      <c r="BY1386">
        <v>1.57</v>
      </c>
      <c r="BZ1386">
        <v>-1.27</v>
      </c>
      <c r="CA1386">
        <v>-0.52</v>
      </c>
      <c r="CB1386">
        <v>0.01</v>
      </c>
      <c r="CC1386">
        <v>-1.1399999999999999</v>
      </c>
      <c r="CD1386">
        <v>1.36</v>
      </c>
      <c r="CE1386">
        <v>-0.66</v>
      </c>
      <c r="CF1386">
        <v>-0.44</v>
      </c>
      <c r="CG1386">
        <v>0</v>
      </c>
      <c r="CH1386">
        <v>1.86</v>
      </c>
      <c r="CI1386">
        <v>0</v>
      </c>
      <c r="CJ1386">
        <v>-5.5</v>
      </c>
      <c r="CK1386">
        <v>92</v>
      </c>
      <c r="CL1386">
        <v>-0.69</v>
      </c>
      <c r="CM1386">
        <v>91</v>
      </c>
      <c r="CN1386">
        <v>-0.15</v>
      </c>
      <c r="CO1386">
        <v>90</v>
      </c>
      <c r="CP1386">
        <v>-5.6</v>
      </c>
      <c r="CQ1386">
        <v>89</v>
      </c>
      <c r="CR1386">
        <v>0</v>
      </c>
      <c r="CS1386">
        <v>0</v>
      </c>
      <c r="CT1386">
        <v>7.7</v>
      </c>
      <c r="CU1386">
        <v>87</v>
      </c>
      <c r="CV1386">
        <v>0.04</v>
      </c>
      <c r="CW1386">
        <v>47</v>
      </c>
      <c r="CX1386" t="s">
        <v>4023</v>
      </c>
    </row>
    <row r="1387" spans="1:102" x14ac:dyDescent="0.3">
      <c r="A1387" t="str">
        <f>HYPERLINK("https://webapp.icbf.com/v2/app/bull-search/view/108367986","BWH")</f>
        <v>BWH</v>
      </c>
      <c r="B1387" t="s">
        <v>8046</v>
      </c>
      <c r="C1387" t="s">
        <v>2992</v>
      </c>
      <c r="D1387" s="1">
        <v>35291</v>
      </c>
      <c r="E1387" t="s">
        <v>92</v>
      </c>
      <c r="F1387">
        <v>63</v>
      </c>
      <c r="G1387" t="s">
        <v>93</v>
      </c>
      <c r="H1387">
        <v>114.85</v>
      </c>
      <c r="I1387">
        <v>96</v>
      </c>
      <c r="J1387">
        <v>29.42</v>
      </c>
      <c r="K1387">
        <v>99</v>
      </c>
      <c r="L1387">
        <v>36.18</v>
      </c>
      <c r="M1387">
        <v>92</v>
      </c>
      <c r="N1387">
        <v>26.91</v>
      </c>
      <c r="O1387">
        <v>97</v>
      </c>
      <c r="P1387">
        <v>-17.05</v>
      </c>
      <c r="Q1387">
        <v>99</v>
      </c>
      <c r="R1387">
        <v>20.82</v>
      </c>
      <c r="S1387">
        <v>94</v>
      </c>
      <c r="T1387">
        <v>24.56</v>
      </c>
      <c r="U1387">
        <v>97</v>
      </c>
      <c r="V1387">
        <v>-5.99</v>
      </c>
      <c r="W1387">
        <v>96</v>
      </c>
      <c r="X1387" t="s">
        <v>302</v>
      </c>
      <c r="Y1387" t="s">
        <v>95</v>
      </c>
      <c r="Z1387" t="s">
        <v>96</v>
      </c>
      <c r="AA1387" t="s">
        <v>4581</v>
      </c>
      <c r="AB1387" t="s">
        <v>4089</v>
      </c>
      <c r="AC1387">
        <v>563</v>
      </c>
      <c r="AD1387">
        <v>169</v>
      </c>
      <c r="AE1387">
        <v>99</v>
      </c>
      <c r="AF1387">
        <v>28.95</v>
      </c>
      <c r="AG1387">
        <v>9.32</v>
      </c>
      <c r="AH1387">
        <v>2.15</v>
      </c>
      <c r="AI1387">
        <v>0.14000000000000001</v>
      </c>
      <c r="AJ1387">
        <v>0.02</v>
      </c>
      <c r="AK1387">
        <v>92</v>
      </c>
      <c r="AL1387">
        <v>520</v>
      </c>
      <c r="AM1387">
        <v>156</v>
      </c>
      <c r="AN1387">
        <v>-1.59</v>
      </c>
      <c r="AO1387">
        <v>1.3</v>
      </c>
      <c r="AP1387">
        <v>906</v>
      </c>
      <c r="AQ1387">
        <v>3</v>
      </c>
      <c r="AR1387">
        <v>6.54</v>
      </c>
      <c r="AS1387">
        <v>91</v>
      </c>
      <c r="AT1387">
        <v>2.06</v>
      </c>
      <c r="AU1387">
        <v>97</v>
      </c>
      <c r="AV1387">
        <v>-1.59</v>
      </c>
      <c r="AW1387">
        <v>99</v>
      </c>
      <c r="AX1387">
        <v>-0.12</v>
      </c>
      <c r="AY1387">
        <v>96</v>
      </c>
      <c r="AZ1387">
        <v>5.46</v>
      </c>
      <c r="BA1387">
        <v>91</v>
      </c>
      <c r="BB1387">
        <v>4.66</v>
      </c>
      <c r="BC1387">
        <v>93</v>
      </c>
      <c r="BD1387">
        <v>-0.13</v>
      </c>
      <c r="BE1387">
        <v>-0.08</v>
      </c>
      <c r="BF1387">
        <v>-0.11</v>
      </c>
      <c r="BG1387">
        <v>97</v>
      </c>
      <c r="BH1387">
        <v>-0.08</v>
      </c>
      <c r="BI1387">
        <v>10.07</v>
      </c>
      <c r="BJ1387">
        <v>14</v>
      </c>
      <c r="BK1387">
        <v>10</v>
      </c>
      <c r="BL1387">
        <v>-1.67</v>
      </c>
      <c r="BM1387">
        <v>-0.49</v>
      </c>
      <c r="BN1387">
        <v>-1.05</v>
      </c>
      <c r="BO1387">
        <v>-0.88</v>
      </c>
      <c r="BP1387">
        <v>0.74</v>
      </c>
      <c r="BQ1387">
        <v>-3.29</v>
      </c>
      <c r="BR1387">
        <v>-0.37</v>
      </c>
      <c r="BS1387">
        <v>-0.97</v>
      </c>
      <c r="BT1387">
        <v>-1.23</v>
      </c>
      <c r="BU1387">
        <v>-0.91</v>
      </c>
      <c r="BV1387">
        <v>-1.33</v>
      </c>
      <c r="BW1387">
        <v>-2.57</v>
      </c>
      <c r="BX1387">
        <v>-2.93</v>
      </c>
      <c r="BY1387">
        <v>-2.69</v>
      </c>
      <c r="BZ1387">
        <v>1.1200000000000001</v>
      </c>
      <c r="CA1387">
        <v>-1.82</v>
      </c>
      <c r="CB1387">
        <v>-1.92</v>
      </c>
      <c r="CC1387">
        <v>-0.47</v>
      </c>
      <c r="CD1387">
        <v>0.45</v>
      </c>
      <c r="CE1387">
        <v>-0.69</v>
      </c>
      <c r="CF1387">
        <v>-1.84</v>
      </c>
      <c r="CG1387">
        <v>0</v>
      </c>
      <c r="CH1387">
        <v>-2.4900000000000002</v>
      </c>
      <c r="CI1387">
        <v>0</v>
      </c>
      <c r="CJ1387">
        <v>-8.3000000000000007</v>
      </c>
      <c r="CK1387">
        <v>99</v>
      </c>
      <c r="CL1387">
        <v>-0.59</v>
      </c>
      <c r="CM1387">
        <v>98</v>
      </c>
      <c r="CN1387">
        <v>-0.23</v>
      </c>
      <c r="CO1387">
        <v>98</v>
      </c>
      <c r="CP1387">
        <v>-14.7</v>
      </c>
      <c r="CQ1387">
        <v>98</v>
      </c>
      <c r="CR1387">
        <v>0</v>
      </c>
      <c r="CS1387">
        <v>0</v>
      </c>
      <c r="CT1387">
        <v>-19.399999999999999</v>
      </c>
      <c r="CU1387">
        <v>97</v>
      </c>
      <c r="CV1387">
        <v>-0.01</v>
      </c>
      <c r="CW1387">
        <v>47</v>
      </c>
      <c r="CX1387" t="s">
        <v>2844</v>
      </c>
    </row>
    <row r="1388" spans="1:102" x14ac:dyDescent="0.3">
      <c r="A1388" t="str">
        <f>HYPERLINK("https://webapp.icbf.com/v2/app/bull-search/view/1109114189","JE2019")</f>
        <v>JE2019</v>
      </c>
      <c r="B1388" t="s">
        <v>13587</v>
      </c>
      <c r="C1388" t="s">
        <v>6568</v>
      </c>
      <c r="D1388" s="1">
        <v>41540</v>
      </c>
      <c r="E1388" t="s">
        <v>227</v>
      </c>
      <c r="F1388">
        <v>0</v>
      </c>
      <c r="G1388" t="s">
        <v>93</v>
      </c>
      <c r="H1388">
        <v>114.76</v>
      </c>
      <c r="I1388">
        <v>87</v>
      </c>
      <c r="J1388">
        <v>4.6100000000000003</v>
      </c>
      <c r="K1388">
        <v>97</v>
      </c>
      <c r="L1388">
        <v>70.11</v>
      </c>
      <c r="M1388">
        <v>77</v>
      </c>
      <c r="N1388">
        <v>24.17</v>
      </c>
      <c r="O1388">
        <v>90</v>
      </c>
      <c r="P1388">
        <v>-50.71</v>
      </c>
      <c r="Q1388">
        <v>91</v>
      </c>
      <c r="R1388">
        <v>5.8</v>
      </c>
      <c r="S1388">
        <v>78</v>
      </c>
      <c r="T1388">
        <v>57.56</v>
      </c>
      <c r="U1388">
        <v>88</v>
      </c>
      <c r="V1388">
        <v>3.22</v>
      </c>
      <c r="W1388">
        <v>76</v>
      </c>
      <c r="X1388" t="s">
        <v>94</v>
      </c>
      <c r="Y1388" t="s">
        <v>416</v>
      </c>
      <c r="Z1388">
        <v>0</v>
      </c>
      <c r="AA1388" t="s">
        <v>454</v>
      </c>
      <c r="AB1388" t="s">
        <v>13588</v>
      </c>
      <c r="AC1388">
        <v>185</v>
      </c>
      <c r="AD1388">
        <v>77</v>
      </c>
      <c r="AE1388">
        <v>97</v>
      </c>
      <c r="AF1388">
        <v>-572.80999999999995</v>
      </c>
      <c r="AG1388">
        <v>3.78</v>
      </c>
      <c r="AH1388">
        <v>-9.32</v>
      </c>
      <c r="AI1388">
        <v>0.51</v>
      </c>
      <c r="AJ1388">
        <v>0.2</v>
      </c>
      <c r="AK1388">
        <v>77</v>
      </c>
      <c r="AL1388">
        <v>76</v>
      </c>
      <c r="AM1388">
        <v>48</v>
      </c>
      <c r="AN1388">
        <v>-3.94</v>
      </c>
      <c r="AO1388">
        <v>1.65</v>
      </c>
      <c r="AP1388">
        <v>1090</v>
      </c>
      <c r="AQ1388">
        <v>4</v>
      </c>
      <c r="AR1388">
        <v>4.03</v>
      </c>
      <c r="AS1388">
        <v>96</v>
      </c>
      <c r="AT1388">
        <v>1.72</v>
      </c>
      <c r="AU1388">
        <v>95</v>
      </c>
      <c r="AV1388">
        <v>-1.4</v>
      </c>
      <c r="AW1388">
        <v>99</v>
      </c>
      <c r="AX1388">
        <v>1.0900000000000001</v>
      </c>
      <c r="AY1388">
        <v>94</v>
      </c>
      <c r="AZ1388">
        <v>6.98</v>
      </c>
      <c r="BA1388">
        <v>77</v>
      </c>
      <c r="BB1388">
        <v>5.22</v>
      </c>
      <c r="BC1388">
        <v>51</v>
      </c>
      <c r="BD1388">
        <v>-0.08</v>
      </c>
      <c r="BE1388">
        <v>0</v>
      </c>
      <c r="BF1388">
        <v>0</v>
      </c>
      <c r="BG1388">
        <v>90</v>
      </c>
      <c r="BH1388">
        <v>0.01</v>
      </c>
      <c r="BI1388">
        <v>-9.2200000000000006</v>
      </c>
      <c r="BJ1388">
        <v>1</v>
      </c>
      <c r="BK1388">
        <v>1</v>
      </c>
      <c r="BL1388">
        <v>-1.75</v>
      </c>
      <c r="BM1388">
        <v>-2.04</v>
      </c>
      <c r="BN1388">
        <v>-0.94</v>
      </c>
      <c r="BO1388">
        <v>1.06</v>
      </c>
      <c r="BP1388">
        <v>-0.48</v>
      </c>
      <c r="BQ1388">
        <v>-5.48</v>
      </c>
      <c r="BR1388">
        <v>1.61</v>
      </c>
      <c r="BS1388">
        <v>5.96</v>
      </c>
      <c r="BT1388">
        <v>-1.1000000000000001</v>
      </c>
      <c r="BU1388">
        <v>0.6</v>
      </c>
      <c r="BV1388">
        <v>0.61</v>
      </c>
      <c r="BW1388">
        <v>-1.29</v>
      </c>
      <c r="BX1388">
        <v>-2.09</v>
      </c>
      <c r="BY1388">
        <v>-0.28000000000000003</v>
      </c>
      <c r="BZ1388">
        <v>-0.9</v>
      </c>
      <c r="CA1388">
        <v>1.72</v>
      </c>
      <c r="CB1388">
        <v>0.32</v>
      </c>
      <c r="CC1388">
        <v>3.68</v>
      </c>
      <c r="CD1388">
        <v>-2.14</v>
      </c>
      <c r="CE1388">
        <v>0.9</v>
      </c>
      <c r="CF1388">
        <v>-1.6</v>
      </c>
      <c r="CG1388">
        <v>0</v>
      </c>
      <c r="CH1388">
        <v>-0.98</v>
      </c>
      <c r="CI1388">
        <v>0</v>
      </c>
      <c r="CJ1388">
        <v>-27.5</v>
      </c>
      <c r="CK1388">
        <v>93</v>
      </c>
      <c r="CL1388">
        <v>-1.06</v>
      </c>
      <c r="CM1388">
        <v>91</v>
      </c>
      <c r="CN1388">
        <v>-0.37</v>
      </c>
      <c r="CO1388">
        <v>91</v>
      </c>
      <c r="CP1388">
        <v>-41</v>
      </c>
      <c r="CQ1388">
        <v>74</v>
      </c>
      <c r="CR1388">
        <v>0</v>
      </c>
      <c r="CS1388">
        <v>0</v>
      </c>
      <c r="CT1388">
        <v>-64</v>
      </c>
      <c r="CU1388">
        <v>88</v>
      </c>
      <c r="CV1388">
        <v>-0.28999999999999998</v>
      </c>
      <c r="CW1388">
        <v>45</v>
      </c>
      <c r="CX1388" t="s">
        <v>372</v>
      </c>
    </row>
    <row r="1389" spans="1:102" x14ac:dyDescent="0.3">
      <c r="A1389" t="str">
        <f>HYPERLINK("https://webapp.icbf.com/v2/app/bull-search/view/553740195","FAE")</f>
        <v>FAE</v>
      </c>
      <c r="B1389" t="s">
        <v>5254</v>
      </c>
      <c r="C1389" t="s">
        <v>5255</v>
      </c>
      <c r="D1389" s="1">
        <v>39471</v>
      </c>
      <c r="E1389" t="s">
        <v>108</v>
      </c>
      <c r="F1389">
        <v>9</v>
      </c>
      <c r="G1389" t="s">
        <v>93</v>
      </c>
      <c r="H1389">
        <v>114.69</v>
      </c>
      <c r="I1389">
        <v>97</v>
      </c>
      <c r="J1389">
        <v>-9.43</v>
      </c>
      <c r="K1389">
        <v>99</v>
      </c>
      <c r="L1389">
        <v>68.88</v>
      </c>
      <c r="M1389">
        <v>96</v>
      </c>
      <c r="N1389">
        <v>43.95</v>
      </c>
      <c r="O1389">
        <v>98</v>
      </c>
      <c r="P1389">
        <v>-17.75</v>
      </c>
      <c r="Q1389">
        <v>99</v>
      </c>
      <c r="R1389">
        <v>-0.52</v>
      </c>
      <c r="S1389">
        <v>95</v>
      </c>
      <c r="T1389">
        <v>22.04</v>
      </c>
      <c r="U1389">
        <v>99</v>
      </c>
      <c r="V1389">
        <v>7.52</v>
      </c>
      <c r="W1389">
        <v>85</v>
      </c>
      <c r="X1389" t="s">
        <v>94</v>
      </c>
      <c r="Y1389" t="s">
        <v>241</v>
      </c>
      <c r="Z1389" t="s">
        <v>96</v>
      </c>
      <c r="AA1389" t="s">
        <v>5256</v>
      </c>
      <c r="AB1389" t="s">
        <v>5257</v>
      </c>
      <c r="AC1389">
        <v>2026</v>
      </c>
      <c r="AD1389">
        <v>740</v>
      </c>
      <c r="AE1389">
        <v>99</v>
      </c>
      <c r="AF1389">
        <v>-7.59</v>
      </c>
      <c r="AG1389">
        <v>-2.91</v>
      </c>
      <c r="AH1389">
        <v>-0.69</v>
      </c>
      <c r="AI1389">
        <v>-0.05</v>
      </c>
      <c r="AJ1389">
        <v>-0.01</v>
      </c>
      <c r="AK1389">
        <v>96</v>
      </c>
      <c r="AL1389">
        <v>3969</v>
      </c>
      <c r="AM1389">
        <v>1485</v>
      </c>
      <c r="AN1389">
        <v>-3.98</v>
      </c>
      <c r="AO1389">
        <v>1.51</v>
      </c>
      <c r="AP1389">
        <v>5148</v>
      </c>
      <c r="AQ1389">
        <v>41</v>
      </c>
      <c r="AR1389">
        <v>5.84</v>
      </c>
      <c r="AS1389">
        <v>99</v>
      </c>
      <c r="AT1389">
        <v>2.02</v>
      </c>
      <c r="AU1389">
        <v>99</v>
      </c>
      <c r="AV1389">
        <v>-3.92</v>
      </c>
      <c r="AW1389">
        <v>99</v>
      </c>
      <c r="AX1389">
        <v>-0.14000000000000001</v>
      </c>
      <c r="AY1389">
        <v>99</v>
      </c>
      <c r="AZ1389">
        <v>5.93</v>
      </c>
      <c r="BA1389">
        <v>97</v>
      </c>
      <c r="BB1389">
        <v>5.18</v>
      </c>
      <c r="BC1389">
        <v>96</v>
      </c>
      <c r="BD1389">
        <v>0</v>
      </c>
      <c r="BE1389">
        <v>-0.02</v>
      </c>
      <c r="BF1389">
        <v>0.05</v>
      </c>
      <c r="BG1389">
        <v>99</v>
      </c>
      <c r="BH1389">
        <v>0.11</v>
      </c>
      <c r="BI1389">
        <v>-11.53</v>
      </c>
      <c r="BJ1389">
        <v>63</v>
      </c>
      <c r="BK1389">
        <v>30</v>
      </c>
      <c r="BL1389">
        <v>-2.2200000000000002</v>
      </c>
      <c r="BM1389">
        <v>1.19</v>
      </c>
      <c r="BN1389">
        <v>-2.2999999999999998</v>
      </c>
      <c r="BO1389">
        <v>-2.36</v>
      </c>
      <c r="BP1389">
        <v>-1.2</v>
      </c>
      <c r="BQ1389">
        <v>0.09</v>
      </c>
      <c r="BR1389">
        <v>-1</v>
      </c>
      <c r="BS1389">
        <v>1.08</v>
      </c>
      <c r="BT1389">
        <v>0.21</v>
      </c>
      <c r="BU1389">
        <v>-3.65</v>
      </c>
      <c r="BV1389">
        <v>-4.26</v>
      </c>
      <c r="BW1389">
        <v>-3.3</v>
      </c>
      <c r="BX1389">
        <v>-1.47</v>
      </c>
      <c r="BY1389">
        <v>-2.44</v>
      </c>
      <c r="BZ1389">
        <v>-1.37</v>
      </c>
      <c r="CA1389">
        <v>-2.1800000000000002</v>
      </c>
      <c r="CB1389">
        <v>-3.24</v>
      </c>
      <c r="CC1389">
        <v>0.65</v>
      </c>
      <c r="CD1389">
        <v>0.56999999999999995</v>
      </c>
      <c r="CE1389">
        <v>-1.86</v>
      </c>
      <c r="CF1389">
        <v>-1.67</v>
      </c>
      <c r="CG1389">
        <v>0</v>
      </c>
      <c r="CH1389">
        <v>-2.2599999999999998</v>
      </c>
      <c r="CI1389">
        <v>0</v>
      </c>
      <c r="CJ1389">
        <v>-7.1</v>
      </c>
      <c r="CK1389">
        <v>99</v>
      </c>
      <c r="CL1389">
        <v>-0.6</v>
      </c>
      <c r="CM1389">
        <v>99</v>
      </c>
      <c r="CN1389">
        <v>-0.01</v>
      </c>
      <c r="CO1389">
        <v>99</v>
      </c>
      <c r="CP1389">
        <v>-12.5</v>
      </c>
      <c r="CQ1389">
        <v>99</v>
      </c>
      <c r="CR1389">
        <v>0</v>
      </c>
      <c r="CS1389">
        <v>0</v>
      </c>
      <c r="CT1389">
        <v>-16</v>
      </c>
      <c r="CU1389">
        <v>99</v>
      </c>
      <c r="CV1389">
        <v>0.16</v>
      </c>
      <c r="CW1389">
        <v>46</v>
      </c>
      <c r="CX1389" t="s">
        <v>4265</v>
      </c>
    </row>
    <row r="1390" spans="1:102" x14ac:dyDescent="0.3">
      <c r="A1390" t="str">
        <f>HYPERLINK("https://webapp.icbf.com/v2/app/bull-search/view/565522741","DSU")</f>
        <v>DSU</v>
      </c>
      <c r="B1390" t="s">
        <v>12475</v>
      </c>
      <c r="C1390" t="s">
        <v>7631</v>
      </c>
      <c r="D1390" s="1">
        <v>39492</v>
      </c>
      <c r="E1390" t="s">
        <v>92</v>
      </c>
      <c r="F1390">
        <v>78</v>
      </c>
      <c r="G1390" t="s">
        <v>93</v>
      </c>
      <c r="H1390">
        <v>114.68</v>
      </c>
      <c r="I1390">
        <v>98</v>
      </c>
      <c r="J1390">
        <v>58.02</v>
      </c>
      <c r="K1390">
        <v>99</v>
      </c>
      <c r="L1390">
        <v>42.11</v>
      </c>
      <c r="M1390">
        <v>98</v>
      </c>
      <c r="N1390">
        <v>23.13</v>
      </c>
      <c r="O1390">
        <v>99</v>
      </c>
      <c r="P1390">
        <v>-6.34</v>
      </c>
      <c r="Q1390">
        <v>99</v>
      </c>
      <c r="R1390">
        <v>-8.94</v>
      </c>
      <c r="S1390">
        <v>98</v>
      </c>
      <c r="T1390">
        <v>5.83</v>
      </c>
      <c r="U1390">
        <v>99</v>
      </c>
      <c r="V1390">
        <v>0.87</v>
      </c>
      <c r="W1390">
        <v>92</v>
      </c>
      <c r="X1390" t="s">
        <v>94</v>
      </c>
      <c r="Y1390" t="s">
        <v>329</v>
      </c>
      <c r="Z1390" t="s">
        <v>96</v>
      </c>
      <c r="AA1390" t="s">
        <v>7828</v>
      </c>
      <c r="AB1390" t="s">
        <v>5451</v>
      </c>
      <c r="AC1390">
        <v>6980</v>
      </c>
      <c r="AD1390">
        <v>2269</v>
      </c>
      <c r="AE1390">
        <v>99</v>
      </c>
      <c r="AF1390">
        <v>-178.28</v>
      </c>
      <c r="AG1390">
        <v>16.39</v>
      </c>
      <c r="AH1390">
        <v>1.34</v>
      </c>
      <c r="AI1390">
        <v>0.42</v>
      </c>
      <c r="AJ1390">
        <v>0.13</v>
      </c>
      <c r="AK1390">
        <v>98</v>
      </c>
      <c r="AL1390">
        <v>8828</v>
      </c>
      <c r="AM1390">
        <v>3258</v>
      </c>
      <c r="AN1390">
        <v>-2.17</v>
      </c>
      <c r="AO1390">
        <v>1.19</v>
      </c>
      <c r="AP1390">
        <v>13377</v>
      </c>
      <c r="AQ1390">
        <v>101</v>
      </c>
      <c r="AR1390">
        <v>7.32</v>
      </c>
      <c r="AS1390">
        <v>99</v>
      </c>
      <c r="AT1390">
        <v>2.88</v>
      </c>
      <c r="AU1390">
        <v>99</v>
      </c>
      <c r="AV1390">
        <v>-1.83</v>
      </c>
      <c r="AW1390">
        <v>99</v>
      </c>
      <c r="AX1390">
        <v>-0.33</v>
      </c>
      <c r="AY1390">
        <v>99</v>
      </c>
      <c r="AZ1390">
        <v>5.41</v>
      </c>
      <c r="BA1390">
        <v>99</v>
      </c>
      <c r="BB1390">
        <v>4.26</v>
      </c>
      <c r="BC1390">
        <v>99</v>
      </c>
      <c r="BD1390">
        <v>7.0000000000000007E-2</v>
      </c>
      <c r="BE1390">
        <v>0.01</v>
      </c>
      <c r="BF1390">
        <v>7.0000000000000007E-2</v>
      </c>
      <c r="BG1390">
        <v>99</v>
      </c>
      <c r="BH1390">
        <v>0</v>
      </c>
      <c r="BI1390">
        <v>-2.81</v>
      </c>
      <c r="BJ1390">
        <v>171</v>
      </c>
      <c r="BK1390">
        <v>95</v>
      </c>
      <c r="BL1390">
        <v>-1.81</v>
      </c>
      <c r="BM1390">
        <v>3.59</v>
      </c>
      <c r="BN1390">
        <v>-0.64</v>
      </c>
      <c r="BO1390">
        <v>-2.95</v>
      </c>
      <c r="BP1390">
        <v>-1.0900000000000001</v>
      </c>
      <c r="BQ1390">
        <v>1.64</v>
      </c>
      <c r="BR1390">
        <v>-4.8099999999999996</v>
      </c>
      <c r="BS1390">
        <v>2.23</v>
      </c>
      <c r="BT1390">
        <v>2.95</v>
      </c>
      <c r="BU1390">
        <v>-0.16</v>
      </c>
      <c r="BV1390">
        <v>-0.31</v>
      </c>
      <c r="BW1390">
        <v>-1.59</v>
      </c>
      <c r="BX1390">
        <v>-1.58</v>
      </c>
      <c r="BY1390">
        <v>0.4</v>
      </c>
      <c r="BZ1390">
        <v>-1.36</v>
      </c>
      <c r="CA1390">
        <v>-0.16</v>
      </c>
      <c r="CB1390">
        <v>-0.64</v>
      </c>
      <c r="CC1390">
        <v>0.78</v>
      </c>
      <c r="CD1390">
        <v>4</v>
      </c>
      <c r="CE1390">
        <v>-2.5099999999999998</v>
      </c>
      <c r="CF1390">
        <v>-0.64</v>
      </c>
      <c r="CG1390">
        <v>0</v>
      </c>
      <c r="CH1390">
        <v>0.36</v>
      </c>
      <c r="CI1390">
        <v>0</v>
      </c>
      <c r="CJ1390">
        <v>-6.6</v>
      </c>
      <c r="CK1390">
        <v>99</v>
      </c>
      <c r="CL1390">
        <v>-0.01</v>
      </c>
      <c r="CM1390">
        <v>99</v>
      </c>
      <c r="CN1390">
        <v>-0.3</v>
      </c>
      <c r="CO1390">
        <v>99</v>
      </c>
      <c r="CP1390">
        <v>-4.3</v>
      </c>
      <c r="CQ1390">
        <v>99</v>
      </c>
      <c r="CR1390">
        <v>0</v>
      </c>
      <c r="CS1390">
        <v>0</v>
      </c>
      <c r="CT1390">
        <v>5.9</v>
      </c>
      <c r="CU1390">
        <v>99</v>
      </c>
      <c r="CV1390">
        <v>-0.55000000000000004</v>
      </c>
      <c r="CW1390">
        <v>48</v>
      </c>
      <c r="CX1390" t="s">
        <v>3368</v>
      </c>
    </row>
    <row r="1391" spans="1:102" x14ac:dyDescent="0.3">
      <c r="A1391" t="str">
        <f>HYPERLINK("https://webapp.icbf.com/v2/app/bull-search/view/861645435","WBE")</f>
        <v>WBE</v>
      </c>
      <c r="B1391" t="s">
        <v>8276</v>
      </c>
      <c r="C1391" t="s">
        <v>8277</v>
      </c>
      <c r="D1391" s="1">
        <v>40085</v>
      </c>
      <c r="E1391" t="s">
        <v>92</v>
      </c>
      <c r="F1391">
        <v>100</v>
      </c>
      <c r="G1391" t="s">
        <v>109</v>
      </c>
      <c r="H1391">
        <v>114.6</v>
      </c>
      <c r="I1391">
        <v>86</v>
      </c>
      <c r="J1391">
        <v>55.38</v>
      </c>
      <c r="K1391">
        <v>96</v>
      </c>
      <c r="L1391">
        <v>5.35</v>
      </c>
      <c r="M1391">
        <v>82</v>
      </c>
      <c r="N1391">
        <v>42.66</v>
      </c>
      <c r="O1391">
        <v>80</v>
      </c>
      <c r="P1391">
        <v>-3.76</v>
      </c>
      <c r="Q1391">
        <v>86</v>
      </c>
      <c r="R1391">
        <v>16.66</v>
      </c>
      <c r="S1391">
        <v>78</v>
      </c>
      <c r="T1391">
        <v>-5.34</v>
      </c>
      <c r="U1391">
        <v>72</v>
      </c>
      <c r="V1391">
        <v>3.65</v>
      </c>
      <c r="W1391">
        <v>76</v>
      </c>
      <c r="X1391" t="s">
        <v>251</v>
      </c>
      <c r="Y1391" t="s">
        <v>422</v>
      </c>
      <c r="Z1391" t="s">
        <v>96</v>
      </c>
      <c r="AA1391" t="s">
        <v>1376</v>
      </c>
      <c r="AB1391" t="s">
        <v>8278</v>
      </c>
      <c r="AC1391">
        <v>41</v>
      </c>
      <c r="AD1391">
        <v>32</v>
      </c>
      <c r="AE1391">
        <v>96</v>
      </c>
      <c r="AF1391">
        <v>257.26</v>
      </c>
      <c r="AG1391">
        <v>8.44</v>
      </c>
      <c r="AH1391">
        <v>10.37</v>
      </c>
      <c r="AI1391">
        <v>-0.03</v>
      </c>
      <c r="AJ1391">
        <v>0.03</v>
      </c>
      <c r="AK1391">
        <v>82</v>
      </c>
      <c r="AL1391">
        <v>40</v>
      </c>
      <c r="AM1391">
        <v>32</v>
      </c>
      <c r="AN1391">
        <v>0.74</v>
      </c>
      <c r="AO1391">
        <v>1.18</v>
      </c>
      <c r="AP1391">
        <v>88</v>
      </c>
      <c r="AQ1391">
        <v>2</v>
      </c>
      <c r="AR1391">
        <v>4.1399999999999997</v>
      </c>
      <c r="AS1391">
        <v>66</v>
      </c>
      <c r="AT1391">
        <v>2.06</v>
      </c>
      <c r="AU1391">
        <v>84</v>
      </c>
      <c r="AV1391">
        <v>-3.45</v>
      </c>
      <c r="AW1391">
        <v>91</v>
      </c>
      <c r="AX1391">
        <v>0.27</v>
      </c>
      <c r="AY1391">
        <v>70</v>
      </c>
      <c r="AZ1391">
        <v>5.71</v>
      </c>
      <c r="BA1391">
        <v>59</v>
      </c>
      <c r="BB1391">
        <v>5.14</v>
      </c>
      <c r="BC1391">
        <v>61</v>
      </c>
      <c r="BD1391">
        <v>-0.09</v>
      </c>
      <c r="BE1391">
        <v>-7.0000000000000007E-2</v>
      </c>
      <c r="BF1391">
        <v>-0.1</v>
      </c>
      <c r="BG1391">
        <v>88</v>
      </c>
      <c r="BH1391">
        <v>0.08</v>
      </c>
      <c r="BI1391">
        <v>-2.5299999999999998</v>
      </c>
      <c r="BJ1391">
        <v>4</v>
      </c>
      <c r="BK1391">
        <v>4</v>
      </c>
      <c r="BL1391">
        <v>0.49</v>
      </c>
      <c r="BM1391">
        <v>0.69</v>
      </c>
      <c r="BN1391">
        <v>-0.17</v>
      </c>
      <c r="BO1391">
        <v>-0.14000000000000001</v>
      </c>
      <c r="BP1391">
        <v>2.13</v>
      </c>
      <c r="BQ1391">
        <v>-1.3</v>
      </c>
      <c r="BR1391">
        <v>-2.95</v>
      </c>
      <c r="BS1391">
        <v>-0.31</v>
      </c>
      <c r="BT1391">
        <v>2.9</v>
      </c>
      <c r="BU1391">
        <v>1.01</v>
      </c>
      <c r="BV1391">
        <v>0.72</v>
      </c>
      <c r="BW1391">
        <v>1.01</v>
      </c>
      <c r="BX1391">
        <v>1.17</v>
      </c>
      <c r="BY1391">
        <v>0.02</v>
      </c>
      <c r="BZ1391">
        <v>0.11</v>
      </c>
      <c r="CA1391">
        <v>0.94</v>
      </c>
      <c r="CB1391">
        <v>1.0900000000000001</v>
      </c>
      <c r="CC1391">
        <v>0.93</v>
      </c>
      <c r="CD1391">
        <v>0.48</v>
      </c>
      <c r="CE1391">
        <v>-0.68</v>
      </c>
      <c r="CF1391">
        <v>0.39</v>
      </c>
      <c r="CG1391">
        <v>0</v>
      </c>
      <c r="CH1391">
        <v>1.46</v>
      </c>
      <c r="CI1391">
        <v>0</v>
      </c>
      <c r="CJ1391">
        <v>0.1</v>
      </c>
      <c r="CK1391">
        <v>88</v>
      </c>
      <c r="CL1391">
        <v>-0.92</v>
      </c>
      <c r="CM1391">
        <v>85</v>
      </c>
      <c r="CN1391">
        <v>-0.46</v>
      </c>
      <c r="CO1391">
        <v>83</v>
      </c>
      <c r="CP1391">
        <v>1.4</v>
      </c>
      <c r="CQ1391">
        <v>78</v>
      </c>
      <c r="CR1391">
        <v>0</v>
      </c>
      <c r="CS1391">
        <v>0</v>
      </c>
      <c r="CT1391">
        <v>21</v>
      </c>
      <c r="CU1391">
        <v>72</v>
      </c>
      <c r="CV1391">
        <v>0.18</v>
      </c>
      <c r="CW1391">
        <v>44</v>
      </c>
      <c r="CX1391" t="s">
        <v>316</v>
      </c>
    </row>
    <row r="1392" spans="1:102" x14ac:dyDescent="0.3">
      <c r="A1392" t="str">
        <f>HYPERLINK("https://webapp.icbf.com/v2/app/bull-search/view/1231264434","S3135")</f>
        <v>S3135</v>
      </c>
      <c r="B1392" t="s">
        <v>13850</v>
      </c>
      <c r="C1392" t="s">
        <v>13851</v>
      </c>
      <c r="D1392" s="1">
        <v>41501</v>
      </c>
      <c r="E1392" t="s">
        <v>92</v>
      </c>
      <c r="F1392">
        <v>100</v>
      </c>
      <c r="G1392" t="s">
        <v>109</v>
      </c>
      <c r="H1392">
        <v>114.55</v>
      </c>
      <c r="I1392">
        <v>76</v>
      </c>
      <c r="J1392">
        <v>126.69</v>
      </c>
      <c r="K1392">
        <v>92</v>
      </c>
      <c r="L1392">
        <v>-41.64</v>
      </c>
      <c r="M1392">
        <v>83</v>
      </c>
      <c r="N1392">
        <v>48.51</v>
      </c>
      <c r="O1392">
        <v>61</v>
      </c>
      <c r="P1392">
        <v>-8.49</v>
      </c>
      <c r="Q1392">
        <v>46</v>
      </c>
      <c r="R1392">
        <v>-2.67</v>
      </c>
      <c r="S1392">
        <v>73</v>
      </c>
      <c r="T1392">
        <v>-12.67</v>
      </c>
      <c r="U1392">
        <v>39</v>
      </c>
      <c r="V1392">
        <v>4.82</v>
      </c>
      <c r="W1392">
        <v>57</v>
      </c>
      <c r="X1392" t="s">
        <v>110</v>
      </c>
      <c r="Y1392" t="s">
        <v>457</v>
      </c>
      <c r="Z1392" t="s">
        <v>96</v>
      </c>
      <c r="AA1392" t="s">
        <v>465</v>
      </c>
      <c r="AB1392" t="s">
        <v>13852</v>
      </c>
      <c r="AC1392">
        <v>0</v>
      </c>
      <c r="AD1392">
        <v>0</v>
      </c>
      <c r="AE1392">
        <v>92</v>
      </c>
      <c r="AF1392">
        <v>920.85</v>
      </c>
      <c r="AG1392">
        <v>27.76</v>
      </c>
      <c r="AH1392">
        <v>25.82</v>
      </c>
      <c r="AI1392">
        <v>-0.13</v>
      </c>
      <c r="AJ1392">
        <v>-0.08</v>
      </c>
      <c r="AK1392">
        <v>83</v>
      </c>
      <c r="AL1392">
        <v>0</v>
      </c>
      <c r="AM1392">
        <v>0</v>
      </c>
      <c r="AN1392">
        <v>3.86</v>
      </c>
      <c r="AO1392">
        <v>0.56000000000000005</v>
      </c>
      <c r="AP1392">
        <v>3</v>
      </c>
      <c r="AQ1392">
        <v>0</v>
      </c>
      <c r="AR1392">
        <v>7.12</v>
      </c>
      <c r="AS1392">
        <v>57</v>
      </c>
      <c r="AT1392">
        <v>2.2000000000000002</v>
      </c>
      <c r="AU1392">
        <v>90</v>
      </c>
      <c r="AV1392">
        <v>-4.74</v>
      </c>
      <c r="AW1392">
        <v>56</v>
      </c>
      <c r="AX1392">
        <v>-0.49</v>
      </c>
      <c r="AY1392">
        <v>47</v>
      </c>
      <c r="AZ1392">
        <v>5.65</v>
      </c>
      <c r="BA1392">
        <v>42</v>
      </c>
      <c r="BB1392">
        <v>5.04</v>
      </c>
      <c r="BC1392">
        <v>38</v>
      </c>
      <c r="BD1392">
        <v>0.02</v>
      </c>
      <c r="BE1392">
        <v>0.02</v>
      </c>
      <c r="BF1392">
        <v>-0.01</v>
      </c>
      <c r="BG1392">
        <v>90</v>
      </c>
      <c r="BH1392">
        <v>0.03</v>
      </c>
      <c r="BI1392">
        <v>-12.08</v>
      </c>
      <c r="BJ1392">
        <v>0</v>
      </c>
      <c r="BK1392">
        <v>0</v>
      </c>
      <c r="BL1392">
        <v>1.48</v>
      </c>
      <c r="BM1392">
        <v>1.26</v>
      </c>
      <c r="BN1392">
        <v>1.48</v>
      </c>
      <c r="BO1392">
        <v>1.06</v>
      </c>
      <c r="BP1392">
        <v>0.05</v>
      </c>
      <c r="BQ1392">
        <v>0.15</v>
      </c>
      <c r="BR1392">
        <v>-0.21</v>
      </c>
      <c r="BS1392">
        <v>0.12</v>
      </c>
      <c r="BT1392">
        <v>-0.31</v>
      </c>
      <c r="BU1392">
        <v>1.59</v>
      </c>
      <c r="BV1392">
        <v>2.62</v>
      </c>
      <c r="BW1392">
        <v>2.2999999999999998</v>
      </c>
      <c r="BX1392">
        <v>0.77</v>
      </c>
      <c r="BY1392">
        <v>0.9</v>
      </c>
      <c r="BZ1392">
        <v>1.54</v>
      </c>
      <c r="CA1392">
        <v>1.54</v>
      </c>
      <c r="CB1392">
        <v>1.9</v>
      </c>
      <c r="CC1392">
        <v>0.28000000000000003</v>
      </c>
      <c r="CD1392">
        <v>-0.19</v>
      </c>
      <c r="CE1392">
        <v>1.07</v>
      </c>
      <c r="CF1392">
        <v>0.68</v>
      </c>
      <c r="CG1392">
        <v>0</v>
      </c>
      <c r="CH1392">
        <v>0.53</v>
      </c>
      <c r="CI1392">
        <v>0</v>
      </c>
      <c r="CJ1392">
        <v>-2.8</v>
      </c>
      <c r="CK1392">
        <v>47</v>
      </c>
      <c r="CL1392">
        <v>-1.25</v>
      </c>
      <c r="CM1392">
        <v>46</v>
      </c>
      <c r="CN1392">
        <v>-0.64</v>
      </c>
      <c r="CO1392">
        <v>46</v>
      </c>
      <c r="CP1392">
        <v>5.2</v>
      </c>
      <c r="CQ1392">
        <v>41</v>
      </c>
      <c r="CR1392">
        <v>0</v>
      </c>
      <c r="CS1392">
        <v>0</v>
      </c>
      <c r="CT1392">
        <v>30.9</v>
      </c>
      <c r="CU1392">
        <v>39</v>
      </c>
      <c r="CV1392">
        <v>0.26</v>
      </c>
      <c r="CW1392">
        <v>35</v>
      </c>
      <c r="CX1392" t="s">
        <v>1572</v>
      </c>
    </row>
    <row r="1393" spans="1:102" x14ac:dyDescent="0.3">
      <c r="A1393" t="str">
        <f>HYPERLINK("https://webapp.icbf.com/v2/app/bull-search/view/1485024886","JE4275")</f>
        <v>JE4275</v>
      </c>
      <c r="B1393" t="s">
        <v>13820</v>
      </c>
      <c r="C1393" t="s">
        <v>13821</v>
      </c>
      <c r="D1393" s="1">
        <v>42365</v>
      </c>
      <c r="E1393" t="s">
        <v>227</v>
      </c>
      <c r="F1393">
        <v>0</v>
      </c>
      <c r="G1393" t="s">
        <v>435</v>
      </c>
      <c r="H1393">
        <v>114.5</v>
      </c>
      <c r="I1393">
        <v>61</v>
      </c>
      <c r="J1393">
        <v>60.84</v>
      </c>
      <c r="K1393">
        <v>76</v>
      </c>
      <c r="L1393">
        <v>53.74</v>
      </c>
      <c r="M1393">
        <v>56</v>
      </c>
      <c r="N1393">
        <v>-12.31</v>
      </c>
      <c r="O1393">
        <v>76</v>
      </c>
      <c r="P1393">
        <v>-72.17</v>
      </c>
      <c r="Q1393">
        <v>35</v>
      </c>
      <c r="R1393">
        <v>6.44</v>
      </c>
      <c r="S1393">
        <v>55</v>
      </c>
      <c r="T1393">
        <v>72.66</v>
      </c>
      <c r="U1393">
        <v>35</v>
      </c>
      <c r="V1393">
        <v>5.3</v>
      </c>
      <c r="W1393">
        <v>54</v>
      </c>
      <c r="X1393" t="s">
        <v>94</v>
      </c>
      <c r="Y1393" t="s">
        <v>2255</v>
      </c>
      <c r="Z1393">
        <v>0</v>
      </c>
      <c r="AA1393" t="s">
        <v>13822</v>
      </c>
      <c r="AB1393" t="s">
        <v>144</v>
      </c>
      <c r="AC1393">
        <v>1</v>
      </c>
      <c r="AD1393">
        <v>1</v>
      </c>
      <c r="AE1393">
        <v>76</v>
      </c>
      <c r="AF1393">
        <v>-560.03</v>
      </c>
      <c r="AG1393">
        <v>17.2</v>
      </c>
      <c r="AH1393">
        <v>-4.3099999999999996</v>
      </c>
      <c r="AI1393">
        <v>0.74</v>
      </c>
      <c r="AJ1393">
        <v>0.28000000000000003</v>
      </c>
      <c r="AK1393">
        <v>56</v>
      </c>
      <c r="AL1393">
        <v>0</v>
      </c>
      <c r="AM1393">
        <v>0</v>
      </c>
      <c r="AN1393">
        <v>0.51</v>
      </c>
      <c r="AO1393">
        <v>4.84</v>
      </c>
      <c r="AP1393">
        <v>153</v>
      </c>
      <c r="AQ1393">
        <v>1</v>
      </c>
      <c r="AR1393">
        <v>3.68</v>
      </c>
      <c r="AS1393">
        <v>78</v>
      </c>
      <c r="AT1393">
        <v>2.0099999999999998</v>
      </c>
      <c r="AU1393">
        <v>77</v>
      </c>
      <c r="AV1393">
        <v>0.8</v>
      </c>
      <c r="AW1393">
        <v>93</v>
      </c>
      <c r="AX1393">
        <v>9.11</v>
      </c>
      <c r="AY1393">
        <v>75</v>
      </c>
      <c r="AZ1393">
        <v>6.3</v>
      </c>
      <c r="BA1393">
        <v>36</v>
      </c>
      <c r="BB1393">
        <v>4.88</v>
      </c>
      <c r="BC1393">
        <v>36</v>
      </c>
      <c r="BD1393">
        <v>-0.06</v>
      </c>
      <c r="BE1393">
        <v>-0.02</v>
      </c>
      <c r="BF1393">
        <v>-0.01</v>
      </c>
      <c r="BG1393">
        <v>59</v>
      </c>
      <c r="BH1393">
        <v>0.15</v>
      </c>
      <c r="BI1393">
        <v>0.26</v>
      </c>
      <c r="BJ1393">
        <v>0</v>
      </c>
      <c r="BK1393">
        <v>0</v>
      </c>
      <c r="BL1393">
        <v>-1.18</v>
      </c>
      <c r="BM1393">
        <v>-2.1800000000000002</v>
      </c>
      <c r="BN1393">
        <v>-0.64</v>
      </c>
      <c r="BO1393">
        <v>1.49</v>
      </c>
      <c r="BP1393">
        <v>0.11</v>
      </c>
      <c r="BQ1393">
        <v>-5.51</v>
      </c>
      <c r="BR1393">
        <v>2.56</v>
      </c>
      <c r="BS1393">
        <v>6.65</v>
      </c>
      <c r="BT1393">
        <v>-1.25</v>
      </c>
      <c r="BU1393">
        <v>1.1299999999999999</v>
      </c>
      <c r="BV1393">
        <v>1.21</v>
      </c>
      <c r="BW1393">
        <v>-0.71</v>
      </c>
      <c r="BX1393">
        <v>-1.29</v>
      </c>
      <c r="BY1393">
        <v>0.67</v>
      </c>
      <c r="BZ1393">
        <v>-0.4</v>
      </c>
      <c r="CA1393">
        <v>2.4500000000000002</v>
      </c>
      <c r="CB1393">
        <v>1.01</v>
      </c>
      <c r="CC1393">
        <v>4.18</v>
      </c>
      <c r="CD1393">
        <v>-2.4300000000000002</v>
      </c>
      <c r="CE1393">
        <v>1.48</v>
      </c>
      <c r="CF1393">
        <v>-1.4</v>
      </c>
      <c r="CG1393">
        <v>0</v>
      </c>
      <c r="CH1393">
        <v>-0.28000000000000003</v>
      </c>
      <c r="CI1393">
        <v>0</v>
      </c>
      <c r="CJ1393">
        <v>-38.6</v>
      </c>
      <c r="CK1393">
        <v>35</v>
      </c>
      <c r="CL1393">
        <v>-1.41</v>
      </c>
      <c r="CM1393">
        <v>35</v>
      </c>
      <c r="CN1393">
        <v>-0.31</v>
      </c>
      <c r="CO1393">
        <v>35</v>
      </c>
      <c r="CP1393">
        <v>-53.2</v>
      </c>
      <c r="CQ1393">
        <v>35</v>
      </c>
      <c r="CR1393">
        <v>0</v>
      </c>
      <c r="CS1393">
        <v>0</v>
      </c>
      <c r="CT1393">
        <v>-84.4</v>
      </c>
      <c r="CU1393">
        <v>35</v>
      </c>
      <c r="CV1393">
        <v>-0.3</v>
      </c>
      <c r="CW1393">
        <v>32</v>
      </c>
      <c r="CX1393" t="s">
        <v>2181</v>
      </c>
    </row>
    <row r="1394" spans="1:102" x14ac:dyDescent="0.3">
      <c r="A1394" t="str">
        <f>HYPERLINK("https://webapp.icbf.com/v2/app/bull-search/view/77859640","BFU")</f>
        <v>BFU</v>
      </c>
      <c r="B1394" t="s">
        <v>11036</v>
      </c>
      <c r="C1394" t="s">
        <v>5324</v>
      </c>
      <c r="D1394" s="1">
        <v>32403</v>
      </c>
      <c r="E1394" t="s">
        <v>108</v>
      </c>
      <c r="F1394">
        <v>13</v>
      </c>
      <c r="G1394" t="s">
        <v>93</v>
      </c>
      <c r="H1394">
        <v>114.4</v>
      </c>
      <c r="I1394">
        <v>97</v>
      </c>
      <c r="J1394">
        <v>-14.71</v>
      </c>
      <c r="K1394">
        <v>99</v>
      </c>
      <c r="L1394">
        <v>118</v>
      </c>
      <c r="M1394">
        <v>95</v>
      </c>
      <c r="N1394">
        <v>22.26</v>
      </c>
      <c r="O1394">
        <v>98</v>
      </c>
      <c r="P1394">
        <v>-14.07</v>
      </c>
      <c r="Q1394">
        <v>99</v>
      </c>
      <c r="R1394">
        <v>3.93</v>
      </c>
      <c r="S1394">
        <v>96</v>
      </c>
      <c r="T1394">
        <v>15.68</v>
      </c>
      <c r="U1394">
        <v>98</v>
      </c>
      <c r="V1394">
        <v>-16.690000000000001</v>
      </c>
      <c r="W1394">
        <v>96</v>
      </c>
      <c r="X1394" t="s">
        <v>102</v>
      </c>
      <c r="Y1394" t="s">
        <v>95</v>
      </c>
      <c r="Z1394" t="s">
        <v>96</v>
      </c>
      <c r="AA1394" t="s">
        <v>2543</v>
      </c>
      <c r="AB1394" t="s">
        <v>11037</v>
      </c>
      <c r="AC1394">
        <v>1243</v>
      </c>
      <c r="AD1394">
        <v>501</v>
      </c>
      <c r="AE1394">
        <v>99</v>
      </c>
      <c r="AF1394">
        <v>-255.36</v>
      </c>
      <c r="AG1394">
        <v>-1.02</v>
      </c>
      <c r="AH1394">
        <v>-6.05</v>
      </c>
      <c r="AI1394">
        <v>0.16</v>
      </c>
      <c r="AJ1394">
        <v>0.05</v>
      </c>
      <c r="AK1394">
        <v>95</v>
      </c>
      <c r="AL1394">
        <v>2024</v>
      </c>
      <c r="AM1394">
        <v>904</v>
      </c>
      <c r="AN1394">
        <v>-6.44</v>
      </c>
      <c r="AO1394">
        <v>2.97</v>
      </c>
      <c r="AP1394">
        <v>401</v>
      </c>
      <c r="AQ1394">
        <v>25</v>
      </c>
      <c r="AR1394">
        <v>5.6</v>
      </c>
      <c r="AS1394">
        <v>95</v>
      </c>
      <c r="AT1394">
        <v>2.13</v>
      </c>
      <c r="AU1394">
        <v>97</v>
      </c>
      <c r="AV1394">
        <v>-2.33</v>
      </c>
      <c r="AW1394">
        <v>99</v>
      </c>
      <c r="AX1394">
        <v>-0.47</v>
      </c>
      <c r="AY1394">
        <v>98</v>
      </c>
      <c r="AZ1394">
        <v>7.87</v>
      </c>
      <c r="BA1394">
        <v>92</v>
      </c>
      <c r="BB1394">
        <v>6.35</v>
      </c>
      <c r="BC1394">
        <v>96</v>
      </c>
      <c r="BD1394">
        <v>0.01</v>
      </c>
      <c r="BE1394">
        <v>-0.03</v>
      </c>
      <c r="BF1394">
        <v>-0.05</v>
      </c>
      <c r="BG1394">
        <v>99</v>
      </c>
      <c r="BH1394">
        <v>-0.31</v>
      </c>
      <c r="BI1394">
        <v>17.98</v>
      </c>
      <c r="BJ1394">
        <v>94</v>
      </c>
      <c r="BK1394">
        <v>57</v>
      </c>
      <c r="BL1394">
        <v>-2.25</v>
      </c>
      <c r="BM1394">
        <v>2.02</v>
      </c>
      <c r="BN1394">
        <v>-1.71</v>
      </c>
      <c r="BO1394">
        <v>-2.58</v>
      </c>
      <c r="BP1394">
        <v>-1.65</v>
      </c>
      <c r="BQ1394">
        <v>2.0499999999999998</v>
      </c>
      <c r="BR1394">
        <v>-1.96</v>
      </c>
      <c r="BS1394">
        <v>-2.52</v>
      </c>
      <c r="BT1394">
        <v>1.41</v>
      </c>
      <c r="BU1394">
        <v>-1.1200000000000001</v>
      </c>
      <c r="BV1394">
        <v>-3.06</v>
      </c>
      <c r="BW1394">
        <v>-3.12</v>
      </c>
      <c r="BX1394">
        <v>-1.56</v>
      </c>
      <c r="BY1394">
        <v>-1.96</v>
      </c>
      <c r="BZ1394">
        <v>-2.4300000000000002</v>
      </c>
      <c r="CA1394">
        <v>-2.2000000000000002</v>
      </c>
      <c r="CB1394">
        <v>-2.21</v>
      </c>
      <c r="CC1394">
        <v>-1.25</v>
      </c>
      <c r="CD1394">
        <v>2.44</v>
      </c>
      <c r="CE1394">
        <v>-2.17</v>
      </c>
      <c r="CF1394">
        <v>-1.88</v>
      </c>
      <c r="CG1394">
        <v>0</v>
      </c>
      <c r="CH1394">
        <v>-2.0099999999999998</v>
      </c>
      <c r="CI1394">
        <v>0</v>
      </c>
      <c r="CJ1394">
        <v>-5.8</v>
      </c>
      <c r="CK1394">
        <v>99</v>
      </c>
      <c r="CL1394">
        <v>-0.26</v>
      </c>
      <c r="CM1394">
        <v>99</v>
      </c>
      <c r="CN1394">
        <v>0.14000000000000001</v>
      </c>
      <c r="CO1394">
        <v>99</v>
      </c>
      <c r="CP1394">
        <v>-11.6</v>
      </c>
      <c r="CQ1394">
        <v>99</v>
      </c>
      <c r="CR1394">
        <v>0</v>
      </c>
      <c r="CS1394">
        <v>0</v>
      </c>
      <c r="CT1394">
        <v>-7.4</v>
      </c>
      <c r="CU1394">
        <v>98</v>
      </c>
      <c r="CV1394">
        <v>7.0000000000000007E-2</v>
      </c>
      <c r="CW1394">
        <v>46</v>
      </c>
      <c r="CX1394" t="s">
        <v>11038</v>
      </c>
    </row>
    <row r="1395" spans="1:102" x14ac:dyDescent="0.3">
      <c r="A1395" t="str">
        <f>HYPERLINK("https://webapp.icbf.com/v2/app/bull-search/view/348959148","RVS")</f>
        <v>RVS</v>
      </c>
      <c r="B1395" t="s">
        <v>11779</v>
      </c>
      <c r="C1395" t="s">
        <v>11780</v>
      </c>
      <c r="D1395" s="1">
        <v>38052</v>
      </c>
      <c r="E1395" t="s">
        <v>92</v>
      </c>
      <c r="F1395">
        <v>91</v>
      </c>
      <c r="G1395" t="s">
        <v>93</v>
      </c>
      <c r="H1395">
        <v>114.26</v>
      </c>
      <c r="I1395">
        <v>86</v>
      </c>
      <c r="J1395">
        <v>36.909999999999997</v>
      </c>
      <c r="K1395">
        <v>96</v>
      </c>
      <c r="L1395">
        <v>31.17</v>
      </c>
      <c r="M1395">
        <v>77</v>
      </c>
      <c r="N1395">
        <v>38.61</v>
      </c>
      <c r="O1395">
        <v>84</v>
      </c>
      <c r="P1395">
        <v>-12.94</v>
      </c>
      <c r="Q1395">
        <v>91</v>
      </c>
      <c r="R1395">
        <v>2.52</v>
      </c>
      <c r="S1395">
        <v>80</v>
      </c>
      <c r="T1395">
        <v>18.41</v>
      </c>
      <c r="U1395">
        <v>83</v>
      </c>
      <c r="V1395">
        <v>-0.42</v>
      </c>
      <c r="W1395">
        <v>77</v>
      </c>
      <c r="X1395" t="s">
        <v>94</v>
      </c>
      <c r="Y1395" t="s">
        <v>228</v>
      </c>
      <c r="Z1395" t="s">
        <v>96</v>
      </c>
      <c r="AA1395" t="s">
        <v>771</v>
      </c>
      <c r="AB1395" t="s">
        <v>11781</v>
      </c>
      <c r="AC1395">
        <v>60</v>
      </c>
      <c r="AD1395">
        <v>48</v>
      </c>
      <c r="AE1395">
        <v>96</v>
      </c>
      <c r="AF1395">
        <v>-12.89</v>
      </c>
      <c r="AG1395">
        <v>4.04</v>
      </c>
      <c r="AH1395">
        <v>4.6500000000000004</v>
      </c>
      <c r="AI1395">
        <v>0.08</v>
      </c>
      <c r="AJ1395">
        <v>0.09</v>
      </c>
      <c r="AK1395">
        <v>77</v>
      </c>
      <c r="AL1395">
        <v>64</v>
      </c>
      <c r="AM1395">
        <v>49</v>
      </c>
      <c r="AN1395">
        <v>-1.4</v>
      </c>
      <c r="AO1395">
        <v>1.0900000000000001</v>
      </c>
      <c r="AP1395">
        <v>137</v>
      </c>
      <c r="AQ1395">
        <v>6</v>
      </c>
      <c r="AR1395">
        <v>5.43</v>
      </c>
      <c r="AS1395">
        <v>70</v>
      </c>
      <c r="AT1395">
        <v>2.2599999999999998</v>
      </c>
      <c r="AU1395">
        <v>85</v>
      </c>
      <c r="AV1395">
        <v>-2.4</v>
      </c>
      <c r="AW1395">
        <v>95</v>
      </c>
      <c r="AX1395">
        <v>-0.84</v>
      </c>
      <c r="AY1395">
        <v>78</v>
      </c>
      <c r="AZ1395">
        <v>4.9000000000000004</v>
      </c>
      <c r="BA1395">
        <v>62</v>
      </c>
      <c r="BB1395">
        <v>4.25</v>
      </c>
      <c r="BC1395">
        <v>66</v>
      </c>
      <c r="BD1395">
        <v>-0.03</v>
      </c>
      <c r="BE1395">
        <v>-0.02</v>
      </c>
      <c r="BF1395">
        <v>0.03</v>
      </c>
      <c r="BG1395">
        <v>87</v>
      </c>
      <c r="BH1395">
        <v>7.0000000000000007E-2</v>
      </c>
      <c r="BI1395">
        <v>9.4600000000000009</v>
      </c>
      <c r="BJ1395">
        <v>26</v>
      </c>
      <c r="BK1395">
        <v>20</v>
      </c>
      <c r="BL1395">
        <v>0</v>
      </c>
      <c r="BM1395">
        <v>0.64</v>
      </c>
      <c r="BN1395">
        <v>-0.15</v>
      </c>
      <c r="BO1395">
        <v>-0.34</v>
      </c>
      <c r="BP1395">
        <v>0.33</v>
      </c>
      <c r="BQ1395">
        <v>0.74</v>
      </c>
      <c r="BR1395">
        <v>-1.83</v>
      </c>
      <c r="BS1395">
        <v>0.78</v>
      </c>
      <c r="BT1395">
        <v>1.1200000000000001</v>
      </c>
      <c r="BU1395">
        <v>0.43</v>
      </c>
      <c r="BV1395">
        <v>0.38</v>
      </c>
      <c r="BW1395">
        <v>0.09</v>
      </c>
      <c r="BX1395">
        <v>0.08</v>
      </c>
      <c r="BY1395">
        <v>1.3</v>
      </c>
      <c r="BZ1395">
        <v>-2.95</v>
      </c>
      <c r="CA1395">
        <v>0.92</v>
      </c>
      <c r="CB1395">
        <v>0.4</v>
      </c>
      <c r="CC1395">
        <v>1.39</v>
      </c>
      <c r="CD1395">
        <v>-0.04</v>
      </c>
      <c r="CE1395">
        <v>-0.49</v>
      </c>
      <c r="CF1395">
        <v>0.14000000000000001</v>
      </c>
      <c r="CG1395">
        <v>0</v>
      </c>
      <c r="CH1395">
        <v>0.15</v>
      </c>
      <c r="CI1395">
        <v>0</v>
      </c>
      <c r="CJ1395">
        <v>-5.3</v>
      </c>
      <c r="CK1395">
        <v>92</v>
      </c>
      <c r="CL1395">
        <v>-0.56000000000000005</v>
      </c>
      <c r="CM1395">
        <v>90</v>
      </c>
      <c r="CN1395">
        <v>-0.19</v>
      </c>
      <c r="CO1395">
        <v>89</v>
      </c>
      <c r="CP1395">
        <v>-13.8</v>
      </c>
      <c r="CQ1395">
        <v>86</v>
      </c>
      <c r="CR1395">
        <v>0</v>
      </c>
      <c r="CS1395">
        <v>0</v>
      </c>
      <c r="CT1395">
        <v>-11.1</v>
      </c>
      <c r="CU1395">
        <v>83</v>
      </c>
      <c r="CV1395">
        <v>7.0000000000000007E-2</v>
      </c>
      <c r="CW1395">
        <v>46</v>
      </c>
      <c r="CX1395" t="s">
        <v>1254</v>
      </c>
    </row>
    <row r="1396" spans="1:102" x14ac:dyDescent="0.3">
      <c r="A1396" t="str">
        <f>HYPERLINK("https://webapp.icbf.com/v2/app/bull-search/view/133725820","RMC")</f>
        <v>RMC</v>
      </c>
      <c r="B1396" t="s">
        <v>14393</v>
      </c>
      <c r="C1396" t="s">
        <v>14394</v>
      </c>
      <c r="D1396" s="1">
        <v>37529</v>
      </c>
      <c r="E1396" t="s">
        <v>92</v>
      </c>
      <c r="F1396">
        <v>88</v>
      </c>
      <c r="G1396" t="s">
        <v>93</v>
      </c>
      <c r="H1396">
        <v>114.25</v>
      </c>
      <c r="I1396">
        <v>91</v>
      </c>
      <c r="J1396">
        <v>39.6</v>
      </c>
      <c r="K1396">
        <v>98</v>
      </c>
      <c r="L1396">
        <v>48.59</v>
      </c>
      <c r="M1396">
        <v>84</v>
      </c>
      <c r="N1396">
        <v>24.22</v>
      </c>
      <c r="O1396">
        <v>89</v>
      </c>
      <c r="P1396">
        <v>-7.26</v>
      </c>
      <c r="Q1396">
        <v>94</v>
      </c>
      <c r="R1396">
        <v>3.87</v>
      </c>
      <c r="S1396">
        <v>86</v>
      </c>
      <c r="T1396">
        <v>16.12</v>
      </c>
      <c r="U1396">
        <v>92</v>
      </c>
      <c r="V1396">
        <v>-10.89</v>
      </c>
      <c r="W1396">
        <v>85</v>
      </c>
      <c r="X1396" t="s">
        <v>94</v>
      </c>
      <c r="Y1396" t="s">
        <v>95</v>
      </c>
      <c r="Z1396" t="s">
        <v>96</v>
      </c>
      <c r="AA1396" t="s">
        <v>771</v>
      </c>
      <c r="AB1396" t="s">
        <v>5460</v>
      </c>
      <c r="AC1396">
        <v>137</v>
      </c>
      <c r="AD1396">
        <v>98</v>
      </c>
      <c r="AE1396">
        <v>98</v>
      </c>
      <c r="AF1396">
        <v>20.79</v>
      </c>
      <c r="AG1396">
        <v>5.04</v>
      </c>
      <c r="AH1396">
        <v>5.27</v>
      </c>
      <c r="AI1396">
        <v>7.0000000000000007E-2</v>
      </c>
      <c r="AJ1396">
        <v>0.08</v>
      </c>
      <c r="AK1396">
        <v>84</v>
      </c>
      <c r="AL1396">
        <v>147</v>
      </c>
      <c r="AM1396">
        <v>103</v>
      </c>
      <c r="AN1396">
        <v>-2.2799999999999998</v>
      </c>
      <c r="AO1396">
        <v>1.6</v>
      </c>
      <c r="AP1396">
        <v>258</v>
      </c>
      <c r="AQ1396">
        <v>2</v>
      </c>
      <c r="AR1396">
        <v>6.48</v>
      </c>
      <c r="AS1396">
        <v>75</v>
      </c>
      <c r="AT1396">
        <v>2.52</v>
      </c>
      <c r="AU1396">
        <v>91</v>
      </c>
      <c r="AV1396">
        <v>-2.35</v>
      </c>
      <c r="AW1396">
        <v>96</v>
      </c>
      <c r="AX1396">
        <v>1.25</v>
      </c>
      <c r="AY1396">
        <v>87</v>
      </c>
      <c r="AZ1396">
        <v>5.88</v>
      </c>
      <c r="BA1396">
        <v>72</v>
      </c>
      <c r="BB1396">
        <v>4.95</v>
      </c>
      <c r="BC1396">
        <v>76</v>
      </c>
      <c r="BD1396">
        <v>-0.06</v>
      </c>
      <c r="BE1396">
        <v>-0.01</v>
      </c>
      <c r="BF1396">
        <v>0.03</v>
      </c>
      <c r="BG1396">
        <v>92</v>
      </c>
      <c r="BH1396">
        <v>-0.14000000000000001</v>
      </c>
      <c r="BI1396">
        <v>18.920000000000002</v>
      </c>
      <c r="BJ1396">
        <v>50</v>
      </c>
      <c r="BK1396">
        <v>33</v>
      </c>
      <c r="BL1396">
        <v>-0.51</v>
      </c>
      <c r="BM1396">
        <v>-0.56000000000000005</v>
      </c>
      <c r="BN1396">
        <v>-0.96</v>
      </c>
      <c r="BO1396">
        <v>-0.4</v>
      </c>
      <c r="BP1396">
        <v>-0.22</v>
      </c>
      <c r="BQ1396">
        <v>-1.3</v>
      </c>
      <c r="BR1396">
        <v>-0.71</v>
      </c>
      <c r="BS1396">
        <v>-1.99</v>
      </c>
      <c r="BT1396">
        <v>0.44</v>
      </c>
      <c r="BU1396">
        <v>-1.77</v>
      </c>
      <c r="BV1396">
        <v>-1.41</v>
      </c>
      <c r="BW1396">
        <v>-0.88</v>
      </c>
      <c r="BX1396">
        <v>-0.83</v>
      </c>
      <c r="BY1396">
        <v>-0.11</v>
      </c>
      <c r="BZ1396">
        <v>-0.57999999999999996</v>
      </c>
      <c r="CA1396">
        <v>-1.1399999999999999</v>
      </c>
      <c r="CB1396">
        <v>-0.91</v>
      </c>
      <c r="CC1396">
        <v>-1.58</v>
      </c>
      <c r="CD1396">
        <v>-0.35</v>
      </c>
      <c r="CE1396">
        <v>-0.74</v>
      </c>
      <c r="CF1396">
        <v>-1.69</v>
      </c>
      <c r="CG1396">
        <v>0</v>
      </c>
      <c r="CH1396">
        <v>-0.22</v>
      </c>
      <c r="CI1396">
        <v>0</v>
      </c>
      <c r="CJ1396">
        <v>-1.1000000000000001</v>
      </c>
      <c r="CK1396">
        <v>95</v>
      </c>
      <c r="CL1396">
        <v>-0.64</v>
      </c>
      <c r="CM1396">
        <v>94</v>
      </c>
      <c r="CN1396">
        <v>-0.22</v>
      </c>
      <c r="CO1396">
        <v>93</v>
      </c>
      <c r="CP1396">
        <v>-11.4</v>
      </c>
      <c r="CQ1396">
        <v>94</v>
      </c>
      <c r="CR1396">
        <v>0</v>
      </c>
      <c r="CS1396">
        <v>0</v>
      </c>
      <c r="CT1396">
        <v>-8</v>
      </c>
      <c r="CU1396">
        <v>92</v>
      </c>
      <c r="CV1396">
        <v>0.19</v>
      </c>
      <c r="CW1396">
        <v>46</v>
      </c>
      <c r="CX1396" t="s">
        <v>193</v>
      </c>
    </row>
    <row r="1397" spans="1:102" x14ac:dyDescent="0.3">
      <c r="A1397" t="str">
        <f>HYPERLINK("https://webapp.icbf.com/v2/app/bull-search/view/550979053","HIJ")</f>
        <v>HIJ</v>
      </c>
      <c r="B1397" t="s">
        <v>225</v>
      </c>
      <c r="C1397" t="s">
        <v>226</v>
      </c>
      <c r="D1397" s="1">
        <v>38927</v>
      </c>
      <c r="E1397" t="s">
        <v>227</v>
      </c>
      <c r="F1397">
        <v>0</v>
      </c>
      <c r="G1397" t="s">
        <v>93</v>
      </c>
      <c r="H1397">
        <v>114.07</v>
      </c>
      <c r="I1397">
        <v>94</v>
      </c>
      <c r="J1397">
        <v>17.23</v>
      </c>
      <c r="K1397">
        <v>98</v>
      </c>
      <c r="L1397">
        <v>32.479999999999997</v>
      </c>
      <c r="M1397">
        <v>89</v>
      </c>
      <c r="N1397">
        <v>42.19</v>
      </c>
      <c r="O1397">
        <v>94</v>
      </c>
      <c r="P1397">
        <v>-53.94</v>
      </c>
      <c r="Q1397">
        <v>96</v>
      </c>
      <c r="R1397">
        <v>0.28999999999999998</v>
      </c>
      <c r="S1397">
        <v>91</v>
      </c>
      <c r="T1397">
        <v>69.62</v>
      </c>
      <c r="U1397">
        <v>95</v>
      </c>
      <c r="V1397">
        <v>6.2</v>
      </c>
      <c r="W1397">
        <v>93</v>
      </c>
      <c r="X1397" t="s">
        <v>94</v>
      </c>
      <c r="Y1397" t="s">
        <v>228</v>
      </c>
      <c r="Z1397">
        <v>0</v>
      </c>
      <c r="AA1397" t="s">
        <v>229</v>
      </c>
      <c r="AB1397" t="s">
        <v>230</v>
      </c>
      <c r="AC1397">
        <v>230</v>
      </c>
      <c r="AD1397">
        <v>94</v>
      </c>
      <c r="AE1397">
        <v>98</v>
      </c>
      <c r="AF1397">
        <v>-531.59</v>
      </c>
      <c r="AG1397">
        <v>-0.98</v>
      </c>
      <c r="AH1397">
        <v>-4.8600000000000003</v>
      </c>
      <c r="AI1397">
        <v>0.38</v>
      </c>
      <c r="AJ1397">
        <v>0.25</v>
      </c>
      <c r="AK1397">
        <v>89</v>
      </c>
      <c r="AL1397">
        <v>220</v>
      </c>
      <c r="AM1397">
        <v>83</v>
      </c>
      <c r="AN1397">
        <v>-1.01</v>
      </c>
      <c r="AO1397">
        <v>1.59</v>
      </c>
      <c r="AP1397">
        <v>480</v>
      </c>
      <c r="AQ1397">
        <v>1</v>
      </c>
      <c r="AR1397">
        <v>2.21</v>
      </c>
      <c r="AS1397">
        <v>91</v>
      </c>
      <c r="AT1397">
        <v>1.31</v>
      </c>
      <c r="AU1397">
        <v>94</v>
      </c>
      <c r="AV1397">
        <v>-3.43</v>
      </c>
      <c r="AW1397">
        <v>99</v>
      </c>
      <c r="AX1397">
        <v>0.78</v>
      </c>
      <c r="AY1397">
        <v>93</v>
      </c>
      <c r="AZ1397">
        <v>7.88</v>
      </c>
      <c r="BA1397">
        <v>83</v>
      </c>
      <c r="BB1397">
        <v>5.61</v>
      </c>
      <c r="BC1397">
        <v>85</v>
      </c>
      <c r="BD1397">
        <v>-0.04</v>
      </c>
      <c r="BE1397">
        <v>0</v>
      </c>
      <c r="BF1397">
        <v>0.06</v>
      </c>
      <c r="BG1397">
        <v>95</v>
      </c>
      <c r="BH1397">
        <v>0.19</v>
      </c>
      <c r="BI1397">
        <v>1.97</v>
      </c>
      <c r="BJ1397">
        <v>45</v>
      </c>
      <c r="BK1397">
        <v>16</v>
      </c>
      <c r="BL1397">
        <v>-3.66</v>
      </c>
      <c r="BM1397">
        <v>-2.99</v>
      </c>
      <c r="BN1397">
        <v>-0.37</v>
      </c>
      <c r="BO1397">
        <v>1.69</v>
      </c>
      <c r="BP1397">
        <v>-1.75</v>
      </c>
      <c r="BQ1397">
        <v>-6.89</v>
      </c>
      <c r="BR1397">
        <v>4.55</v>
      </c>
      <c r="BS1397">
        <v>6.62</v>
      </c>
      <c r="BT1397">
        <v>-2.14</v>
      </c>
      <c r="BU1397">
        <v>-1.17</v>
      </c>
      <c r="BV1397">
        <v>-0.48</v>
      </c>
      <c r="BW1397">
        <v>-2.31</v>
      </c>
      <c r="BX1397">
        <v>-3.25</v>
      </c>
      <c r="BY1397">
        <v>1.67</v>
      </c>
      <c r="BZ1397">
        <v>-2.5099999999999998</v>
      </c>
      <c r="CA1397">
        <v>0.95</v>
      </c>
      <c r="CB1397">
        <v>-0.7</v>
      </c>
      <c r="CC1397">
        <v>4.1500000000000004</v>
      </c>
      <c r="CD1397">
        <v>-2.4700000000000002</v>
      </c>
      <c r="CE1397">
        <v>0.78</v>
      </c>
      <c r="CF1397">
        <v>-4.01</v>
      </c>
      <c r="CG1397">
        <v>0</v>
      </c>
      <c r="CH1397">
        <v>-0.46</v>
      </c>
      <c r="CI1397">
        <v>0</v>
      </c>
      <c r="CJ1397">
        <v>-29.7</v>
      </c>
      <c r="CK1397">
        <v>97</v>
      </c>
      <c r="CL1397">
        <v>-0.87</v>
      </c>
      <c r="CM1397">
        <v>96</v>
      </c>
      <c r="CN1397">
        <v>-0.32</v>
      </c>
      <c r="CO1397">
        <v>95</v>
      </c>
      <c r="CP1397">
        <v>-51.5</v>
      </c>
      <c r="CQ1397">
        <v>94</v>
      </c>
      <c r="CR1397">
        <v>0</v>
      </c>
      <c r="CS1397">
        <v>0</v>
      </c>
      <c r="CT1397">
        <v>-80.3</v>
      </c>
      <c r="CU1397">
        <v>95</v>
      </c>
      <c r="CV1397">
        <v>-0.27</v>
      </c>
      <c r="CW1397">
        <v>46</v>
      </c>
      <c r="CX1397" t="s">
        <v>231</v>
      </c>
    </row>
    <row r="1398" spans="1:102" x14ac:dyDescent="0.3">
      <c r="A1398" t="str">
        <f>HYPERLINK("https://webapp.icbf.com/v2/app/bull-search/view/1206739852","S3278")</f>
        <v>S3278</v>
      </c>
      <c r="B1398" t="s">
        <v>9489</v>
      </c>
      <c r="C1398" t="s">
        <v>9490</v>
      </c>
      <c r="D1398" s="1">
        <v>41615</v>
      </c>
      <c r="E1398" t="s">
        <v>92</v>
      </c>
      <c r="F1398">
        <v>100</v>
      </c>
      <c r="G1398" t="s">
        <v>109</v>
      </c>
      <c r="H1398">
        <v>114.07</v>
      </c>
      <c r="I1398">
        <v>71</v>
      </c>
      <c r="J1398">
        <v>63.92</v>
      </c>
      <c r="K1398">
        <v>91</v>
      </c>
      <c r="L1398">
        <v>36.159999999999997</v>
      </c>
      <c r="M1398">
        <v>75</v>
      </c>
      <c r="N1398">
        <v>27.98</v>
      </c>
      <c r="O1398">
        <v>51</v>
      </c>
      <c r="P1398">
        <v>-3.44</v>
      </c>
      <c r="Q1398">
        <v>38</v>
      </c>
      <c r="R1398">
        <v>7.02</v>
      </c>
      <c r="S1398">
        <v>68</v>
      </c>
      <c r="T1398">
        <v>-7.12</v>
      </c>
      <c r="U1398">
        <v>36</v>
      </c>
      <c r="V1398">
        <v>-10.45</v>
      </c>
      <c r="W1398">
        <v>53</v>
      </c>
      <c r="X1398" t="s">
        <v>110</v>
      </c>
      <c r="Y1398" t="s">
        <v>2394</v>
      </c>
      <c r="Z1398" t="s">
        <v>330</v>
      </c>
      <c r="AA1398" t="s">
        <v>2699</v>
      </c>
      <c r="AB1398" t="s">
        <v>9491</v>
      </c>
      <c r="AC1398">
        <v>0</v>
      </c>
      <c r="AD1398">
        <v>0</v>
      </c>
      <c r="AE1398">
        <v>91</v>
      </c>
      <c r="AF1398">
        <v>211.16</v>
      </c>
      <c r="AG1398">
        <v>9.2799999999999994</v>
      </c>
      <c r="AH1398">
        <v>10.82</v>
      </c>
      <c r="AI1398">
        <v>0.01</v>
      </c>
      <c r="AJ1398">
        <v>0.06</v>
      </c>
      <c r="AK1398">
        <v>75</v>
      </c>
      <c r="AL1398">
        <v>0</v>
      </c>
      <c r="AM1398">
        <v>0</v>
      </c>
      <c r="AN1398">
        <v>-1.46</v>
      </c>
      <c r="AO1398">
        <v>1.43</v>
      </c>
      <c r="AP1398">
        <v>1</v>
      </c>
      <c r="AQ1398">
        <v>0</v>
      </c>
      <c r="AR1398">
        <v>7.47</v>
      </c>
      <c r="AS1398">
        <v>46</v>
      </c>
      <c r="AT1398">
        <v>2.56</v>
      </c>
      <c r="AU1398">
        <v>89</v>
      </c>
      <c r="AV1398">
        <v>-3.17</v>
      </c>
      <c r="AW1398">
        <v>39</v>
      </c>
      <c r="AX1398">
        <v>0.28999999999999998</v>
      </c>
      <c r="AY1398">
        <v>38</v>
      </c>
      <c r="AZ1398">
        <v>6.45</v>
      </c>
      <c r="BA1398">
        <v>33</v>
      </c>
      <c r="BB1398">
        <v>5.29</v>
      </c>
      <c r="BC1398">
        <v>34</v>
      </c>
      <c r="BD1398">
        <v>-0.02</v>
      </c>
      <c r="BE1398">
        <v>-0.02</v>
      </c>
      <c r="BF1398">
        <v>-0.09</v>
      </c>
      <c r="BG1398">
        <v>87</v>
      </c>
      <c r="BH1398">
        <v>-0.34</v>
      </c>
      <c r="BI1398">
        <v>-5.61</v>
      </c>
      <c r="BJ1398">
        <v>0</v>
      </c>
      <c r="BK1398">
        <v>0</v>
      </c>
      <c r="BL1398">
        <v>-0.04</v>
      </c>
      <c r="BM1398">
        <v>2.2799999999999998</v>
      </c>
      <c r="BN1398">
        <v>-1.1399999999999999</v>
      </c>
      <c r="BO1398">
        <v>-1.1000000000000001</v>
      </c>
      <c r="BP1398">
        <v>-1.63</v>
      </c>
      <c r="BQ1398">
        <v>0.47</v>
      </c>
      <c r="BR1398">
        <v>-2.87</v>
      </c>
      <c r="BS1398">
        <v>2.2000000000000002</v>
      </c>
      <c r="BT1398">
        <v>2.34</v>
      </c>
      <c r="BU1398">
        <v>1.65</v>
      </c>
      <c r="BV1398">
        <v>0.97</v>
      </c>
      <c r="BW1398">
        <v>0.67</v>
      </c>
      <c r="BX1398">
        <v>2.0099999999999998</v>
      </c>
      <c r="BY1398">
        <v>2.86</v>
      </c>
      <c r="BZ1398">
        <v>-0.11</v>
      </c>
      <c r="CA1398">
        <v>2.4</v>
      </c>
      <c r="CB1398">
        <v>1.8</v>
      </c>
      <c r="CC1398">
        <v>2.31</v>
      </c>
      <c r="CD1398">
        <v>2.56</v>
      </c>
      <c r="CE1398">
        <v>0.11</v>
      </c>
      <c r="CF1398">
        <v>0.63</v>
      </c>
      <c r="CG1398">
        <v>0</v>
      </c>
      <c r="CH1398">
        <v>2.5499999999999998</v>
      </c>
      <c r="CI1398">
        <v>0</v>
      </c>
      <c r="CJ1398">
        <v>-0.4</v>
      </c>
      <c r="CK1398">
        <v>38</v>
      </c>
      <c r="CL1398">
        <v>-0.89</v>
      </c>
      <c r="CM1398">
        <v>38</v>
      </c>
      <c r="CN1398">
        <v>-0.47</v>
      </c>
      <c r="CO1398">
        <v>38</v>
      </c>
      <c r="CP1398">
        <v>5.3</v>
      </c>
      <c r="CQ1398">
        <v>37</v>
      </c>
      <c r="CR1398">
        <v>0</v>
      </c>
      <c r="CS1398">
        <v>0</v>
      </c>
      <c r="CT1398">
        <v>23.4</v>
      </c>
      <c r="CU1398">
        <v>36</v>
      </c>
      <c r="CV1398">
        <v>0.1</v>
      </c>
      <c r="CW1398">
        <v>33</v>
      </c>
      <c r="CX1398" t="s">
        <v>2356</v>
      </c>
    </row>
    <row r="1399" spans="1:102" x14ac:dyDescent="0.3">
      <c r="A1399" t="str">
        <f>HYPERLINK("https://webapp.icbf.com/v2/app/bull-search/view/746717652","TYB")</f>
        <v>TYB</v>
      </c>
      <c r="B1399" t="s">
        <v>5526</v>
      </c>
      <c r="C1399" t="s">
        <v>5527</v>
      </c>
      <c r="D1399" s="1">
        <v>40195</v>
      </c>
      <c r="E1399" t="s">
        <v>108</v>
      </c>
      <c r="F1399">
        <v>9</v>
      </c>
      <c r="G1399" t="s">
        <v>93</v>
      </c>
      <c r="H1399">
        <v>113.97</v>
      </c>
      <c r="I1399">
        <v>92</v>
      </c>
      <c r="J1399">
        <v>-13.15</v>
      </c>
      <c r="K1399">
        <v>98</v>
      </c>
      <c r="L1399">
        <v>103.93</v>
      </c>
      <c r="M1399">
        <v>86</v>
      </c>
      <c r="N1399">
        <v>8.68</v>
      </c>
      <c r="O1399">
        <v>93</v>
      </c>
      <c r="P1399">
        <v>-7.32</v>
      </c>
      <c r="Q1399">
        <v>98</v>
      </c>
      <c r="R1399">
        <v>-0.03</v>
      </c>
      <c r="S1399">
        <v>83</v>
      </c>
      <c r="T1399">
        <v>17.53</v>
      </c>
      <c r="U1399">
        <v>92</v>
      </c>
      <c r="V1399">
        <v>4.33</v>
      </c>
      <c r="W1399">
        <v>79</v>
      </c>
      <c r="X1399" t="s">
        <v>94</v>
      </c>
      <c r="Y1399" t="s">
        <v>1775</v>
      </c>
      <c r="Z1399" t="s">
        <v>96</v>
      </c>
      <c r="AA1399" t="s">
        <v>5528</v>
      </c>
      <c r="AB1399" t="s">
        <v>5529</v>
      </c>
      <c r="AC1399">
        <v>253</v>
      </c>
      <c r="AD1399">
        <v>134</v>
      </c>
      <c r="AE1399">
        <v>98</v>
      </c>
      <c r="AF1399">
        <v>-302.94</v>
      </c>
      <c r="AG1399">
        <v>-0.15</v>
      </c>
      <c r="AH1399">
        <v>-6.82</v>
      </c>
      <c r="AI1399">
        <v>0.21</v>
      </c>
      <c r="AJ1399">
        <v>0.06</v>
      </c>
      <c r="AK1399">
        <v>86</v>
      </c>
      <c r="AL1399">
        <v>450</v>
      </c>
      <c r="AM1399">
        <v>238</v>
      </c>
      <c r="AN1399">
        <v>-5.52</v>
      </c>
      <c r="AO1399">
        <v>2.77</v>
      </c>
      <c r="AP1399">
        <v>651</v>
      </c>
      <c r="AQ1399">
        <v>4</v>
      </c>
      <c r="AR1399">
        <v>9.3000000000000007</v>
      </c>
      <c r="AS1399">
        <v>86</v>
      </c>
      <c r="AT1399">
        <v>4.12</v>
      </c>
      <c r="AU1399">
        <v>95</v>
      </c>
      <c r="AV1399">
        <v>-2.39</v>
      </c>
      <c r="AW1399">
        <v>99</v>
      </c>
      <c r="AX1399">
        <v>-0.56000000000000005</v>
      </c>
      <c r="AY1399">
        <v>95</v>
      </c>
      <c r="AZ1399">
        <v>5.67</v>
      </c>
      <c r="BA1399">
        <v>81</v>
      </c>
      <c r="BB1399">
        <v>4.62</v>
      </c>
      <c r="BC1399">
        <v>77</v>
      </c>
      <c r="BD1399">
        <v>0.04</v>
      </c>
      <c r="BE1399">
        <v>-0.04</v>
      </c>
      <c r="BF1399">
        <v>0.01</v>
      </c>
      <c r="BG1399">
        <v>93</v>
      </c>
      <c r="BH1399">
        <v>0.06</v>
      </c>
      <c r="BI1399">
        <v>-7.03</v>
      </c>
      <c r="BJ1399">
        <v>7</v>
      </c>
      <c r="BK1399">
        <v>7</v>
      </c>
      <c r="BL1399">
        <v>-2.04</v>
      </c>
      <c r="BM1399">
        <v>2.2599999999999998</v>
      </c>
      <c r="BN1399">
        <v>-1.35</v>
      </c>
      <c r="BO1399">
        <v>-2.62</v>
      </c>
      <c r="BP1399">
        <v>-1.88</v>
      </c>
      <c r="BQ1399">
        <v>2.9</v>
      </c>
      <c r="BR1399">
        <v>-0.94</v>
      </c>
      <c r="BS1399">
        <v>-1.5</v>
      </c>
      <c r="BT1399">
        <v>-0.94</v>
      </c>
      <c r="BU1399">
        <v>-2.5</v>
      </c>
      <c r="BV1399">
        <v>-2.9</v>
      </c>
      <c r="BW1399">
        <v>-2.52</v>
      </c>
      <c r="BX1399">
        <v>-1.76</v>
      </c>
      <c r="BY1399">
        <v>-2.2200000000000002</v>
      </c>
      <c r="BZ1399">
        <v>-1.7</v>
      </c>
      <c r="CA1399">
        <v>-2.76</v>
      </c>
      <c r="CB1399">
        <v>-2.7</v>
      </c>
      <c r="CC1399">
        <v>-1.76</v>
      </c>
      <c r="CD1399">
        <v>2.5299999999999998</v>
      </c>
      <c r="CE1399">
        <v>-2.33</v>
      </c>
      <c r="CF1399">
        <v>-1.39</v>
      </c>
      <c r="CG1399">
        <v>0</v>
      </c>
      <c r="CH1399">
        <v>-1.58</v>
      </c>
      <c r="CI1399">
        <v>0</v>
      </c>
      <c r="CJ1399">
        <v>-1.2</v>
      </c>
      <c r="CK1399">
        <v>99</v>
      </c>
      <c r="CL1399">
        <v>-0.31</v>
      </c>
      <c r="CM1399">
        <v>98</v>
      </c>
      <c r="CN1399">
        <v>7.0000000000000007E-2</v>
      </c>
      <c r="CO1399">
        <v>98</v>
      </c>
      <c r="CP1399">
        <v>-11</v>
      </c>
      <c r="CQ1399">
        <v>92</v>
      </c>
      <c r="CR1399">
        <v>0</v>
      </c>
      <c r="CS1399">
        <v>0</v>
      </c>
      <c r="CT1399">
        <v>-9.9</v>
      </c>
      <c r="CU1399">
        <v>92</v>
      </c>
      <c r="CV1399">
        <v>0.11</v>
      </c>
      <c r="CW1399">
        <v>46</v>
      </c>
      <c r="CX1399" t="s">
        <v>5324</v>
      </c>
    </row>
    <row r="1400" spans="1:102" x14ac:dyDescent="0.3">
      <c r="A1400" t="str">
        <f>HYPERLINK("https://webapp.icbf.com/v2/app/bull-search/view/69092569","S035")</f>
        <v>S035</v>
      </c>
      <c r="B1400" t="s">
        <v>10487</v>
      </c>
      <c r="C1400" t="s">
        <v>8226</v>
      </c>
      <c r="D1400" s="1">
        <v>34779</v>
      </c>
      <c r="E1400" t="s">
        <v>227</v>
      </c>
      <c r="F1400">
        <v>0</v>
      </c>
      <c r="G1400" t="s">
        <v>93</v>
      </c>
      <c r="H1400">
        <v>113.9</v>
      </c>
      <c r="I1400">
        <v>73</v>
      </c>
      <c r="J1400">
        <v>-14.91</v>
      </c>
      <c r="K1400">
        <v>91</v>
      </c>
      <c r="L1400">
        <v>116.12</v>
      </c>
      <c r="M1400">
        <v>70</v>
      </c>
      <c r="N1400">
        <v>5.62</v>
      </c>
      <c r="O1400">
        <v>54</v>
      </c>
      <c r="P1400">
        <v>-75.849999999999994</v>
      </c>
      <c r="Q1400">
        <v>69</v>
      </c>
      <c r="R1400">
        <v>3.97</v>
      </c>
      <c r="S1400">
        <v>58</v>
      </c>
      <c r="T1400">
        <v>75.17</v>
      </c>
      <c r="U1400">
        <v>68</v>
      </c>
      <c r="V1400">
        <v>3.78</v>
      </c>
      <c r="W1400">
        <v>40</v>
      </c>
      <c r="X1400" t="s">
        <v>110</v>
      </c>
      <c r="Y1400" t="s">
        <v>95</v>
      </c>
      <c r="Z1400">
        <v>0</v>
      </c>
      <c r="AA1400" t="s">
        <v>9938</v>
      </c>
      <c r="AB1400" t="s">
        <v>144</v>
      </c>
      <c r="AC1400">
        <v>41</v>
      </c>
      <c r="AD1400">
        <v>13</v>
      </c>
      <c r="AE1400">
        <v>91</v>
      </c>
      <c r="AF1400">
        <v>-870.03</v>
      </c>
      <c r="AG1400">
        <v>3.44</v>
      </c>
      <c r="AH1400">
        <v>-17.07</v>
      </c>
      <c r="AI1400">
        <v>0.72</v>
      </c>
      <c r="AJ1400">
        <v>0.25</v>
      </c>
      <c r="AK1400">
        <v>70</v>
      </c>
      <c r="AL1400">
        <v>50</v>
      </c>
      <c r="AM1400">
        <v>16</v>
      </c>
      <c r="AN1400">
        <v>-5.6</v>
      </c>
      <c r="AO1400">
        <v>3.67</v>
      </c>
      <c r="AP1400">
        <v>18</v>
      </c>
      <c r="AQ1400">
        <v>0</v>
      </c>
      <c r="AR1400">
        <v>3.92</v>
      </c>
      <c r="AS1400">
        <v>44</v>
      </c>
      <c r="AT1400">
        <v>2.09</v>
      </c>
      <c r="AU1400">
        <v>49</v>
      </c>
      <c r="AV1400">
        <v>0.15</v>
      </c>
      <c r="AW1400">
        <v>63</v>
      </c>
      <c r="AX1400">
        <v>2.4700000000000002</v>
      </c>
      <c r="AY1400">
        <v>66</v>
      </c>
      <c r="AZ1400">
        <v>7.48</v>
      </c>
      <c r="BA1400">
        <v>32</v>
      </c>
      <c r="BB1400">
        <v>5.21</v>
      </c>
      <c r="BC1400">
        <v>41</v>
      </c>
      <c r="BD1400">
        <v>-0.05</v>
      </c>
      <c r="BE1400">
        <v>-0.02</v>
      </c>
      <c r="BF1400">
        <v>0.03</v>
      </c>
      <c r="BG1400">
        <v>73</v>
      </c>
      <c r="BH1400">
        <v>0.01</v>
      </c>
      <c r="BI1400">
        <v>-11.05</v>
      </c>
      <c r="BJ1400">
        <v>0</v>
      </c>
      <c r="BK1400">
        <v>0</v>
      </c>
      <c r="BL1400">
        <v>-1.3</v>
      </c>
      <c r="BM1400">
        <v>-1.35</v>
      </c>
      <c r="BN1400">
        <v>-0.19</v>
      </c>
      <c r="BO1400">
        <v>1.1499999999999999</v>
      </c>
      <c r="BP1400">
        <v>-1.02</v>
      </c>
      <c r="BQ1400">
        <v>-5.37</v>
      </c>
      <c r="BR1400">
        <v>2.6</v>
      </c>
      <c r="BS1400">
        <v>6.7</v>
      </c>
      <c r="BT1400">
        <v>-1.75</v>
      </c>
      <c r="BU1400">
        <v>-0.19</v>
      </c>
      <c r="BV1400">
        <v>-0.12</v>
      </c>
      <c r="BW1400">
        <v>-2.19</v>
      </c>
      <c r="BX1400">
        <v>-2.58</v>
      </c>
      <c r="BY1400">
        <v>-0.65</v>
      </c>
      <c r="BZ1400">
        <v>-0.47</v>
      </c>
      <c r="CA1400">
        <v>1.66</v>
      </c>
      <c r="CB1400">
        <v>0</v>
      </c>
      <c r="CC1400">
        <v>4.2300000000000004</v>
      </c>
      <c r="CD1400">
        <v>-1.98</v>
      </c>
      <c r="CE1400">
        <v>0.76</v>
      </c>
      <c r="CF1400">
        <v>-1.26</v>
      </c>
      <c r="CG1400">
        <v>0</v>
      </c>
      <c r="CH1400">
        <v>-1.35</v>
      </c>
      <c r="CI1400">
        <v>0</v>
      </c>
      <c r="CJ1400">
        <v>-39.4</v>
      </c>
      <c r="CK1400">
        <v>70</v>
      </c>
      <c r="CL1400">
        <v>-0.96</v>
      </c>
      <c r="CM1400">
        <v>66</v>
      </c>
      <c r="CN1400">
        <v>0.17</v>
      </c>
      <c r="CO1400">
        <v>62</v>
      </c>
      <c r="CP1400">
        <v>-63.9</v>
      </c>
      <c r="CQ1400">
        <v>77</v>
      </c>
      <c r="CR1400">
        <v>0</v>
      </c>
      <c r="CS1400">
        <v>0</v>
      </c>
      <c r="CT1400">
        <v>-87.8</v>
      </c>
      <c r="CU1400">
        <v>68</v>
      </c>
      <c r="CV1400">
        <v>-0.42</v>
      </c>
      <c r="CW1400">
        <v>18</v>
      </c>
      <c r="CX1400" t="s">
        <v>10488</v>
      </c>
    </row>
    <row r="1401" spans="1:102" x14ac:dyDescent="0.3">
      <c r="A1401" t="str">
        <f>HYPERLINK("https://webapp.icbf.com/v2/app/bull-search/view/671775099","BXW")</f>
        <v>BXW</v>
      </c>
      <c r="B1401" t="s">
        <v>9730</v>
      </c>
      <c r="C1401" t="s">
        <v>9731</v>
      </c>
      <c r="D1401" s="1">
        <v>39874</v>
      </c>
      <c r="E1401" t="s">
        <v>92</v>
      </c>
      <c r="F1401">
        <v>44</v>
      </c>
      <c r="G1401" t="s">
        <v>93</v>
      </c>
      <c r="H1401">
        <v>113.87</v>
      </c>
      <c r="I1401">
        <v>89</v>
      </c>
      <c r="J1401">
        <v>54.52</v>
      </c>
      <c r="K1401">
        <v>98</v>
      </c>
      <c r="L1401">
        <v>22.28</v>
      </c>
      <c r="M1401">
        <v>80</v>
      </c>
      <c r="N1401">
        <v>44.33</v>
      </c>
      <c r="O1401">
        <v>90</v>
      </c>
      <c r="P1401">
        <v>-18.510000000000002</v>
      </c>
      <c r="Q1401">
        <v>95</v>
      </c>
      <c r="R1401">
        <v>3</v>
      </c>
      <c r="S1401">
        <v>80</v>
      </c>
      <c r="T1401">
        <v>11.68</v>
      </c>
      <c r="U1401">
        <v>91</v>
      </c>
      <c r="V1401">
        <v>-3.43</v>
      </c>
      <c r="W1401">
        <v>78</v>
      </c>
      <c r="X1401" t="s">
        <v>94</v>
      </c>
      <c r="Y1401" t="s">
        <v>1727</v>
      </c>
      <c r="Z1401" t="s">
        <v>330</v>
      </c>
      <c r="AA1401" t="s">
        <v>2990</v>
      </c>
      <c r="AB1401" t="s">
        <v>144</v>
      </c>
      <c r="AC1401">
        <v>152</v>
      </c>
      <c r="AD1401">
        <v>53</v>
      </c>
      <c r="AE1401">
        <v>98</v>
      </c>
      <c r="AF1401">
        <v>45.72</v>
      </c>
      <c r="AG1401">
        <v>13.01</v>
      </c>
      <c r="AH1401">
        <v>5.37</v>
      </c>
      <c r="AI1401">
        <v>0.19</v>
      </c>
      <c r="AJ1401">
        <v>7.0000000000000007E-2</v>
      </c>
      <c r="AK1401">
        <v>80</v>
      </c>
      <c r="AL1401">
        <v>159</v>
      </c>
      <c r="AM1401">
        <v>59</v>
      </c>
      <c r="AN1401">
        <v>-1.73</v>
      </c>
      <c r="AO1401">
        <v>0.04</v>
      </c>
      <c r="AP1401">
        <v>349</v>
      </c>
      <c r="AQ1401">
        <v>0</v>
      </c>
      <c r="AR1401">
        <v>5.74</v>
      </c>
      <c r="AS1401">
        <v>84</v>
      </c>
      <c r="AT1401">
        <v>2.2000000000000002</v>
      </c>
      <c r="AU1401">
        <v>91</v>
      </c>
      <c r="AV1401">
        <v>-3.31</v>
      </c>
      <c r="AW1401">
        <v>97</v>
      </c>
      <c r="AX1401">
        <v>-0.74</v>
      </c>
      <c r="AY1401">
        <v>87</v>
      </c>
      <c r="AZ1401">
        <v>5.43</v>
      </c>
      <c r="BA1401">
        <v>76</v>
      </c>
      <c r="BB1401">
        <v>4.34</v>
      </c>
      <c r="BC1401">
        <v>75</v>
      </c>
      <c r="BD1401">
        <v>-0.06</v>
      </c>
      <c r="BE1401">
        <v>-0.01</v>
      </c>
      <c r="BF1401">
        <v>0.05</v>
      </c>
      <c r="BG1401">
        <v>91</v>
      </c>
      <c r="BH1401">
        <v>-0.17</v>
      </c>
      <c r="BI1401">
        <v>-8.61</v>
      </c>
      <c r="BJ1401">
        <v>2</v>
      </c>
      <c r="BK1401">
        <v>2</v>
      </c>
      <c r="BL1401">
        <v>-1.78</v>
      </c>
      <c r="BM1401">
        <v>0.04</v>
      </c>
      <c r="BN1401">
        <v>-0.79</v>
      </c>
      <c r="BO1401">
        <v>-0.63</v>
      </c>
      <c r="BP1401">
        <v>0.64</v>
      </c>
      <c r="BQ1401">
        <v>-2.9</v>
      </c>
      <c r="BR1401">
        <v>2.14</v>
      </c>
      <c r="BS1401">
        <v>1.79</v>
      </c>
      <c r="BT1401">
        <v>-1.33</v>
      </c>
      <c r="BU1401">
        <v>-1.62</v>
      </c>
      <c r="BV1401">
        <v>-2.0699999999999998</v>
      </c>
      <c r="BW1401">
        <v>-2.71</v>
      </c>
      <c r="BX1401">
        <v>-2.13</v>
      </c>
      <c r="BY1401">
        <v>-2.2599999999999998</v>
      </c>
      <c r="BZ1401">
        <v>1.5</v>
      </c>
      <c r="CA1401">
        <v>-1.23</v>
      </c>
      <c r="CB1401">
        <v>-1.7</v>
      </c>
      <c r="CC1401">
        <v>0.24</v>
      </c>
      <c r="CD1401">
        <v>0.32</v>
      </c>
      <c r="CE1401">
        <v>-0.8</v>
      </c>
      <c r="CF1401">
        <v>-2.0299999999999998</v>
      </c>
      <c r="CG1401">
        <v>0</v>
      </c>
      <c r="CH1401">
        <v>-1.89</v>
      </c>
      <c r="CI1401">
        <v>0</v>
      </c>
      <c r="CJ1401">
        <v>-7.7</v>
      </c>
      <c r="CK1401">
        <v>96</v>
      </c>
      <c r="CL1401">
        <v>-0.66</v>
      </c>
      <c r="CM1401">
        <v>95</v>
      </c>
      <c r="CN1401">
        <v>-0.01</v>
      </c>
      <c r="CO1401">
        <v>94</v>
      </c>
      <c r="CP1401">
        <v>-7.9</v>
      </c>
      <c r="CQ1401">
        <v>90</v>
      </c>
      <c r="CR1401">
        <v>0</v>
      </c>
      <c r="CS1401">
        <v>0</v>
      </c>
      <c r="CT1401">
        <v>-2</v>
      </c>
      <c r="CU1401">
        <v>91</v>
      </c>
      <c r="CV1401">
        <v>0.08</v>
      </c>
      <c r="CW1401">
        <v>46</v>
      </c>
      <c r="CX1401" t="s">
        <v>1936</v>
      </c>
    </row>
    <row r="1402" spans="1:102" x14ac:dyDescent="0.3">
      <c r="A1402" t="str">
        <f>HYPERLINK("https://webapp.icbf.com/v2/app/bull-search/view/1017429004","S1432")</f>
        <v>S1432</v>
      </c>
      <c r="B1402" t="s">
        <v>10147</v>
      </c>
      <c r="C1402" t="s">
        <v>6056</v>
      </c>
      <c r="D1402" s="1">
        <v>40743</v>
      </c>
      <c r="E1402" t="s">
        <v>92</v>
      </c>
      <c r="F1402">
        <v>100</v>
      </c>
      <c r="G1402" t="s">
        <v>109</v>
      </c>
      <c r="H1402">
        <v>113.86</v>
      </c>
      <c r="I1402">
        <v>79</v>
      </c>
      <c r="J1402">
        <v>67.25</v>
      </c>
      <c r="K1402">
        <v>94</v>
      </c>
      <c r="L1402">
        <v>2.93</v>
      </c>
      <c r="M1402">
        <v>85</v>
      </c>
      <c r="N1402">
        <v>42.99</v>
      </c>
      <c r="O1402">
        <v>64</v>
      </c>
      <c r="P1402">
        <v>-9.4</v>
      </c>
      <c r="Q1402">
        <v>55</v>
      </c>
      <c r="R1402">
        <v>8.34</v>
      </c>
      <c r="S1402">
        <v>76</v>
      </c>
      <c r="T1402">
        <v>-7.26</v>
      </c>
      <c r="U1402">
        <v>47</v>
      </c>
      <c r="V1402">
        <v>9.01</v>
      </c>
      <c r="W1402">
        <v>61</v>
      </c>
      <c r="X1402" t="s">
        <v>102</v>
      </c>
      <c r="Y1402" t="s">
        <v>342</v>
      </c>
      <c r="Z1402" t="s">
        <v>96</v>
      </c>
      <c r="AA1402" t="s">
        <v>1924</v>
      </c>
      <c r="AB1402" t="s">
        <v>10148</v>
      </c>
      <c r="AC1402">
        <v>0</v>
      </c>
      <c r="AD1402">
        <v>0</v>
      </c>
      <c r="AE1402">
        <v>94</v>
      </c>
      <c r="AF1402">
        <v>305.33999999999997</v>
      </c>
      <c r="AG1402">
        <v>12.13</v>
      </c>
      <c r="AH1402">
        <v>11.82</v>
      </c>
      <c r="AI1402">
        <v>0</v>
      </c>
      <c r="AJ1402">
        <v>0.02</v>
      </c>
      <c r="AK1402">
        <v>85</v>
      </c>
      <c r="AL1402">
        <v>0</v>
      </c>
      <c r="AM1402">
        <v>0</v>
      </c>
      <c r="AN1402">
        <v>0.35</v>
      </c>
      <c r="AO1402">
        <v>0.59</v>
      </c>
      <c r="AP1402">
        <v>2</v>
      </c>
      <c r="AQ1402">
        <v>0</v>
      </c>
      <c r="AR1402">
        <v>5.39</v>
      </c>
      <c r="AS1402">
        <v>67</v>
      </c>
      <c r="AT1402">
        <v>2.34</v>
      </c>
      <c r="AU1402">
        <v>93</v>
      </c>
      <c r="AV1402">
        <v>-3.88</v>
      </c>
      <c r="AW1402">
        <v>56</v>
      </c>
      <c r="AX1402">
        <v>-0.12</v>
      </c>
      <c r="AY1402">
        <v>56</v>
      </c>
      <c r="AZ1402">
        <v>5.93</v>
      </c>
      <c r="BA1402">
        <v>51</v>
      </c>
      <c r="BB1402">
        <v>5.05</v>
      </c>
      <c r="BC1402">
        <v>44</v>
      </c>
      <c r="BD1402">
        <v>-0.04</v>
      </c>
      <c r="BE1402">
        <v>-0.05</v>
      </c>
      <c r="BF1402">
        <v>-0.03</v>
      </c>
      <c r="BG1402">
        <v>92</v>
      </c>
      <c r="BH1402">
        <v>0.1</v>
      </c>
      <c r="BI1402">
        <v>-17.5</v>
      </c>
      <c r="BJ1402">
        <v>3</v>
      </c>
      <c r="BK1402">
        <v>2</v>
      </c>
      <c r="BL1402">
        <v>0.5</v>
      </c>
      <c r="BM1402">
        <v>1.47</v>
      </c>
      <c r="BN1402">
        <v>0.86</v>
      </c>
      <c r="BO1402">
        <v>0.26</v>
      </c>
      <c r="BP1402">
        <v>1.24</v>
      </c>
      <c r="BQ1402">
        <v>2.92</v>
      </c>
      <c r="BR1402">
        <v>0.06</v>
      </c>
      <c r="BS1402">
        <v>1.1200000000000001</v>
      </c>
      <c r="BT1402">
        <v>0.9</v>
      </c>
      <c r="BU1402">
        <v>1.56</v>
      </c>
      <c r="BV1402">
        <v>2.06</v>
      </c>
      <c r="BW1402">
        <v>0.76</v>
      </c>
      <c r="BX1402">
        <v>1.03</v>
      </c>
      <c r="BY1402">
        <v>1.56</v>
      </c>
      <c r="BZ1402">
        <v>-1.67</v>
      </c>
      <c r="CA1402">
        <v>1.9</v>
      </c>
      <c r="CB1402">
        <v>1.86</v>
      </c>
      <c r="CC1402">
        <v>1.43</v>
      </c>
      <c r="CD1402">
        <v>0.46</v>
      </c>
      <c r="CE1402">
        <v>1</v>
      </c>
      <c r="CF1402">
        <v>1.57</v>
      </c>
      <c r="CG1402">
        <v>0</v>
      </c>
      <c r="CH1402">
        <v>1.36</v>
      </c>
      <c r="CI1402">
        <v>0</v>
      </c>
      <c r="CJ1402">
        <v>-2.7</v>
      </c>
      <c r="CK1402">
        <v>56</v>
      </c>
      <c r="CL1402">
        <v>-1.2</v>
      </c>
      <c r="CM1402">
        <v>55</v>
      </c>
      <c r="CN1402">
        <v>-0.5</v>
      </c>
      <c r="CO1402">
        <v>54</v>
      </c>
      <c r="CP1402">
        <v>5.7</v>
      </c>
      <c r="CQ1402">
        <v>49</v>
      </c>
      <c r="CR1402">
        <v>0</v>
      </c>
      <c r="CS1402">
        <v>0</v>
      </c>
      <c r="CT1402">
        <v>23.6</v>
      </c>
      <c r="CU1402">
        <v>47</v>
      </c>
      <c r="CV1402">
        <v>0.15</v>
      </c>
      <c r="CW1402">
        <v>38</v>
      </c>
      <c r="CX1402" t="s">
        <v>1962</v>
      </c>
    </row>
    <row r="1403" spans="1:102" x14ac:dyDescent="0.3">
      <c r="A1403" t="str">
        <f>HYPERLINK("https://webapp.icbf.com/v2/app/bull-search/view/586063705","BJZ")</f>
        <v>BJZ</v>
      </c>
      <c r="B1403" t="s">
        <v>1731</v>
      </c>
      <c r="C1403" t="s">
        <v>1732</v>
      </c>
      <c r="D1403" s="1">
        <v>38074</v>
      </c>
      <c r="E1403" t="s">
        <v>92</v>
      </c>
      <c r="F1403">
        <v>100</v>
      </c>
      <c r="G1403" t="s">
        <v>109</v>
      </c>
      <c r="H1403">
        <v>113.81</v>
      </c>
      <c r="I1403">
        <v>76</v>
      </c>
      <c r="J1403">
        <v>41.91</v>
      </c>
      <c r="K1403">
        <v>78</v>
      </c>
      <c r="L1403">
        <v>14.78</v>
      </c>
      <c r="M1403">
        <v>78</v>
      </c>
      <c r="N1403">
        <v>45.92</v>
      </c>
      <c r="O1403">
        <v>69</v>
      </c>
      <c r="P1403">
        <v>-10.19</v>
      </c>
      <c r="Q1403">
        <v>81</v>
      </c>
      <c r="R1403">
        <v>6.25</v>
      </c>
      <c r="S1403">
        <v>65</v>
      </c>
      <c r="T1403">
        <v>12.35</v>
      </c>
      <c r="U1403">
        <v>76</v>
      </c>
      <c r="V1403">
        <v>2.79</v>
      </c>
      <c r="W1403">
        <v>62</v>
      </c>
      <c r="X1403" t="s">
        <v>251</v>
      </c>
      <c r="Y1403" t="s">
        <v>282</v>
      </c>
      <c r="Z1403" t="s">
        <v>96</v>
      </c>
      <c r="AA1403" t="s">
        <v>316</v>
      </c>
      <c r="AB1403" t="s">
        <v>1733</v>
      </c>
      <c r="AC1403">
        <v>0</v>
      </c>
      <c r="AD1403">
        <v>0</v>
      </c>
      <c r="AE1403">
        <v>78</v>
      </c>
      <c r="AF1403">
        <v>350.32</v>
      </c>
      <c r="AG1403">
        <v>10.26</v>
      </c>
      <c r="AH1403">
        <v>8.86</v>
      </c>
      <c r="AI1403">
        <v>-0.05</v>
      </c>
      <c r="AJ1403">
        <v>-0.05</v>
      </c>
      <c r="AK1403">
        <v>78</v>
      </c>
      <c r="AL1403">
        <v>36</v>
      </c>
      <c r="AM1403">
        <v>15</v>
      </c>
      <c r="AN1403">
        <v>-2.2799999999999998</v>
      </c>
      <c r="AO1403">
        <v>-1.1200000000000001</v>
      </c>
      <c r="AP1403">
        <v>40</v>
      </c>
      <c r="AQ1403">
        <v>0</v>
      </c>
      <c r="AR1403">
        <v>5.12</v>
      </c>
      <c r="AS1403">
        <v>37</v>
      </c>
      <c r="AT1403">
        <v>2.09</v>
      </c>
      <c r="AU1403">
        <v>76</v>
      </c>
      <c r="AV1403">
        <v>-4.25</v>
      </c>
      <c r="AW1403">
        <v>84</v>
      </c>
      <c r="AX1403">
        <v>-0.83</v>
      </c>
      <c r="AY1403">
        <v>63</v>
      </c>
      <c r="AZ1403">
        <v>7.11</v>
      </c>
      <c r="BA1403">
        <v>38</v>
      </c>
      <c r="BB1403">
        <v>5.47</v>
      </c>
      <c r="BC1403">
        <v>42</v>
      </c>
      <c r="BD1403">
        <v>0.02</v>
      </c>
      <c r="BE1403">
        <v>-0.03</v>
      </c>
      <c r="BF1403">
        <v>-0.12</v>
      </c>
      <c r="BG1403">
        <v>81</v>
      </c>
      <c r="BH1403">
        <v>-0.13</v>
      </c>
      <c r="BI1403">
        <v>-24.03</v>
      </c>
      <c r="BJ1403">
        <v>0</v>
      </c>
      <c r="BK1403">
        <v>0</v>
      </c>
      <c r="BL1403">
        <v>0.76</v>
      </c>
      <c r="BM1403">
        <v>0.52</v>
      </c>
      <c r="BN1403">
        <v>0.06</v>
      </c>
      <c r="BO1403">
        <v>-0.28000000000000003</v>
      </c>
      <c r="BP1403">
        <v>0.6</v>
      </c>
      <c r="BQ1403">
        <v>0.13</v>
      </c>
      <c r="BR1403">
        <v>-1.75</v>
      </c>
      <c r="BS1403">
        <v>-1.08</v>
      </c>
      <c r="BT1403">
        <v>1.19</v>
      </c>
      <c r="BU1403">
        <v>0.28000000000000003</v>
      </c>
      <c r="BV1403">
        <v>0.28999999999999998</v>
      </c>
      <c r="BW1403">
        <v>-0.44</v>
      </c>
      <c r="BX1403">
        <v>0.87</v>
      </c>
      <c r="BY1403">
        <v>1.06</v>
      </c>
      <c r="BZ1403">
        <v>-0.69</v>
      </c>
      <c r="CA1403">
        <v>0.28999999999999998</v>
      </c>
      <c r="CB1403">
        <v>0.33</v>
      </c>
      <c r="CC1403">
        <v>-0.04</v>
      </c>
      <c r="CD1403">
        <v>0.78</v>
      </c>
      <c r="CE1403">
        <v>-0.04</v>
      </c>
      <c r="CF1403">
        <v>0.89</v>
      </c>
      <c r="CG1403">
        <v>0</v>
      </c>
      <c r="CH1403">
        <v>-0.62</v>
      </c>
      <c r="CI1403">
        <v>0</v>
      </c>
      <c r="CJ1403">
        <v>-1.5</v>
      </c>
      <c r="CK1403">
        <v>83</v>
      </c>
      <c r="CL1403">
        <v>-0.73</v>
      </c>
      <c r="CM1403">
        <v>79</v>
      </c>
      <c r="CN1403">
        <v>-0.02</v>
      </c>
      <c r="CO1403">
        <v>77</v>
      </c>
      <c r="CP1403">
        <v>-5.5</v>
      </c>
      <c r="CQ1403">
        <v>75</v>
      </c>
      <c r="CR1403">
        <v>0</v>
      </c>
      <c r="CS1403">
        <v>0</v>
      </c>
      <c r="CT1403">
        <v>-2.9</v>
      </c>
      <c r="CU1403">
        <v>76</v>
      </c>
      <c r="CV1403">
        <v>0.28999999999999998</v>
      </c>
      <c r="CW1403">
        <v>28</v>
      </c>
      <c r="CX1403" t="s">
        <v>834</v>
      </c>
    </row>
    <row r="1404" spans="1:102" x14ac:dyDescent="0.3">
      <c r="A1404" t="str">
        <f>HYPERLINK("https://webapp.icbf.com/v2/app/bull-search/view/714740654","S1485")</f>
        <v>S1485</v>
      </c>
      <c r="B1404" t="s">
        <v>15237</v>
      </c>
      <c r="C1404" t="s">
        <v>15238</v>
      </c>
      <c r="D1404" s="1">
        <v>38937</v>
      </c>
      <c r="E1404" t="s">
        <v>146</v>
      </c>
      <c r="F1404">
        <v>6</v>
      </c>
      <c r="G1404" t="s">
        <v>109</v>
      </c>
      <c r="H1404">
        <v>113.8</v>
      </c>
      <c r="I1404">
        <v>70</v>
      </c>
      <c r="J1404">
        <v>2.66</v>
      </c>
      <c r="K1404">
        <v>71</v>
      </c>
      <c r="L1404">
        <v>48.68</v>
      </c>
      <c r="M1404">
        <v>64</v>
      </c>
      <c r="N1404">
        <v>60.41</v>
      </c>
      <c r="O1404">
        <v>79</v>
      </c>
      <c r="P1404">
        <v>6.39</v>
      </c>
      <c r="Q1404">
        <v>93</v>
      </c>
      <c r="R1404">
        <v>-5.18</v>
      </c>
      <c r="S1404">
        <v>62</v>
      </c>
      <c r="T1404">
        <v>7.46</v>
      </c>
      <c r="U1404">
        <v>69</v>
      </c>
      <c r="V1404">
        <v>-6.62</v>
      </c>
      <c r="W1404">
        <v>47</v>
      </c>
      <c r="X1404" t="s">
        <v>102</v>
      </c>
      <c r="Y1404" t="s">
        <v>362</v>
      </c>
      <c r="Z1404">
        <v>0</v>
      </c>
      <c r="AA1404" t="s">
        <v>11899</v>
      </c>
      <c r="AB1404" t="s">
        <v>10133</v>
      </c>
      <c r="AC1404">
        <v>0</v>
      </c>
      <c r="AD1404">
        <v>0</v>
      </c>
      <c r="AE1404">
        <v>71</v>
      </c>
      <c r="AF1404">
        <v>-175.65</v>
      </c>
      <c r="AG1404">
        <v>-2.2200000000000002</v>
      </c>
      <c r="AH1404">
        <v>-1.45</v>
      </c>
      <c r="AI1404">
        <v>0.08</v>
      </c>
      <c r="AJ1404">
        <v>0.08</v>
      </c>
      <c r="AK1404">
        <v>64</v>
      </c>
      <c r="AL1404">
        <v>0</v>
      </c>
      <c r="AM1404">
        <v>0</v>
      </c>
      <c r="AN1404">
        <v>-2.0299999999999998</v>
      </c>
      <c r="AO1404">
        <v>1.86</v>
      </c>
      <c r="AP1404">
        <v>210</v>
      </c>
      <c r="AQ1404">
        <v>5</v>
      </c>
      <c r="AR1404">
        <v>5.84</v>
      </c>
      <c r="AS1404">
        <v>56</v>
      </c>
      <c r="AT1404">
        <v>2.4300000000000002</v>
      </c>
      <c r="AU1404">
        <v>83</v>
      </c>
      <c r="AV1404">
        <v>-5.66</v>
      </c>
      <c r="AW1404">
        <v>96</v>
      </c>
      <c r="AX1404">
        <v>-0.37</v>
      </c>
      <c r="AY1404">
        <v>80</v>
      </c>
      <c r="AZ1404">
        <v>5.3</v>
      </c>
      <c r="BA1404">
        <v>52</v>
      </c>
      <c r="BB1404">
        <v>4.33</v>
      </c>
      <c r="BC1404">
        <v>38</v>
      </c>
      <c r="BD1404">
        <v>0</v>
      </c>
      <c r="BE1404">
        <v>0.01</v>
      </c>
      <c r="BF1404">
        <v>0.1</v>
      </c>
      <c r="BG1404">
        <v>84</v>
      </c>
      <c r="BH1404">
        <v>-0.17</v>
      </c>
      <c r="BI1404">
        <v>1.69</v>
      </c>
      <c r="BJ1404">
        <v>0</v>
      </c>
      <c r="BK1404">
        <v>0</v>
      </c>
      <c r="BL1404">
        <v>-1.68</v>
      </c>
      <c r="BM1404">
        <v>2.94</v>
      </c>
      <c r="BN1404">
        <v>-0.1</v>
      </c>
      <c r="BO1404">
        <v>-1.41</v>
      </c>
      <c r="BP1404">
        <v>6.77</v>
      </c>
      <c r="BQ1404">
        <v>0.96</v>
      </c>
      <c r="BR1404">
        <v>-0.77</v>
      </c>
      <c r="BS1404">
        <v>-0.45</v>
      </c>
      <c r="BT1404">
        <v>-0.38</v>
      </c>
      <c r="BU1404">
        <v>-1.92</v>
      </c>
      <c r="BV1404">
        <v>-2.63</v>
      </c>
      <c r="BW1404">
        <v>-3.3</v>
      </c>
      <c r="BX1404">
        <v>-2.71</v>
      </c>
      <c r="BY1404">
        <v>-1.03</v>
      </c>
      <c r="BZ1404">
        <v>1.96</v>
      </c>
      <c r="CA1404">
        <v>-2.13</v>
      </c>
      <c r="CB1404">
        <v>-2.17</v>
      </c>
      <c r="CC1404">
        <v>-0.8</v>
      </c>
      <c r="CD1404">
        <v>2.76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0.7</v>
      </c>
      <c r="CK1404">
        <v>95</v>
      </c>
      <c r="CL1404">
        <v>0.26</v>
      </c>
      <c r="CM1404">
        <v>94</v>
      </c>
      <c r="CN1404">
        <v>-0.28999999999999998</v>
      </c>
      <c r="CO1404">
        <v>94</v>
      </c>
      <c r="CP1404">
        <v>-4.4000000000000004</v>
      </c>
      <c r="CQ1404">
        <v>71</v>
      </c>
      <c r="CR1404">
        <v>0</v>
      </c>
      <c r="CS1404">
        <v>0</v>
      </c>
      <c r="CT1404">
        <v>3.7</v>
      </c>
      <c r="CU1404">
        <v>69</v>
      </c>
      <c r="CV1404">
        <v>-0.19</v>
      </c>
      <c r="CW1404">
        <v>27</v>
      </c>
      <c r="CX1404" t="s">
        <v>236</v>
      </c>
    </row>
    <row r="1405" spans="1:102" x14ac:dyDescent="0.3">
      <c r="A1405" t="str">
        <f>HYPERLINK("https://webapp.icbf.com/v2/app/bull-search/view/910804525","XGR")</f>
        <v>XGR</v>
      </c>
      <c r="B1405" t="s">
        <v>8293</v>
      </c>
      <c r="C1405" t="s">
        <v>8294</v>
      </c>
      <c r="D1405" s="1">
        <v>40413</v>
      </c>
      <c r="E1405" t="s">
        <v>92</v>
      </c>
      <c r="F1405">
        <v>75</v>
      </c>
      <c r="G1405" t="s">
        <v>109</v>
      </c>
      <c r="H1405">
        <v>113.78</v>
      </c>
      <c r="I1405">
        <v>75</v>
      </c>
      <c r="J1405">
        <v>62.1</v>
      </c>
      <c r="K1405">
        <v>89</v>
      </c>
      <c r="L1405">
        <v>32.85</v>
      </c>
      <c r="M1405">
        <v>69</v>
      </c>
      <c r="N1405">
        <v>12.91</v>
      </c>
      <c r="O1405">
        <v>68</v>
      </c>
      <c r="P1405">
        <v>-12.09</v>
      </c>
      <c r="Q1405">
        <v>63</v>
      </c>
      <c r="R1405">
        <v>5.51</v>
      </c>
      <c r="S1405">
        <v>68</v>
      </c>
      <c r="T1405">
        <v>10.050000000000001</v>
      </c>
      <c r="U1405">
        <v>67</v>
      </c>
      <c r="V1405">
        <v>2.4500000000000002</v>
      </c>
      <c r="W1405">
        <v>61</v>
      </c>
      <c r="X1405" t="s">
        <v>276</v>
      </c>
      <c r="Y1405" t="s">
        <v>435</v>
      </c>
      <c r="Z1405" t="s">
        <v>330</v>
      </c>
      <c r="AA1405" t="s">
        <v>2278</v>
      </c>
      <c r="AB1405" t="s">
        <v>144</v>
      </c>
      <c r="AC1405">
        <v>0</v>
      </c>
      <c r="AD1405">
        <v>0</v>
      </c>
      <c r="AE1405">
        <v>89</v>
      </c>
      <c r="AF1405">
        <v>315.7</v>
      </c>
      <c r="AG1405">
        <v>8.69</v>
      </c>
      <c r="AH1405">
        <v>12.32</v>
      </c>
      <c r="AI1405">
        <v>-0.06</v>
      </c>
      <c r="AJ1405">
        <v>0.03</v>
      </c>
      <c r="AK1405">
        <v>69</v>
      </c>
      <c r="AL1405">
        <v>0</v>
      </c>
      <c r="AM1405">
        <v>0</v>
      </c>
      <c r="AN1405">
        <v>-1.01</v>
      </c>
      <c r="AO1405">
        <v>1.62</v>
      </c>
      <c r="AP1405">
        <v>33</v>
      </c>
      <c r="AQ1405">
        <v>0</v>
      </c>
      <c r="AR1405">
        <v>6.5</v>
      </c>
      <c r="AS1405">
        <v>51</v>
      </c>
      <c r="AT1405">
        <v>2.42</v>
      </c>
      <c r="AU1405">
        <v>71</v>
      </c>
      <c r="AV1405">
        <v>-0.56999999999999995</v>
      </c>
      <c r="AW1405">
        <v>83</v>
      </c>
      <c r="AX1405">
        <v>-0.32</v>
      </c>
      <c r="AY1405">
        <v>57</v>
      </c>
      <c r="AZ1405">
        <v>7.22</v>
      </c>
      <c r="BA1405">
        <v>43</v>
      </c>
      <c r="BB1405">
        <v>4.93</v>
      </c>
      <c r="BC1405">
        <v>42</v>
      </c>
      <c r="BD1405">
        <v>-0.04</v>
      </c>
      <c r="BE1405">
        <v>0</v>
      </c>
      <c r="BF1405">
        <v>-0.06</v>
      </c>
      <c r="BG1405">
        <v>82</v>
      </c>
      <c r="BH1405">
        <v>7.0000000000000007E-2</v>
      </c>
      <c r="BI1405">
        <v>0.2</v>
      </c>
      <c r="BJ1405">
        <v>0</v>
      </c>
      <c r="BK1405">
        <v>0</v>
      </c>
      <c r="BL1405">
        <v>-1.53</v>
      </c>
      <c r="BM1405">
        <v>0.69</v>
      </c>
      <c r="BN1405">
        <v>-1.1599999999999999</v>
      </c>
      <c r="BO1405">
        <v>-0.92</v>
      </c>
      <c r="BP1405">
        <v>0.56000000000000005</v>
      </c>
      <c r="BQ1405">
        <v>-0.53</v>
      </c>
      <c r="BR1405">
        <v>1.96</v>
      </c>
      <c r="BS1405">
        <v>-0.75</v>
      </c>
      <c r="BT1405">
        <v>-0.85</v>
      </c>
      <c r="BU1405">
        <v>-1.03</v>
      </c>
      <c r="BV1405">
        <v>-0.09</v>
      </c>
      <c r="BW1405">
        <v>-1.02</v>
      </c>
      <c r="BX1405">
        <v>-0.13</v>
      </c>
      <c r="BY1405">
        <v>-1.99</v>
      </c>
      <c r="BZ1405">
        <v>0.69</v>
      </c>
      <c r="CA1405">
        <v>-0.88</v>
      </c>
      <c r="CB1405">
        <v>-0.97</v>
      </c>
      <c r="CC1405">
        <v>-0.96</v>
      </c>
      <c r="CD1405">
        <v>0.43</v>
      </c>
      <c r="CE1405">
        <v>-0.37</v>
      </c>
      <c r="CF1405">
        <v>-0.55000000000000004</v>
      </c>
      <c r="CG1405">
        <v>0</v>
      </c>
      <c r="CH1405">
        <v>-2.1</v>
      </c>
      <c r="CI1405">
        <v>0</v>
      </c>
      <c r="CJ1405">
        <v>-7.3</v>
      </c>
      <c r="CK1405">
        <v>66</v>
      </c>
      <c r="CL1405">
        <v>-0.59</v>
      </c>
      <c r="CM1405">
        <v>59</v>
      </c>
      <c r="CN1405">
        <v>-0.43</v>
      </c>
      <c r="CO1405">
        <v>57</v>
      </c>
      <c r="CP1405">
        <v>-6.4</v>
      </c>
      <c r="CQ1405">
        <v>61</v>
      </c>
      <c r="CR1405">
        <v>0</v>
      </c>
      <c r="CS1405">
        <v>0</v>
      </c>
      <c r="CT1405">
        <v>0.2</v>
      </c>
      <c r="CU1405">
        <v>67</v>
      </c>
      <c r="CV1405">
        <v>-0.03</v>
      </c>
      <c r="CW1405">
        <v>39</v>
      </c>
      <c r="CX1405" t="s">
        <v>1229</v>
      </c>
    </row>
    <row r="1406" spans="1:102" x14ac:dyDescent="0.3">
      <c r="A1406" t="str">
        <f>HYPERLINK("https://webapp.icbf.com/v2/app/bull-search/view/982451490","S2196")</f>
        <v>S2196</v>
      </c>
      <c r="B1406" t="s">
        <v>6001</v>
      </c>
      <c r="C1406" t="s">
        <v>6002</v>
      </c>
      <c r="D1406" s="1">
        <v>40453</v>
      </c>
      <c r="E1406" t="s">
        <v>92</v>
      </c>
      <c r="F1406">
        <v>100</v>
      </c>
      <c r="G1406" t="s">
        <v>109</v>
      </c>
      <c r="H1406">
        <v>113.67</v>
      </c>
      <c r="I1406">
        <v>77</v>
      </c>
      <c r="J1406">
        <v>73.25</v>
      </c>
      <c r="K1406">
        <v>93</v>
      </c>
      <c r="L1406">
        <v>-1.27</v>
      </c>
      <c r="M1406">
        <v>78</v>
      </c>
      <c r="N1406">
        <v>34.799999999999997</v>
      </c>
      <c r="O1406">
        <v>72</v>
      </c>
      <c r="P1406">
        <v>-8.6300000000000008</v>
      </c>
      <c r="Q1406">
        <v>54</v>
      </c>
      <c r="R1406">
        <v>5.55</v>
      </c>
      <c r="S1406">
        <v>75</v>
      </c>
      <c r="T1406">
        <v>-2.97</v>
      </c>
      <c r="U1406">
        <v>47</v>
      </c>
      <c r="V1406">
        <v>12.94</v>
      </c>
      <c r="W1406">
        <v>62</v>
      </c>
      <c r="X1406" t="s">
        <v>276</v>
      </c>
      <c r="Y1406" t="s">
        <v>367</v>
      </c>
      <c r="Z1406" t="s">
        <v>96</v>
      </c>
      <c r="AA1406" t="s">
        <v>1572</v>
      </c>
      <c r="AB1406" t="s">
        <v>6003</v>
      </c>
      <c r="AC1406">
        <v>0</v>
      </c>
      <c r="AD1406">
        <v>0</v>
      </c>
      <c r="AE1406">
        <v>93</v>
      </c>
      <c r="AF1406">
        <v>458.52</v>
      </c>
      <c r="AG1406">
        <v>10.7</v>
      </c>
      <c r="AH1406">
        <v>15.69</v>
      </c>
      <c r="AI1406">
        <v>-0.12</v>
      </c>
      <c r="AJ1406">
        <v>0</v>
      </c>
      <c r="AK1406">
        <v>78</v>
      </c>
      <c r="AL1406">
        <v>0</v>
      </c>
      <c r="AM1406">
        <v>0</v>
      </c>
      <c r="AN1406">
        <v>0.95</v>
      </c>
      <c r="AO1406">
        <v>0.86</v>
      </c>
      <c r="AP1406">
        <v>17</v>
      </c>
      <c r="AQ1406">
        <v>1</v>
      </c>
      <c r="AR1406">
        <v>5.15</v>
      </c>
      <c r="AS1406">
        <v>62</v>
      </c>
      <c r="AT1406">
        <v>2.06</v>
      </c>
      <c r="AU1406">
        <v>90</v>
      </c>
      <c r="AV1406">
        <v>-3.02</v>
      </c>
      <c r="AW1406">
        <v>78</v>
      </c>
      <c r="AX1406">
        <v>0.3</v>
      </c>
      <c r="AY1406">
        <v>54</v>
      </c>
      <c r="AZ1406">
        <v>6.94</v>
      </c>
      <c r="BA1406">
        <v>50</v>
      </c>
      <c r="BB1406">
        <v>5.26</v>
      </c>
      <c r="BC1406">
        <v>47</v>
      </c>
      <c r="BD1406">
        <v>-0.01</v>
      </c>
      <c r="BE1406">
        <v>0.01</v>
      </c>
      <c r="BF1406">
        <v>-0.13</v>
      </c>
      <c r="BG1406">
        <v>89</v>
      </c>
      <c r="BH1406">
        <v>0.27</v>
      </c>
      <c r="BI1406">
        <v>-10.52</v>
      </c>
      <c r="BJ1406">
        <v>6</v>
      </c>
      <c r="BK1406">
        <v>1</v>
      </c>
      <c r="BL1406">
        <v>0.13</v>
      </c>
      <c r="BM1406">
        <v>-1.52</v>
      </c>
      <c r="BN1406">
        <v>-0.7</v>
      </c>
      <c r="BO1406">
        <v>0.32</v>
      </c>
      <c r="BP1406">
        <v>-0.02</v>
      </c>
      <c r="BQ1406">
        <v>-1.05</v>
      </c>
      <c r="BR1406">
        <v>-1.49</v>
      </c>
      <c r="BS1406">
        <v>2.25</v>
      </c>
      <c r="BT1406">
        <v>0.28000000000000003</v>
      </c>
      <c r="BU1406">
        <v>0.86</v>
      </c>
      <c r="BV1406">
        <v>2.66</v>
      </c>
      <c r="BW1406">
        <v>3.02</v>
      </c>
      <c r="BX1406">
        <v>0.17</v>
      </c>
      <c r="BY1406">
        <v>3.23</v>
      </c>
      <c r="BZ1406">
        <v>-0.82</v>
      </c>
      <c r="CA1406">
        <v>1.99</v>
      </c>
      <c r="CB1406">
        <v>1.73</v>
      </c>
      <c r="CC1406">
        <v>1.72</v>
      </c>
      <c r="CD1406">
        <v>-0.37</v>
      </c>
      <c r="CE1406">
        <v>0.93</v>
      </c>
      <c r="CF1406">
        <v>0.32</v>
      </c>
      <c r="CG1406">
        <v>0</v>
      </c>
      <c r="CH1406">
        <v>2.72</v>
      </c>
      <c r="CI1406">
        <v>0</v>
      </c>
      <c r="CJ1406">
        <v>-0.8</v>
      </c>
      <c r="CK1406">
        <v>55</v>
      </c>
      <c r="CL1406">
        <v>-1.1100000000000001</v>
      </c>
      <c r="CM1406">
        <v>52</v>
      </c>
      <c r="CN1406">
        <v>-0.3</v>
      </c>
      <c r="CO1406">
        <v>52</v>
      </c>
      <c r="CP1406">
        <v>2.8</v>
      </c>
      <c r="CQ1406">
        <v>50</v>
      </c>
      <c r="CR1406">
        <v>0</v>
      </c>
      <c r="CS1406">
        <v>0</v>
      </c>
      <c r="CT1406">
        <v>17.8</v>
      </c>
      <c r="CU1406">
        <v>47</v>
      </c>
      <c r="CV1406">
        <v>0.35</v>
      </c>
      <c r="CW1406">
        <v>37</v>
      </c>
      <c r="CX1406" t="s">
        <v>2131</v>
      </c>
    </row>
    <row r="1407" spans="1:102" x14ac:dyDescent="0.3">
      <c r="A1407" t="str">
        <f>HYPERLINK("https://webapp.icbf.com/v2/app/bull-search/view/660262411","S942")</f>
        <v>S942</v>
      </c>
      <c r="B1407" t="s">
        <v>300</v>
      </c>
      <c r="C1407" t="s">
        <v>301</v>
      </c>
      <c r="D1407" s="1">
        <v>38687</v>
      </c>
      <c r="E1407" t="s">
        <v>146</v>
      </c>
      <c r="F1407">
        <v>13</v>
      </c>
      <c r="G1407" t="s">
        <v>109</v>
      </c>
      <c r="H1407">
        <v>113.47</v>
      </c>
      <c r="I1407">
        <v>56</v>
      </c>
      <c r="J1407">
        <v>-1.24</v>
      </c>
      <c r="K1407">
        <v>66</v>
      </c>
      <c r="L1407">
        <v>86.83</v>
      </c>
      <c r="M1407">
        <v>45</v>
      </c>
      <c r="N1407">
        <v>19.52</v>
      </c>
      <c r="O1407">
        <v>60</v>
      </c>
      <c r="P1407">
        <v>-5.93</v>
      </c>
      <c r="Q1407">
        <v>75</v>
      </c>
      <c r="R1407">
        <v>1.41</v>
      </c>
      <c r="S1407">
        <v>51</v>
      </c>
      <c r="T1407">
        <v>20.41</v>
      </c>
      <c r="U1407">
        <v>51</v>
      </c>
      <c r="V1407">
        <v>-7.53</v>
      </c>
      <c r="W1407">
        <v>19</v>
      </c>
      <c r="X1407" t="s">
        <v>302</v>
      </c>
      <c r="Y1407" t="s">
        <v>303</v>
      </c>
      <c r="Z1407">
        <v>0</v>
      </c>
      <c r="AA1407" t="s">
        <v>304</v>
      </c>
      <c r="AB1407" t="s">
        <v>305</v>
      </c>
      <c r="AC1407">
        <v>0</v>
      </c>
      <c r="AD1407">
        <v>0</v>
      </c>
      <c r="AE1407">
        <v>66</v>
      </c>
      <c r="AF1407">
        <v>-107.57</v>
      </c>
      <c r="AG1407">
        <v>-2.2799999999999998</v>
      </c>
      <c r="AH1407">
        <v>-1.05</v>
      </c>
      <c r="AI1407">
        <v>0.03</v>
      </c>
      <c r="AJ1407">
        <v>0.04</v>
      </c>
      <c r="AK1407">
        <v>45</v>
      </c>
      <c r="AL1407">
        <v>0</v>
      </c>
      <c r="AM1407">
        <v>0</v>
      </c>
      <c r="AN1407">
        <v>-5.09</v>
      </c>
      <c r="AO1407">
        <v>1.83</v>
      </c>
      <c r="AP1407">
        <v>25</v>
      </c>
      <c r="AQ1407">
        <v>0</v>
      </c>
      <c r="AR1407">
        <v>5.09</v>
      </c>
      <c r="AS1407">
        <v>41</v>
      </c>
      <c r="AT1407">
        <v>2.46</v>
      </c>
      <c r="AU1407">
        <v>60</v>
      </c>
      <c r="AV1407">
        <v>-1.78</v>
      </c>
      <c r="AW1407">
        <v>76</v>
      </c>
      <c r="AX1407">
        <v>-0.62</v>
      </c>
      <c r="AY1407">
        <v>53</v>
      </c>
      <c r="AZ1407">
        <v>6.91</v>
      </c>
      <c r="BA1407">
        <v>35</v>
      </c>
      <c r="BB1407">
        <v>6.24</v>
      </c>
      <c r="BC1407">
        <v>35</v>
      </c>
      <c r="BD1407">
        <v>-0.02</v>
      </c>
      <c r="BE1407">
        <v>-0.01</v>
      </c>
      <c r="BF1407">
        <v>0.02</v>
      </c>
      <c r="BG1407">
        <v>72</v>
      </c>
      <c r="BH1407">
        <v>-0.21</v>
      </c>
      <c r="BI1407">
        <v>0.01</v>
      </c>
      <c r="BJ1407">
        <v>0</v>
      </c>
      <c r="BK1407">
        <v>0</v>
      </c>
      <c r="BL1407">
        <v>-2.48</v>
      </c>
      <c r="BM1407">
        <v>1.89</v>
      </c>
      <c r="BN1407">
        <v>-1.19</v>
      </c>
      <c r="BO1407">
        <v>-1.79</v>
      </c>
      <c r="BP1407">
        <v>2.94</v>
      </c>
      <c r="BQ1407">
        <v>-1.63</v>
      </c>
      <c r="BR1407">
        <v>1.41</v>
      </c>
      <c r="BS1407">
        <v>-0.02</v>
      </c>
      <c r="BT1407">
        <v>-2.4500000000000002</v>
      </c>
      <c r="BU1407">
        <v>-2.4</v>
      </c>
      <c r="BV1407">
        <v>-2.0699999999999998</v>
      </c>
      <c r="BW1407">
        <v>-1.77</v>
      </c>
      <c r="BX1407">
        <v>-1.85</v>
      </c>
      <c r="BY1407">
        <v>-0.31</v>
      </c>
      <c r="BZ1407">
        <v>-0.66</v>
      </c>
      <c r="CA1407">
        <v>-1.8</v>
      </c>
      <c r="CB1407">
        <v>-1.94</v>
      </c>
      <c r="CC1407">
        <v>-0.71</v>
      </c>
      <c r="CD1407">
        <v>1.88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-6.8</v>
      </c>
      <c r="CK1407">
        <v>78</v>
      </c>
      <c r="CL1407">
        <v>0.14000000000000001</v>
      </c>
      <c r="CM1407">
        <v>75</v>
      </c>
      <c r="CN1407">
        <v>-0.37</v>
      </c>
      <c r="CO1407">
        <v>73</v>
      </c>
      <c r="CP1407">
        <v>-15.5</v>
      </c>
      <c r="CQ1407">
        <v>60</v>
      </c>
      <c r="CR1407">
        <v>0</v>
      </c>
      <c r="CS1407">
        <v>0</v>
      </c>
      <c r="CT1407">
        <v>-13.8</v>
      </c>
      <c r="CU1407">
        <v>51</v>
      </c>
      <c r="CV1407">
        <v>-0.31</v>
      </c>
      <c r="CW1407">
        <v>41</v>
      </c>
      <c r="CX1407" t="s">
        <v>306</v>
      </c>
    </row>
    <row r="1408" spans="1:102" x14ac:dyDescent="0.3">
      <c r="A1408" t="str">
        <f>HYPERLINK("https://webapp.icbf.com/v2/app/bull-search/view/1038132839","OBK")</f>
        <v>OBK</v>
      </c>
      <c r="B1408" t="s">
        <v>5759</v>
      </c>
      <c r="C1408" t="s">
        <v>5760</v>
      </c>
      <c r="D1408" s="1">
        <v>41300</v>
      </c>
      <c r="E1408" t="s">
        <v>92</v>
      </c>
      <c r="F1408">
        <v>75</v>
      </c>
      <c r="G1408" t="s">
        <v>93</v>
      </c>
      <c r="H1408">
        <v>113.43</v>
      </c>
      <c r="I1408">
        <v>88</v>
      </c>
      <c r="J1408">
        <v>62.26</v>
      </c>
      <c r="K1408">
        <v>98</v>
      </c>
      <c r="L1408">
        <v>56.25</v>
      </c>
      <c r="M1408">
        <v>79</v>
      </c>
      <c r="N1408">
        <v>12.95</v>
      </c>
      <c r="O1408">
        <v>88</v>
      </c>
      <c r="P1408">
        <v>-3.16</v>
      </c>
      <c r="Q1408">
        <v>94</v>
      </c>
      <c r="R1408">
        <v>-13.02</v>
      </c>
      <c r="S1408">
        <v>80</v>
      </c>
      <c r="T1408">
        <v>-0.38</v>
      </c>
      <c r="U1408">
        <v>85</v>
      </c>
      <c r="V1408">
        <v>-1.47</v>
      </c>
      <c r="W1408">
        <v>73</v>
      </c>
      <c r="X1408" t="s">
        <v>94</v>
      </c>
      <c r="Y1408" t="s">
        <v>389</v>
      </c>
      <c r="Z1408" t="s">
        <v>96</v>
      </c>
      <c r="AA1408" t="s">
        <v>3085</v>
      </c>
      <c r="AB1408" t="s">
        <v>5761</v>
      </c>
      <c r="AC1408">
        <v>130</v>
      </c>
      <c r="AD1408">
        <v>89</v>
      </c>
      <c r="AE1408">
        <v>98</v>
      </c>
      <c r="AF1408">
        <v>165.53</v>
      </c>
      <c r="AG1408">
        <v>8.57</v>
      </c>
      <c r="AH1408">
        <v>10.09</v>
      </c>
      <c r="AI1408">
        <v>0.04</v>
      </c>
      <c r="AJ1408">
        <v>0.08</v>
      </c>
      <c r="AK1408">
        <v>79</v>
      </c>
      <c r="AL1408">
        <v>158</v>
      </c>
      <c r="AM1408">
        <v>104</v>
      </c>
      <c r="AN1408">
        <v>-1.99</v>
      </c>
      <c r="AO1408">
        <v>2.5099999999999998</v>
      </c>
      <c r="AP1408">
        <v>398</v>
      </c>
      <c r="AQ1408">
        <v>1</v>
      </c>
      <c r="AR1408">
        <v>6.79</v>
      </c>
      <c r="AS1408">
        <v>82</v>
      </c>
      <c r="AT1408">
        <v>2.57</v>
      </c>
      <c r="AU1408">
        <v>91</v>
      </c>
      <c r="AV1408">
        <v>-3.2</v>
      </c>
      <c r="AW1408">
        <v>98</v>
      </c>
      <c r="AX1408">
        <v>1.63</v>
      </c>
      <c r="AY1408">
        <v>87</v>
      </c>
      <c r="AZ1408">
        <v>10.7</v>
      </c>
      <c r="BA1408">
        <v>69</v>
      </c>
      <c r="BB1408">
        <v>6.31</v>
      </c>
      <c r="BC1408">
        <v>62</v>
      </c>
      <c r="BD1408">
        <v>-0.01</v>
      </c>
      <c r="BE1408">
        <v>0.04</v>
      </c>
      <c r="BF1408">
        <v>0.24</v>
      </c>
      <c r="BG1408">
        <v>89</v>
      </c>
      <c r="BH1408">
        <v>0.02</v>
      </c>
      <c r="BI1408">
        <v>7.04</v>
      </c>
      <c r="BJ1408">
        <v>8</v>
      </c>
      <c r="BK1408">
        <v>6</v>
      </c>
      <c r="BL1408">
        <v>-0.89</v>
      </c>
      <c r="BM1408">
        <v>0.51</v>
      </c>
      <c r="BN1408">
        <v>0.45</v>
      </c>
      <c r="BO1408">
        <v>-0.31</v>
      </c>
      <c r="BP1408">
        <v>2.36</v>
      </c>
      <c r="BQ1408">
        <v>-2.35</v>
      </c>
      <c r="BR1408">
        <v>1.48</v>
      </c>
      <c r="BS1408">
        <v>-0.51</v>
      </c>
      <c r="BT1408">
        <v>-1.51</v>
      </c>
      <c r="BU1408">
        <v>-0.27</v>
      </c>
      <c r="BV1408">
        <v>-0.26</v>
      </c>
      <c r="BW1408">
        <v>-0.79</v>
      </c>
      <c r="BX1408">
        <v>-1.63</v>
      </c>
      <c r="BY1408">
        <v>0.46</v>
      </c>
      <c r="BZ1408">
        <v>-1.04</v>
      </c>
      <c r="CA1408">
        <v>-0.41</v>
      </c>
      <c r="CB1408">
        <v>-0.24</v>
      </c>
      <c r="CC1408">
        <v>-0.5</v>
      </c>
      <c r="CD1408">
        <v>0.53</v>
      </c>
      <c r="CE1408">
        <v>-0.13</v>
      </c>
      <c r="CF1408">
        <v>-0.67</v>
      </c>
      <c r="CG1408">
        <v>0</v>
      </c>
      <c r="CH1408">
        <v>-0.04</v>
      </c>
      <c r="CI1408">
        <v>0</v>
      </c>
      <c r="CJ1408">
        <v>0.6</v>
      </c>
      <c r="CK1408">
        <v>96</v>
      </c>
      <c r="CL1408">
        <v>-0.57999999999999996</v>
      </c>
      <c r="CM1408">
        <v>95</v>
      </c>
      <c r="CN1408">
        <v>-0.2</v>
      </c>
      <c r="CO1408">
        <v>94</v>
      </c>
      <c r="CP1408">
        <v>-2.2999999999999998</v>
      </c>
      <c r="CQ1408">
        <v>81</v>
      </c>
      <c r="CR1408">
        <v>0</v>
      </c>
      <c r="CS1408">
        <v>0</v>
      </c>
      <c r="CT1408">
        <v>14.3</v>
      </c>
      <c r="CU1408">
        <v>85</v>
      </c>
      <c r="CV1408">
        <v>0.21</v>
      </c>
      <c r="CW1408">
        <v>46</v>
      </c>
      <c r="CX1408" t="s">
        <v>792</v>
      </c>
    </row>
    <row r="1409" spans="1:102" x14ac:dyDescent="0.3">
      <c r="A1409" t="str">
        <f>HYPERLINK("https://webapp.icbf.com/v2/app/bull-search/view/760391960","DFF")</f>
        <v>DFF</v>
      </c>
      <c r="B1409" t="s">
        <v>12989</v>
      </c>
      <c r="C1409" t="s">
        <v>12990</v>
      </c>
      <c r="D1409" s="1">
        <v>40016</v>
      </c>
      <c r="E1409" t="s">
        <v>108</v>
      </c>
      <c r="F1409">
        <v>38</v>
      </c>
      <c r="G1409" t="s">
        <v>109</v>
      </c>
      <c r="H1409">
        <v>113.31</v>
      </c>
      <c r="I1409">
        <v>73</v>
      </c>
      <c r="J1409">
        <v>54.21</v>
      </c>
      <c r="K1409">
        <v>88</v>
      </c>
      <c r="L1409">
        <v>37.520000000000003</v>
      </c>
      <c r="M1409">
        <v>66</v>
      </c>
      <c r="N1409">
        <v>18.52</v>
      </c>
      <c r="O1409">
        <v>67</v>
      </c>
      <c r="P1409">
        <v>-35.729999999999997</v>
      </c>
      <c r="Q1409">
        <v>78</v>
      </c>
      <c r="R1409">
        <v>4.55</v>
      </c>
      <c r="S1409">
        <v>65</v>
      </c>
      <c r="T1409">
        <v>31.66</v>
      </c>
      <c r="U1409">
        <v>55</v>
      </c>
      <c r="V1409">
        <v>2.58</v>
      </c>
      <c r="W1409">
        <v>58</v>
      </c>
      <c r="X1409" t="s">
        <v>276</v>
      </c>
      <c r="Y1409" t="s">
        <v>435</v>
      </c>
      <c r="Z1409" t="s">
        <v>330</v>
      </c>
      <c r="AA1409" t="s">
        <v>331</v>
      </c>
      <c r="AB1409" t="s">
        <v>12991</v>
      </c>
      <c r="AC1409">
        <v>0</v>
      </c>
      <c r="AD1409">
        <v>0</v>
      </c>
      <c r="AE1409">
        <v>88</v>
      </c>
      <c r="AF1409">
        <v>99.84</v>
      </c>
      <c r="AG1409">
        <v>16.36</v>
      </c>
      <c r="AH1409">
        <v>4.96</v>
      </c>
      <c r="AI1409">
        <v>0.21</v>
      </c>
      <c r="AJ1409">
        <v>0.03</v>
      </c>
      <c r="AK1409">
        <v>66</v>
      </c>
      <c r="AL1409">
        <v>0</v>
      </c>
      <c r="AM1409">
        <v>0</v>
      </c>
      <c r="AN1409">
        <v>-1.45</v>
      </c>
      <c r="AO1409">
        <v>1.55</v>
      </c>
      <c r="AP1409">
        <v>47</v>
      </c>
      <c r="AQ1409">
        <v>1</v>
      </c>
      <c r="AR1409">
        <v>6.69</v>
      </c>
      <c r="AS1409">
        <v>51</v>
      </c>
      <c r="AT1409">
        <v>2.4500000000000002</v>
      </c>
      <c r="AU1409">
        <v>72</v>
      </c>
      <c r="AV1409">
        <v>-1.5</v>
      </c>
      <c r="AW1409">
        <v>81</v>
      </c>
      <c r="AX1409">
        <v>-0.47</v>
      </c>
      <c r="AY1409">
        <v>57</v>
      </c>
      <c r="AZ1409">
        <v>6.43</v>
      </c>
      <c r="BA1409">
        <v>43</v>
      </c>
      <c r="BB1409">
        <v>5.45</v>
      </c>
      <c r="BC1409">
        <v>42</v>
      </c>
      <c r="BD1409">
        <v>0.02</v>
      </c>
      <c r="BE1409">
        <v>-0.02</v>
      </c>
      <c r="BF1409">
        <v>-0.1</v>
      </c>
      <c r="BG1409">
        <v>79</v>
      </c>
      <c r="BH1409">
        <v>7.0000000000000007E-2</v>
      </c>
      <c r="BI1409">
        <v>-0.22</v>
      </c>
      <c r="BJ1409">
        <v>0</v>
      </c>
      <c r="BK1409">
        <v>0</v>
      </c>
      <c r="BL1409">
        <v>-3.07</v>
      </c>
      <c r="BM1409">
        <v>0.44</v>
      </c>
      <c r="BN1409">
        <v>-1.32</v>
      </c>
      <c r="BO1409">
        <v>-1.08</v>
      </c>
      <c r="BP1409">
        <v>0.28999999999999998</v>
      </c>
      <c r="BQ1409">
        <v>-3.26</v>
      </c>
      <c r="BR1409">
        <v>1.65</v>
      </c>
      <c r="BS1409">
        <v>0.13</v>
      </c>
      <c r="BT1409">
        <v>-0.03</v>
      </c>
      <c r="BU1409">
        <v>-0.27</v>
      </c>
      <c r="BV1409">
        <v>-0.75</v>
      </c>
      <c r="BW1409">
        <v>-1.19</v>
      </c>
      <c r="BX1409">
        <v>-0.41</v>
      </c>
      <c r="BY1409">
        <v>-0.84</v>
      </c>
      <c r="BZ1409">
        <v>0</v>
      </c>
      <c r="CA1409">
        <v>-1.06</v>
      </c>
      <c r="CB1409">
        <v>-0.68</v>
      </c>
      <c r="CC1409">
        <v>-0.01</v>
      </c>
      <c r="CD1409">
        <v>1.35</v>
      </c>
      <c r="CE1409">
        <v>-0.17</v>
      </c>
      <c r="CF1409">
        <v>-0.17</v>
      </c>
      <c r="CG1409">
        <v>0</v>
      </c>
      <c r="CH1409">
        <v>-1.5</v>
      </c>
      <c r="CI1409">
        <v>0</v>
      </c>
      <c r="CJ1409">
        <v>-16.8</v>
      </c>
      <c r="CK1409">
        <v>81</v>
      </c>
      <c r="CL1409">
        <v>-0.94</v>
      </c>
      <c r="CM1409">
        <v>78</v>
      </c>
      <c r="CN1409">
        <v>-0.03</v>
      </c>
      <c r="CO1409">
        <v>76</v>
      </c>
      <c r="CP1409">
        <v>-21.3</v>
      </c>
      <c r="CQ1409">
        <v>62</v>
      </c>
      <c r="CR1409">
        <v>0</v>
      </c>
      <c r="CS1409">
        <v>0</v>
      </c>
      <c r="CT1409">
        <v>-29</v>
      </c>
      <c r="CU1409">
        <v>55</v>
      </c>
      <c r="CV1409">
        <v>0.08</v>
      </c>
      <c r="CW1409">
        <v>42</v>
      </c>
      <c r="CX1409" t="s">
        <v>5620</v>
      </c>
    </row>
    <row r="1410" spans="1:102" x14ac:dyDescent="0.3">
      <c r="A1410" t="str">
        <f>HYPERLINK("https://webapp.icbf.com/v2/app/bull-search/view/910800141","S2089")</f>
        <v>S2089</v>
      </c>
      <c r="B1410" t="s">
        <v>14532</v>
      </c>
      <c r="C1410" t="s">
        <v>2322</v>
      </c>
      <c r="D1410" s="1">
        <v>40095</v>
      </c>
      <c r="E1410" t="s">
        <v>227</v>
      </c>
      <c r="F1410">
        <v>0</v>
      </c>
      <c r="G1410" t="s">
        <v>93</v>
      </c>
      <c r="H1410">
        <v>113.21</v>
      </c>
      <c r="I1410">
        <v>80</v>
      </c>
      <c r="J1410">
        <v>23.03</v>
      </c>
      <c r="K1410">
        <v>94</v>
      </c>
      <c r="L1410">
        <v>81.44</v>
      </c>
      <c r="M1410">
        <v>76</v>
      </c>
      <c r="N1410">
        <v>3.6</v>
      </c>
      <c r="O1410">
        <v>80</v>
      </c>
      <c r="P1410">
        <v>-61.69</v>
      </c>
      <c r="Q1410">
        <v>65</v>
      </c>
      <c r="R1410">
        <v>2.75</v>
      </c>
      <c r="S1410">
        <v>55</v>
      </c>
      <c r="T1410">
        <v>59.56</v>
      </c>
      <c r="U1410">
        <v>83</v>
      </c>
      <c r="V1410">
        <v>4.5199999999999996</v>
      </c>
      <c r="W1410">
        <v>41</v>
      </c>
      <c r="X1410" t="s">
        <v>94</v>
      </c>
      <c r="Y1410" t="s">
        <v>367</v>
      </c>
      <c r="Z1410">
        <v>0</v>
      </c>
      <c r="AA1410" t="s">
        <v>371</v>
      </c>
      <c r="AB1410" t="s">
        <v>144</v>
      </c>
      <c r="AC1410">
        <v>73</v>
      </c>
      <c r="AD1410">
        <v>16</v>
      </c>
      <c r="AE1410">
        <v>94</v>
      </c>
      <c r="AF1410">
        <v>-369.44</v>
      </c>
      <c r="AG1410">
        <v>6.34</v>
      </c>
      <c r="AH1410">
        <v>-3.98</v>
      </c>
      <c r="AI1410">
        <v>0.37</v>
      </c>
      <c r="AJ1410">
        <v>0.15</v>
      </c>
      <c r="AK1410">
        <v>76</v>
      </c>
      <c r="AL1410">
        <v>52</v>
      </c>
      <c r="AM1410">
        <v>13</v>
      </c>
      <c r="AN1410">
        <v>-4.05</v>
      </c>
      <c r="AO1410">
        <v>2.4500000000000002</v>
      </c>
      <c r="AP1410">
        <v>240</v>
      </c>
      <c r="AQ1410">
        <v>6</v>
      </c>
      <c r="AR1410">
        <v>4.3499999999999996</v>
      </c>
      <c r="AS1410">
        <v>75</v>
      </c>
      <c r="AT1410">
        <v>2.2200000000000002</v>
      </c>
      <c r="AU1410">
        <v>82</v>
      </c>
      <c r="AV1410">
        <v>-0.08</v>
      </c>
      <c r="AW1410">
        <v>97</v>
      </c>
      <c r="AX1410">
        <v>5.08</v>
      </c>
      <c r="AY1410">
        <v>81</v>
      </c>
      <c r="AZ1410">
        <v>6.06</v>
      </c>
      <c r="BA1410">
        <v>50</v>
      </c>
      <c r="BB1410">
        <v>4.74</v>
      </c>
      <c r="BC1410">
        <v>37</v>
      </c>
      <c r="BD1410">
        <v>-0.02</v>
      </c>
      <c r="BE1410">
        <v>0</v>
      </c>
      <c r="BF1410">
        <v>-0.03</v>
      </c>
      <c r="BG1410">
        <v>74</v>
      </c>
      <c r="BH1410">
        <v>0.08</v>
      </c>
      <c r="BI1410">
        <v>-5.32</v>
      </c>
      <c r="BJ1410">
        <v>0</v>
      </c>
      <c r="BK1410">
        <v>0</v>
      </c>
      <c r="BL1410">
        <v>-1.37</v>
      </c>
      <c r="BM1410">
        <v>-1.65</v>
      </c>
      <c r="BN1410">
        <v>-0.16</v>
      </c>
      <c r="BO1410">
        <v>1.47</v>
      </c>
      <c r="BP1410">
        <v>0.03</v>
      </c>
      <c r="BQ1410">
        <v>-5.36</v>
      </c>
      <c r="BR1410">
        <v>1.91</v>
      </c>
      <c r="BS1410">
        <v>6.82</v>
      </c>
      <c r="BT1410">
        <v>-0.75</v>
      </c>
      <c r="BU1410">
        <v>0.52</v>
      </c>
      <c r="BV1410">
        <v>0.6</v>
      </c>
      <c r="BW1410">
        <v>-1.26</v>
      </c>
      <c r="BX1410">
        <v>-2.1800000000000002</v>
      </c>
      <c r="BY1410">
        <v>0.31</v>
      </c>
      <c r="BZ1410">
        <v>0.31</v>
      </c>
      <c r="CA1410">
        <v>1.96</v>
      </c>
      <c r="CB1410">
        <v>0.46</v>
      </c>
      <c r="CC1410">
        <v>4.16</v>
      </c>
      <c r="CD1410">
        <v>-2.2400000000000002</v>
      </c>
      <c r="CE1410">
        <v>1.26</v>
      </c>
      <c r="CF1410">
        <v>-1.26</v>
      </c>
      <c r="CG1410">
        <v>0</v>
      </c>
      <c r="CH1410">
        <v>-0.59</v>
      </c>
      <c r="CI1410">
        <v>0</v>
      </c>
      <c r="CJ1410">
        <v>-34.9</v>
      </c>
      <c r="CK1410">
        <v>71</v>
      </c>
      <c r="CL1410">
        <v>-1.35</v>
      </c>
      <c r="CM1410">
        <v>58</v>
      </c>
      <c r="CN1410">
        <v>-0.66</v>
      </c>
      <c r="CO1410">
        <v>55</v>
      </c>
      <c r="CP1410">
        <v>-48.8</v>
      </c>
      <c r="CQ1410">
        <v>58</v>
      </c>
      <c r="CR1410">
        <v>0</v>
      </c>
      <c r="CS1410">
        <v>0</v>
      </c>
      <c r="CT1410">
        <v>-66.7</v>
      </c>
      <c r="CU1410">
        <v>83</v>
      </c>
      <c r="CV1410">
        <v>-0.42</v>
      </c>
      <c r="CW1410">
        <v>19</v>
      </c>
      <c r="CX1410" t="s">
        <v>2659</v>
      </c>
    </row>
    <row r="1411" spans="1:102" x14ac:dyDescent="0.3">
      <c r="A1411" t="str">
        <f>HYPERLINK("https://webapp.icbf.com/v2/app/bull-search/view/956049945","CFF")</f>
        <v>CFF</v>
      </c>
      <c r="B1411" t="s">
        <v>5733</v>
      </c>
      <c r="C1411" t="s">
        <v>5734</v>
      </c>
      <c r="D1411" s="1">
        <v>40972</v>
      </c>
      <c r="E1411" t="s">
        <v>92</v>
      </c>
      <c r="F1411">
        <v>78</v>
      </c>
      <c r="G1411" t="s">
        <v>93</v>
      </c>
      <c r="H1411">
        <v>113.13</v>
      </c>
      <c r="I1411">
        <v>95</v>
      </c>
      <c r="J1411">
        <v>34.47</v>
      </c>
      <c r="K1411">
        <v>99</v>
      </c>
      <c r="L1411">
        <v>52.65</v>
      </c>
      <c r="M1411">
        <v>91</v>
      </c>
      <c r="N1411">
        <v>36.76</v>
      </c>
      <c r="O1411">
        <v>98</v>
      </c>
      <c r="P1411">
        <v>-15.3</v>
      </c>
      <c r="Q1411">
        <v>99</v>
      </c>
      <c r="R1411">
        <v>-4.0599999999999996</v>
      </c>
      <c r="S1411">
        <v>92</v>
      </c>
      <c r="T1411">
        <v>3.91</v>
      </c>
      <c r="U1411">
        <v>97</v>
      </c>
      <c r="V1411">
        <v>4.7</v>
      </c>
      <c r="W1411">
        <v>78</v>
      </c>
      <c r="X1411" t="s">
        <v>94</v>
      </c>
      <c r="Y1411" t="s">
        <v>1923</v>
      </c>
      <c r="Z1411" t="s">
        <v>330</v>
      </c>
      <c r="AA1411" t="s">
        <v>5735</v>
      </c>
      <c r="AB1411" t="s">
        <v>5736</v>
      </c>
      <c r="AC1411">
        <v>2694</v>
      </c>
      <c r="AD1411">
        <v>879</v>
      </c>
      <c r="AE1411">
        <v>99</v>
      </c>
      <c r="AF1411">
        <v>40.93</v>
      </c>
      <c r="AG1411">
        <v>5.03</v>
      </c>
      <c r="AH1411">
        <v>4.71</v>
      </c>
      <c r="AI1411">
        <v>0.06</v>
      </c>
      <c r="AJ1411">
        <v>0.06</v>
      </c>
      <c r="AK1411">
        <v>91</v>
      </c>
      <c r="AL1411">
        <v>2849</v>
      </c>
      <c r="AM1411">
        <v>1022</v>
      </c>
      <c r="AN1411">
        <v>-2.75</v>
      </c>
      <c r="AO1411">
        <v>1.45</v>
      </c>
      <c r="AP1411">
        <v>7059</v>
      </c>
      <c r="AQ1411">
        <v>25</v>
      </c>
      <c r="AR1411">
        <v>5.67</v>
      </c>
      <c r="AS1411">
        <v>99</v>
      </c>
      <c r="AT1411">
        <v>2.12</v>
      </c>
      <c r="AU1411">
        <v>98</v>
      </c>
      <c r="AV1411">
        <v>-3.13</v>
      </c>
      <c r="AW1411">
        <v>99</v>
      </c>
      <c r="AX1411">
        <v>0.7</v>
      </c>
      <c r="AY1411">
        <v>99</v>
      </c>
      <c r="AZ1411">
        <v>6.11</v>
      </c>
      <c r="BA1411">
        <v>97</v>
      </c>
      <c r="BB1411">
        <v>4.8</v>
      </c>
      <c r="BC1411">
        <v>92</v>
      </c>
      <c r="BD1411">
        <v>0.02</v>
      </c>
      <c r="BE1411">
        <v>0</v>
      </c>
      <c r="BF1411">
        <v>0.06</v>
      </c>
      <c r="BG1411">
        <v>99</v>
      </c>
      <c r="BH1411">
        <v>0.06</v>
      </c>
      <c r="BI1411">
        <v>-8.23</v>
      </c>
      <c r="BJ1411">
        <v>43</v>
      </c>
      <c r="BK1411">
        <v>21</v>
      </c>
      <c r="BL1411">
        <v>-0.79</v>
      </c>
      <c r="BM1411">
        <v>0.74</v>
      </c>
      <c r="BN1411">
        <v>-1.42</v>
      </c>
      <c r="BO1411">
        <v>-2.0699999999999998</v>
      </c>
      <c r="BP1411">
        <v>0.78</v>
      </c>
      <c r="BQ1411">
        <v>-1.1399999999999999</v>
      </c>
      <c r="BR1411">
        <v>-1.51</v>
      </c>
      <c r="BS1411">
        <v>-0.1</v>
      </c>
      <c r="BT1411">
        <v>-0.26</v>
      </c>
      <c r="BU1411">
        <v>2.02</v>
      </c>
      <c r="BV1411">
        <v>0.48</v>
      </c>
      <c r="BW1411">
        <v>0.18</v>
      </c>
      <c r="BX1411">
        <v>1.77</v>
      </c>
      <c r="BY1411">
        <v>-1.03</v>
      </c>
      <c r="BZ1411">
        <v>0.53</v>
      </c>
      <c r="CA1411">
        <v>0.28000000000000003</v>
      </c>
      <c r="CB1411">
        <v>0.3</v>
      </c>
      <c r="CC1411">
        <v>-0.19</v>
      </c>
      <c r="CD1411">
        <v>1.87</v>
      </c>
      <c r="CE1411">
        <v>-1.75</v>
      </c>
      <c r="CF1411">
        <v>-0.91</v>
      </c>
      <c r="CG1411">
        <v>0</v>
      </c>
      <c r="CH1411">
        <v>-0.67</v>
      </c>
      <c r="CI1411">
        <v>0</v>
      </c>
      <c r="CJ1411">
        <v>-4.5999999999999996</v>
      </c>
      <c r="CK1411">
        <v>99</v>
      </c>
      <c r="CL1411">
        <v>-0.74</v>
      </c>
      <c r="CM1411">
        <v>99</v>
      </c>
      <c r="CN1411">
        <v>0.11</v>
      </c>
      <c r="CO1411">
        <v>99</v>
      </c>
      <c r="CP1411">
        <v>-0.2</v>
      </c>
      <c r="CQ1411">
        <v>97</v>
      </c>
      <c r="CR1411">
        <v>0</v>
      </c>
      <c r="CS1411">
        <v>0</v>
      </c>
      <c r="CT1411">
        <v>8.5</v>
      </c>
      <c r="CU1411">
        <v>97</v>
      </c>
      <c r="CV1411">
        <v>0.2</v>
      </c>
      <c r="CW1411">
        <v>47</v>
      </c>
      <c r="CX1411" t="s">
        <v>4532</v>
      </c>
    </row>
    <row r="1412" spans="1:102" x14ac:dyDescent="0.3">
      <c r="A1412" t="str">
        <f>HYPERLINK("https://webapp.icbf.com/v2/app/bull-search/view/1196711653","FR4702")</f>
        <v>FR4702</v>
      </c>
      <c r="B1412" t="s">
        <v>2419</v>
      </c>
      <c r="C1412" t="s">
        <v>2420</v>
      </c>
      <c r="D1412" s="1">
        <v>41297</v>
      </c>
      <c r="E1412" t="s">
        <v>92</v>
      </c>
      <c r="F1412">
        <v>100</v>
      </c>
      <c r="G1412" t="s">
        <v>109</v>
      </c>
      <c r="H1412">
        <v>112.97</v>
      </c>
      <c r="I1412">
        <v>71</v>
      </c>
      <c r="J1412">
        <v>124.41</v>
      </c>
      <c r="K1412">
        <v>90</v>
      </c>
      <c r="L1412">
        <v>-56.32</v>
      </c>
      <c r="M1412">
        <v>79</v>
      </c>
      <c r="N1412">
        <v>45.46</v>
      </c>
      <c r="O1412">
        <v>52</v>
      </c>
      <c r="P1412">
        <v>-4.12</v>
      </c>
      <c r="Q1412">
        <v>35</v>
      </c>
      <c r="R1412">
        <v>3.38</v>
      </c>
      <c r="S1412">
        <v>67</v>
      </c>
      <c r="T1412">
        <v>-8.4499999999999993</v>
      </c>
      <c r="U1412">
        <v>33</v>
      </c>
      <c r="V1412">
        <v>8.61</v>
      </c>
      <c r="W1412">
        <v>52</v>
      </c>
      <c r="X1412" t="s">
        <v>428</v>
      </c>
      <c r="Y1412" t="s">
        <v>2389</v>
      </c>
      <c r="Z1412" t="s">
        <v>96</v>
      </c>
      <c r="AA1412" t="s">
        <v>2421</v>
      </c>
      <c r="AB1412" t="s">
        <v>2422</v>
      </c>
      <c r="AC1412">
        <v>0</v>
      </c>
      <c r="AD1412">
        <v>0</v>
      </c>
      <c r="AE1412">
        <v>90</v>
      </c>
      <c r="AF1412">
        <v>502.01</v>
      </c>
      <c r="AG1412">
        <v>29.49</v>
      </c>
      <c r="AH1412">
        <v>18.41</v>
      </c>
      <c r="AI1412">
        <v>0.15</v>
      </c>
      <c r="AJ1412">
        <v>0.03</v>
      </c>
      <c r="AK1412">
        <v>79</v>
      </c>
      <c r="AL1412">
        <v>0</v>
      </c>
      <c r="AM1412">
        <v>0</v>
      </c>
      <c r="AN1412">
        <v>3.95</v>
      </c>
      <c r="AO1412">
        <v>-0.53</v>
      </c>
      <c r="AP1412">
        <v>2</v>
      </c>
      <c r="AQ1412">
        <v>0</v>
      </c>
      <c r="AR1412">
        <v>7.92</v>
      </c>
      <c r="AS1412">
        <v>49</v>
      </c>
      <c r="AT1412">
        <v>2.81</v>
      </c>
      <c r="AU1412">
        <v>89</v>
      </c>
      <c r="AV1412">
        <v>-5.29</v>
      </c>
      <c r="AW1412">
        <v>43</v>
      </c>
      <c r="AX1412">
        <v>-0.63</v>
      </c>
      <c r="AY1412">
        <v>36</v>
      </c>
      <c r="AZ1412">
        <v>6.38</v>
      </c>
      <c r="BA1412">
        <v>33</v>
      </c>
      <c r="BB1412">
        <v>5.0199999999999996</v>
      </c>
      <c r="BC1412">
        <v>32</v>
      </c>
      <c r="BD1412">
        <v>-0.01</v>
      </c>
      <c r="BE1412">
        <v>0.01</v>
      </c>
      <c r="BF1412">
        <v>-0.08</v>
      </c>
      <c r="BG1412">
        <v>86</v>
      </c>
      <c r="BH1412">
        <v>0.11</v>
      </c>
      <c r="BI1412">
        <v>-15.06</v>
      </c>
      <c r="BJ1412">
        <v>0</v>
      </c>
      <c r="BK1412">
        <v>0</v>
      </c>
      <c r="BL1412">
        <v>0.71</v>
      </c>
      <c r="BM1412">
        <v>0.4</v>
      </c>
      <c r="BN1412">
        <v>1.17</v>
      </c>
      <c r="BO1412">
        <v>1.1499999999999999</v>
      </c>
      <c r="BP1412">
        <v>-2.11</v>
      </c>
      <c r="BQ1412">
        <v>2.27</v>
      </c>
      <c r="BR1412">
        <v>0.56999999999999995</v>
      </c>
      <c r="BS1412">
        <v>1.2</v>
      </c>
      <c r="BT1412">
        <v>-0.72</v>
      </c>
      <c r="BU1412">
        <v>3.18</v>
      </c>
      <c r="BV1412">
        <v>2.95</v>
      </c>
      <c r="BW1412">
        <v>1.61</v>
      </c>
      <c r="BX1412">
        <v>1.48</v>
      </c>
      <c r="BY1412">
        <v>2.88</v>
      </c>
      <c r="BZ1412">
        <v>-3.26</v>
      </c>
      <c r="CA1412">
        <v>2.8</v>
      </c>
      <c r="CB1412">
        <v>2.96</v>
      </c>
      <c r="CC1412">
        <v>0.95</v>
      </c>
      <c r="CD1412">
        <v>-0.3</v>
      </c>
      <c r="CE1412">
        <v>1.1100000000000001</v>
      </c>
      <c r="CF1412">
        <v>2.2799999999999998</v>
      </c>
      <c r="CG1412">
        <v>0</v>
      </c>
      <c r="CH1412">
        <v>2.93</v>
      </c>
      <c r="CI1412">
        <v>0</v>
      </c>
      <c r="CJ1412">
        <v>-1.9</v>
      </c>
      <c r="CK1412">
        <v>35</v>
      </c>
      <c r="CL1412">
        <v>-1.34</v>
      </c>
      <c r="CM1412">
        <v>35</v>
      </c>
      <c r="CN1412">
        <v>-0.94</v>
      </c>
      <c r="CO1412">
        <v>35</v>
      </c>
      <c r="CP1412">
        <v>8.8000000000000007</v>
      </c>
      <c r="CQ1412">
        <v>34</v>
      </c>
      <c r="CR1412">
        <v>0</v>
      </c>
      <c r="CS1412">
        <v>0</v>
      </c>
      <c r="CT1412">
        <v>25.2</v>
      </c>
      <c r="CU1412">
        <v>33</v>
      </c>
      <c r="CV1412">
        <v>0.24</v>
      </c>
      <c r="CW1412">
        <v>32</v>
      </c>
      <c r="CX1412" t="s">
        <v>2423</v>
      </c>
    </row>
    <row r="1413" spans="1:102" x14ac:dyDescent="0.3">
      <c r="A1413" t="str">
        <f>HYPERLINK("https://webapp.icbf.com/v2/app/bull-search/view/559017283","CCQ")</f>
        <v>CCQ</v>
      </c>
      <c r="B1413" t="s">
        <v>14646</v>
      </c>
      <c r="C1413" t="s">
        <v>14647</v>
      </c>
      <c r="D1413" s="1">
        <v>39496</v>
      </c>
      <c r="E1413" t="s">
        <v>92</v>
      </c>
      <c r="F1413">
        <v>100</v>
      </c>
      <c r="G1413" t="s">
        <v>93</v>
      </c>
      <c r="H1413">
        <v>112.89</v>
      </c>
      <c r="I1413">
        <v>89</v>
      </c>
      <c r="J1413">
        <v>75.3</v>
      </c>
      <c r="K1413">
        <v>97</v>
      </c>
      <c r="L1413">
        <v>-9.11</v>
      </c>
      <c r="M1413">
        <v>82</v>
      </c>
      <c r="N1413">
        <v>40.64</v>
      </c>
      <c r="O1413">
        <v>88</v>
      </c>
      <c r="P1413">
        <v>-2.93</v>
      </c>
      <c r="Q1413">
        <v>91</v>
      </c>
      <c r="R1413">
        <v>-0.57999999999999996</v>
      </c>
      <c r="S1413">
        <v>84</v>
      </c>
      <c r="T1413">
        <v>1.25</v>
      </c>
      <c r="U1413">
        <v>88</v>
      </c>
      <c r="V1413">
        <v>8.32</v>
      </c>
      <c r="W1413">
        <v>84</v>
      </c>
      <c r="X1413" t="s">
        <v>94</v>
      </c>
      <c r="Y1413" t="s">
        <v>1513</v>
      </c>
      <c r="Z1413" t="s">
        <v>96</v>
      </c>
      <c r="AA1413" t="s">
        <v>316</v>
      </c>
      <c r="AB1413" t="s">
        <v>14648</v>
      </c>
      <c r="AC1413">
        <v>93</v>
      </c>
      <c r="AD1413">
        <v>70</v>
      </c>
      <c r="AE1413">
        <v>97</v>
      </c>
      <c r="AF1413">
        <v>395.6</v>
      </c>
      <c r="AG1413">
        <v>15.1</v>
      </c>
      <c r="AH1413">
        <v>13.52</v>
      </c>
      <c r="AI1413">
        <v>-0.01</v>
      </c>
      <c r="AJ1413">
        <v>0</v>
      </c>
      <c r="AK1413">
        <v>82</v>
      </c>
      <c r="AL1413">
        <v>91</v>
      </c>
      <c r="AM1413">
        <v>63</v>
      </c>
      <c r="AN1413">
        <v>0.22</v>
      </c>
      <c r="AO1413">
        <v>-0.51</v>
      </c>
      <c r="AP1413">
        <v>231</v>
      </c>
      <c r="AQ1413">
        <v>0</v>
      </c>
      <c r="AR1413">
        <v>4.12</v>
      </c>
      <c r="AS1413">
        <v>77</v>
      </c>
      <c r="AT1413">
        <v>1.52</v>
      </c>
      <c r="AU1413">
        <v>89</v>
      </c>
      <c r="AV1413">
        <v>-3</v>
      </c>
      <c r="AW1413">
        <v>97</v>
      </c>
      <c r="AX1413">
        <v>-0.12</v>
      </c>
      <c r="AY1413">
        <v>83</v>
      </c>
      <c r="AZ1413">
        <v>6.41</v>
      </c>
      <c r="BA1413">
        <v>69</v>
      </c>
      <c r="BB1413">
        <v>5.43</v>
      </c>
      <c r="BC1413">
        <v>71</v>
      </c>
      <c r="BD1413">
        <v>0.02</v>
      </c>
      <c r="BE1413">
        <v>0</v>
      </c>
      <c r="BF1413">
        <v>-0.02</v>
      </c>
      <c r="BG1413">
        <v>90</v>
      </c>
      <c r="BH1413">
        <v>0.19</v>
      </c>
      <c r="BI1413">
        <v>-4.87</v>
      </c>
      <c r="BJ1413">
        <v>34</v>
      </c>
      <c r="BK1413">
        <v>19</v>
      </c>
      <c r="BL1413">
        <v>-0.63</v>
      </c>
      <c r="BM1413">
        <v>2.36</v>
      </c>
      <c r="BN1413">
        <v>0.46</v>
      </c>
      <c r="BO1413">
        <v>-1.17</v>
      </c>
      <c r="BP1413">
        <v>-0.28000000000000003</v>
      </c>
      <c r="BQ1413">
        <v>1.84</v>
      </c>
      <c r="BR1413">
        <v>0.38</v>
      </c>
      <c r="BS1413">
        <v>-1.91</v>
      </c>
      <c r="BT1413">
        <v>0.22</v>
      </c>
      <c r="BU1413">
        <v>-1.26</v>
      </c>
      <c r="BV1413">
        <v>-0.81</v>
      </c>
      <c r="BW1413">
        <v>-1.49</v>
      </c>
      <c r="BX1413">
        <v>-1.74</v>
      </c>
      <c r="BY1413">
        <v>0.81</v>
      </c>
      <c r="BZ1413">
        <v>-0.46</v>
      </c>
      <c r="CA1413">
        <v>-1.06</v>
      </c>
      <c r="CB1413">
        <v>-0.81</v>
      </c>
      <c r="CC1413">
        <v>-1.17</v>
      </c>
      <c r="CD1413">
        <v>1.97</v>
      </c>
      <c r="CE1413">
        <v>-0.89</v>
      </c>
      <c r="CF1413">
        <v>0.28000000000000003</v>
      </c>
      <c r="CG1413">
        <v>0</v>
      </c>
      <c r="CH1413">
        <v>-0.19</v>
      </c>
      <c r="CI1413">
        <v>0</v>
      </c>
      <c r="CJ1413">
        <v>0.3</v>
      </c>
      <c r="CK1413">
        <v>92</v>
      </c>
      <c r="CL1413">
        <v>-0.48</v>
      </c>
      <c r="CM1413">
        <v>90</v>
      </c>
      <c r="CN1413">
        <v>-0.14000000000000001</v>
      </c>
      <c r="CO1413">
        <v>89</v>
      </c>
      <c r="CP1413">
        <v>-0.2</v>
      </c>
      <c r="CQ1413">
        <v>89</v>
      </c>
      <c r="CR1413">
        <v>0</v>
      </c>
      <c r="CS1413">
        <v>0</v>
      </c>
      <c r="CT1413">
        <v>12.1</v>
      </c>
      <c r="CU1413">
        <v>88</v>
      </c>
      <c r="CV1413">
        <v>0.1</v>
      </c>
      <c r="CW1413">
        <v>47</v>
      </c>
      <c r="CX1413" t="s">
        <v>11676</v>
      </c>
    </row>
    <row r="1414" spans="1:102" x14ac:dyDescent="0.3">
      <c r="A1414" t="str">
        <f>HYPERLINK("https://webapp.icbf.com/v2/app/bull-search/view/666136819","YGR")</f>
        <v>YGR</v>
      </c>
      <c r="B1414" t="s">
        <v>5369</v>
      </c>
      <c r="C1414" t="s">
        <v>5370</v>
      </c>
      <c r="D1414" s="1">
        <v>39840</v>
      </c>
      <c r="E1414" t="s">
        <v>92</v>
      </c>
      <c r="F1414">
        <v>91</v>
      </c>
      <c r="G1414" t="s">
        <v>93</v>
      </c>
      <c r="H1414">
        <v>112.85</v>
      </c>
      <c r="I1414">
        <v>87</v>
      </c>
      <c r="J1414">
        <v>18.13</v>
      </c>
      <c r="K1414">
        <v>96</v>
      </c>
      <c r="L1414">
        <v>35.14</v>
      </c>
      <c r="M1414">
        <v>80</v>
      </c>
      <c r="N1414">
        <v>40.869999999999997</v>
      </c>
      <c r="O1414">
        <v>84</v>
      </c>
      <c r="P1414">
        <v>-3.33</v>
      </c>
      <c r="Q1414">
        <v>92</v>
      </c>
      <c r="R1414">
        <v>5.81</v>
      </c>
      <c r="S1414">
        <v>80</v>
      </c>
      <c r="T1414">
        <v>6.8</v>
      </c>
      <c r="U1414">
        <v>85</v>
      </c>
      <c r="V1414">
        <v>9.43</v>
      </c>
      <c r="W1414">
        <v>78</v>
      </c>
      <c r="X1414" t="s">
        <v>251</v>
      </c>
      <c r="Y1414" t="s">
        <v>319</v>
      </c>
      <c r="Z1414" t="s">
        <v>96</v>
      </c>
      <c r="AA1414" t="s">
        <v>1376</v>
      </c>
      <c r="AB1414" t="s">
        <v>5371</v>
      </c>
      <c r="AC1414">
        <v>73</v>
      </c>
      <c r="AD1414">
        <v>58</v>
      </c>
      <c r="AE1414">
        <v>96</v>
      </c>
      <c r="AF1414">
        <v>78.59</v>
      </c>
      <c r="AG1414">
        <v>1.49</v>
      </c>
      <c r="AH1414">
        <v>3.76</v>
      </c>
      <c r="AI1414">
        <v>-0.03</v>
      </c>
      <c r="AJ1414">
        <v>0.02</v>
      </c>
      <c r="AK1414">
        <v>80</v>
      </c>
      <c r="AL1414">
        <v>72</v>
      </c>
      <c r="AM1414">
        <v>62</v>
      </c>
      <c r="AN1414">
        <v>-1.3</v>
      </c>
      <c r="AO1414">
        <v>1.51</v>
      </c>
      <c r="AP1414">
        <v>152</v>
      </c>
      <c r="AQ1414">
        <v>1</v>
      </c>
      <c r="AR1414">
        <v>5.88</v>
      </c>
      <c r="AS1414">
        <v>69</v>
      </c>
      <c r="AT1414">
        <v>2.42</v>
      </c>
      <c r="AU1414">
        <v>86</v>
      </c>
      <c r="AV1414">
        <v>-3.32</v>
      </c>
      <c r="AW1414">
        <v>96</v>
      </c>
      <c r="AX1414">
        <v>-0.54</v>
      </c>
      <c r="AY1414">
        <v>80</v>
      </c>
      <c r="AZ1414">
        <v>5.2</v>
      </c>
      <c r="BA1414">
        <v>63</v>
      </c>
      <c r="BB1414">
        <v>4.66</v>
      </c>
      <c r="BC1414">
        <v>64</v>
      </c>
      <c r="BD1414">
        <v>-0.01</v>
      </c>
      <c r="BE1414">
        <v>-0.03</v>
      </c>
      <c r="BF1414">
        <v>-0.06</v>
      </c>
      <c r="BG1414">
        <v>88</v>
      </c>
      <c r="BH1414">
        <v>0.22</v>
      </c>
      <c r="BI1414">
        <v>-4.9800000000000004</v>
      </c>
      <c r="BJ1414">
        <v>2</v>
      </c>
      <c r="BK1414">
        <v>2</v>
      </c>
      <c r="BL1414">
        <v>0.55000000000000004</v>
      </c>
      <c r="BM1414">
        <v>1.05</v>
      </c>
      <c r="BN1414">
        <v>0.42</v>
      </c>
      <c r="BO1414">
        <v>-0.44</v>
      </c>
      <c r="BP1414">
        <v>3.01</v>
      </c>
      <c r="BQ1414">
        <v>-0.39</v>
      </c>
      <c r="BR1414">
        <v>-0.87</v>
      </c>
      <c r="BS1414">
        <v>-0.71</v>
      </c>
      <c r="BT1414">
        <v>-0.18</v>
      </c>
      <c r="BU1414">
        <v>0.08</v>
      </c>
      <c r="BV1414">
        <v>-0.6</v>
      </c>
      <c r="BW1414">
        <v>0.57999999999999996</v>
      </c>
      <c r="BX1414">
        <v>0.48</v>
      </c>
      <c r="BY1414">
        <v>0.36</v>
      </c>
      <c r="BZ1414">
        <v>-0.1</v>
      </c>
      <c r="CA1414">
        <v>-0.16</v>
      </c>
      <c r="CB1414">
        <v>-0.22</v>
      </c>
      <c r="CC1414">
        <v>-0.12</v>
      </c>
      <c r="CD1414">
        <v>0.28999999999999998</v>
      </c>
      <c r="CE1414">
        <v>-0.13</v>
      </c>
      <c r="CF1414">
        <v>0.12</v>
      </c>
      <c r="CG1414">
        <v>0</v>
      </c>
      <c r="CH1414">
        <v>-0.51</v>
      </c>
      <c r="CI1414">
        <v>0</v>
      </c>
      <c r="CJ1414">
        <v>-0.2</v>
      </c>
      <c r="CK1414">
        <v>93</v>
      </c>
      <c r="CL1414">
        <v>-0.68</v>
      </c>
      <c r="CM1414">
        <v>91</v>
      </c>
      <c r="CN1414">
        <v>-0.39</v>
      </c>
      <c r="CO1414">
        <v>90</v>
      </c>
      <c r="CP1414">
        <v>-4</v>
      </c>
      <c r="CQ1414">
        <v>86</v>
      </c>
      <c r="CR1414">
        <v>0</v>
      </c>
      <c r="CS1414">
        <v>0</v>
      </c>
      <c r="CT1414">
        <v>4.5999999999999996</v>
      </c>
      <c r="CU1414">
        <v>85</v>
      </c>
      <c r="CV1414">
        <v>0.2</v>
      </c>
      <c r="CW1414">
        <v>45</v>
      </c>
      <c r="CX1414" t="s">
        <v>1165</v>
      </c>
    </row>
    <row r="1415" spans="1:102" x14ac:dyDescent="0.3">
      <c r="A1415" t="str">
        <f>HYPERLINK("https://webapp.icbf.com/v2/app/bull-search/view/586049114","APF")</f>
        <v>APF</v>
      </c>
      <c r="B1415" t="s">
        <v>1786</v>
      </c>
      <c r="C1415" t="s">
        <v>1787</v>
      </c>
      <c r="D1415" s="1">
        <v>38727</v>
      </c>
      <c r="E1415" t="s">
        <v>92</v>
      </c>
      <c r="F1415">
        <v>100</v>
      </c>
      <c r="G1415" t="s">
        <v>93</v>
      </c>
      <c r="H1415">
        <v>112.73</v>
      </c>
      <c r="I1415">
        <v>95</v>
      </c>
      <c r="J1415">
        <v>75.62</v>
      </c>
      <c r="K1415">
        <v>99</v>
      </c>
      <c r="L1415">
        <v>-15.71</v>
      </c>
      <c r="M1415">
        <v>93</v>
      </c>
      <c r="N1415">
        <v>32.43</v>
      </c>
      <c r="O1415">
        <v>96</v>
      </c>
      <c r="P1415">
        <v>-4.38</v>
      </c>
      <c r="Q1415">
        <v>98</v>
      </c>
      <c r="R1415">
        <v>8.1300000000000008</v>
      </c>
      <c r="S1415">
        <v>90</v>
      </c>
      <c r="T1415">
        <v>6.72</v>
      </c>
      <c r="U1415">
        <v>95</v>
      </c>
      <c r="V1415">
        <v>9.92</v>
      </c>
      <c r="W1415">
        <v>84</v>
      </c>
      <c r="X1415" t="s">
        <v>251</v>
      </c>
      <c r="Y1415" t="s">
        <v>1756</v>
      </c>
      <c r="Z1415" t="s">
        <v>96</v>
      </c>
      <c r="AA1415" t="s">
        <v>350</v>
      </c>
      <c r="AB1415" t="s">
        <v>1788</v>
      </c>
      <c r="AC1415">
        <v>854</v>
      </c>
      <c r="AD1415">
        <v>224</v>
      </c>
      <c r="AE1415">
        <v>99</v>
      </c>
      <c r="AF1415">
        <v>322.85000000000002</v>
      </c>
      <c r="AG1415">
        <v>12.39</v>
      </c>
      <c r="AH1415">
        <v>13.42</v>
      </c>
      <c r="AI1415">
        <v>0</v>
      </c>
      <c r="AJ1415">
        <v>0.04</v>
      </c>
      <c r="AK1415">
        <v>93</v>
      </c>
      <c r="AL1415">
        <v>954</v>
      </c>
      <c r="AM1415">
        <v>240</v>
      </c>
      <c r="AN1415">
        <v>2.61</v>
      </c>
      <c r="AO1415">
        <v>1.38</v>
      </c>
      <c r="AP1415">
        <v>1447</v>
      </c>
      <c r="AQ1415">
        <v>9</v>
      </c>
      <c r="AR1415">
        <v>6.79</v>
      </c>
      <c r="AS1415">
        <v>98</v>
      </c>
      <c r="AT1415">
        <v>3.16</v>
      </c>
      <c r="AU1415">
        <v>96</v>
      </c>
      <c r="AV1415">
        <v>-4.1500000000000004</v>
      </c>
      <c r="AW1415">
        <v>99</v>
      </c>
      <c r="AX1415">
        <v>1.0900000000000001</v>
      </c>
      <c r="AY1415">
        <v>97</v>
      </c>
      <c r="AZ1415">
        <v>7.08</v>
      </c>
      <c r="BA1415">
        <v>91</v>
      </c>
      <c r="BB1415">
        <v>4.71</v>
      </c>
      <c r="BC1415">
        <v>89</v>
      </c>
      <c r="BD1415">
        <v>0</v>
      </c>
      <c r="BE1415">
        <v>-0.03</v>
      </c>
      <c r="BF1415">
        <v>-0.13</v>
      </c>
      <c r="BG1415">
        <v>98</v>
      </c>
      <c r="BH1415">
        <v>0.16</v>
      </c>
      <c r="BI1415">
        <v>-13.5</v>
      </c>
      <c r="BJ1415">
        <v>253</v>
      </c>
      <c r="BK1415">
        <v>82</v>
      </c>
      <c r="BL1415">
        <v>0.76</v>
      </c>
      <c r="BM1415">
        <v>-0.62</v>
      </c>
      <c r="BN1415">
        <v>0.62</v>
      </c>
      <c r="BO1415">
        <v>1.06</v>
      </c>
      <c r="BP1415">
        <v>-2.2599999999999998</v>
      </c>
      <c r="BQ1415">
        <v>-1.44</v>
      </c>
      <c r="BR1415">
        <v>2.3199999999999998</v>
      </c>
      <c r="BS1415">
        <v>0.32</v>
      </c>
      <c r="BT1415">
        <v>-1.64</v>
      </c>
      <c r="BU1415">
        <v>1.63</v>
      </c>
      <c r="BV1415">
        <v>1.5</v>
      </c>
      <c r="BW1415">
        <v>2.23</v>
      </c>
      <c r="BX1415">
        <v>1.47</v>
      </c>
      <c r="BY1415">
        <v>0.97</v>
      </c>
      <c r="BZ1415">
        <v>-1.96</v>
      </c>
      <c r="CA1415">
        <v>1.22</v>
      </c>
      <c r="CB1415">
        <v>1.26</v>
      </c>
      <c r="CC1415">
        <v>0.6</v>
      </c>
      <c r="CD1415">
        <v>-0.99</v>
      </c>
      <c r="CE1415">
        <v>0.96</v>
      </c>
      <c r="CF1415">
        <v>0.55000000000000004</v>
      </c>
      <c r="CG1415">
        <v>0</v>
      </c>
      <c r="CH1415">
        <v>1.03</v>
      </c>
      <c r="CI1415">
        <v>0</v>
      </c>
      <c r="CJ1415">
        <v>1.2</v>
      </c>
      <c r="CK1415">
        <v>99</v>
      </c>
      <c r="CL1415">
        <v>-1.07</v>
      </c>
      <c r="CM1415">
        <v>98</v>
      </c>
      <c r="CN1415">
        <v>-0.41</v>
      </c>
      <c r="CO1415">
        <v>98</v>
      </c>
      <c r="CP1415">
        <v>1.4</v>
      </c>
      <c r="CQ1415">
        <v>97</v>
      </c>
      <c r="CR1415">
        <v>0</v>
      </c>
      <c r="CS1415">
        <v>0</v>
      </c>
      <c r="CT1415">
        <v>4.7</v>
      </c>
      <c r="CU1415">
        <v>95</v>
      </c>
      <c r="CV1415">
        <v>0.2</v>
      </c>
      <c r="CW1415">
        <v>47</v>
      </c>
      <c r="CX1415" t="s">
        <v>273</v>
      </c>
    </row>
    <row r="1416" spans="1:102" x14ac:dyDescent="0.3">
      <c r="A1416" t="str">
        <f>HYPERLINK("https://webapp.icbf.com/v2/app/bull-search/view/1456853751","S3357")</f>
        <v>S3357</v>
      </c>
      <c r="B1416" t="s">
        <v>10338</v>
      </c>
      <c r="C1416" t="s">
        <v>10339</v>
      </c>
      <c r="D1416" s="1">
        <v>42071</v>
      </c>
      <c r="E1416" t="s">
        <v>92</v>
      </c>
      <c r="F1416">
        <v>100</v>
      </c>
      <c r="G1416" t="s">
        <v>435</v>
      </c>
      <c r="H1416">
        <v>112.72</v>
      </c>
      <c r="I1416">
        <v>70</v>
      </c>
      <c r="J1416">
        <v>60.54</v>
      </c>
      <c r="K1416">
        <v>90</v>
      </c>
      <c r="L1416">
        <v>34.979999999999997</v>
      </c>
      <c r="M1416">
        <v>72</v>
      </c>
      <c r="N1416">
        <v>11.75</v>
      </c>
      <c r="O1416">
        <v>55</v>
      </c>
      <c r="P1416">
        <v>1.52</v>
      </c>
      <c r="Q1416">
        <v>40</v>
      </c>
      <c r="R1416">
        <v>26.49</v>
      </c>
      <c r="S1416">
        <v>66</v>
      </c>
      <c r="T1416">
        <v>-20.81</v>
      </c>
      <c r="U1416">
        <v>37</v>
      </c>
      <c r="V1416">
        <v>-1.75</v>
      </c>
      <c r="W1416">
        <v>58</v>
      </c>
      <c r="X1416" t="s">
        <v>110</v>
      </c>
      <c r="Y1416" t="s">
        <v>2394</v>
      </c>
      <c r="Z1416" t="s">
        <v>96</v>
      </c>
      <c r="AA1416" t="s">
        <v>6211</v>
      </c>
      <c r="AB1416" t="s">
        <v>10340</v>
      </c>
      <c r="AC1416">
        <v>0</v>
      </c>
      <c r="AD1416">
        <v>0</v>
      </c>
      <c r="AE1416">
        <v>90</v>
      </c>
      <c r="AF1416">
        <v>510.22</v>
      </c>
      <c r="AG1416">
        <v>14.15</v>
      </c>
      <c r="AH1416">
        <v>13.1</v>
      </c>
      <c r="AI1416">
        <v>-0.1</v>
      </c>
      <c r="AJ1416">
        <v>-0.06</v>
      </c>
      <c r="AK1416">
        <v>72</v>
      </c>
      <c r="AL1416">
        <v>0</v>
      </c>
      <c r="AM1416">
        <v>0</v>
      </c>
      <c r="AN1416">
        <v>-0.3</v>
      </c>
      <c r="AO1416">
        <v>2.5099999999999998</v>
      </c>
      <c r="AP1416">
        <v>3</v>
      </c>
      <c r="AQ1416">
        <v>0</v>
      </c>
      <c r="AR1416">
        <v>9.81</v>
      </c>
      <c r="AS1416">
        <v>54</v>
      </c>
      <c r="AT1416">
        <v>3.69</v>
      </c>
      <c r="AU1416">
        <v>91</v>
      </c>
      <c r="AV1416">
        <v>-2.5099999999999998</v>
      </c>
      <c r="AW1416">
        <v>44</v>
      </c>
      <c r="AX1416">
        <v>0.56999999999999995</v>
      </c>
      <c r="AY1416">
        <v>44</v>
      </c>
      <c r="AZ1416">
        <v>5.67</v>
      </c>
      <c r="BA1416">
        <v>39</v>
      </c>
      <c r="BB1416">
        <v>4.1399999999999997</v>
      </c>
      <c r="BC1416">
        <v>38</v>
      </c>
      <c r="BD1416">
        <v>-0.06</v>
      </c>
      <c r="BE1416">
        <v>-0.11</v>
      </c>
      <c r="BF1416">
        <v>-0.3</v>
      </c>
      <c r="BG1416">
        <v>79</v>
      </c>
      <c r="BH1416">
        <v>-0.02</v>
      </c>
      <c r="BI1416">
        <v>3.33</v>
      </c>
      <c r="BJ1416">
        <v>0</v>
      </c>
      <c r="BK1416">
        <v>0</v>
      </c>
      <c r="BL1416">
        <v>2.31</v>
      </c>
      <c r="BM1416">
        <v>0.5</v>
      </c>
      <c r="BN1416">
        <v>0.55000000000000004</v>
      </c>
      <c r="BO1416">
        <v>0.5</v>
      </c>
      <c r="BP1416">
        <v>0.9</v>
      </c>
      <c r="BQ1416">
        <v>2.74</v>
      </c>
      <c r="BR1416">
        <v>-0.97</v>
      </c>
      <c r="BS1416">
        <v>3.39</v>
      </c>
      <c r="BT1416">
        <v>2.06</v>
      </c>
      <c r="BU1416">
        <v>3.82</v>
      </c>
      <c r="BV1416">
        <v>3.88</v>
      </c>
      <c r="BW1416">
        <v>2.16</v>
      </c>
      <c r="BX1416">
        <v>4.0999999999999996</v>
      </c>
      <c r="BY1416">
        <v>1.51</v>
      </c>
      <c r="BZ1416">
        <v>-0.51</v>
      </c>
      <c r="CA1416">
        <v>3.35</v>
      </c>
      <c r="CB1416">
        <v>2.75</v>
      </c>
      <c r="CC1416">
        <v>2.73</v>
      </c>
      <c r="CD1416">
        <v>0.32</v>
      </c>
      <c r="CE1416">
        <v>0.39</v>
      </c>
      <c r="CF1416">
        <v>0.97</v>
      </c>
      <c r="CG1416">
        <v>0</v>
      </c>
      <c r="CH1416">
        <v>1.1299999999999999</v>
      </c>
      <c r="CI1416">
        <v>0</v>
      </c>
      <c r="CJ1416">
        <v>6.6</v>
      </c>
      <c r="CK1416">
        <v>41</v>
      </c>
      <c r="CL1416">
        <v>-1.68</v>
      </c>
      <c r="CM1416">
        <v>40</v>
      </c>
      <c r="CN1416">
        <v>-0.68</v>
      </c>
      <c r="CO1416">
        <v>40</v>
      </c>
      <c r="CP1416">
        <v>11.9</v>
      </c>
      <c r="CQ1416">
        <v>37</v>
      </c>
      <c r="CR1416">
        <v>0</v>
      </c>
      <c r="CS1416">
        <v>0</v>
      </c>
      <c r="CT1416">
        <v>41.9</v>
      </c>
      <c r="CU1416">
        <v>37</v>
      </c>
      <c r="CV1416">
        <v>0.33</v>
      </c>
      <c r="CW1416">
        <v>33</v>
      </c>
      <c r="CX1416" t="s">
        <v>401</v>
      </c>
    </row>
    <row r="1417" spans="1:102" x14ac:dyDescent="0.3">
      <c r="A1417" t="str">
        <f>HYPERLINK("https://webapp.icbf.com/v2/app/bull-search/view/453436355","MYK")</f>
        <v>MYK</v>
      </c>
      <c r="B1417" t="s">
        <v>15397</v>
      </c>
      <c r="C1417" t="s">
        <v>15398</v>
      </c>
      <c r="D1417" s="1">
        <v>38790</v>
      </c>
      <c r="E1417" t="s">
        <v>92</v>
      </c>
      <c r="F1417">
        <v>84</v>
      </c>
      <c r="G1417" t="s">
        <v>93</v>
      </c>
      <c r="H1417">
        <v>112.63</v>
      </c>
      <c r="I1417">
        <v>88</v>
      </c>
      <c r="J1417">
        <v>74.459999999999994</v>
      </c>
      <c r="K1417">
        <v>97</v>
      </c>
      <c r="L1417">
        <v>-9.81</v>
      </c>
      <c r="M1417">
        <v>79</v>
      </c>
      <c r="N1417">
        <v>36.86</v>
      </c>
      <c r="O1417">
        <v>87</v>
      </c>
      <c r="P1417">
        <v>-2.71</v>
      </c>
      <c r="Q1417">
        <v>92</v>
      </c>
      <c r="R1417">
        <v>6.33</v>
      </c>
      <c r="S1417">
        <v>83</v>
      </c>
      <c r="T1417">
        <v>4.72</v>
      </c>
      <c r="U1417">
        <v>87</v>
      </c>
      <c r="V1417">
        <v>2.78</v>
      </c>
      <c r="W1417">
        <v>83</v>
      </c>
      <c r="X1417" t="s">
        <v>94</v>
      </c>
      <c r="Y1417" t="s">
        <v>1251</v>
      </c>
      <c r="Z1417" t="s">
        <v>96</v>
      </c>
      <c r="AA1417" t="s">
        <v>4532</v>
      </c>
      <c r="AB1417" t="s">
        <v>15399</v>
      </c>
      <c r="AC1417">
        <v>88</v>
      </c>
      <c r="AD1417">
        <v>69</v>
      </c>
      <c r="AE1417">
        <v>97</v>
      </c>
      <c r="AF1417">
        <v>288.42</v>
      </c>
      <c r="AG1417">
        <v>13</v>
      </c>
      <c r="AH1417">
        <v>12.48</v>
      </c>
      <c r="AI1417">
        <v>0.03</v>
      </c>
      <c r="AJ1417">
        <v>0.05</v>
      </c>
      <c r="AK1417">
        <v>79</v>
      </c>
      <c r="AL1417">
        <v>92</v>
      </c>
      <c r="AM1417">
        <v>66</v>
      </c>
      <c r="AN1417">
        <v>0.71</v>
      </c>
      <c r="AO1417">
        <v>-7.0000000000000007E-2</v>
      </c>
      <c r="AP1417">
        <v>213</v>
      </c>
      <c r="AQ1417">
        <v>4</v>
      </c>
      <c r="AR1417">
        <v>5.99</v>
      </c>
      <c r="AS1417">
        <v>73</v>
      </c>
      <c r="AT1417">
        <v>2.0499999999999998</v>
      </c>
      <c r="AU1417">
        <v>89</v>
      </c>
      <c r="AV1417">
        <v>-2.39</v>
      </c>
      <c r="AW1417">
        <v>96</v>
      </c>
      <c r="AX1417">
        <v>-0.66</v>
      </c>
      <c r="AY1417">
        <v>82</v>
      </c>
      <c r="AZ1417">
        <v>5.75</v>
      </c>
      <c r="BA1417">
        <v>68</v>
      </c>
      <c r="BB1417">
        <v>4.34</v>
      </c>
      <c r="BC1417">
        <v>71</v>
      </c>
      <c r="BD1417">
        <v>-0.04</v>
      </c>
      <c r="BE1417">
        <v>-0.01</v>
      </c>
      <c r="BF1417">
        <v>-0.06</v>
      </c>
      <c r="BG1417">
        <v>89</v>
      </c>
      <c r="BH1417">
        <v>0.12</v>
      </c>
      <c r="BI1417">
        <v>4.92</v>
      </c>
      <c r="BJ1417">
        <v>10</v>
      </c>
      <c r="BK1417">
        <v>9</v>
      </c>
      <c r="BL1417">
        <v>-0.82</v>
      </c>
      <c r="BM1417">
        <v>1.32</v>
      </c>
      <c r="BN1417">
        <v>-0.6</v>
      </c>
      <c r="BO1417">
        <v>-1.1399999999999999</v>
      </c>
      <c r="BP1417">
        <v>0.49</v>
      </c>
      <c r="BQ1417">
        <v>0.11</v>
      </c>
      <c r="BR1417">
        <v>0.39</v>
      </c>
      <c r="BS1417">
        <v>-0.48</v>
      </c>
      <c r="BT1417">
        <v>-1.1200000000000001</v>
      </c>
      <c r="BU1417">
        <v>-0.69</v>
      </c>
      <c r="BV1417">
        <v>-1.27</v>
      </c>
      <c r="BW1417">
        <v>-0.69</v>
      </c>
      <c r="BX1417">
        <v>-0.75</v>
      </c>
      <c r="BY1417">
        <v>-2.2799999999999998</v>
      </c>
      <c r="BZ1417">
        <v>-1.53</v>
      </c>
      <c r="CA1417">
        <v>-1.22</v>
      </c>
      <c r="CB1417">
        <v>-1.21</v>
      </c>
      <c r="CC1417">
        <v>-0.53</v>
      </c>
      <c r="CD1417">
        <v>1.19</v>
      </c>
      <c r="CE1417">
        <v>-1.1399999999999999</v>
      </c>
      <c r="CF1417">
        <v>-0.53</v>
      </c>
      <c r="CG1417">
        <v>0</v>
      </c>
      <c r="CH1417">
        <v>-1.28</v>
      </c>
      <c r="CI1417">
        <v>0</v>
      </c>
      <c r="CJ1417">
        <v>3</v>
      </c>
      <c r="CK1417">
        <v>93</v>
      </c>
      <c r="CL1417">
        <v>-0.65</v>
      </c>
      <c r="CM1417">
        <v>92</v>
      </c>
      <c r="CN1417">
        <v>-0.01</v>
      </c>
      <c r="CO1417">
        <v>91</v>
      </c>
      <c r="CP1417">
        <v>-1.7</v>
      </c>
      <c r="CQ1417">
        <v>88</v>
      </c>
      <c r="CR1417">
        <v>0</v>
      </c>
      <c r="CS1417">
        <v>0</v>
      </c>
      <c r="CT1417">
        <v>7.4</v>
      </c>
      <c r="CU1417">
        <v>87</v>
      </c>
      <c r="CV1417">
        <v>0.31</v>
      </c>
      <c r="CW1417">
        <v>46</v>
      </c>
      <c r="CX1417" t="s">
        <v>11319</v>
      </c>
    </row>
    <row r="1418" spans="1:102" x14ac:dyDescent="0.3">
      <c r="A1418" t="str">
        <f>HYPERLINK("https://webapp.icbf.com/v2/app/bull-search/view/440097902","KNW")</f>
        <v>KNW</v>
      </c>
      <c r="B1418" t="s">
        <v>12042</v>
      </c>
      <c r="C1418" t="s">
        <v>2990</v>
      </c>
      <c r="D1418" s="1">
        <v>36745</v>
      </c>
      <c r="E1418" t="s">
        <v>108</v>
      </c>
      <c r="F1418">
        <v>31</v>
      </c>
      <c r="G1418" t="s">
        <v>93</v>
      </c>
      <c r="H1418">
        <v>112.59</v>
      </c>
      <c r="I1418">
        <v>98</v>
      </c>
      <c r="J1418">
        <v>83.84</v>
      </c>
      <c r="K1418">
        <v>99</v>
      </c>
      <c r="L1418">
        <v>34.200000000000003</v>
      </c>
      <c r="M1418">
        <v>95</v>
      </c>
      <c r="N1418">
        <v>10.01</v>
      </c>
      <c r="O1418">
        <v>98</v>
      </c>
      <c r="P1418">
        <v>-14.55</v>
      </c>
      <c r="Q1418">
        <v>99</v>
      </c>
      <c r="R1418">
        <v>-9.8699999999999992</v>
      </c>
      <c r="S1418">
        <v>97</v>
      </c>
      <c r="T1418">
        <v>11.31</v>
      </c>
      <c r="U1418">
        <v>99</v>
      </c>
      <c r="V1418">
        <v>-2.35</v>
      </c>
      <c r="W1418">
        <v>99</v>
      </c>
      <c r="X1418" t="s">
        <v>302</v>
      </c>
      <c r="Y1418" t="s">
        <v>95</v>
      </c>
      <c r="Z1418" t="s">
        <v>330</v>
      </c>
      <c r="AA1418" t="s">
        <v>792</v>
      </c>
      <c r="AB1418" t="s">
        <v>144</v>
      </c>
      <c r="AC1418">
        <v>1316</v>
      </c>
      <c r="AD1418">
        <v>320</v>
      </c>
      <c r="AE1418">
        <v>99</v>
      </c>
      <c r="AF1418">
        <v>-13.94</v>
      </c>
      <c r="AG1418">
        <v>18.420000000000002</v>
      </c>
      <c r="AH1418">
        <v>7.53</v>
      </c>
      <c r="AI1418">
        <v>0.33</v>
      </c>
      <c r="AJ1418">
        <v>0.14000000000000001</v>
      </c>
      <c r="AK1418">
        <v>95</v>
      </c>
      <c r="AL1418">
        <v>1331</v>
      </c>
      <c r="AM1418">
        <v>320</v>
      </c>
      <c r="AN1418">
        <v>-1.69</v>
      </c>
      <c r="AO1418">
        <v>1.04</v>
      </c>
      <c r="AP1418">
        <v>2867</v>
      </c>
      <c r="AQ1418">
        <v>39</v>
      </c>
      <c r="AR1418">
        <v>7.71</v>
      </c>
      <c r="AS1418">
        <v>96</v>
      </c>
      <c r="AT1418">
        <v>3.02</v>
      </c>
      <c r="AU1418">
        <v>99</v>
      </c>
      <c r="AV1418">
        <v>-1.23</v>
      </c>
      <c r="AW1418">
        <v>99</v>
      </c>
      <c r="AX1418">
        <v>-0.51</v>
      </c>
      <c r="AY1418">
        <v>98</v>
      </c>
      <c r="AZ1418">
        <v>7.16</v>
      </c>
      <c r="BA1418">
        <v>95</v>
      </c>
      <c r="BB1418">
        <v>5.12</v>
      </c>
      <c r="BC1418">
        <v>96</v>
      </c>
      <c r="BD1418">
        <v>0</v>
      </c>
      <c r="BE1418">
        <v>0.03</v>
      </c>
      <c r="BF1418">
        <v>0.17</v>
      </c>
      <c r="BG1418">
        <v>99</v>
      </c>
      <c r="BH1418">
        <v>-0.05</v>
      </c>
      <c r="BI1418">
        <v>1.81</v>
      </c>
      <c r="BJ1418">
        <v>21</v>
      </c>
      <c r="BK1418">
        <v>19</v>
      </c>
      <c r="BL1418">
        <v>-1.04</v>
      </c>
      <c r="BM1418">
        <v>1.73</v>
      </c>
      <c r="BN1418">
        <v>0.33</v>
      </c>
      <c r="BO1418">
        <v>-1.08</v>
      </c>
      <c r="BP1418">
        <v>0.42</v>
      </c>
      <c r="BQ1418">
        <v>-0.66</v>
      </c>
      <c r="BR1418">
        <v>1.47</v>
      </c>
      <c r="BS1418">
        <v>0.22</v>
      </c>
      <c r="BT1418">
        <v>-1.38</v>
      </c>
      <c r="BU1418">
        <v>-2.0299999999999998</v>
      </c>
      <c r="BV1418">
        <v>-2.52</v>
      </c>
      <c r="BW1418">
        <v>-1.96</v>
      </c>
      <c r="BX1418">
        <v>-1.6</v>
      </c>
      <c r="BY1418">
        <v>-2.4500000000000002</v>
      </c>
      <c r="BZ1418">
        <v>2.84</v>
      </c>
      <c r="CA1418">
        <v>-1.9</v>
      </c>
      <c r="CB1418">
        <v>-2.23</v>
      </c>
      <c r="CC1418">
        <v>-0.63</v>
      </c>
      <c r="CD1418">
        <v>1.69</v>
      </c>
      <c r="CE1418">
        <v>-1.36</v>
      </c>
      <c r="CF1418">
        <v>-0.34</v>
      </c>
      <c r="CG1418">
        <v>0</v>
      </c>
      <c r="CH1418">
        <v>-2.73</v>
      </c>
      <c r="CI1418">
        <v>0</v>
      </c>
      <c r="CJ1418">
        <v>-4.2</v>
      </c>
      <c r="CK1418">
        <v>99</v>
      </c>
      <c r="CL1418">
        <v>-0.54</v>
      </c>
      <c r="CM1418">
        <v>99</v>
      </c>
      <c r="CN1418">
        <v>0.16</v>
      </c>
      <c r="CO1418">
        <v>99</v>
      </c>
      <c r="CP1418">
        <v>-8.6999999999999993</v>
      </c>
      <c r="CQ1418">
        <v>99</v>
      </c>
      <c r="CR1418">
        <v>0</v>
      </c>
      <c r="CS1418">
        <v>0</v>
      </c>
      <c r="CT1418">
        <v>-1.5</v>
      </c>
      <c r="CU1418">
        <v>99</v>
      </c>
      <c r="CV1418">
        <v>0.19</v>
      </c>
      <c r="CW1418">
        <v>47</v>
      </c>
      <c r="CX1418" t="s">
        <v>3908</v>
      </c>
    </row>
    <row r="1419" spans="1:102" x14ac:dyDescent="0.3">
      <c r="A1419" t="str">
        <f>HYPERLINK("https://webapp.icbf.com/v2/app/bull-search/view/740349378","WWO")</f>
        <v>WWO</v>
      </c>
      <c r="B1419" t="s">
        <v>10176</v>
      </c>
      <c r="C1419" t="s">
        <v>7638</v>
      </c>
      <c r="D1419" s="1">
        <v>39526</v>
      </c>
      <c r="E1419" t="s">
        <v>92</v>
      </c>
      <c r="F1419">
        <v>100</v>
      </c>
      <c r="G1419" t="s">
        <v>109</v>
      </c>
      <c r="H1419">
        <v>112.55</v>
      </c>
      <c r="I1419">
        <v>87</v>
      </c>
      <c r="J1419">
        <v>60.79</v>
      </c>
      <c r="K1419">
        <v>95</v>
      </c>
      <c r="L1419">
        <v>-5.24</v>
      </c>
      <c r="M1419">
        <v>89</v>
      </c>
      <c r="N1419">
        <v>50.18</v>
      </c>
      <c r="O1419">
        <v>85</v>
      </c>
      <c r="P1419">
        <v>-5.08</v>
      </c>
      <c r="Q1419">
        <v>81</v>
      </c>
      <c r="R1419">
        <v>22.37</v>
      </c>
      <c r="S1419">
        <v>79</v>
      </c>
      <c r="T1419">
        <v>-7.26</v>
      </c>
      <c r="U1419">
        <v>69</v>
      </c>
      <c r="V1419">
        <v>-3.21</v>
      </c>
      <c r="W1419">
        <v>69</v>
      </c>
      <c r="X1419" t="s">
        <v>428</v>
      </c>
      <c r="Y1419" t="s">
        <v>329</v>
      </c>
      <c r="Z1419" t="s">
        <v>96</v>
      </c>
      <c r="AA1419" t="s">
        <v>314</v>
      </c>
      <c r="AB1419" t="s">
        <v>10177</v>
      </c>
      <c r="AC1419">
        <v>0</v>
      </c>
      <c r="AD1419">
        <v>0</v>
      </c>
      <c r="AE1419">
        <v>95</v>
      </c>
      <c r="AF1419">
        <v>261.60000000000002</v>
      </c>
      <c r="AG1419">
        <v>11.43</v>
      </c>
      <c r="AH1419">
        <v>10.3</v>
      </c>
      <c r="AI1419">
        <v>0.02</v>
      </c>
      <c r="AJ1419">
        <v>0.02</v>
      </c>
      <c r="AK1419">
        <v>89</v>
      </c>
      <c r="AL1419">
        <v>21</v>
      </c>
      <c r="AM1419">
        <v>11</v>
      </c>
      <c r="AN1419">
        <v>1.67</v>
      </c>
      <c r="AO1419">
        <v>1.27</v>
      </c>
      <c r="AP1419">
        <v>175</v>
      </c>
      <c r="AQ1419">
        <v>0</v>
      </c>
      <c r="AR1419">
        <v>5.21</v>
      </c>
      <c r="AS1419">
        <v>82</v>
      </c>
      <c r="AT1419">
        <v>2.58</v>
      </c>
      <c r="AU1419">
        <v>92</v>
      </c>
      <c r="AV1419">
        <v>-4.9800000000000004</v>
      </c>
      <c r="AW1419">
        <v>94</v>
      </c>
      <c r="AX1419">
        <v>0.25</v>
      </c>
      <c r="AY1419">
        <v>78</v>
      </c>
      <c r="AZ1419">
        <v>6.29</v>
      </c>
      <c r="BA1419">
        <v>64</v>
      </c>
      <c r="BB1419">
        <v>4.8</v>
      </c>
      <c r="BC1419">
        <v>53</v>
      </c>
      <c r="BD1419">
        <v>-0.08</v>
      </c>
      <c r="BE1419">
        <v>-0.09</v>
      </c>
      <c r="BF1419">
        <v>-0.21</v>
      </c>
      <c r="BG1419">
        <v>92</v>
      </c>
      <c r="BH1419">
        <v>-0.06</v>
      </c>
      <c r="BI1419">
        <v>3.42</v>
      </c>
      <c r="BJ1419">
        <v>6</v>
      </c>
      <c r="BK1419">
        <v>5</v>
      </c>
      <c r="BL1419">
        <v>1</v>
      </c>
      <c r="BM1419">
        <v>-0.78</v>
      </c>
      <c r="BN1419">
        <v>0.14000000000000001</v>
      </c>
      <c r="BO1419">
        <v>0.79</v>
      </c>
      <c r="BP1419">
        <v>-0.34</v>
      </c>
      <c r="BQ1419">
        <v>0.71</v>
      </c>
      <c r="BR1419">
        <v>0.62</v>
      </c>
      <c r="BS1419">
        <v>0.53</v>
      </c>
      <c r="BT1419">
        <v>-0.1</v>
      </c>
      <c r="BU1419">
        <v>3.1</v>
      </c>
      <c r="BV1419">
        <v>1.52</v>
      </c>
      <c r="BW1419">
        <v>0.94</v>
      </c>
      <c r="BX1419">
        <v>2.7</v>
      </c>
      <c r="BY1419">
        <v>1.47</v>
      </c>
      <c r="BZ1419">
        <v>1.22</v>
      </c>
      <c r="CA1419">
        <v>2.04</v>
      </c>
      <c r="CB1419">
        <v>2.0499999999999998</v>
      </c>
      <c r="CC1419">
        <v>0.41</v>
      </c>
      <c r="CD1419">
        <v>-0.75</v>
      </c>
      <c r="CE1419">
        <v>0.73</v>
      </c>
      <c r="CF1419">
        <v>1.51</v>
      </c>
      <c r="CG1419">
        <v>0</v>
      </c>
      <c r="CH1419">
        <v>1.46</v>
      </c>
      <c r="CI1419">
        <v>0</v>
      </c>
      <c r="CJ1419">
        <v>-0.9</v>
      </c>
      <c r="CK1419">
        <v>83</v>
      </c>
      <c r="CL1419">
        <v>-1.25</v>
      </c>
      <c r="CM1419">
        <v>80</v>
      </c>
      <c r="CN1419">
        <v>-0.7</v>
      </c>
      <c r="CO1419">
        <v>78</v>
      </c>
      <c r="CP1419">
        <v>5.8</v>
      </c>
      <c r="CQ1419">
        <v>73</v>
      </c>
      <c r="CR1419">
        <v>0</v>
      </c>
      <c r="CS1419">
        <v>0</v>
      </c>
      <c r="CT1419">
        <v>23.6</v>
      </c>
      <c r="CU1419">
        <v>69</v>
      </c>
      <c r="CV1419">
        <v>0.22</v>
      </c>
      <c r="CW1419">
        <v>42</v>
      </c>
      <c r="CX1419" t="s">
        <v>350</v>
      </c>
    </row>
    <row r="1420" spans="1:102" x14ac:dyDescent="0.3">
      <c r="A1420" t="str">
        <f>HYPERLINK("https://webapp.icbf.com/v2/app/bull-search/view/1592653349","NR4474")</f>
        <v>NR4474</v>
      </c>
      <c r="B1420" t="s">
        <v>15183</v>
      </c>
      <c r="C1420" t="s">
        <v>15184</v>
      </c>
      <c r="D1420" s="1">
        <v>42109</v>
      </c>
      <c r="E1420" t="s">
        <v>395</v>
      </c>
      <c r="F1420">
        <v>0</v>
      </c>
      <c r="G1420" t="s">
        <v>435</v>
      </c>
      <c r="H1420">
        <v>112.5</v>
      </c>
      <c r="I1420">
        <v>58</v>
      </c>
      <c r="J1420">
        <v>25.87</v>
      </c>
      <c r="K1420">
        <v>72</v>
      </c>
      <c r="L1420">
        <v>73.03</v>
      </c>
      <c r="M1420">
        <v>51</v>
      </c>
      <c r="N1420">
        <v>3.92</v>
      </c>
      <c r="O1420">
        <v>66</v>
      </c>
      <c r="P1420">
        <v>0.3</v>
      </c>
      <c r="Q1420">
        <v>48</v>
      </c>
      <c r="R1420">
        <v>14.09</v>
      </c>
      <c r="S1420">
        <v>47</v>
      </c>
      <c r="T1420">
        <v>-3.64</v>
      </c>
      <c r="U1420">
        <v>44</v>
      </c>
      <c r="V1420">
        <v>-1.07</v>
      </c>
      <c r="W1420">
        <v>45</v>
      </c>
      <c r="X1420" t="s">
        <v>102</v>
      </c>
      <c r="Y1420" t="s">
        <v>442</v>
      </c>
      <c r="Z1420">
        <v>0</v>
      </c>
      <c r="AA1420" t="s">
        <v>14205</v>
      </c>
      <c r="AB1420" t="s">
        <v>144</v>
      </c>
      <c r="AC1420">
        <v>0</v>
      </c>
      <c r="AD1420">
        <v>0</v>
      </c>
      <c r="AE1420">
        <v>72</v>
      </c>
      <c r="AF1420">
        <v>-13.92</v>
      </c>
      <c r="AG1420">
        <v>3.92</v>
      </c>
      <c r="AH1420">
        <v>2.8</v>
      </c>
      <c r="AI1420">
        <v>7.0000000000000007E-2</v>
      </c>
      <c r="AJ1420">
        <v>0.06</v>
      </c>
      <c r="AK1420">
        <v>51</v>
      </c>
      <c r="AL1420">
        <v>0</v>
      </c>
      <c r="AM1420">
        <v>0</v>
      </c>
      <c r="AN1420">
        <v>-3.49</v>
      </c>
      <c r="AO1420">
        <v>2.34</v>
      </c>
      <c r="AP1420">
        <v>52</v>
      </c>
      <c r="AQ1420">
        <v>0</v>
      </c>
      <c r="AR1420">
        <v>12.46</v>
      </c>
      <c r="AS1420">
        <v>41</v>
      </c>
      <c r="AT1420">
        <v>4.38</v>
      </c>
      <c r="AU1420">
        <v>70</v>
      </c>
      <c r="AV1420">
        <v>-4.01</v>
      </c>
      <c r="AW1420">
        <v>84</v>
      </c>
      <c r="AX1420">
        <v>0.05</v>
      </c>
      <c r="AY1420">
        <v>57</v>
      </c>
      <c r="AZ1420">
        <v>5.69</v>
      </c>
      <c r="BA1420">
        <v>34</v>
      </c>
      <c r="BB1420">
        <v>5.0599999999999996</v>
      </c>
      <c r="BC1420">
        <v>32</v>
      </c>
      <c r="BD1420">
        <v>-0.06</v>
      </c>
      <c r="BE1420">
        <v>-0.06</v>
      </c>
      <c r="BF1420">
        <v>-0.11</v>
      </c>
      <c r="BG1420">
        <v>54</v>
      </c>
      <c r="BH1420">
        <v>-0.09</v>
      </c>
      <c r="BI1420">
        <v>-6.95</v>
      </c>
      <c r="BJ1420">
        <v>0</v>
      </c>
      <c r="BK1420">
        <v>0</v>
      </c>
      <c r="BL1420">
        <v>-1.38</v>
      </c>
      <c r="BM1420">
        <v>1.04</v>
      </c>
      <c r="BN1420">
        <v>-1.36</v>
      </c>
      <c r="BO1420">
        <v>-1.65</v>
      </c>
      <c r="BP1420">
        <v>1.02</v>
      </c>
      <c r="BQ1420">
        <v>-0.73</v>
      </c>
      <c r="BR1420">
        <v>0.71</v>
      </c>
      <c r="BS1420">
        <v>0.08</v>
      </c>
      <c r="BT1420">
        <v>-0.75</v>
      </c>
      <c r="BU1420">
        <v>-1.22</v>
      </c>
      <c r="BV1420">
        <v>-2.33</v>
      </c>
      <c r="BW1420">
        <v>-1.84</v>
      </c>
      <c r="BX1420">
        <v>-0.98</v>
      </c>
      <c r="BY1420">
        <v>-1.1200000000000001</v>
      </c>
      <c r="BZ1420">
        <v>-0.86</v>
      </c>
      <c r="CA1420">
        <v>-1.56</v>
      </c>
      <c r="CB1420">
        <v>-1.76</v>
      </c>
      <c r="CC1420">
        <v>-0.61</v>
      </c>
      <c r="CD1420">
        <v>1.29</v>
      </c>
      <c r="CE1420">
        <v>-1.46</v>
      </c>
      <c r="CF1420">
        <v>-1.47</v>
      </c>
      <c r="CG1420">
        <v>0</v>
      </c>
      <c r="CH1420">
        <v>-1.22</v>
      </c>
      <c r="CI1420">
        <v>0</v>
      </c>
      <c r="CJ1420">
        <v>3.4</v>
      </c>
      <c r="CK1420">
        <v>50</v>
      </c>
      <c r="CL1420">
        <v>-0.85</v>
      </c>
      <c r="CM1420">
        <v>45</v>
      </c>
      <c r="CN1420">
        <v>-0.45</v>
      </c>
      <c r="CO1420">
        <v>45</v>
      </c>
      <c r="CP1420">
        <v>-5.9</v>
      </c>
      <c r="CQ1420">
        <v>43</v>
      </c>
      <c r="CR1420">
        <v>0</v>
      </c>
      <c r="CS1420">
        <v>0</v>
      </c>
      <c r="CT1420">
        <v>18.7</v>
      </c>
      <c r="CU1420">
        <v>44</v>
      </c>
      <c r="CV1420">
        <v>0.17</v>
      </c>
      <c r="CW1420">
        <v>34</v>
      </c>
      <c r="CX1420" t="s">
        <v>10114</v>
      </c>
    </row>
    <row r="1421" spans="1:102" x14ac:dyDescent="0.3">
      <c r="A1421" t="str">
        <f>HYPERLINK("https://webapp.icbf.com/v2/app/bull-search/view/77853415","SPW")</f>
        <v>SPW</v>
      </c>
      <c r="B1421" t="s">
        <v>3796</v>
      </c>
      <c r="C1421" t="s">
        <v>1390</v>
      </c>
      <c r="D1421" s="1">
        <v>33546</v>
      </c>
      <c r="E1421" t="s">
        <v>92</v>
      </c>
      <c r="F1421">
        <v>88</v>
      </c>
      <c r="G1421" t="s">
        <v>93</v>
      </c>
      <c r="H1421">
        <v>112.42</v>
      </c>
      <c r="I1421">
        <v>96</v>
      </c>
      <c r="J1421">
        <v>66.650000000000006</v>
      </c>
      <c r="K1421">
        <v>99</v>
      </c>
      <c r="L1421">
        <v>8.9</v>
      </c>
      <c r="M1421">
        <v>93</v>
      </c>
      <c r="N1421">
        <v>24.23</v>
      </c>
      <c r="O1421">
        <v>96</v>
      </c>
      <c r="P1421">
        <v>-10.67</v>
      </c>
      <c r="Q1421">
        <v>99</v>
      </c>
      <c r="R1421">
        <v>1.35</v>
      </c>
      <c r="S1421">
        <v>94</v>
      </c>
      <c r="T1421">
        <v>18.12</v>
      </c>
      <c r="U1421">
        <v>96</v>
      </c>
      <c r="V1421">
        <v>3.84</v>
      </c>
      <c r="W1421">
        <v>93</v>
      </c>
      <c r="X1421" t="s">
        <v>558</v>
      </c>
      <c r="Y1421" t="s">
        <v>95</v>
      </c>
      <c r="Z1421" t="s">
        <v>96</v>
      </c>
      <c r="AA1421" t="s">
        <v>3797</v>
      </c>
      <c r="AB1421" t="s">
        <v>3798</v>
      </c>
      <c r="AC1421">
        <v>658</v>
      </c>
      <c r="AD1421">
        <v>140</v>
      </c>
      <c r="AE1421">
        <v>99</v>
      </c>
      <c r="AF1421">
        <v>-99.08</v>
      </c>
      <c r="AG1421">
        <v>8.08</v>
      </c>
      <c r="AH1421">
        <v>6.96</v>
      </c>
      <c r="AI1421">
        <v>0.21</v>
      </c>
      <c r="AJ1421">
        <v>0.18</v>
      </c>
      <c r="AK1421">
        <v>93</v>
      </c>
      <c r="AL1421">
        <v>636</v>
      </c>
      <c r="AM1421">
        <v>129</v>
      </c>
      <c r="AN1421">
        <v>1.1000000000000001</v>
      </c>
      <c r="AO1421">
        <v>1.83</v>
      </c>
      <c r="AP1421">
        <v>279</v>
      </c>
      <c r="AQ1421">
        <v>1</v>
      </c>
      <c r="AR1421">
        <v>5.28</v>
      </c>
      <c r="AS1421">
        <v>92</v>
      </c>
      <c r="AT1421">
        <v>2.46</v>
      </c>
      <c r="AU1421">
        <v>97</v>
      </c>
      <c r="AV1421">
        <v>-3.32</v>
      </c>
      <c r="AW1421">
        <v>98</v>
      </c>
      <c r="AX1421">
        <v>-0.03</v>
      </c>
      <c r="AY1421">
        <v>96</v>
      </c>
      <c r="AZ1421">
        <v>8.34</v>
      </c>
      <c r="BA1421">
        <v>91</v>
      </c>
      <c r="BB1421">
        <v>6.72</v>
      </c>
      <c r="BC1421">
        <v>94</v>
      </c>
      <c r="BD1421">
        <v>0</v>
      </c>
      <c r="BE1421">
        <v>0.01</v>
      </c>
      <c r="BF1421">
        <v>-0.05</v>
      </c>
      <c r="BG1421">
        <v>98</v>
      </c>
      <c r="BH1421">
        <v>0.12</v>
      </c>
      <c r="BI1421">
        <v>1.49</v>
      </c>
      <c r="BJ1421">
        <v>30</v>
      </c>
      <c r="BK1421">
        <v>13</v>
      </c>
      <c r="BL1421">
        <v>-0.43</v>
      </c>
      <c r="BM1421">
        <v>-1.66</v>
      </c>
      <c r="BN1421">
        <v>-1.33</v>
      </c>
      <c r="BO1421">
        <v>-0.37</v>
      </c>
      <c r="BP1421">
        <v>0.35</v>
      </c>
      <c r="BQ1421">
        <v>-1.87</v>
      </c>
      <c r="BR1421">
        <v>0.22</v>
      </c>
      <c r="BS1421">
        <v>-3.18</v>
      </c>
      <c r="BT1421">
        <v>-1.26</v>
      </c>
      <c r="BU1421">
        <v>-2.17</v>
      </c>
      <c r="BV1421">
        <v>-0.92</v>
      </c>
      <c r="BW1421">
        <v>-0.8</v>
      </c>
      <c r="BX1421">
        <v>-1.74</v>
      </c>
      <c r="BY1421">
        <v>-2.98</v>
      </c>
      <c r="BZ1421">
        <v>0.5</v>
      </c>
      <c r="CA1421">
        <v>-1.59</v>
      </c>
      <c r="CB1421">
        <v>-1.58</v>
      </c>
      <c r="CC1421">
        <v>-1.77</v>
      </c>
      <c r="CD1421">
        <v>-0.93</v>
      </c>
      <c r="CE1421">
        <v>-0.03</v>
      </c>
      <c r="CF1421">
        <v>-0.82</v>
      </c>
      <c r="CG1421">
        <v>0</v>
      </c>
      <c r="CH1421">
        <v>-2.8</v>
      </c>
      <c r="CI1421">
        <v>0</v>
      </c>
      <c r="CJ1421">
        <v>-1.4</v>
      </c>
      <c r="CK1421">
        <v>99</v>
      </c>
      <c r="CL1421">
        <v>-0.47</v>
      </c>
      <c r="CM1421">
        <v>98</v>
      </c>
      <c r="CN1421">
        <v>0.2</v>
      </c>
      <c r="CO1421">
        <v>98</v>
      </c>
      <c r="CP1421">
        <v>-10.3</v>
      </c>
      <c r="CQ1421">
        <v>98</v>
      </c>
      <c r="CR1421">
        <v>0</v>
      </c>
      <c r="CS1421">
        <v>0</v>
      </c>
      <c r="CT1421">
        <v>-10.7</v>
      </c>
      <c r="CU1421">
        <v>96</v>
      </c>
      <c r="CV1421">
        <v>0.06</v>
      </c>
      <c r="CW1421">
        <v>46</v>
      </c>
      <c r="CX1421" t="s">
        <v>3799</v>
      </c>
    </row>
    <row r="1422" spans="1:102" x14ac:dyDescent="0.3">
      <c r="A1422" t="str">
        <f>HYPERLINK("https://webapp.icbf.com/v2/app/bull-search/view/1034239384","AKE")</f>
        <v>AKE</v>
      </c>
      <c r="B1422" t="s">
        <v>13167</v>
      </c>
      <c r="C1422" t="s">
        <v>13168</v>
      </c>
      <c r="D1422" s="1">
        <v>40861</v>
      </c>
      <c r="E1422" t="s">
        <v>108</v>
      </c>
      <c r="F1422">
        <v>0</v>
      </c>
      <c r="G1422" t="s">
        <v>93</v>
      </c>
      <c r="H1422">
        <v>112.39</v>
      </c>
      <c r="I1422">
        <v>83</v>
      </c>
      <c r="J1422">
        <v>11.51</v>
      </c>
      <c r="K1422">
        <v>95</v>
      </c>
      <c r="L1422">
        <v>63.11</v>
      </c>
      <c r="M1422">
        <v>73</v>
      </c>
      <c r="N1422">
        <v>32.409999999999997</v>
      </c>
      <c r="O1422">
        <v>83</v>
      </c>
      <c r="P1422">
        <v>-19.55</v>
      </c>
      <c r="Q1422">
        <v>94</v>
      </c>
      <c r="R1422">
        <v>-3.23</v>
      </c>
      <c r="S1422">
        <v>68</v>
      </c>
      <c r="T1422">
        <v>29.51</v>
      </c>
      <c r="U1422">
        <v>76</v>
      </c>
      <c r="V1422">
        <v>-1.37</v>
      </c>
      <c r="W1422">
        <v>67</v>
      </c>
      <c r="X1422" t="s">
        <v>234</v>
      </c>
      <c r="Y1422" t="s">
        <v>1923</v>
      </c>
      <c r="Z1422" t="s">
        <v>96</v>
      </c>
      <c r="AA1422" t="s">
        <v>4366</v>
      </c>
      <c r="AB1422" t="s">
        <v>13169</v>
      </c>
      <c r="AC1422">
        <v>91</v>
      </c>
      <c r="AD1422">
        <v>29</v>
      </c>
      <c r="AE1422">
        <v>95</v>
      </c>
      <c r="AF1422">
        <v>-109.41</v>
      </c>
      <c r="AG1422">
        <v>1.25</v>
      </c>
      <c r="AH1422">
        <v>-0.16</v>
      </c>
      <c r="AI1422">
        <v>0.1</v>
      </c>
      <c r="AJ1422">
        <v>0.06</v>
      </c>
      <c r="AK1422">
        <v>73</v>
      </c>
      <c r="AL1422">
        <v>101</v>
      </c>
      <c r="AM1422">
        <v>38</v>
      </c>
      <c r="AN1422">
        <v>-3.7</v>
      </c>
      <c r="AO1422">
        <v>1.33</v>
      </c>
      <c r="AP1422">
        <v>251</v>
      </c>
      <c r="AQ1422">
        <v>2</v>
      </c>
      <c r="AR1422">
        <v>6.32</v>
      </c>
      <c r="AS1422">
        <v>80</v>
      </c>
      <c r="AT1422">
        <v>2.7</v>
      </c>
      <c r="AU1422">
        <v>85</v>
      </c>
      <c r="AV1422">
        <v>-3.31</v>
      </c>
      <c r="AW1422">
        <v>94</v>
      </c>
      <c r="AX1422">
        <v>-0.81</v>
      </c>
      <c r="AY1422">
        <v>87</v>
      </c>
      <c r="AZ1422">
        <v>7.33</v>
      </c>
      <c r="BA1422">
        <v>56</v>
      </c>
      <c r="BB1422">
        <v>5.25</v>
      </c>
      <c r="BC1422">
        <v>48</v>
      </c>
      <c r="BD1422">
        <v>0.02</v>
      </c>
      <c r="BE1422">
        <v>-0.01</v>
      </c>
      <c r="BF1422">
        <v>0.06</v>
      </c>
      <c r="BG1422">
        <v>80</v>
      </c>
      <c r="BH1422">
        <v>-0.12</v>
      </c>
      <c r="BI1422">
        <v>-9.4600000000000009</v>
      </c>
      <c r="BJ1422">
        <v>3</v>
      </c>
      <c r="BK1422">
        <v>3</v>
      </c>
      <c r="BL1422">
        <v>-3.21</v>
      </c>
      <c r="BM1422">
        <v>1.17</v>
      </c>
      <c r="BN1422">
        <v>-2.3199999999999998</v>
      </c>
      <c r="BO1422">
        <v>-2.62</v>
      </c>
      <c r="BP1422">
        <v>-0.25</v>
      </c>
      <c r="BQ1422">
        <v>-0.44</v>
      </c>
      <c r="BR1422">
        <v>-0.22</v>
      </c>
      <c r="BS1422">
        <v>1.34</v>
      </c>
      <c r="BT1422">
        <v>0.18</v>
      </c>
      <c r="BU1422">
        <v>-2.38</v>
      </c>
      <c r="BV1422">
        <v>-2.95</v>
      </c>
      <c r="BW1422">
        <v>-2.4900000000000002</v>
      </c>
      <c r="BX1422">
        <v>-1.45</v>
      </c>
      <c r="BY1422">
        <v>-1.1499999999999999</v>
      </c>
      <c r="BZ1422">
        <v>-1.45</v>
      </c>
      <c r="CA1422">
        <v>-2.37</v>
      </c>
      <c r="CB1422">
        <v>-2.58</v>
      </c>
      <c r="CC1422">
        <v>-0.28999999999999998</v>
      </c>
      <c r="CD1422">
        <v>1.86</v>
      </c>
      <c r="CE1422">
        <v>-2.4900000000000002</v>
      </c>
      <c r="CF1422">
        <v>-3.36</v>
      </c>
      <c r="CG1422">
        <v>0</v>
      </c>
      <c r="CH1422">
        <v>-0.7</v>
      </c>
      <c r="CI1422">
        <v>0</v>
      </c>
      <c r="CJ1422">
        <v>-9.5</v>
      </c>
      <c r="CK1422">
        <v>96</v>
      </c>
      <c r="CL1422">
        <v>-0.41</v>
      </c>
      <c r="CM1422">
        <v>95</v>
      </c>
      <c r="CN1422">
        <v>-0.01</v>
      </c>
      <c r="CO1422">
        <v>94</v>
      </c>
      <c r="CP1422">
        <v>-15.5</v>
      </c>
      <c r="CQ1422">
        <v>78</v>
      </c>
      <c r="CR1422">
        <v>0</v>
      </c>
      <c r="CS1422">
        <v>0</v>
      </c>
      <c r="CT1422">
        <v>-26.1</v>
      </c>
      <c r="CU1422">
        <v>76</v>
      </c>
      <c r="CV1422">
        <v>0.03</v>
      </c>
      <c r="CW1422">
        <v>45</v>
      </c>
      <c r="CX1422" t="s">
        <v>8559</v>
      </c>
    </row>
    <row r="1423" spans="1:102" x14ac:dyDescent="0.3">
      <c r="A1423" t="str">
        <f>HYPERLINK("https://webapp.icbf.com/v2/app/bull-search/view/1133025218","S2050")</f>
        <v>S2050</v>
      </c>
      <c r="B1423" t="s">
        <v>5709</v>
      </c>
      <c r="C1423" t="s">
        <v>5710</v>
      </c>
      <c r="D1423" s="1">
        <v>41004</v>
      </c>
      <c r="E1423" t="s">
        <v>92</v>
      </c>
      <c r="F1423">
        <v>100</v>
      </c>
      <c r="G1423" t="s">
        <v>109</v>
      </c>
      <c r="H1423">
        <v>112.34</v>
      </c>
      <c r="I1423">
        <v>65</v>
      </c>
      <c r="J1423">
        <v>62.85</v>
      </c>
      <c r="K1423">
        <v>83</v>
      </c>
      <c r="L1423">
        <v>26.6</v>
      </c>
      <c r="M1423">
        <v>77</v>
      </c>
      <c r="N1423">
        <v>28.95</v>
      </c>
      <c r="O1423">
        <v>49</v>
      </c>
      <c r="P1423">
        <v>-9.92</v>
      </c>
      <c r="Q1423">
        <v>36</v>
      </c>
      <c r="R1423">
        <v>1.42</v>
      </c>
      <c r="S1423">
        <v>56</v>
      </c>
      <c r="T1423">
        <v>-0.38</v>
      </c>
      <c r="U1423">
        <v>22</v>
      </c>
      <c r="V1423">
        <v>2.82</v>
      </c>
      <c r="W1423">
        <v>12</v>
      </c>
      <c r="X1423" t="s">
        <v>234</v>
      </c>
      <c r="Y1423" t="s">
        <v>367</v>
      </c>
      <c r="Z1423" t="s">
        <v>96</v>
      </c>
      <c r="AA1423" t="s">
        <v>2000</v>
      </c>
      <c r="AB1423" t="s">
        <v>5711</v>
      </c>
      <c r="AC1423">
        <v>0</v>
      </c>
      <c r="AD1423">
        <v>0</v>
      </c>
      <c r="AE1423">
        <v>83</v>
      </c>
      <c r="AF1423">
        <v>588.82000000000005</v>
      </c>
      <c r="AG1423">
        <v>15.78</v>
      </c>
      <c r="AH1423">
        <v>14.12</v>
      </c>
      <c r="AI1423">
        <v>-0.11</v>
      </c>
      <c r="AJ1423">
        <v>-0.09</v>
      </c>
      <c r="AK1423">
        <v>77</v>
      </c>
      <c r="AL1423">
        <v>0</v>
      </c>
      <c r="AM1423">
        <v>0</v>
      </c>
      <c r="AN1423">
        <v>-0.8</v>
      </c>
      <c r="AO1423">
        <v>1.33</v>
      </c>
      <c r="AP1423">
        <v>7</v>
      </c>
      <c r="AQ1423">
        <v>0</v>
      </c>
      <c r="AR1423">
        <v>5.58</v>
      </c>
      <c r="AS1423">
        <v>25</v>
      </c>
      <c r="AT1423">
        <v>2.11</v>
      </c>
      <c r="AU1423">
        <v>87</v>
      </c>
      <c r="AV1423">
        <v>-1.95</v>
      </c>
      <c r="AW1423">
        <v>48</v>
      </c>
      <c r="AX1423">
        <v>0.03</v>
      </c>
      <c r="AY1423">
        <v>29</v>
      </c>
      <c r="AZ1423">
        <v>6.26</v>
      </c>
      <c r="BA1423">
        <v>20</v>
      </c>
      <c r="BB1423">
        <v>4.84</v>
      </c>
      <c r="BC1423">
        <v>15</v>
      </c>
      <c r="BD1423">
        <v>-0.01</v>
      </c>
      <c r="BE1423">
        <v>-0.04</v>
      </c>
      <c r="BF1423">
        <v>0.06</v>
      </c>
      <c r="BG1423">
        <v>88</v>
      </c>
      <c r="BH1423">
        <v>-0.02</v>
      </c>
      <c r="BI1423">
        <v>-11.42</v>
      </c>
      <c r="BJ1423">
        <v>0</v>
      </c>
      <c r="BK1423">
        <v>0</v>
      </c>
      <c r="BL1423">
        <v>2.0299999999999998</v>
      </c>
      <c r="BM1423">
        <v>-0.14000000000000001</v>
      </c>
      <c r="BN1423">
        <v>0.57999999999999996</v>
      </c>
      <c r="BO1423">
        <v>0.74</v>
      </c>
      <c r="BP1423">
        <v>-0.89</v>
      </c>
      <c r="BQ1423">
        <v>1.1399999999999999</v>
      </c>
      <c r="BR1423">
        <v>-2.08</v>
      </c>
      <c r="BS1423">
        <v>1.57</v>
      </c>
      <c r="BT1423">
        <v>0.68</v>
      </c>
      <c r="BU1423">
        <v>3.91</v>
      </c>
      <c r="BV1423">
        <v>3.39</v>
      </c>
      <c r="BW1423">
        <v>1.98</v>
      </c>
      <c r="BX1423">
        <v>3.15</v>
      </c>
      <c r="BY1423">
        <v>2.16</v>
      </c>
      <c r="BZ1423">
        <v>-1.52</v>
      </c>
      <c r="CA1423">
        <v>2.8</v>
      </c>
      <c r="CB1423">
        <v>2.79</v>
      </c>
      <c r="CC1423">
        <v>1.39</v>
      </c>
      <c r="CD1423">
        <v>0.27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-2.8</v>
      </c>
      <c r="CK1423">
        <v>38</v>
      </c>
      <c r="CL1423">
        <v>-1.29</v>
      </c>
      <c r="CM1423">
        <v>35</v>
      </c>
      <c r="CN1423">
        <v>-0.62</v>
      </c>
      <c r="CO1423">
        <v>34</v>
      </c>
      <c r="CP1423">
        <v>0</v>
      </c>
      <c r="CQ1423">
        <v>28</v>
      </c>
      <c r="CR1423">
        <v>0</v>
      </c>
      <c r="CS1423">
        <v>0</v>
      </c>
      <c r="CT1423">
        <v>14.3</v>
      </c>
      <c r="CU1423">
        <v>22</v>
      </c>
      <c r="CV1423">
        <v>0.38</v>
      </c>
      <c r="CW1423">
        <v>11</v>
      </c>
      <c r="CX1423" t="s">
        <v>1572</v>
      </c>
    </row>
    <row r="1424" spans="1:102" x14ac:dyDescent="0.3">
      <c r="A1424" t="str">
        <f>HYPERLINK("https://webapp.icbf.com/v2/app/bull-search/view/1276123212","FR5067")</f>
        <v>FR5067</v>
      </c>
      <c r="B1424" t="s">
        <v>9579</v>
      </c>
      <c r="C1424" t="s">
        <v>9580</v>
      </c>
      <c r="D1424" s="1">
        <v>41871</v>
      </c>
      <c r="E1424" t="s">
        <v>92</v>
      </c>
      <c r="F1424">
        <v>47</v>
      </c>
      <c r="G1424" t="s">
        <v>109</v>
      </c>
      <c r="H1424">
        <v>112.34</v>
      </c>
      <c r="I1424">
        <v>63</v>
      </c>
      <c r="J1424">
        <v>116.51</v>
      </c>
      <c r="K1424">
        <v>84</v>
      </c>
      <c r="L1424">
        <v>-31.54</v>
      </c>
      <c r="M1424">
        <v>61</v>
      </c>
      <c r="N1424">
        <v>33.729999999999997</v>
      </c>
      <c r="O1424">
        <v>46</v>
      </c>
      <c r="P1424">
        <v>-37.08</v>
      </c>
      <c r="Q1424">
        <v>37</v>
      </c>
      <c r="R1424">
        <v>-2.68</v>
      </c>
      <c r="S1424">
        <v>60</v>
      </c>
      <c r="T1424">
        <v>26.04</v>
      </c>
      <c r="U1424">
        <v>37</v>
      </c>
      <c r="V1424">
        <v>7.36</v>
      </c>
      <c r="W1424">
        <v>48</v>
      </c>
      <c r="X1424" t="s">
        <v>276</v>
      </c>
      <c r="Y1424" t="s">
        <v>9537</v>
      </c>
      <c r="Z1424">
        <v>0</v>
      </c>
      <c r="AA1424" t="s">
        <v>9581</v>
      </c>
      <c r="AB1424" t="s">
        <v>9582</v>
      </c>
      <c r="AC1424">
        <v>0</v>
      </c>
      <c r="AD1424">
        <v>0</v>
      </c>
      <c r="AE1424">
        <v>84</v>
      </c>
      <c r="AF1424">
        <v>21.8</v>
      </c>
      <c r="AG1424">
        <v>21.17</v>
      </c>
      <c r="AH1424">
        <v>12.66</v>
      </c>
      <c r="AI1424">
        <v>0.35</v>
      </c>
      <c r="AJ1424">
        <v>0.21</v>
      </c>
      <c r="AK1424">
        <v>61</v>
      </c>
      <c r="AL1424">
        <v>0</v>
      </c>
      <c r="AM1424">
        <v>0</v>
      </c>
      <c r="AN1424">
        <v>3.67</v>
      </c>
      <c r="AO1424">
        <v>1.18</v>
      </c>
      <c r="AP1424">
        <v>5</v>
      </c>
      <c r="AQ1424">
        <v>0</v>
      </c>
      <c r="AR1424">
        <v>3.1</v>
      </c>
      <c r="AS1424">
        <v>45</v>
      </c>
      <c r="AT1424">
        <v>1.71</v>
      </c>
      <c r="AU1424">
        <v>76</v>
      </c>
      <c r="AV1424">
        <v>-2.85</v>
      </c>
      <c r="AW1424">
        <v>37</v>
      </c>
      <c r="AX1424">
        <v>2.36</v>
      </c>
      <c r="AY1424">
        <v>38</v>
      </c>
      <c r="AZ1424">
        <v>6.9</v>
      </c>
      <c r="BA1424">
        <v>29</v>
      </c>
      <c r="BB1424">
        <v>5.28</v>
      </c>
      <c r="BC1424">
        <v>30</v>
      </c>
      <c r="BD1424">
        <v>-0.05</v>
      </c>
      <c r="BE1424">
        <v>0.05</v>
      </c>
      <c r="BF1424">
        <v>0.05</v>
      </c>
      <c r="BG1424">
        <v>77</v>
      </c>
      <c r="BH1424">
        <v>0.06</v>
      </c>
      <c r="BI1424">
        <v>-16.79</v>
      </c>
      <c r="BJ1424">
        <v>0</v>
      </c>
      <c r="BK1424">
        <v>0</v>
      </c>
      <c r="BL1424">
        <v>-2.99</v>
      </c>
      <c r="BM1424">
        <v>-0.54</v>
      </c>
      <c r="BN1424">
        <v>-1.41</v>
      </c>
      <c r="BO1424">
        <v>0</v>
      </c>
      <c r="BP1424">
        <v>-0.68</v>
      </c>
      <c r="BQ1424">
        <v>-2.17</v>
      </c>
      <c r="BR1424">
        <v>0.97</v>
      </c>
      <c r="BS1424">
        <v>0</v>
      </c>
      <c r="BT1424">
        <v>0</v>
      </c>
      <c r="BU1424">
        <v>-0.05</v>
      </c>
      <c r="BV1424">
        <v>0.45</v>
      </c>
      <c r="BW1424">
        <v>-1.0900000000000001</v>
      </c>
      <c r="BX1424">
        <v>0</v>
      </c>
      <c r="BY1424">
        <v>-1.88</v>
      </c>
      <c r="BZ1424">
        <v>0</v>
      </c>
      <c r="CA1424">
        <v>-1.1200000000000001</v>
      </c>
      <c r="CB1424">
        <v>-0.34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-20.2</v>
      </c>
      <c r="CK1424">
        <v>37</v>
      </c>
      <c r="CL1424">
        <v>-0.99</v>
      </c>
      <c r="CM1424">
        <v>37</v>
      </c>
      <c r="CN1424">
        <v>-0.38</v>
      </c>
      <c r="CO1424">
        <v>37</v>
      </c>
      <c r="CP1424">
        <v>-22.9</v>
      </c>
      <c r="CQ1424">
        <v>36</v>
      </c>
      <c r="CR1424">
        <v>0</v>
      </c>
      <c r="CS1424">
        <v>0</v>
      </c>
      <c r="CT1424">
        <v>-21.4</v>
      </c>
      <c r="CU1424">
        <v>37</v>
      </c>
      <c r="CV1424">
        <v>-0.13</v>
      </c>
      <c r="CW1424">
        <v>32</v>
      </c>
      <c r="CX1424" t="s">
        <v>2111</v>
      </c>
    </row>
    <row r="1425" spans="1:102" x14ac:dyDescent="0.3">
      <c r="A1425" t="str">
        <f>HYPERLINK("https://webapp.icbf.com/v2/app/bull-search/view/82952299","DEU")</f>
        <v>DEU</v>
      </c>
      <c r="B1425" t="s">
        <v>14120</v>
      </c>
      <c r="C1425" t="s">
        <v>3087</v>
      </c>
      <c r="D1425" s="1">
        <v>37187</v>
      </c>
      <c r="E1425" t="s">
        <v>92</v>
      </c>
      <c r="F1425">
        <v>56</v>
      </c>
      <c r="G1425" t="s">
        <v>93</v>
      </c>
      <c r="H1425">
        <v>112.06</v>
      </c>
      <c r="I1425">
        <v>99</v>
      </c>
      <c r="J1425">
        <v>69.290000000000006</v>
      </c>
      <c r="K1425">
        <v>99</v>
      </c>
      <c r="L1425">
        <v>44.82</v>
      </c>
      <c r="M1425">
        <v>98</v>
      </c>
      <c r="N1425">
        <v>-10.49</v>
      </c>
      <c r="O1425">
        <v>99</v>
      </c>
      <c r="P1425">
        <v>-14.52</v>
      </c>
      <c r="Q1425">
        <v>99</v>
      </c>
      <c r="R1425">
        <v>10.61</v>
      </c>
      <c r="S1425">
        <v>99</v>
      </c>
      <c r="T1425">
        <v>5.17</v>
      </c>
      <c r="U1425">
        <v>99</v>
      </c>
      <c r="V1425">
        <v>7.18</v>
      </c>
      <c r="W1425">
        <v>99</v>
      </c>
      <c r="X1425" t="s">
        <v>94</v>
      </c>
      <c r="Y1425" t="s">
        <v>95</v>
      </c>
      <c r="Z1425" t="s">
        <v>96</v>
      </c>
      <c r="AA1425" t="s">
        <v>792</v>
      </c>
      <c r="AB1425" t="s">
        <v>7497</v>
      </c>
      <c r="AC1425">
        <v>10920</v>
      </c>
      <c r="AD1425">
        <v>2897</v>
      </c>
      <c r="AE1425">
        <v>99</v>
      </c>
      <c r="AF1425">
        <v>-101.62</v>
      </c>
      <c r="AG1425">
        <v>13.85</v>
      </c>
      <c r="AH1425">
        <v>5.33</v>
      </c>
      <c r="AI1425">
        <v>0.32</v>
      </c>
      <c r="AJ1425">
        <v>0.16</v>
      </c>
      <c r="AK1425">
        <v>98</v>
      </c>
      <c r="AL1425">
        <v>13442</v>
      </c>
      <c r="AM1425">
        <v>4071</v>
      </c>
      <c r="AN1425">
        <v>-2.0299999999999998</v>
      </c>
      <c r="AO1425">
        <v>1.55</v>
      </c>
      <c r="AP1425">
        <v>19957</v>
      </c>
      <c r="AQ1425">
        <v>120</v>
      </c>
      <c r="AR1425">
        <v>10.25</v>
      </c>
      <c r="AS1425">
        <v>99</v>
      </c>
      <c r="AT1425">
        <v>5.15</v>
      </c>
      <c r="AU1425">
        <v>99</v>
      </c>
      <c r="AV1425">
        <v>-1.75</v>
      </c>
      <c r="AW1425">
        <v>99</v>
      </c>
      <c r="AX1425">
        <v>-0.32</v>
      </c>
      <c r="AY1425">
        <v>99</v>
      </c>
      <c r="AZ1425">
        <v>5.23</v>
      </c>
      <c r="BA1425">
        <v>99</v>
      </c>
      <c r="BB1425">
        <v>4.3600000000000003</v>
      </c>
      <c r="BC1425">
        <v>99</v>
      </c>
      <c r="BD1425">
        <v>-0.06</v>
      </c>
      <c r="BE1425">
        <v>-0.06</v>
      </c>
      <c r="BF1425">
        <v>-0.03</v>
      </c>
      <c r="BG1425">
        <v>99</v>
      </c>
      <c r="BH1425">
        <v>0</v>
      </c>
      <c r="BI1425">
        <v>-23.15</v>
      </c>
      <c r="BJ1425">
        <v>324</v>
      </c>
      <c r="BK1425">
        <v>171</v>
      </c>
      <c r="BL1425">
        <v>-0.46</v>
      </c>
      <c r="BM1425">
        <v>1.2</v>
      </c>
      <c r="BN1425">
        <v>0.57999999999999996</v>
      </c>
      <c r="BO1425">
        <v>-0.45</v>
      </c>
      <c r="BP1425">
        <v>0.27</v>
      </c>
      <c r="BQ1425">
        <v>-1.73</v>
      </c>
      <c r="BR1425">
        <v>1.73</v>
      </c>
      <c r="BS1425">
        <v>1.29</v>
      </c>
      <c r="BT1425">
        <v>-1.27</v>
      </c>
      <c r="BU1425">
        <v>0.11</v>
      </c>
      <c r="BV1425">
        <v>-1.08</v>
      </c>
      <c r="BW1425">
        <v>-0.69</v>
      </c>
      <c r="BX1425">
        <v>-0.09</v>
      </c>
      <c r="BY1425">
        <v>-0.55000000000000004</v>
      </c>
      <c r="BZ1425">
        <v>0.31</v>
      </c>
      <c r="CA1425">
        <v>0.08</v>
      </c>
      <c r="CB1425">
        <v>-0.23</v>
      </c>
      <c r="CC1425">
        <v>0.64</v>
      </c>
      <c r="CD1425">
        <v>0.67</v>
      </c>
      <c r="CE1425">
        <v>-0.44</v>
      </c>
      <c r="CF1425">
        <v>-0.23</v>
      </c>
      <c r="CG1425">
        <v>0</v>
      </c>
      <c r="CH1425">
        <v>-0.67</v>
      </c>
      <c r="CI1425">
        <v>0</v>
      </c>
      <c r="CJ1425">
        <v>-6</v>
      </c>
      <c r="CK1425">
        <v>99</v>
      </c>
      <c r="CL1425">
        <v>-0.86</v>
      </c>
      <c r="CM1425">
        <v>99</v>
      </c>
      <c r="CN1425">
        <v>-0.28000000000000003</v>
      </c>
      <c r="CO1425">
        <v>99</v>
      </c>
      <c r="CP1425">
        <v>-4.3</v>
      </c>
      <c r="CQ1425">
        <v>99</v>
      </c>
      <c r="CR1425">
        <v>0</v>
      </c>
      <c r="CS1425">
        <v>0</v>
      </c>
      <c r="CT1425">
        <v>6.8</v>
      </c>
      <c r="CU1425">
        <v>99</v>
      </c>
      <c r="CV1425">
        <v>0.11</v>
      </c>
      <c r="CW1425">
        <v>52</v>
      </c>
      <c r="CX1425" t="s">
        <v>1037</v>
      </c>
    </row>
    <row r="1426" spans="1:102" x14ac:dyDescent="0.3">
      <c r="A1426" t="str">
        <f>HYPERLINK("https://webapp.icbf.com/v2/app/bull-search/view/1167710703","S2137")</f>
        <v>S2137</v>
      </c>
      <c r="B1426" t="s">
        <v>5769</v>
      </c>
      <c r="C1426" t="s">
        <v>5770</v>
      </c>
      <c r="D1426" s="1">
        <v>41208</v>
      </c>
      <c r="E1426" t="s">
        <v>92</v>
      </c>
      <c r="F1426">
        <v>100</v>
      </c>
      <c r="G1426" t="s">
        <v>109</v>
      </c>
      <c r="H1426">
        <v>112</v>
      </c>
      <c r="I1426">
        <v>77</v>
      </c>
      <c r="J1426">
        <v>32.64</v>
      </c>
      <c r="K1426">
        <v>92</v>
      </c>
      <c r="L1426">
        <v>46.14</v>
      </c>
      <c r="M1426">
        <v>83</v>
      </c>
      <c r="N1426">
        <v>25.45</v>
      </c>
      <c r="O1426">
        <v>62</v>
      </c>
      <c r="P1426">
        <v>5.79</v>
      </c>
      <c r="Q1426">
        <v>51</v>
      </c>
      <c r="R1426">
        <v>13.08</v>
      </c>
      <c r="S1426">
        <v>72</v>
      </c>
      <c r="T1426">
        <v>-11.41</v>
      </c>
      <c r="U1426">
        <v>44</v>
      </c>
      <c r="V1426">
        <v>0.31</v>
      </c>
      <c r="W1426">
        <v>58</v>
      </c>
      <c r="X1426" t="s">
        <v>94</v>
      </c>
      <c r="Y1426" t="s">
        <v>367</v>
      </c>
      <c r="Z1426" t="s">
        <v>96</v>
      </c>
      <c r="AA1426" t="s">
        <v>401</v>
      </c>
      <c r="AB1426" t="s">
        <v>5771</v>
      </c>
      <c r="AC1426">
        <v>0</v>
      </c>
      <c r="AD1426">
        <v>0</v>
      </c>
      <c r="AE1426">
        <v>92</v>
      </c>
      <c r="AF1426">
        <v>330.61</v>
      </c>
      <c r="AG1426">
        <v>13.77</v>
      </c>
      <c r="AH1426">
        <v>5.74</v>
      </c>
      <c r="AI1426">
        <v>0.01</v>
      </c>
      <c r="AJ1426">
        <v>-0.09</v>
      </c>
      <c r="AK1426">
        <v>83</v>
      </c>
      <c r="AL1426">
        <v>0</v>
      </c>
      <c r="AM1426">
        <v>0</v>
      </c>
      <c r="AN1426">
        <v>-0.96</v>
      </c>
      <c r="AO1426">
        <v>2.74</v>
      </c>
      <c r="AP1426">
        <v>1</v>
      </c>
      <c r="AQ1426">
        <v>0</v>
      </c>
      <c r="AR1426">
        <v>7.66</v>
      </c>
      <c r="AS1426">
        <v>58</v>
      </c>
      <c r="AT1426">
        <v>2.94</v>
      </c>
      <c r="AU1426">
        <v>90</v>
      </c>
      <c r="AV1426">
        <v>-2.7</v>
      </c>
      <c r="AW1426">
        <v>55</v>
      </c>
      <c r="AX1426">
        <v>0.17</v>
      </c>
      <c r="AY1426">
        <v>51</v>
      </c>
      <c r="AZ1426">
        <v>5.33</v>
      </c>
      <c r="BA1426">
        <v>45</v>
      </c>
      <c r="BB1426">
        <v>4.6900000000000004</v>
      </c>
      <c r="BC1426">
        <v>43</v>
      </c>
      <c r="BD1426">
        <v>-0.04</v>
      </c>
      <c r="BE1426">
        <v>-0.06</v>
      </c>
      <c r="BF1426">
        <v>-0.12</v>
      </c>
      <c r="BG1426">
        <v>89</v>
      </c>
      <c r="BH1426">
        <v>-0.1</v>
      </c>
      <c r="BI1426">
        <v>-12.56</v>
      </c>
      <c r="BJ1426">
        <v>0</v>
      </c>
      <c r="BK1426">
        <v>0</v>
      </c>
      <c r="BL1426">
        <v>1.63</v>
      </c>
      <c r="BM1426">
        <v>-0.97</v>
      </c>
      <c r="BN1426">
        <v>0.68</v>
      </c>
      <c r="BO1426">
        <v>1.17</v>
      </c>
      <c r="BP1426">
        <v>-0.33</v>
      </c>
      <c r="BQ1426">
        <v>0.56000000000000005</v>
      </c>
      <c r="BR1426">
        <v>0.18</v>
      </c>
      <c r="BS1426">
        <v>2.0699999999999998</v>
      </c>
      <c r="BT1426">
        <v>0.97</v>
      </c>
      <c r="BU1426">
        <v>2.63</v>
      </c>
      <c r="BV1426">
        <v>3.51</v>
      </c>
      <c r="BW1426">
        <v>3.94</v>
      </c>
      <c r="BX1426">
        <v>2.0699999999999998</v>
      </c>
      <c r="BY1426">
        <v>2.72</v>
      </c>
      <c r="BZ1426">
        <v>0.96</v>
      </c>
      <c r="CA1426">
        <v>2.68</v>
      </c>
      <c r="CB1426">
        <v>2.76</v>
      </c>
      <c r="CC1426">
        <v>1.97</v>
      </c>
      <c r="CD1426">
        <v>-1.19</v>
      </c>
      <c r="CE1426">
        <v>0.92</v>
      </c>
      <c r="CF1426">
        <v>0.64</v>
      </c>
      <c r="CG1426">
        <v>0</v>
      </c>
      <c r="CH1426">
        <v>2.59</v>
      </c>
      <c r="CI1426">
        <v>0</v>
      </c>
      <c r="CJ1426">
        <v>5</v>
      </c>
      <c r="CK1426">
        <v>52</v>
      </c>
      <c r="CL1426">
        <v>-1.18</v>
      </c>
      <c r="CM1426">
        <v>51</v>
      </c>
      <c r="CN1426">
        <v>-0.82</v>
      </c>
      <c r="CO1426">
        <v>50</v>
      </c>
      <c r="CP1426">
        <v>9.8000000000000007</v>
      </c>
      <c r="CQ1426">
        <v>46</v>
      </c>
      <c r="CR1426">
        <v>0</v>
      </c>
      <c r="CS1426">
        <v>0</v>
      </c>
      <c r="CT1426">
        <v>29.2</v>
      </c>
      <c r="CU1426">
        <v>44</v>
      </c>
      <c r="CV1426">
        <v>0.32</v>
      </c>
      <c r="CW1426">
        <v>36</v>
      </c>
      <c r="CX1426" t="s">
        <v>1848</v>
      </c>
    </row>
    <row r="1427" spans="1:102" x14ac:dyDescent="0.3">
      <c r="A1427" t="str">
        <f>HYPERLINK("https://webapp.icbf.com/v2/app/bull-search/view/673382669","GTW")</f>
        <v>GTW</v>
      </c>
      <c r="B1427" t="s">
        <v>14501</v>
      </c>
      <c r="C1427" t="s">
        <v>6069</v>
      </c>
      <c r="D1427" s="1">
        <v>39865</v>
      </c>
      <c r="E1427" t="s">
        <v>108</v>
      </c>
      <c r="F1427">
        <v>13</v>
      </c>
      <c r="G1427" t="s">
        <v>93</v>
      </c>
      <c r="H1427">
        <v>111.93</v>
      </c>
      <c r="I1427">
        <v>97</v>
      </c>
      <c r="J1427">
        <v>1.98</v>
      </c>
      <c r="K1427">
        <v>99</v>
      </c>
      <c r="L1427">
        <v>56.99</v>
      </c>
      <c r="M1427">
        <v>95</v>
      </c>
      <c r="N1427">
        <v>43.03</v>
      </c>
      <c r="O1427">
        <v>98</v>
      </c>
      <c r="P1427">
        <v>-20.29</v>
      </c>
      <c r="Q1427">
        <v>99</v>
      </c>
      <c r="R1427">
        <v>13.03</v>
      </c>
      <c r="S1427">
        <v>95</v>
      </c>
      <c r="T1427">
        <v>18.04</v>
      </c>
      <c r="U1427">
        <v>99</v>
      </c>
      <c r="V1427">
        <v>-0.85</v>
      </c>
      <c r="W1427">
        <v>83</v>
      </c>
      <c r="X1427" t="s">
        <v>94</v>
      </c>
      <c r="Y1427" t="s">
        <v>329</v>
      </c>
      <c r="Z1427" t="s">
        <v>96</v>
      </c>
      <c r="AA1427" t="s">
        <v>1909</v>
      </c>
      <c r="AB1427" t="s">
        <v>14502</v>
      </c>
      <c r="AC1427">
        <v>2563</v>
      </c>
      <c r="AD1427">
        <v>815</v>
      </c>
      <c r="AE1427">
        <v>99</v>
      </c>
      <c r="AF1427">
        <v>43.71</v>
      </c>
      <c r="AG1427">
        <v>1.4</v>
      </c>
      <c r="AH1427">
        <v>0.51</v>
      </c>
      <c r="AI1427">
        <v>-0.01</v>
      </c>
      <c r="AJ1427">
        <v>-0.02</v>
      </c>
      <c r="AK1427">
        <v>95</v>
      </c>
      <c r="AL1427">
        <v>4143</v>
      </c>
      <c r="AM1427">
        <v>1394</v>
      </c>
      <c r="AN1427">
        <v>-3.49</v>
      </c>
      <c r="AO1427">
        <v>1.05</v>
      </c>
      <c r="AP1427">
        <v>6917</v>
      </c>
      <c r="AQ1427">
        <v>47</v>
      </c>
      <c r="AR1427">
        <v>4.8600000000000003</v>
      </c>
      <c r="AS1427">
        <v>99</v>
      </c>
      <c r="AT1427">
        <v>2.1</v>
      </c>
      <c r="AU1427">
        <v>99</v>
      </c>
      <c r="AV1427">
        <v>-3.29</v>
      </c>
      <c r="AW1427">
        <v>99</v>
      </c>
      <c r="AX1427">
        <v>-0.62</v>
      </c>
      <c r="AY1427">
        <v>99</v>
      </c>
      <c r="AZ1427">
        <v>5.65</v>
      </c>
      <c r="BA1427">
        <v>97</v>
      </c>
      <c r="BB1427">
        <v>4.9800000000000004</v>
      </c>
      <c r="BC1427">
        <v>96</v>
      </c>
      <c r="BD1427">
        <v>-0.04</v>
      </c>
      <c r="BE1427">
        <v>-7.0000000000000007E-2</v>
      </c>
      <c r="BF1427">
        <v>-0.1</v>
      </c>
      <c r="BG1427">
        <v>99</v>
      </c>
      <c r="BH1427">
        <v>-0.19</v>
      </c>
      <c r="BI1427">
        <v>-19.25</v>
      </c>
      <c r="BJ1427">
        <v>87</v>
      </c>
      <c r="BK1427">
        <v>31</v>
      </c>
      <c r="BL1427">
        <v>-2.2599999999999998</v>
      </c>
      <c r="BM1427">
        <v>1.77</v>
      </c>
      <c r="BN1427">
        <v>-0.48</v>
      </c>
      <c r="BO1427">
        <v>-1.41</v>
      </c>
      <c r="BP1427">
        <v>0.18</v>
      </c>
      <c r="BQ1427">
        <v>2.1</v>
      </c>
      <c r="BR1427">
        <v>-2.78</v>
      </c>
      <c r="BS1427">
        <v>1.55</v>
      </c>
      <c r="BT1427">
        <v>2.21</v>
      </c>
      <c r="BU1427">
        <v>-0.57999999999999996</v>
      </c>
      <c r="BV1427">
        <v>-1.61</v>
      </c>
      <c r="BW1427">
        <v>-1.5</v>
      </c>
      <c r="BX1427">
        <v>-0.49</v>
      </c>
      <c r="BY1427">
        <v>-1.32</v>
      </c>
      <c r="BZ1427">
        <v>-2.2599999999999998</v>
      </c>
      <c r="CA1427">
        <v>-0.64</v>
      </c>
      <c r="CB1427">
        <v>-1.31</v>
      </c>
      <c r="CC1427">
        <v>1.24</v>
      </c>
      <c r="CD1427">
        <v>2.02</v>
      </c>
      <c r="CE1427">
        <v>-1.56</v>
      </c>
      <c r="CF1427">
        <v>-0.61</v>
      </c>
      <c r="CG1427">
        <v>0</v>
      </c>
      <c r="CH1427">
        <v>-1.44</v>
      </c>
      <c r="CI1427">
        <v>0</v>
      </c>
      <c r="CJ1427">
        <v>-8.9</v>
      </c>
      <c r="CK1427">
        <v>99</v>
      </c>
      <c r="CL1427">
        <v>-0.55000000000000004</v>
      </c>
      <c r="CM1427">
        <v>99</v>
      </c>
      <c r="CN1427">
        <v>7.0000000000000007E-2</v>
      </c>
      <c r="CO1427">
        <v>99</v>
      </c>
      <c r="CP1427">
        <v>-10.1</v>
      </c>
      <c r="CQ1427">
        <v>98</v>
      </c>
      <c r="CR1427">
        <v>0</v>
      </c>
      <c r="CS1427">
        <v>0</v>
      </c>
      <c r="CT1427">
        <v>-10.6</v>
      </c>
      <c r="CU1427">
        <v>99</v>
      </c>
      <c r="CV1427">
        <v>0.1</v>
      </c>
      <c r="CW1427">
        <v>50</v>
      </c>
      <c r="CX1427" t="s">
        <v>5324</v>
      </c>
    </row>
    <row r="1428" spans="1:102" x14ac:dyDescent="0.3">
      <c r="A1428" t="str">
        <f>HYPERLINK("https://webapp.icbf.com/v2/app/bull-search/view/69092803","TOB")</f>
        <v>TOB</v>
      </c>
      <c r="B1428" t="s">
        <v>3007</v>
      </c>
      <c r="C1428" t="s">
        <v>3008</v>
      </c>
      <c r="D1428" s="1">
        <v>33508</v>
      </c>
      <c r="E1428" t="s">
        <v>395</v>
      </c>
      <c r="F1428">
        <v>0</v>
      </c>
      <c r="G1428" t="s">
        <v>109</v>
      </c>
      <c r="H1428">
        <v>111.91</v>
      </c>
      <c r="I1428">
        <v>63</v>
      </c>
      <c r="J1428">
        <v>0.05</v>
      </c>
      <c r="K1428">
        <v>63</v>
      </c>
      <c r="L1428">
        <v>58.08</v>
      </c>
      <c r="M1428">
        <v>67</v>
      </c>
      <c r="N1428">
        <v>44.49</v>
      </c>
      <c r="O1428">
        <v>58</v>
      </c>
      <c r="P1428">
        <v>-7.86</v>
      </c>
      <c r="Q1428">
        <v>69</v>
      </c>
      <c r="R1428">
        <v>5.07</v>
      </c>
      <c r="S1428">
        <v>46</v>
      </c>
      <c r="T1428">
        <v>18.71</v>
      </c>
      <c r="U1428">
        <v>72</v>
      </c>
      <c r="V1428">
        <v>-6.63</v>
      </c>
      <c r="W1428">
        <v>23</v>
      </c>
      <c r="X1428" t="s">
        <v>94</v>
      </c>
      <c r="Y1428" t="s">
        <v>95</v>
      </c>
      <c r="Z1428">
        <v>0</v>
      </c>
      <c r="AA1428" t="s">
        <v>3009</v>
      </c>
      <c r="AB1428" t="s">
        <v>3010</v>
      </c>
      <c r="AC1428">
        <v>0</v>
      </c>
      <c r="AD1428">
        <v>0</v>
      </c>
      <c r="AE1428">
        <v>63</v>
      </c>
      <c r="AF1428">
        <v>-142.96</v>
      </c>
      <c r="AG1428">
        <v>3.48</v>
      </c>
      <c r="AH1428">
        <v>-3.41</v>
      </c>
      <c r="AI1428">
        <v>0.15</v>
      </c>
      <c r="AJ1428">
        <v>0.03</v>
      </c>
      <c r="AK1428">
        <v>67</v>
      </c>
      <c r="AL1428">
        <v>0</v>
      </c>
      <c r="AM1428">
        <v>0</v>
      </c>
      <c r="AN1428">
        <v>-2.54</v>
      </c>
      <c r="AO1428">
        <v>2.1</v>
      </c>
      <c r="AP1428">
        <v>2</v>
      </c>
      <c r="AQ1428">
        <v>1</v>
      </c>
      <c r="AR1428">
        <v>4</v>
      </c>
      <c r="AS1428">
        <v>20</v>
      </c>
      <c r="AT1428">
        <v>1.73</v>
      </c>
      <c r="AU1428">
        <v>80</v>
      </c>
      <c r="AV1428">
        <v>-2.6</v>
      </c>
      <c r="AW1428">
        <v>62</v>
      </c>
      <c r="AX1428">
        <v>-0.26</v>
      </c>
      <c r="AY1428">
        <v>53</v>
      </c>
      <c r="AZ1428">
        <v>5.08</v>
      </c>
      <c r="BA1428">
        <v>24</v>
      </c>
      <c r="BB1428">
        <v>4.24</v>
      </c>
      <c r="BC1428">
        <v>38</v>
      </c>
      <c r="BD1428">
        <v>-0.01</v>
      </c>
      <c r="BE1428">
        <v>0</v>
      </c>
      <c r="BF1428">
        <v>-0.1</v>
      </c>
      <c r="BG1428">
        <v>60</v>
      </c>
      <c r="BH1428">
        <v>0.02</v>
      </c>
      <c r="BI1428">
        <v>23.7</v>
      </c>
      <c r="BJ1428">
        <v>0</v>
      </c>
      <c r="BK1428">
        <v>0</v>
      </c>
      <c r="BL1428">
        <v>-1.25</v>
      </c>
      <c r="BM1428">
        <v>0.85</v>
      </c>
      <c r="BN1428">
        <v>-1.27</v>
      </c>
      <c r="BO1428">
        <v>-1.45</v>
      </c>
      <c r="BP1428">
        <v>0.62</v>
      </c>
      <c r="BQ1428">
        <v>-0.59</v>
      </c>
      <c r="BR1428">
        <v>0.32</v>
      </c>
      <c r="BS1428">
        <v>-0.14000000000000001</v>
      </c>
      <c r="BT1428">
        <v>-0.3</v>
      </c>
      <c r="BU1428">
        <v>-0.87</v>
      </c>
      <c r="BV1428">
        <v>-1.92</v>
      </c>
      <c r="BW1428">
        <v>-1.7</v>
      </c>
      <c r="BX1428">
        <v>-0.62</v>
      </c>
      <c r="BY1428">
        <v>-1.17</v>
      </c>
      <c r="BZ1428">
        <v>-1.08</v>
      </c>
      <c r="CA1428">
        <v>-1.38</v>
      </c>
      <c r="CB1428">
        <v>-1.54</v>
      </c>
      <c r="CC1428">
        <v>-0.56999999999999995</v>
      </c>
      <c r="CD1428">
        <v>0.97</v>
      </c>
      <c r="CE1428">
        <v>-1.33</v>
      </c>
      <c r="CF1428">
        <v>-1.37</v>
      </c>
      <c r="CG1428">
        <v>0</v>
      </c>
      <c r="CH1428">
        <v>-1.06</v>
      </c>
      <c r="CI1428">
        <v>0</v>
      </c>
      <c r="CJ1428">
        <v>-2</v>
      </c>
      <c r="CK1428">
        <v>71</v>
      </c>
      <c r="CL1428">
        <v>-0.1</v>
      </c>
      <c r="CM1428">
        <v>67</v>
      </c>
      <c r="CN1428">
        <v>0.19</v>
      </c>
      <c r="CO1428">
        <v>63</v>
      </c>
      <c r="CP1428">
        <v>-12.3</v>
      </c>
      <c r="CQ1428">
        <v>70</v>
      </c>
      <c r="CR1428">
        <v>0</v>
      </c>
      <c r="CS1428">
        <v>0</v>
      </c>
      <c r="CT1428">
        <v>-11.5</v>
      </c>
      <c r="CU1428">
        <v>72</v>
      </c>
      <c r="CV1428">
        <v>-0.09</v>
      </c>
      <c r="CW1428">
        <v>19</v>
      </c>
      <c r="CX1428" t="s">
        <v>3011</v>
      </c>
    </row>
    <row r="1429" spans="1:102" x14ac:dyDescent="0.3">
      <c r="A1429" t="str">
        <f>HYPERLINK("https://webapp.icbf.com/v2/app/bull-search/view/1417512322","FR4367")</f>
        <v>FR4367</v>
      </c>
      <c r="B1429" t="s">
        <v>2327</v>
      </c>
      <c r="C1429" t="s">
        <v>2328</v>
      </c>
      <c r="D1429" s="1">
        <v>42152</v>
      </c>
      <c r="E1429" t="s">
        <v>92</v>
      </c>
      <c r="F1429">
        <v>100</v>
      </c>
      <c r="G1429" t="s">
        <v>435</v>
      </c>
      <c r="H1429">
        <v>111.81</v>
      </c>
      <c r="I1429">
        <v>69</v>
      </c>
      <c r="J1429">
        <v>83.43</v>
      </c>
      <c r="K1429">
        <v>88</v>
      </c>
      <c r="L1429">
        <v>-23.12</v>
      </c>
      <c r="M1429">
        <v>68</v>
      </c>
      <c r="N1429">
        <v>43.36</v>
      </c>
      <c r="O1429">
        <v>65</v>
      </c>
      <c r="P1429">
        <v>4.03</v>
      </c>
      <c r="Q1429">
        <v>39</v>
      </c>
      <c r="R1429">
        <v>7.51</v>
      </c>
      <c r="S1429">
        <v>63</v>
      </c>
      <c r="T1429">
        <v>-8.74</v>
      </c>
      <c r="U1429">
        <v>34</v>
      </c>
      <c r="V1429">
        <v>5.34</v>
      </c>
      <c r="W1429">
        <v>55</v>
      </c>
      <c r="X1429" t="s">
        <v>94</v>
      </c>
      <c r="Y1429" t="s">
        <v>2261</v>
      </c>
      <c r="Z1429" t="s">
        <v>96</v>
      </c>
      <c r="AA1429" t="s">
        <v>2329</v>
      </c>
      <c r="AB1429" t="s">
        <v>2330</v>
      </c>
      <c r="AC1429">
        <v>0</v>
      </c>
      <c r="AD1429">
        <v>0</v>
      </c>
      <c r="AE1429">
        <v>88</v>
      </c>
      <c r="AF1429">
        <v>668.37</v>
      </c>
      <c r="AG1429">
        <v>13.99</v>
      </c>
      <c r="AH1429">
        <v>19.47</v>
      </c>
      <c r="AI1429">
        <v>-0.19</v>
      </c>
      <c r="AJ1429">
        <v>-0.05</v>
      </c>
      <c r="AK1429">
        <v>68</v>
      </c>
      <c r="AL1429">
        <v>0</v>
      </c>
      <c r="AM1429">
        <v>0</v>
      </c>
      <c r="AN1429">
        <v>1.56</v>
      </c>
      <c r="AO1429">
        <v>-0.28000000000000003</v>
      </c>
      <c r="AP1429">
        <v>28</v>
      </c>
      <c r="AQ1429">
        <v>0</v>
      </c>
      <c r="AR1429">
        <v>6.2</v>
      </c>
      <c r="AS1429">
        <v>52</v>
      </c>
      <c r="AT1429">
        <v>2.21</v>
      </c>
      <c r="AU1429">
        <v>82</v>
      </c>
      <c r="AV1429">
        <v>-4.08</v>
      </c>
      <c r="AW1429">
        <v>74</v>
      </c>
      <c r="AX1429">
        <v>0.06</v>
      </c>
      <c r="AY1429">
        <v>50</v>
      </c>
      <c r="AZ1429">
        <v>5.93</v>
      </c>
      <c r="BA1429">
        <v>35</v>
      </c>
      <c r="BB1429">
        <v>5.04</v>
      </c>
      <c r="BC1429">
        <v>35</v>
      </c>
      <c r="BD1429">
        <v>-0.04</v>
      </c>
      <c r="BE1429">
        <v>-0.04</v>
      </c>
      <c r="BF1429">
        <v>-0.03</v>
      </c>
      <c r="BG1429">
        <v>76</v>
      </c>
      <c r="BH1429">
        <v>0.05</v>
      </c>
      <c r="BI1429">
        <v>-11.45</v>
      </c>
      <c r="BJ1429">
        <v>0</v>
      </c>
      <c r="BK1429">
        <v>0</v>
      </c>
      <c r="BL1429">
        <v>1.54</v>
      </c>
      <c r="BM1429">
        <v>-1.64</v>
      </c>
      <c r="BN1429">
        <v>-0.43</v>
      </c>
      <c r="BO1429">
        <v>1.39</v>
      </c>
      <c r="BP1429">
        <v>0.72</v>
      </c>
      <c r="BQ1429">
        <v>1.33</v>
      </c>
      <c r="BR1429">
        <v>1.35</v>
      </c>
      <c r="BS1429">
        <v>0.71</v>
      </c>
      <c r="BT1429">
        <v>0.42</v>
      </c>
      <c r="BU1429">
        <v>3.4</v>
      </c>
      <c r="BV1429">
        <v>2.63</v>
      </c>
      <c r="BW1429">
        <v>2.3199999999999998</v>
      </c>
      <c r="BX1429">
        <v>2.0699999999999998</v>
      </c>
      <c r="BY1429">
        <v>2.2999999999999998</v>
      </c>
      <c r="BZ1429">
        <v>-0.43</v>
      </c>
      <c r="CA1429">
        <v>2.88</v>
      </c>
      <c r="CB1429">
        <v>3.02</v>
      </c>
      <c r="CC1429">
        <v>1.22</v>
      </c>
      <c r="CD1429">
        <v>-1.35</v>
      </c>
      <c r="CE1429">
        <v>1.89</v>
      </c>
      <c r="CF1429">
        <v>1.84</v>
      </c>
      <c r="CG1429">
        <v>0</v>
      </c>
      <c r="CH1429">
        <v>2.75</v>
      </c>
      <c r="CI1429">
        <v>0</v>
      </c>
      <c r="CJ1429">
        <v>3.6</v>
      </c>
      <c r="CK1429">
        <v>39</v>
      </c>
      <c r="CL1429">
        <v>-1.23</v>
      </c>
      <c r="CM1429">
        <v>39</v>
      </c>
      <c r="CN1429">
        <v>-0.91</v>
      </c>
      <c r="CO1429">
        <v>38</v>
      </c>
      <c r="CP1429">
        <v>7.3</v>
      </c>
      <c r="CQ1429">
        <v>35</v>
      </c>
      <c r="CR1429">
        <v>0</v>
      </c>
      <c r="CS1429">
        <v>0</v>
      </c>
      <c r="CT1429">
        <v>25.6</v>
      </c>
      <c r="CU1429">
        <v>34</v>
      </c>
      <c r="CV1429">
        <v>0.28999999999999998</v>
      </c>
      <c r="CW1429">
        <v>33</v>
      </c>
      <c r="CX1429" t="s">
        <v>2331</v>
      </c>
    </row>
    <row r="1430" spans="1:102" x14ac:dyDescent="0.3">
      <c r="A1430" t="str">
        <f>HYPERLINK("https://webapp.icbf.com/v2/app/bull-search/view/604328176","TPI")</f>
        <v>TPI</v>
      </c>
      <c r="B1430" t="s">
        <v>296</v>
      </c>
      <c r="C1430" t="s">
        <v>297</v>
      </c>
      <c r="D1430" s="1">
        <v>37517</v>
      </c>
      <c r="E1430" t="s">
        <v>140</v>
      </c>
      <c r="F1430">
        <v>0</v>
      </c>
      <c r="G1430" t="s">
        <v>93</v>
      </c>
      <c r="H1430">
        <v>111.75</v>
      </c>
      <c r="I1430">
        <v>86</v>
      </c>
      <c r="J1430">
        <v>12.98</v>
      </c>
      <c r="K1430">
        <v>94</v>
      </c>
      <c r="L1430">
        <v>101.54</v>
      </c>
      <c r="M1430">
        <v>78</v>
      </c>
      <c r="N1430">
        <v>-17.82</v>
      </c>
      <c r="O1430">
        <v>86</v>
      </c>
      <c r="P1430">
        <v>24.39</v>
      </c>
      <c r="Q1430">
        <v>94</v>
      </c>
      <c r="R1430">
        <v>4.99</v>
      </c>
      <c r="S1430">
        <v>76</v>
      </c>
      <c r="T1430">
        <v>-1.2</v>
      </c>
      <c r="U1430">
        <v>86</v>
      </c>
      <c r="V1430">
        <v>-13.13</v>
      </c>
      <c r="W1430">
        <v>72</v>
      </c>
      <c r="X1430" t="s">
        <v>102</v>
      </c>
      <c r="Y1430" t="s">
        <v>235</v>
      </c>
      <c r="Z1430">
        <v>0</v>
      </c>
      <c r="AA1430" t="s">
        <v>298</v>
      </c>
      <c r="AB1430" t="s">
        <v>299</v>
      </c>
      <c r="AC1430">
        <v>49</v>
      </c>
      <c r="AD1430">
        <v>18</v>
      </c>
      <c r="AE1430">
        <v>94</v>
      </c>
      <c r="AF1430">
        <v>193.55</v>
      </c>
      <c r="AG1430">
        <v>-1.1299999999999999</v>
      </c>
      <c r="AH1430">
        <v>5.57</v>
      </c>
      <c r="AI1430">
        <v>-0.15</v>
      </c>
      <c r="AJ1430">
        <v>-0.02</v>
      </c>
      <c r="AK1430">
        <v>78</v>
      </c>
      <c r="AL1430">
        <v>90</v>
      </c>
      <c r="AM1430">
        <v>26</v>
      </c>
      <c r="AN1430">
        <v>-5.38</v>
      </c>
      <c r="AO1430">
        <v>2.72</v>
      </c>
      <c r="AP1430">
        <v>104</v>
      </c>
      <c r="AQ1430">
        <v>2</v>
      </c>
      <c r="AR1430">
        <v>7.33</v>
      </c>
      <c r="AS1430">
        <v>78</v>
      </c>
      <c r="AT1430">
        <v>3.84</v>
      </c>
      <c r="AU1430">
        <v>86</v>
      </c>
      <c r="AV1430">
        <v>2.2799999999999998</v>
      </c>
      <c r="AW1430">
        <v>95</v>
      </c>
      <c r="AX1430">
        <v>-0.18</v>
      </c>
      <c r="AY1430">
        <v>84</v>
      </c>
      <c r="AZ1430">
        <v>5.26</v>
      </c>
      <c r="BA1430">
        <v>70</v>
      </c>
      <c r="BB1430">
        <v>4.1399999999999997</v>
      </c>
      <c r="BC1430">
        <v>69</v>
      </c>
      <c r="BD1430">
        <v>0.02</v>
      </c>
      <c r="BE1430">
        <v>-0.02</v>
      </c>
      <c r="BF1430">
        <v>-0.11</v>
      </c>
      <c r="BG1430">
        <v>85</v>
      </c>
      <c r="BH1430">
        <v>-0.34</v>
      </c>
      <c r="BI1430">
        <v>3.04</v>
      </c>
      <c r="BJ1430">
        <v>0</v>
      </c>
      <c r="BK1430">
        <v>0</v>
      </c>
      <c r="BL1430">
        <v>-0.47</v>
      </c>
      <c r="BM1430">
        <v>3.63</v>
      </c>
      <c r="BN1430">
        <v>-1.46</v>
      </c>
      <c r="BO1430">
        <v>-2.85</v>
      </c>
      <c r="BP1430">
        <v>4.28</v>
      </c>
      <c r="BQ1430">
        <v>-1.55</v>
      </c>
      <c r="BR1430">
        <v>-2.6</v>
      </c>
      <c r="BS1430">
        <v>-0.5</v>
      </c>
      <c r="BT1430">
        <v>2.41</v>
      </c>
      <c r="BU1430">
        <v>-3.19</v>
      </c>
      <c r="BV1430">
        <v>-3.66</v>
      </c>
      <c r="BW1430">
        <v>-2.73</v>
      </c>
      <c r="BX1430">
        <v>-2.2999999999999998</v>
      </c>
      <c r="BY1430">
        <v>-1.79</v>
      </c>
      <c r="BZ1430">
        <v>1.1499999999999999</v>
      </c>
      <c r="CA1430">
        <v>-2.2599999999999998</v>
      </c>
      <c r="CB1430">
        <v>-2.93</v>
      </c>
      <c r="CC1430">
        <v>-0.32</v>
      </c>
      <c r="CD1430">
        <v>3.82</v>
      </c>
      <c r="CE1430">
        <v>-2.65</v>
      </c>
      <c r="CF1430">
        <v>-0.62</v>
      </c>
      <c r="CG1430">
        <v>0</v>
      </c>
      <c r="CH1430">
        <v>-2.0699999999999998</v>
      </c>
      <c r="CI1430">
        <v>0</v>
      </c>
      <c r="CJ1430">
        <v>13</v>
      </c>
      <c r="CK1430">
        <v>95</v>
      </c>
      <c r="CL1430">
        <v>0.28000000000000003</v>
      </c>
      <c r="CM1430">
        <v>93</v>
      </c>
      <c r="CN1430">
        <v>-0.14000000000000001</v>
      </c>
      <c r="CO1430">
        <v>93</v>
      </c>
      <c r="CP1430">
        <v>12.8</v>
      </c>
      <c r="CQ1430">
        <v>87</v>
      </c>
      <c r="CR1430">
        <v>0</v>
      </c>
      <c r="CS1430">
        <v>0</v>
      </c>
      <c r="CT1430">
        <v>15.4</v>
      </c>
      <c r="CU1430">
        <v>86</v>
      </c>
      <c r="CV1430">
        <v>0.33</v>
      </c>
      <c r="CW1430">
        <v>45</v>
      </c>
      <c r="CX1430" t="s">
        <v>247</v>
      </c>
    </row>
    <row r="1431" spans="1:102" x14ac:dyDescent="0.3">
      <c r="A1431" t="str">
        <f>HYPERLINK("https://webapp.icbf.com/v2/app/bull-search/view/1710654961","MY4761")</f>
        <v>MY4761</v>
      </c>
      <c r="B1431" t="s">
        <v>14062</v>
      </c>
      <c r="C1431" t="s">
        <v>14063</v>
      </c>
      <c r="D1431" s="1">
        <v>42338</v>
      </c>
      <c r="E1431" t="s">
        <v>146</v>
      </c>
      <c r="F1431">
        <v>0</v>
      </c>
      <c r="G1431" t="s">
        <v>435</v>
      </c>
      <c r="H1431">
        <v>111.74</v>
      </c>
      <c r="I1431">
        <v>32</v>
      </c>
      <c r="J1431">
        <v>9.0399999999999991</v>
      </c>
      <c r="K1431">
        <v>31</v>
      </c>
      <c r="L1431">
        <v>52.35</v>
      </c>
      <c r="M1431">
        <v>22</v>
      </c>
      <c r="N1431">
        <v>35.590000000000003</v>
      </c>
      <c r="O1431">
        <v>54</v>
      </c>
      <c r="P1431">
        <v>10.37</v>
      </c>
      <c r="Q1431">
        <v>45</v>
      </c>
      <c r="R1431">
        <v>-3.73</v>
      </c>
      <c r="S1431">
        <v>22</v>
      </c>
      <c r="T1431">
        <v>11.9</v>
      </c>
      <c r="U1431">
        <v>43</v>
      </c>
      <c r="V1431">
        <v>-3.78</v>
      </c>
      <c r="W1431">
        <v>21</v>
      </c>
      <c r="X1431" t="s">
        <v>102</v>
      </c>
      <c r="Y1431" t="s">
        <v>442</v>
      </c>
      <c r="Z1431">
        <v>0</v>
      </c>
      <c r="AA1431" t="s">
        <v>5335</v>
      </c>
      <c r="AB1431" t="s">
        <v>14064</v>
      </c>
      <c r="AC1431">
        <v>0</v>
      </c>
      <c r="AD1431">
        <v>0</v>
      </c>
      <c r="AE1431">
        <v>31</v>
      </c>
      <c r="AF1431">
        <v>-61.34</v>
      </c>
      <c r="AG1431">
        <v>-1.84</v>
      </c>
      <c r="AH1431">
        <v>1.25</v>
      </c>
      <c r="AI1431">
        <v>0.02</v>
      </c>
      <c r="AJ1431">
        <v>0.06</v>
      </c>
      <c r="AK1431">
        <v>22</v>
      </c>
      <c r="AL1431">
        <v>0</v>
      </c>
      <c r="AM1431">
        <v>0</v>
      </c>
      <c r="AN1431">
        <v>-3.23</v>
      </c>
      <c r="AO1431">
        <v>0.94</v>
      </c>
      <c r="AP1431">
        <v>11</v>
      </c>
      <c r="AQ1431">
        <v>0</v>
      </c>
      <c r="AR1431">
        <v>6.02</v>
      </c>
      <c r="AS1431">
        <v>40</v>
      </c>
      <c r="AT1431">
        <v>2.4700000000000002</v>
      </c>
      <c r="AU1431">
        <v>62</v>
      </c>
      <c r="AV1431">
        <v>-3.78</v>
      </c>
      <c r="AW1431">
        <v>65</v>
      </c>
      <c r="AX1431">
        <v>-0.31</v>
      </c>
      <c r="AY1431">
        <v>47</v>
      </c>
      <c r="AZ1431">
        <v>6.65</v>
      </c>
      <c r="BA1431">
        <v>28</v>
      </c>
      <c r="BB1431">
        <v>5.76</v>
      </c>
      <c r="BC1431">
        <v>28</v>
      </c>
      <c r="BD1431">
        <v>-0.02</v>
      </c>
      <c r="BE1431">
        <v>0.01</v>
      </c>
      <c r="BF1431">
        <v>0.1</v>
      </c>
      <c r="BG1431">
        <v>28</v>
      </c>
      <c r="BH1431">
        <v>-0.21</v>
      </c>
      <c r="BI1431">
        <v>-12.1</v>
      </c>
      <c r="BJ1431">
        <v>0</v>
      </c>
      <c r="BK1431">
        <v>0</v>
      </c>
      <c r="BL1431">
        <v>-1.34</v>
      </c>
      <c r="BM1431">
        <v>1.93</v>
      </c>
      <c r="BN1431">
        <v>-0.88</v>
      </c>
      <c r="BO1431">
        <v>-1.33</v>
      </c>
      <c r="BP1431">
        <v>1.59</v>
      </c>
      <c r="BQ1431">
        <v>-0.39</v>
      </c>
      <c r="BR1431">
        <v>-0.53</v>
      </c>
      <c r="BS1431">
        <v>0.68</v>
      </c>
      <c r="BT1431">
        <v>-0.02</v>
      </c>
      <c r="BU1431">
        <v>-1.32</v>
      </c>
      <c r="BV1431">
        <v>-1.66</v>
      </c>
      <c r="BW1431">
        <v>-1.88</v>
      </c>
      <c r="BX1431">
        <v>-1.0900000000000001</v>
      </c>
      <c r="BY1431">
        <v>-0.82</v>
      </c>
      <c r="BZ1431">
        <v>0</v>
      </c>
      <c r="CA1431">
        <v>-0.85</v>
      </c>
      <c r="CB1431">
        <v>-1.2</v>
      </c>
      <c r="CC1431">
        <v>0.17</v>
      </c>
      <c r="CD1431">
        <v>2.02</v>
      </c>
      <c r="CE1431">
        <v>-0.99</v>
      </c>
      <c r="CF1431">
        <v>-0.54</v>
      </c>
      <c r="CG1431">
        <v>0</v>
      </c>
      <c r="CH1431">
        <v>-0.12</v>
      </c>
      <c r="CI1431">
        <v>0</v>
      </c>
      <c r="CJ1431">
        <v>5.3</v>
      </c>
      <c r="CK1431">
        <v>45</v>
      </c>
      <c r="CL1431">
        <v>0.01</v>
      </c>
      <c r="CM1431">
        <v>45</v>
      </c>
      <c r="CN1431">
        <v>-0.36</v>
      </c>
      <c r="CO1431">
        <v>45</v>
      </c>
      <c r="CP1431">
        <v>-8.4</v>
      </c>
      <c r="CQ1431">
        <v>43</v>
      </c>
      <c r="CR1431">
        <v>0</v>
      </c>
      <c r="CS1431">
        <v>0</v>
      </c>
      <c r="CT1431">
        <v>-2.2999999999999998</v>
      </c>
      <c r="CU1431">
        <v>43</v>
      </c>
      <c r="CV1431">
        <v>-0.06</v>
      </c>
      <c r="CW1431">
        <v>34</v>
      </c>
      <c r="CX1431" t="s">
        <v>2633</v>
      </c>
    </row>
    <row r="1432" spans="1:102" x14ac:dyDescent="0.3">
      <c r="A1432" t="str">
        <f>HYPERLINK("https://webapp.icbf.com/v2/app/bull-search/view/910796541","JBB")</f>
        <v>JBB</v>
      </c>
      <c r="B1432" t="s">
        <v>9161</v>
      </c>
      <c r="C1432" t="s">
        <v>9162</v>
      </c>
      <c r="D1432" s="1">
        <v>40407</v>
      </c>
      <c r="E1432" t="s">
        <v>92</v>
      </c>
      <c r="F1432">
        <v>63</v>
      </c>
      <c r="G1432" t="s">
        <v>109</v>
      </c>
      <c r="H1432">
        <v>111.68</v>
      </c>
      <c r="I1432">
        <v>77</v>
      </c>
      <c r="J1432">
        <v>57.39</v>
      </c>
      <c r="K1432">
        <v>90</v>
      </c>
      <c r="L1432">
        <v>39.549999999999997</v>
      </c>
      <c r="M1432">
        <v>72</v>
      </c>
      <c r="N1432">
        <v>26.6</v>
      </c>
      <c r="O1432">
        <v>70</v>
      </c>
      <c r="P1432">
        <v>-23.97</v>
      </c>
      <c r="Q1432">
        <v>73</v>
      </c>
      <c r="R1432">
        <v>-11.96</v>
      </c>
      <c r="S1432">
        <v>69</v>
      </c>
      <c r="T1432">
        <v>18.559999999999999</v>
      </c>
      <c r="U1432">
        <v>67</v>
      </c>
      <c r="V1432">
        <v>5.51</v>
      </c>
      <c r="W1432">
        <v>57</v>
      </c>
      <c r="X1432" t="s">
        <v>276</v>
      </c>
      <c r="Y1432" t="s">
        <v>422</v>
      </c>
      <c r="Z1432" t="s">
        <v>330</v>
      </c>
      <c r="AA1432" t="s">
        <v>2278</v>
      </c>
      <c r="AB1432" t="s">
        <v>144</v>
      </c>
      <c r="AC1432">
        <v>0</v>
      </c>
      <c r="AD1432">
        <v>0</v>
      </c>
      <c r="AE1432">
        <v>90</v>
      </c>
      <c r="AF1432">
        <v>199.27</v>
      </c>
      <c r="AG1432">
        <v>7.69</v>
      </c>
      <c r="AH1432">
        <v>10.09</v>
      </c>
      <c r="AI1432">
        <v>0</v>
      </c>
      <c r="AJ1432">
        <v>0.06</v>
      </c>
      <c r="AK1432">
        <v>72</v>
      </c>
      <c r="AL1432">
        <v>0</v>
      </c>
      <c r="AM1432">
        <v>0</v>
      </c>
      <c r="AN1432">
        <v>-2.5</v>
      </c>
      <c r="AO1432">
        <v>0.65</v>
      </c>
      <c r="AP1432">
        <v>48</v>
      </c>
      <c r="AQ1432">
        <v>0</v>
      </c>
      <c r="AR1432">
        <v>6.65</v>
      </c>
      <c r="AS1432">
        <v>64</v>
      </c>
      <c r="AT1432">
        <v>2.64</v>
      </c>
      <c r="AU1432">
        <v>71</v>
      </c>
      <c r="AV1432">
        <v>-3.29</v>
      </c>
      <c r="AW1432">
        <v>86</v>
      </c>
      <c r="AX1432">
        <v>-0.57999999999999996</v>
      </c>
      <c r="AY1432">
        <v>57</v>
      </c>
      <c r="AZ1432">
        <v>7.86</v>
      </c>
      <c r="BA1432">
        <v>44</v>
      </c>
      <c r="BB1432">
        <v>5.95</v>
      </c>
      <c r="BC1432">
        <v>40</v>
      </c>
      <c r="BD1432">
        <v>0</v>
      </c>
      <c r="BE1432">
        <v>0.05</v>
      </c>
      <c r="BF1432">
        <v>0.18</v>
      </c>
      <c r="BG1432">
        <v>84</v>
      </c>
      <c r="BH1432">
        <v>0.16</v>
      </c>
      <c r="BI1432">
        <v>0.74</v>
      </c>
      <c r="BJ1432">
        <v>0</v>
      </c>
      <c r="BK1432">
        <v>0</v>
      </c>
      <c r="BL1432">
        <v>-0.96</v>
      </c>
      <c r="BM1432">
        <v>0.7</v>
      </c>
      <c r="BN1432">
        <v>-0.28000000000000003</v>
      </c>
      <c r="BO1432">
        <v>-1.24</v>
      </c>
      <c r="BP1432">
        <v>-0.28999999999999998</v>
      </c>
      <c r="BQ1432">
        <v>-0.84</v>
      </c>
      <c r="BR1432">
        <v>2.41</v>
      </c>
      <c r="BS1432">
        <v>-2.4300000000000002</v>
      </c>
      <c r="BT1432">
        <v>-2.61</v>
      </c>
      <c r="BU1432">
        <v>-0.22</v>
      </c>
      <c r="BV1432">
        <v>-1.1000000000000001</v>
      </c>
      <c r="BW1432">
        <v>-0.96</v>
      </c>
      <c r="BX1432">
        <v>-0.04</v>
      </c>
      <c r="BY1432">
        <v>-0.74</v>
      </c>
      <c r="BZ1432">
        <v>-2.02</v>
      </c>
      <c r="CA1432">
        <v>-0.67</v>
      </c>
      <c r="CB1432">
        <v>-0.69</v>
      </c>
      <c r="CC1432">
        <v>-2.57</v>
      </c>
      <c r="CD1432">
        <v>1.23</v>
      </c>
      <c r="CE1432">
        <v>-0.78</v>
      </c>
      <c r="CF1432">
        <v>-1.45</v>
      </c>
      <c r="CG1432">
        <v>0</v>
      </c>
      <c r="CH1432">
        <v>-0.28000000000000003</v>
      </c>
      <c r="CI1432">
        <v>0</v>
      </c>
      <c r="CJ1432">
        <v>-13.3</v>
      </c>
      <c r="CK1432">
        <v>76</v>
      </c>
      <c r="CL1432">
        <v>-0.89</v>
      </c>
      <c r="CM1432">
        <v>72</v>
      </c>
      <c r="CN1432">
        <v>-0.47</v>
      </c>
      <c r="CO1432">
        <v>70</v>
      </c>
      <c r="CP1432">
        <v>-12.9</v>
      </c>
      <c r="CQ1432">
        <v>65</v>
      </c>
      <c r="CR1432">
        <v>0</v>
      </c>
      <c r="CS1432">
        <v>0</v>
      </c>
      <c r="CT1432">
        <v>-11.3</v>
      </c>
      <c r="CU1432">
        <v>67</v>
      </c>
      <c r="CV1432">
        <v>0.02</v>
      </c>
      <c r="CW1432">
        <v>41</v>
      </c>
      <c r="CX1432" t="s">
        <v>7715</v>
      </c>
    </row>
    <row r="1433" spans="1:102" x14ac:dyDescent="0.3">
      <c r="A1433" t="str">
        <f>HYPERLINK("https://webapp.icbf.com/v2/app/bull-search/view/1133232310","S2031")</f>
        <v>S2031</v>
      </c>
      <c r="B1433" t="s">
        <v>13332</v>
      </c>
      <c r="C1433" t="s">
        <v>13333</v>
      </c>
      <c r="D1433" s="1">
        <v>41205</v>
      </c>
      <c r="E1433" t="s">
        <v>92</v>
      </c>
      <c r="F1433">
        <v>100</v>
      </c>
      <c r="G1433" t="s">
        <v>109</v>
      </c>
      <c r="H1433">
        <v>111.6</v>
      </c>
      <c r="I1433">
        <v>85</v>
      </c>
      <c r="J1433">
        <v>52.42</v>
      </c>
      <c r="K1433">
        <v>95</v>
      </c>
      <c r="L1433">
        <v>0.55000000000000004</v>
      </c>
      <c r="M1433">
        <v>86</v>
      </c>
      <c r="N1433">
        <v>39.5</v>
      </c>
      <c r="O1433">
        <v>78</v>
      </c>
      <c r="P1433">
        <v>-9.4600000000000009</v>
      </c>
      <c r="Q1433">
        <v>86</v>
      </c>
      <c r="R1433">
        <v>19.82</v>
      </c>
      <c r="S1433">
        <v>76</v>
      </c>
      <c r="T1433">
        <v>5.76</v>
      </c>
      <c r="U1433">
        <v>61</v>
      </c>
      <c r="V1433">
        <v>3.01</v>
      </c>
      <c r="W1433">
        <v>61</v>
      </c>
      <c r="X1433" t="s">
        <v>276</v>
      </c>
      <c r="Y1433" t="s">
        <v>367</v>
      </c>
      <c r="Z1433" t="s">
        <v>96</v>
      </c>
      <c r="AA1433" t="s">
        <v>1894</v>
      </c>
      <c r="AB1433" t="s">
        <v>13334</v>
      </c>
      <c r="AC1433">
        <v>37</v>
      </c>
      <c r="AD1433">
        <v>15</v>
      </c>
      <c r="AE1433">
        <v>95</v>
      </c>
      <c r="AF1433">
        <v>-19.350000000000001</v>
      </c>
      <c r="AG1433">
        <v>11.39</v>
      </c>
      <c r="AH1433">
        <v>4.59</v>
      </c>
      <c r="AI1433">
        <v>0.21</v>
      </c>
      <c r="AJ1433">
        <v>0.09</v>
      </c>
      <c r="AK1433">
        <v>86</v>
      </c>
      <c r="AL1433">
        <v>0</v>
      </c>
      <c r="AM1433">
        <v>0</v>
      </c>
      <c r="AN1433">
        <v>0.42</v>
      </c>
      <c r="AO1433">
        <v>0.47</v>
      </c>
      <c r="AP1433">
        <v>63</v>
      </c>
      <c r="AQ1433">
        <v>0</v>
      </c>
      <c r="AR1433">
        <v>5.64</v>
      </c>
      <c r="AS1433">
        <v>78</v>
      </c>
      <c r="AT1433">
        <v>2.08</v>
      </c>
      <c r="AU1433">
        <v>83</v>
      </c>
      <c r="AV1433">
        <v>-3.52</v>
      </c>
      <c r="AW1433">
        <v>88</v>
      </c>
      <c r="AX1433">
        <v>-0.84</v>
      </c>
      <c r="AY1433">
        <v>80</v>
      </c>
      <c r="AZ1433">
        <v>7.16</v>
      </c>
      <c r="BA1433">
        <v>53</v>
      </c>
      <c r="BB1433">
        <v>5.41</v>
      </c>
      <c r="BC1433">
        <v>45</v>
      </c>
      <c r="BD1433">
        <v>-0.1</v>
      </c>
      <c r="BE1433">
        <v>-0.11</v>
      </c>
      <c r="BF1433">
        <v>-0.08</v>
      </c>
      <c r="BG1433">
        <v>92</v>
      </c>
      <c r="BH1433">
        <v>0.02</v>
      </c>
      <c r="BI1433">
        <v>-7.41</v>
      </c>
      <c r="BJ1433">
        <v>11</v>
      </c>
      <c r="BK1433">
        <v>4</v>
      </c>
      <c r="BL1433">
        <v>1.03</v>
      </c>
      <c r="BM1433">
        <v>-0.68</v>
      </c>
      <c r="BN1433">
        <v>0.56000000000000005</v>
      </c>
      <c r="BO1433">
        <v>1.1399999999999999</v>
      </c>
      <c r="BP1433">
        <v>0.97</v>
      </c>
      <c r="BQ1433">
        <v>1.1299999999999999</v>
      </c>
      <c r="BR1433">
        <v>-0.8</v>
      </c>
      <c r="BS1433">
        <v>3.8</v>
      </c>
      <c r="BT1433">
        <v>1.62</v>
      </c>
      <c r="BU1433">
        <v>3.55</v>
      </c>
      <c r="BV1433">
        <v>3.53</v>
      </c>
      <c r="BW1433">
        <v>1.73</v>
      </c>
      <c r="BX1433">
        <v>2.95</v>
      </c>
      <c r="BY1433">
        <v>1.89</v>
      </c>
      <c r="BZ1433">
        <v>1.01</v>
      </c>
      <c r="CA1433">
        <v>3.1</v>
      </c>
      <c r="CB1433">
        <v>2.85</v>
      </c>
      <c r="CC1433">
        <v>2.0299999999999998</v>
      </c>
      <c r="CD1433">
        <v>-0.5</v>
      </c>
      <c r="CE1433">
        <v>1.05</v>
      </c>
      <c r="CF1433">
        <v>0.56999999999999995</v>
      </c>
      <c r="CG1433">
        <v>0</v>
      </c>
      <c r="CH1433">
        <v>1.94</v>
      </c>
      <c r="CI1433">
        <v>0</v>
      </c>
      <c r="CJ1433">
        <v>-4.5999999999999996</v>
      </c>
      <c r="CK1433">
        <v>88</v>
      </c>
      <c r="CL1433">
        <v>-1.18</v>
      </c>
      <c r="CM1433">
        <v>85</v>
      </c>
      <c r="CN1433">
        <v>-0.75</v>
      </c>
      <c r="CO1433">
        <v>84</v>
      </c>
      <c r="CP1433">
        <v>1.9</v>
      </c>
      <c r="CQ1433">
        <v>72</v>
      </c>
      <c r="CR1433">
        <v>0</v>
      </c>
      <c r="CS1433">
        <v>0</v>
      </c>
      <c r="CT1433">
        <v>6</v>
      </c>
      <c r="CU1433">
        <v>61</v>
      </c>
      <c r="CV1433">
        <v>0.15</v>
      </c>
      <c r="CW1433">
        <v>43</v>
      </c>
      <c r="CX1433" t="s">
        <v>1438</v>
      </c>
    </row>
    <row r="1434" spans="1:102" x14ac:dyDescent="0.3">
      <c r="A1434" t="str">
        <f>HYPERLINK("https://webapp.icbf.com/v2/app/bull-search/view/319376803","EBR")</f>
        <v>EBR</v>
      </c>
      <c r="B1434" t="s">
        <v>11653</v>
      </c>
      <c r="C1434" t="s">
        <v>11654</v>
      </c>
      <c r="D1434" s="1">
        <v>34923</v>
      </c>
      <c r="E1434" t="s">
        <v>1061</v>
      </c>
      <c r="F1434">
        <v>0</v>
      </c>
      <c r="G1434" t="s">
        <v>93</v>
      </c>
      <c r="H1434">
        <v>111.58</v>
      </c>
      <c r="I1434">
        <v>83</v>
      </c>
      <c r="J1434">
        <v>-8.43</v>
      </c>
      <c r="K1434">
        <v>93</v>
      </c>
      <c r="L1434">
        <v>75.92</v>
      </c>
      <c r="M1434">
        <v>80</v>
      </c>
      <c r="N1434">
        <v>15.92</v>
      </c>
      <c r="O1434">
        <v>77</v>
      </c>
      <c r="P1434">
        <v>-27.72</v>
      </c>
      <c r="Q1434">
        <v>84</v>
      </c>
      <c r="R1434">
        <v>8.67</v>
      </c>
      <c r="S1434">
        <v>64</v>
      </c>
      <c r="T1434">
        <v>46.68</v>
      </c>
      <c r="U1434">
        <v>85</v>
      </c>
      <c r="V1434">
        <v>0.54</v>
      </c>
      <c r="W1434">
        <v>63</v>
      </c>
      <c r="X1434" t="s">
        <v>302</v>
      </c>
      <c r="Y1434" t="s">
        <v>95</v>
      </c>
      <c r="Z1434">
        <v>0</v>
      </c>
      <c r="AA1434" t="s">
        <v>9941</v>
      </c>
      <c r="AB1434" t="s">
        <v>11655</v>
      </c>
      <c r="AC1434">
        <v>58</v>
      </c>
      <c r="AD1434">
        <v>24</v>
      </c>
      <c r="AE1434">
        <v>93</v>
      </c>
      <c r="AF1434">
        <v>-180.49</v>
      </c>
      <c r="AG1434">
        <v>-5.33</v>
      </c>
      <c r="AH1434">
        <v>-2.31</v>
      </c>
      <c r="AI1434">
        <v>0.03</v>
      </c>
      <c r="AJ1434">
        <v>7.0000000000000007E-2</v>
      </c>
      <c r="AK1434">
        <v>80</v>
      </c>
      <c r="AL1434">
        <v>66</v>
      </c>
      <c r="AM1434">
        <v>28</v>
      </c>
      <c r="AN1434">
        <v>-2.94</v>
      </c>
      <c r="AO1434">
        <v>3.13</v>
      </c>
      <c r="AP1434">
        <v>82</v>
      </c>
      <c r="AQ1434">
        <v>0</v>
      </c>
      <c r="AR1434">
        <v>5.4</v>
      </c>
      <c r="AS1434">
        <v>66</v>
      </c>
      <c r="AT1434">
        <v>1.89</v>
      </c>
      <c r="AU1434">
        <v>76</v>
      </c>
      <c r="AV1434">
        <v>-0.61</v>
      </c>
      <c r="AW1434">
        <v>91</v>
      </c>
      <c r="AX1434">
        <v>-0.02</v>
      </c>
      <c r="AY1434">
        <v>71</v>
      </c>
      <c r="AZ1434">
        <v>7.24</v>
      </c>
      <c r="BA1434">
        <v>45</v>
      </c>
      <c r="BB1434">
        <v>5.4</v>
      </c>
      <c r="BC1434">
        <v>54</v>
      </c>
      <c r="BD1434">
        <v>-0.05</v>
      </c>
      <c r="BE1434">
        <v>-0.04</v>
      </c>
      <c r="BF1434">
        <v>-0.04</v>
      </c>
      <c r="BG1434">
        <v>74</v>
      </c>
      <c r="BH1434">
        <v>0.05</v>
      </c>
      <c r="BI1434">
        <v>4.05</v>
      </c>
      <c r="BJ1434">
        <v>0</v>
      </c>
      <c r="BK1434">
        <v>0</v>
      </c>
      <c r="BL1434">
        <v>-1.31</v>
      </c>
      <c r="BM1434">
        <v>0.55000000000000004</v>
      </c>
      <c r="BN1434">
        <v>-1.47</v>
      </c>
      <c r="BO1434">
        <v>-1.46</v>
      </c>
      <c r="BP1434">
        <v>0.86</v>
      </c>
      <c r="BQ1434">
        <v>-0.59</v>
      </c>
      <c r="BR1434">
        <v>0.13</v>
      </c>
      <c r="BS1434">
        <v>-0.01</v>
      </c>
      <c r="BT1434">
        <v>-0.12</v>
      </c>
      <c r="BU1434">
        <v>-0.97</v>
      </c>
      <c r="BV1434">
        <v>-1.97</v>
      </c>
      <c r="BW1434">
        <v>-1.64</v>
      </c>
      <c r="BX1434">
        <v>-0.6</v>
      </c>
      <c r="BY1434">
        <v>-0.9</v>
      </c>
      <c r="BZ1434">
        <v>-0.61</v>
      </c>
      <c r="CA1434">
        <v>-1.19</v>
      </c>
      <c r="CB1434">
        <v>-1.46</v>
      </c>
      <c r="CC1434">
        <v>-0.28000000000000003</v>
      </c>
      <c r="CD1434">
        <v>1.02</v>
      </c>
      <c r="CE1434">
        <v>-1.29</v>
      </c>
      <c r="CF1434">
        <v>-1.48</v>
      </c>
      <c r="CG1434">
        <v>0</v>
      </c>
      <c r="CH1434">
        <v>-1.31</v>
      </c>
      <c r="CI1434">
        <v>0</v>
      </c>
      <c r="CJ1434">
        <v>-16.8</v>
      </c>
      <c r="CK1434">
        <v>86</v>
      </c>
      <c r="CL1434">
        <v>-0.28000000000000003</v>
      </c>
      <c r="CM1434">
        <v>83</v>
      </c>
      <c r="CN1434">
        <v>-0.23</v>
      </c>
      <c r="CO1434">
        <v>81</v>
      </c>
      <c r="CP1434">
        <v>-28.9</v>
      </c>
      <c r="CQ1434">
        <v>83</v>
      </c>
      <c r="CR1434">
        <v>0</v>
      </c>
      <c r="CS1434">
        <v>0</v>
      </c>
      <c r="CT1434">
        <v>-49.3</v>
      </c>
      <c r="CU1434">
        <v>85</v>
      </c>
      <c r="CV1434">
        <v>-0.23</v>
      </c>
      <c r="CW1434">
        <v>42</v>
      </c>
      <c r="CX1434" t="s">
        <v>11656</v>
      </c>
    </row>
    <row r="1435" spans="1:102" x14ac:dyDescent="0.3">
      <c r="A1435" t="str">
        <f>HYPERLINK("https://webapp.icbf.com/v2/app/bull-search/view/346561183","PVH")</f>
        <v>PVH</v>
      </c>
      <c r="B1435" t="s">
        <v>12627</v>
      </c>
      <c r="C1435" t="s">
        <v>12628</v>
      </c>
      <c r="D1435" s="1">
        <v>38044</v>
      </c>
      <c r="E1435" t="s">
        <v>108</v>
      </c>
      <c r="F1435">
        <v>47</v>
      </c>
      <c r="G1435" t="s">
        <v>93</v>
      </c>
      <c r="H1435">
        <v>111.52</v>
      </c>
      <c r="I1435">
        <v>87</v>
      </c>
      <c r="J1435">
        <v>46.23</v>
      </c>
      <c r="K1435">
        <v>97</v>
      </c>
      <c r="L1435">
        <v>45.61</v>
      </c>
      <c r="M1435">
        <v>79</v>
      </c>
      <c r="N1435">
        <v>34.5</v>
      </c>
      <c r="O1435">
        <v>86</v>
      </c>
      <c r="P1435">
        <v>-22</v>
      </c>
      <c r="Q1435">
        <v>91</v>
      </c>
      <c r="R1435">
        <v>-18.98</v>
      </c>
      <c r="S1435">
        <v>82</v>
      </c>
      <c r="T1435">
        <v>21.74</v>
      </c>
      <c r="U1435">
        <v>88</v>
      </c>
      <c r="V1435">
        <v>4.42</v>
      </c>
      <c r="W1435">
        <v>80</v>
      </c>
      <c r="X1435" t="s">
        <v>94</v>
      </c>
      <c r="Y1435" t="s">
        <v>228</v>
      </c>
      <c r="Z1435" t="s">
        <v>96</v>
      </c>
      <c r="AA1435" t="s">
        <v>792</v>
      </c>
      <c r="AB1435" t="s">
        <v>12629</v>
      </c>
      <c r="AC1435">
        <v>86</v>
      </c>
      <c r="AD1435">
        <v>69</v>
      </c>
      <c r="AE1435">
        <v>97</v>
      </c>
      <c r="AF1435">
        <v>-26.02</v>
      </c>
      <c r="AG1435">
        <v>9.0299999999999994</v>
      </c>
      <c r="AH1435">
        <v>4.2699999999999996</v>
      </c>
      <c r="AI1435">
        <v>0.18</v>
      </c>
      <c r="AJ1435">
        <v>0.09</v>
      </c>
      <c r="AK1435">
        <v>79</v>
      </c>
      <c r="AL1435">
        <v>77</v>
      </c>
      <c r="AM1435">
        <v>60</v>
      </c>
      <c r="AN1435">
        <v>-3.03</v>
      </c>
      <c r="AO1435">
        <v>0.6</v>
      </c>
      <c r="AP1435">
        <v>194</v>
      </c>
      <c r="AQ1435">
        <v>1</v>
      </c>
      <c r="AR1435">
        <v>7</v>
      </c>
      <c r="AS1435">
        <v>70</v>
      </c>
      <c r="AT1435">
        <v>2.5299999999999998</v>
      </c>
      <c r="AU1435">
        <v>88</v>
      </c>
      <c r="AV1435">
        <v>-3.6</v>
      </c>
      <c r="AW1435">
        <v>96</v>
      </c>
      <c r="AX1435">
        <v>0.16</v>
      </c>
      <c r="AY1435">
        <v>81</v>
      </c>
      <c r="AZ1435">
        <v>6.63</v>
      </c>
      <c r="BA1435">
        <v>66</v>
      </c>
      <c r="BB1435">
        <v>4.95</v>
      </c>
      <c r="BC1435">
        <v>68</v>
      </c>
      <c r="BD1435">
        <v>0.05</v>
      </c>
      <c r="BE1435">
        <v>7.0000000000000007E-2</v>
      </c>
      <c r="BF1435">
        <v>0.22</v>
      </c>
      <c r="BG1435">
        <v>89</v>
      </c>
      <c r="BH1435">
        <v>0.16</v>
      </c>
      <c r="BI1435">
        <v>4.25</v>
      </c>
      <c r="BJ1435">
        <v>39</v>
      </c>
      <c r="BK1435">
        <v>29</v>
      </c>
      <c r="BL1435">
        <v>-1.26</v>
      </c>
      <c r="BM1435">
        <v>0.38</v>
      </c>
      <c r="BN1435">
        <v>0.17</v>
      </c>
      <c r="BO1435">
        <v>-0.24</v>
      </c>
      <c r="BP1435">
        <v>0.01</v>
      </c>
      <c r="BQ1435">
        <v>-2.3199999999999998</v>
      </c>
      <c r="BR1435">
        <v>0.4</v>
      </c>
      <c r="BS1435">
        <v>-1.2</v>
      </c>
      <c r="BT1435">
        <v>-0.94</v>
      </c>
      <c r="BU1435">
        <v>7.0000000000000007E-2</v>
      </c>
      <c r="BV1435">
        <v>-0.3</v>
      </c>
      <c r="BW1435">
        <v>-0.43</v>
      </c>
      <c r="BX1435">
        <v>-0.95</v>
      </c>
      <c r="BY1435">
        <v>0.71</v>
      </c>
      <c r="BZ1435">
        <v>0.23</v>
      </c>
      <c r="CA1435">
        <v>-0.12</v>
      </c>
      <c r="CB1435">
        <v>0.13</v>
      </c>
      <c r="CC1435">
        <v>-0.75</v>
      </c>
      <c r="CD1435">
        <v>0.09</v>
      </c>
      <c r="CE1435">
        <v>-0.6</v>
      </c>
      <c r="CF1435">
        <v>-0.43</v>
      </c>
      <c r="CG1435">
        <v>0</v>
      </c>
      <c r="CH1435">
        <v>0.61</v>
      </c>
      <c r="CI1435">
        <v>0</v>
      </c>
      <c r="CJ1435">
        <v>-9.1</v>
      </c>
      <c r="CK1435">
        <v>92</v>
      </c>
      <c r="CL1435">
        <v>-0.75</v>
      </c>
      <c r="CM1435">
        <v>90</v>
      </c>
      <c r="CN1435">
        <v>-0.04</v>
      </c>
      <c r="CO1435">
        <v>89</v>
      </c>
      <c r="CP1435">
        <v>-14.5</v>
      </c>
      <c r="CQ1435">
        <v>89</v>
      </c>
      <c r="CR1435">
        <v>0</v>
      </c>
      <c r="CS1435">
        <v>0</v>
      </c>
      <c r="CT1435">
        <v>-15.6</v>
      </c>
      <c r="CU1435">
        <v>88</v>
      </c>
      <c r="CV1435">
        <v>0.09</v>
      </c>
      <c r="CW1435">
        <v>45</v>
      </c>
      <c r="CX1435" t="s">
        <v>1089</v>
      </c>
    </row>
    <row r="1436" spans="1:102" x14ac:dyDescent="0.3">
      <c r="A1436" t="str">
        <f>HYPERLINK("https://webapp.icbf.com/v2/app/bull-search/view/670431844","MLW")</f>
        <v>MLW</v>
      </c>
      <c r="B1436" t="s">
        <v>5505</v>
      </c>
      <c r="C1436" t="s">
        <v>5506</v>
      </c>
      <c r="D1436" s="1">
        <v>39859</v>
      </c>
      <c r="E1436" t="s">
        <v>92</v>
      </c>
      <c r="F1436">
        <v>97</v>
      </c>
      <c r="G1436" t="s">
        <v>93</v>
      </c>
      <c r="H1436">
        <v>111.41</v>
      </c>
      <c r="I1436">
        <v>84</v>
      </c>
      <c r="J1436">
        <v>56.75</v>
      </c>
      <c r="K1436">
        <v>96</v>
      </c>
      <c r="L1436">
        <v>6.33</v>
      </c>
      <c r="M1436">
        <v>78</v>
      </c>
      <c r="N1436">
        <v>27.67</v>
      </c>
      <c r="O1436">
        <v>81</v>
      </c>
      <c r="P1436">
        <v>-0.98</v>
      </c>
      <c r="Q1436">
        <v>86</v>
      </c>
      <c r="R1436">
        <v>1.31</v>
      </c>
      <c r="S1436">
        <v>78</v>
      </c>
      <c r="T1436">
        <v>10.79</v>
      </c>
      <c r="U1436">
        <v>70</v>
      </c>
      <c r="V1436">
        <v>9.5399999999999991</v>
      </c>
      <c r="W1436">
        <v>74</v>
      </c>
      <c r="X1436" t="s">
        <v>251</v>
      </c>
      <c r="Y1436" t="s">
        <v>422</v>
      </c>
      <c r="Z1436" t="s">
        <v>96</v>
      </c>
      <c r="AA1436" t="s">
        <v>1376</v>
      </c>
      <c r="AB1436" t="s">
        <v>5507</v>
      </c>
      <c r="AC1436">
        <v>52</v>
      </c>
      <c r="AD1436">
        <v>35</v>
      </c>
      <c r="AE1436">
        <v>96</v>
      </c>
      <c r="AF1436">
        <v>409.74</v>
      </c>
      <c r="AG1436">
        <v>12.22</v>
      </c>
      <c r="AH1436">
        <v>11.6</v>
      </c>
      <c r="AI1436">
        <v>-0.06</v>
      </c>
      <c r="AJ1436">
        <v>-0.04</v>
      </c>
      <c r="AK1436">
        <v>78</v>
      </c>
      <c r="AL1436">
        <v>56</v>
      </c>
      <c r="AM1436">
        <v>39</v>
      </c>
      <c r="AN1436">
        <v>0.04</v>
      </c>
      <c r="AO1436">
        <v>0.55000000000000004</v>
      </c>
      <c r="AP1436">
        <v>99</v>
      </c>
      <c r="AQ1436">
        <v>0</v>
      </c>
      <c r="AR1436">
        <v>6.22</v>
      </c>
      <c r="AS1436">
        <v>71</v>
      </c>
      <c r="AT1436">
        <v>2.36</v>
      </c>
      <c r="AU1436">
        <v>83</v>
      </c>
      <c r="AV1436">
        <v>-2.16</v>
      </c>
      <c r="AW1436">
        <v>93</v>
      </c>
      <c r="AX1436">
        <v>-0.72</v>
      </c>
      <c r="AY1436">
        <v>72</v>
      </c>
      <c r="AZ1436">
        <v>6.5</v>
      </c>
      <c r="BA1436">
        <v>61</v>
      </c>
      <c r="BB1436">
        <v>5.13</v>
      </c>
      <c r="BC1436">
        <v>62</v>
      </c>
      <c r="BD1436">
        <v>0.03</v>
      </c>
      <c r="BE1436">
        <v>0</v>
      </c>
      <c r="BF1436">
        <v>-0.08</v>
      </c>
      <c r="BG1436">
        <v>87</v>
      </c>
      <c r="BH1436">
        <v>0.14000000000000001</v>
      </c>
      <c r="BI1436">
        <v>-14.59</v>
      </c>
      <c r="BJ1436">
        <v>4</v>
      </c>
      <c r="BK1436">
        <v>4</v>
      </c>
      <c r="BL1436">
        <v>0.21</v>
      </c>
      <c r="BM1436">
        <v>0.36</v>
      </c>
      <c r="BN1436">
        <v>0.16</v>
      </c>
      <c r="BO1436">
        <v>-0.04</v>
      </c>
      <c r="BP1436">
        <v>1.08</v>
      </c>
      <c r="BQ1436">
        <v>1.1000000000000001</v>
      </c>
      <c r="BR1436">
        <v>-0.74</v>
      </c>
      <c r="BS1436">
        <v>0.34</v>
      </c>
      <c r="BT1436">
        <v>-0.79</v>
      </c>
      <c r="BU1436">
        <v>0.21</v>
      </c>
      <c r="BV1436">
        <v>0.61</v>
      </c>
      <c r="BW1436">
        <v>0.52</v>
      </c>
      <c r="BX1436">
        <v>0.25</v>
      </c>
      <c r="BY1436">
        <v>-0.17</v>
      </c>
      <c r="BZ1436">
        <v>-0.31</v>
      </c>
      <c r="CA1436">
        <v>0.27</v>
      </c>
      <c r="CB1436">
        <v>0.51</v>
      </c>
      <c r="CC1436">
        <v>0.21</v>
      </c>
      <c r="CD1436">
        <v>0.45</v>
      </c>
      <c r="CE1436">
        <v>0.11</v>
      </c>
      <c r="CF1436">
        <v>0.02</v>
      </c>
      <c r="CG1436">
        <v>0</v>
      </c>
      <c r="CH1436">
        <v>-0.55000000000000004</v>
      </c>
      <c r="CI1436">
        <v>0</v>
      </c>
      <c r="CJ1436">
        <v>2.1</v>
      </c>
      <c r="CK1436">
        <v>88</v>
      </c>
      <c r="CL1436">
        <v>-0.83</v>
      </c>
      <c r="CM1436">
        <v>85</v>
      </c>
      <c r="CN1436">
        <v>-0.43</v>
      </c>
      <c r="CO1436">
        <v>84</v>
      </c>
      <c r="CP1436">
        <v>-2.2999999999999998</v>
      </c>
      <c r="CQ1436">
        <v>79</v>
      </c>
      <c r="CR1436">
        <v>0</v>
      </c>
      <c r="CS1436">
        <v>0</v>
      </c>
      <c r="CT1436">
        <v>-0.8</v>
      </c>
      <c r="CU1436">
        <v>70</v>
      </c>
      <c r="CV1436">
        <v>0.31</v>
      </c>
      <c r="CW1436">
        <v>45</v>
      </c>
      <c r="CX1436" t="s">
        <v>1165</v>
      </c>
    </row>
    <row r="1437" spans="1:102" x14ac:dyDescent="0.3">
      <c r="A1437" t="str">
        <f>HYPERLINK("https://webapp.icbf.com/v2/app/bull-search/view/568101046","HGF")</f>
        <v>HGF</v>
      </c>
      <c r="B1437" t="s">
        <v>5258</v>
      </c>
      <c r="C1437" t="s">
        <v>5259</v>
      </c>
      <c r="D1437" s="1">
        <v>39507</v>
      </c>
      <c r="E1437" t="s">
        <v>227</v>
      </c>
      <c r="F1437">
        <v>0</v>
      </c>
      <c r="G1437" t="s">
        <v>93</v>
      </c>
      <c r="H1437">
        <v>111.4</v>
      </c>
      <c r="I1437">
        <v>86</v>
      </c>
      <c r="J1437">
        <v>43.49</v>
      </c>
      <c r="K1437">
        <v>96</v>
      </c>
      <c r="L1437">
        <v>42.76</v>
      </c>
      <c r="M1437">
        <v>77</v>
      </c>
      <c r="N1437">
        <v>19.39</v>
      </c>
      <c r="O1437">
        <v>85</v>
      </c>
      <c r="P1437">
        <v>-59.12</v>
      </c>
      <c r="Q1437">
        <v>88</v>
      </c>
      <c r="R1437">
        <v>-0.28999999999999998</v>
      </c>
      <c r="S1437">
        <v>79</v>
      </c>
      <c r="T1437">
        <v>62.37</v>
      </c>
      <c r="U1437">
        <v>87</v>
      </c>
      <c r="V1437">
        <v>2.8</v>
      </c>
      <c r="W1437">
        <v>81</v>
      </c>
      <c r="X1437" t="s">
        <v>94</v>
      </c>
      <c r="Y1437" t="s">
        <v>319</v>
      </c>
      <c r="Z1437">
        <v>0</v>
      </c>
      <c r="AA1437" t="s">
        <v>5260</v>
      </c>
      <c r="AB1437" t="s">
        <v>5261</v>
      </c>
      <c r="AC1437">
        <v>71</v>
      </c>
      <c r="AD1437">
        <v>51</v>
      </c>
      <c r="AE1437">
        <v>96</v>
      </c>
      <c r="AF1437">
        <v>-458.65</v>
      </c>
      <c r="AG1437">
        <v>14.52</v>
      </c>
      <c r="AH1437">
        <v>-4.76</v>
      </c>
      <c r="AI1437">
        <v>0.61</v>
      </c>
      <c r="AJ1437">
        <v>0.2</v>
      </c>
      <c r="AK1437">
        <v>77</v>
      </c>
      <c r="AL1437">
        <v>68</v>
      </c>
      <c r="AM1437">
        <v>42</v>
      </c>
      <c r="AN1437">
        <v>-2.35</v>
      </c>
      <c r="AO1437">
        <v>1.06</v>
      </c>
      <c r="AP1437">
        <v>144</v>
      </c>
      <c r="AQ1437">
        <v>2</v>
      </c>
      <c r="AR1437">
        <v>3.12</v>
      </c>
      <c r="AS1437">
        <v>76</v>
      </c>
      <c r="AT1437">
        <v>1.41</v>
      </c>
      <c r="AU1437">
        <v>84</v>
      </c>
      <c r="AV1437">
        <v>-1.32</v>
      </c>
      <c r="AW1437">
        <v>96</v>
      </c>
      <c r="AX1437">
        <v>1.0900000000000001</v>
      </c>
      <c r="AY1437">
        <v>78</v>
      </c>
      <c r="AZ1437">
        <v>8.4700000000000006</v>
      </c>
      <c r="BA1437">
        <v>66</v>
      </c>
      <c r="BB1437">
        <v>6.05</v>
      </c>
      <c r="BC1437">
        <v>67</v>
      </c>
      <c r="BD1437">
        <v>-0.05</v>
      </c>
      <c r="BE1437">
        <v>0</v>
      </c>
      <c r="BF1437">
        <v>0.09</v>
      </c>
      <c r="BG1437">
        <v>87</v>
      </c>
      <c r="BH1437">
        <v>0.11</v>
      </c>
      <c r="BI1437">
        <v>3.68</v>
      </c>
      <c r="BJ1437">
        <v>19</v>
      </c>
      <c r="BK1437">
        <v>14</v>
      </c>
      <c r="BL1437">
        <v>-3.33</v>
      </c>
      <c r="BM1437">
        <v>-2.85</v>
      </c>
      <c r="BN1437">
        <v>-1.27</v>
      </c>
      <c r="BO1437">
        <v>0.78</v>
      </c>
      <c r="BP1437">
        <v>-1.24</v>
      </c>
      <c r="BQ1437">
        <v>-6.74</v>
      </c>
      <c r="BR1437">
        <v>3.72</v>
      </c>
      <c r="BS1437">
        <v>2.5299999999999998</v>
      </c>
      <c r="BT1437">
        <v>-3.11</v>
      </c>
      <c r="BU1437">
        <v>-1.79</v>
      </c>
      <c r="BV1437">
        <v>-1.45</v>
      </c>
      <c r="BW1437">
        <v>-3.61</v>
      </c>
      <c r="BX1437">
        <v>-5.58</v>
      </c>
      <c r="BY1437">
        <v>-0.85</v>
      </c>
      <c r="BZ1437">
        <v>2.0699999999999998</v>
      </c>
      <c r="CA1437">
        <v>-1.34</v>
      </c>
      <c r="CB1437">
        <v>-1.79</v>
      </c>
      <c r="CC1437">
        <v>0.25</v>
      </c>
      <c r="CD1437">
        <v>-1.96</v>
      </c>
      <c r="CE1437">
        <v>0.35</v>
      </c>
      <c r="CF1437">
        <v>-3.99</v>
      </c>
      <c r="CG1437">
        <v>0</v>
      </c>
      <c r="CH1437">
        <v>-0.66</v>
      </c>
      <c r="CI1437">
        <v>0</v>
      </c>
      <c r="CJ1437">
        <v>-30</v>
      </c>
      <c r="CK1437">
        <v>90</v>
      </c>
      <c r="CL1437">
        <v>-1.2</v>
      </c>
      <c r="CM1437">
        <v>88</v>
      </c>
      <c r="CN1437">
        <v>-0.2</v>
      </c>
      <c r="CO1437">
        <v>86</v>
      </c>
      <c r="CP1437">
        <v>-51.2</v>
      </c>
      <c r="CQ1437">
        <v>83</v>
      </c>
      <c r="CR1437">
        <v>0</v>
      </c>
      <c r="CS1437">
        <v>0</v>
      </c>
      <c r="CT1437">
        <v>-70.5</v>
      </c>
      <c r="CU1437">
        <v>87</v>
      </c>
      <c r="CV1437">
        <v>-0.27</v>
      </c>
      <c r="CW1437">
        <v>44</v>
      </c>
      <c r="CX1437" t="s">
        <v>2623</v>
      </c>
    </row>
    <row r="1438" spans="1:102" x14ac:dyDescent="0.3">
      <c r="A1438" t="str">
        <f>HYPERLINK("https://webapp.icbf.com/v2/app/bull-search/view/711787557","HYX")</f>
        <v>HYX</v>
      </c>
      <c r="B1438" t="s">
        <v>12899</v>
      </c>
      <c r="C1438" t="s">
        <v>5786</v>
      </c>
      <c r="D1438" s="1">
        <v>37017</v>
      </c>
      <c r="E1438" t="s">
        <v>227</v>
      </c>
      <c r="F1438">
        <v>0</v>
      </c>
      <c r="G1438" t="s">
        <v>93</v>
      </c>
      <c r="H1438">
        <v>111.4</v>
      </c>
      <c r="I1438">
        <v>75</v>
      </c>
      <c r="J1438">
        <v>5.65</v>
      </c>
      <c r="K1438">
        <v>90</v>
      </c>
      <c r="L1438">
        <v>83.71</v>
      </c>
      <c r="M1438">
        <v>79</v>
      </c>
      <c r="N1438">
        <v>11.07</v>
      </c>
      <c r="O1438">
        <v>68</v>
      </c>
      <c r="P1438">
        <v>-53.88</v>
      </c>
      <c r="Q1438">
        <v>61</v>
      </c>
      <c r="R1438">
        <v>6.68</v>
      </c>
      <c r="S1438">
        <v>54</v>
      </c>
      <c r="T1438">
        <v>58.15</v>
      </c>
      <c r="U1438">
        <v>52</v>
      </c>
      <c r="V1438">
        <v>0.02</v>
      </c>
      <c r="W1438">
        <v>37</v>
      </c>
      <c r="X1438" t="s">
        <v>94</v>
      </c>
      <c r="Y1438" t="s">
        <v>282</v>
      </c>
      <c r="Z1438">
        <v>0</v>
      </c>
      <c r="AA1438" t="s">
        <v>4856</v>
      </c>
      <c r="AB1438" t="s">
        <v>12900</v>
      </c>
      <c r="AC1438">
        <v>37</v>
      </c>
      <c r="AD1438">
        <v>21</v>
      </c>
      <c r="AE1438">
        <v>90</v>
      </c>
      <c r="AF1438">
        <v>-610.57000000000005</v>
      </c>
      <c r="AG1438">
        <v>-2.02</v>
      </c>
      <c r="AH1438">
        <v>-7.67</v>
      </c>
      <c r="AI1438">
        <v>0.4</v>
      </c>
      <c r="AJ1438">
        <v>0.24</v>
      </c>
      <c r="AK1438">
        <v>79</v>
      </c>
      <c r="AL1438">
        <v>0</v>
      </c>
      <c r="AM1438">
        <v>0</v>
      </c>
      <c r="AN1438">
        <v>-3.44</v>
      </c>
      <c r="AO1438">
        <v>3.25</v>
      </c>
      <c r="AP1438">
        <v>49</v>
      </c>
      <c r="AQ1438">
        <v>0</v>
      </c>
      <c r="AR1438">
        <v>4.28</v>
      </c>
      <c r="AS1438">
        <v>63</v>
      </c>
      <c r="AT1438">
        <v>2.2799999999999998</v>
      </c>
      <c r="AU1438">
        <v>61</v>
      </c>
      <c r="AV1438">
        <v>-1.64</v>
      </c>
      <c r="AW1438">
        <v>87</v>
      </c>
      <c r="AX1438">
        <v>4.79</v>
      </c>
      <c r="AY1438">
        <v>61</v>
      </c>
      <c r="AZ1438">
        <v>7.69</v>
      </c>
      <c r="BA1438">
        <v>44</v>
      </c>
      <c r="BB1438">
        <v>5.31</v>
      </c>
      <c r="BC1438">
        <v>41</v>
      </c>
      <c r="BD1438">
        <v>-0.04</v>
      </c>
      <c r="BE1438">
        <v>-0.03</v>
      </c>
      <c r="BF1438">
        <v>-0.03</v>
      </c>
      <c r="BG1438">
        <v>70</v>
      </c>
      <c r="BH1438">
        <v>-0.02</v>
      </c>
      <c r="BI1438">
        <v>-2.39</v>
      </c>
      <c r="BJ1438">
        <v>6</v>
      </c>
      <c r="BK1438">
        <v>5</v>
      </c>
      <c r="BL1438">
        <v>-0.52</v>
      </c>
      <c r="BM1438">
        <v>-1.08</v>
      </c>
      <c r="BN1438">
        <v>0.02</v>
      </c>
      <c r="BO1438">
        <v>1.38</v>
      </c>
      <c r="BP1438">
        <v>-0.15</v>
      </c>
      <c r="BQ1438">
        <v>-2.93</v>
      </c>
      <c r="BR1438">
        <v>1.05</v>
      </c>
      <c r="BS1438">
        <v>7.04</v>
      </c>
      <c r="BT1438">
        <v>-0.43</v>
      </c>
      <c r="BU1438">
        <v>1.75</v>
      </c>
      <c r="BV1438">
        <v>1.63</v>
      </c>
      <c r="BW1438">
        <v>-0.02</v>
      </c>
      <c r="BX1438">
        <v>-1.01</v>
      </c>
      <c r="BY1438">
        <v>0.16</v>
      </c>
      <c r="BZ1438">
        <v>1.01</v>
      </c>
      <c r="CA1438">
        <v>3.07</v>
      </c>
      <c r="CB1438">
        <v>1.66</v>
      </c>
      <c r="CC1438">
        <v>4.5199999999999996</v>
      </c>
      <c r="CD1438">
        <v>-1.62</v>
      </c>
      <c r="CE1438">
        <v>1.65</v>
      </c>
      <c r="CF1438">
        <v>0.37</v>
      </c>
      <c r="CG1438">
        <v>0</v>
      </c>
      <c r="CH1438">
        <v>0.12</v>
      </c>
      <c r="CI1438">
        <v>0</v>
      </c>
      <c r="CJ1438">
        <v>-29.8</v>
      </c>
      <c r="CK1438">
        <v>63</v>
      </c>
      <c r="CL1438">
        <v>-1.08</v>
      </c>
      <c r="CM1438">
        <v>59</v>
      </c>
      <c r="CN1438">
        <v>-0.43</v>
      </c>
      <c r="CO1438">
        <v>54</v>
      </c>
      <c r="CP1438">
        <v>-44.3</v>
      </c>
      <c r="CQ1438">
        <v>63</v>
      </c>
      <c r="CR1438">
        <v>0</v>
      </c>
      <c r="CS1438">
        <v>0</v>
      </c>
      <c r="CT1438">
        <v>-64.8</v>
      </c>
      <c r="CU1438">
        <v>52</v>
      </c>
      <c r="CV1438">
        <v>-0.4</v>
      </c>
      <c r="CW1438">
        <v>16</v>
      </c>
      <c r="CX1438" t="s">
        <v>9148</v>
      </c>
    </row>
    <row r="1439" spans="1:102" x14ac:dyDescent="0.3">
      <c r="A1439" t="str">
        <f>HYPERLINK("https://webapp.icbf.com/v2/app/bull-search/view/1245684565","S2328")</f>
        <v>S2328</v>
      </c>
      <c r="B1439" t="s">
        <v>13543</v>
      </c>
      <c r="C1439" t="s">
        <v>13544</v>
      </c>
      <c r="D1439" s="1">
        <v>41336</v>
      </c>
      <c r="E1439" t="s">
        <v>92</v>
      </c>
      <c r="F1439">
        <v>100</v>
      </c>
      <c r="G1439" t="s">
        <v>109</v>
      </c>
      <c r="H1439">
        <v>111.38</v>
      </c>
      <c r="I1439">
        <v>59</v>
      </c>
      <c r="J1439">
        <v>77.86</v>
      </c>
      <c r="K1439">
        <v>77</v>
      </c>
      <c r="L1439">
        <v>-7.98</v>
      </c>
      <c r="M1439">
        <v>65</v>
      </c>
      <c r="N1439">
        <v>30.51</v>
      </c>
      <c r="O1439">
        <v>51</v>
      </c>
      <c r="P1439">
        <v>0.74</v>
      </c>
      <c r="Q1439">
        <v>36</v>
      </c>
      <c r="R1439">
        <v>7.16</v>
      </c>
      <c r="S1439">
        <v>52</v>
      </c>
      <c r="T1439">
        <v>4.8</v>
      </c>
      <c r="U1439">
        <v>17</v>
      </c>
      <c r="V1439">
        <v>-1.71</v>
      </c>
      <c r="W1439">
        <v>12</v>
      </c>
      <c r="X1439" t="s">
        <v>102</v>
      </c>
      <c r="Y1439" t="s">
        <v>411</v>
      </c>
      <c r="Z1439" t="s">
        <v>96</v>
      </c>
      <c r="AA1439" t="s">
        <v>2699</v>
      </c>
      <c r="AB1439" t="s">
        <v>13545</v>
      </c>
      <c r="AC1439">
        <v>0</v>
      </c>
      <c r="AD1439">
        <v>0</v>
      </c>
      <c r="AE1439">
        <v>77</v>
      </c>
      <c r="AF1439">
        <v>400.85</v>
      </c>
      <c r="AG1439">
        <v>16.190000000000001</v>
      </c>
      <c r="AH1439">
        <v>13.65</v>
      </c>
      <c r="AI1439">
        <v>0.01</v>
      </c>
      <c r="AJ1439">
        <v>0</v>
      </c>
      <c r="AK1439">
        <v>65</v>
      </c>
      <c r="AL1439">
        <v>0</v>
      </c>
      <c r="AM1439">
        <v>0</v>
      </c>
      <c r="AN1439">
        <v>2.5</v>
      </c>
      <c r="AO1439">
        <v>1.89</v>
      </c>
      <c r="AP1439">
        <v>10</v>
      </c>
      <c r="AQ1439">
        <v>1</v>
      </c>
      <c r="AR1439">
        <v>5.68</v>
      </c>
      <c r="AS1439">
        <v>25</v>
      </c>
      <c r="AT1439">
        <v>2.5499999999999998</v>
      </c>
      <c r="AU1439">
        <v>86</v>
      </c>
      <c r="AV1439">
        <v>-2.94</v>
      </c>
      <c r="AW1439">
        <v>58</v>
      </c>
      <c r="AX1439">
        <v>0.57999999999999996</v>
      </c>
      <c r="AY1439">
        <v>25</v>
      </c>
      <c r="AZ1439">
        <v>6.68</v>
      </c>
      <c r="BA1439">
        <v>16</v>
      </c>
      <c r="BB1439">
        <v>5.04</v>
      </c>
      <c r="BC1439">
        <v>11</v>
      </c>
      <c r="BD1439">
        <v>-0.01</v>
      </c>
      <c r="BE1439">
        <v>-0.02</v>
      </c>
      <c r="BF1439">
        <v>-0.11</v>
      </c>
      <c r="BG1439">
        <v>83</v>
      </c>
      <c r="BH1439">
        <v>-0.08</v>
      </c>
      <c r="BI1439">
        <v>-3.74</v>
      </c>
      <c r="BJ1439">
        <v>1</v>
      </c>
      <c r="BK1439">
        <v>1</v>
      </c>
      <c r="BL1439">
        <v>0.41</v>
      </c>
      <c r="BM1439">
        <v>1.83</v>
      </c>
      <c r="BN1439">
        <v>0.76</v>
      </c>
      <c r="BO1439">
        <v>0.68</v>
      </c>
      <c r="BP1439">
        <v>0.06</v>
      </c>
      <c r="BQ1439">
        <v>-0.52</v>
      </c>
      <c r="BR1439">
        <v>0.51</v>
      </c>
      <c r="BS1439">
        <v>2.95</v>
      </c>
      <c r="BT1439">
        <v>0.14000000000000001</v>
      </c>
      <c r="BU1439">
        <v>1.1499999999999999</v>
      </c>
      <c r="BV1439">
        <v>1.73</v>
      </c>
      <c r="BW1439">
        <v>0.04</v>
      </c>
      <c r="BX1439">
        <v>0.66</v>
      </c>
      <c r="BY1439">
        <v>-0.28000000000000003</v>
      </c>
      <c r="BZ1439">
        <v>3.09</v>
      </c>
      <c r="CA1439">
        <v>1.95</v>
      </c>
      <c r="CB1439">
        <v>1.1299999999999999</v>
      </c>
      <c r="CC1439">
        <v>2.73</v>
      </c>
      <c r="CD1439">
        <v>1.67</v>
      </c>
      <c r="CE1439">
        <v>0.79</v>
      </c>
      <c r="CF1439">
        <v>0.37</v>
      </c>
      <c r="CG1439">
        <v>0</v>
      </c>
      <c r="CH1439">
        <v>1.56</v>
      </c>
      <c r="CI1439">
        <v>0</v>
      </c>
      <c r="CJ1439">
        <v>1.5</v>
      </c>
      <c r="CK1439">
        <v>39</v>
      </c>
      <c r="CL1439">
        <v>-0.71</v>
      </c>
      <c r="CM1439">
        <v>35</v>
      </c>
      <c r="CN1439">
        <v>-0.52</v>
      </c>
      <c r="CO1439">
        <v>34</v>
      </c>
      <c r="CP1439">
        <v>-0.6</v>
      </c>
      <c r="CQ1439">
        <v>22</v>
      </c>
      <c r="CR1439">
        <v>0</v>
      </c>
      <c r="CS1439">
        <v>0</v>
      </c>
      <c r="CT1439">
        <v>7.3</v>
      </c>
      <c r="CU1439">
        <v>17</v>
      </c>
      <c r="CV1439">
        <v>0.22</v>
      </c>
      <c r="CW1439">
        <v>11</v>
      </c>
      <c r="CX1439" t="s">
        <v>353</v>
      </c>
    </row>
    <row r="1440" spans="1:102" x14ac:dyDescent="0.3">
      <c r="A1440" t="str">
        <f>HYPERLINK("https://webapp.icbf.com/v2/app/bull-search/view/997026563","S1460")</f>
        <v>S1460</v>
      </c>
      <c r="B1440" t="s">
        <v>15278</v>
      </c>
      <c r="C1440" t="s">
        <v>15279</v>
      </c>
      <c r="D1440" s="1">
        <v>40554</v>
      </c>
      <c r="E1440" t="s">
        <v>92</v>
      </c>
      <c r="F1440">
        <v>100</v>
      </c>
      <c r="G1440" t="s">
        <v>109</v>
      </c>
      <c r="H1440">
        <v>111.21</v>
      </c>
      <c r="I1440">
        <v>80</v>
      </c>
      <c r="J1440">
        <v>31.68</v>
      </c>
      <c r="K1440">
        <v>93</v>
      </c>
      <c r="L1440">
        <v>33.520000000000003</v>
      </c>
      <c r="M1440">
        <v>81</v>
      </c>
      <c r="N1440">
        <v>50.35</v>
      </c>
      <c r="O1440">
        <v>73</v>
      </c>
      <c r="P1440">
        <v>12.21</v>
      </c>
      <c r="Q1440">
        <v>70</v>
      </c>
      <c r="R1440">
        <v>14.63</v>
      </c>
      <c r="S1440">
        <v>76</v>
      </c>
      <c r="T1440">
        <v>-26.13</v>
      </c>
      <c r="U1440">
        <v>56</v>
      </c>
      <c r="V1440">
        <v>-5.05</v>
      </c>
      <c r="W1440">
        <v>62</v>
      </c>
      <c r="X1440" t="s">
        <v>234</v>
      </c>
      <c r="Y1440" t="s">
        <v>342</v>
      </c>
      <c r="Z1440" t="s">
        <v>96</v>
      </c>
      <c r="AA1440" t="s">
        <v>9195</v>
      </c>
      <c r="AB1440" t="s">
        <v>381</v>
      </c>
      <c r="AC1440">
        <v>0</v>
      </c>
      <c r="AD1440">
        <v>0</v>
      </c>
      <c r="AE1440">
        <v>93</v>
      </c>
      <c r="AF1440">
        <v>45.92</v>
      </c>
      <c r="AG1440">
        <v>0.54</v>
      </c>
      <c r="AH1440">
        <v>5.9</v>
      </c>
      <c r="AI1440">
        <v>-0.02</v>
      </c>
      <c r="AJ1440">
        <v>0.08</v>
      </c>
      <c r="AK1440">
        <v>81</v>
      </c>
      <c r="AL1440">
        <v>0</v>
      </c>
      <c r="AM1440">
        <v>0</v>
      </c>
      <c r="AN1440">
        <v>-2.82</v>
      </c>
      <c r="AO1440">
        <v>-0.16</v>
      </c>
      <c r="AP1440">
        <v>38</v>
      </c>
      <c r="AQ1440">
        <v>1</v>
      </c>
      <c r="AR1440">
        <v>6.03</v>
      </c>
      <c r="AS1440">
        <v>66</v>
      </c>
      <c r="AT1440">
        <v>2.67</v>
      </c>
      <c r="AU1440">
        <v>85</v>
      </c>
      <c r="AV1440">
        <v>-4.7</v>
      </c>
      <c r="AW1440">
        <v>80</v>
      </c>
      <c r="AX1440">
        <v>-0.84</v>
      </c>
      <c r="AY1440">
        <v>60</v>
      </c>
      <c r="AZ1440">
        <v>5.55</v>
      </c>
      <c r="BA1440">
        <v>52</v>
      </c>
      <c r="BB1440">
        <v>4.57</v>
      </c>
      <c r="BC1440">
        <v>50</v>
      </c>
      <c r="BD1440">
        <v>-0.05</v>
      </c>
      <c r="BE1440">
        <v>-7.0000000000000007E-2</v>
      </c>
      <c r="BF1440">
        <v>-0.12</v>
      </c>
      <c r="BG1440">
        <v>90</v>
      </c>
      <c r="BH1440">
        <v>-0.3</v>
      </c>
      <c r="BI1440">
        <v>-18.399999999999999</v>
      </c>
      <c r="BJ1440">
        <v>5</v>
      </c>
      <c r="BK1440">
        <v>2</v>
      </c>
      <c r="BL1440">
        <v>1.94</v>
      </c>
      <c r="BM1440">
        <v>0.14000000000000001</v>
      </c>
      <c r="BN1440">
        <v>-0.3</v>
      </c>
      <c r="BO1440">
        <v>0.08</v>
      </c>
      <c r="BP1440">
        <v>0.25</v>
      </c>
      <c r="BQ1440">
        <v>0.52</v>
      </c>
      <c r="BR1440">
        <v>-1.05</v>
      </c>
      <c r="BS1440">
        <v>1.82</v>
      </c>
      <c r="BT1440">
        <v>1.92</v>
      </c>
      <c r="BU1440">
        <v>2.8</v>
      </c>
      <c r="BV1440">
        <v>2.16</v>
      </c>
      <c r="BW1440">
        <v>0.41</v>
      </c>
      <c r="BX1440">
        <v>2.8</v>
      </c>
      <c r="BY1440">
        <v>0.19</v>
      </c>
      <c r="BZ1440">
        <v>-0.03</v>
      </c>
      <c r="CA1440">
        <v>2.04</v>
      </c>
      <c r="CB1440">
        <v>1.78</v>
      </c>
      <c r="CC1440">
        <v>1.01</v>
      </c>
      <c r="CD1440">
        <v>0.45</v>
      </c>
      <c r="CE1440">
        <v>-0.54</v>
      </c>
      <c r="CF1440">
        <v>0.22</v>
      </c>
      <c r="CG1440">
        <v>0</v>
      </c>
      <c r="CH1440">
        <v>0.7</v>
      </c>
      <c r="CI1440">
        <v>0</v>
      </c>
      <c r="CJ1440">
        <v>10.9</v>
      </c>
      <c r="CK1440">
        <v>73</v>
      </c>
      <c r="CL1440">
        <v>-1.07</v>
      </c>
      <c r="CM1440">
        <v>69</v>
      </c>
      <c r="CN1440">
        <v>-0.41</v>
      </c>
      <c r="CO1440">
        <v>67</v>
      </c>
      <c r="CP1440">
        <v>22.7</v>
      </c>
      <c r="CQ1440">
        <v>59</v>
      </c>
      <c r="CR1440">
        <v>0</v>
      </c>
      <c r="CS1440">
        <v>0</v>
      </c>
      <c r="CT1440">
        <v>49.1</v>
      </c>
      <c r="CU1440">
        <v>56</v>
      </c>
      <c r="CV1440">
        <v>0.4</v>
      </c>
      <c r="CW1440">
        <v>41</v>
      </c>
      <c r="CX1440" t="s">
        <v>316</v>
      </c>
    </row>
    <row r="1441" spans="1:102" x14ac:dyDescent="0.3">
      <c r="A1441" t="str">
        <f>HYPERLINK("https://webapp.icbf.com/v2/app/bull-search/view/760394447","PCG")</f>
        <v>PCG</v>
      </c>
      <c r="B1441" t="s">
        <v>9082</v>
      </c>
      <c r="C1441" t="s">
        <v>5945</v>
      </c>
      <c r="D1441" s="1">
        <v>39946</v>
      </c>
      <c r="E1441" t="s">
        <v>108</v>
      </c>
      <c r="F1441">
        <v>44</v>
      </c>
      <c r="G1441" t="s">
        <v>93</v>
      </c>
      <c r="H1441">
        <v>111.2</v>
      </c>
      <c r="I1441">
        <v>95</v>
      </c>
      <c r="J1441">
        <v>54.87</v>
      </c>
      <c r="K1441">
        <v>99</v>
      </c>
      <c r="L1441">
        <v>15.15</v>
      </c>
      <c r="M1441">
        <v>91</v>
      </c>
      <c r="N1441">
        <v>43.22</v>
      </c>
      <c r="O1441">
        <v>96</v>
      </c>
      <c r="P1441">
        <v>-19.59</v>
      </c>
      <c r="Q1441">
        <v>99</v>
      </c>
      <c r="R1441">
        <v>-10.79</v>
      </c>
      <c r="S1441">
        <v>90</v>
      </c>
      <c r="T1441">
        <v>20.49</v>
      </c>
      <c r="U1441">
        <v>97</v>
      </c>
      <c r="V1441">
        <v>7.85</v>
      </c>
      <c r="W1441">
        <v>79</v>
      </c>
      <c r="X1441" t="s">
        <v>276</v>
      </c>
      <c r="Y1441" t="s">
        <v>1775</v>
      </c>
      <c r="Z1441" t="s">
        <v>330</v>
      </c>
      <c r="AA1441" t="s">
        <v>2339</v>
      </c>
      <c r="AB1441" t="s">
        <v>144</v>
      </c>
      <c r="AC1441">
        <v>684</v>
      </c>
      <c r="AD1441">
        <v>253</v>
      </c>
      <c r="AE1441">
        <v>99</v>
      </c>
      <c r="AF1441">
        <v>117.51</v>
      </c>
      <c r="AG1441">
        <v>10.77</v>
      </c>
      <c r="AH1441">
        <v>7.32</v>
      </c>
      <c r="AI1441">
        <v>0.11</v>
      </c>
      <c r="AJ1441">
        <v>0.06</v>
      </c>
      <c r="AK1441">
        <v>91</v>
      </c>
      <c r="AL1441">
        <v>783</v>
      </c>
      <c r="AM1441">
        <v>292</v>
      </c>
      <c r="AN1441">
        <v>-0.69</v>
      </c>
      <c r="AO1441">
        <v>0.52</v>
      </c>
      <c r="AP1441">
        <v>1377</v>
      </c>
      <c r="AQ1441">
        <v>13</v>
      </c>
      <c r="AR1441">
        <v>5.21</v>
      </c>
      <c r="AS1441">
        <v>94</v>
      </c>
      <c r="AT1441">
        <v>2.1</v>
      </c>
      <c r="AU1441">
        <v>97</v>
      </c>
      <c r="AV1441">
        <v>-4.2699999999999996</v>
      </c>
      <c r="AW1441">
        <v>99</v>
      </c>
      <c r="AX1441">
        <v>0.1</v>
      </c>
      <c r="AY1441">
        <v>97</v>
      </c>
      <c r="AZ1441">
        <v>6.4</v>
      </c>
      <c r="BA1441">
        <v>91</v>
      </c>
      <c r="BB1441">
        <v>5.72</v>
      </c>
      <c r="BC1441">
        <v>90</v>
      </c>
      <c r="BD1441">
        <v>-0.03</v>
      </c>
      <c r="BE1441">
        <v>0.02</v>
      </c>
      <c r="BF1441">
        <v>0.26</v>
      </c>
      <c r="BG1441">
        <v>98</v>
      </c>
      <c r="BH1441">
        <v>0.13</v>
      </c>
      <c r="BI1441">
        <v>-10.3</v>
      </c>
      <c r="BJ1441">
        <v>9</v>
      </c>
      <c r="BK1441">
        <v>6</v>
      </c>
      <c r="BL1441">
        <v>-1.33</v>
      </c>
      <c r="BM1441">
        <v>-1.46</v>
      </c>
      <c r="BN1441">
        <v>-1.92</v>
      </c>
      <c r="BO1441">
        <v>-1.04</v>
      </c>
      <c r="BP1441">
        <v>0.5</v>
      </c>
      <c r="BQ1441">
        <v>-2.89</v>
      </c>
      <c r="BR1441">
        <v>0.24</v>
      </c>
      <c r="BS1441">
        <v>-1.8</v>
      </c>
      <c r="BT1441">
        <v>-2.5499999999999998</v>
      </c>
      <c r="BU1441">
        <v>-2.5299999999999998</v>
      </c>
      <c r="BV1441">
        <v>-1.61</v>
      </c>
      <c r="BW1441">
        <v>-2.15</v>
      </c>
      <c r="BX1441">
        <v>-3.61</v>
      </c>
      <c r="BY1441">
        <v>-0.9</v>
      </c>
      <c r="BZ1441">
        <v>1.96</v>
      </c>
      <c r="CA1441">
        <v>-2.41</v>
      </c>
      <c r="CB1441">
        <v>-1.83</v>
      </c>
      <c r="CC1441">
        <v>-2.09</v>
      </c>
      <c r="CD1441">
        <v>-0.34</v>
      </c>
      <c r="CE1441">
        <v>-0.14000000000000001</v>
      </c>
      <c r="CF1441">
        <v>-1.04</v>
      </c>
      <c r="CG1441">
        <v>0</v>
      </c>
      <c r="CH1441">
        <v>-1.21</v>
      </c>
      <c r="CI1441">
        <v>0</v>
      </c>
      <c r="CJ1441">
        <v>-11.2</v>
      </c>
      <c r="CK1441">
        <v>99</v>
      </c>
      <c r="CL1441">
        <v>-0.51</v>
      </c>
      <c r="CM1441">
        <v>99</v>
      </c>
      <c r="CN1441">
        <v>-0.25</v>
      </c>
      <c r="CO1441">
        <v>99</v>
      </c>
      <c r="CP1441">
        <v>-12</v>
      </c>
      <c r="CQ1441">
        <v>97</v>
      </c>
      <c r="CR1441">
        <v>0</v>
      </c>
      <c r="CS1441">
        <v>0</v>
      </c>
      <c r="CT1441">
        <v>-13.9</v>
      </c>
      <c r="CU1441">
        <v>97</v>
      </c>
      <c r="CV1441">
        <v>0.05</v>
      </c>
      <c r="CW1441">
        <v>46</v>
      </c>
      <c r="CX1441" t="s">
        <v>1772</v>
      </c>
    </row>
    <row r="1442" spans="1:102" x14ac:dyDescent="0.3">
      <c r="A1442" t="str">
        <f>HYPERLINK("https://webapp.icbf.com/v2/app/bull-search/view/1220505304","XLR")</f>
        <v>XLR</v>
      </c>
      <c r="B1442" t="s">
        <v>3088</v>
      </c>
      <c r="C1442" t="s">
        <v>3089</v>
      </c>
      <c r="D1442" s="1">
        <v>41511</v>
      </c>
      <c r="E1442" t="s">
        <v>108</v>
      </c>
      <c r="F1442">
        <v>0</v>
      </c>
      <c r="G1442" t="s">
        <v>109</v>
      </c>
      <c r="H1442">
        <v>111.19</v>
      </c>
      <c r="I1442">
        <v>79</v>
      </c>
      <c r="J1442">
        <v>2.97</v>
      </c>
      <c r="K1442">
        <v>94</v>
      </c>
      <c r="L1442">
        <v>60.69</v>
      </c>
      <c r="M1442">
        <v>69</v>
      </c>
      <c r="N1442">
        <v>29.47</v>
      </c>
      <c r="O1442">
        <v>80</v>
      </c>
      <c r="P1442">
        <v>-9.02</v>
      </c>
      <c r="Q1442">
        <v>92</v>
      </c>
      <c r="R1442">
        <v>12.64</v>
      </c>
      <c r="S1442">
        <v>65</v>
      </c>
      <c r="T1442">
        <v>13.23</v>
      </c>
      <c r="U1442">
        <v>59</v>
      </c>
      <c r="V1442">
        <v>1.21</v>
      </c>
      <c r="W1442">
        <v>68</v>
      </c>
      <c r="X1442" t="s">
        <v>102</v>
      </c>
      <c r="Y1442" t="s">
        <v>2066</v>
      </c>
      <c r="Z1442" t="s">
        <v>96</v>
      </c>
      <c r="AA1442" t="s">
        <v>3090</v>
      </c>
      <c r="AB1442" t="s">
        <v>3091</v>
      </c>
      <c r="AC1442">
        <v>60</v>
      </c>
      <c r="AD1442">
        <v>33</v>
      </c>
      <c r="AE1442">
        <v>94</v>
      </c>
      <c r="AF1442">
        <v>79.06</v>
      </c>
      <c r="AG1442">
        <v>1.6</v>
      </c>
      <c r="AH1442">
        <v>1.1499999999999999</v>
      </c>
      <c r="AI1442">
        <v>-0.03</v>
      </c>
      <c r="AJ1442">
        <v>-0.03</v>
      </c>
      <c r="AK1442">
        <v>69</v>
      </c>
      <c r="AL1442">
        <v>78</v>
      </c>
      <c r="AM1442">
        <v>41</v>
      </c>
      <c r="AN1442">
        <v>-3.32</v>
      </c>
      <c r="AO1442">
        <v>1.52</v>
      </c>
      <c r="AP1442">
        <v>199</v>
      </c>
      <c r="AQ1442">
        <v>0</v>
      </c>
      <c r="AR1442">
        <v>6.28</v>
      </c>
      <c r="AS1442">
        <v>63</v>
      </c>
      <c r="AT1442">
        <v>2.61</v>
      </c>
      <c r="AU1442">
        <v>85</v>
      </c>
      <c r="AV1442">
        <v>-2.81</v>
      </c>
      <c r="AW1442">
        <v>95</v>
      </c>
      <c r="AX1442">
        <v>0.06</v>
      </c>
      <c r="AY1442">
        <v>79</v>
      </c>
      <c r="AZ1442">
        <v>5.86</v>
      </c>
      <c r="BA1442">
        <v>59</v>
      </c>
      <c r="BB1442">
        <v>5.21</v>
      </c>
      <c r="BC1442">
        <v>44</v>
      </c>
      <c r="BD1442">
        <v>-0.04</v>
      </c>
      <c r="BE1442">
        <v>-0.06</v>
      </c>
      <c r="BF1442">
        <v>-0.11</v>
      </c>
      <c r="BG1442">
        <v>76</v>
      </c>
      <c r="BH1442">
        <v>0.05</v>
      </c>
      <c r="BI1442">
        <v>1.88</v>
      </c>
      <c r="BJ1442">
        <v>2</v>
      </c>
      <c r="BK1442">
        <v>1</v>
      </c>
      <c r="BL1442">
        <v>-3.09</v>
      </c>
      <c r="BM1442">
        <v>2.5</v>
      </c>
      <c r="BN1442">
        <v>-1.24</v>
      </c>
      <c r="BO1442">
        <v>-2.65</v>
      </c>
      <c r="BP1442">
        <v>-0.2</v>
      </c>
      <c r="BQ1442">
        <v>0.68</v>
      </c>
      <c r="BR1442">
        <v>-1.27</v>
      </c>
      <c r="BS1442">
        <v>1.61</v>
      </c>
      <c r="BT1442">
        <v>0.84</v>
      </c>
      <c r="BU1442">
        <v>-0.19</v>
      </c>
      <c r="BV1442">
        <v>-1.28</v>
      </c>
      <c r="BW1442">
        <v>-1.05</v>
      </c>
      <c r="BX1442">
        <v>-0.64</v>
      </c>
      <c r="BY1442">
        <v>-0.1</v>
      </c>
      <c r="BZ1442">
        <v>-1.22</v>
      </c>
      <c r="CA1442">
        <v>-0.67</v>
      </c>
      <c r="CB1442">
        <v>-0.67</v>
      </c>
      <c r="CC1442">
        <v>0.3</v>
      </c>
      <c r="CD1442">
        <v>2.77</v>
      </c>
      <c r="CE1442">
        <v>-2.4900000000000002</v>
      </c>
      <c r="CF1442">
        <v>-1.68</v>
      </c>
      <c r="CG1442">
        <v>0</v>
      </c>
      <c r="CH1442">
        <v>0.54</v>
      </c>
      <c r="CI1442">
        <v>0</v>
      </c>
      <c r="CJ1442">
        <v>-4.7</v>
      </c>
      <c r="CK1442">
        <v>94</v>
      </c>
      <c r="CL1442">
        <v>-0.34</v>
      </c>
      <c r="CM1442">
        <v>93</v>
      </c>
      <c r="CN1442">
        <v>-0.15</v>
      </c>
      <c r="CO1442">
        <v>92</v>
      </c>
      <c r="CP1442">
        <v>-5.2</v>
      </c>
      <c r="CQ1442">
        <v>69</v>
      </c>
      <c r="CR1442">
        <v>0</v>
      </c>
      <c r="CS1442">
        <v>0</v>
      </c>
      <c r="CT1442">
        <v>-4.0999999999999996</v>
      </c>
      <c r="CU1442">
        <v>59</v>
      </c>
      <c r="CV1442">
        <v>0.01</v>
      </c>
      <c r="CW1442">
        <v>44</v>
      </c>
      <c r="CX1442" t="s">
        <v>1129</v>
      </c>
    </row>
    <row r="1443" spans="1:102" x14ac:dyDescent="0.3">
      <c r="A1443" t="str">
        <f>HYPERLINK("https://webapp.icbf.com/v2/app/bull-search/view/667808827","MYW")</f>
        <v>MYW</v>
      </c>
      <c r="B1443" t="s">
        <v>15527</v>
      </c>
      <c r="C1443" t="s">
        <v>15528</v>
      </c>
      <c r="D1443" s="1">
        <v>39849</v>
      </c>
      <c r="E1443" t="s">
        <v>92</v>
      </c>
      <c r="F1443">
        <v>81</v>
      </c>
      <c r="G1443" t="s">
        <v>435</v>
      </c>
      <c r="H1443">
        <v>111.19</v>
      </c>
      <c r="I1443">
        <v>73</v>
      </c>
      <c r="J1443">
        <v>45.51</v>
      </c>
      <c r="K1443">
        <v>90</v>
      </c>
      <c r="L1443">
        <v>16.190000000000001</v>
      </c>
      <c r="M1443">
        <v>68</v>
      </c>
      <c r="N1443">
        <v>42.97</v>
      </c>
      <c r="O1443">
        <v>63</v>
      </c>
      <c r="P1443">
        <v>-10.52</v>
      </c>
      <c r="Q1443">
        <v>64</v>
      </c>
      <c r="R1443">
        <v>6.15</v>
      </c>
      <c r="S1443">
        <v>67</v>
      </c>
      <c r="T1443">
        <v>16.190000000000001</v>
      </c>
      <c r="U1443">
        <v>56</v>
      </c>
      <c r="V1443">
        <v>-5.3</v>
      </c>
      <c r="W1443">
        <v>64</v>
      </c>
      <c r="X1443" t="s">
        <v>94</v>
      </c>
      <c r="Y1443" t="s">
        <v>1727</v>
      </c>
      <c r="Z1443" t="s">
        <v>96</v>
      </c>
      <c r="AA1443" t="s">
        <v>1376</v>
      </c>
      <c r="AB1443" t="s">
        <v>4232</v>
      </c>
      <c r="AC1443">
        <v>5</v>
      </c>
      <c r="AD1443">
        <v>4</v>
      </c>
      <c r="AE1443">
        <v>90</v>
      </c>
      <c r="AF1443">
        <v>277.73</v>
      </c>
      <c r="AG1443">
        <v>7.24</v>
      </c>
      <c r="AH1443">
        <v>9.43</v>
      </c>
      <c r="AI1443">
        <v>-0.06</v>
      </c>
      <c r="AJ1443">
        <v>0</v>
      </c>
      <c r="AK1443">
        <v>68</v>
      </c>
      <c r="AL1443">
        <v>3</v>
      </c>
      <c r="AM1443">
        <v>3</v>
      </c>
      <c r="AN1443">
        <v>-0.2</v>
      </c>
      <c r="AO1443">
        <v>1.1000000000000001</v>
      </c>
      <c r="AP1443">
        <v>6</v>
      </c>
      <c r="AQ1443">
        <v>0</v>
      </c>
      <c r="AR1443">
        <v>3.86</v>
      </c>
      <c r="AS1443">
        <v>57</v>
      </c>
      <c r="AT1443">
        <v>1.99</v>
      </c>
      <c r="AU1443">
        <v>66</v>
      </c>
      <c r="AV1443">
        <v>-4.18</v>
      </c>
      <c r="AW1443">
        <v>70</v>
      </c>
      <c r="AX1443">
        <v>1.33</v>
      </c>
      <c r="AY1443">
        <v>52</v>
      </c>
      <c r="AZ1443">
        <v>6.45</v>
      </c>
      <c r="BA1443">
        <v>47</v>
      </c>
      <c r="BB1443">
        <v>5.63</v>
      </c>
      <c r="BC1443">
        <v>49</v>
      </c>
      <c r="BD1443">
        <v>-0.05</v>
      </c>
      <c r="BE1443">
        <v>-0.02</v>
      </c>
      <c r="BF1443">
        <v>-0.02</v>
      </c>
      <c r="BG1443">
        <v>76</v>
      </c>
      <c r="BH1443">
        <v>-0.11</v>
      </c>
      <c r="BI1443">
        <v>4.38</v>
      </c>
      <c r="BJ1443">
        <v>0</v>
      </c>
      <c r="BK1443">
        <v>0</v>
      </c>
      <c r="BL1443">
        <v>-0.12</v>
      </c>
      <c r="BM1443">
        <v>-0.23</v>
      </c>
      <c r="BN1443">
        <v>-0.27</v>
      </c>
      <c r="BO1443">
        <v>-0.38</v>
      </c>
      <c r="BP1443">
        <v>-1.19</v>
      </c>
      <c r="BQ1443">
        <v>-2.74</v>
      </c>
      <c r="BR1443">
        <v>-2.1</v>
      </c>
      <c r="BS1443">
        <v>-0.01</v>
      </c>
      <c r="BT1443">
        <v>-0.32</v>
      </c>
      <c r="BU1443">
        <v>-1.07</v>
      </c>
      <c r="BV1443">
        <v>-7.0000000000000007E-2</v>
      </c>
      <c r="BW1443">
        <v>-0.6</v>
      </c>
      <c r="BX1443">
        <v>-0.93</v>
      </c>
      <c r="BY1443">
        <v>-0.98</v>
      </c>
      <c r="BZ1443">
        <v>1.28</v>
      </c>
      <c r="CA1443">
        <v>-0.63</v>
      </c>
      <c r="CB1443">
        <v>-0.78</v>
      </c>
      <c r="CC1443">
        <v>-0.43</v>
      </c>
      <c r="CD1443">
        <v>-0.12</v>
      </c>
      <c r="CE1443">
        <v>-0.22</v>
      </c>
      <c r="CF1443">
        <v>-1.3</v>
      </c>
      <c r="CG1443">
        <v>0</v>
      </c>
      <c r="CH1443">
        <v>-1.9</v>
      </c>
      <c r="CI1443">
        <v>0</v>
      </c>
      <c r="CJ1443">
        <v>-3.3</v>
      </c>
      <c r="CK1443">
        <v>66</v>
      </c>
      <c r="CL1443">
        <v>-0.84</v>
      </c>
      <c r="CM1443">
        <v>63</v>
      </c>
      <c r="CN1443">
        <v>-0.36</v>
      </c>
      <c r="CO1443">
        <v>61</v>
      </c>
      <c r="CP1443">
        <v>-10.1</v>
      </c>
      <c r="CQ1443">
        <v>58</v>
      </c>
      <c r="CR1443">
        <v>0</v>
      </c>
      <c r="CS1443">
        <v>0</v>
      </c>
      <c r="CT1443">
        <v>-8.1</v>
      </c>
      <c r="CU1443">
        <v>56</v>
      </c>
      <c r="CV1443">
        <v>0.1</v>
      </c>
      <c r="CW1443">
        <v>39</v>
      </c>
      <c r="CX1443" t="s">
        <v>4059</v>
      </c>
    </row>
    <row r="1444" spans="1:102" x14ac:dyDescent="0.3">
      <c r="A1444" t="str">
        <f>HYPERLINK("https://webapp.icbf.com/v2/app/bull-search/view/586045480","OES")</f>
        <v>OES</v>
      </c>
      <c r="B1444" t="s">
        <v>5116</v>
      </c>
      <c r="C1444" t="s">
        <v>5117</v>
      </c>
      <c r="D1444" s="1">
        <v>38146</v>
      </c>
      <c r="E1444" t="s">
        <v>92</v>
      </c>
      <c r="F1444">
        <v>100</v>
      </c>
      <c r="G1444" t="s">
        <v>93</v>
      </c>
      <c r="H1444">
        <v>111.03</v>
      </c>
      <c r="I1444">
        <v>96</v>
      </c>
      <c r="J1444">
        <v>43.52</v>
      </c>
      <c r="K1444">
        <v>99</v>
      </c>
      <c r="L1444">
        <v>36.83</v>
      </c>
      <c r="M1444">
        <v>94</v>
      </c>
      <c r="N1444">
        <v>23.48</v>
      </c>
      <c r="O1444">
        <v>96</v>
      </c>
      <c r="P1444">
        <v>-8.76</v>
      </c>
      <c r="Q1444">
        <v>99</v>
      </c>
      <c r="R1444">
        <v>13.51</v>
      </c>
      <c r="S1444">
        <v>90</v>
      </c>
      <c r="T1444">
        <v>1.99</v>
      </c>
      <c r="U1444">
        <v>96</v>
      </c>
      <c r="V1444">
        <v>0.46</v>
      </c>
      <c r="W1444">
        <v>88</v>
      </c>
      <c r="X1444" t="s">
        <v>102</v>
      </c>
      <c r="Y1444" t="s">
        <v>235</v>
      </c>
      <c r="Z1444" t="s">
        <v>96</v>
      </c>
      <c r="AA1444" t="s">
        <v>316</v>
      </c>
      <c r="AB1444" t="s">
        <v>1711</v>
      </c>
      <c r="AC1444">
        <v>582</v>
      </c>
      <c r="AD1444">
        <v>201</v>
      </c>
      <c r="AE1444">
        <v>99</v>
      </c>
      <c r="AF1444">
        <v>392.22</v>
      </c>
      <c r="AG1444">
        <v>4.79</v>
      </c>
      <c r="AH1444">
        <v>11.71</v>
      </c>
      <c r="AI1444">
        <v>-0.17</v>
      </c>
      <c r="AJ1444">
        <v>-0.03</v>
      </c>
      <c r="AK1444">
        <v>94</v>
      </c>
      <c r="AL1444">
        <v>708</v>
      </c>
      <c r="AM1444">
        <v>259</v>
      </c>
      <c r="AN1444">
        <v>-1.76</v>
      </c>
      <c r="AO1444">
        <v>1.18</v>
      </c>
      <c r="AP1444">
        <v>1341</v>
      </c>
      <c r="AQ1444">
        <v>5</v>
      </c>
      <c r="AR1444">
        <v>7.59</v>
      </c>
      <c r="AS1444">
        <v>94</v>
      </c>
      <c r="AT1444">
        <v>2.74</v>
      </c>
      <c r="AU1444">
        <v>97</v>
      </c>
      <c r="AV1444">
        <v>-2.77</v>
      </c>
      <c r="AW1444">
        <v>99</v>
      </c>
      <c r="AX1444">
        <v>-0.26</v>
      </c>
      <c r="AY1444">
        <v>96</v>
      </c>
      <c r="AZ1444">
        <v>6.86</v>
      </c>
      <c r="BA1444">
        <v>90</v>
      </c>
      <c r="BB1444">
        <v>5.35</v>
      </c>
      <c r="BC1444">
        <v>90</v>
      </c>
      <c r="BD1444">
        <v>-0.04</v>
      </c>
      <c r="BE1444">
        <v>-0.06</v>
      </c>
      <c r="BF1444">
        <v>-0.13</v>
      </c>
      <c r="BG1444">
        <v>97</v>
      </c>
      <c r="BH1444">
        <v>-0.09</v>
      </c>
      <c r="BI1444">
        <v>-11.89</v>
      </c>
      <c r="BJ1444">
        <v>61</v>
      </c>
      <c r="BK1444">
        <v>23</v>
      </c>
      <c r="BL1444">
        <v>0.1</v>
      </c>
      <c r="BM1444">
        <v>1.77</v>
      </c>
      <c r="BN1444">
        <v>0.69</v>
      </c>
      <c r="BO1444">
        <v>-0.52</v>
      </c>
      <c r="BP1444">
        <v>1.18</v>
      </c>
      <c r="BQ1444">
        <v>1.46</v>
      </c>
      <c r="BR1444">
        <v>-3.52</v>
      </c>
      <c r="BS1444">
        <v>1.81</v>
      </c>
      <c r="BT1444">
        <v>2.35</v>
      </c>
      <c r="BU1444">
        <v>1</v>
      </c>
      <c r="BV1444">
        <v>0.2</v>
      </c>
      <c r="BW1444">
        <v>-0.38</v>
      </c>
      <c r="BX1444">
        <v>0.66</v>
      </c>
      <c r="BY1444">
        <v>0.21</v>
      </c>
      <c r="BZ1444">
        <v>1.1000000000000001</v>
      </c>
      <c r="CA1444">
        <v>1.05</v>
      </c>
      <c r="CB1444">
        <v>0.56000000000000005</v>
      </c>
      <c r="CC1444">
        <v>1.69</v>
      </c>
      <c r="CD1444">
        <v>1.67</v>
      </c>
      <c r="CE1444">
        <v>-0.3</v>
      </c>
      <c r="CF1444">
        <v>1.1000000000000001</v>
      </c>
      <c r="CG1444">
        <v>0</v>
      </c>
      <c r="CH1444">
        <v>0.16</v>
      </c>
      <c r="CI1444">
        <v>0</v>
      </c>
      <c r="CJ1444">
        <v>-3</v>
      </c>
      <c r="CK1444">
        <v>99</v>
      </c>
      <c r="CL1444">
        <v>-0.67</v>
      </c>
      <c r="CM1444">
        <v>99</v>
      </c>
      <c r="CN1444">
        <v>-0.17</v>
      </c>
      <c r="CO1444">
        <v>99</v>
      </c>
      <c r="CP1444">
        <v>2</v>
      </c>
      <c r="CQ1444">
        <v>96</v>
      </c>
      <c r="CR1444">
        <v>0</v>
      </c>
      <c r="CS1444">
        <v>0</v>
      </c>
      <c r="CT1444">
        <v>11.1</v>
      </c>
      <c r="CU1444">
        <v>96</v>
      </c>
      <c r="CV1444">
        <v>0.17</v>
      </c>
      <c r="CW1444">
        <v>49</v>
      </c>
      <c r="CX1444" t="s">
        <v>311</v>
      </c>
    </row>
    <row r="1445" spans="1:102" x14ac:dyDescent="0.3">
      <c r="A1445" t="str">
        <f>HYPERLINK("https://webapp.icbf.com/v2/app/bull-search/view/720494511","S1004")</f>
        <v>S1004</v>
      </c>
      <c r="B1445" t="s">
        <v>8255</v>
      </c>
      <c r="C1445" t="s">
        <v>8256</v>
      </c>
      <c r="D1445" s="1">
        <v>38537</v>
      </c>
      <c r="E1445" t="s">
        <v>227</v>
      </c>
      <c r="F1445">
        <v>0</v>
      </c>
      <c r="G1445" t="s">
        <v>93</v>
      </c>
      <c r="H1445">
        <v>110.82</v>
      </c>
      <c r="I1445">
        <v>81</v>
      </c>
      <c r="J1445">
        <v>31.23</v>
      </c>
      <c r="K1445">
        <v>94</v>
      </c>
      <c r="L1445">
        <v>74.900000000000006</v>
      </c>
      <c r="M1445">
        <v>82</v>
      </c>
      <c r="N1445">
        <v>-9.24</v>
      </c>
      <c r="O1445">
        <v>77</v>
      </c>
      <c r="P1445">
        <v>-68.319999999999993</v>
      </c>
      <c r="Q1445">
        <v>72</v>
      </c>
      <c r="R1445">
        <v>0.43</v>
      </c>
      <c r="S1445">
        <v>62</v>
      </c>
      <c r="T1445">
        <v>71.989999999999995</v>
      </c>
      <c r="U1445">
        <v>56</v>
      </c>
      <c r="V1445">
        <v>9.83</v>
      </c>
      <c r="W1445">
        <v>50</v>
      </c>
      <c r="X1445" t="s">
        <v>94</v>
      </c>
      <c r="Y1445" t="s">
        <v>303</v>
      </c>
      <c r="Z1445">
        <v>0</v>
      </c>
      <c r="AA1445" t="s">
        <v>4353</v>
      </c>
      <c r="AB1445" t="s">
        <v>8257</v>
      </c>
      <c r="AC1445">
        <v>68</v>
      </c>
      <c r="AD1445">
        <v>19</v>
      </c>
      <c r="AE1445">
        <v>94</v>
      </c>
      <c r="AF1445">
        <v>-507.56</v>
      </c>
      <c r="AG1445">
        <v>4.0199999999999996</v>
      </c>
      <c r="AH1445">
        <v>-3.88</v>
      </c>
      <c r="AI1445">
        <v>0.43</v>
      </c>
      <c r="AJ1445">
        <v>0.24</v>
      </c>
      <c r="AK1445">
        <v>82</v>
      </c>
      <c r="AL1445">
        <v>64</v>
      </c>
      <c r="AM1445">
        <v>24</v>
      </c>
      <c r="AN1445">
        <v>-2.76</v>
      </c>
      <c r="AO1445">
        <v>3.23</v>
      </c>
      <c r="AP1445">
        <v>101</v>
      </c>
      <c r="AQ1445">
        <v>0</v>
      </c>
      <c r="AR1445">
        <v>4.0999999999999996</v>
      </c>
      <c r="AS1445">
        <v>72</v>
      </c>
      <c r="AT1445">
        <v>1.67</v>
      </c>
      <c r="AU1445">
        <v>70</v>
      </c>
      <c r="AV1445">
        <v>0.97</v>
      </c>
      <c r="AW1445">
        <v>95</v>
      </c>
      <c r="AX1445">
        <v>6.97</v>
      </c>
      <c r="AY1445">
        <v>74</v>
      </c>
      <c r="AZ1445">
        <v>6.82</v>
      </c>
      <c r="BA1445">
        <v>53</v>
      </c>
      <c r="BB1445">
        <v>5.19</v>
      </c>
      <c r="BC1445">
        <v>48</v>
      </c>
      <c r="BD1445">
        <v>-0.03</v>
      </c>
      <c r="BE1445">
        <v>0</v>
      </c>
      <c r="BF1445">
        <v>0.04</v>
      </c>
      <c r="BG1445">
        <v>77</v>
      </c>
      <c r="BH1445">
        <v>0.2</v>
      </c>
      <c r="BI1445">
        <v>-8.59</v>
      </c>
      <c r="BJ1445">
        <v>8</v>
      </c>
      <c r="BK1445">
        <v>3</v>
      </c>
      <c r="BL1445">
        <v>-1.01</v>
      </c>
      <c r="BM1445">
        <v>-1.01</v>
      </c>
      <c r="BN1445">
        <v>0.12</v>
      </c>
      <c r="BO1445">
        <v>1.21</v>
      </c>
      <c r="BP1445">
        <v>-1.0900000000000001</v>
      </c>
      <c r="BQ1445">
        <v>-5.22</v>
      </c>
      <c r="BR1445">
        <v>1.89</v>
      </c>
      <c r="BS1445">
        <v>6.53</v>
      </c>
      <c r="BT1445">
        <v>-1.44</v>
      </c>
      <c r="BU1445">
        <v>1.69</v>
      </c>
      <c r="BV1445">
        <v>1.1299999999999999</v>
      </c>
      <c r="BW1445">
        <v>-0.99</v>
      </c>
      <c r="BX1445">
        <v>-1.89</v>
      </c>
      <c r="BY1445">
        <v>0.64</v>
      </c>
      <c r="BZ1445">
        <v>0.26</v>
      </c>
      <c r="CA1445">
        <v>2.56</v>
      </c>
      <c r="CB1445">
        <v>0.99</v>
      </c>
      <c r="CC1445">
        <v>4.5199999999999996</v>
      </c>
      <c r="CD1445">
        <v>-1.87</v>
      </c>
      <c r="CE1445">
        <v>1.45</v>
      </c>
      <c r="CF1445">
        <v>-1.32</v>
      </c>
      <c r="CG1445">
        <v>0</v>
      </c>
      <c r="CH1445">
        <v>-0.85</v>
      </c>
      <c r="CI1445">
        <v>0</v>
      </c>
      <c r="CJ1445">
        <v>-37.299999999999997</v>
      </c>
      <c r="CK1445">
        <v>75</v>
      </c>
      <c r="CL1445">
        <v>-1.37</v>
      </c>
      <c r="CM1445">
        <v>70</v>
      </c>
      <c r="CN1445">
        <v>-0.44</v>
      </c>
      <c r="CO1445">
        <v>67</v>
      </c>
      <c r="CP1445">
        <v>-52.4</v>
      </c>
      <c r="CQ1445">
        <v>68</v>
      </c>
      <c r="CR1445">
        <v>0</v>
      </c>
      <c r="CS1445">
        <v>0</v>
      </c>
      <c r="CT1445">
        <v>-83.5</v>
      </c>
      <c r="CU1445">
        <v>56</v>
      </c>
      <c r="CV1445">
        <v>-0.49</v>
      </c>
      <c r="CW1445">
        <v>20</v>
      </c>
      <c r="CX1445" t="s">
        <v>554</v>
      </c>
    </row>
    <row r="1446" spans="1:102" x14ac:dyDescent="0.3">
      <c r="A1446" t="str">
        <f>HYPERLINK("https://webapp.icbf.com/v2/app/bull-search/view/760391958","KPB")</f>
        <v>KPB</v>
      </c>
      <c r="B1446" t="s">
        <v>7853</v>
      </c>
      <c r="C1446" t="s">
        <v>7854</v>
      </c>
      <c r="D1446" s="1">
        <v>40028</v>
      </c>
      <c r="E1446" t="s">
        <v>92</v>
      </c>
      <c r="F1446">
        <v>69</v>
      </c>
      <c r="G1446" t="s">
        <v>109</v>
      </c>
      <c r="H1446">
        <v>110.81</v>
      </c>
      <c r="I1446">
        <v>76</v>
      </c>
      <c r="J1446">
        <v>53.95</v>
      </c>
      <c r="K1446">
        <v>92</v>
      </c>
      <c r="L1446">
        <v>2.39</v>
      </c>
      <c r="M1446">
        <v>81</v>
      </c>
      <c r="N1446">
        <v>34.880000000000003</v>
      </c>
      <c r="O1446">
        <v>59</v>
      </c>
      <c r="P1446">
        <v>-23.88</v>
      </c>
      <c r="Q1446">
        <v>46</v>
      </c>
      <c r="R1446">
        <v>5.09</v>
      </c>
      <c r="S1446">
        <v>74</v>
      </c>
      <c r="T1446">
        <v>27.15</v>
      </c>
      <c r="U1446">
        <v>45</v>
      </c>
      <c r="V1446">
        <v>11.23</v>
      </c>
      <c r="W1446">
        <v>61</v>
      </c>
      <c r="X1446" t="s">
        <v>276</v>
      </c>
      <c r="Y1446" t="s">
        <v>329</v>
      </c>
      <c r="Z1446" t="s">
        <v>330</v>
      </c>
      <c r="AA1446" t="s">
        <v>5286</v>
      </c>
      <c r="AB1446" t="s">
        <v>7855</v>
      </c>
      <c r="AC1446">
        <v>0</v>
      </c>
      <c r="AD1446">
        <v>0</v>
      </c>
      <c r="AE1446">
        <v>92</v>
      </c>
      <c r="AF1446">
        <v>250.71</v>
      </c>
      <c r="AG1446">
        <v>3.57</v>
      </c>
      <c r="AH1446">
        <v>11.75</v>
      </c>
      <c r="AI1446">
        <v>-0.1</v>
      </c>
      <c r="AJ1446">
        <v>0.05</v>
      </c>
      <c r="AK1446">
        <v>81</v>
      </c>
      <c r="AL1446">
        <v>0</v>
      </c>
      <c r="AM1446">
        <v>0</v>
      </c>
      <c r="AN1446">
        <v>0.59</v>
      </c>
      <c r="AO1446">
        <v>0.79</v>
      </c>
      <c r="AP1446">
        <v>4</v>
      </c>
      <c r="AQ1446">
        <v>0</v>
      </c>
      <c r="AR1446">
        <v>5.89</v>
      </c>
      <c r="AS1446">
        <v>54</v>
      </c>
      <c r="AT1446">
        <v>2.12</v>
      </c>
      <c r="AU1446">
        <v>80</v>
      </c>
      <c r="AV1446">
        <v>-2.34</v>
      </c>
      <c r="AW1446">
        <v>56</v>
      </c>
      <c r="AX1446">
        <v>-0.26</v>
      </c>
      <c r="AY1446">
        <v>46</v>
      </c>
      <c r="AZ1446">
        <v>5.7</v>
      </c>
      <c r="BA1446">
        <v>43</v>
      </c>
      <c r="BB1446">
        <v>4.42</v>
      </c>
      <c r="BC1446">
        <v>45</v>
      </c>
      <c r="BD1446">
        <v>-0.06</v>
      </c>
      <c r="BE1446">
        <v>-0.03</v>
      </c>
      <c r="BF1446">
        <v>0.04</v>
      </c>
      <c r="BG1446">
        <v>91</v>
      </c>
      <c r="BH1446">
        <v>0.18</v>
      </c>
      <c r="BI1446">
        <v>-15.4</v>
      </c>
      <c r="BJ1446">
        <v>0</v>
      </c>
      <c r="BK1446">
        <v>0</v>
      </c>
      <c r="BL1446">
        <v>-1.67</v>
      </c>
      <c r="BM1446">
        <v>-0.94</v>
      </c>
      <c r="BN1446">
        <v>-1.32</v>
      </c>
      <c r="BO1446">
        <v>-0.04</v>
      </c>
      <c r="BP1446">
        <v>-0.22</v>
      </c>
      <c r="BQ1446">
        <v>-1.41</v>
      </c>
      <c r="BR1446">
        <v>3.17</v>
      </c>
      <c r="BS1446">
        <v>-1.3</v>
      </c>
      <c r="BT1446">
        <v>-1.95</v>
      </c>
      <c r="BU1446">
        <v>-1.05</v>
      </c>
      <c r="BV1446">
        <v>-2.35</v>
      </c>
      <c r="BW1446">
        <v>-2.2599999999999998</v>
      </c>
      <c r="BX1446">
        <v>-0.55000000000000004</v>
      </c>
      <c r="BY1446">
        <v>-1.43</v>
      </c>
      <c r="BZ1446">
        <v>0.02</v>
      </c>
      <c r="CA1446">
        <v>-1.76</v>
      </c>
      <c r="CB1446">
        <v>-1.68</v>
      </c>
      <c r="CC1446">
        <v>-1.29</v>
      </c>
      <c r="CD1446">
        <v>-0.08</v>
      </c>
      <c r="CE1446">
        <v>-0.43</v>
      </c>
      <c r="CF1446">
        <v>-0.42</v>
      </c>
      <c r="CG1446">
        <v>0</v>
      </c>
      <c r="CH1446">
        <v>-1.84</v>
      </c>
      <c r="CI1446">
        <v>0</v>
      </c>
      <c r="CJ1446">
        <v>-13.8</v>
      </c>
      <c r="CK1446">
        <v>46</v>
      </c>
      <c r="CL1446">
        <v>-0.7</v>
      </c>
      <c r="CM1446">
        <v>45</v>
      </c>
      <c r="CN1446">
        <v>-0.44</v>
      </c>
      <c r="CO1446">
        <v>45</v>
      </c>
      <c r="CP1446">
        <v>-18.399999999999999</v>
      </c>
      <c r="CQ1446">
        <v>45</v>
      </c>
      <c r="CR1446">
        <v>0</v>
      </c>
      <c r="CS1446">
        <v>0</v>
      </c>
      <c r="CT1446">
        <v>-22.9</v>
      </c>
      <c r="CU1446">
        <v>45</v>
      </c>
      <c r="CV1446">
        <v>0</v>
      </c>
      <c r="CW1446">
        <v>35</v>
      </c>
      <c r="CX1446" t="s">
        <v>1451</v>
      </c>
    </row>
    <row r="1447" spans="1:102" x14ac:dyDescent="0.3">
      <c r="A1447" t="str">
        <f>HYPERLINK("https://webapp.icbf.com/v2/app/bull-search/view/1376535103","S3160")</f>
        <v>S3160</v>
      </c>
      <c r="B1447" t="s">
        <v>13898</v>
      </c>
      <c r="C1447" t="s">
        <v>13899</v>
      </c>
      <c r="D1447" s="1">
        <v>42074</v>
      </c>
      <c r="E1447" t="s">
        <v>92</v>
      </c>
      <c r="F1447">
        <v>100</v>
      </c>
      <c r="G1447" t="s">
        <v>109</v>
      </c>
      <c r="H1447">
        <v>110.74</v>
      </c>
      <c r="I1447">
        <v>71</v>
      </c>
      <c r="J1447">
        <v>70.11</v>
      </c>
      <c r="K1447">
        <v>91</v>
      </c>
      <c r="L1447">
        <v>-6.32</v>
      </c>
      <c r="M1447">
        <v>73</v>
      </c>
      <c r="N1447">
        <v>35.369999999999997</v>
      </c>
      <c r="O1447">
        <v>56</v>
      </c>
      <c r="P1447">
        <v>4.1500000000000004</v>
      </c>
      <c r="Q1447">
        <v>45</v>
      </c>
      <c r="R1447">
        <v>16.82</v>
      </c>
      <c r="S1447">
        <v>69</v>
      </c>
      <c r="T1447">
        <v>-13.18</v>
      </c>
      <c r="U1447">
        <v>37</v>
      </c>
      <c r="V1447">
        <v>3.79</v>
      </c>
      <c r="W1447">
        <v>55</v>
      </c>
      <c r="X1447" t="s">
        <v>110</v>
      </c>
      <c r="Y1447" t="s">
        <v>453</v>
      </c>
      <c r="Z1447" t="s">
        <v>96</v>
      </c>
      <c r="AA1447" t="s">
        <v>2272</v>
      </c>
      <c r="AB1447" t="s">
        <v>13900</v>
      </c>
      <c r="AC1447">
        <v>0</v>
      </c>
      <c r="AD1447">
        <v>0</v>
      </c>
      <c r="AE1447">
        <v>91</v>
      </c>
      <c r="AF1447">
        <v>686.79</v>
      </c>
      <c r="AG1447">
        <v>18.05</v>
      </c>
      <c r="AH1447">
        <v>16.05</v>
      </c>
      <c r="AI1447">
        <v>-0.14000000000000001</v>
      </c>
      <c r="AJ1447">
        <v>-0.11</v>
      </c>
      <c r="AK1447">
        <v>73</v>
      </c>
      <c r="AL1447">
        <v>0</v>
      </c>
      <c r="AM1447">
        <v>0</v>
      </c>
      <c r="AN1447">
        <v>0.63</v>
      </c>
      <c r="AO1447">
        <v>0.13</v>
      </c>
      <c r="AP1447">
        <v>10</v>
      </c>
      <c r="AQ1447">
        <v>0</v>
      </c>
      <c r="AR1447">
        <v>10.130000000000001</v>
      </c>
      <c r="AS1447">
        <v>56</v>
      </c>
      <c r="AT1447">
        <v>3.05</v>
      </c>
      <c r="AU1447">
        <v>90</v>
      </c>
      <c r="AV1447">
        <v>-5.08</v>
      </c>
      <c r="AW1447">
        <v>46</v>
      </c>
      <c r="AX1447">
        <v>0.95</v>
      </c>
      <c r="AY1447">
        <v>47</v>
      </c>
      <c r="AZ1447">
        <v>5.6</v>
      </c>
      <c r="BA1447">
        <v>39</v>
      </c>
      <c r="BB1447">
        <v>4.45</v>
      </c>
      <c r="BC1447">
        <v>35</v>
      </c>
      <c r="BD1447">
        <v>-0.04</v>
      </c>
      <c r="BE1447">
        <v>-0.1</v>
      </c>
      <c r="BF1447">
        <v>-0.13</v>
      </c>
      <c r="BG1447">
        <v>86</v>
      </c>
      <c r="BH1447">
        <v>-0.14000000000000001</v>
      </c>
      <c r="BI1447">
        <v>-28.43</v>
      </c>
      <c r="BJ1447">
        <v>0</v>
      </c>
      <c r="BK1447">
        <v>0</v>
      </c>
      <c r="BL1447">
        <v>2.21</v>
      </c>
      <c r="BM1447">
        <v>0.15</v>
      </c>
      <c r="BN1447">
        <v>-0.2</v>
      </c>
      <c r="BO1447">
        <v>0.73</v>
      </c>
      <c r="BP1447">
        <v>0.81</v>
      </c>
      <c r="BQ1447">
        <v>3.13</v>
      </c>
      <c r="BR1447">
        <v>-0.99</v>
      </c>
      <c r="BS1447">
        <v>3.14</v>
      </c>
      <c r="BT1447">
        <v>1.82</v>
      </c>
      <c r="BU1447">
        <v>3.75</v>
      </c>
      <c r="BV1447">
        <v>3.87</v>
      </c>
      <c r="BW1447">
        <v>1.62</v>
      </c>
      <c r="BX1447">
        <v>3.3</v>
      </c>
      <c r="BY1447">
        <v>2.2799999999999998</v>
      </c>
      <c r="BZ1447">
        <v>-1.95</v>
      </c>
      <c r="CA1447">
        <v>3.5</v>
      </c>
      <c r="CB1447">
        <v>3.31</v>
      </c>
      <c r="CC1447">
        <v>1.97</v>
      </c>
      <c r="CD1447">
        <v>-0.04</v>
      </c>
      <c r="CE1447">
        <v>0.81</v>
      </c>
      <c r="CF1447">
        <v>1.69</v>
      </c>
      <c r="CG1447">
        <v>0</v>
      </c>
      <c r="CH1447">
        <v>2.72</v>
      </c>
      <c r="CI1447">
        <v>0</v>
      </c>
      <c r="CJ1447">
        <v>5</v>
      </c>
      <c r="CK1447">
        <v>47</v>
      </c>
      <c r="CL1447">
        <v>-1.29</v>
      </c>
      <c r="CM1447">
        <v>43</v>
      </c>
      <c r="CN1447">
        <v>-0.72</v>
      </c>
      <c r="CO1447">
        <v>43</v>
      </c>
      <c r="CP1447">
        <v>14.2</v>
      </c>
      <c r="CQ1447">
        <v>39</v>
      </c>
      <c r="CR1447">
        <v>0</v>
      </c>
      <c r="CS1447">
        <v>0</v>
      </c>
      <c r="CT1447">
        <v>31.6</v>
      </c>
      <c r="CU1447">
        <v>37</v>
      </c>
      <c r="CV1447">
        <v>0.28000000000000003</v>
      </c>
      <c r="CW1447">
        <v>35</v>
      </c>
      <c r="CX1447" t="s">
        <v>412</v>
      </c>
    </row>
    <row r="1448" spans="1:102" x14ac:dyDescent="0.3">
      <c r="A1448" t="str">
        <f>HYPERLINK("https://webapp.icbf.com/v2/app/bull-search/view/1417506115","S3213")</f>
        <v>S3213</v>
      </c>
      <c r="B1448" t="s">
        <v>13968</v>
      </c>
      <c r="C1448" t="s">
        <v>13969</v>
      </c>
      <c r="D1448" s="1">
        <v>42135</v>
      </c>
      <c r="E1448" t="s">
        <v>92</v>
      </c>
      <c r="F1448">
        <v>100</v>
      </c>
      <c r="G1448" t="s">
        <v>109</v>
      </c>
      <c r="H1448">
        <v>110.72</v>
      </c>
      <c r="I1448">
        <v>72</v>
      </c>
      <c r="J1448">
        <v>69.650000000000006</v>
      </c>
      <c r="K1448">
        <v>91</v>
      </c>
      <c r="L1448">
        <v>-13.97</v>
      </c>
      <c r="M1448">
        <v>71</v>
      </c>
      <c r="N1448">
        <v>46.24</v>
      </c>
      <c r="O1448">
        <v>66</v>
      </c>
      <c r="P1448">
        <v>0.66</v>
      </c>
      <c r="Q1448">
        <v>43</v>
      </c>
      <c r="R1448">
        <v>14.24</v>
      </c>
      <c r="S1448">
        <v>68</v>
      </c>
      <c r="T1448">
        <v>-11.26</v>
      </c>
      <c r="U1448">
        <v>39</v>
      </c>
      <c r="V1448">
        <v>5.16</v>
      </c>
      <c r="W1448">
        <v>54</v>
      </c>
      <c r="X1448" t="s">
        <v>110</v>
      </c>
      <c r="Y1448" t="s">
        <v>453</v>
      </c>
      <c r="Z1448" t="s">
        <v>96</v>
      </c>
      <c r="AA1448" t="s">
        <v>2311</v>
      </c>
      <c r="AB1448" t="s">
        <v>13970</v>
      </c>
      <c r="AC1448">
        <v>0</v>
      </c>
      <c r="AD1448">
        <v>0</v>
      </c>
      <c r="AE1448">
        <v>91</v>
      </c>
      <c r="AF1448">
        <v>703.41</v>
      </c>
      <c r="AG1448">
        <v>16.09</v>
      </c>
      <c r="AH1448">
        <v>16.920000000000002</v>
      </c>
      <c r="AI1448">
        <v>-0.18</v>
      </c>
      <c r="AJ1448">
        <v>-0.1</v>
      </c>
      <c r="AK1448">
        <v>71</v>
      </c>
      <c r="AL1448">
        <v>0</v>
      </c>
      <c r="AM1448">
        <v>0</v>
      </c>
      <c r="AN1448">
        <v>1.84</v>
      </c>
      <c r="AO1448">
        <v>0.74</v>
      </c>
      <c r="AP1448">
        <v>1</v>
      </c>
      <c r="AQ1448">
        <v>0</v>
      </c>
      <c r="AR1448">
        <v>6.01</v>
      </c>
      <c r="AS1448">
        <v>54</v>
      </c>
      <c r="AT1448">
        <v>2.33</v>
      </c>
      <c r="AU1448">
        <v>90</v>
      </c>
      <c r="AV1448">
        <v>-4.13</v>
      </c>
      <c r="AW1448">
        <v>71</v>
      </c>
      <c r="AX1448">
        <v>-0.74</v>
      </c>
      <c r="AY1448">
        <v>48</v>
      </c>
      <c r="AZ1448">
        <v>5.79</v>
      </c>
      <c r="BA1448">
        <v>39</v>
      </c>
      <c r="BB1448">
        <v>4.9000000000000004</v>
      </c>
      <c r="BC1448">
        <v>35</v>
      </c>
      <c r="BD1448">
        <v>-0.02</v>
      </c>
      <c r="BE1448">
        <v>-0.06</v>
      </c>
      <c r="BF1448">
        <v>-0.18</v>
      </c>
      <c r="BG1448">
        <v>85</v>
      </c>
      <c r="BH1448">
        <v>0.14000000000000001</v>
      </c>
      <c r="BI1448">
        <v>-0.46</v>
      </c>
      <c r="BJ1448">
        <v>0</v>
      </c>
      <c r="BK1448">
        <v>0</v>
      </c>
      <c r="BL1448">
        <v>1.91</v>
      </c>
      <c r="BM1448">
        <v>-0.42</v>
      </c>
      <c r="BN1448">
        <v>0.28999999999999998</v>
      </c>
      <c r="BO1448">
        <v>1.42</v>
      </c>
      <c r="BP1448">
        <v>0.63</v>
      </c>
      <c r="BQ1448">
        <v>1.8</v>
      </c>
      <c r="BR1448">
        <v>0.15</v>
      </c>
      <c r="BS1448">
        <v>2.12</v>
      </c>
      <c r="BT1448">
        <v>0.87</v>
      </c>
      <c r="BU1448">
        <v>2.5</v>
      </c>
      <c r="BV1448">
        <v>3.8</v>
      </c>
      <c r="BW1448">
        <v>1.71</v>
      </c>
      <c r="BX1448">
        <v>2.29</v>
      </c>
      <c r="BY1448">
        <v>0.93</v>
      </c>
      <c r="BZ1448">
        <v>-0.74</v>
      </c>
      <c r="CA1448">
        <v>2.64</v>
      </c>
      <c r="CB1448">
        <v>2.2999999999999998</v>
      </c>
      <c r="CC1448">
        <v>1.65</v>
      </c>
      <c r="CD1448">
        <v>-1.03</v>
      </c>
      <c r="CE1448">
        <v>1.01</v>
      </c>
      <c r="CF1448">
        <v>1.1000000000000001</v>
      </c>
      <c r="CG1448">
        <v>0</v>
      </c>
      <c r="CH1448">
        <v>1.19</v>
      </c>
      <c r="CI1448">
        <v>0</v>
      </c>
      <c r="CJ1448">
        <v>2.4</v>
      </c>
      <c r="CK1448">
        <v>43</v>
      </c>
      <c r="CL1448">
        <v>-1.5</v>
      </c>
      <c r="CM1448">
        <v>43</v>
      </c>
      <c r="CN1448">
        <v>-0.96</v>
      </c>
      <c r="CO1448">
        <v>43</v>
      </c>
      <c r="CP1448">
        <v>10.6</v>
      </c>
      <c r="CQ1448">
        <v>40</v>
      </c>
      <c r="CR1448">
        <v>0</v>
      </c>
      <c r="CS1448">
        <v>0</v>
      </c>
      <c r="CT1448">
        <v>29</v>
      </c>
      <c r="CU1448">
        <v>39</v>
      </c>
      <c r="CV1448">
        <v>0.21</v>
      </c>
      <c r="CW1448">
        <v>34</v>
      </c>
      <c r="CX1448" t="s">
        <v>465</v>
      </c>
    </row>
    <row r="1449" spans="1:102" x14ac:dyDescent="0.3">
      <c r="A1449" t="str">
        <f>HYPERLINK("https://webapp.icbf.com/v2/app/bull-search/view/1028754135","S2243")</f>
        <v>S2243</v>
      </c>
      <c r="B1449" t="s">
        <v>5875</v>
      </c>
      <c r="C1449" t="s">
        <v>5876</v>
      </c>
      <c r="D1449" s="1">
        <v>40613</v>
      </c>
      <c r="E1449" t="s">
        <v>92</v>
      </c>
      <c r="F1449">
        <v>100</v>
      </c>
      <c r="G1449" t="s">
        <v>116</v>
      </c>
      <c r="H1449">
        <v>110.48</v>
      </c>
      <c r="I1449">
        <v>32</v>
      </c>
      <c r="J1449">
        <v>66.03</v>
      </c>
      <c r="K1449">
        <v>33</v>
      </c>
      <c r="L1449">
        <v>-10.119999999999999</v>
      </c>
      <c r="M1449">
        <v>24</v>
      </c>
      <c r="N1449">
        <v>38.61</v>
      </c>
      <c r="O1449">
        <v>48</v>
      </c>
      <c r="P1449">
        <v>0.53</v>
      </c>
      <c r="Q1449">
        <v>49</v>
      </c>
      <c r="R1449">
        <v>14.71</v>
      </c>
      <c r="S1449">
        <v>29</v>
      </c>
      <c r="T1449">
        <v>-1.71</v>
      </c>
      <c r="U1449">
        <v>30</v>
      </c>
      <c r="V1449">
        <v>2.4300000000000002</v>
      </c>
      <c r="W1449">
        <v>26</v>
      </c>
      <c r="X1449" t="s">
        <v>234</v>
      </c>
      <c r="Y1449" t="s">
        <v>367</v>
      </c>
      <c r="Z1449" t="s">
        <v>96</v>
      </c>
      <c r="AA1449" t="s">
        <v>2187</v>
      </c>
      <c r="AB1449" t="s">
        <v>5877</v>
      </c>
      <c r="AC1449">
        <v>0</v>
      </c>
      <c r="AD1449">
        <v>0</v>
      </c>
      <c r="AE1449">
        <v>33</v>
      </c>
      <c r="AF1449">
        <v>449.49</v>
      </c>
      <c r="AG1449">
        <v>11.7</v>
      </c>
      <c r="AH1449">
        <v>13.97</v>
      </c>
      <c r="AI1449">
        <v>-0.1</v>
      </c>
      <c r="AJ1449">
        <v>-0.03</v>
      </c>
      <c r="AK1449">
        <v>24</v>
      </c>
      <c r="AL1449">
        <v>1</v>
      </c>
      <c r="AM1449">
        <v>1</v>
      </c>
      <c r="AN1449">
        <v>1.85</v>
      </c>
      <c r="AO1449">
        <v>1.06</v>
      </c>
      <c r="AP1449">
        <v>10</v>
      </c>
      <c r="AQ1449">
        <v>0</v>
      </c>
      <c r="AR1449">
        <v>4.6399999999999997</v>
      </c>
      <c r="AS1449">
        <v>28</v>
      </c>
      <c r="AT1449">
        <v>1.93</v>
      </c>
      <c r="AU1449">
        <v>64</v>
      </c>
      <c r="AV1449">
        <v>-2.71</v>
      </c>
      <c r="AW1449">
        <v>55</v>
      </c>
      <c r="AX1449">
        <v>0.02</v>
      </c>
      <c r="AY1449">
        <v>33</v>
      </c>
      <c r="AZ1449">
        <v>5.99</v>
      </c>
      <c r="BA1449">
        <v>26</v>
      </c>
      <c r="BB1449">
        <v>4.8</v>
      </c>
      <c r="BC1449">
        <v>22</v>
      </c>
      <c r="BD1449">
        <v>-0.05</v>
      </c>
      <c r="BE1449">
        <v>-0.05</v>
      </c>
      <c r="BF1449">
        <v>-0.16</v>
      </c>
      <c r="BG1449">
        <v>32</v>
      </c>
      <c r="BH1449">
        <v>0.08</v>
      </c>
      <c r="BI1449">
        <v>1.43</v>
      </c>
      <c r="BJ1449">
        <v>0</v>
      </c>
      <c r="BK1449">
        <v>0</v>
      </c>
      <c r="BL1449">
        <v>1.1100000000000001</v>
      </c>
      <c r="BM1449">
        <v>-0.31</v>
      </c>
      <c r="BN1449">
        <v>0.11</v>
      </c>
      <c r="BO1449">
        <v>0.66</v>
      </c>
      <c r="BP1449">
        <v>0.48</v>
      </c>
      <c r="BQ1449">
        <v>0.28999999999999998</v>
      </c>
      <c r="BR1449">
        <v>0.09</v>
      </c>
      <c r="BS1449">
        <v>1.27</v>
      </c>
      <c r="BT1449">
        <v>0.11</v>
      </c>
      <c r="BU1449">
        <v>1.4</v>
      </c>
      <c r="BV1449">
        <v>1.59</v>
      </c>
      <c r="BW1449">
        <v>0.78</v>
      </c>
      <c r="BX1449">
        <v>1.04</v>
      </c>
      <c r="BY1449">
        <v>1.18</v>
      </c>
      <c r="BZ1449">
        <v>0.4</v>
      </c>
      <c r="CA1449">
        <v>1.43</v>
      </c>
      <c r="CB1449">
        <v>1.3</v>
      </c>
      <c r="CC1449">
        <v>1.1499999999999999</v>
      </c>
      <c r="CD1449">
        <v>-0.11</v>
      </c>
      <c r="CE1449">
        <v>0.99</v>
      </c>
      <c r="CF1449">
        <v>0.96</v>
      </c>
      <c r="CG1449">
        <v>0</v>
      </c>
      <c r="CH1449">
        <v>0.86</v>
      </c>
      <c r="CI1449">
        <v>0</v>
      </c>
      <c r="CJ1449">
        <v>5.7</v>
      </c>
      <c r="CK1449">
        <v>52</v>
      </c>
      <c r="CL1449">
        <v>-1.33</v>
      </c>
      <c r="CM1449">
        <v>48</v>
      </c>
      <c r="CN1449">
        <v>-0.53</v>
      </c>
      <c r="CO1449">
        <v>47</v>
      </c>
      <c r="CP1449">
        <v>1.2</v>
      </c>
      <c r="CQ1449">
        <v>34</v>
      </c>
      <c r="CR1449">
        <v>0</v>
      </c>
      <c r="CS1449">
        <v>0</v>
      </c>
      <c r="CT1449">
        <v>16.100000000000001</v>
      </c>
      <c r="CU1449">
        <v>30</v>
      </c>
      <c r="CV1449">
        <v>0.54</v>
      </c>
      <c r="CW1449">
        <v>14</v>
      </c>
      <c r="CX1449" t="s">
        <v>309</v>
      </c>
    </row>
    <row r="1450" spans="1:102" x14ac:dyDescent="0.3">
      <c r="A1450" t="str">
        <f>HYPERLINK("https://webapp.icbf.com/v2/app/bull-search/view/1100684939","S3091")</f>
        <v>S3091</v>
      </c>
      <c r="B1450" t="s">
        <v>3116</v>
      </c>
      <c r="C1450" t="s">
        <v>3117</v>
      </c>
      <c r="D1450" s="1">
        <v>40542</v>
      </c>
      <c r="E1450" t="s">
        <v>92</v>
      </c>
      <c r="F1450">
        <v>100</v>
      </c>
      <c r="G1450" t="s">
        <v>109</v>
      </c>
      <c r="H1450">
        <v>110.29</v>
      </c>
      <c r="I1450">
        <v>77</v>
      </c>
      <c r="J1450">
        <v>37.72</v>
      </c>
      <c r="K1450">
        <v>93</v>
      </c>
      <c r="L1450">
        <v>14.7</v>
      </c>
      <c r="M1450">
        <v>84</v>
      </c>
      <c r="N1450">
        <v>36.53</v>
      </c>
      <c r="O1450">
        <v>57</v>
      </c>
      <c r="P1450">
        <v>-0.33</v>
      </c>
      <c r="Q1450">
        <v>47</v>
      </c>
      <c r="R1450">
        <v>22.12</v>
      </c>
      <c r="S1450">
        <v>75</v>
      </c>
      <c r="T1450">
        <v>-4.01</v>
      </c>
      <c r="U1450">
        <v>43</v>
      </c>
      <c r="V1450">
        <v>3.56</v>
      </c>
      <c r="W1450">
        <v>62</v>
      </c>
      <c r="X1450" t="s">
        <v>110</v>
      </c>
      <c r="Y1450" t="s">
        <v>457</v>
      </c>
      <c r="Z1450" t="s">
        <v>96</v>
      </c>
      <c r="AA1450" t="s">
        <v>1895</v>
      </c>
      <c r="AB1450" t="s">
        <v>3118</v>
      </c>
      <c r="AC1450">
        <v>0</v>
      </c>
      <c r="AD1450">
        <v>0</v>
      </c>
      <c r="AE1450">
        <v>93</v>
      </c>
      <c r="AF1450">
        <v>232.5</v>
      </c>
      <c r="AG1450">
        <v>7.16</v>
      </c>
      <c r="AH1450">
        <v>7.44</v>
      </c>
      <c r="AI1450">
        <v>-0.03</v>
      </c>
      <c r="AJ1450">
        <v>-0.01</v>
      </c>
      <c r="AK1450">
        <v>84</v>
      </c>
      <c r="AL1450">
        <v>0</v>
      </c>
      <c r="AM1450">
        <v>0</v>
      </c>
      <c r="AN1450">
        <v>-0.18</v>
      </c>
      <c r="AO1450">
        <v>1</v>
      </c>
      <c r="AP1450">
        <v>2</v>
      </c>
      <c r="AQ1450">
        <v>0</v>
      </c>
      <c r="AR1450">
        <v>5.96</v>
      </c>
      <c r="AS1450">
        <v>55</v>
      </c>
      <c r="AT1450">
        <v>2.56</v>
      </c>
      <c r="AU1450">
        <v>91</v>
      </c>
      <c r="AV1450">
        <v>-3.69</v>
      </c>
      <c r="AW1450">
        <v>45</v>
      </c>
      <c r="AX1450">
        <v>0.06</v>
      </c>
      <c r="AY1450">
        <v>44</v>
      </c>
      <c r="AZ1450">
        <v>6.77</v>
      </c>
      <c r="BA1450">
        <v>43</v>
      </c>
      <c r="BB1450">
        <v>5.13</v>
      </c>
      <c r="BC1450">
        <v>44</v>
      </c>
      <c r="BD1450">
        <v>-7.0000000000000007E-2</v>
      </c>
      <c r="BE1450">
        <v>-0.08</v>
      </c>
      <c r="BF1450">
        <v>-0.24</v>
      </c>
      <c r="BG1450">
        <v>91</v>
      </c>
      <c r="BH1450">
        <v>0</v>
      </c>
      <c r="BI1450">
        <v>-11.47</v>
      </c>
      <c r="BJ1450">
        <v>0</v>
      </c>
      <c r="BK1450">
        <v>0</v>
      </c>
      <c r="BL1450">
        <v>1.18</v>
      </c>
      <c r="BM1450">
        <v>-0.37</v>
      </c>
      <c r="BN1450">
        <v>-0.14000000000000001</v>
      </c>
      <c r="BO1450">
        <v>0.49</v>
      </c>
      <c r="BP1450">
        <v>2.58</v>
      </c>
      <c r="BQ1450">
        <v>0.95</v>
      </c>
      <c r="BR1450">
        <v>-1.4</v>
      </c>
      <c r="BS1450">
        <v>0.69</v>
      </c>
      <c r="BT1450">
        <v>1.85</v>
      </c>
      <c r="BU1450">
        <v>2.83</v>
      </c>
      <c r="BV1450">
        <v>2.92</v>
      </c>
      <c r="BW1450">
        <v>1.77</v>
      </c>
      <c r="BX1450">
        <v>3.2</v>
      </c>
      <c r="BY1450">
        <v>1.0900000000000001</v>
      </c>
      <c r="BZ1450">
        <v>-0.86</v>
      </c>
      <c r="CA1450">
        <v>2.29</v>
      </c>
      <c r="CB1450">
        <v>2.19</v>
      </c>
      <c r="CC1450">
        <v>1.28</v>
      </c>
      <c r="CD1450">
        <v>0.02</v>
      </c>
      <c r="CE1450">
        <v>0.68</v>
      </c>
      <c r="CF1450">
        <v>1.33</v>
      </c>
      <c r="CG1450">
        <v>0</v>
      </c>
      <c r="CH1450">
        <v>0.92</v>
      </c>
      <c r="CI1450">
        <v>0</v>
      </c>
      <c r="CJ1450">
        <v>0.6</v>
      </c>
      <c r="CK1450">
        <v>48</v>
      </c>
      <c r="CL1450">
        <v>-0.97</v>
      </c>
      <c r="CM1450">
        <v>47</v>
      </c>
      <c r="CN1450">
        <v>-0.65</v>
      </c>
      <c r="CO1450">
        <v>46</v>
      </c>
      <c r="CP1450">
        <v>8.3000000000000007</v>
      </c>
      <c r="CQ1450">
        <v>44</v>
      </c>
      <c r="CR1450">
        <v>0</v>
      </c>
      <c r="CS1450">
        <v>0</v>
      </c>
      <c r="CT1450">
        <v>19.2</v>
      </c>
      <c r="CU1450">
        <v>43</v>
      </c>
      <c r="CV1450">
        <v>0.19</v>
      </c>
      <c r="CW1450">
        <v>35</v>
      </c>
      <c r="CX1450" t="s">
        <v>316</v>
      </c>
    </row>
    <row r="1451" spans="1:102" x14ac:dyDescent="0.3">
      <c r="A1451" t="str">
        <f>HYPERLINK("https://webapp.icbf.com/v2/app/bull-search/view/910800041","S2189")</f>
        <v>S2189</v>
      </c>
      <c r="B1451" t="s">
        <v>15473</v>
      </c>
      <c r="C1451" t="s">
        <v>15474</v>
      </c>
      <c r="D1451" s="1">
        <v>39876</v>
      </c>
      <c r="E1451" t="s">
        <v>92</v>
      </c>
      <c r="F1451">
        <v>100</v>
      </c>
      <c r="G1451" t="s">
        <v>93</v>
      </c>
      <c r="H1451">
        <v>110.24</v>
      </c>
      <c r="I1451">
        <v>89</v>
      </c>
      <c r="J1451">
        <v>67.430000000000007</v>
      </c>
      <c r="K1451">
        <v>98</v>
      </c>
      <c r="L1451">
        <v>39.89</v>
      </c>
      <c r="M1451">
        <v>87</v>
      </c>
      <c r="N1451">
        <v>0.52</v>
      </c>
      <c r="O1451">
        <v>89</v>
      </c>
      <c r="P1451">
        <v>-6.13</v>
      </c>
      <c r="Q1451">
        <v>93</v>
      </c>
      <c r="R1451">
        <v>6.68</v>
      </c>
      <c r="S1451">
        <v>78</v>
      </c>
      <c r="T1451">
        <v>-3.05</v>
      </c>
      <c r="U1451">
        <v>76</v>
      </c>
      <c r="V1451">
        <v>4.9000000000000004</v>
      </c>
      <c r="W1451">
        <v>72</v>
      </c>
      <c r="X1451" t="s">
        <v>102</v>
      </c>
      <c r="Y1451" t="s">
        <v>367</v>
      </c>
      <c r="Z1451" t="s">
        <v>96</v>
      </c>
      <c r="AA1451" t="s">
        <v>12319</v>
      </c>
      <c r="AB1451" t="s">
        <v>15475</v>
      </c>
      <c r="AC1451">
        <v>251</v>
      </c>
      <c r="AD1451">
        <v>71</v>
      </c>
      <c r="AE1451">
        <v>98</v>
      </c>
      <c r="AF1451">
        <v>326.52999999999997</v>
      </c>
      <c r="AG1451">
        <v>16.41</v>
      </c>
      <c r="AH1451">
        <v>10.66</v>
      </c>
      <c r="AI1451">
        <v>0.06</v>
      </c>
      <c r="AJ1451">
        <v>-0.01</v>
      </c>
      <c r="AK1451">
        <v>87</v>
      </c>
      <c r="AL1451">
        <v>136</v>
      </c>
      <c r="AM1451">
        <v>53</v>
      </c>
      <c r="AN1451">
        <v>-1.52</v>
      </c>
      <c r="AO1451">
        <v>1.67</v>
      </c>
      <c r="AP1451">
        <v>593</v>
      </c>
      <c r="AQ1451">
        <v>4</v>
      </c>
      <c r="AR1451">
        <v>8.27</v>
      </c>
      <c r="AS1451">
        <v>86</v>
      </c>
      <c r="AT1451">
        <v>3.55</v>
      </c>
      <c r="AU1451">
        <v>94</v>
      </c>
      <c r="AV1451">
        <v>-0.64</v>
      </c>
      <c r="AW1451">
        <v>98</v>
      </c>
      <c r="AX1451">
        <v>-0.7</v>
      </c>
      <c r="AY1451">
        <v>91</v>
      </c>
      <c r="AZ1451">
        <v>7.32</v>
      </c>
      <c r="BA1451">
        <v>74</v>
      </c>
      <c r="BB1451">
        <v>4.8499999999999996</v>
      </c>
      <c r="BC1451">
        <v>54</v>
      </c>
      <c r="BD1451">
        <v>-0.01</v>
      </c>
      <c r="BE1451">
        <v>-0.03</v>
      </c>
      <c r="BF1451">
        <v>-0.08</v>
      </c>
      <c r="BG1451">
        <v>93</v>
      </c>
      <c r="BH1451">
        <v>0.15</v>
      </c>
      <c r="BI1451">
        <v>1.55</v>
      </c>
      <c r="BJ1451">
        <v>12</v>
      </c>
      <c r="BK1451">
        <v>8</v>
      </c>
      <c r="BL1451">
        <v>0.97</v>
      </c>
      <c r="BM1451">
        <v>1.18</v>
      </c>
      <c r="BN1451">
        <v>1.83</v>
      </c>
      <c r="BO1451">
        <v>0.37</v>
      </c>
      <c r="BP1451">
        <v>-0.26</v>
      </c>
      <c r="BQ1451">
        <v>0.91</v>
      </c>
      <c r="BR1451">
        <v>-0.15</v>
      </c>
      <c r="BS1451">
        <v>1.55</v>
      </c>
      <c r="BT1451">
        <v>0.77</v>
      </c>
      <c r="BU1451">
        <v>1.1499999999999999</v>
      </c>
      <c r="BV1451">
        <v>0.08</v>
      </c>
      <c r="BW1451">
        <v>1.64</v>
      </c>
      <c r="BX1451">
        <v>1.1200000000000001</v>
      </c>
      <c r="BY1451">
        <v>2.0099999999999998</v>
      </c>
      <c r="BZ1451">
        <v>1.23</v>
      </c>
      <c r="CA1451">
        <v>1.2</v>
      </c>
      <c r="CB1451">
        <v>1.18</v>
      </c>
      <c r="CC1451">
        <v>1.5</v>
      </c>
      <c r="CD1451">
        <v>0.72</v>
      </c>
      <c r="CE1451">
        <v>0.7</v>
      </c>
      <c r="CF1451">
        <v>1.41</v>
      </c>
      <c r="CG1451">
        <v>0</v>
      </c>
      <c r="CH1451">
        <v>2.2000000000000002</v>
      </c>
      <c r="CI1451">
        <v>0</v>
      </c>
      <c r="CJ1451">
        <v>-2.6</v>
      </c>
      <c r="CK1451">
        <v>95</v>
      </c>
      <c r="CL1451">
        <v>-1.06</v>
      </c>
      <c r="CM1451">
        <v>93</v>
      </c>
      <c r="CN1451">
        <v>-0.64</v>
      </c>
      <c r="CO1451">
        <v>92</v>
      </c>
      <c r="CP1451">
        <v>6</v>
      </c>
      <c r="CQ1451">
        <v>78</v>
      </c>
      <c r="CR1451">
        <v>0</v>
      </c>
      <c r="CS1451">
        <v>0</v>
      </c>
      <c r="CT1451">
        <v>17.899999999999999</v>
      </c>
      <c r="CU1451">
        <v>76</v>
      </c>
      <c r="CV1451">
        <v>0.19</v>
      </c>
      <c r="CW1451">
        <v>45</v>
      </c>
      <c r="CX1451" t="s">
        <v>350</v>
      </c>
    </row>
    <row r="1452" spans="1:102" x14ac:dyDescent="0.3">
      <c r="A1452" t="str">
        <f>HYPERLINK("https://webapp.icbf.com/v2/app/bull-search/view/555048926","HKZ")</f>
        <v>HKZ</v>
      </c>
      <c r="B1452" t="s">
        <v>5262</v>
      </c>
      <c r="C1452" t="s">
        <v>5263</v>
      </c>
      <c r="D1452" s="1">
        <v>39480</v>
      </c>
      <c r="E1452" t="s">
        <v>227</v>
      </c>
      <c r="F1452">
        <v>0</v>
      </c>
      <c r="G1452" t="s">
        <v>93</v>
      </c>
      <c r="H1452">
        <v>110.07</v>
      </c>
      <c r="I1452">
        <v>79</v>
      </c>
      <c r="J1452">
        <v>34.31</v>
      </c>
      <c r="K1452">
        <v>94</v>
      </c>
      <c r="L1452">
        <v>26.09</v>
      </c>
      <c r="M1452">
        <v>63</v>
      </c>
      <c r="N1452">
        <v>40.5</v>
      </c>
      <c r="O1452">
        <v>79</v>
      </c>
      <c r="P1452">
        <v>-52.4</v>
      </c>
      <c r="Q1452">
        <v>86</v>
      </c>
      <c r="R1452">
        <v>-8.9600000000000009</v>
      </c>
      <c r="S1452">
        <v>67</v>
      </c>
      <c r="T1452">
        <v>60.67</v>
      </c>
      <c r="U1452">
        <v>85</v>
      </c>
      <c r="V1452">
        <v>9.86</v>
      </c>
      <c r="W1452">
        <v>71</v>
      </c>
      <c r="X1452" t="s">
        <v>94</v>
      </c>
      <c r="Y1452" t="s">
        <v>241</v>
      </c>
      <c r="Z1452">
        <v>0</v>
      </c>
      <c r="AA1452" t="s">
        <v>1781</v>
      </c>
      <c r="AB1452" t="s">
        <v>5264</v>
      </c>
      <c r="AC1452">
        <v>69</v>
      </c>
      <c r="AD1452">
        <v>54</v>
      </c>
      <c r="AE1452">
        <v>94</v>
      </c>
      <c r="AF1452">
        <v>-300.86</v>
      </c>
      <c r="AG1452">
        <v>12.44</v>
      </c>
      <c r="AH1452">
        <v>-3.17</v>
      </c>
      <c r="AI1452">
        <v>0.42</v>
      </c>
      <c r="AJ1452">
        <v>0.12</v>
      </c>
      <c r="AK1452">
        <v>63</v>
      </c>
      <c r="AL1452">
        <v>66</v>
      </c>
      <c r="AM1452">
        <v>50</v>
      </c>
      <c r="AN1452">
        <v>0.1</v>
      </c>
      <c r="AO1452">
        <v>2.2000000000000002</v>
      </c>
      <c r="AP1452">
        <v>112</v>
      </c>
      <c r="AQ1452">
        <v>1</v>
      </c>
      <c r="AR1452">
        <v>2.65</v>
      </c>
      <c r="AS1452">
        <v>65</v>
      </c>
      <c r="AT1452">
        <v>1.36</v>
      </c>
      <c r="AU1452">
        <v>76</v>
      </c>
      <c r="AV1452">
        <v>-2.87</v>
      </c>
      <c r="AW1452">
        <v>95</v>
      </c>
      <c r="AX1452">
        <v>1.38</v>
      </c>
      <c r="AY1452">
        <v>73</v>
      </c>
      <c r="AZ1452">
        <v>6.38</v>
      </c>
      <c r="BA1452">
        <v>55</v>
      </c>
      <c r="BB1452">
        <v>5.09</v>
      </c>
      <c r="BC1452">
        <v>56</v>
      </c>
      <c r="BD1452">
        <v>0</v>
      </c>
      <c r="BE1452">
        <v>0.04</v>
      </c>
      <c r="BF1452">
        <v>0.13</v>
      </c>
      <c r="BG1452">
        <v>79</v>
      </c>
      <c r="BH1452">
        <v>0.16</v>
      </c>
      <c r="BI1452">
        <v>-13.31</v>
      </c>
      <c r="BJ1452">
        <v>18</v>
      </c>
      <c r="BK1452">
        <v>11</v>
      </c>
      <c r="BL1452">
        <v>-2.4700000000000002</v>
      </c>
      <c r="BM1452">
        <v>-2.54</v>
      </c>
      <c r="BN1452">
        <v>-0.94</v>
      </c>
      <c r="BO1452">
        <v>1.05</v>
      </c>
      <c r="BP1452">
        <v>-1.61</v>
      </c>
      <c r="BQ1452">
        <v>-5.63</v>
      </c>
      <c r="BR1452">
        <v>3.13</v>
      </c>
      <c r="BS1452">
        <v>6.13</v>
      </c>
      <c r="BT1452">
        <v>-1.31</v>
      </c>
      <c r="BU1452">
        <v>-1.69</v>
      </c>
      <c r="BV1452">
        <v>-0.53</v>
      </c>
      <c r="BW1452">
        <v>-0.96</v>
      </c>
      <c r="BX1452">
        <v>-4.1500000000000004</v>
      </c>
      <c r="BY1452">
        <v>-0.08</v>
      </c>
      <c r="BZ1452">
        <v>-3.18</v>
      </c>
      <c r="CA1452">
        <v>1.23</v>
      </c>
      <c r="CB1452">
        <v>-0.66</v>
      </c>
      <c r="CC1452">
        <v>4.5</v>
      </c>
      <c r="CD1452">
        <v>-1.93</v>
      </c>
      <c r="CE1452">
        <v>0.89</v>
      </c>
      <c r="CF1452">
        <v>-3.11</v>
      </c>
      <c r="CG1452">
        <v>0</v>
      </c>
      <c r="CH1452">
        <v>0.49</v>
      </c>
      <c r="CI1452">
        <v>0</v>
      </c>
      <c r="CJ1452">
        <v>-27</v>
      </c>
      <c r="CK1452">
        <v>88</v>
      </c>
      <c r="CL1452">
        <v>-0.98</v>
      </c>
      <c r="CM1452">
        <v>85</v>
      </c>
      <c r="CN1452">
        <v>-0.22</v>
      </c>
      <c r="CO1452">
        <v>82</v>
      </c>
      <c r="CP1452">
        <v>-50.7</v>
      </c>
      <c r="CQ1452">
        <v>84</v>
      </c>
      <c r="CR1452">
        <v>0</v>
      </c>
      <c r="CS1452">
        <v>0</v>
      </c>
      <c r="CT1452">
        <v>-68.2</v>
      </c>
      <c r="CU1452">
        <v>85</v>
      </c>
      <c r="CV1452">
        <v>-0.28999999999999998</v>
      </c>
      <c r="CW1452">
        <v>25</v>
      </c>
      <c r="CX1452" t="s">
        <v>321</v>
      </c>
    </row>
    <row r="1453" spans="1:102" x14ac:dyDescent="0.3">
      <c r="A1453" t="str">
        <f>HYPERLINK("https://webapp.icbf.com/v2/app/bull-search/view/1097416900","S3089")</f>
        <v>S3089</v>
      </c>
      <c r="B1453" t="s">
        <v>6143</v>
      </c>
      <c r="C1453" t="s">
        <v>6144</v>
      </c>
      <c r="D1453" s="1">
        <v>40635</v>
      </c>
      <c r="E1453" t="s">
        <v>92</v>
      </c>
      <c r="F1453">
        <v>100</v>
      </c>
      <c r="G1453" t="s">
        <v>109</v>
      </c>
      <c r="H1453">
        <v>110.06</v>
      </c>
      <c r="I1453">
        <v>55</v>
      </c>
      <c r="J1453">
        <v>40.35</v>
      </c>
      <c r="K1453">
        <v>75</v>
      </c>
      <c r="L1453">
        <v>46.36</v>
      </c>
      <c r="M1453">
        <v>53</v>
      </c>
      <c r="N1453">
        <v>18.73</v>
      </c>
      <c r="O1453">
        <v>40</v>
      </c>
      <c r="P1453">
        <v>-11.67</v>
      </c>
      <c r="Q1453">
        <v>40</v>
      </c>
      <c r="R1453">
        <v>3.25</v>
      </c>
      <c r="S1453">
        <v>51</v>
      </c>
      <c r="T1453">
        <v>9.39</v>
      </c>
      <c r="U1453">
        <v>28</v>
      </c>
      <c r="V1453">
        <v>3.65</v>
      </c>
      <c r="W1453">
        <v>24</v>
      </c>
      <c r="X1453" t="s">
        <v>110</v>
      </c>
      <c r="Y1453" t="s">
        <v>457</v>
      </c>
      <c r="Z1453" t="s">
        <v>96</v>
      </c>
      <c r="AA1453" t="s">
        <v>1648</v>
      </c>
      <c r="AB1453" t="s">
        <v>6145</v>
      </c>
      <c r="AC1453">
        <v>0</v>
      </c>
      <c r="AD1453">
        <v>0</v>
      </c>
      <c r="AE1453">
        <v>75</v>
      </c>
      <c r="AF1453">
        <v>366.2</v>
      </c>
      <c r="AG1453">
        <v>10.99</v>
      </c>
      <c r="AH1453">
        <v>8.58</v>
      </c>
      <c r="AI1453">
        <v>-0.05</v>
      </c>
      <c r="AJ1453">
        <v>-0.06</v>
      </c>
      <c r="AK1453">
        <v>53</v>
      </c>
      <c r="AL1453">
        <v>0</v>
      </c>
      <c r="AM1453">
        <v>0</v>
      </c>
      <c r="AN1453">
        <v>-1.5</v>
      </c>
      <c r="AO1453">
        <v>2.21</v>
      </c>
      <c r="AP1453">
        <v>9</v>
      </c>
      <c r="AQ1453">
        <v>0</v>
      </c>
      <c r="AR1453">
        <v>7.78</v>
      </c>
      <c r="AS1453">
        <v>30</v>
      </c>
      <c r="AT1453">
        <v>3.55</v>
      </c>
      <c r="AU1453">
        <v>77</v>
      </c>
      <c r="AV1453">
        <v>-2.71</v>
      </c>
      <c r="AW1453">
        <v>29</v>
      </c>
      <c r="AX1453">
        <v>-0.72</v>
      </c>
      <c r="AY1453">
        <v>31</v>
      </c>
      <c r="AZ1453">
        <v>6.55</v>
      </c>
      <c r="BA1453">
        <v>25</v>
      </c>
      <c r="BB1453">
        <v>5.03</v>
      </c>
      <c r="BC1453">
        <v>20</v>
      </c>
      <c r="BD1453">
        <v>-0.01</v>
      </c>
      <c r="BE1453">
        <v>-0.02</v>
      </c>
      <c r="BF1453">
        <v>-0.02</v>
      </c>
      <c r="BG1453">
        <v>75</v>
      </c>
      <c r="BH1453">
        <v>0.05</v>
      </c>
      <c r="BI1453">
        <v>-5.99</v>
      </c>
      <c r="BJ1453">
        <v>0</v>
      </c>
      <c r="BK1453">
        <v>0</v>
      </c>
      <c r="BL1453">
        <v>0.77</v>
      </c>
      <c r="BM1453">
        <v>-0.59</v>
      </c>
      <c r="BN1453">
        <v>0.56000000000000005</v>
      </c>
      <c r="BO1453">
        <v>1</v>
      </c>
      <c r="BP1453">
        <v>0.27</v>
      </c>
      <c r="BQ1453">
        <v>0.92</v>
      </c>
      <c r="BR1453">
        <v>-0.84</v>
      </c>
      <c r="BS1453">
        <v>2.0299999999999998</v>
      </c>
      <c r="BT1453">
        <v>1.72</v>
      </c>
      <c r="BU1453">
        <v>2.82</v>
      </c>
      <c r="BV1453">
        <v>2.5</v>
      </c>
      <c r="BW1453">
        <v>2.41</v>
      </c>
      <c r="BX1453">
        <v>2.0299999999999998</v>
      </c>
      <c r="BY1453">
        <v>2.34</v>
      </c>
      <c r="BZ1453">
        <v>-1</v>
      </c>
      <c r="CA1453">
        <v>2.5299999999999998</v>
      </c>
      <c r="CB1453">
        <v>2.41</v>
      </c>
      <c r="CC1453">
        <v>1.72</v>
      </c>
      <c r="CD1453">
        <v>-0.6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-2.6</v>
      </c>
      <c r="CK1453">
        <v>42</v>
      </c>
      <c r="CL1453">
        <v>-1.22</v>
      </c>
      <c r="CM1453">
        <v>40</v>
      </c>
      <c r="CN1453">
        <v>-0.45</v>
      </c>
      <c r="CO1453">
        <v>39</v>
      </c>
      <c r="CP1453">
        <v>-5.0999999999999996</v>
      </c>
      <c r="CQ1453">
        <v>32</v>
      </c>
      <c r="CR1453">
        <v>0</v>
      </c>
      <c r="CS1453">
        <v>0</v>
      </c>
      <c r="CT1453">
        <v>1.1000000000000001</v>
      </c>
      <c r="CU1453">
        <v>28</v>
      </c>
      <c r="CV1453">
        <v>0.32</v>
      </c>
      <c r="CW1453">
        <v>12</v>
      </c>
      <c r="CX1453" t="s">
        <v>277</v>
      </c>
    </row>
    <row r="1454" spans="1:102" x14ac:dyDescent="0.3">
      <c r="A1454" t="str">
        <f>HYPERLINK("https://webapp.icbf.com/v2/app/bull-search/view/1196710097","S3042")</f>
        <v>S3042</v>
      </c>
      <c r="B1454" t="s">
        <v>7655</v>
      </c>
      <c r="C1454" t="s">
        <v>7656</v>
      </c>
      <c r="D1454" s="1">
        <v>41178</v>
      </c>
      <c r="E1454" t="s">
        <v>92</v>
      </c>
      <c r="F1454">
        <v>100</v>
      </c>
      <c r="G1454" t="s">
        <v>109</v>
      </c>
      <c r="H1454">
        <v>109.91</v>
      </c>
      <c r="I1454">
        <v>67</v>
      </c>
      <c r="J1454">
        <v>79.75</v>
      </c>
      <c r="K1454">
        <v>83</v>
      </c>
      <c r="L1454">
        <v>3.99</v>
      </c>
      <c r="M1454">
        <v>79</v>
      </c>
      <c r="N1454">
        <v>15.37</v>
      </c>
      <c r="O1454">
        <v>48</v>
      </c>
      <c r="P1454">
        <v>-3.77</v>
      </c>
      <c r="Q1454">
        <v>40</v>
      </c>
      <c r="R1454">
        <v>12.92</v>
      </c>
      <c r="S1454">
        <v>56</v>
      </c>
      <c r="T1454">
        <v>-1.42</v>
      </c>
      <c r="U1454">
        <v>27</v>
      </c>
      <c r="V1454">
        <v>3.07</v>
      </c>
      <c r="W1454">
        <v>19</v>
      </c>
      <c r="X1454" t="s">
        <v>110</v>
      </c>
      <c r="Y1454" t="s">
        <v>411</v>
      </c>
      <c r="Z1454" t="s">
        <v>96</v>
      </c>
      <c r="AA1454" t="s">
        <v>401</v>
      </c>
      <c r="AB1454" t="s">
        <v>7657</v>
      </c>
      <c r="AC1454">
        <v>0</v>
      </c>
      <c r="AD1454">
        <v>0</v>
      </c>
      <c r="AE1454">
        <v>83</v>
      </c>
      <c r="AF1454">
        <v>684.63</v>
      </c>
      <c r="AG1454">
        <v>21.46</v>
      </c>
      <c r="AH1454">
        <v>16.45</v>
      </c>
      <c r="AI1454">
        <v>-0.08</v>
      </c>
      <c r="AJ1454">
        <v>-0.1</v>
      </c>
      <c r="AK1454">
        <v>79</v>
      </c>
      <c r="AL1454">
        <v>0</v>
      </c>
      <c r="AM1454">
        <v>0</v>
      </c>
      <c r="AN1454">
        <v>1.46</v>
      </c>
      <c r="AO1454">
        <v>1.8</v>
      </c>
      <c r="AP1454">
        <v>8</v>
      </c>
      <c r="AQ1454">
        <v>0</v>
      </c>
      <c r="AR1454">
        <v>6.88</v>
      </c>
      <c r="AS1454">
        <v>39</v>
      </c>
      <c r="AT1454">
        <v>2.8</v>
      </c>
      <c r="AU1454">
        <v>90</v>
      </c>
      <c r="AV1454">
        <v>-0.75</v>
      </c>
      <c r="AW1454">
        <v>36</v>
      </c>
      <c r="AX1454">
        <v>-0.09</v>
      </c>
      <c r="AY1454">
        <v>41</v>
      </c>
      <c r="AZ1454">
        <v>5.23</v>
      </c>
      <c r="BA1454">
        <v>25</v>
      </c>
      <c r="BB1454">
        <v>4.37</v>
      </c>
      <c r="BC1454">
        <v>21</v>
      </c>
      <c r="BD1454">
        <v>0</v>
      </c>
      <c r="BE1454">
        <v>-0.03</v>
      </c>
      <c r="BF1454">
        <v>-0.24</v>
      </c>
      <c r="BG1454">
        <v>87</v>
      </c>
      <c r="BH1454">
        <v>-0.06</v>
      </c>
      <c r="BI1454">
        <v>-16.84</v>
      </c>
      <c r="BJ1454">
        <v>1</v>
      </c>
      <c r="BK1454">
        <v>1</v>
      </c>
      <c r="BL1454">
        <v>1.85</v>
      </c>
      <c r="BM1454">
        <v>0.64</v>
      </c>
      <c r="BN1454">
        <v>1.56</v>
      </c>
      <c r="BO1454">
        <v>1.07</v>
      </c>
      <c r="BP1454">
        <v>1.08</v>
      </c>
      <c r="BQ1454">
        <v>2.5299999999999998</v>
      </c>
      <c r="BR1454">
        <v>-0.56000000000000005</v>
      </c>
      <c r="BS1454">
        <v>0.56999999999999995</v>
      </c>
      <c r="BT1454">
        <v>2.17</v>
      </c>
      <c r="BU1454">
        <v>2.2000000000000002</v>
      </c>
      <c r="BV1454">
        <v>3.45</v>
      </c>
      <c r="BW1454">
        <v>2.78</v>
      </c>
      <c r="BX1454">
        <v>1.25</v>
      </c>
      <c r="BY1454">
        <v>1.57</v>
      </c>
      <c r="BZ1454">
        <v>-0.34</v>
      </c>
      <c r="CA1454">
        <v>2.04</v>
      </c>
      <c r="CB1454">
        <v>2.02</v>
      </c>
      <c r="CC1454">
        <v>1.31</v>
      </c>
      <c r="CD1454">
        <v>-7.0000000000000007E-2</v>
      </c>
      <c r="CE1454">
        <v>0.96</v>
      </c>
      <c r="CF1454">
        <v>1.21</v>
      </c>
      <c r="CG1454">
        <v>0</v>
      </c>
      <c r="CH1454">
        <v>2.13</v>
      </c>
      <c r="CI1454">
        <v>0</v>
      </c>
      <c r="CJ1454">
        <v>0.2</v>
      </c>
      <c r="CK1454">
        <v>42</v>
      </c>
      <c r="CL1454">
        <v>-1.08</v>
      </c>
      <c r="CM1454">
        <v>40</v>
      </c>
      <c r="CN1454">
        <v>-0.56000000000000005</v>
      </c>
      <c r="CO1454">
        <v>39</v>
      </c>
      <c r="CP1454">
        <v>3.6</v>
      </c>
      <c r="CQ1454">
        <v>30</v>
      </c>
      <c r="CR1454">
        <v>0</v>
      </c>
      <c r="CS1454">
        <v>0</v>
      </c>
      <c r="CT1454">
        <v>15.7</v>
      </c>
      <c r="CU1454">
        <v>27</v>
      </c>
      <c r="CV1454">
        <v>0.32</v>
      </c>
      <c r="CW1454">
        <v>12</v>
      </c>
      <c r="CX1454" t="s">
        <v>1848</v>
      </c>
    </row>
    <row r="1455" spans="1:102" x14ac:dyDescent="0.3">
      <c r="A1455" t="str">
        <f>HYPERLINK("https://webapp.icbf.com/v2/app/bull-search/view/919583179","YSK")</f>
        <v>YSK</v>
      </c>
      <c r="B1455" t="s">
        <v>9267</v>
      </c>
      <c r="C1455" t="s">
        <v>9268</v>
      </c>
      <c r="D1455" s="1">
        <v>40797</v>
      </c>
      <c r="E1455" t="s">
        <v>108</v>
      </c>
      <c r="F1455">
        <v>13</v>
      </c>
      <c r="G1455" t="s">
        <v>93</v>
      </c>
      <c r="H1455">
        <v>109.84</v>
      </c>
      <c r="I1455">
        <v>83</v>
      </c>
      <c r="J1455">
        <v>-38.43</v>
      </c>
      <c r="K1455">
        <v>96</v>
      </c>
      <c r="L1455">
        <v>93.82</v>
      </c>
      <c r="M1455">
        <v>73</v>
      </c>
      <c r="N1455">
        <v>49.97</v>
      </c>
      <c r="O1455">
        <v>84</v>
      </c>
      <c r="P1455">
        <v>-14.73</v>
      </c>
      <c r="Q1455">
        <v>92</v>
      </c>
      <c r="R1455">
        <v>13.96</v>
      </c>
      <c r="S1455">
        <v>75</v>
      </c>
      <c r="T1455">
        <v>14.2</v>
      </c>
      <c r="U1455">
        <v>68</v>
      </c>
      <c r="V1455">
        <v>-8.9499999999999993</v>
      </c>
      <c r="W1455">
        <v>70</v>
      </c>
      <c r="X1455" t="s">
        <v>251</v>
      </c>
      <c r="Y1455" t="s">
        <v>1923</v>
      </c>
      <c r="Z1455" t="s">
        <v>96</v>
      </c>
      <c r="AA1455" t="s">
        <v>5324</v>
      </c>
      <c r="AB1455" t="s">
        <v>9269</v>
      </c>
      <c r="AC1455">
        <v>86</v>
      </c>
      <c r="AD1455">
        <v>26</v>
      </c>
      <c r="AE1455">
        <v>96</v>
      </c>
      <c r="AF1455">
        <v>-313.32</v>
      </c>
      <c r="AG1455">
        <v>-6.42</v>
      </c>
      <c r="AH1455">
        <v>-9.06</v>
      </c>
      <c r="AI1455">
        <v>0.11</v>
      </c>
      <c r="AJ1455">
        <v>0.03</v>
      </c>
      <c r="AK1455">
        <v>73</v>
      </c>
      <c r="AL1455">
        <v>104</v>
      </c>
      <c r="AM1455">
        <v>31</v>
      </c>
      <c r="AN1455">
        <v>-5.27</v>
      </c>
      <c r="AO1455">
        <v>2.21</v>
      </c>
      <c r="AP1455">
        <v>188</v>
      </c>
      <c r="AQ1455">
        <v>9</v>
      </c>
      <c r="AR1455">
        <v>4.51</v>
      </c>
      <c r="AS1455">
        <v>69</v>
      </c>
      <c r="AT1455">
        <v>1.81</v>
      </c>
      <c r="AU1455">
        <v>86</v>
      </c>
      <c r="AV1455">
        <v>-4.96</v>
      </c>
      <c r="AW1455">
        <v>96</v>
      </c>
      <c r="AX1455">
        <v>0.13</v>
      </c>
      <c r="AY1455">
        <v>82</v>
      </c>
      <c r="AZ1455">
        <v>6.46</v>
      </c>
      <c r="BA1455">
        <v>61</v>
      </c>
      <c r="BB1455">
        <v>6.03</v>
      </c>
      <c r="BC1455">
        <v>58</v>
      </c>
      <c r="BD1455">
        <v>0</v>
      </c>
      <c r="BE1455">
        <v>-0.09</v>
      </c>
      <c r="BF1455">
        <v>-0.15</v>
      </c>
      <c r="BG1455">
        <v>84</v>
      </c>
      <c r="BH1455">
        <v>-0.24</v>
      </c>
      <c r="BI1455">
        <v>1.1100000000000001</v>
      </c>
      <c r="BJ1455">
        <v>7</v>
      </c>
      <c r="BK1455">
        <v>3</v>
      </c>
      <c r="BL1455">
        <v>-1.98</v>
      </c>
      <c r="BM1455">
        <v>2.5299999999999998</v>
      </c>
      <c r="BN1455">
        <v>-1.87</v>
      </c>
      <c r="BO1455">
        <v>-2.97</v>
      </c>
      <c r="BP1455">
        <v>-2.19</v>
      </c>
      <c r="BQ1455">
        <v>2.14</v>
      </c>
      <c r="BR1455">
        <v>-2.31</v>
      </c>
      <c r="BS1455">
        <v>-1.24</v>
      </c>
      <c r="BT1455">
        <v>1.27</v>
      </c>
      <c r="BU1455">
        <v>-2.4</v>
      </c>
      <c r="BV1455">
        <v>-2.98</v>
      </c>
      <c r="BW1455">
        <v>-3</v>
      </c>
      <c r="BX1455">
        <v>-1.5</v>
      </c>
      <c r="BY1455">
        <v>-2.39</v>
      </c>
      <c r="BZ1455">
        <v>-1.79</v>
      </c>
      <c r="CA1455">
        <v>-2.11</v>
      </c>
      <c r="CB1455">
        <v>-2.52</v>
      </c>
      <c r="CC1455">
        <v>-1.07</v>
      </c>
      <c r="CD1455">
        <v>3.23</v>
      </c>
      <c r="CE1455">
        <v>-2.44</v>
      </c>
      <c r="CF1455">
        <v>-1.72</v>
      </c>
      <c r="CG1455">
        <v>0</v>
      </c>
      <c r="CH1455">
        <v>-2.06</v>
      </c>
      <c r="CI1455">
        <v>0</v>
      </c>
      <c r="CJ1455">
        <v>-6.8</v>
      </c>
      <c r="CK1455">
        <v>94</v>
      </c>
      <c r="CL1455">
        <v>-0.28000000000000003</v>
      </c>
      <c r="CM1455">
        <v>92</v>
      </c>
      <c r="CN1455">
        <v>0.08</v>
      </c>
      <c r="CO1455">
        <v>91</v>
      </c>
      <c r="CP1455">
        <v>-10.1</v>
      </c>
      <c r="CQ1455">
        <v>78</v>
      </c>
      <c r="CR1455">
        <v>0</v>
      </c>
      <c r="CS1455">
        <v>0</v>
      </c>
      <c r="CT1455">
        <v>-5.4</v>
      </c>
      <c r="CU1455">
        <v>68</v>
      </c>
      <c r="CV1455">
        <v>0.04</v>
      </c>
      <c r="CW1455">
        <v>45</v>
      </c>
      <c r="CX1455" t="s">
        <v>9270</v>
      </c>
    </row>
    <row r="1456" spans="1:102" x14ac:dyDescent="0.3">
      <c r="A1456" t="str">
        <f>HYPERLINK("https://webapp.icbf.com/v2/app/bull-search/view/1668662588","FR4735")</f>
        <v>FR4735</v>
      </c>
      <c r="B1456" t="s">
        <v>14074</v>
      </c>
      <c r="C1456" t="s">
        <v>14075</v>
      </c>
      <c r="D1456" s="1">
        <v>42789</v>
      </c>
      <c r="E1456" t="s">
        <v>92</v>
      </c>
      <c r="F1456">
        <v>100</v>
      </c>
      <c r="G1456" t="s">
        <v>435</v>
      </c>
      <c r="H1456">
        <v>109.73</v>
      </c>
      <c r="I1456">
        <v>65</v>
      </c>
      <c r="J1456">
        <v>99.54</v>
      </c>
      <c r="K1456">
        <v>86</v>
      </c>
      <c r="L1456">
        <v>-44.39</v>
      </c>
      <c r="M1456">
        <v>63</v>
      </c>
      <c r="N1456">
        <v>33.33</v>
      </c>
      <c r="O1456">
        <v>61</v>
      </c>
      <c r="P1456">
        <v>-5.4</v>
      </c>
      <c r="Q1456">
        <v>34</v>
      </c>
      <c r="R1456">
        <v>20.34</v>
      </c>
      <c r="S1456">
        <v>60</v>
      </c>
      <c r="T1456">
        <v>-4.82</v>
      </c>
      <c r="U1456">
        <v>33</v>
      </c>
      <c r="V1456">
        <v>11.13</v>
      </c>
      <c r="W1456">
        <v>51</v>
      </c>
      <c r="X1456" t="s">
        <v>102</v>
      </c>
      <c r="Y1456" t="s">
        <v>442</v>
      </c>
      <c r="Z1456" t="s">
        <v>96</v>
      </c>
      <c r="AA1456" t="s">
        <v>14076</v>
      </c>
      <c r="AB1456" t="s">
        <v>14077</v>
      </c>
      <c r="AC1456">
        <v>0</v>
      </c>
      <c r="AD1456">
        <v>0</v>
      </c>
      <c r="AE1456">
        <v>86</v>
      </c>
      <c r="AF1456">
        <v>706.17</v>
      </c>
      <c r="AG1456">
        <v>19.809999999999999</v>
      </c>
      <c r="AH1456">
        <v>20.73</v>
      </c>
      <c r="AI1456">
        <v>-0.12</v>
      </c>
      <c r="AJ1456">
        <v>-0.05</v>
      </c>
      <c r="AK1456">
        <v>63</v>
      </c>
      <c r="AL1456">
        <v>0</v>
      </c>
      <c r="AM1456">
        <v>0</v>
      </c>
      <c r="AN1456">
        <v>5.54</v>
      </c>
      <c r="AO1456">
        <v>2.04</v>
      </c>
      <c r="AP1456">
        <v>17</v>
      </c>
      <c r="AQ1456">
        <v>0</v>
      </c>
      <c r="AR1456">
        <v>6.89</v>
      </c>
      <c r="AS1456">
        <v>46</v>
      </c>
      <c r="AT1456">
        <v>2.41</v>
      </c>
      <c r="AU1456">
        <v>84</v>
      </c>
      <c r="AV1456">
        <v>-2.99</v>
      </c>
      <c r="AW1456">
        <v>68</v>
      </c>
      <c r="AX1456">
        <v>0.01</v>
      </c>
      <c r="AY1456">
        <v>42</v>
      </c>
      <c r="AZ1456">
        <v>5.91</v>
      </c>
      <c r="BA1456">
        <v>32</v>
      </c>
      <c r="BB1456">
        <v>4.74</v>
      </c>
      <c r="BC1456">
        <v>30</v>
      </c>
      <c r="BD1456">
        <v>-0.04</v>
      </c>
      <c r="BE1456">
        <v>-0.09</v>
      </c>
      <c r="BF1456">
        <v>-0.23</v>
      </c>
      <c r="BG1456">
        <v>73</v>
      </c>
      <c r="BH1456">
        <v>0.14000000000000001</v>
      </c>
      <c r="BI1456">
        <v>-19.71</v>
      </c>
      <c r="BJ1456">
        <v>0</v>
      </c>
      <c r="BK1456">
        <v>0</v>
      </c>
      <c r="BL1456">
        <v>1.4</v>
      </c>
      <c r="BM1456">
        <v>0.31</v>
      </c>
      <c r="BN1456">
        <v>0.32</v>
      </c>
      <c r="BO1456">
        <v>0.96</v>
      </c>
      <c r="BP1456">
        <v>0.39</v>
      </c>
      <c r="BQ1456">
        <v>1.38</v>
      </c>
      <c r="BR1456">
        <v>-1.93</v>
      </c>
      <c r="BS1456">
        <v>3.45</v>
      </c>
      <c r="BT1456">
        <v>2.42</v>
      </c>
      <c r="BU1456">
        <v>4.28</v>
      </c>
      <c r="BV1456">
        <v>4.0199999999999996</v>
      </c>
      <c r="BW1456">
        <v>1.53</v>
      </c>
      <c r="BX1456">
        <v>2.73</v>
      </c>
      <c r="BY1456">
        <v>1.83</v>
      </c>
      <c r="BZ1456">
        <v>1.1399999999999999</v>
      </c>
      <c r="CA1456">
        <v>3.73</v>
      </c>
      <c r="CB1456">
        <v>3.21</v>
      </c>
      <c r="CC1456">
        <v>3.31</v>
      </c>
      <c r="CD1456">
        <v>0</v>
      </c>
      <c r="CE1456">
        <v>2.1</v>
      </c>
      <c r="CF1456">
        <v>1.65</v>
      </c>
      <c r="CG1456">
        <v>0</v>
      </c>
      <c r="CH1456">
        <v>0.51</v>
      </c>
      <c r="CI1456">
        <v>0</v>
      </c>
      <c r="CJ1456">
        <v>-2.9</v>
      </c>
      <c r="CK1456">
        <v>35</v>
      </c>
      <c r="CL1456">
        <v>-1.47</v>
      </c>
      <c r="CM1456">
        <v>34</v>
      </c>
      <c r="CN1456">
        <v>-1.0900000000000001</v>
      </c>
      <c r="CO1456">
        <v>34</v>
      </c>
      <c r="CP1456">
        <v>6.7</v>
      </c>
      <c r="CQ1456">
        <v>33</v>
      </c>
      <c r="CR1456">
        <v>0</v>
      </c>
      <c r="CS1456">
        <v>0</v>
      </c>
      <c r="CT1456">
        <v>20.3</v>
      </c>
      <c r="CU1456">
        <v>33</v>
      </c>
      <c r="CV1456">
        <v>0.24</v>
      </c>
      <c r="CW1456">
        <v>31</v>
      </c>
      <c r="CX1456" t="s">
        <v>465</v>
      </c>
    </row>
    <row r="1457" spans="1:102" x14ac:dyDescent="0.3">
      <c r="A1457" t="str">
        <f>HYPERLINK("https://webapp.icbf.com/v2/app/bull-search/view/1186969663","S2164")</f>
        <v>S2164</v>
      </c>
      <c r="B1457" t="s">
        <v>14535</v>
      </c>
      <c r="C1457" t="s">
        <v>14536</v>
      </c>
      <c r="D1457" s="1">
        <v>41225</v>
      </c>
      <c r="E1457" t="s">
        <v>92</v>
      </c>
      <c r="F1457">
        <v>100</v>
      </c>
      <c r="G1457" t="s">
        <v>109</v>
      </c>
      <c r="H1457">
        <v>109.69</v>
      </c>
      <c r="I1457">
        <v>82</v>
      </c>
      <c r="J1457">
        <v>71.12</v>
      </c>
      <c r="K1457">
        <v>94</v>
      </c>
      <c r="L1457">
        <v>19.05</v>
      </c>
      <c r="M1457">
        <v>85</v>
      </c>
      <c r="N1457">
        <v>17.53</v>
      </c>
      <c r="O1457">
        <v>74</v>
      </c>
      <c r="P1457">
        <v>-22.4</v>
      </c>
      <c r="Q1457">
        <v>75</v>
      </c>
      <c r="R1457">
        <v>22.14</v>
      </c>
      <c r="S1457">
        <v>75</v>
      </c>
      <c r="T1457">
        <v>2.58</v>
      </c>
      <c r="U1457">
        <v>48</v>
      </c>
      <c r="V1457">
        <v>-0.33</v>
      </c>
      <c r="W1457">
        <v>57</v>
      </c>
      <c r="X1457" t="s">
        <v>251</v>
      </c>
      <c r="Y1457" t="s">
        <v>367</v>
      </c>
      <c r="Z1457" t="s">
        <v>96</v>
      </c>
      <c r="AA1457" t="s">
        <v>2004</v>
      </c>
      <c r="AB1457" t="s">
        <v>14537</v>
      </c>
      <c r="AC1457">
        <v>21</v>
      </c>
      <c r="AD1457">
        <v>14</v>
      </c>
      <c r="AE1457">
        <v>94</v>
      </c>
      <c r="AF1457">
        <v>87.19</v>
      </c>
      <c r="AG1457">
        <v>13.06</v>
      </c>
      <c r="AH1457">
        <v>8.81</v>
      </c>
      <c r="AI1457">
        <v>0.17</v>
      </c>
      <c r="AJ1457">
        <v>0.1</v>
      </c>
      <c r="AK1457">
        <v>85</v>
      </c>
      <c r="AL1457">
        <v>0</v>
      </c>
      <c r="AM1457">
        <v>0</v>
      </c>
      <c r="AN1457">
        <v>0.59</v>
      </c>
      <c r="AO1457">
        <v>2.13</v>
      </c>
      <c r="AP1457">
        <v>49</v>
      </c>
      <c r="AQ1457">
        <v>0</v>
      </c>
      <c r="AR1457">
        <v>6.65</v>
      </c>
      <c r="AS1457">
        <v>63</v>
      </c>
      <c r="AT1457">
        <v>2.62</v>
      </c>
      <c r="AU1457">
        <v>91</v>
      </c>
      <c r="AV1457">
        <v>-1.79</v>
      </c>
      <c r="AW1457">
        <v>80</v>
      </c>
      <c r="AX1457">
        <v>1.9</v>
      </c>
      <c r="AY1457">
        <v>62</v>
      </c>
      <c r="AZ1457">
        <v>5.86</v>
      </c>
      <c r="BA1457">
        <v>48</v>
      </c>
      <c r="BB1457">
        <v>4.82</v>
      </c>
      <c r="BC1457">
        <v>42</v>
      </c>
      <c r="BD1457">
        <v>-0.03</v>
      </c>
      <c r="BE1457">
        <v>-0.11</v>
      </c>
      <c r="BF1457">
        <v>-0.25</v>
      </c>
      <c r="BG1457">
        <v>92</v>
      </c>
      <c r="BH1457">
        <v>-7.0000000000000007E-2</v>
      </c>
      <c r="BI1457">
        <v>-7.02</v>
      </c>
      <c r="BJ1457">
        <v>9</v>
      </c>
      <c r="BK1457">
        <v>6</v>
      </c>
      <c r="BL1457">
        <v>1.5</v>
      </c>
      <c r="BM1457">
        <v>-2.4</v>
      </c>
      <c r="BN1457">
        <v>-0.5</v>
      </c>
      <c r="BO1457">
        <v>1.37</v>
      </c>
      <c r="BP1457">
        <v>-2.15</v>
      </c>
      <c r="BQ1457">
        <v>1.4</v>
      </c>
      <c r="BR1457">
        <v>0.55000000000000004</v>
      </c>
      <c r="BS1457">
        <v>2.59</v>
      </c>
      <c r="BT1457">
        <v>-1.06</v>
      </c>
      <c r="BU1457">
        <v>4.22</v>
      </c>
      <c r="BV1457">
        <v>3.11</v>
      </c>
      <c r="BW1457">
        <v>2.34</v>
      </c>
      <c r="BX1457">
        <v>4.42</v>
      </c>
      <c r="BY1457">
        <v>2.0699999999999998</v>
      </c>
      <c r="BZ1457">
        <v>0.27</v>
      </c>
      <c r="CA1457">
        <v>3.13</v>
      </c>
      <c r="CB1457">
        <v>2.95</v>
      </c>
      <c r="CC1457">
        <v>1.41</v>
      </c>
      <c r="CD1457">
        <v>-1.29</v>
      </c>
      <c r="CE1457">
        <v>1.37</v>
      </c>
      <c r="CF1457">
        <v>0.78</v>
      </c>
      <c r="CG1457">
        <v>0</v>
      </c>
      <c r="CH1457">
        <v>1.89</v>
      </c>
      <c r="CI1457">
        <v>0</v>
      </c>
      <c r="CJ1457">
        <v>-11</v>
      </c>
      <c r="CK1457">
        <v>78</v>
      </c>
      <c r="CL1457">
        <v>-1.58</v>
      </c>
      <c r="CM1457">
        <v>75</v>
      </c>
      <c r="CN1457">
        <v>-0.85</v>
      </c>
      <c r="CO1457">
        <v>73</v>
      </c>
      <c r="CP1457">
        <v>-5.8</v>
      </c>
      <c r="CQ1457">
        <v>53</v>
      </c>
      <c r="CR1457">
        <v>0</v>
      </c>
      <c r="CS1457">
        <v>0</v>
      </c>
      <c r="CT1457">
        <v>10.3</v>
      </c>
      <c r="CU1457">
        <v>48</v>
      </c>
      <c r="CV1457">
        <v>0.11</v>
      </c>
      <c r="CW1457">
        <v>41</v>
      </c>
      <c r="CX1457" t="s">
        <v>309</v>
      </c>
    </row>
    <row r="1458" spans="1:102" x14ac:dyDescent="0.3">
      <c r="A1458" t="str">
        <f>HYPERLINK("https://webapp.icbf.com/v2/app/bull-search/view/943311422","S1252")</f>
        <v>S1252</v>
      </c>
      <c r="B1458" t="s">
        <v>10155</v>
      </c>
      <c r="C1458" t="s">
        <v>10156</v>
      </c>
      <c r="D1458" s="1">
        <v>40184</v>
      </c>
      <c r="E1458" t="s">
        <v>146</v>
      </c>
      <c r="F1458">
        <v>0</v>
      </c>
      <c r="G1458" t="s">
        <v>109</v>
      </c>
      <c r="H1458">
        <v>109.62</v>
      </c>
      <c r="I1458">
        <v>51</v>
      </c>
      <c r="J1458">
        <v>2.33</v>
      </c>
      <c r="K1458">
        <v>67</v>
      </c>
      <c r="L1458">
        <v>42.33</v>
      </c>
      <c r="M1458">
        <v>44</v>
      </c>
      <c r="N1458">
        <v>44.31</v>
      </c>
      <c r="O1458">
        <v>50</v>
      </c>
      <c r="P1458">
        <v>17.32</v>
      </c>
      <c r="Q1458">
        <v>49</v>
      </c>
      <c r="R1458">
        <v>3.91</v>
      </c>
      <c r="S1458">
        <v>47</v>
      </c>
      <c r="T1458">
        <v>6.2</v>
      </c>
      <c r="U1458">
        <v>39</v>
      </c>
      <c r="V1458">
        <v>-6.78</v>
      </c>
      <c r="W1458">
        <v>20</v>
      </c>
      <c r="X1458" t="s">
        <v>102</v>
      </c>
      <c r="Y1458" t="s">
        <v>342</v>
      </c>
      <c r="Z1458">
        <v>0</v>
      </c>
      <c r="AA1458" t="s">
        <v>1121</v>
      </c>
      <c r="AB1458" t="s">
        <v>2471</v>
      </c>
      <c r="AC1458">
        <v>0</v>
      </c>
      <c r="AD1458">
        <v>0</v>
      </c>
      <c r="AE1458">
        <v>67</v>
      </c>
      <c r="AF1458">
        <v>-40</v>
      </c>
      <c r="AG1458">
        <v>-2.25</v>
      </c>
      <c r="AH1458">
        <v>0.57999999999999996</v>
      </c>
      <c r="AI1458">
        <v>-0.01</v>
      </c>
      <c r="AJ1458">
        <v>0.03</v>
      </c>
      <c r="AK1458">
        <v>44</v>
      </c>
      <c r="AL1458">
        <v>0</v>
      </c>
      <c r="AM1458">
        <v>0</v>
      </c>
      <c r="AN1458">
        <v>-3.54</v>
      </c>
      <c r="AO1458">
        <v>-0.18</v>
      </c>
      <c r="AP1458">
        <v>2</v>
      </c>
      <c r="AQ1458">
        <v>2</v>
      </c>
      <c r="AR1458">
        <v>5.23</v>
      </c>
      <c r="AS1458">
        <v>23</v>
      </c>
      <c r="AT1458">
        <v>2.12</v>
      </c>
      <c r="AU1458">
        <v>64</v>
      </c>
      <c r="AV1458">
        <v>-3.29</v>
      </c>
      <c r="AW1458">
        <v>60</v>
      </c>
      <c r="AX1458">
        <v>0.02</v>
      </c>
      <c r="AY1458">
        <v>45</v>
      </c>
      <c r="AZ1458">
        <v>5.03</v>
      </c>
      <c r="BA1458">
        <v>21</v>
      </c>
      <c r="BB1458">
        <v>4.32</v>
      </c>
      <c r="BC1458">
        <v>19</v>
      </c>
      <c r="BD1458">
        <v>0</v>
      </c>
      <c r="BE1458">
        <v>0</v>
      </c>
      <c r="BF1458">
        <v>-0.09</v>
      </c>
      <c r="BG1458">
        <v>72</v>
      </c>
      <c r="BH1458">
        <v>-0.17</v>
      </c>
      <c r="BI1458">
        <v>2.19</v>
      </c>
      <c r="BJ1458">
        <v>0</v>
      </c>
      <c r="BK1458">
        <v>0</v>
      </c>
      <c r="BL1458">
        <v>-1.66</v>
      </c>
      <c r="BM1458">
        <v>1.91</v>
      </c>
      <c r="BN1458">
        <v>-1.63</v>
      </c>
      <c r="BO1458">
        <v>-1.72</v>
      </c>
      <c r="BP1458">
        <v>2.89</v>
      </c>
      <c r="BQ1458">
        <v>-0.62</v>
      </c>
      <c r="BR1458">
        <v>-1.46</v>
      </c>
      <c r="BS1458">
        <v>1.48</v>
      </c>
      <c r="BT1458">
        <v>0.82</v>
      </c>
      <c r="BU1458">
        <v>0.13</v>
      </c>
      <c r="BV1458">
        <v>-1.81</v>
      </c>
      <c r="BW1458">
        <v>-2.12</v>
      </c>
      <c r="BX1458">
        <v>0.49</v>
      </c>
      <c r="BY1458">
        <v>-0.66</v>
      </c>
      <c r="BZ1458">
        <v>-1.18</v>
      </c>
      <c r="CA1458">
        <v>-0.28000000000000003</v>
      </c>
      <c r="CB1458">
        <v>-0.79</v>
      </c>
      <c r="CC1458">
        <v>0.71</v>
      </c>
      <c r="CD1458">
        <v>2.73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5.3</v>
      </c>
      <c r="CK1458">
        <v>52</v>
      </c>
      <c r="CL1458">
        <v>0.38</v>
      </c>
      <c r="CM1458">
        <v>46</v>
      </c>
      <c r="CN1458">
        <v>-0.44</v>
      </c>
      <c r="CO1458">
        <v>44</v>
      </c>
      <c r="CP1458">
        <v>6.2</v>
      </c>
      <c r="CQ1458">
        <v>39</v>
      </c>
      <c r="CR1458">
        <v>0</v>
      </c>
      <c r="CS1458">
        <v>0</v>
      </c>
      <c r="CT1458">
        <v>5.4</v>
      </c>
      <c r="CU1458">
        <v>39</v>
      </c>
      <c r="CV1458">
        <v>-0.18</v>
      </c>
      <c r="CW1458">
        <v>15</v>
      </c>
      <c r="CX1458" t="s">
        <v>2472</v>
      </c>
    </row>
    <row r="1459" spans="1:102" x14ac:dyDescent="0.3">
      <c r="A1459" t="str">
        <f>HYPERLINK("https://webapp.icbf.com/v2/app/bull-search/view/970734700","S1343")</f>
        <v>S1343</v>
      </c>
      <c r="B1459" t="s">
        <v>13056</v>
      </c>
      <c r="C1459" t="s">
        <v>13057</v>
      </c>
      <c r="D1459" s="1">
        <v>40411</v>
      </c>
      <c r="E1459" t="s">
        <v>92</v>
      </c>
      <c r="F1459">
        <v>100</v>
      </c>
      <c r="G1459" t="s">
        <v>109</v>
      </c>
      <c r="H1459">
        <v>109.54</v>
      </c>
      <c r="I1459">
        <v>85</v>
      </c>
      <c r="J1459">
        <v>89.34</v>
      </c>
      <c r="K1459">
        <v>94</v>
      </c>
      <c r="L1459">
        <v>6.18</v>
      </c>
      <c r="M1459">
        <v>87</v>
      </c>
      <c r="N1459">
        <v>8.09</v>
      </c>
      <c r="O1459">
        <v>87</v>
      </c>
      <c r="P1459">
        <v>-4.59</v>
      </c>
      <c r="Q1459">
        <v>77</v>
      </c>
      <c r="R1459">
        <v>14.67</v>
      </c>
      <c r="S1459">
        <v>78</v>
      </c>
      <c r="T1459">
        <v>-9.7100000000000009</v>
      </c>
      <c r="U1459">
        <v>61</v>
      </c>
      <c r="V1459">
        <v>5.56</v>
      </c>
      <c r="W1459">
        <v>65</v>
      </c>
      <c r="X1459" t="s">
        <v>234</v>
      </c>
      <c r="Y1459" t="s">
        <v>342</v>
      </c>
      <c r="Z1459" t="s">
        <v>96</v>
      </c>
      <c r="AA1459" t="s">
        <v>3033</v>
      </c>
      <c r="AB1459" t="s">
        <v>5610</v>
      </c>
      <c r="AC1459">
        <v>0</v>
      </c>
      <c r="AD1459">
        <v>0</v>
      </c>
      <c r="AE1459">
        <v>94</v>
      </c>
      <c r="AF1459">
        <v>464.07</v>
      </c>
      <c r="AG1459">
        <v>26.31</v>
      </c>
      <c r="AH1459">
        <v>12.99</v>
      </c>
      <c r="AI1459">
        <v>0.13</v>
      </c>
      <c r="AJ1459">
        <v>-0.04</v>
      </c>
      <c r="AK1459">
        <v>87</v>
      </c>
      <c r="AL1459">
        <v>0</v>
      </c>
      <c r="AM1459">
        <v>0</v>
      </c>
      <c r="AN1459">
        <v>0.22</v>
      </c>
      <c r="AO1459">
        <v>0.72</v>
      </c>
      <c r="AP1459">
        <v>461</v>
      </c>
      <c r="AQ1459">
        <v>0</v>
      </c>
      <c r="AR1459">
        <v>7.97</v>
      </c>
      <c r="AS1459">
        <v>88</v>
      </c>
      <c r="AT1459">
        <v>3</v>
      </c>
      <c r="AU1459">
        <v>93</v>
      </c>
      <c r="AV1459">
        <v>-1.1499999999999999</v>
      </c>
      <c r="AW1459">
        <v>97</v>
      </c>
      <c r="AX1459">
        <v>-0.19</v>
      </c>
      <c r="AY1459">
        <v>88</v>
      </c>
      <c r="AZ1459">
        <v>6.41</v>
      </c>
      <c r="BA1459">
        <v>52</v>
      </c>
      <c r="BB1459">
        <v>5.34</v>
      </c>
      <c r="BC1459">
        <v>49</v>
      </c>
      <c r="BD1459">
        <v>-0.05</v>
      </c>
      <c r="BE1459">
        <v>-0.06</v>
      </c>
      <c r="BF1459">
        <v>-0.14000000000000001</v>
      </c>
      <c r="BG1459">
        <v>93</v>
      </c>
      <c r="BH1459">
        <v>0</v>
      </c>
      <c r="BI1459">
        <v>-17.93</v>
      </c>
      <c r="BJ1459">
        <v>5</v>
      </c>
      <c r="BK1459">
        <v>2</v>
      </c>
      <c r="BL1459">
        <v>1.69</v>
      </c>
      <c r="BM1459">
        <v>-0.52</v>
      </c>
      <c r="BN1459">
        <v>1.06</v>
      </c>
      <c r="BO1459">
        <v>1.8</v>
      </c>
      <c r="BP1459">
        <v>1.1499999999999999</v>
      </c>
      <c r="BQ1459">
        <v>1.36</v>
      </c>
      <c r="BR1459">
        <v>-1.37</v>
      </c>
      <c r="BS1459">
        <v>2.4300000000000002</v>
      </c>
      <c r="BT1459">
        <v>1.86</v>
      </c>
      <c r="BU1459">
        <v>1.56</v>
      </c>
      <c r="BV1459">
        <v>2.8</v>
      </c>
      <c r="BW1459">
        <v>2.4300000000000002</v>
      </c>
      <c r="BX1459">
        <v>1.94</v>
      </c>
      <c r="BY1459">
        <v>1.48</v>
      </c>
      <c r="BZ1459">
        <v>-0.48</v>
      </c>
      <c r="CA1459">
        <v>2.59</v>
      </c>
      <c r="CB1459">
        <v>2.2599999999999998</v>
      </c>
      <c r="CC1459">
        <v>2.37</v>
      </c>
      <c r="CD1459">
        <v>-1.17</v>
      </c>
      <c r="CE1459">
        <v>1.1499999999999999</v>
      </c>
      <c r="CF1459">
        <v>1.87</v>
      </c>
      <c r="CG1459">
        <v>0</v>
      </c>
      <c r="CH1459">
        <v>1.87</v>
      </c>
      <c r="CI1459">
        <v>0</v>
      </c>
      <c r="CJ1459">
        <v>-0.5</v>
      </c>
      <c r="CK1459">
        <v>80</v>
      </c>
      <c r="CL1459">
        <v>-1.39</v>
      </c>
      <c r="CM1459">
        <v>75</v>
      </c>
      <c r="CN1459">
        <v>-0.8</v>
      </c>
      <c r="CO1459">
        <v>73</v>
      </c>
      <c r="CP1459">
        <v>7.2</v>
      </c>
      <c r="CQ1459">
        <v>62</v>
      </c>
      <c r="CR1459">
        <v>0</v>
      </c>
      <c r="CS1459">
        <v>0</v>
      </c>
      <c r="CT1459">
        <v>26.9</v>
      </c>
      <c r="CU1459">
        <v>61</v>
      </c>
      <c r="CV1459">
        <v>0.3</v>
      </c>
      <c r="CW1459">
        <v>42</v>
      </c>
      <c r="CX1459" t="s">
        <v>350</v>
      </c>
    </row>
    <row r="1460" spans="1:102" x14ac:dyDescent="0.3">
      <c r="A1460" t="str">
        <f>HYPERLINK("https://webapp.icbf.com/v2/app/bull-search/view/401043009","IRD")</f>
        <v>IRD</v>
      </c>
      <c r="B1460" t="s">
        <v>15389</v>
      </c>
      <c r="C1460" t="s">
        <v>15390</v>
      </c>
      <c r="D1460" s="1">
        <v>38433</v>
      </c>
      <c r="E1460" t="s">
        <v>92</v>
      </c>
      <c r="F1460">
        <v>97</v>
      </c>
      <c r="G1460" t="s">
        <v>93</v>
      </c>
      <c r="H1460">
        <v>109.48</v>
      </c>
      <c r="I1460">
        <v>88</v>
      </c>
      <c r="J1460">
        <v>22.51</v>
      </c>
      <c r="K1460">
        <v>97</v>
      </c>
      <c r="L1460">
        <v>36.83</v>
      </c>
      <c r="M1460">
        <v>81</v>
      </c>
      <c r="N1460">
        <v>25.93</v>
      </c>
      <c r="O1460">
        <v>85</v>
      </c>
      <c r="P1460">
        <v>4.2</v>
      </c>
      <c r="Q1460">
        <v>90</v>
      </c>
      <c r="R1460">
        <v>7.51</v>
      </c>
      <c r="S1460">
        <v>83</v>
      </c>
      <c r="T1460">
        <v>5.46</v>
      </c>
      <c r="U1460">
        <v>88</v>
      </c>
      <c r="V1460">
        <v>7.04</v>
      </c>
      <c r="W1460">
        <v>82</v>
      </c>
      <c r="X1460" t="s">
        <v>94</v>
      </c>
      <c r="Y1460" t="s">
        <v>1164</v>
      </c>
      <c r="Z1460" t="s">
        <v>96</v>
      </c>
      <c r="AA1460" t="s">
        <v>1165</v>
      </c>
      <c r="AB1460" t="s">
        <v>15391</v>
      </c>
      <c r="AC1460">
        <v>78</v>
      </c>
      <c r="AD1460">
        <v>65</v>
      </c>
      <c r="AE1460">
        <v>97</v>
      </c>
      <c r="AF1460">
        <v>-179.36</v>
      </c>
      <c r="AG1460">
        <v>7.33</v>
      </c>
      <c r="AH1460">
        <v>-1.51</v>
      </c>
      <c r="AI1460">
        <v>0.26</v>
      </c>
      <c r="AJ1460">
        <v>0.08</v>
      </c>
      <c r="AK1460">
        <v>81</v>
      </c>
      <c r="AL1460">
        <v>77</v>
      </c>
      <c r="AM1460">
        <v>65</v>
      </c>
      <c r="AN1460">
        <v>-1.01</v>
      </c>
      <c r="AO1460">
        <v>1.94</v>
      </c>
      <c r="AP1460">
        <v>144</v>
      </c>
      <c r="AQ1460">
        <v>0</v>
      </c>
      <c r="AR1460">
        <v>5.99</v>
      </c>
      <c r="AS1460">
        <v>72</v>
      </c>
      <c r="AT1460">
        <v>2.93</v>
      </c>
      <c r="AU1460">
        <v>87</v>
      </c>
      <c r="AV1460">
        <v>-2.0699999999999998</v>
      </c>
      <c r="AW1460">
        <v>94</v>
      </c>
      <c r="AX1460">
        <v>-0.76</v>
      </c>
      <c r="AY1460">
        <v>79</v>
      </c>
      <c r="AZ1460">
        <v>5.91</v>
      </c>
      <c r="BA1460">
        <v>67</v>
      </c>
      <c r="BB1460">
        <v>4.78</v>
      </c>
      <c r="BC1460">
        <v>71</v>
      </c>
      <c r="BD1460">
        <v>-0.04</v>
      </c>
      <c r="BE1460">
        <v>-0.04</v>
      </c>
      <c r="BF1460">
        <v>-0.03</v>
      </c>
      <c r="BG1460">
        <v>89</v>
      </c>
      <c r="BH1460">
        <v>0.15</v>
      </c>
      <c r="BI1460">
        <v>-5.36</v>
      </c>
      <c r="BJ1460">
        <v>35</v>
      </c>
      <c r="BK1460">
        <v>30</v>
      </c>
      <c r="BL1460">
        <v>1.17</v>
      </c>
      <c r="BM1460">
        <v>-0.53</v>
      </c>
      <c r="BN1460">
        <v>-0.09</v>
      </c>
      <c r="BO1460">
        <v>0.7</v>
      </c>
      <c r="BP1460">
        <v>2.21</v>
      </c>
      <c r="BQ1460">
        <v>-0.54</v>
      </c>
      <c r="BR1460">
        <v>1.65</v>
      </c>
      <c r="BS1460">
        <v>-1.64</v>
      </c>
      <c r="BT1460">
        <v>-2.0299999999999998</v>
      </c>
      <c r="BU1460">
        <v>0.19</v>
      </c>
      <c r="BV1460">
        <v>0.57999999999999996</v>
      </c>
      <c r="BW1460">
        <v>1.33</v>
      </c>
      <c r="BX1460">
        <v>1.73</v>
      </c>
      <c r="BY1460">
        <v>-1.96</v>
      </c>
      <c r="BZ1460">
        <v>-0.66</v>
      </c>
      <c r="CA1460">
        <v>-0.17</v>
      </c>
      <c r="CB1460">
        <v>0.38</v>
      </c>
      <c r="CC1460">
        <v>-1</v>
      </c>
      <c r="CD1460">
        <v>-0.79</v>
      </c>
      <c r="CE1460">
        <v>0.41</v>
      </c>
      <c r="CF1460">
        <v>0.04</v>
      </c>
      <c r="CG1460">
        <v>0</v>
      </c>
      <c r="CH1460">
        <v>-1.62</v>
      </c>
      <c r="CI1460">
        <v>0</v>
      </c>
      <c r="CJ1460">
        <v>6.2</v>
      </c>
      <c r="CK1460">
        <v>91</v>
      </c>
      <c r="CL1460">
        <v>-0.84</v>
      </c>
      <c r="CM1460">
        <v>89</v>
      </c>
      <c r="CN1460">
        <v>-0.3</v>
      </c>
      <c r="CO1460">
        <v>88</v>
      </c>
      <c r="CP1460">
        <v>5.3</v>
      </c>
      <c r="CQ1460">
        <v>89</v>
      </c>
      <c r="CR1460">
        <v>0</v>
      </c>
      <c r="CS1460">
        <v>0</v>
      </c>
      <c r="CT1460">
        <v>6.4</v>
      </c>
      <c r="CU1460">
        <v>88</v>
      </c>
      <c r="CV1460">
        <v>0.33</v>
      </c>
      <c r="CW1460">
        <v>46</v>
      </c>
      <c r="CX1460" t="s">
        <v>753</v>
      </c>
    </row>
    <row r="1461" spans="1:102" x14ac:dyDescent="0.3">
      <c r="A1461" t="str">
        <f>HYPERLINK("https://webapp.icbf.com/v2/app/bull-search/view/147209890","VEP")</f>
        <v>VEP</v>
      </c>
      <c r="B1461" t="s">
        <v>144</v>
      </c>
      <c r="C1461" t="s">
        <v>2862</v>
      </c>
      <c r="D1461" s="1">
        <v>35008</v>
      </c>
      <c r="E1461" t="s">
        <v>146</v>
      </c>
      <c r="F1461">
        <v>0</v>
      </c>
      <c r="G1461" t="s">
        <v>93</v>
      </c>
      <c r="H1461">
        <v>109.47</v>
      </c>
      <c r="I1461">
        <v>87</v>
      </c>
      <c r="J1461">
        <v>10.19</v>
      </c>
      <c r="K1461">
        <v>97</v>
      </c>
      <c r="L1461">
        <v>51.8</v>
      </c>
      <c r="M1461">
        <v>75</v>
      </c>
      <c r="N1461">
        <v>35.99</v>
      </c>
      <c r="O1461">
        <v>86</v>
      </c>
      <c r="P1461">
        <v>15.12</v>
      </c>
      <c r="Q1461">
        <v>95</v>
      </c>
      <c r="R1461">
        <v>-5.86</v>
      </c>
      <c r="S1461">
        <v>79</v>
      </c>
      <c r="T1461">
        <v>16.420000000000002</v>
      </c>
      <c r="U1461">
        <v>94</v>
      </c>
      <c r="V1461">
        <v>-14.19</v>
      </c>
      <c r="W1461">
        <v>83</v>
      </c>
      <c r="X1461" t="s">
        <v>276</v>
      </c>
      <c r="Y1461" t="s">
        <v>95</v>
      </c>
      <c r="Z1461">
        <v>0</v>
      </c>
      <c r="AA1461" t="s">
        <v>2863</v>
      </c>
      <c r="AB1461" t="s">
        <v>2864</v>
      </c>
      <c r="AC1461">
        <v>130</v>
      </c>
      <c r="AD1461">
        <v>56</v>
      </c>
      <c r="AE1461">
        <v>97</v>
      </c>
      <c r="AF1461">
        <v>8.83</v>
      </c>
      <c r="AG1461">
        <v>-1.53</v>
      </c>
      <c r="AH1461">
        <v>2.41</v>
      </c>
      <c r="AI1461">
        <v>-0.03</v>
      </c>
      <c r="AJ1461">
        <v>0.03</v>
      </c>
      <c r="AK1461">
        <v>75</v>
      </c>
      <c r="AL1461">
        <v>166</v>
      </c>
      <c r="AM1461">
        <v>60</v>
      </c>
      <c r="AN1461">
        <v>-2.12</v>
      </c>
      <c r="AO1461">
        <v>2.02</v>
      </c>
      <c r="AP1461">
        <v>205</v>
      </c>
      <c r="AQ1461">
        <v>6</v>
      </c>
      <c r="AR1461">
        <v>5.19</v>
      </c>
      <c r="AS1461">
        <v>79</v>
      </c>
      <c r="AT1461">
        <v>2.4900000000000002</v>
      </c>
      <c r="AU1461">
        <v>86</v>
      </c>
      <c r="AV1461">
        <v>-2.58</v>
      </c>
      <c r="AW1461">
        <v>93</v>
      </c>
      <c r="AX1461">
        <v>-0.28000000000000003</v>
      </c>
      <c r="AY1461">
        <v>88</v>
      </c>
      <c r="AZ1461">
        <v>5.12</v>
      </c>
      <c r="BA1461">
        <v>63</v>
      </c>
      <c r="BB1461">
        <v>4.54</v>
      </c>
      <c r="BC1461">
        <v>72</v>
      </c>
      <c r="BD1461">
        <v>0.04</v>
      </c>
      <c r="BE1461">
        <v>0.02</v>
      </c>
      <c r="BF1461">
        <v>0.03</v>
      </c>
      <c r="BG1461">
        <v>87</v>
      </c>
      <c r="BH1461">
        <v>-0.24</v>
      </c>
      <c r="BI1461">
        <v>18.010000000000002</v>
      </c>
      <c r="BJ1461">
        <v>1</v>
      </c>
      <c r="BK1461">
        <v>1</v>
      </c>
      <c r="BL1461">
        <v>-2.67</v>
      </c>
      <c r="BM1461">
        <v>1.95</v>
      </c>
      <c r="BN1461">
        <v>-2.79</v>
      </c>
      <c r="BO1461">
        <v>-3.31</v>
      </c>
      <c r="BP1461">
        <v>2.0699999999999998</v>
      </c>
      <c r="BQ1461">
        <v>-0.11</v>
      </c>
      <c r="BR1461">
        <v>-0.49</v>
      </c>
      <c r="BS1461">
        <v>0.82</v>
      </c>
      <c r="BT1461">
        <v>-0.15</v>
      </c>
      <c r="BU1461">
        <v>-2.9</v>
      </c>
      <c r="BV1461">
        <v>-3.33</v>
      </c>
      <c r="BW1461">
        <v>-2.99</v>
      </c>
      <c r="BX1461">
        <v>-2.41</v>
      </c>
      <c r="BY1461">
        <v>-3.51</v>
      </c>
      <c r="BZ1461">
        <v>1.21</v>
      </c>
      <c r="CA1461">
        <v>-2.0499999999999998</v>
      </c>
      <c r="CB1461">
        <v>-3.01</v>
      </c>
      <c r="CC1461">
        <v>0.53</v>
      </c>
      <c r="CD1461">
        <v>2.58</v>
      </c>
      <c r="CE1461">
        <v>-2.91</v>
      </c>
      <c r="CF1461">
        <v>-2.71</v>
      </c>
      <c r="CG1461">
        <v>0</v>
      </c>
      <c r="CH1461">
        <v>-2.37</v>
      </c>
      <c r="CI1461">
        <v>0</v>
      </c>
      <c r="CJ1461">
        <v>7.9</v>
      </c>
      <c r="CK1461">
        <v>96</v>
      </c>
      <c r="CL1461">
        <v>0.33</v>
      </c>
      <c r="CM1461">
        <v>95</v>
      </c>
      <c r="CN1461">
        <v>-0.13</v>
      </c>
      <c r="CO1461">
        <v>95</v>
      </c>
      <c r="CP1461">
        <v>-4.7</v>
      </c>
      <c r="CQ1461">
        <v>94</v>
      </c>
      <c r="CR1461">
        <v>0</v>
      </c>
      <c r="CS1461">
        <v>0</v>
      </c>
      <c r="CT1461">
        <v>-8.4</v>
      </c>
      <c r="CU1461">
        <v>94</v>
      </c>
      <c r="CV1461">
        <v>0.04</v>
      </c>
      <c r="CW1461">
        <v>27</v>
      </c>
      <c r="CX1461" t="s">
        <v>2865</v>
      </c>
    </row>
    <row r="1462" spans="1:102" x14ac:dyDescent="0.3">
      <c r="A1462" t="str">
        <f>HYPERLINK("https://webapp.icbf.com/v2/app/bull-search/view/549569145","PMG")</f>
        <v>PMG</v>
      </c>
      <c r="B1462" t="s">
        <v>5342</v>
      </c>
      <c r="C1462" t="s">
        <v>5343</v>
      </c>
      <c r="D1462" s="1">
        <v>39462</v>
      </c>
      <c r="E1462" t="s">
        <v>92</v>
      </c>
      <c r="F1462">
        <v>78</v>
      </c>
      <c r="G1462" t="s">
        <v>93</v>
      </c>
      <c r="H1462">
        <v>109.44</v>
      </c>
      <c r="I1462">
        <v>88</v>
      </c>
      <c r="J1462">
        <v>41.54</v>
      </c>
      <c r="K1462">
        <v>98</v>
      </c>
      <c r="L1462">
        <v>24.87</v>
      </c>
      <c r="M1462">
        <v>81</v>
      </c>
      <c r="N1462">
        <v>46.14</v>
      </c>
      <c r="O1462">
        <v>87</v>
      </c>
      <c r="P1462">
        <v>-8.52</v>
      </c>
      <c r="Q1462">
        <v>94</v>
      </c>
      <c r="R1462">
        <v>9.83</v>
      </c>
      <c r="S1462">
        <v>82</v>
      </c>
      <c r="T1462">
        <v>-0.16</v>
      </c>
      <c r="U1462">
        <v>84</v>
      </c>
      <c r="V1462">
        <v>-4.26</v>
      </c>
      <c r="W1462">
        <v>80</v>
      </c>
      <c r="X1462" t="s">
        <v>94</v>
      </c>
      <c r="Y1462" t="s">
        <v>241</v>
      </c>
      <c r="Z1462" t="s">
        <v>96</v>
      </c>
      <c r="AA1462" t="s">
        <v>316</v>
      </c>
      <c r="AB1462" t="s">
        <v>5344</v>
      </c>
      <c r="AC1462">
        <v>124</v>
      </c>
      <c r="AD1462">
        <v>67</v>
      </c>
      <c r="AE1462">
        <v>98</v>
      </c>
      <c r="AF1462">
        <v>234.99</v>
      </c>
      <c r="AG1462">
        <v>8.23</v>
      </c>
      <c r="AH1462">
        <v>7.75</v>
      </c>
      <c r="AI1462">
        <v>-0.02</v>
      </c>
      <c r="AJ1462">
        <v>0</v>
      </c>
      <c r="AK1462">
        <v>81</v>
      </c>
      <c r="AL1462">
        <v>119</v>
      </c>
      <c r="AM1462">
        <v>67</v>
      </c>
      <c r="AN1462">
        <v>-0.81</v>
      </c>
      <c r="AO1462">
        <v>1.18</v>
      </c>
      <c r="AP1462">
        <v>235</v>
      </c>
      <c r="AQ1462">
        <v>1</v>
      </c>
      <c r="AR1462">
        <v>3.94</v>
      </c>
      <c r="AS1462">
        <v>73</v>
      </c>
      <c r="AT1462">
        <v>1.75</v>
      </c>
      <c r="AU1462">
        <v>89</v>
      </c>
      <c r="AV1462">
        <v>-3.53</v>
      </c>
      <c r="AW1462">
        <v>96</v>
      </c>
      <c r="AX1462">
        <v>0.31</v>
      </c>
      <c r="AY1462">
        <v>82</v>
      </c>
      <c r="AZ1462">
        <v>5.65</v>
      </c>
      <c r="BA1462">
        <v>69</v>
      </c>
      <c r="BB1462">
        <v>5</v>
      </c>
      <c r="BC1462">
        <v>71</v>
      </c>
      <c r="BD1462">
        <v>0.03</v>
      </c>
      <c r="BE1462">
        <v>-0.04</v>
      </c>
      <c r="BF1462">
        <v>-0.2</v>
      </c>
      <c r="BG1462">
        <v>91</v>
      </c>
      <c r="BH1462">
        <v>0.01</v>
      </c>
      <c r="BI1462">
        <v>14.89</v>
      </c>
      <c r="BJ1462">
        <v>29</v>
      </c>
      <c r="BK1462">
        <v>21</v>
      </c>
      <c r="BL1462">
        <v>0.12</v>
      </c>
      <c r="BM1462">
        <v>0.92</v>
      </c>
      <c r="BN1462">
        <v>-0.13</v>
      </c>
      <c r="BO1462">
        <v>-0.94</v>
      </c>
      <c r="BP1462">
        <v>0.73</v>
      </c>
      <c r="BQ1462">
        <v>-0.96</v>
      </c>
      <c r="BR1462">
        <v>-2.5299999999999998</v>
      </c>
      <c r="BS1462">
        <v>-1.33</v>
      </c>
      <c r="BT1462">
        <v>1.35</v>
      </c>
      <c r="BU1462">
        <v>-2.4700000000000002</v>
      </c>
      <c r="BV1462">
        <v>-1.57</v>
      </c>
      <c r="BW1462">
        <v>-2.11</v>
      </c>
      <c r="BX1462">
        <v>-2.17</v>
      </c>
      <c r="BY1462">
        <v>-0.56999999999999995</v>
      </c>
      <c r="BZ1462">
        <v>1.9</v>
      </c>
      <c r="CA1462">
        <v>-1.37</v>
      </c>
      <c r="CB1462">
        <v>-1.41</v>
      </c>
      <c r="CC1462">
        <v>-0.54</v>
      </c>
      <c r="CD1462">
        <v>1.5</v>
      </c>
      <c r="CE1462">
        <v>-0.73</v>
      </c>
      <c r="CF1462">
        <v>0.7</v>
      </c>
      <c r="CG1462">
        <v>0</v>
      </c>
      <c r="CH1462">
        <v>-1.1599999999999999</v>
      </c>
      <c r="CI1462">
        <v>0</v>
      </c>
      <c r="CJ1462">
        <v>-1.1000000000000001</v>
      </c>
      <c r="CK1462">
        <v>95</v>
      </c>
      <c r="CL1462">
        <v>-0.83</v>
      </c>
      <c r="CM1462">
        <v>93</v>
      </c>
      <c r="CN1462">
        <v>-0.14000000000000001</v>
      </c>
      <c r="CO1462">
        <v>93</v>
      </c>
      <c r="CP1462">
        <v>-0.5</v>
      </c>
      <c r="CQ1462">
        <v>90</v>
      </c>
      <c r="CR1462">
        <v>0</v>
      </c>
      <c r="CS1462">
        <v>0</v>
      </c>
      <c r="CT1462">
        <v>14</v>
      </c>
      <c r="CU1462">
        <v>84</v>
      </c>
      <c r="CV1462">
        <v>0.28000000000000003</v>
      </c>
      <c r="CW1462">
        <v>47</v>
      </c>
      <c r="CX1462" t="s">
        <v>1106</v>
      </c>
    </row>
    <row r="1463" spans="1:102" x14ac:dyDescent="0.3">
      <c r="A1463" t="str">
        <f>HYPERLINK("https://webapp.icbf.com/v2/app/bull-search/view/586147577","NOS")</f>
        <v>NOS</v>
      </c>
      <c r="B1463" t="s">
        <v>12466</v>
      </c>
      <c r="C1463" t="s">
        <v>12467</v>
      </c>
      <c r="D1463" s="1">
        <v>38245</v>
      </c>
      <c r="E1463" t="s">
        <v>92</v>
      </c>
      <c r="F1463">
        <v>100</v>
      </c>
      <c r="G1463" t="s">
        <v>93</v>
      </c>
      <c r="H1463">
        <v>109.35</v>
      </c>
      <c r="I1463">
        <v>94</v>
      </c>
      <c r="J1463">
        <v>4.18</v>
      </c>
      <c r="K1463">
        <v>98</v>
      </c>
      <c r="L1463">
        <v>58.43</v>
      </c>
      <c r="M1463">
        <v>91</v>
      </c>
      <c r="N1463">
        <v>36.86</v>
      </c>
      <c r="O1463">
        <v>92</v>
      </c>
      <c r="P1463">
        <v>-11.75</v>
      </c>
      <c r="Q1463">
        <v>97</v>
      </c>
      <c r="R1463">
        <v>13.12</v>
      </c>
      <c r="S1463">
        <v>87</v>
      </c>
      <c r="T1463">
        <v>5.39</v>
      </c>
      <c r="U1463">
        <v>93</v>
      </c>
      <c r="V1463">
        <v>3.12</v>
      </c>
      <c r="W1463">
        <v>87</v>
      </c>
      <c r="X1463" t="s">
        <v>288</v>
      </c>
      <c r="Y1463" t="s">
        <v>235</v>
      </c>
      <c r="Z1463" t="s">
        <v>96</v>
      </c>
      <c r="AA1463" t="s">
        <v>316</v>
      </c>
      <c r="AB1463" t="s">
        <v>12468</v>
      </c>
      <c r="AC1463">
        <v>247</v>
      </c>
      <c r="AD1463">
        <v>66</v>
      </c>
      <c r="AE1463">
        <v>98</v>
      </c>
      <c r="AF1463">
        <v>244.18</v>
      </c>
      <c r="AG1463">
        <v>4.18</v>
      </c>
      <c r="AH1463">
        <v>2.97</v>
      </c>
      <c r="AI1463">
        <v>-0.09</v>
      </c>
      <c r="AJ1463">
        <v>-0.09</v>
      </c>
      <c r="AK1463">
        <v>91</v>
      </c>
      <c r="AL1463">
        <v>326</v>
      </c>
      <c r="AM1463">
        <v>95</v>
      </c>
      <c r="AN1463">
        <v>-3.91</v>
      </c>
      <c r="AO1463">
        <v>0.74</v>
      </c>
      <c r="AP1463">
        <v>409</v>
      </c>
      <c r="AQ1463">
        <v>1</v>
      </c>
      <c r="AR1463">
        <v>4.05</v>
      </c>
      <c r="AS1463">
        <v>89</v>
      </c>
      <c r="AT1463">
        <v>2.02</v>
      </c>
      <c r="AU1463">
        <v>93</v>
      </c>
      <c r="AV1463">
        <v>-2.99</v>
      </c>
      <c r="AW1463">
        <v>97</v>
      </c>
      <c r="AX1463">
        <v>-1.05</v>
      </c>
      <c r="AY1463">
        <v>93</v>
      </c>
      <c r="AZ1463">
        <v>6.76</v>
      </c>
      <c r="BA1463">
        <v>79</v>
      </c>
      <c r="BB1463">
        <v>5.96</v>
      </c>
      <c r="BC1463">
        <v>81</v>
      </c>
      <c r="BD1463">
        <v>-0.04</v>
      </c>
      <c r="BE1463">
        <v>-0.05</v>
      </c>
      <c r="BF1463">
        <v>-0.14000000000000001</v>
      </c>
      <c r="BG1463">
        <v>94</v>
      </c>
      <c r="BH1463">
        <v>-0.04</v>
      </c>
      <c r="BI1463">
        <v>-14.7</v>
      </c>
      <c r="BJ1463">
        <v>12</v>
      </c>
      <c r="BK1463">
        <v>8</v>
      </c>
      <c r="BL1463">
        <v>0.13</v>
      </c>
      <c r="BM1463">
        <v>-0.26</v>
      </c>
      <c r="BN1463">
        <v>-0.81</v>
      </c>
      <c r="BO1463">
        <v>-0.43</v>
      </c>
      <c r="BP1463">
        <v>1.51</v>
      </c>
      <c r="BQ1463">
        <v>-0.36</v>
      </c>
      <c r="BR1463">
        <v>-1.37</v>
      </c>
      <c r="BS1463">
        <v>-0.69</v>
      </c>
      <c r="BT1463">
        <v>1.64</v>
      </c>
      <c r="BU1463">
        <v>0.12</v>
      </c>
      <c r="BV1463">
        <v>-0.06</v>
      </c>
      <c r="BW1463">
        <v>-0.8</v>
      </c>
      <c r="BX1463">
        <v>1.1100000000000001</v>
      </c>
      <c r="BY1463">
        <v>0.55000000000000004</v>
      </c>
      <c r="BZ1463">
        <v>-1.61</v>
      </c>
      <c r="CA1463">
        <v>7.0000000000000007E-2</v>
      </c>
      <c r="CB1463">
        <v>-0.26</v>
      </c>
      <c r="CC1463">
        <v>0.59</v>
      </c>
      <c r="CD1463">
        <v>0.74</v>
      </c>
      <c r="CE1463">
        <v>-0.25</v>
      </c>
      <c r="CF1463">
        <v>0.65</v>
      </c>
      <c r="CG1463">
        <v>0</v>
      </c>
      <c r="CH1463">
        <v>0.15</v>
      </c>
      <c r="CI1463">
        <v>0</v>
      </c>
      <c r="CJ1463">
        <v>-1.9</v>
      </c>
      <c r="CK1463">
        <v>98</v>
      </c>
      <c r="CL1463">
        <v>-0.84</v>
      </c>
      <c r="CM1463">
        <v>97</v>
      </c>
      <c r="CN1463">
        <v>0.02</v>
      </c>
      <c r="CO1463">
        <v>97</v>
      </c>
      <c r="CP1463">
        <v>-1.5</v>
      </c>
      <c r="CQ1463">
        <v>96</v>
      </c>
      <c r="CR1463">
        <v>0</v>
      </c>
      <c r="CS1463">
        <v>0</v>
      </c>
      <c r="CT1463">
        <v>6.5</v>
      </c>
      <c r="CU1463">
        <v>93</v>
      </c>
      <c r="CV1463">
        <v>0.24</v>
      </c>
      <c r="CW1463">
        <v>49</v>
      </c>
      <c r="CX1463" t="s">
        <v>596</v>
      </c>
    </row>
    <row r="1464" spans="1:102" x14ac:dyDescent="0.3">
      <c r="A1464" t="str">
        <f>HYPERLINK("https://webapp.icbf.com/v2/app/bull-search/view/77854942","MYB")</f>
        <v>MYB</v>
      </c>
      <c r="B1464" t="s">
        <v>2539</v>
      </c>
      <c r="C1464" t="s">
        <v>2540</v>
      </c>
      <c r="D1464" s="1">
        <v>32713</v>
      </c>
      <c r="E1464" t="s">
        <v>108</v>
      </c>
      <c r="F1464">
        <v>31</v>
      </c>
      <c r="G1464" t="s">
        <v>93</v>
      </c>
      <c r="H1464">
        <v>109.25</v>
      </c>
      <c r="I1464">
        <v>91</v>
      </c>
      <c r="J1464">
        <v>20.86</v>
      </c>
      <c r="K1464">
        <v>98</v>
      </c>
      <c r="L1464">
        <v>56.4</v>
      </c>
      <c r="M1464">
        <v>88</v>
      </c>
      <c r="N1464">
        <v>27.81</v>
      </c>
      <c r="O1464">
        <v>83</v>
      </c>
      <c r="P1464">
        <v>-25.85</v>
      </c>
      <c r="Q1464">
        <v>93</v>
      </c>
      <c r="R1464">
        <v>2.46</v>
      </c>
      <c r="S1464">
        <v>82</v>
      </c>
      <c r="T1464">
        <v>21.23</v>
      </c>
      <c r="U1464">
        <v>89</v>
      </c>
      <c r="V1464">
        <v>6.34</v>
      </c>
      <c r="W1464">
        <v>75</v>
      </c>
      <c r="X1464" t="s">
        <v>302</v>
      </c>
      <c r="Y1464" t="s">
        <v>95</v>
      </c>
      <c r="Z1464" t="s">
        <v>96</v>
      </c>
      <c r="AA1464" t="s">
        <v>2541</v>
      </c>
      <c r="AB1464" t="s">
        <v>2542</v>
      </c>
      <c r="AC1464">
        <v>194</v>
      </c>
      <c r="AD1464">
        <v>69</v>
      </c>
      <c r="AE1464">
        <v>98</v>
      </c>
      <c r="AF1464">
        <v>-245.18</v>
      </c>
      <c r="AG1464">
        <v>12.34</v>
      </c>
      <c r="AH1464">
        <v>-4.57</v>
      </c>
      <c r="AI1464">
        <v>0.4</v>
      </c>
      <c r="AJ1464">
        <v>7.0000000000000007E-2</v>
      </c>
      <c r="AK1464">
        <v>88</v>
      </c>
      <c r="AL1464">
        <v>235</v>
      </c>
      <c r="AM1464">
        <v>95</v>
      </c>
      <c r="AN1464">
        <v>-2.92</v>
      </c>
      <c r="AO1464">
        <v>1.58</v>
      </c>
      <c r="AP1464">
        <v>4</v>
      </c>
      <c r="AQ1464">
        <v>0</v>
      </c>
      <c r="AR1464">
        <v>4.33</v>
      </c>
      <c r="AS1464">
        <v>61</v>
      </c>
      <c r="AT1464">
        <v>1.81</v>
      </c>
      <c r="AU1464">
        <v>85</v>
      </c>
      <c r="AV1464">
        <v>-2.13</v>
      </c>
      <c r="AW1464">
        <v>88</v>
      </c>
      <c r="AX1464">
        <v>0.11</v>
      </c>
      <c r="AY1464">
        <v>88</v>
      </c>
      <c r="AZ1464">
        <v>7.13</v>
      </c>
      <c r="BA1464">
        <v>57</v>
      </c>
      <c r="BB1464">
        <v>5.85</v>
      </c>
      <c r="BC1464">
        <v>79</v>
      </c>
      <c r="BD1464">
        <v>0.02</v>
      </c>
      <c r="BE1464">
        <v>0</v>
      </c>
      <c r="BF1464">
        <v>-0.09</v>
      </c>
      <c r="BG1464">
        <v>94</v>
      </c>
      <c r="BH1464">
        <v>0.1</v>
      </c>
      <c r="BI1464">
        <v>-8.8800000000000008</v>
      </c>
      <c r="BJ1464">
        <v>0</v>
      </c>
      <c r="BK1464">
        <v>0</v>
      </c>
      <c r="BL1464">
        <v>-1.74</v>
      </c>
      <c r="BM1464">
        <v>1.47</v>
      </c>
      <c r="BN1464">
        <v>-0.34</v>
      </c>
      <c r="BO1464">
        <v>-1.71</v>
      </c>
      <c r="BP1464">
        <v>-0.82</v>
      </c>
      <c r="BQ1464">
        <v>-1.08</v>
      </c>
      <c r="BR1464">
        <v>-2.02</v>
      </c>
      <c r="BS1464">
        <v>-1.9</v>
      </c>
      <c r="BT1464">
        <v>-1.04</v>
      </c>
      <c r="BU1464">
        <v>-2.19</v>
      </c>
      <c r="BV1464">
        <v>-3.03</v>
      </c>
      <c r="BW1464">
        <v>-1.94</v>
      </c>
      <c r="BX1464">
        <v>-4.0199999999999996</v>
      </c>
      <c r="BY1464">
        <v>-2.4700000000000002</v>
      </c>
      <c r="BZ1464">
        <v>0.85</v>
      </c>
      <c r="CA1464">
        <v>-2.23</v>
      </c>
      <c r="CB1464">
        <v>-2.16</v>
      </c>
      <c r="CC1464">
        <v>-2.02</v>
      </c>
      <c r="CD1464">
        <v>1.72</v>
      </c>
      <c r="CE1464">
        <v>-1.1499999999999999</v>
      </c>
      <c r="CF1464">
        <v>-1.02</v>
      </c>
      <c r="CG1464">
        <v>0</v>
      </c>
      <c r="CH1464">
        <v>-2.41</v>
      </c>
      <c r="CI1464">
        <v>0</v>
      </c>
      <c r="CJ1464">
        <v>-13</v>
      </c>
      <c r="CK1464">
        <v>93</v>
      </c>
      <c r="CL1464">
        <v>-0.31</v>
      </c>
      <c r="CM1464">
        <v>92</v>
      </c>
      <c r="CN1464">
        <v>0.21</v>
      </c>
      <c r="CO1464">
        <v>91</v>
      </c>
      <c r="CP1464">
        <v>-15</v>
      </c>
      <c r="CQ1464">
        <v>95</v>
      </c>
      <c r="CR1464">
        <v>0</v>
      </c>
      <c r="CS1464">
        <v>0</v>
      </c>
      <c r="CT1464">
        <v>-14.9</v>
      </c>
      <c r="CU1464">
        <v>89</v>
      </c>
      <c r="CV1464">
        <v>-0.09</v>
      </c>
      <c r="CW1464">
        <v>44</v>
      </c>
      <c r="CX1464" t="s">
        <v>2543</v>
      </c>
    </row>
    <row r="1465" spans="1:102" x14ac:dyDescent="0.3">
      <c r="A1465" t="str">
        <f>HYPERLINK("https://webapp.icbf.com/v2/app/bull-search/view/910795694","S2298")</f>
        <v>S2298</v>
      </c>
      <c r="B1465" t="s">
        <v>7882</v>
      </c>
      <c r="C1465" t="s">
        <v>7883</v>
      </c>
      <c r="D1465" s="1">
        <v>39877</v>
      </c>
      <c r="E1465" t="s">
        <v>227</v>
      </c>
      <c r="F1465">
        <v>0</v>
      </c>
      <c r="G1465" t="s">
        <v>109</v>
      </c>
      <c r="H1465">
        <v>109.25</v>
      </c>
      <c r="I1465">
        <v>74</v>
      </c>
      <c r="J1465">
        <v>3.16</v>
      </c>
      <c r="K1465">
        <v>91</v>
      </c>
      <c r="L1465">
        <v>71.73</v>
      </c>
      <c r="M1465">
        <v>79</v>
      </c>
      <c r="N1465">
        <v>26.99</v>
      </c>
      <c r="O1465">
        <v>64</v>
      </c>
      <c r="P1465">
        <v>-54.94</v>
      </c>
      <c r="Q1465">
        <v>46</v>
      </c>
      <c r="R1465">
        <v>2.46</v>
      </c>
      <c r="S1465">
        <v>58</v>
      </c>
      <c r="T1465">
        <v>60.08</v>
      </c>
      <c r="U1465">
        <v>39</v>
      </c>
      <c r="V1465">
        <v>-0.23</v>
      </c>
      <c r="W1465">
        <v>54</v>
      </c>
      <c r="X1465" t="s">
        <v>94</v>
      </c>
      <c r="Y1465" t="s">
        <v>411</v>
      </c>
      <c r="Z1465">
        <v>0</v>
      </c>
      <c r="AA1465" t="s">
        <v>1914</v>
      </c>
      <c r="AB1465" t="s">
        <v>7884</v>
      </c>
      <c r="AC1465">
        <v>0</v>
      </c>
      <c r="AD1465">
        <v>0</v>
      </c>
      <c r="AE1465">
        <v>91</v>
      </c>
      <c r="AF1465">
        <v>-575.41</v>
      </c>
      <c r="AG1465">
        <v>3.62</v>
      </c>
      <c r="AH1465">
        <v>-9.5500000000000007</v>
      </c>
      <c r="AI1465">
        <v>0.5</v>
      </c>
      <c r="AJ1465">
        <v>0.19</v>
      </c>
      <c r="AK1465">
        <v>79</v>
      </c>
      <c r="AL1465">
        <v>0</v>
      </c>
      <c r="AM1465">
        <v>0</v>
      </c>
      <c r="AN1465">
        <v>-3.15</v>
      </c>
      <c r="AO1465">
        <v>2.58</v>
      </c>
      <c r="AP1465">
        <v>33</v>
      </c>
      <c r="AQ1465">
        <v>0</v>
      </c>
      <c r="AR1465">
        <v>3.14</v>
      </c>
      <c r="AS1465">
        <v>48</v>
      </c>
      <c r="AT1465">
        <v>2.19</v>
      </c>
      <c r="AU1465">
        <v>64</v>
      </c>
      <c r="AV1465">
        <v>-2.64</v>
      </c>
      <c r="AW1465">
        <v>80</v>
      </c>
      <c r="AX1465">
        <v>2.71</v>
      </c>
      <c r="AY1465">
        <v>56</v>
      </c>
      <c r="AZ1465">
        <v>7.58</v>
      </c>
      <c r="BA1465">
        <v>38</v>
      </c>
      <c r="BB1465">
        <v>5.34</v>
      </c>
      <c r="BC1465">
        <v>37</v>
      </c>
      <c r="BD1465">
        <v>-0.1</v>
      </c>
      <c r="BE1465">
        <v>0</v>
      </c>
      <c r="BF1465">
        <v>0.11</v>
      </c>
      <c r="BG1465">
        <v>65</v>
      </c>
      <c r="BH1465">
        <v>-0.1</v>
      </c>
      <c r="BI1465">
        <v>-10.81</v>
      </c>
      <c r="BJ1465">
        <v>0</v>
      </c>
      <c r="BK1465">
        <v>0</v>
      </c>
      <c r="BL1465">
        <v>-0.27</v>
      </c>
      <c r="BM1465">
        <v>-1.73</v>
      </c>
      <c r="BN1465">
        <v>0.19</v>
      </c>
      <c r="BO1465">
        <v>1.97</v>
      </c>
      <c r="BP1465">
        <v>-1.22</v>
      </c>
      <c r="BQ1465">
        <v>-3.42</v>
      </c>
      <c r="BR1465">
        <v>1.4</v>
      </c>
      <c r="BS1465">
        <v>6.9</v>
      </c>
      <c r="BT1465">
        <v>-0.64</v>
      </c>
      <c r="BU1465">
        <v>1.45</v>
      </c>
      <c r="BV1465">
        <v>1.38</v>
      </c>
      <c r="BW1465">
        <v>-1.24</v>
      </c>
      <c r="BX1465">
        <v>-1.69</v>
      </c>
      <c r="BY1465">
        <v>0.06</v>
      </c>
      <c r="BZ1465">
        <v>0.91</v>
      </c>
      <c r="CA1465">
        <v>2.92</v>
      </c>
      <c r="CB1465">
        <v>1.45</v>
      </c>
      <c r="CC1465">
        <v>4.59</v>
      </c>
      <c r="CD1465">
        <v>-2.46</v>
      </c>
      <c r="CE1465">
        <v>1.74</v>
      </c>
      <c r="CF1465">
        <v>0.21</v>
      </c>
      <c r="CG1465">
        <v>0</v>
      </c>
      <c r="CH1465">
        <v>-0.25</v>
      </c>
      <c r="CI1465">
        <v>0</v>
      </c>
      <c r="CJ1465">
        <v>-29.1</v>
      </c>
      <c r="CK1465">
        <v>47</v>
      </c>
      <c r="CL1465">
        <v>-1.1200000000000001</v>
      </c>
      <c r="CM1465">
        <v>44</v>
      </c>
      <c r="CN1465">
        <v>-0.35</v>
      </c>
      <c r="CO1465">
        <v>44</v>
      </c>
      <c r="CP1465">
        <v>-48.8</v>
      </c>
      <c r="CQ1465">
        <v>42</v>
      </c>
      <c r="CR1465">
        <v>0</v>
      </c>
      <c r="CS1465">
        <v>0</v>
      </c>
      <c r="CT1465">
        <v>-67.400000000000006</v>
      </c>
      <c r="CU1465">
        <v>39</v>
      </c>
      <c r="CV1465">
        <v>-0.28999999999999998</v>
      </c>
      <c r="CW1465">
        <v>34</v>
      </c>
      <c r="CX1465" t="s">
        <v>7885</v>
      </c>
    </row>
    <row r="1466" spans="1:102" x14ac:dyDescent="0.3">
      <c r="A1466" t="str">
        <f>HYPERLINK("https://webapp.icbf.com/v2/app/bull-search/view/940504440","S1235")</f>
        <v>S1235</v>
      </c>
      <c r="B1466" t="s">
        <v>13017</v>
      </c>
      <c r="C1466" t="s">
        <v>460</v>
      </c>
      <c r="D1466" s="1">
        <v>40351</v>
      </c>
      <c r="E1466" t="s">
        <v>92</v>
      </c>
      <c r="F1466">
        <v>100</v>
      </c>
      <c r="G1466" t="s">
        <v>109</v>
      </c>
      <c r="H1466">
        <v>109.23</v>
      </c>
      <c r="I1466">
        <v>71</v>
      </c>
      <c r="J1466">
        <v>53.01</v>
      </c>
      <c r="K1466">
        <v>84</v>
      </c>
      <c r="L1466">
        <v>33.19</v>
      </c>
      <c r="M1466">
        <v>79</v>
      </c>
      <c r="N1466">
        <v>1.76</v>
      </c>
      <c r="O1466">
        <v>64</v>
      </c>
      <c r="P1466">
        <v>-7.68</v>
      </c>
      <c r="Q1466">
        <v>55</v>
      </c>
      <c r="R1466">
        <v>22.66</v>
      </c>
      <c r="S1466">
        <v>63</v>
      </c>
      <c r="T1466">
        <v>1.32</v>
      </c>
      <c r="U1466">
        <v>41</v>
      </c>
      <c r="V1466">
        <v>4.97</v>
      </c>
      <c r="W1466">
        <v>22</v>
      </c>
      <c r="X1466" t="s">
        <v>94</v>
      </c>
      <c r="Y1466" t="s">
        <v>336</v>
      </c>
      <c r="Z1466" t="s">
        <v>96</v>
      </c>
      <c r="AA1466" t="s">
        <v>1791</v>
      </c>
      <c r="AB1466" t="s">
        <v>13018</v>
      </c>
      <c r="AC1466">
        <v>0</v>
      </c>
      <c r="AD1466">
        <v>0</v>
      </c>
      <c r="AE1466">
        <v>84</v>
      </c>
      <c r="AF1466">
        <v>408.6</v>
      </c>
      <c r="AG1466">
        <v>6.33</v>
      </c>
      <c r="AH1466">
        <v>13.03</v>
      </c>
      <c r="AI1466">
        <v>-0.15</v>
      </c>
      <c r="AJ1466">
        <v>-0.02</v>
      </c>
      <c r="AK1466">
        <v>79</v>
      </c>
      <c r="AL1466">
        <v>0</v>
      </c>
      <c r="AM1466">
        <v>0</v>
      </c>
      <c r="AN1466">
        <v>-0.8</v>
      </c>
      <c r="AO1466">
        <v>1.86</v>
      </c>
      <c r="AP1466">
        <v>19</v>
      </c>
      <c r="AQ1466">
        <v>1</v>
      </c>
      <c r="AR1466">
        <v>7.7</v>
      </c>
      <c r="AS1466">
        <v>39</v>
      </c>
      <c r="AT1466">
        <v>3.67</v>
      </c>
      <c r="AU1466">
        <v>92</v>
      </c>
      <c r="AV1466">
        <v>-0.09</v>
      </c>
      <c r="AW1466">
        <v>68</v>
      </c>
      <c r="AX1466">
        <v>-0.66</v>
      </c>
      <c r="AY1466">
        <v>46</v>
      </c>
      <c r="AZ1466">
        <v>5.23</v>
      </c>
      <c r="BA1466">
        <v>34</v>
      </c>
      <c r="BB1466">
        <v>4.37</v>
      </c>
      <c r="BC1466">
        <v>31</v>
      </c>
      <c r="BD1466">
        <v>-0.06</v>
      </c>
      <c r="BE1466">
        <v>-0.09</v>
      </c>
      <c r="BF1466">
        <v>-0.25</v>
      </c>
      <c r="BG1466">
        <v>88</v>
      </c>
      <c r="BH1466">
        <v>0.04</v>
      </c>
      <c r="BI1466">
        <v>-11.42</v>
      </c>
      <c r="BJ1466">
        <v>6</v>
      </c>
      <c r="BK1466">
        <v>5</v>
      </c>
      <c r="BL1466">
        <v>1.78</v>
      </c>
      <c r="BM1466">
        <v>-0.88</v>
      </c>
      <c r="BN1466">
        <v>0.49</v>
      </c>
      <c r="BO1466">
        <v>0.92</v>
      </c>
      <c r="BP1466">
        <v>-0.86</v>
      </c>
      <c r="BQ1466">
        <v>1.94</v>
      </c>
      <c r="BR1466">
        <v>1.58</v>
      </c>
      <c r="BS1466">
        <v>0.15</v>
      </c>
      <c r="BT1466">
        <v>0.21</v>
      </c>
      <c r="BU1466">
        <v>3.16</v>
      </c>
      <c r="BV1466">
        <v>1.76</v>
      </c>
      <c r="BW1466">
        <v>1.04</v>
      </c>
      <c r="BX1466">
        <v>3.21</v>
      </c>
      <c r="BY1466">
        <v>2.23</v>
      </c>
      <c r="BZ1466">
        <v>0.43</v>
      </c>
      <c r="CA1466">
        <v>1.8</v>
      </c>
      <c r="CB1466">
        <v>2.2999999999999998</v>
      </c>
      <c r="CC1466">
        <v>-0.06</v>
      </c>
      <c r="CD1466">
        <v>-0.51</v>
      </c>
      <c r="CE1466">
        <v>0.87</v>
      </c>
      <c r="CF1466">
        <v>1.19</v>
      </c>
      <c r="CG1466">
        <v>0</v>
      </c>
      <c r="CH1466">
        <v>2.48</v>
      </c>
      <c r="CI1466">
        <v>0</v>
      </c>
      <c r="CJ1466">
        <v>-2.2999999999999998</v>
      </c>
      <c r="CK1466">
        <v>58</v>
      </c>
      <c r="CL1466">
        <v>-1.42</v>
      </c>
      <c r="CM1466">
        <v>53</v>
      </c>
      <c r="CN1466">
        <v>-0.85</v>
      </c>
      <c r="CO1466">
        <v>51</v>
      </c>
      <c r="CP1466">
        <v>1.3</v>
      </c>
      <c r="CQ1466">
        <v>42</v>
      </c>
      <c r="CR1466">
        <v>0</v>
      </c>
      <c r="CS1466">
        <v>0</v>
      </c>
      <c r="CT1466">
        <v>12</v>
      </c>
      <c r="CU1466">
        <v>41</v>
      </c>
      <c r="CV1466">
        <v>0.37</v>
      </c>
      <c r="CW1466">
        <v>16</v>
      </c>
      <c r="CX1466" t="s">
        <v>350</v>
      </c>
    </row>
    <row r="1467" spans="1:102" x14ac:dyDescent="0.3">
      <c r="A1467" t="str">
        <f>HYPERLINK("https://webapp.icbf.com/v2/app/bull-search/view/494745667","BUJ")</f>
        <v>BUJ</v>
      </c>
      <c r="B1467" t="s">
        <v>4224</v>
      </c>
      <c r="C1467" t="s">
        <v>4225</v>
      </c>
      <c r="D1467" s="1">
        <v>39112</v>
      </c>
      <c r="E1467" t="s">
        <v>92</v>
      </c>
      <c r="F1467">
        <v>94</v>
      </c>
      <c r="G1467" t="s">
        <v>93</v>
      </c>
      <c r="H1467">
        <v>109.18</v>
      </c>
      <c r="I1467">
        <v>89</v>
      </c>
      <c r="J1467">
        <v>9.84</v>
      </c>
      <c r="K1467">
        <v>97</v>
      </c>
      <c r="L1467">
        <v>47.21</v>
      </c>
      <c r="M1467">
        <v>81</v>
      </c>
      <c r="N1467">
        <v>53.23</v>
      </c>
      <c r="O1467">
        <v>87</v>
      </c>
      <c r="P1467">
        <v>-17.260000000000002</v>
      </c>
      <c r="Q1467">
        <v>92</v>
      </c>
      <c r="R1467">
        <v>1.74</v>
      </c>
      <c r="S1467">
        <v>84</v>
      </c>
      <c r="T1467">
        <v>15.53</v>
      </c>
      <c r="U1467">
        <v>89</v>
      </c>
      <c r="V1467">
        <v>-1.1100000000000001</v>
      </c>
      <c r="W1467">
        <v>85</v>
      </c>
      <c r="X1467" t="s">
        <v>94</v>
      </c>
      <c r="Y1467" t="s">
        <v>1405</v>
      </c>
      <c r="Z1467" t="s">
        <v>96</v>
      </c>
      <c r="AA1467" t="s">
        <v>204</v>
      </c>
      <c r="AB1467" t="s">
        <v>4226</v>
      </c>
      <c r="AC1467">
        <v>97</v>
      </c>
      <c r="AD1467">
        <v>69</v>
      </c>
      <c r="AE1467">
        <v>97</v>
      </c>
      <c r="AF1467">
        <v>94.03</v>
      </c>
      <c r="AG1467">
        <v>4.1900000000000004</v>
      </c>
      <c r="AH1467">
        <v>1.63</v>
      </c>
      <c r="AI1467">
        <v>0.01</v>
      </c>
      <c r="AJ1467">
        <v>-0.03</v>
      </c>
      <c r="AK1467">
        <v>81</v>
      </c>
      <c r="AL1467">
        <v>105</v>
      </c>
      <c r="AM1467">
        <v>74</v>
      </c>
      <c r="AN1467">
        <v>-2.94</v>
      </c>
      <c r="AO1467">
        <v>0.82</v>
      </c>
      <c r="AP1467">
        <v>211</v>
      </c>
      <c r="AQ1467">
        <v>3</v>
      </c>
      <c r="AR1467">
        <v>4.29</v>
      </c>
      <c r="AS1467">
        <v>72</v>
      </c>
      <c r="AT1467">
        <v>1.73</v>
      </c>
      <c r="AU1467">
        <v>89</v>
      </c>
      <c r="AV1467">
        <v>-4.9000000000000004</v>
      </c>
      <c r="AW1467">
        <v>97</v>
      </c>
      <c r="AX1467">
        <v>-0.69</v>
      </c>
      <c r="AY1467">
        <v>83</v>
      </c>
      <c r="AZ1467">
        <v>8.18</v>
      </c>
      <c r="BA1467">
        <v>69</v>
      </c>
      <c r="BB1467">
        <v>5.38</v>
      </c>
      <c r="BC1467">
        <v>72</v>
      </c>
      <c r="BD1467">
        <v>0</v>
      </c>
      <c r="BE1467">
        <v>0</v>
      </c>
      <c r="BF1467">
        <v>-0.04</v>
      </c>
      <c r="BG1467">
        <v>90</v>
      </c>
      <c r="BH1467">
        <v>-0.12</v>
      </c>
      <c r="BI1467">
        <v>-10.31</v>
      </c>
      <c r="BJ1467">
        <v>9</v>
      </c>
      <c r="BK1467">
        <v>9</v>
      </c>
      <c r="BL1467">
        <v>-0.47</v>
      </c>
      <c r="BM1467">
        <v>-1.59</v>
      </c>
      <c r="BN1467">
        <v>-1.06</v>
      </c>
      <c r="BO1467">
        <v>-0.02</v>
      </c>
      <c r="BP1467">
        <v>-1.56</v>
      </c>
      <c r="BQ1467">
        <v>-0.65</v>
      </c>
      <c r="BR1467">
        <v>0.17</v>
      </c>
      <c r="BS1467">
        <v>-1.77</v>
      </c>
      <c r="BT1467">
        <v>-1.49</v>
      </c>
      <c r="BU1467">
        <v>-1.6</v>
      </c>
      <c r="BV1467">
        <v>-0.3</v>
      </c>
      <c r="BW1467">
        <v>-1.0900000000000001</v>
      </c>
      <c r="BX1467">
        <v>-0.46</v>
      </c>
      <c r="BY1467">
        <v>-1.69</v>
      </c>
      <c r="BZ1467">
        <v>0.62</v>
      </c>
      <c r="CA1467">
        <v>-2.23</v>
      </c>
      <c r="CB1467">
        <v>-1.75</v>
      </c>
      <c r="CC1467">
        <v>-2.2400000000000002</v>
      </c>
      <c r="CD1467">
        <v>-1.06</v>
      </c>
      <c r="CE1467">
        <v>-0.19</v>
      </c>
      <c r="CF1467">
        <v>-1.66</v>
      </c>
      <c r="CG1467">
        <v>0</v>
      </c>
      <c r="CH1467">
        <v>-2.81</v>
      </c>
      <c r="CI1467">
        <v>0</v>
      </c>
      <c r="CJ1467">
        <v>-6.2</v>
      </c>
      <c r="CK1467">
        <v>93</v>
      </c>
      <c r="CL1467">
        <v>-0.69</v>
      </c>
      <c r="CM1467">
        <v>92</v>
      </c>
      <c r="CN1467">
        <v>0.01</v>
      </c>
      <c r="CO1467">
        <v>90</v>
      </c>
      <c r="CP1467">
        <v>-9.8000000000000007</v>
      </c>
      <c r="CQ1467">
        <v>89</v>
      </c>
      <c r="CR1467">
        <v>0</v>
      </c>
      <c r="CS1467">
        <v>0</v>
      </c>
      <c r="CT1467">
        <v>-7.2</v>
      </c>
      <c r="CU1467">
        <v>89</v>
      </c>
      <c r="CV1467">
        <v>0.04</v>
      </c>
      <c r="CW1467">
        <v>46</v>
      </c>
      <c r="CX1467" t="s">
        <v>1252</v>
      </c>
    </row>
    <row r="1468" spans="1:102" x14ac:dyDescent="0.3">
      <c r="A1468" t="str">
        <f>HYPERLINK("https://webapp.icbf.com/v2/app/bull-search/view/1231248625","JE4536")</f>
        <v>JE4536</v>
      </c>
      <c r="B1468" t="s">
        <v>9480</v>
      </c>
      <c r="C1468" t="s">
        <v>9481</v>
      </c>
      <c r="D1468" s="1">
        <v>41370</v>
      </c>
      <c r="E1468" t="s">
        <v>227</v>
      </c>
      <c r="F1468">
        <v>0</v>
      </c>
      <c r="G1468" t="s">
        <v>109</v>
      </c>
      <c r="H1468">
        <v>109.08</v>
      </c>
      <c r="I1468">
        <v>69</v>
      </c>
      <c r="J1468">
        <v>49.56</v>
      </c>
      <c r="K1468">
        <v>86</v>
      </c>
      <c r="L1468">
        <v>43.26</v>
      </c>
      <c r="M1468">
        <v>78</v>
      </c>
      <c r="N1468">
        <v>2.39</v>
      </c>
      <c r="O1468">
        <v>48</v>
      </c>
      <c r="P1468">
        <v>-67.88</v>
      </c>
      <c r="Q1468">
        <v>33</v>
      </c>
      <c r="R1468">
        <v>2.16</v>
      </c>
      <c r="S1468">
        <v>56</v>
      </c>
      <c r="T1468">
        <v>75.17</v>
      </c>
      <c r="U1468">
        <v>33</v>
      </c>
      <c r="V1468">
        <v>4.42</v>
      </c>
      <c r="W1468">
        <v>55</v>
      </c>
      <c r="X1468" t="s">
        <v>428</v>
      </c>
      <c r="Y1468" t="s">
        <v>442</v>
      </c>
      <c r="Z1468">
        <v>0</v>
      </c>
      <c r="AA1468" t="s">
        <v>9482</v>
      </c>
      <c r="AB1468" t="s">
        <v>9483</v>
      </c>
      <c r="AC1468">
        <v>0</v>
      </c>
      <c r="AD1468">
        <v>0</v>
      </c>
      <c r="AE1468">
        <v>86</v>
      </c>
      <c r="AF1468">
        <v>-5.33</v>
      </c>
      <c r="AG1468">
        <v>14.1</v>
      </c>
      <c r="AH1468">
        <v>3.36</v>
      </c>
      <c r="AI1468">
        <v>0.24</v>
      </c>
      <c r="AJ1468">
        <v>7.0000000000000007E-2</v>
      </c>
      <c r="AK1468">
        <v>78</v>
      </c>
      <c r="AL1468">
        <v>0</v>
      </c>
      <c r="AM1468">
        <v>0</v>
      </c>
      <c r="AN1468">
        <v>-0.01</v>
      </c>
      <c r="AO1468">
        <v>3.47</v>
      </c>
      <c r="AP1468">
        <v>12</v>
      </c>
      <c r="AQ1468">
        <v>0</v>
      </c>
      <c r="AR1468">
        <v>3.22</v>
      </c>
      <c r="AS1468">
        <v>45</v>
      </c>
      <c r="AT1468">
        <v>1.81</v>
      </c>
      <c r="AU1468">
        <v>51</v>
      </c>
      <c r="AV1468">
        <v>0.98</v>
      </c>
      <c r="AW1468">
        <v>55</v>
      </c>
      <c r="AX1468">
        <v>2.1800000000000002</v>
      </c>
      <c r="AY1468">
        <v>39</v>
      </c>
      <c r="AZ1468">
        <v>7.19</v>
      </c>
      <c r="BA1468">
        <v>35</v>
      </c>
      <c r="BB1468">
        <v>5.33</v>
      </c>
      <c r="BC1468">
        <v>35</v>
      </c>
      <c r="BD1468">
        <v>-7.0000000000000007E-2</v>
      </c>
      <c r="BE1468">
        <v>0.03</v>
      </c>
      <c r="BF1468">
        <v>0.01</v>
      </c>
      <c r="BG1468">
        <v>61</v>
      </c>
      <c r="BH1468">
        <v>0.14000000000000001</v>
      </c>
      <c r="BI1468">
        <v>1.94</v>
      </c>
      <c r="BJ1468">
        <v>0</v>
      </c>
      <c r="BK1468">
        <v>0</v>
      </c>
      <c r="BL1468">
        <v>-0.6</v>
      </c>
      <c r="BM1468">
        <v>-1.21</v>
      </c>
      <c r="BN1468">
        <v>0.47</v>
      </c>
      <c r="BO1468">
        <v>1.77</v>
      </c>
      <c r="BP1468">
        <v>-0.67</v>
      </c>
      <c r="BQ1468">
        <v>-4.0999999999999996</v>
      </c>
      <c r="BR1468">
        <v>1.91</v>
      </c>
      <c r="BS1468">
        <v>6.85</v>
      </c>
      <c r="BT1468">
        <v>-0.74</v>
      </c>
      <c r="BU1468">
        <v>1.57</v>
      </c>
      <c r="BV1468">
        <v>1.56</v>
      </c>
      <c r="BW1468">
        <v>-0.68</v>
      </c>
      <c r="BX1468">
        <v>-1.4</v>
      </c>
      <c r="BY1468">
        <v>0.84</v>
      </c>
      <c r="BZ1468">
        <v>0.34</v>
      </c>
      <c r="CA1468">
        <v>2.78</v>
      </c>
      <c r="CB1468">
        <v>1.48</v>
      </c>
      <c r="CC1468">
        <v>4.22</v>
      </c>
      <c r="CD1468">
        <v>-2.08</v>
      </c>
      <c r="CE1468">
        <v>1.58</v>
      </c>
      <c r="CF1468">
        <v>0.11</v>
      </c>
      <c r="CG1468">
        <v>0</v>
      </c>
      <c r="CH1468">
        <v>0.35</v>
      </c>
      <c r="CI1468">
        <v>0</v>
      </c>
      <c r="CJ1468">
        <v>-34.5</v>
      </c>
      <c r="CK1468">
        <v>33</v>
      </c>
      <c r="CL1468">
        <v>-1.48</v>
      </c>
      <c r="CM1468">
        <v>33</v>
      </c>
      <c r="CN1468">
        <v>-0.35</v>
      </c>
      <c r="CO1468">
        <v>33</v>
      </c>
      <c r="CP1468">
        <v>-60.6</v>
      </c>
      <c r="CQ1468">
        <v>33</v>
      </c>
      <c r="CR1468">
        <v>0</v>
      </c>
      <c r="CS1468">
        <v>0</v>
      </c>
      <c r="CT1468">
        <v>-87.8</v>
      </c>
      <c r="CU1468">
        <v>33</v>
      </c>
      <c r="CV1468">
        <v>-0.23</v>
      </c>
      <c r="CW1468">
        <v>31</v>
      </c>
      <c r="CX1468" t="s">
        <v>9484</v>
      </c>
    </row>
    <row r="1469" spans="1:102" x14ac:dyDescent="0.3">
      <c r="A1469" t="str">
        <f>HYPERLINK("https://webapp.icbf.com/v2/app/bull-search/view/77852794","UYC")</f>
        <v>UYC</v>
      </c>
      <c r="B1469" t="s">
        <v>791</v>
      </c>
      <c r="C1469" t="s">
        <v>792</v>
      </c>
      <c r="D1469" s="1">
        <v>34928</v>
      </c>
      <c r="E1469" t="s">
        <v>108</v>
      </c>
      <c r="F1469">
        <v>41</v>
      </c>
      <c r="G1469" t="s">
        <v>93</v>
      </c>
      <c r="H1469">
        <v>109.05</v>
      </c>
      <c r="I1469">
        <v>99</v>
      </c>
      <c r="J1469">
        <v>77.22</v>
      </c>
      <c r="K1469">
        <v>99</v>
      </c>
      <c r="L1469">
        <v>7.94</v>
      </c>
      <c r="M1469">
        <v>99</v>
      </c>
      <c r="N1469">
        <v>27.64</v>
      </c>
      <c r="O1469">
        <v>99</v>
      </c>
      <c r="P1469">
        <v>-24.24</v>
      </c>
      <c r="Q1469">
        <v>99</v>
      </c>
      <c r="R1469">
        <v>-6.06</v>
      </c>
      <c r="S1469">
        <v>99</v>
      </c>
      <c r="T1469">
        <v>28.18</v>
      </c>
      <c r="U1469">
        <v>99</v>
      </c>
      <c r="V1469">
        <v>-1.63</v>
      </c>
      <c r="W1469">
        <v>99</v>
      </c>
      <c r="X1469" t="s">
        <v>302</v>
      </c>
      <c r="Y1469" t="s">
        <v>95</v>
      </c>
      <c r="Z1469" t="s">
        <v>96</v>
      </c>
      <c r="AA1469" t="s">
        <v>793</v>
      </c>
      <c r="AB1469" t="s">
        <v>794</v>
      </c>
      <c r="AC1469">
        <v>14928</v>
      </c>
      <c r="AD1469">
        <v>1983</v>
      </c>
      <c r="AE1469">
        <v>99</v>
      </c>
      <c r="AF1469">
        <v>52.32</v>
      </c>
      <c r="AG1469">
        <v>14.88</v>
      </c>
      <c r="AH1469">
        <v>8.67</v>
      </c>
      <c r="AI1469">
        <v>0.22</v>
      </c>
      <c r="AJ1469">
        <v>0.12</v>
      </c>
      <c r="AK1469">
        <v>99</v>
      </c>
      <c r="AL1469">
        <v>15214</v>
      </c>
      <c r="AM1469">
        <v>2238</v>
      </c>
      <c r="AN1469">
        <v>0.12</v>
      </c>
      <c r="AO1469">
        <v>0.76</v>
      </c>
      <c r="AP1469">
        <v>23035</v>
      </c>
      <c r="AQ1469">
        <v>100</v>
      </c>
      <c r="AR1469">
        <v>6.04</v>
      </c>
      <c r="AS1469">
        <v>99</v>
      </c>
      <c r="AT1469">
        <v>2.3199999999999998</v>
      </c>
      <c r="AU1469">
        <v>99</v>
      </c>
      <c r="AV1469">
        <v>-2.61</v>
      </c>
      <c r="AW1469">
        <v>99</v>
      </c>
      <c r="AX1469">
        <v>-0.34</v>
      </c>
      <c r="AY1469">
        <v>99</v>
      </c>
      <c r="AZ1469">
        <v>7.92</v>
      </c>
      <c r="BA1469">
        <v>99</v>
      </c>
      <c r="BB1469">
        <v>5.34</v>
      </c>
      <c r="BC1469">
        <v>99</v>
      </c>
      <c r="BD1469">
        <v>-0.01</v>
      </c>
      <c r="BE1469">
        <v>0.04</v>
      </c>
      <c r="BF1469">
        <v>0.08</v>
      </c>
      <c r="BG1469">
        <v>99</v>
      </c>
      <c r="BH1469">
        <v>-0.02</v>
      </c>
      <c r="BI1469">
        <v>2.95</v>
      </c>
      <c r="BJ1469">
        <v>559</v>
      </c>
      <c r="BK1469">
        <v>180</v>
      </c>
      <c r="BL1469">
        <v>-1.58</v>
      </c>
      <c r="BM1469">
        <v>-0.47</v>
      </c>
      <c r="BN1469">
        <v>-0.86</v>
      </c>
      <c r="BO1469">
        <v>-0.74</v>
      </c>
      <c r="BP1469">
        <v>0.56000000000000005</v>
      </c>
      <c r="BQ1469">
        <v>-2.94</v>
      </c>
      <c r="BR1469">
        <v>1.38</v>
      </c>
      <c r="BS1469">
        <v>0.41</v>
      </c>
      <c r="BT1469">
        <v>-2.17</v>
      </c>
      <c r="BU1469">
        <v>-1.17</v>
      </c>
      <c r="BV1469">
        <v>-1.18</v>
      </c>
      <c r="BW1469">
        <v>-1.35</v>
      </c>
      <c r="BX1469">
        <v>-1.53</v>
      </c>
      <c r="BY1469">
        <v>-2.25</v>
      </c>
      <c r="BZ1469">
        <v>0.27</v>
      </c>
      <c r="CA1469">
        <v>-1.2</v>
      </c>
      <c r="CB1469">
        <v>-1.1499999999999999</v>
      </c>
      <c r="CC1469">
        <v>-0.55000000000000004</v>
      </c>
      <c r="CD1469">
        <v>7.0000000000000007E-2</v>
      </c>
      <c r="CE1469">
        <v>-0.71</v>
      </c>
      <c r="CF1469">
        <v>-1.83</v>
      </c>
      <c r="CG1469">
        <v>0</v>
      </c>
      <c r="CH1469">
        <v>-2.2400000000000002</v>
      </c>
      <c r="CI1469">
        <v>0</v>
      </c>
      <c r="CJ1469">
        <v>-11.2</v>
      </c>
      <c r="CK1469">
        <v>99</v>
      </c>
      <c r="CL1469">
        <v>-0.62</v>
      </c>
      <c r="CM1469">
        <v>99</v>
      </c>
      <c r="CN1469">
        <v>-0.06</v>
      </c>
      <c r="CO1469">
        <v>99</v>
      </c>
      <c r="CP1469">
        <v>-20.6</v>
      </c>
      <c r="CQ1469">
        <v>99</v>
      </c>
      <c r="CR1469">
        <v>0</v>
      </c>
      <c r="CS1469">
        <v>0</v>
      </c>
      <c r="CT1469">
        <v>-24.3</v>
      </c>
      <c r="CU1469">
        <v>99</v>
      </c>
      <c r="CV1469">
        <v>0.08</v>
      </c>
      <c r="CW1469">
        <v>51</v>
      </c>
      <c r="CX1469" t="s">
        <v>795</v>
      </c>
    </row>
    <row r="1470" spans="1:102" x14ac:dyDescent="0.3">
      <c r="A1470" t="str">
        <f>HYPERLINK("https://webapp.icbf.com/v2/app/bull-search/view/720503897","S1116")</f>
        <v>S1116</v>
      </c>
      <c r="B1470" t="s">
        <v>14172</v>
      </c>
      <c r="C1470" t="s">
        <v>2252</v>
      </c>
      <c r="D1470" s="1">
        <v>38252</v>
      </c>
      <c r="E1470" t="s">
        <v>227</v>
      </c>
      <c r="F1470">
        <v>0</v>
      </c>
      <c r="G1470" t="s">
        <v>109</v>
      </c>
      <c r="H1470">
        <v>108.89</v>
      </c>
      <c r="I1470">
        <v>65</v>
      </c>
      <c r="J1470">
        <v>31.06</v>
      </c>
      <c r="K1470">
        <v>79</v>
      </c>
      <c r="L1470">
        <v>76.12</v>
      </c>
      <c r="M1470">
        <v>72</v>
      </c>
      <c r="N1470">
        <v>-6.41</v>
      </c>
      <c r="O1470">
        <v>48</v>
      </c>
      <c r="P1470">
        <v>-76.27</v>
      </c>
      <c r="Q1470">
        <v>41</v>
      </c>
      <c r="R1470">
        <v>3.39</v>
      </c>
      <c r="S1470">
        <v>42</v>
      </c>
      <c r="T1470">
        <v>74.430000000000007</v>
      </c>
      <c r="U1470">
        <v>43</v>
      </c>
      <c r="V1470">
        <v>6.57</v>
      </c>
      <c r="W1470">
        <v>42</v>
      </c>
      <c r="X1470" t="s">
        <v>94</v>
      </c>
      <c r="Y1470" t="s">
        <v>336</v>
      </c>
      <c r="Z1470">
        <v>0</v>
      </c>
      <c r="AA1470" t="s">
        <v>2659</v>
      </c>
      <c r="AB1470" t="s">
        <v>144</v>
      </c>
      <c r="AC1470">
        <v>0</v>
      </c>
      <c r="AD1470">
        <v>0</v>
      </c>
      <c r="AE1470">
        <v>79</v>
      </c>
      <c r="AF1470">
        <v>-494.73</v>
      </c>
      <c r="AG1470">
        <v>9.92</v>
      </c>
      <c r="AH1470">
        <v>-5.8</v>
      </c>
      <c r="AI1470">
        <v>0.53</v>
      </c>
      <c r="AJ1470">
        <v>0.2</v>
      </c>
      <c r="AK1470">
        <v>72</v>
      </c>
      <c r="AL1470">
        <v>0</v>
      </c>
      <c r="AM1470">
        <v>0</v>
      </c>
      <c r="AN1470">
        <v>-3.39</v>
      </c>
      <c r="AO1470">
        <v>2.69</v>
      </c>
      <c r="AP1470">
        <v>9</v>
      </c>
      <c r="AQ1470">
        <v>0</v>
      </c>
      <c r="AR1470">
        <v>3.33</v>
      </c>
      <c r="AS1470">
        <v>46</v>
      </c>
      <c r="AT1470">
        <v>1.66</v>
      </c>
      <c r="AU1470">
        <v>37</v>
      </c>
      <c r="AV1470">
        <v>0.01</v>
      </c>
      <c r="AW1470">
        <v>64</v>
      </c>
      <c r="AX1470">
        <v>9.39</v>
      </c>
      <c r="AY1470">
        <v>42</v>
      </c>
      <c r="AZ1470">
        <v>7.12</v>
      </c>
      <c r="BA1470">
        <v>29</v>
      </c>
      <c r="BB1470">
        <v>5.07</v>
      </c>
      <c r="BC1470">
        <v>29</v>
      </c>
      <c r="BD1470">
        <v>-0.03</v>
      </c>
      <c r="BE1470">
        <v>-0.02</v>
      </c>
      <c r="BF1470">
        <v>0.01</v>
      </c>
      <c r="BG1470">
        <v>50</v>
      </c>
      <c r="BH1470">
        <v>0.19</v>
      </c>
      <c r="BI1470">
        <v>0.79</v>
      </c>
      <c r="BJ1470">
        <v>1</v>
      </c>
      <c r="BK1470">
        <v>1</v>
      </c>
      <c r="BL1470">
        <v>-1.35</v>
      </c>
      <c r="BM1470">
        <v>-1.68</v>
      </c>
      <c r="BN1470">
        <v>-0.4</v>
      </c>
      <c r="BO1470">
        <v>1.32</v>
      </c>
      <c r="BP1470">
        <v>-0.93</v>
      </c>
      <c r="BQ1470">
        <v>-5.13</v>
      </c>
      <c r="BR1470">
        <v>1.61</v>
      </c>
      <c r="BS1470">
        <v>7.76</v>
      </c>
      <c r="BT1470">
        <v>-0.39</v>
      </c>
      <c r="BU1470">
        <v>0.99</v>
      </c>
      <c r="BV1470">
        <v>1.21</v>
      </c>
      <c r="BW1470">
        <v>-0.43</v>
      </c>
      <c r="BX1470">
        <v>-1.68</v>
      </c>
      <c r="BY1470">
        <v>-0.06</v>
      </c>
      <c r="BZ1470">
        <v>-0.18</v>
      </c>
      <c r="CA1470">
        <v>2.38</v>
      </c>
      <c r="CB1470">
        <v>0.63</v>
      </c>
      <c r="CC1470">
        <v>4.8</v>
      </c>
      <c r="CD1470">
        <v>-2.12</v>
      </c>
      <c r="CE1470">
        <v>1.32</v>
      </c>
      <c r="CF1470">
        <v>-1.1599999999999999</v>
      </c>
      <c r="CG1470">
        <v>0</v>
      </c>
      <c r="CH1470">
        <v>-0.15</v>
      </c>
      <c r="CI1470">
        <v>0</v>
      </c>
      <c r="CJ1470">
        <v>-41.6</v>
      </c>
      <c r="CK1470">
        <v>43</v>
      </c>
      <c r="CL1470">
        <v>-1.32</v>
      </c>
      <c r="CM1470">
        <v>37</v>
      </c>
      <c r="CN1470">
        <v>-0.38</v>
      </c>
      <c r="CO1470">
        <v>34</v>
      </c>
      <c r="CP1470">
        <v>-64.599999999999994</v>
      </c>
      <c r="CQ1470">
        <v>45</v>
      </c>
      <c r="CR1470">
        <v>0</v>
      </c>
      <c r="CS1470">
        <v>0</v>
      </c>
      <c r="CT1470">
        <v>-86.8</v>
      </c>
      <c r="CU1470">
        <v>43</v>
      </c>
      <c r="CV1470">
        <v>-0.48</v>
      </c>
      <c r="CW1470">
        <v>11</v>
      </c>
      <c r="CX1470" t="s">
        <v>1781</v>
      </c>
    </row>
    <row r="1471" spans="1:102" x14ac:dyDescent="0.3">
      <c r="A1471" t="str">
        <f>HYPERLINK("https://webapp.icbf.com/v2/app/bull-search/view/586153355","WBS")</f>
        <v>WBS</v>
      </c>
      <c r="B1471" t="s">
        <v>5329</v>
      </c>
      <c r="C1471" t="s">
        <v>5330</v>
      </c>
      <c r="D1471" s="1">
        <v>39252</v>
      </c>
      <c r="E1471" t="s">
        <v>227</v>
      </c>
      <c r="F1471">
        <v>38</v>
      </c>
      <c r="G1471" t="s">
        <v>93</v>
      </c>
      <c r="H1471">
        <v>108.77</v>
      </c>
      <c r="I1471">
        <v>90</v>
      </c>
      <c r="J1471">
        <v>33.130000000000003</v>
      </c>
      <c r="K1471">
        <v>97</v>
      </c>
      <c r="L1471">
        <v>19.09</v>
      </c>
      <c r="M1471">
        <v>84</v>
      </c>
      <c r="N1471">
        <v>36.25</v>
      </c>
      <c r="O1471">
        <v>88</v>
      </c>
      <c r="P1471">
        <v>-41.2</v>
      </c>
      <c r="Q1471">
        <v>92</v>
      </c>
      <c r="R1471">
        <v>1.88</v>
      </c>
      <c r="S1471">
        <v>82</v>
      </c>
      <c r="T1471">
        <v>47.05</v>
      </c>
      <c r="U1471">
        <v>91</v>
      </c>
      <c r="V1471">
        <v>12.57</v>
      </c>
      <c r="W1471">
        <v>83</v>
      </c>
      <c r="X1471" t="s">
        <v>276</v>
      </c>
      <c r="Y1471" t="s">
        <v>319</v>
      </c>
      <c r="Z1471">
        <v>0</v>
      </c>
      <c r="AA1471" t="s">
        <v>1451</v>
      </c>
      <c r="AB1471" t="s">
        <v>144</v>
      </c>
      <c r="AC1471">
        <v>116</v>
      </c>
      <c r="AD1471">
        <v>50</v>
      </c>
      <c r="AE1471">
        <v>97</v>
      </c>
      <c r="AF1471">
        <v>-149.52000000000001</v>
      </c>
      <c r="AG1471">
        <v>7</v>
      </c>
      <c r="AH1471">
        <v>0.87</v>
      </c>
      <c r="AI1471">
        <v>0.23</v>
      </c>
      <c r="AJ1471">
        <v>0.11</v>
      </c>
      <c r="AK1471">
        <v>84</v>
      </c>
      <c r="AL1471">
        <v>136</v>
      </c>
      <c r="AM1471">
        <v>53</v>
      </c>
      <c r="AN1471">
        <v>-1.22</v>
      </c>
      <c r="AO1471">
        <v>0.3</v>
      </c>
      <c r="AP1471">
        <v>238</v>
      </c>
      <c r="AQ1471">
        <v>1</v>
      </c>
      <c r="AR1471">
        <v>3.6</v>
      </c>
      <c r="AS1471">
        <v>80</v>
      </c>
      <c r="AT1471">
        <v>1.85</v>
      </c>
      <c r="AU1471">
        <v>88</v>
      </c>
      <c r="AV1471">
        <v>-2.74</v>
      </c>
      <c r="AW1471">
        <v>96</v>
      </c>
      <c r="AX1471">
        <v>0.66</v>
      </c>
      <c r="AY1471">
        <v>84</v>
      </c>
      <c r="AZ1471">
        <v>5.91</v>
      </c>
      <c r="BA1471">
        <v>70</v>
      </c>
      <c r="BB1471">
        <v>5.47</v>
      </c>
      <c r="BC1471">
        <v>72</v>
      </c>
      <c r="BD1471">
        <v>-0.05</v>
      </c>
      <c r="BE1471">
        <v>0</v>
      </c>
      <c r="BF1471">
        <v>0.04</v>
      </c>
      <c r="BG1471">
        <v>92</v>
      </c>
      <c r="BH1471">
        <v>0.1</v>
      </c>
      <c r="BI1471">
        <v>-28.97</v>
      </c>
      <c r="BJ1471">
        <v>19</v>
      </c>
      <c r="BK1471">
        <v>8</v>
      </c>
      <c r="BL1471">
        <v>-2.73</v>
      </c>
      <c r="BM1471">
        <v>-0.5</v>
      </c>
      <c r="BN1471">
        <v>-1.27</v>
      </c>
      <c r="BO1471">
        <v>-0.14000000000000001</v>
      </c>
      <c r="BP1471">
        <v>-2.98</v>
      </c>
      <c r="BQ1471">
        <v>-2.68</v>
      </c>
      <c r="BR1471">
        <v>1.57</v>
      </c>
      <c r="BS1471">
        <v>0.46</v>
      </c>
      <c r="BT1471">
        <v>-2.66</v>
      </c>
      <c r="BU1471">
        <v>-1.97</v>
      </c>
      <c r="BV1471">
        <v>-1.59</v>
      </c>
      <c r="BW1471">
        <v>-1.68</v>
      </c>
      <c r="BX1471">
        <v>-2.99</v>
      </c>
      <c r="BY1471">
        <v>-0.65</v>
      </c>
      <c r="BZ1471">
        <v>-1.1599999999999999</v>
      </c>
      <c r="CA1471">
        <v>-1.39</v>
      </c>
      <c r="CB1471">
        <v>-1.34</v>
      </c>
      <c r="CC1471">
        <v>-0.59</v>
      </c>
      <c r="CD1471">
        <v>-0.79</v>
      </c>
      <c r="CE1471">
        <v>-0.03</v>
      </c>
      <c r="CF1471">
        <v>-2.89</v>
      </c>
      <c r="CG1471">
        <v>0</v>
      </c>
      <c r="CH1471">
        <v>-1.31</v>
      </c>
      <c r="CI1471">
        <v>0</v>
      </c>
      <c r="CJ1471">
        <v>-20.3</v>
      </c>
      <c r="CK1471">
        <v>93</v>
      </c>
      <c r="CL1471">
        <v>-0.85</v>
      </c>
      <c r="CM1471">
        <v>91</v>
      </c>
      <c r="CN1471">
        <v>-0.03</v>
      </c>
      <c r="CO1471">
        <v>90</v>
      </c>
      <c r="CP1471">
        <v>-31.8</v>
      </c>
      <c r="CQ1471">
        <v>89</v>
      </c>
      <c r="CR1471">
        <v>0</v>
      </c>
      <c r="CS1471">
        <v>0</v>
      </c>
      <c r="CT1471">
        <v>-49.8</v>
      </c>
      <c r="CU1471">
        <v>91</v>
      </c>
      <c r="CV1471">
        <v>-0.03</v>
      </c>
      <c r="CW1471">
        <v>45</v>
      </c>
      <c r="CX1471" t="s">
        <v>321</v>
      </c>
    </row>
    <row r="1472" spans="1:102" x14ac:dyDescent="0.3">
      <c r="A1472" t="str">
        <f>HYPERLINK("https://webapp.icbf.com/v2/app/bull-search/view/445012393","RXL")</f>
        <v>RXL</v>
      </c>
      <c r="B1472" t="s">
        <v>14465</v>
      </c>
      <c r="C1472" t="s">
        <v>14466</v>
      </c>
      <c r="D1472" s="1">
        <v>38762</v>
      </c>
      <c r="E1472" t="s">
        <v>92</v>
      </c>
      <c r="F1472">
        <v>91</v>
      </c>
      <c r="G1472" t="s">
        <v>93</v>
      </c>
      <c r="H1472">
        <v>108.76</v>
      </c>
      <c r="I1472">
        <v>88</v>
      </c>
      <c r="J1472">
        <v>-0.61</v>
      </c>
      <c r="K1472">
        <v>97</v>
      </c>
      <c r="L1472">
        <v>39.090000000000003</v>
      </c>
      <c r="M1472">
        <v>80</v>
      </c>
      <c r="N1472">
        <v>37.869999999999997</v>
      </c>
      <c r="O1472">
        <v>87</v>
      </c>
      <c r="P1472">
        <v>-4.9400000000000004</v>
      </c>
      <c r="Q1472">
        <v>90</v>
      </c>
      <c r="R1472">
        <v>7.89</v>
      </c>
      <c r="S1472">
        <v>83</v>
      </c>
      <c r="T1472">
        <v>19.3</v>
      </c>
      <c r="U1472">
        <v>91</v>
      </c>
      <c r="V1472">
        <v>10.16</v>
      </c>
      <c r="W1472">
        <v>85</v>
      </c>
      <c r="X1472" t="s">
        <v>94</v>
      </c>
      <c r="Y1472" t="s">
        <v>1251</v>
      </c>
      <c r="Z1472" t="s">
        <v>96</v>
      </c>
      <c r="AA1472" t="s">
        <v>1165</v>
      </c>
      <c r="AB1472" t="s">
        <v>14467</v>
      </c>
      <c r="AC1472">
        <v>90</v>
      </c>
      <c r="AD1472">
        <v>63</v>
      </c>
      <c r="AE1472">
        <v>97</v>
      </c>
      <c r="AF1472">
        <v>-181.99</v>
      </c>
      <c r="AG1472">
        <v>1.81</v>
      </c>
      <c r="AH1472">
        <v>-3.53</v>
      </c>
      <c r="AI1472">
        <v>0.16</v>
      </c>
      <c r="AJ1472">
        <v>0.05</v>
      </c>
      <c r="AK1472">
        <v>80</v>
      </c>
      <c r="AL1472">
        <v>89</v>
      </c>
      <c r="AM1472">
        <v>60</v>
      </c>
      <c r="AN1472">
        <v>-1.18</v>
      </c>
      <c r="AO1472">
        <v>1.95</v>
      </c>
      <c r="AP1472">
        <v>204</v>
      </c>
      <c r="AQ1472">
        <v>1</v>
      </c>
      <c r="AR1472">
        <v>5.36</v>
      </c>
      <c r="AS1472">
        <v>73</v>
      </c>
      <c r="AT1472">
        <v>1.93</v>
      </c>
      <c r="AU1472">
        <v>89</v>
      </c>
      <c r="AV1472">
        <v>-3.16</v>
      </c>
      <c r="AW1472">
        <v>96</v>
      </c>
      <c r="AX1472">
        <v>-0.51</v>
      </c>
      <c r="AY1472">
        <v>81</v>
      </c>
      <c r="AZ1472">
        <v>6.24</v>
      </c>
      <c r="BA1472">
        <v>70</v>
      </c>
      <c r="BB1472">
        <v>5.58</v>
      </c>
      <c r="BC1472">
        <v>71</v>
      </c>
      <c r="BD1472">
        <v>-0.05</v>
      </c>
      <c r="BE1472">
        <v>-0.02</v>
      </c>
      <c r="BF1472">
        <v>-0.06</v>
      </c>
      <c r="BG1472">
        <v>89</v>
      </c>
      <c r="BH1472">
        <v>0.1</v>
      </c>
      <c r="BI1472">
        <v>-21.2</v>
      </c>
      <c r="BJ1472">
        <v>15</v>
      </c>
      <c r="BK1472">
        <v>14</v>
      </c>
      <c r="BL1472">
        <v>0.19</v>
      </c>
      <c r="BM1472">
        <v>-0.42</v>
      </c>
      <c r="BN1472">
        <v>-0.98</v>
      </c>
      <c r="BO1472">
        <v>-0.6</v>
      </c>
      <c r="BP1472">
        <v>0.84</v>
      </c>
      <c r="BQ1472">
        <v>-1.1599999999999999</v>
      </c>
      <c r="BR1472">
        <v>0.3</v>
      </c>
      <c r="BS1472">
        <v>-0.93</v>
      </c>
      <c r="BT1472">
        <v>-1.25</v>
      </c>
      <c r="BU1472">
        <v>0.04</v>
      </c>
      <c r="BV1472">
        <v>-1.78</v>
      </c>
      <c r="BW1472">
        <v>-1.32</v>
      </c>
      <c r="BX1472">
        <v>1.65</v>
      </c>
      <c r="BY1472">
        <v>-0.04</v>
      </c>
      <c r="BZ1472">
        <v>-4.32</v>
      </c>
      <c r="CA1472">
        <v>-0.8</v>
      </c>
      <c r="CB1472">
        <v>-0.72</v>
      </c>
      <c r="CC1472">
        <v>-0.9</v>
      </c>
      <c r="CD1472">
        <v>0.27</v>
      </c>
      <c r="CE1472">
        <v>-0.36</v>
      </c>
      <c r="CF1472">
        <v>-0.33</v>
      </c>
      <c r="CG1472">
        <v>0</v>
      </c>
      <c r="CH1472">
        <v>-0.14000000000000001</v>
      </c>
      <c r="CI1472">
        <v>0</v>
      </c>
      <c r="CJ1472">
        <v>0.1</v>
      </c>
      <c r="CK1472">
        <v>91</v>
      </c>
      <c r="CL1472">
        <v>-0.63</v>
      </c>
      <c r="CM1472">
        <v>90</v>
      </c>
      <c r="CN1472">
        <v>-0.21</v>
      </c>
      <c r="CO1472">
        <v>88</v>
      </c>
      <c r="CP1472">
        <v>-6.9</v>
      </c>
      <c r="CQ1472">
        <v>89</v>
      </c>
      <c r="CR1472">
        <v>0</v>
      </c>
      <c r="CS1472">
        <v>0</v>
      </c>
      <c r="CT1472">
        <v>-12.3</v>
      </c>
      <c r="CU1472">
        <v>91</v>
      </c>
      <c r="CV1472">
        <v>0.24</v>
      </c>
      <c r="CW1472">
        <v>46</v>
      </c>
      <c r="CX1472" t="s">
        <v>753</v>
      </c>
    </row>
    <row r="1473" spans="1:102" x14ac:dyDescent="0.3">
      <c r="A1473" t="str">
        <f>HYPERLINK("https://webapp.icbf.com/v2/app/bull-search/view/108378457","BOX")</f>
        <v>BOX</v>
      </c>
      <c r="B1473" t="s">
        <v>4964</v>
      </c>
      <c r="C1473" t="s">
        <v>4965</v>
      </c>
      <c r="D1473" s="1">
        <v>34247</v>
      </c>
      <c r="E1473" t="s">
        <v>227</v>
      </c>
      <c r="F1473">
        <v>0</v>
      </c>
      <c r="G1473" t="s">
        <v>93</v>
      </c>
      <c r="H1473">
        <v>108.66</v>
      </c>
      <c r="I1473">
        <v>83</v>
      </c>
      <c r="J1473">
        <v>8.5399999999999991</v>
      </c>
      <c r="K1473">
        <v>92</v>
      </c>
      <c r="L1473">
        <v>66.31</v>
      </c>
      <c r="M1473">
        <v>81</v>
      </c>
      <c r="N1473">
        <v>19.010000000000002</v>
      </c>
      <c r="O1473">
        <v>75</v>
      </c>
      <c r="P1473">
        <v>-79.099999999999994</v>
      </c>
      <c r="Q1473">
        <v>83</v>
      </c>
      <c r="R1473">
        <v>9.5399999999999991</v>
      </c>
      <c r="S1473">
        <v>67</v>
      </c>
      <c r="T1473">
        <v>82.42</v>
      </c>
      <c r="U1473">
        <v>81</v>
      </c>
      <c r="V1473">
        <v>1.94</v>
      </c>
      <c r="W1473">
        <v>56</v>
      </c>
      <c r="X1473" t="s">
        <v>94</v>
      </c>
      <c r="Y1473" t="s">
        <v>95</v>
      </c>
      <c r="Z1473">
        <v>0</v>
      </c>
      <c r="AA1473" t="s">
        <v>4966</v>
      </c>
      <c r="AB1473" t="s">
        <v>144</v>
      </c>
      <c r="AC1473">
        <v>50</v>
      </c>
      <c r="AD1473">
        <v>24</v>
      </c>
      <c r="AE1473">
        <v>92</v>
      </c>
      <c r="AF1473">
        <v>-477.39</v>
      </c>
      <c r="AG1473">
        <v>9.09</v>
      </c>
      <c r="AH1473">
        <v>-9.07</v>
      </c>
      <c r="AI1473">
        <v>0.5</v>
      </c>
      <c r="AJ1473">
        <v>0.13</v>
      </c>
      <c r="AK1473">
        <v>81</v>
      </c>
      <c r="AL1473">
        <v>60</v>
      </c>
      <c r="AM1473">
        <v>20</v>
      </c>
      <c r="AN1473">
        <v>-1.1399999999999999</v>
      </c>
      <c r="AO1473">
        <v>4.18</v>
      </c>
      <c r="AP1473">
        <v>40</v>
      </c>
      <c r="AQ1473">
        <v>6</v>
      </c>
      <c r="AR1473">
        <v>2.99</v>
      </c>
      <c r="AS1473">
        <v>57</v>
      </c>
      <c r="AT1473">
        <v>1.8</v>
      </c>
      <c r="AU1473">
        <v>71</v>
      </c>
      <c r="AV1473">
        <v>-0.2</v>
      </c>
      <c r="AW1473">
        <v>88</v>
      </c>
      <c r="AX1473">
        <v>1.01</v>
      </c>
      <c r="AY1473">
        <v>76</v>
      </c>
      <c r="AZ1473">
        <v>6.12</v>
      </c>
      <c r="BA1473">
        <v>45</v>
      </c>
      <c r="BB1473">
        <v>4.9000000000000004</v>
      </c>
      <c r="BC1473">
        <v>58</v>
      </c>
      <c r="BD1473">
        <v>-0.05</v>
      </c>
      <c r="BE1473">
        <v>-0.04</v>
      </c>
      <c r="BF1473">
        <v>-0.06</v>
      </c>
      <c r="BG1473">
        <v>80</v>
      </c>
      <c r="BH1473">
        <v>0.14000000000000001</v>
      </c>
      <c r="BI1473">
        <v>9.94</v>
      </c>
      <c r="BJ1473">
        <v>2</v>
      </c>
      <c r="BK1473">
        <v>1</v>
      </c>
      <c r="BL1473">
        <v>-0.61</v>
      </c>
      <c r="BM1473">
        <v>-0.4</v>
      </c>
      <c r="BN1473">
        <v>0.56999999999999995</v>
      </c>
      <c r="BO1473">
        <v>1.29</v>
      </c>
      <c r="BP1473">
        <v>0.65</v>
      </c>
      <c r="BQ1473">
        <v>-3.49</v>
      </c>
      <c r="BR1473">
        <v>2.73</v>
      </c>
      <c r="BS1473">
        <v>5.69</v>
      </c>
      <c r="BT1473">
        <v>-1.25</v>
      </c>
      <c r="BU1473">
        <v>0.4</v>
      </c>
      <c r="BV1473">
        <v>0.52</v>
      </c>
      <c r="BW1473">
        <v>-1.36</v>
      </c>
      <c r="BX1473">
        <v>-1.37</v>
      </c>
      <c r="BY1473">
        <v>-0.17</v>
      </c>
      <c r="BZ1473">
        <v>-0.1</v>
      </c>
      <c r="CA1473">
        <v>2</v>
      </c>
      <c r="CB1473">
        <v>0.96</v>
      </c>
      <c r="CC1473">
        <v>3.29</v>
      </c>
      <c r="CD1473">
        <v>-1.87</v>
      </c>
      <c r="CE1473">
        <v>1.33</v>
      </c>
      <c r="CF1473">
        <v>0.25</v>
      </c>
      <c r="CG1473">
        <v>0</v>
      </c>
      <c r="CH1473">
        <v>-0.61</v>
      </c>
      <c r="CI1473">
        <v>0</v>
      </c>
      <c r="CJ1473">
        <v>-42.2</v>
      </c>
      <c r="CK1473">
        <v>84</v>
      </c>
      <c r="CL1473">
        <v>-1.57</v>
      </c>
      <c r="CM1473">
        <v>81</v>
      </c>
      <c r="CN1473">
        <v>-0.45</v>
      </c>
      <c r="CO1473">
        <v>79</v>
      </c>
      <c r="CP1473">
        <v>-66.2</v>
      </c>
      <c r="CQ1473">
        <v>85</v>
      </c>
      <c r="CR1473">
        <v>0</v>
      </c>
      <c r="CS1473">
        <v>0</v>
      </c>
      <c r="CT1473">
        <v>-97.6</v>
      </c>
      <c r="CU1473">
        <v>81</v>
      </c>
      <c r="CV1473">
        <v>-0.42</v>
      </c>
      <c r="CW1473">
        <v>23</v>
      </c>
      <c r="CX1473" t="s">
        <v>577</v>
      </c>
    </row>
    <row r="1474" spans="1:102" x14ac:dyDescent="0.3">
      <c r="A1474" t="str">
        <f>HYPERLINK("https://webapp.icbf.com/v2/app/bull-search/view/77855326","MOW")</f>
        <v>MOW</v>
      </c>
      <c r="B1474" t="s">
        <v>3597</v>
      </c>
      <c r="C1474" t="s">
        <v>3598</v>
      </c>
      <c r="D1474" s="1">
        <v>31561</v>
      </c>
      <c r="E1474" t="s">
        <v>108</v>
      </c>
      <c r="F1474">
        <v>25</v>
      </c>
      <c r="G1474" t="s">
        <v>93</v>
      </c>
      <c r="H1474">
        <v>108.61</v>
      </c>
      <c r="I1474">
        <v>60</v>
      </c>
      <c r="J1474">
        <v>-3.22</v>
      </c>
      <c r="K1474">
        <v>76</v>
      </c>
      <c r="L1474">
        <v>92.11</v>
      </c>
      <c r="M1474">
        <v>48</v>
      </c>
      <c r="N1474">
        <v>13.38</v>
      </c>
      <c r="O1474">
        <v>47</v>
      </c>
      <c r="P1474">
        <v>-12.19</v>
      </c>
      <c r="Q1474">
        <v>78</v>
      </c>
      <c r="R1474">
        <v>-0.1</v>
      </c>
      <c r="S1474">
        <v>48</v>
      </c>
      <c r="T1474">
        <v>20.41</v>
      </c>
      <c r="U1474">
        <v>59</v>
      </c>
      <c r="V1474">
        <v>-1.78</v>
      </c>
      <c r="W1474">
        <v>37</v>
      </c>
      <c r="X1474" t="s">
        <v>94</v>
      </c>
      <c r="Y1474" t="s">
        <v>95</v>
      </c>
      <c r="Z1474" t="s">
        <v>96</v>
      </c>
      <c r="AA1474" t="s">
        <v>3599</v>
      </c>
      <c r="AB1474" t="s">
        <v>3600</v>
      </c>
      <c r="AC1474">
        <v>17</v>
      </c>
      <c r="AD1474">
        <v>9</v>
      </c>
      <c r="AE1474">
        <v>76</v>
      </c>
      <c r="AF1474">
        <v>25.17</v>
      </c>
      <c r="AG1474">
        <v>-0.43</v>
      </c>
      <c r="AH1474">
        <v>-0.01</v>
      </c>
      <c r="AI1474">
        <v>-0.02</v>
      </c>
      <c r="AJ1474">
        <v>-0.01</v>
      </c>
      <c r="AK1474">
        <v>48</v>
      </c>
      <c r="AL1474">
        <v>30</v>
      </c>
      <c r="AM1474">
        <v>19</v>
      </c>
      <c r="AN1474">
        <v>-5.48</v>
      </c>
      <c r="AO1474">
        <v>1.86</v>
      </c>
      <c r="AP1474">
        <v>11</v>
      </c>
      <c r="AQ1474">
        <v>0</v>
      </c>
      <c r="AR1474">
        <v>7.02</v>
      </c>
      <c r="AS1474">
        <v>26</v>
      </c>
      <c r="AT1474">
        <v>2.92</v>
      </c>
      <c r="AU1474">
        <v>37</v>
      </c>
      <c r="AV1474">
        <v>-1.78</v>
      </c>
      <c r="AW1474">
        <v>67</v>
      </c>
      <c r="AX1474">
        <v>-0.51</v>
      </c>
      <c r="AY1474">
        <v>48</v>
      </c>
      <c r="AZ1474">
        <v>7.74</v>
      </c>
      <c r="BA1474">
        <v>24</v>
      </c>
      <c r="BB1474">
        <v>5.62</v>
      </c>
      <c r="BC1474">
        <v>25</v>
      </c>
      <c r="BD1474">
        <v>0.02</v>
      </c>
      <c r="BE1474">
        <v>0.01</v>
      </c>
      <c r="BF1474">
        <v>-0.05</v>
      </c>
      <c r="BG1474">
        <v>64</v>
      </c>
      <c r="BH1474">
        <v>-0.04</v>
      </c>
      <c r="BI1474">
        <v>1.1299999999999999</v>
      </c>
      <c r="BJ1474">
        <v>0</v>
      </c>
      <c r="BK1474">
        <v>0</v>
      </c>
      <c r="BL1474">
        <v>-2.61</v>
      </c>
      <c r="BM1474">
        <v>1.19</v>
      </c>
      <c r="BN1474">
        <v>-1.76</v>
      </c>
      <c r="BO1474">
        <v>-2.33</v>
      </c>
      <c r="BP1474">
        <v>-0.99</v>
      </c>
      <c r="BQ1474">
        <v>-0.39</v>
      </c>
      <c r="BR1474">
        <v>-0.69</v>
      </c>
      <c r="BS1474">
        <v>0.03</v>
      </c>
      <c r="BT1474">
        <v>0.35</v>
      </c>
      <c r="BU1474">
        <v>-1.74</v>
      </c>
      <c r="BV1474">
        <v>-1.78</v>
      </c>
      <c r="BW1474">
        <v>-1.85</v>
      </c>
      <c r="BX1474">
        <v>-2.59</v>
      </c>
      <c r="BY1474">
        <v>-1.07</v>
      </c>
      <c r="BZ1474">
        <v>-0.56000000000000005</v>
      </c>
      <c r="CA1474">
        <v>-1.72</v>
      </c>
      <c r="CB1474">
        <v>-1.76</v>
      </c>
      <c r="CC1474">
        <v>-0.99</v>
      </c>
      <c r="CD1474">
        <v>2.2599999999999998</v>
      </c>
      <c r="CE1474">
        <v>-2.31</v>
      </c>
      <c r="CF1474">
        <v>-2.62</v>
      </c>
      <c r="CG1474">
        <v>0</v>
      </c>
      <c r="CH1474">
        <v>-1.71</v>
      </c>
      <c r="CI1474">
        <v>0</v>
      </c>
      <c r="CJ1474">
        <v>-4.5999999999999996</v>
      </c>
      <c r="CK1474">
        <v>81</v>
      </c>
      <c r="CL1474">
        <v>-0.27</v>
      </c>
      <c r="CM1474">
        <v>77</v>
      </c>
      <c r="CN1474">
        <v>0.11</v>
      </c>
      <c r="CO1474">
        <v>75</v>
      </c>
      <c r="CP1474">
        <v>-11.8</v>
      </c>
      <c r="CQ1474">
        <v>64</v>
      </c>
      <c r="CR1474">
        <v>0</v>
      </c>
      <c r="CS1474">
        <v>0</v>
      </c>
      <c r="CT1474">
        <v>-13.8</v>
      </c>
      <c r="CU1474">
        <v>59</v>
      </c>
      <c r="CV1474">
        <v>-0.01</v>
      </c>
      <c r="CW1474">
        <v>22</v>
      </c>
      <c r="CX1474" t="s">
        <v>3601</v>
      </c>
    </row>
    <row r="1475" spans="1:102" x14ac:dyDescent="0.3">
      <c r="A1475" t="str">
        <f>HYPERLINK("https://webapp.icbf.com/v2/app/bull-search/view/746989274","GYZ")</f>
        <v>GYZ</v>
      </c>
      <c r="B1475" t="s">
        <v>5461</v>
      </c>
      <c r="C1475" t="s">
        <v>5462</v>
      </c>
      <c r="D1475" s="1">
        <v>40209</v>
      </c>
      <c r="E1475" t="s">
        <v>92</v>
      </c>
      <c r="F1475">
        <v>78</v>
      </c>
      <c r="G1475" t="s">
        <v>93</v>
      </c>
      <c r="H1475">
        <v>108.61</v>
      </c>
      <c r="I1475">
        <v>93</v>
      </c>
      <c r="J1475">
        <v>43.53</v>
      </c>
      <c r="K1475">
        <v>99</v>
      </c>
      <c r="L1475">
        <v>11.23</v>
      </c>
      <c r="M1475">
        <v>88</v>
      </c>
      <c r="N1475">
        <v>47.04</v>
      </c>
      <c r="O1475">
        <v>95</v>
      </c>
      <c r="P1475">
        <v>-19.850000000000001</v>
      </c>
      <c r="Q1475">
        <v>98</v>
      </c>
      <c r="R1475">
        <v>3.68</v>
      </c>
      <c r="S1475">
        <v>88</v>
      </c>
      <c r="T1475">
        <v>18.41</v>
      </c>
      <c r="U1475">
        <v>96</v>
      </c>
      <c r="V1475">
        <v>4.57</v>
      </c>
      <c r="W1475">
        <v>81</v>
      </c>
      <c r="X1475" t="s">
        <v>276</v>
      </c>
      <c r="Y1475" t="s">
        <v>329</v>
      </c>
      <c r="Z1475" t="s">
        <v>96</v>
      </c>
      <c r="AA1475" t="s">
        <v>277</v>
      </c>
      <c r="AB1475" t="s">
        <v>5463</v>
      </c>
      <c r="AC1475">
        <v>460</v>
      </c>
      <c r="AD1475">
        <v>251</v>
      </c>
      <c r="AE1475">
        <v>99</v>
      </c>
      <c r="AF1475">
        <v>161.65</v>
      </c>
      <c r="AG1475">
        <v>5.62</v>
      </c>
      <c r="AH1475">
        <v>7.89</v>
      </c>
      <c r="AI1475">
        <v>-0.01</v>
      </c>
      <c r="AJ1475">
        <v>0.04</v>
      </c>
      <c r="AK1475">
        <v>88</v>
      </c>
      <c r="AL1475">
        <v>534</v>
      </c>
      <c r="AM1475">
        <v>294</v>
      </c>
      <c r="AN1475">
        <v>0.53</v>
      </c>
      <c r="AO1475">
        <v>1.44</v>
      </c>
      <c r="AP1475">
        <v>1075</v>
      </c>
      <c r="AQ1475">
        <v>5</v>
      </c>
      <c r="AR1475">
        <v>5.61</v>
      </c>
      <c r="AS1475">
        <v>93</v>
      </c>
      <c r="AT1475">
        <v>2.21</v>
      </c>
      <c r="AU1475">
        <v>96</v>
      </c>
      <c r="AV1475">
        <v>-4.25</v>
      </c>
      <c r="AW1475">
        <v>99</v>
      </c>
      <c r="AX1475">
        <v>-0.33</v>
      </c>
      <c r="AY1475">
        <v>95</v>
      </c>
      <c r="AZ1475">
        <v>6.07</v>
      </c>
      <c r="BA1475">
        <v>86</v>
      </c>
      <c r="BB1475">
        <v>4.9800000000000004</v>
      </c>
      <c r="BC1475">
        <v>85</v>
      </c>
      <c r="BD1475">
        <v>-0.01</v>
      </c>
      <c r="BE1475">
        <v>-0.02</v>
      </c>
      <c r="BF1475">
        <v>-0.03</v>
      </c>
      <c r="BG1475">
        <v>96</v>
      </c>
      <c r="BH1475">
        <v>0.09</v>
      </c>
      <c r="BI1475">
        <v>-4.33</v>
      </c>
      <c r="BJ1475">
        <v>43</v>
      </c>
      <c r="BK1475">
        <v>18</v>
      </c>
      <c r="BL1475">
        <v>-0.59</v>
      </c>
      <c r="BM1475">
        <v>-1.0900000000000001</v>
      </c>
      <c r="BN1475">
        <v>-0.18</v>
      </c>
      <c r="BO1475">
        <v>0.22</v>
      </c>
      <c r="BP1475">
        <v>-0.15</v>
      </c>
      <c r="BQ1475">
        <v>-3.27</v>
      </c>
      <c r="BR1475">
        <v>1.1200000000000001</v>
      </c>
      <c r="BS1475">
        <v>1.56</v>
      </c>
      <c r="BT1475">
        <v>-0.98</v>
      </c>
      <c r="BU1475">
        <v>-1.92</v>
      </c>
      <c r="BV1475">
        <v>-0.42</v>
      </c>
      <c r="BW1475">
        <v>-1.26</v>
      </c>
      <c r="BX1475">
        <v>-2.0099999999999998</v>
      </c>
      <c r="BY1475">
        <v>-0.68</v>
      </c>
      <c r="BZ1475">
        <v>0.87</v>
      </c>
      <c r="CA1475">
        <v>-0.71</v>
      </c>
      <c r="CB1475">
        <v>-1.42</v>
      </c>
      <c r="CC1475">
        <v>1.28</v>
      </c>
      <c r="CD1475">
        <v>-0.31</v>
      </c>
      <c r="CE1475">
        <v>-0.34</v>
      </c>
      <c r="CF1475">
        <v>-1.28</v>
      </c>
      <c r="CG1475">
        <v>0</v>
      </c>
      <c r="CH1475">
        <v>-0.81</v>
      </c>
      <c r="CI1475">
        <v>0</v>
      </c>
      <c r="CJ1475">
        <v>-7.3</v>
      </c>
      <c r="CK1475">
        <v>99</v>
      </c>
      <c r="CL1475">
        <v>-0.95</v>
      </c>
      <c r="CM1475">
        <v>98</v>
      </c>
      <c r="CN1475">
        <v>-0.16</v>
      </c>
      <c r="CO1475">
        <v>98</v>
      </c>
      <c r="CP1475">
        <v>-12.3</v>
      </c>
      <c r="CQ1475">
        <v>95</v>
      </c>
      <c r="CR1475">
        <v>0</v>
      </c>
      <c r="CS1475">
        <v>0</v>
      </c>
      <c r="CT1475">
        <v>-11.1</v>
      </c>
      <c r="CU1475">
        <v>96</v>
      </c>
      <c r="CV1475">
        <v>0.15</v>
      </c>
      <c r="CW1475">
        <v>46</v>
      </c>
      <c r="CX1475" t="s">
        <v>792</v>
      </c>
    </row>
    <row r="1476" spans="1:102" x14ac:dyDescent="0.3">
      <c r="A1476" t="str">
        <f>HYPERLINK("https://webapp.icbf.com/v2/app/bull-search/view/1417505972","MR4279")</f>
        <v>MR4279</v>
      </c>
      <c r="B1476" t="s">
        <v>6862</v>
      </c>
      <c r="C1476" t="s">
        <v>6863</v>
      </c>
      <c r="D1476" s="1">
        <v>41600</v>
      </c>
      <c r="E1476" t="s">
        <v>92</v>
      </c>
      <c r="F1476">
        <v>50</v>
      </c>
      <c r="G1476" t="s">
        <v>109</v>
      </c>
      <c r="H1476">
        <v>108.61</v>
      </c>
      <c r="I1476">
        <v>53</v>
      </c>
      <c r="J1476">
        <v>66.010000000000005</v>
      </c>
      <c r="K1476">
        <v>69</v>
      </c>
      <c r="L1476">
        <v>26.34</v>
      </c>
      <c r="M1476">
        <v>47</v>
      </c>
      <c r="N1476">
        <v>21.89</v>
      </c>
      <c r="O1476">
        <v>63</v>
      </c>
      <c r="P1476">
        <v>-8.6199999999999992</v>
      </c>
      <c r="Q1476">
        <v>42</v>
      </c>
      <c r="R1476">
        <v>5.32</v>
      </c>
      <c r="S1476">
        <v>41</v>
      </c>
      <c r="T1476">
        <v>2.73</v>
      </c>
      <c r="U1476">
        <v>37</v>
      </c>
      <c r="V1476">
        <v>-5.0599999999999996</v>
      </c>
      <c r="W1476">
        <v>12</v>
      </c>
      <c r="X1476" t="s">
        <v>94</v>
      </c>
      <c r="Y1476" t="s">
        <v>2261</v>
      </c>
      <c r="Z1476">
        <v>0</v>
      </c>
      <c r="AA1476" t="s">
        <v>341</v>
      </c>
      <c r="AB1476" t="s">
        <v>6864</v>
      </c>
      <c r="AC1476">
        <v>0</v>
      </c>
      <c r="AD1476">
        <v>0</v>
      </c>
      <c r="AE1476">
        <v>69</v>
      </c>
      <c r="AF1476">
        <v>46.87</v>
      </c>
      <c r="AG1476">
        <v>8.49</v>
      </c>
      <c r="AH1476">
        <v>8.94</v>
      </c>
      <c r="AI1476">
        <v>0.11</v>
      </c>
      <c r="AJ1476">
        <v>0.12</v>
      </c>
      <c r="AK1476">
        <v>47</v>
      </c>
      <c r="AL1476">
        <v>0</v>
      </c>
      <c r="AM1476">
        <v>0</v>
      </c>
      <c r="AN1476">
        <v>-1.5</v>
      </c>
      <c r="AO1476">
        <v>0.6</v>
      </c>
      <c r="AP1476">
        <v>1</v>
      </c>
      <c r="AQ1476">
        <v>0</v>
      </c>
      <c r="AR1476">
        <v>5.63</v>
      </c>
      <c r="AS1476">
        <v>44</v>
      </c>
      <c r="AT1476">
        <v>2.4300000000000002</v>
      </c>
      <c r="AU1476">
        <v>82</v>
      </c>
      <c r="AV1476">
        <v>-2.93</v>
      </c>
      <c r="AW1476">
        <v>72</v>
      </c>
      <c r="AX1476">
        <v>-0.06</v>
      </c>
      <c r="AY1476">
        <v>52</v>
      </c>
      <c r="AZ1476">
        <v>8.31</v>
      </c>
      <c r="BA1476">
        <v>28</v>
      </c>
      <c r="BB1476">
        <v>6.53</v>
      </c>
      <c r="BC1476">
        <v>28</v>
      </c>
      <c r="BD1476">
        <v>-0.02</v>
      </c>
      <c r="BE1476">
        <v>-0.01</v>
      </c>
      <c r="BF1476">
        <v>-7.0000000000000007E-2</v>
      </c>
      <c r="BG1476">
        <v>65</v>
      </c>
      <c r="BH1476">
        <v>-0.17</v>
      </c>
      <c r="BI1476">
        <v>-3.34</v>
      </c>
      <c r="BJ1476">
        <v>0</v>
      </c>
      <c r="BK1476">
        <v>0</v>
      </c>
      <c r="BL1476">
        <v>-1.0900000000000001</v>
      </c>
      <c r="BM1476">
        <v>-0.02</v>
      </c>
      <c r="BN1476">
        <v>-0.21</v>
      </c>
      <c r="BO1476">
        <v>-0.28999999999999998</v>
      </c>
      <c r="BP1476">
        <v>2.59</v>
      </c>
      <c r="BQ1476">
        <v>-1.1599999999999999</v>
      </c>
      <c r="BR1476">
        <v>-1.37</v>
      </c>
      <c r="BS1476">
        <v>0.54</v>
      </c>
      <c r="BT1476">
        <v>1.17</v>
      </c>
      <c r="BU1476">
        <v>-1.93</v>
      </c>
      <c r="BV1476">
        <v>0.78</v>
      </c>
      <c r="BW1476">
        <v>0.27</v>
      </c>
      <c r="BX1476">
        <v>-1.19</v>
      </c>
      <c r="BY1476">
        <v>0.89</v>
      </c>
      <c r="BZ1476">
        <v>-0.09</v>
      </c>
      <c r="CA1476">
        <v>-0.52</v>
      </c>
      <c r="CB1476">
        <v>-0.73</v>
      </c>
      <c r="CC1476">
        <v>0.27</v>
      </c>
      <c r="CD1476">
        <v>-0.13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-3.7</v>
      </c>
      <c r="CK1476">
        <v>43</v>
      </c>
      <c r="CL1476">
        <v>-0.56999999999999995</v>
      </c>
      <c r="CM1476">
        <v>42</v>
      </c>
      <c r="CN1476">
        <v>-0.28000000000000003</v>
      </c>
      <c r="CO1476">
        <v>42</v>
      </c>
      <c r="CP1476">
        <v>-6.1</v>
      </c>
      <c r="CQ1476">
        <v>38</v>
      </c>
      <c r="CR1476">
        <v>0</v>
      </c>
      <c r="CS1476">
        <v>0</v>
      </c>
      <c r="CT1476">
        <v>10.1</v>
      </c>
      <c r="CU1476">
        <v>37</v>
      </c>
      <c r="CV1476">
        <v>-0.09</v>
      </c>
      <c r="CW1476">
        <v>34</v>
      </c>
      <c r="CX1476" t="s">
        <v>1714</v>
      </c>
    </row>
    <row r="1477" spans="1:102" x14ac:dyDescent="0.3">
      <c r="A1477" t="str">
        <f>HYPERLINK("https://webapp.icbf.com/v2/app/bull-search/view/760392538","S1649")</f>
        <v>S1649</v>
      </c>
      <c r="B1477" t="s">
        <v>7258</v>
      </c>
      <c r="C1477" t="s">
        <v>7259</v>
      </c>
      <c r="D1477" s="1">
        <v>39768</v>
      </c>
      <c r="E1477" t="s">
        <v>227</v>
      </c>
      <c r="F1477">
        <v>0</v>
      </c>
      <c r="G1477" t="s">
        <v>109</v>
      </c>
      <c r="H1477">
        <v>108.46</v>
      </c>
      <c r="I1477">
        <v>60</v>
      </c>
      <c r="J1477">
        <v>4.8899999999999997</v>
      </c>
      <c r="K1477">
        <v>78</v>
      </c>
      <c r="L1477">
        <v>86.62</v>
      </c>
      <c r="M1477">
        <v>65</v>
      </c>
      <c r="N1477">
        <v>4.87</v>
      </c>
      <c r="O1477">
        <v>47</v>
      </c>
      <c r="P1477">
        <v>-58.86</v>
      </c>
      <c r="Q1477">
        <v>27</v>
      </c>
      <c r="R1477">
        <v>1.3</v>
      </c>
      <c r="S1477">
        <v>37</v>
      </c>
      <c r="T1477">
        <v>65.7</v>
      </c>
      <c r="U1477">
        <v>50</v>
      </c>
      <c r="V1477">
        <v>3.94</v>
      </c>
      <c r="W1477">
        <v>9</v>
      </c>
      <c r="X1477" t="s">
        <v>94</v>
      </c>
      <c r="Y1477" t="s">
        <v>362</v>
      </c>
      <c r="Z1477">
        <v>0</v>
      </c>
      <c r="AA1477" t="s">
        <v>371</v>
      </c>
      <c r="AB1477" t="s">
        <v>7260</v>
      </c>
      <c r="AC1477">
        <v>0</v>
      </c>
      <c r="AD1477">
        <v>0</v>
      </c>
      <c r="AE1477">
        <v>78</v>
      </c>
      <c r="AF1477">
        <v>-426.26</v>
      </c>
      <c r="AG1477">
        <v>7.2</v>
      </c>
      <c r="AH1477">
        <v>-8.24</v>
      </c>
      <c r="AI1477">
        <v>0.42</v>
      </c>
      <c r="AJ1477">
        <v>0.11</v>
      </c>
      <c r="AK1477">
        <v>65</v>
      </c>
      <c r="AL1477">
        <v>0</v>
      </c>
      <c r="AM1477">
        <v>0</v>
      </c>
      <c r="AN1477">
        <v>-3.78</v>
      </c>
      <c r="AO1477">
        <v>3.14</v>
      </c>
      <c r="AP1477">
        <v>7</v>
      </c>
      <c r="AQ1477">
        <v>0</v>
      </c>
      <c r="AR1477">
        <v>4.3899999999999997</v>
      </c>
      <c r="AS1477">
        <v>32</v>
      </c>
      <c r="AT1477">
        <v>2.29</v>
      </c>
      <c r="AU1477">
        <v>29</v>
      </c>
      <c r="AV1477">
        <v>-0.97</v>
      </c>
      <c r="AW1477">
        <v>74</v>
      </c>
      <c r="AX1477">
        <v>5.52</v>
      </c>
      <c r="AY1477">
        <v>35</v>
      </c>
      <c r="AZ1477">
        <v>7.48</v>
      </c>
      <c r="BA1477">
        <v>25</v>
      </c>
      <c r="BB1477">
        <v>5.14</v>
      </c>
      <c r="BC1477">
        <v>22</v>
      </c>
      <c r="BD1477">
        <v>-0.03</v>
      </c>
      <c r="BE1477">
        <v>0</v>
      </c>
      <c r="BF1477">
        <v>0.02</v>
      </c>
      <c r="BG1477">
        <v>49</v>
      </c>
      <c r="BH1477">
        <v>0.05</v>
      </c>
      <c r="BI1477">
        <v>-6.92</v>
      </c>
      <c r="BJ1477">
        <v>0</v>
      </c>
      <c r="BK1477">
        <v>0</v>
      </c>
      <c r="BL1477">
        <v>-1.31</v>
      </c>
      <c r="BM1477">
        <v>-1.52</v>
      </c>
      <c r="BN1477">
        <v>-0.13</v>
      </c>
      <c r="BO1477">
        <v>1.39</v>
      </c>
      <c r="BP1477">
        <v>-0.11</v>
      </c>
      <c r="BQ1477">
        <v>-5.07</v>
      </c>
      <c r="BR1477">
        <v>2.14</v>
      </c>
      <c r="BS1477">
        <v>6.62</v>
      </c>
      <c r="BT1477">
        <v>-1.04</v>
      </c>
      <c r="BU1477">
        <v>0.38</v>
      </c>
      <c r="BV1477">
        <v>0.35</v>
      </c>
      <c r="BW1477">
        <v>-1.76</v>
      </c>
      <c r="BX1477">
        <v>-2.25</v>
      </c>
      <c r="BY1477">
        <v>0.11</v>
      </c>
      <c r="BZ1477">
        <v>0.41</v>
      </c>
      <c r="CA1477">
        <v>2.0499999999999998</v>
      </c>
      <c r="CB1477">
        <v>0.54</v>
      </c>
      <c r="CC1477">
        <v>4.2</v>
      </c>
      <c r="CD1477">
        <v>-2.11</v>
      </c>
      <c r="CE1477">
        <v>1.22</v>
      </c>
      <c r="CF1477">
        <v>-1.1000000000000001</v>
      </c>
      <c r="CG1477">
        <v>0</v>
      </c>
      <c r="CH1477">
        <v>-0.89</v>
      </c>
      <c r="CI1477">
        <v>0</v>
      </c>
      <c r="CJ1477">
        <v>-32.200000000000003</v>
      </c>
      <c r="CK1477">
        <v>32</v>
      </c>
      <c r="CL1477">
        <v>-1.1399999999999999</v>
      </c>
      <c r="CM1477">
        <v>19</v>
      </c>
      <c r="CN1477">
        <v>-0.42</v>
      </c>
      <c r="CO1477">
        <v>18</v>
      </c>
      <c r="CP1477">
        <v>-50.5</v>
      </c>
      <c r="CQ1477">
        <v>33</v>
      </c>
      <c r="CR1477">
        <v>0</v>
      </c>
      <c r="CS1477">
        <v>0</v>
      </c>
      <c r="CT1477">
        <v>-75</v>
      </c>
      <c r="CU1477">
        <v>50</v>
      </c>
      <c r="CV1477">
        <v>-0.38</v>
      </c>
      <c r="CW1477">
        <v>7</v>
      </c>
      <c r="CX1477" t="s">
        <v>1667</v>
      </c>
    </row>
    <row r="1478" spans="1:102" x14ac:dyDescent="0.3">
      <c r="A1478" t="str">
        <f>HYPERLINK("https://webapp.icbf.com/v2/app/bull-search/view/1060347386","S1539")</f>
        <v>S1539</v>
      </c>
      <c r="B1478" t="s">
        <v>5817</v>
      </c>
      <c r="C1478" t="s">
        <v>5818</v>
      </c>
      <c r="D1478" s="1">
        <v>40500</v>
      </c>
      <c r="E1478" t="s">
        <v>146</v>
      </c>
      <c r="F1478">
        <v>6</v>
      </c>
      <c r="G1478" t="s">
        <v>109</v>
      </c>
      <c r="H1478">
        <v>108.44</v>
      </c>
      <c r="I1478">
        <v>65</v>
      </c>
      <c r="J1478">
        <v>13.09</v>
      </c>
      <c r="K1478">
        <v>73</v>
      </c>
      <c r="L1478">
        <v>74.290000000000006</v>
      </c>
      <c r="M1478">
        <v>56</v>
      </c>
      <c r="N1478">
        <v>13.8</v>
      </c>
      <c r="O1478">
        <v>80</v>
      </c>
      <c r="P1478">
        <v>-1.26</v>
      </c>
      <c r="Q1478">
        <v>88</v>
      </c>
      <c r="R1478">
        <v>3.09</v>
      </c>
      <c r="S1478">
        <v>52</v>
      </c>
      <c r="T1478">
        <v>11.83</v>
      </c>
      <c r="U1478">
        <v>57</v>
      </c>
      <c r="V1478">
        <v>-6.4</v>
      </c>
      <c r="W1478">
        <v>24</v>
      </c>
      <c r="X1478" t="s">
        <v>94</v>
      </c>
      <c r="Y1478" t="s">
        <v>362</v>
      </c>
      <c r="Z1478">
        <v>0</v>
      </c>
      <c r="AA1478" t="s">
        <v>5819</v>
      </c>
      <c r="AB1478" t="s">
        <v>5820</v>
      </c>
      <c r="AC1478">
        <v>0</v>
      </c>
      <c r="AD1478">
        <v>0</v>
      </c>
      <c r="AE1478">
        <v>73</v>
      </c>
      <c r="AF1478">
        <v>20.329999999999998</v>
      </c>
      <c r="AG1478">
        <v>-0.28999999999999998</v>
      </c>
      <c r="AH1478">
        <v>2.64</v>
      </c>
      <c r="AI1478">
        <v>-0.02</v>
      </c>
      <c r="AJ1478">
        <v>0.03</v>
      </c>
      <c r="AK1478">
        <v>56</v>
      </c>
      <c r="AL1478">
        <v>0</v>
      </c>
      <c r="AM1478">
        <v>0</v>
      </c>
      <c r="AN1478">
        <v>-5.19</v>
      </c>
      <c r="AO1478">
        <v>0.72</v>
      </c>
      <c r="AP1478">
        <v>168</v>
      </c>
      <c r="AQ1478">
        <v>0</v>
      </c>
      <c r="AR1478">
        <v>10.06</v>
      </c>
      <c r="AS1478">
        <v>69</v>
      </c>
      <c r="AT1478">
        <v>4.01</v>
      </c>
      <c r="AU1478">
        <v>84</v>
      </c>
      <c r="AV1478">
        <v>-3.35</v>
      </c>
      <c r="AW1478">
        <v>94</v>
      </c>
      <c r="AX1478">
        <v>-0.82</v>
      </c>
      <c r="AY1478">
        <v>76</v>
      </c>
      <c r="AZ1478">
        <v>6.22</v>
      </c>
      <c r="BA1478">
        <v>57</v>
      </c>
      <c r="BB1478">
        <v>4.8600000000000003</v>
      </c>
      <c r="BC1478">
        <v>45</v>
      </c>
      <c r="BD1478">
        <v>0</v>
      </c>
      <c r="BE1478">
        <v>0.01</v>
      </c>
      <c r="BF1478">
        <v>-0.09</v>
      </c>
      <c r="BG1478">
        <v>76</v>
      </c>
      <c r="BH1478">
        <v>-0.27</v>
      </c>
      <c r="BI1478">
        <v>-10.6</v>
      </c>
      <c r="BJ1478">
        <v>0</v>
      </c>
      <c r="BK1478">
        <v>0</v>
      </c>
      <c r="BL1478">
        <v>-0.84</v>
      </c>
      <c r="BM1478">
        <v>3.84</v>
      </c>
      <c r="BN1478">
        <v>0.72</v>
      </c>
      <c r="BO1478">
        <v>-0.77</v>
      </c>
      <c r="BP1478">
        <v>4.6399999999999997</v>
      </c>
      <c r="BQ1478">
        <v>1.66</v>
      </c>
      <c r="BR1478">
        <v>0.27</v>
      </c>
      <c r="BS1478">
        <v>0.8</v>
      </c>
      <c r="BT1478">
        <v>-0.63</v>
      </c>
      <c r="BU1478">
        <v>-2.96</v>
      </c>
      <c r="BV1478">
        <v>-3.51</v>
      </c>
      <c r="BW1478">
        <v>-2.4900000000000002</v>
      </c>
      <c r="BX1478">
        <v>-3.9</v>
      </c>
      <c r="BY1478">
        <v>-1.35</v>
      </c>
      <c r="BZ1478">
        <v>0.09</v>
      </c>
      <c r="CA1478">
        <v>-2.2599999999999998</v>
      </c>
      <c r="CB1478">
        <v>-2.76</v>
      </c>
      <c r="CC1478">
        <v>7.0000000000000007E-2</v>
      </c>
      <c r="CD1478">
        <v>2.85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-1.4</v>
      </c>
      <c r="CK1478">
        <v>91</v>
      </c>
      <c r="CL1478">
        <v>0.03</v>
      </c>
      <c r="CM1478">
        <v>89</v>
      </c>
      <c r="CN1478">
        <v>-0.09</v>
      </c>
      <c r="CO1478">
        <v>88</v>
      </c>
      <c r="CP1478">
        <v>-4.5999999999999996</v>
      </c>
      <c r="CQ1478">
        <v>69</v>
      </c>
      <c r="CR1478">
        <v>0</v>
      </c>
      <c r="CS1478">
        <v>0</v>
      </c>
      <c r="CT1478">
        <v>-2.2000000000000002</v>
      </c>
      <c r="CU1478">
        <v>57</v>
      </c>
      <c r="CV1478">
        <v>-0.17</v>
      </c>
      <c r="CW1478">
        <v>43</v>
      </c>
      <c r="CX1478" t="s">
        <v>343</v>
      </c>
    </row>
    <row r="1479" spans="1:102" x14ac:dyDescent="0.3">
      <c r="A1479" t="str">
        <f>HYPERLINK("https://webapp.icbf.com/v2/app/bull-search/view/444408085","RXO")</f>
        <v>RXO</v>
      </c>
      <c r="B1479" t="s">
        <v>6715</v>
      </c>
      <c r="C1479" t="s">
        <v>277</v>
      </c>
      <c r="D1479" s="1">
        <v>35607</v>
      </c>
      <c r="E1479" t="s">
        <v>92</v>
      </c>
      <c r="F1479">
        <v>100</v>
      </c>
      <c r="G1479" t="s">
        <v>93</v>
      </c>
      <c r="H1479">
        <v>108.32</v>
      </c>
      <c r="I1479">
        <v>98</v>
      </c>
      <c r="J1479">
        <v>-7.31</v>
      </c>
      <c r="K1479">
        <v>99</v>
      </c>
      <c r="L1479">
        <v>39.22</v>
      </c>
      <c r="M1479">
        <v>97</v>
      </c>
      <c r="N1479">
        <v>44.87</v>
      </c>
      <c r="O1479">
        <v>99</v>
      </c>
      <c r="P1479">
        <v>-15.04</v>
      </c>
      <c r="Q1479">
        <v>99</v>
      </c>
      <c r="R1479">
        <v>18.79</v>
      </c>
      <c r="S1479">
        <v>98</v>
      </c>
      <c r="T1479">
        <v>18.71</v>
      </c>
      <c r="U1479">
        <v>99</v>
      </c>
      <c r="V1479">
        <v>9.08</v>
      </c>
      <c r="W1479">
        <v>99</v>
      </c>
      <c r="X1479" t="s">
        <v>276</v>
      </c>
      <c r="Y1479" t="s">
        <v>1208</v>
      </c>
      <c r="Z1479" t="s">
        <v>96</v>
      </c>
      <c r="AA1479" t="s">
        <v>596</v>
      </c>
      <c r="AB1479" t="s">
        <v>6716</v>
      </c>
      <c r="AC1479">
        <v>2034</v>
      </c>
      <c r="AD1479">
        <v>650</v>
      </c>
      <c r="AE1479">
        <v>99</v>
      </c>
      <c r="AF1479">
        <v>69.55</v>
      </c>
      <c r="AG1479">
        <v>-0.42</v>
      </c>
      <c r="AH1479">
        <v>-0.03</v>
      </c>
      <c r="AI1479">
        <v>-0.05</v>
      </c>
      <c r="AJ1479">
        <v>-0.04</v>
      </c>
      <c r="AK1479">
        <v>97</v>
      </c>
      <c r="AL1479">
        <v>2040</v>
      </c>
      <c r="AM1479">
        <v>643</v>
      </c>
      <c r="AN1479">
        <v>-1.2</v>
      </c>
      <c r="AO1479">
        <v>1.94</v>
      </c>
      <c r="AP1479">
        <v>3658</v>
      </c>
      <c r="AQ1479">
        <v>19</v>
      </c>
      <c r="AR1479">
        <v>5.51</v>
      </c>
      <c r="AS1479">
        <v>99</v>
      </c>
      <c r="AT1479">
        <v>2.13</v>
      </c>
      <c r="AU1479">
        <v>99</v>
      </c>
      <c r="AV1479">
        <v>-3.72</v>
      </c>
      <c r="AW1479">
        <v>99</v>
      </c>
      <c r="AX1479">
        <v>0.04</v>
      </c>
      <c r="AY1479">
        <v>99</v>
      </c>
      <c r="AZ1479">
        <v>5.21</v>
      </c>
      <c r="BA1479">
        <v>97</v>
      </c>
      <c r="BB1479">
        <v>4.76</v>
      </c>
      <c r="BC1479">
        <v>98</v>
      </c>
      <c r="BD1479">
        <v>-0.06</v>
      </c>
      <c r="BE1479">
        <v>-0.08</v>
      </c>
      <c r="BF1479">
        <v>-0.18</v>
      </c>
      <c r="BG1479">
        <v>99</v>
      </c>
      <c r="BH1479">
        <v>0.06</v>
      </c>
      <c r="BI1479">
        <v>-22.35</v>
      </c>
      <c r="BJ1479">
        <v>512</v>
      </c>
      <c r="BK1479">
        <v>158</v>
      </c>
      <c r="BL1479">
        <v>0.35</v>
      </c>
      <c r="BM1479">
        <v>-2.0499999999999998</v>
      </c>
      <c r="BN1479">
        <v>-0.83</v>
      </c>
      <c r="BO1479">
        <v>0.4</v>
      </c>
      <c r="BP1479">
        <v>-0.17</v>
      </c>
      <c r="BQ1479">
        <v>-2.63</v>
      </c>
      <c r="BR1479">
        <v>0.88</v>
      </c>
      <c r="BS1479">
        <v>1.53</v>
      </c>
      <c r="BT1479">
        <v>-0.8</v>
      </c>
      <c r="BU1479">
        <v>0.65</v>
      </c>
      <c r="BV1479">
        <v>0.63</v>
      </c>
      <c r="BW1479">
        <v>-0.25</v>
      </c>
      <c r="BX1479">
        <v>1.3</v>
      </c>
      <c r="BY1479">
        <v>0.21</v>
      </c>
      <c r="BZ1479">
        <v>-0.8</v>
      </c>
      <c r="CA1479">
        <v>0.82</v>
      </c>
      <c r="CB1479">
        <v>0.42</v>
      </c>
      <c r="CC1479">
        <v>0.86</v>
      </c>
      <c r="CD1479">
        <v>-1.28</v>
      </c>
      <c r="CE1479">
        <v>0.42</v>
      </c>
      <c r="CF1479">
        <v>-0.62</v>
      </c>
      <c r="CG1479">
        <v>0</v>
      </c>
      <c r="CH1479">
        <v>0.14000000000000001</v>
      </c>
      <c r="CI1479">
        <v>0</v>
      </c>
      <c r="CJ1479">
        <v>-4.8</v>
      </c>
      <c r="CK1479">
        <v>99</v>
      </c>
      <c r="CL1479">
        <v>-1.04</v>
      </c>
      <c r="CM1479">
        <v>99</v>
      </c>
      <c r="CN1479">
        <v>-0.28999999999999998</v>
      </c>
      <c r="CO1479">
        <v>99</v>
      </c>
      <c r="CP1479">
        <v>-7.2</v>
      </c>
      <c r="CQ1479">
        <v>99</v>
      </c>
      <c r="CR1479">
        <v>0</v>
      </c>
      <c r="CS1479">
        <v>0</v>
      </c>
      <c r="CT1479">
        <v>-11.5</v>
      </c>
      <c r="CU1479">
        <v>99</v>
      </c>
      <c r="CV1479">
        <v>0.18</v>
      </c>
      <c r="CW1479">
        <v>47</v>
      </c>
      <c r="CX1479" t="s">
        <v>798</v>
      </c>
    </row>
    <row r="1480" spans="1:102" x14ac:dyDescent="0.3">
      <c r="A1480" t="str">
        <f>HYPERLINK("https://webapp.icbf.com/v2/app/bull-search/view/760395056","VBT")</f>
        <v>VBT</v>
      </c>
      <c r="B1480" t="s">
        <v>9105</v>
      </c>
      <c r="C1480" t="s">
        <v>9106</v>
      </c>
      <c r="D1480" s="1">
        <v>40038</v>
      </c>
      <c r="E1480" t="s">
        <v>92</v>
      </c>
      <c r="F1480">
        <v>47</v>
      </c>
      <c r="G1480" t="s">
        <v>93</v>
      </c>
      <c r="H1480">
        <v>108.28</v>
      </c>
      <c r="I1480">
        <v>96</v>
      </c>
      <c r="J1480">
        <v>67.75</v>
      </c>
      <c r="K1480">
        <v>99</v>
      </c>
      <c r="L1480">
        <v>6.32</v>
      </c>
      <c r="M1480">
        <v>92</v>
      </c>
      <c r="N1480">
        <v>33.880000000000003</v>
      </c>
      <c r="O1480">
        <v>98</v>
      </c>
      <c r="P1480">
        <v>-19.7</v>
      </c>
      <c r="Q1480">
        <v>99</v>
      </c>
      <c r="R1480">
        <v>-9.44</v>
      </c>
      <c r="S1480">
        <v>92</v>
      </c>
      <c r="T1480">
        <v>22.11</v>
      </c>
      <c r="U1480">
        <v>99</v>
      </c>
      <c r="V1480">
        <v>7.36</v>
      </c>
      <c r="W1480">
        <v>81</v>
      </c>
      <c r="X1480" t="s">
        <v>276</v>
      </c>
      <c r="Y1480" t="s">
        <v>1775</v>
      </c>
      <c r="Z1480" t="s">
        <v>330</v>
      </c>
      <c r="AA1480" t="s">
        <v>5615</v>
      </c>
      <c r="AB1480" t="s">
        <v>144</v>
      </c>
      <c r="AC1480">
        <v>1279</v>
      </c>
      <c r="AD1480">
        <v>450</v>
      </c>
      <c r="AE1480">
        <v>99</v>
      </c>
      <c r="AF1480">
        <v>281.82</v>
      </c>
      <c r="AG1480">
        <v>10.42</v>
      </c>
      <c r="AH1480">
        <v>12.15</v>
      </c>
      <c r="AI1480">
        <v>-0.01</v>
      </c>
      <c r="AJ1480">
        <v>0.04</v>
      </c>
      <c r="AK1480">
        <v>92</v>
      </c>
      <c r="AL1480">
        <v>1489</v>
      </c>
      <c r="AM1480">
        <v>563</v>
      </c>
      <c r="AN1480">
        <v>0.12</v>
      </c>
      <c r="AO1480">
        <v>0.63</v>
      </c>
      <c r="AP1480">
        <v>2728</v>
      </c>
      <c r="AQ1480">
        <v>18</v>
      </c>
      <c r="AR1480">
        <v>4.4000000000000004</v>
      </c>
      <c r="AS1480">
        <v>94</v>
      </c>
      <c r="AT1480">
        <v>1.89</v>
      </c>
      <c r="AU1480">
        <v>99</v>
      </c>
      <c r="AV1480">
        <v>-2.67</v>
      </c>
      <c r="AW1480">
        <v>99</v>
      </c>
      <c r="AX1480">
        <v>0.25</v>
      </c>
      <c r="AY1480">
        <v>98</v>
      </c>
      <c r="AZ1480">
        <v>7.2</v>
      </c>
      <c r="BA1480">
        <v>94</v>
      </c>
      <c r="BB1480">
        <v>5.32</v>
      </c>
      <c r="BC1480">
        <v>94</v>
      </c>
      <c r="BD1480">
        <v>-0.03</v>
      </c>
      <c r="BE1480">
        <v>0.03</v>
      </c>
      <c r="BF1480">
        <v>0.21</v>
      </c>
      <c r="BG1480">
        <v>98</v>
      </c>
      <c r="BH1480">
        <v>7.0000000000000007E-2</v>
      </c>
      <c r="BI1480">
        <v>-15.66</v>
      </c>
      <c r="BJ1480">
        <v>10</v>
      </c>
      <c r="BK1480">
        <v>5</v>
      </c>
      <c r="BL1480">
        <v>-2.52</v>
      </c>
      <c r="BM1480">
        <v>-1.07</v>
      </c>
      <c r="BN1480">
        <v>-2.17</v>
      </c>
      <c r="BO1480">
        <v>-0.59</v>
      </c>
      <c r="BP1480">
        <v>-2</v>
      </c>
      <c r="BQ1480">
        <v>-2.52</v>
      </c>
      <c r="BR1480">
        <v>0.39</v>
      </c>
      <c r="BS1480">
        <v>-0.31</v>
      </c>
      <c r="BT1480">
        <v>-1.71</v>
      </c>
      <c r="BU1480">
        <v>-1.32</v>
      </c>
      <c r="BV1480">
        <v>-1.45</v>
      </c>
      <c r="BW1480">
        <v>-1.53</v>
      </c>
      <c r="BX1480">
        <v>-2.2799999999999998</v>
      </c>
      <c r="BY1480">
        <v>-0.79</v>
      </c>
      <c r="BZ1480">
        <v>0.15</v>
      </c>
      <c r="CA1480">
        <v>-1.29</v>
      </c>
      <c r="CB1480">
        <v>-1.0900000000000001</v>
      </c>
      <c r="CC1480">
        <v>-0.49</v>
      </c>
      <c r="CD1480">
        <v>-0.2</v>
      </c>
      <c r="CE1480">
        <v>0.13</v>
      </c>
      <c r="CF1480">
        <v>-0.88</v>
      </c>
      <c r="CG1480">
        <v>0</v>
      </c>
      <c r="CH1480">
        <v>-0.94</v>
      </c>
      <c r="CI1480">
        <v>0</v>
      </c>
      <c r="CJ1480">
        <v>-10.8</v>
      </c>
      <c r="CK1480">
        <v>99</v>
      </c>
      <c r="CL1480">
        <v>-0.66</v>
      </c>
      <c r="CM1480">
        <v>99</v>
      </c>
      <c r="CN1480">
        <v>-0.34</v>
      </c>
      <c r="CO1480">
        <v>99</v>
      </c>
      <c r="CP1480">
        <v>-13.1</v>
      </c>
      <c r="CQ1480">
        <v>98</v>
      </c>
      <c r="CR1480">
        <v>0</v>
      </c>
      <c r="CS1480">
        <v>0</v>
      </c>
      <c r="CT1480">
        <v>-16.100000000000001</v>
      </c>
      <c r="CU1480">
        <v>99</v>
      </c>
      <c r="CV1480">
        <v>7.0000000000000007E-2</v>
      </c>
      <c r="CW1480">
        <v>46</v>
      </c>
      <c r="CX1480" t="s">
        <v>2339</v>
      </c>
    </row>
    <row r="1481" spans="1:102" x14ac:dyDescent="0.3">
      <c r="A1481" t="str">
        <f>HYPERLINK("https://webapp.icbf.com/v2/app/bull-search/view/1613651882","JE4586")</f>
        <v>JE4586</v>
      </c>
      <c r="B1481" t="s">
        <v>10329</v>
      </c>
      <c r="C1481" t="s">
        <v>10330</v>
      </c>
      <c r="D1481" s="1">
        <v>42372</v>
      </c>
      <c r="E1481" t="s">
        <v>227</v>
      </c>
      <c r="F1481">
        <v>0</v>
      </c>
      <c r="G1481" t="s">
        <v>435</v>
      </c>
      <c r="H1481">
        <v>108.27</v>
      </c>
      <c r="I1481">
        <v>62</v>
      </c>
      <c r="J1481">
        <v>66.209999999999994</v>
      </c>
      <c r="K1481">
        <v>78</v>
      </c>
      <c r="L1481">
        <v>29.6</v>
      </c>
      <c r="M1481">
        <v>60</v>
      </c>
      <c r="N1481">
        <v>4.55</v>
      </c>
      <c r="O1481">
        <v>55</v>
      </c>
      <c r="P1481">
        <v>-73.17</v>
      </c>
      <c r="Q1481">
        <v>42</v>
      </c>
      <c r="R1481">
        <v>10.6</v>
      </c>
      <c r="S1481">
        <v>57</v>
      </c>
      <c r="T1481">
        <v>65.400000000000006</v>
      </c>
      <c r="U1481">
        <v>38</v>
      </c>
      <c r="V1481">
        <v>5.08</v>
      </c>
      <c r="W1481">
        <v>55</v>
      </c>
      <c r="X1481" t="s">
        <v>94</v>
      </c>
      <c r="Y1481" t="s">
        <v>442</v>
      </c>
      <c r="Z1481">
        <v>0</v>
      </c>
      <c r="AA1481" t="s">
        <v>9766</v>
      </c>
      <c r="AB1481" t="s">
        <v>144</v>
      </c>
      <c r="AC1481">
        <v>0</v>
      </c>
      <c r="AD1481">
        <v>0</v>
      </c>
      <c r="AE1481">
        <v>78</v>
      </c>
      <c r="AF1481">
        <v>-498.07</v>
      </c>
      <c r="AG1481">
        <v>14.21</v>
      </c>
      <c r="AH1481">
        <v>-1.39</v>
      </c>
      <c r="AI1481">
        <v>0.63</v>
      </c>
      <c r="AJ1481">
        <v>0.3</v>
      </c>
      <c r="AK1481">
        <v>60</v>
      </c>
      <c r="AL1481">
        <v>0</v>
      </c>
      <c r="AM1481">
        <v>0</v>
      </c>
      <c r="AN1481">
        <v>0.68</v>
      </c>
      <c r="AO1481">
        <v>3.07</v>
      </c>
      <c r="AP1481">
        <v>11</v>
      </c>
      <c r="AQ1481">
        <v>0</v>
      </c>
      <c r="AR1481">
        <v>4.13</v>
      </c>
      <c r="AS1481">
        <v>61</v>
      </c>
      <c r="AT1481">
        <v>1.93</v>
      </c>
      <c r="AU1481">
        <v>53</v>
      </c>
      <c r="AV1481">
        <v>-1.08</v>
      </c>
      <c r="AW1481">
        <v>65</v>
      </c>
      <c r="AX1481">
        <v>7.58</v>
      </c>
      <c r="AY1481">
        <v>46</v>
      </c>
      <c r="AZ1481">
        <v>6.69</v>
      </c>
      <c r="BA1481">
        <v>42</v>
      </c>
      <c r="BB1481">
        <v>5.09</v>
      </c>
      <c r="BC1481">
        <v>36</v>
      </c>
      <c r="BD1481">
        <v>-0.1</v>
      </c>
      <c r="BE1481">
        <v>-0.03</v>
      </c>
      <c r="BF1481">
        <v>-0.02</v>
      </c>
      <c r="BG1481">
        <v>63</v>
      </c>
      <c r="BH1481">
        <v>0.1</v>
      </c>
      <c r="BI1481">
        <v>-4.8099999999999996</v>
      </c>
      <c r="BJ1481">
        <v>0</v>
      </c>
      <c r="BK1481">
        <v>0</v>
      </c>
      <c r="BL1481">
        <v>-1.35</v>
      </c>
      <c r="BM1481">
        <v>-2.1</v>
      </c>
      <c r="BN1481">
        <v>-0.54</v>
      </c>
      <c r="BO1481">
        <v>1.48</v>
      </c>
      <c r="BP1481">
        <v>-0.19</v>
      </c>
      <c r="BQ1481">
        <v>-5.35</v>
      </c>
      <c r="BR1481">
        <v>2.15</v>
      </c>
      <c r="BS1481">
        <v>6.52</v>
      </c>
      <c r="BT1481">
        <v>-1.1100000000000001</v>
      </c>
      <c r="BU1481">
        <v>0.81</v>
      </c>
      <c r="BV1481">
        <v>0.86</v>
      </c>
      <c r="BW1481">
        <v>-1.0900000000000001</v>
      </c>
      <c r="BX1481">
        <v>-1.77</v>
      </c>
      <c r="BY1481">
        <v>0.32</v>
      </c>
      <c r="BZ1481">
        <v>-0.68</v>
      </c>
      <c r="CA1481">
        <v>2.2599999999999998</v>
      </c>
      <c r="CB1481">
        <v>0.8</v>
      </c>
      <c r="CC1481">
        <v>4.1900000000000004</v>
      </c>
      <c r="CD1481">
        <v>-2.39</v>
      </c>
      <c r="CE1481">
        <v>1.29</v>
      </c>
      <c r="CF1481">
        <v>-1.27</v>
      </c>
      <c r="CG1481">
        <v>0</v>
      </c>
      <c r="CH1481">
        <v>-0.41</v>
      </c>
      <c r="CI1481">
        <v>0</v>
      </c>
      <c r="CJ1481">
        <v>-38.1</v>
      </c>
      <c r="CK1481">
        <v>42</v>
      </c>
      <c r="CL1481">
        <v>-1.64</v>
      </c>
      <c r="CM1481">
        <v>42</v>
      </c>
      <c r="CN1481">
        <v>-0.34</v>
      </c>
      <c r="CO1481">
        <v>41</v>
      </c>
      <c r="CP1481">
        <v>-51</v>
      </c>
      <c r="CQ1481">
        <v>39</v>
      </c>
      <c r="CR1481">
        <v>0</v>
      </c>
      <c r="CS1481">
        <v>0</v>
      </c>
      <c r="CT1481">
        <v>-74.599999999999994</v>
      </c>
      <c r="CU1481">
        <v>38</v>
      </c>
      <c r="CV1481">
        <v>-0.25</v>
      </c>
      <c r="CW1481">
        <v>33</v>
      </c>
      <c r="CX1481" t="s">
        <v>10331</v>
      </c>
    </row>
    <row r="1482" spans="1:102" x14ac:dyDescent="0.3">
      <c r="A1482" t="str">
        <f>HYPERLINK("https://webapp.icbf.com/v2/app/bull-search/view/550983111","TIO")</f>
        <v>TIO</v>
      </c>
      <c r="B1482" t="s">
        <v>1743</v>
      </c>
      <c r="C1482" t="s">
        <v>1744</v>
      </c>
      <c r="D1482" s="1">
        <v>38568</v>
      </c>
      <c r="E1482" t="s">
        <v>227</v>
      </c>
      <c r="F1482">
        <v>0</v>
      </c>
      <c r="G1482" t="s">
        <v>93</v>
      </c>
      <c r="H1482">
        <v>108.22</v>
      </c>
      <c r="I1482">
        <v>98</v>
      </c>
      <c r="J1482">
        <v>75.849999999999994</v>
      </c>
      <c r="K1482">
        <v>99</v>
      </c>
      <c r="L1482">
        <v>-22.93</v>
      </c>
      <c r="M1482">
        <v>97</v>
      </c>
      <c r="N1482">
        <v>47.82</v>
      </c>
      <c r="O1482">
        <v>99</v>
      </c>
      <c r="P1482">
        <v>-53.73</v>
      </c>
      <c r="Q1482">
        <v>99</v>
      </c>
      <c r="R1482">
        <v>4.55</v>
      </c>
      <c r="S1482">
        <v>97</v>
      </c>
      <c r="T1482">
        <v>41.35</v>
      </c>
      <c r="U1482">
        <v>99</v>
      </c>
      <c r="V1482">
        <v>15.31</v>
      </c>
      <c r="W1482">
        <v>97</v>
      </c>
      <c r="X1482" t="s">
        <v>276</v>
      </c>
      <c r="Y1482" t="s">
        <v>282</v>
      </c>
      <c r="Z1482">
        <v>0</v>
      </c>
      <c r="AA1482" t="s">
        <v>1525</v>
      </c>
      <c r="AB1482" t="s">
        <v>1745</v>
      </c>
      <c r="AC1482">
        <v>3634</v>
      </c>
      <c r="AD1482">
        <v>578</v>
      </c>
      <c r="AE1482">
        <v>99</v>
      </c>
      <c r="AF1482">
        <v>-124.03</v>
      </c>
      <c r="AG1482">
        <v>16.2</v>
      </c>
      <c r="AH1482">
        <v>5.27</v>
      </c>
      <c r="AI1482">
        <v>0.37</v>
      </c>
      <c r="AJ1482">
        <v>0.17</v>
      </c>
      <c r="AK1482">
        <v>97</v>
      </c>
      <c r="AL1482">
        <v>3960</v>
      </c>
      <c r="AM1482">
        <v>621</v>
      </c>
      <c r="AN1482">
        <v>1.9</v>
      </c>
      <c r="AO1482">
        <v>0.08</v>
      </c>
      <c r="AP1482">
        <v>5897</v>
      </c>
      <c r="AQ1482">
        <v>34</v>
      </c>
      <c r="AR1482">
        <v>2.2999999999999998</v>
      </c>
      <c r="AS1482">
        <v>99</v>
      </c>
      <c r="AT1482">
        <v>1.32</v>
      </c>
      <c r="AU1482">
        <v>99</v>
      </c>
      <c r="AV1482">
        <v>-3.28</v>
      </c>
      <c r="AW1482">
        <v>99</v>
      </c>
      <c r="AX1482">
        <v>0.84</v>
      </c>
      <c r="AY1482">
        <v>99</v>
      </c>
      <c r="AZ1482">
        <v>5.36</v>
      </c>
      <c r="BA1482">
        <v>98</v>
      </c>
      <c r="BB1482">
        <v>4.9800000000000004</v>
      </c>
      <c r="BC1482">
        <v>98</v>
      </c>
      <c r="BD1482">
        <v>-0.04</v>
      </c>
      <c r="BE1482">
        <v>-0.02</v>
      </c>
      <c r="BF1482">
        <v>0</v>
      </c>
      <c r="BG1482">
        <v>99</v>
      </c>
      <c r="BH1482">
        <v>0.35</v>
      </c>
      <c r="BI1482">
        <v>-8.89</v>
      </c>
      <c r="BJ1482">
        <v>135</v>
      </c>
      <c r="BK1482">
        <v>32</v>
      </c>
      <c r="BL1482">
        <v>-2.8</v>
      </c>
      <c r="BM1482">
        <v>1.24</v>
      </c>
      <c r="BN1482">
        <v>1.78</v>
      </c>
      <c r="BO1482">
        <v>0.87</v>
      </c>
      <c r="BP1482">
        <v>0.95</v>
      </c>
      <c r="BQ1482">
        <v>-4.08</v>
      </c>
      <c r="BR1482">
        <v>4.87</v>
      </c>
      <c r="BS1482">
        <v>3.18</v>
      </c>
      <c r="BT1482">
        <v>-3.39</v>
      </c>
      <c r="BU1482">
        <v>-0.28999999999999998</v>
      </c>
      <c r="BV1482">
        <v>-1.49</v>
      </c>
      <c r="BW1482">
        <v>-2.85</v>
      </c>
      <c r="BX1482">
        <v>-3.99</v>
      </c>
      <c r="BY1482">
        <v>1.99</v>
      </c>
      <c r="BZ1482">
        <v>-1.26</v>
      </c>
      <c r="CA1482">
        <v>0.37</v>
      </c>
      <c r="CB1482">
        <v>-0.33</v>
      </c>
      <c r="CC1482">
        <v>2.17</v>
      </c>
      <c r="CD1482">
        <v>0</v>
      </c>
      <c r="CE1482">
        <v>0.28999999999999998</v>
      </c>
      <c r="CF1482">
        <v>-1.97</v>
      </c>
      <c r="CG1482">
        <v>0</v>
      </c>
      <c r="CH1482">
        <v>-0.16</v>
      </c>
      <c r="CI1482">
        <v>0</v>
      </c>
      <c r="CJ1482">
        <v>-28</v>
      </c>
      <c r="CK1482">
        <v>99</v>
      </c>
      <c r="CL1482">
        <v>-1.1599999999999999</v>
      </c>
      <c r="CM1482">
        <v>99</v>
      </c>
      <c r="CN1482">
        <v>-0.19</v>
      </c>
      <c r="CO1482">
        <v>99</v>
      </c>
      <c r="CP1482">
        <v>-35.6</v>
      </c>
      <c r="CQ1482">
        <v>99</v>
      </c>
      <c r="CR1482">
        <v>0</v>
      </c>
      <c r="CS1482">
        <v>0</v>
      </c>
      <c r="CT1482">
        <v>-42.1</v>
      </c>
      <c r="CU1482">
        <v>99</v>
      </c>
      <c r="CV1482">
        <v>-0.22</v>
      </c>
      <c r="CW1482">
        <v>47</v>
      </c>
      <c r="CX1482" t="s">
        <v>1746</v>
      </c>
    </row>
    <row r="1483" spans="1:102" x14ac:dyDescent="0.3">
      <c r="A1483" t="str">
        <f>HYPERLINK("https://webapp.icbf.com/v2/app/bull-search/view/760399157","REG")</f>
        <v>REG</v>
      </c>
      <c r="B1483" t="s">
        <v>9307</v>
      </c>
      <c r="C1483" t="s">
        <v>9308</v>
      </c>
      <c r="D1483" s="1">
        <v>39738</v>
      </c>
      <c r="E1483" t="s">
        <v>92</v>
      </c>
      <c r="F1483">
        <v>100</v>
      </c>
      <c r="G1483" t="s">
        <v>109</v>
      </c>
      <c r="H1483">
        <v>108.06</v>
      </c>
      <c r="I1483">
        <v>84</v>
      </c>
      <c r="J1483">
        <v>22.92</v>
      </c>
      <c r="K1483">
        <v>93</v>
      </c>
      <c r="L1483">
        <v>36.590000000000003</v>
      </c>
      <c r="M1483">
        <v>86</v>
      </c>
      <c r="N1483">
        <v>43.95</v>
      </c>
      <c r="O1483">
        <v>72</v>
      </c>
      <c r="P1483">
        <v>-5.52</v>
      </c>
      <c r="Q1483">
        <v>78</v>
      </c>
      <c r="R1483">
        <v>20.190000000000001</v>
      </c>
      <c r="S1483">
        <v>79</v>
      </c>
      <c r="T1483">
        <v>-4.08</v>
      </c>
      <c r="U1483">
        <v>66</v>
      </c>
      <c r="V1483">
        <v>-5.99</v>
      </c>
      <c r="W1483">
        <v>66</v>
      </c>
      <c r="X1483" t="s">
        <v>251</v>
      </c>
      <c r="Y1483" t="s">
        <v>1980</v>
      </c>
      <c r="Z1483" t="s">
        <v>96</v>
      </c>
      <c r="AA1483" t="s">
        <v>9253</v>
      </c>
      <c r="AB1483" t="s">
        <v>1749</v>
      </c>
      <c r="AC1483">
        <v>0</v>
      </c>
      <c r="AD1483">
        <v>0</v>
      </c>
      <c r="AE1483">
        <v>93</v>
      </c>
      <c r="AF1483">
        <v>215.53</v>
      </c>
      <c r="AG1483">
        <v>3.27</v>
      </c>
      <c r="AH1483">
        <v>6.04</v>
      </c>
      <c r="AI1483">
        <v>-0.09</v>
      </c>
      <c r="AJ1483">
        <v>-0.02</v>
      </c>
      <c r="AK1483">
        <v>86</v>
      </c>
      <c r="AL1483">
        <v>0</v>
      </c>
      <c r="AM1483">
        <v>0</v>
      </c>
      <c r="AN1483">
        <v>-2.64</v>
      </c>
      <c r="AO1483">
        <v>0.27</v>
      </c>
      <c r="AP1483">
        <v>67</v>
      </c>
      <c r="AQ1483">
        <v>0</v>
      </c>
      <c r="AR1483">
        <v>6.88</v>
      </c>
      <c r="AS1483">
        <v>70</v>
      </c>
      <c r="AT1483">
        <v>2.73</v>
      </c>
      <c r="AU1483">
        <v>86</v>
      </c>
      <c r="AV1483">
        <v>-4.25</v>
      </c>
      <c r="AW1483">
        <v>74</v>
      </c>
      <c r="AX1483">
        <v>-0.5</v>
      </c>
      <c r="AY1483">
        <v>61</v>
      </c>
      <c r="AZ1483">
        <v>5.63</v>
      </c>
      <c r="BA1483">
        <v>58</v>
      </c>
      <c r="BB1483">
        <v>4.45</v>
      </c>
      <c r="BC1483">
        <v>53</v>
      </c>
      <c r="BD1483">
        <v>-0.11</v>
      </c>
      <c r="BE1483">
        <v>-0.09</v>
      </c>
      <c r="BF1483">
        <v>-0.11</v>
      </c>
      <c r="BG1483">
        <v>92</v>
      </c>
      <c r="BH1483">
        <v>-0.28999999999999998</v>
      </c>
      <c r="BI1483">
        <v>-14.24</v>
      </c>
      <c r="BJ1483">
        <v>1</v>
      </c>
      <c r="BK1483">
        <v>1</v>
      </c>
      <c r="BL1483">
        <v>1.31</v>
      </c>
      <c r="BM1483">
        <v>-0.5</v>
      </c>
      <c r="BN1483">
        <v>0.11</v>
      </c>
      <c r="BO1483">
        <v>0.62</v>
      </c>
      <c r="BP1483">
        <v>-0.97</v>
      </c>
      <c r="BQ1483">
        <v>0.95</v>
      </c>
      <c r="BR1483">
        <v>-0.83</v>
      </c>
      <c r="BS1483">
        <v>0.27</v>
      </c>
      <c r="BT1483">
        <v>1.44</v>
      </c>
      <c r="BU1483">
        <v>2.79</v>
      </c>
      <c r="BV1483">
        <v>2.35</v>
      </c>
      <c r="BW1483">
        <v>1.18</v>
      </c>
      <c r="BX1483">
        <v>2.4700000000000002</v>
      </c>
      <c r="BY1483">
        <v>0.44</v>
      </c>
      <c r="BZ1483">
        <v>0.86</v>
      </c>
      <c r="CA1483">
        <v>2.12</v>
      </c>
      <c r="CB1483">
        <v>1.83</v>
      </c>
      <c r="CC1483">
        <v>1.03</v>
      </c>
      <c r="CD1483">
        <v>-0.18</v>
      </c>
      <c r="CE1483">
        <v>0.44</v>
      </c>
      <c r="CF1483">
        <v>0.19</v>
      </c>
      <c r="CG1483">
        <v>0</v>
      </c>
      <c r="CH1483">
        <v>0.35</v>
      </c>
      <c r="CI1483">
        <v>0</v>
      </c>
      <c r="CJ1483">
        <v>-1.1000000000000001</v>
      </c>
      <c r="CK1483">
        <v>80</v>
      </c>
      <c r="CL1483">
        <v>-1.22</v>
      </c>
      <c r="CM1483">
        <v>77</v>
      </c>
      <c r="CN1483">
        <v>-0.65</v>
      </c>
      <c r="CO1483">
        <v>75</v>
      </c>
      <c r="CP1483">
        <v>6.5</v>
      </c>
      <c r="CQ1483">
        <v>66</v>
      </c>
      <c r="CR1483">
        <v>0</v>
      </c>
      <c r="CS1483">
        <v>0</v>
      </c>
      <c r="CT1483">
        <v>19.3</v>
      </c>
      <c r="CU1483">
        <v>66</v>
      </c>
      <c r="CV1483">
        <v>0.28000000000000003</v>
      </c>
      <c r="CW1483">
        <v>42</v>
      </c>
      <c r="CX1483" t="s">
        <v>316</v>
      </c>
    </row>
    <row r="1484" spans="1:102" x14ac:dyDescent="0.3">
      <c r="A1484" t="str">
        <f>HYPERLINK("https://webapp.icbf.com/v2/app/bull-search/view/670013867","BZY")</f>
        <v>BZY</v>
      </c>
      <c r="B1484" t="s">
        <v>14873</v>
      </c>
      <c r="C1484" t="s">
        <v>14874</v>
      </c>
      <c r="D1484" s="1">
        <v>39865</v>
      </c>
      <c r="E1484" t="s">
        <v>92</v>
      </c>
      <c r="F1484">
        <v>100</v>
      </c>
      <c r="G1484" t="s">
        <v>93</v>
      </c>
      <c r="H1484">
        <v>108.01</v>
      </c>
      <c r="I1484">
        <v>85</v>
      </c>
      <c r="J1484">
        <v>31</v>
      </c>
      <c r="K1484">
        <v>96</v>
      </c>
      <c r="L1484">
        <v>23.6</v>
      </c>
      <c r="M1484">
        <v>73</v>
      </c>
      <c r="N1484">
        <v>35.15</v>
      </c>
      <c r="O1484">
        <v>87</v>
      </c>
      <c r="P1484">
        <v>-3.12</v>
      </c>
      <c r="Q1484">
        <v>94</v>
      </c>
      <c r="R1484">
        <v>12.25</v>
      </c>
      <c r="S1484">
        <v>74</v>
      </c>
      <c r="T1484">
        <v>4.5</v>
      </c>
      <c r="U1484">
        <v>89</v>
      </c>
      <c r="V1484">
        <v>4.63</v>
      </c>
      <c r="W1484">
        <v>75</v>
      </c>
      <c r="X1484" t="s">
        <v>102</v>
      </c>
      <c r="Y1484" t="s">
        <v>1727</v>
      </c>
      <c r="Z1484" t="s">
        <v>96</v>
      </c>
      <c r="AA1484" t="s">
        <v>277</v>
      </c>
      <c r="AB1484" t="s">
        <v>14875</v>
      </c>
      <c r="AC1484">
        <v>102</v>
      </c>
      <c r="AD1484">
        <v>68</v>
      </c>
      <c r="AE1484">
        <v>96</v>
      </c>
      <c r="AF1484">
        <v>167.23</v>
      </c>
      <c r="AG1484">
        <v>3.99</v>
      </c>
      <c r="AH1484">
        <v>6.42</v>
      </c>
      <c r="AI1484">
        <v>-0.04</v>
      </c>
      <c r="AJ1484">
        <v>0.01</v>
      </c>
      <c r="AK1484">
        <v>73</v>
      </c>
      <c r="AL1484">
        <v>126</v>
      </c>
      <c r="AM1484">
        <v>79</v>
      </c>
      <c r="AN1484">
        <v>-0.7</v>
      </c>
      <c r="AO1484">
        <v>1.19</v>
      </c>
      <c r="AP1484">
        <v>262</v>
      </c>
      <c r="AQ1484">
        <v>3</v>
      </c>
      <c r="AR1484">
        <v>6.75</v>
      </c>
      <c r="AS1484">
        <v>69</v>
      </c>
      <c r="AT1484">
        <v>2.61</v>
      </c>
      <c r="AU1484">
        <v>88</v>
      </c>
      <c r="AV1484">
        <v>-4.0199999999999996</v>
      </c>
      <c r="AW1484">
        <v>97</v>
      </c>
      <c r="AX1484">
        <v>-0.32</v>
      </c>
      <c r="AY1484">
        <v>83</v>
      </c>
      <c r="AZ1484">
        <v>6.91</v>
      </c>
      <c r="BA1484">
        <v>67</v>
      </c>
      <c r="BB1484">
        <v>5.62</v>
      </c>
      <c r="BC1484">
        <v>68</v>
      </c>
      <c r="BD1484">
        <v>-0.04</v>
      </c>
      <c r="BE1484">
        <v>-0.05</v>
      </c>
      <c r="BF1484">
        <v>-0.12</v>
      </c>
      <c r="BG1484">
        <v>84</v>
      </c>
      <c r="BH1484">
        <v>0.11</v>
      </c>
      <c r="BI1484">
        <v>-2.2000000000000002</v>
      </c>
      <c r="BJ1484">
        <v>25</v>
      </c>
      <c r="BK1484">
        <v>13</v>
      </c>
      <c r="BL1484">
        <v>0.88</v>
      </c>
      <c r="BM1484">
        <v>0.49</v>
      </c>
      <c r="BN1484">
        <v>0.51</v>
      </c>
      <c r="BO1484">
        <v>-0.01</v>
      </c>
      <c r="BP1484">
        <v>0.28000000000000003</v>
      </c>
      <c r="BQ1484">
        <v>-0.05</v>
      </c>
      <c r="BR1484">
        <v>-0.02</v>
      </c>
      <c r="BS1484">
        <v>0.8</v>
      </c>
      <c r="BT1484">
        <v>0.2</v>
      </c>
      <c r="BU1484">
        <v>0.56000000000000005</v>
      </c>
      <c r="BV1484">
        <v>0.28000000000000003</v>
      </c>
      <c r="BW1484">
        <v>7.0000000000000007E-2</v>
      </c>
      <c r="BX1484">
        <v>1.22</v>
      </c>
      <c r="BY1484">
        <v>0.11</v>
      </c>
      <c r="BZ1484">
        <v>0.45</v>
      </c>
      <c r="CA1484">
        <v>0.65</v>
      </c>
      <c r="CB1484">
        <v>0.43</v>
      </c>
      <c r="CC1484">
        <v>0.72</v>
      </c>
      <c r="CD1484">
        <v>0.71</v>
      </c>
      <c r="CE1484">
        <v>0.16</v>
      </c>
      <c r="CF1484">
        <v>1</v>
      </c>
      <c r="CG1484">
        <v>0</v>
      </c>
      <c r="CH1484">
        <v>-1.29</v>
      </c>
      <c r="CI1484">
        <v>0</v>
      </c>
      <c r="CJ1484">
        <v>2.2000000000000002</v>
      </c>
      <c r="CK1484">
        <v>95</v>
      </c>
      <c r="CL1484">
        <v>-0.88</v>
      </c>
      <c r="CM1484">
        <v>93</v>
      </c>
      <c r="CN1484">
        <v>-0.22</v>
      </c>
      <c r="CO1484">
        <v>92</v>
      </c>
      <c r="CP1484">
        <v>2.2999999999999998</v>
      </c>
      <c r="CQ1484">
        <v>90</v>
      </c>
      <c r="CR1484">
        <v>0</v>
      </c>
      <c r="CS1484">
        <v>0</v>
      </c>
      <c r="CT1484">
        <v>7.7</v>
      </c>
      <c r="CU1484">
        <v>89</v>
      </c>
      <c r="CV1484">
        <v>0.35</v>
      </c>
      <c r="CW1484">
        <v>29</v>
      </c>
      <c r="CX1484" t="s">
        <v>316</v>
      </c>
    </row>
    <row r="1485" spans="1:102" x14ac:dyDescent="0.3">
      <c r="A1485" t="str">
        <f>HYPERLINK("https://webapp.icbf.com/v2/app/bull-search/view/1075209956","S1560")</f>
        <v>S1560</v>
      </c>
      <c r="B1485" t="s">
        <v>144</v>
      </c>
      <c r="C1485" t="s">
        <v>15597</v>
      </c>
      <c r="D1485" s="1">
        <v>40644</v>
      </c>
      <c r="E1485" t="s">
        <v>210</v>
      </c>
      <c r="F1485">
        <v>0</v>
      </c>
      <c r="G1485" t="s">
        <v>116</v>
      </c>
      <c r="H1485">
        <v>107.97</v>
      </c>
      <c r="I1485">
        <v>35</v>
      </c>
      <c r="J1485">
        <v>20.18</v>
      </c>
      <c r="K1485">
        <v>47</v>
      </c>
      <c r="L1485">
        <v>46.34</v>
      </c>
      <c r="M1485">
        <v>22</v>
      </c>
      <c r="N1485">
        <v>24.45</v>
      </c>
      <c r="O1485">
        <v>38</v>
      </c>
      <c r="P1485">
        <v>9.07</v>
      </c>
      <c r="Q1485">
        <v>42</v>
      </c>
      <c r="R1485">
        <v>2.3199999999999998</v>
      </c>
      <c r="S1485">
        <v>26</v>
      </c>
      <c r="T1485">
        <v>7.02</v>
      </c>
      <c r="U1485">
        <v>37</v>
      </c>
      <c r="V1485">
        <v>-1.41</v>
      </c>
      <c r="W1485">
        <v>18</v>
      </c>
      <c r="X1485" t="s">
        <v>15598</v>
      </c>
      <c r="Y1485" t="s">
        <v>362</v>
      </c>
      <c r="Z1485">
        <v>0</v>
      </c>
      <c r="AA1485" t="s">
        <v>5304</v>
      </c>
      <c r="AB1485" t="s">
        <v>15599</v>
      </c>
      <c r="AC1485">
        <v>3</v>
      </c>
      <c r="AD1485">
        <v>1</v>
      </c>
      <c r="AE1485">
        <v>47</v>
      </c>
      <c r="AF1485">
        <v>121.22</v>
      </c>
      <c r="AG1485">
        <v>1.49</v>
      </c>
      <c r="AH1485">
        <v>4.76</v>
      </c>
      <c r="AI1485">
        <v>-0.05</v>
      </c>
      <c r="AJ1485">
        <v>0.01</v>
      </c>
      <c r="AK1485">
        <v>22</v>
      </c>
      <c r="AL1485">
        <v>3</v>
      </c>
      <c r="AM1485">
        <v>1</v>
      </c>
      <c r="AN1485">
        <v>-1.41</v>
      </c>
      <c r="AO1485">
        <v>2.2999999999999998</v>
      </c>
      <c r="AP1485">
        <v>8</v>
      </c>
      <c r="AQ1485">
        <v>0</v>
      </c>
      <c r="AR1485">
        <v>6.27</v>
      </c>
      <c r="AS1485">
        <v>29</v>
      </c>
      <c r="AT1485">
        <v>2.78</v>
      </c>
      <c r="AU1485">
        <v>34</v>
      </c>
      <c r="AV1485">
        <v>-1.65</v>
      </c>
      <c r="AW1485">
        <v>53</v>
      </c>
      <c r="AX1485">
        <v>-0.2</v>
      </c>
      <c r="AY1485">
        <v>30</v>
      </c>
      <c r="AZ1485">
        <v>5.18</v>
      </c>
      <c r="BA1485">
        <v>19</v>
      </c>
      <c r="BB1485">
        <v>4.3899999999999997</v>
      </c>
      <c r="BC1485">
        <v>16</v>
      </c>
      <c r="BD1485">
        <v>0.01</v>
      </c>
      <c r="BE1485">
        <v>0</v>
      </c>
      <c r="BF1485">
        <v>-7.0000000000000007E-2</v>
      </c>
      <c r="BG1485">
        <v>33</v>
      </c>
      <c r="BH1485">
        <v>-0.06</v>
      </c>
      <c r="BI1485">
        <v>-2.38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3.7</v>
      </c>
      <c r="CK1485">
        <v>44</v>
      </c>
      <c r="CL1485">
        <v>-0.25</v>
      </c>
      <c r="CM1485">
        <v>40</v>
      </c>
      <c r="CN1485">
        <v>-0.54</v>
      </c>
      <c r="CO1485">
        <v>39</v>
      </c>
      <c r="CP1485">
        <v>1.5</v>
      </c>
      <c r="CQ1485">
        <v>34</v>
      </c>
      <c r="CR1485">
        <v>0</v>
      </c>
      <c r="CS1485">
        <v>0</v>
      </c>
      <c r="CT1485">
        <v>4.3</v>
      </c>
      <c r="CU1485">
        <v>37</v>
      </c>
      <c r="CV1485">
        <v>0.01</v>
      </c>
      <c r="CW1485">
        <v>11</v>
      </c>
      <c r="CX1485" t="s">
        <v>2061</v>
      </c>
    </row>
    <row r="1486" spans="1:102" x14ac:dyDescent="0.3">
      <c r="A1486" t="str">
        <f>HYPERLINK("https://webapp.icbf.com/v2/app/bull-search/view/720502949","TJS")</f>
        <v>TJS</v>
      </c>
      <c r="B1486" t="s">
        <v>9070</v>
      </c>
      <c r="C1486" t="s">
        <v>9071</v>
      </c>
      <c r="D1486" s="1">
        <v>39294</v>
      </c>
      <c r="E1486" t="s">
        <v>227</v>
      </c>
      <c r="F1486">
        <v>0</v>
      </c>
      <c r="G1486" t="s">
        <v>93</v>
      </c>
      <c r="H1486">
        <v>107.9</v>
      </c>
      <c r="I1486">
        <v>85</v>
      </c>
      <c r="J1486">
        <v>56.92</v>
      </c>
      <c r="K1486">
        <v>96</v>
      </c>
      <c r="L1486">
        <v>4.68</v>
      </c>
      <c r="M1486">
        <v>78</v>
      </c>
      <c r="N1486">
        <v>41.52</v>
      </c>
      <c r="O1486">
        <v>80</v>
      </c>
      <c r="P1486">
        <v>-55.35</v>
      </c>
      <c r="Q1486">
        <v>85</v>
      </c>
      <c r="R1486">
        <v>0.33</v>
      </c>
      <c r="S1486">
        <v>78</v>
      </c>
      <c r="T1486">
        <v>59.04</v>
      </c>
      <c r="U1486">
        <v>84</v>
      </c>
      <c r="V1486">
        <v>0.76</v>
      </c>
      <c r="W1486">
        <v>77</v>
      </c>
      <c r="X1486" t="s">
        <v>94</v>
      </c>
      <c r="Y1486" t="s">
        <v>228</v>
      </c>
      <c r="Z1486">
        <v>0</v>
      </c>
      <c r="AA1486" t="s">
        <v>229</v>
      </c>
      <c r="AB1486" t="s">
        <v>9072</v>
      </c>
      <c r="AC1486">
        <v>44</v>
      </c>
      <c r="AD1486">
        <v>12</v>
      </c>
      <c r="AE1486">
        <v>96</v>
      </c>
      <c r="AF1486">
        <v>-462.63</v>
      </c>
      <c r="AG1486">
        <v>15.63</v>
      </c>
      <c r="AH1486">
        <v>-2.93</v>
      </c>
      <c r="AI1486">
        <v>0.64</v>
      </c>
      <c r="AJ1486">
        <v>0.24</v>
      </c>
      <c r="AK1486">
        <v>78</v>
      </c>
      <c r="AL1486">
        <v>0</v>
      </c>
      <c r="AM1486">
        <v>0</v>
      </c>
      <c r="AN1486">
        <v>0.3</v>
      </c>
      <c r="AO1486">
        <v>0.68</v>
      </c>
      <c r="AP1486">
        <v>100</v>
      </c>
      <c r="AQ1486">
        <v>0</v>
      </c>
      <c r="AR1486">
        <v>2.66</v>
      </c>
      <c r="AS1486">
        <v>60</v>
      </c>
      <c r="AT1486">
        <v>1.54</v>
      </c>
      <c r="AU1486">
        <v>82</v>
      </c>
      <c r="AV1486">
        <v>-2.7</v>
      </c>
      <c r="AW1486">
        <v>93</v>
      </c>
      <c r="AX1486">
        <v>1.25</v>
      </c>
      <c r="AY1486">
        <v>71</v>
      </c>
      <c r="AZ1486">
        <v>6.65</v>
      </c>
      <c r="BA1486">
        <v>57</v>
      </c>
      <c r="BB1486">
        <v>4.41</v>
      </c>
      <c r="BC1486">
        <v>60</v>
      </c>
      <c r="BD1486">
        <v>-0.04</v>
      </c>
      <c r="BE1486">
        <v>0.01</v>
      </c>
      <c r="BF1486">
        <v>0.04</v>
      </c>
      <c r="BG1486">
        <v>85</v>
      </c>
      <c r="BH1486">
        <v>0.1</v>
      </c>
      <c r="BI1486">
        <v>9.1199999999999992</v>
      </c>
      <c r="BJ1486">
        <v>0</v>
      </c>
      <c r="BK1486">
        <v>0</v>
      </c>
      <c r="BL1486">
        <v>-2.66</v>
      </c>
      <c r="BM1486">
        <v>-1.96</v>
      </c>
      <c r="BN1486">
        <v>-0.04</v>
      </c>
      <c r="BO1486">
        <v>1.44</v>
      </c>
      <c r="BP1486">
        <v>-0.6</v>
      </c>
      <c r="BQ1486">
        <v>-5.22</v>
      </c>
      <c r="BR1486">
        <v>3.27</v>
      </c>
      <c r="BS1486">
        <v>5.78</v>
      </c>
      <c r="BT1486">
        <v>-1.22</v>
      </c>
      <c r="BU1486">
        <v>-1.43</v>
      </c>
      <c r="BV1486">
        <v>-0.88</v>
      </c>
      <c r="BW1486">
        <v>-2.84</v>
      </c>
      <c r="BX1486">
        <v>-3.58</v>
      </c>
      <c r="BY1486">
        <v>-0.05</v>
      </c>
      <c r="BZ1486">
        <v>-0.93</v>
      </c>
      <c r="CA1486">
        <v>0.36</v>
      </c>
      <c r="CB1486">
        <v>-1.1299999999999999</v>
      </c>
      <c r="CC1486">
        <v>3.46</v>
      </c>
      <c r="CD1486">
        <v>-2.65</v>
      </c>
      <c r="CE1486">
        <v>0.75</v>
      </c>
      <c r="CF1486">
        <v>-3.22</v>
      </c>
      <c r="CG1486">
        <v>0</v>
      </c>
      <c r="CH1486">
        <v>-1.54</v>
      </c>
      <c r="CI1486">
        <v>0</v>
      </c>
      <c r="CJ1486">
        <v>-29</v>
      </c>
      <c r="CK1486">
        <v>87</v>
      </c>
      <c r="CL1486">
        <v>-1.1599999999999999</v>
      </c>
      <c r="CM1486">
        <v>83</v>
      </c>
      <c r="CN1486">
        <v>-0.3</v>
      </c>
      <c r="CO1486">
        <v>82</v>
      </c>
      <c r="CP1486">
        <v>-45.8</v>
      </c>
      <c r="CQ1486">
        <v>77</v>
      </c>
      <c r="CR1486">
        <v>0</v>
      </c>
      <c r="CS1486">
        <v>0</v>
      </c>
      <c r="CT1486">
        <v>-66</v>
      </c>
      <c r="CU1486">
        <v>84</v>
      </c>
      <c r="CV1486">
        <v>-0.2</v>
      </c>
      <c r="CW1486">
        <v>44</v>
      </c>
      <c r="CX1486" t="s">
        <v>1525</v>
      </c>
    </row>
    <row r="1487" spans="1:102" x14ac:dyDescent="0.3">
      <c r="A1487" t="str">
        <f>HYPERLINK("https://webapp.icbf.com/v2/app/bull-search/view/679795992","DJZ")</f>
        <v>DJZ</v>
      </c>
      <c r="B1487" t="s">
        <v>7541</v>
      </c>
      <c r="C1487" t="s">
        <v>2181</v>
      </c>
      <c r="D1487" s="1">
        <v>38261</v>
      </c>
      <c r="E1487" t="s">
        <v>227</v>
      </c>
      <c r="F1487">
        <v>0</v>
      </c>
      <c r="G1487" t="s">
        <v>93</v>
      </c>
      <c r="H1487">
        <v>107.88</v>
      </c>
      <c r="I1487">
        <v>91</v>
      </c>
      <c r="J1487">
        <v>17.940000000000001</v>
      </c>
      <c r="K1487">
        <v>98</v>
      </c>
      <c r="L1487">
        <v>65.87</v>
      </c>
      <c r="M1487">
        <v>89</v>
      </c>
      <c r="N1487">
        <v>7.7</v>
      </c>
      <c r="O1487">
        <v>90</v>
      </c>
      <c r="P1487">
        <v>-64.739999999999995</v>
      </c>
      <c r="Q1487">
        <v>90</v>
      </c>
      <c r="R1487">
        <v>11.09</v>
      </c>
      <c r="S1487">
        <v>74</v>
      </c>
      <c r="T1487">
        <v>65.849999999999994</v>
      </c>
      <c r="U1487">
        <v>87</v>
      </c>
      <c r="V1487">
        <v>4.17</v>
      </c>
      <c r="W1487">
        <v>72</v>
      </c>
      <c r="X1487" t="s">
        <v>94</v>
      </c>
      <c r="Y1487" t="s">
        <v>235</v>
      </c>
      <c r="Z1487">
        <v>0</v>
      </c>
      <c r="AA1487" t="s">
        <v>1781</v>
      </c>
      <c r="AB1487" t="s">
        <v>7542</v>
      </c>
      <c r="AC1487">
        <v>238</v>
      </c>
      <c r="AD1487">
        <v>62</v>
      </c>
      <c r="AE1487">
        <v>98</v>
      </c>
      <c r="AF1487">
        <v>-508.95</v>
      </c>
      <c r="AG1487">
        <v>4.95</v>
      </c>
      <c r="AH1487">
        <v>-6.49</v>
      </c>
      <c r="AI1487">
        <v>0.45</v>
      </c>
      <c r="AJ1487">
        <v>0.2</v>
      </c>
      <c r="AK1487">
        <v>89</v>
      </c>
      <c r="AL1487">
        <v>228</v>
      </c>
      <c r="AM1487">
        <v>71</v>
      </c>
      <c r="AN1487">
        <v>-1.52</v>
      </c>
      <c r="AO1487">
        <v>3.76</v>
      </c>
      <c r="AP1487">
        <v>343</v>
      </c>
      <c r="AQ1487">
        <v>0</v>
      </c>
      <c r="AR1487">
        <v>3.37</v>
      </c>
      <c r="AS1487">
        <v>90</v>
      </c>
      <c r="AT1487">
        <v>1.74</v>
      </c>
      <c r="AU1487">
        <v>88</v>
      </c>
      <c r="AV1487">
        <v>-1.58</v>
      </c>
      <c r="AW1487">
        <v>98</v>
      </c>
      <c r="AX1487">
        <v>9.9600000000000009</v>
      </c>
      <c r="AY1487">
        <v>89</v>
      </c>
      <c r="AZ1487">
        <v>6.01</v>
      </c>
      <c r="BA1487">
        <v>76</v>
      </c>
      <c r="BB1487">
        <v>4.7</v>
      </c>
      <c r="BC1487">
        <v>74</v>
      </c>
      <c r="BD1487">
        <v>-0.03</v>
      </c>
      <c r="BE1487">
        <v>-0.05</v>
      </c>
      <c r="BF1487">
        <v>-0.11</v>
      </c>
      <c r="BG1487">
        <v>91</v>
      </c>
      <c r="BH1487">
        <v>0.08</v>
      </c>
      <c r="BI1487">
        <v>-4.2</v>
      </c>
      <c r="BJ1487">
        <v>25</v>
      </c>
      <c r="BK1487">
        <v>5</v>
      </c>
      <c r="BL1487">
        <v>-1.05</v>
      </c>
      <c r="BM1487">
        <v>-3.53</v>
      </c>
      <c r="BN1487">
        <v>-1.32</v>
      </c>
      <c r="BO1487">
        <v>1.83</v>
      </c>
      <c r="BP1487">
        <v>0.34</v>
      </c>
      <c r="BQ1487">
        <v>-6.02</v>
      </c>
      <c r="BR1487">
        <v>3.18</v>
      </c>
      <c r="BS1487">
        <v>7.34</v>
      </c>
      <c r="BT1487">
        <v>-1.4</v>
      </c>
      <c r="BU1487">
        <v>1.65</v>
      </c>
      <c r="BV1487">
        <v>1.66</v>
      </c>
      <c r="BW1487">
        <v>0.2</v>
      </c>
      <c r="BX1487">
        <v>-0.2</v>
      </c>
      <c r="BY1487">
        <v>1.73</v>
      </c>
      <c r="BZ1487">
        <v>-2.83</v>
      </c>
      <c r="CA1487">
        <v>3.15</v>
      </c>
      <c r="CB1487">
        <v>1.49</v>
      </c>
      <c r="CC1487">
        <v>4.91</v>
      </c>
      <c r="CD1487">
        <v>-3.14</v>
      </c>
      <c r="CE1487">
        <v>1.73</v>
      </c>
      <c r="CF1487">
        <v>-1.58</v>
      </c>
      <c r="CG1487">
        <v>0</v>
      </c>
      <c r="CH1487">
        <v>0.71</v>
      </c>
      <c r="CI1487">
        <v>0</v>
      </c>
      <c r="CJ1487">
        <v>-34.5</v>
      </c>
      <c r="CK1487">
        <v>91</v>
      </c>
      <c r="CL1487">
        <v>-1.42</v>
      </c>
      <c r="CM1487">
        <v>88</v>
      </c>
      <c r="CN1487">
        <v>-0.53</v>
      </c>
      <c r="CO1487">
        <v>86</v>
      </c>
      <c r="CP1487">
        <v>-57.9</v>
      </c>
      <c r="CQ1487">
        <v>89</v>
      </c>
      <c r="CR1487">
        <v>0</v>
      </c>
      <c r="CS1487">
        <v>0</v>
      </c>
      <c r="CT1487">
        <v>-75.2</v>
      </c>
      <c r="CU1487">
        <v>87</v>
      </c>
      <c r="CV1487">
        <v>-0.35</v>
      </c>
      <c r="CW1487">
        <v>26</v>
      </c>
      <c r="CX1487" t="s">
        <v>554</v>
      </c>
    </row>
    <row r="1488" spans="1:102" x14ac:dyDescent="0.3">
      <c r="A1488" t="str">
        <f>HYPERLINK("https://webapp.icbf.com/v2/app/bull-search/view/505061585","MJX")</f>
        <v>MJX</v>
      </c>
      <c r="B1488" t="s">
        <v>12092</v>
      </c>
      <c r="C1488" t="s">
        <v>12093</v>
      </c>
      <c r="D1488" s="1">
        <v>39161</v>
      </c>
      <c r="E1488" t="s">
        <v>92</v>
      </c>
      <c r="F1488">
        <v>81</v>
      </c>
      <c r="G1488" t="s">
        <v>93</v>
      </c>
      <c r="H1488">
        <v>107.85</v>
      </c>
      <c r="I1488">
        <v>88</v>
      </c>
      <c r="J1488">
        <v>40.21</v>
      </c>
      <c r="K1488">
        <v>97</v>
      </c>
      <c r="L1488">
        <v>54.52</v>
      </c>
      <c r="M1488">
        <v>79</v>
      </c>
      <c r="N1488">
        <v>5.38</v>
      </c>
      <c r="O1488">
        <v>87</v>
      </c>
      <c r="P1488">
        <v>-8.19</v>
      </c>
      <c r="Q1488">
        <v>93</v>
      </c>
      <c r="R1488">
        <v>-8.1300000000000008</v>
      </c>
      <c r="S1488">
        <v>83</v>
      </c>
      <c r="T1488">
        <v>12.94</v>
      </c>
      <c r="U1488">
        <v>87</v>
      </c>
      <c r="V1488">
        <v>11.12</v>
      </c>
      <c r="W1488">
        <v>83</v>
      </c>
      <c r="X1488" t="s">
        <v>94</v>
      </c>
      <c r="Y1488" t="s">
        <v>1513</v>
      </c>
      <c r="Z1488" t="s">
        <v>96</v>
      </c>
      <c r="AA1488" t="s">
        <v>6487</v>
      </c>
      <c r="AB1488" t="s">
        <v>12094</v>
      </c>
      <c r="AC1488">
        <v>90</v>
      </c>
      <c r="AD1488">
        <v>61</v>
      </c>
      <c r="AE1488">
        <v>97</v>
      </c>
      <c r="AF1488">
        <v>169.43</v>
      </c>
      <c r="AG1488">
        <v>10.69</v>
      </c>
      <c r="AH1488">
        <v>5.65</v>
      </c>
      <c r="AI1488">
        <v>7.0000000000000007E-2</v>
      </c>
      <c r="AJ1488">
        <v>0</v>
      </c>
      <c r="AK1488">
        <v>79</v>
      </c>
      <c r="AL1488">
        <v>91</v>
      </c>
      <c r="AM1488">
        <v>62</v>
      </c>
      <c r="AN1488">
        <v>-2.78</v>
      </c>
      <c r="AO1488">
        <v>1.57</v>
      </c>
      <c r="AP1488">
        <v>235</v>
      </c>
      <c r="AQ1488">
        <v>3</v>
      </c>
      <c r="AR1488">
        <v>8.82</v>
      </c>
      <c r="AS1488">
        <v>70</v>
      </c>
      <c r="AT1488">
        <v>4.01</v>
      </c>
      <c r="AU1488">
        <v>89</v>
      </c>
      <c r="AV1488">
        <v>-2.44</v>
      </c>
      <c r="AW1488">
        <v>97</v>
      </c>
      <c r="AX1488">
        <v>-0.04</v>
      </c>
      <c r="AY1488">
        <v>83</v>
      </c>
      <c r="AZ1488">
        <v>6.19</v>
      </c>
      <c r="BA1488">
        <v>68</v>
      </c>
      <c r="BB1488">
        <v>5.47</v>
      </c>
      <c r="BC1488">
        <v>71</v>
      </c>
      <c r="BD1488">
        <v>-0.03</v>
      </c>
      <c r="BE1488">
        <v>0.03</v>
      </c>
      <c r="BF1488">
        <v>0.18</v>
      </c>
      <c r="BG1488">
        <v>89</v>
      </c>
      <c r="BH1488">
        <v>0.12</v>
      </c>
      <c r="BI1488">
        <v>-22</v>
      </c>
      <c r="BJ1488">
        <v>36</v>
      </c>
      <c r="BK1488">
        <v>20</v>
      </c>
      <c r="BL1488">
        <v>-0.89</v>
      </c>
      <c r="BM1488">
        <v>1.6</v>
      </c>
      <c r="BN1488">
        <v>-0.55000000000000004</v>
      </c>
      <c r="BO1488">
        <v>-1.81</v>
      </c>
      <c r="BP1488">
        <v>-1.55</v>
      </c>
      <c r="BQ1488">
        <v>-0.64</v>
      </c>
      <c r="BR1488">
        <v>1.1100000000000001</v>
      </c>
      <c r="BS1488">
        <v>-1.8</v>
      </c>
      <c r="BT1488">
        <v>-2.08</v>
      </c>
      <c r="BU1488">
        <v>-3.92</v>
      </c>
      <c r="BV1488">
        <v>-3.42</v>
      </c>
      <c r="BW1488">
        <v>-3.75</v>
      </c>
      <c r="BX1488">
        <v>-4.32</v>
      </c>
      <c r="BY1488">
        <v>-3.31</v>
      </c>
      <c r="BZ1488">
        <v>-0.43</v>
      </c>
      <c r="CA1488">
        <v>-3.1</v>
      </c>
      <c r="CB1488">
        <v>-3.19</v>
      </c>
      <c r="CC1488">
        <v>-1.53</v>
      </c>
      <c r="CD1488">
        <v>1.38</v>
      </c>
      <c r="CE1488">
        <v>-1.43</v>
      </c>
      <c r="CF1488">
        <v>-1.38</v>
      </c>
      <c r="CG1488">
        <v>0</v>
      </c>
      <c r="CH1488">
        <v>-2.5</v>
      </c>
      <c r="CI1488">
        <v>0</v>
      </c>
      <c r="CJ1488">
        <v>-1.6</v>
      </c>
      <c r="CK1488">
        <v>94</v>
      </c>
      <c r="CL1488">
        <v>-0.51</v>
      </c>
      <c r="CM1488">
        <v>92</v>
      </c>
      <c r="CN1488">
        <v>-0.05</v>
      </c>
      <c r="CO1488">
        <v>91</v>
      </c>
      <c r="CP1488">
        <v>-8.6999999999999993</v>
      </c>
      <c r="CQ1488">
        <v>89</v>
      </c>
      <c r="CR1488">
        <v>0</v>
      </c>
      <c r="CS1488">
        <v>0</v>
      </c>
      <c r="CT1488">
        <v>-3.7</v>
      </c>
      <c r="CU1488">
        <v>87</v>
      </c>
      <c r="CV1488">
        <v>0.16</v>
      </c>
      <c r="CW1488">
        <v>47</v>
      </c>
      <c r="CX1488" t="s">
        <v>792</v>
      </c>
    </row>
    <row r="1489" spans="1:102" x14ac:dyDescent="0.3">
      <c r="A1489" t="str">
        <f>HYPERLINK("https://webapp.icbf.com/v2/app/bull-search/view/733202996","RPY")</f>
        <v>RPY</v>
      </c>
      <c r="B1489" t="s">
        <v>5457</v>
      </c>
      <c r="C1489" t="s">
        <v>5458</v>
      </c>
      <c r="D1489" s="1">
        <v>40124</v>
      </c>
      <c r="E1489" t="s">
        <v>92</v>
      </c>
      <c r="F1489">
        <v>91</v>
      </c>
      <c r="G1489" t="s">
        <v>93</v>
      </c>
      <c r="H1489">
        <v>107.74</v>
      </c>
      <c r="I1489">
        <v>87</v>
      </c>
      <c r="J1489">
        <v>59.69</v>
      </c>
      <c r="K1489">
        <v>96</v>
      </c>
      <c r="L1489">
        <v>4.32</v>
      </c>
      <c r="M1489">
        <v>80</v>
      </c>
      <c r="N1489">
        <v>30.31</v>
      </c>
      <c r="O1489">
        <v>85</v>
      </c>
      <c r="P1489">
        <v>-2.15</v>
      </c>
      <c r="Q1489">
        <v>92</v>
      </c>
      <c r="R1489">
        <v>5.71</v>
      </c>
      <c r="S1489">
        <v>79</v>
      </c>
      <c r="T1489">
        <v>10.050000000000001</v>
      </c>
      <c r="U1489">
        <v>84</v>
      </c>
      <c r="V1489">
        <v>-0.19</v>
      </c>
      <c r="W1489">
        <v>76</v>
      </c>
      <c r="X1489" t="s">
        <v>102</v>
      </c>
      <c r="Y1489" t="s">
        <v>1685</v>
      </c>
      <c r="Z1489" t="s">
        <v>96</v>
      </c>
      <c r="AA1489" t="s">
        <v>5459</v>
      </c>
      <c r="AB1489" t="s">
        <v>5460</v>
      </c>
      <c r="AC1489">
        <v>77</v>
      </c>
      <c r="AD1489">
        <v>51</v>
      </c>
      <c r="AE1489">
        <v>96</v>
      </c>
      <c r="AF1489">
        <v>233.58</v>
      </c>
      <c r="AG1489">
        <v>12.57</v>
      </c>
      <c r="AH1489">
        <v>9.2799999999999994</v>
      </c>
      <c r="AI1489">
        <v>0.06</v>
      </c>
      <c r="AJ1489">
        <v>0.02</v>
      </c>
      <c r="AK1489">
        <v>80</v>
      </c>
      <c r="AL1489">
        <v>68</v>
      </c>
      <c r="AM1489">
        <v>48</v>
      </c>
      <c r="AN1489">
        <v>0.2</v>
      </c>
      <c r="AO1489">
        <v>0.55000000000000004</v>
      </c>
      <c r="AP1489">
        <v>220</v>
      </c>
      <c r="AQ1489">
        <v>4</v>
      </c>
      <c r="AR1489">
        <v>6.11</v>
      </c>
      <c r="AS1489">
        <v>71</v>
      </c>
      <c r="AT1489">
        <v>2.92</v>
      </c>
      <c r="AU1489">
        <v>89</v>
      </c>
      <c r="AV1489">
        <v>-3.29</v>
      </c>
      <c r="AW1489">
        <v>96</v>
      </c>
      <c r="AX1489">
        <v>-0.4</v>
      </c>
      <c r="AY1489">
        <v>80</v>
      </c>
      <c r="AZ1489">
        <v>6.65</v>
      </c>
      <c r="BA1489">
        <v>64</v>
      </c>
      <c r="BB1489">
        <v>5.39</v>
      </c>
      <c r="BC1489">
        <v>64</v>
      </c>
      <c r="BD1489">
        <v>-0.05</v>
      </c>
      <c r="BE1489">
        <v>-0.02</v>
      </c>
      <c r="BF1489">
        <v>-0.01</v>
      </c>
      <c r="BG1489">
        <v>88</v>
      </c>
      <c r="BH1489">
        <v>-0.03</v>
      </c>
      <c r="BI1489">
        <v>-2.85</v>
      </c>
      <c r="BJ1489">
        <v>8</v>
      </c>
      <c r="BK1489">
        <v>6</v>
      </c>
      <c r="BL1489">
        <v>-0.31</v>
      </c>
      <c r="BM1489">
        <v>2.33</v>
      </c>
      <c r="BN1489">
        <v>1.51</v>
      </c>
      <c r="BO1489">
        <v>-0.05</v>
      </c>
      <c r="BP1489">
        <v>-4.1900000000000004</v>
      </c>
      <c r="BQ1489">
        <v>0.46</v>
      </c>
      <c r="BR1489">
        <v>2.62</v>
      </c>
      <c r="BS1489">
        <v>-1.84</v>
      </c>
      <c r="BT1489">
        <v>-2.95</v>
      </c>
      <c r="BU1489">
        <v>0.71</v>
      </c>
      <c r="BV1489">
        <v>0.12</v>
      </c>
      <c r="BW1489">
        <v>-0.34</v>
      </c>
      <c r="BX1489">
        <v>0.5</v>
      </c>
      <c r="BY1489">
        <v>0.1</v>
      </c>
      <c r="BZ1489">
        <v>-7.0000000000000007E-2</v>
      </c>
      <c r="CA1489">
        <v>-0.13</v>
      </c>
      <c r="CB1489">
        <v>0.56999999999999995</v>
      </c>
      <c r="CC1489">
        <v>-1.5</v>
      </c>
      <c r="CD1489">
        <v>0.62</v>
      </c>
      <c r="CE1489">
        <v>-0.13</v>
      </c>
      <c r="CF1489">
        <v>-0.65</v>
      </c>
      <c r="CG1489">
        <v>0</v>
      </c>
      <c r="CH1489">
        <v>1.0900000000000001</v>
      </c>
      <c r="CI1489">
        <v>0</v>
      </c>
      <c r="CJ1489">
        <v>0.4</v>
      </c>
      <c r="CK1489">
        <v>94</v>
      </c>
      <c r="CL1489">
        <v>-0.74</v>
      </c>
      <c r="CM1489">
        <v>92</v>
      </c>
      <c r="CN1489">
        <v>-0.47</v>
      </c>
      <c r="CO1489">
        <v>91</v>
      </c>
      <c r="CP1489">
        <v>-3.8</v>
      </c>
      <c r="CQ1489">
        <v>85</v>
      </c>
      <c r="CR1489">
        <v>0</v>
      </c>
      <c r="CS1489">
        <v>0</v>
      </c>
      <c r="CT1489">
        <v>0.2</v>
      </c>
      <c r="CU1489">
        <v>84</v>
      </c>
      <c r="CV1489">
        <v>0.18</v>
      </c>
      <c r="CW1489">
        <v>45</v>
      </c>
      <c r="CX1489" t="s">
        <v>193</v>
      </c>
    </row>
    <row r="1490" spans="1:102" x14ac:dyDescent="0.3">
      <c r="A1490" t="str">
        <f>HYPERLINK("https://webapp.icbf.com/v2/app/bull-search/view/384121143","LFI")</f>
        <v>LFI</v>
      </c>
      <c r="B1490" t="s">
        <v>2904</v>
      </c>
      <c r="C1490" t="s">
        <v>2905</v>
      </c>
      <c r="D1490" s="1">
        <v>36125</v>
      </c>
      <c r="E1490" t="s">
        <v>108</v>
      </c>
      <c r="F1490">
        <v>0</v>
      </c>
      <c r="G1490" t="s">
        <v>93</v>
      </c>
      <c r="H1490">
        <v>107.72</v>
      </c>
      <c r="I1490">
        <v>90</v>
      </c>
      <c r="J1490">
        <v>-17.5</v>
      </c>
      <c r="K1490">
        <v>96</v>
      </c>
      <c r="L1490">
        <v>81.17</v>
      </c>
      <c r="M1490">
        <v>86</v>
      </c>
      <c r="N1490">
        <v>27.68</v>
      </c>
      <c r="O1490">
        <v>87</v>
      </c>
      <c r="P1490">
        <v>-14.47</v>
      </c>
      <c r="Q1490">
        <v>94</v>
      </c>
      <c r="R1490">
        <v>3.49</v>
      </c>
      <c r="S1490">
        <v>81</v>
      </c>
      <c r="T1490">
        <v>25.15</v>
      </c>
      <c r="U1490">
        <v>86</v>
      </c>
      <c r="V1490">
        <v>2.2000000000000002</v>
      </c>
      <c r="W1490">
        <v>82</v>
      </c>
      <c r="X1490" t="s">
        <v>251</v>
      </c>
      <c r="Y1490" t="s">
        <v>95</v>
      </c>
      <c r="Z1490" t="s">
        <v>96</v>
      </c>
      <c r="AA1490" t="s">
        <v>2906</v>
      </c>
      <c r="AB1490" t="s">
        <v>2907</v>
      </c>
      <c r="AC1490">
        <v>69</v>
      </c>
      <c r="AD1490">
        <v>33</v>
      </c>
      <c r="AE1490">
        <v>96</v>
      </c>
      <c r="AF1490">
        <v>-112.91</v>
      </c>
      <c r="AG1490">
        <v>-5.44</v>
      </c>
      <c r="AH1490">
        <v>-2.78</v>
      </c>
      <c r="AI1490">
        <v>-0.02</v>
      </c>
      <c r="AJ1490">
        <v>0.02</v>
      </c>
      <c r="AK1490">
        <v>86</v>
      </c>
      <c r="AL1490">
        <v>77</v>
      </c>
      <c r="AM1490">
        <v>40</v>
      </c>
      <c r="AN1490">
        <v>-4.6500000000000004</v>
      </c>
      <c r="AO1490">
        <v>1.82</v>
      </c>
      <c r="AP1490">
        <v>145</v>
      </c>
      <c r="AQ1490">
        <v>9</v>
      </c>
      <c r="AR1490">
        <v>7.51</v>
      </c>
      <c r="AS1490">
        <v>85</v>
      </c>
      <c r="AT1490">
        <v>2.65</v>
      </c>
      <c r="AU1490">
        <v>86</v>
      </c>
      <c r="AV1490">
        <v>-2.38</v>
      </c>
      <c r="AW1490">
        <v>94</v>
      </c>
      <c r="AX1490">
        <v>0.46</v>
      </c>
      <c r="AY1490">
        <v>86</v>
      </c>
      <c r="AZ1490">
        <v>4.9000000000000004</v>
      </c>
      <c r="BA1490">
        <v>69</v>
      </c>
      <c r="BB1490">
        <v>4.21</v>
      </c>
      <c r="BC1490">
        <v>73</v>
      </c>
      <c r="BD1490">
        <v>0.01</v>
      </c>
      <c r="BE1490">
        <v>-0.03</v>
      </c>
      <c r="BF1490">
        <v>-0.04</v>
      </c>
      <c r="BG1490">
        <v>88</v>
      </c>
      <c r="BH1490">
        <v>-0.02</v>
      </c>
      <c r="BI1490">
        <v>-9.42</v>
      </c>
      <c r="BJ1490">
        <v>4</v>
      </c>
      <c r="BK1490">
        <v>2</v>
      </c>
      <c r="BL1490">
        <v>-2.89</v>
      </c>
      <c r="BM1490">
        <v>1.89</v>
      </c>
      <c r="BN1490">
        <v>-1.98</v>
      </c>
      <c r="BO1490">
        <v>-3.01</v>
      </c>
      <c r="BP1490">
        <v>1.21</v>
      </c>
      <c r="BQ1490">
        <v>1.25</v>
      </c>
      <c r="BR1490">
        <v>-1.33</v>
      </c>
      <c r="BS1490">
        <v>1.06</v>
      </c>
      <c r="BT1490">
        <v>0.98</v>
      </c>
      <c r="BU1490">
        <v>-0.99</v>
      </c>
      <c r="BV1490">
        <v>-1.76</v>
      </c>
      <c r="BW1490">
        <v>-1.55</v>
      </c>
      <c r="BX1490">
        <v>-0.83</v>
      </c>
      <c r="BY1490">
        <v>-2.2200000000000002</v>
      </c>
      <c r="BZ1490">
        <v>-1.63</v>
      </c>
      <c r="CA1490">
        <v>-1.46</v>
      </c>
      <c r="CB1490">
        <v>-1.68</v>
      </c>
      <c r="CC1490">
        <v>-0.41</v>
      </c>
      <c r="CD1490">
        <v>2.89</v>
      </c>
      <c r="CE1490">
        <v>-2.95</v>
      </c>
      <c r="CF1490">
        <v>-2</v>
      </c>
      <c r="CG1490">
        <v>0</v>
      </c>
      <c r="CH1490">
        <v>-1.38</v>
      </c>
      <c r="CI1490">
        <v>0</v>
      </c>
      <c r="CJ1490">
        <v>-8.4</v>
      </c>
      <c r="CK1490">
        <v>95</v>
      </c>
      <c r="CL1490">
        <v>0.01</v>
      </c>
      <c r="CM1490">
        <v>94</v>
      </c>
      <c r="CN1490">
        <v>7.0000000000000007E-2</v>
      </c>
      <c r="CO1490">
        <v>94</v>
      </c>
      <c r="CP1490">
        <v>-14.4</v>
      </c>
      <c r="CQ1490">
        <v>91</v>
      </c>
      <c r="CR1490">
        <v>0</v>
      </c>
      <c r="CS1490">
        <v>0</v>
      </c>
      <c r="CT1490">
        <v>-20.2</v>
      </c>
      <c r="CU1490">
        <v>86</v>
      </c>
      <c r="CV1490">
        <v>-0.11</v>
      </c>
      <c r="CW1490">
        <v>45</v>
      </c>
      <c r="CX1490" t="s">
        <v>2908</v>
      </c>
    </row>
    <row r="1491" spans="1:102" x14ac:dyDescent="0.3">
      <c r="A1491" t="str">
        <f>HYPERLINK("https://webapp.icbf.com/v2/app/bull-search/view/1250053959","FR2336")</f>
        <v>FR2336</v>
      </c>
      <c r="B1491" t="s">
        <v>6840</v>
      </c>
      <c r="C1491" t="s">
        <v>6841</v>
      </c>
      <c r="D1491" s="1">
        <v>42052</v>
      </c>
      <c r="E1491" t="s">
        <v>92</v>
      </c>
      <c r="F1491">
        <v>75</v>
      </c>
      <c r="G1491" t="s">
        <v>93</v>
      </c>
      <c r="H1491">
        <v>107.72</v>
      </c>
      <c r="I1491">
        <v>74</v>
      </c>
      <c r="J1491">
        <v>60.65</v>
      </c>
      <c r="K1491">
        <v>90</v>
      </c>
      <c r="L1491">
        <v>10.82</v>
      </c>
      <c r="M1491">
        <v>67</v>
      </c>
      <c r="N1491">
        <v>44.57</v>
      </c>
      <c r="O1491">
        <v>71</v>
      </c>
      <c r="P1491">
        <v>-21.34</v>
      </c>
      <c r="Q1491">
        <v>74</v>
      </c>
      <c r="R1491">
        <v>0.19</v>
      </c>
      <c r="S1491">
        <v>67</v>
      </c>
      <c r="T1491">
        <v>13.97</v>
      </c>
      <c r="U1491">
        <v>56</v>
      </c>
      <c r="V1491">
        <v>-1.1399999999999999</v>
      </c>
      <c r="W1491">
        <v>57</v>
      </c>
      <c r="X1491" t="s">
        <v>234</v>
      </c>
      <c r="Y1491" t="s">
        <v>436</v>
      </c>
      <c r="Z1491" t="s">
        <v>330</v>
      </c>
      <c r="AA1491" t="s">
        <v>437</v>
      </c>
      <c r="AB1491" t="s">
        <v>6842</v>
      </c>
      <c r="AC1491">
        <v>16</v>
      </c>
      <c r="AD1491">
        <v>3</v>
      </c>
      <c r="AE1491">
        <v>90</v>
      </c>
      <c r="AF1491">
        <v>35.979999999999997</v>
      </c>
      <c r="AG1491">
        <v>14.29</v>
      </c>
      <c r="AH1491">
        <v>5.81</v>
      </c>
      <c r="AI1491">
        <v>0.22</v>
      </c>
      <c r="AJ1491">
        <v>0.08</v>
      </c>
      <c r="AK1491">
        <v>67</v>
      </c>
      <c r="AL1491">
        <v>0</v>
      </c>
      <c r="AM1491">
        <v>0</v>
      </c>
      <c r="AN1491">
        <v>0.77</v>
      </c>
      <c r="AO1491">
        <v>1.65</v>
      </c>
      <c r="AP1491">
        <v>53</v>
      </c>
      <c r="AQ1491">
        <v>0</v>
      </c>
      <c r="AR1491">
        <v>5.27</v>
      </c>
      <c r="AS1491">
        <v>62</v>
      </c>
      <c r="AT1491">
        <v>2.5299999999999998</v>
      </c>
      <c r="AU1491">
        <v>74</v>
      </c>
      <c r="AV1491">
        <v>-4.41</v>
      </c>
      <c r="AW1491">
        <v>84</v>
      </c>
      <c r="AX1491">
        <v>-0.13</v>
      </c>
      <c r="AY1491">
        <v>61</v>
      </c>
      <c r="AZ1491">
        <v>6.75</v>
      </c>
      <c r="BA1491">
        <v>47</v>
      </c>
      <c r="BB1491">
        <v>5.1100000000000003</v>
      </c>
      <c r="BC1491">
        <v>46</v>
      </c>
      <c r="BD1491">
        <v>0.01</v>
      </c>
      <c r="BE1491">
        <v>0.01</v>
      </c>
      <c r="BF1491">
        <v>-0.04</v>
      </c>
      <c r="BG1491">
        <v>76</v>
      </c>
      <c r="BH1491">
        <v>0.02</v>
      </c>
      <c r="BI1491">
        <v>5.98</v>
      </c>
      <c r="BJ1491">
        <v>0</v>
      </c>
      <c r="BK1491">
        <v>0</v>
      </c>
      <c r="BL1491">
        <v>-0.51</v>
      </c>
      <c r="BM1491">
        <v>0.2</v>
      </c>
      <c r="BN1491">
        <v>-0.18</v>
      </c>
      <c r="BO1491">
        <v>-0.45</v>
      </c>
      <c r="BP1491">
        <v>1.51</v>
      </c>
      <c r="BQ1491">
        <v>-0.25</v>
      </c>
      <c r="BR1491">
        <v>1.1399999999999999</v>
      </c>
      <c r="BS1491">
        <v>-0.59</v>
      </c>
      <c r="BT1491">
        <v>-1.7</v>
      </c>
      <c r="BU1491">
        <v>-0.9</v>
      </c>
      <c r="BV1491">
        <v>0.08</v>
      </c>
      <c r="BW1491">
        <v>0.22</v>
      </c>
      <c r="BX1491">
        <v>-0.14000000000000001</v>
      </c>
      <c r="BY1491">
        <v>0</v>
      </c>
      <c r="BZ1491">
        <v>0.48</v>
      </c>
      <c r="CA1491">
        <v>-0.38</v>
      </c>
      <c r="CB1491">
        <v>-0.44</v>
      </c>
      <c r="CC1491">
        <v>-0.47</v>
      </c>
      <c r="CD1491">
        <v>0.37</v>
      </c>
      <c r="CE1491">
        <v>-0.51</v>
      </c>
      <c r="CF1491">
        <v>-1.37</v>
      </c>
      <c r="CG1491">
        <v>0</v>
      </c>
      <c r="CH1491">
        <v>0.44</v>
      </c>
      <c r="CI1491">
        <v>0</v>
      </c>
      <c r="CJ1491">
        <v>-11.6</v>
      </c>
      <c r="CK1491">
        <v>78</v>
      </c>
      <c r="CL1491">
        <v>-1.04</v>
      </c>
      <c r="CM1491">
        <v>73</v>
      </c>
      <c r="CN1491">
        <v>-0.55000000000000004</v>
      </c>
      <c r="CO1491">
        <v>71</v>
      </c>
      <c r="CP1491">
        <v>-6.9</v>
      </c>
      <c r="CQ1491">
        <v>58</v>
      </c>
      <c r="CR1491">
        <v>0</v>
      </c>
      <c r="CS1491">
        <v>0</v>
      </c>
      <c r="CT1491">
        <v>-5.0999999999999996</v>
      </c>
      <c r="CU1491">
        <v>56</v>
      </c>
      <c r="CV1491">
        <v>0.1</v>
      </c>
      <c r="CW1491">
        <v>42</v>
      </c>
      <c r="CX1491" t="s">
        <v>1770</v>
      </c>
    </row>
    <row r="1492" spans="1:102" x14ac:dyDescent="0.3">
      <c r="A1492" t="str">
        <f>HYPERLINK("https://webapp.icbf.com/v2/app/bull-search/view/495369324","VIP")</f>
        <v>VIP</v>
      </c>
      <c r="B1492" t="s">
        <v>8185</v>
      </c>
      <c r="C1492" t="s">
        <v>8186</v>
      </c>
      <c r="D1492" s="1">
        <v>39114</v>
      </c>
      <c r="E1492" t="s">
        <v>92</v>
      </c>
      <c r="F1492">
        <v>88</v>
      </c>
      <c r="G1492" t="s">
        <v>93</v>
      </c>
      <c r="H1492">
        <v>107.52</v>
      </c>
      <c r="I1492">
        <v>87</v>
      </c>
      <c r="J1492">
        <v>0.69</v>
      </c>
      <c r="K1492">
        <v>96</v>
      </c>
      <c r="L1492">
        <v>64.44</v>
      </c>
      <c r="M1492">
        <v>79</v>
      </c>
      <c r="N1492">
        <v>44.83</v>
      </c>
      <c r="O1492">
        <v>86</v>
      </c>
      <c r="P1492">
        <v>-12.83</v>
      </c>
      <c r="Q1492">
        <v>92</v>
      </c>
      <c r="R1492">
        <v>5.42</v>
      </c>
      <c r="S1492">
        <v>82</v>
      </c>
      <c r="T1492">
        <v>9.9</v>
      </c>
      <c r="U1492">
        <v>86</v>
      </c>
      <c r="V1492">
        <v>-4.93</v>
      </c>
      <c r="W1492">
        <v>80</v>
      </c>
      <c r="X1492" t="s">
        <v>94</v>
      </c>
      <c r="Y1492" t="s">
        <v>1405</v>
      </c>
      <c r="Z1492" t="s">
        <v>96</v>
      </c>
      <c r="AA1492" t="s">
        <v>4023</v>
      </c>
      <c r="AB1492" t="s">
        <v>8187</v>
      </c>
      <c r="AC1492">
        <v>80</v>
      </c>
      <c r="AD1492">
        <v>58</v>
      </c>
      <c r="AE1492">
        <v>96</v>
      </c>
      <c r="AF1492">
        <v>-49.5</v>
      </c>
      <c r="AG1492">
        <v>3.22</v>
      </c>
      <c r="AH1492">
        <v>-1.78</v>
      </c>
      <c r="AI1492">
        <v>0.09</v>
      </c>
      <c r="AJ1492">
        <v>0</v>
      </c>
      <c r="AK1492">
        <v>79</v>
      </c>
      <c r="AL1492">
        <v>75</v>
      </c>
      <c r="AM1492">
        <v>56</v>
      </c>
      <c r="AN1492">
        <v>-4.9800000000000004</v>
      </c>
      <c r="AO1492">
        <v>0.14000000000000001</v>
      </c>
      <c r="AP1492">
        <v>187</v>
      </c>
      <c r="AQ1492">
        <v>1</v>
      </c>
      <c r="AR1492">
        <v>5.57</v>
      </c>
      <c r="AS1492">
        <v>69</v>
      </c>
      <c r="AT1492">
        <v>2.37</v>
      </c>
      <c r="AU1492">
        <v>88</v>
      </c>
      <c r="AV1492">
        <v>-3.32</v>
      </c>
      <c r="AW1492">
        <v>96</v>
      </c>
      <c r="AX1492">
        <v>-0.84</v>
      </c>
      <c r="AY1492">
        <v>79</v>
      </c>
      <c r="AZ1492">
        <v>5.23</v>
      </c>
      <c r="BA1492">
        <v>65</v>
      </c>
      <c r="BB1492">
        <v>4.1500000000000004</v>
      </c>
      <c r="BC1492">
        <v>68</v>
      </c>
      <c r="BD1492">
        <v>-0.04</v>
      </c>
      <c r="BE1492">
        <v>-0.02</v>
      </c>
      <c r="BF1492">
        <v>-0.02</v>
      </c>
      <c r="BG1492">
        <v>88</v>
      </c>
      <c r="BH1492">
        <v>-0.14000000000000001</v>
      </c>
      <c r="BI1492">
        <v>-0.28000000000000003</v>
      </c>
      <c r="BJ1492">
        <v>6</v>
      </c>
      <c r="BK1492">
        <v>6</v>
      </c>
      <c r="BL1492">
        <v>-0.28999999999999998</v>
      </c>
      <c r="BM1492">
        <v>1.51</v>
      </c>
      <c r="BN1492">
        <v>0.25</v>
      </c>
      <c r="BO1492">
        <v>-0.54</v>
      </c>
      <c r="BP1492">
        <v>0.47</v>
      </c>
      <c r="BQ1492">
        <v>1.02</v>
      </c>
      <c r="BR1492">
        <v>3.09</v>
      </c>
      <c r="BS1492">
        <v>-1.34</v>
      </c>
      <c r="BT1492">
        <v>-1.67</v>
      </c>
      <c r="BU1492">
        <v>0.03</v>
      </c>
      <c r="BV1492">
        <v>-0.74</v>
      </c>
      <c r="BW1492">
        <v>-0.73</v>
      </c>
      <c r="BX1492">
        <v>-0.85</v>
      </c>
      <c r="BY1492">
        <v>-0.23</v>
      </c>
      <c r="BZ1492">
        <v>-7.0000000000000007E-2</v>
      </c>
      <c r="CA1492">
        <v>-0.6</v>
      </c>
      <c r="CB1492">
        <v>-0.25</v>
      </c>
      <c r="CC1492">
        <v>-1.71</v>
      </c>
      <c r="CD1492">
        <v>0.6</v>
      </c>
      <c r="CE1492">
        <v>-0.41</v>
      </c>
      <c r="CF1492">
        <v>0.09</v>
      </c>
      <c r="CG1492">
        <v>0</v>
      </c>
      <c r="CH1492">
        <v>0.32</v>
      </c>
      <c r="CI1492">
        <v>0</v>
      </c>
      <c r="CJ1492">
        <v>-6.2</v>
      </c>
      <c r="CK1492">
        <v>93</v>
      </c>
      <c r="CL1492">
        <v>-0.63</v>
      </c>
      <c r="CM1492">
        <v>91</v>
      </c>
      <c r="CN1492">
        <v>-0.28000000000000003</v>
      </c>
      <c r="CO1492">
        <v>90</v>
      </c>
      <c r="CP1492">
        <v>-7</v>
      </c>
      <c r="CQ1492">
        <v>89</v>
      </c>
      <c r="CR1492">
        <v>0</v>
      </c>
      <c r="CS1492">
        <v>0</v>
      </c>
      <c r="CT1492">
        <v>0.4</v>
      </c>
      <c r="CU1492">
        <v>86</v>
      </c>
      <c r="CV1492">
        <v>0</v>
      </c>
      <c r="CW1492">
        <v>45</v>
      </c>
      <c r="CX1492" t="s">
        <v>1252</v>
      </c>
    </row>
    <row r="1493" spans="1:102" x14ac:dyDescent="0.3">
      <c r="A1493" t="str">
        <f>HYPERLINK("https://webapp.icbf.com/v2/app/bull-search/view/443401246","CZU")</f>
        <v>CZU</v>
      </c>
      <c r="B1493" t="s">
        <v>6702</v>
      </c>
      <c r="C1493" t="s">
        <v>6703</v>
      </c>
      <c r="D1493" s="1">
        <v>38739</v>
      </c>
      <c r="E1493" t="s">
        <v>92</v>
      </c>
      <c r="F1493">
        <v>94</v>
      </c>
      <c r="G1493" t="s">
        <v>93</v>
      </c>
      <c r="H1493">
        <v>107.48</v>
      </c>
      <c r="I1493">
        <v>57</v>
      </c>
      <c r="J1493">
        <v>58</v>
      </c>
      <c r="K1493">
        <v>73</v>
      </c>
      <c r="L1493">
        <v>10.41</v>
      </c>
      <c r="M1493">
        <v>42</v>
      </c>
      <c r="N1493">
        <v>24.83</v>
      </c>
      <c r="O1493">
        <v>53</v>
      </c>
      <c r="P1493">
        <v>5.78</v>
      </c>
      <c r="Q1493">
        <v>66</v>
      </c>
      <c r="R1493">
        <v>0.62</v>
      </c>
      <c r="S1493">
        <v>48</v>
      </c>
      <c r="T1493">
        <v>1.84</v>
      </c>
      <c r="U1493">
        <v>54</v>
      </c>
      <c r="V1493">
        <v>6</v>
      </c>
      <c r="W1493">
        <v>45</v>
      </c>
      <c r="X1493" t="s">
        <v>94</v>
      </c>
      <c r="Y1493" t="s">
        <v>1251</v>
      </c>
      <c r="Z1493" t="s">
        <v>96</v>
      </c>
      <c r="AA1493" t="s">
        <v>1165</v>
      </c>
      <c r="AB1493" t="s">
        <v>6704</v>
      </c>
      <c r="AC1493">
        <v>12</v>
      </c>
      <c r="AD1493">
        <v>10</v>
      </c>
      <c r="AE1493">
        <v>73</v>
      </c>
      <c r="AF1493">
        <v>159.1</v>
      </c>
      <c r="AG1493">
        <v>15.63</v>
      </c>
      <c r="AH1493">
        <v>6.77</v>
      </c>
      <c r="AI1493">
        <v>0.15</v>
      </c>
      <c r="AJ1493">
        <v>0.02</v>
      </c>
      <c r="AK1493">
        <v>42</v>
      </c>
      <c r="AL1493">
        <v>9</v>
      </c>
      <c r="AM1493">
        <v>8</v>
      </c>
      <c r="AN1493">
        <v>0.17</v>
      </c>
      <c r="AO1493">
        <v>1.01</v>
      </c>
      <c r="AP1493">
        <v>15</v>
      </c>
      <c r="AQ1493">
        <v>0</v>
      </c>
      <c r="AR1493">
        <v>6.78</v>
      </c>
      <c r="AS1493">
        <v>38</v>
      </c>
      <c r="AT1493">
        <v>2.67</v>
      </c>
      <c r="AU1493">
        <v>48</v>
      </c>
      <c r="AV1493">
        <v>-1.77</v>
      </c>
      <c r="AW1493">
        <v>67</v>
      </c>
      <c r="AX1493">
        <v>-0.84</v>
      </c>
      <c r="AY1493">
        <v>45</v>
      </c>
      <c r="AZ1493">
        <v>5.9</v>
      </c>
      <c r="BA1493">
        <v>36</v>
      </c>
      <c r="BB1493">
        <v>4.58</v>
      </c>
      <c r="BC1493">
        <v>37</v>
      </c>
      <c r="BD1493">
        <v>-0.02</v>
      </c>
      <c r="BE1493">
        <v>0.01</v>
      </c>
      <c r="BF1493">
        <v>0</v>
      </c>
      <c r="BG1493">
        <v>54</v>
      </c>
      <c r="BH1493">
        <v>0.09</v>
      </c>
      <c r="BI1493">
        <v>-8.9499999999999993</v>
      </c>
      <c r="BJ1493">
        <v>3</v>
      </c>
      <c r="BK1493">
        <v>3</v>
      </c>
      <c r="BL1493">
        <v>0.18</v>
      </c>
      <c r="BM1493">
        <v>-0.47</v>
      </c>
      <c r="BN1493">
        <v>-0.01</v>
      </c>
      <c r="BO1493">
        <v>0.2</v>
      </c>
      <c r="BP1493">
        <v>1.02</v>
      </c>
      <c r="BQ1493">
        <v>-0.5</v>
      </c>
      <c r="BR1493">
        <v>-0.2</v>
      </c>
      <c r="BS1493">
        <v>-0.36</v>
      </c>
      <c r="BT1493">
        <v>-0.86</v>
      </c>
      <c r="BU1493">
        <v>-0.74</v>
      </c>
      <c r="BV1493">
        <v>-0.22</v>
      </c>
      <c r="BW1493">
        <v>-0.46</v>
      </c>
      <c r="BX1493">
        <v>-0.41</v>
      </c>
      <c r="BY1493">
        <v>-0.4</v>
      </c>
      <c r="BZ1493">
        <v>-1.83</v>
      </c>
      <c r="CA1493">
        <v>-0.17</v>
      </c>
      <c r="CB1493">
        <v>0.03</v>
      </c>
      <c r="CC1493">
        <v>-0.52</v>
      </c>
      <c r="CD1493">
        <v>-0.27</v>
      </c>
      <c r="CE1493">
        <v>0.56999999999999995</v>
      </c>
      <c r="CF1493">
        <v>-0.14000000000000001</v>
      </c>
      <c r="CG1493">
        <v>0</v>
      </c>
      <c r="CH1493">
        <v>-0.63</v>
      </c>
      <c r="CI1493">
        <v>0</v>
      </c>
      <c r="CJ1493">
        <v>5.4</v>
      </c>
      <c r="CK1493">
        <v>69</v>
      </c>
      <c r="CL1493">
        <v>-0.4</v>
      </c>
      <c r="CM1493">
        <v>65</v>
      </c>
      <c r="CN1493">
        <v>-0.16</v>
      </c>
      <c r="CO1493">
        <v>61</v>
      </c>
      <c r="CP1493">
        <v>3.9</v>
      </c>
      <c r="CQ1493">
        <v>58</v>
      </c>
      <c r="CR1493">
        <v>0</v>
      </c>
      <c r="CS1493">
        <v>0</v>
      </c>
      <c r="CT1493">
        <v>11.3</v>
      </c>
      <c r="CU1493">
        <v>54</v>
      </c>
      <c r="CV1493">
        <v>0.23</v>
      </c>
      <c r="CW1493">
        <v>22</v>
      </c>
      <c r="CX1493" t="s">
        <v>4342</v>
      </c>
    </row>
    <row r="1494" spans="1:102" x14ac:dyDescent="0.3">
      <c r="A1494" t="str">
        <f>HYPERLINK("https://webapp.icbf.com/v2/app/bull-search/view/1028751260","S2051")</f>
        <v>S2051</v>
      </c>
      <c r="B1494" t="s">
        <v>382</v>
      </c>
      <c r="C1494" t="s">
        <v>383</v>
      </c>
      <c r="D1494" s="1">
        <v>40954</v>
      </c>
      <c r="E1494" t="s">
        <v>92</v>
      </c>
      <c r="F1494">
        <v>100</v>
      </c>
      <c r="G1494" t="s">
        <v>93</v>
      </c>
      <c r="H1494">
        <v>107.45</v>
      </c>
      <c r="I1494">
        <v>83</v>
      </c>
      <c r="J1494">
        <v>65.849999999999994</v>
      </c>
      <c r="K1494">
        <v>95</v>
      </c>
      <c r="L1494">
        <v>3.69</v>
      </c>
      <c r="M1494">
        <v>83</v>
      </c>
      <c r="N1494">
        <v>38.32</v>
      </c>
      <c r="O1494">
        <v>79</v>
      </c>
      <c r="P1494">
        <v>-13.4</v>
      </c>
      <c r="Q1494">
        <v>81</v>
      </c>
      <c r="R1494">
        <v>14.77</v>
      </c>
      <c r="S1494">
        <v>75</v>
      </c>
      <c r="T1494">
        <v>-6.67</v>
      </c>
      <c r="U1494">
        <v>51</v>
      </c>
      <c r="V1494">
        <v>4.8899999999999997</v>
      </c>
      <c r="W1494">
        <v>63</v>
      </c>
      <c r="X1494" t="s">
        <v>94</v>
      </c>
      <c r="Y1494" t="s">
        <v>367</v>
      </c>
      <c r="Z1494" t="s">
        <v>96</v>
      </c>
      <c r="AA1494" t="s">
        <v>384</v>
      </c>
      <c r="AB1494" t="s">
        <v>385</v>
      </c>
      <c r="AC1494">
        <v>75</v>
      </c>
      <c r="AD1494">
        <v>27</v>
      </c>
      <c r="AE1494">
        <v>95</v>
      </c>
      <c r="AF1494">
        <v>475.6</v>
      </c>
      <c r="AG1494">
        <v>9.75</v>
      </c>
      <c r="AH1494">
        <v>15.03</v>
      </c>
      <c r="AI1494">
        <v>-0.14000000000000001</v>
      </c>
      <c r="AJ1494">
        <v>-0.02</v>
      </c>
      <c r="AK1494">
        <v>83</v>
      </c>
      <c r="AL1494">
        <v>38</v>
      </c>
      <c r="AM1494">
        <v>17</v>
      </c>
      <c r="AN1494">
        <v>1.77</v>
      </c>
      <c r="AO1494">
        <v>2.09</v>
      </c>
      <c r="AP1494">
        <v>108</v>
      </c>
      <c r="AQ1494">
        <v>0</v>
      </c>
      <c r="AR1494">
        <v>5.13</v>
      </c>
      <c r="AS1494">
        <v>81</v>
      </c>
      <c r="AT1494">
        <v>2.63</v>
      </c>
      <c r="AU1494">
        <v>84</v>
      </c>
      <c r="AV1494">
        <v>-2.54</v>
      </c>
      <c r="AW1494">
        <v>91</v>
      </c>
      <c r="AX1494">
        <v>-0.84</v>
      </c>
      <c r="AY1494">
        <v>73</v>
      </c>
      <c r="AZ1494">
        <v>5.3</v>
      </c>
      <c r="BA1494">
        <v>54</v>
      </c>
      <c r="BB1494">
        <v>3.99</v>
      </c>
      <c r="BC1494">
        <v>45</v>
      </c>
      <c r="BD1494">
        <v>-7.0000000000000007E-2</v>
      </c>
      <c r="BE1494">
        <v>-7.0000000000000007E-2</v>
      </c>
      <c r="BF1494">
        <v>-0.09</v>
      </c>
      <c r="BG1494">
        <v>91</v>
      </c>
      <c r="BH1494">
        <v>0.04</v>
      </c>
      <c r="BI1494">
        <v>-11.15</v>
      </c>
      <c r="BJ1494">
        <v>10</v>
      </c>
      <c r="BK1494">
        <v>5</v>
      </c>
      <c r="BL1494">
        <v>0.5</v>
      </c>
      <c r="BM1494">
        <v>-0.6</v>
      </c>
      <c r="BN1494">
        <v>0.8</v>
      </c>
      <c r="BO1494">
        <v>1.06</v>
      </c>
      <c r="BP1494">
        <v>0.53</v>
      </c>
      <c r="BQ1494">
        <v>-0.77</v>
      </c>
      <c r="BR1494">
        <v>-0.6</v>
      </c>
      <c r="BS1494">
        <v>1.51</v>
      </c>
      <c r="BT1494">
        <v>0.19</v>
      </c>
      <c r="BU1494">
        <v>1.61</v>
      </c>
      <c r="BV1494">
        <v>1.88</v>
      </c>
      <c r="BW1494">
        <v>1.3</v>
      </c>
      <c r="BX1494">
        <v>0.72</v>
      </c>
      <c r="BY1494">
        <v>0.6</v>
      </c>
      <c r="BZ1494">
        <v>2.2799999999999998</v>
      </c>
      <c r="CA1494">
        <v>2.2000000000000002</v>
      </c>
      <c r="CB1494">
        <v>1.94</v>
      </c>
      <c r="CC1494">
        <v>1.39</v>
      </c>
      <c r="CD1494">
        <v>-1.1399999999999999</v>
      </c>
      <c r="CE1494">
        <v>0.62</v>
      </c>
      <c r="CF1494">
        <v>1</v>
      </c>
      <c r="CG1494">
        <v>0</v>
      </c>
      <c r="CH1494">
        <v>0.77</v>
      </c>
      <c r="CI1494">
        <v>0</v>
      </c>
      <c r="CJ1494">
        <v>-3.9</v>
      </c>
      <c r="CK1494">
        <v>85</v>
      </c>
      <c r="CL1494">
        <v>-1.19</v>
      </c>
      <c r="CM1494">
        <v>81</v>
      </c>
      <c r="CN1494">
        <v>-0.39</v>
      </c>
      <c r="CO1494">
        <v>80</v>
      </c>
      <c r="CP1494">
        <v>-2</v>
      </c>
      <c r="CQ1494">
        <v>59</v>
      </c>
      <c r="CR1494">
        <v>0</v>
      </c>
      <c r="CS1494">
        <v>0</v>
      </c>
      <c r="CT1494">
        <v>22.8</v>
      </c>
      <c r="CU1494">
        <v>51</v>
      </c>
      <c r="CV1494">
        <v>0.15</v>
      </c>
      <c r="CW1494">
        <v>43</v>
      </c>
      <c r="CX1494" t="s">
        <v>386</v>
      </c>
    </row>
    <row r="1495" spans="1:102" x14ac:dyDescent="0.3">
      <c r="A1495" t="str">
        <f>HYPERLINK("https://webapp.icbf.com/v2/app/bull-search/view/1028754195","S1520")</f>
        <v>S1520</v>
      </c>
      <c r="B1495" t="s">
        <v>8487</v>
      </c>
      <c r="C1495" t="s">
        <v>465</v>
      </c>
      <c r="D1495" s="1">
        <v>40540</v>
      </c>
      <c r="E1495" t="s">
        <v>92</v>
      </c>
      <c r="F1495">
        <v>100</v>
      </c>
      <c r="G1495" t="s">
        <v>93</v>
      </c>
      <c r="H1495">
        <v>107.42</v>
      </c>
      <c r="I1495">
        <v>85</v>
      </c>
      <c r="J1495">
        <v>118.89</v>
      </c>
      <c r="K1495">
        <v>95</v>
      </c>
      <c r="L1495">
        <v>-61.94</v>
      </c>
      <c r="M1495">
        <v>88</v>
      </c>
      <c r="N1495">
        <v>46.74</v>
      </c>
      <c r="O1495">
        <v>88</v>
      </c>
      <c r="P1495">
        <v>2.23</v>
      </c>
      <c r="Q1495">
        <v>83</v>
      </c>
      <c r="R1495">
        <v>1.06</v>
      </c>
      <c r="S1495">
        <v>77</v>
      </c>
      <c r="T1495">
        <v>-3.56</v>
      </c>
      <c r="U1495">
        <v>52</v>
      </c>
      <c r="V1495">
        <v>4</v>
      </c>
      <c r="W1495">
        <v>57</v>
      </c>
      <c r="X1495" t="s">
        <v>428</v>
      </c>
      <c r="Y1495" t="s">
        <v>362</v>
      </c>
      <c r="Z1495" t="s">
        <v>96</v>
      </c>
      <c r="AA1495" t="s">
        <v>2423</v>
      </c>
      <c r="AB1495" t="s">
        <v>5644</v>
      </c>
      <c r="AC1495">
        <v>77</v>
      </c>
      <c r="AD1495">
        <v>37</v>
      </c>
      <c r="AE1495">
        <v>95</v>
      </c>
      <c r="AF1495">
        <v>944</v>
      </c>
      <c r="AG1495">
        <v>27.56</v>
      </c>
      <c r="AH1495">
        <v>24.92</v>
      </c>
      <c r="AI1495">
        <v>-0.14000000000000001</v>
      </c>
      <c r="AJ1495">
        <v>-0.11</v>
      </c>
      <c r="AK1495">
        <v>88</v>
      </c>
      <c r="AL1495">
        <v>0</v>
      </c>
      <c r="AM1495">
        <v>0</v>
      </c>
      <c r="AN1495">
        <v>4.8899999999999997</v>
      </c>
      <c r="AO1495">
        <v>-0.03</v>
      </c>
      <c r="AP1495">
        <v>370</v>
      </c>
      <c r="AQ1495">
        <v>2</v>
      </c>
      <c r="AR1495">
        <v>7.94</v>
      </c>
      <c r="AS1495">
        <v>88</v>
      </c>
      <c r="AT1495">
        <v>2.79</v>
      </c>
      <c r="AU1495">
        <v>99</v>
      </c>
      <c r="AV1495">
        <v>-4.95</v>
      </c>
      <c r="AW1495">
        <v>97</v>
      </c>
      <c r="AX1495">
        <v>-0.86</v>
      </c>
      <c r="AY1495">
        <v>90</v>
      </c>
      <c r="AZ1495">
        <v>5.54</v>
      </c>
      <c r="BA1495">
        <v>65</v>
      </c>
      <c r="BB1495">
        <v>4.5999999999999996</v>
      </c>
      <c r="BC1495">
        <v>43</v>
      </c>
      <c r="BD1495">
        <v>0.01</v>
      </c>
      <c r="BE1495">
        <v>0.01</v>
      </c>
      <c r="BF1495">
        <v>-0.06</v>
      </c>
      <c r="BG1495">
        <v>94</v>
      </c>
      <c r="BH1495">
        <v>0.06</v>
      </c>
      <c r="BI1495">
        <v>-5.95</v>
      </c>
      <c r="BJ1495">
        <v>41</v>
      </c>
      <c r="BK1495">
        <v>25</v>
      </c>
      <c r="BL1495">
        <v>0.8</v>
      </c>
      <c r="BM1495">
        <v>0.71</v>
      </c>
      <c r="BN1495">
        <v>1.32</v>
      </c>
      <c r="BO1495">
        <v>1.06</v>
      </c>
      <c r="BP1495">
        <v>0.46</v>
      </c>
      <c r="BQ1495">
        <v>1.18</v>
      </c>
      <c r="BR1495">
        <v>1.28</v>
      </c>
      <c r="BS1495">
        <v>0.56000000000000005</v>
      </c>
      <c r="BT1495">
        <v>-0.84</v>
      </c>
      <c r="BU1495">
        <v>0.01</v>
      </c>
      <c r="BV1495">
        <v>1.05</v>
      </c>
      <c r="BW1495">
        <v>1.21</v>
      </c>
      <c r="BX1495">
        <v>-0.15</v>
      </c>
      <c r="BY1495">
        <v>0.56000000000000005</v>
      </c>
      <c r="BZ1495">
        <v>1.71</v>
      </c>
      <c r="CA1495">
        <v>1.08</v>
      </c>
      <c r="CB1495">
        <v>0.97</v>
      </c>
      <c r="CC1495">
        <v>0.68</v>
      </c>
      <c r="CD1495">
        <v>-0.96</v>
      </c>
      <c r="CE1495">
        <v>1.42</v>
      </c>
      <c r="CF1495">
        <v>1.25</v>
      </c>
      <c r="CG1495">
        <v>0</v>
      </c>
      <c r="CH1495">
        <v>0.26</v>
      </c>
      <c r="CI1495">
        <v>0</v>
      </c>
      <c r="CJ1495">
        <v>2.9</v>
      </c>
      <c r="CK1495">
        <v>86</v>
      </c>
      <c r="CL1495">
        <v>-0.85</v>
      </c>
      <c r="CM1495">
        <v>84</v>
      </c>
      <c r="CN1495">
        <v>-0.56999999999999995</v>
      </c>
      <c r="CO1495">
        <v>83</v>
      </c>
      <c r="CP1495">
        <v>2.2000000000000002</v>
      </c>
      <c r="CQ1495">
        <v>61</v>
      </c>
      <c r="CR1495">
        <v>0</v>
      </c>
      <c r="CS1495">
        <v>0</v>
      </c>
      <c r="CT1495">
        <v>18.600000000000001</v>
      </c>
      <c r="CU1495">
        <v>52</v>
      </c>
      <c r="CV1495">
        <v>0.27</v>
      </c>
      <c r="CW1495">
        <v>43</v>
      </c>
      <c r="CX1495" t="s">
        <v>1962</v>
      </c>
    </row>
    <row r="1496" spans="1:102" x14ac:dyDescent="0.3">
      <c r="A1496" t="str">
        <f>HYPERLINK("https://webapp.icbf.com/v2/app/bull-search/view/666496605","CXW")</f>
        <v>CXW</v>
      </c>
      <c r="B1496" t="s">
        <v>12885</v>
      </c>
      <c r="C1496" t="s">
        <v>12886</v>
      </c>
      <c r="D1496" s="1">
        <v>39818</v>
      </c>
      <c r="E1496" t="s">
        <v>108</v>
      </c>
      <c r="F1496">
        <v>22</v>
      </c>
      <c r="G1496" t="s">
        <v>435</v>
      </c>
      <c r="H1496">
        <v>107.25</v>
      </c>
      <c r="I1496">
        <v>65</v>
      </c>
      <c r="J1496">
        <v>-1.58</v>
      </c>
      <c r="K1496">
        <v>83</v>
      </c>
      <c r="L1496">
        <v>79.040000000000006</v>
      </c>
      <c r="M1496">
        <v>59</v>
      </c>
      <c r="N1496">
        <v>27.72</v>
      </c>
      <c r="O1496">
        <v>50</v>
      </c>
      <c r="P1496">
        <v>-1.89</v>
      </c>
      <c r="Q1496">
        <v>60</v>
      </c>
      <c r="R1496">
        <v>-1.49</v>
      </c>
      <c r="S1496">
        <v>58</v>
      </c>
      <c r="T1496">
        <v>13.68</v>
      </c>
      <c r="U1496">
        <v>50</v>
      </c>
      <c r="V1496">
        <v>-8.23</v>
      </c>
      <c r="W1496">
        <v>54</v>
      </c>
      <c r="X1496" t="s">
        <v>94</v>
      </c>
      <c r="Y1496" t="s">
        <v>1727</v>
      </c>
      <c r="Z1496" t="s">
        <v>96</v>
      </c>
      <c r="AA1496" t="s">
        <v>5324</v>
      </c>
      <c r="AB1496" t="s">
        <v>12887</v>
      </c>
      <c r="AC1496">
        <v>0</v>
      </c>
      <c r="AD1496">
        <v>0</v>
      </c>
      <c r="AE1496">
        <v>83</v>
      </c>
      <c r="AF1496">
        <v>-268.70999999999998</v>
      </c>
      <c r="AG1496">
        <v>3.53</v>
      </c>
      <c r="AH1496">
        <v>-5.63</v>
      </c>
      <c r="AI1496">
        <v>0.25</v>
      </c>
      <c r="AJ1496">
        <v>7.0000000000000007E-2</v>
      </c>
      <c r="AK1496">
        <v>59</v>
      </c>
      <c r="AL1496">
        <v>0</v>
      </c>
      <c r="AM1496">
        <v>0</v>
      </c>
      <c r="AN1496">
        <v>-4.55</v>
      </c>
      <c r="AO1496">
        <v>1.75</v>
      </c>
      <c r="AP1496">
        <v>0</v>
      </c>
      <c r="AQ1496">
        <v>1</v>
      </c>
      <c r="AR1496">
        <v>4.3</v>
      </c>
      <c r="AS1496">
        <v>49</v>
      </c>
      <c r="AT1496">
        <v>2.04</v>
      </c>
      <c r="AU1496">
        <v>58</v>
      </c>
      <c r="AV1496">
        <v>-1.37</v>
      </c>
      <c r="AW1496">
        <v>49</v>
      </c>
      <c r="AX1496">
        <v>-1</v>
      </c>
      <c r="AY1496">
        <v>49</v>
      </c>
      <c r="AZ1496">
        <v>6.14</v>
      </c>
      <c r="BA1496">
        <v>39</v>
      </c>
      <c r="BB1496">
        <v>5.32</v>
      </c>
      <c r="BC1496">
        <v>42</v>
      </c>
      <c r="BD1496">
        <v>0.02</v>
      </c>
      <c r="BE1496">
        <v>-0.01</v>
      </c>
      <c r="BF1496">
        <v>0.02</v>
      </c>
      <c r="BG1496">
        <v>66</v>
      </c>
      <c r="BH1496">
        <v>-0.15</v>
      </c>
      <c r="BI1496">
        <v>9.1999999999999993</v>
      </c>
      <c r="BJ1496">
        <v>0</v>
      </c>
      <c r="BK1496">
        <v>0</v>
      </c>
      <c r="BL1496">
        <v>-2.4500000000000002</v>
      </c>
      <c r="BM1496">
        <v>2.94</v>
      </c>
      <c r="BN1496">
        <v>-0.97</v>
      </c>
      <c r="BO1496">
        <v>-2.97</v>
      </c>
      <c r="BP1496">
        <v>-1.91</v>
      </c>
      <c r="BQ1496">
        <v>1.53</v>
      </c>
      <c r="BR1496">
        <v>-0.7</v>
      </c>
      <c r="BS1496">
        <v>-2.81</v>
      </c>
      <c r="BT1496">
        <v>-0.03</v>
      </c>
      <c r="BU1496">
        <v>-1.43</v>
      </c>
      <c r="BV1496">
        <v>-3.43</v>
      </c>
      <c r="BW1496">
        <v>-3.2</v>
      </c>
      <c r="BX1496">
        <v>-1.36</v>
      </c>
      <c r="BY1496">
        <v>-1.59</v>
      </c>
      <c r="BZ1496">
        <v>-1.34</v>
      </c>
      <c r="CA1496">
        <v>-2.78</v>
      </c>
      <c r="CB1496">
        <v>-2.52</v>
      </c>
      <c r="CC1496">
        <v>-2.11</v>
      </c>
      <c r="CD1496">
        <v>3.12</v>
      </c>
      <c r="CE1496">
        <v>-2.37</v>
      </c>
      <c r="CF1496">
        <v>-1.45</v>
      </c>
      <c r="CG1496">
        <v>0</v>
      </c>
      <c r="CH1496">
        <v>-1.69</v>
      </c>
      <c r="CI1496">
        <v>0</v>
      </c>
      <c r="CJ1496">
        <v>2</v>
      </c>
      <c r="CK1496">
        <v>62</v>
      </c>
      <c r="CL1496">
        <v>-0.23</v>
      </c>
      <c r="CM1496">
        <v>59</v>
      </c>
      <c r="CN1496">
        <v>0.08</v>
      </c>
      <c r="CO1496">
        <v>58</v>
      </c>
      <c r="CP1496">
        <v>-8.9</v>
      </c>
      <c r="CQ1496">
        <v>53</v>
      </c>
      <c r="CR1496">
        <v>0</v>
      </c>
      <c r="CS1496">
        <v>0</v>
      </c>
      <c r="CT1496">
        <v>-4.7</v>
      </c>
      <c r="CU1496">
        <v>50</v>
      </c>
      <c r="CV1496">
        <v>0.08</v>
      </c>
      <c r="CW1496">
        <v>38</v>
      </c>
      <c r="CX1496" t="s">
        <v>12888</v>
      </c>
    </row>
    <row r="1497" spans="1:102" x14ac:dyDescent="0.3">
      <c r="A1497" t="str">
        <f>HYPERLINK("https://webapp.icbf.com/v2/app/bull-search/view/444210334","MZY")</f>
        <v>MZY</v>
      </c>
      <c r="B1497" t="s">
        <v>14837</v>
      </c>
      <c r="C1497" t="s">
        <v>14838</v>
      </c>
      <c r="D1497" s="1">
        <v>38768</v>
      </c>
      <c r="E1497" t="s">
        <v>92</v>
      </c>
      <c r="F1497">
        <v>78</v>
      </c>
      <c r="G1497" t="s">
        <v>93</v>
      </c>
      <c r="H1497">
        <v>107.19</v>
      </c>
      <c r="I1497">
        <v>97</v>
      </c>
      <c r="J1497">
        <v>39.630000000000003</v>
      </c>
      <c r="K1497">
        <v>99</v>
      </c>
      <c r="L1497">
        <v>16.82</v>
      </c>
      <c r="M1497">
        <v>94</v>
      </c>
      <c r="N1497">
        <v>48.03</v>
      </c>
      <c r="O1497">
        <v>98</v>
      </c>
      <c r="P1497">
        <v>-9.1199999999999992</v>
      </c>
      <c r="Q1497">
        <v>99</v>
      </c>
      <c r="R1497">
        <v>-7.99</v>
      </c>
      <c r="S1497">
        <v>94</v>
      </c>
      <c r="T1497">
        <v>13.68</v>
      </c>
      <c r="U1497">
        <v>99</v>
      </c>
      <c r="V1497">
        <v>6.14</v>
      </c>
      <c r="W1497">
        <v>95</v>
      </c>
      <c r="X1497" t="s">
        <v>94</v>
      </c>
      <c r="Y1497" t="s">
        <v>1251</v>
      </c>
      <c r="Z1497" t="s">
        <v>96</v>
      </c>
      <c r="AA1497" t="s">
        <v>4532</v>
      </c>
      <c r="AB1497" t="s">
        <v>14839</v>
      </c>
      <c r="AC1497">
        <v>1231</v>
      </c>
      <c r="AD1497">
        <v>621</v>
      </c>
      <c r="AE1497">
        <v>99</v>
      </c>
      <c r="AF1497">
        <v>-98.22</v>
      </c>
      <c r="AG1497">
        <v>10.08</v>
      </c>
      <c r="AH1497">
        <v>1.67</v>
      </c>
      <c r="AI1497">
        <v>0.25</v>
      </c>
      <c r="AJ1497">
        <v>0.09</v>
      </c>
      <c r="AK1497">
        <v>94</v>
      </c>
      <c r="AL1497">
        <v>1449</v>
      </c>
      <c r="AM1497">
        <v>764</v>
      </c>
      <c r="AN1497">
        <v>-1.02</v>
      </c>
      <c r="AO1497">
        <v>0.32</v>
      </c>
      <c r="AP1497">
        <v>2549</v>
      </c>
      <c r="AQ1497">
        <v>31</v>
      </c>
      <c r="AR1497">
        <v>5.04</v>
      </c>
      <c r="AS1497">
        <v>98</v>
      </c>
      <c r="AT1497">
        <v>2.4500000000000002</v>
      </c>
      <c r="AU1497">
        <v>98</v>
      </c>
      <c r="AV1497">
        <v>-4.53</v>
      </c>
      <c r="AW1497">
        <v>99</v>
      </c>
      <c r="AX1497">
        <v>-0.41</v>
      </c>
      <c r="AY1497">
        <v>98</v>
      </c>
      <c r="AZ1497">
        <v>6.79</v>
      </c>
      <c r="BA1497">
        <v>94</v>
      </c>
      <c r="BB1497">
        <v>4.95</v>
      </c>
      <c r="BC1497">
        <v>94</v>
      </c>
      <c r="BD1497">
        <v>-0.02</v>
      </c>
      <c r="BE1497">
        <v>0.03</v>
      </c>
      <c r="BF1497">
        <v>0.16</v>
      </c>
      <c r="BG1497">
        <v>98</v>
      </c>
      <c r="BH1497">
        <v>0.06</v>
      </c>
      <c r="BI1497">
        <v>-12.85</v>
      </c>
      <c r="BJ1497">
        <v>53</v>
      </c>
      <c r="BK1497">
        <v>29</v>
      </c>
      <c r="BL1497">
        <v>-1.32</v>
      </c>
      <c r="BM1497">
        <v>0.84</v>
      </c>
      <c r="BN1497">
        <v>-0.86</v>
      </c>
      <c r="BO1497">
        <v>-1.23</v>
      </c>
      <c r="BP1497">
        <v>0.56999999999999995</v>
      </c>
      <c r="BQ1497">
        <v>-0.57999999999999996</v>
      </c>
      <c r="BR1497">
        <v>-0.56999999999999995</v>
      </c>
      <c r="BS1497">
        <v>-0.35</v>
      </c>
      <c r="BT1497">
        <v>-0.14000000000000001</v>
      </c>
      <c r="BU1497">
        <v>-0.85</v>
      </c>
      <c r="BV1497">
        <v>-2.19</v>
      </c>
      <c r="BW1497">
        <v>-0.81</v>
      </c>
      <c r="BX1497">
        <v>0.79</v>
      </c>
      <c r="BY1497">
        <v>-1</v>
      </c>
      <c r="BZ1497">
        <v>-3.46</v>
      </c>
      <c r="CA1497">
        <v>-1.42</v>
      </c>
      <c r="CB1497">
        <v>-1.53</v>
      </c>
      <c r="CC1497">
        <v>-0.8</v>
      </c>
      <c r="CD1497">
        <v>0.83</v>
      </c>
      <c r="CE1497">
        <v>-0.6</v>
      </c>
      <c r="CF1497">
        <v>-0.71</v>
      </c>
      <c r="CG1497">
        <v>0</v>
      </c>
      <c r="CH1497">
        <v>-1.0900000000000001</v>
      </c>
      <c r="CI1497">
        <v>0</v>
      </c>
      <c r="CJ1497">
        <v>-5.6</v>
      </c>
      <c r="CK1497">
        <v>99</v>
      </c>
      <c r="CL1497">
        <v>-0.45</v>
      </c>
      <c r="CM1497">
        <v>99</v>
      </c>
      <c r="CN1497">
        <v>-0.38</v>
      </c>
      <c r="CO1497">
        <v>99</v>
      </c>
      <c r="CP1497">
        <v>-8</v>
      </c>
      <c r="CQ1497">
        <v>99</v>
      </c>
      <c r="CR1497">
        <v>0</v>
      </c>
      <c r="CS1497">
        <v>0</v>
      </c>
      <c r="CT1497">
        <v>-4.7</v>
      </c>
      <c r="CU1497">
        <v>99</v>
      </c>
      <c r="CV1497">
        <v>0.05</v>
      </c>
      <c r="CW1497">
        <v>48</v>
      </c>
      <c r="CX1497" t="s">
        <v>792</v>
      </c>
    </row>
    <row r="1498" spans="1:102" x14ac:dyDescent="0.3">
      <c r="A1498" t="str">
        <f>HYPERLINK("https://webapp.icbf.com/v2/app/bull-search/view/929642977","S1187")</f>
        <v>S1187</v>
      </c>
      <c r="B1498" t="s">
        <v>1846</v>
      </c>
      <c r="C1498" t="s">
        <v>1847</v>
      </c>
      <c r="D1498" s="1">
        <v>40358</v>
      </c>
      <c r="E1498" t="s">
        <v>92</v>
      </c>
      <c r="F1498">
        <v>100</v>
      </c>
      <c r="G1498" t="s">
        <v>109</v>
      </c>
      <c r="H1498">
        <v>107.02</v>
      </c>
      <c r="I1498">
        <v>82</v>
      </c>
      <c r="J1498">
        <v>47.78</v>
      </c>
      <c r="K1498">
        <v>94</v>
      </c>
      <c r="L1498">
        <v>18.190000000000001</v>
      </c>
      <c r="M1498">
        <v>85</v>
      </c>
      <c r="N1498">
        <v>33.979999999999997</v>
      </c>
      <c r="O1498">
        <v>74</v>
      </c>
      <c r="P1498">
        <v>-7.51</v>
      </c>
      <c r="Q1498">
        <v>69</v>
      </c>
      <c r="R1498">
        <v>9.4499999999999993</v>
      </c>
      <c r="S1498">
        <v>76</v>
      </c>
      <c r="T1498">
        <v>-4.01</v>
      </c>
      <c r="U1498">
        <v>52</v>
      </c>
      <c r="V1498">
        <v>9.14</v>
      </c>
      <c r="W1498">
        <v>63</v>
      </c>
      <c r="X1498" t="s">
        <v>94</v>
      </c>
      <c r="Y1498" t="s">
        <v>336</v>
      </c>
      <c r="Z1498" t="s">
        <v>96</v>
      </c>
      <c r="AA1498" t="s">
        <v>1848</v>
      </c>
      <c r="AB1498" t="s">
        <v>1849</v>
      </c>
      <c r="AC1498">
        <v>0</v>
      </c>
      <c r="AD1498">
        <v>0</v>
      </c>
      <c r="AE1498">
        <v>94</v>
      </c>
      <c r="AF1498">
        <v>388.26</v>
      </c>
      <c r="AG1498">
        <v>13.65</v>
      </c>
      <c r="AH1498">
        <v>9.24</v>
      </c>
      <c r="AI1498">
        <v>-0.02</v>
      </c>
      <c r="AJ1498">
        <v>-0.06</v>
      </c>
      <c r="AK1498">
        <v>85</v>
      </c>
      <c r="AL1498">
        <v>0</v>
      </c>
      <c r="AM1498">
        <v>0</v>
      </c>
      <c r="AN1498">
        <v>-1.04</v>
      </c>
      <c r="AO1498">
        <v>0.41</v>
      </c>
      <c r="AP1498">
        <v>24</v>
      </c>
      <c r="AQ1498">
        <v>0</v>
      </c>
      <c r="AR1498">
        <v>5.98</v>
      </c>
      <c r="AS1498">
        <v>69</v>
      </c>
      <c r="AT1498">
        <v>2.87</v>
      </c>
      <c r="AU1498">
        <v>92</v>
      </c>
      <c r="AV1498">
        <v>-2.99</v>
      </c>
      <c r="AW1498">
        <v>77</v>
      </c>
      <c r="AX1498">
        <v>0.03</v>
      </c>
      <c r="AY1498">
        <v>60</v>
      </c>
      <c r="AZ1498">
        <v>5.69</v>
      </c>
      <c r="BA1498">
        <v>51</v>
      </c>
      <c r="BB1498">
        <v>4.32</v>
      </c>
      <c r="BC1498">
        <v>47</v>
      </c>
      <c r="BD1498">
        <v>-0.02</v>
      </c>
      <c r="BE1498">
        <v>-0.06</v>
      </c>
      <c r="BF1498">
        <v>-7.0000000000000007E-2</v>
      </c>
      <c r="BG1498">
        <v>92</v>
      </c>
      <c r="BH1498">
        <v>0.22</v>
      </c>
      <c r="BI1498">
        <v>-4.0199999999999996</v>
      </c>
      <c r="BJ1498">
        <v>4</v>
      </c>
      <c r="BK1498">
        <v>2</v>
      </c>
      <c r="BL1498">
        <v>1.53</v>
      </c>
      <c r="BM1498">
        <v>-0.73</v>
      </c>
      <c r="BN1498">
        <v>0.86</v>
      </c>
      <c r="BO1498">
        <v>1.59</v>
      </c>
      <c r="BP1498">
        <v>0.89</v>
      </c>
      <c r="BQ1498">
        <v>0.31</v>
      </c>
      <c r="BR1498">
        <v>0.4</v>
      </c>
      <c r="BS1498">
        <v>-7.0000000000000007E-2</v>
      </c>
      <c r="BT1498">
        <v>0.28000000000000003</v>
      </c>
      <c r="BU1498">
        <v>2</v>
      </c>
      <c r="BV1498">
        <v>2.33</v>
      </c>
      <c r="BW1498">
        <v>1.57</v>
      </c>
      <c r="BX1498">
        <v>1.29</v>
      </c>
      <c r="BY1498">
        <v>0.57999999999999996</v>
      </c>
      <c r="BZ1498">
        <v>-0.31</v>
      </c>
      <c r="CA1498">
        <v>1.6</v>
      </c>
      <c r="CB1498">
        <v>1.64</v>
      </c>
      <c r="CC1498">
        <v>1.06</v>
      </c>
      <c r="CD1498">
        <v>-1.29</v>
      </c>
      <c r="CE1498">
        <v>1.3</v>
      </c>
      <c r="CF1498">
        <v>1.19</v>
      </c>
      <c r="CG1498">
        <v>0</v>
      </c>
      <c r="CH1498">
        <v>0.69</v>
      </c>
      <c r="CI1498">
        <v>0</v>
      </c>
      <c r="CJ1498">
        <v>-1.5</v>
      </c>
      <c r="CK1498">
        <v>71</v>
      </c>
      <c r="CL1498">
        <v>-1.43</v>
      </c>
      <c r="CM1498">
        <v>69</v>
      </c>
      <c r="CN1498">
        <v>-0.73</v>
      </c>
      <c r="CO1498">
        <v>68</v>
      </c>
      <c r="CP1498">
        <v>5.0999999999999996</v>
      </c>
      <c r="CQ1498">
        <v>57</v>
      </c>
      <c r="CR1498">
        <v>0</v>
      </c>
      <c r="CS1498">
        <v>0</v>
      </c>
      <c r="CT1498">
        <v>19.2</v>
      </c>
      <c r="CU1498">
        <v>52</v>
      </c>
      <c r="CV1498">
        <v>0.21</v>
      </c>
      <c r="CW1498">
        <v>40</v>
      </c>
      <c r="CX1498" t="s">
        <v>350</v>
      </c>
    </row>
    <row r="1499" spans="1:102" x14ac:dyDescent="0.3">
      <c r="A1499" t="str">
        <f>HYPERLINK("https://webapp.icbf.com/v2/app/bull-search/view/1138415902","ZSC")</f>
        <v>ZSC</v>
      </c>
      <c r="B1499" t="s">
        <v>13393</v>
      </c>
      <c r="C1499" t="s">
        <v>2256</v>
      </c>
      <c r="D1499" s="1">
        <v>41667</v>
      </c>
      <c r="E1499" t="s">
        <v>108</v>
      </c>
      <c r="F1499">
        <v>9</v>
      </c>
      <c r="G1499" t="s">
        <v>93</v>
      </c>
      <c r="H1499">
        <v>106.96</v>
      </c>
      <c r="I1499">
        <v>85</v>
      </c>
      <c r="J1499">
        <v>34.56</v>
      </c>
      <c r="K1499">
        <v>97</v>
      </c>
      <c r="L1499">
        <v>50.46</v>
      </c>
      <c r="M1499">
        <v>75</v>
      </c>
      <c r="N1499">
        <v>36.04</v>
      </c>
      <c r="O1499">
        <v>89</v>
      </c>
      <c r="P1499">
        <v>-14.53</v>
      </c>
      <c r="Q1499">
        <v>95</v>
      </c>
      <c r="R1499">
        <v>-13.7</v>
      </c>
      <c r="S1499">
        <v>76</v>
      </c>
      <c r="T1499">
        <v>13.09</v>
      </c>
      <c r="U1499">
        <v>72</v>
      </c>
      <c r="V1499">
        <v>1.04</v>
      </c>
      <c r="W1499">
        <v>72</v>
      </c>
      <c r="X1499" t="s">
        <v>102</v>
      </c>
      <c r="Y1499" t="s">
        <v>389</v>
      </c>
      <c r="Z1499" t="s">
        <v>96</v>
      </c>
      <c r="AA1499" t="s">
        <v>2378</v>
      </c>
      <c r="AB1499" t="s">
        <v>13394</v>
      </c>
      <c r="AC1499">
        <v>138</v>
      </c>
      <c r="AD1499">
        <v>73</v>
      </c>
      <c r="AE1499">
        <v>97</v>
      </c>
      <c r="AF1499">
        <v>130.96</v>
      </c>
      <c r="AG1499">
        <v>5.35</v>
      </c>
      <c r="AH1499">
        <v>5.99</v>
      </c>
      <c r="AI1499">
        <v>0</v>
      </c>
      <c r="AJ1499">
        <v>0.03</v>
      </c>
      <c r="AK1499">
        <v>75</v>
      </c>
      <c r="AL1499">
        <v>103</v>
      </c>
      <c r="AM1499">
        <v>59</v>
      </c>
      <c r="AN1499">
        <v>-3.06</v>
      </c>
      <c r="AO1499">
        <v>0.96</v>
      </c>
      <c r="AP1499">
        <v>728</v>
      </c>
      <c r="AQ1499">
        <v>4</v>
      </c>
      <c r="AR1499">
        <v>5.57</v>
      </c>
      <c r="AS1499">
        <v>84</v>
      </c>
      <c r="AT1499">
        <v>2.36</v>
      </c>
      <c r="AU1499">
        <v>94</v>
      </c>
      <c r="AV1499">
        <v>-3.47</v>
      </c>
      <c r="AW1499">
        <v>99</v>
      </c>
      <c r="AX1499">
        <v>0.5</v>
      </c>
      <c r="AY1499">
        <v>93</v>
      </c>
      <c r="AZ1499">
        <v>5.57</v>
      </c>
      <c r="BA1499">
        <v>73</v>
      </c>
      <c r="BB1499">
        <v>5.47</v>
      </c>
      <c r="BC1499">
        <v>55</v>
      </c>
      <c r="BD1499">
        <v>0.06</v>
      </c>
      <c r="BE1499">
        <v>0.05</v>
      </c>
      <c r="BF1499">
        <v>0.12</v>
      </c>
      <c r="BG1499">
        <v>88</v>
      </c>
      <c r="BH1499">
        <v>0.04</v>
      </c>
      <c r="BI1499">
        <v>1.26</v>
      </c>
      <c r="BJ1499">
        <v>3</v>
      </c>
      <c r="BK1499">
        <v>3</v>
      </c>
      <c r="BL1499">
        <v>-3.22</v>
      </c>
      <c r="BM1499">
        <v>1.32</v>
      </c>
      <c r="BN1499">
        <v>-1.93</v>
      </c>
      <c r="BO1499">
        <v>-2.13</v>
      </c>
      <c r="BP1499">
        <v>-1.78</v>
      </c>
      <c r="BQ1499">
        <v>1.1499999999999999</v>
      </c>
      <c r="BR1499">
        <v>-1.7</v>
      </c>
      <c r="BS1499">
        <v>0.02</v>
      </c>
      <c r="BT1499">
        <v>0.43</v>
      </c>
      <c r="BU1499">
        <v>-2.8</v>
      </c>
      <c r="BV1499">
        <v>-1.71</v>
      </c>
      <c r="BW1499">
        <v>-1.68</v>
      </c>
      <c r="BX1499">
        <v>-2.99</v>
      </c>
      <c r="BY1499">
        <v>-0.59</v>
      </c>
      <c r="BZ1499">
        <v>0.63</v>
      </c>
      <c r="CA1499">
        <v>-1.25</v>
      </c>
      <c r="CB1499">
        <v>-1.3</v>
      </c>
      <c r="CC1499">
        <v>-0.78</v>
      </c>
      <c r="CD1499">
        <v>1.61</v>
      </c>
      <c r="CE1499">
        <v>-1.1499999999999999</v>
      </c>
      <c r="CF1499">
        <v>-1.51</v>
      </c>
      <c r="CG1499">
        <v>0</v>
      </c>
      <c r="CH1499">
        <v>0.44</v>
      </c>
      <c r="CI1499">
        <v>0</v>
      </c>
      <c r="CJ1499">
        <v>-9.6999999999999993</v>
      </c>
      <c r="CK1499">
        <v>97</v>
      </c>
      <c r="CL1499">
        <v>-0.3</v>
      </c>
      <c r="CM1499">
        <v>96</v>
      </c>
      <c r="CN1499">
        <v>-0.28999999999999998</v>
      </c>
      <c r="CO1499">
        <v>96</v>
      </c>
      <c r="CP1499">
        <v>-9.6</v>
      </c>
      <c r="CQ1499">
        <v>75</v>
      </c>
      <c r="CR1499">
        <v>0</v>
      </c>
      <c r="CS1499">
        <v>0</v>
      </c>
      <c r="CT1499">
        <v>-3.9</v>
      </c>
      <c r="CU1499">
        <v>72</v>
      </c>
      <c r="CV1499">
        <v>-0.03</v>
      </c>
      <c r="CW1499">
        <v>45</v>
      </c>
      <c r="CX1499" t="s">
        <v>5993</v>
      </c>
    </row>
    <row r="1500" spans="1:102" x14ac:dyDescent="0.3">
      <c r="A1500" t="str">
        <f>HYPERLINK("https://webapp.icbf.com/v2/app/bull-search/view/1092506893","S2209")</f>
        <v>S2209</v>
      </c>
      <c r="B1500" t="s">
        <v>2079</v>
      </c>
      <c r="C1500" t="s">
        <v>2080</v>
      </c>
      <c r="D1500" s="1">
        <v>41148</v>
      </c>
      <c r="E1500" t="s">
        <v>92</v>
      </c>
      <c r="F1500">
        <v>100</v>
      </c>
      <c r="G1500" t="s">
        <v>93</v>
      </c>
      <c r="H1500">
        <v>106.83</v>
      </c>
      <c r="I1500">
        <v>89</v>
      </c>
      <c r="J1500">
        <v>93.41</v>
      </c>
      <c r="K1500">
        <v>98</v>
      </c>
      <c r="L1500">
        <v>6.77</v>
      </c>
      <c r="M1500">
        <v>86</v>
      </c>
      <c r="N1500">
        <v>18.38</v>
      </c>
      <c r="O1500">
        <v>90</v>
      </c>
      <c r="P1500">
        <v>-7.98</v>
      </c>
      <c r="Q1500">
        <v>95</v>
      </c>
      <c r="R1500">
        <v>8.7100000000000009</v>
      </c>
      <c r="S1500">
        <v>79</v>
      </c>
      <c r="T1500">
        <v>-9.19</v>
      </c>
      <c r="U1500">
        <v>68</v>
      </c>
      <c r="V1500">
        <v>-3.27</v>
      </c>
      <c r="W1500">
        <v>68</v>
      </c>
      <c r="X1500" t="s">
        <v>94</v>
      </c>
      <c r="Y1500" t="s">
        <v>367</v>
      </c>
      <c r="Z1500" t="s">
        <v>96</v>
      </c>
      <c r="AA1500" t="s">
        <v>2081</v>
      </c>
      <c r="AB1500" t="s">
        <v>2082</v>
      </c>
      <c r="AC1500">
        <v>293</v>
      </c>
      <c r="AD1500">
        <v>92</v>
      </c>
      <c r="AE1500">
        <v>98</v>
      </c>
      <c r="AF1500">
        <v>652.02</v>
      </c>
      <c r="AG1500">
        <v>16.16</v>
      </c>
      <c r="AH1500">
        <v>20.149999999999999</v>
      </c>
      <c r="AI1500">
        <v>-0.15</v>
      </c>
      <c r="AJ1500">
        <v>-0.03</v>
      </c>
      <c r="AK1500">
        <v>86</v>
      </c>
      <c r="AL1500">
        <v>156</v>
      </c>
      <c r="AM1500">
        <v>61</v>
      </c>
      <c r="AN1500">
        <v>0.43</v>
      </c>
      <c r="AO1500">
        <v>0.98</v>
      </c>
      <c r="AP1500">
        <v>638</v>
      </c>
      <c r="AQ1500">
        <v>4</v>
      </c>
      <c r="AR1500">
        <v>7.75</v>
      </c>
      <c r="AS1500">
        <v>91</v>
      </c>
      <c r="AT1500">
        <v>2.82</v>
      </c>
      <c r="AU1500">
        <v>95</v>
      </c>
      <c r="AV1500">
        <v>-2.04</v>
      </c>
      <c r="AW1500">
        <v>99</v>
      </c>
      <c r="AX1500">
        <v>0.12</v>
      </c>
      <c r="AY1500">
        <v>93</v>
      </c>
      <c r="AZ1500">
        <v>6.43</v>
      </c>
      <c r="BA1500">
        <v>76</v>
      </c>
      <c r="BB1500">
        <v>4.96</v>
      </c>
      <c r="BC1500">
        <v>52</v>
      </c>
      <c r="BD1500">
        <v>-0.02</v>
      </c>
      <c r="BE1500">
        <v>-0.03</v>
      </c>
      <c r="BF1500">
        <v>-0.11</v>
      </c>
      <c r="BG1500">
        <v>95</v>
      </c>
      <c r="BH1500">
        <v>-0.12</v>
      </c>
      <c r="BI1500">
        <v>-3.34</v>
      </c>
      <c r="BJ1500">
        <v>38</v>
      </c>
      <c r="BK1500">
        <v>15</v>
      </c>
      <c r="BL1500">
        <v>2.02</v>
      </c>
      <c r="BM1500">
        <v>-1.26</v>
      </c>
      <c r="BN1500">
        <v>-1.19</v>
      </c>
      <c r="BO1500">
        <v>0.32</v>
      </c>
      <c r="BP1500">
        <v>1.46</v>
      </c>
      <c r="BQ1500">
        <v>-0.7</v>
      </c>
      <c r="BR1500">
        <v>-0.66</v>
      </c>
      <c r="BS1500">
        <v>-0.32</v>
      </c>
      <c r="BT1500">
        <v>1.77</v>
      </c>
      <c r="BU1500">
        <v>2.02</v>
      </c>
      <c r="BV1500">
        <v>1.69</v>
      </c>
      <c r="BW1500">
        <v>2.17</v>
      </c>
      <c r="BX1500">
        <v>2.46</v>
      </c>
      <c r="BY1500">
        <v>1.82</v>
      </c>
      <c r="BZ1500">
        <v>0.68</v>
      </c>
      <c r="CA1500">
        <v>1.6</v>
      </c>
      <c r="CB1500">
        <v>1.79</v>
      </c>
      <c r="CC1500">
        <v>0.15</v>
      </c>
      <c r="CD1500">
        <v>0.43</v>
      </c>
      <c r="CE1500">
        <v>1.04</v>
      </c>
      <c r="CF1500">
        <v>0.8</v>
      </c>
      <c r="CG1500">
        <v>0</v>
      </c>
      <c r="CH1500">
        <v>1.74</v>
      </c>
      <c r="CI1500">
        <v>0</v>
      </c>
      <c r="CJ1500">
        <v>-0.1</v>
      </c>
      <c r="CK1500">
        <v>97</v>
      </c>
      <c r="CL1500">
        <v>-1.24</v>
      </c>
      <c r="CM1500">
        <v>96</v>
      </c>
      <c r="CN1500">
        <v>-0.35</v>
      </c>
      <c r="CO1500">
        <v>96</v>
      </c>
      <c r="CP1500">
        <v>5.7</v>
      </c>
      <c r="CQ1500">
        <v>75</v>
      </c>
      <c r="CR1500">
        <v>0</v>
      </c>
      <c r="CS1500">
        <v>0</v>
      </c>
      <c r="CT1500">
        <v>26.2</v>
      </c>
      <c r="CU1500">
        <v>68</v>
      </c>
      <c r="CV1500">
        <v>0.32</v>
      </c>
      <c r="CW1500">
        <v>46</v>
      </c>
      <c r="CX1500" t="s">
        <v>1848</v>
      </c>
    </row>
    <row r="1501" spans="1:102" x14ac:dyDescent="0.3">
      <c r="A1501" t="str">
        <f>HYPERLINK("https://webapp.icbf.com/v2/app/bull-search/view/1251001147","FR4076")</f>
        <v>FR4076</v>
      </c>
      <c r="B1501" t="s">
        <v>15549</v>
      </c>
      <c r="C1501" t="s">
        <v>15550</v>
      </c>
      <c r="D1501" s="1">
        <v>42053</v>
      </c>
      <c r="E1501" t="s">
        <v>92</v>
      </c>
      <c r="F1501">
        <v>100</v>
      </c>
      <c r="G1501" t="s">
        <v>435</v>
      </c>
      <c r="H1501">
        <v>106.79</v>
      </c>
      <c r="I1501">
        <v>71</v>
      </c>
      <c r="J1501">
        <v>98.18</v>
      </c>
      <c r="K1501">
        <v>87</v>
      </c>
      <c r="L1501">
        <v>-60.57</v>
      </c>
      <c r="M1501">
        <v>67</v>
      </c>
      <c r="N1501">
        <v>49.79</v>
      </c>
      <c r="O1501">
        <v>74</v>
      </c>
      <c r="P1501">
        <v>4.0599999999999996</v>
      </c>
      <c r="Q1501">
        <v>60</v>
      </c>
      <c r="R1501">
        <v>8.32</v>
      </c>
      <c r="S1501">
        <v>62</v>
      </c>
      <c r="T1501">
        <v>-0.53</v>
      </c>
      <c r="U1501">
        <v>40</v>
      </c>
      <c r="V1501">
        <v>7.54</v>
      </c>
      <c r="W1501">
        <v>53</v>
      </c>
      <c r="X1501" t="s">
        <v>276</v>
      </c>
      <c r="Y1501" t="s">
        <v>436</v>
      </c>
      <c r="Z1501" t="s">
        <v>96</v>
      </c>
      <c r="AA1501" t="s">
        <v>2272</v>
      </c>
      <c r="AB1501" t="s">
        <v>15551</v>
      </c>
      <c r="AC1501">
        <v>7</v>
      </c>
      <c r="AD1501">
        <v>5</v>
      </c>
      <c r="AE1501">
        <v>87</v>
      </c>
      <c r="AF1501">
        <v>729.31</v>
      </c>
      <c r="AG1501">
        <v>16.68</v>
      </c>
      <c r="AH1501">
        <v>21.96</v>
      </c>
      <c r="AI1501">
        <v>-0.18</v>
      </c>
      <c r="AJ1501">
        <v>-0.04</v>
      </c>
      <c r="AK1501">
        <v>67</v>
      </c>
      <c r="AL1501">
        <v>0</v>
      </c>
      <c r="AM1501">
        <v>0</v>
      </c>
      <c r="AN1501">
        <v>4.87</v>
      </c>
      <c r="AO1501">
        <v>0.06</v>
      </c>
      <c r="AP1501">
        <v>93</v>
      </c>
      <c r="AQ1501">
        <v>0</v>
      </c>
      <c r="AR1501">
        <v>6.39</v>
      </c>
      <c r="AS1501">
        <v>69</v>
      </c>
      <c r="AT1501">
        <v>2.1800000000000002</v>
      </c>
      <c r="AU1501">
        <v>81</v>
      </c>
      <c r="AV1501">
        <v>-4.45</v>
      </c>
      <c r="AW1501">
        <v>89</v>
      </c>
      <c r="AX1501">
        <v>-0.69</v>
      </c>
      <c r="AY1501">
        <v>69</v>
      </c>
      <c r="AZ1501">
        <v>5.53</v>
      </c>
      <c r="BA1501">
        <v>43</v>
      </c>
      <c r="BB1501">
        <v>4.79</v>
      </c>
      <c r="BC1501">
        <v>33</v>
      </c>
      <c r="BD1501">
        <v>-0.02</v>
      </c>
      <c r="BE1501">
        <v>-0.02</v>
      </c>
      <c r="BF1501">
        <v>-0.12</v>
      </c>
      <c r="BG1501">
        <v>75</v>
      </c>
      <c r="BH1501">
        <v>7.0000000000000007E-2</v>
      </c>
      <c r="BI1501">
        <v>-16.239999999999998</v>
      </c>
      <c r="BJ1501">
        <v>0</v>
      </c>
      <c r="BK1501">
        <v>0</v>
      </c>
      <c r="BL1501">
        <v>1.02</v>
      </c>
      <c r="BM1501">
        <v>-0.27</v>
      </c>
      <c r="BN1501">
        <v>0.39</v>
      </c>
      <c r="BO1501">
        <v>1.25</v>
      </c>
      <c r="BP1501">
        <v>-1.04</v>
      </c>
      <c r="BQ1501">
        <v>0.46</v>
      </c>
      <c r="BR1501">
        <v>1.28</v>
      </c>
      <c r="BS1501">
        <v>1.61</v>
      </c>
      <c r="BT1501">
        <v>0.12</v>
      </c>
      <c r="BU1501">
        <v>2.34</v>
      </c>
      <c r="BV1501">
        <v>2.98</v>
      </c>
      <c r="BW1501">
        <v>2.14</v>
      </c>
      <c r="BX1501">
        <v>1.63</v>
      </c>
      <c r="BY1501">
        <v>2.33</v>
      </c>
      <c r="BZ1501">
        <v>0.98</v>
      </c>
      <c r="CA1501">
        <v>2.33</v>
      </c>
      <c r="CB1501">
        <v>2.57</v>
      </c>
      <c r="CC1501">
        <v>1.34</v>
      </c>
      <c r="CD1501">
        <v>-1.1599999999999999</v>
      </c>
      <c r="CE1501">
        <v>1.44</v>
      </c>
      <c r="CF1501">
        <v>1.64</v>
      </c>
      <c r="CG1501">
        <v>0</v>
      </c>
      <c r="CH1501">
        <v>1.8</v>
      </c>
      <c r="CI1501">
        <v>0</v>
      </c>
      <c r="CJ1501">
        <v>4.4000000000000004</v>
      </c>
      <c r="CK1501">
        <v>65</v>
      </c>
      <c r="CL1501">
        <v>-1.1200000000000001</v>
      </c>
      <c r="CM1501">
        <v>56</v>
      </c>
      <c r="CN1501">
        <v>-0.77</v>
      </c>
      <c r="CO1501">
        <v>55</v>
      </c>
      <c r="CP1501">
        <v>3.5</v>
      </c>
      <c r="CQ1501">
        <v>44</v>
      </c>
      <c r="CR1501">
        <v>0</v>
      </c>
      <c r="CS1501">
        <v>0</v>
      </c>
      <c r="CT1501">
        <v>14.5</v>
      </c>
      <c r="CU1501">
        <v>40</v>
      </c>
      <c r="CV1501">
        <v>0.28999999999999998</v>
      </c>
      <c r="CW1501">
        <v>39</v>
      </c>
      <c r="CX1501" t="s">
        <v>1894</v>
      </c>
    </row>
    <row r="1502" spans="1:102" x14ac:dyDescent="0.3">
      <c r="A1502" t="str">
        <f>HYPERLINK("https://webapp.icbf.com/v2/app/bull-search/view/1455654594","MO4145")</f>
        <v>MO4145</v>
      </c>
      <c r="B1502" t="s">
        <v>13750</v>
      </c>
      <c r="C1502" t="s">
        <v>13751</v>
      </c>
      <c r="D1502" s="1">
        <v>41360</v>
      </c>
      <c r="E1502" t="s">
        <v>140</v>
      </c>
      <c r="F1502">
        <v>0</v>
      </c>
      <c r="G1502" t="s">
        <v>109</v>
      </c>
      <c r="H1502">
        <v>106.77</v>
      </c>
      <c r="I1502">
        <v>67</v>
      </c>
      <c r="J1502">
        <v>-5.15</v>
      </c>
      <c r="K1502">
        <v>84</v>
      </c>
      <c r="L1502">
        <v>74.67</v>
      </c>
      <c r="M1502">
        <v>56</v>
      </c>
      <c r="N1502">
        <v>31.16</v>
      </c>
      <c r="O1502">
        <v>80</v>
      </c>
      <c r="P1502">
        <v>9.89</v>
      </c>
      <c r="Q1502">
        <v>60</v>
      </c>
      <c r="R1502">
        <v>2.19</v>
      </c>
      <c r="S1502">
        <v>55</v>
      </c>
      <c r="T1502">
        <v>4.13</v>
      </c>
      <c r="U1502">
        <v>45</v>
      </c>
      <c r="V1502">
        <v>-10.119999999999999</v>
      </c>
      <c r="W1502">
        <v>52</v>
      </c>
      <c r="X1502" t="s">
        <v>102</v>
      </c>
      <c r="Y1502" t="s">
        <v>1775</v>
      </c>
      <c r="Z1502">
        <v>0</v>
      </c>
      <c r="AA1502" t="s">
        <v>2351</v>
      </c>
      <c r="AB1502" t="s">
        <v>13752</v>
      </c>
      <c r="AC1502">
        <v>0</v>
      </c>
      <c r="AD1502">
        <v>0</v>
      </c>
      <c r="AE1502">
        <v>84</v>
      </c>
      <c r="AF1502">
        <v>56.83</v>
      </c>
      <c r="AG1502">
        <v>-0.64</v>
      </c>
      <c r="AH1502">
        <v>0.22</v>
      </c>
      <c r="AI1502">
        <v>-0.05</v>
      </c>
      <c r="AJ1502">
        <v>-0.03</v>
      </c>
      <c r="AK1502">
        <v>56</v>
      </c>
      <c r="AL1502">
        <v>0</v>
      </c>
      <c r="AM1502">
        <v>0</v>
      </c>
      <c r="AN1502">
        <v>-4.46</v>
      </c>
      <c r="AO1502">
        <v>1.49</v>
      </c>
      <c r="AP1502">
        <v>252</v>
      </c>
      <c r="AQ1502">
        <v>2</v>
      </c>
      <c r="AR1502">
        <v>5.64</v>
      </c>
      <c r="AS1502">
        <v>71</v>
      </c>
      <c r="AT1502">
        <v>3.2</v>
      </c>
      <c r="AU1502">
        <v>87</v>
      </c>
      <c r="AV1502">
        <v>-2.17</v>
      </c>
      <c r="AW1502">
        <v>95</v>
      </c>
      <c r="AX1502">
        <v>-0.42</v>
      </c>
      <c r="AY1502">
        <v>82</v>
      </c>
      <c r="AZ1502">
        <v>4.6900000000000004</v>
      </c>
      <c r="BA1502">
        <v>41</v>
      </c>
      <c r="BB1502">
        <v>3.58</v>
      </c>
      <c r="BC1502">
        <v>39</v>
      </c>
      <c r="BD1502">
        <v>0.01</v>
      </c>
      <c r="BE1502">
        <v>-0.03</v>
      </c>
      <c r="BF1502">
        <v>-0.01</v>
      </c>
      <c r="BG1502">
        <v>61</v>
      </c>
      <c r="BH1502">
        <v>-0.36</v>
      </c>
      <c r="BI1502">
        <v>-9</v>
      </c>
      <c r="BJ1502">
        <v>0</v>
      </c>
      <c r="BK1502">
        <v>0</v>
      </c>
      <c r="BL1502">
        <v>-0.72</v>
      </c>
      <c r="BM1502">
        <v>3.71</v>
      </c>
      <c r="BN1502">
        <v>-1.58</v>
      </c>
      <c r="BO1502">
        <v>-3.06</v>
      </c>
      <c r="BP1502">
        <v>4.32</v>
      </c>
      <c r="BQ1502">
        <v>-1.77</v>
      </c>
      <c r="BR1502">
        <v>-2.58</v>
      </c>
      <c r="BS1502">
        <v>-0.41</v>
      </c>
      <c r="BT1502">
        <v>2.54</v>
      </c>
      <c r="BU1502">
        <v>-3.41</v>
      </c>
      <c r="BV1502">
        <v>-3.86</v>
      </c>
      <c r="BW1502">
        <v>-2.91</v>
      </c>
      <c r="BX1502">
        <v>-2.68</v>
      </c>
      <c r="BY1502">
        <v>-2.14</v>
      </c>
      <c r="BZ1502">
        <v>1.36</v>
      </c>
      <c r="CA1502">
        <v>-2.56</v>
      </c>
      <c r="CB1502">
        <v>-3.25</v>
      </c>
      <c r="CC1502">
        <v>-0.46</v>
      </c>
      <c r="CD1502">
        <v>3.98</v>
      </c>
      <c r="CE1502">
        <v>-2.99</v>
      </c>
      <c r="CF1502">
        <v>-0.99</v>
      </c>
      <c r="CG1502">
        <v>0</v>
      </c>
      <c r="CH1502">
        <v>-2.59</v>
      </c>
      <c r="CI1502">
        <v>0</v>
      </c>
      <c r="CJ1502">
        <v>1.6</v>
      </c>
      <c r="CK1502">
        <v>64</v>
      </c>
      <c r="CL1502">
        <v>0.06</v>
      </c>
      <c r="CM1502">
        <v>57</v>
      </c>
      <c r="CN1502">
        <v>-0.56000000000000005</v>
      </c>
      <c r="CO1502">
        <v>55</v>
      </c>
      <c r="CP1502">
        <v>3.4</v>
      </c>
      <c r="CQ1502">
        <v>48</v>
      </c>
      <c r="CR1502">
        <v>0</v>
      </c>
      <c r="CS1502">
        <v>0</v>
      </c>
      <c r="CT1502">
        <v>8.1999999999999993</v>
      </c>
      <c r="CU1502">
        <v>45</v>
      </c>
      <c r="CV1502">
        <v>0.09</v>
      </c>
      <c r="CW1502">
        <v>38</v>
      </c>
      <c r="CX1502" t="s">
        <v>13753</v>
      </c>
    </row>
    <row r="1503" spans="1:102" x14ac:dyDescent="0.3">
      <c r="A1503" t="str">
        <f>HYPERLINK("https://webapp.icbf.com/v2/app/bull-search/view/954577955","YBD")</f>
        <v>YBD</v>
      </c>
      <c r="B1503" t="s">
        <v>3083</v>
      </c>
      <c r="C1503" t="s">
        <v>3084</v>
      </c>
      <c r="D1503" s="1">
        <v>40966</v>
      </c>
      <c r="E1503" t="s">
        <v>92</v>
      </c>
      <c r="F1503">
        <v>84</v>
      </c>
      <c r="G1503" t="s">
        <v>93</v>
      </c>
      <c r="H1503">
        <v>106.74</v>
      </c>
      <c r="I1503">
        <v>85</v>
      </c>
      <c r="J1503">
        <v>60.9</v>
      </c>
      <c r="K1503">
        <v>96</v>
      </c>
      <c r="L1503">
        <v>45.04</v>
      </c>
      <c r="M1503">
        <v>77</v>
      </c>
      <c r="N1503">
        <v>6.64</v>
      </c>
      <c r="O1503">
        <v>84</v>
      </c>
      <c r="P1503">
        <v>-8.17</v>
      </c>
      <c r="Q1503">
        <v>92</v>
      </c>
      <c r="R1503">
        <v>-1.59</v>
      </c>
      <c r="S1503">
        <v>76</v>
      </c>
      <c r="T1503">
        <v>1.39</v>
      </c>
      <c r="U1503">
        <v>79</v>
      </c>
      <c r="V1503">
        <v>2.5299999999999998</v>
      </c>
      <c r="W1503">
        <v>73</v>
      </c>
      <c r="X1503" t="s">
        <v>251</v>
      </c>
      <c r="Y1503" t="s">
        <v>389</v>
      </c>
      <c r="Z1503" t="s">
        <v>96</v>
      </c>
      <c r="AA1503" t="s">
        <v>3085</v>
      </c>
      <c r="AB1503" t="s">
        <v>3086</v>
      </c>
      <c r="AC1503">
        <v>86</v>
      </c>
      <c r="AD1503">
        <v>40</v>
      </c>
      <c r="AE1503">
        <v>96</v>
      </c>
      <c r="AF1503">
        <v>53.25</v>
      </c>
      <c r="AG1503">
        <v>11.74</v>
      </c>
      <c r="AH1503">
        <v>7.02</v>
      </c>
      <c r="AI1503">
        <v>0.17</v>
      </c>
      <c r="AJ1503">
        <v>0.09</v>
      </c>
      <c r="AK1503">
        <v>77</v>
      </c>
      <c r="AL1503">
        <v>92</v>
      </c>
      <c r="AM1503">
        <v>49</v>
      </c>
      <c r="AN1503">
        <v>-1.82</v>
      </c>
      <c r="AO1503">
        <v>1.78</v>
      </c>
      <c r="AP1503">
        <v>193</v>
      </c>
      <c r="AQ1503">
        <v>0</v>
      </c>
      <c r="AR1503">
        <v>10.45</v>
      </c>
      <c r="AS1503">
        <v>74</v>
      </c>
      <c r="AT1503">
        <v>4.08</v>
      </c>
      <c r="AU1503">
        <v>86</v>
      </c>
      <c r="AV1503">
        <v>-2.85</v>
      </c>
      <c r="AW1503">
        <v>95</v>
      </c>
      <c r="AX1503">
        <v>-0.03</v>
      </c>
      <c r="AY1503">
        <v>82</v>
      </c>
      <c r="AZ1503">
        <v>6.15</v>
      </c>
      <c r="BA1503">
        <v>63</v>
      </c>
      <c r="BB1503">
        <v>4.67</v>
      </c>
      <c r="BC1503">
        <v>56</v>
      </c>
      <c r="BD1503">
        <v>-0.02</v>
      </c>
      <c r="BE1503">
        <v>0</v>
      </c>
      <c r="BF1503">
        <v>7.0000000000000007E-2</v>
      </c>
      <c r="BG1503">
        <v>87</v>
      </c>
      <c r="BH1503">
        <v>0.05</v>
      </c>
      <c r="BI1503">
        <v>-2.38</v>
      </c>
      <c r="BJ1503">
        <v>5</v>
      </c>
      <c r="BK1503">
        <v>4</v>
      </c>
      <c r="BL1503">
        <v>0.11</v>
      </c>
      <c r="BM1503">
        <v>3.59</v>
      </c>
      <c r="BN1503">
        <v>2.2999999999999998</v>
      </c>
      <c r="BO1503">
        <v>-0.14000000000000001</v>
      </c>
      <c r="BP1503">
        <v>2.2400000000000002</v>
      </c>
      <c r="BQ1503">
        <v>0.41</v>
      </c>
      <c r="BR1503">
        <v>0.94</v>
      </c>
      <c r="BS1503">
        <v>0.41</v>
      </c>
      <c r="BT1503">
        <v>-0.65</v>
      </c>
      <c r="BU1503">
        <v>0.41</v>
      </c>
      <c r="BV1503">
        <v>-0.3</v>
      </c>
      <c r="BW1503">
        <v>-1.19</v>
      </c>
      <c r="BX1503">
        <v>-0.87</v>
      </c>
      <c r="BY1503">
        <v>0.72</v>
      </c>
      <c r="BZ1503">
        <v>-0.31</v>
      </c>
      <c r="CA1503">
        <v>0.19</v>
      </c>
      <c r="CB1503">
        <v>-0.28999999999999998</v>
      </c>
      <c r="CC1503">
        <v>0.3</v>
      </c>
      <c r="CD1503">
        <v>1.38</v>
      </c>
      <c r="CE1503">
        <v>-0.47</v>
      </c>
      <c r="CF1503">
        <v>0.47</v>
      </c>
      <c r="CG1503">
        <v>0</v>
      </c>
      <c r="CH1503">
        <v>-0.35</v>
      </c>
      <c r="CI1503">
        <v>0</v>
      </c>
      <c r="CJ1503">
        <v>-3.3</v>
      </c>
      <c r="CK1503">
        <v>94</v>
      </c>
      <c r="CL1503">
        <v>-0.66</v>
      </c>
      <c r="CM1503">
        <v>92</v>
      </c>
      <c r="CN1503">
        <v>-0.31</v>
      </c>
      <c r="CO1503">
        <v>92</v>
      </c>
      <c r="CP1503">
        <v>-2.9</v>
      </c>
      <c r="CQ1503">
        <v>82</v>
      </c>
      <c r="CR1503">
        <v>0</v>
      </c>
      <c r="CS1503">
        <v>0</v>
      </c>
      <c r="CT1503">
        <v>11.9</v>
      </c>
      <c r="CU1503">
        <v>79</v>
      </c>
      <c r="CV1503">
        <v>0.08</v>
      </c>
      <c r="CW1503">
        <v>46</v>
      </c>
      <c r="CX1503" t="s">
        <v>3087</v>
      </c>
    </row>
    <row r="1504" spans="1:102" x14ac:dyDescent="0.3">
      <c r="A1504" t="str">
        <f>HYPERLINK("https://webapp.icbf.com/v2/app/bull-search/view/1125380670","S2235")</f>
        <v>S2235</v>
      </c>
      <c r="B1504" t="s">
        <v>13474</v>
      </c>
      <c r="C1504" t="s">
        <v>13475</v>
      </c>
      <c r="D1504" s="1">
        <v>40795</v>
      </c>
      <c r="E1504" t="s">
        <v>92</v>
      </c>
      <c r="F1504">
        <v>100</v>
      </c>
      <c r="G1504" t="s">
        <v>109</v>
      </c>
      <c r="H1504">
        <v>106.66</v>
      </c>
      <c r="I1504">
        <v>64</v>
      </c>
      <c r="J1504">
        <v>44.92</v>
      </c>
      <c r="K1504">
        <v>82</v>
      </c>
      <c r="L1504">
        <v>24.47</v>
      </c>
      <c r="M1504">
        <v>76</v>
      </c>
      <c r="N1504">
        <v>36.450000000000003</v>
      </c>
      <c r="O1504">
        <v>46</v>
      </c>
      <c r="P1504">
        <v>-3.15</v>
      </c>
      <c r="Q1504">
        <v>36</v>
      </c>
      <c r="R1504">
        <v>6.97</v>
      </c>
      <c r="S1504">
        <v>56</v>
      </c>
      <c r="T1504">
        <v>-6.52</v>
      </c>
      <c r="U1504">
        <v>24</v>
      </c>
      <c r="V1504">
        <v>3.52</v>
      </c>
      <c r="W1504">
        <v>16</v>
      </c>
      <c r="X1504" t="s">
        <v>94</v>
      </c>
      <c r="Y1504" t="s">
        <v>367</v>
      </c>
      <c r="Z1504" t="s">
        <v>96</v>
      </c>
      <c r="AA1504" t="s">
        <v>2397</v>
      </c>
      <c r="AB1504" t="s">
        <v>13415</v>
      </c>
      <c r="AC1504">
        <v>0</v>
      </c>
      <c r="AD1504">
        <v>0</v>
      </c>
      <c r="AE1504">
        <v>82</v>
      </c>
      <c r="AF1504">
        <v>441.13</v>
      </c>
      <c r="AG1504">
        <v>10.01</v>
      </c>
      <c r="AH1504">
        <v>10.85</v>
      </c>
      <c r="AI1504">
        <v>-0.11</v>
      </c>
      <c r="AJ1504">
        <v>-7.0000000000000007E-2</v>
      </c>
      <c r="AK1504">
        <v>76</v>
      </c>
      <c r="AL1504">
        <v>0</v>
      </c>
      <c r="AM1504">
        <v>0</v>
      </c>
      <c r="AN1504">
        <v>0.13</v>
      </c>
      <c r="AO1504">
        <v>2.1</v>
      </c>
      <c r="AP1504">
        <v>2</v>
      </c>
      <c r="AQ1504">
        <v>1</v>
      </c>
      <c r="AR1504">
        <v>5.16</v>
      </c>
      <c r="AS1504">
        <v>28</v>
      </c>
      <c r="AT1504">
        <v>2.41</v>
      </c>
      <c r="AU1504">
        <v>87</v>
      </c>
      <c r="AV1504">
        <v>-3.21</v>
      </c>
      <c r="AW1504">
        <v>41</v>
      </c>
      <c r="AX1504">
        <v>0.33</v>
      </c>
      <c r="AY1504">
        <v>28</v>
      </c>
      <c r="AZ1504">
        <v>6.46</v>
      </c>
      <c r="BA1504">
        <v>20</v>
      </c>
      <c r="BB1504">
        <v>4.9000000000000004</v>
      </c>
      <c r="BC1504">
        <v>18</v>
      </c>
      <c r="BD1504">
        <v>-0.02</v>
      </c>
      <c r="BE1504">
        <v>-0.03</v>
      </c>
      <c r="BF1504">
        <v>-7.0000000000000007E-2</v>
      </c>
      <c r="BG1504">
        <v>86</v>
      </c>
      <c r="BH1504">
        <v>0.09</v>
      </c>
      <c r="BI1504">
        <v>-0.93</v>
      </c>
      <c r="BJ1504">
        <v>1</v>
      </c>
      <c r="BK1504">
        <v>1</v>
      </c>
      <c r="BL1504">
        <v>1.29</v>
      </c>
      <c r="BM1504">
        <v>-1.45</v>
      </c>
      <c r="BN1504">
        <v>0.28000000000000003</v>
      </c>
      <c r="BO1504">
        <v>1.23</v>
      </c>
      <c r="BP1504">
        <v>-0.78</v>
      </c>
      <c r="BQ1504">
        <v>0.93</v>
      </c>
      <c r="BR1504">
        <v>0.28000000000000003</v>
      </c>
      <c r="BS1504">
        <v>2.1800000000000002</v>
      </c>
      <c r="BT1504">
        <v>-0.37</v>
      </c>
      <c r="BU1504">
        <v>2.27</v>
      </c>
      <c r="BV1504">
        <v>2.4500000000000002</v>
      </c>
      <c r="BW1504">
        <v>2.85</v>
      </c>
      <c r="BX1504">
        <v>1.93</v>
      </c>
      <c r="BY1504">
        <v>0.61</v>
      </c>
      <c r="BZ1504">
        <v>1.81</v>
      </c>
      <c r="CA1504">
        <v>2.57</v>
      </c>
      <c r="CB1504">
        <v>2.21</v>
      </c>
      <c r="CC1504">
        <v>2.11</v>
      </c>
      <c r="CD1504">
        <v>-0.76</v>
      </c>
      <c r="CE1504">
        <v>1.03</v>
      </c>
      <c r="CF1504">
        <v>2.14</v>
      </c>
      <c r="CG1504">
        <v>0</v>
      </c>
      <c r="CH1504">
        <v>1.22</v>
      </c>
      <c r="CI1504">
        <v>0</v>
      </c>
      <c r="CJ1504">
        <v>0.8</v>
      </c>
      <c r="CK1504">
        <v>38</v>
      </c>
      <c r="CL1504">
        <v>-1.2</v>
      </c>
      <c r="CM1504">
        <v>35</v>
      </c>
      <c r="CN1504">
        <v>-0.63</v>
      </c>
      <c r="CO1504">
        <v>35</v>
      </c>
      <c r="CP1504">
        <v>5</v>
      </c>
      <c r="CQ1504">
        <v>28</v>
      </c>
      <c r="CR1504">
        <v>0</v>
      </c>
      <c r="CS1504">
        <v>0</v>
      </c>
      <c r="CT1504">
        <v>22.6</v>
      </c>
      <c r="CU1504">
        <v>24</v>
      </c>
      <c r="CV1504">
        <v>0.32</v>
      </c>
      <c r="CW1504">
        <v>11</v>
      </c>
      <c r="CX1504" t="s">
        <v>350</v>
      </c>
    </row>
    <row r="1505" spans="1:102" x14ac:dyDescent="0.3">
      <c r="A1505" t="str">
        <f>HYPERLINK("https://webapp.icbf.com/v2/app/bull-search/view/334800149","NFT")</f>
        <v>NFT</v>
      </c>
      <c r="B1505" t="s">
        <v>15046</v>
      </c>
      <c r="C1505" t="s">
        <v>3085</v>
      </c>
      <c r="D1505" s="1">
        <v>38026</v>
      </c>
      <c r="E1505" t="s">
        <v>92</v>
      </c>
      <c r="F1505">
        <v>91</v>
      </c>
      <c r="G1505" t="s">
        <v>93</v>
      </c>
      <c r="H1505">
        <v>106.47</v>
      </c>
      <c r="I1505">
        <v>97</v>
      </c>
      <c r="J1505">
        <v>55.25</v>
      </c>
      <c r="K1505">
        <v>99</v>
      </c>
      <c r="L1505">
        <v>30.85</v>
      </c>
      <c r="M1505">
        <v>94</v>
      </c>
      <c r="N1505">
        <v>21.29</v>
      </c>
      <c r="O1505">
        <v>98</v>
      </c>
      <c r="P1505">
        <v>-4.04</v>
      </c>
      <c r="Q1505">
        <v>99</v>
      </c>
      <c r="R1505">
        <v>-5.51</v>
      </c>
      <c r="S1505">
        <v>95</v>
      </c>
      <c r="T1505">
        <v>2.06</v>
      </c>
      <c r="U1505">
        <v>99</v>
      </c>
      <c r="V1505">
        <v>6.57</v>
      </c>
      <c r="W1505">
        <v>89</v>
      </c>
      <c r="X1505" t="s">
        <v>94</v>
      </c>
      <c r="Y1505" t="s">
        <v>228</v>
      </c>
      <c r="Z1505" t="s">
        <v>96</v>
      </c>
      <c r="AA1505" t="s">
        <v>1037</v>
      </c>
      <c r="AB1505" t="s">
        <v>15047</v>
      </c>
      <c r="AC1505">
        <v>1404</v>
      </c>
      <c r="AD1505">
        <v>578</v>
      </c>
      <c r="AE1505">
        <v>99</v>
      </c>
      <c r="AF1505">
        <v>25.93</v>
      </c>
      <c r="AG1505">
        <v>9.48</v>
      </c>
      <c r="AH1505">
        <v>6.44</v>
      </c>
      <c r="AI1505">
        <v>0.15</v>
      </c>
      <c r="AJ1505">
        <v>0.1</v>
      </c>
      <c r="AK1505">
        <v>94</v>
      </c>
      <c r="AL1505">
        <v>1481</v>
      </c>
      <c r="AM1505">
        <v>633</v>
      </c>
      <c r="AN1505">
        <v>-0.95</v>
      </c>
      <c r="AO1505">
        <v>1.52</v>
      </c>
      <c r="AP1505">
        <v>2722</v>
      </c>
      <c r="AQ1505">
        <v>54</v>
      </c>
      <c r="AR1505">
        <v>7.78</v>
      </c>
      <c r="AS1505">
        <v>97</v>
      </c>
      <c r="AT1505">
        <v>3</v>
      </c>
      <c r="AU1505">
        <v>99</v>
      </c>
      <c r="AV1505">
        <v>-3.44</v>
      </c>
      <c r="AW1505">
        <v>99</v>
      </c>
      <c r="AX1505">
        <v>0.33</v>
      </c>
      <c r="AY1505">
        <v>98</v>
      </c>
      <c r="AZ1505">
        <v>9.09</v>
      </c>
      <c r="BA1505">
        <v>95</v>
      </c>
      <c r="BB1505">
        <v>5.3</v>
      </c>
      <c r="BC1505">
        <v>95</v>
      </c>
      <c r="BD1505">
        <v>-0.02</v>
      </c>
      <c r="BE1505">
        <v>0</v>
      </c>
      <c r="BF1505">
        <v>0.16</v>
      </c>
      <c r="BG1505">
        <v>99</v>
      </c>
      <c r="BH1505">
        <v>0.08</v>
      </c>
      <c r="BI1505">
        <v>-11.95</v>
      </c>
      <c r="BJ1505">
        <v>114</v>
      </c>
      <c r="BK1505">
        <v>53</v>
      </c>
      <c r="BL1505">
        <v>-0.73</v>
      </c>
      <c r="BM1505">
        <v>0.66</v>
      </c>
      <c r="BN1505">
        <v>0.79</v>
      </c>
      <c r="BO1505">
        <v>0.45</v>
      </c>
      <c r="BP1505">
        <v>3.49</v>
      </c>
      <c r="BQ1505">
        <v>-1.83</v>
      </c>
      <c r="BR1505">
        <v>2.84</v>
      </c>
      <c r="BS1505">
        <v>-1.61</v>
      </c>
      <c r="BT1505">
        <v>-2.0699999999999998</v>
      </c>
      <c r="BU1505">
        <v>1.44</v>
      </c>
      <c r="BV1505">
        <v>1.22</v>
      </c>
      <c r="BW1505">
        <v>0.77</v>
      </c>
      <c r="BX1505">
        <v>-0.47</v>
      </c>
      <c r="BY1505">
        <v>2.04</v>
      </c>
      <c r="BZ1505">
        <v>-4.88</v>
      </c>
      <c r="CA1505">
        <v>-0.18</v>
      </c>
      <c r="CB1505">
        <v>0.66</v>
      </c>
      <c r="CC1505">
        <v>-1.62</v>
      </c>
      <c r="CD1505">
        <v>0.28999999999999998</v>
      </c>
      <c r="CE1505">
        <v>7.0000000000000007E-2</v>
      </c>
      <c r="CF1505">
        <v>-0.2</v>
      </c>
      <c r="CG1505">
        <v>0</v>
      </c>
      <c r="CH1505">
        <v>1.93</v>
      </c>
      <c r="CI1505">
        <v>0</v>
      </c>
      <c r="CJ1505">
        <v>-0.4</v>
      </c>
      <c r="CK1505">
        <v>99</v>
      </c>
      <c r="CL1505">
        <v>-0.56999999999999995</v>
      </c>
      <c r="CM1505">
        <v>99</v>
      </c>
      <c r="CN1505">
        <v>-0.23</v>
      </c>
      <c r="CO1505">
        <v>99</v>
      </c>
      <c r="CP1505">
        <v>-2</v>
      </c>
      <c r="CQ1505">
        <v>99</v>
      </c>
      <c r="CR1505">
        <v>0</v>
      </c>
      <c r="CS1505">
        <v>0</v>
      </c>
      <c r="CT1505">
        <v>11</v>
      </c>
      <c r="CU1505">
        <v>99</v>
      </c>
      <c r="CV1505">
        <v>0.1</v>
      </c>
      <c r="CW1505">
        <v>48</v>
      </c>
      <c r="CX1505" t="s">
        <v>1252</v>
      </c>
    </row>
    <row r="1506" spans="1:102" x14ac:dyDescent="0.3">
      <c r="A1506" t="str">
        <f>HYPERLINK("https://webapp.icbf.com/v2/app/bull-search/view/910796170","S2301")</f>
        <v>S2301</v>
      </c>
      <c r="B1506" t="s">
        <v>2196</v>
      </c>
      <c r="C1506" t="s">
        <v>2197</v>
      </c>
      <c r="D1506" s="1">
        <v>39295</v>
      </c>
      <c r="E1506" t="s">
        <v>146</v>
      </c>
      <c r="F1506">
        <v>0</v>
      </c>
      <c r="G1506" t="s">
        <v>109</v>
      </c>
      <c r="H1506">
        <v>106.44</v>
      </c>
      <c r="I1506">
        <v>59</v>
      </c>
      <c r="J1506">
        <v>13.19</v>
      </c>
      <c r="K1506">
        <v>69</v>
      </c>
      <c r="L1506">
        <v>22.08</v>
      </c>
      <c r="M1506">
        <v>50</v>
      </c>
      <c r="N1506">
        <v>43.11</v>
      </c>
      <c r="O1506">
        <v>78</v>
      </c>
      <c r="P1506">
        <v>7.62</v>
      </c>
      <c r="Q1506">
        <v>85</v>
      </c>
      <c r="R1506">
        <v>11.38</v>
      </c>
      <c r="S1506">
        <v>52</v>
      </c>
      <c r="T1506">
        <v>11.53</v>
      </c>
      <c r="U1506">
        <v>28</v>
      </c>
      <c r="V1506">
        <v>-2.4700000000000002</v>
      </c>
      <c r="W1506">
        <v>23</v>
      </c>
      <c r="X1506" t="s">
        <v>102</v>
      </c>
      <c r="Y1506" t="s">
        <v>411</v>
      </c>
      <c r="Z1506">
        <v>0</v>
      </c>
      <c r="AA1506" t="s">
        <v>2198</v>
      </c>
      <c r="AB1506" t="s">
        <v>2199</v>
      </c>
      <c r="AC1506">
        <v>0</v>
      </c>
      <c r="AD1506">
        <v>0</v>
      </c>
      <c r="AE1506">
        <v>69</v>
      </c>
      <c r="AF1506">
        <v>-118.46</v>
      </c>
      <c r="AG1506">
        <v>-3.42</v>
      </c>
      <c r="AH1506">
        <v>1.64</v>
      </c>
      <c r="AI1506">
        <v>0.02</v>
      </c>
      <c r="AJ1506">
        <v>0.1</v>
      </c>
      <c r="AK1506">
        <v>50</v>
      </c>
      <c r="AL1506">
        <v>0</v>
      </c>
      <c r="AM1506">
        <v>0</v>
      </c>
      <c r="AN1506">
        <v>-2.06</v>
      </c>
      <c r="AO1506">
        <v>-0.31</v>
      </c>
      <c r="AP1506">
        <v>416</v>
      </c>
      <c r="AQ1506">
        <v>6</v>
      </c>
      <c r="AR1506">
        <v>5.98</v>
      </c>
      <c r="AS1506">
        <v>75</v>
      </c>
      <c r="AT1506">
        <v>2.31</v>
      </c>
      <c r="AU1506">
        <v>89</v>
      </c>
      <c r="AV1506">
        <v>-3.87</v>
      </c>
      <c r="AW1506">
        <v>97</v>
      </c>
      <c r="AX1506">
        <v>-0.1</v>
      </c>
      <c r="AY1506">
        <v>83</v>
      </c>
      <c r="AZ1506">
        <v>6.39</v>
      </c>
      <c r="BA1506">
        <v>28</v>
      </c>
      <c r="BB1506">
        <v>4.6500000000000004</v>
      </c>
      <c r="BC1506">
        <v>11</v>
      </c>
      <c r="BD1506">
        <v>-0.01</v>
      </c>
      <c r="BE1506">
        <v>-0.05</v>
      </c>
      <c r="BF1506">
        <v>-0.15</v>
      </c>
      <c r="BG1506">
        <v>79</v>
      </c>
      <c r="BH1506">
        <v>-0.19</v>
      </c>
      <c r="BI1506">
        <v>-14.02</v>
      </c>
      <c r="BJ1506">
        <v>0</v>
      </c>
      <c r="BK1506">
        <v>0</v>
      </c>
      <c r="BL1506">
        <v>-1.51</v>
      </c>
      <c r="BM1506">
        <v>2.5499999999999998</v>
      </c>
      <c r="BN1506">
        <v>-0.89</v>
      </c>
      <c r="BO1506">
        <v>-1.5</v>
      </c>
      <c r="BP1506">
        <v>2.84</v>
      </c>
      <c r="BQ1506">
        <v>0.56999999999999995</v>
      </c>
      <c r="BR1506">
        <v>-0.81</v>
      </c>
      <c r="BS1506">
        <v>0.72</v>
      </c>
      <c r="BT1506">
        <v>1.03</v>
      </c>
      <c r="BU1506">
        <v>-0.76</v>
      </c>
      <c r="BV1506">
        <v>-2.5</v>
      </c>
      <c r="BW1506">
        <v>-3.2</v>
      </c>
      <c r="BX1506">
        <v>-0.48</v>
      </c>
      <c r="BY1506">
        <v>-1.67</v>
      </c>
      <c r="BZ1506">
        <v>1.68</v>
      </c>
      <c r="CA1506">
        <v>-1.3</v>
      </c>
      <c r="CB1506">
        <v>-1.69</v>
      </c>
      <c r="CC1506">
        <v>0.08</v>
      </c>
      <c r="CD1506">
        <v>2.59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3.8</v>
      </c>
      <c r="CK1506">
        <v>90</v>
      </c>
      <c r="CL1506">
        <v>0.06</v>
      </c>
      <c r="CM1506">
        <v>88</v>
      </c>
      <c r="CN1506">
        <v>-0.14000000000000001</v>
      </c>
      <c r="CO1506">
        <v>86</v>
      </c>
      <c r="CP1506">
        <v>0.8</v>
      </c>
      <c r="CQ1506">
        <v>41</v>
      </c>
      <c r="CR1506">
        <v>0</v>
      </c>
      <c r="CS1506">
        <v>0</v>
      </c>
      <c r="CT1506">
        <v>-1.8</v>
      </c>
      <c r="CU1506">
        <v>28</v>
      </c>
      <c r="CV1506">
        <v>-0.05</v>
      </c>
      <c r="CW1506">
        <v>25</v>
      </c>
      <c r="CX1506" t="s">
        <v>2200</v>
      </c>
    </row>
    <row r="1507" spans="1:102" x14ac:dyDescent="0.3">
      <c r="A1507" t="str">
        <f>HYPERLINK("https://webapp.icbf.com/v2/app/bull-search/view/1196693465","S2244")</f>
        <v>S2244</v>
      </c>
      <c r="B1507" t="s">
        <v>399</v>
      </c>
      <c r="C1507" t="s">
        <v>400</v>
      </c>
      <c r="D1507" s="1">
        <v>41062</v>
      </c>
      <c r="E1507" t="s">
        <v>92</v>
      </c>
      <c r="F1507">
        <v>100</v>
      </c>
      <c r="G1507" t="s">
        <v>93</v>
      </c>
      <c r="H1507">
        <v>106.36</v>
      </c>
      <c r="I1507">
        <v>85</v>
      </c>
      <c r="J1507">
        <v>58.82</v>
      </c>
      <c r="K1507">
        <v>96</v>
      </c>
      <c r="L1507">
        <v>17.72</v>
      </c>
      <c r="M1507">
        <v>85</v>
      </c>
      <c r="N1507">
        <v>11.79</v>
      </c>
      <c r="O1507">
        <v>82</v>
      </c>
      <c r="P1507">
        <v>-9.34</v>
      </c>
      <c r="Q1507">
        <v>79</v>
      </c>
      <c r="R1507">
        <v>13.9</v>
      </c>
      <c r="S1507">
        <v>77</v>
      </c>
      <c r="T1507">
        <v>3.91</v>
      </c>
      <c r="U1507">
        <v>59</v>
      </c>
      <c r="V1507">
        <v>9.56</v>
      </c>
      <c r="W1507">
        <v>62</v>
      </c>
      <c r="X1507" t="s">
        <v>234</v>
      </c>
      <c r="Y1507" t="s">
        <v>367</v>
      </c>
      <c r="Z1507" t="s">
        <v>96</v>
      </c>
      <c r="AA1507" t="s">
        <v>401</v>
      </c>
      <c r="AB1507" t="s">
        <v>402</v>
      </c>
      <c r="AC1507">
        <v>123</v>
      </c>
      <c r="AD1507">
        <v>38</v>
      </c>
      <c r="AE1507">
        <v>96</v>
      </c>
      <c r="AF1507">
        <v>440.03</v>
      </c>
      <c r="AG1507">
        <v>20.149999999999999</v>
      </c>
      <c r="AH1507">
        <v>9.61</v>
      </c>
      <c r="AI1507">
        <v>0.05</v>
      </c>
      <c r="AJ1507">
        <v>-0.09</v>
      </c>
      <c r="AK1507">
        <v>85</v>
      </c>
      <c r="AL1507">
        <v>15</v>
      </c>
      <c r="AM1507">
        <v>11</v>
      </c>
      <c r="AN1507">
        <v>-0.46</v>
      </c>
      <c r="AO1507">
        <v>0.96</v>
      </c>
      <c r="AP1507">
        <v>167</v>
      </c>
      <c r="AQ1507">
        <v>0</v>
      </c>
      <c r="AR1507">
        <v>9.1300000000000008</v>
      </c>
      <c r="AS1507">
        <v>85</v>
      </c>
      <c r="AT1507">
        <v>3.48</v>
      </c>
      <c r="AU1507">
        <v>86</v>
      </c>
      <c r="AV1507">
        <v>-2.0699999999999998</v>
      </c>
      <c r="AW1507">
        <v>93</v>
      </c>
      <c r="AX1507">
        <v>-7.0000000000000007E-2</v>
      </c>
      <c r="AY1507">
        <v>80</v>
      </c>
      <c r="AZ1507">
        <v>5.61</v>
      </c>
      <c r="BA1507">
        <v>66</v>
      </c>
      <c r="BB1507">
        <v>4.67</v>
      </c>
      <c r="BC1507">
        <v>48</v>
      </c>
      <c r="BD1507">
        <v>-0.01</v>
      </c>
      <c r="BE1507">
        <v>-7.0000000000000007E-2</v>
      </c>
      <c r="BF1507">
        <v>-0.17</v>
      </c>
      <c r="BG1507">
        <v>91</v>
      </c>
      <c r="BH1507">
        <v>0.14000000000000001</v>
      </c>
      <c r="BI1507">
        <v>-14.65</v>
      </c>
      <c r="BJ1507">
        <v>18</v>
      </c>
      <c r="BK1507">
        <v>6</v>
      </c>
      <c r="BL1507">
        <v>2.06</v>
      </c>
      <c r="BM1507">
        <v>0.55000000000000004</v>
      </c>
      <c r="BN1507">
        <v>1.05</v>
      </c>
      <c r="BO1507">
        <v>1.04</v>
      </c>
      <c r="BP1507">
        <v>0.61</v>
      </c>
      <c r="BQ1507">
        <v>2.12</v>
      </c>
      <c r="BR1507">
        <v>1.02</v>
      </c>
      <c r="BS1507">
        <v>0.24</v>
      </c>
      <c r="BT1507">
        <v>0.4</v>
      </c>
      <c r="BU1507">
        <v>2.63</v>
      </c>
      <c r="BV1507">
        <v>3.29</v>
      </c>
      <c r="BW1507">
        <v>2.59</v>
      </c>
      <c r="BX1507">
        <v>1.95</v>
      </c>
      <c r="BY1507">
        <v>2.46</v>
      </c>
      <c r="BZ1507">
        <v>-0.54</v>
      </c>
      <c r="CA1507">
        <v>2.34</v>
      </c>
      <c r="CB1507">
        <v>2.91</v>
      </c>
      <c r="CC1507">
        <v>-0.22</v>
      </c>
      <c r="CD1507">
        <v>-0.5</v>
      </c>
      <c r="CE1507">
        <v>0.85</v>
      </c>
      <c r="CF1507">
        <v>1.78</v>
      </c>
      <c r="CG1507">
        <v>0</v>
      </c>
      <c r="CH1507">
        <v>2.9</v>
      </c>
      <c r="CI1507">
        <v>0</v>
      </c>
      <c r="CJ1507">
        <v>0.4</v>
      </c>
      <c r="CK1507">
        <v>82</v>
      </c>
      <c r="CL1507">
        <v>-1.37</v>
      </c>
      <c r="CM1507">
        <v>78</v>
      </c>
      <c r="CN1507">
        <v>-0.31</v>
      </c>
      <c r="CO1507">
        <v>77</v>
      </c>
      <c r="CP1507">
        <v>4.0999999999999996</v>
      </c>
      <c r="CQ1507">
        <v>61</v>
      </c>
      <c r="CR1507">
        <v>0</v>
      </c>
      <c r="CS1507">
        <v>0</v>
      </c>
      <c r="CT1507">
        <v>8.5</v>
      </c>
      <c r="CU1507">
        <v>59</v>
      </c>
      <c r="CV1507">
        <v>0.35</v>
      </c>
      <c r="CW1507">
        <v>42</v>
      </c>
      <c r="CX1507" t="s">
        <v>277</v>
      </c>
    </row>
    <row r="1508" spans="1:102" x14ac:dyDescent="0.3">
      <c r="A1508" t="str">
        <f>HYPERLINK("https://webapp.icbf.com/v2/app/bull-search/view/760395704","PFG")</f>
        <v>PFG</v>
      </c>
      <c r="B1508" t="s">
        <v>15633</v>
      </c>
      <c r="C1508" t="s">
        <v>15634</v>
      </c>
      <c r="D1508" s="1">
        <v>40022</v>
      </c>
      <c r="E1508" t="s">
        <v>92</v>
      </c>
      <c r="F1508">
        <v>63</v>
      </c>
      <c r="G1508" t="s">
        <v>109</v>
      </c>
      <c r="H1508">
        <v>106.18</v>
      </c>
      <c r="I1508">
        <v>75</v>
      </c>
      <c r="J1508">
        <v>109.02</v>
      </c>
      <c r="K1508">
        <v>90</v>
      </c>
      <c r="L1508">
        <v>-20.350000000000001</v>
      </c>
      <c r="M1508">
        <v>71</v>
      </c>
      <c r="N1508">
        <v>1.28</v>
      </c>
      <c r="O1508">
        <v>67</v>
      </c>
      <c r="P1508">
        <v>-19.170000000000002</v>
      </c>
      <c r="Q1508">
        <v>71</v>
      </c>
      <c r="R1508">
        <v>-2.57</v>
      </c>
      <c r="S1508">
        <v>68</v>
      </c>
      <c r="T1508">
        <v>26.04</v>
      </c>
      <c r="U1508">
        <v>51</v>
      </c>
      <c r="V1508">
        <v>11.93</v>
      </c>
      <c r="W1508">
        <v>59</v>
      </c>
      <c r="X1508" t="s">
        <v>276</v>
      </c>
      <c r="Y1508" t="s">
        <v>435</v>
      </c>
      <c r="Z1508" t="s">
        <v>330</v>
      </c>
      <c r="AA1508" t="s">
        <v>5286</v>
      </c>
      <c r="AB1508" t="s">
        <v>15635</v>
      </c>
      <c r="AC1508">
        <v>0</v>
      </c>
      <c r="AD1508">
        <v>0</v>
      </c>
      <c r="AE1508">
        <v>90</v>
      </c>
      <c r="AF1508">
        <v>354.44</v>
      </c>
      <c r="AG1508">
        <v>22.8</v>
      </c>
      <c r="AH1508">
        <v>15.9</v>
      </c>
      <c r="AI1508">
        <v>0.15</v>
      </c>
      <c r="AJ1508">
        <v>0.06</v>
      </c>
      <c r="AK1508">
        <v>71</v>
      </c>
      <c r="AL1508">
        <v>0</v>
      </c>
      <c r="AM1508">
        <v>0</v>
      </c>
      <c r="AN1508">
        <v>3.66</v>
      </c>
      <c r="AO1508">
        <v>2.0699999999999998</v>
      </c>
      <c r="AP1508">
        <v>30</v>
      </c>
      <c r="AQ1508">
        <v>0</v>
      </c>
      <c r="AR1508">
        <v>9.26</v>
      </c>
      <c r="AS1508">
        <v>56</v>
      </c>
      <c r="AT1508">
        <v>3.38</v>
      </c>
      <c r="AU1508">
        <v>70</v>
      </c>
      <c r="AV1508">
        <v>-1.86</v>
      </c>
      <c r="AW1508">
        <v>80</v>
      </c>
      <c r="AX1508">
        <v>1.67</v>
      </c>
      <c r="AY1508">
        <v>53</v>
      </c>
      <c r="AZ1508">
        <v>6.85</v>
      </c>
      <c r="BA1508">
        <v>43</v>
      </c>
      <c r="BB1508">
        <v>5.32</v>
      </c>
      <c r="BC1508">
        <v>44</v>
      </c>
      <c r="BD1508">
        <v>-0.03</v>
      </c>
      <c r="BE1508">
        <v>0.01</v>
      </c>
      <c r="BF1508">
        <v>0.09</v>
      </c>
      <c r="BG1508">
        <v>82</v>
      </c>
      <c r="BH1508">
        <v>0.26</v>
      </c>
      <c r="BI1508">
        <v>-8.42</v>
      </c>
      <c r="BJ1508">
        <v>0</v>
      </c>
      <c r="BK1508">
        <v>0</v>
      </c>
      <c r="BL1508">
        <v>-1.83</v>
      </c>
      <c r="BM1508">
        <v>-0.85</v>
      </c>
      <c r="BN1508">
        <v>-1.7</v>
      </c>
      <c r="BO1508">
        <v>-0.01</v>
      </c>
      <c r="BP1508">
        <v>-1.92</v>
      </c>
      <c r="BQ1508">
        <v>-1.96</v>
      </c>
      <c r="BR1508">
        <v>-0.06</v>
      </c>
      <c r="BS1508">
        <v>-0.24</v>
      </c>
      <c r="BT1508">
        <v>-1.29</v>
      </c>
      <c r="BU1508">
        <v>-1.42</v>
      </c>
      <c r="BV1508">
        <v>-2.19</v>
      </c>
      <c r="BW1508">
        <v>-2.1</v>
      </c>
      <c r="BX1508">
        <v>-1.35</v>
      </c>
      <c r="BY1508">
        <v>-2.61</v>
      </c>
      <c r="BZ1508">
        <v>0.67</v>
      </c>
      <c r="CA1508">
        <v>-2.0099999999999998</v>
      </c>
      <c r="CB1508">
        <v>-1.89</v>
      </c>
      <c r="CC1508">
        <v>0.08</v>
      </c>
      <c r="CD1508">
        <v>-0.53</v>
      </c>
      <c r="CE1508">
        <v>0.08</v>
      </c>
      <c r="CF1508">
        <v>-1.77</v>
      </c>
      <c r="CG1508">
        <v>0</v>
      </c>
      <c r="CH1508">
        <v>-2.36</v>
      </c>
      <c r="CI1508">
        <v>0</v>
      </c>
      <c r="CJ1508">
        <v>-7.3</v>
      </c>
      <c r="CK1508">
        <v>74</v>
      </c>
      <c r="CL1508">
        <v>-0.81</v>
      </c>
      <c r="CM1508">
        <v>71</v>
      </c>
      <c r="CN1508">
        <v>-0.2</v>
      </c>
      <c r="CO1508">
        <v>70</v>
      </c>
      <c r="CP1508">
        <v>-20.5</v>
      </c>
      <c r="CQ1508">
        <v>54</v>
      </c>
      <c r="CR1508">
        <v>0</v>
      </c>
      <c r="CS1508">
        <v>0</v>
      </c>
      <c r="CT1508">
        <v>-21.4</v>
      </c>
      <c r="CU1508">
        <v>51</v>
      </c>
      <c r="CV1508">
        <v>0.15</v>
      </c>
      <c r="CW1508">
        <v>40</v>
      </c>
      <c r="CX1508" t="s">
        <v>1360</v>
      </c>
    </row>
    <row r="1509" spans="1:102" x14ac:dyDescent="0.3">
      <c r="A1509" t="str">
        <f>HYPERLINK("https://webapp.icbf.com/v2/app/bull-search/view/1135778492","S2193")</f>
        <v>S2193</v>
      </c>
      <c r="B1509" t="s">
        <v>13355</v>
      </c>
      <c r="C1509" t="s">
        <v>13356</v>
      </c>
      <c r="D1509" s="1">
        <v>39951</v>
      </c>
      <c r="E1509" t="s">
        <v>92</v>
      </c>
      <c r="F1509">
        <v>100</v>
      </c>
      <c r="G1509" t="s">
        <v>93</v>
      </c>
      <c r="H1509">
        <v>106.17</v>
      </c>
      <c r="I1509">
        <v>87</v>
      </c>
      <c r="J1509">
        <v>54.19</v>
      </c>
      <c r="K1509">
        <v>96</v>
      </c>
      <c r="L1509">
        <v>-7.44</v>
      </c>
      <c r="M1509">
        <v>85</v>
      </c>
      <c r="N1509">
        <v>44.94</v>
      </c>
      <c r="O1509">
        <v>84</v>
      </c>
      <c r="P1509">
        <v>-7.33</v>
      </c>
      <c r="Q1509">
        <v>85</v>
      </c>
      <c r="R1509">
        <v>11.96</v>
      </c>
      <c r="S1509">
        <v>81</v>
      </c>
      <c r="T1509">
        <v>-1.34</v>
      </c>
      <c r="U1509">
        <v>69</v>
      </c>
      <c r="V1509">
        <v>11.19</v>
      </c>
      <c r="W1509">
        <v>72</v>
      </c>
      <c r="X1509" t="s">
        <v>276</v>
      </c>
      <c r="Y1509" t="s">
        <v>367</v>
      </c>
      <c r="Z1509" t="s">
        <v>96</v>
      </c>
      <c r="AA1509" t="s">
        <v>316</v>
      </c>
      <c r="AB1509" t="s">
        <v>13357</v>
      </c>
      <c r="AC1509">
        <v>95</v>
      </c>
      <c r="AD1509">
        <v>35</v>
      </c>
      <c r="AE1509">
        <v>96</v>
      </c>
      <c r="AF1509">
        <v>320.2</v>
      </c>
      <c r="AG1509">
        <v>15.68</v>
      </c>
      <c r="AH1509">
        <v>8.57</v>
      </c>
      <c r="AI1509">
        <v>0.05</v>
      </c>
      <c r="AJ1509">
        <v>-0.04</v>
      </c>
      <c r="AK1509">
        <v>85</v>
      </c>
      <c r="AL1509">
        <v>0</v>
      </c>
      <c r="AM1509">
        <v>0</v>
      </c>
      <c r="AN1509">
        <v>1.41</v>
      </c>
      <c r="AO1509">
        <v>0.83</v>
      </c>
      <c r="AP1509">
        <v>207</v>
      </c>
      <c r="AQ1509">
        <v>1</v>
      </c>
      <c r="AR1509">
        <v>4.2</v>
      </c>
      <c r="AS1509">
        <v>86</v>
      </c>
      <c r="AT1509">
        <v>1.75</v>
      </c>
      <c r="AU1509">
        <v>85</v>
      </c>
      <c r="AV1509">
        <v>-4.1100000000000003</v>
      </c>
      <c r="AW1509">
        <v>94</v>
      </c>
      <c r="AX1509">
        <v>0.18</v>
      </c>
      <c r="AY1509">
        <v>81</v>
      </c>
      <c r="AZ1509">
        <v>6.71</v>
      </c>
      <c r="BA1509">
        <v>65</v>
      </c>
      <c r="BB1509">
        <v>5.79</v>
      </c>
      <c r="BC1509">
        <v>57</v>
      </c>
      <c r="BD1509">
        <v>-0.03</v>
      </c>
      <c r="BE1509">
        <v>-0.05</v>
      </c>
      <c r="BF1509">
        <v>-0.13</v>
      </c>
      <c r="BG1509">
        <v>93</v>
      </c>
      <c r="BH1509">
        <v>7.0000000000000007E-2</v>
      </c>
      <c r="BI1509">
        <v>-28</v>
      </c>
      <c r="BJ1509">
        <v>14</v>
      </c>
      <c r="BK1509">
        <v>7</v>
      </c>
      <c r="BL1509">
        <v>0.56999999999999995</v>
      </c>
      <c r="BM1509">
        <v>0.43</v>
      </c>
      <c r="BN1509">
        <v>0.59</v>
      </c>
      <c r="BO1509">
        <v>0.6</v>
      </c>
      <c r="BP1509">
        <v>1.1100000000000001</v>
      </c>
      <c r="BQ1509">
        <v>-0.46</v>
      </c>
      <c r="BR1509">
        <v>-3.54</v>
      </c>
      <c r="BS1509">
        <v>1.22</v>
      </c>
      <c r="BT1509">
        <v>2.68</v>
      </c>
      <c r="BU1509">
        <v>1.21</v>
      </c>
      <c r="BV1509">
        <v>1.66</v>
      </c>
      <c r="BW1509">
        <v>1.93</v>
      </c>
      <c r="BX1509">
        <v>1.6</v>
      </c>
      <c r="BY1509">
        <v>0.74</v>
      </c>
      <c r="BZ1509">
        <v>0.17</v>
      </c>
      <c r="CA1509">
        <v>1.67</v>
      </c>
      <c r="CB1509">
        <v>1.67</v>
      </c>
      <c r="CC1509">
        <v>1.36</v>
      </c>
      <c r="CD1509">
        <v>0.42</v>
      </c>
      <c r="CE1509">
        <v>0.37</v>
      </c>
      <c r="CF1509">
        <v>0.82</v>
      </c>
      <c r="CG1509">
        <v>0</v>
      </c>
      <c r="CH1509">
        <v>0.76</v>
      </c>
      <c r="CI1509">
        <v>0</v>
      </c>
      <c r="CJ1509">
        <v>-1.2</v>
      </c>
      <c r="CK1509">
        <v>88</v>
      </c>
      <c r="CL1509">
        <v>-0.76</v>
      </c>
      <c r="CM1509">
        <v>85</v>
      </c>
      <c r="CN1509">
        <v>-0.16</v>
      </c>
      <c r="CO1509">
        <v>84</v>
      </c>
      <c r="CP1509">
        <v>2</v>
      </c>
      <c r="CQ1509">
        <v>68</v>
      </c>
      <c r="CR1509">
        <v>0</v>
      </c>
      <c r="CS1509">
        <v>0</v>
      </c>
      <c r="CT1509">
        <v>15.6</v>
      </c>
      <c r="CU1509">
        <v>69</v>
      </c>
      <c r="CV1509">
        <v>0.19</v>
      </c>
      <c r="CW1509">
        <v>46</v>
      </c>
      <c r="CX1509" t="s">
        <v>309</v>
      </c>
    </row>
    <row r="1510" spans="1:102" x14ac:dyDescent="0.3">
      <c r="A1510" t="str">
        <f>HYPERLINK("https://webapp.icbf.com/v2/app/bull-search/view/238420932","PIH")</f>
        <v>PIH</v>
      </c>
      <c r="B1510" t="s">
        <v>6665</v>
      </c>
      <c r="C1510" t="s">
        <v>6666</v>
      </c>
      <c r="D1510" s="1">
        <v>37515</v>
      </c>
      <c r="E1510" t="s">
        <v>92</v>
      </c>
      <c r="F1510">
        <v>97</v>
      </c>
      <c r="G1510" t="s">
        <v>93</v>
      </c>
      <c r="H1510">
        <v>106.05</v>
      </c>
      <c r="I1510">
        <v>91</v>
      </c>
      <c r="J1510">
        <v>57.51</v>
      </c>
      <c r="K1510">
        <v>98</v>
      </c>
      <c r="L1510">
        <v>14.13</v>
      </c>
      <c r="M1510">
        <v>85</v>
      </c>
      <c r="N1510">
        <v>34.6</v>
      </c>
      <c r="O1510">
        <v>90</v>
      </c>
      <c r="P1510">
        <v>2.93</v>
      </c>
      <c r="Q1510">
        <v>96</v>
      </c>
      <c r="R1510">
        <v>-7.66</v>
      </c>
      <c r="S1510">
        <v>87</v>
      </c>
      <c r="T1510">
        <v>11.38</v>
      </c>
      <c r="U1510">
        <v>90</v>
      </c>
      <c r="V1510">
        <v>-6.84</v>
      </c>
      <c r="W1510">
        <v>86</v>
      </c>
      <c r="X1510" t="s">
        <v>94</v>
      </c>
      <c r="Y1510" t="s">
        <v>95</v>
      </c>
      <c r="Z1510" t="s">
        <v>96</v>
      </c>
      <c r="AA1510" t="s">
        <v>2441</v>
      </c>
      <c r="AB1510" t="s">
        <v>6667</v>
      </c>
      <c r="AC1510">
        <v>170</v>
      </c>
      <c r="AD1510">
        <v>98</v>
      </c>
      <c r="AE1510">
        <v>98</v>
      </c>
      <c r="AF1510">
        <v>246.59</v>
      </c>
      <c r="AG1510">
        <v>11.55</v>
      </c>
      <c r="AH1510">
        <v>9.4700000000000006</v>
      </c>
      <c r="AI1510">
        <v>0.03</v>
      </c>
      <c r="AJ1510">
        <v>0.02</v>
      </c>
      <c r="AK1510">
        <v>85</v>
      </c>
      <c r="AL1510">
        <v>203</v>
      </c>
      <c r="AM1510">
        <v>127</v>
      </c>
      <c r="AN1510">
        <v>-2.06</v>
      </c>
      <c r="AO1510">
        <v>-0.95</v>
      </c>
      <c r="AP1510">
        <v>317</v>
      </c>
      <c r="AQ1510">
        <v>1</v>
      </c>
      <c r="AR1510">
        <v>5.16</v>
      </c>
      <c r="AS1510">
        <v>78</v>
      </c>
      <c r="AT1510">
        <v>2.35</v>
      </c>
      <c r="AU1510">
        <v>92</v>
      </c>
      <c r="AV1510">
        <v>-1.92</v>
      </c>
      <c r="AW1510">
        <v>97</v>
      </c>
      <c r="AX1510">
        <v>-0.88</v>
      </c>
      <c r="AY1510">
        <v>89</v>
      </c>
      <c r="AZ1510">
        <v>5.28</v>
      </c>
      <c r="BA1510">
        <v>74</v>
      </c>
      <c r="BB1510">
        <v>4.1900000000000004</v>
      </c>
      <c r="BC1510">
        <v>76</v>
      </c>
      <c r="BD1510">
        <v>0</v>
      </c>
      <c r="BE1510">
        <v>0.04</v>
      </c>
      <c r="BF1510">
        <v>0.1</v>
      </c>
      <c r="BG1510">
        <v>93</v>
      </c>
      <c r="BH1510">
        <v>0.01</v>
      </c>
      <c r="BI1510">
        <v>23.23</v>
      </c>
      <c r="BJ1510">
        <v>38</v>
      </c>
      <c r="BK1510">
        <v>24</v>
      </c>
      <c r="BL1510">
        <v>0.86</v>
      </c>
      <c r="BM1510">
        <v>-0.05</v>
      </c>
      <c r="BN1510">
        <v>-0.61</v>
      </c>
      <c r="BO1510">
        <v>7.0000000000000007E-2</v>
      </c>
      <c r="BP1510">
        <v>2.2400000000000002</v>
      </c>
      <c r="BQ1510">
        <v>0.46</v>
      </c>
      <c r="BR1510">
        <v>-0.01</v>
      </c>
      <c r="BS1510">
        <v>2.2999999999999998</v>
      </c>
      <c r="BT1510">
        <v>0.22</v>
      </c>
      <c r="BU1510">
        <v>-0.61</v>
      </c>
      <c r="BV1510">
        <v>-0.11</v>
      </c>
      <c r="BW1510">
        <v>-0.13</v>
      </c>
      <c r="BX1510">
        <v>0.03</v>
      </c>
      <c r="BY1510">
        <v>-1.03</v>
      </c>
      <c r="BZ1510">
        <v>0.7</v>
      </c>
      <c r="CA1510">
        <v>7.0000000000000007E-2</v>
      </c>
      <c r="CB1510">
        <v>-0.47</v>
      </c>
      <c r="CC1510">
        <v>1.01</v>
      </c>
      <c r="CD1510">
        <v>0.34</v>
      </c>
      <c r="CE1510">
        <v>-0.51</v>
      </c>
      <c r="CF1510">
        <v>0.45</v>
      </c>
      <c r="CG1510">
        <v>0</v>
      </c>
      <c r="CH1510">
        <v>-1.41</v>
      </c>
      <c r="CI1510">
        <v>0</v>
      </c>
      <c r="CJ1510">
        <v>3.9</v>
      </c>
      <c r="CK1510">
        <v>96</v>
      </c>
      <c r="CL1510">
        <v>-0.76</v>
      </c>
      <c r="CM1510">
        <v>96</v>
      </c>
      <c r="CN1510">
        <v>-0.49</v>
      </c>
      <c r="CO1510">
        <v>95</v>
      </c>
      <c r="CP1510">
        <v>-2.2999999999999998</v>
      </c>
      <c r="CQ1510">
        <v>94</v>
      </c>
      <c r="CR1510">
        <v>0</v>
      </c>
      <c r="CS1510">
        <v>0</v>
      </c>
      <c r="CT1510">
        <v>-1.6</v>
      </c>
      <c r="CU1510">
        <v>90</v>
      </c>
      <c r="CV1510">
        <v>0.22</v>
      </c>
      <c r="CW1510">
        <v>45</v>
      </c>
      <c r="CX1510" t="s">
        <v>1696</v>
      </c>
    </row>
    <row r="1511" spans="1:102" x14ac:dyDescent="0.3">
      <c r="A1511" t="str">
        <f>HYPERLINK("https://webapp.icbf.com/v2/app/bull-search/view/586155276","VUT")</f>
        <v>VUT</v>
      </c>
      <c r="B1511" t="s">
        <v>1561</v>
      </c>
      <c r="C1511" t="s">
        <v>1562</v>
      </c>
      <c r="D1511" s="1">
        <v>38211</v>
      </c>
      <c r="E1511" t="s">
        <v>92</v>
      </c>
      <c r="F1511">
        <v>100</v>
      </c>
      <c r="G1511" t="s">
        <v>93</v>
      </c>
      <c r="H1511">
        <v>106.04</v>
      </c>
      <c r="I1511">
        <v>97</v>
      </c>
      <c r="J1511">
        <v>96.45</v>
      </c>
      <c r="K1511">
        <v>99</v>
      </c>
      <c r="L1511">
        <v>-1.03</v>
      </c>
      <c r="M1511">
        <v>95</v>
      </c>
      <c r="N1511">
        <v>21.26</v>
      </c>
      <c r="O1511">
        <v>98</v>
      </c>
      <c r="P1511">
        <v>-5.84</v>
      </c>
      <c r="Q1511">
        <v>99</v>
      </c>
      <c r="R1511">
        <v>6.25</v>
      </c>
      <c r="S1511">
        <v>94</v>
      </c>
      <c r="T1511">
        <v>-2.16</v>
      </c>
      <c r="U1511">
        <v>99</v>
      </c>
      <c r="V1511">
        <v>-8.89</v>
      </c>
      <c r="W1511">
        <v>93</v>
      </c>
      <c r="X1511" t="s">
        <v>276</v>
      </c>
      <c r="Y1511" t="s">
        <v>235</v>
      </c>
      <c r="Z1511" t="s">
        <v>96</v>
      </c>
      <c r="AA1511" t="s">
        <v>316</v>
      </c>
      <c r="AB1511" t="s">
        <v>1563</v>
      </c>
      <c r="AC1511">
        <v>1755</v>
      </c>
      <c r="AD1511">
        <v>550</v>
      </c>
      <c r="AE1511">
        <v>99</v>
      </c>
      <c r="AF1511">
        <v>395.54</v>
      </c>
      <c r="AG1511">
        <v>16.84</v>
      </c>
      <c r="AH1511">
        <v>16.5</v>
      </c>
      <c r="AI1511">
        <v>0.02</v>
      </c>
      <c r="AJ1511">
        <v>0.05</v>
      </c>
      <c r="AK1511">
        <v>95</v>
      </c>
      <c r="AL1511">
        <v>2002</v>
      </c>
      <c r="AM1511">
        <v>686</v>
      </c>
      <c r="AN1511">
        <v>0.2</v>
      </c>
      <c r="AO1511">
        <v>0.12</v>
      </c>
      <c r="AP1511">
        <v>3104</v>
      </c>
      <c r="AQ1511">
        <v>24</v>
      </c>
      <c r="AR1511">
        <v>6.15</v>
      </c>
      <c r="AS1511">
        <v>97</v>
      </c>
      <c r="AT1511">
        <v>2.2400000000000002</v>
      </c>
      <c r="AU1511">
        <v>99</v>
      </c>
      <c r="AV1511">
        <v>-1.23</v>
      </c>
      <c r="AW1511">
        <v>99</v>
      </c>
      <c r="AX1511">
        <v>-0.42</v>
      </c>
      <c r="AY1511">
        <v>99</v>
      </c>
      <c r="AZ1511">
        <v>6.81</v>
      </c>
      <c r="BA1511">
        <v>95</v>
      </c>
      <c r="BB1511">
        <v>4.9000000000000004</v>
      </c>
      <c r="BC1511">
        <v>95</v>
      </c>
      <c r="BD1511">
        <v>-0.01</v>
      </c>
      <c r="BE1511">
        <v>-0.03</v>
      </c>
      <c r="BF1511">
        <v>-7.0000000000000007E-2</v>
      </c>
      <c r="BG1511">
        <v>99</v>
      </c>
      <c r="BH1511">
        <v>-0.2</v>
      </c>
      <c r="BI1511">
        <v>5.54</v>
      </c>
      <c r="BJ1511">
        <v>75</v>
      </c>
      <c r="BK1511">
        <v>34</v>
      </c>
      <c r="BL1511">
        <v>0.66</v>
      </c>
      <c r="BM1511">
        <v>0.97</v>
      </c>
      <c r="BN1511">
        <v>0.69</v>
      </c>
      <c r="BO1511">
        <v>0.24</v>
      </c>
      <c r="BP1511">
        <v>1.26</v>
      </c>
      <c r="BQ1511">
        <v>0.4</v>
      </c>
      <c r="BR1511">
        <v>-0.72</v>
      </c>
      <c r="BS1511">
        <v>-0.24</v>
      </c>
      <c r="BT1511">
        <v>0.22</v>
      </c>
      <c r="BU1511">
        <v>-0.98</v>
      </c>
      <c r="BV1511">
        <v>-0.48</v>
      </c>
      <c r="BW1511">
        <v>-0.64</v>
      </c>
      <c r="BX1511">
        <v>-0.48</v>
      </c>
      <c r="BY1511">
        <v>-1.24</v>
      </c>
      <c r="BZ1511">
        <v>0.5</v>
      </c>
      <c r="CA1511">
        <v>-0.22</v>
      </c>
      <c r="CB1511">
        <v>-0.46</v>
      </c>
      <c r="CC1511">
        <v>0.45</v>
      </c>
      <c r="CD1511">
        <v>0.51</v>
      </c>
      <c r="CE1511">
        <v>0.18</v>
      </c>
      <c r="CF1511">
        <v>0.91</v>
      </c>
      <c r="CG1511">
        <v>0</v>
      </c>
      <c r="CH1511">
        <v>-1.1100000000000001</v>
      </c>
      <c r="CI1511">
        <v>0</v>
      </c>
      <c r="CJ1511">
        <v>-0.4</v>
      </c>
      <c r="CK1511">
        <v>99</v>
      </c>
      <c r="CL1511">
        <v>-1</v>
      </c>
      <c r="CM1511">
        <v>99</v>
      </c>
      <c r="CN1511">
        <v>-0.43</v>
      </c>
      <c r="CO1511">
        <v>99</v>
      </c>
      <c r="CP1511">
        <v>0</v>
      </c>
      <c r="CQ1511">
        <v>99</v>
      </c>
      <c r="CR1511">
        <v>0</v>
      </c>
      <c r="CS1511">
        <v>0</v>
      </c>
      <c r="CT1511">
        <v>16.7</v>
      </c>
      <c r="CU1511">
        <v>99</v>
      </c>
      <c r="CV1511">
        <v>0.28000000000000003</v>
      </c>
      <c r="CW1511">
        <v>49</v>
      </c>
      <c r="CX1511" t="s">
        <v>1142</v>
      </c>
    </row>
    <row r="1512" spans="1:102" x14ac:dyDescent="0.3">
      <c r="A1512" t="str">
        <f>HYPERLINK("https://webapp.icbf.com/v2/app/bull-search/view/345642413","CXT")</f>
        <v>CXT</v>
      </c>
      <c r="B1512" t="s">
        <v>15431</v>
      </c>
      <c r="C1512" t="s">
        <v>15432</v>
      </c>
      <c r="D1512" s="1">
        <v>38038</v>
      </c>
      <c r="E1512" t="s">
        <v>92</v>
      </c>
      <c r="F1512">
        <v>91</v>
      </c>
      <c r="G1512" t="s">
        <v>93</v>
      </c>
      <c r="H1512">
        <v>105.9</v>
      </c>
      <c r="I1512">
        <v>88</v>
      </c>
      <c r="J1512">
        <v>88.22</v>
      </c>
      <c r="K1512">
        <v>97</v>
      </c>
      <c r="L1512">
        <v>7.84</v>
      </c>
      <c r="M1512">
        <v>79</v>
      </c>
      <c r="N1512">
        <v>25.51</v>
      </c>
      <c r="O1512">
        <v>87</v>
      </c>
      <c r="P1512">
        <v>-11.83</v>
      </c>
      <c r="Q1512">
        <v>92</v>
      </c>
      <c r="R1512">
        <v>-9.73</v>
      </c>
      <c r="S1512">
        <v>82</v>
      </c>
      <c r="T1512">
        <v>11.38</v>
      </c>
      <c r="U1512">
        <v>89</v>
      </c>
      <c r="V1512">
        <v>-5.49</v>
      </c>
      <c r="W1512">
        <v>80</v>
      </c>
      <c r="X1512" t="s">
        <v>94</v>
      </c>
      <c r="Y1512" t="s">
        <v>228</v>
      </c>
      <c r="Z1512" t="s">
        <v>96</v>
      </c>
      <c r="AA1512" t="s">
        <v>1436</v>
      </c>
      <c r="AB1512" t="s">
        <v>15433</v>
      </c>
      <c r="AC1512">
        <v>85</v>
      </c>
      <c r="AD1512">
        <v>46</v>
      </c>
      <c r="AE1512">
        <v>97</v>
      </c>
      <c r="AF1512">
        <v>269.02999999999997</v>
      </c>
      <c r="AG1512">
        <v>12.44</v>
      </c>
      <c r="AH1512">
        <v>14.72</v>
      </c>
      <c r="AI1512">
        <v>0.03</v>
      </c>
      <c r="AJ1512">
        <v>0.09</v>
      </c>
      <c r="AK1512">
        <v>79</v>
      </c>
      <c r="AL1512">
        <v>99</v>
      </c>
      <c r="AM1512">
        <v>50</v>
      </c>
      <c r="AN1512">
        <v>-0.86</v>
      </c>
      <c r="AO1512">
        <v>-0.24</v>
      </c>
      <c r="AP1512">
        <v>218</v>
      </c>
      <c r="AQ1512">
        <v>1</v>
      </c>
      <c r="AR1512">
        <v>6.47</v>
      </c>
      <c r="AS1512">
        <v>82</v>
      </c>
      <c r="AT1512">
        <v>2.25</v>
      </c>
      <c r="AU1512">
        <v>88</v>
      </c>
      <c r="AV1512">
        <v>-2.87</v>
      </c>
      <c r="AW1512">
        <v>96</v>
      </c>
      <c r="AX1512">
        <v>0.47</v>
      </c>
      <c r="AY1512">
        <v>83</v>
      </c>
      <c r="AZ1512">
        <v>7.99</v>
      </c>
      <c r="BA1512">
        <v>66</v>
      </c>
      <c r="BB1512">
        <v>5.62</v>
      </c>
      <c r="BC1512">
        <v>71</v>
      </c>
      <c r="BD1512">
        <v>7.0000000000000007E-2</v>
      </c>
      <c r="BE1512">
        <v>0.03</v>
      </c>
      <c r="BF1512">
        <v>0.05</v>
      </c>
      <c r="BG1512">
        <v>89</v>
      </c>
      <c r="BH1512">
        <v>-0.28999999999999998</v>
      </c>
      <c r="BI1512">
        <v>-15.83</v>
      </c>
      <c r="BJ1512">
        <v>31</v>
      </c>
      <c r="BK1512">
        <v>24</v>
      </c>
      <c r="BL1512">
        <v>-1.0900000000000001</v>
      </c>
      <c r="BM1512">
        <v>0.75</v>
      </c>
      <c r="BN1512">
        <v>-0.18</v>
      </c>
      <c r="BO1512">
        <v>-0.54</v>
      </c>
      <c r="BP1512">
        <v>-2.09</v>
      </c>
      <c r="BQ1512">
        <v>-0.99</v>
      </c>
      <c r="BR1512">
        <v>0.77</v>
      </c>
      <c r="BS1512">
        <v>-2.2599999999999998</v>
      </c>
      <c r="BT1512">
        <v>-0.31</v>
      </c>
      <c r="BU1512">
        <v>-1.69</v>
      </c>
      <c r="BV1512">
        <v>-1.38</v>
      </c>
      <c r="BW1512">
        <v>-1.25</v>
      </c>
      <c r="BX1512">
        <v>-2</v>
      </c>
      <c r="BY1512">
        <v>-0.55000000000000004</v>
      </c>
      <c r="BZ1512">
        <v>0.52</v>
      </c>
      <c r="CA1512">
        <v>-1.79</v>
      </c>
      <c r="CB1512">
        <v>-1.44</v>
      </c>
      <c r="CC1512">
        <v>-1.79</v>
      </c>
      <c r="CD1512">
        <v>0.41</v>
      </c>
      <c r="CE1512">
        <v>0.06</v>
      </c>
      <c r="CF1512">
        <v>-0.62</v>
      </c>
      <c r="CG1512">
        <v>0</v>
      </c>
      <c r="CH1512">
        <v>-0.52</v>
      </c>
      <c r="CI1512">
        <v>0</v>
      </c>
      <c r="CJ1512">
        <v>-4.2</v>
      </c>
      <c r="CK1512">
        <v>93</v>
      </c>
      <c r="CL1512">
        <v>-0.5</v>
      </c>
      <c r="CM1512">
        <v>91</v>
      </c>
      <c r="CN1512">
        <v>-0.06</v>
      </c>
      <c r="CO1512">
        <v>90</v>
      </c>
      <c r="CP1512">
        <v>-10.5</v>
      </c>
      <c r="CQ1512">
        <v>90</v>
      </c>
      <c r="CR1512">
        <v>0</v>
      </c>
      <c r="CS1512">
        <v>0</v>
      </c>
      <c r="CT1512">
        <v>-1.6</v>
      </c>
      <c r="CU1512">
        <v>89</v>
      </c>
      <c r="CV1512">
        <v>0.04</v>
      </c>
      <c r="CW1512">
        <v>44</v>
      </c>
      <c r="CX1512" t="s">
        <v>11676</v>
      </c>
    </row>
    <row r="1513" spans="1:102" x14ac:dyDescent="0.3">
      <c r="A1513" t="str">
        <f>HYPERLINK("https://webapp.icbf.com/v2/app/bull-search/view/440179952","WKP")</f>
        <v>WKP</v>
      </c>
      <c r="B1513" t="s">
        <v>6713</v>
      </c>
      <c r="C1513" t="s">
        <v>3026</v>
      </c>
      <c r="D1513" s="1">
        <v>36730</v>
      </c>
      <c r="E1513" t="s">
        <v>92</v>
      </c>
      <c r="F1513">
        <v>81</v>
      </c>
      <c r="G1513" t="s">
        <v>93</v>
      </c>
      <c r="H1513">
        <v>105.89</v>
      </c>
      <c r="I1513">
        <v>97</v>
      </c>
      <c r="J1513">
        <v>54.58</v>
      </c>
      <c r="K1513">
        <v>99</v>
      </c>
      <c r="L1513">
        <v>25.33</v>
      </c>
      <c r="M1513">
        <v>94</v>
      </c>
      <c r="N1513">
        <v>17.73</v>
      </c>
      <c r="O1513">
        <v>98</v>
      </c>
      <c r="P1513">
        <v>-9.68</v>
      </c>
      <c r="Q1513">
        <v>99</v>
      </c>
      <c r="R1513">
        <v>-0.67</v>
      </c>
      <c r="S1513">
        <v>96</v>
      </c>
      <c r="T1513">
        <v>19.89</v>
      </c>
      <c r="U1513">
        <v>99</v>
      </c>
      <c r="V1513">
        <v>-1.29</v>
      </c>
      <c r="W1513">
        <v>98</v>
      </c>
      <c r="X1513" t="s">
        <v>302</v>
      </c>
      <c r="Y1513" t="s">
        <v>95</v>
      </c>
      <c r="Z1513" t="s">
        <v>96</v>
      </c>
      <c r="AA1513" t="s">
        <v>4806</v>
      </c>
      <c r="AB1513" t="s">
        <v>6714</v>
      </c>
      <c r="AC1513">
        <v>1137</v>
      </c>
      <c r="AD1513">
        <v>386</v>
      </c>
      <c r="AE1513">
        <v>99</v>
      </c>
      <c r="AF1513">
        <v>111.58</v>
      </c>
      <c r="AG1513">
        <v>6.02</v>
      </c>
      <c r="AH1513">
        <v>8.86</v>
      </c>
      <c r="AI1513">
        <v>0.03</v>
      </c>
      <c r="AJ1513">
        <v>0.09</v>
      </c>
      <c r="AK1513">
        <v>94</v>
      </c>
      <c r="AL1513">
        <v>1234</v>
      </c>
      <c r="AM1513">
        <v>430</v>
      </c>
      <c r="AN1513">
        <v>-1.36</v>
      </c>
      <c r="AO1513">
        <v>0.66</v>
      </c>
      <c r="AP1513">
        <v>2133</v>
      </c>
      <c r="AQ1513">
        <v>10</v>
      </c>
      <c r="AR1513">
        <v>7.91</v>
      </c>
      <c r="AS1513">
        <v>97</v>
      </c>
      <c r="AT1513">
        <v>2.78</v>
      </c>
      <c r="AU1513">
        <v>98</v>
      </c>
      <c r="AV1513">
        <v>-1.83</v>
      </c>
      <c r="AW1513">
        <v>99</v>
      </c>
      <c r="AX1513">
        <v>0.27</v>
      </c>
      <c r="AY1513">
        <v>98</v>
      </c>
      <c r="AZ1513">
        <v>5.71</v>
      </c>
      <c r="BA1513">
        <v>94</v>
      </c>
      <c r="BB1513">
        <v>4.8600000000000003</v>
      </c>
      <c r="BC1513">
        <v>95</v>
      </c>
      <c r="BD1513">
        <v>0.02</v>
      </c>
      <c r="BE1513">
        <v>-0.02</v>
      </c>
      <c r="BF1513">
        <v>0.02</v>
      </c>
      <c r="BG1513">
        <v>98</v>
      </c>
      <c r="BH1513">
        <v>0.11</v>
      </c>
      <c r="BI1513">
        <v>16.87</v>
      </c>
      <c r="BJ1513">
        <v>18</v>
      </c>
      <c r="BK1513">
        <v>13</v>
      </c>
      <c r="BL1513">
        <v>-1.06</v>
      </c>
      <c r="BM1513">
        <v>7.0000000000000007E-2</v>
      </c>
      <c r="BN1513">
        <v>-1.29</v>
      </c>
      <c r="BO1513">
        <v>-0.88</v>
      </c>
      <c r="BP1513">
        <v>-2.23</v>
      </c>
      <c r="BQ1513">
        <v>0.41</v>
      </c>
      <c r="BR1513">
        <v>0.32</v>
      </c>
      <c r="BS1513">
        <v>-1.1599999999999999</v>
      </c>
      <c r="BT1513">
        <v>-1.54</v>
      </c>
      <c r="BU1513">
        <v>-0.28000000000000003</v>
      </c>
      <c r="BV1513">
        <v>-0.88</v>
      </c>
      <c r="BW1513">
        <v>-0.87</v>
      </c>
      <c r="BX1513">
        <v>-0.33</v>
      </c>
      <c r="BY1513">
        <v>0.79</v>
      </c>
      <c r="BZ1513">
        <v>-1.4</v>
      </c>
      <c r="CA1513">
        <v>-0.47</v>
      </c>
      <c r="CB1513">
        <v>-0.54</v>
      </c>
      <c r="CC1513">
        <v>-0.81</v>
      </c>
      <c r="CD1513">
        <v>0.39</v>
      </c>
      <c r="CE1513">
        <v>-0.79</v>
      </c>
      <c r="CF1513">
        <v>-0.98</v>
      </c>
      <c r="CG1513">
        <v>0</v>
      </c>
      <c r="CH1513">
        <v>0.09</v>
      </c>
      <c r="CI1513">
        <v>0</v>
      </c>
      <c r="CJ1513">
        <v>-2.7</v>
      </c>
      <c r="CK1513">
        <v>99</v>
      </c>
      <c r="CL1513">
        <v>-0.56999999999999995</v>
      </c>
      <c r="CM1513">
        <v>99</v>
      </c>
      <c r="CN1513">
        <v>-0.14000000000000001</v>
      </c>
      <c r="CO1513">
        <v>99</v>
      </c>
      <c r="CP1513">
        <v>-11.4</v>
      </c>
      <c r="CQ1513">
        <v>99</v>
      </c>
      <c r="CR1513">
        <v>0</v>
      </c>
      <c r="CS1513">
        <v>0</v>
      </c>
      <c r="CT1513">
        <v>-13.1</v>
      </c>
      <c r="CU1513">
        <v>99</v>
      </c>
      <c r="CV1513">
        <v>0.12</v>
      </c>
      <c r="CW1513">
        <v>47</v>
      </c>
      <c r="CX1513" t="s">
        <v>1625</v>
      </c>
    </row>
    <row r="1514" spans="1:102" x14ac:dyDescent="0.3">
      <c r="A1514" t="str">
        <f>HYPERLINK("https://webapp.icbf.com/v2/app/bull-search/view/77855464","LYE")</f>
        <v>LYE</v>
      </c>
      <c r="B1514" t="s">
        <v>10349</v>
      </c>
      <c r="C1514" t="s">
        <v>1035</v>
      </c>
      <c r="D1514" s="1">
        <v>33801</v>
      </c>
      <c r="E1514" t="s">
        <v>108</v>
      </c>
      <c r="F1514">
        <v>25</v>
      </c>
      <c r="G1514" t="s">
        <v>93</v>
      </c>
      <c r="H1514">
        <v>105.85</v>
      </c>
      <c r="I1514">
        <v>97</v>
      </c>
      <c r="J1514">
        <v>11.99</v>
      </c>
      <c r="K1514">
        <v>99</v>
      </c>
      <c r="L1514">
        <v>75.3</v>
      </c>
      <c r="M1514">
        <v>95</v>
      </c>
      <c r="N1514">
        <v>-1.58</v>
      </c>
      <c r="O1514">
        <v>98</v>
      </c>
      <c r="P1514">
        <v>-13.52</v>
      </c>
      <c r="Q1514">
        <v>99</v>
      </c>
      <c r="R1514">
        <v>1.02</v>
      </c>
      <c r="S1514">
        <v>97</v>
      </c>
      <c r="T1514">
        <v>24.7</v>
      </c>
      <c r="U1514">
        <v>99</v>
      </c>
      <c r="V1514">
        <v>7.94</v>
      </c>
      <c r="W1514">
        <v>97</v>
      </c>
      <c r="X1514" t="s">
        <v>302</v>
      </c>
      <c r="Y1514" t="s">
        <v>95</v>
      </c>
      <c r="Z1514" t="s">
        <v>96</v>
      </c>
      <c r="AA1514" t="s">
        <v>4293</v>
      </c>
      <c r="AB1514" t="s">
        <v>10350</v>
      </c>
      <c r="AC1514">
        <v>1207</v>
      </c>
      <c r="AD1514">
        <v>289</v>
      </c>
      <c r="AE1514">
        <v>99</v>
      </c>
      <c r="AF1514">
        <v>-59.57</v>
      </c>
      <c r="AG1514">
        <v>2.82</v>
      </c>
      <c r="AH1514">
        <v>0.13</v>
      </c>
      <c r="AI1514">
        <v>0.09</v>
      </c>
      <c r="AJ1514">
        <v>0.04</v>
      </c>
      <c r="AK1514">
        <v>95</v>
      </c>
      <c r="AL1514">
        <v>1274</v>
      </c>
      <c r="AM1514">
        <v>302</v>
      </c>
      <c r="AN1514">
        <v>-3.7</v>
      </c>
      <c r="AO1514">
        <v>2.31</v>
      </c>
      <c r="AP1514">
        <v>1014</v>
      </c>
      <c r="AQ1514">
        <v>3</v>
      </c>
      <c r="AR1514">
        <v>9.69</v>
      </c>
      <c r="AS1514">
        <v>95</v>
      </c>
      <c r="AT1514">
        <v>3.26</v>
      </c>
      <c r="AU1514">
        <v>98</v>
      </c>
      <c r="AV1514">
        <v>-0.32</v>
      </c>
      <c r="AW1514">
        <v>99</v>
      </c>
      <c r="AX1514">
        <v>0.56999999999999995</v>
      </c>
      <c r="AY1514">
        <v>98</v>
      </c>
      <c r="AZ1514">
        <v>5.07</v>
      </c>
      <c r="BA1514">
        <v>95</v>
      </c>
      <c r="BB1514">
        <v>4.47</v>
      </c>
      <c r="BC1514">
        <v>96</v>
      </c>
      <c r="BD1514">
        <v>0.04</v>
      </c>
      <c r="BE1514">
        <v>0</v>
      </c>
      <c r="BF1514">
        <v>-0.09</v>
      </c>
      <c r="BG1514">
        <v>99</v>
      </c>
      <c r="BH1514">
        <v>0.17</v>
      </c>
      <c r="BI1514">
        <v>-5.95</v>
      </c>
      <c r="BJ1514">
        <v>56</v>
      </c>
      <c r="BK1514">
        <v>24</v>
      </c>
      <c r="BL1514">
        <v>-1.99</v>
      </c>
      <c r="BM1514">
        <v>1.05</v>
      </c>
      <c r="BN1514">
        <v>-1.74</v>
      </c>
      <c r="BO1514">
        <v>-2.1</v>
      </c>
      <c r="BP1514">
        <v>-2.92</v>
      </c>
      <c r="BQ1514">
        <v>-2.2999999999999998</v>
      </c>
      <c r="BR1514">
        <v>2.3199999999999998</v>
      </c>
      <c r="BS1514">
        <v>-1.84</v>
      </c>
      <c r="BT1514">
        <v>-2.37</v>
      </c>
      <c r="BU1514">
        <v>0.13</v>
      </c>
      <c r="BV1514">
        <v>-1.65</v>
      </c>
      <c r="BW1514">
        <v>-1.8</v>
      </c>
      <c r="BX1514">
        <v>-0.8</v>
      </c>
      <c r="BY1514">
        <v>-0.16</v>
      </c>
      <c r="BZ1514">
        <v>1.1000000000000001</v>
      </c>
      <c r="CA1514">
        <v>-2.0699999999999998</v>
      </c>
      <c r="CB1514">
        <v>-1.57</v>
      </c>
      <c r="CC1514">
        <v>-2.34</v>
      </c>
      <c r="CD1514">
        <v>1.17</v>
      </c>
      <c r="CE1514">
        <v>-2.5499999999999998</v>
      </c>
      <c r="CF1514">
        <v>-2.48</v>
      </c>
      <c r="CG1514">
        <v>0</v>
      </c>
      <c r="CH1514">
        <v>-0.28000000000000003</v>
      </c>
      <c r="CI1514">
        <v>0</v>
      </c>
      <c r="CJ1514">
        <v>-5.7</v>
      </c>
      <c r="CK1514">
        <v>99</v>
      </c>
      <c r="CL1514">
        <v>-0.54</v>
      </c>
      <c r="CM1514">
        <v>99</v>
      </c>
      <c r="CN1514">
        <v>-0.19</v>
      </c>
      <c r="CO1514">
        <v>99</v>
      </c>
      <c r="CP1514">
        <v>-15.4</v>
      </c>
      <c r="CQ1514">
        <v>99</v>
      </c>
      <c r="CR1514">
        <v>0</v>
      </c>
      <c r="CS1514">
        <v>0</v>
      </c>
      <c r="CT1514">
        <v>-19.600000000000001</v>
      </c>
      <c r="CU1514">
        <v>99</v>
      </c>
      <c r="CV1514">
        <v>0.13</v>
      </c>
      <c r="CW1514">
        <v>46</v>
      </c>
      <c r="CX1514" t="s">
        <v>4295</v>
      </c>
    </row>
    <row r="1515" spans="1:102" x14ac:dyDescent="0.3">
      <c r="A1515" t="str">
        <f>HYPERLINK("https://webapp.icbf.com/v2/app/bull-search/view/680665398","MXZ")</f>
        <v>MXZ</v>
      </c>
      <c r="B1515" t="s">
        <v>12731</v>
      </c>
      <c r="C1515" t="s">
        <v>12732</v>
      </c>
      <c r="D1515" s="1">
        <v>39912</v>
      </c>
      <c r="E1515" t="s">
        <v>92</v>
      </c>
      <c r="F1515">
        <v>100</v>
      </c>
      <c r="G1515" t="s">
        <v>93</v>
      </c>
      <c r="H1515">
        <v>105.62</v>
      </c>
      <c r="I1515">
        <v>97</v>
      </c>
      <c r="J1515">
        <v>39.61</v>
      </c>
      <c r="K1515">
        <v>99</v>
      </c>
      <c r="L1515">
        <v>26.06</v>
      </c>
      <c r="M1515">
        <v>95</v>
      </c>
      <c r="N1515">
        <v>41.04</v>
      </c>
      <c r="O1515">
        <v>98</v>
      </c>
      <c r="P1515">
        <v>-16.010000000000002</v>
      </c>
      <c r="Q1515">
        <v>99</v>
      </c>
      <c r="R1515">
        <v>9.9700000000000006</v>
      </c>
      <c r="S1515">
        <v>94</v>
      </c>
      <c r="T1515">
        <v>7.09</v>
      </c>
      <c r="U1515">
        <v>99</v>
      </c>
      <c r="V1515">
        <v>-2.14</v>
      </c>
      <c r="W1515">
        <v>86</v>
      </c>
      <c r="X1515" t="s">
        <v>94</v>
      </c>
      <c r="Y1515" t="s">
        <v>329</v>
      </c>
      <c r="Z1515" t="s">
        <v>96</v>
      </c>
      <c r="AA1515" t="s">
        <v>350</v>
      </c>
      <c r="AB1515" t="s">
        <v>12733</v>
      </c>
      <c r="AC1515">
        <v>2243</v>
      </c>
      <c r="AD1515">
        <v>765</v>
      </c>
      <c r="AE1515">
        <v>99</v>
      </c>
      <c r="AF1515">
        <v>316.89999999999998</v>
      </c>
      <c r="AG1515">
        <v>3.95</v>
      </c>
      <c r="AH1515">
        <v>10.19</v>
      </c>
      <c r="AI1515">
        <v>-0.14000000000000001</v>
      </c>
      <c r="AJ1515">
        <v>-0.01</v>
      </c>
      <c r="AK1515">
        <v>95</v>
      </c>
      <c r="AL1515">
        <v>2567</v>
      </c>
      <c r="AM1515">
        <v>935</v>
      </c>
      <c r="AN1515">
        <v>-1.26</v>
      </c>
      <c r="AO1515">
        <v>0.82</v>
      </c>
      <c r="AP1515">
        <v>3885</v>
      </c>
      <c r="AQ1515">
        <v>24</v>
      </c>
      <c r="AR1515">
        <v>5.51</v>
      </c>
      <c r="AS1515">
        <v>98</v>
      </c>
      <c r="AT1515">
        <v>2.46</v>
      </c>
      <c r="AU1515">
        <v>99</v>
      </c>
      <c r="AV1515">
        <v>-3.28</v>
      </c>
      <c r="AW1515">
        <v>99</v>
      </c>
      <c r="AX1515">
        <v>-0.11</v>
      </c>
      <c r="AY1515">
        <v>99</v>
      </c>
      <c r="AZ1515">
        <v>5.22</v>
      </c>
      <c r="BA1515">
        <v>96</v>
      </c>
      <c r="BB1515">
        <v>4.41</v>
      </c>
      <c r="BC1515">
        <v>95</v>
      </c>
      <c r="BD1515">
        <v>-0.02</v>
      </c>
      <c r="BE1515">
        <v>-0.04</v>
      </c>
      <c r="BF1515">
        <v>-0.12</v>
      </c>
      <c r="BG1515">
        <v>99</v>
      </c>
      <c r="BH1515">
        <v>0.16</v>
      </c>
      <c r="BI1515">
        <v>25.42</v>
      </c>
      <c r="BJ1515">
        <v>394</v>
      </c>
      <c r="BK1515">
        <v>138</v>
      </c>
      <c r="BL1515">
        <v>1.31</v>
      </c>
      <c r="BM1515">
        <v>-2.89</v>
      </c>
      <c r="BN1515">
        <v>-1.59</v>
      </c>
      <c r="BO1515">
        <v>0.54</v>
      </c>
      <c r="BP1515">
        <v>2.72</v>
      </c>
      <c r="BQ1515">
        <v>-0.56999999999999995</v>
      </c>
      <c r="BR1515">
        <v>0.38</v>
      </c>
      <c r="BS1515">
        <v>0.04</v>
      </c>
      <c r="BT1515">
        <v>-0.59</v>
      </c>
      <c r="BU1515">
        <v>0.42</v>
      </c>
      <c r="BV1515">
        <v>0.92</v>
      </c>
      <c r="BW1515">
        <v>2.36</v>
      </c>
      <c r="BX1515">
        <v>2.06</v>
      </c>
      <c r="BY1515">
        <v>-0.05</v>
      </c>
      <c r="BZ1515">
        <v>-1.1399999999999999</v>
      </c>
      <c r="CA1515">
        <v>0.49</v>
      </c>
      <c r="CB1515">
        <v>0.46</v>
      </c>
      <c r="CC1515">
        <v>0.08</v>
      </c>
      <c r="CD1515">
        <v>-1.56</v>
      </c>
      <c r="CE1515">
        <v>0.37</v>
      </c>
      <c r="CF1515">
        <v>-0.11</v>
      </c>
      <c r="CG1515">
        <v>0</v>
      </c>
      <c r="CH1515">
        <v>0.1</v>
      </c>
      <c r="CI1515">
        <v>0</v>
      </c>
      <c r="CJ1515">
        <v>-5.3</v>
      </c>
      <c r="CK1515">
        <v>99</v>
      </c>
      <c r="CL1515">
        <v>-1.38</v>
      </c>
      <c r="CM1515">
        <v>99</v>
      </c>
      <c r="CN1515">
        <v>-0.49</v>
      </c>
      <c r="CO1515">
        <v>99</v>
      </c>
      <c r="CP1515">
        <v>-1.3</v>
      </c>
      <c r="CQ1515">
        <v>99</v>
      </c>
      <c r="CR1515">
        <v>0</v>
      </c>
      <c r="CS1515">
        <v>0</v>
      </c>
      <c r="CT1515">
        <v>4.2</v>
      </c>
      <c r="CU1515">
        <v>99</v>
      </c>
      <c r="CV1515">
        <v>0.17</v>
      </c>
      <c r="CW1515">
        <v>46</v>
      </c>
      <c r="CX1515" t="s">
        <v>311</v>
      </c>
    </row>
    <row r="1516" spans="1:102" x14ac:dyDescent="0.3">
      <c r="A1516" t="str">
        <f>HYPERLINK("https://webapp.icbf.com/v2/app/bull-search/view/394979327","BYJ")</f>
        <v>BYJ</v>
      </c>
      <c r="B1516" t="s">
        <v>15045</v>
      </c>
      <c r="C1516" t="s">
        <v>13629</v>
      </c>
      <c r="D1516" s="1">
        <v>38399</v>
      </c>
      <c r="E1516" t="s">
        <v>92</v>
      </c>
      <c r="F1516">
        <v>97</v>
      </c>
      <c r="G1516" t="s">
        <v>93</v>
      </c>
      <c r="H1516">
        <v>105.49</v>
      </c>
      <c r="I1516">
        <v>99</v>
      </c>
      <c r="J1516">
        <v>56.81</v>
      </c>
      <c r="K1516">
        <v>99</v>
      </c>
      <c r="L1516">
        <v>6.59</v>
      </c>
      <c r="M1516">
        <v>99</v>
      </c>
      <c r="N1516">
        <v>26.8</v>
      </c>
      <c r="O1516">
        <v>99</v>
      </c>
      <c r="P1516">
        <v>-15.56</v>
      </c>
      <c r="Q1516">
        <v>99</v>
      </c>
      <c r="R1516">
        <v>9.2899999999999991</v>
      </c>
      <c r="S1516">
        <v>99</v>
      </c>
      <c r="T1516">
        <v>17.45</v>
      </c>
      <c r="U1516">
        <v>99</v>
      </c>
      <c r="V1516">
        <v>4.1100000000000003</v>
      </c>
      <c r="W1516">
        <v>99</v>
      </c>
      <c r="X1516" t="s">
        <v>94</v>
      </c>
      <c r="Y1516" t="s">
        <v>1164</v>
      </c>
      <c r="Z1516" t="s">
        <v>96</v>
      </c>
      <c r="AA1516" t="s">
        <v>316</v>
      </c>
      <c r="AB1516" t="s">
        <v>12356</v>
      </c>
      <c r="AC1516">
        <v>14181</v>
      </c>
      <c r="AD1516">
        <v>3548</v>
      </c>
      <c r="AE1516">
        <v>99</v>
      </c>
      <c r="AF1516">
        <v>121.02</v>
      </c>
      <c r="AG1516">
        <v>13.58</v>
      </c>
      <c r="AH1516">
        <v>6.71</v>
      </c>
      <c r="AI1516">
        <v>0.15</v>
      </c>
      <c r="AJ1516">
        <v>0.04</v>
      </c>
      <c r="AK1516">
        <v>99</v>
      </c>
      <c r="AL1516">
        <v>16683</v>
      </c>
      <c r="AM1516">
        <v>4838</v>
      </c>
      <c r="AN1516">
        <v>-0.78</v>
      </c>
      <c r="AO1516">
        <v>-0.26</v>
      </c>
      <c r="AP1516">
        <v>26673</v>
      </c>
      <c r="AQ1516">
        <v>185</v>
      </c>
      <c r="AR1516">
        <v>4.46</v>
      </c>
      <c r="AS1516">
        <v>99</v>
      </c>
      <c r="AT1516">
        <v>1.87</v>
      </c>
      <c r="AU1516">
        <v>99</v>
      </c>
      <c r="AV1516">
        <v>-2.35</v>
      </c>
      <c r="AW1516">
        <v>99</v>
      </c>
      <c r="AX1516">
        <v>-0.67</v>
      </c>
      <c r="AY1516">
        <v>99</v>
      </c>
      <c r="AZ1516">
        <v>8.5500000000000007</v>
      </c>
      <c r="BA1516">
        <v>99</v>
      </c>
      <c r="BB1516">
        <v>6.13</v>
      </c>
      <c r="BC1516">
        <v>99</v>
      </c>
      <c r="BD1516">
        <v>-7.0000000000000007E-2</v>
      </c>
      <c r="BE1516">
        <v>-0.03</v>
      </c>
      <c r="BF1516">
        <v>-0.04</v>
      </c>
      <c r="BG1516">
        <v>99</v>
      </c>
      <c r="BH1516">
        <v>0.12</v>
      </c>
      <c r="BI1516">
        <v>0.63</v>
      </c>
      <c r="BJ1516">
        <v>470</v>
      </c>
      <c r="BK1516">
        <v>184</v>
      </c>
      <c r="BL1516">
        <v>-1.07</v>
      </c>
      <c r="BM1516">
        <v>0.74</v>
      </c>
      <c r="BN1516">
        <v>-0.35</v>
      </c>
      <c r="BO1516">
        <v>-0.93</v>
      </c>
      <c r="BP1516">
        <v>-0.01</v>
      </c>
      <c r="BQ1516">
        <v>-1.94</v>
      </c>
      <c r="BR1516">
        <v>-0.45</v>
      </c>
      <c r="BS1516">
        <v>-1.33</v>
      </c>
      <c r="BT1516">
        <v>-0.78</v>
      </c>
      <c r="BU1516">
        <v>0.51</v>
      </c>
      <c r="BV1516">
        <v>-0.42</v>
      </c>
      <c r="BW1516">
        <v>-1.92</v>
      </c>
      <c r="BX1516">
        <v>-0.5</v>
      </c>
      <c r="BY1516">
        <v>0.02</v>
      </c>
      <c r="BZ1516">
        <v>-0.42</v>
      </c>
      <c r="CA1516">
        <v>-1.1299999999999999</v>
      </c>
      <c r="CB1516">
        <v>-0.62</v>
      </c>
      <c r="CC1516">
        <v>-1.65</v>
      </c>
      <c r="CD1516">
        <v>0.78</v>
      </c>
      <c r="CE1516">
        <v>-0.82</v>
      </c>
      <c r="CF1516">
        <v>-1.37</v>
      </c>
      <c r="CG1516">
        <v>0</v>
      </c>
      <c r="CH1516">
        <v>0.05</v>
      </c>
      <c r="CI1516">
        <v>0</v>
      </c>
      <c r="CJ1516">
        <v>-5.2</v>
      </c>
      <c r="CK1516">
        <v>99</v>
      </c>
      <c r="CL1516">
        <v>-0.76</v>
      </c>
      <c r="CM1516">
        <v>99</v>
      </c>
      <c r="CN1516">
        <v>-0.09</v>
      </c>
      <c r="CO1516">
        <v>99</v>
      </c>
      <c r="CP1516">
        <v>-10.6</v>
      </c>
      <c r="CQ1516">
        <v>99</v>
      </c>
      <c r="CR1516">
        <v>0</v>
      </c>
      <c r="CS1516">
        <v>0</v>
      </c>
      <c r="CT1516">
        <v>-9.8000000000000007</v>
      </c>
      <c r="CU1516">
        <v>99</v>
      </c>
      <c r="CV1516">
        <v>0.13</v>
      </c>
      <c r="CW1516">
        <v>55</v>
      </c>
      <c r="CX1516" t="s">
        <v>2932</v>
      </c>
    </row>
    <row r="1517" spans="1:102" x14ac:dyDescent="0.3">
      <c r="A1517" t="str">
        <f>HYPERLINK("https://webapp.icbf.com/v2/app/bull-search/view/1103129985","S1610")</f>
        <v>S1610</v>
      </c>
      <c r="B1517" t="s">
        <v>14197</v>
      </c>
      <c r="C1517" t="s">
        <v>14198</v>
      </c>
      <c r="D1517" s="1">
        <v>41008</v>
      </c>
      <c r="E1517" t="s">
        <v>92</v>
      </c>
      <c r="F1517">
        <v>100</v>
      </c>
      <c r="G1517" t="s">
        <v>109</v>
      </c>
      <c r="H1517">
        <v>105.39</v>
      </c>
      <c r="I1517">
        <v>76</v>
      </c>
      <c r="J1517">
        <v>21.46</v>
      </c>
      <c r="K1517">
        <v>91</v>
      </c>
      <c r="L1517">
        <v>25.63</v>
      </c>
      <c r="M1517">
        <v>79</v>
      </c>
      <c r="N1517">
        <v>49.53</v>
      </c>
      <c r="O1517">
        <v>61</v>
      </c>
      <c r="P1517">
        <v>-2.85</v>
      </c>
      <c r="Q1517">
        <v>59</v>
      </c>
      <c r="R1517">
        <v>15.54</v>
      </c>
      <c r="S1517">
        <v>72</v>
      </c>
      <c r="T1517">
        <v>-8.23</v>
      </c>
      <c r="U1517">
        <v>45</v>
      </c>
      <c r="V1517">
        <v>4.3099999999999996</v>
      </c>
      <c r="W1517">
        <v>56</v>
      </c>
      <c r="X1517" t="s">
        <v>251</v>
      </c>
      <c r="Y1517" t="s">
        <v>362</v>
      </c>
      <c r="Z1517" t="s">
        <v>96</v>
      </c>
      <c r="AA1517" t="s">
        <v>2269</v>
      </c>
      <c r="AB1517" t="s">
        <v>14199</v>
      </c>
      <c r="AC1517">
        <v>0</v>
      </c>
      <c r="AD1517">
        <v>0</v>
      </c>
      <c r="AE1517">
        <v>91</v>
      </c>
      <c r="AF1517">
        <v>249.95</v>
      </c>
      <c r="AG1517">
        <v>7.59</v>
      </c>
      <c r="AH1517">
        <v>4.79</v>
      </c>
      <c r="AI1517">
        <v>-0.04</v>
      </c>
      <c r="AJ1517">
        <v>-0.06</v>
      </c>
      <c r="AK1517">
        <v>79</v>
      </c>
      <c r="AL1517">
        <v>0</v>
      </c>
      <c r="AM1517">
        <v>0</v>
      </c>
      <c r="AN1517">
        <v>-0.15</v>
      </c>
      <c r="AO1517">
        <v>1.91</v>
      </c>
      <c r="AP1517">
        <v>8</v>
      </c>
      <c r="AQ1517">
        <v>0</v>
      </c>
      <c r="AR1517">
        <v>7.85</v>
      </c>
      <c r="AS1517">
        <v>56</v>
      </c>
      <c r="AT1517">
        <v>1.94</v>
      </c>
      <c r="AU1517">
        <v>78</v>
      </c>
      <c r="AV1517">
        <v>-4.66</v>
      </c>
      <c r="AW1517">
        <v>62</v>
      </c>
      <c r="AX1517">
        <v>-0.21</v>
      </c>
      <c r="AY1517">
        <v>51</v>
      </c>
      <c r="AZ1517">
        <v>5.24</v>
      </c>
      <c r="BA1517">
        <v>42</v>
      </c>
      <c r="BB1517">
        <v>4.72</v>
      </c>
      <c r="BC1517">
        <v>40</v>
      </c>
      <c r="BD1517">
        <v>-0.08</v>
      </c>
      <c r="BE1517">
        <v>-0.06</v>
      </c>
      <c r="BF1517">
        <v>-0.11</v>
      </c>
      <c r="BG1517">
        <v>88</v>
      </c>
      <c r="BH1517">
        <v>-0.01</v>
      </c>
      <c r="BI1517">
        <v>-15.07</v>
      </c>
      <c r="BJ1517">
        <v>5</v>
      </c>
      <c r="BK1517">
        <v>3</v>
      </c>
      <c r="BL1517">
        <v>0.5</v>
      </c>
      <c r="BM1517">
        <v>-0.59</v>
      </c>
      <c r="BN1517">
        <v>-0.61</v>
      </c>
      <c r="BO1517">
        <v>0.48</v>
      </c>
      <c r="BP1517">
        <v>-0.99</v>
      </c>
      <c r="BQ1517">
        <v>0.73</v>
      </c>
      <c r="BR1517">
        <v>-1.83</v>
      </c>
      <c r="BS1517">
        <v>0.3</v>
      </c>
      <c r="BT1517">
        <v>2.1800000000000002</v>
      </c>
      <c r="BU1517">
        <v>4.1900000000000004</v>
      </c>
      <c r="BV1517">
        <v>2.8</v>
      </c>
      <c r="BW1517">
        <v>1.96</v>
      </c>
      <c r="BX1517">
        <v>3.62</v>
      </c>
      <c r="BY1517">
        <v>2.4500000000000002</v>
      </c>
      <c r="BZ1517">
        <v>-0.55000000000000004</v>
      </c>
      <c r="CA1517">
        <v>2.57</v>
      </c>
      <c r="CB1517">
        <v>2.72</v>
      </c>
      <c r="CC1517">
        <v>1.18</v>
      </c>
      <c r="CD1517">
        <v>0.1</v>
      </c>
      <c r="CE1517">
        <v>1.08</v>
      </c>
      <c r="CF1517">
        <v>1.1000000000000001</v>
      </c>
      <c r="CG1517">
        <v>0</v>
      </c>
      <c r="CH1517">
        <v>1.96</v>
      </c>
      <c r="CI1517">
        <v>0</v>
      </c>
      <c r="CJ1517">
        <v>1.2</v>
      </c>
      <c r="CK1517">
        <v>61</v>
      </c>
      <c r="CL1517">
        <v>-1.22</v>
      </c>
      <c r="CM1517">
        <v>58</v>
      </c>
      <c r="CN1517">
        <v>-0.63</v>
      </c>
      <c r="CO1517">
        <v>57</v>
      </c>
      <c r="CP1517">
        <v>4.7</v>
      </c>
      <c r="CQ1517">
        <v>49</v>
      </c>
      <c r="CR1517">
        <v>0</v>
      </c>
      <c r="CS1517">
        <v>0</v>
      </c>
      <c r="CT1517">
        <v>24.9</v>
      </c>
      <c r="CU1517">
        <v>45</v>
      </c>
      <c r="CV1517">
        <v>0.22</v>
      </c>
      <c r="CW1517">
        <v>37</v>
      </c>
      <c r="CX1517" t="s">
        <v>9253</v>
      </c>
    </row>
    <row r="1518" spans="1:102" x14ac:dyDescent="0.3">
      <c r="A1518" t="str">
        <f>HYPERLINK("https://webapp.icbf.com/v2/app/bull-search/view/910546165","S1176")</f>
        <v>S1176</v>
      </c>
      <c r="B1518" t="s">
        <v>12951</v>
      </c>
      <c r="C1518" t="s">
        <v>12952</v>
      </c>
      <c r="D1518" s="1">
        <v>40217</v>
      </c>
      <c r="E1518" t="s">
        <v>92</v>
      </c>
      <c r="F1518">
        <v>100</v>
      </c>
      <c r="G1518" t="s">
        <v>109</v>
      </c>
      <c r="H1518">
        <v>105.38</v>
      </c>
      <c r="I1518">
        <v>82</v>
      </c>
      <c r="J1518">
        <v>64.95</v>
      </c>
      <c r="K1518">
        <v>93</v>
      </c>
      <c r="L1518">
        <v>26.9</v>
      </c>
      <c r="M1518">
        <v>81</v>
      </c>
      <c r="N1518">
        <v>8.94</v>
      </c>
      <c r="O1518">
        <v>75</v>
      </c>
      <c r="P1518">
        <v>-21.46</v>
      </c>
      <c r="Q1518">
        <v>79</v>
      </c>
      <c r="R1518">
        <v>11.77</v>
      </c>
      <c r="S1518">
        <v>74</v>
      </c>
      <c r="T1518">
        <v>10.35</v>
      </c>
      <c r="U1518">
        <v>65</v>
      </c>
      <c r="V1518">
        <v>3.93</v>
      </c>
      <c r="W1518">
        <v>64</v>
      </c>
      <c r="X1518" t="s">
        <v>94</v>
      </c>
      <c r="Y1518" t="s">
        <v>336</v>
      </c>
      <c r="Z1518" t="s">
        <v>96</v>
      </c>
      <c r="AA1518" t="s">
        <v>12127</v>
      </c>
      <c r="AB1518" t="s">
        <v>12953</v>
      </c>
      <c r="AC1518">
        <v>23</v>
      </c>
      <c r="AD1518">
        <v>14</v>
      </c>
      <c r="AE1518">
        <v>93</v>
      </c>
      <c r="AF1518">
        <v>139.86000000000001</v>
      </c>
      <c r="AG1518">
        <v>13.39</v>
      </c>
      <c r="AH1518">
        <v>8.4499999999999993</v>
      </c>
      <c r="AI1518">
        <v>0.14000000000000001</v>
      </c>
      <c r="AJ1518">
        <v>0.06</v>
      </c>
      <c r="AK1518">
        <v>81</v>
      </c>
      <c r="AL1518">
        <v>27</v>
      </c>
      <c r="AM1518">
        <v>16</v>
      </c>
      <c r="AN1518">
        <v>-2.63</v>
      </c>
      <c r="AO1518">
        <v>-0.5</v>
      </c>
      <c r="AP1518">
        <v>67</v>
      </c>
      <c r="AQ1518">
        <v>1</v>
      </c>
      <c r="AR1518">
        <v>10.91</v>
      </c>
      <c r="AS1518">
        <v>67</v>
      </c>
      <c r="AT1518">
        <v>3.9</v>
      </c>
      <c r="AU1518">
        <v>83</v>
      </c>
      <c r="AV1518">
        <v>-2.75</v>
      </c>
      <c r="AW1518">
        <v>82</v>
      </c>
      <c r="AX1518">
        <v>-0.84</v>
      </c>
      <c r="AY1518">
        <v>66</v>
      </c>
      <c r="AZ1518">
        <v>5.58</v>
      </c>
      <c r="BA1518">
        <v>54</v>
      </c>
      <c r="BB1518">
        <v>4.75</v>
      </c>
      <c r="BC1518">
        <v>53</v>
      </c>
      <c r="BD1518">
        <v>-0.01</v>
      </c>
      <c r="BE1518">
        <v>-0.06</v>
      </c>
      <c r="BF1518">
        <v>-0.14000000000000001</v>
      </c>
      <c r="BG1518">
        <v>87</v>
      </c>
      <c r="BH1518">
        <v>0.08</v>
      </c>
      <c r="BI1518">
        <v>-3.41</v>
      </c>
      <c r="BJ1518">
        <v>14</v>
      </c>
      <c r="BK1518">
        <v>10</v>
      </c>
      <c r="BL1518">
        <v>1.1399999999999999</v>
      </c>
      <c r="BM1518">
        <v>-0.3</v>
      </c>
      <c r="BN1518">
        <v>0.79</v>
      </c>
      <c r="BO1518">
        <v>1.32</v>
      </c>
      <c r="BP1518">
        <v>0.16</v>
      </c>
      <c r="BQ1518">
        <v>-1.83</v>
      </c>
      <c r="BR1518">
        <v>-0.93</v>
      </c>
      <c r="BS1518">
        <v>0.47</v>
      </c>
      <c r="BT1518">
        <v>0.79</v>
      </c>
      <c r="BU1518">
        <v>1.0900000000000001</v>
      </c>
      <c r="BV1518">
        <v>2.0499999999999998</v>
      </c>
      <c r="BW1518">
        <v>1.73</v>
      </c>
      <c r="BX1518">
        <v>0.74</v>
      </c>
      <c r="BY1518">
        <v>1.64</v>
      </c>
      <c r="BZ1518">
        <v>1.04</v>
      </c>
      <c r="CA1518">
        <v>1.24</v>
      </c>
      <c r="CB1518">
        <v>1.5</v>
      </c>
      <c r="CC1518">
        <v>0.51</v>
      </c>
      <c r="CD1518">
        <v>-1.05</v>
      </c>
      <c r="CE1518">
        <v>0.73</v>
      </c>
      <c r="CF1518">
        <v>0.67</v>
      </c>
      <c r="CG1518">
        <v>0</v>
      </c>
      <c r="CH1518">
        <v>1.74</v>
      </c>
      <c r="CI1518">
        <v>0</v>
      </c>
      <c r="CJ1518">
        <v>-7.6</v>
      </c>
      <c r="CK1518">
        <v>81</v>
      </c>
      <c r="CL1518">
        <v>-1.48</v>
      </c>
      <c r="CM1518">
        <v>78</v>
      </c>
      <c r="CN1518">
        <v>-0.47</v>
      </c>
      <c r="CO1518">
        <v>76</v>
      </c>
      <c r="CP1518">
        <v>-8</v>
      </c>
      <c r="CQ1518">
        <v>70</v>
      </c>
      <c r="CR1518">
        <v>0</v>
      </c>
      <c r="CS1518">
        <v>0</v>
      </c>
      <c r="CT1518">
        <v>-0.2</v>
      </c>
      <c r="CU1518">
        <v>65</v>
      </c>
      <c r="CV1518">
        <v>0.19</v>
      </c>
      <c r="CW1518">
        <v>42</v>
      </c>
      <c r="CX1518" t="s">
        <v>348</v>
      </c>
    </row>
    <row r="1519" spans="1:102" x14ac:dyDescent="0.3">
      <c r="A1519" t="str">
        <f>HYPERLINK("https://webapp.icbf.com/v2/app/bull-search/view/1591818902","FR4423")</f>
        <v>FR4423</v>
      </c>
      <c r="B1519" t="s">
        <v>6319</v>
      </c>
      <c r="C1519" t="s">
        <v>6320</v>
      </c>
      <c r="D1519" s="1">
        <v>42678</v>
      </c>
      <c r="E1519" t="s">
        <v>108</v>
      </c>
      <c r="F1519">
        <v>0</v>
      </c>
      <c r="G1519" t="s">
        <v>435</v>
      </c>
      <c r="H1519">
        <v>105.37</v>
      </c>
      <c r="I1519">
        <v>56</v>
      </c>
      <c r="J1519">
        <v>-75.23</v>
      </c>
      <c r="K1519">
        <v>73</v>
      </c>
      <c r="L1519">
        <v>145.59</v>
      </c>
      <c r="M1519">
        <v>48</v>
      </c>
      <c r="N1519">
        <v>18.27</v>
      </c>
      <c r="O1519">
        <v>66</v>
      </c>
      <c r="P1519">
        <v>-3.3</v>
      </c>
      <c r="Q1519">
        <v>36</v>
      </c>
      <c r="R1519">
        <v>3.29</v>
      </c>
      <c r="S1519">
        <v>46</v>
      </c>
      <c r="T1519">
        <v>12.27</v>
      </c>
      <c r="U1519">
        <v>35</v>
      </c>
      <c r="V1519">
        <v>4.4800000000000004</v>
      </c>
      <c r="W1519">
        <v>40</v>
      </c>
      <c r="X1519" t="s">
        <v>102</v>
      </c>
      <c r="Y1519" t="s">
        <v>2261</v>
      </c>
      <c r="Z1519" t="s">
        <v>96</v>
      </c>
      <c r="AA1519" t="s">
        <v>6321</v>
      </c>
      <c r="AB1519" t="s">
        <v>6322</v>
      </c>
      <c r="AC1519">
        <v>0</v>
      </c>
      <c r="AD1519">
        <v>0</v>
      </c>
      <c r="AE1519">
        <v>73</v>
      </c>
      <c r="AF1519">
        <v>-290.54000000000002</v>
      </c>
      <c r="AG1519">
        <v>-10.55</v>
      </c>
      <c r="AH1519">
        <v>-13.51</v>
      </c>
      <c r="AI1519">
        <v>0.01</v>
      </c>
      <c r="AJ1519">
        <v>-0.06</v>
      </c>
      <c r="AK1519">
        <v>48</v>
      </c>
      <c r="AL1519">
        <v>0</v>
      </c>
      <c r="AM1519">
        <v>0</v>
      </c>
      <c r="AN1519">
        <v>-10.31</v>
      </c>
      <c r="AO1519">
        <v>1.27</v>
      </c>
      <c r="AP1519">
        <v>76</v>
      </c>
      <c r="AQ1519">
        <v>0</v>
      </c>
      <c r="AR1519">
        <v>7.34</v>
      </c>
      <c r="AS1519">
        <v>32</v>
      </c>
      <c r="AT1519">
        <v>2.56</v>
      </c>
      <c r="AU1519">
        <v>70</v>
      </c>
      <c r="AV1519">
        <v>-1.9</v>
      </c>
      <c r="AW1519">
        <v>88</v>
      </c>
      <c r="AX1519">
        <v>-0.5</v>
      </c>
      <c r="AY1519">
        <v>59</v>
      </c>
      <c r="AZ1519">
        <v>7.47</v>
      </c>
      <c r="BA1519">
        <v>24</v>
      </c>
      <c r="BB1519">
        <v>5.36</v>
      </c>
      <c r="BC1519">
        <v>25</v>
      </c>
      <c r="BD1519">
        <v>-0.01</v>
      </c>
      <c r="BE1519">
        <v>-0.01</v>
      </c>
      <c r="BF1519">
        <v>-0.04</v>
      </c>
      <c r="BG1519">
        <v>56</v>
      </c>
      <c r="BH1519">
        <v>0.01</v>
      </c>
      <c r="BI1519">
        <v>-13.31</v>
      </c>
      <c r="BJ1519">
        <v>0</v>
      </c>
      <c r="BK1519">
        <v>0</v>
      </c>
      <c r="BL1519">
        <v>-2.86</v>
      </c>
      <c r="BM1519">
        <v>2.58</v>
      </c>
      <c r="BN1519">
        <v>-1.51</v>
      </c>
      <c r="BO1519">
        <v>-2.89</v>
      </c>
      <c r="BP1519">
        <v>0.39</v>
      </c>
      <c r="BQ1519">
        <v>0.36</v>
      </c>
      <c r="BR1519">
        <v>-1.23</v>
      </c>
      <c r="BS1519">
        <v>0.62</v>
      </c>
      <c r="BT1519">
        <v>1.93</v>
      </c>
      <c r="BU1519">
        <v>-1.03</v>
      </c>
      <c r="BV1519">
        <v>-2.7</v>
      </c>
      <c r="BW1519">
        <v>-1.37</v>
      </c>
      <c r="BX1519">
        <v>-0.83</v>
      </c>
      <c r="BY1519">
        <v>-1.34</v>
      </c>
      <c r="BZ1519">
        <v>-1.76</v>
      </c>
      <c r="CA1519">
        <v>-1.77</v>
      </c>
      <c r="CB1519">
        <v>-2.0499999999999998</v>
      </c>
      <c r="CC1519">
        <v>0.09</v>
      </c>
      <c r="CD1519">
        <v>3.16</v>
      </c>
      <c r="CE1519">
        <v>-2.68</v>
      </c>
      <c r="CF1519">
        <v>-1.41</v>
      </c>
      <c r="CG1519">
        <v>0</v>
      </c>
      <c r="CH1519">
        <v>-0.48</v>
      </c>
      <c r="CI1519">
        <v>0</v>
      </c>
      <c r="CJ1519">
        <v>-2</v>
      </c>
      <c r="CK1519">
        <v>36</v>
      </c>
      <c r="CL1519">
        <v>0.06</v>
      </c>
      <c r="CM1519">
        <v>35</v>
      </c>
      <c r="CN1519">
        <v>0.09</v>
      </c>
      <c r="CO1519">
        <v>35</v>
      </c>
      <c r="CP1519">
        <v>-0.7</v>
      </c>
      <c r="CQ1519">
        <v>35</v>
      </c>
      <c r="CR1519">
        <v>0</v>
      </c>
      <c r="CS1519">
        <v>0</v>
      </c>
      <c r="CT1519">
        <v>-2.8</v>
      </c>
      <c r="CU1519">
        <v>35</v>
      </c>
      <c r="CV1519">
        <v>0.04</v>
      </c>
      <c r="CW1519">
        <v>32</v>
      </c>
      <c r="CX1519" t="s">
        <v>6323</v>
      </c>
    </row>
    <row r="1520" spans="1:102" x14ac:dyDescent="0.3">
      <c r="A1520" t="str">
        <f>HYPERLINK("https://webapp.icbf.com/v2/app/bull-search/view/1336064203","MO2282")</f>
        <v>MO2282</v>
      </c>
      <c r="B1520" t="s">
        <v>7973</v>
      </c>
      <c r="C1520" t="s">
        <v>7974</v>
      </c>
      <c r="D1520" s="1">
        <v>40914</v>
      </c>
      <c r="E1520" t="s">
        <v>140</v>
      </c>
      <c r="F1520">
        <v>0</v>
      </c>
      <c r="G1520" t="s">
        <v>109</v>
      </c>
      <c r="H1520">
        <v>105.35</v>
      </c>
      <c r="I1520">
        <v>49</v>
      </c>
      <c r="J1520">
        <v>43.73</v>
      </c>
      <c r="K1520">
        <v>75</v>
      </c>
      <c r="L1520">
        <v>37.64</v>
      </c>
      <c r="M1520">
        <v>27</v>
      </c>
      <c r="N1520">
        <v>-0.55000000000000004</v>
      </c>
      <c r="O1520">
        <v>58</v>
      </c>
      <c r="P1520">
        <v>19.2</v>
      </c>
      <c r="Q1520">
        <v>62</v>
      </c>
      <c r="R1520">
        <v>8.6300000000000008</v>
      </c>
      <c r="S1520">
        <v>25</v>
      </c>
      <c r="T1520">
        <v>8.65</v>
      </c>
      <c r="U1520">
        <v>31</v>
      </c>
      <c r="V1520">
        <v>-11.95</v>
      </c>
      <c r="W1520">
        <v>23</v>
      </c>
      <c r="X1520" t="s">
        <v>102</v>
      </c>
      <c r="Y1520" t="s">
        <v>405</v>
      </c>
      <c r="Z1520">
        <v>0</v>
      </c>
      <c r="AA1520" t="s">
        <v>7975</v>
      </c>
      <c r="AB1520" t="s">
        <v>1611</v>
      </c>
      <c r="AC1520">
        <v>0</v>
      </c>
      <c r="AD1520">
        <v>0</v>
      </c>
      <c r="AE1520">
        <v>75</v>
      </c>
      <c r="AF1520">
        <v>57.53</v>
      </c>
      <c r="AG1520">
        <v>4.43</v>
      </c>
      <c r="AH1520">
        <v>6.75</v>
      </c>
      <c r="AI1520">
        <v>0.04</v>
      </c>
      <c r="AJ1520">
        <v>0.08</v>
      </c>
      <c r="AK1520">
        <v>27</v>
      </c>
      <c r="AL1520">
        <v>0</v>
      </c>
      <c r="AM1520">
        <v>0</v>
      </c>
      <c r="AN1520">
        <v>-2.19</v>
      </c>
      <c r="AO1520">
        <v>0.81</v>
      </c>
      <c r="AP1520">
        <v>45</v>
      </c>
      <c r="AQ1520">
        <v>0</v>
      </c>
      <c r="AR1520">
        <v>7.98</v>
      </c>
      <c r="AS1520">
        <v>49</v>
      </c>
      <c r="AT1520">
        <v>4.1100000000000003</v>
      </c>
      <c r="AU1520">
        <v>45</v>
      </c>
      <c r="AV1520">
        <v>-0.69</v>
      </c>
      <c r="AW1520">
        <v>85</v>
      </c>
      <c r="AX1520">
        <v>0.02</v>
      </c>
      <c r="AY1520">
        <v>54</v>
      </c>
      <c r="AZ1520">
        <v>5.92</v>
      </c>
      <c r="BA1520">
        <v>19</v>
      </c>
      <c r="BB1520">
        <v>4.21</v>
      </c>
      <c r="BC1520">
        <v>14</v>
      </c>
      <c r="BD1520">
        <v>0.01</v>
      </c>
      <c r="BE1520">
        <v>-0.05</v>
      </c>
      <c r="BF1520">
        <v>-0.12</v>
      </c>
      <c r="BG1520">
        <v>29</v>
      </c>
      <c r="BH1520">
        <v>-0.48</v>
      </c>
      <c r="BI1520">
        <v>-16.989999999999998</v>
      </c>
      <c r="BJ1520">
        <v>0</v>
      </c>
      <c r="BK1520">
        <v>0</v>
      </c>
      <c r="BL1520">
        <v>-0.67</v>
      </c>
      <c r="BM1520">
        <v>3.55</v>
      </c>
      <c r="BN1520">
        <v>-1.59</v>
      </c>
      <c r="BO1520">
        <v>-2.93</v>
      </c>
      <c r="BP1520">
        <v>4.37</v>
      </c>
      <c r="BQ1520">
        <v>-1.86</v>
      </c>
      <c r="BR1520">
        <v>-2.71</v>
      </c>
      <c r="BS1520">
        <v>-0.38</v>
      </c>
      <c r="BT1520">
        <v>2.5499999999999998</v>
      </c>
      <c r="BU1520">
        <v>-3.46</v>
      </c>
      <c r="BV1520">
        <v>-3.93</v>
      </c>
      <c r="BW1520">
        <v>-2.98</v>
      </c>
      <c r="BX1520">
        <v>-2.76</v>
      </c>
      <c r="BY1520">
        <v>-2</v>
      </c>
      <c r="BZ1520">
        <v>1.4</v>
      </c>
      <c r="CA1520">
        <v>-2.4300000000000002</v>
      </c>
      <c r="CB1520">
        <v>-3.18</v>
      </c>
      <c r="CC1520">
        <v>-0.27</v>
      </c>
      <c r="CD1520">
        <v>3.89</v>
      </c>
      <c r="CE1520">
        <v>-2.82</v>
      </c>
      <c r="CF1520">
        <v>-0.89</v>
      </c>
      <c r="CG1520">
        <v>0</v>
      </c>
      <c r="CH1520">
        <v>-2.34</v>
      </c>
      <c r="CI1520">
        <v>0</v>
      </c>
      <c r="CJ1520">
        <v>10.1</v>
      </c>
      <c r="CK1520">
        <v>67</v>
      </c>
      <c r="CL1520">
        <v>0.42</v>
      </c>
      <c r="CM1520">
        <v>61</v>
      </c>
      <c r="CN1520">
        <v>-0.02</v>
      </c>
      <c r="CO1520">
        <v>58</v>
      </c>
      <c r="CP1520">
        <v>4.5999999999999996</v>
      </c>
      <c r="CQ1520">
        <v>35</v>
      </c>
      <c r="CR1520">
        <v>0</v>
      </c>
      <c r="CS1520">
        <v>0</v>
      </c>
      <c r="CT1520">
        <v>2.1</v>
      </c>
      <c r="CU1520">
        <v>31</v>
      </c>
      <c r="CV1520">
        <v>0</v>
      </c>
      <c r="CW1520">
        <v>19</v>
      </c>
      <c r="CX1520" t="s">
        <v>7976</v>
      </c>
    </row>
    <row r="1521" spans="1:102" x14ac:dyDescent="0.3">
      <c r="A1521" t="str">
        <f>HYPERLINK("https://webapp.icbf.com/v2/app/bull-search/view/1231246923","FR4628")</f>
        <v>FR4628</v>
      </c>
      <c r="B1521" t="s">
        <v>8491</v>
      </c>
      <c r="C1521" t="s">
        <v>8492</v>
      </c>
      <c r="D1521" s="1">
        <v>41402</v>
      </c>
      <c r="E1521" t="s">
        <v>92</v>
      </c>
      <c r="F1521">
        <v>100</v>
      </c>
      <c r="G1521" t="s">
        <v>109</v>
      </c>
      <c r="H1521">
        <v>105.25</v>
      </c>
      <c r="I1521">
        <v>71</v>
      </c>
      <c r="J1521">
        <v>93.56</v>
      </c>
      <c r="K1521">
        <v>90</v>
      </c>
      <c r="L1521">
        <v>-32.86</v>
      </c>
      <c r="M1521">
        <v>71</v>
      </c>
      <c r="N1521">
        <v>39.26</v>
      </c>
      <c r="O1521">
        <v>70</v>
      </c>
      <c r="P1521">
        <v>-8.93</v>
      </c>
      <c r="Q1521">
        <v>42</v>
      </c>
      <c r="R1521">
        <v>11.99</v>
      </c>
      <c r="S1521">
        <v>66</v>
      </c>
      <c r="T1521">
        <v>-0.9</v>
      </c>
      <c r="U1521">
        <v>36</v>
      </c>
      <c r="V1521">
        <v>3.13</v>
      </c>
      <c r="W1521">
        <v>52</v>
      </c>
      <c r="X1521" t="s">
        <v>428</v>
      </c>
      <c r="Y1521" t="s">
        <v>442</v>
      </c>
      <c r="Z1521" t="s">
        <v>96</v>
      </c>
      <c r="AA1521" t="s">
        <v>465</v>
      </c>
      <c r="AB1521" t="s">
        <v>8493</v>
      </c>
      <c r="AC1521">
        <v>0</v>
      </c>
      <c r="AD1521">
        <v>0</v>
      </c>
      <c r="AE1521">
        <v>90</v>
      </c>
      <c r="AF1521">
        <v>583.36</v>
      </c>
      <c r="AG1521">
        <v>27.65</v>
      </c>
      <c r="AH1521">
        <v>15.06</v>
      </c>
      <c r="AI1521">
        <v>7.0000000000000007E-2</v>
      </c>
      <c r="AJ1521">
        <v>-7.0000000000000007E-2</v>
      </c>
      <c r="AK1521">
        <v>71</v>
      </c>
      <c r="AL1521">
        <v>0</v>
      </c>
      <c r="AM1521">
        <v>0</v>
      </c>
      <c r="AN1521">
        <v>3.41</v>
      </c>
      <c r="AO1521">
        <v>0.81</v>
      </c>
      <c r="AP1521">
        <v>39</v>
      </c>
      <c r="AQ1521">
        <v>0</v>
      </c>
      <c r="AR1521">
        <v>4.38</v>
      </c>
      <c r="AS1521">
        <v>54</v>
      </c>
      <c r="AT1521">
        <v>2.2000000000000002</v>
      </c>
      <c r="AU1521">
        <v>84</v>
      </c>
      <c r="AV1521">
        <v>-3.11</v>
      </c>
      <c r="AW1521">
        <v>83</v>
      </c>
      <c r="AX1521">
        <v>0.24</v>
      </c>
      <c r="AY1521">
        <v>56</v>
      </c>
      <c r="AZ1521">
        <v>6.22</v>
      </c>
      <c r="BA1521">
        <v>36</v>
      </c>
      <c r="BB1521">
        <v>4.88</v>
      </c>
      <c r="BC1521">
        <v>33</v>
      </c>
      <c r="BD1521">
        <v>-0.01</v>
      </c>
      <c r="BE1521">
        <v>-0.01</v>
      </c>
      <c r="BF1521">
        <v>-0.24</v>
      </c>
      <c r="BG1521">
        <v>82</v>
      </c>
      <c r="BH1521">
        <v>0.01</v>
      </c>
      <c r="BI1521">
        <v>-8.9499999999999993</v>
      </c>
      <c r="BJ1521">
        <v>0</v>
      </c>
      <c r="BK1521">
        <v>0</v>
      </c>
      <c r="BL1521">
        <v>1.01</v>
      </c>
      <c r="BM1521">
        <v>0.56000000000000005</v>
      </c>
      <c r="BN1521">
        <v>0.49</v>
      </c>
      <c r="BO1521">
        <v>0.68</v>
      </c>
      <c r="BP1521">
        <v>-0.4</v>
      </c>
      <c r="BQ1521">
        <v>2.2999999999999998</v>
      </c>
      <c r="BR1521">
        <v>1.61</v>
      </c>
      <c r="BS1521">
        <v>-0.32</v>
      </c>
      <c r="BT1521">
        <v>-0.74</v>
      </c>
      <c r="BU1521">
        <v>1.95</v>
      </c>
      <c r="BV1521">
        <v>2.2999999999999998</v>
      </c>
      <c r="BW1521">
        <v>1.96</v>
      </c>
      <c r="BX1521">
        <v>1.76</v>
      </c>
      <c r="BY1521">
        <v>0.38</v>
      </c>
      <c r="BZ1521">
        <v>0.88</v>
      </c>
      <c r="CA1521">
        <v>1.81</v>
      </c>
      <c r="CB1521">
        <v>2.0099999999999998</v>
      </c>
      <c r="CC1521">
        <v>0.08</v>
      </c>
      <c r="CD1521">
        <v>0.08</v>
      </c>
      <c r="CE1521">
        <v>0.82</v>
      </c>
      <c r="CF1521">
        <v>0.53</v>
      </c>
      <c r="CG1521">
        <v>0</v>
      </c>
      <c r="CH1521">
        <v>0.74</v>
      </c>
      <c r="CI1521">
        <v>0</v>
      </c>
      <c r="CJ1521">
        <v>-3.2</v>
      </c>
      <c r="CK1521">
        <v>42</v>
      </c>
      <c r="CL1521">
        <v>-1.1599999999999999</v>
      </c>
      <c r="CM1521">
        <v>42</v>
      </c>
      <c r="CN1521">
        <v>-0.66</v>
      </c>
      <c r="CO1521">
        <v>42</v>
      </c>
      <c r="CP1521">
        <v>-1.8</v>
      </c>
      <c r="CQ1521">
        <v>38</v>
      </c>
      <c r="CR1521">
        <v>0</v>
      </c>
      <c r="CS1521">
        <v>0</v>
      </c>
      <c r="CT1521">
        <v>15</v>
      </c>
      <c r="CU1521">
        <v>36</v>
      </c>
      <c r="CV1521">
        <v>0.19</v>
      </c>
      <c r="CW1521">
        <v>34</v>
      </c>
      <c r="CX1521" t="s">
        <v>8494</v>
      </c>
    </row>
    <row r="1522" spans="1:102" x14ac:dyDescent="0.3">
      <c r="A1522" t="str">
        <f>HYPERLINK("https://webapp.icbf.com/v2/app/bull-search/view/1492480855","S3240")</f>
        <v>S3240</v>
      </c>
      <c r="B1522" t="s">
        <v>2719</v>
      </c>
      <c r="C1522" t="s">
        <v>2720</v>
      </c>
      <c r="D1522" s="1">
        <v>42338</v>
      </c>
      <c r="E1522" t="s">
        <v>92</v>
      </c>
      <c r="F1522">
        <v>100</v>
      </c>
      <c r="G1522" t="s">
        <v>435</v>
      </c>
      <c r="H1522">
        <v>105.24</v>
      </c>
      <c r="I1522">
        <v>67</v>
      </c>
      <c r="J1522">
        <v>76.33</v>
      </c>
      <c r="K1522">
        <v>87</v>
      </c>
      <c r="L1522">
        <v>-9.18</v>
      </c>
      <c r="M1522">
        <v>66</v>
      </c>
      <c r="N1522">
        <v>38.46</v>
      </c>
      <c r="O1522">
        <v>62</v>
      </c>
      <c r="P1522">
        <v>-2.86</v>
      </c>
      <c r="Q1522">
        <v>35</v>
      </c>
      <c r="R1522">
        <v>6.93</v>
      </c>
      <c r="S1522">
        <v>61</v>
      </c>
      <c r="T1522">
        <v>-8.6</v>
      </c>
      <c r="U1522">
        <v>34</v>
      </c>
      <c r="V1522">
        <v>4.16</v>
      </c>
      <c r="W1522">
        <v>53</v>
      </c>
      <c r="X1522" t="s">
        <v>110</v>
      </c>
      <c r="Y1522" t="s">
        <v>453</v>
      </c>
      <c r="Z1522" t="s">
        <v>96</v>
      </c>
      <c r="AA1522" t="s">
        <v>2721</v>
      </c>
      <c r="AB1522" t="s">
        <v>2722</v>
      </c>
      <c r="AC1522">
        <v>0</v>
      </c>
      <c r="AD1522">
        <v>0</v>
      </c>
      <c r="AE1522">
        <v>87</v>
      </c>
      <c r="AF1522">
        <v>456</v>
      </c>
      <c r="AG1522">
        <v>20.13</v>
      </c>
      <c r="AH1522">
        <v>12.84</v>
      </c>
      <c r="AI1522">
        <v>0.03</v>
      </c>
      <c r="AJ1522">
        <v>-0.04</v>
      </c>
      <c r="AK1522">
        <v>66</v>
      </c>
      <c r="AL1522">
        <v>0</v>
      </c>
      <c r="AM1522">
        <v>0</v>
      </c>
      <c r="AN1522">
        <v>2.21</v>
      </c>
      <c r="AO1522">
        <v>1.5</v>
      </c>
      <c r="AP1522">
        <v>7</v>
      </c>
      <c r="AQ1522">
        <v>0</v>
      </c>
      <c r="AR1522">
        <v>7.54</v>
      </c>
      <c r="AS1522">
        <v>47</v>
      </c>
      <c r="AT1522">
        <v>3.01</v>
      </c>
      <c r="AU1522">
        <v>85</v>
      </c>
      <c r="AV1522">
        <v>-3.96</v>
      </c>
      <c r="AW1522">
        <v>66</v>
      </c>
      <c r="AX1522">
        <v>-0.79</v>
      </c>
      <c r="AY1522">
        <v>49</v>
      </c>
      <c r="AZ1522">
        <v>5.7</v>
      </c>
      <c r="BA1522">
        <v>33</v>
      </c>
      <c r="BB1522">
        <v>4.41</v>
      </c>
      <c r="BC1522">
        <v>33</v>
      </c>
      <c r="BD1522">
        <v>-0.05</v>
      </c>
      <c r="BE1522">
        <v>-0.04</v>
      </c>
      <c r="BF1522">
        <v>0</v>
      </c>
      <c r="BG1522">
        <v>74</v>
      </c>
      <c r="BH1522">
        <v>-0.03</v>
      </c>
      <c r="BI1522">
        <v>-16.899999999999999</v>
      </c>
      <c r="BJ1522">
        <v>0</v>
      </c>
      <c r="BK1522">
        <v>0</v>
      </c>
      <c r="BL1522">
        <v>1.19</v>
      </c>
      <c r="BM1522">
        <v>0.77</v>
      </c>
      <c r="BN1522">
        <v>1.29</v>
      </c>
      <c r="BO1522">
        <v>1.27</v>
      </c>
      <c r="BP1522">
        <v>-0.56999999999999995</v>
      </c>
      <c r="BQ1522">
        <v>2.1800000000000002</v>
      </c>
      <c r="BR1522">
        <v>0.5</v>
      </c>
      <c r="BS1522">
        <v>3</v>
      </c>
      <c r="BT1522">
        <v>0.31</v>
      </c>
      <c r="BU1522">
        <v>2.1800000000000002</v>
      </c>
      <c r="BV1522">
        <v>4.18</v>
      </c>
      <c r="BW1522">
        <v>3.14</v>
      </c>
      <c r="BX1522">
        <v>1.7</v>
      </c>
      <c r="BY1522">
        <v>2.61</v>
      </c>
      <c r="BZ1522">
        <v>-1.78</v>
      </c>
      <c r="CA1522">
        <v>3.18</v>
      </c>
      <c r="CB1522">
        <v>2.85</v>
      </c>
      <c r="CC1522">
        <v>2.16</v>
      </c>
      <c r="CD1522">
        <v>-0.21</v>
      </c>
      <c r="CE1522">
        <v>0.63</v>
      </c>
      <c r="CF1522">
        <v>0.47</v>
      </c>
      <c r="CG1522">
        <v>0</v>
      </c>
      <c r="CH1522">
        <v>2.27</v>
      </c>
      <c r="CI1522">
        <v>0</v>
      </c>
      <c r="CJ1522">
        <v>0.5</v>
      </c>
      <c r="CK1522">
        <v>35</v>
      </c>
      <c r="CL1522">
        <v>-1.37</v>
      </c>
      <c r="CM1522">
        <v>35</v>
      </c>
      <c r="CN1522">
        <v>-0.85</v>
      </c>
      <c r="CO1522">
        <v>35</v>
      </c>
      <c r="CP1522">
        <v>4.2</v>
      </c>
      <c r="CQ1522">
        <v>34</v>
      </c>
      <c r="CR1522">
        <v>0</v>
      </c>
      <c r="CS1522">
        <v>0</v>
      </c>
      <c r="CT1522">
        <v>25.4</v>
      </c>
      <c r="CU1522">
        <v>34</v>
      </c>
      <c r="CV1522">
        <v>0.23</v>
      </c>
      <c r="CW1522">
        <v>32</v>
      </c>
      <c r="CX1522" t="s">
        <v>2723</v>
      </c>
    </row>
    <row r="1523" spans="1:102" x14ac:dyDescent="0.3">
      <c r="A1523" t="str">
        <f>HYPERLINK("https://webapp.icbf.com/v2/app/bull-search/view/910794817","ZAD")</f>
        <v>ZAD</v>
      </c>
      <c r="B1523" t="s">
        <v>1853</v>
      </c>
      <c r="C1523" t="s">
        <v>1854</v>
      </c>
      <c r="D1523" s="1">
        <v>38958</v>
      </c>
      <c r="E1523" t="s">
        <v>395</v>
      </c>
      <c r="F1523">
        <v>0</v>
      </c>
      <c r="G1523" t="s">
        <v>109</v>
      </c>
      <c r="H1523">
        <v>105.11</v>
      </c>
      <c r="I1523">
        <v>76</v>
      </c>
      <c r="J1523">
        <v>-0.11</v>
      </c>
      <c r="K1523">
        <v>85</v>
      </c>
      <c r="L1523">
        <v>92.85</v>
      </c>
      <c r="M1523">
        <v>78</v>
      </c>
      <c r="N1523">
        <v>-6.88</v>
      </c>
      <c r="O1523">
        <v>72</v>
      </c>
      <c r="P1523">
        <v>0.14000000000000001</v>
      </c>
      <c r="Q1523">
        <v>73</v>
      </c>
      <c r="R1523">
        <v>12.83</v>
      </c>
      <c r="S1523">
        <v>60</v>
      </c>
      <c r="T1523">
        <v>19.149999999999999</v>
      </c>
      <c r="U1523">
        <v>57</v>
      </c>
      <c r="V1523">
        <v>-12.87</v>
      </c>
      <c r="W1523">
        <v>60</v>
      </c>
      <c r="X1523" t="s">
        <v>102</v>
      </c>
      <c r="Y1523" t="s">
        <v>1128</v>
      </c>
      <c r="Z1523">
        <v>0</v>
      </c>
      <c r="AA1523" t="s">
        <v>1855</v>
      </c>
      <c r="AB1523" t="s">
        <v>1856</v>
      </c>
      <c r="AC1523">
        <v>0</v>
      </c>
      <c r="AD1523">
        <v>0</v>
      </c>
      <c r="AE1523">
        <v>85</v>
      </c>
      <c r="AF1523">
        <v>-26.23</v>
      </c>
      <c r="AG1523">
        <v>-3.9</v>
      </c>
      <c r="AH1523">
        <v>0.96</v>
      </c>
      <c r="AI1523">
        <v>-0.05</v>
      </c>
      <c r="AJ1523">
        <v>0.03</v>
      </c>
      <c r="AK1523">
        <v>78</v>
      </c>
      <c r="AL1523">
        <v>0</v>
      </c>
      <c r="AM1523">
        <v>0</v>
      </c>
      <c r="AN1523">
        <v>-4.6500000000000004</v>
      </c>
      <c r="AO1523">
        <v>2.76</v>
      </c>
      <c r="AP1523">
        <v>30</v>
      </c>
      <c r="AQ1523">
        <v>0</v>
      </c>
      <c r="AR1523">
        <v>8.85</v>
      </c>
      <c r="AS1523">
        <v>53</v>
      </c>
      <c r="AT1523">
        <v>3.79</v>
      </c>
      <c r="AU1523">
        <v>88</v>
      </c>
      <c r="AV1523">
        <v>-0.13</v>
      </c>
      <c r="AW1523">
        <v>81</v>
      </c>
      <c r="AX1523">
        <v>-0.32</v>
      </c>
      <c r="AY1523">
        <v>60</v>
      </c>
      <c r="AZ1523">
        <v>6</v>
      </c>
      <c r="BA1523">
        <v>43</v>
      </c>
      <c r="BB1523">
        <v>4.92</v>
      </c>
      <c r="BC1523">
        <v>44</v>
      </c>
      <c r="BD1523">
        <v>-0.06</v>
      </c>
      <c r="BE1523">
        <v>-0.05</v>
      </c>
      <c r="BF1523">
        <v>-0.1</v>
      </c>
      <c r="BG1523">
        <v>68</v>
      </c>
      <c r="BH1523">
        <v>-0.24</v>
      </c>
      <c r="BI1523">
        <v>13.76</v>
      </c>
      <c r="BJ1523">
        <v>0</v>
      </c>
      <c r="BK1523">
        <v>0</v>
      </c>
      <c r="BL1523">
        <v>-2.3199999999999998</v>
      </c>
      <c r="BM1523">
        <v>-0.49</v>
      </c>
      <c r="BN1523">
        <v>-2.36</v>
      </c>
      <c r="BO1523">
        <v>-1.53</v>
      </c>
      <c r="BP1523">
        <v>2.39</v>
      </c>
      <c r="BQ1523">
        <v>-2.4</v>
      </c>
      <c r="BR1523">
        <v>1.1100000000000001</v>
      </c>
      <c r="BS1523">
        <v>0.23</v>
      </c>
      <c r="BT1523">
        <v>-0.52</v>
      </c>
      <c r="BU1523">
        <v>-2.04</v>
      </c>
      <c r="BV1523">
        <v>-3.13</v>
      </c>
      <c r="BW1523">
        <v>-2.44</v>
      </c>
      <c r="BX1523">
        <v>-2.1</v>
      </c>
      <c r="BY1523">
        <v>-0.79</v>
      </c>
      <c r="BZ1523">
        <v>-2.7</v>
      </c>
      <c r="CA1523">
        <v>-2.0499999999999998</v>
      </c>
      <c r="CB1523">
        <v>-2.38</v>
      </c>
      <c r="CC1523">
        <v>-0.66</v>
      </c>
      <c r="CD1523">
        <v>0.68</v>
      </c>
      <c r="CE1523">
        <v>-1.38</v>
      </c>
      <c r="CF1523">
        <v>-2.84</v>
      </c>
      <c r="CG1523">
        <v>0</v>
      </c>
      <c r="CH1523">
        <v>-1.06</v>
      </c>
      <c r="CI1523">
        <v>0</v>
      </c>
      <c r="CJ1523">
        <v>0.2</v>
      </c>
      <c r="CK1523">
        <v>75</v>
      </c>
      <c r="CL1523">
        <v>-0.17</v>
      </c>
      <c r="CM1523">
        <v>72</v>
      </c>
      <c r="CN1523">
        <v>-0.38</v>
      </c>
      <c r="CO1523">
        <v>70</v>
      </c>
      <c r="CP1523">
        <v>-18.899999999999999</v>
      </c>
      <c r="CQ1523">
        <v>62</v>
      </c>
      <c r="CR1523">
        <v>0</v>
      </c>
      <c r="CS1523">
        <v>0</v>
      </c>
      <c r="CT1523">
        <v>-12.1</v>
      </c>
      <c r="CU1523">
        <v>57</v>
      </c>
      <c r="CV1523">
        <v>0</v>
      </c>
      <c r="CW1523">
        <v>40</v>
      </c>
      <c r="CX1523" t="s">
        <v>1857</v>
      </c>
    </row>
    <row r="1524" spans="1:102" x14ac:dyDescent="0.3">
      <c r="A1524" t="str">
        <f>HYPERLINK("https://webapp.icbf.com/v2/app/bull-search/view/1626622077","MY4617")</f>
        <v>MY4617</v>
      </c>
      <c r="B1524" t="s">
        <v>14010</v>
      </c>
      <c r="C1524" t="s">
        <v>14011</v>
      </c>
      <c r="D1524" s="1">
        <v>42480</v>
      </c>
      <c r="E1524" t="s">
        <v>146</v>
      </c>
      <c r="F1524">
        <v>0</v>
      </c>
      <c r="G1524" t="s">
        <v>435</v>
      </c>
      <c r="H1524">
        <v>105.05</v>
      </c>
      <c r="I1524">
        <v>28</v>
      </c>
      <c r="J1524">
        <v>11.76</v>
      </c>
      <c r="K1524">
        <v>27</v>
      </c>
      <c r="L1524">
        <v>49.82</v>
      </c>
      <c r="M1524">
        <v>21</v>
      </c>
      <c r="N1524">
        <v>29.44</v>
      </c>
      <c r="O1524">
        <v>61</v>
      </c>
      <c r="P1524">
        <v>1.1399999999999999</v>
      </c>
      <c r="Q1524">
        <v>34</v>
      </c>
      <c r="R1524">
        <v>-0.83</v>
      </c>
      <c r="S1524">
        <v>17</v>
      </c>
      <c r="T1524">
        <v>21.6</v>
      </c>
      <c r="U1524">
        <v>33</v>
      </c>
      <c r="V1524">
        <v>-7.88</v>
      </c>
      <c r="W1524">
        <v>5</v>
      </c>
      <c r="X1524" t="s">
        <v>94</v>
      </c>
      <c r="Y1524" t="s">
        <v>442</v>
      </c>
      <c r="Z1524">
        <v>0</v>
      </c>
      <c r="AA1524" t="s">
        <v>14012</v>
      </c>
      <c r="AB1524" t="s">
        <v>14013</v>
      </c>
      <c r="AC1524">
        <v>0</v>
      </c>
      <c r="AD1524">
        <v>0</v>
      </c>
      <c r="AE1524">
        <v>27</v>
      </c>
      <c r="AF1524">
        <v>-87.04</v>
      </c>
      <c r="AG1524">
        <v>-0.46</v>
      </c>
      <c r="AH1524">
        <v>0.83</v>
      </c>
      <c r="AI1524">
        <v>0.05</v>
      </c>
      <c r="AJ1524">
        <v>7.0000000000000007E-2</v>
      </c>
      <c r="AK1524">
        <v>21</v>
      </c>
      <c r="AL1524">
        <v>0</v>
      </c>
      <c r="AM1524">
        <v>0</v>
      </c>
      <c r="AN1524">
        <v>-2.93</v>
      </c>
      <c r="AO1524">
        <v>1.04</v>
      </c>
      <c r="AP1524">
        <v>15</v>
      </c>
      <c r="AQ1524">
        <v>1</v>
      </c>
      <c r="AR1524">
        <v>8.07</v>
      </c>
      <c r="AS1524">
        <v>30</v>
      </c>
      <c r="AT1524">
        <v>3.01</v>
      </c>
      <c r="AU1524">
        <v>75</v>
      </c>
      <c r="AV1524">
        <v>-3.19</v>
      </c>
      <c r="AW1524">
        <v>75</v>
      </c>
      <c r="AX1524">
        <v>-0.53</v>
      </c>
      <c r="AY1524">
        <v>50</v>
      </c>
      <c r="AZ1524">
        <v>6.1</v>
      </c>
      <c r="BA1524">
        <v>23</v>
      </c>
      <c r="BB1524">
        <v>4.49</v>
      </c>
      <c r="BC1524">
        <v>24</v>
      </c>
      <c r="BD1524">
        <v>0</v>
      </c>
      <c r="BE1524">
        <v>0.01</v>
      </c>
      <c r="BF1524">
        <v>0</v>
      </c>
      <c r="BG1524">
        <v>27</v>
      </c>
      <c r="BH1524">
        <v>-0.2</v>
      </c>
      <c r="BI1524">
        <v>2.27</v>
      </c>
      <c r="BJ1524">
        <v>0</v>
      </c>
      <c r="BK1524">
        <v>0</v>
      </c>
      <c r="BL1524">
        <v>-1.82</v>
      </c>
      <c r="BM1524">
        <v>2.6</v>
      </c>
      <c r="BN1524">
        <v>-0.65</v>
      </c>
      <c r="BO1524">
        <v>-1.43</v>
      </c>
      <c r="BP1524">
        <v>3.28</v>
      </c>
      <c r="BQ1524">
        <v>-0.8</v>
      </c>
      <c r="BR1524">
        <v>-0.04</v>
      </c>
      <c r="BS1524">
        <v>0.8</v>
      </c>
      <c r="BT1524">
        <v>-1.08</v>
      </c>
      <c r="BU1524">
        <v>-1.92</v>
      </c>
      <c r="BV1524">
        <v>-2.84</v>
      </c>
      <c r="BW1524">
        <v>-2.11</v>
      </c>
      <c r="BX1524">
        <v>-2.4700000000000002</v>
      </c>
      <c r="BY1524">
        <v>-1.27</v>
      </c>
      <c r="BZ1524">
        <v>0.91</v>
      </c>
      <c r="CA1524">
        <v>-1.84</v>
      </c>
      <c r="CB1524">
        <v>-2.2599999999999998</v>
      </c>
      <c r="CC1524">
        <v>-0.01</v>
      </c>
      <c r="CD1524">
        <v>2.54</v>
      </c>
      <c r="CE1524">
        <v>-0.14000000000000001</v>
      </c>
      <c r="CF1524">
        <v>-0.05</v>
      </c>
      <c r="CG1524">
        <v>0</v>
      </c>
      <c r="CH1524">
        <v>-0.11</v>
      </c>
      <c r="CI1524">
        <v>0</v>
      </c>
      <c r="CJ1524">
        <v>-0.5</v>
      </c>
      <c r="CK1524">
        <v>34</v>
      </c>
      <c r="CL1524">
        <v>-0.09</v>
      </c>
      <c r="CM1524">
        <v>34</v>
      </c>
      <c r="CN1524">
        <v>-0.31</v>
      </c>
      <c r="CO1524">
        <v>34</v>
      </c>
      <c r="CP1524">
        <v>-5.8</v>
      </c>
      <c r="CQ1524">
        <v>34</v>
      </c>
      <c r="CR1524">
        <v>0</v>
      </c>
      <c r="CS1524">
        <v>0</v>
      </c>
      <c r="CT1524">
        <v>-15.4</v>
      </c>
      <c r="CU1524">
        <v>33</v>
      </c>
      <c r="CV1524">
        <v>-0.15</v>
      </c>
      <c r="CW1524">
        <v>31</v>
      </c>
      <c r="CX1524" t="s">
        <v>5819</v>
      </c>
    </row>
    <row r="1525" spans="1:102" x14ac:dyDescent="0.3">
      <c r="A1525" t="str">
        <f>HYPERLINK("https://webapp.icbf.com/v2/app/bull-search/view/1240327431","FR2170")</f>
        <v>FR2170</v>
      </c>
      <c r="B1525" t="s">
        <v>6995</v>
      </c>
      <c r="C1525" t="s">
        <v>6996</v>
      </c>
      <c r="D1525" s="1">
        <v>41708</v>
      </c>
      <c r="E1525" t="s">
        <v>92</v>
      </c>
      <c r="F1525">
        <v>100</v>
      </c>
      <c r="G1525" t="s">
        <v>109</v>
      </c>
      <c r="H1525">
        <v>104.91</v>
      </c>
      <c r="I1525">
        <v>74</v>
      </c>
      <c r="J1525">
        <v>47.64</v>
      </c>
      <c r="K1525">
        <v>92</v>
      </c>
      <c r="L1525">
        <v>28.31</v>
      </c>
      <c r="M1525">
        <v>79</v>
      </c>
      <c r="N1525">
        <v>29.2</v>
      </c>
      <c r="O1525">
        <v>58</v>
      </c>
      <c r="P1525">
        <v>-13.67</v>
      </c>
      <c r="Q1525">
        <v>45</v>
      </c>
      <c r="R1525">
        <v>10.55</v>
      </c>
      <c r="S1525">
        <v>71</v>
      </c>
      <c r="T1525">
        <v>-4.3</v>
      </c>
      <c r="U1525">
        <v>41</v>
      </c>
      <c r="V1525">
        <v>7.18</v>
      </c>
      <c r="W1525">
        <v>56</v>
      </c>
      <c r="X1525" t="s">
        <v>251</v>
      </c>
      <c r="Y1525" t="s">
        <v>405</v>
      </c>
      <c r="Z1525" t="s">
        <v>96</v>
      </c>
      <c r="AA1525" t="s">
        <v>2707</v>
      </c>
      <c r="AB1525" t="s">
        <v>6997</v>
      </c>
      <c r="AC1525">
        <v>0</v>
      </c>
      <c r="AD1525">
        <v>0</v>
      </c>
      <c r="AE1525">
        <v>92</v>
      </c>
      <c r="AF1525">
        <v>281</v>
      </c>
      <c r="AG1525">
        <v>12.7</v>
      </c>
      <c r="AH1525">
        <v>7.91</v>
      </c>
      <c r="AI1525">
        <v>0.03</v>
      </c>
      <c r="AJ1525">
        <v>-0.03</v>
      </c>
      <c r="AK1525">
        <v>79</v>
      </c>
      <c r="AL1525">
        <v>0</v>
      </c>
      <c r="AM1525">
        <v>0</v>
      </c>
      <c r="AN1525">
        <v>-1.35</v>
      </c>
      <c r="AO1525">
        <v>0.91</v>
      </c>
      <c r="AP1525">
        <v>2</v>
      </c>
      <c r="AQ1525">
        <v>0</v>
      </c>
      <c r="AR1525">
        <v>6.09</v>
      </c>
      <c r="AS1525">
        <v>58</v>
      </c>
      <c r="AT1525">
        <v>2.86</v>
      </c>
      <c r="AU1525">
        <v>88</v>
      </c>
      <c r="AV1525">
        <v>-2.5099999999999998</v>
      </c>
      <c r="AW1525">
        <v>49</v>
      </c>
      <c r="AX1525">
        <v>-0.11</v>
      </c>
      <c r="AY1525">
        <v>47</v>
      </c>
      <c r="AZ1525">
        <v>5.87</v>
      </c>
      <c r="BA1525">
        <v>45</v>
      </c>
      <c r="BB1525">
        <v>4.54</v>
      </c>
      <c r="BC1525">
        <v>38</v>
      </c>
      <c r="BD1525">
        <v>-0.04</v>
      </c>
      <c r="BE1525">
        <v>-0.04</v>
      </c>
      <c r="BF1525">
        <v>-0.1</v>
      </c>
      <c r="BG1525">
        <v>89</v>
      </c>
      <c r="BH1525">
        <v>0.02</v>
      </c>
      <c r="BI1525">
        <v>-20.85</v>
      </c>
      <c r="BJ1525">
        <v>1</v>
      </c>
      <c r="BK1525">
        <v>1</v>
      </c>
      <c r="BL1525">
        <v>1.55</v>
      </c>
      <c r="BM1525">
        <v>-1.43</v>
      </c>
      <c r="BN1525">
        <v>-0.98</v>
      </c>
      <c r="BO1525">
        <v>0.04</v>
      </c>
      <c r="BP1525">
        <v>0.76</v>
      </c>
      <c r="BQ1525">
        <v>-2.0299999999999998</v>
      </c>
      <c r="BR1525">
        <v>-1.88</v>
      </c>
      <c r="BS1525">
        <v>0.79</v>
      </c>
      <c r="BT1525">
        <v>2.09</v>
      </c>
      <c r="BU1525">
        <v>3.65</v>
      </c>
      <c r="BV1525">
        <v>3.36</v>
      </c>
      <c r="BW1525">
        <v>1.37</v>
      </c>
      <c r="BX1525">
        <v>4.1399999999999997</v>
      </c>
      <c r="BY1525">
        <v>1.97</v>
      </c>
      <c r="BZ1525">
        <v>-1.53</v>
      </c>
      <c r="CA1525">
        <v>2.95</v>
      </c>
      <c r="CB1525">
        <v>2.98</v>
      </c>
      <c r="CC1525">
        <v>1.01</v>
      </c>
      <c r="CD1525">
        <v>0.21</v>
      </c>
      <c r="CE1525">
        <v>0.64</v>
      </c>
      <c r="CF1525">
        <v>0.87</v>
      </c>
      <c r="CG1525">
        <v>0</v>
      </c>
      <c r="CH1525">
        <v>2.34</v>
      </c>
      <c r="CI1525">
        <v>0</v>
      </c>
      <c r="CJ1525">
        <v>-5.5</v>
      </c>
      <c r="CK1525">
        <v>45</v>
      </c>
      <c r="CL1525">
        <v>-1.53</v>
      </c>
      <c r="CM1525">
        <v>45</v>
      </c>
      <c r="CN1525">
        <v>-0.76</v>
      </c>
      <c r="CO1525">
        <v>44</v>
      </c>
      <c r="CP1525">
        <v>5.4</v>
      </c>
      <c r="CQ1525">
        <v>42</v>
      </c>
      <c r="CR1525">
        <v>0</v>
      </c>
      <c r="CS1525">
        <v>0</v>
      </c>
      <c r="CT1525">
        <v>19.600000000000001</v>
      </c>
      <c r="CU1525">
        <v>41</v>
      </c>
      <c r="CV1525">
        <v>0.26</v>
      </c>
      <c r="CW1525">
        <v>36</v>
      </c>
      <c r="CX1525" t="s">
        <v>1894</v>
      </c>
    </row>
    <row r="1526" spans="1:102" x14ac:dyDescent="0.3">
      <c r="A1526" t="str">
        <f>HYPERLINK("https://webapp.icbf.com/v2/app/bull-search/view/586144245","GFO")</f>
        <v>GFO</v>
      </c>
      <c r="B1526" t="s">
        <v>8945</v>
      </c>
      <c r="C1526" t="s">
        <v>8946</v>
      </c>
      <c r="D1526" s="1">
        <v>38236</v>
      </c>
      <c r="E1526" t="s">
        <v>92</v>
      </c>
      <c r="F1526">
        <v>100</v>
      </c>
      <c r="G1526" t="s">
        <v>93</v>
      </c>
      <c r="H1526">
        <v>104.87</v>
      </c>
      <c r="I1526">
        <v>95</v>
      </c>
      <c r="J1526">
        <v>82.72</v>
      </c>
      <c r="K1526">
        <v>99</v>
      </c>
      <c r="L1526">
        <v>-17.149999999999999</v>
      </c>
      <c r="M1526">
        <v>91</v>
      </c>
      <c r="N1526">
        <v>42.26</v>
      </c>
      <c r="O1526">
        <v>94</v>
      </c>
      <c r="P1526">
        <v>-4.0999999999999996</v>
      </c>
      <c r="Q1526">
        <v>98</v>
      </c>
      <c r="R1526">
        <v>0.15</v>
      </c>
      <c r="S1526">
        <v>89</v>
      </c>
      <c r="T1526">
        <v>0.06</v>
      </c>
      <c r="U1526">
        <v>96</v>
      </c>
      <c r="V1526">
        <v>0.93</v>
      </c>
      <c r="W1526">
        <v>89</v>
      </c>
      <c r="X1526" t="s">
        <v>276</v>
      </c>
      <c r="Y1526" t="s">
        <v>235</v>
      </c>
      <c r="Z1526" t="s">
        <v>96</v>
      </c>
      <c r="AA1526" t="s">
        <v>316</v>
      </c>
      <c r="AB1526" t="s">
        <v>8947</v>
      </c>
      <c r="AC1526">
        <v>329</v>
      </c>
      <c r="AD1526">
        <v>132</v>
      </c>
      <c r="AE1526">
        <v>99</v>
      </c>
      <c r="AF1526">
        <v>476.17</v>
      </c>
      <c r="AG1526">
        <v>16.64</v>
      </c>
      <c r="AH1526">
        <v>15.47</v>
      </c>
      <c r="AI1526">
        <v>-0.03</v>
      </c>
      <c r="AJ1526">
        <v>-0.01</v>
      </c>
      <c r="AK1526">
        <v>91</v>
      </c>
      <c r="AL1526">
        <v>349</v>
      </c>
      <c r="AM1526">
        <v>152</v>
      </c>
      <c r="AN1526">
        <v>1.52</v>
      </c>
      <c r="AO1526">
        <v>0.16</v>
      </c>
      <c r="AP1526">
        <v>599</v>
      </c>
      <c r="AQ1526">
        <v>5</v>
      </c>
      <c r="AR1526">
        <v>4.0599999999999996</v>
      </c>
      <c r="AS1526">
        <v>93</v>
      </c>
      <c r="AT1526">
        <v>1.8</v>
      </c>
      <c r="AU1526">
        <v>94</v>
      </c>
      <c r="AV1526">
        <v>-3.28</v>
      </c>
      <c r="AW1526">
        <v>99</v>
      </c>
      <c r="AX1526">
        <v>-0.03</v>
      </c>
      <c r="AY1526">
        <v>93</v>
      </c>
      <c r="AZ1526">
        <v>6.22</v>
      </c>
      <c r="BA1526">
        <v>83</v>
      </c>
      <c r="BB1526">
        <v>5.29</v>
      </c>
      <c r="BC1526">
        <v>84</v>
      </c>
      <c r="BD1526">
        <v>0.04</v>
      </c>
      <c r="BE1526">
        <v>0</v>
      </c>
      <c r="BF1526">
        <v>-7.0000000000000007E-2</v>
      </c>
      <c r="BG1526">
        <v>95</v>
      </c>
      <c r="BH1526">
        <v>-0.1</v>
      </c>
      <c r="BI1526">
        <v>-14.58</v>
      </c>
      <c r="BJ1526">
        <v>24</v>
      </c>
      <c r="BK1526">
        <v>9</v>
      </c>
      <c r="BL1526">
        <v>0.44</v>
      </c>
      <c r="BM1526">
        <v>0.98</v>
      </c>
      <c r="BN1526">
        <v>0.26</v>
      </c>
      <c r="BO1526">
        <v>-0.65</v>
      </c>
      <c r="BP1526">
        <v>-0.19</v>
      </c>
      <c r="BQ1526">
        <v>1.06</v>
      </c>
      <c r="BR1526">
        <v>-0.27</v>
      </c>
      <c r="BS1526">
        <v>-1.69</v>
      </c>
      <c r="BT1526">
        <v>-0.48</v>
      </c>
      <c r="BU1526">
        <v>0.56999999999999995</v>
      </c>
      <c r="BV1526">
        <v>-0.31</v>
      </c>
      <c r="BW1526">
        <v>-0.61</v>
      </c>
      <c r="BX1526">
        <v>1.2</v>
      </c>
      <c r="BY1526">
        <v>-0.88</v>
      </c>
      <c r="BZ1526">
        <v>-0.16</v>
      </c>
      <c r="CA1526">
        <v>-0.32</v>
      </c>
      <c r="CB1526">
        <v>0.02</v>
      </c>
      <c r="CC1526">
        <v>-1.29</v>
      </c>
      <c r="CD1526">
        <v>1.19</v>
      </c>
      <c r="CE1526">
        <v>0.42</v>
      </c>
      <c r="CF1526">
        <v>1.37</v>
      </c>
      <c r="CG1526">
        <v>0</v>
      </c>
      <c r="CH1526">
        <v>-0.79</v>
      </c>
      <c r="CI1526">
        <v>0</v>
      </c>
      <c r="CJ1526">
        <v>-0.9</v>
      </c>
      <c r="CK1526">
        <v>98</v>
      </c>
      <c r="CL1526">
        <v>-0.86</v>
      </c>
      <c r="CM1526">
        <v>98</v>
      </c>
      <c r="CN1526">
        <v>-0.51</v>
      </c>
      <c r="CO1526">
        <v>97</v>
      </c>
      <c r="CP1526">
        <v>0.3</v>
      </c>
      <c r="CQ1526">
        <v>96</v>
      </c>
      <c r="CR1526">
        <v>0</v>
      </c>
      <c r="CS1526">
        <v>0</v>
      </c>
      <c r="CT1526">
        <v>13.7</v>
      </c>
      <c r="CU1526">
        <v>96</v>
      </c>
      <c r="CV1526">
        <v>0.28000000000000003</v>
      </c>
      <c r="CW1526">
        <v>49</v>
      </c>
      <c r="CX1526" t="s">
        <v>311</v>
      </c>
    </row>
    <row r="1527" spans="1:102" x14ac:dyDescent="0.3">
      <c r="A1527" t="str">
        <f>HYPERLINK("https://webapp.icbf.com/v2/app/bull-search/view/77860105","CAH")</f>
        <v>CAH</v>
      </c>
      <c r="B1527" t="s">
        <v>5242</v>
      </c>
      <c r="C1527" t="s">
        <v>5243</v>
      </c>
      <c r="D1527" s="1">
        <v>31696</v>
      </c>
      <c r="E1527" t="s">
        <v>92</v>
      </c>
      <c r="F1527">
        <v>50</v>
      </c>
      <c r="G1527" t="s">
        <v>93</v>
      </c>
      <c r="H1527">
        <v>104.8</v>
      </c>
      <c r="I1527">
        <v>64</v>
      </c>
      <c r="J1527">
        <v>-42.99</v>
      </c>
      <c r="K1527">
        <v>71</v>
      </c>
      <c r="L1527">
        <v>107.96</v>
      </c>
      <c r="M1527">
        <v>65</v>
      </c>
      <c r="N1527">
        <v>27.62</v>
      </c>
      <c r="O1527">
        <v>50</v>
      </c>
      <c r="P1527">
        <v>4.25</v>
      </c>
      <c r="Q1527">
        <v>68</v>
      </c>
      <c r="R1527">
        <v>-1.0900000000000001</v>
      </c>
      <c r="S1527">
        <v>61</v>
      </c>
      <c r="T1527">
        <v>8.2799999999999994</v>
      </c>
      <c r="U1527">
        <v>64</v>
      </c>
      <c r="V1527">
        <v>0.77</v>
      </c>
      <c r="W1527">
        <v>23</v>
      </c>
      <c r="X1527" t="s">
        <v>94</v>
      </c>
      <c r="Y1527" t="s">
        <v>95</v>
      </c>
      <c r="Z1527" t="s">
        <v>96</v>
      </c>
      <c r="AA1527" t="s">
        <v>493</v>
      </c>
      <c r="AB1527" t="s">
        <v>5244</v>
      </c>
      <c r="AC1527">
        <v>15</v>
      </c>
      <c r="AD1527">
        <v>12</v>
      </c>
      <c r="AE1527">
        <v>71</v>
      </c>
      <c r="AF1527">
        <v>-243.79</v>
      </c>
      <c r="AG1527">
        <v>-3.4</v>
      </c>
      <c r="AH1527">
        <v>-9.84</v>
      </c>
      <c r="AI1527">
        <v>0.11</v>
      </c>
      <c r="AJ1527">
        <v>-0.03</v>
      </c>
      <c r="AK1527">
        <v>65</v>
      </c>
      <c r="AL1527">
        <v>129</v>
      </c>
      <c r="AM1527">
        <v>71</v>
      </c>
      <c r="AN1527">
        <v>-5.87</v>
      </c>
      <c r="AO1527">
        <v>2.74</v>
      </c>
      <c r="AP1527">
        <v>48</v>
      </c>
      <c r="AQ1527">
        <v>1</v>
      </c>
      <c r="AR1527">
        <v>5.81</v>
      </c>
      <c r="AS1527">
        <v>17</v>
      </c>
      <c r="AT1527">
        <v>2.5299999999999998</v>
      </c>
      <c r="AU1527">
        <v>57</v>
      </c>
      <c r="AV1527">
        <v>-2.58</v>
      </c>
      <c r="AW1527">
        <v>59</v>
      </c>
      <c r="AX1527">
        <v>0.57999999999999996</v>
      </c>
      <c r="AY1527">
        <v>65</v>
      </c>
      <c r="AZ1527">
        <v>6.36</v>
      </c>
      <c r="BA1527">
        <v>17</v>
      </c>
      <c r="BB1527">
        <v>5.13</v>
      </c>
      <c r="BC1527">
        <v>26</v>
      </c>
      <c r="BD1527">
        <v>0.03</v>
      </c>
      <c r="BE1527">
        <v>0.05</v>
      </c>
      <c r="BF1527">
        <v>-0.12</v>
      </c>
      <c r="BG1527">
        <v>86</v>
      </c>
      <c r="BH1527">
        <v>0.08</v>
      </c>
      <c r="BI1527">
        <v>6.78</v>
      </c>
      <c r="BJ1527">
        <v>14</v>
      </c>
      <c r="BK1527">
        <v>11</v>
      </c>
      <c r="BL1527">
        <v>-1.97</v>
      </c>
      <c r="BM1527">
        <v>0.77</v>
      </c>
      <c r="BN1527">
        <v>-1.85</v>
      </c>
      <c r="BO1527">
        <v>-1.84</v>
      </c>
      <c r="BP1527">
        <v>-0.54</v>
      </c>
      <c r="BQ1527">
        <v>0.12</v>
      </c>
      <c r="BR1527">
        <v>0.68</v>
      </c>
      <c r="BS1527">
        <v>-0.64</v>
      </c>
      <c r="BT1527">
        <v>-0.73</v>
      </c>
      <c r="BU1527">
        <v>-0.32</v>
      </c>
      <c r="BV1527">
        <v>-1.38</v>
      </c>
      <c r="BW1527">
        <v>-2.4700000000000002</v>
      </c>
      <c r="BX1527">
        <v>0.36</v>
      </c>
      <c r="BY1527">
        <v>-1.68</v>
      </c>
      <c r="BZ1527">
        <v>-1.83</v>
      </c>
      <c r="CA1527">
        <v>-1.63</v>
      </c>
      <c r="CB1527">
        <v>-1.19</v>
      </c>
      <c r="CC1527">
        <v>-1.88</v>
      </c>
      <c r="CD1527">
        <v>1.23</v>
      </c>
      <c r="CE1527">
        <v>-1.87</v>
      </c>
      <c r="CF1527">
        <v>-2.58</v>
      </c>
      <c r="CG1527">
        <v>0</v>
      </c>
      <c r="CH1527">
        <v>-1.92</v>
      </c>
      <c r="CI1527">
        <v>0</v>
      </c>
      <c r="CJ1527">
        <v>2.7</v>
      </c>
      <c r="CK1527">
        <v>70</v>
      </c>
      <c r="CL1527">
        <v>-0.02</v>
      </c>
      <c r="CM1527">
        <v>66</v>
      </c>
      <c r="CN1527">
        <v>-7.0000000000000007E-2</v>
      </c>
      <c r="CO1527">
        <v>62</v>
      </c>
      <c r="CP1527">
        <v>-0.6</v>
      </c>
      <c r="CQ1527">
        <v>65</v>
      </c>
      <c r="CR1527">
        <v>0</v>
      </c>
      <c r="CS1527">
        <v>0</v>
      </c>
      <c r="CT1527">
        <v>2.6</v>
      </c>
      <c r="CU1527">
        <v>64</v>
      </c>
      <c r="CV1527">
        <v>0.04</v>
      </c>
      <c r="CW1527">
        <v>19</v>
      </c>
      <c r="CX1527" t="s">
        <v>3702</v>
      </c>
    </row>
    <row r="1528" spans="1:102" x14ac:dyDescent="0.3">
      <c r="A1528" t="str">
        <f>HYPERLINK("https://webapp.icbf.com/v2/app/bull-search/view/122660290","RKO")</f>
        <v>RKO</v>
      </c>
      <c r="B1528" t="s">
        <v>4586</v>
      </c>
      <c r="C1528" t="s">
        <v>4587</v>
      </c>
      <c r="D1528" s="1">
        <v>37314</v>
      </c>
      <c r="E1528" t="s">
        <v>108</v>
      </c>
      <c r="F1528">
        <v>25</v>
      </c>
      <c r="G1528" t="s">
        <v>93</v>
      </c>
      <c r="H1528">
        <v>104.72</v>
      </c>
      <c r="I1528">
        <v>93</v>
      </c>
      <c r="J1528">
        <v>21.73</v>
      </c>
      <c r="K1528">
        <v>98</v>
      </c>
      <c r="L1528">
        <v>46.17</v>
      </c>
      <c r="M1528">
        <v>88</v>
      </c>
      <c r="N1528">
        <v>23.24</v>
      </c>
      <c r="O1528">
        <v>93</v>
      </c>
      <c r="P1528">
        <v>-11</v>
      </c>
      <c r="Q1528">
        <v>98</v>
      </c>
      <c r="R1528">
        <v>-3</v>
      </c>
      <c r="S1528">
        <v>90</v>
      </c>
      <c r="T1528">
        <v>16.86</v>
      </c>
      <c r="U1528">
        <v>96</v>
      </c>
      <c r="V1528">
        <v>10.72</v>
      </c>
      <c r="W1528">
        <v>92</v>
      </c>
      <c r="X1528" t="s">
        <v>102</v>
      </c>
      <c r="Y1528" t="s">
        <v>95</v>
      </c>
      <c r="Z1528" t="s">
        <v>96</v>
      </c>
      <c r="AA1528" t="s">
        <v>4265</v>
      </c>
      <c r="AB1528" t="s">
        <v>4588</v>
      </c>
      <c r="AC1528">
        <v>286</v>
      </c>
      <c r="AD1528">
        <v>122</v>
      </c>
      <c r="AE1528">
        <v>98</v>
      </c>
      <c r="AF1528">
        <v>172.52</v>
      </c>
      <c r="AG1528">
        <v>6.97</v>
      </c>
      <c r="AH1528">
        <v>3.87</v>
      </c>
      <c r="AI1528">
        <v>0</v>
      </c>
      <c r="AJ1528">
        <v>-0.03</v>
      </c>
      <c r="AK1528">
        <v>88</v>
      </c>
      <c r="AL1528">
        <v>403</v>
      </c>
      <c r="AM1528">
        <v>166</v>
      </c>
      <c r="AN1528">
        <v>-1.92</v>
      </c>
      <c r="AO1528">
        <v>1.77</v>
      </c>
      <c r="AP1528">
        <v>497</v>
      </c>
      <c r="AQ1528">
        <v>5</v>
      </c>
      <c r="AR1528">
        <v>7.28</v>
      </c>
      <c r="AS1528">
        <v>85</v>
      </c>
      <c r="AT1528">
        <v>3.05</v>
      </c>
      <c r="AU1528">
        <v>94</v>
      </c>
      <c r="AV1528">
        <v>-1.9</v>
      </c>
      <c r="AW1528">
        <v>98</v>
      </c>
      <c r="AX1528">
        <v>-0.56000000000000005</v>
      </c>
      <c r="AY1528">
        <v>94</v>
      </c>
      <c r="AZ1528">
        <v>5.13</v>
      </c>
      <c r="BA1528">
        <v>82</v>
      </c>
      <c r="BB1528">
        <v>4.2699999999999996</v>
      </c>
      <c r="BC1528">
        <v>85</v>
      </c>
      <c r="BD1528">
        <v>0</v>
      </c>
      <c r="BE1528">
        <v>0.01</v>
      </c>
      <c r="BF1528">
        <v>0.05</v>
      </c>
      <c r="BG1528">
        <v>94</v>
      </c>
      <c r="BH1528">
        <v>0.17</v>
      </c>
      <c r="BI1528">
        <v>-14.93</v>
      </c>
      <c r="BJ1528">
        <v>24</v>
      </c>
      <c r="BK1528">
        <v>20</v>
      </c>
      <c r="BL1528">
        <v>-1.74</v>
      </c>
      <c r="BM1528">
        <v>0.9</v>
      </c>
      <c r="BN1528">
        <v>-2.36</v>
      </c>
      <c r="BO1528">
        <v>-2.09</v>
      </c>
      <c r="BP1528">
        <v>-0.72</v>
      </c>
      <c r="BQ1528">
        <v>2.1</v>
      </c>
      <c r="BR1528">
        <v>-2.02</v>
      </c>
      <c r="BS1528">
        <v>-1.39</v>
      </c>
      <c r="BT1528">
        <v>0.42</v>
      </c>
      <c r="BU1528">
        <v>-1.26</v>
      </c>
      <c r="BV1528">
        <v>-1.05</v>
      </c>
      <c r="BW1528">
        <v>-1.21</v>
      </c>
      <c r="BX1528">
        <v>-0.64</v>
      </c>
      <c r="BY1528">
        <v>-1.06</v>
      </c>
      <c r="BZ1528">
        <v>-0.14000000000000001</v>
      </c>
      <c r="CA1528">
        <v>-1.1399999999999999</v>
      </c>
      <c r="CB1528">
        <v>-1.1200000000000001</v>
      </c>
      <c r="CC1528">
        <v>-0.78</v>
      </c>
      <c r="CD1528">
        <v>1.93</v>
      </c>
      <c r="CE1528">
        <v>-1.69</v>
      </c>
      <c r="CF1528">
        <v>-0.88</v>
      </c>
      <c r="CG1528">
        <v>0</v>
      </c>
      <c r="CH1528">
        <v>-0.93</v>
      </c>
      <c r="CI1528">
        <v>0</v>
      </c>
      <c r="CJ1528">
        <v>-4.8</v>
      </c>
      <c r="CK1528">
        <v>98</v>
      </c>
      <c r="CL1528">
        <v>-0.37</v>
      </c>
      <c r="CM1528">
        <v>98</v>
      </c>
      <c r="CN1528">
        <v>-0.1</v>
      </c>
      <c r="CO1528">
        <v>98</v>
      </c>
      <c r="CP1528">
        <v>-11.5</v>
      </c>
      <c r="CQ1528">
        <v>96</v>
      </c>
      <c r="CR1528">
        <v>0</v>
      </c>
      <c r="CS1528">
        <v>0</v>
      </c>
      <c r="CT1528">
        <v>-9</v>
      </c>
      <c r="CU1528">
        <v>96</v>
      </c>
      <c r="CV1528">
        <v>0.05</v>
      </c>
      <c r="CW1528">
        <v>46</v>
      </c>
      <c r="CX1528" t="s">
        <v>99</v>
      </c>
    </row>
    <row r="1529" spans="1:102" x14ac:dyDescent="0.3">
      <c r="A1529" t="str">
        <f>HYPERLINK("https://webapp.icbf.com/v2/app/bull-search/view/1122417654","S1689")</f>
        <v>S1689</v>
      </c>
      <c r="B1529" t="s">
        <v>5988</v>
      </c>
      <c r="C1529" t="s">
        <v>5989</v>
      </c>
      <c r="D1529" s="1">
        <v>40995</v>
      </c>
      <c r="E1529" t="s">
        <v>92</v>
      </c>
      <c r="F1529">
        <v>100</v>
      </c>
      <c r="G1529" t="s">
        <v>93</v>
      </c>
      <c r="H1529">
        <v>104.62</v>
      </c>
      <c r="I1529">
        <v>86</v>
      </c>
      <c r="J1529">
        <v>43.52</v>
      </c>
      <c r="K1529">
        <v>96</v>
      </c>
      <c r="L1529">
        <v>16.53</v>
      </c>
      <c r="M1529">
        <v>86</v>
      </c>
      <c r="N1529">
        <v>34.97</v>
      </c>
      <c r="O1529">
        <v>89</v>
      </c>
      <c r="P1529">
        <v>-6.38</v>
      </c>
      <c r="Q1529">
        <v>90</v>
      </c>
      <c r="R1529">
        <v>14.24</v>
      </c>
      <c r="S1529">
        <v>77</v>
      </c>
      <c r="T1529">
        <v>13.09</v>
      </c>
      <c r="U1529">
        <v>52</v>
      </c>
      <c r="V1529">
        <v>-11.35</v>
      </c>
      <c r="W1529">
        <v>65</v>
      </c>
      <c r="X1529" t="s">
        <v>102</v>
      </c>
      <c r="Y1529" t="s">
        <v>362</v>
      </c>
      <c r="Z1529" t="s">
        <v>96</v>
      </c>
      <c r="AA1529" t="s">
        <v>2699</v>
      </c>
      <c r="AB1529" t="s">
        <v>5990</v>
      </c>
      <c r="AC1529">
        <v>106</v>
      </c>
      <c r="AD1529">
        <v>38</v>
      </c>
      <c r="AE1529">
        <v>96</v>
      </c>
      <c r="AF1529">
        <v>342.72</v>
      </c>
      <c r="AG1529">
        <v>9.83</v>
      </c>
      <c r="AH1529">
        <v>9.17</v>
      </c>
      <c r="AI1529">
        <v>-0.06</v>
      </c>
      <c r="AJ1529">
        <v>-0.04</v>
      </c>
      <c r="AK1529">
        <v>86</v>
      </c>
      <c r="AL1529">
        <v>45</v>
      </c>
      <c r="AM1529">
        <v>15</v>
      </c>
      <c r="AN1529">
        <v>0.82</v>
      </c>
      <c r="AO1529">
        <v>2.16</v>
      </c>
      <c r="AP1529">
        <v>938</v>
      </c>
      <c r="AQ1529">
        <v>4</v>
      </c>
      <c r="AR1529">
        <v>6.44</v>
      </c>
      <c r="AS1529">
        <v>88</v>
      </c>
      <c r="AT1529">
        <v>3</v>
      </c>
      <c r="AU1529">
        <v>96</v>
      </c>
      <c r="AV1529">
        <v>-4.66</v>
      </c>
      <c r="AW1529">
        <v>99</v>
      </c>
      <c r="AX1529">
        <v>0.18</v>
      </c>
      <c r="AY1529">
        <v>93</v>
      </c>
      <c r="AZ1529">
        <v>7.11</v>
      </c>
      <c r="BA1529">
        <v>67</v>
      </c>
      <c r="BB1529">
        <v>5.85</v>
      </c>
      <c r="BC1529">
        <v>46</v>
      </c>
      <c r="BD1529">
        <v>-0.05</v>
      </c>
      <c r="BE1529">
        <v>-0.06</v>
      </c>
      <c r="BF1529">
        <v>-0.13</v>
      </c>
      <c r="BG1529">
        <v>93</v>
      </c>
      <c r="BH1529">
        <v>-0.19</v>
      </c>
      <c r="BI1529">
        <v>14.62</v>
      </c>
      <c r="BJ1529">
        <v>20</v>
      </c>
      <c r="BK1529">
        <v>6</v>
      </c>
      <c r="BL1529">
        <v>0.4</v>
      </c>
      <c r="BM1529">
        <v>0.52</v>
      </c>
      <c r="BN1529">
        <v>0.02</v>
      </c>
      <c r="BO1529">
        <v>0.52</v>
      </c>
      <c r="BP1529">
        <v>-1.0900000000000001</v>
      </c>
      <c r="BQ1529">
        <v>-0.01</v>
      </c>
      <c r="BR1529">
        <v>-0.38</v>
      </c>
      <c r="BS1529">
        <v>3.97</v>
      </c>
      <c r="BT1529">
        <v>0.96</v>
      </c>
      <c r="BU1529">
        <v>2.27</v>
      </c>
      <c r="BV1529">
        <v>2.5299999999999998</v>
      </c>
      <c r="BW1529">
        <v>1.39</v>
      </c>
      <c r="BX1529">
        <v>2.0099999999999998</v>
      </c>
      <c r="BY1529">
        <v>0.13</v>
      </c>
      <c r="BZ1529">
        <v>0.25</v>
      </c>
      <c r="CA1529">
        <v>2.89</v>
      </c>
      <c r="CB1529">
        <v>1.9</v>
      </c>
      <c r="CC1529">
        <v>3.51</v>
      </c>
      <c r="CD1529">
        <v>0.89</v>
      </c>
      <c r="CE1529">
        <v>1.19</v>
      </c>
      <c r="CF1529">
        <v>0.17</v>
      </c>
      <c r="CG1529">
        <v>0</v>
      </c>
      <c r="CH1529">
        <v>0.34</v>
      </c>
      <c r="CI1529">
        <v>0</v>
      </c>
      <c r="CJ1529">
        <v>-0.3</v>
      </c>
      <c r="CK1529">
        <v>93</v>
      </c>
      <c r="CL1529">
        <v>-0.96</v>
      </c>
      <c r="CM1529">
        <v>91</v>
      </c>
      <c r="CN1529">
        <v>-0.41</v>
      </c>
      <c r="CO1529">
        <v>90</v>
      </c>
      <c r="CP1529">
        <v>-5.7</v>
      </c>
      <c r="CQ1529">
        <v>66</v>
      </c>
      <c r="CR1529">
        <v>0</v>
      </c>
      <c r="CS1529">
        <v>0</v>
      </c>
      <c r="CT1529">
        <v>-3.9</v>
      </c>
      <c r="CU1529">
        <v>52</v>
      </c>
      <c r="CV1529">
        <v>0.14000000000000001</v>
      </c>
      <c r="CW1529">
        <v>44</v>
      </c>
      <c r="CX1529" t="s">
        <v>2048</v>
      </c>
    </row>
    <row r="1530" spans="1:102" x14ac:dyDescent="0.3">
      <c r="A1530" t="str">
        <f>HYPERLINK("https://webapp.icbf.com/v2/app/bull-search/view/720505273","VJB")</f>
        <v>VJB</v>
      </c>
      <c r="B1530" t="s">
        <v>6808</v>
      </c>
      <c r="C1530" t="s">
        <v>6809</v>
      </c>
      <c r="D1530" s="1">
        <v>39381</v>
      </c>
      <c r="E1530" t="s">
        <v>227</v>
      </c>
      <c r="F1530">
        <v>0</v>
      </c>
      <c r="G1530" t="s">
        <v>109</v>
      </c>
      <c r="H1530">
        <v>104.59</v>
      </c>
      <c r="I1530">
        <v>58</v>
      </c>
      <c r="J1530">
        <v>43.6</v>
      </c>
      <c r="K1530">
        <v>70</v>
      </c>
      <c r="L1530">
        <v>36.31</v>
      </c>
      <c r="M1530">
        <v>66</v>
      </c>
      <c r="N1530">
        <v>12.78</v>
      </c>
      <c r="O1530">
        <v>44</v>
      </c>
      <c r="P1530">
        <v>-60.45</v>
      </c>
      <c r="Q1530">
        <v>45</v>
      </c>
      <c r="R1530">
        <v>1.88</v>
      </c>
      <c r="S1530">
        <v>32</v>
      </c>
      <c r="T1530">
        <v>64.150000000000006</v>
      </c>
      <c r="U1530">
        <v>33</v>
      </c>
      <c r="V1530">
        <v>6.32</v>
      </c>
      <c r="W1530">
        <v>32</v>
      </c>
      <c r="X1530" t="s">
        <v>94</v>
      </c>
      <c r="Y1530" t="s">
        <v>1980</v>
      </c>
      <c r="Z1530">
        <v>0</v>
      </c>
      <c r="AA1530" t="s">
        <v>6507</v>
      </c>
      <c r="AB1530" t="s">
        <v>144</v>
      </c>
      <c r="AC1530">
        <v>0</v>
      </c>
      <c r="AD1530">
        <v>0</v>
      </c>
      <c r="AE1530">
        <v>70</v>
      </c>
      <c r="AF1530">
        <v>-389.62</v>
      </c>
      <c r="AG1530">
        <v>11.48</v>
      </c>
      <c r="AH1530">
        <v>-2.61</v>
      </c>
      <c r="AI1530">
        <v>0.47</v>
      </c>
      <c r="AJ1530">
        <v>0.19</v>
      </c>
      <c r="AK1530">
        <v>66</v>
      </c>
      <c r="AL1530">
        <v>0</v>
      </c>
      <c r="AM1530">
        <v>0</v>
      </c>
      <c r="AN1530">
        <v>-0.84</v>
      </c>
      <c r="AO1530">
        <v>2.0699999999999998</v>
      </c>
      <c r="AP1530">
        <v>9</v>
      </c>
      <c r="AQ1530">
        <v>0</v>
      </c>
      <c r="AR1530">
        <v>2.65</v>
      </c>
      <c r="AS1530">
        <v>33</v>
      </c>
      <c r="AT1530">
        <v>1.47</v>
      </c>
      <c r="AU1530">
        <v>36</v>
      </c>
      <c r="AV1530">
        <v>-0.22</v>
      </c>
      <c r="AW1530">
        <v>60</v>
      </c>
      <c r="AX1530">
        <v>3.2</v>
      </c>
      <c r="AY1530">
        <v>35</v>
      </c>
      <c r="AZ1530">
        <v>6.97</v>
      </c>
      <c r="BA1530">
        <v>30</v>
      </c>
      <c r="BB1530">
        <v>5.22</v>
      </c>
      <c r="BC1530">
        <v>28</v>
      </c>
      <c r="BD1530">
        <v>-0.05</v>
      </c>
      <c r="BE1530">
        <v>0</v>
      </c>
      <c r="BF1530">
        <v>0.04</v>
      </c>
      <c r="BG1530">
        <v>34</v>
      </c>
      <c r="BH1530">
        <v>0.15</v>
      </c>
      <c r="BI1530">
        <v>-3.03</v>
      </c>
      <c r="BJ1530">
        <v>0</v>
      </c>
      <c r="BK1530">
        <v>0</v>
      </c>
      <c r="BL1530">
        <v>-1.42</v>
      </c>
      <c r="BM1530">
        <v>-1.46</v>
      </c>
      <c r="BN1530">
        <v>-0.81</v>
      </c>
      <c r="BO1530">
        <v>0.96</v>
      </c>
      <c r="BP1530">
        <v>1.17</v>
      </c>
      <c r="BQ1530">
        <v>-5.59</v>
      </c>
      <c r="BR1530">
        <v>1.83</v>
      </c>
      <c r="BS1530">
        <v>6.71</v>
      </c>
      <c r="BT1530">
        <v>-1.07</v>
      </c>
      <c r="BU1530">
        <v>0.53</v>
      </c>
      <c r="BV1530">
        <v>0.32</v>
      </c>
      <c r="BW1530">
        <v>-1.56</v>
      </c>
      <c r="BX1530">
        <v>-1.88</v>
      </c>
      <c r="BY1530">
        <v>-0.49</v>
      </c>
      <c r="BZ1530">
        <v>1.33</v>
      </c>
      <c r="CA1530">
        <v>1.63</v>
      </c>
      <c r="CB1530">
        <v>0.21</v>
      </c>
      <c r="CC1530">
        <v>3.69</v>
      </c>
      <c r="CD1530">
        <v>-1.72</v>
      </c>
      <c r="CE1530">
        <v>0.75</v>
      </c>
      <c r="CF1530">
        <v>-1.62</v>
      </c>
      <c r="CG1530">
        <v>0</v>
      </c>
      <c r="CH1530">
        <v>-0.7</v>
      </c>
      <c r="CI1530">
        <v>0</v>
      </c>
      <c r="CJ1530">
        <v>-29.5</v>
      </c>
      <c r="CK1530">
        <v>47</v>
      </c>
      <c r="CL1530">
        <v>-1.24</v>
      </c>
      <c r="CM1530">
        <v>44</v>
      </c>
      <c r="CN1530">
        <v>-0.09</v>
      </c>
      <c r="CO1530">
        <v>42</v>
      </c>
      <c r="CP1530">
        <v>-53.3</v>
      </c>
      <c r="CQ1530">
        <v>37</v>
      </c>
      <c r="CR1530">
        <v>0</v>
      </c>
      <c r="CS1530">
        <v>0</v>
      </c>
      <c r="CT1530">
        <v>-72.900000000000006</v>
      </c>
      <c r="CU1530">
        <v>33</v>
      </c>
      <c r="CV1530">
        <v>-0.22</v>
      </c>
      <c r="CW1530">
        <v>13</v>
      </c>
      <c r="CX1530" t="s">
        <v>2659</v>
      </c>
    </row>
    <row r="1531" spans="1:102" x14ac:dyDescent="0.3">
      <c r="A1531" t="str">
        <f>HYPERLINK("https://webapp.icbf.com/v2/app/bull-search/view/487001920","WLB")</f>
        <v>WLB</v>
      </c>
      <c r="B1531" t="s">
        <v>12872</v>
      </c>
      <c r="C1531" t="s">
        <v>5340</v>
      </c>
      <c r="D1531" s="1">
        <v>38532</v>
      </c>
      <c r="E1531" t="s">
        <v>92</v>
      </c>
      <c r="F1531">
        <v>100</v>
      </c>
      <c r="G1531" t="s">
        <v>93</v>
      </c>
      <c r="H1531">
        <v>104.48</v>
      </c>
      <c r="I1531">
        <v>92</v>
      </c>
      <c r="J1531">
        <v>57.43</v>
      </c>
      <c r="K1531">
        <v>98</v>
      </c>
      <c r="L1531">
        <v>25.42</v>
      </c>
      <c r="M1531">
        <v>89</v>
      </c>
      <c r="N1531">
        <v>24.7</v>
      </c>
      <c r="O1531">
        <v>90</v>
      </c>
      <c r="P1531">
        <v>-15.5</v>
      </c>
      <c r="Q1531">
        <v>97</v>
      </c>
      <c r="R1531">
        <v>-8.42</v>
      </c>
      <c r="S1531">
        <v>83</v>
      </c>
      <c r="T1531">
        <v>13.31</v>
      </c>
      <c r="U1531">
        <v>92</v>
      </c>
      <c r="V1531">
        <v>7.54</v>
      </c>
      <c r="W1531">
        <v>79</v>
      </c>
      <c r="X1531" t="s">
        <v>276</v>
      </c>
      <c r="Y1531" t="s">
        <v>282</v>
      </c>
      <c r="Z1531" t="s">
        <v>330</v>
      </c>
      <c r="AA1531" t="s">
        <v>4822</v>
      </c>
      <c r="AB1531" t="s">
        <v>12873</v>
      </c>
      <c r="AC1531">
        <v>195</v>
      </c>
      <c r="AD1531">
        <v>65</v>
      </c>
      <c r="AE1531">
        <v>98</v>
      </c>
      <c r="AF1531">
        <v>261.14</v>
      </c>
      <c r="AG1531">
        <v>6.54</v>
      </c>
      <c r="AH1531">
        <v>11.45</v>
      </c>
      <c r="AI1531">
        <v>-0.06</v>
      </c>
      <c r="AJ1531">
        <v>0.04</v>
      </c>
      <c r="AK1531">
        <v>89</v>
      </c>
      <c r="AL1531">
        <v>221</v>
      </c>
      <c r="AM1531">
        <v>84</v>
      </c>
      <c r="AN1531">
        <v>-1.1499999999999999</v>
      </c>
      <c r="AO1531">
        <v>0.88</v>
      </c>
      <c r="AP1531">
        <v>316</v>
      </c>
      <c r="AQ1531">
        <v>2</v>
      </c>
      <c r="AR1531">
        <v>8.2100000000000009</v>
      </c>
      <c r="AS1531">
        <v>76</v>
      </c>
      <c r="AT1531">
        <v>2.89</v>
      </c>
      <c r="AU1531">
        <v>92</v>
      </c>
      <c r="AV1531">
        <v>-2.96</v>
      </c>
      <c r="AW1531">
        <v>98</v>
      </c>
      <c r="AX1531">
        <v>0.56000000000000005</v>
      </c>
      <c r="AY1531">
        <v>90</v>
      </c>
      <c r="AZ1531">
        <v>5.65</v>
      </c>
      <c r="BA1531">
        <v>75</v>
      </c>
      <c r="BB1531">
        <v>4.79</v>
      </c>
      <c r="BC1531">
        <v>76</v>
      </c>
      <c r="BD1531">
        <v>-0.02</v>
      </c>
      <c r="BE1531">
        <v>0.03</v>
      </c>
      <c r="BF1531">
        <v>0.17</v>
      </c>
      <c r="BG1531">
        <v>93</v>
      </c>
      <c r="BH1531">
        <v>0.06</v>
      </c>
      <c r="BI1531">
        <v>-17.37</v>
      </c>
      <c r="BJ1531">
        <v>0</v>
      </c>
      <c r="BK1531">
        <v>0</v>
      </c>
      <c r="BL1531">
        <v>-1.58</v>
      </c>
      <c r="BM1531">
        <v>0.72</v>
      </c>
      <c r="BN1531">
        <v>-0.3</v>
      </c>
      <c r="BO1531">
        <v>-1.48</v>
      </c>
      <c r="BP1531">
        <v>-0.94</v>
      </c>
      <c r="BQ1531">
        <v>-0.85</v>
      </c>
      <c r="BR1531">
        <v>2.74</v>
      </c>
      <c r="BS1531">
        <v>-1.98</v>
      </c>
      <c r="BT1531">
        <v>-2.56</v>
      </c>
      <c r="BU1531">
        <v>-1.1000000000000001</v>
      </c>
      <c r="BV1531">
        <v>-1.87</v>
      </c>
      <c r="BW1531">
        <v>-1.6</v>
      </c>
      <c r="BX1531">
        <v>-2.12</v>
      </c>
      <c r="BY1531">
        <v>-0.25</v>
      </c>
      <c r="BZ1531">
        <v>0.01</v>
      </c>
      <c r="CA1531">
        <v>-1.56</v>
      </c>
      <c r="CB1531">
        <v>-1.49</v>
      </c>
      <c r="CC1531">
        <v>-2.39</v>
      </c>
      <c r="CD1531">
        <v>0.64</v>
      </c>
      <c r="CE1531">
        <v>-1.31</v>
      </c>
      <c r="CF1531">
        <v>-1.21</v>
      </c>
      <c r="CG1531">
        <v>0</v>
      </c>
      <c r="CH1531">
        <v>-0.59</v>
      </c>
      <c r="CI1531">
        <v>0</v>
      </c>
      <c r="CJ1531">
        <v>-8.6</v>
      </c>
      <c r="CK1531">
        <v>97</v>
      </c>
      <c r="CL1531">
        <v>-0.59</v>
      </c>
      <c r="CM1531">
        <v>97</v>
      </c>
      <c r="CN1531">
        <v>-0.37</v>
      </c>
      <c r="CO1531">
        <v>96</v>
      </c>
      <c r="CP1531">
        <v>-12.5</v>
      </c>
      <c r="CQ1531">
        <v>93</v>
      </c>
      <c r="CR1531">
        <v>0</v>
      </c>
      <c r="CS1531">
        <v>0</v>
      </c>
      <c r="CT1531">
        <v>-4.2</v>
      </c>
      <c r="CU1531">
        <v>92</v>
      </c>
      <c r="CV1531">
        <v>-0.09</v>
      </c>
      <c r="CW1531">
        <v>46</v>
      </c>
      <c r="CX1531" t="s">
        <v>1663</v>
      </c>
    </row>
    <row r="1532" spans="1:102" x14ac:dyDescent="0.3">
      <c r="A1532" t="str">
        <f>HYPERLINK("https://webapp.icbf.com/v2/app/bull-search/view/1312504716","FR2466")</f>
        <v>FR2466</v>
      </c>
      <c r="B1532" t="s">
        <v>8397</v>
      </c>
      <c r="C1532" t="s">
        <v>8398</v>
      </c>
      <c r="D1532" s="1">
        <v>41776</v>
      </c>
      <c r="E1532" t="s">
        <v>92</v>
      </c>
      <c r="F1532">
        <v>100</v>
      </c>
      <c r="G1532" t="s">
        <v>435</v>
      </c>
      <c r="H1532">
        <v>104.41</v>
      </c>
      <c r="I1532">
        <v>65</v>
      </c>
      <c r="J1532">
        <v>57.5</v>
      </c>
      <c r="K1532">
        <v>87</v>
      </c>
      <c r="L1532">
        <v>28.58</v>
      </c>
      <c r="M1532">
        <v>60</v>
      </c>
      <c r="N1532">
        <v>22.56</v>
      </c>
      <c r="O1532">
        <v>59</v>
      </c>
      <c r="P1532">
        <v>-17.2</v>
      </c>
      <c r="Q1532">
        <v>38</v>
      </c>
      <c r="R1532">
        <v>9.99</v>
      </c>
      <c r="S1532">
        <v>62</v>
      </c>
      <c r="T1532">
        <v>0.43</v>
      </c>
      <c r="U1532">
        <v>34</v>
      </c>
      <c r="V1532">
        <v>2.5499999999999998</v>
      </c>
      <c r="W1532">
        <v>48</v>
      </c>
      <c r="X1532" t="s">
        <v>234</v>
      </c>
      <c r="Y1532" t="s">
        <v>429</v>
      </c>
      <c r="Z1532" t="s">
        <v>96</v>
      </c>
      <c r="AA1532" t="s">
        <v>8399</v>
      </c>
      <c r="AB1532" t="s">
        <v>8400</v>
      </c>
      <c r="AC1532">
        <v>0</v>
      </c>
      <c r="AD1532">
        <v>0</v>
      </c>
      <c r="AE1532">
        <v>87</v>
      </c>
      <c r="AF1532">
        <v>99.68</v>
      </c>
      <c r="AG1532">
        <v>15.22</v>
      </c>
      <c r="AH1532">
        <v>5.92</v>
      </c>
      <c r="AI1532">
        <v>0.19</v>
      </c>
      <c r="AJ1532">
        <v>0.04</v>
      </c>
      <c r="AK1532">
        <v>60</v>
      </c>
      <c r="AL1532">
        <v>0</v>
      </c>
      <c r="AM1532">
        <v>0</v>
      </c>
      <c r="AN1532">
        <v>-1.52</v>
      </c>
      <c r="AO1532">
        <v>0.76</v>
      </c>
      <c r="AP1532">
        <v>51</v>
      </c>
      <c r="AQ1532">
        <v>0</v>
      </c>
      <c r="AR1532">
        <v>6.63</v>
      </c>
      <c r="AS1532">
        <v>56</v>
      </c>
      <c r="AT1532">
        <v>3.41</v>
      </c>
      <c r="AU1532">
        <v>73</v>
      </c>
      <c r="AV1532">
        <v>-2.83</v>
      </c>
      <c r="AW1532">
        <v>65</v>
      </c>
      <c r="AX1532">
        <v>0.38</v>
      </c>
      <c r="AY1532">
        <v>55</v>
      </c>
      <c r="AZ1532">
        <v>5.99</v>
      </c>
      <c r="BA1532">
        <v>31</v>
      </c>
      <c r="BB1532">
        <v>4.93</v>
      </c>
      <c r="BC1532">
        <v>30</v>
      </c>
      <c r="BD1532">
        <v>-0.01</v>
      </c>
      <c r="BE1532">
        <v>-7.0000000000000007E-2</v>
      </c>
      <c r="BF1532">
        <v>-0.08</v>
      </c>
      <c r="BG1532">
        <v>77</v>
      </c>
      <c r="BH1532">
        <v>-0.04</v>
      </c>
      <c r="BI1532">
        <v>-12.84</v>
      </c>
      <c r="BJ1532">
        <v>0</v>
      </c>
      <c r="BK1532">
        <v>0</v>
      </c>
      <c r="BL1532">
        <v>0.55000000000000004</v>
      </c>
      <c r="BM1532">
        <v>-2.95</v>
      </c>
      <c r="BN1532">
        <v>-0.37</v>
      </c>
      <c r="BO1532">
        <v>1.08</v>
      </c>
      <c r="BP1532">
        <v>0.42</v>
      </c>
      <c r="BQ1532">
        <v>-1.56</v>
      </c>
      <c r="BR1532">
        <v>0.74</v>
      </c>
      <c r="BS1532">
        <v>0.66</v>
      </c>
      <c r="BT1532">
        <v>-0.18</v>
      </c>
      <c r="BU1532">
        <v>2.62</v>
      </c>
      <c r="BV1532">
        <v>3.01</v>
      </c>
      <c r="BW1532">
        <v>2.33</v>
      </c>
      <c r="BX1532">
        <v>1.88</v>
      </c>
      <c r="BY1532">
        <v>2.2000000000000002</v>
      </c>
      <c r="BZ1532">
        <v>-1.61</v>
      </c>
      <c r="CA1532">
        <v>2.23</v>
      </c>
      <c r="CB1532">
        <v>2.19</v>
      </c>
      <c r="CC1532">
        <v>1.4</v>
      </c>
      <c r="CD1532">
        <v>-1.27</v>
      </c>
      <c r="CE1532">
        <v>1.35</v>
      </c>
      <c r="CF1532">
        <v>0.7</v>
      </c>
      <c r="CG1532">
        <v>0</v>
      </c>
      <c r="CH1532">
        <v>1.81</v>
      </c>
      <c r="CI1532">
        <v>0</v>
      </c>
      <c r="CJ1532">
        <v>-9.1</v>
      </c>
      <c r="CK1532">
        <v>39</v>
      </c>
      <c r="CL1532">
        <v>-1.67</v>
      </c>
      <c r="CM1532">
        <v>38</v>
      </c>
      <c r="CN1532">
        <v>-1.1000000000000001</v>
      </c>
      <c r="CO1532">
        <v>38</v>
      </c>
      <c r="CP1532">
        <v>-1.9</v>
      </c>
      <c r="CQ1532">
        <v>35</v>
      </c>
      <c r="CR1532">
        <v>0</v>
      </c>
      <c r="CS1532">
        <v>0</v>
      </c>
      <c r="CT1532">
        <v>13.2</v>
      </c>
      <c r="CU1532">
        <v>34</v>
      </c>
      <c r="CV1532">
        <v>0.13</v>
      </c>
      <c r="CW1532">
        <v>32</v>
      </c>
      <c r="CX1532" t="s">
        <v>1847</v>
      </c>
    </row>
    <row r="1533" spans="1:102" x14ac:dyDescent="0.3">
      <c r="A1533" t="str">
        <f>HYPERLINK("https://webapp.icbf.com/v2/app/bull-search/view/676656710","S704")</f>
        <v>S704</v>
      </c>
      <c r="B1533" t="s">
        <v>1540</v>
      </c>
      <c r="C1533" t="s">
        <v>1541</v>
      </c>
      <c r="D1533" s="1">
        <v>39179</v>
      </c>
      <c r="E1533" t="s">
        <v>108</v>
      </c>
      <c r="F1533">
        <v>0</v>
      </c>
      <c r="G1533" t="s">
        <v>109</v>
      </c>
      <c r="H1533">
        <v>104.4</v>
      </c>
      <c r="I1533">
        <v>86</v>
      </c>
      <c r="J1533">
        <v>-37.44</v>
      </c>
      <c r="K1533">
        <v>94</v>
      </c>
      <c r="L1533">
        <v>94.61</v>
      </c>
      <c r="M1533">
        <v>84</v>
      </c>
      <c r="N1533">
        <v>32.840000000000003</v>
      </c>
      <c r="O1533">
        <v>80</v>
      </c>
      <c r="P1533">
        <v>-12.61</v>
      </c>
      <c r="Q1533">
        <v>87</v>
      </c>
      <c r="R1533">
        <v>0.39</v>
      </c>
      <c r="S1533">
        <v>75</v>
      </c>
      <c r="T1533">
        <v>16.86</v>
      </c>
      <c r="U1533">
        <v>75</v>
      </c>
      <c r="V1533">
        <v>9.75</v>
      </c>
      <c r="W1533">
        <v>70</v>
      </c>
      <c r="X1533" t="s">
        <v>251</v>
      </c>
      <c r="Y1533" t="s">
        <v>1494</v>
      </c>
      <c r="Z1533" t="s">
        <v>96</v>
      </c>
      <c r="AA1533" t="s">
        <v>1129</v>
      </c>
      <c r="AB1533" t="s">
        <v>1542</v>
      </c>
      <c r="AC1533">
        <v>41</v>
      </c>
      <c r="AD1533">
        <v>14</v>
      </c>
      <c r="AE1533">
        <v>94</v>
      </c>
      <c r="AF1533">
        <v>-351.15</v>
      </c>
      <c r="AG1533">
        <v>-8.26</v>
      </c>
      <c r="AH1533">
        <v>-8.82</v>
      </c>
      <c r="AI1533">
        <v>0.1</v>
      </c>
      <c r="AJ1533">
        <v>0.06</v>
      </c>
      <c r="AK1533">
        <v>84</v>
      </c>
      <c r="AL1533">
        <v>49</v>
      </c>
      <c r="AM1533">
        <v>20</v>
      </c>
      <c r="AN1533">
        <v>-5.56</v>
      </c>
      <c r="AO1533">
        <v>1.98</v>
      </c>
      <c r="AP1533">
        <v>89</v>
      </c>
      <c r="AQ1533">
        <v>0</v>
      </c>
      <c r="AR1533">
        <v>5.59</v>
      </c>
      <c r="AS1533">
        <v>72</v>
      </c>
      <c r="AT1533">
        <v>2.67</v>
      </c>
      <c r="AU1533">
        <v>81</v>
      </c>
      <c r="AV1533">
        <v>-3.99</v>
      </c>
      <c r="AW1533">
        <v>90</v>
      </c>
      <c r="AX1533">
        <v>-0.21</v>
      </c>
      <c r="AY1533">
        <v>77</v>
      </c>
      <c r="AZ1533">
        <v>7.88</v>
      </c>
      <c r="BA1533">
        <v>58</v>
      </c>
      <c r="BB1533">
        <v>6.03</v>
      </c>
      <c r="BC1533">
        <v>57</v>
      </c>
      <c r="BD1533">
        <v>0</v>
      </c>
      <c r="BE1533">
        <v>-0.01</v>
      </c>
      <c r="BF1533">
        <v>0.01</v>
      </c>
      <c r="BG1533">
        <v>89</v>
      </c>
      <c r="BH1533">
        <v>0.09</v>
      </c>
      <c r="BI1533">
        <v>-21.03</v>
      </c>
      <c r="BJ1533">
        <v>8</v>
      </c>
      <c r="BK1533">
        <v>3</v>
      </c>
      <c r="BL1533">
        <v>-2.39</v>
      </c>
      <c r="BM1533">
        <v>2.76</v>
      </c>
      <c r="BN1533">
        <v>-0.28999999999999998</v>
      </c>
      <c r="BO1533">
        <v>-1.84</v>
      </c>
      <c r="BP1533">
        <v>-0.45</v>
      </c>
      <c r="BQ1533">
        <v>1.6</v>
      </c>
      <c r="BR1533">
        <v>-1.92</v>
      </c>
      <c r="BS1533">
        <v>1.76</v>
      </c>
      <c r="BT1533">
        <v>0.63</v>
      </c>
      <c r="BU1533">
        <v>1.4</v>
      </c>
      <c r="BV1533">
        <v>-0.44</v>
      </c>
      <c r="BW1533">
        <v>-0.01</v>
      </c>
      <c r="BX1533">
        <v>1.19</v>
      </c>
      <c r="BY1533">
        <v>2.27</v>
      </c>
      <c r="BZ1533">
        <v>-2.5</v>
      </c>
      <c r="CA1533">
        <v>0.67</v>
      </c>
      <c r="CB1533">
        <v>0.6</v>
      </c>
      <c r="CC1533">
        <v>0.6</v>
      </c>
      <c r="CD1533">
        <v>2.4700000000000002</v>
      </c>
      <c r="CE1533">
        <v>-2.54</v>
      </c>
      <c r="CF1533">
        <v>-1.7</v>
      </c>
      <c r="CG1533">
        <v>0</v>
      </c>
      <c r="CH1533">
        <v>2.37</v>
      </c>
      <c r="CI1533">
        <v>0</v>
      </c>
      <c r="CJ1533">
        <v>-6.1</v>
      </c>
      <c r="CK1533">
        <v>89</v>
      </c>
      <c r="CL1533">
        <v>-0.26</v>
      </c>
      <c r="CM1533">
        <v>87</v>
      </c>
      <c r="CN1533">
        <v>0.01</v>
      </c>
      <c r="CO1533">
        <v>86</v>
      </c>
      <c r="CP1533">
        <v>-9.3000000000000007</v>
      </c>
      <c r="CQ1533">
        <v>74</v>
      </c>
      <c r="CR1533">
        <v>0</v>
      </c>
      <c r="CS1533">
        <v>0</v>
      </c>
      <c r="CT1533">
        <v>-9</v>
      </c>
      <c r="CU1533">
        <v>75</v>
      </c>
      <c r="CV1533">
        <v>7.0000000000000007E-2</v>
      </c>
      <c r="CW1533">
        <v>43</v>
      </c>
      <c r="CX1533" t="s">
        <v>1543</v>
      </c>
    </row>
    <row r="1534" spans="1:102" x14ac:dyDescent="0.3">
      <c r="A1534" t="str">
        <f>HYPERLINK("https://webapp.icbf.com/v2/app/bull-search/view/1194906892","S2308")</f>
        <v>S2308</v>
      </c>
      <c r="B1534" t="s">
        <v>13535</v>
      </c>
      <c r="C1534" t="s">
        <v>13536</v>
      </c>
      <c r="D1534" s="1">
        <v>41499</v>
      </c>
      <c r="E1534" t="s">
        <v>92</v>
      </c>
      <c r="F1534">
        <v>100</v>
      </c>
      <c r="G1534" t="s">
        <v>109</v>
      </c>
      <c r="H1534">
        <v>104.29</v>
      </c>
      <c r="I1534">
        <v>74</v>
      </c>
      <c r="J1534">
        <v>35.47</v>
      </c>
      <c r="K1534">
        <v>92</v>
      </c>
      <c r="L1534">
        <v>25.73</v>
      </c>
      <c r="M1534">
        <v>73</v>
      </c>
      <c r="N1534">
        <v>39.340000000000003</v>
      </c>
      <c r="O1534">
        <v>65</v>
      </c>
      <c r="P1534">
        <v>-19.100000000000001</v>
      </c>
      <c r="Q1534">
        <v>51</v>
      </c>
      <c r="R1534">
        <v>3.35</v>
      </c>
      <c r="S1534">
        <v>73</v>
      </c>
      <c r="T1534">
        <v>14.12</v>
      </c>
      <c r="U1534">
        <v>48</v>
      </c>
      <c r="V1534">
        <v>5.38</v>
      </c>
      <c r="W1534">
        <v>65</v>
      </c>
      <c r="X1534" t="s">
        <v>251</v>
      </c>
      <c r="Y1534" t="s">
        <v>411</v>
      </c>
      <c r="Z1534" t="s">
        <v>96</v>
      </c>
      <c r="AA1534" t="s">
        <v>1783</v>
      </c>
      <c r="AB1534" t="s">
        <v>13537</v>
      </c>
      <c r="AC1534">
        <v>0</v>
      </c>
      <c r="AD1534">
        <v>0</v>
      </c>
      <c r="AE1534">
        <v>92</v>
      </c>
      <c r="AF1534">
        <v>75.400000000000006</v>
      </c>
      <c r="AG1534">
        <v>6.18</v>
      </c>
      <c r="AH1534">
        <v>5</v>
      </c>
      <c r="AI1534">
        <v>0.06</v>
      </c>
      <c r="AJ1534">
        <v>0.04</v>
      </c>
      <c r="AK1534">
        <v>73</v>
      </c>
      <c r="AL1534">
        <v>0</v>
      </c>
      <c r="AM1534">
        <v>0</v>
      </c>
      <c r="AN1534">
        <v>-0.8</v>
      </c>
      <c r="AO1534">
        <v>1.26</v>
      </c>
      <c r="AP1534">
        <v>17</v>
      </c>
      <c r="AQ1534">
        <v>0</v>
      </c>
      <c r="AR1534">
        <v>6.24</v>
      </c>
      <c r="AS1534">
        <v>64</v>
      </c>
      <c r="AT1534">
        <v>2.6</v>
      </c>
      <c r="AU1534">
        <v>72</v>
      </c>
      <c r="AV1534">
        <v>-3.91</v>
      </c>
      <c r="AW1534">
        <v>70</v>
      </c>
      <c r="AX1534">
        <v>-0.27</v>
      </c>
      <c r="AY1534">
        <v>51</v>
      </c>
      <c r="AZ1534">
        <v>5.46</v>
      </c>
      <c r="BA1534">
        <v>52</v>
      </c>
      <c r="BB1534">
        <v>5.29</v>
      </c>
      <c r="BC1534">
        <v>51</v>
      </c>
      <c r="BD1534">
        <v>0</v>
      </c>
      <c r="BE1534">
        <v>-0.03</v>
      </c>
      <c r="BF1534">
        <v>-0.02</v>
      </c>
      <c r="BG1534">
        <v>84</v>
      </c>
      <c r="BH1534">
        <v>-0.19</v>
      </c>
      <c r="BI1534">
        <v>-39.32</v>
      </c>
      <c r="BJ1534">
        <v>2</v>
      </c>
      <c r="BK1534">
        <v>1</v>
      </c>
      <c r="BL1534">
        <v>0.57999999999999996</v>
      </c>
      <c r="BM1534">
        <v>-2.25</v>
      </c>
      <c r="BN1534">
        <v>-0.17</v>
      </c>
      <c r="BO1534">
        <v>1.31</v>
      </c>
      <c r="BP1534">
        <v>0.92</v>
      </c>
      <c r="BQ1534">
        <v>-3.21</v>
      </c>
      <c r="BR1534">
        <v>0.34</v>
      </c>
      <c r="BS1534">
        <v>-0.56000000000000005</v>
      </c>
      <c r="BT1534">
        <v>-0.62</v>
      </c>
      <c r="BU1534">
        <v>0.14000000000000001</v>
      </c>
      <c r="BV1534">
        <v>0.18</v>
      </c>
      <c r="BW1534">
        <v>-0.94</v>
      </c>
      <c r="BX1534">
        <v>0.62</v>
      </c>
      <c r="BY1534">
        <v>0.16</v>
      </c>
      <c r="BZ1534">
        <v>-2.85</v>
      </c>
      <c r="CA1534">
        <v>0.23</v>
      </c>
      <c r="CB1534">
        <v>0.15</v>
      </c>
      <c r="CC1534">
        <v>0.34</v>
      </c>
      <c r="CD1534">
        <v>-1.24</v>
      </c>
      <c r="CE1534">
        <v>1.3</v>
      </c>
      <c r="CF1534">
        <v>0.04</v>
      </c>
      <c r="CG1534">
        <v>0</v>
      </c>
      <c r="CH1534">
        <v>0.06</v>
      </c>
      <c r="CI1534">
        <v>0</v>
      </c>
      <c r="CJ1534">
        <v>-8.8000000000000007</v>
      </c>
      <c r="CK1534">
        <v>52</v>
      </c>
      <c r="CL1534">
        <v>-1.37</v>
      </c>
      <c r="CM1534">
        <v>51</v>
      </c>
      <c r="CN1534">
        <v>-0.69</v>
      </c>
      <c r="CO1534">
        <v>50</v>
      </c>
      <c r="CP1534">
        <v>-6</v>
      </c>
      <c r="CQ1534">
        <v>50</v>
      </c>
      <c r="CR1534">
        <v>0</v>
      </c>
      <c r="CS1534">
        <v>0</v>
      </c>
      <c r="CT1534">
        <v>-5.3</v>
      </c>
      <c r="CU1534">
        <v>48</v>
      </c>
      <c r="CV1534">
        <v>0.21</v>
      </c>
      <c r="CW1534">
        <v>36</v>
      </c>
      <c r="CX1534" t="s">
        <v>277</v>
      </c>
    </row>
    <row r="1535" spans="1:102" x14ac:dyDescent="0.3">
      <c r="A1535" t="str">
        <f>HYPERLINK("https://webapp.icbf.com/v2/app/bull-search/view/1056671060","S1623")</f>
        <v>S1623</v>
      </c>
      <c r="B1535" t="s">
        <v>13279</v>
      </c>
      <c r="C1535" t="s">
        <v>2203</v>
      </c>
      <c r="D1535" s="1">
        <v>40822</v>
      </c>
      <c r="E1535" t="s">
        <v>92</v>
      </c>
      <c r="F1535">
        <v>100</v>
      </c>
      <c r="G1535" t="s">
        <v>109</v>
      </c>
      <c r="H1535">
        <v>104.27</v>
      </c>
      <c r="I1535">
        <v>85</v>
      </c>
      <c r="J1535">
        <v>109.59</v>
      </c>
      <c r="K1535">
        <v>94</v>
      </c>
      <c r="L1535">
        <v>-49.36</v>
      </c>
      <c r="M1535">
        <v>86</v>
      </c>
      <c r="N1535">
        <v>39.31</v>
      </c>
      <c r="O1535">
        <v>84</v>
      </c>
      <c r="P1535">
        <v>-5.36</v>
      </c>
      <c r="Q1535">
        <v>77</v>
      </c>
      <c r="R1535">
        <v>16.27</v>
      </c>
      <c r="S1535">
        <v>77</v>
      </c>
      <c r="T1535">
        <v>2.2799999999999998</v>
      </c>
      <c r="U1535">
        <v>65</v>
      </c>
      <c r="V1535">
        <v>-8.4600000000000009</v>
      </c>
      <c r="W1535">
        <v>63</v>
      </c>
      <c r="X1535" t="s">
        <v>234</v>
      </c>
      <c r="Y1535" t="s">
        <v>362</v>
      </c>
      <c r="Z1535" t="s">
        <v>96</v>
      </c>
      <c r="AA1535" t="s">
        <v>353</v>
      </c>
      <c r="AB1535" t="s">
        <v>13280</v>
      </c>
      <c r="AC1535">
        <v>0</v>
      </c>
      <c r="AD1535">
        <v>0</v>
      </c>
      <c r="AE1535">
        <v>94</v>
      </c>
      <c r="AF1535">
        <v>597.01</v>
      </c>
      <c r="AG1535">
        <v>22.18</v>
      </c>
      <c r="AH1535">
        <v>19.93</v>
      </c>
      <c r="AI1535">
        <v>-0.02</v>
      </c>
      <c r="AJ1535">
        <v>-0.01</v>
      </c>
      <c r="AK1535">
        <v>86</v>
      </c>
      <c r="AL1535">
        <v>0</v>
      </c>
      <c r="AM1535">
        <v>0</v>
      </c>
      <c r="AN1535">
        <v>3.18</v>
      </c>
      <c r="AO1535">
        <v>-0.75</v>
      </c>
      <c r="AP1535">
        <v>182</v>
      </c>
      <c r="AQ1535">
        <v>0</v>
      </c>
      <c r="AR1535">
        <v>5.73</v>
      </c>
      <c r="AS1535">
        <v>81</v>
      </c>
      <c r="AT1535">
        <v>2.35</v>
      </c>
      <c r="AU1535">
        <v>95</v>
      </c>
      <c r="AV1535">
        <v>-4.07</v>
      </c>
      <c r="AW1535">
        <v>92</v>
      </c>
      <c r="AX1535">
        <v>-0.64</v>
      </c>
      <c r="AY1535">
        <v>82</v>
      </c>
      <c r="AZ1535">
        <v>7.51</v>
      </c>
      <c r="BA1535">
        <v>56</v>
      </c>
      <c r="BB1535">
        <v>5.66</v>
      </c>
      <c r="BC1535">
        <v>45</v>
      </c>
      <c r="BD1535">
        <v>-0.06</v>
      </c>
      <c r="BE1535">
        <v>-0.06</v>
      </c>
      <c r="BF1535">
        <v>-0.16</v>
      </c>
      <c r="BG1535">
        <v>93</v>
      </c>
      <c r="BH1535">
        <v>-0.15</v>
      </c>
      <c r="BI1535">
        <v>9.94</v>
      </c>
      <c r="BJ1535">
        <v>7</v>
      </c>
      <c r="BK1535">
        <v>6</v>
      </c>
      <c r="BL1535">
        <v>1.28</v>
      </c>
      <c r="BM1535">
        <v>1.23</v>
      </c>
      <c r="BN1535">
        <v>1.73</v>
      </c>
      <c r="BO1535">
        <v>0.98</v>
      </c>
      <c r="BP1535">
        <v>0.77</v>
      </c>
      <c r="BQ1535">
        <v>1.29</v>
      </c>
      <c r="BR1535">
        <v>-0.4</v>
      </c>
      <c r="BS1535">
        <v>1.63</v>
      </c>
      <c r="BT1535">
        <v>1.26</v>
      </c>
      <c r="BU1535">
        <v>2.25</v>
      </c>
      <c r="BV1535">
        <v>3.15</v>
      </c>
      <c r="BW1535">
        <v>2.34</v>
      </c>
      <c r="BX1535">
        <v>0.67</v>
      </c>
      <c r="BY1535">
        <v>2.95</v>
      </c>
      <c r="BZ1535">
        <v>1.28</v>
      </c>
      <c r="CA1535">
        <v>2.4300000000000002</v>
      </c>
      <c r="CB1535">
        <v>2.23</v>
      </c>
      <c r="CC1535">
        <v>1.77</v>
      </c>
      <c r="CD1535">
        <v>0.35</v>
      </c>
      <c r="CE1535">
        <v>1.23</v>
      </c>
      <c r="CF1535">
        <v>1.7</v>
      </c>
      <c r="CG1535">
        <v>0</v>
      </c>
      <c r="CH1535">
        <v>2.7</v>
      </c>
      <c r="CI1535">
        <v>0</v>
      </c>
      <c r="CJ1535">
        <v>0.4</v>
      </c>
      <c r="CK1535">
        <v>80</v>
      </c>
      <c r="CL1535">
        <v>-1.21</v>
      </c>
      <c r="CM1535">
        <v>76</v>
      </c>
      <c r="CN1535">
        <v>-0.56000000000000005</v>
      </c>
      <c r="CO1535">
        <v>74</v>
      </c>
      <c r="CP1535">
        <v>0.1</v>
      </c>
      <c r="CQ1535">
        <v>66</v>
      </c>
      <c r="CR1535">
        <v>0</v>
      </c>
      <c r="CS1535">
        <v>0</v>
      </c>
      <c r="CT1535">
        <v>10.7</v>
      </c>
      <c r="CU1535">
        <v>65</v>
      </c>
      <c r="CV1535">
        <v>0.24</v>
      </c>
      <c r="CW1535">
        <v>42</v>
      </c>
      <c r="CX1535" t="s">
        <v>348</v>
      </c>
    </row>
    <row r="1536" spans="1:102" x14ac:dyDescent="0.3">
      <c r="A1536" t="str">
        <f>HYPERLINK("https://webapp.icbf.com/v2/app/bull-search/view/586201024","S953")</f>
        <v>S953</v>
      </c>
      <c r="B1536" t="s">
        <v>5273</v>
      </c>
      <c r="C1536" t="s">
        <v>5274</v>
      </c>
      <c r="D1536" s="1">
        <v>38515</v>
      </c>
      <c r="E1536" t="s">
        <v>92</v>
      </c>
      <c r="F1536">
        <v>100</v>
      </c>
      <c r="G1536" t="s">
        <v>93</v>
      </c>
      <c r="H1536">
        <v>104.17</v>
      </c>
      <c r="I1536">
        <v>91</v>
      </c>
      <c r="J1536">
        <v>57.57</v>
      </c>
      <c r="K1536">
        <v>98</v>
      </c>
      <c r="L1536">
        <v>0.09</v>
      </c>
      <c r="M1536">
        <v>91</v>
      </c>
      <c r="N1536">
        <v>44.41</v>
      </c>
      <c r="O1536">
        <v>91</v>
      </c>
      <c r="P1536">
        <v>-4.3899999999999997</v>
      </c>
      <c r="Q1536">
        <v>95</v>
      </c>
      <c r="R1536">
        <v>7.41</v>
      </c>
      <c r="S1536">
        <v>76</v>
      </c>
      <c r="T1536">
        <v>-4.38</v>
      </c>
      <c r="U1536">
        <v>82</v>
      </c>
      <c r="V1536">
        <v>3.46</v>
      </c>
      <c r="W1536">
        <v>60</v>
      </c>
      <c r="X1536" t="s">
        <v>288</v>
      </c>
      <c r="Y1536" t="s">
        <v>303</v>
      </c>
      <c r="Z1536" t="s">
        <v>96</v>
      </c>
      <c r="AA1536" t="s">
        <v>316</v>
      </c>
      <c r="AB1536" t="s">
        <v>5275</v>
      </c>
      <c r="AC1536">
        <v>209</v>
      </c>
      <c r="AD1536">
        <v>84</v>
      </c>
      <c r="AE1536">
        <v>98</v>
      </c>
      <c r="AF1536">
        <v>481.09</v>
      </c>
      <c r="AG1536">
        <v>13.13</v>
      </c>
      <c r="AH1536">
        <v>12.51</v>
      </c>
      <c r="AI1536">
        <v>-0.09</v>
      </c>
      <c r="AJ1536">
        <v>-0.06</v>
      </c>
      <c r="AK1536">
        <v>91</v>
      </c>
      <c r="AL1536">
        <v>220</v>
      </c>
      <c r="AM1536">
        <v>81</v>
      </c>
      <c r="AN1536">
        <v>0.23</v>
      </c>
      <c r="AO1536">
        <v>0.24</v>
      </c>
      <c r="AP1536">
        <v>499</v>
      </c>
      <c r="AQ1536">
        <v>3</v>
      </c>
      <c r="AR1536">
        <v>5.47</v>
      </c>
      <c r="AS1536">
        <v>89</v>
      </c>
      <c r="AT1536">
        <v>2.34</v>
      </c>
      <c r="AU1536">
        <v>98</v>
      </c>
      <c r="AV1536">
        <v>-3.72</v>
      </c>
      <c r="AW1536">
        <v>97</v>
      </c>
      <c r="AX1536">
        <v>-1.28</v>
      </c>
      <c r="AY1536">
        <v>91</v>
      </c>
      <c r="AZ1536">
        <v>6.18</v>
      </c>
      <c r="BA1536">
        <v>77</v>
      </c>
      <c r="BB1536">
        <v>5</v>
      </c>
      <c r="BC1536">
        <v>66</v>
      </c>
      <c r="BD1536">
        <v>-0.02</v>
      </c>
      <c r="BE1536">
        <v>-0.03</v>
      </c>
      <c r="BF1536">
        <v>-0.08</v>
      </c>
      <c r="BG1536">
        <v>91</v>
      </c>
      <c r="BH1536">
        <v>-0.06</v>
      </c>
      <c r="BI1536">
        <v>-18.100000000000001</v>
      </c>
      <c r="BJ1536">
        <v>90</v>
      </c>
      <c r="BK1536">
        <v>43</v>
      </c>
      <c r="BL1536">
        <v>1.79</v>
      </c>
      <c r="BM1536">
        <v>1.17</v>
      </c>
      <c r="BN1536">
        <v>1.39</v>
      </c>
      <c r="BO1536">
        <v>0.56000000000000005</v>
      </c>
      <c r="BP1536">
        <v>0.68</v>
      </c>
      <c r="BQ1536">
        <v>2.58</v>
      </c>
      <c r="BR1536">
        <v>-0.25</v>
      </c>
      <c r="BS1536">
        <v>0.34</v>
      </c>
      <c r="BT1536">
        <v>-0.49</v>
      </c>
      <c r="BU1536">
        <v>2.16</v>
      </c>
      <c r="BV1536">
        <v>2.5499999999999998</v>
      </c>
      <c r="BW1536">
        <v>2.02</v>
      </c>
      <c r="BX1536">
        <v>1.4</v>
      </c>
      <c r="BY1536">
        <v>2.63</v>
      </c>
      <c r="BZ1536">
        <v>-0.45</v>
      </c>
      <c r="CA1536">
        <v>2.2799999999999998</v>
      </c>
      <c r="CB1536">
        <v>2.2000000000000002</v>
      </c>
      <c r="CC1536">
        <v>1.47</v>
      </c>
      <c r="CD1536">
        <v>0.25</v>
      </c>
      <c r="CE1536">
        <v>0.76</v>
      </c>
      <c r="CF1536">
        <v>1.59</v>
      </c>
      <c r="CG1536">
        <v>0</v>
      </c>
      <c r="CH1536">
        <v>1.36</v>
      </c>
      <c r="CI1536">
        <v>0</v>
      </c>
      <c r="CJ1536">
        <v>0.7</v>
      </c>
      <c r="CK1536">
        <v>96</v>
      </c>
      <c r="CL1536">
        <v>-1.18</v>
      </c>
      <c r="CM1536">
        <v>95</v>
      </c>
      <c r="CN1536">
        <v>-0.57999999999999996</v>
      </c>
      <c r="CO1536">
        <v>95</v>
      </c>
      <c r="CP1536">
        <v>0.2</v>
      </c>
      <c r="CQ1536">
        <v>90</v>
      </c>
      <c r="CR1536">
        <v>0</v>
      </c>
      <c r="CS1536">
        <v>0</v>
      </c>
      <c r="CT1536">
        <v>19.7</v>
      </c>
      <c r="CU1536">
        <v>82</v>
      </c>
      <c r="CV1536">
        <v>0.44</v>
      </c>
      <c r="CW1536">
        <v>33</v>
      </c>
      <c r="CX1536" t="s">
        <v>5276</v>
      </c>
    </row>
    <row r="1537" spans="1:102" x14ac:dyDescent="0.3">
      <c r="A1537" t="str">
        <f>HYPERLINK("https://webapp.icbf.com/v2/app/bull-search/view/69092755","TBH")</f>
        <v>TBH</v>
      </c>
      <c r="B1537" t="s">
        <v>4687</v>
      </c>
      <c r="C1537" t="s">
        <v>4688</v>
      </c>
      <c r="D1537" s="1">
        <v>34904</v>
      </c>
      <c r="E1537" t="s">
        <v>92</v>
      </c>
      <c r="F1537">
        <v>63</v>
      </c>
      <c r="G1537" t="s">
        <v>109</v>
      </c>
      <c r="H1537">
        <v>104.06</v>
      </c>
      <c r="I1537">
        <v>50</v>
      </c>
      <c r="J1537">
        <v>22.59</v>
      </c>
      <c r="K1537">
        <v>68</v>
      </c>
      <c r="L1537">
        <v>46.84</v>
      </c>
      <c r="M1537">
        <v>49</v>
      </c>
      <c r="N1537">
        <v>28.56</v>
      </c>
      <c r="O1537">
        <v>37</v>
      </c>
      <c r="P1537">
        <v>-20.56</v>
      </c>
      <c r="Q1537">
        <v>33</v>
      </c>
      <c r="R1537">
        <v>-1.03</v>
      </c>
      <c r="S1537">
        <v>51</v>
      </c>
      <c r="T1537">
        <v>24.26</v>
      </c>
      <c r="U1537">
        <v>27</v>
      </c>
      <c r="V1537">
        <v>3.4</v>
      </c>
      <c r="W1537">
        <v>24</v>
      </c>
      <c r="X1537" t="s">
        <v>302</v>
      </c>
      <c r="Y1537" t="s">
        <v>95</v>
      </c>
      <c r="Z1537">
        <v>0</v>
      </c>
      <c r="AA1537" t="s">
        <v>1089</v>
      </c>
      <c r="AB1537" t="s">
        <v>4689</v>
      </c>
      <c r="AC1537">
        <v>0</v>
      </c>
      <c r="AD1537">
        <v>0</v>
      </c>
      <c r="AE1537">
        <v>68</v>
      </c>
      <c r="AF1537">
        <v>-57.13</v>
      </c>
      <c r="AG1537">
        <v>8.5</v>
      </c>
      <c r="AH1537">
        <v>-0.04</v>
      </c>
      <c r="AI1537">
        <v>0.18</v>
      </c>
      <c r="AJ1537">
        <v>0.03</v>
      </c>
      <c r="AK1537">
        <v>49</v>
      </c>
      <c r="AL1537">
        <v>0</v>
      </c>
      <c r="AM1537">
        <v>0</v>
      </c>
      <c r="AN1537">
        <v>-2.2000000000000002</v>
      </c>
      <c r="AO1537">
        <v>1.54</v>
      </c>
      <c r="AP1537">
        <v>3</v>
      </c>
      <c r="AQ1537">
        <v>0</v>
      </c>
      <c r="AR1537">
        <v>5.39</v>
      </c>
      <c r="AS1537">
        <v>25</v>
      </c>
      <c r="AT1537">
        <v>1.83</v>
      </c>
      <c r="AU1537">
        <v>47</v>
      </c>
      <c r="AV1537">
        <v>-2.25</v>
      </c>
      <c r="AW1537">
        <v>40</v>
      </c>
      <c r="AX1537">
        <v>-0.1</v>
      </c>
      <c r="AY1537">
        <v>30</v>
      </c>
      <c r="AZ1537">
        <v>6.48</v>
      </c>
      <c r="BA1537">
        <v>25</v>
      </c>
      <c r="BB1537">
        <v>5.81</v>
      </c>
      <c r="BC1537">
        <v>25</v>
      </c>
      <c r="BD1537">
        <v>0.01</v>
      </c>
      <c r="BE1537">
        <v>0.03</v>
      </c>
      <c r="BF1537">
        <v>-0.05</v>
      </c>
      <c r="BG1537">
        <v>72</v>
      </c>
      <c r="BH1537">
        <v>0.11</v>
      </c>
      <c r="BI1537">
        <v>1.75</v>
      </c>
      <c r="BJ1537">
        <v>0</v>
      </c>
      <c r="BK1537">
        <v>0</v>
      </c>
      <c r="BL1537">
        <v>-1.36</v>
      </c>
      <c r="BM1537">
        <v>-0.27</v>
      </c>
      <c r="BN1537">
        <v>-1.85</v>
      </c>
      <c r="BO1537">
        <v>0</v>
      </c>
      <c r="BP1537">
        <v>1.74</v>
      </c>
      <c r="BQ1537">
        <v>-2.4300000000000002</v>
      </c>
      <c r="BR1537">
        <v>1.2</v>
      </c>
      <c r="BS1537">
        <v>0</v>
      </c>
      <c r="BT1537">
        <v>0</v>
      </c>
      <c r="BU1537">
        <v>-2.0699999999999998</v>
      </c>
      <c r="BV1537">
        <v>-1.31</v>
      </c>
      <c r="BW1537">
        <v>-1.63</v>
      </c>
      <c r="BX1537">
        <v>0</v>
      </c>
      <c r="BY1537">
        <v>-1.62</v>
      </c>
      <c r="BZ1537">
        <v>0</v>
      </c>
      <c r="CA1537">
        <v>-2.2400000000000002</v>
      </c>
      <c r="CB1537">
        <v>-1.97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-8.8000000000000007</v>
      </c>
      <c r="CK1537">
        <v>34</v>
      </c>
      <c r="CL1537">
        <v>-0.49</v>
      </c>
      <c r="CM1537">
        <v>32</v>
      </c>
      <c r="CN1537">
        <v>0.05</v>
      </c>
      <c r="CO1537">
        <v>32</v>
      </c>
      <c r="CP1537">
        <v>-18.5</v>
      </c>
      <c r="CQ1537">
        <v>28</v>
      </c>
      <c r="CR1537">
        <v>0</v>
      </c>
      <c r="CS1537">
        <v>0</v>
      </c>
      <c r="CT1537">
        <v>-19</v>
      </c>
      <c r="CU1537">
        <v>27</v>
      </c>
      <c r="CV1537">
        <v>0.02</v>
      </c>
      <c r="CW1537">
        <v>10</v>
      </c>
      <c r="CX1537" t="s">
        <v>4690</v>
      </c>
    </row>
    <row r="1538" spans="1:102" x14ac:dyDescent="0.3">
      <c r="A1538" t="str">
        <f>HYPERLINK("https://webapp.icbf.com/v2/app/bull-search/view/501499117","NYB")</f>
        <v>NYB</v>
      </c>
      <c r="B1538" t="s">
        <v>12354</v>
      </c>
      <c r="C1538" t="s">
        <v>12355</v>
      </c>
      <c r="D1538" s="1">
        <v>39142</v>
      </c>
      <c r="E1538" t="s">
        <v>108</v>
      </c>
      <c r="F1538">
        <v>47</v>
      </c>
      <c r="G1538" t="s">
        <v>93</v>
      </c>
      <c r="H1538">
        <v>104.06</v>
      </c>
      <c r="I1538">
        <v>89</v>
      </c>
      <c r="J1538">
        <v>-11.81</v>
      </c>
      <c r="K1538">
        <v>97</v>
      </c>
      <c r="L1538">
        <v>57.54</v>
      </c>
      <c r="M1538">
        <v>80</v>
      </c>
      <c r="N1538">
        <v>34.08</v>
      </c>
      <c r="O1538">
        <v>88</v>
      </c>
      <c r="P1538">
        <v>-10.24</v>
      </c>
      <c r="Q1538">
        <v>91</v>
      </c>
      <c r="R1538">
        <v>15.64</v>
      </c>
      <c r="S1538">
        <v>85</v>
      </c>
      <c r="T1538">
        <v>13.16</v>
      </c>
      <c r="U1538">
        <v>91</v>
      </c>
      <c r="V1538">
        <v>5.69</v>
      </c>
      <c r="W1538">
        <v>86</v>
      </c>
      <c r="X1538" t="s">
        <v>94</v>
      </c>
      <c r="Y1538" t="s">
        <v>1405</v>
      </c>
      <c r="Z1538" t="s">
        <v>96</v>
      </c>
      <c r="AA1538" t="s">
        <v>1543</v>
      </c>
      <c r="AB1538" t="s">
        <v>12356</v>
      </c>
      <c r="AC1538">
        <v>103</v>
      </c>
      <c r="AD1538">
        <v>70</v>
      </c>
      <c r="AE1538">
        <v>97</v>
      </c>
      <c r="AF1538">
        <v>-99.97</v>
      </c>
      <c r="AG1538">
        <v>0.2</v>
      </c>
      <c r="AH1538">
        <v>-3.61</v>
      </c>
      <c r="AI1538">
        <v>7.0000000000000007E-2</v>
      </c>
      <c r="AJ1538">
        <v>0</v>
      </c>
      <c r="AK1538">
        <v>80</v>
      </c>
      <c r="AL1538">
        <v>106</v>
      </c>
      <c r="AM1538">
        <v>71</v>
      </c>
      <c r="AN1538">
        <v>-3.82</v>
      </c>
      <c r="AO1538">
        <v>0.76</v>
      </c>
      <c r="AP1538">
        <v>209</v>
      </c>
      <c r="AQ1538">
        <v>1</v>
      </c>
      <c r="AR1538">
        <v>4.45</v>
      </c>
      <c r="AS1538">
        <v>70</v>
      </c>
      <c r="AT1538">
        <v>2.2400000000000002</v>
      </c>
      <c r="AU1538">
        <v>89</v>
      </c>
      <c r="AV1538">
        <v>-3.06</v>
      </c>
      <c r="AW1538">
        <v>97</v>
      </c>
      <c r="AX1538">
        <v>0.26</v>
      </c>
      <c r="AY1538">
        <v>83</v>
      </c>
      <c r="AZ1538">
        <v>7.11</v>
      </c>
      <c r="BA1538">
        <v>68</v>
      </c>
      <c r="BB1538">
        <v>5.46</v>
      </c>
      <c r="BC1538">
        <v>73</v>
      </c>
      <c r="BD1538">
        <v>-7.0000000000000007E-2</v>
      </c>
      <c r="BE1538">
        <v>-7.0000000000000007E-2</v>
      </c>
      <c r="BF1538">
        <v>-0.11</v>
      </c>
      <c r="BG1538">
        <v>90</v>
      </c>
      <c r="BH1538">
        <v>0.08</v>
      </c>
      <c r="BI1538">
        <v>-9.1</v>
      </c>
      <c r="BJ1538">
        <v>10</v>
      </c>
      <c r="BK1538">
        <v>10</v>
      </c>
      <c r="BL1538">
        <v>-1.64</v>
      </c>
      <c r="BM1538">
        <v>-0.2</v>
      </c>
      <c r="BN1538">
        <v>-0.78</v>
      </c>
      <c r="BO1538">
        <v>-0.83</v>
      </c>
      <c r="BP1538">
        <v>-2.13</v>
      </c>
      <c r="BQ1538">
        <v>-1.08</v>
      </c>
      <c r="BR1538">
        <v>-0.75</v>
      </c>
      <c r="BS1538">
        <v>-0.38</v>
      </c>
      <c r="BT1538">
        <v>0.26</v>
      </c>
      <c r="BU1538">
        <v>0.38</v>
      </c>
      <c r="BV1538">
        <v>0.34</v>
      </c>
      <c r="BW1538">
        <v>1.1000000000000001</v>
      </c>
      <c r="BX1538">
        <v>0.42</v>
      </c>
      <c r="BY1538">
        <v>1.24</v>
      </c>
      <c r="BZ1538">
        <v>-5.27</v>
      </c>
      <c r="CA1538">
        <v>-0.21</v>
      </c>
      <c r="CB1538">
        <v>0.32</v>
      </c>
      <c r="CC1538">
        <v>-1.1499999999999999</v>
      </c>
      <c r="CD1538">
        <v>0.12</v>
      </c>
      <c r="CE1538">
        <v>-0.7</v>
      </c>
      <c r="CF1538">
        <v>-1.83</v>
      </c>
      <c r="CG1538">
        <v>0</v>
      </c>
      <c r="CH1538">
        <v>3.14</v>
      </c>
      <c r="CI1538">
        <v>0</v>
      </c>
      <c r="CJ1538">
        <v>-2.9</v>
      </c>
      <c r="CK1538">
        <v>92</v>
      </c>
      <c r="CL1538">
        <v>-0.67</v>
      </c>
      <c r="CM1538">
        <v>91</v>
      </c>
      <c r="CN1538">
        <v>-0.11</v>
      </c>
      <c r="CO1538">
        <v>89</v>
      </c>
      <c r="CP1538">
        <v>-4.0999999999999996</v>
      </c>
      <c r="CQ1538">
        <v>90</v>
      </c>
      <c r="CR1538">
        <v>0</v>
      </c>
      <c r="CS1538">
        <v>0</v>
      </c>
      <c r="CT1538">
        <v>-4</v>
      </c>
      <c r="CU1538">
        <v>91</v>
      </c>
      <c r="CV1538">
        <v>0.16</v>
      </c>
      <c r="CW1538">
        <v>45</v>
      </c>
      <c r="CX1538" t="s">
        <v>2932</v>
      </c>
    </row>
    <row r="1539" spans="1:102" x14ac:dyDescent="0.3">
      <c r="A1539" t="str">
        <f>HYPERLINK("https://webapp.icbf.com/v2/app/bull-search/view/272364541","KLX")</f>
        <v>KLX</v>
      </c>
      <c r="B1539" t="s">
        <v>6928</v>
      </c>
      <c r="C1539" t="s">
        <v>6929</v>
      </c>
      <c r="D1539" s="1">
        <v>37934</v>
      </c>
      <c r="E1539" t="s">
        <v>108</v>
      </c>
      <c r="F1539">
        <v>3</v>
      </c>
      <c r="G1539" t="s">
        <v>93</v>
      </c>
      <c r="H1539">
        <v>103.88</v>
      </c>
      <c r="I1539">
        <v>96</v>
      </c>
      <c r="J1539">
        <v>16.649999999999999</v>
      </c>
      <c r="K1539">
        <v>99</v>
      </c>
      <c r="L1539">
        <v>54.14</v>
      </c>
      <c r="M1539">
        <v>92</v>
      </c>
      <c r="N1539">
        <v>22.96</v>
      </c>
      <c r="O1539">
        <v>97</v>
      </c>
      <c r="P1539">
        <v>-13.93</v>
      </c>
      <c r="Q1539">
        <v>99</v>
      </c>
      <c r="R1539">
        <v>3.64</v>
      </c>
      <c r="S1539">
        <v>94</v>
      </c>
      <c r="T1539">
        <v>14.27</v>
      </c>
      <c r="U1539">
        <v>98</v>
      </c>
      <c r="V1539">
        <v>6.15</v>
      </c>
      <c r="W1539">
        <v>95</v>
      </c>
      <c r="X1539" t="s">
        <v>276</v>
      </c>
      <c r="Y1539" t="s">
        <v>1153</v>
      </c>
      <c r="Z1539" t="s">
        <v>96</v>
      </c>
      <c r="AA1539" t="s">
        <v>3672</v>
      </c>
      <c r="AB1539" t="s">
        <v>6792</v>
      </c>
      <c r="AC1539">
        <v>583</v>
      </c>
      <c r="AD1539">
        <v>221</v>
      </c>
      <c r="AE1539">
        <v>99</v>
      </c>
      <c r="AF1539">
        <v>-341.61</v>
      </c>
      <c r="AG1539">
        <v>4.59</v>
      </c>
      <c r="AH1539">
        <v>-4.0199999999999996</v>
      </c>
      <c r="AI1539">
        <v>0.33</v>
      </c>
      <c r="AJ1539">
        <v>0.14000000000000001</v>
      </c>
      <c r="AK1539">
        <v>92</v>
      </c>
      <c r="AL1539">
        <v>819</v>
      </c>
      <c r="AM1539">
        <v>338</v>
      </c>
      <c r="AN1539">
        <v>-2.78</v>
      </c>
      <c r="AO1539">
        <v>1.54</v>
      </c>
      <c r="AP1539">
        <v>1089</v>
      </c>
      <c r="AQ1539">
        <v>15</v>
      </c>
      <c r="AR1539">
        <v>6.85</v>
      </c>
      <c r="AS1539">
        <v>92</v>
      </c>
      <c r="AT1539">
        <v>2.88</v>
      </c>
      <c r="AU1539">
        <v>97</v>
      </c>
      <c r="AV1539">
        <v>-2.25</v>
      </c>
      <c r="AW1539">
        <v>99</v>
      </c>
      <c r="AX1539">
        <v>-0.59</v>
      </c>
      <c r="AY1539">
        <v>97</v>
      </c>
      <c r="AZ1539">
        <v>6.5</v>
      </c>
      <c r="BA1539">
        <v>90</v>
      </c>
      <c r="BB1539">
        <v>5.07</v>
      </c>
      <c r="BC1539">
        <v>92</v>
      </c>
      <c r="BD1539">
        <v>-0.04</v>
      </c>
      <c r="BE1539">
        <v>-0.03</v>
      </c>
      <c r="BF1539">
        <v>0.04</v>
      </c>
      <c r="BG1539">
        <v>98</v>
      </c>
      <c r="BH1539">
        <v>-0.08</v>
      </c>
      <c r="BI1539">
        <v>-29.08</v>
      </c>
      <c r="BJ1539">
        <v>37</v>
      </c>
      <c r="BK1539">
        <v>22</v>
      </c>
      <c r="BL1539">
        <v>-2.97</v>
      </c>
      <c r="BM1539">
        <v>3.58</v>
      </c>
      <c r="BN1539">
        <v>-0.56000000000000005</v>
      </c>
      <c r="BO1539">
        <v>-2.85</v>
      </c>
      <c r="BP1539">
        <v>0.52</v>
      </c>
      <c r="BQ1539">
        <v>0.84</v>
      </c>
      <c r="BR1539">
        <v>-1.64</v>
      </c>
      <c r="BS1539">
        <v>2.2200000000000002</v>
      </c>
      <c r="BT1539">
        <v>1.89</v>
      </c>
      <c r="BU1539">
        <v>-2.33</v>
      </c>
      <c r="BV1539">
        <v>-3.74</v>
      </c>
      <c r="BW1539">
        <v>-3.33</v>
      </c>
      <c r="BX1539">
        <v>-1.85</v>
      </c>
      <c r="BY1539">
        <v>-0.25</v>
      </c>
      <c r="BZ1539">
        <v>-1.91</v>
      </c>
      <c r="CA1539">
        <v>-1.9</v>
      </c>
      <c r="CB1539">
        <v>-2.63</v>
      </c>
      <c r="CC1539">
        <v>0.2</v>
      </c>
      <c r="CD1539">
        <v>3.52</v>
      </c>
      <c r="CE1539">
        <v>-2.97</v>
      </c>
      <c r="CF1539">
        <v>-0.76</v>
      </c>
      <c r="CG1539">
        <v>0</v>
      </c>
      <c r="CH1539">
        <v>-0.87</v>
      </c>
      <c r="CI1539">
        <v>0</v>
      </c>
      <c r="CJ1539">
        <v>-7.9</v>
      </c>
      <c r="CK1539">
        <v>99</v>
      </c>
      <c r="CL1539">
        <v>-0.02</v>
      </c>
      <c r="CM1539">
        <v>99</v>
      </c>
      <c r="CN1539">
        <v>0.14000000000000001</v>
      </c>
      <c r="CO1539">
        <v>99</v>
      </c>
      <c r="CP1539">
        <v>-7.9</v>
      </c>
      <c r="CQ1539">
        <v>98</v>
      </c>
      <c r="CR1539">
        <v>0</v>
      </c>
      <c r="CS1539">
        <v>0</v>
      </c>
      <c r="CT1539">
        <v>-5.5</v>
      </c>
      <c r="CU1539">
        <v>98</v>
      </c>
      <c r="CV1539">
        <v>-0.03</v>
      </c>
      <c r="CW1539">
        <v>46</v>
      </c>
      <c r="CX1539" t="s">
        <v>6793</v>
      </c>
    </row>
    <row r="1540" spans="1:102" x14ac:dyDescent="0.3">
      <c r="A1540" t="str">
        <f>HYPERLINK("https://webapp.icbf.com/v2/app/bull-search/view/1613641974","JE4584")</f>
        <v>JE4584</v>
      </c>
      <c r="B1540" t="s">
        <v>14935</v>
      </c>
      <c r="C1540" t="s">
        <v>14936</v>
      </c>
      <c r="D1540" s="1">
        <v>42530</v>
      </c>
      <c r="E1540" t="s">
        <v>227</v>
      </c>
      <c r="F1540">
        <v>0</v>
      </c>
      <c r="G1540" t="s">
        <v>435</v>
      </c>
      <c r="H1540">
        <v>103.88</v>
      </c>
      <c r="I1540">
        <v>60</v>
      </c>
      <c r="J1540">
        <v>16.53</v>
      </c>
      <c r="K1540">
        <v>77</v>
      </c>
      <c r="L1540">
        <v>80.67</v>
      </c>
      <c r="M1540">
        <v>59</v>
      </c>
      <c r="N1540">
        <v>-14.47</v>
      </c>
      <c r="O1540">
        <v>60</v>
      </c>
      <c r="P1540">
        <v>-56.25</v>
      </c>
      <c r="Q1540">
        <v>34</v>
      </c>
      <c r="R1540">
        <v>3.29</v>
      </c>
      <c r="S1540">
        <v>53</v>
      </c>
      <c r="T1540">
        <v>69.62</v>
      </c>
      <c r="U1540">
        <v>33</v>
      </c>
      <c r="V1540">
        <v>4.49</v>
      </c>
      <c r="W1540">
        <v>51</v>
      </c>
      <c r="X1540" t="s">
        <v>94</v>
      </c>
      <c r="Y1540" t="s">
        <v>442</v>
      </c>
      <c r="Z1540">
        <v>0</v>
      </c>
      <c r="AA1540" t="s">
        <v>6141</v>
      </c>
      <c r="AB1540" t="s">
        <v>144</v>
      </c>
      <c r="AC1540">
        <v>0</v>
      </c>
      <c r="AD1540">
        <v>0</v>
      </c>
      <c r="AE1540">
        <v>77</v>
      </c>
      <c r="AF1540">
        <v>-528.41</v>
      </c>
      <c r="AG1540">
        <v>6.57</v>
      </c>
      <c r="AH1540">
        <v>-7.6</v>
      </c>
      <c r="AI1540">
        <v>0.51</v>
      </c>
      <c r="AJ1540">
        <v>0.2</v>
      </c>
      <c r="AK1540">
        <v>59</v>
      </c>
      <c r="AL1540">
        <v>0</v>
      </c>
      <c r="AM1540">
        <v>0</v>
      </c>
      <c r="AN1540">
        <v>-2.34</v>
      </c>
      <c r="AO1540">
        <v>4.12</v>
      </c>
      <c r="AP1540">
        <v>25</v>
      </c>
      <c r="AQ1540">
        <v>0</v>
      </c>
      <c r="AR1540">
        <v>2.98</v>
      </c>
      <c r="AS1540">
        <v>47</v>
      </c>
      <c r="AT1540">
        <v>1.59</v>
      </c>
      <c r="AU1540">
        <v>62</v>
      </c>
      <c r="AV1540">
        <v>0.56999999999999995</v>
      </c>
      <c r="AW1540">
        <v>76</v>
      </c>
      <c r="AX1540">
        <v>10.44</v>
      </c>
      <c r="AY1540">
        <v>48</v>
      </c>
      <c r="AZ1540">
        <v>6.98</v>
      </c>
      <c r="BA1540">
        <v>34</v>
      </c>
      <c r="BB1540">
        <v>5.45</v>
      </c>
      <c r="BC1540">
        <v>32</v>
      </c>
      <c r="BD1540">
        <v>-7.0000000000000007E-2</v>
      </c>
      <c r="BE1540">
        <v>-0.01</v>
      </c>
      <c r="BF1540">
        <v>0.06</v>
      </c>
      <c r="BG1540">
        <v>59</v>
      </c>
      <c r="BH1540">
        <v>0.04</v>
      </c>
      <c r="BI1540">
        <v>-9.86</v>
      </c>
      <c r="BJ1540">
        <v>0</v>
      </c>
      <c r="BK1540">
        <v>0</v>
      </c>
      <c r="BL1540">
        <v>-1.27</v>
      </c>
      <c r="BM1540">
        <v>-1.65</v>
      </c>
      <c r="BN1540">
        <v>-0.31</v>
      </c>
      <c r="BO1540">
        <v>1.32</v>
      </c>
      <c r="BP1540">
        <v>0.02</v>
      </c>
      <c r="BQ1540">
        <v>-5.08</v>
      </c>
      <c r="BR1540">
        <v>2.2400000000000002</v>
      </c>
      <c r="BS1540">
        <v>5.98</v>
      </c>
      <c r="BT1540">
        <v>-1.19</v>
      </c>
      <c r="BU1540">
        <v>0.77</v>
      </c>
      <c r="BV1540">
        <v>0.73</v>
      </c>
      <c r="BW1540">
        <v>-1.22</v>
      </c>
      <c r="BX1540">
        <v>-1.77</v>
      </c>
      <c r="BY1540">
        <v>0.26</v>
      </c>
      <c r="BZ1540">
        <v>-0.16</v>
      </c>
      <c r="CA1540">
        <v>2.02</v>
      </c>
      <c r="CB1540">
        <v>0.72</v>
      </c>
      <c r="CC1540">
        <v>3.74</v>
      </c>
      <c r="CD1540">
        <v>-2.1</v>
      </c>
      <c r="CE1540">
        <v>1.25</v>
      </c>
      <c r="CF1540">
        <v>-1.31</v>
      </c>
      <c r="CG1540">
        <v>0</v>
      </c>
      <c r="CH1540">
        <v>-0.56999999999999995</v>
      </c>
      <c r="CI1540">
        <v>0</v>
      </c>
      <c r="CJ1540">
        <v>-31.6</v>
      </c>
      <c r="CK1540">
        <v>35</v>
      </c>
      <c r="CL1540">
        <v>-1.05</v>
      </c>
      <c r="CM1540">
        <v>34</v>
      </c>
      <c r="CN1540">
        <v>-0.47</v>
      </c>
      <c r="CO1540">
        <v>34</v>
      </c>
      <c r="CP1540">
        <v>-48.7</v>
      </c>
      <c r="CQ1540">
        <v>33</v>
      </c>
      <c r="CR1540">
        <v>0</v>
      </c>
      <c r="CS1540">
        <v>0</v>
      </c>
      <c r="CT1540">
        <v>-80.3</v>
      </c>
      <c r="CU1540">
        <v>33</v>
      </c>
      <c r="CV1540">
        <v>-0.27</v>
      </c>
      <c r="CW1540">
        <v>31</v>
      </c>
      <c r="CX1540" t="s">
        <v>14937</v>
      </c>
    </row>
    <row r="1541" spans="1:102" x14ac:dyDescent="0.3">
      <c r="A1541" t="str">
        <f>HYPERLINK("https://webapp.icbf.com/v2/app/bull-search/view/440418739","NNU")</f>
        <v>NNU</v>
      </c>
      <c r="B1541" t="s">
        <v>12220</v>
      </c>
      <c r="C1541" t="s">
        <v>12221</v>
      </c>
      <c r="D1541" s="1">
        <v>36091</v>
      </c>
      <c r="E1541" t="s">
        <v>92</v>
      </c>
      <c r="F1541">
        <v>100</v>
      </c>
      <c r="G1541" t="s">
        <v>93</v>
      </c>
      <c r="H1541">
        <v>103.85</v>
      </c>
      <c r="I1541">
        <v>91</v>
      </c>
      <c r="J1541">
        <v>24.45</v>
      </c>
      <c r="K1541">
        <v>97</v>
      </c>
      <c r="L1541">
        <v>75.38</v>
      </c>
      <c r="M1541">
        <v>89</v>
      </c>
      <c r="N1541">
        <v>2.98</v>
      </c>
      <c r="O1541">
        <v>87</v>
      </c>
      <c r="P1541">
        <v>-3.49</v>
      </c>
      <c r="Q1541">
        <v>92</v>
      </c>
      <c r="R1541">
        <v>7.99</v>
      </c>
      <c r="S1541">
        <v>84</v>
      </c>
      <c r="T1541">
        <v>-2.0099999999999998</v>
      </c>
      <c r="U1541">
        <v>88</v>
      </c>
      <c r="V1541">
        <v>-1.45</v>
      </c>
      <c r="W1541">
        <v>82</v>
      </c>
      <c r="X1541" t="s">
        <v>102</v>
      </c>
      <c r="Y1541" t="s">
        <v>95</v>
      </c>
      <c r="Z1541" t="s">
        <v>96</v>
      </c>
      <c r="AA1541" t="s">
        <v>6632</v>
      </c>
      <c r="AB1541" t="s">
        <v>12222</v>
      </c>
      <c r="AC1541">
        <v>102</v>
      </c>
      <c r="AD1541">
        <v>33</v>
      </c>
      <c r="AE1541">
        <v>97</v>
      </c>
      <c r="AF1541">
        <v>-51.47</v>
      </c>
      <c r="AG1541">
        <v>2.12</v>
      </c>
      <c r="AH1541">
        <v>2.62</v>
      </c>
      <c r="AI1541">
        <v>7.0000000000000007E-2</v>
      </c>
      <c r="AJ1541">
        <v>0.08</v>
      </c>
      <c r="AK1541">
        <v>89</v>
      </c>
      <c r="AL1541">
        <v>109</v>
      </c>
      <c r="AM1541">
        <v>38</v>
      </c>
      <c r="AN1541">
        <v>-3.46</v>
      </c>
      <c r="AO1541">
        <v>2.56</v>
      </c>
      <c r="AP1541">
        <v>157</v>
      </c>
      <c r="AQ1541">
        <v>0</v>
      </c>
      <c r="AR1541">
        <v>6.73</v>
      </c>
      <c r="AS1541">
        <v>73</v>
      </c>
      <c r="AT1541">
        <v>3.48</v>
      </c>
      <c r="AU1541">
        <v>89</v>
      </c>
      <c r="AV1541">
        <v>0.06</v>
      </c>
      <c r="AW1541">
        <v>96</v>
      </c>
      <c r="AX1541">
        <v>-0.28000000000000003</v>
      </c>
      <c r="AY1541">
        <v>81</v>
      </c>
      <c r="AZ1541">
        <v>5.2</v>
      </c>
      <c r="BA1541">
        <v>70</v>
      </c>
      <c r="BB1541">
        <v>4.6100000000000003</v>
      </c>
      <c r="BC1541">
        <v>71</v>
      </c>
      <c r="BD1541">
        <v>-0.04</v>
      </c>
      <c r="BE1541">
        <v>-0.03</v>
      </c>
      <c r="BF1541">
        <v>-0.06</v>
      </c>
      <c r="BG1541">
        <v>92</v>
      </c>
      <c r="BH1541">
        <v>-0.14000000000000001</v>
      </c>
      <c r="BI1541">
        <v>-11.53</v>
      </c>
      <c r="BJ1541">
        <v>16</v>
      </c>
      <c r="BK1541">
        <v>6</v>
      </c>
      <c r="BL1541">
        <v>0.68</v>
      </c>
      <c r="BM1541">
        <v>0.3</v>
      </c>
      <c r="BN1541">
        <v>-0.48</v>
      </c>
      <c r="BO1541">
        <v>0.04</v>
      </c>
      <c r="BP1541">
        <v>1.61</v>
      </c>
      <c r="BQ1541">
        <v>-0.35</v>
      </c>
      <c r="BR1541">
        <v>0.45</v>
      </c>
      <c r="BS1541">
        <v>-0.2</v>
      </c>
      <c r="BT1541">
        <v>-0.8</v>
      </c>
      <c r="BU1541">
        <v>1.4</v>
      </c>
      <c r="BV1541">
        <v>0.89</v>
      </c>
      <c r="BW1541">
        <v>0.06</v>
      </c>
      <c r="BX1541">
        <v>1.91</v>
      </c>
      <c r="BY1541">
        <v>0.56999999999999995</v>
      </c>
      <c r="BZ1541">
        <v>-0.69</v>
      </c>
      <c r="CA1541">
        <v>0.75</v>
      </c>
      <c r="CB1541">
        <v>0.72</v>
      </c>
      <c r="CC1541">
        <v>-0.21</v>
      </c>
      <c r="CD1541">
        <v>0.27</v>
      </c>
      <c r="CE1541">
        <v>0.48</v>
      </c>
      <c r="CF1541">
        <v>0.95</v>
      </c>
      <c r="CG1541">
        <v>0</v>
      </c>
      <c r="CH1541">
        <v>0.56999999999999995</v>
      </c>
      <c r="CI1541">
        <v>0</v>
      </c>
      <c r="CJ1541">
        <v>-0.2</v>
      </c>
      <c r="CK1541">
        <v>93</v>
      </c>
      <c r="CL1541">
        <v>-0.78</v>
      </c>
      <c r="CM1541">
        <v>92</v>
      </c>
      <c r="CN1541">
        <v>-0.35</v>
      </c>
      <c r="CO1541">
        <v>91</v>
      </c>
      <c r="CP1541">
        <v>4.9000000000000004</v>
      </c>
      <c r="CQ1541">
        <v>90</v>
      </c>
      <c r="CR1541">
        <v>0</v>
      </c>
      <c r="CS1541">
        <v>0</v>
      </c>
      <c r="CT1541">
        <v>16.5</v>
      </c>
      <c r="CU1541">
        <v>88</v>
      </c>
      <c r="CV1541">
        <v>0.13</v>
      </c>
      <c r="CW1541">
        <v>44</v>
      </c>
      <c r="CX1541" t="s">
        <v>4053</v>
      </c>
    </row>
    <row r="1542" spans="1:102" x14ac:dyDescent="0.3">
      <c r="A1542" t="str">
        <f>HYPERLINK("https://webapp.icbf.com/v2/app/bull-search/view/1259142061","F271")</f>
        <v>F271</v>
      </c>
      <c r="B1542" t="s">
        <v>13889</v>
      </c>
      <c r="C1542" t="s">
        <v>13890</v>
      </c>
      <c r="D1542" s="1">
        <v>41561</v>
      </c>
      <c r="E1542" t="s">
        <v>108</v>
      </c>
      <c r="F1542">
        <v>13</v>
      </c>
      <c r="G1542" t="s">
        <v>93</v>
      </c>
      <c r="H1542">
        <v>103.84</v>
      </c>
      <c r="I1542">
        <v>66</v>
      </c>
      <c r="J1542">
        <v>-68.19</v>
      </c>
      <c r="K1542">
        <v>83</v>
      </c>
      <c r="L1542">
        <v>128.47999999999999</v>
      </c>
      <c r="M1542">
        <v>53</v>
      </c>
      <c r="N1542">
        <v>27.66</v>
      </c>
      <c r="O1542">
        <v>69</v>
      </c>
      <c r="P1542">
        <v>-2.39</v>
      </c>
      <c r="Q1542">
        <v>72</v>
      </c>
      <c r="R1542">
        <v>-2.86</v>
      </c>
      <c r="S1542">
        <v>54</v>
      </c>
      <c r="T1542">
        <v>16.64</v>
      </c>
      <c r="U1542">
        <v>51</v>
      </c>
      <c r="V1542">
        <v>4.5</v>
      </c>
      <c r="W1542">
        <v>46</v>
      </c>
      <c r="X1542" t="s">
        <v>110</v>
      </c>
      <c r="Y1542" t="s">
        <v>2345</v>
      </c>
      <c r="Z1542" t="s">
        <v>96</v>
      </c>
      <c r="AA1542" t="s">
        <v>2348</v>
      </c>
      <c r="AB1542" t="s">
        <v>13891</v>
      </c>
      <c r="AC1542">
        <v>15</v>
      </c>
      <c r="AD1542">
        <v>2</v>
      </c>
      <c r="AE1542">
        <v>83</v>
      </c>
      <c r="AF1542">
        <v>14.71</v>
      </c>
      <c r="AG1542">
        <v>-10.86</v>
      </c>
      <c r="AH1542">
        <v>-7.53</v>
      </c>
      <c r="AI1542">
        <v>-0.2</v>
      </c>
      <c r="AJ1542">
        <v>-0.14000000000000001</v>
      </c>
      <c r="AK1542">
        <v>53</v>
      </c>
      <c r="AL1542">
        <v>0</v>
      </c>
      <c r="AM1542">
        <v>0</v>
      </c>
      <c r="AN1542">
        <v>-9.02</v>
      </c>
      <c r="AO1542">
        <v>1.2</v>
      </c>
      <c r="AP1542">
        <v>78</v>
      </c>
      <c r="AQ1542">
        <v>0</v>
      </c>
      <c r="AR1542">
        <v>5.38</v>
      </c>
      <c r="AS1542">
        <v>44</v>
      </c>
      <c r="AT1542">
        <v>2.23</v>
      </c>
      <c r="AU1542">
        <v>72</v>
      </c>
      <c r="AV1542">
        <v>-2.38</v>
      </c>
      <c r="AW1542">
        <v>90</v>
      </c>
      <c r="AX1542">
        <v>-0.36</v>
      </c>
      <c r="AY1542">
        <v>61</v>
      </c>
      <c r="AZ1542">
        <v>7.61</v>
      </c>
      <c r="BA1542">
        <v>37</v>
      </c>
      <c r="BB1542">
        <v>5.48</v>
      </c>
      <c r="BC1542">
        <v>28</v>
      </c>
      <c r="BD1542">
        <v>0.01</v>
      </c>
      <c r="BE1542">
        <v>0.01</v>
      </c>
      <c r="BF1542">
        <v>0.03</v>
      </c>
      <c r="BG1542">
        <v>64</v>
      </c>
      <c r="BH1542">
        <v>0.06</v>
      </c>
      <c r="BI1542">
        <v>-7.57</v>
      </c>
      <c r="BJ1542">
        <v>0</v>
      </c>
      <c r="BK1542">
        <v>0</v>
      </c>
      <c r="BL1542">
        <v>-2.8</v>
      </c>
      <c r="BM1542">
        <v>1.19</v>
      </c>
      <c r="BN1542">
        <v>-1.95</v>
      </c>
      <c r="BO1542">
        <v>-2.7</v>
      </c>
      <c r="BP1542">
        <v>0.14000000000000001</v>
      </c>
      <c r="BQ1542">
        <v>0.44</v>
      </c>
      <c r="BR1542">
        <v>-2.0299999999999998</v>
      </c>
      <c r="BS1542">
        <v>0.09</v>
      </c>
      <c r="BT1542">
        <v>1.58</v>
      </c>
      <c r="BU1542">
        <v>-1.02</v>
      </c>
      <c r="BV1542">
        <v>-1.97</v>
      </c>
      <c r="BW1542">
        <v>-1.46</v>
      </c>
      <c r="BX1542">
        <v>-0.77</v>
      </c>
      <c r="BY1542">
        <v>-0.13</v>
      </c>
      <c r="BZ1542">
        <v>-4.41</v>
      </c>
      <c r="CA1542">
        <v>-1.39</v>
      </c>
      <c r="CB1542">
        <v>-1.1200000000000001</v>
      </c>
      <c r="CC1542">
        <v>-0.48</v>
      </c>
      <c r="CD1542">
        <v>2.29</v>
      </c>
      <c r="CE1542">
        <v>-2.4300000000000002</v>
      </c>
      <c r="CF1542">
        <v>-1.69</v>
      </c>
      <c r="CG1542">
        <v>0</v>
      </c>
      <c r="CH1542">
        <v>0.13</v>
      </c>
      <c r="CI1542">
        <v>0</v>
      </c>
      <c r="CJ1542">
        <v>-3.3</v>
      </c>
      <c r="CK1542">
        <v>76</v>
      </c>
      <c r="CL1542">
        <v>0.02</v>
      </c>
      <c r="CM1542">
        <v>72</v>
      </c>
      <c r="CN1542">
        <v>-0.19</v>
      </c>
      <c r="CO1542">
        <v>70</v>
      </c>
      <c r="CP1542">
        <v>-1.8</v>
      </c>
      <c r="CQ1542">
        <v>52</v>
      </c>
      <c r="CR1542">
        <v>0</v>
      </c>
      <c r="CS1542">
        <v>0</v>
      </c>
      <c r="CT1542">
        <v>-8.6999999999999993</v>
      </c>
      <c r="CU1542">
        <v>51</v>
      </c>
      <c r="CV1542">
        <v>-0.01</v>
      </c>
      <c r="CW1542">
        <v>40</v>
      </c>
      <c r="CX1542" t="s">
        <v>1129</v>
      </c>
    </row>
    <row r="1543" spans="1:102" x14ac:dyDescent="0.3">
      <c r="A1543" t="str">
        <f>HYPERLINK("https://webapp.icbf.com/v2/app/bull-search/view/1089499106","GXC")</f>
        <v>GXC</v>
      </c>
      <c r="B1543" t="s">
        <v>2137</v>
      </c>
      <c r="C1543" t="s">
        <v>2138</v>
      </c>
      <c r="D1543" s="1">
        <v>41159</v>
      </c>
      <c r="E1543" t="s">
        <v>92</v>
      </c>
      <c r="F1543">
        <v>100</v>
      </c>
      <c r="G1543" t="s">
        <v>93</v>
      </c>
      <c r="H1543">
        <v>103.8</v>
      </c>
      <c r="I1543">
        <v>89</v>
      </c>
      <c r="J1543">
        <v>71.900000000000006</v>
      </c>
      <c r="K1543">
        <v>98</v>
      </c>
      <c r="L1543">
        <v>33.03</v>
      </c>
      <c r="M1543">
        <v>84</v>
      </c>
      <c r="N1543">
        <v>-12.21</v>
      </c>
      <c r="O1543">
        <v>91</v>
      </c>
      <c r="P1543">
        <v>0.19</v>
      </c>
      <c r="Q1543">
        <v>96</v>
      </c>
      <c r="R1543">
        <v>17.920000000000002</v>
      </c>
      <c r="S1543">
        <v>80</v>
      </c>
      <c r="T1543">
        <v>-12.67</v>
      </c>
      <c r="U1543">
        <v>74</v>
      </c>
      <c r="V1543">
        <v>5.64</v>
      </c>
      <c r="W1543">
        <v>72</v>
      </c>
      <c r="X1543" t="s">
        <v>94</v>
      </c>
      <c r="Y1543" t="s">
        <v>2066</v>
      </c>
      <c r="Z1543" t="s">
        <v>96</v>
      </c>
      <c r="AA1543" t="s">
        <v>2139</v>
      </c>
      <c r="AB1543" t="s">
        <v>2140</v>
      </c>
      <c r="AC1543">
        <v>423</v>
      </c>
      <c r="AD1543">
        <v>102</v>
      </c>
      <c r="AE1543">
        <v>98</v>
      </c>
      <c r="AF1543">
        <v>502.05</v>
      </c>
      <c r="AG1543">
        <v>11.85</v>
      </c>
      <c r="AH1543">
        <v>15.72</v>
      </c>
      <c r="AI1543">
        <v>-0.12</v>
      </c>
      <c r="AJ1543">
        <v>-0.02</v>
      </c>
      <c r="AK1543">
        <v>84</v>
      </c>
      <c r="AL1543">
        <v>280</v>
      </c>
      <c r="AM1543">
        <v>89</v>
      </c>
      <c r="AN1543">
        <v>-0.55000000000000004</v>
      </c>
      <c r="AO1543">
        <v>2.1</v>
      </c>
      <c r="AP1543">
        <v>714</v>
      </c>
      <c r="AQ1543">
        <v>9</v>
      </c>
      <c r="AR1543">
        <v>10.88</v>
      </c>
      <c r="AS1543">
        <v>85</v>
      </c>
      <c r="AT1543">
        <v>5.14</v>
      </c>
      <c r="AU1543">
        <v>95</v>
      </c>
      <c r="AV1543">
        <v>-2.1</v>
      </c>
      <c r="AW1543">
        <v>99</v>
      </c>
      <c r="AX1543">
        <v>-0.12</v>
      </c>
      <c r="AY1543">
        <v>93</v>
      </c>
      <c r="AZ1543">
        <v>5.84</v>
      </c>
      <c r="BA1543">
        <v>79</v>
      </c>
      <c r="BB1543">
        <v>4.5599999999999996</v>
      </c>
      <c r="BC1543">
        <v>64</v>
      </c>
      <c r="BD1543">
        <v>-0.06</v>
      </c>
      <c r="BE1543">
        <v>-0.08</v>
      </c>
      <c r="BF1543">
        <v>-0.16</v>
      </c>
      <c r="BG1543">
        <v>95</v>
      </c>
      <c r="BH1543">
        <v>-0.06</v>
      </c>
      <c r="BI1543">
        <v>-25.13</v>
      </c>
      <c r="BJ1543">
        <v>73</v>
      </c>
      <c r="BK1543">
        <v>32</v>
      </c>
      <c r="BL1543">
        <v>1.58</v>
      </c>
      <c r="BM1543">
        <v>0.28999999999999998</v>
      </c>
      <c r="BN1543">
        <v>-0.48</v>
      </c>
      <c r="BO1543">
        <v>0.05</v>
      </c>
      <c r="BP1543">
        <v>0.05</v>
      </c>
      <c r="BQ1543">
        <v>3.08</v>
      </c>
      <c r="BR1543">
        <v>2.85</v>
      </c>
      <c r="BS1543">
        <v>-0.2</v>
      </c>
      <c r="BT1543">
        <v>-2.57</v>
      </c>
      <c r="BU1543">
        <v>4.24</v>
      </c>
      <c r="BV1543">
        <v>3.78</v>
      </c>
      <c r="BW1543">
        <v>2.0099999999999998</v>
      </c>
      <c r="BX1543">
        <v>4.03</v>
      </c>
      <c r="BY1543">
        <v>2.64</v>
      </c>
      <c r="BZ1543">
        <v>-2.3199999999999998</v>
      </c>
      <c r="CA1543">
        <v>2.31</v>
      </c>
      <c r="CB1543">
        <v>3.17</v>
      </c>
      <c r="CC1543">
        <v>-0.84</v>
      </c>
      <c r="CD1543">
        <v>0.7</v>
      </c>
      <c r="CE1543">
        <v>0.42</v>
      </c>
      <c r="CF1543">
        <v>1.29</v>
      </c>
      <c r="CG1543">
        <v>0</v>
      </c>
      <c r="CH1543">
        <v>2.78</v>
      </c>
      <c r="CI1543">
        <v>0</v>
      </c>
      <c r="CJ1543">
        <v>3.9</v>
      </c>
      <c r="CK1543">
        <v>98</v>
      </c>
      <c r="CL1543">
        <v>-1.1100000000000001</v>
      </c>
      <c r="CM1543">
        <v>97</v>
      </c>
      <c r="CN1543">
        <v>-0.35</v>
      </c>
      <c r="CO1543">
        <v>97</v>
      </c>
      <c r="CP1543">
        <v>14.4</v>
      </c>
      <c r="CQ1543">
        <v>79</v>
      </c>
      <c r="CR1543">
        <v>0</v>
      </c>
      <c r="CS1543">
        <v>0</v>
      </c>
      <c r="CT1543">
        <v>30.9</v>
      </c>
      <c r="CU1543">
        <v>74</v>
      </c>
      <c r="CV1543">
        <v>0.34</v>
      </c>
      <c r="CW1543">
        <v>45</v>
      </c>
      <c r="CX1543" t="s">
        <v>1848</v>
      </c>
    </row>
    <row r="1544" spans="1:102" x14ac:dyDescent="0.3">
      <c r="A1544" t="str">
        <f>HYPERLINK("https://webapp.icbf.com/v2/app/bull-search/view/992899197","KKH")</f>
        <v>KKH</v>
      </c>
      <c r="B1544" t="s">
        <v>9243</v>
      </c>
      <c r="C1544" t="s">
        <v>9244</v>
      </c>
      <c r="D1544" s="1">
        <v>40756</v>
      </c>
      <c r="E1544" t="s">
        <v>227</v>
      </c>
      <c r="F1544">
        <v>13</v>
      </c>
      <c r="G1544" t="s">
        <v>93</v>
      </c>
      <c r="H1544">
        <v>103.78</v>
      </c>
      <c r="I1544">
        <v>88</v>
      </c>
      <c r="J1544">
        <v>79.56</v>
      </c>
      <c r="K1544">
        <v>97</v>
      </c>
      <c r="L1544">
        <v>-13.64</v>
      </c>
      <c r="M1544">
        <v>81</v>
      </c>
      <c r="N1544">
        <v>40.130000000000003</v>
      </c>
      <c r="O1544">
        <v>88</v>
      </c>
      <c r="P1544">
        <v>-48.2</v>
      </c>
      <c r="Q1544">
        <v>92</v>
      </c>
      <c r="R1544">
        <v>-9.93</v>
      </c>
      <c r="S1544">
        <v>78</v>
      </c>
      <c r="T1544">
        <v>44.46</v>
      </c>
      <c r="U1544">
        <v>93</v>
      </c>
      <c r="V1544">
        <v>11.4</v>
      </c>
      <c r="W1544">
        <v>74</v>
      </c>
      <c r="X1544" t="s">
        <v>276</v>
      </c>
      <c r="Y1544" t="s">
        <v>375</v>
      </c>
      <c r="Z1544">
        <v>0</v>
      </c>
      <c r="AA1544" t="s">
        <v>9245</v>
      </c>
      <c r="AB1544" t="s">
        <v>9246</v>
      </c>
      <c r="AC1544">
        <v>146</v>
      </c>
      <c r="AD1544">
        <v>44</v>
      </c>
      <c r="AE1544">
        <v>97</v>
      </c>
      <c r="AF1544">
        <v>-199.46</v>
      </c>
      <c r="AG1544">
        <v>9.69</v>
      </c>
      <c r="AH1544">
        <v>7.05</v>
      </c>
      <c r="AI1544">
        <v>0.32</v>
      </c>
      <c r="AJ1544">
        <v>0.25</v>
      </c>
      <c r="AK1544">
        <v>81</v>
      </c>
      <c r="AL1544">
        <v>163</v>
      </c>
      <c r="AM1544">
        <v>48</v>
      </c>
      <c r="AN1544">
        <v>1.33</v>
      </c>
      <c r="AO1544">
        <v>0.25</v>
      </c>
      <c r="AP1544">
        <v>419</v>
      </c>
      <c r="AQ1544">
        <v>3</v>
      </c>
      <c r="AR1544">
        <v>5.04</v>
      </c>
      <c r="AS1544">
        <v>91</v>
      </c>
      <c r="AT1544">
        <v>1.9</v>
      </c>
      <c r="AU1544">
        <v>89</v>
      </c>
      <c r="AV1544">
        <v>-3.46</v>
      </c>
      <c r="AW1544">
        <v>97</v>
      </c>
      <c r="AX1544">
        <v>-0.57999999999999996</v>
      </c>
      <c r="AY1544">
        <v>87</v>
      </c>
      <c r="AZ1544">
        <v>7.68</v>
      </c>
      <c r="BA1544">
        <v>74</v>
      </c>
      <c r="BB1544">
        <v>5.36</v>
      </c>
      <c r="BC1544">
        <v>65</v>
      </c>
      <c r="BD1544">
        <v>-0.01</v>
      </c>
      <c r="BE1544">
        <v>0.05</v>
      </c>
      <c r="BF1544">
        <v>0.15</v>
      </c>
      <c r="BG1544">
        <v>90</v>
      </c>
      <c r="BH1544">
        <v>0.28000000000000003</v>
      </c>
      <c r="BI1544">
        <v>-4.37</v>
      </c>
      <c r="BJ1544">
        <v>8</v>
      </c>
      <c r="BK1544">
        <v>1</v>
      </c>
      <c r="BL1544">
        <v>-3.78</v>
      </c>
      <c r="BM1544">
        <v>-2.58</v>
      </c>
      <c r="BN1544">
        <v>-2.06</v>
      </c>
      <c r="BO1544">
        <v>-0.01</v>
      </c>
      <c r="BP1544">
        <v>-1.91</v>
      </c>
      <c r="BQ1544">
        <v>-6.8</v>
      </c>
      <c r="BR1544">
        <v>4.18</v>
      </c>
      <c r="BS1544">
        <v>1.17</v>
      </c>
      <c r="BT1544">
        <v>-2.71</v>
      </c>
      <c r="BU1544">
        <v>-1.36</v>
      </c>
      <c r="BV1544">
        <v>-1.29</v>
      </c>
      <c r="BW1544">
        <v>-1.83</v>
      </c>
      <c r="BX1544">
        <v>-3.05</v>
      </c>
      <c r="BY1544">
        <v>1.31</v>
      </c>
      <c r="BZ1544">
        <v>-6.04</v>
      </c>
      <c r="CA1544">
        <v>-1.0900000000000001</v>
      </c>
      <c r="CB1544">
        <v>-1.06</v>
      </c>
      <c r="CC1544">
        <v>-0.72</v>
      </c>
      <c r="CD1544">
        <v>-2.58</v>
      </c>
      <c r="CE1544">
        <v>-1.21</v>
      </c>
      <c r="CF1544">
        <v>-5.0999999999999996</v>
      </c>
      <c r="CG1544">
        <v>0</v>
      </c>
      <c r="CH1544">
        <v>7.0000000000000007E-2</v>
      </c>
      <c r="CI1544">
        <v>0</v>
      </c>
      <c r="CJ1544">
        <v>-25.8</v>
      </c>
      <c r="CK1544">
        <v>94</v>
      </c>
      <c r="CL1544">
        <v>-1.05</v>
      </c>
      <c r="CM1544">
        <v>92</v>
      </c>
      <c r="CN1544">
        <v>-0.28999999999999998</v>
      </c>
      <c r="CO1544">
        <v>91</v>
      </c>
      <c r="CP1544">
        <v>-34.4</v>
      </c>
      <c r="CQ1544">
        <v>84</v>
      </c>
      <c r="CR1544">
        <v>0</v>
      </c>
      <c r="CS1544">
        <v>0</v>
      </c>
      <c r="CT1544">
        <v>-46.3</v>
      </c>
      <c r="CU1544">
        <v>93</v>
      </c>
      <c r="CV1544">
        <v>-7.0000000000000007E-2</v>
      </c>
      <c r="CW1544">
        <v>45</v>
      </c>
      <c r="CX1544" t="s">
        <v>1699</v>
      </c>
    </row>
    <row r="1545" spans="1:102" x14ac:dyDescent="0.3">
      <c r="A1545" t="str">
        <f>HYPERLINK("https://webapp.icbf.com/v2/app/bull-search/view/993054308","JE2448")</f>
        <v>JE2448</v>
      </c>
      <c r="B1545" t="s">
        <v>13730</v>
      </c>
      <c r="C1545" t="s">
        <v>13731</v>
      </c>
      <c r="D1545" s="1">
        <v>40768</v>
      </c>
      <c r="E1545" t="s">
        <v>227</v>
      </c>
      <c r="F1545">
        <v>44</v>
      </c>
      <c r="G1545" t="s">
        <v>109</v>
      </c>
      <c r="H1545">
        <v>103.42</v>
      </c>
      <c r="I1545">
        <v>75</v>
      </c>
      <c r="J1545">
        <v>100.76</v>
      </c>
      <c r="K1545">
        <v>93</v>
      </c>
      <c r="L1545">
        <v>-14.68</v>
      </c>
      <c r="M1545">
        <v>60</v>
      </c>
      <c r="N1545">
        <v>24.42</v>
      </c>
      <c r="O1545">
        <v>79</v>
      </c>
      <c r="P1545">
        <v>-45.19</v>
      </c>
      <c r="Q1545">
        <v>81</v>
      </c>
      <c r="R1545">
        <v>-6.16</v>
      </c>
      <c r="S1545">
        <v>68</v>
      </c>
      <c r="T1545">
        <v>42.32</v>
      </c>
      <c r="U1545">
        <v>65</v>
      </c>
      <c r="V1545">
        <v>1.95</v>
      </c>
      <c r="W1545">
        <v>66</v>
      </c>
      <c r="X1545" t="s">
        <v>276</v>
      </c>
      <c r="Y1545" t="s">
        <v>429</v>
      </c>
      <c r="Z1545">
        <v>0</v>
      </c>
      <c r="AA1545" t="s">
        <v>9089</v>
      </c>
      <c r="AB1545" t="s">
        <v>144</v>
      </c>
      <c r="AC1545">
        <v>0</v>
      </c>
      <c r="AD1545">
        <v>0</v>
      </c>
      <c r="AE1545">
        <v>93</v>
      </c>
      <c r="AF1545">
        <v>-22.93</v>
      </c>
      <c r="AG1545">
        <v>19.89</v>
      </c>
      <c r="AH1545">
        <v>9.75</v>
      </c>
      <c r="AI1545">
        <v>0.36</v>
      </c>
      <c r="AJ1545">
        <v>0.18</v>
      </c>
      <c r="AK1545">
        <v>60</v>
      </c>
      <c r="AL1545">
        <v>0</v>
      </c>
      <c r="AM1545">
        <v>0</v>
      </c>
      <c r="AN1545">
        <v>1.63</v>
      </c>
      <c r="AO1545">
        <v>0.47</v>
      </c>
      <c r="AP1545">
        <v>160</v>
      </c>
      <c r="AQ1545">
        <v>0</v>
      </c>
      <c r="AR1545">
        <v>4.4400000000000004</v>
      </c>
      <c r="AS1545">
        <v>75</v>
      </c>
      <c r="AT1545">
        <v>1.78</v>
      </c>
      <c r="AU1545">
        <v>80</v>
      </c>
      <c r="AV1545">
        <v>-1.45</v>
      </c>
      <c r="AW1545">
        <v>96</v>
      </c>
      <c r="AX1545">
        <v>0</v>
      </c>
      <c r="AY1545">
        <v>75</v>
      </c>
      <c r="AZ1545">
        <v>8.1300000000000008</v>
      </c>
      <c r="BA1545">
        <v>64</v>
      </c>
      <c r="BB1545">
        <v>5.24</v>
      </c>
      <c r="BC1545">
        <v>35</v>
      </c>
      <c r="BD1545">
        <v>0.01</v>
      </c>
      <c r="BE1545">
        <v>0.05</v>
      </c>
      <c r="BF1545">
        <v>0.03</v>
      </c>
      <c r="BG1545">
        <v>79</v>
      </c>
      <c r="BH1545">
        <v>0.02</v>
      </c>
      <c r="BI1545">
        <v>-3.99</v>
      </c>
      <c r="BJ1545">
        <v>0</v>
      </c>
      <c r="BK1545">
        <v>0</v>
      </c>
      <c r="BL1545">
        <v>-2.96</v>
      </c>
      <c r="BM1545">
        <v>-1.43</v>
      </c>
      <c r="BN1545">
        <v>-0.9</v>
      </c>
      <c r="BO1545">
        <v>0.28000000000000003</v>
      </c>
      <c r="BP1545">
        <v>-0.85</v>
      </c>
      <c r="BQ1545">
        <v>-4.29</v>
      </c>
      <c r="BR1545">
        <v>2.34</v>
      </c>
      <c r="BS1545">
        <v>3.3</v>
      </c>
      <c r="BT1545">
        <v>-1.18</v>
      </c>
      <c r="BU1545">
        <v>-0.89</v>
      </c>
      <c r="BV1545">
        <v>-0.32</v>
      </c>
      <c r="BW1545">
        <v>-1.54</v>
      </c>
      <c r="BX1545">
        <v>-2.72</v>
      </c>
      <c r="BY1545">
        <v>-0.42</v>
      </c>
      <c r="BZ1545">
        <v>-0.61</v>
      </c>
      <c r="CA1545">
        <v>0.1</v>
      </c>
      <c r="CB1545">
        <v>-0.71</v>
      </c>
      <c r="CC1545">
        <v>1.97</v>
      </c>
      <c r="CD1545">
        <v>-1.44</v>
      </c>
      <c r="CE1545">
        <v>0.19</v>
      </c>
      <c r="CF1545">
        <v>-3.1</v>
      </c>
      <c r="CG1545">
        <v>0</v>
      </c>
      <c r="CH1545">
        <v>-0.26</v>
      </c>
      <c r="CI1545">
        <v>0</v>
      </c>
      <c r="CJ1545">
        <v>-23.6</v>
      </c>
      <c r="CK1545">
        <v>85</v>
      </c>
      <c r="CL1545">
        <v>-0.88</v>
      </c>
      <c r="CM1545">
        <v>81</v>
      </c>
      <c r="CN1545">
        <v>-0.17</v>
      </c>
      <c r="CO1545">
        <v>80</v>
      </c>
      <c r="CP1545">
        <v>-36.9</v>
      </c>
      <c r="CQ1545">
        <v>60</v>
      </c>
      <c r="CR1545">
        <v>0</v>
      </c>
      <c r="CS1545">
        <v>0</v>
      </c>
      <c r="CT1545">
        <v>-43.4</v>
      </c>
      <c r="CU1545">
        <v>65</v>
      </c>
      <c r="CV1545">
        <v>-0.25</v>
      </c>
      <c r="CW1545">
        <v>42</v>
      </c>
      <c r="CX1545" t="s">
        <v>333</v>
      </c>
    </row>
    <row r="1546" spans="1:102" x14ac:dyDescent="0.3">
      <c r="A1546" t="str">
        <f>HYPERLINK("https://webapp.icbf.com/v2/app/bull-search/view/660041028","RGD")</f>
        <v>RGD</v>
      </c>
      <c r="B1546" t="s">
        <v>1747</v>
      </c>
      <c r="C1546" t="s">
        <v>1748</v>
      </c>
      <c r="D1546" s="1">
        <v>38802</v>
      </c>
      <c r="E1546" t="s">
        <v>92</v>
      </c>
      <c r="F1546">
        <v>100</v>
      </c>
      <c r="G1546" t="s">
        <v>93</v>
      </c>
      <c r="H1546">
        <v>103.41</v>
      </c>
      <c r="I1546">
        <v>88</v>
      </c>
      <c r="J1546">
        <v>30.76</v>
      </c>
      <c r="K1546">
        <v>97</v>
      </c>
      <c r="L1546">
        <v>33.590000000000003</v>
      </c>
      <c r="M1546">
        <v>84</v>
      </c>
      <c r="N1546">
        <v>34.07</v>
      </c>
      <c r="O1546">
        <v>84</v>
      </c>
      <c r="P1546">
        <v>-16.45</v>
      </c>
      <c r="Q1546">
        <v>92</v>
      </c>
      <c r="R1546">
        <v>14.96</v>
      </c>
      <c r="S1546">
        <v>76</v>
      </c>
      <c r="T1546">
        <v>8.35</v>
      </c>
      <c r="U1546">
        <v>86</v>
      </c>
      <c r="V1546">
        <v>-1.87</v>
      </c>
      <c r="W1546">
        <v>63</v>
      </c>
      <c r="X1546" t="s">
        <v>251</v>
      </c>
      <c r="Y1546" t="s">
        <v>282</v>
      </c>
      <c r="Z1546" t="s">
        <v>96</v>
      </c>
      <c r="AA1546" t="s">
        <v>309</v>
      </c>
      <c r="AB1546" t="s">
        <v>1749</v>
      </c>
      <c r="AC1546">
        <v>129</v>
      </c>
      <c r="AD1546">
        <v>61</v>
      </c>
      <c r="AE1546">
        <v>97</v>
      </c>
      <c r="AF1546">
        <v>338.45</v>
      </c>
      <c r="AG1546">
        <v>9.2200000000000006</v>
      </c>
      <c r="AH1546">
        <v>7.15</v>
      </c>
      <c r="AI1546">
        <v>-0.06</v>
      </c>
      <c r="AJ1546">
        <v>-7.0000000000000007E-2</v>
      </c>
      <c r="AK1546">
        <v>84</v>
      </c>
      <c r="AL1546">
        <v>130</v>
      </c>
      <c r="AM1546">
        <v>63</v>
      </c>
      <c r="AN1546">
        <v>-0.96</v>
      </c>
      <c r="AO1546">
        <v>1.73</v>
      </c>
      <c r="AP1546">
        <v>238</v>
      </c>
      <c r="AQ1546">
        <v>1</v>
      </c>
      <c r="AR1546">
        <v>4.5599999999999996</v>
      </c>
      <c r="AS1546">
        <v>82</v>
      </c>
      <c r="AT1546">
        <v>2.14</v>
      </c>
      <c r="AU1546">
        <v>83</v>
      </c>
      <c r="AV1546">
        <v>-1.73</v>
      </c>
      <c r="AW1546">
        <v>94</v>
      </c>
      <c r="AX1546">
        <v>-0.68</v>
      </c>
      <c r="AY1546">
        <v>83</v>
      </c>
      <c r="AZ1546">
        <v>5.3</v>
      </c>
      <c r="BA1546">
        <v>67</v>
      </c>
      <c r="BB1546">
        <v>4.43</v>
      </c>
      <c r="BC1546">
        <v>64</v>
      </c>
      <c r="BD1546">
        <v>-0.03</v>
      </c>
      <c r="BE1546">
        <v>-0.06</v>
      </c>
      <c r="BF1546">
        <v>-0.18</v>
      </c>
      <c r="BG1546">
        <v>91</v>
      </c>
      <c r="BH1546">
        <v>-0.13</v>
      </c>
      <c r="BI1546">
        <v>-9.01</v>
      </c>
      <c r="BJ1546">
        <v>47</v>
      </c>
      <c r="BK1546">
        <v>23</v>
      </c>
      <c r="BL1546">
        <v>1.17</v>
      </c>
      <c r="BM1546">
        <v>-1.04</v>
      </c>
      <c r="BN1546">
        <v>-0.19</v>
      </c>
      <c r="BO1546">
        <v>0.4</v>
      </c>
      <c r="BP1546">
        <v>1.64</v>
      </c>
      <c r="BQ1546">
        <v>-0.05</v>
      </c>
      <c r="BR1546">
        <v>-0.65</v>
      </c>
      <c r="BS1546">
        <v>1.87</v>
      </c>
      <c r="BT1546">
        <v>0.63</v>
      </c>
      <c r="BU1546">
        <v>2.17</v>
      </c>
      <c r="BV1546">
        <v>1.64</v>
      </c>
      <c r="BW1546">
        <v>1.1599999999999999</v>
      </c>
      <c r="BX1546">
        <v>2.21</v>
      </c>
      <c r="BY1546">
        <v>-0.02</v>
      </c>
      <c r="BZ1546">
        <v>1.25</v>
      </c>
      <c r="CA1546">
        <v>1.56</v>
      </c>
      <c r="CB1546">
        <v>0.95</v>
      </c>
      <c r="CC1546">
        <v>1.95</v>
      </c>
      <c r="CD1546">
        <v>0.01</v>
      </c>
      <c r="CE1546">
        <v>0.28000000000000003</v>
      </c>
      <c r="CF1546">
        <v>1.04</v>
      </c>
      <c r="CG1546">
        <v>0</v>
      </c>
      <c r="CH1546">
        <v>0.22</v>
      </c>
      <c r="CI1546">
        <v>0</v>
      </c>
      <c r="CJ1546">
        <v>-6.4</v>
      </c>
      <c r="CK1546">
        <v>93</v>
      </c>
      <c r="CL1546">
        <v>-1.31</v>
      </c>
      <c r="CM1546">
        <v>91</v>
      </c>
      <c r="CN1546">
        <v>-0.55000000000000004</v>
      </c>
      <c r="CO1546">
        <v>90</v>
      </c>
      <c r="CP1546">
        <v>-3.6</v>
      </c>
      <c r="CQ1546">
        <v>88</v>
      </c>
      <c r="CR1546">
        <v>0</v>
      </c>
      <c r="CS1546">
        <v>0</v>
      </c>
      <c r="CT1546">
        <v>2.5</v>
      </c>
      <c r="CU1546">
        <v>86</v>
      </c>
      <c r="CV1546">
        <v>0.28000000000000003</v>
      </c>
      <c r="CW1546">
        <v>28</v>
      </c>
      <c r="CX1546" t="s">
        <v>316</v>
      </c>
    </row>
    <row r="1547" spans="1:102" x14ac:dyDescent="0.3">
      <c r="A1547" t="str">
        <f>HYPERLINK("https://webapp.icbf.com/v2/app/bull-search/view/566243162","MWP")</f>
        <v>MWP</v>
      </c>
      <c r="B1547" t="s">
        <v>12476</v>
      </c>
      <c r="C1547" t="s">
        <v>8299</v>
      </c>
      <c r="D1547" s="1">
        <v>39489</v>
      </c>
      <c r="E1547" t="s">
        <v>92</v>
      </c>
      <c r="F1547">
        <v>66</v>
      </c>
      <c r="G1547" t="s">
        <v>93</v>
      </c>
      <c r="H1547">
        <v>103.38</v>
      </c>
      <c r="I1547">
        <v>88</v>
      </c>
      <c r="J1547">
        <v>-24.68</v>
      </c>
      <c r="K1547">
        <v>97</v>
      </c>
      <c r="L1547">
        <v>95.36</v>
      </c>
      <c r="M1547">
        <v>80</v>
      </c>
      <c r="N1547">
        <v>17.55</v>
      </c>
      <c r="O1547">
        <v>88</v>
      </c>
      <c r="P1547">
        <v>-12.58</v>
      </c>
      <c r="Q1547">
        <v>92</v>
      </c>
      <c r="R1547">
        <v>14.69</v>
      </c>
      <c r="S1547">
        <v>83</v>
      </c>
      <c r="T1547">
        <v>11.83</v>
      </c>
      <c r="U1547">
        <v>88</v>
      </c>
      <c r="V1547">
        <v>1.21</v>
      </c>
      <c r="W1547">
        <v>84</v>
      </c>
      <c r="X1547" t="s">
        <v>94</v>
      </c>
      <c r="Y1547" t="s">
        <v>4217</v>
      </c>
      <c r="Z1547" t="s">
        <v>96</v>
      </c>
      <c r="AA1547" t="s">
        <v>2713</v>
      </c>
      <c r="AB1547" t="s">
        <v>8154</v>
      </c>
      <c r="AC1547">
        <v>109</v>
      </c>
      <c r="AD1547">
        <v>78</v>
      </c>
      <c r="AE1547">
        <v>97</v>
      </c>
      <c r="AF1547">
        <v>-326.36</v>
      </c>
      <c r="AG1547">
        <v>-6.31</v>
      </c>
      <c r="AH1547">
        <v>-6.96</v>
      </c>
      <c r="AI1547">
        <v>0.12</v>
      </c>
      <c r="AJ1547">
        <v>0.08</v>
      </c>
      <c r="AK1547">
        <v>80</v>
      </c>
      <c r="AL1547">
        <v>99</v>
      </c>
      <c r="AM1547">
        <v>73</v>
      </c>
      <c r="AN1547">
        <v>-5.59</v>
      </c>
      <c r="AO1547">
        <v>2.0099999999999998</v>
      </c>
      <c r="AP1547">
        <v>252</v>
      </c>
      <c r="AQ1547">
        <v>0</v>
      </c>
      <c r="AR1547">
        <v>7.56</v>
      </c>
      <c r="AS1547">
        <v>72</v>
      </c>
      <c r="AT1547">
        <v>3.45</v>
      </c>
      <c r="AU1547">
        <v>90</v>
      </c>
      <c r="AV1547">
        <v>-2.2599999999999998</v>
      </c>
      <c r="AW1547">
        <v>97</v>
      </c>
      <c r="AX1547">
        <v>0.61</v>
      </c>
      <c r="AY1547">
        <v>84</v>
      </c>
      <c r="AZ1547">
        <v>5.66</v>
      </c>
      <c r="BA1547">
        <v>71</v>
      </c>
      <c r="BB1547">
        <v>4.38</v>
      </c>
      <c r="BC1547">
        <v>72</v>
      </c>
      <c r="BD1547">
        <v>-0.04</v>
      </c>
      <c r="BE1547">
        <v>-0.09</v>
      </c>
      <c r="BF1547">
        <v>-0.1</v>
      </c>
      <c r="BG1547">
        <v>90</v>
      </c>
      <c r="BH1547">
        <v>0.12</v>
      </c>
      <c r="BI1547">
        <v>9.99</v>
      </c>
      <c r="BJ1547">
        <v>30</v>
      </c>
      <c r="BK1547">
        <v>23</v>
      </c>
      <c r="BL1547">
        <v>-0.3</v>
      </c>
      <c r="BM1547">
        <v>2.19</v>
      </c>
      <c r="BN1547">
        <v>0.1</v>
      </c>
      <c r="BO1547">
        <v>-1.49</v>
      </c>
      <c r="BP1547">
        <v>-1.63</v>
      </c>
      <c r="BQ1547">
        <v>1.84</v>
      </c>
      <c r="BR1547">
        <v>0.99</v>
      </c>
      <c r="BS1547">
        <v>-1.48</v>
      </c>
      <c r="BT1547">
        <v>-0.75</v>
      </c>
      <c r="BU1547">
        <v>0.17</v>
      </c>
      <c r="BV1547">
        <v>-0.67</v>
      </c>
      <c r="BW1547">
        <v>-0.67</v>
      </c>
      <c r="BX1547">
        <v>-1.02</v>
      </c>
      <c r="BY1547">
        <v>0.56000000000000005</v>
      </c>
      <c r="BZ1547">
        <v>-1</v>
      </c>
      <c r="CA1547">
        <v>-0.87</v>
      </c>
      <c r="CB1547">
        <v>-0.94</v>
      </c>
      <c r="CC1547">
        <v>-0.72</v>
      </c>
      <c r="CD1547">
        <v>2.19</v>
      </c>
      <c r="CE1547">
        <v>-1.3</v>
      </c>
      <c r="CF1547">
        <v>0.4</v>
      </c>
      <c r="CG1547">
        <v>0</v>
      </c>
      <c r="CH1547">
        <v>0.52</v>
      </c>
      <c r="CI1547">
        <v>0</v>
      </c>
      <c r="CJ1547">
        <v>-6</v>
      </c>
      <c r="CK1547">
        <v>93</v>
      </c>
      <c r="CL1547">
        <v>-0.67</v>
      </c>
      <c r="CM1547">
        <v>92</v>
      </c>
      <c r="CN1547">
        <v>-0.28999999999999998</v>
      </c>
      <c r="CO1547">
        <v>90</v>
      </c>
      <c r="CP1547">
        <v>-5.2</v>
      </c>
      <c r="CQ1547">
        <v>90</v>
      </c>
      <c r="CR1547">
        <v>0</v>
      </c>
      <c r="CS1547">
        <v>0</v>
      </c>
      <c r="CT1547">
        <v>-2.2000000000000002</v>
      </c>
      <c r="CU1547">
        <v>88</v>
      </c>
      <c r="CV1547">
        <v>0.03</v>
      </c>
      <c r="CW1547">
        <v>45</v>
      </c>
      <c r="CX1547" t="s">
        <v>1543</v>
      </c>
    </row>
    <row r="1548" spans="1:102" x14ac:dyDescent="0.3">
      <c r="A1548" t="str">
        <f>HYPERLINK("https://webapp.icbf.com/v2/app/bull-search/view/1417506002","S3155")</f>
        <v>S3155</v>
      </c>
      <c r="B1548" t="s">
        <v>2270</v>
      </c>
      <c r="C1548" t="s">
        <v>2271</v>
      </c>
      <c r="D1548" s="1">
        <v>42085</v>
      </c>
      <c r="E1548" t="s">
        <v>92</v>
      </c>
      <c r="F1548">
        <v>100</v>
      </c>
      <c r="G1548" t="s">
        <v>109</v>
      </c>
      <c r="H1548">
        <v>103.37</v>
      </c>
      <c r="I1548">
        <v>70</v>
      </c>
      <c r="J1548">
        <v>112.68</v>
      </c>
      <c r="K1548">
        <v>90</v>
      </c>
      <c r="L1548">
        <v>-61.04</v>
      </c>
      <c r="M1548">
        <v>72</v>
      </c>
      <c r="N1548">
        <v>46.16</v>
      </c>
      <c r="O1548">
        <v>56</v>
      </c>
      <c r="P1548">
        <v>0.3</v>
      </c>
      <c r="Q1548">
        <v>43</v>
      </c>
      <c r="R1548">
        <v>7.7</v>
      </c>
      <c r="S1548">
        <v>66</v>
      </c>
      <c r="T1548">
        <v>-13.26</v>
      </c>
      <c r="U1548">
        <v>36</v>
      </c>
      <c r="V1548">
        <v>10.83</v>
      </c>
      <c r="W1548">
        <v>54</v>
      </c>
      <c r="X1548" t="s">
        <v>110</v>
      </c>
      <c r="Y1548" t="s">
        <v>457</v>
      </c>
      <c r="Z1548" t="s">
        <v>96</v>
      </c>
      <c r="AA1548" t="s">
        <v>2272</v>
      </c>
      <c r="AB1548" t="s">
        <v>2273</v>
      </c>
      <c r="AC1548">
        <v>0</v>
      </c>
      <c r="AD1548">
        <v>0</v>
      </c>
      <c r="AE1548">
        <v>90</v>
      </c>
      <c r="AF1548">
        <v>926.71</v>
      </c>
      <c r="AG1548">
        <v>23.26</v>
      </c>
      <c r="AH1548">
        <v>25.12</v>
      </c>
      <c r="AI1548">
        <v>-0.2</v>
      </c>
      <c r="AJ1548">
        <v>-0.09</v>
      </c>
      <c r="AK1548">
        <v>72</v>
      </c>
      <c r="AL1548">
        <v>0</v>
      </c>
      <c r="AM1548">
        <v>0</v>
      </c>
      <c r="AN1548">
        <v>3.96</v>
      </c>
      <c r="AO1548">
        <v>-0.9</v>
      </c>
      <c r="AP1548">
        <v>1</v>
      </c>
      <c r="AQ1548">
        <v>0</v>
      </c>
      <c r="AR1548">
        <v>7.29</v>
      </c>
      <c r="AS1548">
        <v>57</v>
      </c>
      <c r="AT1548">
        <v>2.39</v>
      </c>
      <c r="AU1548">
        <v>87</v>
      </c>
      <c r="AV1548">
        <v>-4.51</v>
      </c>
      <c r="AW1548">
        <v>48</v>
      </c>
      <c r="AX1548">
        <v>-0.04</v>
      </c>
      <c r="AY1548">
        <v>44</v>
      </c>
      <c r="AZ1548">
        <v>5.22</v>
      </c>
      <c r="BA1548">
        <v>39</v>
      </c>
      <c r="BB1548">
        <v>4.63</v>
      </c>
      <c r="BC1548">
        <v>34</v>
      </c>
      <c r="BD1548">
        <v>0</v>
      </c>
      <c r="BE1548">
        <v>-0.03</v>
      </c>
      <c r="BF1548">
        <v>-0.12</v>
      </c>
      <c r="BG1548">
        <v>82</v>
      </c>
      <c r="BH1548">
        <v>0.19</v>
      </c>
      <c r="BI1548">
        <v>-12.96</v>
      </c>
      <c r="BJ1548">
        <v>0</v>
      </c>
      <c r="BK1548">
        <v>0</v>
      </c>
      <c r="BL1548">
        <v>1.56</v>
      </c>
      <c r="BM1548">
        <v>0.44</v>
      </c>
      <c r="BN1548">
        <v>1.38</v>
      </c>
      <c r="BO1548">
        <v>1.1100000000000001</v>
      </c>
      <c r="BP1548">
        <v>-1.1499999999999999</v>
      </c>
      <c r="BQ1548">
        <v>1.79</v>
      </c>
      <c r="BR1548">
        <v>-0.57999999999999996</v>
      </c>
      <c r="BS1548">
        <v>1.92</v>
      </c>
      <c r="BT1548">
        <v>1.81</v>
      </c>
      <c r="BU1548">
        <v>1.75</v>
      </c>
      <c r="BV1548">
        <v>2.27</v>
      </c>
      <c r="BW1548">
        <v>3.21</v>
      </c>
      <c r="BX1548">
        <v>1.18</v>
      </c>
      <c r="BY1548">
        <v>1.79</v>
      </c>
      <c r="BZ1548">
        <v>-0.1</v>
      </c>
      <c r="CA1548">
        <v>2.3199999999999998</v>
      </c>
      <c r="CB1548">
        <v>1.97</v>
      </c>
      <c r="CC1548">
        <v>1.77</v>
      </c>
      <c r="CD1548">
        <v>-0.54</v>
      </c>
      <c r="CE1548">
        <v>1.65</v>
      </c>
      <c r="CF1548">
        <v>1.94</v>
      </c>
      <c r="CG1548">
        <v>0</v>
      </c>
      <c r="CH1548">
        <v>2.19</v>
      </c>
      <c r="CI1548">
        <v>0</v>
      </c>
      <c r="CJ1548">
        <v>2.6</v>
      </c>
      <c r="CK1548">
        <v>44</v>
      </c>
      <c r="CL1548">
        <v>-1.4</v>
      </c>
      <c r="CM1548">
        <v>43</v>
      </c>
      <c r="CN1548">
        <v>-0.83</v>
      </c>
      <c r="CO1548">
        <v>42</v>
      </c>
      <c r="CP1548">
        <v>9.6</v>
      </c>
      <c r="CQ1548">
        <v>37</v>
      </c>
      <c r="CR1548">
        <v>0</v>
      </c>
      <c r="CS1548">
        <v>0</v>
      </c>
      <c r="CT1548">
        <v>31.7</v>
      </c>
      <c r="CU1548">
        <v>36</v>
      </c>
      <c r="CV1548">
        <v>0.3</v>
      </c>
      <c r="CW1548">
        <v>34</v>
      </c>
      <c r="CX1548" t="s">
        <v>412</v>
      </c>
    </row>
    <row r="1549" spans="1:102" x14ac:dyDescent="0.3">
      <c r="A1549" t="str">
        <f>HYPERLINK("https://webapp.icbf.com/v2/app/bull-search/view/448575016","TCZ")</f>
        <v>TCZ</v>
      </c>
      <c r="B1549" t="s">
        <v>14840</v>
      </c>
      <c r="C1549" t="s">
        <v>12828</v>
      </c>
      <c r="D1549" s="1">
        <v>36543</v>
      </c>
      <c r="E1549" t="s">
        <v>92</v>
      </c>
      <c r="F1549">
        <v>94</v>
      </c>
      <c r="G1549" t="s">
        <v>93</v>
      </c>
      <c r="H1549">
        <v>103.31</v>
      </c>
      <c r="I1549">
        <v>97</v>
      </c>
      <c r="J1549">
        <v>46.49</v>
      </c>
      <c r="K1549">
        <v>99</v>
      </c>
      <c r="L1549">
        <v>29.79</v>
      </c>
      <c r="M1549">
        <v>94</v>
      </c>
      <c r="N1549">
        <v>24</v>
      </c>
      <c r="O1549">
        <v>98</v>
      </c>
      <c r="P1549">
        <v>0.16</v>
      </c>
      <c r="Q1549">
        <v>99</v>
      </c>
      <c r="R1549">
        <v>2.67</v>
      </c>
      <c r="S1549">
        <v>96</v>
      </c>
      <c r="T1549">
        <v>8.65</v>
      </c>
      <c r="U1549">
        <v>98</v>
      </c>
      <c r="V1549">
        <v>-8.4499999999999993</v>
      </c>
      <c r="W1549">
        <v>97</v>
      </c>
      <c r="X1549" t="s">
        <v>276</v>
      </c>
      <c r="Y1549" t="s">
        <v>95</v>
      </c>
      <c r="Z1549" t="s">
        <v>96</v>
      </c>
      <c r="AA1549" t="s">
        <v>1184</v>
      </c>
      <c r="AB1549" t="s">
        <v>1007</v>
      </c>
      <c r="AC1549">
        <v>1052</v>
      </c>
      <c r="AD1549">
        <v>374</v>
      </c>
      <c r="AE1549">
        <v>99</v>
      </c>
      <c r="AF1549">
        <v>91.92</v>
      </c>
      <c r="AG1549">
        <v>15.19</v>
      </c>
      <c r="AH1549">
        <v>3.94</v>
      </c>
      <c r="AI1549">
        <v>0.2</v>
      </c>
      <c r="AJ1549">
        <v>0.01</v>
      </c>
      <c r="AK1549">
        <v>94</v>
      </c>
      <c r="AL1549">
        <v>1085</v>
      </c>
      <c r="AM1549">
        <v>379</v>
      </c>
      <c r="AN1549">
        <v>-1.27</v>
      </c>
      <c r="AO1549">
        <v>1.1100000000000001</v>
      </c>
      <c r="AP1549">
        <v>1839</v>
      </c>
      <c r="AQ1549">
        <v>6</v>
      </c>
      <c r="AR1549">
        <v>7.97</v>
      </c>
      <c r="AS1549">
        <v>98</v>
      </c>
      <c r="AT1549">
        <v>2.33</v>
      </c>
      <c r="AU1549">
        <v>98</v>
      </c>
      <c r="AV1549">
        <v>-2.33</v>
      </c>
      <c r="AW1549">
        <v>99</v>
      </c>
      <c r="AX1549">
        <v>0.05</v>
      </c>
      <c r="AY1549">
        <v>98</v>
      </c>
      <c r="AZ1549">
        <v>5.98</v>
      </c>
      <c r="BA1549">
        <v>93</v>
      </c>
      <c r="BB1549">
        <v>5.15</v>
      </c>
      <c r="BC1549">
        <v>94</v>
      </c>
      <c r="BD1549">
        <v>-0.02</v>
      </c>
      <c r="BE1549">
        <v>-0.02</v>
      </c>
      <c r="BF1549">
        <v>0.01</v>
      </c>
      <c r="BG1549">
        <v>98</v>
      </c>
      <c r="BH1549">
        <v>-0.01</v>
      </c>
      <c r="BI1549">
        <v>26.11</v>
      </c>
      <c r="BJ1549">
        <v>83</v>
      </c>
      <c r="BK1549">
        <v>30</v>
      </c>
      <c r="BL1549">
        <v>0.32</v>
      </c>
      <c r="BM1549">
        <v>-0.1</v>
      </c>
      <c r="BN1549">
        <v>-0.02</v>
      </c>
      <c r="BO1549">
        <v>0.37</v>
      </c>
      <c r="BP1549">
        <v>0.51</v>
      </c>
      <c r="BQ1549">
        <v>0.26</v>
      </c>
      <c r="BR1549">
        <v>-0.37</v>
      </c>
      <c r="BS1549">
        <v>1.56</v>
      </c>
      <c r="BT1549">
        <v>-0.1</v>
      </c>
      <c r="BU1549">
        <v>-0.25</v>
      </c>
      <c r="BV1549">
        <v>0.42</v>
      </c>
      <c r="BW1549">
        <v>1.07</v>
      </c>
      <c r="BX1549">
        <v>0.12</v>
      </c>
      <c r="BY1549">
        <v>1.3</v>
      </c>
      <c r="BZ1549">
        <v>-1.18</v>
      </c>
      <c r="CA1549">
        <v>0.84</v>
      </c>
      <c r="CB1549">
        <v>0.6</v>
      </c>
      <c r="CC1549">
        <v>0.91</v>
      </c>
      <c r="CD1549">
        <v>0.63</v>
      </c>
      <c r="CE1549">
        <v>0.56000000000000005</v>
      </c>
      <c r="CF1549">
        <v>0.75</v>
      </c>
      <c r="CG1549">
        <v>0</v>
      </c>
      <c r="CH1549">
        <v>1.04</v>
      </c>
      <c r="CI1549">
        <v>0</v>
      </c>
      <c r="CJ1549">
        <v>1.3</v>
      </c>
      <c r="CK1549">
        <v>99</v>
      </c>
      <c r="CL1549">
        <v>-0.68</v>
      </c>
      <c r="CM1549">
        <v>99</v>
      </c>
      <c r="CN1549">
        <v>-0.52</v>
      </c>
      <c r="CO1549">
        <v>99</v>
      </c>
      <c r="CP1549">
        <v>-4.7</v>
      </c>
      <c r="CQ1549">
        <v>99</v>
      </c>
      <c r="CR1549">
        <v>0</v>
      </c>
      <c r="CS1549">
        <v>0</v>
      </c>
      <c r="CT1549">
        <v>2.1</v>
      </c>
      <c r="CU1549">
        <v>98</v>
      </c>
      <c r="CV1549">
        <v>0.13</v>
      </c>
      <c r="CW1549">
        <v>46</v>
      </c>
      <c r="CX1549" t="s">
        <v>1008</v>
      </c>
    </row>
    <row r="1550" spans="1:102" x14ac:dyDescent="0.3">
      <c r="A1550" t="str">
        <f>HYPERLINK("https://webapp.icbf.com/v2/app/bull-search/view/583526103","LUC")</f>
        <v>LUC</v>
      </c>
      <c r="B1550" t="s">
        <v>9934</v>
      </c>
      <c r="C1550" t="s">
        <v>9933</v>
      </c>
      <c r="D1550" s="1">
        <v>36910</v>
      </c>
      <c r="E1550" t="s">
        <v>146</v>
      </c>
      <c r="F1550">
        <v>0</v>
      </c>
      <c r="G1550" t="s">
        <v>109</v>
      </c>
      <c r="H1550">
        <v>103.24</v>
      </c>
      <c r="I1550">
        <v>70</v>
      </c>
      <c r="J1550">
        <v>17.47</v>
      </c>
      <c r="K1550">
        <v>77</v>
      </c>
      <c r="L1550">
        <v>51.84</v>
      </c>
      <c r="M1550">
        <v>64</v>
      </c>
      <c r="N1550">
        <v>22.15</v>
      </c>
      <c r="O1550">
        <v>83</v>
      </c>
      <c r="P1550">
        <v>0.39</v>
      </c>
      <c r="Q1550">
        <v>93</v>
      </c>
      <c r="R1550">
        <v>-1.45</v>
      </c>
      <c r="S1550">
        <v>55</v>
      </c>
      <c r="T1550">
        <v>17.82</v>
      </c>
      <c r="U1550">
        <v>58</v>
      </c>
      <c r="V1550">
        <v>-4.9800000000000004</v>
      </c>
      <c r="W1550">
        <v>12</v>
      </c>
      <c r="X1550" t="s">
        <v>94</v>
      </c>
      <c r="Y1550" t="s">
        <v>270</v>
      </c>
      <c r="Z1550">
        <v>0</v>
      </c>
      <c r="AA1550" t="s">
        <v>1125</v>
      </c>
      <c r="AB1550" t="s">
        <v>7787</v>
      </c>
      <c r="AC1550">
        <v>0</v>
      </c>
      <c r="AD1550">
        <v>0</v>
      </c>
      <c r="AE1550">
        <v>77</v>
      </c>
      <c r="AF1550">
        <v>-178.98</v>
      </c>
      <c r="AG1550">
        <v>-2.71</v>
      </c>
      <c r="AH1550">
        <v>1.19</v>
      </c>
      <c r="AI1550">
        <v>7.0000000000000007E-2</v>
      </c>
      <c r="AJ1550">
        <v>0.13</v>
      </c>
      <c r="AK1550">
        <v>64</v>
      </c>
      <c r="AL1550">
        <v>0</v>
      </c>
      <c r="AM1550">
        <v>0</v>
      </c>
      <c r="AN1550">
        <v>-3.91</v>
      </c>
      <c r="AO1550">
        <v>0.21</v>
      </c>
      <c r="AP1550">
        <v>40</v>
      </c>
      <c r="AQ1550">
        <v>0</v>
      </c>
      <c r="AR1550">
        <v>4.22</v>
      </c>
      <c r="AS1550">
        <v>56</v>
      </c>
      <c r="AT1550">
        <v>2.2999999999999998</v>
      </c>
      <c r="AU1550">
        <v>88</v>
      </c>
      <c r="AV1550">
        <v>-1.53</v>
      </c>
      <c r="AW1550">
        <v>94</v>
      </c>
      <c r="AX1550">
        <v>1.34</v>
      </c>
      <c r="AY1550">
        <v>77</v>
      </c>
      <c r="AZ1550">
        <v>6.62</v>
      </c>
      <c r="BA1550">
        <v>56</v>
      </c>
      <c r="BB1550">
        <v>5.05</v>
      </c>
      <c r="BC1550">
        <v>63</v>
      </c>
      <c r="BD1550">
        <v>0.02</v>
      </c>
      <c r="BE1550">
        <v>0</v>
      </c>
      <c r="BF1550">
        <v>0</v>
      </c>
      <c r="BG1550">
        <v>83</v>
      </c>
      <c r="BH1550">
        <v>-0.14000000000000001</v>
      </c>
      <c r="BI1550">
        <v>-0.12</v>
      </c>
      <c r="BJ1550">
        <v>0</v>
      </c>
      <c r="BK1550">
        <v>0</v>
      </c>
      <c r="BL1550">
        <v>-1.61</v>
      </c>
      <c r="BM1550">
        <v>2.9</v>
      </c>
      <c r="BN1550">
        <v>-1.03</v>
      </c>
      <c r="BO1550">
        <v>-1.88</v>
      </c>
      <c r="BP1550">
        <v>3.27</v>
      </c>
      <c r="BQ1550">
        <v>0.98</v>
      </c>
      <c r="BR1550">
        <v>-1.4</v>
      </c>
      <c r="BS1550">
        <v>-0.34</v>
      </c>
      <c r="BT1550">
        <v>0.75</v>
      </c>
      <c r="BU1550">
        <v>-2.27</v>
      </c>
      <c r="BV1550">
        <v>-2.64</v>
      </c>
      <c r="BW1550">
        <v>-1.55</v>
      </c>
      <c r="BX1550">
        <v>-2.04</v>
      </c>
      <c r="BY1550">
        <v>-2.42</v>
      </c>
      <c r="BZ1550">
        <v>0.85</v>
      </c>
      <c r="CA1550">
        <v>-1.94</v>
      </c>
      <c r="CB1550">
        <v>-2.16</v>
      </c>
      <c r="CC1550">
        <v>-0.6</v>
      </c>
      <c r="CD1550">
        <v>3.13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3.3</v>
      </c>
      <c r="CK1550">
        <v>94</v>
      </c>
      <c r="CL1550">
        <v>0.02</v>
      </c>
      <c r="CM1550">
        <v>93</v>
      </c>
      <c r="CN1550">
        <v>0.34</v>
      </c>
      <c r="CO1550">
        <v>92</v>
      </c>
      <c r="CP1550">
        <v>-2.6</v>
      </c>
      <c r="CQ1550">
        <v>85</v>
      </c>
      <c r="CR1550">
        <v>0</v>
      </c>
      <c r="CS1550">
        <v>0</v>
      </c>
      <c r="CT1550">
        <v>-10.3</v>
      </c>
      <c r="CU1550">
        <v>58</v>
      </c>
      <c r="CV1550">
        <v>-0.01</v>
      </c>
      <c r="CW1550">
        <v>44</v>
      </c>
      <c r="CX1550" t="s">
        <v>7788</v>
      </c>
    </row>
    <row r="1551" spans="1:102" x14ac:dyDescent="0.3">
      <c r="A1551" t="str">
        <f>HYPERLINK("https://webapp.icbf.com/v2/app/bull-search/view/77855926","LRR")</f>
        <v>LRR</v>
      </c>
      <c r="B1551" t="s">
        <v>11229</v>
      </c>
      <c r="C1551" t="s">
        <v>11230</v>
      </c>
      <c r="D1551" s="1">
        <v>34242</v>
      </c>
      <c r="E1551" t="s">
        <v>108</v>
      </c>
      <c r="F1551">
        <v>0</v>
      </c>
      <c r="G1551" t="s">
        <v>93</v>
      </c>
      <c r="H1551">
        <v>103.19</v>
      </c>
      <c r="I1551">
        <v>69</v>
      </c>
      <c r="J1551">
        <v>-39.5</v>
      </c>
      <c r="K1551">
        <v>89</v>
      </c>
      <c r="L1551">
        <v>138.02000000000001</v>
      </c>
      <c r="M1551">
        <v>57</v>
      </c>
      <c r="N1551">
        <v>9.92</v>
      </c>
      <c r="O1551">
        <v>50</v>
      </c>
      <c r="P1551">
        <v>-19.190000000000001</v>
      </c>
      <c r="Q1551">
        <v>83</v>
      </c>
      <c r="R1551">
        <v>-1.78</v>
      </c>
      <c r="S1551">
        <v>60</v>
      </c>
      <c r="T1551">
        <v>21.08</v>
      </c>
      <c r="U1551">
        <v>66</v>
      </c>
      <c r="V1551">
        <v>-5.36</v>
      </c>
      <c r="W1551">
        <v>30</v>
      </c>
      <c r="X1551" t="s">
        <v>102</v>
      </c>
      <c r="Y1551" t="s">
        <v>95</v>
      </c>
      <c r="Z1551" t="s">
        <v>96</v>
      </c>
      <c r="AA1551" t="s">
        <v>9677</v>
      </c>
      <c r="AB1551" t="s">
        <v>11231</v>
      </c>
      <c r="AC1551">
        <v>44</v>
      </c>
      <c r="AD1551">
        <v>34</v>
      </c>
      <c r="AE1551">
        <v>89</v>
      </c>
      <c r="AF1551">
        <v>-505.83</v>
      </c>
      <c r="AG1551">
        <v>-9.3000000000000007</v>
      </c>
      <c r="AH1551">
        <v>-11.17</v>
      </c>
      <c r="AI1551">
        <v>0.19</v>
      </c>
      <c r="AJ1551">
        <v>0.11</v>
      </c>
      <c r="AK1551">
        <v>57</v>
      </c>
      <c r="AL1551">
        <v>71</v>
      </c>
      <c r="AM1551">
        <v>48</v>
      </c>
      <c r="AN1551">
        <v>-9.61</v>
      </c>
      <c r="AO1551">
        <v>1.37</v>
      </c>
      <c r="AP1551">
        <v>2</v>
      </c>
      <c r="AQ1551">
        <v>0</v>
      </c>
      <c r="AR1551">
        <v>6.69</v>
      </c>
      <c r="AS1551">
        <v>22</v>
      </c>
      <c r="AT1551">
        <v>2.71</v>
      </c>
      <c r="AU1551">
        <v>48</v>
      </c>
      <c r="AV1551">
        <v>-0.99</v>
      </c>
      <c r="AW1551">
        <v>55</v>
      </c>
      <c r="AX1551">
        <v>-0.35</v>
      </c>
      <c r="AY1551">
        <v>69</v>
      </c>
      <c r="AZ1551">
        <v>6.85</v>
      </c>
      <c r="BA1551">
        <v>22</v>
      </c>
      <c r="BB1551">
        <v>5.75</v>
      </c>
      <c r="BC1551">
        <v>44</v>
      </c>
      <c r="BD1551">
        <v>0.06</v>
      </c>
      <c r="BE1551">
        <v>-0.01</v>
      </c>
      <c r="BF1551">
        <v>-0.04</v>
      </c>
      <c r="BG1551">
        <v>79</v>
      </c>
      <c r="BH1551">
        <v>-0.11</v>
      </c>
      <c r="BI1551">
        <v>4.5599999999999996</v>
      </c>
      <c r="BJ1551">
        <v>11</v>
      </c>
      <c r="BK1551">
        <v>8</v>
      </c>
      <c r="BL1551">
        <v>-2.4500000000000002</v>
      </c>
      <c r="BM1551">
        <v>1.47</v>
      </c>
      <c r="BN1551">
        <v>-3.3</v>
      </c>
      <c r="BO1551">
        <v>-3.21</v>
      </c>
      <c r="BP1551">
        <v>-0.98</v>
      </c>
      <c r="BQ1551">
        <v>1.3</v>
      </c>
      <c r="BR1551">
        <v>-1.4</v>
      </c>
      <c r="BS1551">
        <v>-0.04</v>
      </c>
      <c r="BT1551">
        <v>0.16</v>
      </c>
      <c r="BU1551">
        <v>-1.06</v>
      </c>
      <c r="BV1551">
        <v>-2.5099999999999998</v>
      </c>
      <c r="BW1551">
        <v>-2.37</v>
      </c>
      <c r="BX1551">
        <v>1.24</v>
      </c>
      <c r="BY1551">
        <v>-0.27</v>
      </c>
      <c r="BZ1551">
        <v>-1</v>
      </c>
      <c r="CA1551">
        <v>-1.84</v>
      </c>
      <c r="CB1551">
        <v>-2.16</v>
      </c>
      <c r="CC1551">
        <v>-0.74</v>
      </c>
      <c r="CD1551">
        <v>3.07</v>
      </c>
      <c r="CE1551">
        <v>-3.36</v>
      </c>
      <c r="CF1551">
        <v>-2.2400000000000002</v>
      </c>
      <c r="CG1551">
        <v>0</v>
      </c>
      <c r="CH1551">
        <v>-1.58</v>
      </c>
      <c r="CI1551">
        <v>0</v>
      </c>
      <c r="CJ1551">
        <v>-9.1</v>
      </c>
      <c r="CK1551">
        <v>85</v>
      </c>
      <c r="CL1551">
        <v>-0.08</v>
      </c>
      <c r="CM1551">
        <v>82</v>
      </c>
      <c r="CN1551">
        <v>0.35</v>
      </c>
      <c r="CO1551">
        <v>79</v>
      </c>
      <c r="CP1551">
        <v>-11.4</v>
      </c>
      <c r="CQ1551">
        <v>82</v>
      </c>
      <c r="CR1551">
        <v>0</v>
      </c>
      <c r="CS1551">
        <v>0</v>
      </c>
      <c r="CT1551">
        <v>-14.7</v>
      </c>
      <c r="CU1551">
        <v>66</v>
      </c>
      <c r="CV1551">
        <v>-0.16</v>
      </c>
      <c r="CW1551">
        <v>25</v>
      </c>
      <c r="CX1551" t="s">
        <v>11232</v>
      </c>
    </row>
    <row r="1552" spans="1:102" x14ac:dyDescent="0.3">
      <c r="A1552" t="str">
        <f>HYPERLINK("https://webapp.icbf.com/v2/app/bull-search/view/1639538324","F351")</f>
        <v>F351</v>
      </c>
      <c r="B1552" t="s">
        <v>6416</v>
      </c>
      <c r="C1552" t="s">
        <v>6417</v>
      </c>
      <c r="D1552" s="1">
        <v>42806</v>
      </c>
      <c r="E1552" t="s">
        <v>108</v>
      </c>
      <c r="F1552">
        <v>13</v>
      </c>
      <c r="G1552" t="s">
        <v>435</v>
      </c>
      <c r="H1552">
        <v>103.18</v>
      </c>
      <c r="I1552">
        <v>56</v>
      </c>
      <c r="J1552">
        <v>-33.85</v>
      </c>
      <c r="K1552">
        <v>74</v>
      </c>
      <c r="L1552">
        <v>106.79</v>
      </c>
      <c r="M1552">
        <v>47</v>
      </c>
      <c r="N1552">
        <v>-1.03</v>
      </c>
      <c r="O1552">
        <v>60</v>
      </c>
      <c r="P1552">
        <v>3.65</v>
      </c>
      <c r="Q1552">
        <v>42</v>
      </c>
      <c r="R1552">
        <v>20.2</v>
      </c>
      <c r="S1552">
        <v>46</v>
      </c>
      <c r="T1552">
        <v>11.38</v>
      </c>
      <c r="U1552">
        <v>38</v>
      </c>
      <c r="V1552">
        <v>-3.96</v>
      </c>
      <c r="W1552">
        <v>43</v>
      </c>
      <c r="X1552" t="s">
        <v>110</v>
      </c>
      <c r="Y1552" t="s">
        <v>2410</v>
      </c>
      <c r="Z1552" t="s">
        <v>96</v>
      </c>
      <c r="AA1552" t="s">
        <v>6418</v>
      </c>
      <c r="AB1552" t="s">
        <v>6419</v>
      </c>
      <c r="AC1552">
        <v>0</v>
      </c>
      <c r="AD1552">
        <v>0</v>
      </c>
      <c r="AE1552">
        <v>74</v>
      </c>
      <c r="AF1552">
        <v>63.88</v>
      </c>
      <c r="AG1552">
        <v>-5</v>
      </c>
      <c r="AH1552">
        <v>-3.01</v>
      </c>
      <c r="AI1552">
        <v>-0.13</v>
      </c>
      <c r="AJ1552">
        <v>-0.09</v>
      </c>
      <c r="AK1552">
        <v>47</v>
      </c>
      <c r="AL1552">
        <v>0</v>
      </c>
      <c r="AM1552">
        <v>0</v>
      </c>
      <c r="AN1552">
        <v>-6.3</v>
      </c>
      <c r="AO1552">
        <v>2.21</v>
      </c>
      <c r="AP1552">
        <v>29</v>
      </c>
      <c r="AQ1552">
        <v>0</v>
      </c>
      <c r="AR1552">
        <v>8.61</v>
      </c>
      <c r="AS1552">
        <v>40</v>
      </c>
      <c r="AT1552">
        <v>3.59</v>
      </c>
      <c r="AU1552">
        <v>63</v>
      </c>
      <c r="AV1552">
        <v>-0.51</v>
      </c>
      <c r="AW1552">
        <v>77</v>
      </c>
      <c r="AX1552">
        <v>0.67</v>
      </c>
      <c r="AY1552">
        <v>52</v>
      </c>
      <c r="AZ1552">
        <v>5.8</v>
      </c>
      <c r="BA1552">
        <v>26</v>
      </c>
      <c r="BB1552">
        <v>4.41</v>
      </c>
      <c r="BC1552">
        <v>27</v>
      </c>
      <c r="BD1552">
        <v>-0.02</v>
      </c>
      <c r="BE1552">
        <v>-0.09</v>
      </c>
      <c r="BF1552">
        <v>-0.26</v>
      </c>
      <c r="BG1552">
        <v>54</v>
      </c>
      <c r="BH1552">
        <v>-0.12</v>
      </c>
      <c r="BI1552">
        <v>-1.1200000000000001</v>
      </c>
      <c r="BJ1552">
        <v>0</v>
      </c>
      <c r="BK1552">
        <v>0</v>
      </c>
      <c r="BL1552">
        <v>-2.91</v>
      </c>
      <c r="BM1552">
        <v>3.16</v>
      </c>
      <c r="BN1552">
        <v>-1.25</v>
      </c>
      <c r="BO1552">
        <v>-3.03</v>
      </c>
      <c r="BP1552">
        <v>0.72</v>
      </c>
      <c r="BQ1552">
        <v>1.61</v>
      </c>
      <c r="BR1552">
        <v>-1.72</v>
      </c>
      <c r="BS1552">
        <v>1.07</v>
      </c>
      <c r="BT1552">
        <v>1.25</v>
      </c>
      <c r="BU1552">
        <v>-1.66</v>
      </c>
      <c r="BV1552">
        <v>-2.75</v>
      </c>
      <c r="BW1552">
        <v>-1.34</v>
      </c>
      <c r="BX1552">
        <v>-0.9</v>
      </c>
      <c r="BY1552">
        <v>-0.5</v>
      </c>
      <c r="BZ1552">
        <v>-2.12</v>
      </c>
      <c r="CA1552">
        <v>-1.21</v>
      </c>
      <c r="CB1552">
        <v>-1.55</v>
      </c>
      <c r="CC1552">
        <v>0.38</v>
      </c>
      <c r="CD1552">
        <v>3.26</v>
      </c>
      <c r="CE1552">
        <v>-2.5</v>
      </c>
      <c r="CF1552">
        <v>-2.13</v>
      </c>
      <c r="CG1552">
        <v>0</v>
      </c>
      <c r="CH1552">
        <v>0</v>
      </c>
      <c r="CI1552">
        <v>0</v>
      </c>
      <c r="CJ1552">
        <v>2.8</v>
      </c>
      <c r="CK1552">
        <v>42</v>
      </c>
      <c r="CL1552">
        <v>0.09</v>
      </c>
      <c r="CM1552">
        <v>42</v>
      </c>
      <c r="CN1552">
        <v>0.09</v>
      </c>
      <c r="CO1552">
        <v>41</v>
      </c>
      <c r="CP1552">
        <v>-0.6</v>
      </c>
      <c r="CQ1552">
        <v>39</v>
      </c>
      <c r="CR1552">
        <v>0</v>
      </c>
      <c r="CS1552">
        <v>0</v>
      </c>
      <c r="CT1552">
        <v>-1.6</v>
      </c>
      <c r="CU1552">
        <v>38</v>
      </c>
      <c r="CV1552">
        <v>0.06</v>
      </c>
      <c r="CW1552">
        <v>34</v>
      </c>
      <c r="CX1552" t="s">
        <v>2574</v>
      </c>
    </row>
    <row r="1553" spans="1:102" x14ac:dyDescent="0.3">
      <c r="A1553" t="str">
        <f>HYPERLINK("https://webapp.icbf.com/v2/app/bull-search/view/516670132","IRZ")</f>
        <v>IRZ</v>
      </c>
      <c r="B1553" t="s">
        <v>8749</v>
      </c>
      <c r="C1553" t="s">
        <v>5972</v>
      </c>
      <c r="D1553" s="1">
        <v>36932</v>
      </c>
      <c r="E1553" t="s">
        <v>227</v>
      </c>
      <c r="F1553">
        <v>0</v>
      </c>
      <c r="G1553" t="s">
        <v>93</v>
      </c>
      <c r="H1553">
        <v>103.13</v>
      </c>
      <c r="I1553">
        <v>91</v>
      </c>
      <c r="J1553">
        <v>26.29</v>
      </c>
      <c r="K1553">
        <v>97</v>
      </c>
      <c r="L1553">
        <v>55.23</v>
      </c>
      <c r="M1553">
        <v>91</v>
      </c>
      <c r="N1553">
        <v>-9.1199999999999992</v>
      </c>
      <c r="O1553">
        <v>88</v>
      </c>
      <c r="P1553">
        <v>-55.98</v>
      </c>
      <c r="Q1553">
        <v>90</v>
      </c>
      <c r="R1553">
        <v>11.28</v>
      </c>
      <c r="S1553">
        <v>83</v>
      </c>
      <c r="T1553">
        <v>68.73</v>
      </c>
      <c r="U1553">
        <v>84</v>
      </c>
      <c r="V1553">
        <v>6.7</v>
      </c>
      <c r="W1553">
        <v>81</v>
      </c>
      <c r="X1553" t="s">
        <v>8750</v>
      </c>
      <c r="Y1553" t="s">
        <v>221</v>
      </c>
      <c r="Z1553">
        <v>0</v>
      </c>
      <c r="AA1553" t="s">
        <v>554</v>
      </c>
      <c r="AB1553" t="s">
        <v>6749</v>
      </c>
      <c r="AC1553">
        <v>93</v>
      </c>
      <c r="AD1553">
        <v>26</v>
      </c>
      <c r="AE1553">
        <v>97</v>
      </c>
      <c r="AF1553">
        <v>-723.94</v>
      </c>
      <c r="AG1553">
        <v>6.56</v>
      </c>
      <c r="AH1553">
        <v>-8.93</v>
      </c>
      <c r="AI1553">
        <v>0.69</v>
      </c>
      <c r="AJ1553">
        <v>0.31</v>
      </c>
      <c r="AK1553">
        <v>91</v>
      </c>
      <c r="AL1553">
        <v>99</v>
      </c>
      <c r="AM1553">
        <v>21</v>
      </c>
      <c r="AN1553">
        <v>-1.79</v>
      </c>
      <c r="AO1553">
        <v>2.63</v>
      </c>
      <c r="AP1553">
        <v>162</v>
      </c>
      <c r="AQ1553">
        <v>0</v>
      </c>
      <c r="AR1553">
        <v>3.19</v>
      </c>
      <c r="AS1553">
        <v>83</v>
      </c>
      <c r="AT1553">
        <v>1.42</v>
      </c>
      <c r="AU1553">
        <v>87</v>
      </c>
      <c r="AV1553">
        <v>0.76</v>
      </c>
      <c r="AW1553">
        <v>96</v>
      </c>
      <c r="AX1553">
        <v>6.15</v>
      </c>
      <c r="AY1553">
        <v>85</v>
      </c>
      <c r="AZ1553">
        <v>7.93</v>
      </c>
      <c r="BA1553">
        <v>73</v>
      </c>
      <c r="BB1553">
        <v>6.01</v>
      </c>
      <c r="BC1553">
        <v>73</v>
      </c>
      <c r="BD1553">
        <v>-0.08</v>
      </c>
      <c r="BE1553">
        <v>-0.04</v>
      </c>
      <c r="BF1553">
        <v>-0.05</v>
      </c>
      <c r="BG1553">
        <v>91</v>
      </c>
      <c r="BH1553">
        <v>0</v>
      </c>
      <c r="BI1553">
        <v>-21.6</v>
      </c>
      <c r="BJ1553">
        <v>16</v>
      </c>
      <c r="BK1553">
        <v>2</v>
      </c>
      <c r="BL1553">
        <v>-1.1499999999999999</v>
      </c>
      <c r="BM1553">
        <v>-2.83</v>
      </c>
      <c r="BN1553">
        <v>-0.52</v>
      </c>
      <c r="BO1553">
        <v>1.98</v>
      </c>
      <c r="BP1553">
        <v>3.06</v>
      </c>
      <c r="BQ1553">
        <v>-7.33</v>
      </c>
      <c r="BR1553">
        <v>2.1800000000000002</v>
      </c>
      <c r="BS1553">
        <v>6.6</v>
      </c>
      <c r="BT1553">
        <v>-0.89</v>
      </c>
      <c r="BU1553">
        <v>0.78</v>
      </c>
      <c r="BV1553">
        <v>0.22</v>
      </c>
      <c r="BW1553">
        <v>-1.95</v>
      </c>
      <c r="BX1553">
        <v>-1.7</v>
      </c>
      <c r="BY1553">
        <v>0.32</v>
      </c>
      <c r="BZ1553">
        <v>0.32</v>
      </c>
      <c r="CA1553">
        <v>2.0299999999999998</v>
      </c>
      <c r="CB1553">
        <v>0.61</v>
      </c>
      <c r="CC1553">
        <v>3.96</v>
      </c>
      <c r="CD1553">
        <v>-3.06</v>
      </c>
      <c r="CE1553">
        <v>1.89</v>
      </c>
      <c r="CF1553">
        <v>-1.32</v>
      </c>
      <c r="CG1553">
        <v>0</v>
      </c>
      <c r="CH1553">
        <v>-1.41</v>
      </c>
      <c r="CI1553">
        <v>0</v>
      </c>
      <c r="CJ1553">
        <v>-31.8</v>
      </c>
      <c r="CK1553">
        <v>91</v>
      </c>
      <c r="CL1553">
        <v>-0.9</v>
      </c>
      <c r="CM1553">
        <v>89</v>
      </c>
      <c r="CN1553">
        <v>-0.43</v>
      </c>
      <c r="CO1553">
        <v>88</v>
      </c>
      <c r="CP1553">
        <v>-52.3</v>
      </c>
      <c r="CQ1553">
        <v>88</v>
      </c>
      <c r="CR1553">
        <v>0</v>
      </c>
      <c r="CS1553">
        <v>0</v>
      </c>
      <c r="CT1553">
        <v>-79.099999999999994</v>
      </c>
      <c r="CU1553">
        <v>84</v>
      </c>
      <c r="CV1553">
        <v>-0.42</v>
      </c>
      <c r="CW1553">
        <v>44</v>
      </c>
      <c r="CX1553" t="s">
        <v>4255</v>
      </c>
    </row>
    <row r="1554" spans="1:102" x14ac:dyDescent="0.3">
      <c r="A1554" t="str">
        <f>HYPERLINK("https://webapp.icbf.com/v2/app/bull-search/view/1276137321","S3064")</f>
        <v>S3064</v>
      </c>
      <c r="B1554" t="s">
        <v>13581</v>
      </c>
      <c r="C1554" t="s">
        <v>13582</v>
      </c>
      <c r="D1554" s="1">
        <v>41594</v>
      </c>
      <c r="E1554" t="s">
        <v>92</v>
      </c>
      <c r="F1554">
        <v>100</v>
      </c>
      <c r="G1554" t="s">
        <v>109</v>
      </c>
      <c r="H1554">
        <v>103.05</v>
      </c>
      <c r="I1554">
        <v>75</v>
      </c>
      <c r="J1554">
        <v>48.08</v>
      </c>
      <c r="K1554">
        <v>92</v>
      </c>
      <c r="L1554">
        <v>37.4</v>
      </c>
      <c r="M1554">
        <v>83</v>
      </c>
      <c r="N1554">
        <v>24.9</v>
      </c>
      <c r="O1554">
        <v>54</v>
      </c>
      <c r="P1554">
        <v>-8</v>
      </c>
      <c r="Q1554">
        <v>42</v>
      </c>
      <c r="R1554">
        <v>13.53</v>
      </c>
      <c r="S1554">
        <v>71</v>
      </c>
      <c r="T1554">
        <v>-21.32</v>
      </c>
      <c r="U1554">
        <v>43</v>
      </c>
      <c r="V1554">
        <v>8.4600000000000009</v>
      </c>
      <c r="W1554">
        <v>55</v>
      </c>
      <c r="X1554" t="s">
        <v>110</v>
      </c>
      <c r="Y1554" t="s">
        <v>411</v>
      </c>
      <c r="Z1554" t="s">
        <v>96</v>
      </c>
      <c r="AA1554" t="s">
        <v>13414</v>
      </c>
      <c r="AB1554" t="s">
        <v>13583</v>
      </c>
      <c r="AC1554">
        <v>0</v>
      </c>
      <c r="AD1554">
        <v>0</v>
      </c>
      <c r="AE1554">
        <v>92</v>
      </c>
      <c r="AF1554">
        <v>353.36</v>
      </c>
      <c r="AG1554">
        <v>12.2</v>
      </c>
      <c r="AH1554">
        <v>9.27</v>
      </c>
      <c r="AI1554">
        <v>-0.03</v>
      </c>
      <c r="AJ1554">
        <v>-0.04</v>
      </c>
      <c r="AK1554">
        <v>83</v>
      </c>
      <c r="AL1554">
        <v>0</v>
      </c>
      <c r="AM1554">
        <v>0</v>
      </c>
      <c r="AN1554">
        <v>-1.45</v>
      </c>
      <c r="AO1554">
        <v>1.54</v>
      </c>
      <c r="AP1554">
        <v>1</v>
      </c>
      <c r="AQ1554">
        <v>0</v>
      </c>
      <c r="AR1554">
        <v>4.5999999999999996</v>
      </c>
      <c r="AS1554">
        <v>54</v>
      </c>
      <c r="AT1554">
        <v>2.6</v>
      </c>
      <c r="AU1554">
        <v>91</v>
      </c>
      <c r="AV1554">
        <v>-2.4700000000000002</v>
      </c>
      <c r="AW1554">
        <v>43</v>
      </c>
      <c r="AX1554">
        <v>0.44</v>
      </c>
      <c r="AY1554">
        <v>46</v>
      </c>
      <c r="AZ1554">
        <v>7.44</v>
      </c>
      <c r="BA1554">
        <v>35</v>
      </c>
      <c r="BB1554">
        <v>5.61</v>
      </c>
      <c r="BC1554">
        <v>35</v>
      </c>
      <c r="BD1554">
        <v>-0.03</v>
      </c>
      <c r="BE1554">
        <v>-0.09</v>
      </c>
      <c r="BF1554">
        <v>-0.09</v>
      </c>
      <c r="BG1554">
        <v>90</v>
      </c>
      <c r="BH1554">
        <v>0.17</v>
      </c>
      <c r="BI1554">
        <v>-7.61</v>
      </c>
      <c r="BJ1554">
        <v>0</v>
      </c>
      <c r="BK1554">
        <v>0</v>
      </c>
      <c r="BL1554">
        <v>2.15</v>
      </c>
      <c r="BM1554">
        <v>-0.83</v>
      </c>
      <c r="BN1554">
        <v>7.0000000000000007E-2</v>
      </c>
      <c r="BO1554">
        <v>1.03</v>
      </c>
      <c r="BP1554">
        <v>-0.35</v>
      </c>
      <c r="BQ1554">
        <v>0.35</v>
      </c>
      <c r="BR1554">
        <v>-2.59</v>
      </c>
      <c r="BS1554">
        <v>2.79</v>
      </c>
      <c r="BT1554">
        <v>2.88</v>
      </c>
      <c r="BU1554">
        <v>2.46</v>
      </c>
      <c r="BV1554">
        <v>3.4</v>
      </c>
      <c r="BW1554">
        <v>3.39</v>
      </c>
      <c r="BX1554">
        <v>2.65</v>
      </c>
      <c r="BY1554">
        <v>3.06</v>
      </c>
      <c r="BZ1554">
        <v>-0.25</v>
      </c>
      <c r="CA1554">
        <v>3.03</v>
      </c>
      <c r="CB1554">
        <v>2.39</v>
      </c>
      <c r="CC1554">
        <v>2.38</v>
      </c>
      <c r="CD1554">
        <v>-0.28000000000000003</v>
      </c>
      <c r="CE1554">
        <v>0.47</v>
      </c>
      <c r="CF1554">
        <v>0.65</v>
      </c>
      <c r="CG1554">
        <v>0</v>
      </c>
      <c r="CH1554">
        <v>2.99</v>
      </c>
      <c r="CI1554">
        <v>0</v>
      </c>
      <c r="CJ1554">
        <v>-0.6</v>
      </c>
      <c r="CK1554">
        <v>43</v>
      </c>
      <c r="CL1554">
        <v>-1.71</v>
      </c>
      <c r="CM1554">
        <v>41</v>
      </c>
      <c r="CN1554">
        <v>-0.75</v>
      </c>
      <c r="CO1554">
        <v>40</v>
      </c>
      <c r="CP1554">
        <v>11.3</v>
      </c>
      <c r="CQ1554">
        <v>42</v>
      </c>
      <c r="CR1554">
        <v>0</v>
      </c>
      <c r="CS1554">
        <v>0</v>
      </c>
      <c r="CT1554">
        <v>42.6</v>
      </c>
      <c r="CU1554">
        <v>43</v>
      </c>
      <c r="CV1554">
        <v>0.31</v>
      </c>
      <c r="CW1554">
        <v>33</v>
      </c>
      <c r="CX1554" t="s">
        <v>5591</v>
      </c>
    </row>
    <row r="1555" spans="1:102" x14ac:dyDescent="0.3">
      <c r="A1555" t="str">
        <f>HYPERLINK("https://webapp.icbf.com/v2/app/bull-search/view/319363459","MUV")</f>
        <v>MUV</v>
      </c>
      <c r="B1555" t="s">
        <v>2888</v>
      </c>
      <c r="C1555" t="s">
        <v>2889</v>
      </c>
      <c r="D1555" s="1">
        <v>36381</v>
      </c>
      <c r="E1555" t="s">
        <v>92</v>
      </c>
      <c r="F1555">
        <v>56</v>
      </c>
      <c r="G1555" t="s">
        <v>93</v>
      </c>
      <c r="H1555">
        <v>102.96</v>
      </c>
      <c r="I1555">
        <v>93</v>
      </c>
      <c r="J1555">
        <v>51.67</v>
      </c>
      <c r="K1555">
        <v>98</v>
      </c>
      <c r="L1555">
        <v>10.77</v>
      </c>
      <c r="M1555">
        <v>88</v>
      </c>
      <c r="N1555">
        <v>29.47</v>
      </c>
      <c r="O1555">
        <v>93</v>
      </c>
      <c r="P1555">
        <v>-18.86</v>
      </c>
      <c r="Q1555">
        <v>97</v>
      </c>
      <c r="R1555">
        <v>-1.94</v>
      </c>
      <c r="S1555">
        <v>88</v>
      </c>
      <c r="T1555">
        <v>24.19</v>
      </c>
      <c r="U1555">
        <v>96</v>
      </c>
      <c r="V1555">
        <v>7.66</v>
      </c>
      <c r="W1555">
        <v>91</v>
      </c>
      <c r="X1555" t="s">
        <v>302</v>
      </c>
      <c r="Y1555" t="s">
        <v>95</v>
      </c>
      <c r="Z1555" t="s">
        <v>330</v>
      </c>
      <c r="AA1555" t="s">
        <v>2890</v>
      </c>
      <c r="AB1555" t="s">
        <v>144</v>
      </c>
      <c r="AC1555">
        <v>246</v>
      </c>
      <c r="AD1555">
        <v>72</v>
      </c>
      <c r="AE1555">
        <v>98</v>
      </c>
      <c r="AF1555">
        <v>65.87</v>
      </c>
      <c r="AG1555">
        <v>8.41</v>
      </c>
      <c r="AH1555">
        <v>6.82</v>
      </c>
      <c r="AI1555">
        <v>0.1</v>
      </c>
      <c r="AJ1555">
        <v>0.08</v>
      </c>
      <c r="AK1555">
        <v>88</v>
      </c>
      <c r="AL1555">
        <v>291</v>
      </c>
      <c r="AM1555">
        <v>81</v>
      </c>
      <c r="AN1555">
        <v>0.28999999999999998</v>
      </c>
      <c r="AO1555">
        <v>1.1599999999999999</v>
      </c>
      <c r="AP1555">
        <v>411</v>
      </c>
      <c r="AQ1555">
        <v>1</v>
      </c>
      <c r="AR1555">
        <v>5.46</v>
      </c>
      <c r="AS1555">
        <v>92</v>
      </c>
      <c r="AT1555">
        <v>2.58</v>
      </c>
      <c r="AU1555">
        <v>92</v>
      </c>
      <c r="AV1555">
        <v>-2.88</v>
      </c>
      <c r="AW1555">
        <v>98</v>
      </c>
      <c r="AX1555">
        <v>-0.03</v>
      </c>
      <c r="AY1555">
        <v>93</v>
      </c>
      <c r="AZ1555">
        <v>7.37</v>
      </c>
      <c r="BA1555">
        <v>80</v>
      </c>
      <c r="BB1555">
        <v>5.3</v>
      </c>
      <c r="BC1555">
        <v>83</v>
      </c>
      <c r="BD1555">
        <v>0.01</v>
      </c>
      <c r="BE1555">
        <v>0.02</v>
      </c>
      <c r="BF1555">
        <v>-0.01</v>
      </c>
      <c r="BG1555">
        <v>94</v>
      </c>
      <c r="BH1555">
        <v>0.11</v>
      </c>
      <c r="BI1555">
        <v>-11.97</v>
      </c>
      <c r="BJ1555">
        <v>1</v>
      </c>
      <c r="BK1555">
        <v>1</v>
      </c>
      <c r="BL1555">
        <v>-1.56</v>
      </c>
      <c r="BM1555">
        <v>0.26</v>
      </c>
      <c r="BN1555">
        <v>-0.85</v>
      </c>
      <c r="BO1555">
        <v>-1.18</v>
      </c>
      <c r="BP1555">
        <v>-1.91</v>
      </c>
      <c r="BQ1555">
        <v>-2.78</v>
      </c>
      <c r="BR1555">
        <v>2.21</v>
      </c>
      <c r="BS1555">
        <v>-2.77</v>
      </c>
      <c r="BT1555">
        <v>-1.53</v>
      </c>
      <c r="BU1555">
        <v>-0.68</v>
      </c>
      <c r="BV1555">
        <v>-1.85</v>
      </c>
      <c r="BW1555">
        <v>-1.53</v>
      </c>
      <c r="BX1555">
        <v>-0.86</v>
      </c>
      <c r="BY1555">
        <v>-1.19</v>
      </c>
      <c r="BZ1555">
        <v>-0.85</v>
      </c>
      <c r="CA1555">
        <v>-1.1399999999999999</v>
      </c>
      <c r="CB1555">
        <v>-1.25</v>
      </c>
      <c r="CC1555">
        <v>-1.95</v>
      </c>
      <c r="CD1555">
        <v>0.27</v>
      </c>
      <c r="CE1555">
        <v>-0.38</v>
      </c>
      <c r="CF1555">
        <v>-0.82</v>
      </c>
      <c r="CG1555">
        <v>0</v>
      </c>
      <c r="CH1555">
        <v>-1.24</v>
      </c>
      <c r="CI1555">
        <v>0</v>
      </c>
      <c r="CJ1555">
        <v>-7.7</v>
      </c>
      <c r="CK1555">
        <v>97</v>
      </c>
      <c r="CL1555">
        <v>-0.67</v>
      </c>
      <c r="CM1555">
        <v>96</v>
      </c>
      <c r="CN1555">
        <v>-0.09</v>
      </c>
      <c r="CO1555">
        <v>96</v>
      </c>
      <c r="CP1555">
        <v>-15.8</v>
      </c>
      <c r="CQ1555">
        <v>96</v>
      </c>
      <c r="CR1555">
        <v>0</v>
      </c>
      <c r="CS1555">
        <v>0</v>
      </c>
      <c r="CT1555">
        <v>-18.899999999999999</v>
      </c>
      <c r="CU1555">
        <v>96</v>
      </c>
      <c r="CV1555">
        <v>0.11</v>
      </c>
      <c r="CW1555">
        <v>45</v>
      </c>
      <c r="CX1555" t="s">
        <v>2891</v>
      </c>
    </row>
    <row r="1556" spans="1:102" x14ac:dyDescent="0.3">
      <c r="A1556" t="str">
        <f>HYPERLINK("https://webapp.icbf.com/v2/app/bull-search/view/126223054","QIX")</f>
        <v>QIX</v>
      </c>
      <c r="B1556" t="s">
        <v>11503</v>
      </c>
      <c r="C1556" t="s">
        <v>372</v>
      </c>
      <c r="D1556" s="1">
        <v>35441</v>
      </c>
      <c r="E1556" t="s">
        <v>227</v>
      </c>
      <c r="F1556">
        <v>0</v>
      </c>
      <c r="G1556" t="s">
        <v>109</v>
      </c>
      <c r="H1556">
        <v>102.93</v>
      </c>
      <c r="I1556">
        <v>82</v>
      </c>
      <c r="J1556">
        <v>18.149999999999999</v>
      </c>
      <c r="K1556">
        <v>91</v>
      </c>
      <c r="L1556">
        <v>38.06</v>
      </c>
      <c r="M1556">
        <v>82</v>
      </c>
      <c r="N1556">
        <v>15.28</v>
      </c>
      <c r="O1556">
        <v>74</v>
      </c>
      <c r="P1556">
        <v>-57.85</v>
      </c>
      <c r="Q1556">
        <v>81</v>
      </c>
      <c r="R1556">
        <v>11.9</v>
      </c>
      <c r="S1556">
        <v>71</v>
      </c>
      <c r="T1556">
        <v>68.14</v>
      </c>
      <c r="U1556">
        <v>71</v>
      </c>
      <c r="V1556">
        <v>9.25</v>
      </c>
      <c r="W1556">
        <v>69</v>
      </c>
      <c r="X1556" t="s">
        <v>110</v>
      </c>
      <c r="Y1556" t="s">
        <v>95</v>
      </c>
      <c r="Z1556">
        <v>0</v>
      </c>
      <c r="AA1556" t="s">
        <v>8793</v>
      </c>
      <c r="AB1556" t="s">
        <v>144</v>
      </c>
      <c r="AC1556">
        <v>0</v>
      </c>
      <c r="AD1556">
        <v>0</v>
      </c>
      <c r="AE1556">
        <v>91</v>
      </c>
      <c r="AF1556">
        <v>-705.48</v>
      </c>
      <c r="AG1556">
        <v>6.44</v>
      </c>
      <c r="AH1556">
        <v>-9.99</v>
      </c>
      <c r="AI1556">
        <v>0.67</v>
      </c>
      <c r="AJ1556">
        <v>0.28000000000000003</v>
      </c>
      <c r="AK1556">
        <v>82</v>
      </c>
      <c r="AL1556">
        <v>0</v>
      </c>
      <c r="AM1556">
        <v>0</v>
      </c>
      <c r="AN1556">
        <v>-0.91</v>
      </c>
      <c r="AO1556">
        <v>2.14</v>
      </c>
      <c r="AP1556">
        <v>47</v>
      </c>
      <c r="AQ1556">
        <v>0</v>
      </c>
      <c r="AR1556">
        <v>3.66</v>
      </c>
      <c r="AS1556">
        <v>67</v>
      </c>
      <c r="AT1556">
        <v>1.97</v>
      </c>
      <c r="AU1556">
        <v>72</v>
      </c>
      <c r="AV1556">
        <v>-0.9</v>
      </c>
      <c r="AW1556">
        <v>87</v>
      </c>
      <c r="AX1556">
        <v>3.28</v>
      </c>
      <c r="AY1556">
        <v>66</v>
      </c>
      <c r="AZ1556">
        <v>6.47</v>
      </c>
      <c r="BA1556">
        <v>53</v>
      </c>
      <c r="BB1556">
        <v>5.07</v>
      </c>
      <c r="BC1556">
        <v>54</v>
      </c>
      <c r="BD1556">
        <v>-0.1</v>
      </c>
      <c r="BE1556">
        <v>-0.03</v>
      </c>
      <c r="BF1556">
        <v>-0.05</v>
      </c>
      <c r="BG1556">
        <v>81</v>
      </c>
      <c r="BH1556">
        <v>0.19</v>
      </c>
      <c r="BI1556">
        <v>-7.87</v>
      </c>
      <c r="BJ1556">
        <v>0</v>
      </c>
      <c r="BK1556">
        <v>0</v>
      </c>
      <c r="BL1556">
        <v>-1.43</v>
      </c>
      <c r="BM1556">
        <v>-1.52</v>
      </c>
      <c r="BN1556">
        <v>-0.14000000000000001</v>
      </c>
      <c r="BO1556">
        <v>1.31</v>
      </c>
      <c r="BP1556">
        <v>-0.62</v>
      </c>
      <c r="BQ1556">
        <v>-5.22</v>
      </c>
      <c r="BR1556">
        <v>1.73</v>
      </c>
      <c r="BS1556">
        <v>6.04</v>
      </c>
      <c r="BT1556">
        <v>-1.03</v>
      </c>
      <c r="BU1556">
        <v>-0.03</v>
      </c>
      <c r="BV1556">
        <v>0.27</v>
      </c>
      <c r="BW1556">
        <v>-1.9</v>
      </c>
      <c r="BX1556">
        <v>-2.84</v>
      </c>
      <c r="BY1556">
        <v>-0.61</v>
      </c>
      <c r="BZ1556">
        <v>-0.04</v>
      </c>
      <c r="CA1556">
        <v>1.69</v>
      </c>
      <c r="CB1556">
        <v>0.06</v>
      </c>
      <c r="CC1556">
        <v>4.24</v>
      </c>
      <c r="CD1556">
        <v>-2.1800000000000002</v>
      </c>
      <c r="CE1556">
        <v>1.18</v>
      </c>
      <c r="CF1556">
        <v>-1.37</v>
      </c>
      <c r="CG1556">
        <v>0</v>
      </c>
      <c r="CH1556">
        <v>-1.32</v>
      </c>
      <c r="CI1556">
        <v>0</v>
      </c>
      <c r="CJ1556">
        <v>-32.799999999999997</v>
      </c>
      <c r="CK1556">
        <v>83</v>
      </c>
      <c r="CL1556">
        <v>-0.69</v>
      </c>
      <c r="CM1556">
        <v>80</v>
      </c>
      <c r="CN1556">
        <v>-0.18</v>
      </c>
      <c r="CO1556">
        <v>78</v>
      </c>
      <c r="CP1556">
        <v>-50.5</v>
      </c>
      <c r="CQ1556">
        <v>78</v>
      </c>
      <c r="CR1556">
        <v>0</v>
      </c>
      <c r="CS1556">
        <v>0</v>
      </c>
      <c r="CT1556">
        <v>-78.3</v>
      </c>
      <c r="CU1556">
        <v>71</v>
      </c>
      <c r="CV1556">
        <v>-0.44</v>
      </c>
      <c r="CW1556">
        <v>42</v>
      </c>
      <c r="CX1556" t="s">
        <v>2764</v>
      </c>
    </row>
    <row r="1557" spans="1:102" x14ac:dyDescent="0.3">
      <c r="A1557" t="str">
        <f>HYPERLINK("https://webapp.icbf.com/v2/app/bull-search/view/494886637","KJY")</f>
        <v>KJY</v>
      </c>
      <c r="B1557" t="s">
        <v>4791</v>
      </c>
      <c r="C1557" t="s">
        <v>4792</v>
      </c>
      <c r="D1557" s="1">
        <v>38599</v>
      </c>
      <c r="E1557" t="s">
        <v>108</v>
      </c>
      <c r="F1557">
        <v>0</v>
      </c>
      <c r="G1557" t="s">
        <v>93</v>
      </c>
      <c r="H1557">
        <v>102.82</v>
      </c>
      <c r="I1557">
        <v>97</v>
      </c>
      <c r="J1557">
        <v>28.63</v>
      </c>
      <c r="K1557">
        <v>99</v>
      </c>
      <c r="L1557">
        <v>40.08</v>
      </c>
      <c r="M1557">
        <v>95</v>
      </c>
      <c r="N1557">
        <v>21.23</v>
      </c>
      <c r="O1557">
        <v>98</v>
      </c>
      <c r="P1557">
        <v>-17.809999999999999</v>
      </c>
      <c r="Q1557">
        <v>99</v>
      </c>
      <c r="R1557">
        <v>6.1</v>
      </c>
      <c r="S1557">
        <v>94</v>
      </c>
      <c r="T1557">
        <v>23.59</v>
      </c>
      <c r="U1557">
        <v>99</v>
      </c>
      <c r="V1557">
        <v>1</v>
      </c>
      <c r="W1557">
        <v>93</v>
      </c>
      <c r="X1557" t="s">
        <v>102</v>
      </c>
      <c r="Y1557" t="s">
        <v>228</v>
      </c>
      <c r="Z1557" t="s">
        <v>96</v>
      </c>
      <c r="AA1557" t="s">
        <v>1129</v>
      </c>
      <c r="AB1557" t="s">
        <v>4793</v>
      </c>
      <c r="AC1557">
        <v>1827</v>
      </c>
      <c r="AD1557">
        <v>480</v>
      </c>
      <c r="AE1557">
        <v>99</v>
      </c>
      <c r="AF1557">
        <v>199.89</v>
      </c>
      <c r="AG1557">
        <v>7.46</v>
      </c>
      <c r="AH1557">
        <v>5.29</v>
      </c>
      <c r="AI1557">
        <v>-0.01</v>
      </c>
      <c r="AJ1557">
        <v>-0.03</v>
      </c>
      <c r="AK1557">
        <v>95</v>
      </c>
      <c r="AL1557">
        <v>3058</v>
      </c>
      <c r="AM1557">
        <v>877</v>
      </c>
      <c r="AN1557">
        <v>-2.7</v>
      </c>
      <c r="AO1557">
        <v>0.49</v>
      </c>
      <c r="AP1557">
        <v>5385</v>
      </c>
      <c r="AQ1557">
        <v>55</v>
      </c>
      <c r="AR1557">
        <v>6.2</v>
      </c>
      <c r="AS1557">
        <v>97</v>
      </c>
      <c r="AT1557">
        <v>2.63</v>
      </c>
      <c r="AU1557">
        <v>99</v>
      </c>
      <c r="AV1557">
        <v>-2.52</v>
      </c>
      <c r="AW1557">
        <v>99</v>
      </c>
      <c r="AX1557">
        <v>-0.7</v>
      </c>
      <c r="AY1557">
        <v>99</v>
      </c>
      <c r="AZ1557">
        <v>8.91</v>
      </c>
      <c r="BA1557">
        <v>97</v>
      </c>
      <c r="BB1557">
        <v>5.75</v>
      </c>
      <c r="BC1557">
        <v>96</v>
      </c>
      <c r="BD1557">
        <v>0.01</v>
      </c>
      <c r="BE1557">
        <v>-0.03</v>
      </c>
      <c r="BF1557">
        <v>-0.1</v>
      </c>
      <c r="BG1557">
        <v>99</v>
      </c>
      <c r="BH1557">
        <v>-0.13</v>
      </c>
      <c r="BI1557">
        <v>-18.25</v>
      </c>
      <c r="BJ1557">
        <v>102</v>
      </c>
      <c r="BK1557">
        <v>35</v>
      </c>
      <c r="BL1557">
        <v>-3.39</v>
      </c>
      <c r="BM1557">
        <v>0.15</v>
      </c>
      <c r="BN1557">
        <v>-1.54</v>
      </c>
      <c r="BO1557">
        <v>-1.44</v>
      </c>
      <c r="BP1557">
        <v>1.1399999999999999</v>
      </c>
      <c r="BQ1557">
        <v>-0.73</v>
      </c>
      <c r="BR1557">
        <v>-1.46</v>
      </c>
      <c r="BS1557">
        <v>-0.04</v>
      </c>
      <c r="BT1557">
        <v>0.98</v>
      </c>
      <c r="BU1557">
        <v>0.65</v>
      </c>
      <c r="BV1557">
        <v>-0.82</v>
      </c>
      <c r="BW1557">
        <v>-2.02</v>
      </c>
      <c r="BX1557">
        <v>-0.51</v>
      </c>
      <c r="BY1557">
        <v>0.11</v>
      </c>
      <c r="BZ1557">
        <v>-1.04</v>
      </c>
      <c r="CA1557">
        <v>-0.61</v>
      </c>
      <c r="CB1557">
        <v>-0.27</v>
      </c>
      <c r="CC1557">
        <v>-0.92</v>
      </c>
      <c r="CD1557">
        <v>0.78</v>
      </c>
      <c r="CE1557">
        <v>-1.32</v>
      </c>
      <c r="CF1557">
        <v>-1.68</v>
      </c>
      <c r="CG1557">
        <v>0</v>
      </c>
      <c r="CH1557">
        <v>0.19</v>
      </c>
      <c r="CI1557">
        <v>0</v>
      </c>
      <c r="CJ1557">
        <v>-8.3000000000000007</v>
      </c>
      <c r="CK1557">
        <v>99</v>
      </c>
      <c r="CL1557">
        <v>-0.37</v>
      </c>
      <c r="CM1557">
        <v>99</v>
      </c>
      <c r="CN1557">
        <v>0.03</v>
      </c>
      <c r="CO1557">
        <v>99</v>
      </c>
      <c r="CP1557">
        <v>-14.6</v>
      </c>
      <c r="CQ1557">
        <v>99</v>
      </c>
      <c r="CR1557">
        <v>0</v>
      </c>
      <c r="CS1557">
        <v>0</v>
      </c>
      <c r="CT1557">
        <v>-18.100000000000001</v>
      </c>
      <c r="CU1557">
        <v>99</v>
      </c>
      <c r="CV1557">
        <v>-0.06</v>
      </c>
      <c r="CW1557">
        <v>47</v>
      </c>
      <c r="CX1557" t="s">
        <v>4705</v>
      </c>
    </row>
    <row r="1558" spans="1:102" x14ac:dyDescent="0.3">
      <c r="A1558" t="str">
        <f>HYPERLINK("https://webapp.icbf.com/v2/app/bull-search/view/449021467","SPH")</f>
        <v>SPH</v>
      </c>
      <c r="B1558" t="s">
        <v>12026</v>
      </c>
      <c r="C1558" t="s">
        <v>9232</v>
      </c>
      <c r="D1558" s="1">
        <v>38777</v>
      </c>
      <c r="E1558" t="s">
        <v>108</v>
      </c>
      <c r="F1558">
        <v>44</v>
      </c>
      <c r="G1558" t="s">
        <v>93</v>
      </c>
      <c r="H1558">
        <v>102.82</v>
      </c>
      <c r="I1558">
        <v>87</v>
      </c>
      <c r="J1558">
        <v>10.93</v>
      </c>
      <c r="K1558">
        <v>96</v>
      </c>
      <c r="L1558">
        <v>81.53</v>
      </c>
      <c r="M1558">
        <v>79</v>
      </c>
      <c r="N1558">
        <v>19.79</v>
      </c>
      <c r="O1558">
        <v>85</v>
      </c>
      <c r="P1558">
        <v>-12.07</v>
      </c>
      <c r="Q1558">
        <v>91</v>
      </c>
      <c r="R1558">
        <v>-0.33</v>
      </c>
      <c r="S1558">
        <v>82</v>
      </c>
      <c r="T1558">
        <v>7.61</v>
      </c>
      <c r="U1558">
        <v>87</v>
      </c>
      <c r="V1558">
        <v>-4.6399999999999997</v>
      </c>
      <c r="W1558">
        <v>83</v>
      </c>
      <c r="X1558" t="s">
        <v>94</v>
      </c>
      <c r="Y1558" t="s">
        <v>1251</v>
      </c>
      <c r="Z1558" t="s">
        <v>96</v>
      </c>
      <c r="AA1558" t="s">
        <v>5174</v>
      </c>
      <c r="AB1558" t="s">
        <v>12027</v>
      </c>
      <c r="AC1558">
        <v>87</v>
      </c>
      <c r="AD1558">
        <v>69</v>
      </c>
      <c r="AE1558">
        <v>96</v>
      </c>
      <c r="AF1558">
        <v>-320.97000000000003</v>
      </c>
      <c r="AG1558">
        <v>-0.72</v>
      </c>
      <c r="AH1558">
        <v>-2.8</v>
      </c>
      <c r="AI1558">
        <v>0.22</v>
      </c>
      <c r="AJ1558">
        <v>0.15</v>
      </c>
      <c r="AK1558">
        <v>79</v>
      </c>
      <c r="AL1558">
        <v>88</v>
      </c>
      <c r="AM1558">
        <v>61</v>
      </c>
      <c r="AN1558">
        <v>-5.35</v>
      </c>
      <c r="AO1558">
        <v>1.1399999999999999</v>
      </c>
      <c r="AP1558">
        <v>216</v>
      </c>
      <c r="AQ1558">
        <v>0</v>
      </c>
      <c r="AR1558">
        <v>6.88</v>
      </c>
      <c r="AS1558">
        <v>68</v>
      </c>
      <c r="AT1558">
        <v>2.84</v>
      </c>
      <c r="AU1558">
        <v>88</v>
      </c>
      <c r="AV1558">
        <v>-2.0699999999999998</v>
      </c>
      <c r="AW1558">
        <v>96</v>
      </c>
      <c r="AX1558">
        <v>0.42</v>
      </c>
      <c r="AY1558">
        <v>81</v>
      </c>
      <c r="AZ1558">
        <v>6.02</v>
      </c>
      <c r="BA1558">
        <v>65</v>
      </c>
      <c r="BB1558">
        <v>5.09</v>
      </c>
      <c r="BC1558">
        <v>68</v>
      </c>
      <c r="BD1558">
        <v>0.01</v>
      </c>
      <c r="BE1558">
        <v>-0.01</v>
      </c>
      <c r="BF1558">
        <v>0.01</v>
      </c>
      <c r="BG1558">
        <v>88</v>
      </c>
      <c r="BH1558">
        <v>-0.08</v>
      </c>
      <c r="BI1558">
        <v>5.72</v>
      </c>
      <c r="BJ1558">
        <v>29</v>
      </c>
      <c r="BK1558">
        <v>16</v>
      </c>
      <c r="BL1558">
        <v>-0.3</v>
      </c>
      <c r="BM1558">
        <v>0.24</v>
      </c>
      <c r="BN1558">
        <v>-1.25</v>
      </c>
      <c r="BO1558">
        <v>-0.84</v>
      </c>
      <c r="BP1558">
        <v>0.66</v>
      </c>
      <c r="BQ1558">
        <v>1.44</v>
      </c>
      <c r="BR1558">
        <v>-0.5</v>
      </c>
      <c r="BS1558">
        <v>-1.03</v>
      </c>
      <c r="BT1558">
        <v>0.38</v>
      </c>
      <c r="BU1558">
        <v>-0.59</v>
      </c>
      <c r="BV1558">
        <v>-0.27</v>
      </c>
      <c r="BW1558">
        <v>-0.74</v>
      </c>
      <c r="BX1558">
        <v>0.34</v>
      </c>
      <c r="BY1558">
        <v>1.1299999999999999</v>
      </c>
      <c r="BZ1558">
        <v>-0.33</v>
      </c>
      <c r="CA1558">
        <v>-1.2</v>
      </c>
      <c r="CB1558">
        <v>-0.7</v>
      </c>
      <c r="CC1558">
        <v>-2.15</v>
      </c>
      <c r="CD1558">
        <v>0.52</v>
      </c>
      <c r="CE1558">
        <v>-0.89</v>
      </c>
      <c r="CF1558">
        <v>0.32</v>
      </c>
      <c r="CG1558">
        <v>0</v>
      </c>
      <c r="CH1558">
        <v>1.01</v>
      </c>
      <c r="CI1558">
        <v>0</v>
      </c>
      <c r="CJ1558">
        <v>-3</v>
      </c>
      <c r="CK1558">
        <v>92</v>
      </c>
      <c r="CL1558">
        <v>-0.75</v>
      </c>
      <c r="CM1558">
        <v>91</v>
      </c>
      <c r="CN1558">
        <v>-0.05</v>
      </c>
      <c r="CO1558">
        <v>90</v>
      </c>
      <c r="CP1558">
        <v>-5.2</v>
      </c>
      <c r="CQ1558">
        <v>88</v>
      </c>
      <c r="CR1558">
        <v>0</v>
      </c>
      <c r="CS1558">
        <v>0</v>
      </c>
      <c r="CT1558">
        <v>3.5</v>
      </c>
      <c r="CU1558">
        <v>87</v>
      </c>
      <c r="CV1558">
        <v>0.24</v>
      </c>
      <c r="CW1558">
        <v>46</v>
      </c>
      <c r="CX1558" t="s">
        <v>1252</v>
      </c>
    </row>
    <row r="1559" spans="1:102" x14ac:dyDescent="0.3">
      <c r="A1559" t="str">
        <f>HYPERLINK("https://webapp.icbf.com/v2/app/bull-search/view/124414369","BEI")</f>
        <v>BEI</v>
      </c>
      <c r="B1559" t="s">
        <v>4611</v>
      </c>
      <c r="C1559" t="s">
        <v>4612</v>
      </c>
      <c r="D1559" s="1">
        <v>36918</v>
      </c>
      <c r="E1559" t="s">
        <v>108</v>
      </c>
      <c r="F1559">
        <v>0</v>
      </c>
      <c r="G1559" t="s">
        <v>93</v>
      </c>
      <c r="H1559">
        <v>102.63</v>
      </c>
      <c r="I1559">
        <v>99</v>
      </c>
      <c r="J1559">
        <v>-30.01</v>
      </c>
      <c r="K1559">
        <v>99</v>
      </c>
      <c r="L1559">
        <v>97.41</v>
      </c>
      <c r="M1559">
        <v>98</v>
      </c>
      <c r="N1559">
        <v>36.44</v>
      </c>
      <c r="O1559">
        <v>99</v>
      </c>
      <c r="P1559">
        <v>-13.97</v>
      </c>
      <c r="Q1559">
        <v>99</v>
      </c>
      <c r="R1559">
        <v>8.1</v>
      </c>
      <c r="S1559">
        <v>99</v>
      </c>
      <c r="T1559">
        <v>14.12</v>
      </c>
      <c r="U1559">
        <v>99</v>
      </c>
      <c r="V1559">
        <v>-9.4600000000000009</v>
      </c>
      <c r="W1559">
        <v>99</v>
      </c>
      <c r="X1559" t="s">
        <v>94</v>
      </c>
      <c r="Y1559" t="s">
        <v>95</v>
      </c>
      <c r="Z1559" t="s">
        <v>96</v>
      </c>
      <c r="AA1559" t="s">
        <v>738</v>
      </c>
      <c r="AB1559" t="s">
        <v>4613</v>
      </c>
      <c r="AC1559">
        <v>5575</v>
      </c>
      <c r="AD1559">
        <v>1814</v>
      </c>
      <c r="AE1559">
        <v>99</v>
      </c>
      <c r="AF1559">
        <v>-197.96</v>
      </c>
      <c r="AG1559">
        <v>-9.3699999999999992</v>
      </c>
      <c r="AH1559">
        <v>-4.82</v>
      </c>
      <c r="AI1559">
        <v>-0.03</v>
      </c>
      <c r="AJ1559">
        <v>0.03</v>
      </c>
      <c r="AK1559">
        <v>98</v>
      </c>
      <c r="AL1559">
        <v>9268</v>
      </c>
      <c r="AM1559">
        <v>3177</v>
      </c>
      <c r="AN1559">
        <v>-5.21</v>
      </c>
      <c r="AO1559">
        <v>2.56</v>
      </c>
      <c r="AP1559">
        <v>9782</v>
      </c>
      <c r="AQ1559">
        <v>106</v>
      </c>
      <c r="AR1559">
        <v>4.82</v>
      </c>
      <c r="AS1559">
        <v>99</v>
      </c>
      <c r="AT1559">
        <v>2.1800000000000002</v>
      </c>
      <c r="AU1559">
        <v>99</v>
      </c>
      <c r="AV1559">
        <v>-2.89</v>
      </c>
      <c r="AW1559">
        <v>99</v>
      </c>
      <c r="AX1559">
        <v>-0.75</v>
      </c>
      <c r="AY1559">
        <v>99</v>
      </c>
      <c r="AZ1559">
        <v>6.42</v>
      </c>
      <c r="BA1559">
        <v>99</v>
      </c>
      <c r="BB1559">
        <v>5.39</v>
      </c>
      <c r="BC1559">
        <v>99</v>
      </c>
      <c r="BD1559">
        <v>-0.05</v>
      </c>
      <c r="BE1559">
        <v>-7.0000000000000007E-2</v>
      </c>
      <c r="BF1559">
        <v>0.03</v>
      </c>
      <c r="BG1559">
        <v>99</v>
      </c>
      <c r="BH1559">
        <v>-0.21</v>
      </c>
      <c r="BI1559">
        <v>6.23</v>
      </c>
      <c r="BJ1559">
        <v>128</v>
      </c>
      <c r="BK1559">
        <v>79</v>
      </c>
      <c r="BL1559">
        <v>-2.38</v>
      </c>
      <c r="BM1559">
        <v>1.91</v>
      </c>
      <c r="BN1559">
        <v>-2.17</v>
      </c>
      <c r="BO1559">
        <v>-2.59</v>
      </c>
      <c r="BP1559">
        <v>-2.29</v>
      </c>
      <c r="BQ1559">
        <v>2.09</v>
      </c>
      <c r="BR1559">
        <v>-1.35</v>
      </c>
      <c r="BS1559">
        <v>1.94</v>
      </c>
      <c r="BT1559">
        <v>0.73</v>
      </c>
      <c r="BU1559">
        <v>-1.8</v>
      </c>
      <c r="BV1559">
        <v>-1.86</v>
      </c>
      <c r="BW1559">
        <v>-1.74</v>
      </c>
      <c r="BX1559">
        <v>-1.48</v>
      </c>
      <c r="BY1559">
        <v>-1.1299999999999999</v>
      </c>
      <c r="BZ1559">
        <v>-3</v>
      </c>
      <c r="CA1559">
        <v>-0.79</v>
      </c>
      <c r="CB1559">
        <v>-1.74</v>
      </c>
      <c r="CC1559">
        <v>1.28</v>
      </c>
      <c r="CD1559">
        <v>2.73</v>
      </c>
      <c r="CE1559">
        <v>-2.4900000000000002</v>
      </c>
      <c r="CF1559">
        <v>-1.35</v>
      </c>
      <c r="CG1559">
        <v>0</v>
      </c>
      <c r="CH1559">
        <v>-1.03</v>
      </c>
      <c r="CI1559">
        <v>0</v>
      </c>
      <c r="CJ1559">
        <v>-8</v>
      </c>
      <c r="CK1559">
        <v>99</v>
      </c>
      <c r="CL1559">
        <v>-0.13</v>
      </c>
      <c r="CM1559">
        <v>99</v>
      </c>
      <c r="CN1559">
        <v>0.05</v>
      </c>
      <c r="CO1559">
        <v>99</v>
      </c>
      <c r="CP1559">
        <v>-6.7</v>
      </c>
      <c r="CQ1559">
        <v>99</v>
      </c>
      <c r="CR1559">
        <v>0</v>
      </c>
      <c r="CS1559">
        <v>0</v>
      </c>
      <c r="CT1559">
        <v>-5.3</v>
      </c>
      <c r="CU1559">
        <v>99</v>
      </c>
      <c r="CV1559">
        <v>-0.02</v>
      </c>
      <c r="CW1559">
        <v>47</v>
      </c>
      <c r="CX1559" t="s">
        <v>1318</v>
      </c>
    </row>
    <row r="1560" spans="1:102" x14ac:dyDescent="0.3">
      <c r="A1560" t="str">
        <f>HYPERLINK("https://webapp.icbf.com/v2/app/bull-search/view/124415084","SLL")</f>
        <v>SLL</v>
      </c>
      <c r="B1560" t="s">
        <v>7062</v>
      </c>
      <c r="C1560" t="s">
        <v>7063</v>
      </c>
      <c r="D1560" s="1">
        <v>36934</v>
      </c>
      <c r="E1560" t="s">
        <v>108</v>
      </c>
      <c r="F1560">
        <v>6</v>
      </c>
      <c r="G1560" t="s">
        <v>93</v>
      </c>
      <c r="H1560">
        <v>102.59</v>
      </c>
      <c r="I1560">
        <v>94</v>
      </c>
      <c r="J1560">
        <v>-56.03</v>
      </c>
      <c r="K1560">
        <v>98</v>
      </c>
      <c r="L1560">
        <v>121.98</v>
      </c>
      <c r="M1560">
        <v>88</v>
      </c>
      <c r="N1560">
        <v>32</v>
      </c>
      <c r="O1560">
        <v>94</v>
      </c>
      <c r="P1560">
        <v>-4.71</v>
      </c>
      <c r="Q1560">
        <v>98</v>
      </c>
      <c r="R1560">
        <v>-2.5499999999999998</v>
      </c>
      <c r="S1560">
        <v>91</v>
      </c>
      <c r="T1560">
        <v>10.130000000000001</v>
      </c>
      <c r="U1560">
        <v>96</v>
      </c>
      <c r="V1560">
        <v>1.77</v>
      </c>
      <c r="W1560">
        <v>92</v>
      </c>
      <c r="X1560" t="s">
        <v>102</v>
      </c>
      <c r="Y1560" t="s">
        <v>95</v>
      </c>
      <c r="Z1560" t="s">
        <v>96</v>
      </c>
      <c r="AA1560" t="s">
        <v>4265</v>
      </c>
      <c r="AB1560" t="s">
        <v>7064</v>
      </c>
      <c r="AC1560">
        <v>258</v>
      </c>
      <c r="AD1560">
        <v>147</v>
      </c>
      <c r="AE1560">
        <v>98</v>
      </c>
      <c r="AF1560">
        <v>-342.63</v>
      </c>
      <c r="AG1560">
        <v>-13.69</v>
      </c>
      <c r="AH1560">
        <v>-9.93</v>
      </c>
      <c r="AI1560">
        <v>-0.01</v>
      </c>
      <c r="AJ1560">
        <v>0.03</v>
      </c>
      <c r="AK1560">
        <v>88</v>
      </c>
      <c r="AL1560">
        <v>370</v>
      </c>
      <c r="AM1560">
        <v>193</v>
      </c>
      <c r="AN1560">
        <v>-8.01</v>
      </c>
      <c r="AO1560">
        <v>1.7</v>
      </c>
      <c r="AP1560">
        <v>464</v>
      </c>
      <c r="AQ1560">
        <v>2</v>
      </c>
      <c r="AR1560">
        <v>5.18</v>
      </c>
      <c r="AS1560">
        <v>88</v>
      </c>
      <c r="AT1560">
        <v>2.16</v>
      </c>
      <c r="AU1560">
        <v>94</v>
      </c>
      <c r="AV1560">
        <v>-2.69</v>
      </c>
      <c r="AW1560">
        <v>98</v>
      </c>
      <c r="AX1560">
        <v>-0.81</v>
      </c>
      <c r="AY1560">
        <v>94</v>
      </c>
      <c r="AZ1560">
        <v>6.67</v>
      </c>
      <c r="BA1560">
        <v>82</v>
      </c>
      <c r="BB1560">
        <v>5.79</v>
      </c>
      <c r="BC1560">
        <v>86</v>
      </c>
      <c r="BD1560">
        <v>0.04</v>
      </c>
      <c r="BE1560">
        <v>-0.02</v>
      </c>
      <c r="BF1560">
        <v>0.03</v>
      </c>
      <c r="BG1560">
        <v>95</v>
      </c>
      <c r="BH1560">
        <v>0.22</v>
      </c>
      <c r="BI1560">
        <v>19.73</v>
      </c>
      <c r="BJ1560">
        <v>33</v>
      </c>
      <c r="BK1560">
        <v>23</v>
      </c>
      <c r="BL1560">
        <v>-3.07</v>
      </c>
      <c r="BM1560">
        <v>2.16</v>
      </c>
      <c r="BN1560">
        <v>-3.65</v>
      </c>
      <c r="BO1560">
        <v>-3.95</v>
      </c>
      <c r="BP1560">
        <v>-1.63</v>
      </c>
      <c r="BQ1560">
        <v>2.41</v>
      </c>
      <c r="BR1560">
        <v>-1.26</v>
      </c>
      <c r="BS1560">
        <v>-1.42</v>
      </c>
      <c r="BT1560">
        <v>0.92</v>
      </c>
      <c r="BU1560">
        <v>-2.63</v>
      </c>
      <c r="BV1560">
        <v>-3.26</v>
      </c>
      <c r="BW1560">
        <v>-3.09</v>
      </c>
      <c r="BX1560">
        <v>0.45</v>
      </c>
      <c r="BY1560">
        <v>-1.82</v>
      </c>
      <c r="BZ1560">
        <v>-2.54</v>
      </c>
      <c r="CA1560">
        <v>-3.09</v>
      </c>
      <c r="CB1560">
        <v>-3.11</v>
      </c>
      <c r="CC1560">
        <v>-2.2599999999999998</v>
      </c>
      <c r="CD1560">
        <v>2.93</v>
      </c>
      <c r="CE1560">
        <v>-3.63</v>
      </c>
      <c r="CF1560">
        <v>-2.94</v>
      </c>
      <c r="CG1560">
        <v>0</v>
      </c>
      <c r="CH1560">
        <v>-1.99</v>
      </c>
      <c r="CI1560">
        <v>0</v>
      </c>
      <c r="CJ1560">
        <v>-3.4</v>
      </c>
      <c r="CK1560">
        <v>99</v>
      </c>
      <c r="CL1560">
        <v>0.1</v>
      </c>
      <c r="CM1560">
        <v>98</v>
      </c>
      <c r="CN1560">
        <v>0.05</v>
      </c>
      <c r="CO1560">
        <v>98</v>
      </c>
      <c r="CP1560">
        <v>-3.1</v>
      </c>
      <c r="CQ1560">
        <v>97</v>
      </c>
      <c r="CR1560">
        <v>0</v>
      </c>
      <c r="CS1560">
        <v>0</v>
      </c>
      <c r="CT1560">
        <v>0.1</v>
      </c>
      <c r="CU1560">
        <v>96</v>
      </c>
      <c r="CV1560">
        <v>-0.02</v>
      </c>
      <c r="CW1560">
        <v>46</v>
      </c>
      <c r="CX1560" t="s">
        <v>7065</v>
      </c>
    </row>
    <row r="1561" spans="1:102" x14ac:dyDescent="0.3">
      <c r="A1561" t="str">
        <f>HYPERLINK("https://webapp.icbf.com/v2/app/bull-search/view/307634107","TIV")</f>
        <v>TIV</v>
      </c>
      <c r="B1561" t="s">
        <v>169</v>
      </c>
      <c r="C1561" t="s">
        <v>170</v>
      </c>
      <c r="D1561" s="1">
        <v>37493</v>
      </c>
      <c r="E1561" t="s">
        <v>92</v>
      </c>
      <c r="F1561">
        <v>100</v>
      </c>
      <c r="G1561" t="s">
        <v>93</v>
      </c>
      <c r="H1561">
        <v>102.57</v>
      </c>
      <c r="I1561">
        <v>90</v>
      </c>
      <c r="J1561">
        <v>30.81</v>
      </c>
      <c r="K1561">
        <v>97</v>
      </c>
      <c r="L1561">
        <v>5.09</v>
      </c>
      <c r="M1561">
        <v>86</v>
      </c>
      <c r="N1561">
        <v>33.01</v>
      </c>
      <c r="O1561">
        <v>86</v>
      </c>
      <c r="P1561">
        <v>-1.38</v>
      </c>
      <c r="Q1561">
        <v>94</v>
      </c>
      <c r="R1561">
        <v>16.93</v>
      </c>
      <c r="S1561">
        <v>83</v>
      </c>
      <c r="T1561">
        <v>17.16</v>
      </c>
      <c r="U1561">
        <v>89</v>
      </c>
      <c r="V1561">
        <v>0.95</v>
      </c>
      <c r="W1561">
        <v>80</v>
      </c>
      <c r="X1561" t="s">
        <v>94</v>
      </c>
      <c r="Y1561" t="s">
        <v>171</v>
      </c>
      <c r="Z1561" t="s">
        <v>96</v>
      </c>
      <c r="AA1561" t="s">
        <v>172</v>
      </c>
      <c r="AB1561" t="s">
        <v>173</v>
      </c>
      <c r="AC1561">
        <v>92</v>
      </c>
      <c r="AD1561">
        <v>71</v>
      </c>
      <c r="AE1561">
        <v>97</v>
      </c>
      <c r="AF1561">
        <v>350.62</v>
      </c>
      <c r="AG1561">
        <v>1.29</v>
      </c>
      <c r="AH1561">
        <v>10.15</v>
      </c>
      <c r="AI1561">
        <v>-0.2</v>
      </c>
      <c r="AJ1561">
        <v>-0.03</v>
      </c>
      <c r="AK1561">
        <v>86</v>
      </c>
      <c r="AL1561">
        <v>97</v>
      </c>
      <c r="AM1561">
        <v>73</v>
      </c>
      <c r="AN1561">
        <v>0.8</v>
      </c>
      <c r="AO1561">
        <v>1.22</v>
      </c>
      <c r="AP1561">
        <v>182</v>
      </c>
      <c r="AQ1561">
        <v>2</v>
      </c>
      <c r="AR1561">
        <v>5.61</v>
      </c>
      <c r="AS1561">
        <v>72</v>
      </c>
      <c r="AT1561">
        <v>2.76</v>
      </c>
      <c r="AU1561">
        <v>88</v>
      </c>
      <c r="AV1561">
        <v>-3.36</v>
      </c>
      <c r="AW1561">
        <v>94</v>
      </c>
      <c r="AX1561">
        <v>-0.15</v>
      </c>
      <c r="AY1561">
        <v>83</v>
      </c>
      <c r="AZ1561">
        <v>6.79</v>
      </c>
      <c r="BA1561">
        <v>65</v>
      </c>
      <c r="BB1561">
        <v>5.26</v>
      </c>
      <c r="BC1561">
        <v>71</v>
      </c>
      <c r="BD1561">
        <v>-0.05</v>
      </c>
      <c r="BE1561">
        <v>-0.04</v>
      </c>
      <c r="BF1561">
        <v>-0.23</v>
      </c>
      <c r="BG1561">
        <v>92</v>
      </c>
      <c r="BH1561">
        <v>0.09</v>
      </c>
      <c r="BI1561">
        <v>7.34</v>
      </c>
      <c r="BJ1561">
        <v>17</v>
      </c>
      <c r="BK1561">
        <v>11</v>
      </c>
      <c r="BL1561">
        <v>-0.24</v>
      </c>
      <c r="BM1561">
        <v>-0.74</v>
      </c>
      <c r="BN1561">
        <v>-0.74</v>
      </c>
      <c r="BO1561">
        <v>0.09</v>
      </c>
      <c r="BP1561">
        <v>1.96</v>
      </c>
      <c r="BQ1561">
        <v>-2.08</v>
      </c>
      <c r="BR1561">
        <v>-0.35</v>
      </c>
      <c r="BS1561">
        <v>-1.49</v>
      </c>
      <c r="BT1561">
        <v>0.04</v>
      </c>
      <c r="BU1561">
        <v>-0.88</v>
      </c>
      <c r="BV1561">
        <v>-0.61</v>
      </c>
      <c r="BW1561">
        <v>0.51</v>
      </c>
      <c r="BX1561">
        <v>-1.1200000000000001</v>
      </c>
      <c r="BY1561">
        <v>1.87</v>
      </c>
      <c r="BZ1561">
        <v>-0.26</v>
      </c>
      <c r="CA1561">
        <v>-0.55000000000000004</v>
      </c>
      <c r="CB1561">
        <v>-0.45</v>
      </c>
      <c r="CC1561">
        <v>-0.53</v>
      </c>
      <c r="CD1561">
        <v>0.14000000000000001</v>
      </c>
      <c r="CE1561">
        <v>0.03</v>
      </c>
      <c r="CF1561">
        <v>-0.44</v>
      </c>
      <c r="CG1561">
        <v>0</v>
      </c>
      <c r="CH1561">
        <v>1.89</v>
      </c>
      <c r="CI1561">
        <v>0</v>
      </c>
      <c r="CJ1561">
        <v>2.4</v>
      </c>
      <c r="CK1561">
        <v>95</v>
      </c>
      <c r="CL1561">
        <v>-0.51</v>
      </c>
      <c r="CM1561">
        <v>93</v>
      </c>
      <c r="CN1561">
        <v>-0.15</v>
      </c>
      <c r="CO1561">
        <v>93</v>
      </c>
      <c r="CP1561">
        <v>-7.9</v>
      </c>
      <c r="CQ1561">
        <v>91</v>
      </c>
      <c r="CR1561">
        <v>0</v>
      </c>
      <c r="CS1561">
        <v>0</v>
      </c>
      <c r="CT1561">
        <v>-9.4</v>
      </c>
      <c r="CU1561">
        <v>89</v>
      </c>
      <c r="CV1561">
        <v>7.0000000000000007E-2</v>
      </c>
      <c r="CW1561">
        <v>45</v>
      </c>
      <c r="CX1561" t="s">
        <v>174</v>
      </c>
    </row>
    <row r="1562" spans="1:102" x14ac:dyDescent="0.3">
      <c r="A1562" t="str">
        <f>HYPERLINK("https://webapp.icbf.com/v2/app/bull-search/view/438471546","GZR")</f>
        <v>GZR</v>
      </c>
      <c r="B1562" t="s">
        <v>11931</v>
      </c>
      <c r="C1562" t="s">
        <v>11932</v>
      </c>
      <c r="D1562" s="1">
        <v>38731</v>
      </c>
      <c r="E1562" t="s">
        <v>92</v>
      </c>
      <c r="F1562">
        <v>91</v>
      </c>
      <c r="G1562" t="s">
        <v>93</v>
      </c>
      <c r="H1562">
        <v>102.39</v>
      </c>
      <c r="I1562">
        <v>88</v>
      </c>
      <c r="J1562">
        <v>3.85</v>
      </c>
      <c r="K1562">
        <v>96</v>
      </c>
      <c r="L1562">
        <v>51.1</v>
      </c>
      <c r="M1562">
        <v>79</v>
      </c>
      <c r="N1562">
        <v>31.14</v>
      </c>
      <c r="O1562">
        <v>87</v>
      </c>
      <c r="P1562">
        <v>-6.72</v>
      </c>
      <c r="Q1562">
        <v>93</v>
      </c>
      <c r="R1562">
        <v>7.99</v>
      </c>
      <c r="S1562">
        <v>82</v>
      </c>
      <c r="T1562">
        <v>10.27</v>
      </c>
      <c r="U1562">
        <v>89</v>
      </c>
      <c r="V1562">
        <v>4.76</v>
      </c>
      <c r="W1562">
        <v>82</v>
      </c>
      <c r="X1562" t="s">
        <v>94</v>
      </c>
      <c r="Y1562" t="s">
        <v>228</v>
      </c>
      <c r="Z1562" t="s">
        <v>96</v>
      </c>
      <c r="AA1562" t="s">
        <v>1165</v>
      </c>
      <c r="AB1562" t="s">
        <v>11933</v>
      </c>
      <c r="AC1562">
        <v>83</v>
      </c>
      <c r="AD1562">
        <v>71</v>
      </c>
      <c r="AE1562">
        <v>96</v>
      </c>
      <c r="AF1562">
        <v>-114.49</v>
      </c>
      <c r="AG1562">
        <v>3.91</v>
      </c>
      <c r="AH1562">
        <v>-2.48</v>
      </c>
      <c r="AI1562">
        <v>0.15</v>
      </c>
      <c r="AJ1562">
        <v>0.03</v>
      </c>
      <c r="AK1562">
        <v>79</v>
      </c>
      <c r="AL1562">
        <v>84</v>
      </c>
      <c r="AM1562">
        <v>64</v>
      </c>
      <c r="AN1562">
        <v>-2.39</v>
      </c>
      <c r="AO1562">
        <v>1.69</v>
      </c>
      <c r="AP1562">
        <v>237</v>
      </c>
      <c r="AQ1562">
        <v>0</v>
      </c>
      <c r="AR1562">
        <v>5.82</v>
      </c>
      <c r="AS1562">
        <v>71</v>
      </c>
      <c r="AT1562">
        <v>2.6</v>
      </c>
      <c r="AU1562">
        <v>89</v>
      </c>
      <c r="AV1562">
        <v>-2.33</v>
      </c>
      <c r="AW1562">
        <v>97</v>
      </c>
      <c r="AX1562">
        <v>-0.84</v>
      </c>
      <c r="AY1562">
        <v>83</v>
      </c>
      <c r="AZ1562">
        <v>5.94</v>
      </c>
      <c r="BA1562">
        <v>65</v>
      </c>
      <c r="BB1562">
        <v>4.76</v>
      </c>
      <c r="BC1562">
        <v>70</v>
      </c>
      <c r="BD1562">
        <v>-0.04</v>
      </c>
      <c r="BE1562">
        <v>-0.03</v>
      </c>
      <c r="BF1562">
        <v>-0.06</v>
      </c>
      <c r="BG1562">
        <v>88</v>
      </c>
      <c r="BH1562">
        <v>0.15</v>
      </c>
      <c r="BI1562">
        <v>2</v>
      </c>
      <c r="BJ1562">
        <v>28</v>
      </c>
      <c r="BK1562">
        <v>19</v>
      </c>
      <c r="BL1562">
        <v>-1.01</v>
      </c>
      <c r="BM1562">
        <v>-0.02</v>
      </c>
      <c r="BN1562">
        <v>-1.62</v>
      </c>
      <c r="BO1562">
        <v>-1.25</v>
      </c>
      <c r="BP1562">
        <v>1.93</v>
      </c>
      <c r="BQ1562">
        <v>-0.24</v>
      </c>
      <c r="BR1562">
        <v>1.06</v>
      </c>
      <c r="BS1562">
        <v>-2.0099999999999998</v>
      </c>
      <c r="BT1562">
        <v>-1.7</v>
      </c>
      <c r="BU1562">
        <v>-0.3</v>
      </c>
      <c r="BV1562">
        <v>-0.89</v>
      </c>
      <c r="BW1562">
        <v>-0.51</v>
      </c>
      <c r="BX1562">
        <v>-0.02</v>
      </c>
      <c r="BY1562">
        <v>-0.31</v>
      </c>
      <c r="BZ1562">
        <v>-2.46</v>
      </c>
      <c r="CA1562">
        <v>-0.92</v>
      </c>
      <c r="CB1562">
        <v>0.01</v>
      </c>
      <c r="CC1562">
        <v>-2.44</v>
      </c>
      <c r="CD1562">
        <v>0.51</v>
      </c>
      <c r="CE1562">
        <v>-1</v>
      </c>
      <c r="CF1562">
        <v>-1.53</v>
      </c>
      <c r="CG1562">
        <v>0</v>
      </c>
      <c r="CH1562">
        <v>0.09</v>
      </c>
      <c r="CI1562">
        <v>0</v>
      </c>
      <c r="CJ1562">
        <v>-0.9</v>
      </c>
      <c r="CK1562">
        <v>94</v>
      </c>
      <c r="CL1562">
        <v>-0.64</v>
      </c>
      <c r="CM1562">
        <v>93</v>
      </c>
      <c r="CN1562">
        <v>-0.15</v>
      </c>
      <c r="CO1562">
        <v>92</v>
      </c>
      <c r="CP1562">
        <v>-4.2</v>
      </c>
      <c r="CQ1562">
        <v>89</v>
      </c>
      <c r="CR1562">
        <v>0</v>
      </c>
      <c r="CS1562">
        <v>0</v>
      </c>
      <c r="CT1562">
        <v>-0.1</v>
      </c>
      <c r="CU1562">
        <v>89</v>
      </c>
      <c r="CV1562">
        <v>0.13</v>
      </c>
      <c r="CW1562">
        <v>47</v>
      </c>
      <c r="CX1562" t="s">
        <v>1037</v>
      </c>
    </row>
    <row r="1563" spans="1:102" x14ac:dyDescent="0.3">
      <c r="A1563" t="str">
        <f>HYPERLINK("https://webapp.icbf.com/v2/app/bull-search/view/925203767","S2195")</f>
        <v>S2195</v>
      </c>
      <c r="B1563" t="s">
        <v>5998</v>
      </c>
      <c r="C1563" t="s">
        <v>5999</v>
      </c>
      <c r="D1563" s="1">
        <v>40035</v>
      </c>
      <c r="E1563" t="s">
        <v>92</v>
      </c>
      <c r="F1563">
        <v>100</v>
      </c>
      <c r="G1563" t="s">
        <v>93</v>
      </c>
      <c r="H1563">
        <v>102.12</v>
      </c>
      <c r="I1563">
        <v>89</v>
      </c>
      <c r="J1563">
        <v>112.04</v>
      </c>
      <c r="K1563">
        <v>98</v>
      </c>
      <c r="L1563">
        <v>-39.74</v>
      </c>
      <c r="M1563">
        <v>85</v>
      </c>
      <c r="N1563">
        <v>22.27</v>
      </c>
      <c r="O1563">
        <v>92</v>
      </c>
      <c r="P1563">
        <v>-9.17</v>
      </c>
      <c r="Q1563">
        <v>96</v>
      </c>
      <c r="R1563">
        <v>12.21</v>
      </c>
      <c r="S1563">
        <v>79</v>
      </c>
      <c r="T1563">
        <v>-0.23</v>
      </c>
      <c r="U1563">
        <v>76</v>
      </c>
      <c r="V1563">
        <v>4.74</v>
      </c>
      <c r="W1563">
        <v>68</v>
      </c>
      <c r="X1563" t="s">
        <v>276</v>
      </c>
      <c r="Y1563" t="s">
        <v>367</v>
      </c>
      <c r="Z1563" t="s">
        <v>96</v>
      </c>
      <c r="AA1563" t="s">
        <v>1962</v>
      </c>
      <c r="AB1563" t="s">
        <v>6000</v>
      </c>
      <c r="AC1563">
        <v>483</v>
      </c>
      <c r="AD1563">
        <v>105</v>
      </c>
      <c r="AE1563">
        <v>98</v>
      </c>
      <c r="AF1563">
        <v>476.73</v>
      </c>
      <c r="AG1563">
        <v>22.93</v>
      </c>
      <c r="AH1563">
        <v>18.239999999999998</v>
      </c>
      <c r="AI1563">
        <v>7.0000000000000007E-2</v>
      </c>
      <c r="AJ1563">
        <v>0.03</v>
      </c>
      <c r="AK1563">
        <v>85</v>
      </c>
      <c r="AL1563">
        <v>182</v>
      </c>
      <c r="AM1563">
        <v>52</v>
      </c>
      <c r="AN1563">
        <v>3.64</v>
      </c>
      <c r="AO1563">
        <v>0.49</v>
      </c>
      <c r="AP1563">
        <v>1541</v>
      </c>
      <c r="AQ1563">
        <v>9</v>
      </c>
      <c r="AR1563">
        <v>7.15</v>
      </c>
      <c r="AS1563">
        <v>94</v>
      </c>
      <c r="AT1563">
        <v>3.13</v>
      </c>
      <c r="AU1563">
        <v>97</v>
      </c>
      <c r="AV1563">
        <v>-2.94</v>
      </c>
      <c r="AW1563">
        <v>99</v>
      </c>
      <c r="AX1563">
        <v>0.85</v>
      </c>
      <c r="AY1563">
        <v>96</v>
      </c>
      <c r="AZ1563">
        <v>6.3</v>
      </c>
      <c r="BA1563">
        <v>83</v>
      </c>
      <c r="BB1563">
        <v>5.05</v>
      </c>
      <c r="BC1563">
        <v>58</v>
      </c>
      <c r="BD1563">
        <v>-7.0000000000000007E-2</v>
      </c>
      <c r="BE1563">
        <v>-0.06</v>
      </c>
      <c r="BF1563">
        <v>-0.05</v>
      </c>
      <c r="BG1563">
        <v>94</v>
      </c>
      <c r="BH1563">
        <v>0.02</v>
      </c>
      <c r="BI1563">
        <v>-12.98</v>
      </c>
      <c r="BJ1563">
        <v>96</v>
      </c>
      <c r="BK1563">
        <v>33</v>
      </c>
      <c r="BL1563">
        <v>0.72</v>
      </c>
      <c r="BM1563">
        <v>-0.12</v>
      </c>
      <c r="BN1563">
        <v>1.1499999999999999</v>
      </c>
      <c r="BO1563">
        <v>1.37</v>
      </c>
      <c r="BP1563">
        <v>-0.53</v>
      </c>
      <c r="BQ1563">
        <v>0.73</v>
      </c>
      <c r="BR1563">
        <v>-0.09</v>
      </c>
      <c r="BS1563">
        <v>0.64</v>
      </c>
      <c r="BT1563">
        <v>-0.91</v>
      </c>
      <c r="BU1563">
        <v>1.95</v>
      </c>
      <c r="BV1563">
        <v>2.44</v>
      </c>
      <c r="BW1563">
        <v>1.56</v>
      </c>
      <c r="BX1563">
        <v>0.67</v>
      </c>
      <c r="BY1563">
        <v>3.23</v>
      </c>
      <c r="BZ1563">
        <v>-1.61</v>
      </c>
      <c r="CA1563">
        <v>1.47</v>
      </c>
      <c r="CB1563">
        <v>2</v>
      </c>
      <c r="CC1563">
        <v>0.49</v>
      </c>
      <c r="CD1563">
        <v>-0.99</v>
      </c>
      <c r="CE1563">
        <v>0.91</v>
      </c>
      <c r="CF1563">
        <v>1.1200000000000001</v>
      </c>
      <c r="CG1563">
        <v>0</v>
      </c>
      <c r="CH1563">
        <v>3.24</v>
      </c>
      <c r="CI1563">
        <v>0</v>
      </c>
      <c r="CJ1563">
        <v>-1.8</v>
      </c>
      <c r="CK1563">
        <v>98</v>
      </c>
      <c r="CL1563">
        <v>-1.1499999999999999</v>
      </c>
      <c r="CM1563">
        <v>97</v>
      </c>
      <c r="CN1563">
        <v>-0.44</v>
      </c>
      <c r="CO1563">
        <v>97</v>
      </c>
      <c r="CP1563">
        <v>0.2</v>
      </c>
      <c r="CQ1563">
        <v>80</v>
      </c>
      <c r="CR1563">
        <v>0</v>
      </c>
      <c r="CS1563">
        <v>0</v>
      </c>
      <c r="CT1563">
        <v>14.1</v>
      </c>
      <c r="CU1563">
        <v>76</v>
      </c>
      <c r="CV1563">
        <v>0.24</v>
      </c>
      <c r="CW1563">
        <v>45</v>
      </c>
      <c r="CX1563" t="s">
        <v>1427</v>
      </c>
    </row>
    <row r="1564" spans="1:102" x14ac:dyDescent="0.3">
      <c r="A1564" t="str">
        <f>HYPERLINK("https://webapp.icbf.com/v2/app/bull-search/view/1495300398","S3226")</f>
        <v>S3226</v>
      </c>
      <c r="B1564" t="s">
        <v>10293</v>
      </c>
      <c r="C1564" t="s">
        <v>10294</v>
      </c>
      <c r="D1564" s="1">
        <v>42315</v>
      </c>
      <c r="E1564" t="s">
        <v>92</v>
      </c>
      <c r="F1564">
        <v>100</v>
      </c>
      <c r="G1564" t="s">
        <v>435</v>
      </c>
      <c r="H1564">
        <v>102.02</v>
      </c>
      <c r="I1564">
        <v>65</v>
      </c>
      <c r="J1564">
        <v>77.13</v>
      </c>
      <c r="K1564">
        <v>86</v>
      </c>
      <c r="L1564">
        <v>-27.35</v>
      </c>
      <c r="M1564">
        <v>63</v>
      </c>
      <c r="N1564">
        <v>46.5</v>
      </c>
      <c r="O1564">
        <v>55</v>
      </c>
      <c r="P1564">
        <v>-4.8899999999999997</v>
      </c>
      <c r="Q1564">
        <v>37</v>
      </c>
      <c r="R1564">
        <v>8.2799999999999994</v>
      </c>
      <c r="S1564">
        <v>59</v>
      </c>
      <c r="T1564">
        <v>-3.49</v>
      </c>
      <c r="U1564">
        <v>33</v>
      </c>
      <c r="V1564">
        <v>5.84</v>
      </c>
      <c r="W1564">
        <v>51</v>
      </c>
      <c r="X1564" t="s">
        <v>110</v>
      </c>
      <c r="Y1564" t="s">
        <v>453</v>
      </c>
      <c r="Z1564" t="s">
        <v>96</v>
      </c>
      <c r="AA1564" t="s">
        <v>2329</v>
      </c>
      <c r="AB1564" t="s">
        <v>10295</v>
      </c>
      <c r="AC1564">
        <v>0</v>
      </c>
      <c r="AD1564">
        <v>0</v>
      </c>
      <c r="AE1564">
        <v>86</v>
      </c>
      <c r="AF1564">
        <v>489.03</v>
      </c>
      <c r="AG1564">
        <v>14.82</v>
      </c>
      <c r="AH1564">
        <v>15.36</v>
      </c>
      <c r="AI1564">
        <v>-7.0000000000000007E-2</v>
      </c>
      <c r="AJ1564">
        <v>-0.02</v>
      </c>
      <c r="AK1564">
        <v>63</v>
      </c>
      <c r="AL1564">
        <v>0</v>
      </c>
      <c r="AM1564">
        <v>0</v>
      </c>
      <c r="AN1564">
        <v>3.16</v>
      </c>
      <c r="AO1564">
        <v>1</v>
      </c>
      <c r="AP1564">
        <v>14</v>
      </c>
      <c r="AQ1564">
        <v>0</v>
      </c>
      <c r="AR1564">
        <v>3.9</v>
      </c>
      <c r="AS1564">
        <v>46</v>
      </c>
      <c r="AT1564">
        <v>1.67</v>
      </c>
      <c r="AU1564">
        <v>84</v>
      </c>
      <c r="AV1564">
        <v>-3.44</v>
      </c>
      <c r="AW1564">
        <v>53</v>
      </c>
      <c r="AX1564">
        <v>-0.84</v>
      </c>
      <c r="AY1564">
        <v>44</v>
      </c>
      <c r="AZ1564">
        <v>6.17</v>
      </c>
      <c r="BA1564">
        <v>30</v>
      </c>
      <c r="BB1564">
        <v>5.32</v>
      </c>
      <c r="BC1564">
        <v>31</v>
      </c>
      <c r="BD1564">
        <v>-0.02</v>
      </c>
      <c r="BE1564">
        <v>-0.03</v>
      </c>
      <c r="BF1564">
        <v>-0.1</v>
      </c>
      <c r="BG1564">
        <v>72</v>
      </c>
      <c r="BH1564">
        <v>0.08</v>
      </c>
      <c r="BI1564">
        <v>-9.58</v>
      </c>
      <c r="BJ1564">
        <v>0</v>
      </c>
      <c r="BK1564">
        <v>0</v>
      </c>
      <c r="BL1564">
        <v>0.93</v>
      </c>
      <c r="BM1564">
        <v>-2.67</v>
      </c>
      <c r="BN1564">
        <v>-1.59</v>
      </c>
      <c r="BO1564">
        <v>1.55</v>
      </c>
      <c r="BP1564">
        <v>0.99</v>
      </c>
      <c r="BQ1564">
        <v>-1.2</v>
      </c>
      <c r="BR1564">
        <v>0.76</v>
      </c>
      <c r="BS1564">
        <v>0.97</v>
      </c>
      <c r="BT1564">
        <v>-0.56999999999999995</v>
      </c>
      <c r="BU1564">
        <v>3.5</v>
      </c>
      <c r="BV1564">
        <v>3.94</v>
      </c>
      <c r="BW1564">
        <v>2.0099999999999998</v>
      </c>
      <c r="BX1564">
        <v>2.67</v>
      </c>
      <c r="BY1564">
        <v>1.78</v>
      </c>
      <c r="BZ1564">
        <v>-0.47</v>
      </c>
      <c r="CA1564">
        <v>3.55</v>
      </c>
      <c r="CB1564">
        <v>3.42</v>
      </c>
      <c r="CC1564">
        <v>0.97</v>
      </c>
      <c r="CD1564">
        <v>-2.2599999999999998</v>
      </c>
      <c r="CE1564">
        <v>1.72</v>
      </c>
      <c r="CF1564">
        <v>1.23</v>
      </c>
      <c r="CG1564">
        <v>0</v>
      </c>
      <c r="CH1564">
        <v>2.83</v>
      </c>
      <c r="CI1564">
        <v>0</v>
      </c>
      <c r="CJ1564">
        <v>-0.7</v>
      </c>
      <c r="CK1564">
        <v>37</v>
      </c>
      <c r="CL1564">
        <v>-1.31</v>
      </c>
      <c r="CM1564">
        <v>37</v>
      </c>
      <c r="CN1564">
        <v>-0.78</v>
      </c>
      <c r="CO1564">
        <v>37</v>
      </c>
      <c r="CP1564">
        <v>3.1</v>
      </c>
      <c r="CQ1564">
        <v>34</v>
      </c>
      <c r="CR1564">
        <v>0</v>
      </c>
      <c r="CS1564">
        <v>0</v>
      </c>
      <c r="CT1564">
        <v>18.5</v>
      </c>
      <c r="CU1564">
        <v>33</v>
      </c>
      <c r="CV1564">
        <v>0.33</v>
      </c>
      <c r="CW1564">
        <v>32</v>
      </c>
      <c r="CX1564" t="s">
        <v>10296</v>
      </c>
    </row>
    <row r="1565" spans="1:102" x14ac:dyDescent="0.3">
      <c r="A1565" t="str">
        <f>HYPERLINK("https://webapp.icbf.com/v2/app/bull-search/view/77852962","WDH")</f>
        <v>WDH</v>
      </c>
      <c r="B1565" t="s">
        <v>721</v>
      </c>
      <c r="C1565" t="s">
        <v>722</v>
      </c>
      <c r="D1565" s="1">
        <v>33124</v>
      </c>
      <c r="E1565" t="s">
        <v>92</v>
      </c>
      <c r="F1565">
        <v>100</v>
      </c>
      <c r="G1565" t="s">
        <v>93</v>
      </c>
      <c r="H1565">
        <v>101.98</v>
      </c>
      <c r="I1565">
        <v>96</v>
      </c>
      <c r="J1565">
        <v>37.24</v>
      </c>
      <c r="K1565">
        <v>99</v>
      </c>
      <c r="L1565">
        <v>56.17</v>
      </c>
      <c r="M1565">
        <v>93</v>
      </c>
      <c r="N1565">
        <v>18.86</v>
      </c>
      <c r="O1565">
        <v>95</v>
      </c>
      <c r="P1565">
        <v>-3.41</v>
      </c>
      <c r="Q1565">
        <v>98</v>
      </c>
      <c r="R1565">
        <v>3.04</v>
      </c>
      <c r="S1565">
        <v>92</v>
      </c>
      <c r="T1565">
        <v>1.39</v>
      </c>
      <c r="U1565">
        <v>98</v>
      </c>
      <c r="V1565">
        <v>-11.31</v>
      </c>
      <c r="W1565">
        <v>88</v>
      </c>
      <c r="X1565" t="s">
        <v>94</v>
      </c>
      <c r="Y1565" t="s">
        <v>95</v>
      </c>
      <c r="Z1565" t="s">
        <v>96</v>
      </c>
      <c r="AA1565" t="s">
        <v>552</v>
      </c>
      <c r="AB1565" t="s">
        <v>723</v>
      </c>
      <c r="AC1565">
        <v>1028</v>
      </c>
      <c r="AD1565">
        <v>435</v>
      </c>
      <c r="AE1565">
        <v>99</v>
      </c>
      <c r="AF1565">
        <v>-293.82</v>
      </c>
      <c r="AG1565">
        <v>4.4000000000000004</v>
      </c>
      <c r="AH1565">
        <v>0.28000000000000003</v>
      </c>
      <c r="AI1565">
        <v>0.28999999999999998</v>
      </c>
      <c r="AJ1565">
        <v>0.19</v>
      </c>
      <c r="AK1565">
        <v>93</v>
      </c>
      <c r="AL1565">
        <v>1187</v>
      </c>
      <c r="AM1565">
        <v>516</v>
      </c>
      <c r="AN1565">
        <v>-3</v>
      </c>
      <c r="AO1565">
        <v>1.48</v>
      </c>
      <c r="AP1565">
        <v>31</v>
      </c>
      <c r="AQ1565">
        <v>0</v>
      </c>
      <c r="AR1565">
        <v>4.05</v>
      </c>
      <c r="AS1565">
        <v>84</v>
      </c>
      <c r="AT1565">
        <v>2.14</v>
      </c>
      <c r="AU1565">
        <v>95</v>
      </c>
      <c r="AV1565">
        <v>-0.89</v>
      </c>
      <c r="AW1565">
        <v>97</v>
      </c>
      <c r="AX1565">
        <v>0.16</v>
      </c>
      <c r="AY1565">
        <v>97</v>
      </c>
      <c r="AZ1565">
        <v>6.73</v>
      </c>
      <c r="BA1565">
        <v>84</v>
      </c>
      <c r="BB1565">
        <v>5.51</v>
      </c>
      <c r="BC1565">
        <v>94</v>
      </c>
      <c r="BD1565">
        <v>0</v>
      </c>
      <c r="BE1565">
        <v>0</v>
      </c>
      <c r="BF1565">
        <v>-7.0000000000000007E-2</v>
      </c>
      <c r="BG1565">
        <v>98</v>
      </c>
      <c r="BH1565">
        <v>-0.11</v>
      </c>
      <c r="BI1565">
        <v>23.75</v>
      </c>
      <c r="BJ1565">
        <v>40</v>
      </c>
      <c r="BK1565">
        <v>22</v>
      </c>
      <c r="BL1565">
        <v>-0.06</v>
      </c>
      <c r="BM1565">
        <v>0.85</v>
      </c>
      <c r="BN1565">
        <v>-0.53</v>
      </c>
      <c r="BO1565">
        <v>-1.31</v>
      </c>
      <c r="BP1565">
        <v>1.07</v>
      </c>
      <c r="BQ1565">
        <v>-1.63</v>
      </c>
      <c r="BR1565">
        <v>-1.91</v>
      </c>
      <c r="BS1565">
        <v>-0.81</v>
      </c>
      <c r="BT1565">
        <v>0.47</v>
      </c>
      <c r="BU1565">
        <v>-1.41</v>
      </c>
      <c r="BV1565">
        <v>-1.25</v>
      </c>
      <c r="BW1565">
        <v>-0.77</v>
      </c>
      <c r="BX1565">
        <v>0.04</v>
      </c>
      <c r="BY1565">
        <v>-2.36</v>
      </c>
      <c r="BZ1565">
        <v>0.89</v>
      </c>
      <c r="CA1565">
        <v>-2.02</v>
      </c>
      <c r="CB1565">
        <v>-2.16</v>
      </c>
      <c r="CC1565">
        <v>-1.04</v>
      </c>
      <c r="CD1565">
        <v>1.26</v>
      </c>
      <c r="CE1565">
        <v>-1.29</v>
      </c>
      <c r="CF1565">
        <v>-0.84</v>
      </c>
      <c r="CG1565">
        <v>0</v>
      </c>
      <c r="CH1565">
        <v>-2.2000000000000002</v>
      </c>
      <c r="CI1565">
        <v>0</v>
      </c>
      <c r="CJ1565">
        <v>0.1</v>
      </c>
      <c r="CK1565">
        <v>98</v>
      </c>
      <c r="CL1565">
        <v>-0.52</v>
      </c>
      <c r="CM1565">
        <v>98</v>
      </c>
      <c r="CN1565">
        <v>-0.18</v>
      </c>
      <c r="CO1565">
        <v>98</v>
      </c>
      <c r="CP1565">
        <v>-1.9</v>
      </c>
      <c r="CQ1565">
        <v>99</v>
      </c>
      <c r="CR1565">
        <v>0</v>
      </c>
      <c r="CS1565">
        <v>0</v>
      </c>
      <c r="CT1565">
        <v>11.9</v>
      </c>
      <c r="CU1565">
        <v>98</v>
      </c>
      <c r="CV1565">
        <v>0.14000000000000001</v>
      </c>
      <c r="CW1565">
        <v>46</v>
      </c>
      <c r="CX1565" t="s">
        <v>724</v>
      </c>
    </row>
    <row r="1566" spans="1:102" x14ac:dyDescent="0.3">
      <c r="A1566" t="str">
        <f>HYPERLINK("https://webapp.icbf.com/v2/app/bull-search/view/554313457","VIA")</f>
        <v>VIA</v>
      </c>
      <c r="B1566" t="s">
        <v>4206</v>
      </c>
      <c r="C1566" t="s">
        <v>4207</v>
      </c>
      <c r="D1566" s="1">
        <v>39020</v>
      </c>
      <c r="E1566" t="s">
        <v>108</v>
      </c>
      <c r="F1566">
        <v>0</v>
      </c>
      <c r="G1566" t="s">
        <v>93</v>
      </c>
      <c r="H1566">
        <v>101.94</v>
      </c>
      <c r="I1566">
        <v>89</v>
      </c>
      <c r="J1566">
        <v>-22.11</v>
      </c>
      <c r="K1566">
        <v>98</v>
      </c>
      <c r="L1566">
        <v>70.61</v>
      </c>
      <c r="M1566">
        <v>79</v>
      </c>
      <c r="N1566">
        <v>31.53</v>
      </c>
      <c r="O1566">
        <v>89</v>
      </c>
      <c r="P1566">
        <v>-3.96</v>
      </c>
      <c r="Q1566">
        <v>96</v>
      </c>
      <c r="R1566">
        <v>0.74</v>
      </c>
      <c r="S1566">
        <v>85</v>
      </c>
      <c r="T1566">
        <v>23.45</v>
      </c>
      <c r="U1566">
        <v>90</v>
      </c>
      <c r="V1566">
        <v>1.68</v>
      </c>
      <c r="W1566">
        <v>88</v>
      </c>
      <c r="X1566" t="s">
        <v>102</v>
      </c>
      <c r="Y1566" t="s">
        <v>1374</v>
      </c>
      <c r="Z1566" t="s">
        <v>96</v>
      </c>
      <c r="AA1566" t="s">
        <v>3575</v>
      </c>
      <c r="AB1566" t="s">
        <v>4208</v>
      </c>
      <c r="AC1566">
        <v>160</v>
      </c>
      <c r="AD1566">
        <v>89</v>
      </c>
      <c r="AE1566">
        <v>98</v>
      </c>
      <c r="AF1566">
        <v>-195.13</v>
      </c>
      <c r="AG1566">
        <v>0.83</v>
      </c>
      <c r="AH1566">
        <v>-7.04</v>
      </c>
      <c r="AI1566">
        <v>0.15</v>
      </c>
      <c r="AJ1566">
        <v>-0.01</v>
      </c>
      <c r="AK1566">
        <v>79</v>
      </c>
      <c r="AL1566">
        <v>168</v>
      </c>
      <c r="AM1566">
        <v>99</v>
      </c>
      <c r="AN1566">
        <v>-3.92</v>
      </c>
      <c r="AO1566">
        <v>1.71</v>
      </c>
      <c r="AP1566">
        <v>341</v>
      </c>
      <c r="AQ1566">
        <v>2</v>
      </c>
      <c r="AR1566">
        <v>6.67</v>
      </c>
      <c r="AS1566">
        <v>72</v>
      </c>
      <c r="AT1566">
        <v>2.87</v>
      </c>
      <c r="AU1566">
        <v>91</v>
      </c>
      <c r="AV1566">
        <v>-2.92</v>
      </c>
      <c r="AW1566">
        <v>97</v>
      </c>
      <c r="AX1566">
        <v>-0.2</v>
      </c>
      <c r="AY1566">
        <v>88</v>
      </c>
      <c r="AZ1566">
        <v>5.79</v>
      </c>
      <c r="BA1566">
        <v>69</v>
      </c>
      <c r="BB1566">
        <v>4.5</v>
      </c>
      <c r="BC1566">
        <v>74</v>
      </c>
      <c r="BD1566">
        <v>0</v>
      </c>
      <c r="BE1566">
        <v>-0.03</v>
      </c>
      <c r="BF1566">
        <v>0.04</v>
      </c>
      <c r="BG1566">
        <v>92</v>
      </c>
      <c r="BH1566">
        <v>-0.04</v>
      </c>
      <c r="BI1566">
        <v>-10.06</v>
      </c>
      <c r="BJ1566">
        <v>33</v>
      </c>
      <c r="BK1566">
        <v>18</v>
      </c>
      <c r="BL1566">
        <v>-3.95</v>
      </c>
      <c r="BM1566">
        <v>2.0499999999999998</v>
      </c>
      <c r="BN1566">
        <v>-3.54</v>
      </c>
      <c r="BO1566">
        <v>-3.9</v>
      </c>
      <c r="BP1566">
        <v>0.96</v>
      </c>
      <c r="BQ1566">
        <v>0.28999999999999998</v>
      </c>
      <c r="BR1566">
        <v>-1.17</v>
      </c>
      <c r="BS1566">
        <v>-0.1</v>
      </c>
      <c r="BT1566">
        <v>0.56000000000000005</v>
      </c>
      <c r="BU1566">
        <v>-3.53</v>
      </c>
      <c r="BV1566">
        <v>-4.04</v>
      </c>
      <c r="BW1566">
        <v>-3.47</v>
      </c>
      <c r="BX1566">
        <v>-1.98</v>
      </c>
      <c r="BY1566">
        <v>-1.5</v>
      </c>
      <c r="BZ1566">
        <v>0.74</v>
      </c>
      <c r="CA1566">
        <v>-3.21</v>
      </c>
      <c r="CB1566">
        <v>-3.6</v>
      </c>
      <c r="CC1566">
        <v>-1.32</v>
      </c>
      <c r="CD1566">
        <v>3.89</v>
      </c>
      <c r="CE1566">
        <v>-3.21</v>
      </c>
      <c r="CF1566">
        <v>-2.69</v>
      </c>
      <c r="CG1566">
        <v>0</v>
      </c>
      <c r="CH1566">
        <v>-1.9</v>
      </c>
      <c r="CI1566">
        <v>0</v>
      </c>
      <c r="CJ1566">
        <v>-4</v>
      </c>
      <c r="CK1566">
        <v>97</v>
      </c>
      <c r="CL1566">
        <v>0.16</v>
      </c>
      <c r="CM1566">
        <v>96</v>
      </c>
      <c r="CN1566">
        <v>-0.2</v>
      </c>
      <c r="CO1566">
        <v>96</v>
      </c>
      <c r="CP1566">
        <v>-16.2</v>
      </c>
      <c r="CQ1566">
        <v>93</v>
      </c>
      <c r="CR1566">
        <v>0</v>
      </c>
      <c r="CS1566">
        <v>0</v>
      </c>
      <c r="CT1566">
        <v>-17.899999999999999</v>
      </c>
      <c r="CU1566">
        <v>90</v>
      </c>
      <c r="CV1566">
        <v>0</v>
      </c>
      <c r="CW1566">
        <v>45</v>
      </c>
      <c r="CX1566" t="s">
        <v>4209</v>
      </c>
    </row>
    <row r="1567" spans="1:102" x14ac:dyDescent="0.3">
      <c r="A1567" t="str">
        <f>HYPERLINK("https://webapp.icbf.com/v2/app/bull-search/view/164530793","PIU")</f>
        <v>PIU</v>
      </c>
      <c r="B1567" t="s">
        <v>1048</v>
      </c>
      <c r="C1567" t="s">
        <v>1049</v>
      </c>
      <c r="D1567" s="1">
        <v>36006</v>
      </c>
      <c r="E1567" t="s">
        <v>227</v>
      </c>
      <c r="F1567">
        <v>0</v>
      </c>
      <c r="G1567" t="s">
        <v>93</v>
      </c>
      <c r="H1567">
        <v>101.85</v>
      </c>
      <c r="I1567">
        <v>91</v>
      </c>
      <c r="J1567">
        <v>40.28</v>
      </c>
      <c r="K1567">
        <v>98</v>
      </c>
      <c r="L1567">
        <v>12.63</v>
      </c>
      <c r="M1567">
        <v>85</v>
      </c>
      <c r="N1567">
        <v>33.32</v>
      </c>
      <c r="O1567">
        <v>87</v>
      </c>
      <c r="P1567">
        <v>-58.45</v>
      </c>
      <c r="Q1567">
        <v>93</v>
      </c>
      <c r="R1567">
        <v>2.56</v>
      </c>
      <c r="S1567">
        <v>87</v>
      </c>
      <c r="T1567">
        <v>74.88</v>
      </c>
      <c r="U1567">
        <v>91</v>
      </c>
      <c r="V1567">
        <v>-3.37</v>
      </c>
      <c r="W1567">
        <v>88</v>
      </c>
      <c r="X1567" t="s">
        <v>94</v>
      </c>
      <c r="Y1567" t="s">
        <v>95</v>
      </c>
      <c r="Z1567">
        <v>0</v>
      </c>
      <c r="AA1567" t="s">
        <v>788</v>
      </c>
      <c r="AB1567" t="s">
        <v>1050</v>
      </c>
      <c r="AC1567">
        <v>112</v>
      </c>
      <c r="AD1567">
        <v>61</v>
      </c>
      <c r="AE1567">
        <v>98</v>
      </c>
      <c r="AF1567">
        <v>-174.95</v>
      </c>
      <c r="AG1567">
        <v>2.38</v>
      </c>
      <c r="AH1567">
        <v>3.33</v>
      </c>
      <c r="AI1567">
        <v>0.17</v>
      </c>
      <c r="AJ1567">
        <v>0.17</v>
      </c>
      <c r="AK1567">
        <v>85</v>
      </c>
      <c r="AL1567">
        <v>114</v>
      </c>
      <c r="AM1567">
        <v>63</v>
      </c>
      <c r="AN1567">
        <v>1.06</v>
      </c>
      <c r="AO1567">
        <v>2.09</v>
      </c>
      <c r="AP1567">
        <v>156</v>
      </c>
      <c r="AQ1567">
        <v>2</v>
      </c>
      <c r="AR1567">
        <v>1.95</v>
      </c>
      <c r="AS1567">
        <v>84</v>
      </c>
      <c r="AT1567">
        <v>1.34</v>
      </c>
      <c r="AU1567">
        <v>84</v>
      </c>
      <c r="AV1567">
        <v>-2.14</v>
      </c>
      <c r="AW1567">
        <v>96</v>
      </c>
      <c r="AX1567">
        <v>0.87</v>
      </c>
      <c r="AY1567">
        <v>84</v>
      </c>
      <c r="AZ1567">
        <v>7.62</v>
      </c>
      <c r="BA1567">
        <v>69</v>
      </c>
      <c r="BB1567">
        <v>5.44</v>
      </c>
      <c r="BC1567">
        <v>74</v>
      </c>
      <c r="BD1567">
        <v>-0.09</v>
      </c>
      <c r="BE1567">
        <v>-0.01</v>
      </c>
      <c r="BF1567">
        <v>0.11</v>
      </c>
      <c r="BG1567">
        <v>91</v>
      </c>
      <c r="BH1567">
        <v>-0.05</v>
      </c>
      <c r="BI1567">
        <v>5.0999999999999996</v>
      </c>
      <c r="BJ1567">
        <v>9</v>
      </c>
      <c r="BK1567">
        <v>5</v>
      </c>
      <c r="BL1567">
        <v>-2.4300000000000002</v>
      </c>
      <c r="BM1567">
        <v>-3.59</v>
      </c>
      <c r="BN1567">
        <v>-1.57</v>
      </c>
      <c r="BO1567">
        <v>1.49</v>
      </c>
      <c r="BP1567">
        <v>-2.2799999999999998</v>
      </c>
      <c r="BQ1567">
        <v>-7.27</v>
      </c>
      <c r="BR1567">
        <v>2.35</v>
      </c>
      <c r="BS1567">
        <v>6.34</v>
      </c>
      <c r="BT1567">
        <v>-1.76</v>
      </c>
      <c r="BU1567">
        <v>1.18</v>
      </c>
      <c r="BV1567">
        <v>1.29</v>
      </c>
      <c r="BW1567">
        <v>-0.88</v>
      </c>
      <c r="BX1567">
        <v>-1.75</v>
      </c>
      <c r="BY1567">
        <v>0.06</v>
      </c>
      <c r="BZ1567">
        <v>-1.04</v>
      </c>
      <c r="CA1567">
        <v>2.5499999999999998</v>
      </c>
      <c r="CB1567">
        <v>1.1000000000000001</v>
      </c>
      <c r="CC1567">
        <v>4.17</v>
      </c>
      <c r="CD1567">
        <v>-2.8</v>
      </c>
      <c r="CE1567">
        <v>0.82</v>
      </c>
      <c r="CF1567">
        <v>-3.22</v>
      </c>
      <c r="CG1567">
        <v>0</v>
      </c>
      <c r="CH1567">
        <v>0.13</v>
      </c>
      <c r="CI1567">
        <v>0</v>
      </c>
      <c r="CJ1567">
        <v>-28.5</v>
      </c>
      <c r="CK1567">
        <v>94</v>
      </c>
      <c r="CL1567">
        <v>-1.0900000000000001</v>
      </c>
      <c r="CM1567">
        <v>92</v>
      </c>
      <c r="CN1567">
        <v>-0.04</v>
      </c>
      <c r="CO1567">
        <v>91</v>
      </c>
      <c r="CP1567">
        <v>-55.6</v>
      </c>
      <c r="CQ1567">
        <v>91</v>
      </c>
      <c r="CR1567">
        <v>0</v>
      </c>
      <c r="CS1567">
        <v>0</v>
      </c>
      <c r="CT1567">
        <v>-87.4</v>
      </c>
      <c r="CU1567">
        <v>91</v>
      </c>
      <c r="CV1567">
        <v>-0.24</v>
      </c>
      <c r="CW1567">
        <v>44</v>
      </c>
      <c r="CX1567" t="s">
        <v>1051</v>
      </c>
    </row>
    <row r="1568" spans="1:102" x14ac:dyDescent="0.3">
      <c r="A1568" t="str">
        <f>HYPERLINK("https://webapp.icbf.com/v2/app/bull-search/view/760393209","DYK")</f>
        <v>DYK</v>
      </c>
      <c r="B1568" t="s">
        <v>10116</v>
      </c>
      <c r="C1568" t="s">
        <v>10117</v>
      </c>
      <c r="D1568" s="1">
        <v>40048</v>
      </c>
      <c r="E1568" t="s">
        <v>92</v>
      </c>
      <c r="F1568">
        <v>50</v>
      </c>
      <c r="G1568" t="s">
        <v>93</v>
      </c>
      <c r="H1568">
        <v>101.77</v>
      </c>
      <c r="I1568">
        <v>90</v>
      </c>
      <c r="J1568">
        <v>85.18</v>
      </c>
      <c r="K1568">
        <v>98</v>
      </c>
      <c r="L1568">
        <v>2.21</v>
      </c>
      <c r="M1568">
        <v>84</v>
      </c>
      <c r="N1568">
        <v>21.86</v>
      </c>
      <c r="O1568">
        <v>90</v>
      </c>
      <c r="P1568">
        <v>-11.43</v>
      </c>
      <c r="Q1568">
        <v>95</v>
      </c>
      <c r="R1568">
        <v>-11.28</v>
      </c>
      <c r="S1568">
        <v>82</v>
      </c>
      <c r="T1568">
        <v>14.34</v>
      </c>
      <c r="U1568">
        <v>92</v>
      </c>
      <c r="V1568">
        <v>0.89</v>
      </c>
      <c r="W1568">
        <v>77</v>
      </c>
      <c r="X1568" t="s">
        <v>276</v>
      </c>
      <c r="Y1568" t="s">
        <v>329</v>
      </c>
      <c r="Z1568" t="s">
        <v>330</v>
      </c>
      <c r="AA1568" t="s">
        <v>2339</v>
      </c>
      <c r="AB1568" t="s">
        <v>144</v>
      </c>
      <c r="AC1568">
        <v>153</v>
      </c>
      <c r="AD1568">
        <v>67</v>
      </c>
      <c r="AE1568">
        <v>98</v>
      </c>
      <c r="AF1568">
        <v>194.08</v>
      </c>
      <c r="AG1568">
        <v>9.83</v>
      </c>
      <c r="AH1568">
        <v>13.98</v>
      </c>
      <c r="AI1568">
        <v>0.04</v>
      </c>
      <c r="AJ1568">
        <v>0.13</v>
      </c>
      <c r="AK1568">
        <v>84</v>
      </c>
      <c r="AL1568">
        <v>172</v>
      </c>
      <c r="AM1568">
        <v>77</v>
      </c>
      <c r="AN1568">
        <v>-1.36</v>
      </c>
      <c r="AO1568">
        <v>-1.2</v>
      </c>
      <c r="AP1568">
        <v>375</v>
      </c>
      <c r="AQ1568">
        <v>1</v>
      </c>
      <c r="AR1568">
        <v>7.81</v>
      </c>
      <c r="AS1568">
        <v>81</v>
      </c>
      <c r="AT1568">
        <v>3.43</v>
      </c>
      <c r="AU1568">
        <v>92</v>
      </c>
      <c r="AV1568">
        <v>-3.26</v>
      </c>
      <c r="AW1568">
        <v>98</v>
      </c>
      <c r="AX1568">
        <v>-7.0000000000000007E-2</v>
      </c>
      <c r="AY1568">
        <v>87</v>
      </c>
      <c r="AZ1568">
        <v>6.67</v>
      </c>
      <c r="BA1568">
        <v>73</v>
      </c>
      <c r="BB1568">
        <v>5.0999999999999996</v>
      </c>
      <c r="BC1568">
        <v>72</v>
      </c>
      <c r="BD1568">
        <v>-0.01</v>
      </c>
      <c r="BE1568">
        <v>0.04</v>
      </c>
      <c r="BF1568">
        <v>0.2</v>
      </c>
      <c r="BG1568">
        <v>93</v>
      </c>
      <c r="BH1568">
        <v>-0.06</v>
      </c>
      <c r="BI1568">
        <v>-9.81</v>
      </c>
      <c r="BJ1568">
        <v>2</v>
      </c>
      <c r="BK1568">
        <v>2</v>
      </c>
      <c r="BL1568">
        <v>-0.56000000000000005</v>
      </c>
      <c r="BM1568">
        <v>0.03</v>
      </c>
      <c r="BN1568">
        <v>-0.82</v>
      </c>
      <c r="BO1568">
        <v>-0.76</v>
      </c>
      <c r="BP1568">
        <v>0.8</v>
      </c>
      <c r="BQ1568">
        <v>-1.39</v>
      </c>
      <c r="BR1568">
        <v>1.3</v>
      </c>
      <c r="BS1568">
        <v>-0.85</v>
      </c>
      <c r="BT1568">
        <v>-2.35</v>
      </c>
      <c r="BU1568">
        <v>-1.66</v>
      </c>
      <c r="BV1568">
        <v>-1.48</v>
      </c>
      <c r="BW1568">
        <v>-1.1399999999999999</v>
      </c>
      <c r="BX1568">
        <v>-2.2200000000000002</v>
      </c>
      <c r="BY1568">
        <v>0.06</v>
      </c>
      <c r="BZ1568">
        <v>0.49</v>
      </c>
      <c r="CA1568">
        <v>-1.2</v>
      </c>
      <c r="CB1568">
        <v>-1.17</v>
      </c>
      <c r="CC1568">
        <v>-1.33</v>
      </c>
      <c r="CD1568">
        <v>0.52</v>
      </c>
      <c r="CE1568">
        <v>-0.26</v>
      </c>
      <c r="CF1568">
        <v>-0.61</v>
      </c>
      <c r="CG1568">
        <v>0</v>
      </c>
      <c r="CH1568">
        <v>-0.2</v>
      </c>
      <c r="CI1568">
        <v>0</v>
      </c>
      <c r="CJ1568">
        <v>-3.9</v>
      </c>
      <c r="CK1568">
        <v>96</v>
      </c>
      <c r="CL1568">
        <v>-0.66</v>
      </c>
      <c r="CM1568">
        <v>95</v>
      </c>
      <c r="CN1568">
        <v>-0.2</v>
      </c>
      <c r="CO1568">
        <v>94</v>
      </c>
      <c r="CP1568">
        <v>-10.5</v>
      </c>
      <c r="CQ1568">
        <v>90</v>
      </c>
      <c r="CR1568">
        <v>0</v>
      </c>
      <c r="CS1568">
        <v>0</v>
      </c>
      <c r="CT1568">
        <v>-5.6</v>
      </c>
      <c r="CU1568">
        <v>92</v>
      </c>
      <c r="CV1568">
        <v>0.27</v>
      </c>
      <c r="CW1568">
        <v>45</v>
      </c>
      <c r="CX1568" t="s">
        <v>1831</v>
      </c>
    </row>
    <row r="1569" spans="1:102" x14ac:dyDescent="0.3">
      <c r="A1569" t="str">
        <f>HYPERLINK("https://webapp.icbf.com/v2/app/bull-search/view/714740490","KLG")</f>
        <v>KLG</v>
      </c>
      <c r="B1569" t="s">
        <v>9741</v>
      </c>
      <c r="C1569" t="s">
        <v>9195</v>
      </c>
      <c r="D1569" s="1">
        <v>39427</v>
      </c>
      <c r="E1569" t="s">
        <v>92</v>
      </c>
      <c r="F1569">
        <v>100</v>
      </c>
      <c r="G1569" t="s">
        <v>93</v>
      </c>
      <c r="H1569">
        <v>101.75</v>
      </c>
      <c r="I1569">
        <v>93</v>
      </c>
      <c r="J1569">
        <v>3.56</v>
      </c>
      <c r="K1569">
        <v>98</v>
      </c>
      <c r="L1569">
        <v>44.76</v>
      </c>
      <c r="M1569">
        <v>92</v>
      </c>
      <c r="N1569">
        <v>39.03</v>
      </c>
      <c r="O1569">
        <v>92</v>
      </c>
      <c r="P1569">
        <v>-3.61</v>
      </c>
      <c r="Q1569">
        <v>93</v>
      </c>
      <c r="R1569">
        <v>21.46</v>
      </c>
      <c r="S1569">
        <v>84</v>
      </c>
      <c r="T1569">
        <v>-7.93</v>
      </c>
      <c r="U1569">
        <v>87</v>
      </c>
      <c r="V1569">
        <v>4.4800000000000004</v>
      </c>
      <c r="W1569">
        <v>77</v>
      </c>
      <c r="X1569" t="s">
        <v>276</v>
      </c>
      <c r="Y1569" t="s">
        <v>1128</v>
      </c>
      <c r="Z1569" t="s">
        <v>96</v>
      </c>
      <c r="AA1569" t="s">
        <v>9253</v>
      </c>
      <c r="AB1569" t="s">
        <v>9742</v>
      </c>
      <c r="AC1569">
        <v>215</v>
      </c>
      <c r="AD1569">
        <v>85</v>
      </c>
      <c r="AE1569">
        <v>98</v>
      </c>
      <c r="AF1569">
        <v>-3.58</v>
      </c>
      <c r="AG1569">
        <v>-2.4</v>
      </c>
      <c r="AH1569">
        <v>1.4</v>
      </c>
      <c r="AI1569">
        <v>-0.04</v>
      </c>
      <c r="AJ1569">
        <v>0.03</v>
      </c>
      <c r="AK1569">
        <v>92</v>
      </c>
      <c r="AL1569">
        <v>206</v>
      </c>
      <c r="AM1569">
        <v>83</v>
      </c>
      <c r="AN1569">
        <v>-3.19</v>
      </c>
      <c r="AO1569">
        <v>0.37</v>
      </c>
      <c r="AP1569">
        <v>433</v>
      </c>
      <c r="AQ1569">
        <v>2</v>
      </c>
      <c r="AR1569">
        <v>6.91</v>
      </c>
      <c r="AS1569">
        <v>94</v>
      </c>
      <c r="AT1569">
        <v>3.18</v>
      </c>
      <c r="AU1569">
        <v>95</v>
      </c>
      <c r="AV1569">
        <v>-4.12</v>
      </c>
      <c r="AW1569">
        <v>97</v>
      </c>
      <c r="AX1569">
        <v>-0.03</v>
      </c>
      <c r="AY1569">
        <v>90</v>
      </c>
      <c r="AZ1569">
        <v>5.25</v>
      </c>
      <c r="BA1569">
        <v>78</v>
      </c>
      <c r="BB1569">
        <v>4.29</v>
      </c>
      <c r="BC1569">
        <v>71</v>
      </c>
      <c r="BD1569">
        <v>-0.11</v>
      </c>
      <c r="BE1569">
        <v>-0.1</v>
      </c>
      <c r="BF1569">
        <v>-0.12</v>
      </c>
      <c r="BG1569">
        <v>94</v>
      </c>
      <c r="BH1569">
        <v>-0.06</v>
      </c>
      <c r="BI1569">
        <v>-21.39</v>
      </c>
      <c r="BJ1569">
        <v>49</v>
      </c>
      <c r="BK1569">
        <v>25</v>
      </c>
      <c r="BL1569">
        <v>2.0699999999999998</v>
      </c>
      <c r="BM1569">
        <v>-0.91</v>
      </c>
      <c r="BN1569">
        <v>-1.01</v>
      </c>
      <c r="BO1569">
        <v>-0.08</v>
      </c>
      <c r="BP1569">
        <v>-1.1299999999999999</v>
      </c>
      <c r="BQ1569">
        <v>0.06</v>
      </c>
      <c r="BR1569">
        <v>-0.76</v>
      </c>
      <c r="BS1569">
        <v>1.7</v>
      </c>
      <c r="BT1569">
        <v>1.74</v>
      </c>
      <c r="BU1569">
        <v>3.15</v>
      </c>
      <c r="BV1569">
        <v>1.42</v>
      </c>
      <c r="BW1569">
        <v>1.37</v>
      </c>
      <c r="BX1569">
        <v>3.59</v>
      </c>
      <c r="BY1569">
        <v>1.36</v>
      </c>
      <c r="BZ1569">
        <v>1.58</v>
      </c>
      <c r="CA1569">
        <v>2.12</v>
      </c>
      <c r="CB1569">
        <v>1.81</v>
      </c>
      <c r="CC1569">
        <v>1.02</v>
      </c>
      <c r="CD1569">
        <v>0.69</v>
      </c>
      <c r="CE1569">
        <v>0.03</v>
      </c>
      <c r="CF1569">
        <v>0.72</v>
      </c>
      <c r="CG1569">
        <v>0</v>
      </c>
      <c r="CH1569">
        <v>1.24</v>
      </c>
      <c r="CI1569">
        <v>0</v>
      </c>
      <c r="CJ1569">
        <v>1.4</v>
      </c>
      <c r="CK1569">
        <v>94</v>
      </c>
      <c r="CL1569">
        <v>-1.41</v>
      </c>
      <c r="CM1569">
        <v>93</v>
      </c>
      <c r="CN1569">
        <v>-0.64</v>
      </c>
      <c r="CO1569">
        <v>92</v>
      </c>
      <c r="CP1569">
        <v>10.1</v>
      </c>
      <c r="CQ1569">
        <v>90</v>
      </c>
      <c r="CR1569">
        <v>0</v>
      </c>
      <c r="CS1569">
        <v>0</v>
      </c>
      <c r="CT1569">
        <v>24.5</v>
      </c>
      <c r="CU1569">
        <v>87</v>
      </c>
      <c r="CV1569">
        <v>0.33</v>
      </c>
      <c r="CW1569">
        <v>45</v>
      </c>
      <c r="CX1569" t="s">
        <v>350</v>
      </c>
    </row>
    <row r="1570" spans="1:102" x14ac:dyDescent="0.3">
      <c r="A1570" t="str">
        <f>HYPERLINK("https://webapp.icbf.com/v2/app/bull-search/view/910812074","JE2097")</f>
        <v>JE2097</v>
      </c>
      <c r="B1570" t="s">
        <v>9765</v>
      </c>
      <c r="C1570" t="s">
        <v>9766</v>
      </c>
      <c r="D1570" s="1">
        <v>40231</v>
      </c>
      <c r="E1570" t="s">
        <v>227</v>
      </c>
      <c r="F1570">
        <v>0</v>
      </c>
      <c r="G1570" t="s">
        <v>93</v>
      </c>
      <c r="H1570">
        <v>101.72</v>
      </c>
      <c r="I1570">
        <v>77</v>
      </c>
      <c r="J1570">
        <v>61.91</v>
      </c>
      <c r="K1570">
        <v>94</v>
      </c>
      <c r="L1570">
        <v>32.520000000000003</v>
      </c>
      <c r="M1570">
        <v>70</v>
      </c>
      <c r="N1570">
        <v>8.75</v>
      </c>
      <c r="O1570">
        <v>81</v>
      </c>
      <c r="P1570">
        <v>-57.01</v>
      </c>
      <c r="Q1570">
        <v>81</v>
      </c>
      <c r="R1570">
        <v>-3.16</v>
      </c>
      <c r="S1570">
        <v>59</v>
      </c>
      <c r="T1570">
        <v>54.97</v>
      </c>
      <c r="U1570">
        <v>56</v>
      </c>
      <c r="V1570">
        <v>3.74</v>
      </c>
      <c r="W1570">
        <v>25</v>
      </c>
      <c r="X1570" t="s">
        <v>94</v>
      </c>
      <c r="Y1570" t="s">
        <v>422</v>
      </c>
      <c r="Z1570">
        <v>0</v>
      </c>
      <c r="AA1570" t="s">
        <v>454</v>
      </c>
      <c r="AB1570" t="s">
        <v>144</v>
      </c>
      <c r="AC1570">
        <v>118</v>
      </c>
      <c r="AD1570">
        <v>28</v>
      </c>
      <c r="AE1570">
        <v>94</v>
      </c>
      <c r="AF1570">
        <v>-320.11</v>
      </c>
      <c r="AG1570">
        <v>12.89</v>
      </c>
      <c r="AH1570">
        <v>1.07</v>
      </c>
      <c r="AI1570">
        <v>0.44</v>
      </c>
      <c r="AJ1570">
        <v>0.21</v>
      </c>
      <c r="AK1570">
        <v>70</v>
      </c>
      <c r="AL1570">
        <v>36</v>
      </c>
      <c r="AM1570">
        <v>15</v>
      </c>
      <c r="AN1570">
        <v>-0.5</v>
      </c>
      <c r="AO1570">
        <v>2.11</v>
      </c>
      <c r="AP1570">
        <v>367</v>
      </c>
      <c r="AQ1570">
        <v>1</v>
      </c>
      <c r="AR1570">
        <v>3.95</v>
      </c>
      <c r="AS1570">
        <v>86</v>
      </c>
      <c r="AT1570">
        <v>2.0099999999999998</v>
      </c>
      <c r="AU1570">
        <v>85</v>
      </c>
      <c r="AV1570">
        <v>-1</v>
      </c>
      <c r="AW1570">
        <v>97</v>
      </c>
      <c r="AX1570">
        <v>5.72</v>
      </c>
      <c r="AY1570">
        <v>87</v>
      </c>
      <c r="AZ1570">
        <v>6.74</v>
      </c>
      <c r="BA1570">
        <v>58</v>
      </c>
      <c r="BB1570">
        <v>5.04</v>
      </c>
      <c r="BC1570">
        <v>25</v>
      </c>
      <c r="BD1570">
        <v>-0.05</v>
      </c>
      <c r="BE1570">
        <v>0.04</v>
      </c>
      <c r="BF1570">
        <v>0.08</v>
      </c>
      <c r="BG1570">
        <v>77</v>
      </c>
      <c r="BH1570">
        <v>0.04</v>
      </c>
      <c r="BI1570">
        <v>-7.43</v>
      </c>
      <c r="BJ1570">
        <v>0</v>
      </c>
      <c r="BK1570">
        <v>0</v>
      </c>
      <c r="BL1570">
        <v>-1.41</v>
      </c>
      <c r="BM1570">
        <v>-2.02</v>
      </c>
      <c r="BN1570">
        <v>-0.56999999999999995</v>
      </c>
      <c r="BO1570">
        <v>1.42</v>
      </c>
      <c r="BP1570">
        <v>-0.3</v>
      </c>
      <c r="BQ1570">
        <v>-5.23</v>
      </c>
      <c r="BR1570">
        <v>1.99</v>
      </c>
      <c r="BS1570">
        <v>6.62</v>
      </c>
      <c r="BT1570">
        <v>-1.1399999999999999</v>
      </c>
      <c r="BU1570">
        <v>0.88</v>
      </c>
      <c r="BV1570">
        <v>0.88</v>
      </c>
      <c r="BW1570">
        <v>-1.22</v>
      </c>
      <c r="BX1570">
        <v>-1.83</v>
      </c>
      <c r="BY1570">
        <v>0.08</v>
      </c>
      <c r="BZ1570">
        <v>-0.5</v>
      </c>
      <c r="CA1570">
        <v>2.36</v>
      </c>
      <c r="CB1570">
        <v>0.89</v>
      </c>
      <c r="CC1570">
        <v>4.2300000000000004</v>
      </c>
      <c r="CD1570">
        <v>-2.3199999999999998</v>
      </c>
      <c r="CE1570">
        <v>1.19</v>
      </c>
      <c r="CF1570">
        <v>-1.1100000000000001</v>
      </c>
      <c r="CG1570">
        <v>0</v>
      </c>
      <c r="CH1570">
        <v>-0.47</v>
      </c>
      <c r="CI1570">
        <v>0</v>
      </c>
      <c r="CJ1570">
        <v>-28.3</v>
      </c>
      <c r="CK1570">
        <v>85</v>
      </c>
      <c r="CL1570">
        <v>-1.39</v>
      </c>
      <c r="CM1570">
        <v>80</v>
      </c>
      <c r="CN1570">
        <v>-0.25</v>
      </c>
      <c r="CO1570">
        <v>78</v>
      </c>
      <c r="CP1570">
        <v>-43.6</v>
      </c>
      <c r="CQ1570">
        <v>61</v>
      </c>
      <c r="CR1570">
        <v>0</v>
      </c>
      <c r="CS1570">
        <v>0</v>
      </c>
      <c r="CT1570">
        <v>-60.5</v>
      </c>
      <c r="CU1570">
        <v>56</v>
      </c>
      <c r="CV1570">
        <v>-0.21</v>
      </c>
      <c r="CW1570">
        <v>24</v>
      </c>
      <c r="CX1570" t="s">
        <v>371</v>
      </c>
    </row>
    <row r="1571" spans="1:102" x14ac:dyDescent="0.3">
      <c r="A1571" t="str">
        <f>HYPERLINK("https://webapp.icbf.com/v2/app/bull-search/view/668602386","LXB")</f>
        <v>LXB</v>
      </c>
      <c r="B1571" t="s">
        <v>12883</v>
      </c>
      <c r="C1571" t="s">
        <v>12884</v>
      </c>
      <c r="D1571" s="1">
        <v>39855</v>
      </c>
      <c r="E1571" t="s">
        <v>108</v>
      </c>
      <c r="F1571">
        <v>34</v>
      </c>
      <c r="G1571" t="s">
        <v>93</v>
      </c>
      <c r="H1571">
        <v>101.69</v>
      </c>
      <c r="I1571">
        <v>86</v>
      </c>
      <c r="J1571">
        <v>87.15</v>
      </c>
      <c r="K1571">
        <v>96</v>
      </c>
      <c r="L1571">
        <v>-1.29</v>
      </c>
      <c r="M1571">
        <v>77</v>
      </c>
      <c r="N1571">
        <v>28.77</v>
      </c>
      <c r="O1571">
        <v>87</v>
      </c>
      <c r="P1571">
        <v>-27.63</v>
      </c>
      <c r="Q1571">
        <v>93</v>
      </c>
      <c r="R1571">
        <v>-14.72</v>
      </c>
      <c r="S1571">
        <v>77</v>
      </c>
      <c r="T1571">
        <v>27.52</v>
      </c>
      <c r="U1571">
        <v>88</v>
      </c>
      <c r="V1571">
        <v>1.89</v>
      </c>
      <c r="W1571">
        <v>77</v>
      </c>
      <c r="X1571" t="s">
        <v>94</v>
      </c>
      <c r="Y1571" t="s">
        <v>1727</v>
      </c>
      <c r="Z1571" t="s">
        <v>330</v>
      </c>
      <c r="AA1571" t="s">
        <v>2990</v>
      </c>
      <c r="AB1571" t="s">
        <v>144</v>
      </c>
      <c r="AC1571">
        <v>106</v>
      </c>
      <c r="AD1571">
        <v>50</v>
      </c>
      <c r="AE1571">
        <v>96</v>
      </c>
      <c r="AF1571">
        <v>-55.84</v>
      </c>
      <c r="AG1571">
        <v>19.27</v>
      </c>
      <c r="AH1571">
        <v>7.15</v>
      </c>
      <c r="AI1571">
        <v>0.38</v>
      </c>
      <c r="AJ1571">
        <v>0.16</v>
      </c>
      <c r="AK1571">
        <v>77</v>
      </c>
      <c r="AL1571">
        <v>108</v>
      </c>
      <c r="AM1571">
        <v>48</v>
      </c>
      <c r="AN1571">
        <v>0.28000000000000003</v>
      </c>
      <c r="AO1571">
        <v>0.18</v>
      </c>
      <c r="AP1571">
        <v>301</v>
      </c>
      <c r="AQ1571">
        <v>3</v>
      </c>
      <c r="AR1571">
        <v>6.04</v>
      </c>
      <c r="AS1571">
        <v>78</v>
      </c>
      <c r="AT1571">
        <v>2.82</v>
      </c>
      <c r="AU1571">
        <v>89</v>
      </c>
      <c r="AV1571">
        <v>-2.86</v>
      </c>
      <c r="AW1571">
        <v>97</v>
      </c>
      <c r="AX1571">
        <v>-0.12</v>
      </c>
      <c r="AY1571">
        <v>84</v>
      </c>
      <c r="AZ1571">
        <v>6.42</v>
      </c>
      <c r="BA1571">
        <v>67</v>
      </c>
      <c r="BB1571">
        <v>5.13</v>
      </c>
      <c r="BC1571">
        <v>66</v>
      </c>
      <c r="BD1571">
        <v>-0.01</v>
      </c>
      <c r="BE1571">
        <v>0.05</v>
      </c>
      <c r="BF1571">
        <v>0.26</v>
      </c>
      <c r="BG1571">
        <v>88</v>
      </c>
      <c r="BH1571">
        <v>0.06</v>
      </c>
      <c r="BI1571">
        <v>0.86</v>
      </c>
      <c r="BJ1571">
        <v>2</v>
      </c>
      <c r="BK1571">
        <v>2</v>
      </c>
      <c r="BL1571">
        <v>-1.8</v>
      </c>
      <c r="BM1571">
        <v>-0.16</v>
      </c>
      <c r="BN1571">
        <v>-0.99</v>
      </c>
      <c r="BO1571">
        <v>-0.56999999999999995</v>
      </c>
      <c r="BP1571">
        <v>1.08</v>
      </c>
      <c r="BQ1571">
        <v>-2.5299999999999998</v>
      </c>
      <c r="BR1571">
        <v>1</v>
      </c>
      <c r="BS1571">
        <v>1.54</v>
      </c>
      <c r="BT1571">
        <v>-0.6</v>
      </c>
      <c r="BU1571">
        <v>-1.77</v>
      </c>
      <c r="BV1571">
        <v>-1.59</v>
      </c>
      <c r="BW1571">
        <v>-2.15</v>
      </c>
      <c r="BX1571">
        <v>-2.5</v>
      </c>
      <c r="BY1571">
        <v>-1.58</v>
      </c>
      <c r="BZ1571">
        <v>0.77</v>
      </c>
      <c r="CA1571">
        <v>-1.48</v>
      </c>
      <c r="CB1571">
        <v>-1.71</v>
      </c>
      <c r="CC1571">
        <v>-0.36</v>
      </c>
      <c r="CD1571">
        <v>0.52</v>
      </c>
      <c r="CE1571">
        <v>-0.7</v>
      </c>
      <c r="CF1571">
        <v>-1.86</v>
      </c>
      <c r="CG1571">
        <v>0</v>
      </c>
      <c r="CH1571">
        <v>-1.38</v>
      </c>
      <c r="CI1571">
        <v>0</v>
      </c>
      <c r="CJ1571">
        <v>-12</v>
      </c>
      <c r="CK1571">
        <v>94</v>
      </c>
      <c r="CL1571">
        <v>-0.7</v>
      </c>
      <c r="CM1571">
        <v>93</v>
      </c>
      <c r="CN1571">
        <v>0.08</v>
      </c>
      <c r="CO1571">
        <v>92</v>
      </c>
      <c r="CP1571">
        <v>-19.399999999999999</v>
      </c>
      <c r="CQ1571">
        <v>86</v>
      </c>
      <c r="CR1571">
        <v>0</v>
      </c>
      <c r="CS1571">
        <v>0</v>
      </c>
      <c r="CT1571">
        <v>-23.4</v>
      </c>
      <c r="CU1571">
        <v>88</v>
      </c>
      <c r="CV1571">
        <v>0.02</v>
      </c>
      <c r="CW1571">
        <v>45</v>
      </c>
      <c r="CX1571" t="s">
        <v>3240</v>
      </c>
    </row>
    <row r="1572" spans="1:102" x14ac:dyDescent="0.3">
      <c r="A1572" t="str">
        <f>HYPERLINK("https://webapp.icbf.com/v2/app/bull-search/view/414133036","MZL")</f>
        <v>MZL</v>
      </c>
      <c r="B1572" t="s">
        <v>1202</v>
      </c>
      <c r="C1572" t="s">
        <v>1203</v>
      </c>
      <c r="D1572" s="1">
        <v>34587</v>
      </c>
      <c r="E1572" t="s">
        <v>146</v>
      </c>
      <c r="F1572">
        <v>0</v>
      </c>
      <c r="G1572" t="s">
        <v>93</v>
      </c>
      <c r="H1572">
        <v>101.64</v>
      </c>
      <c r="I1572">
        <v>78</v>
      </c>
      <c r="J1572">
        <v>-2.62</v>
      </c>
      <c r="K1572">
        <v>91</v>
      </c>
      <c r="L1572">
        <v>58.31</v>
      </c>
      <c r="M1572">
        <v>63</v>
      </c>
      <c r="N1572">
        <v>31.04</v>
      </c>
      <c r="O1572">
        <v>78</v>
      </c>
      <c r="P1572">
        <v>8.84</v>
      </c>
      <c r="Q1572">
        <v>92</v>
      </c>
      <c r="R1572">
        <v>5.67</v>
      </c>
      <c r="S1572">
        <v>69</v>
      </c>
      <c r="T1572">
        <v>4.8</v>
      </c>
      <c r="U1572">
        <v>78</v>
      </c>
      <c r="V1572">
        <v>-4.4000000000000004</v>
      </c>
      <c r="W1572">
        <v>65</v>
      </c>
      <c r="X1572" t="s">
        <v>102</v>
      </c>
      <c r="Y1572" t="s">
        <v>95</v>
      </c>
      <c r="Z1572">
        <v>0</v>
      </c>
      <c r="AA1572" t="s">
        <v>147</v>
      </c>
      <c r="AB1572" t="s">
        <v>1204</v>
      </c>
      <c r="AC1572">
        <v>42</v>
      </c>
      <c r="AD1572">
        <v>12</v>
      </c>
      <c r="AE1572">
        <v>91</v>
      </c>
      <c r="AF1572">
        <v>-112.72</v>
      </c>
      <c r="AG1572">
        <v>-8.34</v>
      </c>
      <c r="AH1572">
        <v>0.78</v>
      </c>
      <c r="AI1572">
        <v>-7.0000000000000007E-2</v>
      </c>
      <c r="AJ1572">
        <v>0.08</v>
      </c>
      <c r="AK1572">
        <v>63</v>
      </c>
      <c r="AL1572">
        <v>0</v>
      </c>
      <c r="AM1572">
        <v>0</v>
      </c>
      <c r="AN1572">
        <v>-3.17</v>
      </c>
      <c r="AO1572">
        <v>1.48</v>
      </c>
      <c r="AP1572">
        <v>95</v>
      </c>
      <c r="AQ1572">
        <v>1</v>
      </c>
      <c r="AR1572">
        <v>6.64</v>
      </c>
      <c r="AS1572">
        <v>58</v>
      </c>
      <c r="AT1572">
        <v>2.86</v>
      </c>
      <c r="AU1572">
        <v>82</v>
      </c>
      <c r="AV1572">
        <v>-3.16</v>
      </c>
      <c r="AW1572">
        <v>92</v>
      </c>
      <c r="AX1572">
        <v>-0.38</v>
      </c>
      <c r="AY1572">
        <v>76</v>
      </c>
      <c r="AZ1572">
        <v>6.36</v>
      </c>
      <c r="BA1572">
        <v>42</v>
      </c>
      <c r="BB1572">
        <v>4.96</v>
      </c>
      <c r="BC1572">
        <v>49</v>
      </c>
      <c r="BD1572">
        <v>-0.05</v>
      </c>
      <c r="BE1572">
        <v>-0.03</v>
      </c>
      <c r="BF1572">
        <v>0.01</v>
      </c>
      <c r="BG1572">
        <v>81</v>
      </c>
      <c r="BH1572">
        <v>-0.05</v>
      </c>
      <c r="BI1572">
        <v>8.41</v>
      </c>
      <c r="BJ1572">
        <v>2</v>
      </c>
      <c r="BK1572">
        <v>1</v>
      </c>
      <c r="BL1572">
        <v>-1.56</v>
      </c>
      <c r="BM1572">
        <v>3.14</v>
      </c>
      <c r="BN1572">
        <v>-0.99</v>
      </c>
      <c r="BO1572">
        <v>-2.2000000000000002</v>
      </c>
      <c r="BP1572">
        <v>3.08</v>
      </c>
      <c r="BQ1572">
        <v>1.54</v>
      </c>
      <c r="BR1572">
        <v>-1.25</v>
      </c>
      <c r="BS1572">
        <v>1.48</v>
      </c>
      <c r="BT1572">
        <v>1.22</v>
      </c>
      <c r="BU1572">
        <v>-1.92</v>
      </c>
      <c r="BV1572">
        <v>-1.76</v>
      </c>
      <c r="BW1572">
        <v>-1.68</v>
      </c>
      <c r="BX1572">
        <v>-1.67</v>
      </c>
      <c r="BY1572">
        <v>-0.24</v>
      </c>
      <c r="BZ1572">
        <v>1.68</v>
      </c>
      <c r="CA1572">
        <v>-1.43</v>
      </c>
      <c r="CB1572">
        <v>-1.49</v>
      </c>
      <c r="CC1572">
        <v>0.55000000000000004</v>
      </c>
      <c r="CD1572">
        <v>2.39</v>
      </c>
      <c r="CE1572">
        <v>-2.8</v>
      </c>
      <c r="CF1572">
        <v>-1.37</v>
      </c>
      <c r="CG1572">
        <v>0</v>
      </c>
      <c r="CH1572">
        <v>-0.64</v>
      </c>
      <c r="CI1572">
        <v>0</v>
      </c>
      <c r="CJ1572">
        <v>4.5</v>
      </c>
      <c r="CK1572">
        <v>93</v>
      </c>
      <c r="CL1572">
        <v>0.36</v>
      </c>
      <c r="CM1572">
        <v>92</v>
      </c>
      <c r="CN1572">
        <v>0.08</v>
      </c>
      <c r="CO1572">
        <v>91</v>
      </c>
      <c r="CP1572">
        <v>-1</v>
      </c>
      <c r="CQ1572">
        <v>83</v>
      </c>
      <c r="CR1572">
        <v>0</v>
      </c>
      <c r="CS1572">
        <v>0</v>
      </c>
      <c r="CT1572">
        <v>7.3</v>
      </c>
      <c r="CU1572">
        <v>78</v>
      </c>
      <c r="CV1572">
        <v>-0.11</v>
      </c>
      <c r="CW1572">
        <v>26</v>
      </c>
      <c r="CX1572" t="s">
        <v>1205</v>
      </c>
    </row>
    <row r="1573" spans="1:102" x14ac:dyDescent="0.3">
      <c r="A1573" t="str">
        <f>HYPERLINK("https://webapp.icbf.com/v2/app/bull-search/view/69091387","CUA")</f>
        <v>CUA</v>
      </c>
      <c r="B1573" t="s">
        <v>3281</v>
      </c>
      <c r="C1573" t="s">
        <v>3282</v>
      </c>
      <c r="D1573" s="1">
        <v>32109</v>
      </c>
      <c r="E1573" t="s">
        <v>140</v>
      </c>
      <c r="F1573">
        <v>0</v>
      </c>
      <c r="G1573" t="s">
        <v>109</v>
      </c>
      <c r="H1573">
        <v>101.6</v>
      </c>
      <c r="I1573">
        <v>56</v>
      </c>
      <c r="J1573">
        <v>-58.55</v>
      </c>
      <c r="K1573">
        <v>71</v>
      </c>
      <c r="L1573">
        <v>140.74</v>
      </c>
      <c r="M1573">
        <v>43</v>
      </c>
      <c r="N1573">
        <v>-6.16</v>
      </c>
      <c r="O1573">
        <v>46</v>
      </c>
      <c r="P1573">
        <v>18.98</v>
      </c>
      <c r="Q1573">
        <v>68</v>
      </c>
      <c r="R1573">
        <v>2.75</v>
      </c>
      <c r="S1573">
        <v>46</v>
      </c>
      <c r="T1573">
        <v>16.05</v>
      </c>
      <c r="U1573">
        <v>62</v>
      </c>
      <c r="V1573">
        <v>-12.21</v>
      </c>
      <c r="W1573">
        <v>27</v>
      </c>
      <c r="X1573" t="s">
        <v>102</v>
      </c>
      <c r="Y1573" t="s">
        <v>95</v>
      </c>
      <c r="Z1573">
        <v>0</v>
      </c>
      <c r="AA1573" t="s">
        <v>696</v>
      </c>
      <c r="AB1573" t="s">
        <v>3283</v>
      </c>
      <c r="AC1573">
        <v>0</v>
      </c>
      <c r="AD1573">
        <v>0</v>
      </c>
      <c r="AE1573">
        <v>71</v>
      </c>
      <c r="AF1573">
        <v>-210.79</v>
      </c>
      <c r="AG1573">
        <v>-18.190000000000001</v>
      </c>
      <c r="AH1573">
        <v>-6.75</v>
      </c>
      <c r="AI1573">
        <v>-0.17</v>
      </c>
      <c r="AJ1573">
        <v>0.01</v>
      </c>
      <c r="AK1573">
        <v>43</v>
      </c>
      <c r="AL1573">
        <v>23</v>
      </c>
      <c r="AM1573">
        <v>19</v>
      </c>
      <c r="AN1573">
        <v>-6.43</v>
      </c>
      <c r="AO1573">
        <v>4.8099999999999996</v>
      </c>
      <c r="AP1573">
        <v>4</v>
      </c>
      <c r="AQ1573">
        <v>7</v>
      </c>
      <c r="AR1573">
        <v>6.5</v>
      </c>
      <c r="AS1573">
        <v>19</v>
      </c>
      <c r="AT1573">
        <v>4.0599999999999996</v>
      </c>
      <c r="AU1573">
        <v>37</v>
      </c>
      <c r="AV1573">
        <v>1.31</v>
      </c>
      <c r="AW1573">
        <v>60</v>
      </c>
      <c r="AX1573">
        <v>-0.62</v>
      </c>
      <c r="AY1573">
        <v>59</v>
      </c>
      <c r="AZ1573">
        <v>4.2300000000000004</v>
      </c>
      <c r="BA1573">
        <v>19</v>
      </c>
      <c r="BB1573">
        <v>3.81</v>
      </c>
      <c r="BC1573">
        <v>32</v>
      </c>
      <c r="BD1573">
        <v>0.01</v>
      </c>
      <c r="BE1573">
        <v>0</v>
      </c>
      <c r="BF1573">
        <v>-0.08</v>
      </c>
      <c r="BG1573">
        <v>55</v>
      </c>
      <c r="BH1573">
        <v>-0.26</v>
      </c>
      <c r="BI1573">
        <v>9.32</v>
      </c>
      <c r="BJ1573">
        <v>0</v>
      </c>
      <c r="BK1573">
        <v>0</v>
      </c>
      <c r="BL1573">
        <v>-0.88</v>
      </c>
      <c r="BM1573">
        <v>3.59</v>
      </c>
      <c r="BN1573">
        <v>-1.7</v>
      </c>
      <c r="BO1573">
        <v>-3.11</v>
      </c>
      <c r="BP1573">
        <v>3.98</v>
      </c>
      <c r="BQ1573">
        <v>-2.21</v>
      </c>
      <c r="BR1573">
        <v>-2.87</v>
      </c>
      <c r="BS1573">
        <v>0.01</v>
      </c>
      <c r="BT1573">
        <v>2.77</v>
      </c>
      <c r="BU1573">
        <v>-3.95</v>
      </c>
      <c r="BV1573">
        <v>-4.25</v>
      </c>
      <c r="BW1573">
        <v>-3.22</v>
      </c>
      <c r="BX1573">
        <v>-3.67</v>
      </c>
      <c r="BY1573">
        <v>-1.76</v>
      </c>
      <c r="BZ1573">
        <v>1.02</v>
      </c>
      <c r="CA1573">
        <v>-2.61</v>
      </c>
      <c r="CB1573">
        <v>-3.44</v>
      </c>
      <c r="CC1573">
        <v>-0.2</v>
      </c>
      <c r="CD1573">
        <v>4.1100000000000003</v>
      </c>
      <c r="CE1573">
        <v>-3.08</v>
      </c>
      <c r="CF1573">
        <v>-0.91</v>
      </c>
      <c r="CG1573">
        <v>0</v>
      </c>
      <c r="CH1573">
        <v>-3.15</v>
      </c>
      <c r="CI1573">
        <v>0</v>
      </c>
      <c r="CJ1573">
        <v>7.4</v>
      </c>
      <c r="CK1573">
        <v>70</v>
      </c>
      <c r="CL1573">
        <v>0.56000000000000005</v>
      </c>
      <c r="CM1573">
        <v>66</v>
      </c>
      <c r="CN1573">
        <v>-0.23</v>
      </c>
      <c r="CO1573">
        <v>61</v>
      </c>
      <c r="CP1573">
        <v>2</v>
      </c>
      <c r="CQ1573">
        <v>71</v>
      </c>
      <c r="CR1573">
        <v>0</v>
      </c>
      <c r="CS1573">
        <v>0</v>
      </c>
      <c r="CT1573">
        <v>-7.9</v>
      </c>
      <c r="CU1573">
        <v>62</v>
      </c>
      <c r="CV1573">
        <v>-0.19</v>
      </c>
      <c r="CW1573">
        <v>19</v>
      </c>
      <c r="CX1573" t="s">
        <v>363</v>
      </c>
    </row>
    <row r="1574" spans="1:102" x14ac:dyDescent="0.3">
      <c r="A1574" t="str">
        <f>HYPERLINK("https://webapp.icbf.com/v2/app/bull-search/view/1354716006","FR4227")</f>
        <v>FR4227</v>
      </c>
      <c r="B1574" t="s">
        <v>10282</v>
      </c>
      <c r="C1574" t="s">
        <v>10283</v>
      </c>
      <c r="D1574" s="1">
        <v>42393</v>
      </c>
      <c r="E1574" t="s">
        <v>92</v>
      </c>
      <c r="F1574">
        <v>69</v>
      </c>
      <c r="G1574" t="s">
        <v>435</v>
      </c>
      <c r="H1574">
        <v>101.56</v>
      </c>
      <c r="I1574">
        <v>70</v>
      </c>
      <c r="J1574">
        <v>88.14</v>
      </c>
      <c r="K1574">
        <v>86</v>
      </c>
      <c r="L1574">
        <v>-12.89</v>
      </c>
      <c r="M1574">
        <v>60</v>
      </c>
      <c r="N1574">
        <v>42.22</v>
      </c>
      <c r="O1574">
        <v>79</v>
      </c>
      <c r="P1574">
        <v>-20.46</v>
      </c>
      <c r="Q1574">
        <v>62</v>
      </c>
      <c r="R1574">
        <v>-4.9400000000000004</v>
      </c>
      <c r="S1574">
        <v>60</v>
      </c>
      <c r="T1574">
        <v>3.61</v>
      </c>
      <c r="U1574">
        <v>49</v>
      </c>
      <c r="V1574">
        <v>5.88</v>
      </c>
      <c r="W1574">
        <v>54</v>
      </c>
      <c r="X1574" t="s">
        <v>276</v>
      </c>
      <c r="Y1574" t="s">
        <v>2255</v>
      </c>
      <c r="Z1574" t="s">
        <v>330</v>
      </c>
      <c r="AA1574" t="s">
        <v>6386</v>
      </c>
      <c r="AB1574" t="s">
        <v>10284</v>
      </c>
      <c r="AC1574">
        <v>0</v>
      </c>
      <c r="AD1574">
        <v>0</v>
      </c>
      <c r="AE1574">
        <v>86</v>
      </c>
      <c r="AF1574">
        <v>-101.36</v>
      </c>
      <c r="AG1574">
        <v>21.14</v>
      </c>
      <c r="AH1574">
        <v>5.96</v>
      </c>
      <c r="AI1574">
        <v>0.44</v>
      </c>
      <c r="AJ1574">
        <v>0.17</v>
      </c>
      <c r="AK1574">
        <v>60</v>
      </c>
      <c r="AL1574">
        <v>0</v>
      </c>
      <c r="AM1574">
        <v>0</v>
      </c>
      <c r="AN1574">
        <v>1.32</v>
      </c>
      <c r="AO1574">
        <v>0.3</v>
      </c>
      <c r="AP1574">
        <v>191</v>
      </c>
      <c r="AQ1574">
        <v>0</v>
      </c>
      <c r="AR1574">
        <v>6.53</v>
      </c>
      <c r="AS1574">
        <v>63</v>
      </c>
      <c r="AT1574">
        <v>2.63</v>
      </c>
      <c r="AU1574">
        <v>84</v>
      </c>
      <c r="AV1574">
        <v>-4.42</v>
      </c>
      <c r="AW1574">
        <v>95</v>
      </c>
      <c r="AX1574">
        <v>-0.47</v>
      </c>
      <c r="AY1574">
        <v>77</v>
      </c>
      <c r="AZ1574">
        <v>6.9</v>
      </c>
      <c r="BA1574">
        <v>42</v>
      </c>
      <c r="BB1574">
        <v>5.0199999999999996</v>
      </c>
      <c r="BC1574">
        <v>38</v>
      </c>
      <c r="BD1574">
        <v>0.01</v>
      </c>
      <c r="BE1574">
        <v>0.03</v>
      </c>
      <c r="BF1574">
        <v>0.04</v>
      </c>
      <c r="BG1574">
        <v>70</v>
      </c>
      <c r="BH1574">
        <v>0.12</v>
      </c>
      <c r="BI1574">
        <v>-5.0999999999999996</v>
      </c>
      <c r="BJ1574">
        <v>0</v>
      </c>
      <c r="BK1574">
        <v>0</v>
      </c>
      <c r="BL1574">
        <v>-0.48</v>
      </c>
      <c r="BM1574">
        <v>0.49</v>
      </c>
      <c r="BN1574">
        <v>0.26</v>
      </c>
      <c r="BO1574">
        <v>0</v>
      </c>
      <c r="BP1574">
        <v>1.23</v>
      </c>
      <c r="BQ1574">
        <v>-1.46</v>
      </c>
      <c r="BR1574">
        <v>0.84</v>
      </c>
      <c r="BS1574">
        <v>-0.49</v>
      </c>
      <c r="BT1574">
        <v>-1.35</v>
      </c>
      <c r="BU1574">
        <v>-1.07</v>
      </c>
      <c r="BV1574">
        <v>-0.87</v>
      </c>
      <c r="BW1574">
        <v>-0.66</v>
      </c>
      <c r="BX1574">
        <v>-1.61</v>
      </c>
      <c r="BY1574">
        <v>-0.95</v>
      </c>
      <c r="BZ1574">
        <v>-0.52</v>
      </c>
      <c r="CA1574">
        <v>-0.68</v>
      </c>
      <c r="CB1574">
        <v>-0.61</v>
      </c>
      <c r="CC1574">
        <v>-0.73</v>
      </c>
      <c r="CD1574">
        <v>0.08</v>
      </c>
      <c r="CE1574">
        <v>0.15</v>
      </c>
      <c r="CF1574">
        <v>-0.33</v>
      </c>
      <c r="CG1574">
        <v>0</v>
      </c>
      <c r="CH1574">
        <v>-0.39</v>
      </c>
      <c r="CI1574">
        <v>0</v>
      </c>
      <c r="CJ1574">
        <v>-7.5</v>
      </c>
      <c r="CK1574">
        <v>66</v>
      </c>
      <c r="CL1574">
        <v>-0.92</v>
      </c>
      <c r="CM1574">
        <v>57</v>
      </c>
      <c r="CN1574">
        <v>-0.01</v>
      </c>
      <c r="CO1574">
        <v>56</v>
      </c>
      <c r="CP1574">
        <v>-4.9000000000000004</v>
      </c>
      <c r="CQ1574">
        <v>51</v>
      </c>
      <c r="CR1574">
        <v>0</v>
      </c>
      <c r="CS1574">
        <v>0</v>
      </c>
      <c r="CT1574">
        <v>8.9</v>
      </c>
      <c r="CU1574">
        <v>49</v>
      </c>
      <c r="CV1574">
        <v>0.23</v>
      </c>
      <c r="CW1574">
        <v>38</v>
      </c>
      <c r="CX1574" t="s">
        <v>5446</v>
      </c>
    </row>
    <row r="1575" spans="1:102" x14ac:dyDescent="0.3">
      <c r="A1575" t="str">
        <f>HYPERLINK("https://webapp.icbf.com/v2/app/bull-search/view/750250495","FWK")</f>
        <v>FWK</v>
      </c>
      <c r="B1575" t="s">
        <v>5430</v>
      </c>
      <c r="C1575" t="s">
        <v>5431</v>
      </c>
      <c r="D1575" s="1">
        <v>40232</v>
      </c>
      <c r="E1575" t="s">
        <v>92</v>
      </c>
      <c r="F1575">
        <v>91</v>
      </c>
      <c r="G1575" t="s">
        <v>435</v>
      </c>
      <c r="H1575">
        <v>101.45</v>
      </c>
      <c r="I1575">
        <v>70</v>
      </c>
      <c r="J1575">
        <v>25.48</v>
      </c>
      <c r="K1575">
        <v>88</v>
      </c>
      <c r="L1575">
        <v>61.58</v>
      </c>
      <c r="M1575">
        <v>67</v>
      </c>
      <c r="N1575">
        <v>20.440000000000001</v>
      </c>
      <c r="O1575">
        <v>54</v>
      </c>
      <c r="P1575">
        <v>-12.47</v>
      </c>
      <c r="Q1575">
        <v>59</v>
      </c>
      <c r="R1575">
        <v>7.16</v>
      </c>
      <c r="S1575">
        <v>66</v>
      </c>
      <c r="T1575">
        <v>3.69</v>
      </c>
      <c r="U1575">
        <v>49</v>
      </c>
      <c r="V1575">
        <v>-4.43</v>
      </c>
      <c r="W1575">
        <v>61</v>
      </c>
      <c r="X1575" t="s">
        <v>94</v>
      </c>
      <c r="Y1575" t="s">
        <v>1685</v>
      </c>
      <c r="Z1575" t="s">
        <v>96</v>
      </c>
      <c r="AA1575" t="s">
        <v>1376</v>
      </c>
      <c r="AB1575" t="s">
        <v>5432</v>
      </c>
      <c r="AC1575">
        <v>2</v>
      </c>
      <c r="AD1575">
        <v>2</v>
      </c>
      <c r="AE1575">
        <v>88</v>
      </c>
      <c r="AF1575">
        <v>335.67</v>
      </c>
      <c r="AG1575">
        <v>5.29</v>
      </c>
      <c r="AH1575">
        <v>7.6</v>
      </c>
      <c r="AI1575">
        <v>-0.13</v>
      </c>
      <c r="AJ1575">
        <v>-0.06</v>
      </c>
      <c r="AK1575">
        <v>67</v>
      </c>
      <c r="AL1575">
        <v>2</v>
      </c>
      <c r="AM1575">
        <v>2</v>
      </c>
      <c r="AN1575">
        <v>-3.43</v>
      </c>
      <c r="AO1575">
        <v>1.48</v>
      </c>
      <c r="AP1575">
        <v>1</v>
      </c>
      <c r="AQ1575">
        <v>0</v>
      </c>
      <c r="AR1575">
        <v>5.41</v>
      </c>
      <c r="AS1575">
        <v>54</v>
      </c>
      <c r="AT1575">
        <v>3.02</v>
      </c>
      <c r="AU1575">
        <v>65</v>
      </c>
      <c r="AV1575">
        <v>-2.23</v>
      </c>
      <c r="AW1575">
        <v>53</v>
      </c>
      <c r="AX1575">
        <v>-0.13</v>
      </c>
      <c r="AY1575">
        <v>49</v>
      </c>
      <c r="AZ1575">
        <v>6.92</v>
      </c>
      <c r="BA1575">
        <v>45</v>
      </c>
      <c r="BB1575">
        <v>5.61</v>
      </c>
      <c r="BC1575">
        <v>47</v>
      </c>
      <c r="BD1575">
        <v>-0.01</v>
      </c>
      <c r="BE1575">
        <v>-0.02</v>
      </c>
      <c r="BF1575">
        <v>-0.11</v>
      </c>
      <c r="BG1575">
        <v>75</v>
      </c>
      <c r="BH1575">
        <v>-0.21</v>
      </c>
      <c r="BI1575">
        <v>-10.01</v>
      </c>
      <c r="BJ1575">
        <v>0</v>
      </c>
      <c r="BK1575">
        <v>0</v>
      </c>
      <c r="BL1575">
        <v>-0.36</v>
      </c>
      <c r="BM1575">
        <v>1.19</v>
      </c>
      <c r="BN1575">
        <v>-0.04</v>
      </c>
      <c r="BO1575">
        <v>-0.16</v>
      </c>
      <c r="BP1575">
        <v>1.21</v>
      </c>
      <c r="BQ1575">
        <v>0.16</v>
      </c>
      <c r="BR1575">
        <v>0.37</v>
      </c>
      <c r="BS1575">
        <v>1.54</v>
      </c>
      <c r="BT1575">
        <v>-0.51</v>
      </c>
      <c r="BU1575">
        <v>-0.02</v>
      </c>
      <c r="BV1575">
        <v>0.7</v>
      </c>
      <c r="BW1575">
        <v>0.22</v>
      </c>
      <c r="BX1575">
        <v>-0.96</v>
      </c>
      <c r="BY1575">
        <v>-0.61</v>
      </c>
      <c r="BZ1575">
        <v>-1.1100000000000001</v>
      </c>
      <c r="CA1575">
        <v>0.24</v>
      </c>
      <c r="CB1575">
        <v>0.13</v>
      </c>
      <c r="CC1575">
        <v>0.79</v>
      </c>
      <c r="CD1575">
        <v>0.52</v>
      </c>
      <c r="CE1575">
        <v>-7.0000000000000007E-2</v>
      </c>
      <c r="CF1575">
        <v>0.67</v>
      </c>
      <c r="CG1575">
        <v>0</v>
      </c>
      <c r="CH1575">
        <v>-0.32</v>
      </c>
      <c r="CI1575">
        <v>0</v>
      </c>
      <c r="CJ1575">
        <v>-7</v>
      </c>
      <c r="CK1575">
        <v>61</v>
      </c>
      <c r="CL1575">
        <v>-0.64</v>
      </c>
      <c r="CM1575">
        <v>58</v>
      </c>
      <c r="CN1575">
        <v>-0.36</v>
      </c>
      <c r="CO1575">
        <v>57</v>
      </c>
      <c r="CP1575">
        <v>-2.8</v>
      </c>
      <c r="CQ1575">
        <v>51</v>
      </c>
      <c r="CR1575">
        <v>0</v>
      </c>
      <c r="CS1575">
        <v>0</v>
      </c>
      <c r="CT1575">
        <v>8.8000000000000007</v>
      </c>
      <c r="CU1575">
        <v>49</v>
      </c>
      <c r="CV1575">
        <v>0.03</v>
      </c>
      <c r="CW1575">
        <v>38</v>
      </c>
      <c r="CX1575" t="s">
        <v>4342</v>
      </c>
    </row>
    <row r="1576" spans="1:102" x14ac:dyDescent="0.3">
      <c r="A1576" t="str">
        <f>HYPERLINK("https://webapp.icbf.com/v2/app/bull-search/view/1204294516","S2187")</f>
        <v>S2187</v>
      </c>
      <c r="B1576" t="s">
        <v>14751</v>
      </c>
      <c r="C1576" t="s">
        <v>463</v>
      </c>
      <c r="D1576" s="1">
        <v>41374</v>
      </c>
      <c r="E1576" t="s">
        <v>92</v>
      </c>
      <c r="F1576">
        <v>100</v>
      </c>
      <c r="G1576" t="s">
        <v>109</v>
      </c>
      <c r="H1576">
        <v>101.18</v>
      </c>
      <c r="I1576">
        <v>84</v>
      </c>
      <c r="J1576">
        <v>87.33</v>
      </c>
      <c r="K1576">
        <v>95</v>
      </c>
      <c r="L1576">
        <v>-23.2</v>
      </c>
      <c r="M1576">
        <v>87</v>
      </c>
      <c r="N1576">
        <v>28.21</v>
      </c>
      <c r="O1576">
        <v>83</v>
      </c>
      <c r="P1576">
        <v>-3.87</v>
      </c>
      <c r="Q1576">
        <v>73</v>
      </c>
      <c r="R1576">
        <v>14.28</v>
      </c>
      <c r="S1576">
        <v>77</v>
      </c>
      <c r="T1576">
        <v>-3.71</v>
      </c>
      <c r="U1576">
        <v>47</v>
      </c>
      <c r="V1576">
        <v>2.14</v>
      </c>
      <c r="W1576">
        <v>62</v>
      </c>
      <c r="X1576" t="s">
        <v>251</v>
      </c>
      <c r="Y1576" t="s">
        <v>367</v>
      </c>
      <c r="Z1576" t="s">
        <v>96</v>
      </c>
      <c r="AA1576" t="s">
        <v>1894</v>
      </c>
      <c r="AB1576" t="s">
        <v>14752</v>
      </c>
      <c r="AC1576">
        <v>35</v>
      </c>
      <c r="AD1576">
        <v>18</v>
      </c>
      <c r="AE1576">
        <v>95</v>
      </c>
      <c r="AF1576">
        <v>463.3</v>
      </c>
      <c r="AG1576">
        <v>21.55</v>
      </c>
      <c r="AH1576">
        <v>14.32</v>
      </c>
      <c r="AI1576">
        <v>0.06</v>
      </c>
      <c r="AJ1576">
        <v>-0.02</v>
      </c>
      <c r="AK1576">
        <v>87</v>
      </c>
      <c r="AL1576">
        <v>0</v>
      </c>
      <c r="AM1576">
        <v>0</v>
      </c>
      <c r="AN1576">
        <v>2.0499999999999998</v>
      </c>
      <c r="AO1576">
        <v>0.21</v>
      </c>
      <c r="AP1576">
        <v>84</v>
      </c>
      <c r="AQ1576">
        <v>0</v>
      </c>
      <c r="AR1576">
        <v>6.82</v>
      </c>
      <c r="AS1576">
        <v>81</v>
      </c>
      <c r="AT1576">
        <v>3.08</v>
      </c>
      <c r="AU1576">
        <v>98</v>
      </c>
      <c r="AV1576">
        <v>-3.34</v>
      </c>
      <c r="AW1576">
        <v>91</v>
      </c>
      <c r="AX1576">
        <v>0.56999999999999995</v>
      </c>
      <c r="AY1576">
        <v>79</v>
      </c>
      <c r="AZ1576">
        <v>6.29</v>
      </c>
      <c r="BA1576">
        <v>53</v>
      </c>
      <c r="BB1576">
        <v>4.8899999999999997</v>
      </c>
      <c r="BC1576">
        <v>44</v>
      </c>
      <c r="BD1576">
        <v>-0.11</v>
      </c>
      <c r="BE1576">
        <v>-0.05</v>
      </c>
      <c r="BF1576">
        <v>-0.05</v>
      </c>
      <c r="BG1576">
        <v>93</v>
      </c>
      <c r="BH1576">
        <v>-0.1</v>
      </c>
      <c r="BI1576">
        <v>-18.48</v>
      </c>
      <c r="BJ1576">
        <v>18</v>
      </c>
      <c r="BK1576">
        <v>11</v>
      </c>
      <c r="BL1576">
        <v>2.15</v>
      </c>
      <c r="BM1576">
        <v>0.17</v>
      </c>
      <c r="BN1576">
        <v>1.27</v>
      </c>
      <c r="BO1576">
        <v>1.5</v>
      </c>
      <c r="BP1576">
        <v>1.71</v>
      </c>
      <c r="BQ1576">
        <v>0.65</v>
      </c>
      <c r="BR1576">
        <v>-1.33</v>
      </c>
      <c r="BS1576">
        <v>4.34</v>
      </c>
      <c r="BT1576">
        <v>2.1</v>
      </c>
      <c r="BU1576">
        <v>3.42</v>
      </c>
      <c r="BV1576">
        <v>4.2300000000000004</v>
      </c>
      <c r="BW1576">
        <v>2.27</v>
      </c>
      <c r="BX1576">
        <v>2.4500000000000002</v>
      </c>
      <c r="BY1576">
        <v>2.74</v>
      </c>
      <c r="BZ1576">
        <v>-0.79</v>
      </c>
      <c r="CA1576">
        <v>3.29</v>
      </c>
      <c r="CB1576">
        <v>2.94</v>
      </c>
      <c r="CC1576">
        <v>2.88</v>
      </c>
      <c r="CD1576">
        <v>-0.82</v>
      </c>
      <c r="CE1576">
        <v>1.83</v>
      </c>
      <c r="CF1576">
        <v>2.06</v>
      </c>
      <c r="CG1576">
        <v>0</v>
      </c>
      <c r="CH1576">
        <v>2.59</v>
      </c>
      <c r="CI1576">
        <v>0</v>
      </c>
      <c r="CJ1576">
        <v>0.4</v>
      </c>
      <c r="CK1576">
        <v>77</v>
      </c>
      <c r="CL1576">
        <v>-1.02</v>
      </c>
      <c r="CM1576">
        <v>71</v>
      </c>
      <c r="CN1576">
        <v>-0.51</v>
      </c>
      <c r="CO1576">
        <v>70</v>
      </c>
      <c r="CP1576">
        <v>0.9</v>
      </c>
      <c r="CQ1576">
        <v>52</v>
      </c>
      <c r="CR1576">
        <v>0</v>
      </c>
      <c r="CS1576">
        <v>0</v>
      </c>
      <c r="CT1576">
        <v>18.8</v>
      </c>
      <c r="CU1576">
        <v>47</v>
      </c>
      <c r="CV1576">
        <v>0.28999999999999998</v>
      </c>
      <c r="CW1576">
        <v>42</v>
      </c>
      <c r="CX1576" t="s">
        <v>353</v>
      </c>
    </row>
    <row r="1577" spans="1:102" x14ac:dyDescent="0.3">
      <c r="A1577" t="str">
        <f>HYPERLINK("https://webapp.icbf.com/v2/app/bull-search/view/468339464","RXU")</f>
        <v>RXU</v>
      </c>
      <c r="B1577" t="s">
        <v>4767</v>
      </c>
      <c r="C1577" t="s">
        <v>4768</v>
      </c>
      <c r="D1577" s="1">
        <v>38877</v>
      </c>
      <c r="E1577" t="s">
        <v>92</v>
      </c>
      <c r="F1577">
        <v>91</v>
      </c>
      <c r="G1577" t="s">
        <v>93</v>
      </c>
      <c r="H1577">
        <v>101.13</v>
      </c>
      <c r="I1577">
        <v>88</v>
      </c>
      <c r="J1577">
        <v>21.47</v>
      </c>
      <c r="K1577">
        <v>97</v>
      </c>
      <c r="L1577">
        <v>29.89</v>
      </c>
      <c r="M1577">
        <v>80</v>
      </c>
      <c r="N1577">
        <v>38.78</v>
      </c>
      <c r="O1577">
        <v>87</v>
      </c>
      <c r="P1577">
        <v>-3.04</v>
      </c>
      <c r="Q1577">
        <v>92</v>
      </c>
      <c r="R1577">
        <v>3.93</v>
      </c>
      <c r="S1577">
        <v>84</v>
      </c>
      <c r="T1577">
        <v>1.39</v>
      </c>
      <c r="U1577">
        <v>90</v>
      </c>
      <c r="V1577">
        <v>8.7100000000000009</v>
      </c>
      <c r="W1577">
        <v>85</v>
      </c>
      <c r="X1577" t="s">
        <v>94</v>
      </c>
      <c r="Y1577" t="s">
        <v>1405</v>
      </c>
      <c r="Z1577" t="s">
        <v>96</v>
      </c>
      <c r="AA1577" t="s">
        <v>1165</v>
      </c>
      <c r="AB1577" t="s">
        <v>4769</v>
      </c>
      <c r="AC1577">
        <v>98</v>
      </c>
      <c r="AD1577">
        <v>73</v>
      </c>
      <c r="AE1577">
        <v>97</v>
      </c>
      <c r="AF1577">
        <v>-123.86</v>
      </c>
      <c r="AG1577">
        <v>6.15</v>
      </c>
      <c r="AH1577">
        <v>-0.42</v>
      </c>
      <c r="AI1577">
        <v>0.2</v>
      </c>
      <c r="AJ1577">
        <v>7.0000000000000007E-2</v>
      </c>
      <c r="AK1577">
        <v>80</v>
      </c>
      <c r="AL1577">
        <v>105</v>
      </c>
      <c r="AM1577">
        <v>72</v>
      </c>
      <c r="AN1577">
        <v>-1.9</v>
      </c>
      <c r="AO1577">
        <v>0.48</v>
      </c>
      <c r="AP1577">
        <v>249</v>
      </c>
      <c r="AQ1577">
        <v>3</v>
      </c>
      <c r="AR1577">
        <v>5.44</v>
      </c>
      <c r="AS1577">
        <v>72</v>
      </c>
      <c r="AT1577">
        <v>2.25</v>
      </c>
      <c r="AU1577">
        <v>89</v>
      </c>
      <c r="AV1577">
        <v>-2.5299999999999998</v>
      </c>
      <c r="AW1577">
        <v>97</v>
      </c>
      <c r="AX1577">
        <v>-0.84</v>
      </c>
      <c r="AY1577">
        <v>84</v>
      </c>
      <c r="AZ1577">
        <v>5.56</v>
      </c>
      <c r="BA1577">
        <v>69</v>
      </c>
      <c r="BB1577">
        <v>4.2699999999999996</v>
      </c>
      <c r="BC1577">
        <v>71</v>
      </c>
      <c r="BD1577">
        <v>0.01</v>
      </c>
      <c r="BE1577">
        <v>-0.03</v>
      </c>
      <c r="BF1577">
        <v>-0.05</v>
      </c>
      <c r="BG1577">
        <v>89</v>
      </c>
      <c r="BH1577">
        <v>0.15</v>
      </c>
      <c r="BI1577">
        <v>-10.74</v>
      </c>
      <c r="BJ1577">
        <v>7</v>
      </c>
      <c r="BK1577">
        <v>6</v>
      </c>
      <c r="BL1577">
        <v>0.09</v>
      </c>
      <c r="BM1577">
        <v>1.87</v>
      </c>
      <c r="BN1577">
        <v>0.31</v>
      </c>
      <c r="BO1577">
        <v>-1.04</v>
      </c>
      <c r="BP1577">
        <v>2.31</v>
      </c>
      <c r="BQ1577">
        <v>0.19</v>
      </c>
      <c r="BR1577">
        <v>0.27</v>
      </c>
      <c r="BS1577">
        <v>-3.07</v>
      </c>
      <c r="BT1577">
        <v>-1.26</v>
      </c>
      <c r="BU1577">
        <v>-0.8</v>
      </c>
      <c r="BV1577">
        <v>-0.97</v>
      </c>
      <c r="BW1577">
        <v>-0.53</v>
      </c>
      <c r="BX1577">
        <v>-0.35</v>
      </c>
      <c r="BY1577">
        <v>-1.41</v>
      </c>
      <c r="BZ1577">
        <v>-2.06</v>
      </c>
      <c r="CA1577">
        <v>-0.6</v>
      </c>
      <c r="CB1577">
        <v>0.04</v>
      </c>
      <c r="CC1577">
        <v>-1.66</v>
      </c>
      <c r="CD1577">
        <v>1.53</v>
      </c>
      <c r="CE1577">
        <v>-0.91</v>
      </c>
      <c r="CF1577">
        <v>0.03</v>
      </c>
      <c r="CG1577">
        <v>0</v>
      </c>
      <c r="CH1577">
        <v>0.5</v>
      </c>
      <c r="CI1577">
        <v>0</v>
      </c>
      <c r="CJ1577">
        <v>0</v>
      </c>
      <c r="CK1577">
        <v>93</v>
      </c>
      <c r="CL1577">
        <v>-0.51</v>
      </c>
      <c r="CM1577">
        <v>92</v>
      </c>
      <c r="CN1577">
        <v>-0.19</v>
      </c>
      <c r="CO1577">
        <v>91</v>
      </c>
      <c r="CP1577">
        <v>0</v>
      </c>
      <c r="CQ1577">
        <v>91</v>
      </c>
      <c r="CR1577">
        <v>0</v>
      </c>
      <c r="CS1577">
        <v>0</v>
      </c>
      <c r="CT1577">
        <v>11.9</v>
      </c>
      <c r="CU1577">
        <v>90</v>
      </c>
      <c r="CV1577">
        <v>0.13</v>
      </c>
      <c r="CW1577">
        <v>46</v>
      </c>
      <c r="CX1577" t="s">
        <v>1252</v>
      </c>
    </row>
    <row r="1578" spans="1:102" x14ac:dyDescent="0.3">
      <c r="A1578" t="str">
        <f>HYPERLINK("https://webapp.icbf.com/v2/app/bull-search/view/1303297688","FR2210")</f>
        <v>FR2210</v>
      </c>
      <c r="B1578" t="s">
        <v>13660</v>
      </c>
      <c r="C1578" t="s">
        <v>13661</v>
      </c>
      <c r="D1578" s="1">
        <v>41830</v>
      </c>
      <c r="E1578" t="s">
        <v>92</v>
      </c>
      <c r="F1578">
        <v>100</v>
      </c>
      <c r="G1578" t="s">
        <v>109</v>
      </c>
      <c r="H1578">
        <v>101.1</v>
      </c>
      <c r="I1578">
        <v>78</v>
      </c>
      <c r="J1578">
        <v>72.08</v>
      </c>
      <c r="K1578">
        <v>94</v>
      </c>
      <c r="L1578">
        <v>15.08</v>
      </c>
      <c r="M1578">
        <v>73</v>
      </c>
      <c r="N1578">
        <v>20.79</v>
      </c>
      <c r="O1578">
        <v>77</v>
      </c>
      <c r="P1578">
        <v>-9.0299999999999994</v>
      </c>
      <c r="Q1578">
        <v>81</v>
      </c>
      <c r="R1578">
        <v>10.28</v>
      </c>
      <c r="S1578">
        <v>71</v>
      </c>
      <c r="T1578">
        <v>-15.63</v>
      </c>
      <c r="U1578">
        <v>50</v>
      </c>
      <c r="V1578">
        <v>7.53</v>
      </c>
      <c r="W1578">
        <v>53</v>
      </c>
      <c r="X1578" t="s">
        <v>428</v>
      </c>
      <c r="Y1578" t="s">
        <v>405</v>
      </c>
      <c r="Z1578" t="s">
        <v>96</v>
      </c>
      <c r="AA1578" t="s">
        <v>1999</v>
      </c>
      <c r="AB1578" t="s">
        <v>13662</v>
      </c>
      <c r="AC1578">
        <v>50</v>
      </c>
      <c r="AD1578">
        <v>10</v>
      </c>
      <c r="AE1578">
        <v>94</v>
      </c>
      <c r="AF1578">
        <v>321.57</v>
      </c>
      <c r="AG1578">
        <v>16.88</v>
      </c>
      <c r="AH1578">
        <v>11.21</v>
      </c>
      <c r="AI1578">
        <v>7.0000000000000007E-2</v>
      </c>
      <c r="AJ1578">
        <v>0.01</v>
      </c>
      <c r="AK1578">
        <v>73</v>
      </c>
      <c r="AL1578">
        <v>0</v>
      </c>
      <c r="AM1578">
        <v>0</v>
      </c>
      <c r="AN1578">
        <v>1.28</v>
      </c>
      <c r="AO1578">
        <v>2.5099999999999998</v>
      </c>
      <c r="AP1578">
        <v>151</v>
      </c>
      <c r="AQ1578">
        <v>2</v>
      </c>
      <c r="AR1578">
        <v>6.71</v>
      </c>
      <c r="AS1578">
        <v>73</v>
      </c>
      <c r="AT1578">
        <v>2.76</v>
      </c>
      <c r="AU1578">
        <v>90</v>
      </c>
      <c r="AV1578">
        <v>-1.74</v>
      </c>
      <c r="AW1578">
        <v>86</v>
      </c>
      <c r="AX1578">
        <v>0.01</v>
      </c>
      <c r="AY1578">
        <v>77</v>
      </c>
      <c r="AZ1578">
        <v>5.45</v>
      </c>
      <c r="BA1578">
        <v>52</v>
      </c>
      <c r="BB1578">
        <v>4.9400000000000004</v>
      </c>
      <c r="BC1578">
        <v>35</v>
      </c>
      <c r="BD1578">
        <v>-0.05</v>
      </c>
      <c r="BE1578">
        <v>-7.0000000000000007E-2</v>
      </c>
      <c r="BF1578">
        <v>-0.02</v>
      </c>
      <c r="BG1578">
        <v>86</v>
      </c>
      <c r="BH1578">
        <v>-0.08</v>
      </c>
      <c r="BI1578">
        <v>-33.54</v>
      </c>
      <c r="BJ1578">
        <v>8</v>
      </c>
      <c r="BK1578">
        <v>3</v>
      </c>
      <c r="BL1578">
        <v>1.77</v>
      </c>
      <c r="BM1578">
        <v>-0.74</v>
      </c>
      <c r="BN1578">
        <v>1.25</v>
      </c>
      <c r="BO1578">
        <v>1.61</v>
      </c>
      <c r="BP1578">
        <v>0.71</v>
      </c>
      <c r="BQ1578">
        <v>0.91</v>
      </c>
      <c r="BR1578">
        <v>-2.48</v>
      </c>
      <c r="BS1578">
        <v>3.47</v>
      </c>
      <c r="BT1578">
        <v>2.86</v>
      </c>
      <c r="BU1578">
        <v>3.2</v>
      </c>
      <c r="BV1578">
        <v>3.47</v>
      </c>
      <c r="BW1578">
        <v>2.41</v>
      </c>
      <c r="BX1578">
        <v>3.43</v>
      </c>
      <c r="BY1578">
        <v>2.19</v>
      </c>
      <c r="BZ1578">
        <v>-0.59</v>
      </c>
      <c r="CA1578">
        <v>3.57</v>
      </c>
      <c r="CB1578">
        <v>3.09</v>
      </c>
      <c r="CC1578">
        <v>3.45</v>
      </c>
      <c r="CD1578">
        <v>-1.17</v>
      </c>
      <c r="CE1578">
        <v>1.72</v>
      </c>
      <c r="CF1578">
        <v>2.33</v>
      </c>
      <c r="CG1578">
        <v>0</v>
      </c>
      <c r="CH1578">
        <v>2.64</v>
      </c>
      <c r="CI1578">
        <v>0</v>
      </c>
      <c r="CJ1578">
        <v>-3.8</v>
      </c>
      <c r="CK1578">
        <v>85</v>
      </c>
      <c r="CL1578">
        <v>-1.45</v>
      </c>
      <c r="CM1578">
        <v>82</v>
      </c>
      <c r="CN1578">
        <v>-0.88</v>
      </c>
      <c r="CO1578">
        <v>81</v>
      </c>
      <c r="CP1578">
        <v>5.8</v>
      </c>
      <c r="CQ1578">
        <v>54</v>
      </c>
      <c r="CR1578">
        <v>0</v>
      </c>
      <c r="CS1578">
        <v>0</v>
      </c>
      <c r="CT1578">
        <v>34.9</v>
      </c>
      <c r="CU1578">
        <v>50</v>
      </c>
      <c r="CV1578">
        <v>0.27</v>
      </c>
      <c r="CW1578">
        <v>42</v>
      </c>
      <c r="CX1578" t="s">
        <v>2000</v>
      </c>
    </row>
    <row r="1579" spans="1:102" x14ac:dyDescent="0.3">
      <c r="A1579" t="str">
        <f>HYPERLINK("https://webapp.icbf.com/v2/app/bull-search/view/1276122913","FR4733")</f>
        <v>FR4733</v>
      </c>
      <c r="B1579" t="s">
        <v>14245</v>
      </c>
      <c r="C1579" t="s">
        <v>14246</v>
      </c>
      <c r="D1579" s="1">
        <v>41568</v>
      </c>
      <c r="E1579" t="s">
        <v>92</v>
      </c>
      <c r="F1579">
        <v>100</v>
      </c>
      <c r="G1579" t="s">
        <v>109</v>
      </c>
      <c r="H1579">
        <v>100.96</v>
      </c>
      <c r="I1579">
        <v>75</v>
      </c>
      <c r="J1579">
        <v>101.23</v>
      </c>
      <c r="K1579">
        <v>91</v>
      </c>
      <c r="L1579">
        <v>-32.18</v>
      </c>
      <c r="M1579">
        <v>80</v>
      </c>
      <c r="N1579">
        <v>24.38</v>
      </c>
      <c r="O1579">
        <v>75</v>
      </c>
      <c r="P1579">
        <v>3.84</v>
      </c>
      <c r="Q1579">
        <v>39</v>
      </c>
      <c r="R1579">
        <v>11.61</v>
      </c>
      <c r="S1579">
        <v>69</v>
      </c>
      <c r="T1579">
        <v>-7.63</v>
      </c>
      <c r="U1579">
        <v>37</v>
      </c>
      <c r="V1579">
        <v>-0.28999999999999998</v>
      </c>
      <c r="W1579">
        <v>54</v>
      </c>
      <c r="X1579" t="s">
        <v>102</v>
      </c>
      <c r="Y1579" t="s">
        <v>2389</v>
      </c>
      <c r="Z1579" t="s">
        <v>96</v>
      </c>
      <c r="AA1579" t="s">
        <v>3137</v>
      </c>
      <c r="AB1579" t="s">
        <v>14247</v>
      </c>
      <c r="AC1579">
        <v>0</v>
      </c>
      <c r="AD1579">
        <v>0</v>
      </c>
      <c r="AE1579">
        <v>91</v>
      </c>
      <c r="AF1579">
        <v>626.65</v>
      </c>
      <c r="AG1579">
        <v>16.87</v>
      </c>
      <c r="AH1579">
        <v>20.84</v>
      </c>
      <c r="AI1579">
        <v>-0.12</v>
      </c>
      <c r="AJ1579">
        <v>0</v>
      </c>
      <c r="AK1579">
        <v>80</v>
      </c>
      <c r="AL1579">
        <v>0</v>
      </c>
      <c r="AM1579">
        <v>0</v>
      </c>
      <c r="AN1579">
        <v>3.02</v>
      </c>
      <c r="AO1579">
        <v>0.47</v>
      </c>
      <c r="AP1579">
        <v>75</v>
      </c>
      <c r="AQ1579">
        <v>0</v>
      </c>
      <c r="AR1579">
        <v>7.48</v>
      </c>
      <c r="AS1579">
        <v>57</v>
      </c>
      <c r="AT1579">
        <v>2.65</v>
      </c>
      <c r="AU1579">
        <v>92</v>
      </c>
      <c r="AV1579">
        <v>-2.63</v>
      </c>
      <c r="AW1579">
        <v>88</v>
      </c>
      <c r="AX1579">
        <v>0.45</v>
      </c>
      <c r="AY1579">
        <v>61</v>
      </c>
      <c r="AZ1579">
        <v>5.87</v>
      </c>
      <c r="BA1579">
        <v>35</v>
      </c>
      <c r="BB1579">
        <v>5.0999999999999996</v>
      </c>
      <c r="BC1579">
        <v>35</v>
      </c>
      <c r="BD1579">
        <v>-0.03</v>
      </c>
      <c r="BE1579">
        <v>-0.03</v>
      </c>
      <c r="BF1579">
        <v>-0.16</v>
      </c>
      <c r="BG1579">
        <v>88</v>
      </c>
      <c r="BH1579">
        <v>0.02</v>
      </c>
      <c r="BI1579">
        <v>3.25</v>
      </c>
      <c r="BJ1579">
        <v>0</v>
      </c>
      <c r="BK1579">
        <v>0</v>
      </c>
      <c r="BL1579">
        <v>1.58</v>
      </c>
      <c r="BM1579">
        <v>1.1399999999999999</v>
      </c>
      <c r="BN1579">
        <v>1.1299999999999999</v>
      </c>
      <c r="BO1579">
        <v>1.1000000000000001</v>
      </c>
      <c r="BP1579">
        <v>1.5</v>
      </c>
      <c r="BQ1579">
        <v>2.12</v>
      </c>
      <c r="BR1579">
        <v>-0.22</v>
      </c>
      <c r="BS1579">
        <v>1.5</v>
      </c>
      <c r="BT1579">
        <v>0.61</v>
      </c>
      <c r="BU1579">
        <v>1.29</v>
      </c>
      <c r="BV1579">
        <v>2.21</v>
      </c>
      <c r="BW1579">
        <v>2.79</v>
      </c>
      <c r="BX1579">
        <v>0.75</v>
      </c>
      <c r="BY1579">
        <v>2.37</v>
      </c>
      <c r="BZ1579">
        <v>-1.81</v>
      </c>
      <c r="CA1579">
        <v>2.12</v>
      </c>
      <c r="CB1579">
        <v>1.83</v>
      </c>
      <c r="CC1579">
        <v>1.98</v>
      </c>
      <c r="CD1579">
        <v>-0.44</v>
      </c>
      <c r="CE1579">
        <v>1.1399999999999999</v>
      </c>
      <c r="CF1579">
        <v>1.66</v>
      </c>
      <c r="CG1579">
        <v>0</v>
      </c>
      <c r="CH1579">
        <v>2.56</v>
      </c>
      <c r="CI1579">
        <v>0</v>
      </c>
      <c r="CJ1579">
        <v>5.8</v>
      </c>
      <c r="CK1579">
        <v>39</v>
      </c>
      <c r="CL1579">
        <v>-1.44</v>
      </c>
      <c r="CM1579">
        <v>39</v>
      </c>
      <c r="CN1579">
        <v>-0.83</v>
      </c>
      <c r="CO1579">
        <v>39</v>
      </c>
      <c r="CP1579">
        <v>6.5</v>
      </c>
      <c r="CQ1579">
        <v>38</v>
      </c>
      <c r="CR1579">
        <v>0</v>
      </c>
      <c r="CS1579">
        <v>0</v>
      </c>
      <c r="CT1579">
        <v>24.1</v>
      </c>
      <c r="CU1579">
        <v>37</v>
      </c>
      <c r="CV1579">
        <v>0.22</v>
      </c>
      <c r="CW1579">
        <v>33</v>
      </c>
      <c r="CX1579" t="s">
        <v>2187</v>
      </c>
    </row>
    <row r="1580" spans="1:102" x14ac:dyDescent="0.3">
      <c r="A1580" t="str">
        <f>HYPERLINK("https://webapp.icbf.com/v2/app/bull-search/view/1137070970","FR2012")</f>
        <v>FR2012</v>
      </c>
      <c r="B1580" t="s">
        <v>13511</v>
      </c>
      <c r="C1580" t="s">
        <v>13512</v>
      </c>
      <c r="D1580" s="1">
        <v>41672</v>
      </c>
      <c r="E1580" t="s">
        <v>92</v>
      </c>
      <c r="F1580">
        <v>69</v>
      </c>
      <c r="G1580" t="s">
        <v>93</v>
      </c>
      <c r="H1580">
        <v>100.84</v>
      </c>
      <c r="I1580">
        <v>92</v>
      </c>
      <c r="J1580">
        <v>15.09</v>
      </c>
      <c r="K1580">
        <v>99</v>
      </c>
      <c r="L1580">
        <v>47.15</v>
      </c>
      <c r="M1580">
        <v>85</v>
      </c>
      <c r="N1580">
        <v>29.85</v>
      </c>
      <c r="O1580">
        <v>94</v>
      </c>
      <c r="P1580">
        <v>-13.65</v>
      </c>
      <c r="Q1580">
        <v>98</v>
      </c>
      <c r="R1580">
        <v>-6.06</v>
      </c>
      <c r="S1580">
        <v>85</v>
      </c>
      <c r="T1580">
        <v>17.079999999999998</v>
      </c>
      <c r="U1580">
        <v>88</v>
      </c>
      <c r="V1580">
        <v>11.38</v>
      </c>
      <c r="W1580">
        <v>78</v>
      </c>
      <c r="X1580" t="s">
        <v>94</v>
      </c>
      <c r="Y1580" t="s">
        <v>416</v>
      </c>
      <c r="Z1580" t="s">
        <v>96</v>
      </c>
      <c r="AA1580" t="s">
        <v>9180</v>
      </c>
      <c r="AB1580" t="s">
        <v>13513</v>
      </c>
      <c r="AC1580">
        <v>674</v>
      </c>
      <c r="AD1580">
        <v>261</v>
      </c>
      <c r="AE1580">
        <v>99</v>
      </c>
      <c r="AF1580">
        <v>117.11</v>
      </c>
      <c r="AG1580">
        <v>-1.67</v>
      </c>
      <c r="AH1580">
        <v>4.95</v>
      </c>
      <c r="AI1580">
        <v>-0.11</v>
      </c>
      <c r="AJ1580">
        <v>0.02</v>
      </c>
      <c r="AK1580">
        <v>85</v>
      </c>
      <c r="AL1580">
        <v>533</v>
      </c>
      <c r="AM1580">
        <v>226</v>
      </c>
      <c r="AN1580">
        <v>-2.61</v>
      </c>
      <c r="AO1580">
        <v>1.1499999999999999</v>
      </c>
      <c r="AP1580">
        <v>1728</v>
      </c>
      <c r="AQ1580">
        <v>12</v>
      </c>
      <c r="AR1580">
        <v>6.35</v>
      </c>
      <c r="AS1580">
        <v>94</v>
      </c>
      <c r="AT1580">
        <v>2.59</v>
      </c>
      <c r="AU1580">
        <v>97</v>
      </c>
      <c r="AV1580">
        <v>-2.73</v>
      </c>
      <c r="AW1580">
        <v>99</v>
      </c>
      <c r="AX1580">
        <v>-0.36</v>
      </c>
      <c r="AY1580">
        <v>96</v>
      </c>
      <c r="AZ1580">
        <v>6.8</v>
      </c>
      <c r="BA1580">
        <v>90</v>
      </c>
      <c r="BB1580">
        <v>4.9400000000000004</v>
      </c>
      <c r="BC1580">
        <v>75</v>
      </c>
      <c r="BD1580">
        <v>-0.04</v>
      </c>
      <c r="BE1580">
        <v>0.04</v>
      </c>
      <c r="BF1580">
        <v>0.13</v>
      </c>
      <c r="BG1580">
        <v>96</v>
      </c>
      <c r="BH1580">
        <v>-0.01</v>
      </c>
      <c r="BI1580">
        <v>-37.86</v>
      </c>
      <c r="BJ1580">
        <v>14</v>
      </c>
      <c r="BK1580">
        <v>8</v>
      </c>
      <c r="BL1580">
        <v>-1.5</v>
      </c>
      <c r="BM1580">
        <v>-0.57999999999999996</v>
      </c>
      <c r="BN1580">
        <v>-1.8</v>
      </c>
      <c r="BO1580">
        <v>-1.2</v>
      </c>
      <c r="BP1580">
        <v>0.13</v>
      </c>
      <c r="BQ1580">
        <v>-0.33</v>
      </c>
      <c r="BR1580">
        <v>-7.0000000000000007E-2</v>
      </c>
      <c r="BS1580">
        <v>-1.28</v>
      </c>
      <c r="BT1580">
        <v>-0.68</v>
      </c>
      <c r="BU1580">
        <v>0.45</v>
      </c>
      <c r="BV1580">
        <v>-0.71</v>
      </c>
      <c r="BW1580">
        <v>-0.32</v>
      </c>
      <c r="BX1580">
        <v>1.18</v>
      </c>
      <c r="BY1580">
        <v>-1.54</v>
      </c>
      <c r="BZ1580">
        <v>-2.79</v>
      </c>
      <c r="CA1580">
        <v>-1.23</v>
      </c>
      <c r="CB1580">
        <v>-0.91</v>
      </c>
      <c r="CC1580">
        <v>-1.21</v>
      </c>
      <c r="CD1580">
        <v>0.11</v>
      </c>
      <c r="CE1580">
        <v>-1.92</v>
      </c>
      <c r="CF1580">
        <v>-2.14</v>
      </c>
      <c r="CG1580">
        <v>0</v>
      </c>
      <c r="CH1580">
        <v>-1.05</v>
      </c>
      <c r="CI1580">
        <v>0</v>
      </c>
      <c r="CJ1580">
        <v>-7.4</v>
      </c>
      <c r="CK1580">
        <v>99</v>
      </c>
      <c r="CL1580">
        <v>-0.48</v>
      </c>
      <c r="CM1580">
        <v>98</v>
      </c>
      <c r="CN1580">
        <v>-0.22</v>
      </c>
      <c r="CO1580">
        <v>98</v>
      </c>
      <c r="CP1580">
        <v>-7.1</v>
      </c>
      <c r="CQ1580">
        <v>89</v>
      </c>
      <c r="CR1580">
        <v>0</v>
      </c>
      <c r="CS1580">
        <v>0</v>
      </c>
      <c r="CT1580">
        <v>-9.3000000000000007</v>
      </c>
      <c r="CU1580">
        <v>88</v>
      </c>
      <c r="CV1580">
        <v>-0.03</v>
      </c>
      <c r="CW1580">
        <v>47</v>
      </c>
      <c r="CX1580" t="s">
        <v>1229</v>
      </c>
    </row>
    <row r="1581" spans="1:102" x14ac:dyDescent="0.3">
      <c r="A1581" t="str">
        <f>HYPERLINK("https://webapp.icbf.com/v2/app/bull-search/view/1100047709","S1595")</f>
        <v>S1595</v>
      </c>
      <c r="B1581" t="s">
        <v>5744</v>
      </c>
      <c r="C1581" t="s">
        <v>5745</v>
      </c>
      <c r="D1581" s="1">
        <v>40890</v>
      </c>
      <c r="E1581" t="s">
        <v>92</v>
      </c>
      <c r="F1581">
        <v>100</v>
      </c>
      <c r="G1581" t="s">
        <v>109</v>
      </c>
      <c r="H1581">
        <v>100.76</v>
      </c>
      <c r="I1581">
        <v>76</v>
      </c>
      <c r="J1581">
        <v>83.11</v>
      </c>
      <c r="K1581">
        <v>92</v>
      </c>
      <c r="L1581">
        <v>-19.71</v>
      </c>
      <c r="M1581">
        <v>83</v>
      </c>
      <c r="N1581">
        <v>32.549999999999997</v>
      </c>
      <c r="O1581">
        <v>58</v>
      </c>
      <c r="P1581">
        <v>-1.92</v>
      </c>
      <c r="Q1581">
        <v>46</v>
      </c>
      <c r="R1581">
        <v>6.19</v>
      </c>
      <c r="S1581">
        <v>71</v>
      </c>
      <c r="T1581">
        <v>-4.08</v>
      </c>
      <c r="U1581">
        <v>47</v>
      </c>
      <c r="V1581">
        <v>4.62</v>
      </c>
      <c r="W1581">
        <v>54</v>
      </c>
      <c r="X1581" t="s">
        <v>94</v>
      </c>
      <c r="Y1581" t="s">
        <v>362</v>
      </c>
      <c r="Z1581" t="s">
        <v>96</v>
      </c>
      <c r="AA1581" t="s">
        <v>2269</v>
      </c>
      <c r="AB1581" t="s">
        <v>5746</v>
      </c>
      <c r="AC1581">
        <v>0</v>
      </c>
      <c r="AD1581">
        <v>0</v>
      </c>
      <c r="AE1581">
        <v>92</v>
      </c>
      <c r="AF1581">
        <v>615.02</v>
      </c>
      <c r="AG1581">
        <v>21</v>
      </c>
      <c r="AH1581">
        <v>16.12</v>
      </c>
      <c r="AI1581">
        <v>-0.05</v>
      </c>
      <c r="AJ1581">
        <v>-7.0000000000000007E-2</v>
      </c>
      <c r="AK1581">
        <v>83</v>
      </c>
      <c r="AL1581">
        <v>0</v>
      </c>
      <c r="AM1581">
        <v>0</v>
      </c>
      <c r="AN1581">
        <v>3.52</v>
      </c>
      <c r="AO1581">
        <v>1.98</v>
      </c>
      <c r="AP1581">
        <v>6</v>
      </c>
      <c r="AQ1581">
        <v>0</v>
      </c>
      <c r="AR1581">
        <v>6.37</v>
      </c>
      <c r="AS1581">
        <v>54</v>
      </c>
      <c r="AT1581">
        <v>2.72</v>
      </c>
      <c r="AU1581">
        <v>90</v>
      </c>
      <c r="AV1581">
        <v>-2.71</v>
      </c>
      <c r="AW1581">
        <v>49</v>
      </c>
      <c r="AX1581">
        <v>0.3</v>
      </c>
      <c r="AY1581">
        <v>48</v>
      </c>
      <c r="AZ1581">
        <v>4.82</v>
      </c>
      <c r="BA1581">
        <v>39</v>
      </c>
      <c r="BB1581">
        <v>4.3099999999999996</v>
      </c>
      <c r="BC1581">
        <v>38</v>
      </c>
      <c r="BD1581">
        <v>-0.02</v>
      </c>
      <c r="BE1581">
        <v>-0.01</v>
      </c>
      <c r="BF1581">
        <v>-0.09</v>
      </c>
      <c r="BG1581">
        <v>90</v>
      </c>
      <c r="BH1581">
        <v>0.05</v>
      </c>
      <c r="BI1581">
        <v>-9.1199999999999992</v>
      </c>
      <c r="BJ1581">
        <v>0</v>
      </c>
      <c r="BK1581">
        <v>0</v>
      </c>
      <c r="BL1581">
        <v>2.68</v>
      </c>
      <c r="BM1581">
        <v>1.07</v>
      </c>
      <c r="BN1581">
        <v>1.24</v>
      </c>
      <c r="BO1581">
        <v>1.56</v>
      </c>
      <c r="BP1581">
        <v>0.55000000000000004</v>
      </c>
      <c r="BQ1581">
        <v>3.2</v>
      </c>
      <c r="BR1581">
        <v>-0.78</v>
      </c>
      <c r="BS1581">
        <v>3.01</v>
      </c>
      <c r="BT1581">
        <v>1.03</v>
      </c>
      <c r="BU1581">
        <v>3.01</v>
      </c>
      <c r="BV1581">
        <v>2.98</v>
      </c>
      <c r="BW1581">
        <v>2.29</v>
      </c>
      <c r="BX1581">
        <v>3.6</v>
      </c>
      <c r="BY1581">
        <v>3.28</v>
      </c>
      <c r="BZ1581">
        <v>-3.68</v>
      </c>
      <c r="CA1581">
        <v>3.66</v>
      </c>
      <c r="CB1581">
        <v>3.15</v>
      </c>
      <c r="CC1581">
        <v>3.11</v>
      </c>
      <c r="CD1581">
        <v>-0.25</v>
      </c>
      <c r="CE1581">
        <v>0.87</v>
      </c>
      <c r="CF1581">
        <v>1.58</v>
      </c>
      <c r="CG1581">
        <v>0</v>
      </c>
      <c r="CH1581">
        <v>3.34</v>
      </c>
      <c r="CI1581">
        <v>0</v>
      </c>
      <c r="CJ1581">
        <v>2.2000000000000002</v>
      </c>
      <c r="CK1581">
        <v>46</v>
      </c>
      <c r="CL1581">
        <v>-1.32</v>
      </c>
      <c r="CM1581">
        <v>45</v>
      </c>
      <c r="CN1581">
        <v>-0.68</v>
      </c>
      <c r="CO1581">
        <v>44</v>
      </c>
      <c r="CP1581">
        <v>4.7</v>
      </c>
      <c r="CQ1581">
        <v>46</v>
      </c>
      <c r="CR1581">
        <v>0</v>
      </c>
      <c r="CS1581">
        <v>0</v>
      </c>
      <c r="CT1581">
        <v>19.3</v>
      </c>
      <c r="CU1581">
        <v>47</v>
      </c>
      <c r="CV1581">
        <v>0.22</v>
      </c>
      <c r="CW1581">
        <v>34</v>
      </c>
      <c r="CX1581" t="s">
        <v>5747</v>
      </c>
    </row>
    <row r="1582" spans="1:102" x14ac:dyDescent="0.3">
      <c r="A1582" t="str">
        <f>HYPERLINK("https://webapp.icbf.com/v2/app/bull-search/view/1244267498","FR2276")</f>
        <v>FR2276</v>
      </c>
      <c r="B1582" t="s">
        <v>9350</v>
      </c>
      <c r="C1582" t="s">
        <v>9351</v>
      </c>
      <c r="D1582" s="1">
        <v>42024</v>
      </c>
      <c r="E1582" t="s">
        <v>108</v>
      </c>
      <c r="F1582">
        <v>3</v>
      </c>
      <c r="G1582" t="s">
        <v>93</v>
      </c>
      <c r="H1582">
        <v>100.74</v>
      </c>
      <c r="I1582">
        <v>83</v>
      </c>
      <c r="J1582">
        <v>46.66</v>
      </c>
      <c r="K1582">
        <v>97</v>
      </c>
      <c r="L1582">
        <v>40.25</v>
      </c>
      <c r="M1582">
        <v>73</v>
      </c>
      <c r="N1582">
        <v>29.1</v>
      </c>
      <c r="O1582">
        <v>88</v>
      </c>
      <c r="P1582">
        <v>-10.76</v>
      </c>
      <c r="Q1582">
        <v>94</v>
      </c>
      <c r="R1582">
        <v>-7.41</v>
      </c>
      <c r="S1582">
        <v>76</v>
      </c>
      <c r="T1582">
        <v>4.95</v>
      </c>
      <c r="U1582">
        <v>58</v>
      </c>
      <c r="V1582">
        <v>-2.0499999999999998</v>
      </c>
      <c r="W1582">
        <v>72</v>
      </c>
      <c r="X1582" t="s">
        <v>102</v>
      </c>
      <c r="Y1582" t="s">
        <v>416</v>
      </c>
      <c r="Z1582" t="s">
        <v>96</v>
      </c>
      <c r="AA1582" t="s">
        <v>2411</v>
      </c>
      <c r="AB1582" t="s">
        <v>9352</v>
      </c>
      <c r="AC1582">
        <v>203</v>
      </c>
      <c r="AD1582">
        <v>80</v>
      </c>
      <c r="AE1582">
        <v>97</v>
      </c>
      <c r="AF1582">
        <v>55.78</v>
      </c>
      <c r="AG1582">
        <v>7.46</v>
      </c>
      <c r="AH1582">
        <v>6.15</v>
      </c>
      <c r="AI1582">
        <v>0.09</v>
      </c>
      <c r="AJ1582">
        <v>7.0000000000000007E-2</v>
      </c>
      <c r="AK1582">
        <v>73</v>
      </c>
      <c r="AL1582">
        <v>0</v>
      </c>
      <c r="AM1582">
        <v>0</v>
      </c>
      <c r="AN1582">
        <v>-2.17</v>
      </c>
      <c r="AO1582">
        <v>1.04</v>
      </c>
      <c r="AP1582">
        <v>1239</v>
      </c>
      <c r="AQ1582">
        <v>4</v>
      </c>
      <c r="AR1582">
        <v>5.77</v>
      </c>
      <c r="AS1582">
        <v>85</v>
      </c>
      <c r="AT1582">
        <v>2.5299999999999998</v>
      </c>
      <c r="AU1582">
        <v>97</v>
      </c>
      <c r="AV1582">
        <v>-2.61</v>
      </c>
      <c r="AW1582">
        <v>99</v>
      </c>
      <c r="AX1582">
        <v>-0.18</v>
      </c>
      <c r="AY1582">
        <v>95</v>
      </c>
      <c r="AZ1582">
        <v>6.56</v>
      </c>
      <c r="BA1582">
        <v>76</v>
      </c>
      <c r="BB1582">
        <v>5.21</v>
      </c>
      <c r="BC1582">
        <v>39</v>
      </c>
      <c r="BD1582">
        <v>0.02</v>
      </c>
      <c r="BE1582">
        <v>0.03</v>
      </c>
      <c r="BF1582">
        <v>0.08</v>
      </c>
      <c r="BG1582">
        <v>89</v>
      </c>
      <c r="BH1582">
        <v>0.05</v>
      </c>
      <c r="BI1582">
        <v>12.4</v>
      </c>
      <c r="BJ1582">
        <v>0</v>
      </c>
      <c r="BK1582">
        <v>0</v>
      </c>
      <c r="BL1582">
        <v>-2.31</v>
      </c>
      <c r="BM1582">
        <v>2.82</v>
      </c>
      <c r="BN1582">
        <v>0.28000000000000003</v>
      </c>
      <c r="BO1582">
        <v>-1.72</v>
      </c>
      <c r="BP1582">
        <v>-0.33</v>
      </c>
      <c r="BQ1582">
        <v>2.46</v>
      </c>
      <c r="BR1582">
        <v>-1.85</v>
      </c>
      <c r="BS1582">
        <v>1.98</v>
      </c>
      <c r="BT1582">
        <v>0.89</v>
      </c>
      <c r="BU1582">
        <v>-2.11</v>
      </c>
      <c r="BV1582">
        <v>-2.34</v>
      </c>
      <c r="BW1582">
        <v>-2.81</v>
      </c>
      <c r="BX1582">
        <v>-2.38</v>
      </c>
      <c r="BY1582">
        <v>-1.47</v>
      </c>
      <c r="BZ1582">
        <v>1.3</v>
      </c>
      <c r="CA1582">
        <v>-1.25</v>
      </c>
      <c r="CB1582">
        <v>-1.87</v>
      </c>
      <c r="CC1582">
        <v>1.1399999999999999</v>
      </c>
      <c r="CD1582">
        <v>2.13</v>
      </c>
      <c r="CE1582">
        <v>-1.8</v>
      </c>
      <c r="CF1582">
        <v>-0.32</v>
      </c>
      <c r="CG1582">
        <v>0</v>
      </c>
      <c r="CH1582">
        <v>-1.25</v>
      </c>
      <c r="CI1582">
        <v>0</v>
      </c>
      <c r="CJ1582">
        <v>-7.5</v>
      </c>
      <c r="CK1582">
        <v>97</v>
      </c>
      <c r="CL1582">
        <v>-0.03</v>
      </c>
      <c r="CM1582">
        <v>96</v>
      </c>
      <c r="CN1582">
        <v>-0.09</v>
      </c>
      <c r="CO1582">
        <v>95</v>
      </c>
      <c r="CP1582">
        <v>-7.7</v>
      </c>
      <c r="CQ1582">
        <v>64</v>
      </c>
      <c r="CR1582">
        <v>0</v>
      </c>
      <c r="CS1582">
        <v>0</v>
      </c>
      <c r="CT1582">
        <v>7.1</v>
      </c>
      <c r="CU1582">
        <v>58</v>
      </c>
      <c r="CV1582">
        <v>-0.15</v>
      </c>
      <c r="CW1582">
        <v>45</v>
      </c>
      <c r="CX1582" t="s">
        <v>2016</v>
      </c>
    </row>
    <row r="1583" spans="1:102" x14ac:dyDescent="0.3">
      <c r="A1583" t="str">
        <f>HYPERLINK("https://webapp.icbf.com/v2/app/bull-search/view/669227931","CVW")</f>
        <v>CVW</v>
      </c>
      <c r="B1583" t="s">
        <v>3017</v>
      </c>
      <c r="C1583" t="s">
        <v>3018</v>
      </c>
      <c r="D1583" s="1">
        <v>39857</v>
      </c>
      <c r="E1583" t="s">
        <v>92</v>
      </c>
      <c r="F1583">
        <v>75</v>
      </c>
      <c r="G1583" t="s">
        <v>435</v>
      </c>
      <c r="H1583">
        <v>100.58</v>
      </c>
      <c r="I1583">
        <v>71</v>
      </c>
      <c r="J1583">
        <v>9.7200000000000006</v>
      </c>
      <c r="K1583">
        <v>88</v>
      </c>
      <c r="L1583">
        <v>56.88</v>
      </c>
      <c r="M1583">
        <v>64</v>
      </c>
      <c r="N1583">
        <v>19.34</v>
      </c>
      <c r="O1583">
        <v>62</v>
      </c>
      <c r="P1583">
        <v>-8.4</v>
      </c>
      <c r="Q1583">
        <v>66</v>
      </c>
      <c r="R1583">
        <v>3.58</v>
      </c>
      <c r="S1583">
        <v>65</v>
      </c>
      <c r="T1583">
        <v>16.559999999999999</v>
      </c>
      <c r="U1583">
        <v>54</v>
      </c>
      <c r="V1583">
        <v>2.9</v>
      </c>
      <c r="W1583">
        <v>60</v>
      </c>
      <c r="X1583" t="s">
        <v>94</v>
      </c>
      <c r="Y1583" t="s">
        <v>1727</v>
      </c>
      <c r="Z1583" t="s">
        <v>528</v>
      </c>
      <c r="AA1583" t="s">
        <v>1086</v>
      </c>
      <c r="AB1583" t="s">
        <v>144</v>
      </c>
      <c r="AC1583">
        <v>5</v>
      </c>
      <c r="AD1583">
        <v>4</v>
      </c>
      <c r="AE1583">
        <v>88</v>
      </c>
      <c r="AF1583">
        <v>69.739999999999995</v>
      </c>
      <c r="AG1583">
        <v>4.92</v>
      </c>
      <c r="AH1583">
        <v>0.98</v>
      </c>
      <c r="AI1583">
        <v>0.04</v>
      </c>
      <c r="AJ1583">
        <v>-0.02</v>
      </c>
      <c r="AK1583">
        <v>64</v>
      </c>
      <c r="AL1583">
        <v>5</v>
      </c>
      <c r="AM1583">
        <v>4</v>
      </c>
      <c r="AN1583">
        <v>-2.78</v>
      </c>
      <c r="AO1583">
        <v>1.76</v>
      </c>
      <c r="AP1583">
        <v>8</v>
      </c>
      <c r="AQ1583">
        <v>0</v>
      </c>
      <c r="AR1583">
        <v>8.3699999999999992</v>
      </c>
      <c r="AS1583">
        <v>53</v>
      </c>
      <c r="AT1583">
        <v>2.7</v>
      </c>
      <c r="AU1583">
        <v>64</v>
      </c>
      <c r="AV1583">
        <v>-2.4900000000000002</v>
      </c>
      <c r="AW1583">
        <v>73</v>
      </c>
      <c r="AX1583">
        <v>0.54</v>
      </c>
      <c r="AY1583">
        <v>51</v>
      </c>
      <c r="AZ1583">
        <v>6.44</v>
      </c>
      <c r="BA1583">
        <v>43</v>
      </c>
      <c r="BB1583">
        <v>5.15</v>
      </c>
      <c r="BC1583">
        <v>45</v>
      </c>
      <c r="BD1583">
        <v>0.01</v>
      </c>
      <c r="BE1583">
        <v>-0.01</v>
      </c>
      <c r="BF1583">
        <v>-0.08</v>
      </c>
      <c r="BG1583">
        <v>74</v>
      </c>
      <c r="BH1583">
        <v>0.01</v>
      </c>
      <c r="BI1583">
        <v>-8.2100000000000009</v>
      </c>
      <c r="BJ1583">
        <v>0</v>
      </c>
      <c r="BK1583">
        <v>0</v>
      </c>
      <c r="BL1583">
        <v>-1.74</v>
      </c>
      <c r="BM1583">
        <v>0.59</v>
      </c>
      <c r="BN1583">
        <v>-1.05</v>
      </c>
      <c r="BO1583">
        <v>-1.2</v>
      </c>
      <c r="BP1583">
        <v>-1.06</v>
      </c>
      <c r="BQ1583">
        <v>-1.21</v>
      </c>
      <c r="BR1583">
        <v>-0.49</v>
      </c>
      <c r="BS1583">
        <v>-1.08</v>
      </c>
      <c r="BT1583">
        <v>-1.22</v>
      </c>
      <c r="BU1583">
        <v>0.33</v>
      </c>
      <c r="BV1583">
        <v>-0.6</v>
      </c>
      <c r="BW1583">
        <v>-0.73</v>
      </c>
      <c r="BX1583">
        <v>-0.98</v>
      </c>
      <c r="BY1583">
        <v>-1.64</v>
      </c>
      <c r="BZ1583">
        <v>1.59</v>
      </c>
      <c r="CA1583">
        <v>-0.88</v>
      </c>
      <c r="CB1583">
        <v>-0.41</v>
      </c>
      <c r="CC1583">
        <v>-0.99</v>
      </c>
      <c r="CD1583">
        <v>0.61</v>
      </c>
      <c r="CE1583">
        <v>-1.04</v>
      </c>
      <c r="CF1583">
        <v>-2.13</v>
      </c>
      <c r="CG1583">
        <v>0</v>
      </c>
      <c r="CH1583">
        <v>-0.28000000000000003</v>
      </c>
      <c r="CI1583">
        <v>0</v>
      </c>
      <c r="CJ1583">
        <v>-2</v>
      </c>
      <c r="CK1583">
        <v>68</v>
      </c>
      <c r="CL1583">
        <v>-0.62</v>
      </c>
      <c r="CM1583">
        <v>64</v>
      </c>
      <c r="CN1583">
        <v>-0.19</v>
      </c>
      <c r="CO1583">
        <v>63</v>
      </c>
      <c r="CP1583">
        <v>-9.8000000000000007</v>
      </c>
      <c r="CQ1583">
        <v>57</v>
      </c>
      <c r="CR1583">
        <v>0</v>
      </c>
      <c r="CS1583">
        <v>0</v>
      </c>
      <c r="CT1583">
        <v>-8.6</v>
      </c>
      <c r="CU1583">
        <v>54</v>
      </c>
      <c r="CV1583">
        <v>0.11</v>
      </c>
      <c r="CW1583">
        <v>39</v>
      </c>
      <c r="CX1583" t="s">
        <v>1035</v>
      </c>
    </row>
    <row r="1584" spans="1:102" x14ac:dyDescent="0.3">
      <c r="A1584" t="str">
        <f>HYPERLINK("https://webapp.icbf.com/v2/app/bull-search/view/502911670","NRZ")</f>
        <v>NRZ</v>
      </c>
      <c r="B1584" t="s">
        <v>14152</v>
      </c>
      <c r="C1584" t="s">
        <v>14153</v>
      </c>
      <c r="D1584" s="1">
        <v>39146</v>
      </c>
      <c r="E1584" t="s">
        <v>92</v>
      </c>
      <c r="F1584">
        <v>100</v>
      </c>
      <c r="G1584" t="s">
        <v>93</v>
      </c>
      <c r="H1584">
        <v>100.57</v>
      </c>
      <c r="I1584">
        <v>86</v>
      </c>
      <c r="J1584">
        <v>-0.71</v>
      </c>
      <c r="K1584">
        <v>96</v>
      </c>
      <c r="L1584">
        <v>70.069999999999993</v>
      </c>
      <c r="M1584">
        <v>78</v>
      </c>
      <c r="N1584">
        <v>16.71</v>
      </c>
      <c r="O1584">
        <v>85</v>
      </c>
      <c r="P1584">
        <v>-9.16</v>
      </c>
      <c r="Q1584">
        <v>91</v>
      </c>
      <c r="R1584">
        <v>11.53</v>
      </c>
      <c r="S1584">
        <v>80</v>
      </c>
      <c r="T1584">
        <v>5.98</v>
      </c>
      <c r="U1584">
        <v>85</v>
      </c>
      <c r="V1584">
        <v>6.15</v>
      </c>
      <c r="W1584">
        <v>78</v>
      </c>
      <c r="X1584" t="s">
        <v>94</v>
      </c>
      <c r="Y1584" t="s">
        <v>1513</v>
      </c>
      <c r="Z1584" t="s">
        <v>96</v>
      </c>
      <c r="AA1584" t="s">
        <v>1414</v>
      </c>
      <c r="AB1584" t="s">
        <v>14154</v>
      </c>
      <c r="AC1584">
        <v>80</v>
      </c>
      <c r="AD1584">
        <v>61</v>
      </c>
      <c r="AE1584">
        <v>96</v>
      </c>
      <c r="AF1584">
        <v>-10.74</v>
      </c>
      <c r="AG1584">
        <v>-3.04</v>
      </c>
      <c r="AH1584">
        <v>0.79</v>
      </c>
      <c r="AI1584">
        <v>-0.05</v>
      </c>
      <c r="AJ1584">
        <v>0.02</v>
      </c>
      <c r="AK1584">
        <v>78</v>
      </c>
      <c r="AL1584">
        <v>81</v>
      </c>
      <c r="AM1584">
        <v>60</v>
      </c>
      <c r="AN1584">
        <v>-2.88</v>
      </c>
      <c r="AO1584">
        <v>2.72</v>
      </c>
      <c r="AP1584">
        <v>185</v>
      </c>
      <c r="AQ1584">
        <v>1</v>
      </c>
      <c r="AR1584">
        <v>8.1999999999999993</v>
      </c>
      <c r="AS1584">
        <v>69</v>
      </c>
      <c r="AT1584">
        <v>3.01</v>
      </c>
      <c r="AU1584">
        <v>87</v>
      </c>
      <c r="AV1584">
        <v>-1.84</v>
      </c>
      <c r="AW1584">
        <v>96</v>
      </c>
      <c r="AX1584">
        <v>0.19</v>
      </c>
      <c r="AY1584">
        <v>79</v>
      </c>
      <c r="AZ1584">
        <v>5.77</v>
      </c>
      <c r="BA1584">
        <v>63</v>
      </c>
      <c r="BB1584">
        <v>4.55</v>
      </c>
      <c r="BC1584">
        <v>66</v>
      </c>
      <c r="BD1584">
        <v>-0.03</v>
      </c>
      <c r="BE1584">
        <v>-0.05</v>
      </c>
      <c r="BF1584">
        <v>-0.12</v>
      </c>
      <c r="BG1584">
        <v>88</v>
      </c>
      <c r="BH1584">
        <v>0.15</v>
      </c>
      <c r="BI1584">
        <v>-2.48</v>
      </c>
      <c r="BJ1584">
        <v>17</v>
      </c>
      <c r="BK1584">
        <v>12</v>
      </c>
      <c r="BL1584">
        <v>-0.16</v>
      </c>
      <c r="BM1584">
        <v>1.1000000000000001</v>
      </c>
      <c r="BN1584">
        <v>0.15</v>
      </c>
      <c r="BO1584">
        <v>-0.28999999999999998</v>
      </c>
      <c r="BP1584">
        <v>0.68</v>
      </c>
      <c r="BQ1584">
        <v>0.75</v>
      </c>
      <c r="BR1584">
        <v>-0.16</v>
      </c>
      <c r="BS1584">
        <v>0.28000000000000003</v>
      </c>
      <c r="BT1584">
        <v>-0.15</v>
      </c>
      <c r="BU1584">
        <v>-0.62</v>
      </c>
      <c r="BV1584">
        <v>-0.33</v>
      </c>
      <c r="BW1584">
        <v>0.55000000000000004</v>
      </c>
      <c r="BX1584">
        <v>-0.82</v>
      </c>
      <c r="BY1584">
        <v>-1.55</v>
      </c>
      <c r="BZ1584">
        <v>1.96</v>
      </c>
      <c r="CA1584">
        <v>-0.18</v>
      </c>
      <c r="CB1584">
        <v>-0.21</v>
      </c>
      <c r="CC1584">
        <v>0.08</v>
      </c>
      <c r="CD1584">
        <v>1.74</v>
      </c>
      <c r="CE1584">
        <v>-0.13</v>
      </c>
      <c r="CF1584">
        <v>0.14000000000000001</v>
      </c>
      <c r="CG1584">
        <v>0</v>
      </c>
      <c r="CH1584">
        <v>-0.78</v>
      </c>
      <c r="CI1584">
        <v>0</v>
      </c>
      <c r="CJ1584">
        <v>-1.9</v>
      </c>
      <c r="CK1584">
        <v>92</v>
      </c>
      <c r="CL1584">
        <v>-0.76</v>
      </c>
      <c r="CM1584">
        <v>91</v>
      </c>
      <c r="CN1584">
        <v>-0.14000000000000001</v>
      </c>
      <c r="CO1584">
        <v>89</v>
      </c>
      <c r="CP1584">
        <v>-2.2000000000000002</v>
      </c>
      <c r="CQ1584">
        <v>88</v>
      </c>
      <c r="CR1584">
        <v>0</v>
      </c>
      <c r="CS1584">
        <v>0</v>
      </c>
      <c r="CT1584">
        <v>5.7</v>
      </c>
      <c r="CU1584">
        <v>85</v>
      </c>
      <c r="CV1584">
        <v>0.06</v>
      </c>
      <c r="CW1584">
        <v>45</v>
      </c>
      <c r="CX1584" t="s">
        <v>1037</v>
      </c>
    </row>
    <row r="1585" spans="1:102" x14ac:dyDescent="0.3">
      <c r="A1585" t="str">
        <f>HYPERLINK("https://webapp.icbf.com/v2/app/bull-search/view/332971293","LNH")</f>
        <v>LNH</v>
      </c>
      <c r="B1585" t="s">
        <v>4340</v>
      </c>
      <c r="C1585" t="s">
        <v>4341</v>
      </c>
      <c r="D1585" s="1">
        <v>38013</v>
      </c>
      <c r="E1585" t="s">
        <v>92</v>
      </c>
      <c r="F1585">
        <v>88</v>
      </c>
      <c r="G1585" t="s">
        <v>93</v>
      </c>
      <c r="H1585">
        <v>100.51</v>
      </c>
      <c r="I1585">
        <v>89</v>
      </c>
      <c r="J1585">
        <v>-5.62</v>
      </c>
      <c r="K1585">
        <v>97</v>
      </c>
      <c r="L1585">
        <v>80.819999999999993</v>
      </c>
      <c r="M1585">
        <v>81</v>
      </c>
      <c r="N1585">
        <v>26.9</v>
      </c>
      <c r="O1585">
        <v>86</v>
      </c>
      <c r="P1585">
        <v>-2.2200000000000002</v>
      </c>
      <c r="Q1585">
        <v>91</v>
      </c>
      <c r="R1585">
        <v>-7.84</v>
      </c>
      <c r="S1585">
        <v>83</v>
      </c>
      <c r="T1585">
        <v>7.39</v>
      </c>
      <c r="U1585">
        <v>91</v>
      </c>
      <c r="V1585">
        <v>1.08</v>
      </c>
      <c r="W1585">
        <v>83</v>
      </c>
      <c r="X1585" t="s">
        <v>94</v>
      </c>
      <c r="Y1585" t="s">
        <v>228</v>
      </c>
      <c r="Z1585" t="s">
        <v>96</v>
      </c>
      <c r="AA1585" t="s">
        <v>4342</v>
      </c>
      <c r="AB1585" t="s">
        <v>4343</v>
      </c>
      <c r="AC1585">
        <v>105</v>
      </c>
      <c r="AD1585">
        <v>56</v>
      </c>
      <c r="AE1585">
        <v>97</v>
      </c>
      <c r="AF1585">
        <v>-247.83</v>
      </c>
      <c r="AG1585">
        <v>-3.59</v>
      </c>
      <c r="AH1585">
        <v>-3.48</v>
      </c>
      <c r="AI1585">
        <v>0.11</v>
      </c>
      <c r="AJ1585">
        <v>0.09</v>
      </c>
      <c r="AK1585">
        <v>81</v>
      </c>
      <c r="AL1585">
        <v>115</v>
      </c>
      <c r="AM1585">
        <v>65</v>
      </c>
      <c r="AN1585">
        <v>-4.05</v>
      </c>
      <c r="AO1585">
        <v>2.4</v>
      </c>
      <c r="AP1585">
        <v>192</v>
      </c>
      <c r="AQ1585">
        <v>0</v>
      </c>
      <c r="AR1585">
        <v>5.91</v>
      </c>
      <c r="AS1585">
        <v>70</v>
      </c>
      <c r="AT1585">
        <v>2.85</v>
      </c>
      <c r="AU1585">
        <v>88</v>
      </c>
      <c r="AV1585">
        <v>-1.77</v>
      </c>
      <c r="AW1585">
        <v>96</v>
      </c>
      <c r="AX1585">
        <v>-0.84</v>
      </c>
      <c r="AY1585">
        <v>83</v>
      </c>
      <c r="AZ1585">
        <v>5.75</v>
      </c>
      <c r="BA1585">
        <v>68</v>
      </c>
      <c r="BB1585">
        <v>4.32</v>
      </c>
      <c r="BC1585">
        <v>70</v>
      </c>
      <c r="BD1585">
        <v>0.02</v>
      </c>
      <c r="BE1585">
        <v>0.03</v>
      </c>
      <c r="BF1585">
        <v>0.09</v>
      </c>
      <c r="BG1585">
        <v>90</v>
      </c>
      <c r="BH1585">
        <v>-0.15</v>
      </c>
      <c r="BI1585">
        <v>-20.83</v>
      </c>
      <c r="BJ1585">
        <v>27</v>
      </c>
      <c r="BK1585">
        <v>18</v>
      </c>
      <c r="BL1585">
        <v>-0.28000000000000003</v>
      </c>
      <c r="BM1585">
        <v>-0.6</v>
      </c>
      <c r="BN1585">
        <v>-1.05</v>
      </c>
      <c r="BO1585">
        <v>-0.59</v>
      </c>
      <c r="BP1585">
        <v>1.1200000000000001</v>
      </c>
      <c r="BQ1585">
        <v>-1.39</v>
      </c>
      <c r="BR1585">
        <v>-0.25</v>
      </c>
      <c r="BS1585">
        <v>1.3</v>
      </c>
      <c r="BT1585">
        <v>0</v>
      </c>
      <c r="BU1585">
        <v>-1.27</v>
      </c>
      <c r="BV1585">
        <v>-0.83</v>
      </c>
      <c r="BW1585">
        <v>-0.88</v>
      </c>
      <c r="BX1585">
        <v>-0.81</v>
      </c>
      <c r="BY1585">
        <v>-0.72</v>
      </c>
      <c r="BZ1585">
        <v>-0.17</v>
      </c>
      <c r="CA1585">
        <v>-0.28000000000000003</v>
      </c>
      <c r="CB1585">
        <v>-0.97</v>
      </c>
      <c r="CC1585">
        <v>1.06</v>
      </c>
      <c r="CD1585">
        <v>-0.15</v>
      </c>
      <c r="CE1585">
        <v>-0.3</v>
      </c>
      <c r="CF1585">
        <v>-0.83</v>
      </c>
      <c r="CG1585">
        <v>0</v>
      </c>
      <c r="CH1585">
        <v>-0.77</v>
      </c>
      <c r="CI1585">
        <v>0</v>
      </c>
      <c r="CJ1585">
        <v>-2.1</v>
      </c>
      <c r="CK1585">
        <v>92</v>
      </c>
      <c r="CL1585">
        <v>-0.33</v>
      </c>
      <c r="CM1585">
        <v>91</v>
      </c>
      <c r="CN1585">
        <v>-0.35</v>
      </c>
      <c r="CO1585">
        <v>89</v>
      </c>
      <c r="CP1585">
        <v>-0.1</v>
      </c>
      <c r="CQ1585">
        <v>91</v>
      </c>
      <c r="CR1585">
        <v>0</v>
      </c>
      <c r="CS1585">
        <v>0</v>
      </c>
      <c r="CT1585">
        <v>3.8</v>
      </c>
      <c r="CU1585">
        <v>91</v>
      </c>
      <c r="CV1585">
        <v>-0.04</v>
      </c>
      <c r="CW1585">
        <v>45</v>
      </c>
      <c r="CX1585" t="s">
        <v>1252</v>
      </c>
    </row>
    <row r="1586" spans="1:102" x14ac:dyDescent="0.3">
      <c r="A1586" t="str">
        <f>HYPERLINK("https://webapp.icbf.com/v2/app/bull-search/view/496960044","GZL")</f>
        <v>GZL</v>
      </c>
      <c r="B1586" t="s">
        <v>6965</v>
      </c>
      <c r="C1586" t="s">
        <v>6966</v>
      </c>
      <c r="D1586" s="1">
        <v>39122</v>
      </c>
      <c r="E1586" t="s">
        <v>108</v>
      </c>
      <c r="F1586">
        <v>44</v>
      </c>
      <c r="G1586" t="s">
        <v>93</v>
      </c>
      <c r="H1586">
        <v>100.49</v>
      </c>
      <c r="I1586">
        <v>95</v>
      </c>
      <c r="J1586">
        <v>-14.2</v>
      </c>
      <c r="K1586">
        <v>99</v>
      </c>
      <c r="L1586">
        <v>96.81</v>
      </c>
      <c r="M1586">
        <v>90</v>
      </c>
      <c r="N1586">
        <v>8.91</v>
      </c>
      <c r="O1586">
        <v>95</v>
      </c>
      <c r="P1586">
        <v>-2.5</v>
      </c>
      <c r="Q1586">
        <v>99</v>
      </c>
      <c r="R1586">
        <v>7.32</v>
      </c>
      <c r="S1586">
        <v>90</v>
      </c>
      <c r="T1586">
        <v>-1.79</v>
      </c>
      <c r="U1586">
        <v>96</v>
      </c>
      <c r="V1586">
        <v>5.94</v>
      </c>
      <c r="W1586">
        <v>91</v>
      </c>
      <c r="X1586" t="s">
        <v>94</v>
      </c>
      <c r="Y1586" t="s">
        <v>1113</v>
      </c>
      <c r="Z1586" t="s">
        <v>96</v>
      </c>
      <c r="AA1586" t="s">
        <v>1543</v>
      </c>
      <c r="AB1586" t="s">
        <v>6967</v>
      </c>
      <c r="AC1586">
        <v>404</v>
      </c>
      <c r="AD1586">
        <v>193</v>
      </c>
      <c r="AE1586">
        <v>99</v>
      </c>
      <c r="AF1586">
        <v>10.27</v>
      </c>
      <c r="AG1586">
        <v>-3.61</v>
      </c>
      <c r="AH1586">
        <v>-0.98</v>
      </c>
      <c r="AI1586">
        <v>-7.0000000000000007E-2</v>
      </c>
      <c r="AJ1586">
        <v>-0.02</v>
      </c>
      <c r="AK1586">
        <v>90</v>
      </c>
      <c r="AL1586">
        <v>618</v>
      </c>
      <c r="AM1586">
        <v>287</v>
      </c>
      <c r="AN1586">
        <v>-4.5199999999999996</v>
      </c>
      <c r="AO1586">
        <v>3.21</v>
      </c>
      <c r="AP1586">
        <v>893</v>
      </c>
      <c r="AQ1586">
        <v>5</v>
      </c>
      <c r="AR1586">
        <v>10.9</v>
      </c>
      <c r="AS1586">
        <v>89</v>
      </c>
      <c r="AT1586">
        <v>4.1399999999999997</v>
      </c>
      <c r="AU1586">
        <v>96</v>
      </c>
      <c r="AV1586">
        <v>-3.57</v>
      </c>
      <c r="AW1586">
        <v>99</v>
      </c>
      <c r="AX1586">
        <v>-0.45</v>
      </c>
      <c r="AY1586">
        <v>96</v>
      </c>
      <c r="AZ1586">
        <v>6.9</v>
      </c>
      <c r="BA1586">
        <v>86</v>
      </c>
      <c r="BB1586">
        <v>4.95</v>
      </c>
      <c r="BC1586">
        <v>88</v>
      </c>
      <c r="BD1586">
        <v>-0.02</v>
      </c>
      <c r="BE1586">
        <v>-0.05</v>
      </c>
      <c r="BF1586">
        <v>-0.04</v>
      </c>
      <c r="BG1586">
        <v>96</v>
      </c>
      <c r="BH1586">
        <v>0.13</v>
      </c>
      <c r="BI1586">
        <v>-4.13</v>
      </c>
      <c r="BJ1586">
        <v>23</v>
      </c>
      <c r="BK1586">
        <v>11</v>
      </c>
      <c r="BL1586">
        <v>-1.5</v>
      </c>
      <c r="BM1586">
        <v>1.43</v>
      </c>
      <c r="BN1586">
        <v>-1.63</v>
      </c>
      <c r="BO1586">
        <v>-2.02</v>
      </c>
      <c r="BP1586">
        <v>-0.74</v>
      </c>
      <c r="BQ1586">
        <v>0.9</v>
      </c>
      <c r="BR1586">
        <v>-2.85</v>
      </c>
      <c r="BS1586">
        <v>0.44</v>
      </c>
      <c r="BT1586">
        <v>3.18</v>
      </c>
      <c r="BU1586">
        <v>0.38</v>
      </c>
      <c r="BV1586">
        <v>0.19</v>
      </c>
      <c r="BW1586">
        <v>0.36</v>
      </c>
      <c r="BX1586">
        <v>1.73</v>
      </c>
      <c r="BY1586">
        <v>0.71</v>
      </c>
      <c r="BZ1586">
        <v>-2.11</v>
      </c>
      <c r="CA1586">
        <v>0.09</v>
      </c>
      <c r="CB1586">
        <v>0.02</v>
      </c>
      <c r="CC1586">
        <v>0.06</v>
      </c>
      <c r="CD1586">
        <v>1.48</v>
      </c>
      <c r="CE1586">
        <v>-1.84</v>
      </c>
      <c r="CF1586">
        <v>-1.68</v>
      </c>
      <c r="CG1586">
        <v>0</v>
      </c>
      <c r="CH1586">
        <v>0.34</v>
      </c>
      <c r="CI1586">
        <v>0</v>
      </c>
      <c r="CJ1586">
        <v>0.2</v>
      </c>
      <c r="CK1586">
        <v>99</v>
      </c>
      <c r="CL1586">
        <v>-0.49</v>
      </c>
      <c r="CM1586">
        <v>99</v>
      </c>
      <c r="CN1586">
        <v>-0.1</v>
      </c>
      <c r="CO1586">
        <v>99</v>
      </c>
      <c r="CP1586">
        <v>7.4</v>
      </c>
      <c r="CQ1586">
        <v>97</v>
      </c>
      <c r="CR1586">
        <v>0</v>
      </c>
      <c r="CS1586">
        <v>0</v>
      </c>
      <c r="CT1586">
        <v>16.2</v>
      </c>
      <c r="CU1586">
        <v>96</v>
      </c>
      <c r="CV1586">
        <v>0.17</v>
      </c>
      <c r="CW1586">
        <v>46</v>
      </c>
      <c r="CX1586" t="s">
        <v>6968</v>
      </c>
    </row>
    <row r="1587" spans="1:102" x14ac:dyDescent="0.3">
      <c r="A1587" t="str">
        <f>HYPERLINK("https://webapp.icbf.com/v2/app/bull-search/view/441140746","LZD")</f>
        <v>LZD</v>
      </c>
      <c r="B1587" t="s">
        <v>1387</v>
      </c>
      <c r="C1587" t="s">
        <v>1388</v>
      </c>
      <c r="D1587" s="1">
        <v>38745</v>
      </c>
      <c r="E1587" t="s">
        <v>92</v>
      </c>
      <c r="F1587">
        <v>47</v>
      </c>
      <c r="G1587" t="s">
        <v>93</v>
      </c>
      <c r="H1587">
        <v>100.46</v>
      </c>
      <c r="I1587">
        <v>95</v>
      </c>
      <c r="J1587">
        <v>58.34</v>
      </c>
      <c r="K1587">
        <v>99</v>
      </c>
      <c r="L1587">
        <v>14.69</v>
      </c>
      <c r="M1587">
        <v>89</v>
      </c>
      <c r="N1587">
        <v>22.86</v>
      </c>
      <c r="O1587">
        <v>95</v>
      </c>
      <c r="P1587">
        <v>-12.2</v>
      </c>
      <c r="Q1587">
        <v>98</v>
      </c>
      <c r="R1587">
        <v>-4.9400000000000004</v>
      </c>
      <c r="S1587">
        <v>93</v>
      </c>
      <c r="T1587">
        <v>13.23</v>
      </c>
      <c r="U1587">
        <v>96</v>
      </c>
      <c r="V1587">
        <v>8.48</v>
      </c>
      <c r="W1587">
        <v>93</v>
      </c>
      <c r="X1587" t="s">
        <v>94</v>
      </c>
      <c r="Y1587" t="s">
        <v>1251</v>
      </c>
      <c r="Z1587" t="s">
        <v>96</v>
      </c>
      <c r="AA1587" t="s">
        <v>792</v>
      </c>
      <c r="AB1587" t="s">
        <v>1389</v>
      </c>
      <c r="AC1587">
        <v>451</v>
      </c>
      <c r="AD1587">
        <v>257</v>
      </c>
      <c r="AE1587">
        <v>99</v>
      </c>
      <c r="AF1587">
        <v>254.56</v>
      </c>
      <c r="AG1587">
        <v>14.27</v>
      </c>
      <c r="AH1587">
        <v>8.77</v>
      </c>
      <c r="AI1587">
        <v>7.0000000000000007E-2</v>
      </c>
      <c r="AJ1587">
        <v>0</v>
      </c>
      <c r="AK1587">
        <v>89</v>
      </c>
      <c r="AL1587">
        <v>517</v>
      </c>
      <c r="AM1587">
        <v>302</v>
      </c>
      <c r="AN1587">
        <v>0.61</v>
      </c>
      <c r="AO1587">
        <v>1.8</v>
      </c>
      <c r="AP1587">
        <v>864</v>
      </c>
      <c r="AQ1587">
        <v>6</v>
      </c>
      <c r="AR1587">
        <v>9.34</v>
      </c>
      <c r="AS1587">
        <v>87</v>
      </c>
      <c r="AT1587">
        <v>4.04</v>
      </c>
      <c r="AU1587">
        <v>96</v>
      </c>
      <c r="AV1587">
        <v>-4.63</v>
      </c>
      <c r="AW1587">
        <v>99</v>
      </c>
      <c r="AX1587">
        <v>0.19</v>
      </c>
      <c r="AY1587">
        <v>95</v>
      </c>
      <c r="AZ1587">
        <v>6.9</v>
      </c>
      <c r="BA1587">
        <v>86</v>
      </c>
      <c r="BB1587">
        <v>4.74</v>
      </c>
      <c r="BC1587">
        <v>88</v>
      </c>
      <c r="BD1587">
        <v>0.04</v>
      </c>
      <c r="BE1587">
        <v>0.03</v>
      </c>
      <c r="BF1587">
        <v>-0.01</v>
      </c>
      <c r="BG1587">
        <v>97</v>
      </c>
      <c r="BH1587">
        <v>0.1</v>
      </c>
      <c r="BI1587">
        <v>-15.79</v>
      </c>
      <c r="BJ1587">
        <v>19</v>
      </c>
      <c r="BK1587">
        <v>11</v>
      </c>
      <c r="BL1587">
        <v>-1.19</v>
      </c>
      <c r="BM1587">
        <v>0.34</v>
      </c>
      <c r="BN1587">
        <v>-0.22</v>
      </c>
      <c r="BO1587">
        <v>-0.63</v>
      </c>
      <c r="BP1587">
        <v>2.2000000000000002</v>
      </c>
      <c r="BQ1587">
        <v>-2.09</v>
      </c>
      <c r="BR1587">
        <v>1.5</v>
      </c>
      <c r="BS1587">
        <v>-0.74</v>
      </c>
      <c r="BT1587">
        <v>-2.0099999999999998</v>
      </c>
      <c r="BU1587">
        <v>-1.01</v>
      </c>
      <c r="BV1587">
        <v>-0.75</v>
      </c>
      <c r="BW1587">
        <v>-0.68</v>
      </c>
      <c r="BX1587">
        <v>-1.62</v>
      </c>
      <c r="BY1587">
        <v>-2.2400000000000002</v>
      </c>
      <c r="BZ1587">
        <v>0.02</v>
      </c>
      <c r="CA1587">
        <v>-1.4</v>
      </c>
      <c r="CB1587">
        <v>-1.2</v>
      </c>
      <c r="CC1587">
        <v>-1.1100000000000001</v>
      </c>
      <c r="CD1587">
        <v>1</v>
      </c>
      <c r="CE1587">
        <v>-0.63</v>
      </c>
      <c r="CF1587">
        <v>-1.1200000000000001</v>
      </c>
      <c r="CG1587">
        <v>0</v>
      </c>
      <c r="CH1587">
        <v>-0.85</v>
      </c>
      <c r="CI1587">
        <v>0</v>
      </c>
      <c r="CJ1587">
        <v>-5.2</v>
      </c>
      <c r="CK1587">
        <v>99</v>
      </c>
      <c r="CL1587">
        <v>-0.36</v>
      </c>
      <c r="CM1587">
        <v>98</v>
      </c>
      <c r="CN1587">
        <v>-0.03</v>
      </c>
      <c r="CO1587">
        <v>98</v>
      </c>
      <c r="CP1587">
        <v>-11.1</v>
      </c>
      <c r="CQ1587">
        <v>97</v>
      </c>
      <c r="CR1587">
        <v>0</v>
      </c>
      <c r="CS1587">
        <v>0</v>
      </c>
      <c r="CT1587">
        <v>-4.0999999999999996</v>
      </c>
      <c r="CU1587">
        <v>96</v>
      </c>
      <c r="CV1587">
        <v>0.03</v>
      </c>
      <c r="CW1587">
        <v>47</v>
      </c>
      <c r="CX1587" t="s">
        <v>1390</v>
      </c>
    </row>
    <row r="1588" spans="1:102" x14ac:dyDescent="0.3">
      <c r="A1588" t="str">
        <f>HYPERLINK("https://webapp.icbf.com/v2/app/bull-search/view/880280233","RFG")</f>
        <v>RFG</v>
      </c>
      <c r="B1588" t="s">
        <v>8300</v>
      </c>
      <c r="C1588" t="s">
        <v>8301</v>
      </c>
      <c r="D1588" s="1">
        <v>40625</v>
      </c>
      <c r="E1588" t="s">
        <v>92</v>
      </c>
      <c r="F1588">
        <v>84</v>
      </c>
      <c r="G1588" t="s">
        <v>435</v>
      </c>
      <c r="H1588">
        <v>100.4</v>
      </c>
      <c r="I1588">
        <v>75</v>
      </c>
      <c r="J1588">
        <v>17.96</v>
      </c>
      <c r="K1588">
        <v>90</v>
      </c>
      <c r="L1588">
        <v>78.72</v>
      </c>
      <c r="M1588">
        <v>70</v>
      </c>
      <c r="N1588">
        <v>-1.74</v>
      </c>
      <c r="O1588">
        <v>62</v>
      </c>
      <c r="P1588">
        <v>-9.11</v>
      </c>
      <c r="Q1588">
        <v>72</v>
      </c>
      <c r="R1588">
        <v>5.73</v>
      </c>
      <c r="S1588">
        <v>68</v>
      </c>
      <c r="T1588">
        <v>8.1300000000000008</v>
      </c>
      <c r="U1588">
        <v>66</v>
      </c>
      <c r="V1588">
        <v>0.71</v>
      </c>
      <c r="W1588">
        <v>64</v>
      </c>
      <c r="X1588" t="s">
        <v>102</v>
      </c>
      <c r="Y1588" t="s">
        <v>1860</v>
      </c>
      <c r="Z1588" t="s">
        <v>96</v>
      </c>
      <c r="AA1588" t="s">
        <v>1376</v>
      </c>
      <c r="AB1588" t="s">
        <v>8302</v>
      </c>
      <c r="AC1588">
        <v>3</v>
      </c>
      <c r="AD1588">
        <v>3</v>
      </c>
      <c r="AE1588">
        <v>90</v>
      </c>
      <c r="AF1588">
        <v>45.11</v>
      </c>
      <c r="AG1588">
        <v>0.1</v>
      </c>
      <c r="AH1588">
        <v>3.71</v>
      </c>
      <c r="AI1588">
        <v>-0.03</v>
      </c>
      <c r="AJ1588">
        <v>0.04</v>
      </c>
      <c r="AK1588">
        <v>70</v>
      </c>
      <c r="AL1588">
        <v>20</v>
      </c>
      <c r="AM1588">
        <v>5</v>
      </c>
      <c r="AN1588">
        <v>-4.1399999999999997</v>
      </c>
      <c r="AO1588">
        <v>2.14</v>
      </c>
      <c r="AP1588">
        <v>13</v>
      </c>
      <c r="AQ1588">
        <v>0</v>
      </c>
      <c r="AR1588">
        <v>10.130000000000001</v>
      </c>
      <c r="AS1588">
        <v>60</v>
      </c>
      <c r="AT1588">
        <v>3.98</v>
      </c>
      <c r="AU1588">
        <v>70</v>
      </c>
      <c r="AV1588">
        <v>-1.27</v>
      </c>
      <c r="AW1588">
        <v>63</v>
      </c>
      <c r="AX1588">
        <v>0.19</v>
      </c>
      <c r="AY1588">
        <v>56</v>
      </c>
      <c r="AZ1588">
        <v>5.75</v>
      </c>
      <c r="BA1588">
        <v>53</v>
      </c>
      <c r="BB1588">
        <v>4.26</v>
      </c>
      <c r="BC1588">
        <v>52</v>
      </c>
      <c r="BD1588">
        <v>-0.01</v>
      </c>
      <c r="BE1588">
        <v>-0.05</v>
      </c>
      <c r="BF1588">
        <v>-0.02</v>
      </c>
      <c r="BG1588">
        <v>76</v>
      </c>
      <c r="BH1588">
        <v>-0.09</v>
      </c>
      <c r="BI1588">
        <v>-12.7</v>
      </c>
      <c r="BJ1588">
        <v>0</v>
      </c>
      <c r="BK1588">
        <v>0</v>
      </c>
      <c r="BL1588">
        <v>-0.34</v>
      </c>
      <c r="BM1588">
        <v>0.61</v>
      </c>
      <c r="BN1588">
        <v>-1.54</v>
      </c>
      <c r="BO1588">
        <v>-0.82</v>
      </c>
      <c r="BP1588">
        <v>0.28000000000000003</v>
      </c>
      <c r="BQ1588">
        <v>-1.03</v>
      </c>
      <c r="BR1588">
        <v>-0.5</v>
      </c>
      <c r="BS1588">
        <v>1.5</v>
      </c>
      <c r="BT1588">
        <v>0.87</v>
      </c>
      <c r="BU1588">
        <v>-0.01</v>
      </c>
      <c r="BV1588">
        <v>-0.53</v>
      </c>
      <c r="BW1588">
        <v>-0.3</v>
      </c>
      <c r="BX1588">
        <v>1.1399999999999999</v>
      </c>
      <c r="BY1588">
        <v>-0.65</v>
      </c>
      <c r="BZ1588">
        <v>0.14000000000000001</v>
      </c>
      <c r="CA1588">
        <v>0.15</v>
      </c>
      <c r="CB1588">
        <v>-0.49</v>
      </c>
      <c r="CC1588">
        <v>0.89</v>
      </c>
      <c r="CD1588">
        <v>0.27</v>
      </c>
      <c r="CE1588">
        <v>-0.47</v>
      </c>
      <c r="CF1588">
        <v>-0.83</v>
      </c>
      <c r="CG1588">
        <v>0</v>
      </c>
      <c r="CH1588">
        <v>-1.1100000000000001</v>
      </c>
      <c r="CI1588">
        <v>0</v>
      </c>
      <c r="CJ1588">
        <v>-2.5</v>
      </c>
      <c r="CK1588">
        <v>74</v>
      </c>
      <c r="CL1588">
        <v>-1</v>
      </c>
      <c r="CM1588">
        <v>70</v>
      </c>
      <c r="CN1588">
        <v>-0.44</v>
      </c>
      <c r="CO1588">
        <v>68</v>
      </c>
      <c r="CP1588">
        <v>-3.3</v>
      </c>
      <c r="CQ1588">
        <v>68</v>
      </c>
      <c r="CR1588">
        <v>0</v>
      </c>
      <c r="CS1588">
        <v>0</v>
      </c>
      <c r="CT1588">
        <v>2.8</v>
      </c>
      <c r="CU1588">
        <v>66</v>
      </c>
      <c r="CV1588">
        <v>0.15</v>
      </c>
      <c r="CW1588">
        <v>41</v>
      </c>
      <c r="CX1588" t="s">
        <v>3087</v>
      </c>
    </row>
    <row r="1589" spans="1:102" x14ac:dyDescent="0.3">
      <c r="A1589" t="str">
        <f>HYPERLINK("https://webapp.icbf.com/v2/app/bull-search/view/444499454","TMT")</f>
        <v>TMT</v>
      </c>
      <c r="B1589" t="s">
        <v>12231</v>
      </c>
      <c r="C1589" t="s">
        <v>12232</v>
      </c>
      <c r="D1589" s="1">
        <v>35200</v>
      </c>
      <c r="E1589" t="s">
        <v>92</v>
      </c>
      <c r="F1589">
        <v>100</v>
      </c>
      <c r="G1589" t="s">
        <v>93</v>
      </c>
      <c r="H1589">
        <v>100.25</v>
      </c>
      <c r="I1589">
        <v>96</v>
      </c>
      <c r="J1589">
        <v>71.84</v>
      </c>
      <c r="K1589">
        <v>99</v>
      </c>
      <c r="L1589">
        <v>10.93</v>
      </c>
      <c r="M1589">
        <v>92</v>
      </c>
      <c r="N1589">
        <v>5.38</v>
      </c>
      <c r="O1589">
        <v>96</v>
      </c>
      <c r="P1589">
        <v>-4.3099999999999996</v>
      </c>
      <c r="Q1589">
        <v>99</v>
      </c>
      <c r="R1589">
        <v>1.46</v>
      </c>
      <c r="S1589">
        <v>92</v>
      </c>
      <c r="T1589">
        <v>9.16</v>
      </c>
      <c r="U1589">
        <v>97</v>
      </c>
      <c r="V1589">
        <v>5.79</v>
      </c>
      <c r="W1589">
        <v>93</v>
      </c>
      <c r="X1589" t="s">
        <v>276</v>
      </c>
      <c r="Y1589" t="s">
        <v>270</v>
      </c>
      <c r="Z1589" t="s">
        <v>96</v>
      </c>
      <c r="AA1589" t="s">
        <v>3831</v>
      </c>
      <c r="AB1589" t="s">
        <v>144</v>
      </c>
      <c r="AC1589">
        <v>621</v>
      </c>
      <c r="AD1589">
        <v>234</v>
      </c>
      <c r="AE1589">
        <v>99</v>
      </c>
      <c r="AF1589">
        <v>-107.13</v>
      </c>
      <c r="AG1589">
        <v>19.3</v>
      </c>
      <c r="AH1589">
        <v>3.75</v>
      </c>
      <c r="AI1589">
        <v>0.42</v>
      </c>
      <c r="AJ1589">
        <v>0.13</v>
      </c>
      <c r="AK1589">
        <v>92</v>
      </c>
      <c r="AL1589">
        <v>701</v>
      </c>
      <c r="AM1589">
        <v>279</v>
      </c>
      <c r="AN1589">
        <v>-0.75</v>
      </c>
      <c r="AO1589">
        <v>0.12</v>
      </c>
      <c r="AP1589">
        <v>990</v>
      </c>
      <c r="AQ1589">
        <v>7</v>
      </c>
      <c r="AR1589">
        <v>8.6300000000000008</v>
      </c>
      <c r="AS1589">
        <v>90</v>
      </c>
      <c r="AT1589">
        <v>4.05</v>
      </c>
      <c r="AU1589">
        <v>97</v>
      </c>
      <c r="AV1589">
        <v>-1.72</v>
      </c>
      <c r="AW1589">
        <v>99</v>
      </c>
      <c r="AX1589">
        <v>-0.22</v>
      </c>
      <c r="AY1589">
        <v>96</v>
      </c>
      <c r="AZ1589">
        <v>5.33</v>
      </c>
      <c r="BA1589">
        <v>89</v>
      </c>
      <c r="BB1589">
        <v>4.72</v>
      </c>
      <c r="BC1589">
        <v>89</v>
      </c>
      <c r="BD1589">
        <v>-7.0000000000000007E-2</v>
      </c>
      <c r="BE1589">
        <v>-0.03</v>
      </c>
      <c r="BF1589">
        <v>0.14000000000000001</v>
      </c>
      <c r="BG1589">
        <v>97</v>
      </c>
      <c r="BH1589">
        <v>-0.02</v>
      </c>
      <c r="BI1589">
        <v>-21</v>
      </c>
      <c r="BJ1589">
        <v>17</v>
      </c>
      <c r="BK1589">
        <v>10</v>
      </c>
      <c r="BL1589">
        <v>0.55000000000000004</v>
      </c>
      <c r="BM1589">
        <v>-0.83</v>
      </c>
      <c r="BN1589">
        <v>-0.25</v>
      </c>
      <c r="BO1589">
        <v>0.56000000000000005</v>
      </c>
      <c r="BP1589">
        <v>-0.14000000000000001</v>
      </c>
      <c r="BQ1589">
        <v>0.35</v>
      </c>
      <c r="BR1589">
        <v>0.44</v>
      </c>
      <c r="BS1589">
        <v>-1.1599999999999999</v>
      </c>
      <c r="BT1589">
        <v>-1.3</v>
      </c>
      <c r="BU1589">
        <v>-0.5</v>
      </c>
      <c r="BV1589">
        <v>0.14000000000000001</v>
      </c>
      <c r="BW1589">
        <v>-2.2000000000000002</v>
      </c>
      <c r="BX1589">
        <v>-0.21</v>
      </c>
      <c r="BY1589">
        <v>0.04</v>
      </c>
      <c r="BZ1589">
        <v>0.06</v>
      </c>
      <c r="CA1589">
        <v>-0.94</v>
      </c>
      <c r="CB1589">
        <v>-0.61</v>
      </c>
      <c r="CC1589">
        <v>-1.07</v>
      </c>
      <c r="CD1589">
        <v>-0.71</v>
      </c>
      <c r="CE1589">
        <v>0.25</v>
      </c>
      <c r="CF1589">
        <v>0.66</v>
      </c>
      <c r="CG1589">
        <v>0</v>
      </c>
      <c r="CH1589">
        <v>-0.15</v>
      </c>
      <c r="CI1589">
        <v>0</v>
      </c>
      <c r="CJ1589">
        <v>1.3</v>
      </c>
      <c r="CK1589">
        <v>99</v>
      </c>
      <c r="CL1589">
        <v>-0.84</v>
      </c>
      <c r="CM1589">
        <v>99</v>
      </c>
      <c r="CN1589">
        <v>-0.3</v>
      </c>
      <c r="CO1589">
        <v>98</v>
      </c>
      <c r="CP1589">
        <v>-6.3</v>
      </c>
      <c r="CQ1589">
        <v>98</v>
      </c>
      <c r="CR1589">
        <v>0</v>
      </c>
      <c r="CS1589">
        <v>0</v>
      </c>
      <c r="CT1589">
        <v>1.4</v>
      </c>
      <c r="CU1589">
        <v>97</v>
      </c>
      <c r="CV1589">
        <v>0.21</v>
      </c>
      <c r="CW1589">
        <v>46</v>
      </c>
      <c r="CX1589" t="s">
        <v>12233</v>
      </c>
    </row>
    <row r="1590" spans="1:102" x14ac:dyDescent="0.3">
      <c r="A1590" t="str">
        <f>HYPERLINK("https://webapp.icbf.com/v2/app/bull-search/view/1034602867","YFF")</f>
        <v>YFF</v>
      </c>
      <c r="B1590" t="s">
        <v>15289</v>
      </c>
      <c r="C1590" t="s">
        <v>6326</v>
      </c>
      <c r="D1590" s="1">
        <v>39662</v>
      </c>
      <c r="E1590" t="s">
        <v>108</v>
      </c>
      <c r="F1590">
        <v>6</v>
      </c>
      <c r="G1590" t="s">
        <v>93</v>
      </c>
      <c r="H1590">
        <v>100.25</v>
      </c>
      <c r="I1590">
        <v>83</v>
      </c>
      <c r="J1590">
        <v>-13.05</v>
      </c>
      <c r="K1590">
        <v>94</v>
      </c>
      <c r="L1590">
        <v>84.95</v>
      </c>
      <c r="M1590">
        <v>82</v>
      </c>
      <c r="N1590">
        <v>26.22</v>
      </c>
      <c r="O1590">
        <v>76</v>
      </c>
      <c r="P1590">
        <v>-12.82</v>
      </c>
      <c r="Q1590">
        <v>88</v>
      </c>
      <c r="R1590">
        <v>3.12</v>
      </c>
      <c r="S1590">
        <v>72</v>
      </c>
      <c r="T1590">
        <v>13.46</v>
      </c>
      <c r="U1590">
        <v>60</v>
      </c>
      <c r="V1590">
        <v>-1.63</v>
      </c>
      <c r="W1590">
        <v>68</v>
      </c>
      <c r="X1590" t="s">
        <v>251</v>
      </c>
      <c r="Y1590" t="s">
        <v>329</v>
      </c>
      <c r="Z1590" t="s">
        <v>96</v>
      </c>
      <c r="AA1590" t="s">
        <v>3029</v>
      </c>
      <c r="AB1590" t="s">
        <v>15290</v>
      </c>
      <c r="AC1590">
        <v>69</v>
      </c>
      <c r="AD1590">
        <v>19</v>
      </c>
      <c r="AE1590">
        <v>94</v>
      </c>
      <c r="AF1590">
        <v>-149.94999999999999</v>
      </c>
      <c r="AG1590">
        <v>0.13</v>
      </c>
      <c r="AH1590">
        <v>-4.5599999999999996</v>
      </c>
      <c r="AI1590">
        <v>0.11</v>
      </c>
      <c r="AJ1590">
        <v>0.01</v>
      </c>
      <c r="AK1590">
        <v>82</v>
      </c>
      <c r="AL1590">
        <v>78</v>
      </c>
      <c r="AM1590">
        <v>21</v>
      </c>
      <c r="AN1590">
        <v>-5.01</v>
      </c>
      <c r="AO1590">
        <v>1.76</v>
      </c>
      <c r="AP1590">
        <v>104</v>
      </c>
      <c r="AQ1590">
        <v>0</v>
      </c>
      <c r="AR1590">
        <v>6.26</v>
      </c>
      <c r="AS1590">
        <v>68</v>
      </c>
      <c r="AT1590">
        <v>3.31</v>
      </c>
      <c r="AU1590">
        <v>77</v>
      </c>
      <c r="AV1590">
        <v>-3.21</v>
      </c>
      <c r="AW1590">
        <v>88</v>
      </c>
      <c r="AX1590">
        <v>-0.44</v>
      </c>
      <c r="AY1590">
        <v>78</v>
      </c>
      <c r="AZ1590">
        <v>6.46</v>
      </c>
      <c r="BA1590">
        <v>52</v>
      </c>
      <c r="BB1590">
        <v>5.43</v>
      </c>
      <c r="BC1590">
        <v>44</v>
      </c>
      <c r="BD1590">
        <v>0.05</v>
      </c>
      <c r="BE1590">
        <v>-0.05</v>
      </c>
      <c r="BF1590">
        <v>-0.06</v>
      </c>
      <c r="BG1590">
        <v>88</v>
      </c>
      <c r="BH1590">
        <v>-0.06</v>
      </c>
      <c r="BI1590">
        <v>-1.67</v>
      </c>
      <c r="BJ1590">
        <v>2</v>
      </c>
      <c r="BK1590">
        <v>1</v>
      </c>
      <c r="BL1590">
        <v>-2.74</v>
      </c>
      <c r="BM1590">
        <v>2.2400000000000002</v>
      </c>
      <c r="BN1590">
        <v>-2.48</v>
      </c>
      <c r="BO1590">
        <v>-2.73</v>
      </c>
      <c r="BP1590">
        <v>-2.81</v>
      </c>
      <c r="BQ1590">
        <v>0.25</v>
      </c>
      <c r="BR1590">
        <v>-1.51</v>
      </c>
      <c r="BS1590">
        <v>0.27</v>
      </c>
      <c r="BT1590">
        <v>0.34</v>
      </c>
      <c r="BU1590">
        <v>0.27</v>
      </c>
      <c r="BV1590">
        <v>-1.03</v>
      </c>
      <c r="BW1590">
        <v>-1.47</v>
      </c>
      <c r="BX1590">
        <v>0.24</v>
      </c>
      <c r="BY1590">
        <v>0.71</v>
      </c>
      <c r="BZ1590">
        <v>-2.04</v>
      </c>
      <c r="CA1590">
        <v>-0.22</v>
      </c>
      <c r="CB1590">
        <v>-0.32</v>
      </c>
      <c r="CC1590">
        <v>-0.03</v>
      </c>
      <c r="CD1590">
        <v>2.97</v>
      </c>
      <c r="CE1590">
        <v>-2.5099999999999998</v>
      </c>
      <c r="CF1590">
        <v>-2.4500000000000002</v>
      </c>
      <c r="CG1590">
        <v>0</v>
      </c>
      <c r="CH1590">
        <v>0.78</v>
      </c>
      <c r="CI1590">
        <v>0</v>
      </c>
      <c r="CJ1590">
        <v>-7</v>
      </c>
      <c r="CK1590">
        <v>91</v>
      </c>
      <c r="CL1590">
        <v>-0.31</v>
      </c>
      <c r="CM1590">
        <v>88</v>
      </c>
      <c r="CN1590">
        <v>-0.12</v>
      </c>
      <c r="CO1590">
        <v>87</v>
      </c>
      <c r="CP1590">
        <v>-9.1</v>
      </c>
      <c r="CQ1590">
        <v>67</v>
      </c>
      <c r="CR1590">
        <v>0</v>
      </c>
      <c r="CS1590">
        <v>0</v>
      </c>
      <c r="CT1590">
        <v>-4.4000000000000004</v>
      </c>
      <c r="CU1590">
        <v>60</v>
      </c>
      <c r="CV1590">
        <v>0.02</v>
      </c>
      <c r="CW1590">
        <v>43</v>
      </c>
      <c r="CX1590" t="s">
        <v>738</v>
      </c>
    </row>
    <row r="1591" spans="1:102" x14ac:dyDescent="0.3">
      <c r="A1591" t="str">
        <f>HYPERLINK("https://webapp.icbf.com/v2/app/bull-search/view/77858257","DRN")</f>
        <v>DRN</v>
      </c>
      <c r="B1591" t="s">
        <v>3422</v>
      </c>
      <c r="C1591" t="s">
        <v>3423</v>
      </c>
      <c r="D1591" s="1">
        <v>35503</v>
      </c>
      <c r="E1591" t="s">
        <v>108</v>
      </c>
      <c r="F1591">
        <v>0</v>
      </c>
      <c r="G1591" t="s">
        <v>93</v>
      </c>
      <c r="H1591">
        <v>100.17</v>
      </c>
      <c r="I1591">
        <v>94</v>
      </c>
      <c r="J1591">
        <v>-31.82</v>
      </c>
      <c r="K1591">
        <v>99</v>
      </c>
      <c r="L1591">
        <v>90.37</v>
      </c>
      <c r="M1591">
        <v>89</v>
      </c>
      <c r="N1591">
        <v>19.57</v>
      </c>
      <c r="O1591">
        <v>93</v>
      </c>
      <c r="P1591">
        <v>-5.0599999999999996</v>
      </c>
      <c r="Q1591">
        <v>99</v>
      </c>
      <c r="R1591">
        <v>8.77</v>
      </c>
      <c r="S1591">
        <v>90</v>
      </c>
      <c r="T1591">
        <v>27.66</v>
      </c>
      <c r="U1591">
        <v>96</v>
      </c>
      <c r="V1591">
        <v>-9.32</v>
      </c>
      <c r="W1591">
        <v>91</v>
      </c>
      <c r="X1591" t="s">
        <v>102</v>
      </c>
      <c r="Y1591" t="s">
        <v>95</v>
      </c>
      <c r="Z1591" t="s">
        <v>96</v>
      </c>
      <c r="AA1591" t="s">
        <v>3424</v>
      </c>
      <c r="AB1591" t="s">
        <v>3425</v>
      </c>
      <c r="AC1591">
        <v>331</v>
      </c>
      <c r="AD1591">
        <v>179</v>
      </c>
      <c r="AE1591">
        <v>99</v>
      </c>
      <c r="AF1591">
        <v>-134.80000000000001</v>
      </c>
      <c r="AG1591">
        <v>-9.09</v>
      </c>
      <c r="AH1591">
        <v>-4.26</v>
      </c>
      <c r="AI1591">
        <v>-7.0000000000000007E-2</v>
      </c>
      <c r="AJ1591">
        <v>0.01</v>
      </c>
      <c r="AK1591">
        <v>89</v>
      </c>
      <c r="AL1591">
        <v>441</v>
      </c>
      <c r="AM1591">
        <v>235</v>
      </c>
      <c r="AN1591">
        <v>-5.44</v>
      </c>
      <c r="AO1591">
        <v>1.76</v>
      </c>
      <c r="AP1591">
        <v>242</v>
      </c>
      <c r="AQ1591">
        <v>2</v>
      </c>
      <c r="AR1591">
        <v>6.1</v>
      </c>
      <c r="AS1591">
        <v>87</v>
      </c>
      <c r="AT1591">
        <v>2.21</v>
      </c>
      <c r="AU1591">
        <v>94</v>
      </c>
      <c r="AV1591">
        <v>-0.39</v>
      </c>
      <c r="AW1591">
        <v>96</v>
      </c>
      <c r="AX1591">
        <v>-1</v>
      </c>
      <c r="AY1591">
        <v>95</v>
      </c>
      <c r="AZ1591">
        <v>6.09</v>
      </c>
      <c r="BA1591">
        <v>83</v>
      </c>
      <c r="BB1591">
        <v>4.47</v>
      </c>
      <c r="BC1591">
        <v>89</v>
      </c>
      <c r="BD1591">
        <v>-7.0000000000000007E-2</v>
      </c>
      <c r="BE1591">
        <v>-0.05</v>
      </c>
      <c r="BF1591">
        <v>0.01</v>
      </c>
      <c r="BG1591">
        <v>96</v>
      </c>
      <c r="BH1591">
        <v>-0.17</v>
      </c>
      <c r="BI1591">
        <v>10.41</v>
      </c>
      <c r="BJ1591">
        <v>14</v>
      </c>
      <c r="BK1591">
        <v>11</v>
      </c>
      <c r="BL1591">
        <v>-3.63</v>
      </c>
      <c r="BM1591">
        <v>2.27</v>
      </c>
      <c r="BN1591">
        <v>-3.91</v>
      </c>
      <c r="BO1591">
        <v>-4.38</v>
      </c>
      <c r="BP1591">
        <v>3.02</v>
      </c>
      <c r="BQ1591">
        <v>-1.31</v>
      </c>
      <c r="BR1591">
        <v>-2.0099999999999998</v>
      </c>
      <c r="BS1591">
        <v>-0.77</v>
      </c>
      <c r="BT1591">
        <v>0.31</v>
      </c>
      <c r="BU1591">
        <v>-4.51</v>
      </c>
      <c r="BV1591">
        <v>-5.09</v>
      </c>
      <c r="BW1591">
        <v>-4.49</v>
      </c>
      <c r="BX1591">
        <v>-2.57</v>
      </c>
      <c r="BY1591">
        <v>-3.94</v>
      </c>
      <c r="BZ1591">
        <v>1.42</v>
      </c>
      <c r="CA1591">
        <v>-4.05</v>
      </c>
      <c r="CB1591">
        <v>-5.2</v>
      </c>
      <c r="CC1591">
        <v>-1.28</v>
      </c>
      <c r="CD1591">
        <v>4.6900000000000004</v>
      </c>
      <c r="CE1591">
        <v>-4.08</v>
      </c>
      <c r="CF1591">
        <v>-3.17</v>
      </c>
      <c r="CG1591">
        <v>0</v>
      </c>
      <c r="CH1591">
        <v>-4.3099999999999996</v>
      </c>
      <c r="CI1591">
        <v>0</v>
      </c>
      <c r="CJ1591">
        <v>-5.3</v>
      </c>
      <c r="CK1591">
        <v>99</v>
      </c>
      <c r="CL1591">
        <v>0.34</v>
      </c>
      <c r="CM1591">
        <v>98</v>
      </c>
      <c r="CN1591">
        <v>-7.0000000000000007E-2</v>
      </c>
      <c r="CO1591">
        <v>98</v>
      </c>
      <c r="CP1591">
        <v>-13.8</v>
      </c>
      <c r="CQ1591">
        <v>98</v>
      </c>
      <c r="CR1591">
        <v>0</v>
      </c>
      <c r="CS1591">
        <v>0</v>
      </c>
      <c r="CT1591">
        <v>-23.6</v>
      </c>
      <c r="CU1591">
        <v>96</v>
      </c>
      <c r="CV1591">
        <v>-0.13</v>
      </c>
      <c r="CW1591">
        <v>45</v>
      </c>
      <c r="CX1591" t="s">
        <v>3426</v>
      </c>
    </row>
    <row r="1592" spans="1:102" x14ac:dyDescent="0.3">
      <c r="A1592" t="str">
        <f>HYPERLINK("https://webapp.icbf.com/v2/app/bull-search/view/1337232204","S3151")</f>
        <v>S3151</v>
      </c>
      <c r="B1592" t="s">
        <v>14716</v>
      </c>
      <c r="C1592" t="s">
        <v>14717</v>
      </c>
      <c r="D1592" s="1">
        <v>41870</v>
      </c>
      <c r="E1592" t="s">
        <v>92</v>
      </c>
      <c r="F1592">
        <v>100</v>
      </c>
      <c r="G1592" t="s">
        <v>109</v>
      </c>
      <c r="H1592">
        <v>100.16</v>
      </c>
      <c r="I1592">
        <v>72</v>
      </c>
      <c r="J1592">
        <v>72.319999999999993</v>
      </c>
      <c r="K1592">
        <v>91</v>
      </c>
      <c r="L1592">
        <v>-21.13</v>
      </c>
      <c r="M1592">
        <v>77</v>
      </c>
      <c r="N1592">
        <v>43.26</v>
      </c>
      <c r="O1592">
        <v>59</v>
      </c>
      <c r="P1592">
        <v>-1.79</v>
      </c>
      <c r="Q1592">
        <v>38</v>
      </c>
      <c r="R1592">
        <v>17.38</v>
      </c>
      <c r="S1592">
        <v>69</v>
      </c>
      <c r="T1592">
        <v>-15.03</v>
      </c>
      <c r="U1592">
        <v>36</v>
      </c>
      <c r="V1592">
        <v>5.15</v>
      </c>
      <c r="W1592">
        <v>55</v>
      </c>
      <c r="X1592" t="s">
        <v>110</v>
      </c>
      <c r="Y1592" t="s">
        <v>457</v>
      </c>
      <c r="Z1592" t="s">
        <v>96</v>
      </c>
      <c r="AA1592" t="s">
        <v>9343</v>
      </c>
      <c r="AB1592" t="s">
        <v>14718</v>
      </c>
      <c r="AC1592">
        <v>0</v>
      </c>
      <c r="AD1592">
        <v>0</v>
      </c>
      <c r="AE1592">
        <v>91</v>
      </c>
      <c r="AF1592">
        <v>483.65</v>
      </c>
      <c r="AG1592">
        <v>13.97</v>
      </c>
      <c r="AH1592">
        <v>14.76</v>
      </c>
      <c r="AI1592">
        <v>-0.08</v>
      </c>
      <c r="AJ1592">
        <v>-0.02</v>
      </c>
      <c r="AK1592">
        <v>77</v>
      </c>
      <c r="AL1592">
        <v>0</v>
      </c>
      <c r="AM1592">
        <v>0</v>
      </c>
      <c r="AN1592">
        <v>0.79</v>
      </c>
      <c r="AO1592">
        <v>-0.9</v>
      </c>
      <c r="AP1592">
        <v>3</v>
      </c>
      <c r="AQ1592">
        <v>0</v>
      </c>
      <c r="AR1592">
        <v>7.52</v>
      </c>
      <c r="AS1592">
        <v>51</v>
      </c>
      <c r="AT1592">
        <v>3.43</v>
      </c>
      <c r="AU1592">
        <v>88</v>
      </c>
      <c r="AV1592">
        <v>-5.29</v>
      </c>
      <c r="AW1592">
        <v>58</v>
      </c>
      <c r="AX1592">
        <v>0.03</v>
      </c>
      <c r="AY1592">
        <v>41</v>
      </c>
      <c r="AZ1592">
        <v>4.68</v>
      </c>
      <c r="BA1592">
        <v>36</v>
      </c>
      <c r="BB1592">
        <v>4.7</v>
      </c>
      <c r="BC1592">
        <v>36</v>
      </c>
      <c r="BD1592">
        <v>-7.0000000000000007E-2</v>
      </c>
      <c r="BE1592">
        <v>-7.0000000000000007E-2</v>
      </c>
      <c r="BF1592">
        <v>-0.15</v>
      </c>
      <c r="BG1592">
        <v>86</v>
      </c>
      <c r="BH1592">
        <v>0.05</v>
      </c>
      <c r="BI1592">
        <v>-10.83</v>
      </c>
      <c r="BJ1592">
        <v>0</v>
      </c>
      <c r="BK1592">
        <v>0</v>
      </c>
      <c r="BL1592">
        <v>3.39</v>
      </c>
      <c r="BM1592">
        <v>-1.1100000000000001</v>
      </c>
      <c r="BN1592">
        <v>-0.6</v>
      </c>
      <c r="BO1592">
        <v>1.29</v>
      </c>
      <c r="BP1592">
        <v>-0.88</v>
      </c>
      <c r="BQ1592">
        <v>0.97</v>
      </c>
      <c r="BR1592">
        <v>-0.74</v>
      </c>
      <c r="BS1592">
        <v>2.64</v>
      </c>
      <c r="BT1592">
        <v>2.2799999999999998</v>
      </c>
      <c r="BU1592">
        <v>3.75</v>
      </c>
      <c r="BV1592">
        <v>3.87</v>
      </c>
      <c r="BW1592">
        <v>2.98</v>
      </c>
      <c r="BX1592">
        <v>4.71</v>
      </c>
      <c r="BY1592">
        <v>2.68</v>
      </c>
      <c r="BZ1592">
        <v>-2.37</v>
      </c>
      <c r="CA1592">
        <v>3.81</v>
      </c>
      <c r="CB1592">
        <v>3.33</v>
      </c>
      <c r="CC1592">
        <v>2.2000000000000002</v>
      </c>
      <c r="CD1592">
        <v>-0.39</v>
      </c>
      <c r="CE1592">
        <v>0.7</v>
      </c>
      <c r="CF1592">
        <v>0.84</v>
      </c>
      <c r="CG1592">
        <v>0</v>
      </c>
      <c r="CH1592">
        <v>3.21</v>
      </c>
      <c r="CI1592">
        <v>0</v>
      </c>
      <c r="CJ1592">
        <v>0.9</v>
      </c>
      <c r="CK1592">
        <v>39</v>
      </c>
      <c r="CL1592">
        <v>-1.63</v>
      </c>
      <c r="CM1592">
        <v>38</v>
      </c>
      <c r="CN1592">
        <v>-1.03</v>
      </c>
      <c r="CO1592">
        <v>38</v>
      </c>
      <c r="CP1592">
        <v>11.5</v>
      </c>
      <c r="CQ1592">
        <v>37</v>
      </c>
      <c r="CR1592">
        <v>0</v>
      </c>
      <c r="CS1592">
        <v>0</v>
      </c>
      <c r="CT1592">
        <v>34.1</v>
      </c>
      <c r="CU1592">
        <v>36</v>
      </c>
      <c r="CV1592">
        <v>0.31</v>
      </c>
      <c r="CW1592">
        <v>33</v>
      </c>
      <c r="CX1592" t="s">
        <v>412</v>
      </c>
    </row>
    <row r="1593" spans="1:102" x14ac:dyDescent="0.3">
      <c r="A1593" t="str">
        <f>HYPERLINK("https://webapp.icbf.com/v2/app/bull-search/view/714755071","HYZ")</f>
        <v>HYZ</v>
      </c>
      <c r="B1593" t="s">
        <v>5445</v>
      </c>
      <c r="C1593" t="s">
        <v>5446</v>
      </c>
      <c r="D1593" s="1">
        <v>39283</v>
      </c>
      <c r="E1593" t="s">
        <v>92</v>
      </c>
      <c r="F1593">
        <v>56</v>
      </c>
      <c r="G1593" t="s">
        <v>93</v>
      </c>
      <c r="H1593">
        <v>99.89</v>
      </c>
      <c r="I1593">
        <v>97</v>
      </c>
      <c r="J1593">
        <v>76.069999999999993</v>
      </c>
      <c r="K1593">
        <v>99</v>
      </c>
      <c r="L1593">
        <v>25.15</v>
      </c>
      <c r="M1593">
        <v>96</v>
      </c>
      <c r="N1593">
        <v>16.010000000000002</v>
      </c>
      <c r="O1593">
        <v>99</v>
      </c>
      <c r="P1593">
        <v>-17.78</v>
      </c>
      <c r="Q1593">
        <v>99</v>
      </c>
      <c r="R1593">
        <v>-5.61</v>
      </c>
      <c r="S1593">
        <v>96</v>
      </c>
      <c r="T1593">
        <v>3.54</v>
      </c>
      <c r="U1593">
        <v>99</v>
      </c>
      <c r="V1593">
        <v>2.5099999999999998</v>
      </c>
      <c r="W1593">
        <v>87</v>
      </c>
      <c r="X1593" t="s">
        <v>94</v>
      </c>
      <c r="Y1593" t="s">
        <v>329</v>
      </c>
      <c r="Z1593" t="s">
        <v>330</v>
      </c>
      <c r="AA1593" t="s">
        <v>2339</v>
      </c>
      <c r="AB1593" t="s">
        <v>5447</v>
      </c>
      <c r="AC1593">
        <v>3457</v>
      </c>
      <c r="AD1593">
        <v>962</v>
      </c>
      <c r="AE1593">
        <v>99</v>
      </c>
      <c r="AF1593">
        <v>48.99</v>
      </c>
      <c r="AG1593">
        <v>14.1</v>
      </c>
      <c r="AH1593">
        <v>8.6999999999999993</v>
      </c>
      <c r="AI1593">
        <v>0.21</v>
      </c>
      <c r="AJ1593">
        <v>0.12</v>
      </c>
      <c r="AK1593">
        <v>96</v>
      </c>
      <c r="AL1593">
        <v>3934</v>
      </c>
      <c r="AM1593">
        <v>1200</v>
      </c>
      <c r="AN1593">
        <v>-1.02</v>
      </c>
      <c r="AO1593">
        <v>0.99</v>
      </c>
      <c r="AP1593">
        <v>6933</v>
      </c>
      <c r="AQ1593">
        <v>61</v>
      </c>
      <c r="AR1593">
        <v>8.98</v>
      </c>
      <c r="AS1593">
        <v>98</v>
      </c>
      <c r="AT1593">
        <v>3.78</v>
      </c>
      <c r="AU1593">
        <v>99</v>
      </c>
      <c r="AV1593">
        <v>-2.96</v>
      </c>
      <c r="AW1593">
        <v>99</v>
      </c>
      <c r="AX1593">
        <v>0.32</v>
      </c>
      <c r="AY1593">
        <v>99</v>
      </c>
      <c r="AZ1593">
        <v>5.48</v>
      </c>
      <c r="BA1593">
        <v>98</v>
      </c>
      <c r="BB1593">
        <v>4.55</v>
      </c>
      <c r="BC1593">
        <v>98</v>
      </c>
      <c r="BD1593">
        <v>0</v>
      </c>
      <c r="BE1593">
        <v>0.01</v>
      </c>
      <c r="BF1593">
        <v>0.11</v>
      </c>
      <c r="BG1593">
        <v>99</v>
      </c>
      <c r="BH1593">
        <v>0.01</v>
      </c>
      <c r="BI1593">
        <v>-6.94</v>
      </c>
      <c r="BJ1593">
        <v>25</v>
      </c>
      <c r="BK1593">
        <v>23</v>
      </c>
      <c r="BL1593">
        <v>-1.22</v>
      </c>
      <c r="BM1593">
        <v>0.49</v>
      </c>
      <c r="BN1593">
        <v>-0.68</v>
      </c>
      <c r="BO1593">
        <v>-0.99</v>
      </c>
      <c r="BP1593">
        <v>0.8</v>
      </c>
      <c r="BQ1593">
        <v>-1.83</v>
      </c>
      <c r="BR1593">
        <v>1.54</v>
      </c>
      <c r="BS1593">
        <v>-2.2400000000000002</v>
      </c>
      <c r="BT1593">
        <v>-3.54</v>
      </c>
      <c r="BU1593">
        <v>-2.2999999999999998</v>
      </c>
      <c r="BV1593">
        <v>-1.43</v>
      </c>
      <c r="BW1593">
        <v>-1.56</v>
      </c>
      <c r="BX1593">
        <v>-2.27</v>
      </c>
      <c r="BY1593">
        <v>-1.39</v>
      </c>
      <c r="BZ1593">
        <v>1</v>
      </c>
      <c r="CA1593">
        <v>-1.91</v>
      </c>
      <c r="CB1593">
        <v>-1.6</v>
      </c>
      <c r="CC1593">
        <v>-2.62</v>
      </c>
      <c r="CD1593">
        <v>0.08</v>
      </c>
      <c r="CE1593">
        <v>-0.22</v>
      </c>
      <c r="CF1593">
        <v>-1.47</v>
      </c>
      <c r="CG1593">
        <v>0</v>
      </c>
      <c r="CH1593">
        <v>-1.32</v>
      </c>
      <c r="CI1593">
        <v>0</v>
      </c>
      <c r="CJ1593">
        <v>-6.3</v>
      </c>
      <c r="CK1593">
        <v>99</v>
      </c>
      <c r="CL1593">
        <v>-0.85</v>
      </c>
      <c r="CM1593">
        <v>99</v>
      </c>
      <c r="CN1593">
        <v>-0.04</v>
      </c>
      <c r="CO1593">
        <v>99</v>
      </c>
      <c r="CP1593">
        <v>-5.2</v>
      </c>
      <c r="CQ1593">
        <v>99</v>
      </c>
      <c r="CR1593">
        <v>0</v>
      </c>
      <c r="CS1593">
        <v>0</v>
      </c>
      <c r="CT1593">
        <v>9</v>
      </c>
      <c r="CU1593">
        <v>99</v>
      </c>
      <c r="CV1593">
        <v>0.26</v>
      </c>
      <c r="CW1593">
        <v>48</v>
      </c>
      <c r="CX1593" t="s">
        <v>5448</v>
      </c>
    </row>
    <row r="1594" spans="1:102" x14ac:dyDescent="0.3">
      <c r="A1594" t="str">
        <f>HYPERLINK("https://webapp.icbf.com/v2/app/bull-search/view/110177021","MTZ")</f>
        <v>MTZ</v>
      </c>
      <c r="B1594" t="s">
        <v>3772</v>
      </c>
      <c r="C1594" t="s">
        <v>3773</v>
      </c>
      <c r="D1594" s="1">
        <v>37274</v>
      </c>
      <c r="E1594" t="s">
        <v>92</v>
      </c>
      <c r="F1594">
        <v>97</v>
      </c>
      <c r="G1594" t="s">
        <v>93</v>
      </c>
      <c r="H1594">
        <v>99.84</v>
      </c>
      <c r="I1594">
        <v>98</v>
      </c>
      <c r="J1594">
        <v>52.17</v>
      </c>
      <c r="K1594">
        <v>99</v>
      </c>
      <c r="L1594">
        <v>32.08</v>
      </c>
      <c r="M1594">
        <v>97</v>
      </c>
      <c r="N1594">
        <v>10.31</v>
      </c>
      <c r="O1594">
        <v>99</v>
      </c>
      <c r="P1594">
        <v>-10.62</v>
      </c>
      <c r="Q1594">
        <v>99</v>
      </c>
      <c r="R1594">
        <v>6.26</v>
      </c>
      <c r="S1594">
        <v>98</v>
      </c>
      <c r="T1594">
        <v>7.46</v>
      </c>
      <c r="U1594">
        <v>99</v>
      </c>
      <c r="V1594">
        <v>2.1800000000000002</v>
      </c>
      <c r="W1594">
        <v>99</v>
      </c>
      <c r="X1594" t="s">
        <v>94</v>
      </c>
      <c r="Y1594" t="s">
        <v>95</v>
      </c>
      <c r="Z1594" t="s">
        <v>96</v>
      </c>
      <c r="AA1594" t="s">
        <v>1037</v>
      </c>
      <c r="AB1594" t="s">
        <v>3774</v>
      </c>
      <c r="AC1594">
        <v>3765</v>
      </c>
      <c r="AD1594">
        <v>1544</v>
      </c>
      <c r="AE1594">
        <v>99</v>
      </c>
      <c r="AF1594">
        <v>-70.62</v>
      </c>
      <c r="AG1594">
        <v>5.8</v>
      </c>
      <c r="AH1594">
        <v>5.74</v>
      </c>
      <c r="AI1594">
        <v>0.15</v>
      </c>
      <c r="AJ1594">
        <v>0.14000000000000001</v>
      </c>
      <c r="AK1594">
        <v>97</v>
      </c>
      <c r="AL1594">
        <v>4597</v>
      </c>
      <c r="AM1594">
        <v>2059</v>
      </c>
      <c r="AN1594">
        <v>-2.41</v>
      </c>
      <c r="AO1594">
        <v>0.14000000000000001</v>
      </c>
      <c r="AP1594">
        <v>6281</v>
      </c>
      <c r="AQ1594">
        <v>76</v>
      </c>
      <c r="AR1594">
        <v>6.15</v>
      </c>
      <c r="AS1594">
        <v>98</v>
      </c>
      <c r="AT1594">
        <v>3.12</v>
      </c>
      <c r="AU1594">
        <v>99</v>
      </c>
      <c r="AV1594">
        <v>-0.7</v>
      </c>
      <c r="AW1594">
        <v>99</v>
      </c>
      <c r="AX1594">
        <v>-0.4</v>
      </c>
      <c r="AY1594">
        <v>99</v>
      </c>
      <c r="AZ1594">
        <v>7.56</v>
      </c>
      <c r="BA1594">
        <v>98</v>
      </c>
      <c r="BB1594">
        <v>4.67</v>
      </c>
      <c r="BC1594">
        <v>98</v>
      </c>
      <c r="BD1594">
        <v>-0.03</v>
      </c>
      <c r="BE1594">
        <v>-0.06</v>
      </c>
      <c r="BF1594">
        <v>0.02</v>
      </c>
      <c r="BG1594">
        <v>99</v>
      </c>
      <c r="BH1594">
        <v>0.04</v>
      </c>
      <c r="BI1594">
        <v>-2.39</v>
      </c>
      <c r="BJ1594">
        <v>143</v>
      </c>
      <c r="BK1594">
        <v>92</v>
      </c>
      <c r="BL1594">
        <v>-0.24</v>
      </c>
      <c r="BM1594">
        <v>-0.69</v>
      </c>
      <c r="BN1594">
        <v>-0.28000000000000003</v>
      </c>
      <c r="BO1594">
        <v>-0.06</v>
      </c>
      <c r="BP1594">
        <v>0.42</v>
      </c>
      <c r="BQ1594">
        <v>-1.46</v>
      </c>
      <c r="BR1594">
        <v>0.75</v>
      </c>
      <c r="BS1594">
        <v>-0.82</v>
      </c>
      <c r="BT1594">
        <v>-0.7</v>
      </c>
      <c r="BU1594">
        <v>1.6</v>
      </c>
      <c r="BV1594">
        <v>0.28999999999999998</v>
      </c>
      <c r="BW1594">
        <v>-0.37</v>
      </c>
      <c r="BX1594">
        <v>0.24</v>
      </c>
      <c r="BY1594">
        <v>0.71</v>
      </c>
      <c r="BZ1594">
        <v>-0.53</v>
      </c>
      <c r="CA1594">
        <v>0.24</v>
      </c>
      <c r="CB1594">
        <v>0.68</v>
      </c>
      <c r="CC1594">
        <v>-0.93</v>
      </c>
      <c r="CD1594">
        <v>-0.67</v>
      </c>
      <c r="CE1594">
        <v>-0.35</v>
      </c>
      <c r="CF1594">
        <v>-0.54</v>
      </c>
      <c r="CG1594">
        <v>0</v>
      </c>
      <c r="CH1594">
        <v>0.64</v>
      </c>
      <c r="CI1594">
        <v>0</v>
      </c>
      <c r="CJ1594">
        <v>-3</v>
      </c>
      <c r="CK1594">
        <v>99</v>
      </c>
      <c r="CL1594">
        <v>-0.78</v>
      </c>
      <c r="CM1594">
        <v>99</v>
      </c>
      <c r="CN1594">
        <v>-0.21</v>
      </c>
      <c r="CO1594">
        <v>99</v>
      </c>
      <c r="CP1594">
        <v>-5.9</v>
      </c>
      <c r="CQ1594">
        <v>99</v>
      </c>
      <c r="CR1594">
        <v>0</v>
      </c>
      <c r="CS1594">
        <v>0</v>
      </c>
      <c r="CT1594">
        <v>3.7</v>
      </c>
      <c r="CU1594">
        <v>99</v>
      </c>
      <c r="CV1594">
        <v>0.24</v>
      </c>
      <c r="CW1594">
        <v>49</v>
      </c>
      <c r="CX1594" t="s">
        <v>3775</v>
      </c>
    </row>
    <row r="1595" spans="1:102" x14ac:dyDescent="0.3">
      <c r="A1595" t="str">
        <f>HYPERLINK("https://webapp.icbf.com/v2/app/bull-search/view/437083648","MCL")</f>
        <v>MCL</v>
      </c>
      <c r="B1595" t="s">
        <v>14141</v>
      </c>
      <c r="C1595" t="s">
        <v>358</v>
      </c>
      <c r="D1595" s="1">
        <v>36720</v>
      </c>
      <c r="E1595" t="s">
        <v>92</v>
      </c>
      <c r="F1595">
        <v>100</v>
      </c>
      <c r="G1595" t="s">
        <v>93</v>
      </c>
      <c r="H1595">
        <v>99.8</v>
      </c>
      <c r="I1595">
        <v>98</v>
      </c>
      <c r="J1595">
        <v>25.25</v>
      </c>
      <c r="K1595">
        <v>99</v>
      </c>
      <c r="L1595">
        <v>10.32</v>
      </c>
      <c r="M1595">
        <v>96</v>
      </c>
      <c r="N1595">
        <v>35.5</v>
      </c>
      <c r="O1595">
        <v>98</v>
      </c>
      <c r="P1595">
        <v>-1.97</v>
      </c>
      <c r="Q1595">
        <v>99</v>
      </c>
      <c r="R1595">
        <v>13.03</v>
      </c>
      <c r="S1595">
        <v>96</v>
      </c>
      <c r="T1595">
        <v>13.23</v>
      </c>
      <c r="U1595">
        <v>98</v>
      </c>
      <c r="V1595">
        <v>4.4400000000000004</v>
      </c>
      <c r="W1595">
        <v>97</v>
      </c>
      <c r="X1595" t="s">
        <v>102</v>
      </c>
      <c r="Y1595" t="s">
        <v>95</v>
      </c>
      <c r="Z1595" t="s">
        <v>96</v>
      </c>
      <c r="AA1595" t="s">
        <v>3035</v>
      </c>
      <c r="AB1595" t="s">
        <v>14142</v>
      </c>
      <c r="AC1595">
        <v>1223</v>
      </c>
      <c r="AD1595">
        <v>315</v>
      </c>
      <c r="AE1595">
        <v>99</v>
      </c>
      <c r="AF1595">
        <v>80.989999999999995</v>
      </c>
      <c r="AG1595">
        <v>3.12</v>
      </c>
      <c r="AH1595">
        <v>4.43</v>
      </c>
      <c r="AI1595">
        <v>0</v>
      </c>
      <c r="AJ1595">
        <v>0.03</v>
      </c>
      <c r="AK1595">
        <v>96</v>
      </c>
      <c r="AL1595">
        <v>1180</v>
      </c>
      <c r="AM1595">
        <v>306</v>
      </c>
      <c r="AN1595">
        <v>0.76</v>
      </c>
      <c r="AO1595">
        <v>1.6</v>
      </c>
      <c r="AP1595">
        <v>2178</v>
      </c>
      <c r="AQ1595">
        <v>8</v>
      </c>
      <c r="AR1595">
        <v>4.5199999999999996</v>
      </c>
      <c r="AS1595">
        <v>98</v>
      </c>
      <c r="AT1595">
        <v>1.75</v>
      </c>
      <c r="AU1595">
        <v>99</v>
      </c>
      <c r="AV1595">
        <v>-2.69</v>
      </c>
      <c r="AW1595">
        <v>99</v>
      </c>
      <c r="AX1595">
        <v>0.08</v>
      </c>
      <c r="AY1595">
        <v>98</v>
      </c>
      <c r="AZ1595">
        <v>6.59</v>
      </c>
      <c r="BA1595">
        <v>96</v>
      </c>
      <c r="BB1595">
        <v>5.42</v>
      </c>
      <c r="BC1595">
        <v>96</v>
      </c>
      <c r="BD1595">
        <v>-0.01</v>
      </c>
      <c r="BE1595">
        <v>-7.0000000000000007E-2</v>
      </c>
      <c r="BF1595">
        <v>-0.15</v>
      </c>
      <c r="BG1595">
        <v>99</v>
      </c>
      <c r="BH1595">
        <v>-0.12</v>
      </c>
      <c r="BI1595">
        <v>-28.2</v>
      </c>
      <c r="BJ1595">
        <v>485</v>
      </c>
      <c r="BK1595">
        <v>128</v>
      </c>
      <c r="BL1595">
        <v>-0.01</v>
      </c>
      <c r="BM1595">
        <v>-1.55</v>
      </c>
      <c r="BN1595">
        <v>-0.73</v>
      </c>
      <c r="BO1595">
        <v>0.67</v>
      </c>
      <c r="BP1595">
        <v>1.34</v>
      </c>
      <c r="BQ1595">
        <v>0.19</v>
      </c>
      <c r="BR1595">
        <v>2.33</v>
      </c>
      <c r="BS1595">
        <v>2.62</v>
      </c>
      <c r="BT1595">
        <v>-0.97</v>
      </c>
      <c r="BU1595">
        <v>0.67</v>
      </c>
      <c r="BV1595">
        <v>0.72</v>
      </c>
      <c r="BW1595">
        <v>-0.2</v>
      </c>
      <c r="BX1595">
        <v>1.25</v>
      </c>
      <c r="BY1595">
        <v>1.23</v>
      </c>
      <c r="BZ1595">
        <v>-1.87</v>
      </c>
      <c r="CA1595">
        <v>1.63</v>
      </c>
      <c r="CB1595">
        <v>1.05</v>
      </c>
      <c r="CC1595">
        <v>1.99</v>
      </c>
      <c r="CD1595">
        <v>-1.41</v>
      </c>
      <c r="CE1595">
        <v>0.68</v>
      </c>
      <c r="CF1595">
        <v>-0.1</v>
      </c>
      <c r="CG1595">
        <v>0</v>
      </c>
      <c r="CH1595">
        <v>1.18</v>
      </c>
      <c r="CI1595">
        <v>0</v>
      </c>
      <c r="CJ1595">
        <v>-0.1</v>
      </c>
      <c r="CK1595">
        <v>99</v>
      </c>
      <c r="CL1595">
        <v>-0.81</v>
      </c>
      <c r="CM1595">
        <v>99</v>
      </c>
      <c r="CN1595">
        <v>-0.6</v>
      </c>
      <c r="CO1595">
        <v>99</v>
      </c>
      <c r="CP1595">
        <v>-3.3</v>
      </c>
      <c r="CQ1595">
        <v>99</v>
      </c>
      <c r="CR1595">
        <v>0</v>
      </c>
      <c r="CS1595">
        <v>0</v>
      </c>
      <c r="CT1595">
        <v>-4.0999999999999996</v>
      </c>
      <c r="CU1595">
        <v>98</v>
      </c>
      <c r="CV1595">
        <v>0.04</v>
      </c>
      <c r="CW1595">
        <v>47</v>
      </c>
      <c r="CX1595" t="s">
        <v>596</v>
      </c>
    </row>
    <row r="1596" spans="1:102" x14ac:dyDescent="0.3">
      <c r="A1596" t="str">
        <f>HYPERLINK("https://webapp.icbf.com/v2/app/bull-search/view/949608095","AAC")</f>
        <v>AAC</v>
      </c>
      <c r="B1596" t="s">
        <v>7639</v>
      </c>
      <c r="C1596" t="s">
        <v>7640</v>
      </c>
      <c r="D1596" s="1">
        <v>40953</v>
      </c>
      <c r="E1596" t="s">
        <v>92</v>
      </c>
      <c r="F1596">
        <v>63</v>
      </c>
      <c r="G1596" t="s">
        <v>93</v>
      </c>
      <c r="H1596">
        <v>99.74</v>
      </c>
      <c r="I1596">
        <v>95</v>
      </c>
      <c r="J1596">
        <v>63.43</v>
      </c>
      <c r="K1596">
        <v>99</v>
      </c>
      <c r="L1596">
        <v>31.94</v>
      </c>
      <c r="M1596">
        <v>91</v>
      </c>
      <c r="N1596">
        <v>21.71</v>
      </c>
      <c r="O1596">
        <v>97</v>
      </c>
      <c r="P1596">
        <v>-4.54</v>
      </c>
      <c r="Q1596">
        <v>99</v>
      </c>
      <c r="R1596">
        <v>-5.38</v>
      </c>
      <c r="S1596">
        <v>93</v>
      </c>
      <c r="T1596">
        <v>-2.23</v>
      </c>
      <c r="U1596">
        <v>96</v>
      </c>
      <c r="V1596">
        <v>-5.19</v>
      </c>
      <c r="W1596">
        <v>81</v>
      </c>
      <c r="X1596" t="s">
        <v>94</v>
      </c>
      <c r="Y1596" t="s">
        <v>1976</v>
      </c>
      <c r="Z1596" t="s">
        <v>96</v>
      </c>
      <c r="AA1596" t="s">
        <v>5692</v>
      </c>
      <c r="AB1596" t="s">
        <v>7641</v>
      </c>
      <c r="AC1596">
        <v>1138</v>
      </c>
      <c r="AD1596">
        <v>439</v>
      </c>
      <c r="AE1596">
        <v>99</v>
      </c>
      <c r="AF1596">
        <v>154.79</v>
      </c>
      <c r="AG1596">
        <v>9.77</v>
      </c>
      <c r="AH1596">
        <v>9.6999999999999993</v>
      </c>
      <c r="AI1596">
        <v>0.06</v>
      </c>
      <c r="AJ1596">
        <v>0.08</v>
      </c>
      <c r="AK1596">
        <v>91</v>
      </c>
      <c r="AL1596">
        <v>1312</v>
      </c>
      <c r="AM1596">
        <v>545</v>
      </c>
      <c r="AN1596">
        <v>-1.53</v>
      </c>
      <c r="AO1596">
        <v>1.02</v>
      </c>
      <c r="AP1596">
        <v>2130</v>
      </c>
      <c r="AQ1596">
        <v>12</v>
      </c>
      <c r="AR1596">
        <v>6.86</v>
      </c>
      <c r="AS1596">
        <v>97</v>
      </c>
      <c r="AT1596">
        <v>2.5299999999999998</v>
      </c>
      <c r="AU1596">
        <v>98</v>
      </c>
      <c r="AV1596">
        <v>-1.98</v>
      </c>
      <c r="AW1596">
        <v>99</v>
      </c>
      <c r="AX1596">
        <v>-0.02</v>
      </c>
      <c r="AY1596">
        <v>97</v>
      </c>
      <c r="AZ1596">
        <v>7.46</v>
      </c>
      <c r="BA1596">
        <v>93</v>
      </c>
      <c r="BB1596">
        <v>4.8499999999999996</v>
      </c>
      <c r="BC1596">
        <v>90</v>
      </c>
      <c r="BD1596">
        <v>-0.02</v>
      </c>
      <c r="BE1596">
        <v>0.03</v>
      </c>
      <c r="BF1596">
        <v>0.1</v>
      </c>
      <c r="BG1596">
        <v>98</v>
      </c>
      <c r="BH1596">
        <v>-0.18</v>
      </c>
      <c r="BI1596">
        <v>-4.09</v>
      </c>
      <c r="BJ1596">
        <v>74</v>
      </c>
      <c r="BK1596">
        <v>30</v>
      </c>
      <c r="BL1596">
        <v>-1.19</v>
      </c>
      <c r="BM1596">
        <v>2.14</v>
      </c>
      <c r="BN1596">
        <v>0.19</v>
      </c>
      <c r="BO1596">
        <v>-1.37</v>
      </c>
      <c r="BP1596">
        <v>-0.15</v>
      </c>
      <c r="BQ1596">
        <v>-1.85</v>
      </c>
      <c r="BR1596">
        <v>2.5499999999999998</v>
      </c>
      <c r="BS1596">
        <v>-1.06</v>
      </c>
      <c r="BT1596">
        <v>-3.11</v>
      </c>
      <c r="BU1596">
        <v>-2.59</v>
      </c>
      <c r="BV1596">
        <v>-3.07</v>
      </c>
      <c r="BW1596">
        <v>-4.03</v>
      </c>
      <c r="BX1596">
        <v>-2.16</v>
      </c>
      <c r="BY1596">
        <v>-4.54</v>
      </c>
      <c r="BZ1596">
        <v>0.41</v>
      </c>
      <c r="CA1596">
        <v>-2.6</v>
      </c>
      <c r="CB1596">
        <v>-2.9</v>
      </c>
      <c r="CC1596">
        <v>-1.04</v>
      </c>
      <c r="CD1596">
        <v>1.39</v>
      </c>
      <c r="CE1596">
        <v>-0.68</v>
      </c>
      <c r="CF1596">
        <v>-0.85</v>
      </c>
      <c r="CG1596">
        <v>0</v>
      </c>
      <c r="CH1596">
        <v>-4.4400000000000004</v>
      </c>
      <c r="CI1596">
        <v>0</v>
      </c>
      <c r="CJ1596">
        <v>2</v>
      </c>
      <c r="CK1596">
        <v>99</v>
      </c>
      <c r="CL1596">
        <v>-0.57999999999999996</v>
      </c>
      <c r="CM1596">
        <v>99</v>
      </c>
      <c r="CN1596">
        <v>0.17</v>
      </c>
      <c r="CO1596">
        <v>99</v>
      </c>
      <c r="CP1596">
        <v>4.5</v>
      </c>
      <c r="CQ1596">
        <v>97</v>
      </c>
      <c r="CR1596">
        <v>0</v>
      </c>
      <c r="CS1596">
        <v>0</v>
      </c>
      <c r="CT1596">
        <v>16.8</v>
      </c>
      <c r="CU1596">
        <v>96</v>
      </c>
      <c r="CV1596">
        <v>0.16</v>
      </c>
      <c r="CW1596">
        <v>48</v>
      </c>
      <c r="CX1596" t="s">
        <v>792</v>
      </c>
    </row>
    <row r="1597" spans="1:102" x14ac:dyDescent="0.3">
      <c r="A1597" t="str">
        <f>HYPERLINK("https://webapp.icbf.com/v2/app/bull-search/view/760395297","S1328")</f>
        <v>S1328</v>
      </c>
      <c r="B1597" t="s">
        <v>13108</v>
      </c>
      <c r="C1597" t="s">
        <v>408</v>
      </c>
      <c r="D1597" s="1">
        <v>39247</v>
      </c>
      <c r="E1597" t="s">
        <v>92</v>
      </c>
      <c r="F1597">
        <v>100</v>
      </c>
      <c r="G1597" t="s">
        <v>109</v>
      </c>
      <c r="H1597">
        <v>99.57</v>
      </c>
      <c r="I1597">
        <v>65</v>
      </c>
      <c r="J1597">
        <v>45.73</v>
      </c>
      <c r="K1597">
        <v>82</v>
      </c>
      <c r="L1597">
        <v>16.920000000000002</v>
      </c>
      <c r="M1597">
        <v>68</v>
      </c>
      <c r="N1597">
        <v>34.090000000000003</v>
      </c>
      <c r="O1597">
        <v>48</v>
      </c>
      <c r="P1597">
        <v>-13.12</v>
      </c>
      <c r="Q1597">
        <v>39</v>
      </c>
      <c r="R1597">
        <v>10.84</v>
      </c>
      <c r="S1597">
        <v>60</v>
      </c>
      <c r="T1597">
        <v>3.84</v>
      </c>
      <c r="U1597">
        <v>46</v>
      </c>
      <c r="V1597">
        <v>1.27</v>
      </c>
      <c r="W1597">
        <v>39</v>
      </c>
      <c r="X1597" t="s">
        <v>276</v>
      </c>
      <c r="Y1597" t="s">
        <v>342</v>
      </c>
      <c r="Z1597" t="s">
        <v>96</v>
      </c>
      <c r="AA1597" t="s">
        <v>309</v>
      </c>
      <c r="AB1597" t="s">
        <v>13109</v>
      </c>
      <c r="AC1597">
        <v>0</v>
      </c>
      <c r="AD1597">
        <v>0</v>
      </c>
      <c r="AE1597">
        <v>82</v>
      </c>
      <c r="AF1597">
        <v>375.64</v>
      </c>
      <c r="AG1597">
        <v>8.19</v>
      </c>
      <c r="AH1597">
        <v>10.63</v>
      </c>
      <c r="AI1597">
        <v>-0.1</v>
      </c>
      <c r="AJ1597">
        <v>-0.04</v>
      </c>
      <c r="AK1597">
        <v>68</v>
      </c>
      <c r="AL1597">
        <v>0</v>
      </c>
      <c r="AM1597">
        <v>0</v>
      </c>
      <c r="AN1597">
        <v>-1.65</v>
      </c>
      <c r="AO1597">
        <v>-0.31</v>
      </c>
      <c r="AP1597">
        <v>14</v>
      </c>
      <c r="AQ1597">
        <v>0</v>
      </c>
      <c r="AR1597">
        <v>3.88</v>
      </c>
      <c r="AS1597">
        <v>33</v>
      </c>
      <c r="AT1597">
        <v>1.71</v>
      </c>
      <c r="AU1597">
        <v>87</v>
      </c>
      <c r="AV1597">
        <v>-2.23</v>
      </c>
      <c r="AW1597">
        <v>37</v>
      </c>
      <c r="AX1597">
        <v>-0.04</v>
      </c>
      <c r="AY1597">
        <v>38</v>
      </c>
      <c r="AZ1597">
        <v>6.54</v>
      </c>
      <c r="BA1597">
        <v>32</v>
      </c>
      <c r="BB1597">
        <v>5.32</v>
      </c>
      <c r="BC1597">
        <v>30</v>
      </c>
      <c r="BD1597">
        <v>-0.02</v>
      </c>
      <c r="BE1597">
        <v>-0.04</v>
      </c>
      <c r="BF1597">
        <v>-0.14000000000000001</v>
      </c>
      <c r="BG1597">
        <v>84</v>
      </c>
      <c r="BH1597">
        <v>-0.05</v>
      </c>
      <c r="BI1597">
        <v>-9.8699999999999992</v>
      </c>
      <c r="BJ1597">
        <v>3</v>
      </c>
      <c r="BK1597">
        <v>2</v>
      </c>
      <c r="BL1597">
        <v>1.57</v>
      </c>
      <c r="BM1597">
        <v>-1.56</v>
      </c>
      <c r="BN1597">
        <v>-0.88</v>
      </c>
      <c r="BO1597">
        <v>0.71</v>
      </c>
      <c r="BP1597">
        <v>-0.41</v>
      </c>
      <c r="BQ1597">
        <v>-0.48</v>
      </c>
      <c r="BR1597">
        <v>-2.0499999999999998</v>
      </c>
      <c r="BS1597">
        <v>1.18</v>
      </c>
      <c r="BT1597">
        <v>1.49</v>
      </c>
      <c r="BU1597">
        <v>1.71</v>
      </c>
      <c r="BV1597">
        <v>2.16</v>
      </c>
      <c r="BW1597">
        <v>1.52</v>
      </c>
      <c r="BX1597">
        <v>2.02</v>
      </c>
      <c r="BY1597">
        <v>1.1100000000000001</v>
      </c>
      <c r="BZ1597">
        <v>-0.62</v>
      </c>
      <c r="CA1597">
        <v>1.68</v>
      </c>
      <c r="CB1597">
        <v>1.41</v>
      </c>
      <c r="CC1597">
        <v>1.1499999999999999</v>
      </c>
      <c r="CD1597">
        <v>-0.64</v>
      </c>
      <c r="CE1597">
        <v>1.2</v>
      </c>
      <c r="CF1597">
        <v>0.88</v>
      </c>
      <c r="CG1597">
        <v>0</v>
      </c>
      <c r="CH1597">
        <v>1.8</v>
      </c>
      <c r="CI1597">
        <v>0</v>
      </c>
      <c r="CJ1597">
        <v>-5.5</v>
      </c>
      <c r="CK1597">
        <v>41</v>
      </c>
      <c r="CL1597">
        <v>-1.08</v>
      </c>
      <c r="CM1597">
        <v>37</v>
      </c>
      <c r="CN1597">
        <v>-0.55000000000000004</v>
      </c>
      <c r="CO1597">
        <v>37</v>
      </c>
      <c r="CP1597">
        <v>-5.5</v>
      </c>
      <c r="CQ1597">
        <v>39</v>
      </c>
      <c r="CR1597">
        <v>0</v>
      </c>
      <c r="CS1597">
        <v>0</v>
      </c>
      <c r="CT1597">
        <v>8.6</v>
      </c>
      <c r="CU1597">
        <v>46</v>
      </c>
      <c r="CV1597">
        <v>0.3</v>
      </c>
      <c r="CW1597">
        <v>12</v>
      </c>
      <c r="CX1597" t="s">
        <v>316</v>
      </c>
    </row>
    <row r="1598" spans="1:102" x14ac:dyDescent="0.3">
      <c r="A1598" t="str">
        <f>HYPERLINK("https://webapp.icbf.com/v2/app/bull-search/view/586067824","S1140")</f>
        <v>S1140</v>
      </c>
      <c r="B1598" t="s">
        <v>5466</v>
      </c>
      <c r="C1598" t="s">
        <v>5467</v>
      </c>
      <c r="D1598" s="1">
        <v>38426</v>
      </c>
      <c r="E1598" t="s">
        <v>92</v>
      </c>
      <c r="F1598">
        <v>100</v>
      </c>
      <c r="G1598" t="s">
        <v>93</v>
      </c>
      <c r="H1598">
        <v>99.56</v>
      </c>
      <c r="I1598">
        <v>86</v>
      </c>
      <c r="J1598">
        <v>69.59</v>
      </c>
      <c r="K1598">
        <v>95</v>
      </c>
      <c r="L1598">
        <v>-1.45</v>
      </c>
      <c r="M1598">
        <v>88</v>
      </c>
      <c r="N1598">
        <v>26.3</v>
      </c>
      <c r="O1598">
        <v>75</v>
      </c>
      <c r="P1598">
        <v>17.440000000000001</v>
      </c>
      <c r="Q1598">
        <v>86</v>
      </c>
      <c r="R1598">
        <v>-2.57</v>
      </c>
      <c r="S1598">
        <v>75</v>
      </c>
      <c r="T1598">
        <v>-13.04</v>
      </c>
      <c r="U1598">
        <v>77</v>
      </c>
      <c r="V1598">
        <v>3.29</v>
      </c>
      <c r="W1598">
        <v>40</v>
      </c>
      <c r="X1598" t="s">
        <v>747</v>
      </c>
      <c r="Y1598" t="s">
        <v>336</v>
      </c>
      <c r="Z1598" t="s">
        <v>96</v>
      </c>
      <c r="AA1598" t="s">
        <v>316</v>
      </c>
      <c r="AB1598" t="s">
        <v>5468</v>
      </c>
      <c r="AC1598">
        <v>76</v>
      </c>
      <c r="AD1598">
        <v>21</v>
      </c>
      <c r="AE1598">
        <v>95</v>
      </c>
      <c r="AF1598">
        <v>602.78</v>
      </c>
      <c r="AG1598">
        <v>13.32</v>
      </c>
      <c r="AH1598">
        <v>16.350000000000001</v>
      </c>
      <c r="AI1598">
        <v>-0.15</v>
      </c>
      <c r="AJ1598">
        <v>-7.0000000000000007E-2</v>
      </c>
      <c r="AK1598">
        <v>88</v>
      </c>
      <c r="AL1598">
        <v>65</v>
      </c>
      <c r="AM1598">
        <v>13</v>
      </c>
      <c r="AN1598">
        <v>0.49</v>
      </c>
      <c r="AO1598">
        <v>0.38</v>
      </c>
      <c r="AP1598">
        <v>46</v>
      </c>
      <c r="AQ1598">
        <v>0</v>
      </c>
      <c r="AR1598">
        <v>7.59</v>
      </c>
      <c r="AS1598">
        <v>56</v>
      </c>
      <c r="AT1598">
        <v>3.25</v>
      </c>
      <c r="AU1598">
        <v>88</v>
      </c>
      <c r="AV1598">
        <v>-3.69</v>
      </c>
      <c r="AW1598">
        <v>85</v>
      </c>
      <c r="AX1598">
        <v>-0.84</v>
      </c>
      <c r="AY1598">
        <v>74</v>
      </c>
      <c r="AZ1598">
        <v>7.14</v>
      </c>
      <c r="BA1598">
        <v>41</v>
      </c>
      <c r="BB1598">
        <v>5.57</v>
      </c>
      <c r="BC1598">
        <v>42</v>
      </c>
      <c r="BD1598">
        <v>0</v>
      </c>
      <c r="BE1598">
        <v>0.01</v>
      </c>
      <c r="BF1598">
        <v>0.04</v>
      </c>
      <c r="BG1598">
        <v>93</v>
      </c>
      <c r="BH1598">
        <v>0.1</v>
      </c>
      <c r="BI1598">
        <v>0.94</v>
      </c>
      <c r="BJ1598">
        <v>53</v>
      </c>
      <c r="BK1598">
        <v>14</v>
      </c>
      <c r="BL1598">
        <v>1.46</v>
      </c>
      <c r="BM1598">
        <v>0.43</v>
      </c>
      <c r="BN1598">
        <v>0.42</v>
      </c>
      <c r="BO1598">
        <v>0.31</v>
      </c>
      <c r="BP1598">
        <v>0.89</v>
      </c>
      <c r="BQ1598">
        <v>0.91</v>
      </c>
      <c r="BR1598">
        <v>-3.41</v>
      </c>
      <c r="BS1598">
        <v>0.11</v>
      </c>
      <c r="BT1598">
        <v>3.46</v>
      </c>
      <c r="BU1598">
        <v>0.63</v>
      </c>
      <c r="BV1598">
        <v>1.56</v>
      </c>
      <c r="BW1598">
        <v>0.93</v>
      </c>
      <c r="BX1598">
        <v>0.28000000000000003</v>
      </c>
      <c r="BY1598">
        <v>1.19</v>
      </c>
      <c r="BZ1598">
        <v>1.42</v>
      </c>
      <c r="CA1598">
        <v>0.98</v>
      </c>
      <c r="CB1598">
        <v>1.04</v>
      </c>
      <c r="CC1598">
        <v>0.35</v>
      </c>
      <c r="CD1598">
        <v>0.36</v>
      </c>
      <c r="CE1598">
        <v>0.04</v>
      </c>
      <c r="CF1598">
        <v>1.1000000000000001</v>
      </c>
      <c r="CG1598">
        <v>0</v>
      </c>
      <c r="CH1598">
        <v>0.51</v>
      </c>
      <c r="CI1598">
        <v>0</v>
      </c>
      <c r="CJ1598">
        <v>10.6</v>
      </c>
      <c r="CK1598">
        <v>88</v>
      </c>
      <c r="CL1598">
        <v>-0.62</v>
      </c>
      <c r="CM1598">
        <v>85</v>
      </c>
      <c r="CN1598">
        <v>-0.62</v>
      </c>
      <c r="CO1598">
        <v>83</v>
      </c>
      <c r="CP1598">
        <v>13</v>
      </c>
      <c r="CQ1598">
        <v>80</v>
      </c>
      <c r="CR1598">
        <v>0</v>
      </c>
      <c r="CS1598">
        <v>0</v>
      </c>
      <c r="CT1598">
        <v>31.4</v>
      </c>
      <c r="CU1598">
        <v>77</v>
      </c>
      <c r="CV1598">
        <v>0.46</v>
      </c>
      <c r="CW1598">
        <v>30</v>
      </c>
      <c r="CX1598" t="s">
        <v>273</v>
      </c>
    </row>
    <row r="1599" spans="1:102" x14ac:dyDescent="0.3">
      <c r="A1599" t="str">
        <f>HYPERLINK("https://webapp.icbf.com/v2/app/bull-search/view/77853421","SRB")</f>
        <v>SRB</v>
      </c>
      <c r="B1599" t="s">
        <v>3824</v>
      </c>
      <c r="C1599" t="s">
        <v>3825</v>
      </c>
      <c r="D1599" s="1">
        <v>33244</v>
      </c>
      <c r="E1599" t="s">
        <v>92</v>
      </c>
      <c r="F1599">
        <v>50</v>
      </c>
      <c r="G1599" t="s">
        <v>93</v>
      </c>
      <c r="H1599">
        <v>99.53</v>
      </c>
      <c r="I1599">
        <v>86</v>
      </c>
      <c r="J1599">
        <v>37.11</v>
      </c>
      <c r="K1599">
        <v>97</v>
      </c>
      <c r="L1599">
        <v>55.48</v>
      </c>
      <c r="M1599">
        <v>75</v>
      </c>
      <c r="N1599">
        <v>15.44</v>
      </c>
      <c r="O1599">
        <v>82</v>
      </c>
      <c r="P1599">
        <v>-16.64</v>
      </c>
      <c r="Q1599">
        <v>94</v>
      </c>
      <c r="R1599">
        <v>-16.510000000000002</v>
      </c>
      <c r="S1599">
        <v>78</v>
      </c>
      <c r="T1599">
        <v>28.92</v>
      </c>
      <c r="U1599">
        <v>91</v>
      </c>
      <c r="V1599">
        <v>-4.2699999999999996</v>
      </c>
      <c r="W1599">
        <v>78</v>
      </c>
      <c r="X1599" t="s">
        <v>94</v>
      </c>
      <c r="Y1599" t="s">
        <v>95</v>
      </c>
      <c r="Z1599" t="s">
        <v>96</v>
      </c>
      <c r="AA1599" t="s">
        <v>3826</v>
      </c>
      <c r="AB1599" t="s">
        <v>3827</v>
      </c>
      <c r="AC1599">
        <v>142</v>
      </c>
      <c r="AD1599">
        <v>54</v>
      </c>
      <c r="AE1599">
        <v>97</v>
      </c>
      <c r="AF1599">
        <v>-35.590000000000003</v>
      </c>
      <c r="AG1599">
        <v>9.83</v>
      </c>
      <c r="AH1599">
        <v>2.29</v>
      </c>
      <c r="AI1599">
        <v>0.19</v>
      </c>
      <c r="AJ1599">
        <v>0.06</v>
      </c>
      <c r="AK1599">
        <v>75</v>
      </c>
      <c r="AL1599">
        <v>157</v>
      </c>
      <c r="AM1599">
        <v>63</v>
      </c>
      <c r="AN1599">
        <v>-1.8</v>
      </c>
      <c r="AO1599">
        <v>2.64</v>
      </c>
      <c r="AP1599">
        <v>130</v>
      </c>
      <c r="AQ1599">
        <v>0</v>
      </c>
      <c r="AR1599">
        <v>4.46</v>
      </c>
      <c r="AS1599">
        <v>70</v>
      </c>
      <c r="AT1599">
        <v>2.36</v>
      </c>
      <c r="AU1599">
        <v>80</v>
      </c>
      <c r="AV1599">
        <v>-1.24</v>
      </c>
      <c r="AW1599">
        <v>91</v>
      </c>
      <c r="AX1599">
        <v>0.02</v>
      </c>
      <c r="AY1599">
        <v>86</v>
      </c>
      <c r="AZ1599">
        <v>8</v>
      </c>
      <c r="BA1599">
        <v>54</v>
      </c>
      <c r="BB1599">
        <v>5.92</v>
      </c>
      <c r="BC1599">
        <v>66</v>
      </c>
      <c r="BD1599">
        <v>0.1</v>
      </c>
      <c r="BE1599">
        <v>7.0000000000000007E-2</v>
      </c>
      <c r="BF1599">
        <v>0.08</v>
      </c>
      <c r="BG1599">
        <v>88</v>
      </c>
      <c r="BH1599">
        <v>-0.16</v>
      </c>
      <c r="BI1599">
        <v>-4.7300000000000004</v>
      </c>
      <c r="BJ1599">
        <v>3</v>
      </c>
      <c r="BK1599">
        <v>2</v>
      </c>
      <c r="BL1599">
        <v>-1.1399999999999999</v>
      </c>
      <c r="BM1599">
        <v>0.62</v>
      </c>
      <c r="BN1599">
        <v>-0.79</v>
      </c>
      <c r="BO1599">
        <v>-1.04</v>
      </c>
      <c r="BP1599">
        <v>1.6</v>
      </c>
      <c r="BQ1599">
        <v>-0.18</v>
      </c>
      <c r="BR1599">
        <v>0.56999999999999995</v>
      </c>
      <c r="BS1599">
        <v>-0.36</v>
      </c>
      <c r="BT1599">
        <v>-0.24</v>
      </c>
      <c r="BU1599">
        <v>-1.67</v>
      </c>
      <c r="BV1599">
        <v>-1.79</v>
      </c>
      <c r="BW1599">
        <v>-1.87</v>
      </c>
      <c r="BX1599">
        <v>-2.5299999999999998</v>
      </c>
      <c r="BY1599">
        <v>-1.81</v>
      </c>
      <c r="BZ1599">
        <v>0.87</v>
      </c>
      <c r="CA1599">
        <v>-2.37</v>
      </c>
      <c r="CB1599">
        <v>-2.0099999999999998</v>
      </c>
      <c r="CC1599">
        <v>-2</v>
      </c>
      <c r="CD1599">
        <v>1.22</v>
      </c>
      <c r="CE1599">
        <v>-1.24</v>
      </c>
      <c r="CF1599">
        <v>-1.26</v>
      </c>
      <c r="CG1599">
        <v>0</v>
      </c>
      <c r="CH1599">
        <v>-2.04</v>
      </c>
      <c r="CI1599">
        <v>0</v>
      </c>
      <c r="CJ1599">
        <v>-6.5</v>
      </c>
      <c r="CK1599">
        <v>95</v>
      </c>
      <c r="CL1599">
        <v>-0.52</v>
      </c>
      <c r="CM1599">
        <v>93</v>
      </c>
      <c r="CN1599">
        <v>-7.0000000000000007E-2</v>
      </c>
      <c r="CO1599">
        <v>93</v>
      </c>
      <c r="CP1599">
        <v>-20.8</v>
      </c>
      <c r="CQ1599">
        <v>93</v>
      </c>
      <c r="CR1599">
        <v>0</v>
      </c>
      <c r="CS1599">
        <v>0</v>
      </c>
      <c r="CT1599">
        <v>-25.3</v>
      </c>
      <c r="CU1599">
        <v>91</v>
      </c>
      <c r="CV1599">
        <v>0.02</v>
      </c>
      <c r="CW1599">
        <v>27</v>
      </c>
      <c r="CX1599" t="s">
        <v>3180</v>
      </c>
    </row>
    <row r="1600" spans="1:102" x14ac:dyDescent="0.3">
      <c r="A1600" t="str">
        <f>HYPERLINK("https://webapp.icbf.com/v2/app/bull-search/view/77857453","FYG")</f>
        <v>FYG</v>
      </c>
      <c r="B1600" t="s">
        <v>4307</v>
      </c>
      <c r="C1600" t="s">
        <v>4308</v>
      </c>
      <c r="D1600" s="1">
        <v>32399</v>
      </c>
      <c r="E1600" t="s">
        <v>92</v>
      </c>
      <c r="F1600">
        <v>100</v>
      </c>
      <c r="G1600" t="s">
        <v>93</v>
      </c>
      <c r="H1600">
        <v>99.53</v>
      </c>
      <c r="I1600">
        <v>91</v>
      </c>
      <c r="J1600">
        <v>24.57</v>
      </c>
      <c r="K1600">
        <v>98</v>
      </c>
      <c r="L1600">
        <v>50.01</v>
      </c>
      <c r="M1600">
        <v>88</v>
      </c>
      <c r="N1600">
        <v>2.71</v>
      </c>
      <c r="O1600">
        <v>87</v>
      </c>
      <c r="P1600">
        <v>-1.1100000000000001</v>
      </c>
      <c r="Q1600">
        <v>96</v>
      </c>
      <c r="R1600">
        <v>-8.92</v>
      </c>
      <c r="S1600">
        <v>78</v>
      </c>
      <c r="T1600">
        <v>24.11</v>
      </c>
      <c r="U1600">
        <v>90</v>
      </c>
      <c r="V1600">
        <v>8.16</v>
      </c>
      <c r="W1600">
        <v>75</v>
      </c>
      <c r="X1600" t="s">
        <v>102</v>
      </c>
      <c r="Y1600" t="s">
        <v>95</v>
      </c>
      <c r="Z1600" t="s">
        <v>96</v>
      </c>
      <c r="AA1600" t="s">
        <v>982</v>
      </c>
      <c r="AB1600" t="s">
        <v>144</v>
      </c>
      <c r="AC1600">
        <v>215</v>
      </c>
      <c r="AD1600">
        <v>54</v>
      </c>
      <c r="AE1600">
        <v>98</v>
      </c>
      <c r="AF1600">
        <v>-140.35</v>
      </c>
      <c r="AG1600">
        <v>10.32</v>
      </c>
      <c r="AH1600">
        <v>-1.62</v>
      </c>
      <c r="AI1600">
        <v>0.27</v>
      </c>
      <c r="AJ1600">
        <v>0.05</v>
      </c>
      <c r="AK1600">
        <v>88</v>
      </c>
      <c r="AL1600">
        <v>256</v>
      </c>
      <c r="AM1600">
        <v>63</v>
      </c>
      <c r="AN1600">
        <v>-2.6</v>
      </c>
      <c r="AO1600">
        <v>1.39</v>
      </c>
      <c r="AP1600">
        <v>116</v>
      </c>
      <c r="AQ1600">
        <v>0</v>
      </c>
      <c r="AR1600">
        <v>7.14</v>
      </c>
      <c r="AS1600">
        <v>71</v>
      </c>
      <c r="AT1600">
        <v>3.21</v>
      </c>
      <c r="AU1600">
        <v>87</v>
      </c>
      <c r="AV1600">
        <v>-0.42</v>
      </c>
      <c r="AW1600">
        <v>93</v>
      </c>
      <c r="AX1600">
        <v>-0.24</v>
      </c>
      <c r="AY1600">
        <v>90</v>
      </c>
      <c r="AZ1600">
        <v>6.66</v>
      </c>
      <c r="BA1600">
        <v>72</v>
      </c>
      <c r="BB1600">
        <v>5.28</v>
      </c>
      <c r="BC1600">
        <v>81</v>
      </c>
      <c r="BD1600">
        <v>0.03</v>
      </c>
      <c r="BE1600">
        <v>0.05</v>
      </c>
      <c r="BF1600">
        <v>0.06</v>
      </c>
      <c r="BG1600">
        <v>92</v>
      </c>
      <c r="BH1600">
        <v>0.13</v>
      </c>
      <c r="BI1600">
        <v>-11.28</v>
      </c>
      <c r="BJ1600">
        <v>6</v>
      </c>
      <c r="BK1600">
        <v>5</v>
      </c>
      <c r="BL1600">
        <v>-0.91</v>
      </c>
      <c r="BM1600">
        <v>-0.71</v>
      </c>
      <c r="BN1600">
        <v>-1.95</v>
      </c>
      <c r="BO1600">
        <v>-0.76</v>
      </c>
      <c r="BP1600">
        <v>-0.87</v>
      </c>
      <c r="BQ1600">
        <v>-1.21</v>
      </c>
      <c r="BR1600">
        <v>0.14000000000000001</v>
      </c>
      <c r="BS1600">
        <v>-0.18</v>
      </c>
      <c r="BT1600">
        <v>-7.0000000000000007E-2</v>
      </c>
      <c r="BU1600">
        <v>-0.32</v>
      </c>
      <c r="BV1600">
        <v>0.36</v>
      </c>
      <c r="BW1600">
        <v>-0.37</v>
      </c>
      <c r="BX1600">
        <v>0.59</v>
      </c>
      <c r="BY1600">
        <v>-0.4</v>
      </c>
      <c r="BZ1600">
        <v>-0.6</v>
      </c>
      <c r="CA1600">
        <v>0.08</v>
      </c>
      <c r="CB1600">
        <v>0.01</v>
      </c>
      <c r="CC1600">
        <v>-0.12</v>
      </c>
      <c r="CD1600">
        <v>0.47</v>
      </c>
      <c r="CE1600">
        <v>-1.23</v>
      </c>
      <c r="CF1600">
        <v>-0.38</v>
      </c>
      <c r="CG1600">
        <v>0</v>
      </c>
      <c r="CH1600">
        <v>-1.25</v>
      </c>
      <c r="CI1600">
        <v>0</v>
      </c>
      <c r="CJ1600">
        <v>2.2000000000000002</v>
      </c>
      <c r="CK1600">
        <v>96</v>
      </c>
      <c r="CL1600">
        <v>-0.19</v>
      </c>
      <c r="CM1600">
        <v>95</v>
      </c>
      <c r="CN1600">
        <v>0.08</v>
      </c>
      <c r="CO1600">
        <v>95</v>
      </c>
      <c r="CP1600">
        <v>-8.3000000000000007</v>
      </c>
      <c r="CQ1600">
        <v>96</v>
      </c>
      <c r="CR1600">
        <v>0</v>
      </c>
      <c r="CS1600">
        <v>0</v>
      </c>
      <c r="CT1600">
        <v>-18.8</v>
      </c>
      <c r="CU1600">
        <v>90</v>
      </c>
      <c r="CV1600">
        <v>0.14000000000000001</v>
      </c>
      <c r="CW1600">
        <v>28</v>
      </c>
      <c r="CX1600" t="s">
        <v>120</v>
      </c>
    </row>
    <row r="1601" spans="1:102" x14ac:dyDescent="0.3">
      <c r="A1601" t="str">
        <f>HYPERLINK("https://webapp.icbf.com/v2/app/bull-search/view/586214230","S902")</f>
        <v>S902</v>
      </c>
      <c r="B1601" t="s">
        <v>9075</v>
      </c>
      <c r="C1601" t="s">
        <v>9076</v>
      </c>
      <c r="D1601" s="1">
        <v>38803</v>
      </c>
      <c r="E1601" t="s">
        <v>92</v>
      </c>
      <c r="F1601">
        <v>100</v>
      </c>
      <c r="G1601" t="s">
        <v>93</v>
      </c>
      <c r="H1601">
        <v>99.52</v>
      </c>
      <c r="I1601">
        <v>94</v>
      </c>
      <c r="J1601">
        <v>61.56</v>
      </c>
      <c r="K1601">
        <v>99</v>
      </c>
      <c r="L1601">
        <v>6.19</v>
      </c>
      <c r="M1601">
        <v>91</v>
      </c>
      <c r="N1601">
        <v>34.369999999999997</v>
      </c>
      <c r="O1601">
        <v>93</v>
      </c>
      <c r="P1601">
        <v>-8.19</v>
      </c>
      <c r="Q1601">
        <v>97</v>
      </c>
      <c r="R1601">
        <v>12.93</v>
      </c>
      <c r="S1601">
        <v>85</v>
      </c>
      <c r="T1601">
        <v>-6.15</v>
      </c>
      <c r="U1601">
        <v>90</v>
      </c>
      <c r="V1601">
        <v>-1.19</v>
      </c>
      <c r="W1601">
        <v>79</v>
      </c>
      <c r="X1601" t="s">
        <v>94</v>
      </c>
      <c r="Y1601" t="s">
        <v>303</v>
      </c>
      <c r="Z1601" t="s">
        <v>96</v>
      </c>
      <c r="AA1601" t="s">
        <v>309</v>
      </c>
      <c r="AB1601" t="s">
        <v>1749</v>
      </c>
      <c r="AC1601">
        <v>310</v>
      </c>
      <c r="AD1601">
        <v>89</v>
      </c>
      <c r="AE1601">
        <v>99</v>
      </c>
      <c r="AF1601">
        <v>345.99</v>
      </c>
      <c r="AG1601">
        <v>10.220000000000001</v>
      </c>
      <c r="AH1601">
        <v>12.15</v>
      </c>
      <c r="AI1601">
        <v>-0.05</v>
      </c>
      <c r="AJ1601">
        <v>0.01</v>
      </c>
      <c r="AK1601">
        <v>91</v>
      </c>
      <c r="AL1601">
        <v>281</v>
      </c>
      <c r="AM1601">
        <v>99</v>
      </c>
      <c r="AN1601">
        <v>0.14000000000000001</v>
      </c>
      <c r="AO1601">
        <v>0.64</v>
      </c>
      <c r="AP1601">
        <v>480</v>
      </c>
      <c r="AQ1601">
        <v>3</v>
      </c>
      <c r="AR1601">
        <v>5.03</v>
      </c>
      <c r="AS1601">
        <v>91</v>
      </c>
      <c r="AT1601">
        <v>2.2000000000000002</v>
      </c>
      <c r="AU1601">
        <v>94</v>
      </c>
      <c r="AV1601">
        <v>-2.12</v>
      </c>
      <c r="AW1601">
        <v>98</v>
      </c>
      <c r="AX1601">
        <v>0.09</v>
      </c>
      <c r="AY1601">
        <v>92</v>
      </c>
      <c r="AZ1601">
        <v>5.4</v>
      </c>
      <c r="BA1601">
        <v>81</v>
      </c>
      <c r="BB1601">
        <v>4.29</v>
      </c>
      <c r="BC1601">
        <v>79</v>
      </c>
      <c r="BD1601">
        <v>-0.05</v>
      </c>
      <c r="BE1601">
        <v>-0.06</v>
      </c>
      <c r="BF1601">
        <v>-0.1</v>
      </c>
      <c r="BG1601">
        <v>95</v>
      </c>
      <c r="BH1601">
        <v>-0.12</v>
      </c>
      <c r="BI1601">
        <v>-10.039999999999999</v>
      </c>
      <c r="BJ1601">
        <v>99</v>
      </c>
      <c r="BK1601">
        <v>46</v>
      </c>
      <c r="BL1601">
        <v>1.5</v>
      </c>
      <c r="BM1601">
        <v>-0.54</v>
      </c>
      <c r="BN1601">
        <v>0.21</v>
      </c>
      <c r="BO1601">
        <v>0.63</v>
      </c>
      <c r="BP1601">
        <v>-1.2</v>
      </c>
      <c r="BQ1601">
        <v>-0.21</v>
      </c>
      <c r="BR1601">
        <v>-0.93</v>
      </c>
      <c r="BS1601">
        <v>2.59</v>
      </c>
      <c r="BT1601">
        <v>0.41</v>
      </c>
      <c r="BU1601">
        <v>2.61</v>
      </c>
      <c r="BV1601">
        <v>2.5</v>
      </c>
      <c r="BW1601">
        <v>0.85</v>
      </c>
      <c r="BX1601">
        <v>2.0099999999999998</v>
      </c>
      <c r="BY1601">
        <v>0.18</v>
      </c>
      <c r="BZ1601">
        <v>0.76</v>
      </c>
      <c r="CA1601">
        <v>2.17</v>
      </c>
      <c r="CB1601">
        <v>1.49</v>
      </c>
      <c r="CC1601">
        <v>2.31</v>
      </c>
      <c r="CD1601">
        <v>-0.02</v>
      </c>
      <c r="CE1601">
        <v>0.67</v>
      </c>
      <c r="CF1601">
        <v>1.08</v>
      </c>
      <c r="CG1601">
        <v>0</v>
      </c>
      <c r="CH1601">
        <v>0.01</v>
      </c>
      <c r="CI1601">
        <v>0</v>
      </c>
      <c r="CJ1601">
        <v>-0.5</v>
      </c>
      <c r="CK1601">
        <v>98</v>
      </c>
      <c r="CL1601">
        <v>-1.34</v>
      </c>
      <c r="CM1601">
        <v>97</v>
      </c>
      <c r="CN1601">
        <v>-0.53</v>
      </c>
      <c r="CO1601">
        <v>97</v>
      </c>
      <c r="CP1601">
        <v>0.8</v>
      </c>
      <c r="CQ1601">
        <v>94</v>
      </c>
      <c r="CR1601">
        <v>0</v>
      </c>
      <c r="CS1601">
        <v>0</v>
      </c>
      <c r="CT1601">
        <v>22.1</v>
      </c>
      <c r="CU1601">
        <v>90</v>
      </c>
      <c r="CV1601">
        <v>0.33</v>
      </c>
      <c r="CW1601">
        <v>46</v>
      </c>
      <c r="CX1601" t="s">
        <v>316</v>
      </c>
    </row>
    <row r="1602" spans="1:102" x14ac:dyDescent="0.3">
      <c r="A1602" t="str">
        <f>HYPERLINK("https://webapp.icbf.com/v2/app/bull-search/view/554314418","ANY")</f>
        <v>ANY</v>
      </c>
      <c r="B1602" t="s">
        <v>12509</v>
      </c>
      <c r="C1602" t="s">
        <v>2378</v>
      </c>
      <c r="D1602" s="1">
        <v>39100</v>
      </c>
      <c r="E1602" t="s">
        <v>108</v>
      </c>
      <c r="F1602">
        <v>0</v>
      </c>
      <c r="G1602" t="s">
        <v>93</v>
      </c>
      <c r="H1602">
        <v>99.33</v>
      </c>
      <c r="I1602">
        <v>96</v>
      </c>
      <c r="J1602">
        <v>13.56</v>
      </c>
      <c r="K1602">
        <v>99</v>
      </c>
      <c r="L1602">
        <v>51.66</v>
      </c>
      <c r="M1602">
        <v>93</v>
      </c>
      <c r="N1602">
        <v>31</v>
      </c>
      <c r="O1602">
        <v>98</v>
      </c>
      <c r="P1602">
        <v>-22.15</v>
      </c>
      <c r="Q1602">
        <v>99</v>
      </c>
      <c r="R1602">
        <v>-0.43</v>
      </c>
      <c r="S1602">
        <v>93</v>
      </c>
      <c r="T1602">
        <v>27.89</v>
      </c>
      <c r="U1602">
        <v>97</v>
      </c>
      <c r="V1602">
        <v>-2.2000000000000002</v>
      </c>
      <c r="W1602">
        <v>90</v>
      </c>
      <c r="X1602" t="s">
        <v>102</v>
      </c>
      <c r="Y1602" t="s">
        <v>1374</v>
      </c>
      <c r="Z1602" t="s">
        <v>96</v>
      </c>
      <c r="AA1602" t="s">
        <v>12510</v>
      </c>
      <c r="AB1602" t="s">
        <v>12511</v>
      </c>
      <c r="AC1602">
        <v>1018</v>
      </c>
      <c r="AD1602">
        <v>307</v>
      </c>
      <c r="AE1602">
        <v>99</v>
      </c>
      <c r="AF1602">
        <v>216.32</v>
      </c>
      <c r="AG1602">
        <v>3.81</v>
      </c>
      <c r="AH1602">
        <v>4.2699999999999996</v>
      </c>
      <c r="AI1602">
        <v>-0.08</v>
      </c>
      <c r="AJ1602">
        <v>-0.05</v>
      </c>
      <c r="AK1602">
        <v>93</v>
      </c>
      <c r="AL1602">
        <v>1903</v>
      </c>
      <c r="AM1602">
        <v>640</v>
      </c>
      <c r="AN1602">
        <v>-2.02</v>
      </c>
      <c r="AO1602">
        <v>2.11</v>
      </c>
      <c r="AP1602">
        <v>2759</v>
      </c>
      <c r="AQ1602">
        <v>28</v>
      </c>
      <c r="AR1602">
        <v>5.55</v>
      </c>
      <c r="AS1602">
        <v>98</v>
      </c>
      <c r="AT1602">
        <v>2.2400000000000002</v>
      </c>
      <c r="AU1602">
        <v>98</v>
      </c>
      <c r="AV1602">
        <v>-2.4500000000000002</v>
      </c>
      <c r="AW1602">
        <v>99</v>
      </c>
      <c r="AX1602">
        <v>-0.31</v>
      </c>
      <c r="AY1602">
        <v>99</v>
      </c>
      <c r="AZ1602">
        <v>5.86</v>
      </c>
      <c r="BA1602">
        <v>95</v>
      </c>
      <c r="BB1602">
        <v>5.36</v>
      </c>
      <c r="BC1602">
        <v>94</v>
      </c>
      <c r="BD1602">
        <v>0.03</v>
      </c>
      <c r="BE1602">
        <v>0</v>
      </c>
      <c r="BF1602">
        <v>-0.04</v>
      </c>
      <c r="BG1602">
        <v>98</v>
      </c>
      <c r="BH1602">
        <v>-0.09</v>
      </c>
      <c r="BI1602">
        <v>-3.33</v>
      </c>
      <c r="BJ1602">
        <v>59</v>
      </c>
      <c r="BK1602">
        <v>38</v>
      </c>
      <c r="BL1602">
        <v>-3.45</v>
      </c>
      <c r="BM1602">
        <v>0.13</v>
      </c>
      <c r="BN1602">
        <v>-2.52</v>
      </c>
      <c r="BO1602">
        <v>-1.91</v>
      </c>
      <c r="BP1602">
        <v>-1.02</v>
      </c>
      <c r="BQ1602">
        <v>0.57999999999999996</v>
      </c>
      <c r="BR1602">
        <v>0.77</v>
      </c>
      <c r="BS1602">
        <v>-0.81</v>
      </c>
      <c r="BT1602">
        <v>-0.92</v>
      </c>
      <c r="BU1602">
        <v>-2.31</v>
      </c>
      <c r="BV1602">
        <v>-1.43</v>
      </c>
      <c r="BW1602">
        <v>-1.68</v>
      </c>
      <c r="BX1602">
        <v>-3.03</v>
      </c>
      <c r="BY1602">
        <v>0.41</v>
      </c>
      <c r="BZ1602">
        <v>1.24</v>
      </c>
      <c r="CA1602">
        <v>-1.34</v>
      </c>
      <c r="CB1602">
        <v>-0.92</v>
      </c>
      <c r="CC1602">
        <v>-1.76</v>
      </c>
      <c r="CD1602">
        <v>1.1299999999999999</v>
      </c>
      <c r="CE1602">
        <v>-0.8</v>
      </c>
      <c r="CF1602">
        <v>-2.02</v>
      </c>
      <c r="CG1602">
        <v>0</v>
      </c>
      <c r="CH1602">
        <v>0.49</v>
      </c>
      <c r="CI1602">
        <v>0</v>
      </c>
      <c r="CJ1602">
        <v>-14.2</v>
      </c>
      <c r="CK1602">
        <v>99</v>
      </c>
      <c r="CL1602">
        <v>-0.3</v>
      </c>
      <c r="CM1602">
        <v>99</v>
      </c>
      <c r="CN1602">
        <v>-0.32</v>
      </c>
      <c r="CO1602">
        <v>99</v>
      </c>
      <c r="CP1602">
        <v>-21.4</v>
      </c>
      <c r="CQ1602">
        <v>98</v>
      </c>
      <c r="CR1602">
        <v>0</v>
      </c>
      <c r="CS1602">
        <v>0</v>
      </c>
      <c r="CT1602">
        <v>-23.9</v>
      </c>
      <c r="CU1602">
        <v>97</v>
      </c>
      <c r="CV1602">
        <v>-7.0000000000000007E-2</v>
      </c>
      <c r="CW1602">
        <v>46</v>
      </c>
      <c r="CX1602" t="s">
        <v>2778</v>
      </c>
    </row>
    <row r="1603" spans="1:102" x14ac:dyDescent="0.3">
      <c r="A1603" t="str">
        <f>HYPERLINK("https://webapp.icbf.com/v2/app/bull-search/view/910813357","FBD")</f>
        <v>FBD</v>
      </c>
      <c r="B1603" t="s">
        <v>2033</v>
      </c>
      <c r="C1603" t="s">
        <v>2034</v>
      </c>
      <c r="D1603" s="1">
        <v>40191</v>
      </c>
      <c r="E1603" t="s">
        <v>92</v>
      </c>
      <c r="F1603">
        <v>100</v>
      </c>
      <c r="G1603" t="s">
        <v>93</v>
      </c>
      <c r="H1603">
        <v>99.32</v>
      </c>
      <c r="I1603">
        <v>77</v>
      </c>
      <c r="J1603">
        <v>41.88</v>
      </c>
      <c r="K1603">
        <v>90</v>
      </c>
      <c r="L1603">
        <v>23.49</v>
      </c>
      <c r="M1603">
        <v>77</v>
      </c>
      <c r="N1603">
        <v>41.5</v>
      </c>
      <c r="O1603">
        <v>76</v>
      </c>
      <c r="P1603">
        <v>-18.63</v>
      </c>
      <c r="Q1603">
        <v>84</v>
      </c>
      <c r="R1603">
        <v>2.0299999999999998</v>
      </c>
      <c r="S1603">
        <v>64</v>
      </c>
      <c r="T1603">
        <v>5.83</v>
      </c>
      <c r="U1603">
        <v>49</v>
      </c>
      <c r="V1603">
        <v>3.22</v>
      </c>
      <c r="W1603">
        <v>37</v>
      </c>
      <c r="X1603" t="s">
        <v>251</v>
      </c>
      <c r="Y1603" t="s">
        <v>329</v>
      </c>
      <c r="Z1603" t="s">
        <v>96</v>
      </c>
      <c r="AA1603" t="s">
        <v>1572</v>
      </c>
      <c r="AB1603" t="s">
        <v>2035</v>
      </c>
      <c r="AC1603">
        <v>63</v>
      </c>
      <c r="AD1603">
        <v>25</v>
      </c>
      <c r="AE1603">
        <v>90</v>
      </c>
      <c r="AF1603">
        <v>364.49</v>
      </c>
      <c r="AG1603">
        <v>10.86</v>
      </c>
      <c r="AH1603">
        <v>8.86</v>
      </c>
      <c r="AI1603">
        <v>-0.05</v>
      </c>
      <c r="AJ1603">
        <v>-0.06</v>
      </c>
      <c r="AK1603">
        <v>77</v>
      </c>
      <c r="AL1603">
        <v>35</v>
      </c>
      <c r="AM1603">
        <v>16</v>
      </c>
      <c r="AN1603">
        <v>-1.51</v>
      </c>
      <c r="AO1603">
        <v>0.36</v>
      </c>
      <c r="AP1603">
        <v>161</v>
      </c>
      <c r="AQ1603">
        <v>2</v>
      </c>
      <c r="AR1603">
        <v>7.16</v>
      </c>
      <c r="AS1603">
        <v>66</v>
      </c>
      <c r="AT1603">
        <v>3.01</v>
      </c>
      <c r="AU1603">
        <v>82</v>
      </c>
      <c r="AV1603">
        <v>-4.6100000000000003</v>
      </c>
      <c r="AW1603">
        <v>91</v>
      </c>
      <c r="AX1603">
        <v>0.73</v>
      </c>
      <c r="AY1603">
        <v>73</v>
      </c>
      <c r="AZ1603">
        <v>5.23</v>
      </c>
      <c r="BA1603">
        <v>50</v>
      </c>
      <c r="BB1603">
        <v>4.37</v>
      </c>
      <c r="BC1603">
        <v>35</v>
      </c>
      <c r="BD1603">
        <v>0.02</v>
      </c>
      <c r="BE1603">
        <v>0</v>
      </c>
      <c r="BF1603">
        <v>-0.08</v>
      </c>
      <c r="BG1603">
        <v>83</v>
      </c>
      <c r="BH1603">
        <v>-0.02</v>
      </c>
      <c r="BI1603">
        <v>-12.69</v>
      </c>
      <c r="BJ1603">
        <v>21</v>
      </c>
      <c r="BK1603">
        <v>12</v>
      </c>
      <c r="BL1603">
        <v>1.68</v>
      </c>
      <c r="BM1603">
        <v>-0.14000000000000001</v>
      </c>
      <c r="BN1603">
        <v>1.03</v>
      </c>
      <c r="BO1603">
        <v>0.83</v>
      </c>
      <c r="BP1603">
        <v>0.21</v>
      </c>
      <c r="BQ1603">
        <v>1.73</v>
      </c>
      <c r="BR1603">
        <v>-0.45</v>
      </c>
      <c r="BS1603">
        <v>-0.26</v>
      </c>
      <c r="BT1603">
        <v>0.05</v>
      </c>
      <c r="BU1603">
        <v>0.93</v>
      </c>
      <c r="BV1603">
        <v>1.99</v>
      </c>
      <c r="BW1603">
        <v>3.86</v>
      </c>
      <c r="BX1603">
        <v>1.02</v>
      </c>
      <c r="BY1603">
        <v>2.79</v>
      </c>
      <c r="BZ1603">
        <v>-0.35</v>
      </c>
      <c r="CA1603">
        <v>1.53</v>
      </c>
      <c r="CB1603">
        <v>1.89</v>
      </c>
      <c r="CC1603">
        <v>0.16</v>
      </c>
      <c r="CD1603">
        <v>-0.5</v>
      </c>
      <c r="CE1603">
        <v>1.04</v>
      </c>
      <c r="CF1603">
        <v>0.85</v>
      </c>
      <c r="CG1603">
        <v>0</v>
      </c>
      <c r="CH1603">
        <v>1.82</v>
      </c>
      <c r="CI1603">
        <v>0</v>
      </c>
      <c r="CJ1603">
        <v>-2.2999999999999998</v>
      </c>
      <c r="CK1603">
        <v>88</v>
      </c>
      <c r="CL1603">
        <v>-1.44</v>
      </c>
      <c r="CM1603">
        <v>85</v>
      </c>
      <c r="CN1603">
        <v>0.01</v>
      </c>
      <c r="CO1603">
        <v>84</v>
      </c>
      <c r="CP1603">
        <v>-3.2</v>
      </c>
      <c r="CQ1603">
        <v>57</v>
      </c>
      <c r="CR1603">
        <v>0</v>
      </c>
      <c r="CS1603">
        <v>0</v>
      </c>
      <c r="CT1603">
        <v>5.9</v>
      </c>
      <c r="CU1603">
        <v>49</v>
      </c>
      <c r="CV1603">
        <v>0.48</v>
      </c>
      <c r="CW1603">
        <v>27</v>
      </c>
      <c r="CX1603" t="s">
        <v>350</v>
      </c>
    </row>
    <row r="1604" spans="1:102" x14ac:dyDescent="0.3">
      <c r="A1604" t="str">
        <f>HYPERLINK("https://webapp.icbf.com/v2/app/bull-search/view/1231247157","S2321")</f>
        <v>S2321</v>
      </c>
      <c r="B1604" t="s">
        <v>14592</v>
      </c>
      <c r="C1604" t="s">
        <v>14593</v>
      </c>
      <c r="D1604" s="1">
        <v>41375</v>
      </c>
      <c r="E1604" t="s">
        <v>92</v>
      </c>
      <c r="F1604">
        <v>100</v>
      </c>
      <c r="G1604" t="s">
        <v>109</v>
      </c>
      <c r="H1604">
        <v>99.3</v>
      </c>
      <c r="I1604">
        <v>60</v>
      </c>
      <c r="J1604">
        <v>97.39</v>
      </c>
      <c r="K1604">
        <v>78</v>
      </c>
      <c r="L1604">
        <v>-50.59</v>
      </c>
      <c r="M1604">
        <v>69</v>
      </c>
      <c r="N1604">
        <v>48.7</v>
      </c>
      <c r="O1604">
        <v>47</v>
      </c>
      <c r="P1604">
        <v>2.21</v>
      </c>
      <c r="Q1604">
        <v>32</v>
      </c>
      <c r="R1604">
        <v>0.15</v>
      </c>
      <c r="S1604">
        <v>54</v>
      </c>
      <c r="T1604">
        <v>-2.4500000000000002</v>
      </c>
      <c r="U1604">
        <v>17</v>
      </c>
      <c r="V1604">
        <v>3.89</v>
      </c>
      <c r="W1604">
        <v>27</v>
      </c>
      <c r="X1604" t="s">
        <v>428</v>
      </c>
      <c r="Y1604" t="s">
        <v>411</v>
      </c>
      <c r="Z1604" t="s">
        <v>96</v>
      </c>
      <c r="AA1604" t="s">
        <v>14594</v>
      </c>
      <c r="AB1604" t="s">
        <v>14595</v>
      </c>
      <c r="AC1604">
        <v>0</v>
      </c>
      <c r="AD1604">
        <v>0</v>
      </c>
      <c r="AE1604">
        <v>78</v>
      </c>
      <c r="AF1604">
        <v>484.78</v>
      </c>
      <c r="AG1604">
        <v>18.920000000000002</v>
      </c>
      <c r="AH1604">
        <v>17.29</v>
      </c>
      <c r="AI1604">
        <v>0</v>
      </c>
      <c r="AJ1604">
        <v>0.01</v>
      </c>
      <c r="AK1604">
        <v>69</v>
      </c>
      <c r="AL1604">
        <v>0</v>
      </c>
      <c r="AM1604">
        <v>0</v>
      </c>
      <c r="AN1604">
        <v>3.89</v>
      </c>
      <c r="AO1604">
        <v>-0.13</v>
      </c>
      <c r="AP1604">
        <v>8</v>
      </c>
      <c r="AQ1604">
        <v>0</v>
      </c>
      <c r="AR1604">
        <v>4.13</v>
      </c>
      <c r="AS1604">
        <v>31</v>
      </c>
      <c r="AT1604">
        <v>1.82</v>
      </c>
      <c r="AU1604">
        <v>84</v>
      </c>
      <c r="AV1604">
        <v>-3.54</v>
      </c>
      <c r="AW1604">
        <v>45</v>
      </c>
      <c r="AX1604">
        <v>-0.84</v>
      </c>
      <c r="AY1604">
        <v>31</v>
      </c>
      <c r="AZ1604">
        <v>5.95</v>
      </c>
      <c r="BA1604">
        <v>15</v>
      </c>
      <c r="BB1604">
        <v>4.8600000000000003</v>
      </c>
      <c r="BC1604">
        <v>11</v>
      </c>
      <c r="BD1604">
        <v>0.01</v>
      </c>
      <c r="BE1604">
        <v>0</v>
      </c>
      <c r="BF1604">
        <v>-0.02</v>
      </c>
      <c r="BG1604">
        <v>85</v>
      </c>
      <c r="BH1604">
        <v>-0.04</v>
      </c>
      <c r="BI1604">
        <v>-17.16</v>
      </c>
      <c r="BJ1604">
        <v>3</v>
      </c>
      <c r="BK1604">
        <v>2</v>
      </c>
      <c r="BL1604">
        <v>2.29</v>
      </c>
      <c r="BM1604">
        <v>0.35</v>
      </c>
      <c r="BN1604">
        <v>0.85</v>
      </c>
      <c r="BO1604">
        <v>1.21</v>
      </c>
      <c r="BP1604">
        <v>0.12</v>
      </c>
      <c r="BQ1604">
        <v>2.63</v>
      </c>
      <c r="BR1604">
        <v>-2.4300000000000002</v>
      </c>
      <c r="BS1604">
        <v>2.5</v>
      </c>
      <c r="BT1604">
        <v>3.2</v>
      </c>
      <c r="BU1604">
        <v>2.37</v>
      </c>
      <c r="BV1604">
        <v>3.02</v>
      </c>
      <c r="BW1604">
        <v>2.79</v>
      </c>
      <c r="BX1604">
        <v>3.01</v>
      </c>
      <c r="BY1604">
        <v>1.78</v>
      </c>
      <c r="BZ1604">
        <v>-2.87</v>
      </c>
      <c r="CA1604">
        <v>3.12</v>
      </c>
      <c r="CB1604">
        <v>2.66</v>
      </c>
      <c r="CC1604">
        <v>2.62</v>
      </c>
      <c r="CD1604">
        <v>-7.0000000000000007E-2</v>
      </c>
      <c r="CE1604">
        <v>0.79</v>
      </c>
      <c r="CF1604">
        <v>1.52</v>
      </c>
      <c r="CG1604">
        <v>0</v>
      </c>
      <c r="CH1604">
        <v>0.59</v>
      </c>
      <c r="CI1604">
        <v>0</v>
      </c>
      <c r="CJ1604">
        <v>2.2999999999999998</v>
      </c>
      <c r="CK1604">
        <v>36</v>
      </c>
      <c r="CL1604">
        <v>-0.79</v>
      </c>
      <c r="CM1604">
        <v>30</v>
      </c>
      <c r="CN1604">
        <v>-0.55000000000000004</v>
      </c>
      <c r="CO1604">
        <v>29</v>
      </c>
      <c r="CP1604">
        <v>5</v>
      </c>
      <c r="CQ1604">
        <v>20</v>
      </c>
      <c r="CR1604">
        <v>0</v>
      </c>
      <c r="CS1604">
        <v>0</v>
      </c>
      <c r="CT1604">
        <v>17.100000000000001</v>
      </c>
      <c r="CU1604">
        <v>17</v>
      </c>
      <c r="CV1604">
        <v>0.27</v>
      </c>
      <c r="CW1604">
        <v>10</v>
      </c>
      <c r="CX1604" t="s">
        <v>1572</v>
      </c>
    </row>
    <row r="1605" spans="1:102" x14ac:dyDescent="0.3">
      <c r="A1605" t="str">
        <f>HYPERLINK("https://webapp.icbf.com/v2/app/bull-search/view/69092896","WDO")</f>
        <v>WDO</v>
      </c>
      <c r="B1605" t="s">
        <v>144</v>
      </c>
      <c r="C1605" t="s">
        <v>15654</v>
      </c>
      <c r="D1605" s="1">
        <v>33317</v>
      </c>
      <c r="E1605" t="s">
        <v>895</v>
      </c>
      <c r="F1605">
        <v>0</v>
      </c>
      <c r="G1605" t="s">
        <v>116</v>
      </c>
      <c r="H1605">
        <v>99.3</v>
      </c>
      <c r="I1605">
        <v>45</v>
      </c>
      <c r="J1605">
        <v>63.04</v>
      </c>
      <c r="K1605">
        <v>69</v>
      </c>
      <c r="L1605">
        <v>17.670000000000002</v>
      </c>
      <c r="M1605">
        <v>23</v>
      </c>
      <c r="N1605">
        <v>-9.82</v>
      </c>
      <c r="O1605">
        <v>35</v>
      </c>
      <c r="P1605">
        <v>9.59</v>
      </c>
      <c r="Q1605">
        <v>62</v>
      </c>
      <c r="R1605">
        <v>-1.8</v>
      </c>
      <c r="S1605">
        <v>28</v>
      </c>
      <c r="T1605">
        <v>22.26</v>
      </c>
      <c r="U1605">
        <v>53</v>
      </c>
      <c r="V1605">
        <v>-1.64</v>
      </c>
      <c r="W1605">
        <v>17</v>
      </c>
      <c r="X1605" t="s">
        <v>94</v>
      </c>
      <c r="Y1605" t="s">
        <v>95</v>
      </c>
      <c r="Z1605">
        <v>0</v>
      </c>
      <c r="AA1605" t="s">
        <v>144</v>
      </c>
      <c r="AB1605" t="s">
        <v>144</v>
      </c>
      <c r="AC1605">
        <v>9</v>
      </c>
      <c r="AD1605">
        <v>3</v>
      </c>
      <c r="AE1605">
        <v>69</v>
      </c>
      <c r="AF1605">
        <v>-23.53</v>
      </c>
      <c r="AG1605">
        <v>14.11</v>
      </c>
      <c r="AH1605">
        <v>5.37</v>
      </c>
      <c r="AI1605">
        <v>0.25</v>
      </c>
      <c r="AJ1605">
        <v>0.1</v>
      </c>
      <c r="AK1605">
        <v>23</v>
      </c>
      <c r="AL1605">
        <v>8</v>
      </c>
      <c r="AM1605">
        <v>3</v>
      </c>
      <c r="AN1605">
        <v>0.67</v>
      </c>
      <c r="AO1605">
        <v>2.1</v>
      </c>
      <c r="AP1605">
        <v>15</v>
      </c>
      <c r="AQ1605">
        <v>0</v>
      </c>
      <c r="AR1605">
        <v>7.63</v>
      </c>
      <c r="AS1605">
        <v>10</v>
      </c>
      <c r="AT1605">
        <v>3.48</v>
      </c>
      <c r="AU1605">
        <v>31</v>
      </c>
      <c r="AV1605">
        <v>1.05</v>
      </c>
      <c r="AW1605">
        <v>51</v>
      </c>
      <c r="AX1605">
        <v>0.45</v>
      </c>
      <c r="AY1605">
        <v>29</v>
      </c>
      <c r="AZ1605">
        <v>5.95</v>
      </c>
      <c r="BA1605">
        <v>9</v>
      </c>
      <c r="BB1605">
        <v>4.55</v>
      </c>
      <c r="BC1605">
        <v>15</v>
      </c>
      <c r="BD1605">
        <v>0.02</v>
      </c>
      <c r="BE1605">
        <v>0.02</v>
      </c>
      <c r="BF1605">
        <v>-0.03</v>
      </c>
      <c r="BG1605">
        <v>34</v>
      </c>
      <c r="BH1605">
        <v>0.12</v>
      </c>
      <c r="BI1605">
        <v>19.16</v>
      </c>
      <c r="BJ1605">
        <v>0</v>
      </c>
      <c r="BK1605">
        <v>0</v>
      </c>
      <c r="BL1605">
        <v>-1.56</v>
      </c>
      <c r="BM1605">
        <v>1.43</v>
      </c>
      <c r="BN1605">
        <v>-1.48</v>
      </c>
      <c r="BO1605">
        <v>-2</v>
      </c>
      <c r="BP1605">
        <v>1.1200000000000001</v>
      </c>
      <c r="BQ1605">
        <v>0</v>
      </c>
      <c r="BR1605">
        <v>-0.17</v>
      </c>
      <c r="BS1605">
        <v>-0.37</v>
      </c>
      <c r="BT1605">
        <v>0.13</v>
      </c>
      <c r="BU1605">
        <v>-2.2999999999999998</v>
      </c>
      <c r="BV1605">
        <v>-2.19</v>
      </c>
      <c r="BW1605">
        <v>-2.2000000000000002</v>
      </c>
      <c r="BX1605">
        <v>-1.34</v>
      </c>
      <c r="BY1605">
        <v>-1.56</v>
      </c>
      <c r="BZ1605">
        <v>-0.84</v>
      </c>
      <c r="CA1605">
        <v>-2.41</v>
      </c>
      <c r="CB1605">
        <v>-2.58</v>
      </c>
      <c r="CC1605">
        <v>-1.0900000000000001</v>
      </c>
      <c r="CD1605">
        <v>2.08</v>
      </c>
      <c r="CE1605">
        <v>-2.2799999999999998</v>
      </c>
      <c r="CF1605">
        <v>-1.63</v>
      </c>
      <c r="CG1605">
        <v>0</v>
      </c>
      <c r="CH1605">
        <v>-2.46</v>
      </c>
      <c r="CI1605">
        <v>0</v>
      </c>
      <c r="CJ1605">
        <v>5.5</v>
      </c>
      <c r="CK1605">
        <v>66</v>
      </c>
      <c r="CL1605">
        <v>-0.09</v>
      </c>
      <c r="CM1605">
        <v>60</v>
      </c>
      <c r="CN1605">
        <v>-0.3</v>
      </c>
      <c r="CO1605">
        <v>56</v>
      </c>
      <c r="CP1605">
        <v>-3.9</v>
      </c>
      <c r="CQ1605">
        <v>52</v>
      </c>
      <c r="CR1605">
        <v>0</v>
      </c>
      <c r="CS1605">
        <v>0</v>
      </c>
      <c r="CT1605">
        <v>-16.3</v>
      </c>
      <c r="CU1605">
        <v>53</v>
      </c>
      <c r="CV1605">
        <v>0.04</v>
      </c>
      <c r="CW1605">
        <v>17</v>
      </c>
      <c r="CX1605">
        <v>0</v>
      </c>
    </row>
    <row r="1606" spans="1:102" x14ac:dyDescent="0.3">
      <c r="A1606" t="str">
        <f>HYPERLINK("https://webapp.icbf.com/v2/app/bull-search/view/720498068","S1103")</f>
        <v>S1103</v>
      </c>
      <c r="B1606" t="s">
        <v>1778</v>
      </c>
      <c r="C1606" t="s">
        <v>1779</v>
      </c>
      <c r="D1606" s="1">
        <v>38949</v>
      </c>
      <c r="E1606" t="s">
        <v>227</v>
      </c>
      <c r="F1606">
        <v>0</v>
      </c>
      <c r="G1606" t="s">
        <v>93</v>
      </c>
      <c r="H1606">
        <v>99.29</v>
      </c>
      <c r="I1606">
        <v>86</v>
      </c>
      <c r="J1606">
        <v>39.25</v>
      </c>
      <c r="K1606">
        <v>96</v>
      </c>
      <c r="L1606">
        <v>25.23</v>
      </c>
      <c r="M1606">
        <v>87</v>
      </c>
      <c r="N1606">
        <v>12.33</v>
      </c>
      <c r="O1606">
        <v>80</v>
      </c>
      <c r="P1606">
        <v>-57.19</v>
      </c>
      <c r="Q1606">
        <v>77</v>
      </c>
      <c r="R1606">
        <v>7.99</v>
      </c>
      <c r="S1606">
        <v>76</v>
      </c>
      <c r="T1606">
        <v>67.48</v>
      </c>
      <c r="U1606">
        <v>63</v>
      </c>
      <c r="V1606">
        <v>4.2</v>
      </c>
      <c r="W1606">
        <v>72</v>
      </c>
      <c r="X1606" t="s">
        <v>94</v>
      </c>
      <c r="Y1606" t="s">
        <v>336</v>
      </c>
      <c r="Z1606">
        <v>0</v>
      </c>
      <c r="AA1606" t="s">
        <v>1780</v>
      </c>
      <c r="AB1606" t="s">
        <v>144</v>
      </c>
      <c r="AC1606">
        <v>61</v>
      </c>
      <c r="AD1606">
        <v>22</v>
      </c>
      <c r="AE1606">
        <v>96</v>
      </c>
      <c r="AF1606">
        <v>-697.75</v>
      </c>
      <c r="AG1606">
        <v>8.75</v>
      </c>
      <c r="AH1606">
        <v>-7.1</v>
      </c>
      <c r="AI1606">
        <v>0.71</v>
      </c>
      <c r="AJ1606">
        <v>0.33</v>
      </c>
      <c r="AK1606">
        <v>87</v>
      </c>
      <c r="AL1606">
        <v>47</v>
      </c>
      <c r="AM1606">
        <v>14</v>
      </c>
      <c r="AN1606">
        <v>0.03</v>
      </c>
      <c r="AO1606">
        <v>2.06</v>
      </c>
      <c r="AP1606">
        <v>87</v>
      </c>
      <c r="AQ1606">
        <v>0</v>
      </c>
      <c r="AR1606">
        <v>4.63</v>
      </c>
      <c r="AS1606">
        <v>78</v>
      </c>
      <c r="AT1606">
        <v>2.27</v>
      </c>
      <c r="AU1606">
        <v>78</v>
      </c>
      <c r="AV1606">
        <v>-1.89</v>
      </c>
      <c r="AW1606">
        <v>93</v>
      </c>
      <c r="AX1606">
        <v>6.15</v>
      </c>
      <c r="AY1606">
        <v>74</v>
      </c>
      <c r="AZ1606">
        <v>6.14</v>
      </c>
      <c r="BA1606">
        <v>62</v>
      </c>
      <c r="BB1606">
        <v>5.13</v>
      </c>
      <c r="BC1606">
        <v>56</v>
      </c>
      <c r="BD1606">
        <v>-7.0000000000000007E-2</v>
      </c>
      <c r="BE1606">
        <v>-0.03</v>
      </c>
      <c r="BF1606">
        <v>-0.01</v>
      </c>
      <c r="BG1606">
        <v>86</v>
      </c>
      <c r="BH1606">
        <v>0.09</v>
      </c>
      <c r="BI1606">
        <v>-3.14</v>
      </c>
      <c r="BJ1606">
        <v>0</v>
      </c>
      <c r="BK1606">
        <v>0</v>
      </c>
      <c r="BL1606">
        <v>-1.53</v>
      </c>
      <c r="BM1606">
        <v>-2.34</v>
      </c>
      <c r="BN1606">
        <v>-0.54</v>
      </c>
      <c r="BO1606">
        <v>1.52</v>
      </c>
      <c r="BP1606">
        <v>0.71</v>
      </c>
      <c r="BQ1606">
        <v>-6.12</v>
      </c>
      <c r="BR1606">
        <v>3.26</v>
      </c>
      <c r="BS1606">
        <v>6.08</v>
      </c>
      <c r="BT1606">
        <v>-1.83</v>
      </c>
      <c r="BU1606">
        <v>0.77</v>
      </c>
      <c r="BV1606">
        <v>0.62</v>
      </c>
      <c r="BW1606">
        <v>-1.24</v>
      </c>
      <c r="BX1606">
        <v>-2.06</v>
      </c>
      <c r="BY1606">
        <v>0.44</v>
      </c>
      <c r="BZ1606">
        <v>-0.79</v>
      </c>
      <c r="CA1606">
        <v>2.13</v>
      </c>
      <c r="CB1606">
        <v>0.83</v>
      </c>
      <c r="CC1606">
        <v>3.79</v>
      </c>
      <c r="CD1606">
        <v>-2.54</v>
      </c>
      <c r="CE1606">
        <v>1.49</v>
      </c>
      <c r="CF1606">
        <v>-1.51</v>
      </c>
      <c r="CG1606">
        <v>0</v>
      </c>
      <c r="CH1606">
        <v>-0.46</v>
      </c>
      <c r="CI1606">
        <v>0</v>
      </c>
      <c r="CJ1606">
        <v>-30.5</v>
      </c>
      <c r="CK1606">
        <v>79</v>
      </c>
      <c r="CL1606">
        <v>-1.1000000000000001</v>
      </c>
      <c r="CM1606">
        <v>75</v>
      </c>
      <c r="CN1606">
        <v>-0.34</v>
      </c>
      <c r="CO1606">
        <v>72</v>
      </c>
      <c r="CP1606">
        <v>-51.5</v>
      </c>
      <c r="CQ1606">
        <v>75</v>
      </c>
      <c r="CR1606">
        <v>0</v>
      </c>
      <c r="CS1606">
        <v>0</v>
      </c>
      <c r="CT1606">
        <v>-77.400000000000006</v>
      </c>
      <c r="CU1606">
        <v>63</v>
      </c>
      <c r="CV1606">
        <v>-0.42</v>
      </c>
      <c r="CW1606">
        <v>41</v>
      </c>
      <c r="CX1606" t="s">
        <v>1781</v>
      </c>
    </row>
    <row r="1607" spans="1:102" x14ac:dyDescent="0.3">
      <c r="A1607" t="str">
        <f>HYPERLINK("https://webapp.icbf.com/v2/app/bull-search/view/596284086","JBQ")</f>
        <v>JBQ</v>
      </c>
      <c r="B1607" t="s">
        <v>9097</v>
      </c>
      <c r="C1607" t="s">
        <v>2718</v>
      </c>
      <c r="D1607" s="1">
        <v>38322</v>
      </c>
      <c r="E1607" t="s">
        <v>1061</v>
      </c>
      <c r="F1607">
        <v>0</v>
      </c>
      <c r="G1607" t="s">
        <v>93</v>
      </c>
      <c r="H1607">
        <v>99.17</v>
      </c>
      <c r="I1607">
        <v>86</v>
      </c>
      <c r="J1607">
        <v>-24.8</v>
      </c>
      <c r="K1607">
        <v>94</v>
      </c>
      <c r="L1607">
        <v>83</v>
      </c>
      <c r="M1607">
        <v>86</v>
      </c>
      <c r="N1607">
        <v>22.84</v>
      </c>
      <c r="O1607">
        <v>81</v>
      </c>
      <c r="P1607">
        <v>-6.08</v>
      </c>
      <c r="Q1607">
        <v>87</v>
      </c>
      <c r="R1607">
        <v>7.51</v>
      </c>
      <c r="S1607">
        <v>63</v>
      </c>
      <c r="T1607">
        <v>16.27</v>
      </c>
      <c r="U1607">
        <v>79</v>
      </c>
      <c r="V1607">
        <v>0.43</v>
      </c>
      <c r="W1607">
        <v>62</v>
      </c>
      <c r="X1607" t="s">
        <v>94</v>
      </c>
      <c r="Y1607" t="s">
        <v>1756</v>
      </c>
      <c r="Z1607">
        <v>0</v>
      </c>
      <c r="AA1607" t="s">
        <v>9098</v>
      </c>
      <c r="AB1607" t="s">
        <v>9099</v>
      </c>
      <c r="AC1607">
        <v>57</v>
      </c>
      <c r="AD1607">
        <v>30</v>
      </c>
      <c r="AE1607">
        <v>94</v>
      </c>
      <c r="AF1607">
        <v>-124.84</v>
      </c>
      <c r="AG1607">
        <v>-0.62</v>
      </c>
      <c r="AH1607">
        <v>-5.91</v>
      </c>
      <c r="AI1607">
        <v>0.08</v>
      </c>
      <c r="AJ1607">
        <v>-0.03</v>
      </c>
      <c r="AK1607">
        <v>86</v>
      </c>
      <c r="AL1607">
        <v>78</v>
      </c>
      <c r="AM1607">
        <v>44</v>
      </c>
      <c r="AN1607">
        <v>-3.67</v>
      </c>
      <c r="AO1607">
        <v>2.96</v>
      </c>
      <c r="AP1607">
        <v>132</v>
      </c>
      <c r="AQ1607">
        <v>0</v>
      </c>
      <c r="AR1607">
        <v>6.14</v>
      </c>
      <c r="AS1607">
        <v>67</v>
      </c>
      <c r="AT1607">
        <v>2.35</v>
      </c>
      <c r="AU1607">
        <v>89</v>
      </c>
      <c r="AV1607">
        <v>-2.0299999999999998</v>
      </c>
      <c r="AW1607">
        <v>94</v>
      </c>
      <c r="AX1607">
        <v>0.08</v>
      </c>
      <c r="AY1607">
        <v>77</v>
      </c>
      <c r="AZ1607">
        <v>6.94</v>
      </c>
      <c r="BA1607">
        <v>49</v>
      </c>
      <c r="BB1607">
        <v>5.39</v>
      </c>
      <c r="BC1607">
        <v>46</v>
      </c>
      <c r="BD1607">
        <v>-0.04</v>
      </c>
      <c r="BE1607">
        <v>-0.04</v>
      </c>
      <c r="BF1607">
        <v>-0.03</v>
      </c>
      <c r="BG1607">
        <v>78</v>
      </c>
      <c r="BH1607">
        <v>-0.05</v>
      </c>
      <c r="BI1607">
        <v>-7.17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-2.2000000000000002</v>
      </c>
      <c r="CK1607">
        <v>89</v>
      </c>
      <c r="CL1607">
        <v>-0.5</v>
      </c>
      <c r="CM1607">
        <v>86</v>
      </c>
      <c r="CN1607">
        <v>-0.25</v>
      </c>
      <c r="CO1607">
        <v>85</v>
      </c>
      <c r="CP1607">
        <v>-5.4</v>
      </c>
      <c r="CQ1607">
        <v>76</v>
      </c>
      <c r="CR1607">
        <v>0</v>
      </c>
      <c r="CS1607">
        <v>0</v>
      </c>
      <c r="CT1607">
        <v>-8.1999999999999993</v>
      </c>
      <c r="CU1607">
        <v>79</v>
      </c>
      <c r="CV1607">
        <v>0.09</v>
      </c>
      <c r="CW1607">
        <v>43</v>
      </c>
      <c r="CX1607" t="s">
        <v>9100</v>
      </c>
    </row>
    <row r="1608" spans="1:102" x14ac:dyDescent="0.3">
      <c r="A1608" t="str">
        <f>HYPERLINK("https://webapp.icbf.com/v2/app/bull-search/view/108372537","KLA")</f>
        <v>KLA</v>
      </c>
      <c r="B1608" t="s">
        <v>9786</v>
      </c>
      <c r="C1608" t="s">
        <v>1762</v>
      </c>
      <c r="D1608" s="1">
        <v>35291</v>
      </c>
      <c r="E1608" t="s">
        <v>92</v>
      </c>
      <c r="F1608">
        <v>88</v>
      </c>
      <c r="G1608" t="s">
        <v>93</v>
      </c>
      <c r="H1608">
        <v>99.15</v>
      </c>
      <c r="I1608">
        <v>97</v>
      </c>
      <c r="J1608">
        <v>10.92</v>
      </c>
      <c r="K1608">
        <v>99</v>
      </c>
      <c r="L1608">
        <v>44.34</v>
      </c>
      <c r="M1608">
        <v>93</v>
      </c>
      <c r="N1608">
        <v>40.159999999999997</v>
      </c>
      <c r="O1608">
        <v>97</v>
      </c>
      <c r="P1608">
        <v>-16.809999999999999</v>
      </c>
      <c r="Q1608">
        <v>99</v>
      </c>
      <c r="R1608">
        <v>4.78</v>
      </c>
      <c r="S1608">
        <v>95</v>
      </c>
      <c r="T1608">
        <v>20.260000000000002</v>
      </c>
      <c r="U1608">
        <v>99</v>
      </c>
      <c r="V1608">
        <v>-4.5</v>
      </c>
      <c r="W1608">
        <v>96</v>
      </c>
      <c r="X1608" t="s">
        <v>302</v>
      </c>
      <c r="Y1608" t="s">
        <v>95</v>
      </c>
      <c r="Z1608" t="s">
        <v>96</v>
      </c>
      <c r="AA1608" t="s">
        <v>4581</v>
      </c>
      <c r="AB1608" t="s">
        <v>9787</v>
      </c>
      <c r="AC1608">
        <v>927</v>
      </c>
      <c r="AD1608">
        <v>290</v>
      </c>
      <c r="AE1608">
        <v>99</v>
      </c>
      <c r="AF1608">
        <v>105.59</v>
      </c>
      <c r="AG1608">
        <v>0.97</v>
      </c>
      <c r="AH1608">
        <v>3.13</v>
      </c>
      <c r="AI1608">
        <v>-0.05</v>
      </c>
      <c r="AJ1608">
        <v>-0.01</v>
      </c>
      <c r="AK1608">
        <v>93</v>
      </c>
      <c r="AL1608">
        <v>945</v>
      </c>
      <c r="AM1608">
        <v>271</v>
      </c>
      <c r="AN1608">
        <v>-2.11</v>
      </c>
      <c r="AO1608">
        <v>1.43</v>
      </c>
      <c r="AP1608">
        <v>1412</v>
      </c>
      <c r="AQ1608">
        <v>7</v>
      </c>
      <c r="AR1608">
        <v>4.13</v>
      </c>
      <c r="AS1608">
        <v>97</v>
      </c>
      <c r="AT1608">
        <v>2.2799999999999998</v>
      </c>
      <c r="AU1608">
        <v>97</v>
      </c>
      <c r="AV1608">
        <v>-3.38</v>
      </c>
      <c r="AW1608">
        <v>99</v>
      </c>
      <c r="AX1608">
        <v>-0.35</v>
      </c>
      <c r="AY1608">
        <v>98</v>
      </c>
      <c r="AZ1608">
        <v>7.36</v>
      </c>
      <c r="BA1608">
        <v>93</v>
      </c>
      <c r="BB1608">
        <v>5.08</v>
      </c>
      <c r="BC1608">
        <v>94</v>
      </c>
      <c r="BD1608">
        <v>-0.06</v>
      </c>
      <c r="BE1608">
        <v>0</v>
      </c>
      <c r="BF1608">
        <v>-0.01</v>
      </c>
      <c r="BG1608">
        <v>98</v>
      </c>
      <c r="BH1608">
        <v>0.05</v>
      </c>
      <c r="BI1608">
        <v>20.29</v>
      </c>
      <c r="BJ1608">
        <v>42</v>
      </c>
      <c r="BK1608">
        <v>23</v>
      </c>
      <c r="BL1608">
        <v>-0.93</v>
      </c>
      <c r="BM1608">
        <v>1.42</v>
      </c>
      <c r="BN1608">
        <v>0.26</v>
      </c>
      <c r="BO1608">
        <v>-1.02</v>
      </c>
      <c r="BP1608">
        <v>-1.08</v>
      </c>
      <c r="BQ1608">
        <v>-1.0900000000000001</v>
      </c>
      <c r="BR1608">
        <v>-1.49</v>
      </c>
      <c r="BS1608">
        <v>-0.25</v>
      </c>
      <c r="BT1608">
        <v>-1.02</v>
      </c>
      <c r="BU1608">
        <v>-0.44</v>
      </c>
      <c r="BV1608">
        <v>-0.75</v>
      </c>
      <c r="BW1608">
        <v>-1.51</v>
      </c>
      <c r="BX1608">
        <v>0.11</v>
      </c>
      <c r="BY1608">
        <v>-0.35</v>
      </c>
      <c r="BZ1608">
        <v>1.7</v>
      </c>
      <c r="CA1608">
        <v>-1.62</v>
      </c>
      <c r="CB1608">
        <v>-1.44</v>
      </c>
      <c r="CC1608">
        <v>-0.89</v>
      </c>
      <c r="CD1608">
        <v>1.22</v>
      </c>
      <c r="CE1608">
        <v>-1.54</v>
      </c>
      <c r="CF1608">
        <v>-1.24</v>
      </c>
      <c r="CG1608">
        <v>0</v>
      </c>
      <c r="CH1608">
        <v>-0.4</v>
      </c>
      <c r="CI1608">
        <v>0</v>
      </c>
      <c r="CJ1608">
        <v>-9.4</v>
      </c>
      <c r="CK1608">
        <v>99</v>
      </c>
      <c r="CL1608">
        <v>-0.56000000000000005</v>
      </c>
      <c r="CM1608">
        <v>99</v>
      </c>
      <c r="CN1608">
        <v>-0.33</v>
      </c>
      <c r="CO1608">
        <v>99</v>
      </c>
      <c r="CP1608">
        <v>-12.8</v>
      </c>
      <c r="CQ1608">
        <v>99</v>
      </c>
      <c r="CR1608">
        <v>0</v>
      </c>
      <c r="CS1608">
        <v>0</v>
      </c>
      <c r="CT1608">
        <v>-13.6</v>
      </c>
      <c r="CU1608">
        <v>99</v>
      </c>
      <c r="CV1608">
        <v>-0.04</v>
      </c>
      <c r="CW1608">
        <v>46</v>
      </c>
      <c r="CX1608" t="s">
        <v>9788</v>
      </c>
    </row>
    <row r="1609" spans="1:102" x14ac:dyDescent="0.3">
      <c r="A1609" t="str">
        <f>HYPERLINK("https://webapp.icbf.com/v2/app/bull-search/view/472748449","DFA")</f>
        <v>DFA</v>
      </c>
      <c r="B1609" t="s">
        <v>2996</v>
      </c>
      <c r="C1609" t="s">
        <v>2997</v>
      </c>
      <c r="D1609" s="1">
        <v>37914</v>
      </c>
      <c r="E1609" t="s">
        <v>146</v>
      </c>
      <c r="F1609">
        <v>16</v>
      </c>
      <c r="G1609" t="s">
        <v>93</v>
      </c>
      <c r="H1609">
        <v>99.11</v>
      </c>
      <c r="I1609">
        <v>90</v>
      </c>
      <c r="J1609">
        <v>18.97</v>
      </c>
      <c r="K1609">
        <v>98</v>
      </c>
      <c r="L1609">
        <v>58.17</v>
      </c>
      <c r="M1609">
        <v>81</v>
      </c>
      <c r="N1609">
        <v>12.98</v>
      </c>
      <c r="O1609">
        <v>92</v>
      </c>
      <c r="P1609">
        <v>9.74</v>
      </c>
      <c r="Q1609">
        <v>97</v>
      </c>
      <c r="R1609">
        <v>-6.15</v>
      </c>
      <c r="S1609">
        <v>86</v>
      </c>
      <c r="T1609">
        <v>19.670000000000002</v>
      </c>
      <c r="U1609">
        <v>92</v>
      </c>
      <c r="V1609">
        <v>-14.27</v>
      </c>
      <c r="W1609">
        <v>90</v>
      </c>
      <c r="X1609" t="s">
        <v>276</v>
      </c>
      <c r="Y1609" t="s">
        <v>1164</v>
      </c>
      <c r="Z1609">
        <v>0</v>
      </c>
      <c r="AA1609" t="s">
        <v>306</v>
      </c>
      <c r="AB1609" t="s">
        <v>2998</v>
      </c>
      <c r="AC1609">
        <v>234</v>
      </c>
      <c r="AD1609">
        <v>91</v>
      </c>
      <c r="AE1609">
        <v>98</v>
      </c>
      <c r="AF1609">
        <v>-213.78</v>
      </c>
      <c r="AG1609">
        <v>-0.64</v>
      </c>
      <c r="AH1609">
        <v>0.18</v>
      </c>
      <c r="AI1609">
        <v>0.13</v>
      </c>
      <c r="AJ1609">
        <v>0.13</v>
      </c>
      <c r="AK1609">
        <v>81</v>
      </c>
      <c r="AL1609">
        <v>246</v>
      </c>
      <c r="AM1609">
        <v>100</v>
      </c>
      <c r="AN1609">
        <v>-2.3199999999999998</v>
      </c>
      <c r="AO1609">
        <v>2.33</v>
      </c>
      <c r="AP1609">
        <v>421</v>
      </c>
      <c r="AQ1609">
        <v>27</v>
      </c>
      <c r="AR1609">
        <v>7.15</v>
      </c>
      <c r="AS1609">
        <v>81</v>
      </c>
      <c r="AT1609">
        <v>3.09</v>
      </c>
      <c r="AU1609">
        <v>93</v>
      </c>
      <c r="AV1609">
        <v>-2.13</v>
      </c>
      <c r="AW1609">
        <v>98</v>
      </c>
      <c r="AX1609">
        <v>-7.0000000000000007E-2</v>
      </c>
      <c r="AY1609">
        <v>91</v>
      </c>
      <c r="AZ1609">
        <v>8.48</v>
      </c>
      <c r="BA1609">
        <v>80</v>
      </c>
      <c r="BB1609">
        <v>5.45</v>
      </c>
      <c r="BC1609">
        <v>82</v>
      </c>
      <c r="BD1609">
        <v>-0.01</v>
      </c>
      <c r="BE1609">
        <v>0.02</v>
      </c>
      <c r="BF1609">
        <v>0.12</v>
      </c>
      <c r="BG1609">
        <v>92</v>
      </c>
      <c r="BH1609">
        <v>-0.38</v>
      </c>
      <c r="BI1609">
        <v>2.06</v>
      </c>
      <c r="BJ1609">
        <v>27</v>
      </c>
      <c r="BK1609">
        <v>8</v>
      </c>
      <c r="BL1609">
        <v>-2.2000000000000002</v>
      </c>
      <c r="BM1609">
        <v>2.1800000000000002</v>
      </c>
      <c r="BN1609">
        <v>-0.78</v>
      </c>
      <c r="BO1609">
        <v>-1.4</v>
      </c>
      <c r="BP1609">
        <v>1.37</v>
      </c>
      <c r="BQ1609">
        <v>-0.33</v>
      </c>
      <c r="BR1609">
        <v>0.11</v>
      </c>
      <c r="BS1609">
        <v>0</v>
      </c>
      <c r="BT1609">
        <v>-0.22</v>
      </c>
      <c r="BU1609">
        <v>-2.37</v>
      </c>
      <c r="BV1609">
        <v>-2.95</v>
      </c>
      <c r="BW1609">
        <v>-2.71</v>
      </c>
      <c r="BX1609">
        <v>-2.2400000000000002</v>
      </c>
      <c r="BY1609">
        <v>-2.81</v>
      </c>
      <c r="BZ1609">
        <v>1.57</v>
      </c>
      <c r="CA1609">
        <v>-2.44</v>
      </c>
      <c r="CB1609">
        <v>-2.76</v>
      </c>
      <c r="CC1609">
        <v>-0.6</v>
      </c>
      <c r="CD1609">
        <v>1.88</v>
      </c>
      <c r="CE1609">
        <v>-3.24</v>
      </c>
      <c r="CF1609">
        <v>-1.53</v>
      </c>
      <c r="CG1609">
        <v>0</v>
      </c>
      <c r="CH1609">
        <v>-1.69</v>
      </c>
      <c r="CI1609">
        <v>0</v>
      </c>
      <c r="CJ1609">
        <v>2</v>
      </c>
      <c r="CK1609">
        <v>98</v>
      </c>
      <c r="CL1609">
        <v>0.44</v>
      </c>
      <c r="CM1609">
        <v>97</v>
      </c>
      <c r="CN1609">
        <v>-0.27</v>
      </c>
      <c r="CO1609">
        <v>97</v>
      </c>
      <c r="CP1609">
        <v>-4.8</v>
      </c>
      <c r="CQ1609">
        <v>95</v>
      </c>
      <c r="CR1609">
        <v>0</v>
      </c>
      <c r="CS1609">
        <v>0</v>
      </c>
      <c r="CT1609">
        <v>-12.8</v>
      </c>
      <c r="CU1609">
        <v>92</v>
      </c>
      <c r="CV1609">
        <v>-0.27</v>
      </c>
      <c r="CW1609">
        <v>46</v>
      </c>
      <c r="CX1609" t="s">
        <v>236</v>
      </c>
    </row>
    <row r="1610" spans="1:102" x14ac:dyDescent="0.3">
      <c r="A1610" t="str">
        <f>HYPERLINK("https://webapp.icbf.com/v2/app/bull-search/view/1196710566","S3039")</f>
        <v>S3039</v>
      </c>
      <c r="B1610" t="s">
        <v>13533</v>
      </c>
      <c r="C1610" t="s">
        <v>13534</v>
      </c>
      <c r="D1610" s="1">
        <v>41412</v>
      </c>
      <c r="E1610" t="s">
        <v>92</v>
      </c>
      <c r="F1610">
        <v>100</v>
      </c>
      <c r="G1610" t="s">
        <v>109</v>
      </c>
      <c r="H1610">
        <v>98.97</v>
      </c>
      <c r="I1610">
        <v>74</v>
      </c>
      <c r="J1610">
        <v>49.14</v>
      </c>
      <c r="K1610">
        <v>92</v>
      </c>
      <c r="L1610">
        <v>27</v>
      </c>
      <c r="M1610">
        <v>83</v>
      </c>
      <c r="N1610">
        <v>21.97</v>
      </c>
      <c r="O1610">
        <v>56</v>
      </c>
      <c r="P1610">
        <v>-6.91</v>
      </c>
      <c r="Q1610">
        <v>38</v>
      </c>
      <c r="R1610">
        <v>20.34</v>
      </c>
      <c r="S1610">
        <v>72</v>
      </c>
      <c r="T1610">
        <v>-14.44</v>
      </c>
      <c r="U1610">
        <v>37</v>
      </c>
      <c r="V1610">
        <v>1.87</v>
      </c>
      <c r="W1610">
        <v>56</v>
      </c>
      <c r="X1610" t="s">
        <v>110</v>
      </c>
      <c r="Y1610" t="s">
        <v>411</v>
      </c>
      <c r="Z1610" t="s">
        <v>96</v>
      </c>
      <c r="AA1610" t="s">
        <v>2395</v>
      </c>
      <c r="AB1610" t="s">
        <v>9228</v>
      </c>
      <c r="AC1610">
        <v>0</v>
      </c>
      <c r="AD1610">
        <v>0</v>
      </c>
      <c r="AE1610">
        <v>92</v>
      </c>
      <c r="AF1610">
        <v>261.56</v>
      </c>
      <c r="AG1610">
        <v>16.37</v>
      </c>
      <c r="AH1610">
        <v>6.57</v>
      </c>
      <c r="AI1610">
        <v>0.1</v>
      </c>
      <c r="AJ1610">
        <v>-0.04</v>
      </c>
      <c r="AK1610">
        <v>83</v>
      </c>
      <c r="AL1610">
        <v>0</v>
      </c>
      <c r="AM1610">
        <v>0</v>
      </c>
      <c r="AN1610">
        <v>-1.7</v>
      </c>
      <c r="AO1610">
        <v>0.45</v>
      </c>
      <c r="AP1610">
        <v>4</v>
      </c>
      <c r="AQ1610">
        <v>0</v>
      </c>
      <c r="AR1610">
        <v>8.56</v>
      </c>
      <c r="AS1610">
        <v>52</v>
      </c>
      <c r="AT1610">
        <v>3.2</v>
      </c>
      <c r="AU1610">
        <v>91</v>
      </c>
      <c r="AV1610">
        <v>-3.58</v>
      </c>
      <c r="AW1610">
        <v>47</v>
      </c>
      <c r="AX1610">
        <v>0.27</v>
      </c>
      <c r="AY1610">
        <v>43</v>
      </c>
      <c r="AZ1610">
        <v>7.78</v>
      </c>
      <c r="BA1610">
        <v>38</v>
      </c>
      <c r="BB1610">
        <v>5.09</v>
      </c>
      <c r="BC1610">
        <v>38</v>
      </c>
      <c r="BD1610">
        <v>-0.04</v>
      </c>
      <c r="BE1610">
        <v>-0.09</v>
      </c>
      <c r="BF1610">
        <v>-0.23</v>
      </c>
      <c r="BG1610">
        <v>90</v>
      </c>
      <c r="BH1610">
        <v>-0.05</v>
      </c>
      <c r="BI1610">
        <v>-11.83</v>
      </c>
      <c r="BJ1610">
        <v>0</v>
      </c>
      <c r="BK1610">
        <v>0</v>
      </c>
      <c r="BL1610">
        <v>1.81</v>
      </c>
      <c r="BM1610">
        <v>0.1</v>
      </c>
      <c r="BN1610">
        <v>0.34</v>
      </c>
      <c r="BO1610">
        <v>0.77</v>
      </c>
      <c r="BP1610">
        <v>-1.45</v>
      </c>
      <c r="BQ1610">
        <v>1.85</v>
      </c>
      <c r="BR1610">
        <v>-1.85</v>
      </c>
      <c r="BS1610">
        <v>3.57</v>
      </c>
      <c r="BT1610">
        <v>1.03</v>
      </c>
      <c r="BU1610">
        <v>4.72</v>
      </c>
      <c r="BV1610">
        <v>3.72</v>
      </c>
      <c r="BW1610">
        <v>2.4300000000000002</v>
      </c>
      <c r="BX1610">
        <v>4.3099999999999996</v>
      </c>
      <c r="BY1610">
        <v>2.73</v>
      </c>
      <c r="BZ1610">
        <v>-2.59</v>
      </c>
      <c r="CA1610">
        <v>4.38</v>
      </c>
      <c r="CB1610">
        <v>3.67</v>
      </c>
      <c r="CC1610">
        <v>2.94</v>
      </c>
      <c r="CD1610">
        <v>0.34</v>
      </c>
      <c r="CE1610">
        <v>0.98</v>
      </c>
      <c r="CF1610">
        <v>1.36</v>
      </c>
      <c r="CG1610">
        <v>0</v>
      </c>
      <c r="CH1610">
        <v>2.52</v>
      </c>
      <c r="CI1610">
        <v>0</v>
      </c>
      <c r="CJ1610">
        <v>-0.9</v>
      </c>
      <c r="CK1610">
        <v>39</v>
      </c>
      <c r="CL1610">
        <v>-1.78</v>
      </c>
      <c r="CM1610">
        <v>38</v>
      </c>
      <c r="CN1610">
        <v>-1</v>
      </c>
      <c r="CO1610">
        <v>38</v>
      </c>
      <c r="CP1610">
        <v>6.6</v>
      </c>
      <c r="CQ1610">
        <v>37</v>
      </c>
      <c r="CR1610">
        <v>0</v>
      </c>
      <c r="CS1610">
        <v>0</v>
      </c>
      <c r="CT1610">
        <v>33.299999999999997</v>
      </c>
      <c r="CU1610">
        <v>37</v>
      </c>
      <c r="CV1610">
        <v>0.2</v>
      </c>
      <c r="CW1610">
        <v>33</v>
      </c>
      <c r="CX1610" t="s">
        <v>350</v>
      </c>
    </row>
    <row r="1611" spans="1:102" x14ac:dyDescent="0.3">
      <c r="A1611" t="str">
        <f>HYPERLINK("https://webapp.icbf.com/v2/app/bull-search/view/586064791","VGE")</f>
        <v>VGE</v>
      </c>
      <c r="B1611" t="s">
        <v>14644</v>
      </c>
      <c r="C1611" t="s">
        <v>12903</v>
      </c>
      <c r="D1611" s="1">
        <v>38097</v>
      </c>
      <c r="E1611" t="s">
        <v>92</v>
      </c>
      <c r="F1611">
        <v>100</v>
      </c>
      <c r="G1611" t="s">
        <v>93</v>
      </c>
      <c r="H1611">
        <v>98.96</v>
      </c>
      <c r="I1611">
        <v>98</v>
      </c>
      <c r="J1611">
        <v>73.959999999999994</v>
      </c>
      <c r="K1611">
        <v>99</v>
      </c>
      <c r="L1611">
        <v>-7.23</v>
      </c>
      <c r="M1611">
        <v>97</v>
      </c>
      <c r="N1611">
        <v>40.950000000000003</v>
      </c>
      <c r="O1611">
        <v>99</v>
      </c>
      <c r="P1611">
        <v>-0.11</v>
      </c>
      <c r="Q1611">
        <v>99</v>
      </c>
      <c r="R1611">
        <v>9.5399999999999991</v>
      </c>
      <c r="S1611">
        <v>97</v>
      </c>
      <c r="T1611">
        <v>-7.56</v>
      </c>
      <c r="U1611">
        <v>99</v>
      </c>
      <c r="V1611">
        <v>-10.59</v>
      </c>
      <c r="W1611">
        <v>97</v>
      </c>
      <c r="X1611" t="s">
        <v>251</v>
      </c>
      <c r="Y1611" t="s">
        <v>235</v>
      </c>
      <c r="Z1611" t="s">
        <v>96</v>
      </c>
      <c r="AA1611" t="s">
        <v>316</v>
      </c>
      <c r="AB1611" t="s">
        <v>14645</v>
      </c>
      <c r="AC1611">
        <v>4171</v>
      </c>
      <c r="AD1611">
        <v>809</v>
      </c>
      <c r="AE1611">
        <v>99</v>
      </c>
      <c r="AF1611">
        <v>238.25</v>
      </c>
      <c r="AG1611">
        <v>14.09</v>
      </c>
      <c r="AH1611">
        <v>11.24</v>
      </c>
      <c r="AI1611">
        <v>0.08</v>
      </c>
      <c r="AJ1611">
        <v>0.05</v>
      </c>
      <c r="AK1611">
        <v>97</v>
      </c>
      <c r="AL1611">
        <v>4371</v>
      </c>
      <c r="AM1611">
        <v>909</v>
      </c>
      <c r="AN1611">
        <v>0.11</v>
      </c>
      <c r="AO1611">
        <v>-0.47</v>
      </c>
      <c r="AP1611">
        <v>8202</v>
      </c>
      <c r="AQ1611">
        <v>43</v>
      </c>
      <c r="AR1611">
        <v>5.76</v>
      </c>
      <c r="AS1611">
        <v>98</v>
      </c>
      <c r="AT1611">
        <v>2.69</v>
      </c>
      <c r="AU1611">
        <v>99</v>
      </c>
      <c r="AV1611">
        <v>-3.66</v>
      </c>
      <c r="AW1611">
        <v>99</v>
      </c>
      <c r="AX1611">
        <v>-0.31</v>
      </c>
      <c r="AY1611">
        <v>99</v>
      </c>
      <c r="AZ1611">
        <v>5.72</v>
      </c>
      <c r="BA1611">
        <v>98</v>
      </c>
      <c r="BB1611">
        <v>4.57</v>
      </c>
      <c r="BC1611">
        <v>98</v>
      </c>
      <c r="BD1611">
        <v>-0.05</v>
      </c>
      <c r="BE1611">
        <v>-0.04</v>
      </c>
      <c r="BF1611">
        <v>-0.06</v>
      </c>
      <c r="BG1611">
        <v>99</v>
      </c>
      <c r="BH1611">
        <v>-0.45</v>
      </c>
      <c r="BI1611">
        <v>-17.899999999999999</v>
      </c>
      <c r="BJ1611">
        <v>863</v>
      </c>
      <c r="BK1611">
        <v>236</v>
      </c>
      <c r="BL1611">
        <v>1.51</v>
      </c>
      <c r="BM1611">
        <v>2.2400000000000002</v>
      </c>
      <c r="BN1611">
        <v>2.13</v>
      </c>
      <c r="BO1611">
        <v>0.49</v>
      </c>
      <c r="BP1611">
        <v>0.1</v>
      </c>
      <c r="BQ1611">
        <v>1.42</v>
      </c>
      <c r="BR1611">
        <v>-1.0900000000000001</v>
      </c>
      <c r="BS1611">
        <v>2.04</v>
      </c>
      <c r="BT1611">
        <v>2.37</v>
      </c>
      <c r="BU1611">
        <v>1.1299999999999999</v>
      </c>
      <c r="BV1611">
        <v>1.57</v>
      </c>
      <c r="BW1611">
        <v>0.53</v>
      </c>
      <c r="BX1611">
        <v>0.6</v>
      </c>
      <c r="BY1611">
        <v>0.3</v>
      </c>
      <c r="BZ1611">
        <v>0.19</v>
      </c>
      <c r="CA1611">
        <v>1.35</v>
      </c>
      <c r="CB1611">
        <v>0.94</v>
      </c>
      <c r="CC1611">
        <v>1.73</v>
      </c>
      <c r="CD1611">
        <v>1.36</v>
      </c>
      <c r="CE1611">
        <v>0.49</v>
      </c>
      <c r="CF1611">
        <v>2.25</v>
      </c>
      <c r="CG1611">
        <v>0</v>
      </c>
      <c r="CH1611">
        <v>0.3</v>
      </c>
      <c r="CI1611">
        <v>0</v>
      </c>
      <c r="CJ1611">
        <v>1.6</v>
      </c>
      <c r="CK1611">
        <v>99</v>
      </c>
      <c r="CL1611">
        <v>-1.04</v>
      </c>
      <c r="CM1611">
        <v>99</v>
      </c>
      <c r="CN1611">
        <v>-0.62</v>
      </c>
      <c r="CO1611">
        <v>99</v>
      </c>
      <c r="CP1611">
        <v>7.7</v>
      </c>
      <c r="CQ1611">
        <v>99</v>
      </c>
      <c r="CR1611">
        <v>0</v>
      </c>
      <c r="CS1611">
        <v>0</v>
      </c>
      <c r="CT1611">
        <v>24</v>
      </c>
      <c r="CU1611">
        <v>99</v>
      </c>
      <c r="CV1611">
        <v>0.3</v>
      </c>
      <c r="CW1611">
        <v>49</v>
      </c>
      <c r="CX1611" t="s">
        <v>311</v>
      </c>
    </row>
    <row r="1612" spans="1:102" x14ac:dyDescent="0.3">
      <c r="A1612" t="str">
        <f>HYPERLINK("https://webapp.icbf.com/v2/app/bull-search/view/117393650","KXI")</f>
        <v>KXI</v>
      </c>
      <c r="B1612" t="s">
        <v>12072</v>
      </c>
      <c r="C1612" t="s">
        <v>12073</v>
      </c>
      <c r="D1612" s="1">
        <v>37312</v>
      </c>
      <c r="E1612" t="s">
        <v>108</v>
      </c>
      <c r="F1612">
        <v>47</v>
      </c>
      <c r="G1612" t="s">
        <v>93</v>
      </c>
      <c r="H1612">
        <v>98.84</v>
      </c>
      <c r="I1612">
        <v>94</v>
      </c>
      <c r="J1612">
        <v>33.86</v>
      </c>
      <c r="K1612">
        <v>99</v>
      </c>
      <c r="L1612">
        <v>31.71</v>
      </c>
      <c r="M1612">
        <v>88</v>
      </c>
      <c r="N1612">
        <v>27.66</v>
      </c>
      <c r="O1612">
        <v>94</v>
      </c>
      <c r="P1612">
        <v>-16.809999999999999</v>
      </c>
      <c r="Q1612">
        <v>98</v>
      </c>
      <c r="R1612">
        <v>1.84</v>
      </c>
      <c r="S1612">
        <v>91</v>
      </c>
      <c r="T1612">
        <v>21.52</v>
      </c>
      <c r="U1612">
        <v>96</v>
      </c>
      <c r="V1612">
        <v>-0.94</v>
      </c>
      <c r="W1612">
        <v>92</v>
      </c>
      <c r="X1612" t="s">
        <v>94</v>
      </c>
      <c r="Y1612" t="s">
        <v>95</v>
      </c>
      <c r="Z1612" t="s">
        <v>96</v>
      </c>
      <c r="AA1612" t="s">
        <v>792</v>
      </c>
      <c r="AB1612" t="s">
        <v>12074</v>
      </c>
      <c r="AC1612">
        <v>358</v>
      </c>
      <c r="AD1612">
        <v>257</v>
      </c>
      <c r="AE1612">
        <v>99</v>
      </c>
      <c r="AF1612">
        <v>152.01</v>
      </c>
      <c r="AG1612">
        <v>9.8800000000000008</v>
      </c>
      <c r="AH1612">
        <v>4.59</v>
      </c>
      <c r="AI1612">
        <v>7.0000000000000007E-2</v>
      </c>
      <c r="AJ1612">
        <v>-0.01</v>
      </c>
      <c r="AK1612">
        <v>88</v>
      </c>
      <c r="AL1612">
        <v>427</v>
      </c>
      <c r="AM1612">
        <v>290</v>
      </c>
      <c r="AN1612">
        <v>-0.88</v>
      </c>
      <c r="AO1612">
        <v>1.66</v>
      </c>
      <c r="AP1612">
        <v>614</v>
      </c>
      <c r="AQ1612">
        <v>3</v>
      </c>
      <c r="AR1612">
        <v>5.89</v>
      </c>
      <c r="AS1612">
        <v>84</v>
      </c>
      <c r="AT1612">
        <v>2.2200000000000002</v>
      </c>
      <c r="AU1612">
        <v>95</v>
      </c>
      <c r="AV1612">
        <v>-2.14</v>
      </c>
      <c r="AW1612">
        <v>99</v>
      </c>
      <c r="AX1612">
        <v>-0.46</v>
      </c>
      <c r="AY1612">
        <v>94</v>
      </c>
      <c r="AZ1612">
        <v>7.3</v>
      </c>
      <c r="BA1612">
        <v>84</v>
      </c>
      <c r="BB1612">
        <v>5.08</v>
      </c>
      <c r="BC1612">
        <v>88</v>
      </c>
      <c r="BD1612">
        <v>0.01</v>
      </c>
      <c r="BE1612">
        <v>-0.01</v>
      </c>
      <c r="BF1612">
        <v>-0.04</v>
      </c>
      <c r="BG1612">
        <v>96</v>
      </c>
      <c r="BH1612">
        <v>0</v>
      </c>
      <c r="BI1612">
        <v>3.04</v>
      </c>
      <c r="BJ1612">
        <v>48</v>
      </c>
      <c r="BK1612">
        <v>30</v>
      </c>
      <c r="BL1612">
        <v>-1.52</v>
      </c>
      <c r="BM1612">
        <v>0.02</v>
      </c>
      <c r="BN1612">
        <v>-1.64</v>
      </c>
      <c r="BO1612">
        <v>-1.46</v>
      </c>
      <c r="BP1612">
        <v>1.94</v>
      </c>
      <c r="BQ1612">
        <v>-2.74</v>
      </c>
      <c r="BR1612">
        <v>-0.9</v>
      </c>
      <c r="BS1612">
        <v>0.23</v>
      </c>
      <c r="BT1612">
        <v>0.17</v>
      </c>
      <c r="BU1612">
        <v>-1.67</v>
      </c>
      <c r="BV1612">
        <v>-1.91</v>
      </c>
      <c r="BW1612">
        <v>-2.04</v>
      </c>
      <c r="BX1612">
        <v>-0.81</v>
      </c>
      <c r="BY1612">
        <v>-2.4700000000000002</v>
      </c>
      <c r="BZ1612">
        <v>-1.8</v>
      </c>
      <c r="CA1612">
        <v>-1.68</v>
      </c>
      <c r="CB1612">
        <v>-2.0299999999999998</v>
      </c>
      <c r="CC1612">
        <v>-0.65</v>
      </c>
      <c r="CD1612">
        <v>0.51</v>
      </c>
      <c r="CE1612">
        <v>-1.72</v>
      </c>
      <c r="CF1612">
        <v>-2.2599999999999998</v>
      </c>
      <c r="CG1612">
        <v>0</v>
      </c>
      <c r="CH1612">
        <v>-1.93</v>
      </c>
      <c r="CI1612">
        <v>0</v>
      </c>
      <c r="CJ1612">
        <v>-8.4</v>
      </c>
      <c r="CK1612">
        <v>98</v>
      </c>
      <c r="CL1612">
        <v>-0.35</v>
      </c>
      <c r="CM1612">
        <v>98</v>
      </c>
      <c r="CN1612">
        <v>-0.02</v>
      </c>
      <c r="CO1612">
        <v>98</v>
      </c>
      <c r="CP1612">
        <v>-12.3</v>
      </c>
      <c r="CQ1612">
        <v>97</v>
      </c>
      <c r="CR1612">
        <v>0</v>
      </c>
      <c r="CS1612">
        <v>0</v>
      </c>
      <c r="CT1612">
        <v>-15.3</v>
      </c>
      <c r="CU1612">
        <v>96</v>
      </c>
      <c r="CV1612">
        <v>-0.05</v>
      </c>
      <c r="CW1612">
        <v>47</v>
      </c>
      <c r="CX1612" t="s">
        <v>612</v>
      </c>
    </row>
    <row r="1613" spans="1:102" x14ac:dyDescent="0.3">
      <c r="A1613" t="str">
        <f>HYPERLINK("https://webapp.icbf.com/v2/app/bull-search/view/1376485307","S3262")</f>
        <v>S3262</v>
      </c>
      <c r="B1613" t="s">
        <v>9415</v>
      </c>
      <c r="C1613" t="s">
        <v>9416</v>
      </c>
      <c r="D1613" s="1">
        <v>41938</v>
      </c>
      <c r="E1613" t="s">
        <v>92</v>
      </c>
      <c r="F1613">
        <v>100</v>
      </c>
      <c r="G1613" t="s">
        <v>109</v>
      </c>
      <c r="H1613">
        <v>98.82</v>
      </c>
      <c r="I1613">
        <v>69</v>
      </c>
      <c r="J1613">
        <v>30.42</v>
      </c>
      <c r="K1613">
        <v>89</v>
      </c>
      <c r="L1613">
        <v>7.16</v>
      </c>
      <c r="M1613">
        <v>71</v>
      </c>
      <c r="N1613">
        <v>44.63</v>
      </c>
      <c r="O1613">
        <v>60</v>
      </c>
      <c r="P1613">
        <v>0.66</v>
      </c>
      <c r="Q1613">
        <v>38</v>
      </c>
      <c r="R1613">
        <v>21.88</v>
      </c>
      <c r="S1613">
        <v>67</v>
      </c>
      <c r="T1613">
        <v>-4.01</v>
      </c>
      <c r="U1613">
        <v>35</v>
      </c>
      <c r="V1613">
        <v>-1.92</v>
      </c>
      <c r="W1613">
        <v>52</v>
      </c>
      <c r="X1613" t="s">
        <v>110</v>
      </c>
      <c r="Y1613" t="s">
        <v>2394</v>
      </c>
      <c r="Z1613" t="s">
        <v>96</v>
      </c>
      <c r="AA1613" t="s">
        <v>6242</v>
      </c>
      <c r="AB1613" t="s">
        <v>9417</v>
      </c>
      <c r="AC1613">
        <v>0</v>
      </c>
      <c r="AD1613">
        <v>0</v>
      </c>
      <c r="AE1613">
        <v>89</v>
      </c>
      <c r="AF1613">
        <v>418.32</v>
      </c>
      <c r="AG1613">
        <v>10.56</v>
      </c>
      <c r="AH1613">
        <v>7.84</v>
      </c>
      <c r="AI1613">
        <v>-0.1</v>
      </c>
      <c r="AJ1613">
        <v>-0.1</v>
      </c>
      <c r="AK1613">
        <v>71</v>
      </c>
      <c r="AL1613">
        <v>0</v>
      </c>
      <c r="AM1613">
        <v>0</v>
      </c>
      <c r="AN1613">
        <v>0.28999999999999998</v>
      </c>
      <c r="AO1613">
        <v>0.87</v>
      </c>
      <c r="AP1613">
        <v>11</v>
      </c>
      <c r="AQ1613">
        <v>0</v>
      </c>
      <c r="AR1613">
        <v>3.93</v>
      </c>
      <c r="AS1613">
        <v>50</v>
      </c>
      <c r="AT1613">
        <v>2.13</v>
      </c>
      <c r="AU1613">
        <v>86</v>
      </c>
      <c r="AV1613">
        <v>-3.62</v>
      </c>
      <c r="AW1613">
        <v>62</v>
      </c>
      <c r="AX1613">
        <v>0.37</v>
      </c>
      <c r="AY1613">
        <v>43</v>
      </c>
      <c r="AZ1613">
        <v>6.01</v>
      </c>
      <c r="BA1613">
        <v>33</v>
      </c>
      <c r="BB1613">
        <v>4.87</v>
      </c>
      <c r="BC1613">
        <v>32</v>
      </c>
      <c r="BD1613">
        <v>-0.09</v>
      </c>
      <c r="BE1613">
        <v>-7.0000000000000007E-2</v>
      </c>
      <c r="BF1613">
        <v>-0.22</v>
      </c>
      <c r="BG1613">
        <v>85</v>
      </c>
      <c r="BH1613">
        <v>-0.17</v>
      </c>
      <c r="BI1613">
        <v>-13.48</v>
      </c>
      <c r="BJ1613">
        <v>0</v>
      </c>
      <c r="BK1613">
        <v>0</v>
      </c>
      <c r="BL1613">
        <v>0.95</v>
      </c>
      <c r="BM1613">
        <v>-1.91</v>
      </c>
      <c r="BN1613">
        <v>-0.94</v>
      </c>
      <c r="BO1613">
        <v>0.72</v>
      </c>
      <c r="BP1613">
        <v>1.26</v>
      </c>
      <c r="BQ1613">
        <v>1.05</v>
      </c>
      <c r="BR1613">
        <v>-4.32</v>
      </c>
      <c r="BS1613">
        <v>4.4800000000000004</v>
      </c>
      <c r="BT1613">
        <v>4.0599999999999996</v>
      </c>
      <c r="BU1613">
        <v>3.54</v>
      </c>
      <c r="BV1613">
        <v>3.32</v>
      </c>
      <c r="BW1613">
        <v>1.97</v>
      </c>
      <c r="BX1613">
        <v>2.64</v>
      </c>
      <c r="BY1613">
        <v>2.99</v>
      </c>
      <c r="BZ1613">
        <v>-0.78</v>
      </c>
      <c r="CA1613">
        <v>3.68</v>
      </c>
      <c r="CB1613">
        <v>2.78</v>
      </c>
      <c r="CC1613">
        <v>3.69</v>
      </c>
      <c r="CD1613">
        <v>0.06</v>
      </c>
      <c r="CE1613">
        <v>1.31</v>
      </c>
      <c r="CF1613">
        <v>1.17</v>
      </c>
      <c r="CG1613">
        <v>0</v>
      </c>
      <c r="CH1613">
        <v>2.9</v>
      </c>
      <c r="CI1613">
        <v>0</v>
      </c>
      <c r="CJ1613">
        <v>1</v>
      </c>
      <c r="CK1613">
        <v>38</v>
      </c>
      <c r="CL1613">
        <v>-1.1000000000000001</v>
      </c>
      <c r="CM1613">
        <v>38</v>
      </c>
      <c r="CN1613">
        <v>-0.84</v>
      </c>
      <c r="CO1613">
        <v>37</v>
      </c>
      <c r="CP1613">
        <v>5.3</v>
      </c>
      <c r="CQ1613">
        <v>35</v>
      </c>
      <c r="CR1613">
        <v>0</v>
      </c>
      <c r="CS1613">
        <v>0</v>
      </c>
      <c r="CT1613">
        <v>19.2</v>
      </c>
      <c r="CU1613">
        <v>35</v>
      </c>
      <c r="CV1613">
        <v>0.12</v>
      </c>
      <c r="CW1613">
        <v>32</v>
      </c>
      <c r="CX1613" t="s">
        <v>1894</v>
      </c>
    </row>
    <row r="1614" spans="1:102" x14ac:dyDescent="0.3">
      <c r="A1614" t="str">
        <f>HYPERLINK("https://webapp.icbf.com/v2/app/bull-search/view/586150545","S792")</f>
        <v>S792</v>
      </c>
      <c r="B1614" t="s">
        <v>15443</v>
      </c>
      <c r="C1614" t="s">
        <v>1848</v>
      </c>
      <c r="D1614" s="1">
        <v>38350</v>
      </c>
      <c r="E1614" t="s">
        <v>92</v>
      </c>
      <c r="F1614">
        <v>100</v>
      </c>
      <c r="G1614" t="s">
        <v>93</v>
      </c>
      <c r="H1614">
        <v>98.79</v>
      </c>
      <c r="I1614">
        <v>92</v>
      </c>
      <c r="J1614">
        <v>27.81</v>
      </c>
      <c r="K1614">
        <v>98</v>
      </c>
      <c r="L1614">
        <v>38.33</v>
      </c>
      <c r="M1614">
        <v>92</v>
      </c>
      <c r="N1614">
        <v>22.34</v>
      </c>
      <c r="O1614">
        <v>91</v>
      </c>
      <c r="P1614">
        <v>-2.38</v>
      </c>
      <c r="Q1614">
        <v>95</v>
      </c>
      <c r="R1614">
        <v>12.11</v>
      </c>
      <c r="S1614">
        <v>82</v>
      </c>
      <c r="T1614">
        <v>-5.04</v>
      </c>
      <c r="U1614">
        <v>80</v>
      </c>
      <c r="V1614">
        <v>5.62</v>
      </c>
      <c r="W1614">
        <v>75</v>
      </c>
      <c r="X1614" t="s">
        <v>102</v>
      </c>
      <c r="Y1614" t="s">
        <v>1494</v>
      </c>
      <c r="Z1614" t="s">
        <v>96</v>
      </c>
      <c r="AA1614" t="s">
        <v>314</v>
      </c>
      <c r="AB1614" t="s">
        <v>15444</v>
      </c>
      <c r="AC1614">
        <v>155</v>
      </c>
      <c r="AD1614">
        <v>38</v>
      </c>
      <c r="AE1614">
        <v>98</v>
      </c>
      <c r="AF1614">
        <v>491.58</v>
      </c>
      <c r="AG1614">
        <v>3.29</v>
      </c>
      <c r="AH1614">
        <v>11.09</v>
      </c>
      <c r="AI1614">
        <v>-0.26</v>
      </c>
      <c r="AJ1614">
        <v>-0.09</v>
      </c>
      <c r="AK1614">
        <v>92</v>
      </c>
      <c r="AL1614">
        <v>117</v>
      </c>
      <c r="AM1614">
        <v>27</v>
      </c>
      <c r="AN1614">
        <v>-1.04</v>
      </c>
      <c r="AO1614">
        <v>2.0299999999999998</v>
      </c>
      <c r="AP1614">
        <v>271</v>
      </c>
      <c r="AQ1614">
        <v>1</v>
      </c>
      <c r="AR1614">
        <v>7.37</v>
      </c>
      <c r="AS1614">
        <v>87</v>
      </c>
      <c r="AT1614">
        <v>3</v>
      </c>
      <c r="AU1614">
        <v>99</v>
      </c>
      <c r="AV1614">
        <v>-2.5299999999999998</v>
      </c>
      <c r="AW1614">
        <v>96</v>
      </c>
      <c r="AX1614">
        <v>0.66</v>
      </c>
      <c r="AY1614">
        <v>91</v>
      </c>
      <c r="AZ1614">
        <v>6.01</v>
      </c>
      <c r="BA1614">
        <v>76</v>
      </c>
      <c r="BB1614">
        <v>4.6500000000000004</v>
      </c>
      <c r="BC1614">
        <v>69</v>
      </c>
      <c r="BD1614">
        <v>-0.02</v>
      </c>
      <c r="BE1614">
        <v>-0.05</v>
      </c>
      <c r="BF1614">
        <v>-0.15</v>
      </c>
      <c r="BG1614">
        <v>94</v>
      </c>
      <c r="BH1614">
        <v>0</v>
      </c>
      <c r="BI1614">
        <v>-18.14</v>
      </c>
      <c r="BJ1614">
        <v>57</v>
      </c>
      <c r="BK1614">
        <v>21</v>
      </c>
      <c r="BL1614">
        <v>0.88</v>
      </c>
      <c r="BM1614">
        <v>-0.16</v>
      </c>
      <c r="BN1614">
        <v>-0.08</v>
      </c>
      <c r="BO1614">
        <v>0.17</v>
      </c>
      <c r="BP1614">
        <v>-1.63</v>
      </c>
      <c r="BQ1614">
        <v>-0.65</v>
      </c>
      <c r="BR1614">
        <v>1.1299999999999999</v>
      </c>
      <c r="BS1614">
        <v>-1.35</v>
      </c>
      <c r="BT1614">
        <v>-0.74</v>
      </c>
      <c r="BU1614">
        <v>1.84</v>
      </c>
      <c r="BV1614">
        <v>0.81</v>
      </c>
      <c r="BW1614">
        <v>1.56</v>
      </c>
      <c r="BX1614">
        <v>2.11</v>
      </c>
      <c r="BY1614">
        <v>2.5099999999999998</v>
      </c>
      <c r="BZ1614">
        <v>0.08</v>
      </c>
      <c r="CA1614">
        <v>0.7</v>
      </c>
      <c r="CB1614">
        <v>1.52</v>
      </c>
      <c r="CC1614">
        <v>-0.56000000000000005</v>
      </c>
      <c r="CD1614">
        <v>0.25</v>
      </c>
      <c r="CE1614">
        <v>0.56999999999999995</v>
      </c>
      <c r="CF1614">
        <v>0.78</v>
      </c>
      <c r="CG1614">
        <v>0</v>
      </c>
      <c r="CH1614">
        <v>2.1</v>
      </c>
      <c r="CI1614">
        <v>0</v>
      </c>
      <c r="CJ1614">
        <v>0.6</v>
      </c>
      <c r="CK1614">
        <v>96</v>
      </c>
      <c r="CL1614">
        <v>-0.98</v>
      </c>
      <c r="CM1614">
        <v>95</v>
      </c>
      <c r="CN1614">
        <v>-0.51</v>
      </c>
      <c r="CO1614">
        <v>94</v>
      </c>
      <c r="CP1614">
        <v>6.2</v>
      </c>
      <c r="CQ1614">
        <v>87</v>
      </c>
      <c r="CR1614">
        <v>0</v>
      </c>
      <c r="CS1614">
        <v>0</v>
      </c>
      <c r="CT1614">
        <v>20.6</v>
      </c>
      <c r="CU1614">
        <v>80</v>
      </c>
      <c r="CV1614">
        <v>0.22</v>
      </c>
      <c r="CW1614">
        <v>46</v>
      </c>
      <c r="CX1614" t="s">
        <v>316</v>
      </c>
    </row>
    <row r="1615" spans="1:102" x14ac:dyDescent="0.3">
      <c r="A1615" t="str">
        <f>HYPERLINK("https://webapp.icbf.com/v2/app/bull-search/view/1092511667","S2077")</f>
        <v>S2077</v>
      </c>
      <c r="B1615" t="s">
        <v>2043</v>
      </c>
      <c r="C1615" t="s">
        <v>2044</v>
      </c>
      <c r="D1615" s="1">
        <v>41130</v>
      </c>
      <c r="E1615" t="s">
        <v>92</v>
      </c>
      <c r="F1615">
        <v>81</v>
      </c>
      <c r="G1615" t="s">
        <v>109</v>
      </c>
      <c r="H1615">
        <v>98.77</v>
      </c>
      <c r="I1615">
        <v>49</v>
      </c>
      <c r="J1615">
        <v>83.53</v>
      </c>
      <c r="K1615">
        <v>65</v>
      </c>
      <c r="L1615">
        <v>14.19</v>
      </c>
      <c r="M1615">
        <v>44</v>
      </c>
      <c r="N1615">
        <v>8.1199999999999992</v>
      </c>
      <c r="O1615">
        <v>40</v>
      </c>
      <c r="P1615">
        <v>-25.11</v>
      </c>
      <c r="Q1615">
        <v>46</v>
      </c>
      <c r="R1615">
        <v>-0.73</v>
      </c>
      <c r="S1615">
        <v>45</v>
      </c>
      <c r="T1615">
        <v>14.57</v>
      </c>
      <c r="U1615">
        <v>32</v>
      </c>
      <c r="V1615">
        <v>4.2</v>
      </c>
      <c r="W1615">
        <v>17</v>
      </c>
      <c r="X1615" t="s">
        <v>94</v>
      </c>
      <c r="Y1615" t="s">
        <v>367</v>
      </c>
      <c r="Z1615" t="s">
        <v>330</v>
      </c>
      <c r="AA1615" t="s">
        <v>2045</v>
      </c>
      <c r="AB1615" t="s">
        <v>144</v>
      </c>
      <c r="AC1615">
        <v>0</v>
      </c>
      <c r="AD1615">
        <v>0</v>
      </c>
      <c r="AE1615">
        <v>65</v>
      </c>
      <c r="AF1615">
        <v>306.83</v>
      </c>
      <c r="AG1615">
        <v>11.51</v>
      </c>
      <c r="AH1615">
        <v>14.83</v>
      </c>
      <c r="AI1615">
        <v>-0.01</v>
      </c>
      <c r="AJ1615">
        <v>7.0000000000000007E-2</v>
      </c>
      <c r="AK1615">
        <v>44</v>
      </c>
      <c r="AL1615">
        <v>0</v>
      </c>
      <c r="AM1615">
        <v>0</v>
      </c>
      <c r="AN1615">
        <v>-0.87</v>
      </c>
      <c r="AO1615">
        <v>0.26</v>
      </c>
      <c r="AP1615">
        <v>15</v>
      </c>
      <c r="AQ1615">
        <v>0</v>
      </c>
      <c r="AR1615">
        <v>7.33</v>
      </c>
      <c r="AS1615">
        <v>16</v>
      </c>
      <c r="AT1615">
        <v>2.93</v>
      </c>
      <c r="AU1615">
        <v>38</v>
      </c>
      <c r="AV1615">
        <v>-0.88</v>
      </c>
      <c r="AW1615">
        <v>61</v>
      </c>
      <c r="AX1615">
        <v>0.97</v>
      </c>
      <c r="AY1615">
        <v>27</v>
      </c>
      <c r="AZ1615">
        <v>6.06</v>
      </c>
      <c r="BA1615">
        <v>17</v>
      </c>
      <c r="BB1615">
        <v>4.87</v>
      </c>
      <c r="BC1615">
        <v>12</v>
      </c>
      <c r="BD1615">
        <v>-0.02</v>
      </c>
      <c r="BE1615">
        <v>0</v>
      </c>
      <c r="BF1615">
        <v>0.05</v>
      </c>
      <c r="BG1615">
        <v>68</v>
      </c>
      <c r="BH1615">
        <v>0.09</v>
      </c>
      <c r="BI1615">
        <v>-3.14</v>
      </c>
      <c r="BJ1615">
        <v>0</v>
      </c>
      <c r="BK1615">
        <v>0</v>
      </c>
      <c r="BL1615">
        <v>-1.8</v>
      </c>
      <c r="BM1615">
        <v>-0.69</v>
      </c>
      <c r="BN1615">
        <v>-1.35</v>
      </c>
      <c r="BO1615">
        <v>0</v>
      </c>
      <c r="BP1615">
        <v>0.76</v>
      </c>
      <c r="BQ1615">
        <v>-2.71</v>
      </c>
      <c r="BR1615">
        <v>1.61</v>
      </c>
      <c r="BS1615">
        <v>0</v>
      </c>
      <c r="BT1615">
        <v>0</v>
      </c>
      <c r="BU1615">
        <v>-1.1499999999999999</v>
      </c>
      <c r="BV1615">
        <v>-1.35</v>
      </c>
      <c r="BW1615">
        <v>-1.19</v>
      </c>
      <c r="BX1615">
        <v>0</v>
      </c>
      <c r="BY1615">
        <v>0.3</v>
      </c>
      <c r="BZ1615">
        <v>0</v>
      </c>
      <c r="CA1615">
        <v>-1.56</v>
      </c>
      <c r="CB1615">
        <v>-0.85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-9</v>
      </c>
      <c r="CK1615">
        <v>50</v>
      </c>
      <c r="CL1615">
        <v>-0.92</v>
      </c>
      <c r="CM1615">
        <v>45</v>
      </c>
      <c r="CN1615">
        <v>0.11</v>
      </c>
      <c r="CO1615">
        <v>42</v>
      </c>
      <c r="CP1615">
        <v>-12.7</v>
      </c>
      <c r="CQ1615">
        <v>32</v>
      </c>
      <c r="CR1615">
        <v>0</v>
      </c>
      <c r="CS1615">
        <v>0</v>
      </c>
      <c r="CT1615">
        <v>-5.9</v>
      </c>
      <c r="CU1615">
        <v>32</v>
      </c>
      <c r="CV1615">
        <v>0.15</v>
      </c>
      <c r="CW1615">
        <v>13</v>
      </c>
      <c r="CX1615" t="s">
        <v>331</v>
      </c>
    </row>
    <row r="1616" spans="1:102" x14ac:dyDescent="0.3">
      <c r="A1616" t="str">
        <f>HYPERLINK("https://webapp.icbf.com/v2/app/bull-search/view/910800147","S3168")</f>
        <v>S3168</v>
      </c>
      <c r="B1616" t="s">
        <v>451</v>
      </c>
      <c r="C1616" t="s">
        <v>452</v>
      </c>
      <c r="D1616" s="1">
        <v>40333</v>
      </c>
      <c r="E1616" t="s">
        <v>227</v>
      </c>
      <c r="F1616">
        <v>0</v>
      </c>
      <c r="G1616" t="s">
        <v>109</v>
      </c>
      <c r="H1616">
        <v>98.76</v>
      </c>
      <c r="I1616">
        <v>69</v>
      </c>
      <c r="J1616">
        <v>10.199999999999999</v>
      </c>
      <c r="K1616">
        <v>85</v>
      </c>
      <c r="L1616">
        <v>74.66</v>
      </c>
      <c r="M1616">
        <v>72</v>
      </c>
      <c r="N1616">
        <v>6.12</v>
      </c>
      <c r="O1616">
        <v>52</v>
      </c>
      <c r="P1616">
        <v>-65.56</v>
      </c>
      <c r="Q1616">
        <v>46</v>
      </c>
      <c r="R1616">
        <v>6.77</v>
      </c>
      <c r="S1616">
        <v>61</v>
      </c>
      <c r="T1616">
        <v>66.069999999999993</v>
      </c>
      <c r="U1616">
        <v>43</v>
      </c>
      <c r="V1616">
        <v>0.5</v>
      </c>
      <c r="W1616">
        <v>59</v>
      </c>
      <c r="X1616" t="s">
        <v>110</v>
      </c>
      <c r="Y1616" t="s">
        <v>453</v>
      </c>
      <c r="Z1616">
        <v>0</v>
      </c>
      <c r="AA1616" t="s">
        <v>454</v>
      </c>
      <c r="AB1616" t="s">
        <v>144</v>
      </c>
      <c r="AC1616">
        <v>0</v>
      </c>
      <c r="AD1616">
        <v>0</v>
      </c>
      <c r="AE1616">
        <v>85</v>
      </c>
      <c r="AF1616">
        <v>-715.91</v>
      </c>
      <c r="AG1616">
        <v>6.35</v>
      </c>
      <c r="AH1616">
        <v>-11.47</v>
      </c>
      <c r="AI1616">
        <v>0.67</v>
      </c>
      <c r="AJ1616">
        <v>0.26</v>
      </c>
      <c r="AK1616">
        <v>72</v>
      </c>
      <c r="AL1616">
        <v>0</v>
      </c>
      <c r="AM1616">
        <v>0</v>
      </c>
      <c r="AN1616">
        <v>-2.8</v>
      </c>
      <c r="AO1616">
        <v>3.17</v>
      </c>
      <c r="AP1616">
        <v>5</v>
      </c>
      <c r="AQ1616">
        <v>0</v>
      </c>
      <c r="AR1616">
        <v>3.46</v>
      </c>
      <c r="AS1616">
        <v>51</v>
      </c>
      <c r="AT1616">
        <v>1.37</v>
      </c>
      <c r="AU1616">
        <v>57</v>
      </c>
      <c r="AV1616">
        <v>-0.21</v>
      </c>
      <c r="AW1616">
        <v>55</v>
      </c>
      <c r="AX1616">
        <v>4.49</v>
      </c>
      <c r="AY1616">
        <v>45</v>
      </c>
      <c r="AZ1616">
        <v>7.77</v>
      </c>
      <c r="BA1616">
        <v>44</v>
      </c>
      <c r="BB1616">
        <v>5.46</v>
      </c>
      <c r="BC1616">
        <v>43</v>
      </c>
      <c r="BD1616">
        <v>-0.1</v>
      </c>
      <c r="BE1616">
        <v>-0.01</v>
      </c>
      <c r="BF1616">
        <v>0.03</v>
      </c>
      <c r="BG1616">
        <v>67</v>
      </c>
      <c r="BH1616">
        <v>0.04</v>
      </c>
      <c r="BI1616">
        <v>3.03</v>
      </c>
      <c r="BJ1616">
        <v>0</v>
      </c>
      <c r="BK1616">
        <v>0</v>
      </c>
      <c r="BL1616">
        <v>-1.44</v>
      </c>
      <c r="BM1616">
        <v>-2.11</v>
      </c>
      <c r="BN1616">
        <v>-0.6</v>
      </c>
      <c r="BO1616">
        <v>1.45</v>
      </c>
      <c r="BP1616">
        <v>-0.23</v>
      </c>
      <c r="BQ1616">
        <v>-5.35</v>
      </c>
      <c r="BR1616">
        <v>2.1</v>
      </c>
      <c r="BS1616">
        <v>6.42</v>
      </c>
      <c r="BT1616">
        <v>-1.27</v>
      </c>
      <c r="BU1616">
        <v>0.87</v>
      </c>
      <c r="BV1616">
        <v>0.91</v>
      </c>
      <c r="BW1616">
        <v>-1.22</v>
      </c>
      <c r="BX1616">
        <v>-1.94</v>
      </c>
      <c r="BY1616">
        <v>0.01</v>
      </c>
      <c r="BZ1616">
        <v>-0.86</v>
      </c>
      <c r="CA1616">
        <v>2.2799999999999998</v>
      </c>
      <c r="CB1616">
        <v>0.84</v>
      </c>
      <c r="CC1616">
        <v>4.13</v>
      </c>
      <c r="CD1616">
        <v>-2.38</v>
      </c>
      <c r="CE1616">
        <v>1.22</v>
      </c>
      <c r="CF1616">
        <v>-1.2</v>
      </c>
      <c r="CG1616">
        <v>0</v>
      </c>
      <c r="CH1616">
        <v>-0.5</v>
      </c>
      <c r="CI1616">
        <v>0</v>
      </c>
      <c r="CJ1616">
        <v>-37.799999999999997</v>
      </c>
      <c r="CK1616">
        <v>48</v>
      </c>
      <c r="CL1616">
        <v>-0.99</v>
      </c>
      <c r="CM1616">
        <v>44</v>
      </c>
      <c r="CN1616">
        <v>-0.36</v>
      </c>
      <c r="CO1616">
        <v>44</v>
      </c>
      <c r="CP1616">
        <v>-49.3</v>
      </c>
      <c r="CQ1616">
        <v>44</v>
      </c>
      <c r="CR1616">
        <v>0</v>
      </c>
      <c r="CS1616">
        <v>0</v>
      </c>
      <c r="CT1616">
        <v>-75.5</v>
      </c>
      <c r="CU1616">
        <v>43</v>
      </c>
      <c r="CV1616">
        <v>-0.31</v>
      </c>
      <c r="CW1616">
        <v>35</v>
      </c>
      <c r="CX1616" t="s">
        <v>372</v>
      </c>
    </row>
    <row r="1617" spans="1:102" x14ac:dyDescent="0.3">
      <c r="A1617" t="str">
        <f>HYPERLINK("https://webapp.icbf.com/v2/app/bull-search/view/390699743","CXD")</f>
        <v>CXD</v>
      </c>
      <c r="B1617" t="s">
        <v>14138</v>
      </c>
      <c r="C1617" t="s">
        <v>14139</v>
      </c>
      <c r="D1617" s="1">
        <v>38372</v>
      </c>
      <c r="E1617" t="s">
        <v>92</v>
      </c>
      <c r="F1617">
        <v>88</v>
      </c>
      <c r="G1617" t="s">
        <v>93</v>
      </c>
      <c r="H1617">
        <v>98.68</v>
      </c>
      <c r="I1617">
        <v>86</v>
      </c>
      <c r="J1617">
        <v>47.86</v>
      </c>
      <c r="K1617">
        <v>96</v>
      </c>
      <c r="L1617">
        <v>14.62</v>
      </c>
      <c r="M1617">
        <v>77</v>
      </c>
      <c r="N1617">
        <v>40.31</v>
      </c>
      <c r="O1617">
        <v>85</v>
      </c>
      <c r="P1617">
        <v>-8.6199999999999992</v>
      </c>
      <c r="Q1617">
        <v>91</v>
      </c>
      <c r="R1617">
        <v>-1.94</v>
      </c>
      <c r="S1617">
        <v>80</v>
      </c>
      <c r="T1617">
        <v>14.27</v>
      </c>
      <c r="U1617">
        <v>85</v>
      </c>
      <c r="V1617">
        <v>-7.82</v>
      </c>
      <c r="W1617">
        <v>80</v>
      </c>
      <c r="X1617" t="s">
        <v>94</v>
      </c>
      <c r="Y1617" t="s">
        <v>1164</v>
      </c>
      <c r="Z1617" t="s">
        <v>96</v>
      </c>
      <c r="AA1617" t="s">
        <v>4398</v>
      </c>
      <c r="AB1617" t="s">
        <v>14140</v>
      </c>
      <c r="AC1617">
        <v>66</v>
      </c>
      <c r="AD1617">
        <v>61</v>
      </c>
      <c r="AE1617">
        <v>96</v>
      </c>
      <c r="AF1617">
        <v>85.39</v>
      </c>
      <c r="AG1617">
        <v>6.52</v>
      </c>
      <c r="AH1617">
        <v>7.14</v>
      </c>
      <c r="AI1617">
        <v>0.06</v>
      </c>
      <c r="AJ1617">
        <v>7.0000000000000007E-2</v>
      </c>
      <c r="AK1617">
        <v>77</v>
      </c>
      <c r="AL1617">
        <v>69</v>
      </c>
      <c r="AM1617">
        <v>55</v>
      </c>
      <c r="AN1617">
        <v>0.27</v>
      </c>
      <c r="AO1617">
        <v>1.45</v>
      </c>
      <c r="AP1617">
        <v>157</v>
      </c>
      <c r="AQ1617">
        <v>0</v>
      </c>
      <c r="AR1617">
        <v>3.6</v>
      </c>
      <c r="AS1617">
        <v>70</v>
      </c>
      <c r="AT1617">
        <v>1.67</v>
      </c>
      <c r="AU1617">
        <v>87</v>
      </c>
      <c r="AV1617">
        <v>-2.58</v>
      </c>
      <c r="AW1617">
        <v>95</v>
      </c>
      <c r="AX1617">
        <v>-0.74</v>
      </c>
      <c r="AY1617">
        <v>79</v>
      </c>
      <c r="AZ1617">
        <v>6.66</v>
      </c>
      <c r="BA1617">
        <v>65</v>
      </c>
      <c r="BB1617">
        <v>5.0999999999999996</v>
      </c>
      <c r="BC1617">
        <v>68</v>
      </c>
      <c r="BD1617">
        <v>-0.02</v>
      </c>
      <c r="BE1617">
        <v>0.02</v>
      </c>
      <c r="BF1617">
        <v>0.04</v>
      </c>
      <c r="BG1617">
        <v>87</v>
      </c>
      <c r="BH1617">
        <v>-0.02</v>
      </c>
      <c r="BI1617">
        <v>22.91</v>
      </c>
      <c r="BJ1617">
        <v>25</v>
      </c>
      <c r="BK1617">
        <v>21</v>
      </c>
      <c r="BL1617">
        <v>0.59</v>
      </c>
      <c r="BM1617">
        <v>-0.56000000000000005</v>
      </c>
      <c r="BN1617">
        <v>-0.32</v>
      </c>
      <c r="BO1617">
        <v>0.17</v>
      </c>
      <c r="BP1617">
        <v>3.05</v>
      </c>
      <c r="BQ1617">
        <v>-0.15</v>
      </c>
      <c r="BR1617">
        <v>-0.49</v>
      </c>
      <c r="BS1617">
        <v>-0.92</v>
      </c>
      <c r="BT1617">
        <v>-0.28000000000000003</v>
      </c>
      <c r="BU1617">
        <v>-1.65</v>
      </c>
      <c r="BV1617">
        <v>-1.64</v>
      </c>
      <c r="BW1617">
        <v>-0.72</v>
      </c>
      <c r="BX1617">
        <v>-1.92</v>
      </c>
      <c r="BY1617">
        <v>-1.44</v>
      </c>
      <c r="BZ1617">
        <v>-2.4500000000000002</v>
      </c>
      <c r="CA1617">
        <v>-1.51</v>
      </c>
      <c r="CB1617">
        <v>-1.42</v>
      </c>
      <c r="CC1617">
        <v>-0.87</v>
      </c>
      <c r="CD1617">
        <v>-0.75</v>
      </c>
      <c r="CE1617">
        <v>-0.35</v>
      </c>
      <c r="CF1617">
        <v>-0.28000000000000003</v>
      </c>
      <c r="CG1617">
        <v>0</v>
      </c>
      <c r="CH1617">
        <v>-0.97</v>
      </c>
      <c r="CI1617">
        <v>0</v>
      </c>
      <c r="CJ1617">
        <v>-0.8</v>
      </c>
      <c r="CK1617">
        <v>92</v>
      </c>
      <c r="CL1617">
        <v>-0.81</v>
      </c>
      <c r="CM1617">
        <v>90</v>
      </c>
      <c r="CN1617">
        <v>-0.19</v>
      </c>
      <c r="CO1617">
        <v>89</v>
      </c>
      <c r="CP1617">
        <v>-9.1999999999999993</v>
      </c>
      <c r="CQ1617">
        <v>88</v>
      </c>
      <c r="CR1617">
        <v>0</v>
      </c>
      <c r="CS1617">
        <v>0</v>
      </c>
      <c r="CT1617">
        <v>-5.5</v>
      </c>
      <c r="CU1617">
        <v>85</v>
      </c>
      <c r="CV1617">
        <v>0.22</v>
      </c>
      <c r="CW1617">
        <v>44</v>
      </c>
      <c r="CX1617" t="s">
        <v>753</v>
      </c>
    </row>
    <row r="1618" spans="1:102" x14ac:dyDescent="0.3">
      <c r="A1618" t="str">
        <f>HYPERLINK("https://webapp.icbf.com/v2/app/bull-search/view/1196695353","S2224")</f>
        <v>S2224</v>
      </c>
      <c r="B1618" t="s">
        <v>7923</v>
      </c>
      <c r="C1618" t="s">
        <v>7924</v>
      </c>
      <c r="D1618" s="1">
        <v>41133</v>
      </c>
      <c r="E1618" t="s">
        <v>92</v>
      </c>
      <c r="F1618">
        <v>100</v>
      </c>
      <c r="G1618" t="s">
        <v>109</v>
      </c>
      <c r="H1618">
        <v>98.6</v>
      </c>
      <c r="I1618">
        <v>85</v>
      </c>
      <c r="J1618">
        <v>69.06</v>
      </c>
      <c r="K1618">
        <v>95</v>
      </c>
      <c r="L1618">
        <v>-0.8</v>
      </c>
      <c r="M1618">
        <v>85</v>
      </c>
      <c r="N1618">
        <v>25.77</v>
      </c>
      <c r="O1618">
        <v>89</v>
      </c>
      <c r="P1618">
        <v>-12.21</v>
      </c>
      <c r="Q1618">
        <v>90</v>
      </c>
      <c r="R1618">
        <v>7.61</v>
      </c>
      <c r="S1618">
        <v>74</v>
      </c>
      <c r="T1618">
        <v>6.65</v>
      </c>
      <c r="U1618">
        <v>51</v>
      </c>
      <c r="V1618">
        <v>2.52</v>
      </c>
      <c r="W1618">
        <v>63</v>
      </c>
      <c r="X1618" t="s">
        <v>428</v>
      </c>
      <c r="Y1618" t="s">
        <v>367</v>
      </c>
      <c r="Z1618" t="s">
        <v>96</v>
      </c>
      <c r="AA1618" t="s">
        <v>1894</v>
      </c>
      <c r="AB1618" t="s">
        <v>7925</v>
      </c>
      <c r="AC1618">
        <v>89</v>
      </c>
      <c r="AD1618">
        <v>35</v>
      </c>
      <c r="AE1618">
        <v>95</v>
      </c>
      <c r="AF1618">
        <v>492.09</v>
      </c>
      <c r="AG1618">
        <v>18.309999999999999</v>
      </c>
      <c r="AH1618">
        <v>12.8</v>
      </c>
      <c r="AI1618">
        <v>-0.01</v>
      </c>
      <c r="AJ1618">
        <v>-0.06</v>
      </c>
      <c r="AK1618">
        <v>85</v>
      </c>
      <c r="AL1618">
        <v>26</v>
      </c>
      <c r="AM1618">
        <v>12</v>
      </c>
      <c r="AN1618">
        <v>0.35</v>
      </c>
      <c r="AO1618">
        <v>0.28999999999999998</v>
      </c>
      <c r="AP1618">
        <v>876</v>
      </c>
      <c r="AQ1618">
        <v>7</v>
      </c>
      <c r="AR1618">
        <v>6.12</v>
      </c>
      <c r="AS1618">
        <v>94</v>
      </c>
      <c r="AT1618">
        <v>2.71</v>
      </c>
      <c r="AU1618">
        <v>94</v>
      </c>
      <c r="AV1618">
        <v>-1.97</v>
      </c>
      <c r="AW1618">
        <v>99</v>
      </c>
      <c r="AX1618">
        <v>-0.7</v>
      </c>
      <c r="AY1618">
        <v>94</v>
      </c>
      <c r="AZ1618">
        <v>6.29</v>
      </c>
      <c r="BA1618">
        <v>67</v>
      </c>
      <c r="BB1618">
        <v>4.8</v>
      </c>
      <c r="BC1618">
        <v>45</v>
      </c>
      <c r="BD1618">
        <v>-0.03</v>
      </c>
      <c r="BE1618">
        <v>-0.05</v>
      </c>
      <c r="BF1618">
        <v>-0.03</v>
      </c>
      <c r="BG1618">
        <v>89</v>
      </c>
      <c r="BH1618">
        <v>-0.1</v>
      </c>
      <c r="BI1618">
        <v>-19.71</v>
      </c>
      <c r="BJ1618">
        <v>10</v>
      </c>
      <c r="BK1618">
        <v>9</v>
      </c>
      <c r="BL1618">
        <v>1.41</v>
      </c>
      <c r="BM1618">
        <v>-0.4</v>
      </c>
      <c r="BN1618">
        <v>1.3</v>
      </c>
      <c r="BO1618">
        <v>1.42</v>
      </c>
      <c r="BP1618">
        <v>-0.86</v>
      </c>
      <c r="BQ1618">
        <v>-0.64</v>
      </c>
      <c r="BR1618">
        <v>-1.42</v>
      </c>
      <c r="BS1618">
        <v>3.33</v>
      </c>
      <c r="BT1618">
        <v>3.34</v>
      </c>
      <c r="BU1618">
        <v>3.86</v>
      </c>
      <c r="BV1618">
        <v>4.16</v>
      </c>
      <c r="BW1618">
        <v>2.2000000000000002</v>
      </c>
      <c r="BX1618">
        <v>2.6</v>
      </c>
      <c r="BY1618">
        <v>2.79</v>
      </c>
      <c r="BZ1618">
        <v>-1.69</v>
      </c>
      <c r="CA1618">
        <v>3.21</v>
      </c>
      <c r="CB1618">
        <v>3.1</v>
      </c>
      <c r="CC1618">
        <v>1.84</v>
      </c>
      <c r="CD1618">
        <v>-0.91</v>
      </c>
      <c r="CE1618">
        <v>1.67</v>
      </c>
      <c r="CF1618">
        <v>1.07</v>
      </c>
      <c r="CG1618">
        <v>0</v>
      </c>
      <c r="CH1618">
        <v>2.93</v>
      </c>
      <c r="CI1618">
        <v>0</v>
      </c>
      <c r="CJ1618">
        <v>-3.6</v>
      </c>
      <c r="CK1618">
        <v>93</v>
      </c>
      <c r="CL1618">
        <v>-1.2</v>
      </c>
      <c r="CM1618">
        <v>91</v>
      </c>
      <c r="CN1618">
        <v>-0.53</v>
      </c>
      <c r="CO1618">
        <v>90</v>
      </c>
      <c r="CP1618">
        <v>-7.1</v>
      </c>
      <c r="CQ1618">
        <v>60</v>
      </c>
      <c r="CR1618">
        <v>0</v>
      </c>
      <c r="CS1618">
        <v>0</v>
      </c>
      <c r="CT1618">
        <v>4.8</v>
      </c>
      <c r="CU1618">
        <v>51</v>
      </c>
      <c r="CV1618">
        <v>0.23</v>
      </c>
      <c r="CW1618">
        <v>45</v>
      </c>
      <c r="CX1618" t="s">
        <v>7926</v>
      </c>
    </row>
    <row r="1619" spans="1:102" x14ac:dyDescent="0.3">
      <c r="A1619" t="str">
        <f>HYPERLINK("https://webapp.icbf.com/v2/app/bull-search/view/1196704703","S2316")</f>
        <v>S2316</v>
      </c>
      <c r="B1619" t="s">
        <v>6104</v>
      </c>
      <c r="C1619" t="s">
        <v>6105</v>
      </c>
      <c r="D1619" s="1">
        <v>41263</v>
      </c>
      <c r="E1619" t="s">
        <v>92</v>
      </c>
      <c r="F1619">
        <v>100</v>
      </c>
      <c r="G1619" t="s">
        <v>109</v>
      </c>
      <c r="H1619">
        <v>98.28</v>
      </c>
      <c r="I1619">
        <v>79</v>
      </c>
      <c r="J1619">
        <v>101.12</v>
      </c>
      <c r="K1619">
        <v>93</v>
      </c>
      <c r="L1619">
        <v>-49</v>
      </c>
      <c r="M1619">
        <v>84</v>
      </c>
      <c r="N1619">
        <v>33.619999999999997</v>
      </c>
      <c r="O1619">
        <v>74</v>
      </c>
      <c r="P1619">
        <v>-2.1800000000000002</v>
      </c>
      <c r="Q1619">
        <v>54</v>
      </c>
      <c r="R1619">
        <v>10.7</v>
      </c>
      <c r="S1619">
        <v>73</v>
      </c>
      <c r="T1619">
        <v>5.32</v>
      </c>
      <c r="U1619">
        <v>43</v>
      </c>
      <c r="V1619">
        <v>-1.3</v>
      </c>
      <c r="W1619">
        <v>56</v>
      </c>
      <c r="X1619" t="s">
        <v>234</v>
      </c>
      <c r="Y1619" t="s">
        <v>411</v>
      </c>
      <c r="Z1619" t="s">
        <v>96</v>
      </c>
      <c r="AA1619" t="s">
        <v>1894</v>
      </c>
      <c r="AB1619" t="s">
        <v>6106</v>
      </c>
      <c r="AC1619">
        <v>0</v>
      </c>
      <c r="AD1619">
        <v>0</v>
      </c>
      <c r="AE1619">
        <v>93</v>
      </c>
      <c r="AF1619">
        <v>659.13</v>
      </c>
      <c r="AG1619">
        <v>28.91</v>
      </c>
      <c r="AH1619">
        <v>17.059999999999999</v>
      </c>
      <c r="AI1619">
        <v>0.05</v>
      </c>
      <c r="AJ1619">
        <v>-0.08</v>
      </c>
      <c r="AK1619">
        <v>84</v>
      </c>
      <c r="AL1619">
        <v>0</v>
      </c>
      <c r="AM1619">
        <v>0</v>
      </c>
      <c r="AN1619">
        <v>4.84</v>
      </c>
      <c r="AO1619">
        <v>0.96</v>
      </c>
      <c r="AP1619">
        <v>56</v>
      </c>
      <c r="AQ1619">
        <v>0</v>
      </c>
      <c r="AR1619">
        <v>7.56</v>
      </c>
      <c r="AS1619">
        <v>77</v>
      </c>
      <c r="AT1619">
        <v>3.24</v>
      </c>
      <c r="AU1619">
        <v>93</v>
      </c>
      <c r="AV1619">
        <v>-3.69</v>
      </c>
      <c r="AW1619">
        <v>79</v>
      </c>
      <c r="AX1619">
        <v>-0.56000000000000005</v>
      </c>
      <c r="AY1619">
        <v>62</v>
      </c>
      <c r="AZ1619">
        <v>5.34</v>
      </c>
      <c r="BA1619">
        <v>51</v>
      </c>
      <c r="BB1619">
        <v>4.54</v>
      </c>
      <c r="BC1619">
        <v>40</v>
      </c>
      <c r="BD1619">
        <v>-0.03</v>
      </c>
      <c r="BE1619">
        <v>-0.04</v>
      </c>
      <c r="BF1619">
        <v>-0.12</v>
      </c>
      <c r="BG1619">
        <v>91</v>
      </c>
      <c r="BH1619">
        <v>-0.08</v>
      </c>
      <c r="BI1619">
        <v>-5.0599999999999996</v>
      </c>
      <c r="BJ1619">
        <v>8</v>
      </c>
      <c r="BK1619">
        <v>6</v>
      </c>
      <c r="BL1619">
        <v>1.53</v>
      </c>
      <c r="BM1619">
        <v>0.75</v>
      </c>
      <c r="BN1619">
        <v>1.18</v>
      </c>
      <c r="BO1619">
        <v>1.38</v>
      </c>
      <c r="BP1619">
        <v>-1.05</v>
      </c>
      <c r="BQ1619">
        <v>1.59</v>
      </c>
      <c r="BR1619">
        <v>-0.88</v>
      </c>
      <c r="BS1619">
        <v>4.9000000000000004</v>
      </c>
      <c r="BT1619">
        <v>1.66</v>
      </c>
      <c r="BU1619">
        <v>2.86</v>
      </c>
      <c r="BV1619">
        <v>2.91</v>
      </c>
      <c r="BW1619">
        <v>1.63</v>
      </c>
      <c r="BX1619">
        <v>1.87</v>
      </c>
      <c r="BY1619">
        <v>2.89</v>
      </c>
      <c r="BZ1619">
        <v>0.09</v>
      </c>
      <c r="CA1619">
        <v>3.48</v>
      </c>
      <c r="CB1619">
        <v>2.7</v>
      </c>
      <c r="CC1619">
        <v>3.2</v>
      </c>
      <c r="CD1619">
        <v>0.01</v>
      </c>
      <c r="CE1619">
        <v>1.68</v>
      </c>
      <c r="CF1619">
        <v>1.29</v>
      </c>
      <c r="CG1619">
        <v>0</v>
      </c>
      <c r="CH1619">
        <v>3.02</v>
      </c>
      <c r="CI1619">
        <v>0</v>
      </c>
      <c r="CJ1619">
        <v>1.4</v>
      </c>
      <c r="CK1619">
        <v>56</v>
      </c>
      <c r="CL1619">
        <v>-1.0900000000000001</v>
      </c>
      <c r="CM1619">
        <v>54</v>
      </c>
      <c r="CN1619">
        <v>-0.64</v>
      </c>
      <c r="CO1619">
        <v>53</v>
      </c>
      <c r="CP1619">
        <v>-2.4</v>
      </c>
      <c r="CQ1619">
        <v>46</v>
      </c>
      <c r="CR1619">
        <v>0</v>
      </c>
      <c r="CS1619">
        <v>0</v>
      </c>
      <c r="CT1619">
        <v>6.6</v>
      </c>
      <c r="CU1619">
        <v>43</v>
      </c>
      <c r="CV1619">
        <v>0.22</v>
      </c>
      <c r="CW1619">
        <v>37</v>
      </c>
      <c r="CX1619" t="s">
        <v>2423</v>
      </c>
    </row>
    <row r="1620" spans="1:102" x14ac:dyDescent="0.3">
      <c r="A1620" t="str">
        <f>HYPERLINK("https://webapp.icbf.com/v2/app/bull-search/view/508038183","CXA")</f>
        <v>CXA</v>
      </c>
      <c r="B1620" t="s">
        <v>14427</v>
      </c>
      <c r="C1620" t="s">
        <v>14428</v>
      </c>
      <c r="D1620" s="1">
        <v>39144</v>
      </c>
      <c r="E1620" t="s">
        <v>92</v>
      </c>
      <c r="F1620">
        <v>91</v>
      </c>
      <c r="G1620" t="s">
        <v>93</v>
      </c>
      <c r="H1620">
        <v>98.18</v>
      </c>
      <c r="I1620">
        <v>86</v>
      </c>
      <c r="J1620">
        <v>28.47</v>
      </c>
      <c r="K1620">
        <v>96</v>
      </c>
      <c r="L1620">
        <v>7.2</v>
      </c>
      <c r="M1620">
        <v>77</v>
      </c>
      <c r="N1620">
        <v>34.85</v>
      </c>
      <c r="O1620">
        <v>84</v>
      </c>
      <c r="P1620">
        <v>-8.83</v>
      </c>
      <c r="Q1620">
        <v>90</v>
      </c>
      <c r="R1620">
        <v>14</v>
      </c>
      <c r="S1620">
        <v>79</v>
      </c>
      <c r="T1620">
        <v>24.7</v>
      </c>
      <c r="U1620">
        <v>87</v>
      </c>
      <c r="V1620">
        <v>-2.21</v>
      </c>
      <c r="W1620">
        <v>80</v>
      </c>
      <c r="X1620" t="s">
        <v>94</v>
      </c>
      <c r="Y1620" t="s">
        <v>1513</v>
      </c>
      <c r="Z1620" t="s">
        <v>96</v>
      </c>
      <c r="AA1620" t="s">
        <v>358</v>
      </c>
      <c r="AB1620" t="s">
        <v>14429</v>
      </c>
      <c r="AC1620">
        <v>77</v>
      </c>
      <c r="AD1620">
        <v>50</v>
      </c>
      <c r="AE1620">
        <v>96</v>
      </c>
      <c r="AF1620">
        <v>-139.05000000000001</v>
      </c>
      <c r="AG1620">
        <v>5.41</v>
      </c>
      <c r="AH1620">
        <v>0.8</v>
      </c>
      <c r="AI1620">
        <v>0.19</v>
      </c>
      <c r="AJ1620">
        <v>0.1</v>
      </c>
      <c r="AK1620">
        <v>77</v>
      </c>
      <c r="AL1620">
        <v>74</v>
      </c>
      <c r="AM1620">
        <v>50</v>
      </c>
      <c r="AN1620">
        <v>0.04</v>
      </c>
      <c r="AO1620">
        <v>0.62</v>
      </c>
      <c r="AP1620">
        <v>170</v>
      </c>
      <c r="AQ1620">
        <v>2</v>
      </c>
      <c r="AR1620">
        <v>5.15</v>
      </c>
      <c r="AS1620">
        <v>66</v>
      </c>
      <c r="AT1620">
        <v>2.2400000000000002</v>
      </c>
      <c r="AU1620">
        <v>86</v>
      </c>
      <c r="AV1620">
        <v>-2.79</v>
      </c>
      <c r="AW1620">
        <v>96</v>
      </c>
      <c r="AX1620">
        <v>-0.84</v>
      </c>
      <c r="AY1620">
        <v>80</v>
      </c>
      <c r="AZ1620">
        <v>6.12</v>
      </c>
      <c r="BA1620">
        <v>62</v>
      </c>
      <c r="BB1620">
        <v>5.48</v>
      </c>
      <c r="BC1620">
        <v>66</v>
      </c>
      <c r="BD1620">
        <v>-0.03</v>
      </c>
      <c r="BE1620">
        <v>-0.08</v>
      </c>
      <c r="BF1620">
        <v>-0.12</v>
      </c>
      <c r="BG1620">
        <v>87</v>
      </c>
      <c r="BH1620">
        <v>-0.05</v>
      </c>
      <c r="BI1620">
        <v>1.35</v>
      </c>
      <c r="BJ1620">
        <v>30</v>
      </c>
      <c r="BK1620">
        <v>22</v>
      </c>
      <c r="BL1620">
        <v>-0.11</v>
      </c>
      <c r="BM1620">
        <v>-1.56</v>
      </c>
      <c r="BN1620">
        <v>-1.5</v>
      </c>
      <c r="BO1620">
        <v>-0.02</v>
      </c>
      <c r="BP1620">
        <v>2.38</v>
      </c>
      <c r="BQ1620">
        <v>-1.36</v>
      </c>
      <c r="BR1620">
        <v>1.0900000000000001</v>
      </c>
      <c r="BS1620">
        <v>0.18</v>
      </c>
      <c r="BT1620">
        <v>-0.83</v>
      </c>
      <c r="BU1620">
        <v>-0.03</v>
      </c>
      <c r="BV1620">
        <v>0.66</v>
      </c>
      <c r="BW1620">
        <v>-0.49</v>
      </c>
      <c r="BX1620">
        <v>-0.63</v>
      </c>
      <c r="BY1620">
        <v>-0.42</v>
      </c>
      <c r="BZ1620">
        <v>1.77</v>
      </c>
      <c r="CA1620">
        <v>0.18</v>
      </c>
      <c r="CB1620">
        <v>-7.0000000000000007E-2</v>
      </c>
      <c r="CC1620">
        <v>0.63</v>
      </c>
      <c r="CD1620">
        <v>-0.74</v>
      </c>
      <c r="CE1620">
        <v>-0.03</v>
      </c>
      <c r="CF1620">
        <v>-0.6</v>
      </c>
      <c r="CG1620">
        <v>0</v>
      </c>
      <c r="CH1620">
        <v>-0.76</v>
      </c>
      <c r="CI1620">
        <v>0</v>
      </c>
      <c r="CJ1620">
        <v>-0.2</v>
      </c>
      <c r="CK1620">
        <v>91</v>
      </c>
      <c r="CL1620">
        <v>-0.72</v>
      </c>
      <c r="CM1620">
        <v>89</v>
      </c>
      <c r="CN1620">
        <v>-0.04</v>
      </c>
      <c r="CO1620">
        <v>88</v>
      </c>
      <c r="CP1620">
        <v>-10.6</v>
      </c>
      <c r="CQ1620">
        <v>86</v>
      </c>
      <c r="CR1620">
        <v>0</v>
      </c>
      <c r="CS1620">
        <v>0</v>
      </c>
      <c r="CT1620">
        <v>-19.600000000000001</v>
      </c>
      <c r="CU1620">
        <v>87</v>
      </c>
      <c r="CV1620">
        <v>7.0000000000000007E-2</v>
      </c>
      <c r="CW1620">
        <v>44</v>
      </c>
      <c r="CX1620" t="s">
        <v>1390</v>
      </c>
    </row>
    <row r="1621" spans="1:102" x14ac:dyDescent="0.3">
      <c r="A1621" t="str">
        <f>HYPERLINK("https://webapp.icbf.com/v2/app/bull-search/view/563612849","GYM")</f>
        <v>GYM</v>
      </c>
      <c r="B1621" t="s">
        <v>8935</v>
      </c>
      <c r="C1621" t="s">
        <v>8936</v>
      </c>
      <c r="D1621" s="1">
        <v>39501</v>
      </c>
      <c r="E1621" t="s">
        <v>92</v>
      </c>
      <c r="F1621">
        <v>94</v>
      </c>
      <c r="G1621" t="s">
        <v>93</v>
      </c>
      <c r="H1621">
        <v>98.16</v>
      </c>
      <c r="I1621">
        <v>88</v>
      </c>
      <c r="J1621">
        <v>22.16</v>
      </c>
      <c r="K1621">
        <v>97</v>
      </c>
      <c r="L1621">
        <v>60.64</v>
      </c>
      <c r="M1621">
        <v>80</v>
      </c>
      <c r="N1621">
        <v>15.8</v>
      </c>
      <c r="O1621">
        <v>86</v>
      </c>
      <c r="P1621">
        <v>-15.27</v>
      </c>
      <c r="Q1621">
        <v>91</v>
      </c>
      <c r="R1621">
        <v>0.1</v>
      </c>
      <c r="S1621">
        <v>81</v>
      </c>
      <c r="T1621">
        <v>13.9</v>
      </c>
      <c r="U1621">
        <v>89</v>
      </c>
      <c r="V1621">
        <v>0.83</v>
      </c>
      <c r="W1621">
        <v>83</v>
      </c>
      <c r="X1621" t="s">
        <v>94</v>
      </c>
      <c r="Y1621" t="s">
        <v>1113</v>
      </c>
      <c r="Z1621" t="s">
        <v>96</v>
      </c>
      <c r="AA1621" t="s">
        <v>1406</v>
      </c>
      <c r="AB1621" t="s">
        <v>8937</v>
      </c>
      <c r="AC1621">
        <v>82</v>
      </c>
      <c r="AD1621">
        <v>59</v>
      </c>
      <c r="AE1621">
        <v>97</v>
      </c>
      <c r="AF1621">
        <v>46.26</v>
      </c>
      <c r="AG1621">
        <v>0.98</v>
      </c>
      <c r="AH1621">
        <v>4.13</v>
      </c>
      <c r="AI1621">
        <v>-0.01</v>
      </c>
      <c r="AJ1621">
        <v>0.04</v>
      </c>
      <c r="AK1621">
        <v>80</v>
      </c>
      <c r="AL1621">
        <v>84</v>
      </c>
      <c r="AM1621">
        <v>57</v>
      </c>
      <c r="AN1621">
        <v>-3.76</v>
      </c>
      <c r="AO1621">
        <v>1.07</v>
      </c>
      <c r="AP1621">
        <v>222</v>
      </c>
      <c r="AQ1621">
        <v>1</v>
      </c>
      <c r="AR1621">
        <v>9.09</v>
      </c>
      <c r="AS1621">
        <v>72</v>
      </c>
      <c r="AT1621">
        <v>3.25</v>
      </c>
      <c r="AU1621">
        <v>89</v>
      </c>
      <c r="AV1621">
        <v>-2.39</v>
      </c>
      <c r="AW1621">
        <v>96</v>
      </c>
      <c r="AX1621">
        <v>-0.43</v>
      </c>
      <c r="AY1621">
        <v>81</v>
      </c>
      <c r="AZ1621">
        <v>6.55</v>
      </c>
      <c r="BA1621">
        <v>66</v>
      </c>
      <c r="BB1621">
        <v>4.78</v>
      </c>
      <c r="BC1621">
        <v>68</v>
      </c>
      <c r="BD1621">
        <v>-0.02</v>
      </c>
      <c r="BE1621">
        <v>-0.01</v>
      </c>
      <c r="BF1621">
        <v>0.05</v>
      </c>
      <c r="BG1621">
        <v>88</v>
      </c>
      <c r="BH1621">
        <v>0.02</v>
      </c>
      <c r="BI1621">
        <v>-0.36</v>
      </c>
      <c r="BJ1621">
        <v>16</v>
      </c>
      <c r="BK1621">
        <v>11</v>
      </c>
      <c r="BL1621">
        <v>-0.43</v>
      </c>
      <c r="BM1621">
        <v>-0.56999999999999995</v>
      </c>
      <c r="BN1621">
        <v>-0.39</v>
      </c>
      <c r="BO1621">
        <v>7.0000000000000007E-2</v>
      </c>
      <c r="BP1621">
        <v>-0.28999999999999998</v>
      </c>
      <c r="BQ1621">
        <v>0.32</v>
      </c>
      <c r="BR1621">
        <v>-0.83</v>
      </c>
      <c r="BS1621">
        <v>-0.52</v>
      </c>
      <c r="BT1621">
        <v>1.07</v>
      </c>
      <c r="BU1621">
        <v>0.27</v>
      </c>
      <c r="BV1621">
        <v>-0.13</v>
      </c>
      <c r="BW1621">
        <v>-0.15</v>
      </c>
      <c r="BX1621">
        <v>-0.28999999999999998</v>
      </c>
      <c r="BY1621">
        <v>1.26</v>
      </c>
      <c r="BZ1621">
        <v>-1.94</v>
      </c>
      <c r="CA1621">
        <v>0.18</v>
      </c>
      <c r="CB1621">
        <v>0.24</v>
      </c>
      <c r="CC1621">
        <v>-0.06</v>
      </c>
      <c r="CD1621">
        <v>-0.53</v>
      </c>
      <c r="CE1621">
        <v>-0.06</v>
      </c>
      <c r="CF1621">
        <v>-0.86</v>
      </c>
      <c r="CG1621">
        <v>0</v>
      </c>
      <c r="CH1621">
        <v>1.53</v>
      </c>
      <c r="CI1621">
        <v>0</v>
      </c>
      <c r="CJ1621">
        <v>-6.3</v>
      </c>
      <c r="CK1621">
        <v>92</v>
      </c>
      <c r="CL1621">
        <v>-0.65</v>
      </c>
      <c r="CM1621">
        <v>90</v>
      </c>
      <c r="CN1621">
        <v>-0.15</v>
      </c>
      <c r="CO1621">
        <v>89</v>
      </c>
      <c r="CP1621">
        <v>-10.8</v>
      </c>
      <c r="CQ1621">
        <v>88</v>
      </c>
      <c r="CR1621">
        <v>0</v>
      </c>
      <c r="CS1621">
        <v>0</v>
      </c>
      <c r="CT1621">
        <v>-5</v>
      </c>
      <c r="CU1621">
        <v>89</v>
      </c>
      <c r="CV1621">
        <v>-0.06</v>
      </c>
      <c r="CW1621">
        <v>45</v>
      </c>
      <c r="CX1621" t="s">
        <v>771</v>
      </c>
    </row>
    <row r="1622" spans="1:102" x14ac:dyDescent="0.3">
      <c r="A1622" t="str">
        <f>HYPERLINK("https://webapp.icbf.com/v2/app/bull-search/view/1164910914","S2131")</f>
        <v>S2131</v>
      </c>
      <c r="B1622" t="s">
        <v>7302</v>
      </c>
      <c r="C1622" t="s">
        <v>7303</v>
      </c>
      <c r="D1622" s="1">
        <v>41260</v>
      </c>
      <c r="E1622" t="s">
        <v>92</v>
      </c>
      <c r="F1622">
        <v>100</v>
      </c>
      <c r="G1622" t="s">
        <v>109</v>
      </c>
      <c r="H1622">
        <v>98.15</v>
      </c>
      <c r="I1622">
        <v>84</v>
      </c>
      <c r="J1622">
        <v>94.04</v>
      </c>
      <c r="K1622">
        <v>95</v>
      </c>
      <c r="L1622">
        <v>-40.630000000000003</v>
      </c>
      <c r="M1622">
        <v>88</v>
      </c>
      <c r="N1622">
        <v>26.76</v>
      </c>
      <c r="O1622">
        <v>82</v>
      </c>
      <c r="P1622">
        <v>0.5</v>
      </c>
      <c r="Q1622">
        <v>81</v>
      </c>
      <c r="R1622">
        <v>13.8</v>
      </c>
      <c r="S1622">
        <v>76</v>
      </c>
      <c r="T1622">
        <v>0.51</v>
      </c>
      <c r="U1622">
        <v>49</v>
      </c>
      <c r="V1622">
        <v>3.17</v>
      </c>
      <c r="W1622">
        <v>58</v>
      </c>
      <c r="X1622" t="s">
        <v>251</v>
      </c>
      <c r="Y1622" t="s">
        <v>367</v>
      </c>
      <c r="Z1622" t="s">
        <v>96</v>
      </c>
      <c r="AA1622" t="s">
        <v>1894</v>
      </c>
      <c r="AB1622" t="s">
        <v>7304</v>
      </c>
      <c r="AC1622">
        <v>47</v>
      </c>
      <c r="AD1622">
        <v>18</v>
      </c>
      <c r="AE1622">
        <v>95</v>
      </c>
      <c r="AF1622">
        <v>643.79999999999995</v>
      </c>
      <c r="AG1622">
        <v>19.95</v>
      </c>
      <c r="AH1622">
        <v>18.79</v>
      </c>
      <c r="AI1622">
        <v>-0.08</v>
      </c>
      <c r="AJ1622">
        <v>-0.05</v>
      </c>
      <c r="AK1622">
        <v>88</v>
      </c>
      <c r="AL1622">
        <v>33</v>
      </c>
      <c r="AM1622">
        <v>14</v>
      </c>
      <c r="AN1622">
        <v>3.76</v>
      </c>
      <c r="AO1622">
        <v>0.54</v>
      </c>
      <c r="AP1622">
        <v>119</v>
      </c>
      <c r="AQ1622">
        <v>0</v>
      </c>
      <c r="AR1622">
        <v>7.63</v>
      </c>
      <c r="AS1622">
        <v>76</v>
      </c>
      <c r="AT1622">
        <v>3.27</v>
      </c>
      <c r="AU1622">
        <v>95</v>
      </c>
      <c r="AV1622">
        <v>-3.75</v>
      </c>
      <c r="AW1622">
        <v>91</v>
      </c>
      <c r="AX1622">
        <v>0.55000000000000004</v>
      </c>
      <c r="AY1622">
        <v>77</v>
      </c>
      <c r="AZ1622">
        <v>6.03</v>
      </c>
      <c r="BA1622">
        <v>57</v>
      </c>
      <c r="BB1622">
        <v>5.17</v>
      </c>
      <c r="BC1622">
        <v>45</v>
      </c>
      <c r="BD1622">
        <v>-0.05</v>
      </c>
      <c r="BE1622">
        <v>-0.06</v>
      </c>
      <c r="BF1622">
        <v>-0.12</v>
      </c>
      <c r="BG1622">
        <v>93</v>
      </c>
      <c r="BH1622">
        <v>-0.09</v>
      </c>
      <c r="BI1622">
        <v>-20.65</v>
      </c>
      <c r="BJ1622">
        <v>30</v>
      </c>
      <c r="BK1622">
        <v>15</v>
      </c>
      <c r="BL1622">
        <v>2.12</v>
      </c>
      <c r="BM1622">
        <v>-0.7</v>
      </c>
      <c r="BN1622">
        <v>1.5</v>
      </c>
      <c r="BO1622">
        <v>2.11</v>
      </c>
      <c r="BP1622">
        <v>-1.54</v>
      </c>
      <c r="BQ1622">
        <v>2.68</v>
      </c>
      <c r="BR1622">
        <v>0.41</v>
      </c>
      <c r="BS1622">
        <v>2.36</v>
      </c>
      <c r="BT1622">
        <v>0.41</v>
      </c>
      <c r="BU1622">
        <v>3.29</v>
      </c>
      <c r="BV1622">
        <v>3.83</v>
      </c>
      <c r="BW1622">
        <v>0.86</v>
      </c>
      <c r="BX1622">
        <v>2.19</v>
      </c>
      <c r="BY1622">
        <v>1.88</v>
      </c>
      <c r="BZ1622">
        <v>-0.61</v>
      </c>
      <c r="CA1622">
        <v>2.87</v>
      </c>
      <c r="CB1622">
        <v>2.79</v>
      </c>
      <c r="CC1622">
        <v>2.0499999999999998</v>
      </c>
      <c r="CD1622">
        <v>-1.62</v>
      </c>
      <c r="CE1622">
        <v>1.91</v>
      </c>
      <c r="CF1622">
        <v>2.25</v>
      </c>
      <c r="CG1622">
        <v>0</v>
      </c>
      <c r="CH1622">
        <v>1.85</v>
      </c>
      <c r="CI1622">
        <v>0</v>
      </c>
      <c r="CJ1622">
        <v>3.4</v>
      </c>
      <c r="CK1622">
        <v>84</v>
      </c>
      <c r="CL1622">
        <v>-0.89</v>
      </c>
      <c r="CM1622">
        <v>81</v>
      </c>
      <c r="CN1622">
        <v>-0.38</v>
      </c>
      <c r="CO1622">
        <v>80</v>
      </c>
      <c r="CP1622">
        <v>3.6</v>
      </c>
      <c r="CQ1622">
        <v>57</v>
      </c>
      <c r="CR1622">
        <v>0</v>
      </c>
      <c r="CS1622">
        <v>0</v>
      </c>
      <c r="CT1622">
        <v>13.1</v>
      </c>
      <c r="CU1622">
        <v>49</v>
      </c>
      <c r="CV1622">
        <v>0.33</v>
      </c>
      <c r="CW1622">
        <v>42</v>
      </c>
      <c r="CX1622" t="s">
        <v>2693</v>
      </c>
    </row>
    <row r="1623" spans="1:102" x14ac:dyDescent="0.3">
      <c r="A1623" t="str">
        <f>HYPERLINK("https://webapp.icbf.com/v2/app/bull-search/view/77860033","BVO")</f>
        <v>BVO</v>
      </c>
      <c r="B1623" t="s">
        <v>3943</v>
      </c>
      <c r="C1623" t="s">
        <v>3944</v>
      </c>
      <c r="D1623" s="1">
        <v>33790</v>
      </c>
      <c r="E1623" t="s">
        <v>108</v>
      </c>
      <c r="F1623">
        <v>0</v>
      </c>
      <c r="G1623" t="s">
        <v>93</v>
      </c>
      <c r="H1623">
        <v>98.13</v>
      </c>
      <c r="I1623">
        <v>74</v>
      </c>
      <c r="J1623">
        <v>-40.270000000000003</v>
      </c>
      <c r="K1623">
        <v>93</v>
      </c>
      <c r="L1623">
        <v>117.71</v>
      </c>
      <c r="M1623">
        <v>65</v>
      </c>
      <c r="N1623">
        <v>10.6</v>
      </c>
      <c r="O1623">
        <v>57</v>
      </c>
      <c r="P1623">
        <v>-9.3800000000000008</v>
      </c>
      <c r="Q1623">
        <v>87</v>
      </c>
      <c r="R1623">
        <v>-3.39</v>
      </c>
      <c r="S1623">
        <v>67</v>
      </c>
      <c r="T1623">
        <v>28.4</v>
      </c>
      <c r="U1623">
        <v>65</v>
      </c>
      <c r="V1623">
        <v>-5.54</v>
      </c>
      <c r="W1623">
        <v>35</v>
      </c>
      <c r="X1623" t="s">
        <v>102</v>
      </c>
      <c r="Y1623" t="s">
        <v>95</v>
      </c>
      <c r="Z1623" t="s">
        <v>96</v>
      </c>
      <c r="AA1623" t="s">
        <v>3945</v>
      </c>
      <c r="AB1623" t="s">
        <v>3946</v>
      </c>
      <c r="AC1623">
        <v>75</v>
      </c>
      <c r="AD1623">
        <v>55</v>
      </c>
      <c r="AE1623">
        <v>93</v>
      </c>
      <c r="AF1623">
        <v>-369.14</v>
      </c>
      <c r="AG1623">
        <v>-5.48</v>
      </c>
      <c r="AH1623">
        <v>-10.56</v>
      </c>
      <c r="AI1623">
        <v>0.16</v>
      </c>
      <c r="AJ1623">
        <v>0.04</v>
      </c>
      <c r="AK1623">
        <v>65</v>
      </c>
      <c r="AL1623">
        <v>114</v>
      </c>
      <c r="AM1623">
        <v>71</v>
      </c>
      <c r="AN1623">
        <v>-6.21</v>
      </c>
      <c r="AO1623">
        <v>3.18</v>
      </c>
      <c r="AP1623">
        <v>9</v>
      </c>
      <c r="AQ1623">
        <v>1</v>
      </c>
      <c r="AR1623">
        <v>8.4499999999999993</v>
      </c>
      <c r="AS1623">
        <v>24</v>
      </c>
      <c r="AT1623">
        <v>3.54</v>
      </c>
      <c r="AU1623">
        <v>56</v>
      </c>
      <c r="AV1623">
        <v>-2.09</v>
      </c>
      <c r="AW1623">
        <v>65</v>
      </c>
      <c r="AX1623">
        <v>-0.27</v>
      </c>
      <c r="AY1623">
        <v>72</v>
      </c>
      <c r="AZ1623">
        <v>5.93</v>
      </c>
      <c r="BA1623">
        <v>28</v>
      </c>
      <c r="BB1623">
        <v>5.26</v>
      </c>
      <c r="BC1623">
        <v>51</v>
      </c>
      <c r="BD1623">
        <v>0.06</v>
      </c>
      <c r="BE1623">
        <v>0.02</v>
      </c>
      <c r="BF1623">
        <v>-0.06</v>
      </c>
      <c r="BG1623">
        <v>87</v>
      </c>
      <c r="BH1623">
        <v>-0.15</v>
      </c>
      <c r="BI1623">
        <v>0.51</v>
      </c>
      <c r="BJ1623">
        <v>24</v>
      </c>
      <c r="BK1623">
        <v>18</v>
      </c>
      <c r="BL1623">
        <v>-2.1800000000000002</v>
      </c>
      <c r="BM1623">
        <v>0.88</v>
      </c>
      <c r="BN1623">
        <v>-2.5</v>
      </c>
      <c r="BO1623">
        <v>-2.2599999999999998</v>
      </c>
      <c r="BP1623">
        <v>0.86</v>
      </c>
      <c r="BQ1623">
        <v>1.52</v>
      </c>
      <c r="BR1623">
        <v>-1.33</v>
      </c>
      <c r="BS1623">
        <v>-0.72</v>
      </c>
      <c r="BT1623">
        <v>-1.18</v>
      </c>
      <c r="BU1623">
        <v>-1.56</v>
      </c>
      <c r="BV1623">
        <v>-2.79</v>
      </c>
      <c r="BW1623">
        <v>-3.15</v>
      </c>
      <c r="BX1623">
        <v>0.1</v>
      </c>
      <c r="BY1623">
        <v>-2.39</v>
      </c>
      <c r="BZ1623">
        <v>-0.2</v>
      </c>
      <c r="CA1623">
        <v>-2.1800000000000002</v>
      </c>
      <c r="CB1623">
        <v>-2.0299999999999998</v>
      </c>
      <c r="CC1623">
        <v>-1.67</v>
      </c>
      <c r="CD1623">
        <v>2.2000000000000002</v>
      </c>
      <c r="CE1623">
        <v>-2.36</v>
      </c>
      <c r="CF1623">
        <v>-1.63</v>
      </c>
      <c r="CG1623">
        <v>0</v>
      </c>
      <c r="CH1623">
        <v>-2.6</v>
      </c>
      <c r="CI1623">
        <v>0</v>
      </c>
      <c r="CJ1623">
        <v>-2.8</v>
      </c>
      <c r="CK1623">
        <v>88</v>
      </c>
      <c r="CL1623">
        <v>-0.04</v>
      </c>
      <c r="CM1623">
        <v>86</v>
      </c>
      <c r="CN1623">
        <v>0.28999999999999998</v>
      </c>
      <c r="CO1623">
        <v>84</v>
      </c>
      <c r="CP1623">
        <v>-11.4</v>
      </c>
      <c r="CQ1623">
        <v>85</v>
      </c>
      <c r="CR1623">
        <v>0</v>
      </c>
      <c r="CS1623">
        <v>0</v>
      </c>
      <c r="CT1623">
        <v>-24.6</v>
      </c>
      <c r="CU1623">
        <v>65</v>
      </c>
      <c r="CV1623">
        <v>-0.02</v>
      </c>
      <c r="CW1623">
        <v>26</v>
      </c>
      <c r="CX1623" t="s">
        <v>2980</v>
      </c>
    </row>
    <row r="1624" spans="1:102" x14ac:dyDescent="0.3">
      <c r="A1624" t="str">
        <f>HYPERLINK("https://webapp.icbf.com/v2/app/bull-search/view/1307333969","FR2224")</f>
        <v>FR2224</v>
      </c>
      <c r="B1624" t="s">
        <v>9329</v>
      </c>
      <c r="C1624" t="s">
        <v>9330</v>
      </c>
      <c r="D1624" s="1">
        <v>41788</v>
      </c>
      <c r="E1624" t="s">
        <v>92</v>
      </c>
      <c r="F1624">
        <v>100</v>
      </c>
      <c r="G1624" t="s">
        <v>109</v>
      </c>
      <c r="H1624">
        <v>98.11</v>
      </c>
      <c r="I1624">
        <v>78</v>
      </c>
      <c r="J1624">
        <v>99.8</v>
      </c>
      <c r="K1624">
        <v>93</v>
      </c>
      <c r="L1624">
        <v>-30.94</v>
      </c>
      <c r="M1624">
        <v>71</v>
      </c>
      <c r="N1624">
        <v>28.2</v>
      </c>
      <c r="O1624">
        <v>82</v>
      </c>
      <c r="P1624">
        <v>-6.75</v>
      </c>
      <c r="Q1624">
        <v>85</v>
      </c>
      <c r="R1624">
        <v>13.71</v>
      </c>
      <c r="S1624">
        <v>71</v>
      </c>
      <c r="T1624">
        <v>-8.89</v>
      </c>
      <c r="U1624">
        <v>48</v>
      </c>
      <c r="V1624">
        <v>2.98</v>
      </c>
      <c r="W1624">
        <v>60</v>
      </c>
      <c r="X1624" t="s">
        <v>276</v>
      </c>
      <c r="Y1624" t="s">
        <v>405</v>
      </c>
      <c r="Z1624" t="s">
        <v>96</v>
      </c>
      <c r="AA1624" t="s">
        <v>5654</v>
      </c>
      <c r="AB1624" t="s">
        <v>9331</v>
      </c>
      <c r="AC1624">
        <v>33</v>
      </c>
      <c r="AD1624">
        <v>14</v>
      </c>
      <c r="AE1624">
        <v>93</v>
      </c>
      <c r="AF1624">
        <v>401.45</v>
      </c>
      <c r="AG1624">
        <v>17.52</v>
      </c>
      <c r="AH1624">
        <v>16.920000000000002</v>
      </c>
      <c r="AI1624">
        <v>0.03</v>
      </c>
      <c r="AJ1624">
        <v>0.05</v>
      </c>
      <c r="AK1624">
        <v>71</v>
      </c>
      <c r="AL1624">
        <v>0</v>
      </c>
      <c r="AM1624">
        <v>0</v>
      </c>
      <c r="AN1624">
        <v>3.01</v>
      </c>
      <c r="AO1624">
        <v>0.56000000000000005</v>
      </c>
      <c r="AP1624">
        <v>211</v>
      </c>
      <c r="AQ1624">
        <v>6</v>
      </c>
      <c r="AR1624">
        <v>5.05</v>
      </c>
      <c r="AS1624">
        <v>77</v>
      </c>
      <c r="AT1624">
        <v>2.1800000000000002</v>
      </c>
      <c r="AU1624">
        <v>91</v>
      </c>
      <c r="AV1624">
        <v>-2.0499999999999998</v>
      </c>
      <c r="AW1624">
        <v>96</v>
      </c>
      <c r="AX1624">
        <v>0.06</v>
      </c>
      <c r="AY1624">
        <v>84</v>
      </c>
      <c r="AZ1624">
        <v>6.35</v>
      </c>
      <c r="BA1624">
        <v>45</v>
      </c>
      <c r="BB1624">
        <v>5.23</v>
      </c>
      <c r="BC1624">
        <v>35</v>
      </c>
      <c r="BD1624">
        <v>-0.08</v>
      </c>
      <c r="BE1624">
        <v>-0.08</v>
      </c>
      <c r="BF1624">
        <v>-0.03</v>
      </c>
      <c r="BG1624">
        <v>88</v>
      </c>
      <c r="BH1624">
        <v>-0.12</v>
      </c>
      <c r="BI1624">
        <v>-23.49</v>
      </c>
      <c r="BJ1624">
        <v>5</v>
      </c>
      <c r="BK1624">
        <v>1</v>
      </c>
      <c r="BL1624">
        <v>1.69</v>
      </c>
      <c r="BM1624">
        <v>-1.76</v>
      </c>
      <c r="BN1624">
        <v>-0.08</v>
      </c>
      <c r="BO1624">
        <v>1.35</v>
      </c>
      <c r="BP1624">
        <v>0.87</v>
      </c>
      <c r="BQ1624">
        <v>2.68</v>
      </c>
      <c r="BR1624">
        <v>1.77</v>
      </c>
      <c r="BS1624">
        <v>-0.33</v>
      </c>
      <c r="BT1624">
        <v>-1.97</v>
      </c>
      <c r="BU1624">
        <v>3.57</v>
      </c>
      <c r="BV1624">
        <v>3.29</v>
      </c>
      <c r="BW1624">
        <v>3.69</v>
      </c>
      <c r="BX1624">
        <v>3.49</v>
      </c>
      <c r="BY1624">
        <v>2.57</v>
      </c>
      <c r="BZ1624">
        <v>-4.12</v>
      </c>
      <c r="CA1624">
        <v>2.72</v>
      </c>
      <c r="CB1624">
        <v>3.44</v>
      </c>
      <c r="CC1624">
        <v>-7.0000000000000007E-2</v>
      </c>
      <c r="CD1624">
        <v>-1.5</v>
      </c>
      <c r="CE1624">
        <v>1.59</v>
      </c>
      <c r="CF1624">
        <v>1.01</v>
      </c>
      <c r="CG1624">
        <v>0</v>
      </c>
      <c r="CH1624">
        <v>3.47</v>
      </c>
      <c r="CI1624">
        <v>0</v>
      </c>
      <c r="CJ1624">
        <v>-1.1000000000000001</v>
      </c>
      <c r="CK1624">
        <v>88</v>
      </c>
      <c r="CL1624">
        <v>-1.19</v>
      </c>
      <c r="CM1624">
        <v>86</v>
      </c>
      <c r="CN1624">
        <v>-0.51</v>
      </c>
      <c r="CO1624">
        <v>85</v>
      </c>
      <c r="CP1624">
        <v>7.2</v>
      </c>
      <c r="CQ1624">
        <v>59</v>
      </c>
      <c r="CR1624">
        <v>0</v>
      </c>
      <c r="CS1624">
        <v>0</v>
      </c>
      <c r="CT1624">
        <v>25.8</v>
      </c>
      <c r="CU1624">
        <v>48</v>
      </c>
      <c r="CV1624">
        <v>0.28000000000000003</v>
      </c>
      <c r="CW1624">
        <v>43</v>
      </c>
      <c r="CX1624" t="s">
        <v>1651</v>
      </c>
    </row>
    <row r="1625" spans="1:102" x14ac:dyDescent="0.3">
      <c r="A1625" t="str">
        <f>HYPERLINK("https://webapp.icbf.com/v2/app/bull-search/view/394209589","OKU")</f>
        <v>OKU</v>
      </c>
      <c r="B1625" t="s">
        <v>7799</v>
      </c>
      <c r="C1625" t="s">
        <v>1525</v>
      </c>
      <c r="D1625" s="1">
        <v>36358</v>
      </c>
      <c r="E1625" t="s">
        <v>227</v>
      </c>
      <c r="F1625">
        <v>0</v>
      </c>
      <c r="G1625" t="s">
        <v>93</v>
      </c>
      <c r="H1625">
        <v>98</v>
      </c>
      <c r="I1625">
        <v>97</v>
      </c>
      <c r="J1625">
        <v>108.43</v>
      </c>
      <c r="K1625">
        <v>99</v>
      </c>
      <c r="L1625">
        <v>-44.92</v>
      </c>
      <c r="M1625">
        <v>95</v>
      </c>
      <c r="N1625">
        <v>33.83</v>
      </c>
      <c r="O1625">
        <v>97</v>
      </c>
      <c r="P1625">
        <v>-49.15</v>
      </c>
      <c r="Q1625">
        <v>98</v>
      </c>
      <c r="R1625">
        <v>-4.76</v>
      </c>
      <c r="S1625">
        <v>96</v>
      </c>
      <c r="T1625">
        <v>47.79</v>
      </c>
      <c r="U1625">
        <v>98</v>
      </c>
      <c r="V1625">
        <v>6.78</v>
      </c>
      <c r="W1625">
        <v>97</v>
      </c>
      <c r="X1625" t="s">
        <v>94</v>
      </c>
      <c r="Y1625" t="s">
        <v>95</v>
      </c>
      <c r="Z1625">
        <v>0</v>
      </c>
      <c r="AA1625" t="s">
        <v>554</v>
      </c>
      <c r="AB1625" t="s">
        <v>7800</v>
      </c>
      <c r="AC1625">
        <v>587</v>
      </c>
      <c r="AD1625">
        <v>135</v>
      </c>
      <c r="AE1625">
        <v>99</v>
      </c>
      <c r="AF1625">
        <v>55.78</v>
      </c>
      <c r="AG1625">
        <v>19.66</v>
      </c>
      <c r="AH1625">
        <v>12.34</v>
      </c>
      <c r="AI1625">
        <v>0.3</v>
      </c>
      <c r="AJ1625">
        <v>0.18</v>
      </c>
      <c r="AK1625">
        <v>95</v>
      </c>
      <c r="AL1625">
        <v>565</v>
      </c>
      <c r="AM1625">
        <v>126</v>
      </c>
      <c r="AN1625">
        <v>3.41</v>
      </c>
      <c r="AO1625">
        <v>-0.16</v>
      </c>
      <c r="AP1625">
        <v>961</v>
      </c>
      <c r="AQ1625">
        <v>6</v>
      </c>
      <c r="AR1625">
        <v>2.74</v>
      </c>
      <c r="AS1625">
        <v>98</v>
      </c>
      <c r="AT1625">
        <v>1.36</v>
      </c>
      <c r="AU1625">
        <v>97</v>
      </c>
      <c r="AV1625">
        <v>-2.36</v>
      </c>
      <c r="AW1625">
        <v>99</v>
      </c>
      <c r="AX1625">
        <v>1.44</v>
      </c>
      <c r="AY1625">
        <v>97</v>
      </c>
      <c r="AZ1625">
        <v>6.61</v>
      </c>
      <c r="BA1625">
        <v>94</v>
      </c>
      <c r="BB1625">
        <v>5.48</v>
      </c>
      <c r="BC1625">
        <v>95</v>
      </c>
      <c r="BD1625">
        <v>-0.01</v>
      </c>
      <c r="BE1625">
        <v>0.04</v>
      </c>
      <c r="BF1625">
        <v>0.05</v>
      </c>
      <c r="BG1625">
        <v>98</v>
      </c>
      <c r="BH1625">
        <v>0.13</v>
      </c>
      <c r="BI1625">
        <v>-6.83</v>
      </c>
      <c r="BJ1625">
        <v>54</v>
      </c>
      <c r="BK1625">
        <v>17</v>
      </c>
      <c r="BL1625">
        <v>-2.75</v>
      </c>
      <c r="BM1625">
        <v>-2.29</v>
      </c>
      <c r="BN1625">
        <v>-0.28000000000000003</v>
      </c>
      <c r="BO1625">
        <v>1.86</v>
      </c>
      <c r="BP1625">
        <v>0.6</v>
      </c>
      <c r="BQ1625">
        <v>-6.9</v>
      </c>
      <c r="BR1625">
        <v>4.5199999999999996</v>
      </c>
      <c r="BS1625">
        <v>4.38</v>
      </c>
      <c r="BT1625">
        <v>-2.85</v>
      </c>
      <c r="BU1625">
        <v>-0.34</v>
      </c>
      <c r="BV1625">
        <v>-0.4</v>
      </c>
      <c r="BW1625">
        <v>-1.78</v>
      </c>
      <c r="BX1625">
        <v>-3.5</v>
      </c>
      <c r="BY1625">
        <v>0.34</v>
      </c>
      <c r="BZ1625">
        <v>-2.2400000000000002</v>
      </c>
      <c r="CA1625">
        <v>1.01</v>
      </c>
      <c r="CB1625">
        <v>0.16</v>
      </c>
      <c r="CC1625">
        <v>2.4700000000000002</v>
      </c>
      <c r="CD1625">
        <v>-2.86</v>
      </c>
      <c r="CE1625">
        <v>1.3</v>
      </c>
      <c r="CF1625">
        <v>-3.26</v>
      </c>
      <c r="CG1625">
        <v>0</v>
      </c>
      <c r="CH1625">
        <v>-0.62</v>
      </c>
      <c r="CI1625">
        <v>0</v>
      </c>
      <c r="CJ1625">
        <v>-26.3</v>
      </c>
      <c r="CK1625">
        <v>98</v>
      </c>
      <c r="CL1625">
        <v>-0.99</v>
      </c>
      <c r="CM1625">
        <v>98</v>
      </c>
      <c r="CN1625">
        <v>-0.32</v>
      </c>
      <c r="CO1625">
        <v>98</v>
      </c>
      <c r="CP1625">
        <v>-42.6</v>
      </c>
      <c r="CQ1625">
        <v>98</v>
      </c>
      <c r="CR1625">
        <v>0</v>
      </c>
      <c r="CS1625">
        <v>0</v>
      </c>
      <c r="CT1625">
        <v>-50.8</v>
      </c>
      <c r="CU1625">
        <v>98</v>
      </c>
      <c r="CV1625">
        <v>-0.22</v>
      </c>
      <c r="CW1625">
        <v>47</v>
      </c>
      <c r="CX1625" t="s">
        <v>514</v>
      </c>
    </row>
    <row r="1626" spans="1:102" x14ac:dyDescent="0.3">
      <c r="A1626" t="str">
        <f>HYPERLINK("https://webapp.icbf.com/v2/app/bull-search/view/1371418145","JE2418")</f>
        <v>JE2418</v>
      </c>
      <c r="B1626" t="s">
        <v>6146</v>
      </c>
      <c r="C1626" t="s">
        <v>6147</v>
      </c>
      <c r="D1626" s="1">
        <v>42007</v>
      </c>
      <c r="E1626" t="s">
        <v>227</v>
      </c>
      <c r="F1626">
        <v>0</v>
      </c>
      <c r="G1626" t="s">
        <v>435</v>
      </c>
      <c r="H1626">
        <v>97.73</v>
      </c>
      <c r="I1626">
        <v>63</v>
      </c>
      <c r="J1626">
        <v>36.380000000000003</v>
      </c>
      <c r="K1626">
        <v>79</v>
      </c>
      <c r="L1626">
        <v>50.5</v>
      </c>
      <c r="M1626">
        <v>61</v>
      </c>
      <c r="N1626">
        <v>-8.1</v>
      </c>
      <c r="O1626">
        <v>61</v>
      </c>
      <c r="P1626">
        <v>-51.24</v>
      </c>
      <c r="Q1626">
        <v>40</v>
      </c>
      <c r="R1626">
        <v>9.15</v>
      </c>
      <c r="S1626">
        <v>61</v>
      </c>
      <c r="T1626">
        <v>59.63</v>
      </c>
      <c r="U1626">
        <v>39</v>
      </c>
      <c r="V1626">
        <v>1.41</v>
      </c>
      <c r="W1626">
        <v>57</v>
      </c>
      <c r="X1626" t="s">
        <v>94</v>
      </c>
      <c r="Y1626" t="s">
        <v>436</v>
      </c>
      <c r="Z1626">
        <v>0</v>
      </c>
      <c r="AA1626" t="s">
        <v>2020</v>
      </c>
      <c r="AB1626" t="s">
        <v>144</v>
      </c>
      <c r="AC1626">
        <v>2</v>
      </c>
      <c r="AD1626">
        <v>1</v>
      </c>
      <c r="AE1626">
        <v>79</v>
      </c>
      <c r="AF1626">
        <v>-624.75</v>
      </c>
      <c r="AG1626">
        <v>9.82</v>
      </c>
      <c r="AH1626">
        <v>-6.85</v>
      </c>
      <c r="AI1626">
        <v>0.66</v>
      </c>
      <c r="AJ1626">
        <v>0.28000000000000003</v>
      </c>
      <c r="AK1626">
        <v>61</v>
      </c>
      <c r="AL1626">
        <v>0</v>
      </c>
      <c r="AM1626">
        <v>0</v>
      </c>
      <c r="AN1626">
        <v>-0.99</v>
      </c>
      <c r="AO1626">
        <v>3.06</v>
      </c>
      <c r="AP1626">
        <v>1</v>
      </c>
      <c r="AQ1626">
        <v>0</v>
      </c>
      <c r="AR1626">
        <v>4.6500000000000004</v>
      </c>
      <c r="AS1626">
        <v>52</v>
      </c>
      <c r="AT1626">
        <v>2.4900000000000002</v>
      </c>
      <c r="AU1626">
        <v>55</v>
      </c>
      <c r="AV1626">
        <v>-0.53</v>
      </c>
      <c r="AW1626">
        <v>78</v>
      </c>
      <c r="AX1626">
        <v>8.85</v>
      </c>
      <c r="AY1626">
        <v>45</v>
      </c>
      <c r="AZ1626">
        <v>6.72</v>
      </c>
      <c r="BA1626">
        <v>44</v>
      </c>
      <c r="BB1626">
        <v>5.17</v>
      </c>
      <c r="BC1626">
        <v>41</v>
      </c>
      <c r="BD1626">
        <v>-0.08</v>
      </c>
      <c r="BE1626">
        <v>-0.03</v>
      </c>
      <c r="BF1626">
        <v>-0.02</v>
      </c>
      <c r="BG1626">
        <v>68</v>
      </c>
      <c r="BH1626">
        <v>0.03</v>
      </c>
      <c r="BI1626">
        <v>-1.08</v>
      </c>
      <c r="BJ1626">
        <v>0</v>
      </c>
      <c r="BK1626">
        <v>0</v>
      </c>
      <c r="BL1626">
        <v>-1.0900000000000001</v>
      </c>
      <c r="BM1626">
        <v>-1.65</v>
      </c>
      <c r="BN1626">
        <v>-0.27</v>
      </c>
      <c r="BO1626">
        <v>1.33</v>
      </c>
      <c r="BP1626">
        <v>0.2</v>
      </c>
      <c r="BQ1626">
        <v>-4.84</v>
      </c>
      <c r="BR1626">
        <v>2.3199999999999998</v>
      </c>
      <c r="BS1626">
        <v>5.44</v>
      </c>
      <c r="BT1626">
        <v>-1.19</v>
      </c>
      <c r="BU1626">
        <v>0.73</v>
      </c>
      <c r="BV1626">
        <v>0.7</v>
      </c>
      <c r="BW1626">
        <v>-1.04</v>
      </c>
      <c r="BX1626">
        <v>-1.54</v>
      </c>
      <c r="BY1626">
        <v>0.47</v>
      </c>
      <c r="BZ1626">
        <v>-0.4</v>
      </c>
      <c r="CA1626">
        <v>1.86</v>
      </c>
      <c r="CB1626">
        <v>0.67</v>
      </c>
      <c r="CC1626">
        <v>3.43</v>
      </c>
      <c r="CD1626">
        <v>-2.08</v>
      </c>
      <c r="CE1626">
        <v>1.27</v>
      </c>
      <c r="CF1626">
        <v>-1.28</v>
      </c>
      <c r="CG1626">
        <v>0</v>
      </c>
      <c r="CH1626">
        <v>-0.44</v>
      </c>
      <c r="CI1626">
        <v>0</v>
      </c>
      <c r="CJ1626">
        <v>-26.8</v>
      </c>
      <c r="CK1626">
        <v>41</v>
      </c>
      <c r="CL1626">
        <v>-1.1299999999999999</v>
      </c>
      <c r="CM1626">
        <v>40</v>
      </c>
      <c r="CN1626">
        <v>-0.3</v>
      </c>
      <c r="CO1626">
        <v>39</v>
      </c>
      <c r="CP1626">
        <v>-40.700000000000003</v>
      </c>
      <c r="CQ1626">
        <v>40</v>
      </c>
      <c r="CR1626">
        <v>0</v>
      </c>
      <c r="CS1626">
        <v>0</v>
      </c>
      <c r="CT1626">
        <v>-66.8</v>
      </c>
      <c r="CU1626">
        <v>39</v>
      </c>
      <c r="CV1626">
        <v>-0.26</v>
      </c>
      <c r="CW1626">
        <v>33</v>
      </c>
      <c r="CX1626" t="s">
        <v>6148</v>
      </c>
    </row>
    <row r="1627" spans="1:102" x14ac:dyDescent="0.3">
      <c r="A1627" t="str">
        <f>HYPERLINK("https://webapp.icbf.com/v2/app/bull-search/view/744623604","LFY")</f>
        <v>LFY</v>
      </c>
      <c r="B1627" t="s">
        <v>5294</v>
      </c>
      <c r="C1627" t="s">
        <v>5295</v>
      </c>
      <c r="D1627" s="1">
        <v>40184</v>
      </c>
      <c r="E1627" t="s">
        <v>92</v>
      </c>
      <c r="F1627">
        <v>100</v>
      </c>
      <c r="G1627" t="s">
        <v>93</v>
      </c>
      <c r="H1627">
        <v>97.71</v>
      </c>
      <c r="I1627">
        <v>84</v>
      </c>
      <c r="J1627">
        <v>40.78</v>
      </c>
      <c r="K1627">
        <v>97</v>
      </c>
      <c r="L1627">
        <v>37.21</v>
      </c>
      <c r="M1627">
        <v>72</v>
      </c>
      <c r="N1627">
        <v>16.61</v>
      </c>
      <c r="O1627">
        <v>86</v>
      </c>
      <c r="P1627">
        <v>-16.989999999999998</v>
      </c>
      <c r="Q1627">
        <v>95</v>
      </c>
      <c r="R1627">
        <v>8.3800000000000008</v>
      </c>
      <c r="S1627">
        <v>72</v>
      </c>
      <c r="T1627">
        <v>13.09</v>
      </c>
      <c r="U1627">
        <v>85</v>
      </c>
      <c r="V1627">
        <v>-1.37</v>
      </c>
      <c r="W1627">
        <v>68</v>
      </c>
      <c r="X1627" t="s">
        <v>102</v>
      </c>
      <c r="Y1627" t="s">
        <v>329</v>
      </c>
      <c r="Z1627" t="s">
        <v>96</v>
      </c>
      <c r="AA1627" t="s">
        <v>5124</v>
      </c>
      <c r="AB1627" t="s">
        <v>5296</v>
      </c>
      <c r="AC1627">
        <v>120</v>
      </c>
      <c r="AD1627">
        <v>81</v>
      </c>
      <c r="AE1627">
        <v>97</v>
      </c>
      <c r="AF1627">
        <v>213.1</v>
      </c>
      <c r="AG1627">
        <v>7.17</v>
      </c>
      <c r="AH1627">
        <v>7.66</v>
      </c>
      <c r="AI1627">
        <v>-0.02</v>
      </c>
      <c r="AJ1627">
        <v>0.01</v>
      </c>
      <c r="AK1627">
        <v>72</v>
      </c>
      <c r="AL1627">
        <v>157</v>
      </c>
      <c r="AM1627">
        <v>99</v>
      </c>
      <c r="AN1627">
        <v>-2.61</v>
      </c>
      <c r="AO1627">
        <v>0.35</v>
      </c>
      <c r="AP1627">
        <v>304</v>
      </c>
      <c r="AQ1627">
        <v>0</v>
      </c>
      <c r="AR1627">
        <v>9.17</v>
      </c>
      <c r="AS1627">
        <v>68</v>
      </c>
      <c r="AT1627">
        <v>3.54</v>
      </c>
      <c r="AU1627">
        <v>89</v>
      </c>
      <c r="AV1627">
        <v>-2.65</v>
      </c>
      <c r="AW1627">
        <v>97</v>
      </c>
      <c r="AX1627">
        <v>-0.83</v>
      </c>
      <c r="AY1627">
        <v>86</v>
      </c>
      <c r="AZ1627">
        <v>5.63</v>
      </c>
      <c r="BA1627">
        <v>64</v>
      </c>
      <c r="BB1627">
        <v>4.9000000000000004</v>
      </c>
      <c r="BC1627">
        <v>66</v>
      </c>
      <c r="BD1627">
        <v>-0.04</v>
      </c>
      <c r="BE1627">
        <v>-0.04</v>
      </c>
      <c r="BF1627">
        <v>-0.05</v>
      </c>
      <c r="BG1627">
        <v>85</v>
      </c>
      <c r="BH1627">
        <v>-0.15</v>
      </c>
      <c r="BI1627">
        <v>-12.92</v>
      </c>
      <c r="BJ1627">
        <v>16</v>
      </c>
      <c r="BK1627">
        <v>11</v>
      </c>
      <c r="BL1627">
        <v>0.76</v>
      </c>
      <c r="BM1627">
        <v>0.02</v>
      </c>
      <c r="BN1627">
        <v>1.22</v>
      </c>
      <c r="BO1627">
        <v>0.88</v>
      </c>
      <c r="BP1627">
        <v>-0.66</v>
      </c>
      <c r="BQ1627">
        <v>1.99</v>
      </c>
      <c r="BR1627">
        <v>-0.33</v>
      </c>
      <c r="BS1627">
        <v>-1.38</v>
      </c>
      <c r="BT1627">
        <v>0.33</v>
      </c>
      <c r="BU1627">
        <v>0.47</v>
      </c>
      <c r="BV1627">
        <v>0.45</v>
      </c>
      <c r="BW1627">
        <v>0.57999999999999996</v>
      </c>
      <c r="BX1627">
        <v>1.26</v>
      </c>
      <c r="BY1627">
        <v>0.02</v>
      </c>
      <c r="BZ1627">
        <v>-0.35</v>
      </c>
      <c r="CA1627">
        <v>0.57999999999999996</v>
      </c>
      <c r="CB1627">
        <v>0.74</v>
      </c>
      <c r="CC1627">
        <v>0.21</v>
      </c>
      <c r="CD1627">
        <v>-0.51</v>
      </c>
      <c r="CE1627">
        <v>0.54</v>
      </c>
      <c r="CF1627">
        <v>1.1000000000000001</v>
      </c>
      <c r="CG1627">
        <v>0</v>
      </c>
      <c r="CH1627">
        <v>0.23</v>
      </c>
      <c r="CI1627">
        <v>0</v>
      </c>
      <c r="CJ1627">
        <v>-8.1999999999999993</v>
      </c>
      <c r="CK1627">
        <v>96</v>
      </c>
      <c r="CL1627">
        <v>-0.88</v>
      </c>
      <c r="CM1627">
        <v>95</v>
      </c>
      <c r="CN1627">
        <v>-0.35</v>
      </c>
      <c r="CO1627">
        <v>94</v>
      </c>
      <c r="CP1627">
        <v>-4.5999999999999996</v>
      </c>
      <c r="CQ1627">
        <v>87</v>
      </c>
      <c r="CR1627">
        <v>0</v>
      </c>
      <c r="CS1627">
        <v>0</v>
      </c>
      <c r="CT1627">
        <v>-3.9</v>
      </c>
      <c r="CU1627">
        <v>85</v>
      </c>
      <c r="CV1627">
        <v>0.11</v>
      </c>
      <c r="CW1627">
        <v>29</v>
      </c>
      <c r="CX1627" t="s">
        <v>316</v>
      </c>
    </row>
    <row r="1628" spans="1:102" x14ac:dyDescent="0.3">
      <c r="A1628" t="str">
        <f>HYPERLINK("https://webapp.icbf.com/v2/app/bull-search/view/1547629275","FR4649")</f>
        <v>FR4649</v>
      </c>
      <c r="B1628" t="s">
        <v>15187</v>
      </c>
      <c r="C1628" t="s">
        <v>15188</v>
      </c>
      <c r="D1628" s="1">
        <v>42400</v>
      </c>
      <c r="E1628" t="s">
        <v>92</v>
      </c>
      <c r="F1628">
        <v>100</v>
      </c>
      <c r="G1628" t="s">
        <v>435</v>
      </c>
      <c r="H1628">
        <v>97.57</v>
      </c>
      <c r="I1628">
        <v>67</v>
      </c>
      <c r="J1628">
        <v>86.1</v>
      </c>
      <c r="K1628">
        <v>87</v>
      </c>
      <c r="L1628">
        <v>-5.36</v>
      </c>
      <c r="M1628">
        <v>66</v>
      </c>
      <c r="N1628">
        <v>15.98</v>
      </c>
      <c r="O1628">
        <v>67</v>
      </c>
      <c r="P1628">
        <v>1.17</v>
      </c>
      <c r="Q1628">
        <v>35</v>
      </c>
      <c r="R1628">
        <v>8.6300000000000008</v>
      </c>
      <c r="S1628">
        <v>62</v>
      </c>
      <c r="T1628">
        <v>-12.67</v>
      </c>
      <c r="U1628">
        <v>34</v>
      </c>
      <c r="V1628">
        <v>3.72</v>
      </c>
      <c r="W1628">
        <v>54</v>
      </c>
      <c r="X1628" t="s">
        <v>428</v>
      </c>
      <c r="Y1628" t="s">
        <v>442</v>
      </c>
      <c r="Z1628" t="s">
        <v>96</v>
      </c>
      <c r="AA1628" t="s">
        <v>15189</v>
      </c>
      <c r="AB1628" t="s">
        <v>15190</v>
      </c>
      <c r="AC1628">
        <v>0</v>
      </c>
      <c r="AD1628">
        <v>0</v>
      </c>
      <c r="AE1628">
        <v>87</v>
      </c>
      <c r="AF1628">
        <v>341.48</v>
      </c>
      <c r="AG1628">
        <v>12.38</v>
      </c>
      <c r="AH1628">
        <v>15.49</v>
      </c>
      <c r="AI1628">
        <v>-0.02</v>
      </c>
      <c r="AJ1628">
        <v>7.0000000000000007E-2</v>
      </c>
      <c r="AK1628">
        <v>66</v>
      </c>
      <c r="AL1628">
        <v>0</v>
      </c>
      <c r="AM1628">
        <v>0</v>
      </c>
      <c r="AN1628">
        <v>0.1</v>
      </c>
      <c r="AO1628">
        <v>-0.33</v>
      </c>
      <c r="AP1628">
        <v>56</v>
      </c>
      <c r="AQ1628">
        <v>1</v>
      </c>
      <c r="AR1628">
        <v>8.2799999999999994</v>
      </c>
      <c r="AS1628">
        <v>47</v>
      </c>
      <c r="AT1628">
        <v>3.79</v>
      </c>
      <c r="AU1628">
        <v>84</v>
      </c>
      <c r="AV1628">
        <v>-2.2799999999999998</v>
      </c>
      <c r="AW1628">
        <v>78</v>
      </c>
      <c r="AX1628">
        <v>-0.11</v>
      </c>
      <c r="AY1628">
        <v>56</v>
      </c>
      <c r="AZ1628">
        <v>4.8600000000000003</v>
      </c>
      <c r="BA1628">
        <v>34</v>
      </c>
      <c r="BB1628">
        <v>4.24</v>
      </c>
      <c r="BC1628">
        <v>34</v>
      </c>
      <c r="BD1628">
        <v>-0.02</v>
      </c>
      <c r="BE1628">
        <v>-0.05</v>
      </c>
      <c r="BF1628">
        <v>-7.0000000000000007E-2</v>
      </c>
      <c r="BG1628">
        <v>74</v>
      </c>
      <c r="BH1628">
        <v>0.01</v>
      </c>
      <c r="BI1628">
        <v>-10.84</v>
      </c>
      <c r="BJ1628">
        <v>0</v>
      </c>
      <c r="BK1628">
        <v>0</v>
      </c>
      <c r="BL1628">
        <v>2.12</v>
      </c>
      <c r="BM1628">
        <v>-0.12</v>
      </c>
      <c r="BN1628">
        <v>-0.06</v>
      </c>
      <c r="BO1628">
        <v>0.9</v>
      </c>
      <c r="BP1628">
        <v>-0.37</v>
      </c>
      <c r="BQ1628">
        <v>1.43</v>
      </c>
      <c r="BR1628">
        <v>-2.4900000000000002</v>
      </c>
      <c r="BS1628">
        <v>2.79</v>
      </c>
      <c r="BT1628">
        <v>3.19</v>
      </c>
      <c r="BU1628">
        <v>3.79</v>
      </c>
      <c r="BV1628">
        <v>3.91</v>
      </c>
      <c r="BW1628">
        <v>2.66</v>
      </c>
      <c r="BX1628">
        <v>3.81</v>
      </c>
      <c r="BY1628">
        <v>2.65</v>
      </c>
      <c r="BZ1628">
        <v>-0.7</v>
      </c>
      <c r="CA1628">
        <v>3.98</v>
      </c>
      <c r="CB1628">
        <v>3.33</v>
      </c>
      <c r="CC1628">
        <v>3.04</v>
      </c>
      <c r="CD1628">
        <v>-0.28999999999999998</v>
      </c>
      <c r="CE1628">
        <v>1.61</v>
      </c>
      <c r="CF1628">
        <v>2.09</v>
      </c>
      <c r="CG1628">
        <v>0</v>
      </c>
      <c r="CH1628">
        <v>2.99</v>
      </c>
      <c r="CI1628">
        <v>0</v>
      </c>
      <c r="CJ1628">
        <v>3.7</v>
      </c>
      <c r="CK1628">
        <v>35</v>
      </c>
      <c r="CL1628">
        <v>-1.31</v>
      </c>
      <c r="CM1628">
        <v>35</v>
      </c>
      <c r="CN1628">
        <v>-0.69</v>
      </c>
      <c r="CO1628">
        <v>35</v>
      </c>
      <c r="CP1628">
        <v>10</v>
      </c>
      <c r="CQ1628">
        <v>34</v>
      </c>
      <c r="CR1628">
        <v>0</v>
      </c>
      <c r="CS1628">
        <v>0</v>
      </c>
      <c r="CT1628">
        <v>30.9</v>
      </c>
      <c r="CU1628">
        <v>34</v>
      </c>
      <c r="CV1628">
        <v>0.28000000000000003</v>
      </c>
      <c r="CW1628">
        <v>32</v>
      </c>
      <c r="CX1628" t="s">
        <v>465</v>
      </c>
    </row>
    <row r="1629" spans="1:102" x14ac:dyDescent="0.3">
      <c r="A1629" t="str">
        <f>HYPERLINK("https://webapp.icbf.com/v2/app/bull-search/view/720532082","S999")</f>
        <v>S999</v>
      </c>
      <c r="B1629" t="s">
        <v>5290</v>
      </c>
      <c r="C1629" t="s">
        <v>5291</v>
      </c>
      <c r="D1629" s="1">
        <v>38541</v>
      </c>
      <c r="E1629" t="s">
        <v>227</v>
      </c>
      <c r="F1629">
        <v>0</v>
      </c>
      <c r="G1629" t="s">
        <v>93</v>
      </c>
      <c r="H1629">
        <v>97.51</v>
      </c>
      <c r="I1629">
        <v>82</v>
      </c>
      <c r="J1629">
        <v>44.51</v>
      </c>
      <c r="K1629">
        <v>95</v>
      </c>
      <c r="L1629">
        <v>33.67</v>
      </c>
      <c r="M1629">
        <v>84</v>
      </c>
      <c r="N1629">
        <v>-10.45</v>
      </c>
      <c r="O1629">
        <v>76</v>
      </c>
      <c r="P1629">
        <v>-63.74</v>
      </c>
      <c r="Q1629">
        <v>65</v>
      </c>
      <c r="R1629">
        <v>11.61</v>
      </c>
      <c r="S1629">
        <v>72</v>
      </c>
      <c r="T1629">
        <v>79.09</v>
      </c>
      <c r="U1629">
        <v>57</v>
      </c>
      <c r="V1629">
        <v>2.82</v>
      </c>
      <c r="W1629">
        <v>58</v>
      </c>
      <c r="X1629" t="s">
        <v>276</v>
      </c>
      <c r="Y1629" t="s">
        <v>303</v>
      </c>
      <c r="Z1629">
        <v>0</v>
      </c>
      <c r="AA1629" t="s">
        <v>5292</v>
      </c>
      <c r="AB1629" t="s">
        <v>5293</v>
      </c>
      <c r="AC1629">
        <v>55</v>
      </c>
      <c r="AD1629">
        <v>10</v>
      </c>
      <c r="AE1629">
        <v>95</v>
      </c>
      <c r="AF1629">
        <v>-606.38</v>
      </c>
      <c r="AG1629">
        <v>11.67</v>
      </c>
      <c r="AH1629">
        <v>-5.84</v>
      </c>
      <c r="AI1629">
        <v>0.69</v>
      </c>
      <c r="AJ1629">
        <v>0.28999999999999998</v>
      </c>
      <c r="AK1629">
        <v>84</v>
      </c>
      <c r="AL1629">
        <v>0</v>
      </c>
      <c r="AM1629">
        <v>0</v>
      </c>
      <c r="AN1629">
        <v>0.11</v>
      </c>
      <c r="AO1629">
        <v>2.82</v>
      </c>
      <c r="AP1629">
        <v>112</v>
      </c>
      <c r="AQ1629">
        <v>0</v>
      </c>
      <c r="AR1629">
        <v>4.83</v>
      </c>
      <c r="AS1629">
        <v>79</v>
      </c>
      <c r="AT1629">
        <v>2.48</v>
      </c>
      <c r="AU1629">
        <v>75</v>
      </c>
      <c r="AV1629">
        <v>-1.07</v>
      </c>
      <c r="AW1629">
        <v>87</v>
      </c>
      <c r="AX1629">
        <v>11.11</v>
      </c>
      <c r="AY1629">
        <v>72</v>
      </c>
      <c r="AZ1629">
        <v>7.08</v>
      </c>
      <c r="BA1629">
        <v>56</v>
      </c>
      <c r="BB1629">
        <v>5.17</v>
      </c>
      <c r="BC1629">
        <v>47</v>
      </c>
      <c r="BD1629">
        <v>-0.09</v>
      </c>
      <c r="BE1629">
        <v>-0.03</v>
      </c>
      <c r="BF1629">
        <v>-0.06</v>
      </c>
      <c r="BG1629">
        <v>82</v>
      </c>
      <c r="BH1629">
        <v>0.08</v>
      </c>
      <c r="BI1629">
        <v>0.15</v>
      </c>
      <c r="BJ1629">
        <v>10</v>
      </c>
      <c r="BK1629">
        <v>3</v>
      </c>
      <c r="BL1629">
        <v>-1.34</v>
      </c>
      <c r="BM1629">
        <v>-1.86</v>
      </c>
      <c r="BN1629">
        <v>0.13</v>
      </c>
      <c r="BO1629">
        <v>1.77</v>
      </c>
      <c r="BP1629">
        <v>0.18</v>
      </c>
      <c r="BQ1629">
        <v>-4.6100000000000003</v>
      </c>
      <c r="BR1629">
        <v>2.17</v>
      </c>
      <c r="BS1629">
        <v>6.17</v>
      </c>
      <c r="BT1629">
        <v>-1.1200000000000001</v>
      </c>
      <c r="BU1629">
        <v>0.56999999999999995</v>
      </c>
      <c r="BV1629">
        <v>0.86</v>
      </c>
      <c r="BW1629">
        <v>-1.03</v>
      </c>
      <c r="BX1629">
        <v>-2.2599999999999998</v>
      </c>
      <c r="BY1629">
        <v>0.63</v>
      </c>
      <c r="BZ1629">
        <v>-1.29</v>
      </c>
      <c r="CA1629">
        <v>2.65</v>
      </c>
      <c r="CB1629">
        <v>1.54</v>
      </c>
      <c r="CC1629">
        <v>3.82</v>
      </c>
      <c r="CD1629">
        <v>-2.5499999999999998</v>
      </c>
      <c r="CE1629">
        <v>1.89</v>
      </c>
      <c r="CF1629">
        <v>-0.68</v>
      </c>
      <c r="CG1629">
        <v>0</v>
      </c>
      <c r="CH1629">
        <v>0.67</v>
      </c>
      <c r="CI1629">
        <v>0</v>
      </c>
      <c r="CJ1629">
        <v>-33.1</v>
      </c>
      <c r="CK1629">
        <v>67</v>
      </c>
      <c r="CL1629">
        <v>-1.42</v>
      </c>
      <c r="CM1629">
        <v>63</v>
      </c>
      <c r="CN1629">
        <v>-0.41</v>
      </c>
      <c r="CO1629">
        <v>58</v>
      </c>
      <c r="CP1629">
        <v>-54.7</v>
      </c>
      <c r="CQ1629">
        <v>69</v>
      </c>
      <c r="CR1629">
        <v>0</v>
      </c>
      <c r="CS1629">
        <v>0</v>
      </c>
      <c r="CT1629">
        <v>-93.1</v>
      </c>
      <c r="CU1629">
        <v>57</v>
      </c>
      <c r="CV1629">
        <v>-0.26</v>
      </c>
      <c r="CW1629">
        <v>38</v>
      </c>
      <c r="CX1629" t="s">
        <v>788</v>
      </c>
    </row>
    <row r="1630" spans="1:102" x14ac:dyDescent="0.3">
      <c r="A1630" t="str">
        <f>HYPERLINK("https://webapp.icbf.com/v2/app/bull-search/view/849764810","S2013")</f>
        <v>S2013</v>
      </c>
      <c r="B1630" t="s">
        <v>3070</v>
      </c>
      <c r="C1630" t="s">
        <v>3071</v>
      </c>
      <c r="D1630" s="1">
        <v>39565</v>
      </c>
      <c r="E1630" t="s">
        <v>92</v>
      </c>
      <c r="F1630">
        <v>100</v>
      </c>
      <c r="G1630" t="s">
        <v>93</v>
      </c>
      <c r="H1630">
        <v>97.44</v>
      </c>
      <c r="I1630">
        <v>86</v>
      </c>
      <c r="J1630">
        <v>68.58</v>
      </c>
      <c r="K1630">
        <v>96</v>
      </c>
      <c r="L1630">
        <v>5.0599999999999996</v>
      </c>
      <c r="M1630">
        <v>84</v>
      </c>
      <c r="N1630">
        <v>26.09</v>
      </c>
      <c r="O1630">
        <v>86</v>
      </c>
      <c r="P1630">
        <v>-12.25</v>
      </c>
      <c r="Q1630">
        <v>90</v>
      </c>
      <c r="R1630">
        <v>6.1</v>
      </c>
      <c r="S1630">
        <v>75</v>
      </c>
      <c r="T1630">
        <v>9.98</v>
      </c>
      <c r="U1630">
        <v>61</v>
      </c>
      <c r="V1630">
        <v>-6.12</v>
      </c>
      <c r="W1630">
        <v>63</v>
      </c>
      <c r="X1630" t="s">
        <v>102</v>
      </c>
      <c r="Y1630" t="s">
        <v>362</v>
      </c>
      <c r="Z1630" t="s">
        <v>96</v>
      </c>
      <c r="AA1630" t="s">
        <v>2358</v>
      </c>
      <c r="AB1630" t="s">
        <v>3072</v>
      </c>
      <c r="AC1630">
        <v>119</v>
      </c>
      <c r="AD1630">
        <v>46</v>
      </c>
      <c r="AE1630">
        <v>96</v>
      </c>
      <c r="AF1630">
        <v>345.1</v>
      </c>
      <c r="AG1630">
        <v>11.21</v>
      </c>
      <c r="AH1630">
        <v>12.98</v>
      </c>
      <c r="AI1630">
        <v>-0.04</v>
      </c>
      <c r="AJ1630">
        <v>0.02</v>
      </c>
      <c r="AK1630">
        <v>84</v>
      </c>
      <c r="AL1630">
        <v>77</v>
      </c>
      <c r="AM1630">
        <v>37</v>
      </c>
      <c r="AN1630">
        <v>1.02</v>
      </c>
      <c r="AO1630">
        <v>1.44</v>
      </c>
      <c r="AP1630">
        <v>454</v>
      </c>
      <c r="AQ1630">
        <v>3</v>
      </c>
      <c r="AR1630">
        <v>6.76</v>
      </c>
      <c r="AS1630">
        <v>88</v>
      </c>
      <c r="AT1630">
        <v>3.18</v>
      </c>
      <c r="AU1630">
        <v>90</v>
      </c>
      <c r="AV1630">
        <v>-2.86</v>
      </c>
      <c r="AW1630">
        <v>96</v>
      </c>
      <c r="AX1630">
        <v>-0.34</v>
      </c>
      <c r="AY1630">
        <v>89</v>
      </c>
      <c r="AZ1630">
        <v>5.66</v>
      </c>
      <c r="BA1630">
        <v>64</v>
      </c>
      <c r="BB1630">
        <v>5.08</v>
      </c>
      <c r="BC1630">
        <v>48</v>
      </c>
      <c r="BD1630">
        <v>-0.05</v>
      </c>
      <c r="BE1630">
        <v>-0.03</v>
      </c>
      <c r="BF1630">
        <v>0</v>
      </c>
      <c r="BG1630">
        <v>92</v>
      </c>
      <c r="BH1630">
        <v>0.16</v>
      </c>
      <c r="BI1630">
        <v>38.26</v>
      </c>
      <c r="BJ1630">
        <v>19</v>
      </c>
      <c r="BK1630">
        <v>9</v>
      </c>
      <c r="BL1630">
        <v>0.18</v>
      </c>
      <c r="BM1630">
        <v>-1.42</v>
      </c>
      <c r="BN1630">
        <v>-0.77</v>
      </c>
      <c r="BO1630">
        <v>0.15</v>
      </c>
      <c r="BP1630">
        <v>0.65</v>
      </c>
      <c r="BQ1630">
        <v>-1.64</v>
      </c>
      <c r="BR1630">
        <v>0.23</v>
      </c>
      <c r="BS1630">
        <v>1.41</v>
      </c>
      <c r="BT1630">
        <v>0.02</v>
      </c>
      <c r="BU1630">
        <v>0.67</v>
      </c>
      <c r="BV1630">
        <v>2.23</v>
      </c>
      <c r="BW1630">
        <v>1.01</v>
      </c>
      <c r="BX1630">
        <v>0.61</v>
      </c>
      <c r="BY1630">
        <v>-0.78</v>
      </c>
      <c r="BZ1630">
        <v>1.95</v>
      </c>
      <c r="CA1630">
        <v>1.04</v>
      </c>
      <c r="CB1630">
        <v>0.94</v>
      </c>
      <c r="CC1630">
        <v>0.96</v>
      </c>
      <c r="CD1630">
        <v>-0.28000000000000003</v>
      </c>
      <c r="CE1630">
        <v>0.95</v>
      </c>
      <c r="CF1630">
        <v>-0.06</v>
      </c>
      <c r="CG1630">
        <v>0</v>
      </c>
      <c r="CH1630">
        <v>-0.81</v>
      </c>
      <c r="CI1630">
        <v>0</v>
      </c>
      <c r="CJ1630">
        <v>-7.1</v>
      </c>
      <c r="CK1630">
        <v>93</v>
      </c>
      <c r="CL1630">
        <v>-0.81</v>
      </c>
      <c r="CM1630">
        <v>92</v>
      </c>
      <c r="CN1630">
        <v>-0.63</v>
      </c>
      <c r="CO1630">
        <v>91</v>
      </c>
      <c r="CP1630">
        <v>-9.8000000000000007</v>
      </c>
      <c r="CQ1630">
        <v>67</v>
      </c>
      <c r="CR1630">
        <v>0</v>
      </c>
      <c r="CS1630">
        <v>0</v>
      </c>
      <c r="CT1630">
        <v>0.3</v>
      </c>
      <c r="CU1630">
        <v>61</v>
      </c>
      <c r="CV1630">
        <v>-0.01</v>
      </c>
      <c r="CW1630">
        <v>44</v>
      </c>
      <c r="CX1630" t="s">
        <v>3073</v>
      </c>
    </row>
    <row r="1631" spans="1:102" x14ac:dyDescent="0.3">
      <c r="A1631" t="str">
        <f>HYPERLINK("https://webapp.icbf.com/v2/app/bull-search/view/568098690","DUY")</f>
        <v>DUY</v>
      </c>
      <c r="B1631" t="s">
        <v>5078</v>
      </c>
      <c r="C1631" t="s">
        <v>5079</v>
      </c>
      <c r="D1631" s="1">
        <v>39489</v>
      </c>
      <c r="E1631" t="s">
        <v>92</v>
      </c>
      <c r="F1631">
        <v>100</v>
      </c>
      <c r="G1631" t="s">
        <v>93</v>
      </c>
      <c r="H1631">
        <v>97.43</v>
      </c>
      <c r="I1631">
        <v>89</v>
      </c>
      <c r="J1631">
        <v>40.869999999999997</v>
      </c>
      <c r="K1631">
        <v>97</v>
      </c>
      <c r="L1631">
        <v>34.08</v>
      </c>
      <c r="M1631">
        <v>83</v>
      </c>
      <c r="N1631">
        <v>16.62</v>
      </c>
      <c r="O1631">
        <v>88</v>
      </c>
      <c r="P1631">
        <v>-19.88</v>
      </c>
      <c r="Q1631">
        <v>93</v>
      </c>
      <c r="R1631">
        <v>3.54</v>
      </c>
      <c r="S1631">
        <v>84</v>
      </c>
      <c r="T1631">
        <v>12.72</v>
      </c>
      <c r="U1631">
        <v>87</v>
      </c>
      <c r="V1631">
        <v>9.48</v>
      </c>
      <c r="W1631">
        <v>83</v>
      </c>
      <c r="X1631" t="s">
        <v>94</v>
      </c>
      <c r="Y1631" t="s">
        <v>1513</v>
      </c>
      <c r="Z1631" t="s">
        <v>96</v>
      </c>
      <c r="AA1631" t="s">
        <v>4023</v>
      </c>
      <c r="AB1631" t="s">
        <v>5080</v>
      </c>
      <c r="AC1631">
        <v>99</v>
      </c>
      <c r="AD1631">
        <v>64</v>
      </c>
      <c r="AE1631">
        <v>97</v>
      </c>
      <c r="AF1631">
        <v>-54.78</v>
      </c>
      <c r="AG1631">
        <v>6.31</v>
      </c>
      <c r="AH1631">
        <v>3.88</v>
      </c>
      <c r="AI1631">
        <v>0.15</v>
      </c>
      <c r="AJ1631">
        <v>0.1</v>
      </c>
      <c r="AK1631">
        <v>83</v>
      </c>
      <c r="AL1631">
        <v>103</v>
      </c>
      <c r="AM1631">
        <v>69</v>
      </c>
      <c r="AN1631">
        <v>-1.69</v>
      </c>
      <c r="AO1631">
        <v>1.03</v>
      </c>
      <c r="AP1631">
        <v>234</v>
      </c>
      <c r="AQ1631">
        <v>4</v>
      </c>
      <c r="AR1631">
        <v>8.84</v>
      </c>
      <c r="AS1631">
        <v>74</v>
      </c>
      <c r="AT1631">
        <v>3.42</v>
      </c>
      <c r="AU1631">
        <v>90</v>
      </c>
      <c r="AV1631">
        <v>-2.7</v>
      </c>
      <c r="AW1631">
        <v>97</v>
      </c>
      <c r="AX1631">
        <v>-0.5</v>
      </c>
      <c r="AY1631">
        <v>83</v>
      </c>
      <c r="AZ1631">
        <v>6.54</v>
      </c>
      <c r="BA1631">
        <v>70</v>
      </c>
      <c r="BB1631">
        <v>4.96</v>
      </c>
      <c r="BC1631">
        <v>73</v>
      </c>
      <c r="BD1631">
        <v>-0.05</v>
      </c>
      <c r="BE1631">
        <v>-0.02</v>
      </c>
      <c r="BF1631">
        <v>0.04</v>
      </c>
      <c r="BG1631">
        <v>91</v>
      </c>
      <c r="BH1631">
        <v>0.18</v>
      </c>
      <c r="BI1631">
        <v>-9.77</v>
      </c>
      <c r="BJ1631">
        <v>34</v>
      </c>
      <c r="BK1631">
        <v>22</v>
      </c>
      <c r="BL1631">
        <v>0.71</v>
      </c>
      <c r="BM1631">
        <v>0.99</v>
      </c>
      <c r="BN1631">
        <v>0.51</v>
      </c>
      <c r="BO1631">
        <v>0.37</v>
      </c>
      <c r="BP1631">
        <v>1.32</v>
      </c>
      <c r="BQ1631">
        <v>-1.82</v>
      </c>
      <c r="BR1631">
        <v>0.71</v>
      </c>
      <c r="BS1631">
        <v>0.15</v>
      </c>
      <c r="BT1631">
        <v>-1.02</v>
      </c>
      <c r="BU1631">
        <v>0.27</v>
      </c>
      <c r="BV1631">
        <v>7.0000000000000007E-2</v>
      </c>
      <c r="BW1631">
        <v>0.14000000000000001</v>
      </c>
      <c r="BX1631">
        <v>-0.04</v>
      </c>
      <c r="BY1631">
        <v>1.07</v>
      </c>
      <c r="BZ1631">
        <v>-3.54</v>
      </c>
      <c r="CA1631">
        <v>0.85</v>
      </c>
      <c r="CB1631">
        <v>0.69</v>
      </c>
      <c r="CC1631">
        <v>0.66</v>
      </c>
      <c r="CD1631">
        <v>0.31</v>
      </c>
      <c r="CE1631">
        <v>0.12</v>
      </c>
      <c r="CF1631">
        <v>0.17</v>
      </c>
      <c r="CG1631">
        <v>0</v>
      </c>
      <c r="CH1631">
        <v>1.08</v>
      </c>
      <c r="CI1631">
        <v>0</v>
      </c>
      <c r="CJ1631">
        <v>-7.5</v>
      </c>
      <c r="CK1631">
        <v>94</v>
      </c>
      <c r="CL1631">
        <v>-1.01</v>
      </c>
      <c r="CM1631">
        <v>93</v>
      </c>
      <c r="CN1631">
        <v>-0.17</v>
      </c>
      <c r="CO1631">
        <v>92</v>
      </c>
      <c r="CP1631">
        <v>-7.3</v>
      </c>
      <c r="CQ1631">
        <v>89</v>
      </c>
      <c r="CR1631">
        <v>0</v>
      </c>
      <c r="CS1631">
        <v>0</v>
      </c>
      <c r="CT1631">
        <v>-3.4</v>
      </c>
      <c r="CU1631">
        <v>87</v>
      </c>
      <c r="CV1631">
        <v>0.12</v>
      </c>
      <c r="CW1631">
        <v>46</v>
      </c>
      <c r="CX1631" t="s">
        <v>1165</v>
      </c>
    </row>
    <row r="1632" spans="1:102" x14ac:dyDescent="0.3">
      <c r="A1632" t="str">
        <f>HYPERLINK("https://webapp.icbf.com/v2/app/bull-search/view/487000215","WHT")</f>
        <v>WHT</v>
      </c>
      <c r="B1632" t="s">
        <v>1455</v>
      </c>
      <c r="C1632" t="s">
        <v>1456</v>
      </c>
      <c r="D1632" s="1">
        <v>38604</v>
      </c>
      <c r="E1632" t="s">
        <v>92</v>
      </c>
      <c r="F1632">
        <v>69</v>
      </c>
      <c r="G1632" t="s">
        <v>109</v>
      </c>
      <c r="H1632">
        <v>97.2</v>
      </c>
      <c r="I1632">
        <v>81</v>
      </c>
      <c r="J1632">
        <v>52.89</v>
      </c>
      <c r="K1632">
        <v>93</v>
      </c>
      <c r="L1632">
        <v>-8.4</v>
      </c>
      <c r="M1632">
        <v>74</v>
      </c>
      <c r="N1632">
        <v>32.18</v>
      </c>
      <c r="O1632">
        <v>75</v>
      </c>
      <c r="P1632">
        <v>-18.16</v>
      </c>
      <c r="Q1632">
        <v>76</v>
      </c>
      <c r="R1632">
        <v>0.28999999999999998</v>
      </c>
      <c r="S1632">
        <v>74</v>
      </c>
      <c r="T1632">
        <v>27.52</v>
      </c>
      <c r="U1632">
        <v>79</v>
      </c>
      <c r="V1632">
        <v>10.88</v>
      </c>
      <c r="W1632">
        <v>74</v>
      </c>
      <c r="X1632" t="s">
        <v>276</v>
      </c>
      <c r="Y1632" t="s">
        <v>435</v>
      </c>
      <c r="Z1632" t="s">
        <v>330</v>
      </c>
      <c r="AA1632" t="s">
        <v>320</v>
      </c>
      <c r="AB1632" t="s">
        <v>1457</v>
      </c>
      <c r="AC1632">
        <v>0</v>
      </c>
      <c r="AD1632">
        <v>0</v>
      </c>
      <c r="AE1632">
        <v>93</v>
      </c>
      <c r="AF1632">
        <v>94.03</v>
      </c>
      <c r="AG1632">
        <v>6.26</v>
      </c>
      <c r="AH1632">
        <v>8.2200000000000006</v>
      </c>
      <c r="AI1632">
        <v>0.04</v>
      </c>
      <c r="AJ1632">
        <v>0.09</v>
      </c>
      <c r="AK1632">
        <v>74</v>
      </c>
      <c r="AL1632">
        <v>0</v>
      </c>
      <c r="AM1632">
        <v>0</v>
      </c>
      <c r="AN1632">
        <v>1.24</v>
      </c>
      <c r="AO1632">
        <v>0.57999999999999996</v>
      </c>
      <c r="AP1632">
        <v>71</v>
      </c>
      <c r="AQ1632">
        <v>0</v>
      </c>
      <c r="AR1632">
        <v>5.0199999999999996</v>
      </c>
      <c r="AS1632">
        <v>75</v>
      </c>
      <c r="AT1632">
        <v>1.79</v>
      </c>
      <c r="AU1632">
        <v>72</v>
      </c>
      <c r="AV1632">
        <v>-2.3199999999999998</v>
      </c>
      <c r="AW1632">
        <v>89</v>
      </c>
      <c r="AX1632">
        <v>1.1100000000000001</v>
      </c>
      <c r="AY1632">
        <v>66</v>
      </c>
      <c r="AZ1632">
        <v>5.64</v>
      </c>
      <c r="BA1632">
        <v>49</v>
      </c>
      <c r="BB1632">
        <v>5.04</v>
      </c>
      <c r="BC1632">
        <v>50</v>
      </c>
      <c r="BD1632">
        <v>-0.01</v>
      </c>
      <c r="BE1632">
        <v>0</v>
      </c>
      <c r="BF1632">
        <v>0.01</v>
      </c>
      <c r="BG1632">
        <v>84</v>
      </c>
      <c r="BH1632">
        <v>0.16</v>
      </c>
      <c r="BI1632">
        <v>-16.579999999999998</v>
      </c>
      <c r="BJ1632">
        <v>0</v>
      </c>
      <c r="BK1632">
        <v>0</v>
      </c>
      <c r="BL1632">
        <v>-1.1100000000000001</v>
      </c>
      <c r="BM1632">
        <v>-1.4</v>
      </c>
      <c r="BN1632">
        <v>-2</v>
      </c>
      <c r="BO1632">
        <v>-0.49</v>
      </c>
      <c r="BP1632">
        <v>0.88</v>
      </c>
      <c r="BQ1632">
        <v>-1.05</v>
      </c>
      <c r="BR1632">
        <v>1.29</v>
      </c>
      <c r="BS1632">
        <v>-1.39</v>
      </c>
      <c r="BT1632">
        <v>-1.68</v>
      </c>
      <c r="BU1632">
        <v>-1.4</v>
      </c>
      <c r="BV1632">
        <v>-1.68</v>
      </c>
      <c r="BW1632">
        <v>-1.74</v>
      </c>
      <c r="BX1632">
        <v>-1.23</v>
      </c>
      <c r="BY1632">
        <v>-0.62</v>
      </c>
      <c r="BZ1632">
        <v>0.21</v>
      </c>
      <c r="CA1632">
        <v>-2.2400000000000002</v>
      </c>
      <c r="CB1632">
        <v>-1.69</v>
      </c>
      <c r="CC1632">
        <v>-1.49</v>
      </c>
      <c r="CD1632">
        <v>-0.05</v>
      </c>
      <c r="CE1632">
        <v>-0.1</v>
      </c>
      <c r="CF1632">
        <v>-0.22</v>
      </c>
      <c r="CG1632">
        <v>0</v>
      </c>
      <c r="CH1632">
        <v>-0.87</v>
      </c>
      <c r="CI1632">
        <v>0</v>
      </c>
      <c r="CJ1632">
        <v>-7.7</v>
      </c>
      <c r="CK1632">
        <v>78</v>
      </c>
      <c r="CL1632">
        <v>-0.66</v>
      </c>
      <c r="CM1632">
        <v>75</v>
      </c>
      <c r="CN1632">
        <v>-0.15</v>
      </c>
      <c r="CO1632">
        <v>72</v>
      </c>
      <c r="CP1632">
        <v>-16.5</v>
      </c>
      <c r="CQ1632">
        <v>77</v>
      </c>
      <c r="CR1632">
        <v>0</v>
      </c>
      <c r="CS1632">
        <v>0</v>
      </c>
      <c r="CT1632">
        <v>-23.4</v>
      </c>
      <c r="CU1632">
        <v>79</v>
      </c>
      <c r="CV1632">
        <v>0.06</v>
      </c>
      <c r="CW1632">
        <v>41</v>
      </c>
      <c r="CX1632" t="s">
        <v>1257</v>
      </c>
    </row>
    <row r="1633" spans="1:102" x14ac:dyDescent="0.3">
      <c r="A1633" t="str">
        <f>HYPERLINK("https://webapp.icbf.com/v2/app/bull-search/view/177393144","NIZ")</f>
        <v>NIZ</v>
      </c>
      <c r="B1633" t="s">
        <v>11566</v>
      </c>
      <c r="C1633" t="s">
        <v>1957</v>
      </c>
      <c r="D1633" s="1">
        <v>35620</v>
      </c>
      <c r="E1633" t="s">
        <v>92</v>
      </c>
      <c r="F1633">
        <v>100</v>
      </c>
      <c r="G1633" t="s">
        <v>93</v>
      </c>
      <c r="H1633">
        <v>97.19</v>
      </c>
      <c r="I1633">
        <v>96</v>
      </c>
      <c r="J1633">
        <v>-1.42</v>
      </c>
      <c r="K1633">
        <v>99</v>
      </c>
      <c r="L1633">
        <v>47.08</v>
      </c>
      <c r="M1633">
        <v>94</v>
      </c>
      <c r="N1633">
        <v>30.53</v>
      </c>
      <c r="O1633">
        <v>97</v>
      </c>
      <c r="P1633">
        <v>-1.24</v>
      </c>
      <c r="Q1633">
        <v>98</v>
      </c>
      <c r="R1633">
        <v>10.74</v>
      </c>
      <c r="S1633">
        <v>93</v>
      </c>
      <c r="T1633">
        <v>11.01</v>
      </c>
      <c r="U1633">
        <v>97</v>
      </c>
      <c r="V1633">
        <v>0.49</v>
      </c>
      <c r="W1633">
        <v>92</v>
      </c>
      <c r="X1633" t="s">
        <v>102</v>
      </c>
      <c r="Y1633" t="s">
        <v>95</v>
      </c>
      <c r="Z1633" t="s">
        <v>96</v>
      </c>
      <c r="AA1633" t="s">
        <v>4558</v>
      </c>
      <c r="AB1633" t="s">
        <v>11567</v>
      </c>
      <c r="AC1633">
        <v>545</v>
      </c>
      <c r="AD1633">
        <v>183</v>
      </c>
      <c r="AE1633">
        <v>99</v>
      </c>
      <c r="AF1633">
        <v>329.22</v>
      </c>
      <c r="AG1633">
        <v>-1.08</v>
      </c>
      <c r="AH1633">
        <v>5.18</v>
      </c>
      <c r="AI1633">
        <v>-0.23</v>
      </c>
      <c r="AJ1633">
        <v>-0.1</v>
      </c>
      <c r="AK1633">
        <v>94</v>
      </c>
      <c r="AL1633">
        <v>602</v>
      </c>
      <c r="AM1633">
        <v>210</v>
      </c>
      <c r="AN1633">
        <v>-1.36</v>
      </c>
      <c r="AO1633">
        <v>2.41</v>
      </c>
      <c r="AP1633">
        <v>1000</v>
      </c>
      <c r="AQ1633">
        <v>2</v>
      </c>
      <c r="AR1633">
        <v>4.95</v>
      </c>
      <c r="AS1633">
        <v>96</v>
      </c>
      <c r="AT1633">
        <v>2.5299999999999998</v>
      </c>
      <c r="AU1633">
        <v>98</v>
      </c>
      <c r="AV1633">
        <v>-2.2799999999999998</v>
      </c>
      <c r="AW1633">
        <v>99</v>
      </c>
      <c r="AX1633">
        <v>-0.41</v>
      </c>
      <c r="AY1633">
        <v>96</v>
      </c>
      <c r="AZ1633">
        <v>5.43</v>
      </c>
      <c r="BA1633">
        <v>89</v>
      </c>
      <c r="BB1633">
        <v>5.21</v>
      </c>
      <c r="BC1633">
        <v>90</v>
      </c>
      <c r="BD1633">
        <v>0</v>
      </c>
      <c r="BE1633">
        <v>-0.03</v>
      </c>
      <c r="BF1633">
        <v>-0.19</v>
      </c>
      <c r="BG1633">
        <v>98</v>
      </c>
      <c r="BH1633">
        <v>-0.16</v>
      </c>
      <c r="BI1633">
        <v>-20.09</v>
      </c>
      <c r="BJ1633">
        <v>104</v>
      </c>
      <c r="BK1633">
        <v>37</v>
      </c>
      <c r="BL1633">
        <v>-0.5</v>
      </c>
      <c r="BM1633">
        <v>-1.18</v>
      </c>
      <c r="BN1633">
        <v>-1.43</v>
      </c>
      <c r="BO1633">
        <v>-0.03</v>
      </c>
      <c r="BP1633">
        <v>1.02</v>
      </c>
      <c r="BQ1633">
        <v>-1.4</v>
      </c>
      <c r="BR1633">
        <v>-1.31</v>
      </c>
      <c r="BS1633">
        <v>-1.39</v>
      </c>
      <c r="BT1633">
        <v>1.2</v>
      </c>
      <c r="BU1633">
        <v>0.62</v>
      </c>
      <c r="BV1633">
        <v>0.77</v>
      </c>
      <c r="BW1633">
        <v>1.2</v>
      </c>
      <c r="BX1633">
        <v>0.66</v>
      </c>
      <c r="BY1633">
        <v>0.44</v>
      </c>
      <c r="BZ1633">
        <v>-1.07</v>
      </c>
      <c r="CA1633">
        <v>0.68</v>
      </c>
      <c r="CB1633">
        <v>1.1100000000000001</v>
      </c>
      <c r="CC1633">
        <v>-0.56000000000000005</v>
      </c>
      <c r="CD1633">
        <v>-0.46</v>
      </c>
      <c r="CE1633">
        <v>0.05</v>
      </c>
      <c r="CF1633">
        <v>-0.73</v>
      </c>
      <c r="CG1633">
        <v>0</v>
      </c>
      <c r="CH1633">
        <v>0.34</v>
      </c>
      <c r="CI1633">
        <v>0</v>
      </c>
      <c r="CJ1633">
        <v>-0.8</v>
      </c>
      <c r="CK1633">
        <v>99</v>
      </c>
      <c r="CL1633">
        <v>-0.63</v>
      </c>
      <c r="CM1633">
        <v>98</v>
      </c>
      <c r="CN1633">
        <v>-0.65</v>
      </c>
      <c r="CO1633">
        <v>98</v>
      </c>
      <c r="CP1633">
        <v>-8.3000000000000007</v>
      </c>
      <c r="CQ1633">
        <v>97</v>
      </c>
      <c r="CR1633">
        <v>0</v>
      </c>
      <c r="CS1633">
        <v>0</v>
      </c>
      <c r="CT1633">
        <v>-1.1000000000000001</v>
      </c>
      <c r="CU1633">
        <v>97</v>
      </c>
      <c r="CV1633">
        <v>7.0000000000000007E-2</v>
      </c>
      <c r="CW1633">
        <v>46</v>
      </c>
      <c r="CX1633" t="s">
        <v>650</v>
      </c>
    </row>
    <row r="1634" spans="1:102" x14ac:dyDescent="0.3">
      <c r="A1634" t="str">
        <f>HYPERLINK("https://webapp.icbf.com/v2/app/bull-search/view/400142617","BZR")</f>
        <v>BZR</v>
      </c>
      <c r="B1634" t="s">
        <v>4504</v>
      </c>
      <c r="C1634" t="s">
        <v>419</v>
      </c>
      <c r="D1634" s="1">
        <v>38417</v>
      </c>
      <c r="E1634" t="s">
        <v>92</v>
      </c>
      <c r="F1634">
        <v>69</v>
      </c>
      <c r="G1634" t="s">
        <v>93</v>
      </c>
      <c r="H1634">
        <v>97.11</v>
      </c>
      <c r="I1634">
        <v>97</v>
      </c>
      <c r="J1634">
        <v>40.340000000000003</v>
      </c>
      <c r="K1634">
        <v>99</v>
      </c>
      <c r="L1634">
        <v>18.05</v>
      </c>
      <c r="M1634">
        <v>94</v>
      </c>
      <c r="N1634">
        <v>31.28</v>
      </c>
      <c r="O1634">
        <v>98</v>
      </c>
      <c r="P1634">
        <v>-9.86</v>
      </c>
      <c r="Q1634">
        <v>99</v>
      </c>
      <c r="R1634">
        <v>-0.54</v>
      </c>
      <c r="S1634">
        <v>94</v>
      </c>
      <c r="T1634">
        <v>15.23</v>
      </c>
      <c r="U1634">
        <v>99</v>
      </c>
      <c r="V1634">
        <v>2.61</v>
      </c>
      <c r="W1634">
        <v>95</v>
      </c>
      <c r="X1634" t="s">
        <v>251</v>
      </c>
      <c r="Y1634" t="s">
        <v>228</v>
      </c>
      <c r="Z1634" t="s">
        <v>96</v>
      </c>
      <c r="AA1634" t="s">
        <v>1229</v>
      </c>
      <c r="AB1634" t="s">
        <v>4503</v>
      </c>
      <c r="AC1634">
        <v>1217</v>
      </c>
      <c r="AD1634">
        <v>361</v>
      </c>
      <c r="AE1634">
        <v>99</v>
      </c>
      <c r="AF1634">
        <v>95.33</v>
      </c>
      <c r="AG1634">
        <v>3.9</v>
      </c>
      <c r="AH1634">
        <v>6.94</v>
      </c>
      <c r="AI1634">
        <v>0</v>
      </c>
      <c r="AJ1634">
        <v>0.06</v>
      </c>
      <c r="AK1634">
        <v>94</v>
      </c>
      <c r="AL1634">
        <v>1295</v>
      </c>
      <c r="AM1634">
        <v>394</v>
      </c>
      <c r="AN1634">
        <v>-0.96</v>
      </c>
      <c r="AO1634">
        <v>0.48</v>
      </c>
      <c r="AP1634">
        <v>2726</v>
      </c>
      <c r="AQ1634">
        <v>30</v>
      </c>
      <c r="AR1634">
        <v>5.78</v>
      </c>
      <c r="AS1634">
        <v>96</v>
      </c>
      <c r="AT1634">
        <v>2.48</v>
      </c>
      <c r="AU1634">
        <v>99</v>
      </c>
      <c r="AV1634">
        <v>-2.79</v>
      </c>
      <c r="AW1634">
        <v>99</v>
      </c>
      <c r="AX1634">
        <v>-0.3</v>
      </c>
      <c r="AY1634">
        <v>98</v>
      </c>
      <c r="AZ1634">
        <v>7.23</v>
      </c>
      <c r="BA1634">
        <v>95</v>
      </c>
      <c r="BB1634">
        <v>4.99</v>
      </c>
      <c r="BC1634">
        <v>95</v>
      </c>
      <c r="BD1634">
        <v>-0.04</v>
      </c>
      <c r="BE1634">
        <v>0.01</v>
      </c>
      <c r="BF1634">
        <v>0.06</v>
      </c>
      <c r="BG1634">
        <v>98</v>
      </c>
      <c r="BH1634">
        <v>7.0000000000000007E-2</v>
      </c>
      <c r="BI1634">
        <v>-0.33</v>
      </c>
      <c r="BJ1634">
        <v>63</v>
      </c>
      <c r="BK1634">
        <v>31</v>
      </c>
      <c r="BL1634">
        <v>-2.1</v>
      </c>
      <c r="BM1634">
        <v>1.1499999999999999</v>
      </c>
      <c r="BN1634">
        <v>-0.88</v>
      </c>
      <c r="BO1634">
        <v>-1.54</v>
      </c>
      <c r="BP1634">
        <v>-0.68</v>
      </c>
      <c r="BQ1634">
        <v>-0.76</v>
      </c>
      <c r="BR1634">
        <v>-1.1399999999999999</v>
      </c>
      <c r="BS1634">
        <v>-1.18</v>
      </c>
      <c r="BT1634">
        <v>0.01</v>
      </c>
      <c r="BU1634">
        <v>-0.54</v>
      </c>
      <c r="BV1634">
        <v>-0.43</v>
      </c>
      <c r="BW1634">
        <v>-1.1599999999999999</v>
      </c>
      <c r="BX1634">
        <v>-1.22</v>
      </c>
      <c r="BY1634">
        <v>-2.92</v>
      </c>
      <c r="BZ1634">
        <v>-0.49</v>
      </c>
      <c r="CA1634">
        <v>-1.43</v>
      </c>
      <c r="CB1634">
        <v>-1.36</v>
      </c>
      <c r="CC1634">
        <v>-1.04</v>
      </c>
      <c r="CD1634">
        <v>1.4</v>
      </c>
      <c r="CE1634">
        <v>-1.38</v>
      </c>
      <c r="CF1634">
        <v>-1.45</v>
      </c>
      <c r="CG1634">
        <v>0</v>
      </c>
      <c r="CH1634">
        <v>-3.07</v>
      </c>
      <c r="CI1634">
        <v>0</v>
      </c>
      <c r="CJ1634">
        <v>-5.5</v>
      </c>
      <c r="CK1634">
        <v>99</v>
      </c>
      <c r="CL1634">
        <v>-0.35</v>
      </c>
      <c r="CM1634">
        <v>99</v>
      </c>
      <c r="CN1634">
        <v>-0.24</v>
      </c>
      <c r="CO1634">
        <v>99</v>
      </c>
      <c r="CP1634">
        <v>-9.8000000000000007</v>
      </c>
      <c r="CQ1634">
        <v>99</v>
      </c>
      <c r="CR1634">
        <v>0</v>
      </c>
      <c r="CS1634">
        <v>0</v>
      </c>
      <c r="CT1634">
        <v>-6.8</v>
      </c>
      <c r="CU1634">
        <v>99</v>
      </c>
      <c r="CV1634">
        <v>0</v>
      </c>
      <c r="CW1634">
        <v>48</v>
      </c>
      <c r="CX1634" t="s">
        <v>1037</v>
      </c>
    </row>
    <row r="1635" spans="1:102" x14ac:dyDescent="0.3">
      <c r="A1635" t="str">
        <f>HYPERLINK("https://webapp.icbf.com/v2/app/bull-search/view/660051084","BMC")</f>
        <v>BMC</v>
      </c>
      <c r="B1635" t="s">
        <v>8918</v>
      </c>
      <c r="C1635" t="s">
        <v>8919</v>
      </c>
      <c r="D1635" s="1">
        <v>39071</v>
      </c>
      <c r="E1635" t="s">
        <v>92</v>
      </c>
      <c r="F1635">
        <v>100</v>
      </c>
      <c r="G1635" t="s">
        <v>93</v>
      </c>
      <c r="H1635">
        <v>97.05</v>
      </c>
      <c r="I1635">
        <v>59</v>
      </c>
      <c r="J1635">
        <v>49.8</v>
      </c>
      <c r="K1635">
        <v>75</v>
      </c>
      <c r="L1635">
        <v>44.19</v>
      </c>
      <c r="M1635">
        <v>43</v>
      </c>
      <c r="N1635">
        <v>-5.08</v>
      </c>
      <c r="O1635">
        <v>60</v>
      </c>
      <c r="P1635">
        <v>-1.7</v>
      </c>
      <c r="Q1635">
        <v>74</v>
      </c>
      <c r="R1635">
        <v>10.84</v>
      </c>
      <c r="S1635">
        <v>48</v>
      </c>
      <c r="T1635">
        <v>-2.5299999999999998</v>
      </c>
      <c r="U1635">
        <v>64</v>
      </c>
      <c r="V1635">
        <v>1.53</v>
      </c>
      <c r="W1635">
        <v>36</v>
      </c>
      <c r="X1635" t="s">
        <v>251</v>
      </c>
      <c r="Y1635" t="s">
        <v>1923</v>
      </c>
      <c r="Z1635" t="s">
        <v>96</v>
      </c>
      <c r="AA1635" t="s">
        <v>316</v>
      </c>
      <c r="AB1635" t="s">
        <v>8920</v>
      </c>
      <c r="AC1635">
        <v>15</v>
      </c>
      <c r="AD1635">
        <v>11</v>
      </c>
      <c r="AE1635">
        <v>75</v>
      </c>
      <c r="AF1635">
        <v>212.08</v>
      </c>
      <c r="AG1635">
        <v>8.1300000000000008</v>
      </c>
      <c r="AH1635">
        <v>8.84</v>
      </c>
      <c r="AI1635">
        <v>0</v>
      </c>
      <c r="AJ1635">
        <v>0.02</v>
      </c>
      <c r="AK1635">
        <v>43</v>
      </c>
      <c r="AL1635">
        <v>16</v>
      </c>
      <c r="AM1635">
        <v>10</v>
      </c>
      <c r="AN1635">
        <v>-2.73</v>
      </c>
      <c r="AO1635">
        <v>0.79</v>
      </c>
      <c r="AP1635">
        <v>32</v>
      </c>
      <c r="AQ1635">
        <v>0</v>
      </c>
      <c r="AR1635">
        <v>9.9499999999999993</v>
      </c>
      <c r="AS1635">
        <v>40</v>
      </c>
      <c r="AT1635">
        <v>3.86</v>
      </c>
      <c r="AU1635">
        <v>53</v>
      </c>
      <c r="AV1635">
        <v>-1.21</v>
      </c>
      <c r="AW1635">
        <v>80</v>
      </c>
      <c r="AX1635">
        <v>0.73</v>
      </c>
      <c r="AY1635">
        <v>51</v>
      </c>
      <c r="AZ1635">
        <v>5.8</v>
      </c>
      <c r="BA1635">
        <v>35</v>
      </c>
      <c r="BB1635">
        <v>4.96</v>
      </c>
      <c r="BC1635">
        <v>36</v>
      </c>
      <c r="BD1635">
        <v>-0.02</v>
      </c>
      <c r="BE1635">
        <v>-0.04</v>
      </c>
      <c r="BF1635">
        <v>-0.14000000000000001</v>
      </c>
      <c r="BG1635">
        <v>53</v>
      </c>
      <c r="BH1635">
        <v>0.05</v>
      </c>
      <c r="BI1635">
        <v>0.86</v>
      </c>
      <c r="BJ1635">
        <v>3</v>
      </c>
      <c r="BK1635">
        <v>3</v>
      </c>
      <c r="BL1635">
        <v>0.76</v>
      </c>
      <c r="BM1635">
        <v>1.4</v>
      </c>
      <c r="BN1635">
        <v>0.51</v>
      </c>
      <c r="BO1635">
        <v>-0.18</v>
      </c>
      <c r="BP1635">
        <v>1.03</v>
      </c>
      <c r="BQ1635">
        <v>1.24</v>
      </c>
      <c r="BR1635">
        <v>-1.96</v>
      </c>
      <c r="BS1635">
        <v>-0.28000000000000003</v>
      </c>
      <c r="BT1635">
        <v>1.42</v>
      </c>
      <c r="BU1635">
        <v>0.42</v>
      </c>
      <c r="BV1635">
        <v>1.49</v>
      </c>
      <c r="BW1635">
        <v>0.21</v>
      </c>
      <c r="BX1635">
        <v>0.67</v>
      </c>
      <c r="BY1635">
        <v>1.42</v>
      </c>
      <c r="BZ1635">
        <v>0.71</v>
      </c>
      <c r="CA1635">
        <v>0.71</v>
      </c>
      <c r="CB1635">
        <v>0.84</v>
      </c>
      <c r="CC1635">
        <v>0.11</v>
      </c>
      <c r="CD1635">
        <v>0.55000000000000004</v>
      </c>
      <c r="CE1635">
        <v>-0.17</v>
      </c>
      <c r="CF1635">
        <v>0.71</v>
      </c>
      <c r="CG1635">
        <v>0</v>
      </c>
      <c r="CH1635">
        <v>-0.66</v>
      </c>
      <c r="CI1635">
        <v>0</v>
      </c>
      <c r="CJ1635">
        <v>-0.4</v>
      </c>
      <c r="CK1635">
        <v>76</v>
      </c>
      <c r="CL1635">
        <v>-0.66</v>
      </c>
      <c r="CM1635">
        <v>72</v>
      </c>
      <c r="CN1635">
        <v>-0.42</v>
      </c>
      <c r="CO1635">
        <v>69</v>
      </c>
      <c r="CP1635">
        <v>5</v>
      </c>
      <c r="CQ1635">
        <v>68</v>
      </c>
      <c r="CR1635">
        <v>0</v>
      </c>
      <c r="CS1635">
        <v>0</v>
      </c>
      <c r="CT1635">
        <v>17.2</v>
      </c>
      <c r="CU1635">
        <v>64</v>
      </c>
      <c r="CV1635">
        <v>0.21</v>
      </c>
      <c r="CW1635">
        <v>26</v>
      </c>
      <c r="CX1635" t="s">
        <v>1380</v>
      </c>
    </row>
    <row r="1636" spans="1:102" x14ac:dyDescent="0.3">
      <c r="A1636" t="str">
        <f>HYPERLINK("https://webapp.icbf.com/v2/app/bull-search/view/529827344","CJU")</f>
        <v>CJU</v>
      </c>
      <c r="B1636" t="s">
        <v>8874</v>
      </c>
      <c r="C1636" t="s">
        <v>8875</v>
      </c>
      <c r="D1636" s="1">
        <v>37578</v>
      </c>
      <c r="E1636" t="s">
        <v>92</v>
      </c>
      <c r="F1636">
        <v>100</v>
      </c>
      <c r="G1636" t="s">
        <v>109</v>
      </c>
      <c r="H1636">
        <v>97.01</v>
      </c>
      <c r="I1636">
        <v>67</v>
      </c>
      <c r="J1636">
        <v>39.56</v>
      </c>
      <c r="K1636">
        <v>78</v>
      </c>
      <c r="L1636">
        <v>12.15</v>
      </c>
      <c r="M1636">
        <v>73</v>
      </c>
      <c r="N1636">
        <v>48.11</v>
      </c>
      <c r="O1636">
        <v>62</v>
      </c>
      <c r="P1636">
        <v>7.2</v>
      </c>
      <c r="Q1636">
        <v>56</v>
      </c>
      <c r="R1636">
        <v>-13.37</v>
      </c>
      <c r="S1636">
        <v>62</v>
      </c>
      <c r="T1636">
        <v>9.31</v>
      </c>
      <c r="U1636">
        <v>39</v>
      </c>
      <c r="V1636">
        <v>-5.95</v>
      </c>
      <c r="W1636">
        <v>29</v>
      </c>
      <c r="X1636" t="s">
        <v>94</v>
      </c>
      <c r="Y1636" t="s">
        <v>270</v>
      </c>
      <c r="Z1636" t="s">
        <v>96</v>
      </c>
      <c r="AA1636" t="s">
        <v>2441</v>
      </c>
      <c r="AB1636" t="s">
        <v>8876</v>
      </c>
      <c r="AC1636">
        <v>0</v>
      </c>
      <c r="AD1636">
        <v>0</v>
      </c>
      <c r="AE1636">
        <v>78</v>
      </c>
      <c r="AF1636">
        <v>134.91</v>
      </c>
      <c r="AG1636">
        <v>1.1100000000000001</v>
      </c>
      <c r="AH1636">
        <v>8.4</v>
      </c>
      <c r="AI1636">
        <v>-7.0000000000000007E-2</v>
      </c>
      <c r="AJ1636">
        <v>0.06</v>
      </c>
      <c r="AK1636">
        <v>73</v>
      </c>
      <c r="AL1636">
        <v>0</v>
      </c>
      <c r="AM1636">
        <v>0</v>
      </c>
      <c r="AN1636">
        <v>0.22</v>
      </c>
      <c r="AO1636">
        <v>1.2</v>
      </c>
      <c r="AP1636">
        <v>21</v>
      </c>
      <c r="AQ1636">
        <v>0</v>
      </c>
      <c r="AR1636">
        <v>3.88</v>
      </c>
      <c r="AS1636">
        <v>42</v>
      </c>
      <c r="AT1636">
        <v>1.94</v>
      </c>
      <c r="AU1636">
        <v>87</v>
      </c>
      <c r="AV1636">
        <v>-3.54</v>
      </c>
      <c r="AW1636">
        <v>68</v>
      </c>
      <c r="AX1636">
        <v>-0.75</v>
      </c>
      <c r="AY1636">
        <v>41</v>
      </c>
      <c r="AZ1636">
        <v>5.93</v>
      </c>
      <c r="BA1636">
        <v>29</v>
      </c>
      <c r="BB1636">
        <v>4.88</v>
      </c>
      <c r="BC1636">
        <v>30</v>
      </c>
      <c r="BD1636">
        <v>0.02</v>
      </c>
      <c r="BE1636">
        <v>0.06</v>
      </c>
      <c r="BF1636">
        <v>0.16</v>
      </c>
      <c r="BG1636">
        <v>86</v>
      </c>
      <c r="BH1636">
        <v>-0.04</v>
      </c>
      <c r="BI1636">
        <v>14.58</v>
      </c>
      <c r="BJ1636">
        <v>3</v>
      </c>
      <c r="BK1636">
        <v>1</v>
      </c>
      <c r="BL1636">
        <v>0.78</v>
      </c>
      <c r="BM1636">
        <v>-2.36</v>
      </c>
      <c r="BN1636">
        <v>-1.53</v>
      </c>
      <c r="BO1636">
        <v>0.22</v>
      </c>
      <c r="BP1636">
        <v>3.49</v>
      </c>
      <c r="BQ1636">
        <v>-2.37</v>
      </c>
      <c r="BR1636">
        <v>-0.28999999999999998</v>
      </c>
      <c r="BS1636">
        <v>0.28999999999999998</v>
      </c>
      <c r="BT1636">
        <v>0.14000000000000001</v>
      </c>
      <c r="BU1636">
        <v>-0.55000000000000004</v>
      </c>
      <c r="BV1636">
        <v>0.24</v>
      </c>
      <c r="BW1636">
        <v>-0.28000000000000003</v>
      </c>
      <c r="BX1636">
        <v>0.83</v>
      </c>
      <c r="BY1636">
        <v>0.24</v>
      </c>
      <c r="BZ1636">
        <v>1.04</v>
      </c>
      <c r="CA1636">
        <v>0.24</v>
      </c>
      <c r="CB1636">
        <v>0.39</v>
      </c>
      <c r="CC1636">
        <v>-0.48</v>
      </c>
      <c r="CD1636">
        <v>-0.99</v>
      </c>
      <c r="CE1636">
        <v>0.59</v>
      </c>
      <c r="CF1636">
        <v>-0.35</v>
      </c>
      <c r="CG1636">
        <v>0</v>
      </c>
      <c r="CH1636">
        <v>-0.38</v>
      </c>
      <c r="CI1636">
        <v>0</v>
      </c>
      <c r="CJ1636">
        <v>6.7</v>
      </c>
      <c r="CK1636">
        <v>59</v>
      </c>
      <c r="CL1636">
        <v>-0.57999999999999996</v>
      </c>
      <c r="CM1636">
        <v>55</v>
      </c>
      <c r="CN1636">
        <v>-0.39</v>
      </c>
      <c r="CO1636">
        <v>52</v>
      </c>
      <c r="CP1636">
        <v>-4.2</v>
      </c>
      <c r="CQ1636">
        <v>49</v>
      </c>
      <c r="CR1636">
        <v>0</v>
      </c>
      <c r="CS1636">
        <v>0</v>
      </c>
      <c r="CT1636">
        <v>1.2</v>
      </c>
      <c r="CU1636">
        <v>39</v>
      </c>
      <c r="CV1636">
        <v>0.33</v>
      </c>
      <c r="CW1636">
        <v>16</v>
      </c>
      <c r="CX1636" t="s">
        <v>265</v>
      </c>
    </row>
    <row r="1637" spans="1:102" x14ac:dyDescent="0.3">
      <c r="A1637" t="str">
        <f>HYPERLINK("https://webapp.icbf.com/v2/app/bull-search/view/1028754199","S1491")</f>
        <v>S1491</v>
      </c>
      <c r="B1637" t="s">
        <v>13219</v>
      </c>
      <c r="C1637" t="s">
        <v>13220</v>
      </c>
      <c r="D1637" s="1">
        <v>40513</v>
      </c>
      <c r="E1637" t="s">
        <v>92</v>
      </c>
      <c r="F1637">
        <v>100</v>
      </c>
      <c r="G1637" t="s">
        <v>109</v>
      </c>
      <c r="H1637">
        <v>96.97</v>
      </c>
      <c r="I1637">
        <v>72</v>
      </c>
      <c r="J1637">
        <v>76.849999999999994</v>
      </c>
      <c r="K1637">
        <v>86</v>
      </c>
      <c r="L1637">
        <v>-28.14</v>
      </c>
      <c r="M1637">
        <v>82</v>
      </c>
      <c r="N1637">
        <v>41.25</v>
      </c>
      <c r="O1637">
        <v>61</v>
      </c>
      <c r="P1637">
        <v>-4.8499999999999996</v>
      </c>
      <c r="Q1637">
        <v>56</v>
      </c>
      <c r="R1637">
        <v>10.99</v>
      </c>
      <c r="S1637">
        <v>64</v>
      </c>
      <c r="T1637">
        <v>-3.42</v>
      </c>
      <c r="U1637">
        <v>29</v>
      </c>
      <c r="V1637">
        <v>4.29</v>
      </c>
      <c r="W1637">
        <v>34</v>
      </c>
      <c r="X1637" t="s">
        <v>102</v>
      </c>
      <c r="Y1637" t="s">
        <v>362</v>
      </c>
      <c r="Z1637" t="s">
        <v>96</v>
      </c>
      <c r="AA1637" t="s">
        <v>1924</v>
      </c>
      <c r="AB1637" t="s">
        <v>2145</v>
      </c>
      <c r="AC1637">
        <v>0</v>
      </c>
      <c r="AD1637">
        <v>0</v>
      </c>
      <c r="AE1637">
        <v>86</v>
      </c>
      <c r="AF1637">
        <v>531.82000000000005</v>
      </c>
      <c r="AG1637">
        <v>17.78</v>
      </c>
      <c r="AH1637">
        <v>14.92</v>
      </c>
      <c r="AI1637">
        <v>-0.05</v>
      </c>
      <c r="AJ1637">
        <v>-0.05</v>
      </c>
      <c r="AK1637">
        <v>82</v>
      </c>
      <c r="AL1637">
        <v>0</v>
      </c>
      <c r="AM1637">
        <v>0</v>
      </c>
      <c r="AN1637">
        <v>2.63</v>
      </c>
      <c r="AO1637">
        <v>0.4</v>
      </c>
      <c r="AP1637">
        <v>31</v>
      </c>
      <c r="AQ1637">
        <v>0</v>
      </c>
      <c r="AR1637">
        <v>5.68</v>
      </c>
      <c r="AS1637">
        <v>60</v>
      </c>
      <c r="AT1637">
        <v>2.62</v>
      </c>
      <c r="AU1637">
        <v>93</v>
      </c>
      <c r="AV1637">
        <v>-3.45</v>
      </c>
      <c r="AW1637">
        <v>58</v>
      </c>
      <c r="AX1637">
        <v>-0.84</v>
      </c>
      <c r="AY1637">
        <v>55</v>
      </c>
      <c r="AZ1637">
        <v>5.87</v>
      </c>
      <c r="BA1637">
        <v>33</v>
      </c>
      <c r="BB1637">
        <v>4.5599999999999996</v>
      </c>
      <c r="BC1637">
        <v>25</v>
      </c>
      <c r="BD1637">
        <v>-0.01</v>
      </c>
      <c r="BE1637">
        <v>-0.04</v>
      </c>
      <c r="BF1637">
        <v>-0.16</v>
      </c>
      <c r="BG1637">
        <v>91</v>
      </c>
      <c r="BH1637">
        <v>-0.08</v>
      </c>
      <c r="BI1637">
        <v>-23.08</v>
      </c>
      <c r="BJ1637">
        <v>15</v>
      </c>
      <c r="BK1637">
        <v>6</v>
      </c>
      <c r="BL1637">
        <v>1.66</v>
      </c>
      <c r="BM1637">
        <v>1.07</v>
      </c>
      <c r="BN1637">
        <v>0.7</v>
      </c>
      <c r="BO1637">
        <v>0.71</v>
      </c>
      <c r="BP1637">
        <v>-0.86</v>
      </c>
      <c r="BQ1637">
        <v>2.63</v>
      </c>
      <c r="BR1637">
        <v>0.6</v>
      </c>
      <c r="BS1637">
        <v>1</v>
      </c>
      <c r="BT1637">
        <v>0.34</v>
      </c>
      <c r="BU1637">
        <v>2.9</v>
      </c>
      <c r="BV1637">
        <v>2.5499999999999998</v>
      </c>
      <c r="BW1637">
        <v>2.64</v>
      </c>
      <c r="BX1637">
        <v>2.56</v>
      </c>
      <c r="BY1637">
        <v>3.18</v>
      </c>
      <c r="BZ1637">
        <v>2.06</v>
      </c>
      <c r="CA1637">
        <v>2.82</v>
      </c>
      <c r="CB1637">
        <v>2.4300000000000002</v>
      </c>
      <c r="CC1637">
        <v>2.27</v>
      </c>
      <c r="CD1637">
        <v>0.2</v>
      </c>
      <c r="CE1637">
        <v>0.9</v>
      </c>
      <c r="CF1637">
        <v>2.19</v>
      </c>
      <c r="CG1637">
        <v>0</v>
      </c>
      <c r="CH1637">
        <v>2.72</v>
      </c>
      <c r="CI1637">
        <v>0</v>
      </c>
      <c r="CJ1637">
        <v>-0.6</v>
      </c>
      <c r="CK1637">
        <v>60</v>
      </c>
      <c r="CL1637">
        <v>-0.87</v>
      </c>
      <c r="CM1637">
        <v>56</v>
      </c>
      <c r="CN1637">
        <v>-0.38</v>
      </c>
      <c r="CO1637">
        <v>54</v>
      </c>
      <c r="CP1637">
        <v>3.4</v>
      </c>
      <c r="CQ1637">
        <v>37</v>
      </c>
      <c r="CR1637">
        <v>0</v>
      </c>
      <c r="CS1637">
        <v>0</v>
      </c>
      <c r="CT1637">
        <v>18.399999999999999</v>
      </c>
      <c r="CU1637">
        <v>29</v>
      </c>
      <c r="CV1637">
        <v>0.26</v>
      </c>
      <c r="CW1637">
        <v>18</v>
      </c>
      <c r="CX1637" t="s">
        <v>1962</v>
      </c>
    </row>
    <row r="1638" spans="1:102" x14ac:dyDescent="0.3">
      <c r="A1638" t="str">
        <f>HYPERLINK("https://webapp.icbf.com/v2/app/bull-search/view/69092047","JVA")</f>
        <v>JVA</v>
      </c>
      <c r="B1638" t="s">
        <v>708</v>
      </c>
      <c r="C1638" t="s">
        <v>709</v>
      </c>
      <c r="D1638" s="1">
        <v>31651</v>
      </c>
      <c r="E1638" t="s">
        <v>227</v>
      </c>
      <c r="F1638">
        <v>0</v>
      </c>
      <c r="G1638" t="s">
        <v>109</v>
      </c>
      <c r="H1638">
        <v>96.82</v>
      </c>
      <c r="I1638">
        <v>56</v>
      </c>
      <c r="J1638">
        <v>-18.84</v>
      </c>
      <c r="K1638">
        <v>66</v>
      </c>
      <c r="L1638">
        <v>89.94</v>
      </c>
      <c r="M1638">
        <v>60</v>
      </c>
      <c r="N1638">
        <v>17.38</v>
      </c>
      <c r="O1638">
        <v>37</v>
      </c>
      <c r="P1638">
        <v>-42.6</v>
      </c>
      <c r="Q1638">
        <v>59</v>
      </c>
      <c r="R1638">
        <v>3.83</v>
      </c>
      <c r="S1638">
        <v>35</v>
      </c>
      <c r="T1638">
        <v>45.65</v>
      </c>
      <c r="U1638">
        <v>41</v>
      </c>
      <c r="V1638">
        <v>1.46</v>
      </c>
      <c r="W1638">
        <v>23</v>
      </c>
      <c r="X1638" t="s">
        <v>110</v>
      </c>
      <c r="Y1638" t="s">
        <v>95</v>
      </c>
      <c r="Z1638">
        <v>0</v>
      </c>
      <c r="AA1638" t="s">
        <v>710</v>
      </c>
      <c r="AB1638" t="s">
        <v>711</v>
      </c>
      <c r="AC1638">
        <v>0</v>
      </c>
      <c r="AD1638">
        <v>0</v>
      </c>
      <c r="AE1638">
        <v>66</v>
      </c>
      <c r="AF1638">
        <v>-782.38</v>
      </c>
      <c r="AG1638">
        <v>0.68</v>
      </c>
      <c r="AH1638">
        <v>-15.42</v>
      </c>
      <c r="AI1638">
        <v>0.59</v>
      </c>
      <c r="AJ1638">
        <v>0.22</v>
      </c>
      <c r="AK1638">
        <v>60</v>
      </c>
      <c r="AL1638">
        <v>0</v>
      </c>
      <c r="AM1638">
        <v>0</v>
      </c>
      <c r="AN1638">
        <v>-4.3099999999999996</v>
      </c>
      <c r="AO1638">
        <v>2.87</v>
      </c>
      <c r="AP1638">
        <v>5</v>
      </c>
      <c r="AQ1638">
        <v>0</v>
      </c>
      <c r="AR1638">
        <v>3.52</v>
      </c>
      <c r="AS1638">
        <v>19</v>
      </c>
      <c r="AT1638">
        <v>2.15</v>
      </c>
      <c r="AU1638">
        <v>19</v>
      </c>
      <c r="AV1638">
        <v>-0.83</v>
      </c>
      <c r="AW1638">
        <v>58</v>
      </c>
      <c r="AX1638">
        <v>1.85</v>
      </c>
      <c r="AY1638">
        <v>45</v>
      </c>
      <c r="AZ1638">
        <v>6.53</v>
      </c>
      <c r="BA1638">
        <v>9</v>
      </c>
      <c r="BB1638">
        <v>5.09</v>
      </c>
      <c r="BC1638">
        <v>17</v>
      </c>
      <c r="BD1638">
        <v>-0.03</v>
      </c>
      <c r="BE1638">
        <v>-0.02</v>
      </c>
      <c r="BF1638">
        <v>0</v>
      </c>
      <c r="BG1638">
        <v>44</v>
      </c>
      <c r="BH1638">
        <v>0.09</v>
      </c>
      <c r="BI1638">
        <v>5.7</v>
      </c>
      <c r="BJ1638">
        <v>1</v>
      </c>
      <c r="BK1638">
        <v>1</v>
      </c>
      <c r="BL1638">
        <v>-2.36</v>
      </c>
      <c r="BM1638">
        <v>-1.79</v>
      </c>
      <c r="BN1638">
        <v>-0.67</v>
      </c>
      <c r="BO1638">
        <v>0.87</v>
      </c>
      <c r="BP1638">
        <v>-1.39</v>
      </c>
      <c r="BQ1638">
        <v>-6.25</v>
      </c>
      <c r="BR1638">
        <v>2.19</v>
      </c>
      <c r="BS1638">
        <v>6.3</v>
      </c>
      <c r="BT1638">
        <v>-1.26</v>
      </c>
      <c r="BU1638">
        <v>0.7</v>
      </c>
      <c r="BV1638">
        <v>0.83</v>
      </c>
      <c r="BW1638">
        <v>-1.24</v>
      </c>
      <c r="BX1638">
        <v>-1.97</v>
      </c>
      <c r="BY1638">
        <v>0.5</v>
      </c>
      <c r="BZ1638">
        <v>0.54</v>
      </c>
      <c r="CA1638">
        <v>1.83</v>
      </c>
      <c r="CB1638">
        <v>0.31</v>
      </c>
      <c r="CC1638">
        <v>4.05</v>
      </c>
      <c r="CD1638">
        <v>-2</v>
      </c>
      <c r="CE1638">
        <v>0.62</v>
      </c>
      <c r="CF1638">
        <v>-2.4700000000000002</v>
      </c>
      <c r="CG1638">
        <v>0</v>
      </c>
      <c r="CH1638">
        <v>-0.27</v>
      </c>
      <c r="CI1638">
        <v>0</v>
      </c>
      <c r="CJ1638">
        <v>-21.6</v>
      </c>
      <c r="CK1638">
        <v>62</v>
      </c>
      <c r="CL1638">
        <v>-0.76</v>
      </c>
      <c r="CM1638">
        <v>56</v>
      </c>
      <c r="CN1638">
        <v>-0.01</v>
      </c>
      <c r="CO1638">
        <v>52</v>
      </c>
      <c r="CP1638">
        <v>-33.799999999999997</v>
      </c>
      <c r="CQ1638">
        <v>59</v>
      </c>
      <c r="CR1638">
        <v>0</v>
      </c>
      <c r="CS1638">
        <v>0</v>
      </c>
      <c r="CT1638">
        <v>-47.9</v>
      </c>
      <c r="CU1638">
        <v>41</v>
      </c>
      <c r="CV1638">
        <v>-0.23</v>
      </c>
      <c r="CW1638">
        <v>15</v>
      </c>
      <c r="CX1638" t="s">
        <v>712</v>
      </c>
    </row>
    <row r="1639" spans="1:102" x14ac:dyDescent="0.3">
      <c r="A1639" t="str">
        <f>HYPERLINK("https://webapp.icbf.com/v2/app/bull-search/view/487000834","HTH")</f>
        <v>HTH</v>
      </c>
      <c r="B1639" t="s">
        <v>4820</v>
      </c>
      <c r="C1639" t="s">
        <v>4821</v>
      </c>
      <c r="D1639" s="1">
        <v>38591</v>
      </c>
      <c r="E1639" t="s">
        <v>108</v>
      </c>
      <c r="F1639">
        <v>38</v>
      </c>
      <c r="G1639" t="s">
        <v>93</v>
      </c>
      <c r="H1639">
        <v>96.79</v>
      </c>
      <c r="I1639">
        <v>97</v>
      </c>
      <c r="J1639">
        <v>66.569999999999993</v>
      </c>
      <c r="K1639">
        <v>99</v>
      </c>
      <c r="L1639">
        <v>37.57</v>
      </c>
      <c r="M1639">
        <v>93</v>
      </c>
      <c r="N1639">
        <v>-20.28</v>
      </c>
      <c r="O1639">
        <v>98</v>
      </c>
      <c r="P1639">
        <v>-16.05</v>
      </c>
      <c r="Q1639">
        <v>99</v>
      </c>
      <c r="R1639">
        <v>2.86</v>
      </c>
      <c r="S1639">
        <v>95</v>
      </c>
      <c r="T1639">
        <v>20.04</v>
      </c>
      <c r="U1639">
        <v>98</v>
      </c>
      <c r="V1639">
        <v>6.08</v>
      </c>
      <c r="W1639">
        <v>96</v>
      </c>
      <c r="X1639" t="s">
        <v>276</v>
      </c>
      <c r="Y1639" t="s">
        <v>435</v>
      </c>
      <c r="Z1639" t="s">
        <v>330</v>
      </c>
      <c r="AA1639" t="s">
        <v>4822</v>
      </c>
      <c r="AB1639" t="s">
        <v>4823</v>
      </c>
      <c r="AC1639">
        <v>873</v>
      </c>
      <c r="AD1639">
        <v>330</v>
      </c>
      <c r="AE1639">
        <v>99</v>
      </c>
      <c r="AF1639">
        <v>-82.94</v>
      </c>
      <c r="AG1639">
        <v>7.13</v>
      </c>
      <c r="AH1639">
        <v>7.53</v>
      </c>
      <c r="AI1639">
        <v>0.18</v>
      </c>
      <c r="AJ1639">
        <v>0.18</v>
      </c>
      <c r="AK1639">
        <v>93</v>
      </c>
      <c r="AL1639">
        <v>1050</v>
      </c>
      <c r="AM1639">
        <v>422</v>
      </c>
      <c r="AN1639">
        <v>-2.5499999999999998</v>
      </c>
      <c r="AO1639">
        <v>0.44</v>
      </c>
      <c r="AP1639">
        <v>1982</v>
      </c>
      <c r="AQ1639">
        <v>12</v>
      </c>
      <c r="AR1639">
        <v>12.84</v>
      </c>
      <c r="AS1639">
        <v>96</v>
      </c>
      <c r="AT1639">
        <v>4.51</v>
      </c>
      <c r="AU1639">
        <v>98</v>
      </c>
      <c r="AV1639">
        <v>-1.1399999999999999</v>
      </c>
      <c r="AW1639">
        <v>99</v>
      </c>
      <c r="AX1639">
        <v>0.32</v>
      </c>
      <c r="AY1639">
        <v>97</v>
      </c>
      <c r="AZ1639">
        <v>5.69</v>
      </c>
      <c r="BA1639">
        <v>93</v>
      </c>
      <c r="BB1639">
        <v>4.5599999999999996</v>
      </c>
      <c r="BC1639">
        <v>94</v>
      </c>
      <c r="BD1639">
        <v>-0.04</v>
      </c>
      <c r="BE1639">
        <v>-0.01</v>
      </c>
      <c r="BF1639">
        <v>0.02</v>
      </c>
      <c r="BG1639">
        <v>98</v>
      </c>
      <c r="BH1639">
        <v>0.16</v>
      </c>
      <c r="BI1639">
        <v>-1.1000000000000001</v>
      </c>
      <c r="BJ1639">
        <v>5</v>
      </c>
      <c r="BK1639">
        <v>5</v>
      </c>
      <c r="BL1639">
        <v>-1.93</v>
      </c>
      <c r="BM1639">
        <v>0.71</v>
      </c>
      <c r="BN1639">
        <v>-1.19</v>
      </c>
      <c r="BO1639">
        <v>-2.0499999999999998</v>
      </c>
      <c r="BP1639">
        <v>-0.22</v>
      </c>
      <c r="BQ1639">
        <v>-1.51</v>
      </c>
      <c r="BR1639">
        <v>2.9</v>
      </c>
      <c r="BS1639">
        <v>-1.92</v>
      </c>
      <c r="BT1639">
        <v>-2.67</v>
      </c>
      <c r="BU1639">
        <v>-7.0000000000000007E-2</v>
      </c>
      <c r="BV1639">
        <v>-1.36</v>
      </c>
      <c r="BW1639">
        <v>-1.49</v>
      </c>
      <c r="BX1639">
        <v>-2.1</v>
      </c>
      <c r="BY1639">
        <v>-0.89</v>
      </c>
      <c r="BZ1639">
        <v>2.54</v>
      </c>
      <c r="CA1639">
        <v>-1.1299999999999999</v>
      </c>
      <c r="CB1639">
        <v>-0.93</v>
      </c>
      <c r="CC1639">
        <v>-1.95</v>
      </c>
      <c r="CD1639">
        <v>2.17</v>
      </c>
      <c r="CE1639">
        <v>-2.12</v>
      </c>
      <c r="CF1639">
        <v>-1.79</v>
      </c>
      <c r="CG1639">
        <v>0</v>
      </c>
      <c r="CH1639">
        <v>-0.49</v>
      </c>
      <c r="CI1639">
        <v>0</v>
      </c>
      <c r="CJ1639">
        <v>-6.8</v>
      </c>
      <c r="CK1639">
        <v>99</v>
      </c>
      <c r="CL1639">
        <v>-0.75</v>
      </c>
      <c r="CM1639">
        <v>99</v>
      </c>
      <c r="CN1639">
        <v>-0.28000000000000003</v>
      </c>
      <c r="CO1639">
        <v>99</v>
      </c>
      <c r="CP1639">
        <v>-14.7</v>
      </c>
      <c r="CQ1639">
        <v>98</v>
      </c>
      <c r="CR1639">
        <v>0</v>
      </c>
      <c r="CS1639">
        <v>0</v>
      </c>
      <c r="CT1639">
        <v>-13.3</v>
      </c>
      <c r="CU1639">
        <v>98</v>
      </c>
      <c r="CV1639">
        <v>0.23</v>
      </c>
      <c r="CW1639">
        <v>47</v>
      </c>
      <c r="CX1639" t="s">
        <v>4292</v>
      </c>
    </row>
    <row r="1640" spans="1:102" x14ac:dyDescent="0.3">
      <c r="A1640" t="str">
        <f>HYPERLINK("https://webapp.icbf.com/v2/app/bull-search/view/1034602869","YSP")</f>
        <v>YSP</v>
      </c>
      <c r="B1640" t="s">
        <v>6982</v>
      </c>
      <c r="C1640" t="s">
        <v>6555</v>
      </c>
      <c r="D1640" s="1">
        <v>39745</v>
      </c>
      <c r="E1640" t="s">
        <v>108</v>
      </c>
      <c r="F1640">
        <v>0</v>
      </c>
      <c r="G1640" t="s">
        <v>93</v>
      </c>
      <c r="H1640">
        <v>96.77</v>
      </c>
      <c r="I1640">
        <v>83</v>
      </c>
      <c r="J1640">
        <v>-21.97</v>
      </c>
      <c r="K1640">
        <v>95</v>
      </c>
      <c r="L1640">
        <v>80.849999999999994</v>
      </c>
      <c r="M1640">
        <v>77</v>
      </c>
      <c r="N1640">
        <v>33.78</v>
      </c>
      <c r="O1640">
        <v>84</v>
      </c>
      <c r="P1640">
        <v>-9.59</v>
      </c>
      <c r="Q1640">
        <v>91</v>
      </c>
      <c r="R1640">
        <v>7.7</v>
      </c>
      <c r="S1640">
        <v>75</v>
      </c>
      <c r="T1640">
        <v>7.24</v>
      </c>
      <c r="U1640">
        <v>66</v>
      </c>
      <c r="V1640">
        <v>-1.24</v>
      </c>
      <c r="W1640">
        <v>68</v>
      </c>
      <c r="X1640" t="s">
        <v>94</v>
      </c>
      <c r="Y1640" t="s">
        <v>329</v>
      </c>
      <c r="Z1640" t="s">
        <v>96</v>
      </c>
      <c r="AA1640" t="s">
        <v>1129</v>
      </c>
      <c r="AB1640" t="s">
        <v>6983</v>
      </c>
      <c r="AC1640">
        <v>77</v>
      </c>
      <c r="AD1640">
        <v>27</v>
      </c>
      <c r="AE1640">
        <v>95</v>
      </c>
      <c r="AF1640">
        <v>-69.77</v>
      </c>
      <c r="AG1640">
        <v>-1</v>
      </c>
      <c r="AH1640">
        <v>-4.45</v>
      </c>
      <c r="AI1640">
        <v>0.03</v>
      </c>
      <c r="AJ1640">
        <v>-0.04</v>
      </c>
      <c r="AK1640">
        <v>77</v>
      </c>
      <c r="AL1640">
        <v>0</v>
      </c>
      <c r="AM1640">
        <v>0</v>
      </c>
      <c r="AN1640">
        <v>-4.2300000000000004</v>
      </c>
      <c r="AO1640">
        <v>2.2200000000000002</v>
      </c>
      <c r="AP1640">
        <v>263</v>
      </c>
      <c r="AQ1640">
        <v>2</v>
      </c>
      <c r="AR1640">
        <v>7.48</v>
      </c>
      <c r="AS1640">
        <v>72</v>
      </c>
      <c r="AT1640">
        <v>3.38</v>
      </c>
      <c r="AU1640">
        <v>89</v>
      </c>
      <c r="AV1640">
        <v>-4.63</v>
      </c>
      <c r="AW1640">
        <v>96</v>
      </c>
      <c r="AX1640">
        <v>0.33</v>
      </c>
      <c r="AY1640">
        <v>86</v>
      </c>
      <c r="AZ1640">
        <v>6.6</v>
      </c>
      <c r="BA1640">
        <v>62</v>
      </c>
      <c r="BB1640">
        <v>4.99</v>
      </c>
      <c r="BC1640">
        <v>48</v>
      </c>
      <c r="BD1640">
        <v>-0.03</v>
      </c>
      <c r="BE1640">
        <v>-0.03</v>
      </c>
      <c r="BF1640">
        <v>-7.0000000000000007E-2</v>
      </c>
      <c r="BG1640">
        <v>89</v>
      </c>
      <c r="BH1640">
        <v>0.01</v>
      </c>
      <c r="BI1640">
        <v>5.15</v>
      </c>
      <c r="BJ1640">
        <v>9</v>
      </c>
      <c r="BK1640">
        <v>6</v>
      </c>
      <c r="BL1640">
        <v>-2.12</v>
      </c>
      <c r="BM1640">
        <v>1.75</v>
      </c>
      <c r="BN1640">
        <v>-1.38</v>
      </c>
      <c r="BO1640">
        <v>-1.83</v>
      </c>
      <c r="BP1640">
        <v>-1.25</v>
      </c>
      <c r="BQ1640">
        <v>2.2200000000000002</v>
      </c>
      <c r="BR1640">
        <v>-3.5</v>
      </c>
      <c r="BS1640">
        <v>0.98</v>
      </c>
      <c r="BT1640">
        <v>4.38</v>
      </c>
      <c r="BU1640">
        <v>-0.55000000000000004</v>
      </c>
      <c r="BV1640">
        <v>-0.39</v>
      </c>
      <c r="BW1640">
        <v>-0.38</v>
      </c>
      <c r="BX1640">
        <v>-0.51</v>
      </c>
      <c r="BY1640">
        <v>-0.33</v>
      </c>
      <c r="BZ1640">
        <v>-1.92</v>
      </c>
      <c r="CA1640">
        <v>-0.28000000000000003</v>
      </c>
      <c r="CB1640">
        <v>-0.32</v>
      </c>
      <c r="CC1640">
        <v>-7.0000000000000007E-2</v>
      </c>
      <c r="CD1640">
        <v>1.8</v>
      </c>
      <c r="CE1640">
        <v>-1.87</v>
      </c>
      <c r="CF1640">
        <v>-0.71</v>
      </c>
      <c r="CG1640">
        <v>0</v>
      </c>
      <c r="CH1640">
        <v>-0.15</v>
      </c>
      <c r="CI1640">
        <v>0</v>
      </c>
      <c r="CJ1640">
        <v>-3.6</v>
      </c>
      <c r="CK1640">
        <v>94</v>
      </c>
      <c r="CL1640">
        <v>-0.3</v>
      </c>
      <c r="CM1640">
        <v>92</v>
      </c>
      <c r="CN1640">
        <v>0.05</v>
      </c>
      <c r="CO1640">
        <v>91</v>
      </c>
      <c r="CP1640">
        <v>-6.3</v>
      </c>
      <c r="CQ1640">
        <v>69</v>
      </c>
      <c r="CR1640">
        <v>0</v>
      </c>
      <c r="CS1640">
        <v>0</v>
      </c>
      <c r="CT1640">
        <v>4</v>
      </c>
      <c r="CU1640">
        <v>66</v>
      </c>
      <c r="CV1640">
        <v>0.08</v>
      </c>
      <c r="CW1640">
        <v>45</v>
      </c>
      <c r="CX1640" t="s">
        <v>1543</v>
      </c>
    </row>
    <row r="1641" spans="1:102" x14ac:dyDescent="0.3">
      <c r="A1641" t="str">
        <f>HYPERLINK("https://webapp.icbf.com/v2/app/bull-search/view/747623207","RLM")</f>
        <v>RLM</v>
      </c>
      <c r="B1641" t="s">
        <v>12851</v>
      </c>
      <c r="C1641" t="s">
        <v>12852</v>
      </c>
      <c r="D1641" s="1">
        <v>39130</v>
      </c>
      <c r="E1641" t="s">
        <v>108</v>
      </c>
      <c r="F1641">
        <v>0</v>
      </c>
      <c r="G1641" t="s">
        <v>93</v>
      </c>
      <c r="H1641">
        <v>96.73</v>
      </c>
      <c r="I1641">
        <v>92</v>
      </c>
      <c r="J1641">
        <v>-11</v>
      </c>
      <c r="K1641">
        <v>98</v>
      </c>
      <c r="L1641">
        <v>89.32</v>
      </c>
      <c r="M1641">
        <v>87</v>
      </c>
      <c r="N1641">
        <v>19.21</v>
      </c>
      <c r="O1641">
        <v>94</v>
      </c>
      <c r="P1641">
        <v>-30.76</v>
      </c>
      <c r="Q1641">
        <v>98</v>
      </c>
      <c r="R1641">
        <v>9.89</v>
      </c>
      <c r="S1641">
        <v>85</v>
      </c>
      <c r="T1641">
        <v>24.85</v>
      </c>
      <c r="U1641">
        <v>94</v>
      </c>
      <c r="V1641">
        <v>-4.78</v>
      </c>
      <c r="W1641">
        <v>81</v>
      </c>
      <c r="X1641" t="s">
        <v>276</v>
      </c>
      <c r="Y1641" t="s">
        <v>329</v>
      </c>
      <c r="Z1641" t="s">
        <v>96</v>
      </c>
      <c r="AA1641" t="s">
        <v>4492</v>
      </c>
      <c r="AB1641" t="s">
        <v>9930</v>
      </c>
      <c r="AC1641">
        <v>300</v>
      </c>
      <c r="AD1641">
        <v>107</v>
      </c>
      <c r="AE1641">
        <v>98</v>
      </c>
      <c r="AF1641">
        <v>-152.02000000000001</v>
      </c>
      <c r="AG1641">
        <v>-0.84</v>
      </c>
      <c r="AH1641">
        <v>-3.9</v>
      </c>
      <c r="AI1641">
        <v>0.09</v>
      </c>
      <c r="AJ1641">
        <v>0.02</v>
      </c>
      <c r="AK1641">
        <v>87</v>
      </c>
      <c r="AL1641">
        <v>455</v>
      </c>
      <c r="AM1641">
        <v>174</v>
      </c>
      <c r="AN1641">
        <v>-5.14</v>
      </c>
      <c r="AO1641">
        <v>1.98</v>
      </c>
      <c r="AP1641">
        <v>691</v>
      </c>
      <c r="AQ1641">
        <v>4</v>
      </c>
      <c r="AR1641">
        <v>7.8</v>
      </c>
      <c r="AS1641">
        <v>91</v>
      </c>
      <c r="AT1641">
        <v>2.63</v>
      </c>
      <c r="AU1641">
        <v>95</v>
      </c>
      <c r="AV1641">
        <v>-1.78</v>
      </c>
      <c r="AW1641">
        <v>99</v>
      </c>
      <c r="AX1641">
        <v>-0.48</v>
      </c>
      <c r="AY1641">
        <v>94</v>
      </c>
      <c r="AZ1641">
        <v>6.54</v>
      </c>
      <c r="BA1641">
        <v>85</v>
      </c>
      <c r="BB1641">
        <v>4.9400000000000004</v>
      </c>
      <c r="BC1641">
        <v>84</v>
      </c>
      <c r="BD1641">
        <v>-0.02</v>
      </c>
      <c r="BE1641">
        <v>-0.06</v>
      </c>
      <c r="BF1641">
        <v>-0.08</v>
      </c>
      <c r="BG1641">
        <v>94</v>
      </c>
      <c r="BH1641">
        <v>-0.17</v>
      </c>
      <c r="BI1641">
        <v>-4.26</v>
      </c>
      <c r="BJ1641">
        <v>3</v>
      </c>
      <c r="BK1641">
        <v>3</v>
      </c>
      <c r="BL1641">
        <v>-3.16</v>
      </c>
      <c r="BM1641">
        <v>1.63</v>
      </c>
      <c r="BN1641">
        <v>-1.51</v>
      </c>
      <c r="BO1641">
        <v>-2.17</v>
      </c>
      <c r="BP1641">
        <v>-0.89</v>
      </c>
      <c r="BQ1641">
        <v>-0.86</v>
      </c>
      <c r="BR1641">
        <v>-1.2</v>
      </c>
      <c r="BS1641">
        <v>1.71</v>
      </c>
      <c r="BT1641">
        <v>0.28000000000000003</v>
      </c>
      <c r="BU1641">
        <v>-1.62</v>
      </c>
      <c r="BV1641">
        <v>-2.2000000000000002</v>
      </c>
      <c r="BW1641">
        <v>-1.32</v>
      </c>
      <c r="BX1641">
        <v>-1.63</v>
      </c>
      <c r="BY1641">
        <v>-1.78</v>
      </c>
      <c r="BZ1641">
        <v>1.1599999999999999</v>
      </c>
      <c r="CA1641">
        <v>-1.34</v>
      </c>
      <c r="CB1641">
        <v>-1.89</v>
      </c>
      <c r="CC1641">
        <v>0.47</v>
      </c>
      <c r="CD1641">
        <v>2.36</v>
      </c>
      <c r="CE1641">
        <v>-2.5099999999999998</v>
      </c>
      <c r="CF1641">
        <v>-3.04</v>
      </c>
      <c r="CG1641">
        <v>0</v>
      </c>
      <c r="CH1641">
        <v>-1.77</v>
      </c>
      <c r="CI1641">
        <v>0</v>
      </c>
      <c r="CJ1641">
        <v>-15.9</v>
      </c>
      <c r="CK1641">
        <v>99</v>
      </c>
      <c r="CL1641">
        <v>-0.33</v>
      </c>
      <c r="CM1641">
        <v>98</v>
      </c>
      <c r="CN1641">
        <v>0.27</v>
      </c>
      <c r="CO1641">
        <v>98</v>
      </c>
      <c r="CP1641">
        <v>-15</v>
      </c>
      <c r="CQ1641">
        <v>94</v>
      </c>
      <c r="CR1641">
        <v>0</v>
      </c>
      <c r="CS1641">
        <v>0</v>
      </c>
      <c r="CT1641">
        <v>-19.8</v>
      </c>
      <c r="CU1641">
        <v>94</v>
      </c>
      <c r="CV1641">
        <v>-0.15</v>
      </c>
      <c r="CW1641">
        <v>47</v>
      </c>
      <c r="CX1641" t="s">
        <v>4235</v>
      </c>
    </row>
    <row r="1642" spans="1:102" x14ac:dyDescent="0.3">
      <c r="A1642" t="str">
        <f>HYPERLINK("https://webapp.icbf.com/v2/app/bull-search/view/586144253","S1163")</f>
        <v>S1163</v>
      </c>
      <c r="B1642" t="s">
        <v>12937</v>
      </c>
      <c r="C1642" t="s">
        <v>12938</v>
      </c>
      <c r="D1642" s="1">
        <v>38775</v>
      </c>
      <c r="E1642" t="s">
        <v>92</v>
      </c>
      <c r="F1642">
        <v>100</v>
      </c>
      <c r="G1642" t="s">
        <v>93</v>
      </c>
      <c r="H1642">
        <v>96.58</v>
      </c>
      <c r="I1642">
        <v>96</v>
      </c>
      <c r="J1642">
        <v>57.14</v>
      </c>
      <c r="K1642">
        <v>99</v>
      </c>
      <c r="L1642">
        <v>27.66</v>
      </c>
      <c r="M1642">
        <v>93</v>
      </c>
      <c r="N1642">
        <v>16.43</v>
      </c>
      <c r="O1642">
        <v>98</v>
      </c>
      <c r="P1642">
        <v>-1.85</v>
      </c>
      <c r="Q1642">
        <v>99</v>
      </c>
      <c r="R1642">
        <v>6.25</v>
      </c>
      <c r="S1642">
        <v>93</v>
      </c>
      <c r="T1642">
        <v>-9.48</v>
      </c>
      <c r="U1642">
        <v>97</v>
      </c>
      <c r="V1642">
        <v>0.43</v>
      </c>
      <c r="W1642">
        <v>84</v>
      </c>
      <c r="X1642" t="s">
        <v>94</v>
      </c>
      <c r="Y1642" t="s">
        <v>336</v>
      </c>
      <c r="Z1642" t="s">
        <v>96</v>
      </c>
      <c r="AA1642" t="s">
        <v>350</v>
      </c>
      <c r="AB1642" t="s">
        <v>12939</v>
      </c>
      <c r="AC1642">
        <v>2434</v>
      </c>
      <c r="AD1642">
        <v>481</v>
      </c>
      <c r="AE1642">
        <v>99</v>
      </c>
      <c r="AF1642">
        <v>318.79000000000002</v>
      </c>
      <c r="AG1642">
        <v>8.5</v>
      </c>
      <c r="AH1642">
        <v>11.59</v>
      </c>
      <c r="AI1642">
        <v>-7.0000000000000007E-2</v>
      </c>
      <c r="AJ1642">
        <v>0.01</v>
      </c>
      <c r="AK1642">
        <v>93</v>
      </c>
      <c r="AL1642">
        <v>2337</v>
      </c>
      <c r="AM1642">
        <v>495</v>
      </c>
      <c r="AN1642">
        <v>-1.18</v>
      </c>
      <c r="AO1642">
        <v>1.03</v>
      </c>
      <c r="AP1642">
        <v>3854</v>
      </c>
      <c r="AQ1642">
        <v>11</v>
      </c>
      <c r="AR1642">
        <v>6.76</v>
      </c>
      <c r="AS1642">
        <v>99</v>
      </c>
      <c r="AT1642">
        <v>3.21</v>
      </c>
      <c r="AU1642">
        <v>99</v>
      </c>
      <c r="AV1642">
        <v>-1.94</v>
      </c>
      <c r="AW1642">
        <v>99</v>
      </c>
      <c r="AX1642">
        <v>0.1</v>
      </c>
      <c r="AY1642">
        <v>99</v>
      </c>
      <c r="AZ1642">
        <v>6.58</v>
      </c>
      <c r="BA1642">
        <v>96</v>
      </c>
      <c r="BB1642">
        <v>4.9800000000000004</v>
      </c>
      <c r="BC1642">
        <v>94</v>
      </c>
      <c r="BD1642">
        <v>0.02</v>
      </c>
      <c r="BE1642">
        <v>-0.03</v>
      </c>
      <c r="BF1642">
        <v>-0.12</v>
      </c>
      <c r="BG1642">
        <v>99</v>
      </c>
      <c r="BH1642">
        <v>0.18</v>
      </c>
      <c r="BI1642">
        <v>19.45</v>
      </c>
      <c r="BJ1642">
        <v>800</v>
      </c>
      <c r="BK1642">
        <v>213</v>
      </c>
      <c r="BL1642">
        <v>1.63</v>
      </c>
      <c r="BM1642">
        <v>-0.45</v>
      </c>
      <c r="BN1642">
        <v>0.86</v>
      </c>
      <c r="BO1642">
        <v>1.03</v>
      </c>
      <c r="BP1642">
        <v>0.57999999999999996</v>
      </c>
      <c r="BQ1642">
        <v>2.4</v>
      </c>
      <c r="BR1642">
        <v>0.46</v>
      </c>
      <c r="BS1642">
        <v>2.93</v>
      </c>
      <c r="BT1642">
        <v>0.31</v>
      </c>
      <c r="BU1642">
        <v>1.81</v>
      </c>
      <c r="BV1642">
        <v>2.2200000000000002</v>
      </c>
      <c r="BW1642">
        <v>2.44</v>
      </c>
      <c r="BX1642">
        <v>1.3</v>
      </c>
      <c r="BY1642">
        <v>0.97</v>
      </c>
      <c r="BZ1642">
        <v>3.16</v>
      </c>
      <c r="CA1642">
        <v>2.02</v>
      </c>
      <c r="CB1642">
        <v>1.57</v>
      </c>
      <c r="CC1642">
        <v>2.1</v>
      </c>
      <c r="CD1642">
        <v>-0.1</v>
      </c>
      <c r="CE1642">
        <v>1.1100000000000001</v>
      </c>
      <c r="CF1642">
        <v>1.74</v>
      </c>
      <c r="CG1642">
        <v>0</v>
      </c>
      <c r="CH1642">
        <v>0.98</v>
      </c>
      <c r="CI1642">
        <v>0</v>
      </c>
      <c r="CJ1642">
        <v>1</v>
      </c>
      <c r="CK1642">
        <v>99</v>
      </c>
      <c r="CL1642">
        <v>-1.1599999999999999</v>
      </c>
      <c r="CM1642">
        <v>99</v>
      </c>
      <c r="CN1642">
        <v>-0.67</v>
      </c>
      <c r="CO1642">
        <v>99</v>
      </c>
      <c r="CP1642">
        <v>6</v>
      </c>
      <c r="CQ1642">
        <v>98</v>
      </c>
      <c r="CR1642">
        <v>0</v>
      </c>
      <c r="CS1642">
        <v>0</v>
      </c>
      <c r="CT1642">
        <v>26.6</v>
      </c>
      <c r="CU1642">
        <v>97</v>
      </c>
      <c r="CV1642">
        <v>0.21</v>
      </c>
      <c r="CW1642">
        <v>46</v>
      </c>
      <c r="CX1642" t="s">
        <v>311</v>
      </c>
    </row>
    <row r="1643" spans="1:102" x14ac:dyDescent="0.3">
      <c r="A1643" t="str">
        <f>HYPERLINK("https://webapp.icbf.com/v2/app/bull-search/view/1593079461","S3290")</f>
        <v>S3290</v>
      </c>
      <c r="B1643" t="s">
        <v>7901</v>
      </c>
      <c r="C1643" t="s">
        <v>7902</v>
      </c>
      <c r="D1643" s="1">
        <v>41862</v>
      </c>
      <c r="E1643" t="s">
        <v>108</v>
      </c>
      <c r="F1643">
        <v>0</v>
      </c>
      <c r="G1643" t="s">
        <v>435</v>
      </c>
      <c r="H1643">
        <v>96.56</v>
      </c>
      <c r="I1643">
        <v>53</v>
      </c>
      <c r="J1643">
        <v>-2.71</v>
      </c>
      <c r="K1643">
        <v>74</v>
      </c>
      <c r="L1643">
        <v>64.2</v>
      </c>
      <c r="M1643">
        <v>47</v>
      </c>
      <c r="N1643">
        <v>17.38</v>
      </c>
      <c r="O1643">
        <v>36</v>
      </c>
      <c r="P1643">
        <v>-14.03</v>
      </c>
      <c r="Q1643">
        <v>36</v>
      </c>
      <c r="R1643">
        <v>14.63</v>
      </c>
      <c r="S1643">
        <v>47</v>
      </c>
      <c r="T1643">
        <v>16.420000000000002</v>
      </c>
      <c r="U1643">
        <v>35</v>
      </c>
      <c r="V1643">
        <v>0.67</v>
      </c>
      <c r="W1643">
        <v>43</v>
      </c>
      <c r="X1643" t="s">
        <v>110</v>
      </c>
      <c r="Y1643" t="s">
        <v>2394</v>
      </c>
      <c r="Z1643" t="s">
        <v>96</v>
      </c>
      <c r="AA1643" t="s">
        <v>7903</v>
      </c>
      <c r="AB1643" t="s">
        <v>7904</v>
      </c>
      <c r="AC1643">
        <v>0</v>
      </c>
      <c r="AD1643">
        <v>0</v>
      </c>
      <c r="AE1643">
        <v>74</v>
      </c>
      <c r="AF1643">
        <v>-45.94</v>
      </c>
      <c r="AG1643">
        <v>-0.55000000000000004</v>
      </c>
      <c r="AH1643">
        <v>-0.97</v>
      </c>
      <c r="AI1643">
        <v>0.02</v>
      </c>
      <c r="AJ1643">
        <v>0.01</v>
      </c>
      <c r="AK1643">
        <v>47</v>
      </c>
      <c r="AL1643">
        <v>0</v>
      </c>
      <c r="AM1643">
        <v>0</v>
      </c>
      <c r="AN1643">
        <v>-3.49</v>
      </c>
      <c r="AO1643">
        <v>1.63</v>
      </c>
      <c r="AP1643">
        <v>1</v>
      </c>
      <c r="AQ1643">
        <v>0</v>
      </c>
      <c r="AR1643">
        <v>6.98</v>
      </c>
      <c r="AS1643">
        <v>34</v>
      </c>
      <c r="AT1643">
        <v>2.6</v>
      </c>
      <c r="AU1643">
        <v>46</v>
      </c>
      <c r="AV1643">
        <v>-1.52</v>
      </c>
      <c r="AW1643">
        <v>35</v>
      </c>
      <c r="AX1643">
        <v>-7.0000000000000007E-2</v>
      </c>
      <c r="AY1643">
        <v>36</v>
      </c>
      <c r="AZ1643">
        <v>6.49</v>
      </c>
      <c r="BA1643">
        <v>26</v>
      </c>
      <c r="BB1643">
        <v>5.14</v>
      </c>
      <c r="BC1643">
        <v>27</v>
      </c>
      <c r="BD1643">
        <v>-0.02</v>
      </c>
      <c r="BE1643">
        <v>-7.0000000000000007E-2</v>
      </c>
      <c r="BF1643">
        <v>-0.17</v>
      </c>
      <c r="BG1643">
        <v>55</v>
      </c>
      <c r="BH1643">
        <v>-0.08</v>
      </c>
      <c r="BI1643">
        <v>-11.42</v>
      </c>
      <c r="BJ1643">
        <v>0</v>
      </c>
      <c r="BK1643">
        <v>0</v>
      </c>
      <c r="BL1643">
        <v>-3.37</v>
      </c>
      <c r="BM1643">
        <v>1.41</v>
      </c>
      <c r="BN1643">
        <v>-2.16</v>
      </c>
      <c r="BO1643">
        <v>-2.5299999999999998</v>
      </c>
      <c r="BP1643">
        <v>3.45</v>
      </c>
      <c r="BQ1643">
        <v>0.47</v>
      </c>
      <c r="BR1643">
        <v>-0.66</v>
      </c>
      <c r="BS1643">
        <v>1.79</v>
      </c>
      <c r="BT1643">
        <v>-0.39</v>
      </c>
      <c r="BU1643">
        <v>-1.67</v>
      </c>
      <c r="BV1643">
        <v>-1.99</v>
      </c>
      <c r="BW1643">
        <v>-1.93</v>
      </c>
      <c r="BX1643">
        <v>-1.1299999999999999</v>
      </c>
      <c r="BY1643">
        <v>-1.69</v>
      </c>
      <c r="BZ1643">
        <v>-1.18</v>
      </c>
      <c r="CA1643">
        <v>-1.8</v>
      </c>
      <c r="CB1643">
        <v>-1.77</v>
      </c>
      <c r="CC1643">
        <v>-0.23</v>
      </c>
      <c r="CD1643">
        <v>2.48</v>
      </c>
      <c r="CE1643">
        <v>-2.2799999999999998</v>
      </c>
      <c r="CF1643">
        <v>-1.81</v>
      </c>
      <c r="CG1643">
        <v>0</v>
      </c>
      <c r="CH1643">
        <v>-0.19</v>
      </c>
      <c r="CI1643">
        <v>0</v>
      </c>
      <c r="CJ1643">
        <v>-7</v>
      </c>
      <c r="CK1643">
        <v>36</v>
      </c>
      <c r="CL1643">
        <v>-0.19</v>
      </c>
      <c r="CM1643">
        <v>36</v>
      </c>
      <c r="CN1643">
        <v>0.08</v>
      </c>
      <c r="CO1643">
        <v>36</v>
      </c>
      <c r="CP1643">
        <v>-9.8000000000000007</v>
      </c>
      <c r="CQ1643">
        <v>35</v>
      </c>
      <c r="CR1643">
        <v>0</v>
      </c>
      <c r="CS1643">
        <v>0</v>
      </c>
      <c r="CT1643">
        <v>-8.4</v>
      </c>
      <c r="CU1643">
        <v>35</v>
      </c>
      <c r="CV1643">
        <v>-0.03</v>
      </c>
      <c r="CW1643">
        <v>32</v>
      </c>
      <c r="CX1643" t="s">
        <v>7905</v>
      </c>
    </row>
    <row r="1644" spans="1:102" x14ac:dyDescent="0.3">
      <c r="A1644" t="str">
        <f>HYPERLINK("https://webapp.icbf.com/v2/app/bull-search/view/1141981654","F269")</f>
        <v>F269</v>
      </c>
      <c r="B1644" t="s">
        <v>13886</v>
      </c>
      <c r="C1644" t="s">
        <v>13887</v>
      </c>
      <c r="D1644" s="1">
        <v>41687</v>
      </c>
      <c r="E1644" t="s">
        <v>108</v>
      </c>
      <c r="F1644">
        <v>6</v>
      </c>
      <c r="G1644" t="s">
        <v>435</v>
      </c>
      <c r="H1644">
        <v>96.36</v>
      </c>
      <c r="I1644">
        <v>67</v>
      </c>
      <c r="J1644">
        <v>-15.52</v>
      </c>
      <c r="K1644">
        <v>82</v>
      </c>
      <c r="L1644">
        <v>110.58</v>
      </c>
      <c r="M1644">
        <v>59</v>
      </c>
      <c r="N1644">
        <v>6.42</v>
      </c>
      <c r="O1644">
        <v>66</v>
      </c>
      <c r="P1644">
        <v>-11.55</v>
      </c>
      <c r="Q1644">
        <v>66</v>
      </c>
      <c r="R1644">
        <v>-1.1399999999999999</v>
      </c>
      <c r="S1644">
        <v>59</v>
      </c>
      <c r="T1644">
        <v>12.35</v>
      </c>
      <c r="U1644">
        <v>51</v>
      </c>
      <c r="V1644">
        <v>-4.78</v>
      </c>
      <c r="W1644">
        <v>55</v>
      </c>
      <c r="X1644" t="s">
        <v>110</v>
      </c>
      <c r="Y1644" t="s">
        <v>457</v>
      </c>
      <c r="Z1644" t="s">
        <v>96</v>
      </c>
      <c r="AA1644" t="s">
        <v>2016</v>
      </c>
      <c r="AB1644" t="s">
        <v>13888</v>
      </c>
      <c r="AC1644">
        <v>5</v>
      </c>
      <c r="AD1644">
        <v>2</v>
      </c>
      <c r="AE1644">
        <v>82</v>
      </c>
      <c r="AF1644">
        <v>-468.08</v>
      </c>
      <c r="AG1644">
        <v>-9.3699999999999992</v>
      </c>
      <c r="AH1644">
        <v>-6.49</v>
      </c>
      <c r="AI1644">
        <v>0.17</v>
      </c>
      <c r="AJ1644">
        <v>0.18</v>
      </c>
      <c r="AK1644">
        <v>59</v>
      </c>
      <c r="AL1644">
        <v>0</v>
      </c>
      <c r="AM1644">
        <v>0</v>
      </c>
      <c r="AN1644">
        <v>-5.92</v>
      </c>
      <c r="AO1644">
        <v>2.9</v>
      </c>
      <c r="AP1644">
        <v>32</v>
      </c>
      <c r="AQ1644">
        <v>0</v>
      </c>
      <c r="AR1644">
        <v>6.52</v>
      </c>
      <c r="AS1644">
        <v>54</v>
      </c>
      <c r="AT1644">
        <v>2.74</v>
      </c>
      <c r="AU1644">
        <v>66</v>
      </c>
      <c r="AV1644">
        <v>-0.72</v>
      </c>
      <c r="AW1644">
        <v>80</v>
      </c>
      <c r="AX1644">
        <v>0.91</v>
      </c>
      <c r="AY1644">
        <v>54</v>
      </c>
      <c r="AZ1644">
        <v>6.32</v>
      </c>
      <c r="BA1644">
        <v>43</v>
      </c>
      <c r="BB1644">
        <v>5.59</v>
      </c>
      <c r="BC1644">
        <v>42</v>
      </c>
      <c r="BD1644">
        <v>0.02</v>
      </c>
      <c r="BE1644">
        <v>-0.03</v>
      </c>
      <c r="BF1644">
        <v>0.05</v>
      </c>
      <c r="BG1644">
        <v>67</v>
      </c>
      <c r="BH1644">
        <v>-0.14000000000000001</v>
      </c>
      <c r="BI1644">
        <v>-0.76</v>
      </c>
      <c r="BJ1644">
        <v>0</v>
      </c>
      <c r="BK1644">
        <v>0</v>
      </c>
      <c r="BL1644">
        <v>-1.73</v>
      </c>
      <c r="BM1644">
        <v>2.8</v>
      </c>
      <c r="BN1644">
        <v>0.08</v>
      </c>
      <c r="BO1644">
        <v>-1.53</v>
      </c>
      <c r="BP1644">
        <v>0.17</v>
      </c>
      <c r="BQ1644">
        <v>3.87</v>
      </c>
      <c r="BR1644">
        <v>-0.92</v>
      </c>
      <c r="BS1644">
        <v>0.21</v>
      </c>
      <c r="BT1644">
        <v>1.44</v>
      </c>
      <c r="BU1644">
        <v>-2.36</v>
      </c>
      <c r="BV1644">
        <v>-2.62</v>
      </c>
      <c r="BW1644">
        <v>-2.44</v>
      </c>
      <c r="BX1644">
        <v>-2.62</v>
      </c>
      <c r="BY1644">
        <v>-1.85</v>
      </c>
      <c r="BZ1644">
        <v>-0.76</v>
      </c>
      <c r="CA1644">
        <v>-2.0099999999999998</v>
      </c>
      <c r="CB1644">
        <v>-2.2000000000000002</v>
      </c>
      <c r="CC1644">
        <v>-0.03</v>
      </c>
      <c r="CD1644">
        <v>2.5499999999999998</v>
      </c>
      <c r="CE1644">
        <v>-1.86</v>
      </c>
      <c r="CF1644">
        <v>0.03</v>
      </c>
      <c r="CG1644">
        <v>0</v>
      </c>
      <c r="CH1644">
        <v>-1.74</v>
      </c>
      <c r="CI1644">
        <v>0</v>
      </c>
      <c r="CJ1644">
        <v>-4.5</v>
      </c>
      <c r="CK1644">
        <v>69</v>
      </c>
      <c r="CL1644">
        <v>-0.47</v>
      </c>
      <c r="CM1644">
        <v>64</v>
      </c>
      <c r="CN1644">
        <v>-0.04</v>
      </c>
      <c r="CO1644">
        <v>63</v>
      </c>
      <c r="CP1644">
        <v>-6.4</v>
      </c>
      <c r="CQ1644">
        <v>55</v>
      </c>
      <c r="CR1644">
        <v>0</v>
      </c>
      <c r="CS1644">
        <v>0</v>
      </c>
      <c r="CT1644">
        <v>-2.9</v>
      </c>
      <c r="CU1644">
        <v>51</v>
      </c>
      <c r="CV1644">
        <v>0.09</v>
      </c>
      <c r="CW1644">
        <v>40</v>
      </c>
      <c r="CX1644" t="s">
        <v>5324</v>
      </c>
    </row>
    <row r="1645" spans="1:102" x14ac:dyDescent="0.3">
      <c r="A1645" t="str">
        <f>HYPERLINK("https://webapp.icbf.com/v2/app/bull-search/view/1210957189","S2296")</f>
        <v>S2296</v>
      </c>
      <c r="B1645" t="s">
        <v>15681</v>
      </c>
      <c r="C1645" t="s">
        <v>15682</v>
      </c>
      <c r="D1645" s="1">
        <v>41345</v>
      </c>
      <c r="E1645" t="s">
        <v>92</v>
      </c>
      <c r="F1645">
        <v>100</v>
      </c>
      <c r="G1645" t="s">
        <v>93</v>
      </c>
      <c r="H1645">
        <v>96.36</v>
      </c>
      <c r="I1645">
        <v>85</v>
      </c>
      <c r="J1645">
        <v>66.94</v>
      </c>
      <c r="K1645">
        <v>95</v>
      </c>
      <c r="L1645">
        <v>5.61</v>
      </c>
      <c r="M1645">
        <v>84</v>
      </c>
      <c r="N1645">
        <v>19.71</v>
      </c>
      <c r="O1645">
        <v>84</v>
      </c>
      <c r="P1645">
        <v>-6.05</v>
      </c>
      <c r="Q1645">
        <v>87</v>
      </c>
      <c r="R1645">
        <v>12.97</v>
      </c>
      <c r="S1645">
        <v>75</v>
      </c>
      <c r="T1645">
        <v>-1.57</v>
      </c>
      <c r="U1645">
        <v>60</v>
      </c>
      <c r="V1645">
        <v>-1.25</v>
      </c>
      <c r="W1645">
        <v>62</v>
      </c>
      <c r="X1645" t="s">
        <v>102</v>
      </c>
      <c r="Y1645" t="s">
        <v>411</v>
      </c>
      <c r="Z1645" t="s">
        <v>96</v>
      </c>
      <c r="AA1645" t="s">
        <v>1894</v>
      </c>
      <c r="AB1645" t="s">
        <v>15683</v>
      </c>
      <c r="AC1645">
        <v>66</v>
      </c>
      <c r="AD1645">
        <v>32</v>
      </c>
      <c r="AE1645">
        <v>95</v>
      </c>
      <c r="AF1645">
        <v>325.48</v>
      </c>
      <c r="AG1645">
        <v>13.02</v>
      </c>
      <c r="AH1645">
        <v>11.76</v>
      </c>
      <c r="AI1645">
        <v>0.01</v>
      </c>
      <c r="AJ1645">
        <v>0.01</v>
      </c>
      <c r="AK1645">
        <v>84</v>
      </c>
      <c r="AL1645">
        <v>46</v>
      </c>
      <c r="AM1645">
        <v>22</v>
      </c>
      <c r="AN1645">
        <v>0.67</v>
      </c>
      <c r="AO1645">
        <v>1.1299999999999999</v>
      </c>
      <c r="AP1645">
        <v>287</v>
      </c>
      <c r="AQ1645">
        <v>5</v>
      </c>
      <c r="AR1645">
        <v>7.8</v>
      </c>
      <c r="AS1645">
        <v>78</v>
      </c>
      <c r="AT1645">
        <v>3.38</v>
      </c>
      <c r="AU1645">
        <v>91</v>
      </c>
      <c r="AV1645">
        <v>-2.93</v>
      </c>
      <c r="AW1645">
        <v>95</v>
      </c>
      <c r="AX1645">
        <v>-0.4</v>
      </c>
      <c r="AY1645">
        <v>86</v>
      </c>
      <c r="AZ1645">
        <v>6.24</v>
      </c>
      <c r="BA1645">
        <v>56</v>
      </c>
      <c r="BB1645">
        <v>5.4</v>
      </c>
      <c r="BC1645">
        <v>45</v>
      </c>
      <c r="BD1645">
        <v>-0.05</v>
      </c>
      <c r="BE1645">
        <v>-0.05</v>
      </c>
      <c r="BF1645">
        <v>-0.12</v>
      </c>
      <c r="BG1645">
        <v>92</v>
      </c>
      <c r="BH1645">
        <v>-0.09</v>
      </c>
      <c r="BI1645">
        <v>-6.39</v>
      </c>
      <c r="BJ1645">
        <v>18</v>
      </c>
      <c r="BK1645">
        <v>8</v>
      </c>
      <c r="BL1645">
        <v>0.41</v>
      </c>
      <c r="BM1645">
        <v>0.57999999999999996</v>
      </c>
      <c r="BN1645">
        <v>2.63</v>
      </c>
      <c r="BO1645">
        <v>1.63</v>
      </c>
      <c r="BP1645">
        <v>0.22</v>
      </c>
      <c r="BQ1645">
        <v>-0.38</v>
      </c>
      <c r="BR1645">
        <v>1.53</v>
      </c>
      <c r="BS1645">
        <v>2.15</v>
      </c>
      <c r="BT1645">
        <v>0.17</v>
      </c>
      <c r="BU1645">
        <v>0.61</v>
      </c>
      <c r="BV1645">
        <v>1.81</v>
      </c>
      <c r="BW1645">
        <v>2.04</v>
      </c>
      <c r="BX1645">
        <v>-0.9</v>
      </c>
      <c r="BY1645">
        <v>1.32</v>
      </c>
      <c r="BZ1645">
        <v>1.1200000000000001</v>
      </c>
      <c r="CA1645">
        <v>0.42</v>
      </c>
      <c r="CB1645">
        <v>0.65</v>
      </c>
      <c r="CC1645">
        <v>1.01</v>
      </c>
      <c r="CD1645">
        <v>-0.55000000000000004</v>
      </c>
      <c r="CE1645">
        <v>1.3</v>
      </c>
      <c r="CF1645">
        <v>0.85</v>
      </c>
      <c r="CG1645">
        <v>0</v>
      </c>
      <c r="CH1645">
        <v>1.39</v>
      </c>
      <c r="CI1645">
        <v>0</v>
      </c>
      <c r="CJ1645">
        <v>-1.4</v>
      </c>
      <c r="CK1645">
        <v>90</v>
      </c>
      <c r="CL1645">
        <v>-1.06</v>
      </c>
      <c r="CM1645">
        <v>87</v>
      </c>
      <c r="CN1645">
        <v>-0.54</v>
      </c>
      <c r="CO1645">
        <v>85</v>
      </c>
      <c r="CP1645">
        <v>3.3</v>
      </c>
      <c r="CQ1645">
        <v>66</v>
      </c>
      <c r="CR1645">
        <v>0</v>
      </c>
      <c r="CS1645">
        <v>0</v>
      </c>
      <c r="CT1645">
        <v>15.9</v>
      </c>
      <c r="CU1645">
        <v>60</v>
      </c>
      <c r="CV1645">
        <v>0.2</v>
      </c>
      <c r="CW1645">
        <v>44</v>
      </c>
      <c r="CX1645" t="s">
        <v>1848</v>
      </c>
    </row>
    <row r="1646" spans="1:102" x14ac:dyDescent="0.3">
      <c r="A1646" t="str">
        <f>HYPERLINK("https://webapp.icbf.com/v2/app/bull-search/view/69091978","JDX")</f>
        <v>JDX</v>
      </c>
      <c r="B1646" t="s">
        <v>9937</v>
      </c>
      <c r="C1646" t="s">
        <v>9938</v>
      </c>
      <c r="D1646" s="1">
        <v>32577</v>
      </c>
      <c r="E1646" t="s">
        <v>227</v>
      </c>
      <c r="F1646">
        <v>0</v>
      </c>
      <c r="G1646" t="s">
        <v>109</v>
      </c>
      <c r="H1646">
        <v>96.29</v>
      </c>
      <c r="I1646">
        <v>64</v>
      </c>
      <c r="J1646">
        <v>-23</v>
      </c>
      <c r="K1646">
        <v>84</v>
      </c>
      <c r="L1646">
        <v>92.85</v>
      </c>
      <c r="M1646">
        <v>71</v>
      </c>
      <c r="N1646">
        <v>17.11</v>
      </c>
      <c r="O1646">
        <v>36</v>
      </c>
      <c r="P1646">
        <v>-78.260000000000005</v>
      </c>
      <c r="Q1646">
        <v>46</v>
      </c>
      <c r="R1646">
        <v>6.64</v>
      </c>
      <c r="S1646">
        <v>35</v>
      </c>
      <c r="T1646">
        <v>74.06</v>
      </c>
      <c r="U1646">
        <v>39</v>
      </c>
      <c r="V1646">
        <v>6.89</v>
      </c>
      <c r="W1646">
        <v>17</v>
      </c>
      <c r="X1646" t="s">
        <v>110</v>
      </c>
      <c r="Y1646" t="s">
        <v>95</v>
      </c>
      <c r="Z1646">
        <v>0</v>
      </c>
      <c r="AA1646" t="s">
        <v>9601</v>
      </c>
      <c r="AB1646" t="s">
        <v>144</v>
      </c>
      <c r="AC1646">
        <v>0</v>
      </c>
      <c r="AD1646">
        <v>0</v>
      </c>
      <c r="AE1646">
        <v>84</v>
      </c>
      <c r="AF1646">
        <v>-596.29</v>
      </c>
      <c r="AG1646">
        <v>3.65</v>
      </c>
      <c r="AH1646">
        <v>-14.33</v>
      </c>
      <c r="AI1646">
        <v>0.49</v>
      </c>
      <c r="AJ1646">
        <v>0.11</v>
      </c>
      <c r="AK1646">
        <v>71</v>
      </c>
      <c r="AL1646">
        <v>0</v>
      </c>
      <c r="AM1646">
        <v>0</v>
      </c>
      <c r="AN1646">
        <v>-4.62</v>
      </c>
      <c r="AO1646">
        <v>2.79</v>
      </c>
      <c r="AP1646">
        <v>1</v>
      </c>
      <c r="AQ1646">
        <v>0</v>
      </c>
      <c r="AR1646">
        <v>3.06</v>
      </c>
      <c r="AS1646">
        <v>22</v>
      </c>
      <c r="AT1646">
        <v>1.79</v>
      </c>
      <c r="AU1646">
        <v>27</v>
      </c>
      <c r="AV1646">
        <v>-0.16</v>
      </c>
      <c r="AW1646">
        <v>48</v>
      </c>
      <c r="AX1646">
        <v>1.35</v>
      </c>
      <c r="AY1646">
        <v>43</v>
      </c>
      <c r="AZ1646">
        <v>6.67</v>
      </c>
      <c r="BA1646">
        <v>16</v>
      </c>
      <c r="BB1646">
        <v>4.8600000000000003</v>
      </c>
      <c r="BC1646">
        <v>24</v>
      </c>
      <c r="BD1646">
        <v>-7.0000000000000007E-2</v>
      </c>
      <c r="BE1646">
        <v>-0.04</v>
      </c>
      <c r="BF1646">
        <v>0.04</v>
      </c>
      <c r="BG1646">
        <v>46</v>
      </c>
      <c r="BH1646">
        <v>0.12</v>
      </c>
      <c r="BI1646">
        <v>-8.34</v>
      </c>
      <c r="BJ1646">
        <v>0</v>
      </c>
      <c r="BK1646">
        <v>0</v>
      </c>
      <c r="BL1646">
        <v>-1.61</v>
      </c>
      <c r="BM1646">
        <v>-1.79</v>
      </c>
      <c r="BN1646">
        <v>-0.14000000000000001</v>
      </c>
      <c r="BO1646">
        <v>1.37</v>
      </c>
      <c r="BP1646">
        <v>-0.95</v>
      </c>
      <c r="BQ1646">
        <v>-5.66</v>
      </c>
      <c r="BR1646">
        <v>2.75</v>
      </c>
      <c r="BS1646">
        <v>6.53</v>
      </c>
      <c r="BT1646">
        <v>-1.67</v>
      </c>
      <c r="BU1646">
        <v>-0.21</v>
      </c>
      <c r="BV1646">
        <v>0.09</v>
      </c>
      <c r="BW1646">
        <v>-2.02</v>
      </c>
      <c r="BX1646">
        <v>-3.05</v>
      </c>
      <c r="BY1646">
        <v>-0.16</v>
      </c>
      <c r="BZ1646">
        <v>-0.32</v>
      </c>
      <c r="CA1646">
        <v>1.61</v>
      </c>
      <c r="CB1646">
        <v>0.09</v>
      </c>
      <c r="CC1646">
        <v>3.96</v>
      </c>
      <c r="CD1646">
        <v>-2.34</v>
      </c>
      <c r="CE1646">
        <v>1.08</v>
      </c>
      <c r="CF1646">
        <v>-1.42</v>
      </c>
      <c r="CG1646">
        <v>0</v>
      </c>
      <c r="CH1646">
        <v>-0.99</v>
      </c>
      <c r="CI1646">
        <v>0</v>
      </c>
      <c r="CJ1646">
        <v>-41.3</v>
      </c>
      <c r="CK1646">
        <v>47</v>
      </c>
      <c r="CL1646">
        <v>-1.04</v>
      </c>
      <c r="CM1646">
        <v>43</v>
      </c>
      <c r="CN1646">
        <v>0.09</v>
      </c>
      <c r="CO1646">
        <v>39</v>
      </c>
      <c r="CP1646">
        <v>-63.2</v>
      </c>
      <c r="CQ1646">
        <v>53</v>
      </c>
      <c r="CR1646">
        <v>0</v>
      </c>
      <c r="CS1646">
        <v>0</v>
      </c>
      <c r="CT1646">
        <v>-86.3</v>
      </c>
      <c r="CU1646">
        <v>39</v>
      </c>
      <c r="CV1646">
        <v>-0.46</v>
      </c>
      <c r="CW1646">
        <v>12</v>
      </c>
      <c r="CX1646" t="s">
        <v>9939</v>
      </c>
    </row>
    <row r="1647" spans="1:102" x14ac:dyDescent="0.3">
      <c r="A1647" t="str">
        <f>HYPERLINK("https://webapp.icbf.com/v2/app/bull-search/view/69091729","FYT")</f>
        <v>FYT</v>
      </c>
      <c r="B1647" t="s">
        <v>4309</v>
      </c>
      <c r="C1647" t="s">
        <v>4310</v>
      </c>
      <c r="D1647" s="1">
        <v>34310</v>
      </c>
      <c r="E1647" t="s">
        <v>227</v>
      </c>
      <c r="F1647">
        <v>0</v>
      </c>
      <c r="G1647" t="s">
        <v>109</v>
      </c>
      <c r="H1647">
        <v>96.22</v>
      </c>
      <c r="I1647">
        <v>61</v>
      </c>
      <c r="J1647">
        <v>-4.45</v>
      </c>
      <c r="K1647">
        <v>79</v>
      </c>
      <c r="L1647">
        <v>62.31</v>
      </c>
      <c r="M1647">
        <v>70</v>
      </c>
      <c r="N1647">
        <v>18.64</v>
      </c>
      <c r="O1647">
        <v>35</v>
      </c>
      <c r="P1647">
        <v>-69.61</v>
      </c>
      <c r="Q1647">
        <v>44</v>
      </c>
      <c r="R1647">
        <v>7.36</v>
      </c>
      <c r="S1647">
        <v>32</v>
      </c>
      <c r="T1647">
        <v>78.06</v>
      </c>
      <c r="U1647">
        <v>33</v>
      </c>
      <c r="V1647">
        <v>3.91</v>
      </c>
      <c r="W1647">
        <v>22</v>
      </c>
      <c r="X1647" t="s">
        <v>102</v>
      </c>
      <c r="Y1647" t="s">
        <v>95</v>
      </c>
      <c r="Z1647">
        <v>0</v>
      </c>
      <c r="AA1647" t="s">
        <v>4311</v>
      </c>
      <c r="AB1647" t="s">
        <v>144</v>
      </c>
      <c r="AC1647">
        <v>0</v>
      </c>
      <c r="AD1647">
        <v>0</v>
      </c>
      <c r="AE1647">
        <v>79</v>
      </c>
      <c r="AF1647">
        <v>-549.54999999999995</v>
      </c>
      <c r="AG1647">
        <v>5.94</v>
      </c>
      <c r="AH1647">
        <v>-11.27</v>
      </c>
      <c r="AI1647">
        <v>0.5</v>
      </c>
      <c r="AJ1647">
        <v>0.14000000000000001</v>
      </c>
      <c r="AK1647">
        <v>70</v>
      </c>
      <c r="AL1647">
        <v>0</v>
      </c>
      <c r="AM1647">
        <v>0</v>
      </c>
      <c r="AN1647">
        <v>-2.5499999999999998</v>
      </c>
      <c r="AO1647">
        <v>2.4300000000000002</v>
      </c>
      <c r="AP1647">
        <v>5</v>
      </c>
      <c r="AQ1647">
        <v>0</v>
      </c>
      <c r="AR1647">
        <v>3.25</v>
      </c>
      <c r="AS1647">
        <v>17</v>
      </c>
      <c r="AT1647">
        <v>1.67</v>
      </c>
      <c r="AU1647">
        <v>28</v>
      </c>
      <c r="AV1647">
        <v>0.22</v>
      </c>
      <c r="AW1647">
        <v>49</v>
      </c>
      <c r="AX1647">
        <v>0.11</v>
      </c>
      <c r="AY1647">
        <v>35</v>
      </c>
      <c r="AZ1647">
        <v>6.23</v>
      </c>
      <c r="BA1647">
        <v>14</v>
      </c>
      <c r="BB1647">
        <v>4.79</v>
      </c>
      <c r="BC1647">
        <v>21</v>
      </c>
      <c r="BD1647">
        <v>-0.05</v>
      </c>
      <c r="BE1647">
        <v>-0.04</v>
      </c>
      <c r="BF1647">
        <v>-0.01</v>
      </c>
      <c r="BG1647">
        <v>39</v>
      </c>
      <c r="BH1647">
        <v>0.11</v>
      </c>
      <c r="BI1647">
        <v>0.1</v>
      </c>
      <c r="BJ1647">
        <v>0</v>
      </c>
      <c r="BK1647">
        <v>0</v>
      </c>
      <c r="BL1647">
        <v>-1.44</v>
      </c>
      <c r="BM1647">
        <v>-1.66</v>
      </c>
      <c r="BN1647">
        <v>-0.5</v>
      </c>
      <c r="BO1647">
        <v>1.19</v>
      </c>
      <c r="BP1647">
        <v>-0.09</v>
      </c>
      <c r="BQ1647">
        <v>-5.59</v>
      </c>
      <c r="BR1647">
        <v>2.4300000000000002</v>
      </c>
      <c r="BS1647">
        <v>6.48</v>
      </c>
      <c r="BT1647">
        <v>-1.6</v>
      </c>
      <c r="BU1647">
        <v>0.51</v>
      </c>
      <c r="BV1647">
        <v>0.48</v>
      </c>
      <c r="BW1647">
        <v>-1.78</v>
      </c>
      <c r="BX1647">
        <v>-1.99</v>
      </c>
      <c r="BY1647">
        <v>-0.21</v>
      </c>
      <c r="BZ1647">
        <v>0.2</v>
      </c>
      <c r="CA1647">
        <v>1.89</v>
      </c>
      <c r="CB1647">
        <v>0.5</v>
      </c>
      <c r="CC1647">
        <v>3.8</v>
      </c>
      <c r="CD1647">
        <v>-2.23</v>
      </c>
      <c r="CE1647">
        <v>1.08</v>
      </c>
      <c r="CF1647">
        <v>-1.43</v>
      </c>
      <c r="CG1647">
        <v>0</v>
      </c>
      <c r="CH1647">
        <v>-0.88</v>
      </c>
      <c r="CI1647">
        <v>0</v>
      </c>
      <c r="CJ1647">
        <v>-36.6</v>
      </c>
      <c r="CK1647">
        <v>46</v>
      </c>
      <c r="CL1647">
        <v>-0.94</v>
      </c>
      <c r="CM1647">
        <v>42</v>
      </c>
      <c r="CN1647">
        <v>0.02</v>
      </c>
      <c r="CO1647">
        <v>39</v>
      </c>
      <c r="CP1647">
        <v>-61.1</v>
      </c>
      <c r="CQ1647">
        <v>40</v>
      </c>
      <c r="CR1647">
        <v>0</v>
      </c>
      <c r="CS1647">
        <v>0</v>
      </c>
      <c r="CT1647">
        <v>-91.7</v>
      </c>
      <c r="CU1647">
        <v>33</v>
      </c>
      <c r="CV1647">
        <v>-0.46</v>
      </c>
      <c r="CW1647">
        <v>12</v>
      </c>
      <c r="CX1647" t="s">
        <v>555</v>
      </c>
    </row>
    <row r="1648" spans="1:102" x14ac:dyDescent="0.3">
      <c r="A1648" t="str">
        <f>HYPERLINK("https://webapp.icbf.com/v2/app/bull-search/view/748198308","RUE")</f>
        <v>RUE</v>
      </c>
      <c r="B1648" t="s">
        <v>13001</v>
      </c>
      <c r="C1648" t="s">
        <v>13002</v>
      </c>
      <c r="D1648" s="1">
        <v>40219</v>
      </c>
      <c r="E1648" t="s">
        <v>92</v>
      </c>
      <c r="F1648">
        <v>88</v>
      </c>
      <c r="G1648" t="s">
        <v>116</v>
      </c>
      <c r="H1648">
        <v>96.16</v>
      </c>
      <c r="I1648">
        <v>40</v>
      </c>
      <c r="J1648">
        <v>36.22</v>
      </c>
      <c r="K1648">
        <v>46</v>
      </c>
      <c r="L1648">
        <v>32.880000000000003</v>
      </c>
      <c r="M1648">
        <v>35</v>
      </c>
      <c r="N1648">
        <v>13.58</v>
      </c>
      <c r="O1648">
        <v>33</v>
      </c>
      <c r="P1648">
        <v>-15.37</v>
      </c>
      <c r="Q1648">
        <v>50</v>
      </c>
      <c r="R1648">
        <v>4.16</v>
      </c>
      <c r="S1648">
        <v>37</v>
      </c>
      <c r="T1648">
        <v>17.23</v>
      </c>
      <c r="U1648">
        <v>36</v>
      </c>
      <c r="V1648">
        <v>7.46</v>
      </c>
      <c r="W1648">
        <v>38</v>
      </c>
      <c r="X1648" t="s">
        <v>94</v>
      </c>
      <c r="Y1648" t="s">
        <v>1685</v>
      </c>
      <c r="Z1648" t="s">
        <v>96</v>
      </c>
      <c r="AA1648" t="s">
        <v>6718</v>
      </c>
      <c r="AB1648" t="s">
        <v>13003</v>
      </c>
      <c r="AC1648">
        <v>0</v>
      </c>
      <c r="AD1648">
        <v>0</v>
      </c>
      <c r="AE1648">
        <v>46</v>
      </c>
      <c r="AF1648">
        <v>215.92</v>
      </c>
      <c r="AG1648">
        <v>1.37</v>
      </c>
      <c r="AH1648">
        <v>8.98</v>
      </c>
      <c r="AI1648">
        <v>-0.12</v>
      </c>
      <c r="AJ1648">
        <v>0.03</v>
      </c>
      <c r="AK1648">
        <v>35</v>
      </c>
      <c r="AL1648">
        <v>0</v>
      </c>
      <c r="AM1648">
        <v>0</v>
      </c>
      <c r="AN1648">
        <v>-1.1599999999999999</v>
      </c>
      <c r="AO1648">
        <v>1.47</v>
      </c>
      <c r="AP1648">
        <v>1</v>
      </c>
      <c r="AQ1648">
        <v>0</v>
      </c>
      <c r="AR1648">
        <v>6.81</v>
      </c>
      <c r="AS1648">
        <v>30</v>
      </c>
      <c r="AT1648">
        <v>3.01</v>
      </c>
      <c r="AU1648">
        <v>36</v>
      </c>
      <c r="AV1648">
        <v>-0.79</v>
      </c>
      <c r="AW1648">
        <v>33</v>
      </c>
      <c r="AX1648">
        <v>-0.37</v>
      </c>
      <c r="AY1648">
        <v>33</v>
      </c>
      <c r="AZ1648">
        <v>5.36</v>
      </c>
      <c r="BA1648">
        <v>30</v>
      </c>
      <c r="BB1648">
        <v>4.63</v>
      </c>
      <c r="BC1648">
        <v>30</v>
      </c>
      <c r="BD1648">
        <v>-0.04</v>
      </c>
      <c r="BE1648">
        <v>-0.01</v>
      </c>
      <c r="BF1648">
        <v>-0.01</v>
      </c>
      <c r="BG1648">
        <v>39</v>
      </c>
      <c r="BH1648">
        <v>0.11</v>
      </c>
      <c r="BI1648">
        <v>-11.34</v>
      </c>
      <c r="BJ1648">
        <v>0</v>
      </c>
      <c r="BK1648">
        <v>0</v>
      </c>
      <c r="BL1648">
        <v>-0.22</v>
      </c>
      <c r="BM1648">
        <v>-0.05</v>
      </c>
      <c r="BN1648">
        <v>-0.31</v>
      </c>
      <c r="BO1648">
        <v>-0.12</v>
      </c>
      <c r="BP1648">
        <v>-0.76</v>
      </c>
      <c r="BQ1648">
        <v>0.75</v>
      </c>
      <c r="BR1648">
        <v>2.02</v>
      </c>
      <c r="BS1648">
        <v>-0.88</v>
      </c>
      <c r="BT1648">
        <v>-2.12</v>
      </c>
      <c r="BU1648">
        <v>0.11</v>
      </c>
      <c r="BV1648">
        <v>0.81</v>
      </c>
      <c r="BW1648">
        <v>0.44</v>
      </c>
      <c r="BX1648">
        <v>-0.44</v>
      </c>
      <c r="BY1648">
        <v>-1.27</v>
      </c>
      <c r="BZ1648">
        <v>-0.13</v>
      </c>
      <c r="CA1648">
        <v>-0.13</v>
      </c>
      <c r="CB1648">
        <v>0.17</v>
      </c>
      <c r="CC1648">
        <v>-0.67</v>
      </c>
      <c r="CD1648">
        <v>0.12</v>
      </c>
      <c r="CE1648">
        <v>0.08</v>
      </c>
      <c r="CF1648">
        <v>-0.03</v>
      </c>
      <c r="CG1648">
        <v>0</v>
      </c>
      <c r="CH1648">
        <v>-0.98</v>
      </c>
      <c r="CI1648">
        <v>0</v>
      </c>
      <c r="CJ1648">
        <v>-6.9</v>
      </c>
      <c r="CK1648">
        <v>53</v>
      </c>
      <c r="CL1648">
        <v>-0.83</v>
      </c>
      <c r="CM1648">
        <v>48</v>
      </c>
      <c r="CN1648">
        <v>-0.36</v>
      </c>
      <c r="CO1648">
        <v>47</v>
      </c>
      <c r="CP1648">
        <v>-10</v>
      </c>
      <c r="CQ1648">
        <v>40</v>
      </c>
      <c r="CR1648">
        <v>0</v>
      </c>
      <c r="CS1648">
        <v>0</v>
      </c>
      <c r="CT1648">
        <v>-9.5</v>
      </c>
      <c r="CU1648">
        <v>36</v>
      </c>
      <c r="CV1648">
        <v>0.15</v>
      </c>
      <c r="CW1648">
        <v>16</v>
      </c>
      <c r="CX1648" t="s">
        <v>1229</v>
      </c>
    </row>
    <row r="1649" spans="1:102" x14ac:dyDescent="0.3">
      <c r="A1649" t="str">
        <f>HYPERLINK("https://webapp.icbf.com/v2/app/bull-search/view/1417505946","FR4296")</f>
        <v>FR4296</v>
      </c>
      <c r="B1649" t="s">
        <v>6239</v>
      </c>
      <c r="C1649" t="s">
        <v>6240</v>
      </c>
      <c r="D1649" s="1">
        <v>42058</v>
      </c>
      <c r="E1649" t="s">
        <v>92</v>
      </c>
      <c r="F1649">
        <v>100</v>
      </c>
      <c r="G1649" t="s">
        <v>109</v>
      </c>
      <c r="H1649">
        <v>96.14</v>
      </c>
      <c r="I1649">
        <v>70</v>
      </c>
      <c r="J1649">
        <v>55.1</v>
      </c>
      <c r="K1649">
        <v>90</v>
      </c>
      <c r="L1649">
        <v>-9.86</v>
      </c>
      <c r="M1649">
        <v>70</v>
      </c>
      <c r="N1649">
        <v>40.6</v>
      </c>
      <c r="O1649">
        <v>60</v>
      </c>
      <c r="P1649">
        <v>-2.0699999999999998</v>
      </c>
      <c r="Q1649">
        <v>40</v>
      </c>
      <c r="R1649">
        <v>16.93</v>
      </c>
      <c r="S1649">
        <v>66</v>
      </c>
      <c r="T1649">
        <v>-9.34</v>
      </c>
      <c r="U1649">
        <v>35</v>
      </c>
      <c r="V1649">
        <v>4.78</v>
      </c>
      <c r="W1649">
        <v>54</v>
      </c>
      <c r="X1649" t="s">
        <v>94</v>
      </c>
      <c r="Y1649" t="s">
        <v>2261</v>
      </c>
      <c r="Z1649" t="s">
        <v>96</v>
      </c>
      <c r="AA1649" t="s">
        <v>463</v>
      </c>
      <c r="AB1649" t="s">
        <v>6241</v>
      </c>
      <c r="AC1649">
        <v>0</v>
      </c>
      <c r="AD1649">
        <v>0</v>
      </c>
      <c r="AE1649">
        <v>90</v>
      </c>
      <c r="AF1649">
        <v>284.02</v>
      </c>
      <c r="AG1649">
        <v>16.25</v>
      </c>
      <c r="AH1649">
        <v>7.97</v>
      </c>
      <c r="AI1649">
        <v>0.08</v>
      </c>
      <c r="AJ1649">
        <v>-0.02</v>
      </c>
      <c r="AK1649">
        <v>70</v>
      </c>
      <c r="AL1649">
        <v>0</v>
      </c>
      <c r="AM1649">
        <v>0</v>
      </c>
      <c r="AN1649">
        <v>1.78</v>
      </c>
      <c r="AO1649">
        <v>1.01</v>
      </c>
      <c r="AP1649">
        <v>6</v>
      </c>
      <c r="AQ1649">
        <v>0</v>
      </c>
      <c r="AR1649">
        <v>5.05</v>
      </c>
      <c r="AS1649">
        <v>56</v>
      </c>
      <c r="AT1649">
        <v>2.57</v>
      </c>
      <c r="AU1649">
        <v>87</v>
      </c>
      <c r="AV1649">
        <v>-3.74</v>
      </c>
      <c r="AW1649">
        <v>60</v>
      </c>
      <c r="AX1649">
        <v>0.34</v>
      </c>
      <c r="AY1649">
        <v>45</v>
      </c>
      <c r="AZ1649">
        <v>6.04</v>
      </c>
      <c r="BA1649">
        <v>36</v>
      </c>
      <c r="BB1649">
        <v>4.8499999999999996</v>
      </c>
      <c r="BC1649">
        <v>34</v>
      </c>
      <c r="BD1649">
        <v>-0.11</v>
      </c>
      <c r="BE1649">
        <v>-0.04</v>
      </c>
      <c r="BF1649">
        <v>-0.13</v>
      </c>
      <c r="BG1649">
        <v>81</v>
      </c>
      <c r="BH1649">
        <v>-0.01</v>
      </c>
      <c r="BI1649">
        <v>-16.59</v>
      </c>
      <c r="BJ1649">
        <v>0</v>
      </c>
      <c r="BK1649">
        <v>0</v>
      </c>
      <c r="BL1649">
        <v>1.2</v>
      </c>
      <c r="BM1649">
        <v>-0.83</v>
      </c>
      <c r="BN1649">
        <v>0.44</v>
      </c>
      <c r="BO1649">
        <v>1.38</v>
      </c>
      <c r="BP1649">
        <v>2.23</v>
      </c>
      <c r="BQ1649">
        <v>2.09</v>
      </c>
      <c r="BR1649">
        <v>-0.98</v>
      </c>
      <c r="BS1649">
        <v>3.13</v>
      </c>
      <c r="BT1649">
        <v>1</v>
      </c>
      <c r="BU1649">
        <v>3.01</v>
      </c>
      <c r="BV1649">
        <v>3.83</v>
      </c>
      <c r="BW1649">
        <v>1.64</v>
      </c>
      <c r="BX1649">
        <v>2.0099999999999998</v>
      </c>
      <c r="BY1649">
        <v>0.21</v>
      </c>
      <c r="BZ1649">
        <v>-1.93</v>
      </c>
      <c r="CA1649">
        <v>2.98</v>
      </c>
      <c r="CB1649">
        <v>2.6</v>
      </c>
      <c r="CC1649">
        <v>2.66</v>
      </c>
      <c r="CD1649">
        <v>-0.73</v>
      </c>
      <c r="CE1649">
        <v>1.33</v>
      </c>
      <c r="CF1649">
        <v>1.26</v>
      </c>
      <c r="CG1649">
        <v>0</v>
      </c>
      <c r="CH1649">
        <v>1.1100000000000001</v>
      </c>
      <c r="CI1649">
        <v>0</v>
      </c>
      <c r="CJ1649">
        <v>0.2</v>
      </c>
      <c r="CK1649">
        <v>41</v>
      </c>
      <c r="CL1649">
        <v>-1.1399999999999999</v>
      </c>
      <c r="CM1649">
        <v>40</v>
      </c>
      <c r="CN1649">
        <v>-0.79</v>
      </c>
      <c r="CO1649">
        <v>40</v>
      </c>
      <c r="CP1649">
        <v>1.1000000000000001</v>
      </c>
      <c r="CQ1649">
        <v>36</v>
      </c>
      <c r="CR1649">
        <v>0</v>
      </c>
      <c r="CS1649">
        <v>0</v>
      </c>
      <c r="CT1649">
        <v>26.4</v>
      </c>
      <c r="CU1649">
        <v>35</v>
      </c>
      <c r="CV1649">
        <v>0.21</v>
      </c>
      <c r="CW1649">
        <v>33</v>
      </c>
      <c r="CX1649" t="s">
        <v>6242</v>
      </c>
    </row>
    <row r="1650" spans="1:102" x14ac:dyDescent="0.3">
      <c r="A1650" t="str">
        <f>HYPERLINK("https://webapp.icbf.com/v2/app/bull-search/view/1196707868","S2262")</f>
        <v>S2262</v>
      </c>
      <c r="B1650" t="s">
        <v>5965</v>
      </c>
      <c r="C1650" t="s">
        <v>2189</v>
      </c>
      <c r="D1650" s="1">
        <v>41196</v>
      </c>
      <c r="E1650" t="s">
        <v>92</v>
      </c>
      <c r="F1650">
        <v>100</v>
      </c>
      <c r="G1650" t="s">
        <v>109</v>
      </c>
      <c r="H1650">
        <v>96.13</v>
      </c>
      <c r="I1650">
        <v>82</v>
      </c>
      <c r="J1650">
        <v>79.510000000000005</v>
      </c>
      <c r="K1650">
        <v>93</v>
      </c>
      <c r="L1650">
        <v>-34.06</v>
      </c>
      <c r="M1650">
        <v>85</v>
      </c>
      <c r="N1650">
        <v>36.880000000000003</v>
      </c>
      <c r="O1650">
        <v>85</v>
      </c>
      <c r="P1650">
        <v>5.25</v>
      </c>
      <c r="Q1650">
        <v>67</v>
      </c>
      <c r="R1650">
        <v>2.3199999999999998</v>
      </c>
      <c r="S1650">
        <v>74</v>
      </c>
      <c r="T1650">
        <v>3.1</v>
      </c>
      <c r="U1650">
        <v>47</v>
      </c>
      <c r="V1650">
        <v>3.13</v>
      </c>
      <c r="W1650">
        <v>59</v>
      </c>
      <c r="X1650" t="s">
        <v>428</v>
      </c>
      <c r="Y1650" t="s">
        <v>367</v>
      </c>
      <c r="Z1650" t="s">
        <v>96</v>
      </c>
      <c r="AA1650" t="s">
        <v>1894</v>
      </c>
      <c r="AB1650" t="s">
        <v>5966</v>
      </c>
      <c r="AC1650">
        <v>0</v>
      </c>
      <c r="AD1650">
        <v>0</v>
      </c>
      <c r="AE1650">
        <v>93</v>
      </c>
      <c r="AF1650">
        <v>807.65</v>
      </c>
      <c r="AG1650">
        <v>16.829999999999998</v>
      </c>
      <c r="AH1650">
        <v>19.93</v>
      </c>
      <c r="AI1650">
        <v>-0.22</v>
      </c>
      <c r="AJ1650">
        <v>-0.11</v>
      </c>
      <c r="AK1650">
        <v>85</v>
      </c>
      <c r="AL1650">
        <v>0</v>
      </c>
      <c r="AM1650">
        <v>0</v>
      </c>
      <c r="AN1650">
        <v>3.9</v>
      </c>
      <c r="AO1650">
        <v>1.21</v>
      </c>
      <c r="AP1650">
        <v>218</v>
      </c>
      <c r="AQ1650">
        <v>0</v>
      </c>
      <c r="AR1650">
        <v>7.45</v>
      </c>
      <c r="AS1650">
        <v>86</v>
      </c>
      <c r="AT1650">
        <v>3.28</v>
      </c>
      <c r="AU1650">
        <v>98</v>
      </c>
      <c r="AV1650">
        <v>-4.28</v>
      </c>
      <c r="AW1650">
        <v>94</v>
      </c>
      <c r="AX1650">
        <v>-0.75</v>
      </c>
      <c r="AY1650">
        <v>83</v>
      </c>
      <c r="AZ1650">
        <v>6.04</v>
      </c>
      <c r="BA1650">
        <v>56</v>
      </c>
      <c r="BB1650">
        <v>4.71</v>
      </c>
      <c r="BC1650">
        <v>43</v>
      </c>
      <c r="BD1650">
        <v>-0.05</v>
      </c>
      <c r="BE1650">
        <v>0</v>
      </c>
      <c r="BF1650">
        <v>0.03</v>
      </c>
      <c r="BG1650">
        <v>91</v>
      </c>
      <c r="BH1650">
        <v>-0.05</v>
      </c>
      <c r="BI1650">
        <v>-15.88</v>
      </c>
      <c r="BJ1650">
        <v>4</v>
      </c>
      <c r="BK1650">
        <v>3</v>
      </c>
      <c r="BL1650">
        <v>0.56000000000000005</v>
      </c>
      <c r="BM1650">
        <v>0.8</v>
      </c>
      <c r="BN1650">
        <v>1.77</v>
      </c>
      <c r="BO1650">
        <v>1.71</v>
      </c>
      <c r="BP1650">
        <v>0.71</v>
      </c>
      <c r="BQ1650">
        <v>-0.3</v>
      </c>
      <c r="BR1650">
        <v>-2.7</v>
      </c>
      <c r="BS1650">
        <v>3.09</v>
      </c>
      <c r="BT1650">
        <v>1.72</v>
      </c>
      <c r="BU1650">
        <v>2.41</v>
      </c>
      <c r="BV1650">
        <v>3.45</v>
      </c>
      <c r="BW1650">
        <v>1.83</v>
      </c>
      <c r="BX1650">
        <v>0.47</v>
      </c>
      <c r="BY1650">
        <v>1.72</v>
      </c>
      <c r="BZ1650">
        <v>-0.55000000000000004</v>
      </c>
      <c r="CA1650">
        <v>2.35</v>
      </c>
      <c r="CB1650">
        <v>2.2999999999999998</v>
      </c>
      <c r="CC1650">
        <v>1.83</v>
      </c>
      <c r="CD1650">
        <v>-0.48</v>
      </c>
      <c r="CE1650">
        <v>1.01</v>
      </c>
      <c r="CF1650">
        <v>0.78</v>
      </c>
      <c r="CG1650">
        <v>0</v>
      </c>
      <c r="CH1650">
        <v>1.5</v>
      </c>
      <c r="CI1650">
        <v>0</v>
      </c>
      <c r="CJ1650">
        <v>4.4000000000000004</v>
      </c>
      <c r="CK1650">
        <v>70</v>
      </c>
      <c r="CL1650">
        <v>-0.6</v>
      </c>
      <c r="CM1650">
        <v>66</v>
      </c>
      <c r="CN1650">
        <v>-0.45</v>
      </c>
      <c r="CO1650">
        <v>65</v>
      </c>
      <c r="CP1650">
        <v>0.7</v>
      </c>
      <c r="CQ1650">
        <v>52</v>
      </c>
      <c r="CR1650">
        <v>0</v>
      </c>
      <c r="CS1650">
        <v>0</v>
      </c>
      <c r="CT1650">
        <v>9.6</v>
      </c>
      <c r="CU1650">
        <v>47</v>
      </c>
      <c r="CV1650">
        <v>0.23</v>
      </c>
      <c r="CW1650">
        <v>39</v>
      </c>
      <c r="CX1650" t="s">
        <v>4548</v>
      </c>
    </row>
    <row r="1651" spans="1:102" x14ac:dyDescent="0.3">
      <c r="A1651" t="str">
        <f>HYPERLINK("https://webapp.icbf.com/v2/app/bull-search/view/1061222704","S1542")</f>
        <v>S1542</v>
      </c>
      <c r="B1651" t="s">
        <v>5977</v>
      </c>
      <c r="C1651" t="s">
        <v>5978</v>
      </c>
      <c r="D1651" s="1">
        <v>40576</v>
      </c>
      <c r="E1651" t="s">
        <v>227</v>
      </c>
      <c r="F1651">
        <v>0</v>
      </c>
      <c r="G1651" t="s">
        <v>109</v>
      </c>
      <c r="H1651">
        <v>95.99</v>
      </c>
      <c r="I1651">
        <v>80</v>
      </c>
      <c r="J1651">
        <v>20.9</v>
      </c>
      <c r="K1651">
        <v>93</v>
      </c>
      <c r="L1651">
        <v>35.99</v>
      </c>
      <c r="M1651">
        <v>79</v>
      </c>
      <c r="N1651">
        <v>25.25</v>
      </c>
      <c r="O1651">
        <v>75</v>
      </c>
      <c r="P1651">
        <v>-44.43</v>
      </c>
      <c r="Q1651">
        <v>73</v>
      </c>
      <c r="R1651">
        <v>4.45</v>
      </c>
      <c r="S1651">
        <v>70</v>
      </c>
      <c r="T1651">
        <v>50.38</v>
      </c>
      <c r="U1651">
        <v>62</v>
      </c>
      <c r="V1651">
        <v>3.45</v>
      </c>
      <c r="W1651">
        <v>59</v>
      </c>
      <c r="X1651" t="s">
        <v>276</v>
      </c>
      <c r="Y1651" t="s">
        <v>362</v>
      </c>
      <c r="Z1651">
        <v>0</v>
      </c>
      <c r="AA1651" t="s">
        <v>5291</v>
      </c>
      <c r="AB1651" t="s">
        <v>5979</v>
      </c>
      <c r="AC1651">
        <v>44</v>
      </c>
      <c r="AD1651">
        <v>21</v>
      </c>
      <c r="AE1651">
        <v>93</v>
      </c>
      <c r="AF1651">
        <v>-677.41</v>
      </c>
      <c r="AG1651">
        <v>10.39</v>
      </c>
      <c r="AH1651">
        <v>-10.49</v>
      </c>
      <c r="AI1651">
        <v>0.73</v>
      </c>
      <c r="AJ1651">
        <v>0.25</v>
      </c>
      <c r="AK1651">
        <v>79</v>
      </c>
      <c r="AL1651">
        <v>42</v>
      </c>
      <c r="AM1651">
        <v>23</v>
      </c>
      <c r="AN1651">
        <v>-0.43</v>
      </c>
      <c r="AO1651">
        <v>2.46</v>
      </c>
      <c r="AP1651">
        <v>80</v>
      </c>
      <c r="AQ1651">
        <v>2</v>
      </c>
      <c r="AR1651">
        <v>3.6</v>
      </c>
      <c r="AS1651">
        <v>70</v>
      </c>
      <c r="AT1651">
        <v>2.02</v>
      </c>
      <c r="AU1651">
        <v>72</v>
      </c>
      <c r="AV1651">
        <v>-2.0499999999999998</v>
      </c>
      <c r="AW1651">
        <v>89</v>
      </c>
      <c r="AX1651">
        <v>3.14</v>
      </c>
      <c r="AY1651">
        <v>70</v>
      </c>
      <c r="AZ1651">
        <v>6.51</v>
      </c>
      <c r="BA1651">
        <v>52</v>
      </c>
      <c r="BB1651">
        <v>4.92</v>
      </c>
      <c r="BC1651">
        <v>45</v>
      </c>
      <c r="BD1651">
        <v>-0.08</v>
      </c>
      <c r="BE1651">
        <v>-0.01</v>
      </c>
      <c r="BF1651">
        <v>0.05</v>
      </c>
      <c r="BG1651">
        <v>79</v>
      </c>
      <c r="BH1651">
        <v>0.12</v>
      </c>
      <c r="BI1651">
        <v>2.74</v>
      </c>
      <c r="BJ1651">
        <v>6</v>
      </c>
      <c r="BK1651">
        <v>4</v>
      </c>
      <c r="BL1651">
        <v>-0.36</v>
      </c>
      <c r="BM1651">
        <v>-0.54</v>
      </c>
      <c r="BN1651">
        <v>0.38</v>
      </c>
      <c r="BO1651">
        <v>1.04</v>
      </c>
      <c r="BP1651">
        <v>-0.37</v>
      </c>
      <c r="BQ1651">
        <v>-2.34</v>
      </c>
      <c r="BR1651">
        <v>0.69</v>
      </c>
      <c r="BS1651">
        <v>5.7</v>
      </c>
      <c r="BT1651">
        <v>-0.12</v>
      </c>
      <c r="BU1651">
        <v>0.73</v>
      </c>
      <c r="BV1651">
        <v>0.9</v>
      </c>
      <c r="BW1651">
        <v>-0.61</v>
      </c>
      <c r="BX1651">
        <v>-1.18</v>
      </c>
      <c r="BY1651">
        <v>0.04</v>
      </c>
      <c r="BZ1651">
        <v>-0.24</v>
      </c>
      <c r="CA1651">
        <v>2.34</v>
      </c>
      <c r="CB1651">
        <v>1.33</v>
      </c>
      <c r="CC1651">
        <v>3.36</v>
      </c>
      <c r="CD1651">
        <v>-1.36</v>
      </c>
      <c r="CE1651">
        <v>1.3</v>
      </c>
      <c r="CF1651">
        <v>0.37</v>
      </c>
      <c r="CG1651">
        <v>0</v>
      </c>
      <c r="CH1651">
        <v>1.02</v>
      </c>
      <c r="CI1651">
        <v>0</v>
      </c>
      <c r="CJ1651">
        <v>-21.5</v>
      </c>
      <c r="CK1651">
        <v>77</v>
      </c>
      <c r="CL1651">
        <v>-1.05</v>
      </c>
      <c r="CM1651">
        <v>71</v>
      </c>
      <c r="CN1651">
        <v>-0.15</v>
      </c>
      <c r="CO1651">
        <v>69</v>
      </c>
      <c r="CP1651">
        <v>-37.9</v>
      </c>
      <c r="CQ1651">
        <v>59</v>
      </c>
      <c r="CR1651">
        <v>0</v>
      </c>
      <c r="CS1651">
        <v>0</v>
      </c>
      <c r="CT1651">
        <v>-54.3</v>
      </c>
      <c r="CU1651">
        <v>62</v>
      </c>
      <c r="CV1651">
        <v>-0.1</v>
      </c>
      <c r="CW1651">
        <v>41</v>
      </c>
      <c r="CX1651" t="s">
        <v>5246</v>
      </c>
    </row>
    <row r="1652" spans="1:102" x14ac:dyDescent="0.3">
      <c r="A1652" t="str">
        <f>HYPERLINK("https://webapp.icbf.com/v2/app/bull-search/view/506259953","PZI")</f>
        <v>PZI</v>
      </c>
      <c r="B1652" t="s">
        <v>12095</v>
      </c>
      <c r="C1652" t="s">
        <v>5993</v>
      </c>
      <c r="D1652" s="1">
        <v>38394</v>
      </c>
      <c r="E1652" t="s">
        <v>108</v>
      </c>
      <c r="F1652">
        <v>0</v>
      </c>
      <c r="G1652" t="s">
        <v>93</v>
      </c>
      <c r="H1652">
        <v>95.96</v>
      </c>
      <c r="I1652">
        <v>98</v>
      </c>
      <c r="J1652">
        <v>33</v>
      </c>
      <c r="K1652">
        <v>99</v>
      </c>
      <c r="L1652">
        <v>49.77</v>
      </c>
      <c r="M1652">
        <v>98</v>
      </c>
      <c r="N1652">
        <v>17.899999999999999</v>
      </c>
      <c r="O1652">
        <v>99</v>
      </c>
      <c r="P1652">
        <v>0</v>
      </c>
      <c r="Q1652">
        <v>99</v>
      </c>
      <c r="R1652">
        <v>-9.19</v>
      </c>
      <c r="S1652">
        <v>98</v>
      </c>
      <c r="T1652">
        <v>-4.08</v>
      </c>
      <c r="U1652">
        <v>99</v>
      </c>
      <c r="V1652">
        <v>8.56</v>
      </c>
      <c r="W1652">
        <v>94</v>
      </c>
      <c r="X1652" t="s">
        <v>102</v>
      </c>
      <c r="Y1652" t="s">
        <v>1128</v>
      </c>
      <c r="Z1652" t="s">
        <v>96</v>
      </c>
      <c r="AA1652" t="s">
        <v>6463</v>
      </c>
      <c r="AB1652" t="s">
        <v>12096</v>
      </c>
      <c r="AC1652">
        <v>8105</v>
      </c>
      <c r="AD1652">
        <v>1346</v>
      </c>
      <c r="AE1652">
        <v>99</v>
      </c>
      <c r="AF1652">
        <v>48.62</v>
      </c>
      <c r="AG1652">
        <v>5.87</v>
      </c>
      <c r="AH1652">
        <v>4.28</v>
      </c>
      <c r="AI1652">
        <v>7.0000000000000007E-2</v>
      </c>
      <c r="AJ1652">
        <v>0.05</v>
      </c>
      <c r="AK1652">
        <v>98</v>
      </c>
      <c r="AL1652">
        <v>12758</v>
      </c>
      <c r="AM1652">
        <v>2358</v>
      </c>
      <c r="AN1652">
        <v>-3.4</v>
      </c>
      <c r="AO1652">
        <v>0.56000000000000005</v>
      </c>
      <c r="AP1652">
        <v>20374</v>
      </c>
      <c r="AQ1652">
        <v>193</v>
      </c>
      <c r="AR1652">
        <v>7.85</v>
      </c>
      <c r="AS1652">
        <v>99</v>
      </c>
      <c r="AT1652">
        <v>3.29</v>
      </c>
      <c r="AU1652">
        <v>99</v>
      </c>
      <c r="AV1652">
        <v>-1.93</v>
      </c>
      <c r="AW1652">
        <v>99</v>
      </c>
      <c r="AX1652">
        <v>-0.24</v>
      </c>
      <c r="AY1652">
        <v>99</v>
      </c>
      <c r="AZ1652">
        <v>5.24</v>
      </c>
      <c r="BA1652">
        <v>99</v>
      </c>
      <c r="BB1652">
        <v>4.49</v>
      </c>
      <c r="BC1652">
        <v>99</v>
      </c>
      <c r="BD1652">
        <v>0.05</v>
      </c>
      <c r="BE1652">
        <v>0.02</v>
      </c>
      <c r="BF1652">
        <v>0.09</v>
      </c>
      <c r="BG1652">
        <v>99</v>
      </c>
      <c r="BH1652">
        <v>0.15</v>
      </c>
      <c r="BI1652">
        <v>-10.27</v>
      </c>
      <c r="BJ1652">
        <v>307</v>
      </c>
      <c r="BK1652">
        <v>119</v>
      </c>
      <c r="BL1652">
        <v>-1.44</v>
      </c>
      <c r="BM1652">
        <v>2.2000000000000002</v>
      </c>
      <c r="BN1652">
        <v>-0.76</v>
      </c>
      <c r="BO1652">
        <v>-1.43</v>
      </c>
      <c r="BP1652">
        <v>-3.66</v>
      </c>
      <c r="BQ1652">
        <v>4.51</v>
      </c>
      <c r="BR1652">
        <v>-3.29</v>
      </c>
      <c r="BS1652">
        <v>-1.21</v>
      </c>
      <c r="BT1652">
        <v>2.0099999999999998</v>
      </c>
      <c r="BU1652">
        <v>-2.91</v>
      </c>
      <c r="BV1652">
        <v>-2.57</v>
      </c>
      <c r="BW1652">
        <v>-0.81</v>
      </c>
      <c r="BX1652">
        <v>-1.74</v>
      </c>
      <c r="BY1652">
        <v>0.55000000000000004</v>
      </c>
      <c r="BZ1652">
        <v>-0.76</v>
      </c>
      <c r="CA1652">
        <v>-0.96</v>
      </c>
      <c r="CB1652">
        <v>-0.9</v>
      </c>
      <c r="CC1652">
        <v>-0.63</v>
      </c>
      <c r="CD1652">
        <v>1.46</v>
      </c>
      <c r="CE1652">
        <v>-0.73</v>
      </c>
      <c r="CF1652">
        <v>-0.26</v>
      </c>
      <c r="CG1652">
        <v>0</v>
      </c>
      <c r="CH1652">
        <v>0.49</v>
      </c>
      <c r="CI1652">
        <v>0</v>
      </c>
      <c r="CJ1652">
        <v>-1.3</v>
      </c>
      <c r="CK1652">
        <v>99</v>
      </c>
      <c r="CL1652">
        <v>-0.37</v>
      </c>
      <c r="CM1652">
        <v>99</v>
      </c>
      <c r="CN1652">
        <v>-0.46</v>
      </c>
      <c r="CO1652">
        <v>99</v>
      </c>
      <c r="CP1652">
        <v>1.5</v>
      </c>
      <c r="CQ1652">
        <v>99</v>
      </c>
      <c r="CR1652">
        <v>0</v>
      </c>
      <c r="CS1652">
        <v>0</v>
      </c>
      <c r="CT1652">
        <v>19.3</v>
      </c>
      <c r="CU1652">
        <v>99</v>
      </c>
      <c r="CV1652">
        <v>0.11</v>
      </c>
      <c r="CW1652">
        <v>46</v>
      </c>
      <c r="CX1652" t="s">
        <v>1224</v>
      </c>
    </row>
    <row r="1653" spans="1:102" x14ac:dyDescent="0.3">
      <c r="A1653" t="str">
        <f>HYPERLINK("https://webapp.icbf.com/v2/app/bull-search/view/1539435698","FR4525")</f>
        <v>FR4525</v>
      </c>
      <c r="B1653" t="s">
        <v>15300</v>
      </c>
      <c r="C1653" t="s">
        <v>15301</v>
      </c>
      <c r="D1653" s="1">
        <v>42628</v>
      </c>
      <c r="E1653" t="s">
        <v>108</v>
      </c>
      <c r="F1653">
        <v>0</v>
      </c>
      <c r="G1653" t="s">
        <v>435</v>
      </c>
      <c r="H1653">
        <v>95.92</v>
      </c>
      <c r="I1653">
        <v>63</v>
      </c>
      <c r="J1653">
        <v>-79.36</v>
      </c>
      <c r="K1653">
        <v>81</v>
      </c>
      <c r="L1653">
        <v>132.53</v>
      </c>
      <c r="M1653">
        <v>55</v>
      </c>
      <c r="N1653">
        <v>29.81</v>
      </c>
      <c r="O1653">
        <v>71</v>
      </c>
      <c r="P1653">
        <v>-8.7799999999999994</v>
      </c>
      <c r="Q1653">
        <v>44</v>
      </c>
      <c r="R1653">
        <v>9.1</v>
      </c>
      <c r="S1653">
        <v>54</v>
      </c>
      <c r="T1653">
        <v>14.42</v>
      </c>
      <c r="U1653">
        <v>42</v>
      </c>
      <c r="V1653">
        <v>-1.8</v>
      </c>
      <c r="W1653">
        <v>52</v>
      </c>
      <c r="X1653" t="s">
        <v>94</v>
      </c>
      <c r="Y1653" t="s">
        <v>442</v>
      </c>
      <c r="Z1653" t="s">
        <v>96</v>
      </c>
      <c r="AA1653" t="s">
        <v>2416</v>
      </c>
      <c r="AB1653" t="s">
        <v>15302</v>
      </c>
      <c r="AC1653">
        <v>0</v>
      </c>
      <c r="AD1653">
        <v>0</v>
      </c>
      <c r="AE1653">
        <v>81</v>
      </c>
      <c r="AF1653">
        <v>-445.3</v>
      </c>
      <c r="AG1653">
        <v>-18.21</v>
      </c>
      <c r="AH1653">
        <v>-13.87</v>
      </c>
      <c r="AI1653">
        <v>-0.02</v>
      </c>
      <c r="AJ1653">
        <v>0.03</v>
      </c>
      <c r="AK1653">
        <v>55</v>
      </c>
      <c r="AL1653">
        <v>0</v>
      </c>
      <c r="AM1653">
        <v>0</v>
      </c>
      <c r="AN1653">
        <v>-7.95</v>
      </c>
      <c r="AO1653">
        <v>2.61</v>
      </c>
      <c r="AP1653">
        <v>73</v>
      </c>
      <c r="AQ1653">
        <v>0</v>
      </c>
      <c r="AR1653">
        <v>5.16</v>
      </c>
      <c r="AS1653">
        <v>55</v>
      </c>
      <c r="AT1653">
        <v>2.1</v>
      </c>
      <c r="AU1653">
        <v>73</v>
      </c>
      <c r="AV1653">
        <v>-2.4900000000000002</v>
      </c>
      <c r="AW1653">
        <v>90</v>
      </c>
      <c r="AX1653">
        <v>0.08</v>
      </c>
      <c r="AY1653">
        <v>63</v>
      </c>
      <c r="AZ1653">
        <v>6.73</v>
      </c>
      <c r="BA1653">
        <v>32</v>
      </c>
      <c r="BB1653">
        <v>5.53</v>
      </c>
      <c r="BC1653">
        <v>33</v>
      </c>
      <c r="BD1653">
        <v>-0.02</v>
      </c>
      <c r="BE1653">
        <v>-0.04</v>
      </c>
      <c r="BF1653">
        <v>-0.1</v>
      </c>
      <c r="BG1653">
        <v>61</v>
      </c>
      <c r="BH1653">
        <v>-0.01</v>
      </c>
      <c r="BI1653">
        <v>4.6399999999999997</v>
      </c>
      <c r="BJ1653">
        <v>0</v>
      </c>
      <c r="BK1653">
        <v>0</v>
      </c>
      <c r="BL1653">
        <v>-3.12</v>
      </c>
      <c r="BM1653">
        <v>2.27</v>
      </c>
      <c r="BN1653">
        <v>-1.95</v>
      </c>
      <c r="BO1653">
        <v>-2.4900000000000002</v>
      </c>
      <c r="BP1653">
        <v>-0.77</v>
      </c>
      <c r="BQ1653">
        <v>0.49</v>
      </c>
      <c r="BR1653">
        <v>-2.1</v>
      </c>
      <c r="BS1653">
        <v>1.2</v>
      </c>
      <c r="BT1653">
        <v>0.77</v>
      </c>
      <c r="BU1653">
        <v>-1.43</v>
      </c>
      <c r="BV1653">
        <v>-1.59</v>
      </c>
      <c r="BW1653">
        <v>-1.26</v>
      </c>
      <c r="BX1653">
        <v>-0.74</v>
      </c>
      <c r="BY1653">
        <v>-0.41</v>
      </c>
      <c r="BZ1653">
        <v>-0.28000000000000003</v>
      </c>
      <c r="CA1653">
        <v>-0.93</v>
      </c>
      <c r="CB1653">
        <v>-1.46</v>
      </c>
      <c r="CC1653">
        <v>0.24</v>
      </c>
      <c r="CD1653">
        <v>2.61</v>
      </c>
      <c r="CE1653">
        <v>-2.79</v>
      </c>
      <c r="CF1653">
        <v>-2.83</v>
      </c>
      <c r="CG1653">
        <v>0</v>
      </c>
      <c r="CH1653">
        <v>-1.33</v>
      </c>
      <c r="CI1653">
        <v>0</v>
      </c>
      <c r="CJ1653">
        <v>-2.2000000000000002</v>
      </c>
      <c r="CK1653">
        <v>45</v>
      </c>
      <c r="CL1653">
        <v>-0.13</v>
      </c>
      <c r="CM1653">
        <v>44</v>
      </c>
      <c r="CN1653">
        <v>0.27</v>
      </c>
      <c r="CO1653">
        <v>44</v>
      </c>
      <c r="CP1653">
        <v>-8.3000000000000007</v>
      </c>
      <c r="CQ1653">
        <v>42</v>
      </c>
      <c r="CR1653">
        <v>0</v>
      </c>
      <c r="CS1653">
        <v>0</v>
      </c>
      <c r="CT1653">
        <v>-5.7</v>
      </c>
      <c r="CU1653">
        <v>42</v>
      </c>
      <c r="CV1653">
        <v>0.1</v>
      </c>
      <c r="CW1653">
        <v>34</v>
      </c>
      <c r="CX1653" t="s">
        <v>5174</v>
      </c>
    </row>
    <row r="1654" spans="1:102" x14ac:dyDescent="0.3">
      <c r="A1654" t="str">
        <f>HYPERLINK("https://webapp.icbf.com/v2/app/bull-search/view/558496497","KBS")</f>
        <v>KBS</v>
      </c>
      <c r="B1654" t="s">
        <v>5089</v>
      </c>
      <c r="C1654" t="s">
        <v>5090</v>
      </c>
      <c r="D1654" s="1">
        <v>39488</v>
      </c>
      <c r="E1654" t="s">
        <v>92</v>
      </c>
      <c r="F1654">
        <v>88</v>
      </c>
      <c r="G1654" t="s">
        <v>93</v>
      </c>
      <c r="H1654">
        <v>95.8</v>
      </c>
      <c r="I1654">
        <v>91</v>
      </c>
      <c r="J1654">
        <v>80.41</v>
      </c>
      <c r="K1654">
        <v>98</v>
      </c>
      <c r="L1654">
        <v>-35.82</v>
      </c>
      <c r="M1654">
        <v>84</v>
      </c>
      <c r="N1654">
        <v>44.75</v>
      </c>
      <c r="O1654">
        <v>92</v>
      </c>
      <c r="P1654">
        <v>-8.7200000000000006</v>
      </c>
      <c r="Q1654">
        <v>96</v>
      </c>
      <c r="R1654">
        <v>-8.3800000000000008</v>
      </c>
      <c r="S1654">
        <v>86</v>
      </c>
      <c r="T1654">
        <v>7.17</v>
      </c>
      <c r="U1654">
        <v>92</v>
      </c>
      <c r="V1654">
        <v>16.39</v>
      </c>
      <c r="W1654">
        <v>86</v>
      </c>
      <c r="X1654" t="s">
        <v>94</v>
      </c>
      <c r="Y1654" t="s">
        <v>1513</v>
      </c>
      <c r="Z1654" t="s">
        <v>330</v>
      </c>
      <c r="AA1654" t="s">
        <v>2889</v>
      </c>
      <c r="AB1654" t="s">
        <v>5091</v>
      </c>
      <c r="AC1654">
        <v>269</v>
      </c>
      <c r="AD1654">
        <v>137</v>
      </c>
      <c r="AE1654">
        <v>98</v>
      </c>
      <c r="AF1654">
        <v>356.95</v>
      </c>
      <c r="AG1654">
        <v>18.88</v>
      </c>
      <c r="AH1654">
        <v>12.46</v>
      </c>
      <c r="AI1654">
        <v>0.08</v>
      </c>
      <c r="AJ1654">
        <v>0.01</v>
      </c>
      <c r="AK1654">
        <v>84</v>
      </c>
      <c r="AL1654">
        <v>276</v>
      </c>
      <c r="AM1654">
        <v>147</v>
      </c>
      <c r="AN1654">
        <v>1.69</v>
      </c>
      <c r="AO1654">
        <v>-1.17</v>
      </c>
      <c r="AP1654">
        <v>585</v>
      </c>
      <c r="AQ1654">
        <v>5</v>
      </c>
      <c r="AR1654">
        <v>4.84</v>
      </c>
      <c r="AS1654">
        <v>89</v>
      </c>
      <c r="AT1654">
        <v>2.0099999999999998</v>
      </c>
      <c r="AU1654">
        <v>93</v>
      </c>
      <c r="AV1654">
        <v>-3.19</v>
      </c>
      <c r="AW1654">
        <v>99</v>
      </c>
      <c r="AX1654">
        <v>0.21</v>
      </c>
      <c r="AY1654">
        <v>92</v>
      </c>
      <c r="AZ1654">
        <v>5.22</v>
      </c>
      <c r="BA1654">
        <v>78</v>
      </c>
      <c r="BB1654">
        <v>4.21</v>
      </c>
      <c r="BC1654">
        <v>76</v>
      </c>
      <c r="BD1654">
        <v>0.04</v>
      </c>
      <c r="BE1654">
        <v>0.04</v>
      </c>
      <c r="BF1654">
        <v>0.05</v>
      </c>
      <c r="BG1654">
        <v>94</v>
      </c>
      <c r="BH1654">
        <v>0.25</v>
      </c>
      <c r="BI1654">
        <v>-23.94</v>
      </c>
      <c r="BJ1654">
        <v>41</v>
      </c>
      <c r="BK1654">
        <v>26</v>
      </c>
      <c r="BL1654">
        <v>-0.68</v>
      </c>
      <c r="BM1654">
        <v>0.34</v>
      </c>
      <c r="BN1654">
        <v>0.27</v>
      </c>
      <c r="BO1654">
        <v>0.15</v>
      </c>
      <c r="BP1654">
        <v>-0.19</v>
      </c>
      <c r="BQ1654">
        <v>-2.9</v>
      </c>
      <c r="BR1654">
        <v>1.67</v>
      </c>
      <c r="BS1654">
        <v>-2.58</v>
      </c>
      <c r="BT1654">
        <v>-1.49</v>
      </c>
      <c r="BU1654">
        <v>-0.41</v>
      </c>
      <c r="BV1654">
        <v>-0.73</v>
      </c>
      <c r="BW1654">
        <v>-1.23</v>
      </c>
      <c r="BX1654">
        <v>-1.9</v>
      </c>
      <c r="BY1654">
        <v>-0.56999999999999995</v>
      </c>
      <c r="BZ1654">
        <v>-0.98</v>
      </c>
      <c r="CA1654">
        <v>-0.74</v>
      </c>
      <c r="CB1654">
        <v>-0.46</v>
      </c>
      <c r="CC1654">
        <v>-1.44</v>
      </c>
      <c r="CD1654">
        <v>-0.03</v>
      </c>
      <c r="CE1654">
        <v>0.32</v>
      </c>
      <c r="CF1654">
        <v>-0.74</v>
      </c>
      <c r="CG1654">
        <v>0</v>
      </c>
      <c r="CH1654">
        <v>-0.7</v>
      </c>
      <c r="CI1654">
        <v>0</v>
      </c>
      <c r="CJ1654">
        <v>-1.7</v>
      </c>
      <c r="CK1654">
        <v>97</v>
      </c>
      <c r="CL1654">
        <v>-0.75</v>
      </c>
      <c r="CM1654">
        <v>96</v>
      </c>
      <c r="CN1654">
        <v>-0.21</v>
      </c>
      <c r="CO1654">
        <v>96</v>
      </c>
      <c r="CP1654">
        <v>-7.3</v>
      </c>
      <c r="CQ1654">
        <v>94</v>
      </c>
      <c r="CR1654">
        <v>0</v>
      </c>
      <c r="CS1654">
        <v>0</v>
      </c>
      <c r="CT1654">
        <v>4.0999999999999996</v>
      </c>
      <c r="CU1654">
        <v>92</v>
      </c>
      <c r="CV1654">
        <v>0.19</v>
      </c>
      <c r="CW1654">
        <v>46</v>
      </c>
      <c r="CX1654" t="s">
        <v>1165</v>
      </c>
    </row>
    <row r="1655" spans="1:102" x14ac:dyDescent="0.3">
      <c r="A1655" t="str">
        <f>HYPERLINK("https://webapp.icbf.com/v2/app/bull-search/view/586063672","IMO")</f>
        <v>IMO</v>
      </c>
      <c r="B1655" t="s">
        <v>11767</v>
      </c>
      <c r="C1655" t="s">
        <v>11768</v>
      </c>
      <c r="D1655" s="1">
        <v>38165</v>
      </c>
      <c r="E1655" t="s">
        <v>92</v>
      </c>
      <c r="F1655">
        <v>100</v>
      </c>
      <c r="G1655" t="s">
        <v>93</v>
      </c>
      <c r="H1655">
        <v>95.76</v>
      </c>
      <c r="I1655">
        <v>97</v>
      </c>
      <c r="J1655">
        <v>99.88</v>
      </c>
      <c r="K1655">
        <v>99</v>
      </c>
      <c r="L1655">
        <v>-39.14</v>
      </c>
      <c r="M1655">
        <v>95</v>
      </c>
      <c r="N1655">
        <v>43.12</v>
      </c>
      <c r="O1655">
        <v>98</v>
      </c>
      <c r="P1655">
        <v>0.3</v>
      </c>
      <c r="Q1655">
        <v>99</v>
      </c>
      <c r="R1655">
        <v>2.0699999999999998</v>
      </c>
      <c r="S1655">
        <v>96</v>
      </c>
      <c r="T1655">
        <v>-16.14</v>
      </c>
      <c r="U1655">
        <v>99</v>
      </c>
      <c r="V1655">
        <v>5.67</v>
      </c>
      <c r="W1655">
        <v>97</v>
      </c>
      <c r="X1655" t="s">
        <v>102</v>
      </c>
      <c r="Y1655" t="s">
        <v>235</v>
      </c>
      <c r="Z1655" t="s">
        <v>96</v>
      </c>
      <c r="AA1655" t="s">
        <v>316</v>
      </c>
      <c r="AB1655" t="s">
        <v>11769</v>
      </c>
      <c r="AC1655">
        <v>1473</v>
      </c>
      <c r="AD1655">
        <v>437</v>
      </c>
      <c r="AE1655">
        <v>99</v>
      </c>
      <c r="AF1655">
        <v>652.1</v>
      </c>
      <c r="AG1655">
        <v>20.29</v>
      </c>
      <c r="AH1655">
        <v>19.79</v>
      </c>
      <c r="AI1655">
        <v>-0.08</v>
      </c>
      <c r="AJ1655">
        <v>-0.04</v>
      </c>
      <c r="AK1655">
        <v>95</v>
      </c>
      <c r="AL1655">
        <v>1662</v>
      </c>
      <c r="AM1655">
        <v>516</v>
      </c>
      <c r="AN1655">
        <v>2.25</v>
      </c>
      <c r="AO1655">
        <v>-0.87</v>
      </c>
      <c r="AP1655">
        <v>2656</v>
      </c>
      <c r="AQ1655">
        <v>10</v>
      </c>
      <c r="AR1655">
        <v>6.19</v>
      </c>
      <c r="AS1655">
        <v>97</v>
      </c>
      <c r="AT1655">
        <v>2.4</v>
      </c>
      <c r="AU1655">
        <v>98</v>
      </c>
      <c r="AV1655">
        <v>-3.68</v>
      </c>
      <c r="AW1655">
        <v>99</v>
      </c>
      <c r="AX1655">
        <v>-0.13</v>
      </c>
      <c r="AY1655">
        <v>98</v>
      </c>
      <c r="AZ1655">
        <v>5.21</v>
      </c>
      <c r="BA1655">
        <v>95</v>
      </c>
      <c r="BB1655">
        <v>4.45</v>
      </c>
      <c r="BC1655">
        <v>96</v>
      </c>
      <c r="BD1655">
        <v>-0.04</v>
      </c>
      <c r="BE1655">
        <v>0.01</v>
      </c>
      <c r="BF1655">
        <v>0</v>
      </c>
      <c r="BG1655">
        <v>98</v>
      </c>
      <c r="BH1655">
        <v>0.03</v>
      </c>
      <c r="BI1655">
        <v>-14.82</v>
      </c>
      <c r="BJ1655">
        <v>61</v>
      </c>
      <c r="BK1655">
        <v>26</v>
      </c>
      <c r="BL1655">
        <v>1.45</v>
      </c>
      <c r="BM1655">
        <v>2.81</v>
      </c>
      <c r="BN1655">
        <v>1.77</v>
      </c>
      <c r="BO1655">
        <v>0.03</v>
      </c>
      <c r="BP1655">
        <v>0.83</v>
      </c>
      <c r="BQ1655">
        <v>2.61</v>
      </c>
      <c r="BR1655">
        <v>-0.22</v>
      </c>
      <c r="BS1655">
        <v>-0.61</v>
      </c>
      <c r="BT1655">
        <v>-0.17</v>
      </c>
      <c r="BU1655">
        <v>-0.61</v>
      </c>
      <c r="BV1655">
        <v>-0.6</v>
      </c>
      <c r="BW1655">
        <v>-0.6</v>
      </c>
      <c r="BX1655">
        <v>-0.91</v>
      </c>
      <c r="BY1655">
        <v>0.24</v>
      </c>
      <c r="BZ1655">
        <v>0.72</v>
      </c>
      <c r="CA1655">
        <v>-0.39</v>
      </c>
      <c r="CB1655">
        <v>-0.24</v>
      </c>
      <c r="CC1655">
        <v>-0.38</v>
      </c>
      <c r="CD1655">
        <v>0.88</v>
      </c>
      <c r="CE1655">
        <v>0.08</v>
      </c>
      <c r="CF1655">
        <v>2.31</v>
      </c>
      <c r="CG1655">
        <v>0</v>
      </c>
      <c r="CH1655">
        <v>0.26</v>
      </c>
      <c r="CI1655">
        <v>0</v>
      </c>
      <c r="CJ1655">
        <v>5.5</v>
      </c>
      <c r="CK1655">
        <v>99</v>
      </c>
      <c r="CL1655">
        <v>-0.94</v>
      </c>
      <c r="CM1655">
        <v>99</v>
      </c>
      <c r="CN1655">
        <v>-0.03</v>
      </c>
      <c r="CO1655">
        <v>99</v>
      </c>
      <c r="CP1655">
        <v>13.7</v>
      </c>
      <c r="CQ1655">
        <v>99</v>
      </c>
      <c r="CR1655">
        <v>0</v>
      </c>
      <c r="CS1655">
        <v>0</v>
      </c>
      <c r="CT1655">
        <v>35.6</v>
      </c>
      <c r="CU1655">
        <v>99</v>
      </c>
      <c r="CV1655">
        <v>0.39</v>
      </c>
      <c r="CW1655">
        <v>49</v>
      </c>
      <c r="CX1655" t="s">
        <v>172</v>
      </c>
    </row>
    <row r="1656" spans="1:102" x14ac:dyDescent="0.3">
      <c r="A1656" t="str">
        <f>HYPERLINK("https://webapp.icbf.com/v2/app/bull-search/view/77859061","COG")</f>
        <v>COG</v>
      </c>
      <c r="B1656" t="s">
        <v>14743</v>
      </c>
      <c r="C1656" t="s">
        <v>14744</v>
      </c>
      <c r="D1656" s="1">
        <v>32894</v>
      </c>
      <c r="E1656" t="s">
        <v>108</v>
      </c>
      <c r="F1656">
        <v>0</v>
      </c>
      <c r="G1656" t="s">
        <v>93</v>
      </c>
      <c r="H1656">
        <v>95.74</v>
      </c>
      <c r="I1656">
        <v>71</v>
      </c>
      <c r="J1656">
        <v>-48.9</v>
      </c>
      <c r="K1656">
        <v>86</v>
      </c>
      <c r="L1656">
        <v>138.25</v>
      </c>
      <c r="M1656">
        <v>64</v>
      </c>
      <c r="N1656">
        <v>5.45</v>
      </c>
      <c r="O1656">
        <v>54</v>
      </c>
      <c r="P1656">
        <v>-20.29</v>
      </c>
      <c r="Q1656">
        <v>70</v>
      </c>
      <c r="R1656">
        <v>-0.64</v>
      </c>
      <c r="S1656">
        <v>66</v>
      </c>
      <c r="T1656">
        <v>21.74</v>
      </c>
      <c r="U1656">
        <v>70</v>
      </c>
      <c r="V1656">
        <v>0.13</v>
      </c>
      <c r="W1656">
        <v>52</v>
      </c>
      <c r="X1656" t="s">
        <v>94</v>
      </c>
      <c r="Y1656" t="s">
        <v>95</v>
      </c>
      <c r="Z1656" t="s">
        <v>96</v>
      </c>
      <c r="AA1656" t="s">
        <v>607</v>
      </c>
      <c r="AB1656" t="s">
        <v>3545</v>
      </c>
      <c r="AC1656">
        <v>17</v>
      </c>
      <c r="AD1656">
        <v>15</v>
      </c>
      <c r="AE1656">
        <v>86</v>
      </c>
      <c r="AF1656">
        <v>-66.13</v>
      </c>
      <c r="AG1656">
        <v>-10.34</v>
      </c>
      <c r="AH1656">
        <v>-5.67</v>
      </c>
      <c r="AI1656">
        <v>-0.14000000000000001</v>
      </c>
      <c r="AJ1656">
        <v>-0.06</v>
      </c>
      <c r="AK1656">
        <v>64</v>
      </c>
      <c r="AL1656">
        <v>26</v>
      </c>
      <c r="AM1656">
        <v>21</v>
      </c>
      <c r="AN1656">
        <v>-9.5</v>
      </c>
      <c r="AO1656">
        <v>1.5</v>
      </c>
      <c r="AP1656">
        <v>4</v>
      </c>
      <c r="AQ1656">
        <v>0</v>
      </c>
      <c r="AR1656">
        <v>7.38</v>
      </c>
      <c r="AS1656">
        <v>41</v>
      </c>
      <c r="AT1656">
        <v>3.45</v>
      </c>
      <c r="AU1656">
        <v>56</v>
      </c>
      <c r="AV1656">
        <v>-0.72</v>
      </c>
      <c r="AW1656">
        <v>59</v>
      </c>
      <c r="AX1656">
        <v>-0.13</v>
      </c>
      <c r="AY1656">
        <v>60</v>
      </c>
      <c r="AZ1656">
        <v>5.79</v>
      </c>
      <c r="BA1656">
        <v>35</v>
      </c>
      <c r="BB1656">
        <v>4.8499999999999996</v>
      </c>
      <c r="BC1656">
        <v>43</v>
      </c>
      <c r="BD1656">
        <v>0.01</v>
      </c>
      <c r="BE1656">
        <v>0.02</v>
      </c>
      <c r="BF1656">
        <v>-0.04</v>
      </c>
      <c r="BG1656">
        <v>78</v>
      </c>
      <c r="BH1656">
        <v>0</v>
      </c>
      <c r="BI1656">
        <v>-0.43</v>
      </c>
      <c r="BJ1656">
        <v>6</v>
      </c>
      <c r="BK1656">
        <v>5</v>
      </c>
      <c r="BL1656">
        <v>-2.88</v>
      </c>
      <c r="BM1656">
        <v>0.93</v>
      </c>
      <c r="BN1656">
        <v>-2.2599999999999998</v>
      </c>
      <c r="BO1656">
        <v>-2.21</v>
      </c>
      <c r="BP1656">
        <v>1.68</v>
      </c>
      <c r="BQ1656">
        <v>0.48</v>
      </c>
      <c r="BR1656">
        <v>-0.98</v>
      </c>
      <c r="BS1656">
        <v>1.5</v>
      </c>
      <c r="BT1656">
        <v>0.28999999999999998</v>
      </c>
      <c r="BU1656">
        <v>-1.53</v>
      </c>
      <c r="BV1656">
        <v>-2.04</v>
      </c>
      <c r="BW1656">
        <v>-2.12</v>
      </c>
      <c r="BX1656">
        <v>-1.54</v>
      </c>
      <c r="BY1656">
        <v>-1.88</v>
      </c>
      <c r="BZ1656">
        <v>1.9</v>
      </c>
      <c r="CA1656">
        <v>-1.41</v>
      </c>
      <c r="CB1656">
        <v>-2.15</v>
      </c>
      <c r="CC1656">
        <v>0.1</v>
      </c>
      <c r="CD1656">
        <v>2.31</v>
      </c>
      <c r="CE1656">
        <v>-1.81</v>
      </c>
      <c r="CF1656">
        <v>-1.87</v>
      </c>
      <c r="CG1656">
        <v>0</v>
      </c>
      <c r="CH1656">
        <v>-2.84</v>
      </c>
      <c r="CI1656">
        <v>0</v>
      </c>
      <c r="CJ1656">
        <v>-11</v>
      </c>
      <c r="CK1656">
        <v>72</v>
      </c>
      <c r="CL1656">
        <v>-0.28000000000000003</v>
      </c>
      <c r="CM1656">
        <v>69</v>
      </c>
      <c r="CN1656">
        <v>0</v>
      </c>
      <c r="CO1656">
        <v>66</v>
      </c>
      <c r="CP1656">
        <v>-14.8</v>
      </c>
      <c r="CQ1656">
        <v>71</v>
      </c>
      <c r="CR1656">
        <v>0</v>
      </c>
      <c r="CS1656">
        <v>0</v>
      </c>
      <c r="CT1656">
        <v>-15.6</v>
      </c>
      <c r="CU1656">
        <v>70</v>
      </c>
      <c r="CV1656">
        <v>-0.02</v>
      </c>
      <c r="CW1656">
        <v>39</v>
      </c>
      <c r="CX1656" t="s">
        <v>3546</v>
      </c>
    </row>
    <row r="1657" spans="1:102" x14ac:dyDescent="0.3">
      <c r="A1657" t="str">
        <f>HYPERLINK("https://webapp.icbf.com/v2/app/bull-search/view/685775722","AGP")</f>
        <v>AGP</v>
      </c>
      <c r="B1657" t="s">
        <v>12130</v>
      </c>
      <c r="C1657" t="s">
        <v>12131</v>
      </c>
      <c r="D1657" s="1">
        <v>36891</v>
      </c>
      <c r="E1657" t="s">
        <v>227</v>
      </c>
      <c r="F1657">
        <v>0</v>
      </c>
      <c r="G1657" t="s">
        <v>109</v>
      </c>
      <c r="H1657">
        <v>95.67</v>
      </c>
      <c r="I1657">
        <v>56</v>
      </c>
      <c r="J1657">
        <v>23.18</v>
      </c>
      <c r="K1657">
        <v>62</v>
      </c>
      <c r="L1657">
        <v>36.799999999999997</v>
      </c>
      <c r="M1657">
        <v>48</v>
      </c>
      <c r="N1657">
        <v>24.71</v>
      </c>
      <c r="O1657">
        <v>57</v>
      </c>
      <c r="P1657">
        <v>-64.75</v>
      </c>
      <c r="Q1657">
        <v>72</v>
      </c>
      <c r="R1657">
        <v>5.32</v>
      </c>
      <c r="S1657">
        <v>45</v>
      </c>
      <c r="T1657">
        <v>67.11</v>
      </c>
      <c r="U1657">
        <v>54</v>
      </c>
      <c r="V1657">
        <v>3.3</v>
      </c>
      <c r="W1657">
        <v>53</v>
      </c>
      <c r="X1657" t="s">
        <v>234</v>
      </c>
      <c r="Y1657" t="s">
        <v>235</v>
      </c>
      <c r="Z1657">
        <v>0</v>
      </c>
      <c r="AA1657" t="s">
        <v>554</v>
      </c>
      <c r="AB1657" t="s">
        <v>12132</v>
      </c>
      <c r="AC1657">
        <v>0</v>
      </c>
      <c r="AD1657">
        <v>0</v>
      </c>
      <c r="AE1657">
        <v>62</v>
      </c>
      <c r="AF1657">
        <v>-411.85</v>
      </c>
      <c r="AG1657">
        <v>8.76</v>
      </c>
      <c r="AH1657">
        <v>-5.46</v>
      </c>
      <c r="AI1657">
        <v>0.44</v>
      </c>
      <c r="AJ1657">
        <v>0.15</v>
      </c>
      <c r="AK1657">
        <v>48</v>
      </c>
      <c r="AL1657">
        <v>0</v>
      </c>
      <c r="AM1657">
        <v>0</v>
      </c>
      <c r="AN1657">
        <v>-0.06</v>
      </c>
      <c r="AO1657">
        <v>2.9</v>
      </c>
      <c r="AP1657">
        <v>35</v>
      </c>
      <c r="AQ1657">
        <v>0</v>
      </c>
      <c r="AR1657">
        <v>3.07</v>
      </c>
      <c r="AS1657">
        <v>44</v>
      </c>
      <c r="AT1657">
        <v>1.56</v>
      </c>
      <c r="AU1657">
        <v>53</v>
      </c>
      <c r="AV1657">
        <v>-1.2</v>
      </c>
      <c r="AW1657">
        <v>70</v>
      </c>
      <c r="AX1657">
        <v>1.38</v>
      </c>
      <c r="AY1657">
        <v>56</v>
      </c>
      <c r="AZ1657">
        <v>6.85</v>
      </c>
      <c r="BA1657">
        <v>32</v>
      </c>
      <c r="BB1657">
        <v>5.15</v>
      </c>
      <c r="BC1657">
        <v>37</v>
      </c>
      <c r="BD1657">
        <v>-0.02</v>
      </c>
      <c r="BE1657">
        <v>-0.01</v>
      </c>
      <c r="BF1657">
        <v>-7.0000000000000007E-2</v>
      </c>
      <c r="BG1657">
        <v>51</v>
      </c>
      <c r="BH1657">
        <v>0</v>
      </c>
      <c r="BI1657">
        <v>-10.65</v>
      </c>
      <c r="BJ1657">
        <v>0</v>
      </c>
      <c r="BK1657">
        <v>0</v>
      </c>
      <c r="BL1657">
        <v>-0.98</v>
      </c>
      <c r="BM1657">
        <v>-1.7</v>
      </c>
      <c r="BN1657">
        <v>-0.28000000000000003</v>
      </c>
      <c r="BO1657">
        <v>1.25</v>
      </c>
      <c r="BP1657">
        <v>1.26</v>
      </c>
      <c r="BQ1657">
        <v>-4.84</v>
      </c>
      <c r="BR1657">
        <v>2.68</v>
      </c>
      <c r="BS1657">
        <v>3.88</v>
      </c>
      <c r="BT1657">
        <v>-1.72</v>
      </c>
      <c r="BU1657">
        <v>0.78</v>
      </c>
      <c r="BV1657">
        <v>0.36</v>
      </c>
      <c r="BW1657">
        <v>-1.1200000000000001</v>
      </c>
      <c r="BX1657">
        <v>-1.0900000000000001</v>
      </c>
      <c r="BY1657">
        <v>0.47</v>
      </c>
      <c r="BZ1657">
        <v>-0.56999999999999995</v>
      </c>
      <c r="CA1657">
        <v>1.35</v>
      </c>
      <c r="CB1657">
        <v>0.62</v>
      </c>
      <c r="CC1657">
        <v>2.23</v>
      </c>
      <c r="CD1657">
        <v>-2.0299999999999998</v>
      </c>
      <c r="CE1657">
        <v>1.19</v>
      </c>
      <c r="CF1657">
        <v>-1.35</v>
      </c>
      <c r="CG1657">
        <v>0</v>
      </c>
      <c r="CH1657">
        <v>-0.25</v>
      </c>
      <c r="CI1657">
        <v>0</v>
      </c>
      <c r="CJ1657">
        <v>-34</v>
      </c>
      <c r="CK1657">
        <v>75</v>
      </c>
      <c r="CL1657">
        <v>-1.27</v>
      </c>
      <c r="CM1657">
        <v>71</v>
      </c>
      <c r="CN1657">
        <v>-0.25</v>
      </c>
      <c r="CO1657">
        <v>68</v>
      </c>
      <c r="CP1657">
        <v>-51</v>
      </c>
      <c r="CQ1657">
        <v>59</v>
      </c>
      <c r="CR1657">
        <v>0</v>
      </c>
      <c r="CS1657">
        <v>0</v>
      </c>
      <c r="CT1657">
        <v>-76.900000000000006</v>
      </c>
      <c r="CU1657">
        <v>54</v>
      </c>
      <c r="CV1657">
        <v>-0.33</v>
      </c>
      <c r="CW1657">
        <v>21</v>
      </c>
      <c r="CX1657" t="s">
        <v>4311</v>
      </c>
    </row>
    <row r="1658" spans="1:102" x14ac:dyDescent="0.3">
      <c r="A1658" t="str">
        <f>HYPERLINK("https://webapp.icbf.com/v2/app/bull-search/view/1240484090","FR2251")</f>
        <v>FR2251</v>
      </c>
      <c r="B1658" t="s">
        <v>10234</v>
      </c>
      <c r="C1658" t="s">
        <v>10235</v>
      </c>
      <c r="D1658" s="1">
        <v>41483</v>
      </c>
      <c r="E1658" t="s">
        <v>92</v>
      </c>
      <c r="F1658">
        <v>100</v>
      </c>
      <c r="G1658" t="s">
        <v>109</v>
      </c>
      <c r="H1658">
        <v>95.65</v>
      </c>
      <c r="I1658">
        <v>72</v>
      </c>
      <c r="J1658">
        <v>91.74</v>
      </c>
      <c r="K1658">
        <v>92</v>
      </c>
      <c r="L1658">
        <v>-36.39</v>
      </c>
      <c r="M1658">
        <v>76</v>
      </c>
      <c r="N1658">
        <v>42.83</v>
      </c>
      <c r="O1658">
        <v>57</v>
      </c>
      <c r="P1658">
        <v>-2.15</v>
      </c>
      <c r="Q1658">
        <v>39</v>
      </c>
      <c r="R1658">
        <v>11.51</v>
      </c>
      <c r="S1658">
        <v>71</v>
      </c>
      <c r="T1658">
        <v>-17.03</v>
      </c>
      <c r="U1658">
        <v>35</v>
      </c>
      <c r="V1658">
        <v>5.14</v>
      </c>
      <c r="W1658">
        <v>55</v>
      </c>
      <c r="X1658" t="s">
        <v>102</v>
      </c>
      <c r="Y1658" t="s">
        <v>405</v>
      </c>
      <c r="Z1658" t="s">
        <v>96</v>
      </c>
      <c r="AA1658" t="s">
        <v>10236</v>
      </c>
      <c r="AB1658" t="s">
        <v>10237</v>
      </c>
      <c r="AC1658">
        <v>0</v>
      </c>
      <c r="AD1658">
        <v>0</v>
      </c>
      <c r="AE1658">
        <v>92</v>
      </c>
      <c r="AF1658">
        <v>489.97</v>
      </c>
      <c r="AG1658">
        <v>19.989999999999998</v>
      </c>
      <c r="AH1658">
        <v>16.03</v>
      </c>
      <c r="AI1658">
        <v>0.01</v>
      </c>
      <c r="AJ1658">
        <v>-0.01</v>
      </c>
      <c r="AK1658">
        <v>76</v>
      </c>
      <c r="AL1658">
        <v>0</v>
      </c>
      <c r="AM1658">
        <v>0</v>
      </c>
      <c r="AN1658">
        <v>2.93</v>
      </c>
      <c r="AO1658">
        <v>0.04</v>
      </c>
      <c r="AP1658">
        <v>6</v>
      </c>
      <c r="AQ1658">
        <v>0</v>
      </c>
      <c r="AR1658">
        <v>5.85</v>
      </c>
      <c r="AS1658">
        <v>50</v>
      </c>
      <c r="AT1658">
        <v>2.34</v>
      </c>
      <c r="AU1658">
        <v>90</v>
      </c>
      <c r="AV1658">
        <v>-4.08</v>
      </c>
      <c r="AW1658">
        <v>52</v>
      </c>
      <c r="AX1658">
        <v>-0.13</v>
      </c>
      <c r="AY1658">
        <v>37</v>
      </c>
      <c r="AZ1658">
        <v>6.18</v>
      </c>
      <c r="BA1658">
        <v>37</v>
      </c>
      <c r="BB1658">
        <v>5.13</v>
      </c>
      <c r="BC1658">
        <v>35</v>
      </c>
      <c r="BD1658">
        <v>-0.01</v>
      </c>
      <c r="BE1658">
        <v>-0.02</v>
      </c>
      <c r="BF1658">
        <v>-0.21</v>
      </c>
      <c r="BG1658">
        <v>88</v>
      </c>
      <c r="BH1658">
        <v>-0.05</v>
      </c>
      <c r="BI1658">
        <v>-22.35</v>
      </c>
      <c r="BJ1658">
        <v>0</v>
      </c>
      <c r="BK1658">
        <v>0</v>
      </c>
      <c r="BL1658">
        <v>1.36</v>
      </c>
      <c r="BM1658">
        <v>1.08</v>
      </c>
      <c r="BN1658">
        <v>0.95</v>
      </c>
      <c r="BO1658">
        <v>0.46</v>
      </c>
      <c r="BP1658">
        <v>0.62</v>
      </c>
      <c r="BQ1658">
        <v>0.17</v>
      </c>
      <c r="BR1658">
        <v>-0.91</v>
      </c>
      <c r="BS1658">
        <v>1.46</v>
      </c>
      <c r="BT1658">
        <v>0.69</v>
      </c>
      <c r="BU1658">
        <v>2.4500000000000002</v>
      </c>
      <c r="BV1658">
        <v>2.5299999999999998</v>
      </c>
      <c r="BW1658">
        <v>2.06</v>
      </c>
      <c r="BX1658">
        <v>2.0299999999999998</v>
      </c>
      <c r="BY1658">
        <v>-0.47</v>
      </c>
      <c r="BZ1658">
        <v>1.57</v>
      </c>
      <c r="CA1658">
        <v>2.64</v>
      </c>
      <c r="CB1658">
        <v>2.38</v>
      </c>
      <c r="CC1658">
        <v>1.64</v>
      </c>
      <c r="CD1658">
        <v>0.31</v>
      </c>
      <c r="CE1658">
        <v>0.84</v>
      </c>
      <c r="CF1658">
        <v>1.88</v>
      </c>
      <c r="CG1658">
        <v>0</v>
      </c>
      <c r="CH1658">
        <v>0.11</v>
      </c>
      <c r="CI1658">
        <v>0</v>
      </c>
      <c r="CJ1658">
        <v>-0.3</v>
      </c>
      <c r="CK1658">
        <v>39</v>
      </c>
      <c r="CL1658">
        <v>-1.27</v>
      </c>
      <c r="CM1658">
        <v>39</v>
      </c>
      <c r="CN1658">
        <v>-0.88</v>
      </c>
      <c r="CO1658">
        <v>38</v>
      </c>
      <c r="CP1658">
        <v>7.1</v>
      </c>
      <c r="CQ1658">
        <v>36</v>
      </c>
      <c r="CR1658">
        <v>0</v>
      </c>
      <c r="CS1658">
        <v>0</v>
      </c>
      <c r="CT1658">
        <v>36.799999999999997</v>
      </c>
      <c r="CU1658">
        <v>35</v>
      </c>
      <c r="CV1658">
        <v>0.25</v>
      </c>
      <c r="CW1658">
        <v>33</v>
      </c>
      <c r="CX1658" t="s">
        <v>9095</v>
      </c>
    </row>
    <row r="1659" spans="1:102" x14ac:dyDescent="0.3">
      <c r="A1659" t="str">
        <f>HYPERLINK("https://webapp.icbf.com/v2/app/bull-search/view/108372541","WAL")</f>
        <v>WAL</v>
      </c>
      <c r="B1659" t="s">
        <v>6600</v>
      </c>
      <c r="C1659" t="s">
        <v>1760</v>
      </c>
      <c r="D1659" s="1">
        <v>35321</v>
      </c>
      <c r="E1659" t="s">
        <v>108</v>
      </c>
      <c r="F1659">
        <v>44</v>
      </c>
      <c r="G1659" t="s">
        <v>93</v>
      </c>
      <c r="H1659">
        <v>95.56</v>
      </c>
      <c r="I1659">
        <v>96</v>
      </c>
      <c r="J1659">
        <v>40.75</v>
      </c>
      <c r="K1659">
        <v>99</v>
      </c>
      <c r="L1659">
        <v>29.43</v>
      </c>
      <c r="M1659">
        <v>93</v>
      </c>
      <c r="N1659">
        <v>11.28</v>
      </c>
      <c r="O1659">
        <v>95</v>
      </c>
      <c r="P1659">
        <v>-10.48</v>
      </c>
      <c r="Q1659">
        <v>98</v>
      </c>
      <c r="R1659">
        <v>6.68</v>
      </c>
      <c r="S1659">
        <v>93</v>
      </c>
      <c r="T1659">
        <v>15.38</v>
      </c>
      <c r="U1659">
        <v>97</v>
      </c>
      <c r="V1659">
        <v>2.52</v>
      </c>
      <c r="W1659">
        <v>95</v>
      </c>
      <c r="X1659" t="s">
        <v>302</v>
      </c>
      <c r="Y1659" t="s">
        <v>95</v>
      </c>
      <c r="Z1659" t="s">
        <v>528</v>
      </c>
      <c r="AA1659" t="s">
        <v>6601</v>
      </c>
      <c r="AB1659" t="s">
        <v>6602</v>
      </c>
      <c r="AC1659">
        <v>487</v>
      </c>
      <c r="AD1659">
        <v>157</v>
      </c>
      <c r="AE1659">
        <v>99</v>
      </c>
      <c r="AF1659">
        <v>123.15</v>
      </c>
      <c r="AG1659">
        <v>11.24</v>
      </c>
      <c r="AH1659">
        <v>4.84</v>
      </c>
      <c r="AI1659">
        <v>0.11</v>
      </c>
      <c r="AJ1659">
        <v>0.01</v>
      </c>
      <c r="AK1659">
        <v>93</v>
      </c>
      <c r="AL1659">
        <v>484</v>
      </c>
      <c r="AM1659">
        <v>162</v>
      </c>
      <c r="AN1659">
        <v>-0.6</v>
      </c>
      <c r="AO1659">
        <v>1.76</v>
      </c>
      <c r="AP1659">
        <v>787</v>
      </c>
      <c r="AQ1659">
        <v>3</v>
      </c>
      <c r="AR1659">
        <v>6.38</v>
      </c>
      <c r="AS1659">
        <v>88</v>
      </c>
      <c r="AT1659">
        <v>2.66</v>
      </c>
      <c r="AU1659">
        <v>96</v>
      </c>
      <c r="AV1659">
        <v>-1.47</v>
      </c>
      <c r="AW1659">
        <v>99</v>
      </c>
      <c r="AX1659">
        <v>0.21</v>
      </c>
      <c r="AY1659">
        <v>95</v>
      </c>
      <c r="AZ1659">
        <v>7.51</v>
      </c>
      <c r="BA1659">
        <v>87</v>
      </c>
      <c r="BB1659">
        <v>5.92</v>
      </c>
      <c r="BC1659">
        <v>91</v>
      </c>
      <c r="BD1659">
        <v>-7.0000000000000007E-2</v>
      </c>
      <c r="BE1659">
        <v>-0.03</v>
      </c>
      <c r="BF1659">
        <v>0.02</v>
      </c>
      <c r="BG1659">
        <v>97</v>
      </c>
      <c r="BH1659">
        <v>-0.05</v>
      </c>
      <c r="BI1659">
        <v>-13.9</v>
      </c>
      <c r="BJ1659">
        <v>16</v>
      </c>
      <c r="BK1659">
        <v>8</v>
      </c>
      <c r="BL1659">
        <v>-0.96</v>
      </c>
      <c r="BM1659">
        <v>0.96</v>
      </c>
      <c r="BN1659">
        <v>-0.18</v>
      </c>
      <c r="BO1659">
        <v>-1.02</v>
      </c>
      <c r="BP1659">
        <v>-0.03</v>
      </c>
      <c r="BQ1659">
        <v>-0.46</v>
      </c>
      <c r="BR1659">
        <v>0.22</v>
      </c>
      <c r="BS1659">
        <v>-0.79</v>
      </c>
      <c r="BT1659">
        <v>-0.69</v>
      </c>
      <c r="BU1659">
        <v>0.52</v>
      </c>
      <c r="BV1659">
        <v>-1.07</v>
      </c>
      <c r="BW1659">
        <v>-1.27</v>
      </c>
      <c r="BX1659">
        <v>-2.06</v>
      </c>
      <c r="BY1659">
        <v>-2.0499999999999998</v>
      </c>
      <c r="BZ1659">
        <v>1</v>
      </c>
      <c r="CA1659">
        <v>-0.63</v>
      </c>
      <c r="CB1659">
        <v>-0.72</v>
      </c>
      <c r="CC1659">
        <v>0</v>
      </c>
      <c r="CD1659">
        <v>1.1100000000000001</v>
      </c>
      <c r="CE1659">
        <v>-0.89</v>
      </c>
      <c r="CF1659">
        <v>-0.04</v>
      </c>
      <c r="CG1659">
        <v>0</v>
      </c>
      <c r="CH1659">
        <v>-1.65</v>
      </c>
      <c r="CI1659">
        <v>0</v>
      </c>
      <c r="CJ1659">
        <v>-5.6</v>
      </c>
      <c r="CK1659">
        <v>98</v>
      </c>
      <c r="CL1659">
        <v>-0.43</v>
      </c>
      <c r="CM1659">
        <v>98</v>
      </c>
      <c r="CN1659">
        <v>-0.23</v>
      </c>
      <c r="CO1659">
        <v>98</v>
      </c>
      <c r="CP1659">
        <v>-6.7</v>
      </c>
      <c r="CQ1659">
        <v>98</v>
      </c>
      <c r="CR1659">
        <v>0</v>
      </c>
      <c r="CS1659">
        <v>0</v>
      </c>
      <c r="CT1659">
        <v>-7</v>
      </c>
      <c r="CU1659">
        <v>97</v>
      </c>
      <c r="CV1659">
        <v>0.05</v>
      </c>
      <c r="CW1659">
        <v>46</v>
      </c>
      <c r="CX1659" t="s">
        <v>2844</v>
      </c>
    </row>
    <row r="1660" spans="1:102" x14ac:dyDescent="0.3">
      <c r="A1660" t="str">
        <f>HYPERLINK("https://webapp.icbf.com/v2/app/bull-search/view/69091708","FSH")</f>
        <v>FSH</v>
      </c>
      <c r="B1660" t="s">
        <v>2957</v>
      </c>
      <c r="C1660" t="s">
        <v>2958</v>
      </c>
      <c r="D1660" s="1">
        <v>34924</v>
      </c>
      <c r="E1660" t="s">
        <v>108</v>
      </c>
      <c r="F1660">
        <v>31</v>
      </c>
      <c r="G1660" t="s">
        <v>109</v>
      </c>
      <c r="H1660">
        <v>95.5</v>
      </c>
      <c r="I1660">
        <v>57</v>
      </c>
      <c r="J1660">
        <v>-3.63</v>
      </c>
      <c r="K1660">
        <v>71</v>
      </c>
      <c r="L1660">
        <v>81.95</v>
      </c>
      <c r="M1660">
        <v>56</v>
      </c>
      <c r="N1660">
        <v>13.99</v>
      </c>
      <c r="O1660">
        <v>47</v>
      </c>
      <c r="P1660">
        <v>-19.440000000000001</v>
      </c>
      <c r="Q1660">
        <v>44</v>
      </c>
      <c r="R1660">
        <v>-8.3800000000000008</v>
      </c>
      <c r="S1660">
        <v>56</v>
      </c>
      <c r="T1660">
        <v>27</v>
      </c>
      <c r="U1660">
        <v>41</v>
      </c>
      <c r="V1660">
        <v>4.01</v>
      </c>
      <c r="W1660">
        <v>35</v>
      </c>
      <c r="X1660" t="s">
        <v>302</v>
      </c>
      <c r="Y1660" t="s">
        <v>95</v>
      </c>
      <c r="Z1660">
        <v>0</v>
      </c>
      <c r="AA1660" t="s">
        <v>1089</v>
      </c>
      <c r="AB1660" t="s">
        <v>2959</v>
      </c>
      <c r="AC1660">
        <v>0</v>
      </c>
      <c r="AD1660">
        <v>0</v>
      </c>
      <c r="AE1660">
        <v>71</v>
      </c>
      <c r="AF1660">
        <v>-133.19999999999999</v>
      </c>
      <c r="AG1660">
        <v>2.98</v>
      </c>
      <c r="AH1660">
        <v>-3.71</v>
      </c>
      <c r="AI1660">
        <v>0.14000000000000001</v>
      </c>
      <c r="AJ1660">
        <v>0.01</v>
      </c>
      <c r="AK1660">
        <v>56</v>
      </c>
      <c r="AL1660">
        <v>0</v>
      </c>
      <c r="AM1660">
        <v>0</v>
      </c>
      <c r="AN1660">
        <v>-4.91</v>
      </c>
      <c r="AO1660">
        <v>1.62</v>
      </c>
      <c r="AP1660">
        <v>5</v>
      </c>
      <c r="AQ1660">
        <v>4</v>
      </c>
      <c r="AR1660">
        <v>6.84</v>
      </c>
      <c r="AS1660">
        <v>29</v>
      </c>
      <c r="AT1660">
        <v>2.14</v>
      </c>
      <c r="AU1660">
        <v>60</v>
      </c>
      <c r="AV1660">
        <v>-1.1100000000000001</v>
      </c>
      <c r="AW1660">
        <v>51</v>
      </c>
      <c r="AX1660">
        <v>0.14000000000000001</v>
      </c>
      <c r="AY1660">
        <v>47</v>
      </c>
      <c r="AZ1660">
        <v>6.38</v>
      </c>
      <c r="BA1660">
        <v>26</v>
      </c>
      <c r="BB1660">
        <v>5.82</v>
      </c>
      <c r="BC1660">
        <v>29</v>
      </c>
      <c r="BD1660">
        <v>0.01</v>
      </c>
      <c r="BE1660">
        <v>0.04</v>
      </c>
      <c r="BF1660">
        <v>0.1</v>
      </c>
      <c r="BG1660">
        <v>80</v>
      </c>
      <c r="BH1660">
        <v>0.08</v>
      </c>
      <c r="BI1660">
        <v>-3.68</v>
      </c>
      <c r="BJ1660">
        <v>0</v>
      </c>
      <c r="BK1660">
        <v>0</v>
      </c>
      <c r="BL1660">
        <v>-1.81</v>
      </c>
      <c r="BM1660">
        <v>0.89</v>
      </c>
      <c r="BN1660">
        <v>-0.87</v>
      </c>
      <c r="BO1660">
        <v>0</v>
      </c>
      <c r="BP1660">
        <v>1.38</v>
      </c>
      <c r="BQ1660">
        <v>-1.39</v>
      </c>
      <c r="BR1660">
        <v>0.17</v>
      </c>
      <c r="BS1660">
        <v>0</v>
      </c>
      <c r="BT1660">
        <v>0</v>
      </c>
      <c r="BU1660">
        <v>-1.76</v>
      </c>
      <c r="BV1660">
        <v>-0.41</v>
      </c>
      <c r="BW1660">
        <v>-1.24</v>
      </c>
      <c r="BX1660">
        <v>0</v>
      </c>
      <c r="BY1660">
        <v>-0.69</v>
      </c>
      <c r="BZ1660">
        <v>0</v>
      </c>
      <c r="CA1660">
        <v>-1.47</v>
      </c>
      <c r="CB1660">
        <v>-1.21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-8.6999999999999993</v>
      </c>
      <c r="CK1660">
        <v>48</v>
      </c>
      <c r="CL1660">
        <v>-0.4</v>
      </c>
      <c r="CM1660">
        <v>40</v>
      </c>
      <c r="CN1660">
        <v>0.02</v>
      </c>
      <c r="CO1660">
        <v>37</v>
      </c>
      <c r="CP1660">
        <v>-20.5</v>
      </c>
      <c r="CQ1660">
        <v>42</v>
      </c>
      <c r="CR1660">
        <v>0</v>
      </c>
      <c r="CS1660">
        <v>0</v>
      </c>
      <c r="CT1660">
        <v>-22.7</v>
      </c>
      <c r="CU1660">
        <v>41</v>
      </c>
      <c r="CV1660">
        <v>-0.01</v>
      </c>
      <c r="CW1660">
        <v>12</v>
      </c>
      <c r="CX1660" t="s">
        <v>2960</v>
      </c>
    </row>
    <row r="1661" spans="1:102" x14ac:dyDescent="0.3">
      <c r="A1661" t="str">
        <f>HYPERLINK("https://webapp.icbf.com/v2/app/bull-search/view/77859433","AXA")</f>
        <v>AXA</v>
      </c>
      <c r="B1661" t="s">
        <v>10936</v>
      </c>
      <c r="C1661" t="s">
        <v>4398</v>
      </c>
      <c r="D1661" s="1">
        <v>34245</v>
      </c>
      <c r="E1661" t="s">
        <v>92</v>
      </c>
      <c r="F1661">
        <v>88</v>
      </c>
      <c r="G1661" t="s">
        <v>93</v>
      </c>
      <c r="H1661">
        <v>95.43</v>
      </c>
      <c r="I1661">
        <v>97</v>
      </c>
      <c r="J1661">
        <v>29.36</v>
      </c>
      <c r="K1661">
        <v>99</v>
      </c>
      <c r="L1661">
        <v>40.24</v>
      </c>
      <c r="M1661">
        <v>95</v>
      </c>
      <c r="N1661">
        <v>25.62</v>
      </c>
      <c r="O1661">
        <v>98</v>
      </c>
      <c r="P1661">
        <v>-15</v>
      </c>
      <c r="Q1661">
        <v>99</v>
      </c>
      <c r="R1661">
        <v>2.17</v>
      </c>
      <c r="S1661">
        <v>97</v>
      </c>
      <c r="T1661">
        <v>21.89</v>
      </c>
      <c r="U1661">
        <v>99</v>
      </c>
      <c r="V1661">
        <v>-8.85</v>
      </c>
      <c r="W1661">
        <v>98</v>
      </c>
      <c r="X1661" t="s">
        <v>94</v>
      </c>
      <c r="Y1661" t="s">
        <v>95</v>
      </c>
      <c r="Z1661" t="s">
        <v>96</v>
      </c>
      <c r="AA1661" t="s">
        <v>3446</v>
      </c>
      <c r="AB1661" t="s">
        <v>10937</v>
      </c>
      <c r="AC1661">
        <v>1581</v>
      </c>
      <c r="AD1661">
        <v>713</v>
      </c>
      <c r="AE1661">
        <v>99</v>
      </c>
      <c r="AF1661">
        <v>91.17</v>
      </c>
      <c r="AG1661">
        <v>5.96</v>
      </c>
      <c r="AH1661">
        <v>4.28</v>
      </c>
      <c r="AI1661">
        <v>0.04</v>
      </c>
      <c r="AJ1661">
        <v>0.02</v>
      </c>
      <c r="AK1661">
        <v>95</v>
      </c>
      <c r="AL1661">
        <v>1793</v>
      </c>
      <c r="AM1661">
        <v>850</v>
      </c>
      <c r="AN1661">
        <v>-1.32</v>
      </c>
      <c r="AO1661">
        <v>1.9</v>
      </c>
      <c r="AP1661">
        <v>2298</v>
      </c>
      <c r="AQ1661">
        <v>7</v>
      </c>
      <c r="AR1661">
        <v>4.1399999999999997</v>
      </c>
      <c r="AS1661">
        <v>96</v>
      </c>
      <c r="AT1661">
        <v>2.2400000000000002</v>
      </c>
      <c r="AU1661">
        <v>99</v>
      </c>
      <c r="AV1661">
        <v>-1.87</v>
      </c>
      <c r="AW1661">
        <v>99</v>
      </c>
      <c r="AX1661">
        <v>-0.5</v>
      </c>
      <c r="AY1661">
        <v>99</v>
      </c>
      <c r="AZ1661">
        <v>7.81</v>
      </c>
      <c r="BA1661">
        <v>95</v>
      </c>
      <c r="BB1661">
        <v>5.54</v>
      </c>
      <c r="BC1661">
        <v>97</v>
      </c>
      <c r="BD1661">
        <v>-0.03</v>
      </c>
      <c r="BE1661">
        <v>0</v>
      </c>
      <c r="BF1661">
        <v>0</v>
      </c>
      <c r="BG1661">
        <v>99</v>
      </c>
      <c r="BH1661">
        <v>-0.06</v>
      </c>
      <c r="BI1661">
        <v>21.6</v>
      </c>
      <c r="BJ1661">
        <v>72</v>
      </c>
      <c r="BK1661">
        <v>49</v>
      </c>
      <c r="BL1661">
        <v>-0.3</v>
      </c>
      <c r="BM1661">
        <v>-2.5499999999999998</v>
      </c>
      <c r="BN1661">
        <v>-2.15</v>
      </c>
      <c r="BO1661">
        <v>-0.22</v>
      </c>
      <c r="BP1661">
        <v>0.55000000000000004</v>
      </c>
      <c r="BQ1661">
        <v>-2.44</v>
      </c>
      <c r="BR1661">
        <v>-0.4</v>
      </c>
      <c r="BS1661">
        <v>-0.56999999999999995</v>
      </c>
      <c r="BT1661">
        <v>-0.06</v>
      </c>
      <c r="BU1661">
        <v>-3.32</v>
      </c>
      <c r="BV1661">
        <v>-2.85</v>
      </c>
      <c r="BW1661">
        <v>-1.61</v>
      </c>
      <c r="BX1661">
        <v>-2.16</v>
      </c>
      <c r="BY1661">
        <v>-0.96</v>
      </c>
      <c r="BZ1661">
        <v>-1.1599999999999999</v>
      </c>
      <c r="CA1661">
        <v>-2.2400000000000002</v>
      </c>
      <c r="CB1661">
        <v>-2.58</v>
      </c>
      <c r="CC1661">
        <v>-0.78</v>
      </c>
      <c r="CD1661">
        <v>-1.1399999999999999</v>
      </c>
      <c r="CE1661">
        <v>0</v>
      </c>
      <c r="CF1661">
        <v>-1.45</v>
      </c>
      <c r="CG1661">
        <v>0</v>
      </c>
      <c r="CH1661">
        <v>-0.84</v>
      </c>
      <c r="CI1661">
        <v>0</v>
      </c>
      <c r="CJ1661">
        <v>-4.9000000000000004</v>
      </c>
      <c r="CK1661">
        <v>99</v>
      </c>
      <c r="CL1661">
        <v>-0.79</v>
      </c>
      <c r="CM1661">
        <v>99</v>
      </c>
      <c r="CN1661">
        <v>-0.18</v>
      </c>
      <c r="CO1661">
        <v>99</v>
      </c>
      <c r="CP1661">
        <v>-14.6</v>
      </c>
      <c r="CQ1661">
        <v>99</v>
      </c>
      <c r="CR1661">
        <v>0</v>
      </c>
      <c r="CS1661">
        <v>0</v>
      </c>
      <c r="CT1661">
        <v>-15.8</v>
      </c>
      <c r="CU1661">
        <v>99</v>
      </c>
      <c r="CV1661">
        <v>0.21</v>
      </c>
      <c r="CW1661">
        <v>46</v>
      </c>
      <c r="CX1661" t="s">
        <v>724</v>
      </c>
    </row>
    <row r="1662" spans="1:102" x14ac:dyDescent="0.3">
      <c r="A1662" t="str">
        <f>HYPERLINK("https://webapp.icbf.com/v2/app/bull-search/view/572115554","TXU")</f>
        <v>TXU</v>
      </c>
      <c r="B1662" t="s">
        <v>2571</v>
      </c>
      <c r="C1662" t="s">
        <v>2572</v>
      </c>
      <c r="D1662" s="1">
        <v>38811</v>
      </c>
      <c r="E1662" t="s">
        <v>108</v>
      </c>
      <c r="F1662">
        <v>3</v>
      </c>
      <c r="G1662" t="s">
        <v>93</v>
      </c>
      <c r="H1662">
        <v>95.38</v>
      </c>
      <c r="I1662">
        <v>96</v>
      </c>
      <c r="J1662">
        <v>-2.0499999999999998</v>
      </c>
      <c r="K1662">
        <v>99</v>
      </c>
      <c r="L1662">
        <v>62.51</v>
      </c>
      <c r="M1662">
        <v>93</v>
      </c>
      <c r="N1662">
        <v>23.77</v>
      </c>
      <c r="O1662">
        <v>96</v>
      </c>
      <c r="P1662">
        <v>-14.94</v>
      </c>
      <c r="Q1662">
        <v>99</v>
      </c>
      <c r="R1662">
        <v>10.76</v>
      </c>
      <c r="S1662">
        <v>90</v>
      </c>
      <c r="T1662">
        <v>10.57</v>
      </c>
      <c r="U1662">
        <v>97</v>
      </c>
      <c r="V1662">
        <v>4.76</v>
      </c>
      <c r="W1662">
        <v>90</v>
      </c>
      <c r="X1662" t="s">
        <v>276</v>
      </c>
      <c r="Y1662" t="s">
        <v>1128</v>
      </c>
      <c r="Z1662" t="s">
        <v>96</v>
      </c>
      <c r="AA1662" t="s">
        <v>1543</v>
      </c>
      <c r="AB1662" t="s">
        <v>2573</v>
      </c>
      <c r="AC1662">
        <v>429</v>
      </c>
      <c r="AD1662">
        <v>170</v>
      </c>
      <c r="AE1662">
        <v>99</v>
      </c>
      <c r="AF1662">
        <v>53.04</v>
      </c>
      <c r="AG1662">
        <v>1.34</v>
      </c>
      <c r="AH1662">
        <v>-0.01</v>
      </c>
      <c r="AI1662">
        <v>-0.01</v>
      </c>
      <c r="AJ1662">
        <v>-0.03</v>
      </c>
      <c r="AK1662">
        <v>93</v>
      </c>
      <c r="AL1662">
        <v>843</v>
      </c>
      <c r="AM1662">
        <v>310</v>
      </c>
      <c r="AN1662">
        <v>-3.02</v>
      </c>
      <c r="AO1662">
        <v>1.97</v>
      </c>
      <c r="AP1662">
        <v>1145</v>
      </c>
      <c r="AQ1662">
        <v>13</v>
      </c>
      <c r="AR1662">
        <v>9.02</v>
      </c>
      <c r="AS1662">
        <v>93</v>
      </c>
      <c r="AT1662">
        <v>3.23</v>
      </c>
      <c r="AU1662">
        <v>97</v>
      </c>
      <c r="AV1662">
        <v>-3.02</v>
      </c>
      <c r="AW1662">
        <v>99</v>
      </c>
      <c r="AX1662">
        <v>0.16</v>
      </c>
      <c r="AY1662">
        <v>97</v>
      </c>
      <c r="AZ1662">
        <v>5.23</v>
      </c>
      <c r="BA1662">
        <v>89</v>
      </c>
      <c r="BB1662">
        <v>4.28</v>
      </c>
      <c r="BC1662">
        <v>89</v>
      </c>
      <c r="BD1662">
        <v>-0.02</v>
      </c>
      <c r="BE1662">
        <v>-0.06</v>
      </c>
      <c r="BF1662">
        <v>-0.1</v>
      </c>
      <c r="BG1662">
        <v>96</v>
      </c>
      <c r="BH1662">
        <v>0.03</v>
      </c>
      <c r="BI1662">
        <v>-11.89</v>
      </c>
      <c r="BJ1662">
        <v>10</v>
      </c>
      <c r="BK1662">
        <v>5</v>
      </c>
      <c r="BL1662">
        <v>-2.23</v>
      </c>
      <c r="BM1662">
        <v>1.35</v>
      </c>
      <c r="BN1662">
        <v>-1.06</v>
      </c>
      <c r="BO1662">
        <v>-1.65</v>
      </c>
      <c r="BP1662">
        <v>0.35</v>
      </c>
      <c r="BQ1662">
        <v>3.4</v>
      </c>
      <c r="BR1662">
        <v>0.45</v>
      </c>
      <c r="BS1662">
        <v>2.09</v>
      </c>
      <c r="BT1662">
        <v>-0.76</v>
      </c>
      <c r="BU1662">
        <v>-0.32</v>
      </c>
      <c r="BV1662">
        <v>-0.68</v>
      </c>
      <c r="BW1662">
        <v>-1.01</v>
      </c>
      <c r="BX1662">
        <v>-0.34</v>
      </c>
      <c r="BY1662">
        <v>-7.0000000000000007E-2</v>
      </c>
      <c r="BZ1662">
        <v>-2.36</v>
      </c>
      <c r="CA1662">
        <v>0.09</v>
      </c>
      <c r="CB1662">
        <v>-0.38</v>
      </c>
      <c r="CC1662">
        <v>1.17</v>
      </c>
      <c r="CD1662">
        <v>1.75</v>
      </c>
      <c r="CE1662">
        <v>-1.17</v>
      </c>
      <c r="CF1662">
        <v>-1</v>
      </c>
      <c r="CG1662">
        <v>0</v>
      </c>
      <c r="CH1662">
        <v>-0.09</v>
      </c>
      <c r="CI1662">
        <v>0</v>
      </c>
      <c r="CJ1662">
        <v>-5.0999999999999996</v>
      </c>
      <c r="CK1662">
        <v>99</v>
      </c>
      <c r="CL1662">
        <v>-0.45</v>
      </c>
      <c r="CM1662">
        <v>99</v>
      </c>
      <c r="CN1662">
        <v>0.18</v>
      </c>
      <c r="CO1662">
        <v>99</v>
      </c>
      <c r="CP1662">
        <v>-7.7</v>
      </c>
      <c r="CQ1662">
        <v>97</v>
      </c>
      <c r="CR1662">
        <v>0</v>
      </c>
      <c r="CS1662">
        <v>0</v>
      </c>
      <c r="CT1662">
        <v>-0.5</v>
      </c>
      <c r="CU1662">
        <v>97</v>
      </c>
      <c r="CV1662">
        <v>0.17</v>
      </c>
      <c r="CW1662">
        <v>46</v>
      </c>
      <c r="CX1662" t="s">
        <v>2574</v>
      </c>
    </row>
    <row r="1663" spans="1:102" x14ac:dyDescent="0.3">
      <c r="A1663" t="str">
        <f>HYPERLINK("https://webapp.icbf.com/v2/app/bull-search/view/182432801","GOV")</f>
        <v>GOV</v>
      </c>
      <c r="B1663" t="s">
        <v>7785</v>
      </c>
      <c r="C1663" t="s">
        <v>7786</v>
      </c>
      <c r="D1663" s="1">
        <v>36942</v>
      </c>
      <c r="E1663" t="s">
        <v>146</v>
      </c>
      <c r="F1663">
        <v>0</v>
      </c>
      <c r="G1663" t="s">
        <v>93</v>
      </c>
      <c r="H1663">
        <v>95.34</v>
      </c>
      <c r="I1663">
        <v>89</v>
      </c>
      <c r="J1663">
        <v>-26.22</v>
      </c>
      <c r="K1663">
        <v>98</v>
      </c>
      <c r="L1663">
        <v>84.51</v>
      </c>
      <c r="M1663">
        <v>79</v>
      </c>
      <c r="N1663">
        <v>22.45</v>
      </c>
      <c r="O1663">
        <v>92</v>
      </c>
      <c r="P1663">
        <v>5.25</v>
      </c>
      <c r="Q1663">
        <v>97</v>
      </c>
      <c r="R1663">
        <v>3.64</v>
      </c>
      <c r="S1663">
        <v>83</v>
      </c>
      <c r="T1663">
        <v>8.2799999999999994</v>
      </c>
      <c r="U1663">
        <v>92</v>
      </c>
      <c r="V1663">
        <v>-2.57</v>
      </c>
      <c r="W1663">
        <v>85</v>
      </c>
      <c r="X1663" t="s">
        <v>276</v>
      </c>
      <c r="Y1663" t="s">
        <v>1062</v>
      </c>
      <c r="Z1663">
        <v>0</v>
      </c>
      <c r="AA1663" t="s">
        <v>2200</v>
      </c>
      <c r="AB1663" t="s">
        <v>7787</v>
      </c>
      <c r="AC1663">
        <v>190</v>
      </c>
      <c r="AD1663">
        <v>76</v>
      </c>
      <c r="AE1663">
        <v>98</v>
      </c>
      <c r="AF1663">
        <v>-576.97</v>
      </c>
      <c r="AG1663">
        <v>-14.73</v>
      </c>
      <c r="AH1663">
        <v>-8.08</v>
      </c>
      <c r="AI1663">
        <v>0.14000000000000001</v>
      </c>
      <c r="AJ1663">
        <v>0.21</v>
      </c>
      <c r="AK1663">
        <v>79</v>
      </c>
      <c r="AL1663">
        <v>233</v>
      </c>
      <c r="AM1663">
        <v>85</v>
      </c>
      <c r="AN1663">
        <v>-4.5599999999999996</v>
      </c>
      <c r="AO1663">
        <v>2.1800000000000002</v>
      </c>
      <c r="AP1663">
        <v>461</v>
      </c>
      <c r="AQ1663">
        <v>12</v>
      </c>
      <c r="AR1663">
        <v>5.01</v>
      </c>
      <c r="AS1663">
        <v>81</v>
      </c>
      <c r="AT1663">
        <v>2.48</v>
      </c>
      <c r="AU1663">
        <v>94</v>
      </c>
      <c r="AV1663">
        <v>-2.23</v>
      </c>
      <c r="AW1663">
        <v>98</v>
      </c>
      <c r="AX1663">
        <v>0.03</v>
      </c>
      <c r="AY1663">
        <v>91</v>
      </c>
      <c r="AZ1663">
        <v>8.6</v>
      </c>
      <c r="BA1663">
        <v>78</v>
      </c>
      <c r="BB1663">
        <v>5.55</v>
      </c>
      <c r="BC1663">
        <v>82</v>
      </c>
      <c r="BD1663">
        <v>0.02</v>
      </c>
      <c r="BE1663">
        <v>-0.03</v>
      </c>
      <c r="BF1663">
        <v>-0.06</v>
      </c>
      <c r="BG1663">
        <v>91</v>
      </c>
      <c r="BH1663">
        <v>-0.09</v>
      </c>
      <c r="BI1663">
        <v>-2.13</v>
      </c>
      <c r="BJ1663">
        <v>4</v>
      </c>
      <c r="BK1663">
        <v>4</v>
      </c>
      <c r="BL1663">
        <v>-1.86</v>
      </c>
      <c r="BM1663">
        <v>3.04</v>
      </c>
      <c r="BN1663">
        <v>-1.03</v>
      </c>
      <c r="BO1663">
        <v>-1.39</v>
      </c>
      <c r="BP1663">
        <v>3.91</v>
      </c>
      <c r="BQ1663">
        <v>0.7</v>
      </c>
      <c r="BR1663">
        <v>-1.07</v>
      </c>
      <c r="BS1663">
        <v>-0.6</v>
      </c>
      <c r="BT1663">
        <v>0.69</v>
      </c>
      <c r="BU1663">
        <v>-2.0099999999999998</v>
      </c>
      <c r="BV1663">
        <v>-3.11</v>
      </c>
      <c r="BW1663">
        <v>-2.13</v>
      </c>
      <c r="BX1663">
        <v>-1.0900000000000001</v>
      </c>
      <c r="BY1663">
        <v>-2.25</v>
      </c>
      <c r="BZ1663">
        <v>0.55000000000000004</v>
      </c>
      <c r="CA1663">
        <v>-2.38</v>
      </c>
      <c r="CB1663">
        <v>-2.4700000000000002</v>
      </c>
      <c r="CC1663">
        <v>-1.04</v>
      </c>
      <c r="CD1663">
        <v>2.84</v>
      </c>
      <c r="CE1663">
        <v>-2.59</v>
      </c>
      <c r="CF1663">
        <v>-1.26</v>
      </c>
      <c r="CG1663">
        <v>0</v>
      </c>
      <c r="CH1663">
        <v>-1.74</v>
      </c>
      <c r="CI1663">
        <v>0</v>
      </c>
      <c r="CJ1663">
        <v>2.2000000000000002</v>
      </c>
      <c r="CK1663">
        <v>98</v>
      </c>
      <c r="CL1663">
        <v>0.16</v>
      </c>
      <c r="CM1663">
        <v>97</v>
      </c>
      <c r="CN1663">
        <v>-0.01</v>
      </c>
      <c r="CO1663">
        <v>97</v>
      </c>
      <c r="CP1663">
        <v>3</v>
      </c>
      <c r="CQ1663">
        <v>95</v>
      </c>
      <c r="CR1663">
        <v>0</v>
      </c>
      <c r="CS1663">
        <v>0</v>
      </c>
      <c r="CT1663">
        <v>2.6</v>
      </c>
      <c r="CU1663">
        <v>92</v>
      </c>
      <c r="CV1663">
        <v>-0.11</v>
      </c>
      <c r="CW1663">
        <v>45</v>
      </c>
      <c r="CX1663" t="s">
        <v>7788</v>
      </c>
    </row>
    <row r="1664" spans="1:102" x14ac:dyDescent="0.3">
      <c r="A1664" t="str">
        <f>HYPERLINK("https://webapp.icbf.com/v2/app/bull-search/view/147126714","ENR")</f>
        <v>ENR</v>
      </c>
      <c r="B1664" t="s">
        <v>6660</v>
      </c>
      <c r="C1664" t="s">
        <v>6661</v>
      </c>
      <c r="D1664" s="1">
        <v>34377</v>
      </c>
      <c r="E1664" t="s">
        <v>108</v>
      </c>
      <c r="F1664">
        <v>0</v>
      </c>
      <c r="G1664" t="s">
        <v>93</v>
      </c>
      <c r="H1664">
        <v>95.21</v>
      </c>
      <c r="I1664">
        <v>87</v>
      </c>
      <c r="J1664">
        <v>-63.25</v>
      </c>
      <c r="K1664">
        <v>97</v>
      </c>
      <c r="L1664">
        <v>128.79</v>
      </c>
      <c r="M1664">
        <v>76</v>
      </c>
      <c r="N1664">
        <v>19.93</v>
      </c>
      <c r="O1664">
        <v>84</v>
      </c>
      <c r="P1664">
        <v>-4.9000000000000004</v>
      </c>
      <c r="Q1664">
        <v>95</v>
      </c>
      <c r="R1664">
        <v>-4.45</v>
      </c>
      <c r="S1664">
        <v>80</v>
      </c>
      <c r="T1664">
        <v>28.77</v>
      </c>
      <c r="U1664">
        <v>88</v>
      </c>
      <c r="V1664">
        <v>-9.68</v>
      </c>
      <c r="W1664">
        <v>81</v>
      </c>
      <c r="X1664" t="s">
        <v>276</v>
      </c>
      <c r="Y1664" t="s">
        <v>95</v>
      </c>
      <c r="Z1664" t="s">
        <v>96</v>
      </c>
      <c r="AA1664" t="s">
        <v>4403</v>
      </c>
      <c r="AB1664" t="s">
        <v>5014</v>
      </c>
      <c r="AC1664">
        <v>111</v>
      </c>
      <c r="AD1664">
        <v>57</v>
      </c>
      <c r="AE1664">
        <v>97</v>
      </c>
      <c r="AF1664">
        <v>-145.52000000000001</v>
      </c>
      <c r="AG1664">
        <v>-15.25</v>
      </c>
      <c r="AH1664">
        <v>-7.59</v>
      </c>
      <c r="AI1664">
        <v>-0.17</v>
      </c>
      <c r="AJ1664">
        <v>-0.05</v>
      </c>
      <c r="AK1664">
        <v>76</v>
      </c>
      <c r="AL1664">
        <v>138</v>
      </c>
      <c r="AM1664">
        <v>76</v>
      </c>
      <c r="AN1664">
        <v>-5.51</v>
      </c>
      <c r="AO1664">
        <v>4.78</v>
      </c>
      <c r="AP1664">
        <v>173</v>
      </c>
      <c r="AQ1664">
        <v>0</v>
      </c>
      <c r="AR1664">
        <v>6.79</v>
      </c>
      <c r="AS1664">
        <v>60</v>
      </c>
      <c r="AT1664">
        <v>2.86</v>
      </c>
      <c r="AU1664">
        <v>87</v>
      </c>
      <c r="AV1664">
        <v>-1.62</v>
      </c>
      <c r="AW1664">
        <v>93</v>
      </c>
      <c r="AX1664">
        <v>-0.51</v>
      </c>
      <c r="AY1664">
        <v>85</v>
      </c>
      <c r="AZ1664">
        <v>6.49</v>
      </c>
      <c r="BA1664">
        <v>63</v>
      </c>
      <c r="BB1664">
        <v>4.7</v>
      </c>
      <c r="BC1664">
        <v>72</v>
      </c>
      <c r="BD1664">
        <v>0.08</v>
      </c>
      <c r="BE1664">
        <v>0.01</v>
      </c>
      <c r="BF1664">
        <v>-0.05</v>
      </c>
      <c r="BG1664">
        <v>88</v>
      </c>
      <c r="BH1664">
        <v>-0.08</v>
      </c>
      <c r="BI1664">
        <v>21.97</v>
      </c>
      <c r="BJ1664">
        <v>2</v>
      </c>
      <c r="BK1664">
        <v>1</v>
      </c>
      <c r="BL1664">
        <v>-2.27</v>
      </c>
      <c r="BM1664">
        <v>1.9</v>
      </c>
      <c r="BN1664">
        <v>-1.54</v>
      </c>
      <c r="BO1664">
        <v>-2.27</v>
      </c>
      <c r="BP1664">
        <v>-0.26</v>
      </c>
      <c r="BQ1664">
        <v>0.56000000000000005</v>
      </c>
      <c r="BR1664">
        <v>-0.84</v>
      </c>
      <c r="BS1664">
        <v>-0.97</v>
      </c>
      <c r="BT1664">
        <v>-0.03</v>
      </c>
      <c r="BU1664">
        <v>-2.65</v>
      </c>
      <c r="BV1664">
        <v>-3.2</v>
      </c>
      <c r="BW1664">
        <v>-2.7</v>
      </c>
      <c r="BX1664">
        <v>-1.58</v>
      </c>
      <c r="BY1664">
        <v>-2.3199999999999998</v>
      </c>
      <c r="BZ1664">
        <v>0.28999999999999998</v>
      </c>
      <c r="CA1664">
        <v>-3.19</v>
      </c>
      <c r="CB1664">
        <v>-3.51</v>
      </c>
      <c r="CC1664">
        <v>-2.09</v>
      </c>
      <c r="CD1664">
        <v>1.95</v>
      </c>
      <c r="CE1664">
        <v>-2.21</v>
      </c>
      <c r="CF1664">
        <v>-0.9</v>
      </c>
      <c r="CG1664">
        <v>0</v>
      </c>
      <c r="CH1664">
        <v>-2.2799999999999998</v>
      </c>
      <c r="CI1664">
        <v>0</v>
      </c>
      <c r="CJ1664">
        <v>-4.7</v>
      </c>
      <c r="CK1664">
        <v>96</v>
      </c>
      <c r="CL1664">
        <v>0.21</v>
      </c>
      <c r="CM1664">
        <v>95</v>
      </c>
      <c r="CN1664">
        <v>-0.09</v>
      </c>
      <c r="CO1664">
        <v>94</v>
      </c>
      <c r="CP1664">
        <v>-10.9</v>
      </c>
      <c r="CQ1664">
        <v>92</v>
      </c>
      <c r="CR1664">
        <v>0</v>
      </c>
      <c r="CS1664">
        <v>0</v>
      </c>
      <c r="CT1664">
        <v>-25.1</v>
      </c>
      <c r="CU1664">
        <v>88</v>
      </c>
      <c r="CV1664">
        <v>-0.09</v>
      </c>
      <c r="CW1664">
        <v>45</v>
      </c>
      <c r="CX1664" t="s">
        <v>6662</v>
      </c>
    </row>
    <row r="1665" spans="1:102" x14ac:dyDescent="0.3">
      <c r="A1665" t="str">
        <f>HYPERLINK("https://webapp.icbf.com/v2/app/bull-search/view/543284262","LYO")</f>
        <v>LYO</v>
      </c>
      <c r="B1665" t="s">
        <v>8754</v>
      </c>
      <c r="C1665" t="s">
        <v>8755</v>
      </c>
      <c r="D1665" s="1">
        <v>39415</v>
      </c>
      <c r="E1665" t="s">
        <v>92</v>
      </c>
      <c r="F1665">
        <v>100</v>
      </c>
      <c r="G1665" t="s">
        <v>93</v>
      </c>
      <c r="H1665">
        <v>95.18</v>
      </c>
      <c r="I1665">
        <v>97</v>
      </c>
      <c r="J1665">
        <v>65.97</v>
      </c>
      <c r="K1665">
        <v>99</v>
      </c>
      <c r="L1665">
        <v>-21.92</v>
      </c>
      <c r="M1665">
        <v>94</v>
      </c>
      <c r="N1665">
        <v>48.84</v>
      </c>
      <c r="O1665">
        <v>98</v>
      </c>
      <c r="P1665">
        <v>-8.41</v>
      </c>
      <c r="Q1665">
        <v>99</v>
      </c>
      <c r="R1665">
        <v>2.42</v>
      </c>
      <c r="S1665">
        <v>94</v>
      </c>
      <c r="T1665">
        <v>5.09</v>
      </c>
      <c r="U1665">
        <v>99</v>
      </c>
      <c r="V1665">
        <v>3.19</v>
      </c>
      <c r="W1665">
        <v>95</v>
      </c>
      <c r="X1665" t="s">
        <v>102</v>
      </c>
      <c r="Y1665" t="s">
        <v>4217</v>
      </c>
      <c r="Z1665" t="s">
        <v>96</v>
      </c>
      <c r="AA1665" t="s">
        <v>5124</v>
      </c>
      <c r="AB1665" t="s">
        <v>6746</v>
      </c>
      <c r="AC1665">
        <v>1444</v>
      </c>
      <c r="AD1665">
        <v>483</v>
      </c>
      <c r="AE1665">
        <v>99</v>
      </c>
      <c r="AF1665">
        <v>403.5</v>
      </c>
      <c r="AG1665">
        <v>6.6</v>
      </c>
      <c r="AH1665">
        <v>15.06</v>
      </c>
      <c r="AI1665">
        <v>-0.15</v>
      </c>
      <c r="AJ1665">
        <v>0.02</v>
      </c>
      <c r="AK1665">
        <v>94</v>
      </c>
      <c r="AL1665">
        <v>1789</v>
      </c>
      <c r="AM1665">
        <v>628</v>
      </c>
      <c r="AN1665">
        <v>1.03</v>
      </c>
      <c r="AO1665">
        <v>-0.72</v>
      </c>
      <c r="AP1665">
        <v>3276</v>
      </c>
      <c r="AQ1665">
        <v>60</v>
      </c>
      <c r="AR1665">
        <v>6.36</v>
      </c>
      <c r="AS1665">
        <v>98</v>
      </c>
      <c r="AT1665">
        <v>2.7</v>
      </c>
      <c r="AU1665">
        <v>99</v>
      </c>
      <c r="AV1665">
        <v>-4.8</v>
      </c>
      <c r="AW1665">
        <v>99</v>
      </c>
      <c r="AX1665">
        <v>-0.15</v>
      </c>
      <c r="AY1665">
        <v>99</v>
      </c>
      <c r="AZ1665">
        <v>5.71</v>
      </c>
      <c r="BA1665">
        <v>95</v>
      </c>
      <c r="BB1665">
        <v>4.42</v>
      </c>
      <c r="BC1665">
        <v>95</v>
      </c>
      <c r="BD1665">
        <v>-0.04</v>
      </c>
      <c r="BE1665">
        <v>-0.01</v>
      </c>
      <c r="BF1665">
        <v>0.03</v>
      </c>
      <c r="BG1665">
        <v>98</v>
      </c>
      <c r="BH1665">
        <v>-0.03</v>
      </c>
      <c r="BI1665">
        <v>-13.76</v>
      </c>
      <c r="BJ1665">
        <v>172</v>
      </c>
      <c r="BK1665">
        <v>71</v>
      </c>
      <c r="BL1665">
        <v>0.61</v>
      </c>
      <c r="BM1665">
        <v>-1.17</v>
      </c>
      <c r="BN1665">
        <v>-0.69</v>
      </c>
      <c r="BO1665">
        <v>0.55000000000000004</v>
      </c>
      <c r="BP1665">
        <v>3.32</v>
      </c>
      <c r="BQ1665">
        <v>0.24</v>
      </c>
      <c r="BR1665">
        <v>1.01</v>
      </c>
      <c r="BS1665">
        <v>-1.28</v>
      </c>
      <c r="BT1665">
        <v>-0.22</v>
      </c>
      <c r="BU1665">
        <v>0.83</v>
      </c>
      <c r="BV1665">
        <v>1.25</v>
      </c>
      <c r="BW1665">
        <v>1.56</v>
      </c>
      <c r="BX1665">
        <v>0.75</v>
      </c>
      <c r="BY1665">
        <v>2.68</v>
      </c>
      <c r="BZ1665">
        <v>-0.51</v>
      </c>
      <c r="CA1665">
        <v>0.31</v>
      </c>
      <c r="CB1665">
        <v>1.1299999999999999</v>
      </c>
      <c r="CC1665">
        <v>-1.34</v>
      </c>
      <c r="CD1665">
        <v>-0.7</v>
      </c>
      <c r="CE1665">
        <v>0.47</v>
      </c>
      <c r="CF1665">
        <v>0.28000000000000003</v>
      </c>
      <c r="CG1665">
        <v>0</v>
      </c>
      <c r="CH1665">
        <v>2.59</v>
      </c>
      <c r="CI1665">
        <v>0</v>
      </c>
      <c r="CJ1665">
        <v>-2.5</v>
      </c>
      <c r="CK1665">
        <v>99</v>
      </c>
      <c r="CL1665">
        <v>-1.01</v>
      </c>
      <c r="CM1665">
        <v>99</v>
      </c>
      <c r="CN1665">
        <v>-0.45</v>
      </c>
      <c r="CO1665">
        <v>99</v>
      </c>
      <c r="CP1665">
        <v>1.3</v>
      </c>
      <c r="CQ1665">
        <v>99</v>
      </c>
      <c r="CR1665">
        <v>0</v>
      </c>
      <c r="CS1665">
        <v>0</v>
      </c>
      <c r="CT1665">
        <v>6.9</v>
      </c>
      <c r="CU1665">
        <v>99</v>
      </c>
      <c r="CV1665">
        <v>0.23</v>
      </c>
      <c r="CW1665">
        <v>47</v>
      </c>
      <c r="CX1665" t="s">
        <v>316</v>
      </c>
    </row>
    <row r="1666" spans="1:102" x14ac:dyDescent="0.3">
      <c r="A1666" t="str">
        <f>HYPERLINK("https://webapp.icbf.com/v2/app/bull-search/view/440098398","TDO")</f>
        <v>TDO</v>
      </c>
      <c r="B1666" t="s">
        <v>9609</v>
      </c>
      <c r="C1666" t="s">
        <v>9610</v>
      </c>
      <c r="D1666" s="1">
        <v>36745</v>
      </c>
      <c r="E1666" t="s">
        <v>92</v>
      </c>
      <c r="F1666">
        <v>91</v>
      </c>
      <c r="G1666" t="s">
        <v>93</v>
      </c>
      <c r="H1666">
        <v>95.17</v>
      </c>
      <c r="I1666">
        <v>89</v>
      </c>
      <c r="J1666">
        <v>27.79</v>
      </c>
      <c r="K1666">
        <v>97</v>
      </c>
      <c r="L1666">
        <v>13.29</v>
      </c>
      <c r="M1666">
        <v>83</v>
      </c>
      <c r="N1666">
        <v>39.6</v>
      </c>
      <c r="O1666">
        <v>85</v>
      </c>
      <c r="P1666">
        <v>-3.13</v>
      </c>
      <c r="Q1666">
        <v>93</v>
      </c>
      <c r="R1666">
        <v>1.07</v>
      </c>
      <c r="S1666">
        <v>78</v>
      </c>
      <c r="T1666">
        <v>18.41</v>
      </c>
      <c r="U1666">
        <v>87</v>
      </c>
      <c r="V1666">
        <v>-1.86</v>
      </c>
      <c r="W1666">
        <v>84</v>
      </c>
      <c r="X1666" t="s">
        <v>302</v>
      </c>
      <c r="Y1666" t="s">
        <v>95</v>
      </c>
      <c r="Z1666" t="s">
        <v>330</v>
      </c>
      <c r="AA1666" t="s">
        <v>1663</v>
      </c>
      <c r="AB1666" t="s">
        <v>4714</v>
      </c>
      <c r="AC1666">
        <v>118</v>
      </c>
      <c r="AD1666">
        <v>51</v>
      </c>
      <c r="AE1666">
        <v>97</v>
      </c>
      <c r="AF1666">
        <v>52.05</v>
      </c>
      <c r="AG1666">
        <v>-1.01</v>
      </c>
      <c r="AH1666">
        <v>5.88</v>
      </c>
      <c r="AI1666">
        <v>-0.05</v>
      </c>
      <c r="AJ1666">
        <v>7.0000000000000007E-2</v>
      </c>
      <c r="AK1666">
        <v>83</v>
      </c>
      <c r="AL1666">
        <v>119</v>
      </c>
      <c r="AM1666">
        <v>54</v>
      </c>
      <c r="AN1666">
        <v>-1.52</v>
      </c>
      <c r="AO1666">
        <v>-0.47</v>
      </c>
      <c r="AP1666">
        <v>136</v>
      </c>
      <c r="AQ1666">
        <v>4</v>
      </c>
      <c r="AR1666">
        <v>5.8</v>
      </c>
      <c r="AS1666">
        <v>63</v>
      </c>
      <c r="AT1666">
        <v>2.21</v>
      </c>
      <c r="AU1666">
        <v>86</v>
      </c>
      <c r="AV1666">
        <v>-2.63</v>
      </c>
      <c r="AW1666">
        <v>95</v>
      </c>
      <c r="AX1666">
        <v>-0.84</v>
      </c>
      <c r="AY1666">
        <v>83</v>
      </c>
      <c r="AZ1666">
        <v>5.29</v>
      </c>
      <c r="BA1666">
        <v>62</v>
      </c>
      <c r="BB1666">
        <v>4.2300000000000004</v>
      </c>
      <c r="BC1666">
        <v>68</v>
      </c>
      <c r="BD1666">
        <v>-0.04</v>
      </c>
      <c r="BE1666">
        <v>-0.02</v>
      </c>
      <c r="BF1666">
        <v>0.08</v>
      </c>
      <c r="BG1666">
        <v>85</v>
      </c>
      <c r="BH1666">
        <v>-7.0000000000000007E-2</v>
      </c>
      <c r="BI1666">
        <v>-2.1</v>
      </c>
      <c r="BJ1666">
        <v>4</v>
      </c>
      <c r="BK1666">
        <v>4</v>
      </c>
      <c r="BL1666">
        <v>-0.94</v>
      </c>
      <c r="BM1666">
        <v>-2.08</v>
      </c>
      <c r="BN1666">
        <v>-2.64</v>
      </c>
      <c r="BO1666">
        <v>-1.1100000000000001</v>
      </c>
      <c r="BP1666">
        <v>0.96</v>
      </c>
      <c r="BQ1666">
        <v>-0.91</v>
      </c>
      <c r="BR1666">
        <v>1.78</v>
      </c>
      <c r="BS1666">
        <v>-0.49</v>
      </c>
      <c r="BT1666">
        <v>-2.29</v>
      </c>
      <c r="BU1666">
        <v>-2.46</v>
      </c>
      <c r="BV1666">
        <v>-1.1499999999999999</v>
      </c>
      <c r="BW1666">
        <v>-0.9</v>
      </c>
      <c r="BX1666">
        <v>-1.27</v>
      </c>
      <c r="BY1666">
        <v>-2.23</v>
      </c>
      <c r="BZ1666">
        <v>1.65</v>
      </c>
      <c r="CA1666">
        <v>-1.75</v>
      </c>
      <c r="CB1666">
        <v>-1.75</v>
      </c>
      <c r="CC1666">
        <v>-1.72</v>
      </c>
      <c r="CD1666">
        <v>-0.43</v>
      </c>
      <c r="CE1666">
        <v>0.16</v>
      </c>
      <c r="CF1666">
        <v>-0.59</v>
      </c>
      <c r="CG1666">
        <v>0</v>
      </c>
      <c r="CH1666">
        <v>-2.1800000000000002</v>
      </c>
      <c r="CI1666">
        <v>0</v>
      </c>
      <c r="CJ1666">
        <v>-1.3</v>
      </c>
      <c r="CK1666">
        <v>94</v>
      </c>
      <c r="CL1666">
        <v>-0.41</v>
      </c>
      <c r="CM1666">
        <v>93</v>
      </c>
      <c r="CN1666">
        <v>-0.36</v>
      </c>
      <c r="CO1666">
        <v>92</v>
      </c>
      <c r="CP1666">
        <v>-8.8000000000000007</v>
      </c>
      <c r="CQ1666">
        <v>91</v>
      </c>
      <c r="CR1666">
        <v>0</v>
      </c>
      <c r="CS1666">
        <v>0</v>
      </c>
      <c r="CT1666">
        <v>-11.1</v>
      </c>
      <c r="CU1666">
        <v>87</v>
      </c>
      <c r="CV1666">
        <v>0.04</v>
      </c>
      <c r="CW1666">
        <v>45</v>
      </c>
      <c r="CX1666" t="s">
        <v>1618</v>
      </c>
    </row>
    <row r="1667" spans="1:102" x14ac:dyDescent="0.3">
      <c r="A1667" t="str">
        <f>HYPERLINK("https://webapp.icbf.com/v2/app/bull-search/view/1593079463","FR4606")</f>
        <v>FR4606</v>
      </c>
      <c r="B1667" t="s">
        <v>14248</v>
      </c>
      <c r="C1667" t="s">
        <v>14249</v>
      </c>
      <c r="D1667" s="1">
        <v>42359</v>
      </c>
      <c r="E1667" t="s">
        <v>108</v>
      </c>
      <c r="F1667">
        <v>0</v>
      </c>
      <c r="G1667" t="s">
        <v>435</v>
      </c>
      <c r="H1667">
        <v>95.15</v>
      </c>
      <c r="I1667">
        <v>57</v>
      </c>
      <c r="J1667">
        <v>-61.41</v>
      </c>
      <c r="K1667">
        <v>77</v>
      </c>
      <c r="L1667">
        <v>110.03</v>
      </c>
      <c r="M1667">
        <v>50</v>
      </c>
      <c r="N1667">
        <v>21.75</v>
      </c>
      <c r="O1667">
        <v>48</v>
      </c>
      <c r="P1667">
        <v>-10.78</v>
      </c>
      <c r="Q1667">
        <v>44</v>
      </c>
      <c r="R1667">
        <v>11.77</v>
      </c>
      <c r="S1667">
        <v>50</v>
      </c>
      <c r="T1667">
        <v>19.52</v>
      </c>
      <c r="U1667">
        <v>42</v>
      </c>
      <c r="V1667">
        <v>4.2699999999999996</v>
      </c>
      <c r="W1667">
        <v>46</v>
      </c>
      <c r="X1667" t="s">
        <v>94</v>
      </c>
      <c r="Y1667" t="s">
        <v>442</v>
      </c>
      <c r="Z1667" t="s">
        <v>96</v>
      </c>
      <c r="AA1667" t="s">
        <v>2416</v>
      </c>
      <c r="AB1667" t="s">
        <v>14250</v>
      </c>
      <c r="AC1667">
        <v>0</v>
      </c>
      <c r="AD1667">
        <v>0</v>
      </c>
      <c r="AE1667">
        <v>77</v>
      </c>
      <c r="AF1667">
        <v>-247.8</v>
      </c>
      <c r="AG1667">
        <v>-12.29</v>
      </c>
      <c r="AH1667">
        <v>-9.89</v>
      </c>
      <c r="AI1667">
        <v>-0.05</v>
      </c>
      <c r="AJ1667">
        <v>-0.02</v>
      </c>
      <c r="AK1667">
        <v>50</v>
      </c>
      <c r="AL1667">
        <v>0</v>
      </c>
      <c r="AM1667">
        <v>0</v>
      </c>
      <c r="AN1667">
        <v>-7.12</v>
      </c>
      <c r="AO1667">
        <v>1.64</v>
      </c>
      <c r="AP1667">
        <v>1</v>
      </c>
      <c r="AQ1667">
        <v>0</v>
      </c>
      <c r="AR1667">
        <v>6.59</v>
      </c>
      <c r="AS1667">
        <v>41</v>
      </c>
      <c r="AT1667">
        <v>2.5299999999999998</v>
      </c>
      <c r="AU1667">
        <v>52</v>
      </c>
      <c r="AV1667">
        <v>-2.02</v>
      </c>
      <c r="AW1667">
        <v>55</v>
      </c>
      <c r="AX1667">
        <v>-0.4</v>
      </c>
      <c r="AY1667">
        <v>46</v>
      </c>
      <c r="AZ1667">
        <v>7.02</v>
      </c>
      <c r="BA1667">
        <v>30</v>
      </c>
      <c r="BB1667">
        <v>5.36</v>
      </c>
      <c r="BC1667">
        <v>30</v>
      </c>
      <c r="BD1667">
        <v>-0.01</v>
      </c>
      <c r="BE1667">
        <v>-0.06</v>
      </c>
      <c r="BF1667">
        <v>-0.14000000000000001</v>
      </c>
      <c r="BG1667">
        <v>58</v>
      </c>
      <c r="BH1667">
        <v>-7.0000000000000007E-2</v>
      </c>
      <c r="BI1667">
        <v>-21.87</v>
      </c>
      <c r="BJ1667">
        <v>0</v>
      </c>
      <c r="BK1667">
        <v>0</v>
      </c>
      <c r="BL1667">
        <v>-2.14</v>
      </c>
      <c r="BM1667">
        <v>1.51</v>
      </c>
      <c r="BN1667">
        <v>-1.56</v>
      </c>
      <c r="BO1667">
        <v>-2.06</v>
      </c>
      <c r="BP1667">
        <v>-0.46</v>
      </c>
      <c r="BQ1667">
        <v>0.78</v>
      </c>
      <c r="BR1667">
        <v>-1.29</v>
      </c>
      <c r="BS1667">
        <v>0.76</v>
      </c>
      <c r="BT1667">
        <v>0.52</v>
      </c>
      <c r="BU1667">
        <v>-1.2</v>
      </c>
      <c r="BV1667">
        <v>-1.51</v>
      </c>
      <c r="BW1667">
        <v>-0.9</v>
      </c>
      <c r="BX1667">
        <v>-0.49</v>
      </c>
      <c r="BY1667">
        <v>-0.62</v>
      </c>
      <c r="BZ1667">
        <v>-0.06</v>
      </c>
      <c r="CA1667">
        <v>-1.2</v>
      </c>
      <c r="CB1667">
        <v>-1.1299999999999999</v>
      </c>
      <c r="CC1667">
        <v>-0.66</v>
      </c>
      <c r="CD1667">
        <v>1.84</v>
      </c>
      <c r="CE1667">
        <v>-2.29</v>
      </c>
      <c r="CF1667">
        <v>-1.92</v>
      </c>
      <c r="CG1667">
        <v>0</v>
      </c>
      <c r="CH1667">
        <v>-0.35</v>
      </c>
      <c r="CI1667">
        <v>0</v>
      </c>
      <c r="CJ1667">
        <v>-3.9</v>
      </c>
      <c r="CK1667">
        <v>45</v>
      </c>
      <c r="CL1667">
        <v>-0.3</v>
      </c>
      <c r="CM1667">
        <v>44</v>
      </c>
      <c r="CN1667">
        <v>0.17</v>
      </c>
      <c r="CO1667">
        <v>44</v>
      </c>
      <c r="CP1667">
        <v>-2.1</v>
      </c>
      <c r="CQ1667">
        <v>42</v>
      </c>
      <c r="CR1667">
        <v>0</v>
      </c>
      <c r="CS1667">
        <v>0</v>
      </c>
      <c r="CT1667">
        <v>-12.6</v>
      </c>
      <c r="CU1667">
        <v>42</v>
      </c>
      <c r="CV1667">
        <v>0.12</v>
      </c>
      <c r="CW1667">
        <v>35</v>
      </c>
      <c r="CX1667" t="s">
        <v>5174</v>
      </c>
    </row>
    <row r="1668" spans="1:102" x14ac:dyDescent="0.3">
      <c r="A1668" t="str">
        <f>HYPERLINK("https://webapp.icbf.com/v2/app/bull-search/view/444536969","NHF")</f>
        <v>NHF</v>
      </c>
      <c r="B1668" t="s">
        <v>8872</v>
      </c>
      <c r="C1668" t="s">
        <v>5620</v>
      </c>
      <c r="D1668" s="1">
        <v>36989</v>
      </c>
      <c r="E1668" t="s">
        <v>108</v>
      </c>
      <c r="F1668">
        <v>44</v>
      </c>
      <c r="G1668" t="s">
        <v>109</v>
      </c>
      <c r="H1668">
        <v>94.98</v>
      </c>
      <c r="I1668">
        <v>78</v>
      </c>
      <c r="J1668">
        <v>76.88</v>
      </c>
      <c r="K1668">
        <v>91</v>
      </c>
      <c r="L1668">
        <v>8.9499999999999993</v>
      </c>
      <c r="M1668">
        <v>81</v>
      </c>
      <c r="N1668">
        <v>21.61</v>
      </c>
      <c r="O1668">
        <v>65</v>
      </c>
      <c r="P1668">
        <v>-18.95</v>
      </c>
      <c r="Q1668">
        <v>60</v>
      </c>
      <c r="R1668">
        <v>-6.62</v>
      </c>
      <c r="S1668">
        <v>74</v>
      </c>
      <c r="T1668">
        <v>14.86</v>
      </c>
      <c r="U1668">
        <v>57</v>
      </c>
      <c r="V1668">
        <v>-1.75</v>
      </c>
      <c r="W1668">
        <v>62</v>
      </c>
      <c r="X1668" t="s">
        <v>94</v>
      </c>
      <c r="Y1668" t="s">
        <v>270</v>
      </c>
      <c r="Z1668" t="s">
        <v>330</v>
      </c>
      <c r="AA1668" t="s">
        <v>792</v>
      </c>
      <c r="AB1668" t="s">
        <v>8873</v>
      </c>
      <c r="AC1668">
        <v>0</v>
      </c>
      <c r="AD1668">
        <v>0</v>
      </c>
      <c r="AE1668">
        <v>91</v>
      </c>
      <c r="AF1668">
        <v>101.08</v>
      </c>
      <c r="AG1668">
        <v>15.41</v>
      </c>
      <c r="AH1668">
        <v>9.17</v>
      </c>
      <c r="AI1668">
        <v>0.2</v>
      </c>
      <c r="AJ1668">
        <v>0.1</v>
      </c>
      <c r="AK1668">
        <v>81</v>
      </c>
      <c r="AL1668">
        <v>0</v>
      </c>
      <c r="AM1668">
        <v>0</v>
      </c>
      <c r="AN1668">
        <v>0</v>
      </c>
      <c r="AO1668">
        <v>0.72</v>
      </c>
      <c r="AP1668">
        <v>4</v>
      </c>
      <c r="AQ1668">
        <v>0</v>
      </c>
      <c r="AR1668">
        <v>5.75</v>
      </c>
      <c r="AS1668">
        <v>58</v>
      </c>
      <c r="AT1668">
        <v>2.35</v>
      </c>
      <c r="AU1668">
        <v>86</v>
      </c>
      <c r="AV1668">
        <v>-1.85</v>
      </c>
      <c r="AW1668">
        <v>63</v>
      </c>
      <c r="AX1668">
        <v>-1.03</v>
      </c>
      <c r="AY1668">
        <v>55</v>
      </c>
      <c r="AZ1668">
        <v>7.97</v>
      </c>
      <c r="BA1668">
        <v>46</v>
      </c>
      <c r="BB1668">
        <v>5.72</v>
      </c>
      <c r="BC1668">
        <v>46</v>
      </c>
      <c r="BD1668">
        <v>0.02</v>
      </c>
      <c r="BE1668">
        <v>0.01</v>
      </c>
      <c r="BF1668">
        <v>0.1</v>
      </c>
      <c r="BG1668">
        <v>90</v>
      </c>
      <c r="BH1668">
        <v>0.01</v>
      </c>
      <c r="BI1668">
        <v>6.8</v>
      </c>
      <c r="BJ1668">
        <v>0</v>
      </c>
      <c r="BK1668">
        <v>0</v>
      </c>
      <c r="BL1668">
        <v>-1.06</v>
      </c>
      <c r="BM1668">
        <v>0.5</v>
      </c>
      <c r="BN1668">
        <v>-0.28000000000000003</v>
      </c>
      <c r="BO1668">
        <v>-0.77</v>
      </c>
      <c r="BP1668">
        <v>0.25</v>
      </c>
      <c r="BQ1668">
        <v>-1.55</v>
      </c>
      <c r="BR1668">
        <v>1.04</v>
      </c>
      <c r="BS1668">
        <v>0.51</v>
      </c>
      <c r="BT1668">
        <v>-1.1399999999999999</v>
      </c>
      <c r="BU1668">
        <v>-0.17</v>
      </c>
      <c r="BV1668">
        <v>-0.47</v>
      </c>
      <c r="BW1668">
        <v>-0.86</v>
      </c>
      <c r="BX1668">
        <v>0.02</v>
      </c>
      <c r="BY1668">
        <v>-1.57</v>
      </c>
      <c r="BZ1668">
        <v>-1.1299999999999999</v>
      </c>
      <c r="CA1668">
        <v>-0.37</v>
      </c>
      <c r="CB1668">
        <v>-0.51</v>
      </c>
      <c r="CC1668">
        <v>-0.05</v>
      </c>
      <c r="CD1668">
        <v>0.5</v>
      </c>
      <c r="CE1668">
        <v>-0.46</v>
      </c>
      <c r="CF1668">
        <v>-1.36</v>
      </c>
      <c r="CG1668">
        <v>0</v>
      </c>
      <c r="CH1668">
        <v>-1.79</v>
      </c>
      <c r="CI1668">
        <v>0</v>
      </c>
      <c r="CJ1668">
        <v>-10.1</v>
      </c>
      <c r="CK1668">
        <v>61</v>
      </c>
      <c r="CL1668">
        <v>-0.84</v>
      </c>
      <c r="CM1668">
        <v>60</v>
      </c>
      <c r="CN1668">
        <v>-0.42</v>
      </c>
      <c r="CO1668">
        <v>58</v>
      </c>
      <c r="CP1668">
        <v>-8.4</v>
      </c>
      <c r="CQ1668">
        <v>59</v>
      </c>
      <c r="CR1668">
        <v>0</v>
      </c>
      <c r="CS1668">
        <v>0</v>
      </c>
      <c r="CT1668">
        <v>-6.3</v>
      </c>
      <c r="CU1668">
        <v>57</v>
      </c>
      <c r="CV1668">
        <v>0.11</v>
      </c>
      <c r="CW1668">
        <v>39</v>
      </c>
      <c r="CX1668" t="s">
        <v>5213</v>
      </c>
    </row>
    <row r="1669" spans="1:102" x14ac:dyDescent="0.3">
      <c r="A1669" t="str">
        <f>HYPERLINK("https://webapp.icbf.com/v2/app/bull-search/view/1196692524","S2281")</f>
        <v>S2281</v>
      </c>
      <c r="B1669" t="s">
        <v>2143</v>
      </c>
      <c r="C1669" t="s">
        <v>2144</v>
      </c>
      <c r="D1669" s="1">
        <v>41266</v>
      </c>
      <c r="E1669" t="s">
        <v>92</v>
      </c>
      <c r="F1669">
        <v>100</v>
      </c>
      <c r="G1669" t="s">
        <v>109</v>
      </c>
      <c r="H1669">
        <v>94.94</v>
      </c>
      <c r="I1669">
        <v>70</v>
      </c>
      <c r="J1669">
        <v>114.31</v>
      </c>
      <c r="K1669">
        <v>83</v>
      </c>
      <c r="L1669">
        <v>-60.06</v>
      </c>
      <c r="M1669">
        <v>80</v>
      </c>
      <c r="N1669">
        <v>26.52</v>
      </c>
      <c r="O1669">
        <v>65</v>
      </c>
      <c r="P1669">
        <v>-4.57</v>
      </c>
      <c r="Q1669">
        <v>59</v>
      </c>
      <c r="R1669">
        <v>11.24</v>
      </c>
      <c r="S1669">
        <v>60</v>
      </c>
      <c r="T1669">
        <v>4.6500000000000004</v>
      </c>
      <c r="U1669">
        <v>29</v>
      </c>
      <c r="V1669">
        <v>2.85</v>
      </c>
      <c r="W1669">
        <v>18</v>
      </c>
      <c r="X1669" t="s">
        <v>251</v>
      </c>
      <c r="Y1669" t="s">
        <v>367</v>
      </c>
      <c r="Z1669" t="s">
        <v>96</v>
      </c>
      <c r="AA1669" t="s">
        <v>1894</v>
      </c>
      <c r="AB1669" t="s">
        <v>2145</v>
      </c>
      <c r="AC1669">
        <v>0</v>
      </c>
      <c r="AD1669">
        <v>0</v>
      </c>
      <c r="AE1669">
        <v>83</v>
      </c>
      <c r="AF1669">
        <v>697.51</v>
      </c>
      <c r="AG1669">
        <v>20.88</v>
      </c>
      <c r="AH1669">
        <v>22.73</v>
      </c>
      <c r="AI1669">
        <v>-0.09</v>
      </c>
      <c r="AJ1669">
        <v>-0.02</v>
      </c>
      <c r="AK1669">
        <v>80</v>
      </c>
      <c r="AL1669">
        <v>0</v>
      </c>
      <c r="AM1669">
        <v>0</v>
      </c>
      <c r="AN1669">
        <v>4.83</v>
      </c>
      <c r="AO1669">
        <v>0.06</v>
      </c>
      <c r="AP1669">
        <v>32</v>
      </c>
      <c r="AQ1669">
        <v>0</v>
      </c>
      <c r="AR1669">
        <v>6.9</v>
      </c>
      <c r="AS1669">
        <v>34</v>
      </c>
      <c r="AT1669">
        <v>3.05</v>
      </c>
      <c r="AU1669">
        <v>89</v>
      </c>
      <c r="AV1669">
        <v>-2.59</v>
      </c>
      <c r="AW1669">
        <v>75</v>
      </c>
      <c r="AX1669">
        <v>0.39</v>
      </c>
      <c r="AY1669">
        <v>64</v>
      </c>
      <c r="AZ1669">
        <v>5.23</v>
      </c>
      <c r="BA1669">
        <v>32</v>
      </c>
      <c r="BB1669">
        <v>4.3899999999999997</v>
      </c>
      <c r="BC1669">
        <v>20</v>
      </c>
      <c r="BD1669">
        <v>-0.02</v>
      </c>
      <c r="BE1669">
        <v>-0.05</v>
      </c>
      <c r="BF1669">
        <v>-0.13</v>
      </c>
      <c r="BG1669">
        <v>88</v>
      </c>
      <c r="BH1669">
        <v>-0.08</v>
      </c>
      <c r="BI1669">
        <v>-18.46</v>
      </c>
      <c r="BJ1669">
        <v>15</v>
      </c>
      <c r="BK1669">
        <v>4</v>
      </c>
      <c r="BL1669">
        <v>1.1100000000000001</v>
      </c>
      <c r="BM1669">
        <v>0.43</v>
      </c>
      <c r="BN1669">
        <v>1.58</v>
      </c>
      <c r="BO1669">
        <v>1.39</v>
      </c>
      <c r="BP1669">
        <v>1.51</v>
      </c>
      <c r="BQ1669">
        <v>1.1599999999999999</v>
      </c>
      <c r="BR1669">
        <v>-0.17</v>
      </c>
      <c r="BS1669">
        <v>3.62</v>
      </c>
      <c r="BT1669">
        <v>0.99</v>
      </c>
      <c r="BU1669">
        <v>2.48</v>
      </c>
      <c r="BV1669">
        <v>3.54</v>
      </c>
      <c r="BW1669">
        <v>1.7</v>
      </c>
      <c r="BX1669">
        <v>1.23</v>
      </c>
      <c r="BY1669">
        <v>2.27</v>
      </c>
      <c r="BZ1669">
        <v>-1.38</v>
      </c>
      <c r="CA1669">
        <v>2.77</v>
      </c>
      <c r="CB1669">
        <v>2.1800000000000002</v>
      </c>
      <c r="CC1669">
        <v>2.93</v>
      </c>
      <c r="CD1669">
        <v>-0.43</v>
      </c>
      <c r="CE1669">
        <v>1.51</v>
      </c>
      <c r="CF1669">
        <v>2.2200000000000002</v>
      </c>
      <c r="CG1669">
        <v>0</v>
      </c>
      <c r="CH1669">
        <v>3.01</v>
      </c>
      <c r="CI1669">
        <v>0</v>
      </c>
      <c r="CJ1669">
        <v>0.7</v>
      </c>
      <c r="CK1669">
        <v>63</v>
      </c>
      <c r="CL1669">
        <v>-1.1100000000000001</v>
      </c>
      <c r="CM1669">
        <v>58</v>
      </c>
      <c r="CN1669">
        <v>-0.53</v>
      </c>
      <c r="CO1669">
        <v>57</v>
      </c>
      <c r="CP1669">
        <v>-1.9</v>
      </c>
      <c r="CQ1669">
        <v>36</v>
      </c>
      <c r="CR1669">
        <v>0</v>
      </c>
      <c r="CS1669">
        <v>0</v>
      </c>
      <c r="CT1669">
        <v>7.5</v>
      </c>
      <c r="CU1669">
        <v>29</v>
      </c>
      <c r="CV1669">
        <v>0.35</v>
      </c>
      <c r="CW1669">
        <v>17</v>
      </c>
      <c r="CX1669" t="s">
        <v>1962</v>
      </c>
    </row>
    <row r="1670" spans="1:102" x14ac:dyDescent="0.3">
      <c r="A1670" t="str">
        <f>HYPERLINK("https://webapp.icbf.com/v2/app/bull-search/view/927848712","S1182")</f>
        <v>S1182</v>
      </c>
      <c r="B1670" t="s">
        <v>15117</v>
      </c>
      <c r="C1670" t="s">
        <v>2000</v>
      </c>
      <c r="D1670" s="1">
        <v>40324</v>
      </c>
      <c r="E1670" t="s">
        <v>92</v>
      </c>
      <c r="F1670">
        <v>100</v>
      </c>
      <c r="G1670" t="s">
        <v>109</v>
      </c>
      <c r="H1670">
        <v>94.93</v>
      </c>
      <c r="I1670">
        <v>86</v>
      </c>
      <c r="J1670">
        <v>52.31</v>
      </c>
      <c r="K1670">
        <v>96</v>
      </c>
      <c r="L1670">
        <v>7.75</v>
      </c>
      <c r="M1670">
        <v>90</v>
      </c>
      <c r="N1670">
        <v>33.69</v>
      </c>
      <c r="O1670">
        <v>83</v>
      </c>
      <c r="P1670">
        <v>2.61</v>
      </c>
      <c r="Q1670">
        <v>82</v>
      </c>
      <c r="R1670">
        <v>2.42</v>
      </c>
      <c r="S1670">
        <v>79</v>
      </c>
      <c r="T1670">
        <v>-10.220000000000001</v>
      </c>
      <c r="U1670">
        <v>58</v>
      </c>
      <c r="V1670">
        <v>6.37</v>
      </c>
      <c r="W1670">
        <v>61</v>
      </c>
      <c r="X1670" t="s">
        <v>234</v>
      </c>
      <c r="Y1670" t="s">
        <v>336</v>
      </c>
      <c r="Z1670" t="s">
        <v>96</v>
      </c>
      <c r="AA1670" t="s">
        <v>1848</v>
      </c>
      <c r="AB1670" t="s">
        <v>8308</v>
      </c>
      <c r="AC1670">
        <v>42</v>
      </c>
      <c r="AD1670">
        <v>24</v>
      </c>
      <c r="AE1670">
        <v>96</v>
      </c>
      <c r="AF1670">
        <v>522.25</v>
      </c>
      <c r="AG1670">
        <v>12.61</v>
      </c>
      <c r="AH1670">
        <v>12.43</v>
      </c>
      <c r="AI1670">
        <v>-0.12</v>
      </c>
      <c r="AJ1670">
        <v>-0.08</v>
      </c>
      <c r="AK1670">
        <v>90</v>
      </c>
      <c r="AL1670">
        <v>19</v>
      </c>
      <c r="AM1670">
        <v>14</v>
      </c>
      <c r="AN1670">
        <v>1.26</v>
      </c>
      <c r="AO1670">
        <v>1.9</v>
      </c>
      <c r="AP1670">
        <v>75</v>
      </c>
      <c r="AQ1670">
        <v>0</v>
      </c>
      <c r="AR1670">
        <v>6.89</v>
      </c>
      <c r="AS1670">
        <v>83</v>
      </c>
      <c r="AT1670">
        <v>2.2599999999999998</v>
      </c>
      <c r="AU1670">
        <v>98</v>
      </c>
      <c r="AV1670">
        <v>-3.05</v>
      </c>
      <c r="AW1670">
        <v>88</v>
      </c>
      <c r="AX1670">
        <v>-0.2</v>
      </c>
      <c r="AY1670">
        <v>78</v>
      </c>
      <c r="AZ1670">
        <v>6.29</v>
      </c>
      <c r="BA1670">
        <v>62</v>
      </c>
      <c r="BB1670">
        <v>5</v>
      </c>
      <c r="BC1670">
        <v>51</v>
      </c>
      <c r="BD1670">
        <v>-0.01</v>
      </c>
      <c r="BE1670">
        <v>-0.01</v>
      </c>
      <c r="BF1670">
        <v>-0.02</v>
      </c>
      <c r="BG1670">
        <v>94</v>
      </c>
      <c r="BH1670">
        <v>0.06</v>
      </c>
      <c r="BI1670">
        <v>-13.61</v>
      </c>
      <c r="BJ1670">
        <v>16</v>
      </c>
      <c r="BK1670">
        <v>12</v>
      </c>
      <c r="BL1670">
        <v>1.89</v>
      </c>
      <c r="BM1670">
        <v>0.34</v>
      </c>
      <c r="BN1670">
        <v>0.93</v>
      </c>
      <c r="BO1670">
        <v>0.51</v>
      </c>
      <c r="BP1670">
        <v>1.3</v>
      </c>
      <c r="BQ1670">
        <v>0.73</v>
      </c>
      <c r="BR1670">
        <v>-0.76</v>
      </c>
      <c r="BS1670">
        <v>0.85</v>
      </c>
      <c r="BT1670">
        <v>0.69</v>
      </c>
      <c r="BU1670">
        <v>1.99</v>
      </c>
      <c r="BV1670">
        <v>2.5099999999999998</v>
      </c>
      <c r="BW1670">
        <v>1.84</v>
      </c>
      <c r="BX1670">
        <v>2.42</v>
      </c>
      <c r="BY1670">
        <v>1.79</v>
      </c>
      <c r="BZ1670">
        <v>-0.59</v>
      </c>
      <c r="CA1670">
        <v>1.64</v>
      </c>
      <c r="CB1670">
        <v>1.82</v>
      </c>
      <c r="CC1670">
        <v>1.4</v>
      </c>
      <c r="CD1670">
        <v>0.03</v>
      </c>
      <c r="CE1670">
        <v>1.23</v>
      </c>
      <c r="CF1670">
        <v>2.0699999999999998</v>
      </c>
      <c r="CG1670">
        <v>0</v>
      </c>
      <c r="CH1670">
        <v>1.39</v>
      </c>
      <c r="CI1670">
        <v>0</v>
      </c>
      <c r="CJ1670">
        <v>3.4</v>
      </c>
      <c r="CK1670">
        <v>85</v>
      </c>
      <c r="CL1670">
        <v>-1.04</v>
      </c>
      <c r="CM1670">
        <v>83</v>
      </c>
      <c r="CN1670">
        <v>-0.67</v>
      </c>
      <c r="CO1670">
        <v>81</v>
      </c>
      <c r="CP1670">
        <v>5.4</v>
      </c>
      <c r="CQ1670">
        <v>64</v>
      </c>
      <c r="CR1670">
        <v>0</v>
      </c>
      <c r="CS1670">
        <v>0</v>
      </c>
      <c r="CT1670">
        <v>27.6</v>
      </c>
      <c r="CU1670">
        <v>58</v>
      </c>
      <c r="CV1670">
        <v>0.27</v>
      </c>
      <c r="CW1670">
        <v>43</v>
      </c>
      <c r="CX1670" t="s">
        <v>348</v>
      </c>
    </row>
    <row r="1671" spans="1:102" x14ac:dyDescent="0.3">
      <c r="A1671" t="str">
        <f>HYPERLINK("https://webapp.icbf.com/v2/app/bull-search/view/720504211","S920")</f>
        <v>S920</v>
      </c>
      <c r="B1671" t="s">
        <v>2658</v>
      </c>
      <c r="C1671" t="s">
        <v>2167</v>
      </c>
      <c r="D1671" s="1">
        <v>38226</v>
      </c>
      <c r="E1671" t="s">
        <v>227</v>
      </c>
      <c r="F1671">
        <v>0</v>
      </c>
      <c r="G1671" t="s">
        <v>93</v>
      </c>
      <c r="H1671">
        <v>94.76</v>
      </c>
      <c r="I1671">
        <v>87</v>
      </c>
      <c r="J1671">
        <v>18.88</v>
      </c>
      <c r="K1671">
        <v>96</v>
      </c>
      <c r="L1671">
        <v>40.26</v>
      </c>
      <c r="M1671">
        <v>89</v>
      </c>
      <c r="N1671">
        <v>7.25</v>
      </c>
      <c r="O1671">
        <v>77</v>
      </c>
      <c r="P1671">
        <v>-52.53</v>
      </c>
      <c r="Q1671">
        <v>75</v>
      </c>
      <c r="R1671">
        <v>3.44</v>
      </c>
      <c r="S1671">
        <v>78</v>
      </c>
      <c r="T1671">
        <v>70.73</v>
      </c>
      <c r="U1671">
        <v>73</v>
      </c>
      <c r="V1671">
        <v>6.73</v>
      </c>
      <c r="W1671">
        <v>76</v>
      </c>
      <c r="X1671" t="s">
        <v>251</v>
      </c>
      <c r="Y1671" t="s">
        <v>303</v>
      </c>
      <c r="Z1671">
        <v>0</v>
      </c>
      <c r="AA1671" t="s">
        <v>2659</v>
      </c>
      <c r="AB1671" t="s">
        <v>2660</v>
      </c>
      <c r="AC1671">
        <v>73</v>
      </c>
      <c r="AD1671">
        <v>24</v>
      </c>
      <c r="AE1671">
        <v>96</v>
      </c>
      <c r="AF1671">
        <v>-417.62</v>
      </c>
      <c r="AG1671">
        <v>2.0299999999999998</v>
      </c>
      <c r="AH1671">
        <v>-3.9</v>
      </c>
      <c r="AI1671">
        <v>0.34</v>
      </c>
      <c r="AJ1671">
        <v>0.19</v>
      </c>
      <c r="AK1671">
        <v>89</v>
      </c>
      <c r="AL1671">
        <v>52</v>
      </c>
      <c r="AM1671">
        <v>23</v>
      </c>
      <c r="AN1671">
        <v>-1.46</v>
      </c>
      <c r="AO1671">
        <v>1.76</v>
      </c>
      <c r="AP1671">
        <v>42</v>
      </c>
      <c r="AQ1671">
        <v>1</v>
      </c>
      <c r="AR1671">
        <v>2.75</v>
      </c>
      <c r="AS1671">
        <v>72</v>
      </c>
      <c r="AT1671">
        <v>1.37</v>
      </c>
      <c r="AU1671">
        <v>74</v>
      </c>
      <c r="AV1671">
        <v>0.24</v>
      </c>
      <c r="AW1671">
        <v>87</v>
      </c>
      <c r="AX1671">
        <v>3.19</v>
      </c>
      <c r="AY1671">
        <v>74</v>
      </c>
      <c r="AZ1671">
        <v>7.73</v>
      </c>
      <c r="BA1671">
        <v>61</v>
      </c>
      <c r="BB1671">
        <v>5.4</v>
      </c>
      <c r="BC1671">
        <v>58</v>
      </c>
      <c r="BD1671">
        <v>-0.06</v>
      </c>
      <c r="BE1671">
        <v>-0.01</v>
      </c>
      <c r="BF1671">
        <v>0.04</v>
      </c>
      <c r="BG1671">
        <v>86</v>
      </c>
      <c r="BH1671">
        <v>0.23</v>
      </c>
      <c r="BI1671">
        <v>4.91</v>
      </c>
      <c r="BJ1671">
        <v>13</v>
      </c>
      <c r="BK1671">
        <v>5</v>
      </c>
      <c r="BL1671">
        <v>-0.42</v>
      </c>
      <c r="BM1671">
        <v>-0.05</v>
      </c>
      <c r="BN1671">
        <v>1.34</v>
      </c>
      <c r="BO1671">
        <v>1.72</v>
      </c>
      <c r="BP1671">
        <v>-1.01</v>
      </c>
      <c r="BQ1671">
        <v>-4.01</v>
      </c>
      <c r="BR1671">
        <v>1.64</v>
      </c>
      <c r="BS1671">
        <v>7.36</v>
      </c>
      <c r="BT1671">
        <v>0.23</v>
      </c>
      <c r="BU1671">
        <v>2.02</v>
      </c>
      <c r="BV1671">
        <v>1.98</v>
      </c>
      <c r="BW1671">
        <v>0.28999999999999998</v>
      </c>
      <c r="BX1671">
        <v>-0.72</v>
      </c>
      <c r="BY1671">
        <v>1.81</v>
      </c>
      <c r="BZ1671">
        <v>-0.7</v>
      </c>
      <c r="CA1671">
        <v>2.59</v>
      </c>
      <c r="CB1671">
        <v>1.39</v>
      </c>
      <c r="CC1671">
        <v>3.97</v>
      </c>
      <c r="CD1671">
        <v>-1.64</v>
      </c>
      <c r="CE1671">
        <v>1.1599999999999999</v>
      </c>
      <c r="CF1671">
        <v>0.52</v>
      </c>
      <c r="CG1671">
        <v>0</v>
      </c>
      <c r="CH1671">
        <v>1.64</v>
      </c>
      <c r="CI1671">
        <v>0</v>
      </c>
      <c r="CJ1671">
        <v>-25.9</v>
      </c>
      <c r="CK1671">
        <v>77</v>
      </c>
      <c r="CL1671">
        <v>-1.17</v>
      </c>
      <c r="CM1671">
        <v>73</v>
      </c>
      <c r="CN1671">
        <v>-0.31</v>
      </c>
      <c r="CO1671">
        <v>70</v>
      </c>
      <c r="CP1671">
        <v>-55.6</v>
      </c>
      <c r="CQ1671">
        <v>77</v>
      </c>
      <c r="CR1671">
        <v>0</v>
      </c>
      <c r="CS1671">
        <v>0</v>
      </c>
      <c r="CT1671">
        <v>-81.8</v>
      </c>
      <c r="CU1671">
        <v>73</v>
      </c>
      <c r="CV1671">
        <v>-0.21</v>
      </c>
      <c r="CW1671">
        <v>40</v>
      </c>
      <c r="CX1671" t="s">
        <v>554</v>
      </c>
    </row>
    <row r="1672" spans="1:102" x14ac:dyDescent="0.3">
      <c r="A1672" t="str">
        <f>HYPERLINK("https://webapp.icbf.com/v2/app/bull-search/view/720533216","JE2069")</f>
        <v>JE2069</v>
      </c>
      <c r="B1672" t="s">
        <v>15484</v>
      </c>
      <c r="C1672" t="s">
        <v>15485</v>
      </c>
      <c r="D1672" s="1">
        <v>39385</v>
      </c>
      <c r="E1672" t="s">
        <v>227</v>
      </c>
      <c r="F1672">
        <v>0</v>
      </c>
      <c r="G1672" t="s">
        <v>109</v>
      </c>
      <c r="H1672">
        <v>94.73</v>
      </c>
      <c r="I1672">
        <v>61</v>
      </c>
      <c r="J1672">
        <v>51.06</v>
      </c>
      <c r="K1672">
        <v>84</v>
      </c>
      <c r="L1672">
        <v>23.45</v>
      </c>
      <c r="M1672">
        <v>75</v>
      </c>
      <c r="N1672">
        <v>20.79</v>
      </c>
      <c r="O1672">
        <v>25</v>
      </c>
      <c r="P1672">
        <v>-71.319999999999993</v>
      </c>
      <c r="Q1672">
        <v>36</v>
      </c>
      <c r="R1672">
        <v>-5.67</v>
      </c>
      <c r="S1672">
        <v>22</v>
      </c>
      <c r="T1672">
        <v>73.319999999999993</v>
      </c>
      <c r="U1672">
        <v>18</v>
      </c>
      <c r="V1672">
        <v>3.1</v>
      </c>
      <c r="W1672">
        <v>13</v>
      </c>
      <c r="X1672" t="s">
        <v>251</v>
      </c>
      <c r="Y1672" t="s">
        <v>422</v>
      </c>
      <c r="Z1672">
        <v>0</v>
      </c>
      <c r="AA1672" t="s">
        <v>15486</v>
      </c>
      <c r="AB1672" t="s">
        <v>9260</v>
      </c>
      <c r="AC1672">
        <v>0</v>
      </c>
      <c r="AD1672">
        <v>0</v>
      </c>
      <c r="AE1672">
        <v>84</v>
      </c>
      <c r="AF1672">
        <v>-20.329999999999998</v>
      </c>
      <c r="AG1672">
        <v>13.49</v>
      </c>
      <c r="AH1672">
        <v>3.6</v>
      </c>
      <c r="AI1672">
        <v>0.24</v>
      </c>
      <c r="AJ1672">
        <v>7.0000000000000007E-2</v>
      </c>
      <c r="AK1672">
        <v>75</v>
      </c>
      <c r="AL1672">
        <v>0</v>
      </c>
      <c r="AM1672">
        <v>0</v>
      </c>
      <c r="AN1672">
        <v>0.28999999999999998</v>
      </c>
      <c r="AO1672">
        <v>2.1800000000000002</v>
      </c>
      <c r="AP1672">
        <v>3</v>
      </c>
      <c r="AQ1672">
        <v>0</v>
      </c>
      <c r="AR1672">
        <v>2.89</v>
      </c>
      <c r="AS1672">
        <v>16</v>
      </c>
      <c r="AT1672">
        <v>1.71</v>
      </c>
      <c r="AU1672">
        <v>15</v>
      </c>
      <c r="AV1672">
        <v>-1.46</v>
      </c>
      <c r="AW1672">
        <v>39</v>
      </c>
      <c r="AX1672">
        <v>3.26</v>
      </c>
      <c r="AY1672">
        <v>25</v>
      </c>
      <c r="AZ1672">
        <v>7.05</v>
      </c>
      <c r="BA1672">
        <v>12</v>
      </c>
      <c r="BB1672">
        <v>5.22</v>
      </c>
      <c r="BC1672">
        <v>9</v>
      </c>
      <c r="BD1672">
        <v>-0.01</v>
      </c>
      <c r="BE1672">
        <v>0.03</v>
      </c>
      <c r="BF1672">
        <v>0.09</v>
      </c>
      <c r="BG1672">
        <v>27</v>
      </c>
      <c r="BH1672">
        <v>0.04</v>
      </c>
      <c r="BI1672">
        <v>-5.36</v>
      </c>
      <c r="BJ1672">
        <v>2</v>
      </c>
      <c r="BK1672">
        <v>2</v>
      </c>
      <c r="BL1672">
        <v>-0.6</v>
      </c>
      <c r="BM1672">
        <v>-1.94</v>
      </c>
      <c r="BN1672">
        <v>0.18</v>
      </c>
      <c r="BO1672">
        <v>2.06</v>
      </c>
      <c r="BP1672">
        <v>1.06</v>
      </c>
      <c r="BQ1672">
        <v>-4.88</v>
      </c>
      <c r="BR1672">
        <v>2.08</v>
      </c>
      <c r="BS1672">
        <v>6.38</v>
      </c>
      <c r="BT1672">
        <v>-1.29</v>
      </c>
      <c r="BU1672">
        <v>1.01</v>
      </c>
      <c r="BV1672">
        <v>0.9</v>
      </c>
      <c r="BW1672">
        <v>-1.27</v>
      </c>
      <c r="BX1672">
        <v>-2</v>
      </c>
      <c r="BY1672">
        <v>0.46</v>
      </c>
      <c r="BZ1672">
        <v>0.4</v>
      </c>
      <c r="CA1672">
        <v>2.5499999999999998</v>
      </c>
      <c r="CB1672">
        <v>1.26</v>
      </c>
      <c r="CC1672">
        <v>4.08</v>
      </c>
      <c r="CD1672">
        <v>-2.56</v>
      </c>
      <c r="CE1672">
        <v>1.81</v>
      </c>
      <c r="CF1672">
        <v>-0.31</v>
      </c>
      <c r="CG1672">
        <v>0</v>
      </c>
      <c r="CH1672">
        <v>-0.26</v>
      </c>
      <c r="CI1672">
        <v>0</v>
      </c>
      <c r="CJ1672">
        <v>-37.200000000000003</v>
      </c>
      <c r="CK1672">
        <v>40</v>
      </c>
      <c r="CL1672">
        <v>-1.48</v>
      </c>
      <c r="CM1672">
        <v>34</v>
      </c>
      <c r="CN1672">
        <v>-0.32</v>
      </c>
      <c r="CO1672">
        <v>31</v>
      </c>
      <c r="CP1672">
        <v>-56.4</v>
      </c>
      <c r="CQ1672">
        <v>25</v>
      </c>
      <c r="CR1672">
        <v>0</v>
      </c>
      <c r="CS1672">
        <v>0</v>
      </c>
      <c r="CT1672">
        <v>-85.3</v>
      </c>
      <c r="CU1672">
        <v>18</v>
      </c>
      <c r="CV1672">
        <v>-0.37</v>
      </c>
      <c r="CW1672">
        <v>10</v>
      </c>
      <c r="CX1672" t="s">
        <v>2169</v>
      </c>
    </row>
    <row r="1673" spans="1:102" x14ac:dyDescent="0.3">
      <c r="A1673" t="str">
        <f>HYPERLINK("https://webapp.icbf.com/v2/app/bull-search/view/1196709450","FR2072")</f>
        <v>FR2072</v>
      </c>
      <c r="B1673" t="s">
        <v>3102</v>
      </c>
      <c r="C1673" t="s">
        <v>3103</v>
      </c>
      <c r="D1673" s="1">
        <v>41455</v>
      </c>
      <c r="E1673" t="s">
        <v>92</v>
      </c>
      <c r="F1673">
        <v>100</v>
      </c>
      <c r="G1673" t="s">
        <v>109</v>
      </c>
      <c r="H1673">
        <v>94.66</v>
      </c>
      <c r="I1673">
        <v>65</v>
      </c>
      <c r="J1673">
        <v>86.69</v>
      </c>
      <c r="K1673">
        <v>79</v>
      </c>
      <c r="L1673">
        <v>-44.4</v>
      </c>
      <c r="M1673">
        <v>70</v>
      </c>
      <c r="N1673">
        <v>34.58</v>
      </c>
      <c r="O1673">
        <v>63</v>
      </c>
      <c r="P1673">
        <v>-4.76</v>
      </c>
      <c r="Q1673">
        <v>50</v>
      </c>
      <c r="R1673">
        <v>10.51</v>
      </c>
      <c r="S1673">
        <v>57</v>
      </c>
      <c r="T1673">
        <v>8.65</v>
      </c>
      <c r="U1673">
        <v>28</v>
      </c>
      <c r="V1673">
        <v>3.39</v>
      </c>
      <c r="W1673">
        <v>17</v>
      </c>
      <c r="X1673" t="s">
        <v>94</v>
      </c>
      <c r="Y1673" t="s">
        <v>405</v>
      </c>
      <c r="Z1673" t="s">
        <v>96</v>
      </c>
      <c r="AA1673" t="s">
        <v>1894</v>
      </c>
      <c r="AB1673" t="s">
        <v>3104</v>
      </c>
      <c r="AC1673">
        <v>0</v>
      </c>
      <c r="AD1673">
        <v>0</v>
      </c>
      <c r="AE1673">
        <v>79</v>
      </c>
      <c r="AF1673">
        <v>308.31</v>
      </c>
      <c r="AG1673">
        <v>19.260000000000002</v>
      </c>
      <c r="AH1673">
        <v>12.65</v>
      </c>
      <c r="AI1673">
        <v>0.11</v>
      </c>
      <c r="AJ1673">
        <v>0.03</v>
      </c>
      <c r="AK1673">
        <v>70</v>
      </c>
      <c r="AL1673">
        <v>0</v>
      </c>
      <c r="AM1673">
        <v>0</v>
      </c>
      <c r="AN1673">
        <v>3.26</v>
      </c>
      <c r="AO1673">
        <v>-0.27</v>
      </c>
      <c r="AP1673">
        <v>25</v>
      </c>
      <c r="AQ1673">
        <v>0</v>
      </c>
      <c r="AR1673">
        <v>6.99</v>
      </c>
      <c r="AS1673">
        <v>44</v>
      </c>
      <c r="AT1673">
        <v>3.05</v>
      </c>
      <c r="AU1673">
        <v>82</v>
      </c>
      <c r="AV1673">
        <v>-3.7</v>
      </c>
      <c r="AW1673">
        <v>77</v>
      </c>
      <c r="AX1673">
        <v>0.35</v>
      </c>
      <c r="AY1673">
        <v>42</v>
      </c>
      <c r="AZ1673">
        <v>5.38</v>
      </c>
      <c r="BA1673">
        <v>31</v>
      </c>
      <c r="BB1673">
        <v>4.49</v>
      </c>
      <c r="BC1673">
        <v>20</v>
      </c>
      <c r="BD1673">
        <v>-0.04</v>
      </c>
      <c r="BE1673">
        <v>-0.05</v>
      </c>
      <c r="BF1673">
        <v>-0.08</v>
      </c>
      <c r="BG1673">
        <v>84</v>
      </c>
      <c r="BH1673">
        <v>-0.06</v>
      </c>
      <c r="BI1673">
        <v>-17.88</v>
      </c>
      <c r="BJ1673">
        <v>11</v>
      </c>
      <c r="BK1673">
        <v>2</v>
      </c>
      <c r="BL1673">
        <v>1.49</v>
      </c>
      <c r="BM1673">
        <v>-0.28000000000000003</v>
      </c>
      <c r="BN1673">
        <v>1.89</v>
      </c>
      <c r="BO1673">
        <v>1.95</v>
      </c>
      <c r="BP1673">
        <v>-1.45</v>
      </c>
      <c r="BQ1673">
        <v>1.3</v>
      </c>
      <c r="BR1673">
        <v>-1.1100000000000001</v>
      </c>
      <c r="BS1673">
        <v>2.79</v>
      </c>
      <c r="BT1673">
        <v>2.08</v>
      </c>
      <c r="BU1673">
        <v>2.91</v>
      </c>
      <c r="BV1673">
        <v>3.45</v>
      </c>
      <c r="BW1673">
        <v>1.93</v>
      </c>
      <c r="BX1673">
        <v>2.39</v>
      </c>
      <c r="BY1673">
        <v>3.46</v>
      </c>
      <c r="BZ1673">
        <v>-1.43</v>
      </c>
      <c r="CA1673">
        <v>2.79</v>
      </c>
      <c r="CB1673">
        <v>2.68</v>
      </c>
      <c r="CC1673">
        <v>1.97</v>
      </c>
      <c r="CD1673">
        <v>-1.4</v>
      </c>
      <c r="CE1673">
        <v>1.38</v>
      </c>
      <c r="CF1673">
        <v>1.66</v>
      </c>
      <c r="CG1673">
        <v>0</v>
      </c>
      <c r="CH1673">
        <v>3.17</v>
      </c>
      <c r="CI1673">
        <v>0</v>
      </c>
      <c r="CJ1673">
        <v>-0.4</v>
      </c>
      <c r="CK1673">
        <v>53</v>
      </c>
      <c r="CL1673">
        <v>-0.95</v>
      </c>
      <c r="CM1673">
        <v>49</v>
      </c>
      <c r="CN1673">
        <v>-0.53</v>
      </c>
      <c r="CO1673">
        <v>47</v>
      </c>
      <c r="CP1673">
        <v>-4.0999999999999996</v>
      </c>
      <c r="CQ1673">
        <v>36</v>
      </c>
      <c r="CR1673">
        <v>0</v>
      </c>
      <c r="CS1673">
        <v>0</v>
      </c>
      <c r="CT1673">
        <v>2.1</v>
      </c>
      <c r="CU1673">
        <v>28</v>
      </c>
      <c r="CV1673">
        <v>0.28000000000000003</v>
      </c>
      <c r="CW1673">
        <v>15</v>
      </c>
      <c r="CX1673" t="s">
        <v>2693</v>
      </c>
    </row>
    <row r="1674" spans="1:102" x14ac:dyDescent="0.3">
      <c r="A1674" t="str">
        <f>HYPERLINK("https://webapp.icbf.com/v2/app/bull-search/view/1035829216","FMR")</f>
        <v>FMR</v>
      </c>
      <c r="B1674" t="s">
        <v>2014</v>
      </c>
      <c r="C1674" t="s">
        <v>2015</v>
      </c>
      <c r="D1674" s="1">
        <v>41293</v>
      </c>
      <c r="E1674" t="s">
        <v>108</v>
      </c>
      <c r="F1674">
        <v>3</v>
      </c>
      <c r="G1674" t="s">
        <v>93</v>
      </c>
      <c r="H1674">
        <v>94.48</v>
      </c>
      <c r="I1674">
        <v>85</v>
      </c>
      <c r="J1674">
        <v>-4.83</v>
      </c>
      <c r="K1674">
        <v>96</v>
      </c>
      <c r="L1674">
        <v>63.25</v>
      </c>
      <c r="M1674">
        <v>76</v>
      </c>
      <c r="N1674">
        <v>42.99</v>
      </c>
      <c r="O1674">
        <v>86</v>
      </c>
      <c r="P1674">
        <v>-8.0399999999999991</v>
      </c>
      <c r="Q1674">
        <v>95</v>
      </c>
      <c r="R1674">
        <v>-1.54</v>
      </c>
      <c r="S1674">
        <v>75</v>
      </c>
      <c r="T1674">
        <v>4.13</v>
      </c>
      <c r="U1674">
        <v>75</v>
      </c>
      <c r="V1674">
        <v>-1.48</v>
      </c>
      <c r="W1674">
        <v>73</v>
      </c>
      <c r="X1674" t="s">
        <v>94</v>
      </c>
      <c r="Y1674" t="s">
        <v>389</v>
      </c>
      <c r="Z1674" t="s">
        <v>96</v>
      </c>
      <c r="AA1674" t="s">
        <v>2016</v>
      </c>
      <c r="AB1674" t="s">
        <v>2017</v>
      </c>
      <c r="AC1674">
        <v>101</v>
      </c>
      <c r="AD1674">
        <v>48</v>
      </c>
      <c r="AE1674">
        <v>96</v>
      </c>
      <c r="AF1674">
        <v>-179.64</v>
      </c>
      <c r="AG1674">
        <v>-0.74</v>
      </c>
      <c r="AH1674">
        <v>-3.31</v>
      </c>
      <c r="AI1674">
        <v>0.11</v>
      </c>
      <c r="AJ1674">
        <v>0.05</v>
      </c>
      <c r="AK1674">
        <v>76</v>
      </c>
      <c r="AL1674">
        <v>119</v>
      </c>
      <c r="AM1674">
        <v>63</v>
      </c>
      <c r="AN1674">
        <v>-3.78</v>
      </c>
      <c r="AO1674">
        <v>1.26</v>
      </c>
      <c r="AP1674">
        <v>334</v>
      </c>
      <c r="AQ1674">
        <v>1</v>
      </c>
      <c r="AR1674">
        <v>4.45</v>
      </c>
      <c r="AS1674">
        <v>78</v>
      </c>
      <c r="AT1674">
        <v>2.04</v>
      </c>
      <c r="AU1674">
        <v>89</v>
      </c>
      <c r="AV1674">
        <v>-3.25</v>
      </c>
      <c r="AW1674">
        <v>98</v>
      </c>
      <c r="AX1674">
        <v>-0.53</v>
      </c>
      <c r="AY1674">
        <v>88</v>
      </c>
      <c r="AZ1674">
        <v>5.85</v>
      </c>
      <c r="BA1674">
        <v>68</v>
      </c>
      <c r="BB1674">
        <v>5.05</v>
      </c>
      <c r="BC1674">
        <v>55</v>
      </c>
      <c r="BD1674">
        <v>0.02</v>
      </c>
      <c r="BE1674">
        <v>-0.02</v>
      </c>
      <c r="BF1674">
        <v>0.04</v>
      </c>
      <c r="BG1674">
        <v>85</v>
      </c>
      <c r="BH1674">
        <v>-7.0000000000000007E-2</v>
      </c>
      <c r="BI1674">
        <v>-3.33</v>
      </c>
      <c r="BJ1674">
        <v>0</v>
      </c>
      <c r="BK1674">
        <v>0</v>
      </c>
      <c r="BL1674">
        <v>-2.72</v>
      </c>
      <c r="BM1674">
        <v>2.5099999999999998</v>
      </c>
      <c r="BN1674">
        <v>-1.31</v>
      </c>
      <c r="BO1674">
        <v>-2.0499999999999998</v>
      </c>
      <c r="BP1674">
        <v>-0.46</v>
      </c>
      <c r="BQ1674">
        <v>2.09</v>
      </c>
      <c r="BR1674">
        <v>-0.91</v>
      </c>
      <c r="BS1674">
        <v>-0.33</v>
      </c>
      <c r="BT1674">
        <v>0.08</v>
      </c>
      <c r="BU1674">
        <v>-2.77</v>
      </c>
      <c r="BV1674">
        <v>-2.5099999999999998</v>
      </c>
      <c r="BW1674">
        <v>-2.4500000000000002</v>
      </c>
      <c r="BX1674">
        <v>-2.1</v>
      </c>
      <c r="BY1674">
        <v>-2.5299999999999998</v>
      </c>
      <c r="BZ1674">
        <v>-0.36</v>
      </c>
      <c r="CA1674">
        <v>-1.86</v>
      </c>
      <c r="CB1674">
        <v>-2.19</v>
      </c>
      <c r="CC1674">
        <v>-0.69</v>
      </c>
      <c r="CD1674">
        <v>2.77</v>
      </c>
      <c r="CE1674">
        <v>-2.0099999999999998</v>
      </c>
      <c r="CF1674">
        <v>-0.36</v>
      </c>
      <c r="CG1674">
        <v>0</v>
      </c>
      <c r="CH1674">
        <v>-1.99</v>
      </c>
      <c r="CI1674">
        <v>0</v>
      </c>
      <c r="CJ1674">
        <v>-4.9000000000000004</v>
      </c>
      <c r="CK1674">
        <v>97</v>
      </c>
      <c r="CL1674">
        <v>-0.27</v>
      </c>
      <c r="CM1674">
        <v>96</v>
      </c>
      <c r="CN1674">
        <v>-0.19</v>
      </c>
      <c r="CO1674">
        <v>95</v>
      </c>
      <c r="CP1674">
        <v>-4.8</v>
      </c>
      <c r="CQ1674">
        <v>76</v>
      </c>
      <c r="CR1674">
        <v>0</v>
      </c>
      <c r="CS1674">
        <v>0</v>
      </c>
      <c r="CT1674">
        <v>8.1999999999999993</v>
      </c>
      <c r="CU1674">
        <v>75</v>
      </c>
      <c r="CV1674">
        <v>0.03</v>
      </c>
      <c r="CW1674">
        <v>45</v>
      </c>
      <c r="CX1674" t="s">
        <v>2018</v>
      </c>
    </row>
    <row r="1675" spans="1:102" x14ac:dyDescent="0.3">
      <c r="A1675" t="str">
        <f>HYPERLINK("https://webapp.icbf.com/v2/app/bull-search/view/423415852","YYK")</f>
        <v>YYK</v>
      </c>
      <c r="B1675" t="s">
        <v>14417</v>
      </c>
      <c r="C1675" t="s">
        <v>14418</v>
      </c>
      <c r="D1675" s="1">
        <v>38152</v>
      </c>
      <c r="E1675" t="s">
        <v>92</v>
      </c>
      <c r="F1675">
        <v>100</v>
      </c>
      <c r="G1675" t="s">
        <v>93</v>
      </c>
      <c r="H1675">
        <v>94.37</v>
      </c>
      <c r="I1675">
        <v>90</v>
      </c>
      <c r="J1675">
        <v>16.350000000000001</v>
      </c>
      <c r="K1675">
        <v>98</v>
      </c>
      <c r="L1675">
        <v>27.33</v>
      </c>
      <c r="M1675">
        <v>84</v>
      </c>
      <c r="N1675">
        <v>34.28</v>
      </c>
      <c r="O1675">
        <v>86</v>
      </c>
      <c r="P1675">
        <v>-9.67</v>
      </c>
      <c r="Q1675">
        <v>91</v>
      </c>
      <c r="R1675">
        <v>10.51</v>
      </c>
      <c r="S1675">
        <v>85</v>
      </c>
      <c r="T1675">
        <v>9.02</v>
      </c>
      <c r="U1675">
        <v>87</v>
      </c>
      <c r="V1675">
        <v>6.55</v>
      </c>
      <c r="W1675">
        <v>82</v>
      </c>
      <c r="X1675" t="s">
        <v>94</v>
      </c>
      <c r="Y1675" t="s">
        <v>1164</v>
      </c>
      <c r="Z1675" t="s">
        <v>96</v>
      </c>
      <c r="AA1675" t="s">
        <v>316</v>
      </c>
      <c r="AB1675" t="s">
        <v>14419</v>
      </c>
      <c r="AC1675">
        <v>99</v>
      </c>
      <c r="AD1675">
        <v>60</v>
      </c>
      <c r="AE1675">
        <v>98</v>
      </c>
      <c r="AF1675">
        <v>209.11</v>
      </c>
      <c r="AG1675">
        <v>1.53</v>
      </c>
      <c r="AH1675">
        <v>5.44</v>
      </c>
      <c r="AI1675">
        <v>-0.11</v>
      </c>
      <c r="AJ1675">
        <v>-0.03</v>
      </c>
      <c r="AK1675">
        <v>84</v>
      </c>
      <c r="AL1675">
        <v>100</v>
      </c>
      <c r="AM1675">
        <v>67</v>
      </c>
      <c r="AN1675">
        <v>-2.2400000000000002</v>
      </c>
      <c r="AO1675">
        <v>-7.0000000000000007E-2</v>
      </c>
      <c r="AP1675">
        <v>177</v>
      </c>
      <c r="AQ1675">
        <v>0</v>
      </c>
      <c r="AR1675">
        <v>5.19</v>
      </c>
      <c r="AS1675">
        <v>75</v>
      </c>
      <c r="AT1675">
        <v>1.81</v>
      </c>
      <c r="AU1675">
        <v>89</v>
      </c>
      <c r="AV1675">
        <v>-3.04</v>
      </c>
      <c r="AW1675">
        <v>95</v>
      </c>
      <c r="AX1675">
        <v>0.84</v>
      </c>
      <c r="AY1675">
        <v>81</v>
      </c>
      <c r="AZ1675">
        <v>6.66</v>
      </c>
      <c r="BA1675">
        <v>68</v>
      </c>
      <c r="BB1675">
        <v>5.49</v>
      </c>
      <c r="BC1675">
        <v>71</v>
      </c>
      <c r="BD1675">
        <v>-0.01</v>
      </c>
      <c r="BE1675">
        <v>-0.05</v>
      </c>
      <c r="BF1675">
        <v>-0.13</v>
      </c>
      <c r="BG1675">
        <v>91</v>
      </c>
      <c r="BH1675">
        <v>0.08</v>
      </c>
      <c r="BI1675">
        <v>-11.87</v>
      </c>
      <c r="BJ1675">
        <v>37</v>
      </c>
      <c r="BK1675">
        <v>27</v>
      </c>
      <c r="BL1675">
        <v>-0.5</v>
      </c>
      <c r="BM1675">
        <v>-1.1299999999999999</v>
      </c>
      <c r="BN1675">
        <v>-1.1599999999999999</v>
      </c>
      <c r="BO1675">
        <v>-0.47</v>
      </c>
      <c r="BP1675">
        <v>-0.84</v>
      </c>
      <c r="BQ1675">
        <v>-1.61</v>
      </c>
      <c r="BR1675">
        <v>0.13</v>
      </c>
      <c r="BS1675">
        <v>-0.35</v>
      </c>
      <c r="BT1675">
        <v>-0.1</v>
      </c>
      <c r="BU1675">
        <v>0.31</v>
      </c>
      <c r="BV1675">
        <v>-0.6</v>
      </c>
      <c r="BW1675">
        <v>0.63</v>
      </c>
      <c r="BX1675">
        <v>0.53</v>
      </c>
      <c r="BY1675">
        <v>1.59</v>
      </c>
      <c r="BZ1675">
        <v>-0.72</v>
      </c>
      <c r="CA1675">
        <v>0.1</v>
      </c>
      <c r="CB1675">
        <v>0.23</v>
      </c>
      <c r="CC1675">
        <v>-0.46</v>
      </c>
      <c r="CD1675">
        <v>0.33</v>
      </c>
      <c r="CE1675">
        <v>-0.37</v>
      </c>
      <c r="CF1675">
        <v>-1.32</v>
      </c>
      <c r="CG1675">
        <v>0</v>
      </c>
      <c r="CH1675">
        <v>2.58</v>
      </c>
      <c r="CI1675">
        <v>0</v>
      </c>
      <c r="CJ1675">
        <v>-2.9</v>
      </c>
      <c r="CK1675">
        <v>92</v>
      </c>
      <c r="CL1675">
        <v>-0.73</v>
      </c>
      <c r="CM1675">
        <v>91</v>
      </c>
      <c r="CN1675">
        <v>-0.25</v>
      </c>
      <c r="CO1675">
        <v>90</v>
      </c>
      <c r="CP1675">
        <v>-7.1</v>
      </c>
      <c r="CQ1675">
        <v>89</v>
      </c>
      <c r="CR1675">
        <v>0</v>
      </c>
      <c r="CS1675">
        <v>0</v>
      </c>
      <c r="CT1675">
        <v>1.6</v>
      </c>
      <c r="CU1675">
        <v>87</v>
      </c>
      <c r="CV1675">
        <v>0.15</v>
      </c>
      <c r="CW1675">
        <v>47</v>
      </c>
      <c r="CX1675" t="s">
        <v>1574</v>
      </c>
    </row>
    <row r="1676" spans="1:102" x14ac:dyDescent="0.3">
      <c r="A1676" t="str">
        <f>HYPERLINK("https://webapp.icbf.com/v2/app/bull-search/view/444529822","JUO")</f>
        <v>JUO</v>
      </c>
      <c r="B1676" t="s">
        <v>12061</v>
      </c>
      <c r="C1676" t="s">
        <v>12062</v>
      </c>
      <c r="D1676" s="1">
        <v>36550</v>
      </c>
      <c r="E1676" t="s">
        <v>92</v>
      </c>
      <c r="F1676">
        <v>100</v>
      </c>
      <c r="G1676" t="s">
        <v>93</v>
      </c>
      <c r="H1676">
        <v>94.29</v>
      </c>
      <c r="I1676">
        <v>93</v>
      </c>
      <c r="J1676">
        <v>26.6</v>
      </c>
      <c r="K1676">
        <v>98</v>
      </c>
      <c r="L1676">
        <v>61.31</v>
      </c>
      <c r="M1676">
        <v>88</v>
      </c>
      <c r="N1676">
        <v>0.84</v>
      </c>
      <c r="O1676">
        <v>92</v>
      </c>
      <c r="P1676">
        <v>-16.29</v>
      </c>
      <c r="Q1676">
        <v>96</v>
      </c>
      <c r="R1676">
        <v>10.42</v>
      </c>
      <c r="S1676">
        <v>88</v>
      </c>
      <c r="T1676">
        <v>19.52</v>
      </c>
      <c r="U1676">
        <v>94</v>
      </c>
      <c r="V1676">
        <v>-8.11</v>
      </c>
      <c r="W1676">
        <v>88</v>
      </c>
      <c r="X1676" t="s">
        <v>276</v>
      </c>
      <c r="Y1676" t="s">
        <v>235</v>
      </c>
      <c r="Z1676" t="s">
        <v>96</v>
      </c>
      <c r="AA1676" t="s">
        <v>1420</v>
      </c>
      <c r="AB1676" t="s">
        <v>144</v>
      </c>
      <c r="AC1676">
        <v>241</v>
      </c>
      <c r="AD1676">
        <v>103</v>
      </c>
      <c r="AE1676">
        <v>98</v>
      </c>
      <c r="AF1676">
        <v>72.72</v>
      </c>
      <c r="AG1676">
        <v>-4.42</v>
      </c>
      <c r="AH1676">
        <v>7.2</v>
      </c>
      <c r="AI1676">
        <v>-0.13</v>
      </c>
      <c r="AJ1676">
        <v>0.08</v>
      </c>
      <c r="AK1676">
        <v>88</v>
      </c>
      <c r="AL1676">
        <v>256</v>
      </c>
      <c r="AM1676">
        <v>122</v>
      </c>
      <c r="AN1676">
        <v>-3.29</v>
      </c>
      <c r="AO1676">
        <v>1.6</v>
      </c>
      <c r="AP1676">
        <v>400</v>
      </c>
      <c r="AQ1676">
        <v>0</v>
      </c>
      <c r="AR1676">
        <v>7.21</v>
      </c>
      <c r="AS1676">
        <v>78</v>
      </c>
      <c r="AT1676">
        <v>3.31</v>
      </c>
      <c r="AU1676">
        <v>93</v>
      </c>
      <c r="AV1676">
        <v>-0.34</v>
      </c>
      <c r="AW1676">
        <v>98</v>
      </c>
      <c r="AX1676">
        <v>-0.26</v>
      </c>
      <c r="AY1676">
        <v>91</v>
      </c>
      <c r="AZ1676">
        <v>6.51</v>
      </c>
      <c r="BA1676">
        <v>77</v>
      </c>
      <c r="BB1676">
        <v>5.36</v>
      </c>
      <c r="BC1676">
        <v>79</v>
      </c>
      <c r="BD1676">
        <v>-0.04</v>
      </c>
      <c r="BE1676">
        <v>-7.0000000000000007E-2</v>
      </c>
      <c r="BF1676">
        <v>-0.04</v>
      </c>
      <c r="BG1676">
        <v>94</v>
      </c>
      <c r="BH1676">
        <v>0.08</v>
      </c>
      <c r="BI1676">
        <v>35.42</v>
      </c>
      <c r="BJ1676">
        <v>9</v>
      </c>
      <c r="BK1676">
        <v>5</v>
      </c>
      <c r="BL1676">
        <v>-0.69</v>
      </c>
      <c r="BM1676">
        <v>1.1200000000000001</v>
      </c>
      <c r="BN1676">
        <v>-0.13</v>
      </c>
      <c r="BO1676">
        <v>0.11</v>
      </c>
      <c r="BP1676">
        <v>1.37</v>
      </c>
      <c r="BQ1676">
        <v>0.25</v>
      </c>
      <c r="BR1676">
        <v>0.61</v>
      </c>
      <c r="BS1676">
        <v>0.73</v>
      </c>
      <c r="BT1676">
        <v>-0.12</v>
      </c>
      <c r="BU1676">
        <v>1.8</v>
      </c>
      <c r="BV1676">
        <v>1.54</v>
      </c>
      <c r="BW1676">
        <v>-0.24</v>
      </c>
      <c r="BX1676">
        <v>-0.12</v>
      </c>
      <c r="BY1676">
        <v>-0.57999999999999996</v>
      </c>
      <c r="BZ1676">
        <v>1.68</v>
      </c>
      <c r="CA1676">
        <v>0.66</v>
      </c>
      <c r="CB1676">
        <v>0.97</v>
      </c>
      <c r="CC1676">
        <v>-0.01</v>
      </c>
      <c r="CD1676">
        <v>0.41</v>
      </c>
      <c r="CE1676">
        <v>-0.03</v>
      </c>
      <c r="CF1676">
        <v>-1.02</v>
      </c>
      <c r="CG1676">
        <v>0</v>
      </c>
      <c r="CH1676">
        <v>-0.15</v>
      </c>
      <c r="CI1676">
        <v>0</v>
      </c>
      <c r="CJ1676">
        <v>-9</v>
      </c>
      <c r="CK1676">
        <v>97</v>
      </c>
      <c r="CL1676">
        <v>-0.76</v>
      </c>
      <c r="CM1676">
        <v>96</v>
      </c>
      <c r="CN1676">
        <v>-0.46</v>
      </c>
      <c r="CO1676">
        <v>95</v>
      </c>
      <c r="CP1676">
        <v>-9.4</v>
      </c>
      <c r="CQ1676">
        <v>94</v>
      </c>
      <c r="CR1676">
        <v>0</v>
      </c>
      <c r="CS1676">
        <v>0</v>
      </c>
      <c r="CT1676">
        <v>-12.6</v>
      </c>
      <c r="CU1676">
        <v>94</v>
      </c>
      <c r="CV1676">
        <v>-0.04</v>
      </c>
      <c r="CW1676">
        <v>45</v>
      </c>
      <c r="CX1676" t="s">
        <v>612</v>
      </c>
    </row>
    <row r="1677" spans="1:102" x14ac:dyDescent="0.3">
      <c r="A1677" t="str">
        <f>HYPERLINK("https://webapp.icbf.com/v2/app/bull-search/view/77860060","BWP")</f>
        <v>BWP</v>
      </c>
      <c r="B1677" t="s">
        <v>9720</v>
      </c>
      <c r="C1677" t="s">
        <v>9721</v>
      </c>
      <c r="D1677" s="1">
        <v>32871</v>
      </c>
      <c r="E1677" t="s">
        <v>108</v>
      </c>
      <c r="F1677">
        <v>19</v>
      </c>
      <c r="G1677" t="s">
        <v>93</v>
      </c>
      <c r="H1677">
        <v>94.28</v>
      </c>
      <c r="I1677">
        <v>93</v>
      </c>
      <c r="J1677">
        <v>-72.31</v>
      </c>
      <c r="K1677">
        <v>98</v>
      </c>
      <c r="L1677">
        <v>158.35</v>
      </c>
      <c r="M1677">
        <v>88</v>
      </c>
      <c r="N1677">
        <v>10.59</v>
      </c>
      <c r="O1677">
        <v>93</v>
      </c>
      <c r="P1677">
        <v>-21.54</v>
      </c>
      <c r="Q1677">
        <v>98</v>
      </c>
      <c r="R1677">
        <v>12.79</v>
      </c>
      <c r="S1677">
        <v>90</v>
      </c>
      <c r="T1677">
        <v>24.11</v>
      </c>
      <c r="U1677">
        <v>97</v>
      </c>
      <c r="V1677">
        <v>-17.71</v>
      </c>
      <c r="W1677">
        <v>89</v>
      </c>
      <c r="X1677" t="s">
        <v>94</v>
      </c>
      <c r="Y1677" t="s">
        <v>95</v>
      </c>
      <c r="Z1677" t="s">
        <v>96</v>
      </c>
      <c r="AA1677" t="s">
        <v>607</v>
      </c>
      <c r="AB1677" t="s">
        <v>9722</v>
      </c>
      <c r="AC1677">
        <v>265</v>
      </c>
      <c r="AD1677">
        <v>149</v>
      </c>
      <c r="AE1677">
        <v>98</v>
      </c>
      <c r="AF1677">
        <v>-512.72</v>
      </c>
      <c r="AG1677">
        <v>-15.82</v>
      </c>
      <c r="AH1677">
        <v>-14.55</v>
      </c>
      <c r="AI1677">
        <v>0.08</v>
      </c>
      <c r="AJ1677">
        <v>0.05</v>
      </c>
      <c r="AK1677">
        <v>88</v>
      </c>
      <c r="AL1677">
        <v>411</v>
      </c>
      <c r="AM1677">
        <v>226</v>
      </c>
      <c r="AN1677">
        <v>-10.07</v>
      </c>
      <c r="AO1677">
        <v>2.54</v>
      </c>
      <c r="AP1677">
        <v>279</v>
      </c>
      <c r="AQ1677">
        <v>3</v>
      </c>
      <c r="AR1677">
        <v>7.71</v>
      </c>
      <c r="AS1677">
        <v>78</v>
      </c>
      <c r="AT1677">
        <v>3.02</v>
      </c>
      <c r="AU1677">
        <v>93</v>
      </c>
      <c r="AV1677">
        <v>-0.41</v>
      </c>
      <c r="AW1677">
        <v>97</v>
      </c>
      <c r="AX1677">
        <v>-0.67</v>
      </c>
      <c r="AY1677">
        <v>95</v>
      </c>
      <c r="AZ1677">
        <v>5.5</v>
      </c>
      <c r="BA1677">
        <v>78</v>
      </c>
      <c r="BB1677">
        <v>4.21</v>
      </c>
      <c r="BC1677">
        <v>87</v>
      </c>
      <c r="BD1677">
        <v>-0.06</v>
      </c>
      <c r="BE1677">
        <v>-0.06</v>
      </c>
      <c r="BF1677">
        <v>-0.08</v>
      </c>
      <c r="BG1677">
        <v>95</v>
      </c>
      <c r="BH1677">
        <v>-0.41</v>
      </c>
      <c r="BI1677">
        <v>9.6999999999999993</v>
      </c>
      <c r="BJ1677">
        <v>14</v>
      </c>
      <c r="BK1677">
        <v>10</v>
      </c>
      <c r="BL1677">
        <v>-3.41</v>
      </c>
      <c r="BM1677">
        <v>0.94</v>
      </c>
      <c r="BN1677">
        <v>-3.79</v>
      </c>
      <c r="BO1677">
        <v>-3.89</v>
      </c>
      <c r="BP1677">
        <v>0.86</v>
      </c>
      <c r="BQ1677">
        <v>-0.8</v>
      </c>
      <c r="BR1677">
        <v>-2.11</v>
      </c>
      <c r="BS1677">
        <v>-0.96</v>
      </c>
      <c r="BT1677">
        <v>1.28</v>
      </c>
      <c r="BU1677">
        <v>-1.67</v>
      </c>
      <c r="BV1677">
        <v>-1.78</v>
      </c>
      <c r="BW1677">
        <v>-1.78</v>
      </c>
      <c r="BX1677">
        <v>-7.0000000000000007E-2</v>
      </c>
      <c r="BY1677">
        <v>-1.96</v>
      </c>
      <c r="BZ1677">
        <v>-1.59</v>
      </c>
      <c r="CA1677">
        <v>-2.84</v>
      </c>
      <c r="CB1677">
        <v>-2.89</v>
      </c>
      <c r="CC1677">
        <v>-2.31</v>
      </c>
      <c r="CD1677">
        <v>3.34</v>
      </c>
      <c r="CE1677">
        <v>-3.97</v>
      </c>
      <c r="CF1677">
        <v>-4.07</v>
      </c>
      <c r="CG1677">
        <v>0</v>
      </c>
      <c r="CH1677">
        <v>-2.61</v>
      </c>
      <c r="CI1677">
        <v>0</v>
      </c>
      <c r="CJ1677">
        <v>-12.9</v>
      </c>
      <c r="CK1677">
        <v>98</v>
      </c>
      <c r="CL1677">
        <v>-0.19</v>
      </c>
      <c r="CM1677">
        <v>98</v>
      </c>
      <c r="CN1677">
        <v>-0.02</v>
      </c>
      <c r="CO1677">
        <v>97</v>
      </c>
      <c r="CP1677">
        <v>-13.4</v>
      </c>
      <c r="CQ1677">
        <v>97</v>
      </c>
      <c r="CR1677">
        <v>0</v>
      </c>
      <c r="CS1677">
        <v>0</v>
      </c>
      <c r="CT1677">
        <v>-18.8</v>
      </c>
      <c r="CU1677">
        <v>97</v>
      </c>
      <c r="CV1677">
        <v>-0.08</v>
      </c>
      <c r="CW1677">
        <v>45</v>
      </c>
      <c r="CX1677" t="s">
        <v>9723</v>
      </c>
    </row>
    <row r="1678" spans="1:102" x14ac:dyDescent="0.3">
      <c r="A1678" t="str">
        <f>HYPERLINK("https://webapp.icbf.com/v2/app/bull-search/view/670019610","AWD")</f>
        <v>AWD</v>
      </c>
      <c r="B1678" t="s">
        <v>14479</v>
      </c>
      <c r="C1678" t="s">
        <v>14480</v>
      </c>
      <c r="D1678" s="1">
        <v>39861</v>
      </c>
      <c r="E1678" t="s">
        <v>92</v>
      </c>
      <c r="F1678">
        <v>78</v>
      </c>
      <c r="G1678" t="s">
        <v>93</v>
      </c>
      <c r="H1678">
        <v>94.13</v>
      </c>
      <c r="I1678">
        <v>79</v>
      </c>
      <c r="J1678">
        <v>48.7</v>
      </c>
      <c r="K1678">
        <v>92</v>
      </c>
      <c r="L1678">
        <v>29.35</v>
      </c>
      <c r="M1678">
        <v>70</v>
      </c>
      <c r="N1678">
        <v>16.82</v>
      </c>
      <c r="O1678">
        <v>77</v>
      </c>
      <c r="P1678">
        <v>-14.01</v>
      </c>
      <c r="Q1678">
        <v>83</v>
      </c>
      <c r="R1678">
        <v>0.52</v>
      </c>
      <c r="S1678">
        <v>70</v>
      </c>
      <c r="T1678">
        <v>15.97</v>
      </c>
      <c r="U1678">
        <v>72</v>
      </c>
      <c r="V1678">
        <v>-3.22</v>
      </c>
      <c r="W1678">
        <v>66</v>
      </c>
      <c r="X1678" t="s">
        <v>94</v>
      </c>
      <c r="Y1678" t="s">
        <v>1727</v>
      </c>
      <c r="Z1678" t="s">
        <v>330</v>
      </c>
      <c r="AA1678" t="s">
        <v>1086</v>
      </c>
      <c r="AB1678" t="s">
        <v>14481</v>
      </c>
      <c r="AC1678">
        <v>38</v>
      </c>
      <c r="AD1678">
        <v>29</v>
      </c>
      <c r="AE1678">
        <v>92</v>
      </c>
      <c r="AF1678">
        <v>163.12</v>
      </c>
      <c r="AG1678">
        <v>12.24</v>
      </c>
      <c r="AH1678">
        <v>6.45</v>
      </c>
      <c r="AI1678">
        <v>0.1</v>
      </c>
      <c r="AJ1678">
        <v>0.02</v>
      </c>
      <c r="AK1678">
        <v>70</v>
      </c>
      <c r="AL1678">
        <v>22</v>
      </c>
      <c r="AM1678">
        <v>20</v>
      </c>
      <c r="AN1678">
        <v>-0.85</v>
      </c>
      <c r="AO1678">
        <v>1.5</v>
      </c>
      <c r="AP1678">
        <v>91</v>
      </c>
      <c r="AQ1678">
        <v>1</v>
      </c>
      <c r="AR1678">
        <v>8.39</v>
      </c>
      <c r="AS1678">
        <v>63</v>
      </c>
      <c r="AT1678">
        <v>2.87</v>
      </c>
      <c r="AU1678">
        <v>78</v>
      </c>
      <c r="AV1678">
        <v>-2.14</v>
      </c>
      <c r="AW1678">
        <v>92</v>
      </c>
      <c r="AX1678">
        <v>0.21</v>
      </c>
      <c r="AY1678">
        <v>72</v>
      </c>
      <c r="AZ1678">
        <v>6.34</v>
      </c>
      <c r="BA1678">
        <v>50</v>
      </c>
      <c r="BB1678">
        <v>4.99</v>
      </c>
      <c r="BC1678">
        <v>48</v>
      </c>
      <c r="BD1678">
        <v>0</v>
      </c>
      <c r="BE1678">
        <v>0.02</v>
      </c>
      <c r="BF1678">
        <v>-0.05</v>
      </c>
      <c r="BG1678">
        <v>80</v>
      </c>
      <c r="BH1678">
        <v>-0.14000000000000001</v>
      </c>
      <c r="BI1678">
        <v>-5.8</v>
      </c>
      <c r="BJ1678">
        <v>1</v>
      </c>
      <c r="BK1678">
        <v>1</v>
      </c>
      <c r="BL1678">
        <v>-0.95</v>
      </c>
      <c r="BM1678">
        <v>1.07</v>
      </c>
      <c r="BN1678">
        <v>-0.86</v>
      </c>
      <c r="BO1678">
        <v>-1.66</v>
      </c>
      <c r="BP1678">
        <v>-0.45</v>
      </c>
      <c r="BQ1678">
        <v>-0.81</v>
      </c>
      <c r="BR1678">
        <v>0.01</v>
      </c>
      <c r="BS1678">
        <v>0.04</v>
      </c>
      <c r="BT1678">
        <v>-1.81</v>
      </c>
      <c r="BU1678">
        <v>-2.11</v>
      </c>
      <c r="BV1678">
        <v>-3.03</v>
      </c>
      <c r="BW1678">
        <v>-2.61</v>
      </c>
      <c r="BX1678">
        <v>-1.63</v>
      </c>
      <c r="BY1678">
        <v>-2.42</v>
      </c>
      <c r="BZ1678">
        <v>0.72</v>
      </c>
      <c r="CA1678">
        <v>-2.38</v>
      </c>
      <c r="CB1678">
        <v>-2.62</v>
      </c>
      <c r="CC1678">
        <v>-0.48</v>
      </c>
      <c r="CD1678">
        <v>1.17</v>
      </c>
      <c r="CE1678">
        <v>-1.53</v>
      </c>
      <c r="CF1678">
        <v>-2.08</v>
      </c>
      <c r="CG1678">
        <v>0</v>
      </c>
      <c r="CH1678">
        <v>-2.0099999999999998</v>
      </c>
      <c r="CI1678">
        <v>0</v>
      </c>
      <c r="CJ1678">
        <v>-7.1</v>
      </c>
      <c r="CK1678">
        <v>85</v>
      </c>
      <c r="CL1678">
        <v>-0.56999999999999995</v>
      </c>
      <c r="CM1678">
        <v>82</v>
      </c>
      <c r="CN1678">
        <v>-0.33</v>
      </c>
      <c r="CO1678">
        <v>80</v>
      </c>
      <c r="CP1678">
        <v>-14.6</v>
      </c>
      <c r="CQ1678">
        <v>72</v>
      </c>
      <c r="CR1678">
        <v>0</v>
      </c>
      <c r="CS1678">
        <v>0</v>
      </c>
      <c r="CT1678">
        <v>-7.8</v>
      </c>
      <c r="CU1678">
        <v>72</v>
      </c>
      <c r="CV1678">
        <v>-0.01</v>
      </c>
      <c r="CW1678">
        <v>43</v>
      </c>
      <c r="CX1678" t="s">
        <v>792</v>
      </c>
    </row>
    <row r="1679" spans="1:102" x14ac:dyDescent="0.3">
      <c r="A1679" t="str">
        <f>HYPERLINK("https://webapp.icbf.com/v2/app/bull-search/view/860561046","DKH")</f>
        <v>DKH</v>
      </c>
      <c r="B1679" t="s">
        <v>9101</v>
      </c>
      <c r="C1679" t="s">
        <v>9102</v>
      </c>
      <c r="D1679" s="1">
        <v>40109</v>
      </c>
      <c r="E1679" t="s">
        <v>92</v>
      </c>
      <c r="F1679">
        <v>100</v>
      </c>
      <c r="G1679" t="s">
        <v>93</v>
      </c>
      <c r="H1679">
        <v>93.92</v>
      </c>
      <c r="I1679">
        <v>86</v>
      </c>
      <c r="J1679">
        <v>72.72</v>
      </c>
      <c r="K1679">
        <v>96</v>
      </c>
      <c r="L1679">
        <v>-9.65</v>
      </c>
      <c r="M1679">
        <v>80</v>
      </c>
      <c r="N1679">
        <v>11.74</v>
      </c>
      <c r="O1679">
        <v>83</v>
      </c>
      <c r="P1679">
        <v>-2.44</v>
      </c>
      <c r="Q1679">
        <v>91</v>
      </c>
      <c r="R1679">
        <v>8.4700000000000006</v>
      </c>
      <c r="S1679">
        <v>78</v>
      </c>
      <c r="T1679">
        <v>4.21</v>
      </c>
      <c r="U1679">
        <v>76</v>
      </c>
      <c r="V1679">
        <v>8.8699999999999992</v>
      </c>
      <c r="W1679">
        <v>74</v>
      </c>
      <c r="X1679" t="s">
        <v>251</v>
      </c>
      <c r="Y1679" t="s">
        <v>329</v>
      </c>
      <c r="Z1679" t="s">
        <v>96</v>
      </c>
      <c r="AA1679" t="s">
        <v>1376</v>
      </c>
      <c r="AB1679" t="s">
        <v>9103</v>
      </c>
      <c r="AC1679">
        <v>55</v>
      </c>
      <c r="AD1679">
        <v>47</v>
      </c>
      <c r="AE1679">
        <v>96</v>
      </c>
      <c r="AF1679">
        <v>476.48</v>
      </c>
      <c r="AG1679">
        <v>11.14</v>
      </c>
      <c r="AH1679">
        <v>15.72</v>
      </c>
      <c r="AI1679">
        <v>-0.12</v>
      </c>
      <c r="AJ1679">
        <v>-0.01</v>
      </c>
      <c r="AK1679">
        <v>80</v>
      </c>
      <c r="AL1679">
        <v>64</v>
      </c>
      <c r="AM1679">
        <v>51</v>
      </c>
      <c r="AN1679">
        <v>0.47</v>
      </c>
      <c r="AO1679">
        <v>-0.3</v>
      </c>
      <c r="AP1679">
        <v>132</v>
      </c>
      <c r="AQ1679">
        <v>7</v>
      </c>
      <c r="AR1679">
        <v>8.98</v>
      </c>
      <c r="AS1679">
        <v>70</v>
      </c>
      <c r="AT1679">
        <v>3.49</v>
      </c>
      <c r="AU1679">
        <v>86</v>
      </c>
      <c r="AV1679">
        <v>-2.99</v>
      </c>
      <c r="AW1679">
        <v>94</v>
      </c>
      <c r="AX1679">
        <v>0.67</v>
      </c>
      <c r="AY1679">
        <v>78</v>
      </c>
      <c r="AZ1679">
        <v>6.51</v>
      </c>
      <c r="BA1679">
        <v>61</v>
      </c>
      <c r="BB1679">
        <v>5.58</v>
      </c>
      <c r="BC1679">
        <v>63</v>
      </c>
      <c r="BD1679">
        <v>-0.04</v>
      </c>
      <c r="BE1679">
        <v>-0.02</v>
      </c>
      <c r="BF1679">
        <v>-0.09</v>
      </c>
      <c r="BG1679">
        <v>87</v>
      </c>
      <c r="BH1679">
        <v>0.12</v>
      </c>
      <c r="BI1679">
        <v>-14.74</v>
      </c>
      <c r="BJ1679">
        <v>4</v>
      </c>
      <c r="BK1679">
        <v>4</v>
      </c>
      <c r="BL1679">
        <v>0.1</v>
      </c>
      <c r="BM1679">
        <v>0.3</v>
      </c>
      <c r="BN1679">
        <v>0.05</v>
      </c>
      <c r="BO1679">
        <v>0.28999999999999998</v>
      </c>
      <c r="BP1679">
        <v>-2.08</v>
      </c>
      <c r="BQ1679">
        <v>-1.44</v>
      </c>
      <c r="BR1679">
        <v>-0.73</v>
      </c>
      <c r="BS1679">
        <v>-0.73</v>
      </c>
      <c r="BT1679">
        <v>-0.43</v>
      </c>
      <c r="BU1679">
        <v>0.45</v>
      </c>
      <c r="BV1679">
        <v>1.39</v>
      </c>
      <c r="BW1679">
        <v>0.63</v>
      </c>
      <c r="BX1679">
        <v>0.08</v>
      </c>
      <c r="BY1679">
        <v>-0.5</v>
      </c>
      <c r="BZ1679">
        <v>1.41</v>
      </c>
      <c r="CA1679">
        <v>0.52</v>
      </c>
      <c r="CB1679">
        <v>0.49</v>
      </c>
      <c r="CC1679">
        <v>-0.5</v>
      </c>
      <c r="CD1679">
        <v>-0.54</v>
      </c>
      <c r="CE1679">
        <v>0.04</v>
      </c>
      <c r="CF1679">
        <v>-0.19</v>
      </c>
      <c r="CG1679">
        <v>0</v>
      </c>
      <c r="CH1679">
        <v>-0.82</v>
      </c>
      <c r="CI1679">
        <v>0</v>
      </c>
      <c r="CJ1679">
        <v>0.8</v>
      </c>
      <c r="CK1679">
        <v>93</v>
      </c>
      <c r="CL1679">
        <v>-0.81</v>
      </c>
      <c r="CM1679">
        <v>91</v>
      </c>
      <c r="CN1679">
        <v>-0.37</v>
      </c>
      <c r="CO1679">
        <v>90</v>
      </c>
      <c r="CP1679">
        <v>3.2</v>
      </c>
      <c r="CQ1679">
        <v>84</v>
      </c>
      <c r="CR1679">
        <v>0</v>
      </c>
      <c r="CS1679">
        <v>0</v>
      </c>
      <c r="CT1679">
        <v>8.1</v>
      </c>
      <c r="CU1679">
        <v>76</v>
      </c>
      <c r="CV1679">
        <v>0.28000000000000003</v>
      </c>
      <c r="CW1679">
        <v>45</v>
      </c>
      <c r="CX1679" t="s">
        <v>277</v>
      </c>
    </row>
    <row r="1680" spans="1:102" x14ac:dyDescent="0.3">
      <c r="A1680" t="str">
        <f>HYPERLINK("https://webapp.icbf.com/v2/app/bull-search/view/586205065","DZM")</f>
        <v>DZM</v>
      </c>
      <c r="B1680" t="s">
        <v>15585</v>
      </c>
      <c r="C1680" t="s">
        <v>15586</v>
      </c>
      <c r="D1680" s="1">
        <v>38188</v>
      </c>
      <c r="E1680" t="s">
        <v>92</v>
      </c>
      <c r="F1680">
        <v>100</v>
      </c>
      <c r="G1680" t="s">
        <v>93</v>
      </c>
      <c r="H1680">
        <v>93.84</v>
      </c>
      <c r="I1680">
        <v>95</v>
      </c>
      <c r="J1680">
        <v>90.57</v>
      </c>
      <c r="K1680">
        <v>99</v>
      </c>
      <c r="L1680">
        <v>-15.95</v>
      </c>
      <c r="M1680">
        <v>92</v>
      </c>
      <c r="N1680">
        <v>6.37</v>
      </c>
      <c r="O1680">
        <v>95</v>
      </c>
      <c r="P1680">
        <v>-8.67</v>
      </c>
      <c r="Q1680">
        <v>99</v>
      </c>
      <c r="R1680">
        <v>9.15</v>
      </c>
      <c r="S1680">
        <v>90</v>
      </c>
      <c r="T1680">
        <v>8.7200000000000006</v>
      </c>
      <c r="U1680">
        <v>96</v>
      </c>
      <c r="V1680">
        <v>3.65</v>
      </c>
      <c r="W1680">
        <v>88</v>
      </c>
      <c r="X1680" t="s">
        <v>276</v>
      </c>
      <c r="Y1680" t="s">
        <v>235</v>
      </c>
      <c r="Z1680" t="s">
        <v>96</v>
      </c>
      <c r="AA1680" t="s">
        <v>316</v>
      </c>
      <c r="AB1680" t="s">
        <v>144</v>
      </c>
      <c r="AC1680">
        <v>535</v>
      </c>
      <c r="AD1680">
        <v>200</v>
      </c>
      <c r="AE1680">
        <v>99</v>
      </c>
      <c r="AF1680">
        <v>443.36</v>
      </c>
      <c r="AG1680">
        <v>20.350000000000001</v>
      </c>
      <c r="AH1680">
        <v>14.99</v>
      </c>
      <c r="AI1680">
        <v>0.05</v>
      </c>
      <c r="AJ1680">
        <v>0</v>
      </c>
      <c r="AK1680">
        <v>92</v>
      </c>
      <c r="AL1680">
        <v>590</v>
      </c>
      <c r="AM1680">
        <v>241</v>
      </c>
      <c r="AN1680">
        <v>0.23</v>
      </c>
      <c r="AO1680">
        <v>-1.05</v>
      </c>
      <c r="AP1680">
        <v>987</v>
      </c>
      <c r="AQ1680">
        <v>5</v>
      </c>
      <c r="AR1680">
        <v>6.76</v>
      </c>
      <c r="AS1680">
        <v>91</v>
      </c>
      <c r="AT1680">
        <v>3.11</v>
      </c>
      <c r="AU1680">
        <v>96</v>
      </c>
      <c r="AV1680">
        <v>-1.42</v>
      </c>
      <c r="AW1680">
        <v>99</v>
      </c>
      <c r="AX1680">
        <v>-0.05</v>
      </c>
      <c r="AY1680">
        <v>96</v>
      </c>
      <c r="AZ1680">
        <v>8.14</v>
      </c>
      <c r="BA1680">
        <v>87</v>
      </c>
      <c r="BB1680">
        <v>5.85</v>
      </c>
      <c r="BC1680">
        <v>87</v>
      </c>
      <c r="BD1680">
        <v>-0.02</v>
      </c>
      <c r="BE1680">
        <v>-0.03</v>
      </c>
      <c r="BF1680">
        <v>-0.12</v>
      </c>
      <c r="BG1680">
        <v>97</v>
      </c>
      <c r="BH1680">
        <v>0.05</v>
      </c>
      <c r="BI1680">
        <v>-5.99</v>
      </c>
      <c r="BJ1680">
        <v>27</v>
      </c>
      <c r="BK1680">
        <v>11</v>
      </c>
      <c r="BL1680">
        <v>0.12</v>
      </c>
      <c r="BM1680">
        <v>-0.09</v>
      </c>
      <c r="BN1680">
        <v>-0.74</v>
      </c>
      <c r="BO1680">
        <v>-0.34</v>
      </c>
      <c r="BP1680">
        <v>0.32</v>
      </c>
      <c r="BQ1680">
        <v>0.61</v>
      </c>
      <c r="BR1680">
        <v>0.03</v>
      </c>
      <c r="BS1680">
        <v>-0.63</v>
      </c>
      <c r="BT1680">
        <v>0.43</v>
      </c>
      <c r="BU1680">
        <v>0.31</v>
      </c>
      <c r="BV1680">
        <v>-0.33</v>
      </c>
      <c r="BW1680">
        <v>-0.15</v>
      </c>
      <c r="BX1680">
        <v>1.32</v>
      </c>
      <c r="BY1680">
        <v>-0.85</v>
      </c>
      <c r="BZ1680">
        <v>-1.0900000000000001</v>
      </c>
      <c r="CA1680">
        <v>0.27</v>
      </c>
      <c r="CB1680">
        <v>-0.03</v>
      </c>
      <c r="CC1680">
        <v>0.41</v>
      </c>
      <c r="CD1680">
        <v>0.26</v>
      </c>
      <c r="CE1680">
        <v>-0.16</v>
      </c>
      <c r="CF1680">
        <v>0.43</v>
      </c>
      <c r="CG1680">
        <v>0</v>
      </c>
      <c r="CH1680">
        <v>-0.82</v>
      </c>
      <c r="CI1680">
        <v>0</v>
      </c>
      <c r="CJ1680">
        <v>-0.4</v>
      </c>
      <c r="CK1680">
        <v>99</v>
      </c>
      <c r="CL1680">
        <v>-0.68</v>
      </c>
      <c r="CM1680">
        <v>99</v>
      </c>
      <c r="CN1680">
        <v>0.05</v>
      </c>
      <c r="CO1680">
        <v>98</v>
      </c>
      <c r="CP1680">
        <v>-3.4</v>
      </c>
      <c r="CQ1680">
        <v>97</v>
      </c>
      <c r="CR1680">
        <v>0</v>
      </c>
      <c r="CS1680">
        <v>0</v>
      </c>
      <c r="CT1680">
        <v>2</v>
      </c>
      <c r="CU1680">
        <v>96</v>
      </c>
      <c r="CV1680">
        <v>0.2</v>
      </c>
      <c r="CW1680">
        <v>49</v>
      </c>
      <c r="CX1680" t="s">
        <v>6632</v>
      </c>
    </row>
    <row r="1681" spans="1:102" x14ac:dyDescent="0.3">
      <c r="A1681" t="str">
        <f>HYPERLINK("https://webapp.icbf.com/v2/app/bull-search/view/1001088862","TGL")</f>
        <v>TGL</v>
      </c>
      <c r="B1681" t="s">
        <v>15679</v>
      </c>
      <c r="C1681" t="s">
        <v>2004</v>
      </c>
      <c r="D1681" s="1">
        <v>40316</v>
      </c>
      <c r="E1681" t="s">
        <v>92</v>
      </c>
      <c r="F1681">
        <v>100</v>
      </c>
      <c r="G1681" t="s">
        <v>93</v>
      </c>
      <c r="H1681">
        <v>93.72</v>
      </c>
      <c r="I1681">
        <v>87</v>
      </c>
      <c r="J1681">
        <v>55.29</v>
      </c>
      <c r="K1681">
        <v>96</v>
      </c>
      <c r="L1681">
        <v>16.04</v>
      </c>
      <c r="M1681">
        <v>89</v>
      </c>
      <c r="N1681">
        <v>11.64</v>
      </c>
      <c r="O1681">
        <v>85</v>
      </c>
      <c r="P1681">
        <v>-14.53</v>
      </c>
      <c r="Q1681">
        <v>85</v>
      </c>
      <c r="R1681">
        <v>19.72</v>
      </c>
      <c r="S1681">
        <v>78</v>
      </c>
      <c r="T1681">
        <v>2.4300000000000002</v>
      </c>
      <c r="U1681">
        <v>69</v>
      </c>
      <c r="V1681">
        <v>3.13</v>
      </c>
      <c r="W1681">
        <v>59</v>
      </c>
      <c r="X1681" t="s">
        <v>276</v>
      </c>
      <c r="Y1681" t="s">
        <v>1775</v>
      </c>
      <c r="Z1681" t="s">
        <v>96</v>
      </c>
      <c r="AA1681" t="s">
        <v>1791</v>
      </c>
      <c r="AB1681" t="s">
        <v>15680</v>
      </c>
      <c r="AC1681">
        <v>82</v>
      </c>
      <c r="AD1681">
        <v>40</v>
      </c>
      <c r="AE1681">
        <v>96</v>
      </c>
      <c r="AF1681">
        <v>171.06</v>
      </c>
      <c r="AG1681">
        <v>8.57</v>
      </c>
      <c r="AH1681">
        <v>8.99</v>
      </c>
      <c r="AI1681">
        <v>0.03</v>
      </c>
      <c r="AJ1681">
        <v>0.05</v>
      </c>
      <c r="AK1681">
        <v>89</v>
      </c>
      <c r="AL1681">
        <v>52</v>
      </c>
      <c r="AM1681">
        <v>30</v>
      </c>
      <c r="AN1681">
        <v>-0.02</v>
      </c>
      <c r="AO1681">
        <v>1.27</v>
      </c>
      <c r="AP1681">
        <v>118</v>
      </c>
      <c r="AQ1681">
        <v>0</v>
      </c>
      <c r="AR1681">
        <v>7.86</v>
      </c>
      <c r="AS1681">
        <v>81</v>
      </c>
      <c r="AT1681">
        <v>3.27</v>
      </c>
      <c r="AU1681">
        <v>96</v>
      </c>
      <c r="AV1681">
        <v>-1.78</v>
      </c>
      <c r="AW1681">
        <v>93</v>
      </c>
      <c r="AX1681">
        <v>0.48</v>
      </c>
      <c r="AY1681">
        <v>79</v>
      </c>
      <c r="AZ1681">
        <v>6.23</v>
      </c>
      <c r="BA1681">
        <v>66</v>
      </c>
      <c r="BB1681">
        <v>4.91</v>
      </c>
      <c r="BC1681">
        <v>53</v>
      </c>
      <c r="BD1681">
        <v>-0.05</v>
      </c>
      <c r="BE1681">
        <v>-0.1</v>
      </c>
      <c r="BF1681">
        <v>-0.18</v>
      </c>
      <c r="BG1681">
        <v>93</v>
      </c>
      <c r="BH1681">
        <v>0.02</v>
      </c>
      <c r="BI1681">
        <v>-7.78</v>
      </c>
      <c r="BJ1681">
        <v>37</v>
      </c>
      <c r="BK1681">
        <v>24</v>
      </c>
      <c r="BL1681">
        <v>2.0699999999999998</v>
      </c>
      <c r="BM1681">
        <v>-0.32</v>
      </c>
      <c r="BN1681">
        <v>0.43</v>
      </c>
      <c r="BO1681">
        <v>1.1399999999999999</v>
      </c>
      <c r="BP1681">
        <v>-2.1800000000000002</v>
      </c>
      <c r="BQ1681">
        <v>2.5099999999999998</v>
      </c>
      <c r="BR1681">
        <v>-1.34</v>
      </c>
      <c r="BS1681">
        <v>1.37</v>
      </c>
      <c r="BT1681">
        <v>0.69</v>
      </c>
      <c r="BU1681">
        <v>3.6</v>
      </c>
      <c r="BV1681">
        <v>2.42</v>
      </c>
      <c r="BW1681">
        <v>2.85</v>
      </c>
      <c r="BX1681">
        <v>3.31</v>
      </c>
      <c r="BY1681">
        <v>2.52</v>
      </c>
      <c r="BZ1681">
        <v>0.66</v>
      </c>
      <c r="CA1681">
        <v>2.77</v>
      </c>
      <c r="CB1681">
        <v>2.63</v>
      </c>
      <c r="CC1681">
        <v>1.32</v>
      </c>
      <c r="CD1681">
        <v>-0.52</v>
      </c>
      <c r="CE1681">
        <v>0.92</v>
      </c>
      <c r="CF1681">
        <v>1.06</v>
      </c>
      <c r="CG1681">
        <v>0</v>
      </c>
      <c r="CH1681">
        <v>2.41</v>
      </c>
      <c r="CI1681">
        <v>0</v>
      </c>
      <c r="CJ1681">
        <v>-6.5</v>
      </c>
      <c r="CK1681">
        <v>87</v>
      </c>
      <c r="CL1681">
        <v>-1.21</v>
      </c>
      <c r="CM1681">
        <v>85</v>
      </c>
      <c r="CN1681">
        <v>-0.67</v>
      </c>
      <c r="CO1681">
        <v>84</v>
      </c>
      <c r="CP1681">
        <v>-6.1</v>
      </c>
      <c r="CQ1681">
        <v>70</v>
      </c>
      <c r="CR1681">
        <v>0</v>
      </c>
      <c r="CS1681">
        <v>0</v>
      </c>
      <c r="CT1681">
        <v>10.5</v>
      </c>
      <c r="CU1681">
        <v>69</v>
      </c>
      <c r="CV1681">
        <v>0.14000000000000001</v>
      </c>
      <c r="CW1681">
        <v>43</v>
      </c>
      <c r="CX1681" t="s">
        <v>2358</v>
      </c>
    </row>
    <row r="1682" spans="1:102" x14ac:dyDescent="0.3">
      <c r="A1682" t="str">
        <f>HYPERLINK("https://webapp.icbf.com/v2/app/bull-search/view/1389447134","FR4130")</f>
        <v>FR4130</v>
      </c>
      <c r="B1682" t="s">
        <v>9440</v>
      </c>
      <c r="C1682" t="s">
        <v>9441</v>
      </c>
      <c r="D1682" s="1">
        <v>42069</v>
      </c>
      <c r="E1682" t="s">
        <v>92</v>
      </c>
      <c r="F1682">
        <v>100</v>
      </c>
      <c r="G1682" t="s">
        <v>109</v>
      </c>
      <c r="H1682">
        <v>93.69</v>
      </c>
      <c r="I1682">
        <v>74</v>
      </c>
      <c r="J1682">
        <v>62.54</v>
      </c>
      <c r="K1682">
        <v>90</v>
      </c>
      <c r="L1682">
        <v>-28.78</v>
      </c>
      <c r="M1682">
        <v>71</v>
      </c>
      <c r="N1682">
        <v>59.21</v>
      </c>
      <c r="O1682">
        <v>78</v>
      </c>
      <c r="P1682">
        <v>-5.8</v>
      </c>
      <c r="Q1682">
        <v>64</v>
      </c>
      <c r="R1682">
        <v>10.119999999999999</v>
      </c>
      <c r="S1682">
        <v>66</v>
      </c>
      <c r="T1682">
        <v>-5.12</v>
      </c>
      <c r="U1682">
        <v>41</v>
      </c>
      <c r="V1682">
        <v>1.52</v>
      </c>
      <c r="W1682">
        <v>53</v>
      </c>
      <c r="X1682" t="s">
        <v>428</v>
      </c>
      <c r="Y1682" t="s">
        <v>429</v>
      </c>
      <c r="Z1682" t="s">
        <v>96</v>
      </c>
      <c r="AA1682" t="s">
        <v>2272</v>
      </c>
      <c r="AB1682" t="s">
        <v>9442</v>
      </c>
      <c r="AC1682">
        <v>0</v>
      </c>
      <c r="AD1682">
        <v>0</v>
      </c>
      <c r="AE1682">
        <v>90</v>
      </c>
      <c r="AF1682">
        <v>611.69000000000005</v>
      </c>
      <c r="AG1682">
        <v>15.46</v>
      </c>
      <c r="AH1682">
        <v>14.53</v>
      </c>
      <c r="AI1682">
        <v>-0.14000000000000001</v>
      </c>
      <c r="AJ1682">
        <v>-0.09</v>
      </c>
      <c r="AK1682">
        <v>71</v>
      </c>
      <c r="AL1682">
        <v>0</v>
      </c>
      <c r="AM1682">
        <v>0</v>
      </c>
      <c r="AN1682">
        <v>1.17</v>
      </c>
      <c r="AO1682">
        <v>-1.1299999999999999</v>
      </c>
      <c r="AP1682">
        <v>156</v>
      </c>
      <c r="AQ1682">
        <v>0</v>
      </c>
      <c r="AR1682">
        <v>5.6</v>
      </c>
      <c r="AS1682">
        <v>82</v>
      </c>
      <c r="AT1682">
        <v>2.0499999999999998</v>
      </c>
      <c r="AU1682">
        <v>89</v>
      </c>
      <c r="AV1682">
        <v>-5.97</v>
      </c>
      <c r="AW1682">
        <v>88</v>
      </c>
      <c r="AX1682">
        <v>-0.32</v>
      </c>
      <c r="AY1682">
        <v>80</v>
      </c>
      <c r="AZ1682">
        <v>6.48</v>
      </c>
      <c r="BA1682">
        <v>41</v>
      </c>
      <c r="BB1682">
        <v>5.35</v>
      </c>
      <c r="BC1682">
        <v>33</v>
      </c>
      <c r="BD1682">
        <v>-0.01</v>
      </c>
      <c r="BE1682">
        <v>-0.04</v>
      </c>
      <c r="BF1682">
        <v>-0.14000000000000001</v>
      </c>
      <c r="BG1682">
        <v>83</v>
      </c>
      <c r="BH1682">
        <v>-0.03</v>
      </c>
      <c r="BI1682">
        <v>-8.3800000000000008</v>
      </c>
      <c r="BJ1682">
        <v>0</v>
      </c>
      <c r="BK1682">
        <v>0</v>
      </c>
      <c r="BL1682">
        <v>1.92</v>
      </c>
      <c r="BM1682">
        <v>-0.46</v>
      </c>
      <c r="BN1682">
        <v>0.84</v>
      </c>
      <c r="BO1682">
        <v>1.1000000000000001</v>
      </c>
      <c r="BP1682">
        <v>-0.01</v>
      </c>
      <c r="BQ1682">
        <v>1.1499999999999999</v>
      </c>
      <c r="BR1682">
        <v>0</v>
      </c>
      <c r="BS1682">
        <v>2.46</v>
      </c>
      <c r="BT1682">
        <v>1.67</v>
      </c>
      <c r="BU1682">
        <v>3.87</v>
      </c>
      <c r="BV1682">
        <v>2.96</v>
      </c>
      <c r="BW1682">
        <v>2.27</v>
      </c>
      <c r="BX1682">
        <v>2.75</v>
      </c>
      <c r="BY1682">
        <v>2.65</v>
      </c>
      <c r="BZ1682">
        <v>-0.06</v>
      </c>
      <c r="CA1682">
        <v>3.11</v>
      </c>
      <c r="CB1682">
        <v>2.95</v>
      </c>
      <c r="CC1682">
        <v>1.89</v>
      </c>
      <c r="CD1682">
        <v>-0.51</v>
      </c>
      <c r="CE1682">
        <v>1.05</v>
      </c>
      <c r="CF1682">
        <v>0.97</v>
      </c>
      <c r="CG1682">
        <v>0</v>
      </c>
      <c r="CH1682">
        <v>3.29</v>
      </c>
      <c r="CI1682">
        <v>0</v>
      </c>
      <c r="CJ1682">
        <v>-0.7</v>
      </c>
      <c r="CK1682">
        <v>69</v>
      </c>
      <c r="CL1682">
        <v>-1.36</v>
      </c>
      <c r="CM1682">
        <v>61</v>
      </c>
      <c r="CN1682">
        <v>-0.71</v>
      </c>
      <c r="CO1682">
        <v>60</v>
      </c>
      <c r="CP1682">
        <v>5.9</v>
      </c>
      <c r="CQ1682">
        <v>45</v>
      </c>
      <c r="CR1682">
        <v>0</v>
      </c>
      <c r="CS1682">
        <v>0</v>
      </c>
      <c r="CT1682">
        <v>20.7</v>
      </c>
      <c r="CU1682">
        <v>41</v>
      </c>
      <c r="CV1682">
        <v>0.26</v>
      </c>
      <c r="CW1682">
        <v>40</v>
      </c>
      <c r="CX1682" t="s">
        <v>1894</v>
      </c>
    </row>
    <row r="1683" spans="1:102" x14ac:dyDescent="0.3">
      <c r="A1683" t="str">
        <f>HYPERLINK("https://webapp.icbf.com/v2/app/bull-search/view/1449338173","S3148")</f>
        <v>S3148</v>
      </c>
      <c r="B1683" t="s">
        <v>9443</v>
      </c>
      <c r="C1683" t="s">
        <v>9444</v>
      </c>
      <c r="D1683" s="1">
        <v>42045</v>
      </c>
      <c r="E1683" t="s">
        <v>227</v>
      </c>
      <c r="F1683">
        <v>0</v>
      </c>
      <c r="G1683" t="s">
        <v>435</v>
      </c>
      <c r="H1683">
        <v>93.66</v>
      </c>
      <c r="I1683">
        <v>62</v>
      </c>
      <c r="J1683">
        <v>27.74</v>
      </c>
      <c r="K1683">
        <v>78</v>
      </c>
      <c r="L1683">
        <v>48.67</v>
      </c>
      <c r="M1683">
        <v>62</v>
      </c>
      <c r="N1683">
        <v>5.77</v>
      </c>
      <c r="O1683">
        <v>61</v>
      </c>
      <c r="P1683">
        <v>-47.5</v>
      </c>
      <c r="Q1683">
        <v>33</v>
      </c>
      <c r="R1683">
        <v>2.8</v>
      </c>
      <c r="S1683">
        <v>54</v>
      </c>
      <c r="T1683">
        <v>56.97</v>
      </c>
      <c r="U1683">
        <v>31</v>
      </c>
      <c r="V1683">
        <v>-0.79</v>
      </c>
      <c r="W1683">
        <v>53</v>
      </c>
      <c r="X1683" t="s">
        <v>110</v>
      </c>
      <c r="Y1683" t="s">
        <v>457</v>
      </c>
      <c r="Z1683">
        <v>0</v>
      </c>
      <c r="AA1683" t="s">
        <v>2502</v>
      </c>
      <c r="AB1683" t="s">
        <v>9445</v>
      </c>
      <c r="AC1683">
        <v>0</v>
      </c>
      <c r="AD1683">
        <v>0</v>
      </c>
      <c r="AE1683">
        <v>78</v>
      </c>
      <c r="AF1683">
        <v>-289.63</v>
      </c>
      <c r="AG1683">
        <v>6.6</v>
      </c>
      <c r="AH1683">
        <v>-2.0499999999999998</v>
      </c>
      <c r="AI1683">
        <v>0.32</v>
      </c>
      <c r="AJ1683">
        <v>0.15</v>
      </c>
      <c r="AK1683">
        <v>62</v>
      </c>
      <c r="AL1683">
        <v>0</v>
      </c>
      <c r="AM1683">
        <v>0</v>
      </c>
      <c r="AN1683">
        <v>-0.46</v>
      </c>
      <c r="AO1683">
        <v>3.45</v>
      </c>
      <c r="AP1683">
        <v>33</v>
      </c>
      <c r="AQ1683">
        <v>0</v>
      </c>
      <c r="AR1683">
        <v>2.88</v>
      </c>
      <c r="AS1683">
        <v>51</v>
      </c>
      <c r="AT1683">
        <v>1.91</v>
      </c>
      <c r="AU1683">
        <v>58</v>
      </c>
      <c r="AV1683">
        <v>-0.45</v>
      </c>
      <c r="AW1683">
        <v>79</v>
      </c>
      <c r="AX1683">
        <v>5.37</v>
      </c>
      <c r="AY1683">
        <v>54</v>
      </c>
      <c r="AZ1683">
        <v>7.08</v>
      </c>
      <c r="BA1683">
        <v>33</v>
      </c>
      <c r="BB1683">
        <v>5.32</v>
      </c>
      <c r="BC1683">
        <v>32</v>
      </c>
      <c r="BD1683">
        <v>-0.08</v>
      </c>
      <c r="BE1683">
        <v>0.01</v>
      </c>
      <c r="BF1683">
        <v>0.05</v>
      </c>
      <c r="BG1683">
        <v>59</v>
      </c>
      <c r="BH1683">
        <v>0.05</v>
      </c>
      <c r="BI1683">
        <v>8.34</v>
      </c>
      <c r="BJ1683">
        <v>0</v>
      </c>
      <c r="BK1683">
        <v>0</v>
      </c>
      <c r="BL1683">
        <v>-0.75</v>
      </c>
      <c r="BM1683">
        <v>-1.1000000000000001</v>
      </c>
      <c r="BN1683">
        <v>0.1</v>
      </c>
      <c r="BO1683">
        <v>1.21</v>
      </c>
      <c r="BP1683">
        <v>-0.04</v>
      </c>
      <c r="BQ1683">
        <v>-3.41</v>
      </c>
      <c r="BR1683">
        <v>1.51</v>
      </c>
      <c r="BS1683">
        <v>5.01</v>
      </c>
      <c r="BT1683">
        <v>-0.73</v>
      </c>
      <c r="BU1683">
        <v>0.93</v>
      </c>
      <c r="BV1683">
        <v>0.98</v>
      </c>
      <c r="BW1683">
        <v>-0.74</v>
      </c>
      <c r="BX1683">
        <v>-1.34</v>
      </c>
      <c r="BY1683">
        <v>0.39</v>
      </c>
      <c r="BZ1683">
        <v>0.18</v>
      </c>
      <c r="CA1683">
        <v>1.91</v>
      </c>
      <c r="CB1683">
        <v>0.9</v>
      </c>
      <c r="CC1683">
        <v>3.12</v>
      </c>
      <c r="CD1683">
        <v>-1.61</v>
      </c>
      <c r="CE1683">
        <v>1.18</v>
      </c>
      <c r="CF1683">
        <v>-0.35</v>
      </c>
      <c r="CG1683">
        <v>0</v>
      </c>
      <c r="CH1683">
        <v>-0.2</v>
      </c>
      <c r="CI1683">
        <v>0</v>
      </c>
      <c r="CJ1683">
        <v>-23.8</v>
      </c>
      <c r="CK1683">
        <v>35</v>
      </c>
      <c r="CL1683">
        <v>-0.8</v>
      </c>
      <c r="CM1683">
        <v>31</v>
      </c>
      <c r="CN1683">
        <v>0.03</v>
      </c>
      <c r="CO1683">
        <v>31</v>
      </c>
      <c r="CP1683">
        <v>-40.299999999999997</v>
      </c>
      <c r="CQ1683">
        <v>32</v>
      </c>
      <c r="CR1683">
        <v>0</v>
      </c>
      <c r="CS1683">
        <v>0</v>
      </c>
      <c r="CT1683">
        <v>-63.2</v>
      </c>
      <c r="CU1683">
        <v>31</v>
      </c>
      <c r="CV1683">
        <v>-0.2</v>
      </c>
      <c r="CW1683">
        <v>30</v>
      </c>
      <c r="CX1683" t="s">
        <v>9446</v>
      </c>
    </row>
    <row r="1684" spans="1:102" x14ac:dyDescent="0.3">
      <c r="A1684" t="str">
        <f>HYPERLINK("https://webapp.icbf.com/v2/app/bull-search/view/514494303","S503")</f>
        <v>S503</v>
      </c>
      <c r="B1684" t="s">
        <v>7109</v>
      </c>
      <c r="C1684" t="s">
        <v>7110</v>
      </c>
      <c r="D1684" s="1">
        <v>38045</v>
      </c>
      <c r="E1684" t="s">
        <v>146</v>
      </c>
      <c r="F1684">
        <v>0</v>
      </c>
      <c r="G1684" t="s">
        <v>109</v>
      </c>
      <c r="H1684">
        <v>93.63</v>
      </c>
      <c r="I1684">
        <v>66</v>
      </c>
      <c r="J1684">
        <v>-7.61</v>
      </c>
      <c r="K1684">
        <v>73</v>
      </c>
      <c r="L1684">
        <v>90.41</v>
      </c>
      <c r="M1684">
        <v>56</v>
      </c>
      <c r="N1684">
        <v>24.99</v>
      </c>
      <c r="O1684">
        <v>71</v>
      </c>
      <c r="P1684">
        <v>8.9700000000000006</v>
      </c>
      <c r="Q1684">
        <v>83</v>
      </c>
      <c r="R1684">
        <v>-13.51</v>
      </c>
      <c r="S1684">
        <v>59</v>
      </c>
      <c r="T1684">
        <v>1.91</v>
      </c>
      <c r="U1684">
        <v>61</v>
      </c>
      <c r="V1684">
        <v>-11.53</v>
      </c>
      <c r="W1684">
        <v>52</v>
      </c>
      <c r="X1684" t="s">
        <v>102</v>
      </c>
      <c r="Y1684" t="s">
        <v>199</v>
      </c>
      <c r="Z1684">
        <v>0</v>
      </c>
      <c r="AA1684" t="s">
        <v>7111</v>
      </c>
      <c r="AB1684" t="s">
        <v>7112</v>
      </c>
      <c r="AC1684">
        <v>0</v>
      </c>
      <c r="AD1684">
        <v>0</v>
      </c>
      <c r="AE1684">
        <v>73</v>
      </c>
      <c r="AF1684">
        <v>-147.37</v>
      </c>
      <c r="AG1684">
        <v>-8.0299999999999994</v>
      </c>
      <c r="AH1684">
        <v>-0.71</v>
      </c>
      <c r="AI1684">
        <v>-0.04</v>
      </c>
      <c r="AJ1684">
        <v>7.0000000000000007E-2</v>
      </c>
      <c r="AK1684">
        <v>56</v>
      </c>
      <c r="AL1684">
        <v>0</v>
      </c>
      <c r="AM1684">
        <v>0</v>
      </c>
      <c r="AN1684">
        <v>-6.52</v>
      </c>
      <c r="AO1684">
        <v>0.67</v>
      </c>
      <c r="AP1684">
        <v>36</v>
      </c>
      <c r="AQ1684">
        <v>2</v>
      </c>
      <c r="AR1684">
        <v>5.63</v>
      </c>
      <c r="AS1684">
        <v>43</v>
      </c>
      <c r="AT1684">
        <v>2.1800000000000002</v>
      </c>
      <c r="AU1684">
        <v>79</v>
      </c>
      <c r="AV1684">
        <v>-1.68</v>
      </c>
      <c r="AW1684">
        <v>86</v>
      </c>
      <c r="AX1684">
        <v>-0.45</v>
      </c>
      <c r="AY1684">
        <v>62</v>
      </c>
      <c r="AZ1684">
        <v>7.13</v>
      </c>
      <c r="BA1684">
        <v>37</v>
      </c>
      <c r="BB1684">
        <v>5.09</v>
      </c>
      <c r="BC1684">
        <v>43</v>
      </c>
      <c r="BD1684">
        <v>0.04</v>
      </c>
      <c r="BE1684">
        <v>0.06</v>
      </c>
      <c r="BF1684">
        <v>0.13</v>
      </c>
      <c r="BG1684">
        <v>76</v>
      </c>
      <c r="BH1684">
        <v>-0.31</v>
      </c>
      <c r="BI1684">
        <v>1.32</v>
      </c>
      <c r="BJ1684">
        <v>0</v>
      </c>
      <c r="BK1684">
        <v>0</v>
      </c>
      <c r="BL1684">
        <v>-1.42</v>
      </c>
      <c r="BM1684">
        <v>2.93</v>
      </c>
      <c r="BN1684">
        <v>-0.08</v>
      </c>
      <c r="BO1684">
        <v>-1.54</v>
      </c>
      <c r="BP1684">
        <v>3.45</v>
      </c>
      <c r="BQ1684">
        <v>-0.06</v>
      </c>
      <c r="BR1684">
        <v>-0.66</v>
      </c>
      <c r="BS1684">
        <v>0.33</v>
      </c>
      <c r="BT1684">
        <v>0.31</v>
      </c>
      <c r="BU1684">
        <v>-2.1</v>
      </c>
      <c r="BV1684">
        <v>-3.05</v>
      </c>
      <c r="BW1684">
        <v>-2.2400000000000002</v>
      </c>
      <c r="BX1684">
        <v>-1.75</v>
      </c>
      <c r="BY1684">
        <v>-1.94</v>
      </c>
      <c r="BZ1684">
        <v>0.63</v>
      </c>
      <c r="CA1684">
        <v>-2.09</v>
      </c>
      <c r="CB1684">
        <v>-2.46</v>
      </c>
      <c r="CC1684">
        <v>-0.31</v>
      </c>
      <c r="CD1684">
        <v>2.14</v>
      </c>
      <c r="CE1684">
        <v>-1.85</v>
      </c>
      <c r="CF1684">
        <v>-0.8</v>
      </c>
      <c r="CG1684">
        <v>0</v>
      </c>
      <c r="CH1684">
        <v>-0.46</v>
      </c>
      <c r="CI1684">
        <v>0</v>
      </c>
      <c r="CJ1684">
        <v>3.9</v>
      </c>
      <c r="CK1684">
        <v>85</v>
      </c>
      <c r="CL1684">
        <v>0.34</v>
      </c>
      <c r="CM1684">
        <v>83</v>
      </c>
      <c r="CN1684">
        <v>-0.04</v>
      </c>
      <c r="CO1684">
        <v>81</v>
      </c>
      <c r="CP1684">
        <v>-2.6</v>
      </c>
      <c r="CQ1684">
        <v>73</v>
      </c>
      <c r="CR1684">
        <v>0</v>
      </c>
      <c r="CS1684">
        <v>0</v>
      </c>
      <c r="CT1684">
        <v>11.2</v>
      </c>
      <c r="CU1684">
        <v>61</v>
      </c>
      <c r="CV1684">
        <v>-0.16</v>
      </c>
      <c r="CW1684">
        <v>42</v>
      </c>
      <c r="CX1684" t="s">
        <v>4111</v>
      </c>
    </row>
    <row r="1685" spans="1:102" x14ac:dyDescent="0.3">
      <c r="A1685" t="str">
        <f>HYPERLINK("https://webapp.icbf.com/v2/app/bull-search/view/355562974","DJP")</f>
        <v>DJP</v>
      </c>
      <c r="B1685" t="s">
        <v>8737</v>
      </c>
      <c r="C1685" t="s">
        <v>8738</v>
      </c>
      <c r="D1685" s="1">
        <v>37471</v>
      </c>
      <c r="E1685" t="s">
        <v>92</v>
      </c>
      <c r="F1685">
        <v>56</v>
      </c>
      <c r="G1685" t="s">
        <v>109</v>
      </c>
      <c r="H1685">
        <v>93.55</v>
      </c>
      <c r="I1685">
        <v>75</v>
      </c>
      <c r="J1685">
        <v>31.28</v>
      </c>
      <c r="K1685">
        <v>90</v>
      </c>
      <c r="L1685">
        <v>29.79</v>
      </c>
      <c r="M1685">
        <v>72</v>
      </c>
      <c r="N1685">
        <v>27.81</v>
      </c>
      <c r="O1685">
        <v>63</v>
      </c>
      <c r="P1685">
        <v>-29.92</v>
      </c>
      <c r="Q1685">
        <v>64</v>
      </c>
      <c r="R1685">
        <v>-2.86</v>
      </c>
      <c r="S1685">
        <v>70</v>
      </c>
      <c r="T1685">
        <v>38.47</v>
      </c>
      <c r="U1685">
        <v>56</v>
      </c>
      <c r="V1685">
        <v>-1.02</v>
      </c>
      <c r="W1685">
        <v>61</v>
      </c>
      <c r="X1685" t="s">
        <v>94</v>
      </c>
      <c r="Y1685" t="s">
        <v>95</v>
      </c>
      <c r="Z1685">
        <v>0</v>
      </c>
      <c r="AA1685" t="s">
        <v>4059</v>
      </c>
      <c r="AB1685" t="s">
        <v>8739</v>
      </c>
      <c r="AC1685">
        <v>0</v>
      </c>
      <c r="AD1685">
        <v>0</v>
      </c>
      <c r="AE1685">
        <v>90</v>
      </c>
      <c r="AF1685">
        <v>-38.19</v>
      </c>
      <c r="AG1685">
        <v>6.12</v>
      </c>
      <c r="AH1685">
        <v>2.57</v>
      </c>
      <c r="AI1685">
        <v>0.13</v>
      </c>
      <c r="AJ1685">
        <v>7.0000000000000007E-2</v>
      </c>
      <c r="AK1685">
        <v>72</v>
      </c>
      <c r="AL1685">
        <v>0</v>
      </c>
      <c r="AM1685">
        <v>0</v>
      </c>
      <c r="AN1685">
        <v>-0.53</v>
      </c>
      <c r="AO1685">
        <v>1.86</v>
      </c>
      <c r="AP1685">
        <v>20</v>
      </c>
      <c r="AQ1685">
        <v>0</v>
      </c>
      <c r="AR1685">
        <v>5.8</v>
      </c>
      <c r="AS1685">
        <v>57</v>
      </c>
      <c r="AT1685">
        <v>1.84</v>
      </c>
      <c r="AU1685">
        <v>67</v>
      </c>
      <c r="AV1685">
        <v>-2.2000000000000002</v>
      </c>
      <c r="AW1685">
        <v>70</v>
      </c>
      <c r="AX1685">
        <v>0.26</v>
      </c>
      <c r="AY1685">
        <v>54</v>
      </c>
      <c r="AZ1685">
        <v>7.08</v>
      </c>
      <c r="BA1685">
        <v>45</v>
      </c>
      <c r="BB1685">
        <v>5.37</v>
      </c>
      <c r="BC1685">
        <v>47</v>
      </c>
      <c r="BD1685">
        <v>-0.05</v>
      </c>
      <c r="BE1685">
        <v>0.01</v>
      </c>
      <c r="BF1685">
        <v>0.13</v>
      </c>
      <c r="BG1685">
        <v>83</v>
      </c>
      <c r="BH1685">
        <v>0.05</v>
      </c>
      <c r="BI1685">
        <v>9.07</v>
      </c>
      <c r="BJ1685">
        <v>0</v>
      </c>
      <c r="BK1685">
        <v>0</v>
      </c>
      <c r="BL1685">
        <v>-1.47</v>
      </c>
      <c r="BM1685">
        <v>-2.34</v>
      </c>
      <c r="BN1685">
        <v>-2.11</v>
      </c>
      <c r="BO1685">
        <v>-0.41</v>
      </c>
      <c r="BP1685">
        <v>1.69</v>
      </c>
      <c r="BQ1685">
        <v>-4.59</v>
      </c>
      <c r="BR1685">
        <v>-0.53</v>
      </c>
      <c r="BS1685">
        <v>-1.75</v>
      </c>
      <c r="BT1685">
        <v>-1.2</v>
      </c>
      <c r="BU1685">
        <v>-1.17</v>
      </c>
      <c r="BV1685">
        <v>-1.05</v>
      </c>
      <c r="BW1685">
        <v>-0.37</v>
      </c>
      <c r="BX1685">
        <v>-1.1299999999999999</v>
      </c>
      <c r="BY1685">
        <v>0.42</v>
      </c>
      <c r="BZ1685">
        <v>-1.1000000000000001</v>
      </c>
      <c r="CA1685">
        <v>-1.67</v>
      </c>
      <c r="CB1685">
        <v>-0.9</v>
      </c>
      <c r="CC1685">
        <v>-1.44</v>
      </c>
      <c r="CD1685">
        <v>-0.61</v>
      </c>
      <c r="CE1685">
        <v>-0.15</v>
      </c>
      <c r="CF1685">
        <v>-1.1200000000000001</v>
      </c>
      <c r="CG1685">
        <v>0</v>
      </c>
      <c r="CH1685">
        <v>0.12</v>
      </c>
      <c r="CI1685">
        <v>0</v>
      </c>
      <c r="CJ1685">
        <v>-10.9</v>
      </c>
      <c r="CK1685">
        <v>66</v>
      </c>
      <c r="CL1685">
        <v>-1.1299999999999999</v>
      </c>
      <c r="CM1685">
        <v>63</v>
      </c>
      <c r="CN1685">
        <v>-7.0000000000000007E-2</v>
      </c>
      <c r="CO1685">
        <v>61</v>
      </c>
      <c r="CP1685">
        <v>-26.9</v>
      </c>
      <c r="CQ1685">
        <v>61</v>
      </c>
      <c r="CR1685">
        <v>0</v>
      </c>
      <c r="CS1685">
        <v>0</v>
      </c>
      <c r="CT1685">
        <v>-38.200000000000003</v>
      </c>
      <c r="CU1685">
        <v>56</v>
      </c>
      <c r="CV1685">
        <v>0.22</v>
      </c>
      <c r="CW1685">
        <v>39</v>
      </c>
      <c r="CX1685" t="s">
        <v>1257</v>
      </c>
    </row>
    <row r="1686" spans="1:102" x14ac:dyDescent="0.3">
      <c r="A1686" t="str">
        <f>HYPERLINK("https://webapp.icbf.com/v2/app/bull-search/view/859903918","F357")</f>
        <v>F357</v>
      </c>
      <c r="B1686" t="s">
        <v>14041</v>
      </c>
      <c r="C1686" t="s">
        <v>14042</v>
      </c>
      <c r="D1686" s="1">
        <v>40577</v>
      </c>
      <c r="E1686" t="s">
        <v>108</v>
      </c>
      <c r="F1686">
        <v>13</v>
      </c>
      <c r="G1686" t="s">
        <v>93</v>
      </c>
      <c r="H1686">
        <v>93.35</v>
      </c>
      <c r="I1686">
        <v>74</v>
      </c>
      <c r="J1686">
        <v>-36.659999999999997</v>
      </c>
      <c r="K1686">
        <v>88</v>
      </c>
      <c r="L1686">
        <v>94.23</v>
      </c>
      <c r="M1686">
        <v>66</v>
      </c>
      <c r="N1686">
        <v>14.21</v>
      </c>
      <c r="O1686">
        <v>67</v>
      </c>
      <c r="P1686">
        <v>-20.82</v>
      </c>
      <c r="Q1686">
        <v>85</v>
      </c>
      <c r="R1686">
        <v>9.6300000000000008</v>
      </c>
      <c r="S1686">
        <v>64</v>
      </c>
      <c r="T1686">
        <v>29.51</v>
      </c>
      <c r="U1686">
        <v>60</v>
      </c>
      <c r="V1686">
        <v>3.25</v>
      </c>
      <c r="W1686">
        <v>52</v>
      </c>
      <c r="X1686" t="s">
        <v>110</v>
      </c>
      <c r="Y1686" t="s">
        <v>2410</v>
      </c>
      <c r="Z1686" t="s">
        <v>96</v>
      </c>
      <c r="AA1686" t="s">
        <v>3672</v>
      </c>
      <c r="AB1686" t="s">
        <v>14043</v>
      </c>
      <c r="AC1686">
        <v>14</v>
      </c>
      <c r="AD1686">
        <v>2</v>
      </c>
      <c r="AE1686">
        <v>88</v>
      </c>
      <c r="AF1686">
        <v>-426.66</v>
      </c>
      <c r="AG1686">
        <v>-13.84</v>
      </c>
      <c r="AH1686">
        <v>-7.87</v>
      </c>
      <c r="AI1686">
        <v>0.05</v>
      </c>
      <c r="AJ1686">
        <v>0.12</v>
      </c>
      <c r="AK1686">
        <v>66</v>
      </c>
      <c r="AL1686">
        <v>32</v>
      </c>
      <c r="AM1686">
        <v>2</v>
      </c>
      <c r="AN1686">
        <v>-5.52</v>
      </c>
      <c r="AO1686">
        <v>1.99</v>
      </c>
      <c r="AP1686">
        <v>82</v>
      </c>
      <c r="AQ1686">
        <v>0</v>
      </c>
      <c r="AR1686">
        <v>4.0999999999999996</v>
      </c>
      <c r="AS1686">
        <v>66</v>
      </c>
      <c r="AT1686">
        <v>1.93</v>
      </c>
      <c r="AU1686">
        <v>76</v>
      </c>
      <c r="AV1686">
        <v>0.87</v>
      </c>
      <c r="AW1686">
        <v>70</v>
      </c>
      <c r="AX1686">
        <v>-0.95</v>
      </c>
      <c r="AY1686">
        <v>69</v>
      </c>
      <c r="AZ1686">
        <v>5.85</v>
      </c>
      <c r="BA1686">
        <v>47</v>
      </c>
      <c r="BB1686">
        <v>4.72</v>
      </c>
      <c r="BC1686">
        <v>45</v>
      </c>
      <c r="BD1686">
        <v>-0.05</v>
      </c>
      <c r="BE1686">
        <v>-0.02</v>
      </c>
      <c r="BF1686">
        <v>-0.1</v>
      </c>
      <c r="BG1686">
        <v>74</v>
      </c>
      <c r="BH1686">
        <v>-0.06</v>
      </c>
      <c r="BI1686">
        <v>-17.41</v>
      </c>
      <c r="BJ1686">
        <v>3</v>
      </c>
      <c r="BK1686">
        <v>2</v>
      </c>
      <c r="BL1686">
        <v>-2.81</v>
      </c>
      <c r="BM1686">
        <v>0.32</v>
      </c>
      <c r="BN1686">
        <v>-3.2</v>
      </c>
      <c r="BO1686">
        <v>-2.92</v>
      </c>
      <c r="BP1686">
        <v>0.32</v>
      </c>
      <c r="BQ1686">
        <v>-0.05</v>
      </c>
      <c r="BR1686">
        <v>-0.59</v>
      </c>
      <c r="BS1686">
        <v>-0.26</v>
      </c>
      <c r="BT1686">
        <v>-0.42</v>
      </c>
      <c r="BU1686">
        <v>-1.69</v>
      </c>
      <c r="BV1686">
        <v>-2.02</v>
      </c>
      <c r="BW1686">
        <v>-1.24</v>
      </c>
      <c r="BX1686">
        <v>-0.73</v>
      </c>
      <c r="BY1686">
        <v>-1.88</v>
      </c>
      <c r="BZ1686">
        <v>-1.1000000000000001</v>
      </c>
      <c r="CA1686">
        <v>-2.09</v>
      </c>
      <c r="CB1686">
        <v>-2.3199999999999998</v>
      </c>
      <c r="CC1686">
        <v>-1.37</v>
      </c>
      <c r="CD1686">
        <v>2.39</v>
      </c>
      <c r="CE1686">
        <v>-2.67</v>
      </c>
      <c r="CF1686">
        <v>-2.61</v>
      </c>
      <c r="CG1686">
        <v>0</v>
      </c>
      <c r="CH1686">
        <v>-2.19</v>
      </c>
      <c r="CI1686">
        <v>0</v>
      </c>
      <c r="CJ1686">
        <v>-11.9</v>
      </c>
      <c r="CK1686">
        <v>87</v>
      </c>
      <c r="CL1686">
        <v>-0.1</v>
      </c>
      <c r="CM1686">
        <v>85</v>
      </c>
      <c r="CN1686">
        <v>0.09</v>
      </c>
      <c r="CO1686">
        <v>84</v>
      </c>
      <c r="CP1686">
        <v>-15.4</v>
      </c>
      <c r="CQ1686">
        <v>69</v>
      </c>
      <c r="CR1686">
        <v>0</v>
      </c>
      <c r="CS1686">
        <v>0</v>
      </c>
      <c r="CT1686">
        <v>-26.1</v>
      </c>
      <c r="CU1686">
        <v>60</v>
      </c>
      <c r="CV1686">
        <v>-0.13</v>
      </c>
      <c r="CW1686">
        <v>43</v>
      </c>
      <c r="CX1686" t="s">
        <v>2906</v>
      </c>
    </row>
    <row r="1687" spans="1:102" x14ac:dyDescent="0.3">
      <c r="A1687" t="str">
        <f>HYPERLINK("https://webapp.icbf.com/v2/app/bull-search/view/147063484","MKZ")</f>
        <v>MKZ</v>
      </c>
      <c r="B1687" t="s">
        <v>4077</v>
      </c>
      <c r="C1687" t="s">
        <v>4078</v>
      </c>
      <c r="D1687" s="1">
        <v>35656</v>
      </c>
      <c r="E1687" t="s">
        <v>227</v>
      </c>
      <c r="F1687">
        <v>0</v>
      </c>
      <c r="G1687" t="s">
        <v>109</v>
      </c>
      <c r="H1687">
        <v>93.34</v>
      </c>
      <c r="I1687">
        <v>74</v>
      </c>
      <c r="J1687">
        <v>35.229999999999997</v>
      </c>
      <c r="K1687">
        <v>86</v>
      </c>
      <c r="L1687">
        <v>27.57</v>
      </c>
      <c r="M1687">
        <v>76</v>
      </c>
      <c r="N1687">
        <v>24.96</v>
      </c>
      <c r="O1687">
        <v>52</v>
      </c>
      <c r="P1687">
        <v>-70.260000000000005</v>
      </c>
      <c r="Q1687">
        <v>69</v>
      </c>
      <c r="R1687">
        <v>-1.22</v>
      </c>
      <c r="S1687">
        <v>64</v>
      </c>
      <c r="T1687">
        <v>73.989999999999995</v>
      </c>
      <c r="U1687">
        <v>56</v>
      </c>
      <c r="V1687">
        <v>3.07</v>
      </c>
      <c r="W1687">
        <v>61</v>
      </c>
      <c r="X1687" t="s">
        <v>102</v>
      </c>
      <c r="Y1687" t="s">
        <v>95</v>
      </c>
      <c r="Z1687">
        <v>0</v>
      </c>
      <c r="AA1687" t="s">
        <v>4079</v>
      </c>
      <c r="AB1687" t="s">
        <v>4080</v>
      </c>
      <c r="AC1687">
        <v>0</v>
      </c>
      <c r="AD1687">
        <v>0</v>
      </c>
      <c r="AE1687">
        <v>86</v>
      </c>
      <c r="AF1687">
        <v>-254.27</v>
      </c>
      <c r="AG1687">
        <v>7.15</v>
      </c>
      <c r="AH1687">
        <v>-0.43</v>
      </c>
      <c r="AI1687">
        <v>0.31</v>
      </c>
      <c r="AJ1687">
        <v>0.15</v>
      </c>
      <c r="AK1687">
        <v>76</v>
      </c>
      <c r="AL1687">
        <v>0</v>
      </c>
      <c r="AM1687">
        <v>0</v>
      </c>
      <c r="AN1687">
        <v>0.13</v>
      </c>
      <c r="AO1687">
        <v>2.35</v>
      </c>
      <c r="AP1687">
        <v>4</v>
      </c>
      <c r="AQ1687">
        <v>0</v>
      </c>
      <c r="AR1687">
        <v>3.32</v>
      </c>
      <c r="AS1687">
        <v>47</v>
      </c>
      <c r="AT1687">
        <v>1.59</v>
      </c>
      <c r="AU1687">
        <v>52</v>
      </c>
      <c r="AV1687">
        <v>-1.06</v>
      </c>
      <c r="AW1687">
        <v>57</v>
      </c>
      <c r="AX1687">
        <v>-0.2</v>
      </c>
      <c r="AY1687">
        <v>51</v>
      </c>
      <c r="AZ1687">
        <v>6.61</v>
      </c>
      <c r="BA1687">
        <v>38</v>
      </c>
      <c r="BB1687">
        <v>5.63</v>
      </c>
      <c r="BC1687">
        <v>43</v>
      </c>
      <c r="BD1687">
        <v>-0.06</v>
      </c>
      <c r="BE1687">
        <v>0.02</v>
      </c>
      <c r="BF1687">
        <v>0.09</v>
      </c>
      <c r="BG1687">
        <v>70</v>
      </c>
      <c r="BH1687">
        <v>-0.08</v>
      </c>
      <c r="BI1687">
        <v>-19.149999999999999</v>
      </c>
      <c r="BJ1687">
        <v>0</v>
      </c>
      <c r="BK1687">
        <v>0</v>
      </c>
      <c r="BL1687">
        <v>-1.31</v>
      </c>
      <c r="BM1687">
        <v>-1.06</v>
      </c>
      <c r="BN1687">
        <v>-0.12</v>
      </c>
      <c r="BO1687">
        <v>1</v>
      </c>
      <c r="BP1687">
        <v>-0.55000000000000004</v>
      </c>
      <c r="BQ1687">
        <v>-3.65</v>
      </c>
      <c r="BR1687">
        <v>1.76</v>
      </c>
      <c r="BS1687">
        <v>4.6900000000000004</v>
      </c>
      <c r="BT1687">
        <v>-1.02</v>
      </c>
      <c r="BU1687">
        <v>7.0000000000000007E-2</v>
      </c>
      <c r="BV1687">
        <v>0.28999999999999998</v>
      </c>
      <c r="BW1687">
        <v>-1.38</v>
      </c>
      <c r="BX1687">
        <v>-2.2999999999999998</v>
      </c>
      <c r="BY1687">
        <v>0.01</v>
      </c>
      <c r="BZ1687">
        <v>7.0000000000000007E-2</v>
      </c>
      <c r="CA1687">
        <v>1.34</v>
      </c>
      <c r="CB1687">
        <v>0.32</v>
      </c>
      <c r="CC1687">
        <v>2.87</v>
      </c>
      <c r="CD1687">
        <v>-1.37</v>
      </c>
      <c r="CE1687">
        <v>0.92</v>
      </c>
      <c r="CF1687">
        <v>-1.18</v>
      </c>
      <c r="CG1687">
        <v>0</v>
      </c>
      <c r="CH1687">
        <v>-0.6</v>
      </c>
      <c r="CI1687">
        <v>0</v>
      </c>
      <c r="CJ1687">
        <v>-37.6</v>
      </c>
      <c r="CK1687">
        <v>71</v>
      </c>
      <c r="CL1687">
        <v>-1.17</v>
      </c>
      <c r="CM1687">
        <v>67</v>
      </c>
      <c r="CN1687">
        <v>-0.24</v>
      </c>
      <c r="CO1687">
        <v>64</v>
      </c>
      <c r="CP1687">
        <v>-60.7</v>
      </c>
      <c r="CQ1687">
        <v>64</v>
      </c>
      <c r="CR1687">
        <v>0</v>
      </c>
      <c r="CS1687">
        <v>0</v>
      </c>
      <c r="CT1687">
        <v>-86.2</v>
      </c>
      <c r="CU1687">
        <v>56</v>
      </c>
      <c r="CV1687">
        <v>-0.31</v>
      </c>
      <c r="CW1687">
        <v>39</v>
      </c>
      <c r="CX1687" t="s">
        <v>514</v>
      </c>
    </row>
    <row r="1688" spans="1:102" x14ac:dyDescent="0.3">
      <c r="A1688" t="str">
        <f>HYPERLINK("https://webapp.icbf.com/v2/app/bull-search/view/496904150","WLV")</f>
        <v>WLV</v>
      </c>
      <c r="B1688" t="s">
        <v>5185</v>
      </c>
      <c r="C1688" t="s">
        <v>5186</v>
      </c>
      <c r="D1688" s="1">
        <v>36577</v>
      </c>
      <c r="E1688" t="s">
        <v>227</v>
      </c>
      <c r="F1688">
        <v>0</v>
      </c>
      <c r="G1688" t="s">
        <v>109</v>
      </c>
      <c r="H1688">
        <v>93.25</v>
      </c>
      <c r="I1688">
        <v>77</v>
      </c>
      <c r="J1688">
        <v>38.24</v>
      </c>
      <c r="K1688">
        <v>88</v>
      </c>
      <c r="L1688">
        <v>42.08</v>
      </c>
      <c r="M1688">
        <v>78</v>
      </c>
      <c r="N1688">
        <v>11.87</v>
      </c>
      <c r="O1688">
        <v>63</v>
      </c>
      <c r="P1688">
        <v>-70.349999999999994</v>
      </c>
      <c r="Q1688">
        <v>71</v>
      </c>
      <c r="R1688">
        <v>-4.84</v>
      </c>
      <c r="S1688">
        <v>54</v>
      </c>
      <c r="T1688">
        <v>76.209999999999994</v>
      </c>
      <c r="U1688">
        <v>72</v>
      </c>
      <c r="V1688">
        <v>0.04</v>
      </c>
      <c r="W1688">
        <v>55</v>
      </c>
      <c r="X1688" t="s">
        <v>276</v>
      </c>
      <c r="Y1688" t="s">
        <v>221</v>
      </c>
      <c r="Z1688">
        <v>0</v>
      </c>
      <c r="AA1688" t="s">
        <v>554</v>
      </c>
      <c r="AB1688" t="s">
        <v>1119</v>
      </c>
      <c r="AC1688">
        <v>16</v>
      </c>
      <c r="AD1688">
        <v>12</v>
      </c>
      <c r="AE1688">
        <v>88</v>
      </c>
      <c r="AF1688">
        <v>-236.85</v>
      </c>
      <c r="AG1688">
        <v>6.81</v>
      </c>
      <c r="AH1688">
        <v>0.47</v>
      </c>
      <c r="AI1688">
        <v>0.28000000000000003</v>
      </c>
      <c r="AJ1688">
        <v>0.15</v>
      </c>
      <c r="AK1688">
        <v>78</v>
      </c>
      <c r="AL1688">
        <v>28</v>
      </c>
      <c r="AM1688">
        <v>16</v>
      </c>
      <c r="AN1688">
        <v>-1.21</v>
      </c>
      <c r="AO1688">
        <v>2.16</v>
      </c>
      <c r="AP1688">
        <v>30</v>
      </c>
      <c r="AQ1688">
        <v>6</v>
      </c>
      <c r="AR1688">
        <v>4.67</v>
      </c>
      <c r="AS1688">
        <v>43</v>
      </c>
      <c r="AT1688">
        <v>2.2799999999999998</v>
      </c>
      <c r="AU1688">
        <v>53</v>
      </c>
      <c r="AV1688">
        <v>-0.52</v>
      </c>
      <c r="AW1688">
        <v>84</v>
      </c>
      <c r="AX1688">
        <v>1.8</v>
      </c>
      <c r="AY1688">
        <v>62</v>
      </c>
      <c r="AZ1688">
        <v>6.56</v>
      </c>
      <c r="BA1688">
        <v>37</v>
      </c>
      <c r="BB1688">
        <v>5.13</v>
      </c>
      <c r="BC1688">
        <v>37</v>
      </c>
      <c r="BD1688">
        <v>-0.01</v>
      </c>
      <c r="BE1688">
        <v>0.02</v>
      </c>
      <c r="BF1688">
        <v>0.09</v>
      </c>
      <c r="BG1688">
        <v>60</v>
      </c>
      <c r="BH1688">
        <v>-0.1</v>
      </c>
      <c r="BI1688">
        <v>-11.69</v>
      </c>
      <c r="BJ1688">
        <v>0</v>
      </c>
      <c r="BK1688">
        <v>0</v>
      </c>
      <c r="BL1688">
        <v>-1.66</v>
      </c>
      <c r="BM1688">
        <v>-2.88</v>
      </c>
      <c r="BN1688">
        <v>-0.52</v>
      </c>
      <c r="BO1688">
        <v>1.89</v>
      </c>
      <c r="BP1688">
        <v>1.19</v>
      </c>
      <c r="BQ1688">
        <v>-6.63</v>
      </c>
      <c r="BR1688">
        <v>3.55</v>
      </c>
      <c r="BS1688">
        <v>5.12</v>
      </c>
      <c r="BT1688">
        <v>-2.31</v>
      </c>
      <c r="BU1688">
        <v>1.03</v>
      </c>
      <c r="BV1688">
        <v>0.75</v>
      </c>
      <c r="BW1688">
        <v>-1.08</v>
      </c>
      <c r="BX1688">
        <v>-1.84</v>
      </c>
      <c r="BY1688">
        <v>1.01</v>
      </c>
      <c r="BZ1688">
        <v>-0.45</v>
      </c>
      <c r="CA1688">
        <v>1.87</v>
      </c>
      <c r="CB1688">
        <v>0.92</v>
      </c>
      <c r="CC1688">
        <v>3</v>
      </c>
      <c r="CD1688">
        <v>-2.85</v>
      </c>
      <c r="CE1688">
        <v>1.54</v>
      </c>
      <c r="CF1688">
        <v>-2.21</v>
      </c>
      <c r="CG1688">
        <v>0</v>
      </c>
      <c r="CH1688">
        <v>-0.12</v>
      </c>
      <c r="CI1688">
        <v>0</v>
      </c>
      <c r="CJ1688">
        <v>-36.299999999999997</v>
      </c>
      <c r="CK1688">
        <v>73</v>
      </c>
      <c r="CL1688">
        <v>-1.25</v>
      </c>
      <c r="CM1688">
        <v>69</v>
      </c>
      <c r="CN1688">
        <v>-0.11</v>
      </c>
      <c r="CO1688">
        <v>65</v>
      </c>
      <c r="CP1688">
        <v>-57.6</v>
      </c>
      <c r="CQ1688">
        <v>73</v>
      </c>
      <c r="CR1688">
        <v>0</v>
      </c>
      <c r="CS1688">
        <v>0</v>
      </c>
      <c r="CT1688">
        <v>-89.2</v>
      </c>
      <c r="CU1688">
        <v>72</v>
      </c>
      <c r="CV1688">
        <v>-0.41</v>
      </c>
      <c r="CW1688">
        <v>20</v>
      </c>
      <c r="CX1688" t="s">
        <v>1051</v>
      </c>
    </row>
    <row r="1689" spans="1:102" x14ac:dyDescent="0.3">
      <c r="A1689" t="str">
        <f>HYPERLINK("https://webapp.icbf.com/v2/app/bull-search/view/448026301","GVV")</f>
        <v>GVV</v>
      </c>
      <c r="B1689" t="s">
        <v>12063</v>
      </c>
      <c r="C1689" t="s">
        <v>1919</v>
      </c>
      <c r="D1689" s="1">
        <v>38762</v>
      </c>
      <c r="E1689" t="s">
        <v>108</v>
      </c>
      <c r="F1689">
        <v>44</v>
      </c>
      <c r="G1689" t="s">
        <v>93</v>
      </c>
      <c r="H1689">
        <v>93.24</v>
      </c>
      <c r="I1689">
        <v>98</v>
      </c>
      <c r="J1689">
        <v>46.14</v>
      </c>
      <c r="K1689">
        <v>99</v>
      </c>
      <c r="L1689">
        <v>12.33</v>
      </c>
      <c r="M1689">
        <v>96</v>
      </c>
      <c r="N1689">
        <v>36.119999999999997</v>
      </c>
      <c r="O1689">
        <v>99</v>
      </c>
      <c r="P1689">
        <v>-4.46</v>
      </c>
      <c r="Q1689">
        <v>99</v>
      </c>
      <c r="R1689">
        <v>-4.2</v>
      </c>
      <c r="S1689">
        <v>96</v>
      </c>
      <c r="T1689">
        <v>7.31</v>
      </c>
      <c r="U1689">
        <v>99</v>
      </c>
      <c r="V1689">
        <v>0</v>
      </c>
      <c r="W1689">
        <v>93</v>
      </c>
      <c r="X1689" t="s">
        <v>94</v>
      </c>
      <c r="Y1689" t="s">
        <v>1251</v>
      </c>
      <c r="Z1689" t="s">
        <v>96</v>
      </c>
      <c r="AA1689" t="s">
        <v>5174</v>
      </c>
      <c r="AB1689" t="s">
        <v>12064</v>
      </c>
      <c r="AC1689">
        <v>2088</v>
      </c>
      <c r="AD1689">
        <v>871</v>
      </c>
      <c r="AE1689">
        <v>99</v>
      </c>
      <c r="AF1689">
        <v>46.31</v>
      </c>
      <c r="AG1689">
        <v>5.67</v>
      </c>
      <c r="AH1689">
        <v>6.55</v>
      </c>
      <c r="AI1689">
        <v>7.0000000000000007E-2</v>
      </c>
      <c r="AJ1689">
        <v>0.09</v>
      </c>
      <c r="AK1689">
        <v>96</v>
      </c>
      <c r="AL1689">
        <v>2469</v>
      </c>
      <c r="AM1689">
        <v>1051</v>
      </c>
      <c r="AN1689">
        <v>-0.91</v>
      </c>
      <c r="AO1689">
        <v>7.0000000000000007E-2</v>
      </c>
      <c r="AP1689">
        <v>4245</v>
      </c>
      <c r="AQ1689">
        <v>30</v>
      </c>
      <c r="AR1689">
        <v>6.67</v>
      </c>
      <c r="AS1689">
        <v>99</v>
      </c>
      <c r="AT1689">
        <v>2.19</v>
      </c>
      <c r="AU1689">
        <v>99</v>
      </c>
      <c r="AV1689">
        <v>-3.97</v>
      </c>
      <c r="AW1689">
        <v>99</v>
      </c>
      <c r="AX1689">
        <v>0.56999999999999995</v>
      </c>
      <c r="AY1689">
        <v>99</v>
      </c>
      <c r="AZ1689">
        <v>6.65</v>
      </c>
      <c r="BA1689">
        <v>96</v>
      </c>
      <c r="BB1689">
        <v>5.64</v>
      </c>
      <c r="BC1689">
        <v>97</v>
      </c>
      <c r="BD1689">
        <v>0.04</v>
      </c>
      <c r="BE1689">
        <v>0</v>
      </c>
      <c r="BF1689">
        <v>0.03</v>
      </c>
      <c r="BG1689">
        <v>99</v>
      </c>
      <c r="BH1689">
        <v>0.17</v>
      </c>
      <c r="BI1689">
        <v>19.68</v>
      </c>
      <c r="BJ1689">
        <v>103</v>
      </c>
      <c r="BK1689">
        <v>58</v>
      </c>
      <c r="BL1689">
        <v>-1.41</v>
      </c>
      <c r="BM1689">
        <v>0.55000000000000004</v>
      </c>
      <c r="BN1689">
        <v>-1.17</v>
      </c>
      <c r="BO1689">
        <v>-1.0900000000000001</v>
      </c>
      <c r="BP1689">
        <v>-2.36</v>
      </c>
      <c r="BQ1689">
        <v>1.68</v>
      </c>
      <c r="BR1689">
        <v>-0.66</v>
      </c>
      <c r="BS1689">
        <v>-0.24</v>
      </c>
      <c r="BT1689">
        <v>-0.68</v>
      </c>
      <c r="BU1689">
        <v>-1.81</v>
      </c>
      <c r="BV1689">
        <v>-2.0099999999999998</v>
      </c>
      <c r="BW1689">
        <v>-2.4</v>
      </c>
      <c r="BX1689">
        <v>-1.5</v>
      </c>
      <c r="BY1689">
        <v>1.6</v>
      </c>
      <c r="BZ1689">
        <v>1.0900000000000001</v>
      </c>
      <c r="CA1689">
        <v>-1.1299999999999999</v>
      </c>
      <c r="CB1689">
        <v>-1.45</v>
      </c>
      <c r="CC1689">
        <v>-0.03</v>
      </c>
      <c r="CD1689">
        <v>1.35</v>
      </c>
      <c r="CE1689">
        <v>-0.9</v>
      </c>
      <c r="CF1689">
        <v>-0.73</v>
      </c>
      <c r="CG1689">
        <v>0</v>
      </c>
      <c r="CH1689">
        <v>1.57</v>
      </c>
      <c r="CI1689">
        <v>0</v>
      </c>
      <c r="CJ1689">
        <v>-2.2000000000000002</v>
      </c>
      <c r="CK1689">
        <v>99</v>
      </c>
      <c r="CL1689">
        <v>-0.28999999999999998</v>
      </c>
      <c r="CM1689">
        <v>99</v>
      </c>
      <c r="CN1689">
        <v>-0.19</v>
      </c>
      <c r="CO1689">
        <v>99</v>
      </c>
      <c r="CP1689">
        <v>-4.4000000000000004</v>
      </c>
      <c r="CQ1689">
        <v>99</v>
      </c>
      <c r="CR1689">
        <v>0</v>
      </c>
      <c r="CS1689">
        <v>0</v>
      </c>
      <c r="CT1689">
        <v>3.9</v>
      </c>
      <c r="CU1689">
        <v>99</v>
      </c>
      <c r="CV1689">
        <v>0.15</v>
      </c>
      <c r="CW1689">
        <v>48</v>
      </c>
      <c r="CX1689" t="s">
        <v>2775</v>
      </c>
    </row>
    <row r="1690" spans="1:102" x14ac:dyDescent="0.3">
      <c r="A1690" t="str">
        <f>HYPERLINK("https://webapp.icbf.com/v2/app/bull-search/view/550982070","OKK")</f>
        <v>OKK</v>
      </c>
      <c r="B1690" t="s">
        <v>8258</v>
      </c>
      <c r="C1690" t="s">
        <v>8259</v>
      </c>
      <c r="D1690" s="1">
        <v>38956</v>
      </c>
      <c r="E1690" t="s">
        <v>227</v>
      </c>
      <c r="F1690">
        <v>0</v>
      </c>
      <c r="G1690" t="s">
        <v>109</v>
      </c>
      <c r="H1690">
        <v>93.22</v>
      </c>
      <c r="I1690">
        <v>72</v>
      </c>
      <c r="J1690">
        <v>63.21</v>
      </c>
      <c r="K1690">
        <v>91</v>
      </c>
      <c r="L1690">
        <v>5.34</v>
      </c>
      <c r="M1690">
        <v>73</v>
      </c>
      <c r="N1690">
        <v>15.18</v>
      </c>
      <c r="O1690">
        <v>50</v>
      </c>
      <c r="P1690">
        <v>-47.13</v>
      </c>
      <c r="Q1690">
        <v>49</v>
      </c>
      <c r="R1690">
        <v>0.68</v>
      </c>
      <c r="S1690">
        <v>69</v>
      </c>
      <c r="T1690">
        <v>51.71</v>
      </c>
      <c r="U1690">
        <v>45</v>
      </c>
      <c r="V1690">
        <v>4.2300000000000004</v>
      </c>
      <c r="W1690">
        <v>69</v>
      </c>
      <c r="X1690" t="s">
        <v>94</v>
      </c>
      <c r="Y1690" t="s">
        <v>228</v>
      </c>
      <c r="Z1690">
        <v>0</v>
      </c>
      <c r="AA1690" t="s">
        <v>1837</v>
      </c>
      <c r="AB1690" t="s">
        <v>8260</v>
      </c>
      <c r="AC1690">
        <v>0</v>
      </c>
      <c r="AD1690">
        <v>0</v>
      </c>
      <c r="AE1690">
        <v>91</v>
      </c>
      <c r="AF1690">
        <v>-491.08</v>
      </c>
      <c r="AG1690">
        <v>14.09</v>
      </c>
      <c r="AH1690">
        <v>-1.75</v>
      </c>
      <c r="AI1690">
        <v>0.63</v>
      </c>
      <c r="AJ1690">
        <v>0.28000000000000003</v>
      </c>
      <c r="AK1690">
        <v>73</v>
      </c>
      <c r="AL1690">
        <v>0</v>
      </c>
      <c r="AM1690">
        <v>0</v>
      </c>
      <c r="AN1690">
        <v>0.82</v>
      </c>
      <c r="AO1690">
        <v>1.26</v>
      </c>
      <c r="AP1690">
        <v>2</v>
      </c>
      <c r="AQ1690">
        <v>0</v>
      </c>
      <c r="AR1690">
        <v>3.14</v>
      </c>
      <c r="AS1690">
        <v>56</v>
      </c>
      <c r="AT1690">
        <v>1.66</v>
      </c>
      <c r="AU1690">
        <v>59</v>
      </c>
      <c r="AV1690">
        <v>-0.65</v>
      </c>
      <c r="AW1690">
        <v>44</v>
      </c>
      <c r="AX1690">
        <v>0.61</v>
      </c>
      <c r="AY1690">
        <v>44</v>
      </c>
      <c r="AZ1690">
        <v>7.95</v>
      </c>
      <c r="BA1690">
        <v>51</v>
      </c>
      <c r="BB1690">
        <v>6.02</v>
      </c>
      <c r="BC1690">
        <v>51</v>
      </c>
      <c r="BD1690">
        <v>-7.0000000000000007E-2</v>
      </c>
      <c r="BE1690">
        <v>-0.01</v>
      </c>
      <c r="BF1690">
        <v>0.12</v>
      </c>
      <c r="BG1690">
        <v>74</v>
      </c>
      <c r="BH1690">
        <v>-7.0000000000000007E-2</v>
      </c>
      <c r="BI1690">
        <v>-21.75</v>
      </c>
      <c r="BJ1690">
        <v>0</v>
      </c>
      <c r="BK1690">
        <v>0</v>
      </c>
      <c r="BL1690">
        <v>-2.56</v>
      </c>
      <c r="BM1690">
        <v>-1.66</v>
      </c>
      <c r="BN1690">
        <v>-0.55000000000000004</v>
      </c>
      <c r="BO1690">
        <v>1.1100000000000001</v>
      </c>
      <c r="BP1690">
        <v>-0.57999999999999996</v>
      </c>
      <c r="BQ1690">
        <v>-5.58</v>
      </c>
      <c r="BR1690">
        <v>2.1800000000000002</v>
      </c>
      <c r="BS1690">
        <v>6.94</v>
      </c>
      <c r="BT1690">
        <v>-0.65</v>
      </c>
      <c r="BU1690">
        <v>-1.56</v>
      </c>
      <c r="BV1690">
        <v>-0.75</v>
      </c>
      <c r="BW1690">
        <v>-2.4300000000000002</v>
      </c>
      <c r="BX1690">
        <v>-4.04</v>
      </c>
      <c r="BY1690">
        <v>-0.47</v>
      </c>
      <c r="BZ1690">
        <v>-1.08</v>
      </c>
      <c r="CA1690">
        <v>0.92</v>
      </c>
      <c r="CB1690">
        <v>-0.93</v>
      </c>
      <c r="CC1690">
        <v>4.3099999999999996</v>
      </c>
      <c r="CD1690">
        <v>-1.87</v>
      </c>
      <c r="CE1690">
        <v>0.94</v>
      </c>
      <c r="CF1690">
        <v>-2.86</v>
      </c>
      <c r="CG1690">
        <v>0</v>
      </c>
      <c r="CH1690">
        <v>-1.1200000000000001</v>
      </c>
      <c r="CI1690">
        <v>0</v>
      </c>
      <c r="CJ1690">
        <v>-25.7</v>
      </c>
      <c r="CK1690">
        <v>50</v>
      </c>
      <c r="CL1690">
        <v>-1</v>
      </c>
      <c r="CM1690">
        <v>49</v>
      </c>
      <c r="CN1690">
        <v>-0.34</v>
      </c>
      <c r="CO1690">
        <v>48</v>
      </c>
      <c r="CP1690">
        <v>-35.5</v>
      </c>
      <c r="CQ1690">
        <v>47</v>
      </c>
      <c r="CR1690">
        <v>0</v>
      </c>
      <c r="CS1690">
        <v>0</v>
      </c>
      <c r="CT1690">
        <v>-56.1</v>
      </c>
      <c r="CU1690">
        <v>45</v>
      </c>
      <c r="CV1690">
        <v>-0.22</v>
      </c>
      <c r="CW1690">
        <v>35</v>
      </c>
      <c r="CX1690" t="s">
        <v>1525</v>
      </c>
    </row>
    <row r="1691" spans="1:102" x14ac:dyDescent="0.3">
      <c r="A1691" t="str">
        <f>HYPERLINK("https://webapp.icbf.com/v2/app/bull-search/view/437084343","PIL")</f>
        <v>PIL</v>
      </c>
      <c r="B1691" t="s">
        <v>10081</v>
      </c>
      <c r="C1691" t="s">
        <v>10082</v>
      </c>
      <c r="D1691" s="1">
        <v>36465</v>
      </c>
      <c r="E1691" t="s">
        <v>140</v>
      </c>
      <c r="F1691">
        <v>0</v>
      </c>
      <c r="G1691" t="s">
        <v>109</v>
      </c>
      <c r="H1691">
        <v>93.12</v>
      </c>
      <c r="I1691">
        <v>56</v>
      </c>
      <c r="J1691">
        <v>-8.89</v>
      </c>
      <c r="K1691">
        <v>70</v>
      </c>
      <c r="L1691">
        <v>74.69</v>
      </c>
      <c r="M1691">
        <v>40</v>
      </c>
      <c r="N1691">
        <v>-3.79</v>
      </c>
      <c r="O1691">
        <v>54</v>
      </c>
      <c r="P1691">
        <v>17.57</v>
      </c>
      <c r="Q1691">
        <v>77</v>
      </c>
      <c r="R1691">
        <v>4.99</v>
      </c>
      <c r="S1691">
        <v>46</v>
      </c>
      <c r="T1691">
        <v>17.97</v>
      </c>
      <c r="U1691">
        <v>61</v>
      </c>
      <c r="V1691">
        <v>-9.42</v>
      </c>
      <c r="W1691">
        <v>44</v>
      </c>
      <c r="X1691" t="s">
        <v>102</v>
      </c>
      <c r="Y1691" t="s">
        <v>95</v>
      </c>
      <c r="Z1691">
        <v>0</v>
      </c>
      <c r="AA1691" t="s">
        <v>4204</v>
      </c>
      <c r="AB1691" t="s">
        <v>10083</v>
      </c>
      <c r="AC1691">
        <v>0</v>
      </c>
      <c r="AD1691">
        <v>0</v>
      </c>
      <c r="AE1691">
        <v>70</v>
      </c>
      <c r="AF1691">
        <v>-111.7</v>
      </c>
      <c r="AG1691">
        <v>-5.8</v>
      </c>
      <c r="AH1691">
        <v>-1.17</v>
      </c>
      <c r="AI1691">
        <v>-0.02</v>
      </c>
      <c r="AJ1691">
        <v>0.04</v>
      </c>
      <c r="AK1691">
        <v>40</v>
      </c>
      <c r="AL1691">
        <v>16</v>
      </c>
      <c r="AM1691">
        <v>11</v>
      </c>
      <c r="AN1691">
        <v>-3.79</v>
      </c>
      <c r="AO1691">
        <v>2.17</v>
      </c>
      <c r="AP1691">
        <v>19</v>
      </c>
      <c r="AQ1691">
        <v>1</v>
      </c>
      <c r="AR1691">
        <v>6.09</v>
      </c>
      <c r="AS1691">
        <v>37</v>
      </c>
      <c r="AT1691">
        <v>3.54</v>
      </c>
      <c r="AU1691">
        <v>48</v>
      </c>
      <c r="AV1691">
        <v>1.78</v>
      </c>
      <c r="AW1691">
        <v>71</v>
      </c>
      <c r="AX1691">
        <v>-0.8</v>
      </c>
      <c r="AY1691">
        <v>52</v>
      </c>
      <c r="AZ1691">
        <v>4.3499999999999996</v>
      </c>
      <c r="BA1691">
        <v>26</v>
      </c>
      <c r="BB1691">
        <v>3.83</v>
      </c>
      <c r="BC1691">
        <v>34</v>
      </c>
      <c r="BD1691">
        <v>0.02</v>
      </c>
      <c r="BE1691">
        <v>-0.02</v>
      </c>
      <c r="BF1691">
        <v>-0.11</v>
      </c>
      <c r="BG1691">
        <v>55</v>
      </c>
      <c r="BH1691">
        <v>-0.28999999999999998</v>
      </c>
      <c r="BI1691">
        <v>-3.17</v>
      </c>
      <c r="BJ1691">
        <v>0</v>
      </c>
      <c r="BK1691">
        <v>0</v>
      </c>
      <c r="BL1691">
        <v>-0.77</v>
      </c>
      <c r="BM1691">
        <v>3.02</v>
      </c>
      <c r="BN1691">
        <v>-1.69</v>
      </c>
      <c r="BO1691">
        <v>-2.75</v>
      </c>
      <c r="BP1691">
        <v>4.25</v>
      </c>
      <c r="BQ1691">
        <v>-2.06</v>
      </c>
      <c r="BR1691">
        <v>-2.48</v>
      </c>
      <c r="BS1691">
        <v>-0.28000000000000003</v>
      </c>
      <c r="BT1691">
        <v>2.46</v>
      </c>
      <c r="BU1691">
        <v>-3.11</v>
      </c>
      <c r="BV1691">
        <v>-3.44</v>
      </c>
      <c r="BW1691">
        <v>-2.54</v>
      </c>
      <c r="BX1691">
        <v>-2.5099999999999998</v>
      </c>
      <c r="BY1691">
        <v>-2.1</v>
      </c>
      <c r="BZ1691">
        <v>0.88</v>
      </c>
      <c r="CA1691">
        <v>-2.13</v>
      </c>
      <c r="CB1691">
        <v>-2.79</v>
      </c>
      <c r="CC1691">
        <v>-0.27</v>
      </c>
      <c r="CD1691">
        <v>3.5</v>
      </c>
      <c r="CE1691">
        <v>-2.85</v>
      </c>
      <c r="CF1691">
        <v>-1.18</v>
      </c>
      <c r="CG1691">
        <v>0</v>
      </c>
      <c r="CH1691">
        <v>-2.31</v>
      </c>
      <c r="CI1691">
        <v>0</v>
      </c>
      <c r="CJ1691">
        <v>6.9</v>
      </c>
      <c r="CK1691">
        <v>80</v>
      </c>
      <c r="CL1691">
        <v>0.79</v>
      </c>
      <c r="CM1691">
        <v>77</v>
      </c>
      <c r="CN1691">
        <v>-0.05</v>
      </c>
      <c r="CO1691">
        <v>74</v>
      </c>
      <c r="CP1691">
        <v>-4.5999999999999996</v>
      </c>
      <c r="CQ1691">
        <v>67</v>
      </c>
      <c r="CR1691">
        <v>0</v>
      </c>
      <c r="CS1691">
        <v>0</v>
      </c>
      <c r="CT1691">
        <v>-10.5</v>
      </c>
      <c r="CU1691">
        <v>61</v>
      </c>
      <c r="CV1691">
        <v>-0.24</v>
      </c>
      <c r="CW1691">
        <v>22</v>
      </c>
      <c r="CX1691" t="s">
        <v>224</v>
      </c>
    </row>
    <row r="1692" spans="1:102" x14ac:dyDescent="0.3">
      <c r="A1692" t="str">
        <f>HYPERLINK("https://webapp.icbf.com/v2/app/bull-search/view/586060418","WDZ")</f>
        <v>WDZ</v>
      </c>
      <c r="B1692" t="s">
        <v>12894</v>
      </c>
      <c r="C1692" t="s">
        <v>12895</v>
      </c>
      <c r="D1692" s="1">
        <v>38245</v>
      </c>
      <c r="E1692" t="s">
        <v>92</v>
      </c>
      <c r="F1692">
        <v>100</v>
      </c>
      <c r="G1692" t="s">
        <v>93</v>
      </c>
      <c r="H1692">
        <v>92.98</v>
      </c>
      <c r="I1692">
        <v>90</v>
      </c>
      <c r="J1692">
        <v>23.74</v>
      </c>
      <c r="K1692">
        <v>97</v>
      </c>
      <c r="L1692">
        <v>34.61</v>
      </c>
      <c r="M1692">
        <v>89</v>
      </c>
      <c r="N1692">
        <v>19.27</v>
      </c>
      <c r="O1692">
        <v>86</v>
      </c>
      <c r="P1692">
        <v>-10.32</v>
      </c>
      <c r="Q1692">
        <v>89</v>
      </c>
      <c r="R1692">
        <v>15.21</v>
      </c>
      <c r="S1692">
        <v>83</v>
      </c>
      <c r="T1692">
        <v>1.91</v>
      </c>
      <c r="U1692">
        <v>76</v>
      </c>
      <c r="V1692">
        <v>8.56</v>
      </c>
      <c r="W1692">
        <v>75</v>
      </c>
      <c r="X1692" t="s">
        <v>251</v>
      </c>
      <c r="Y1692" t="s">
        <v>282</v>
      </c>
      <c r="Z1692" t="s">
        <v>96</v>
      </c>
      <c r="AA1692" t="s">
        <v>311</v>
      </c>
      <c r="AB1692" t="s">
        <v>5128</v>
      </c>
      <c r="AC1692">
        <v>79</v>
      </c>
      <c r="AD1692">
        <v>32</v>
      </c>
      <c r="AE1692">
        <v>97</v>
      </c>
      <c r="AF1692">
        <v>256.38</v>
      </c>
      <c r="AG1692">
        <v>2.5499999999999998</v>
      </c>
      <c r="AH1692">
        <v>7.06</v>
      </c>
      <c r="AI1692">
        <v>-0.12</v>
      </c>
      <c r="AJ1692">
        <v>-0.03</v>
      </c>
      <c r="AK1692">
        <v>89</v>
      </c>
      <c r="AL1692">
        <v>76</v>
      </c>
      <c r="AM1692">
        <v>30</v>
      </c>
      <c r="AN1692">
        <v>-1.89</v>
      </c>
      <c r="AO1692">
        <v>0.87</v>
      </c>
      <c r="AP1692">
        <v>125</v>
      </c>
      <c r="AQ1692">
        <v>0</v>
      </c>
      <c r="AR1692">
        <v>6.91</v>
      </c>
      <c r="AS1692">
        <v>77</v>
      </c>
      <c r="AT1692">
        <v>3.61</v>
      </c>
      <c r="AU1692">
        <v>92</v>
      </c>
      <c r="AV1692">
        <v>-3.12</v>
      </c>
      <c r="AW1692">
        <v>93</v>
      </c>
      <c r="AX1692">
        <v>0.52</v>
      </c>
      <c r="AY1692">
        <v>79</v>
      </c>
      <c r="AZ1692">
        <v>6.13</v>
      </c>
      <c r="BA1692">
        <v>71</v>
      </c>
      <c r="BB1692">
        <v>5.42</v>
      </c>
      <c r="BC1692">
        <v>70</v>
      </c>
      <c r="BD1692">
        <v>-7.0000000000000007E-2</v>
      </c>
      <c r="BE1692">
        <v>-7.0000000000000007E-2</v>
      </c>
      <c r="BF1692">
        <v>-0.1</v>
      </c>
      <c r="BG1692">
        <v>91</v>
      </c>
      <c r="BH1692">
        <v>0.08</v>
      </c>
      <c r="BI1692">
        <v>-18.36</v>
      </c>
      <c r="BJ1692">
        <v>22</v>
      </c>
      <c r="BK1692">
        <v>11</v>
      </c>
      <c r="BL1692">
        <v>1.47</v>
      </c>
      <c r="BM1692">
        <v>-2.25</v>
      </c>
      <c r="BN1692">
        <v>-0.97</v>
      </c>
      <c r="BO1692">
        <v>0.94</v>
      </c>
      <c r="BP1692">
        <v>1.06</v>
      </c>
      <c r="BQ1692">
        <v>1.46</v>
      </c>
      <c r="BR1692">
        <v>1.79</v>
      </c>
      <c r="BS1692">
        <v>-0.96</v>
      </c>
      <c r="BT1692">
        <v>-1.84</v>
      </c>
      <c r="BU1692">
        <v>1.84</v>
      </c>
      <c r="BV1692">
        <v>2.2599999999999998</v>
      </c>
      <c r="BW1692">
        <v>2.56</v>
      </c>
      <c r="BX1692">
        <v>2.2799999999999998</v>
      </c>
      <c r="BY1692">
        <v>-0.24</v>
      </c>
      <c r="BZ1692">
        <v>0.35</v>
      </c>
      <c r="CA1692">
        <v>1.19</v>
      </c>
      <c r="CB1692">
        <v>1.56</v>
      </c>
      <c r="CC1692">
        <v>-0.24</v>
      </c>
      <c r="CD1692">
        <v>-1.22</v>
      </c>
      <c r="CE1692">
        <v>0.56999999999999995</v>
      </c>
      <c r="CF1692">
        <v>0.6</v>
      </c>
      <c r="CG1692">
        <v>0</v>
      </c>
      <c r="CH1692">
        <v>0.06</v>
      </c>
      <c r="CI1692">
        <v>0</v>
      </c>
      <c r="CJ1692">
        <v>-3.4</v>
      </c>
      <c r="CK1692">
        <v>91</v>
      </c>
      <c r="CL1692">
        <v>-1.32</v>
      </c>
      <c r="CM1692">
        <v>89</v>
      </c>
      <c r="CN1692">
        <v>-0.69</v>
      </c>
      <c r="CO1692">
        <v>88</v>
      </c>
      <c r="CP1692">
        <v>-0.6</v>
      </c>
      <c r="CQ1692">
        <v>81</v>
      </c>
      <c r="CR1692">
        <v>0</v>
      </c>
      <c r="CS1692">
        <v>0</v>
      </c>
      <c r="CT1692">
        <v>11.2</v>
      </c>
      <c r="CU1692">
        <v>76</v>
      </c>
      <c r="CV1692">
        <v>0.28999999999999998</v>
      </c>
      <c r="CW1692">
        <v>44</v>
      </c>
      <c r="CX1692" t="s">
        <v>596</v>
      </c>
    </row>
    <row r="1693" spans="1:102" x14ac:dyDescent="0.3">
      <c r="A1693" t="str">
        <f>HYPERLINK("https://webapp.icbf.com/v2/app/bull-search/view/747622956","LRX")</f>
        <v>LRX</v>
      </c>
      <c r="B1693" t="s">
        <v>12853</v>
      </c>
      <c r="C1693" t="s">
        <v>12854</v>
      </c>
      <c r="D1693" s="1">
        <v>39440</v>
      </c>
      <c r="E1693" t="s">
        <v>108</v>
      </c>
      <c r="F1693">
        <v>0</v>
      </c>
      <c r="G1693" t="s">
        <v>93</v>
      </c>
      <c r="H1693">
        <v>92.86</v>
      </c>
      <c r="I1693">
        <v>85</v>
      </c>
      <c r="J1693">
        <v>-19.440000000000001</v>
      </c>
      <c r="K1693">
        <v>95</v>
      </c>
      <c r="L1693">
        <v>68.8</v>
      </c>
      <c r="M1693">
        <v>77</v>
      </c>
      <c r="N1693">
        <v>28.8</v>
      </c>
      <c r="O1693">
        <v>85</v>
      </c>
      <c r="P1693">
        <v>-9.82</v>
      </c>
      <c r="Q1693">
        <v>95</v>
      </c>
      <c r="R1693">
        <v>10.220000000000001</v>
      </c>
      <c r="S1693">
        <v>74</v>
      </c>
      <c r="T1693">
        <v>15.6</v>
      </c>
      <c r="U1693">
        <v>83</v>
      </c>
      <c r="V1693">
        <v>-1.3</v>
      </c>
      <c r="W1693">
        <v>72</v>
      </c>
      <c r="X1693" t="s">
        <v>276</v>
      </c>
      <c r="Y1693" t="s">
        <v>329</v>
      </c>
      <c r="Z1693" t="s">
        <v>96</v>
      </c>
      <c r="AA1693" t="s">
        <v>585</v>
      </c>
      <c r="AB1693" t="s">
        <v>12855</v>
      </c>
      <c r="AC1693">
        <v>63</v>
      </c>
      <c r="AD1693">
        <v>29</v>
      </c>
      <c r="AE1693">
        <v>95</v>
      </c>
      <c r="AF1693">
        <v>-273.58</v>
      </c>
      <c r="AG1693">
        <v>-6.51</v>
      </c>
      <c r="AH1693">
        <v>-5.19</v>
      </c>
      <c r="AI1693">
        <v>0.08</v>
      </c>
      <c r="AJ1693">
        <v>0.08</v>
      </c>
      <c r="AK1693">
        <v>77</v>
      </c>
      <c r="AL1693">
        <v>82</v>
      </c>
      <c r="AM1693">
        <v>44</v>
      </c>
      <c r="AN1693">
        <v>-4.3</v>
      </c>
      <c r="AO1693">
        <v>1.18</v>
      </c>
      <c r="AP1693">
        <v>145</v>
      </c>
      <c r="AQ1693">
        <v>2</v>
      </c>
      <c r="AR1693">
        <v>6.3</v>
      </c>
      <c r="AS1693">
        <v>69</v>
      </c>
      <c r="AT1693">
        <v>2.62</v>
      </c>
      <c r="AU1693">
        <v>85</v>
      </c>
      <c r="AV1693">
        <v>-2.78</v>
      </c>
      <c r="AW1693">
        <v>96</v>
      </c>
      <c r="AX1693">
        <v>-0.49</v>
      </c>
      <c r="AY1693">
        <v>85</v>
      </c>
      <c r="AZ1693">
        <v>6.97</v>
      </c>
      <c r="BA1693">
        <v>65</v>
      </c>
      <c r="BB1693">
        <v>5.21</v>
      </c>
      <c r="BC1693">
        <v>64</v>
      </c>
      <c r="BD1693">
        <v>-0.03</v>
      </c>
      <c r="BE1693">
        <v>-0.05</v>
      </c>
      <c r="BF1693">
        <v>-0.09</v>
      </c>
      <c r="BG1693">
        <v>84</v>
      </c>
      <c r="BH1693">
        <v>-0.25</v>
      </c>
      <c r="BI1693">
        <v>-24.72</v>
      </c>
      <c r="BJ1693">
        <v>10</v>
      </c>
      <c r="BK1693">
        <v>4</v>
      </c>
      <c r="BL1693">
        <v>-2.72</v>
      </c>
      <c r="BM1693">
        <v>1.83</v>
      </c>
      <c r="BN1693">
        <v>-1.78</v>
      </c>
      <c r="BO1693">
        <v>-2.42</v>
      </c>
      <c r="BP1693">
        <v>-1.31</v>
      </c>
      <c r="BQ1693">
        <v>1.79</v>
      </c>
      <c r="BR1693">
        <v>0.19</v>
      </c>
      <c r="BS1693">
        <v>0.4</v>
      </c>
      <c r="BT1693">
        <v>-0.54</v>
      </c>
      <c r="BU1693">
        <v>-0.71</v>
      </c>
      <c r="BV1693">
        <v>-1.97</v>
      </c>
      <c r="BW1693">
        <v>-0.97</v>
      </c>
      <c r="BX1693">
        <v>0</v>
      </c>
      <c r="BY1693">
        <v>0.32</v>
      </c>
      <c r="BZ1693">
        <v>-2.2599999999999998</v>
      </c>
      <c r="CA1693">
        <v>-1.1000000000000001</v>
      </c>
      <c r="CB1693">
        <v>-1.07</v>
      </c>
      <c r="CC1693">
        <v>-0.34</v>
      </c>
      <c r="CD1693">
        <v>2.77</v>
      </c>
      <c r="CE1693">
        <v>-2.71</v>
      </c>
      <c r="CF1693">
        <v>-1.81</v>
      </c>
      <c r="CG1693">
        <v>0</v>
      </c>
      <c r="CH1693">
        <v>-0.06</v>
      </c>
      <c r="CI1693">
        <v>0</v>
      </c>
      <c r="CJ1693">
        <v>-5.3</v>
      </c>
      <c r="CK1693">
        <v>96</v>
      </c>
      <c r="CL1693">
        <v>-0.17</v>
      </c>
      <c r="CM1693">
        <v>95</v>
      </c>
      <c r="CN1693">
        <v>-0.01</v>
      </c>
      <c r="CO1693">
        <v>94</v>
      </c>
      <c r="CP1693">
        <v>-5.8</v>
      </c>
      <c r="CQ1693">
        <v>84</v>
      </c>
      <c r="CR1693">
        <v>0</v>
      </c>
      <c r="CS1693">
        <v>0</v>
      </c>
      <c r="CT1693">
        <v>-7.3</v>
      </c>
      <c r="CU1693">
        <v>83</v>
      </c>
      <c r="CV1693">
        <v>-0.02</v>
      </c>
      <c r="CW1693">
        <v>45</v>
      </c>
      <c r="CX1693" t="s">
        <v>12856</v>
      </c>
    </row>
    <row r="1694" spans="1:102" x14ac:dyDescent="0.3">
      <c r="A1694" t="str">
        <f>HYPERLINK("https://webapp.icbf.com/v2/app/bull-search/view/910816584","S1180")</f>
        <v>S1180</v>
      </c>
      <c r="B1694" t="s">
        <v>5437</v>
      </c>
      <c r="C1694" t="s">
        <v>5438</v>
      </c>
      <c r="D1694" s="1">
        <v>39949</v>
      </c>
      <c r="E1694" t="s">
        <v>92</v>
      </c>
      <c r="F1694">
        <v>100</v>
      </c>
      <c r="G1694" t="s">
        <v>109</v>
      </c>
      <c r="H1694">
        <v>92.82</v>
      </c>
      <c r="I1694">
        <v>70</v>
      </c>
      <c r="J1694">
        <v>52.19</v>
      </c>
      <c r="K1694">
        <v>80</v>
      </c>
      <c r="L1694">
        <v>-7.79</v>
      </c>
      <c r="M1694">
        <v>80</v>
      </c>
      <c r="N1694">
        <v>44.4</v>
      </c>
      <c r="O1694">
        <v>65</v>
      </c>
      <c r="P1694">
        <v>-12.89</v>
      </c>
      <c r="Q1694">
        <v>53</v>
      </c>
      <c r="R1694">
        <v>14.76</v>
      </c>
      <c r="S1694">
        <v>62</v>
      </c>
      <c r="T1694">
        <v>1.62</v>
      </c>
      <c r="U1694">
        <v>36</v>
      </c>
      <c r="V1694">
        <v>0.53</v>
      </c>
      <c r="W1694">
        <v>24</v>
      </c>
      <c r="X1694" t="s">
        <v>288</v>
      </c>
      <c r="Y1694" t="s">
        <v>336</v>
      </c>
      <c r="Z1694" t="s">
        <v>96</v>
      </c>
      <c r="AA1694" t="s">
        <v>1962</v>
      </c>
      <c r="AB1694" t="s">
        <v>5439</v>
      </c>
      <c r="AC1694">
        <v>0</v>
      </c>
      <c r="AD1694">
        <v>0</v>
      </c>
      <c r="AE1694">
        <v>80</v>
      </c>
      <c r="AF1694">
        <v>380.67</v>
      </c>
      <c r="AG1694">
        <v>9.59</v>
      </c>
      <c r="AH1694">
        <v>11.31</v>
      </c>
      <c r="AI1694">
        <v>-0.08</v>
      </c>
      <c r="AJ1694">
        <v>-0.03</v>
      </c>
      <c r="AK1694">
        <v>80</v>
      </c>
      <c r="AL1694">
        <v>0</v>
      </c>
      <c r="AM1694">
        <v>0</v>
      </c>
      <c r="AN1694">
        <v>1.31</v>
      </c>
      <c r="AO1694">
        <v>0.7</v>
      </c>
      <c r="AP1694">
        <v>21</v>
      </c>
      <c r="AQ1694">
        <v>0</v>
      </c>
      <c r="AR1694">
        <v>5.45</v>
      </c>
      <c r="AS1694">
        <v>55</v>
      </c>
      <c r="AT1694">
        <v>2.5</v>
      </c>
      <c r="AU1694">
        <v>86</v>
      </c>
      <c r="AV1694">
        <v>-3.78</v>
      </c>
      <c r="AW1694">
        <v>73</v>
      </c>
      <c r="AX1694">
        <v>-0.26</v>
      </c>
      <c r="AY1694">
        <v>41</v>
      </c>
      <c r="AZ1694">
        <v>5.99</v>
      </c>
      <c r="BA1694">
        <v>36</v>
      </c>
      <c r="BB1694">
        <v>4.37</v>
      </c>
      <c r="BC1694">
        <v>33</v>
      </c>
      <c r="BD1694">
        <v>-0.02</v>
      </c>
      <c r="BE1694">
        <v>-0.04</v>
      </c>
      <c r="BF1694">
        <v>-0.23</v>
      </c>
      <c r="BG1694">
        <v>89</v>
      </c>
      <c r="BH1694">
        <v>-0.12</v>
      </c>
      <c r="BI1694">
        <v>-15.6</v>
      </c>
      <c r="BJ1694">
        <v>6</v>
      </c>
      <c r="BK1694">
        <v>1</v>
      </c>
      <c r="BL1694">
        <v>7.0000000000000007E-2</v>
      </c>
      <c r="BM1694">
        <v>-0.23</v>
      </c>
      <c r="BN1694">
        <v>-0.57999999999999996</v>
      </c>
      <c r="BO1694">
        <v>0.15</v>
      </c>
      <c r="BP1694">
        <v>-0.02</v>
      </c>
      <c r="BQ1694">
        <v>0.11</v>
      </c>
      <c r="BR1694">
        <v>1.08</v>
      </c>
      <c r="BS1694">
        <v>0.03</v>
      </c>
      <c r="BT1694">
        <v>-0.65</v>
      </c>
      <c r="BU1694">
        <v>1.19</v>
      </c>
      <c r="BV1694">
        <v>1.82</v>
      </c>
      <c r="BW1694">
        <v>2.23</v>
      </c>
      <c r="BX1694">
        <v>0.76</v>
      </c>
      <c r="BY1694">
        <v>0.98</v>
      </c>
      <c r="BZ1694">
        <v>0.65</v>
      </c>
      <c r="CA1694">
        <v>1.41</v>
      </c>
      <c r="CB1694">
        <v>1.68</v>
      </c>
      <c r="CC1694">
        <v>0.13</v>
      </c>
      <c r="CD1694">
        <v>-0.08</v>
      </c>
      <c r="CE1694">
        <v>0.75</v>
      </c>
      <c r="CF1694">
        <v>0.23</v>
      </c>
      <c r="CG1694">
        <v>0</v>
      </c>
      <c r="CH1694">
        <v>1.8</v>
      </c>
      <c r="CI1694">
        <v>0</v>
      </c>
      <c r="CJ1694">
        <v>-5.2</v>
      </c>
      <c r="CK1694">
        <v>56</v>
      </c>
      <c r="CL1694">
        <v>-1.01</v>
      </c>
      <c r="CM1694">
        <v>51</v>
      </c>
      <c r="CN1694">
        <v>-0.42</v>
      </c>
      <c r="CO1694">
        <v>48</v>
      </c>
      <c r="CP1694">
        <v>-1.4</v>
      </c>
      <c r="CQ1694">
        <v>49</v>
      </c>
      <c r="CR1694">
        <v>0</v>
      </c>
      <c r="CS1694">
        <v>0</v>
      </c>
      <c r="CT1694">
        <v>11.6</v>
      </c>
      <c r="CU1694">
        <v>36</v>
      </c>
      <c r="CV1694">
        <v>0.2</v>
      </c>
      <c r="CW1694">
        <v>15</v>
      </c>
      <c r="CX1694" t="s">
        <v>277</v>
      </c>
    </row>
    <row r="1695" spans="1:102" x14ac:dyDescent="0.3">
      <c r="A1695" t="str">
        <f>HYPERLINK("https://webapp.icbf.com/v2/app/bull-search/view/1034602883","SNW")</f>
        <v>SNW</v>
      </c>
      <c r="B1695" t="s">
        <v>9304</v>
      </c>
      <c r="C1695" t="s">
        <v>9305</v>
      </c>
      <c r="D1695" s="1">
        <v>40360</v>
      </c>
      <c r="E1695" t="s">
        <v>108</v>
      </c>
      <c r="F1695">
        <v>0</v>
      </c>
      <c r="G1695" t="s">
        <v>93</v>
      </c>
      <c r="H1695">
        <v>92.78</v>
      </c>
      <c r="I1695">
        <v>83</v>
      </c>
      <c r="J1695">
        <v>-37.43</v>
      </c>
      <c r="K1695">
        <v>95</v>
      </c>
      <c r="L1695">
        <v>100.42</v>
      </c>
      <c r="M1695">
        <v>77</v>
      </c>
      <c r="N1695">
        <v>5.72</v>
      </c>
      <c r="O1695">
        <v>80</v>
      </c>
      <c r="P1695">
        <v>-6.63</v>
      </c>
      <c r="Q1695">
        <v>91</v>
      </c>
      <c r="R1695">
        <v>21.89</v>
      </c>
      <c r="S1695">
        <v>71</v>
      </c>
      <c r="T1695">
        <v>10.42</v>
      </c>
      <c r="U1695">
        <v>68</v>
      </c>
      <c r="V1695">
        <v>-1.61</v>
      </c>
      <c r="W1695">
        <v>67</v>
      </c>
      <c r="X1695" t="s">
        <v>251</v>
      </c>
      <c r="Y1695" t="s">
        <v>375</v>
      </c>
      <c r="Z1695" t="s">
        <v>96</v>
      </c>
      <c r="AA1695" t="s">
        <v>1909</v>
      </c>
      <c r="AB1695" t="s">
        <v>9306</v>
      </c>
      <c r="AC1695">
        <v>59</v>
      </c>
      <c r="AD1695">
        <v>18</v>
      </c>
      <c r="AE1695">
        <v>95</v>
      </c>
      <c r="AF1695">
        <v>-131.66999999999999</v>
      </c>
      <c r="AG1695">
        <v>-3.03</v>
      </c>
      <c r="AH1695">
        <v>-7.31</v>
      </c>
      <c r="AI1695">
        <v>0.04</v>
      </c>
      <c r="AJ1695">
        <v>-0.05</v>
      </c>
      <c r="AK1695">
        <v>77</v>
      </c>
      <c r="AL1695">
        <v>67</v>
      </c>
      <c r="AM1695">
        <v>23</v>
      </c>
      <c r="AN1695">
        <v>-6.12</v>
      </c>
      <c r="AO1695">
        <v>1.88</v>
      </c>
      <c r="AP1695">
        <v>117</v>
      </c>
      <c r="AQ1695">
        <v>8</v>
      </c>
      <c r="AR1695">
        <v>7.65</v>
      </c>
      <c r="AS1695">
        <v>70</v>
      </c>
      <c r="AT1695">
        <v>3.16</v>
      </c>
      <c r="AU1695">
        <v>83</v>
      </c>
      <c r="AV1695">
        <v>-0.53</v>
      </c>
      <c r="AW1695">
        <v>92</v>
      </c>
      <c r="AX1695">
        <v>0.26</v>
      </c>
      <c r="AY1695">
        <v>78</v>
      </c>
      <c r="AZ1695">
        <v>5.68</v>
      </c>
      <c r="BA1695">
        <v>61</v>
      </c>
      <c r="BB1695">
        <v>4.6900000000000004</v>
      </c>
      <c r="BC1695">
        <v>51</v>
      </c>
      <c r="BD1695">
        <v>-0.05</v>
      </c>
      <c r="BE1695">
        <v>-0.1</v>
      </c>
      <c r="BF1695">
        <v>-0.23</v>
      </c>
      <c r="BG1695">
        <v>79</v>
      </c>
      <c r="BH1695">
        <v>-0.09</v>
      </c>
      <c r="BI1695">
        <v>-5.22</v>
      </c>
      <c r="BJ1695">
        <v>1</v>
      </c>
      <c r="BK1695">
        <v>1</v>
      </c>
      <c r="BL1695">
        <v>-3.58</v>
      </c>
      <c r="BM1695">
        <v>1.9</v>
      </c>
      <c r="BN1695">
        <v>-2.46</v>
      </c>
      <c r="BO1695">
        <v>-3.11</v>
      </c>
      <c r="BP1695">
        <v>-0.83</v>
      </c>
      <c r="BQ1695">
        <v>0.21</v>
      </c>
      <c r="BR1695">
        <v>-2.16</v>
      </c>
      <c r="BS1695">
        <v>1.39</v>
      </c>
      <c r="BT1695">
        <v>1.3</v>
      </c>
      <c r="BU1695">
        <v>-0.55000000000000004</v>
      </c>
      <c r="BV1695">
        <v>-2.17</v>
      </c>
      <c r="BW1695">
        <v>-1.82</v>
      </c>
      <c r="BX1695">
        <v>-0.51</v>
      </c>
      <c r="BY1695">
        <v>-0.81</v>
      </c>
      <c r="BZ1695">
        <v>-2.62</v>
      </c>
      <c r="CA1695">
        <v>-1.1599999999999999</v>
      </c>
      <c r="CB1695">
        <v>-1.17</v>
      </c>
      <c r="CC1695">
        <v>-0.28000000000000003</v>
      </c>
      <c r="CD1695">
        <v>2.87</v>
      </c>
      <c r="CE1695">
        <v>-2.5499999999999998</v>
      </c>
      <c r="CF1695">
        <v>-1.85</v>
      </c>
      <c r="CG1695">
        <v>0</v>
      </c>
      <c r="CH1695">
        <v>0.21</v>
      </c>
      <c r="CI1695">
        <v>0</v>
      </c>
      <c r="CJ1695">
        <v>-2.9</v>
      </c>
      <c r="CK1695">
        <v>93</v>
      </c>
      <c r="CL1695">
        <v>-0.36</v>
      </c>
      <c r="CM1695">
        <v>91</v>
      </c>
      <c r="CN1695">
        <v>-0.09</v>
      </c>
      <c r="CO1695">
        <v>90</v>
      </c>
      <c r="CP1695">
        <v>0.2</v>
      </c>
      <c r="CQ1695">
        <v>74</v>
      </c>
      <c r="CR1695">
        <v>0</v>
      </c>
      <c r="CS1695">
        <v>0</v>
      </c>
      <c r="CT1695">
        <v>-0.3</v>
      </c>
      <c r="CU1695">
        <v>68</v>
      </c>
      <c r="CV1695">
        <v>0.13</v>
      </c>
      <c r="CW1695">
        <v>44</v>
      </c>
      <c r="CX1695" t="s">
        <v>1018</v>
      </c>
    </row>
    <row r="1696" spans="1:102" x14ac:dyDescent="0.3">
      <c r="A1696" t="str">
        <f>HYPERLINK("https://webapp.icbf.com/v2/app/bull-search/view/666498294","BZM")</f>
        <v>BZM</v>
      </c>
      <c r="B1696" t="s">
        <v>12826</v>
      </c>
      <c r="C1696" t="s">
        <v>12827</v>
      </c>
      <c r="D1696" s="1">
        <v>39845</v>
      </c>
      <c r="E1696" t="s">
        <v>92</v>
      </c>
      <c r="F1696">
        <v>94</v>
      </c>
      <c r="G1696" t="s">
        <v>435</v>
      </c>
      <c r="H1696">
        <v>92.77</v>
      </c>
      <c r="I1696">
        <v>72</v>
      </c>
      <c r="J1696">
        <v>33.479999999999997</v>
      </c>
      <c r="K1696">
        <v>90</v>
      </c>
      <c r="L1696">
        <v>22.38</v>
      </c>
      <c r="M1696">
        <v>68</v>
      </c>
      <c r="N1696">
        <v>34.83</v>
      </c>
      <c r="O1696">
        <v>58</v>
      </c>
      <c r="P1696">
        <v>-5</v>
      </c>
      <c r="Q1696">
        <v>63</v>
      </c>
      <c r="R1696">
        <v>13.95</v>
      </c>
      <c r="S1696">
        <v>68</v>
      </c>
      <c r="T1696">
        <v>-4.01</v>
      </c>
      <c r="U1696">
        <v>51</v>
      </c>
      <c r="V1696">
        <v>-2.86</v>
      </c>
      <c r="W1696">
        <v>63</v>
      </c>
      <c r="X1696" t="s">
        <v>94</v>
      </c>
      <c r="Y1696" t="s">
        <v>1727</v>
      </c>
      <c r="Z1696" t="s">
        <v>528</v>
      </c>
      <c r="AA1696" t="s">
        <v>12828</v>
      </c>
      <c r="AB1696" t="s">
        <v>12829</v>
      </c>
      <c r="AC1696">
        <v>4</v>
      </c>
      <c r="AD1696">
        <v>2</v>
      </c>
      <c r="AE1696">
        <v>90</v>
      </c>
      <c r="AF1696">
        <v>83.65</v>
      </c>
      <c r="AG1696">
        <v>12.11</v>
      </c>
      <c r="AH1696">
        <v>2.69</v>
      </c>
      <c r="AI1696">
        <v>0.15</v>
      </c>
      <c r="AJ1696">
        <v>0</v>
      </c>
      <c r="AK1696">
        <v>68</v>
      </c>
      <c r="AL1696">
        <v>4</v>
      </c>
      <c r="AM1696">
        <v>2</v>
      </c>
      <c r="AN1696">
        <v>-1.62</v>
      </c>
      <c r="AO1696">
        <v>0.16</v>
      </c>
      <c r="AP1696">
        <v>0</v>
      </c>
      <c r="AQ1696">
        <v>1</v>
      </c>
      <c r="AR1696">
        <v>5.8</v>
      </c>
      <c r="AS1696">
        <v>56</v>
      </c>
      <c r="AT1696">
        <v>2.04</v>
      </c>
      <c r="AU1696">
        <v>64</v>
      </c>
      <c r="AV1696">
        <v>-2.89</v>
      </c>
      <c r="AW1696">
        <v>62</v>
      </c>
      <c r="AX1696">
        <v>-0.05</v>
      </c>
      <c r="AY1696">
        <v>49</v>
      </c>
      <c r="AZ1696">
        <v>6.24</v>
      </c>
      <c r="BA1696">
        <v>44</v>
      </c>
      <c r="BB1696">
        <v>5.23</v>
      </c>
      <c r="BC1696">
        <v>46</v>
      </c>
      <c r="BD1696">
        <v>-0.04</v>
      </c>
      <c r="BE1696">
        <v>-0.06</v>
      </c>
      <c r="BF1696">
        <v>-0.14000000000000001</v>
      </c>
      <c r="BG1696">
        <v>77</v>
      </c>
      <c r="BH1696">
        <v>-0.02</v>
      </c>
      <c r="BI1696">
        <v>6.9</v>
      </c>
      <c r="BJ1696">
        <v>0</v>
      </c>
      <c r="BK1696">
        <v>0</v>
      </c>
      <c r="BL1696">
        <v>0.84</v>
      </c>
      <c r="BM1696">
        <v>1.04</v>
      </c>
      <c r="BN1696">
        <v>1.1000000000000001</v>
      </c>
      <c r="BO1696">
        <v>0.62</v>
      </c>
      <c r="BP1696">
        <v>2.31</v>
      </c>
      <c r="BQ1696">
        <v>1.08</v>
      </c>
      <c r="BR1696">
        <v>-0.05</v>
      </c>
      <c r="BS1696">
        <v>-0.45</v>
      </c>
      <c r="BT1696">
        <v>0.57999999999999996</v>
      </c>
      <c r="BU1696">
        <v>0.74</v>
      </c>
      <c r="BV1696">
        <v>-0.1</v>
      </c>
      <c r="BW1696">
        <v>0.24</v>
      </c>
      <c r="BX1696">
        <v>0.87</v>
      </c>
      <c r="BY1696">
        <v>1.34</v>
      </c>
      <c r="BZ1696">
        <v>-0.94</v>
      </c>
      <c r="CA1696">
        <v>0.44</v>
      </c>
      <c r="CB1696">
        <v>0.82</v>
      </c>
      <c r="CC1696">
        <v>-0.54</v>
      </c>
      <c r="CD1696">
        <v>0.45</v>
      </c>
      <c r="CE1696">
        <v>0.19</v>
      </c>
      <c r="CF1696">
        <v>1.44</v>
      </c>
      <c r="CG1696">
        <v>0</v>
      </c>
      <c r="CH1696">
        <v>1.39</v>
      </c>
      <c r="CI1696">
        <v>0</v>
      </c>
      <c r="CJ1696">
        <v>0.5</v>
      </c>
      <c r="CK1696">
        <v>65</v>
      </c>
      <c r="CL1696">
        <v>-1.01</v>
      </c>
      <c r="CM1696">
        <v>61</v>
      </c>
      <c r="CN1696">
        <v>-0.32</v>
      </c>
      <c r="CO1696">
        <v>60</v>
      </c>
      <c r="CP1696">
        <v>6.6</v>
      </c>
      <c r="CQ1696">
        <v>55</v>
      </c>
      <c r="CR1696">
        <v>0</v>
      </c>
      <c r="CS1696">
        <v>0</v>
      </c>
      <c r="CT1696">
        <v>19.2</v>
      </c>
      <c r="CU1696">
        <v>51</v>
      </c>
      <c r="CV1696">
        <v>0.22</v>
      </c>
      <c r="CW1696">
        <v>39</v>
      </c>
      <c r="CX1696" t="s">
        <v>316</v>
      </c>
    </row>
    <row r="1697" spans="1:102" x14ac:dyDescent="0.3">
      <c r="A1697" t="str">
        <f>HYPERLINK("https://webapp.icbf.com/v2/app/bull-search/view/77859685","BIA")</f>
        <v>BIA</v>
      </c>
      <c r="B1697" t="s">
        <v>10940</v>
      </c>
      <c r="C1697" t="s">
        <v>10941</v>
      </c>
      <c r="D1697" s="1">
        <v>32451</v>
      </c>
      <c r="E1697" t="s">
        <v>92</v>
      </c>
      <c r="F1697">
        <v>50</v>
      </c>
      <c r="G1697" t="s">
        <v>93</v>
      </c>
      <c r="H1697">
        <v>92.7</v>
      </c>
      <c r="I1697">
        <v>62</v>
      </c>
      <c r="J1697">
        <v>7.97</v>
      </c>
      <c r="K1697">
        <v>73</v>
      </c>
      <c r="L1697">
        <v>88.23</v>
      </c>
      <c r="M1697">
        <v>63</v>
      </c>
      <c r="N1697">
        <v>-14.26</v>
      </c>
      <c r="O1697">
        <v>43</v>
      </c>
      <c r="P1697">
        <v>-8.06</v>
      </c>
      <c r="Q1697">
        <v>64</v>
      </c>
      <c r="R1697">
        <v>-5.05</v>
      </c>
      <c r="S1697">
        <v>63</v>
      </c>
      <c r="T1697">
        <v>19.89</v>
      </c>
      <c r="U1697">
        <v>46</v>
      </c>
      <c r="V1697">
        <v>3.98</v>
      </c>
      <c r="W1697">
        <v>28</v>
      </c>
      <c r="X1697" t="s">
        <v>102</v>
      </c>
      <c r="Y1697" t="s">
        <v>95</v>
      </c>
      <c r="Z1697" t="s">
        <v>96</v>
      </c>
      <c r="AA1697" t="s">
        <v>982</v>
      </c>
      <c r="AB1697" t="s">
        <v>10942</v>
      </c>
      <c r="AC1697">
        <v>16</v>
      </c>
      <c r="AD1697">
        <v>15</v>
      </c>
      <c r="AE1697">
        <v>73</v>
      </c>
      <c r="AF1697">
        <v>-300.73</v>
      </c>
      <c r="AG1697">
        <v>5.04</v>
      </c>
      <c r="AH1697">
        <v>-5.03</v>
      </c>
      <c r="AI1697">
        <v>0.28999999999999998</v>
      </c>
      <c r="AJ1697">
        <v>0.09</v>
      </c>
      <c r="AK1697">
        <v>63</v>
      </c>
      <c r="AL1697">
        <v>102</v>
      </c>
      <c r="AM1697">
        <v>68</v>
      </c>
      <c r="AN1697">
        <v>-6.06</v>
      </c>
      <c r="AO1697">
        <v>0.96</v>
      </c>
      <c r="AP1697">
        <v>3</v>
      </c>
      <c r="AQ1697">
        <v>0</v>
      </c>
      <c r="AR1697">
        <v>10.33</v>
      </c>
      <c r="AS1697">
        <v>24</v>
      </c>
      <c r="AT1697">
        <v>4.08</v>
      </c>
      <c r="AU1697">
        <v>38</v>
      </c>
      <c r="AV1697">
        <v>-0.22</v>
      </c>
      <c r="AW1697">
        <v>50</v>
      </c>
      <c r="AX1697">
        <v>-0.11</v>
      </c>
      <c r="AY1697">
        <v>55</v>
      </c>
      <c r="AZ1697">
        <v>6.1</v>
      </c>
      <c r="BA1697">
        <v>26</v>
      </c>
      <c r="BB1697">
        <v>4.83</v>
      </c>
      <c r="BC1697">
        <v>36</v>
      </c>
      <c r="BD1697">
        <v>0</v>
      </c>
      <c r="BE1697">
        <v>0.04</v>
      </c>
      <c r="BF1697">
        <v>0.04</v>
      </c>
      <c r="BG1697">
        <v>85</v>
      </c>
      <c r="BH1697">
        <v>0.11</v>
      </c>
      <c r="BI1697">
        <v>-0.12</v>
      </c>
      <c r="BJ1697">
        <v>10</v>
      </c>
      <c r="BK1697">
        <v>9</v>
      </c>
      <c r="BL1697">
        <v>-0.93</v>
      </c>
      <c r="BM1697">
        <v>0.39</v>
      </c>
      <c r="BN1697">
        <v>-1.97</v>
      </c>
      <c r="BO1697">
        <v>-1.41</v>
      </c>
      <c r="BP1697">
        <v>0.68</v>
      </c>
      <c r="BQ1697">
        <v>-0.2</v>
      </c>
      <c r="BR1697">
        <v>-0.38</v>
      </c>
      <c r="BS1697">
        <v>-0.1</v>
      </c>
      <c r="BT1697">
        <v>0.05</v>
      </c>
      <c r="BU1697">
        <v>-1.21</v>
      </c>
      <c r="BV1697">
        <v>-1.01</v>
      </c>
      <c r="BW1697">
        <v>-1.69</v>
      </c>
      <c r="BX1697">
        <v>0.63</v>
      </c>
      <c r="BY1697">
        <v>-0.84</v>
      </c>
      <c r="BZ1697">
        <v>-1.04</v>
      </c>
      <c r="CA1697">
        <v>-1.47</v>
      </c>
      <c r="CB1697">
        <v>-1.22</v>
      </c>
      <c r="CC1697">
        <v>-1.57</v>
      </c>
      <c r="CD1697">
        <v>0.91</v>
      </c>
      <c r="CE1697">
        <v>-1.57</v>
      </c>
      <c r="CF1697">
        <v>-0.84</v>
      </c>
      <c r="CG1697">
        <v>0</v>
      </c>
      <c r="CH1697">
        <v>-0.97</v>
      </c>
      <c r="CI1697">
        <v>0</v>
      </c>
      <c r="CJ1697">
        <v>-3</v>
      </c>
      <c r="CK1697">
        <v>66</v>
      </c>
      <c r="CL1697">
        <v>-0.13</v>
      </c>
      <c r="CM1697">
        <v>62</v>
      </c>
      <c r="CN1697">
        <v>0.1</v>
      </c>
      <c r="CO1697">
        <v>59</v>
      </c>
      <c r="CP1697">
        <v>-9.4</v>
      </c>
      <c r="CQ1697">
        <v>62</v>
      </c>
      <c r="CR1697">
        <v>0</v>
      </c>
      <c r="CS1697">
        <v>0</v>
      </c>
      <c r="CT1697">
        <v>-13.1</v>
      </c>
      <c r="CU1697">
        <v>46</v>
      </c>
      <c r="CV1697">
        <v>0</v>
      </c>
      <c r="CW1697">
        <v>18</v>
      </c>
      <c r="CX1697" t="s">
        <v>10943</v>
      </c>
    </row>
    <row r="1698" spans="1:102" x14ac:dyDescent="0.3">
      <c r="A1698" t="str">
        <f>HYPERLINK("https://webapp.icbf.com/v2/app/bull-search/view/1028754531","S1487")</f>
        <v>S1487</v>
      </c>
      <c r="B1698" t="s">
        <v>13407</v>
      </c>
      <c r="C1698" t="s">
        <v>13408</v>
      </c>
      <c r="D1698" s="1">
        <v>40485</v>
      </c>
      <c r="E1698" t="s">
        <v>92</v>
      </c>
      <c r="F1698">
        <v>100</v>
      </c>
      <c r="G1698" t="s">
        <v>109</v>
      </c>
      <c r="H1698">
        <v>92.69</v>
      </c>
      <c r="I1698">
        <v>68</v>
      </c>
      <c r="J1698">
        <v>44.39</v>
      </c>
      <c r="K1698">
        <v>82</v>
      </c>
      <c r="L1698">
        <v>13.4</v>
      </c>
      <c r="M1698">
        <v>78</v>
      </c>
      <c r="N1698">
        <v>28.16</v>
      </c>
      <c r="O1698">
        <v>45</v>
      </c>
      <c r="P1698">
        <v>3.48</v>
      </c>
      <c r="Q1698">
        <v>55</v>
      </c>
      <c r="R1698">
        <v>4.3499999999999996</v>
      </c>
      <c r="S1698">
        <v>59</v>
      </c>
      <c r="T1698">
        <v>-4.08</v>
      </c>
      <c r="U1698">
        <v>35</v>
      </c>
      <c r="V1698">
        <v>2.99</v>
      </c>
      <c r="W1698">
        <v>33</v>
      </c>
      <c r="X1698" t="s">
        <v>251</v>
      </c>
      <c r="Y1698" t="s">
        <v>362</v>
      </c>
      <c r="Z1698" t="s">
        <v>96</v>
      </c>
      <c r="AA1698" t="s">
        <v>1848</v>
      </c>
      <c r="AB1698" t="s">
        <v>13409</v>
      </c>
      <c r="AC1698">
        <v>0</v>
      </c>
      <c r="AD1698">
        <v>0</v>
      </c>
      <c r="AE1698">
        <v>82</v>
      </c>
      <c r="AF1698">
        <v>647.14</v>
      </c>
      <c r="AG1698">
        <v>6.23</v>
      </c>
      <c r="AH1698">
        <v>15.25</v>
      </c>
      <c r="AI1698">
        <v>-0.28000000000000003</v>
      </c>
      <c r="AJ1698">
        <v>-0.1</v>
      </c>
      <c r="AK1698">
        <v>78</v>
      </c>
      <c r="AL1698">
        <v>0</v>
      </c>
      <c r="AM1698">
        <v>0</v>
      </c>
      <c r="AN1698">
        <v>0.92</v>
      </c>
      <c r="AO1698">
        <v>2.0099999999999998</v>
      </c>
      <c r="AP1698">
        <v>16</v>
      </c>
      <c r="AQ1698">
        <v>0</v>
      </c>
      <c r="AR1698">
        <v>6.6</v>
      </c>
      <c r="AS1698">
        <v>26</v>
      </c>
      <c r="AT1698">
        <v>3.19</v>
      </c>
      <c r="AU1698">
        <v>87</v>
      </c>
      <c r="AV1698">
        <v>-2.74</v>
      </c>
      <c r="AW1698">
        <v>32</v>
      </c>
      <c r="AX1698">
        <v>-0.36</v>
      </c>
      <c r="AY1698">
        <v>42</v>
      </c>
      <c r="AZ1698">
        <v>5.78</v>
      </c>
      <c r="BA1698">
        <v>24</v>
      </c>
      <c r="BB1698">
        <v>4.4800000000000004</v>
      </c>
      <c r="BC1698">
        <v>23</v>
      </c>
      <c r="BD1698">
        <v>0</v>
      </c>
      <c r="BE1698">
        <v>0</v>
      </c>
      <c r="BF1698">
        <v>-0.1</v>
      </c>
      <c r="BG1698">
        <v>88</v>
      </c>
      <c r="BH1698">
        <v>0</v>
      </c>
      <c r="BI1698">
        <v>-9.65</v>
      </c>
      <c r="BJ1698">
        <v>2</v>
      </c>
      <c r="BK1698">
        <v>2</v>
      </c>
      <c r="BL1698">
        <v>0.7</v>
      </c>
      <c r="BM1698">
        <v>-0.78</v>
      </c>
      <c r="BN1698">
        <v>-0.1</v>
      </c>
      <c r="BO1698">
        <v>0.56000000000000005</v>
      </c>
      <c r="BP1698">
        <v>-0.02</v>
      </c>
      <c r="BQ1698">
        <v>-0.21</v>
      </c>
      <c r="BR1698">
        <v>0.31</v>
      </c>
      <c r="BS1698">
        <v>0.43</v>
      </c>
      <c r="BT1698">
        <v>0.04</v>
      </c>
      <c r="BU1698">
        <v>2.88</v>
      </c>
      <c r="BV1698">
        <v>1.95</v>
      </c>
      <c r="BW1698">
        <v>1.1299999999999999</v>
      </c>
      <c r="BX1698">
        <v>2.46</v>
      </c>
      <c r="BY1698">
        <v>1.99</v>
      </c>
      <c r="BZ1698">
        <v>-0.09</v>
      </c>
      <c r="CA1698">
        <v>2.25</v>
      </c>
      <c r="CB1698">
        <v>2.2400000000000002</v>
      </c>
      <c r="CC1698">
        <v>1.1599999999999999</v>
      </c>
      <c r="CD1698">
        <v>-0.14000000000000001</v>
      </c>
      <c r="CE1698">
        <v>0.7</v>
      </c>
      <c r="CF1698">
        <v>0.42</v>
      </c>
      <c r="CG1698">
        <v>0</v>
      </c>
      <c r="CH1698">
        <v>1.1000000000000001</v>
      </c>
      <c r="CI1698">
        <v>0</v>
      </c>
      <c r="CJ1698">
        <v>2</v>
      </c>
      <c r="CK1698">
        <v>58</v>
      </c>
      <c r="CL1698">
        <v>-0.88</v>
      </c>
      <c r="CM1698">
        <v>54</v>
      </c>
      <c r="CN1698">
        <v>-0.74</v>
      </c>
      <c r="CO1698">
        <v>52</v>
      </c>
      <c r="CP1698">
        <v>7.6</v>
      </c>
      <c r="CQ1698">
        <v>42</v>
      </c>
      <c r="CR1698">
        <v>0</v>
      </c>
      <c r="CS1698">
        <v>0</v>
      </c>
      <c r="CT1698">
        <v>19.3</v>
      </c>
      <c r="CU1698">
        <v>35</v>
      </c>
      <c r="CV1698">
        <v>0.28000000000000003</v>
      </c>
      <c r="CW1698">
        <v>16</v>
      </c>
      <c r="CX1698" t="s">
        <v>8177</v>
      </c>
    </row>
    <row r="1699" spans="1:102" x14ac:dyDescent="0.3">
      <c r="A1699" t="str">
        <f>HYPERLINK("https://webapp.icbf.com/v2/app/bull-search/view/448298877","DQI")</f>
        <v>DQI</v>
      </c>
      <c r="B1699" t="s">
        <v>14143</v>
      </c>
      <c r="C1699" t="s">
        <v>13734</v>
      </c>
      <c r="D1699" s="1">
        <v>38378</v>
      </c>
      <c r="E1699" t="s">
        <v>108</v>
      </c>
      <c r="F1699">
        <v>0</v>
      </c>
      <c r="G1699" t="s">
        <v>93</v>
      </c>
      <c r="H1699">
        <v>92.54</v>
      </c>
      <c r="I1699">
        <v>95</v>
      </c>
      <c r="J1699">
        <v>-44.66</v>
      </c>
      <c r="K1699">
        <v>99</v>
      </c>
      <c r="L1699">
        <v>104.33</v>
      </c>
      <c r="M1699">
        <v>93</v>
      </c>
      <c r="N1699">
        <v>25.6</v>
      </c>
      <c r="O1699">
        <v>96</v>
      </c>
      <c r="P1699">
        <v>-2.14</v>
      </c>
      <c r="Q1699">
        <v>99</v>
      </c>
      <c r="R1699">
        <v>5</v>
      </c>
      <c r="S1699">
        <v>90</v>
      </c>
      <c r="T1699">
        <v>5.46</v>
      </c>
      <c r="U1699">
        <v>96</v>
      </c>
      <c r="V1699">
        <v>-1.05</v>
      </c>
      <c r="W1699">
        <v>81</v>
      </c>
      <c r="X1699" t="s">
        <v>94</v>
      </c>
      <c r="Y1699" t="s">
        <v>1128</v>
      </c>
      <c r="Z1699" t="s">
        <v>96</v>
      </c>
      <c r="AA1699" t="s">
        <v>5174</v>
      </c>
      <c r="AB1699" t="s">
        <v>14144</v>
      </c>
      <c r="AC1699">
        <v>734</v>
      </c>
      <c r="AD1699">
        <v>176</v>
      </c>
      <c r="AE1699">
        <v>99</v>
      </c>
      <c r="AF1699">
        <v>-383.64</v>
      </c>
      <c r="AG1699">
        <v>-12.15</v>
      </c>
      <c r="AH1699">
        <v>-9.17</v>
      </c>
      <c r="AI1699">
        <v>0.05</v>
      </c>
      <c r="AJ1699">
        <v>7.0000000000000007E-2</v>
      </c>
      <c r="AK1699">
        <v>93</v>
      </c>
      <c r="AL1699">
        <v>937</v>
      </c>
      <c r="AM1699">
        <v>275</v>
      </c>
      <c r="AN1699">
        <v>-6.51</v>
      </c>
      <c r="AO1699">
        <v>1.8</v>
      </c>
      <c r="AP1699">
        <v>1197</v>
      </c>
      <c r="AQ1699">
        <v>13</v>
      </c>
      <c r="AR1699">
        <v>5.41</v>
      </c>
      <c r="AS1699">
        <v>96</v>
      </c>
      <c r="AT1699">
        <v>2.13</v>
      </c>
      <c r="AU1699">
        <v>96</v>
      </c>
      <c r="AV1699">
        <v>-1.96</v>
      </c>
      <c r="AW1699">
        <v>99</v>
      </c>
      <c r="AX1699">
        <v>-0.81</v>
      </c>
      <c r="AY1699">
        <v>97</v>
      </c>
      <c r="AZ1699">
        <v>7.14</v>
      </c>
      <c r="BA1699">
        <v>90</v>
      </c>
      <c r="BB1699">
        <v>5.71</v>
      </c>
      <c r="BC1699">
        <v>88</v>
      </c>
      <c r="BD1699">
        <v>-0.03</v>
      </c>
      <c r="BE1699">
        <v>-0.05</v>
      </c>
      <c r="BF1699">
        <v>0.03</v>
      </c>
      <c r="BG1699">
        <v>98</v>
      </c>
      <c r="BH1699">
        <v>0.05</v>
      </c>
      <c r="BI1699">
        <v>9.16</v>
      </c>
      <c r="BJ1699">
        <v>53</v>
      </c>
      <c r="BK1699">
        <v>20</v>
      </c>
      <c r="BL1699">
        <v>-2.25</v>
      </c>
      <c r="BM1699">
        <v>2.69</v>
      </c>
      <c r="BN1699">
        <v>-2.42</v>
      </c>
      <c r="BO1699">
        <v>-3.35</v>
      </c>
      <c r="BP1699">
        <v>0.98</v>
      </c>
      <c r="BQ1699">
        <v>1.71</v>
      </c>
      <c r="BR1699">
        <v>-3.36</v>
      </c>
      <c r="BS1699">
        <v>1.0900000000000001</v>
      </c>
      <c r="BT1699">
        <v>2.0099999999999998</v>
      </c>
      <c r="BU1699">
        <v>-1.1599999999999999</v>
      </c>
      <c r="BV1699">
        <v>-2.72</v>
      </c>
      <c r="BW1699">
        <v>-1</v>
      </c>
      <c r="BX1699">
        <v>0.14000000000000001</v>
      </c>
      <c r="BY1699">
        <v>0.84</v>
      </c>
      <c r="BZ1699">
        <v>-1.24</v>
      </c>
      <c r="CA1699">
        <v>-1.04</v>
      </c>
      <c r="CB1699">
        <v>-1.37</v>
      </c>
      <c r="CC1699">
        <v>-7.0000000000000007E-2</v>
      </c>
      <c r="CD1699">
        <v>3.51</v>
      </c>
      <c r="CE1699">
        <v>-2.54</v>
      </c>
      <c r="CF1699">
        <v>-1.1299999999999999</v>
      </c>
      <c r="CG1699">
        <v>0</v>
      </c>
      <c r="CH1699">
        <v>0.74</v>
      </c>
      <c r="CI1699">
        <v>0</v>
      </c>
      <c r="CJ1699">
        <v>1.3</v>
      </c>
      <c r="CK1699">
        <v>99</v>
      </c>
      <c r="CL1699">
        <v>-7.0000000000000007E-2</v>
      </c>
      <c r="CM1699">
        <v>99</v>
      </c>
      <c r="CN1699">
        <v>0.27</v>
      </c>
      <c r="CO1699">
        <v>99</v>
      </c>
      <c r="CP1699">
        <v>-0.3</v>
      </c>
      <c r="CQ1699">
        <v>96</v>
      </c>
      <c r="CR1699">
        <v>0</v>
      </c>
      <c r="CS1699">
        <v>0</v>
      </c>
      <c r="CT1699">
        <v>6.4</v>
      </c>
      <c r="CU1699">
        <v>96</v>
      </c>
      <c r="CV1699">
        <v>0.22</v>
      </c>
      <c r="CW1699">
        <v>48</v>
      </c>
      <c r="CX1699" t="s">
        <v>11774</v>
      </c>
    </row>
    <row r="1700" spans="1:102" x14ac:dyDescent="0.3">
      <c r="A1700" t="str">
        <f>HYPERLINK("https://webapp.icbf.com/v2/app/bull-search/view/447225001","KLZ")</f>
        <v>KLZ</v>
      </c>
      <c r="B1700" t="s">
        <v>12020</v>
      </c>
      <c r="C1700" t="s">
        <v>12021</v>
      </c>
      <c r="D1700" s="1">
        <v>38759</v>
      </c>
      <c r="E1700" t="s">
        <v>92</v>
      </c>
      <c r="F1700">
        <v>84</v>
      </c>
      <c r="G1700" t="s">
        <v>116</v>
      </c>
      <c r="H1700">
        <v>92.22</v>
      </c>
      <c r="I1700">
        <v>32</v>
      </c>
      <c r="J1700">
        <v>38.950000000000003</v>
      </c>
      <c r="K1700">
        <v>20</v>
      </c>
      <c r="L1700">
        <v>21.78</v>
      </c>
      <c r="M1700">
        <v>33</v>
      </c>
      <c r="N1700">
        <v>15.21</v>
      </c>
      <c r="O1700">
        <v>36</v>
      </c>
      <c r="P1700">
        <v>8.44</v>
      </c>
      <c r="Q1700">
        <v>54</v>
      </c>
      <c r="R1700">
        <v>4.3499999999999996</v>
      </c>
      <c r="S1700">
        <v>36</v>
      </c>
      <c r="T1700">
        <v>-5.93</v>
      </c>
      <c r="U1700">
        <v>44</v>
      </c>
      <c r="V1700">
        <v>9.42</v>
      </c>
      <c r="W1700">
        <v>33</v>
      </c>
      <c r="X1700" t="s">
        <v>94</v>
      </c>
      <c r="Y1700" t="s">
        <v>1251</v>
      </c>
      <c r="Z1700" t="s">
        <v>96</v>
      </c>
      <c r="AA1700" t="s">
        <v>1165</v>
      </c>
      <c r="AB1700" t="s">
        <v>12022</v>
      </c>
      <c r="AC1700">
        <v>1</v>
      </c>
      <c r="AD1700">
        <v>1</v>
      </c>
      <c r="AE1700">
        <v>20</v>
      </c>
      <c r="AF1700">
        <v>75.05</v>
      </c>
      <c r="AG1700">
        <v>11.26</v>
      </c>
      <c r="AH1700">
        <v>3.79</v>
      </c>
      <c r="AI1700">
        <v>0.14000000000000001</v>
      </c>
      <c r="AJ1700">
        <v>0.02</v>
      </c>
      <c r="AK1700">
        <v>33</v>
      </c>
      <c r="AL1700">
        <v>1</v>
      </c>
      <c r="AM1700">
        <v>1</v>
      </c>
      <c r="AN1700">
        <v>-0.16</v>
      </c>
      <c r="AO1700">
        <v>1.59</v>
      </c>
      <c r="AP1700">
        <v>2</v>
      </c>
      <c r="AQ1700">
        <v>0</v>
      </c>
      <c r="AR1700">
        <v>7.89</v>
      </c>
      <c r="AS1700">
        <v>32</v>
      </c>
      <c r="AT1700">
        <v>3</v>
      </c>
      <c r="AU1700">
        <v>37</v>
      </c>
      <c r="AV1700">
        <v>-1.92</v>
      </c>
      <c r="AW1700">
        <v>37</v>
      </c>
      <c r="AX1700">
        <v>-0.73</v>
      </c>
      <c r="AY1700">
        <v>35</v>
      </c>
      <c r="AZ1700">
        <v>6.77</v>
      </c>
      <c r="BA1700">
        <v>30</v>
      </c>
      <c r="BB1700">
        <v>5.36</v>
      </c>
      <c r="BC1700">
        <v>32</v>
      </c>
      <c r="BD1700">
        <v>0</v>
      </c>
      <c r="BE1700">
        <v>0</v>
      </c>
      <c r="BF1700">
        <v>-0.1</v>
      </c>
      <c r="BG1700">
        <v>39</v>
      </c>
      <c r="BH1700">
        <v>0.24</v>
      </c>
      <c r="BI1700">
        <v>-2.61</v>
      </c>
      <c r="BJ1700">
        <v>0</v>
      </c>
      <c r="BK1700">
        <v>0</v>
      </c>
      <c r="BL1700">
        <v>0.3</v>
      </c>
      <c r="BM1700">
        <v>0.3</v>
      </c>
      <c r="BN1700">
        <v>-0.21</v>
      </c>
      <c r="BO1700">
        <v>-0.27</v>
      </c>
      <c r="BP1700">
        <v>2.2200000000000002</v>
      </c>
      <c r="BQ1700">
        <v>-0.15</v>
      </c>
      <c r="BR1700">
        <v>0.51</v>
      </c>
      <c r="BS1700">
        <v>-1.37</v>
      </c>
      <c r="BT1700">
        <v>-1.39</v>
      </c>
      <c r="BU1700">
        <v>-0.5</v>
      </c>
      <c r="BV1700">
        <v>-0.59</v>
      </c>
      <c r="BW1700">
        <v>-0.63</v>
      </c>
      <c r="BX1700">
        <v>-0.26</v>
      </c>
      <c r="BY1700">
        <v>-0.34</v>
      </c>
      <c r="BZ1700">
        <v>-1.76</v>
      </c>
      <c r="CA1700">
        <v>-0.57999999999999996</v>
      </c>
      <c r="CB1700">
        <v>-0.14000000000000001</v>
      </c>
      <c r="CC1700">
        <v>-1.27</v>
      </c>
      <c r="CD1700">
        <v>0.46</v>
      </c>
      <c r="CE1700">
        <v>-0.31</v>
      </c>
      <c r="CF1700">
        <v>0.04</v>
      </c>
      <c r="CG1700">
        <v>0</v>
      </c>
      <c r="CH1700">
        <v>-0.52</v>
      </c>
      <c r="CI1700">
        <v>0</v>
      </c>
      <c r="CJ1700">
        <v>7.2</v>
      </c>
      <c r="CK1700">
        <v>57</v>
      </c>
      <c r="CL1700">
        <v>-0.33</v>
      </c>
      <c r="CM1700">
        <v>52</v>
      </c>
      <c r="CN1700">
        <v>-0.05</v>
      </c>
      <c r="CO1700">
        <v>50</v>
      </c>
      <c r="CP1700">
        <v>8.8000000000000007</v>
      </c>
      <c r="CQ1700">
        <v>45</v>
      </c>
      <c r="CR1700">
        <v>0</v>
      </c>
      <c r="CS1700">
        <v>0</v>
      </c>
      <c r="CT1700">
        <v>21.8</v>
      </c>
      <c r="CU1700">
        <v>44</v>
      </c>
      <c r="CV1700">
        <v>0.19</v>
      </c>
      <c r="CW1700">
        <v>19</v>
      </c>
      <c r="CX1700" t="s">
        <v>1037</v>
      </c>
    </row>
    <row r="1701" spans="1:102" x14ac:dyDescent="0.3">
      <c r="A1701" t="str">
        <f>HYPERLINK("https://webapp.icbf.com/v2/app/bull-search/view/659994511","S1383")</f>
        <v>S1383</v>
      </c>
      <c r="B1701" t="s">
        <v>2477</v>
      </c>
      <c r="C1701" t="s">
        <v>432</v>
      </c>
      <c r="D1701" s="1">
        <v>39118</v>
      </c>
      <c r="E1701" t="s">
        <v>92</v>
      </c>
      <c r="F1701">
        <v>100</v>
      </c>
      <c r="G1701" t="s">
        <v>93</v>
      </c>
      <c r="H1701">
        <v>92.12</v>
      </c>
      <c r="I1701">
        <v>94</v>
      </c>
      <c r="J1701">
        <v>51.08</v>
      </c>
      <c r="K1701">
        <v>99</v>
      </c>
      <c r="L1701">
        <v>-6.79</v>
      </c>
      <c r="M1701">
        <v>93</v>
      </c>
      <c r="N1701">
        <v>24.11</v>
      </c>
      <c r="O1701">
        <v>95</v>
      </c>
      <c r="P1701">
        <v>11.64</v>
      </c>
      <c r="Q1701">
        <v>97</v>
      </c>
      <c r="R1701">
        <v>14.53</v>
      </c>
      <c r="S1701">
        <v>86</v>
      </c>
      <c r="T1701">
        <v>-7.71</v>
      </c>
      <c r="U1701">
        <v>85</v>
      </c>
      <c r="V1701">
        <v>5.26</v>
      </c>
      <c r="W1701">
        <v>79</v>
      </c>
      <c r="X1701" t="s">
        <v>102</v>
      </c>
      <c r="Y1701" t="s">
        <v>342</v>
      </c>
      <c r="Z1701" t="s">
        <v>96</v>
      </c>
      <c r="AA1701" t="s">
        <v>358</v>
      </c>
      <c r="AB1701" t="s">
        <v>2478</v>
      </c>
      <c r="AC1701">
        <v>431</v>
      </c>
      <c r="AD1701">
        <v>158</v>
      </c>
      <c r="AE1701">
        <v>99</v>
      </c>
      <c r="AF1701">
        <v>316.91000000000003</v>
      </c>
      <c r="AG1701">
        <v>7.54</v>
      </c>
      <c r="AH1701">
        <v>10.87</v>
      </c>
      <c r="AI1701">
        <v>-0.08</v>
      </c>
      <c r="AJ1701">
        <v>0</v>
      </c>
      <c r="AK1701">
        <v>93</v>
      </c>
      <c r="AL1701">
        <v>258</v>
      </c>
      <c r="AM1701">
        <v>112</v>
      </c>
      <c r="AN1701">
        <v>2.0099999999999998</v>
      </c>
      <c r="AO1701">
        <v>1.49</v>
      </c>
      <c r="AP1701">
        <v>1359</v>
      </c>
      <c r="AQ1701">
        <v>4</v>
      </c>
      <c r="AR1701">
        <v>7.62</v>
      </c>
      <c r="AS1701">
        <v>94</v>
      </c>
      <c r="AT1701">
        <v>2.95</v>
      </c>
      <c r="AU1701">
        <v>98</v>
      </c>
      <c r="AV1701">
        <v>-2.5499999999999998</v>
      </c>
      <c r="AW1701">
        <v>99</v>
      </c>
      <c r="AX1701">
        <v>-0.51</v>
      </c>
      <c r="AY1701">
        <v>97</v>
      </c>
      <c r="AZ1701">
        <v>5.39</v>
      </c>
      <c r="BA1701">
        <v>86</v>
      </c>
      <c r="BB1701">
        <v>5.1100000000000003</v>
      </c>
      <c r="BC1701">
        <v>75</v>
      </c>
      <c r="BD1701">
        <v>0</v>
      </c>
      <c r="BE1701">
        <v>-0.06</v>
      </c>
      <c r="BF1701">
        <v>-0.22</v>
      </c>
      <c r="BG1701">
        <v>96</v>
      </c>
      <c r="BH1701">
        <v>-0.06</v>
      </c>
      <c r="BI1701">
        <v>-23.91</v>
      </c>
      <c r="BJ1701">
        <v>145</v>
      </c>
      <c r="BK1701">
        <v>60</v>
      </c>
      <c r="BL1701">
        <v>0.79</v>
      </c>
      <c r="BM1701">
        <v>1.54</v>
      </c>
      <c r="BN1701">
        <v>0.91</v>
      </c>
      <c r="BO1701">
        <v>0.45</v>
      </c>
      <c r="BP1701">
        <v>-1.7</v>
      </c>
      <c r="BQ1701">
        <v>3.28</v>
      </c>
      <c r="BR1701">
        <v>-0.32</v>
      </c>
      <c r="BS1701">
        <v>-7.0000000000000007E-2</v>
      </c>
      <c r="BT1701">
        <v>-0.01</v>
      </c>
      <c r="BU1701">
        <v>2.88</v>
      </c>
      <c r="BV1701">
        <v>2.41</v>
      </c>
      <c r="BW1701">
        <v>1.69</v>
      </c>
      <c r="BX1701">
        <v>2.12</v>
      </c>
      <c r="BY1701">
        <v>3.13</v>
      </c>
      <c r="BZ1701">
        <v>-1.22</v>
      </c>
      <c r="CA1701">
        <v>2</v>
      </c>
      <c r="CB1701">
        <v>2.39</v>
      </c>
      <c r="CC1701">
        <v>0.44</v>
      </c>
      <c r="CD1701">
        <v>0.38</v>
      </c>
      <c r="CE1701">
        <v>0.76</v>
      </c>
      <c r="CF1701">
        <v>1.88</v>
      </c>
      <c r="CG1701">
        <v>0</v>
      </c>
      <c r="CH1701">
        <v>3.05</v>
      </c>
      <c r="CI1701">
        <v>0</v>
      </c>
      <c r="CJ1701">
        <v>7.9</v>
      </c>
      <c r="CK1701">
        <v>98</v>
      </c>
      <c r="CL1701">
        <v>-0.74</v>
      </c>
      <c r="CM1701">
        <v>97</v>
      </c>
      <c r="CN1701">
        <v>-0.56000000000000005</v>
      </c>
      <c r="CO1701">
        <v>97</v>
      </c>
      <c r="CP1701">
        <v>12.1</v>
      </c>
      <c r="CQ1701">
        <v>88</v>
      </c>
      <c r="CR1701">
        <v>0</v>
      </c>
      <c r="CS1701">
        <v>0</v>
      </c>
      <c r="CT1701">
        <v>24.2</v>
      </c>
      <c r="CU1701">
        <v>85</v>
      </c>
      <c r="CV1701">
        <v>0.28000000000000003</v>
      </c>
      <c r="CW1701">
        <v>46</v>
      </c>
      <c r="CX1701" t="s">
        <v>2479</v>
      </c>
    </row>
    <row r="1702" spans="1:102" x14ac:dyDescent="0.3">
      <c r="A1702" t="str">
        <f>HYPERLINK("https://webapp.icbf.com/v2/app/bull-search/view/108899386","NOT")</f>
        <v>NOT</v>
      </c>
      <c r="B1702" t="s">
        <v>3950</v>
      </c>
      <c r="C1702" t="s">
        <v>3951</v>
      </c>
      <c r="D1702" s="1">
        <v>35038</v>
      </c>
      <c r="E1702" t="s">
        <v>395</v>
      </c>
      <c r="F1702">
        <v>0</v>
      </c>
      <c r="G1702" t="s">
        <v>116</v>
      </c>
      <c r="H1702">
        <v>92.08</v>
      </c>
      <c r="I1702">
        <v>27</v>
      </c>
      <c r="J1702">
        <v>13.02</v>
      </c>
      <c r="K1702">
        <v>40</v>
      </c>
      <c r="L1702">
        <v>39.03</v>
      </c>
      <c r="M1702">
        <v>14</v>
      </c>
      <c r="N1702">
        <v>28.39</v>
      </c>
      <c r="O1702">
        <v>30</v>
      </c>
      <c r="P1702">
        <v>-3.35</v>
      </c>
      <c r="Q1702">
        <v>42</v>
      </c>
      <c r="R1702">
        <v>1.49</v>
      </c>
      <c r="S1702">
        <v>13</v>
      </c>
      <c r="T1702">
        <v>20.93</v>
      </c>
      <c r="U1702">
        <v>30</v>
      </c>
      <c r="V1702">
        <v>-7.43</v>
      </c>
      <c r="W1702">
        <v>9</v>
      </c>
      <c r="X1702" t="s">
        <v>94</v>
      </c>
      <c r="Y1702" t="s">
        <v>95</v>
      </c>
      <c r="Z1702">
        <v>0</v>
      </c>
      <c r="AA1702" t="s">
        <v>3952</v>
      </c>
      <c r="AB1702" t="s">
        <v>144</v>
      </c>
      <c r="AC1702">
        <v>3</v>
      </c>
      <c r="AD1702">
        <v>3</v>
      </c>
      <c r="AE1702">
        <v>40</v>
      </c>
      <c r="AF1702">
        <v>11.29</v>
      </c>
      <c r="AG1702">
        <v>5.05</v>
      </c>
      <c r="AH1702">
        <v>0.6</v>
      </c>
      <c r="AI1702">
        <v>0.08</v>
      </c>
      <c r="AJ1702">
        <v>0</v>
      </c>
      <c r="AK1702">
        <v>14</v>
      </c>
      <c r="AL1702">
        <v>4</v>
      </c>
      <c r="AM1702">
        <v>4</v>
      </c>
      <c r="AN1702">
        <v>0.76</v>
      </c>
      <c r="AO1702">
        <v>3.91</v>
      </c>
      <c r="AP1702">
        <v>7</v>
      </c>
      <c r="AQ1702">
        <v>2</v>
      </c>
      <c r="AR1702">
        <v>5.67</v>
      </c>
      <c r="AS1702">
        <v>12</v>
      </c>
      <c r="AT1702">
        <v>2.39</v>
      </c>
      <c r="AU1702">
        <v>31</v>
      </c>
      <c r="AV1702">
        <v>-1.7</v>
      </c>
      <c r="AW1702">
        <v>40</v>
      </c>
      <c r="AX1702">
        <v>0.51</v>
      </c>
      <c r="AY1702">
        <v>35</v>
      </c>
      <c r="AZ1702">
        <v>5.18</v>
      </c>
      <c r="BA1702">
        <v>4</v>
      </c>
      <c r="BB1702">
        <v>4.13</v>
      </c>
      <c r="BC1702">
        <v>9</v>
      </c>
      <c r="BD1702">
        <v>0.01</v>
      </c>
      <c r="BE1702">
        <v>0.01</v>
      </c>
      <c r="BF1702">
        <v>-7.0000000000000007E-2</v>
      </c>
      <c r="BG1702">
        <v>15</v>
      </c>
      <c r="BH1702">
        <v>-0.26</v>
      </c>
      <c r="BI1702">
        <v>-6.12</v>
      </c>
      <c r="BJ1702">
        <v>0</v>
      </c>
      <c r="BK1702">
        <v>0</v>
      </c>
      <c r="BL1702">
        <v>-1.53</v>
      </c>
      <c r="BM1702">
        <v>1.07</v>
      </c>
      <c r="BN1702">
        <v>-1.42</v>
      </c>
      <c r="BO1702">
        <v>-1.75</v>
      </c>
      <c r="BP1702">
        <v>0.35</v>
      </c>
      <c r="BQ1702">
        <v>-0.55000000000000004</v>
      </c>
      <c r="BR1702">
        <v>0.08</v>
      </c>
      <c r="BS1702">
        <v>0.23</v>
      </c>
      <c r="BT1702">
        <v>-0.3</v>
      </c>
      <c r="BU1702">
        <v>-1.24</v>
      </c>
      <c r="BV1702">
        <v>-1.77</v>
      </c>
      <c r="BW1702">
        <v>-1.79</v>
      </c>
      <c r="BX1702">
        <v>-1.31</v>
      </c>
      <c r="BY1702">
        <v>-1.46</v>
      </c>
      <c r="BZ1702">
        <v>-0.1</v>
      </c>
      <c r="CA1702">
        <v>-1.1399999999999999</v>
      </c>
      <c r="CB1702">
        <v>-1.52</v>
      </c>
      <c r="CC1702">
        <v>-0.04</v>
      </c>
      <c r="CD1702">
        <v>1.49</v>
      </c>
      <c r="CE1702">
        <v>-1.7</v>
      </c>
      <c r="CF1702">
        <v>-1.61</v>
      </c>
      <c r="CG1702">
        <v>0</v>
      </c>
      <c r="CH1702">
        <v>-1.2</v>
      </c>
      <c r="CI1702">
        <v>0</v>
      </c>
      <c r="CJ1702">
        <v>-4.3</v>
      </c>
      <c r="CK1702">
        <v>46</v>
      </c>
      <c r="CL1702">
        <v>0.17</v>
      </c>
      <c r="CM1702">
        <v>40</v>
      </c>
      <c r="CN1702">
        <v>-0.18</v>
      </c>
      <c r="CO1702">
        <v>35</v>
      </c>
      <c r="CP1702">
        <v>-8.5</v>
      </c>
      <c r="CQ1702">
        <v>36</v>
      </c>
      <c r="CR1702">
        <v>0</v>
      </c>
      <c r="CS1702">
        <v>0</v>
      </c>
      <c r="CT1702">
        <v>-14.5</v>
      </c>
      <c r="CU1702">
        <v>30</v>
      </c>
      <c r="CV1702">
        <v>-0.2</v>
      </c>
      <c r="CW1702">
        <v>11</v>
      </c>
      <c r="CX1702">
        <v>0</v>
      </c>
    </row>
    <row r="1703" spans="1:102" x14ac:dyDescent="0.3">
      <c r="A1703" t="str">
        <f>HYPERLINK("https://webapp.icbf.com/v2/app/bull-search/view/586052818","ODP")</f>
        <v>ODP</v>
      </c>
      <c r="B1703" t="s">
        <v>5110</v>
      </c>
      <c r="C1703" t="s">
        <v>5111</v>
      </c>
      <c r="D1703" s="1">
        <v>38169</v>
      </c>
      <c r="E1703" t="s">
        <v>92</v>
      </c>
      <c r="F1703">
        <v>100</v>
      </c>
      <c r="G1703" t="s">
        <v>93</v>
      </c>
      <c r="H1703">
        <v>92.01</v>
      </c>
      <c r="I1703">
        <v>94</v>
      </c>
      <c r="J1703">
        <v>76.959999999999994</v>
      </c>
      <c r="K1703">
        <v>99</v>
      </c>
      <c r="L1703">
        <v>-17.649999999999999</v>
      </c>
      <c r="M1703">
        <v>91</v>
      </c>
      <c r="N1703">
        <v>23.89</v>
      </c>
      <c r="O1703">
        <v>94</v>
      </c>
      <c r="P1703">
        <v>-6.93</v>
      </c>
      <c r="Q1703">
        <v>98</v>
      </c>
      <c r="R1703">
        <v>11.57</v>
      </c>
      <c r="S1703">
        <v>87</v>
      </c>
      <c r="T1703">
        <v>0.51</v>
      </c>
      <c r="U1703">
        <v>94</v>
      </c>
      <c r="V1703">
        <v>3.66</v>
      </c>
      <c r="W1703">
        <v>85</v>
      </c>
      <c r="X1703" t="s">
        <v>276</v>
      </c>
      <c r="Y1703" t="s">
        <v>235</v>
      </c>
      <c r="Z1703" t="s">
        <v>96</v>
      </c>
      <c r="AA1703" t="s">
        <v>316</v>
      </c>
      <c r="AB1703" t="s">
        <v>144</v>
      </c>
      <c r="AC1703">
        <v>313</v>
      </c>
      <c r="AD1703">
        <v>138</v>
      </c>
      <c r="AE1703">
        <v>99</v>
      </c>
      <c r="AF1703">
        <v>550.59</v>
      </c>
      <c r="AG1703">
        <v>14.01</v>
      </c>
      <c r="AH1703">
        <v>16.559999999999999</v>
      </c>
      <c r="AI1703">
        <v>-0.12</v>
      </c>
      <c r="AJ1703">
        <v>-0.03</v>
      </c>
      <c r="AK1703">
        <v>91</v>
      </c>
      <c r="AL1703">
        <v>375</v>
      </c>
      <c r="AM1703">
        <v>149</v>
      </c>
      <c r="AN1703">
        <v>1.58</v>
      </c>
      <c r="AO1703">
        <v>0.18</v>
      </c>
      <c r="AP1703">
        <v>664</v>
      </c>
      <c r="AQ1703">
        <v>9</v>
      </c>
      <c r="AR1703">
        <v>7.6</v>
      </c>
      <c r="AS1703">
        <v>88</v>
      </c>
      <c r="AT1703">
        <v>3.18</v>
      </c>
      <c r="AU1703">
        <v>95</v>
      </c>
      <c r="AV1703">
        <v>-3.02</v>
      </c>
      <c r="AW1703">
        <v>99</v>
      </c>
      <c r="AX1703">
        <v>-0.78</v>
      </c>
      <c r="AY1703">
        <v>93</v>
      </c>
      <c r="AZ1703">
        <v>6.39</v>
      </c>
      <c r="BA1703">
        <v>82</v>
      </c>
      <c r="BB1703">
        <v>5.32</v>
      </c>
      <c r="BC1703">
        <v>82</v>
      </c>
      <c r="BD1703">
        <v>-0.09</v>
      </c>
      <c r="BE1703">
        <v>-0.04</v>
      </c>
      <c r="BF1703">
        <v>-0.04</v>
      </c>
      <c r="BG1703">
        <v>95</v>
      </c>
      <c r="BH1703">
        <v>0.06</v>
      </c>
      <c r="BI1703">
        <v>-4.8499999999999996</v>
      </c>
      <c r="BJ1703">
        <v>17</v>
      </c>
      <c r="BK1703">
        <v>13</v>
      </c>
      <c r="BL1703">
        <v>-0.05</v>
      </c>
      <c r="BM1703">
        <v>1.97</v>
      </c>
      <c r="BN1703">
        <v>0.81</v>
      </c>
      <c r="BO1703">
        <v>-0.41</v>
      </c>
      <c r="BP1703">
        <v>1.52</v>
      </c>
      <c r="BQ1703">
        <v>-1.3</v>
      </c>
      <c r="BR1703">
        <v>-1.8</v>
      </c>
      <c r="BS1703">
        <v>0.86</v>
      </c>
      <c r="BT1703">
        <v>0.56000000000000005</v>
      </c>
      <c r="BU1703">
        <v>1.08</v>
      </c>
      <c r="BV1703">
        <v>0.45</v>
      </c>
      <c r="BW1703">
        <v>0.28000000000000003</v>
      </c>
      <c r="BX1703">
        <v>1.06</v>
      </c>
      <c r="BY1703">
        <v>1.02</v>
      </c>
      <c r="BZ1703">
        <v>-0.55000000000000004</v>
      </c>
      <c r="CA1703">
        <v>0.92</v>
      </c>
      <c r="CB1703">
        <v>0.91</v>
      </c>
      <c r="CC1703">
        <v>0.92</v>
      </c>
      <c r="CD1703">
        <v>0.91</v>
      </c>
      <c r="CE1703">
        <v>-1.1100000000000001</v>
      </c>
      <c r="CF1703">
        <v>-0.09</v>
      </c>
      <c r="CG1703">
        <v>0</v>
      </c>
      <c r="CH1703">
        <v>1</v>
      </c>
      <c r="CI1703">
        <v>0</v>
      </c>
      <c r="CJ1703">
        <v>-2.1</v>
      </c>
      <c r="CK1703">
        <v>98</v>
      </c>
      <c r="CL1703">
        <v>-0.79</v>
      </c>
      <c r="CM1703">
        <v>98</v>
      </c>
      <c r="CN1703">
        <v>-0.34</v>
      </c>
      <c r="CO1703">
        <v>97</v>
      </c>
      <c r="CP1703">
        <v>0.9</v>
      </c>
      <c r="CQ1703">
        <v>95</v>
      </c>
      <c r="CR1703">
        <v>0</v>
      </c>
      <c r="CS1703">
        <v>0</v>
      </c>
      <c r="CT1703">
        <v>13.1</v>
      </c>
      <c r="CU1703">
        <v>94</v>
      </c>
      <c r="CV1703">
        <v>0.21</v>
      </c>
      <c r="CW1703">
        <v>48</v>
      </c>
      <c r="CX1703" t="s">
        <v>5112</v>
      </c>
    </row>
    <row r="1704" spans="1:102" x14ac:dyDescent="0.3">
      <c r="A1704" t="str">
        <f>HYPERLINK("https://webapp.icbf.com/v2/app/bull-search/view/586203624","VBM")</f>
        <v>VBM</v>
      </c>
      <c r="B1704" t="s">
        <v>6775</v>
      </c>
      <c r="C1704" t="s">
        <v>6776</v>
      </c>
      <c r="D1704" s="1">
        <v>39197</v>
      </c>
      <c r="E1704" t="s">
        <v>108</v>
      </c>
      <c r="F1704">
        <v>44</v>
      </c>
      <c r="G1704" t="s">
        <v>93</v>
      </c>
      <c r="H1704">
        <v>91.97</v>
      </c>
      <c r="I1704">
        <v>86</v>
      </c>
      <c r="J1704">
        <v>77.97</v>
      </c>
      <c r="K1704">
        <v>94</v>
      </c>
      <c r="L1704">
        <v>16.309999999999999</v>
      </c>
      <c r="M1704">
        <v>82</v>
      </c>
      <c r="N1704">
        <v>9.9499999999999993</v>
      </c>
      <c r="O1704">
        <v>80</v>
      </c>
      <c r="P1704">
        <v>-27.14</v>
      </c>
      <c r="Q1704">
        <v>91</v>
      </c>
      <c r="R1704">
        <v>-13.45</v>
      </c>
      <c r="S1704">
        <v>74</v>
      </c>
      <c r="T1704">
        <v>21.23</v>
      </c>
      <c r="U1704">
        <v>82</v>
      </c>
      <c r="V1704">
        <v>7.1</v>
      </c>
      <c r="W1704">
        <v>71</v>
      </c>
      <c r="X1704" t="s">
        <v>276</v>
      </c>
      <c r="Y1704" t="s">
        <v>329</v>
      </c>
      <c r="Z1704" t="s">
        <v>330</v>
      </c>
      <c r="AA1704" t="s">
        <v>1723</v>
      </c>
      <c r="AB1704" t="s">
        <v>140</v>
      </c>
      <c r="AC1704">
        <v>45</v>
      </c>
      <c r="AD1704">
        <v>25</v>
      </c>
      <c r="AE1704">
        <v>94</v>
      </c>
      <c r="AF1704">
        <v>115.54</v>
      </c>
      <c r="AG1704">
        <v>13.14</v>
      </c>
      <c r="AH1704">
        <v>10.38</v>
      </c>
      <c r="AI1704">
        <v>0.15</v>
      </c>
      <c r="AJ1704">
        <v>0.11</v>
      </c>
      <c r="AK1704">
        <v>82</v>
      </c>
      <c r="AL1704">
        <v>72</v>
      </c>
      <c r="AM1704">
        <v>33</v>
      </c>
      <c r="AN1704">
        <v>-0.97</v>
      </c>
      <c r="AO1704">
        <v>0.33</v>
      </c>
      <c r="AP1704">
        <v>130</v>
      </c>
      <c r="AQ1704">
        <v>5</v>
      </c>
      <c r="AR1704">
        <v>8.89</v>
      </c>
      <c r="AS1704">
        <v>58</v>
      </c>
      <c r="AT1704">
        <v>2.99</v>
      </c>
      <c r="AU1704">
        <v>83</v>
      </c>
      <c r="AV1704">
        <v>-1.93</v>
      </c>
      <c r="AW1704">
        <v>94</v>
      </c>
      <c r="AX1704">
        <v>0.2</v>
      </c>
      <c r="AY1704">
        <v>77</v>
      </c>
      <c r="AZ1704">
        <v>6.81</v>
      </c>
      <c r="BA1704">
        <v>53</v>
      </c>
      <c r="BB1704">
        <v>5.39</v>
      </c>
      <c r="BC1704">
        <v>55</v>
      </c>
      <c r="BD1704">
        <v>0.02</v>
      </c>
      <c r="BE1704">
        <v>0.04</v>
      </c>
      <c r="BF1704">
        <v>0.2</v>
      </c>
      <c r="BG1704">
        <v>87</v>
      </c>
      <c r="BH1704">
        <v>0.06</v>
      </c>
      <c r="BI1704">
        <v>-15.96</v>
      </c>
      <c r="BJ1704">
        <v>1</v>
      </c>
      <c r="BK1704">
        <v>1</v>
      </c>
      <c r="BL1704">
        <v>-1.43</v>
      </c>
      <c r="BM1704">
        <v>0.01</v>
      </c>
      <c r="BN1704">
        <v>-1.0900000000000001</v>
      </c>
      <c r="BO1704">
        <v>-1.51</v>
      </c>
      <c r="BP1704">
        <v>-0.94</v>
      </c>
      <c r="BQ1704">
        <v>-1</v>
      </c>
      <c r="BR1704">
        <v>1.44</v>
      </c>
      <c r="BS1704">
        <v>-1.1100000000000001</v>
      </c>
      <c r="BT1704">
        <v>-1.76</v>
      </c>
      <c r="BU1704">
        <v>-0.51</v>
      </c>
      <c r="BV1704">
        <v>-0.83</v>
      </c>
      <c r="BW1704">
        <v>-0.84</v>
      </c>
      <c r="BX1704">
        <v>0.06</v>
      </c>
      <c r="BY1704">
        <v>-1.3</v>
      </c>
      <c r="BZ1704">
        <v>-0.88</v>
      </c>
      <c r="CA1704">
        <v>-1.17</v>
      </c>
      <c r="CB1704">
        <v>-0.73</v>
      </c>
      <c r="CC1704">
        <v>-1.22</v>
      </c>
      <c r="CD1704">
        <v>1.19</v>
      </c>
      <c r="CE1704">
        <v>-1.06</v>
      </c>
      <c r="CF1704">
        <v>-1.17</v>
      </c>
      <c r="CG1704">
        <v>0</v>
      </c>
      <c r="CH1704">
        <v>-1.5</v>
      </c>
      <c r="CI1704">
        <v>0</v>
      </c>
      <c r="CJ1704">
        <v>-10.9</v>
      </c>
      <c r="CK1704">
        <v>92</v>
      </c>
      <c r="CL1704">
        <v>-0.93</v>
      </c>
      <c r="CM1704">
        <v>91</v>
      </c>
      <c r="CN1704">
        <v>0.01</v>
      </c>
      <c r="CO1704">
        <v>89</v>
      </c>
      <c r="CP1704">
        <v>-15.9</v>
      </c>
      <c r="CQ1704">
        <v>83</v>
      </c>
      <c r="CR1704">
        <v>0</v>
      </c>
      <c r="CS1704">
        <v>0</v>
      </c>
      <c r="CT1704">
        <v>-14.9</v>
      </c>
      <c r="CU1704">
        <v>82</v>
      </c>
      <c r="CV1704">
        <v>0.14000000000000001</v>
      </c>
      <c r="CW1704">
        <v>44</v>
      </c>
      <c r="CX1704" t="s">
        <v>1091</v>
      </c>
    </row>
    <row r="1705" spans="1:102" x14ac:dyDescent="0.3">
      <c r="A1705" t="str">
        <f>HYPERLINK("https://webapp.icbf.com/v2/app/bull-search/view/152143786","S306")</f>
        <v>S306</v>
      </c>
      <c r="B1705" t="s">
        <v>1043</v>
      </c>
      <c r="C1705" t="s">
        <v>1044</v>
      </c>
      <c r="D1705" s="1">
        <v>35310</v>
      </c>
      <c r="E1705" t="s">
        <v>395</v>
      </c>
      <c r="F1705">
        <v>0</v>
      </c>
      <c r="G1705" t="s">
        <v>93</v>
      </c>
      <c r="H1705">
        <v>91.93</v>
      </c>
      <c r="I1705">
        <v>85</v>
      </c>
      <c r="J1705">
        <v>-10.89</v>
      </c>
      <c r="K1705">
        <v>94</v>
      </c>
      <c r="L1705">
        <v>69.41</v>
      </c>
      <c r="M1705">
        <v>79</v>
      </c>
      <c r="N1705">
        <v>21.07</v>
      </c>
      <c r="O1705">
        <v>79</v>
      </c>
      <c r="P1705">
        <v>-15.07</v>
      </c>
      <c r="Q1705">
        <v>89</v>
      </c>
      <c r="R1705">
        <v>18.45</v>
      </c>
      <c r="S1705">
        <v>72</v>
      </c>
      <c r="T1705">
        <v>20.12</v>
      </c>
      <c r="U1705">
        <v>94</v>
      </c>
      <c r="V1705">
        <v>-11.16</v>
      </c>
      <c r="W1705">
        <v>69</v>
      </c>
      <c r="X1705" t="s">
        <v>110</v>
      </c>
      <c r="Y1705" t="s">
        <v>95</v>
      </c>
      <c r="Z1705">
        <v>0</v>
      </c>
      <c r="AA1705" t="s">
        <v>1045</v>
      </c>
      <c r="AB1705" t="s">
        <v>1046</v>
      </c>
      <c r="AC1705">
        <v>64</v>
      </c>
      <c r="AD1705">
        <v>46</v>
      </c>
      <c r="AE1705">
        <v>94</v>
      </c>
      <c r="AF1705">
        <v>-128.08000000000001</v>
      </c>
      <c r="AG1705">
        <v>1.01</v>
      </c>
      <c r="AH1705">
        <v>-4.17</v>
      </c>
      <c r="AI1705">
        <v>0.1</v>
      </c>
      <c r="AJ1705">
        <v>0</v>
      </c>
      <c r="AK1705">
        <v>79</v>
      </c>
      <c r="AL1705">
        <v>58</v>
      </c>
      <c r="AM1705">
        <v>41</v>
      </c>
      <c r="AN1705">
        <v>-2.65</v>
      </c>
      <c r="AO1705">
        <v>2.9</v>
      </c>
      <c r="AP1705">
        <v>81</v>
      </c>
      <c r="AQ1705">
        <v>0</v>
      </c>
      <c r="AR1705">
        <v>5.84</v>
      </c>
      <c r="AS1705">
        <v>65</v>
      </c>
      <c r="AT1705">
        <v>2.33</v>
      </c>
      <c r="AU1705">
        <v>77</v>
      </c>
      <c r="AV1705">
        <v>-1.06</v>
      </c>
      <c r="AW1705">
        <v>91</v>
      </c>
      <c r="AX1705">
        <v>-0.23</v>
      </c>
      <c r="AY1705">
        <v>75</v>
      </c>
      <c r="AZ1705">
        <v>5.85</v>
      </c>
      <c r="BA1705">
        <v>55</v>
      </c>
      <c r="BB1705">
        <v>4.8499999999999996</v>
      </c>
      <c r="BC1705">
        <v>64</v>
      </c>
      <c r="BD1705">
        <v>-0.08</v>
      </c>
      <c r="BE1705">
        <v>-0.09</v>
      </c>
      <c r="BF1705">
        <v>-0.12</v>
      </c>
      <c r="BG1705">
        <v>82</v>
      </c>
      <c r="BH1705">
        <v>-0.08</v>
      </c>
      <c r="BI1705">
        <v>26.76</v>
      </c>
      <c r="BJ1705">
        <v>35</v>
      </c>
      <c r="BK1705">
        <v>20</v>
      </c>
      <c r="BL1705">
        <v>-2</v>
      </c>
      <c r="BM1705">
        <v>1.24</v>
      </c>
      <c r="BN1705">
        <v>-2.31</v>
      </c>
      <c r="BO1705">
        <v>-2.2999999999999998</v>
      </c>
      <c r="BP1705">
        <v>1.52</v>
      </c>
      <c r="BQ1705">
        <v>-1.63</v>
      </c>
      <c r="BR1705">
        <v>2.09</v>
      </c>
      <c r="BS1705">
        <v>0.05</v>
      </c>
      <c r="BT1705">
        <v>-2.73</v>
      </c>
      <c r="BU1705">
        <v>-1.91</v>
      </c>
      <c r="BV1705">
        <v>-2.59</v>
      </c>
      <c r="BW1705">
        <v>-2.2599999999999998</v>
      </c>
      <c r="BX1705">
        <v>-2.33</v>
      </c>
      <c r="BY1705">
        <v>-2.25</v>
      </c>
      <c r="BZ1705">
        <v>-1.2</v>
      </c>
      <c r="CA1705">
        <v>-1.81</v>
      </c>
      <c r="CB1705">
        <v>-1.76</v>
      </c>
      <c r="CC1705">
        <v>-1.4</v>
      </c>
      <c r="CD1705">
        <v>2.0499999999999998</v>
      </c>
      <c r="CE1705">
        <v>-2.08</v>
      </c>
      <c r="CF1705">
        <v>-1.95</v>
      </c>
      <c r="CG1705">
        <v>0</v>
      </c>
      <c r="CH1705">
        <v>-1.08</v>
      </c>
      <c r="CI1705">
        <v>0</v>
      </c>
      <c r="CJ1705">
        <v>-9.9</v>
      </c>
      <c r="CK1705">
        <v>91</v>
      </c>
      <c r="CL1705">
        <v>-0.13</v>
      </c>
      <c r="CM1705">
        <v>88</v>
      </c>
      <c r="CN1705">
        <v>-0.19</v>
      </c>
      <c r="CO1705">
        <v>87</v>
      </c>
      <c r="CP1705">
        <v>-15.3</v>
      </c>
      <c r="CQ1705">
        <v>86</v>
      </c>
      <c r="CR1705">
        <v>0</v>
      </c>
      <c r="CS1705">
        <v>0</v>
      </c>
      <c r="CT1705">
        <v>-13.4</v>
      </c>
      <c r="CU1705">
        <v>94</v>
      </c>
      <c r="CV1705">
        <v>-0.23</v>
      </c>
      <c r="CW1705">
        <v>27</v>
      </c>
      <c r="CX1705" t="s">
        <v>1047</v>
      </c>
    </row>
    <row r="1706" spans="1:102" x14ac:dyDescent="0.3">
      <c r="A1706" t="str">
        <f>HYPERLINK("https://webapp.icbf.com/v2/app/bull-search/view/974440840","RNC")</f>
        <v>RNC</v>
      </c>
      <c r="B1706" t="s">
        <v>13312</v>
      </c>
      <c r="C1706" t="s">
        <v>13313</v>
      </c>
      <c r="D1706" s="1">
        <v>41007</v>
      </c>
      <c r="E1706" t="s">
        <v>108</v>
      </c>
      <c r="F1706">
        <v>19</v>
      </c>
      <c r="G1706" t="s">
        <v>93</v>
      </c>
      <c r="H1706">
        <v>91.93</v>
      </c>
      <c r="I1706">
        <v>92</v>
      </c>
      <c r="J1706">
        <v>-28.06</v>
      </c>
      <c r="K1706">
        <v>99</v>
      </c>
      <c r="L1706">
        <v>78.069999999999993</v>
      </c>
      <c r="M1706">
        <v>86</v>
      </c>
      <c r="N1706">
        <v>40.79</v>
      </c>
      <c r="O1706">
        <v>95</v>
      </c>
      <c r="P1706">
        <v>-6.68</v>
      </c>
      <c r="Q1706">
        <v>99</v>
      </c>
      <c r="R1706">
        <v>8.19</v>
      </c>
      <c r="S1706">
        <v>86</v>
      </c>
      <c r="T1706">
        <v>4.0599999999999996</v>
      </c>
      <c r="U1706">
        <v>94</v>
      </c>
      <c r="V1706">
        <v>-4.4400000000000004</v>
      </c>
      <c r="W1706">
        <v>76</v>
      </c>
      <c r="X1706" t="s">
        <v>276</v>
      </c>
      <c r="Y1706" t="s">
        <v>1923</v>
      </c>
      <c r="Z1706" t="s">
        <v>96</v>
      </c>
      <c r="AA1706" t="s">
        <v>7617</v>
      </c>
      <c r="AB1706" t="s">
        <v>5325</v>
      </c>
      <c r="AC1706">
        <v>586</v>
      </c>
      <c r="AD1706">
        <v>165</v>
      </c>
      <c r="AE1706">
        <v>99</v>
      </c>
      <c r="AF1706">
        <v>-411.36</v>
      </c>
      <c r="AG1706">
        <v>-6.13</v>
      </c>
      <c r="AH1706">
        <v>-8.9</v>
      </c>
      <c r="AI1706">
        <v>0.19</v>
      </c>
      <c r="AJ1706">
        <v>0.1</v>
      </c>
      <c r="AK1706">
        <v>86</v>
      </c>
      <c r="AL1706">
        <v>768</v>
      </c>
      <c r="AM1706">
        <v>244</v>
      </c>
      <c r="AN1706">
        <v>-5.47</v>
      </c>
      <c r="AO1706">
        <v>0.74</v>
      </c>
      <c r="AP1706">
        <v>1746</v>
      </c>
      <c r="AQ1706">
        <v>15</v>
      </c>
      <c r="AR1706">
        <v>5.09</v>
      </c>
      <c r="AS1706">
        <v>93</v>
      </c>
      <c r="AT1706">
        <v>2.2799999999999998</v>
      </c>
      <c r="AU1706">
        <v>98</v>
      </c>
      <c r="AV1706">
        <v>-2.85</v>
      </c>
      <c r="AW1706">
        <v>99</v>
      </c>
      <c r="AX1706">
        <v>-0.51</v>
      </c>
      <c r="AY1706">
        <v>98</v>
      </c>
      <c r="AZ1706">
        <v>5.22</v>
      </c>
      <c r="BA1706">
        <v>89</v>
      </c>
      <c r="BB1706">
        <v>4.4000000000000004</v>
      </c>
      <c r="BC1706">
        <v>80</v>
      </c>
      <c r="BD1706">
        <v>-0.02</v>
      </c>
      <c r="BE1706">
        <v>-0.05</v>
      </c>
      <c r="BF1706">
        <v>-0.06</v>
      </c>
      <c r="BG1706">
        <v>96</v>
      </c>
      <c r="BH1706">
        <v>-0.28999999999999998</v>
      </c>
      <c r="BI1706">
        <v>-19.21</v>
      </c>
      <c r="BJ1706">
        <v>18</v>
      </c>
      <c r="BK1706">
        <v>8</v>
      </c>
      <c r="BL1706">
        <v>-2.58</v>
      </c>
      <c r="BM1706">
        <v>2.0299999999999998</v>
      </c>
      <c r="BN1706">
        <v>-2.61</v>
      </c>
      <c r="BO1706">
        <v>-3.44</v>
      </c>
      <c r="BP1706">
        <v>-0.72</v>
      </c>
      <c r="BQ1706">
        <v>2.2599999999999998</v>
      </c>
      <c r="BR1706">
        <v>-0.43</v>
      </c>
      <c r="BS1706">
        <v>-1.31</v>
      </c>
      <c r="BT1706">
        <v>-0.23</v>
      </c>
      <c r="BU1706">
        <v>-2.56</v>
      </c>
      <c r="BV1706">
        <v>-3.03</v>
      </c>
      <c r="BW1706">
        <v>-3.55</v>
      </c>
      <c r="BX1706">
        <v>0.06</v>
      </c>
      <c r="BY1706">
        <v>-3.79</v>
      </c>
      <c r="BZ1706">
        <v>-3.02</v>
      </c>
      <c r="CA1706">
        <v>-2.4900000000000002</v>
      </c>
      <c r="CB1706">
        <v>-3.16</v>
      </c>
      <c r="CC1706">
        <v>-0.31</v>
      </c>
      <c r="CD1706">
        <v>3.31</v>
      </c>
      <c r="CE1706">
        <v>-3.47</v>
      </c>
      <c r="CF1706">
        <v>-1.54</v>
      </c>
      <c r="CG1706">
        <v>0</v>
      </c>
      <c r="CH1706">
        <v>-2.67</v>
      </c>
      <c r="CI1706">
        <v>0</v>
      </c>
      <c r="CJ1706">
        <v>-3.2</v>
      </c>
      <c r="CK1706">
        <v>99</v>
      </c>
      <c r="CL1706">
        <v>-0.28999999999999998</v>
      </c>
      <c r="CM1706">
        <v>99</v>
      </c>
      <c r="CN1706">
        <v>-0.09</v>
      </c>
      <c r="CO1706">
        <v>99</v>
      </c>
      <c r="CP1706">
        <v>-2.2000000000000002</v>
      </c>
      <c r="CQ1706">
        <v>94</v>
      </c>
      <c r="CR1706">
        <v>0</v>
      </c>
      <c r="CS1706">
        <v>0</v>
      </c>
      <c r="CT1706">
        <v>8.3000000000000007</v>
      </c>
      <c r="CU1706">
        <v>94</v>
      </c>
      <c r="CV1706">
        <v>0.05</v>
      </c>
      <c r="CW1706">
        <v>46</v>
      </c>
      <c r="CX1706" t="s">
        <v>5326</v>
      </c>
    </row>
    <row r="1707" spans="1:102" x14ac:dyDescent="0.3">
      <c r="A1707" t="str">
        <f>HYPERLINK("https://webapp.icbf.com/v2/app/bull-search/view/1312501823","FR2252")</f>
        <v>FR2252</v>
      </c>
      <c r="B1707" t="s">
        <v>8502</v>
      </c>
      <c r="C1707" t="s">
        <v>8503</v>
      </c>
      <c r="D1707" s="1">
        <v>41771</v>
      </c>
      <c r="E1707" t="s">
        <v>92</v>
      </c>
      <c r="F1707">
        <v>100</v>
      </c>
      <c r="G1707" t="s">
        <v>109</v>
      </c>
      <c r="H1707">
        <v>91.79</v>
      </c>
      <c r="I1707">
        <v>73</v>
      </c>
      <c r="J1707">
        <v>67.739999999999995</v>
      </c>
      <c r="K1707">
        <v>91</v>
      </c>
      <c r="L1707">
        <v>-11.08</v>
      </c>
      <c r="M1707">
        <v>69</v>
      </c>
      <c r="N1707">
        <v>30.2</v>
      </c>
      <c r="O1707">
        <v>73</v>
      </c>
      <c r="P1707">
        <v>7.92</v>
      </c>
      <c r="Q1707">
        <v>59</v>
      </c>
      <c r="R1707">
        <v>19.510000000000002</v>
      </c>
      <c r="S1707">
        <v>69</v>
      </c>
      <c r="T1707">
        <v>-19.329999999999998</v>
      </c>
      <c r="U1707">
        <v>42</v>
      </c>
      <c r="V1707">
        <v>-3.17</v>
      </c>
      <c r="W1707">
        <v>54</v>
      </c>
      <c r="X1707" t="s">
        <v>102</v>
      </c>
      <c r="Y1707" t="s">
        <v>405</v>
      </c>
      <c r="Z1707" t="s">
        <v>96</v>
      </c>
      <c r="AA1707" t="s">
        <v>3137</v>
      </c>
      <c r="AB1707" t="s">
        <v>8504</v>
      </c>
      <c r="AC1707">
        <v>0</v>
      </c>
      <c r="AD1707">
        <v>0</v>
      </c>
      <c r="AE1707">
        <v>91</v>
      </c>
      <c r="AF1707">
        <v>337.58</v>
      </c>
      <c r="AG1707">
        <v>7.54</v>
      </c>
      <c r="AH1707">
        <v>14.02</v>
      </c>
      <c r="AI1707">
        <v>-0.09</v>
      </c>
      <c r="AJ1707">
        <v>0.04</v>
      </c>
      <c r="AK1707">
        <v>69</v>
      </c>
      <c r="AL1707">
        <v>0</v>
      </c>
      <c r="AM1707">
        <v>0</v>
      </c>
      <c r="AN1707">
        <v>0.91</v>
      </c>
      <c r="AO1707">
        <v>0.03</v>
      </c>
      <c r="AP1707">
        <v>98</v>
      </c>
      <c r="AQ1707">
        <v>0</v>
      </c>
      <c r="AR1707">
        <v>6.95</v>
      </c>
      <c r="AS1707">
        <v>57</v>
      </c>
      <c r="AT1707">
        <v>2.66</v>
      </c>
      <c r="AU1707">
        <v>92</v>
      </c>
      <c r="AV1707">
        <v>-2.9</v>
      </c>
      <c r="AW1707">
        <v>81</v>
      </c>
      <c r="AX1707">
        <v>-0.73</v>
      </c>
      <c r="AY1707">
        <v>64</v>
      </c>
      <c r="AZ1707">
        <v>5.9</v>
      </c>
      <c r="BA1707">
        <v>41</v>
      </c>
      <c r="BB1707">
        <v>5.2</v>
      </c>
      <c r="BC1707">
        <v>35</v>
      </c>
      <c r="BD1707">
        <v>-0.04</v>
      </c>
      <c r="BE1707">
        <v>-0.08</v>
      </c>
      <c r="BF1707">
        <v>-0.23</v>
      </c>
      <c r="BG1707">
        <v>87</v>
      </c>
      <c r="BH1707">
        <v>-0.02</v>
      </c>
      <c r="BI1707">
        <v>7.91</v>
      </c>
      <c r="BJ1707">
        <v>0</v>
      </c>
      <c r="BK1707">
        <v>0</v>
      </c>
      <c r="BL1707">
        <v>1.52</v>
      </c>
      <c r="BM1707">
        <v>1.2</v>
      </c>
      <c r="BN1707">
        <v>0.19</v>
      </c>
      <c r="BO1707">
        <v>0.36</v>
      </c>
      <c r="BP1707">
        <v>-0.53</v>
      </c>
      <c r="BQ1707">
        <v>2.1800000000000002</v>
      </c>
      <c r="BR1707">
        <v>-1.36</v>
      </c>
      <c r="BS1707">
        <v>1.17</v>
      </c>
      <c r="BT1707">
        <v>1.55</v>
      </c>
      <c r="BU1707">
        <v>3.12</v>
      </c>
      <c r="BV1707">
        <v>1.79</v>
      </c>
      <c r="BW1707">
        <v>2.4900000000000002</v>
      </c>
      <c r="BX1707">
        <v>2.93</v>
      </c>
      <c r="BY1707">
        <v>3.85</v>
      </c>
      <c r="BZ1707">
        <v>-4.54</v>
      </c>
      <c r="CA1707">
        <v>2.96</v>
      </c>
      <c r="CB1707">
        <v>2.63</v>
      </c>
      <c r="CC1707">
        <v>2</v>
      </c>
      <c r="CD1707">
        <v>0.62</v>
      </c>
      <c r="CE1707">
        <v>0.75</v>
      </c>
      <c r="CF1707">
        <v>1.69</v>
      </c>
      <c r="CG1707">
        <v>0</v>
      </c>
      <c r="CH1707">
        <v>5.0199999999999996</v>
      </c>
      <c r="CI1707">
        <v>0</v>
      </c>
      <c r="CJ1707">
        <v>8.1</v>
      </c>
      <c r="CK1707">
        <v>62</v>
      </c>
      <c r="CL1707">
        <v>-1.39</v>
      </c>
      <c r="CM1707">
        <v>58</v>
      </c>
      <c r="CN1707">
        <v>-0.78</v>
      </c>
      <c r="CO1707">
        <v>56</v>
      </c>
      <c r="CP1707">
        <v>13</v>
      </c>
      <c r="CQ1707">
        <v>47</v>
      </c>
      <c r="CR1707">
        <v>0</v>
      </c>
      <c r="CS1707">
        <v>0</v>
      </c>
      <c r="CT1707">
        <v>39.9</v>
      </c>
      <c r="CU1707">
        <v>42</v>
      </c>
      <c r="CV1707">
        <v>0.28999999999999998</v>
      </c>
      <c r="CW1707">
        <v>38</v>
      </c>
      <c r="CX1707" t="s">
        <v>2187</v>
      </c>
    </row>
    <row r="1708" spans="1:102" x14ac:dyDescent="0.3">
      <c r="A1708" t="str">
        <f>HYPERLINK("https://webapp.icbf.com/v2/app/bull-search/view/760400642","HZF")</f>
        <v>HZF</v>
      </c>
      <c r="B1708" t="s">
        <v>7142</v>
      </c>
      <c r="C1708" t="s">
        <v>7143</v>
      </c>
      <c r="D1708" s="1">
        <v>40032</v>
      </c>
      <c r="E1708" t="s">
        <v>92</v>
      </c>
      <c r="F1708">
        <v>69</v>
      </c>
      <c r="G1708" t="s">
        <v>109</v>
      </c>
      <c r="H1708">
        <v>91.64</v>
      </c>
      <c r="I1708">
        <v>76</v>
      </c>
      <c r="J1708">
        <v>49.38</v>
      </c>
      <c r="K1708">
        <v>89</v>
      </c>
      <c r="L1708">
        <v>40.479999999999997</v>
      </c>
      <c r="M1708">
        <v>72</v>
      </c>
      <c r="N1708">
        <v>20.62</v>
      </c>
      <c r="O1708">
        <v>67</v>
      </c>
      <c r="P1708">
        <v>-30.52</v>
      </c>
      <c r="Q1708">
        <v>72</v>
      </c>
      <c r="R1708">
        <v>-3.48</v>
      </c>
      <c r="S1708">
        <v>69</v>
      </c>
      <c r="T1708">
        <v>18.64</v>
      </c>
      <c r="U1708">
        <v>73</v>
      </c>
      <c r="V1708">
        <v>-3.48</v>
      </c>
      <c r="W1708">
        <v>55</v>
      </c>
      <c r="X1708" t="s">
        <v>276</v>
      </c>
      <c r="Y1708" t="s">
        <v>329</v>
      </c>
      <c r="Z1708" t="s">
        <v>330</v>
      </c>
      <c r="AA1708" t="s">
        <v>7144</v>
      </c>
      <c r="AB1708" t="s">
        <v>7145</v>
      </c>
      <c r="AC1708">
        <v>0</v>
      </c>
      <c r="AD1708">
        <v>0</v>
      </c>
      <c r="AE1708">
        <v>89</v>
      </c>
      <c r="AF1708">
        <v>-95.18</v>
      </c>
      <c r="AG1708">
        <v>9.6999999999999993</v>
      </c>
      <c r="AH1708">
        <v>3.51</v>
      </c>
      <c r="AI1708">
        <v>0.24</v>
      </c>
      <c r="AJ1708">
        <v>0.12</v>
      </c>
      <c r="AK1708">
        <v>72</v>
      </c>
      <c r="AL1708">
        <v>0</v>
      </c>
      <c r="AM1708">
        <v>0</v>
      </c>
      <c r="AN1708">
        <v>-1.27</v>
      </c>
      <c r="AO1708">
        <v>1.97</v>
      </c>
      <c r="AP1708">
        <v>36</v>
      </c>
      <c r="AQ1708">
        <v>1</v>
      </c>
      <c r="AR1708">
        <v>5.48</v>
      </c>
      <c r="AS1708">
        <v>47</v>
      </c>
      <c r="AT1708">
        <v>2.79</v>
      </c>
      <c r="AU1708">
        <v>77</v>
      </c>
      <c r="AV1708">
        <v>-2.0099999999999998</v>
      </c>
      <c r="AW1708">
        <v>81</v>
      </c>
      <c r="AX1708">
        <v>-0.62</v>
      </c>
      <c r="AY1708">
        <v>57</v>
      </c>
      <c r="AZ1708">
        <v>6.91</v>
      </c>
      <c r="BA1708">
        <v>35</v>
      </c>
      <c r="BB1708">
        <v>5.78</v>
      </c>
      <c r="BC1708">
        <v>35</v>
      </c>
      <c r="BD1708">
        <v>0</v>
      </c>
      <c r="BE1708">
        <v>0</v>
      </c>
      <c r="BF1708">
        <v>0.08</v>
      </c>
      <c r="BG1708">
        <v>88</v>
      </c>
      <c r="BH1708">
        <v>-0.18</v>
      </c>
      <c r="BI1708">
        <v>-9.61</v>
      </c>
      <c r="BJ1708">
        <v>0</v>
      </c>
      <c r="BK1708">
        <v>0</v>
      </c>
      <c r="BL1708">
        <v>-2.17</v>
      </c>
      <c r="BM1708">
        <v>-0.26</v>
      </c>
      <c r="BN1708">
        <v>-0.68</v>
      </c>
      <c r="BO1708">
        <v>-0.26</v>
      </c>
      <c r="BP1708">
        <v>-3.42</v>
      </c>
      <c r="BQ1708">
        <v>-1.17</v>
      </c>
      <c r="BR1708">
        <v>1.22</v>
      </c>
      <c r="BS1708">
        <v>-0.74</v>
      </c>
      <c r="BT1708">
        <v>-2.19</v>
      </c>
      <c r="BU1708">
        <v>0.44</v>
      </c>
      <c r="BV1708">
        <v>-0.05</v>
      </c>
      <c r="BW1708">
        <v>-0.24</v>
      </c>
      <c r="BX1708">
        <v>-0.22</v>
      </c>
      <c r="BY1708">
        <v>-2.0499999999999998</v>
      </c>
      <c r="BZ1708">
        <v>-0.18</v>
      </c>
      <c r="CA1708">
        <v>-0.65</v>
      </c>
      <c r="CB1708">
        <v>-0.32</v>
      </c>
      <c r="CC1708">
        <v>-1.34</v>
      </c>
      <c r="CD1708">
        <v>0.3</v>
      </c>
      <c r="CE1708">
        <v>-0.78</v>
      </c>
      <c r="CF1708">
        <v>-2.11</v>
      </c>
      <c r="CG1708">
        <v>0</v>
      </c>
      <c r="CH1708">
        <v>-2.29</v>
      </c>
      <c r="CI1708">
        <v>0</v>
      </c>
      <c r="CJ1708">
        <v>-16</v>
      </c>
      <c r="CK1708">
        <v>75</v>
      </c>
      <c r="CL1708">
        <v>-0.77</v>
      </c>
      <c r="CM1708">
        <v>70</v>
      </c>
      <c r="CN1708">
        <v>-0.24</v>
      </c>
      <c r="CO1708">
        <v>67</v>
      </c>
      <c r="CP1708">
        <v>-22</v>
      </c>
      <c r="CQ1708">
        <v>67</v>
      </c>
      <c r="CR1708">
        <v>0</v>
      </c>
      <c r="CS1708">
        <v>0</v>
      </c>
      <c r="CT1708">
        <v>-11.4</v>
      </c>
      <c r="CU1708">
        <v>73</v>
      </c>
      <c r="CV1708">
        <v>0</v>
      </c>
      <c r="CW1708">
        <v>40</v>
      </c>
      <c r="CX1708" t="s">
        <v>1451</v>
      </c>
    </row>
    <row r="1709" spans="1:102" x14ac:dyDescent="0.3">
      <c r="A1709" t="str">
        <f>HYPERLINK("https://webapp.icbf.com/v2/app/bull-search/view/381922844","TGX")</f>
        <v>TGX</v>
      </c>
      <c r="B1709" t="s">
        <v>15712</v>
      </c>
      <c r="C1709" t="s">
        <v>15713</v>
      </c>
      <c r="D1709" s="1">
        <v>36384</v>
      </c>
      <c r="E1709" t="s">
        <v>227</v>
      </c>
      <c r="F1709">
        <v>0</v>
      </c>
      <c r="G1709" t="s">
        <v>109</v>
      </c>
      <c r="H1709">
        <v>91.64</v>
      </c>
      <c r="I1709">
        <v>87</v>
      </c>
      <c r="J1709">
        <v>25.62</v>
      </c>
      <c r="K1709">
        <v>93</v>
      </c>
      <c r="L1709">
        <v>48.67</v>
      </c>
      <c r="M1709">
        <v>86</v>
      </c>
      <c r="N1709">
        <v>6.14</v>
      </c>
      <c r="O1709">
        <v>78</v>
      </c>
      <c r="P1709">
        <v>-56.61</v>
      </c>
      <c r="Q1709">
        <v>85</v>
      </c>
      <c r="R1709">
        <v>-3.1</v>
      </c>
      <c r="S1709">
        <v>79</v>
      </c>
      <c r="T1709">
        <v>65.55</v>
      </c>
      <c r="U1709">
        <v>82</v>
      </c>
      <c r="V1709">
        <v>5.37</v>
      </c>
      <c r="W1709">
        <v>78</v>
      </c>
      <c r="X1709" t="s">
        <v>102</v>
      </c>
      <c r="Y1709" t="s">
        <v>95</v>
      </c>
      <c r="Z1709">
        <v>0</v>
      </c>
      <c r="AA1709" t="s">
        <v>554</v>
      </c>
      <c r="AB1709" t="s">
        <v>15714</v>
      </c>
      <c r="AC1709">
        <v>35</v>
      </c>
      <c r="AD1709">
        <v>17</v>
      </c>
      <c r="AE1709">
        <v>93</v>
      </c>
      <c r="AF1709">
        <v>-514.19000000000005</v>
      </c>
      <c r="AG1709">
        <v>8.0500000000000007</v>
      </c>
      <c r="AH1709">
        <v>-6.36</v>
      </c>
      <c r="AI1709">
        <v>0.54</v>
      </c>
      <c r="AJ1709">
        <v>0.21</v>
      </c>
      <c r="AK1709">
        <v>86</v>
      </c>
      <c r="AL1709">
        <v>41</v>
      </c>
      <c r="AM1709">
        <v>22</v>
      </c>
      <c r="AN1709">
        <v>-1.2</v>
      </c>
      <c r="AO1709">
        <v>2.7</v>
      </c>
      <c r="AP1709">
        <v>53</v>
      </c>
      <c r="AQ1709">
        <v>1</v>
      </c>
      <c r="AR1709">
        <v>2.08</v>
      </c>
      <c r="AS1709">
        <v>72</v>
      </c>
      <c r="AT1709">
        <v>1.1499999999999999</v>
      </c>
      <c r="AU1709">
        <v>74</v>
      </c>
      <c r="AV1709">
        <v>1.34</v>
      </c>
      <c r="AW1709">
        <v>90</v>
      </c>
      <c r="AX1709">
        <v>1.26</v>
      </c>
      <c r="AY1709">
        <v>71</v>
      </c>
      <c r="AZ1709">
        <v>7.17</v>
      </c>
      <c r="BA1709">
        <v>59</v>
      </c>
      <c r="BB1709">
        <v>5.43</v>
      </c>
      <c r="BC1709">
        <v>63</v>
      </c>
      <c r="BD1709">
        <v>-0.04</v>
      </c>
      <c r="BE1709">
        <v>0.02</v>
      </c>
      <c r="BF1709">
        <v>0.1</v>
      </c>
      <c r="BG1709">
        <v>83</v>
      </c>
      <c r="BH1709">
        <v>0.11</v>
      </c>
      <c r="BI1709">
        <v>-4.59</v>
      </c>
      <c r="BJ1709">
        <v>3</v>
      </c>
      <c r="BK1709">
        <v>2</v>
      </c>
      <c r="BL1709">
        <v>-2.02</v>
      </c>
      <c r="BM1709">
        <v>-2.25</v>
      </c>
      <c r="BN1709">
        <v>-0.57999999999999996</v>
      </c>
      <c r="BO1709">
        <v>1.4</v>
      </c>
      <c r="BP1709">
        <v>0.21</v>
      </c>
      <c r="BQ1709">
        <v>-6.16</v>
      </c>
      <c r="BR1709">
        <v>3.1</v>
      </c>
      <c r="BS1709">
        <v>5.51</v>
      </c>
      <c r="BT1709">
        <v>-2.2000000000000002</v>
      </c>
      <c r="BU1709">
        <v>-0.55000000000000004</v>
      </c>
      <c r="BV1709">
        <v>-0.62</v>
      </c>
      <c r="BW1709">
        <v>-2.58</v>
      </c>
      <c r="BX1709">
        <v>-3.99</v>
      </c>
      <c r="BY1709">
        <v>0.12</v>
      </c>
      <c r="BZ1709">
        <v>-1.23</v>
      </c>
      <c r="CA1709">
        <v>1.01</v>
      </c>
      <c r="CB1709">
        <v>-0.24</v>
      </c>
      <c r="CC1709">
        <v>3.15</v>
      </c>
      <c r="CD1709">
        <v>-2.44</v>
      </c>
      <c r="CE1709">
        <v>1.01</v>
      </c>
      <c r="CF1709">
        <v>-2.71</v>
      </c>
      <c r="CG1709">
        <v>0</v>
      </c>
      <c r="CH1709">
        <v>-1.24</v>
      </c>
      <c r="CI1709">
        <v>0</v>
      </c>
      <c r="CJ1709">
        <v>-29</v>
      </c>
      <c r="CK1709">
        <v>87</v>
      </c>
      <c r="CL1709">
        <v>-1.0900000000000001</v>
      </c>
      <c r="CM1709">
        <v>84</v>
      </c>
      <c r="CN1709">
        <v>-0.21</v>
      </c>
      <c r="CO1709">
        <v>82</v>
      </c>
      <c r="CP1709">
        <v>-52</v>
      </c>
      <c r="CQ1709">
        <v>83</v>
      </c>
      <c r="CR1709">
        <v>0</v>
      </c>
      <c r="CS1709">
        <v>0</v>
      </c>
      <c r="CT1709">
        <v>-74.8</v>
      </c>
      <c r="CU1709">
        <v>82</v>
      </c>
      <c r="CV1709">
        <v>-0.23</v>
      </c>
      <c r="CW1709">
        <v>43</v>
      </c>
      <c r="CX1709" t="s">
        <v>514</v>
      </c>
    </row>
    <row r="1710" spans="1:102" x14ac:dyDescent="0.3">
      <c r="A1710" t="str">
        <f>HYPERLINK("https://webapp.icbf.com/v2/app/bull-search/view/77857978","DSB")</f>
        <v>DSB</v>
      </c>
      <c r="B1710" t="s">
        <v>15355</v>
      </c>
      <c r="C1710" t="s">
        <v>1089</v>
      </c>
      <c r="D1710" s="1">
        <v>32765</v>
      </c>
      <c r="E1710" t="s">
        <v>92</v>
      </c>
      <c r="F1710">
        <v>63</v>
      </c>
      <c r="G1710" t="s">
        <v>93</v>
      </c>
      <c r="H1710">
        <v>91.52</v>
      </c>
      <c r="I1710">
        <v>97</v>
      </c>
      <c r="J1710">
        <v>18.07</v>
      </c>
      <c r="K1710">
        <v>99</v>
      </c>
      <c r="L1710">
        <v>41.85</v>
      </c>
      <c r="M1710">
        <v>94</v>
      </c>
      <c r="N1710">
        <v>31.84</v>
      </c>
      <c r="O1710">
        <v>97</v>
      </c>
      <c r="P1710">
        <v>-28.85</v>
      </c>
      <c r="Q1710">
        <v>99</v>
      </c>
      <c r="R1710">
        <v>-12.69</v>
      </c>
      <c r="S1710">
        <v>94</v>
      </c>
      <c r="T1710">
        <v>33.51</v>
      </c>
      <c r="U1710">
        <v>98</v>
      </c>
      <c r="V1710">
        <v>7.79</v>
      </c>
      <c r="W1710">
        <v>94</v>
      </c>
      <c r="X1710" t="s">
        <v>302</v>
      </c>
      <c r="Y1710" t="s">
        <v>95</v>
      </c>
      <c r="Z1710" t="s">
        <v>96</v>
      </c>
      <c r="AA1710" t="s">
        <v>4295</v>
      </c>
      <c r="AB1710" t="s">
        <v>15356</v>
      </c>
      <c r="AC1710">
        <v>884</v>
      </c>
      <c r="AD1710">
        <v>243</v>
      </c>
      <c r="AE1710">
        <v>99</v>
      </c>
      <c r="AF1710">
        <v>-119.25</v>
      </c>
      <c r="AG1710">
        <v>8.5299999999999994</v>
      </c>
      <c r="AH1710">
        <v>-1.77</v>
      </c>
      <c r="AI1710">
        <v>0.24</v>
      </c>
      <c r="AJ1710">
        <v>0.04</v>
      </c>
      <c r="AK1710">
        <v>94</v>
      </c>
      <c r="AL1710">
        <v>1051</v>
      </c>
      <c r="AM1710">
        <v>311</v>
      </c>
      <c r="AN1710">
        <v>-2.1</v>
      </c>
      <c r="AO1710">
        <v>1.24</v>
      </c>
      <c r="AP1710">
        <v>230</v>
      </c>
      <c r="AQ1710">
        <v>2</v>
      </c>
      <c r="AR1710">
        <v>4.45</v>
      </c>
      <c r="AS1710">
        <v>92</v>
      </c>
      <c r="AT1710">
        <v>1.75</v>
      </c>
      <c r="AU1710">
        <v>97</v>
      </c>
      <c r="AV1710">
        <v>-2.62</v>
      </c>
      <c r="AW1710">
        <v>98</v>
      </c>
      <c r="AX1710">
        <v>0.31</v>
      </c>
      <c r="AY1710">
        <v>97</v>
      </c>
      <c r="AZ1710">
        <v>6.1</v>
      </c>
      <c r="BA1710">
        <v>91</v>
      </c>
      <c r="BB1710">
        <v>6.06</v>
      </c>
      <c r="BC1710">
        <v>95</v>
      </c>
      <c r="BD1710">
        <v>0.01</v>
      </c>
      <c r="BE1710">
        <v>0.05</v>
      </c>
      <c r="BF1710">
        <v>0.18</v>
      </c>
      <c r="BG1710">
        <v>98</v>
      </c>
      <c r="BH1710">
        <v>0.26</v>
      </c>
      <c r="BI1710">
        <v>4.95</v>
      </c>
      <c r="BJ1710">
        <v>25</v>
      </c>
      <c r="BK1710">
        <v>16</v>
      </c>
      <c r="BL1710">
        <v>-1.44</v>
      </c>
      <c r="BM1710">
        <v>-1.75</v>
      </c>
      <c r="BN1710">
        <v>-2.89</v>
      </c>
      <c r="BO1710">
        <v>-1.19</v>
      </c>
      <c r="BP1710">
        <v>0.03</v>
      </c>
      <c r="BQ1710">
        <v>-3.68</v>
      </c>
      <c r="BR1710">
        <v>-0.13</v>
      </c>
      <c r="BS1710">
        <v>-3.16</v>
      </c>
      <c r="BT1710">
        <v>-0.38</v>
      </c>
      <c r="BU1710">
        <v>-0.99</v>
      </c>
      <c r="BV1710">
        <v>-0.15</v>
      </c>
      <c r="BW1710">
        <v>0.09</v>
      </c>
      <c r="BX1710">
        <v>0.31</v>
      </c>
      <c r="BY1710">
        <v>-0.28000000000000003</v>
      </c>
      <c r="BZ1710">
        <v>2.76</v>
      </c>
      <c r="CA1710">
        <v>-1.59</v>
      </c>
      <c r="CB1710">
        <v>-0.68</v>
      </c>
      <c r="CC1710">
        <v>-2.91</v>
      </c>
      <c r="CD1710">
        <v>-0.3</v>
      </c>
      <c r="CE1710">
        <v>-1.56</v>
      </c>
      <c r="CF1710">
        <v>-3.02</v>
      </c>
      <c r="CG1710">
        <v>0</v>
      </c>
      <c r="CH1710">
        <v>0.11</v>
      </c>
      <c r="CI1710">
        <v>0</v>
      </c>
      <c r="CJ1710">
        <v>-12.1</v>
      </c>
      <c r="CK1710">
        <v>99</v>
      </c>
      <c r="CL1710">
        <v>-0.73</v>
      </c>
      <c r="CM1710">
        <v>98</v>
      </c>
      <c r="CN1710">
        <v>0.05</v>
      </c>
      <c r="CO1710">
        <v>98</v>
      </c>
      <c r="CP1710">
        <v>-26.9</v>
      </c>
      <c r="CQ1710">
        <v>99</v>
      </c>
      <c r="CR1710">
        <v>0</v>
      </c>
      <c r="CS1710">
        <v>0</v>
      </c>
      <c r="CT1710">
        <v>-31.5</v>
      </c>
      <c r="CU1710">
        <v>98</v>
      </c>
      <c r="CV1710">
        <v>0</v>
      </c>
      <c r="CW1710">
        <v>47</v>
      </c>
      <c r="CX1710" t="s">
        <v>15357</v>
      </c>
    </row>
    <row r="1711" spans="1:102" x14ac:dyDescent="0.3">
      <c r="A1711" t="str">
        <f>HYPERLINK("https://webapp.icbf.com/v2/app/bull-search/view/487001900","TSF")</f>
        <v>TSF</v>
      </c>
      <c r="B1711" t="s">
        <v>8165</v>
      </c>
      <c r="C1711" t="s">
        <v>8166</v>
      </c>
      <c r="D1711" s="1">
        <v>38574</v>
      </c>
      <c r="E1711" t="s">
        <v>92</v>
      </c>
      <c r="F1711">
        <v>63</v>
      </c>
      <c r="G1711" t="s">
        <v>93</v>
      </c>
      <c r="H1711">
        <v>91.43</v>
      </c>
      <c r="I1711">
        <v>90</v>
      </c>
      <c r="J1711">
        <v>22.51</v>
      </c>
      <c r="K1711">
        <v>98</v>
      </c>
      <c r="L1711">
        <v>61.59</v>
      </c>
      <c r="M1711">
        <v>83</v>
      </c>
      <c r="N1711">
        <v>5.43</v>
      </c>
      <c r="O1711">
        <v>89</v>
      </c>
      <c r="P1711">
        <v>-28.33</v>
      </c>
      <c r="Q1711">
        <v>94</v>
      </c>
      <c r="R1711">
        <v>0.74</v>
      </c>
      <c r="S1711">
        <v>85</v>
      </c>
      <c r="T1711">
        <v>26.18</v>
      </c>
      <c r="U1711">
        <v>92</v>
      </c>
      <c r="V1711">
        <v>3.31</v>
      </c>
      <c r="W1711">
        <v>87</v>
      </c>
      <c r="X1711" t="s">
        <v>276</v>
      </c>
      <c r="Y1711" t="s">
        <v>435</v>
      </c>
      <c r="Z1711" t="s">
        <v>330</v>
      </c>
      <c r="AA1711" t="s">
        <v>8167</v>
      </c>
      <c r="AB1711" t="s">
        <v>8168</v>
      </c>
      <c r="AC1711">
        <v>155</v>
      </c>
      <c r="AD1711">
        <v>68</v>
      </c>
      <c r="AE1711">
        <v>98</v>
      </c>
      <c r="AF1711">
        <v>-226</v>
      </c>
      <c r="AG1711">
        <v>-2.21</v>
      </c>
      <c r="AH1711">
        <v>1.1499999999999999</v>
      </c>
      <c r="AI1711">
        <v>0.12</v>
      </c>
      <c r="AJ1711">
        <v>0.16</v>
      </c>
      <c r="AK1711">
        <v>83</v>
      </c>
      <c r="AL1711">
        <v>168</v>
      </c>
      <c r="AM1711">
        <v>75</v>
      </c>
      <c r="AN1711">
        <v>-4.26</v>
      </c>
      <c r="AO1711">
        <v>0.64</v>
      </c>
      <c r="AP1711">
        <v>305</v>
      </c>
      <c r="AQ1711">
        <v>1</v>
      </c>
      <c r="AR1711">
        <v>6.25</v>
      </c>
      <c r="AS1711">
        <v>83</v>
      </c>
      <c r="AT1711">
        <v>2.31</v>
      </c>
      <c r="AU1711">
        <v>90</v>
      </c>
      <c r="AV1711">
        <v>-0.28000000000000003</v>
      </c>
      <c r="AW1711">
        <v>97</v>
      </c>
      <c r="AX1711">
        <v>0.85</v>
      </c>
      <c r="AY1711">
        <v>87</v>
      </c>
      <c r="AZ1711">
        <v>7.36</v>
      </c>
      <c r="BA1711">
        <v>71</v>
      </c>
      <c r="BB1711">
        <v>5.56</v>
      </c>
      <c r="BC1711">
        <v>74</v>
      </c>
      <c r="BD1711">
        <v>-0.03</v>
      </c>
      <c r="BE1711">
        <v>-0.03</v>
      </c>
      <c r="BF1711">
        <v>0.09</v>
      </c>
      <c r="BG1711">
        <v>92</v>
      </c>
      <c r="BH1711">
        <v>-0.03</v>
      </c>
      <c r="BI1711">
        <v>-14.16</v>
      </c>
      <c r="BJ1711">
        <v>5</v>
      </c>
      <c r="BK1711">
        <v>3</v>
      </c>
      <c r="BL1711">
        <v>-1.44</v>
      </c>
      <c r="BM1711">
        <v>0.96</v>
      </c>
      <c r="BN1711">
        <v>-0.13</v>
      </c>
      <c r="BO1711">
        <v>-1.5</v>
      </c>
      <c r="BP1711">
        <v>-2.46</v>
      </c>
      <c r="BQ1711">
        <v>-2.73</v>
      </c>
      <c r="BR1711">
        <v>-0.66</v>
      </c>
      <c r="BS1711">
        <v>-1.61</v>
      </c>
      <c r="BT1711">
        <v>-1.9</v>
      </c>
      <c r="BU1711">
        <v>-0.32</v>
      </c>
      <c r="BV1711">
        <v>-0.7</v>
      </c>
      <c r="BW1711">
        <v>-0.56000000000000005</v>
      </c>
      <c r="BX1711">
        <v>-1.94</v>
      </c>
      <c r="BY1711">
        <v>-0.68</v>
      </c>
      <c r="BZ1711">
        <v>0.25</v>
      </c>
      <c r="CA1711">
        <v>-1.02</v>
      </c>
      <c r="CB1711">
        <v>-0.57999999999999996</v>
      </c>
      <c r="CC1711">
        <v>-1.35</v>
      </c>
      <c r="CD1711">
        <v>0.78</v>
      </c>
      <c r="CE1711">
        <v>-1.19</v>
      </c>
      <c r="CF1711">
        <v>-1.67</v>
      </c>
      <c r="CG1711">
        <v>0</v>
      </c>
      <c r="CH1711">
        <v>-0.55000000000000004</v>
      </c>
      <c r="CI1711">
        <v>0</v>
      </c>
      <c r="CJ1711">
        <v>-13.2</v>
      </c>
      <c r="CK1711">
        <v>95</v>
      </c>
      <c r="CL1711">
        <v>-0.84</v>
      </c>
      <c r="CM1711">
        <v>94</v>
      </c>
      <c r="CN1711">
        <v>-0.11</v>
      </c>
      <c r="CO1711">
        <v>93</v>
      </c>
      <c r="CP1711">
        <v>-18.2</v>
      </c>
      <c r="CQ1711">
        <v>92</v>
      </c>
      <c r="CR1711">
        <v>0</v>
      </c>
      <c r="CS1711">
        <v>0</v>
      </c>
      <c r="CT1711">
        <v>-21.6</v>
      </c>
      <c r="CU1711">
        <v>92</v>
      </c>
      <c r="CV1711">
        <v>0.12</v>
      </c>
      <c r="CW1711">
        <v>45</v>
      </c>
      <c r="CX1711" t="s">
        <v>1496</v>
      </c>
    </row>
    <row r="1712" spans="1:102" x14ac:dyDescent="0.3">
      <c r="A1712" t="str">
        <f>HYPERLINK("https://webapp.icbf.com/v2/app/bull-search/view/1364113887","F354")</f>
        <v>F354</v>
      </c>
      <c r="B1712" t="s">
        <v>14987</v>
      </c>
      <c r="C1712" t="s">
        <v>14988</v>
      </c>
      <c r="D1712" s="1">
        <v>42301</v>
      </c>
      <c r="E1712" t="s">
        <v>108</v>
      </c>
      <c r="F1712">
        <v>6</v>
      </c>
      <c r="G1712" t="s">
        <v>435</v>
      </c>
      <c r="H1712">
        <v>91.41</v>
      </c>
      <c r="I1712">
        <v>57</v>
      </c>
      <c r="J1712">
        <v>-63.15</v>
      </c>
      <c r="K1712">
        <v>75</v>
      </c>
      <c r="L1712">
        <v>104.84</v>
      </c>
      <c r="M1712">
        <v>47</v>
      </c>
      <c r="N1712">
        <v>37.799999999999997</v>
      </c>
      <c r="O1712">
        <v>64</v>
      </c>
      <c r="P1712">
        <v>-3.59</v>
      </c>
      <c r="Q1712">
        <v>44</v>
      </c>
      <c r="R1712">
        <v>9</v>
      </c>
      <c r="S1712">
        <v>46</v>
      </c>
      <c r="T1712">
        <v>3.84</v>
      </c>
      <c r="U1712">
        <v>40</v>
      </c>
      <c r="V1712">
        <v>2.67</v>
      </c>
      <c r="W1712">
        <v>45</v>
      </c>
      <c r="X1712" t="s">
        <v>110</v>
      </c>
      <c r="Y1712" t="s">
        <v>2410</v>
      </c>
      <c r="Z1712" t="s">
        <v>96</v>
      </c>
      <c r="AA1712" t="s">
        <v>14989</v>
      </c>
      <c r="AB1712" t="s">
        <v>2347</v>
      </c>
      <c r="AC1712">
        <v>0</v>
      </c>
      <c r="AD1712">
        <v>0</v>
      </c>
      <c r="AE1712">
        <v>75</v>
      </c>
      <c r="AF1712">
        <v>-289.05</v>
      </c>
      <c r="AG1712">
        <v>-13.58</v>
      </c>
      <c r="AH1712">
        <v>-10.36</v>
      </c>
      <c r="AI1712">
        <v>-0.05</v>
      </c>
      <c r="AJ1712">
        <v>-0.01</v>
      </c>
      <c r="AK1712">
        <v>47</v>
      </c>
      <c r="AL1712">
        <v>0</v>
      </c>
      <c r="AM1712">
        <v>0</v>
      </c>
      <c r="AN1712">
        <v>-7.36</v>
      </c>
      <c r="AO1712">
        <v>0.98</v>
      </c>
      <c r="AP1712">
        <v>51</v>
      </c>
      <c r="AQ1712">
        <v>0</v>
      </c>
      <c r="AR1712">
        <v>5.98</v>
      </c>
      <c r="AS1712">
        <v>41</v>
      </c>
      <c r="AT1712">
        <v>2.39</v>
      </c>
      <c r="AU1712">
        <v>67</v>
      </c>
      <c r="AV1712">
        <v>-3.6</v>
      </c>
      <c r="AW1712">
        <v>84</v>
      </c>
      <c r="AX1712">
        <v>-1.03</v>
      </c>
      <c r="AY1712">
        <v>56</v>
      </c>
      <c r="AZ1712">
        <v>7.07</v>
      </c>
      <c r="BA1712">
        <v>27</v>
      </c>
      <c r="BB1712">
        <v>5.42</v>
      </c>
      <c r="BC1712">
        <v>26</v>
      </c>
      <c r="BD1712">
        <v>0</v>
      </c>
      <c r="BE1712">
        <v>-0.03</v>
      </c>
      <c r="BF1712">
        <v>-0.15</v>
      </c>
      <c r="BG1712">
        <v>54</v>
      </c>
      <c r="BH1712">
        <v>-0.12</v>
      </c>
      <c r="BI1712">
        <v>-22.49</v>
      </c>
      <c r="BJ1712">
        <v>0</v>
      </c>
      <c r="BK1712">
        <v>0</v>
      </c>
      <c r="BL1712">
        <v>-2.89</v>
      </c>
      <c r="BM1712">
        <v>2.33</v>
      </c>
      <c r="BN1712">
        <v>-1.43</v>
      </c>
      <c r="BO1712">
        <v>-2.87</v>
      </c>
      <c r="BP1712">
        <v>0.8</v>
      </c>
      <c r="BQ1712">
        <v>1.58</v>
      </c>
      <c r="BR1712">
        <v>-0.41</v>
      </c>
      <c r="BS1712">
        <v>-0.62</v>
      </c>
      <c r="BT1712">
        <v>0.79</v>
      </c>
      <c r="BU1712">
        <v>-1.46</v>
      </c>
      <c r="BV1712">
        <v>-2.87</v>
      </c>
      <c r="BW1712">
        <v>-2.11</v>
      </c>
      <c r="BX1712">
        <v>-1.04</v>
      </c>
      <c r="BY1712">
        <v>-1.23</v>
      </c>
      <c r="BZ1712">
        <v>-1.77</v>
      </c>
      <c r="CA1712">
        <v>-1.99</v>
      </c>
      <c r="CB1712">
        <v>-2.06</v>
      </c>
      <c r="CC1712">
        <v>-1.1200000000000001</v>
      </c>
      <c r="CD1712">
        <v>2.44</v>
      </c>
      <c r="CE1712">
        <v>-2.4500000000000002</v>
      </c>
      <c r="CF1712">
        <v>-1.92</v>
      </c>
      <c r="CG1712">
        <v>0</v>
      </c>
      <c r="CH1712">
        <v>-0.8</v>
      </c>
      <c r="CI1712">
        <v>0</v>
      </c>
      <c r="CJ1712">
        <v>-0.2</v>
      </c>
      <c r="CK1712">
        <v>45</v>
      </c>
      <c r="CL1712">
        <v>-0.08</v>
      </c>
      <c r="CM1712">
        <v>44</v>
      </c>
      <c r="CN1712">
        <v>0.22</v>
      </c>
      <c r="CO1712">
        <v>43</v>
      </c>
      <c r="CP1712">
        <v>0.6</v>
      </c>
      <c r="CQ1712">
        <v>42</v>
      </c>
      <c r="CR1712">
        <v>0</v>
      </c>
      <c r="CS1712">
        <v>0</v>
      </c>
      <c r="CT1712">
        <v>8.6</v>
      </c>
      <c r="CU1712">
        <v>40</v>
      </c>
      <c r="CV1712">
        <v>0.08</v>
      </c>
      <c r="CW1712">
        <v>34</v>
      </c>
      <c r="CX1712" t="s">
        <v>2348</v>
      </c>
    </row>
    <row r="1713" spans="1:102" x14ac:dyDescent="0.3">
      <c r="A1713" t="str">
        <f>HYPERLINK("https://webapp.icbf.com/v2/app/bull-search/view/933356013","WRY")</f>
        <v>WRY</v>
      </c>
      <c r="B1713" t="s">
        <v>9309</v>
      </c>
      <c r="C1713" t="s">
        <v>9310</v>
      </c>
      <c r="D1713" s="1">
        <v>40753</v>
      </c>
      <c r="E1713" t="s">
        <v>92</v>
      </c>
      <c r="F1713">
        <v>59</v>
      </c>
      <c r="G1713" t="s">
        <v>109</v>
      </c>
      <c r="H1713">
        <v>91.29</v>
      </c>
      <c r="I1713">
        <v>70</v>
      </c>
      <c r="J1713">
        <v>79.47</v>
      </c>
      <c r="K1713">
        <v>88</v>
      </c>
      <c r="L1713">
        <v>-36.020000000000003</v>
      </c>
      <c r="M1713">
        <v>70</v>
      </c>
      <c r="N1713">
        <v>31.22</v>
      </c>
      <c r="O1713">
        <v>57</v>
      </c>
      <c r="P1713">
        <v>-12.53</v>
      </c>
      <c r="Q1713">
        <v>58</v>
      </c>
      <c r="R1713">
        <v>1.74</v>
      </c>
      <c r="S1713">
        <v>67</v>
      </c>
      <c r="T1713">
        <v>25.59</v>
      </c>
      <c r="U1713">
        <v>41</v>
      </c>
      <c r="V1713">
        <v>1.82</v>
      </c>
      <c r="W1713">
        <v>49</v>
      </c>
      <c r="X1713" t="s">
        <v>276</v>
      </c>
      <c r="Y1713" t="s">
        <v>1775</v>
      </c>
      <c r="Z1713" t="s">
        <v>330</v>
      </c>
      <c r="AA1713" t="s">
        <v>9311</v>
      </c>
      <c r="AB1713" t="s">
        <v>9312</v>
      </c>
      <c r="AC1713">
        <v>0</v>
      </c>
      <c r="AD1713">
        <v>0</v>
      </c>
      <c r="AE1713">
        <v>88</v>
      </c>
      <c r="AF1713">
        <v>61.08</v>
      </c>
      <c r="AG1713">
        <v>8.65</v>
      </c>
      <c r="AH1713">
        <v>11.39</v>
      </c>
      <c r="AI1713">
        <v>0.11</v>
      </c>
      <c r="AJ1713">
        <v>0.16</v>
      </c>
      <c r="AK1713">
        <v>70</v>
      </c>
      <c r="AL1713">
        <v>0</v>
      </c>
      <c r="AM1713">
        <v>0</v>
      </c>
      <c r="AN1713">
        <v>2.92</v>
      </c>
      <c r="AO1713">
        <v>0.06</v>
      </c>
      <c r="AP1713">
        <v>11</v>
      </c>
      <c r="AQ1713">
        <v>0</v>
      </c>
      <c r="AR1713">
        <v>8.35</v>
      </c>
      <c r="AS1713">
        <v>41</v>
      </c>
      <c r="AT1713">
        <v>2.48</v>
      </c>
      <c r="AU1713">
        <v>77</v>
      </c>
      <c r="AV1713">
        <v>-4.2300000000000004</v>
      </c>
      <c r="AW1713">
        <v>62</v>
      </c>
      <c r="AX1713">
        <v>0.15</v>
      </c>
      <c r="AY1713">
        <v>41</v>
      </c>
      <c r="AZ1713">
        <v>7.48</v>
      </c>
      <c r="BA1713">
        <v>29</v>
      </c>
      <c r="BB1713">
        <v>5.74</v>
      </c>
      <c r="BC1713">
        <v>31</v>
      </c>
      <c r="BD1713">
        <v>-0.03</v>
      </c>
      <c r="BE1713">
        <v>0</v>
      </c>
      <c r="BF1713">
        <v>0.01</v>
      </c>
      <c r="BG1713">
        <v>87</v>
      </c>
      <c r="BH1713">
        <v>0.01</v>
      </c>
      <c r="BI1713">
        <v>-4.72</v>
      </c>
      <c r="BJ1713">
        <v>0</v>
      </c>
      <c r="BK1713">
        <v>0</v>
      </c>
      <c r="BL1713">
        <v>-2.21</v>
      </c>
      <c r="BM1713">
        <v>0.73</v>
      </c>
      <c r="BN1713">
        <v>-0.88</v>
      </c>
      <c r="BO1713">
        <v>-0.78</v>
      </c>
      <c r="BP1713">
        <v>-1.9</v>
      </c>
      <c r="BQ1713">
        <v>-2.5299999999999998</v>
      </c>
      <c r="BR1713">
        <v>1.49</v>
      </c>
      <c r="BS1713">
        <v>0.01</v>
      </c>
      <c r="BT1713">
        <v>-1.02</v>
      </c>
      <c r="BU1713">
        <v>-0.19</v>
      </c>
      <c r="BV1713">
        <v>-1.35</v>
      </c>
      <c r="BW1713">
        <v>-1.66</v>
      </c>
      <c r="BX1713">
        <v>-0.38</v>
      </c>
      <c r="BY1713">
        <v>-0.66</v>
      </c>
      <c r="BZ1713">
        <v>1.01</v>
      </c>
      <c r="CA1713">
        <v>-1.1200000000000001</v>
      </c>
      <c r="CB1713">
        <v>-0.98</v>
      </c>
      <c r="CC1713">
        <v>0.33</v>
      </c>
      <c r="CD1713">
        <v>1.39</v>
      </c>
      <c r="CE1713">
        <v>-0.25</v>
      </c>
      <c r="CF1713">
        <v>-0.88</v>
      </c>
      <c r="CG1713">
        <v>0</v>
      </c>
      <c r="CH1713">
        <v>-0.76</v>
      </c>
      <c r="CI1713">
        <v>0</v>
      </c>
      <c r="CJ1713">
        <v>-5</v>
      </c>
      <c r="CK1713">
        <v>61</v>
      </c>
      <c r="CL1713">
        <v>-0.62</v>
      </c>
      <c r="CM1713">
        <v>58</v>
      </c>
      <c r="CN1713">
        <v>-0.25</v>
      </c>
      <c r="CO1713">
        <v>57</v>
      </c>
      <c r="CP1713">
        <v>-14.4</v>
      </c>
      <c r="CQ1713">
        <v>44</v>
      </c>
      <c r="CR1713">
        <v>0</v>
      </c>
      <c r="CS1713">
        <v>0</v>
      </c>
      <c r="CT1713">
        <v>-20.8</v>
      </c>
      <c r="CU1713">
        <v>41</v>
      </c>
      <c r="CV1713">
        <v>0.15</v>
      </c>
      <c r="CW1713">
        <v>37</v>
      </c>
      <c r="CX1713" t="s">
        <v>1831</v>
      </c>
    </row>
    <row r="1714" spans="1:102" x14ac:dyDescent="0.3">
      <c r="A1714" t="str">
        <f>HYPERLINK("https://webapp.icbf.com/v2/app/bull-search/view/982451512","ZDT")</f>
        <v>ZDT</v>
      </c>
      <c r="B1714" t="s">
        <v>5599</v>
      </c>
      <c r="C1714" t="s">
        <v>5600</v>
      </c>
      <c r="D1714" s="1">
        <v>39706</v>
      </c>
      <c r="E1714" t="s">
        <v>92</v>
      </c>
      <c r="F1714">
        <v>100</v>
      </c>
      <c r="G1714" t="s">
        <v>93</v>
      </c>
      <c r="H1714">
        <v>91.28</v>
      </c>
      <c r="I1714">
        <v>84</v>
      </c>
      <c r="J1714">
        <v>44.22</v>
      </c>
      <c r="K1714">
        <v>95</v>
      </c>
      <c r="L1714">
        <v>20.190000000000001</v>
      </c>
      <c r="M1714">
        <v>81</v>
      </c>
      <c r="N1714">
        <v>45.89</v>
      </c>
      <c r="O1714">
        <v>78</v>
      </c>
      <c r="P1714">
        <v>-12.75</v>
      </c>
      <c r="Q1714">
        <v>84</v>
      </c>
      <c r="R1714">
        <v>7.08</v>
      </c>
      <c r="S1714">
        <v>74</v>
      </c>
      <c r="T1714">
        <v>-9.34</v>
      </c>
      <c r="U1714">
        <v>68</v>
      </c>
      <c r="V1714">
        <v>-4.01</v>
      </c>
      <c r="W1714">
        <v>65</v>
      </c>
      <c r="X1714" t="s">
        <v>94</v>
      </c>
      <c r="Y1714" t="s">
        <v>1128</v>
      </c>
      <c r="Z1714" t="s">
        <v>96</v>
      </c>
      <c r="AA1714" t="s">
        <v>5289</v>
      </c>
      <c r="AB1714" t="s">
        <v>5601</v>
      </c>
      <c r="AC1714">
        <v>58</v>
      </c>
      <c r="AD1714">
        <v>23</v>
      </c>
      <c r="AE1714">
        <v>95</v>
      </c>
      <c r="AF1714">
        <v>280.73</v>
      </c>
      <c r="AG1714">
        <v>4.9400000000000004</v>
      </c>
      <c r="AH1714">
        <v>10.07</v>
      </c>
      <c r="AI1714">
        <v>-0.1</v>
      </c>
      <c r="AJ1714">
        <v>0.01</v>
      </c>
      <c r="AK1714">
        <v>81</v>
      </c>
      <c r="AL1714">
        <v>54</v>
      </c>
      <c r="AM1714">
        <v>30</v>
      </c>
      <c r="AN1714">
        <v>-1.1000000000000001</v>
      </c>
      <c r="AO1714">
        <v>0.51</v>
      </c>
      <c r="AP1714">
        <v>93</v>
      </c>
      <c r="AQ1714">
        <v>1</v>
      </c>
      <c r="AR1714">
        <v>2.44</v>
      </c>
      <c r="AS1714">
        <v>61</v>
      </c>
      <c r="AT1714">
        <v>2.1</v>
      </c>
      <c r="AU1714">
        <v>87</v>
      </c>
      <c r="AV1714">
        <v>-4.21</v>
      </c>
      <c r="AW1714">
        <v>89</v>
      </c>
      <c r="AX1714">
        <v>0.23</v>
      </c>
      <c r="AY1714">
        <v>72</v>
      </c>
      <c r="AZ1714">
        <v>7.11</v>
      </c>
      <c r="BA1714">
        <v>52</v>
      </c>
      <c r="BB1714">
        <v>5.79</v>
      </c>
      <c r="BC1714">
        <v>51</v>
      </c>
      <c r="BD1714">
        <v>-0.01</v>
      </c>
      <c r="BE1714">
        <v>-0.04</v>
      </c>
      <c r="BF1714">
        <v>-7.0000000000000007E-2</v>
      </c>
      <c r="BG1714">
        <v>87</v>
      </c>
      <c r="BH1714">
        <v>-7.0000000000000007E-2</v>
      </c>
      <c r="BI1714">
        <v>4.84</v>
      </c>
      <c r="BJ1714">
        <v>15</v>
      </c>
      <c r="BK1714">
        <v>9</v>
      </c>
      <c r="BL1714">
        <v>1.31</v>
      </c>
      <c r="BM1714">
        <v>-0.47</v>
      </c>
      <c r="BN1714">
        <v>0.36</v>
      </c>
      <c r="BO1714">
        <v>0.85</v>
      </c>
      <c r="BP1714">
        <v>0.83</v>
      </c>
      <c r="BQ1714">
        <v>3.27</v>
      </c>
      <c r="BR1714">
        <v>1.18</v>
      </c>
      <c r="BS1714">
        <v>0.24</v>
      </c>
      <c r="BT1714">
        <v>-0.26</v>
      </c>
      <c r="BU1714">
        <v>0.87</v>
      </c>
      <c r="BV1714">
        <v>1.04</v>
      </c>
      <c r="BW1714">
        <v>0.44</v>
      </c>
      <c r="BX1714">
        <v>0.96</v>
      </c>
      <c r="BY1714">
        <v>-0.48</v>
      </c>
      <c r="BZ1714">
        <v>-2.41</v>
      </c>
      <c r="CA1714">
        <v>0.82</v>
      </c>
      <c r="CB1714">
        <v>0.53</v>
      </c>
      <c r="CC1714">
        <v>0.86</v>
      </c>
      <c r="CD1714">
        <v>-0.42</v>
      </c>
      <c r="CE1714">
        <v>0.8</v>
      </c>
      <c r="CF1714">
        <v>1.78</v>
      </c>
      <c r="CG1714">
        <v>0</v>
      </c>
      <c r="CH1714">
        <v>0.14000000000000001</v>
      </c>
      <c r="CI1714">
        <v>0</v>
      </c>
      <c r="CJ1714">
        <v>-5.3</v>
      </c>
      <c r="CK1714">
        <v>86</v>
      </c>
      <c r="CL1714">
        <v>-1.1200000000000001</v>
      </c>
      <c r="CM1714">
        <v>84</v>
      </c>
      <c r="CN1714">
        <v>-0.44</v>
      </c>
      <c r="CO1714">
        <v>82</v>
      </c>
      <c r="CP1714">
        <v>6.5</v>
      </c>
      <c r="CQ1714">
        <v>74</v>
      </c>
      <c r="CR1714">
        <v>0</v>
      </c>
      <c r="CS1714">
        <v>0</v>
      </c>
      <c r="CT1714">
        <v>26.4</v>
      </c>
      <c r="CU1714">
        <v>68</v>
      </c>
      <c r="CV1714">
        <v>0.15</v>
      </c>
      <c r="CW1714">
        <v>43</v>
      </c>
      <c r="CX1714" t="s">
        <v>316</v>
      </c>
    </row>
    <row r="1715" spans="1:102" x14ac:dyDescent="0.3">
      <c r="A1715" t="str">
        <f>HYPERLINK("https://webapp.icbf.com/v2/app/bull-search/view/150938644","MNX")</f>
        <v>MNX</v>
      </c>
      <c r="B1715" t="s">
        <v>4108</v>
      </c>
      <c r="C1715" t="s">
        <v>4109</v>
      </c>
      <c r="D1715" s="1">
        <v>36844</v>
      </c>
      <c r="E1715" t="s">
        <v>146</v>
      </c>
      <c r="F1715">
        <v>0</v>
      </c>
      <c r="G1715" t="s">
        <v>93</v>
      </c>
      <c r="H1715">
        <v>91.27</v>
      </c>
      <c r="I1715">
        <v>79</v>
      </c>
      <c r="J1715">
        <v>-13.96</v>
      </c>
      <c r="K1715">
        <v>98</v>
      </c>
      <c r="L1715">
        <v>60.05</v>
      </c>
      <c r="M1715">
        <v>48</v>
      </c>
      <c r="N1715">
        <v>30.11</v>
      </c>
      <c r="O1715">
        <v>92</v>
      </c>
      <c r="P1715">
        <v>3.44</v>
      </c>
      <c r="Q1715">
        <v>97</v>
      </c>
      <c r="R1715">
        <v>2.19</v>
      </c>
      <c r="S1715">
        <v>79</v>
      </c>
      <c r="T1715">
        <v>16.86</v>
      </c>
      <c r="U1715">
        <v>90</v>
      </c>
      <c r="V1715">
        <v>-7.42</v>
      </c>
      <c r="W1715">
        <v>83</v>
      </c>
      <c r="X1715" t="s">
        <v>276</v>
      </c>
      <c r="Y1715" t="s">
        <v>95</v>
      </c>
      <c r="Z1715">
        <v>0</v>
      </c>
      <c r="AA1715" t="s">
        <v>345</v>
      </c>
      <c r="AB1715" t="s">
        <v>4110</v>
      </c>
      <c r="AC1715">
        <v>178</v>
      </c>
      <c r="AD1715">
        <v>66</v>
      </c>
      <c r="AE1715">
        <v>98</v>
      </c>
      <c r="AF1715">
        <v>-217.41</v>
      </c>
      <c r="AG1715">
        <v>-5.97</v>
      </c>
      <c r="AH1715">
        <v>-3.59</v>
      </c>
      <c r="AI1715">
        <v>0.04</v>
      </c>
      <c r="AJ1715">
        <v>7.0000000000000007E-2</v>
      </c>
      <c r="AK1715">
        <v>48</v>
      </c>
      <c r="AL1715">
        <v>0</v>
      </c>
      <c r="AM1715">
        <v>0</v>
      </c>
      <c r="AN1715">
        <v>-3.96</v>
      </c>
      <c r="AO1715">
        <v>0.82</v>
      </c>
      <c r="AP1715">
        <v>428</v>
      </c>
      <c r="AQ1715">
        <v>20</v>
      </c>
      <c r="AR1715">
        <v>5.87</v>
      </c>
      <c r="AS1715">
        <v>82</v>
      </c>
      <c r="AT1715">
        <v>2.34</v>
      </c>
      <c r="AU1715">
        <v>93</v>
      </c>
      <c r="AV1715">
        <v>-2.4500000000000002</v>
      </c>
      <c r="AW1715">
        <v>98</v>
      </c>
      <c r="AX1715">
        <v>1.32</v>
      </c>
      <c r="AY1715">
        <v>91</v>
      </c>
      <c r="AZ1715">
        <v>5.27</v>
      </c>
      <c r="BA1715">
        <v>77</v>
      </c>
      <c r="BB1715">
        <v>4.57</v>
      </c>
      <c r="BC1715">
        <v>80</v>
      </c>
      <c r="BD1715">
        <v>-0.05</v>
      </c>
      <c r="BE1715">
        <v>-0.03</v>
      </c>
      <c r="BF1715">
        <v>0.09</v>
      </c>
      <c r="BG1715">
        <v>90</v>
      </c>
      <c r="BH1715">
        <v>-0.28999999999999998</v>
      </c>
      <c r="BI1715">
        <v>-9.6</v>
      </c>
      <c r="BJ1715">
        <v>3</v>
      </c>
      <c r="BK1715">
        <v>3</v>
      </c>
      <c r="BL1715">
        <v>-2.2799999999999998</v>
      </c>
      <c r="BM1715">
        <v>2.16</v>
      </c>
      <c r="BN1715">
        <v>-1.1100000000000001</v>
      </c>
      <c r="BO1715">
        <v>-1.94</v>
      </c>
      <c r="BP1715">
        <v>2.11</v>
      </c>
      <c r="BQ1715">
        <v>-0.99</v>
      </c>
      <c r="BR1715">
        <v>-1.83</v>
      </c>
      <c r="BS1715">
        <v>1.69</v>
      </c>
      <c r="BT1715">
        <v>1</v>
      </c>
      <c r="BU1715">
        <v>-1.64</v>
      </c>
      <c r="BV1715">
        <v>-1.85</v>
      </c>
      <c r="BW1715">
        <v>-1.71</v>
      </c>
      <c r="BX1715">
        <v>-1.65</v>
      </c>
      <c r="BY1715">
        <v>-2.4300000000000002</v>
      </c>
      <c r="BZ1715">
        <v>1.22</v>
      </c>
      <c r="CA1715">
        <v>-1.02</v>
      </c>
      <c r="CB1715">
        <v>-1.8</v>
      </c>
      <c r="CC1715">
        <v>0.98</v>
      </c>
      <c r="CD1715">
        <v>2.57</v>
      </c>
      <c r="CE1715">
        <v>-2.0299999999999998</v>
      </c>
      <c r="CF1715">
        <v>-1.61</v>
      </c>
      <c r="CG1715">
        <v>0</v>
      </c>
      <c r="CH1715">
        <v>-0.95</v>
      </c>
      <c r="CI1715">
        <v>0</v>
      </c>
      <c r="CJ1715">
        <v>-2.1</v>
      </c>
      <c r="CK1715">
        <v>98</v>
      </c>
      <c r="CL1715">
        <v>0.37</v>
      </c>
      <c r="CM1715">
        <v>97</v>
      </c>
      <c r="CN1715">
        <v>-0.3</v>
      </c>
      <c r="CO1715">
        <v>97</v>
      </c>
      <c r="CP1715">
        <v>-6.6</v>
      </c>
      <c r="CQ1715">
        <v>94</v>
      </c>
      <c r="CR1715">
        <v>0</v>
      </c>
      <c r="CS1715">
        <v>0</v>
      </c>
      <c r="CT1715">
        <v>-9</v>
      </c>
      <c r="CU1715">
        <v>90</v>
      </c>
      <c r="CV1715">
        <v>-0.35</v>
      </c>
      <c r="CW1715">
        <v>46</v>
      </c>
      <c r="CX1715" t="s">
        <v>4111</v>
      </c>
    </row>
    <row r="1716" spans="1:102" x14ac:dyDescent="0.3">
      <c r="A1716" t="str">
        <f>HYPERLINK("https://webapp.icbf.com/v2/app/bull-search/view/448301835","LVI")</f>
        <v>LVI</v>
      </c>
      <c r="B1716" t="s">
        <v>5172</v>
      </c>
      <c r="C1716" t="s">
        <v>5173</v>
      </c>
      <c r="D1716" s="1">
        <v>38317</v>
      </c>
      <c r="E1716" t="s">
        <v>108</v>
      </c>
      <c r="F1716">
        <v>0</v>
      </c>
      <c r="G1716" t="s">
        <v>93</v>
      </c>
      <c r="H1716">
        <v>91.21</v>
      </c>
      <c r="I1716">
        <v>89</v>
      </c>
      <c r="J1716">
        <v>-52.4</v>
      </c>
      <c r="K1716">
        <v>96</v>
      </c>
      <c r="L1716">
        <v>111.79</v>
      </c>
      <c r="M1716">
        <v>86</v>
      </c>
      <c r="N1716">
        <v>13.13</v>
      </c>
      <c r="O1716">
        <v>82</v>
      </c>
      <c r="P1716">
        <v>-13.95</v>
      </c>
      <c r="Q1716">
        <v>91</v>
      </c>
      <c r="R1716">
        <v>14.3</v>
      </c>
      <c r="S1716">
        <v>82</v>
      </c>
      <c r="T1716">
        <v>15.68</v>
      </c>
      <c r="U1716">
        <v>87</v>
      </c>
      <c r="V1716">
        <v>2.66</v>
      </c>
      <c r="W1716">
        <v>80</v>
      </c>
      <c r="X1716" t="s">
        <v>251</v>
      </c>
      <c r="Y1716" t="s">
        <v>228</v>
      </c>
      <c r="Z1716" t="s">
        <v>96</v>
      </c>
      <c r="AA1716" t="s">
        <v>5174</v>
      </c>
      <c r="AB1716" t="s">
        <v>5175</v>
      </c>
      <c r="AC1716">
        <v>68</v>
      </c>
      <c r="AD1716">
        <v>36</v>
      </c>
      <c r="AE1716">
        <v>96</v>
      </c>
      <c r="AF1716">
        <v>-522.01</v>
      </c>
      <c r="AG1716">
        <v>-8.4</v>
      </c>
      <c r="AH1716">
        <v>-13.93</v>
      </c>
      <c r="AI1716">
        <v>0.23</v>
      </c>
      <c r="AJ1716">
        <v>7.0000000000000007E-2</v>
      </c>
      <c r="AK1716">
        <v>86</v>
      </c>
      <c r="AL1716">
        <v>73</v>
      </c>
      <c r="AM1716">
        <v>39</v>
      </c>
      <c r="AN1716">
        <v>-6.51</v>
      </c>
      <c r="AO1716">
        <v>2.4</v>
      </c>
      <c r="AP1716">
        <v>120</v>
      </c>
      <c r="AQ1716">
        <v>2</v>
      </c>
      <c r="AR1716">
        <v>6.17</v>
      </c>
      <c r="AS1716">
        <v>66</v>
      </c>
      <c r="AT1716">
        <v>2.34</v>
      </c>
      <c r="AU1716">
        <v>84</v>
      </c>
      <c r="AV1716">
        <v>-1.64</v>
      </c>
      <c r="AW1716">
        <v>92</v>
      </c>
      <c r="AX1716">
        <v>-0.16</v>
      </c>
      <c r="AY1716">
        <v>80</v>
      </c>
      <c r="AZ1716">
        <v>7.83</v>
      </c>
      <c r="BA1716">
        <v>62</v>
      </c>
      <c r="BB1716">
        <v>6.4</v>
      </c>
      <c r="BC1716">
        <v>66</v>
      </c>
      <c r="BD1716">
        <v>-0.01</v>
      </c>
      <c r="BE1716">
        <v>-0.08</v>
      </c>
      <c r="BF1716">
        <v>-0.16</v>
      </c>
      <c r="BG1716">
        <v>92</v>
      </c>
      <c r="BH1716">
        <v>0.04</v>
      </c>
      <c r="BI1716">
        <v>-3.96</v>
      </c>
      <c r="BJ1716">
        <v>4</v>
      </c>
      <c r="BK1716">
        <v>3</v>
      </c>
      <c r="BL1716">
        <v>-2.58</v>
      </c>
      <c r="BM1716">
        <v>0.81</v>
      </c>
      <c r="BN1716">
        <v>-3.5</v>
      </c>
      <c r="BO1716">
        <v>-3.05</v>
      </c>
      <c r="BP1716">
        <v>-0.26</v>
      </c>
      <c r="BQ1716">
        <v>1.86</v>
      </c>
      <c r="BR1716">
        <v>-2.4900000000000002</v>
      </c>
      <c r="BS1716">
        <v>1.58</v>
      </c>
      <c r="BT1716">
        <v>0.94</v>
      </c>
      <c r="BU1716">
        <v>-0.48</v>
      </c>
      <c r="BV1716">
        <v>-0.68</v>
      </c>
      <c r="BW1716">
        <v>-0.46</v>
      </c>
      <c r="BX1716">
        <v>0.5</v>
      </c>
      <c r="BY1716">
        <v>0.05</v>
      </c>
      <c r="BZ1716">
        <v>1.08</v>
      </c>
      <c r="CA1716">
        <v>-0.28000000000000003</v>
      </c>
      <c r="CB1716">
        <v>-0.67</v>
      </c>
      <c r="CC1716">
        <v>0.45</v>
      </c>
      <c r="CD1716">
        <v>2.54</v>
      </c>
      <c r="CE1716">
        <v>-2.63</v>
      </c>
      <c r="CF1716">
        <v>-1.96</v>
      </c>
      <c r="CG1716">
        <v>0</v>
      </c>
      <c r="CH1716">
        <v>0.23</v>
      </c>
      <c r="CI1716">
        <v>0</v>
      </c>
      <c r="CJ1716">
        <v>-7</v>
      </c>
      <c r="CK1716">
        <v>92</v>
      </c>
      <c r="CL1716">
        <v>-0.2</v>
      </c>
      <c r="CM1716">
        <v>90</v>
      </c>
      <c r="CN1716">
        <v>7.0000000000000007E-2</v>
      </c>
      <c r="CO1716">
        <v>89</v>
      </c>
      <c r="CP1716">
        <v>-9.4</v>
      </c>
      <c r="CQ1716">
        <v>88</v>
      </c>
      <c r="CR1716">
        <v>0</v>
      </c>
      <c r="CS1716">
        <v>0</v>
      </c>
      <c r="CT1716">
        <v>-7.4</v>
      </c>
      <c r="CU1716">
        <v>87</v>
      </c>
      <c r="CV1716">
        <v>0.09</v>
      </c>
      <c r="CW1716">
        <v>45</v>
      </c>
      <c r="CX1716" t="s">
        <v>823</v>
      </c>
    </row>
    <row r="1717" spans="1:102" x14ac:dyDescent="0.3">
      <c r="A1717" t="str">
        <f>HYPERLINK("https://webapp.icbf.com/v2/app/bull-search/view/358462916","QMU")</f>
        <v>QMU</v>
      </c>
      <c r="B1717" t="s">
        <v>11801</v>
      </c>
      <c r="C1717" t="s">
        <v>2659</v>
      </c>
      <c r="D1717" s="1">
        <v>36050</v>
      </c>
      <c r="E1717" t="s">
        <v>227</v>
      </c>
      <c r="F1717">
        <v>0</v>
      </c>
      <c r="G1717" t="s">
        <v>93</v>
      </c>
      <c r="H1717">
        <v>91.05</v>
      </c>
      <c r="I1717">
        <v>95</v>
      </c>
      <c r="J1717">
        <v>32.82</v>
      </c>
      <c r="K1717">
        <v>98</v>
      </c>
      <c r="L1717">
        <v>55.07</v>
      </c>
      <c r="M1717">
        <v>94</v>
      </c>
      <c r="N1717">
        <v>-10.199999999999999</v>
      </c>
      <c r="O1717">
        <v>93</v>
      </c>
      <c r="P1717">
        <v>-66.3</v>
      </c>
      <c r="Q1717">
        <v>95</v>
      </c>
      <c r="R1717">
        <v>2.96</v>
      </c>
      <c r="S1717">
        <v>89</v>
      </c>
      <c r="T1717">
        <v>70.290000000000006</v>
      </c>
      <c r="U1717">
        <v>95</v>
      </c>
      <c r="V1717">
        <v>6.41</v>
      </c>
      <c r="W1717">
        <v>91</v>
      </c>
      <c r="X1717" t="s">
        <v>94</v>
      </c>
      <c r="Y1717" t="s">
        <v>95</v>
      </c>
      <c r="Z1717">
        <v>0</v>
      </c>
      <c r="AA1717" t="s">
        <v>4354</v>
      </c>
      <c r="AB1717" t="s">
        <v>11802</v>
      </c>
      <c r="AC1717">
        <v>250</v>
      </c>
      <c r="AD1717">
        <v>66</v>
      </c>
      <c r="AE1717">
        <v>98</v>
      </c>
      <c r="AF1717">
        <v>-365.64</v>
      </c>
      <c r="AG1717">
        <v>7.31</v>
      </c>
      <c r="AH1717">
        <v>-2.6</v>
      </c>
      <c r="AI1717">
        <v>0.4</v>
      </c>
      <c r="AJ1717">
        <v>0.18</v>
      </c>
      <c r="AK1717">
        <v>94</v>
      </c>
      <c r="AL1717">
        <v>261</v>
      </c>
      <c r="AM1717">
        <v>64</v>
      </c>
      <c r="AN1717">
        <v>-3.14</v>
      </c>
      <c r="AO1717">
        <v>1.25</v>
      </c>
      <c r="AP1717">
        <v>311</v>
      </c>
      <c r="AQ1717">
        <v>2</v>
      </c>
      <c r="AR1717">
        <v>3.67</v>
      </c>
      <c r="AS1717">
        <v>90</v>
      </c>
      <c r="AT1717">
        <v>1.65</v>
      </c>
      <c r="AU1717">
        <v>93</v>
      </c>
      <c r="AV1717">
        <v>0.94</v>
      </c>
      <c r="AW1717">
        <v>98</v>
      </c>
      <c r="AX1717">
        <v>6.47</v>
      </c>
      <c r="AY1717">
        <v>92</v>
      </c>
      <c r="AZ1717">
        <v>8.1999999999999993</v>
      </c>
      <c r="BA1717">
        <v>83</v>
      </c>
      <c r="BB1717">
        <v>5.4</v>
      </c>
      <c r="BC1717">
        <v>85</v>
      </c>
      <c r="BD1717">
        <v>-0.06</v>
      </c>
      <c r="BE1717">
        <v>-0.02</v>
      </c>
      <c r="BF1717">
        <v>7.0000000000000007E-2</v>
      </c>
      <c r="BG1717">
        <v>96</v>
      </c>
      <c r="BH1717">
        <v>0.23</v>
      </c>
      <c r="BI1717">
        <v>5.94</v>
      </c>
      <c r="BJ1717">
        <v>39</v>
      </c>
      <c r="BK1717">
        <v>8</v>
      </c>
      <c r="BL1717">
        <v>-1.1399999999999999</v>
      </c>
      <c r="BM1717">
        <v>-1.4</v>
      </c>
      <c r="BN1717">
        <v>0.03</v>
      </c>
      <c r="BO1717">
        <v>1.54</v>
      </c>
      <c r="BP1717">
        <v>-0.86</v>
      </c>
      <c r="BQ1717">
        <v>-4.75</v>
      </c>
      <c r="BR1717">
        <v>0.44</v>
      </c>
      <c r="BS1717">
        <v>8.17</v>
      </c>
      <c r="BT1717">
        <v>0.89</v>
      </c>
      <c r="BU1717">
        <v>1.1000000000000001</v>
      </c>
      <c r="BV1717">
        <v>1.56</v>
      </c>
      <c r="BW1717">
        <v>0.03</v>
      </c>
      <c r="BX1717">
        <v>-1.58</v>
      </c>
      <c r="BY1717">
        <v>0.45</v>
      </c>
      <c r="BZ1717">
        <v>0.66</v>
      </c>
      <c r="CA1717">
        <v>2.19</v>
      </c>
      <c r="CB1717">
        <v>0.43</v>
      </c>
      <c r="CC1717">
        <v>4.78</v>
      </c>
      <c r="CD1717">
        <v>-2.17</v>
      </c>
      <c r="CE1717">
        <v>1.28</v>
      </c>
      <c r="CF1717">
        <v>-0.72</v>
      </c>
      <c r="CG1717">
        <v>0</v>
      </c>
      <c r="CH1717">
        <v>-7.0000000000000007E-2</v>
      </c>
      <c r="CI1717">
        <v>0</v>
      </c>
      <c r="CJ1717">
        <v>-33.9</v>
      </c>
      <c r="CK1717">
        <v>95</v>
      </c>
      <c r="CL1717">
        <v>-1.29</v>
      </c>
      <c r="CM1717">
        <v>94</v>
      </c>
      <c r="CN1717">
        <v>-0.24</v>
      </c>
      <c r="CO1717">
        <v>93</v>
      </c>
      <c r="CP1717">
        <v>-60.1</v>
      </c>
      <c r="CQ1717">
        <v>95</v>
      </c>
      <c r="CR1717">
        <v>0</v>
      </c>
      <c r="CS1717">
        <v>0</v>
      </c>
      <c r="CT1717">
        <v>-81.2</v>
      </c>
      <c r="CU1717">
        <v>95</v>
      </c>
      <c r="CV1717">
        <v>-0.28999999999999998</v>
      </c>
      <c r="CW1717">
        <v>45</v>
      </c>
      <c r="CX1717" t="s">
        <v>4355</v>
      </c>
    </row>
    <row r="1718" spans="1:102" x14ac:dyDescent="0.3">
      <c r="A1718" t="str">
        <f>HYPERLINK("https://webapp.icbf.com/v2/app/bull-search/view/720527628","RSF")</f>
        <v>RSF</v>
      </c>
      <c r="B1718" t="s">
        <v>12788</v>
      </c>
      <c r="C1718" t="s">
        <v>12789</v>
      </c>
      <c r="D1718" s="1">
        <v>39299</v>
      </c>
      <c r="E1718" t="s">
        <v>227</v>
      </c>
      <c r="F1718">
        <v>0</v>
      </c>
      <c r="G1718" t="s">
        <v>109</v>
      </c>
      <c r="H1718">
        <v>90.94</v>
      </c>
      <c r="I1718">
        <v>75</v>
      </c>
      <c r="J1718">
        <v>57.04</v>
      </c>
      <c r="K1718">
        <v>90</v>
      </c>
      <c r="L1718">
        <v>10.77</v>
      </c>
      <c r="M1718">
        <v>67</v>
      </c>
      <c r="N1718">
        <v>16.52</v>
      </c>
      <c r="O1718">
        <v>68</v>
      </c>
      <c r="P1718">
        <v>-55.98</v>
      </c>
      <c r="Q1718">
        <v>74</v>
      </c>
      <c r="R1718">
        <v>-5.09</v>
      </c>
      <c r="S1718">
        <v>67</v>
      </c>
      <c r="T1718">
        <v>57.04</v>
      </c>
      <c r="U1718">
        <v>61</v>
      </c>
      <c r="V1718">
        <v>10.64</v>
      </c>
      <c r="W1718">
        <v>69</v>
      </c>
      <c r="X1718" t="s">
        <v>276</v>
      </c>
      <c r="Y1718" t="s">
        <v>1923</v>
      </c>
      <c r="Z1718">
        <v>0</v>
      </c>
      <c r="AA1718" t="s">
        <v>12691</v>
      </c>
      <c r="AB1718" t="s">
        <v>12790</v>
      </c>
      <c r="AC1718">
        <v>0</v>
      </c>
      <c r="AD1718">
        <v>0</v>
      </c>
      <c r="AE1718">
        <v>90</v>
      </c>
      <c r="AF1718">
        <v>-456.57</v>
      </c>
      <c r="AG1718">
        <v>13.97</v>
      </c>
      <c r="AH1718">
        <v>-2.23</v>
      </c>
      <c r="AI1718">
        <v>0.6</v>
      </c>
      <c r="AJ1718">
        <v>0.25</v>
      </c>
      <c r="AK1718">
        <v>67</v>
      </c>
      <c r="AL1718">
        <v>0</v>
      </c>
      <c r="AM1718">
        <v>0</v>
      </c>
      <c r="AN1718">
        <v>1.08</v>
      </c>
      <c r="AO1718">
        <v>1.96</v>
      </c>
      <c r="AP1718">
        <v>19</v>
      </c>
      <c r="AQ1718">
        <v>0</v>
      </c>
      <c r="AR1718">
        <v>2.17</v>
      </c>
      <c r="AS1718">
        <v>49</v>
      </c>
      <c r="AT1718">
        <v>1.37</v>
      </c>
      <c r="AU1718">
        <v>64</v>
      </c>
      <c r="AV1718">
        <v>-0.4</v>
      </c>
      <c r="AW1718">
        <v>85</v>
      </c>
      <c r="AX1718">
        <v>1.99</v>
      </c>
      <c r="AY1718">
        <v>56</v>
      </c>
      <c r="AZ1718">
        <v>7.16</v>
      </c>
      <c r="BA1718">
        <v>44</v>
      </c>
      <c r="BB1718">
        <v>5.52</v>
      </c>
      <c r="BC1718">
        <v>48</v>
      </c>
      <c r="BD1718">
        <v>-0.06</v>
      </c>
      <c r="BE1718">
        <v>0.03</v>
      </c>
      <c r="BF1718">
        <v>0.16</v>
      </c>
      <c r="BG1718">
        <v>74</v>
      </c>
      <c r="BH1718">
        <v>0.24</v>
      </c>
      <c r="BI1718">
        <v>-6.57</v>
      </c>
      <c r="BJ1718">
        <v>1</v>
      </c>
      <c r="BK1718">
        <v>1</v>
      </c>
      <c r="BL1718">
        <v>-3.41</v>
      </c>
      <c r="BM1718">
        <v>-1.78</v>
      </c>
      <c r="BN1718">
        <v>-1</v>
      </c>
      <c r="BO1718">
        <v>0.6</v>
      </c>
      <c r="BP1718">
        <v>-1.22</v>
      </c>
      <c r="BQ1718">
        <v>-5.81</v>
      </c>
      <c r="BR1718">
        <v>2.71</v>
      </c>
      <c r="BS1718">
        <v>6.38</v>
      </c>
      <c r="BT1718">
        <v>-1.97</v>
      </c>
      <c r="BU1718">
        <v>-0.56999999999999995</v>
      </c>
      <c r="BV1718">
        <v>-0.49</v>
      </c>
      <c r="BW1718">
        <v>-3.01</v>
      </c>
      <c r="BX1718">
        <v>-3.3</v>
      </c>
      <c r="BY1718">
        <v>0.61</v>
      </c>
      <c r="BZ1718">
        <v>-1.89</v>
      </c>
      <c r="CA1718">
        <v>1.0900000000000001</v>
      </c>
      <c r="CB1718">
        <v>-0.48</v>
      </c>
      <c r="CC1718">
        <v>3.88</v>
      </c>
      <c r="CD1718">
        <v>-1.76</v>
      </c>
      <c r="CE1718">
        <v>0.56999999999999995</v>
      </c>
      <c r="CF1718">
        <v>-3.62</v>
      </c>
      <c r="CG1718">
        <v>0</v>
      </c>
      <c r="CH1718">
        <v>-0.67</v>
      </c>
      <c r="CI1718">
        <v>0</v>
      </c>
      <c r="CJ1718">
        <v>-28.6</v>
      </c>
      <c r="CK1718">
        <v>77</v>
      </c>
      <c r="CL1718">
        <v>-0.88</v>
      </c>
      <c r="CM1718">
        <v>72</v>
      </c>
      <c r="CN1718">
        <v>0.04</v>
      </c>
      <c r="CO1718">
        <v>69</v>
      </c>
      <c r="CP1718">
        <v>-46.4</v>
      </c>
      <c r="CQ1718">
        <v>67</v>
      </c>
      <c r="CR1718">
        <v>0</v>
      </c>
      <c r="CS1718">
        <v>0</v>
      </c>
      <c r="CT1718">
        <v>-63.3</v>
      </c>
      <c r="CU1718">
        <v>61</v>
      </c>
      <c r="CV1718">
        <v>-0.32</v>
      </c>
      <c r="CW1718">
        <v>41</v>
      </c>
      <c r="CX1718" t="s">
        <v>7790</v>
      </c>
    </row>
    <row r="1719" spans="1:102" x14ac:dyDescent="0.3">
      <c r="A1719" t="str">
        <f>HYPERLINK("https://webapp.icbf.com/v2/app/bull-search/view/720495076","S1450")</f>
        <v>S1450</v>
      </c>
      <c r="B1719" t="s">
        <v>13131</v>
      </c>
      <c r="C1719" t="s">
        <v>13132</v>
      </c>
      <c r="D1719" s="1">
        <v>39144</v>
      </c>
      <c r="E1719" t="s">
        <v>227</v>
      </c>
      <c r="F1719">
        <v>0</v>
      </c>
      <c r="G1719" t="s">
        <v>109</v>
      </c>
      <c r="H1719">
        <v>90.88</v>
      </c>
      <c r="I1719">
        <v>51</v>
      </c>
      <c r="J1719">
        <v>48.94</v>
      </c>
      <c r="K1719">
        <v>67</v>
      </c>
      <c r="L1719">
        <v>11.59</v>
      </c>
      <c r="M1719">
        <v>64</v>
      </c>
      <c r="N1719">
        <v>20.5</v>
      </c>
      <c r="O1719">
        <v>35</v>
      </c>
      <c r="P1719">
        <v>-65.84</v>
      </c>
      <c r="Q1719">
        <v>21</v>
      </c>
      <c r="R1719">
        <v>0.52</v>
      </c>
      <c r="S1719">
        <v>22</v>
      </c>
      <c r="T1719">
        <v>72.8</v>
      </c>
      <c r="U1719">
        <v>13</v>
      </c>
      <c r="V1719">
        <v>2.37</v>
      </c>
      <c r="W1719">
        <v>19</v>
      </c>
      <c r="X1719" t="s">
        <v>94</v>
      </c>
      <c r="Y1719" t="s">
        <v>342</v>
      </c>
      <c r="Z1719">
        <v>0</v>
      </c>
      <c r="AA1719" t="s">
        <v>13133</v>
      </c>
      <c r="AB1719" t="s">
        <v>13134</v>
      </c>
      <c r="AC1719">
        <v>0</v>
      </c>
      <c r="AD1719">
        <v>0</v>
      </c>
      <c r="AE1719">
        <v>67</v>
      </c>
      <c r="AF1719">
        <v>-143.86000000000001</v>
      </c>
      <c r="AG1719">
        <v>10.52</v>
      </c>
      <c r="AH1719">
        <v>2.4</v>
      </c>
      <c r="AI1719">
        <v>0.27</v>
      </c>
      <c r="AJ1719">
        <v>0.12</v>
      </c>
      <c r="AK1719">
        <v>64</v>
      </c>
      <c r="AL1719">
        <v>0</v>
      </c>
      <c r="AM1719">
        <v>0</v>
      </c>
      <c r="AN1719">
        <v>0.59</v>
      </c>
      <c r="AO1719">
        <v>1.53</v>
      </c>
      <c r="AP1719">
        <v>10</v>
      </c>
      <c r="AQ1719">
        <v>0</v>
      </c>
      <c r="AR1719">
        <v>3.02</v>
      </c>
      <c r="AS1719">
        <v>16</v>
      </c>
      <c r="AT1719">
        <v>1.73</v>
      </c>
      <c r="AU1719">
        <v>25</v>
      </c>
      <c r="AV1719">
        <v>-1.28</v>
      </c>
      <c r="AW1719">
        <v>58</v>
      </c>
      <c r="AX1719">
        <v>2.48</v>
      </c>
      <c r="AY1719">
        <v>21</v>
      </c>
      <c r="AZ1719">
        <v>7.15</v>
      </c>
      <c r="BA1719">
        <v>14</v>
      </c>
      <c r="BB1719">
        <v>5.29</v>
      </c>
      <c r="BC1719">
        <v>10</v>
      </c>
      <c r="BD1719">
        <v>-0.06</v>
      </c>
      <c r="BE1719">
        <v>0.02</v>
      </c>
      <c r="BF1719">
        <v>0.05</v>
      </c>
      <c r="BG1719">
        <v>25</v>
      </c>
      <c r="BH1719">
        <v>0.02</v>
      </c>
      <c r="BI1719">
        <v>-5.34</v>
      </c>
      <c r="BJ1719">
        <v>0</v>
      </c>
      <c r="BK1719">
        <v>0</v>
      </c>
      <c r="BL1719">
        <v>-1.1499999999999999</v>
      </c>
      <c r="BM1719">
        <v>-1.94</v>
      </c>
      <c r="BN1719">
        <v>-0.06</v>
      </c>
      <c r="BO1719">
        <v>1.74</v>
      </c>
      <c r="BP1719">
        <v>0.59</v>
      </c>
      <c r="BQ1719">
        <v>-5.26</v>
      </c>
      <c r="BR1719">
        <v>2.67</v>
      </c>
      <c r="BS1719">
        <v>5.88</v>
      </c>
      <c r="BT1719">
        <v>-1.56</v>
      </c>
      <c r="BU1719">
        <v>0.87</v>
      </c>
      <c r="BV1719">
        <v>0.92</v>
      </c>
      <c r="BW1719">
        <v>-1.29</v>
      </c>
      <c r="BX1719">
        <v>-2.2400000000000002</v>
      </c>
      <c r="BY1719">
        <v>0.55000000000000004</v>
      </c>
      <c r="BZ1719">
        <v>7.0000000000000007E-2</v>
      </c>
      <c r="CA1719">
        <v>2.3199999999999998</v>
      </c>
      <c r="CB1719">
        <v>1.1299999999999999</v>
      </c>
      <c r="CC1719">
        <v>3.75</v>
      </c>
      <c r="CD1719">
        <v>-2.41</v>
      </c>
      <c r="CE1719">
        <v>1.63</v>
      </c>
      <c r="CF1719">
        <v>-0.91</v>
      </c>
      <c r="CG1719">
        <v>0</v>
      </c>
      <c r="CH1719">
        <v>-0.11</v>
      </c>
      <c r="CI1719">
        <v>0</v>
      </c>
      <c r="CJ1719">
        <v>-35.9</v>
      </c>
      <c r="CK1719">
        <v>22</v>
      </c>
      <c r="CL1719">
        <v>-1.19</v>
      </c>
      <c r="CM1719">
        <v>20</v>
      </c>
      <c r="CN1719">
        <v>-0.36</v>
      </c>
      <c r="CO1719">
        <v>17</v>
      </c>
      <c r="CP1719">
        <v>-54.9</v>
      </c>
      <c r="CQ1719">
        <v>18</v>
      </c>
      <c r="CR1719">
        <v>0</v>
      </c>
      <c r="CS1719">
        <v>0</v>
      </c>
      <c r="CT1719">
        <v>-84.6</v>
      </c>
      <c r="CU1719">
        <v>13</v>
      </c>
      <c r="CV1719">
        <v>-0.44</v>
      </c>
      <c r="CW1719">
        <v>5</v>
      </c>
      <c r="CX1719" t="s">
        <v>13135</v>
      </c>
    </row>
    <row r="1720" spans="1:102" x14ac:dyDescent="0.3">
      <c r="A1720" t="str">
        <f>HYPERLINK("https://webapp.icbf.com/v2/app/bull-search/view/558104740","F230")</f>
        <v>F230</v>
      </c>
      <c r="B1720" t="s">
        <v>15148</v>
      </c>
      <c r="C1720" t="s">
        <v>15149</v>
      </c>
      <c r="D1720" s="1">
        <v>39479</v>
      </c>
      <c r="E1720" t="s">
        <v>108</v>
      </c>
      <c r="F1720">
        <v>3</v>
      </c>
      <c r="G1720" t="s">
        <v>93</v>
      </c>
      <c r="H1720">
        <v>90.75</v>
      </c>
      <c r="I1720">
        <v>81</v>
      </c>
      <c r="J1720">
        <v>-52.81</v>
      </c>
      <c r="K1720">
        <v>94</v>
      </c>
      <c r="L1720">
        <v>125.43</v>
      </c>
      <c r="M1720">
        <v>71</v>
      </c>
      <c r="N1720">
        <v>1.88</v>
      </c>
      <c r="O1720">
        <v>80</v>
      </c>
      <c r="P1720">
        <v>-18.18</v>
      </c>
      <c r="Q1720">
        <v>88</v>
      </c>
      <c r="R1720">
        <v>6.21</v>
      </c>
      <c r="S1720">
        <v>73</v>
      </c>
      <c r="T1720">
        <v>21.67</v>
      </c>
      <c r="U1720">
        <v>75</v>
      </c>
      <c r="V1720">
        <v>6.55</v>
      </c>
      <c r="W1720">
        <v>64</v>
      </c>
      <c r="X1720" t="s">
        <v>110</v>
      </c>
      <c r="Y1720" t="s">
        <v>7736</v>
      </c>
      <c r="Z1720" t="s">
        <v>96</v>
      </c>
      <c r="AA1720" t="s">
        <v>1543</v>
      </c>
      <c r="AB1720" t="s">
        <v>15150</v>
      </c>
      <c r="AC1720">
        <v>45</v>
      </c>
      <c r="AD1720">
        <v>4</v>
      </c>
      <c r="AE1720">
        <v>94</v>
      </c>
      <c r="AF1720">
        <v>-362.62</v>
      </c>
      <c r="AG1720">
        <v>-11.31</v>
      </c>
      <c r="AH1720">
        <v>-10.53</v>
      </c>
      <c r="AI1720">
        <v>0.05</v>
      </c>
      <c r="AJ1720">
        <v>0.03</v>
      </c>
      <c r="AK1720">
        <v>71</v>
      </c>
      <c r="AL1720">
        <v>39</v>
      </c>
      <c r="AM1720">
        <v>5</v>
      </c>
      <c r="AN1720">
        <v>-7.82</v>
      </c>
      <c r="AO1720">
        <v>2.17</v>
      </c>
      <c r="AP1720">
        <v>111</v>
      </c>
      <c r="AQ1720">
        <v>0</v>
      </c>
      <c r="AR1720">
        <v>9.74</v>
      </c>
      <c r="AS1720">
        <v>81</v>
      </c>
      <c r="AT1720">
        <v>3.23</v>
      </c>
      <c r="AU1720">
        <v>80</v>
      </c>
      <c r="AV1720">
        <v>-2.27</v>
      </c>
      <c r="AW1720">
        <v>92</v>
      </c>
      <c r="AX1720">
        <v>1.33</v>
      </c>
      <c r="AY1720">
        <v>76</v>
      </c>
      <c r="AZ1720">
        <v>7.84</v>
      </c>
      <c r="BA1720">
        <v>61</v>
      </c>
      <c r="BB1720">
        <v>5.67</v>
      </c>
      <c r="BC1720">
        <v>55</v>
      </c>
      <c r="BD1720">
        <v>-0.01</v>
      </c>
      <c r="BE1720">
        <v>-0.04</v>
      </c>
      <c r="BF1720">
        <v>-0.05</v>
      </c>
      <c r="BG1720">
        <v>83</v>
      </c>
      <c r="BH1720">
        <v>0.08</v>
      </c>
      <c r="BI1720">
        <v>-11.87</v>
      </c>
      <c r="BJ1720">
        <v>22</v>
      </c>
      <c r="BK1720">
        <v>2</v>
      </c>
      <c r="BL1720">
        <v>-3.24</v>
      </c>
      <c r="BM1720">
        <v>0.95</v>
      </c>
      <c r="BN1720">
        <v>-2.67</v>
      </c>
      <c r="BO1720">
        <v>-2.66</v>
      </c>
      <c r="BP1720">
        <v>-1.1000000000000001</v>
      </c>
      <c r="BQ1720">
        <v>0.82</v>
      </c>
      <c r="BR1720">
        <v>-1.24</v>
      </c>
      <c r="BS1720">
        <v>0.76</v>
      </c>
      <c r="BT1720">
        <v>1.18</v>
      </c>
      <c r="BU1720">
        <v>-0.54</v>
      </c>
      <c r="BV1720">
        <v>-1.01</v>
      </c>
      <c r="BW1720">
        <v>-0.35</v>
      </c>
      <c r="BX1720">
        <v>-0.47</v>
      </c>
      <c r="BY1720">
        <v>-0.14000000000000001</v>
      </c>
      <c r="BZ1720">
        <v>-1.55</v>
      </c>
      <c r="CA1720">
        <v>-0.66</v>
      </c>
      <c r="CB1720">
        <v>-0.73</v>
      </c>
      <c r="CC1720">
        <v>-0.39</v>
      </c>
      <c r="CD1720">
        <v>2.52</v>
      </c>
      <c r="CE1720">
        <v>-2.64</v>
      </c>
      <c r="CF1720">
        <v>-2.4900000000000002</v>
      </c>
      <c r="CG1720">
        <v>0</v>
      </c>
      <c r="CH1720">
        <v>0.43</v>
      </c>
      <c r="CI1720">
        <v>0</v>
      </c>
      <c r="CJ1720">
        <v>-8.6999999999999993</v>
      </c>
      <c r="CK1720">
        <v>90</v>
      </c>
      <c r="CL1720">
        <v>-0.33</v>
      </c>
      <c r="CM1720">
        <v>88</v>
      </c>
      <c r="CN1720">
        <v>0.12</v>
      </c>
      <c r="CO1720">
        <v>87</v>
      </c>
      <c r="CP1720">
        <v>-9.1</v>
      </c>
      <c r="CQ1720">
        <v>81</v>
      </c>
      <c r="CR1720">
        <v>0</v>
      </c>
      <c r="CS1720">
        <v>0</v>
      </c>
      <c r="CT1720">
        <v>-15.5</v>
      </c>
      <c r="CU1720">
        <v>75</v>
      </c>
      <c r="CV1720">
        <v>0</v>
      </c>
      <c r="CW1720">
        <v>44</v>
      </c>
      <c r="CX1720" t="s">
        <v>15151</v>
      </c>
    </row>
    <row r="1721" spans="1:102" x14ac:dyDescent="0.3">
      <c r="A1721" t="str">
        <f>HYPERLINK("https://webapp.icbf.com/v2/app/bull-search/view/1456850343","FR4223")</f>
        <v>FR4223</v>
      </c>
      <c r="B1721" t="s">
        <v>2282</v>
      </c>
      <c r="C1721" t="s">
        <v>2283</v>
      </c>
      <c r="D1721" s="1">
        <v>42288</v>
      </c>
      <c r="E1721" t="s">
        <v>92</v>
      </c>
      <c r="F1721">
        <v>100</v>
      </c>
      <c r="G1721" t="s">
        <v>116</v>
      </c>
      <c r="H1721">
        <v>90.57</v>
      </c>
      <c r="I1721">
        <v>38</v>
      </c>
      <c r="J1721">
        <v>20.69</v>
      </c>
      <c r="K1721">
        <v>61</v>
      </c>
      <c r="L1721">
        <v>2.64</v>
      </c>
      <c r="M1721">
        <v>22</v>
      </c>
      <c r="N1721">
        <v>54.1</v>
      </c>
      <c r="O1721">
        <v>61</v>
      </c>
      <c r="P1721">
        <v>0.25</v>
      </c>
      <c r="Q1721">
        <v>30</v>
      </c>
      <c r="R1721">
        <v>8.8000000000000007</v>
      </c>
      <c r="S1721">
        <v>34</v>
      </c>
      <c r="T1721">
        <v>2.87</v>
      </c>
      <c r="U1721">
        <v>12</v>
      </c>
      <c r="V1721">
        <v>1.22</v>
      </c>
      <c r="W1721">
        <v>7</v>
      </c>
      <c r="X1721" t="s">
        <v>428</v>
      </c>
      <c r="Y1721" t="s">
        <v>2261</v>
      </c>
      <c r="Z1721" t="s">
        <v>96</v>
      </c>
      <c r="AA1721" t="s">
        <v>2284</v>
      </c>
      <c r="AB1721" t="s">
        <v>2285</v>
      </c>
      <c r="AC1721">
        <v>0</v>
      </c>
      <c r="AD1721">
        <v>0</v>
      </c>
      <c r="AE1721">
        <v>61</v>
      </c>
      <c r="AF1721">
        <v>270.43</v>
      </c>
      <c r="AG1721">
        <v>3.16</v>
      </c>
      <c r="AH1721">
        <v>6.54</v>
      </c>
      <c r="AI1721">
        <v>-0.12</v>
      </c>
      <c r="AJ1721">
        <v>-0.04</v>
      </c>
      <c r="AK1721">
        <v>22</v>
      </c>
      <c r="AL1721">
        <v>0</v>
      </c>
      <c r="AM1721">
        <v>0</v>
      </c>
      <c r="AN1721">
        <v>0.56999999999999995</v>
      </c>
      <c r="AO1721">
        <v>0.79</v>
      </c>
      <c r="AP1721">
        <v>32</v>
      </c>
      <c r="AQ1721">
        <v>0</v>
      </c>
      <c r="AR1721">
        <v>3.88</v>
      </c>
      <c r="AS1721">
        <v>40</v>
      </c>
      <c r="AT1721">
        <v>1.71</v>
      </c>
      <c r="AU1721">
        <v>86</v>
      </c>
      <c r="AV1721">
        <v>-4.0599999999999996</v>
      </c>
      <c r="AW1721">
        <v>77</v>
      </c>
      <c r="AX1721">
        <v>-0.72</v>
      </c>
      <c r="AY1721">
        <v>39</v>
      </c>
      <c r="AZ1721">
        <v>5.78</v>
      </c>
      <c r="BA1721">
        <v>9</v>
      </c>
      <c r="BB1721">
        <v>4.79</v>
      </c>
      <c r="BC1721">
        <v>6</v>
      </c>
      <c r="BD1721">
        <v>-0.02</v>
      </c>
      <c r="BE1721">
        <v>-0.01</v>
      </c>
      <c r="BF1721">
        <v>-0.15</v>
      </c>
      <c r="BG1721">
        <v>56</v>
      </c>
      <c r="BH1721">
        <v>0.02</v>
      </c>
      <c r="BI1721">
        <v>-1.61</v>
      </c>
      <c r="BJ1721">
        <v>0</v>
      </c>
      <c r="BK1721">
        <v>0</v>
      </c>
      <c r="BL1721">
        <v>1.05</v>
      </c>
      <c r="BM1721">
        <v>-0.77</v>
      </c>
      <c r="BN1721">
        <v>0.09</v>
      </c>
      <c r="BO1721">
        <v>0.85</v>
      </c>
      <c r="BP1721">
        <v>0.04</v>
      </c>
      <c r="BQ1721">
        <v>0.48</v>
      </c>
      <c r="BR1721">
        <v>-0.55000000000000004</v>
      </c>
      <c r="BS1721">
        <v>2.15</v>
      </c>
      <c r="BT1721">
        <v>0.81</v>
      </c>
      <c r="BU1721">
        <v>2.2599999999999998</v>
      </c>
      <c r="BV1721">
        <v>2.7</v>
      </c>
      <c r="BW1721">
        <v>1.59</v>
      </c>
      <c r="BX1721">
        <v>2.15</v>
      </c>
      <c r="BY1721">
        <v>1.06</v>
      </c>
      <c r="BZ1721">
        <v>0.21</v>
      </c>
      <c r="CA1721">
        <v>2.23</v>
      </c>
      <c r="CB1721">
        <v>2.02</v>
      </c>
      <c r="CC1721">
        <v>1.61</v>
      </c>
      <c r="CD1721">
        <v>-0.45</v>
      </c>
      <c r="CE1721">
        <v>0.57999999999999996</v>
      </c>
      <c r="CF1721">
        <v>0.49</v>
      </c>
      <c r="CG1721">
        <v>0</v>
      </c>
      <c r="CH1721">
        <v>0.97</v>
      </c>
      <c r="CI1721">
        <v>0</v>
      </c>
      <c r="CJ1721">
        <v>2.2000000000000002</v>
      </c>
      <c r="CK1721">
        <v>33</v>
      </c>
      <c r="CL1721">
        <v>-0.85</v>
      </c>
      <c r="CM1721">
        <v>29</v>
      </c>
      <c r="CN1721">
        <v>-0.53</v>
      </c>
      <c r="CO1721">
        <v>27</v>
      </c>
      <c r="CP1721">
        <v>-1.5</v>
      </c>
      <c r="CQ1721">
        <v>16</v>
      </c>
      <c r="CR1721">
        <v>0</v>
      </c>
      <c r="CS1721">
        <v>0</v>
      </c>
      <c r="CT1721">
        <v>9.9</v>
      </c>
      <c r="CU1721">
        <v>12</v>
      </c>
      <c r="CV1721">
        <v>0.27</v>
      </c>
      <c r="CW1721">
        <v>8</v>
      </c>
      <c r="CX1721" t="s">
        <v>1894</v>
      </c>
    </row>
    <row r="1722" spans="1:102" x14ac:dyDescent="0.3">
      <c r="A1722" t="str">
        <f>HYPERLINK("https://webapp.icbf.com/v2/app/bull-search/view/518908973","S524")</f>
        <v>S524</v>
      </c>
      <c r="B1722" t="s">
        <v>2777</v>
      </c>
      <c r="C1722" t="s">
        <v>2778</v>
      </c>
      <c r="D1722" s="1">
        <v>34872</v>
      </c>
      <c r="E1722" t="s">
        <v>108</v>
      </c>
      <c r="F1722">
        <v>0</v>
      </c>
      <c r="G1722" t="s">
        <v>93</v>
      </c>
      <c r="H1722">
        <v>90.57</v>
      </c>
      <c r="I1722">
        <v>78</v>
      </c>
      <c r="J1722">
        <v>-28.87</v>
      </c>
      <c r="K1722">
        <v>93</v>
      </c>
      <c r="L1722">
        <v>103.25</v>
      </c>
      <c r="M1722">
        <v>74</v>
      </c>
      <c r="N1722">
        <v>19.2</v>
      </c>
      <c r="O1722">
        <v>66</v>
      </c>
      <c r="P1722">
        <v>-19.82</v>
      </c>
      <c r="Q1722">
        <v>66</v>
      </c>
      <c r="R1722">
        <v>-2.0099999999999998</v>
      </c>
      <c r="S1722">
        <v>76</v>
      </c>
      <c r="T1722">
        <v>17.38</v>
      </c>
      <c r="U1722">
        <v>61</v>
      </c>
      <c r="V1722">
        <v>1.44</v>
      </c>
      <c r="W1722">
        <v>77</v>
      </c>
      <c r="X1722" t="s">
        <v>102</v>
      </c>
      <c r="Y1722" t="s">
        <v>199</v>
      </c>
      <c r="Z1722" t="s">
        <v>96</v>
      </c>
      <c r="AA1722" t="s">
        <v>2779</v>
      </c>
      <c r="AB1722" t="s">
        <v>2780</v>
      </c>
      <c r="AC1722">
        <v>23</v>
      </c>
      <c r="AD1722">
        <v>6</v>
      </c>
      <c r="AE1722">
        <v>93</v>
      </c>
      <c r="AF1722">
        <v>-380.79</v>
      </c>
      <c r="AG1722">
        <v>-7.77</v>
      </c>
      <c r="AH1722">
        <v>-7.99</v>
      </c>
      <c r="AI1722">
        <v>0.13</v>
      </c>
      <c r="AJ1722">
        <v>0.09</v>
      </c>
      <c r="AK1722">
        <v>74</v>
      </c>
      <c r="AL1722">
        <v>20</v>
      </c>
      <c r="AM1722">
        <v>6</v>
      </c>
      <c r="AN1722">
        <v>-6.75</v>
      </c>
      <c r="AO1722">
        <v>1.47</v>
      </c>
      <c r="AP1722">
        <v>14</v>
      </c>
      <c r="AQ1722">
        <v>0</v>
      </c>
      <c r="AR1722">
        <v>6.26</v>
      </c>
      <c r="AS1722">
        <v>60</v>
      </c>
      <c r="AT1722">
        <v>2.83</v>
      </c>
      <c r="AU1722">
        <v>71</v>
      </c>
      <c r="AV1722">
        <v>-1.8</v>
      </c>
      <c r="AW1722">
        <v>71</v>
      </c>
      <c r="AX1722">
        <v>-0.57999999999999996</v>
      </c>
      <c r="AY1722">
        <v>60</v>
      </c>
      <c r="AZ1722">
        <v>6.5</v>
      </c>
      <c r="BA1722">
        <v>57</v>
      </c>
      <c r="BB1722">
        <v>5.45</v>
      </c>
      <c r="BC1722">
        <v>55</v>
      </c>
      <c r="BD1722">
        <v>0.08</v>
      </c>
      <c r="BE1722">
        <v>-0.03</v>
      </c>
      <c r="BF1722">
        <v>-0.03</v>
      </c>
      <c r="BG1722">
        <v>81</v>
      </c>
      <c r="BH1722">
        <v>-0.04</v>
      </c>
      <c r="BI1722">
        <v>-9.26</v>
      </c>
      <c r="BJ1722">
        <v>1</v>
      </c>
      <c r="BK1722">
        <v>1</v>
      </c>
      <c r="BL1722">
        <v>-2.5299999999999998</v>
      </c>
      <c r="BM1722">
        <v>2.89</v>
      </c>
      <c r="BN1722">
        <v>-2.56</v>
      </c>
      <c r="BO1722">
        <v>-3.31</v>
      </c>
      <c r="BP1722">
        <v>-1.72</v>
      </c>
      <c r="BQ1722">
        <v>4.4800000000000004</v>
      </c>
      <c r="BR1722">
        <v>-2.71</v>
      </c>
      <c r="BS1722">
        <v>0.7</v>
      </c>
      <c r="BT1722">
        <v>0.71</v>
      </c>
      <c r="BU1722">
        <v>-2.2799999999999998</v>
      </c>
      <c r="BV1722">
        <v>-2.79</v>
      </c>
      <c r="BW1722">
        <v>-1.28</v>
      </c>
      <c r="BX1722">
        <v>-1.84</v>
      </c>
      <c r="BY1722">
        <v>-0.7</v>
      </c>
      <c r="BZ1722">
        <v>1.1299999999999999</v>
      </c>
      <c r="CA1722">
        <v>-1.7</v>
      </c>
      <c r="CB1722">
        <v>-2.14</v>
      </c>
      <c r="CC1722">
        <v>-0.28000000000000003</v>
      </c>
      <c r="CD1722">
        <v>3.29</v>
      </c>
      <c r="CE1722">
        <v>-2.4300000000000002</v>
      </c>
      <c r="CF1722">
        <v>-0.86</v>
      </c>
      <c r="CG1722">
        <v>0</v>
      </c>
      <c r="CH1722">
        <v>0.39</v>
      </c>
      <c r="CI1722">
        <v>0</v>
      </c>
      <c r="CJ1722">
        <v>-10.8</v>
      </c>
      <c r="CK1722">
        <v>68</v>
      </c>
      <c r="CL1722">
        <v>-0.38</v>
      </c>
      <c r="CM1722">
        <v>65</v>
      </c>
      <c r="CN1722">
        <v>-0.01</v>
      </c>
      <c r="CO1722">
        <v>63</v>
      </c>
      <c r="CP1722">
        <v>-7.4</v>
      </c>
      <c r="CQ1722">
        <v>63</v>
      </c>
      <c r="CR1722">
        <v>0</v>
      </c>
      <c r="CS1722">
        <v>0</v>
      </c>
      <c r="CT1722">
        <v>-9.6999999999999993</v>
      </c>
      <c r="CU1722">
        <v>61</v>
      </c>
      <c r="CV1722">
        <v>-0.02</v>
      </c>
      <c r="CW1722">
        <v>39</v>
      </c>
      <c r="CX1722" t="s">
        <v>2781</v>
      </c>
    </row>
    <row r="1723" spans="1:102" x14ac:dyDescent="0.3">
      <c r="A1723" t="str">
        <f>HYPERLINK("https://webapp.icbf.com/v2/app/bull-search/view/660040338","HZY")</f>
        <v>HZY</v>
      </c>
      <c r="B1723" t="s">
        <v>9067</v>
      </c>
      <c r="C1723" t="s">
        <v>9068</v>
      </c>
      <c r="D1723" s="1">
        <v>39301</v>
      </c>
      <c r="E1723" t="s">
        <v>92</v>
      </c>
      <c r="F1723">
        <v>59</v>
      </c>
      <c r="G1723" t="s">
        <v>93</v>
      </c>
      <c r="H1723">
        <v>90.54</v>
      </c>
      <c r="I1723">
        <v>91</v>
      </c>
      <c r="J1723">
        <v>54.49</v>
      </c>
      <c r="K1723">
        <v>98</v>
      </c>
      <c r="L1723">
        <v>23.25</v>
      </c>
      <c r="M1723">
        <v>85</v>
      </c>
      <c r="N1723">
        <v>8.9</v>
      </c>
      <c r="O1723">
        <v>90</v>
      </c>
      <c r="P1723">
        <v>-17.59</v>
      </c>
      <c r="Q1723">
        <v>95</v>
      </c>
      <c r="R1723">
        <v>4.51</v>
      </c>
      <c r="S1723">
        <v>82</v>
      </c>
      <c r="T1723">
        <v>21.37</v>
      </c>
      <c r="U1723">
        <v>88</v>
      </c>
      <c r="V1723">
        <v>-4.3899999999999997</v>
      </c>
      <c r="W1723">
        <v>80</v>
      </c>
      <c r="X1723" t="s">
        <v>94</v>
      </c>
      <c r="Y1723" t="s">
        <v>329</v>
      </c>
      <c r="Z1723" t="s">
        <v>330</v>
      </c>
      <c r="AA1723" t="s">
        <v>2339</v>
      </c>
      <c r="AB1723" t="s">
        <v>9069</v>
      </c>
      <c r="AC1723">
        <v>161</v>
      </c>
      <c r="AD1723">
        <v>64</v>
      </c>
      <c r="AE1723">
        <v>98</v>
      </c>
      <c r="AF1723">
        <v>191.64</v>
      </c>
      <c r="AG1723">
        <v>5.88</v>
      </c>
      <c r="AH1723">
        <v>10.119999999999999</v>
      </c>
      <c r="AI1723">
        <v>-0.03</v>
      </c>
      <c r="AJ1723">
        <v>0.06</v>
      </c>
      <c r="AK1723">
        <v>85</v>
      </c>
      <c r="AL1723">
        <v>168</v>
      </c>
      <c r="AM1723">
        <v>71</v>
      </c>
      <c r="AN1723">
        <v>-0.81</v>
      </c>
      <c r="AO1723">
        <v>1.05</v>
      </c>
      <c r="AP1723">
        <v>329</v>
      </c>
      <c r="AQ1723">
        <v>3</v>
      </c>
      <c r="AR1723">
        <v>8.9499999999999993</v>
      </c>
      <c r="AS1723">
        <v>80</v>
      </c>
      <c r="AT1723">
        <v>3.43</v>
      </c>
      <c r="AU1723">
        <v>91</v>
      </c>
      <c r="AV1723">
        <v>-1.92</v>
      </c>
      <c r="AW1723">
        <v>98</v>
      </c>
      <c r="AX1723">
        <v>0.94</v>
      </c>
      <c r="AY1723">
        <v>87</v>
      </c>
      <c r="AZ1723">
        <v>5.28</v>
      </c>
      <c r="BA1723">
        <v>72</v>
      </c>
      <c r="BB1723">
        <v>4.8</v>
      </c>
      <c r="BC1723">
        <v>74</v>
      </c>
      <c r="BD1723">
        <v>-0.04</v>
      </c>
      <c r="BE1723">
        <v>-0.03</v>
      </c>
      <c r="BF1723">
        <v>0.02</v>
      </c>
      <c r="BG1723">
        <v>92</v>
      </c>
      <c r="BH1723">
        <v>-0.22</v>
      </c>
      <c r="BI1723">
        <v>-11.3</v>
      </c>
      <c r="BJ1723">
        <v>1</v>
      </c>
      <c r="BK1723">
        <v>1</v>
      </c>
      <c r="BL1723">
        <v>-1.38</v>
      </c>
      <c r="BM1723">
        <v>-1.32</v>
      </c>
      <c r="BN1723">
        <v>-2.06</v>
      </c>
      <c r="BO1723">
        <v>-0.99</v>
      </c>
      <c r="BP1723">
        <v>-0.27</v>
      </c>
      <c r="BQ1723">
        <v>-1.94</v>
      </c>
      <c r="BR1723">
        <v>2.16</v>
      </c>
      <c r="BS1723">
        <v>-0.63</v>
      </c>
      <c r="BT1723">
        <v>-3.69</v>
      </c>
      <c r="BU1723">
        <v>-2.64</v>
      </c>
      <c r="BV1723">
        <v>-1.61</v>
      </c>
      <c r="BW1723">
        <v>-1.9</v>
      </c>
      <c r="BX1723">
        <v>-2.2599999999999998</v>
      </c>
      <c r="BY1723">
        <v>-0.97</v>
      </c>
      <c r="BZ1723">
        <v>0.82</v>
      </c>
      <c r="CA1723">
        <v>-1.84</v>
      </c>
      <c r="CB1723">
        <v>-1.73</v>
      </c>
      <c r="CC1723">
        <v>-1</v>
      </c>
      <c r="CD1723">
        <v>0.46</v>
      </c>
      <c r="CE1723">
        <v>-0.48</v>
      </c>
      <c r="CF1723">
        <v>-1.89</v>
      </c>
      <c r="CG1723">
        <v>0</v>
      </c>
      <c r="CH1723">
        <v>-1.17</v>
      </c>
      <c r="CI1723">
        <v>0</v>
      </c>
      <c r="CJ1723">
        <v>-8.1</v>
      </c>
      <c r="CK1723">
        <v>96</v>
      </c>
      <c r="CL1723">
        <v>-0.71</v>
      </c>
      <c r="CM1723">
        <v>95</v>
      </c>
      <c r="CN1723">
        <v>-0.25</v>
      </c>
      <c r="CO1723">
        <v>95</v>
      </c>
      <c r="CP1723">
        <v>-13.4</v>
      </c>
      <c r="CQ1723">
        <v>90</v>
      </c>
      <c r="CR1723">
        <v>0</v>
      </c>
      <c r="CS1723">
        <v>0</v>
      </c>
      <c r="CT1723">
        <v>-15.1</v>
      </c>
      <c r="CU1723">
        <v>88</v>
      </c>
      <c r="CV1723">
        <v>0.16</v>
      </c>
      <c r="CW1723">
        <v>46</v>
      </c>
      <c r="CX1723" t="s">
        <v>531</v>
      </c>
    </row>
    <row r="1724" spans="1:102" x14ac:dyDescent="0.3">
      <c r="A1724" t="str">
        <f>HYPERLINK("https://webapp.icbf.com/v2/app/bull-search/view/343362636","KSY")</f>
        <v>KSY</v>
      </c>
      <c r="B1724" t="s">
        <v>3866</v>
      </c>
      <c r="C1724" t="s">
        <v>3867</v>
      </c>
      <c r="D1724" s="1">
        <v>38028</v>
      </c>
      <c r="E1724" t="s">
        <v>92</v>
      </c>
      <c r="F1724">
        <v>81</v>
      </c>
      <c r="G1724" t="s">
        <v>93</v>
      </c>
      <c r="H1724">
        <v>90.49</v>
      </c>
      <c r="I1724">
        <v>92</v>
      </c>
      <c r="J1724">
        <v>54.47</v>
      </c>
      <c r="K1724">
        <v>98</v>
      </c>
      <c r="L1724">
        <v>3.58</v>
      </c>
      <c r="M1724">
        <v>85</v>
      </c>
      <c r="N1724">
        <v>36.67</v>
      </c>
      <c r="O1724">
        <v>92</v>
      </c>
      <c r="P1724">
        <v>-3.79</v>
      </c>
      <c r="Q1724">
        <v>95</v>
      </c>
      <c r="R1724">
        <v>-8.09</v>
      </c>
      <c r="S1724">
        <v>88</v>
      </c>
      <c r="T1724">
        <v>14.49</v>
      </c>
      <c r="U1724">
        <v>93</v>
      </c>
      <c r="V1724">
        <v>-6.84</v>
      </c>
      <c r="W1724">
        <v>87</v>
      </c>
      <c r="X1724" t="s">
        <v>94</v>
      </c>
      <c r="Y1724" t="s">
        <v>228</v>
      </c>
      <c r="Z1724" t="s">
        <v>96</v>
      </c>
      <c r="AA1724" t="s">
        <v>3868</v>
      </c>
      <c r="AB1724" t="s">
        <v>3869</v>
      </c>
      <c r="AC1724">
        <v>188</v>
      </c>
      <c r="AD1724">
        <v>109</v>
      </c>
      <c r="AE1724">
        <v>98</v>
      </c>
      <c r="AF1724">
        <v>223.18</v>
      </c>
      <c r="AG1724">
        <v>11.93</v>
      </c>
      <c r="AH1724">
        <v>8.4600000000000009</v>
      </c>
      <c r="AI1724">
        <v>0.05</v>
      </c>
      <c r="AJ1724">
        <v>0.02</v>
      </c>
      <c r="AK1724">
        <v>85</v>
      </c>
      <c r="AL1724">
        <v>197</v>
      </c>
      <c r="AM1724">
        <v>121</v>
      </c>
      <c r="AN1724">
        <v>0.16</v>
      </c>
      <c r="AO1724">
        <v>0.45</v>
      </c>
      <c r="AP1724">
        <v>356</v>
      </c>
      <c r="AQ1724">
        <v>2</v>
      </c>
      <c r="AR1724">
        <v>4</v>
      </c>
      <c r="AS1724">
        <v>89</v>
      </c>
      <c r="AT1724">
        <v>1.67</v>
      </c>
      <c r="AU1724">
        <v>91</v>
      </c>
      <c r="AV1724">
        <v>-2.4</v>
      </c>
      <c r="AW1724">
        <v>98</v>
      </c>
      <c r="AX1724">
        <v>0.05</v>
      </c>
      <c r="AY1724">
        <v>90</v>
      </c>
      <c r="AZ1724">
        <v>6.17</v>
      </c>
      <c r="BA1724">
        <v>77</v>
      </c>
      <c r="BB1724">
        <v>5.15</v>
      </c>
      <c r="BC1724">
        <v>79</v>
      </c>
      <c r="BD1724">
        <v>0</v>
      </c>
      <c r="BE1724">
        <v>0.04</v>
      </c>
      <c r="BF1724">
        <v>0.11</v>
      </c>
      <c r="BG1724">
        <v>94</v>
      </c>
      <c r="BH1724">
        <v>-0.13</v>
      </c>
      <c r="BI1724">
        <v>7.03</v>
      </c>
      <c r="BJ1724">
        <v>46</v>
      </c>
      <c r="BK1724">
        <v>36</v>
      </c>
      <c r="BL1724">
        <v>-0.22</v>
      </c>
      <c r="BM1724">
        <v>0.57999999999999996</v>
      </c>
      <c r="BN1724">
        <v>0.05</v>
      </c>
      <c r="BO1724">
        <v>-0.41</v>
      </c>
      <c r="BP1724">
        <v>2.95</v>
      </c>
      <c r="BQ1724">
        <v>-0.24</v>
      </c>
      <c r="BR1724">
        <v>0.06</v>
      </c>
      <c r="BS1724">
        <v>0.08</v>
      </c>
      <c r="BT1724">
        <v>0.57999999999999996</v>
      </c>
      <c r="BU1724">
        <v>-1.33</v>
      </c>
      <c r="BV1724">
        <v>-1</v>
      </c>
      <c r="BW1724">
        <v>-0.26</v>
      </c>
      <c r="BX1724">
        <v>-1.97</v>
      </c>
      <c r="BY1724">
        <v>-1.37</v>
      </c>
      <c r="BZ1724">
        <v>1.24</v>
      </c>
      <c r="CA1724">
        <v>-1.05</v>
      </c>
      <c r="CB1724">
        <v>-0.76</v>
      </c>
      <c r="CC1724">
        <v>-1.34</v>
      </c>
      <c r="CD1724">
        <v>0.23</v>
      </c>
      <c r="CE1724">
        <v>-0.35</v>
      </c>
      <c r="CF1724">
        <v>-0.51</v>
      </c>
      <c r="CG1724">
        <v>0</v>
      </c>
      <c r="CH1724">
        <v>-1.1399999999999999</v>
      </c>
      <c r="CI1724">
        <v>0</v>
      </c>
      <c r="CJ1724">
        <v>1.2</v>
      </c>
      <c r="CK1724">
        <v>96</v>
      </c>
      <c r="CL1724">
        <v>-0.49</v>
      </c>
      <c r="CM1724">
        <v>95</v>
      </c>
      <c r="CN1724">
        <v>-0.05</v>
      </c>
      <c r="CO1724">
        <v>94</v>
      </c>
      <c r="CP1724">
        <v>-6.5</v>
      </c>
      <c r="CQ1724">
        <v>94</v>
      </c>
      <c r="CR1724">
        <v>0</v>
      </c>
      <c r="CS1724">
        <v>0</v>
      </c>
      <c r="CT1724">
        <v>-5.8</v>
      </c>
      <c r="CU1724">
        <v>93</v>
      </c>
      <c r="CV1724">
        <v>0.27</v>
      </c>
      <c r="CW1724">
        <v>45</v>
      </c>
      <c r="CX1724" t="s">
        <v>792</v>
      </c>
    </row>
    <row r="1725" spans="1:102" x14ac:dyDescent="0.3">
      <c r="A1725" t="str">
        <f>HYPERLINK("https://webapp.icbf.com/v2/app/bull-search/view/1336942812","MY2271")</f>
        <v>MY2271</v>
      </c>
      <c r="B1725" t="s">
        <v>13575</v>
      </c>
      <c r="C1725" t="s">
        <v>13576</v>
      </c>
      <c r="D1725" s="1">
        <v>41422</v>
      </c>
      <c r="E1725" t="s">
        <v>146</v>
      </c>
      <c r="F1725">
        <v>3</v>
      </c>
      <c r="G1725" t="s">
        <v>116</v>
      </c>
      <c r="H1725">
        <v>90.47</v>
      </c>
      <c r="I1725">
        <v>28</v>
      </c>
      <c r="J1725">
        <v>-2.63</v>
      </c>
      <c r="K1725">
        <v>10</v>
      </c>
      <c r="L1725">
        <v>56.57</v>
      </c>
      <c r="M1725">
        <v>25</v>
      </c>
      <c r="N1725">
        <v>37.82</v>
      </c>
      <c r="O1725">
        <v>72</v>
      </c>
      <c r="P1725">
        <v>-11.13</v>
      </c>
      <c r="Q1725">
        <v>76</v>
      </c>
      <c r="R1725">
        <v>-0.57999999999999996</v>
      </c>
      <c r="S1725">
        <v>14</v>
      </c>
      <c r="T1725">
        <v>15.9</v>
      </c>
      <c r="U1725">
        <v>24</v>
      </c>
      <c r="V1725">
        <v>-5.48</v>
      </c>
      <c r="W1725">
        <v>9</v>
      </c>
      <c r="X1725" t="s">
        <v>94</v>
      </c>
      <c r="Y1725" t="s">
        <v>416</v>
      </c>
      <c r="Z1725">
        <v>0</v>
      </c>
      <c r="AA1725" t="s">
        <v>341</v>
      </c>
      <c r="AB1725" t="s">
        <v>13577</v>
      </c>
      <c r="AC1725">
        <v>1</v>
      </c>
      <c r="AD1725">
        <v>1</v>
      </c>
      <c r="AE1725">
        <v>10</v>
      </c>
      <c r="AF1725">
        <v>-183.04</v>
      </c>
      <c r="AG1725">
        <v>-3.25</v>
      </c>
      <c r="AH1725">
        <v>-2.1</v>
      </c>
      <c r="AI1725">
        <v>7.0000000000000007E-2</v>
      </c>
      <c r="AJ1725">
        <v>7.0000000000000007E-2</v>
      </c>
      <c r="AK1725">
        <v>25</v>
      </c>
      <c r="AL1725">
        <v>5</v>
      </c>
      <c r="AM1725">
        <v>1</v>
      </c>
      <c r="AN1725">
        <v>-3.18</v>
      </c>
      <c r="AO1725">
        <v>1.33</v>
      </c>
      <c r="AP1725">
        <v>123</v>
      </c>
      <c r="AQ1725">
        <v>0</v>
      </c>
      <c r="AR1725">
        <v>3.84</v>
      </c>
      <c r="AS1725">
        <v>78</v>
      </c>
      <c r="AT1725">
        <v>1.58</v>
      </c>
      <c r="AU1725">
        <v>80</v>
      </c>
      <c r="AV1725">
        <v>-2.71</v>
      </c>
      <c r="AW1725">
        <v>92</v>
      </c>
      <c r="AX1725">
        <v>-0.4</v>
      </c>
      <c r="AY1725">
        <v>62</v>
      </c>
      <c r="AZ1725">
        <v>7.22</v>
      </c>
      <c r="BA1725">
        <v>29</v>
      </c>
      <c r="BB1725">
        <v>5.45</v>
      </c>
      <c r="BC1725">
        <v>10</v>
      </c>
      <c r="BD1725">
        <v>-0.01</v>
      </c>
      <c r="BE1725">
        <v>0</v>
      </c>
      <c r="BF1725">
        <v>0.03</v>
      </c>
      <c r="BG1725">
        <v>18</v>
      </c>
      <c r="BH1725">
        <v>-0.23</v>
      </c>
      <c r="BI1725">
        <v>-8.94</v>
      </c>
      <c r="BJ1725">
        <v>0</v>
      </c>
      <c r="BK1725">
        <v>0</v>
      </c>
      <c r="BL1725">
        <v>-1.85</v>
      </c>
      <c r="BM1725">
        <v>2.3199999999999998</v>
      </c>
      <c r="BN1725">
        <v>-0.99</v>
      </c>
      <c r="BO1725">
        <v>-1.33</v>
      </c>
      <c r="BP1725">
        <v>3.35</v>
      </c>
      <c r="BQ1725">
        <v>-1.23</v>
      </c>
      <c r="BR1725">
        <v>-0.4</v>
      </c>
      <c r="BS1725">
        <v>1.08</v>
      </c>
      <c r="BT1725">
        <v>0.81</v>
      </c>
      <c r="BU1725">
        <v>-1.79</v>
      </c>
      <c r="BV1725">
        <v>-2.42</v>
      </c>
      <c r="BW1725">
        <v>-1.55</v>
      </c>
      <c r="BX1725">
        <v>-2.42</v>
      </c>
      <c r="BY1725">
        <v>0.52</v>
      </c>
      <c r="BZ1725">
        <v>-0.79</v>
      </c>
      <c r="CA1725">
        <v>-1.34</v>
      </c>
      <c r="CB1725">
        <v>-1.93</v>
      </c>
      <c r="CC1725">
        <v>0.45</v>
      </c>
      <c r="CD1725">
        <v>2.1800000000000002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-10.199999999999999</v>
      </c>
      <c r="CK1725">
        <v>82</v>
      </c>
      <c r="CL1725">
        <v>7.0000000000000007E-2</v>
      </c>
      <c r="CM1725">
        <v>78</v>
      </c>
      <c r="CN1725">
        <v>-0.3</v>
      </c>
      <c r="CO1725">
        <v>76</v>
      </c>
      <c r="CP1725">
        <v>-8.6</v>
      </c>
      <c r="CQ1725">
        <v>34</v>
      </c>
      <c r="CR1725">
        <v>0</v>
      </c>
      <c r="CS1725">
        <v>0</v>
      </c>
      <c r="CT1725">
        <v>-7.7</v>
      </c>
      <c r="CU1725">
        <v>24</v>
      </c>
      <c r="CV1725">
        <v>-0.34</v>
      </c>
      <c r="CW1725">
        <v>22</v>
      </c>
      <c r="CX1725" t="s">
        <v>5819</v>
      </c>
    </row>
    <row r="1726" spans="1:102" x14ac:dyDescent="0.3">
      <c r="A1726" t="str">
        <f>HYPERLINK("https://webapp.icbf.com/v2/app/bull-search/view/77858620","CTC")</f>
        <v>CTC</v>
      </c>
      <c r="B1726" t="s">
        <v>8645</v>
      </c>
      <c r="C1726" t="s">
        <v>8646</v>
      </c>
      <c r="D1726" s="1">
        <v>33092</v>
      </c>
      <c r="E1726" t="s">
        <v>108</v>
      </c>
      <c r="F1726">
        <v>0</v>
      </c>
      <c r="G1726" t="s">
        <v>109</v>
      </c>
      <c r="H1726">
        <v>90.44</v>
      </c>
      <c r="I1726">
        <v>73</v>
      </c>
      <c r="J1726">
        <v>-30.89</v>
      </c>
      <c r="K1726">
        <v>89</v>
      </c>
      <c r="L1726">
        <v>81.73</v>
      </c>
      <c r="M1726">
        <v>70</v>
      </c>
      <c r="N1726">
        <v>31.82</v>
      </c>
      <c r="O1726">
        <v>51</v>
      </c>
      <c r="P1726">
        <v>-18.87</v>
      </c>
      <c r="Q1726">
        <v>73</v>
      </c>
      <c r="R1726">
        <v>5.51</v>
      </c>
      <c r="S1726">
        <v>60</v>
      </c>
      <c r="T1726">
        <v>17.3</v>
      </c>
      <c r="U1726">
        <v>69</v>
      </c>
      <c r="V1726">
        <v>3.84</v>
      </c>
      <c r="W1726">
        <v>31</v>
      </c>
      <c r="X1726" t="s">
        <v>94</v>
      </c>
      <c r="Y1726" t="s">
        <v>95</v>
      </c>
      <c r="Z1726" t="s">
        <v>96</v>
      </c>
      <c r="AA1726" t="s">
        <v>2881</v>
      </c>
      <c r="AB1726" t="s">
        <v>8647</v>
      </c>
      <c r="AC1726">
        <v>44</v>
      </c>
      <c r="AD1726">
        <v>15</v>
      </c>
      <c r="AE1726">
        <v>89</v>
      </c>
      <c r="AF1726">
        <v>-172.13</v>
      </c>
      <c r="AG1726">
        <v>-3.84</v>
      </c>
      <c r="AH1726">
        <v>-6.53</v>
      </c>
      <c r="AI1726">
        <v>0.05</v>
      </c>
      <c r="AJ1726">
        <v>-0.01</v>
      </c>
      <c r="AK1726">
        <v>70</v>
      </c>
      <c r="AL1726">
        <v>40</v>
      </c>
      <c r="AM1726">
        <v>17</v>
      </c>
      <c r="AN1726">
        <v>-5.07</v>
      </c>
      <c r="AO1726">
        <v>1.44</v>
      </c>
      <c r="AP1726">
        <v>8</v>
      </c>
      <c r="AQ1726">
        <v>0</v>
      </c>
      <c r="AR1726">
        <v>4.8099999999999996</v>
      </c>
      <c r="AS1726">
        <v>29</v>
      </c>
      <c r="AT1726">
        <v>2.04</v>
      </c>
      <c r="AU1726">
        <v>48</v>
      </c>
      <c r="AV1726">
        <v>-1.24</v>
      </c>
      <c r="AW1726">
        <v>60</v>
      </c>
      <c r="AX1726">
        <v>-1.03</v>
      </c>
      <c r="AY1726">
        <v>64</v>
      </c>
      <c r="AZ1726">
        <v>5.64</v>
      </c>
      <c r="BA1726">
        <v>29</v>
      </c>
      <c r="BB1726">
        <v>4.2</v>
      </c>
      <c r="BC1726">
        <v>39</v>
      </c>
      <c r="BD1726">
        <v>0.02</v>
      </c>
      <c r="BE1726">
        <v>0</v>
      </c>
      <c r="BF1726">
        <v>-0.16</v>
      </c>
      <c r="BG1726">
        <v>78</v>
      </c>
      <c r="BH1726">
        <v>-7.0000000000000007E-2</v>
      </c>
      <c r="BI1726">
        <v>-20.5</v>
      </c>
      <c r="BJ1726">
        <v>1</v>
      </c>
      <c r="BK1726">
        <v>1</v>
      </c>
      <c r="BL1726">
        <v>-3.36</v>
      </c>
      <c r="BM1726">
        <v>1.1100000000000001</v>
      </c>
      <c r="BN1726">
        <v>-2.31</v>
      </c>
      <c r="BO1726">
        <v>-2.77</v>
      </c>
      <c r="BP1726">
        <v>1.02</v>
      </c>
      <c r="BQ1726">
        <v>-1.17</v>
      </c>
      <c r="BR1726">
        <v>-1.9</v>
      </c>
      <c r="BS1726">
        <v>0.48</v>
      </c>
      <c r="BT1726">
        <v>1.21</v>
      </c>
      <c r="BU1726">
        <v>-0.88</v>
      </c>
      <c r="BV1726">
        <v>-2.0699999999999998</v>
      </c>
      <c r="BW1726">
        <v>-2.0499999999999998</v>
      </c>
      <c r="BX1726">
        <v>-1.1200000000000001</v>
      </c>
      <c r="BY1726">
        <v>-1</v>
      </c>
      <c r="BZ1726">
        <v>-1.75</v>
      </c>
      <c r="CA1726">
        <v>-1.77</v>
      </c>
      <c r="CB1726">
        <v>-2.21</v>
      </c>
      <c r="CC1726">
        <v>-0.21</v>
      </c>
      <c r="CD1726">
        <v>2.61</v>
      </c>
      <c r="CE1726">
        <v>-2.84</v>
      </c>
      <c r="CF1726">
        <v>-3.09</v>
      </c>
      <c r="CG1726">
        <v>0</v>
      </c>
      <c r="CH1726">
        <v>-1.62</v>
      </c>
      <c r="CI1726">
        <v>0</v>
      </c>
      <c r="CJ1726">
        <v>-12.2</v>
      </c>
      <c r="CK1726">
        <v>74</v>
      </c>
      <c r="CL1726">
        <v>0.12</v>
      </c>
      <c r="CM1726">
        <v>71</v>
      </c>
      <c r="CN1726">
        <v>0.09</v>
      </c>
      <c r="CO1726">
        <v>66</v>
      </c>
      <c r="CP1726">
        <v>-14.8</v>
      </c>
      <c r="CQ1726">
        <v>80</v>
      </c>
      <c r="CR1726">
        <v>0</v>
      </c>
      <c r="CS1726">
        <v>0</v>
      </c>
      <c r="CT1726">
        <v>-9.6</v>
      </c>
      <c r="CU1726">
        <v>69</v>
      </c>
      <c r="CV1726">
        <v>-0.28999999999999998</v>
      </c>
      <c r="CW1726">
        <v>20</v>
      </c>
      <c r="CX1726" t="s">
        <v>8648</v>
      </c>
    </row>
    <row r="1727" spans="1:102" x14ac:dyDescent="0.3">
      <c r="A1727" t="str">
        <f>HYPERLINK("https://webapp.icbf.com/v2/app/bull-search/view/1591811558","FR4435")</f>
        <v>FR4435</v>
      </c>
      <c r="B1727" t="s">
        <v>6553</v>
      </c>
      <c r="C1727" t="s">
        <v>6554</v>
      </c>
      <c r="D1727" s="1">
        <v>42646</v>
      </c>
      <c r="E1727" t="s">
        <v>108</v>
      </c>
      <c r="F1727">
        <v>3</v>
      </c>
      <c r="G1727" t="s">
        <v>435</v>
      </c>
      <c r="H1727">
        <v>90.34</v>
      </c>
      <c r="I1727">
        <v>63</v>
      </c>
      <c r="J1727">
        <v>-32.72</v>
      </c>
      <c r="K1727">
        <v>80</v>
      </c>
      <c r="L1727">
        <v>86.14</v>
      </c>
      <c r="M1727">
        <v>54</v>
      </c>
      <c r="N1727">
        <v>26.76</v>
      </c>
      <c r="O1727">
        <v>75</v>
      </c>
      <c r="P1727">
        <v>-11.34</v>
      </c>
      <c r="Q1727">
        <v>46</v>
      </c>
      <c r="R1727">
        <v>6.5</v>
      </c>
      <c r="S1727">
        <v>53</v>
      </c>
      <c r="T1727">
        <v>14.2</v>
      </c>
      <c r="U1727">
        <v>40</v>
      </c>
      <c r="V1727">
        <v>0.8</v>
      </c>
      <c r="W1727">
        <v>48</v>
      </c>
      <c r="X1727" t="s">
        <v>102</v>
      </c>
      <c r="Y1727" t="s">
        <v>442</v>
      </c>
      <c r="Z1727" t="s">
        <v>96</v>
      </c>
      <c r="AA1727" t="s">
        <v>6555</v>
      </c>
      <c r="AB1727" t="s">
        <v>6556</v>
      </c>
      <c r="AC1727">
        <v>0</v>
      </c>
      <c r="AD1727">
        <v>0</v>
      </c>
      <c r="AE1727">
        <v>80</v>
      </c>
      <c r="AF1727">
        <v>-184.91</v>
      </c>
      <c r="AG1727">
        <v>1.0900000000000001</v>
      </c>
      <c r="AH1727">
        <v>-8.7799999999999994</v>
      </c>
      <c r="AI1727">
        <v>0.14000000000000001</v>
      </c>
      <c r="AJ1727">
        <v>-0.04</v>
      </c>
      <c r="AK1727">
        <v>54</v>
      </c>
      <c r="AL1727">
        <v>0</v>
      </c>
      <c r="AM1727">
        <v>0</v>
      </c>
      <c r="AN1727">
        <v>-4.68</v>
      </c>
      <c r="AO1727">
        <v>2.19</v>
      </c>
      <c r="AP1727">
        <v>186</v>
      </c>
      <c r="AQ1727">
        <v>0</v>
      </c>
      <c r="AR1727">
        <v>7.33</v>
      </c>
      <c r="AS1727">
        <v>42</v>
      </c>
      <c r="AT1727">
        <v>3.2</v>
      </c>
      <c r="AU1727">
        <v>84</v>
      </c>
      <c r="AV1727">
        <v>-3.32</v>
      </c>
      <c r="AW1727">
        <v>95</v>
      </c>
      <c r="AX1727">
        <v>-0.01</v>
      </c>
      <c r="AY1727">
        <v>78</v>
      </c>
      <c r="AZ1727">
        <v>6.71</v>
      </c>
      <c r="BA1727">
        <v>31</v>
      </c>
      <c r="BB1727">
        <v>4.8499999999999996</v>
      </c>
      <c r="BC1727">
        <v>29</v>
      </c>
      <c r="BD1727">
        <v>0.01</v>
      </c>
      <c r="BE1727">
        <v>-0.04</v>
      </c>
      <c r="BF1727">
        <v>-0.09</v>
      </c>
      <c r="BG1727">
        <v>63</v>
      </c>
      <c r="BH1727">
        <v>0.11</v>
      </c>
      <c r="BI1727">
        <v>10.16</v>
      </c>
      <c r="BJ1727">
        <v>0</v>
      </c>
      <c r="BK1727">
        <v>0</v>
      </c>
      <c r="BL1727">
        <v>-2.62</v>
      </c>
      <c r="BM1727">
        <v>1.77</v>
      </c>
      <c r="BN1727">
        <v>-1.05</v>
      </c>
      <c r="BO1727">
        <v>-1.76</v>
      </c>
      <c r="BP1727">
        <v>-1.45</v>
      </c>
      <c r="BQ1727">
        <v>0.89</v>
      </c>
      <c r="BR1727">
        <v>-2.36</v>
      </c>
      <c r="BS1727">
        <v>1.29</v>
      </c>
      <c r="BT1727">
        <v>2.67</v>
      </c>
      <c r="BU1727">
        <v>0.31</v>
      </c>
      <c r="BV1727">
        <v>-0.33</v>
      </c>
      <c r="BW1727">
        <v>-0.02</v>
      </c>
      <c r="BX1727">
        <v>-0.46</v>
      </c>
      <c r="BY1727">
        <v>0.76</v>
      </c>
      <c r="BZ1727">
        <v>-3.04</v>
      </c>
      <c r="CA1727">
        <v>0.06</v>
      </c>
      <c r="CB1727">
        <v>0.11</v>
      </c>
      <c r="CC1727">
        <v>0.21</v>
      </c>
      <c r="CD1727">
        <v>2.15</v>
      </c>
      <c r="CE1727">
        <v>-1.9</v>
      </c>
      <c r="CF1727">
        <v>-1.48</v>
      </c>
      <c r="CG1727">
        <v>0</v>
      </c>
      <c r="CH1727">
        <v>0.11</v>
      </c>
      <c r="CI1727">
        <v>0</v>
      </c>
      <c r="CJ1727">
        <v>-3.4</v>
      </c>
      <c r="CK1727">
        <v>48</v>
      </c>
      <c r="CL1727">
        <v>-0.34</v>
      </c>
      <c r="CM1727">
        <v>44</v>
      </c>
      <c r="CN1727">
        <v>0.15</v>
      </c>
      <c r="CO1727">
        <v>44</v>
      </c>
      <c r="CP1727">
        <v>-9.1999999999999993</v>
      </c>
      <c r="CQ1727">
        <v>41</v>
      </c>
      <c r="CR1727">
        <v>0</v>
      </c>
      <c r="CS1727">
        <v>0</v>
      </c>
      <c r="CT1727">
        <v>-5.4</v>
      </c>
      <c r="CU1727">
        <v>40</v>
      </c>
      <c r="CV1727">
        <v>0.1</v>
      </c>
      <c r="CW1727">
        <v>34</v>
      </c>
      <c r="CX1727" t="s">
        <v>3029</v>
      </c>
    </row>
    <row r="1728" spans="1:102" x14ac:dyDescent="0.3">
      <c r="A1728" t="str">
        <f>HYPERLINK("https://webapp.icbf.com/v2/app/bull-search/view/497327121","MZK")</f>
        <v>MZK</v>
      </c>
      <c r="B1728" t="s">
        <v>12375</v>
      </c>
      <c r="C1728" t="s">
        <v>12376</v>
      </c>
      <c r="D1728" s="1">
        <v>39130</v>
      </c>
      <c r="E1728" t="s">
        <v>92</v>
      </c>
      <c r="F1728">
        <v>75</v>
      </c>
      <c r="G1728" t="s">
        <v>93</v>
      </c>
      <c r="H1728">
        <v>90.33</v>
      </c>
      <c r="I1728">
        <v>94</v>
      </c>
      <c r="J1728">
        <v>81.87</v>
      </c>
      <c r="K1728">
        <v>99</v>
      </c>
      <c r="L1728">
        <v>-4.08</v>
      </c>
      <c r="M1728">
        <v>89</v>
      </c>
      <c r="N1728">
        <v>14.82</v>
      </c>
      <c r="O1728">
        <v>96</v>
      </c>
      <c r="P1728">
        <v>-4.91</v>
      </c>
      <c r="Q1728">
        <v>98</v>
      </c>
      <c r="R1728">
        <v>-2.3199999999999998</v>
      </c>
      <c r="S1728">
        <v>91</v>
      </c>
      <c r="T1728">
        <v>8.7200000000000006</v>
      </c>
      <c r="U1728">
        <v>96</v>
      </c>
      <c r="V1728">
        <v>-3.77</v>
      </c>
      <c r="W1728">
        <v>91</v>
      </c>
      <c r="X1728" t="s">
        <v>94</v>
      </c>
      <c r="Y1728" t="s">
        <v>1513</v>
      </c>
      <c r="Z1728" t="s">
        <v>96</v>
      </c>
      <c r="AA1728" t="s">
        <v>6487</v>
      </c>
      <c r="AB1728" t="s">
        <v>12377</v>
      </c>
      <c r="AC1728">
        <v>520</v>
      </c>
      <c r="AD1728">
        <v>217</v>
      </c>
      <c r="AE1728">
        <v>99</v>
      </c>
      <c r="AF1728">
        <v>9.26</v>
      </c>
      <c r="AG1728">
        <v>11.32</v>
      </c>
      <c r="AH1728">
        <v>10.06</v>
      </c>
      <c r="AI1728">
        <v>0.19</v>
      </c>
      <c r="AJ1728">
        <v>0.17</v>
      </c>
      <c r="AK1728">
        <v>89</v>
      </c>
      <c r="AL1728">
        <v>583</v>
      </c>
      <c r="AM1728">
        <v>276</v>
      </c>
      <c r="AN1728">
        <v>-0.9</v>
      </c>
      <c r="AO1728">
        <v>-1.24</v>
      </c>
      <c r="AP1728">
        <v>1120</v>
      </c>
      <c r="AQ1728">
        <v>8</v>
      </c>
      <c r="AR1728">
        <v>8.14</v>
      </c>
      <c r="AS1728">
        <v>95</v>
      </c>
      <c r="AT1728">
        <v>2.5099999999999998</v>
      </c>
      <c r="AU1728">
        <v>96</v>
      </c>
      <c r="AV1728">
        <v>-2.88</v>
      </c>
      <c r="AW1728">
        <v>99</v>
      </c>
      <c r="AX1728">
        <v>0.44</v>
      </c>
      <c r="AY1728">
        <v>95</v>
      </c>
      <c r="AZ1728">
        <v>7.93</v>
      </c>
      <c r="BA1728">
        <v>88</v>
      </c>
      <c r="BB1728">
        <v>6.5</v>
      </c>
      <c r="BC1728">
        <v>87</v>
      </c>
      <c r="BD1728">
        <v>-0.04</v>
      </c>
      <c r="BE1728">
        <v>0</v>
      </c>
      <c r="BF1728">
        <v>0.12</v>
      </c>
      <c r="BG1728">
        <v>97</v>
      </c>
      <c r="BH1728">
        <v>-0.19</v>
      </c>
      <c r="BI1728">
        <v>-9.82</v>
      </c>
      <c r="BJ1728">
        <v>51</v>
      </c>
      <c r="BK1728">
        <v>30</v>
      </c>
      <c r="BL1728">
        <v>-1.79</v>
      </c>
      <c r="BM1728">
        <v>-0.14000000000000001</v>
      </c>
      <c r="BN1728">
        <v>-1.43</v>
      </c>
      <c r="BO1728">
        <v>-1.28</v>
      </c>
      <c r="BP1728">
        <v>-0.42</v>
      </c>
      <c r="BQ1728">
        <v>-1.76</v>
      </c>
      <c r="BR1728">
        <v>1.1499999999999999</v>
      </c>
      <c r="BS1728">
        <v>-1.29</v>
      </c>
      <c r="BT1728">
        <v>-1.85</v>
      </c>
      <c r="BU1728">
        <v>-2.78</v>
      </c>
      <c r="BV1728">
        <v>-3.45</v>
      </c>
      <c r="BW1728">
        <v>-3.25</v>
      </c>
      <c r="BX1728">
        <v>-2.98</v>
      </c>
      <c r="BY1728">
        <v>-4.17</v>
      </c>
      <c r="BZ1728">
        <v>2.11</v>
      </c>
      <c r="CA1728">
        <v>-3.15</v>
      </c>
      <c r="CB1728">
        <v>-3.36</v>
      </c>
      <c r="CC1728">
        <v>-1.28</v>
      </c>
      <c r="CD1728">
        <v>0.05</v>
      </c>
      <c r="CE1728">
        <v>-1.45</v>
      </c>
      <c r="CF1728">
        <v>-2.27</v>
      </c>
      <c r="CG1728">
        <v>0</v>
      </c>
      <c r="CH1728">
        <v>-3.93</v>
      </c>
      <c r="CI1728">
        <v>0</v>
      </c>
      <c r="CJ1728">
        <v>-1</v>
      </c>
      <c r="CK1728">
        <v>99</v>
      </c>
      <c r="CL1728">
        <v>-0.45</v>
      </c>
      <c r="CM1728">
        <v>98</v>
      </c>
      <c r="CN1728">
        <v>-0.18</v>
      </c>
      <c r="CO1728">
        <v>98</v>
      </c>
      <c r="CP1728">
        <v>-6.6</v>
      </c>
      <c r="CQ1728">
        <v>97</v>
      </c>
      <c r="CR1728">
        <v>0</v>
      </c>
      <c r="CS1728">
        <v>0</v>
      </c>
      <c r="CT1728">
        <v>2</v>
      </c>
      <c r="CU1728">
        <v>96</v>
      </c>
      <c r="CV1728">
        <v>0.12</v>
      </c>
      <c r="CW1728">
        <v>46</v>
      </c>
      <c r="CX1728" t="s">
        <v>792</v>
      </c>
    </row>
    <row r="1729" spans="1:102" x14ac:dyDescent="0.3">
      <c r="A1729" t="str">
        <f>HYPERLINK("https://webapp.icbf.com/v2/app/bull-search/view/986674650","S1368")</f>
        <v>S1368</v>
      </c>
      <c r="B1729" t="s">
        <v>5580</v>
      </c>
      <c r="C1729" t="s">
        <v>5581</v>
      </c>
      <c r="D1729" s="1">
        <v>40477</v>
      </c>
      <c r="E1729" t="s">
        <v>92</v>
      </c>
      <c r="F1729">
        <v>100</v>
      </c>
      <c r="G1729" t="s">
        <v>109</v>
      </c>
      <c r="H1729">
        <v>90.26</v>
      </c>
      <c r="I1729">
        <v>80</v>
      </c>
      <c r="J1729">
        <v>40.78</v>
      </c>
      <c r="K1729">
        <v>93</v>
      </c>
      <c r="L1729">
        <v>17.239999999999998</v>
      </c>
      <c r="M1729">
        <v>84</v>
      </c>
      <c r="N1729">
        <v>24.09</v>
      </c>
      <c r="O1729">
        <v>66</v>
      </c>
      <c r="P1729">
        <v>-12.56</v>
      </c>
      <c r="Q1729">
        <v>67</v>
      </c>
      <c r="R1729">
        <v>19.95</v>
      </c>
      <c r="S1729">
        <v>74</v>
      </c>
      <c r="T1729">
        <v>-2.08</v>
      </c>
      <c r="U1729">
        <v>55</v>
      </c>
      <c r="V1729">
        <v>2.84</v>
      </c>
      <c r="W1729">
        <v>58</v>
      </c>
      <c r="X1729" t="s">
        <v>234</v>
      </c>
      <c r="Y1729" t="s">
        <v>342</v>
      </c>
      <c r="Z1729" t="s">
        <v>96</v>
      </c>
      <c r="AA1729" t="s">
        <v>1848</v>
      </c>
      <c r="AB1729" t="s">
        <v>1925</v>
      </c>
      <c r="AC1729">
        <v>0</v>
      </c>
      <c r="AD1729">
        <v>0</v>
      </c>
      <c r="AE1729">
        <v>93</v>
      </c>
      <c r="AF1729">
        <v>279.77</v>
      </c>
      <c r="AG1729">
        <v>6.89</v>
      </c>
      <c r="AH1729">
        <v>8.7799999999999994</v>
      </c>
      <c r="AI1729">
        <v>-7.0000000000000007E-2</v>
      </c>
      <c r="AJ1729">
        <v>-0.01</v>
      </c>
      <c r="AK1729">
        <v>84</v>
      </c>
      <c r="AL1729">
        <v>0</v>
      </c>
      <c r="AM1729">
        <v>0</v>
      </c>
      <c r="AN1729">
        <v>-0.54</v>
      </c>
      <c r="AO1729">
        <v>0.84</v>
      </c>
      <c r="AP1729">
        <v>21</v>
      </c>
      <c r="AQ1729">
        <v>0</v>
      </c>
      <c r="AR1729">
        <v>4.29</v>
      </c>
      <c r="AS1729">
        <v>63</v>
      </c>
      <c r="AT1729">
        <v>2.09</v>
      </c>
      <c r="AU1729">
        <v>90</v>
      </c>
      <c r="AV1729">
        <v>-1.29</v>
      </c>
      <c r="AW1729">
        <v>63</v>
      </c>
      <c r="AX1729">
        <v>0.42</v>
      </c>
      <c r="AY1729">
        <v>55</v>
      </c>
      <c r="AZ1729">
        <v>6.39</v>
      </c>
      <c r="BA1729">
        <v>48</v>
      </c>
      <c r="BB1729">
        <v>5.05</v>
      </c>
      <c r="BC1729">
        <v>45</v>
      </c>
      <c r="BD1729">
        <v>-0.04</v>
      </c>
      <c r="BE1729">
        <v>-0.08</v>
      </c>
      <c r="BF1729">
        <v>-0.24</v>
      </c>
      <c r="BG1729">
        <v>91</v>
      </c>
      <c r="BH1729">
        <v>-0.02</v>
      </c>
      <c r="BI1729">
        <v>-11.48</v>
      </c>
      <c r="BJ1729">
        <v>2</v>
      </c>
      <c r="BK1729">
        <v>2</v>
      </c>
      <c r="BL1729">
        <v>0.36</v>
      </c>
      <c r="BM1729">
        <v>-0.49</v>
      </c>
      <c r="BN1729">
        <v>-1.01</v>
      </c>
      <c r="BO1729">
        <v>-0.27</v>
      </c>
      <c r="BP1729">
        <v>1.24</v>
      </c>
      <c r="BQ1729">
        <v>-1.33</v>
      </c>
      <c r="BR1729">
        <v>-0.46</v>
      </c>
      <c r="BS1729">
        <v>2.02</v>
      </c>
      <c r="BT1729">
        <v>0.59</v>
      </c>
      <c r="BU1729">
        <v>3.12</v>
      </c>
      <c r="BV1729">
        <v>2.23</v>
      </c>
      <c r="BW1729">
        <v>2.61</v>
      </c>
      <c r="BX1729">
        <v>3.07</v>
      </c>
      <c r="BY1729">
        <v>3.45</v>
      </c>
      <c r="BZ1729">
        <v>-2.95</v>
      </c>
      <c r="CA1729">
        <v>2.4900000000000002</v>
      </c>
      <c r="CB1729">
        <v>2.37</v>
      </c>
      <c r="CC1729">
        <v>1.47</v>
      </c>
      <c r="CD1729">
        <v>0.66</v>
      </c>
      <c r="CE1729">
        <v>0.34</v>
      </c>
      <c r="CF1729">
        <v>0.37</v>
      </c>
      <c r="CG1729">
        <v>0</v>
      </c>
      <c r="CH1729">
        <v>3.35</v>
      </c>
      <c r="CI1729">
        <v>0</v>
      </c>
      <c r="CJ1729">
        <v>-4.4000000000000004</v>
      </c>
      <c r="CK1729">
        <v>69</v>
      </c>
      <c r="CL1729">
        <v>-1.39</v>
      </c>
      <c r="CM1729">
        <v>65</v>
      </c>
      <c r="CN1729">
        <v>-0.68</v>
      </c>
      <c r="CO1729">
        <v>63</v>
      </c>
      <c r="CP1729">
        <v>-0.7</v>
      </c>
      <c r="CQ1729">
        <v>59</v>
      </c>
      <c r="CR1729">
        <v>0</v>
      </c>
      <c r="CS1729">
        <v>0</v>
      </c>
      <c r="CT1729">
        <v>16.600000000000001</v>
      </c>
      <c r="CU1729">
        <v>55</v>
      </c>
      <c r="CV1729">
        <v>0.17</v>
      </c>
      <c r="CW1729">
        <v>39</v>
      </c>
      <c r="CX1729" t="s">
        <v>309</v>
      </c>
    </row>
    <row r="1730" spans="1:102" x14ac:dyDescent="0.3">
      <c r="A1730" t="str">
        <f>HYPERLINK("https://webapp.icbf.com/v2/app/bull-search/view/1045322484","JBX")</f>
        <v>JBX</v>
      </c>
      <c r="B1730" t="s">
        <v>7305</v>
      </c>
      <c r="C1730" t="s">
        <v>7306</v>
      </c>
      <c r="D1730" s="1">
        <v>40399</v>
      </c>
      <c r="E1730" t="s">
        <v>895</v>
      </c>
      <c r="F1730">
        <v>0</v>
      </c>
      <c r="G1730" t="s">
        <v>93</v>
      </c>
      <c r="H1730">
        <v>90.23</v>
      </c>
      <c r="I1730">
        <v>50</v>
      </c>
      <c r="J1730">
        <v>75.27</v>
      </c>
      <c r="K1730">
        <v>75</v>
      </c>
      <c r="L1730">
        <v>5.07</v>
      </c>
      <c r="M1730">
        <v>28</v>
      </c>
      <c r="N1730">
        <v>-3.1</v>
      </c>
      <c r="O1730">
        <v>41</v>
      </c>
      <c r="P1730">
        <v>-13.55</v>
      </c>
      <c r="Q1730">
        <v>66</v>
      </c>
      <c r="R1730">
        <v>16.47</v>
      </c>
      <c r="S1730">
        <v>33</v>
      </c>
      <c r="T1730">
        <v>14.57</v>
      </c>
      <c r="U1730">
        <v>54</v>
      </c>
      <c r="V1730">
        <v>-4.5</v>
      </c>
      <c r="W1730">
        <v>26</v>
      </c>
      <c r="X1730" t="s">
        <v>234</v>
      </c>
      <c r="Y1730" t="s">
        <v>1976</v>
      </c>
      <c r="Z1730">
        <v>0</v>
      </c>
      <c r="AA1730" t="s">
        <v>2942</v>
      </c>
      <c r="AB1730" t="s">
        <v>7307</v>
      </c>
      <c r="AC1730">
        <v>18</v>
      </c>
      <c r="AD1730">
        <v>9</v>
      </c>
      <c r="AE1730">
        <v>75</v>
      </c>
      <c r="AF1730">
        <v>-35.96</v>
      </c>
      <c r="AG1730">
        <v>10.46</v>
      </c>
      <c r="AH1730">
        <v>8.5500000000000007</v>
      </c>
      <c r="AI1730">
        <v>0.2</v>
      </c>
      <c r="AJ1730">
        <v>0.16</v>
      </c>
      <c r="AK1730">
        <v>28</v>
      </c>
      <c r="AL1730">
        <v>12</v>
      </c>
      <c r="AM1730">
        <v>9</v>
      </c>
      <c r="AN1730">
        <v>0.97</v>
      </c>
      <c r="AO1730">
        <v>1.39</v>
      </c>
      <c r="AP1730">
        <v>39</v>
      </c>
      <c r="AQ1730">
        <v>1</v>
      </c>
      <c r="AR1730">
        <v>7.34</v>
      </c>
      <c r="AS1730">
        <v>16</v>
      </c>
      <c r="AT1730">
        <v>3.35</v>
      </c>
      <c r="AU1730">
        <v>53</v>
      </c>
      <c r="AV1730">
        <v>1.45</v>
      </c>
      <c r="AW1730">
        <v>49</v>
      </c>
      <c r="AX1730">
        <v>-1</v>
      </c>
      <c r="AY1730">
        <v>43</v>
      </c>
      <c r="AZ1730">
        <v>4.87</v>
      </c>
      <c r="BA1730">
        <v>19</v>
      </c>
      <c r="BB1730">
        <v>3.88</v>
      </c>
      <c r="BC1730">
        <v>17</v>
      </c>
      <c r="BD1730">
        <v>-0.04</v>
      </c>
      <c r="BE1730">
        <v>-0.08</v>
      </c>
      <c r="BF1730">
        <v>-0.16</v>
      </c>
      <c r="BG1730">
        <v>43</v>
      </c>
      <c r="BH1730">
        <v>-0.25</v>
      </c>
      <c r="BI1730">
        <v>-14.39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-7.3</v>
      </c>
      <c r="CK1730">
        <v>70</v>
      </c>
      <c r="CL1730">
        <v>-0.59</v>
      </c>
      <c r="CM1730">
        <v>64</v>
      </c>
      <c r="CN1730">
        <v>-0.28999999999999998</v>
      </c>
      <c r="CO1730">
        <v>62</v>
      </c>
      <c r="CP1730">
        <v>-5.2</v>
      </c>
      <c r="CQ1730">
        <v>46</v>
      </c>
      <c r="CR1730">
        <v>0</v>
      </c>
      <c r="CS1730">
        <v>0</v>
      </c>
      <c r="CT1730">
        <v>-5.9</v>
      </c>
      <c r="CU1730">
        <v>54</v>
      </c>
      <c r="CV1730">
        <v>-0.11</v>
      </c>
      <c r="CW1730">
        <v>18</v>
      </c>
      <c r="CX1730" t="s">
        <v>7308</v>
      </c>
    </row>
    <row r="1731" spans="1:102" x14ac:dyDescent="0.3">
      <c r="A1731" t="str">
        <f>HYPERLINK("https://webapp.icbf.com/v2/app/bull-search/view/444137939","VEW")</f>
        <v>VEW</v>
      </c>
      <c r="B1731" t="s">
        <v>8157</v>
      </c>
      <c r="C1731" t="s">
        <v>8158</v>
      </c>
      <c r="D1731" s="1">
        <v>38754</v>
      </c>
      <c r="E1731" t="s">
        <v>92</v>
      </c>
      <c r="F1731">
        <v>88</v>
      </c>
      <c r="G1731" t="s">
        <v>93</v>
      </c>
      <c r="H1731">
        <v>90.19</v>
      </c>
      <c r="I1731">
        <v>87</v>
      </c>
      <c r="J1731">
        <v>29.55</v>
      </c>
      <c r="K1731">
        <v>97</v>
      </c>
      <c r="L1731">
        <v>47.73</v>
      </c>
      <c r="M1731">
        <v>78</v>
      </c>
      <c r="N1731">
        <v>25.89</v>
      </c>
      <c r="O1731">
        <v>86</v>
      </c>
      <c r="P1731">
        <v>-13.31</v>
      </c>
      <c r="Q1731">
        <v>92</v>
      </c>
      <c r="R1731">
        <v>-1.93</v>
      </c>
      <c r="S1731">
        <v>82</v>
      </c>
      <c r="T1731">
        <v>4.95</v>
      </c>
      <c r="U1731">
        <v>88</v>
      </c>
      <c r="V1731">
        <v>-2.69</v>
      </c>
      <c r="W1731">
        <v>81</v>
      </c>
      <c r="X1731" t="s">
        <v>94</v>
      </c>
      <c r="Y1731" t="s">
        <v>1251</v>
      </c>
      <c r="Z1731" t="s">
        <v>96</v>
      </c>
      <c r="AA1731" t="s">
        <v>256</v>
      </c>
      <c r="AB1731" t="s">
        <v>8159</v>
      </c>
      <c r="AC1731">
        <v>89</v>
      </c>
      <c r="AD1731">
        <v>64</v>
      </c>
      <c r="AE1731">
        <v>97</v>
      </c>
      <c r="AF1731">
        <v>-200.47</v>
      </c>
      <c r="AG1731">
        <v>11.92</v>
      </c>
      <c r="AH1731">
        <v>-2.2599999999999998</v>
      </c>
      <c r="AI1731">
        <v>0.36</v>
      </c>
      <c r="AJ1731">
        <v>0.08</v>
      </c>
      <c r="AK1731">
        <v>78</v>
      </c>
      <c r="AL1731">
        <v>89</v>
      </c>
      <c r="AM1731">
        <v>61</v>
      </c>
      <c r="AN1731">
        <v>-3.11</v>
      </c>
      <c r="AO1731">
        <v>0.69</v>
      </c>
      <c r="AP1731">
        <v>219</v>
      </c>
      <c r="AQ1731">
        <v>0</v>
      </c>
      <c r="AR1731">
        <v>6.85</v>
      </c>
      <c r="AS1731">
        <v>71</v>
      </c>
      <c r="AT1731">
        <v>2.84</v>
      </c>
      <c r="AU1731">
        <v>88</v>
      </c>
      <c r="AV1731">
        <v>-2.0699999999999998</v>
      </c>
      <c r="AW1731">
        <v>96</v>
      </c>
      <c r="AX1731">
        <v>-0.19</v>
      </c>
      <c r="AY1731">
        <v>81</v>
      </c>
      <c r="AZ1731">
        <v>5.35</v>
      </c>
      <c r="BA1731">
        <v>65</v>
      </c>
      <c r="BB1731">
        <v>4.34</v>
      </c>
      <c r="BC1731">
        <v>68</v>
      </c>
      <c r="BD1731">
        <v>-0.01</v>
      </c>
      <c r="BE1731">
        <v>-0.01</v>
      </c>
      <c r="BF1731">
        <v>0.08</v>
      </c>
      <c r="BG1731">
        <v>88</v>
      </c>
      <c r="BH1731">
        <v>-7.0000000000000007E-2</v>
      </c>
      <c r="BI1731">
        <v>0.59</v>
      </c>
      <c r="BJ1731">
        <v>10</v>
      </c>
      <c r="BK1731">
        <v>8</v>
      </c>
      <c r="BL1731">
        <v>-0.79</v>
      </c>
      <c r="BM1731">
        <v>2</v>
      </c>
      <c r="BN1731">
        <v>-0.55000000000000004</v>
      </c>
      <c r="BO1731">
        <v>-1.28</v>
      </c>
      <c r="BP1731">
        <v>0.38</v>
      </c>
      <c r="BQ1731">
        <v>1.47</v>
      </c>
      <c r="BR1731">
        <v>0.49</v>
      </c>
      <c r="BS1731">
        <v>-0.26</v>
      </c>
      <c r="BT1731">
        <v>-0.47</v>
      </c>
      <c r="BU1731">
        <v>-1.95</v>
      </c>
      <c r="BV1731">
        <v>-1.58</v>
      </c>
      <c r="BW1731">
        <v>-1.1599999999999999</v>
      </c>
      <c r="BX1731">
        <v>-1.8</v>
      </c>
      <c r="BY1731">
        <v>-1.8</v>
      </c>
      <c r="BZ1731">
        <v>0.83</v>
      </c>
      <c r="CA1731">
        <v>-1.35</v>
      </c>
      <c r="CB1731">
        <v>-1.69</v>
      </c>
      <c r="CC1731">
        <v>-0.01</v>
      </c>
      <c r="CD1731">
        <v>1.74</v>
      </c>
      <c r="CE1731">
        <v>-0.84</v>
      </c>
      <c r="CF1731">
        <v>-0.13</v>
      </c>
      <c r="CG1731">
        <v>0</v>
      </c>
      <c r="CH1731">
        <v>-2.4700000000000002</v>
      </c>
      <c r="CI1731">
        <v>0</v>
      </c>
      <c r="CJ1731">
        <v>-4.2</v>
      </c>
      <c r="CK1731">
        <v>93</v>
      </c>
      <c r="CL1731">
        <v>-0.64</v>
      </c>
      <c r="CM1731">
        <v>91</v>
      </c>
      <c r="CN1731">
        <v>0.01</v>
      </c>
      <c r="CO1731">
        <v>90</v>
      </c>
      <c r="CP1731">
        <v>-5.3</v>
      </c>
      <c r="CQ1731">
        <v>89</v>
      </c>
      <c r="CR1731">
        <v>0</v>
      </c>
      <c r="CS1731">
        <v>0</v>
      </c>
      <c r="CT1731">
        <v>7.1</v>
      </c>
      <c r="CU1731">
        <v>88</v>
      </c>
      <c r="CV1731">
        <v>0.08</v>
      </c>
      <c r="CW1731">
        <v>46</v>
      </c>
      <c r="CX1731" t="s">
        <v>771</v>
      </c>
    </row>
    <row r="1732" spans="1:102" x14ac:dyDescent="0.3">
      <c r="A1732" t="str">
        <f>HYPERLINK("https://webapp.icbf.com/v2/app/bull-search/view/408746535","OLS")</f>
        <v>OLS</v>
      </c>
      <c r="B1732" t="s">
        <v>4514</v>
      </c>
      <c r="C1732" t="s">
        <v>1855</v>
      </c>
      <c r="D1732" s="1">
        <v>36395</v>
      </c>
      <c r="E1732" t="s">
        <v>395</v>
      </c>
      <c r="F1732">
        <v>0</v>
      </c>
      <c r="G1732" t="s">
        <v>93</v>
      </c>
      <c r="H1732">
        <v>90.05</v>
      </c>
      <c r="I1732">
        <v>91</v>
      </c>
      <c r="J1732">
        <v>7.74</v>
      </c>
      <c r="K1732">
        <v>96</v>
      </c>
      <c r="L1732">
        <v>56.46</v>
      </c>
      <c r="M1732">
        <v>87</v>
      </c>
      <c r="N1732">
        <v>5.9</v>
      </c>
      <c r="O1732">
        <v>89</v>
      </c>
      <c r="P1732">
        <v>2.13</v>
      </c>
      <c r="Q1732">
        <v>93</v>
      </c>
      <c r="R1732">
        <v>4.51</v>
      </c>
      <c r="S1732">
        <v>80</v>
      </c>
      <c r="T1732">
        <v>24.7</v>
      </c>
      <c r="U1732">
        <v>94</v>
      </c>
      <c r="V1732">
        <v>-11.39</v>
      </c>
      <c r="W1732">
        <v>82</v>
      </c>
      <c r="X1732" t="s">
        <v>131</v>
      </c>
      <c r="Y1732" t="s">
        <v>95</v>
      </c>
      <c r="Z1732">
        <v>0</v>
      </c>
      <c r="AA1732" t="s">
        <v>398</v>
      </c>
      <c r="AB1732" t="s">
        <v>4515</v>
      </c>
      <c r="AC1732">
        <v>102</v>
      </c>
      <c r="AD1732">
        <v>52</v>
      </c>
      <c r="AE1732">
        <v>96</v>
      </c>
      <c r="AF1732">
        <v>-218.46</v>
      </c>
      <c r="AG1732">
        <v>-3.13</v>
      </c>
      <c r="AH1732">
        <v>-0.92</v>
      </c>
      <c r="AI1732">
        <v>0.09</v>
      </c>
      <c r="AJ1732">
        <v>0.11</v>
      </c>
      <c r="AK1732">
        <v>87</v>
      </c>
      <c r="AL1732">
        <v>102</v>
      </c>
      <c r="AM1732">
        <v>45</v>
      </c>
      <c r="AN1732">
        <v>-2.52</v>
      </c>
      <c r="AO1732">
        <v>1.99</v>
      </c>
      <c r="AP1732">
        <v>220</v>
      </c>
      <c r="AQ1732">
        <v>3</v>
      </c>
      <c r="AR1732">
        <v>7.64</v>
      </c>
      <c r="AS1732">
        <v>87</v>
      </c>
      <c r="AT1732">
        <v>2.98</v>
      </c>
      <c r="AU1732">
        <v>91</v>
      </c>
      <c r="AV1732">
        <v>-0.06</v>
      </c>
      <c r="AW1732">
        <v>96</v>
      </c>
      <c r="AX1732">
        <v>-0.09</v>
      </c>
      <c r="AY1732">
        <v>86</v>
      </c>
      <c r="AZ1732">
        <v>5.05</v>
      </c>
      <c r="BA1732">
        <v>71</v>
      </c>
      <c r="BB1732">
        <v>4.57</v>
      </c>
      <c r="BC1732">
        <v>73</v>
      </c>
      <c r="BD1732">
        <v>-0.01</v>
      </c>
      <c r="BE1732">
        <v>-0.03</v>
      </c>
      <c r="BF1732">
        <v>-0.03</v>
      </c>
      <c r="BG1732">
        <v>88</v>
      </c>
      <c r="BH1732">
        <v>-0.33</v>
      </c>
      <c r="BI1732">
        <v>-1.44</v>
      </c>
      <c r="BJ1732">
        <v>8</v>
      </c>
      <c r="BK1732">
        <v>6</v>
      </c>
      <c r="BL1732">
        <v>-1.98</v>
      </c>
      <c r="BM1732">
        <v>-0.4</v>
      </c>
      <c r="BN1732">
        <v>-1.8</v>
      </c>
      <c r="BO1732">
        <v>-1.04</v>
      </c>
      <c r="BP1732">
        <v>2.96</v>
      </c>
      <c r="BQ1732">
        <v>-2.42</v>
      </c>
      <c r="BR1732">
        <v>1.29</v>
      </c>
      <c r="BS1732">
        <v>-0.14000000000000001</v>
      </c>
      <c r="BT1732">
        <v>-0.63</v>
      </c>
      <c r="BU1732">
        <v>-2.2400000000000002</v>
      </c>
      <c r="BV1732">
        <v>-3.62</v>
      </c>
      <c r="BW1732">
        <v>-2.89</v>
      </c>
      <c r="BX1732">
        <v>-2.39</v>
      </c>
      <c r="BY1732">
        <v>-0.87</v>
      </c>
      <c r="BZ1732">
        <v>-2.8</v>
      </c>
      <c r="CA1732">
        <v>-2.58</v>
      </c>
      <c r="CB1732">
        <v>-2.72</v>
      </c>
      <c r="CC1732">
        <v>-1.21</v>
      </c>
      <c r="CD1732">
        <v>0.53</v>
      </c>
      <c r="CE1732">
        <v>-0.85</v>
      </c>
      <c r="CF1732">
        <v>-2.35</v>
      </c>
      <c r="CG1732">
        <v>0</v>
      </c>
      <c r="CH1732">
        <v>-1.34</v>
      </c>
      <c r="CI1732">
        <v>0</v>
      </c>
      <c r="CJ1732">
        <v>1.1000000000000001</v>
      </c>
      <c r="CK1732">
        <v>94</v>
      </c>
      <c r="CL1732">
        <v>-0.09</v>
      </c>
      <c r="CM1732">
        <v>93</v>
      </c>
      <c r="CN1732">
        <v>-0.21</v>
      </c>
      <c r="CO1732">
        <v>92</v>
      </c>
      <c r="CP1732">
        <v>-6.1</v>
      </c>
      <c r="CQ1732">
        <v>91</v>
      </c>
      <c r="CR1732">
        <v>0</v>
      </c>
      <c r="CS1732">
        <v>0</v>
      </c>
      <c r="CT1732">
        <v>-19.600000000000001</v>
      </c>
      <c r="CU1732">
        <v>94</v>
      </c>
      <c r="CV1732">
        <v>-0.04</v>
      </c>
      <c r="CW1732">
        <v>27</v>
      </c>
      <c r="CX1732" t="s">
        <v>4516</v>
      </c>
    </row>
    <row r="1733" spans="1:102" x14ac:dyDescent="0.3">
      <c r="A1733" t="str">
        <f>HYPERLINK("https://webapp.icbf.com/v2/app/bull-search/view/229598765","MAQ")</f>
        <v>MAQ</v>
      </c>
      <c r="B1733" t="s">
        <v>6853</v>
      </c>
      <c r="C1733" t="s">
        <v>6854</v>
      </c>
      <c r="D1733" s="1">
        <v>35371</v>
      </c>
      <c r="E1733" t="s">
        <v>92</v>
      </c>
      <c r="F1733">
        <v>100</v>
      </c>
      <c r="G1733" t="s">
        <v>93</v>
      </c>
      <c r="H1733">
        <v>90.01</v>
      </c>
      <c r="I1733">
        <v>88</v>
      </c>
      <c r="J1733">
        <v>18.77</v>
      </c>
      <c r="K1733">
        <v>96</v>
      </c>
      <c r="L1733">
        <v>32.35</v>
      </c>
      <c r="M1733">
        <v>85</v>
      </c>
      <c r="N1733">
        <v>34.090000000000003</v>
      </c>
      <c r="O1733">
        <v>84</v>
      </c>
      <c r="P1733">
        <v>-4.8099999999999996</v>
      </c>
      <c r="Q1733">
        <v>91</v>
      </c>
      <c r="R1733">
        <v>-5.38</v>
      </c>
      <c r="S1733">
        <v>80</v>
      </c>
      <c r="T1733">
        <v>11.53</v>
      </c>
      <c r="U1733">
        <v>81</v>
      </c>
      <c r="V1733">
        <v>3.46</v>
      </c>
      <c r="W1733">
        <v>74</v>
      </c>
      <c r="X1733" t="s">
        <v>276</v>
      </c>
      <c r="Y1733" t="s">
        <v>95</v>
      </c>
      <c r="Z1733" t="s">
        <v>96</v>
      </c>
      <c r="AA1733" t="s">
        <v>753</v>
      </c>
      <c r="AB1733" t="s">
        <v>6855</v>
      </c>
      <c r="AC1733">
        <v>64</v>
      </c>
      <c r="AD1733">
        <v>40</v>
      </c>
      <c r="AE1733">
        <v>96</v>
      </c>
      <c r="AF1733">
        <v>-21.63</v>
      </c>
      <c r="AG1733">
        <v>3.85</v>
      </c>
      <c r="AH1733">
        <v>1.5</v>
      </c>
      <c r="AI1733">
        <v>0.08</v>
      </c>
      <c r="AJ1733">
        <v>0.04</v>
      </c>
      <c r="AK1733">
        <v>85</v>
      </c>
      <c r="AL1733">
        <v>65</v>
      </c>
      <c r="AM1733">
        <v>39</v>
      </c>
      <c r="AN1733">
        <v>-1.74</v>
      </c>
      <c r="AO1733">
        <v>0.84</v>
      </c>
      <c r="AP1733">
        <v>121</v>
      </c>
      <c r="AQ1733">
        <v>2</v>
      </c>
      <c r="AR1733">
        <v>7.32</v>
      </c>
      <c r="AS1733">
        <v>82</v>
      </c>
      <c r="AT1733">
        <v>2.13</v>
      </c>
      <c r="AU1733">
        <v>87</v>
      </c>
      <c r="AV1733">
        <v>-3.09</v>
      </c>
      <c r="AW1733">
        <v>92</v>
      </c>
      <c r="AX1733">
        <v>-0.84</v>
      </c>
      <c r="AY1733">
        <v>78</v>
      </c>
      <c r="AZ1733">
        <v>6.01</v>
      </c>
      <c r="BA1733">
        <v>64</v>
      </c>
      <c r="BB1733">
        <v>5.4</v>
      </c>
      <c r="BC1733">
        <v>66</v>
      </c>
      <c r="BD1733">
        <v>-0.02</v>
      </c>
      <c r="BE1733">
        <v>0.03</v>
      </c>
      <c r="BF1733">
        <v>0.1</v>
      </c>
      <c r="BG1733">
        <v>89</v>
      </c>
      <c r="BH1733">
        <v>0.19</v>
      </c>
      <c r="BI1733">
        <v>10.83</v>
      </c>
      <c r="BJ1733">
        <v>3</v>
      </c>
      <c r="BK1733">
        <v>2</v>
      </c>
      <c r="BL1733">
        <v>0.9</v>
      </c>
      <c r="BM1733">
        <v>1.48</v>
      </c>
      <c r="BN1733">
        <v>1</v>
      </c>
      <c r="BO1733">
        <v>0.1</v>
      </c>
      <c r="BP1733">
        <v>-0.24</v>
      </c>
      <c r="BQ1733">
        <v>0.4</v>
      </c>
      <c r="BR1733">
        <v>-1.91</v>
      </c>
      <c r="BS1733">
        <v>1.7</v>
      </c>
      <c r="BT1733">
        <v>1.1599999999999999</v>
      </c>
      <c r="BU1733">
        <v>0.63</v>
      </c>
      <c r="BV1733">
        <v>1</v>
      </c>
      <c r="BW1733">
        <v>0.46</v>
      </c>
      <c r="BX1733">
        <v>0.53</v>
      </c>
      <c r="BY1733">
        <v>-2.29</v>
      </c>
      <c r="BZ1733">
        <v>1.6</v>
      </c>
      <c r="CA1733">
        <v>1.34</v>
      </c>
      <c r="CB1733">
        <v>0.69</v>
      </c>
      <c r="CC1733">
        <v>1.59</v>
      </c>
      <c r="CD1733">
        <v>0.25</v>
      </c>
      <c r="CE1733">
        <v>1.1299999999999999</v>
      </c>
      <c r="CF1733">
        <v>1.41</v>
      </c>
      <c r="CG1733">
        <v>0</v>
      </c>
      <c r="CH1733">
        <v>-2.19</v>
      </c>
      <c r="CI1733">
        <v>0</v>
      </c>
      <c r="CJ1733">
        <v>0.6</v>
      </c>
      <c r="CK1733">
        <v>92</v>
      </c>
      <c r="CL1733">
        <v>-0.81</v>
      </c>
      <c r="CM1733">
        <v>91</v>
      </c>
      <c r="CN1733">
        <v>-0.3</v>
      </c>
      <c r="CO1733">
        <v>90</v>
      </c>
      <c r="CP1733">
        <v>-5.3</v>
      </c>
      <c r="CQ1733">
        <v>87</v>
      </c>
      <c r="CR1733">
        <v>0</v>
      </c>
      <c r="CS1733">
        <v>0</v>
      </c>
      <c r="CT1733">
        <v>-1.8</v>
      </c>
      <c r="CU1733">
        <v>81</v>
      </c>
      <c r="CV1733">
        <v>0.17</v>
      </c>
      <c r="CW1733">
        <v>45</v>
      </c>
      <c r="CX1733" t="s">
        <v>4070</v>
      </c>
    </row>
    <row r="1734" spans="1:102" x14ac:dyDescent="0.3">
      <c r="A1734" t="str">
        <f>HYPERLINK("https://webapp.icbf.com/v2/app/bull-search/view/678702195","S1512")</f>
        <v>S1512</v>
      </c>
      <c r="B1734" t="s">
        <v>15328</v>
      </c>
      <c r="C1734" t="s">
        <v>15329</v>
      </c>
      <c r="D1734" s="1">
        <v>38729</v>
      </c>
      <c r="E1734" t="s">
        <v>92</v>
      </c>
      <c r="F1734">
        <v>100</v>
      </c>
      <c r="G1734" t="s">
        <v>109</v>
      </c>
      <c r="H1734">
        <v>89.98</v>
      </c>
      <c r="I1734">
        <v>72</v>
      </c>
      <c r="J1734">
        <v>29.87</v>
      </c>
      <c r="K1734">
        <v>82</v>
      </c>
      <c r="L1734">
        <v>19.78</v>
      </c>
      <c r="M1734">
        <v>74</v>
      </c>
      <c r="N1734">
        <v>28.94</v>
      </c>
      <c r="O1734">
        <v>64</v>
      </c>
      <c r="P1734">
        <v>-13.66</v>
      </c>
      <c r="Q1734">
        <v>67</v>
      </c>
      <c r="R1734">
        <v>14.12</v>
      </c>
      <c r="S1734">
        <v>64</v>
      </c>
      <c r="T1734">
        <v>6.87</v>
      </c>
      <c r="U1734">
        <v>53</v>
      </c>
      <c r="V1734">
        <v>4.0599999999999996</v>
      </c>
      <c r="W1734">
        <v>44</v>
      </c>
      <c r="X1734" t="s">
        <v>234</v>
      </c>
      <c r="Y1734" t="s">
        <v>362</v>
      </c>
      <c r="Z1734" t="s">
        <v>96</v>
      </c>
      <c r="AA1734" t="s">
        <v>350</v>
      </c>
      <c r="AB1734" t="s">
        <v>15330</v>
      </c>
      <c r="AC1734">
        <v>0</v>
      </c>
      <c r="AD1734">
        <v>0</v>
      </c>
      <c r="AE1734">
        <v>82</v>
      </c>
      <c r="AF1734">
        <v>438.22</v>
      </c>
      <c r="AG1734">
        <v>6.72</v>
      </c>
      <c r="AH1734">
        <v>9.41</v>
      </c>
      <c r="AI1734">
        <v>-0.16</v>
      </c>
      <c r="AJ1734">
        <v>-0.09</v>
      </c>
      <c r="AK1734">
        <v>74</v>
      </c>
      <c r="AL1734">
        <v>57</v>
      </c>
      <c r="AM1734">
        <v>13</v>
      </c>
      <c r="AN1734">
        <v>-0.11</v>
      </c>
      <c r="AO1734">
        <v>1.48</v>
      </c>
      <c r="AP1734">
        <v>50</v>
      </c>
      <c r="AQ1734">
        <v>0</v>
      </c>
      <c r="AR1734">
        <v>4.75</v>
      </c>
      <c r="AS1734">
        <v>63</v>
      </c>
      <c r="AT1734">
        <v>2.2599999999999998</v>
      </c>
      <c r="AU1734">
        <v>87</v>
      </c>
      <c r="AV1734">
        <v>-2.04</v>
      </c>
      <c r="AW1734">
        <v>63</v>
      </c>
      <c r="AX1734">
        <v>0.65</v>
      </c>
      <c r="AY1734">
        <v>63</v>
      </c>
      <c r="AZ1734">
        <v>6.53</v>
      </c>
      <c r="BA1734">
        <v>40</v>
      </c>
      <c r="BB1734">
        <v>4.7300000000000004</v>
      </c>
      <c r="BC1734">
        <v>36</v>
      </c>
      <c r="BD1734">
        <v>-0.01</v>
      </c>
      <c r="BE1734">
        <v>-0.02</v>
      </c>
      <c r="BF1734">
        <v>-0.27</v>
      </c>
      <c r="BG1734">
        <v>84</v>
      </c>
      <c r="BH1734">
        <v>0.2</v>
      </c>
      <c r="BI1734">
        <v>10.050000000000001</v>
      </c>
      <c r="BJ1734">
        <v>5</v>
      </c>
      <c r="BK1734">
        <v>4</v>
      </c>
      <c r="BL1734">
        <v>0.37</v>
      </c>
      <c r="BM1734">
        <v>-0.48</v>
      </c>
      <c r="BN1734">
        <v>-0.03</v>
      </c>
      <c r="BO1734">
        <v>0.98</v>
      </c>
      <c r="BP1734">
        <v>2.25</v>
      </c>
      <c r="BQ1734">
        <v>1.31</v>
      </c>
      <c r="BR1734">
        <v>0.22</v>
      </c>
      <c r="BS1734">
        <v>0.48</v>
      </c>
      <c r="BT1734">
        <v>-0.36</v>
      </c>
      <c r="BU1734">
        <v>1.63</v>
      </c>
      <c r="BV1734">
        <v>1.85</v>
      </c>
      <c r="BW1734">
        <v>1.8</v>
      </c>
      <c r="BX1734">
        <v>1.21</v>
      </c>
      <c r="BY1734">
        <v>0.72</v>
      </c>
      <c r="BZ1734">
        <v>0.34</v>
      </c>
      <c r="CA1734">
        <v>1.65</v>
      </c>
      <c r="CB1734">
        <v>1.7</v>
      </c>
      <c r="CC1734">
        <v>0.93</v>
      </c>
      <c r="CD1734">
        <v>-0.38</v>
      </c>
      <c r="CE1734">
        <v>0.93</v>
      </c>
      <c r="CF1734">
        <v>0.71</v>
      </c>
      <c r="CG1734">
        <v>0</v>
      </c>
      <c r="CH1734">
        <v>0.77</v>
      </c>
      <c r="CI1734">
        <v>0</v>
      </c>
      <c r="CJ1734">
        <v>-6.7</v>
      </c>
      <c r="CK1734">
        <v>70</v>
      </c>
      <c r="CL1734">
        <v>-0.94</v>
      </c>
      <c r="CM1734">
        <v>65</v>
      </c>
      <c r="CN1734">
        <v>-0.49</v>
      </c>
      <c r="CO1734">
        <v>62</v>
      </c>
      <c r="CP1734">
        <v>-3</v>
      </c>
      <c r="CQ1734">
        <v>57</v>
      </c>
      <c r="CR1734">
        <v>0</v>
      </c>
      <c r="CS1734">
        <v>0</v>
      </c>
      <c r="CT1734">
        <v>4.5</v>
      </c>
      <c r="CU1734">
        <v>53</v>
      </c>
      <c r="CV1734">
        <v>0.11</v>
      </c>
      <c r="CW1734">
        <v>19</v>
      </c>
      <c r="CX1734" t="s">
        <v>838</v>
      </c>
    </row>
    <row r="1735" spans="1:102" x14ac:dyDescent="0.3">
      <c r="A1735" t="str">
        <f>HYPERLINK("https://webapp.icbf.com/v2/app/bull-search/view/720495845","DJD")</f>
        <v>DJD</v>
      </c>
      <c r="B1735" t="s">
        <v>3044</v>
      </c>
      <c r="C1735" t="s">
        <v>3045</v>
      </c>
      <c r="D1735" s="1">
        <v>38361</v>
      </c>
      <c r="E1735" t="s">
        <v>227</v>
      </c>
      <c r="F1735">
        <v>0</v>
      </c>
      <c r="G1735" t="s">
        <v>93</v>
      </c>
      <c r="H1735">
        <v>89.94</v>
      </c>
      <c r="I1735">
        <v>87</v>
      </c>
      <c r="J1735">
        <v>35.880000000000003</v>
      </c>
      <c r="K1735">
        <v>96</v>
      </c>
      <c r="L1735">
        <v>46.07</v>
      </c>
      <c r="M1735">
        <v>89</v>
      </c>
      <c r="N1735">
        <v>-1.85</v>
      </c>
      <c r="O1735">
        <v>83</v>
      </c>
      <c r="P1735">
        <v>-65.28</v>
      </c>
      <c r="Q1735">
        <v>79</v>
      </c>
      <c r="R1735">
        <v>5.13</v>
      </c>
      <c r="S1735">
        <v>76</v>
      </c>
      <c r="T1735">
        <v>67.11</v>
      </c>
      <c r="U1735">
        <v>68</v>
      </c>
      <c r="V1735">
        <v>2.88</v>
      </c>
      <c r="W1735">
        <v>71</v>
      </c>
      <c r="X1735" t="s">
        <v>94</v>
      </c>
      <c r="Y1735" t="s">
        <v>282</v>
      </c>
      <c r="Z1735">
        <v>0</v>
      </c>
      <c r="AA1735" t="s">
        <v>3046</v>
      </c>
      <c r="AB1735" t="s">
        <v>144</v>
      </c>
      <c r="AC1735">
        <v>57</v>
      </c>
      <c r="AD1735">
        <v>14</v>
      </c>
      <c r="AE1735">
        <v>96</v>
      </c>
      <c r="AF1735">
        <v>-272.61</v>
      </c>
      <c r="AG1735">
        <v>11.87</v>
      </c>
      <c r="AH1735">
        <v>-2.27</v>
      </c>
      <c r="AI1735">
        <v>0.41</v>
      </c>
      <c r="AJ1735">
        <v>0.13</v>
      </c>
      <c r="AK1735">
        <v>89</v>
      </c>
      <c r="AL1735">
        <v>62</v>
      </c>
      <c r="AM1735">
        <v>14</v>
      </c>
      <c r="AN1735">
        <v>-2.04</v>
      </c>
      <c r="AO1735">
        <v>1.64</v>
      </c>
      <c r="AP1735">
        <v>113</v>
      </c>
      <c r="AQ1735">
        <v>0</v>
      </c>
      <c r="AR1735">
        <v>4.2</v>
      </c>
      <c r="AS1735">
        <v>77</v>
      </c>
      <c r="AT1735">
        <v>1.97</v>
      </c>
      <c r="AU1735">
        <v>80</v>
      </c>
      <c r="AV1735">
        <v>-1.03</v>
      </c>
      <c r="AW1735">
        <v>95</v>
      </c>
      <c r="AX1735">
        <v>8.5399999999999991</v>
      </c>
      <c r="AY1735">
        <v>77</v>
      </c>
      <c r="AZ1735">
        <v>7.49</v>
      </c>
      <c r="BA1735">
        <v>65</v>
      </c>
      <c r="BB1735">
        <v>5.46</v>
      </c>
      <c r="BC1735">
        <v>62</v>
      </c>
      <c r="BD1735">
        <v>-0.09</v>
      </c>
      <c r="BE1735">
        <v>-0.02</v>
      </c>
      <c r="BF1735">
        <v>7.0000000000000007E-2</v>
      </c>
      <c r="BG1735">
        <v>86</v>
      </c>
      <c r="BH1735">
        <v>0.12</v>
      </c>
      <c r="BI1735">
        <v>4.5999999999999996</v>
      </c>
      <c r="BJ1735">
        <v>19</v>
      </c>
      <c r="BK1735">
        <v>3</v>
      </c>
      <c r="BL1735">
        <v>-0.51</v>
      </c>
      <c r="BM1735">
        <v>-1.02</v>
      </c>
      <c r="BN1735">
        <v>1.19</v>
      </c>
      <c r="BO1735">
        <v>1.93</v>
      </c>
      <c r="BP1735">
        <v>-1.76</v>
      </c>
      <c r="BQ1735">
        <v>-3.65</v>
      </c>
      <c r="BR1735">
        <v>2.0699999999999998</v>
      </c>
      <c r="BS1735">
        <v>7.06</v>
      </c>
      <c r="BT1735">
        <v>-1.1599999999999999</v>
      </c>
      <c r="BU1735">
        <v>0.5</v>
      </c>
      <c r="BV1735">
        <v>0.97</v>
      </c>
      <c r="BW1735">
        <v>-1.57</v>
      </c>
      <c r="BX1735">
        <v>-2.54</v>
      </c>
      <c r="BY1735">
        <v>0.94</v>
      </c>
      <c r="BZ1735">
        <v>2.27</v>
      </c>
      <c r="CA1735">
        <v>2.14</v>
      </c>
      <c r="CB1735">
        <v>0.86</v>
      </c>
      <c r="CC1735">
        <v>3.93</v>
      </c>
      <c r="CD1735">
        <v>-2.2599999999999998</v>
      </c>
      <c r="CE1735">
        <v>1.5</v>
      </c>
      <c r="CF1735">
        <v>0.36</v>
      </c>
      <c r="CG1735">
        <v>0</v>
      </c>
      <c r="CH1735">
        <v>-0.01</v>
      </c>
      <c r="CI1735">
        <v>0</v>
      </c>
      <c r="CJ1735">
        <v>-30.5</v>
      </c>
      <c r="CK1735">
        <v>81</v>
      </c>
      <c r="CL1735">
        <v>-1.63</v>
      </c>
      <c r="CM1735">
        <v>78</v>
      </c>
      <c r="CN1735">
        <v>-0.12</v>
      </c>
      <c r="CO1735">
        <v>75</v>
      </c>
      <c r="CP1735">
        <v>-51.8</v>
      </c>
      <c r="CQ1735">
        <v>77</v>
      </c>
      <c r="CR1735">
        <v>0</v>
      </c>
      <c r="CS1735">
        <v>0</v>
      </c>
      <c r="CT1735">
        <v>-76.900000000000006</v>
      </c>
      <c r="CU1735">
        <v>68</v>
      </c>
      <c r="CV1735">
        <v>-0.12</v>
      </c>
      <c r="CW1735">
        <v>41</v>
      </c>
      <c r="CX1735" t="s">
        <v>3047</v>
      </c>
    </row>
    <row r="1736" spans="1:102" x14ac:dyDescent="0.3">
      <c r="A1736" t="str">
        <f>HYPERLINK("https://webapp.icbf.com/v2/app/bull-search/view/586057872","S1549")</f>
        <v>S1549</v>
      </c>
      <c r="B1736" t="s">
        <v>7642</v>
      </c>
      <c r="C1736" t="s">
        <v>7643</v>
      </c>
      <c r="D1736" s="1">
        <v>39102</v>
      </c>
      <c r="E1736" t="s">
        <v>146</v>
      </c>
      <c r="F1736">
        <v>9</v>
      </c>
      <c r="G1736" t="s">
        <v>109</v>
      </c>
      <c r="H1736">
        <v>89.92</v>
      </c>
      <c r="I1736">
        <v>65</v>
      </c>
      <c r="J1736">
        <v>35.340000000000003</v>
      </c>
      <c r="K1736">
        <v>75</v>
      </c>
      <c r="L1736">
        <v>30.76</v>
      </c>
      <c r="M1736">
        <v>59</v>
      </c>
      <c r="N1736">
        <v>28.3</v>
      </c>
      <c r="O1736">
        <v>79</v>
      </c>
      <c r="P1736">
        <v>-0.98</v>
      </c>
      <c r="Q1736">
        <v>90</v>
      </c>
      <c r="R1736">
        <v>-5.05</v>
      </c>
      <c r="S1736">
        <v>54</v>
      </c>
      <c r="T1736">
        <v>7.83</v>
      </c>
      <c r="U1736">
        <v>36</v>
      </c>
      <c r="V1736">
        <v>-6.28</v>
      </c>
      <c r="W1736">
        <v>8</v>
      </c>
      <c r="X1736" t="s">
        <v>94</v>
      </c>
      <c r="Y1736" t="s">
        <v>362</v>
      </c>
      <c r="Z1736">
        <v>0</v>
      </c>
      <c r="AA1736" t="s">
        <v>7644</v>
      </c>
      <c r="AB1736" t="s">
        <v>7645</v>
      </c>
      <c r="AC1736">
        <v>0</v>
      </c>
      <c r="AD1736">
        <v>0</v>
      </c>
      <c r="AE1736">
        <v>75</v>
      </c>
      <c r="AF1736">
        <v>-93.15</v>
      </c>
      <c r="AG1736">
        <v>0.18</v>
      </c>
      <c r="AH1736">
        <v>4.5199999999999996</v>
      </c>
      <c r="AI1736">
        <v>0.06</v>
      </c>
      <c r="AJ1736">
        <v>0.13</v>
      </c>
      <c r="AK1736">
        <v>59</v>
      </c>
      <c r="AL1736">
        <v>0</v>
      </c>
      <c r="AM1736">
        <v>0</v>
      </c>
      <c r="AN1736">
        <v>-2.69</v>
      </c>
      <c r="AO1736">
        <v>-0.25</v>
      </c>
      <c r="AP1736">
        <v>217</v>
      </c>
      <c r="AQ1736">
        <v>0</v>
      </c>
      <c r="AR1736">
        <v>6.9</v>
      </c>
      <c r="AS1736">
        <v>65</v>
      </c>
      <c r="AT1736">
        <v>2.68</v>
      </c>
      <c r="AU1736">
        <v>84</v>
      </c>
      <c r="AV1736">
        <v>-3.06</v>
      </c>
      <c r="AW1736">
        <v>96</v>
      </c>
      <c r="AX1736">
        <v>-0.62</v>
      </c>
      <c r="AY1736">
        <v>76</v>
      </c>
      <c r="AZ1736">
        <v>7.26</v>
      </c>
      <c r="BA1736">
        <v>51</v>
      </c>
      <c r="BB1736">
        <v>5.35</v>
      </c>
      <c r="BC1736">
        <v>33</v>
      </c>
      <c r="BD1736">
        <v>0</v>
      </c>
      <c r="BE1736">
        <v>0.04</v>
      </c>
      <c r="BF1736">
        <v>0.04</v>
      </c>
      <c r="BG1736">
        <v>80</v>
      </c>
      <c r="BH1736">
        <v>-0.23</v>
      </c>
      <c r="BI1736">
        <v>-6.34</v>
      </c>
      <c r="BJ1736">
        <v>0</v>
      </c>
      <c r="BK1736">
        <v>0</v>
      </c>
      <c r="BL1736">
        <v>-1.47</v>
      </c>
      <c r="BM1736">
        <v>1.88</v>
      </c>
      <c r="BN1736">
        <v>-1.06</v>
      </c>
      <c r="BO1736">
        <v>-1.25</v>
      </c>
      <c r="BP1736">
        <v>2.36</v>
      </c>
      <c r="BQ1736">
        <v>-1.46</v>
      </c>
      <c r="BR1736">
        <v>-2.2999999999999998</v>
      </c>
      <c r="BS1736">
        <v>1.9</v>
      </c>
      <c r="BT1736">
        <v>2.17</v>
      </c>
      <c r="BU1736">
        <v>-3.67</v>
      </c>
      <c r="BV1736">
        <v>-1.76</v>
      </c>
      <c r="BW1736">
        <v>-2.52</v>
      </c>
      <c r="BX1736">
        <v>-3.05</v>
      </c>
      <c r="BY1736">
        <v>-2.77</v>
      </c>
      <c r="BZ1736">
        <v>3.2</v>
      </c>
      <c r="CA1736">
        <v>-1.71</v>
      </c>
      <c r="CB1736">
        <v>-2.78</v>
      </c>
      <c r="CC1736">
        <v>1.1299999999999999</v>
      </c>
      <c r="CD1736">
        <v>1.96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-6.2</v>
      </c>
      <c r="CK1736">
        <v>94</v>
      </c>
      <c r="CL1736">
        <v>0.13</v>
      </c>
      <c r="CM1736">
        <v>92</v>
      </c>
      <c r="CN1736">
        <v>-0.55000000000000004</v>
      </c>
      <c r="CO1736">
        <v>91</v>
      </c>
      <c r="CP1736">
        <v>-1.4</v>
      </c>
      <c r="CQ1736">
        <v>57</v>
      </c>
      <c r="CR1736">
        <v>0</v>
      </c>
      <c r="CS1736">
        <v>0</v>
      </c>
      <c r="CT1736">
        <v>3.2</v>
      </c>
      <c r="CU1736">
        <v>36</v>
      </c>
      <c r="CV1736">
        <v>-0.34</v>
      </c>
      <c r="CW1736">
        <v>26</v>
      </c>
      <c r="CX1736" t="s">
        <v>343</v>
      </c>
    </row>
    <row r="1737" spans="1:102" x14ac:dyDescent="0.3">
      <c r="A1737" t="str">
        <f>HYPERLINK("https://webapp.icbf.com/v2/app/bull-search/view/444506711","OWI")</f>
        <v>OWI</v>
      </c>
      <c r="B1737" t="s">
        <v>7810</v>
      </c>
      <c r="C1737" t="s">
        <v>7811</v>
      </c>
      <c r="D1737" s="1">
        <v>36743</v>
      </c>
      <c r="E1737" t="s">
        <v>92</v>
      </c>
      <c r="F1737">
        <v>56</v>
      </c>
      <c r="G1737" t="s">
        <v>93</v>
      </c>
      <c r="H1737">
        <v>89.92</v>
      </c>
      <c r="I1737">
        <v>93</v>
      </c>
      <c r="J1737">
        <v>23.13</v>
      </c>
      <c r="K1737">
        <v>98</v>
      </c>
      <c r="L1737">
        <v>18.32</v>
      </c>
      <c r="M1737">
        <v>89</v>
      </c>
      <c r="N1737">
        <v>24.59</v>
      </c>
      <c r="O1737">
        <v>92</v>
      </c>
      <c r="P1737">
        <v>-19.28</v>
      </c>
      <c r="Q1737">
        <v>96</v>
      </c>
      <c r="R1737">
        <v>3.73</v>
      </c>
      <c r="S1737">
        <v>89</v>
      </c>
      <c r="T1737">
        <v>31.44</v>
      </c>
      <c r="U1737">
        <v>95</v>
      </c>
      <c r="V1737">
        <v>7.99</v>
      </c>
      <c r="W1737">
        <v>92</v>
      </c>
      <c r="X1737" t="s">
        <v>302</v>
      </c>
      <c r="Y1737" t="s">
        <v>221</v>
      </c>
      <c r="Z1737" t="s">
        <v>96</v>
      </c>
      <c r="AA1737" t="s">
        <v>1257</v>
      </c>
      <c r="AB1737" t="s">
        <v>7812</v>
      </c>
      <c r="AC1737">
        <v>240</v>
      </c>
      <c r="AD1737">
        <v>94</v>
      </c>
      <c r="AE1737">
        <v>98</v>
      </c>
      <c r="AF1737">
        <v>77.930000000000007</v>
      </c>
      <c r="AG1737">
        <v>7.14</v>
      </c>
      <c r="AH1737">
        <v>2.6</v>
      </c>
      <c r="AI1737">
        <v>7.0000000000000007E-2</v>
      </c>
      <c r="AJ1737">
        <v>0</v>
      </c>
      <c r="AK1737">
        <v>89</v>
      </c>
      <c r="AL1737">
        <v>250</v>
      </c>
      <c r="AM1737">
        <v>93</v>
      </c>
      <c r="AN1737">
        <v>-0.3</v>
      </c>
      <c r="AO1737">
        <v>1.17</v>
      </c>
      <c r="AP1737">
        <v>434</v>
      </c>
      <c r="AQ1737">
        <v>3</v>
      </c>
      <c r="AR1737">
        <v>5.62</v>
      </c>
      <c r="AS1737">
        <v>91</v>
      </c>
      <c r="AT1737">
        <v>2.17</v>
      </c>
      <c r="AU1737">
        <v>91</v>
      </c>
      <c r="AV1737">
        <v>-1.0900000000000001</v>
      </c>
      <c r="AW1737">
        <v>98</v>
      </c>
      <c r="AX1737">
        <v>0.3</v>
      </c>
      <c r="AY1737">
        <v>91</v>
      </c>
      <c r="AZ1737">
        <v>5.26</v>
      </c>
      <c r="BA1737">
        <v>77</v>
      </c>
      <c r="BB1737">
        <v>4.3600000000000003</v>
      </c>
      <c r="BC1737">
        <v>82</v>
      </c>
      <c r="BD1737">
        <v>-0.04</v>
      </c>
      <c r="BE1737">
        <v>-0.01</v>
      </c>
      <c r="BF1737">
        <v>0</v>
      </c>
      <c r="BG1737">
        <v>94</v>
      </c>
      <c r="BH1737">
        <v>0.13</v>
      </c>
      <c r="BI1737">
        <v>-10.74</v>
      </c>
      <c r="BJ1737">
        <v>14</v>
      </c>
      <c r="BK1737">
        <v>7</v>
      </c>
      <c r="BL1737">
        <v>-1.1299999999999999</v>
      </c>
      <c r="BM1737">
        <v>-0.09</v>
      </c>
      <c r="BN1737">
        <v>-1.18</v>
      </c>
      <c r="BO1737">
        <v>-1.01</v>
      </c>
      <c r="BP1737">
        <v>-0.31</v>
      </c>
      <c r="BQ1737">
        <v>0.66</v>
      </c>
      <c r="BR1737">
        <v>1.93</v>
      </c>
      <c r="BS1737">
        <v>-1.62</v>
      </c>
      <c r="BT1737">
        <v>-2.16</v>
      </c>
      <c r="BU1737">
        <v>-1.2</v>
      </c>
      <c r="BV1737">
        <v>-1.48</v>
      </c>
      <c r="BW1737">
        <v>-1.84</v>
      </c>
      <c r="BX1737">
        <v>-1.8</v>
      </c>
      <c r="BY1737">
        <v>-0.5</v>
      </c>
      <c r="BZ1737">
        <v>1.67</v>
      </c>
      <c r="CA1737">
        <v>-1.67</v>
      </c>
      <c r="CB1737">
        <v>-1.1399999999999999</v>
      </c>
      <c r="CC1737">
        <v>-2.42</v>
      </c>
      <c r="CD1737">
        <v>-0.23</v>
      </c>
      <c r="CE1737">
        <v>-1.37</v>
      </c>
      <c r="CF1737">
        <v>-2.91</v>
      </c>
      <c r="CG1737">
        <v>0</v>
      </c>
      <c r="CH1737">
        <v>-0.9</v>
      </c>
      <c r="CI1737">
        <v>0</v>
      </c>
      <c r="CJ1737">
        <v>-7.9</v>
      </c>
      <c r="CK1737">
        <v>97</v>
      </c>
      <c r="CL1737">
        <v>-0.55000000000000004</v>
      </c>
      <c r="CM1737">
        <v>96</v>
      </c>
      <c r="CN1737">
        <v>-0.01</v>
      </c>
      <c r="CO1737">
        <v>95</v>
      </c>
      <c r="CP1737">
        <v>-18.8</v>
      </c>
      <c r="CQ1737">
        <v>94</v>
      </c>
      <c r="CR1737">
        <v>0</v>
      </c>
      <c r="CS1737">
        <v>0</v>
      </c>
      <c r="CT1737">
        <v>-28.7</v>
      </c>
      <c r="CU1737">
        <v>95</v>
      </c>
      <c r="CV1737">
        <v>0.11</v>
      </c>
      <c r="CW1737">
        <v>45</v>
      </c>
      <c r="CX1737" t="s">
        <v>1097</v>
      </c>
    </row>
    <row r="1738" spans="1:102" x14ac:dyDescent="0.3">
      <c r="A1738" t="str">
        <f>HYPERLINK("https://webapp.icbf.com/v2/app/bull-search/view/403249194","RIL")</f>
        <v>RIL</v>
      </c>
      <c r="B1738" t="s">
        <v>10075</v>
      </c>
      <c r="C1738" t="s">
        <v>1414</v>
      </c>
      <c r="D1738" s="1">
        <v>35706</v>
      </c>
      <c r="E1738" t="s">
        <v>92</v>
      </c>
      <c r="F1738">
        <v>100</v>
      </c>
      <c r="G1738" t="s">
        <v>93</v>
      </c>
      <c r="H1738">
        <v>89.72</v>
      </c>
      <c r="I1738">
        <v>97</v>
      </c>
      <c r="J1738">
        <v>22.68</v>
      </c>
      <c r="K1738">
        <v>99</v>
      </c>
      <c r="L1738">
        <v>18.87</v>
      </c>
      <c r="M1738">
        <v>94</v>
      </c>
      <c r="N1738">
        <v>28.43</v>
      </c>
      <c r="O1738">
        <v>98</v>
      </c>
      <c r="P1738">
        <v>-10.89</v>
      </c>
      <c r="Q1738">
        <v>99</v>
      </c>
      <c r="R1738">
        <v>12.15</v>
      </c>
      <c r="S1738">
        <v>96</v>
      </c>
      <c r="T1738">
        <v>11.61</v>
      </c>
      <c r="U1738">
        <v>98</v>
      </c>
      <c r="V1738">
        <v>6.87</v>
      </c>
      <c r="W1738">
        <v>97</v>
      </c>
      <c r="X1738" t="s">
        <v>94</v>
      </c>
      <c r="Y1738" t="s">
        <v>95</v>
      </c>
      <c r="Z1738" t="s">
        <v>96</v>
      </c>
      <c r="AA1738" t="s">
        <v>188</v>
      </c>
      <c r="AB1738" t="s">
        <v>10076</v>
      </c>
      <c r="AC1738">
        <v>1080</v>
      </c>
      <c r="AD1738">
        <v>336</v>
      </c>
      <c r="AE1738">
        <v>99</v>
      </c>
      <c r="AF1738">
        <v>264.01</v>
      </c>
      <c r="AG1738">
        <v>3.53</v>
      </c>
      <c r="AH1738">
        <v>6.65</v>
      </c>
      <c r="AI1738">
        <v>-0.11</v>
      </c>
      <c r="AJ1738">
        <v>-0.04</v>
      </c>
      <c r="AK1738">
        <v>94</v>
      </c>
      <c r="AL1738">
        <v>1126</v>
      </c>
      <c r="AM1738">
        <v>360</v>
      </c>
      <c r="AN1738">
        <v>0.15</v>
      </c>
      <c r="AO1738">
        <v>1.67</v>
      </c>
      <c r="AP1738">
        <v>2090</v>
      </c>
      <c r="AQ1738">
        <v>10</v>
      </c>
      <c r="AR1738">
        <v>5.81</v>
      </c>
      <c r="AS1738">
        <v>98</v>
      </c>
      <c r="AT1738">
        <v>2.4300000000000002</v>
      </c>
      <c r="AU1738">
        <v>98</v>
      </c>
      <c r="AV1738">
        <v>-2.77</v>
      </c>
      <c r="AW1738">
        <v>99</v>
      </c>
      <c r="AX1738">
        <v>0.54</v>
      </c>
      <c r="AY1738">
        <v>98</v>
      </c>
      <c r="AZ1738">
        <v>6.49</v>
      </c>
      <c r="BA1738">
        <v>94</v>
      </c>
      <c r="BB1738">
        <v>5.37</v>
      </c>
      <c r="BC1738">
        <v>95</v>
      </c>
      <c r="BD1738">
        <v>-0.05</v>
      </c>
      <c r="BE1738">
        <v>-0.04</v>
      </c>
      <c r="BF1738">
        <v>-0.12</v>
      </c>
      <c r="BG1738">
        <v>98</v>
      </c>
      <c r="BH1738">
        <v>0.15</v>
      </c>
      <c r="BI1738">
        <v>-4.8099999999999996</v>
      </c>
      <c r="BJ1738">
        <v>168</v>
      </c>
      <c r="BK1738">
        <v>59</v>
      </c>
      <c r="BL1738">
        <v>0.02</v>
      </c>
      <c r="BM1738">
        <v>-0.73</v>
      </c>
      <c r="BN1738">
        <v>-0.56000000000000005</v>
      </c>
      <c r="BO1738">
        <v>0.36</v>
      </c>
      <c r="BP1738">
        <v>-0.87</v>
      </c>
      <c r="BQ1738">
        <v>0.34</v>
      </c>
      <c r="BR1738">
        <v>-0.06</v>
      </c>
      <c r="BS1738">
        <v>1.7</v>
      </c>
      <c r="BT1738">
        <v>0.27</v>
      </c>
      <c r="BU1738">
        <v>0.88</v>
      </c>
      <c r="BV1738">
        <v>0.95</v>
      </c>
      <c r="BW1738">
        <v>0.39</v>
      </c>
      <c r="BX1738">
        <v>0.7</v>
      </c>
      <c r="BY1738">
        <v>-1.18</v>
      </c>
      <c r="BZ1738">
        <v>2.2599999999999998</v>
      </c>
      <c r="CA1738">
        <v>0.95</v>
      </c>
      <c r="CB1738">
        <v>0.39</v>
      </c>
      <c r="CC1738">
        <v>1.58</v>
      </c>
      <c r="CD1738">
        <v>-0.39</v>
      </c>
      <c r="CE1738">
        <v>0.28999999999999998</v>
      </c>
      <c r="CF1738">
        <v>-0.1</v>
      </c>
      <c r="CG1738">
        <v>0</v>
      </c>
      <c r="CH1738">
        <v>-0.97</v>
      </c>
      <c r="CI1738">
        <v>0</v>
      </c>
      <c r="CJ1738">
        <v>-2.6</v>
      </c>
      <c r="CK1738">
        <v>99</v>
      </c>
      <c r="CL1738">
        <v>-0.86</v>
      </c>
      <c r="CM1738">
        <v>99</v>
      </c>
      <c r="CN1738">
        <v>-0.22</v>
      </c>
      <c r="CO1738">
        <v>99</v>
      </c>
      <c r="CP1738">
        <v>-6.7</v>
      </c>
      <c r="CQ1738">
        <v>99</v>
      </c>
      <c r="CR1738">
        <v>0</v>
      </c>
      <c r="CS1738">
        <v>0</v>
      </c>
      <c r="CT1738">
        <v>-1.9</v>
      </c>
      <c r="CU1738">
        <v>98</v>
      </c>
      <c r="CV1738">
        <v>0.15</v>
      </c>
      <c r="CW1738">
        <v>46</v>
      </c>
      <c r="CX1738" t="s">
        <v>4070</v>
      </c>
    </row>
    <row r="1739" spans="1:102" x14ac:dyDescent="0.3">
      <c r="A1739" t="str">
        <f>HYPERLINK("https://webapp.icbf.com/v2/app/bull-search/view/314191103","KSI")</f>
        <v>KSI</v>
      </c>
      <c r="B1739" t="s">
        <v>15538</v>
      </c>
      <c r="C1739" t="s">
        <v>12861</v>
      </c>
      <c r="D1739" s="1">
        <v>36387</v>
      </c>
      <c r="E1739" t="s">
        <v>92</v>
      </c>
      <c r="F1739">
        <v>94</v>
      </c>
      <c r="G1739" t="s">
        <v>93</v>
      </c>
      <c r="H1739">
        <v>89.69</v>
      </c>
      <c r="I1739">
        <v>97</v>
      </c>
      <c r="J1739">
        <v>32.56</v>
      </c>
      <c r="K1739">
        <v>99</v>
      </c>
      <c r="L1739">
        <v>11.35</v>
      </c>
      <c r="M1739">
        <v>93</v>
      </c>
      <c r="N1739">
        <v>27</v>
      </c>
      <c r="O1739">
        <v>98</v>
      </c>
      <c r="P1739">
        <v>-23.76</v>
      </c>
      <c r="Q1739">
        <v>99</v>
      </c>
      <c r="R1739">
        <v>2.23</v>
      </c>
      <c r="S1739">
        <v>96</v>
      </c>
      <c r="T1739">
        <v>29.74</v>
      </c>
      <c r="U1739">
        <v>99</v>
      </c>
      <c r="V1739">
        <v>10.57</v>
      </c>
      <c r="W1739">
        <v>98</v>
      </c>
      <c r="X1739" t="s">
        <v>302</v>
      </c>
      <c r="Y1739" t="s">
        <v>95</v>
      </c>
      <c r="Z1739" t="s">
        <v>96</v>
      </c>
      <c r="AA1739" t="s">
        <v>8658</v>
      </c>
      <c r="AB1739" t="s">
        <v>15539</v>
      </c>
      <c r="AC1739">
        <v>1067</v>
      </c>
      <c r="AD1739">
        <v>250</v>
      </c>
      <c r="AE1739">
        <v>99</v>
      </c>
      <c r="AF1739">
        <v>135.9</v>
      </c>
      <c r="AG1739">
        <v>0.67</v>
      </c>
      <c r="AH1739">
        <v>7.38</v>
      </c>
      <c r="AI1739">
        <v>-0.08</v>
      </c>
      <c r="AJ1739">
        <v>0.05</v>
      </c>
      <c r="AK1739">
        <v>93</v>
      </c>
      <c r="AL1739">
        <v>1036</v>
      </c>
      <c r="AM1739">
        <v>236</v>
      </c>
      <c r="AN1739">
        <v>-1.01</v>
      </c>
      <c r="AO1739">
        <v>-0.11</v>
      </c>
      <c r="AP1739">
        <v>2028</v>
      </c>
      <c r="AQ1739">
        <v>19</v>
      </c>
      <c r="AR1739">
        <v>4.76</v>
      </c>
      <c r="AS1739">
        <v>98</v>
      </c>
      <c r="AT1739">
        <v>2.15</v>
      </c>
      <c r="AU1739">
        <v>98</v>
      </c>
      <c r="AV1739">
        <v>-1.61</v>
      </c>
      <c r="AW1739">
        <v>99</v>
      </c>
      <c r="AX1739">
        <v>0.27</v>
      </c>
      <c r="AY1739">
        <v>98</v>
      </c>
      <c r="AZ1739">
        <v>6.02</v>
      </c>
      <c r="BA1739">
        <v>94</v>
      </c>
      <c r="BB1739">
        <v>4.92</v>
      </c>
      <c r="BC1739">
        <v>94</v>
      </c>
      <c r="BD1739">
        <v>-0.02</v>
      </c>
      <c r="BE1739">
        <v>-0.02</v>
      </c>
      <c r="BF1739">
        <v>0.02</v>
      </c>
      <c r="BG1739">
        <v>98</v>
      </c>
      <c r="BH1739">
        <v>0.17</v>
      </c>
      <c r="BI1739">
        <v>-14.43</v>
      </c>
      <c r="BJ1739">
        <v>43</v>
      </c>
      <c r="BK1739">
        <v>19</v>
      </c>
      <c r="BL1739">
        <v>-0.79</v>
      </c>
      <c r="BM1739">
        <v>-1.71</v>
      </c>
      <c r="BN1739">
        <v>-1.41</v>
      </c>
      <c r="BO1739">
        <v>0.3</v>
      </c>
      <c r="BP1739">
        <v>0.69</v>
      </c>
      <c r="BQ1739">
        <v>-1.49</v>
      </c>
      <c r="BR1739">
        <v>2.72</v>
      </c>
      <c r="BS1739">
        <v>-2.66</v>
      </c>
      <c r="BT1739">
        <v>-3.98</v>
      </c>
      <c r="BU1739">
        <v>-0.89</v>
      </c>
      <c r="BV1739">
        <v>-0.67</v>
      </c>
      <c r="BW1739">
        <v>-0.72</v>
      </c>
      <c r="BX1739">
        <v>-0.13</v>
      </c>
      <c r="BY1739">
        <v>2.25</v>
      </c>
      <c r="BZ1739">
        <v>-1.17</v>
      </c>
      <c r="CA1739">
        <v>-0.82</v>
      </c>
      <c r="CB1739">
        <v>0.06</v>
      </c>
      <c r="CC1739">
        <v>-3</v>
      </c>
      <c r="CD1739">
        <v>-0.83</v>
      </c>
      <c r="CE1739">
        <v>0.3</v>
      </c>
      <c r="CF1739">
        <v>-1.34</v>
      </c>
      <c r="CG1739">
        <v>0</v>
      </c>
      <c r="CH1739">
        <v>2.41</v>
      </c>
      <c r="CI1739">
        <v>0</v>
      </c>
      <c r="CJ1739">
        <v>-11.5</v>
      </c>
      <c r="CK1739">
        <v>99</v>
      </c>
      <c r="CL1739">
        <v>-0.79</v>
      </c>
      <c r="CM1739">
        <v>99</v>
      </c>
      <c r="CN1739">
        <v>-0.27</v>
      </c>
      <c r="CO1739">
        <v>99</v>
      </c>
      <c r="CP1739">
        <v>-19.3</v>
      </c>
      <c r="CQ1739">
        <v>99</v>
      </c>
      <c r="CR1739">
        <v>0</v>
      </c>
      <c r="CS1739">
        <v>0</v>
      </c>
      <c r="CT1739">
        <v>-26.4</v>
      </c>
      <c r="CU1739">
        <v>99</v>
      </c>
      <c r="CV1739">
        <v>-0.01</v>
      </c>
      <c r="CW1739">
        <v>46</v>
      </c>
      <c r="CX1739" t="s">
        <v>218</v>
      </c>
    </row>
    <row r="1740" spans="1:102" x14ac:dyDescent="0.3">
      <c r="A1740" t="str">
        <f>HYPERLINK("https://webapp.icbf.com/v2/app/bull-search/view/1455658427","MO4146")</f>
        <v>MO4146</v>
      </c>
      <c r="B1740" t="s">
        <v>2349</v>
      </c>
      <c r="C1740" t="s">
        <v>2350</v>
      </c>
      <c r="D1740" s="1">
        <v>41289</v>
      </c>
      <c r="E1740" t="s">
        <v>140</v>
      </c>
      <c r="F1740">
        <v>0</v>
      </c>
      <c r="G1740" t="s">
        <v>109</v>
      </c>
      <c r="H1740">
        <v>89.66</v>
      </c>
      <c r="I1740">
        <v>67</v>
      </c>
      <c r="J1740">
        <v>24.39</v>
      </c>
      <c r="K1740">
        <v>84</v>
      </c>
      <c r="L1740">
        <v>38.64</v>
      </c>
      <c r="M1740">
        <v>56</v>
      </c>
      <c r="N1740">
        <v>21.07</v>
      </c>
      <c r="O1740">
        <v>72</v>
      </c>
      <c r="P1740">
        <v>26.05</v>
      </c>
      <c r="Q1740">
        <v>69</v>
      </c>
      <c r="R1740">
        <v>-4.3499999999999996</v>
      </c>
      <c r="S1740">
        <v>55</v>
      </c>
      <c r="T1740">
        <v>-2.9</v>
      </c>
      <c r="U1740">
        <v>48</v>
      </c>
      <c r="V1740">
        <v>-13.24</v>
      </c>
      <c r="W1740">
        <v>52</v>
      </c>
      <c r="X1740" t="s">
        <v>102</v>
      </c>
      <c r="Y1740" t="s">
        <v>1775</v>
      </c>
      <c r="Z1740">
        <v>0</v>
      </c>
      <c r="AA1740" t="s">
        <v>2351</v>
      </c>
      <c r="AB1740" t="s">
        <v>2352</v>
      </c>
      <c r="AC1740">
        <v>0</v>
      </c>
      <c r="AD1740">
        <v>0</v>
      </c>
      <c r="AE1740">
        <v>84</v>
      </c>
      <c r="AF1740">
        <v>142.87</v>
      </c>
      <c r="AG1740">
        <v>4.28</v>
      </c>
      <c r="AH1740">
        <v>4.82</v>
      </c>
      <c r="AI1740">
        <v>-0.03</v>
      </c>
      <c r="AJ1740">
        <v>0</v>
      </c>
      <c r="AK1740">
        <v>56</v>
      </c>
      <c r="AL1740">
        <v>0</v>
      </c>
      <c r="AM1740">
        <v>0</v>
      </c>
      <c r="AN1740">
        <v>-2.2000000000000002</v>
      </c>
      <c r="AO1740">
        <v>0.88</v>
      </c>
      <c r="AP1740">
        <v>78</v>
      </c>
      <c r="AQ1740">
        <v>1</v>
      </c>
      <c r="AR1740">
        <v>6.33</v>
      </c>
      <c r="AS1740">
        <v>55</v>
      </c>
      <c r="AT1740">
        <v>3.22</v>
      </c>
      <c r="AU1740">
        <v>74</v>
      </c>
      <c r="AV1740">
        <v>-1.66</v>
      </c>
      <c r="AW1740">
        <v>89</v>
      </c>
      <c r="AX1740">
        <v>0.12</v>
      </c>
      <c r="AY1740">
        <v>62</v>
      </c>
      <c r="AZ1740">
        <v>5.23</v>
      </c>
      <c r="BA1740">
        <v>41</v>
      </c>
      <c r="BB1740">
        <v>4.0999999999999996</v>
      </c>
      <c r="BC1740">
        <v>39</v>
      </c>
      <c r="BD1740">
        <v>0.03</v>
      </c>
      <c r="BE1740">
        <v>0</v>
      </c>
      <c r="BF1740">
        <v>0.05</v>
      </c>
      <c r="BG1740">
        <v>61</v>
      </c>
      <c r="BH1740">
        <v>-0.28999999999999998</v>
      </c>
      <c r="BI1740">
        <v>9.17</v>
      </c>
      <c r="BJ1740">
        <v>0</v>
      </c>
      <c r="BK1740">
        <v>0</v>
      </c>
      <c r="BL1740">
        <v>-0.75</v>
      </c>
      <c r="BM1740">
        <v>3.74</v>
      </c>
      <c r="BN1740">
        <v>-1.61</v>
      </c>
      <c r="BO1740">
        <v>-3.1</v>
      </c>
      <c r="BP1740">
        <v>4.41</v>
      </c>
      <c r="BQ1740">
        <v>-1.86</v>
      </c>
      <c r="BR1740">
        <v>-2.59</v>
      </c>
      <c r="BS1740">
        <v>-0.39</v>
      </c>
      <c r="BT1740">
        <v>2.56</v>
      </c>
      <c r="BU1740">
        <v>-3.47</v>
      </c>
      <c r="BV1740">
        <v>-3.89</v>
      </c>
      <c r="BW1740">
        <v>-2.96</v>
      </c>
      <c r="BX1740">
        <v>-2.74</v>
      </c>
      <c r="BY1740">
        <v>-2.13</v>
      </c>
      <c r="BZ1740">
        <v>1.39</v>
      </c>
      <c r="CA1740">
        <v>-2.57</v>
      </c>
      <c r="CB1740">
        <v>-3.29</v>
      </c>
      <c r="CC1740">
        <v>-0.43</v>
      </c>
      <c r="CD1740">
        <v>4.03</v>
      </c>
      <c r="CE1740">
        <v>-3.03</v>
      </c>
      <c r="CF1740">
        <v>-1.05</v>
      </c>
      <c r="CG1740">
        <v>0</v>
      </c>
      <c r="CH1740">
        <v>-2.63</v>
      </c>
      <c r="CI1740">
        <v>0</v>
      </c>
      <c r="CJ1740">
        <v>16.5</v>
      </c>
      <c r="CK1740">
        <v>73</v>
      </c>
      <c r="CL1740">
        <v>-0.05</v>
      </c>
      <c r="CM1740">
        <v>67</v>
      </c>
      <c r="CN1740">
        <v>-0.2</v>
      </c>
      <c r="CO1740">
        <v>65</v>
      </c>
      <c r="CP1740">
        <v>9.6999999999999993</v>
      </c>
      <c r="CQ1740">
        <v>51</v>
      </c>
      <c r="CR1740">
        <v>0</v>
      </c>
      <c r="CS1740">
        <v>0</v>
      </c>
      <c r="CT1740">
        <v>17.7</v>
      </c>
      <c r="CU1740">
        <v>48</v>
      </c>
      <c r="CV1740">
        <v>0.37</v>
      </c>
      <c r="CW1740">
        <v>41</v>
      </c>
      <c r="CX1740" t="s">
        <v>2353</v>
      </c>
    </row>
    <row r="1741" spans="1:102" x14ac:dyDescent="0.3">
      <c r="A1741" t="str">
        <f>HYPERLINK("https://webapp.icbf.com/v2/app/bull-search/view/1055445595","S1561")</f>
        <v>S1561</v>
      </c>
      <c r="B1741" t="s">
        <v>5703</v>
      </c>
      <c r="C1741" t="s">
        <v>5704</v>
      </c>
      <c r="D1741" s="1">
        <v>40465</v>
      </c>
      <c r="E1741" t="s">
        <v>92</v>
      </c>
      <c r="F1741">
        <v>100</v>
      </c>
      <c r="G1741" t="s">
        <v>109</v>
      </c>
      <c r="H1741">
        <v>89.62</v>
      </c>
      <c r="I1741">
        <v>84</v>
      </c>
      <c r="J1741">
        <v>39.229999999999997</v>
      </c>
      <c r="K1741">
        <v>95</v>
      </c>
      <c r="L1741">
        <v>17.38</v>
      </c>
      <c r="M1741">
        <v>88</v>
      </c>
      <c r="N1741">
        <v>6.61</v>
      </c>
      <c r="O1741">
        <v>76</v>
      </c>
      <c r="P1741">
        <v>3.64</v>
      </c>
      <c r="Q1741">
        <v>77</v>
      </c>
      <c r="R1741">
        <v>20.09</v>
      </c>
      <c r="S1741">
        <v>77</v>
      </c>
      <c r="T1741">
        <v>-6.82</v>
      </c>
      <c r="U1741">
        <v>60</v>
      </c>
      <c r="V1741">
        <v>9.49</v>
      </c>
      <c r="W1741">
        <v>60</v>
      </c>
      <c r="X1741" t="s">
        <v>251</v>
      </c>
      <c r="Y1741" t="s">
        <v>362</v>
      </c>
      <c r="Z1741" t="s">
        <v>96</v>
      </c>
      <c r="AA1741" t="s">
        <v>1848</v>
      </c>
      <c r="AB1741" t="s">
        <v>402</v>
      </c>
      <c r="AC1741">
        <v>29</v>
      </c>
      <c r="AD1741">
        <v>11</v>
      </c>
      <c r="AE1741">
        <v>95</v>
      </c>
      <c r="AF1741">
        <v>389.78</v>
      </c>
      <c r="AG1741">
        <v>10.51</v>
      </c>
      <c r="AH1741">
        <v>8.92</v>
      </c>
      <c r="AI1741">
        <v>-0.08</v>
      </c>
      <c r="AJ1741">
        <v>-7.0000000000000007E-2</v>
      </c>
      <c r="AK1741">
        <v>88</v>
      </c>
      <c r="AL1741">
        <v>28</v>
      </c>
      <c r="AM1741">
        <v>11</v>
      </c>
      <c r="AN1741">
        <v>0.14000000000000001</v>
      </c>
      <c r="AO1741">
        <v>1.54</v>
      </c>
      <c r="AP1741">
        <v>30</v>
      </c>
      <c r="AQ1741">
        <v>0</v>
      </c>
      <c r="AR1741">
        <v>9.6199999999999992</v>
      </c>
      <c r="AS1741">
        <v>64</v>
      </c>
      <c r="AT1741">
        <v>3.76</v>
      </c>
      <c r="AU1741">
        <v>92</v>
      </c>
      <c r="AV1741">
        <v>-2.2799999999999998</v>
      </c>
      <c r="AW1741">
        <v>82</v>
      </c>
      <c r="AX1741">
        <v>0.69</v>
      </c>
      <c r="AY1741">
        <v>66</v>
      </c>
      <c r="AZ1741">
        <v>6</v>
      </c>
      <c r="BA1741">
        <v>51</v>
      </c>
      <c r="BB1741">
        <v>4.68</v>
      </c>
      <c r="BC1741">
        <v>46</v>
      </c>
      <c r="BD1741">
        <v>-0.06</v>
      </c>
      <c r="BE1741">
        <v>-0.08</v>
      </c>
      <c r="BF1741">
        <v>-0.21</v>
      </c>
      <c r="BG1741">
        <v>93</v>
      </c>
      <c r="BH1741">
        <v>0.09</v>
      </c>
      <c r="BI1741">
        <v>-20.21</v>
      </c>
      <c r="BJ1741">
        <v>12</v>
      </c>
      <c r="BK1741">
        <v>5</v>
      </c>
      <c r="BL1741">
        <v>0.88</v>
      </c>
      <c r="BM1741">
        <v>1.54</v>
      </c>
      <c r="BN1741">
        <v>1.66</v>
      </c>
      <c r="BO1741">
        <v>0.41</v>
      </c>
      <c r="BP1741">
        <v>-3.68</v>
      </c>
      <c r="BQ1741">
        <v>-0.26</v>
      </c>
      <c r="BR1741">
        <v>0.16</v>
      </c>
      <c r="BS1741">
        <v>1.36</v>
      </c>
      <c r="BT1741">
        <v>1.34</v>
      </c>
      <c r="BU1741">
        <v>2.75</v>
      </c>
      <c r="BV1741">
        <v>2.94</v>
      </c>
      <c r="BW1741">
        <v>1.85</v>
      </c>
      <c r="BX1741">
        <v>1.89</v>
      </c>
      <c r="BY1741">
        <v>2.23</v>
      </c>
      <c r="BZ1741">
        <v>-1.5</v>
      </c>
      <c r="CA1741">
        <v>2.04</v>
      </c>
      <c r="CB1741">
        <v>2.2400000000000002</v>
      </c>
      <c r="CC1741">
        <v>1.52</v>
      </c>
      <c r="CD1741">
        <v>0.49</v>
      </c>
      <c r="CE1741">
        <v>0.61</v>
      </c>
      <c r="CF1741">
        <v>0.99</v>
      </c>
      <c r="CG1741">
        <v>0</v>
      </c>
      <c r="CH1741">
        <v>1.78</v>
      </c>
      <c r="CI1741">
        <v>0</v>
      </c>
      <c r="CJ1741">
        <v>3.3</v>
      </c>
      <c r="CK1741">
        <v>80</v>
      </c>
      <c r="CL1741">
        <v>-1</v>
      </c>
      <c r="CM1741">
        <v>77</v>
      </c>
      <c r="CN1741">
        <v>-0.71</v>
      </c>
      <c r="CO1741">
        <v>75</v>
      </c>
      <c r="CP1741">
        <v>7.3</v>
      </c>
      <c r="CQ1741">
        <v>64</v>
      </c>
      <c r="CR1741">
        <v>0</v>
      </c>
      <c r="CS1741">
        <v>0</v>
      </c>
      <c r="CT1741">
        <v>23</v>
      </c>
      <c r="CU1741">
        <v>60</v>
      </c>
      <c r="CV1741">
        <v>0.2</v>
      </c>
      <c r="CW1741">
        <v>42</v>
      </c>
      <c r="CX1741" t="s">
        <v>277</v>
      </c>
    </row>
    <row r="1742" spans="1:102" x14ac:dyDescent="0.3">
      <c r="A1742" t="str">
        <f>HYPERLINK("https://webapp.icbf.com/v2/app/bull-search/view/1376539959","S3175")</f>
        <v>S3175</v>
      </c>
      <c r="B1742" t="s">
        <v>10269</v>
      </c>
      <c r="C1742" t="s">
        <v>10270</v>
      </c>
      <c r="D1742" s="1">
        <v>42067</v>
      </c>
      <c r="E1742" t="s">
        <v>92</v>
      </c>
      <c r="F1742">
        <v>100</v>
      </c>
      <c r="G1742" t="s">
        <v>435</v>
      </c>
      <c r="H1742">
        <v>89.47</v>
      </c>
      <c r="I1742">
        <v>69</v>
      </c>
      <c r="J1742">
        <v>96.87</v>
      </c>
      <c r="K1742">
        <v>90</v>
      </c>
      <c r="L1742">
        <v>-57.78</v>
      </c>
      <c r="M1742">
        <v>67</v>
      </c>
      <c r="N1742">
        <v>36.06</v>
      </c>
      <c r="O1742">
        <v>65</v>
      </c>
      <c r="P1742">
        <v>-4.08</v>
      </c>
      <c r="Q1742">
        <v>34</v>
      </c>
      <c r="R1742">
        <v>18.79</v>
      </c>
      <c r="S1742">
        <v>66</v>
      </c>
      <c r="T1742">
        <v>-11.19</v>
      </c>
      <c r="U1742">
        <v>33</v>
      </c>
      <c r="V1742">
        <v>10.8</v>
      </c>
      <c r="W1742">
        <v>55</v>
      </c>
      <c r="X1742" t="s">
        <v>110</v>
      </c>
      <c r="Y1742" t="s">
        <v>453</v>
      </c>
      <c r="Z1742" t="s">
        <v>96</v>
      </c>
      <c r="AA1742" t="s">
        <v>10271</v>
      </c>
      <c r="AB1742" t="s">
        <v>10272</v>
      </c>
      <c r="AC1742">
        <v>0</v>
      </c>
      <c r="AD1742">
        <v>0</v>
      </c>
      <c r="AE1742">
        <v>90</v>
      </c>
      <c r="AF1742">
        <v>562.42999999999995</v>
      </c>
      <c r="AG1742">
        <v>18.16</v>
      </c>
      <c r="AH1742">
        <v>18.66</v>
      </c>
      <c r="AI1742">
        <v>-0.06</v>
      </c>
      <c r="AJ1742">
        <v>0</v>
      </c>
      <c r="AK1742">
        <v>67</v>
      </c>
      <c r="AL1742">
        <v>0</v>
      </c>
      <c r="AM1742">
        <v>0</v>
      </c>
      <c r="AN1742">
        <v>5.32</v>
      </c>
      <c r="AO1742">
        <v>0.74</v>
      </c>
      <c r="AP1742">
        <v>11</v>
      </c>
      <c r="AQ1742">
        <v>1</v>
      </c>
      <c r="AR1742">
        <v>5.05</v>
      </c>
      <c r="AS1742">
        <v>55</v>
      </c>
      <c r="AT1742">
        <v>2.48</v>
      </c>
      <c r="AU1742">
        <v>92</v>
      </c>
      <c r="AV1742">
        <v>-2.84</v>
      </c>
      <c r="AW1742">
        <v>70</v>
      </c>
      <c r="AX1742">
        <v>0.52</v>
      </c>
      <c r="AY1742">
        <v>42</v>
      </c>
      <c r="AZ1742">
        <v>5.07</v>
      </c>
      <c r="BA1742">
        <v>32</v>
      </c>
      <c r="BB1742">
        <v>4.62</v>
      </c>
      <c r="BC1742">
        <v>34</v>
      </c>
      <c r="BD1742">
        <v>-0.03</v>
      </c>
      <c r="BE1742">
        <v>-0.08</v>
      </c>
      <c r="BF1742">
        <v>-0.23</v>
      </c>
      <c r="BG1742">
        <v>82</v>
      </c>
      <c r="BH1742">
        <v>0.2</v>
      </c>
      <c r="BI1742">
        <v>-11.7</v>
      </c>
      <c r="BJ1742">
        <v>0</v>
      </c>
      <c r="BK1742">
        <v>0</v>
      </c>
      <c r="BL1742">
        <v>2.5499999999999998</v>
      </c>
      <c r="BM1742">
        <v>0.54</v>
      </c>
      <c r="BN1742">
        <v>1.22</v>
      </c>
      <c r="BO1742">
        <v>1.47</v>
      </c>
      <c r="BP1742">
        <v>1.69</v>
      </c>
      <c r="BQ1742">
        <v>4.78</v>
      </c>
      <c r="BR1742">
        <v>-1.75</v>
      </c>
      <c r="BS1742">
        <v>2.71</v>
      </c>
      <c r="BT1742">
        <v>2.34</v>
      </c>
      <c r="BU1742">
        <v>2.86</v>
      </c>
      <c r="BV1742">
        <v>3.49</v>
      </c>
      <c r="BW1742">
        <v>2.4300000000000002</v>
      </c>
      <c r="BX1742">
        <v>4.09</v>
      </c>
      <c r="BY1742">
        <v>-0.91</v>
      </c>
      <c r="BZ1742">
        <v>0.72</v>
      </c>
      <c r="CA1742">
        <v>3.49</v>
      </c>
      <c r="CB1742">
        <v>3.05</v>
      </c>
      <c r="CC1742">
        <v>2.6</v>
      </c>
      <c r="CD1742">
        <v>-0.33</v>
      </c>
      <c r="CE1742">
        <v>1.39</v>
      </c>
      <c r="CF1742">
        <v>1.81</v>
      </c>
      <c r="CG1742">
        <v>0</v>
      </c>
      <c r="CH1742">
        <v>-0.81</v>
      </c>
      <c r="CI1742">
        <v>0</v>
      </c>
      <c r="CJ1742">
        <v>0.5</v>
      </c>
      <c r="CK1742">
        <v>34</v>
      </c>
      <c r="CL1742">
        <v>-1.65</v>
      </c>
      <c r="CM1742">
        <v>34</v>
      </c>
      <c r="CN1742">
        <v>-0.97</v>
      </c>
      <c r="CO1742">
        <v>33</v>
      </c>
      <c r="CP1742">
        <v>6</v>
      </c>
      <c r="CQ1742">
        <v>33</v>
      </c>
      <c r="CR1742">
        <v>0</v>
      </c>
      <c r="CS1742">
        <v>0</v>
      </c>
      <c r="CT1742">
        <v>28.9</v>
      </c>
      <c r="CU1742">
        <v>33</v>
      </c>
      <c r="CV1742">
        <v>0.27</v>
      </c>
      <c r="CW1742">
        <v>31</v>
      </c>
      <c r="CX1742" t="s">
        <v>10273</v>
      </c>
    </row>
    <row r="1743" spans="1:102" x14ac:dyDescent="0.3">
      <c r="A1743" t="str">
        <f>HYPERLINK("https://webapp.icbf.com/v2/app/bull-search/view/670022636","IGE")</f>
        <v>IGE</v>
      </c>
      <c r="B1743" t="s">
        <v>12766</v>
      </c>
      <c r="C1743" t="s">
        <v>12767</v>
      </c>
      <c r="D1743" s="1">
        <v>39861</v>
      </c>
      <c r="E1743" t="s">
        <v>92</v>
      </c>
      <c r="F1743">
        <v>75</v>
      </c>
      <c r="G1743" t="s">
        <v>93</v>
      </c>
      <c r="H1743">
        <v>89.37</v>
      </c>
      <c r="I1743">
        <v>85</v>
      </c>
      <c r="J1743">
        <v>14.92</v>
      </c>
      <c r="K1743">
        <v>96</v>
      </c>
      <c r="L1743">
        <v>12.13</v>
      </c>
      <c r="M1743">
        <v>75</v>
      </c>
      <c r="N1743">
        <v>50.17</v>
      </c>
      <c r="O1743">
        <v>84</v>
      </c>
      <c r="P1743">
        <v>-12.47</v>
      </c>
      <c r="Q1743">
        <v>93</v>
      </c>
      <c r="R1743">
        <v>-3.77</v>
      </c>
      <c r="S1743">
        <v>75</v>
      </c>
      <c r="T1743">
        <v>23.22</v>
      </c>
      <c r="U1743">
        <v>85</v>
      </c>
      <c r="V1743">
        <v>5.17</v>
      </c>
      <c r="W1743">
        <v>73</v>
      </c>
      <c r="X1743" t="s">
        <v>94</v>
      </c>
      <c r="Y1743" t="s">
        <v>1685</v>
      </c>
      <c r="Z1743" t="s">
        <v>330</v>
      </c>
      <c r="AA1743" t="s">
        <v>2889</v>
      </c>
      <c r="AB1743" t="s">
        <v>12768</v>
      </c>
      <c r="AC1743">
        <v>70</v>
      </c>
      <c r="AD1743">
        <v>60</v>
      </c>
      <c r="AE1743">
        <v>96</v>
      </c>
      <c r="AF1743">
        <v>90.3</v>
      </c>
      <c r="AG1743">
        <v>-1.5</v>
      </c>
      <c r="AH1743">
        <v>4.45</v>
      </c>
      <c r="AI1743">
        <v>-0.09</v>
      </c>
      <c r="AJ1743">
        <v>0.02</v>
      </c>
      <c r="AK1743">
        <v>75</v>
      </c>
      <c r="AL1743">
        <v>83</v>
      </c>
      <c r="AM1743">
        <v>64</v>
      </c>
      <c r="AN1743">
        <v>1.1000000000000001</v>
      </c>
      <c r="AO1743">
        <v>2.09</v>
      </c>
      <c r="AP1743">
        <v>204</v>
      </c>
      <c r="AQ1743">
        <v>2</v>
      </c>
      <c r="AR1743">
        <v>4.16</v>
      </c>
      <c r="AS1743">
        <v>66</v>
      </c>
      <c r="AT1743">
        <v>2</v>
      </c>
      <c r="AU1743">
        <v>87</v>
      </c>
      <c r="AV1743">
        <v>-4.3099999999999996</v>
      </c>
      <c r="AW1743">
        <v>96</v>
      </c>
      <c r="AX1743">
        <v>0.37</v>
      </c>
      <c r="AY1743">
        <v>79</v>
      </c>
      <c r="AZ1743">
        <v>5.85</v>
      </c>
      <c r="BA1743">
        <v>61</v>
      </c>
      <c r="BB1743">
        <v>4.97</v>
      </c>
      <c r="BC1743">
        <v>63</v>
      </c>
      <c r="BD1743">
        <v>0.01</v>
      </c>
      <c r="BE1743">
        <v>0</v>
      </c>
      <c r="BF1743">
        <v>7.0000000000000007E-2</v>
      </c>
      <c r="BG1743">
        <v>86</v>
      </c>
      <c r="BH1743">
        <v>0.09</v>
      </c>
      <c r="BI1743">
        <v>-6.26</v>
      </c>
      <c r="BJ1743">
        <v>2</v>
      </c>
      <c r="BK1743">
        <v>2</v>
      </c>
      <c r="BL1743">
        <v>-1.61</v>
      </c>
      <c r="BM1743">
        <v>0.59</v>
      </c>
      <c r="BN1743">
        <v>-1.29</v>
      </c>
      <c r="BO1743">
        <v>-1.36</v>
      </c>
      <c r="BP1743">
        <v>0.44</v>
      </c>
      <c r="BQ1743">
        <v>-0.56000000000000005</v>
      </c>
      <c r="BR1743">
        <v>0.31</v>
      </c>
      <c r="BS1743">
        <v>-1.01</v>
      </c>
      <c r="BT1743">
        <v>-0.4</v>
      </c>
      <c r="BU1743">
        <v>-0.28000000000000003</v>
      </c>
      <c r="BV1743">
        <v>-1.22</v>
      </c>
      <c r="BW1743">
        <v>-1.1200000000000001</v>
      </c>
      <c r="BX1743">
        <v>-1.08</v>
      </c>
      <c r="BY1743">
        <v>-0.76</v>
      </c>
      <c r="BZ1743">
        <v>0.92</v>
      </c>
      <c r="CA1743">
        <v>-1.1000000000000001</v>
      </c>
      <c r="CB1743">
        <v>-1.04</v>
      </c>
      <c r="CC1743">
        <v>-1.1200000000000001</v>
      </c>
      <c r="CD1743">
        <v>0.45</v>
      </c>
      <c r="CE1743">
        <v>-0.8</v>
      </c>
      <c r="CF1743">
        <v>-1.03</v>
      </c>
      <c r="CG1743">
        <v>0</v>
      </c>
      <c r="CH1743">
        <v>-0.9</v>
      </c>
      <c r="CI1743">
        <v>0</v>
      </c>
      <c r="CJ1743">
        <v>-6.2</v>
      </c>
      <c r="CK1743">
        <v>94</v>
      </c>
      <c r="CL1743">
        <v>-0.59</v>
      </c>
      <c r="CM1743">
        <v>93</v>
      </c>
      <c r="CN1743">
        <v>-0.36</v>
      </c>
      <c r="CO1743">
        <v>92</v>
      </c>
      <c r="CP1743">
        <v>-13.6</v>
      </c>
      <c r="CQ1743">
        <v>84</v>
      </c>
      <c r="CR1743">
        <v>0</v>
      </c>
      <c r="CS1743">
        <v>0</v>
      </c>
      <c r="CT1743">
        <v>-17.600000000000001</v>
      </c>
      <c r="CU1743">
        <v>85</v>
      </c>
      <c r="CV1743">
        <v>-0.03</v>
      </c>
      <c r="CW1743">
        <v>45</v>
      </c>
      <c r="CX1743" t="s">
        <v>4796</v>
      </c>
    </row>
    <row r="1744" spans="1:102" x14ac:dyDescent="0.3">
      <c r="A1744" t="str">
        <f>HYPERLINK("https://webapp.icbf.com/v2/app/bull-search/view/586059154","S708")</f>
        <v>S708</v>
      </c>
      <c r="B1744" t="s">
        <v>8928</v>
      </c>
      <c r="C1744" t="s">
        <v>8929</v>
      </c>
      <c r="D1744" s="1">
        <v>38883</v>
      </c>
      <c r="E1744" t="s">
        <v>92</v>
      </c>
      <c r="F1744">
        <v>100</v>
      </c>
      <c r="G1744" t="s">
        <v>109</v>
      </c>
      <c r="H1744">
        <v>89.23</v>
      </c>
      <c r="I1744">
        <v>79</v>
      </c>
      <c r="J1744">
        <v>60.41</v>
      </c>
      <c r="K1744">
        <v>90</v>
      </c>
      <c r="L1744">
        <v>-9.91</v>
      </c>
      <c r="M1744">
        <v>75</v>
      </c>
      <c r="N1744">
        <v>36.32</v>
      </c>
      <c r="O1744">
        <v>74</v>
      </c>
      <c r="P1744">
        <v>-30.74</v>
      </c>
      <c r="Q1744">
        <v>77</v>
      </c>
      <c r="R1744">
        <v>-6.06</v>
      </c>
      <c r="S1744">
        <v>69</v>
      </c>
      <c r="T1744">
        <v>27.96</v>
      </c>
      <c r="U1744">
        <v>75</v>
      </c>
      <c r="V1744">
        <v>11.25</v>
      </c>
      <c r="W1744">
        <v>65</v>
      </c>
      <c r="X1744" t="s">
        <v>94</v>
      </c>
      <c r="Y1744" t="s">
        <v>1494</v>
      </c>
      <c r="Z1744" t="s">
        <v>96</v>
      </c>
      <c r="AA1744" t="s">
        <v>320</v>
      </c>
      <c r="AB1744" t="s">
        <v>8930</v>
      </c>
      <c r="AC1744">
        <v>0</v>
      </c>
      <c r="AD1744">
        <v>0</v>
      </c>
      <c r="AE1744">
        <v>90</v>
      </c>
      <c r="AF1744">
        <v>158.86000000000001</v>
      </c>
      <c r="AG1744">
        <v>13.5</v>
      </c>
      <c r="AH1744">
        <v>7.93</v>
      </c>
      <c r="AI1744">
        <v>0.12</v>
      </c>
      <c r="AJ1744">
        <v>0.04</v>
      </c>
      <c r="AK1744">
        <v>75</v>
      </c>
      <c r="AL1744">
        <v>20</v>
      </c>
      <c r="AM1744">
        <v>10</v>
      </c>
      <c r="AN1744">
        <v>0.59</v>
      </c>
      <c r="AO1744">
        <v>-0.2</v>
      </c>
      <c r="AP1744">
        <v>68</v>
      </c>
      <c r="AQ1744">
        <v>0</v>
      </c>
      <c r="AR1744">
        <v>6.84</v>
      </c>
      <c r="AS1744">
        <v>61</v>
      </c>
      <c r="AT1744">
        <v>2.15</v>
      </c>
      <c r="AU1744">
        <v>75</v>
      </c>
      <c r="AV1744">
        <v>-3.23</v>
      </c>
      <c r="AW1744">
        <v>90</v>
      </c>
      <c r="AX1744">
        <v>-0.46</v>
      </c>
      <c r="AY1744">
        <v>65</v>
      </c>
      <c r="AZ1744">
        <v>6.6</v>
      </c>
      <c r="BA1744">
        <v>40</v>
      </c>
      <c r="BB1744">
        <v>4.9800000000000004</v>
      </c>
      <c r="BC1744">
        <v>43</v>
      </c>
      <c r="BD1744">
        <v>0.02</v>
      </c>
      <c r="BE1744">
        <v>0.04</v>
      </c>
      <c r="BF1744">
        <v>0.03</v>
      </c>
      <c r="BG1744">
        <v>83</v>
      </c>
      <c r="BH1744">
        <v>0.08</v>
      </c>
      <c r="BI1744">
        <v>-27.05</v>
      </c>
      <c r="BJ1744">
        <v>0</v>
      </c>
      <c r="BK1744">
        <v>0</v>
      </c>
      <c r="BL1744">
        <v>-1.58</v>
      </c>
      <c r="BM1744">
        <v>0.88</v>
      </c>
      <c r="BN1744">
        <v>-0.43</v>
      </c>
      <c r="BO1744">
        <v>-0.66</v>
      </c>
      <c r="BP1744">
        <v>-0.39</v>
      </c>
      <c r="BQ1744">
        <v>0.02</v>
      </c>
      <c r="BR1744">
        <v>1.89</v>
      </c>
      <c r="BS1744">
        <v>-0.33</v>
      </c>
      <c r="BT1744">
        <v>-2.02</v>
      </c>
      <c r="BU1744">
        <v>-0.73</v>
      </c>
      <c r="BV1744">
        <v>-1.07</v>
      </c>
      <c r="BW1744">
        <v>-1.33</v>
      </c>
      <c r="BX1744">
        <v>-1.3</v>
      </c>
      <c r="BY1744">
        <v>0.48</v>
      </c>
      <c r="BZ1744">
        <v>0.75</v>
      </c>
      <c r="CA1744">
        <v>-1.1499999999999999</v>
      </c>
      <c r="CB1744">
        <v>-1.04</v>
      </c>
      <c r="CC1744">
        <v>-0.91</v>
      </c>
      <c r="CD1744">
        <v>0.13</v>
      </c>
      <c r="CE1744">
        <v>0.04</v>
      </c>
      <c r="CF1744">
        <v>-0.3</v>
      </c>
      <c r="CG1744">
        <v>0</v>
      </c>
      <c r="CH1744">
        <v>-0.17</v>
      </c>
      <c r="CI1744">
        <v>0</v>
      </c>
      <c r="CJ1744">
        <v>-15.9</v>
      </c>
      <c r="CK1744">
        <v>79</v>
      </c>
      <c r="CL1744">
        <v>-0.8</v>
      </c>
      <c r="CM1744">
        <v>74</v>
      </c>
      <c r="CN1744">
        <v>-0.22</v>
      </c>
      <c r="CO1744">
        <v>72</v>
      </c>
      <c r="CP1744">
        <v>-20.8</v>
      </c>
      <c r="CQ1744">
        <v>74</v>
      </c>
      <c r="CR1744">
        <v>0</v>
      </c>
      <c r="CS1744">
        <v>0</v>
      </c>
      <c r="CT1744">
        <v>-24</v>
      </c>
      <c r="CU1744">
        <v>75</v>
      </c>
      <c r="CV1744">
        <v>-0.1</v>
      </c>
      <c r="CW1744">
        <v>41</v>
      </c>
      <c r="CX1744" t="s">
        <v>8931</v>
      </c>
    </row>
    <row r="1745" spans="1:102" x14ac:dyDescent="0.3">
      <c r="A1745" t="str">
        <f>HYPERLINK("https://webapp.icbf.com/v2/app/bull-search/view/946905898","YPK")</f>
        <v>YPK</v>
      </c>
      <c r="B1745" t="s">
        <v>15331</v>
      </c>
      <c r="C1745" t="s">
        <v>15332</v>
      </c>
      <c r="D1745" s="1">
        <v>40931</v>
      </c>
      <c r="E1745" t="s">
        <v>92</v>
      </c>
      <c r="F1745">
        <v>72</v>
      </c>
      <c r="G1745" t="s">
        <v>93</v>
      </c>
      <c r="H1745">
        <v>89.21</v>
      </c>
      <c r="I1745">
        <v>85</v>
      </c>
      <c r="J1745">
        <v>37.33</v>
      </c>
      <c r="K1745">
        <v>97</v>
      </c>
      <c r="L1745">
        <v>46.54</v>
      </c>
      <c r="M1745">
        <v>76</v>
      </c>
      <c r="N1745">
        <v>16.13</v>
      </c>
      <c r="O1745">
        <v>84</v>
      </c>
      <c r="P1745">
        <v>-6.42</v>
      </c>
      <c r="Q1745">
        <v>91</v>
      </c>
      <c r="R1745">
        <v>-11.71</v>
      </c>
      <c r="S1745">
        <v>78</v>
      </c>
      <c r="T1745">
        <v>3.17</v>
      </c>
      <c r="U1745">
        <v>84</v>
      </c>
      <c r="V1745">
        <v>4.17</v>
      </c>
      <c r="W1745">
        <v>72</v>
      </c>
      <c r="X1745" t="s">
        <v>94</v>
      </c>
      <c r="Y1745" t="s">
        <v>1976</v>
      </c>
      <c r="Z1745" t="s">
        <v>96</v>
      </c>
      <c r="AA1745" t="s">
        <v>3085</v>
      </c>
      <c r="AB1745" t="s">
        <v>15333</v>
      </c>
      <c r="AC1745">
        <v>103</v>
      </c>
      <c r="AD1745">
        <v>72</v>
      </c>
      <c r="AE1745">
        <v>97</v>
      </c>
      <c r="AF1745">
        <v>-155.81</v>
      </c>
      <c r="AG1745">
        <v>5.27</v>
      </c>
      <c r="AH1745">
        <v>2.1</v>
      </c>
      <c r="AI1745">
        <v>0.2</v>
      </c>
      <c r="AJ1745">
        <v>0.13</v>
      </c>
      <c r="AK1745">
        <v>76</v>
      </c>
      <c r="AL1745">
        <v>96</v>
      </c>
      <c r="AM1745">
        <v>72</v>
      </c>
      <c r="AN1745">
        <v>-1.9</v>
      </c>
      <c r="AO1745">
        <v>1.82</v>
      </c>
      <c r="AP1745">
        <v>252</v>
      </c>
      <c r="AQ1745">
        <v>1</v>
      </c>
      <c r="AR1745">
        <v>8.0299999999999994</v>
      </c>
      <c r="AS1745">
        <v>71</v>
      </c>
      <c r="AT1745">
        <v>2.9</v>
      </c>
      <c r="AU1745">
        <v>88</v>
      </c>
      <c r="AV1745">
        <v>-3.49</v>
      </c>
      <c r="AW1745">
        <v>96</v>
      </c>
      <c r="AX1745">
        <v>1.26</v>
      </c>
      <c r="AY1745">
        <v>81</v>
      </c>
      <c r="AZ1745">
        <v>9.57</v>
      </c>
      <c r="BA1745">
        <v>64</v>
      </c>
      <c r="BB1745">
        <v>5.74</v>
      </c>
      <c r="BC1745">
        <v>58</v>
      </c>
      <c r="BD1745">
        <v>-0.01</v>
      </c>
      <c r="BE1745">
        <v>0.04</v>
      </c>
      <c r="BF1745">
        <v>0.21</v>
      </c>
      <c r="BG1745">
        <v>88</v>
      </c>
      <c r="BH1745">
        <v>-0.02</v>
      </c>
      <c r="BI1745">
        <v>-15.75</v>
      </c>
      <c r="BJ1745">
        <v>4</v>
      </c>
      <c r="BK1745">
        <v>3</v>
      </c>
      <c r="BL1745">
        <v>-0.88</v>
      </c>
      <c r="BM1745">
        <v>-0.02</v>
      </c>
      <c r="BN1745">
        <v>-0.76</v>
      </c>
      <c r="BO1745">
        <v>-0.51</v>
      </c>
      <c r="BP1745">
        <v>2.87</v>
      </c>
      <c r="BQ1745">
        <v>-1.92</v>
      </c>
      <c r="BR1745">
        <v>1.76</v>
      </c>
      <c r="BS1745">
        <v>-0.2</v>
      </c>
      <c r="BT1745">
        <v>-1.37</v>
      </c>
      <c r="BU1745">
        <v>0.15</v>
      </c>
      <c r="BV1745">
        <v>-0.59</v>
      </c>
      <c r="BW1745">
        <v>-0.02</v>
      </c>
      <c r="BX1745">
        <v>-0.43</v>
      </c>
      <c r="BY1745">
        <v>1.32</v>
      </c>
      <c r="BZ1745">
        <v>-2.95</v>
      </c>
      <c r="CA1745">
        <v>-0.39</v>
      </c>
      <c r="CB1745">
        <v>-0.32</v>
      </c>
      <c r="CC1745">
        <v>-0.37</v>
      </c>
      <c r="CD1745">
        <v>0.28000000000000003</v>
      </c>
      <c r="CE1745">
        <v>-0.27</v>
      </c>
      <c r="CF1745">
        <v>-0.82</v>
      </c>
      <c r="CG1745">
        <v>0</v>
      </c>
      <c r="CH1745">
        <v>1.4</v>
      </c>
      <c r="CI1745">
        <v>0</v>
      </c>
      <c r="CJ1745">
        <v>-2.6</v>
      </c>
      <c r="CK1745">
        <v>93</v>
      </c>
      <c r="CL1745">
        <v>-0.55000000000000004</v>
      </c>
      <c r="CM1745">
        <v>91</v>
      </c>
      <c r="CN1745">
        <v>-0.23</v>
      </c>
      <c r="CO1745">
        <v>90</v>
      </c>
      <c r="CP1745">
        <v>1</v>
      </c>
      <c r="CQ1745">
        <v>79</v>
      </c>
      <c r="CR1745">
        <v>0</v>
      </c>
      <c r="CS1745">
        <v>0</v>
      </c>
      <c r="CT1745">
        <v>9.5</v>
      </c>
      <c r="CU1745">
        <v>84</v>
      </c>
      <c r="CV1745">
        <v>0.05</v>
      </c>
      <c r="CW1745">
        <v>45</v>
      </c>
      <c r="CX1745" t="s">
        <v>792</v>
      </c>
    </row>
    <row r="1746" spans="1:102" x14ac:dyDescent="0.3">
      <c r="A1746" t="str">
        <f>HYPERLINK("https://webapp.icbf.com/v2/app/bull-search/view/69092848","ULT")</f>
        <v>ULT</v>
      </c>
      <c r="B1746" t="s">
        <v>4391</v>
      </c>
      <c r="C1746" t="s">
        <v>4392</v>
      </c>
      <c r="D1746" s="1">
        <v>33659</v>
      </c>
      <c r="E1746" t="s">
        <v>227</v>
      </c>
      <c r="F1746">
        <v>0</v>
      </c>
      <c r="G1746" t="s">
        <v>109</v>
      </c>
      <c r="H1746">
        <v>89.16</v>
      </c>
      <c r="I1746">
        <v>70</v>
      </c>
      <c r="J1746">
        <v>-3.47</v>
      </c>
      <c r="K1746">
        <v>86</v>
      </c>
      <c r="L1746">
        <v>48.38</v>
      </c>
      <c r="M1746">
        <v>73</v>
      </c>
      <c r="N1746">
        <v>33.61</v>
      </c>
      <c r="O1746">
        <v>52</v>
      </c>
      <c r="P1746">
        <v>-63.15</v>
      </c>
      <c r="Q1746">
        <v>57</v>
      </c>
      <c r="R1746">
        <v>2.3199999999999998</v>
      </c>
      <c r="S1746">
        <v>47</v>
      </c>
      <c r="T1746">
        <v>75.91</v>
      </c>
      <c r="U1746">
        <v>52</v>
      </c>
      <c r="V1746">
        <v>-4.4400000000000004</v>
      </c>
      <c r="W1746">
        <v>43</v>
      </c>
      <c r="X1746" t="s">
        <v>94</v>
      </c>
      <c r="Y1746" t="s">
        <v>95</v>
      </c>
      <c r="Z1746">
        <v>0</v>
      </c>
      <c r="AA1746" t="s">
        <v>533</v>
      </c>
      <c r="AB1746" t="s">
        <v>4393</v>
      </c>
      <c r="AC1746">
        <v>0</v>
      </c>
      <c r="AD1746">
        <v>0</v>
      </c>
      <c r="AE1746">
        <v>86</v>
      </c>
      <c r="AF1746">
        <v>-322.18</v>
      </c>
      <c r="AG1746">
        <v>0.87</v>
      </c>
      <c r="AH1746">
        <v>-5.83</v>
      </c>
      <c r="AI1746">
        <v>0.24</v>
      </c>
      <c r="AJ1746">
        <v>0.09</v>
      </c>
      <c r="AK1746">
        <v>73</v>
      </c>
      <c r="AL1746">
        <v>0</v>
      </c>
      <c r="AM1746">
        <v>0</v>
      </c>
      <c r="AN1746">
        <v>-0.92</v>
      </c>
      <c r="AO1746">
        <v>2.96</v>
      </c>
      <c r="AP1746">
        <v>23</v>
      </c>
      <c r="AQ1746">
        <v>1</v>
      </c>
      <c r="AR1746">
        <v>2.12</v>
      </c>
      <c r="AS1746">
        <v>26</v>
      </c>
      <c r="AT1746">
        <v>1.33</v>
      </c>
      <c r="AU1746">
        <v>49</v>
      </c>
      <c r="AV1746">
        <v>-1.72</v>
      </c>
      <c r="AW1746">
        <v>66</v>
      </c>
      <c r="AX1746">
        <v>2.11</v>
      </c>
      <c r="AY1746">
        <v>50</v>
      </c>
      <c r="AZ1746">
        <v>5.82</v>
      </c>
      <c r="BA1746">
        <v>22</v>
      </c>
      <c r="BB1746">
        <v>4.58</v>
      </c>
      <c r="BC1746">
        <v>35</v>
      </c>
      <c r="BD1746">
        <v>-0.02</v>
      </c>
      <c r="BE1746">
        <v>0</v>
      </c>
      <c r="BF1746">
        <v>-0.02</v>
      </c>
      <c r="BG1746">
        <v>56</v>
      </c>
      <c r="BH1746">
        <v>-0.13</v>
      </c>
      <c r="BI1746">
        <v>-0.72</v>
      </c>
      <c r="BJ1746">
        <v>0</v>
      </c>
      <c r="BK1746">
        <v>0</v>
      </c>
      <c r="BL1746">
        <v>-0.72</v>
      </c>
      <c r="BM1746">
        <v>-1.02</v>
      </c>
      <c r="BN1746">
        <v>0.64</v>
      </c>
      <c r="BO1746">
        <v>1.72</v>
      </c>
      <c r="BP1746">
        <v>-0.03</v>
      </c>
      <c r="BQ1746">
        <v>-4.3899999999999997</v>
      </c>
      <c r="BR1746">
        <v>2.85</v>
      </c>
      <c r="BS1746">
        <v>6.32</v>
      </c>
      <c r="BT1746">
        <v>-1.27</v>
      </c>
      <c r="BU1746">
        <v>1.26</v>
      </c>
      <c r="BV1746">
        <v>1.19</v>
      </c>
      <c r="BW1746">
        <v>-1.0900000000000001</v>
      </c>
      <c r="BX1746">
        <v>-1.94</v>
      </c>
      <c r="BY1746">
        <v>0.74</v>
      </c>
      <c r="BZ1746">
        <v>-0.65</v>
      </c>
      <c r="CA1746">
        <v>2.41</v>
      </c>
      <c r="CB1746">
        <v>1.3</v>
      </c>
      <c r="CC1746">
        <v>3.66</v>
      </c>
      <c r="CD1746">
        <v>-1.94</v>
      </c>
      <c r="CE1746">
        <v>1.74</v>
      </c>
      <c r="CF1746">
        <v>-0.32</v>
      </c>
      <c r="CG1746">
        <v>0</v>
      </c>
      <c r="CH1746">
        <v>-0.16</v>
      </c>
      <c r="CI1746">
        <v>0</v>
      </c>
      <c r="CJ1746">
        <v>-35.299999999999997</v>
      </c>
      <c r="CK1746">
        <v>59</v>
      </c>
      <c r="CL1746">
        <v>-1.1299999999999999</v>
      </c>
      <c r="CM1746">
        <v>54</v>
      </c>
      <c r="CN1746">
        <v>-0.51</v>
      </c>
      <c r="CO1746">
        <v>49</v>
      </c>
      <c r="CP1746">
        <v>-58.3</v>
      </c>
      <c r="CQ1746">
        <v>63</v>
      </c>
      <c r="CR1746">
        <v>0</v>
      </c>
      <c r="CS1746">
        <v>0</v>
      </c>
      <c r="CT1746">
        <v>-88.8</v>
      </c>
      <c r="CU1746">
        <v>52</v>
      </c>
      <c r="CV1746">
        <v>-0.42</v>
      </c>
      <c r="CW1746">
        <v>15</v>
      </c>
      <c r="CX1746" t="s">
        <v>4394</v>
      </c>
    </row>
    <row r="1747" spans="1:102" x14ac:dyDescent="0.3">
      <c r="A1747" t="str">
        <f>HYPERLINK("https://webapp.icbf.com/v2/app/bull-search/view/495514924","MUA")</f>
        <v>MUA</v>
      </c>
      <c r="B1747" t="s">
        <v>12284</v>
      </c>
      <c r="C1747" t="s">
        <v>12285</v>
      </c>
      <c r="D1747" s="1">
        <v>37301</v>
      </c>
      <c r="E1747" t="s">
        <v>92</v>
      </c>
      <c r="F1747">
        <v>100</v>
      </c>
      <c r="G1747" t="s">
        <v>93</v>
      </c>
      <c r="H1747">
        <v>88.99</v>
      </c>
      <c r="I1747">
        <v>90</v>
      </c>
      <c r="J1747">
        <v>43.92</v>
      </c>
      <c r="K1747">
        <v>96</v>
      </c>
      <c r="L1747">
        <v>2.58</v>
      </c>
      <c r="M1747">
        <v>89</v>
      </c>
      <c r="N1747">
        <v>36.299999999999997</v>
      </c>
      <c r="O1747">
        <v>86</v>
      </c>
      <c r="P1747">
        <v>-13.78</v>
      </c>
      <c r="Q1747">
        <v>91</v>
      </c>
      <c r="R1747">
        <v>0.48</v>
      </c>
      <c r="S1747">
        <v>80</v>
      </c>
      <c r="T1747">
        <v>20.86</v>
      </c>
      <c r="U1747">
        <v>86</v>
      </c>
      <c r="V1747">
        <v>-1.37</v>
      </c>
      <c r="W1747">
        <v>74</v>
      </c>
      <c r="X1747" t="s">
        <v>102</v>
      </c>
      <c r="Y1747" t="s">
        <v>221</v>
      </c>
      <c r="Z1747" t="s">
        <v>96</v>
      </c>
      <c r="AA1747" t="s">
        <v>12286</v>
      </c>
      <c r="AB1747" t="s">
        <v>144</v>
      </c>
      <c r="AC1747">
        <v>72</v>
      </c>
      <c r="AD1747">
        <v>37</v>
      </c>
      <c r="AE1747">
        <v>96</v>
      </c>
      <c r="AF1747">
        <v>304.83</v>
      </c>
      <c r="AG1747">
        <v>9.74</v>
      </c>
      <c r="AH1747">
        <v>8.69</v>
      </c>
      <c r="AI1747">
        <v>-0.04</v>
      </c>
      <c r="AJ1747">
        <v>-0.03</v>
      </c>
      <c r="AK1747">
        <v>89</v>
      </c>
      <c r="AL1747">
        <v>72</v>
      </c>
      <c r="AM1747">
        <v>33</v>
      </c>
      <c r="AN1747">
        <v>0.21</v>
      </c>
      <c r="AO1747">
        <v>0.42</v>
      </c>
      <c r="AP1747">
        <v>164</v>
      </c>
      <c r="AQ1747">
        <v>2</v>
      </c>
      <c r="AR1747">
        <v>4.7300000000000004</v>
      </c>
      <c r="AS1747">
        <v>76</v>
      </c>
      <c r="AT1747">
        <v>2.1</v>
      </c>
      <c r="AU1747">
        <v>94</v>
      </c>
      <c r="AV1747">
        <v>-2.19</v>
      </c>
      <c r="AW1747">
        <v>94</v>
      </c>
      <c r="AX1747">
        <v>-0.84</v>
      </c>
      <c r="AY1747">
        <v>80</v>
      </c>
      <c r="AZ1747">
        <v>5.82</v>
      </c>
      <c r="BA1747">
        <v>62</v>
      </c>
      <c r="BB1747">
        <v>4.68</v>
      </c>
      <c r="BC1747">
        <v>61</v>
      </c>
      <c r="BD1747">
        <v>0.03</v>
      </c>
      <c r="BE1747">
        <v>0.01</v>
      </c>
      <c r="BF1747">
        <v>-0.08</v>
      </c>
      <c r="BG1747">
        <v>92</v>
      </c>
      <c r="BH1747">
        <v>-0.02</v>
      </c>
      <c r="BI1747">
        <v>2.12</v>
      </c>
      <c r="BJ1747">
        <v>9</v>
      </c>
      <c r="BK1747">
        <v>6</v>
      </c>
      <c r="BL1747">
        <v>-0.26</v>
      </c>
      <c r="BM1747">
        <v>-1.33</v>
      </c>
      <c r="BN1747">
        <v>-1.44</v>
      </c>
      <c r="BO1747">
        <v>-0.01</v>
      </c>
      <c r="BP1747">
        <v>-2.14</v>
      </c>
      <c r="BQ1747">
        <v>-0.9</v>
      </c>
      <c r="BR1747">
        <v>-0.77</v>
      </c>
      <c r="BS1747">
        <v>1.57</v>
      </c>
      <c r="BT1747">
        <v>1.05</v>
      </c>
      <c r="BU1747">
        <v>1.57</v>
      </c>
      <c r="BV1747">
        <v>0.91</v>
      </c>
      <c r="BW1747">
        <v>0.79</v>
      </c>
      <c r="BX1747">
        <v>1.17</v>
      </c>
      <c r="BY1747">
        <v>1.45</v>
      </c>
      <c r="BZ1747">
        <v>0.98</v>
      </c>
      <c r="CA1747">
        <v>1.3</v>
      </c>
      <c r="CB1747">
        <v>1.22</v>
      </c>
      <c r="CC1747">
        <v>0.99</v>
      </c>
      <c r="CD1747">
        <v>-0.6</v>
      </c>
      <c r="CE1747">
        <v>0.28999999999999998</v>
      </c>
      <c r="CF1747">
        <v>-1.61</v>
      </c>
      <c r="CG1747">
        <v>0</v>
      </c>
      <c r="CH1747">
        <v>1.58</v>
      </c>
      <c r="CI1747">
        <v>0</v>
      </c>
      <c r="CJ1747">
        <v>-4.5999999999999996</v>
      </c>
      <c r="CK1747">
        <v>92</v>
      </c>
      <c r="CL1747">
        <v>-1</v>
      </c>
      <c r="CM1747">
        <v>91</v>
      </c>
      <c r="CN1747">
        <v>-0.37</v>
      </c>
      <c r="CO1747">
        <v>90</v>
      </c>
      <c r="CP1747">
        <v>-9.6</v>
      </c>
      <c r="CQ1747">
        <v>85</v>
      </c>
      <c r="CR1747">
        <v>0</v>
      </c>
      <c r="CS1747">
        <v>0</v>
      </c>
      <c r="CT1747">
        <v>-14.4</v>
      </c>
      <c r="CU1747">
        <v>86</v>
      </c>
      <c r="CV1747">
        <v>0.18</v>
      </c>
      <c r="CW1747">
        <v>44</v>
      </c>
      <c r="CX1747" t="s">
        <v>10584</v>
      </c>
    </row>
    <row r="1748" spans="1:102" x14ac:dyDescent="0.3">
      <c r="A1748" t="str">
        <f>HYPERLINK("https://webapp.icbf.com/v2/app/bull-search/view/1028271628","KKM")</f>
        <v>KKM</v>
      </c>
      <c r="B1748" t="s">
        <v>7586</v>
      </c>
      <c r="C1748" t="s">
        <v>7587</v>
      </c>
      <c r="D1748" s="1">
        <v>40753</v>
      </c>
      <c r="E1748" t="s">
        <v>108</v>
      </c>
      <c r="F1748">
        <v>0</v>
      </c>
      <c r="G1748" t="s">
        <v>93</v>
      </c>
      <c r="H1748">
        <v>88.95</v>
      </c>
      <c r="I1748">
        <v>93</v>
      </c>
      <c r="J1748">
        <v>8.49</v>
      </c>
      <c r="K1748">
        <v>99</v>
      </c>
      <c r="L1748">
        <v>43.55</v>
      </c>
      <c r="M1748">
        <v>87</v>
      </c>
      <c r="N1748">
        <v>42.78</v>
      </c>
      <c r="O1748">
        <v>96</v>
      </c>
      <c r="P1748">
        <v>-15.76</v>
      </c>
      <c r="Q1748">
        <v>99</v>
      </c>
      <c r="R1748">
        <v>-7.55</v>
      </c>
      <c r="S1748">
        <v>85</v>
      </c>
      <c r="T1748">
        <v>13.16</v>
      </c>
      <c r="U1748">
        <v>95</v>
      </c>
      <c r="V1748">
        <v>4.28</v>
      </c>
      <c r="W1748">
        <v>77</v>
      </c>
      <c r="X1748" t="s">
        <v>102</v>
      </c>
      <c r="Y1748" t="s">
        <v>5587</v>
      </c>
      <c r="Z1748" t="s">
        <v>96</v>
      </c>
      <c r="AA1748" t="s">
        <v>5082</v>
      </c>
      <c r="AB1748" t="s">
        <v>7588</v>
      </c>
      <c r="AC1748">
        <v>710</v>
      </c>
      <c r="AD1748">
        <v>199</v>
      </c>
      <c r="AE1748">
        <v>99</v>
      </c>
      <c r="AF1748">
        <v>133.63</v>
      </c>
      <c r="AG1748">
        <v>0.59</v>
      </c>
      <c r="AH1748">
        <v>3.28</v>
      </c>
      <c r="AI1748">
        <v>-0.08</v>
      </c>
      <c r="AJ1748">
        <v>-0.02</v>
      </c>
      <c r="AK1748">
        <v>87</v>
      </c>
      <c r="AL1748">
        <v>991</v>
      </c>
      <c r="AM1748">
        <v>357</v>
      </c>
      <c r="AN1748">
        <v>-2.61</v>
      </c>
      <c r="AO1748">
        <v>0.86</v>
      </c>
      <c r="AP1748">
        <v>3953</v>
      </c>
      <c r="AQ1748">
        <v>19</v>
      </c>
      <c r="AR1748">
        <v>7.26</v>
      </c>
      <c r="AS1748">
        <v>98</v>
      </c>
      <c r="AT1748">
        <v>2.15</v>
      </c>
      <c r="AU1748">
        <v>99</v>
      </c>
      <c r="AV1748">
        <v>-3.89</v>
      </c>
      <c r="AW1748">
        <v>99</v>
      </c>
      <c r="AX1748">
        <v>-0.47</v>
      </c>
      <c r="AY1748">
        <v>99</v>
      </c>
      <c r="AZ1748">
        <v>5.23</v>
      </c>
      <c r="BA1748">
        <v>92</v>
      </c>
      <c r="BB1748">
        <v>4.95</v>
      </c>
      <c r="BC1748">
        <v>81</v>
      </c>
      <c r="BD1748">
        <v>0.01</v>
      </c>
      <c r="BE1748">
        <v>0.03</v>
      </c>
      <c r="BF1748">
        <v>0.1</v>
      </c>
      <c r="BG1748">
        <v>97</v>
      </c>
      <c r="BH1748">
        <v>-0.03</v>
      </c>
      <c r="BI1748">
        <v>-17.29</v>
      </c>
      <c r="BJ1748">
        <v>13</v>
      </c>
      <c r="BK1748">
        <v>9</v>
      </c>
      <c r="BL1748">
        <v>-3.54</v>
      </c>
      <c r="BM1748">
        <v>1.96</v>
      </c>
      <c r="BN1748">
        <v>-3.21</v>
      </c>
      <c r="BO1748">
        <v>-3.54</v>
      </c>
      <c r="BP1748">
        <v>-0.96</v>
      </c>
      <c r="BQ1748">
        <v>1.02</v>
      </c>
      <c r="BR1748">
        <v>-2.25</v>
      </c>
      <c r="BS1748">
        <v>0.73</v>
      </c>
      <c r="BT1748">
        <v>1.3</v>
      </c>
      <c r="BU1748">
        <v>-1.9</v>
      </c>
      <c r="BV1748">
        <v>-1.89</v>
      </c>
      <c r="BW1748">
        <v>-1.83</v>
      </c>
      <c r="BX1748">
        <v>-1.04</v>
      </c>
      <c r="BY1748">
        <v>-1.48</v>
      </c>
      <c r="BZ1748">
        <v>-1.07</v>
      </c>
      <c r="CA1748">
        <v>-1.34</v>
      </c>
      <c r="CB1748">
        <v>-1.94</v>
      </c>
      <c r="CC1748">
        <v>0.41</v>
      </c>
      <c r="CD1748">
        <v>3.03</v>
      </c>
      <c r="CE1748">
        <v>-2.71</v>
      </c>
      <c r="CF1748">
        <v>-1.87</v>
      </c>
      <c r="CG1748">
        <v>0</v>
      </c>
      <c r="CH1748">
        <v>-0.69</v>
      </c>
      <c r="CI1748">
        <v>0</v>
      </c>
      <c r="CJ1748">
        <v>-6.3</v>
      </c>
      <c r="CK1748">
        <v>99</v>
      </c>
      <c r="CL1748">
        <v>-0.11</v>
      </c>
      <c r="CM1748">
        <v>99</v>
      </c>
      <c r="CN1748">
        <v>0.41</v>
      </c>
      <c r="CO1748">
        <v>99</v>
      </c>
      <c r="CP1748">
        <v>-7.5</v>
      </c>
      <c r="CQ1748">
        <v>95</v>
      </c>
      <c r="CR1748">
        <v>0</v>
      </c>
      <c r="CS1748">
        <v>0</v>
      </c>
      <c r="CT1748">
        <v>-4</v>
      </c>
      <c r="CU1748">
        <v>95</v>
      </c>
      <c r="CV1748">
        <v>0.05</v>
      </c>
      <c r="CW1748">
        <v>46</v>
      </c>
      <c r="CX1748" t="s">
        <v>2905</v>
      </c>
    </row>
    <row r="1749" spans="1:102" x14ac:dyDescent="0.3">
      <c r="A1749" t="str">
        <f>HYPERLINK("https://webapp.icbf.com/v2/app/bull-search/view/379835605","RMW")</f>
        <v>RMW</v>
      </c>
      <c r="B1749" t="s">
        <v>6486</v>
      </c>
      <c r="C1749" t="s">
        <v>6487</v>
      </c>
      <c r="D1749" s="1">
        <v>36355</v>
      </c>
      <c r="E1749" t="s">
        <v>92</v>
      </c>
      <c r="F1749">
        <v>50</v>
      </c>
      <c r="G1749" t="s">
        <v>93</v>
      </c>
      <c r="H1749">
        <v>88.92</v>
      </c>
      <c r="I1749">
        <v>97</v>
      </c>
      <c r="J1749">
        <v>52.62</v>
      </c>
      <c r="K1749">
        <v>99</v>
      </c>
      <c r="L1749">
        <v>11.54</v>
      </c>
      <c r="M1749">
        <v>94</v>
      </c>
      <c r="N1749">
        <v>25.99</v>
      </c>
      <c r="O1749">
        <v>98</v>
      </c>
      <c r="P1749">
        <v>-13.26</v>
      </c>
      <c r="Q1749">
        <v>99</v>
      </c>
      <c r="R1749">
        <v>-4.3099999999999996</v>
      </c>
      <c r="S1749">
        <v>97</v>
      </c>
      <c r="T1749">
        <v>12.57</v>
      </c>
      <c r="U1749">
        <v>99</v>
      </c>
      <c r="V1749">
        <v>3.77</v>
      </c>
      <c r="W1749">
        <v>99</v>
      </c>
      <c r="X1749" t="s">
        <v>302</v>
      </c>
      <c r="Y1749" t="s">
        <v>95</v>
      </c>
      <c r="Z1749" t="s">
        <v>330</v>
      </c>
      <c r="AA1749" t="s">
        <v>1663</v>
      </c>
      <c r="AB1749" t="s">
        <v>6488</v>
      </c>
      <c r="AC1749">
        <v>1435</v>
      </c>
      <c r="AD1749">
        <v>424</v>
      </c>
      <c r="AE1749">
        <v>99</v>
      </c>
      <c r="AF1749">
        <v>270.83</v>
      </c>
      <c r="AG1749">
        <v>9.5399999999999991</v>
      </c>
      <c r="AH1749">
        <v>9.7200000000000006</v>
      </c>
      <c r="AI1749">
        <v>-0.02</v>
      </c>
      <c r="AJ1749">
        <v>0.01</v>
      </c>
      <c r="AK1749">
        <v>94</v>
      </c>
      <c r="AL1749">
        <v>1425</v>
      </c>
      <c r="AM1749">
        <v>430</v>
      </c>
      <c r="AN1749">
        <v>-0.68</v>
      </c>
      <c r="AO1749">
        <v>0.24</v>
      </c>
      <c r="AP1749">
        <v>2211</v>
      </c>
      <c r="AQ1749">
        <v>30</v>
      </c>
      <c r="AR1749">
        <v>6.31</v>
      </c>
      <c r="AS1749">
        <v>96</v>
      </c>
      <c r="AT1749">
        <v>2.33</v>
      </c>
      <c r="AU1749">
        <v>98</v>
      </c>
      <c r="AV1749">
        <v>-2.42</v>
      </c>
      <c r="AW1749">
        <v>99</v>
      </c>
      <c r="AX1749">
        <v>-0.54</v>
      </c>
      <c r="AY1749">
        <v>98</v>
      </c>
      <c r="AZ1749">
        <v>6.61</v>
      </c>
      <c r="BA1749">
        <v>95</v>
      </c>
      <c r="BB1749">
        <v>5.73</v>
      </c>
      <c r="BC1749">
        <v>96</v>
      </c>
      <c r="BD1749">
        <v>-0.03</v>
      </c>
      <c r="BE1749">
        <v>0.01</v>
      </c>
      <c r="BF1749">
        <v>0.13</v>
      </c>
      <c r="BG1749">
        <v>99</v>
      </c>
      <c r="BH1749">
        <v>-0.03</v>
      </c>
      <c r="BI1749">
        <v>-15.64</v>
      </c>
      <c r="BJ1749">
        <v>24</v>
      </c>
      <c r="BK1749">
        <v>14</v>
      </c>
      <c r="BL1749">
        <v>-1.02</v>
      </c>
      <c r="BM1749">
        <v>-0.05</v>
      </c>
      <c r="BN1749">
        <v>-0.91</v>
      </c>
      <c r="BO1749">
        <v>-1.05</v>
      </c>
      <c r="BP1749">
        <v>-3.43</v>
      </c>
      <c r="BQ1749">
        <v>0.47</v>
      </c>
      <c r="BR1749">
        <v>2.4700000000000002</v>
      </c>
      <c r="BS1749">
        <v>-2.33</v>
      </c>
      <c r="BT1749">
        <v>-3.16</v>
      </c>
      <c r="BU1749">
        <v>-2.4900000000000002</v>
      </c>
      <c r="BV1749">
        <v>-3.01</v>
      </c>
      <c r="BW1749">
        <v>-2.85</v>
      </c>
      <c r="BX1749">
        <v>-2.64</v>
      </c>
      <c r="BY1749">
        <v>-3.28</v>
      </c>
      <c r="BZ1749">
        <v>-0.69</v>
      </c>
      <c r="CA1749">
        <v>-2.69</v>
      </c>
      <c r="CB1749">
        <v>-2.4300000000000002</v>
      </c>
      <c r="CC1749">
        <v>-2.2799999999999998</v>
      </c>
      <c r="CD1749">
        <v>0.1</v>
      </c>
      <c r="CE1749">
        <v>-0.69</v>
      </c>
      <c r="CF1749">
        <v>-1.84</v>
      </c>
      <c r="CG1749">
        <v>0</v>
      </c>
      <c r="CH1749">
        <v>-3.18</v>
      </c>
      <c r="CI1749">
        <v>0</v>
      </c>
      <c r="CJ1749">
        <v>-5.7</v>
      </c>
      <c r="CK1749">
        <v>99</v>
      </c>
      <c r="CL1749">
        <v>-0.56000000000000005</v>
      </c>
      <c r="CM1749">
        <v>99</v>
      </c>
      <c r="CN1749">
        <v>-0.18</v>
      </c>
      <c r="CO1749">
        <v>99</v>
      </c>
      <c r="CP1749">
        <v>-11.5</v>
      </c>
      <c r="CQ1749">
        <v>99</v>
      </c>
      <c r="CR1749">
        <v>0</v>
      </c>
      <c r="CS1749">
        <v>0</v>
      </c>
      <c r="CT1749">
        <v>-3.2</v>
      </c>
      <c r="CU1749">
        <v>99</v>
      </c>
      <c r="CV1749">
        <v>0.11</v>
      </c>
      <c r="CW1749">
        <v>48</v>
      </c>
      <c r="CX1749" t="s">
        <v>4480</v>
      </c>
    </row>
    <row r="1750" spans="1:102" x14ac:dyDescent="0.3">
      <c r="A1750" t="str">
        <f>HYPERLINK("https://webapp.icbf.com/v2/app/bull-search/view/404010358","MUD")</f>
        <v>MUD</v>
      </c>
      <c r="B1750" t="s">
        <v>4336</v>
      </c>
      <c r="C1750" t="s">
        <v>4337</v>
      </c>
      <c r="D1750" s="1">
        <v>38448</v>
      </c>
      <c r="E1750" t="s">
        <v>92</v>
      </c>
      <c r="F1750">
        <v>94</v>
      </c>
      <c r="G1750" t="s">
        <v>93</v>
      </c>
      <c r="H1750">
        <v>88.79</v>
      </c>
      <c r="I1750">
        <v>90</v>
      </c>
      <c r="J1750">
        <v>9.17</v>
      </c>
      <c r="K1750">
        <v>98</v>
      </c>
      <c r="L1750">
        <v>50.76</v>
      </c>
      <c r="M1750">
        <v>81</v>
      </c>
      <c r="N1750">
        <v>23.5</v>
      </c>
      <c r="O1750">
        <v>89</v>
      </c>
      <c r="P1750">
        <v>-8.7100000000000009</v>
      </c>
      <c r="Q1750">
        <v>94</v>
      </c>
      <c r="R1750">
        <v>-1.3</v>
      </c>
      <c r="S1750">
        <v>86</v>
      </c>
      <c r="T1750">
        <v>7.76</v>
      </c>
      <c r="U1750">
        <v>92</v>
      </c>
      <c r="V1750">
        <v>7.61</v>
      </c>
      <c r="W1750">
        <v>85</v>
      </c>
      <c r="X1750" t="s">
        <v>94</v>
      </c>
      <c r="Y1750" t="s">
        <v>1164</v>
      </c>
      <c r="Z1750" t="s">
        <v>96</v>
      </c>
      <c r="AA1750" t="s">
        <v>1165</v>
      </c>
      <c r="AB1750" t="s">
        <v>4338</v>
      </c>
      <c r="AC1750">
        <v>144</v>
      </c>
      <c r="AD1750">
        <v>94</v>
      </c>
      <c r="AE1750">
        <v>98</v>
      </c>
      <c r="AF1750">
        <v>-34.700000000000003</v>
      </c>
      <c r="AG1750">
        <v>3.36</v>
      </c>
      <c r="AH1750">
        <v>-0.16</v>
      </c>
      <c r="AI1750">
        <v>0.08</v>
      </c>
      <c r="AJ1750">
        <v>0.02</v>
      </c>
      <c r="AK1750">
        <v>81</v>
      </c>
      <c r="AL1750">
        <v>142</v>
      </c>
      <c r="AM1750">
        <v>93</v>
      </c>
      <c r="AN1750">
        <v>-4.18</v>
      </c>
      <c r="AO1750">
        <v>-0.15</v>
      </c>
      <c r="AP1750">
        <v>280</v>
      </c>
      <c r="AQ1750">
        <v>2</v>
      </c>
      <c r="AR1750">
        <v>6.4</v>
      </c>
      <c r="AS1750">
        <v>77</v>
      </c>
      <c r="AT1750">
        <v>2.56</v>
      </c>
      <c r="AU1750">
        <v>90</v>
      </c>
      <c r="AV1750">
        <v>-1.66</v>
      </c>
      <c r="AW1750">
        <v>97</v>
      </c>
      <c r="AX1750">
        <v>-0.46</v>
      </c>
      <c r="AY1750">
        <v>86</v>
      </c>
      <c r="AZ1750">
        <v>6.13</v>
      </c>
      <c r="BA1750">
        <v>71</v>
      </c>
      <c r="BB1750">
        <v>4.78</v>
      </c>
      <c r="BC1750">
        <v>74</v>
      </c>
      <c r="BD1750">
        <v>0</v>
      </c>
      <c r="BE1750">
        <v>0</v>
      </c>
      <c r="BF1750">
        <v>0.03</v>
      </c>
      <c r="BG1750">
        <v>92</v>
      </c>
      <c r="BH1750">
        <v>0.08</v>
      </c>
      <c r="BI1750">
        <v>-15.29</v>
      </c>
      <c r="BJ1750">
        <v>45</v>
      </c>
      <c r="BK1750">
        <v>34</v>
      </c>
      <c r="BL1750">
        <v>-0.26</v>
      </c>
      <c r="BM1750">
        <v>-0.79</v>
      </c>
      <c r="BN1750">
        <v>-1.43</v>
      </c>
      <c r="BO1750">
        <v>-0.71</v>
      </c>
      <c r="BP1750">
        <v>0.43</v>
      </c>
      <c r="BQ1750">
        <v>-0.28000000000000003</v>
      </c>
      <c r="BR1750">
        <v>0.18</v>
      </c>
      <c r="BS1750">
        <v>-2.2400000000000002</v>
      </c>
      <c r="BT1750">
        <v>-1.4</v>
      </c>
      <c r="BU1750">
        <v>0.74</v>
      </c>
      <c r="BV1750">
        <v>-0.7</v>
      </c>
      <c r="BW1750">
        <v>-1.1299999999999999</v>
      </c>
      <c r="BX1750">
        <v>2.0699999999999998</v>
      </c>
      <c r="BY1750">
        <v>-0.52</v>
      </c>
      <c r="BZ1750">
        <v>-2.87</v>
      </c>
      <c r="CA1750">
        <v>-0.6</v>
      </c>
      <c r="CB1750">
        <v>-0.04</v>
      </c>
      <c r="CC1750">
        <v>-1.7</v>
      </c>
      <c r="CD1750">
        <v>0.45</v>
      </c>
      <c r="CE1750">
        <v>-0.83</v>
      </c>
      <c r="CF1750">
        <v>-0.7</v>
      </c>
      <c r="CG1750">
        <v>0</v>
      </c>
      <c r="CH1750">
        <v>-0.43</v>
      </c>
      <c r="CI1750">
        <v>0</v>
      </c>
      <c r="CJ1750">
        <v>-3.9</v>
      </c>
      <c r="CK1750">
        <v>95</v>
      </c>
      <c r="CL1750">
        <v>-0.64</v>
      </c>
      <c r="CM1750">
        <v>94</v>
      </c>
      <c r="CN1750">
        <v>-0.33</v>
      </c>
      <c r="CO1750">
        <v>93</v>
      </c>
      <c r="CP1750">
        <v>-3.9</v>
      </c>
      <c r="CQ1750">
        <v>93</v>
      </c>
      <c r="CR1750">
        <v>0</v>
      </c>
      <c r="CS1750">
        <v>0</v>
      </c>
      <c r="CT1750">
        <v>3.3</v>
      </c>
      <c r="CU1750">
        <v>92</v>
      </c>
      <c r="CV1750">
        <v>0.14000000000000001</v>
      </c>
      <c r="CW1750">
        <v>47</v>
      </c>
      <c r="CX1750" t="s">
        <v>4339</v>
      </c>
    </row>
    <row r="1751" spans="1:102" x14ac:dyDescent="0.3">
      <c r="A1751" t="str">
        <f>HYPERLINK("https://webapp.icbf.com/v2/app/bull-search/view/760394067","FMD")</f>
        <v>FMD</v>
      </c>
      <c r="B1751" t="s">
        <v>1683</v>
      </c>
      <c r="C1751" t="s">
        <v>1684</v>
      </c>
      <c r="D1751" s="1">
        <v>40014</v>
      </c>
      <c r="E1751" t="s">
        <v>92</v>
      </c>
      <c r="F1751">
        <v>100</v>
      </c>
      <c r="G1751" t="s">
        <v>93</v>
      </c>
      <c r="H1751">
        <v>88.77</v>
      </c>
      <c r="I1751">
        <v>77</v>
      </c>
      <c r="J1751">
        <v>56.34</v>
      </c>
      <c r="K1751">
        <v>91</v>
      </c>
      <c r="L1751">
        <v>10.6</v>
      </c>
      <c r="M1751">
        <v>70</v>
      </c>
      <c r="N1751">
        <v>31.4</v>
      </c>
      <c r="O1751">
        <v>70</v>
      </c>
      <c r="P1751">
        <v>-21.49</v>
      </c>
      <c r="Q1751">
        <v>71</v>
      </c>
      <c r="R1751">
        <v>-4.12</v>
      </c>
      <c r="S1751">
        <v>67</v>
      </c>
      <c r="T1751">
        <v>11.46</v>
      </c>
      <c r="U1751">
        <v>71</v>
      </c>
      <c r="V1751">
        <v>4.58</v>
      </c>
      <c r="W1751">
        <v>60</v>
      </c>
      <c r="X1751" t="s">
        <v>94</v>
      </c>
      <c r="Y1751" t="s">
        <v>1685</v>
      </c>
      <c r="Z1751" t="s">
        <v>330</v>
      </c>
      <c r="AA1751" t="s">
        <v>331</v>
      </c>
      <c r="AB1751" t="s">
        <v>1686</v>
      </c>
      <c r="AC1751">
        <v>14</v>
      </c>
      <c r="AD1751">
        <v>7</v>
      </c>
      <c r="AE1751">
        <v>91</v>
      </c>
      <c r="AF1751">
        <v>158.79</v>
      </c>
      <c r="AG1751">
        <v>8.57</v>
      </c>
      <c r="AH1751">
        <v>8.98</v>
      </c>
      <c r="AI1751">
        <v>0.04</v>
      </c>
      <c r="AJ1751">
        <v>0.06</v>
      </c>
      <c r="AK1751">
        <v>70</v>
      </c>
      <c r="AL1751">
        <v>33</v>
      </c>
      <c r="AM1751">
        <v>9</v>
      </c>
      <c r="AN1751">
        <v>-1.8</v>
      </c>
      <c r="AO1751">
        <v>-0.97</v>
      </c>
      <c r="AP1751">
        <v>31</v>
      </c>
      <c r="AQ1751">
        <v>2</v>
      </c>
      <c r="AR1751">
        <v>6.43</v>
      </c>
      <c r="AS1751">
        <v>60</v>
      </c>
      <c r="AT1751">
        <v>2.42</v>
      </c>
      <c r="AU1751">
        <v>79</v>
      </c>
      <c r="AV1751">
        <v>-3.72</v>
      </c>
      <c r="AW1751">
        <v>75</v>
      </c>
      <c r="AX1751">
        <v>0.97</v>
      </c>
      <c r="AY1751">
        <v>61</v>
      </c>
      <c r="AZ1751">
        <v>7.3</v>
      </c>
      <c r="BA1751">
        <v>52</v>
      </c>
      <c r="BB1751">
        <v>5.55</v>
      </c>
      <c r="BC1751">
        <v>51</v>
      </c>
      <c r="BD1751">
        <v>-0.02</v>
      </c>
      <c r="BE1751">
        <v>0.02</v>
      </c>
      <c r="BF1751">
        <v>0.09</v>
      </c>
      <c r="BG1751">
        <v>79</v>
      </c>
      <c r="BH1751">
        <v>0.09</v>
      </c>
      <c r="BI1751">
        <v>-4.3499999999999996</v>
      </c>
      <c r="BJ1751">
        <v>0</v>
      </c>
      <c r="BK1751">
        <v>0</v>
      </c>
      <c r="BL1751">
        <v>-1.55</v>
      </c>
      <c r="BM1751">
        <v>1.28</v>
      </c>
      <c r="BN1751">
        <v>0.09</v>
      </c>
      <c r="BO1751">
        <v>-0.42</v>
      </c>
      <c r="BP1751">
        <v>-1.69</v>
      </c>
      <c r="BQ1751">
        <v>0.35</v>
      </c>
      <c r="BR1751">
        <v>1.18</v>
      </c>
      <c r="BS1751">
        <v>-0.43</v>
      </c>
      <c r="BT1751">
        <v>-7.0000000000000007E-2</v>
      </c>
      <c r="BU1751">
        <v>0.21</v>
      </c>
      <c r="BV1751">
        <v>-0.47</v>
      </c>
      <c r="BW1751">
        <v>-0.35</v>
      </c>
      <c r="BX1751">
        <v>-1.1100000000000001</v>
      </c>
      <c r="BY1751">
        <v>-0.35</v>
      </c>
      <c r="BZ1751">
        <v>0.28000000000000003</v>
      </c>
      <c r="CA1751">
        <v>-0.95</v>
      </c>
      <c r="CB1751">
        <v>-0.26</v>
      </c>
      <c r="CC1751">
        <v>-0.44</v>
      </c>
      <c r="CD1751">
        <v>0.57999999999999996</v>
      </c>
      <c r="CE1751">
        <v>-0.39</v>
      </c>
      <c r="CF1751">
        <v>-0.98</v>
      </c>
      <c r="CG1751">
        <v>0</v>
      </c>
      <c r="CH1751">
        <v>-0.05</v>
      </c>
      <c r="CI1751">
        <v>0</v>
      </c>
      <c r="CJ1751">
        <v>-8.6999999999999993</v>
      </c>
      <c r="CK1751">
        <v>73</v>
      </c>
      <c r="CL1751">
        <v>-0.81</v>
      </c>
      <c r="CM1751">
        <v>68</v>
      </c>
      <c r="CN1751">
        <v>0</v>
      </c>
      <c r="CO1751">
        <v>65</v>
      </c>
      <c r="CP1751">
        <v>-7.5</v>
      </c>
      <c r="CQ1751">
        <v>71</v>
      </c>
      <c r="CR1751">
        <v>0</v>
      </c>
      <c r="CS1751">
        <v>0</v>
      </c>
      <c r="CT1751">
        <v>-1.7</v>
      </c>
      <c r="CU1751">
        <v>71</v>
      </c>
      <c r="CV1751">
        <v>0.09</v>
      </c>
      <c r="CW1751">
        <v>41</v>
      </c>
      <c r="CX1751" t="s">
        <v>1687</v>
      </c>
    </row>
    <row r="1752" spans="1:102" x14ac:dyDescent="0.3">
      <c r="A1752" t="str">
        <f>HYPERLINK("https://webapp.icbf.com/v2/app/bull-search/view/596236967","JIS")</f>
        <v>JIS</v>
      </c>
      <c r="B1752" t="s">
        <v>14485</v>
      </c>
      <c r="C1752" t="s">
        <v>14486</v>
      </c>
      <c r="D1752" s="1">
        <v>35278</v>
      </c>
      <c r="E1752" t="s">
        <v>210</v>
      </c>
      <c r="F1752">
        <v>0</v>
      </c>
      <c r="G1752" t="s">
        <v>93</v>
      </c>
      <c r="H1752">
        <v>88.74</v>
      </c>
      <c r="I1752">
        <v>96</v>
      </c>
      <c r="J1752">
        <v>2.7</v>
      </c>
      <c r="K1752">
        <v>99</v>
      </c>
      <c r="L1752">
        <v>50.91</v>
      </c>
      <c r="M1752">
        <v>92</v>
      </c>
      <c r="N1752">
        <v>21.03</v>
      </c>
      <c r="O1752">
        <v>96</v>
      </c>
      <c r="P1752">
        <v>-10.96</v>
      </c>
      <c r="Q1752">
        <v>99</v>
      </c>
      <c r="R1752">
        <v>10.95</v>
      </c>
      <c r="S1752">
        <v>91</v>
      </c>
      <c r="T1752">
        <v>14.64</v>
      </c>
      <c r="U1752">
        <v>97</v>
      </c>
      <c r="V1752">
        <v>-0.53</v>
      </c>
      <c r="W1752">
        <v>94</v>
      </c>
      <c r="X1752" t="s">
        <v>110</v>
      </c>
      <c r="Y1752" t="s">
        <v>95</v>
      </c>
      <c r="Z1752">
        <v>0</v>
      </c>
      <c r="AA1752" t="s">
        <v>7567</v>
      </c>
      <c r="AB1752" t="s">
        <v>14487</v>
      </c>
      <c r="AC1752">
        <v>502</v>
      </c>
      <c r="AD1752">
        <v>136</v>
      </c>
      <c r="AE1752">
        <v>99</v>
      </c>
      <c r="AF1752">
        <v>-143.35</v>
      </c>
      <c r="AG1752">
        <v>-1.51</v>
      </c>
      <c r="AH1752">
        <v>-1.2</v>
      </c>
      <c r="AI1752">
        <v>7.0000000000000007E-2</v>
      </c>
      <c r="AJ1752">
        <v>0.06</v>
      </c>
      <c r="AK1752">
        <v>92</v>
      </c>
      <c r="AL1752">
        <v>508</v>
      </c>
      <c r="AM1752">
        <v>147</v>
      </c>
      <c r="AN1752">
        <v>-3.55</v>
      </c>
      <c r="AO1752">
        <v>0.5</v>
      </c>
      <c r="AP1752">
        <v>840</v>
      </c>
      <c r="AQ1752">
        <v>16</v>
      </c>
      <c r="AR1752">
        <v>7.93</v>
      </c>
      <c r="AS1752">
        <v>94</v>
      </c>
      <c r="AT1752">
        <v>2.6</v>
      </c>
      <c r="AU1752">
        <v>97</v>
      </c>
      <c r="AV1752">
        <v>-1.72</v>
      </c>
      <c r="AW1752">
        <v>99</v>
      </c>
      <c r="AX1752">
        <v>0.06</v>
      </c>
      <c r="AY1752">
        <v>95</v>
      </c>
      <c r="AZ1752">
        <v>5.14</v>
      </c>
      <c r="BA1752">
        <v>88</v>
      </c>
      <c r="BB1752">
        <v>4.5599999999999996</v>
      </c>
      <c r="BC1752">
        <v>91</v>
      </c>
      <c r="BD1752">
        <v>-7.0000000000000007E-2</v>
      </c>
      <c r="BE1752">
        <v>-0.05</v>
      </c>
      <c r="BF1752">
        <v>-0.04</v>
      </c>
      <c r="BG1752">
        <v>96</v>
      </c>
      <c r="BH1752">
        <v>0.03</v>
      </c>
      <c r="BI1752">
        <v>5.18</v>
      </c>
      <c r="BJ1752">
        <v>0</v>
      </c>
      <c r="BK1752">
        <v>0</v>
      </c>
      <c r="BL1752">
        <v>-1.1399999999999999</v>
      </c>
      <c r="BM1752">
        <v>0.18</v>
      </c>
      <c r="BN1752">
        <v>-0.79</v>
      </c>
      <c r="BO1752">
        <v>-0.82</v>
      </c>
      <c r="BP1752">
        <v>-0.2</v>
      </c>
      <c r="BQ1752">
        <v>-0.36</v>
      </c>
      <c r="BR1752">
        <v>1.04</v>
      </c>
      <c r="BS1752">
        <v>-0.99</v>
      </c>
      <c r="BT1752">
        <v>-1.5</v>
      </c>
      <c r="BU1752">
        <v>-0.14000000000000001</v>
      </c>
      <c r="BV1752">
        <v>-0.84</v>
      </c>
      <c r="BW1752">
        <v>-0.95</v>
      </c>
      <c r="BX1752">
        <v>-0.39</v>
      </c>
      <c r="BY1752">
        <v>-0.06</v>
      </c>
      <c r="BZ1752">
        <v>-2.2999999999999998</v>
      </c>
      <c r="CA1752">
        <v>-1.41</v>
      </c>
      <c r="CB1752">
        <v>-0.95</v>
      </c>
      <c r="CC1752">
        <v>-1.71</v>
      </c>
      <c r="CD1752">
        <v>0.6</v>
      </c>
      <c r="CE1752">
        <v>-0.68</v>
      </c>
      <c r="CF1752">
        <v>-0.89</v>
      </c>
      <c r="CG1752">
        <v>0</v>
      </c>
      <c r="CH1752">
        <v>-0.28000000000000003</v>
      </c>
      <c r="CI1752">
        <v>0</v>
      </c>
      <c r="CJ1752">
        <v>-5.3</v>
      </c>
      <c r="CK1752">
        <v>99</v>
      </c>
      <c r="CL1752">
        <v>-0.31</v>
      </c>
      <c r="CM1752">
        <v>98</v>
      </c>
      <c r="CN1752">
        <v>-0.05</v>
      </c>
      <c r="CO1752">
        <v>98</v>
      </c>
      <c r="CP1752">
        <v>-6.9</v>
      </c>
      <c r="CQ1752">
        <v>98</v>
      </c>
      <c r="CR1752">
        <v>0</v>
      </c>
      <c r="CS1752">
        <v>0</v>
      </c>
      <c r="CT1752">
        <v>-6</v>
      </c>
      <c r="CU1752">
        <v>97</v>
      </c>
      <c r="CV1752">
        <v>-0.05</v>
      </c>
      <c r="CW1752">
        <v>46</v>
      </c>
      <c r="CX1752" t="s">
        <v>14488</v>
      </c>
    </row>
    <row r="1753" spans="1:102" x14ac:dyDescent="0.3">
      <c r="A1753" t="str">
        <f>HYPERLINK("https://webapp.icbf.com/v2/app/bull-search/view/720495857","S1324")</f>
        <v>S1324</v>
      </c>
      <c r="B1753" t="s">
        <v>13107</v>
      </c>
      <c r="C1753" t="s">
        <v>6148</v>
      </c>
      <c r="D1753" s="1">
        <v>39083</v>
      </c>
      <c r="E1753" t="s">
        <v>227</v>
      </c>
      <c r="F1753">
        <v>0</v>
      </c>
      <c r="G1753" t="s">
        <v>109</v>
      </c>
      <c r="H1753">
        <v>88.72</v>
      </c>
      <c r="I1753">
        <v>65</v>
      </c>
      <c r="J1753">
        <v>14.63</v>
      </c>
      <c r="K1753">
        <v>76</v>
      </c>
      <c r="L1753">
        <v>64.56</v>
      </c>
      <c r="M1753">
        <v>71</v>
      </c>
      <c r="N1753">
        <v>-3.31</v>
      </c>
      <c r="O1753">
        <v>62</v>
      </c>
      <c r="P1753">
        <v>-70.92</v>
      </c>
      <c r="Q1753">
        <v>46</v>
      </c>
      <c r="R1753">
        <v>8.9600000000000009</v>
      </c>
      <c r="S1753">
        <v>47</v>
      </c>
      <c r="T1753">
        <v>69.55</v>
      </c>
      <c r="U1753">
        <v>42</v>
      </c>
      <c r="V1753">
        <v>5.25</v>
      </c>
      <c r="W1753">
        <v>35</v>
      </c>
      <c r="X1753" t="s">
        <v>94</v>
      </c>
      <c r="Y1753" t="s">
        <v>342</v>
      </c>
      <c r="Z1753">
        <v>0</v>
      </c>
      <c r="AA1753" t="s">
        <v>371</v>
      </c>
      <c r="AB1753" t="s">
        <v>144</v>
      </c>
      <c r="AC1753">
        <v>0</v>
      </c>
      <c r="AD1753">
        <v>0</v>
      </c>
      <c r="AE1753">
        <v>76</v>
      </c>
      <c r="AF1753">
        <v>-567.54999999999995</v>
      </c>
      <c r="AG1753">
        <v>8.91</v>
      </c>
      <c r="AH1753">
        <v>-9.35</v>
      </c>
      <c r="AI1753">
        <v>0.56999999999999995</v>
      </c>
      <c r="AJ1753">
        <v>0.18</v>
      </c>
      <c r="AK1753">
        <v>71</v>
      </c>
      <c r="AL1753">
        <v>0</v>
      </c>
      <c r="AM1753">
        <v>0</v>
      </c>
      <c r="AN1753">
        <v>-1.85</v>
      </c>
      <c r="AO1753">
        <v>3.32</v>
      </c>
      <c r="AP1753">
        <v>42</v>
      </c>
      <c r="AQ1753">
        <v>0</v>
      </c>
      <c r="AR1753">
        <v>3.98</v>
      </c>
      <c r="AS1753">
        <v>48</v>
      </c>
      <c r="AT1753">
        <v>2.09</v>
      </c>
      <c r="AU1753">
        <v>53</v>
      </c>
      <c r="AV1753">
        <v>-0.62</v>
      </c>
      <c r="AW1753">
        <v>85</v>
      </c>
      <c r="AX1753">
        <v>9.4</v>
      </c>
      <c r="AY1753">
        <v>49</v>
      </c>
      <c r="AZ1753">
        <v>6.34</v>
      </c>
      <c r="BA1753">
        <v>32</v>
      </c>
      <c r="BB1753">
        <v>4.9800000000000004</v>
      </c>
      <c r="BC1753">
        <v>31</v>
      </c>
      <c r="BD1753">
        <v>-0.03</v>
      </c>
      <c r="BE1753">
        <v>-0.04</v>
      </c>
      <c r="BF1753">
        <v>-0.08</v>
      </c>
      <c r="BG1753">
        <v>61</v>
      </c>
      <c r="BH1753">
        <v>0.03</v>
      </c>
      <c r="BI1753">
        <v>-13.46</v>
      </c>
      <c r="BJ1753">
        <v>0</v>
      </c>
      <c r="BK1753">
        <v>0</v>
      </c>
      <c r="BL1753">
        <v>-1.46</v>
      </c>
      <c r="BM1753">
        <v>-1.88</v>
      </c>
      <c r="BN1753">
        <v>-0.26</v>
      </c>
      <c r="BO1753">
        <v>1.5</v>
      </c>
      <c r="BP1753">
        <v>0.53</v>
      </c>
      <c r="BQ1753">
        <v>-5.75</v>
      </c>
      <c r="BR1753">
        <v>2.59</v>
      </c>
      <c r="BS1753">
        <v>6.14</v>
      </c>
      <c r="BT1753">
        <v>-1.45</v>
      </c>
      <c r="BU1753">
        <v>0.43</v>
      </c>
      <c r="BV1753">
        <v>0.31</v>
      </c>
      <c r="BW1753">
        <v>-1.65</v>
      </c>
      <c r="BX1753">
        <v>-2.27</v>
      </c>
      <c r="BY1753">
        <v>0.36</v>
      </c>
      <c r="BZ1753">
        <v>-0.09</v>
      </c>
      <c r="CA1753">
        <v>1.85</v>
      </c>
      <c r="CB1753">
        <v>0.51</v>
      </c>
      <c r="CC1753">
        <v>3.79</v>
      </c>
      <c r="CD1753">
        <v>-2.35</v>
      </c>
      <c r="CE1753">
        <v>1.31</v>
      </c>
      <c r="CF1753">
        <v>-1.54</v>
      </c>
      <c r="CG1753">
        <v>0</v>
      </c>
      <c r="CH1753">
        <v>-0.69</v>
      </c>
      <c r="CI1753">
        <v>0</v>
      </c>
      <c r="CJ1753">
        <v>-38.799999999999997</v>
      </c>
      <c r="CK1753">
        <v>50</v>
      </c>
      <c r="CL1753">
        <v>-1.4</v>
      </c>
      <c r="CM1753">
        <v>42</v>
      </c>
      <c r="CN1753">
        <v>-0.46</v>
      </c>
      <c r="CO1753">
        <v>37</v>
      </c>
      <c r="CP1753">
        <v>-55.4</v>
      </c>
      <c r="CQ1753">
        <v>48</v>
      </c>
      <c r="CR1753">
        <v>0</v>
      </c>
      <c r="CS1753">
        <v>0</v>
      </c>
      <c r="CT1753">
        <v>-80.2</v>
      </c>
      <c r="CU1753">
        <v>42</v>
      </c>
      <c r="CV1753">
        <v>-0.45</v>
      </c>
      <c r="CW1753">
        <v>12</v>
      </c>
      <c r="CX1753" t="s">
        <v>554</v>
      </c>
    </row>
    <row r="1754" spans="1:102" x14ac:dyDescent="0.3">
      <c r="A1754" t="str">
        <f>HYPERLINK("https://webapp.icbf.com/v2/app/bull-search/view/586206582","S1133")</f>
        <v>S1133</v>
      </c>
      <c r="B1754" t="s">
        <v>1809</v>
      </c>
      <c r="C1754" t="s">
        <v>1810</v>
      </c>
      <c r="D1754" s="1">
        <v>38592</v>
      </c>
      <c r="E1754" t="s">
        <v>92</v>
      </c>
      <c r="F1754">
        <v>100</v>
      </c>
      <c r="G1754" t="s">
        <v>93</v>
      </c>
      <c r="H1754">
        <v>88.59</v>
      </c>
      <c r="I1754">
        <v>88</v>
      </c>
      <c r="J1754">
        <v>68.55</v>
      </c>
      <c r="K1754">
        <v>97</v>
      </c>
      <c r="L1754">
        <v>9.76</v>
      </c>
      <c r="M1754">
        <v>85</v>
      </c>
      <c r="N1754">
        <v>6.7</v>
      </c>
      <c r="O1754">
        <v>84</v>
      </c>
      <c r="P1754">
        <v>-4.07</v>
      </c>
      <c r="Q1754">
        <v>90</v>
      </c>
      <c r="R1754">
        <v>7.65</v>
      </c>
      <c r="S1754">
        <v>78</v>
      </c>
      <c r="T1754">
        <v>4.0599999999999996</v>
      </c>
      <c r="U1754">
        <v>76</v>
      </c>
      <c r="V1754">
        <v>-4.0599999999999996</v>
      </c>
      <c r="W1754">
        <v>66</v>
      </c>
      <c r="X1754" t="s">
        <v>94</v>
      </c>
      <c r="Y1754" t="s">
        <v>336</v>
      </c>
      <c r="Z1754" t="s">
        <v>96</v>
      </c>
      <c r="AA1754" t="s">
        <v>1811</v>
      </c>
      <c r="AB1754" t="s">
        <v>1812</v>
      </c>
      <c r="AC1754">
        <v>138</v>
      </c>
      <c r="AD1754">
        <v>57</v>
      </c>
      <c r="AE1754">
        <v>97</v>
      </c>
      <c r="AF1754">
        <v>83.24</v>
      </c>
      <c r="AG1754">
        <v>12.98</v>
      </c>
      <c r="AH1754">
        <v>8.34</v>
      </c>
      <c r="AI1754">
        <v>0.17</v>
      </c>
      <c r="AJ1754">
        <v>0.1</v>
      </c>
      <c r="AK1754">
        <v>85</v>
      </c>
      <c r="AL1754">
        <v>95</v>
      </c>
      <c r="AM1754">
        <v>43</v>
      </c>
      <c r="AN1754">
        <v>1.1599999999999999</v>
      </c>
      <c r="AO1754">
        <v>1.96</v>
      </c>
      <c r="AP1754">
        <v>252</v>
      </c>
      <c r="AQ1754">
        <v>2</v>
      </c>
      <c r="AR1754">
        <v>8.48</v>
      </c>
      <c r="AS1754">
        <v>77</v>
      </c>
      <c r="AT1754">
        <v>3.72</v>
      </c>
      <c r="AU1754">
        <v>88</v>
      </c>
      <c r="AV1754">
        <v>-1.85</v>
      </c>
      <c r="AW1754">
        <v>96</v>
      </c>
      <c r="AX1754">
        <v>-0.21</v>
      </c>
      <c r="AY1754">
        <v>81</v>
      </c>
      <c r="AZ1754">
        <v>6.7</v>
      </c>
      <c r="BA1754">
        <v>62</v>
      </c>
      <c r="BB1754">
        <v>5.04</v>
      </c>
      <c r="BC1754">
        <v>51</v>
      </c>
      <c r="BD1754">
        <v>-0.06</v>
      </c>
      <c r="BE1754">
        <v>-0.04</v>
      </c>
      <c r="BF1754">
        <v>0</v>
      </c>
      <c r="BG1754">
        <v>92</v>
      </c>
      <c r="BH1754">
        <v>-0.14000000000000001</v>
      </c>
      <c r="BI1754">
        <v>-3.1</v>
      </c>
      <c r="BJ1754">
        <v>50</v>
      </c>
      <c r="BK1754">
        <v>21</v>
      </c>
      <c r="BL1754">
        <v>0.71</v>
      </c>
      <c r="BM1754">
        <v>0.21</v>
      </c>
      <c r="BN1754">
        <v>0.41</v>
      </c>
      <c r="BO1754">
        <v>0.52</v>
      </c>
      <c r="BP1754">
        <v>-0.69</v>
      </c>
      <c r="BQ1754">
        <v>0.31</v>
      </c>
      <c r="BR1754">
        <v>-1.31</v>
      </c>
      <c r="BS1754">
        <v>2.2400000000000002</v>
      </c>
      <c r="BT1754">
        <v>1.74</v>
      </c>
      <c r="BU1754">
        <v>1.46</v>
      </c>
      <c r="BV1754">
        <v>0.21</v>
      </c>
      <c r="BW1754">
        <v>0.61</v>
      </c>
      <c r="BX1754">
        <v>0.64</v>
      </c>
      <c r="BY1754">
        <v>1.1299999999999999</v>
      </c>
      <c r="BZ1754">
        <v>0.64</v>
      </c>
      <c r="CA1754">
        <v>1.6</v>
      </c>
      <c r="CB1754">
        <v>0.79</v>
      </c>
      <c r="CC1754">
        <v>2.0099999999999998</v>
      </c>
      <c r="CD1754">
        <v>-7.0000000000000007E-2</v>
      </c>
      <c r="CE1754">
        <v>0.86</v>
      </c>
      <c r="CF1754">
        <v>0.81</v>
      </c>
      <c r="CG1754">
        <v>0</v>
      </c>
      <c r="CH1754">
        <v>1.57</v>
      </c>
      <c r="CI1754">
        <v>0</v>
      </c>
      <c r="CJ1754">
        <v>0.2</v>
      </c>
      <c r="CK1754">
        <v>92</v>
      </c>
      <c r="CL1754">
        <v>-0.78</v>
      </c>
      <c r="CM1754">
        <v>90</v>
      </c>
      <c r="CN1754">
        <v>-0.32</v>
      </c>
      <c r="CO1754">
        <v>88</v>
      </c>
      <c r="CP1754">
        <v>-0.3</v>
      </c>
      <c r="CQ1754">
        <v>82</v>
      </c>
      <c r="CR1754">
        <v>0</v>
      </c>
      <c r="CS1754">
        <v>0</v>
      </c>
      <c r="CT1754">
        <v>8.3000000000000007</v>
      </c>
      <c r="CU1754">
        <v>76</v>
      </c>
      <c r="CV1754">
        <v>0.2</v>
      </c>
      <c r="CW1754">
        <v>44</v>
      </c>
      <c r="CX1754" t="s">
        <v>1813</v>
      </c>
    </row>
    <row r="1755" spans="1:102" x14ac:dyDescent="0.3">
      <c r="A1755" t="str">
        <f>HYPERLINK("https://webapp.icbf.com/v2/app/bull-search/view/108375207","BVY")</f>
        <v>BVY</v>
      </c>
      <c r="B1755" t="s">
        <v>893</v>
      </c>
      <c r="C1755" t="s">
        <v>894</v>
      </c>
      <c r="D1755" s="1">
        <v>33371</v>
      </c>
      <c r="E1755" t="s">
        <v>895</v>
      </c>
      <c r="F1755">
        <v>0</v>
      </c>
      <c r="G1755" t="s">
        <v>93</v>
      </c>
      <c r="H1755">
        <v>88.55</v>
      </c>
      <c r="I1755">
        <v>84</v>
      </c>
      <c r="J1755">
        <v>-1.17</v>
      </c>
      <c r="K1755">
        <v>97</v>
      </c>
      <c r="L1755">
        <v>80.38</v>
      </c>
      <c r="M1755">
        <v>72</v>
      </c>
      <c r="N1755">
        <v>0.28000000000000003</v>
      </c>
      <c r="O1755">
        <v>82</v>
      </c>
      <c r="P1755">
        <v>-1.82</v>
      </c>
      <c r="Q1755">
        <v>96</v>
      </c>
      <c r="R1755">
        <v>1.55</v>
      </c>
      <c r="S1755">
        <v>75</v>
      </c>
      <c r="T1755">
        <v>21.89</v>
      </c>
      <c r="U1755">
        <v>89</v>
      </c>
      <c r="V1755">
        <v>-12.56</v>
      </c>
      <c r="W1755">
        <v>65</v>
      </c>
      <c r="X1755" t="s">
        <v>94</v>
      </c>
      <c r="Y1755" t="s">
        <v>95</v>
      </c>
      <c r="Z1755">
        <v>0</v>
      </c>
      <c r="AA1755" t="s">
        <v>896</v>
      </c>
      <c r="AB1755" t="s">
        <v>897</v>
      </c>
      <c r="AC1755">
        <v>148</v>
      </c>
      <c r="AD1755">
        <v>52</v>
      </c>
      <c r="AE1755">
        <v>97</v>
      </c>
      <c r="AF1755">
        <v>-15.45</v>
      </c>
      <c r="AG1755">
        <v>-2.19</v>
      </c>
      <c r="AH1755">
        <v>0.34</v>
      </c>
      <c r="AI1755">
        <v>-0.03</v>
      </c>
      <c r="AJ1755">
        <v>0.01</v>
      </c>
      <c r="AK1755">
        <v>72</v>
      </c>
      <c r="AL1755">
        <v>169</v>
      </c>
      <c r="AM1755">
        <v>71</v>
      </c>
      <c r="AN1755">
        <v>-2.84</v>
      </c>
      <c r="AO1755">
        <v>3.59</v>
      </c>
      <c r="AP1755">
        <v>151</v>
      </c>
      <c r="AQ1755">
        <v>5</v>
      </c>
      <c r="AR1755">
        <v>5.8</v>
      </c>
      <c r="AS1755">
        <v>56</v>
      </c>
      <c r="AT1755">
        <v>2.83</v>
      </c>
      <c r="AU1755">
        <v>83</v>
      </c>
      <c r="AV1755">
        <v>1.74</v>
      </c>
      <c r="AW1755">
        <v>94</v>
      </c>
      <c r="AX1755">
        <v>-0.48</v>
      </c>
      <c r="AY1755">
        <v>85</v>
      </c>
      <c r="AZ1755">
        <v>5.28</v>
      </c>
      <c r="BA1755">
        <v>55</v>
      </c>
      <c r="BB1755">
        <v>4.0599999999999996</v>
      </c>
      <c r="BC1755">
        <v>66</v>
      </c>
      <c r="BD1755">
        <v>-0.01</v>
      </c>
      <c r="BE1755">
        <v>-0.01</v>
      </c>
      <c r="BF1755">
        <v>0</v>
      </c>
      <c r="BG1755">
        <v>87</v>
      </c>
      <c r="BH1755">
        <v>-0.26</v>
      </c>
      <c r="BI1755">
        <v>10.44</v>
      </c>
      <c r="BJ1755">
        <v>0</v>
      </c>
      <c r="BK1755">
        <v>0</v>
      </c>
      <c r="BL1755">
        <v>-1.25</v>
      </c>
      <c r="BM1755">
        <v>1.1100000000000001</v>
      </c>
      <c r="BN1755">
        <v>-1.1399999999999999</v>
      </c>
      <c r="BO1755">
        <v>-1.55</v>
      </c>
      <c r="BP1755">
        <v>0.42</v>
      </c>
      <c r="BQ1755">
        <v>0.05</v>
      </c>
      <c r="BR1755">
        <v>-0.47</v>
      </c>
      <c r="BS1755">
        <v>0.13</v>
      </c>
      <c r="BT1755">
        <v>0.01</v>
      </c>
      <c r="BU1755">
        <v>-1.26</v>
      </c>
      <c r="BV1755">
        <v>-1.45</v>
      </c>
      <c r="BW1755">
        <v>-1.41</v>
      </c>
      <c r="BX1755">
        <v>-0.92</v>
      </c>
      <c r="BY1755">
        <v>-1.31</v>
      </c>
      <c r="BZ1755">
        <v>-0.05</v>
      </c>
      <c r="CA1755">
        <v>-1.47</v>
      </c>
      <c r="CB1755">
        <v>-1.54</v>
      </c>
      <c r="CC1755">
        <v>-0.78</v>
      </c>
      <c r="CD1755">
        <v>1.46</v>
      </c>
      <c r="CE1755">
        <v>-1.54</v>
      </c>
      <c r="CF1755">
        <v>-1.21</v>
      </c>
      <c r="CG1755">
        <v>0</v>
      </c>
      <c r="CH1755">
        <v>-1.42</v>
      </c>
      <c r="CI1755">
        <v>0</v>
      </c>
      <c r="CJ1755">
        <v>3.8</v>
      </c>
      <c r="CK1755">
        <v>97</v>
      </c>
      <c r="CL1755">
        <v>-0.31</v>
      </c>
      <c r="CM1755">
        <v>96</v>
      </c>
      <c r="CN1755">
        <v>0.24</v>
      </c>
      <c r="CO1755">
        <v>95</v>
      </c>
      <c r="CP1755">
        <v>-7</v>
      </c>
      <c r="CQ1755">
        <v>94</v>
      </c>
      <c r="CR1755">
        <v>0</v>
      </c>
      <c r="CS1755">
        <v>0</v>
      </c>
      <c r="CT1755">
        <v>-15.8</v>
      </c>
      <c r="CU1755">
        <v>89</v>
      </c>
      <c r="CV1755">
        <v>0.11</v>
      </c>
      <c r="CW1755">
        <v>28</v>
      </c>
      <c r="CX1755" t="s">
        <v>898</v>
      </c>
    </row>
    <row r="1756" spans="1:102" x14ac:dyDescent="0.3">
      <c r="A1756" t="str">
        <f>HYPERLINK("https://webapp.icbf.com/v2/app/bull-search/view/1035828777","FZZ")</f>
        <v>FZZ</v>
      </c>
      <c r="B1756" t="s">
        <v>13292</v>
      </c>
      <c r="C1756" t="s">
        <v>13293</v>
      </c>
      <c r="D1756" s="1">
        <v>41288</v>
      </c>
      <c r="E1756" t="s">
        <v>108</v>
      </c>
      <c r="F1756">
        <v>3</v>
      </c>
      <c r="G1756" t="s">
        <v>93</v>
      </c>
      <c r="H1756">
        <v>88.43</v>
      </c>
      <c r="I1756">
        <v>85</v>
      </c>
      <c r="J1756">
        <v>28.84</v>
      </c>
      <c r="K1756">
        <v>96</v>
      </c>
      <c r="L1756">
        <v>76.17</v>
      </c>
      <c r="M1756">
        <v>76</v>
      </c>
      <c r="N1756">
        <v>-1.32</v>
      </c>
      <c r="O1756">
        <v>90</v>
      </c>
      <c r="P1756">
        <v>-18.760000000000002</v>
      </c>
      <c r="Q1756">
        <v>94</v>
      </c>
      <c r="R1756">
        <v>0.74</v>
      </c>
      <c r="S1756">
        <v>75</v>
      </c>
      <c r="T1756">
        <v>1.54</v>
      </c>
      <c r="U1756">
        <v>71</v>
      </c>
      <c r="V1756">
        <v>1.22</v>
      </c>
      <c r="W1756">
        <v>71</v>
      </c>
      <c r="X1756" t="s">
        <v>102</v>
      </c>
      <c r="Y1756" t="s">
        <v>389</v>
      </c>
      <c r="Z1756" t="s">
        <v>96</v>
      </c>
      <c r="AA1756" t="s">
        <v>2016</v>
      </c>
      <c r="AB1756" t="s">
        <v>12821</v>
      </c>
      <c r="AC1756">
        <v>88</v>
      </c>
      <c r="AD1756">
        <v>48</v>
      </c>
      <c r="AE1756">
        <v>96</v>
      </c>
      <c r="AF1756">
        <v>-0.72</v>
      </c>
      <c r="AG1756">
        <v>5.92</v>
      </c>
      <c r="AH1756">
        <v>2.8</v>
      </c>
      <c r="AI1756">
        <v>0.1</v>
      </c>
      <c r="AJ1756">
        <v>0.05</v>
      </c>
      <c r="AK1756">
        <v>76</v>
      </c>
      <c r="AL1756">
        <v>109</v>
      </c>
      <c r="AM1756">
        <v>60</v>
      </c>
      <c r="AN1756">
        <v>-4.53</v>
      </c>
      <c r="AO1756">
        <v>1.54</v>
      </c>
      <c r="AP1756">
        <v>1321</v>
      </c>
      <c r="AQ1756">
        <v>4</v>
      </c>
      <c r="AR1756">
        <v>8.39</v>
      </c>
      <c r="AS1756">
        <v>80</v>
      </c>
      <c r="AT1756">
        <v>3.54</v>
      </c>
      <c r="AU1756">
        <v>97</v>
      </c>
      <c r="AV1756">
        <v>-0.14000000000000001</v>
      </c>
      <c r="AW1756">
        <v>99</v>
      </c>
      <c r="AX1756">
        <v>-0.54</v>
      </c>
      <c r="AY1756">
        <v>96</v>
      </c>
      <c r="AZ1756">
        <v>5.6</v>
      </c>
      <c r="BA1756">
        <v>70</v>
      </c>
      <c r="BB1756">
        <v>4.8</v>
      </c>
      <c r="BC1756">
        <v>58</v>
      </c>
      <c r="BD1756">
        <v>0</v>
      </c>
      <c r="BE1756">
        <v>-0.03</v>
      </c>
      <c r="BF1756">
        <v>0.04</v>
      </c>
      <c r="BG1756">
        <v>84</v>
      </c>
      <c r="BH1756">
        <v>-0.04</v>
      </c>
      <c r="BI1756">
        <v>-8.5500000000000007</v>
      </c>
      <c r="BJ1756">
        <v>9</v>
      </c>
      <c r="BK1756">
        <v>3</v>
      </c>
      <c r="BL1756">
        <v>-1.88</v>
      </c>
      <c r="BM1756">
        <v>2.98</v>
      </c>
      <c r="BN1756">
        <v>-0.17</v>
      </c>
      <c r="BO1756">
        <v>-1.91</v>
      </c>
      <c r="BP1756">
        <v>-1.39</v>
      </c>
      <c r="BQ1756">
        <v>3.11</v>
      </c>
      <c r="BR1756">
        <v>-1.42</v>
      </c>
      <c r="BS1756">
        <v>0.18</v>
      </c>
      <c r="BT1756">
        <v>1.4</v>
      </c>
      <c r="BU1756">
        <v>-2.04</v>
      </c>
      <c r="BV1756">
        <v>-2.41</v>
      </c>
      <c r="BW1756">
        <v>-2.56</v>
      </c>
      <c r="BX1756">
        <v>-1.93</v>
      </c>
      <c r="BY1756">
        <v>-1.05</v>
      </c>
      <c r="BZ1756">
        <v>-0.3</v>
      </c>
      <c r="CA1756">
        <v>-2.09</v>
      </c>
      <c r="CB1756">
        <v>-2.33</v>
      </c>
      <c r="CC1756">
        <v>-0.37</v>
      </c>
      <c r="CD1756">
        <v>2.78</v>
      </c>
      <c r="CE1756">
        <v>-2.2799999999999998</v>
      </c>
      <c r="CF1756">
        <v>-0.44</v>
      </c>
      <c r="CG1756">
        <v>0</v>
      </c>
      <c r="CH1756">
        <v>-1.57</v>
      </c>
      <c r="CI1756">
        <v>0</v>
      </c>
      <c r="CJ1756">
        <v>-10.3</v>
      </c>
      <c r="CK1756">
        <v>96</v>
      </c>
      <c r="CL1756">
        <v>-0.48</v>
      </c>
      <c r="CM1756">
        <v>95</v>
      </c>
      <c r="CN1756">
        <v>-0.09</v>
      </c>
      <c r="CO1756">
        <v>94</v>
      </c>
      <c r="CP1756">
        <v>-4.3</v>
      </c>
      <c r="CQ1756">
        <v>80</v>
      </c>
      <c r="CR1756">
        <v>0</v>
      </c>
      <c r="CS1756">
        <v>0</v>
      </c>
      <c r="CT1756">
        <v>11.7</v>
      </c>
      <c r="CU1756">
        <v>71</v>
      </c>
      <c r="CV1756">
        <v>-0.08</v>
      </c>
      <c r="CW1756">
        <v>49</v>
      </c>
      <c r="CX1756" t="s">
        <v>7622</v>
      </c>
    </row>
    <row r="1757" spans="1:102" x14ac:dyDescent="0.3">
      <c r="A1757" t="str">
        <f>HYPERLINK("https://webapp.icbf.com/v2/app/bull-search/view/1040932507","ZJJ")</f>
        <v>ZJJ</v>
      </c>
      <c r="B1757" t="s">
        <v>5789</v>
      </c>
      <c r="C1757" t="s">
        <v>5790</v>
      </c>
      <c r="D1757" s="1">
        <v>41311</v>
      </c>
      <c r="E1757" t="s">
        <v>108</v>
      </c>
      <c r="F1757">
        <v>0</v>
      </c>
      <c r="G1757" t="s">
        <v>93</v>
      </c>
      <c r="H1757">
        <v>88.34</v>
      </c>
      <c r="I1757">
        <v>77</v>
      </c>
      <c r="J1757">
        <v>0.72</v>
      </c>
      <c r="K1757">
        <v>88</v>
      </c>
      <c r="L1757">
        <v>51.37</v>
      </c>
      <c r="M1757">
        <v>69</v>
      </c>
      <c r="N1757">
        <v>20.92</v>
      </c>
      <c r="O1757">
        <v>79</v>
      </c>
      <c r="P1757">
        <v>-7.05</v>
      </c>
      <c r="Q1757">
        <v>90</v>
      </c>
      <c r="R1757">
        <v>9.35</v>
      </c>
      <c r="S1757">
        <v>65</v>
      </c>
      <c r="T1757">
        <v>11.9</v>
      </c>
      <c r="U1757">
        <v>59</v>
      </c>
      <c r="V1757">
        <v>1.1299999999999999</v>
      </c>
      <c r="W1757">
        <v>59</v>
      </c>
      <c r="X1757" t="s">
        <v>94</v>
      </c>
      <c r="Y1757" t="s">
        <v>389</v>
      </c>
      <c r="Z1757" t="s">
        <v>96</v>
      </c>
      <c r="AA1757" t="s">
        <v>5791</v>
      </c>
      <c r="AB1757" t="s">
        <v>5792</v>
      </c>
      <c r="AC1757">
        <v>16</v>
      </c>
      <c r="AD1757">
        <v>9</v>
      </c>
      <c r="AE1757">
        <v>88</v>
      </c>
      <c r="AF1757">
        <v>-225.83</v>
      </c>
      <c r="AG1757">
        <v>-2.2999999999999998</v>
      </c>
      <c r="AH1757">
        <v>-2.52</v>
      </c>
      <c r="AI1757">
        <v>0.12</v>
      </c>
      <c r="AJ1757">
        <v>0.09</v>
      </c>
      <c r="AK1757">
        <v>69</v>
      </c>
      <c r="AL1757">
        <v>42</v>
      </c>
      <c r="AM1757">
        <v>20</v>
      </c>
      <c r="AN1757">
        <v>-1.76</v>
      </c>
      <c r="AO1757">
        <v>2.35</v>
      </c>
      <c r="AP1757">
        <v>120</v>
      </c>
      <c r="AQ1757">
        <v>3</v>
      </c>
      <c r="AR1757">
        <v>6.37</v>
      </c>
      <c r="AS1757">
        <v>62</v>
      </c>
      <c r="AT1757">
        <v>2</v>
      </c>
      <c r="AU1757">
        <v>80</v>
      </c>
      <c r="AV1757">
        <v>-2.63</v>
      </c>
      <c r="AW1757">
        <v>94</v>
      </c>
      <c r="AX1757">
        <v>-0.84</v>
      </c>
      <c r="AY1757">
        <v>78</v>
      </c>
      <c r="AZ1757">
        <v>9.74</v>
      </c>
      <c r="BA1757">
        <v>56</v>
      </c>
      <c r="BB1757">
        <v>6.43</v>
      </c>
      <c r="BC1757">
        <v>47</v>
      </c>
      <c r="BD1757">
        <v>-0.03</v>
      </c>
      <c r="BE1757">
        <v>-0.05</v>
      </c>
      <c r="BF1757">
        <v>-7.0000000000000007E-2</v>
      </c>
      <c r="BG1757">
        <v>73</v>
      </c>
      <c r="BH1757">
        <v>-0.06</v>
      </c>
      <c r="BI1757">
        <v>-10.58</v>
      </c>
      <c r="BJ1757">
        <v>0</v>
      </c>
      <c r="BK1757">
        <v>0</v>
      </c>
      <c r="BL1757">
        <v>-3.22</v>
      </c>
      <c r="BM1757">
        <v>0.55000000000000004</v>
      </c>
      <c r="BN1757">
        <v>-3.32</v>
      </c>
      <c r="BO1757">
        <v>-3.17</v>
      </c>
      <c r="BP1757">
        <v>-1.0900000000000001</v>
      </c>
      <c r="BQ1757">
        <v>0.59</v>
      </c>
      <c r="BR1757">
        <v>-3.05</v>
      </c>
      <c r="BS1757">
        <v>2.71</v>
      </c>
      <c r="BT1757">
        <v>1.94</v>
      </c>
      <c r="BU1757">
        <v>-1.1499999999999999</v>
      </c>
      <c r="BV1757">
        <v>-2.04</v>
      </c>
      <c r="BW1757">
        <v>-1.88</v>
      </c>
      <c r="BX1757">
        <v>-0.12</v>
      </c>
      <c r="BY1757">
        <v>-2.0699999999999998</v>
      </c>
      <c r="BZ1757">
        <v>-2.4</v>
      </c>
      <c r="CA1757">
        <v>-1.07</v>
      </c>
      <c r="CB1757">
        <v>-1.89</v>
      </c>
      <c r="CC1757">
        <v>1.07</v>
      </c>
      <c r="CD1757">
        <v>2.2000000000000002</v>
      </c>
      <c r="CE1757">
        <v>-2.68</v>
      </c>
      <c r="CF1757">
        <v>-2.85</v>
      </c>
      <c r="CG1757">
        <v>0</v>
      </c>
      <c r="CH1757">
        <v>-1.03</v>
      </c>
      <c r="CI1757">
        <v>0</v>
      </c>
      <c r="CJ1757">
        <v>-5.5</v>
      </c>
      <c r="CK1757">
        <v>93</v>
      </c>
      <c r="CL1757">
        <v>-0.09</v>
      </c>
      <c r="CM1757">
        <v>91</v>
      </c>
      <c r="CN1757">
        <v>-0.22</v>
      </c>
      <c r="CO1757">
        <v>90</v>
      </c>
      <c r="CP1757">
        <v>-7.4</v>
      </c>
      <c r="CQ1757">
        <v>66</v>
      </c>
      <c r="CR1757">
        <v>0</v>
      </c>
      <c r="CS1757">
        <v>0</v>
      </c>
      <c r="CT1757">
        <v>-2.2999999999999998</v>
      </c>
      <c r="CU1757">
        <v>59</v>
      </c>
      <c r="CV1757">
        <v>-0.02</v>
      </c>
      <c r="CW1757">
        <v>44</v>
      </c>
      <c r="CX1757" t="s">
        <v>1543</v>
      </c>
    </row>
    <row r="1758" spans="1:102" x14ac:dyDescent="0.3">
      <c r="A1758" t="str">
        <f>HYPERLINK("https://webapp.icbf.com/v2/app/bull-search/view/1496335213","JE4282")</f>
        <v>JE4282</v>
      </c>
      <c r="B1758" t="s">
        <v>13834</v>
      </c>
      <c r="C1758" t="s">
        <v>6407</v>
      </c>
      <c r="D1758" s="1">
        <v>42251</v>
      </c>
      <c r="E1758" t="s">
        <v>227</v>
      </c>
      <c r="F1758">
        <v>0</v>
      </c>
      <c r="G1758" t="s">
        <v>435</v>
      </c>
      <c r="H1758">
        <v>88.27</v>
      </c>
      <c r="I1758">
        <v>61</v>
      </c>
      <c r="J1758">
        <v>10.01</v>
      </c>
      <c r="K1758">
        <v>78</v>
      </c>
      <c r="L1758">
        <v>63.2</v>
      </c>
      <c r="M1758">
        <v>60</v>
      </c>
      <c r="N1758">
        <v>0.41</v>
      </c>
      <c r="O1758">
        <v>54</v>
      </c>
      <c r="P1758">
        <v>-61.87</v>
      </c>
      <c r="Q1758">
        <v>34</v>
      </c>
      <c r="R1758">
        <v>10.95</v>
      </c>
      <c r="S1758">
        <v>56</v>
      </c>
      <c r="T1758">
        <v>62.22</v>
      </c>
      <c r="U1758">
        <v>33</v>
      </c>
      <c r="V1758">
        <v>3.35</v>
      </c>
      <c r="W1758">
        <v>54</v>
      </c>
      <c r="X1758" t="s">
        <v>94</v>
      </c>
      <c r="Y1758" t="s">
        <v>2261</v>
      </c>
      <c r="Z1758">
        <v>0</v>
      </c>
      <c r="AA1758" t="s">
        <v>9324</v>
      </c>
      <c r="AB1758" t="s">
        <v>144</v>
      </c>
      <c r="AC1758">
        <v>0</v>
      </c>
      <c r="AD1758">
        <v>0</v>
      </c>
      <c r="AE1758">
        <v>78</v>
      </c>
      <c r="AF1758">
        <v>-639.04</v>
      </c>
      <c r="AG1758">
        <v>2.66</v>
      </c>
      <c r="AH1758">
        <v>-9.02</v>
      </c>
      <c r="AI1758">
        <v>0.53</v>
      </c>
      <c r="AJ1758">
        <v>0.25</v>
      </c>
      <c r="AK1758">
        <v>60</v>
      </c>
      <c r="AL1758">
        <v>0</v>
      </c>
      <c r="AM1758">
        <v>0</v>
      </c>
      <c r="AN1758">
        <v>-1.87</v>
      </c>
      <c r="AO1758">
        <v>3.19</v>
      </c>
      <c r="AP1758">
        <v>17</v>
      </c>
      <c r="AQ1758">
        <v>0</v>
      </c>
      <c r="AR1758">
        <v>3.36</v>
      </c>
      <c r="AS1758">
        <v>44</v>
      </c>
      <c r="AT1758">
        <v>1.84</v>
      </c>
      <c r="AU1758">
        <v>58</v>
      </c>
      <c r="AV1758">
        <v>0.63</v>
      </c>
      <c r="AW1758">
        <v>63</v>
      </c>
      <c r="AX1758">
        <v>4.49</v>
      </c>
      <c r="AY1758">
        <v>44</v>
      </c>
      <c r="AZ1758">
        <v>6.84</v>
      </c>
      <c r="BA1758">
        <v>36</v>
      </c>
      <c r="BB1758">
        <v>5.13</v>
      </c>
      <c r="BC1758">
        <v>36</v>
      </c>
      <c r="BD1758">
        <v>-7.0000000000000007E-2</v>
      </c>
      <c r="BE1758">
        <v>-0.05</v>
      </c>
      <c r="BF1758">
        <v>-0.04</v>
      </c>
      <c r="BG1758">
        <v>61</v>
      </c>
      <c r="BH1758">
        <v>0.12</v>
      </c>
      <c r="BI1758">
        <v>3.06</v>
      </c>
      <c r="BJ1758">
        <v>0</v>
      </c>
      <c r="BK1758">
        <v>0</v>
      </c>
      <c r="BL1758">
        <v>-1.28</v>
      </c>
      <c r="BM1758">
        <v>-1.78</v>
      </c>
      <c r="BN1758">
        <v>-0.3</v>
      </c>
      <c r="BO1758">
        <v>1.4</v>
      </c>
      <c r="BP1758">
        <v>-0.28000000000000003</v>
      </c>
      <c r="BQ1758">
        <v>-5.09</v>
      </c>
      <c r="BR1758">
        <v>2.25</v>
      </c>
      <c r="BS1758">
        <v>6.31</v>
      </c>
      <c r="BT1758">
        <v>-1.08</v>
      </c>
      <c r="BU1758">
        <v>0.87</v>
      </c>
      <c r="BV1758">
        <v>0.9</v>
      </c>
      <c r="BW1758">
        <v>-1.06</v>
      </c>
      <c r="BX1758">
        <v>-1.7</v>
      </c>
      <c r="BY1758">
        <v>0.47</v>
      </c>
      <c r="BZ1758">
        <v>-0.46</v>
      </c>
      <c r="CA1758">
        <v>2.17</v>
      </c>
      <c r="CB1758">
        <v>0.78</v>
      </c>
      <c r="CC1758">
        <v>4.01</v>
      </c>
      <c r="CD1758">
        <v>-2.2200000000000002</v>
      </c>
      <c r="CE1758">
        <v>1.31</v>
      </c>
      <c r="CF1758">
        <v>-1.26</v>
      </c>
      <c r="CG1758">
        <v>0</v>
      </c>
      <c r="CH1758">
        <v>-0.37</v>
      </c>
      <c r="CI1758">
        <v>0</v>
      </c>
      <c r="CJ1758">
        <v>-31.1</v>
      </c>
      <c r="CK1758">
        <v>34</v>
      </c>
      <c r="CL1758">
        <v>-1.28</v>
      </c>
      <c r="CM1758">
        <v>34</v>
      </c>
      <c r="CN1758">
        <v>-0.14000000000000001</v>
      </c>
      <c r="CO1758">
        <v>33</v>
      </c>
      <c r="CP1758">
        <v>-49.2</v>
      </c>
      <c r="CQ1758">
        <v>34</v>
      </c>
      <c r="CR1758">
        <v>0</v>
      </c>
      <c r="CS1758">
        <v>0</v>
      </c>
      <c r="CT1758">
        <v>-70.3</v>
      </c>
      <c r="CU1758">
        <v>33</v>
      </c>
      <c r="CV1758">
        <v>-0.24</v>
      </c>
      <c r="CW1758">
        <v>31</v>
      </c>
      <c r="CX1758" t="s">
        <v>13835</v>
      </c>
    </row>
    <row r="1759" spans="1:102" x14ac:dyDescent="0.3">
      <c r="A1759" t="str">
        <f>HYPERLINK("https://webapp.icbf.com/v2/app/bull-search/view/953694796","XGA")</f>
        <v>XGA</v>
      </c>
      <c r="B1759" t="s">
        <v>10162</v>
      </c>
      <c r="C1759" t="s">
        <v>2376</v>
      </c>
      <c r="D1759" s="1">
        <v>40961</v>
      </c>
      <c r="E1759" t="s">
        <v>108</v>
      </c>
      <c r="F1759">
        <v>16</v>
      </c>
      <c r="G1759" t="s">
        <v>93</v>
      </c>
      <c r="H1759">
        <v>88.16</v>
      </c>
      <c r="I1759">
        <v>94</v>
      </c>
      <c r="J1759">
        <v>16.45</v>
      </c>
      <c r="K1759">
        <v>99</v>
      </c>
      <c r="L1759">
        <v>54.69</v>
      </c>
      <c r="M1759">
        <v>88</v>
      </c>
      <c r="N1759">
        <v>17.13</v>
      </c>
      <c r="O1759">
        <v>97</v>
      </c>
      <c r="P1759">
        <v>-2.35</v>
      </c>
      <c r="Q1759">
        <v>99</v>
      </c>
      <c r="R1759">
        <v>0.28999999999999998</v>
      </c>
      <c r="S1759">
        <v>89</v>
      </c>
      <c r="T1759">
        <v>-4.16</v>
      </c>
      <c r="U1759">
        <v>94</v>
      </c>
      <c r="V1759">
        <v>6.11</v>
      </c>
      <c r="W1759">
        <v>79</v>
      </c>
      <c r="X1759" t="s">
        <v>94</v>
      </c>
      <c r="Y1759" t="s">
        <v>389</v>
      </c>
      <c r="Z1759" t="s">
        <v>96</v>
      </c>
      <c r="AA1759" t="s">
        <v>5993</v>
      </c>
      <c r="AB1759" t="s">
        <v>10163</v>
      </c>
      <c r="AC1759">
        <v>1440</v>
      </c>
      <c r="AD1759">
        <v>496</v>
      </c>
      <c r="AE1759">
        <v>99</v>
      </c>
      <c r="AF1759">
        <v>-1.08</v>
      </c>
      <c r="AG1759">
        <v>0.54</v>
      </c>
      <c r="AH1759">
        <v>2.59</v>
      </c>
      <c r="AI1759">
        <v>0.01</v>
      </c>
      <c r="AJ1759">
        <v>0.05</v>
      </c>
      <c r="AK1759">
        <v>88</v>
      </c>
      <c r="AL1759">
        <v>1204</v>
      </c>
      <c r="AM1759">
        <v>512</v>
      </c>
      <c r="AN1759">
        <v>-3.1</v>
      </c>
      <c r="AO1759">
        <v>1.26</v>
      </c>
      <c r="AP1759">
        <v>6109</v>
      </c>
      <c r="AQ1759">
        <v>26</v>
      </c>
      <c r="AR1759">
        <v>7.8</v>
      </c>
      <c r="AS1759">
        <v>96</v>
      </c>
      <c r="AT1759">
        <v>3.56</v>
      </c>
      <c r="AU1759">
        <v>99</v>
      </c>
      <c r="AV1759">
        <v>-2.34</v>
      </c>
      <c r="AW1759">
        <v>99</v>
      </c>
      <c r="AX1759">
        <v>-0.05</v>
      </c>
      <c r="AY1759">
        <v>99</v>
      </c>
      <c r="AZ1759">
        <v>5.24</v>
      </c>
      <c r="BA1759">
        <v>95</v>
      </c>
      <c r="BB1759">
        <v>4.7300000000000004</v>
      </c>
      <c r="BC1759">
        <v>84</v>
      </c>
      <c r="BD1759">
        <v>-0.01</v>
      </c>
      <c r="BE1759">
        <v>0</v>
      </c>
      <c r="BF1759">
        <v>0.01</v>
      </c>
      <c r="BG1759">
        <v>97</v>
      </c>
      <c r="BH1759">
        <v>0.03</v>
      </c>
      <c r="BI1759">
        <v>-16.239999999999998</v>
      </c>
      <c r="BJ1759">
        <v>44</v>
      </c>
      <c r="BK1759">
        <v>9</v>
      </c>
      <c r="BL1759">
        <v>-0.5</v>
      </c>
      <c r="BM1759">
        <v>4.68</v>
      </c>
      <c r="BN1759">
        <v>1.07</v>
      </c>
      <c r="BO1759">
        <v>-1.7</v>
      </c>
      <c r="BP1759">
        <v>-2.75</v>
      </c>
      <c r="BQ1759">
        <v>5.91</v>
      </c>
      <c r="BR1759">
        <v>-2.14</v>
      </c>
      <c r="BS1759">
        <v>-0.65</v>
      </c>
      <c r="BT1759">
        <v>1.05</v>
      </c>
      <c r="BU1759">
        <v>-2.4300000000000002</v>
      </c>
      <c r="BV1759">
        <v>-2.31</v>
      </c>
      <c r="BW1759">
        <v>-0.89</v>
      </c>
      <c r="BX1759">
        <v>-1.96</v>
      </c>
      <c r="BY1759">
        <v>-2.02</v>
      </c>
      <c r="BZ1759">
        <v>1.63</v>
      </c>
      <c r="CA1759">
        <v>-1.23</v>
      </c>
      <c r="CB1759">
        <v>-1.19</v>
      </c>
      <c r="CC1759">
        <v>-0.56999999999999995</v>
      </c>
      <c r="CD1759">
        <v>2.85</v>
      </c>
      <c r="CE1759">
        <v>-0.99</v>
      </c>
      <c r="CF1759">
        <v>0.81</v>
      </c>
      <c r="CG1759">
        <v>0</v>
      </c>
      <c r="CH1759">
        <v>-1.85</v>
      </c>
      <c r="CI1759">
        <v>0</v>
      </c>
      <c r="CJ1759">
        <v>0.3</v>
      </c>
      <c r="CK1759">
        <v>99</v>
      </c>
      <c r="CL1759">
        <v>-0.66</v>
      </c>
      <c r="CM1759">
        <v>99</v>
      </c>
      <c r="CN1759">
        <v>-0.27</v>
      </c>
      <c r="CO1759">
        <v>99</v>
      </c>
      <c r="CP1759">
        <v>5.9</v>
      </c>
      <c r="CQ1759">
        <v>94</v>
      </c>
      <c r="CR1759">
        <v>0</v>
      </c>
      <c r="CS1759">
        <v>0</v>
      </c>
      <c r="CT1759">
        <v>19.399999999999999</v>
      </c>
      <c r="CU1759">
        <v>94</v>
      </c>
      <c r="CV1759">
        <v>0.25</v>
      </c>
      <c r="CW1759">
        <v>46</v>
      </c>
      <c r="CX1759" t="s">
        <v>1909</v>
      </c>
    </row>
    <row r="1760" spans="1:102" x14ac:dyDescent="0.3">
      <c r="A1760" t="str">
        <f>HYPERLINK("https://webapp.icbf.com/v2/app/bull-search/view/1154395144","S2107")</f>
        <v>S2107</v>
      </c>
      <c r="B1760" t="s">
        <v>13350</v>
      </c>
      <c r="C1760" t="s">
        <v>13351</v>
      </c>
      <c r="D1760" s="1">
        <v>40904</v>
      </c>
      <c r="E1760" t="s">
        <v>92</v>
      </c>
      <c r="F1760">
        <v>100</v>
      </c>
      <c r="G1760" t="s">
        <v>109</v>
      </c>
      <c r="H1760">
        <v>88.03</v>
      </c>
      <c r="I1760">
        <v>79</v>
      </c>
      <c r="J1760">
        <v>46.27</v>
      </c>
      <c r="K1760">
        <v>92</v>
      </c>
      <c r="L1760">
        <v>3.07</v>
      </c>
      <c r="M1760">
        <v>79</v>
      </c>
      <c r="N1760">
        <v>17.809999999999999</v>
      </c>
      <c r="O1760">
        <v>79</v>
      </c>
      <c r="P1760">
        <v>5.65</v>
      </c>
      <c r="Q1760">
        <v>72</v>
      </c>
      <c r="R1760">
        <v>3.1</v>
      </c>
      <c r="S1760">
        <v>73</v>
      </c>
      <c r="T1760">
        <v>3.47</v>
      </c>
      <c r="U1760">
        <v>50</v>
      </c>
      <c r="V1760">
        <v>8.66</v>
      </c>
      <c r="W1760">
        <v>57</v>
      </c>
      <c r="X1760" t="s">
        <v>102</v>
      </c>
      <c r="Y1760" t="s">
        <v>367</v>
      </c>
      <c r="Z1760" t="s">
        <v>96</v>
      </c>
      <c r="AA1760" t="s">
        <v>3020</v>
      </c>
      <c r="AB1760" t="s">
        <v>13352</v>
      </c>
      <c r="AC1760">
        <v>0</v>
      </c>
      <c r="AD1760">
        <v>0</v>
      </c>
      <c r="AE1760">
        <v>92</v>
      </c>
      <c r="AF1760">
        <v>249.39</v>
      </c>
      <c r="AG1760">
        <v>8.67</v>
      </c>
      <c r="AH1760">
        <v>8.6199999999999992</v>
      </c>
      <c r="AI1760">
        <v>-0.02</v>
      </c>
      <c r="AJ1760">
        <v>0</v>
      </c>
      <c r="AK1760">
        <v>79</v>
      </c>
      <c r="AL1760">
        <v>0</v>
      </c>
      <c r="AM1760">
        <v>0</v>
      </c>
      <c r="AN1760">
        <v>0.23</v>
      </c>
      <c r="AO1760">
        <v>0.48</v>
      </c>
      <c r="AP1760">
        <v>150</v>
      </c>
      <c r="AQ1760">
        <v>0</v>
      </c>
      <c r="AR1760">
        <v>7.6</v>
      </c>
      <c r="AS1760">
        <v>63</v>
      </c>
      <c r="AT1760">
        <v>3.03</v>
      </c>
      <c r="AU1760">
        <v>91</v>
      </c>
      <c r="AV1760">
        <v>-2.16</v>
      </c>
      <c r="AW1760">
        <v>91</v>
      </c>
      <c r="AX1760">
        <v>-0.33</v>
      </c>
      <c r="AY1760">
        <v>73</v>
      </c>
      <c r="AZ1760">
        <v>7.1</v>
      </c>
      <c r="BA1760">
        <v>48</v>
      </c>
      <c r="BB1760">
        <v>5.01</v>
      </c>
      <c r="BC1760">
        <v>44</v>
      </c>
      <c r="BD1760">
        <v>0.01</v>
      </c>
      <c r="BE1760">
        <v>-0.02</v>
      </c>
      <c r="BF1760">
        <v>-0.05</v>
      </c>
      <c r="BG1760">
        <v>89</v>
      </c>
      <c r="BH1760">
        <v>0.05</v>
      </c>
      <c r="BI1760">
        <v>-22.16</v>
      </c>
      <c r="BJ1760">
        <v>2</v>
      </c>
      <c r="BK1760">
        <v>2</v>
      </c>
      <c r="BL1760">
        <v>0.97</v>
      </c>
      <c r="BM1760">
        <v>-0.63</v>
      </c>
      <c r="BN1760">
        <v>0.3</v>
      </c>
      <c r="BO1760">
        <v>1.17</v>
      </c>
      <c r="BP1760">
        <v>0.83</v>
      </c>
      <c r="BQ1760">
        <v>-2.2400000000000002</v>
      </c>
      <c r="BR1760">
        <v>1.3</v>
      </c>
      <c r="BS1760">
        <v>0.6</v>
      </c>
      <c r="BT1760">
        <v>-0.97</v>
      </c>
      <c r="BU1760">
        <v>1.1599999999999999</v>
      </c>
      <c r="BV1760">
        <v>-0.02</v>
      </c>
      <c r="BW1760">
        <v>0.74</v>
      </c>
      <c r="BX1760">
        <v>0.33</v>
      </c>
      <c r="BY1760">
        <v>0.97</v>
      </c>
      <c r="BZ1760">
        <v>-2.13</v>
      </c>
      <c r="CA1760">
        <v>1.26</v>
      </c>
      <c r="CB1760">
        <v>0.79</v>
      </c>
      <c r="CC1760">
        <v>1.39</v>
      </c>
      <c r="CD1760">
        <v>-0.99</v>
      </c>
      <c r="CE1760">
        <v>1.1499999999999999</v>
      </c>
      <c r="CF1760">
        <v>0.93</v>
      </c>
      <c r="CG1760">
        <v>0</v>
      </c>
      <c r="CH1760">
        <v>1.3</v>
      </c>
      <c r="CI1760">
        <v>0</v>
      </c>
      <c r="CJ1760">
        <v>5.6</v>
      </c>
      <c r="CK1760">
        <v>75</v>
      </c>
      <c r="CL1760">
        <v>-0.82</v>
      </c>
      <c r="CM1760">
        <v>72</v>
      </c>
      <c r="CN1760">
        <v>-0.48</v>
      </c>
      <c r="CO1760">
        <v>71</v>
      </c>
      <c r="CP1760">
        <v>5.0999999999999996</v>
      </c>
      <c r="CQ1760">
        <v>53</v>
      </c>
      <c r="CR1760">
        <v>0</v>
      </c>
      <c r="CS1760">
        <v>0</v>
      </c>
      <c r="CT1760">
        <v>9.1</v>
      </c>
      <c r="CU1760">
        <v>50</v>
      </c>
      <c r="CV1760">
        <v>0.22</v>
      </c>
      <c r="CW1760">
        <v>41</v>
      </c>
      <c r="CX1760" t="s">
        <v>13353</v>
      </c>
    </row>
    <row r="1761" spans="1:102" x14ac:dyDescent="0.3">
      <c r="A1761" t="str">
        <f>HYPERLINK("https://webapp.icbf.com/v2/app/bull-search/view/1599959047","FR4731")</f>
        <v>FR4731</v>
      </c>
      <c r="B1761" t="s">
        <v>14027</v>
      </c>
      <c r="C1761" t="s">
        <v>14028</v>
      </c>
      <c r="D1761" s="1">
        <v>42642</v>
      </c>
      <c r="E1761" t="s">
        <v>92</v>
      </c>
      <c r="F1761">
        <v>100</v>
      </c>
      <c r="G1761" t="s">
        <v>435</v>
      </c>
      <c r="H1761">
        <v>88.02</v>
      </c>
      <c r="I1761">
        <v>66</v>
      </c>
      <c r="J1761">
        <v>49.3</v>
      </c>
      <c r="K1761">
        <v>87</v>
      </c>
      <c r="L1761">
        <v>-19.25</v>
      </c>
      <c r="M1761">
        <v>65</v>
      </c>
      <c r="N1761">
        <v>42.09</v>
      </c>
      <c r="O1761">
        <v>58</v>
      </c>
      <c r="P1761">
        <v>0</v>
      </c>
      <c r="Q1761">
        <v>35</v>
      </c>
      <c r="R1761">
        <v>24.91</v>
      </c>
      <c r="S1761">
        <v>60</v>
      </c>
      <c r="T1761">
        <v>-15.11</v>
      </c>
      <c r="U1761">
        <v>34</v>
      </c>
      <c r="V1761">
        <v>6.08</v>
      </c>
      <c r="W1761">
        <v>52</v>
      </c>
      <c r="X1761" t="s">
        <v>94</v>
      </c>
      <c r="Y1761" t="s">
        <v>442</v>
      </c>
      <c r="Z1761" t="s">
        <v>96</v>
      </c>
      <c r="AA1761" t="s">
        <v>9460</v>
      </c>
      <c r="AB1761" t="s">
        <v>14029</v>
      </c>
      <c r="AC1761">
        <v>0</v>
      </c>
      <c r="AD1761">
        <v>0</v>
      </c>
      <c r="AE1761">
        <v>87</v>
      </c>
      <c r="AF1761">
        <v>171.42</v>
      </c>
      <c r="AG1761">
        <v>12.12</v>
      </c>
      <c r="AH1761">
        <v>6.72</v>
      </c>
      <c r="AI1761">
        <v>0.09</v>
      </c>
      <c r="AJ1761">
        <v>0.02</v>
      </c>
      <c r="AK1761">
        <v>65</v>
      </c>
      <c r="AL1761">
        <v>0</v>
      </c>
      <c r="AM1761">
        <v>0</v>
      </c>
      <c r="AN1761">
        <v>2.21</v>
      </c>
      <c r="AO1761">
        <v>0.69</v>
      </c>
      <c r="AP1761">
        <v>6</v>
      </c>
      <c r="AQ1761">
        <v>0</v>
      </c>
      <c r="AR1761">
        <v>5.61</v>
      </c>
      <c r="AS1761">
        <v>49</v>
      </c>
      <c r="AT1761">
        <v>2.2400000000000002</v>
      </c>
      <c r="AU1761">
        <v>88</v>
      </c>
      <c r="AV1761">
        <v>-3.91</v>
      </c>
      <c r="AW1761">
        <v>57</v>
      </c>
      <c r="AX1761">
        <v>0.39</v>
      </c>
      <c r="AY1761">
        <v>39</v>
      </c>
      <c r="AZ1761">
        <v>6.02</v>
      </c>
      <c r="BA1761">
        <v>32</v>
      </c>
      <c r="BB1761">
        <v>5.0199999999999996</v>
      </c>
      <c r="BC1761">
        <v>33</v>
      </c>
      <c r="BD1761">
        <v>-0.1</v>
      </c>
      <c r="BE1761">
        <v>-0.14000000000000001</v>
      </c>
      <c r="BF1761">
        <v>-0.14000000000000001</v>
      </c>
      <c r="BG1761">
        <v>73</v>
      </c>
      <c r="BH1761">
        <v>0.01</v>
      </c>
      <c r="BI1761">
        <v>-18.440000000000001</v>
      </c>
      <c r="BJ1761">
        <v>0</v>
      </c>
      <c r="BK1761">
        <v>0</v>
      </c>
      <c r="BL1761">
        <v>2.12</v>
      </c>
      <c r="BM1761">
        <v>-7.0000000000000007E-2</v>
      </c>
      <c r="BN1761">
        <v>1.55</v>
      </c>
      <c r="BO1761">
        <v>1.41</v>
      </c>
      <c r="BP1761">
        <v>1.41</v>
      </c>
      <c r="BQ1761">
        <v>1.01</v>
      </c>
      <c r="BR1761">
        <v>-0.99</v>
      </c>
      <c r="BS1761">
        <v>3.62</v>
      </c>
      <c r="BT1761">
        <v>1.83</v>
      </c>
      <c r="BU1761">
        <v>6.16</v>
      </c>
      <c r="BV1761">
        <v>4.21</v>
      </c>
      <c r="BW1761">
        <v>4.1500000000000004</v>
      </c>
      <c r="BX1761">
        <v>5.34</v>
      </c>
      <c r="BY1761">
        <v>2.15</v>
      </c>
      <c r="BZ1761">
        <v>0.06</v>
      </c>
      <c r="CA1761">
        <v>4.3600000000000003</v>
      </c>
      <c r="CB1761">
        <v>4.1900000000000004</v>
      </c>
      <c r="CC1761">
        <v>2.94</v>
      </c>
      <c r="CD1761">
        <v>0.12</v>
      </c>
      <c r="CE1761">
        <v>1.33</v>
      </c>
      <c r="CF1761">
        <v>1.81</v>
      </c>
      <c r="CG1761">
        <v>0</v>
      </c>
      <c r="CH1761">
        <v>2.5499999999999998</v>
      </c>
      <c r="CI1761">
        <v>0</v>
      </c>
      <c r="CJ1761">
        <v>1.7</v>
      </c>
      <c r="CK1761">
        <v>35</v>
      </c>
      <c r="CL1761">
        <v>-1.77</v>
      </c>
      <c r="CM1761">
        <v>35</v>
      </c>
      <c r="CN1761">
        <v>-1.28</v>
      </c>
      <c r="CO1761">
        <v>35</v>
      </c>
      <c r="CP1761">
        <v>6.2</v>
      </c>
      <c r="CQ1761">
        <v>34</v>
      </c>
      <c r="CR1761">
        <v>0</v>
      </c>
      <c r="CS1761">
        <v>0</v>
      </c>
      <c r="CT1761">
        <v>34.200000000000003</v>
      </c>
      <c r="CU1761">
        <v>34</v>
      </c>
      <c r="CV1761">
        <v>0.23</v>
      </c>
      <c r="CW1761">
        <v>32</v>
      </c>
      <c r="CX1761" t="s">
        <v>2216</v>
      </c>
    </row>
    <row r="1762" spans="1:102" x14ac:dyDescent="0.3">
      <c r="A1762" t="str">
        <f>HYPERLINK("https://webapp.icbf.com/v2/app/bull-search/view/495541811","WOG")</f>
        <v>WOG</v>
      </c>
      <c r="B1762" t="s">
        <v>4817</v>
      </c>
      <c r="C1762" t="s">
        <v>4818</v>
      </c>
      <c r="D1762" s="1">
        <v>39108</v>
      </c>
      <c r="E1762" t="s">
        <v>92</v>
      </c>
      <c r="F1762">
        <v>100</v>
      </c>
      <c r="G1762" t="s">
        <v>93</v>
      </c>
      <c r="H1762">
        <v>87.98</v>
      </c>
      <c r="I1762">
        <v>91</v>
      </c>
      <c r="J1762">
        <v>34.090000000000003</v>
      </c>
      <c r="K1762">
        <v>98</v>
      </c>
      <c r="L1762">
        <v>-10.83</v>
      </c>
      <c r="M1762">
        <v>85</v>
      </c>
      <c r="N1762">
        <v>48.64</v>
      </c>
      <c r="O1762">
        <v>89</v>
      </c>
      <c r="P1762">
        <v>-4.21</v>
      </c>
      <c r="Q1762">
        <v>95</v>
      </c>
      <c r="R1762">
        <v>2.46</v>
      </c>
      <c r="S1762">
        <v>86</v>
      </c>
      <c r="T1762">
        <v>10.27</v>
      </c>
      <c r="U1762">
        <v>90</v>
      </c>
      <c r="V1762">
        <v>7.56</v>
      </c>
      <c r="W1762">
        <v>86</v>
      </c>
      <c r="X1762" t="s">
        <v>102</v>
      </c>
      <c r="Y1762" t="s">
        <v>1374</v>
      </c>
      <c r="Z1762" t="s">
        <v>96</v>
      </c>
      <c r="AA1762" t="s">
        <v>358</v>
      </c>
      <c r="AB1762" t="s">
        <v>4819</v>
      </c>
      <c r="AC1762">
        <v>133</v>
      </c>
      <c r="AD1762">
        <v>74</v>
      </c>
      <c r="AE1762">
        <v>98</v>
      </c>
      <c r="AF1762">
        <v>275.17</v>
      </c>
      <c r="AG1762">
        <v>6.36</v>
      </c>
      <c r="AH1762">
        <v>7.76</v>
      </c>
      <c r="AI1762">
        <v>-7.0000000000000007E-2</v>
      </c>
      <c r="AJ1762">
        <v>-0.03</v>
      </c>
      <c r="AK1762">
        <v>85</v>
      </c>
      <c r="AL1762">
        <v>145</v>
      </c>
      <c r="AM1762">
        <v>79</v>
      </c>
      <c r="AN1762">
        <v>1.68</v>
      </c>
      <c r="AO1762">
        <v>0.83</v>
      </c>
      <c r="AP1762">
        <v>233</v>
      </c>
      <c r="AQ1762">
        <v>2</v>
      </c>
      <c r="AR1762">
        <v>3.73</v>
      </c>
      <c r="AS1762">
        <v>79</v>
      </c>
      <c r="AT1762">
        <v>1.62</v>
      </c>
      <c r="AU1762">
        <v>91</v>
      </c>
      <c r="AV1762">
        <v>-3.28</v>
      </c>
      <c r="AW1762">
        <v>96</v>
      </c>
      <c r="AX1762">
        <v>-0.85</v>
      </c>
      <c r="AY1762">
        <v>87</v>
      </c>
      <c r="AZ1762">
        <v>5.9</v>
      </c>
      <c r="BA1762">
        <v>73</v>
      </c>
      <c r="BB1762">
        <v>4.82</v>
      </c>
      <c r="BC1762">
        <v>74</v>
      </c>
      <c r="BD1762">
        <v>-0.01</v>
      </c>
      <c r="BE1762">
        <v>0</v>
      </c>
      <c r="BF1762">
        <v>-0.04</v>
      </c>
      <c r="BG1762">
        <v>92</v>
      </c>
      <c r="BH1762">
        <v>0.08</v>
      </c>
      <c r="BI1762">
        <v>-15.12</v>
      </c>
      <c r="BJ1762">
        <v>20</v>
      </c>
      <c r="BK1762">
        <v>9</v>
      </c>
      <c r="BL1762">
        <v>0.15</v>
      </c>
      <c r="BM1762">
        <v>-0.39</v>
      </c>
      <c r="BN1762">
        <v>-0.56000000000000005</v>
      </c>
      <c r="BO1762">
        <v>-0.02</v>
      </c>
      <c r="BP1762">
        <v>3.98</v>
      </c>
      <c r="BQ1762">
        <v>-1.84</v>
      </c>
      <c r="BR1762">
        <v>0.57999999999999996</v>
      </c>
      <c r="BS1762">
        <v>1.18</v>
      </c>
      <c r="BT1762">
        <v>-0.56000000000000005</v>
      </c>
      <c r="BU1762">
        <v>0.56000000000000005</v>
      </c>
      <c r="BV1762">
        <v>0.18</v>
      </c>
      <c r="BW1762">
        <v>0.04</v>
      </c>
      <c r="BX1762">
        <v>0.4</v>
      </c>
      <c r="BY1762">
        <v>0.98</v>
      </c>
      <c r="BZ1762">
        <v>0.51</v>
      </c>
      <c r="CA1762">
        <v>0.98</v>
      </c>
      <c r="CB1762">
        <v>0.71</v>
      </c>
      <c r="CC1762">
        <v>0.98</v>
      </c>
      <c r="CD1762">
        <v>-0.65</v>
      </c>
      <c r="CE1762">
        <v>0.11</v>
      </c>
      <c r="CF1762">
        <v>-0.1</v>
      </c>
      <c r="CG1762">
        <v>0</v>
      </c>
      <c r="CH1762">
        <v>1.53</v>
      </c>
      <c r="CI1762">
        <v>0</v>
      </c>
      <c r="CJ1762">
        <v>0.7</v>
      </c>
      <c r="CK1762">
        <v>96</v>
      </c>
      <c r="CL1762">
        <v>-0.77</v>
      </c>
      <c r="CM1762">
        <v>95</v>
      </c>
      <c r="CN1762">
        <v>-0.27</v>
      </c>
      <c r="CO1762">
        <v>94</v>
      </c>
      <c r="CP1762">
        <v>-2.6</v>
      </c>
      <c r="CQ1762">
        <v>91</v>
      </c>
      <c r="CR1762">
        <v>0</v>
      </c>
      <c r="CS1762">
        <v>0</v>
      </c>
      <c r="CT1762">
        <v>-0.1</v>
      </c>
      <c r="CU1762">
        <v>90</v>
      </c>
      <c r="CV1762">
        <v>7.0000000000000007E-2</v>
      </c>
      <c r="CW1762">
        <v>45</v>
      </c>
      <c r="CX1762" t="s">
        <v>273</v>
      </c>
    </row>
    <row r="1763" spans="1:102" x14ac:dyDescent="0.3">
      <c r="A1763" t="str">
        <f>HYPERLINK("https://webapp.icbf.com/v2/app/bull-search/view/1126730589","FR2029")</f>
        <v>FR2029</v>
      </c>
      <c r="B1763" t="s">
        <v>15545</v>
      </c>
      <c r="C1763" t="s">
        <v>15546</v>
      </c>
      <c r="D1763" s="1">
        <v>41590</v>
      </c>
      <c r="E1763" t="s">
        <v>92</v>
      </c>
      <c r="F1763">
        <v>100</v>
      </c>
      <c r="G1763" t="s">
        <v>93</v>
      </c>
      <c r="H1763">
        <v>87.92</v>
      </c>
      <c r="I1763">
        <v>79</v>
      </c>
      <c r="J1763">
        <v>41.74</v>
      </c>
      <c r="K1763">
        <v>93</v>
      </c>
      <c r="L1763">
        <v>12.21</v>
      </c>
      <c r="M1763">
        <v>74</v>
      </c>
      <c r="N1763">
        <v>31.1</v>
      </c>
      <c r="O1763">
        <v>77</v>
      </c>
      <c r="P1763">
        <v>-1.39</v>
      </c>
      <c r="Q1763">
        <v>82</v>
      </c>
      <c r="R1763">
        <v>7.89</v>
      </c>
      <c r="S1763">
        <v>71</v>
      </c>
      <c r="T1763">
        <v>-8.9700000000000006</v>
      </c>
      <c r="U1763">
        <v>55</v>
      </c>
      <c r="V1763">
        <v>5.34</v>
      </c>
      <c r="W1763">
        <v>63</v>
      </c>
      <c r="X1763" t="s">
        <v>94</v>
      </c>
      <c r="Y1763" t="s">
        <v>416</v>
      </c>
      <c r="Z1763" t="s">
        <v>96</v>
      </c>
      <c r="AA1763" t="s">
        <v>432</v>
      </c>
      <c r="AB1763" t="s">
        <v>6073</v>
      </c>
      <c r="AC1763">
        <v>29</v>
      </c>
      <c r="AD1763">
        <v>18</v>
      </c>
      <c r="AE1763">
        <v>93</v>
      </c>
      <c r="AF1763">
        <v>329.51</v>
      </c>
      <c r="AG1763">
        <v>5.04</v>
      </c>
      <c r="AH1763">
        <v>10.36</v>
      </c>
      <c r="AI1763">
        <v>-0.13</v>
      </c>
      <c r="AJ1763">
        <v>-0.01</v>
      </c>
      <c r="AK1763">
        <v>74</v>
      </c>
      <c r="AL1763">
        <v>20</v>
      </c>
      <c r="AM1763">
        <v>9</v>
      </c>
      <c r="AN1763">
        <v>-0.15</v>
      </c>
      <c r="AO1763">
        <v>0.83</v>
      </c>
      <c r="AP1763">
        <v>92</v>
      </c>
      <c r="AQ1763">
        <v>0</v>
      </c>
      <c r="AR1763">
        <v>7.7</v>
      </c>
      <c r="AS1763">
        <v>70</v>
      </c>
      <c r="AT1763">
        <v>2.78</v>
      </c>
      <c r="AU1763">
        <v>82</v>
      </c>
      <c r="AV1763">
        <v>-3.31</v>
      </c>
      <c r="AW1763">
        <v>89</v>
      </c>
      <c r="AX1763">
        <v>-0.54</v>
      </c>
      <c r="AY1763">
        <v>70</v>
      </c>
      <c r="AZ1763">
        <v>5.6</v>
      </c>
      <c r="BA1763">
        <v>56</v>
      </c>
      <c r="BB1763">
        <v>5.1100000000000003</v>
      </c>
      <c r="BC1763">
        <v>48</v>
      </c>
      <c r="BD1763">
        <v>0.01</v>
      </c>
      <c r="BE1763">
        <v>-0.02</v>
      </c>
      <c r="BF1763">
        <v>-0.16</v>
      </c>
      <c r="BG1763">
        <v>82</v>
      </c>
      <c r="BH1763">
        <v>0</v>
      </c>
      <c r="BI1763">
        <v>-17.22</v>
      </c>
      <c r="BJ1763">
        <v>4</v>
      </c>
      <c r="BK1763">
        <v>2</v>
      </c>
      <c r="BL1763">
        <v>1.96</v>
      </c>
      <c r="BM1763">
        <v>1.33</v>
      </c>
      <c r="BN1763">
        <v>1.88</v>
      </c>
      <c r="BO1763">
        <v>0.5</v>
      </c>
      <c r="BP1763">
        <v>-0.15</v>
      </c>
      <c r="BQ1763">
        <v>1.93</v>
      </c>
      <c r="BR1763">
        <v>-0.56999999999999995</v>
      </c>
      <c r="BS1763">
        <v>0.6</v>
      </c>
      <c r="BT1763">
        <v>1.19</v>
      </c>
      <c r="BU1763">
        <v>2.67</v>
      </c>
      <c r="BV1763">
        <v>2.0099999999999998</v>
      </c>
      <c r="BW1763">
        <v>2.06</v>
      </c>
      <c r="BX1763">
        <v>1.59</v>
      </c>
      <c r="BY1763">
        <v>2.0699999999999998</v>
      </c>
      <c r="BZ1763">
        <v>-0.35</v>
      </c>
      <c r="CA1763">
        <v>2.0299999999999998</v>
      </c>
      <c r="CB1763">
        <v>2.19</v>
      </c>
      <c r="CC1763">
        <v>0.95</v>
      </c>
      <c r="CD1763">
        <v>1.07</v>
      </c>
      <c r="CE1763">
        <v>0.68</v>
      </c>
      <c r="CF1763">
        <v>1.74</v>
      </c>
      <c r="CG1763">
        <v>0</v>
      </c>
      <c r="CH1763">
        <v>3.45</v>
      </c>
      <c r="CI1763">
        <v>0</v>
      </c>
      <c r="CJ1763">
        <v>0.2</v>
      </c>
      <c r="CK1763">
        <v>85</v>
      </c>
      <c r="CL1763">
        <v>-1.01</v>
      </c>
      <c r="CM1763">
        <v>83</v>
      </c>
      <c r="CN1763">
        <v>-0.67</v>
      </c>
      <c r="CO1763">
        <v>81</v>
      </c>
      <c r="CP1763">
        <v>6.1</v>
      </c>
      <c r="CQ1763">
        <v>62</v>
      </c>
      <c r="CR1763">
        <v>0</v>
      </c>
      <c r="CS1763">
        <v>0</v>
      </c>
      <c r="CT1763">
        <v>25.9</v>
      </c>
      <c r="CU1763">
        <v>55</v>
      </c>
      <c r="CV1763">
        <v>0.19</v>
      </c>
      <c r="CW1763">
        <v>43</v>
      </c>
      <c r="CX1763" t="s">
        <v>309</v>
      </c>
    </row>
    <row r="1764" spans="1:102" x14ac:dyDescent="0.3">
      <c r="A1764" t="str">
        <f>HYPERLINK("https://webapp.icbf.com/v2/app/bull-search/view/444592766","CXC")</f>
        <v>CXC</v>
      </c>
      <c r="B1764" t="s">
        <v>7455</v>
      </c>
      <c r="C1764" t="s">
        <v>4775</v>
      </c>
      <c r="D1764" s="1">
        <v>34936</v>
      </c>
      <c r="E1764" t="s">
        <v>92</v>
      </c>
      <c r="F1764">
        <v>75</v>
      </c>
      <c r="G1764" t="s">
        <v>93</v>
      </c>
      <c r="H1764">
        <v>87.84</v>
      </c>
      <c r="I1764">
        <v>98</v>
      </c>
      <c r="J1764">
        <v>30.99</v>
      </c>
      <c r="K1764">
        <v>99</v>
      </c>
      <c r="L1764">
        <v>31.43</v>
      </c>
      <c r="M1764">
        <v>96</v>
      </c>
      <c r="N1764">
        <v>9.7100000000000009</v>
      </c>
      <c r="O1764">
        <v>99</v>
      </c>
      <c r="P1764">
        <v>-9.6199999999999992</v>
      </c>
      <c r="Q1764">
        <v>99</v>
      </c>
      <c r="R1764">
        <v>4.45</v>
      </c>
      <c r="S1764">
        <v>98</v>
      </c>
      <c r="T1764">
        <v>14.57</v>
      </c>
      <c r="U1764">
        <v>99</v>
      </c>
      <c r="V1764">
        <v>6.31</v>
      </c>
      <c r="W1764">
        <v>99</v>
      </c>
      <c r="X1764" t="s">
        <v>94</v>
      </c>
      <c r="Y1764" t="s">
        <v>221</v>
      </c>
      <c r="Z1764" t="s">
        <v>330</v>
      </c>
      <c r="AA1764" t="s">
        <v>4428</v>
      </c>
      <c r="AB1764" t="s">
        <v>7456</v>
      </c>
      <c r="AC1764">
        <v>2378</v>
      </c>
      <c r="AD1764">
        <v>894</v>
      </c>
      <c r="AE1764">
        <v>99</v>
      </c>
      <c r="AF1764">
        <v>143.88</v>
      </c>
      <c r="AG1764">
        <v>6.14</v>
      </c>
      <c r="AH1764">
        <v>5.3</v>
      </c>
      <c r="AI1764">
        <v>0.01</v>
      </c>
      <c r="AJ1764">
        <v>0.01</v>
      </c>
      <c r="AK1764">
        <v>96</v>
      </c>
      <c r="AL1764">
        <v>2724</v>
      </c>
      <c r="AM1764">
        <v>1146</v>
      </c>
      <c r="AN1764">
        <v>-0.68</v>
      </c>
      <c r="AO1764">
        <v>1.84</v>
      </c>
      <c r="AP1764">
        <v>3888</v>
      </c>
      <c r="AQ1764">
        <v>34</v>
      </c>
      <c r="AR1764">
        <v>6.65</v>
      </c>
      <c r="AS1764">
        <v>99</v>
      </c>
      <c r="AT1764">
        <v>2.68</v>
      </c>
      <c r="AU1764">
        <v>99</v>
      </c>
      <c r="AV1764">
        <v>-1.1299999999999999</v>
      </c>
      <c r="AW1764">
        <v>99</v>
      </c>
      <c r="AX1764">
        <v>-0.7</v>
      </c>
      <c r="AY1764">
        <v>99</v>
      </c>
      <c r="AZ1764">
        <v>7.81</v>
      </c>
      <c r="BA1764">
        <v>97</v>
      </c>
      <c r="BB1764">
        <v>5.93</v>
      </c>
      <c r="BC1764">
        <v>97</v>
      </c>
      <c r="BD1764">
        <v>-0.05</v>
      </c>
      <c r="BE1764">
        <v>-0.01</v>
      </c>
      <c r="BF1764">
        <v>0</v>
      </c>
      <c r="BG1764">
        <v>99</v>
      </c>
      <c r="BH1764">
        <v>0.11</v>
      </c>
      <c r="BI1764">
        <v>-7.63</v>
      </c>
      <c r="BJ1764">
        <v>111</v>
      </c>
      <c r="BK1764">
        <v>48</v>
      </c>
      <c r="BL1764">
        <v>-0.5</v>
      </c>
      <c r="BM1764">
        <v>0.37</v>
      </c>
      <c r="BN1764">
        <v>-0.3</v>
      </c>
      <c r="BO1764">
        <v>-0.65</v>
      </c>
      <c r="BP1764">
        <v>1.35</v>
      </c>
      <c r="BQ1764">
        <v>-2.15</v>
      </c>
      <c r="BR1764">
        <v>-2.42</v>
      </c>
      <c r="BS1764">
        <v>0.01</v>
      </c>
      <c r="BT1764">
        <v>0.37</v>
      </c>
      <c r="BU1764">
        <v>1.06</v>
      </c>
      <c r="BV1764">
        <v>0.53</v>
      </c>
      <c r="BW1764">
        <v>-0.38</v>
      </c>
      <c r="BX1764">
        <v>-0.3</v>
      </c>
      <c r="BY1764">
        <v>0.88</v>
      </c>
      <c r="BZ1764">
        <v>-1.65</v>
      </c>
      <c r="CA1764">
        <v>-0.04</v>
      </c>
      <c r="CB1764">
        <v>0.33</v>
      </c>
      <c r="CC1764">
        <v>-0.89</v>
      </c>
      <c r="CD1764">
        <v>0.06</v>
      </c>
      <c r="CE1764">
        <v>0.43</v>
      </c>
      <c r="CF1764">
        <v>-1.4</v>
      </c>
      <c r="CG1764">
        <v>0</v>
      </c>
      <c r="CH1764">
        <v>-0.9</v>
      </c>
      <c r="CI1764">
        <v>0</v>
      </c>
      <c r="CJ1764">
        <v>-3.9</v>
      </c>
      <c r="CK1764">
        <v>99</v>
      </c>
      <c r="CL1764">
        <v>-0.69</v>
      </c>
      <c r="CM1764">
        <v>99</v>
      </c>
      <c r="CN1764">
        <v>-0.35</v>
      </c>
      <c r="CO1764">
        <v>99</v>
      </c>
      <c r="CP1764">
        <v>-8.1</v>
      </c>
      <c r="CQ1764">
        <v>99</v>
      </c>
      <c r="CR1764">
        <v>0</v>
      </c>
      <c r="CS1764">
        <v>0</v>
      </c>
      <c r="CT1764">
        <v>-5.9</v>
      </c>
      <c r="CU1764">
        <v>99</v>
      </c>
      <c r="CV1764">
        <v>0.01</v>
      </c>
      <c r="CW1764">
        <v>48</v>
      </c>
      <c r="CX1764" t="s">
        <v>3797</v>
      </c>
    </row>
    <row r="1765" spans="1:102" x14ac:dyDescent="0.3">
      <c r="A1765" t="str">
        <f>HYPERLINK("https://webapp.icbf.com/v2/app/bull-search/view/670224251","SXJ")</f>
        <v>SXJ</v>
      </c>
      <c r="B1765" t="s">
        <v>12878</v>
      </c>
      <c r="C1765" t="s">
        <v>12879</v>
      </c>
      <c r="D1765" s="1">
        <v>39865</v>
      </c>
      <c r="E1765" t="s">
        <v>92</v>
      </c>
      <c r="F1765">
        <v>53</v>
      </c>
      <c r="G1765" t="s">
        <v>93</v>
      </c>
      <c r="H1765">
        <v>87.84</v>
      </c>
      <c r="I1765">
        <v>85</v>
      </c>
      <c r="J1765">
        <v>49.76</v>
      </c>
      <c r="K1765">
        <v>96</v>
      </c>
      <c r="L1765">
        <v>6.13</v>
      </c>
      <c r="M1765">
        <v>76</v>
      </c>
      <c r="N1765">
        <v>19.010000000000002</v>
      </c>
      <c r="O1765">
        <v>84</v>
      </c>
      <c r="P1765">
        <v>-7.16</v>
      </c>
      <c r="Q1765">
        <v>91</v>
      </c>
      <c r="R1765">
        <v>5.62</v>
      </c>
      <c r="S1765">
        <v>76</v>
      </c>
      <c r="T1765">
        <v>18.34</v>
      </c>
      <c r="U1765">
        <v>81</v>
      </c>
      <c r="V1765">
        <v>-3.86</v>
      </c>
      <c r="W1765">
        <v>74</v>
      </c>
      <c r="X1765" t="s">
        <v>94</v>
      </c>
      <c r="Y1765" t="s">
        <v>1727</v>
      </c>
      <c r="Z1765" t="s">
        <v>330</v>
      </c>
      <c r="AA1765" t="s">
        <v>1760</v>
      </c>
      <c r="AB1765" t="s">
        <v>144</v>
      </c>
      <c r="AC1765">
        <v>81</v>
      </c>
      <c r="AD1765">
        <v>63</v>
      </c>
      <c r="AE1765">
        <v>96</v>
      </c>
      <c r="AF1765">
        <v>143.32</v>
      </c>
      <c r="AG1765">
        <v>14.49</v>
      </c>
      <c r="AH1765">
        <v>5.53</v>
      </c>
      <c r="AI1765">
        <v>0.15</v>
      </c>
      <c r="AJ1765">
        <v>0.01</v>
      </c>
      <c r="AK1765">
        <v>76</v>
      </c>
      <c r="AL1765">
        <v>81</v>
      </c>
      <c r="AM1765">
        <v>61</v>
      </c>
      <c r="AN1765">
        <v>-0.24</v>
      </c>
      <c r="AO1765">
        <v>0.25</v>
      </c>
      <c r="AP1765">
        <v>182</v>
      </c>
      <c r="AQ1765">
        <v>2</v>
      </c>
      <c r="AR1765">
        <v>6.59</v>
      </c>
      <c r="AS1765">
        <v>67</v>
      </c>
      <c r="AT1765">
        <v>2.5499999999999998</v>
      </c>
      <c r="AU1765">
        <v>86</v>
      </c>
      <c r="AV1765">
        <v>-2.57</v>
      </c>
      <c r="AW1765">
        <v>96</v>
      </c>
      <c r="AX1765">
        <v>-0.19</v>
      </c>
      <c r="AY1765">
        <v>78</v>
      </c>
      <c r="AZ1765">
        <v>8.2799999999999994</v>
      </c>
      <c r="BA1765">
        <v>62</v>
      </c>
      <c r="BB1765">
        <v>6.11</v>
      </c>
      <c r="BC1765">
        <v>64</v>
      </c>
      <c r="BD1765">
        <v>-0.08</v>
      </c>
      <c r="BE1765">
        <v>-0.04</v>
      </c>
      <c r="BF1765">
        <v>0.08</v>
      </c>
      <c r="BG1765">
        <v>87</v>
      </c>
      <c r="BH1765">
        <v>-0.1</v>
      </c>
      <c r="BI1765">
        <v>0.89</v>
      </c>
      <c r="BJ1765">
        <v>4</v>
      </c>
      <c r="BK1765">
        <v>4</v>
      </c>
      <c r="BL1765">
        <v>-0.84</v>
      </c>
      <c r="BM1765">
        <v>2.48</v>
      </c>
      <c r="BN1765">
        <v>0.5</v>
      </c>
      <c r="BO1765">
        <v>-1.27</v>
      </c>
      <c r="BP1765">
        <v>0.9</v>
      </c>
      <c r="BQ1765">
        <v>0.57999999999999996</v>
      </c>
      <c r="BR1765">
        <v>0.31</v>
      </c>
      <c r="BS1765">
        <v>-0.57999999999999996</v>
      </c>
      <c r="BT1765">
        <v>-0.78</v>
      </c>
      <c r="BU1765">
        <v>-0.55000000000000004</v>
      </c>
      <c r="BV1765">
        <v>-1.84</v>
      </c>
      <c r="BW1765">
        <v>-1.64</v>
      </c>
      <c r="BX1765">
        <v>-1.1499999999999999</v>
      </c>
      <c r="BY1765">
        <v>-1.99</v>
      </c>
      <c r="BZ1765">
        <v>2.29</v>
      </c>
      <c r="CA1765">
        <v>-1.01</v>
      </c>
      <c r="CB1765">
        <v>-1.1599999999999999</v>
      </c>
      <c r="CC1765">
        <v>-0.34</v>
      </c>
      <c r="CD1765">
        <v>1.5</v>
      </c>
      <c r="CE1765">
        <v>-0.95</v>
      </c>
      <c r="CF1765">
        <v>-0.5</v>
      </c>
      <c r="CG1765">
        <v>0</v>
      </c>
      <c r="CH1765">
        <v>-1.59</v>
      </c>
      <c r="CI1765">
        <v>0</v>
      </c>
      <c r="CJ1765">
        <v>-3.1</v>
      </c>
      <c r="CK1765">
        <v>93</v>
      </c>
      <c r="CL1765">
        <v>-0.54</v>
      </c>
      <c r="CM1765">
        <v>91</v>
      </c>
      <c r="CN1765">
        <v>-0.33</v>
      </c>
      <c r="CO1765">
        <v>90</v>
      </c>
      <c r="CP1765">
        <v>-7.8</v>
      </c>
      <c r="CQ1765">
        <v>84</v>
      </c>
      <c r="CR1765">
        <v>0</v>
      </c>
      <c r="CS1765">
        <v>0</v>
      </c>
      <c r="CT1765">
        <v>-11</v>
      </c>
      <c r="CU1765">
        <v>81</v>
      </c>
      <c r="CV1765">
        <v>0.12</v>
      </c>
      <c r="CW1765">
        <v>44</v>
      </c>
      <c r="CX1765" t="s">
        <v>1883</v>
      </c>
    </row>
    <row r="1766" spans="1:102" x14ac:dyDescent="0.3">
      <c r="A1766" t="str">
        <f>HYPERLINK("https://webapp.icbf.com/v2/app/bull-search/view/440201345","DVT")</f>
        <v>DVT</v>
      </c>
      <c r="B1766" t="s">
        <v>8820</v>
      </c>
      <c r="C1766" t="s">
        <v>5893</v>
      </c>
      <c r="D1766" s="1">
        <v>38285</v>
      </c>
      <c r="E1766" t="s">
        <v>108</v>
      </c>
      <c r="F1766">
        <v>0</v>
      </c>
      <c r="G1766" t="s">
        <v>93</v>
      </c>
      <c r="H1766">
        <v>87.76</v>
      </c>
      <c r="I1766">
        <v>96</v>
      </c>
      <c r="J1766">
        <v>-0.82</v>
      </c>
      <c r="K1766">
        <v>99</v>
      </c>
      <c r="L1766">
        <v>42.58</v>
      </c>
      <c r="M1766">
        <v>92</v>
      </c>
      <c r="N1766">
        <v>40.53</v>
      </c>
      <c r="O1766">
        <v>97</v>
      </c>
      <c r="P1766">
        <v>-14.24</v>
      </c>
      <c r="Q1766">
        <v>99</v>
      </c>
      <c r="R1766">
        <v>2.58</v>
      </c>
      <c r="S1766">
        <v>94</v>
      </c>
      <c r="T1766">
        <v>9.9</v>
      </c>
      <c r="U1766">
        <v>97</v>
      </c>
      <c r="V1766">
        <v>7.23</v>
      </c>
      <c r="W1766">
        <v>94</v>
      </c>
      <c r="X1766" t="s">
        <v>102</v>
      </c>
      <c r="Y1766" t="s">
        <v>1164</v>
      </c>
      <c r="Z1766" t="s">
        <v>96</v>
      </c>
      <c r="AA1766" t="s">
        <v>8821</v>
      </c>
      <c r="AB1766" t="s">
        <v>8822</v>
      </c>
      <c r="AC1766">
        <v>593</v>
      </c>
      <c r="AD1766">
        <v>184</v>
      </c>
      <c r="AE1766">
        <v>99</v>
      </c>
      <c r="AF1766">
        <v>-151.82</v>
      </c>
      <c r="AG1766">
        <v>-1.59</v>
      </c>
      <c r="AH1766">
        <v>-1.9</v>
      </c>
      <c r="AI1766">
        <v>0.08</v>
      </c>
      <c r="AJ1766">
        <v>0.06</v>
      </c>
      <c r="AK1766">
        <v>92</v>
      </c>
      <c r="AL1766">
        <v>673</v>
      </c>
      <c r="AM1766">
        <v>232</v>
      </c>
      <c r="AN1766">
        <v>-2.76</v>
      </c>
      <c r="AO1766">
        <v>0.63</v>
      </c>
      <c r="AP1766">
        <v>1123</v>
      </c>
      <c r="AQ1766">
        <v>8</v>
      </c>
      <c r="AR1766">
        <v>4.8099999999999996</v>
      </c>
      <c r="AS1766">
        <v>96</v>
      </c>
      <c r="AT1766">
        <v>2.0499999999999998</v>
      </c>
      <c r="AU1766">
        <v>97</v>
      </c>
      <c r="AV1766">
        <v>-4.22</v>
      </c>
      <c r="AW1766">
        <v>99</v>
      </c>
      <c r="AX1766">
        <v>-0.41</v>
      </c>
      <c r="AY1766">
        <v>97</v>
      </c>
      <c r="AZ1766">
        <v>7.72</v>
      </c>
      <c r="BA1766">
        <v>92</v>
      </c>
      <c r="BB1766">
        <v>6.18</v>
      </c>
      <c r="BC1766">
        <v>92</v>
      </c>
      <c r="BD1766">
        <v>-0.02</v>
      </c>
      <c r="BE1766">
        <v>-0.04</v>
      </c>
      <c r="BF1766">
        <v>0.05</v>
      </c>
      <c r="BG1766">
        <v>98</v>
      </c>
      <c r="BH1766">
        <v>0.05</v>
      </c>
      <c r="BI1766">
        <v>-17.55</v>
      </c>
      <c r="BJ1766">
        <v>64</v>
      </c>
      <c r="BK1766">
        <v>31</v>
      </c>
      <c r="BL1766">
        <v>-2.87</v>
      </c>
      <c r="BM1766">
        <v>2.76</v>
      </c>
      <c r="BN1766">
        <v>-2.58</v>
      </c>
      <c r="BO1766">
        <v>-3.4</v>
      </c>
      <c r="BP1766">
        <v>0.96</v>
      </c>
      <c r="BQ1766">
        <v>4.3</v>
      </c>
      <c r="BR1766">
        <v>-2.0299999999999998</v>
      </c>
      <c r="BS1766">
        <v>2.06</v>
      </c>
      <c r="BT1766">
        <v>1.23</v>
      </c>
      <c r="BU1766">
        <v>-2.75</v>
      </c>
      <c r="BV1766">
        <v>-3.74</v>
      </c>
      <c r="BW1766">
        <v>-1.1100000000000001</v>
      </c>
      <c r="BX1766">
        <v>-0.79</v>
      </c>
      <c r="BY1766">
        <v>-0.75</v>
      </c>
      <c r="BZ1766">
        <v>-2.0299999999999998</v>
      </c>
      <c r="CA1766">
        <v>-1.84</v>
      </c>
      <c r="CB1766">
        <v>-2.78</v>
      </c>
      <c r="CC1766">
        <v>0.77</v>
      </c>
      <c r="CD1766">
        <v>3.02</v>
      </c>
      <c r="CE1766">
        <v>-3.09</v>
      </c>
      <c r="CF1766">
        <v>-0.95</v>
      </c>
      <c r="CG1766">
        <v>0</v>
      </c>
      <c r="CH1766">
        <v>-0.8</v>
      </c>
      <c r="CI1766">
        <v>0</v>
      </c>
      <c r="CJ1766">
        <v>-7.2</v>
      </c>
      <c r="CK1766">
        <v>99</v>
      </c>
      <c r="CL1766">
        <v>-0.14000000000000001</v>
      </c>
      <c r="CM1766">
        <v>99</v>
      </c>
      <c r="CN1766">
        <v>0.16</v>
      </c>
      <c r="CO1766">
        <v>99</v>
      </c>
      <c r="CP1766">
        <v>-6.6</v>
      </c>
      <c r="CQ1766">
        <v>98</v>
      </c>
      <c r="CR1766">
        <v>0</v>
      </c>
      <c r="CS1766">
        <v>0</v>
      </c>
      <c r="CT1766">
        <v>0.4</v>
      </c>
      <c r="CU1766">
        <v>97</v>
      </c>
      <c r="CV1766">
        <v>0.05</v>
      </c>
      <c r="CW1766">
        <v>46</v>
      </c>
      <c r="CX1766" t="s">
        <v>8823</v>
      </c>
    </row>
    <row r="1767" spans="1:102" x14ac:dyDescent="0.3">
      <c r="A1767" t="str">
        <f>HYPERLINK("https://webapp.icbf.com/v2/app/bull-search/view/760399956","GWZ")</f>
        <v>GWZ</v>
      </c>
      <c r="B1767" t="s">
        <v>5530</v>
      </c>
      <c r="C1767" t="s">
        <v>3081</v>
      </c>
      <c r="D1767" s="1">
        <v>40051</v>
      </c>
      <c r="E1767" t="s">
        <v>92</v>
      </c>
      <c r="F1767">
        <v>69</v>
      </c>
      <c r="G1767" t="s">
        <v>109</v>
      </c>
      <c r="H1767">
        <v>87.74</v>
      </c>
      <c r="I1767">
        <v>86</v>
      </c>
      <c r="J1767">
        <v>64.09</v>
      </c>
      <c r="K1767">
        <v>95</v>
      </c>
      <c r="L1767">
        <v>-11.64</v>
      </c>
      <c r="M1767">
        <v>85</v>
      </c>
      <c r="N1767">
        <v>21.4</v>
      </c>
      <c r="O1767">
        <v>81</v>
      </c>
      <c r="P1767">
        <v>-30.23</v>
      </c>
      <c r="Q1767">
        <v>84</v>
      </c>
      <c r="R1767">
        <v>9.8699999999999992</v>
      </c>
      <c r="S1767">
        <v>78</v>
      </c>
      <c r="T1767">
        <v>28.48</v>
      </c>
      <c r="U1767">
        <v>78</v>
      </c>
      <c r="V1767">
        <v>5.77</v>
      </c>
      <c r="W1767">
        <v>68</v>
      </c>
      <c r="X1767" t="s">
        <v>276</v>
      </c>
      <c r="Y1767" t="s">
        <v>329</v>
      </c>
      <c r="Z1767" t="s">
        <v>330</v>
      </c>
      <c r="AA1767" t="s">
        <v>5531</v>
      </c>
      <c r="AB1767" t="s">
        <v>5532</v>
      </c>
      <c r="AC1767">
        <v>34</v>
      </c>
      <c r="AD1767">
        <v>13</v>
      </c>
      <c r="AE1767">
        <v>95</v>
      </c>
      <c r="AF1767">
        <v>240.53</v>
      </c>
      <c r="AG1767">
        <v>6.62</v>
      </c>
      <c r="AH1767">
        <v>12.24</v>
      </c>
      <c r="AI1767">
        <v>-0.05</v>
      </c>
      <c r="AJ1767">
        <v>7.0000000000000007E-2</v>
      </c>
      <c r="AK1767">
        <v>85</v>
      </c>
      <c r="AL1767">
        <v>36</v>
      </c>
      <c r="AM1767">
        <v>17</v>
      </c>
      <c r="AN1767">
        <v>1.28</v>
      </c>
      <c r="AO1767">
        <v>0.36</v>
      </c>
      <c r="AP1767">
        <v>84</v>
      </c>
      <c r="AQ1767">
        <v>0</v>
      </c>
      <c r="AR1767">
        <v>5.04</v>
      </c>
      <c r="AS1767">
        <v>70</v>
      </c>
      <c r="AT1767">
        <v>1.79</v>
      </c>
      <c r="AU1767">
        <v>88</v>
      </c>
      <c r="AV1767">
        <v>-1.47</v>
      </c>
      <c r="AW1767">
        <v>90</v>
      </c>
      <c r="AX1767">
        <v>-0.37</v>
      </c>
      <c r="AY1767">
        <v>73</v>
      </c>
      <c r="AZ1767">
        <v>7.57</v>
      </c>
      <c r="BA1767">
        <v>61</v>
      </c>
      <c r="BB1767">
        <v>5.94</v>
      </c>
      <c r="BC1767">
        <v>58</v>
      </c>
      <c r="BD1767">
        <v>-0.06</v>
      </c>
      <c r="BE1767">
        <v>-0.03</v>
      </c>
      <c r="BF1767">
        <v>-7.0000000000000007E-2</v>
      </c>
      <c r="BG1767">
        <v>92</v>
      </c>
      <c r="BH1767">
        <v>0.1</v>
      </c>
      <c r="BI1767">
        <v>-7.06</v>
      </c>
      <c r="BJ1767">
        <v>0</v>
      </c>
      <c r="BK1767">
        <v>0</v>
      </c>
      <c r="BL1767">
        <v>-1.56</v>
      </c>
      <c r="BM1767">
        <v>-1.39</v>
      </c>
      <c r="BN1767">
        <v>-1.38</v>
      </c>
      <c r="BO1767">
        <v>-0.67</v>
      </c>
      <c r="BP1767">
        <v>-2.64</v>
      </c>
      <c r="BQ1767">
        <v>-1.77</v>
      </c>
      <c r="BR1767">
        <v>1</v>
      </c>
      <c r="BS1767">
        <v>-1.65</v>
      </c>
      <c r="BT1767">
        <v>-1.98</v>
      </c>
      <c r="BU1767">
        <v>-1.04</v>
      </c>
      <c r="BV1767">
        <v>-1.29</v>
      </c>
      <c r="BW1767">
        <v>-1.47</v>
      </c>
      <c r="BX1767">
        <v>-2.39</v>
      </c>
      <c r="BY1767">
        <v>-1.83</v>
      </c>
      <c r="BZ1767">
        <v>0.65</v>
      </c>
      <c r="CA1767">
        <v>-1.51</v>
      </c>
      <c r="CB1767">
        <v>-1.18</v>
      </c>
      <c r="CC1767">
        <v>-1.67</v>
      </c>
      <c r="CD1767">
        <v>-0.34</v>
      </c>
      <c r="CE1767">
        <v>-0.88</v>
      </c>
      <c r="CF1767">
        <v>-2</v>
      </c>
      <c r="CG1767">
        <v>0</v>
      </c>
      <c r="CH1767">
        <v>-2.0299999999999998</v>
      </c>
      <c r="CI1767">
        <v>0</v>
      </c>
      <c r="CJ1767">
        <v>-14.5</v>
      </c>
      <c r="CK1767">
        <v>86</v>
      </c>
      <c r="CL1767">
        <v>-0.85</v>
      </c>
      <c r="CM1767">
        <v>83</v>
      </c>
      <c r="CN1767">
        <v>-0.17</v>
      </c>
      <c r="CO1767">
        <v>81</v>
      </c>
      <c r="CP1767">
        <v>-22.9</v>
      </c>
      <c r="CQ1767">
        <v>76</v>
      </c>
      <c r="CR1767">
        <v>0</v>
      </c>
      <c r="CS1767">
        <v>0</v>
      </c>
      <c r="CT1767">
        <v>-24.7</v>
      </c>
      <c r="CU1767">
        <v>78</v>
      </c>
      <c r="CV1767">
        <v>0.04</v>
      </c>
      <c r="CW1767">
        <v>43</v>
      </c>
      <c r="CX1767" t="s">
        <v>1451</v>
      </c>
    </row>
    <row r="1768" spans="1:102" x14ac:dyDescent="0.3">
      <c r="A1768" t="str">
        <f>HYPERLINK("https://webapp.icbf.com/v2/app/bull-search/view/1196696489","S3163")</f>
        <v>S3163</v>
      </c>
      <c r="B1768" t="s">
        <v>9447</v>
      </c>
      <c r="C1768" t="s">
        <v>9448</v>
      </c>
      <c r="D1768" s="1">
        <v>41077</v>
      </c>
      <c r="E1768" t="s">
        <v>92</v>
      </c>
      <c r="F1768">
        <v>100</v>
      </c>
      <c r="G1768" t="s">
        <v>109</v>
      </c>
      <c r="H1768">
        <v>87.74</v>
      </c>
      <c r="I1768">
        <v>81</v>
      </c>
      <c r="J1768">
        <v>43.55</v>
      </c>
      <c r="K1768">
        <v>94</v>
      </c>
      <c r="L1768">
        <v>7.16</v>
      </c>
      <c r="M1768">
        <v>86</v>
      </c>
      <c r="N1768">
        <v>31.62</v>
      </c>
      <c r="O1768">
        <v>82</v>
      </c>
      <c r="P1768">
        <v>-9.41</v>
      </c>
      <c r="Q1768">
        <v>56</v>
      </c>
      <c r="R1768">
        <v>13.82</v>
      </c>
      <c r="S1768">
        <v>74</v>
      </c>
      <c r="T1768">
        <v>-2.75</v>
      </c>
      <c r="U1768">
        <v>45</v>
      </c>
      <c r="V1768">
        <v>3.75</v>
      </c>
      <c r="W1768">
        <v>58</v>
      </c>
      <c r="X1768" t="s">
        <v>110</v>
      </c>
      <c r="Y1768" t="s">
        <v>453</v>
      </c>
      <c r="Z1768" t="s">
        <v>96</v>
      </c>
      <c r="AA1768" t="s">
        <v>401</v>
      </c>
      <c r="AB1768" t="s">
        <v>7660</v>
      </c>
      <c r="AC1768">
        <v>0</v>
      </c>
      <c r="AD1768">
        <v>0</v>
      </c>
      <c r="AE1768">
        <v>94</v>
      </c>
      <c r="AF1768">
        <v>509.07</v>
      </c>
      <c r="AG1768">
        <v>12.35</v>
      </c>
      <c r="AH1768">
        <v>10.83</v>
      </c>
      <c r="AI1768">
        <v>-0.12</v>
      </c>
      <c r="AJ1768">
        <v>-0.1</v>
      </c>
      <c r="AK1768">
        <v>86</v>
      </c>
      <c r="AL1768">
        <v>0</v>
      </c>
      <c r="AM1768">
        <v>0</v>
      </c>
      <c r="AN1768">
        <v>1.1100000000000001</v>
      </c>
      <c r="AO1768">
        <v>1.7</v>
      </c>
      <c r="AP1768">
        <v>204</v>
      </c>
      <c r="AQ1768">
        <v>0</v>
      </c>
      <c r="AR1768">
        <v>6</v>
      </c>
      <c r="AS1768">
        <v>82</v>
      </c>
      <c r="AT1768">
        <v>2.29</v>
      </c>
      <c r="AU1768">
        <v>93</v>
      </c>
      <c r="AV1768">
        <v>-2.14</v>
      </c>
      <c r="AW1768">
        <v>93</v>
      </c>
      <c r="AX1768">
        <v>-0.62</v>
      </c>
      <c r="AY1768">
        <v>77</v>
      </c>
      <c r="AZ1768">
        <v>5.4</v>
      </c>
      <c r="BA1768">
        <v>44</v>
      </c>
      <c r="BB1768">
        <v>4.78</v>
      </c>
      <c r="BC1768">
        <v>42</v>
      </c>
      <c r="BD1768">
        <v>-0.04</v>
      </c>
      <c r="BE1768">
        <v>-0.09</v>
      </c>
      <c r="BF1768">
        <v>-0.08</v>
      </c>
      <c r="BG1768">
        <v>93</v>
      </c>
      <c r="BH1768">
        <v>-7.0000000000000007E-2</v>
      </c>
      <c r="BI1768">
        <v>-20.190000000000001</v>
      </c>
      <c r="BJ1768">
        <v>0</v>
      </c>
      <c r="BK1768">
        <v>0</v>
      </c>
      <c r="BL1768">
        <v>2.2000000000000002</v>
      </c>
      <c r="BM1768">
        <v>-1.96</v>
      </c>
      <c r="BN1768">
        <v>0.42</v>
      </c>
      <c r="BO1768">
        <v>1.64</v>
      </c>
      <c r="BP1768">
        <v>1.1399999999999999</v>
      </c>
      <c r="BQ1768">
        <v>2.25</v>
      </c>
      <c r="BR1768">
        <v>1.04</v>
      </c>
      <c r="BS1768">
        <v>1.69</v>
      </c>
      <c r="BT1768">
        <v>-1.01</v>
      </c>
      <c r="BU1768">
        <v>3.91</v>
      </c>
      <c r="BV1768">
        <v>4.5</v>
      </c>
      <c r="BW1768">
        <v>3.77</v>
      </c>
      <c r="BX1768">
        <v>3.15</v>
      </c>
      <c r="BY1768">
        <v>3.19</v>
      </c>
      <c r="BZ1768">
        <v>-1.63</v>
      </c>
      <c r="CA1768">
        <v>3.24</v>
      </c>
      <c r="CB1768">
        <v>3.12</v>
      </c>
      <c r="CC1768">
        <v>1.33</v>
      </c>
      <c r="CD1768">
        <v>-1.8</v>
      </c>
      <c r="CE1768">
        <v>0.91</v>
      </c>
      <c r="CF1768">
        <v>1.1000000000000001</v>
      </c>
      <c r="CG1768">
        <v>0</v>
      </c>
      <c r="CH1768">
        <v>3.14</v>
      </c>
      <c r="CI1768">
        <v>0</v>
      </c>
      <c r="CJ1768">
        <v>-1.8</v>
      </c>
      <c r="CK1768">
        <v>59</v>
      </c>
      <c r="CL1768">
        <v>-1.48</v>
      </c>
      <c r="CM1768">
        <v>54</v>
      </c>
      <c r="CN1768">
        <v>-0.69</v>
      </c>
      <c r="CO1768">
        <v>53</v>
      </c>
      <c r="CP1768">
        <v>1.8</v>
      </c>
      <c r="CQ1768">
        <v>47</v>
      </c>
      <c r="CR1768">
        <v>0</v>
      </c>
      <c r="CS1768">
        <v>0</v>
      </c>
      <c r="CT1768">
        <v>17.5</v>
      </c>
      <c r="CU1768">
        <v>45</v>
      </c>
      <c r="CV1768">
        <v>0.25</v>
      </c>
      <c r="CW1768">
        <v>38</v>
      </c>
      <c r="CX1768" t="s">
        <v>5937</v>
      </c>
    </row>
    <row r="1769" spans="1:102" x14ac:dyDescent="0.3">
      <c r="A1769" t="str">
        <f>HYPERLINK("https://webapp.icbf.com/v2/app/bull-search/view/77858179","EIX")</f>
        <v>EIX</v>
      </c>
      <c r="B1769" t="s">
        <v>726</v>
      </c>
      <c r="C1769" t="s">
        <v>725</v>
      </c>
      <c r="D1769" s="1">
        <v>32863</v>
      </c>
      <c r="E1769" t="s">
        <v>92</v>
      </c>
      <c r="F1769">
        <v>100</v>
      </c>
      <c r="G1769" t="s">
        <v>93</v>
      </c>
      <c r="H1769">
        <v>87.39</v>
      </c>
      <c r="I1769">
        <v>97</v>
      </c>
      <c r="J1769">
        <v>49.48</v>
      </c>
      <c r="K1769">
        <v>99</v>
      </c>
      <c r="L1769">
        <v>19.84</v>
      </c>
      <c r="M1769">
        <v>94</v>
      </c>
      <c r="N1769">
        <v>8.35</v>
      </c>
      <c r="O1769">
        <v>97</v>
      </c>
      <c r="P1769">
        <v>-7.09</v>
      </c>
      <c r="Q1769">
        <v>99</v>
      </c>
      <c r="R1769">
        <v>-6.44</v>
      </c>
      <c r="S1769">
        <v>95</v>
      </c>
      <c r="T1769">
        <v>23.37</v>
      </c>
      <c r="U1769">
        <v>99</v>
      </c>
      <c r="V1769">
        <v>-0.12</v>
      </c>
      <c r="W1769">
        <v>96</v>
      </c>
      <c r="X1769" t="s">
        <v>94</v>
      </c>
      <c r="Y1769" t="s">
        <v>95</v>
      </c>
      <c r="Z1769" t="s">
        <v>96</v>
      </c>
      <c r="AA1769" t="s">
        <v>724</v>
      </c>
      <c r="AB1769" t="s">
        <v>727</v>
      </c>
      <c r="AC1769">
        <v>1184</v>
      </c>
      <c r="AD1769">
        <v>552</v>
      </c>
      <c r="AE1769">
        <v>99</v>
      </c>
      <c r="AF1769">
        <v>191.74</v>
      </c>
      <c r="AG1769">
        <v>3.9</v>
      </c>
      <c r="AH1769">
        <v>9.9700000000000006</v>
      </c>
      <c r="AI1769">
        <v>-0.06</v>
      </c>
      <c r="AJ1769">
        <v>0.06</v>
      </c>
      <c r="AK1769">
        <v>94</v>
      </c>
      <c r="AL1769">
        <v>1424</v>
      </c>
      <c r="AM1769">
        <v>654</v>
      </c>
      <c r="AN1769">
        <v>-0.48</v>
      </c>
      <c r="AO1769">
        <v>1.1100000000000001</v>
      </c>
      <c r="AP1769">
        <v>1348</v>
      </c>
      <c r="AQ1769">
        <v>1</v>
      </c>
      <c r="AR1769">
        <v>8.4499999999999993</v>
      </c>
      <c r="AS1769">
        <v>97</v>
      </c>
      <c r="AT1769">
        <v>3.38</v>
      </c>
      <c r="AU1769">
        <v>97</v>
      </c>
      <c r="AV1769">
        <v>-2.2400000000000002</v>
      </c>
      <c r="AW1769">
        <v>99</v>
      </c>
      <c r="AX1769">
        <v>-0.56999999999999995</v>
      </c>
      <c r="AY1769">
        <v>98</v>
      </c>
      <c r="AZ1769">
        <v>8.66</v>
      </c>
      <c r="BA1769">
        <v>92</v>
      </c>
      <c r="BB1769">
        <v>5.51</v>
      </c>
      <c r="BC1769">
        <v>95</v>
      </c>
      <c r="BD1769">
        <v>0.09</v>
      </c>
      <c r="BE1769">
        <v>0.02</v>
      </c>
      <c r="BF1769">
        <v>-0.04</v>
      </c>
      <c r="BG1769">
        <v>98</v>
      </c>
      <c r="BH1769">
        <v>0.02</v>
      </c>
      <c r="BI1769">
        <v>2.69</v>
      </c>
      <c r="BJ1769">
        <v>36</v>
      </c>
      <c r="BK1769">
        <v>29</v>
      </c>
      <c r="BL1769">
        <v>-0.75</v>
      </c>
      <c r="BM1769">
        <v>-0.19</v>
      </c>
      <c r="BN1769">
        <v>-1.83</v>
      </c>
      <c r="BO1769">
        <v>-1.1299999999999999</v>
      </c>
      <c r="BP1769">
        <v>-0.3</v>
      </c>
      <c r="BQ1769">
        <v>-2.2400000000000002</v>
      </c>
      <c r="BR1769">
        <v>1.17</v>
      </c>
      <c r="BS1769">
        <v>-0.75</v>
      </c>
      <c r="BT1769">
        <v>-1.1000000000000001</v>
      </c>
      <c r="BU1769">
        <v>-2.6</v>
      </c>
      <c r="BV1769">
        <v>-1.6</v>
      </c>
      <c r="BW1769">
        <v>-0.55000000000000004</v>
      </c>
      <c r="BX1769">
        <v>-1.17</v>
      </c>
      <c r="BY1769">
        <v>-0.45</v>
      </c>
      <c r="BZ1769">
        <v>0.7</v>
      </c>
      <c r="CA1769">
        <v>-1.65</v>
      </c>
      <c r="CB1769">
        <v>-1.56</v>
      </c>
      <c r="CC1769">
        <v>-1.25</v>
      </c>
      <c r="CD1769">
        <v>0.26</v>
      </c>
      <c r="CE1769">
        <v>-0.9</v>
      </c>
      <c r="CF1769">
        <v>-1.1100000000000001</v>
      </c>
      <c r="CG1769">
        <v>0</v>
      </c>
      <c r="CH1769">
        <v>-0.74</v>
      </c>
      <c r="CI1769">
        <v>0</v>
      </c>
      <c r="CJ1769">
        <v>-2.2999999999999998</v>
      </c>
      <c r="CK1769">
        <v>99</v>
      </c>
      <c r="CL1769">
        <v>-0.38</v>
      </c>
      <c r="CM1769">
        <v>99</v>
      </c>
      <c r="CN1769">
        <v>-0.13</v>
      </c>
      <c r="CO1769">
        <v>99</v>
      </c>
      <c r="CP1769">
        <v>-10.1</v>
      </c>
      <c r="CQ1769">
        <v>99</v>
      </c>
      <c r="CR1769">
        <v>0</v>
      </c>
      <c r="CS1769">
        <v>0</v>
      </c>
      <c r="CT1769">
        <v>-17.8</v>
      </c>
      <c r="CU1769">
        <v>99</v>
      </c>
      <c r="CV1769">
        <v>7.0000000000000007E-2</v>
      </c>
      <c r="CW1769">
        <v>46</v>
      </c>
      <c r="CX1769" t="s">
        <v>120</v>
      </c>
    </row>
    <row r="1770" spans="1:102" x14ac:dyDescent="0.3">
      <c r="A1770" t="str">
        <f>HYPERLINK("https://webapp.icbf.com/v2/app/bull-search/view/959636640","OTL")</f>
        <v>OTL</v>
      </c>
      <c r="B1770" t="s">
        <v>9229</v>
      </c>
      <c r="C1770" t="s">
        <v>9230</v>
      </c>
      <c r="D1770" s="1">
        <v>40981</v>
      </c>
      <c r="E1770" t="s">
        <v>92</v>
      </c>
      <c r="F1770">
        <v>63</v>
      </c>
      <c r="G1770" t="s">
        <v>93</v>
      </c>
      <c r="H1770">
        <v>87.37</v>
      </c>
      <c r="I1770">
        <v>94</v>
      </c>
      <c r="J1770">
        <v>77.97</v>
      </c>
      <c r="K1770">
        <v>99</v>
      </c>
      <c r="L1770">
        <v>8.52</v>
      </c>
      <c r="M1770">
        <v>88</v>
      </c>
      <c r="N1770">
        <v>20.6</v>
      </c>
      <c r="O1770">
        <v>96</v>
      </c>
      <c r="P1770">
        <v>2.4500000000000002</v>
      </c>
      <c r="Q1770">
        <v>99</v>
      </c>
      <c r="R1770">
        <v>-5.03</v>
      </c>
      <c r="S1770">
        <v>90</v>
      </c>
      <c r="T1770">
        <v>-3.49</v>
      </c>
      <c r="U1770">
        <v>95</v>
      </c>
      <c r="V1770">
        <v>-13.65</v>
      </c>
      <c r="W1770">
        <v>77</v>
      </c>
      <c r="X1770" t="s">
        <v>94</v>
      </c>
      <c r="Y1770" t="s">
        <v>1976</v>
      </c>
      <c r="Z1770" t="s">
        <v>96</v>
      </c>
      <c r="AA1770" t="s">
        <v>8251</v>
      </c>
      <c r="AB1770" t="s">
        <v>9231</v>
      </c>
      <c r="AC1770">
        <v>803</v>
      </c>
      <c r="AD1770">
        <v>336</v>
      </c>
      <c r="AE1770">
        <v>99</v>
      </c>
      <c r="AF1770">
        <v>410.8</v>
      </c>
      <c r="AG1770">
        <v>6.47</v>
      </c>
      <c r="AH1770">
        <v>17.260000000000002</v>
      </c>
      <c r="AI1770">
        <v>-0.16</v>
      </c>
      <c r="AJ1770">
        <v>0.05</v>
      </c>
      <c r="AK1770">
        <v>88</v>
      </c>
      <c r="AL1770">
        <v>934</v>
      </c>
      <c r="AM1770">
        <v>414</v>
      </c>
      <c r="AN1770">
        <v>-1.21</v>
      </c>
      <c r="AO1770">
        <v>-0.54</v>
      </c>
      <c r="AP1770">
        <v>1714</v>
      </c>
      <c r="AQ1770">
        <v>9</v>
      </c>
      <c r="AR1770">
        <v>8.91</v>
      </c>
      <c r="AS1770">
        <v>96</v>
      </c>
      <c r="AT1770">
        <v>3.5</v>
      </c>
      <c r="AU1770">
        <v>97</v>
      </c>
      <c r="AV1770">
        <v>-3</v>
      </c>
      <c r="AW1770">
        <v>99</v>
      </c>
      <c r="AX1770">
        <v>-0.22</v>
      </c>
      <c r="AY1770">
        <v>97</v>
      </c>
      <c r="AZ1770">
        <v>5.18</v>
      </c>
      <c r="BA1770">
        <v>91</v>
      </c>
      <c r="BB1770">
        <v>4.68</v>
      </c>
      <c r="BC1770">
        <v>86</v>
      </c>
      <c r="BD1770">
        <v>0.04</v>
      </c>
      <c r="BE1770">
        <v>0.01</v>
      </c>
      <c r="BF1770">
        <v>0.03</v>
      </c>
      <c r="BG1770">
        <v>97</v>
      </c>
      <c r="BH1770">
        <v>-0.08</v>
      </c>
      <c r="BI1770">
        <v>34.770000000000003</v>
      </c>
      <c r="BJ1770">
        <v>59</v>
      </c>
      <c r="BK1770">
        <v>30</v>
      </c>
      <c r="BL1770">
        <v>-0.72</v>
      </c>
      <c r="BM1770">
        <v>0.54</v>
      </c>
      <c r="BN1770">
        <v>-1.26</v>
      </c>
      <c r="BO1770">
        <v>-0.59</v>
      </c>
      <c r="BP1770">
        <v>2.77</v>
      </c>
      <c r="BQ1770">
        <v>1.24</v>
      </c>
      <c r="BR1770">
        <v>1.23</v>
      </c>
      <c r="BS1770">
        <v>-4.45</v>
      </c>
      <c r="BT1770">
        <v>-1.76</v>
      </c>
      <c r="BU1770">
        <v>-1.46</v>
      </c>
      <c r="BV1770">
        <v>-0.52</v>
      </c>
      <c r="BW1770">
        <v>-1.2</v>
      </c>
      <c r="BX1770">
        <v>-1.74</v>
      </c>
      <c r="BY1770">
        <v>-0.7</v>
      </c>
      <c r="BZ1770">
        <v>1.58</v>
      </c>
      <c r="CA1770">
        <v>-2.2000000000000002</v>
      </c>
      <c r="CB1770">
        <v>-0.86</v>
      </c>
      <c r="CC1770">
        <v>-3.62</v>
      </c>
      <c r="CD1770">
        <v>0.96</v>
      </c>
      <c r="CE1770">
        <v>-0.47</v>
      </c>
      <c r="CF1770">
        <v>-0.45</v>
      </c>
      <c r="CG1770">
        <v>0</v>
      </c>
      <c r="CH1770">
        <v>-0.12</v>
      </c>
      <c r="CI1770">
        <v>0</v>
      </c>
      <c r="CJ1770">
        <v>4.3</v>
      </c>
      <c r="CK1770">
        <v>99</v>
      </c>
      <c r="CL1770">
        <v>-0.65</v>
      </c>
      <c r="CM1770">
        <v>99</v>
      </c>
      <c r="CN1770">
        <v>-0.2</v>
      </c>
      <c r="CO1770">
        <v>99</v>
      </c>
      <c r="CP1770">
        <v>5.9</v>
      </c>
      <c r="CQ1770">
        <v>96</v>
      </c>
      <c r="CR1770">
        <v>0</v>
      </c>
      <c r="CS1770">
        <v>0</v>
      </c>
      <c r="CT1770">
        <v>18.5</v>
      </c>
      <c r="CU1770">
        <v>95</v>
      </c>
      <c r="CV1770">
        <v>0.3</v>
      </c>
      <c r="CW1770">
        <v>46</v>
      </c>
      <c r="CX1770" t="s">
        <v>9232</v>
      </c>
    </row>
    <row r="1771" spans="1:102" x14ac:dyDescent="0.3">
      <c r="A1771" t="str">
        <f>HYPERLINK("https://webapp.icbf.com/v2/app/bull-search/view/878907620","PKF")</f>
        <v>PKF</v>
      </c>
      <c r="B1771" t="s">
        <v>5690</v>
      </c>
      <c r="C1771" t="s">
        <v>5691</v>
      </c>
      <c r="D1771" s="1">
        <v>40643</v>
      </c>
      <c r="E1771" t="s">
        <v>92</v>
      </c>
      <c r="F1771">
        <v>84</v>
      </c>
      <c r="G1771" t="s">
        <v>93</v>
      </c>
      <c r="H1771">
        <v>87.2</v>
      </c>
      <c r="I1771">
        <v>86</v>
      </c>
      <c r="J1771">
        <v>55.96</v>
      </c>
      <c r="K1771">
        <v>97</v>
      </c>
      <c r="L1771">
        <v>-3.87</v>
      </c>
      <c r="M1771">
        <v>78</v>
      </c>
      <c r="N1771">
        <v>34.5</v>
      </c>
      <c r="O1771">
        <v>87</v>
      </c>
      <c r="P1771">
        <v>-6.92</v>
      </c>
      <c r="Q1771">
        <v>94</v>
      </c>
      <c r="R1771">
        <v>1.84</v>
      </c>
      <c r="S1771">
        <v>77</v>
      </c>
      <c r="T1771">
        <v>8.7899999999999991</v>
      </c>
      <c r="U1771">
        <v>82</v>
      </c>
      <c r="V1771">
        <v>-3.1</v>
      </c>
      <c r="W1771">
        <v>72</v>
      </c>
      <c r="X1771" t="s">
        <v>102</v>
      </c>
      <c r="Y1771" t="s">
        <v>1860</v>
      </c>
      <c r="Z1771" t="s">
        <v>96</v>
      </c>
      <c r="AA1771" t="s">
        <v>5692</v>
      </c>
      <c r="AB1771" t="s">
        <v>5693</v>
      </c>
      <c r="AC1771">
        <v>123</v>
      </c>
      <c r="AD1771">
        <v>39</v>
      </c>
      <c r="AE1771">
        <v>97</v>
      </c>
      <c r="AF1771">
        <v>143.09</v>
      </c>
      <c r="AG1771">
        <v>13.9</v>
      </c>
      <c r="AH1771">
        <v>6.79</v>
      </c>
      <c r="AI1771">
        <v>0.14000000000000001</v>
      </c>
      <c r="AJ1771">
        <v>0.03</v>
      </c>
      <c r="AK1771">
        <v>78</v>
      </c>
      <c r="AL1771">
        <v>130</v>
      </c>
      <c r="AM1771">
        <v>50</v>
      </c>
      <c r="AN1771">
        <v>0.1</v>
      </c>
      <c r="AO1771">
        <v>-0.21</v>
      </c>
      <c r="AP1771">
        <v>267</v>
      </c>
      <c r="AQ1771">
        <v>1</v>
      </c>
      <c r="AR1771">
        <v>6.49</v>
      </c>
      <c r="AS1771">
        <v>77</v>
      </c>
      <c r="AT1771">
        <v>2.36</v>
      </c>
      <c r="AU1771">
        <v>89</v>
      </c>
      <c r="AV1771">
        <v>-2.87</v>
      </c>
      <c r="AW1771">
        <v>96</v>
      </c>
      <c r="AX1771">
        <v>0.19</v>
      </c>
      <c r="AY1771">
        <v>84</v>
      </c>
      <c r="AZ1771">
        <v>5.47</v>
      </c>
      <c r="BA1771">
        <v>69</v>
      </c>
      <c r="BB1771">
        <v>4.59</v>
      </c>
      <c r="BC1771">
        <v>65</v>
      </c>
      <c r="BD1771">
        <v>-0.02</v>
      </c>
      <c r="BE1771">
        <v>-0.01</v>
      </c>
      <c r="BF1771">
        <v>0.01</v>
      </c>
      <c r="BG1771">
        <v>88</v>
      </c>
      <c r="BH1771">
        <v>-0.21</v>
      </c>
      <c r="BI1771">
        <v>-14.3</v>
      </c>
      <c r="BJ1771">
        <v>15</v>
      </c>
      <c r="BK1771">
        <v>5</v>
      </c>
      <c r="BL1771">
        <v>-1.4</v>
      </c>
      <c r="BM1771">
        <v>1.63</v>
      </c>
      <c r="BN1771">
        <v>0.41</v>
      </c>
      <c r="BO1771">
        <v>-0.81</v>
      </c>
      <c r="BP1771">
        <v>1.55</v>
      </c>
      <c r="BQ1771">
        <v>-1.74</v>
      </c>
      <c r="BR1771">
        <v>-1.1299999999999999</v>
      </c>
      <c r="BS1771">
        <v>-0.76</v>
      </c>
      <c r="BT1771">
        <v>-0.1</v>
      </c>
      <c r="BU1771">
        <v>-1.27</v>
      </c>
      <c r="BV1771">
        <v>-1.57</v>
      </c>
      <c r="BW1771">
        <v>-2.2999999999999998</v>
      </c>
      <c r="BX1771">
        <v>-2.34</v>
      </c>
      <c r="BY1771">
        <v>-2.0099999999999998</v>
      </c>
      <c r="BZ1771">
        <v>-0.01</v>
      </c>
      <c r="CA1771">
        <v>-1.37</v>
      </c>
      <c r="CB1771">
        <v>-1.45</v>
      </c>
      <c r="CC1771">
        <v>-0.72</v>
      </c>
      <c r="CD1771">
        <v>0.9</v>
      </c>
      <c r="CE1771">
        <v>-1.0900000000000001</v>
      </c>
      <c r="CF1771">
        <v>-0.25</v>
      </c>
      <c r="CG1771">
        <v>0</v>
      </c>
      <c r="CH1771">
        <v>-1.99</v>
      </c>
      <c r="CI1771">
        <v>0</v>
      </c>
      <c r="CJ1771">
        <v>-1</v>
      </c>
      <c r="CK1771">
        <v>95</v>
      </c>
      <c r="CL1771">
        <v>-0.54</v>
      </c>
      <c r="CM1771">
        <v>94</v>
      </c>
      <c r="CN1771">
        <v>-0.08</v>
      </c>
      <c r="CO1771">
        <v>93</v>
      </c>
      <c r="CP1771">
        <v>-6</v>
      </c>
      <c r="CQ1771">
        <v>84</v>
      </c>
      <c r="CR1771">
        <v>0</v>
      </c>
      <c r="CS1771">
        <v>0</v>
      </c>
      <c r="CT1771">
        <v>1.9</v>
      </c>
      <c r="CU1771">
        <v>82</v>
      </c>
      <c r="CV1771">
        <v>0.15</v>
      </c>
      <c r="CW1771">
        <v>45</v>
      </c>
      <c r="CX1771" t="s">
        <v>1883</v>
      </c>
    </row>
    <row r="1772" spans="1:102" x14ac:dyDescent="0.3">
      <c r="A1772" t="str">
        <f>HYPERLINK("https://webapp.icbf.com/v2/app/bull-search/view/1587768944","FR4405")</f>
        <v>FR4405</v>
      </c>
      <c r="B1772" t="s">
        <v>2728</v>
      </c>
      <c r="C1772" t="s">
        <v>2729</v>
      </c>
      <c r="D1772" s="1">
        <v>42717</v>
      </c>
      <c r="E1772" t="s">
        <v>108</v>
      </c>
      <c r="F1772">
        <v>0</v>
      </c>
      <c r="G1772" t="s">
        <v>435</v>
      </c>
      <c r="H1772">
        <v>87.13</v>
      </c>
      <c r="I1772">
        <v>56</v>
      </c>
      <c r="J1772">
        <v>-40.090000000000003</v>
      </c>
      <c r="K1772">
        <v>74</v>
      </c>
      <c r="L1772">
        <v>104.74</v>
      </c>
      <c r="M1772">
        <v>47</v>
      </c>
      <c r="N1772">
        <v>14.28</v>
      </c>
      <c r="O1772">
        <v>72</v>
      </c>
      <c r="P1772">
        <v>-11.29</v>
      </c>
      <c r="Q1772">
        <v>33</v>
      </c>
      <c r="R1772">
        <v>-9.9600000000000009</v>
      </c>
      <c r="S1772">
        <v>47</v>
      </c>
      <c r="T1772">
        <v>23.96</v>
      </c>
      <c r="U1772">
        <v>32</v>
      </c>
      <c r="V1772">
        <v>5.49</v>
      </c>
      <c r="W1772">
        <v>44</v>
      </c>
      <c r="X1772" t="s">
        <v>102</v>
      </c>
      <c r="Y1772" t="s">
        <v>2261</v>
      </c>
      <c r="Z1772" t="s">
        <v>96</v>
      </c>
      <c r="AA1772" t="s">
        <v>2730</v>
      </c>
      <c r="AB1772" t="s">
        <v>2731</v>
      </c>
      <c r="AC1772">
        <v>0</v>
      </c>
      <c r="AD1772">
        <v>0</v>
      </c>
      <c r="AE1772">
        <v>74</v>
      </c>
      <c r="AF1772">
        <v>-234.58</v>
      </c>
      <c r="AG1772">
        <v>-4.66</v>
      </c>
      <c r="AH1772">
        <v>-8.76</v>
      </c>
      <c r="AI1772">
        <v>0.08</v>
      </c>
      <c r="AJ1772">
        <v>-0.01</v>
      </c>
      <c r="AK1772">
        <v>47</v>
      </c>
      <c r="AL1772">
        <v>0</v>
      </c>
      <c r="AM1772">
        <v>0</v>
      </c>
      <c r="AN1772">
        <v>-7.49</v>
      </c>
      <c r="AO1772">
        <v>0.84</v>
      </c>
      <c r="AP1772">
        <v>114</v>
      </c>
      <c r="AQ1772">
        <v>0</v>
      </c>
      <c r="AR1772">
        <v>7.17</v>
      </c>
      <c r="AS1772">
        <v>45</v>
      </c>
      <c r="AT1772">
        <v>3.06</v>
      </c>
      <c r="AU1772">
        <v>83</v>
      </c>
      <c r="AV1772">
        <v>-2.16</v>
      </c>
      <c r="AW1772">
        <v>91</v>
      </c>
      <c r="AX1772">
        <v>0.23</v>
      </c>
      <c r="AY1772">
        <v>67</v>
      </c>
      <c r="AZ1772">
        <v>6.72</v>
      </c>
      <c r="BA1772">
        <v>25</v>
      </c>
      <c r="BB1772">
        <v>5.67</v>
      </c>
      <c r="BC1772">
        <v>26</v>
      </c>
      <c r="BD1772">
        <v>0.09</v>
      </c>
      <c r="BE1772">
        <v>0.01</v>
      </c>
      <c r="BF1772">
        <v>0.06</v>
      </c>
      <c r="BG1772">
        <v>53</v>
      </c>
      <c r="BH1772">
        <v>0.04</v>
      </c>
      <c r="BI1772">
        <v>-13.08</v>
      </c>
      <c r="BJ1772">
        <v>0</v>
      </c>
      <c r="BK1772">
        <v>0</v>
      </c>
      <c r="BL1772">
        <v>-2.5</v>
      </c>
      <c r="BM1772">
        <v>2.42</v>
      </c>
      <c r="BN1772">
        <v>-2.04</v>
      </c>
      <c r="BO1772">
        <v>-2.97</v>
      </c>
      <c r="BP1772">
        <v>-1.05</v>
      </c>
      <c r="BQ1772">
        <v>2.02</v>
      </c>
      <c r="BR1772">
        <v>-1.99</v>
      </c>
      <c r="BS1772">
        <v>-1.21</v>
      </c>
      <c r="BT1772">
        <v>0.02</v>
      </c>
      <c r="BU1772">
        <v>-2.4500000000000002</v>
      </c>
      <c r="BV1772">
        <v>-2.84</v>
      </c>
      <c r="BW1772">
        <v>-2.08</v>
      </c>
      <c r="BX1772">
        <v>-1.17</v>
      </c>
      <c r="BY1772">
        <v>-1.45</v>
      </c>
      <c r="BZ1772">
        <v>0.17</v>
      </c>
      <c r="CA1772">
        <v>-2.4900000000000002</v>
      </c>
      <c r="CB1772">
        <v>-2.6</v>
      </c>
      <c r="CC1772">
        <v>-1.83</v>
      </c>
      <c r="CD1772">
        <v>2.5</v>
      </c>
      <c r="CE1772">
        <v>-2.52</v>
      </c>
      <c r="CF1772">
        <v>-1.38</v>
      </c>
      <c r="CG1772">
        <v>0</v>
      </c>
      <c r="CH1772">
        <v>-1.55</v>
      </c>
      <c r="CI1772">
        <v>0</v>
      </c>
      <c r="CJ1772">
        <v>-6</v>
      </c>
      <c r="CK1772">
        <v>34</v>
      </c>
      <c r="CL1772">
        <v>-7.0000000000000007E-2</v>
      </c>
      <c r="CM1772">
        <v>32</v>
      </c>
      <c r="CN1772">
        <v>0.03</v>
      </c>
      <c r="CO1772">
        <v>32</v>
      </c>
      <c r="CP1772">
        <v>-12.9</v>
      </c>
      <c r="CQ1772">
        <v>32</v>
      </c>
      <c r="CR1772">
        <v>0</v>
      </c>
      <c r="CS1772">
        <v>0</v>
      </c>
      <c r="CT1772">
        <v>-18.600000000000001</v>
      </c>
      <c r="CU1772">
        <v>32</v>
      </c>
      <c r="CV1772">
        <v>0.02</v>
      </c>
      <c r="CW1772">
        <v>31</v>
      </c>
      <c r="CX1772" t="s">
        <v>2732</v>
      </c>
    </row>
    <row r="1773" spans="1:102" x14ac:dyDescent="0.3">
      <c r="A1773" t="str">
        <f>HYPERLINK("https://webapp.icbf.com/v2/app/bull-search/view/497630046","DZB")</f>
        <v>DZB</v>
      </c>
      <c r="B1773" t="s">
        <v>4227</v>
      </c>
      <c r="C1773" t="s">
        <v>4228</v>
      </c>
      <c r="D1773" s="1">
        <v>39130</v>
      </c>
      <c r="E1773" t="s">
        <v>92</v>
      </c>
      <c r="F1773">
        <v>97</v>
      </c>
      <c r="G1773" t="s">
        <v>93</v>
      </c>
      <c r="H1773">
        <v>87.11</v>
      </c>
      <c r="I1773">
        <v>89</v>
      </c>
      <c r="J1773">
        <v>9.6199999999999992</v>
      </c>
      <c r="K1773">
        <v>97</v>
      </c>
      <c r="L1773">
        <v>30.36</v>
      </c>
      <c r="M1773">
        <v>81</v>
      </c>
      <c r="N1773">
        <v>26.22</v>
      </c>
      <c r="O1773">
        <v>87</v>
      </c>
      <c r="P1773">
        <v>-9.6999999999999993</v>
      </c>
      <c r="Q1773">
        <v>93</v>
      </c>
      <c r="R1773">
        <v>4.26</v>
      </c>
      <c r="S1773">
        <v>84</v>
      </c>
      <c r="T1773">
        <v>19.079999999999998</v>
      </c>
      <c r="U1773">
        <v>89</v>
      </c>
      <c r="V1773">
        <v>7.27</v>
      </c>
      <c r="W1773">
        <v>86</v>
      </c>
      <c r="X1773" t="s">
        <v>94</v>
      </c>
      <c r="Y1773" t="s">
        <v>1405</v>
      </c>
      <c r="Z1773" t="s">
        <v>96</v>
      </c>
      <c r="AA1773" t="s">
        <v>1414</v>
      </c>
      <c r="AB1773" t="s">
        <v>4229</v>
      </c>
      <c r="AC1773">
        <v>94</v>
      </c>
      <c r="AD1773">
        <v>70</v>
      </c>
      <c r="AE1773">
        <v>97</v>
      </c>
      <c r="AF1773">
        <v>171.05</v>
      </c>
      <c r="AG1773">
        <v>2.2999999999999998</v>
      </c>
      <c r="AH1773">
        <v>3.44</v>
      </c>
      <c r="AI1773">
        <v>-7.0000000000000007E-2</v>
      </c>
      <c r="AJ1773">
        <v>-0.04</v>
      </c>
      <c r="AK1773">
        <v>81</v>
      </c>
      <c r="AL1773">
        <v>104</v>
      </c>
      <c r="AM1773">
        <v>74</v>
      </c>
      <c r="AN1773">
        <v>-0.2</v>
      </c>
      <c r="AO1773">
        <v>2.2400000000000002</v>
      </c>
      <c r="AP1773">
        <v>234</v>
      </c>
      <c r="AQ1773">
        <v>2</v>
      </c>
      <c r="AR1773">
        <v>6.05</v>
      </c>
      <c r="AS1773">
        <v>72</v>
      </c>
      <c r="AT1773">
        <v>2.56</v>
      </c>
      <c r="AU1773">
        <v>90</v>
      </c>
      <c r="AV1773">
        <v>-2.15</v>
      </c>
      <c r="AW1773">
        <v>97</v>
      </c>
      <c r="AX1773">
        <v>-0.52</v>
      </c>
      <c r="AY1773">
        <v>83</v>
      </c>
      <c r="AZ1773">
        <v>6.07</v>
      </c>
      <c r="BA1773">
        <v>66</v>
      </c>
      <c r="BB1773">
        <v>5.23</v>
      </c>
      <c r="BC1773">
        <v>71</v>
      </c>
      <c r="BD1773">
        <v>0</v>
      </c>
      <c r="BE1773">
        <v>-0.02</v>
      </c>
      <c r="BF1773">
        <v>-0.06</v>
      </c>
      <c r="BG1773">
        <v>90</v>
      </c>
      <c r="BH1773">
        <v>7.0000000000000007E-2</v>
      </c>
      <c r="BI1773">
        <v>-15.35</v>
      </c>
      <c r="BJ1773">
        <v>7</v>
      </c>
      <c r="BK1773">
        <v>7</v>
      </c>
      <c r="BL1773">
        <v>0.17</v>
      </c>
      <c r="BM1773">
        <v>0.68</v>
      </c>
      <c r="BN1773">
        <v>0.63</v>
      </c>
      <c r="BO1773">
        <v>0.53</v>
      </c>
      <c r="BP1773">
        <v>-0.81</v>
      </c>
      <c r="BQ1773">
        <v>-0.2</v>
      </c>
      <c r="BR1773">
        <v>-1.07</v>
      </c>
      <c r="BS1773">
        <v>1.94</v>
      </c>
      <c r="BT1773">
        <v>0.73</v>
      </c>
      <c r="BU1773">
        <v>1.35</v>
      </c>
      <c r="BV1773">
        <v>1.24</v>
      </c>
      <c r="BW1773">
        <v>0.18</v>
      </c>
      <c r="BX1773">
        <v>0.71</v>
      </c>
      <c r="BY1773">
        <v>-0.34</v>
      </c>
      <c r="BZ1773">
        <v>1.53</v>
      </c>
      <c r="CA1773">
        <v>1.26</v>
      </c>
      <c r="CB1773">
        <v>1.06</v>
      </c>
      <c r="CC1773">
        <v>2.15</v>
      </c>
      <c r="CD1773">
        <v>0.08</v>
      </c>
      <c r="CE1773">
        <v>0.2</v>
      </c>
      <c r="CF1773">
        <v>0.18</v>
      </c>
      <c r="CG1773">
        <v>0</v>
      </c>
      <c r="CH1773">
        <v>-0.13</v>
      </c>
      <c r="CI1773">
        <v>0</v>
      </c>
      <c r="CJ1773">
        <v>-4.0999999999999996</v>
      </c>
      <c r="CK1773">
        <v>94</v>
      </c>
      <c r="CL1773">
        <v>-0.6</v>
      </c>
      <c r="CM1773">
        <v>92</v>
      </c>
      <c r="CN1773">
        <v>-0.34</v>
      </c>
      <c r="CO1773">
        <v>91</v>
      </c>
      <c r="CP1773">
        <v>-12.2</v>
      </c>
      <c r="CQ1773">
        <v>90</v>
      </c>
      <c r="CR1773">
        <v>0</v>
      </c>
      <c r="CS1773">
        <v>0</v>
      </c>
      <c r="CT1773">
        <v>-12</v>
      </c>
      <c r="CU1773">
        <v>89</v>
      </c>
      <c r="CV1773">
        <v>0.02</v>
      </c>
      <c r="CW1773">
        <v>45</v>
      </c>
      <c r="CX1773" t="s">
        <v>2775</v>
      </c>
    </row>
    <row r="1774" spans="1:102" x14ac:dyDescent="0.3">
      <c r="A1774" t="str">
        <f>HYPERLINK("https://webapp.icbf.com/v2/app/bull-search/view/122820727","S145")</f>
        <v>S145</v>
      </c>
      <c r="B1774" t="s">
        <v>144</v>
      </c>
      <c r="C1774" t="s">
        <v>1311</v>
      </c>
      <c r="D1774" s="1">
        <v>34268</v>
      </c>
      <c r="E1774" t="s">
        <v>146</v>
      </c>
      <c r="F1774">
        <v>0</v>
      </c>
      <c r="G1774" t="s">
        <v>93</v>
      </c>
      <c r="H1774">
        <v>87.1</v>
      </c>
      <c r="I1774">
        <v>65</v>
      </c>
      <c r="J1774">
        <v>-59.38</v>
      </c>
      <c r="K1774">
        <v>87</v>
      </c>
      <c r="L1774">
        <v>113.48</v>
      </c>
      <c r="M1774">
        <v>45</v>
      </c>
      <c r="N1774">
        <v>34.44</v>
      </c>
      <c r="O1774">
        <v>62</v>
      </c>
      <c r="P1774">
        <v>0.78</v>
      </c>
      <c r="Q1774">
        <v>83</v>
      </c>
      <c r="R1774">
        <v>-8.2799999999999994</v>
      </c>
      <c r="S1774">
        <v>51</v>
      </c>
      <c r="T1774">
        <v>15.38</v>
      </c>
      <c r="U1774">
        <v>60</v>
      </c>
      <c r="V1774">
        <v>-9.32</v>
      </c>
      <c r="W1774">
        <v>48</v>
      </c>
      <c r="X1774" t="s">
        <v>110</v>
      </c>
      <c r="Y1774" t="s">
        <v>95</v>
      </c>
      <c r="Z1774" t="s">
        <v>96</v>
      </c>
      <c r="AA1774" t="s">
        <v>1312</v>
      </c>
      <c r="AB1774" t="s">
        <v>1313</v>
      </c>
      <c r="AC1774">
        <v>25</v>
      </c>
      <c r="AD1774">
        <v>7</v>
      </c>
      <c r="AE1774">
        <v>87</v>
      </c>
      <c r="AF1774">
        <v>-395.61</v>
      </c>
      <c r="AG1774">
        <v>-17.03</v>
      </c>
      <c r="AH1774">
        <v>-10.130000000000001</v>
      </c>
      <c r="AI1774">
        <v>-0.03</v>
      </c>
      <c r="AJ1774">
        <v>0.06</v>
      </c>
      <c r="AK1774">
        <v>45</v>
      </c>
      <c r="AL1774">
        <v>25</v>
      </c>
      <c r="AM1774">
        <v>11</v>
      </c>
      <c r="AN1774">
        <v>-9.31</v>
      </c>
      <c r="AO1774">
        <v>-0.3</v>
      </c>
      <c r="AP1774">
        <v>42</v>
      </c>
      <c r="AQ1774">
        <v>0</v>
      </c>
      <c r="AR1774">
        <v>4.42</v>
      </c>
      <c r="AS1774">
        <v>47</v>
      </c>
      <c r="AT1774">
        <v>1.62</v>
      </c>
      <c r="AU1774">
        <v>59</v>
      </c>
      <c r="AV1774">
        <v>-1.85</v>
      </c>
      <c r="AW1774">
        <v>80</v>
      </c>
      <c r="AX1774">
        <v>-0.01</v>
      </c>
      <c r="AY1774">
        <v>61</v>
      </c>
      <c r="AZ1774">
        <v>6.09</v>
      </c>
      <c r="BA1774">
        <v>28</v>
      </c>
      <c r="BB1774">
        <v>4.6900000000000004</v>
      </c>
      <c r="BC1774">
        <v>35</v>
      </c>
      <c r="BD1774">
        <v>0.02</v>
      </c>
      <c r="BE1774">
        <v>0.03</v>
      </c>
      <c r="BF1774">
        <v>0.1</v>
      </c>
      <c r="BG1774">
        <v>62</v>
      </c>
      <c r="BH1774">
        <v>-0.17</v>
      </c>
      <c r="BI1774">
        <v>10.4</v>
      </c>
      <c r="BJ1774">
        <v>0</v>
      </c>
      <c r="BK1774">
        <v>0</v>
      </c>
      <c r="BL1774">
        <v>-1.4</v>
      </c>
      <c r="BM1774">
        <v>1.77</v>
      </c>
      <c r="BN1774">
        <v>-1.01</v>
      </c>
      <c r="BO1774">
        <v>-1.8</v>
      </c>
      <c r="BP1774">
        <v>1.05</v>
      </c>
      <c r="BQ1774">
        <v>0.18</v>
      </c>
      <c r="BR1774">
        <v>-0.06</v>
      </c>
      <c r="BS1774">
        <v>0.27</v>
      </c>
      <c r="BT1774">
        <v>-0.09</v>
      </c>
      <c r="BU1774">
        <v>-1.71</v>
      </c>
      <c r="BV1774">
        <v>-2.46</v>
      </c>
      <c r="BW1774">
        <v>-2.02</v>
      </c>
      <c r="BX1774">
        <v>-1.18</v>
      </c>
      <c r="BY1774">
        <v>-1.42</v>
      </c>
      <c r="BZ1774">
        <v>0.22</v>
      </c>
      <c r="CA1774">
        <v>-1.83</v>
      </c>
      <c r="CB1774">
        <v>-2.0099999999999998</v>
      </c>
      <c r="CC1774">
        <v>-0.71</v>
      </c>
      <c r="CD1774">
        <v>1.72</v>
      </c>
      <c r="CE1774">
        <v>-1.7</v>
      </c>
      <c r="CF1774">
        <v>-1.07</v>
      </c>
      <c r="CG1774">
        <v>0</v>
      </c>
      <c r="CH1774">
        <v>-1.35</v>
      </c>
      <c r="CI1774">
        <v>0</v>
      </c>
      <c r="CJ1774">
        <v>-4.0999999999999996</v>
      </c>
      <c r="CK1774">
        <v>85</v>
      </c>
      <c r="CL1774">
        <v>0.56999999999999995</v>
      </c>
      <c r="CM1774">
        <v>82</v>
      </c>
      <c r="CN1774">
        <v>-0.09</v>
      </c>
      <c r="CO1774">
        <v>81</v>
      </c>
      <c r="CP1774">
        <v>-3.3</v>
      </c>
      <c r="CQ1774">
        <v>76</v>
      </c>
      <c r="CR1774">
        <v>0</v>
      </c>
      <c r="CS1774">
        <v>0</v>
      </c>
      <c r="CT1774">
        <v>-7</v>
      </c>
      <c r="CU1774">
        <v>60</v>
      </c>
      <c r="CV1774">
        <v>-0.42</v>
      </c>
      <c r="CW1774">
        <v>24</v>
      </c>
      <c r="CX1774" t="s">
        <v>1314</v>
      </c>
    </row>
    <row r="1775" spans="1:102" x14ac:dyDescent="0.3">
      <c r="A1775" t="str">
        <f>HYPERLINK("https://webapp.icbf.com/v2/app/bull-search/view/76482948","SVB")</f>
        <v>SVB</v>
      </c>
      <c r="B1775" t="s">
        <v>2773</v>
      </c>
      <c r="C1775" t="s">
        <v>2774</v>
      </c>
      <c r="D1775" s="1">
        <v>36970</v>
      </c>
      <c r="E1775" t="s">
        <v>92</v>
      </c>
      <c r="F1775">
        <v>88</v>
      </c>
      <c r="G1775" t="s">
        <v>93</v>
      </c>
      <c r="H1775">
        <v>86.76</v>
      </c>
      <c r="I1775">
        <v>96</v>
      </c>
      <c r="J1775">
        <v>20.65</v>
      </c>
      <c r="K1775">
        <v>99</v>
      </c>
      <c r="L1775">
        <v>37.86</v>
      </c>
      <c r="M1775">
        <v>91</v>
      </c>
      <c r="N1775">
        <v>28.92</v>
      </c>
      <c r="O1775">
        <v>96</v>
      </c>
      <c r="P1775">
        <v>-3.89</v>
      </c>
      <c r="Q1775">
        <v>99</v>
      </c>
      <c r="R1775">
        <v>0.25</v>
      </c>
      <c r="S1775">
        <v>94</v>
      </c>
      <c r="T1775">
        <v>9.61</v>
      </c>
      <c r="U1775">
        <v>97</v>
      </c>
      <c r="V1775">
        <v>-6.64</v>
      </c>
      <c r="W1775">
        <v>95</v>
      </c>
      <c r="X1775" t="s">
        <v>94</v>
      </c>
      <c r="Y1775" t="s">
        <v>95</v>
      </c>
      <c r="Z1775" t="s">
        <v>96</v>
      </c>
      <c r="AA1775" t="s">
        <v>2775</v>
      </c>
      <c r="AB1775" t="s">
        <v>2776</v>
      </c>
      <c r="AC1775">
        <v>576</v>
      </c>
      <c r="AD1775">
        <v>223</v>
      </c>
      <c r="AE1775">
        <v>99</v>
      </c>
      <c r="AF1775">
        <v>63.93</v>
      </c>
      <c r="AG1775">
        <v>4.4400000000000004</v>
      </c>
      <c r="AH1775">
        <v>2.92</v>
      </c>
      <c r="AI1775">
        <v>0.03</v>
      </c>
      <c r="AJ1775">
        <v>0.01</v>
      </c>
      <c r="AK1775">
        <v>91</v>
      </c>
      <c r="AL1775">
        <v>599</v>
      </c>
      <c r="AM1775">
        <v>222</v>
      </c>
      <c r="AN1775">
        <v>-1.25</v>
      </c>
      <c r="AO1775">
        <v>1.78</v>
      </c>
      <c r="AP1775">
        <v>1097</v>
      </c>
      <c r="AQ1775">
        <v>0</v>
      </c>
      <c r="AR1775">
        <v>5.03</v>
      </c>
      <c r="AS1775">
        <v>96</v>
      </c>
      <c r="AT1775">
        <v>2.17</v>
      </c>
      <c r="AU1775">
        <v>96</v>
      </c>
      <c r="AV1775">
        <v>-1.82</v>
      </c>
      <c r="AW1775">
        <v>99</v>
      </c>
      <c r="AX1775">
        <v>-0.61</v>
      </c>
      <c r="AY1775">
        <v>96</v>
      </c>
      <c r="AZ1775">
        <v>6.14</v>
      </c>
      <c r="BA1775">
        <v>89</v>
      </c>
      <c r="BB1775">
        <v>5.15</v>
      </c>
      <c r="BC1775">
        <v>91</v>
      </c>
      <c r="BD1775">
        <v>-0.01</v>
      </c>
      <c r="BE1775">
        <v>-0.01</v>
      </c>
      <c r="BF1775">
        <v>0.03</v>
      </c>
      <c r="BG1775">
        <v>97</v>
      </c>
      <c r="BH1775">
        <v>-0.1</v>
      </c>
      <c r="BI1775">
        <v>9.85</v>
      </c>
      <c r="BJ1775">
        <v>122</v>
      </c>
      <c r="BK1775">
        <v>59</v>
      </c>
      <c r="BL1775">
        <v>0.26</v>
      </c>
      <c r="BM1775">
        <v>0.42</v>
      </c>
      <c r="BN1775">
        <v>0.46</v>
      </c>
      <c r="BO1775">
        <v>0.06</v>
      </c>
      <c r="BP1775">
        <v>0.26</v>
      </c>
      <c r="BQ1775">
        <v>1.87</v>
      </c>
      <c r="BR1775">
        <v>1.6</v>
      </c>
      <c r="BS1775">
        <v>0.1</v>
      </c>
      <c r="BT1775">
        <v>-0.71</v>
      </c>
      <c r="BU1775">
        <v>-1.94</v>
      </c>
      <c r="BV1775">
        <v>-0.2</v>
      </c>
      <c r="BW1775">
        <v>0.27</v>
      </c>
      <c r="BX1775">
        <v>-1.18</v>
      </c>
      <c r="BY1775">
        <v>-2.0099999999999998</v>
      </c>
      <c r="BZ1775">
        <v>3.53</v>
      </c>
      <c r="CA1775">
        <v>-0.95</v>
      </c>
      <c r="CB1775">
        <v>-1.06</v>
      </c>
      <c r="CC1775">
        <v>-0.11</v>
      </c>
      <c r="CD1775">
        <v>-0.53</v>
      </c>
      <c r="CE1775">
        <v>0.11</v>
      </c>
      <c r="CF1775">
        <v>0.74</v>
      </c>
      <c r="CG1775">
        <v>0</v>
      </c>
      <c r="CH1775">
        <v>-1.93</v>
      </c>
      <c r="CI1775">
        <v>0</v>
      </c>
      <c r="CJ1775">
        <v>1.7</v>
      </c>
      <c r="CK1775">
        <v>99</v>
      </c>
      <c r="CL1775">
        <v>-0.76</v>
      </c>
      <c r="CM1775">
        <v>98</v>
      </c>
      <c r="CN1775">
        <v>-0.19</v>
      </c>
      <c r="CO1775">
        <v>98</v>
      </c>
      <c r="CP1775">
        <v>-4.0999999999999996</v>
      </c>
      <c r="CQ1775">
        <v>98</v>
      </c>
      <c r="CR1775">
        <v>0</v>
      </c>
      <c r="CS1775">
        <v>0</v>
      </c>
      <c r="CT1775">
        <v>0.8</v>
      </c>
      <c r="CU1775">
        <v>97</v>
      </c>
      <c r="CV1775">
        <v>0.28999999999999998</v>
      </c>
      <c r="CW1775">
        <v>46</v>
      </c>
      <c r="CX1775" t="s">
        <v>193</v>
      </c>
    </row>
    <row r="1776" spans="1:102" x14ac:dyDescent="0.3">
      <c r="A1776" t="str">
        <f>HYPERLINK("https://webapp.icbf.com/v2/app/bull-search/view/1591828082","FR4424")</f>
        <v>FR4424</v>
      </c>
      <c r="B1776" t="s">
        <v>6324</v>
      </c>
      <c r="C1776" t="s">
        <v>6325</v>
      </c>
      <c r="D1776" s="1">
        <v>42627</v>
      </c>
      <c r="E1776" t="s">
        <v>108</v>
      </c>
      <c r="F1776">
        <v>0</v>
      </c>
      <c r="G1776" t="s">
        <v>435</v>
      </c>
      <c r="H1776">
        <v>86.76</v>
      </c>
      <c r="I1776">
        <v>58</v>
      </c>
      <c r="J1776">
        <v>-34.01</v>
      </c>
      <c r="K1776">
        <v>76</v>
      </c>
      <c r="L1776">
        <v>88.03</v>
      </c>
      <c r="M1776">
        <v>50</v>
      </c>
      <c r="N1776">
        <v>16.75</v>
      </c>
      <c r="O1776">
        <v>65</v>
      </c>
      <c r="P1776">
        <v>-7.52</v>
      </c>
      <c r="Q1776">
        <v>42</v>
      </c>
      <c r="R1776">
        <v>7.86</v>
      </c>
      <c r="S1776">
        <v>47</v>
      </c>
      <c r="T1776">
        <v>17.079999999999998</v>
      </c>
      <c r="U1776">
        <v>37</v>
      </c>
      <c r="V1776">
        <v>-1.43</v>
      </c>
      <c r="W1776">
        <v>44</v>
      </c>
      <c r="X1776" t="s">
        <v>102</v>
      </c>
      <c r="Y1776" t="s">
        <v>2261</v>
      </c>
      <c r="Z1776" t="s">
        <v>96</v>
      </c>
      <c r="AA1776" t="s">
        <v>6326</v>
      </c>
      <c r="AB1776" t="s">
        <v>6327</v>
      </c>
      <c r="AC1776">
        <v>0</v>
      </c>
      <c r="AD1776">
        <v>0</v>
      </c>
      <c r="AE1776">
        <v>76</v>
      </c>
      <c r="AF1776">
        <v>-262.25</v>
      </c>
      <c r="AG1776">
        <v>-6.95</v>
      </c>
      <c r="AH1776">
        <v>-7.34</v>
      </c>
      <c r="AI1776">
        <v>0.06</v>
      </c>
      <c r="AJ1776">
        <v>0.03</v>
      </c>
      <c r="AK1776">
        <v>50</v>
      </c>
      <c r="AL1776">
        <v>0</v>
      </c>
      <c r="AM1776">
        <v>0</v>
      </c>
      <c r="AN1776">
        <v>-5.58</v>
      </c>
      <c r="AO1776">
        <v>1.43</v>
      </c>
      <c r="AP1776">
        <v>53</v>
      </c>
      <c r="AQ1776">
        <v>0</v>
      </c>
      <c r="AR1776">
        <v>7.16</v>
      </c>
      <c r="AS1776">
        <v>38</v>
      </c>
      <c r="AT1776">
        <v>3.45</v>
      </c>
      <c r="AU1776">
        <v>66</v>
      </c>
      <c r="AV1776">
        <v>-2.33</v>
      </c>
      <c r="AW1776">
        <v>86</v>
      </c>
      <c r="AX1776">
        <v>-1.03</v>
      </c>
      <c r="AY1776">
        <v>58</v>
      </c>
      <c r="AZ1776">
        <v>7.06</v>
      </c>
      <c r="BA1776">
        <v>26</v>
      </c>
      <c r="BB1776">
        <v>5.34</v>
      </c>
      <c r="BC1776">
        <v>25</v>
      </c>
      <c r="BD1776">
        <v>0.02</v>
      </c>
      <c r="BE1776">
        <v>-0.06</v>
      </c>
      <c r="BF1776">
        <v>-0.1</v>
      </c>
      <c r="BG1776">
        <v>57</v>
      </c>
      <c r="BH1776">
        <v>-7.0000000000000007E-2</v>
      </c>
      <c r="BI1776">
        <v>-3.49</v>
      </c>
      <c r="BJ1776">
        <v>0</v>
      </c>
      <c r="BK1776">
        <v>0</v>
      </c>
      <c r="BL1776">
        <v>-3.51</v>
      </c>
      <c r="BM1776">
        <v>2.06</v>
      </c>
      <c r="BN1776">
        <v>-2.78</v>
      </c>
      <c r="BO1776">
        <v>-3.3</v>
      </c>
      <c r="BP1776">
        <v>-1.47</v>
      </c>
      <c r="BQ1776">
        <v>0.27</v>
      </c>
      <c r="BR1776">
        <v>-0.42</v>
      </c>
      <c r="BS1776">
        <v>0.36</v>
      </c>
      <c r="BT1776">
        <v>-0.12</v>
      </c>
      <c r="BU1776">
        <v>-0.48</v>
      </c>
      <c r="BV1776">
        <v>-1.98</v>
      </c>
      <c r="BW1776">
        <v>-1.52</v>
      </c>
      <c r="BX1776">
        <v>-0.86</v>
      </c>
      <c r="BY1776">
        <v>-0.83</v>
      </c>
      <c r="BZ1776">
        <v>-2.17</v>
      </c>
      <c r="CA1776">
        <v>-1.08</v>
      </c>
      <c r="CB1776">
        <v>-1.1399999999999999</v>
      </c>
      <c r="CC1776">
        <v>-0.61</v>
      </c>
      <c r="CD1776">
        <v>3.52</v>
      </c>
      <c r="CE1776">
        <v>-2.99</v>
      </c>
      <c r="CF1776">
        <v>-2.69</v>
      </c>
      <c r="CG1776">
        <v>0</v>
      </c>
      <c r="CH1776">
        <v>0.41</v>
      </c>
      <c r="CI1776">
        <v>0</v>
      </c>
      <c r="CJ1776">
        <v>-2.6</v>
      </c>
      <c r="CK1776">
        <v>43</v>
      </c>
      <c r="CL1776">
        <v>-0.04</v>
      </c>
      <c r="CM1776">
        <v>42</v>
      </c>
      <c r="CN1776">
        <v>0.19</v>
      </c>
      <c r="CO1776">
        <v>42</v>
      </c>
      <c r="CP1776">
        <v>-8.6</v>
      </c>
      <c r="CQ1776">
        <v>39</v>
      </c>
      <c r="CR1776">
        <v>0</v>
      </c>
      <c r="CS1776">
        <v>0</v>
      </c>
      <c r="CT1776">
        <v>-9.3000000000000007</v>
      </c>
      <c r="CU1776">
        <v>37</v>
      </c>
      <c r="CV1776">
        <v>0.02</v>
      </c>
      <c r="CW1776">
        <v>33</v>
      </c>
      <c r="CX1776" t="s">
        <v>6328</v>
      </c>
    </row>
    <row r="1777" spans="1:102" x14ac:dyDescent="0.3">
      <c r="A1777" t="str">
        <f>HYPERLINK("https://webapp.icbf.com/v2/app/bull-search/view/1361575718","FR4125")</f>
        <v>FR4125</v>
      </c>
      <c r="B1777" t="s">
        <v>15703</v>
      </c>
      <c r="C1777" t="s">
        <v>15704</v>
      </c>
      <c r="D1777" s="1">
        <v>42146</v>
      </c>
      <c r="E1777" t="s">
        <v>92</v>
      </c>
      <c r="F1777">
        <v>100</v>
      </c>
      <c r="G1777" t="s">
        <v>109</v>
      </c>
      <c r="H1777">
        <v>86.73</v>
      </c>
      <c r="I1777">
        <v>74</v>
      </c>
      <c r="J1777">
        <v>85.72</v>
      </c>
      <c r="K1777">
        <v>91</v>
      </c>
      <c r="L1777">
        <v>-31.69</v>
      </c>
      <c r="M1777">
        <v>72</v>
      </c>
      <c r="N1777">
        <v>17</v>
      </c>
      <c r="O1777">
        <v>78</v>
      </c>
      <c r="P1777">
        <v>-4.9000000000000004</v>
      </c>
      <c r="Q1777">
        <v>48</v>
      </c>
      <c r="R1777">
        <v>8.92</v>
      </c>
      <c r="S1777">
        <v>69</v>
      </c>
      <c r="T1777">
        <v>5.54</v>
      </c>
      <c r="U1777">
        <v>41</v>
      </c>
      <c r="V1777">
        <v>6.14</v>
      </c>
      <c r="W1777">
        <v>56</v>
      </c>
      <c r="X1777" t="s">
        <v>428</v>
      </c>
      <c r="Y1777" t="s">
        <v>429</v>
      </c>
      <c r="Z1777" t="s">
        <v>96</v>
      </c>
      <c r="AA1777" t="s">
        <v>2311</v>
      </c>
      <c r="AB1777" t="s">
        <v>9562</v>
      </c>
      <c r="AC1777">
        <v>0</v>
      </c>
      <c r="AD1777">
        <v>0</v>
      </c>
      <c r="AE1777">
        <v>91</v>
      </c>
      <c r="AF1777">
        <v>418.5</v>
      </c>
      <c r="AG1777">
        <v>19.010000000000002</v>
      </c>
      <c r="AH1777">
        <v>14.26</v>
      </c>
      <c r="AI1777">
        <v>0.04</v>
      </c>
      <c r="AJ1777">
        <v>0</v>
      </c>
      <c r="AK1777">
        <v>72</v>
      </c>
      <c r="AL1777">
        <v>0</v>
      </c>
      <c r="AM1777">
        <v>0</v>
      </c>
      <c r="AN1777">
        <v>2.2999999999999998</v>
      </c>
      <c r="AO1777">
        <v>-0.22</v>
      </c>
      <c r="AP1777">
        <v>109</v>
      </c>
      <c r="AQ1777">
        <v>0</v>
      </c>
      <c r="AR1777">
        <v>9.07</v>
      </c>
      <c r="AS1777">
        <v>81</v>
      </c>
      <c r="AT1777">
        <v>3.55</v>
      </c>
      <c r="AU1777">
        <v>90</v>
      </c>
      <c r="AV1777">
        <v>-2.95</v>
      </c>
      <c r="AW1777">
        <v>89</v>
      </c>
      <c r="AX1777">
        <v>-0.62</v>
      </c>
      <c r="AY1777">
        <v>72</v>
      </c>
      <c r="AZ1777">
        <v>5.74</v>
      </c>
      <c r="BA1777">
        <v>43</v>
      </c>
      <c r="BB1777">
        <v>5.2</v>
      </c>
      <c r="BC1777">
        <v>37</v>
      </c>
      <c r="BD1777">
        <v>-0.06</v>
      </c>
      <c r="BE1777">
        <v>-0.05</v>
      </c>
      <c r="BF1777">
        <v>-0.01</v>
      </c>
      <c r="BG1777">
        <v>86</v>
      </c>
      <c r="BH1777">
        <v>0.11</v>
      </c>
      <c r="BI1777">
        <v>-7.07</v>
      </c>
      <c r="BJ1777">
        <v>0</v>
      </c>
      <c r="BK1777">
        <v>0</v>
      </c>
      <c r="BL1777">
        <v>2.58</v>
      </c>
      <c r="BM1777">
        <v>-0.72</v>
      </c>
      <c r="BN1777">
        <v>0.98</v>
      </c>
      <c r="BO1777">
        <v>2.39</v>
      </c>
      <c r="BP1777">
        <v>-1.45</v>
      </c>
      <c r="BQ1777">
        <v>3.17</v>
      </c>
      <c r="BR1777">
        <v>-0.88</v>
      </c>
      <c r="BS1777">
        <v>2.71</v>
      </c>
      <c r="BT1777">
        <v>2.09</v>
      </c>
      <c r="BU1777">
        <v>3.58</v>
      </c>
      <c r="BV1777">
        <v>4.57</v>
      </c>
      <c r="BW1777">
        <v>3.13</v>
      </c>
      <c r="BX1777">
        <v>3.22</v>
      </c>
      <c r="BY1777">
        <v>3.74</v>
      </c>
      <c r="BZ1777">
        <v>-2.72</v>
      </c>
      <c r="CA1777">
        <v>3.41</v>
      </c>
      <c r="CB1777">
        <v>3.04</v>
      </c>
      <c r="CC1777">
        <v>2.58</v>
      </c>
      <c r="CD1777">
        <v>-1.8</v>
      </c>
      <c r="CE1777">
        <v>0.77</v>
      </c>
      <c r="CF1777">
        <v>0.68</v>
      </c>
      <c r="CG1777">
        <v>0</v>
      </c>
      <c r="CH1777">
        <v>3.02</v>
      </c>
      <c r="CI1777">
        <v>0</v>
      </c>
      <c r="CJ1777">
        <v>-1</v>
      </c>
      <c r="CK1777">
        <v>50</v>
      </c>
      <c r="CL1777">
        <v>-1.32</v>
      </c>
      <c r="CM1777">
        <v>46</v>
      </c>
      <c r="CN1777">
        <v>-0.81</v>
      </c>
      <c r="CO1777">
        <v>45</v>
      </c>
      <c r="CP1777">
        <v>4.0999999999999996</v>
      </c>
      <c r="CQ1777">
        <v>42</v>
      </c>
      <c r="CR1777">
        <v>0</v>
      </c>
      <c r="CS1777">
        <v>0</v>
      </c>
      <c r="CT1777">
        <v>6.3</v>
      </c>
      <c r="CU1777">
        <v>41</v>
      </c>
      <c r="CV1777">
        <v>0.18</v>
      </c>
      <c r="CW1777">
        <v>35</v>
      </c>
      <c r="CX1777" t="s">
        <v>1894</v>
      </c>
    </row>
    <row r="1778" spans="1:102" x14ac:dyDescent="0.3">
      <c r="A1778" t="str">
        <f>HYPERLINK("https://webapp.icbf.com/v2/app/bull-search/view/757294989","GGZ")</f>
        <v>GGZ</v>
      </c>
      <c r="B1778" t="s">
        <v>12935</v>
      </c>
      <c r="C1778" t="s">
        <v>12936</v>
      </c>
      <c r="D1778" s="1">
        <v>40247</v>
      </c>
      <c r="E1778" t="s">
        <v>92</v>
      </c>
      <c r="F1778">
        <v>88</v>
      </c>
      <c r="G1778" t="s">
        <v>93</v>
      </c>
      <c r="H1778">
        <v>86.72</v>
      </c>
      <c r="I1778">
        <v>92</v>
      </c>
      <c r="J1778">
        <v>50.48</v>
      </c>
      <c r="K1778">
        <v>98</v>
      </c>
      <c r="L1778">
        <v>8.5</v>
      </c>
      <c r="M1778">
        <v>87</v>
      </c>
      <c r="N1778">
        <v>39.090000000000003</v>
      </c>
      <c r="O1778">
        <v>93</v>
      </c>
      <c r="P1778">
        <v>5.0999999999999996</v>
      </c>
      <c r="Q1778">
        <v>98</v>
      </c>
      <c r="R1778">
        <v>-2.91</v>
      </c>
      <c r="S1778">
        <v>86</v>
      </c>
      <c r="T1778">
        <v>-6.3</v>
      </c>
      <c r="U1778">
        <v>94</v>
      </c>
      <c r="V1778">
        <v>-7.24</v>
      </c>
      <c r="W1778">
        <v>81</v>
      </c>
      <c r="X1778" t="s">
        <v>102</v>
      </c>
      <c r="Y1778" t="s">
        <v>1685</v>
      </c>
      <c r="Z1778" t="s">
        <v>96</v>
      </c>
      <c r="AA1778" t="s">
        <v>5435</v>
      </c>
      <c r="AB1778" t="s">
        <v>8236</v>
      </c>
      <c r="AC1778">
        <v>293</v>
      </c>
      <c r="AD1778">
        <v>134</v>
      </c>
      <c r="AE1778">
        <v>98</v>
      </c>
      <c r="AF1778">
        <v>310.07</v>
      </c>
      <c r="AG1778">
        <v>5.63</v>
      </c>
      <c r="AH1778">
        <v>11.34</v>
      </c>
      <c r="AI1778">
        <v>-0.11</v>
      </c>
      <c r="AJ1778">
        <v>0.01</v>
      </c>
      <c r="AK1778">
        <v>87</v>
      </c>
      <c r="AL1778">
        <v>402</v>
      </c>
      <c r="AM1778">
        <v>178</v>
      </c>
      <c r="AN1778">
        <v>-0.31</v>
      </c>
      <c r="AO1778">
        <v>0.37</v>
      </c>
      <c r="AP1778">
        <v>694</v>
      </c>
      <c r="AQ1778">
        <v>8</v>
      </c>
      <c r="AR1778">
        <v>6.61</v>
      </c>
      <c r="AS1778">
        <v>85</v>
      </c>
      <c r="AT1778">
        <v>2.81</v>
      </c>
      <c r="AU1778">
        <v>95</v>
      </c>
      <c r="AV1778">
        <v>-4.5999999999999996</v>
      </c>
      <c r="AW1778">
        <v>99</v>
      </c>
      <c r="AX1778">
        <v>0.34</v>
      </c>
      <c r="AY1778">
        <v>93</v>
      </c>
      <c r="AZ1778">
        <v>7.43</v>
      </c>
      <c r="BA1778">
        <v>83</v>
      </c>
      <c r="BB1778">
        <v>5.04</v>
      </c>
      <c r="BC1778">
        <v>81</v>
      </c>
      <c r="BD1778">
        <v>0</v>
      </c>
      <c r="BE1778">
        <v>0.03</v>
      </c>
      <c r="BF1778">
        <v>0.01</v>
      </c>
      <c r="BG1778">
        <v>94</v>
      </c>
      <c r="BH1778">
        <v>0.03</v>
      </c>
      <c r="BI1778">
        <v>26.82</v>
      </c>
      <c r="BJ1778">
        <v>9</v>
      </c>
      <c r="BK1778">
        <v>8</v>
      </c>
      <c r="BL1778">
        <v>0.7</v>
      </c>
      <c r="BM1778">
        <v>2.2000000000000002</v>
      </c>
      <c r="BN1778">
        <v>1.07</v>
      </c>
      <c r="BO1778">
        <v>-0.15</v>
      </c>
      <c r="BP1778">
        <v>3.57</v>
      </c>
      <c r="BQ1778">
        <v>1.31</v>
      </c>
      <c r="BR1778">
        <v>-1.68</v>
      </c>
      <c r="BS1778">
        <v>0.84</v>
      </c>
      <c r="BT1778">
        <v>1.75</v>
      </c>
      <c r="BU1778">
        <v>-0.42</v>
      </c>
      <c r="BV1778">
        <v>0.47</v>
      </c>
      <c r="BW1778">
        <v>0.91</v>
      </c>
      <c r="BX1778">
        <v>-0.49</v>
      </c>
      <c r="BY1778">
        <v>0.72</v>
      </c>
      <c r="BZ1778">
        <v>1.2</v>
      </c>
      <c r="CA1778">
        <v>0.28999999999999998</v>
      </c>
      <c r="CB1778">
        <v>0.52</v>
      </c>
      <c r="CC1778">
        <v>0.73</v>
      </c>
      <c r="CD1778">
        <v>2.04</v>
      </c>
      <c r="CE1778">
        <v>0.1</v>
      </c>
      <c r="CF1778">
        <v>1.74</v>
      </c>
      <c r="CG1778">
        <v>0</v>
      </c>
      <c r="CH1778">
        <v>1.02</v>
      </c>
      <c r="CI1778">
        <v>0</v>
      </c>
      <c r="CJ1778">
        <v>5.3</v>
      </c>
      <c r="CK1778">
        <v>98</v>
      </c>
      <c r="CL1778">
        <v>-0.55000000000000004</v>
      </c>
      <c r="CM1778">
        <v>98</v>
      </c>
      <c r="CN1778">
        <v>-0.22</v>
      </c>
      <c r="CO1778">
        <v>98</v>
      </c>
      <c r="CP1778">
        <v>5.9</v>
      </c>
      <c r="CQ1778">
        <v>95</v>
      </c>
      <c r="CR1778">
        <v>0</v>
      </c>
      <c r="CS1778">
        <v>0</v>
      </c>
      <c r="CT1778">
        <v>22.3</v>
      </c>
      <c r="CU1778">
        <v>94</v>
      </c>
      <c r="CV1778">
        <v>0.21</v>
      </c>
      <c r="CW1778">
        <v>47</v>
      </c>
      <c r="CX1778" t="s">
        <v>1252</v>
      </c>
    </row>
    <row r="1779" spans="1:102" x14ac:dyDescent="0.3">
      <c r="A1779" t="str">
        <f>HYPERLINK("https://webapp.icbf.com/v2/app/bull-search/view/1103481316","S1658")</f>
        <v>S1658</v>
      </c>
      <c r="B1779" t="s">
        <v>13367</v>
      </c>
      <c r="C1779" t="s">
        <v>13368</v>
      </c>
      <c r="D1779" s="1">
        <v>40582</v>
      </c>
      <c r="E1779" t="s">
        <v>92</v>
      </c>
      <c r="F1779">
        <v>100</v>
      </c>
      <c r="G1779" t="s">
        <v>109</v>
      </c>
      <c r="H1779">
        <v>86.62</v>
      </c>
      <c r="I1779">
        <v>57</v>
      </c>
      <c r="J1779">
        <v>92.92</v>
      </c>
      <c r="K1779">
        <v>76</v>
      </c>
      <c r="L1779">
        <v>-34.229999999999997</v>
      </c>
      <c r="M1779">
        <v>71</v>
      </c>
      <c r="N1779">
        <v>16.100000000000001</v>
      </c>
      <c r="O1779">
        <v>28</v>
      </c>
      <c r="P1779">
        <v>-11.38</v>
      </c>
      <c r="Q1779">
        <v>14</v>
      </c>
      <c r="R1779">
        <v>7.15</v>
      </c>
      <c r="S1779">
        <v>50</v>
      </c>
      <c r="T1779">
        <v>13.23</v>
      </c>
      <c r="U1779">
        <v>24</v>
      </c>
      <c r="V1779">
        <v>2.83</v>
      </c>
      <c r="W1779">
        <v>9</v>
      </c>
      <c r="X1779" t="s">
        <v>276</v>
      </c>
      <c r="Y1779" t="s">
        <v>362</v>
      </c>
      <c r="Z1779" t="s">
        <v>96</v>
      </c>
      <c r="AA1779" t="s">
        <v>13369</v>
      </c>
      <c r="AB1779" t="s">
        <v>13370</v>
      </c>
      <c r="AC1779">
        <v>0</v>
      </c>
      <c r="AD1779">
        <v>0</v>
      </c>
      <c r="AE1779">
        <v>76</v>
      </c>
      <c r="AF1779">
        <v>680.24</v>
      </c>
      <c r="AG1779">
        <v>17.989999999999998</v>
      </c>
      <c r="AH1779">
        <v>19.850000000000001</v>
      </c>
      <c r="AI1779">
        <v>-0.13</v>
      </c>
      <c r="AJ1779">
        <v>-0.05</v>
      </c>
      <c r="AK1779">
        <v>71</v>
      </c>
      <c r="AL1779">
        <v>0</v>
      </c>
      <c r="AM1779">
        <v>0</v>
      </c>
      <c r="AN1779">
        <v>4.9400000000000004</v>
      </c>
      <c r="AO1779">
        <v>2.25</v>
      </c>
      <c r="AP1779">
        <v>2</v>
      </c>
      <c r="AQ1779">
        <v>0</v>
      </c>
      <c r="AR1779">
        <v>5.61</v>
      </c>
      <c r="AS1779">
        <v>17</v>
      </c>
      <c r="AT1779">
        <v>2.66</v>
      </c>
      <c r="AU1779">
        <v>77</v>
      </c>
      <c r="AV1779">
        <v>-1.17</v>
      </c>
      <c r="AW1779">
        <v>11</v>
      </c>
      <c r="AX1779">
        <v>0</v>
      </c>
      <c r="AY1779">
        <v>16</v>
      </c>
      <c r="AZ1779">
        <v>6.96</v>
      </c>
      <c r="BA1779">
        <v>11</v>
      </c>
      <c r="BB1779">
        <v>5.19</v>
      </c>
      <c r="BC1779">
        <v>10</v>
      </c>
      <c r="BD1779">
        <v>0.01</v>
      </c>
      <c r="BE1779">
        <v>0.01</v>
      </c>
      <c r="BF1779">
        <v>-0.2</v>
      </c>
      <c r="BG1779">
        <v>82</v>
      </c>
      <c r="BH1779">
        <v>0.13</v>
      </c>
      <c r="BI1779">
        <v>5.91</v>
      </c>
      <c r="BJ1779">
        <v>0</v>
      </c>
      <c r="BK1779">
        <v>0</v>
      </c>
      <c r="BL1779">
        <v>0.42</v>
      </c>
      <c r="BM1779">
        <v>-1.43</v>
      </c>
      <c r="BN1779">
        <v>-0.7</v>
      </c>
      <c r="BO1779">
        <v>0.87</v>
      </c>
      <c r="BP1779">
        <v>1.71</v>
      </c>
      <c r="BQ1779">
        <v>0.26</v>
      </c>
      <c r="BR1779">
        <v>-0.51</v>
      </c>
      <c r="BS1779">
        <v>0.57999999999999996</v>
      </c>
      <c r="BT1779">
        <v>0.25</v>
      </c>
      <c r="BU1779">
        <v>1.43</v>
      </c>
      <c r="BV1779">
        <v>2.02</v>
      </c>
      <c r="BW1779">
        <v>0.89</v>
      </c>
      <c r="BX1779">
        <v>1.1399999999999999</v>
      </c>
      <c r="BY1779">
        <v>1.57</v>
      </c>
      <c r="BZ1779">
        <v>-7.0000000000000007E-2</v>
      </c>
      <c r="CA1779">
        <v>1.55</v>
      </c>
      <c r="CB1779">
        <v>1.55</v>
      </c>
      <c r="CC1779">
        <v>0.83</v>
      </c>
      <c r="CD1779">
        <v>-0.61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-4.8</v>
      </c>
      <c r="CK1779">
        <v>15</v>
      </c>
      <c r="CL1779">
        <v>-0.87</v>
      </c>
      <c r="CM1779">
        <v>12</v>
      </c>
      <c r="CN1779">
        <v>-0.45</v>
      </c>
      <c r="CO1779">
        <v>10</v>
      </c>
      <c r="CP1779">
        <v>-7</v>
      </c>
      <c r="CQ1779">
        <v>20</v>
      </c>
      <c r="CR1779">
        <v>0</v>
      </c>
      <c r="CS1779">
        <v>0</v>
      </c>
      <c r="CT1779">
        <v>-4.0999999999999996</v>
      </c>
      <c r="CU1779">
        <v>24</v>
      </c>
      <c r="CV1779">
        <v>0.2</v>
      </c>
      <c r="CW1779">
        <v>3</v>
      </c>
      <c r="CX1779" t="s">
        <v>350</v>
      </c>
    </row>
    <row r="1780" spans="1:102" x14ac:dyDescent="0.3">
      <c r="A1780" t="str">
        <f>HYPERLINK("https://webapp.icbf.com/v2/app/bull-search/view/463962800","GDZ")</f>
        <v>GDZ</v>
      </c>
      <c r="B1780" t="s">
        <v>1372</v>
      </c>
      <c r="C1780" t="s">
        <v>1373</v>
      </c>
      <c r="D1780" s="1">
        <v>38754</v>
      </c>
      <c r="E1780" t="s">
        <v>92</v>
      </c>
      <c r="F1780">
        <v>100</v>
      </c>
      <c r="G1780" t="s">
        <v>93</v>
      </c>
      <c r="H1780">
        <v>86.61</v>
      </c>
      <c r="I1780">
        <v>92</v>
      </c>
      <c r="J1780">
        <v>75.400000000000006</v>
      </c>
      <c r="K1780">
        <v>98</v>
      </c>
      <c r="L1780">
        <v>-47.11</v>
      </c>
      <c r="M1780">
        <v>87</v>
      </c>
      <c r="N1780">
        <v>51.03</v>
      </c>
      <c r="O1780">
        <v>92</v>
      </c>
      <c r="P1780">
        <v>-3.81</v>
      </c>
      <c r="Q1780">
        <v>96</v>
      </c>
      <c r="R1780">
        <v>6.09</v>
      </c>
      <c r="S1780">
        <v>87</v>
      </c>
      <c r="T1780">
        <v>-0.09</v>
      </c>
      <c r="U1780">
        <v>93</v>
      </c>
      <c r="V1780">
        <v>5.0999999999999996</v>
      </c>
      <c r="W1780">
        <v>90</v>
      </c>
      <c r="X1780" t="s">
        <v>102</v>
      </c>
      <c r="Y1780" t="s">
        <v>1374</v>
      </c>
      <c r="Z1780" t="s">
        <v>96</v>
      </c>
      <c r="AA1780" t="s">
        <v>316</v>
      </c>
      <c r="AB1780" t="s">
        <v>1375</v>
      </c>
      <c r="AC1780">
        <v>206</v>
      </c>
      <c r="AD1780">
        <v>70</v>
      </c>
      <c r="AE1780">
        <v>98</v>
      </c>
      <c r="AF1780">
        <v>608.80999999999995</v>
      </c>
      <c r="AG1780">
        <v>14.96</v>
      </c>
      <c r="AH1780">
        <v>16.850000000000001</v>
      </c>
      <c r="AI1780">
        <v>-0.14000000000000001</v>
      </c>
      <c r="AJ1780">
        <v>-0.06</v>
      </c>
      <c r="AK1780">
        <v>87</v>
      </c>
      <c r="AL1780">
        <v>225</v>
      </c>
      <c r="AM1780">
        <v>90</v>
      </c>
      <c r="AN1780">
        <v>3.08</v>
      </c>
      <c r="AO1780">
        <v>-0.67</v>
      </c>
      <c r="AP1780">
        <v>490</v>
      </c>
      <c r="AQ1780">
        <v>3</v>
      </c>
      <c r="AR1780">
        <v>4.3499999999999996</v>
      </c>
      <c r="AS1780">
        <v>87</v>
      </c>
      <c r="AT1780">
        <v>2.02</v>
      </c>
      <c r="AU1780">
        <v>94</v>
      </c>
      <c r="AV1780">
        <v>-4.51</v>
      </c>
      <c r="AW1780">
        <v>98</v>
      </c>
      <c r="AX1780">
        <v>0.66</v>
      </c>
      <c r="AY1780">
        <v>91</v>
      </c>
      <c r="AZ1780">
        <v>5.68</v>
      </c>
      <c r="BA1780">
        <v>79</v>
      </c>
      <c r="BB1780">
        <v>4.91</v>
      </c>
      <c r="BC1780">
        <v>80</v>
      </c>
      <c r="BD1780">
        <v>-0.03</v>
      </c>
      <c r="BE1780">
        <v>0</v>
      </c>
      <c r="BF1780">
        <v>-0.09</v>
      </c>
      <c r="BG1780">
        <v>93</v>
      </c>
      <c r="BH1780">
        <v>0.02</v>
      </c>
      <c r="BI1780">
        <v>-14.13</v>
      </c>
      <c r="BJ1780">
        <v>36</v>
      </c>
      <c r="BK1780">
        <v>13</v>
      </c>
      <c r="BL1780">
        <v>0.72</v>
      </c>
      <c r="BM1780">
        <v>1.19</v>
      </c>
      <c r="BN1780">
        <v>1.2</v>
      </c>
      <c r="BO1780">
        <v>0.32</v>
      </c>
      <c r="BP1780">
        <v>0.46</v>
      </c>
      <c r="BQ1780">
        <v>0.17</v>
      </c>
      <c r="BR1780">
        <v>0.53</v>
      </c>
      <c r="BS1780">
        <v>-0.84</v>
      </c>
      <c r="BT1780">
        <v>-1.24</v>
      </c>
      <c r="BU1780">
        <v>0.37</v>
      </c>
      <c r="BV1780">
        <v>0.38</v>
      </c>
      <c r="BW1780">
        <v>1.33</v>
      </c>
      <c r="BX1780">
        <v>0.3</v>
      </c>
      <c r="BY1780">
        <v>0.3</v>
      </c>
      <c r="BZ1780">
        <v>1.75</v>
      </c>
      <c r="CA1780">
        <v>-0.04</v>
      </c>
      <c r="CB1780">
        <v>0.38</v>
      </c>
      <c r="CC1780">
        <v>-0.83</v>
      </c>
      <c r="CD1780">
        <v>0.32</v>
      </c>
      <c r="CE1780">
        <v>-0.06</v>
      </c>
      <c r="CF1780">
        <v>0.72</v>
      </c>
      <c r="CG1780">
        <v>0</v>
      </c>
      <c r="CH1780">
        <v>0.34</v>
      </c>
      <c r="CI1780">
        <v>0</v>
      </c>
      <c r="CJ1780">
        <v>1.9</v>
      </c>
      <c r="CK1780">
        <v>97</v>
      </c>
      <c r="CL1780">
        <v>-0.96</v>
      </c>
      <c r="CM1780">
        <v>96</v>
      </c>
      <c r="CN1780">
        <v>-0.26</v>
      </c>
      <c r="CO1780">
        <v>96</v>
      </c>
      <c r="CP1780">
        <v>2.9</v>
      </c>
      <c r="CQ1780">
        <v>94</v>
      </c>
      <c r="CR1780">
        <v>0</v>
      </c>
      <c r="CS1780">
        <v>0</v>
      </c>
      <c r="CT1780">
        <v>13.9</v>
      </c>
      <c r="CU1780">
        <v>93</v>
      </c>
      <c r="CV1780">
        <v>0.31</v>
      </c>
      <c r="CW1780">
        <v>48</v>
      </c>
      <c r="CX1780" t="s">
        <v>1376</v>
      </c>
    </row>
    <row r="1781" spans="1:102" x14ac:dyDescent="0.3">
      <c r="A1781" t="str">
        <f>HYPERLINK("https://webapp.icbf.com/v2/app/bull-search/view/867725610","CFW")</f>
        <v>CFW</v>
      </c>
      <c r="B1781" t="s">
        <v>10124</v>
      </c>
      <c r="C1781" t="s">
        <v>10125</v>
      </c>
      <c r="D1781" s="1">
        <v>39863</v>
      </c>
      <c r="E1781" t="s">
        <v>108</v>
      </c>
      <c r="F1781">
        <v>0</v>
      </c>
      <c r="G1781" t="s">
        <v>93</v>
      </c>
      <c r="H1781">
        <v>86.61</v>
      </c>
      <c r="I1781">
        <v>87</v>
      </c>
      <c r="J1781">
        <v>-38.69</v>
      </c>
      <c r="K1781">
        <v>97</v>
      </c>
      <c r="L1781">
        <v>65.91</v>
      </c>
      <c r="M1781">
        <v>79</v>
      </c>
      <c r="N1781">
        <v>45.79</v>
      </c>
      <c r="O1781">
        <v>87</v>
      </c>
      <c r="P1781">
        <v>-19.440000000000001</v>
      </c>
      <c r="Q1781">
        <v>94</v>
      </c>
      <c r="R1781">
        <v>8.52</v>
      </c>
      <c r="S1781">
        <v>78</v>
      </c>
      <c r="T1781">
        <v>18.78</v>
      </c>
      <c r="U1781">
        <v>81</v>
      </c>
      <c r="V1781">
        <v>5.74</v>
      </c>
      <c r="W1781">
        <v>74</v>
      </c>
      <c r="X1781" t="s">
        <v>276</v>
      </c>
      <c r="Y1781" t="s">
        <v>1775</v>
      </c>
      <c r="Z1781" t="s">
        <v>96</v>
      </c>
      <c r="AA1781" t="s">
        <v>2905</v>
      </c>
      <c r="AB1781" t="s">
        <v>10126</v>
      </c>
      <c r="AC1781">
        <v>104</v>
      </c>
      <c r="AD1781">
        <v>38</v>
      </c>
      <c r="AE1781">
        <v>97</v>
      </c>
      <c r="AF1781">
        <v>-104.77</v>
      </c>
      <c r="AG1781">
        <v>-6.54</v>
      </c>
      <c r="AH1781">
        <v>-5.87</v>
      </c>
      <c r="AI1781">
        <v>-0.04</v>
      </c>
      <c r="AJ1781">
        <v>-0.04</v>
      </c>
      <c r="AK1781">
        <v>79</v>
      </c>
      <c r="AL1781">
        <v>159</v>
      </c>
      <c r="AM1781">
        <v>58</v>
      </c>
      <c r="AN1781">
        <v>-3.33</v>
      </c>
      <c r="AO1781">
        <v>1.93</v>
      </c>
      <c r="AP1781">
        <v>246</v>
      </c>
      <c r="AQ1781">
        <v>1</v>
      </c>
      <c r="AR1781">
        <v>5.75</v>
      </c>
      <c r="AS1781">
        <v>77</v>
      </c>
      <c r="AT1781">
        <v>2.15</v>
      </c>
      <c r="AU1781">
        <v>89</v>
      </c>
      <c r="AV1781">
        <v>-3.75</v>
      </c>
      <c r="AW1781">
        <v>97</v>
      </c>
      <c r="AX1781">
        <v>0.28000000000000003</v>
      </c>
      <c r="AY1781">
        <v>86</v>
      </c>
      <c r="AZ1781">
        <v>5.28</v>
      </c>
      <c r="BA1781">
        <v>71</v>
      </c>
      <c r="BB1781">
        <v>4.3</v>
      </c>
      <c r="BC1781">
        <v>66</v>
      </c>
      <c r="BD1781">
        <v>-0.03</v>
      </c>
      <c r="BE1781">
        <v>-0.04</v>
      </c>
      <c r="BF1781">
        <v>-7.0000000000000007E-2</v>
      </c>
      <c r="BG1781">
        <v>87</v>
      </c>
      <c r="BH1781">
        <v>-0.02</v>
      </c>
      <c r="BI1781">
        <v>-20.84</v>
      </c>
      <c r="BJ1781">
        <v>2</v>
      </c>
      <c r="BK1781">
        <v>2</v>
      </c>
      <c r="BL1781">
        <v>-3.2</v>
      </c>
      <c r="BM1781">
        <v>1.18</v>
      </c>
      <c r="BN1781">
        <v>-2.5</v>
      </c>
      <c r="BO1781">
        <v>-2.68</v>
      </c>
      <c r="BP1781">
        <v>-1.02</v>
      </c>
      <c r="BQ1781">
        <v>0.52</v>
      </c>
      <c r="BR1781">
        <v>-1.58</v>
      </c>
      <c r="BS1781">
        <v>0.18</v>
      </c>
      <c r="BT1781">
        <v>1.1599999999999999</v>
      </c>
      <c r="BU1781">
        <v>-0.51</v>
      </c>
      <c r="BV1781">
        <v>-1.39</v>
      </c>
      <c r="BW1781">
        <v>-0.84</v>
      </c>
      <c r="BX1781">
        <v>-0.06</v>
      </c>
      <c r="BY1781">
        <v>-1.1399999999999999</v>
      </c>
      <c r="BZ1781">
        <v>-1.62</v>
      </c>
      <c r="CA1781">
        <v>-1.1399999999999999</v>
      </c>
      <c r="CB1781">
        <v>-1.24</v>
      </c>
      <c r="CC1781">
        <v>-0.61</v>
      </c>
      <c r="CD1781">
        <v>2.4500000000000002</v>
      </c>
      <c r="CE1781">
        <v>-2.72</v>
      </c>
      <c r="CF1781">
        <v>-2.4900000000000002</v>
      </c>
      <c r="CG1781">
        <v>0</v>
      </c>
      <c r="CH1781">
        <v>-0.82</v>
      </c>
      <c r="CI1781">
        <v>0</v>
      </c>
      <c r="CJ1781">
        <v>-8.6</v>
      </c>
      <c r="CK1781">
        <v>96</v>
      </c>
      <c r="CL1781">
        <v>-0.27</v>
      </c>
      <c r="CM1781">
        <v>95</v>
      </c>
      <c r="CN1781">
        <v>0.22</v>
      </c>
      <c r="CO1781">
        <v>95</v>
      </c>
      <c r="CP1781">
        <v>-14.7</v>
      </c>
      <c r="CQ1781">
        <v>81</v>
      </c>
      <c r="CR1781">
        <v>0</v>
      </c>
      <c r="CS1781">
        <v>0</v>
      </c>
      <c r="CT1781">
        <v>-11.6</v>
      </c>
      <c r="CU1781">
        <v>81</v>
      </c>
      <c r="CV1781">
        <v>0.03</v>
      </c>
      <c r="CW1781">
        <v>45</v>
      </c>
      <c r="CX1781" t="s">
        <v>1543</v>
      </c>
    </row>
    <row r="1782" spans="1:102" x14ac:dyDescent="0.3">
      <c r="A1782" t="str">
        <f>HYPERLINK("https://webapp.icbf.com/v2/app/bull-search/view/720499637","DJG")</f>
        <v>DJG</v>
      </c>
      <c r="B1782" t="s">
        <v>1664</v>
      </c>
      <c r="C1782" t="s">
        <v>1665</v>
      </c>
      <c r="D1782" s="1">
        <v>37504</v>
      </c>
      <c r="E1782" t="s">
        <v>227</v>
      </c>
      <c r="F1782">
        <v>0</v>
      </c>
      <c r="G1782" t="s">
        <v>109</v>
      </c>
      <c r="H1782">
        <v>86.6</v>
      </c>
      <c r="I1782">
        <v>59</v>
      </c>
      <c r="J1782">
        <v>46.99</v>
      </c>
      <c r="K1782">
        <v>69</v>
      </c>
      <c r="L1782">
        <v>22.69</v>
      </c>
      <c r="M1782">
        <v>63</v>
      </c>
      <c r="N1782">
        <v>19.88</v>
      </c>
      <c r="O1782">
        <v>54</v>
      </c>
      <c r="P1782">
        <v>-78.83</v>
      </c>
      <c r="Q1782">
        <v>45</v>
      </c>
      <c r="R1782">
        <v>-7.95</v>
      </c>
      <c r="S1782">
        <v>38</v>
      </c>
      <c r="T1782">
        <v>81.83</v>
      </c>
      <c r="U1782">
        <v>55</v>
      </c>
      <c r="V1782">
        <v>1.99</v>
      </c>
      <c r="W1782">
        <v>11</v>
      </c>
      <c r="X1782" t="s">
        <v>94</v>
      </c>
      <c r="Y1782" t="s">
        <v>235</v>
      </c>
      <c r="Z1782">
        <v>0</v>
      </c>
      <c r="AA1782" t="s">
        <v>1666</v>
      </c>
      <c r="AB1782" t="s">
        <v>144</v>
      </c>
      <c r="AC1782">
        <v>0</v>
      </c>
      <c r="AD1782">
        <v>0</v>
      </c>
      <c r="AE1782">
        <v>69</v>
      </c>
      <c r="AF1782">
        <v>-265.37</v>
      </c>
      <c r="AG1782">
        <v>10.6</v>
      </c>
      <c r="AH1782">
        <v>0.18</v>
      </c>
      <c r="AI1782">
        <v>0.36</v>
      </c>
      <c r="AJ1782">
        <v>0.16</v>
      </c>
      <c r="AK1782">
        <v>63</v>
      </c>
      <c r="AL1782">
        <v>0</v>
      </c>
      <c r="AM1782">
        <v>0</v>
      </c>
      <c r="AN1782">
        <v>0.34</v>
      </c>
      <c r="AO1782">
        <v>2.17</v>
      </c>
      <c r="AP1782">
        <v>27</v>
      </c>
      <c r="AQ1782">
        <v>0</v>
      </c>
      <c r="AR1782">
        <v>3.1</v>
      </c>
      <c r="AS1782">
        <v>36</v>
      </c>
      <c r="AT1782">
        <v>1.81</v>
      </c>
      <c r="AU1782">
        <v>49</v>
      </c>
      <c r="AV1782">
        <v>-1.1599999999999999</v>
      </c>
      <c r="AW1782">
        <v>74</v>
      </c>
      <c r="AX1782">
        <v>1.95</v>
      </c>
      <c r="AY1782">
        <v>45</v>
      </c>
      <c r="AZ1782">
        <v>7.31</v>
      </c>
      <c r="BA1782">
        <v>28</v>
      </c>
      <c r="BB1782">
        <v>5.33</v>
      </c>
      <c r="BC1782">
        <v>24</v>
      </c>
      <c r="BD1782">
        <v>-0.02</v>
      </c>
      <c r="BE1782">
        <v>0.04</v>
      </c>
      <c r="BF1782">
        <v>0.14000000000000001</v>
      </c>
      <c r="BG1782">
        <v>49</v>
      </c>
      <c r="BH1782">
        <v>-0.04</v>
      </c>
      <c r="BI1782">
        <v>-11.06</v>
      </c>
      <c r="BJ1782">
        <v>6</v>
      </c>
      <c r="BK1782">
        <v>1</v>
      </c>
      <c r="BL1782">
        <v>-1.1299999999999999</v>
      </c>
      <c r="BM1782">
        <v>-1.52</v>
      </c>
      <c r="BN1782">
        <v>-0.09</v>
      </c>
      <c r="BO1782">
        <v>1.49</v>
      </c>
      <c r="BP1782">
        <v>-0.17</v>
      </c>
      <c r="BQ1782">
        <v>-5</v>
      </c>
      <c r="BR1782">
        <v>3.15</v>
      </c>
      <c r="BS1782">
        <v>6.16</v>
      </c>
      <c r="BT1782">
        <v>-2.2599999999999998</v>
      </c>
      <c r="BU1782">
        <v>1.27</v>
      </c>
      <c r="BV1782">
        <v>0.95</v>
      </c>
      <c r="BW1782">
        <v>-1.73</v>
      </c>
      <c r="BX1782">
        <v>-2.2799999999999998</v>
      </c>
      <c r="BY1782">
        <v>0.36</v>
      </c>
      <c r="BZ1782">
        <v>0.95</v>
      </c>
      <c r="CA1782">
        <v>2.52</v>
      </c>
      <c r="CB1782">
        <v>1.1499999999999999</v>
      </c>
      <c r="CC1782">
        <v>4.1500000000000004</v>
      </c>
      <c r="CD1782">
        <v>-2.08</v>
      </c>
      <c r="CE1782">
        <v>1.79</v>
      </c>
      <c r="CF1782">
        <v>-0.54</v>
      </c>
      <c r="CG1782">
        <v>0</v>
      </c>
      <c r="CH1782">
        <v>-0.63</v>
      </c>
      <c r="CI1782">
        <v>0</v>
      </c>
      <c r="CJ1782">
        <v>-40.9</v>
      </c>
      <c r="CK1782">
        <v>48</v>
      </c>
      <c r="CL1782">
        <v>-1.32</v>
      </c>
      <c r="CM1782">
        <v>42</v>
      </c>
      <c r="CN1782">
        <v>-0.06</v>
      </c>
      <c r="CO1782">
        <v>36</v>
      </c>
      <c r="CP1782">
        <v>-63.1</v>
      </c>
      <c r="CQ1782">
        <v>51</v>
      </c>
      <c r="CR1782">
        <v>0</v>
      </c>
      <c r="CS1782">
        <v>0</v>
      </c>
      <c r="CT1782">
        <v>-96.8</v>
      </c>
      <c r="CU1782">
        <v>55</v>
      </c>
      <c r="CV1782">
        <v>-0.41</v>
      </c>
      <c r="CW1782">
        <v>11</v>
      </c>
      <c r="CX1782" t="s">
        <v>1667</v>
      </c>
    </row>
    <row r="1783" spans="1:102" x14ac:dyDescent="0.3">
      <c r="A1783" t="str">
        <f>HYPERLINK("https://webapp.icbf.com/v2/app/bull-search/view/69092017","JRO")</f>
        <v>JRO</v>
      </c>
      <c r="B1783" t="s">
        <v>3508</v>
      </c>
      <c r="C1783" t="s">
        <v>3509</v>
      </c>
      <c r="D1783" s="1">
        <v>32401</v>
      </c>
      <c r="E1783" t="s">
        <v>227</v>
      </c>
      <c r="F1783">
        <v>0</v>
      </c>
      <c r="G1783" t="s">
        <v>109</v>
      </c>
      <c r="H1783">
        <v>86.56</v>
      </c>
      <c r="I1783">
        <v>78</v>
      </c>
      <c r="J1783">
        <v>-5.35</v>
      </c>
      <c r="K1783">
        <v>92</v>
      </c>
      <c r="L1783">
        <v>42.63</v>
      </c>
      <c r="M1783">
        <v>82</v>
      </c>
      <c r="N1783">
        <v>28.61</v>
      </c>
      <c r="O1783">
        <v>59</v>
      </c>
      <c r="P1783">
        <v>-60.1</v>
      </c>
      <c r="Q1783">
        <v>60</v>
      </c>
      <c r="R1783">
        <v>6.49</v>
      </c>
      <c r="S1783">
        <v>65</v>
      </c>
      <c r="T1783">
        <v>76.8</v>
      </c>
      <c r="U1783">
        <v>59</v>
      </c>
      <c r="V1783">
        <v>-2.52</v>
      </c>
      <c r="W1783">
        <v>60</v>
      </c>
      <c r="X1783" t="s">
        <v>110</v>
      </c>
      <c r="Y1783" t="s">
        <v>95</v>
      </c>
      <c r="Z1783">
        <v>0</v>
      </c>
      <c r="AA1783" t="s">
        <v>790</v>
      </c>
      <c r="AB1783" t="s">
        <v>3510</v>
      </c>
      <c r="AC1783">
        <v>0</v>
      </c>
      <c r="AD1783">
        <v>0</v>
      </c>
      <c r="AE1783">
        <v>92</v>
      </c>
      <c r="AF1783">
        <v>-602.32000000000005</v>
      </c>
      <c r="AG1783">
        <v>3.62</v>
      </c>
      <c r="AH1783">
        <v>-11.41</v>
      </c>
      <c r="AI1783">
        <v>0.53</v>
      </c>
      <c r="AJ1783">
        <v>0.18</v>
      </c>
      <c r="AK1783">
        <v>82</v>
      </c>
      <c r="AL1783">
        <v>0</v>
      </c>
      <c r="AM1783">
        <v>0</v>
      </c>
      <c r="AN1783">
        <v>-1.51</v>
      </c>
      <c r="AO1783">
        <v>1.9</v>
      </c>
      <c r="AP1783">
        <v>4</v>
      </c>
      <c r="AQ1783">
        <v>0</v>
      </c>
      <c r="AR1783">
        <v>2.4500000000000002</v>
      </c>
      <c r="AS1783">
        <v>53</v>
      </c>
      <c r="AT1783">
        <v>1.1399999999999999</v>
      </c>
      <c r="AU1783">
        <v>60</v>
      </c>
      <c r="AV1783">
        <v>-1.85</v>
      </c>
      <c r="AW1783">
        <v>64</v>
      </c>
      <c r="AX1783">
        <v>2.5099999999999998</v>
      </c>
      <c r="AY1783">
        <v>60</v>
      </c>
      <c r="AZ1783">
        <v>7.7</v>
      </c>
      <c r="BA1783">
        <v>45</v>
      </c>
      <c r="BB1783">
        <v>5.12</v>
      </c>
      <c r="BC1783">
        <v>50</v>
      </c>
      <c r="BD1783">
        <v>-0.08</v>
      </c>
      <c r="BE1783">
        <v>-0.04</v>
      </c>
      <c r="BF1783">
        <v>0.06</v>
      </c>
      <c r="BG1783">
        <v>72</v>
      </c>
      <c r="BH1783">
        <v>-7.0000000000000007E-2</v>
      </c>
      <c r="BI1783">
        <v>0.02</v>
      </c>
      <c r="BJ1783">
        <v>0</v>
      </c>
      <c r="BK1783">
        <v>0</v>
      </c>
      <c r="BL1783">
        <v>-2.12</v>
      </c>
      <c r="BM1783">
        <v>-2.31</v>
      </c>
      <c r="BN1783">
        <v>-0.69</v>
      </c>
      <c r="BO1783">
        <v>1.35</v>
      </c>
      <c r="BP1783">
        <v>-0.66</v>
      </c>
      <c r="BQ1783">
        <v>-6.12</v>
      </c>
      <c r="BR1783">
        <v>2.2999999999999998</v>
      </c>
      <c r="BS1783">
        <v>6.5</v>
      </c>
      <c r="BT1783">
        <v>-1.32</v>
      </c>
      <c r="BU1783">
        <v>-0.35</v>
      </c>
      <c r="BV1783">
        <v>0.23</v>
      </c>
      <c r="BW1783">
        <v>-1.99</v>
      </c>
      <c r="BX1783">
        <v>-3.58</v>
      </c>
      <c r="BY1783">
        <v>-0.21</v>
      </c>
      <c r="BZ1783">
        <v>0.7</v>
      </c>
      <c r="CA1783">
        <v>1.59</v>
      </c>
      <c r="CB1783">
        <v>0.15</v>
      </c>
      <c r="CC1783">
        <v>3.81</v>
      </c>
      <c r="CD1783">
        <v>-2.12</v>
      </c>
      <c r="CE1783">
        <v>1.19</v>
      </c>
      <c r="CF1783">
        <v>-2.11</v>
      </c>
      <c r="CG1783">
        <v>0</v>
      </c>
      <c r="CH1783">
        <v>-0.76</v>
      </c>
      <c r="CI1783">
        <v>0</v>
      </c>
      <c r="CJ1783">
        <v>-31.6</v>
      </c>
      <c r="CK1783">
        <v>61</v>
      </c>
      <c r="CL1783">
        <v>-0.96</v>
      </c>
      <c r="CM1783">
        <v>59</v>
      </c>
      <c r="CN1783">
        <v>-0.14000000000000001</v>
      </c>
      <c r="CO1783">
        <v>56</v>
      </c>
      <c r="CP1783">
        <v>-54.8</v>
      </c>
      <c r="CQ1783">
        <v>64</v>
      </c>
      <c r="CR1783">
        <v>0</v>
      </c>
      <c r="CS1783">
        <v>0</v>
      </c>
      <c r="CT1783">
        <v>-90</v>
      </c>
      <c r="CU1783">
        <v>59</v>
      </c>
      <c r="CV1783">
        <v>-0.23</v>
      </c>
      <c r="CW1783">
        <v>37</v>
      </c>
      <c r="CX1783" t="s">
        <v>3511</v>
      </c>
    </row>
    <row r="1784" spans="1:102" x14ac:dyDescent="0.3">
      <c r="A1784" t="str">
        <f>HYPERLINK("https://webapp.icbf.com/v2/app/bull-search/view/348456675","MMZ")</f>
        <v>MMZ</v>
      </c>
      <c r="B1784" t="s">
        <v>1102</v>
      </c>
      <c r="C1784" t="s">
        <v>1103</v>
      </c>
      <c r="D1784" s="1">
        <v>36036</v>
      </c>
      <c r="E1784" t="s">
        <v>92</v>
      </c>
      <c r="F1784">
        <v>100</v>
      </c>
      <c r="G1784" t="s">
        <v>93</v>
      </c>
      <c r="H1784">
        <v>86.24</v>
      </c>
      <c r="I1784">
        <v>88</v>
      </c>
      <c r="J1784">
        <v>28</v>
      </c>
      <c r="K1784">
        <v>97</v>
      </c>
      <c r="L1784">
        <v>-5.14</v>
      </c>
      <c r="M1784">
        <v>80</v>
      </c>
      <c r="N1784">
        <v>40.130000000000003</v>
      </c>
      <c r="O1784">
        <v>86</v>
      </c>
      <c r="P1784">
        <v>1.97</v>
      </c>
      <c r="Q1784">
        <v>94</v>
      </c>
      <c r="R1784">
        <v>6.67</v>
      </c>
      <c r="S1784">
        <v>71</v>
      </c>
      <c r="T1784">
        <v>15.16</v>
      </c>
      <c r="U1784">
        <v>88</v>
      </c>
      <c r="V1784">
        <v>-0.55000000000000004</v>
      </c>
      <c r="W1784">
        <v>78</v>
      </c>
      <c r="X1784" t="s">
        <v>251</v>
      </c>
      <c r="Y1784" t="s">
        <v>95</v>
      </c>
      <c r="Z1784" t="s">
        <v>96</v>
      </c>
      <c r="AA1784" t="s">
        <v>1104</v>
      </c>
      <c r="AB1784" t="s">
        <v>1105</v>
      </c>
      <c r="AC1784">
        <v>117</v>
      </c>
      <c r="AD1784">
        <v>45</v>
      </c>
      <c r="AE1784">
        <v>97</v>
      </c>
      <c r="AF1784">
        <v>327.79</v>
      </c>
      <c r="AG1784">
        <v>2.77</v>
      </c>
      <c r="AH1784">
        <v>8.8000000000000007</v>
      </c>
      <c r="AI1784">
        <v>-0.16</v>
      </c>
      <c r="AJ1784">
        <v>-0.04</v>
      </c>
      <c r="AK1784">
        <v>80</v>
      </c>
      <c r="AL1784">
        <v>137</v>
      </c>
      <c r="AM1784">
        <v>47</v>
      </c>
      <c r="AN1784">
        <v>1.04</v>
      </c>
      <c r="AO1784">
        <v>0.64</v>
      </c>
      <c r="AP1784">
        <v>224</v>
      </c>
      <c r="AQ1784">
        <v>18</v>
      </c>
      <c r="AR1784">
        <v>5.4</v>
      </c>
      <c r="AS1784">
        <v>89</v>
      </c>
      <c r="AT1784">
        <v>2.2799999999999998</v>
      </c>
      <c r="AU1784">
        <v>80</v>
      </c>
      <c r="AV1784">
        <v>-3.33</v>
      </c>
      <c r="AW1784">
        <v>96</v>
      </c>
      <c r="AX1784">
        <v>-0.84</v>
      </c>
      <c r="AY1784">
        <v>85</v>
      </c>
      <c r="AZ1784">
        <v>5.59</v>
      </c>
      <c r="BA1784">
        <v>70</v>
      </c>
      <c r="BB1784">
        <v>5.29</v>
      </c>
      <c r="BC1784">
        <v>72</v>
      </c>
      <c r="BD1784">
        <v>-0.02</v>
      </c>
      <c r="BE1784">
        <v>0</v>
      </c>
      <c r="BF1784">
        <v>-0.12</v>
      </c>
      <c r="BG1784">
        <v>74</v>
      </c>
      <c r="BH1784">
        <v>-0.02</v>
      </c>
      <c r="BI1784">
        <v>-0.55000000000000004</v>
      </c>
      <c r="BJ1784">
        <v>5</v>
      </c>
      <c r="BK1784">
        <v>4</v>
      </c>
      <c r="BL1784">
        <v>0.09</v>
      </c>
      <c r="BM1784">
        <v>-0.22</v>
      </c>
      <c r="BN1784">
        <v>-0.82</v>
      </c>
      <c r="BO1784">
        <v>-0.35</v>
      </c>
      <c r="BP1784">
        <v>-0.04</v>
      </c>
      <c r="BQ1784">
        <v>-0.73</v>
      </c>
      <c r="BR1784">
        <v>-2.2000000000000002</v>
      </c>
      <c r="BS1784">
        <v>-0.64</v>
      </c>
      <c r="BT1784">
        <v>1.51</v>
      </c>
      <c r="BU1784">
        <v>0.27</v>
      </c>
      <c r="BV1784">
        <v>-0.42</v>
      </c>
      <c r="BW1784">
        <v>-0.21</v>
      </c>
      <c r="BX1784">
        <v>0.17</v>
      </c>
      <c r="BY1784">
        <v>-0.23</v>
      </c>
      <c r="BZ1784">
        <v>0.89</v>
      </c>
      <c r="CA1784">
        <v>-0.13</v>
      </c>
      <c r="CB1784">
        <v>-0.23</v>
      </c>
      <c r="CC1784">
        <v>-0.06</v>
      </c>
      <c r="CD1784">
        <v>-0.54</v>
      </c>
      <c r="CE1784">
        <v>0.42</v>
      </c>
      <c r="CF1784">
        <v>0.01</v>
      </c>
      <c r="CG1784">
        <v>0</v>
      </c>
      <c r="CH1784">
        <v>-1.76</v>
      </c>
      <c r="CI1784">
        <v>0</v>
      </c>
      <c r="CJ1784">
        <v>1.3</v>
      </c>
      <c r="CK1784">
        <v>95</v>
      </c>
      <c r="CL1784">
        <v>-0.43</v>
      </c>
      <c r="CM1784">
        <v>94</v>
      </c>
      <c r="CN1784">
        <v>-0.4</v>
      </c>
      <c r="CO1784">
        <v>93</v>
      </c>
      <c r="CP1784">
        <v>-0.5</v>
      </c>
      <c r="CQ1784">
        <v>93</v>
      </c>
      <c r="CR1784">
        <v>0</v>
      </c>
      <c r="CS1784">
        <v>0</v>
      </c>
      <c r="CT1784">
        <v>-6.7</v>
      </c>
      <c r="CU1784">
        <v>88</v>
      </c>
      <c r="CV1784">
        <v>0.24</v>
      </c>
      <c r="CW1784">
        <v>29</v>
      </c>
      <c r="CX1784" t="s">
        <v>1106</v>
      </c>
    </row>
    <row r="1785" spans="1:102" x14ac:dyDescent="0.3">
      <c r="A1785" t="str">
        <f>HYPERLINK("https://webapp.icbf.com/v2/app/bull-search/view/1196692868","S2216")</f>
        <v>S2216</v>
      </c>
      <c r="B1785" t="s">
        <v>2688</v>
      </c>
      <c r="C1785" t="s">
        <v>2689</v>
      </c>
      <c r="D1785" s="1">
        <v>41418</v>
      </c>
      <c r="E1785" t="s">
        <v>92</v>
      </c>
      <c r="F1785">
        <v>100</v>
      </c>
      <c r="G1785" t="s">
        <v>109</v>
      </c>
      <c r="H1785">
        <v>86.15</v>
      </c>
      <c r="I1785">
        <v>81</v>
      </c>
      <c r="J1785">
        <v>78.03</v>
      </c>
      <c r="K1785">
        <v>94</v>
      </c>
      <c r="L1785">
        <v>-34.5</v>
      </c>
      <c r="M1785">
        <v>85</v>
      </c>
      <c r="N1785">
        <v>32.479999999999997</v>
      </c>
      <c r="O1785">
        <v>77</v>
      </c>
      <c r="P1785">
        <v>-13.93</v>
      </c>
      <c r="Q1785">
        <v>70</v>
      </c>
      <c r="R1785">
        <v>28.47</v>
      </c>
      <c r="S1785">
        <v>74</v>
      </c>
      <c r="T1785">
        <v>-4.5999999999999996</v>
      </c>
      <c r="U1785">
        <v>46</v>
      </c>
      <c r="V1785">
        <v>0.2</v>
      </c>
      <c r="W1785">
        <v>56</v>
      </c>
      <c r="X1785" t="s">
        <v>94</v>
      </c>
      <c r="Y1785" t="s">
        <v>367</v>
      </c>
      <c r="Z1785" t="s">
        <v>96</v>
      </c>
      <c r="AA1785" t="s">
        <v>2216</v>
      </c>
      <c r="AB1785" t="s">
        <v>413</v>
      </c>
      <c r="AC1785">
        <v>0</v>
      </c>
      <c r="AD1785">
        <v>0</v>
      </c>
      <c r="AE1785">
        <v>94</v>
      </c>
      <c r="AF1785">
        <v>606</v>
      </c>
      <c r="AG1785">
        <v>13.7</v>
      </c>
      <c r="AH1785">
        <v>17.7</v>
      </c>
      <c r="AI1785">
        <v>-0.16</v>
      </c>
      <c r="AJ1785">
        <v>-0.05</v>
      </c>
      <c r="AK1785">
        <v>85</v>
      </c>
      <c r="AL1785">
        <v>0</v>
      </c>
      <c r="AM1785">
        <v>0</v>
      </c>
      <c r="AN1785">
        <v>3.55</v>
      </c>
      <c r="AO1785">
        <v>0.82</v>
      </c>
      <c r="AP1785">
        <v>58</v>
      </c>
      <c r="AQ1785">
        <v>0</v>
      </c>
      <c r="AR1785">
        <v>8.8699999999999992</v>
      </c>
      <c r="AS1785">
        <v>71</v>
      </c>
      <c r="AT1785">
        <v>3.3</v>
      </c>
      <c r="AU1785">
        <v>92</v>
      </c>
      <c r="AV1785">
        <v>-4.59</v>
      </c>
      <c r="AW1785">
        <v>85</v>
      </c>
      <c r="AX1785">
        <v>-0.71</v>
      </c>
      <c r="AY1785">
        <v>67</v>
      </c>
      <c r="AZ1785">
        <v>7.31</v>
      </c>
      <c r="BA1785">
        <v>49</v>
      </c>
      <c r="BB1785">
        <v>4.88</v>
      </c>
      <c r="BC1785">
        <v>41</v>
      </c>
      <c r="BD1785">
        <v>-0.1</v>
      </c>
      <c r="BE1785">
        <v>-0.12</v>
      </c>
      <c r="BF1785">
        <v>-0.26</v>
      </c>
      <c r="BG1785">
        <v>92</v>
      </c>
      <c r="BH1785">
        <v>0.06</v>
      </c>
      <c r="BI1785">
        <v>6.28</v>
      </c>
      <c r="BJ1785">
        <v>13</v>
      </c>
      <c r="BK1785">
        <v>6</v>
      </c>
      <c r="BL1785">
        <v>2.0299999999999998</v>
      </c>
      <c r="BM1785">
        <v>-0.24</v>
      </c>
      <c r="BN1785">
        <v>0.39</v>
      </c>
      <c r="BO1785">
        <v>1.07</v>
      </c>
      <c r="BP1785">
        <v>1.33</v>
      </c>
      <c r="BQ1785">
        <v>1.4</v>
      </c>
      <c r="BR1785">
        <v>-0.01</v>
      </c>
      <c r="BS1785">
        <v>3.42</v>
      </c>
      <c r="BT1785">
        <v>0.79</v>
      </c>
      <c r="BU1785">
        <v>2.89</v>
      </c>
      <c r="BV1785">
        <v>2.81</v>
      </c>
      <c r="BW1785">
        <v>1.63</v>
      </c>
      <c r="BX1785">
        <v>2.25</v>
      </c>
      <c r="BY1785">
        <v>1.65</v>
      </c>
      <c r="BZ1785">
        <v>-0.59</v>
      </c>
      <c r="CA1785">
        <v>3.11</v>
      </c>
      <c r="CB1785">
        <v>2.38</v>
      </c>
      <c r="CC1785">
        <v>3.06</v>
      </c>
      <c r="CD1785">
        <v>-0.33</v>
      </c>
      <c r="CE1785">
        <v>0.82</v>
      </c>
      <c r="CF1785">
        <v>1.77</v>
      </c>
      <c r="CG1785">
        <v>0</v>
      </c>
      <c r="CH1785">
        <v>1.89</v>
      </c>
      <c r="CI1785">
        <v>0</v>
      </c>
      <c r="CJ1785">
        <v>-5.0999999999999996</v>
      </c>
      <c r="CK1785">
        <v>74</v>
      </c>
      <c r="CL1785">
        <v>-1.42</v>
      </c>
      <c r="CM1785">
        <v>67</v>
      </c>
      <c r="CN1785">
        <v>-0.66</v>
      </c>
      <c r="CO1785">
        <v>66</v>
      </c>
      <c r="CP1785">
        <v>0.2</v>
      </c>
      <c r="CQ1785">
        <v>51</v>
      </c>
      <c r="CR1785">
        <v>0</v>
      </c>
      <c r="CS1785">
        <v>0</v>
      </c>
      <c r="CT1785">
        <v>20</v>
      </c>
      <c r="CU1785">
        <v>46</v>
      </c>
      <c r="CV1785">
        <v>0.18</v>
      </c>
      <c r="CW1785">
        <v>41</v>
      </c>
      <c r="CX1785" t="s">
        <v>353</v>
      </c>
    </row>
    <row r="1786" spans="1:102" x14ac:dyDescent="0.3">
      <c r="A1786" t="str">
        <f>HYPERLINK("https://webapp.icbf.com/v2/app/bull-search/view/678697139","S2027")</f>
        <v>S2027</v>
      </c>
      <c r="B1786" t="s">
        <v>13209</v>
      </c>
      <c r="C1786" t="s">
        <v>13210</v>
      </c>
      <c r="D1786" s="1">
        <v>39006</v>
      </c>
      <c r="E1786" t="s">
        <v>140</v>
      </c>
      <c r="F1786">
        <v>0</v>
      </c>
      <c r="G1786" t="s">
        <v>109</v>
      </c>
      <c r="H1786">
        <v>86.1</v>
      </c>
      <c r="I1786">
        <v>61</v>
      </c>
      <c r="J1786">
        <v>13.41</v>
      </c>
      <c r="K1786">
        <v>71</v>
      </c>
      <c r="L1786">
        <v>26.4</v>
      </c>
      <c r="M1786">
        <v>46</v>
      </c>
      <c r="N1786">
        <v>4.95</v>
      </c>
      <c r="O1786">
        <v>71</v>
      </c>
      <c r="P1786">
        <v>30.05</v>
      </c>
      <c r="Q1786">
        <v>87</v>
      </c>
      <c r="R1786">
        <v>4.0199999999999996</v>
      </c>
      <c r="S1786">
        <v>47</v>
      </c>
      <c r="T1786">
        <v>8.35</v>
      </c>
      <c r="U1786">
        <v>59</v>
      </c>
      <c r="V1786">
        <v>-1.08</v>
      </c>
      <c r="W1786">
        <v>47</v>
      </c>
      <c r="X1786" t="s">
        <v>102</v>
      </c>
      <c r="Y1786" t="s">
        <v>367</v>
      </c>
      <c r="Z1786">
        <v>0</v>
      </c>
      <c r="AA1786" t="s">
        <v>9953</v>
      </c>
      <c r="AB1786" t="s">
        <v>13211</v>
      </c>
      <c r="AC1786">
        <v>0</v>
      </c>
      <c r="AD1786">
        <v>0</v>
      </c>
      <c r="AE1786">
        <v>71</v>
      </c>
      <c r="AF1786">
        <v>-54.31</v>
      </c>
      <c r="AG1786">
        <v>0.48</v>
      </c>
      <c r="AH1786">
        <v>1.28</v>
      </c>
      <c r="AI1786">
        <v>0.04</v>
      </c>
      <c r="AJ1786">
        <v>0.05</v>
      </c>
      <c r="AK1786">
        <v>46</v>
      </c>
      <c r="AL1786">
        <v>43</v>
      </c>
      <c r="AM1786">
        <v>23</v>
      </c>
      <c r="AN1786">
        <v>-1.88</v>
      </c>
      <c r="AO1786">
        <v>0.22</v>
      </c>
      <c r="AP1786">
        <v>129</v>
      </c>
      <c r="AQ1786">
        <v>2</v>
      </c>
      <c r="AR1786">
        <v>6.9</v>
      </c>
      <c r="AS1786">
        <v>57</v>
      </c>
      <c r="AT1786">
        <v>3.79</v>
      </c>
      <c r="AU1786">
        <v>73</v>
      </c>
      <c r="AV1786">
        <v>-0.53</v>
      </c>
      <c r="AW1786">
        <v>91</v>
      </c>
      <c r="AX1786">
        <v>-0.36</v>
      </c>
      <c r="AY1786">
        <v>62</v>
      </c>
      <c r="AZ1786">
        <v>5.77</v>
      </c>
      <c r="BA1786">
        <v>45</v>
      </c>
      <c r="BB1786">
        <v>4.3499999999999996</v>
      </c>
      <c r="BC1786">
        <v>28</v>
      </c>
      <c r="BD1786">
        <v>0.04</v>
      </c>
      <c r="BE1786">
        <v>-0.01</v>
      </c>
      <c r="BF1786">
        <v>-0.14000000000000001</v>
      </c>
      <c r="BG1786">
        <v>59</v>
      </c>
      <c r="BH1786">
        <v>-0.18</v>
      </c>
      <c r="BI1786">
        <v>-17.350000000000001</v>
      </c>
      <c r="BJ1786">
        <v>0</v>
      </c>
      <c r="BK1786">
        <v>0</v>
      </c>
      <c r="BL1786">
        <v>-0.75</v>
      </c>
      <c r="BM1786">
        <v>3.8</v>
      </c>
      <c r="BN1786">
        <v>-1.6</v>
      </c>
      <c r="BO1786">
        <v>-3.13</v>
      </c>
      <c r="BP1786">
        <v>4.26</v>
      </c>
      <c r="BQ1786">
        <v>-1.67</v>
      </c>
      <c r="BR1786">
        <v>-2.5299999999999998</v>
      </c>
      <c r="BS1786">
        <v>-0.31</v>
      </c>
      <c r="BT1786">
        <v>2.5099999999999998</v>
      </c>
      <c r="BU1786">
        <v>-3.42</v>
      </c>
      <c r="BV1786">
        <v>-3.81</v>
      </c>
      <c r="BW1786">
        <v>-2.84</v>
      </c>
      <c r="BX1786">
        <v>-2.76</v>
      </c>
      <c r="BY1786">
        <v>-1.9</v>
      </c>
      <c r="BZ1786">
        <v>1.1000000000000001</v>
      </c>
      <c r="CA1786">
        <v>-2.5099999999999998</v>
      </c>
      <c r="CB1786">
        <v>-3.18</v>
      </c>
      <c r="CC1786">
        <v>-0.48</v>
      </c>
      <c r="CD1786">
        <v>4.01</v>
      </c>
      <c r="CE1786">
        <v>-3.06</v>
      </c>
      <c r="CF1786">
        <v>-1.02</v>
      </c>
      <c r="CG1786">
        <v>0</v>
      </c>
      <c r="CH1786">
        <v>-2.69</v>
      </c>
      <c r="CI1786">
        <v>0</v>
      </c>
      <c r="CJ1786">
        <v>13.4</v>
      </c>
      <c r="CK1786">
        <v>90</v>
      </c>
      <c r="CL1786">
        <v>0.6</v>
      </c>
      <c r="CM1786">
        <v>87</v>
      </c>
      <c r="CN1786">
        <v>-0.39</v>
      </c>
      <c r="CO1786">
        <v>85</v>
      </c>
      <c r="CP1786">
        <v>5.3</v>
      </c>
      <c r="CQ1786">
        <v>67</v>
      </c>
      <c r="CR1786">
        <v>0</v>
      </c>
      <c r="CS1786">
        <v>0</v>
      </c>
      <c r="CT1786">
        <v>2.5</v>
      </c>
      <c r="CU1786">
        <v>59</v>
      </c>
      <c r="CV1786">
        <v>-0.05</v>
      </c>
      <c r="CW1786">
        <v>25</v>
      </c>
      <c r="CX1786" t="s">
        <v>13212</v>
      </c>
    </row>
    <row r="1787" spans="1:102" x14ac:dyDescent="0.3">
      <c r="A1787" t="str">
        <f>HYPERLINK("https://webapp.icbf.com/v2/app/bull-search/view/1103481783","S2066")</f>
        <v>S2066</v>
      </c>
      <c r="B1787" t="s">
        <v>5865</v>
      </c>
      <c r="C1787" t="s">
        <v>5866</v>
      </c>
      <c r="D1787" s="1">
        <v>39698</v>
      </c>
      <c r="E1787" t="s">
        <v>92</v>
      </c>
      <c r="F1787">
        <v>100</v>
      </c>
      <c r="G1787" t="s">
        <v>93</v>
      </c>
      <c r="H1787">
        <v>86.09</v>
      </c>
      <c r="I1787">
        <v>88</v>
      </c>
      <c r="J1787">
        <v>71.44</v>
      </c>
      <c r="K1787">
        <v>95</v>
      </c>
      <c r="L1787">
        <v>-11.16</v>
      </c>
      <c r="M1787">
        <v>86</v>
      </c>
      <c r="N1787">
        <v>28.87</v>
      </c>
      <c r="O1787">
        <v>88</v>
      </c>
      <c r="P1787">
        <v>-6.57</v>
      </c>
      <c r="Q1787">
        <v>92</v>
      </c>
      <c r="R1787">
        <v>-0.39</v>
      </c>
      <c r="S1787">
        <v>76</v>
      </c>
      <c r="T1787">
        <v>6.57</v>
      </c>
      <c r="U1787">
        <v>76</v>
      </c>
      <c r="V1787">
        <v>-2.67</v>
      </c>
      <c r="W1787">
        <v>64</v>
      </c>
      <c r="X1787" t="s">
        <v>102</v>
      </c>
      <c r="Y1787" t="s">
        <v>367</v>
      </c>
      <c r="Z1787" t="s">
        <v>96</v>
      </c>
      <c r="AA1787" t="s">
        <v>2358</v>
      </c>
      <c r="AB1787" t="s">
        <v>5867</v>
      </c>
      <c r="AC1787">
        <v>110</v>
      </c>
      <c r="AD1787">
        <v>56</v>
      </c>
      <c r="AE1787">
        <v>95</v>
      </c>
      <c r="AF1787">
        <v>234.74</v>
      </c>
      <c r="AG1787">
        <v>12.39</v>
      </c>
      <c r="AH1787">
        <v>11.36</v>
      </c>
      <c r="AI1787">
        <v>0.05</v>
      </c>
      <c r="AJ1787">
        <v>0.06</v>
      </c>
      <c r="AK1787">
        <v>86</v>
      </c>
      <c r="AL1787">
        <v>25</v>
      </c>
      <c r="AM1787">
        <v>11</v>
      </c>
      <c r="AN1787">
        <v>1.39</v>
      </c>
      <c r="AO1787">
        <v>0.51</v>
      </c>
      <c r="AP1787">
        <v>924</v>
      </c>
      <c r="AQ1787">
        <v>9</v>
      </c>
      <c r="AR1787">
        <v>5.21</v>
      </c>
      <c r="AS1787">
        <v>96</v>
      </c>
      <c r="AT1787">
        <v>2.4900000000000002</v>
      </c>
      <c r="AU1787">
        <v>93</v>
      </c>
      <c r="AV1787">
        <v>-2.83</v>
      </c>
      <c r="AW1787">
        <v>98</v>
      </c>
      <c r="AX1787">
        <v>0.1</v>
      </c>
      <c r="AY1787">
        <v>93</v>
      </c>
      <c r="AZ1787">
        <v>6.87</v>
      </c>
      <c r="BA1787">
        <v>70</v>
      </c>
      <c r="BB1787">
        <v>5.64</v>
      </c>
      <c r="BC1787">
        <v>44</v>
      </c>
      <c r="BD1787">
        <v>-0.03</v>
      </c>
      <c r="BE1787">
        <v>0.01</v>
      </c>
      <c r="BF1787">
        <v>0.04</v>
      </c>
      <c r="BG1787">
        <v>93</v>
      </c>
      <c r="BH1787">
        <v>0.06</v>
      </c>
      <c r="BI1787">
        <v>15.54</v>
      </c>
      <c r="BJ1787">
        <v>13</v>
      </c>
      <c r="BK1787">
        <v>7</v>
      </c>
      <c r="BL1787">
        <v>-0.4</v>
      </c>
      <c r="BM1787">
        <v>-1.98</v>
      </c>
      <c r="BN1787">
        <v>-1</v>
      </c>
      <c r="BO1787">
        <v>0.73</v>
      </c>
      <c r="BP1787">
        <v>0.03</v>
      </c>
      <c r="BQ1787">
        <v>-1.69</v>
      </c>
      <c r="BR1787">
        <v>0.1</v>
      </c>
      <c r="BS1787">
        <v>-0.17</v>
      </c>
      <c r="BT1787">
        <v>-0.65</v>
      </c>
      <c r="BU1787">
        <v>0.17</v>
      </c>
      <c r="BV1787">
        <v>1.39</v>
      </c>
      <c r="BW1787">
        <v>0.53</v>
      </c>
      <c r="BX1787">
        <v>-1.08</v>
      </c>
      <c r="BY1787">
        <v>0.41</v>
      </c>
      <c r="BZ1787">
        <v>1.19</v>
      </c>
      <c r="CA1787">
        <v>-7.0000000000000007E-2</v>
      </c>
      <c r="CB1787">
        <v>-0.1</v>
      </c>
      <c r="CC1787">
        <v>-0.09</v>
      </c>
      <c r="CD1787">
        <v>-1.05</v>
      </c>
      <c r="CE1787">
        <v>0.69</v>
      </c>
      <c r="CF1787">
        <v>0.2</v>
      </c>
      <c r="CG1787">
        <v>0</v>
      </c>
      <c r="CH1787">
        <v>-0.33</v>
      </c>
      <c r="CI1787">
        <v>0</v>
      </c>
      <c r="CJ1787">
        <v>-3.5</v>
      </c>
      <c r="CK1787">
        <v>95</v>
      </c>
      <c r="CL1787">
        <v>-0.7</v>
      </c>
      <c r="CM1787">
        <v>93</v>
      </c>
      <c r="CN1787">
        <v>-0.53</v>
      </c>
      <c r="CO1787">
        <v>92</v>
      </c>
      <c r="CP1787">
        <v>-4.8</v>
      </c>
      <c r="CQ1787">
        <v>72</v>
      </c>
      <c r="CR1787">
        <v>0</v>
      </c>
      <c r="CS1787">
        <v>0</v>
      </c>
      <c r="CT1787">
        <v>4.9000000000000004</v>
      </c>
      <c r="CU1787">
        <v>76</v>
      </c>
      <c r="CV1787">
        <v>0.13</v>
      </c>
      <c r="CW1787">
        <v>45</v>
      </c>
      <c r="CX1787" t="s">
        <v>5868</v>
      </c>
    </row>
    <row r="1788" spans="1:102" x14ac:dyDescent="0.3">
      <c r="A1788" t="str">
        <f>HYPERLINK("https://webapp.icbf.com/v2/app/bull-search/view/76524245","BWX")</f>
        <v>BWX</v>
      </c>
      <c r="B1788" t="s">
        <v>10572</v>
      </c>
      <c r="C1788" t="s">
        <v>10573</v>
      </c>
      <c r="D1788" s="1">
        <v>36189</v>
      </c>
      <c r="E1788" t="s">
        <v>108</v>
      </c>
      <c r="F1788">
        <v>0</v>
      </c>
      <c r="G1788" t="s">
        <v>116</v>
      </c>
      <c r="H1788">
        <v>86.08</v>
      </c>
      <c r="I1788">
        <v>49</v>
      </c>
      <c r="J1788">
        <v>-2.04</v>
      </c>
      <c r="K1788">
        <v>54</v>
      </c>
      <c r="L1788">
        <v>70.19</v>
      </c>
      <c r="M1788">
        <v>39</v>
      </c>
      <c r="N1788">
        <v>0.17</v>
      </c>
      <c r="O1788">
        <v>56</v>
      </c>
      <c r="P1788">
        <v>-12.41</v>
      </c>
      <c r="Q1788">
        <v>70</v>
      </c>
      <c r="R1788">
        <v>7.16</v>
      </c>
      <c r="S1788">
        <v>39</v>
      </c>
      <c r="T1788">
        <v>23.74</v>
      </c>
      <c r="U1788">
        <v>51</v>
      </c>
      <c r="V1788">
        <v>-0.73</v>
      </c>
      <c r="W1788">
        <v>31</v>
      </c>
      <c r="X1788" t="s">
        <v>94</v>
      </c>
      <c r="Y1788" t="s">
        <v>974</v>
      </c>
      <c r="Z1788" t="s">
        <v>96</v>
      </c>
      <c r="AA1788" t="s">
        <v>975</v>
      </c>
      <c r="AB1788" t="s">
        <v>10574</v>
      </c>
      <c r="AC1788">
        <v>6</v>
      </c>
      <c r="AD1788">
        <v>5</v>
      </c>
      <c r="AE1788">
        <v>54</v>
      </c>
      <c r="AF1788">
        <v>-91.35</v>
      </c>
      <c r="AG1788">
        <v>-0.24</v>
      </c>
      <c r="AH1788">
        <v>-1.66</v>
      </c>
      <c r="AI1788">
        <v>0.06</v>
      </c>
      <c r="AJ1788">
        <v>0.02</v>
      </c>
      <c r="AK1788">
        <v>39</v>
      </c>
      <c r="AL1788">
        <v>9</v>
      </c>
      <c r="AM1788">
        <v>7</v>
      </c>
      <c r="AN1788">
        <v>-4.4000000000000004</v>
      </c>
      <c r="AO1788">
        <v>1.19</v>
      </c>
      <c r="AP1788">
        <v>22</v>
      </c>
      <c r="AQ1788">
        <v>7</v>
      </c>
      <c r="AR1788">
        <v>8.73</v>
      </c>
      <c r="AS1788">
        <v>30</v>
      </c>
      <c r="AT1788">
        <v>3.67</v>
      </c>
      <c r="AU1788">
        <v>48</v>
      </c>
      <c r="AV1788">
        <v>-0.19</v>
      </c>
      <c r="AW1788">
        <v>75</v>
      </c>
      <c r="AX1788">
        <v>-0.56000000000000005</v>
      </c>
      <c r="AY1788">
        <v>56</v>
      </c>
      <c r="AZ1788">
        <v>5.18</v>
      </c>
      <c r="BA1788">
        <v>28</v>
      </c>
      <c r="BB1788">
        <v>4.2</v>
      </c>
      <c r="BC1788">
        <v>34</v>
      </c>
      <c r="BD1788">
        <v>0.02</v>
      </c>
      <c r="BE1788">
        <v>-0.02</v>
      </c>
      <c r="BF1788">
        <v>-0.16</v>
      </c>
      <c r="BG1788">
        <v>45</v>
      </c>
      <c r="BH1788">
        <v>0.02</v>
      </c>
      <c r="BI1788">
        <v>4.67</v>
      </c>
      <c r="BJ1788">
        <v>0</v>
      </c>
      <c r="BK1788">
        <v>0</v>
      </c>
      <c r="BL1788">
        <v>-2.87</v>
      </c>
      <c r="BM1788">
        <v>0.37</v>
      </c>
      <c r="BN1788">
        <v>-2.6</v>
      </c>
      <c r="BO1788">
        <v>-2.08</v>
      </c>
      <c r="BP1788">
        <v>1.76</v>
      </c>
      <c r="BQ1788">
        <v>0.25</v>
      </c>
      <c r="BR1788">
        <v>-1.25</v>
      </c>
      <c r="BS1788">
        <v>0.42</v>
      </c>
      <c r="BT1788">
        <v>1.1399999999999999</v>
      </c>
      <c r="BU1788">
        <v>-1.94</v>
      </c>
      <c r="BV1788">
        <v>-2.08</v>
      </c>
      <c r="BW1788">
        <v>-1.69</v>
      </c>
      <c r="BX1788">
        <v>-1.7</v>
      </c>
      <c r="BY1788">
        <v>-2.09</v>
      </c>
      <c r="BZ1788">
        <v>-0.55000000000000004</v>
      </c>
      <c r="CA1788">
        <v>-1.7</v>
      </c>
      <c r="CB1788">
        <v>-2.27</v>
      </c>
      <c r="CC1788">
        <v>0.19</v>
      </c>
      <c r="CD1788">
        <v>1.75</v>
      </c>
      <c r="CE1788">
        <v>-2.4900000000000002</v>
      </c>
      <c r="CF1788">
        <v>-2.6</v>
      </c>
      <c r="CG1788">
        <v>0</v>
      </c>
      <c r="CH1788">
        <v>-1.92</v>
      </c>
      <c r="CI1788">
        <v>0</v>
      </c>
      <c r="CJ1788">
        <v>-7.4</v>
      </c>
      <c r="CK1788">
        <v>73</v>
      </c>
      <c r="CL1788">
        <v>-0.06</v>
      </c>
      <c r="CM1788">
        <v>68</v>
      </c>
      <c r="CN1788">
        <v>-0.08</v>
      </c>
      <c r="CO1788">
        <v>65</v>
      </c>
      <c r="CP1788">
        <v>-16.8</v>
      </c>
      <c r="CQ1788">
        <v>60</v>
      </c>
      <c r="CR1788">
        <v>0</v>
      </c>
      <c r="CS1788">
        <v>0</v>
      </c>
      <c r="CT1788">
        <v>-18.3</v>
      </c>
      <c r="CU1788">
        <v>51</v>
      </c>
      <c r="CV1788">
        <v>-0.15</v>
      </c>
      <c r="CW1788">
        <v>20</v>
      </c>
      <c r="CX1788" t="s">
        <v>2952</v>
      </c>
    </row>
    <row r="1789" spans="1:102" x14ac:dyDescent="0.3">
      <c r="A1789" t="str">
        <f>HYPERLINK("https://webapp.icbf.com/v2/app/bull-search/view/68561416","LZP")</f>
        <v>LZP</v>
      </c>
      <c r="B1789" t="s">
        <v>10485</v>
      </c>
      <c r="C1789" t="s">
        <v>10486</v>
      </c>
      <c r="D1789" s="1">
        <v>35874</v>
      </c>
      <c r="E1789" t="s">
        <v>92</v>
      </c>
      <c r="F1789">
        <v>100</v>
      </c>
      <c r="G1789" t="s">
        <v>93</v>
      </c>
      <c r="H1789">
        <v>85.99</v>
      </c>
      <c r="I1789">
        <v>96</v>
      </c>
      <c r="J1789">
        <v>-9.5399999999999991</v>
      </c>
      <c r="K1789">
        <v>99</v>
      </c>
      <c r="L1789">
        <v>36.35</v>
      </c>
      <c r="M1789">
        <v>92</v>
      </c>
      <c r="N1789">
        <v>48.48</v>
      </c>
      <c r="O1789">
        <v>97</v>
      </c>
      <c r="P1789">
        <v>-20.87</v>
      </c>
      <c r="Q1789">
        <v>99</v>
      </c>
      <c r="R1789">
        <v>12.15</v>
      </c>
      <c r="S1789">
        <v>95</v>
      </c>
      <c r="T1789">
        <v>26.26</v>
      </c>
      <c r="U1789">
        <v>98</v>
      </c>
      <c r="V1789">
        <v>-6.84</v>
      </c>
      <c r="W1789">
        <v>97</v>
      </c>
      <c r="X1789" t="s">
        <v>94</v>
      </c>
      <c r="Y1789" t="s">
        <v>221</v>
      </c>
      <c r="Z1789" t="s">
        <v>96</v>
      </c>
      <c r="AA1789" t="s">
        <v>596</v>
      </c>
      <c r="AB1789" t="s">
        <v>8860</v>
      </c>
      <c r="AC1789">
        <v>788</v>
      </c>
      <c r="AD1789">
        <v>392</v>
      </c>
      <c r="AE1789">
        <v>99</v>
      </c>
      <c r="AF1789">
        <v>-48.52</v>
      </c>
      <c r="AG1789">
        <v>-0.92</v>
      </c>
      <c r="AH1789">
        <v>-2.04</v>
      </c>
      <c r="AI1789">
        <v>0.02</v>
      </c>
      <c r="AJ1789">
        <v>-0.01</v>
      </c>
      <c r="AK1789">
        <v>92</v>
      </c>
      <c r="AL1789">
        <v>933</v>
      </c>
      <c r="AM1789">
        <v>509</v>
      </c>
      <c r="AN1789">
        <v>-1.88</v>
      </c>
      <c r="AO1789">
        <v>1.02</v>
      </c>
      <c r="AP1789">
        <v>1508</v>
      </c>
      <c r="AQ1789">
        <v>7</v>
      </c>
      <c r="AR1789">
        <v>4.01</v>
      </c>
      <c r="AS1789">
        <v>98</v>
      </c>
      <c r="AT1789">
        <v>1.87</v>
      </c>
      <c r="AU1789">
        <v>96</v>
      </c>
      <c r="AV1789">
        <v>-4.21</v>
      </c>
      <c r="AW1789">
        <v>99</v>
      </c>
      <c r="AX1789">
        <v>-0.19</v>
      </c>
      <c r="AY1789">
        <v>97</v>
      </c>
      <c r="AZ1789">
        <v>6.24</v>
      </c>
      <c r="BA1789">
        <v>91</v>
      </c>
      <c r="BB1789">
        <v>5.52</v>
      </c>
      <c r="BC1789">
        <v>92</v>
      </c>
      <c r="BD1789">
        <v>-0.05</v>
      </c>
      <c r="BE1789">
        <v>-0.04</v>
      </c>
      <c r="BF1789">
        <v>-0.12</v>
      </c>
      <c r="BG1789">
        <v>98</v>
      </c>
      <c r="BH1789">
        <v>-0.08</v>
      </c>
      <c r="BI1789">
        <v>12.8</v>
      </c>
      <c r="BJ1789">
        <v>36</v>
      </c>
      <c r="BK1789">
        <v>19</v>
      </c>
      <c r="BL1789">
        <v>7.0000000000000007E-2</v>
      </c>
      <c r="BM1789">
        <v>-3.16</v>
      </c>
      <c r="BN1789">
        <v>-1.1100000000000001</v>
      </c>
      <c r="BO1789">
        <v>0.54</v>
      </c>
      <c r="BP1789">
        <v>-0.33</v>
      </c>
      <c r="BQ1789">
        <v>-2.56</v>
      </c>
      <c r="BR1789">
        <v>1.34</v>
      </c>
      <c r="BS1789">
        <v>1.69</v>
      </c>
      <c r="BT1789">
        <v>-0.76</v>
      </c>
      <c r="BU1789">
        <v>1.1000000000000001</v>
      </c>
      <c r="BV1789">
        <v>1.23</v>
      </c>
      <c r="BW1789">
        <v>-0.11</v>
      </c>
      <c r="BX1789">
        <v>0.6</v>
      </c>
      <c r="BY1789">
        <v>-0.43</v>
      </c>
      <c r="BZ1789">
        <v>1.01</v>
      </c>
      <c r="CA1789">
        <v>1.1299999999999999</v>
      </c>
      <c r="CB1789">
        <v>0.61</v>
      </c>
      <c r="CC1789">
        <v>1.34</v>
      </c>
      <c r="CD1789">
        <v>-1.49</v>
      </c>
      <c r="CE1789">
        <v>0.52</v>
      </c>
      <c r="CF1789">
        <v>-0.55000000000000004</v>
      </c>
      <c r="CG1789">
        <v>0</v>
      </c>
      <c r="CH1789">
        <v>-0.3</v>
      </c>
      <c r="CI1789">
        <v>0</v>
      </c>
      <c r="CJ1789">
        <v>-7</v>
      </c>
      <c r="CK1789">
        <v>99</v>
      </c>
      <c r="CL1789">
        <v>-1.07</v>
      </c>
      <c r="CM1789">
        <v>99</v>
      </c>
      <c r="CN1789">
        <v>-0.16</v>
      </c>
      <c r="CO1789">
        <v>99</v>
      </c>
      <c r="CP1789">
        <v>-13.6</v>
      </c>
      <c r="CQ1789">
        <v>98</v>
      </c>
      <c r="CR1789">
        <v>0</v>
      </c>
      <c r="CS1789">
        <v>0</v>
      </c>
      <c r="CT1789">
        <v>-21.7</v>
      </c>
      <c r="CU1789">
        <v>98</v>
      </c>
      <c r="CV1789">
        <v>0.08</v>
      </c>
      <c r="CW1789">
        <v>47</v>
      </c>
      <c r="CX1789" t="s">
        <v>111</v>
      </c>
    </row>
    <row r="1790" spans="1:102" x14ac:dyDescent="0.3">
      <c r="A1790" t="str">
        <f>HYPERLINK("https://webapp.icbf.com/v2/app/bull-search/view/497855752","WAI")</f>
        <v>WAI</v>
      </c>
      <c r="B1790" t="s">
        <v>8964</v>
      </c>
      <c r="C1790" t="s">
        <v>8965</v>
      </c>
      <c r="D1790" s="1">
        <v>39129</v>
      </c>
      <c r="E1790" t="s">
        <v>92</v>
      </c>
      <c r="F1790">
        <v>91</v>
      </c>
      <c r="G1790" t="s">
        <v>93</v>
      </c>
      <c r="H1790">
        <v>85.95</v>
      </c>
      <c r="I1790">
        <v>88</v>
      </c>
      <c r="J1790">
        <v>41.33</v>
      </c>
      <c r="K1790">
        <v>97</v>
      </c>
      <c r="L1790">
        <v>31.54</v>
      </c>
      <c r="M1790">
        <v>81</v>
      </c>
      <c r="N1790">
        <v>7.5</v>
      </c>
      <c r="O1790">
        <v>86</v>
      </c>
      <c r="P1790">
        <v>-8.32</v>
      </c>
      <c r="Q1790">
        <v>92</v>
      </c>
      <c r="R1790">
        <v>-7.31</v>
      </c>
      <c r="S1790">
        <v>83</v>
      </c>
      <c r="T1790">
        <v>14.05</v>
      </c>
      <c r="U1790">
        <v>85</v>
      </c>
      <c r="V1790">
        <v>7.16</v>
      </c>
      <c r="W1790">
        <v>83</v>
      </c>
      <c r="X1790" t="s">
        <v>94</v>
      </c>
      <c r="Y1790" t="s">
        <v>1405</v>
      </c>
      <c r="Z1790" t="s">
        <v>96</v>
      </c>
      <c r="AA1790" t="s">
        <v>1406</v>
      </c>
      <c r="AB1790" t="s">
        <v>8966</v>
      </c>
      <c r="AC1790">
        <v>75</v>
      </c>
      <c r="AD1790">
        <v>61</v>
      </c>
      <c r="AE1790">
        <v>97</v>
      </c>
      <c r="AF1790">
        <v>-275.62</v>
      </c>
      <c r="AG1790">
        <v>9.4700000000000006</v>
      </c>
      <c r="AH1790">
        <v>-0.54</v>
      </c>
      <c r="AI1790">
        <v>0.37</v>
      </c>
      <c r="AJ1790">
        <v>0.16</v>
      </c>
      <c r="AK1790">
        <v>81</v>
      </c>
      <c r="AL1790">
        <v>77</v>
      </c>
      <c r="AM1790">
        <v>61</v>
      </c>
      <c r="AN1790">
        <v>-2.14</v>
      </c>
      <c r="AO1790">
        <v>0.37</v>
      </c>
      <c r="AP1790">
        <v>207</v>
      </c>
      <c r="AQ1790">
        <v>2</v>
      </c>
      <c r="AR1790">
        <v>7.27</v>
      </c>
      <c r="AS1790">
        <v>69</v>
      </c>
      <c r="AT1790">
        <v>3.29</v>
      </c>
      <c r="AU1790">
        <v>89</v>
      </c>
      <c r="AV1790">
        <v>-1.41</v>
      </c>
      <c r="AW1790">
        <v>96</v>
      </c>
      <c r="AX1790">
        <v>-0.6</v>
      </c>
      <c r="AY1790">
        <v>81</v>
      </c>
      <c r="AZ1790">
        <v>6.8</v>
      </c>
      <c r="BA1790">
        <v>66</v>
      </c>
      <c r="BB1790">
        <v>5.78</v>
      </c>
      <c r="BC1790">
        <v>70</v>
      </c>
      <c r="BD1790">
        <v>0.03</v>
      </c>
      <c r="BE1790">
        <v>0.02</v>
      </c>
      <c r="BF1790">
        <v>0.08</v>
      </c>
      <c r="BG1790">
        <v>89</v>
      </c>
      <c r="BH1790">
        <v>0.21</v>
      </c>
      <c r="BI1790">
        <v>1.18</v>
      </c>
      <c r="BJ1790">
        <v>4</v>
      </c>
      <c r="BK1790">
        <v>4</v>
      </c>
      <c r="BL1790">
        <v>-1.32</v>
      </c>
      <c r="BM1790">
        <v>1.61</v>
      </c>
      <c r="BN1790">
        <v>-0.44</v>
      </c>
      <c r="BO1790">
        <v>-1.42</v>
      </c>
      <c r="BP1790">
        <v>0.42</v>
      </c>
      <c r="BQ1790">
        <v>0.42</v>
      </c>
      <c r="BR1790">
        <v>0.12</v>
      </c>
      <c r="BS1790">
        <v>-1.31</v>
      </c>
      <c r="BT1790">
        <v>0.25</v>
      </c>
      <c r="BU1790">
        <v>-0.15</v>
      </c>
      <c r="BV1790">
        <v>0.14000000000000001</v>
      </c>
      <c r="BW1790">
        <v>0.85</v>
      </c>
      <c r="BX1790">
        <v>-0.48</v>
      </c>
      <c r="BY1790">
        <v>0.72</v>
      </c>
      <c r="BZ1790">
        <v>-2.61</v>
      </c>
      <c r="CA1790">
        <v>-0.22</v>
      </c>
      <c r="CB1790">
        <v>0.24</v>
      </c>
      <c r="CC1790">
        <v>-1.32</v>
      </c>
      <c r="CD1790">
        <v>1.28</v>
      </c>
      <c r="CE1790">
        <v>-1.17</v>
      </c>
      <c r="CF1790">
        <v>-1.87</v>
      </c>
      <c r="CG1790">
        <v>0</v>
      </c>
      <c r="CH1790">
        <v>1.45</v>
      </c>
      <c r="CI1790">
        <v>0</v>
      </c>
      <c r="CJ1790">
        <v>-1.4</v>
      </c>
      <c r="CK1790">
        <v>93</v>
      </c>
      <c r="CL1790">
        <v>-0.51</v>
      </c>
      <c r="CM1790">
        <v>92</v>
      </c>
      <c r="CN1790">
        <v>0.01</v>
      </c>
      <c r="CO1790">
        <v>91</v>
      </c>
      <c r="CP1790">
        <v>-6.7</v>
      </c>
      <c r="CQ1790">
        <v>88</v>
      </c>
      <c r="CR1790">
        <v>0</v>
      </c>
      <c r="CS1790">
        <v>0</v>
      </c>
      <c r="CT1790">
        <v>-5.2</v>
      </c>
      <c r="CU1790">
        <v>85</v>
      </c>
      <c r="CV1790">
        <v>0.09</v>
      </c>
      <c r="CW1790">
        <v>45</v>
      </c>
      <c r="CX1790" t="s">
        <v>1037</v>
      </c>
    </row>
    <row r="1791" spans="1:102" x14ac:dyDescent="0.3">
      <c r="A1791" t="str">
        <f>HYPERLINK("https://webapp.icbf.com/v2/app/bull-search/view/1456848541","FR4646")</f>
        <v>FR4646</v>
      </c>
      <c r="B1791" t="s">
        <v>9556</v>
      </c>
      <c r="C1791" t="s">
        <v>9557</v>
      </c>
      <c r="D1791" s="1">
        <v>42123</v>
      </c>
      <c r="E1791" t="s">
        <v>92</v>
      </c>
      <c r="F1791">
        <v>100</v>
      </c>
      <c r="G1791" t="s">
        <v>435</v>
      </c>
      <c r="H1791">
        <v>85.76</v>
      </c>
      <c r="I1791">
        <v>70</v>
      </c>
      <c r="J1791">
        <v>93.17</v>
      </c>
      <c r="K1791">
        <v>90</v>
      </c>
      <c r="L1791">
        <v>-54.48</v>
      </c>
      <c r="M1791">
        <v>67</v>
      </c>
      <c r="N1791">
        <v>42.86</v>
      </c>
      <c r="O1791">
        <v>74</v>
      </c>
      <c r="P1791">
        <v>1.29</v>
      </c>
      <c r="Q1791">
        <v>40</v>
      </c>
      <c r="R1791">
        <v>-1.8</v>
      </c>
      <c r="S1791">
        <v>67</v>
      </c>
      <c r="T1791">
        <v>-1.94</v>
      </c>
      <c r="U1791">
        <v>36</v>
      </c>
      <c r="V1791">
        <v>6.66</v>
      </c>
      <c r="W1791">
        <v>53</v>
      </c>
      <c r="X1791" t="s">
        <v>234</v>
      </c>
      <c r="Y1791" t="s">
        <v>442</v>
      </c>
      <c r="Z1791" t="s">
        <v>96</v>
      </c>
      <c r="AA1791" t="s">
        <v>2189</v>
      </c>
      <c r="AB1791" t="s">
        <v>9558</v>
      </c>
      <c r="AC1791">
        <v>0</v>
      </c>
      <c r="AD1791">
        <v>0</v>
      </c>
      <c r="AE1791">
        <v>90</v>
      </c>
      <c r="AF1791">
        <v>665.13</v>
      </c>
      <c r="AG1791">
        <v>22.32</v>
      </c>
      <c r="AH1791">
        <v>18.13</v>
      </c>
      <c r="AI1791">
        <v>-0.06</v>
      </c>
      <c r="AJ1791">
        <v>-7.0000000000000007E-2</v>
      </c>
      <c r="AK1791">
        <v>67</v>
      </c>
      <c r="AL1791">
        <v>0</v>
      </c>
      <c r="AM1791">
        <v>0</v>
      </c>
      <c r="AN1791">
        <v>4.91</v>
      </c>
      <c r="AO1791">
        <v>0.59</v>
      </c>
      <c r="AP1791">
        <v>68</v>
      </c>
      <c r="AQ1791">
        <v>0</v>
      </c>
      <c r="AR1791">
        <v>6.02</v>
      </c>
      <c r="AS1791">
        <v>54</v>
      </c>
      <c r="AT1791">
        <v>2.74</v>
      </c>
      <c r="AU1791">
        <v>90</v>
      </c>
      <c r="AV1791">
        <v>-4.28</v>
      </c>
      <c r="AW1791">
        <v>87</v>
      </c>
      <c r="AX1791">
        <v>-0.84</v>
      </c>
      <c r="AY1791">
        <v>60</v>
      </c>
      <c r="AZ1791">
        <v>6.15</v>
      </c>
      <c r="BA1791">
        <v>36</v>
      </c>
      <c r="BB1791">
        <v>5.16</v>
      </c>
      <c r="BC1791">
        <v>33</v>
      </c>
      <c r="BD1791">
        <v>-0.01</v>
      </c>
      <c r="BE1791">
        <v>0.02</v>
      </c>
      <c r="BF1791">
        <v>0.02</v>
      </c>
      <c r="BG1791">
        <v>85</v>
      </c>
      <c r="BH1791">
        <v>7.0000000000000007E-2</v>
      </c>
      <c r="BI1791">
        <v>-13.38</v>
      </c>
      <c r="BJ1791">
        <v>0</v>
      </c>
      <c r="BK1791">
        <v>0</v>
      </c>
      <c r="BL1791">
        <v>1.4</v>
      </c>
      <c r="BM1791">
        <v>-0.17</v>
      </c>
      <c r="BN1791">
        <v>0.82</v>
      </c>
      <c r="BO1791">
        <v>1.08</v>
      </c>
      <c r="BP1791">
        <v>-0.74</v>
      </c>
      <c r="BQ1791">
        <v>-1.47</v>
      </c>
      <c r="BR1791">
        <v>-2.4900000000000002</v>
      </c>
      <c r="BS1791">
        <v>1.25</v>
      </c>
      <c r="BT1791">
        <v>2.12</v>
      </c>
      <c r="BU1791">
        <v>1.91</v>
      </c>
      <c r="BV1791">
        <v>2.72</v>
      </c>
      <c r="BW1791">
        <v>1.3</v>
      </c>
      <c r="BX1791">
        <v>1.69</v>
      </c>
      <c r="BY1791">
        <v>2.48</v>
      </c>
      <c r="BZ1791">
        <v>-0.51</v>
      </c>
      <c r="CA1791">
        <v>2.16</v>
      </c>
      <c r="CB1791">
        <v>2.04</v>
      </c>
      <c r="CC1791">
        <v>1.18</v>
      </c>
      <c r="CD1791">
        <v>-0.28999999999999998</v>
      </c>
      <c r="CE1791">
        <v>1.67</v>
      </c>
      <c r="CF1791">
        <v>1.56</v>
      </c>
      <c r="CG1791">
        <v>0</v>
      </c>
      <c r="CH1791">
        <v>1.28</v>
      </c>
      <c r="CI1791">
        <v>0</v>
      </c>
      <c r="CJ1791">
        <v>3.5</v>
      </c>
      <c r="CK1791">
        <v>41</v>
      </c>
      <c r="CL1791">
        <v>-1.07</v>
      </c>
      <c r="CM1791">
        <v>40</v>
      </c>
      <c r="CN1791">
        <v>-0.6</v>
      </c>
      <c r="CO1791">
        <v>40</v>
      </c>
      <c r="CP1791">
        <v>3.2</v>
      </c>
      <c r="CQ1791">
        <v>37</v>
      </c>
      <c r="CR1791">
        <v>0</v>
      </c>
      <c r="CS1791">
        <v>0</v>
      </c>
      <c r="CT1791">
        <v>16.399999999999999</v>
      </c>
      <c r="CU1791">
        <v>36</v>
      </c>
      <c r="CV1791">
        <v>0.28999999999999998</v>
      </c>
      <c r="CW1791">
        <v>33</v>
      </c>
      <c r="CX1791" t="s">
        <v>465</v>
      </c>
    </row>
    <row r="1792" spans="1:102" x14ac:dyDescent="0.3">
      <c r="A1792" t="str">
        <f>HYPERLINK("https://webapp.icbf.com/v2/app/bull-search/view/1028754013","S2054")</f>
        <v>S2054</v>
      </c>
      <c r="B1792" t="s">
        <v>13376</v>
      </c>
      <c r="C1792" t="s">
        <v>5847</v>
      </c>
      <c r="D1792" s="1">
        <v>40524</v>
      </c>
      <c r="E1792" t="s">
        <v>92</v>
      </c>
      <c r="F1792">
        <v>100</v>
      </c>
      <c r="G1792" t="s">
        <v>109</v>
      </c>
      <c r="H1792">
        <v>85.69</v>
      </c>
      <c r="I1792">
        <v>66</v>
      </c>
      <c r="J1792">
        <v>98.42</v>
      </c>
      <c r="K1792">
        <v>81</v>
      </c>
      <c r="L1792">
        <v>-44.27</v>
      </c>
      <c r="M1792">
        <v>78</v>
      </c>
      <c r="N1792">
        <v>39.520000000000003</v>
      </c>
      <c r="O1792">
        <v>50</v>
      </c>
      <c r="P1792">
        <v>1.1399999999999999</v>
      </c>
      <c r="Q1792">
        <v>38</v>
      </c>
      <c r="R1792">
        <v>-6.62</v>
      </c>
      <c r="S1792">
        <v>59</v>
      </c>
      <c r="T1792">
        <v>-3.27</v>
      </c>
      <c r="U1792">
        <v>30</v>
      </c>
      <c r="V1792">
        <v>0.77</v>
      </c>
      <c r="W1792">
        <v>21</v>
      </c>
      <c r="X1792" t="s">
        <v>94</v>
      </c>
      <c r="Y1792" t="s">
        <v>367</v>
      </c>
      <c r="Z1792" t="s">
        <v>96</v>
      </c>
      <c r="AA1792" t="s">
        <v>1572</v>
      </c>
      <c r="AB1792" t="s">
        <v>13377</v>
      </c>
      <c r="AC1792">
        <v>0</v>
      </c>
      <c r="AD1792">
        <v>0</v>
      </c>
      <c r="AE1792">
        <v>81</v>
      </c>
      <c r="AF1792">
        <v>576.51</v>
      </c>
      <c r="AG1792">
        <v>15.44</v>
      </c>
      <c r="AH1792">
        <v>20.100000000000001</v>
      </c>
      <c r="AI1792">
        <v>-0.11</v>
      </c>
      <c r="AJ1792">
        <v>0</v>
      </c>
      <c r="AK1792">
        <v>78</v>
      </c>
      <c r="AL1792">
        <v>0</v>
      </c>
      <c r="AM1792">
        <v>0</v>
      </c>
      <c r="AN1792">
        <v>2.48</v>
      </c>
      <c r="AO1792">
        <v>-1.05</v>
      </c>
      <c r="AP1792">
        <v>7</v>
      </c>
      <c r="AQ1792">
        <v>0</v>
      </c>
      <c r="AR1792">
        <v>5.26</v>
      </c>
      <c r="AS1792">
        <v>35</v>
      </c>
      <c r="AT1792">
        <v>2.12</v>
      </c>
      <c r="AU1792">
        <v>91</v>
      </c>
      <c r="AV1792">
        <v>-3.44</v>
      </c>
      <c r="AW1792">
        <v>41</v>
      </c>
      <c r="AX1792">
        <v>-0.13</v>
      </c>
      <c r="AY1792">
        <v>36</v>
      </c>
      <c r="AZ1792">
        <v>6.31</v>
      </c>
      <c r="BA1792">
        <v>28</v>
      </c>
      <c r="BB1792">
        <v>5.28</v>
      </c>
      <c r="BC1792">
        <v>26</v>
      </c>
      <c r="BD1792">
        <v>0.02</v>
      </c>
      <c r="BE1792">
        <v>0.01</v>
      </c>
      <c r="BF1792">
        <v>0.1</v>
      </c>
      <c r="BG1792">
        <v>87</v>
      </c>
      <c r="BH1792">
        <v>0.01</v>
      </c>
      <c r="BI1792">
        <v>-1.32</v>
      </c>
      <c r="BJ1792">
        <v>2</v>
      </c>
      <c r="BK1792">
        <v>1</v>
      </c>
      <c r="BL1792">
        <v>2.17</v>
      </c>
      <c r="BM1792">
        <v>-0.99</v>
      </c>
      <c r="BN1792">
        <v>7.0000000000000007E-2</v>
      </c>
      <c r="BO1792">
        <v>1.34</v>
      </c>
      <c r="BP1792">
        <v>0.81</v>
      </c>
      <c r="BQ1792">
        <v>0.5</v>
      </c>
      <c r="BR1792">
        <v>-0.87</v>
      </c>
      <c r="BS1792">
        <v>0.8</v>
      </c>
      <c r="BT1792">
        <v>0.08</v>
      </c>
      <c r="BU1792">
        <v>0.42</v>
      </c>
      <c r="BV1792">
        <v>2.1800000000000002</v>
      </c>
      <c r="BW1792">
        <v>1.65</v>
      </c>
      <c r="BX1792">
        <v>0.17</v>
      </c>
      <c r="BY1792">
        <v>0.55000000000000004</v>
      </c>
      <c r="BZ1792">
        <v>0.52</v>
      </c>
      <c r="CA1792">
        <v>1.36</v>
      </c>
      <c r="CB1792">
        <v>1.28</v>
      </c>
      <c r="CC1792">
        <v>0.77</v>
      </c>
      <c r="CD1792">
        <v>-0.75</v>
      </c>
      <c r="CE1792">
        <v>1.1100000000000001</v>
      </c>
      <c r="CF1792">
        <v>1.31</v>
      </c>
      <c r="CG1792">
        <v>0</v>
      </c>
      <c r="CH1792">
        <v>1.83</v>
      </c>
      <c r="CI1792">
        <v>0</v>
      </c>
      <c r="CJ1792">
        <v>3.1</v>
      </c>
      <c r="CK1792">
        <v>39</v>
      </c>
      <c r="CL1792">
        <v>-1.01</v>
      </c>
      <c r="CM1792">
        <v>37</v>
      </c>
      <c r="CN1792">
        <v>-0.59</v>
      </c>
      <c r="CO1792">
        <v>35</v>
      </c>
      <c r="CP1792">
        <v>2.5</v>
      </c>
      <c r="CQ1792">
        <v>34</v>
      </c>
      <c r="CR1792">
        <v>0</v>
      </c>
      <c r="CS1792">
        <v>0</v>
      </c>
      <c r="CT1792">
        <v>18.2</v>
      </c>
      <c r="CU1792">
        <v>30</v>
      </c>
      <c r="CV1792">
        <v>0.39</v>
      </c>
      <c r="CW1792">
        <v>12</v>
      </c>
      <c r="CX1792" t="s">
        <v>2358</v>
      </c>
    </row>
    <row r="1793" spans="1:102" x14ac:dyDescent="0.3">
      <c r="A1793" t="str">
        <f>HYPERLINK("https://webapp.icbf.com/v2/app/bull-search/view/671848315","KXB")</f>
        <v>KXB</v>
      </c>
      <c r="B1793" t="s">
        <v>7728</v>
      </c>
      <c r="C1793" t="s">
        <v>7729</v>
      </c>
      <c r="D1793" s="1">
        <v>39879</v>
      </c>
      <c r="E1793" t="s">
        <v>92</v>
      </c>
      <c r="F1793">
        <v>63</v>
      </c>
      <c r="G1793" t="s">
        <v>93</v>
      </c>
      <c r="H1793">
        <v>85.67</v>
      </c>
      <c r="I1793">
        <v>87</v>
      </c>
      <c r="J1793">
        <v>25.73</v>
      </c>
      <c r="K1793">
        <v>97</v>
      </c>
      <c r="L1793">
        <v>70</v>
      </c>
      <c r="M1793">
        <v>78</v>
      </c>
      <c r="N1793">
        <v>-8.06</v>
      </c>
      <c r="O1793">
        <v>86</v>
      </c>
      <c r="P1793">
        <v>-5.5</v>
      </c>
      <c r="Q1793">
        <v>93</v>
      </c>
      <c r="R1793">
        <v>2.13</v>
      </c>
      <c r="S1793">
        <v>79</v>
      </c>
      <c r="T1793">
        <v>-0.9</v>
      </c>
      <c r="U1793">
        <v>86</v>
      </c>
      <c r="V1793">
        <v>2.27</v>
      </c>
      <c r="W1793">
        <v>77</v>
      </c>
      <c r="X1793" t="s">
        <v>94</v>
      </c>
      <c r="Y1793" t="s">
        <v>329</v>
      </c>
      <c r="Z1793" t="s">
        <v>330</v>
      </c>
      <c r="AA1793" t="s">
        <v>2990</v>
      </c>
      <c r="AB1793" t="s">
        <v>7730</v>
      </c>
      <c r="AC1793">
        <v>80</v>
      </c>
      <c r="AD1793">
        <v>61</v>
      </c>
      <c r="AE1793">
        <v>97</v>
      </c>
      <c r="AF1793">
        <v>-85.6</v>
      </c>
      <c r="AG1793">
        <v>5.87</v>
      </c>
      <c r="AH1793">
        <v>0.99</v>
      </c>
      <c r="AI1793">
        <v>0.16</v>
      </c>
      <c r="AJ1793">
        <v>7.0000000000000007E-2</v>
      </c>
      <c r="AK1793">
        <v>78</v>
      </c>
      <c r="AL1793">
        <v>87</v>
      </c>
      <c r="AM1793">
        <v>65</v>
      </c>
      <c r="AN1793">
        <v>-3.24</v>
      </c>
      <c r="AO1793">
        <v>2.35</v>
      </c>
      <c r="AP1793">
        <v>217</v>
      </c>
      <c r="AQ1793">
        <v>0</v>
      </c>
      <c r="AR1793">
        <v>11.45</v>
      </c>
      <c r="AS1793">
        <v>73</v>
      </c>
      <c r="AT1793">
        <v>4.3600000000000003</v>
      </c>
      <c r="AU1793">
        <v>88</v>
      </c>
      <c r="AV1793">
        <v>-1.61</v>
      </c>
      <c r="AW1793">
        <v>97</v>
      </c>
      <c r="AX1793">
        <v>0.44</v>
      </c>
      <c r="AY1793">
        <v>81</v>
      </c>
      <c r="AZ1793">
        <v>5.52</v>
      </c>
      <c r="BA1793">
        <v>65</v>
      </c>
      <c r="BB1793">
        <v>4.21</v>
      </c>
      <c r="BC1793">
        <v>68</v>
      </c>
      <c r="BD1793">
        <v>-0.06</v>
      </c>
      <c r="BE1793">
        <v>-0.01</v>
      </c>
      <c r="BF1793">
        <v>7.0000000000000007E-2</v>
      </c>
      <c r="BG1793">
        <v>88</v>
      </c>
      <c r="BH1793">
        <v>-0.02</v>
      </c>
      <c r="BI1793">
        <v>-9.65</v>
      </c>
      <c r="BJ1793">
        <v>24</v>
      </c>
      <c r="BK1793">
        <v>16</v>
      </c>
      <c r="BL1793">
        <v>-0.85</v>
      </c>
      <c r="BM1793">
        <v>1.97</v>
      </c>
      <c r="BN1793">
        <v>-0.21</v>
      </c>
      <c r="BO1793">
        <v>-1.58</v>
      </c>
      <c r="BP1793">
        <v>0.08</v>
      </c>
      <c r="BQ1793">
        <v>-0.89</v>
      </c>
      <c r="BR1793">
        <v>0.28999999999999998</v>
      </c>
      <c r="BS1793">
        <v>-0.01</v>
      </c>
      <c r="BT1793">
        <v>-1.29</v>
      </c>
      <c r="BU1793">
        <v>-1.0900000000000001</v>
      </c>
      <c r="BV1793">
        <v>-2.4500000000000002</v>
      </c>
      <c r="BW1793">
        <v>-1.95</v>
      </c>
      <c r="BX1793">
        <v>-0.96</v>
      </c>
      <c r="BY1793">
        <v>-0.34</v>
      </c>
      <c r="BZ1793">
        <v>2.17</v>
      </c>
      <c r="CA1793">
        <v>-1.04</v>
      </c>
      <c r="CB1793">
        <v>-1.7</v>
      </c>
      <c r="CC1793">
        <v>0.57999999999999996</v>
      </c>
      <c r="CD1793">
        <v>2.2799999999999998</v>
      </c>
      <c r="CE1793">
        <v>-1.89</v>
      </c>
      <c r="CF1793">
        <v>-0.89</v>
      </c>
      <c r="CG1793">
        <v>0</v>
      </c>
      <c r="CH1793">
        <v>-0.37</v>
      </c>
      <c r="CI1793">
        <v>0</v>
      </c>
      <c r="CJ1793">
        <v>-2.7</v>
      </c>
      <c r="CK1793">
        <v>95</v>
      </c>
      <c r="CL1793">
        <v>-0.39</v>
      </c>
      <c r="CM1793">
        <v>93</v>
      </c>
      <c r="CN1793">
        <v>-0.25</v>
      </c>
      <c r="CO1793">
        <v>92</v>
      </c>
      <c r="CP1793">
        <v>-4.5</v>
      </c>
      <c r="CQ1793">
        <v>84</v>
      </c>
      <c r="CR1793">
        <v>0</v>
      </c>
      <c r="CS1793">
        <v>0</v>
      </c>
      <c r="CT1793">
        <v>15</v>
      </c>
      <c r="CU1793">
        <v>86</v>
      </c>
      <c r="CV1793">
        <v>0.05</v>
      </c>
      <c r="CW1793">
        <v>45</v>
      </c>
      <c r="CX1793" t="s">
        <v>4088</v>
      </c>
    </row>
    <row r="1794" spans="1:102" x14ac:dyDescent="0.3">
      <c r="A1794" t="str">
        <f>HYPERLINK("https://webapp.icbf.com/v2/app/bull-search/view/1254002508","FR2244")</f>
        <v>FR2244</v>
      </c>
      <c r="B1794" t="s">
        <v>13645</v>
      </c>
      <c r="C1794" t="s">
        <v>13646</v>
      </c>
      <c r="D1794" s="1">
        <v>42068</v>
      </c>
      <c r="E1794" t="s">
        <v>92</v>
      </c>
      <c r="F1794">
        <v>78</v>
      </c>
      <c r="G1794" t="s">
        <v>435</v>
      </c>
      <c r="H1794">
        <v>85.6</v>
      </c>
      <c r="I1794">
        <v>69</v>
      </c>
      <c r="J1794">
        <v>0.22</v>
      </c>
      <c r="K1794">
        <v>87</v>
      </c>
      <c r="L1794">
        <v>47.42</v>
      </c>
      <c r="M1794">
        <v>62</v>
      </c>
      <c r="N1794">
        <v>40.01</v>
      </c>
      <c r="O1794">
        <v>63</v>
      </c>
      <c r="P1794">
        <v>-18.45</v>
      </c>
      <c r="Q1794">
        <v>65</v>
      </c>
      <c r="R1794">
        <v>0.43</v>
      </c>
      <c r="S1794">
        <v>62</v>
      </c>
      <c r="T1794">
        <v>12.94</v>
      </c>
      <c r="U1794">
        <v>51</v>
      </c>
      <c r="V1794">
        <v>3.03</v>
      </c>
      <c r="W1794">
        <v>55</v>
      </c>
      <c r="X1794" t="s">
        <v>102</v>
      </c>
      <c r="Y1794" t="s">
        <v>416</v>
      </c>
      <c r="Z1794" t="s">
        <v>96</v>
      </c>
      <c r="AA1794" t="s">
        <v>437</v>
      </c>
      <c r="AB1794" t="s">
        <v>13647</v>
      </c>
      <c r="AC1794">
        <v>2</v>
      </c>
      <c r="AD1794">
        <v>1</v>
      </c>
      <c r="AE1794">
        <v>87</v>
      </c>
      <c r="AF1794">
        <v>-237.12</v>
      </c>
      <c r="AG1794">
        <v>1.24</v>
      </c>
      <c r="AH1794">
        <v>-4.03</v>
      </c>
      <c r="AI1794">
        <v>0.18</v>
      </c>
      <c r="AJ1794">
        <v>0.08</v>
      </c>
      <c r="AK1794">
        <v>62</v>
      </c>
      <c r="AL1794">
        <v>0</v>
      </c>
      <c r="AM1794">
        <v>0</v>
      </c>
      <c r="AN1794">
        <v>-1.97</v>
      </c>
      <c r="AO1794">
        <v>1.82</v>
      </c>
      <c r="AP1794">
        <v>13</v>
      </c>
      <c r="AQ1794">
        <v>0</v>
      </c>
      <c r="AR1794">
        <v>5.46</v>
      </c>
      <c r="AS1794">
        <v>59</v>
      </c>
      <c r="AT1794">
        <v>2.29</v>
      </c>
      <c r="AU1794">
        <v>64</v>
      </c>
      <c r="AV1794">
        <v>-3.55</v>
      </c>
      <c r="AW1794">
        <v>73</v>
      </c>
      <c r="AX1794">
        <v>-0.36</v>
      </c>
      <c r="AY1794">
        <v>52</v>
      </c>
      <c r="AZ1794">
        <v>6.26</v>
      </c>
      <c r="BA1794">
        <v>43</v>
      </c>
      <c r="BB1794">
        <v>5.18</v>
      </c>
      <c r="BC1794">
        <v>43</v>
      </c>
      <c r="BD1794">
        <v>-0.03</v>
      </c>
      <c r="BE1794">
        <v>0</v>
      </c>
      <c r="BF1794">
        <v>0.04</v>
      </c>
      <c r="BG1794">
        <v>72</v>
      </c>
      <c r="BH1794">
        <v>0.2</v>
      </c>
      <c r="BI1794">
        <v>13.36</v>
      </c>
      <c r="BJ1794">
        <v>0</v>
      </c>
      <c r="BK1794">
        <v>0</v>
      </c>
      <c r="BL1794">
        <v>-0.93</v>
      </c>
      <c r="BM1794">
        <v>-0.81</v>
      </c>
      <c r="BN1794">
        <v>-1.23</v>
      </c>
      <c r="BO1794">
        <v>-0.5</v>
      </c>
      <c r="BP1794">
        <v>0.44</v>
      </c>
      <c r="BQ1794">
        <v>7.0000000000000007E-2</v>
      </c>
      <c r="BR1794">
        <v>1.49</v>
      </c>
      <c r="BS1794">
        <v>-0.01</v>
      </c>
      <c r="BT1794">
        <v>-1.41</v>
      </c>
      <c r="BU1794">
        <v>-0.6</v>
      </c>
      <c r="BV1794">
        <v>-1.03</v>
      </c>
      <c r="BW1794">
        <v>-1.1000000000000001</v>
      </c>
      <c r="BX1794">
        <v>0.21</v>
      </c>
      <c r="BY1794">
        <v>-0.24</v>
      </c>
      <c r="BZ1794">
        <v>-1.38</v>
      </c>
      <c r="CA1794">
        <v>-0.41</v>
      </c>
      <c r="CB1794">
        <v>-0.68</v>
      </c>
      <c r="CC1794">
        <v>0.26</v>
      </c>
      <c r="CD1794">
        <v>0.24</v>
      </c>
      <c r="CE1794">
        <v>-0.16</v>
      </c>
      <c r="CF1794">
        <v>-0.44</v>
      </c>
      <c r="CG1794">
        <v>0</v>
      </c>
      <c r="CH1794">
        <v>0.01</v>
      </c>
      <c r="CI1794">
        <v>0</v>
      </c>
      <c r="CJ1794">
        <v>-10.8</v>
      </c>
      <c r="CK1794">
        <v>68</v>
      </c>
      <c r="CL1794">
        <v>-0.84</v>
      </c>
      <c r="CM1794">
        <v>63</v>
      </c>
      <c r="CN1794">
        <v>-0.48</v>
      </c>
      <c r="CO1794">
        <v>62</v>
      </c>
      <c r="CP1794">
        <v>-3.3</v>
      </c>
      <c r="CQ1794">
        <v>53</v>
      </c>
      <c r="CR1794">
        <v>0</v>
      </c>
      <c r="CS1794">
        <v>0</v>
      </c>
      <c r="CT1794">
        <v>-3.7</v>
      </c>
      <c r="CU1794">
        <v>51</v>
      </c>
      <c r="CV1794">
        <v>0.09</v>
      </c>
      <c r="CW1794">
        <v>39</v>
      </c>
      <c r="CX1794" t="s">
        <v>1939</v>
      </c>
    </row>
    <row r="1795" spans="1:102" x14ac:dyDescent="0.3">
      <c r="A1795" t="str">
        <f>HYPERLINK("https://webapp.icbf.com/v2/app/bull-search/view/1209864141","S2197")</f>
        <v>S2197</v>
      </c>
      <c r="B1795" t="s">
        <v>2036</v>
      </c>
      <c r="C1795" t="s">
        <v>2037</v>
      </c>
      <c r="D1795" s="1">
        <v>41353</v>
      </c>
      <c r="E1795" t="s">
        <v>92</v>
      </c>
      <c r="F1795">
        <v>100</v>
      </c>
      <c r="G1795" t="s">
        <v>116</v>
      </c>
      <c r="H1795">
        <v>85.56</v>
      </c>
      <c r="I1795">
        <v>31</v>
      </c>
      <c r="J1795">
        <v>59.33</v>
      </c>
      <c r="K1795">
        <v>31</v>
      </c>
      <c r="L1795">
        <v>-17.62</v>
      </c>
      <c r="M1795">
        <v>32</v>
      </c>
      <c r="N1795">
        <v>33.86</v>
      </c>
      <c r="O1795">
        <v>29</v>
      </c>
      <c r="P1795">
        <v>2.33</v>
      </c>
      <c r="Q1795">
        <v>32</v>
      </c>
      <c r="R1795">
        <v>6.68</v>
      </c>
      <c r="S1795">
        <v>30</v>
      </c>
      <c r="T1795">
        <v>-4.42</v>
      </c>
      <c r="U1795">
        <v>28</v>
      </c>
      <c r="V1795">
        <v>5.4</v>
      </c>
      <c r="W1795">
        <v>27</v>
      </c>
      <c r="X1795" t="s">
        <v>234</v>
      </c>
      <c r="Y1795" t="s">
        <v>367</v>
      </c>
      <c r="Z1795" t="s">
        <v>96</v>
      </c>
      <c r="AA1795" t="s">
        <v>432</v>
      </c>
      <c r="AB1795" t="s">
        <v>2038</v>
      </c>
      <c r="AC1795">
        <v>0</v>
      </c>
      <c r="AD1795">
        <v>0</v>
      </c>
      <c r="AE1795">
        <v>31</v>
      </c>
      <c r="AF1795">
        <v>402.3</v>
      </c>
      <c r="AG1795">
        <v>10.82</v>
      </c>
      <c r="AH1795">
        <v>12.42</v>
      </c>
      <c r="AI1795">
        <v>-0.08</v>
      </c>
      <c r="AJ1795">
        <v>-0.02</v>
      </c>
      <c r="AK1795">
        <v>32</v>
      </c>
      <c r="AL1795">
        <v>0</v>
      </c>
      <c r="AM1795">
        <v>0</v>
      </c>
      <c r="AN1795">
        <v>2.13</v>
      </c>
      <c r="AO1795">
        <v>0.74</v>
      </c>
      <c r="AP1795">
        <v>1</v>
      </c>
      <c r="AQ1795">
        <v>0</v>
      </c>
      <c r="AR1795">
        <v>6.52</v>
      </c>
      <c r="AS1795">
        <v>28</v>
      </c>
      <c r="AT1795">
        <v>2.42</v>
      </c>
      <c r="AU1795">
        <v>32</v>
      </c>
      <c r="AV1795">
        <v>-2.7</v>
      </c>
      <c r="AW1795">
        <v>29</v>
      </c>
      <c r="AX1795">
        <v>-0.34</v>
      </c>
      <c r="AY1795">
        <v>29</v>
      </c>
      <c r="AZ1795">
        <v>5.23</v>
      </c>
      <c r="BA1795">
        <v>25</v>
      </c>
      <c r="BB1795">
        <v>4.7</v>
      </c>
      <c r="BC1795">
        <v>22</v>
      </c>
      <c r="BD1795">
        <v>0.02</v>
      </c>
      <c r="BE1795">
        <v>-0.03</v>
      </c>
      <c r="BF1795">
        <v>-0.13</v>
      </c>
      <c r="BG1795">
        <v>33</v>
      </c>
      <c r="BH1795">
        <v>0.03</v>
      </c>
      <c r="BI1795">
        <v>-13.96</v>
      </c>
      <c r="BJ1795">
        <v>0</v>
      </c>
      <c r="BK1795">
        <v>0</v>
      </c>
      <c r="BL1795">
        <v>1.1599999999999999</v>
      </c>
      <c r="BM1795">
        <v>0.7</v>
      </c>
      <c r="BN1795">
        <v>0.87</v>
      </c>
      <c r="BO1795">
        <v>0.71</v>
      </c>
      <c r="BP1795">
        <v>-0.28000000000000003</v>
      </c>
      <c r="BQ1795">
        <v>2.15</v>
      </c>
      <c r="BR1795">
        <v>-0.61</v>
      </c>
      <c r="BS1795">
        <v>0.47</v>
      </c>
      <c r="BT1795">
        <v>0.45</v>
      </c>
      <c r="BU1795">
        <v>1.99</v>
      </c>
      <c r="BV1795">
        <v>2.31</v>
      </c>
      <c r="BW1795">
        <v>2.0699999999999998</v>
      </c>
      <c r="BX1795">
        <v>1.62</v>
      </c>
      <c r="BY1795">
        <v>2.09</v>
      </c>
      <c r="BZ1795">
        <v>-0.69</v>
      </c>
      <c r="CA1795">
        <v>1.74</v>
      </c>
      <c r="CB1795">
        <v>1.92</v>
      </c>
      <c r="CC1795">
        <v>0.75</v>
      </c>
      <c r="CD1795">
        <v>0.14000000000000001</v>
      </c>
      <c r="CE1795">
        <v>0.98</v>
      </c>
      <c r="CF1795">
        <v>1.71</v>
      </c>
      <c r="CG1795">
        <v>0</v>
      </c>
      <c r="CH1795">
        <v>2.0299999999999998</v>
      </c>
      <c r="CI1795">
        <v>0</v>
      </c>
      <c r="CJ1795">
        <v>3.2</v>
      </c>
      <c r="CK1795">
        <v>33</v>
      </c>
      <c r="CL1795">
        <v>-0.93</v>
      </c>
      <c r="CM1795">
        <v>32</v>
      </c>
      <c r="CN1795">
        <v>-0.55000000000000004</v>
      </c>
      <c r="CO1795">
        <v>32</v>
      </c>
      <c r="CP1795">
        <v>7.15</v>
      </c>
      <c r="CQ1795">
        <v>29</v>
      </c>
      <c r="CR1795">
        <v>0</v>
      </c>
      <c r="CS1795">
        <v>0</v>
      </c>
      <c r="CT1795">
        <v>19.75</v>
      </c>
      <c r="CU1795">
        <v>28</v>
      </c>
      <c r="CV1795">
        <v>0.3</v>
      </c>
      <c r="CW1795">
        <v>15</v>
      </c>
      <c r="CX1795" t="s">
        <v>1572</v>
      </c>
    </row>
    <row r="1796" spans="1:102" x14ac:dyDescent="0.3">
      <c r="A1796" t="str">
        <f>HYPERLINK("https://webapp.icbf.com/v2/app/bull-search/view/1349522160","FR4014")</f>
        <v>FR4014</v>
      </c>
      <c r="B1796" t="s">
        <v>9433</v>
      </c>
      <c r="C1796" t="s">
        <v>9434</v>
      </c>
      <c r="D1796" s="1">
        <v>40098</v>
      </c>
      <c r="E1796" t="s">
        <v>108</v>
      </c>
      <c r="F1796">
        <v>0</v>
      </c>
      <c r="G1796" t="s">
        <v>116</v>
      </c>
      <c r="H1796">
        <v>85.5</v>
      </c>
      <c r="I1796">
        <v>36</v>
      </c>
      <c r="J1796">
        <v>-32.9</v>
      </c>
      <c r="K1796">
        <v>46</v>
      </c>
      <c r="L1796">
        <v>74.849999999999994</v>
      </c>
      <c r="M1796">
        <v>29</v>
      </c>
      <c r="N1796">
        <v>23.39</v>
      </c>
      <c r="O1796">
        <v>40</v>
      </c>
      <c r="P1796">
        <v>-8.15</v>
      </c>
      <c r="Q1796">
        <v>37</v>
      </c>
      <c r="R1796">
        <v>13.76</v>
      </c>
      <c r="S1796">
        <v>31</v>
      </c>
      <c r="T1796">
        <v>13.53</v>
      </c>
      <c r="U1796">
        <v>29</v>
      </c>
      <c r="V1796">
        <v>1.02</v>
      </c>
      <c r="W1796">
        <v>28</v>
      </c>
      <c r="X1796" t="s">
        <v>94</v>
      </c>
      <c r="Y1796" t="s">
        <v>1775</v>
      </c>
      <c r="Z1796" t="s">
        <v>96</v>
      </c>
      <c r="AA1796" t="s">
        <v>1909</v>
      </c>
      <c r="AB1796" t="s">
        <v>9435</v>
      </c>
      <c r="AC1796">
        <v>6</v>
      </c>
      <c r="AD1796">
        <v>1</v>
      </c>
      <c r="AE1796">
        <v>46</v>
      </c>
      <c r="AF1796">
        <v>-166.9</v>
      </c>
      <c r="AG1796">
        <v>-5.85</v>
      </c>
      <c r="AH1796">
        <v>-6.08</v>
      </c>
      <c r="AI1796">
        <v>0.01</v>
      </c>
      <c r="AJ1796">
        <v>-0.01</v>
      </c>
      <c r="AK1796">
        <v>29</v>
      </c>
      <c r="AL1796">
        <v>0</v>
      </c>
      <c r="AM1796">
        <v>0</v>
      </c>
      <c r="AN1796">
        <v>-4.8</v>
      </c>
      <c r="AO1796">
        <v>1.1599999999999999</v>
      </c>
      <c r="AP1796">
        <v>4</v>
      </c>
      <c r="AQ1796">
        <v>0</v>
      </c>
      <c r="AR1796">
        <v>5.55</v>
      </c>
      <c r="AS1796">
        <v>24</v>
      </c>
      <c r="AT1796">
        <v>2.33</v>
      </c>
      <c r="AU1796">
        <v>30</v>
      </c>
      <c r="AV1796">
        <v>-1.48</v>
      </c>
      <c r="AW1796">
        <v>57</v>
      </c>
      <c r="AX1796">
        <v>-0.33</v>
      </c>
      <c r="AY1796">
        <v>37</v>
      </c>
      <c r="AZ1796">
        <v>6.2</v>
      </c>
      <c r="BA1796">
        <v>23</v>
      </c>
      <c r="BB1796">
        <v>5.14</v>
      </c>
      <c r="BC1796">
        <v>23</v>
      </c>
      <c r="BD1796">
        <v>-0.02</v>
      </c>
      <c r="BE1796">
        <v>-7.0000000000000007E-2</v>
      </c>
      <c r="BF1796">
        <v>-0.15</v>
      </c>
      <c r="BG1796">
        <v>33</v>
      </c>
      <c r="BH1796">
        <v>-0.02</v>
      </c>
      <c r="BI1796">
        <v>-5.61</v>
      </c>
      <c r="BJ1796">
        <v>0</v>
      </c>
      <c r="BK1796">
        <v>0</v>
      </c>
      <c r="BL1796">
        <v>-2.3199999999999998</v>
      </c>
      <c r="BM1796">
        <v>1.97</v>
      </c>
      <c r="BN1796">
        <v>-1.54</v>
      </c>
      <c r="BO1796">
        <v>-2.39</v>
      </c>
      <c r="BP1796">
        <v>-1.44</v>
      </c>
      <c r="BQ1796">
        <v>1.21</v>
      </c>
      <c r="BR1796">
        <v>-2.02</v>
      </c>
      <c r="BS1796">
        <v>1.1200000000000001</v>
      </c>
      <c r="BT1796">
        <v>0.96</v>
      </c>
      <c r="BU1796">
        <v>-0.64</v>
      </c>
      <c r="BV1796">
        <v>-1.23</v>
      </c>
      <c r="BW1796">
        <v>-0.99</v>
      </c>
      <c r="BX1796">
        <v>-0.19</v>
      </c>
      <c r="BY1796">
        <v>-0.18</v>
      </c>
      <c r="BZ1796">
        <v>-1.27</v>
      </c>
      <c r="CA1796">
        <v>-0.63</v>
      </c>
      <c r="CB1796">
        <v>-0.92</v>
      </c>
      <c r="CC1796">
        <v>0.11</v>
      </c>
      <c r="CD1796">
        <v>2.54</v>
      </c>
      <c r="CE1796">
        <v>-2.09</v>
      </c>
      <c r="CF1796">
        <v>-1.1299999999999999</v>
      </c>
      <c r="CG1796">
        <v>0</v>
      </c>
      <c r="CH1796">
        <v>-0.17</v>
      </c>
      <c r="CI1796">
        <v>0</v>
      </c>
      <c r="CJ1796">
        <v>-3.1</v>
      </c>
      <c r="CK1796">
        <v>38</v>
      </c>
      <c r="CL1796">
        <v>-0.22</v>
      </c>
      <c r="CM1796">
        <v>36</v>
      </c>
      <c r="CN1796">
        <v>0.06</v>
      </c>
      <c r="CO1796">
        <v>35</v>
      </c>
      <c r="CP1796">
        <v>-6</v>
      </c>
      <c r="CQ1796">
        <v>31</v>
      </c>
      <c r="CR1796">
        <v>0</v>
      </c>
      <c r="CS1796">
        <v>0</v>
      </c>
      <c r="CT1796">
        <v>-4.5</v>
      </c>
      <c r="CU1796">
        <v>29</v>
      </c>
      <c r="CV1796">
        <v>0.02</v>
      </c>
      <c r="CW1796">
        <v>11</v>
      </c>
      <c r="CX1796" t="s">
        <v>5174</v>
      </c>
    </row>
    <row r="1797" spans="1:102" x14ac:dyDescent="0.3">
      <c r="A1797" t="str">
        <f>HYPERLINK("https://webapp.icbf.com/v2/app/bull-search/view/999155289","S1409")</f>
        <v>S1409</v>
      </c>
      <c r="B1797" t="s">
        <v>10142</v>
      </c>
      <c r="C1797" t="s">
        <v>10143</v>
      </c>
      <c r="D1797" s="1">
        <v>40511</v>
      </c>
      <c r="E1797" t="s">
        <v>92</v>
      </c>
      <c r="F1797">
        <v>100</v>
      </c>
      <c r="G1797" t="s">
        <v>109</v>
      </c>
      <c r="H1797">
        <v>85.42</v>
      </c>
      <c r="I1797">
        <v>75</v>
      </c>
      <c r="J1797">
        <v>81.400000000000006</v>
      </c>
      <c r="K1797">
        <v>91</v>
      </c>
      <c r="L1797">
        <v>-15.84</v>
      </c>
      <c r="M1797">
        <v>76</v>
      </c>
      <c r="N1797">
        <v>13.18</v>
      </c>
      <c r="O1797">
        <v>68</v>
      </c>
      <c r="P1797">
        <v>1.1399999999999999</v>
      </c>
      <c r="Q1797">
        <v>53</v>
      </c>
      <c r="R1797">
        <v>16.079999999999998</v>
      </c>
      <c r="S1797">
        <v>71</v>
      </c>
      <c r="T1797">
        <v>-10</v>
      </c>
      <c r="U1797">
        <v>45</v>
      </c>
      <c r="V1797">
        <v>-0.54</v>
      </c>
      <c r="W1797">
        <v>60</v>
      </c>
      <c r="X1797" t="s">
        <v>234</v>
      </c>
      <c r="Y1797" t="s">
        <v>342</v>
      </c>
      <c r="Z1797" t="s">
        <v>96</v>
      </c>
      <c r="AA1797" t="s">
        <v>3033</v>
      </c>
      <c r="AB1797" t="s">
        <v>10144</v>
      </c>
      <c r="AC1797">
        <v>0</v>
      </c>
      <c r="AD1797">
        <v>0</v>
      </c>
      <c r="AE1797">
        <v>91</v>
      </c>
      <c r="AF1797">
        <v>419.88</v>
      </c>
      <c r="AG1797">
        <v>15.55</v>
      </c>
      <c r="AH1797">
        <v>14.77</v>
      </c>
      <c r="AI1797">
        <v>-0.01</v>
      </c>
      <c r="AJ1797">
        <v>0.01</v>
      </c>
      <c r="AK1797">
        <v>76</v>
      </c>
      <c r="AL1797">
        <v>0</v>
      </c>
      <c r="AM1797">
        <v>0</v>
      </c>
      <c r="AN1797">
        <v>1.92</v>
      </c>
      <c r="AO1797">
        <v>0.67</v>
      </c>
      <c r="AP1797">
        <v>24</v>
      </c>
      <c r="AQ1797">
        <v>0</v>
      </c>
      <c r="AR1797">
        <v>8.49</v>
      </c>
      <c r="AS1797">
        <v>59</v>
      </c>
      <c r="AT1797">
        <v>3.55</v>
      </c>
      <c r="AU1797">
        <v>74</v>
      </c>
      <c r="AV1797">
        <v>-2.96</v>
      </c>
      <c r="AW1797">
        <v>78</v>
      </c>
      <c r="AX1797">
        <v>0.74</v>
      </c>
      <c r="AY1797">
        <v>52</v>
      </c>
      <c r="AZ1797">
        <v>6.57</v>
      </c>
      <c r="BA1797">
        <v>46</v>
      </c>
      <c r="BB1797">
        <v>5.35</v>
      </c>
      <c r="BC1797">
        <v>46</v>
      </c>
      <c r="BD1797">
        <v>-7.0000000000000007E-2</v>
      </c>
      <c r="BE1797">
        <v>-7.0000000000000007E-2</v>
      </c>
      <c r="BF1797">
        <v>-0.12</v>
      </c>
      <c r="BG1797">
        <v>85</v>
      </c>
      <c r="BH1797">
        <v>-0.06</v>
      </c>
      <c r="BI1797">
        <v>-5.19</v>
      </c>
      <c r="BJ1797">
        <v>2</v>
      </c>
      <c r="BK1797">
        <v>2</v>
      </c>
      <c r="BL1797">
        <v>0.88</v>
      </c>
      <c r="BM1797">
        <v>-0.17</v>
      </c>
      <c r="BN1797">
        <v>0.14000000000000001</v>
      </c>
      <c r="BO1797">
        <v>0.75</v>
      </c>
      <c r="BP1797">
        <v>0.4</v>
      </c>
      <c r="BQ1797">
        <v>1.63</v>
      </c>
      <c r="BR1797">
        <v>0.93</v>
      </c>
      <c r="BS1797">
        <v>-0.31</v>
      </c>
      <c r="BT1797">
        <v>-0.02</v>
      </c>
      <c r="BU1797">
        <v>2.23</v>
      </c>
      <c r="BV1797">
        <v>1.41</v>
      </c>
      <c r="BW1797">
        <v>0.57999999999999996</v>
      </c>
      <c r="BX1797">
        <v>2.06</v>
      </c>
      <c r="BY1797">
        <v>0.74</v>
      </c>
      <c r="BZ1797">
        <v>-1.67</v>
      </c>
      <c r="CA1797">
        <v>1.07</v>
      </c>
      <c r="CB1797">
        <v>1.56</v>
      </c>
      <c r="CC1797">
        <v>-0.54</v>
      </c>
      <c r="CD1797">
        <v>-0.19</v>
      </c>
      <c r="CE1797">
        <v>0.43</v>
      </c>
      <c r="CF1797">
        <v>1.34</v>
      </c>
      <c r="CG1797">
        <v>0</v>
      </c>
      <c r="CH1797">
        <v>1.61</v>
      </c>
      <c r="CI1797">
        <v>0</v>
      </c>
      <c r="CJ1797">
        <v>2.5</v>
      </c>
      <c r="CK1797">
        <v>54</v>
      </c>
      <c r="CL1797">
        <v>-1.17</v>
      </c>
      <c r="CM1797">
        <v>53</v>
      </c>
      <c r="CN1797">
        <v>-0.72</v>
      </c>
      <c r="CO1797">
        <v>52</v>
      </c>
      <c r="CP1797">
        <v>8.9</v>
      </c>
      <c r="CQ1797">
        <v>47</v>
      </c>
      <c r="CR1797">
        <v>0</v>
      </c>
      <c r="CS1797">
        <v>0</v>
      </c>
      <c r="CT1797">
        <v>27.3</v>
      </c>
      <c r="CU1797">
        <v>45</v>
      </c>
      <c r="CV1797">
        <v>0.28999999999999998</v>
      </c>
      <c r="CW1797">
        <v>37</v>
      </c>
      <c r="CX1797" t="s">
        <v>5180</v>
      </c>
    </row>
    <row r="1798" spans="1:102" x14ac:dyDescent="0.3">
      <c r="A1798" t="str">
        <f>HYPERLINK("https://webapp.icbf.com/v2/app/bull-search/view/411428779","MVD")</f>
        <v>MVD</v>
      </c>
      <c r="B1798" t="s">
        <v>7285</v>
      </c>
      <c r="C1798" t="s">
        <v>7286</v>
      </c>
      <c r="D1798" s="1">
        <v>38494</v>
      </c>
      <c r="E1798" t="s">
        <v>92</v>
      </c>
      <c r="F1798">
        <v>100</v>
      </c>
      <c r="G1798" t="s">
        <v>93</v>
      </c>
      <c r="H1798">
        <v>85.33</v>
      </c>
      <c r="I1798">
        <v>89</v>
      </c>
      <c r="J1798">
        <v>83.59</v>
      </c>
      <c r="K1798">
        <v>97</v>
      </c>
      <c r="L1798">
        <v>-56.16</v>
      </c>
      <c r="M1798">
        <v>82</v>
      </c>
      <c r="N1798">
        <v>48.69</v>
      </c>
      <c r="O1798">
        <v>87</v>
      </c>
      <c r="P1798">
        <v>3.3</v>
      </c>
      <c r="Q1798">
        <v>94</v>
      </c>
      <c r="R1798">
        <v>-5.28</v>
      </c>
      <c r="S1798">
        <v>84</v>
      </c>
      <c r="T1798">
        <v>8.42</v>
      </c>
      <c r="U1798">
        <v>85</v>
      </c>
      <c r="V1798">
        <v>2.77</v>
      </c>
      <c r="W1798">
        <v>81</v>
      </c>
      <c r="X1798" t="s">
        <v>94</v>
      </c>
      <c r="Y1798" t="s">
        <v>228</v>
      </c>
      <c r="Z1798" t="s">
        <v>96</v>
      </c>
      <c r="AA1798" t="s">
        <v>1165</v>
      </c>
      <c r="AB1798" t="s">
        <v>7287</v>
      </c>
      <c r="AC1798">
        <v>105</v>
      </c>
      <c r="AD1798">
        <v>84</v>
      </c>
      <c r="AE1798">
        <v>97</v>
      </c>
      <c r="AF1798">
        <v>103.12</v>
      </c>
      <c r="AG1798">
        <v>16.04</v>
      </c>
      <c r="AH1798">
        <v>10.119999999999999</v>
      </c>
      <c r="AI1798">
        <v>0.21</v>
      </c>
      <c r="AJ1798">
        <v>0.11</v>
      </c>
      <c r="AK1798">
        <v>82</v>
      </c>
      <c r="AL1798">
        <v>101</v>
      </c>
      <c r="AM1798">
        <v>85</v>
      </c>
      <c r="AN1798">
        <v>3.74</v>
      </c>
      <c r="AO1798">
        <v>-0.73</v>
      </c>
      <c r="AP1798">
        <v>235</v>
      </c>
      <c r="AQ1798">
        <v>7</v>
      </c>
      <c r="AR1798">
        <v>4.2699999999999996</v>
      </c>
      <c r="AS1798">
        <v>75</v>
      </c>
      <c r="AT1798">
        <v>1.91</v>
      </c>
      <c r="AU1798">
        <v>89</v>
      </c>
      <c r="AV1798">
        <v>-3.83</v>
      </c>
      <c r="AW1798">
        <v>97</v>
      </c>
      <c r="AX1798">
        <v>-0.02</v>
      </c>
      <c r="AY1798">
        <v>83</v>
      </c>
      <c r="AZ1798">
        <v>5.61</v>
      </c>
      <c r="BA1798">
        <v>68</v>
      </c>
      <c r="BB1798">
        <v>4.84</v>
      </c>
      <c r="BC1798">
        <v>70</v>
      </c>
      <c r="BD1798">
        <v>-0.01</v>
      </c>
      <c r="BE1798">
        <v>0.02</v>
      </c>
      <c r="BF1798">
        <v>0.1</v>
      </c>
      <c r="BG1798">
        <v>91</v>
      </c>
      <c r="BH1798">
        <v>0.01</v>
      </c>
      <c r="BI1798">
        <v>-7.79</v>
      </c>
      <c r="BJ1798">
        <v>20</v>
      </c>
      <c r="BK1798">
        <v>19</v>
      </c>
      <c r="BL1798">
        <v>0.28999999999999998</v>
      </c>
      <c r="BM1798">
        <v>-1.73</v>
      </c>
      <c r="BN1798">
        <v>-0.66</v>
      </c>
      <c r="BO1798">
        <v>0.47</v>
      </c>
      <c r="BP1798">
        <v>-0.6</v>
      </c>
      <c r="BQ1798">
        <v>-1.1499999999999999</v>
      </c>
      <c r="BR1798">
        <v>1.65</v>
      </c>
      <c r="BS1798">
        <v>-0.27</v>
      </c>
      <c r="BT1798">
        <v>-1.24</v>
      </c>
      <c r="BU1798">
        <v>-1.74</v>
      </c>
      <c r="BV1798">
        <v>-0.08</v>
      </c>
      <c r="BW1798">
        <v>-0.05</v>
      </c>
      <c r="BX1798">
        <v>-0.4</v>
      </c>
      <c r="BY1798">
        <v>0.24</v>
      </c>
      <c r="BZ1798">
        <v>-0.83</v>
      </c>
      <c r="CA1798">
        <v>-0.7</v>
      </c>
      <c r="CB1798">
        <v>-0.63</v>
      </c>
      <c r="CC1798">
        <v>-0.39</v>
      </c>
      <c r="CD1798">
        <v>-1.29</v>
      </c>
      <c r="CE1798">
        <v>0.41</v>
      </c>
      <c r="CF1798">
        <v>-0.25</v>
      </c>
      <c r="CG1798">
        <v>0</v>
      </c>
      <c r="CH1798">
        <v>-0.09</v>
      </c>
      <c r="CI1798">
        <v>0</v>
      </c>
      <c r="CJ1798">
        <v>5.6</v>
      </c>
      <c r="CK1798">
        <v>95</v>
      </c>
      <c r="CL1798">
        <v>-0.77</v>
      </c>
      <c r="CM1798">
        <v>94</v>
      </c>
      <c r="CN1798">
        <v>-0.28000000000000003</v>
      </c>
      <c r="CO1798">
        <v>93</v>
      </c>
      <c r="CP1798">
        <v>1.6</v>
      </c>
      <c r="CQ1798">
        <v>91</v>
      </c>
      <c r="CR1798">
        <v>0</v>
      </c>
      <c r="CS1798">
        <v>0</v>
      </c>
      <c r="CT1798">
        <v>2.4</v>
      </c>
      <c r="CU1798">
        <v>85</v>
      </c>
      <c r="CV1798">
        <v>0.36</v>
      </c>
      <c r="CW1798">
        <v>46</v>
      </c>
      <c r="CX1798" t="s">
        <v>985</v>
      </c>
    </row>
    <row r="1799" spans="1:102" x14ac:dyDescent="0.3">
      <c r="A1799" t="str">
        <f>HYPERLINK("https://webapp.icbf.com/v2/app/bull-search/view/953341061","SZE")</f>
        <v>SZE</v>
      </c>
      <c r="B1799" t="s">
        <v>7859</v>
      </c>
      <c r="C1799" t="s">
        <v>7860</v>
      </c>
      <c r="D1799" s="1">
        <v>40494</v>
      </c>
      <c r="E1799" t="s">
        <v>92</v>
      </c>
      <c r="F1799">
        <v>100</v>
      </c>
      <c r="G1799" t="s">
        <v>93</v>
      </c>
      <c r="H1799">
        <v>85.32</v>
      </c>
      <c r="I1799">
        <v>94</v>
      </c>
      <c r="J1799">
        <v>-4.71</v>
      </c>
      <c r="K1799">
        <v>99</v>
      </c>
      <c r="L1799">
        <v>44.88</v>
      </c>
      <c r="M1799">
        <v>90</v>
      </c>
      <c r="N1799">
        <v>36.5</v>
      </c>
      <c r="O1799">
        <v>96</v>
      </c>
      <c r="P1799">
        <v>-10.51</v>
      </c>
      <c r="Q1799">
        <v>99</v>
      </c>
      <c r="R1799">
        <v>19.28</v>
      </c>
      <c r="S1799">
        <v>89</v>
      </c>
      <c r="T1799">
        <v>2.4300000000000002</v>
      </c>
      <c r="U1799">
        <v>95</v>
      </c>
      <c r="V1799">
        <v>-2.5499999999999998</v>
      </c>
      <c r="W1799">
        <v>80</v>
      </c>
      <c r="X1799" t="s">
        <v>94</v>
      </c>
      <c r="Y1799" t="s">
        <v>1923</v>
      </c>
      <c r="Z1799" t="s">
        <v>96</v>
      </c>
      <c r="AA1799" t="s">
        <v>1572</v>
      </c>
      <c r="AB1799" t="s">
        <v>7861</v>
      </c>
      <c r="AC1799">
        <v>1158</v>
      </c>
      <c r="AD1799">
        <v>291</v>
      </c>
      <c r="AE1799">
        <v>99</v>
      </c>
      <c r="AF1799">
        <v>-201.99</v>
      </c>
      <c r="AG1799">
        <v>-1.9</v>
      </c>
      <c r="AH1799">
        <v>-3.22</v>
      </c>
      <c r="AI1799">
        <v>0.11</v>
      </c>
      <c r="AJ1799">
        <v>7.0000000000000007E-2</v>
      </c>
      <c r="AK1799">
        <v>90</v>
      </c>
      <c r="AL1799">
        <v>929</v>
      </c>
      <c r="AM1799">
        <v>283</v>
      </c>
      <c r="AN1799">
        <v>-3.16</v>
      </c>
      <c r="AO1799">
        <v>0.41</v>
      </c>
      <c r="AP1799">
        <v>1870</v>
      </c>
      <c r="AQ1799">
        <v>10</v>
      </c>
      <c r="AR1799">
        <v>6.87</v>
      </c>
      <c r="AS1799">
        <v>96</v>
      </c>
      <c r="AT1799">
        <v>3.11</v>
      </c>
      <c r="AU1799">
        <v>97</v>
      </c>
      <c r="AV1799">
        <v>-4.41</v>
      </c>
      <c r="AW1799">
        <v>99</v>
      </c>
      <c r="AX1799">
        <v>1.81</v>
      </c>
      <c r="AY1799">
        <v>97</v>
      </c>
      <c r="AZ1799">
        <v>5.19</v>
      </c>
      <c r="BA1799">
        <v>91</v>
      </c>
      <c r="BB1799">
        <v>4.5</v>
      </c>
      <c r="BC1799">
        <v>83</v>
      </c>
      <c r="BD1799">
        <v>-0.02</v>
      </c>
      <c r="BE1799">
        <v>-0.1</v>
      </c>
      <c r="BF1799">
        <v>-0.22</v>
      </c>
      <c r="BG1799">
        <v>98</v>
      </c>
      <c r="BH1799">
        <v>-0.03</v>
      </c>
      <c r="BI1799">
        <v>4.76</v>
      </c>
      <c r="BJ1799">
        <v>153</v>
      </c>
      <c r="BK1799">
        <v>59</v>
      </c>
      <c r="BL1799">
        <v>1.64</v>
      </c>
      <c r="BM1799">
        <v>0.28999999999999998</v>
      </c>
      <c r="BN1799">
        <v>-0.85</v>
      </c>
      <c r="BO1799">
        <v>-0.7</v>
      </c>
      <c r="BP1799">
        <v>0.49</v>
      </c>
      <c r="BQ1799">
        <v>1.34</v>
      </c>
      <c r="BR1799">
        <v>0.36</v>
      </c>
      <c r="BS1799">
        <v>-1.1399999999999999</v>
      </c>
      <c r="BT1799">
        <v>-0.27</v>
      </c>
      <c r="BU1799">
        <v>3</v>
      </c>
      <c r="BV1799">
        <v>1.69</v>
      </c>
      <c r="BW1799">
        <v>2.13</v>
      </c>
      <c r="BX1799">
        <v>4.0599999999999996</v>
      </c>
      <c r="BY1799">
        <v>1.8</v>
      </c>
      <c r="BZ1799">
        <v>-3.29</v>
      </c>
      <c r="CA1799">
        <v>1.1000000000000001</v>
      </c>
      <c r="CB1799">
        <v>1.56</v>
      </c>
      <c r="CC1799">
        <v>-0.47</v>
      </c>
      <c r="CD1799">
        <v>0.93</v>
      </c>
      <c r="CE1799">
        <v>-0.74</v>
      </c>
      <c r="CF1799">
        <v>1.45</v>
      </c>
      <c r="CG1799">
        <v>0</v>
      </c>
      <c r="CH1799">
        <v>2</v>
      </c>
      <c r="CI1799">
        <v>0</v>
      </c>
      <c r="CJ1799">
        <v>-4.0999999999999996</v>
      </c>
      <c r="CK1799">
        <v>99</v>
      </c>
      <c r="CL1799">
        <v>-1.0900000000000001</v>
      </c>
      <c r="CM1799">
        <v>99</v>
      </c>
      <c r="CN1799">
        <v>-0.48</v>
      </c>
      <c r="CO1799">
        <v>99</v>
      </c>
      <c r="CP1799">
        <v>5.2</v>
      </c>
      <c r="CQ1799">
        <v>96</v>
      </c>
      <c r="CR1799">
        <v>0</v>
      </c>
      <c r="CS1799">
        <v>0</v>
      </c>
      <c r="CT1799">
        <v>10.5</v>
      </c>
      <c r="CU1799">
        <v>95</v>
      </c>
      <c r="CV1799">
        <v>0.18</v>
      </c>
      <c r="CW1799">
        <v>47</v>
      </c>
      <c r="CX1799" t="s">
        <v>4248</v>
      </c>
    </row>
    <row r="1800" spans="1:102" x14ac:dyDescent="0.3">
      <c r="A1800" t="str">
        <f>HYPERLINK("https://webapp.icbf.com/v2/app/bull-search/view/116541996","TYW")</f>
        <v>TYW</v>
      </c>
      <c r="B1800" t="s">
        <v>144</v>
      </c>
      <c r="C1800" t="s">
        <v>11374</v>
      </c>
      <c r="D1800" s="1">
        <v>36235</v>
      </c>
      <c r="E1800" t="s">
        <v>146</v>
      </c>
      <c r="F1800">
        <v>6</v>
      </c>
      <c r="G1800" t="s">
        <v>93</v>
      </c>
      <c r="H1800">
        <v>85.26</v>
      </c>
      <c r="I1800">
        <v>78</v>
      </c>
      <c r="J1800">
        <v>-6.6</v>
      </c>
      <c r="K1800">
        <v>94</v>
      </c>
      <c r="L1800">
        <v>63.21</v>
      </c>
      <c r="M1800">
        <v>64</v>
      </c>
      <c r="N1800">
        <v>19.149999999999999</v>
      </c>
      <c r="O1800">
        <v>78</v>
      </c>
      <c r="P1800">
        <v>9.89</v>
      </c>
      <c r="Q1800">
        <v>91</v>
      </c>
      <c r="R1800">
        <v>-10.55</v>
      </c>
      <c r="S1800">
        <v>66</v>
      </c>
      <c r="T1800">
        <v>9.16</v>
      </c>
      <c r="U1800">
        <v>74</v>
      </c>
      <c r="V1800">
        <v>1</v>
      </c>
      <c r="W1800">
        <v>64</v>
      </c>
      <c r="X1800" t="s">
        <v>276</v>
      </c>
      <c r="Y1800" t="s">
        <v>974</v>
      </c>
      <c r="Z1800">
        <v>0</v>
      </c>
      <c r="AA1800" t="s">
        <v>11375</v>
      </c>
      <c r="AB1800" t="s">
        <v>11376</v>
      </c>
      <c r="AC1800">
        <v>58</v>
      </c>
      <c r="AD1800">
        <v>10</v>
      </c>
      <c r="AE1800">
        <v>94</v>
      </c>
      <c r="AF1800">
        <v>-284.89</v>
      </c>
      <c r="AG1800">
        <v>-5.52</v>
      </c>
      <c r="AH1800">
        <v>-3.53</v>
      </c>
      <c r="AI1800">
        <v>0.1</v>
      </c>
      <c r="AJ1800">
        <v>0.11</v>
      </c>
      <c r="AK1800">
        <v>64</v>
      </c>
      <c r="AL1800">
        <v>59</v>
      </c>
      <c r="AM1800">
        <v>11</v>
      </c>
      <c r="AN1800">
        <v>-1.96</v>
      </c>
      <c r="AO1800">
        <v>3.1</v>
      </c>
      <c r="AP1800">
        <v>84</v>
      </c>
      <c r="AQ1800">
        <v>3</v>
      </c>
      <c r="AR1800">
        <v>5.74</v>
      </c>
      <c r="AS1800">
        <v>68</v>
      </c>
      <c r="AT1800">
        <v>2.0499999999999998</v>
      </c>
      <c r="AU1800">
        <v>78</v>
      </c>
      <c r="AV1800">
        <v>-1.84</v>
      </c>
      <c r="AW1800">
        <v>87</v>
      </c>
      <c r="AX1800">
        <v>0.46</v>
      </c>
      <c r="AY1800">
        <v>77</v>
      </c>
      <c r="AZ1800">
        <v>7.04</v>
      </c>
      <c r="BA1800">
        <v>50</v>
      </c>
      <c r="BB1800">
        <v>6.1</v>
      </c>
      <c r="BC1800">
        <v>60</v>
      </c>
      <c r="BD1800">
        <v>0.04</v>
      </c>
      <c r="BE1800">
        <v>0.04</v>
      </c>
      <c r="BF1800">
        <v>0.1</v>
      </c>
      <c r="BG1800">
        <v>80</v>
      </c>
      <c r="BH1800">
        <v>-0.09</v>
      </c>
      <c r="BI1800">
        <v>-13.63</v>
      </c>
      <c r="BJ1800">
        <v>1</v>
      </c>
      <c r="BK1800">
        <v>1</v>
      </c>
      <c r="BL1800">
        <v>-1.04</v>
      </c>
      <c r="BM1800">
        <v>2.5299999999999998</v>
      </c>
      <c r="BN1800">
        <v>-0.09</v>
      </c>
      <c r="BO1800">
        <v>-1.74</v>
      </c>
      <c r="BP1800">
        <v>0.26</v>
      </c>
      <c r="BQ1800">
        <v>0.98</v>
      </c>
      <c r="BR1800">
        <v>-0.5</v>
      </c>
      <c r="BS1800">
        <v>0.44</v>
      </c>
      <c r="BT1800">
        <v>0.34</v>
      </c>
      <c r="BU1800">
        <v>-1.52</v>
      </c>
      <c r="BV1800">
        <v>-1.66</v>
      </c>
      <c r="BW1800">
        <v>-1.73</v>
      </c>
      <c r="BX1800">
        <v>-1.1499999999999999</v>
      </c>
      <c r="BY1800">
        <v>-1.36</v>
      </c>
      <c r="BZ1800">
        <v>0.6</v>
      </c>
      <c r="CA1800">
        <v>-1.39</v>
      </c>
      <c r="CB1800">
        <v>-1.58</v>
      </c>
      <c r="CC1800">
        <v>-0.37</v>
      </c>
      <c r="CD1800">
        <v>2.19</v>
      </c>
      <c r="CE1800">
        <v>-1.23</v>
      </c>
      <c r="CF1800">
        <v>-0.42</v>
      </c>
      <c r="CG1800">
        <v>0</v>
      </c>
      <c r="CH1800">
        <v>-1.48</v>
      </c>
      <c r="CI1800">
        <v>0</v>
      </c>
      <c r="CJ1800">
        <v>0</v>
      </c>
      <c r="CK1800">
        <v>92</v>
      </c>
      <c r="CL1800">
        <v>0.32</v>
      </c>
      <c r="CM1800">
        <v>91</v>
      </c>
      <c r="CN1800">
        <v>-0.65</v>
      </c>
      <c r="CO1800">
        <v>90</v>
      </c>
      <c r="CP1800">
        <v>-6.8</v>
      </c>
      <c r="CQ1800">
        <v>86</v>
      </c>
      <c r="CR1800">
        <v>0</v>
      </c>
      <c r="CS1800">
        <v>0</v>
      </c>
      <c r="CT1800">
        <v>1.4</v>
      </c>
      <c r="CU1800">
        <v>74</v>
      </c>
      <c r="CV1800">
        <v>-0.25</v>
      </c>
      <c r="CW1800">
        <v>26</v>
      </c>
      <c r="CX1800" t="s">
        <v>4201</v>
      </c>
    </row>
    <row r="1801" spans="1:102" x14ac:dyDescent="0.3">
      <c r="A1801" t="str">
        <f>HYPERLINK("https://webapp.icbf.com/v2/app/bull-search/view/804575071","S1063")</f>
        <v>S1063</v>
      </c>
      <c r="B1801" t="s">
        <v>5508</v>
      </c>
      <c r="C1801" t="s">
        <v>5509</v>
      </c>
      <c r="D1801" s="1">
        <v>39864</v>
      </c>
      <c r="E1801" t="s">
        <v>92</v>
      </c>
      <c r="F1801">
        <v>100</v>
      </c>
      <c r="G1801" t="s">
        <v>109</v>
      </c>
      <c r="H1801">
        <v>85.24</v>
      </c>
      <c r="I1801">
        <v>79</v>
      </c>
      <c r="J1801">
        <v>40.06</v>
      </c>
      <c r="K1801">
        <v>91</v>
      </c>
      <c r="L1801">
        <v>13.26</v>
      </c>
      <c r="M1801">
        <v>86</v>
      </c>
      <c r="N1801">
        <v>46</v>
      </c>
      <c r="O1801">
        <v>61</v>
      </c>
      <c r="P1801">
        <v>-11.19</v>
      </c>
      <c r="Q1801">
        <v>71</v>
      </c>
      <c r="R1801">
        <v>9.06</v>
      </c>
      <c r="S1801">
        <v>64</v>
      </c>
      <c r="T1801">
        <v>-10.74</v>
      </c>
      <c r="U1801">
        <v>55</v>
      </c>
      <c r="V1801">
        <v>-1.21</v>
      </c>
      <c r="W1801">
        <v>48</v>
      </c>
      <c r="X1801" t="s">
        <v>288</v>
      </c>
      <c r="Y1801" t="s">
        <v>336</v>
      </c>
      <c r="Z1801" t="s">
        <v>96</v>
      </c>
      <c r="AA1801" t="s">
        <v>1962</v>
      </c>
      <c r="AB1801" t="s">
        <v>5510</v>
      </c>
      <c r="AC1801">
        <v>29</v>
      </c>
      <c r="AD1801">
        <v>10</v>
      </c>
      <c r="AE1801">
        <v>91</v>
      </c>
      <c r="AF1801">
        <v>591.02</v>
      </c>
      <c r="AG1801">
        <v>7.83</v>
      </c>
      <c r="AH1801">
        <v>13.09</v>
      </c>
      <c r="AI1801">
        <v>-0.23</v>
      </c>
      <c r="AJ1801">
        <v>-0.11</v>
      </c>
      <c r="AK1801">
        <v>86</v>
      </c>
      <c r="AL1801">
        <v>35</v>
      </c>
      <c r="AM1801">
        <v>15</v>
      </c>
      <c r="AN1801">
        <v>0.25</v>
      </c>
      <c r="AO1801">
        <v>1.32</v>
      </c>
      <c r="AP1801">
        <v>29</v>
      </c>
      <c r="AQ1801">
        <v>0</v>
      </c>
      <c r="AR1801">
        <v>4.55</v>
      </c>
      <c r="AS1801">
        <v>57</v>
      </c>
      <c r="AT1801">
        <v>2.11</v>
      </c>
      <c r="AU1801">
        <v>91</v>
      </c>
      <c r="AV1801">
        <v>-3.33</v>
      </c>
      <c r="AW1801">
        <v>56</v>
      </c>
      <c r="AX1801">
        <v>-0.7</v>
      </c>
      <c r="AY1801">
        <v>61</v>
      </c>
      <c r="AZ1801">
        <v>6.08</v>
      </c>
      <c r="BA1801">
        <v>38</v>
      </c>
      <c r="BB1801">
        <v>4.43</v>
      </c>
      <c r="BC1801">
        <v>30</v>
      </c>
      <c r="BD1801">
        <v>-0.02</v>
      </c>
      <c r="BE1801">
        <v>-0.05</v>
      </c>
      <c r="BF1801">
        <v>-0.08</v>
      </c>
      <c r="BG1801">
        <v>92</v>
      </c>
      <c r="BH1801">
        <v>0</v>
      </c>
      <c r="BI1801">
        <v>3.91</v>
      </c>
      <c r="BJ1801">
        <v>11</v>
      </c>
      <c r="BK1801">
        <v>1</v>
      </c>
      <c r="BL1801">
        <v>1.24</v>
      </c>
      <c r="BM1801">
        <v>-0.96</v>
      </c>
      <c r="BN1801">
        <v>-0.3</v>
      </c>
      <c r="BO1801">
        <v>0.89</v>
      </c>
      <c r="BP1801">
        <v>-2.36</v>
      </c>
      <c r="BQ1801">
        <v>3.09</v>
      </c>
      <c r="BR1801">
        <v>0.66</v>
      </c>
      <c r="BS1801">
        <v>1.02</v>
      </c>
      <c r="BT1801">
        <v>0.09</v>
      </c>
      <c r="BU1801">
        <v>3.85</v>
      </c>
      <c r="BV1801">
        <v>3.01</v>
      </c>
      <c r="BW1801">
        <v>1.95</v>
      </c>
      <c r="BX1801">
        <v>3.12</v>
      </c>
      <c r="BY1801">
        <v>1.69</v>
      </c>
      <c r="BZ1801">
        <v>-1.29</v>
      </c>
      <c r="CA1801">
        <v>2.2999999999999998</v>
      </c>
      <c r="CB1801">
        <v>2.6</v>
      </c>
      <c r="CC1801">
        <v>0.57999999999999996</v>
      </c>
      <c r="CD1801">
        <v>-0.66</v>
      </c>
      <c r="CE1801">
        <v>1.36</v>
      </c>
      <c r="CF1801">
        <v>1.5</v>
      </c>
      <c r="CG1801">
        <v>0</v>
      </c>
      <c r="CH1801">
        <v>2.78</v>
      </c>
      <c r="CI1801">
        <v>0</v>
      </c>
      <c r="CJ1801">
        <v>-1.9</v>
      </c>
      <c r="CK1801">
        <v>73</v>
      </c>
      <c r="CL1801">
        <v>-1.41</v>
      </c>
      <c r="CM1801">
        <v>69</v>
      </c>
      <c r="CN1801">
        <v>-0.37</v>
      </c>
      <c r="CO1801">
        <v>65</v>
      </c>
      <c r="CP1801">
        <v>11</v>
      </c>
      <c r="CQ1801">
        <v>70</v>
      </c>
      <c r="CR1801">
        <v>0</v>
      </c>
      <c r="CS1801">
        <v>0</v>
      </c>
      <c r="CT1801">
        <v>28.3</v>
      </c>
      <c r="CU1801">
        <v>55</v>
      </c>
      <c r="CV1801">
        <v>0.34</v>
      </c>
      <c r="CW1801">
        <v>20</v>
      </c>
      <c r="CX1801" t="s">
        <v>350</v>
      </c>
    </row>
    <row r="1802" spans="1:102" x14ac:dyDescent="0.3">
      <c r="A1802" t="str">
        <f>HYPERLINK("https://webapp.icbf.com/v2/app/bull-search/view/1124602158","S2033")</f>
        <v>S2033</v>
      </c>
      <c r="B1802" t="s">
        <v>7612</v>
      </c>
      <c r="C1802" t="s">
        <v>7613</v>
      </c>
      <c r="D1802" s="1">
        <v>41198</v>
      </c>
      <c r="E1802" t="s">
        <v>92</v>
      </c>
      <c r="F1802">
        <v>100</v>
      </c>
      <c r="G1802" t="s">
        <v>109</v>
      </c>
      <c r="H1802">
        <v>85.04</v>
      </c>
      <c r="I1802">
        <v>83</v>
      </c>
      <c r="J1802">
        <v>95.85</v>
      </c>
      <c r="K1802">
        <v>95</v>
      </c>
      <c r="L1802">
        <v>-29.62</v>
      </c>
      <c r="M1802">
        <v>86</v>
      </c>
      <c r="N1802">
        <v>10.74</v>
      </c>
      <c r="O1802">
        <v>79</v>
      </c>
      <c r="P1802">
        <v>-1.91</v>
      </c>
      <c r="Q1802">
        <v>81</v>
      </c>
      <c r="R1802">
        <v>20.59</v>
      </c>
      <c r="S1802">
        <v>75</v>
      </c>
      <c r="T1802">
        <v>-11.04</v>
      </c>
      <c r="U1802">
        <v>50</v>
      </c>
      <c r="V1802">
        <v>0.43</v>
      </c>
      <c r="W1802">
        <v>59</v>
      </c>
      <c r="X1802" t="s">
        <v>234</v>
      </c>
      <c r="Y1802" t="s">
        <v>367</v>
      </c>
      <c r="Z1802" t="s">
        <v>96</v>
      </c>
      <c r="AA1802" t="s">
        <v>1894</v>
      </c>
      <c r="AB1802" t="s">
        <v>7614</v>
      </c>
      <c r="AC1802">
        <v>40</v>
      </c>
      <c r="AD1802">
        <v>20</v>
      </c>
      <c r="AE1802">
        <v>95</v>
      </c>
      <c r="AF1802">
        <v>321.14999999999998</v>
      </c>
      <c r="AG1802">
        <v>22.04</v>
      </c>
      <c r="AH1802">
        <v>13.42</v>
      </c>
      <c r="AI1802">
        <v>0.16</v>
      </c>
      <c r="AJ1802">
        <v>0.04</v>
      </c>
      <c r="AK1802">
        <v>86</v>
      </c>
      <c r="AL1802">
        <v>17</v>
      </c>
      <c r="AM1802">
        <v>10</v>
      </c>
      <c r="AN1802">
        <v>2.57</v>
      </c>
      <c r="AO1802">
        <v>0.22</v>
      </c>
      <c r="AP1802">
        <v>102</v>
      </c>
      <c r="AQ1802">
        <v>0</v>
      </c>
      <c r="AR1802">
        <v>8.76</v>
      </c>
      <c r="AS1802">
        <v>72</v>
      </c>
      <c r="AT1802">
        <v>4.01</v>
      </c>
      <c r="AU1802">
        <v>92</v>
      </c>
      <c r="AV1802">
        <v>-2.74</v>
      </c>
      <c r="AW1802">
        <v>88</v>
      </c>
      <c r="AX1802">
        <v>-0.05</v>
      </c>
      <c r="AY1802">
        <v>73</v>
      </c>
      <c r="AZ1802">
        <v>5.92</v>
      </c>
      <c r="BA1802">
        <v>56</v>
      </c>
      <c r="BB1802">
        <v>5.0199999999999996</v>
      </c>
      <c r="BC1802">
        <v>44</v>
      </c>
      <c r="BD1802">
        <v>-0.11</v>
      </c>
      <c r="BE1802">
        <v>-0.1</v>
      </c>
      <c r="BF1802">
        <v>-0.1</v>
      </c>
      <c r="BG1802">
        <v>92</v>
      </c>
      <c r="BH1802">
        <v>-7.0000000000000007E-2</v>
      </c>
      <c r="BI1802">
        <v>-9.49</v>
      </c>
      <c r="BJ1802">
        <v>20</v>
      </c>
      <c r="BK1802">
        <v>10</v>
      </c>
      <c r="BL1802">
        <v>2.15</v>
      </c>
      <c r="BM1802">
        <v>-0.25</v>
      </c>
      <c r="BN1802">
        <v>1.78</v>
      </c>
      <c r="BO1802">
        <v>1.82</v>
      </c>
      <c r="BP1802">
        <v>-2.4300000000000002</v>
      </c>
      <c r="BQ1802">
        <v>3.05</v>
      </c>
      <c r="BR1802">
        <v>-1.4</v>
      </c>
      <c r="BS1802">
        <v>5.99</v>
      </c>
      <c r="BT1802">
        <v>2.34</v>
      </c>
      <c r="BU1802">
        <v>4.2699999999999996</v>
      </c>
      <c r="BV1802">
        <v>4</v>
      </c>
      <c r="BW1802">
        <v>2.64</v>
      </c>
      <c r="BX1802">
        <v>3.29</v>
      </c>
      <c r="BY1802">
        <v>2.71</v>
      </c>
      <c r="BZ1802">
        <v>1.1100000000000001</v>
      </c>
      <c r="CA1802">
        <v>3.79</v>
      </c>
      <c r="CB1802">
        <v>3.2</v>
      </c>
      <c r="CC1802">
        <v>3.25</v>
      </c>
      <c r="CD1802">
        <v>-0.76</v>
      </c>
      <c r="CE1802">
        <v>1.62</v>
      </c>
      <c r="CF1802">
        <v>1.8</v>
      </c>
      <c r="CG1802">
        <v>0</v>
      </c>
      <c r="CH1802">
        <v>2.34</v>
      </c>
      <c r="CI1802">
        <v>0</v>
      </c>
      <c r="CJ1802">
        <v>1.2</v>
      </c>
      <c r="CK1802">
        <v>84</v>
      </c>
      <c r="CL1802">
        <v>-1.42</v>
      </c>
      <c r="CM1802">
        <v>81</v>
      </c>
      <c r="CN1802">
        <v>-0.81</v>
      </c>
      <c r="CO1802">
        <v>80</v>
      </c>
      <c r="CP1802">
        <v>10.7</v>
      </c>
      <c r="CQ1802">
        <v>57</v>
      </c>
      <c r="CR1802">
        <v>0</v>
      </c>
      <c r="CS1802">
        <v>0</v>
      </c>
      <c r="CT1802">
        <v>28.7</v>
      </c>
      <c r="CU1802">
        <v>50</v>
      </c>
      <c r="CV1802">
        <v>0.33</v>
      </c>
      <c r="CW1802">
        <v>42</v>
      </c>
      <c r="CX1802" t="s">
        <v>2220</v>
      </c>
    </row>
    <row r="1803" spans="1:102" x14ac:dyDescent="0.3">
      <c r="A1803" t="str">
        <f>HYPERLINK("https://webapp.icbf.com/v2/app/bull-search/view/514770729","S515")</f>
        <v>S515</v>
      </c>
      <c r="B1803" t="s">
        <v>12362</v>
      </c>
      <c r="C1803" t="s">
        <v>12363</v>
      </c>
      <c r="D1803" s="1">
        <v>36523</v>
      </c>
      <c r="E1803" t="s">
        <v>227</v>
      </c>
      <c r="F1803">
        <v>0</v>
      </c>
      <c r="G1803" t="s">
        <v>93</v>
      </c>
      <c r="H1803">
        <v>85.03</v>
      </c>
      <c r="I1803">
        <v>92</v>
      </c>
      <c r="J1803">
        <v>67.180000000000007</v>
      </c>
      <c r="K1803">
        <v>97</v>
      </c>
      <c r="L1803">
        <v>-33.33</v>
      </c>
      <c r="M1803">
        <v>91</v>
      </c>
      <c r="N1803">
        <v>32.03</v>
      </c>
      <c r="O1803">
        <v>86</v>
      </c>
      <c r="P1803">
        <v>-54.48</v>
      </c>
      <c r="Q1803">
        <v>93</v>
      </c>
      <c r="R1803">
        <v>2.46</v>
      </c>
      <c r="S1803">
        <v>85</v>
      </c>
      <c r="T1803">
        <v>64.66</v>
      </c>
      <c r="U1803">
        <v>91</v>
      </c>
      <c r="V1803">
        <v>6.51</v>
      </c>
      <c r="W1803">
        <v>89</v>
      </c>
      <c r="X1803" t="s">
        <v>102</v>
      </c>
      <c r="Y1803" t="s">
        <v>199</v>
      </c>
      <c r="Z1803">
        <v>0</v>
      </c>
      <c r="AA1803" t="s">
        <v>554</v>
      </c>
      <c r="AB1803" t="s">
        <v>7436</v>
      </c>
      <c r="AC1803">
        <v>101</v>
      </c>
      <c r="AD1803">
        <v>40</v>
      </c>
      <c r="AE1803">
        <v>97</v>
      </c>
      <c r="AF1803">
        <v>-303.39</v>
      </c>
      <c r="AG1803">
        <v>14.25</v>
      </c>
      <c r="AH1803">
        <v>1.74</v>
      </c>
      <c r="AI1803">
        <v>0.48</v>
      </c>
      <c r="AJ1803">
        <v>0.22</v>
      </c>
      <c r="AK1803">
        <v>91</v>
      </c>
      <c r="AL1803">
        <v>120</v>
      </c>
      <c r="AM1803">
        <v>54</v>
      </c>
      <c r="AN1803">
        <v>2.44</v>
      </c>
      <c r="AO1803">
        <v>-0.21</v>
      </c>
      <c r="AP1803">
        <v>145</v>
      </c>
      <c r="AQ1803">
        <v>2</v>
      </c>
      <c r="AR1803">
        <v>1.93</v>
      </c>
      <c r="AS1803">
        <v>87</v>
      </c>
      <c r="AT1803">
        <v>1.23</v>
      </c>
      <c r="AU1803">
        <v>82</v>
      </c>
      <c r="AV1803">
        <v>-1.25</v>
      </c>
      <c r="AW1803">
        <v>95</v>
      </c>
      <c r="AX1803">
        <v>-0.11</v>
      </c>
      <c r="AY1803">
        <v>84</v>
      </c>
      <c r="AZ1803">
        <v>6.38</v>
      </c>
      <c r="BA1803">
        <v>71</v>
      </c>
      <c r="BB1803">
        <v>5.29</v>
      </c>
      <c r="BC1803">
        <v>75</v>
      </c>
      <c r="BD1803">
        <v>-0.04</v>
      </c>
      <c r="BE1803">
        <v>0</v>
      </c>
      <c r="BF1803">
        <v>0.01</v>
      </c>
      <c r="BG1803">
        <v>90</v>
      </c>
      <c r="BH1803">
        <v>0.13</v>
      </c>
      <c r="BI1803">
        <v>-5.97</v>
      </c>
      <c r="BJ1803">
        <v>24</v>
      </c>
      <c r="BK1803">
        <v>9</v>
      </c>
      <c r="BL1803">
        <v>-2.29</v>
      </c>
      <c r="BM1803">
        <v>-3.52</v>
      </c>
      <c r="BN1803">
        <v>-1.22</v>
      </c>
      <c r="BO1803">
        <v>1.76</v>
      </c>
      <c r="BP1803">
        <v>3.03</v>
      </c>
      <c r="BQ1803">
        <v>-8.2100000000000009</v>
      </c>
      <c r="BR1803">
        <v>3.53</v>
      </c>
      <c r="BS1803">
        <v>4.7699999999999996</v>
      </c>
      <c r="BT1803">
        <v>-2.4500000000000002</v>
      </c>
      <c r="BU1803">
        <v>-0.61</v>
      </c>
      <c r="BV1803">
        <v>-0.61</v>
      </c>
      <c r="BW1803">
        <v>-2.2400000000000002</v>
      </c>
      <c r="BX1803">
        <v>-3.82</v>
      </c>
      <c r="BY1803">
        <v>0.25</v>
      </c>
      <c r="BZ1803">
        <v>0.18</v>
      </c>
      <c r="CA1803">
        <v>1.1399999999999999</v>
      </c>
      <c r="CB1803">
        <v>-0.26</v>
      </c>
      <c r="CC1803">
        <v>3.47</v>
      </c>
      <c r="CD1803">
        <v>-2.81</v>
      </c>
      <c r="CE1803">
        <v>2.04</v>
      </c>
      <c r="CF1803">
        <v>-2.96</v>
      </c>
      <c r="CG1803">
        <v>0</v>
      </c>
      <c r="CH1803">
        <v>-0.4</v>
      </c>
      <c r="CI1803">
        <v>0</v>
      </c>
      <c r="CJ1803">
        <v>-25.9</v>
      </c>
      <c r="CK1803">
        <v>94</v>
      </c>
      <c r="CL1803">
        <v>-1.1599999999999999</v>
      </c>
      <c r="CM1803">
        <v>92</v>
      </c>
      <c r="CN1803">
        <v>-0.05</v>
      </c>
      <c r="CO1803">
        <v>92</v>
      </c>
      <c r="CP1803">
        <v>-49</v>
      </c>
      <c r="CQ1803">
        <v>91</v>
      </c>
      <c r="CR1803">
        <v>0</v>
      </c>
      <c r="CS1803">
        <v>0</v>
      </c>
      <c r="CT1803">
        <v>-73.599999999999994</v>
      </c>
      <c r="CU1803">
        <v>91</v>
      </c>
      <c r="CV1803">
        <v>-0.17</v>
      </c>
      <c r="CW1803">
        <v>45</v>
      </c>
      <c r="CX1803" t="s">
        <v>1051</v>
      </c>
    </row>
    <row r="1804" spans="1:102" x14ac:dyDescent="0.3">
      <c r="A1804" t="str">
        <f>HYPERLINK("https://webapp.icbf.com/v2/app/bull-search/view/77856211","LDX")</f>
        <v>LDX</v>
      </c>
      <c r="B1804" t="s">
        <v>11343</v>
      </c>
      <c r="C1804" t="s">
        <v>11344</v>
      </c>
      <c r="D1804" s="1">
        <v>33794</v>
      </c>
      <c r="E1804" t="s">
        <v>108</v>
      </c>
      <c r="F1804">
        <v>0</v>
      </c>
      <c r="G1804" t="s">
        <v>93</v>
      </c>
      <c r="H1804">
        <v>84.96</v>
      </c>
      <c r="I1804">
        <v>64</v>
      </c>
      <c r="J1804">
        <v>-16.62</v>
      </c>
      <c r="K1804">
        <v>86</v>
      </c>
      <c r="L1804">
        <v>80.27</v>
      </c>
      <c r="M1804">
        <v>49</v>
      </c>
      <c r="N1804">
        <v>12.81</v>
      </c>
      <c r="O1804">
        <v>48</v>
      </c>
      <c r="P1804">
        <v>-13.14</v>
      </c>
      <c r="Q1804">
        <v>80</v>
      </c>
      <c r="R1804">
        <v>-5.9</v>
      </c>
      <c r="S1804">
        <v>55</v>
      </c>
      <c r="T1804">
        <v>26.33</v>
      </c>
      <c r="U1804">
        <v>65</v>
      </c>
      <c r="V1804">
        <v>1.21</v>
      </c>
      <c r="W1804">
        <v>26</v>
      </c>
      <c r="X1804" t="s">
        <v>102</v>
      </c>
      <c r="Y1804" t="s">
        <v>95</v>
      </c>
      <c r="Z1804" t="s">
        <v>96</v>
      </c>
      <c r="AA1804" t="s">
        <v>9677</v>
      </c>
      <c r="AB1804" t="s">
        <v>11345</v>
      </c>
      <c r="AC1804">
        <v>35</v>
      </c>
      <c r="AD1804">
        <v>32</v>
      </c>
      <c r="AE1804">
        <v>86</v>
      </c>
      <c r="AF1804">
        <v>-341.18</v>
      </c>
      <c r="AG1804">
        <v>-3.02</v>
      </c>
      <c r="AH1804">
        <v>-6.98</v>
      </c>
      <c r="AI1804">
        <v>0.18</v>
      </c>
      <c r="AJ1804">
        <v>0.08</v>
      </c>
      <c r="AK1804">
        <v>49</v>
      </c>
      <c r="AL1804">
        <v>51</v>
      </c>
      <c r="AM1804">
        <v>43</v>
      </c>
      <c r="AN1804">
        <v>-5.24</v>
      </c>
      <c r="AO1804">
        <v>1.1499999999999999</v>
      </c>
      <c r="AP1804">
        <v>11</v>
      </c>
      <c r="AQ1804">
        <v>0</v>
      </c>
      <c r="AR1804">
        <v>6.54</v>
      </c>
      <c r="AS1804">
        <v>21</v>
      </c>
      <c r="AT1804">
        <v>2.67</v>
      </c>
      <c r="AU1804">
        <v>43</v>
      </c>
      <c r="AV1804">
        <v>-1.54</v>
      </c>
      <c r="AW1804">
        <v>62</v>
      </c>
      <c r="AX1804">
        <v>-0.64</v>
      </c>
      <c r="AY1804">
        <v>55</v>
      </c>
      <c r="AZ1804">
        <v>7.96</v>
      </c>
      <c r="BA1804">
        <v>18</v>
      </c>
      <c r="BB1804">
        <v>5.94</v>
      </c>
      <c r="BC1804">
        <v>35</v>
      </c>
      <c r="BD1804">
        <v>0.04</v>
      </c>
      <c r="BE1804">
        <v>0.01</v>
      </c>
      <c r="BF1804">
        <v>0.05</v>
      </c>
      <c r="BG1804">
        <v>74</v>
      </c>
      <c r="BH1804">
        <v>-0.14000000000000001</v>
      </c>
      <c r="BI1804">
        <v>-20.100000000000001</v>
      </c>
      <c r="BJ1804">
        <v>13</v>
      </c>
      <c r="BK1804">
        <v>12</v>
      </c>
      <c r="BL1804">
        <v>-1.79</v>
      </c>
      <c r="BM1804">
        <v>1.19</v>
      </c>
      <c r="BN1804">
        <v>-2.19</v>
      </c>
      <c r="BO1804">
        <v>-2.33</v>
      </c>
      <c r="BP1804">
        <v>-1.19</v>
      </c>
      <c r="BQ1804">
        <v>1.32</v>
      </c>
      <c r="BR1804">
        <v>-2.17</v>
      </c>
      <c r="BS1804">
        <v>-0.03</v>
      </c>
      <c r="BT1804">
        <v>0.71</v>
      </c>
      <c r="BU1804">
        <v>-1.41</v>
      </c>
      <c r="BV1804">
        <v>-3.18</v>
      </c>
      <c r="BW1804">
        <v>-2.19</v>
      </c>
      <c r="BX1804">
        <v>0.59</v>
      </c>
      <c r="BY1804">
        <v>-0.66</v>
      </c>
      <c r="BZ1804">
        <v>7.0000000000000007E-2</v>
      </c>
      <c r="CA1804">
        <v>-1.9</v>
      </c>
      <c r="CB1804">
        <v>-2.2599999999999998</v>
      </c>
      <c r="CC1804">
        <v>-0.37</v>
      </c>
      <c r="CD1804">
        <v>2.4900000000000002</v>
      </c>
      <c r="CE1804">
        <v>-2.2200000000000002</v>
      </c>
      <c r="CF1804">
        <v>-1.31</v>
      </c>
      <c r="CG1804">
        <v>0</v>
      </c>
      <c r="CH1804">
        <v>-2</v>
      </c>
      <c r="CI1804">
        <v>0</v>
      </c>
      <c r="CJ1804">
        <v>-7.2</v>
      </c>
      <c r="CK1804">
        <v>82</v>
      </c>
      <c r="CL1804">
        <v>-0.06</v>
      </c>
      <c r="CM1804">
        <v>79</v>
      </c>
      <c r="CN1804">
        <v>0.02</v>
      </c>
      <c r="CO1804">
        <v>76</v>
      </c>
      <c r="CP1804">
        <v>-15.7</v>
      </c>
      <c r="CQ1804">
        <v>74</v>
      </c>
      <c r="CR1804">
        <v>0</v>
      </c>
      <c r="CS1804">
        <v>0</v>
      </c>
      <c r="CT1804">
        <v>-21.8</v>
      </c>
      <c r="CU1804">
        <v>65</v>
      </c>
      <c r="CV1804">
        <v>-0.14000000000000001</v>
      </c>
      <c r="CW1804">
        <v>24</v>
      </c>
      <c r="CX1804" t="s">
        <v>11346</v>
      </c>
    </row>
    <row r="1805" spans="1:102" x14ac:dyDescent="0.3">
      <c r="A1805" t="str">
        <f>HYPERLINK("https://webapp.icbf.com/v2/app/bull-search/view/487001855","BSF")</f>
        <v>BSF</v>
      </c>
      <c r="B1805" t="s">
        <v>10033</v>
      </c>
      <c r="C1805" t="s">
        <v>10034</v>
      </c>
      <c r="D1805" s="1">
        <v>38552</v>
      </c>
      <c r="E1805" t="s">
        <v>92</v>
      </c>
      <c r="F1805">
        <v>41</v>
      </c>
      <c r="G1805" t="s">
        <v>93</v>
      </c>
      <c r="H1805">
        <v>84.95</v>
      </c>
      <c r="I1805">
        <v>87</v>
      </c>
      <c r="J1805">
        <v>27.99</v>
      </c>
      <c r="K1805">
        <v>96</v>
      </c>
      <c r="L1805">
        <v>21.49</v>
      </c>
      <c r="M1805">
        <v>79</v>
      </c>
      <c r="N1805">
        <v>22.29</v>
      </c>
      <c r="O1805">
        <v>84</v>
      </c>
      <c r="P1805">
        <v>-42.18</v>
      </c>
      <c r="Q1805">
        <v>88</v>
      </c>
      <c r="R1805">
        <v>2.86</v>
      </c>
      <c r="S1805">
        <v>79</v>
      </c>
      <c r="T1805">
        <v>50.68</v>
      </c>
      <c r="U1805">
        <v>86</v>
      </c>
      <c r="V1805">
        <v>1.82</v>
      </c>
      <c r="W1805">
        <v>84</v>
      </c>
      <c r="X1805" t="s">
        <v>276</v>
      </c>
      <c r="Y1805" t="s">
        <v>1534</v>
      </c>
      <c r="Z1805">
        <v>0</v>
      </c>
      <c r="AA1805" t="s">
        <v>10035</v>
      </c>
      <c r="AB1805" t="s">
        <v>144</v>
      </c>
      <c r="AC1805">
        <v>90</v>
      </c>
      <c r="AD1805">
        <v>28</v>
      </c>
      <c r="AE1805">
        <v>96</v>
      </c>
      <c r="AF1805">
        <v>-365.17</v>
      </c>
      <c r="AG1805">
        <v>0.85</v>
      </c>
      <c r="AH1805">
        <v>-1.1299999999999999</v>
      </c>
      <c r="AI1805">
        <v>0.28000000000000003</v>
      </c>
      <c r="AJ1805">
        <v>0.21</v>
      </c>
      <c r="AK1805">
        <v>79</v>
      </c>
      <c r="AL1805">
        <v>86</v>
      </c>
      <c r="AM1805">
        <v>28</v>
      </c>
      <c r="AN1805">
        <v>-1.45</v>
      </c>
      <c r="AO1805">
        <v>0.26</v>
      </c>
      <c r="AP1805">
        <v>151</v>
      </c>
      <c r="AQ1805">
        <v>2</v>
      </c>
      <c r="AR1805">
        <v>3.6</v>
      </c>
      <c r="AS1805">
        <v>76</v>
      </c>
      <c r="AT1805">
        <v>1.53</v>
      </c>
      <c r="AU1805">
        <v>84</v>
      </c>
      <c r="AV1805">
        <v>-1.35</v>
      </c>
      <c r="AW1805">
        <v>95</v>
      </c>
      <c r="AX1805">
        <v>-0.32</v>
      </c>
      <c r="AY1805">
        <v>79</v>
      </c>
      <c r="AZ1805">
        <v>8.19</v>
      </c>
      <c r="BA1805">
        <v>63</v>
      </c>
      <c r="BB1805">
        <v>6.07</v>
      </c>
      <c r="BC1805">
        <v>65</v>
      </c>
      <c r="BD1805">
        <v>-0.04</v>
      </c>
      <c r="BE1805">
        <v>-0.01</v>
      </c>
      <c r="BF1805">
        <v>0.02</v>
      </c>
      <c r="BG1805">
        <v>88</v>
      </c>
      <c r="BH1805">
        <v>0.15</v>
      </c>
      <c r="BI1805">
        <v>11.49</v>
      </c>
      <c r="BJ1805">
        <v>5</v>
      </c>
      <c r="BK1805">
        <v>5</v>
      </c>
      <c r="BL1805">
        <v>-2.66</v>
      </c>
      <c r="BM1805">
        <v>-0.01</v>
      </c>
      <c r="BN1805">
        <v>-1.28</v>
      </c>
      <c r="BO1805">
        <v>-0.99</v>
      </c>
      <c r="BP1805">
        <v>-1.73</v>
      </c>
      <c r="BQ1805">
        <v>-3.39</v>
      </c>
      <c r="BR1805">
        <v>1.29</v>
      </c>
      <c r="BS1805">
        <v>1.8</v>
      </c>
      <c r="BT1805">
        <v>-1.22</v>
      </c>
      <c r="BU1805">
        <v>-1.27</v>
      </c>
      <c r="BV1805">
        <v>-1.53</v>
      </c>
      <c r="BW1805">
        <v>-1.78</v>
      </c>
      <c r="BX1805">
        <v>-2.84</v>
      </c>
      <c r="BY1805">
        <v>-0.44</v>
      </c>
      <c r="BZ1805">
        <v>0.05</v>
      </c>
      <c r="CA1805">
        <v>-1.24</v>
      </c>
      <c r="CB1805">
        <v>-1.32</v>
      </c>
      <c r="CC1805">
        <v>-0.18</v>
      </c>
      <c r="CD1805">
        <v>0.1</v>
      </c>
      <c r="CE1805">
        <v>-1.96</v>
      </c>
      <c r="CF1805">
        <v>-4.3</v>
      </c>
      <c r="CG1805">
        <v>0</v>
      </c>
      <c r="CH1805">
        <v>-1.03</v>
      </c>
      <c r="CI1805">
        <v>0</v>
      </c>
      <c r="CJ1805">
        <v>-23.1</v>
      </c>
      <c r="CK1805">
        <v>89</v>
      </c>
      <c r="CL1805">
        <v>-0.53</v>
      </c>
      <c r="CM1805">
        <v>87</v>
      </c>
      <c r="CN1805">
        <v>-7.0000000000000007E-2</v>
      </c>
      <c r="CO1805">
        <v>85</v>
      </c>
      <c r="CP1805">
        <v>-37.700000000000003</v>
      </c>
      <c r="CQ1805">
        <v>85</v>
      </c>
      <c r="CR1805">
        <v>0</v>
      </c>
      <c r="CS1805">
        <v>0</v>
      </c>
      <c r="CT1805">
        <v>-54.7</v>
      </c>
      <c r="CU1805">
        <v>86</v>
      </c>
      <c r="CV1805">
        <v>-0.31</v>
      </c>
      <c r="CW1805">
        <v>45</v>
      </c>
      <c r="CX1805" t="s">
        <v>333</v>
      </c>
    </row>
    <row r="1806" spans="1:102" x14ac:dyDescent="0.3">
      <c r="A1806" t="str">
        <f>HYPERLINK("https://webapp.icbf.com/v2/app/bull-search/view/77856127","LBO")</f>
        <v>LBO</v>
      </c>
      <c r="B1806" t="s">
        <v>255</v>
      </c>
      <c r="C1806" t="s">
        <v>256</v>
      </c>
      <c r="D1806" s="1">
        <v>33311</v>
      </c>
      <c r="E1806" t="s">
        <v>92</v>
      </c>
      <c r="F1806">
        <v>100</v>
      </c>
      <c r="G1806" t="s">
        <v>93</v>
      </c>
      <c r="H1806">
        <v>84.91</v>
      </c>
      <c r="I1806">
        <v>99</v>
      </c>
      <c r="J1806">
        <v>34.25</v>
      </c>
      <c r="K1806">
        <v>99</v>
      </c>
      <c r="L1806">
        <v>13.44</v>
      </c>
      <c r="M1806">
        <v>99</v>
      </c>
      <c r="N1806">
        <v>18.010000000000002</v>
      </c>
      <c r="O1806">
        <v>99</v>
      </c>
      <c r="P1806">
        <v>-17.64</v>
      </c>
      <c r="Q1806">
        <v>99</v>
      </c>
      <c r="R1806">
        <v>5.13</v>
      </c>
      <c r="S1806">
        <v>99</v>
      </c>
      <c r="T1806">
        <v>18.93</v>
      </c>
      <c r="U1806">
        <v>99</v>
      </c>
      <c r="V1806">
        <v>12.79</v>
      </c>
      <c r="W1806">
        <v>99</v>
      </c>
      <c r="X1806" t="s">
        <v>94</v>
      </c>
      <c r="Y1806" t="s">
        <v>95</v>
      </c>
      <c r="Z1806" t="s">
        <v>96</v>
      </c>
      <c r="AA1806" t="s">
        <v>99</v>
      </c>
      <c r="AB1806" t="s">
        <v>257</v>
      </c>
      <c r="AC1806">
        <v>16744</v>
      </c>
      <c r="AD1806">
        <v>3239</v>
      </c>
      <c r="AE1806">
        <v>99</v>
      </c>
      <c r="AF1806">
        <v>231.7</v>
      </c>
      <c r="AG1806">
        <v>9.56</v>
      </c>
      <c r="AH1806">
        <v>5.99</v>
      </c>
      <c r="AI1806">
        <v>0.01</v>
      </c>
      <c r="AJ1806">
        <v>-0.03</v>
      </c>
      <c r="AK1806">
        <v>99</v>
      </c>
      <c r="AL1806">
        <v>21300</v>
      </c>
      <c r="AM1806">
        <v>5793</v>
      </c>
      <c r="AN1806">
        <v>-0.1</v>
      </c>
      <c r="AO1806">
        <v>0.98</v>
      </c>
      <c r="AP1806">
        <v>11788</v>
      </c>
      <c r="AQ1806">
        <v>66</v>
      </c>
      <c r="AR1806">
        <v>7.52</v>
      </c>
      <c r="AS1806">
        <v>99</v>
      </c>
      <c r="AT1806">
        <v>2.91</v>
      </c>
      <c r="AU1806">
        <v>99</v>
      </c>
      <c r="AV1806">
        <v>-1.46</v>
      </c>
      <c r="AW1806">
        <v>99</v>
      </c>
      <c r="AX1806">
        <v>0.11</v>
      </c>
      <c r="AY1806">
        <v>99</v>
      </c>
      <c r="AZ1806">
        <v>5.24</v>
      </c>
      <c r="BA1806">
        <v>99</v>
      </c>
      <c r="BB1806">
        <v>4.37</v>
      </c>
      <c r="BC1806">
        <v>99</v>
      </c>
      <c r="BD1806">
        <v>0</v>
      </c>
      <c r="BE1806">
        <v>-0.02</v>
      </c>
      <c r="BF1806">
        <v>-0.08</v>
      </c>
      <c r="BG1806">
        <v>99</v>
      </c>
      <c r="BH1806">
        <v>0.2</v>
      </c>
      <c r="BI1806">
        <v>-18.13</v>
      </c>
      <c r="BJ1806">
        <v>555</v>
      </c>
      <c r="BK1806">
        <v>305</v>
      </c>
      <c r="BL1806">
        <v>-0.52</v>
      </c>
      <c r="BM1806">
        <v>0.33</v>
      </c>
      <c r="BN1806">
        <v>-0.72</v>
      </c>
      <c r="BO1806">
        <v>-0.46</v>
      </c>
      <c r="BP1806">
        <v>1.62</v>
      </c>
      <c r="BQ1806">
        <v>-0.42</v>
      </c>
      <c r="BR1806">
        <v>1.37</v>
      </c>
      <c r="BS1806">
        <v>0.47</v>
      </c>
      <c r="BT1806">
        <v>-1.31</v>
      </c>
      <c r="BU1806">
        <v>-0.41</v>
      </c>
      <c r="BV1806">
        <v>-0.19</v>
      </c>
      <c r="BW1806">
        <v>0.04</v>
      </c>
      <c r="BX1806">
        <v>-0.46</v>
      </c>
      <c r="BY1806">
        <v>-0.42</v>
      </c>
      <c r="BZ1806">
        <v>-0.47</v>
      </c>
      <c r="CA1806">
        <v>0.01</v>
      </c>
      <c r="CB1806">
        <v>-0.32</v>
      </c>
      <c r="CC1806">
        <v>0.56000000000000005</v>
      </c>
      <c r="CD1806">
        <v>0.57999999999999996</v>
      </c>
      <c r="CE1806">
        <v>-0.28000000000000003</v>
      </c>
      <c r="CF1806">
        <v>-0.47</v>
      </c>
      <c r="CG1806">
        <v>0</v>
      </c>
      <c r="CH1806">
        <v>-0.38</v>
      </c>
      <c r="CI1806">
        <v>0</v>
      </c>
      <c r="CJ1806">
        <v>-5.4</v>
      </c>
      <c r="CK1806">
        <v>99</v>
      </c>
      <c r="CL1806">
        <v>-0.65</v>
      </c>
      <c r="CM1806">
        <v>99</v>
      </c>
      <c r="CN1806">
        <v>0.15</v>
      </c>
      <c r="CO1806">
        <v>99</v>
      </c>
      <c r="CP1806">
        <v>-11.5</v>
      </c>
      <c r="CQ1806">
        <v>99</v>
      </c>
      <c r="CR1806">
        <v>0</v>
      </c>
      <c r="CS1806">
        <v>0</v>
      </c>
      <c r="CT1806">
        <v>-11.8</v>
      </c>
      <c r="CU1806">
        <v>99</v>
      </c>
      <c r="CV1806">
        <v>0.12</v>
      </c>
      <c r="CW1806">
        <v>51</v>
      </c>
      <c r="CX1806" t="s">
        <v>128</v>
      </c>
    </row>
    <row r="1807" spans="1:102" x14ac:dyDescent="0.3">
      <c r="A1807" t="str">
        <f>HYPERLINK("https://webapp.icbf.com/v2/app/bull-search/view/956533186","S1302")</f>
        <v>S1302</v>
      </c>
      <c r="B1807" t="s">
        <v>13034</v>
      </c>
      <c r="C1807" t="s">
        <v>13035</v>
      </c>
      <c r="D1807" s="1">
        <v>40272</v>
      </c>
      <c r="E1807" t="s">
        <v>92</v>
      </c>
      <c r="F1807">
        <v>100</v>
      </c>
      <c r="G1807" t="s">
        <v>109</v>
      </c>
      <c r="H1807">
        <v>84.84</v>
      </c>
      <c r="I1807">
        <v>61</v>
      </c>
      <c r="J1807">
        <v>29.47</v>
      </c>
      <c r="K1807">
        <v>77</v>
      </c>
      <c r="L1807">
        <v>47.16</v>
      </c>
      <c r="M1807">
        <v>70</v>
      </c>
      <c r="N1807">
        <v>7.47</v>
      </c>
      <c r="O1807">
        <v>43</v>
      </c>
      <c r="P1807">
        <v>-12.08</v>
      </c>
      <c r="Q1807">
        <v>31</v>
      </c>
      <c r="R1807">
        <v>10.35</v>
      </c>
      <c r="S1807">
        <v>55</v>
      </c>
      <c r="T1807">
        <v>0.95</v>
      </c>
      <c r="U1807">
        <v>28</v>
      </c>
      <c r="V1807">
        <v>1.52</v>
      </c>
      <c r="W1807">
        <v>20</v>
      </c>
      <c r="X1807" t="s">
        <v>288</v>
      </c>
      <c r="Y1807" t="s">
        <v>342</v>
      </c>
      <c r="Z1807" t="s">
        <v>96</v>
      </c>
      <c r="AA1807" t="s">
        <v>1791</v>
      </c>
      <c r="AB1807" t="s">
        <v>13036</v>
      </c>
      <c r="AC1807">
        <v>0</v>
      </c>
      <c r="AD1807">
        <v>0</v>
      </c>
      <c r="AE1807">
        <v>77</v>
      </c>
      <c r="AF1807">
        <v>161.24</v>
      </c>
      <c r="AG1807">
        <v>5.57</v>
      </c>
      <c r="AH1807">
        <v>5.51</v>
      </c>
      <c r="AI1807">
        <v>-0.01</v>
      </c>
      <c r="AJ1807">
        <v>0</v>
      </c>
      <c r="AK1807">
        <v>70</v>
      </c>
      <c r="AL1807">
        <v>0</v>
      </c>
      <c r="AM1807">
        <v>0</v>
      </c>
      <c r="AN1807">
        <v>-1.84</v>
      </c>
      <c r="AO1807">
        <v>1.93</v>
      </c>
      <c r="AP1807">
        <v>2</v>
      </c>
      <c r="AQ1807">
        <v>0</v>
      </c>
      <c r="AR1807">
        <v>7.41</v>
      </c>
      <c r="AS1807">
        <v>27</v>
      </c>
      <c r="AT1807">
        <v>3.71</v>
      </c>
      <c r="AU1807">
        <v>76</v>
      </c>
      <c r="AV1807">
        <v>-0.96</v>
      </c>
      <c r="AW1807">
        <v>38</v>
      </c>
      <c r="AX1807">
        <v>-0.01</v>
      </c>
      <c r="AY1807">
        <v>29</v>
      </c>
      <c r="AZ1807">
        <v>5.23</v>
      </c>
      <c r="BA1807">
        <v>25</v>
      </c>
      <c r="BB1807">
        <v>4.37</v>
      </c>
      <c r="BC1807">
        <v>23</v>
      </c>
      <c r="BD1807">
        <v>-0.03</v>
      </c>
      <c r="BE1807">
        <v>-0.02</v>
      </c>
      <c r="BF1807">
        <v>-0.15</v>
      </c>
      <c r="BG1807">
        <v>83</v>
      </c>
      <c r="BH1807">
        <v>0.01</v>
      </c>
      <c r="BI1807">
        <v>-3.76</v>
      </c>
      <c r="BJ1807">
        <v>1</v>
      </c>
      <c r="BK1807">
        <v>1</v>
      </c>
      <c r="BL1807">
        <v>1.48</v>
      </c>
      <c r="BM1807">
        <v>-1.05</v>
      </c>
      <c r="BN1807">
        <v>0.15</v>
      </c>
      <c r="BO1807">
        <v>0.93</v>
      </c>
      <c r="BP1807">
        <v>-0.57999999999999996</v>
      </c>
      <c r="BQ1807">
        <v>1.31</v>
      </c>
      <c r="BR1807">
        <v>0.6</v>
      </c>
      <c r="BS1807">
        <v>0.99</v>
      </c>
      <c r="BT1807">
        <v>-0.4</v>
      </c>
      <c r="BU1807">
        <v>1.44</v>
      </c>
      <c r="BV1807">
        <v>2.0299999999999998</v>
      </c>
      <c r="BW1807">
        <v>1.54</v>
      </c>
      <c r="BX1807">
        <v>1.1000000000000001</v>
      </c>
      <c r="BY1807">
        <v>1.06</v>
      </c>
      <c r="BZ1807">
        <v>0.23</v>
      </c>
      <c r="CA1807">
        <v>1.68</v>
      </c>
      <c r="CB1807">
        <v>1.57</v>
      </c>
      <c r="CC1807">
        <v>1.08</v>
      </c>
      <c r="CD1807">
        <v>-0.5</v>
      </c>
      <c r="CE1807">
        <v>0.85</v>
      </c>
      <c r="CF1807">
        <v>0.94</v>
      </c>
      <c r="CG1807">
        <v>0</v>
      </c>
      <c r="CH1807">
        <v>1.84</v>
      </c>
      <c r="CI1807">
        <v>0</v>
      </c>
      <c r="CJ1807">
        <v>-4.2</v>
      </c>
      <c r="CK1807">
        <v>32</v>
      </c>
      <c r="CL1807">
        <v>-1.21</v>
      </c>
      <c r="CM1807">
        <v>29</v>
      </c>
      <c r="CN1807">
        <v>-0.54</v>
      </c>
      <c r="CO1807">
        <v>29</v>
      </c>
      <c r="CP1807">
        <v>-0.8</v>
      </c>
      <c r="CQ1807">
        <v>29</v>
      </c>
      <c r="CR1807">
        <v>0</v>
      </c>
      <c r="CS1807">
        <v>0</v>
      </c>
      <c r="CT1807">
        <v>12.5</v>
      </c>
      <c r="CU1807">
        <v>28</v>
      </c>
      <c r="CV1807">
        <v>0.3</v>
      </c>
      <c r="CW1807">
        <v>10</v>
      </c>
      <c r="CX1807" t="s">
        <v>4248</v>
      </c>
    </row>
    <row r="1808" spans="1:102" x14ac:dyDescent="0.3">
      <c r="A1808" t="str">
        <f>HYPERLINK("https://webapp.icbf.com/v2/app/bull-search/view/586051356","ZMG")</f>
        <v>ZMG</v>
      </c>
      <c r="B1808" t="s">
        <v>5778</v>
      </c>
      <c r="C1808" t="s">
        <v>5779</v>
      </c>
      <c r="D1808" s="1">
        <v>37726</v>
      </c>
      <c r="E1808" t="s">
        <v>146</v>
      </c>
      <c r="F1808">
        <v>0</v>
      </c>
      <c r="G1808" t="s">
        <v>109</v>
      </c>
      <c r="H1808">
        <v>84.8</v>
      </c>
      <c r="I1808">
        <v>64</v>
      </c>
      <c r="J1808">
        <v>27.7</v>
      </c>
      <c r="K1808">
        <v>74</v>
      </c>
      <c r="L1808">
        <v>16.670000000000002</v>
      </c>
      <c r="M1808">
        <v>57</v>
      </c>
      <c r="N1808">
        <v>25.92</v>
      </c>
      <c r="O1808">
        <v>76</v>
      </c>
      <c r="P1808">
        <v>11.25</v>
      </c>
      <c r="Q1808">
        <v>77</v>
      </c>
      <c r="R1808">
        <v>0.43</v>
      </c>
      <c r="S1808">
        <v>50</v>
      </c>
      <c r="T1808">
        <v>4.0599999999999996</v>
      </c>
      <c r="U1808">
        <v>50</v>
      </c>
      <c r="V1808">
        <v>-1.23</v>
      </c>
      <c r="W1808">
        <v>37</v>
      </c>
      <c r="X1808" t="s">
        <v>102</v>
      </c>
      <c r="Y1808" t="s">
        <v>329</v>
      </c>
      <c r="Z1808">
        <v>0</v>
      </c>
      <c r="AA1808" t="s">
        <v>2200</v>
      </c>
      <c r="AB1808" t="s">
        <v>5780</v>
      </c>
      <c r="AC1808">
        <v>0</v>
      </c>
      <c r="AD1808">
        <v>0</v>
      </c>
      <c r="AE1808">
        <v>74</v>
      </c>
      <c r="AF1808">
        <v>-129.12</v>
      </c>
      <c r="AG1808">
        <v>2.67</v>
      </c>
      <c r="AH1808">
        <v>1.79</v>
      </c>
      <c r="AI1808">
        <v>0.13</v>
      </c>
      <c r="AJ1808">
        <v>0.11</v>
      </c>
      <c r="AK1808">
        <v>57</v>
      </c>
      <c r="AL1808">
        <v>0</v>
      </c>
      <c r="AM1808">
        <v>0</v>
      </c>
      <c r="AN1808">
        <v>-1.67</v>
      </c>
      <c r="AO1808">
        <v>-0.35</v>
      </c>
      <c r="AP1808">
        <v>154</v>
      </c>
      <c r="AQ1808">
        <v>1</v>
      </c>
      <c r="AR1808">
        <v>7.53</v>
      </c>
      <c r="AS1808">
        <v>55</v>
      </c>
      <c r="AT1808">
        <v>3.02</v>
      </c>
      <c r="AU1808">
        <v>82</v>
      </c>
      <c r="AV1808">
        <v>-3.3</v>
      </c>
      <c r="AW1808">
        <v>94</v>
      </c>
      <c r="AX1808">
        <v>-0.86</v>
      </c>
      <c r="AY1808">
        <v>72</v>
      </c>
      <c r="AZ1808">
        <v>7.36</v>
      </c>
      <c r="BA1808">
        <v>35</v>
      </c>
      <c r="BB1808">
        <v>5.41</v>
      </c>
      <c r="BC1808">
        <v>35</v>
      </c>
      <c r="BD1808">
        <v>0</v>
      </c>
      <c r="BE1808">
        <v>0</v>
      </c>
      <c r="BF1808">
        <v>-0.01</v>
      </c>
      <c r="BG1808">
        <v>77</v>
      </c>
      <c r="BH1808">
        <v>-0.26</v>
      </c>
      <c r="BI1808">
        <v>-26.11</v>
      </c>
      <c r="BJ1808">
        <v>0</v>
      </c>
      <c r="BK1808">
        <v>0</v>
      </c>
      <c r="BL1808">
        <v>-1.43</v>
      </c>
      <c r="BM1808">
        <v>3.18</v>
      </c>
      <c r="BN1808">
        <v>-0.64</v>
      </c>
      <c r="BO1808">
        <v>-1.6</v>
      </c>
      <c r="BP1808">
        <v>3.03</v>
      </c>
      <c r="BQ1808">
        <v>0.49</v>
      </c>
      <c r="BR1808">
        <v>-1.1599999999999999</v>
      </c>
      <c r="BS1808">
        <v>0.17</v>
      </c>
      <c r="BT1808">
        <v>-0.05</v>
      </c>
      <c r="BU1808">
        <v>-1.88</v>
      </c>
      <c r="BV1808">
        <v>-2.86</v>
      </c>
      <c r="BW1808">
        <v>-2.2599999999999998</v>
      </c>
      <c r="BX1808">
        <v>-1.47</v>
      </c>
      <c r="BY1808">
        <v>-1.36</v>
      </c>
      <c r="BZ1808">
        <v>0.49</v>
      </c>
      <c r="CA1808">
        <v>-1.99</v>
      </c>
      <c r="CB1808">
        <v>-2.17</v>
      </c>
      <c r="CC1808">
        <v>-0.61</v>
      </c>
      <c r="CD1808">
        <v>2.67</v>
      </c>
      <c r="CE1808">
        <v>-1.94</v>
      </c>
      <c r="CF1808">
        <v>-0.95</v>
      </c>
      <c r="CG1808">
        <v>0</v>
      </c>
      <c r="CH1808">
        <v>-0.77</v>
      </c>
      <c r="CI1808">
        <v>0</v>
      </c>
      <c r="CJ1808">
        <v>5.7</v>
      </c>
      <c r="CK1808">
        <v>81</v>
      </c>
      <c r="CL1808">
        <v>0.23</v>
      </c>
      <c r="CM1808">
        <v>76</v>
      </c>
      <c r="CN1808">
        <v>-0.13</v>
      </c>
      <c r="CO1808">
        <v>75</v>
      </c>
      <c r="CP1808">
        <v>-3.4</v>
      </c>
      <c r="CQ1808">
        <v>52</v>
      </c>
      <c r="CR1808">
        <v>0</v>
      </c>
      <c r="CS1808">
        <v>0</v>
      </c>
      <c r="CT1808">
        <v>8.3000000000000007</v>
      </c>
      <c r="CU1808">
        <v>50</v>
      </c>
      <c r="CV1808">
        <v>-0.15</v>
      </c>
      <c r="CW1808">
        <v>42</v>
      </c>
      <c r="CX1808" t="s">
        <v>5781</v>
      </c>
    </row>
    <row r="1809" spans="1:102" x14ac:dyDescent="0.3">
      <c r="A1809" t="str">
        <f>HYPERLINK("https://webapp.icbf.com/v2/app/bull-search/view/1130981325","JPZ")</f>
        <v>JPZ</v>
      </c>
      <c r="B1809" t="s">
        <v>13207</v>
      </c>
      <c r="C1809" t="s">
        <v>13208</v>
      </c>
      <c r="D1809" s="1">
        <v>41039</v>
      </c>
      <c r="E1809" t="s">
        <v>108</v>
      </c>
      <c r="F1809">
        <v>0</v>
      </c>
      <c r="G1809" t="s">
        <v>93</v>
      </c>
      <c r="H1809">
        <v>84.76</v>
      </c>
      <c r="I1809">
        <v>65</v>
      </c>
      <c r="J1809">
        <v>24.84</v>
      </c>
      <c r="K1809">
        <v>85</v>
      </c>
      <c r="L1809">
        <v>15.21</v>
      </c>
      <c r="M1809">
        <v>51</v>
      </c>
      <c r="N1809">
        <v>42.31</v>
      </c>
      <c r="O1809">
        <v>61</v>
      </c>
      <c r="P1809">
        <v>-5.86</v>
      </c>
      <c r="Q1809">
        <v>74</v>
      </c>
      <c r="R1809">
        <v>-6.35</v>
      </c>
      <c r="S1809">
        <v>51</v>
      </c>
      <c r="T1809">
        <v>17.53</v>
      </c>
      <c r="U1809">
        <v>48</v>
      </c>
      <c r="V1809">
        <v>-2.92</v>
      </c>
      <c r="W1809">
        <v>52</v>
      </c>
      <c r="X1809" t="s">
        <v>102</v>
      </c>
      <c r="Y1809" t="s">
        <v>2066</v>
      </c>
      <c r="Z1809" t="s">
        <v>96</v>
      </c>
      <c r="AA1809" t="s">
        <v>8975</v>
      </c>
      <c r="AB1809">
        <v>205</v>
      </c>
      <c r="AC1809">
        <v>19</v>
      </c>
      <c r="AD1809">
        <v>7</v>
      </c>
      <c r="AE1809">
        <v>85</v>
      </c>
      <c r="AF1809">
        <v>183.99</v>
      </c>
      <c r="AG1809">
        <v>1.33</v>
      </c>
      <c r="AH1809">
        <v>6.57</v>
      </c>
      <c r="AI1809">
        <v>-0.1</v>
      </c>
      <c r="AJ1809">
        <v>0.01</v>
      </c>
      <c r="AK1809">
        <v>51</v>
      </c>
      <c r="AL1809">
        <v>21</v>
      </c>
      <c r="AM1809">
        <v>10</v>
      </c>
      <c r="AN1809">
        <v>-1.05</v>
      </c>
      <c r="AO1809">
        <v>0.16</v>
      </c>
      <c r="AP1809">
        <v>56</v>
      </c>
      <c r="AQ1809">
        <v>0</v>
      </c>
      <c r="AR1809">
        <v>4.09</v>
      </c>
      <c r="AS1809">
        <v>38</v>
      </c>
      <c r="AT1809">
        <v>2.13</v>
      </c>
      <c r="AU1809">
        <v>65</v>
      </c>
      <c r="AV1809">
        <v>-3.89</v>
      </c>
      <c r="AW1809">
        <v>77</v>
      </c>
      <c r="AX1809">
        <v>-0.09</v>
      </c>
      <c r="AY1809">
        <v>56</v>
      </c>
      <c r="AZ1809">
        <v>6.94</v>
      </c>
      <c r="BA1809">
        <v>34</v>
      </c>
      <c r="BB1809">
        <v>5.63</v>
      </c>
      <c r="BC1809">
        <v>25</v>
      </c>
      <c r="BD1809">
        <v>0.06</v>
      </c>
      <c r="BE1809">
        <v>0.04</v>
      </c>
      <c r="BF1809">
        <v>-0.03</v>
      </c>
      <c r="BG1809">
        <v>61</v>
      </c>
      <c r="BH1809">
        <v>-0.09</v>
      </c>
      <c r="BI1809">
        <v>-0.99</v>
      </c>
      <c r="BJ1809">
        <v>0</v>
      </c>
      <c r="BK1809">
        <v>0</v>
      </c>
      <c r="BL1809">
        <v>-2.9</v>
      </c>
      <c r="BM1809">
        <v>1.27</v>
      </c>
      <c r="BN1809">
        <v>-2.0099999999999998</v>
      </c>
      <c r="BO1809">
        <v>-2.42</v>
      </c>
      <c r="BP1809">
        <v>0.41</v>
      </c>
      <c r="BQ1809">
        <v>0.46</v>
      </c>
      <c r="BR1809">
        <v>-0.68</v>
      </c>
      <c r="BS1809">
        <v>-0.37</v>
      </c>
      <c r="BT1809">
        <v>-0.41</v>
      </c>
      <c r="BU1809">
        <v>-3.03</v>
      </c>
      <c r="BV1809">
        <v>-2.83</v>
      </c>
      <c r="BW1809">
        <v>-2.2200000000000002</v>
      </c>
      <c r="BX1809">
        <v>-2.31</v>
      </c>
      <c r="BY1809">
        <v>-1.59</v>
      </c>
      <c r="BZ1809">
        <v>1.64</v>
      </c>
      <c r="CA1809">
        <v>-2.2799999999999998</v>
      </c>
      <c r="CB1809">
        <v>-2.33</v>
      </c>
      <c r="CC1809">
        <v>-1.1599999999999999</v>
      </c>
      <c r="CD1809">
        <v>1.75</v>
      </c>
      <c r="CE1809">
        <v>-0.71</v>
      </c>
      <c r="CF1809">
        <v>-0.71</v>
      </c>
      <c r="CG1809">
        <v>0</v>
      </c>
      <c r="CH1809">
        <v>-0.87</v>
      </c>
      <c r="CI1809">
        <v>0</v>
      </c>
      <c r="CJ1809">
        <v>-5.2</v>
      </c>
      <c r="CK1809">
        <v>78</v>
      </c>
      <c r="CL1809">
        <v>0.2</v>
      </c>
      <c r="CM1809">
        <v>73</v>
      </c>
      <c r="CN1809">
        <v>-0.05</v>
      </c>
      <c r="CO1809">
        <v>71</v>
      </c>
      <c r="CP1809">
        <v>-8.9</v>
      </c>
      <c r="CQ1809">
        <v>54</v>
      </c>
      <c r="CR1809">
        <v>0</v>
      </c>
      <c r="CS1809">
        <v>0</v>
      </c>
      <c r="CT1809">
        <v>-9.9</v>
      </c>
      <c r="CU1809">
        <v>48</v>
      </c>
      <c r="CV1809">
        <v>-0.03</v>
      </c>
      <c r="CW1809">
        <v>41</v>
      </c>
      <c r="CX1809" t="s">
        <v>9677</v>
      </c>
    </row>
    <row r="1810" spans="1:102" x14ac:dyDescent="0.3">
      <c r="A1810" t="str">
        <f>HYPERLINK("https://webapp.icbf.com/v2/app/bull-search/view/69091501","DOU")</f>
        <v>DOU</v>
      </c>
      <c r="B1810" t="s">
        <v>9805</v>
      </c>
      <c r="C1810" t="s">
        <v>306</v>
      </c>
      <c r="D1810" s="1">
        <v>35077</v>
      </c>
      <c r="E1810" t="s">
        <v>146</v>
      </c>
      <c r="F1810">
        <v>19</v>
      </c>
      <c r="G1810" t="s">
        <v>93</v>
      </c>
      <c r="H1810">
        <v>84.71</v>
      </c>
      <c r="I1810">
        <v>98</v>
      </c>
      <c r="J1810">
        <v>3.19</v>
      </c>
      <c r="K1810">
        <v>99</v>
      </c>
      <c r="L1810">
        <v>65.34</v>
      </c>
      <c r="M1810">
        <v>95</v>
      </c>
      <c r="N1810">
        <v>11.17</v>
      </c>
      <c r="O1810">
        <v>99</v>
      </c>
      <c r="P1810">
        <v>3.11</v>
      </c>
      <c r="Q1810">
        <v>99</v>
      </c>
      <c r="R1810">
        <v>-7.41</v>
      </c>
      <c r="S1810">
        <v>97</v>
      </c>
      <c r="T1810">
        <v>14.42</v>
      </c>
      <c r="U1810">
        <v>99</v>
      </c>
      <c r="V1810">
        <v>-5.1100000000000003</v>
      </c>
      <c r="W1810">
        <v>98</v>
      </c>
      <c r="X1810" t="s">
        <v>276</v>
      </c>
      <c r="Y1810" t="s">
        <v>1333</v>
      </c>
      <c r="Z1810">
        <v>0</v>
      </c>
      <c r="AA1810" t="s">
        <v>4111</v>
      </c>
      <c r="AB1810" t="s">
        <v>9806</v>
      </c>
      <c r="AC1810">
        <v>1906</v>
      </c>
      <c r="AD1810">
        <v>504</v>
      </c>
      <c r="AE1810">
        <v>99</v>
      </c>
      <c r="AF1810">
        <v>-143.07</v>
      </c>
      <c r="AG1810">
        <v>-2.17</v>
      </c>
      <c r="AH1810">
        <v>-0.88</v>
      </c>
      <c r="AI1810">
        <v>0.06</v>
      </c>
      <c r="AJ1810">
        <v>7.0000000000000007E-2</v>
      </c>
      <c r="AK1810">
        <v>95</v>
      </c>
      <c r="AL1810">
        <v>2322</v>
      </c>
      <c r="AM1810">
        <v>630</v>
      </c>
      <c r="AN1810">
        <v>-3.6</v>
      </c>
      <c r="AO1810">
        <v>1.61</v>
      </c>
      <c r="AP1810">
        <v>2793</v>
      </c>
      <c r="AQ1810">
        <v>79</v>
      </c>
      <c r="AR1810">
        <v>6.76</v>
      </c>
      <c r="AS1810">
        <v>97</v>
      </c>
      <c r="AT1810">
        <v>2.99</v>
      </c>
      <c r="AU1810">
        <v>99</v>
      </c>
      <c r="AV1810">
        <v>-1.87</v>
      </c>
      <c r="AW1810">
        <v>99</v>
      </c>
      <c r="AX1810">
        <v>-0.47</v>
      </c>
      <c r="AY1810">
        <v>99</v>
      </c>
      <c r="AZ1810">
        <v>8.4499999999999993</v>
      </c>
      <c r="BA1810">
        <v>96</v>
      </c>
      <c r="BB1810">
        <v>5.91</v>
      </c>
      <c r="BC1810">
        <v>98</v>
      </c>
      <c r="BD1810">
        <v>-0.01</v>
      </c>
      <c r="BE1810">
        <v>0.03</v>
      </c>
      <c r="BF1810">
        <v>0.13</v>
      </c>
      <c r="BG1810">
        <v>99</v>
      </c>
      <c r="BH1810">
        <v>-0.2</v>
      </c>
      <c r="BI1810">
        <v>-6.64</v>
      </c>
      <c r="BJ1810">
        <v>26</v>
      </c>
      <c r="BK1810">
        <v>13</v>
      </c>
      <c r="BL1810">
        <v>-1.77</v>
      </c>
      <c r="BM1810">
        <v>1.89</v>
      </c>
      <c r="BN1810">
        <v>-1.27</v>
      </c>
      <c r="BO1810">
        <v>-1.8</v>
      </c>
      <c r="BP1810">
        <v>1.28</v>
      </c>
      <c r="BQ1810">
        <v>-0.57999999999999996</v>
      </c>
      <c r="BR1810">
        <v>0.14000000000000001</v>
      </c>
      <c r="BS1810">
        <v>0.98</v>
      </c>
      <c r="BT1810">
        <v>-0.46</v>
      </c>
      <c r="BU1810">
        <v>-0.94</v>
      </c>
      <c r="BV1810">
        <v>-2.09</v>
      </c>
      <c r="BW1810">
        <v>-1.95</v>
      </c>
      <c r="BX1810">
        <v>-0.55000000000000004</v>
      </c>
      <c r="BY1810">
        <v>-0.42</v>
      </c>
      <c r="BZ1810">
        <v>0.19</v>
      </c>
      <c r="CA1810">
        <v>-0.92</v>
      </c>
      <c r="CB1810">
        <v>-1.33</v>
      </c>
      <c r="CC1810">
        <v>0.19</v>
      </c>
      <c r="CD1810">
        <v>1.78</v>
      </c>
      <c r="CE1810">
        <v>-1.81</v>
      </c>
      <c r="CF1810">
        <v>-1.45</v>
      </c>
      <c r="CG1810">
        <v>0</v>
      </c>
      <c r="CH1810">
        <v>0.59</v>
      </c>
      <c r="CI1810">
        <v>0</v>
      </c>
      <c r="CJ1810">
        <v>1.1000000000000001</v>
      </c>
      <c r="CK1810">
        <v>99</v>
      </c>
      <c r="CL1810">
        <v>0.1</v>
      </c>
      <c r="CM1810">
        <v>99</v>
      </c>
      <c r="CN1810">
        <v>-0.08</v>
      </c>
      <c r="CO1810">
        <v>99</v>
      </c>
      <c r="CP1810">
        <v>-2.5</v>
      </c>
      <c r="CQ1810">
        <v>99</v>
      </c>
      <c r="CR1810">
        <v>0</v>
      </c>
      <c r="CS1810">
        <v>0</v>
      </c>
      <c r="CT1810">
        <v>-5.7</v>
      </c>
      <c r="CU1810">
        <v>99</v>
      </c>
      <c r="CV1810">
        <v>-0.13</v>
      </c>
      <c r="CW1810">
        <v>47</v>
      </c>
      <c r="CX1810" t="s">
        <v>3797</v>
      </c>
    </row>
    <row r="1811" spans="1:102" x14ac:dyDescent="0.3">
      <c r="A1811" t="str">
        <f>HYPERLINK("https://webapp.icbf.com/v2/app/bull-search/view/1125359041","S3082")</f>
        <v>S3082</v>
      </c>
      <c r="B1811" t="s">
        <v>13681</v>
      </c>
      <c r="C1811" t="s">
        <v>13682</v>
      </c>
      <c r="D1811" s="1">
        <v>40729</v>
      </c>
      <c r="E1811" t="s">
        <v>92</v>
      </c>
      <c r="F1811">
        <v>100</v>
      </c>
      <c r="G1811" t="s">
        <v>109</v>
      </c>
      <c r="H1811">
        <v>84.63</v>
      </c>
      <c r="I1811">
        <v>78</v>
      </c>
      <c r="J1811">
        <v>50.84</v>
      </c>
      <c r="K1811">
        <v>94</v>
      </c>
      <c r="L1811">
        <v>-21.84</v>
      </c>
      <c r="M1811">
        <v>85</v>
      </c>
      <c r="N1811">
        <v>29.97</v>
      </c>
      <c r="O1811">
        <v>65</v>
      </c>
      <c r="P1811">
        <v>-4.5999999999999996</v>
      </c>
      <c r="Q1811">
        <v>46</v>
      </c>
      <c r="R1811">
        <v>25.91</v>
      </c>
      <c r="S1811">
        <v>75</v>
      </c>
      <c r="T1811">
        <v>-1.34</v>
      </c>
      <c r="U1811">
        <v>44</v>
      </c>
      <c r="V1811">
        <v>5.69</v>
      </c>
      <c r="W1811">
        <v>59</v>
      </c>
      <c r="X1811" t="s">
        <v>110</v>
      </c>
      <c r="Y1811" t="s">
        <v>457</v>
      </c>
      <c r="Z1811" t="s">
        <v>96</v>
      </c>
      <c r="AA1811" t="s">
        <v>2187</v>
      </c>
      <c r="AB1811" t="s">
        <v>9228</v>
      </c>
      <c r="AC1811">
        <v>0</v>
      </c>
      <c r="AD1811">
        <v>0</v>
      </c>
      <c r="AE1811">
        <v>94</v>
      </c>
      <c r="AF1811">
        <v>436.09</v>
      </c>
      <c r="AG1811">
        <v>9.0500000000000007</v>
      </c>
      <c r="AH1811">
        <v>12.12</v>
      </c>
      <c r="AI1811">
        <v>-0.13</v>
      </c>
      <c r="AJ1811">
        <v>-0.04</v>
      </c>
      <c r="AK1811">
        <v>85</v>
      </c>
      <c r="AL1811">
        <v>0</v>
      </c>
      <c r="AM1811">
        <v>0</v>
      </c>
      <c r="AN1811">
        <v>2.0699999999999998</v>
      </c>
      <c r="AO1811">
        <v>0.34</v>
      </c>
      <c r="AP1811">
        <v>10</v>
      </c>
      <c r="AQ1811">
        <v>0</v>
      </c>
      <c r="AR1811">
        <v>6.17</v>
      </c>
      <c r="AS1811">
        <v>59</v>
      </c>
      <c r="AT1811">
        <v>2.62</v>
      </c>
      <c r="AU1811">
        <v>92</v>
      </c>
      <c r="AV1811">
        <v>-3.23</v>
      </c>
      <c r="AW1811">
        <v>62</v>
      </c>
      <c r="AX1811">
        <v>0.21</v>
      </c>
      <c r="AY1811">
        <v>49</v>
      </c>
      <c r="AZ1811">
        <v>6.84</v>
      </c>
      <c r="BA1811">
        <v>47</v>
      </c>
      <c r="BB1811">
        <v>5.41</v>
      </c>
      <c r="BC1811">
        <v>45</v>
      </c>
      <c r="BD1811">
        <v>-7.0000000000000007E-2</v>
      </c>
      <c r="BE1811">
        <v>-0.11</v>
      </c>
      <c r="BF1811">
        <v>-0.27</v>
      </c>
      <c r="BG1811">
        <v>92</v>
      </c>
      <c r="BH1811">
        <v>0.21</v>
      </c>
      <c r="BI1811">
        <v>5.93</v>
      </c>
      <c r="BJ1811">
        <v>0</v>
      </c>
      <c r="BK1811">
        <v>0</v>
      </c>
      <c r="BL1811">
        <v>1.65</v>
      </c>
      <c r="BM1811">
        <v>1.04</v>
      </c>
      <c r="BN1811">
        <v>1.36</v>
      </c>
      <c r="BO1811">
        <v>0.61</v>
      </c>
      <c r="BP1811">
        <v>1.0900000000000001</v>
      </c>
      <c r="BQ1811">
        <v>1.89</v>
      </c>
      <c r="BR1811">
        <v>0.49</v>
      </c>
      <c r="BS1811">
        <v>2.62</v>
      </c>
      <c r="BT1811">
        <v>-0.6</v>
      </c>
      <c r="BU1811">
        <v>3.51</v>
      </c>
      <c r="BV1811">
        <v>3.13</v>
      </c>
      <c r="BW1811">
        <v>1.71</v>
      </c>
      <c r="BX1811">
        <v>2.46</v>
      </c>
      <c r="BY1811">
        <v>1.62</v>
      </c>
      <c r="BZ1811">
        <v>-1.24</v>
      </c>
      <c r="CA1811">
        <v>2.62</v>
      </c>
      <c r="CB1811">
        <v>2.3199999999999998</v>
      </c>
      <c r="CC1811">
        <v>2.0299999999999998</v>
      </c>
      <c r="CD1811">
        <v>0.76</v>
      </c>
      <c r="CE1811">
        <v>0.8</v>
      </c>
      <c r="CF1811">
        <v>1.32</v>
      </c>
      <c r="CG1811">
        <v>0</v>
      </c>
      <c r="CH1811">
        <v>1.55</v>
      </c>
      <c r="CI1811">
        <v>0</v>
      </c>
      <c r="CJ1811">
        <v>2.6</v>
      </c>
      <c r="CK1811">
        <v>47</v>
      </c>
      <c r="CL1811">
        <v>-1.67</v>
      </c>
      <c r="CM1811">
        <v>46</v>
      </c>
      <c r="CN1811">
        <v>-0.77</v>
      </c>
      <c r="CO1811">
        <v>46</v>
      </c>
      <c r="CP1811">
        <v>0.2</v>
      </c>
      <c r="CQ1811">
        <v>45</v>
      </c>
      <c r="CR1811">
        <v>0</v>
      </c>
      <c r="CS1811">
        <v>0</v>
      </c>
      <c r="CT1811">
        <v>15.6</v>
      </c>
      <c r="CU1811">
        <v>44</v>
      </c>
      <c r="CV1811">
        <v>0.25</v>
      </c>
      <c r="CW1811">
        <v>35</v>
      </c>
      <c r="CX1811" t="s">
        <v>350</v>
      </c>
    </row>
    <row r="1812" spans="1:102" x14ac:dyDescent="0.3">
      <c r="A1812" t="str">
        <f>HYPERLINK("https://webapp.icbf.com/v2/app/bull-search/view/503102734","CZF")</f>
        <v>CZF</v>
      </c>
      <c r="B1812" t="s">
        <v>15257</v>
      </c>
      <c r="C1812" t="s">
        <v>5791</v>
      </c>
      <c r="D1812" s="1">
        <v>38864</v>
      </c>
      <c r="E1812" t="s">
        <v>108</v>
      </c>
      <c r="F1812">
        <v>16</v>
      </c>
      <c r="G1812" t="s">
        <v>93</v>
      </c>
      <c r="H1812">
        <v>84.6</v>
      </c>
      <c r="I1812">
        <v>97</v>
      </c>
      <c r="J1812">
        <v>-19.34</v>
      </c>
      <c r="K1812">
        <v>99</v>
      </c>
      <c r="L1812">
        <v>73.19</v>
      </c>
      <c r="M1812">
        <v>94</v>
      </c>
      <c r="N1812">
        <v>1.99</v>
      </c>
      <c r="O1812">
        <v>98</v>
      </c>
      <c r="P1812">
        <v>-6.84</v>
      </c>
      <c r="Q1812">
        <v>99</v>
      </c>
      <c r="R1812">
        <v>14.92</v>
      </c>
      <c r="S1812">
        <v>94</v>
      </c>
      <c r="T1812">
        <v>20.71</v>
      </c>
      <c r="U1812">
        <v>98</v>
      </c>
      <c r="V1812">
        <v>-0.03</v>
      </c>
      <c r="W1812">
        <v>91</v>
      </c>
      <c r="X1812" t="s">
        <v>94</v>
      </c>
      <c r="Y1812" t="s">
        <v>228</v>
      </c>
      <c r="Z1812" t="s">
        <v>96</v>
      </c>
      <c r="AA1812" t="s">
        <v>8559</v>
      </c>
      <c r="AB1812" t="s">
        <v>15258</v>
      </c>
      <c r="AC1812">
        <v>1160</v>
      </c>
      <c r="AD1812">
        <v>472</v>
      </c>
      <c r="AE1812">
        <v>99</v>
      </c>
      <c r="AF1812">
        <v>-272.37</v>
      </c>
      <c r="AG1812">
        <v>-6.75</v>
      </c>
      <c r="AH1812">
        <v>-5.07</v>
      </c>
      <c r="AI1812">
        <v>7.0000000000000007E-2</v>
      </c>
      <c r="AJ1812">
        <v>0.08</v>
      </c>
      <c r="AK1812">
        <v>94</v>
      </c>
      <c r="AL1812">
        <v>1960</v>
      </c>
      <c r="AM1812">
        <v>832</v>
      </c>
      <c r="AN1812">
        <v>-4.5</v>
      </c>
      <c r="AO1812">
        <v>1.33</v>
      </c>
      <c r="AP1812">
        <v>2530</v>
      </c>
      <c r="AQ1812">
        <v>26</v>
      </c>
      <c r="AR1812">
        <v>7.37</v>
      </c>
      <c r="AS1812">
        <v>94</v>
      </c>
      <c r="AT1812">
        <v>3.12</v>
      </c>
      <c r="AU1812">
        <v>99</v>
      </c>
      <c r="AV1812">
        <v>-1.7</v>
      </c>
      <c r="AW1812">
        <v>99</v>
      </c>
      <c r="AX1812">
        <v>-0.31</v>
      </c>
      <c r="AY1812">
        <v>99</v>
      </c>
      <c r="AZ1812">
        <v>9.32</v>
      </c>
      <c r="BA1812">
        <v>94</v>
      </c>
      <c r="BB1812">
        <v>6.42</v>
      </c>
      <c r="BC1812">
        <v>94</v>
      </c>
      <c r="BD1812">
        <v>-0.06</v>
      </c>
      <c r="BE1812">
        <v>-7.0000000000000007E-2</v>
      </c>
      <c r="BF1812">
        <v>-0.11</v>
      </c>
      <c r="BG1812">
        <v>98</v>
      </c>
      <c r="BH1812">
        <v>-0.16</v>
      </c>
      <c r="BI1812">
        <v>-18.41</v>
      </c>
      <c r="BJ1812">
        <v>43</v>
      </c>
      <c r="BK1812">
        <v>19</v>
      </c>
      <c r="BL1812">
        <v>-3.35</v>
      </c>
      <c r="BM1812">
        <v>1.2</v>
      </c>
      <c r="BN1812">
        <v>-2.35</v>
      </c>
      <c r="BO1812">
        <v>-2.86</v>
      </c>
      <c r="BP1812">
        <v>0.66</v>
      </c>
      <c r="BQ1812">
        <v>-0.31</v>
      </c>
      <c r="BR1812">
        <v>-2.63</v>
      </c>
      <c r="BS1812">
        <v>1.36</v>
      </c>
      <c r="BT1812">
        <v>1.46</v>
      </c>
      <c r="BU1812">
        <v>-3.18</v>
      </c>
      <c r="BV1812">
        <v>-3.44</v>
      </c>
      <c r="BW1812">
        <v>-3.35</v>
      </c>
      <c r="BX1812">
        <v>-1.84</v>
      </c>
      <c r="BY1812">
        <v>-2.5299999999999998</v>
      </c>
      <c r="BZ1812">
        <v>-1.87</v>
      </c>
      <c r="CA1812">
        <v>-2.46</v>
      </c>
      <c r="CB1812">
        <v>-3.34</v>
      </c>
      <c r="CC1812">
        <v>0.54</v>
      </c>
      <c r="CD1812">
        <v>2.0299999999999998</v>
      </c>
      <c r="CE1812">
        <v>-2.33</v>
      </c>
      <c r="CF1812">
        <v>-2.6</v>
      </c>
      <c r="CG1812">
        <v>0</v>
      </c>
      <c r="CH1812">
        <v>-2.65</v>
      </c>
      <c r="CI1812">
        <v>0</v>
      </c>
      <c r="CJ1812">
        <v>-5</v>
      </c>
      <c r="CK1812">
        <v>99</v>
      </c>
      <c r="CL1812">
        <v>-0.06</v>
      </c>
      <c r="CM1812">
        <v>99</v>
      </c>
      <c r="CN1812">
        <v>-0.18</v>
      </c>
      <c r="CO1812">
        <v>99</v>
      </c>
      <c r="CP1812">
        <v>-9.5</v>
      </c>
      <c r="CQ1812">
        <v>98</v>
      </c>
      <c r="CR1812">
        <v>0</v>
      </c>
      <c r="CS1812">
        <v>0</v>
      </c>
      <c r="CT1812">
        <v>-14.2</v>
      </c>
      <c r="CU1812">
        <v>98</v>
      </c>
      <c r="CV1812">
        <v>-0.1</v>
      </c>
      <c r="CW1812">
        <v>46</v>
      </c>
      <c r="CX1812" t="s">
        <v>590</v>
      </c>
    </row>
    <row r="1813" spans="1:102" x14ac:dyDescent="0.3">
      <c r="A1813" t="str">
        <f>HYPERLINK("https://webapp.icbf.com/v2/app/bull-search/view/1130792777","S2177")</f>
        <v>S2177</v>
      </c>
      <c r="B1813" t="s">
        <v>14693</v>
      </c>
      <c r="C1813" t="s">
        <v>14694</v>
      </c>
      <c r="D1813" s="1">
        <v>41242</v>
      </c>
      <c r="E1813" t="s">
        <v>92</v>
      </c>
      <c r="F1813">
        <v>100</v>
      </c>
      <c r="G1813" t="s">
        <v>93</v>
      </c>
      <c r="H1813">
        <v>84.36</v>
      </c>
      <c r="I1813">
        <v>88</v>
      </c>
      <c r="J1813">
        <v>84.52</v>
      </c>
      <c r="K1813">
        <v>98</v>
      </c>
      <c r="L1813">
        <v>-9.76</v>
      </c>
      <c r="M1813">
        <v>83</v>
      </c>
      <c r="N1813">
        <v>13.3</v>
      </c>
      <c r="O1813">
        <v>88</v>
      </c>
      <c r="P1813">
        <v>-9.75</v>
      </c>
      <c r="Q1813">
        <v>93</v>
      </c>
      <c r="R1813">
        <v>16.22</v>
      </c>
      <c r="S1813">
        <v>79</v>
      </c>
      <c r="T1813">
        <v>-9.26</v>
      </c>
      <c r="U1813">
        <v>80</v>
      </c>
      <c r="V1813">
        <v>-0.91</v>
      </c>
      <c r="W1813">
        <v>67</v>
      </c>
      <c r="X1813" t="s">
        <v>251</v>
      </c>
      <c r="Y1813" t="s">
        <v>367</v>
      </c>
      <c r="Z1813" t="s">
        <v>96</v>
      </c>
      <c r="AA1813" t="s">
        <v>401</v>
      </c>
      <c r="AB1813" t="s">
        <v>14695</v>
      </c>
      <c r="AC1813">
        <v>191</v>
      </c>
      <c r="AD1813">
        <v>75</v>
      </c>
      <c r="AE1813">
        <v>98</v>
      </c>
      <c r="AF1813">
        <v>360.45</v>
      </c>
      <c r="AG1813">
        <v>22.79</v>
      </c>
      <c r="AH1813">
        <v>11.83</v>
      </c>
      <c r="AI1813">
        <v>0.14000000000000001</v>
      </c>
      <c r="AJ1813">
        <v>-0.01</v>
      </c>
      <c r="AK1813">
        <v>83</v>
      </c>
      <c r="AL1813">
        <v>130</v>
      </c>
      <c r="AM1813">
        <v>58</v>
      </c>
      <c r="AN1813">
        <v>0.39</v>
      </c>
      <c r="AO1813">
        <v>-0.39</v>
      </c>
      <c r="AP1813">
        <v>423</v>
      </c>
      <c r="AQ1813">
        <v>2</v>
      </c>
      <c r="AR1813">
        <v>7.63</v>
      </c>
      <c r="AS1813">
        <v>86</v>
      </c>
      <c r="AT1813">
        <v>3.24</v>
      </c>
      <c r="AU1813">
        <v>92</v>
      </c>
      <c r="AV1813">
        <v>-1.77</v>
      </c>
      <c r="AW1813">
        <v>97</v>
      </c>
      <c r="AX1813">
        <v>7.0000000000000007E-2</v>
      </c>
      <c r="AY1813">
        <v>89</v>
      </c>
      <c r="AZ1813">
        <v>5.59</v>
      </c>
      <c r="BA1813">
        <v>73</v>
      </c>
      <c r="BB1813">
        <v>5.15</v>
      </c>
      <c r="BC1813">
        <v>58</v>
      </c>
      <c r="BD1813">
        <v>-0.06</v>
      </c>
      <c r="BE1813">
        <v>-7.0000000000000007E-2</v>
      </c>
      <c r="BF1813">
        <v>-0.14000000000000001</v>
      </c>
      <c r="BG1813">
        <v>92</v>
      </c>
      <c r="BH1813">
        <v>-0.18</v>
      </c>
      <c r="BI1813">
        <v>-17.88</v>
      </c>
      <c r="BJ1813">
        <v>59</v>
      </c>
      <c r="BK1813">
        <v>23</v>
      </c>
      <c r="BL1813">
        <v>2.5</v>
      </c>
      <c r="BM1813">
        <v>-0.6</v>
      </c>
      <c r="BN1813">
        <v>1.63</v>
      </c>
      <c r="BO1813">
        <v>1.77</v>
      </c>
      <c r="BP1813">
        <v>0.83</v>
      </c>
      <c r="BQ1813">
        <v>2.06</v>
      </c>
      <c r="BR1813">
        <v>-0.22</v>
      </c>
      <c r="BS1813">
        <v>2.5299999999999998</v>
      </c>
      <c r="BT1813">
        <v>1.79</v>
      </c>
      <c r="BU1813">
        <v>2.12</v>
      </c>
      <c r="BV1813">
        <v>2.41</v>
      </c>
      <c r="BW1813">
        <v>2.72</v>
      </c>
      <c r="BX1813">
        <v>1.59</v>
      </c>
      <c r="BY1813">
        <v>1.82</v>
      </c>
      <c r="BZ1813">
        <v>-2.38</v>
      </c>
      <c r="CA1813">
        <v>2.08</v>
      </c>
      <c r="CB1813">
        <v>1.84</v>
      </c>
      <c r="CC1813">
        <v>1.83</v>
      </c>
      <c r="CD1813">
        <v>-0.87</v>
      </c>
      <c r="CE1813">
        <v>1.65</v>
      </c>
      <c r="CF1813">
        <v>2.59</v>
      </c>
      <c r="CG1813">
        <v>0</v>
      </c>
      <c r="CH1813">
        <v>2.12</v>
      </c>
      <c r="CI1813">
        <v>0</v>
      </c>
      <c r="CJ1813">
        <v>-1.3</v>
      </c>
      <c r="CK1813">
        <v>95</v>
      </c>
      <c r="CL1813">
        <v>-1.38</v>
      </c>
      <c r="CM1813">
        <v>94</v>
      </c>
      <c r="CN1813">
        <v>-0.46</v>
      </c>
      <c r="CO1813">
        <v>93</v>
      </c>
      <c r="CP1813">
        <v>6</v>
      </c>
      <c r="CQ1813">
        <v>77</v>
      </c>
      <c r="CR1813">
        <v>0</v>
      </c>
      <c r="CS1813">
        <v>0</v>
      </c>
      <c r="CT1813">
        <v>26.3</v>
      </c>
      <c r="CU1813">
        <v>80</v>
      </c>
      <c r="CV1813">
        <v>0.28000000000000003</v>
      </c>
      <c r="CW1813">
        <v>45</v>
      </c>
      <c r="CX1813" t="s">
        <v>12903</v>
      </c>
    </row>
    <row r="1814" spans="1:102" x14ac:dyDescent="0.3">
      <c r="A1814" t="str">
        <f>HYPERLINK("https://webapp.icbf.com/v2/app/bull-search/view/870060930","PCW")</f>
        <v>PCW</v>
      </c>
      <c r="B1814" t="s">
        <v>13228</v>
      </c>
      <c r="C1814" t="s">
        <v>13229</v>
      </c>
      <c r="D1814" s="1">
        <v>40621</v>
      </c>
      <c r="E1814" t="s">
        <v>92</v>
      </c>
      <c r="F1814">
        <v>84</v>
      </c>
      <c r="G1814" t="s">
        <v>93</v>
      </c>
      <c r="H1814">
        <v>84.34</v>
      </c>
      <c r="I1814">
        <v>87</v>
      </c>
      <c r="J1814">
        <v>-5.63</v>
      </c>
      <c r="K1814">
        <v>97</v>
      </c>
      <c r="L1814">
        <v>33.950000000000003</v>
      </c>
      <c r="M1814">
        <v>78</v>
      </c>
      <c r="N1814">
        <v>54.63</v>
      </c>
      <c r="O1814">
        <v>87</v>
      </c>
      <c r="P1814">
        <v>-1.7</v>
      </c>
      <c r="Q1814">
        <v>93</v>
      </c>
      <c r="R1814">
        <v>6.97</v>
      </c>
      <c r="S1814">
        <v>79</v>
      </c>
      <c r="T1814">
        <v>-8.67</v>
      </c>
      <c r="U1814">
        <v>86</v>
      </c>
      <c r="V1814">
        <v>4.79</v>
      </c>
      <c r="W1814">
        <v>73</v>
      </c>
      <c r="X1814" t="s">
        <v>94</v>
      </c>
      <c r="Y1814" t="s">
        <v>1976</v>
      </c>
      <c r="Z1814" t="s">
        <v>96</v>
      </c>
      <c r="AA1814" t="s">
        <v>8297</v>
      </c>
      <c r="AB1814" t="s">
        <v>13230</v>
      </c>
      <c r="AC1814">
        <v>108</v>
      </c>
      <c r="AD1814">
        <v>80</v>
      </c>
      <c r="AE1814">
        <v>97</v>
      </c>
      <c r="AF1814">
        <v>-14.79</v>
      </c>
      <c r="AG1814">
        <v>0.47</v>
      </c>
      <c r="AH1814">
        <v>-1.35</v>
      </c>
      <c r="AI1814">
        <v>0.02</v>
      </c>
      <c r="AJ1814">
        <v>-0.02</v>
      </c>
      <c r="AK1814">
        <v>78</v>
      </c>
      <c r="AL1814">
        <v>120</v>
      </c>
      <c r="AM1814">
        <v>80</v>
      </c>
      <c r="AN1814">
        <v>-0.88</v>
      </c>
      <c r="AO1814">
        <v>1.84</v>
      </c>
      <c r="AP1814">
        <v>305</v>
      </c>
      <c r="AQ1814">
        <v>3</v>
      </c>
      <c r="AR1814">
        <v>5.25</v>
      </c>
      <c r="AS1814">
        <v>79</v>
      </c>
      <c r="AT1814">
        <v>2.3199999999999998</v>
      </c>
      <c r="AU1814">
        <v>90</v>
      </c>
      <c r="AV1814">
        <v>-4.88</v>
      </c>
      <c r="AW1814">
        <v>97</v>
      </c>
      <c r="AX1814">
        <v>-0.22</v>
      </c>
      <c r="AY1814">
        <v>84</v>
      </c>
      <c r="AZ1814">
        <v>5.25</v>
      </c>
      <c r="BA1814">
        <v>70</v>
      </c>
      <c r="BB1814">
        <v>4.6100000000000003</v>
      </c>
      <c r="BC1814">
        <v>66</v>
      </c>
      <c r="BD1814">
        <v>-0.02</v>
      </c>
      <c r="BE1814">
        <v>-0.03</v>
      </c>
      <c r="BF1814">
        <v>-7.0000000000000007E-2</v>
      </c>
      <c r="BG1814">
        <v>89</v>
      </c>
      <c r="BH1814">
        <v>0.01</v>
      </c>
      <c r="BI1814">
        <v>-14.28</v>
      </c>
      <c r="BJ1814">
        <v>34</v>
      </c>
      <c r="BK1814">
        <v>21</v>
      </c>
      <c r="BL1814">
        <v>0.16</v>
      </c>
      <c r="BM1814">
        <v>1.69</v>
      </c>
      <c r="BN1814">
        <v>-0.18</v>
      </c>
      <c r="BO1814">
        <v>-1.3</v>
      </c>
      <c r="BP1814">
        <v>1.58</v>
      </c>
      <c r="BQ1814">
        <v>0.2</v>
      </c>
      <c r="BR1814">
        <v>-1.78</v>
      </c>
      <c r="BS1814">
        <v>-1.8</v>
      </c>
      <c r="BT1814">
        <v>0.18</v>
      </c>
      <c r="BU1814">
        <v>-2.23</v>
      </c>
      <c r="BV1814">
        <v>-3.45</v>
      </c>
      <c r="BW1814">
        <v>-3.35</v>
      </c>
      <c r="BX1814">
        <v>-1.03</v>
      </c>
      <c r="BY1814">
        <v>-2.11</v>
      </c>
      <c r="BZ1814">
        <v>-0.51</v>
      </c>
      <c r="CA1814">
        <v>-2.44</v>
      </c>
      <c r="CB1814">
        <v>-2.74</v>
      </c>
      <c r="CC1814">
        <v>-1.08</v>
      </c>
      <c r="CD1814">
        <v>2.74</v>
      </c>
      <c r="CE1814">
        <v>-1.38</v>
      </c>
      <c r="CF1814">
        <v>0.7</v>
      </c>
      <c r="CG1814">
        <v>0</v>
      </c>
      <c r="CH1814">
        <v>-2.2200000000000002</v>
      </c>
      <c r="CI1814">
        <v>0</v>
      </c>
      <c r="CJ1814">
        <v>1.5</v>
      </c>
      <c r="CK1814">
        <v>94</v>
      </c>
      <c r="CL1814">
        <v>-0.66</v>
      </c>
      <c r="CM1814">
        <v>93</v>
      </c>
      <c r="CN1814">
        <v>-0.17</v>
      </c>
      <c r="CO1814">
        <v>92</v>
      </c>
      <c r="CP1814">
        <v>7</v>
      </c>
      <c r="CQ1814">
        <v>82</v>
      </c>
      <c r="CR1814">
        <v>0</v>
      </c>
      <c r="CS1814">
        <v>0</v>
      </c>
      <c r="CT1814">
        <v>25.5</v>
      </c>
      <c r="CU1814">
        <v>86</v>
      </c>
      <c r="CV1814">
        <v>0.2</v>
      </c>
      <c r="CW1814">
        <v>46</v>
      </c>
      <c r="CX1814" t="s">
        <v>4532</v>
      </c>
    </row>
    <row r="1815" spans="1:102" x14ac:dyDescent="0.3">
      <c r="A1815" t="str">
        <f>HYPERLINK("https://webapp.icbf.com/v2/app/bull-search/view/442350349","KMA")</f>
        <v>KMA</v>
      </c>
      <c r="B1815" t="s">
        <v>9975</v>
      </c>
      <c r="C1815" t="s">
        <v>9976</v>
      </c>
      <c r="D1815" s="1">
        <v>38757</v>
      </c>
      <c r="E1815" t="s">
        <v>92</v>
      </c>
      <c r="F1815">
        <v>88</v>
      </c>
      <c r="G1815" t="s">
        <v>93</v>
      </c>
      <c r="H1815">
        <v>84.33</v>
      </c>
      <c r="I1815">
        <v>97</v>
      </c>
      <c r="J1815">
        <v>12.06</v>
      </c>
      <c r="K1815">
        <v>99</v>
      </c>
      <c r="L1815">
        <v>60.03</v>
      </c>
      <c r="M1815">
        <v>93</v>
      </c>
      <c r="N1815">
        <v>13.65</v>
      </c>
      <c r="O1815">
        <v>97</v>
      </c>
      <c r="P1815">
        <v>-6.99</v>
      </c>
      <c r="Q1815">
        <v>99</v>
      </c>
      <c r="R1815">
        <v>6.6</v>
      </c>
      <c r="S1815">
        <v>95</v>
      </c>
      <c r="T1815">
        <v>-0.09</v>
      </c>
      <c r="U1815">
        <v>98</v>
      </c>
      <c r="V1815">
        <v>-0.93</v>
      </c>
      <c r="W1815">
        <v>97</v>
      </c>
      <c r="X1815" t="s">
        <v>94</v>
      </c>
      <c r="Y1815" t="s">
        <v>1251</v>
      </c>
      <c r="Z1815" t="s">
        <v>96</v>
      </c>
      <c r="AA1815" t="s">
        <v>1252</v>
      </c>
      <c r="AB1815" t="s">
        <v>9977</v>
      </c>
      <c r="AC1815">
        <v>1038</v>
      </c>
      <c r="AD1815">
        <v>567</v>
      </c>
      <c r="AE1815">
        <v>99</v>
      </c>
      <c r="AF1815">
        <v>-183.58</v>
      </c>
      <c r="AG1815">
        <v>-6.5</v>
      </c>
      <c r="AH1815">
        <v>1.54</v>
      </c>
      <c r="AI1815">
        <v>0.01</v>
      </c>
      <c r="AJ1815">
        <v>0.14000000000000001</v>
      </c>
      <c r="AK1815">
        <v>93</v>
      </c>
      <c r="AL1815">
        <v>1138</v>
      </c>
      <c r="AM1815">
        <v>627</v>
      </c>
      <c r="AN1815">
        <v>-3.83</v>
      </c>
      <c r="AO1815">
        <v>0.95</v>
      </c>
      <c r="AP1815">
        <v>1870</v>
      </c>
      <c r="AQ1815">
        <v>14</v>
      </c>
      <c r="AR1815">
        <v>6.99</v>
      </c>
      <c r="AS1815">
        <v>93</v>
      </c>
      <c r="AT1815">
        <v>2.87</v>
      </c>
      <c r="AU1815">
        <v>98</v>
      </c>
      <c r="AV1815">
        <v>-1.1599999999999999</v>
      </c>
      <c r="AW1815">
        <v>99</v>
      </c>
      <c r="AX1815">
        <v>-0.03</v>
      </c>
      <c r="AY1815">
        <v>98</v>
      </c>
      <c r="AZ1815">
        <v>6.37</v>
      </c>
      <c r="BA1815">
        <v>93</v>
      </c>
      <c r="BB1815">
        <v>4.8899999999999997</v>
      </c>
      <c r="BC1815">
        <v>94</v>
      </c>
      <c r="BD1815">
        <v>-7.0000000000000007E-2</v>
      </c>
      <c r="BE1815">
        <v>-0.05</v>
      </c>
      <c r="BF1815">
        <v>0.06</v>
      </c>
      <c r="BG1815">
        <v>98</v>
      </c>
      <c r="BH1815">
        <v>-0.09</v>
      </c>
      <c r="BI1815">
        <v>-7.4</v>
      </c>
      <c r="BJ1815">
        <v>51</v>
      </c>
      <c r="BK1815">
        <v>33</v>
      </c>
      <c r="BL1815">
        <v>-0.96</v>
      </c>
      <c r="BM1815">
        <v>1.85</v>
      </c>
      <c r="BN1815">
        <v>-0.71</v>
      </c>
      <c r="BO1815">
        <v>-1.66</v>
      </c>
      <c r="BP1815">
        <v>-1.52</v>
      </c>
      <c r="BQ1815">
        <v>-0.48</v>
      </c>
      <c r="BR1815">
        <v>0.59</v>
      </c>
      <c r="BS1815">
        <v>-1.26</v>
      </c>
      <c r="BT1815">
        <v>-1.23</v>
      </c>
      <c r="BU1815">
        <v>-0.45</v>
      </c>
      <c r="BV1815">
        <v>-0.71</v>
      </c>
      <c r="BW1815">
        <v>-0.82</v>
      </c>
      <c r="BX1815">
        <v>-0.84</v>
      </c>
      <c r="BY1815">
        <v>-0.53</v>
      </c>
      <c r="BZ1815">
        <v>0.46</v>
      </c>
      <c r="CA1815">
        <v>-1.27</v>
      </c>
      <c r="CB1815">
        <v>-0.84</v>
      </c>
      <c r="CC1815">
        <v>-1.77</v>
      </c>
      <c r="CD1815">
        <v>1.76</v>
      </c>
      <c r="CE1815">
        <v>-0.98</v>
      </c>
      <c r="CF1815">
        <v>-1.21</v>
      </c>
      <c r="CG1815">
        <v>0</v>
      </c>
      <c r="CH1815">
        <v>-0.66</v>
      </c>
      <c r="CI1815">
        <v>0</v>
      </c>
      <c r="CJ1815">
        <v>-2</v>
      </c>
      <c r="CK1815">
        <v>99</v>
      </c>
      <c r="CL1815">
        <v>-0.45</v>
      </c>
      <c r="CM1815">
        <v>99</v>
      </c>
      <c r="CN1815">
        <v>-0.01</v>
      </c>
      <c r="CO1815">
        <v>99</v>
      </c>
      <c r="CP1815">
        <v>2</v>
      </c>
      <c r="CQ1815">
        <v>99</v>
      </c>
      <c r="CR1815">
        <v>0</v>
      </c>
      <c r="CS1815">
        <v>0</v>
      </c>
      <c r="CT1815">
        <v>13.9</v>
      </c>
      <c r="CU1815">
        <v>98</v>
      </c>
      <c r="CV1815">
        <v>0.04</v>
      </c>
      <c r="CW1815">
        <v>47</v>
      </c>
      <c r="CX1815" t="s">
        <v>1406</v>
      </c>
    </row>
    <row r="1816" spans="1:102" x14ac:dyDescent="0.3">
      <c r="A1816" t="str">
        <f>HYPERLINK("https://webapp.icbf.com/v2/app/bull-search/view/675151020","CPJ")</f>
        <v>CPJ</v>
      </c>
      <c r="B1816" t="s">
        <v>12797</v>
      </c>
      <c r="C1816" t="s">
        <v>12798</v>
      </c>
      <c r="D1816" s="1">
        <v>39867</v>
      </c>
      <c r="E1816" t="s">
        <v>108</v>
      </c>
      <c r="F1816">
        <v>19</v>
      </c>
      <c r="G1816" t="s">
        <v>93</v>
      </c>
      <c r="H1816">
        <v>84.25</v>
      </c>
      <c r="I1816">
        <v>94</v>
      </c>
      <c r="J1816">
        <v>0.77</v>
      </c>
      <c r="K1816">
        <v>99</v>
      </c>
      <c r="L1816">
        <v>56.12</v>
      </c>
      <c r="M1816">
        <v>90</v>
      </c>
      <c r="N1816">
        <v>37.130000000000003</v>
      </c>
      <c r="O1816">
        <v>96</v>
      </c>
      <c r="P1816">
        <v>-9.23</v>
      </c>
      <c r="Q1816">
        <v>99</v>
      </c>
      <c r="R1816">
        <v>-18.88</v>
      </c>
      <c r="S1816">
        <v>88</v>
      </c>
      <c r="T1816">
        <v>10.130000000000001</v>
      </c>
      <c r="U1816">
        <v>95</v>
      </c>
      <c r="V1816">
        <v>8.2100000000000009</v>
      </c>
      <c r="W1816">
        <v>85</v>
      </c>
      <c r="X1816" t="s">
        <v>102</v>
      </c>
      <c r="Y1816" t="s">
        <v>319</v>
      </c>
      <c r="Z1816" t="s">
        <v>96</v>
      </c>
      <c r="AA1816" t="s">
        <v>5059</v>
      </c>
      <c r="AB1816" t="s">
        <v>5485</v>
      </c>
      <c r="AC1816">
        <v>465</v>
      </c>
      <c r="AD1816">
        <v>188</v>
      </c>
      <c r="AE1816">
        <v>99</v>
      </c>
      <c r="AF1816">
        <v>-52.4</v>
      </c>
      <c r="AG1816">
        <v>4.32</v>
      </c>
      <c r="AH1816">
        <v>-2.2000000000000002</v>
      </c>
      <c r="AI1816">
        <v>0.11</v>
      </c>
      <c r="AJ1816">
        <v>-0.01</v>
      </c>
      <c r="AK1816">
        <v>90</v>
      </c>
      <c r="AL1816">
        <v>761</v>
      </c>
      <c r="AM1816">
        <v>322</v>
      </c>
      <c r="AN1816">
        <v>-3.47</v>
      </c>
      <c r="AO1816">
        <v>1</v>
      </c>
      <c r="AP1816">
        <v>1344</v>
      </c>
      <c r="AQ1816">
        <v>14</v>
      </c>
      <c r="AR1816">
        <v>5.63</v>
      </c>
      <c r="AS1816">
        <v>94</v>
      </c>
      <c r="AT1816">
        <v>2.27</v>
      </c>
      <c r="AU1816">
        <v>97</v>
      </c>
      <c r="AV1816">
        <v>-2.99</v>
      </c>
      <c r="AW1816">
        <v>99</v>
      </c>
      <c r="AX1816">
        <v>0.67</v>
      </c>
      <c r="AY1816">
        <v>97</v>
      </c>
      <c r="AZ1816">
        <v>5.18</v>
      </c>
      <c r="BA1816">
        <v>89</v>
      </c>
      <c r="BB1816">
        <v>4.58</v>
      </c>
      <c r="BC1816">
        <v>87</v>
      </c>
      <c r="BD1816">
        <v>0.03</v>
      </c>
      <c r="BE1816">
        <v>0.06</v>
      </c>
      <c r="BF1816">
        <v>0.27</v>
      </c>
      <c r="BG1816">
        <v>96</v>
      </c>
      <c r="BH1816">
        <v>0.18</v>
      </c>
      <c r="BI1816">
        <v>-5.65</v>
      </c>
      <c r="BJ1816">
        <v>23</v>
      </c>
      <c r="BK1816">
        <v>15</v>
      </c>
      <c r="BL1816">
        <v>-1.48</v>
      </c>
      <c r="BM1816">
        <v>1.26</v>
      </c>
      <c r="BN1816">
        <v>-0.68</v>
      </c>
      <c r="BO1816">
        <v>-1.07</v>
      </c>
      <c r="BP1816">
        <v>0.44</v>
      </c>
      <c r="BQ1816">
        <v>2.61</v>
      </c>
      <c r="BR1816">
        <v>-0.97</v>
      </c>
      <c r="BS1816">
        <v>-0.4</v>
      </c>
      <c r="BT1816">
        <v>-0.09</v>
      </c>
      <c r="BU1816">
        <v>-1.43</v>
      </c>
      <c r="BV1816">
        <v>0.21</v>
      </c>
      <c r="BW1816">
        <v>-0.36</v>
      </c>
      <c r="BX1816">
        <v>-1.1599999999999999</v>
      </c>
      <c r="BY1816">
        <v>-1.73</v>
      </c>
      <c r="BZ1816">
        <v>-0.67</v>
      </c>
      <c r="CA1816">
        <v>-1.34</v>
      </c>
      <c r="CB1816">
        <v>-0.94</v>
      </c>
      <c r="CC1816">
        <v>-1.26</v>
      </c>
      <c r="CD1816">
        <v>0.93</v>
      </c>
      <c r="CE1816">
        <v>-1.03</v>
      </c>
      <c r="CF1816">
        <v>-0.99</v>
      </c>
      <c r="CG1816">
        <v>0</v>
      </c>
      <c r="CH1816">
        <v>-1.71</v>
      </c>
      <c r="CI1816">
        <v>0</v>
      </c>
      <c r="CJ1816">
        <v>-3.1</v>
      </c>
      <c r="CK1816">
        <v>99</v>
      </c>
      <c r="CL1816">
        <v>-0.49</v>
      </c>
      <c r="CM1816">
        <v>99</v>
      </c>
      <c r="CN1816">
        <v>-0.05</v>
      </c>
      <c r="CO1816">
        <v>99</v>
      </c>
      <c r="CP1816">
        <v>-3.2</v>
      </c>
      <c r="CQ1816">
        <v>97</v>
      </c>
      <c r="CR1816">
        <v>0</v>
      </c>
      <c r="CS1816">
        <v>0</v>
      </c>
      <c r="CT1816">
        <v>0.1</v>
      </c>
      <c r="CU1816">
        <v>95</v>
      </c>
      <c r="CV1816">
        <v>0.14000000000000001</v>
      </c>
      <c r="CW1816">
        <v>46</v>
      </c>
      <c r="CX1816" t="s">
        <v>5486</v>
      </c>
    </row>
    <row r="1817" spans="1:102" x14ac:dyDescent="0.3">
      <c r="A1817" t="str">
        <f>HYPERLINK("https://webapp.icbf.com/v2/app/bull-search/view/565191623","BXY")</f>
        <v>BXY</v>
      </c>
      <c r="B1817" t="s">
        <v>12520</v>
      </c>
      <c r="C1817" t="s">
        <v>12521</v>
      </c>
      <c r="D1817" s="1">
        <v>39502</v>
      </c>
      <c r="E1817" t="s">
        <v>92</v>
      </c>
      <c r="F1817">
        <v>97</v>
      </c>
      <c r="G1817" t="s">
        <v>93</v>
      </c>
      <c r="H1817">
        <v>84.21</v>
      </c>
      <c r="I1817">
        <v>88</v>
      </c>
      <c r="J1817">
        <v>34.840000000000003</v>
      </c>
      <c r="K1817">
        <v>97</v>
      </c>
      <c r="L1817">
        <v>12.68</v>
      </c>
      <c r="M1817">
        <v>82</v>
      </c>
      <c r="N1817">
        <v>38.950000000000003</v>
      </c>
      <c r="O1817">
        <v>87</v>
      </c>
      <c r="P1817">
        <v>-5.93</v>
      </c>
      <c r="Q1817">
        <v>93</v>
      </c>
      <c r="R1817">
        <v>-2.61</v>
      </c>
      <c r="S1817">
        <v>82</v>
      </c>
      <c r="T1817">
        <v>8.1300000000000008</v>
      </c>
      <c r="U1817">
        <v>85</v>
      </c>
      <c r="V1817">
        <v>-1.85</v>
      </c>
      <c r="W1817">
        <v>79</v>
      </c>
      <c r="X1817" t="s">
        <v>94</v>
      </c>
      <c r="Y1817" t="s">
        <v>241</v>
      </c>
      <c r="Z1817" t="s">
        <v>96</v>
      </c>
      <c r="AA1817" t="s">
        <v>204</v>
      </c>
      <c r="AB1817" t="s">
        <v>12522</v>
      </c>
      <c r="AC1817">
        <v>98</v>
      </c>
      <c r="AD1817">
        <v>70</v>
      </c>
      <c r="AE1817">
        <v>97</v>
      </c>
      <c r="AF1817">
        <v>73.84</v>
      </c>
      <c r="AG1817">
        <v>8.07</v>
      </c>
      <c r="AH1817">
        <v>4.2</v>
      </c>
      <c r="AI1817">
        <v>0.09</v>
      </c>
      <c r="AJ1817">
        <v>0.03</v>
      </c>
      <c r="AK1817">
        <v>82</v>
      </c>
      <c r="AL1817">
        <v>92</v>
      </c>
      <c r="AM1817">
        <v>67</v>
      </c>
      <c r="AN1817">
        <v>-0.01</v>
      </c>
      <c r="AO1817">
        <v>1.01</v>
      </c>
      <c r="AP1817">
        <v>214</v>
      </c>
      <c r="AQ1817">
        <v>1</v>
      </c>
      <c r="AR1817">
        <v>5.55</v>
      </c>
      <c r="AS1817">
        <v>76</v>
      </c>
      <c r="AT1817">
        <v>2.09</v>
      </c>
      <c r="AU1817">
        <v>89</v>
      </c>
      <c r="AV1817">
        <v>-3.46</v>
      </c>
      <c r="AW1817">
        <v>96</v>
      </c>
      <c r="AX1817">
        <v>-0.17</v>
      </c>
      <c r="AY1817">
        <v>81</v>
      </c>
      <c r="AZ1817">
        <v>6.57</v>
      </c>
      <c r="BA1817">
        <v>69</v>
      </c>
      <c r="BB1817">
        <v>5.28</v>
      </c>
      <c r="BC1817">
        <v>70</v>
      </c>
      <c r="BD1817">
        <v>-0.03</v>
      </c>
      <c r="BE1817">
        <v>0</v>
      </c>
      <c r="BF1817">
        <v>0.11</v>
      </c>
      <c r="BG1817">
        <v>90</v>
      </c>
      <c r="BH1817">
        <v>-0.15</v>
      </c>
      <c r="BI1817">
        <v>-11.39</v>
      </c>
      <c r="BJ1817">
        <v>19</v>
      </c>
      <c r="BK1817">
        <v>10</v>
      </c>
      <c r="BL1817">
        <v>0.4</v>
      </c>
      <c r="BM1817">
        <v>-0.61</v>
      </c>
      <c r="BN1817">
        <v>-0.55000000000000004</v>
      </c>
      <c r="BO1817">
        <v>-0.11</v>
      </c>
      <c r="BP1817">
        <v>1.47</v>
      </c>
      <c r="BQ1817">
        <v>-0.61</v>
      </c>
      <c r="BR1817">
        <v>-0.13</v>
      </c>
      <c r="BS1817">
        <v>-0.09</v>
      </c>
      <c r="BT1817">
        <v>-0.74</v>
      </c>
      <c r="BU1817">
        <v>-0.25</v>
      </c>
      <c r="BV1817">
        <v>0.67</v>
      </c>
      <c r="BW1817">
        <v>-0.33</v>
      </c>
      <c r="BX1817">
        <v>-0.26</v>
      </c>
      <c r="BY1817">
        <v>-0.52</v>
      </c>
      <c r="BZ1817">
        <v>1.0900000000000001</v>
      </c>
      <c r="CA1817">
        <v>-0.4</v>
      </c>
      <c r="CB1817">
        <v>-0.56999999999999995</v>
      </c>
      <c r="CC1817">
        <v>0.05</v>
      </c>
      <c r="CD1817">
        <v>-0.65</v>
      </c>
      <c r="CE1817">
        <v>0.17</v>
      </c>
      <c r="CF1817">
        <v>-0.39</v>
      </c>
      <c r="CG1817">
        <v>0</v>
      </c>
      <c r="CH1817">
        <v>-1.22</v>
      </c>
      <c r="CI1817">
        <v>0</v>
      </c>
      <c r="CJ1817">
        <v>1.1000000000000001</v>
      </c>
      <c r="CK1817">
        <v>94</v>
      </c>
      <c r="CL1817">
        <v>-0.8</v>
      </c>
      <c r="CM1817">
        <v>93</v>
      </c>
      <c r="CN1817">
        <v>-0.11</v>
      </c>
      <c r="CO1817">
        <v>92</v>
      </c>
      <c r="CP1817">
        <v>-3.2</v>
      </c>
      <c r="CQ1817">
        <v>88</v>
      </c>
      <c r="CR1817">
        <v>0</v>
      </c>
      <c r="CS1817">
        <v>0</v>
      </c>
      <c r="CT1817">
        <v>2.8</v>
      </c>
      <c r="CU1817">
        <v>85</v>
      </c>
      <c r="CV1817">
        <v>0.24</v>
      </c>
      <c r="CW1817">
        <v>47</v>
      </c>
      <c r="CX1817" t="s">
        <v>4996</v>
      </c>
    </row>
    <row r="1818" spans="1:102" x14ac:dyDescent="0.3">
      <c r="A1818" t="str">
        <f>HYPERLINK("https://webapp.icbf.com/v2/app/bull-search/view/69092317","NSD")</f>
        <v>NSD</v>
      </c>
      <c r="B1818" t="s">
        <v>3286</v>
      </c>
      <c r="C1818" t="s">
        <v>3287</v>
      </c>
      <c r="D1818" s="1">
        <v>33547</v>
      </c>
      <c r="E1818" t="s">
        <v>227</v>
      </c>
      <c r="F1818">
        <v>0</v>
      </c>
      <c r="G1818" t="s">
        <v>109</v>
      </c>
      <c r="H1818">
        <v>84.14</v>
      </c>
      <c r="I1818">
        <v>44</v>
      </c>
      <c r="J1818">
        <v>21.6</v>
      </c>
      <c r="K1818">
        <v>70</v>
      </c>
      <c r="L1818">
        <v>40.950000000000003</v>
      </c>
      <c r="M1818">
        <v>37</v>
      </c>
      <c r="N1818">
        <v>19.940000000000001</v>
      </c>
      <c r="O1818">
        <v>21</v>
      </c>
      <c r="P1818">
        <v>-76.05</v>
      </c>
      <c r="Q1818">
        <v>36</v>
      </c>
      <c r="R1818">
        <v>-1.8</v>
      </c>
      <c r="S1818">
        <v>26</v>
      </c>
      <c r="T1818">
        <v>83.31</v>
      </c>
      <c r="U1818">
        <v>27</v>
      </c>
      <c r="V1818">
        <v>-3.81</v>
      </c>
      <c r="W1818">
        <v>12</v>
      </c>
      <c r="X1818" t="s">
        <v>302</v>
      </c>
      <c r="Y1818" t="s">
        <v>95</v>
      </c>
      <c r="Z1818">
        <v>0</v>
      </c>
      <c r="AA1818" t="s">
        <v>3288</v>
      </c>
      <c r="AB1818" t="s">
        <v>3289</v>
      </c>
      <c r="AC1818">
        <v>0</v>
      </c>
      <c r="AD1818">
        <v>0</v>
      </c>
      <c r="AE1818">
        <v>70</v>
      </c>
      <c r="AF1818">
        <v>-49.13</v>
      </c>
      <c r="AG1818">
        <v>9.19</v>
      </c>
      <c r="AH1818">
        <v>-0.33</v>
      </c>
      <c r="AI1818">
        <v>0.19</v>
      </c>
      <c r="AJ1818">
        <v>0.02</v>
      </c>
      <c r="AK1818">
        <v>37</v>
      </c>
      <c r="AL1818">
        <v>0</v>
      </c>
      <c r="AM1818">
        <v>0</v>
      </c>
      <c r="AN1818">
        <v>-1.87</v>
      </c>
      <c r="AO1818">
        <v>1.4</v>
      </c>
      <c r="AP1818">
        <v>1</v>
      </c>
      <c r="AQ1818">
        <v>0</v>
      </c>
      <c r="AR1818">
        <v>2.78</v>
      </c>
      <c r="AS1818">
        <v>11</v>
      </c>
      <c r="AT1818">
        <v>1.67</v>
      </c>
      <c r="AU1818">
        <v>17</v>
      </c>
      <c r="AV1818">
        <v>-0.94</v>
      </c>
      <c r="AW1818">
        <v>26</v>
      </c>
      <c r="AX1818">
        <v>0.73</v>
      </c>
      <c r="AY1818">
        <v>31</v>
      </c>
      <c r="AZ1818">
        <v>7.67</v>
      </c>
      <c r="BA1818">
        <v>10</v>
      </c>
      <c r="BB1818">
        <v>5.69</v>
      </c>
      <c r="BC1818">
        <v>14</v>
      </c>
      <c r="BD1818">
        <v>-0.04</v>
      </c>
      <c r="BE1818">
        <v>0.02</v>
      </c>
      <c r="BF1818">
        <v>7.0000000000000007E-2</v>
      </c>
      <c r="BG1818">
        <v>32</v>
      </c>
      <c r="BH1818">
        <v>-0.14000000000000001</v>
      </c>
      <c r="BI1818">
        <v>-3.92</v>
      </c>
      <c r="BJ1818">
        <v>0</v>
      </c>
      <c r="BK1818">
        <v>0</v>
      </c>
      <c r="BL1818">
        <v>-1.1200000000000001</v>
      </c>
      <c r="BM1818">
        <v>-1.52</v>
      </c>
      <c r="BN1818">
        <v>-0.1</v>
      </c>
      <c r="BO1818">
        <v>1.51</v>
      </c>
      <c r="BP1818">
        <v>-0.45</v>
      </c>
      <c r="BQ1818">
        <v>-4.4800000000000004</v>
      </c>
      <c r="BR1818">
        <v>2.1</v>
      </c>
      <c r="BS1818">
        <v>6.64</v>
      </c>
      <c r="BT1818">
        <v>-1.1299999999999999</v>
      </c>
      <c r="BU1818">
        <v>0.82</v>
      </c>
      <c r="BV1818">
        <v>0.99</v>
      </c>
      <c r="BW1818">
        <v>-1.36</v>
      </c>
      <c r="BX1818">
        <v>-2.2200000000000002</v>
      </c>
      <c r="BY1818">
        <v>0.18</v>
      </c>
      <c r="BZ1818">
        <v>0.64</v>
      </c>
      <c r="CA1818">
        <v>2.4900000000000002</v>
      </c>
      <c r="CB1818">
        <v>1.0900000000000001</v>
      </c>
      <c r="CC1818">
        <v>4.2300000000000004</v>
      </c>
      <c r="CD1818">
        <v>-1.97</v>
      </c>
      <c r="CE1818">
        <v>1.52</v>
      </c>
      <c r="CF1818">
        <v>-0.68</v>
      </c>
      <c r="CG1818">
        <v>0</v>
      </c>
      <c r="CH1818">
        <v>-0.47</v>
      </c>
      <c r="CI1818">
        <v>0</v>
      </c>
      <c r="CJ1818">
        <v>-40.299999999999997</v>
      </c>
      <c r="CK1818">
        <v>38</v>
      </c>
      <c r="CL1818">
        <v>-1.33</v>
      </c>
      <c r="CM1818">
        <v>34</v>
      </c>
      <c r="CN1818">
        <v>-0.26</v>
      </c>
      <c r="CO1818">
        <v>29</v>
      </c>
      <c r="CP1818">
        <v>-65</v>
      </c>
      <c r="CQ1818">
        <v>41</v>
      </c>
      <c r="CR1818">
        <v>0</v>
      </c>
      <c r="CS1818">
        <v>0</v>
      </c>
      <c r="CT1818">
        <v>-98.8</v>
      </c>
      <c r="CU1818">
        <v>27</v>
      </c>
      <c r="CV1818">
        <v>-0.43</v>
      </c>
      <c r="CW1818">
        <v>9</v>
      </c>
      <c r="CX1818" t="s">
        <v>790</v>
      </c>
    </row>
    <row r="1819" spans="1:102" x14ac:dyDescent="0.3">
      <c r="A1819" t="str">
        <f>HYPERLINK("https://webapp.icbf.com/v2/app/bull-search/view/69092629","S250")</f>
        <v>S250</v>
      </c>
      <c r="B1819" t="s">
        <v>144</v>
      </c>
      <c r="C1819" t="s">
        <v>544</v>
      </c>
      <c r="D1819" s="1">
        <v>34153</v>
      </c>
      <c r="E1819" t="s">
        <v>146</v>
      </c>
      <c r="F1819">
        <v>0</v>
      </c>
      <c r="G1819" t="s">
        <v>93</v>
      </c>
      <c r="H1819">
        <v>84.11</v>
      </c>
      <c r="I1819">
        <v>44</v>
      </c>
      <c r="J1819">
        <v>-40.25</v>
      </c>
      <c r="K1819">
        <v>63</v>
      </c>
      <c r="L1819">
        <v>62.94</v>
      </c>
      <c r="M1819">
        <v>27</v>
      </c>
      <c r="N1819">
        <v>36.24</v>
      </c>
      <c r="O1819">
        <v>29</v>
      </c>
      <c r="P1819">
        <v>39.31</v>
      </c>
      <c r="Q1819">
        <v>69</v>
      </c>
      <c r="R1819">
        <v>-2.23</v>
      </c>
      <c r="S1819">
        <v>16</v>
      </c>
      <c r="T1819">
        <v>-7.19</v>
      </c>
      <c r="U1819">
        <v>61</v>
      </c>
      <c r="V1819">
        <v>-4.71</v>
      </c>
      <c r="W1819">
        <v>11</v>
      </c>
      <c r="X1819" t="s">
        <v>110</v>
      </c>
      <c r="Y1819" t="s">
        <v>545</v>
      </c>
      <c r="Z1819">
        <v>0</v>
      </c>
      <c r="AA1819" t="s">
        <v>546</v>
      </c>
      <c r="AB1819" t="s">
        <v>547</v>
      </c>
      <c r="AC1819">
        <v>12</v>
      </c>
      <c r="AD1819">
        <v>1</v>
      </c>
      <c r="AE1819">
        <v>63</v>
      </c>
      <c r="AF1819">
        <v>-193.74</v>
      </c>
      <c r="AG1819">
        <v>-6.22</v>
      </c>
      <c r="AH1819">
        <v>-7.61</v>
      </c>
      <c r="AI1819">
        <v>0.02</v>
      </c>
      <c r="AJ1819">
        <v>-0.02</v>
      </c>
      <c r="AK1819">
        <v>27</v>
      </c>
      <c r="AL1819">
        <v>12</v>
      </c>
      <c r="AM1819">
        <v>1</v>
      </c>
      <c r="AN1819">
        <v>-2.59</v>
      </c>
      <c r="AO1819">
        <v>2.44</v>
      </c>
      <c r="AP1819">
        <v>11</v>
      </c>
      <c r="AQ1819">
        <v>0</v>
      </c>
      <c r="AR1819">
        <v>4.2</v>
      </c>
      <c r="AS1819">
        <v>31</v>
      </c>
      <c r="AT1819">
        <v>1.74</v>
      </c>
      <c r="AU1819">
        <v>33</v>
      </c>
      <c r="AV1819">
        <v>-1.83</v>
      </c>
      <c r="AW1819">
        <v>28</v>
      </c>
      <c r="AX1819">
        <v>-0.26</v>
      </c>
      <c r="AY1819">
        <v>42</v>
      </c>
      <c r="AZ1819">
        <v>5.58</v>
      </c>
      <c r="BA1819">
        <v>19</v>
      </c>
      <c r="BB1819">
        <v>4.4800000000000004</v>
      </c>
      <c r="BC1819">
        <v>16</v>
      </c>
      <c r="BD1819">
        <v>-0.01</v>
      </c>
      <c r="BE1819">
        <v>0.02</v>
      </c>
      <c r="BF1819">
        <v>0.03</v>
      </c>
      <c r="BG1819">
        <v>17</v>
      </c>
      <c r="BH1819">
        <v>-0.1</v>
      </c>
      <c r="BI1819">
        <v>3.64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13.9</v>
      </c>
      <c r="CK1819">
        <v>72</v>
      </c>
      <c r="CL1819">
        <v>1.32</v>
      </c>
      <c r="CM1819">
        <v>67</v>
      </c>
      <c r="CN1819">
        <v>-0.37</v>
      </c>
      <c r="CO1819">
        <v>63</v>
      </c>
      <c r="CP1819">
        <v>14.5</v>
      </c>
      <c r="CQ1819">
        <v>63</v>
      </c>
      <c r="CR1819">
        <v>0</v>
      </c>
      <c r="CS1819">
        <v>0</v>
      </c>
      <c r="CT1819">
        <v>23.5</v>
      </c>
      <c r="CU1819">
        <v>61</v>
      </c>
      <c r="CV1819">
        <v>-0.28999999999999998</v>
      </c>
      <c r="CW1819">
        <v>19</v>
      </c>
      <c r="CX1819" t="s">
        <v>548</v>
      </c>
    </row>
    <row r="1820" spans="1:102" x14ac:dyDescent="0.3">
      <c r="A1820" t="str">
        <f>HYPERLINK("https://webapp.icbf.com/v2/app/bull-search/view/1057108670","S2151")</f>
        <v>S2151</v>
      </c>
      <c r="B1820" t="s">
        <v>9224</v>
      </c>
      <c r="C1820" t="s">
        <v>9225</v>
      </c>
      <c r="D1820" s="1">
        <v>40480</v>
      </c>
      <c r="E1820" t="s">
        <v>92</v>
      </c>
      <c r="F1820">
        <v>91</v>
      </c>
      <c r="G1820" t="s">
        <v>109</v>
      </c>
      <c r="H1820">
        <v>84.1</v>
      </c>
      <c r="I1820">
        <v>69</v>
      </c>
      <c r="J1820">
        <v>70.48</v>
      </c>
      <c r="K1820">
        <v>77</v>
      </c>
      <c r="L1820">
        <v>-2.68</v>
      </c>
      <c r="M1820">
        <v>66</v>
      </c>
      <c r="N1820">
        <v>7.77</v>
      </c>
      <c r="O1820">
        <v>71</v>
      </c>
      <c r="P1820">
        <v>1.98</v>
      </c>
      <c r="Q1820">
        <v>78</v>
      </c>
      <c r="R1820">
        <v>6.35</v>
      </c>
      <c r="S1820">
        <v>62</v>
      </c>
      <c r="T1820">
        <v>-6.82</v>
      </c>
      <c r="U1820">
        <v>60</v>
      </c>
      <c r="V1820">
        <v>7.02</v>
      </c>
      <c r="W1820">
        <v>25</v>
      </c>
      <c r="X1820" t="s">
        <v>234</v>
      </c>
      <c r="Y1820" t="s">
        <v>367</v>
      </c>
      <c r="Z1820" t="s">
        <v>330</v>
      </c>
      <c r="AA1820" t="s">
        <v>3020</v>
      </c>
      <c r="AB1820" t="s">
        <v>9226</v>
      </c>
      <c r="AC1820">
        <v>0</v>
      </c>
      <c r="AD1820">
        <v>0</v>
      </c>
      <c r="AE1820">
        <v>77</v>
      </c>
      <c r="AF1820">
        <v>339.26</v>
      </c>
      <c r="AG1820">
        <v>11.84</v>
      </c>
      <c r="AH1820">
        <v>12.99</v>
      </c>
      <c r="AI1820">
        <v>-0.02</v>
      </c>
      <c r="AJ1820">
        <v>0.02</v>
      </c>
      <c r="AK1820">
        <v>66</v>
      </c>
      <c r="AL1820">
        <v>0</v>
      </c>
      <c r="AM1820">
        <v>0</v>
      </c>
      <c r="AN1820">
        <v>0.41</v>
      </c>
      <c r="AO1820">
        <v>0.2</v>
      </c>
      <c r="AP1820">
        <v>50</v>
      </c>
      <c r="AQ1820">
        <v>1</v>
      </c>
      <c r="AR1820">
        <v>7.77</v>
      </c>
      <c r="AS1820">
        <v>47</v>
      </c>
      <c r="AT1820">
        <v>3.24</v>
      </c>
      <c r="AU1820">
        <v>82</v>
      </c>
      <c r="AV1820">
        <v>-1.72</v>
      </c>
      <c r="AW1820">
        <v>88</v>
      </c>
      <c r="AX1820">
        <v>0.15</v>
      </c>
      <c r="AY1820">
        <v>56</v>
      </c>
      <c r="AZ1820">
        <v>7.42</v>
      </c>
      <c r="BA1820">
        <v>39</v>
      </c>
      <c r="BB1820">
        <v>5.49</v>
      </c>
      <c r="BC1820">
        <v>31</v>
      </c>
      <c r="BD1820">
        <v>-0.03</v>
      </c>
      <c r="BE1820">
        <v>-0.04</v>
      </c>
      <c r="BF1820">
        <v>-0.02</v>
      </c>
      <c r="BG1820">
        <v>82</v>
      </c>
      <c r="BH1820">
        <v>0.03</v>
      </c>
      <c r="BI1820">
        <v>-19.190000000000001</v>
      </c>
      <c r="BJ1820">
        <v>0</v>
      </c>
      <c r="BK1820">
        <v>0</v>
      </c>
      <c r="BL1820">
        <v>0.08</v>
      </c>
      <c r="BM1820">
        <v>-0.61</v>
      </c>
      <c r="BN1820">
        <v>-0.1</v>
      </c>
      <c r="BO1820">
        <v>0.8</v>
      </c>
      <c r="BP1820">
        <v>1.8</v>
      </c>
      <c r="BQ1820">
        <v>-0.37</v>
      </c>
      <c r="BR1820">
        <v>1.0900000000000001</v>
      </c>
      <c r="BS1820">
        <v>1.38</v>
      </c>
      <c r="BT1820">
        <v>0.31</v>
      </c>
      <c r="BU1820">
        <v>0.3</v>
      </c>
      <c r="BV1820">
        <v>0.17</v>
      </c>
      <c r="BW1820">
        <v>-0.81</v>
      </c>
      <c r="BX1820">
        <v>-0.98</v>
      </c>
      <c r="BY1820">
        <v>-0.5</v>
      </c>
      <c r="BZ1820">
        <v>-2.44</v>
      </c>
      <c r="CA1820">
        <v>0.54</v>
      </c>
      <c r="CB1820">
        <v>0.04</v>
      </c>
      <c r="CC1820">
        <v>1.37</v>
      </c>
      <c r="CD1820">
        <v>-0.41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2.7</v>
      </c>
      <c r="CK1820">
        <v>82</v>
      </c>
      <c r="CL1820">
        <v>-0.67</v>
      </c>
      <c r="CM1820">
        <v>77</v>
      </c>
      <c r="CN1820">
        <v>-0.35</v>
      </c>
      <c r="CO1820">
        <v>75</v>
      </c>
      <c r="CP1820">
        <v>7.1</v>
      </c>
      <c r="CQ1820">
        <v>56</v>
      </c>
      <c r="CR1820">
        <v>0</v>
      </c>
      <c r="CS1820">
        <v>0</v>
      </c>
      <c r="CT1820">
        <v>23</v>
      </c>
      <c r="CU1820">
        <v>60</v>
      </c>
      <c r="CV1820">
        <v>0.22</v>
      </c>
      <c r="CW1820">
        <v>23</v>
      </c>
      <c r="CX1820" t="s">
        <v>1752</v>
      </c>
    </row>
    <row r="1821" spans="1:102" x14ac:dyDescent="0.3">
      <c r="A1821" t="str">
        <f>HYPERLINK("https://webapp.icbf.com/v2/app/bull-search/view/1125355318","S1681")</f>
        <v>S1681</v>
      </c>
      <c r="B1821" t="s">
        <v>13320</v>
      </c>
      <c r="C1821" t="s">
        <v>13321</v>
      </c>
      <c r="D1821" s="1">
        <v>40903</v>
      </c>
      <c r="E1821" t="s">
        <v>92</v>
      </c>
      <c r="F1821">
        <v>100</v>
      </c>
      <c r="G1821" t="s">
        <v>109</v>
      </c>
      <c r="H1821">
        <v>84</v>
      </c>
      <c r="I1821">
        <v>53</v>
      </c>
      <c r="J1821">
        <v>63.28</v>
      </c>
      <c r="K1821">
        <v>70</v>
      </c>
      <c r="L1821">
        <v>-4.16</v>
      </c>
      <c r="M1821">
        <v>62</v>
      </c>
      <c r="N1821">
        <v>25.5</v>
      </c>
      <c r="O1821">
        <v>35</v>
      </c>
      <c r="P1821">
        <v>0.12</v>
      </c>
      <c r="Q1821">
        <v>30</v>
      </c>
      <c r="R1821">
        <v>-0.2</v>
      </c>
      <c r="S1821">
        <v>46</v>
      </c>
      <c r="T1821">
        <v>0.8</v>
      </c>
      <c r="U1821">
        <v>22</v>
      </c>
      <c r="V1821">
        <v>-1.34</v>
      </c>
      <c r="W1821">
        <v>10</v>
      </c>
      <c r="X1821" t="s">
        <v>276</v>
      </c>
      <c r="Y1821" t="s">
        <v>362</v>
      </c>
      <c r="Z1821" t="s">
        <v>96</v>
      </c>
      <c r="AA1821" t="s">
        <v>2423</v>
      </c>
      <c r="AB1821" t="s">
        <v>13322</v>
      </c>
      <c r="AC1821">
        <v>0</v>
      </c>
      <c r="AD1821">
        <v>0</v>
      </c>
      <c r="AE1821">
        <v>70</v>
      </c>
      <c r="AF1821">
        <v>591.42999999999995</v>
      </c>
      <c r="AG1821">
        <v>13.95</v>
      </c>
      <c r="AH1821">
        <v>14.88</v>
      </c>
      <c r="AI1821">
        <v>-0.14000000000000001</v>
      </c>
      <c r="AJ1821">
        <v>-0.08</v>
      </c>
      <c r="AK1821">
        <v>62</v>
      </c>
      <c r="AL1821">
        <v>0</v>
      </c>
      <c r="AM1821">
        <v>0</v>
      </c>
      <c r="AN1821">
        <v>1.89</v>
      </c>
      <c r="AO1821">
        <v>1.58</v>
      </c>
      <c r="AP1821">
        <v>6</v>
      </c>
      <c r="AQ1821">
        <v>0</v>
      </c>
      <c r="AR1821">
        <v>8.49</v>
      </c>
      <c r="AS1821">
        <v>33</v>
      </c>
      <c r="AT1821">
        <v>3.61</v>
      </c>
      <c r="AU1821">
        <v>71</v>
      </c>
      <c r="AV1821">
        <v>-3.37</v>
      </c>
      <c r="AW1821">
        <v>25</v>
      </c>
      <c r="AX1821">
        <v>-0.84</v>
      </c>
      <c r="AY1821">
        <v>29</v>
      </c>
      <c r="AZ1821">
        <v>5.52</v>
      </c>
      <c r="BA1821">
        <v>15</v>
      </c>
      <c r="BB1821">
        <v>4.53</v>
      </c>
      <c r="BC1821">
        <v>9</v>
      </c>
      <c r="BD1821">
        <v>0.01</v>
      </c>
      <c r="BE1821">
        <v>0.02</v>
      </c>
      <c r="BF1821">
        <v>-0.05</v>
      </c>
      <c r="BG1821">
        <v>73</v>
      </c>
      <c r="BH1821">
        <v>-0.06</v>
      </c>
      <c r="BI1821">
        <v>-2.63</v>
      </c>
      <c r="BJ1821">
        <v>0</v>
      </c>
      <c r="BK1821">
        <v>0</v>
      </c>
      <c r="BL1821">
        <v>0.81</v>
      </c>
      <c r="BM1821">
        <v>0.02</v>
      </c>
      <c r="BN1821">
        <v>0.66</v>
      </c>
      <c r="BO1821">
        <v>1.04</v>
      </c>
      <c r="BP1821">
        <v>-1.06</v>
      </c>
      <c r="BQ1821">
        <v>1.99</v>
      </c>
      <c r="BR1821">
        <v>1.54</v>
      </c>
      <c r="BS1821">
        <v>0.5</v>
      </c>
      <c r="BT1821">
        <v>-1.01</v>
      </c>
      <c r="BU1821">
        <v>1.8</v>
      </c>
      <c r="BV1821">
        <v>2.02</v>
      </c>
      <c r="BW1821">
        <v>1.87</v>
      </c>
      <c r="BX1821">
        <v>1.25</v>
      </c>
      <c r="BY1821">
        <v>2.6</v>
      </c>
      <c r="BZ1821">
        <v>-2.79</v>
      </c>
      <c r="CA1821">
        <v>1.92</v>
      </c>
      <c r="CB1821">
        <v>2.14</v>
      </c>
      <c r="CC1821">
        <v>0.73</v>
      </c>
      <c r="CD1821">
        <v>-0.74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2.2999999999999998</v>
      </c>
      <c r="CK1821">
        <v>32</v>
      </c>
      <c r="CL1821">
        <v>-0.9</v>
      </c>
      <c r="CM1821">
        <v>29</v>
      </c>
      <c r="CN1821">
        <v>-0.53</v>
      </c>
      <c r="CO1821">
        <v>24</v>
      </c>
      <c r="CP1821">
        <v>0.2</v>
      </c>
      <c r="CQ1821">
        <v>34</v>
      </c>
      <c r="CR1821">
        <v>0</v>
      </c>
      <c r="CS1821">
        <v>0</v>
      </c>
      <c r="CT1821">
        <v>12.7</v>
      </c>
      <c r="CU1821">
        <v>22</v>
      </c>
      <c r="CV1821">
        <v>0.32</v>
      </c>
      <c r="CW1821">
        <v>8</v>
      </c>
      <c r="CX1821" t="s">
        <v>1962</v>
      </c>
    </row>
    <row r="1822" spans="1:102" x14ac:dyDescent="0.3">
      <c r="A1822" t="str">
        <f>HYPERLINK("https://webapp.icbf.com/v2/app/bull-search/view/720496002","S1448")</f>
        <v>S1448</v>
      </c>
      <c r="B1822" t="s">
        <v>1912</v>
      </c>
      <c r="C1822" t="s">
        <v>1913</v>
      </c>
      <c r="D1822" s="1">
        <v>38958</v>
      </c>
      <c r="E1822" t="s">
        <v>227</v>
      </c>
      <c r="F1822">
        <v>0</v>
      </c>
      <c r="G1822" t="s">
        <v>109</v>
      </c>
      <c r="H1822">
        <v>83.98</v>
      </c>
      <c r="I1822">
        <v>75</v>
      </c>
      <c r="J1822">
        <v>29.22</v>
      </c>
      <c r="K1822">
        <v>88</v>
      </c>
      <c r="L1822">
        <v>3.79</v>
      </c>
      <c r="M1822">
        <v>84</v>
      </c>
      <c r="N1822">
        <v>27.11</v>
      </c>
      <c r="O1822">
        <v>58</v>
      </c>
      <c r="P1822">
        <v>-53.58</v>
      </c>
      <c r="Q1822">
        <v>48</v>
      </c>
      <c r="R1822">
        <v>6.19</v>
      </c>
      <c r="S1822">
        <v>65</v>
      </c>
      <c r="T1822">
        <v>68.59</v>
      </c>
      <c r="U1822">
        <v>40</v>
      </c>
      <c r="V1822">
        <v>2.66</v>
      </c>
      <c r="W1822">
        <v>58</v>
      </c>
      <c r="X1822" t="s">
        <v>94</v>
      </c>
      <c r="Y1822" t="s">
        <v>342</v>
      </c>
      <c r="Z1822">
        <v>0</v>
      </c>
      <c r="AA1822" t="s">
        <v>1914</v>
      </c>
      <c r="AB1822" t="s">
        <v>1915</v>
      </c>
      <c r="AC1822">
        <v>0</v>
      </c>
      <c r="AD1822">
        <v>0</v>
      </c>
      <c r="AE1822">
        <v>88</v>
      </c>
      <c r="AF1822">
        <v>-209.72</v>
      </c>
      <c r="AG1822">
        <v>9.44</v>
      </c>
      <c r="AH1822">
        <v>-1.58</v>
      </c>
      <c r="AI1822">
        <v>0.32</v>
      </c>
      <c r="AJ1822">
        <v>0.1</v>
      </c>
      <c r="AK1822">
        <v>84</v>
      </c>
      <c r="AL1822">
        <v>0</v>
      </c>
      <c r="AM1822">
        <v>0</v>
      </c>
      <c r="AN1822">
        <v>1.19</v>
      </c>
      <c r="AO1822">
        <v>1.51</v>
      </c>
      <c r="AP1822">
        <v>7</v>
      </c>
      <c r="AQ1822">
        <v>0</v>
      </c>
      <c r="AR1822">
        <v>2.84</v>
      </c>
      <c r="AS1822">
        <v>54</v>
      </c>
      <c r="AT1822">
        <v>1.92</v>
      </c>
      <c r="AU1822">
        <v>55</v>
      </c>
      <c r="AV1822">
        <v>-1.89</v>
      </c>
      <c r="AW1822">
        <v>68</v>
      </c>
      <c r="AX1822">
        <v>0.74</v>
      </c>
      <c r="AY1822">
        <v>49</v>
      </c>
      <c r="AZ1822">
        <v>7.64</v>
      </c>
      <c r="BA1822">
        <v>44</v>
      </c>
      <c r="BB1822">
        <v>5.52</v>
      </c>
      <c r="BC1822">
        <v>42</v>
      </c>
      <c r="BD1822">
        <v>-0.08</v>
      </c>
      <c r="BE1822">
        <v>-0.01</v>
      </c>
      <c r="BF1822">
        <v>0.01</v>
      </c>
      <c r="BG1822">
        <v>72</v>
      </c>
      <c r="BH1822">
        <v>-0.01</v>
      </c>
      <c r="BI1822">
        <v>-9.75</v>
      </c>
      <c r="BJ1822">
        <v>0</v>
      </c>
      <c r="BK1822">
        <v>0</v>
      </c>
      <c r="BL1822">
        <v>-0.53</v>
      </c>
      <c r="BM1822">
        <v>-1.98</v>
      </c>
      <c r="BN1822">
        <v>-0.14000000000000001</v>
      </c>
      <c r="BO1822">
        <v>1.86</v>
      </c>
      <c r="BP1822">
        <v>-1.06</v>
      </c>
      <c r="BQ1822">
        <v>-3.81</v>
      </c>
      <c r="BR1822">
        <v>1.61</v>
      </c>
      <c r="BS1822">
        <v>6.56</v>
      </c>
      <c r="BT1822">
        <v>-0.9</v>
      </c>
      <c r="BU1822">
        <v>1.28</v>
      </c>
      <c r="BV1822">
        <v>1.33</v>
      </c>
      <c r="BW1822">
        <v>-1.21</v>
      </c>
      <c r="BX1822">
        <v>-2.02</v>
      </c>
      <c r="BY1822">
        <v>-0.1</v>
      </c>
      <c r="BZ1822">
        <v>1.07</v>
      </c>
      <c r="CA1822">
        <v>2.78</v>
      </c>
      <c r="CB1822">
        <v>1.34</v>
      </c>
      <c r="CC1822">
        <v>4.43</v>
      </c>
      <c r="CD1822">
        <v>-2.4500000000000002</v>
      </c>
      <c r="CE1822">
        <v>1.65</v>
      </c>
      <c r="CF1822">
        <v>-0.17</v>
      </c>
      <c r="CG1822">
        <v>0</v>
      </c>
      <c r="CH1822">
        <v>-0.24</v>
      </c>
      <c r="CI1822">
        <v>0</v>
      </c>
      <c r="CJ1822">
        <v>-27.5</v>
      </c>
      <c r="CK1822">
        <v>49</v>
      </c>
      <c r="CL1822">
        <v>-1.21</v>
      </c>
      <c r="CM1822">
        <v>47</v>
      </c>
      <c r="CN1822">
        <v>-0.45</v>
      </c>
      <c r="CO1822">
        <v>47</v>
      </c>
      <c r="CP1822">
        <v>-56.1</v>
      </c>
      <c r="CQ1822">
        <v>42</v>
      </c>
      <c r="CR1822">
        <v>0</v>
      </c>
      <c r="CS1822">
        <v>0</v>
      </c>
      <c r="CT1822">
        <v>-78.900000000000006</v>
      </c>
      <c r="CU1822">
        <v>40</v>
      </c>
      <c r="CV1822">
        <v>-0.26</v>
      </c>
      <c r="CW1822">
        <v>35</v>
      </c>
      <c r="CX1822" t="s">
        <v>1916</v>
      </c>
    </row>
    <row r="1823" spans="1:102" x14ac:dyDescent="0.3">
      <c r="A1823" t="str">
        <f>HYPERLINK("https://webapp.icbf.com/v2/app/bull-search/view/727339229","NWE")</f>
        <v>NWE</v>
      </c>
      <c r="B1823" t="s">
        <v>6772</v>
      </c>
      <c r="C1823" t="s">
        <v>6773</v>
      </c>
      <c r="D1823" s="1">
        <v>39385</v>
      </c>
      <c r="E1823" t="s">
        <v>108</v>
      </c>
      <c r="F1823">
        <v>0</v>
      </c>
      <c r="G1823" t="s">
        <v>93</v>
      </c>
      <c r="H1823">
        <v>83.96</v>
      </c>
      <c r="I1823">
        <v>85</v>
      </c>
      <c r="J1823">
        <v>-49.56</v>
      </c>
      <c r="K1823">
        <v>95</v>
      </c>
      <c r="L1823">
        <v>76.760000000000005</v>
      </c>
      <c r="M1823">
        <v>76</v>
      </c>
      <c r="N1823">
        <v>27.22</v>
      </c>
      <c r="O1823">
        <v>82</v>
      </c>
      <c r="P1823">
        <v>-11.11</v>
      </c>
      <c r="Q1823">
        <v>92</v>
      </c>
      <c r="R1823">
        <v>14.96</v>
      </c>
      <c r="S1823">
        <v>76</v>
      </c>
      <c r="T1823">
        <v>22.04</v>
      </c>
      <c r="U1823">
        <v>84</v>
      </c>
      <c r="V1823">
        <v>3.65</v>
      </c>
      <c r="W1823">
        <v>72</v>
      </c>
      <c r="X1823" t="s">
        <v>251</v>
      </c>
      <c r="Y1823" t="s">
        <v>329</v>
      </c>
      <c r="Z1823" t="s">
        <v>96</v>
      </c>
      <c r="AA1823" t="s">
        <v>1129</v>
      </c>
      <c r="AB1823" t="s">
        <v>6774</v>
      </c>
      <c r="AC1823">
        <v>62</v>
      </c>
      <c r="AD1823">
        <v>31</v>
      </c>
      <c r="AE1823">
        <v>95</v>
      </c>
      <c r="AF1823">
        <v>-102.68</v>
      </c>
      <c r="AG1823">
        <v>-2.94</v>
      </c>
      <c r="AH1823">
        <v>-8.9600000000000009</v>
      </c>
      <c r="AI1823">
        <v>0.02</v>
      </c>
      <c r="AJ1823">
        <v>-0.1</v>
      </c>
      <c r="AK1823">
        <v>76</v>
      </c>
      <c r="AL1823">
        <v>83</v>
      </c>
      <c r="AM1823">
        <v>34</v>
      </c>
      <c r="AN1823">
        <v>-4.32</v>
      </c>
      <c r="AO1823">
        <v>1.8</v>
      </c>
      <c r="AP1823">
        <v>76</v>
      </c>
      <c r="AQ1823">
        <v>0</v>
      </c>
      <c r="AR1823">
        <v>4.92</v>
      </c>
      <c r="AS1823">
        <v>79</v>
      </c>
      <c r="AT1823">
        <v>2.11</v>
      </c>
      <c r="AU1823">
        <v>79</v>
      </c>
      <c r="AV1823">
        <v>-2.75</v>
      </c>
      <c r="AW1823">
        <v>91</v>
      </c>
      <c r="AX1823">
        <v>-0.54</v>
      </c>
      <c r="AY1823">
        <v>82</v>
      </c>
      <c r="AZ1823">
        <v>8.89</v>
      </c>
      <c r="BA1823">
        <v>65</v>
      </c>
      <c r="BB1823">
        <v>6.04</v>
      </c>
      <c r="BC1823">
        <v>65</v>
      </c>
      <c r="BD1823">
        <v>-0.03</v>
      </c>
      <c r="BE1823">
        <v>-0.06</v>
      </c>
      <c r="BF1823">
        <v>-0.18</v>
      </c>
      <c r="BG1823">
        <v>84</v>
      </c>
      <c r="BH1823">
        <v>-0.05</v>
      </c>
      <c r="BI1823">
        <v>-17.559999999999999</v>
      </c>
      <c r="BJ1823">
        <v>12</v>
      </c>
      <c r="BK1823">
        <v>5</v>
      </c>
      <c r="BL1823">
        <v>-2.08</v>
      </c>
      <c r="BM1823">
        <v>1.28</v>
      </c>
      <c r="BN1823">
        <v>-1.35</v>
      </c>
      <c r="BO1823">
        <v>-1.42</v>
      </c>
      <c r="BP1823">
        <v>-0.16</v>
      </c>
      <c r="BQ1823">
        <v>1.1599999999999999</v>
      </c>
      <c r="BR1823">
        <v>-1.1200000000000001</v>
      </c>
      <c r="BS1823">
        <v>-7.0000000000000007E-2</v>
      </c>
      <c r="BT1823">
        <v>0.77</v>
      </c>
      <c r="BU1823">
        <v>0.48</v>
      </c>
      <c r="BV1823">
        <v>-1.57</v>
      </c>
      <c r="BW1823">
        <v>-1.32</v>
      </c>
      <c r="BX1823">
        <v>0.59</v>
      </c>
      <c r="BY1823">
        <v>0.27</v>
      </c>
      <c r="BZ1823">
        <v>-2.93</v>
      </c>
      <c r="CA1823">
        <v>-0.8</v>
      </c>
      <c r="CB1823">
        <v>-0.56999999999999995</v>
      </c>
      <c r="CC1823">
        <v>-0.87</v>
      </c>
      <c r="CD1823">
        <v>2.21</v>
      </c>
      <c r="CE1823">
        <v>-2.29</v>
      </c>
      <c r="CF1823">
        <v>-1.1200000000000001</v>
      </c>
      <c r="CG1823">
        <v>0</v>
      </c>
      <c r="CH1823">
        <v>0.01</v>
      </c>
      <c r="CI1823">
        <v>0</v>
      </c>
      <c r="CJ1823">
        <v>-5.2</v>
      </c>
      <c r="CK1823">
        <v>93</v>
      </c>
      <c r="CL1823">
        <v>-0.38</v>
      </c>
      <c r="CM1823">
        <v>91</v>
      </c>
      <c r="CN1823">
        <v>-0.09</v>
      </c>
      <c r="CO1823">
        <v>90</v>
      </c>
      <c r="CP1823">
        <v>-7.1</v>
      </c>
      <c r="CQ1823">
        <v>87</v>
      </c>
      <c r="CR1823">
        <v>0</v>
      </c>
      <c r="CS1823">
        <v>0</v>
      </c>
      <c r="CT1823">
        <v>-16</v>
      </c>
      <c r="CU1823">
        <v>84</v>
      </c>
      <c r="CV1823">
        <v>0.04</v>
      </c>
      <c r="CW1823">
        <v>44</v>
      </c>
      <c r="CX1823" t="s">
        <v>4705</v>
      </c>
    </row>
    <row r="1824" spans="1:102" x14ac:dyDescent="0.3">
      <c r="A1824" t="str">
        <f>HYPERLINK("https://webapp.icbf.com/v2/app/bull-search/view/319232518","S354")</f>
        <v>S354</v>
      </c>
      <c r="B1824" t="s">
        <v>11678</v>
      </c>
      <c r="C1824" t="s">
        <v>1129</v>
      </c>
      <c r="D1824" s="1">
        <v>35505</v>
      </c>
      <c r="E1824" t="s">
        <v>108</v>
      </c>
      <c r="F1824">
        <v>0</v>
      </c>
      <c r="G1824" t="s">
        <v>109</v>
      </c>
      <c r="H1824">
        <v>83.75</v>
      </c>
      <c r="I1824">
        <v>89</v>
      </c>
      <c r="J1824">
        <v>-44.28</v>
      </c>
      <c r="K1824">
        <v>95</v>
      </c>
      <c r="L1824">
        <v>58.75</v>
      </c>
      <c r="M1824">
        <v>86</v>
      </c>
      <c r="N1824">
        <v>49.13</v>
      </c>
      <c r="O1824">
        <v>87</v>
      </c>
      <c r="P1824">
        <v>-11.95</v>
      </c>
      <c r="Q1824">
        <v>90</v>
      </c>
      <c r="R1824">
        <v>6.5</v>
      </c>
      <c r="S1824">
        <v>86</v>
      </c>
      <c r="T1824">
        <v>18.78</v>
      </c>
      <c r="U1824">
        <v>86</v>
      </c>
      <c r="V1824">
        <v>6.82</v>
      </c>
      <c r="W1824">
        <v>83</v>
      </c>
      <c r="X1824" t="s">
        <v>110</v>
      </c>
      <c r="Y1824" t="s">
        <v>545</v>
      </c>
      <c r="Z1824" t="s">
        <v>96</v>
      </c>
      <c r="AA1824" t="s">
        <v>585</v>
      </c>
      <c r="AB1824" t="s">
        <v>11679</v>
      </c>
      <c r="AC1824">
        <v>0</v>
      </c>
      <c r="AD1824">
        <v>0</v>
      </c>
      <c r="AE1824">
        <v>95</v>
      </c>
      <c r="AF1824">
        <v>-187.61</v>
      </c>
      <c r="AG1824">
        <v>-5.01</v>
      </c>
      <c r="AH1824">
        <v>-8.6300000000000008</v>
      </c>
      <c r="AI1824">
        <v>0.04</v>
      </c>
      <c r="AJ1824">
        <v>-0.04</v>
      </c>
      <c r="AK1824">
        <v>86</v>
      </c>
      <c r="AL1824">
        <v>0</v>
      </c>
      <c r="AM1824">
        <v>0</v>
      </c>
      <c r="AN1824">
        <v>-3.62</v>
      </c>
      <c r="AO1824">
        <v>1.06</v>
      </c>
      <c r="AP1824">
        <v>51</v>
      </c>
      <c r="AQ1824">
        <v>1</v>
      </c>
      <c r="AR1824">
        <v>5.38</v>
      </c>
      <c r="AS1824">
        <v>86</v>
      </c>
      <c r="AT1824">
        <v>2.06</v>
      </c>
      <c r="AU1824">
        <v>90</v>
      </c>
      <c r="AV1824">
        <v>-4.76</v>
      </c>
      <c r="AW1824">
        <v>89</v>
      </c>
      <c r="AX1824">
        <v>-0.66</v>
      </c>
      <c r="AY1824">
        <v>86</v>
      </c>
      <c r="AZ1824">
        <v>7.34</v>
      </c>
      <c r="BA1824">
        <v>79</v>
      </c>
      <c r="BB1824">
        <v>5.43</v>
      </c>
      <c r="BC1824">
        <v>80</v>
      </c>
      <c r="BD1824">
        <v>-0.02</v>
      </c>
      <c r="BE1824">
        <v>-0.04</v>
      </c>
      <c r="BF1824">
        <v>-0.04</v>
      </c>
      <c r="BG1824">
        <v>92</v>
      </c>
      <c r="BH1824">
        <v>0.06</v>
      </c>
      <c r="BI1824">
        <v>-15.07</v>
      </c>
      <c r="BJ1824">
        <v>12</v>
      </c>
      <c r="BK1824">
        <v>3</v>
      </c>
      <c r="BL1824">
        <v>-1.89</v>
      </c>
      <c r="BM1824">
        <v>1.81</v>
      </c>
      <c r="BN1824">
        <v>-0.62</v>
      </c>
      <c r="BO1824">
        <v>-1.38</v>
      </c>
      <c r="BP1824">
        <v>-0.24</v>
      </c>
      <c r="BQ1824">
        <v>2.74</v>
      </c>
      <c r="BR1824">
        <v>-2.25</v>
      </c>
      <c r="BS1824">
        <v>1.68</v>
      </c>
      <c r="BT1824">
        <v>1.97</v>
      </c>
      <c r="BU1824">
        <v>0.32</v>
      </c>
      <c r="BV1824">
        <v>-1</v>
      </c>
      <c r="BW1824">
        <v>-0.83</v>
      </c>
      <c r="BX1824">
        <v>0.28000000000000003</v>
      </c>
      <c r="BY1824">
        <v>0.72</v>
      </c>
      <c r="BZ1824">
        <v>-0.98</v>
      </c>
      <c r="CA1824">
        <v>-0.21</v>
      </c>
      <c r="CB1824">
        <v>-0.41</v>
      </c>
      <c r="CC1824">
        <v>0.81</v>
      </c>
      <c r="CD1824">
        <v>1.94</v>
      </c>
      <c r="CE1824">
        <v>-1.57</v>
      </c>
      <c r="CF1824">
        <v>-0.22</v>
      </c>
      <c r="CG1824">
        <v>0</v>
      </c>
      <c r="CH1824">
        <v>0.4</v>
      </c>
      <c r="CI1824">
        <v>0</v>
      </c>
      <c r="CJ1824">
        <v>-8.3000000000000007</v>
      </c>
      <c r="CK1824">
        <v>90</v>
      </c>
      <c r="CL1824">
        <v>-0.23</v>
      </c>
      <c r="CM1824">
        <v>90</v>
      </c>
      <c r="CN1824">
        <v>-0.3</v>
      </c>
      <c r="CO1824">
        <v>89</v>
      </c>
      <c r="CP1824">
        <v>-10.9</v>
      </c>
      <c r="CQ1824">
        <v>88</v>
      </c>
      <c r="CR1824">
        <v>0</v>
      </c>
      <c r="CS1824">
        <v>0</v>
      </c>
      <c r="CT1824">
        <v>-11.6</v>
      </c>
      <c r="CU1824">
        <v>86</v>
      </c>
      <c r="CV1824">
        <v>-0.04</v>
      </c>
      <c r="CW1824">
        <v>45</v>
      </c>
      <c r="CX1824" t="s">
        <v>8801</v>
      </c>
    </row>
    <row r="1825" spans="1:102" x14ac:dyDescent="0.3">
      <c r="A1825" t="str">
        <f>HYPERLINK("https://webapp.icbf.com/v2/app/bull-search/view/529828688","SWO")</f>
        <v>SWO</v>
      </c>
      <c r="B1825" t="s">
        <v>2632</v>
      </c>
      <c r="C1825" t="s">
        <v>2633</v>
      </c>
      <c r="D1825" s="1">
        <v>37087</v>
      </c>
      <c r="E1825" t="s">
        <v>2634</v>
      </c>
      <c r="F1825">
        <v>6</v>
      </c>
      <c r="G1825" t="s">
        <v>93</v>
      </c>
      <c r="H1825">
        <v>83.63</v>
      </c>
      <c r="I1825">
        <v>80</v>
      </c>
      <c r="J1825">
        <v>-15.79</v>
      </c>
      <c r="K1825">
        <v>91</v>
      </c>
      <c r="L1825">
        <v>32.15</v>
      </c>
      <c r="M1825">
        <v>69</v>
      </c>
      <c r="N1825">
        <v>38.299999999999997</v>
      </c>
      <c r="O1825">
        <v>79</v>
      </c>
      <c r="P1825">
        <v>5.25</v>
      </c>
      <c r="Q1825">
        <v>91</v>
      </c>
      <c r="R1825">
        <v>5.77</v>
      </c>
      <c r="S1825">
        <v>69</v>
      </c>
      <c r="T1825">
        <v>23.45</v>
      </c>
      <c r="U1825">
        <v>82</v>
      </c>
      <c r="V1825">
        <v>-5.5</v>
      </c>
      <c r="W1825">
        <v>68</v>
      </c>
      <c r="X1825" t="s">
        <v>276</v>
      </c>
      <c r="Y1825" t="s">
        <v>270</v>
      </c>
      <c r="Z1825">
        <v>0</v>
      </c>
      <c r="AA1825" t="s">
        <v>2635</v>
      </c>
      <c r="AB1825" t="s">
        <v>2636</v>
      </c>
      <c r="AC1825">
        <v>41</v>
      </c>
      <c r="AD1825">
        <v>12</v>
      </c>
      <c r="AE1825">
        <v>91</v>
      </c>
      <c r="AF1825">
        <v>-52.48</v>
      </c>
      <c r="AG1825">
        <v>-2.37</v>
      </c>
      <c r="AH1825">
        <v>-2.65</v>
      </c>
      <c r="AI1825">
        <v>-0.01</v>
      </c>
      <c r="AJ1825">
        <v>-0.01</v>
      </c>
      <c r="AK1825">
        <v>69</v>
      </c>
      <c r="AL1825">
        <v>0</v>
      </c>
      <c r="AM1825">
        <v>0</v>
      </c>
      <c r="AN1825">
        <v>-2.0499999999999998</v>
      </c>
      <c r="AO1825">
        <v>0.51</v>
      </c>
      <c r="AP1825">
        <v>126</v>
      </c>
      <c r="AQ1825">
        <v>1</v>
      </c>
      <c r="AR1825">
        <v>5.34</v>
      </c>
      <c r="AS1825">
        <v>73</v>
      </c>
      <c r="AT1825">
        <v>2.57</v>
      </c>
      <c r="AU1825">
        <v>80</v>
      </c>
      <c r="AV1825">
        <v>-2.87</v>
      </c>
      <c r="AW1825">
        <v>91</v>
      </c>
      <c r="AX1825">
        <v>-1.03</v>
      </c>
      <c r="AY1825">
        <v>78</v>
      </c>
      <c r="AZ1825">
        <v>5.83</v>
      </c>
      <c r="BA1825">
        <v>44</v>
      </c>
      <c r="BB1825">
        <v>4.54</v>
      </c>
      <c r="BC1825">
        <v>54</v>
      </c>
      <c r="BD1825">
        <v>-0.01</v>
      </c>
      <c r="BE1825">
        <v>-0.04</v>
      </c>
      <c r="BF1825">
        <v>-0.04</v>
      </c>
      <c r="BG1825">
        <v>86</v>
      </c>
      <c r="BH1825">
        <v>-0.15</v>
      </c>
      <c r="BI1825">
        <v>0.39</v>
      </c>
      <c r="BJ1825">
        <v>13</v>
      </c>
      <c r="BK1825">
        <v>6</v>
      </c>
      <c r="BL1825">
        <v>-1.88</v>
      </c>
      <c r="BM1825">
        <v>1.06</v>
      </c>
      <c r="BN1825">
        <v>-1.08</v>
      </c>
      <c r="BO1825">
        <v>-1.69</v>
      </c>
      <c r="BP1825">
        <v>1.38</v>
      </c>
      <c r="BQ1825">
        <v>-2.02</v>
      </c>
      <c r="BR1825">
        <v>0.77</v>
      </c>
      <c r="BS1825">
        <v>-0.28999999999999998</v>
      </c>
      <c r="BT1825">
        <v>-1.49</v>
      </c>
      <c r="BU1825">
        <v>-1.68</v>
      </c>
      <c r="BV1825">
        <v>-1.04</v>
      </c>
      <c r="BW1825">
        <v>-3.59</v>
      </c>
      <c r="BX1825">
        <v>-2.36</v>
      </c>
      <c r="BY1825">
        <v>-0.71</v>
      </c>
      <c r="BZ1825">
        <v>0.43</v>
      </c>
      <c r="CA1825">
        <v>-1.25</v>
      </c>
      <c r="CB1825">
        <v>-1.48</v>
      </c>
      <c r="CC1825">
        <v>-0.34</v>
      </c>
      <c r="CD1825">
        <v>1.32</v>
      </c>
      <c r="CE1825">
        <v>-3.06</v>
      </c>
      <c r="CF1825">
        <v>-1.42</v>
      </c>
      <c r="CG1825">
        <v>0</v>
      </c>
      <c r="CH1825">
        <v>-0.76</v>
      </c>
      <c r="CI1825">
        <v>0</v>
      </c>
      <c r="CJ1825">
        <v>2.4</v>
      </c>
      <c r="CK1825">
        <v>92</v>
      </c>
      <c r="CL1825">
        <v>0.03</v>
      </c>
      <c r="CM1825">
        <v>91</v>
      </c>
      <c r="CN1825">
        <v>-0.24</v>
      </c>
      <c r="CO1825">
        <v>90</v>
      </c>
      <c r="CP1825">
        <v>-7.9</v>
      </c>
      <c r="CQ1825">
        <v>84</v>
      </c>
      <c r="CR1825">
        <v>0</v>
      </c>
      <c r="CS1825">
        <v>0</v>
      </c>
      <c r="CT1825">
        <v>-17.899999999999999</v>
      </c>
      <c r="CU1825">
        <v>82</v>
      </c>
      <c r="CV1825">
        <v>-0.05</v>
      </c>
      <c r="CW1825">
        <v>26</v>
      </c>
      <c r="CX1825" t="s">
        <v>2637</v>
      </c>
    </row>
    <row r="1826" spans="1:102" x14ac:dyDescent="0.3">
      <c r="A1826" t="str">
        <f>HYPERLINK("https://webapp.icbf.com/v2/app/bull-search/view/451100986","GZU")</f>
        <v>GZU</v>
      </c>
      <c r="B1826" t="s">
        <v>4758</v>
      </c>
      <c r="C1826" t="s">
        <v>4759</v>
      </c>
      <c r="D1826" s="1">
        <v>38791</v>
      </c>
      <c r="E1826" t="s">
        <v>92</v>
      </c>
      <c r="F1826">
        <v>97</v>
      </c>
      <c r="G1826" t="s">
        <v>116</v>
      </c>
      <c r="H1826">
        <v>83.58</v>
      </c>
      <c r="I1826">
        <v>40</v>
      </c>
      <c r="J1826">
        <v>65.930000000000007</v>
      </c>
      <c r="K1826">
        <v>48</v>
      </c>
      <c r="L1826">
        <v>15.42</v>
      </c>
      <c r="M1826">
        <v>29</v>
      </c>
      <c r="N1826">
        <v>2.2599999999999998</v>
      </c>
      <c r="O1826">
        <v>42</v>
      </c>
      <c r="P1826">
        <v>-5.97</v>
      </c>
      <c r="Q1826">
        <v>51</v>
      </c>
      <c r="R1826">
        <v>0.04</v>
      </c>
      <c r="S1826">
        <v>40</v>
      </c>
      <c r="T1826">
        <v>8.65</v>
      </c>
      <c r="U1826">
        <v>35</v>
      </c>
      <c r="V1826">
        <v>-2.75</v>
      </c>
      <c r="W1826">
        <v>38</v>
      </c>
      <c r="X1826" t="s">
        <v>94</v>
      </c>
      <c r="Y1826" t="s">
        <v>1251</v>
      </c>
      <c r="Z1826" t="s">
        <v>96</v>
      </c>
      <c r="AA1826" t="s">
        <v>4760</v>
      </c>
      <c r="AB1826" t="s">
        <v>4761</v>
      </c>
      <c r="AC1826">
        <v>0</v>
      </c>
      <c r="AD1826">
        <v>0</v>
      </c>
      <c r="AE1826">
        <v>48</v>
      </c>
      <c r="AF1826">
        <v>-38.67</v>
      </c>
      <c r="AG1826">
        <v>11.65</v>
      </c>
      <c r="AH1826">
        <v>6.5</v>
      </c>
      <c r="AI1826">
        <v>0.24</v>
      </c>
      <c r="AJ1826">
        <v>0.14000000000000001</v>
      </c>
      <c r="AK1826">
        <v>29</v>
      </c>
      <c r="AL1826">
        <v>1</v>
      </c>
      <c r="AM1826">
        <v>1</v>
      </c>
      <c r="AN1826">
        <v>-3.91</v>
      </c>
      <c r="AO1826">
        <v>-2.72</v>
      </c>
      <c r="AP1826">
        <v>1</v>
      </c>
      <c r="AQ1826">
        <v>0</v>
      </c>
      <c r="AR1826">
        <v>7.96</v>
      </c>
      <c r="AS1826">
        <v>27</v>
      </c>
      <c r="AT1826">
        <v>3.44</v>
      </c>
      <c r="AU1826">
        <v>36</v>
      </c>
      <c r="AV1826">
        <v>-1.07</v>
      </c>
      <c r="AW1826">
        <v>57</v>
      </c>
      <c r="AX1826">
        <v>-0.04</v>
      </c>
      <c r="AY1826">
        <v>33</v>
      </c>
      <c r="AZ1826">
        <v>7</v>
      </c>
      <c r="BA1826">
        <v>26</v>
      </c>
      <c r="BB1826">
        <v>5.32</v>
      </c>
      <c r="BC1826">
        <v>28</v>
      </c>
      <c r="BD1826">
        <v>-0.03</v>
      </c>
      <c r="BE1826">
        <v>0.01</v>
      </c>
      <c r="BF1826">
        <v>0.03</v>
      </c>
      <c r="BG1826">
        <v>44</v>
      </c>
      <c r="BH1826">
        <v>-0.11</v>
      </c>
      <c r="BI1826">
        <v>-3.84</v>
      </c>
      <c r="BJ1826">
        <v>0</v>
      </c>
      <c r="BK1826">
        <v>0</v>
      </c>
      <c r="BL1826">
        <v>0.23</v>
      </c>
      <c r="BM1826">
        <v>7.0000000000000007E-2</v>
      </c>
      <c r="BN1826">
        <v>0.08</v>
      </c>
      <c r="BO1826">
        <v>0.02</v>
      </c>
      <c r="BP1826">
        <v>0.57999999999999996</v>
      </c>
      <c r="BQ1826">
        <v>0.35</v>
      </c>
      <c r="BR1826">
        <v>-0.03</v>
      </c>
      <c r="BS1826">
        <v>-0.01</v>
      </c>
      <c r="BT1826">
        <v>-0.44</v>
      </c>
      <c r="BU1826">
        <v>-0.48</v>
      </c>
      <c r="BV1826">
        <v>0.11</v>
      </c>
      <c r="BW1826">
        <v>0.04</v>
      </c>
      <c r="BX1826">
        <v>-0.87</v>
      </c>
      <c r="BY1826">
        <v>0.16</v>
      </c>
      <c r="BZ1826">
        <v>1.35</v>
      </c>
      <c r="CA1826">
        <v>-0.51</v>
      </c>
      <c r="CB1826">
        <v>-0.22</v>
      </c>
      <c r="CC1826">
        <v>-0.06</v>
      </c>
      <c r="CD1826">
        <v>0.06</v>
      </c>
      <c r="CE1826">
        <v>0.09</v>
      </c>
      <c r="CF1826">
        <v>-0.16</v>
      </c>
      <c r="CG1826">
        <v>0</v>
      </c>
      <c r="CH1826">
        <v>-0.54</v>
      </c>
      <c r="CI1826">
        <v>0</v>
      </c>
      <c r="CJ1826">
        <v>-0.7</v>
      </c>
      <c r="CK1826">
        <v>54</v>
      </c>
      <c r="CL1826">
        <v>-0.46</v>
      </c>
      <c r="CM1826">
        <v>49</v>
      </c>
      <c r="CN1826">
        <v>-0.02</v>
      </c>
      <c r="CO1826">
        <v>48</v>
      </c>
      <c r="CP1826">
        <v>-3.3</v>
      </c>
      <c r="CQ1826">
        <v>40</v>
      </c>
      <c r="CR1826">
        <v>0</v>
      </c>
      <c r="CS1826">
        <v>0</v>
      </c>
      <c r="CT1826">
        <v>2.1</v>
      </c>
      <c r="CU1826">
        <v>35</v>
      </c>
      <c r="CV1826">
        <v>0.14000000000000001</v>
      </c>
      <c r="CW1826">
        <v>15</v>
      </c>
      <c r="CX1826" t="s">
        <v>1252</v>
      </c>
    </row>
    <row r="1827" spans="1:102" x14ac:dyDescent="0.3">
      <c r="A1827" t="str">
        <f>HYPERLINK("https://webapp.icbf.com/v2/app/bull-search/view/135820017","DMY")</f>
        <v>DMY</v>
      </c>
      <c r="B1827" t="s">
        <v>2563</v>
      </c>
      <c r="C1827" t="s">
        <v>2564</v>
      </c>
      <c r="D1827" s="1">
        <v>37561</v>
      </c>
      <c r="E1827" t="s">
        <v>92</v>
      </c>
      <c r="F1827">
        <v>100</v>
      </c>
      <c r="G1827" t="s">
        <v>93</v>
      </c>
      <c r="H1827">
        <v>83.57</v>
      </c>
      <c r="I1827">
        <v>77</v>
      </c>
      <c r="J1827">
        <v>14.74</v>
      </c>
      <c r="K1827">
        <v>92</v>
      </c>
      <c r="L1827">
        <v>53.55</v>
      </c>
      <c r="M1827">
        <v>71</v>
      </c>
      <c r="N1827">
        <v>31.01</v>
      </c>
      <c r="O1827">
        <v>62</v>
      </c>
      <c r="P1827">
        <v>-10.050000000000001</v>
      </c>
      <c r="Q1827">
        <v>69</v>
      </c>
      <c r="R1827">
        <v>-3.73</v>
      </c>
      <c r="S1827">
        <v>72</v>
      </c>
      <c r="T1827">
        <v>6.65</v>
      </c>
      <c r="U1827">
        <v>67</v>
      </c>
      <c r="V1827">
        <v>-8.6</v>
      </c>
      <c r="W1827">
        <v>70</v>
      </c>
      <c r="X1827" t="s">
        <v>94</v>
      </c>
      <c r="Y1827" t="s">
        <v>2565</v>
      </c>
      <c r="Z1827" t="s">
        <v>96</v>
      </c>
      <c r="AA1827" t="s">
        <v>1762</v>
      </c>
      <c r="AB1827" t="s">
        <v>2566</v>
      </c>
      <c r="AC1827">
        <v>28</v>
      </c>
      <c r="AD1827">
        <v>5</v>
      </c>
      <c r="AE1827">
        <v>92</v>
      </c>
      <c r="AF1827">
        <v>-134</v>
      </c>
      <c r="AG1827">
        <v>4.8499999999999996</v>
      </c>
      <c r="AH1827">
        <v>-1.26</v>
      </c>
      <c r="AI1827">
        <v>0.18</v>
      </c>
      <c r="AJ1827">
        <v>0.06</v>
      </c>
      <c r="AK1827">
        <v>71</v>
      </c>
      <c r="AL1827">
        <v>24</v>
      </c>
      <c r="AM1827">
        <v>5</v>
      </c>
      <c r="AN1827">
        <v>-2.94</v>
      </c>
      <c r="AO1827">
        <v>1.33</v>
      </c>
      <c r="AP1827">
        <v>3</v>
      </c>
      <c r="AQ1827">
        <v>0</v>
      </c>
      <c r="AR1827">
        <v>6.03</v>
      </c>
      <c r="AS1827">
        <v>55</v>
      </c>
      <c r="AT1827">
        <v>2.57</v>
      </c>
      <c r="AU1827">
        <v>66</v>
      </c>
      <c r="AV1827">
        <v>-2.58</v>
      </c>
      <c r="AW1827">
        <v>68</v>
      </c>
      <c r="AX1827">
        <v>-0.69</v>
      </c>
      <c r="AY1827">
        <v>59</v>
      </c>
      <c r="AZ1827">
        <v>6.31</v>
      </c>
      <c r="BA1827">
        <v>48</v>
      </c>
      <c r="BB1827">
        <v>4.9400000000000004</v>
      </c>
      <c r="BC1827">
        <v>50</v>
      </c>
      <c r="BD1827">
        <v>-0.02</v>
      </c>
      <c r="BE1827">
        <v>0.01</v>
      </c>
      <c r="BF1827">
        <v>0.1</v>
      </c>
      <c r="BG1827">
        <v>81</v>
      </c>
      <c r="BH1827">
        <v>-0.02</v>
      </c>
      <c r="BI1827">
        <v>25.43</v>
      </c>
      <c r="BJ1827">
        <v>0</v>
      </c>
      <c r="BK1827">
        <v>0</v>
      </c>
      <c r="BL1827">
        <v>-0.49</v>
      </c>
      <c r="BM1827">
        <v>0.51</v>
      </c>
      <c r="BN1827">
        <v>0.84</v>
      </c>
      <c r="BO1827">
        <v>-0.1</v>
      </c>
      <c r="BP1827">
        <v>-3.46</v>
      </c>
      <c r="BQ1827">
        <v>-0.4</v>
      </c>
      <c r="BR1827">
        <v>-0.99</v>
      </c>
      <c r="BS1827">
        <v>0.16</v>
      </c>
      <c r="BT1827">
        <v>-0.97</v>
      </c>
      <c r="BU1827">
        <v>-1.2</v>
      </c>
      <c r="BV1827">
        <v>-0.59</v>
      </c>
      <c r="BW1827">
        <v>-0.83</v>
      </c>
      <c r="BX1827">
        <v>-0.6</v>
      </c>
      <c r="BY1827">
        <v>-1.3</v>
      </c>
      <c r="BZ1827">
        <v>1.28</v>
      </c>
      <c r="CA1827">
        <v>-1.78</v>
      </c>
      <c r="CB1827">
        <v>-1.5</v>
      </c>
      <c r="CC1827">
        <v>-0.86</v>
      </c>
      <c r="CD1827">
        <v>-0.13</v>
      </c>
      <c r="CE1827">
        <v>-0.93</v>
      </c>
      <c r="CF1827">
        <v>-1.1200000000000001</v>
      </c>
      <c r="CG1827">
        <v>0</v>
      </c>
      <c r="CH1827">
        <v>-1.59</v>
      </c>
      <c r="CI1827">
        <v>0</v>
      </c>
      <c r="CJ1827">
        <v>-3.8</v>
      </c>
      <c r="CK1827">
        <v>70</v>
      </c>
      <c r="CL1827">
        <v>-0.61</v>
      </c>
      <c r="CM1827">
        <v>67</v>
      </c>
      <c r="CN1827">
        <v>-0.19</v>
      </c>
      <c r="CO1827">
        <v>63</v>
      </c>
      <c r="CP1827">
        <v>-4.9000000000000004</v>
      </c>
      <c r="CQ1827">
        <v>75</v>
      </c>
      <c r="CR1827">
        <v>0</v>
      </c>
      <c r="CS1827">
        <v>0</v>
      </c>
      <c r="CT1827">
        <v>4.8</v>
      </c>
      <c r="CU1827">
        <v>67</v>
      </c>
      <c r="CV1827">
        <v>0</v>
      </c>
      <c r="CW1827">
        <v>39</v>
      </c>
      <c r="CX1827" t="s">
        <v>529</v>
      </c>
    </row>
    <row r="1828" spans="1:102" x14ac:dyDescent="0.3">
      <c r="A1828" t="str">
        <f>HYPERLINK("https://webapp.icbf.com/v2/app/bull-search/view/1161619318","S2233")</f>
        <v>S2233</v>
      </c>
      <c r="B1828" t="s">
        <v>2141</v>
      </c>
      <c r="C1828" t="s">
        <v>2142</v>
      </c>
      <c r="D1828" s="1">
        <v>41041</v>
      </c>
      <c r="E1828" t="s">
        <v>92</v>
      </c>
      <c r="F1828">
        <v>100</v>
      </c>
      <c r="G1828" t="s">
        <v>93</v>
      </c>
      <c r="H1828">
        <v>83.55</v>
      </c>
      <c r="I1828">
        <v>87</v>
      </c>
      <c r="J1828">
        <v>89.6</v>
      </c>
      <c r="K1828">
        <v>97</v>
      </c>
      <c r="L1828">
        <v>-53.57</v>
      </c>
      <c r="M1828">
        <v>85</v>
      </c>
      <c r="N1828">
        <v>31.55</v>
      </c>
      <c r="O1828">
        <v>85</v>
      </c>
      <c r="P1828">
        <v>-10.07</v>
      </c>
      <c r="Q1828">
        <v>91</v>
      </c>
      <c r="R1828">
        <v>8.92</v>
      </c>
      <c r="S1828">
        <v>77</v>
      </c>
      <c r="T1828">
        <v>10.5</v>
      </c>
      <c r="U1828">
        <v>66</v>
      </c>
      <c r="V1828">
        <v>6.62</v>
      </c>
      <c r="W1828">
        <v>69</v>
      </c>
      <c r="X1828" t="s">
        <v>428</v>
      </c>
      <c r="Y1828" t="s">
        <v>367</v>
      </c>
      <c r="Z1828" t="s">
        <v>96</v>
      </c>
      <c r="AA1828" t="s">
        <v>1894</v>
      </c>
      <c r="AB1828" t="s">
        <v>2117</v>
      </c>
      <c r="AC1828">
        <v>153</v>
      </c>
      <c r="AD1828">
        <v>38</v>
      </c>
      <c r="AE1828">
        <v>97</v>
      </c>
      <c r="AF1828">
        <v>364.73</v>
      </c>
      <c r="AG1828">
        <v>20.64</v>
      </c>
      <c r="AH1828">
        <v>13.52</v>
      </c>
      <c r="AI1828">
        <v>0.11</v>
      </c>
      <c r="AJ1828">
        <v>0.02</v>
      </c>
      <c r="AK1828">
        <v>85</v>
      </c>
      <c r="AL1828">
        <v>84</v>
      </c>
      <c r="AM1828">
        <v>20</v>
      </c>
      <c r="AN1828">
        <v>3.08</v>
      </c>
      <c r="AO1828">
        <v>-1.19</v>
      </c>
      <c r="AP1828">
        <v>307</v>
      </c>
      <c r="AQ1828">
        <v>8</v>
      </c>
      <c r="AR1828">
        <v>7.9</v>
      </c>
      <c r="AS1828">
        <v>85</v>
      </c>
      <c r="AT1828">
        <v>3.24</v>
      </c>
      <c r="AU1828">
        <v>90</v>
      </c>
      <c r="AV1828">
        <v>-3.96</v>
      </c>
      <c r="AW1828">
        <v>94</v>
      </c>
      <c r="AX1828">
        <v>0.13</v>
      </c>
      <c r="AY1828">
        <v>87</v>
      </c>
      <c r="AZ1828">
        <v>5.42</v>
      </c>
      <c r="BA1828">
        <v>69</v>
      </c>
      <c r="BB1828">
        <v>4.83</v>
      </c>
      <c r="BC1828">
        <v>52</v>
      </c>
      <c r="BD1828">
        <v>-0.03</v>
      </c>
      <c r="BE1828">
        <v>-0.05</v>
      </c>
      <c r="BF1828">
        <v>-0.06</v>
      </c>
      <c r="BG1828">
        <v>92</v>
      </c>
      <c r="BH1828">
        <v>-0.04</v>
      </c>
      <c r="BI1828">
        <v>-25.98</v>
      </c>
      <c r="BJ1828">
        <v>43</v>
      </c>
      <c r="BK1828">
        <v>17</v>
      </c>
      <c r="BL1828">
        <v>2.0499999999999998</v>
      </c>
      <c r="BM1828">
        <v>-0.96</v>
      </c>
      <c r="BN1828">
        <v>1.43</v>
      </c>
      <c r="BO1828">
        <v>2.12</v>
      </c>
      <c r="BP1828">
        <v>-0.41</v>
      </c>
      <c r="BQ1828">
        <v>1.68</v>
      </c>
      <c r="BR1828">
        <v>-0.5</v>
      </c>
      <c r="BS1828">
        <v>2.57</v>
      </c>
      <c r="BT1828">
        <v>1.04</v>
      </c>
      <c r="BU1828">
        <v>2.83</v>
      </c>
      <c r="BV1828">
        <v>3.28</v>
      </c>
      <c r="BW1828">
        <v>2.89</v>
      </c>
      <c r="BX1828">
        <v>2.34</v>
      </c>
      <c r="BY1828">
        <v>1.5</v>
      </c>
      <c r="BZ1828">
        <v>-1.9</v>
      </c>
      <c r="CA1828">
        <v>2.52</v>
      </c>
      <c r="CB1828">
        <v>2.5099999999999998</v>
      </c>
      <c r="CC1828">
        <v>1.58</v>
      </c>
      <c r="CD1828">
        <v>-1.56</v>
      </c>
      <c r="CE1828">
        <v>1.97</v>
      </c>
      <c r="CF1828">
        <v>1.88</v>
      </c>
      <c r="CG1828">
        <v>0</v>
      </c>
      <c r="CH1828">
        <v>1.31</v>
      </c>
      <c r="CI1828">
        <v>0</v>
      </c>
      <c r="CJ1828">
        <v>-2.2000000000000002</v>
      </c>
      <c r="CK1828">
        <v>93</v>
      </c>
      <c r="CL1828">
        <v>-1.3</v>
      </c>
      <c r="CM1828">
        <v>91</v>
      </c>
      <c r="CN1828">
        <v>-0.6</v>
      </c>
      <c r="CO1828">
        <v>90</v>
      </c>
      <c r="CP1828">
        <v>-4.3</v>
      </c>
      <c r="CQ1828">
        <v>73</v>
      </c>
      <c r="CR1828">
        <v>0</v>
      </c>
      <c r="CS1828">
        <v>0</v>
      </c>
      <c r="CT1828">
        <v>-0.4</v>
      </c>
      <c r="CU1828">
        <v>66</v>
      </c>
      <c r="CV1828">
        <v>0.3</v>
      </c>
      <c r="CW1828">
        <v>44</v>
      </c>
      <c r="CX1828" t="s">
        <v>1572</v>
      </c>
    </row>
    <row r="1829" spans="1:102" x14ac:dyDescent="0.3">
      <c r="A1829" t="str">
        <f>HYPERLINK("https://webapp.icbf.com/v2/app/bull-search/view/1365932009","FR4078")</f>
        <v>FR4078</v>
      </c>
      <c r="B1829" t="s">
        <v>13892</v>
      </c>
      <c r="C1829" t="s">
        <v>13893</v>
      </c>
      <c r="D1829" s="1">
        <v>42097</v>
      </c>
      <c r="E1829" t="s">
        <v>92</v>
      </c>
      <c r="F1829">
        <v>100</v>
      </c>
      <c r="G1829" t="s">
        <v>435</v>
      </c>
      <c r="H1829">
        <v>83.55</v>
      </c>
      <c r="I1829">
        <v>70</v>
      </c>
      <c r="J1829">
        <v>77.2</v>
      </c>
      <c r="K1829">
        <v>88</v>
      </c>
      <c r="L1829">
        <v>-1.7</v>
      </c>
      <c r="M1829">
        <v>67</v>
      </c>
      <c r="N1829">
        <v>16.75</v>
      </c>
      <c r="O1829">
        <v>72</v>
      </c>
      <c r="P1829">
        <v>-9.4</v>
      </c>
      <c r="Q1829">
        <v>44</v>
      </c>
      <c r="R1829">
        <v>15.98</v>
      </c>
      <c r="S1829">
        <v>63</v>
      </c>
      <c r="T1829">
        <v>-16.739999999999998</v>
      </c>
      <c r="U1829">
        <v>39</v>
      </c>
      <c r="V1829">
        <v>1.46</v>
      </c>
      <c r="W1829">
        <v>55</v>
      </c>
      <c r="X1829" t="s">
        <v>276</v>
      </c>
      <c r="Y1829" t="s">
        <v>429</v>
      </c>
      <c r="Z1829" t="s">
        <v>96</v>
      </c>
      <c r="AA1829" t="s">
        <v>2080</v>
      </c>
      <c r="AB1829" t="s">
        <v>13894</v>
      </c>
      <c r="AC1829">
        <v>2</v>
      </c>
      <c r="AD1829">
        <v>2</v>
      </c>
      <c r="AE1829">
        <v>88</v>
      </c>
      <c r="AF1829">
        <v>389.56</v>
      </c>
      <c r="AG1829">
        <v>12.81</v>
      </c>
      <c r="AH1829">
        <v>14.56</v>
      </c>
      <c r="AI1829">
        <v>-0.04</v>
      </c>
      <c r="AJ1829">
        <v>0.03</v>
      </c>
      <c r="AK1829">
        <v>67</v>
      </c>
      <c r="AL1829">
        <v>0</v>
      </c>
      <c r="AM1829">
        <v>0</v>
      </c>
      <c r="AN1829">
        <v>2.08</v>
      </c>
      <c r="AO1829">
        <v>1.97</v>
      </c>
      <c r="AP1829">
        <v>82</v>
      </c>
      <c r="AQ1829">
        <v>1</v>
      </c>
      <c r="AR1829">
        <v>9.42</v>
      </c>
      <c r="AS1829">
        <v>66</v>
      </c>
      <c r="AT1829">
        <v>3.14</v>
      </c>
      <c r="AU1829">
        <v>78</v>
      </c>
      <c r="AV1829">
        <v>-2.64</v>
      </c>
      <c r="AW1829">
        <v>86</v>
      </c>
      <c r="AX1829">
        <v>-0.76</v>
      </c>
      <c r="AY1829">
        <v>69</v>
      </c>
      <c r="AZ1829">
        <v>6.8</v>
      </c>
      <c r="BA1829">
        <v>41</v>
      </c>
      <c r="BB1829">
        <v>5.1100000000000003</v>
      </c>
      <c r="BC1829">
        <v>36</v>
      </c>
      <c r="BD1829">
        <v>-0.05</v>
      </c>
      <c r="BE1829">
        <v>-0.06</v>
      </c>
      <c r="BF1829">
        <v>-0.17</v>
      </c>
      <c r="BG1829">
        <v>75</v>
      </c>
      <c r="BH1829">
        <v>0</v>
      </c>
      <c r="BI1829">
        <v>-4.71</v>
      </c>
      <c r="BJ1829">
        <v>0</v>
      </c>
      <c r="BK1829">
        <v>0</v>
      </c>
      <c r="BL1829">
        <v>2.48</v>
      </c>
      <c r="BM1829">
        <v>-0.09</v>
      </c>
      <c r="BN1829">
        <v>0.56000000000000005</v>
      </c>
      <c r="BO1829">
        <v>1.03</v>
      </c>
      <c r="BP1829">
        <v>-0.17</v>
      </c>
      <c r="BQ1829">
        <v>1.27</v>
      </c>
      <c r="BR1829">
        <v>-2.4300000000000002</v>
      </c>
      <c r="BS1829">
        <v>2.29</v>
      </c>
      <c r="BT1829">
        <v>2.5099999999999998</v>
      </c>
      <c r="BU1829">
        <v>4.62</v>
      </c>
      <c r="BV1829">
        <v>4.34</v>
      </c>
      <c r="BW1829">
        <v>3.53</v>
      </c>
      <c r="BX1829">
        <v>3.79</v>
      </c>
      <c r="BY1829">
        <v>1.84</v>
      </c>
      <c r="BZ1829">
        <v>0.62</v>
      </c>
      <c r="CA1829">
        <v>3.92</v>
      </c>
      <c r="CB1829">
        <v>3.96</v>
      </c>
      <c r="CC1829">
        <v>2.0299999999999998</v>
      </c>
      <c r="CD1829">
        <v>0.4</v>
      </c>
      <c r="CE1829">
        <v>1.07</v>
      </c>
      <c r="CF1829">
        <v>1.01</v>
      </c>
      <c r="CG1829">
        <v>0</v>
      </c>
      <c r="CH1829">
        <v>3.02</v>
      </c>
      <c r="CI1829">
        <v>0</v>
      </c>
      <c r="CJ1829">
        <v>-2.7</v>
      </c>
      <c r="CK1829">
        <v>44</v>
      </c>
      <c r="CL1829">
        <v>-1.44</v>
      </c>
      <c r="CM1829">
        <v>44</v>
      </c>
      <c r="CN1829">
        <v>-0.66</v>
      </c>
      <c r="CO1829">
        <v>44</v>
      </c>
      <c r="CP1829">
        <v>9.6999999999999993</v>
      </c>
      <c r="CQ1829">
        <v>41</v>
      </c>
      <c r="CR1829">
        <v>0</v>
      </c>
      <c r="CS1829">
        <v>0</v>
      </c>
      <c r="CT1829">
        <v>36.4</v>
      </c>
      <c r="CU1829">
        <v>39</v>
      </c>
      <c r="CV1829">
        <v>0.28000000000000003</v>
      </c>
      <c r="CW1829">
        <v>34</v>
      </c>
      <c r="CX1829" t="s">
        <v>7021</v>
      </c>
    </row>
    <row r="1830" spans="1:102" x14ac:dyDescent="0.3">
      <c r="A1830" t="str">
        <f>HYPERLINK("https://webapp.icbf.com/v2/app/bull-search/view/586150499","S709")</f>
        <v>S709</v>
      </c>
      <c r="B1830" t="s">
        <v>8932</v>
      </c>
      <c r="C1830" t="s">
        <v>8933</v>
      </c>
      <c r="D1830" s="1">
        <v>38931</v>
      </c>
      <c r="E1830" t="s">
        <v>92</v>
      </c>
      <c r="F1830">
        <v>100</v>
      </c>
      <c r="G1830" t="s">
        <v>109</v>
      </c>
      <c r="H1830">
        <v>83.44</v>
      </c>
      <c r="I1830">
        <v>83</v>
      </c>
      <c r="J1830">
        <v>36.74</v>
      </c>
      <c r="K1830">
        <v>93</v>
      </c>
      <c r="L1830">
        <v>6.67</v>
      </c>
      <c r="M1830">
        <v>79</v>
      </c>
      <c r="N1830">
        <v>17.3</v>
      </c>
      <c r="O1830">
        <v>76</v>
      </c>
      <c r="P1830">
        <v>-26.03</v>
      </c>
      <c r="Q1830">
        <v>82</v>
      </c>
      <c r="R1830">
        <v>6.58</v>
      </c>
      <c r="S1830">
        <v>74</v>
      </c>
      <c r="T1830">
        <v>35.06</v>
      </c>
      <c r="U1830">
        <v>78</v>
      </c>
      <c r="V1830">
        <v>7.12</v>
      </c>
      <c r="W1830">
        <v>73</v>
      </c>
      <c r="X1830" t="s">
        <v>94</v>
      </c>
      <c r="Y1830" t="s">
        <v>1494</v>
      </c>
      <c r="Z1830" t="s">
        <v>96</v>
      </c>
      <c r="AA1830" t="s">
        <v>1662</v>
      </c>
      <c r="AB1830" t="s">
        <v>8934</v>
      </c>
      <c r="AC1830">
        <v>32</v>
      </c>
      <c r="AD1830">
        <v>13</v>
      </c>
      <c r="AE1830">
        <v>93</v>
      </c>
      <c r="AF1830">
        <v>279.49</v>
      </c>
      <c r="AG1830">
        <v>1.63</v>
      </c>
      <c r="AH1830">
        <v>9.9499999999999993</v>
      </c>
      <c r="AI1830">
        <v>-0.15</v>
      </c>
      <c r="AJ1830">
        <v>0.01</v>
      </c>
      <c r="AK1830">
        <v>79</v>
      </c>
      <c r="AL1830">
        <v>39</v>
      </c>
      <c r="AM1830">
        <v>12</v>
      </c>
      <c r="AN1830">
        <v>-0.51</v>
      </c>
      <c r="AO1830">
        <v>0.02</v>
      </c>
      <c r="AP1830">
        <v>45</v>
      </c>
      <c r="AQ1830">
        <v>0</v>
      </c>
      <c r="AR1830">
        <v>7.32</v>
      </c>
      <c r="AS1830">
        <v>59</v>
      </c>
      <c r="AT1830">
        <v>3.03</v>
      </c>
      <c r="AU1830">
        <v>75</v>
      </c>
      <c r="AV1830">
        <v>-1.53</v>
      </c>
      <c r="AW1830">
        <v>92</v>
      </c>
      <c r="AX1830">
        <v>0.03</v>
      </c>
      <c r="AY1830">
        <v>72</v>
      </c>
      <c r="AZ1830">
        <v>5.17</v>
      </c>
      <c r="BA1830">
        <v>48</v>
      </c>
      <c r="BB1830">
        <v>4.5999999999999996</v>
      </c>
      <c r="BC1830">
        <v>51</v>
      </c>
      <c r="BD1830">
        <v>-0.08</v>
      </c>
      <c r="BE1830">
        <v>-0.02</v>
      </c>
      <c r="BF1830">
        <v>0.02</v>
      </c>
      <c r="BG1830">
        <v>88</v>
      </c>
      <c r="BH1830">
        <v>0.13</v>
      </c>
      <c r="BI1830">
        <v>-7.93</v>
      </c>
      <c r="BJ1830">
        <v>0</v>
      </c>
      <c r="BK1830">
        <v>0</v>
      </c>
      <c r="BL1830">
        <v>-2.16</v>
      </c>
      <c r="BM1830">
        <v>0.44</v>
      </c>
      <c r="BN1830">
        <v>-0.71</v>
      </c>
      <c r="BO1830">
        <v>-1.25</v>
      </c>
      <c r="BP1830">
        <v>1.98</v>
      </c>
      <c r="BQ1830">
        <v>-1.92</v>
      </c>
      <c r="BR1830">
        <v>3.45</v>
      </c>
      <c r="BS1830">
        <v>-1.35</v>
      </c>
      <c r="BT1830">
        <v>-4.3499999999999996</v>
      </c>
      <c r="BU1830">
        <v>-2.5299999999999998</v>
      </c>
      <c r="BV1830">
        <v>-1.89</v>
      </c>
      <c r="BW1830">
        <v>-2.21</v>
      </c>
      <c r="BX1830">
        <v>-2.64</v>
      </c>
      <c r="BY1830">
        <v>-1.94</v>
      </c>
      <c r="BZ1830">
        <v>0.55000000000000004</v>
      </c>
      <c r="CA1830">
        <v>-2.42</v>
      </c>
      <c r="CB1830">
        <v>-2.21</v>
      </c>
      <c r="CC1830">
        <v>-1.66</v>
      </c>
      <c r="CD1830">
        <v>0.98</v>
      </c>
      <c r="CE1830">
        <v>-0.94</v>
      </c>
      <c r="CF1830">
        <v>-1.57</v>
      </c>
      <c r="CG1830">
        <v>0</v>
      </c>
      <c r="CH1830">
        <v>-1.22</v>
      </c>
      <c r="CI1830">
        <v>0</v>
      </c>
      <c r="CJ1830">
        <v>-13.4</v>
      </c>
      <c r="CK1830">
        <v>84</v>
      </c>
      <c r="CL1830">
        <v>-0.59</v>
      </c>
      <c r="CM1830">
        <v>80</v>
      </c>
      <c r="CN1830">
        <v>-0.17</v>
      </c>
      <c r="CO1830">
        <v>77</v>
      </c>
      <c r="CP1830">
        <v>-22.9</v>
      </c>
      <c r="CQ1830">
        <v>79</v>
      </c>
      <c r="CR1830">
        <v>0</v>
      </c>
      <c r="CS1830">
        <v>0</v>
      </c>
      <c r="CT1830">
        <v>-33.6</v>
      </c>
      <c r="CU1830">
        <v>78</v>
      </c>
      <c r="CV1830">
        <v>-0.08</v>
      </c>
      <c r="CW1830">
        <v>43</v>
      </c>
      <c r="CX1830" t="s">
        <v>2740</v>
      </c>
    </row>
    <row r="1831" spans="1:102" x14ac:dyDescent="0.3">
      <c r="A1831" t="str">
        <f>HYPERLINK("https://webapp.icbf.com/v2/app/bull-search/view/1196699940","S3044")</f>
        <v>S3044</v>
      </c>
      <c r="B1831" t="s">
        <v>6998</v>
      </c>
      <c r="C1831" t="s">
        <v>6999</v>
      </c>
      <c r="D1831" s="1">
        <v>41019</v>
      </c>
      <c r="E1831" t="s">
        <v>92</v>
      </c>
      <c r="F1831">
        <v>100</v>
      </c>
      <c r="G1831" t="s">
        <v>109</v>
      </c>
      <c r="H1831">
        <v>83.42</v>
      </c>
      <c r="I1831">
        <v>57</v>
      </c>
      <c r="J1831">
        <v>33.46</v>
      </c>
      <c r="K1831">
        <v>81</v>
      </c>
      <c r="L1831">
        <v>6.28</v>
      </c>
      <c r="M1831">
        <v>65</v>
      </c>
      <c r="N1831">
        <v>28.62</v>
      </c>
      <c r="O1831">
        <v>35</v>
      </c>
      <c r="P1831">
        <v>-1.45</v>
      </c>
      <c r="Q1831">
        <v>25</v>
      </c>
      <c r="R1831">
        <v>15.11</v>
      </c>
      <c r="S1831">
        <v>52</v>
      </c>
      <c r="T1831">
        <v>-2.31</v>
      </c>
      <c r="U1831">
        <v>16</v>
      </c>
      <c r="V1831">
        <v>3.71</v>
      </c>
      <c r="W1831">
        <v>10</v>
      </c>
      <c r="X1831" t="s">
        <v>110</v>
      </c>
      <c r="Y1831" t="s">
        <v>411</v>
      </c>
      <c r="Z1831" t="s">
        <v>96</v>
      </c>
      <c r="AA1831" t="s">
        <v>460</v>
      </c>
      <c r="AB1831" t="s">
        <v>7000</v>
      </c>
      <c r="AC1831">
        <v>0</v>
      </c>
      <c r="AD1831">
        <v>0</v>
      </c>
      <c r="AE1831">
        <v>81</v>
      </c>
      <c r="AF1831">
        <v>620</v>
      </c>
      <c r="AG1831">
        <v>1.78</v>
      </c>
      <c r="AH1831">
        <v>14.55</v>
      </c>
      <c r="AI1831">
        <v>-0.34</v>
      </c>
      <c r="AJ1831">
        <v>-0.1</v>
      </c>
      <c r="AK1831">
        <v>65</v>
      </c>
      <c r="AL1831">
        <v>0</v>
      </c>
      <c r="AM1831">
        <v>0</v>
      </c>
      <c r="AN1831">
        <v>1.93</v>
      </c>
      <c r="AO1831">
        <v>2.46</v>
      </c>
      <c r="AP1831">
        <v>2</v>
      </c>
      <c r="AQ1831">
        <v>0</v>
      </c>
      <c r="AR1831">
        <v>4</v>
      </c>
      <c r="AS1831">
        <v>15</v>
      </c>
      <c r="AT1831">
        <v>2.13</v>
      </c>
      <c r="AU1831">
        <v>83</v>
      </c>
      <c r="AV1831">
        <v>-1.08</v>
      </c>
      <c r="AW1831">
        <v>23</v>
      </c>
      <c r="AX1831">
        <v>-0.13</v>
      </c>
      <c r="AY1831">
        <v>20</v>
      </c>
      <c r="AZ1831">
        <v>5.52</v>
      </c>
      <c r="BA1831">
        <v>14</v>
      </c>
      <c r="BB1831">
        <v>4.37</v>
      </c>
      <c r="BC1831">
        <v>12</v>
      </c>
      <c r="BD1831">
        <v>-0.05</v>
      </c>
      <c r="BE1831">
        <v>-0.06</v>
      </c>
      <c r="BF1831">
        <v>-0.15</v>
      </c>
      <c r="BG1831">
        <v>83</v>
      </c>
      <c r="BH1831">
        <v>0.01</v>
      </c>
      <c r="BI1831">
        <v>-10.8</v>
      </c>
      <c r="BJ1831">
        <v>0</v>
      </c>
      <c r="BK1831">
        <v>0</v>
      </c>
      <c r="BL1831">
        <v>0.97</v>
      </c>
      <c r="BM1831">
        <v>-0.97</v>
      </c>
      <c r="BN1831">
        <v>0.11</v>
      </c>
      <c r="BO1831">
        <v>0.94</v>
      </c>
      <c r="BP1831">
        <v>-0.23</v>
      </c>
      <c r="BQ1831">
        <v>0.4</v>
      </c>
      <c r="BR1831">
        <v>0.34</v>
      </c>
      <c r="BS1831">
        <v>0.66</v>
      </c>
      <c r="BT1831">
        <v>0.19</v>
      </c>
      <c r="BU1831">
        <v>2.68</v>
      </c>
      <c r="BV1831">
        <v>1.72</v>
      </c>
      <c r="BW1831">
        <v>1.08</v>
      </c>
      <c r="BX1831">
        <v>1.69</v>
      </c>
      <c r="BY1831">
        <v>3.4</v>
      </c>
      <c r="BZ1831">
        <v>-2.4300000000000002</v>
      </c>
      <c r="CA1831">
        <v>1.67</v>
      </c>
      <c r="CB1831">
        <v>1.78</v>
      </c>
      <c r="CC1831">
        <v>0.65</v>
      </c>
      <c r="CD1831">
        <v>-0.6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1</v>
      </c>
      <c r="CK1831">
        <v>26</v>
      </c>
      <c r="CL1831">
        <v>-1.24</v>
      </c>
      <c r="CM1831">
        <v>24</v>
      </c>
      <c r="CN1831">
        <v>-0.79</v>
      </c>
      <c r="CO1831">
        <v>23</v>
      </c>
      <c r="CP1831">
        <v>4.8</v>
      </c>
      <c r="CQ1831">
        <v>18</v>
      </c>
      <c r="CR1831">
        <v>0</v>
      </c>
      <c r="CS1831">
        <v>0</v>
      </c>
      <c r="CT1831">
        <v>16.899999999999999</v>
      </c>
      <c r="CU1831">
        <v>16</v>
      </c>
      <c r="CV1831">
        <v>0.38</v>
      </c>
      <c r="CW1831">
        <v>7</v>
      </c>
      <c r="CX1831" t="s">
        <v>1848</v>
      </c>
    </row>
    <row r="1832" spans="1:102" x14ac:dyDescent="0.3">
      <c r="A1832" t="str">
        <f>HYPERLINK("https://webapp.icbf.com/v2/app/bull-search/view/1196695867","JE4533")</f>
        <v>JE4533</v>
      </c>
      <c r="B1832" t="s">
        <v>2501</v>
      </c>
      <c r="C1832" t="s">
        <v>2502</v>
      </c>
      <c r="D1832" s="1">
        <v>41219</v>
      </c>
      <c r="E1832" t="s">
        <v>227</v>
      </c>
      <c r="F1832">
        <v>0</v>
      </c>
      <c r="G1832" t="s">
        <v>109</v>
      </c>
      <c r="H1832">
        <v>83.41</v>
      </c>
      <c r="I1832">
        <v>69</v>
      </c>
      <c r="J1832">
        <v>44.16</v>
      </c>
      <c r="K1832">
        <v>87</v>
      </c>
      <c r="L1832">
        <v>17.18</v>
      </c>
      <c r="M1832">
        <v>79</v>
      </c>
      <c r="N1832">
        <v>15.89</v>
      </c>
      <c r="O1832">
        <v>47</v>
      </c>
      <c r="P1832">
        <v>-68.19</v>
      </c>
      <c r="Q1832">
        <v>36</v>
      </c>
      <c r="R1832">
        <v>-1.76</v>
      </c>
      <c r="S1832">
        <v>54</v>
      </c>
      <c r="T1832">
        <v>71.47</v>
      </c>
      <c r="U1832">
        <v>33</v>
      </c>
      <c r="V1832">
        <v>4.66</v>
      </c>
      <c r="W1832">
        <v>53</v>
      </c>
      <c r="X1832" t="s">
        <v>428</v>
      </c>
      <c r="Y1832" t="s">
        <v>442</v>
      </c>
      <c r="Z1832">
        <v>0</v>
      </c>
      <c r="AA1832" t="s">
        <v>2503</v>
      </c>
      <c r="AB1832" t="s">
        <v>2504</v>
      </c>
      <c r="AC1832">
        <v>0</v>
      </c>
      <c r="AD1832">
        <v>0</v>
      </c>
      <c r="AE1832">
        <v>87</v>
      </c>
      <c r="AF1832">
        <v>-35.659999999999997</v>
      </c>
      <c r="AG1832">
        <v>11.8</v>
      </c>
      <c r="AH1832">
        <v>2.79</v>
      </c>
      <c r="AI1832">
        <v>0.23</v>
      </c>
      <c r="AJ1832">
        <v>7.0000000000000007E-2</v>
      </c>
      <c r="AK1832">
        <v>79</v>
      </c>
      <c r="AL1832">
        <v>0</v>
      </c>
      <c r="AM1832">
        <v>0</v>
      </c>
      <c r="AN1832">
        <v>1.37</v>
      </c>
      <c r="AO1832">
        <v>2.77</v>
      </c>
      <c r="AP1832">
        <v>6</v>
      </c>
      <c r="AQ1832">
        <v>0</v>
      </c>
      <c r="AR1832">
        <v>3.48</v>
      </c>
      <c r="AS1832">
        <v>44</v>
      </c>
      <c r="AT1832">
        <v>2.13</v>
      </c>
      <c r="AU1832">
        <v>51</v>
      </c>
      <c r="AV1832">
        <v>-1.59</v>
      </c>
      <c r="AW1832">
        <v>52</v>
      </c>
      <c r="AX1832">
        <v>4.2300000000000004</v>
      </c>
      <c r="AY1832">
        <v>41</v>
      </c>
      <c r="AZ1832">
        <v>7.02</v>
      </c>
      <c r="BA1832">
        <v>34</v>
      </c>
      <c r="BB1832">
        <v>5.25</v>
      </c>
      <c r="BC1832">
        <v>33</v>
      </c>
      <c r="BD1832">
        <v>-7.0000000000000007E-2</v>
      </c>
      <c r="BE1832">
        <v>0.03</v>
      </c>
      <c r="BF1832">
        <v>0.1</v>
      </c>
      <c r="BG1832">
        <v>59</v>
      </c>
      <c r="BH1832">
        <v>7.0000000000000007E-2</v>
      </c>
      <c r="BI1832">
        <v>-6.93</v>
      </c>
      <c r="BJ1832">
        <v>0</v>
      </c>
      <c r="BK1832">
        <v>0</v>
      </c>
      <c r="BL1832">
        <v>-1.03</v>
      </c>
      <c r="BM1832">
        <v>-1.51</v>
      </c>
      <c r="BN1832">
        <v>0.09</v>
      </c>
      <c r="BO1832">
        <v>1.6</v>
      </c>
      <c r="BP1832">
        <v>0.17</v>
      </c>
      <c r="BQ1832">
        <v>-4.6399999999999997</v>
      </c>
      <c r="BR1832">
        <v>2.33</v>
      </c>
      <c r="BS1832">
        <v>6.34</v>
      </c>
      <c r="BT1832">
        <v>-1.37</v>
      </c>
      <c r="BU1832">
        <v>1.26</v>
      </c>
      <c r="BV1832">
        <v>1.26</v>
      </c>
      <c r="BW1832">
        <v>-1.21</v>
      </c>
      <c r="BX1832">
        <v>-1.85</v>
      </c>
      <c r="BY1832">
        <v>0.51</v>
      </c>
      <c r="BZ1832">
        <v>0.08</v>
      </c>
      <c r="CA1832">
        <v>2.61</v>
      </c>
      <c r="CB1832">
        <v>1.34</v>
      </c>
      <c r="CC1832">
        <v>4.05</v>
      </c>
      <c r="CD1832">
        <v>-2.16</v>
      </c>
      <c r="CE1832">
        <v>1.62</v>
      </c>
      <c r="CF1832">
        <v>-0.54</v>
      </c>
      <c r="CG1832">
        <v>0</v>
      </c>
      <c r="CH1832">
        <v>-0.39</v>
      </c>
      <c r="CI1832">
        <v>0</v>
      </c>
      <c r="CJ1832">
        <v>-36.200000000000003</v>
      </c>
      <c r="CK1832">
        <v>38</v>
      </c>
      <c r="CL1832">
        <v>-1.21</v>
      </c>
      <c r="CM1832">
        <v>33</v>
      </c>
      <c r="CN1832">
        <v>-0.2</v>
      </c>
      <c r="CO1832">
        <v>33</v>
      </c>
      <c r="CP1832">
        <v>-53.9</v>
      </c>
      <c r="CQ1832">
        <v>34</v>
      </c>
      <c r="CR1832">
        <v>0</v>
      </c>
      <c r="CS1832">
        <v>0</v>
      </c>
      <c r="CT1832">
        <v>-82.8</v>
      </c>
      <c r="CU1832">
        <v>33</v>
      </c>
      <c r="CV1832">
        <v>-0.28999999999999998</v>
      </c>
      <c r="CW1832">
        <v>31</v>
      </c>
      <c r="CX1832" t="s">
        <v>2505</v>
      </c>
    </row>
    <row r="1833" spans="1:102" x14ac:dyDescent="0.3">
      <c r="A1833" t="str">
        <f>HYPERLINK("https://webapp.icbf.com/v2/app/bull-search/view/442350309","KZL")</f>
        <v>KZL</v>
      </c>
      <c r="B1833" t="s">
        <v>4498</v>
      </c>
      <c r="C1833" t="s">
        <v>4499</v>
      </c>
      <c r="D1833" s="1">
        <v>38757</v>
      </c>
      <c r="E1833" t="s">
        <v>92</v>
      </c>
      <c r="F1833">
        <v>94</v>
      </c>
      <c r="G1833" t="s">
        <v>116</v>
      </c>
      <c r="H1833">
        <v>83.22</v>
      </c>
      <c r="I1833">
        <v>34</v>
      </c>
      <c r="J1833">
        <v>35.729999999999997</v>
      </c>
      <c r="K1833">
        <v>23</v>
      </c>
      <c r="L1833">
        <v>2.58</v>
      </c>
      <c r="M1833">
        <v>33</v>
      </c>
      <c r="N1833">
        <v>36.07</v>
      </c>
      <c r="O1833">
        <v>47</v>
      </c>
      <c r="P1833">
        <v>-0.92</v>
      </c>
      <c r="Q1833">
        <v>60</v>
      </c>
      <c r="R1833">
        <v>-1.75</v>
      </c>
      <c r="S1833">
        <v>37</v>
      </c>
      <c r="T1833">
        <v>7.54</v>
      </c>
      <c r="U1833">
        <v>46</v>
      </c>
      <c r="V1833">
        <v>3.97</v>
      </c>
      <c r="W1833">
        <v>33</v>
      </c>
      <c r="X1833" t="s">
        <v>94</v>
      </c>
      <c r="Y1833" t="s">
        <v>1251</v>
      </c>
      <c r="Z1833" t="s">
        <v>96</v>
      </c>
      <c r="AA1833" t="s">
        <v>1165</v>
      </c>
      <c r="AB1833" t="s">
        <v>4500</v>
      </c>
      <c r="AC1833">
        <v>2</v>
      </c>
      <c r="AD1833">
        <v>2</v>
      </c>
      <c r="AE1833">
        <v>23</v>
      </c>
      <c r="AF1833">
        <v>121.74</v>
      </c>
      <c r="AG1833">
        <v>8.7899999999999991</v>
      </c>
      <c r="AH1833">
        <v>4.83</v>
      </c>
      <c r="AI1833">
        <v>7.0000000000000007E-2</v>
      </c>
      <c r="AJ1833">
        <v>0.01</v>
      </c>
      <c r="AK1833">
        <v>33</v>
      </c>
      <c r="AL1833">
        <v>2</v>
      </c>
      <c r="AM1833">
        <v>2</v>
      </c>
      <c r="AN1833">
        <v>0.17</v>
      </c>
      <c r="AO1833">
        <v>0.38</v>
      </c>
      <c r="AP1833">
        <v>7</v>
      </c>
      <c r="AQ1833">
        <v>0</v>
      </c>
      <c r="AR1833">
        <v>4.96</v>
      </c>
      <c r="AS1833">
        <v>30</v>
      </c>
      <c r="AT1833">
        <v>2.0099999999999998</v>
      </c>
      <c r="AU1833">
        <v>40</v>
      </c>
      <c r="AV1833">
        <v>-2.57</v>
      </c>
      <c r="AW1833">
        <v>63</v>
      </c>
      <c r="AX1833">
        <v>-0.6</v>
      </c>
      <c r="AY1833">
        <v>37</v>
      </c>
      <c r="AZ1833">
        <v>6.29</v>
      </c>
      <c r="BA1833">
        <v>30</v>
      </c>
      <c r="BB1833">
        <v>5.0999999999999996</v>
      </c>
      <c r="BC1833">
        <v>30</v>
      </c>
      <c r="BD1833">
        <v>0.02</v>
      </c>
      <c r="BE1833">
        <v>0.03</v>
      </c>
      <c r="BF1833">
        <v>-0.05</v>
      </c>
      <c r="BG1833">
        <v>40</v>
      </c>
      <c r="BH1833">
        <v>0.06</v>
      </c>
      <c r="BI1833">
        <v>-5.87</v>
      </c>
      <c r="BJ1833">
        <v>0</v>
      </c>
      <c r="BK1833">
        <v>0</v>
      </c>
      <c r="BL1833">
        <v>0.21</v>
      </c>
      <c r="BM1833">
        <v>0.78</v>
      </c>
      <c r="BN1833">
        <v>-0.21</v>
      </c>
      <c r="BO1833">
        <v>-0.66</v>
      </c>
      <c r="BP1833">
        <v>1.77</v>
      </c>
      <c r="BQ1833">
        <v>0</v>
      </c>
      <c r="BR1833">
        <v>-0.3</v>
      </c>
      <c r="BS1833">
        <v>-1.1599999999999999</v>
      </c>
      <c r="BT1833">
        <v>-0.35</v>
      </c>
      <c r="BU1833">
        <v>-0.61</v>
      </c>
      <c r="BV1833">
        <v>-0.85</v>
      </c>
      <c r="BW1833">
        <v>-0.73</v>
      </c>
      <c r="BX1833">
        <v>0.5</v>
      </c>
      <c r="BY1833">
        <v>-0.53</v>
      </c>
      <c r="BZ1833">
        <v>-0.62</v>
      </c>
      <c r="CA1833">
        <v>-0.63</v>
      </c>
      <c r="CB1833">
        <v>-0.52</v>
      </c>
      <c r="CC1833">
        <v>-0.67</v>
      </c>
      <c r="CD1833">
        <v>0.72</v>
      </c>
      <c r="CE1833">
        <v>-0.67</v>
      </c>
      <c r="CF1833">
        <v>-0.15</v>
      </c>
      <c r="CG1833">
        <v>0</v>
      </c>
      <c r="CH1833">
        <v>-1.37</v>
      </c>
      <c r="CI1833">
        <v>0</v>
      </c>
      <c r="CJ1833">
        <v>0.7</v>
      </c>
      <c r="CK1833">
        <v>63</v>
      </c>
      <c r="CL1833">
        <v>-0.44</v>
      </c>
      <c r="CM1833">
        <v>58</v>
      </c>
      <c r="CN1833">
        <v>-0.25</v>
      </c>
      <c r="CO1833">
        <v>56</v>
      </c>
      <c r="CP1833">
        <v>-1.8</v>
      </c>
      <c r="CQ1833">
        <v>47</v>
      </c>
      <c r="CR1833">
        <v>0</v>
      </c>
      <c r="CS1833">
        <v>0</v>
      </c>
      <c r="CT1833">
        <v>3.6</v>
      </c>
      <c r="CU1833">
        <v>46</v>
      </c>
      <c r="CV1833">
        <v>0.19</v>
      </c>
      <c r="CW1833">
        <v>20</v>
      </c>
      <c r="CX1833" t="s">
        <v>4497</v>
      </c>
    </row>
    <row r="1834" spans="1:102" x14ac:dyDescent="0.3">
      <c r="A1834" t="str">
        <f>HYPERLINK("https://webapp.icbf.com/v2/app/bull-search/view/720494717","KJW")</f>
        <v>KJW</v>
      </c>
      <c r="B1834" t="s">
        <v>9036</v>
      </c>
      <c r="C1834" t="s">
        <v>9037</v>
      </c>
      <c r="D1834" s="1">
        <v>39661</v>
      </c>
      <c r="E1834" t="s">
        <v>227</v>
      </c>
      <c r="F1834">
        <v>0</v>
      </c>
      <c r="G1834" t="s">
        <v>93</v>
      </c>
      <c r="H1834">
        <v>83.19</v>
      </c>
      <c r="I1834">
        <v>95</v>
      </c>
      <c r="J1834">
        <v>51.44</v>
      </c>
      <c r="K1834">
        <v>99</v>
      </c>
      <c r="L1834">
        <v>-13.88</v>
      </c>
      <c r="M1834">
        <v>92</v>
      </c>
      <c r="N1834">
        <v>40.799999999999997</v>
      </c>
      <c r="O1834">
        <v>96</v>
      </c>
      <c r="P1834">
        <v>-51.63</v>
      </c>
      <c r="Q1834">
        <v>98</v>
      </c>
      <c r="R1834">
        <v>-1.1200000000000001</v>
      </c>
      <c r="S1834">
        <v>90</v>
      </c>
      <c r="T1834">
        <v>50.46</v>
      </c>
      <c r="U1834">
        <v>97</v>
      </c>
      <c r="V1834">
        <v>7.12</v>
      </c>
      <c r="W1834">
        <v>86</v>
      </c>
      <c r="X1834" t="s">
        <v>276</v>
      </c>
      <c r="Y1834" t="s">
        <v>329</v>
      </c>
      <c r="Z1834">
        <v>0</v>
      </c>
      <c r="AA1834" t="s">
        <v>226</v>
      </c>
      <c r="AB1834" t="s">
        <v>9038</v>
      </c>
      <c r="AC1834">
        <v>540</v>
      </c>
      <c r="AD1834">
        <v>169</v>
      </c>
      <c r="AE1834">
        <v>99</v>
      </c>
      <c r="AF1834">
        <v>-191.86</v>
      </c>
      <c r="AG1834">
        <v>7.92</v>
      </c>
      <c r="AH1834">
        <v>3.01</v>
      </c>
      <c r="AI1834">
        <v>0.28000000000000003</v>
      </c>
      <c r="AJ1834">
        <v>0.17</v>
      </c>
      <c r="AK1834">
        <v>92</v>
      </c>
      <c r="AL1834">
        <v>571</v>
      </c>
      <c r="AM1834">
        <v>174</v>
      </c>
      <c r="AN1834">
        <v>0.52</v>
      </c>
      <c r="AO1834">
        <v>-0.59</v>
      </c>
      <c r="AP1834">
        <v>988</v>
      </c>
      <c r="AQ1834">
        <v>2</v>
      </c>
      <c r="AR1834">
        <v>2.94</v>
      </c>
      <c r="AS1834">
        <v>95</v>
      </c>
      <c r="AT1834">
        <v>1.42</v>
      </c>
      <c r="AU1834">
        <v>96</v>
      </c>
      <c r="AV1834">
        <v>-3.28</v>
      </c>
      <c r="AW1834">
        <v>99</v>
      </c>
      <c r="AX1834">
        <v>0.98</v>
      </c>
      <c r="AY1834">
        <v>96</v>
      </c>
      <c r="AZ1834">
        <v>7.25</v>
      </c>
      <c r="BA1834">
        <v>89</v>
      </c>
      <c r="BB1834">
        <v>5.47</v>
      </c>
      <c r="BC1834">
        <v>89</v>
      </c>
      <c r="BD1834">
        <v>-0.05</v>
      </c>
      <c r="BE1834">
        <v>0.01</v>
      </c>
      <c r="BF1834">
        <v>0.09</v>
      </c>
      <c r="BG1834">
        <v>97</v>
      </c>
      <c r="BH1834">
        <v>7.0000000000000007E-2</v>
      </c>
      <c r="BI1834">
        <v>-14.86</v>
      </c>
      <c r="BJ1834">
        <v>9</v>
      </c>
      <c r="BK1834">
        <v>6</v>
      </c>
      <c r="BL1834">
        <v>-3.67</v>
      </c>
      <c r="BM1834">
        <v>-2.5</v>
      </c>
      <c r="BN1834">
        <v>-0.89</v>
      </c>
      <c r="BO1834">
        <v>1.25</v>
      </c>
      <c r="BP1834">
        <v>-0.09</v>
      </c>
      <c r="BQ1834">
        <v>-6.27</v>
      </c>
      <c r="BR1834">
        <v>3.75</v>
      </c>
      <c r="BS1834">
        <v>5.6</v>
      </c>
      <c r="BT1834">
        <v>-1.62</v>
      </c>
      <c r="BU1834">
        <v>-0.9</v>
      </c>
      <c r="BV1834">
        <v>-0.18</v>
      </c>
      <c r="BW1834">
        <v>-1.74</v>
      </c>
      <c r="BX1834">
        <v>-3.31</v>
      </c>
      <c r="BY1834">
        <v>1.39</v>
      </c>
      <c r="BZ1834">
        <v>-1.29</v>
      </c>
      <c r="CA1834">
        <v>0.57999999999999996</v>
      </c>
      <c r="CB1834">
        <v>-0.63</v>
      </c>
      <c r="CC1834">
        <v>3</v>
      </c>
      <c r="CD1834">
        <v>-1.95</v>
      </c>
      <c r="CE1834">
        <v>1.37</v>
      </c>
      <c r="CF1834">
        <v>-3.82</v>
      </c>
      <c r="CG1834">
        <v>0</v>
      </c>
      <c r="CH1834">
        <v>-0.19</v>
      </c>
      <c r="CI1834">
        <v>0</v>
      </c>
      <c r="CJ1834">
        <v>-27.9</v>
      </c>
      <c r="CK1834">
        <v>98</v>
      </c>
      <c r="CL1834">
        <v>-0.93</v>
      </c>
      <c r="CM1834">
        <v>98</v>
      </c>
      <c r="CN1834">
        <v>-0.26</v>
      </c>
      <c r="CO1834">
        <v>98</v>
      </c>
      <c r="CP1834">
        <v>-43.8</v>
      </c>
      <c r="CQ1834">
        <v>96</v>
      </c>
      <c r="CR1834">
        <v>0</v>
      </c>
      <c r="CS1834">
        <v>0</v>
      </c>
      <c r="CT1834">
        <v>-54.4</v>
      </c>
      <c r="CU1834">
        <v>97</v>
      </c>
      <c r="CV1834">
        <v>-0.22</v>
      </c>
      <c r="CW1834">
        <v>46</v>
      </c>
      <c r="CX1834" t="s">
        <v>1525</v>
      </c>
    </row>
    <row r="1835" spans="1:102" x14ac:dyDescent="0.3">
      <c r="A1835" t="str">
        <f>HYPERLINK("https://webapp.icbf.com/v2/app/bull-search/view/77856358","JSR")</f>
        <v>JSR</v>
      </c>
      <c r="B1835" t="s">
        <v>10425</v>
      </c>
      <c r="C1835" t="s">
        <v>10426</v>
      </c>
      <c r="D1835" s="1">
        <v>33237</v>
      </c>
      <c r="E1835" t="s">
        <v>92</v>
      </c>
      <c r="F1835">
        <v>81</v>
      </c>
      <c r="G1835" t="s">
        <v>93</v>
      </c>
      <c r="H1835">
        <v>83.1</v>
      </c>
      <c r="I1835">
        <v>89</v>
      </c>
      <c r="J1835">
        <v>-1.89</v>
      </c>
      <c r="K1835">
        <v>98</v>
      </c>
      <c r="L1835">
        <v>50.84</v>
      </c>
      <c r="M1835">
        <v>85</v>
      </c>
      <c r="N1835">
        <v>31.09</v>
      </c>
      <c r="O1835">
        <v>83</v>
      </c>
      <c r="P1835">
        <v>-10.35</v>
      </c>
      <c r="Q1835">
        <v>91</v>
      </c>
      <c r="R1835">
        <v>2.5499999999999998</v>
      </c>
      <c r="S1835">
        <v>82</v>
      </c>
      <c r="T1835">
        <v>16.05</v>
      </c>
      <c r="U1835">
        <v>89</v>
      </c>
      <c r="V1835">
        <v>-5.19</v>
      </c>
      <c r="W1835">
        <v>68</v>
      </c>
      <c r="X1835" t="s">
        <v>94</v>
      </c>
      <c r="Y1835" t="s">
        <v>95</v>
      </c>
      <c r="Z1835" t="s">
        <v>96</v>
      </c>
      <c r="AA1835" t="s">
        <v>1473</v>
      </c>
      <c r="AB1835" t="s">
        <v>10427</v>
      </c>
      <c r="AC1835">
        <v>173</v>
      </c>
      <c r="AD1835">
        <v>134</v>
      </c>
      <c r="AE1835">
        <v>98</v>
      </c>
      <c r="AF1835">
        <v>-483.78</v>
      </c>
      <c r="AG1835">
        <v>1.68</v>
      </c>
      <c r="AH1835">
        <v>-8.32</v>
      </c>
      <c r="AI1835">
        <v>0.39</v>
      </c>
      <c r="AJ1835">
        <v>0.15</v>
      </c>
      <c r="AK1835">
        <v>85</v>
      </c>
      <c r="AL1835">
        <v>382</v>
      </c>
      <c r="AM1835">
        <v>227</v>
      </c>
      <c r="AN1835">
        <v>-2.3199999999999998</v>
      </c>
      <c r="AO1835">
        <v>1.74</v>
      </c>
      <c r="AP1835">
        <v>56</v>
      </c>
      <c r="AQ1835">
        <v>3</v>
      </c>
      <c r="AR1835">
        <v>5.57</v>
      </c>
      <c r="AS1835">
        <v>60</v>
      </c>
      <c r="AT1835">
        <v>2</v>
      </c>
      <c r="AU1835">
        <v>83</v>
      </c>
      <c r="AV1835">
        <v>-2.44</v>
      </c>
      <c r="AW1835">
        <v>90</v>
      </c>
      <c r="AX1835">
        <v>-0.61</v>
      </c>
      <c r="AY1835">
        <v>89</v>
      </c>
      <c r="AZ1835">
        <v>7.44</v>
      </c>
      <c r="BA1835">
        <v>56</v>
      </c>
      <c r="BB1835">
        <v>5.31</v>
      </c>
      <c r="BC1835">
        <v>74</v>
      </c>
      <c r="BD1835">
        <v>-0.01</v>
      </c>
      <c r="BE1835">
        <v>0.02</v>
      </c>
      <c r="BF1835">
        <v>-0.08</v>
      </c>
      <c r="BG1835">
        <v>97</v>
      </c>
      <c r="BH1835">
        <v>-0.05</v>
      </c>
      <c r="BI1835">
        <v>10.96</v>
      </c>
      <c r="BJ1835">
        <v>42</v>
      </c>
      <c r="BK1835">
        <v>28</v>
      </c>
      <c r="BL1835">
        <v>-0.66</v>
      </c>
      <c r="BM1835">
        <v>0.31</v>
      </c>
      <c r="BN1835">
        <v>-0.18</v>
      </c>
      <c r="BO1835">
        <v>-0.51</v>
      </c>
      <c r="BP1835">
        <v>-0.97</v>
      </c>
      <c r="BQ1835">
        <v>-0.91</v>
      </c>
      <c r="BR1835">
        <v>-0.68</v>
      </c>
      <c r="BS1835">
        <v>0.27</v>
      </c>
      <c r="BT1835">
        <v>7.0000000000000007E-2</v>
      </c>
      <c r="BU1835">
        <v>-1.47</v>
      </c>
      <c r="BV1835">
        <v>-1.31</v>
      </c>
      <c r="BW1835">
        <v>-0.82</v>
      </c>
      <c r="BX1835">
        <v>-1.1000000000000001</v>
      </c>
      <c r="BY1835">
        <v>-1.64</v>
      </c>
      <c r="BZ1835">
        <v>0.59</v>
      </c>
      <c r="CA1835">
        <v>-0.4</v>
      </c>
      <c r="CB1835">
        <v>-1.27</v>
      </c>
      <c r="CC1835">
        <v>1.19</v>
      </c>
      <c r="CD1835">
        <v>0.71</v>
      </c>
      <c r="CE1835">
        <v>-0.31</v>
      </c>
      <c r="CF1835">
        <v>-0.3</v>
      </c>
      <c r="CG1835">
        <v>0</v>
      </c>
      <c r="CH1835">
        <v>-2.0299999999999998</v>
      </c>
      <c r="CI1835">
        <v>0</v>
      </c>
      <c r="CJ1835">
        <v>-4.7</v>
      </c>
      <c r="CK1835">
        <v>92</v>
      </c>
      <c r="CL1835">
        <v>-0.43</v>
      </c>
      <c r="CM1835">
        <v>91</v>
      </c>
      <c r="CN1835">
        <v>-0.09</v>
      </c>
      <c r="CO1835">
        <v>89</v>
      </c>
      <c r="CP1835">
        <v>-3.2</v>
      </c>
      <c r="CQ1835">
        <v>93</v>
      </c>
      <c r="CR1835">
        <v>0</v>
      </c>
      <c r="CS1835">
        <v>0</v>
      </c>
      <c r="CT1835">
        <v>-7.9</v>
      </c>
      <c r="CU1835">
        <v>89</v>
      </c>
      <c r="CV1835">
        <v>-0.02</v>
      </c>
      <c r="CW1835">
        <v>44</v>
      </c>
      <c r="CX1835" t="s">
        <v>10428</v>
      </c>
    </row>
    <row r="1836" spans="1:102" x14ac:dyDescent="0.3">
      <c r="A1836" t="str">
        <f>HYPERLINK("https://webapp.icbf.com/v2/app/bull-search/view/414148908","PTZ")</f>
        <v>PTZ</v>
      </c>
      <c r="B1836" t="s">
        <v>15400</v>
      </c>
      <c r="C1836" t="s">
        <v>15401</v>
      </c>
      <c r="D1836" s="1">
        <v>35844</v>
      </c>
      <c r="E1836" t="s">
        <v>146</v>
      </c>
      <c r="F1836">
        <v>25</v>
      </c>
      <c r="G1836" t="s">
        <v>109</v>
      </c>
      <c r="H1836">
        <v>83.05</v>
      </c>
      <c r="I1836">
        <v>56</v>
      </c>
      <c r="J1836">
        <v>40.520000000000003</v>
      </c>
      <c r="K1836">
        <v>65</v>
      </c>
      <c r="L1836">
        <v>5.16</v>
      </c>
      <c r="M1836">
        <v>40</v>
      </c>
      <c r="N1836">
        <v>11.88</v>
      </c>
      <c r="O1836">
        <v>62</v>
      </c>
      <c r="P1836">
        <v>15.91</v>
      </c>
      <c r="Q1836">
        <v>81</v>
      </c>
      <c r="R1836">
        <v>-5.18</v>
      </c>
      <c r="S1836">
        <v>55</v>
      </c>
      <c r="T1836">
        <v>21.3</v>
      </c>
      <c r="U1836">
        <v>63</v>
      </c>
      <c r="V1836">
        <v>-6.54</v>
      </c>
      <c r="W1836">
        <v>36</v>
      </c>
      <c r="X1836" t="s">
        <v>276</v>
      </c>
      <c r="Y1836" t="s">
        <v>95</v>
      </c>
      <c r="Z1836">
        <v>0</v>
      </c>
      <c r="AA1836" t="s">
        <v>236</v>
      </c>
      <c r="AB1836" t="s">
        <v>15402</v>
      </c>
      <c r="AC1836">
        <v>0</v>
      </c>
      <c r="AD1836">
        <v>0</v>
      </c>
      <c r="AE1836">
        <v>65</v>
      </c>
      <c r="AF1836">
        <v>56.89</v>
      </c>
      <c r="AG1836">
        <v>0.43</v>
      </c>
      <c r="AH1836">
        <v>7.61</v>
      </c>
      <c r="AI1836">
        <v>-0.03</v>
      </c>
      <c r="AJ1836">
        <v>0.09</v>
      </c>
      <c r="AK1836">
        <v>40</v>
      </c>
      <c r="AL1836">
        <v>0</v>
      </c>
      <c r="AM1836">
        <v>0</v>
      </c>
      <c r="AN1836">
        <v>-1.93</v>
      </c>
      <c r="AO1836">
        <v>-1.54</v>
      </c>
      <c r="AP1836">
        <v>51</v>
      </c>
      <c r="AQ1836">
        <v>0</v>
      </c>
      <c r="AR1836">
        <v>6.85</v>
      </c>
      <c r="AS1836">
        <v>54</v>
      </c>
      <c r="AT1836">
        <v>2.89</v>
      </c>
      <c r="AU1836">
        <v>55</v>
      </c>
      <c r="AV1836">
        <v>-0.78</v>
      </c>
      <c r="AW1836">
        <v>82</v>
      </c>
      <c r="AX1836">
        <v>-0.21</v>
      </c>
      <c r="AY1836">
        <v>61</v>
      </c>
      <c r="AZ1836">
        <v>6.32</v>
      </c>
      <c r="BA1836">
        <v>31</v>
      </c>
      <c r="BB1836">
        <v>4.79</v>
      </c>
      <c r="BC1836">
        <v>30</v>
      </c>
      <c r="BD1836">
        <v>0</v>
      </c>
      <c r="BE1836">
        <v>0.01</v>
      </c>
      <c r="BF1836">
        <v>0.1</v>
      </c>
      <c r="BG1836">
        <v>71</v>
      </c>
      <c r="BH1836">
        <v>-0.06</v>
      </c>
      <c r="BI1836">
        <v>14.14</v>
      </c>
      <c r="BJ1836">
        <v>1</v>
      </c>
      <c r="BK1836">
        <v>1</v>
      </c>
      <c r="BL1836">
        <v>-1.47</v>
      </c>
      <c r="BM1836">
        <v>3.14</v>
      </c>
      <c r="BN1836">
        <v>0.69</v>
      </c>
      <c r="BO1836">
        <v>-0.95</v>
      </c>
      <c r="BP1836">
        <v>3.32</v>
      </c>
      <c r="BQ1836">
        <v>0.84</v>
      </c>
      <c r="BR1836">
        <v>-1.03</v>
      </c>
      <c r="BS1836">
        <v>0.24</v>
      </c>
      <c r="BT1836">
        <v>-0.69</v>
      </c>
      <c r="BU1836">
        <v>-2.61</v>
      </c>
      <c r="BV1836">
        <v>-2.67</v>
      </c>
      <c r="BW1836">
        <v>-2.5299999999999998</v>
      </c>
      <c r="BX1836">
        <v>-2.68</v>
      </c>
      <c r="BY1836">
        <v>-2.0499999999999998</v>
      </c>
      <c r="BZ1836">
        <v>-0.09</v>
      </c>
      <c r="CA1836">
        <v>-2.09</v>
      </c>
      <c r="CB1836">
        <v>-2.16</v>
      </c>
      <c r="CC1836">
        <v>-0.69</v>
      </c>
      <c r="CD1836">
        <v>2.44</v>
      </c>
      <c r="CE1836">
        <v>-1.78</v>
      </c>
      <c r="CF1836">
        <v>-0.17</v>
      </c>
      <c r="CG1836">
        <v>0</v>
      </c>
      <c r="CH1836">
        <v>-1.79</v>
      </c>
      <c r="CI1836">
        <v>0</v>
      </c>
      <c r="CJ1836">
        <v>8.1999999999999993</v>
      </c>
      <c r="CK1836">
        <v>83</v>
      </c>
      <c r="CL1836">
        <v>0.21</v>
      </c>
      <c r="CM1836">
        <v>80</v>
      </c>
      <c r="CN1836">
        <v>-0.28000000000000003</v>
      </c>
      <c r="CO1836">
        <v>77</v>
      </c>
      <c r="CP1836">
        <v>-5.7</v>
      </c>
      <c r="CQ1836">
        <v>72</v>
      </c>
      <c r="CR1836">
        <v>0</v>
      </c>
      <c r="CS1836">
        <v>0</v>
      </c>
      <c r="CT1836">
        <v>-15</v>
      </c>
      <c r="CU1836">
        <v>63</v>
      </c>
      <c r="CV1836">
        <v>0.04</v>
      </c>
      <c r="CW1836">
        <v>23</v>
      </c>
      <c r="CX1836" t="s">
        <v>7028</v>
      </c>
    </row>
    <row r="1837" spans="1:102" x14ac:dyDescent="0.3">
      <c r="A1837" t="str">
        <f>HYPERLINK("https://webapp.icbf.com/v2/app/bull-search/view/441415676","KJI")</f>
        <v>KJI</v>
      </c>
      <c r="B1837" t="s">
        <v>2591</v>
      </c>
      <c r="C1837" t="s">
        <v>2592</v>
      </c>
      <c r="D1837" s="1">
        <v>38749</v>
      </c>
      <c r="E1837" t="s">
        <v>92</v>
      </c>
      <c r="F1837">
        <v>88</v>
      </c>
      <c r="G1837" t="s">
        <v>93</v>
      </c>
      <c r="H1837">
        <v>83.03</v>
      </c>
      <c r="I1837">
        <v>87</v>
      </c>
      <c r="J1837">
        <v>30.28</v>
      </c>
      <c r="K1837">
        <v>96</v>
      </c>
      <c r="L1837">
        <v>37.19</v>
      </c>
      <c r="M1837">
        <v>79</v>
      </c>
      <c r="N1837">
        <v>9.26</v>
      </c>
      <c r="O1837">
        <v>86</v>
      </c>
      <c r="P1837">
        <v>-1.44</v>
      </c>
      <c r="Q1837">
        <v>92</v>
      </c>
      <c r="R1837">
        <v>4.26</v>
      </c>
      <c r="S1837">
        <v>83</v>
      </c>
      <c r="T1837">
        <v>-0.38</v>
      </c>
      <c r="U1837">
        <v>88</v>
      </c>
      <c r="V1837">
        <v>3.86</v>
      </c>
      <c r="W1837">
        <v>83</v>
      </c>
      <c r="X1837" t="s">
        <v>94</v>
      </c>
      <c r="Y1837" t="s">
        <v>1251</v>
      </c>
      <c r="Z1837" t="s">
        <v>96</v>
      </c>
      <c r="AA1837" t="s">
        <v>1165</v>
      </c>
      <c r="AB1837" t="s">
        <v>2593</v>
      </c>
      <c r="AC1837">
        <v>85</v>
      </c>
      <c r="AD1837">
        <v>63</v>
      </c>
      <c r="AE1837">
        <v>96</v>
      </c>
      <c r="AF1837">
        <v>36.299999999999997</v>
      </c>
      <c r="AG1837">
        <v>10.42</v>
      </c>
      <c r="AH1837">
        <v>2.02</v>
      </c>
      <c r="AI1837">
        <v>0.16</v>
      </c>
      <c r="AJ1837">
        <v>0.01</v>
      </c>
      <c r="AK1837">
        <v>79</v>
      </c>
      <c r="AL1837">
        <v>86</v>
      </c>
      <c r="AM1837">
        <v>64</v>
      </c>
      <c r="AN1837">
        <v>-1.68</v>
      </c>
      <c r="AO1837">
        <v>1.29</v>
      </c>
      <c r="AP1837">
        <v>226</v>
      </c>
      <c r="AQ1837">
        <v>1</v>
      </c>
      <c r="AR1837">
        <v>11.14</v>
      </c>
      <c r="AS1837">
        <v>71</v>
      </c>
      <c r="AT1837">
        <v>3.94</v>
      </c>
      <c r="AU1837">
        <v>89</v>
      </c>
      <c r="AV1837">
        <v>-2.86</v>
      </c>
      <c r="AW1837">
        <v>96</v>
      </c>
      <c r="AX1837">
        <v>-0.51</v>
      </c>
      <c r="AY1837">
        <v>82</v>
      </c>
      <c r="AZ1837">
        <v>5.52</v>
      </c>
      <c r="BA1837">
        <v>68</v>
      </c>
      <c r="BB1837">
        <v>4.41</v>
      </c>
      <c r="BC1837">
        <v>69</v>
      </c>
      <c r="BD1837">
        <v>-0.03</v>
      </c>
      <c r="BE1837">
        <v>-0.02</v>
      </c>
      <c r="BF1837">
        <v>-0.01</v>
      </c>
      <c r="BG1837">
        <v>89</v>
      </c>
      <c r="BH1837">
        <v>0.05</v>
      </c>
      <c r="BI1837">
        <v>-6.67</v>
      </c>
      <c r="BJ1837">
        <v>5</v>
      </c>
      <c r="BK1837">
        <v>5</v>
      </c>
      <c r="BL1837">
        <v>0.27</v>
      </c>
      <c r="BM1837">
        <v>-0.28000000000000003</v>
      </c>
      <c r="BN1837">
        <v>-0.19</v>
      </c>
      <c r="BO1837">
        <v>-0.04</v>
      </c>
      <c r="BP1837">
        <v>3.29</v>
      </c>
      <c r="BQ1837">
        <v>0.76</v>
      </c>
      <c r="BR1837">
        <v>-0.77</v>
      </c>
      <c r="BS1837">
        <v>-0.09</v>
      </c>
      <c r="BT1837">
        <v>-0.75</v>
      </c>
      <c r="BU1837">
        <v>0.7</v>
      </c>
      <c r="BV1837">
        <v>0.87</v>
      </c>
      <c r="BW1837">
        <v>0.86</v>
      </c>
      <c r="BX1837">
        <v>1.1000000000000001</v>
      </c>
      <c r="BY1837">
        <v>0.69</v>
      </c>
      <c r="BZ1837">
        <v>-1.01</v>
      </c>
      <c r="CA1837">
        <v>0.28999999999999998</v>
      </c>
      <c r="CB1837">
        <v>0.78</v>
      </c>
      <c r="CC1837">
        <v>-0.22</v>
      </c>
      <c r="CD1837">
        <v>0.43</v>
      </c>
      <c r="CE1837">
        <v>0.17</v>
      </c>
      <c r="CF1837">
        <v>0.86</v>
      </c>
      <c r="CG1837">
        <v>0</v>
      </c>
      <c r="CH1837">
        <v>0.22</v>
      </c>
      <c r="CI1837">
        <v>0</v>
      </c>
      <c r="CJ1837">
        <v>2.7</v>
      </c>
      <c r="CK1837">
        <v>93</v>
      </c>
      <c r="CL1837">
        <v>-0.74</v>
      </c>
      <c r="CM1837">
        <v>91</v>
      </c>
      <c r="CN1837">
        <v>-0.16</v>
      </c>
      <c r="CO1837">
        <v>90</v>
      </c>
      <c r="CP1837">
        <v>4</v>
      </c>
      <c r="CQ1837">
        <v>89</v>
      </c>
      <c r="CR1837">
        <v>0</v>
      </c>
      <c r="CS1837">
        <v>0</v>
      </c>
      <c r="CT1837">
        <v>14.3</v>
      </c>
      <c r="CU1837">
        <v>88</v>
      </c>
      <c r="CV1837">
        <v>0.26</v>
      </c>
      <c r="CW1837">
        <v>46</v>
      </c>
      <c r="CX1837" t="s">
        <v>2594</v>
      </c>
    </row>
    <row r="1838" spans="1:102" x14ac:dyDescent="0.3">
      <c r="A1838" t="str">
        <f>HYPERLINK("https://webapp.icbf.com/v2/app/bull-search/view/586038914","S677")</f>
        <v>S677</v>
      </c>
      <c r="B1838" t="s">
        <v>1120</v>
      </c>
      <c r="C1838" t="s">
        <v>1121</v>
      </c>
      <c r="D1838" s="1">
        <v>36925</v>
      </c>
      <c r="E1838" t="s">
        <v>146</v>
      </c>
      <c r="F1838">
        <v>0</v>
      </c>
      <c r="G1838" t="s">
        <v>93</v>
      </c>
      <c r="H1838">
        <v>82.98</v>
      </c>
      <c r="I1838">
        <v>84</v>
      </c>
      <c r="J1838">
        <v>-35.200000000000003</v>
      </c>
      <c r="K1838">
        <v>96</v>
      </c>
      <c r="L1838">
        <v>79.52</v>
      </c>
      <c r="M1838">
        <v>70</v>
      </c>
      <c r="N1838">
        <v>21.23</v>
      </c>
      <c r="O1838">
        <v>87</v>
      </c>
      <c r="P1838">
        <v>11.18</v>
      </c>
      <c r="Q1838">
        <v>96</v>
      </c>
      <c r="R1838">
        <v>6.05</v>
      </c>
      <c r="S1838">
        <v>70</v>
      </c>
      <c r="T1838">
        <v>4.72</v>
      </c>
      <c r="U1838">
        <v>85</v>
      </c>
      <c r="V1838">
        <v>-4.5199999999999996</v>
      </c>
      <c r="W1838">
        <v>69</v>
      </c>
      <c r="X1838" t="s">
        <v>102</v>
      </c>
      <c r="Y1838" t="s">
        <v>1122</v>
      </c>
      <c r="Z1838">
        <v>0</v>
      </c>
      <c r="AA1838" t="s">
        <v>1123</v>
      </c>
      <c r="AB1838" t="s">
        <v>1124</v>
      </c>
      <c r="AC1838">
        <v>93</v>
      </c>
      <c r="AD1838">
        <v>25</v>
      </c>
      <c r="AE1838">
        <v>96</v>
      </c>
      <c r="AF1838">
        <v>-79.64</v>
      </c>
      <c r="AG1838">
        <v>-9.5399999999999991</v>
      </c>
      <c r="AH1838">
        <v>-3.83</v>
      </c>
      <c r="AI1838">
        <v>-0.11</v>
      </c>
      <c r="AJ1838">
        <v>-0.02</v>
      </c>
      <c r="AK1838">
        <v>70</v>
      </c>
      <c r="AL1838">
        <v>0</v>
      </c>
      <c r="AM1838">
        <v>0</v>
      </c>
      <c r="AN1838">
        <v>-5.22</v>
      </c>
      <c r="AO1838">
        <v>1.1100000000000001</v>
      </c>
      <c r="AP1838">
        <v>263</v>
      </c>
      <c r="AQ1838">
        <v>7</v>
      </c>
      <c r="AR1838">
        <v>9.27</v>
      </c>
      <c r="AS1838">
        <v>72</v>
      </c>
      <c r="AT1838">
        <v>3.55</v>
      </c>
      <c r="AU1838">
        <v>91</v>
      </c>
      <c r="AV1838">
        <v>-3.48</v>
      </c>
      <c r="AW1838">
        <v>97</v>
      </c>
      <c r="AX1838">
        <v>1.23</v>
      </c>
      <c r="AY1838">
        <v>88</v>
      </c>
      <c r="AZ1838">
        <v>4.76</v>
      </c>
      <c r="BA1838">
        <v>61</v>
      </c>
      <c r="BB1838">
        <v>4.3</v>
      </c>
      <c r="BC1838">
        <v>64</v>
      </c>
      <c r="BD1838">
        <v>0</v>
      </c>
      <c r="BE1838">
        <v>-0.01</v>
      </c>
      <c r="BF1838">
        <v>-0.12</v>
      </c>
      <c r="BG1838">
        <v>86</v>
      </c>
      <c r="BH1838">
        <v>-0.12</v>
      </c>
      <c r="BI1838">
        <v>0.71</v>
      </c>
      <c r="BJ1838">
        <v>0</v>
      </c>
      <c r="BK1838">
        <v>0</v>
      </c>
      <c r="BL1838">
        <v>-1.27</v>
      </c>
      <c r="BM1838">
        <v>2.54</v>
      </c>
      <c r="BN1838">
        <v>-1.65</v>
      </c>
      <c r="BO1838">
        <v>-1.93</v>
      </c>
      <c r="BP1838">
        <v>2.84</v>
      </c>
      <c r="BQ1838">
        <v>-0.44</v>
      </c>
      <c r="BR1838">
        <v>-1.47</v>
      </c>
      <c r="BS1838">
        <v>2.34</v>
      </c>
      <c r="BT1838">
        <v>0.25</v>
      </c>
      <c r="BU1838">
        <v>-0.14000000000000001</v>
      </c>
      <c r="BV1838">
        <v>-1.66</v>
      </c>
      <c r="BW1838">
        <v>-2.5299999999999998</v>
      </c>
      <c r="BX1838">
        <v>0.52</v>
      </c>
      <c r="BY1838">
        <v>-1.86</v>
      </c>
      <c r="BZ1838">
        <v>0.26</v>
      </c>
      <c r="CA1838">
        <v>-0.14000000000000001</v>
      </c>
      <c r="CB1838">
        <v>-0.92</v>
      </c>
      <c r="CC1838">
        <v>1.23</v>
      </c>
      <c r="CD1838">
        <v>3.34</v>
      </c>
      <c r="CE1838">
        <v>0</v>
      </c>
      <c r="CF1838">
        <v>0</v>
      </c>
      <c r="CG1838">
        <v>0</v>
      </c>
      <c r="CH1838">
        <v>0</v>
      </c>
      <c r="CI1838">
        <v>0</v>
      </c>
      <c r="CJ1838">
        <v>2.4</v>
      </c>
      <c r="CK1838">
        <v>97</v>
      </c>
      <c r="CL1838">
        <v>0.27</v>
      </c>
      <c r="CM1838">
        <v>96</v>
      </c>
      <c r="CN1838">
        <v>-0.28000000000000003</v>
      </c>
      <c r="CO1838">
        <v>96</v>
      </c>
      <c r="CP1838">
        <v>12</v>
      </c>
      <c r="CQ1838">
        <v>90</v>
      </c>
      <c r="CR1838">
        <v>0</v>
      </c>
      <c r="CS1838">
        <v>0</v>
      </c>
      <c r="CT1838">
        <v>7.4</v>
      </c>
      <c r="CU1838">
        <v>85</v>
      </c>
      <c r="CV1838">
        <v>-0.23</v>
      </c>
      <c r="CW1838">
        <v>31</v>
      </c>
      <c r="CX1838" t="s">
        <v>1125</v>
      </c>
    </row>
    <row r="1839" spans="1:102" x14ac:dyDescent="0.3">
      <c r="A1839" t="str">
        <f>HYPERLINK("https://webapp.icbf.com/v2/app/bull-search/view/332784079","RHU")</f>
        <v>RHU</v>
      </c>
      <c r="B1839" t="s">
        <v>15266</v>
      </c>
      <c r="C1839" t="s">
        <v>15267</v>
      </c>
      <c r="D1839" s="1">
        <v>38014</v>
      </c>
      <c r="E1839" t="s">
        <v>92</v>
      </c>
      <c r="F1839">
        <v>66</v>
      </c>
      <c r="G1839" t="s">
        <v>93</v>
      </c>
      <c r="H1839">
        <v>82.98</v>
      </c>
      <c r="I1839">
        <v>90</v>
      </c>
      <c r="J1839">
        <v>77.489999999999995</v>
      </c>
      <c r="K1839">
        <v>98</v>
      </c>
      <c r="L1839">
        <v>-18.52</v>
      </c>
      <c r="M1839">
        <v>82</v>
      </c>
      <c r="N1839">
        <v>10.55</v>
      </c>
      <c r="O1839">
        <v>89</v>
      </c>
      <c r="P1839">
        <v>-5.52</v>
      </c>
      <c r="Q1839">
        <v>94</v>
      </c>
      <c r="R1839">
        <v>3.19</v>
      </c>
      <c r="S1839">
        <v>84</v>
      </c>
      <c r="T1839">
        <v>15.38</v>
      </c>
      <c r="U1839">
        <v>93</v>
      </c>
      <c r="V1839">
        <v>0.41</v>
      </c>
      <c r="W1839">
        <v>83</v>
      </c>
      <c r="X1839" t="s">
        <v>94</v>
      </c>
      <c r="Y1839" t="s">
        <v>95</v>
      </c>
      <c r="Z1839" t="s">
        <v>96</v>
      </c>
      <c r="AA1839" t="s">
        <v>792</v>
      </c>
      <c r="AB1839" t="s">
        <v>15268</v>
      </c>
      <c r="AC1839">
        <v>142</v>
      </c>
      <c r="AD1839">
        <v>82</v>
      </c>
      <c r="AE1839">
        <v>98</v>
      </c>
      <c r="AF1839">
        <v>44.46</v>
      </c>
      <c r="AG1839">
        <v>15.83</v>
      </c>
      <c r="AH1839">
        <v>8.26</v>
      </c>
      <c r="AI1839">
        <v>0.24</v>
      </c>
      <c r="AJ1839">
        <v>0.12</v>
      </c>
      <c r="AK1839">
        <v>82</v>
      </c>
      <c r="AL1839">
        <v>152</v>
      </c>
      <c r="AM1839">
        <v>82</v>
      </c>
      <c r="AN1839">
        <v>0.78</v>
      </c>
      <c r="AO1839">
        <v>-0.7</v>
      </c>
      <c r="AP1839">
        <v>273</v>
      </c>
      <c r="AQ1839">
        <v>1</v>
      </c>
      <c r="AR1839">
        <v>6.12</v>
      </c>
      <c r="AS1839">
        <v>78</v>
      </c>
      <c r="AT1839">
        <v>2.33</v>
      </c>
      <c r="AU1839">
        <v>90</v>
      </c>
      <c r="AV1839">
        <v>-0.26</v>
      </c>
      <c r="AW1839">
        <v>97</v>
      </c>
      <c r="AX1839">
        <v>0.36</v>
      </c>
      <c r="AY1839">
        <v>87</v>
      </c>
      <c r="AZ1839">
        <v>6.63</v>
      </c>
      <c r="BA1839">
        <v>72</v>
      </c>
      <c r="BB1839">
        <v>5.05</v>
      </c>
      <c r="BC1839">
        <v>74</v>
      </c>
      <c r="BD1839">
        <v>0.01</v>
      </c>
      <c r="BE1839">
        <v>0</v>
      </c>
      <c r="BF1839">
        <v>-0.09</v>
      </c>
      <c r="BG1839">
        <v>92</v>
      </c>
      <c r="BH1839">
        <v>0.09</v>
      </c>
      <c r="BI1839">
        <v>9.08</v>
      </c>
      <c r="BJ1839">
        <v>21</v>
      </c>
      <c r="BK1839">
        <v>20</v>
      </c>
      <c r="BL1839">
        <v>-1.71</v>
      </c>
      <c r="BM1839">
        <v>-0.43</v>
      </c>
      <c r="BN1839">
        <v>-1.0900000000000001</v>
      </c>
      <c r="BO1839">
        <v>-0.49</v>
      </c>
      <c r="BP1839">
        <v>0.42</v>
      </c>
      <c r="BQ1839">
        <v>-1.25</v>
      </c>
      <c r="BR1839">
        <v>-0.03</v>
      </c>
      <c r="BS1839">
        <v>0.11</v>
      </c>
      <c r="BT1839">
        <v>-0.13</v>
      </c>
      <c r="BU1839">
        <v>-1.31</v>
      </c>
      <c r="BV1839">
        <v>-1.47</v>
      </c>
      <c r="BW1839">
        <v>-1.79</v>
      </c>
      <c r="BX1839">
        <v>-1.19</v>
      </c>
      <c r="BY1839">
        <v>-1.55</v>
      </c>
      <c r="BZ1839">
        <v>-2.1800000000000002</v>
      </c>
      <c r="CA1839">
        <v>-0.46</v>
      </c>
      <c r="CB1839">
        <v>-0.85</v>
      </c>
      <c r="CC1839">
        <v>0.56999999999999995</v>
      </c>
      <c r="CD1839">
        <v>7.0000000000000007E-2</v>
      </c>
      <c r="CE1839">
        <v>-0.02</v>
      </c>
      <c r="CF1839">
        <v>-1.64</v>
      </c>
      <c r="CG1839">
        <v>0</v>
      </c>
      <c r="CH1839">
        <v>-1.37</v>
      </c>
      <c r="CI1839">
        <v>0</v>
      </c>
      <c r="CJ1839">
        <v>0.2</v>
      </c>
      <c r="CK1839">
        <v>95</v>
      </c>
      <c r="CL1839">
        <v>-0.54</v>
      </c>
      <c r="CM1839">
        <v>93</v>
      </c>
      <c r="CN1839">
        <v>-0.1</v>
      </c>
      <c r="CO1839">
        <v>93</v>
      </c>
      <c r="CP1839">
        <v>-9.3000000000000007</v>
      </c>
      <c r="CQ1839">
        <v>93</v>
      </c>
      <c r="CR1839">
        <v>0</v>
      </c>
      <c r="CS1839">
        <v>0</v>
      </c>
      <c r="CT1839">
        <v>-7</v>
      </c>
      <c r="CU1839">
        <v>93</v>
      </c>
      <c r="CV1839">
        <v>0.28999999999999998</v>
      </c>
      <c r="CW1839">
        <v>46</v>
      </c>
      <c r="CX1839" t="s">
        <v>1420</v>
      </c>
    </row>
    <row r="1840" spans="1:102" x14ac:dyDescent="0.3">
      <c r="A1840" t="str">
        <f>HYPERLINK("https://webapp.icbf.com/v2/app/bull-search/view/1252958040","S3004")</f>
        <v>S3004</v>
      </c>
      <c r="B1840" t="s">
        <v>13494</v>
      </c>
      <c r="C1840" t="s">
        <v>13495</v>
      </c>
      <c r="D1840" s="1">
        <v>41076</v>
      </c>
      <c r="E1840" t="s">
        <v>1061</v>
      </c>
      <c r="F1840">
        <v>0</v>
      </c>
      <c r="G1840" t="s">
        <v>109</v>
      </c>
      <c r="H1840">
        <v>82.96</v>
      </c>
      <c r="I1840">
        <v>41</v>
      </c>
      <c r="J1840">
        <v>8.42</v>
      </c>
      <c r="K1840">
        <v>61</v>
      </c>
      <c r="L1840">
        <v>53.54</v>
      </c>
      <c r="M1840">
        <v>53</v>
      </c>
      <c r="N1840">
        <v>13.4</v>
      </c>
      <c r="O1840">
        <v>21</v>
      </c>
      <c r="P1840">
        <v>-6.77</v>
      </c>
      <c r="Q1840">
        <v>7</v>
      </c>
      <c r="R1840">
        <v>-0.68</v>
      </c>
      <c r="S1840">
        <v>6</v>
      </c>
      <c r="T1840">
        <v>18.47</v>
      </c>
      <c r="U1840">
        <v>6</v>
      </c>
      <c r="V1840">
        <v>-3.42</v>
      </c>
      <c r="W1840">
        <v>4</v>
      </c>
      <c r="X1840" t="s">
        <v>110</v>
      </c>
      <c r="Y1840" t="s">
        <v>411</v>
      </c>
      <c r="Z1840">
        <v>0</v>
      </c>
      <c r="AA1840" t="s">
        <v>13496</v>
      </c>
      <c r="AB1840" t="s">
        <v>13497</v>
      </c>
      <c r="AC1840">
        <v>0</v>
      </c>
      <c r="AD1840">
        <v>0</v>
      </c>
      <c r="AE1840">
        <v>61</v>
      </c>
      <c r="AF1840">
        <v>54.96</v>
      </c>
      <c r="AG1840">
        <v>6.03</v>
      </c>
      <c r="AH1840">
        <v>0.14000000000000001</v>
      </c>
      <c r="AI1840">
        <v>0.06</v>
      </c>
      <c r="AJ1840">
        <v>-0.03</v>
      </c>
      <c r="AK1840">
        <v>53</v>
      </c>
      <c r="AL1840">
        <v>0</v>
      </c>
      <c r="AM1840">
        <v>0</v>
      </c>
      <c r="AN1840">
        <v>-2.93</v>
      </c>
      <c r="AO1840">
        <v>1.34</v>
      </c>
      <c r="AP1840">
        <v>12</v>
      </c>
      <c r="AQ1840">
        <v>0</v>
      </c>
      <c r="AR1840">
        <v>5.38</v>
      </c>
      <c r="AS1840">
        <v>15</v>
      </c>
      <c r="AT1840">
        <v>2.13</v>
      </c>
      <c r="AU1840">
        <v>55</v>
      </c>
      <c r="AV1840">
        <v>-0.06</v>
      </c>
      <c r="AW1840">
        <v>9</v>
      </c>
      <c r="AX1840">
        <v>-0.12</v>
      </c>
      <c r="AY1840">
        <v>16</v>
      </c>
      <c r="AZ1840">
        <v>6.42</v>
      </c>
      <c r="BA1840">
        <v>4</v>
      </c>
      <c r="BB1840">
        <v>5.04</v>
      </c>
      <c r="BC1840">
        <v>4</v>
      </c>
      <c r="BD1840">
        <v>0.01</v>
      </c>
      <c r="BE1840">
        <v>0.01</v>
      </c>
      <c r="BF1840">
        <v>-0.02</v>
      </c>
      <c r="BG1840">
        <v>7</v>
      </c>
      <c r="BH1840">
        <v>-0.02</v>
      </c>
      <c r="BI1840">
        <v>8.7100000000000009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v>0</v>
      </c>
      <c r="CI1840">
        <v>0</v>
      </c>
      <c r="CJ1840">
        <v>-3.16</v>
      </c>
      <c r="CK1840">
        <v>7</v>
      </c>
      <c r="CL1840">
        <v>-0.28000000000000003</v>
      </c>
      <c r="CM1840">
        <v>7</v>
      </c>
      <c r="CN1840">
        <v>-0.14000000000000001</v>
      </c>
      <c r="CO1840">
        <v>6</v>
      </c>
      <c r="CP1840">
        <v>-7.73</v>
      </c>
      <c r="CQ1840">
        <v>6</v>
      </c>
      <c r="CR1840">
        <v>0</v>
      </c>
      <c r="CS1840">
        <v>0</v>
      </c>
      <c r="CT1840">
        <v>-11.17</v>
      </c>
      <c r="CU1840">
        <v>6</v>
      </c>
      <c r="CV1840">
        <v>-0.08</v>
      </c>
      <c r="CW1840">
        <v>2</v>
      </c>
      <c r="CX1840" t="s">
        <v>1646</v>
      </c>
    </row>
    <row r="1841" spans="1:102" x14ac:dyDescent="0.3">
      <c r="A1841" t="str">
        <f>HYPERLINK("https://webapp.icbf.com/v2/app/bull-search/view/1559077882","FR4384")</f>
        <v>FR4384</v>
      </c>
      <c r="B1841" t="s">
        <v>9408</v>
      </c>
      <c r="C1841" t="s">
        <v>9409</v>
      </c>
      <c r="D1841" s="1">
        <v>42386</v>
      </c>
      <c r="E1841" t="s">
        <v>92</v>
      </c>
      <c r="F1841">
        <v>100</v>
      </c>
      <c r="G1841" t="s">
        <v>435</v>
      </c>
      <c r="H1841">
        <v>82.8</v>
      </c>
      <c r="I1841">
        <v>69</v>
      </c>
      <c r="J1841">
        <v>76.17</v>
      </c>
      <c r="K1841">
        <v>88</v>
      </c>
      <c r="L1841">
        <v>-44.59</v>
      </c>
      <c r="M1841">
        <v>67</v>
      </c>
      <c r="N1841">
        <v>36.06</v>
      </c>
      <c r="O1841">
        <v>72</v>
      </c>
      <c r="P1841">
        <v>-1.34</v>
      </c>
      <c r="Q1841">
        <v>40</v>
      </c>
      <c r="R1841">
        <v>19.510000000000002</v>
      </c>
      <c r="S1841">
        <v>62</v>
      </c>
      <c r="T1841">
        <v>-10.220000000000001</v>
      </c>
      <c r="U1841">
        <v>35</v>
      </c>
      <c r="V1841">
        <v>7.21</v>
      </c>
      <c r="W1841">
        <v>54</v>
      </c>
      <c r="X1841" t="s">
        <v>102</v>
      </c>
      <c r="Y1841" t="s">
        <v>2261</v>
      </c>
      <c r="Z1841" t="s">
        <v>96</v>
      </c>
      <c r="AA1841" t="s">
        <v>463</v>
      </c>
      <c r="AB1841" t="s">
        <v>9410</v>
      </c>
      <c r="AC1841">
        <v>0</v>
      </c>
      <c r="AD1841">
        <v>0</v>
      </c>
      <c r="AE1841">
        <v>88</v>
      </c>
      <c r="AF1841">
        <v>470.2</v>
      </c>
      <c r="AG1841">
        <v>19.989999999999998</v>
      </c>
      <c r="AH1841">
        <v>13.08</v>
      </c>
      <c r="AI1841">
        <v>0.02</v>
      </c>
      <c r="AJ1841">
        <v>-0.04</v>
      </c>
      <c r="AK1841">
        <v>67</v>
      </c>
      <c r="AL1841">
        <v>0</v>
      </c>
      <c r="AM1841">
        <v>0</v>
      </c>
      <c r="AN1841">
        <v>3.65</v>
      </c>
      <c r="AO1841">
        <v>0.11</v>
      </c>
      <c r="AP1841">
        <v>86</v>
      </c>
      <c r="AQ1841">
        <v>0</v>
      </c>
      <c r="AR1841">
        <v>4.13</v>
      </c>
      <c r="AS1841">
        <v>64</v>
      </c>
      <c r="AT1841">
        <v>2.4500000000000002</v>
      </c>
      <c r="AU1841">
        <v>83</v>
      </c>
      <c r="AV1841">
        <v>-3.65</v>
      </c>
      <c r="AW1841">
        <v>82</v>
      </c>
      <c r="AX1841">
        <v>0.6</v>
      </c>
      <c r="AY1841">
        <v>69</v>
      </c>
      <c r="AZ1841">
        <v>7.09</v>
      </c>
      <c r="BA1841">
        <v>35</v>
      </c>
      <c r="BB1841">
        <v>5.66</v>
      </c>
      <c r="BC1841">
        <v>34</v>
      </c>
      <c r="BD1841">
        <v>-0.1</v>
      </c>
      <c r="BE1841">
        <v>-0.08</v>
      </c>
      <c r="BF1841">
        <v>-0.13</v>
      </c>
      <c r="BG1841">
        <v>75</v>
      </c>
      <c r="BH1841">
        <v>-0.08</v>
      </c>
      <c r="BI1841">
        <v>-32.520000000000003</v>
      </c>
      <c r="BJ1841">
        <v>0</v>
      </c>
      <c r="BK1841">
        <v>0</v>
      </c>
      <c r="BL1841">
        <v>1.22</v>
      </c>
      <c r="BM1841">
        <v>0.36</v>
      </c>
      <c r="BN1841">
        <v>0.75</v>
      </c>
      <c r="BO1841">
        <v>1.19</v>
      </c>
      <c r="BP1841">
        <v>-1.33</v>
      </c>
      <c r="BQ1841">
        <v>2.15</v>
      </c>
      <c r="BR1841">
        <v>-1.92</v>
      </c>
      <c r="BS1841">
        <v>3.27</v>
      </c>
      <c r="BT1841">
        <v>1.57</v>
      </c>
      <c r="BU1841">
        <v>4.2699999999999996</v>
      </c>
      <c r="BV1841">
        <v>4.0199999999999996</v>
      </c>
      <c r="BW1841">
        <v>2.34</v>
      </c>
      <c r="BX1841">
        <v>2.29</v>
      </c>
      <c r="BY1841">
        <v>3.25</v>
      </c>
      <c r="BZ1841">
        <v>-1.22</v>
      </c>
      <c r="CA1841">
        <v>4.25</v>
      </c>
      <c r="CB1841">
        <v>3.82</v>
      </c>
      <c r="CC1841">
        <v>2.91</v>
      </c>
      <c r="CD1841">
        <v>-0.64</v>
      </c>
      <c r="CE1841">
        <v>1.1100000000000001</v>
      </c>
      <c r="CF1841">
        <v>1.64</v>
      </c>
      <c r="CG1841">
        <v>0</v>
      </c>
      <c r="CH1841">
        <v>4.3099999999999996</v>
      </c>
      <c r="CI1841">
        <v>0</v>
      </c>
      <c r="CJ1841">
        <v>1.2</v>
      </c>
      <c r="CK1841">
        <v>41</v>
      </c>
      <c r="CL1841">
        <v>-1.1399999999999999</v>
      </c>
      <c r="CM1841">
        <v>40</v>
      </c>
      <c r="CN1841">
        <v>-0.73</v>
      </c>
      <c r="CO1841">
        <v>40</v>
      </c>
      <c r="CP1841">
        <v>1.5</v>
      </c>
      <c r="CQ1841">
        <v>36</v>
      </c>
      <c r="CR1841">
        <v>0</v>
      </c>
      <c r="CS1841">
        <v>0</v>
      </c>
      <c r="CT1841">
        <v>27.6</v>
      </c>
      <c r="CU1841">
        <v>35</v>
      </c>
      <c r="CV1841">
        <v>0.24</v>
      </c>
      <c r="CW1841">
        <v>33</v>
      </c>
      <c r="CX1841" t="s">
        <v>9411</v>
      </c>
    </row>
    <row r="1842" spans="1:102" x14ac:dyDescent="0.3">
      <c r="A1842" t="str">
        <f>HYPERLINK("https://webapp.icbf.com/v2/app/bull-search/view/108367989","BHK")</f>
        <v>BHK</v>
      </c>
      <c r="B1842" t="s">
        <v>12184</v>
      </c>
      <c r="C1842" t="s">
        <v>12185</v>
      </c>
      <c r="D1842" s="1">
        <v>35661</v>
      </c>
      <c r="E1842" t="s">
        <v>108</v>
      </c>
      <c r="F1842">
        <v>44</v>
      </c>
      <c r="G1842" t="s">
        <v>93</v>
      </c>
      <c r="H1842">
        <v>82.77</v>
      </c>
      <c r="I1842">
        <v>93</v>
      </c>
      <c r="J1842">
        <v>14.49</v>
      </c>
      <c r="K1842">
        <v>98</v>
      </c>
      <c r="L1842">
        <v>45.03</v>
      </c>
      <c r="M1842">
        <v>89</v>
      </c>
      <c r="N1842">
        <v>15.8</v>
      </c>
      <c r="O1842">
        <v>92</v>
      </c>
      <c r="P1842">
        <v>-15.67</v>
      </c>
      <c r="Q1842">
        <v>97</v>
      </c>
      <c r="R1842">
        <v>-2.3199999999999998</v>
      </c>
      <c r="S1842">
        <v>89</v>
      </c>
      <c r="T1842">
        <v>27.66</v>
      </c>
      <c r="U1842">
        <v>94</v>
      </c>
      <c r="V1842">
        <v>-2.2200000000000002</v>
      </c>
      <c r="W1842">
        <v>89</v>
      </c>
      <c r="X1842" t="s">
        <v>302</v>
      </c>
      <c r="Y1842" t="s">
        <v>95</v>
      </c>
      <c r="Z1842" t="s">
        <v>96</v>
      </c>
      <c r="AA1842" t="s">
        <v>4480</v>
      </c>
      <c r="AB1842" t="s">
        <v>12186</v>
      </c>
      <c r="AC1842">
        <v>226</v>
      </c>
      <c r="AD1842">
        <v>77</v>
      </c>
      <c r="AE1842">
        <v>98</v>
      </c>
      <c r="AF1842">
        <v>143.74</v>
      </c>
      <c r="AG1842">
        <v>-1.29</v>
      </c>
      <c r="AH1842">
        <v>5.12</v>
      </c>
      <c r="AI1842">
        <v>-0.12</v>
      </c>
      <c r="AJ1842">
        <v>0</v>
      </c>
      <c r="AK1842">
        <v>89</v>
      </c>
      <c r="AL1842">
        <v>231</v>
      </c>
      <c r="AM1842">
        <v>71</v>
      </c>
      <c r="AN1842">
        <v>-0.97</v>
      </c>
      <c r="AO1842">
        <v>2.64</v>
      </c>
      <c r="AP1842">
        <v>371</v>
      </c>
      <c r="AQ1842">
        <v>3</v>
      </c>
      <c r="AR1842">
        <v>7.99</v>
      </c>
      <c r="AS1842">
        <v>81</v>
      </c>
      <c r="AT1842">
        <v>2.67</v>
      </c>
      <c r="AU1842">
        <v>94</v>
      </c>
      <c r="AV1842">
        <v>-1.78</v>
      </c>
      <c r="AW1842">
        <v>97</v>
      </c>
      <c r="AX1842">
        <v>-0.27</v>
      </c>
      <c r="AY1842">
        <v>91</v>
      </c>
      <c r="AZ1842">
        <v>5.83</v>
      </c>
      <c r="BA1842">
        <v>79</v>
      </c>
      <c r="BB1842">
        <v>5.57</v>
      </c>
      <c r="BC1842">
        <v>84</v>
      </c>
      <c r="BD1842">
        <v>0.02</v>
      </c>
      <c r="BE1842">
        <v>0</v>
      </c>
      <c r="BF1842">
        <v>0.02</v>
      </c>
      <c r="BG1842">
        <v>95</v>
      </c>
      <c r="BH1842">
        <v>-0.06</v>
      </c>
      <c r="BI1842">
        <v>0.23</v>
      </c>
      <c r="BJ1842">
        <v>5</v>
      </c>
      <c r="BK1842">
        <v>5</v>
      </c>
      <c r="BL1842">
        <v>-1.86</v>
      </c>
      <c r="BM1842">
        <v>0.8</v>
      </c>
      <c r="BN1842">
        <v>-1.6</v>
      </c>
      <c r="BO1842">
        <v>-1.03</v>
      </c>
      <c r="BP1842">
        <v>-4.5999999999999996</v>
      </c>
      <c r="BQ1842">
        <v>-1.1100000000000001</v>
      </c>
      <c r="BR1842">
        <v>1.76</v>
      </c>
      <c r="BS1842">
        <v>-1.6</v>
      </c>
      <c r="BT1842">
        <v>-3.63</v>
      </c>
      <c r="BU1842">
        <v>-2.58</v>
      </c>
      <c r="BV1842">
        <v>-3.61</v>
      </c>
      <c r="BW1842">
        <v>-3.11</v>
      </c>
      <c r="BX1842">
        <v>-2.7</v>
      </c>
      <c r="BY1842">
        <v>-2.7</v>
      </c>
      <c r="BZ1842">
        <v>4.37</v>
      </c>
      <c r="CA1842">
        <v>-3.29</v>
      </c>
      <c r="CB1842">
        <v>-3.3</v>
      </c>
      <c r="CC1842">
        <v>-1.55</v>
      </c>
      <c r="CD1842">
        <v>1.03</v>
      </c>
      <c r="CE1842">
        <v>-0.61</v>
      </c>
      <c r="CF1842">
        <v>-1.29</v>
      </c>
      <c r="CG1842">
        <v>0</v>
      </c>
      <c r="CH1842">
        <v>-3.22</v>
      </c>
      <c r="CI1842">
        <v>0</v>
      </c>
      <c r="CJ1842">
        <v>-7.9</v>
      </c>
      <c r="CK1842">
        <v>97</v>
      </c>
      <c r="CL1842">
        <v>-0.39</v>
      </c>
      <c r="CM1842">
        <v>97</v>
      </c>
      <c r="CN1842">
        <v>-0.17</v>
      </c>
      <c r="CO1842">
        <v>96</v>
      </c>
      <c r="CP1842">
        <v>-18.2</v>
      </c>
      <c r="CQ1842">
        <v>96</v>
      </c>
      <c r="CR1842">
        <v>0</v>
      </c>
      <c r="CS1842">
        <v>0</v>
      </c>
      <c r="CT1842">
        <v>-23.6</v>
      </c>
      <c r="CU1842">
        <v>94</v>
      </c>
      <c r="CV1842">
        <v>0.09</v>
      </c>
      <c r="CW1842">
        <v>45</v>
      </c>
      <c r="CX1842" t="s">
        <v>531</v>
      </c>
    </row>
    <row r="1843" spans="1:102" x14ac:dyDescent="0.3">
      <c r="A1843" t="str">
        <f>HYPERLINK("https://webapp.icbf.com/v2/app/bull-search/view/442819356","SKI")</f>
        <v>SKI</v>
      </c>
      <c r="B1843" t="s">
        <v>5166</v>
      </c>
      <c r="C1843" t="s">
        <v>5167</v>
      </c>
      <c r="D1843" s="1">
        <v>38758</v>
      </c>
      <c r="E1843" t="s">
        <v>92</v>
      </c>
      <c r="F1843">
        <v>94</v>
      </c>
      <c r="G1843" t="s">
        <v>93</v>
      </c>
      <c r="H1843">
        <v>82.59</v>
      </c>
      <c r="I1843">
        <v>88</v>
      </c>
      <c r="J1843">
        <v>21.97</v>
      </c>
      <c r="K1843">
        <v>97</v>
      </c>
      <c r="L1843">
        <v>25.45</v>
      </c>
      <c r="M1843">
        <v>79</v>
      </c>
      <c r="N1843">
        <v>20.97</v>
      </c>
      <c r="O1843">
        <v>87</v>
      </c>
      <c r="P1843">
        <v>-0.17</v>
      </c>
      <c r="Q1843">
        <v>93</v>
      </c>
      <c r="R1843">
        <v>7.94</v>
      </c>
      <c r="S1843">
        <v>84</v>
      </c>
      <c r="T1843">
        <v>7.24</v>
      </c>
      <c r="U1843">
        <v>87</v>
      </c>
      <c r="V1843">
        <v>-0.81</v>
      </c>
      <c r="W1843">
        <v>85</v>
      </c>
      <c r="X1843" t="s">
        <v>94</v>
      </c>
      <c r="Y1843" t="s">
        <v>228</v>
      </c>
      <c r="Z1843" t="s">
        <v>96</v>
      </c>
      <c r="AA1843" t="s">
        <v>1114</v>
      </c>
      <c r="AB1843" t="s">
        <v>5168</v>
      </c>
      <c r="AC1843">
        <v>105</v>
      </c>
      <c r="AD1843">
        <v>66</v>
      </c>
      <c r="AE1843">
        <v>97</v>
      </c>
      <c r="AF1843">
        <v>28.26</v>
      </c>
      <c r="AG1843">
        <v>2.88</v>
      </c>
      <c r="AH1843">
        <v>3.15</v>
      </c>
      <c r="AI1843">
        <v>0.03</v>
      </c>
      <c r="AJ1843">
        <v>0.04</v>
      </c>
      <c r="AK1843">
        <v>79</v>
      </c>
      <c r="AL1843">
        <v>94</v>
      </c>
      <c r="AM1843">
        <v>62</v>
      </c>
      <c r="AN1843">
        <v>-2.88</v>
      </c>
      <c r="AO1843">
        <v>-0.87</v>
      </c>
      <c r="AP1843">
        <v>219</v>
      </c>
      <c r="AQ1843">
        <v>4</v>
      </c>
      <c r="AR1843">
        <v>6.03</v>
      </c>
      <c r="AS1843">
        <v>70</v>
      </c>
      <c r="AT1843">
        <v>2.57</v>
      </c>
      <c r="AU1843">
        <v>89</v>
      </c>
      <c r="AV1843">
        <v>-0.77</v>
      </c>
      <c r="AW1843">
        <v>97</v>
      </c>
      <c r="AX1843">
        <v>-0.77</v>
      </c>
      <c r="AY1843">
        <v>82</v>
      </c>
      <c r="AZ1843">
        <v>5.17</v>
      </c>
      <c r="BA1843">
        <v>67</v>
      </c>
      <c r="BB1843">
        <v>4.41</v>
      </c>
      <c r="BC1843">
        <v>70</v>
      </c>
      <c r="BD1843">
        <v>-0.04</v>
      </c>
      <c r="BE1843">
        <v>-0.04</v>
      </c>
      <c r="BF1843">
        <v>-0.04</v>
      </c>
      <c r="BG1843">
        <v>89</v>
      </c>
      <c r="BH1843">
        <v>-0.11</v>
      </c>
      <c r="BI1843">
        <v>-10.119999999999999</v>
      </c>
      <c r="BJ1843">
        <v>11</v>
      </c>
      <c r="BK1843">
        <v>10</v>
      </c>
      <c r="BL1843">
        <v>0.04</v>
      </c>
      <c r="BM1843">
        <v>1.23</v>
      </c>
      <c r="BN1843">
        <v>-0.13</v>
      </c>
      <c r="BO1843">
        <v>-0.72</v>
      </c>
      <c r="BP1843">
        <v>2.0299999999999998</v>
      </c>
      <c r="BQ1843">
        <v>0.87</v>
      </c>
      <c r="BR1843">
        <v>1.25</v>
      </c>
      <c r="BS1843">
        <v>-0.6</v>
      </c>
      <c r="BT1843">
        <v>-1.07</v>
      </c>
      <c r="BU1843">
        <v>-0.61</v>
      </c>
      <c r="BV1843">
        <v>-0.83</v>
      </c>
      <c r="BW1843">
        <v>-1.45</v>
      </c>
      <c r="BX1843">
        <v>-0.78</v>
      </c>
      <c r="BY1843">
        <v>-0.82</v>
      </c>
      <c r="BZ1843">
        <v>0.43</v>
      </c>
      <c r="CA1843">
        <v>-0.93</v>
      </c>
      <c r="CB1843">
        <v>-1.1599999999999999</v>
      </c>
      <c r="CC1843">
        <v>-0.6</v>
      </c>
      <c r="CD1843">
        <v>0.81</v>
      </c>
      <c r="CE1843">
        <v>-0.56999999999999995</v>
      </c>
      <c r="CF1843">
        <v>0.06</v>
      </c>
      <c r="CG1843">
        <v>0</v>
      </c>
      <c r="CH1843">
        <v>-1.35</v>
      </c>
      <c r="CI1843">
        <v>0</v>
      </c>
      <c r="CJ1843">
        <v>2.2000000000000002</v>
      </c>
      <c r="CK1843">
        <v>94</v>
      </c>
      <c r="CL1843">
        <v>-0.65</v>
      </c>
      <c r="CM1843">
        <v>92</v>
      </c>
      <c r="CN1843">
        <v>-0.27</v>
      </c>
      <c r="CO1843">
        <v>91</v>
      </c>
      <c r="CP1843">
        <v>2.2999999999999998</v>
      </c>
      <c r="CQ1843">
        <v>91</v>
      </c>
      <c r="CR1843">
        <v>0</v>
      </c>
      <c r="CS1843">
        <v>0</v>
      </c>
      <c r="CT1843">
        <v>4</v>
      </c>
      <c r="CU1843">
        <v>87</v>
      </c>
      <c r="CV1843">
        <v>0.23</v>
      </c>
      <c r="CW1843">
        <v>44</v>
      </c>
      <c r="CX1843" t="s">
        <v>1252</v>
      </c>
    </row>
    <row r="1844" spans="1:102" x14ac:dyDescent="0.3">
      <c r="A1844" t="str">
        <f>HYPERLINK("https://webapp.icbf.com/v2/app/bull-search/view/152138851","S302")</f>
        <v>S302</v>
      </c>
      <c r="B1844" t="s">
        <v>8951</v>
      </c>
      <c r="C1844" t="s">
        <v>1857</v>
      </c>
      <c r="D1844" s="1">
        <v>35451</v>
      </c>
      <c r="E1844" t="s">
        <v>395</v>
      </c>
      <c r="F1844">
        <v>3</v>
      </c>
      <c r="G1844" t="s">
        <v>93</v>
      </c>
      <c r="H1844">
        <v>82.48</v>
      </c>
      <c r="I1844">
        <v>88</v>
      </c>
      <c r="J1844">
        <v>3.26</v>
      </c>
      <c r="K1844">
        <v>95</v>
      </c>
      <c r="L1844">
        <v>41.9</v>
      </c>
      <c r="M1844">
        <v>82</v>
      </c>
      <c r="N1844">
        <v>18.399999999999999</v>
      </c>
      <c r="O1844">
        <v>84</v>
      </c>
      <c r="P1844">
        <v>-11.5</v>
      </c>
      <c r="Q1844">
        <v>90</v>
      </c>
      <c r="R1844">
        <v>12.93</v>
      </c>
      <c r="S1844">
        <v>75</v>
      </c>
      <c r="T1844">
        <v>25.59</v>
      </c>
      <c r="U1844">
        <v>96</v>
      </c>
      <c r="V1844">
        <v>-8.1</v>
      </c>
      <c r="W1844">
        <v>73</v>
      </c>
      <c r="X1844" t="s">
        <v>110</v>
      </c>
      <c r="Y1844" t="s">
        <v>95</v>
      </c>
      <c r="Z1844">
        <v>0</v>
      </c>
      <c r="AA1844" t="s">
        <v>8952</v>
      </c>
      <c r="AB1844" t="s">
        <v>8953</v>
      </c>
      <c r="AC1844">
        <v>85</v>
      </c>
      <c r="AD1844">
        <v>57</v>
      </c>
      <c r="AE1844">
        <v>95</v>
      </c>
      <c r="AF1844">
        <v>-52.36</v>
      </c>
      <c r="AG1844">
        <v>-4.46</v>
      </c>
      <c r="AH1844">
        <v>1.33</v>
      </c>
      <c r="AI1844">
        <v>-0.04</v>
      </c>
      <c r="AJ1844">
        <v>0.05</v>
      </c>
      <c r="AK1844">
        <v>82</v>
      </c>
      <c r="AL1844">
        <v>74</v>
      </c>
      <c r="AM1844">
        <v>52</v>
      </c>
      <c r="AN1844">
        <v>-2.41</v>
      </c>
      <c r="AO1844">
        <v>0.93</v>
      </c>
      <c r="AP1844">
        <v>86</v>
      </c>
      <c r="AQ1844">
        <v>0</v>
      </c>
      <c r="AR1844">
        <v>3.84</v>
      </c>
      <c r="AS1844">
        <v>73</v>
      </c>
      <c r="AT1844">
        <v>1.96</v>
      </c>
      <c r="AU1844">
        <v>86</v>
      </c>
      <c r="AV1844">
        <v>0.34</v>
      </c>
      <c r="AW1844">
        <v>93</v>
      </c>
      <c r="AX1844">
        <v>0.11</v>
      </c>
      <c r="AY1844">
        <v>80</v>
      </c>
      <c r="AZ1844">
        <v>5.35</v>
      </c>
      <c r="BA1844">
        <v>61</v>
      </c>
      <c r="BB1844">
        <v>4.34</v>
      </c>
      <c r="BC1844">
        <v>69</v>
      </c>
      <c r="BD1844">
        <v>-0.08</v>
      </c>
      <c r="BE1844">
        <v>-0.06</v>
      </c>
      <c r="BF1844">
        <v>-0.05</v>
      </c>
      <c r="BG1844">
        <v>85</v>
      </c>
      <c r="BH1844">
        <v>-0.24</v>
      </c>
      <c r="BI1844">
        <v>-1.63</v>
      </c>
      <c r="BJ1844">
        <v>48</v>
      </c>
      <c r="BK1844">
        <v>27</v>
      </c>
      <c r="BL1844">
        <v>-3.55</v>
      </c>
      <c r="BM1844">
        <v>-2</v>
      </c>
      <c r="BN1844">
        <v>-4.22</v>
      </c>
      <c r="BO1844">
        <v>-2.25</v>
      </c>
      <c r="BP1844">
        <v>2.69</v>
      </c>
      <c r="BQ1844">
        <v>-3.59</v>
      </c>
      <c r="BR1844">
        <v>1.24</v>
      </c>
      <c r="BS1844">
        <v>0.81</v>
      </c>
      <c r="BT1844">
        <v>-0.21</v>
      </c>
      <c r="BU1844">
        <v>-2.33</v>
      </c>
      <c r="BV1844">
        <v>-2.99</v>
      </c>
      <c r="BW1844">
        <v>-1.99</v>
      </c>
      <c r="BX1844">
        <v>-2.16</v>
      </c>
      <c r="BY1844">
        <v>-0.42</v>
      </c>
      <c r="BZ1844">
        <v>-4.03</v>
      </c>
      <c r="CA1844">
        <v>-1.52</v>
      </c>
      <c r="CB1844">
        <v>-2.27</v>
      </c>
      <c r="CC1844">
        <v>0.3</v>
      </c>
      <c r="CD1844">
        <v>0.37</v>
      </c>
      <c r="CE1844">
        <v>-2.0699999999999998</v>
      </c>
      <c r="CF1844">
        <v>-4.66</v>
      </c>
      <c r="CG1844">
        <v>0</v>
      </c>
      <c r="CH1844">
        <v>-0.35</v>
      </c>
      <c r="CI1844">
        <v>0</v>
      </c>
      <c r="CJ1844">
        <v>-8.4</v>
      </c>
      <c r="CK1844">
        <v>92</v>
      </c>
      <c r="CL1844">
        <v>-0.14000000000000001</v>
      </c>
      <c r="CM1844">
        <v>89</v>
      </c>
      <c r="CN1844">
        <v>-0.39</v>
      </c>
      <c r="CO1844">
        <v>88</v>
      </c>
      <c r="CP1844">
        <v>-20.2</v>
      </c>
      <c r="CQ1844">
        <v>87</v>
      </c>
      <c r="CR1844">
        <v>0</v>
      </c>
      <c r="CS1844">
        <v>0</v>
      </c>
      <c r="CT1844">
        <v>-20.8</v>
      </c>
      <c r="CU1844">
        <v>96</v>
      </c>
      <c r="CV1844">
        <v>-0.22</v>
      </c>
      <c r="CW1844">
        <v>27</v>
      </c>
      <c r="CX1844" t="s">
        <v>2426</v>
      </c>
    </row>
    <row r="1845" spans="1:102" x14ac:dyDescent="0.3">
      <c r="A1845" t="str">
        <f>HYPERLINK("https://webapp.icbf.com/v2/app/bull-search/view/1228437082","FR2465")</f>
        <v>FR2465</v>
      </c>
      <c r="B1845" t="s">
        <v>14719</v>
      </c>
      <c r="C1845" t="s">
        <v>14720</v>
      </c>
      <c r="D1845" s="1">
        <v>41802</v>
      </c>
      <c r="E1845" t="s">
        <v>92</v>
      </c>
      <c r="F1845">
        <v>100</v>
      </c>
      <c r="G1845" t="s">
        <v>109</v>
      </c>
      <c r="H1845">
        <v>82.47</v>
      </c>
      <c r="I1845">
        <v>73</v>
      </c>
      <c r="J1845">
        <v>41.74</v>
      </c>
      <c r="K1845">
        <v>92</v>
      </c>
      <c r="L1845">
        <v>27.32</v>
      </c>
      <c r="M1845">
        <v>74</v>
      </c>
      <c r="N1845">
        <v>16.71</v>
      </c>
      <c r="O1845">
        <v>66</v>
      </c>
      <c r="P1845">
        <v>-14.43</v>
      </c>
      <c r="Q1845">
        <v>45</v>
      </c>
      <c r="R1845">
        <v>11.58</v>
      </c>
      <c r="S1845">
        <v>71</v>
      </c>
      <c r="T1845">
        <v>-2.4500000000000002</v>
      </c>
      <c r="U1845">
        <v>39</v>
      </c>
      <c r="V1845">
        <v>2</v>
      </c>
      <c r="W1845">
        <v>55</v>
      </c>
      <c r="X1845" t="s">
        <v>234</v>
      </c>
      <c r="Y1845" t="s">
        <v>1775</v>
      </c>
      <c r="Z1845" t="s">
        <v>96</v>
      </c>
      <c r="AA1845" t="s">
        <v>8378</v>
      </c>
      <c r="AB1845" t="s">
        <v>14721</v>
      </c>
      <c r="AC1845">
        <v>0</v>
      </c>
      <c r="AD1845">
        <v>0</v>
      </c>
      <c r="AE1845">
        <v>92</v>
      </c>
      <c r="AF1845">
        <v>228.48</v>
      </c>
      <c r="AG1845">
        <v>6.63</v>
      </c>
      <c r="AH1845">
        <v>8.25</v>
      </c>
      <c r="AI1845">
        <v>-0.04</v>
      </c>
      <c r="AJ1845">
        <v>0.01</v>
      </c>
      <c r="AK1845">
        <v>74</v>
      </c>
      <c r="AL1845">
        <v>0</v>
      </c>
      <c r="AM1845">
        <v>0</v>
      </c>
      <c r="AN1845">
        <v>-1.4</v>
      </c>
      <c r="AO1845">
        <v>0.78</v>
      </c>
      <c r="AP1845">
        <v>13</v>
      </c>
      <c r="AQ1845">
        <v>0</v>
      </c>
      <c r="AR1845">
        <v>7.32</v>
      </c>
      <c r="AS1845">
        <v>63</v>
      </c>
      <c r="AT1845">
        <v>3.37</v>
      </c>
      <c r="AU1845">
        <v>88</v>
      </c>
      <c r="AV1845">
        <v>-2.34</v>
      </c>
      <c r="AW1845">
        <v>69</v>
      </c>
      <c r="AX1845">
        <v>1.1100000000000001</v>
      </c>
      <c r="AY1845">
        <v>50</v>
      </c>
      <c r="AZ1845">
        <v>5.17</v>
      </c>
      <c r="BA1845">
        <v>43</v>
      </c>
      <c r="BB1845">
        <v>4.87</v>
      </c>
      <c r="BC1845">
        <v>37</v>
      </c>
      <c r="BD1845">
        <v>-0.05</v>
      </c>
      <c r="BE1845">
        <v>-7.0000000000000007E-2</v>
      </c>
      <c r="BF1845">
        <v>-0.05</v>
      </c>
      <c r="BG1845">
        <v>88</v>
      </c>
      <c r="BH1845">
        <v>-0.05</v>
      </c>
      <c r="BI1845">
        <v>-12.24</v>
      </c>
      <c r="BJ1845">
        <v>0</v>
      </c>
      <c r="BK1845">
        <v>0</v>
      </c>
      <c r="BL1845">
        <v>1.93</v>
      </c>
      <c r="BM1845">
        <v>-0.94</v>
      </c>
      <c r="BN1845">
        <v>0.57999999999999996</v>
      </c>
      <c r="BO1845">
        <v>1.1599999999999999</v>
      </c>
      <c r="BP1845">
        <v>-0.8</v>
      </c>
      <c r="BQ1845">
        <v>0.92</v>
      </c>
      <c r="BR1845">
        <v>-1.46</v>
      </c>
      <c r="BS1845">
        <v>2.96</v>
      </c>
      <c r="BT1845">
        <v>3.02</v>
      </c>
      <c r="BU1845">
        <v>4.3899999999999997</v>
      </c>
      <c r="BV1845">
        <v>3.75</v>
      </c>
      <c r="BW1845">
        <v>2.5299999999999998</v>
      </c>
      <c r="BX1845">
        <v>3.56</v>
      </c>
      <c r="BY1845">
        <v>2.3199999999999998</v>
      </c>
      <c r="BZ1845">
        <v>0.1</v>
      </c>
      <c r="CA1845">
        <v>3.38</v>
      </c>
      <c r="CB1845">
        <v>2.89</v>
      </c>
      <c r="CC1845">
        <v>2.11</v>
      </c>
      <c r="CD1845">
        <v>-0.67</v>
      </c>
      <c r="CE1845">
        <v>0.59</v>
      </c>
      <c r="CF1845">
        <v>0.74</v>
      </c>
      <c r="CG1845">
        <v>0</v>
      </c>
      <c r="CH1845">
        <v>2.75</v>
      </c>
      <c r="CI1845">
        <v>0</v>
      </c>
      <c r="CJ1845">
        <v>-5.4</v>
      </c>
      <c r="CK1845">
        <v>46</v>
      </c>
      <c r="CL1845">
        <v>-1.65</v>
      </c>
      <c r="CM1845">
        <v>44</v>
      </c>
      <c r="CN1845">
        <v>-0.84</v>
      </c>
      <c r="CO1845">
        <v>44</v>
      </c>
      <c r="CP1845">
        <v>1.4</v>
      </c>
      <c r="CQ1845">
        <v>41</v>
      </c>
      <c r="CR1845">
        <v>0</v>
      </c>
      <c r="CS1845">
        <v>0</v>
      </c>
      <c r="CT1845">
        <v>17.100000000000001</v>
      </c>
      <c r="CU1845">
        <v>39</v>
      </c>
      <c r="CV1845">
        <v>0.24</v>
      </c>
      <c r="CW1845">
        <v>35</v>
      </c>
      <c r="CX1845" t="s">
        <v>401</v>
      </c>
    </row>
    <row r="1846" spans="1:102" x14ac:dyDescent="0.3">
      <c r="A1846" t="str">
        <f>HYPERLINK("https://webapp.icbf.com/v2/app/bull-search/view/498485905","RZA")</f>
        <v>RZA</v>
      </c>
      <c r="B1846" t="s">
        <v>15425</v>
      </c>
      <c r="C1846" t="s">
        <v>15426</v>
      </c>
      <c r="D1846" s="1">
        <v>39129</v>
      </c>
      <c r="E1846" t="s">
        <v>92</v>
      </c>
      <c r="F1846">
        <v>91</v>
      </c>
      <c r="G1846" t="s">
        <v>93</v>
      </c>
      <c r="H1846">
        <v>82.44</v>
      </c>
      <c r="I1846">
        <v>88</v>
      </c>
      <c r="J1846">
        <v>25.85</v>
      </c>
      <c r="K1846">
        <v>97</v>
      </c>
      <c r="L1846">
        <v>22.53</v>
      </c>
      <c r="M1846">
        <v>80</v>
      </c>
      <c r="N1846">
        <v>25.33</v>
      </c>
      <c r="O1846">
        <v>87</v>
      </c>
      <c r="P1846">
        <v>-6.4</v>
      </c>
      <c r="Q1846">
        <v>92</v>
      </c>
      <c r="R1846">
        <v>4.99</v>
      </c>
      <c r="S1846">
        <v>83</v>
      </c>
      <c r="T1846">
        <v>11.75</v>
      </c>
      <c r="U1846">
        <v>91</v>
      </c>
      <c r="V1846">
        <v>-1.61</v>
      </c>
      <c r="W1846">
        <v>85</v>
      </c>
      <c r="X1846" t="s">
        <v>94</v>
      </c>
      <c r="Y1846" t="s">
        <v>1405</v>
      </c>
      <c r="Z1846" t="s">
        <v>96</v>
      </c>
      <c r="AA1846" t="s">
        <v>204</v>
      </c>
      <c r="AB1846" t="s">
        <v>15427</v>
      </c>
      <c r="AC1846">
        <v>106</v>
      </c>
      <c r="AD1846">
        <v>77</v>
      </c>
      <c r="AE1846">
        <v>97</v>
      </c>
      <c r="AF1846">
        <v>-169.7</v>
      </c>
      <c r="AG1846">
        <v>10.029999999999999</v>
      </c>
      <c r="AH1846">
        <v>-1.75</v>
      </c>
      <c r="AI1846">
        <v>0.3</v>
      </c>
      <c r="AJ1846">
        <v>7.0000000000000007E-2</v>
      </c>
      <c r="AK1846">
        <v>80</v>
      </c>
      <c r="AL1846">
        <v>105</v>
      </c>
      <c r="AM1846">
        <v>72</v>
      </c>
      <c r="AN1846">
        <v>-1.77</v>
      </c>
      <c r="AO1846">
        <v>0.02</v>
      </c>
      <c r="AP1846">
        <v>237</v>
      </c>
      <c r="AQ1846">
        <v>1</v>
      </c>
      <c r="AR1846">
        <v>7.65</v>
      </c>
      <c r="AS1846">
        <v>70</v>
      </c>
      <c r="AT1846">
        <v>3.18</v>
      </c>
      <c r="AU1846">
        <v>89</v>
      </c>
      <c r="AV1846">
        <v>-3.86</v>
      </c>
      <c r="AW1846">
        <v>97</v>
      </c>
      <c r="AX1846">
        <v>-0.83</v>
      </c>
      <c r="AY1846">
        <v>83</v>
      </c>
      <c r="AZ1846">
        <v>8.73</v>
      </c>
      <c r="BA1846">
        <v>68</v>
      </c>
      <c r="BB1846">
        <v>5.59</v>
      </c>
      <c r="BC1846">
        <v>71</v>
      </c>
      <c r="BD1846">
        <v>-0.04</v>
      </c>
      <c r="BE1846">
        <v>-0.02</v>
      </c>
      <c r="BF1846">
        <v>-0.01</v>
      </c>
      <c r="BG1846">
        <v>89</v>
      </c>
      <c r="BH1846">
        <v>-0.1</v>
      </c>
      <c r="BI1846">
        <v>-6.37</v>
      </c>
      <c r="BJ1846">
        <v>28</v>
      </c>
      <c r="BK1846">
        <v>15</v>
      </c>
      <c r="BL1846">
        <v>-0.87</v>
      </c>
      <c r="BM1846">
        <v>-1.19</v>
      </c>
      <c r="BN1846">
        <v>-2.23</v>
      </c>
      <c r="BO1846">
        <v>-0.97</v>
      </c>
      <c r="BP1846">
        <v>2.33</v>
      </c>
      <c r="BQ1846">
        <v>-0.81</v>
      </c>
      <c r="BR1846">
        <v>-0.56000000000000005</v>
      </c>
      <c r="BS1846">
        <v>0.62</v>
      </c>
      <c r="BT1846">
        <v>-7.0000000000000007E-2</v>
      </c>
      <c r="BU1846">
        <v>-2.09</v>
      </c>
      <c r="BV1846">
        <v>-0.87</v>
      </c>
      <c r="BW1846">
        <v>-0.64</v>
      </c>
      <c r="BX1846">
        <v>-0.83</v>
      </c>
      <c r="BY1846">
        <v>-1.47</v>
      </c>
      <c r="BZ1846">
        <v>1.5</v>
      </c>
      <c r="CA1846">
        <v>-1.1599999999999999</v>
      </c>
      <c r="CB1846">
        <v>-1.73</v>
      </c>
      <c r="CC1846">
        <v>0.75</v>
      </c>
      <c r="CD1846">
        <v>-0.01</v>
      </c>
      <c r="CE1846">
        <v>-0.71</v>
      </c>
      <c r="CF1846">
        <v>-1.69</v>
      </c>
      <c r="CG1846">
        <v>0</v>
      </c>
      <c r="CH1846">
        <v>-1.35</v>
      </c>
      <c r="CI1846">
        <v>0</v>
      </c>
      <c r="CJ1846">
        <v>-1.3</v>
      </c>
      <c r="CK1846">
        <v>93</v>
      </c>
      <c r="CL1846">
        <v>-0.53</v>
      </c>
      <c r="CM1846">
        <v>92</v>
      </c>
      <c r="CN1846">
        <v>-0.13</v>
      </c>
      <c r="CO1846">
        <v>91</v>
      </c>
      <c r="CP1846">
        <v>-4.4000000000000004</v>
      </c>
      <c r="CQ1846">
        <v>90</v>
      </c>
      <c r="CR1846">
        <v>0</v>
      </c>
      <c r="CS1846">
        <v>0</v>
      </c>
      <c r="CT1846">
        <v>-2.1</v>
      </c>
      <c r="CU1846">
        <v>91</v>
      </c>
      <c r="CV1846">
        <v>0.1</v>
      </c>
      <c r="CW1846">
        <v>47</v>
      </c>
      <c r="CX1846" t="s">
        <v>256</v>
      </c>
    </row>
    <row r="1847" spans="1:102" x14ac:dyDescent="0.3">
      <c r="A1847" t="str">
        <f>HYPERLINK("https://webapp.icbf.com/v2/app/bull-search/view/1231246325","S3033")</f>
        <v>S3033</v>
      </c>
      <c r="B1847" t="s">
        <v>13505</v>
      </c>
      <c r="C1847" t="s">
        <v>13506</v>
      </c>
      <c r="D1847" s="1">
        <v>41591</v>
      </c>
      <c r="E1847" t="s">
        <v>92</v>
      </c>
      <c r="F1847">
        <v>100</v>
      </c>
      <c r="G1847" t="s">
        <v>109</v>
      </c>
      <c r="H1847">
        <v>82.4</v>
      </c>
      <c r="I1847">
        <v>69</v>
      </c>
      <c r="J1847">
        <v>70.33</v>
      </c>
      <c r="K1847">
        <v>82</v>
      </c>
      <c r="L1847">
        <v>-32.99</v>
      </c>
      <c r="M1847">
        <v>76</v>
      </c>
      <c r="N1847">
        <v>20.69</v>
      </c>
      <c r="O1847">
        <v>68</v>
      </c>
      <c r="P1847">
        <v>-6.33</v>
      </c>
      <c r="Q1847">
        <v>58</v>
      </c>
      <c r="R1847">
        <v>20.14</v>
      </c>
      <c r="S1847">
        <v>56</v>
      </c>
      <c r="T1847">
        <v>8.65</v>
      </c>
      <c r="U1847">
        <v>28</v>
      </c>
      <c r="V1847">
        <v>1.91</v>
      </c>
      <c r="W1847">
        <v>15</v>
      </c>
      <c r="X1847" t="s">
        <v>110</v>
      </c>
      <c r="Y1847" t="s">
        <v>411</v>
      </c>
      <c r="Z1847" t="s">
        <v>96</v>
      </c>
      <c r="AA1847" t="s">
        <v>2216</v>
      </c>
      <c r="AB1847" t="s">
        <v>13507</v>
      </c>
      <c r="AC1847">
        <v>0</v>
      </c>
      <c r="AD1847">
        <v>0</v>
      </c>
      <c r="AE1847">
        <v>82</v>
      </c>
      <c r="AF1847">
        <v>493.43</v>
      </c>
      <c r="AG1847">
        <v>17.34</v>
      </c>
      <c r="AH1847">
        <v>13.38</v>
      </c>
      <c r="AI1847">
        <v>-0.03</v>
      </c>
      <c r="AJ1847">
        <v>-0.05</v>
      </c>
      <c r="AK1847">
        <v>76</v>
      </c>
      <c r="AL1847">
        <v>0</v>
      </c>
      <c r="AM1847">
        <v>0</v>
      </c>
      <c r="AN1847">
        <v>3.45</v>
      </c>
      <c r="AO1847">
        <v>0.84</v>
      </c>
      <c r="AP1847">
        <v>48</v>
      </c>
      <c r="AQ1847">
        <v>0</v>
      </c>
      <c r="AR1847">
        <v>10.039999999999999</v>
      </c>
      <c r="AS1847">
        <v>52</v>
      </c>
      <c r="AT1847">
        <v>4.46</v>
      </c>
      <c r="AU1847">
        <v>89</v>
      </c>
      <c r="AV1847">
        <v>-4.9000000000000004</v>
      </c>
      <c r="AW1847">
        <v>82</v>
      </c>
      <c r="AX1847">
        <v>-0.56999999999999995</v>
      </c>
      <c r="AY1847">
        <v>53</v>
      </c>
      <c r="AZ1847">
        <v>6.18</v>
      </c>
      <c r="BA1847">
        <v>32</v>
      </c>
      <c r="BB1847">
        <v>4.83</v>
      </c>
      <c r="BC1847">
        <v>15</v>
      </c>
      <c r="BD1847">
        <v>-0.03</v>
      </c>
      <c r="BE1847">
        <v>-7.0000000000000007E-2</v>
      </c>
      <c r="BF1847">
        <v>-0.28000000000000003</v>
      </c>
      <c r="BG1847">
        <v>86</v>
      </c>
      <c r="BH1847">
        <v>0.08</v>
      </c>
      <c r="BI1847">
        <v>3.09</v>
      </c>
      <c r="BJ1847">
        <v>0</v>
      </c>
      <c r="BK1847">
        <v>0</v>
      </c>
      <c r="BL1847">
        <v>2.31</v>
      </c>
      <c r="BM1847">
        <v>-0.01</v>
      </c>
      <c r="BN1847">
        <v>0.79</v>
      </c>
      <c r="BO1847">
        <v>1.33</v>
      </c>
      <c r="BP1847">
        <v>-1</v>
      </c>
      <c r="BQ1847">
        <v>2.73</v>
      </c>
      <c r="BR1847">
        <v>0.85</v>
      </c>
      <c r="BS1847">
        <v>3.2</v>
      </c>
      <c r="BT1847">
        <v>0.31</v>
      </c>
      <c r="BU1847">
        <v>3.92</v>
      </c>
      <c r="BV1847">
        <v>3.81</v>
      </c>
      <c r="BW1847">
        <v>1.51</v>
      </c>
      <c r="BX1847">
        <v>3.57</v>
      </c>
      <c r="BY1847">
        <v>1.1200000000000001</v>
      </c>
      <c r="BZ1847">
        <v>-0.44</v>
      </c>
      <c r="CA1847">
        <v>2.88</v>
      </c>
      <c r="CB1847">
        <v>2.41</v>
      </c>
      <c r="CC1847">
        <v>2.48</v>
      </c>
      <c r="CD1847">
        <v>-0.39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-1.5</v>
      </c>
      <c r="CK1847">
        <v>62</v>
      </c>
      <c r="CL1847">
        <v>-1.27</v>
      </c>
      <c r="CM1847">
        <v>58</v>
      </c>
      <c r="CN1847">
        <v>-0.79</v>
      </c>
      <c r="CO1847">
        <v>56</v>
      </c>
      <c r="CP1847">
        <v>-2.7</v>
      </c>
      <c r="CQ1847">
        <v>35</v>
      </c>
      <c r="CR1847">
        <v>0</v>
      </c>
      <c r="CS1847">
        <v>0</v>
      </c>
      <c r="CT1847">
        <v>2.1</v>
      </c>
      <c r="CU1847">
        <v>28</v>
      </c>
      <c r="CV1847">
        <v>0.34</v>
      </c>
      <c r="CW1847">
        <v>17</v>
      </c>
      <c r="CX1847" t="s">
        <v>1895</v>
      </c>
    </row>
    <row r="1848" spans="1:102" x14ac:dyDescent="0.3">
      <c r="A1848" t="str">
        <f>HYPERLINK("https://webapp.icbf.com/v2/app/bull-search/view/678701915","ZKB")</f>
        <v>ZKB</v>
      </c>
      <c r="B1848" t="s">
        <v>14180</v>
      </c>
      <c r="C1848" t="s">
        <v>2351</v>
      </c>
      <c r="D1848" s="1">
        <v>38977</v>
      </c>
      <c r="E1848" t="s">
        <v>140</v>
      </c>
      <c r="F1848">
        <v>0</v>
      </c>
      <c r="G1848" t="s">
        <v>93</v>
      </c>
      <c r="H1848">
        <v>82.35</v>
      </c>
      <c r="I1848">
        <v>89</v>
      </c>
      <c r="J1848">
        <v>31.02</v>
      </c>
      <c r="K1848">
        <v>98</v>
      </c>
      <c r="L1848">
        <v>35.4</v>
      </c>
      <c r="M1848">
        <v>82</v>
      </c>
      <c r="N1848">
        <v>8.2100000000000009</v>
      </c>
      <c r="O1848">
        <v>92</v>
      </c>
      <c r="P1848">
        <v>13.76</v>
      </c>
      <c r="Q1848">
        <v>97</v>
      </c>
      <c r="R1848">
        <v>-0.19</v>
      </c>
      <c r="S1848">
        <v>82</v>
      </c>
      <c r="T1848">
        <v>4.3499999999999996</v>
      </c>
      <c r="U1848">
        <v>81</v>
      </c>
      <c r="V1848">
        <v>-10.199999999999999</v>
      </c>
      <c r="W1848">
        <v>76</v>
      </c>
      <c r="X1848" t="s">
        <v>102</v>
      </c>
      <c r="Y1848" t="s">
        <v>1128</v>
      </c>
      <c r="Z1848">
        <v>0</v>
      </c>
      <c r="AA1848" t="s">
        <v>5583</v>
      </c>
      <c r="AB1848" t="s">
        <v>14181</v>
      </c>
      <c r="AC1848">
        <v>252</v>
      </c>
      <c r="AD1848">
        <v>59</v>
      </c>
      <c r="AE1848">
        <v>98</v>
      </c>
      <c r="AF1848">
        <v>147.13</v>
      </c>
      <c r="AG1848">
        <v>4.09</v>
      </c>
      <c r="AH1848">
        <v>6.08</v>
      </c>
      <c r="AI1848">
        <v>-0.03</v>
      </c>
      <c r="AJ1848">
        <v>0.02</v>
      </c>
      <c r="AK1848">
        <v>82</v>
      </c>
      <c r="AL1848">
        <v>288</v>
      </c>
      <c r="AM1848">
        <v>90</v>
      </c>
      <c r="AN1848">
        <v>-1.41</v>
      </c>
      <c r="AO1848">
        <v>1.42</v>
      </c>
      <c r="AP1848">
        <v>753</v>
      </c>
      <c r="AQ1848">
        <v>4</v>
      </c>
      <c r="AR1848">
        <v>7.84</v>
      </c>
      <c r="AS1848">
        <v>91</v>
      </c>
      <c r="AT1848">
        <v>4.0199999999999996</v>
      </c>
      <c r="AU1848">
        <v>95</v>
      </c>
      <c r="AV1848">
        <v>-1.47</v>
      </c>
      <c r="AW1848">
        <v>98</v>
      </c>
      <c r="AX1848">
        <v>0.53</v>
      </c>
      <c r="AY1848">
        <v>93</v>
      </c>
      <c r="AZ1848">
        <v>5.18</v>
      </c>
      <c r="BA1848">
        <v>82</v>
      </c>
      <c r="BB1848">
        <v>3.82</v>
      </c>
      <c r="BC1848">
        <v>73</v>
      </c>
      <c r="BD1848">
        <v>0.02</v>
      </c>
      <c r="BE1848">
        <v>-0.01</v>
      </c>
      <c r="BF1848">
        <v>-0.01</v>
      </c>
      <c r="BG1848">
        <v>93</v>
      </c>
      <c r="BH1848">
        <v>-0.32</v>
      </c>
      <c r="BI1848">
        <v>-4.0999999999999996</v>
      </c>
      <c r="BJ1848">
        <v>0</v>
      </c>
      <c r="BK1848">
        <v>0</v>
      </c>
      <c r="BL1848">
        <v>-0.72</v>
      </c>
      <c r="BM1848">
        <v>3.74</v>
      </c>
      <c r="BN1848">
        <v>-1.59</v>
      </c>
      <c r="BO1848">
        <v>-3.08</v>
      </c>
      <c r="BP1848">
        <v>4.5199999999999996</v>
      </c>
      <c r="BQ1848">
        <v>-1.74</v>
      </c>
      <c r="BR1848">
        <v>-2.44</v>
      </c>
      <c r="BS1848">
        <v>-0.43</v>
      </c>
      <c r="BT1848">
        <v>2.4500000000000002</v>
      </c>
      <c r="BU1848">
        <v>-3.46</v>
      </c>
      <c r="BV1848">
        <v>-3.82</v>
      </c>
      <c r="BW1848">
        <v>-2.87</v>
      </c>
      <c r="BX1848">
        <v>-2.69</v>
      </c>
      <c r="BY1848">
        <v>-2.15</v>
      </c>
      <c r="BZ1848">
        <v>1.56</v>
      </c>
      <c r="CA1848">
        <v>-2.62</v>
      </c>
      <c r="CB1848">
        <v>-3.31</v>
      </c>
      <c r="CC1848">
        <v>-0.49</v>
      </c>
      <c r="CD1848">
        <v>3.99</v>
      </c>
      <c r="CE1848">
        <v>-3.03</v>
      </c>
      <c r="CF1848">
        <v>-1.07</v>
      </c>
      <c r="CG1848">
        <v>0</v>
      </c>
      <c r="CH1848">
        <v>-2.5</v>
      </c>
      <c r="CI1848">
        <v>0</v>
      </c>
      <c r="CJ1848">
        <v>5.7</v>
      </c>
      <c r="CK1848">
        <v>98</v>
      </c>
      <c r="CL1848">
        <v>0.02</v>
      </c>
      <c r="CM1848">
        <v>98</v>
      </c>
      <c r="CN1848">
        <v>-0.4</v>
      </c>
      <c r="CO1848">
        <v>97</v>
      </c>
      <c r="CP1848">
        <v>6.7</v>
      </c>
      <c r="CQ1848">
        <v>86</v>
      </c>
      <c r="CR1848">
        <v>0</v>
      </c>
      <c r="CS1848">
        <v>0</v>
      </c>
      <c r="CT1848">
        <v>7.9</v>
      </c>
      <c r="CU1848">
        <v>81</v>
      </c>
      <c r="CV1848">
        <v>0.18</v>
      </c>
      <c r="CW1848">
        <v>46</v>
      </c>
      <c r="CX1848" t="s">
        <v>14182</v>
      </c>
    </row>
    <row r="1849" spans="1:102" x14ac:dyDescent="0.3">
      <c r="A1849" t="str">
        <f>HYPERLINK("https://webapp.icbf.com/v2/app/bull-search/view/742830293","SGC")</f>
        <v>SGC</v>
      </c>
      <c r="B1849" t="s">
        <v>12742</v>
      </c>
      <c r="C1849" t="s">
        <v>12743</v>
      </c>
      <c r="D1849" s="1">
        <v>40192</v>
      </c>
      <c r="E1849" t="s">
        <v>108</v>
      </c>
      <c r="F1849">
        <v>0</v>
      </c>
      <c r="G1849" t="s">
        <v>93</v>
      </c>
      <c r="H1849">
        <v>82.21</v>
      </c>
      <c r="I1849">
        <v>94</v>
      </c>
      <c r="J1849">
        <v>-25.56</v>
      </c>
      <c r="K1849">
        <v>99</v>
      </c>
      <c r="L1849">
        <v>99.79</v>
      </c>
      <c r="M1849">
        <v>90</v>
      </c>
      <c r="N1849">
        <v>12.75</v>
      </c>
      <c r="O1849">
        <v>96</v>
      </c>
      <c r="P1849">
        <v>-13.38</v>
      </c>
      <c r="Q1849">
        <v>99</v>
      </c>
      <c r="R1849">
        <v>-0.38</v>
      </c>
      <c r="S1849">
        <v>88</v>
      </c>
      <c r="T1849">
        <v>8.65</v>
      </c>
      <c r="U1849">
        <v>95</v>
      </c>
      <c r="V1849">
        <v>0.34</v>
      </c>
      <c r="W1849">
        <v>82</v>
      </c>
      <c r="X1849" t="s">
        <v>102</v>
      </c>
      <c r="Y1849" t="s">
        <v>329</v>
      </c>
      <c r="Z1849" t="s">
        <v>96</v>
      </c>
      <c r="AA1849" t="s">
        <v>584</v>
      </c>
      <c r="AB1849" t="s">
        <v>12744</v>
      </c>
      <c r="AC1849">
        <v>550</v>
      </c>
      <c r="AD1849">
        <v>206</v>
      </c>
      <c r="AE1849">
        <v>99</v>
      </c>
      <c r="AF1849">
        <v>-222.62</v>
      </c>
      <c r="AG1849">
        <v>-2.19</v>
      </c>
      <c r="AH1849">
        <v>-6.98</v>
      </c>
      <c r="AI1849">
        <v>0.12</v>
      </c>
      <c r="AJ1849">
        <v>0.01</v>
      </c>
      <c r="AK1849">
        <v>90</v>
      </c>
      <c r="AL1849">
        <v>778</v>
      </c>
      <c r="AM1849">
        <v>331</v>
      </c>
      <c r="AN1849">
        <v>-5.29</v>
      </c>
      <c r="AO1849">
        <v>2.67</v>
      </c>
      <c r="AP1849">
        <v>1808</v>
      </c>
      <c r="AQ1849">
        <v>17</v>
      </c>
      <c r="AR1849">
        <v>8.61</v>
      </c>
      <c r="AS1849">
        <v>92</v>
      </c>
      <c r="AT1849">
        <v>2.56</v>
      </c>
      <c r="AU1849">
        <v>98</v>
      </c>
      <c r="AV1849">
        <v>-3.16</v>
      </c>
      <c r="AW1849">
        <v>99</v>
      </c>
      <c r="AX1849">
        <v>-0.52</v>
      </c>
      <c r="AY1849">
        <v>97</v>
      </c>
      <c r="AZ1849">
        <v>10.58</v>
      </c>
      <c r="BA1849">
        <v>91</v>
      </c>
      <c r="BB1849">
        <v>6.51</v>
      </c>
      <c r="BC1849">
        <v>87</v>
      </c>
      <c r="BD1849">
        <v>0.04</v>
      </c>
      <c r="BE1849">
        <v>-0.02</v>
      </c>
      <c r="BF1849">
        <v>-0.02</v>
      </c>
      <c r="BG1849">
        <v>97</v>
      </c>
      <c r="BH1849">
        <v>0.09</v>
      </c>
      <c r="BI1849">
        <v>9.31</v>
      </c>
      <c r="BJ1849">
        <v>50</v>
      </c>
      <c r="BK1849">
        <v>18</v>
      </c>
      <c r="BL1849">
        <v>-2.79</v>
      </c>
      <c r="BM1849">
        <v>2.4300000000000002</v>
      </c>
      <c r="BN1849">
        <v>-1.35</v>
      </c>
      <c r="BO1849">
        <v>-2.93</v>
      </c>
      <c r="BP1849">
        <v>-0.8</v>
      </c>
      <c r="BQ1849">
        <v>0.26</v>
      </c>
      <c r="BR1849">
        <v>-1.62</v>
      </c>
      <c r="BS1849">
        <v>0.89</v>
      </c>
      <c r="BT1849">
        <v>1.27</v>
      </c>
      <c r="BU1849">
        <v>-3.46</v>
      </c>
      <c r="BV1849">
        <v>-2.81</v>
      </c>
      <c r="BW1849">
        <v>-1.36</v>
      </c>
      <c r="BX1849">
        <v>-2.2799999999999998</v>
      </c>
      <c r="BY1849">
        <v>-0.52</v>
      </c>
      <c r="BZ1849">
        <v>-1.72</v>
      </c>
      <c r="CA1849">
        <v>-1.91</v>
      </c>
      <c r="CB1849">
        <v>-2.4300000000000002</v>
      </c>
      <c r="CC1849">
        <v>-0.24</v>
      </c>
      <c r="CD1849">
        <v>2.86</v>
      </c>
      <c r="CE1849">
        <v>-2.23</v>
      </c>
      <c r="CF1849">
        <v>-1.67</v>
      </c>
      <c r="CG1849">
        <v>0</v>
      </c>
      <c r="CH1849">
        <v>-0.55000000000000004</v>
      </c>
      <c r="CI1849">
        <v>0</v>
      </c>
      <c r="CJ1849">
        <v>-10.8</v>
      </c>
      <c r="CK1849">
        <v>99</v>
      </c>
      <c r="CL1849">
        <v>-0.01</v>
      </c>
      <c r="CM1849">
        <v>99</v>
      </c>
      <c r="CN1849">
        <v>-0.23</v>
      </c>
      <c r="CO1849">
        <v>99</v>
      </c>
      <c r="CP1849">
        <v>-7.1</v>
      </c>
      <c r="CQ1849">
        <v>96</v>
      </c>
      <c r="CR1849">
        <v>0</v>
      </c>
      <c r="CS1849">
        <v>0</v>
      </c>
      <c r="CT1849">
        <v>2.1</v>
      </c>
      <c r="CU1849">
        <v>95</v>
      </c>
      <c r="CV1849">
        <v>-0.12</v>
      </c>
      <c r="CW1849">
        <v>47</v>
      </c>
      <c r="CX1849" t="s">
        <v>12745</v>
      </c>
    </row>
    <row r="1850" spans="1:102" x14ac:dyDescent="0.3">
      <c r="A1850" t="str">
        <f>HYPERLINK("https://webapp.icbf.com/v2/app/bull-search/view/659984947","JBG")</f>
        <v>JBG</v>
      </c>
      <c r="B1850" t="s">
        <v>8498</v>
      </c>
      <c r="C1850" t="s">
        <v>8499</v>
      </c>
      <c r="D1850" s="1">
        <v>38303</v>
      </c>
      <c r="E1850" t="s">
        <v>140</v>
      </c>
      <c r="F1850">
        <v>0</v>
      </c>
      <c r="G1850" t="s">
        <v>109</v>
      </c>
      <c r="H1850">
        <v>82.16</v>
      </c>
      <c r="I1850">
        <v>50</v>
      </c>
      <c r="J1850">
        <v>18.350000000000001</v>
      </c>
      <c r="K1850">
        <v>70</v>
      </c>
      <c r="L1850">
        <v>52.79</v>
      </c>
      <c r="M1850">
        <v>31</v>
      </c>
      <c r="N1850">
        <v>-16.86</v>
      </c>
      <c r="O1850">
        <v>55</v>
      </c>
      <c r="P1850">
        <v>33.090000000000003</v>
      </c>
      <c r="Q1850">
        <v>74</v>
      </c>
      <c r="R1850">
        <v>0.19</v>
      </c>
      <c r="S1850">
        <v>25</v>
      </c>
      <c r="T1850">
        <v>1.62</v>
      </c>
      <c r="U1850">
        <v>47</v>
      </c>
      <c r="V1850">
        <v>-7.02</v>
      </c>
      <c r="W1850">
        <v>22</v>
      </c>
      <c r="X1850" t="s">
        <v>94</v>
      </c>
      <c r="Y1850" t="s">
        <v>1756</v>
      </c>
      <c r="Z1850">
        <v>0</v>
      </c>
      <c r="AA1850" t="s">
        <v>139</v>
      </c>
      <c r="AB1850" t="s">
        <v>8500</v>
      </c>
      <c r="AC1850">
        <v>0</v>
      </c>
      <c r="AD1850">
        <v>0</v>
      </c>
      <c r="AE1850">
        <v>70</v>
      </c>
      <c r="AF1850">
        <v>-21.58</v>
      </c>
      <c r="AG1850">
        <v>-0.96</v>
      </c>
      <c r="AH1850">
        <v>3.13</v>
      </c>
      <c r="AI1850">
        <v>0</v>
      </c>
      <c r="AJ1850">
        <v>0.06</v>
      </c>
      <c r="AK1850">
        <v>31</v>
      </c>
      <c r="AL1850">
        <v>12</v>
      </c>
      <c r="AM1850">
        <v>9</v>
      </c>
      <c r="AN1850">
        <v>-2.89</v>
      </c>
      <c r="AO1850">
        <v>1.32</v>
      </c>
      <c r="AP1850">
        <v>19</v>
      </c>
      <c r="AQ1850">
        <v>0</v>
      </c>
      <c r="AR1850">
        <v>7.15</v>
      </c>
      <c r="AS1850">
        <v>34</v>
      </c>
      <c r="AT1850">
        <v>3.75</v>
      </c>
      <c r="AU1850">
        <v>40</v>
      </c>
      <c r="AV1850">
        <v>2.09</v>
      </c>
      <c r="AW1850">
        <v>82</v>
      </c>
      <c r="AX1850">
        <v>0.77</v>
      </c>
      <c r="AY1850">
        <v>49</v>
      </c>
      <c r="AZ1850">
        <v>5.42</v>
      </c>
      <c r="BA1850">
        <v>24</v>
      </c>
      <c r="BB1850">
        <v>3.97</v>
      </c>
      <c r="BC1850">
        <v>26</v>
      </c>
      <c r="BD1850">
        <v>-0.02</v>
      </c>
      <c r="BE1850">
        <v>0.01</v>
      </c>
      <c r="BF1850">
        <v>0.01</v>
      </c>
      <c r="BG1850">
        <v>30</v>
      </c>
      <c r="BH1850">
        <v>-0.26</v>
      </c>
      <c r="BI1850">
        <v>-7.44</v>
      </c>
      <c r="BJ1850">
        <v>0</v>
      </c>
      <c r="BK1850">
        <v>0</v>
      </c>
      <c r="BL1850">
        <v>-1.07</v>
      </c>
      <c r="BM1850">
        <v>3.04</v>
      </c>
      <c r="BN1850">
        <v>-1.95</v>
      </c>
      <c r="BO1850">
        <v>-2.96</v>
      </c>
      <c r="BP1850">
        <v>4.2300000000000004</v>
      </c>
      <c r="BQ1850">
        <v>-2.62</v>
      </c>
      <c r="BR1850">
        <v>-2.8</v>
      </c>
      <c r="BS1850">
        <v>-0.47</v>
      </c>
      <c r="BT1850">
        <v>2.66</v>
      </c>
      <c r="BU1850">
        <v>-3.46</v>
      </c>
      <c r="BV1850">
        <v>-4.03</v>
      </c>
      <c r="BW1850">
        <v>-3.1</v>
      </c>
      <c r="BX1850">
        <v>-2.73</v>
      </c>
      <c r="BY1850">
        <v>-2.27</v>
      </c>
      <c r="BZ1850">
        <v>1.28</v>
      </c>
      <c r="CA1850">
        <v>-2.5299999999999998</v>
      </c>
      <c r="CB1850">
        <v>-3.22</v>
      </c>
      <c r="CC1850">
        <v>-0.48</v>
      </c>
      <c r="CD1850">
        <v>3.67</v>
      </c>
      <c r="CE1850">
        <v>-2.95</v>
      </c>
      <c r="CF1850">
        <v>-1.45</v>
      </c>
      <c r="CG1850">
        <v>0</v>
      </c>
      <c r="CH1850">
        <v>-2.79</v>
      </c>
      <c r="CI1850">
        <v>0</v>
      </c>
      <c r="CJ1850">
        <v>16.899999999999999</v>
      </c>
      <c r="CK1850">
        <v>78</v>
      </c>
      <c r="CL1850">
        <v>0.56000000000000005</v>
      </c>
      <c r="CM1850">
        <v>74</v>
      </c>
      <c r="CN1850">
        <v>-0.22</v>
      </c>
      <c r="CO1850">
        <v>72</v>
      </c>
      <c r="CP1850">
        <v>9.4</v>
      </c>
      <c r="CQ1850">
        <v>55</v>
      </c>
      <c r="CR1850">
        <v>0</v>
      </c>
      <c r="CS1850">
        <v>0</v>
      </c>
      <c r="CT1850">
        <v>11.6</v>
      </c>
      <c r="CU1850">
        <v>47</v>
      </c>
      <c r="CV1850">
        <v>7.0000000000000007E-2</v>
      </c>
      <c r="CW1850">
        <v>21</v>
      </c>
      <c r="CX1850" t="s">
        <v>8501</v>
      </c>
    </row>
    <row r="1851" spans="1:102" x14ac:dyDescent="0.3">
      <c r="A1851" t="str">
        <f>HYPERLINK("https://webapp.icbf.com/v2/app/bull-search/view/395338567","HGK")</f>
        <v>HGK</v>
      </c>
      <c r="B1851" t="s">
        <v>9700</v>
      </c>
      <c r="C1851" t="s">
        <v>9701</v>
      </c>
      <c r="D1851" s="1">
        <v>38406</v>
      </c>
      <c r="E1851" t="s">
        <v>92</v>
      </c>
      <c r="F1851">
        <v>75</v>
      </c>
      <c r="G1851" t="s">
        <v>93</v>
      </c>
      <c r="H1851">
        <v>82.05</v>
      </c>
      <c r="I1851">
        <v>85</v>
      </c>
      <c r="J1851">
        <v>38.04</v>
      </c>
      <c r="K1851">
        <v>96</v>
      </c>
      <c r="L1851">
        <v>18.37</v>
      </c>
      <c r="M1851">
        <v>77</v>
      </c>
      <c r="N1851">
        <v>21.57</v>
      </c>
      <c r="O1851">
        <v>82</v>
      </c>
      <c r="P1851">
        <v>-3.71</v>
      </c>
      <c r="Q1851">
        <v>88</v>
      </c>
      <c r="R1851">
        <v>3.1</v>
      </c>
      <c r="S1851">
        <v>79</v>
      </c>
      <c r="T1851">
        <v>1.25</v>
      </c>
      <c r="U1851">
        <v>82</v>
      </c>
      <c r="V1851">
        <v>3.43</v>
      </c>
      <c r="W1851">
        <v>78</v>
      </c>
      <c r="X1851" t="s">
        <v>94</v>
      </c>
      <c r="Y1851" t="s">
        <v>228</v>
      </c>
      <c r="Z1851" t="s">
        <v>96</v>
      </c>
      <c r="AA1851" t="s">
        <v>4532</v>
      </c>
      <c r="AB1851" t="s">
        <v>9702</v>
      </c>
      <c r="AC1851">
        <v>57</v>
      </c>
      <c r="AD1851">
        <v>43</v>
      </c>
      <c r="AE1851">
        <v>96</v>
      </c>
      <c r="AF1851">
        <v>30.51</v>
      </c>
      <c r="AG1851">
        <v>10.93</v>
      </c>
      <c r="AH1851">
        <v>3.07</v>
      </c>
      <c r="AI1851">
        <v>0.17</v>
      </c>
      <c r="AJ1851">
        <v>0.04</v>
      </c>
      <c r="AK1851">
        <v>77</v>
      </c>
      <c r="AL1851">
        <v>54</v>
      </c>
      <c r="AM1851">
        <v>41</v>
      </c>
      <c r="AN1851">
        <v>-1.37</v>
      </c>
      <c r="AO1851">
        <v>0.09</v>
      </c>
      <c r="AP1851">
        <v>94</v>
      </c>
      <c r="AQ1851">
        <v>34</v>
      </c>
      <c r="AR1851">
        <v>4.9000000000000004</v>
      </c>
      <c r="AS1851">
        <v>69</v>
      </c>
      <c r="AT1851">
        <v>2.2999999999999998</v>
      </c>
      <c r="AU1851">
        <v>82</v>
      </c>
      <c r="AV1851">
        <v>-2.12</v>
      </c>
      <c r="AW1851">
        <v>93</v>
      </c>
      <c r="AX1851">
        <v>1.34</v>
      </c>
      <c r="AY1851">
        <v>77</v>
      </c>
      <c r="AZ1851">
        <v>7.55</v>
      </c>
      <c r="BA1851">
        <v>61</v>
      </c>
      <c r="BB1851">
        <v>5.51</v>
      </c>
      <c r="BC1851">
        <v>63</v>
      </c>
      <c r="BD1851">
        <v>-0.02</v>
      </c>
      <c r="BE1851">
        <v>-0.02</v>
      </c>
      <c r="BF1851">
        <v>0</v>
      </c>
      <c r="BG1851">
        <v>86</v>
      </c>
      <c r="BH1851">
        <v>0.09</v>
      </c>
      <c r="BI1851">
        <v>-0.64</v>
      </c>
      <c r="BJ1851">
        <v>24</v>
      </c>
      <c r="BK1851">
        <v>11</v>
      </c>
      <c r="BL1851">
        <v>-0.35</v>
      </c>
      <c r="BM1851">
        <v>0.75</v>
      </c>
      <c r="BN1851">
        <v>0.46</v>
      </c>
      <c r="BO1851">
        <v>-0.16</v>
      </c>
      <c r="BP1851">
        <v>-0.75</v>
      </c>
      <c r="BQ1851">
        <v>-0.5</v>
      </c>
      <c r="BR1851">
        <v>0.52</v>
      </c>
      <c r="BS1851">
        <v>-0.44</v>
      </c>
      <c r="BT1851">
        <v>-0.54</v>
      </c>
      <c r="BU1851">
        <v>1.41</v>
      </c>
      <c r="BV1851">
        <v>-0.54</v>
      </c>
      <c r="BW1851">
        <v>0.16</v>
      </c>
      <c r="BX1851">
        <v>0.46</v>
      </c>
      <c r="BY1851">
        <v>-1.56</v>
      </c>
      <c r="BZ1851">
        <v>-1.26</v>
      </c>
      <c r="CA1851">
        <v>0.19</v>
      </c>
      <c r="CB1851">
        <v>0.52</v>
      </c>
      <c r="CC1851">
        <v>-0.98</v>
      </c>
      <c r="CD1851">
        <v>0.64</v>
      </c>
      <c r="CE1851">
        <v>-0.11</v>
      </c>
      <c r="CF1851">
        <v>-7.0000000000000007E-2</v>
      </c>
      <c r="CG1851">
        <v>0</v>
      </c>
      <c r="CH1851">
        <v>-1.23</v>
      </c>
      <c r="CI1851">
        <v>0</v>
      </c>
      <c r="CJ1851">
        <v>-0.7</v>
      </c>
      <c r="CK1851">
        <v>89</v>
      </c>
      <c r="CL1851">
        <v>-0.67</v>
      </c>
      <c r="CM1851">
        <v>86</v>
      </c>
      <c r="CN1851">
        <v>-0.4</v>
      </c>
      <c r="CO1851">
        <v>85</v>
      </c>
      <c r="CP1851">
        <v>-3.4</v>
      </c>
      <c r="CQ1851">
        <v>86</v>
      </c>
      <c r="CR1851">
        <v>0</v>
      </c>
      <c r="CS1851">
        <v>0</v>
      </c>
      <c r="CT1851">
        <v>12.1</v>
      </c>
      <c r="CU1851">
        <v>82</v>
      </c>
      <c r="CV1851">
        <v>0.11</v>
      </c>
      <c r="CW1851">
        <v>45</v>
      </c>
      <c r="CX1851" t="s">
        <v>792</v>
      </c>
    </row>
    <row r="1852" spans="1:102" x14ac:dyDescent="0.3">
      <c r="A1852" t="str">
        <f>HYPERLINK("https://webapp.icbf.com/v2/app/bull-search/view/987113753","S1370")</f>
        <v>S1370</v>
      </c>
      <c r="B1852" t="s">
        <v>5608</v>
      </c>
      <c r="C1852" t="s">
        <v>5609</v>
      </c>
      <c r="D1852" s="1">
        <v>40252</v>
      </c>
      <c r="E1852" t="s">
        <v>92</v>
      </c>
      <c r="F1852">
        <v>100</v>
      </c>
      <c r="G1852" t="s">
        <v>109</v>
      </c>
      <c r="H1852">
        <v>81.95</v>
      </c>
      <c r="I1852">
        <v>84</v>
      </c>
      <c r="J1852">
        <v>60.8</v>
      </c>
      <c r="K1852">
        <v>95</v>
      </c>
      <c r="L1852">
        <v>10.18</v>
      </c>
      <c r="M1852">
        <v>86</v>
      </c>
      <c r="N1852">
        <v>15.85</v>
      </c>
      <c r="O1852">
        <v>76</v>
      </c>
      <c r="P1852">
        <v>-14.56</v>
      </c>
      <c r="Q1852">
        <v>73</v>
      </c>
      <c r="R1852">
        <v>5.67</v>
      </c>
      <c r="S1852">
        <v>78</v>
      </c>
      <c r="T1852">
        <v>3.24</v>
      </c>
      <c r="U1852">
        <v>67</v>
      </c>
      <c r="V1852">
        <v>0.77</v>
      </c>
      <c r="W1852">
        <v>62</v>
      </c>
      <c r="X1852" t="s">
        <v>234</v>
      </c>
      <c r="Y1852" t="s">
        <v>342</v>
      </c>
      <c r="Z1852" t="s">
        <v>96</v>
      </c>
      <c r="AA1852" t="s">
        <v>1572</v>
      </c>
      <c r="AB1852" t="s">
        <v>5610</v>
      </c>
      <c r="AC1852">
        <v>37</v>
      </c>
      <c r="AD1852">
        <v>17</v>
      </c>
      <c r="AE1852">
        <v>95</v>
      </c>
      <c r="AF1852">
        <v>365.39</v>
      </c>
      <c r="AG1852">
        <v>14.88</v>
      </c>
      <c r="AH1852">
        <v>10.67</v>
      </c>
      <c r="AI1852">
        <v>0.01</v>
      </c>
      <c r="AJ1852">
        <v>-0.03</v>
      </c>
      <c r="AK1852">
        <v>86</v>
      </c>
      <c r="AL1852">
        <v>30</v>
      </c>
      <c r="AM1852">
        <v>15</v>
      </c>
      <c r="AN1852">
        <v>-0.69</v>
      </c>
      <c r="AO1852">
        <v>0.12</v>
      </c>
      <c r="AP1852">
        <v>58</v>
      </c>
      <c r="AQ1852">
        <v>0</v>
      </c>
      <c r="AR1852">
        <v>7.83</v>
      </c>
      <c r="AS1852">
        <v>68</v>
      </c>
      <c r="AT1852">
        <v>2.82</v>
      </c>
      <c r="AU1852">
        <v>88</v>
      </c>
      <c r="AV1852">
        <v>-1.89</v>
      </c>
      <c r="AW1852">
        <v>82</v>
      </c>
      <c r="AX1852">
        <v>0.73</v>
      </c>
      <c r="AY1852">
        <v>66</v>
      </c>
      <c r="AZ1852">
        <v>5.68</v>
      </c>
      <c r="BA1852">
        <v>57</v>
      </c>
      <c r="BB1852">
        <v>5.0999999999999996</v>
      </c>
      <c r="BC1852">
        <v>53</v>
      </c>
      <c r="BD1852">
        <v>0.01</v>
      </c>
      <c r="BE1852">
        <v>-0.03</v>
      </c>
      <c r="BF1852">
        <v>-0.09</v>
      </c>
      <c r="BG1852">
        <v>91</v>
      </c>
      <c r="BH1852">
        <v>0.01</v>
      </c>
      <c r="BI1852">
        <v>-1.32</v>
      </c>
      <c r="BJ1852">
        <v>17</v>
      </c>
      <c r="BK1852">
        <v>10</v>
      </c>
      <c r="BL1852">
        <v>1.64</v>
      </c>
      <c r="BM1852">
        <v>-1.36</v>
      </c>
      <c r="BN1852">
        <v>0.77</v>
      </c>
      <c r="BO1852">
        <v>1.56</v>
      </c>
      <c r="BP1852">
        <v>-1.57</v>
      </c>
      <c r="BQ1852">
        <v>-0.67</v>
      </c>
      <c r="BR1852">
        <v>0.78</v>
      </c>
      <c r="BS1852">
        <v>0.84</v>
      </c>
      <c r="BT1852">
        <v>-0.45</v>
      </c>
      <c r="BU1852">
        <v>1.41</v>
      </c>
      <c r="BV1852">
        <v>2.11</v>
      </c>
      <c r="BW1852">
        <v>2.93</v>
      </c>
      <c r="BX1852">
        <v>1.63</v>
      </c>
      <c r="BY1852">
        <v>1.22</v>
      </c>
      <c r="BZ1852">
        <v>2.4700000000000002</v>
      </c>
      <c r="CA1852">
        <v>1.41</v>
      </c>
      <c r="CB1852">
        <v>1.47</v>
      </c>
      <c r="CC1852">
        <v>0.61</v>
      </c>
      <c r="CD1852">
        <v>-1.21</v>
      </c>
      <c r="CE1852">
        <v>1.22</v>
      </c>
      <c r="CF1852">
        <v>0.92</v>
      </c>
      <c r="CG1852">
        <v>0</v>
      </c>
      <c r="CH1852">
        <v>0.88</v>
      </c>
      <c r="CI1852">
        <v>0</v>
      </c>
      <c r="CJ1852">
        <v>-3.4</v>
      </c>
      <c r="CK1852">
        <v>76</v>
      </c>
      <c r="CL1852">
        <v>-1.43</v>
      </c>
      <c r="CM1852">
        <v>71</v>
      </c>
      <c r="CN1852">
        <v>-0.47</v>
      </c>
      <c r="CO1852">
        <v>69</v>
      </c>
      <c r="CP1852">
        <v>-4.0999999999999996</v>
      </c>
      <c r="CQ1852">
        <v>69</v>
      </c>
      <c r="CR1852">
        <v>0</v>
      </c>
      <c r="CS1852">
        <v>0</v>
      </c>
      <c r="CT1852">
        <v>9.4</v>
      </c>
      <c r="CU1852">
        <v>67</v>
      </c>
      <c r="CV1852">
        <v>0.28999999999999998</v>
      </c>
      <c r="CW1852">
        <v>41</v>
      </c>
      <c r="CX1852" t="s">
        <v>350</v>
      </c>
    </row>
    <row r="1853" spans="1:102" x14ac:dyDescent="0.3">
      <c r="A1853" t="str">
        <f>HYPERLINK("https://webapp.icbf.com/v2/app/bull-search/view/147114411","MBA")</f>
        <v>MBA</v>
      </c>
      <c r="B1853" t="s">
        <v>4731</v>
      </c>
      <c r="C1853" t="s">
        <v>4732</v>
      </c>
      <c r="D1853" s="1">
        <v>34494</v>
      </c>
      <c r="E1853" t="s">
        <v>227</v>
      </c>
      <c r="F1853">
        <v>0</v>
      </c>
      <c r="G1853" t="s">
        <v>93</v>
      </c>
      <c r="H1853">
        <v>81.73</v>
      </c>
      <c r="I1853">
        <v>92</v>
      </c>
      <c r="J1853">
        <v>20.2</v>
      </c>
      <c r="K1853">
        <v>97</v>
      </c>
      <c r="L1853">
        <v>46.49</v>
      </c>
      <c r="M1853">
        <v>92</v>
      </c>
      <c r="N1853">
        <v>13.96</v>
      </c>
      <c r="O1853">
        <v>87</v>
      </c>
      <c r="P1853">
        <v>-59.48</v>
      </c>
      <c r="Q1853">
        <v>92</v>
      </c>
      <c r="R1853">
        <v>0.77</v>
      </c>
      <c r="S1853">
        <v>86</v>
      </c>
      <c r="T1853">
        <v>60.67</v>
      </c>
      <c r="U1853">
        <v>85</v>
      </c>
      <c r="V1853">
        <v>-0.88</v>
      </c>
      <c r="W1853">
        <v>85</v>
      </c>
      <c r="X1853" t="s">
        <v>276</v>
      </c>
      <c r="Y1853" t="s">
        <v>95</v>
      </c>
      <c r="Z1853">
        <v>0</v>
      </c>
      <c r="AA1853" t="s">
        <v>788</v>
      </c>
      <c r="AB1853" t="s">
        <v>4733</v>
      </c>
      <c r="AC1853">
        <v>88</v>
      </c>
      <c r="AD1853">
        <v>52</v>
      </c>
      <c r="AE1853">
        <v>97</v>
      </c>
      <c r="AF1853">
        <v>-339.54</v>
      </c>
      <c r="AG1853">
        <v>1.07</v>
      </c>
      <c r="AH1853">
        <v>-2.14</v>
      </c>
      <c r="AI1853">
        <v>0.27</v>
      </c>
      <c r="AJ1853">
        <v>0.17</v>
      </c>
      <c r="AK1853">
        <v>92</v>
      </c>
      <c r="AL1853">
        <v>105</v>
      </c>
      <c r="AM1853">
        <v>62</v>
      </c>
      <c r="AN1853">
        <v>-1.59</v>
      </c>
      <c r="AO1853">
        <v>2.13</v>
      </c>
      <c r="AP1853">
        <v>167</v>
      </c>
      <c r="AQ1853">
        <v>2</v>
      </c>
      <c r="AR1853">
        <v>2.7</v>
      </c>
      <c r="AS1853">
        <v>85</v>
      </c>
      <c r="AT1853">
        <v>1.69</v>
      </c>
      <c r="AU1853">
        <v>85</v>
      </c>
      <c r="AV1853">
        <v>-1.18</v>
      </c>
      <c r="AW1853">
        <v>95</v>
      </c>
      <c r="AX1853">
        <v>0.85</v>
      </c>
      <c r="AY1853">
        <v>85</v>
      </c>
      <c r="AZ1853">
        <v>9.76</v>
      </c>
      <c r="BA1853">
        <v>70</v>
      </c>
      <c r="BB1853">
        <v>6.34</v>
      </c>
      <c r="BC1853">
        <v>73</v>
      </c>
      <c r="BD1853">
        <v>-7.0000000000000007E-2</v>
      </c>
      <c r="BE1853">
        <v>0.01</v>
      </c>
      <c r="BF1853">
        <v>0.08</v>
      </c>
      <c r="BG1853">
        <v>91</v>
      </c>
      <c r="BH1853">
        <v>-0.03</v>
      </c>
      <c r="BI1853">
        <v>-0.63</v>
      </c>
      <c r="BJ1853">
        <v>1</v>
      </c>
      <c r="BK1853">
        <v>1</v>
      </c>
      <c r="BL1853">
        <v>-0.59</v>
      </c>
      <c r="BM1853">
        <v>-1.74</v>
      </c>
      <c r="BN1853">
        <v>-0.26</v>
      </c>
      <c r="BO1853">
        <v>1.72</v>
      </c>
      <c r="BP1853">
        <v>1.51</v>
      </c>
      <c r="BQ1853">
        <v>-4.41</v>
      </c>
      <c r="BR1853">
        <v>2.5299999999999998</v>
      </c>
      <c r="BS1853">
        <v>6.29</v>
      </c>
      <c r="BT1853">
        <v>-1.51</v>
      </c>
      <c r="BU1853">
        <v>1.29</v>
      </c>
      <c r="BV1853">
        <v>1.26</v>
      </c>
      <c r="BW1853">
        <v>-0.64</v>
      </c>
      <c r="BX1853">
        <v>-1.74</v>
      </c>
      <c r="BY1853">
        <v>0.95</v>
      </c>
      <c r="BZ1853">
        <v>0.84</v>
      </c>
      <c r="CA1853">
        <v>2.7</v>
      </c>
      <c r="CB1853">
        <v>1.48</v>
      </c>
      <c r="CC1853">
        <v>3.93</v>
      </c>
      <c r="CD1853">
        <v>-2.0499999999999998</v>
      </c>
      <c r="CE1853">
        <v>1.92</v>
      </c>
      <c r="CF1853">
        <v>-0.04</v>
      </c>
      <c r="CG1853">
        <v>0</v>
      </c>
      <c r="CH1853">
        <v>0.53</v>
      </c>
      <c r="CI1853">
        <v>0</v>
      </c>
      <c r="CJ1853">
        <v>-31.2</v>
      </c>
      <c r="CK1853">
        <v>93</v>
      </c>
      <c r="CL1853">
        <v>-1.07</v>
      </c>
      <c r="CM1853">
        <v>91</v>
      </c>
      <c r="CN1853">
        <v>-0.21</v>
      </c>
      <c r="CO1853">
        <v>90</v>
      </c>
      <c r="CP1853">
        <v>-52.3</v>
      </c>
      <c r="CQ1853">
        <v>90</v>
      </c>
      <c r="CR1853">
        <v>0</v>
      </c>
      <c r="CS1853">
        <v>0</v>
      </c>
      <c r="CT1853">
        <v>-68.2</v>
      </c>
      <c r="CU1853">
        <v>85</v>
      </c>
      <c r="CV1853">
        <v>-0.34</v>
      </c>
      <c r="CW1853">
        <v>44</v>
      </c>
      <c r="CX1853" t="s">
        <v>533</v>
      </c>
    </row>
    <row r="1854" spans="1:102" x14ac:dyDescent="0.3">
      <c r="A1854" t="str">
        <f>HYPERLINK("https://webapp.icbf.com/v2/app/bull-search/view/152145566","S307")</f>
        <v>S307</v>
      </c>
      <c r="B1854" t="s">
        <v>11551</v>
      </c>
      <c r="C1854" t="s">
        <v>11552</v>
      </c>
      <c r="D1854" s="1">
        <v>35200</v>
      </c>
      <c r="E1854" t="s">
        <v>395</v>
      </c>
      <c r="F1854">
        <v>0</v>
      </c>
      <c r="G1854" t="s">
        <v>93</v>
      </c>
      <c r="H1854">
        <v>81.67</v>
      </c>
      <c r="I1854">
        <v>88</v>
      </c>
      <c r="J1854">
        <v>-10.98</v>
      </c>
      <c r="K1854">
        <v>96</v>
      </c>
      <c r="L1854">
        <v>69.239999999999995</v>
      </c>
      <c r="M1854">
        <v>82</v>
      </c>
      <c r="N1854">
        <v>46.22</v>
      </c>
      <c r="O1854">
        <v>84</v>
      </c>
      <c r="P1854">
        <v>2.04</v>
      </c>
      <c r="Q1854">
        <v>92</v>
      </c>
      <c r="R1854">
        <v>-9.34</v>
      </c>
      <c r="S1854">
        <v>75</v>
      </c>
      <c r="T1854">
        <v>-7.41</v>
      </c>
      <c r="U1854">
        <v>96</v>
      </c>
      <c r="V1854">
        <v>-8.1</v>
      </c>
      <c r="W1854">
        <v>70</v>
      </c>
      <c r="X1854" t="s">
        <v>110</v>
      </c>
      <c r="Y1854" t="s">
        <v>95</v>
      </c>
      <c r="Z1854">
        <v>0</v>
      </c>
      <c r="AA1854" t="s">
        <v>1045</v>
      </c>
      <c r="AB1854" t="s">
        <v>11553</v>
      </c>
      <c r="AC1854">
        <v>100</v>
      </c>
      <c r="AD1854">
        <v>50</v>
      </c>
      <c r="AE1854">
        <v>96</v>
      </c>
      <c r="AF1854">
        <v>-230.7</v>
      </c>
      <c r="AG1854">
        <v>-8.42</v>
      </c>
      <c r="AH1854">
        <v>-2.42</v>
      </c>
      <c r="AI1854">
        <v>0.01</v>
      </c>
      <c r="AJ1854">
        <v>0.09</v>
      </c>
      <c r="AK1854">
        <v>82</v>
      </c>
      <c r="AL1854">
        <v>92</v>
      </c>
      <c r="AM1854">
        <v>60</v>
      </c>
      <c r="AN1854">
        <v>-3.9</v>
      </c>
      <c r="AO1854">
        <v>1.62</v>
      </c>
      <c r="AP1854">
        <v>91</v>
      </c>
      <c r="AQ1854">
        <v>0</v>
      </c>
      <c r="AR1854">
        <v>5.56</v>
      </c>
      <c r="AS1854">
        <v>73</v>
      </c>
      <c r="AT1854">
        <v>2.3199999999999998</v>
      </c>
      <c r="AU1854">
        <v>83</v>
      </c>
      <c r="AV1854">
        <v>-3.58</v>
      </c>
      <c r="AW1854">
        <v>94</v>
      </c>
      <c r="AX1854">
        <v>-1.03</v>
      </c>
      <c r="AY1854">
        <v>82</v>
      </c>
      <c r="AZ1854">
        <v>4.82</v>
      </c>
      <c r="BA1854">
        <v>64</v>
      </c>
      <c r="BB1854">
        <v>4.62</v>
      </c>
      <c r="BC1854">
        <v>71</v>
      </c>
      <c r="BD1854">
        <v>0.01</v>
      </c>
      <c r="BE1854">
        <v>0.02</v>
      </c>
      <c r="BF1854">
        <v>0.16</v>
      </c>
      <c r="BG1854">
        <v>87</v>
      </c>
      <c r="BH1854">
        <v>-0.04</v>
      </c>
      <c r="BI1854">
        <v>21.49</v>
      </c>
      <c r="BJ1854">
        <v>58</v>
      </c>
      <c r="BK1854">
        <v>28</v>
      </c>
      <c r="BL1854">
        <v>-2.3199999999999998</v>
      </c>
      <c r="BM1854">
        <v>1.33</v>
      </c>
      <c r="BN1854">
        <v>-2.17</v>
      </c>
      <c r="BO1854">
        <v>-2.13</v>
      </c>
      <c r="BP1854">
        <v>0.1</v>
      </c>
      <c r="BQ1854">
        <v>-1.61</v>
      </c>
      <c r="BR1854">
        <v>2.4300000000000002</v>
      </c>
      <c r="BS1854">
        <v>1.59</v>
      </c>
      <c r="BT1854">
        <v>-3.46</v>
      </c>
      <c r="BU1854">
        <v>-0.52</v>
      </c>
      <c r="BV1854">
        <v>-2.54</v>
      </c>
      <c r="BW1854">
        <v>-1.66</v>
      </c>
      <c r="BX1854">
        <v>-2.46</v>
      </c>
      <c r="BY1854">
        <v>-4.8600000000000003</v>
      </c>
      <c r="BZ1854">
        <v>1.53</v>
      </c>
      <c r="CA1854">
        <v>-1.64</v>
      </c>
      <c r="CB1854">
        <v>-2.14</v>
      </c>
      <c r="CC1854">
        <v>-0.14000000000000001</v>
      </c>
      <c r="CD1854">
        <v>1.84</v>
      </c>
      <c r="CE1854">
        <v>-1.64</v>
      </c>
      <c r="CF1854">
        <v>-2.73</v>
      </c>
      <c r="CG1854">
        <v>0</v>
      </c>
      <c r="CH1854">
        <v>-3.22</v>
      </c>
      <c r="CI1854">
        <v>0</v>
      </c>
      <c r="CJ1854">
        <v>-0.1</v>
      </c>
      <c r="CK1854">
        <v>93</v>
      </c>
      <c r="CL1854">
        <v>-0.15</v>
      </c>
      <c r="CM1854">
        <v>91</v>
      </c>
      <c r="CN1854">
        <v>-0.25</v>
      </c>
      <c r="CO1854">
        <v>90</v>
      </c>
      <c r="CP1854">
        <v>5.3</v>
      </c>
      <c r="CQ1854">
        <v>90</v>
      </c>
      <c r="CR1854">
        <v>0</v>
      </c>
      <c r="CS1854">
        <v>0</v>
      </c>
      <c r="CT1854">
        <v>23.8</v>
      </c>
      <c r="CU1854">
        <v>96</v>
      </c>
      <c r="CV1854">
        <v>-0.06</v>
      </c>
      <c r="CW1854">
        <v>27</v>
      </c>
      <c r="CX1854" t="s">
        <v>213</v>
      </c>
    </row>
    <row r="1855" spans="1:102" x14ac:dyDescent="0.3">
      <c r="A1855" t="str">
        <f>HYPERLINK("https://webapp.icbf.com/v2/app/bull-search/view/667947749","RRB")</f>
        <v>RRB</v>
      </c>
      <c r="B1855" t="s">
        <v>14503</v>
      </c>
      <c r="C1855" t="s">
        <v>10267</v>
      </c>
      <c r="D1855" s="1">
        <v>39826</v>
      </c>
      <c r="E1855" t="s">
        <v>108</v>
      </c>
      <c r="F1855">
        <v>6</v>
      </c>
      <c r="G1855" t="s">
        <v>93</v>
      </c>
      <c r="H1855">
        <v>81.52</v>
      </c>
      <c r="I1855">
        <v>94</v>
      </c>
      <c r="J1855">
        <v>-0.61</v>
      </c>
      <c r="K1855">
        <v>99</v>
      </c>
      <c r="L1855">
        <v>68.989999999999995</v>
      </c>
      <c r="M1855">
        <v>90</v>
      </c>
      <c r="N1855">
        <v>6.15</v>
      </c>
      <c r="O1855">
        <v>97</v>
      </c>
      <c r="P1855">
        <v>7.6</v>
      </c>
      <c r="Q1855">
        <v>99</v>
      </c>
      <c r="R1855">
        <v>2.33</v>
      </c>
      <c r="S1855">
        <v>90</v>
      </c>
      <c r="T1855">
        <v>-2.31</v>
      </c>
      <c r="U1855">
        <v>96</v>
      </c>
      <c r="V1855">
        <v>-0.63</v>
      </c>
      <c r="W1855">
        <v>79</v>
      </c>
      <c r="X1855" t="s">
        <v>234</v>
      </c>
      <c r="Y1855" t="s">
        <v>1685</v>
      </c>
      <c r="Z1855" t="s">
        <v>96</v>
      </c>
      <c r="AA1855" t="s">
        <v>589</v>
      </c>
      <c r="AB1855" t="s">
        <v>5325</v>
      </c>
      <c r="AC1855">
        <v>742</v>
      </c>
      <c r="AD1855">
        <v>179</v>
      </c>
      <c r="AE1855">
        <v>99</v>
      </c>
      <c r="AF1855">
        <v>-240.05</v>
      </c>
      <c r="AG1855">
        <v>1.28</v>
      </c>
      <c r="AH1855">
        <v>-4.2300000000000004</v>
      </c>
      <c r="AI1855">
        <v>0.19</v>
      </c>
      <c r="AJ1855">
        <v>7.0000000000000007E-2</v>
      </c>
      <c r="AK1855">
        <v>90</v>
      </c>
      <c r="AL1855">
        <v>883</v>
      </c>
      <c r="AM1855">
        <v>225</v>
      </c>
      <c r="AN1855">
        <v>-3.89</v>
      </c>
      <c r="AO1855">
        <v>1.61</v>
      </c>
      <c r="AP1855">
        <v>1716</v>
      </c>
      <c r="AQ1855">
        <v>8</v>
      </c>
      <c r="AR1855">
        <v>10.44</v>
      </c>
      <c r="AS1855">
        <v>94</v>
      </c>
      <c r="AT1855">
        <v>4.29</v>
      </c>
      <c r="AU1855">
        <v>98</v>
      </c>
      <c r="AV1855">
        <v>-2.46</v>
      </c>
      <c r="AW1855">
        <v>99</v>
      </c>
      <c r="AX1855">
        <v>-0.62</v>
      </c>
      <c r="AY1855">
        <v>98</v>
      </c>
      <c r="AZ1855">
        <v>5.2</v>
      </c>
      <c r="BA1855">
        <v>92</v>
      </c>
      <c r="BB1855">
        <v>4.22</v>
      </c>
      <c r="BC1855">
        <v>90</v>
      </c>
      <c r="BD1855">
        <v>-7.0000000000000007E-2</v>
      </c>
      <c r="BE1855">
        <v>-0.03</v>
      </c>
      <c r="BF1855">
        <v>0.12</v>
      </c>
      <c r="BG1855">
        <v>98</v>
      </c>
      <c r="BH1855">
        <v>-0.21</v>
      </c>
      <c r="BI1855">
        <v>-22.27</v>
      </c>
      <c r="BJ1855">
        <v>23</v>
      </c>
      <c r="BK1855">
        <v>10</v>
      </c>
      <c r="BL1855">
        <v>-2.76</v>
      </c>
      <c r="BM1855">
        <v>3.02</v>
      </c>
      <c r="BN1855">
        <v>-1.61</v>
      </c>
      <c r="BO1855">
        <v>-3.2</v>
      </c>
      <c r="BP1855">
        <v>1.9</v>
      </c>
      <c r="BQ1855">
        <v>2.5299999999999998</v>
      </c>
      <c r="BR1855">
        <v>-2.27</v>
      </c>
      <c r="BS1855">
        <v>-0.01</v>
      </c>
      <c r="BT1855">
        <v>1.1100000000000001</v>
      </c>
      <c r="BU1855">
        <v>-2.79</v>
      </c>
      <c r="BV1855">
        <v>-4.0199999999999996</v>
      </c>
      <c r="BW1855">
        <v>-3.03</v>
      </c>
      <c r="BX1855">
        <v>-0.72</v>
      </c>
      <c r="BY1855">
        <v>-2.19</v>
      </c>
      <c r="BZ1855">
        <v>-3.23</v>
      </c>
      <c r="CA1855">
        <v>-2.12</v>
      </c>
      <c r="CB1855">
        <v>-2.54</v>
      </c>
      <c r="CC1855">
        <v>-0.74</v>
      </c>
      <c r="CD1855">
        <v>3.82</v>
      </c>
      <c r="CE1855">
        <v>-3.19</v>
      </c>
      <c r="CF1855">
        <v>-1.1200000000000001</v>
      </c>
      <c r="CG1855">
        <v>0</v>
      </c>
      <c r="CH1855">
        <v>-1.42</v>
      </c>
      <c r="CI1855">
        <v>0</v>
      </c>
      <c r="CJ1855">
        <v>4.5999999999999996</v>
      </c>
      <c r="CK1855">
        <v>99</v>
      </c>
      <c r="CL1855">
        <v>0.1</v>
      </c>
      <c r="CM1855">
        <v>99</v>
      </c>
      <c r="CN1855">
        <v>0.02</v>
      </c>
      <c r="CO1855">
        <v>99</v>
      </c>
      <c r="CP1855">
        <v>3</v>
      </c>
      <c r="CQ1855">
        <v>96</v>
      </c>
      <c r="CR1855">
        <v>0</v>
      </c>
      <c r="CS1855">
        <v>0</v>
      </c>
      <c r="CT1855">
        <v>16.899999999999999</v>
      </c>
      <c r="CU1855">
        <v>96</v>
      </c>
      <c r="CV1855">
        <v>0.1</v>
      </c>
      <c r="CW1855">
        <v>46</v>
      </c>
      <c r="CX1855" t="s">
        <v>5326</v>
      </c>
    </row>
    <row r="1856" spans="1:102" x14ac:dyDescent="0.3">
      <c r="A1856" t="str">
        <f>HYPERLINK("https://webapp.icbf.com/v2/app/bull-search/view/437083946","OYM")</f>
        <v>OYM</v>
      </c>
      <c r="B1856" t="s">
        <v>7462</v>
      </c>
      <c r="C1856" t="s">
        <v>7463</v>
      </c>
      <c r="D1856" s="1">
        <v>36086</v>
      </c>
      <c r="E1856" t="s">
        <v>140</v>
      </c>
      <c r="F1856">
        <v>0</v>
      </c>
      <c r="G1856" t="s">
        <v>109</v>
      </c>
      <c r="H1856">
        <v>81.39</v>
      </c>
      <c r="I1856">
        <v>66</v>
      </c>
      <c r="J1856">
        <v>-25.77</v>
      </c>
      <c r="K1856">
        <v>77</v>
      </c>
      <c r="L1856">
        <v>81.39</v>
      </c>
      <c r="M1856">
        <v>52</v>
      </c>
      <c r="N1856">
        <v>11.31</v>
      </c>
      <c r="O1856">
        <v>68</v>
      </c>
      <c r="P1856">
        <v>12.21</v>
      </c>
      <c r="Q1856">
        <v>86</v>
      </c>
      <c r="R1856">
        <v>0.57999999999999996</v>
      </c>
      <c r="S1856">
        <v>54</v>
      </c>
      <c r="T1856">
        <v>9.4600000000000009</v>
      </c>
      <c r="U1856">
        <v>74</v>
      </c>
      <c r="V1856">
        <v>-7.79</v>
      </c>
      <c r="W1856">
        <v>46</v>
      </c>
      <c r="X1856" t="s">
        <v>102</v>
      </c>
      <c r="Y1856" t="s">
        <v>95</v>
      </c>
      <c r="Z1856">
        <v>0</v>
      </c>
      <c r="AA1856" t="s">
        <v>141</v>
      </c>
      <c r="AB1856" t="s">
        <v>7464</v>
      </c>
      <c r="AC1856">
        <v>0</v>
      </c>
      <c r="AD1856">
        <v>0</v>
      </c>
      <c r="AE1856">
        <v>77</v>
      </c>
      <c r="AF1856">
        <v>38.06</v>
      </c>
      <c r="AG1856">
        <v>-6.5</v>
      </c>
      <c r="AH1856">
        <v>-1.5</v>
      </c>
      <c r="AI1856">
        <v>-0.13</v>
      </c>
      <c r="AJ1856">
        <v>-0.05</v>
      </c>
      <c r="AK1856">
        <v>52</v>
      </c>
      <c r="AL1856">
        <v>31</v>
      </c>
      <c r="AM1856">
        <v>13</v>
      </c>
      <c r="AN1856">
        <v>-3.73</v>
      </c>
      <c r="AO1856">
        <v>2.77</v>
      </c>
      <c r="AP1856">
        <v>63</v>
      </c>
      <c r="AQ1856">
        <v>0</v>
      </c>
      <c r="AR1856">
        <v>6.81</v>
      </c>
      <c r="AS1856">
        <v>71</v>
      </c>
      <c r="AT1856">
        <v>3.59</v>
      </c>
      <c r="AU1856">
        <v>62</v>
      </c>
      <c r="AV1856">
        <v>-0.21</v>
      </c>
      <c r="AW1856">
        <v>80</v>
      </c>
      <c r="AX1856">
        <v>-0.79</v>
      </c>
      <c r="AY1856">
        <v>68</v>
      </c>
      <c r="AZ1856">
        <v>4.26</v>
      </c>
      <c r="BA1856">
        <v>37</v>
      </c>
      <c r="BB1856">
        <v>3.41</v>
      </c>
      <c r="BC1856">
        <v>48</v>
      </c>
      <c r="BD1856">
        <v>-0.02</v>
      </c>
      <c r="BE1856">
        <v>0</v>
      </c>
      <c r="BF1856">
        <v>0.02</v>
      </c>
      <c r="BG1856">
        <v>60</v>
      </c>
      <c r="BH1856">
        <v>-0.19</v>
      </c>
      <c r="BI1856">
        <v>3.14</v>
      </c>
      <c r="BJ1856">
        <v>0</v>
      </c>
      <c r="BK1856">
        <v>0</v>
      </c>
      <c r="BL1856">
        <v>-0.83</v>
      </c>
      <c r="BM1856">
        <v>3.43</v>
      </c>
      <c r="BN1856">
        <v>-1.7</v>
      </c>
      <c r="BO1856">
        <v>-2.99</v>
      </c>
      <c r="BP1856">
        <v>4.3600000000000003</v>
      </c>
      <c r="BQ1856">
        <v>-1.96</v>
      </c>
      <c r="BR1856">
        <v>-2.63</v>
      </c>
      <c r="BS1856">
        <v>-0.5</v>
      </c>
      <c r="BT1856">
        <v>2.68</v>
      </c>
      <c r="BU1856">
        <v>-3.24</v>
      </c>
      <c r="BV1856">
        <v>-3.77</v>
      </c>
      <c r="BW1856">
        <v>-2.87</v>
      </c>
      <c r="BX1856">
        <v>-2.4500000000000002</v>
      </c>
      <c r="BY1856">
        <v>-2.13</v>
      </c>
      <c r="BZ1856">
        <v>1.17</v>
      </c>
      <c r="CA1856">
        <v>-2.46</v>
      </c>
      <c r="CB1856">
        <v>-3.1</v>
      </c>
      <c r="CC1856">
        <v>-0.49</v>
      </c>
      <c r="CD1856">
        <v>3.79</v>
      </c>
      <c r="CE1856">
        <v>-2.92</v>
      </c>
      <c r="CF1856">
        <v>-1.23</v>
      </c>
      <c r="CG1856">
        <v>0</v>
      </c>
      <c r="CH1856">
        <v>-2.66</v>
      </c>
      <c r="CI1856">
        <v>0</v>
      </c>
      <c r="CJ1856">
        <v>4.4000000000000004</v>
      </c>
      <c r="CK1856">
        <v>88</v>
      </c>
      <c r="CL1856">
        <v>0.2</v>
      </c>
      <c r="CM1856">
        <v>86</v>
      </c>
      <c r="CN1856">
        <v>-0.37</v>
      </c>
      <c r="CO1856">
        <v>84</v>
      </c>
      <c r="CP1856">
        <v>-1.7</v>
      </c>
      <c r="CQ1856">
        <v>78</v>
      </c>
      <c r="CR1856">
        <v>0</v>
      </c>
      <c r="CS1856">
        <v>0</v>
      </c>
      <c r="CT1856">
        <v>1</v>
      </c>
      <c r="CU1856">
        <v>74</v>
      </c>
      <c r="CV1856">
        <v>-7.0000000000000007E-2</v>
      </c>
      <c r="CW1856">
        <v>25</v>
      </c>
      <c r="CX1856" t="s">
        <v>224</v>
      </c>
    </row>
    <row r="1857" spans="1:102" x14ac:dyDescent="0.3">
      <c r="A1857" t="str">
        <f>HYPERLINK("https://webapp.icbf.com/v2/app/bull-search/view/740349232","S2037")</f>
        <v>S2037</v>
      </c>
      <c r="B1857" t="s">
        <v>8343</v>
      </c>
      <c r="C1857" t="s">
        <v>8344</v>
      </c>
      <c r="D1857" s="1">
        <v>39660</v>
      </c>
      <c r="E1857" t="s">
        <v>92</v>
      </c>
      <c r="F1857">
        <v>100</v>
      </c>
      <c r="G1857" t="s">
        <v>109</v>
      </c>
      <c r="H1857">
        <v>81.3</v>
      </c>
      <c r="I1857">
        <v>78</v>
      </c>
      <c r="J1857">
        <v>14.12</v>
      </c>
      <c r="K1857">
        <v>92</v>
      </c>
      <c r="L1857">
        <v>16.690000000000001</v>
      </c>
      <c r="M1857">
        <v>80</v>
      </c>
      <c r="N1857">
        <v>22.3</v>
      </c>
      <c r="O1857">
        <v>76</v>
      </c>
      <c r="P1857">
        <v>-8.14</v>
      </c>
      <c r="Q1857">
        <v>55</v>
      </c>
      <c r="R1857">
        <v>21.3</v>
      </c>
      <c r="S1857">
        <v>73</v>
      </c>
      <c r="T1857">
        <v>6.65</v>
      </c>
      <c r="U1857">
        <v>48</v>
      </c>
      <c r="V1857">
        <v>8.3800000000000008</v>
      </c>
      <c r="W1857">
        <v>61</v>
      </c>
      <c r="X1857" t="s">
        <v>102</v>
      </c>
      <c r="Y1857" t="s">
        <v>367</v>
      </c>
      <c r="Z1857" t="s">
        <v>330</v>
      </c>
      <c r="AA1857" t="s">
        <v>4037</v>
      </c>
      <c r="AB1857" t="s">
        <v>8345</v>
      </c>
      <c r="AC1857">
        <v>0</v>
      </c>
      <c r="AD1857">
        <v>0</v>
      </c>
      <c r="AE1857">
        <v>92</v>
      </c>
      <c r="AF1857">
        <v>-157.02000000000001</v>
      </c>
      <c r="AG1857">
        <v>5.1100000000000003</v>
      </c>
      <c r="AH1857">
        <v>-1.81</v>
      </c>
      <c r="AI1857">
        <v>0.2</v>
      </c>
      <c r="AJ1857">
        <v>7.0000000000000007E-2</v>
      </c>
      <c r="AK1857">
        <v>80</v>
      </c>
      <c r="AL1857">
        <v>0</v>
      </c>
      <c r="AM1857">
        <v>0</v>
      </c>
      <c r="AN1857">
        <v>0.57999999999999996</v>
      </c>
      <c r="AO1857">
        <v>1.93</v>
      </c>
      <c r="AP1857">
        <v>81</v>
      </c>
      <c r="AQ1857">
        <v>1</v>
      </c>
      <c r="AR1857">
        <v>4.6500000000000004</v>
      </c>
      <c r="AS1857">
        <v>56</v>
      </c>
      <c r="AT1857">
        <v>2.29</v>
      </c>
      <c r="AU1857">
        <v>87</v>
      </c>
      <c r="AV1857">
        <v>-1.1200000000000001</v>
      </c>
      <c r="AW1857">
        <v>89</v>
      </c>
      <c r="AX1857">
        <v>-0.84</v>
      </c>
      <c r="AY1857">
        <v>62</v>
      </c>
      <c r="AZ1857">
        <v>7.16</v>
      </c>
      <c r="BA1857">
        <v>42</v>
      </c>
      <c r="BB1857">
        <v>5.17</v>
      </c>
      <c r="BC1857">
        <v>44</v>
      </c>
      <c r="BD1857">
        <v>-0.1</v>
      </c>
      <c r="BE1857">
        <v>-7.0000000000000007E-2</v>
      </c>
      <c r="BF1857">
        <v>-0.19</v>
      </c>
      <c r="BG1857">
        <v>89</v>
      </c>
      <c r="BH1857">
        <v>0.06</v>
      </c>
      <c r="BI1857">
        <v>-20.079999999999998</v>
      </c>
      <c r="BJ1857">
        <v>0</v>
      </c>
      <c r="BK1857">
        <v>0</v>
      </c>
      <c r="BL1857">
        <v>7.0000000000000007E-2</v>
      </c>
      <c r="BM1857">
        <v>-0.06</v>
      </c>
      <c r="BN1857">
        <v>0.43</v>
      </c>
      <c r="BO1857">
        <v>0.45</v>
      </c>
      <c r="BP1857">
        <v>-0.22</v>
      </c>
      <c r="BQ1857">
        <v>-0.65</v>
      </c>
      <c r="BR1857">
        <v>-0.98</v>
      </c>
      <c r="BS1857">
        <v>0.72</v>
      </c>
      <c r="BT1857">
        <v>1.1000000000000001</v>
      </c>
      <c r="BU1857">
        <v>2.2000000000000002</v>
      </c>
      <c r="BV1857">
        <v>1.25</v>
      </c>
      <c r="BW1857">
        <v>0.86</v>
      </c>
      <c r="BX1857">
        <v>2.58</v>
      </c>
      <c r="BY1857">
        <v>0.7</v>
      </c>
      <c r="BZ1857">
        <v>-2.19</v>
      </c>
      <c r="CA1857">
        <v>1.77</v>
      </c>
      <c r="CB1857">
        <v>1.93</v>
      </c>
      <c r="CC1857">
        <v>0.52</v>
      </c>
      <c r="CD1857">
        <v>0.03</v>
      </c>
      <c r="CE1857">
        <v>7.0000000000000007E-2</v>
      </c>
      <c r="CF1857">
        <v>0.13</v>
      </c>
      <c r="CG1857">
        <v>0</v>
      </c>
      <c r="CH1857">
        <v>0.67</v>
      </c>
      <c r="CI1857">
        <v>0</v>
      </c>
      <c r="CJ1857">
        <v>-0.7</v>
      </c>
      <c r="CK1857">
        <v>60</v>
      </c>
      <c r="CL1857">
        <v>-0.71</v>
      </c>
      <c r="CM1857">
        <v>48</v>
      </c>
      <c r="CN1857">
        <v>-0.05</v>
      </c>
      <c r="CO1857">
        <v>48</v>
      </c>
      <c r="CP1857">
        <v>-2.9</v>
      </c>
      <c r="CQ1857">
        <v>49</v>
      </c>
      <c r="CR1857">
        <v>0</v>
      </c>
      <c r="CS1857">
        <v>0</v>
      </c>
      <c r="CT1857">
        <v>4.8</v>
      </c>
      <c r="CU1857">
        <v>48</v>
      </c>
      <c r="CV1857">
        <v>0.09</v>
      </c>
      <c r="CW1857">
        <v>38</v>
      </c>
      <c r="CX1857" t="s">
        <v>1874</v>
      </c>
    </row>
    <row r="1858" spans="1:102" x14ac:dyDescent="0.3">
      <c r="A1858" t="str">
        <f>HYPERLINK("https://webapp.icbf.com/v2/app/bull-search/view/69092452","QGX")</f>
        <v>QGX</v>
      </c>
      <c r="B1858" t="s">
        <v>4630</v>
      </c>
      <c r="C1858" t="s">
        <v>4631</v>
      </c>
      <c r="D1858" s="1">
        <v>36334</v>
      </c>
      <c r="E1858" t="s">
        <v>92</v>
      </c>
      <c r="F1858">
        <v>100</v>
      </c>
      <c r="G1858" t="s">
        <v>93</v>
      </c>
      <c r="H1858">
        <v>81.16</v>
      </c>
      <c r="I1858">
        <v>95</v>
      </c>
      <c r="J1858">
        <v>52.69</v>
      </c>
      <c r="K1858">
        <v>99</v>
      </c>
      <c r="L1858">
        <v>-23.15</v>
      </c>
      <c r="M1858">
        <v>90</v>
      </c>
      <c r="N1858">
        <v>26.35</v>
      </c>
      <c r="O1858">
        <v>95</v>
      </c>
      <c r="P1858">
        <v>-12.18</v>
      </c>
      <c r="Q1858">
        <v>99</v>
      </c>
      <c r="R1858">
        <v>12.77</v>
      </c>
      <c r="S1858">
        <v>91</v>
      </c>
      <c r="T1858">
        <v>24.19</v>
      </c>
      <c r="U1858">
        <v>97</v>
      </c>
      <c r="V1858">
        <v>0.49</v>
      </c>
      <c r="W1858">
        <v>90</v>
      </c>
      <c r="X1858" t="s">
        <v>94</v>
      </c>
      <c r="Y1858" t="s">
        <v>95</v>
      </c>
      <c r="Z1858" t="s">
        <v>96</v>
      </c>
      <c r="AA1858" t="s">
        <v>3222</v>
      </c>
      <c r="AB1858" t="s">
        <v>4632</v>
      </c>
      <c r="AC1858">
        <v>436</v>
      </c>
      <c r="AD1858">
        <v>323</v>
      </c>
      <c r="AE1858">
        <v>99</v>
      </c>
      <c r="AF1858">
        <v>175.56</v>
      </c>
      <c r="AG1858">
        <v>7.09</v>
      </c>
      <c r="AH1858">
        <v>9.14</v>
      </c>
      <c r="AI1858">
        <v>0</v>
      </c>
      <c r="AJ1858">
        <v>0.05</v>
      </c>
      <c r="AK1858">
        <v>90</v>
      </c>
      <c r="AL1858">
        <v>466</v>
      </c>
      <c r="AM1858">
        <v>338</v>
      </c>
      <c r="AN1858">
        <v>1.73</v>
      </c>
      <c r="AO1858">
        <v>-0.11</v>
      </c>
      <c r="AP1858">
        <v>764</v>
      </c>
      <c r="AQ1858">
        <v>3</v>
      </c>
      <c r="AR1858">
        <v>6.78</v>
      </c>
      <c r="AS1858">
        <v>92</v>
      </c>
      <c r="AT1858">
        <v>2.6</v>
      </c>
      <c r="AU1858">
        <v>96</v>
      </c>
      <c r="AV1858">
        <v>-2.19</v>
      </c>
      <c r="AW1858">
        <v>98</v>
      </c>
      <c r="AX1858">
        <v>-0.16</v>
      </c>
      <c r="AY1858">
        <v>95</v>
      </c>
      <c r="AZ1858">
        <v>5.36</v>
      </c>
      <c r="BA1858">
        <v>86</v>
      </c>
      <c r="BB1858">
        <v>4.88</v>
      </c>
      <c r="BC1858">
        <v>89</v>
      </c>
      <c r="BD1858">
        <v>-7.0000000000000007E-2</v>
      </c>
      <c r="BE1858">
        <v>-0.03</v>
      </c>
      <c r="BF1858">
        <v>-0.12</v>
      </c>
      <c r="BG1858">
        <v>97</v>
      </c>
      <c r="BH1858">
        <v>0.12</v>
      </c>
      <c r="BI1858">
        <v>12.31</v>
      </c>
      <c r="BJ1858">
        <v>66</v>
      </c>
      <c r="BK1858">
        <v>39</v>
      </c>
      <c r="BL1858">
        <v>-0.42</v>
      </c>
      <c r="BM1858">
        <v>-1.36</v>
      </c>
      <c r="BN1858">
        <v>-0.16</v>
      </c>
      <c r="BO1858">
        <v>0.55000000000000004</v>
      </c>
      <c r="BP1858">
        <v>0.48</v>
      </c>
      <c r="BQ1858">
        <v>-2.1</v>
      </c>
      <c r="BR1858">
        <v>0.59</v>
      </c>
      <c r="BS1858">
        <v>-0.54</v>
      </c>
      <c r="BT1858">
        <v>-1.51</v>
      </c>
      <c r="BU1858">
        <v>0.34</v>
      </c>
      <c r="BV1858">
        <v>-7.0000000000000007E-2</v>
      </c>
      <c r="BW1858">
        <v>-0.33</v>
      </c>
      <c r="BX1858">
        <v>-0.42</v>
      </c>
      <c r="BY1858">
        <v>-0.22</v>
      </c>
      <c r="BZ1858">
        <v>-0.78</v>
      </c>
      <c r="CA1858">
        <v>0.22</v>
      </c>
      <c r="CB1858">
        <v>0.53</v>
      </c>
      <c r="CC1858">
        <v>-0.42</v>
      </c>
      <c r="CD1858">
        <v>-1.07</v>
      </c>
      <c r="CE1858">
        <v>0.12</v>
      </c>
      <c r="CF1858">
        <v>-0.77</v>
      </c>
      <c r="CG1858">
        <v>0</v>
      </c>
      <c r="CH1858">
        <v>-0.78</v>
      </c>
      <c r="CI1858">
        <v>0</v>
      </c>
      <c r="CJ1858">
        <v>-4.0999999999999996</v>
      </c>
      <c r="CK1858">
        <v>99</v>
      </c>
      <c r="CL1858">
        <v>-0.81</v>
      </c>
      <c r="CM1858">
        <v>98</v>
      </c>
      <c r="CN1858">
        <v>-0.33</v>
      </c>
      <c r="CO1858">
        <v>98</v>
      </c>
      <c r="CP1858">
        <v>-13.5</v>
      </c>
      <c r="CQ1858">
        <v>98</v>
      </c>
      <c r="CR1858">
        <v>0</v>
      </c>
      <c r="CS1858">
        <v>0</v>
      </c>
      <c r="CT1858">
        <v>-18.899999999999999</v>
      </c>
      <c r="CU1858">
        <v>97</v>
      </c>
      <c r="CV1858">
        <v>0.24</v>
      </c>
      <c r="CW1858">
        <v>47</v>
      </c>
      <c r="CX1858" t="s">
        <v>2898</v>
      </c>
    </row>
    <row r="1859" spans="1:102" x14ac:dyDescent="0.3">
      <c r="A1859" t="str">
        <f>HYPERLINK("https://webapp.icbf.com/v2/app/bull-search/view/760392057","S2190")</f>
        <v>S2190</v>
      </c>
      <c r="B1859" t="s">
        <v>13294</v>
      </c>
      <c r="C1859" t="s">
        <v>13295</v>
      </c>
      <c r="D1859" s="1">
        <v>39787</v>
      </c>
      <c r="E1859" t="s">
        <v>92</v>
      </c>
      <c r="F1859">
        <v>100</v>
      </c>
      <c r="G1859" t="s">
        <v>93</v>
      </c>
      <c r="H1859">
        <v>80.95</v>
      </c>
      <c r="I1859">
        <v>79</v>
      </c>
      <c r="J1859">
        <v>65.900000000000006</v>
      </c>
      <c r="K1859">
        <v>94</v>
      </c>
      <c r="L1859">
        <v>-6.49</v>
      </c>
      <c r="M1859">
        <v>72</v>
      </c>
      <c r="N1859">
        <v>25.46</v>
      </c>
      <c r="O1859">
        <v>77</v>
      </c>
      <c r="P1859">
        <v>-5.83</v>
      </c>
      <c r="Q1859">
        <v>88</v>
      </c>
      <c r="R1859">
        <v>7.31</v>
      </c>
      <c r="S1859">
        <v>69</v>
      </c>
      <c r="T1859">
        <v>-1.05</v>
      </c>
      <c r="U1859">
        <v>56</v>
      </c>
      <c r="V1859">
        <v>-4.3499999999999996</v>
      </c>
      <c r="W1859">
        <v>57</v>
      </c>
      <c r="X1859" t="s">
        <v>276</v>
      </c>
      <c r="Y1859" t="s">
        <v>367</v>
      </c>
      <c r="Z1859" t="s">
        <v>96</v>
      </c>
      <c r="AA1859" t="s">
        <v>13296</v>
      </c>
      <c r="AB1859" t="s">
        <v>13053</v>
      </c>
      <c r="AC1859">
        <v>88</v>
      </c>
      <c r="AD1859">
        <v>35</v>
      </c>
      <c r="AE1859">
        <v>94</v>
      </c>
      <c r="AF1859">
        <v>282.52999999999997</v>
      </c>
      <c r="AG1859">
        <v>6.65</v>
      </c>
      <c r="AH1859">
        <v>13.18</v>
      </c>
      <c r="AI1859">
        <v>-7.0000000000000007E-2</v>
      </c>
      <c r="AJ1859">
        <v>0.06</v>
      </c>
      <c r="AK1859">
        <v>72</v>
      </c>
      <c r="AL1859">
        <v>0</v>
      </c>
      <c r="AM1859">
        <v>0</v>
      </c>
      <c r="AN1859">
        <v>0.18</v>
      </c>
      <c r="AO1859">
        <v>-0.34</v>
      </c>
      <c r="AP1859">
        <v>187</v>
      </c>
      <c r="AQ1859">
        <v>0</v>
      </c>
      <c r="AR1859">
        <v>7.13</v>
      </c>
      <c r="AS1859">
        <v>57</v>
      </c>
      <c r="AT1859">
        <v>3.12</v>
      </c>
      <c r="AU1859">
        <v>83</v>
      </c>
      <c r="AV1859">
        <v>-2.77</v>
      </c>
      <c r="AW1859">
        <v>92</v>
      </c>
      <c r="AX1859">
        <v>-0.84</v>
      </c>
      <c r="AY1859">
        <v>79</v>
      </c>
      <c r="AZ1859">
        <v>6.96</v>
      </c>
      <c r="BA1859">
        <v>53</v>
      </c>
      <c r="BB1859">
        <v>4.84</v>
      </c>
      <c r="BC1859">
        <v>33</v>
      </c>
      <c r="BD1859">
        <v>-0.03</v>
      </c>
      <c r="BE1859">
        <v>-0.02</v>
      </c>
      <c r="BF1859">
        <v>-0.08</v>
      </c>
      <c r="BG1859">
        <v>90</v>
      </c>
      <c r="BH1859">
        <v>-0.04</v>
      </c>
      <c r="BI1859">
        <v>9.41</v>
      </c>
      <c r="BJ1859">
        <v>13</v>
      </c>
      <c r="BK1859">
        <v>6</v>
      </c>
      <c r="BL1859">
        <v>0.92</v>
      </c>
      <c r="BM1859">
        <v>-0.14000000000000001</v>
      </c>
      <c r="BN1859">
        <v>-0.56999999999999995</v>
      </c>
      <c r="BO1859">
        <v>0.45</v>
      </c>
      <c r="BP1859">
        <v>2.16</v>
      </c>
      <c r="BQ1859">
        <v>0.9</v>
      </c>
      <c r="BR1859">
        <v>1.26</v>
      </c>
      <c r="BS1859">
        <v>0.8</v>
      </c>
      <c r="BT1859">
        <v>-0.78</v>
      </c>
      <c r="BU1859">
        <v>1.1499999999999999</v>
      </c>
      <c r="BV1859">
        <v>1.75</v>
      </c>
      <c r="BW1859">
        <v>0.6</v>
      </c>
      <c r="BX1859">
        <v>2.5299999999999998</v>
      </c>
      <c r="BY1859">
        <v>1.69</v>
      </c>
      <c r="BZ1859">
        <v>-1.43</v>
      </c>
      <c r="CA1859">
        <v>1</v>
      </c>
      <c r="CB1859">
        <v>1.02</v>
      </c>
      <c r="CC1859">
        <v>0.76</v>
      </c>
      <c r="CD1859">
        <v>0.28999999999999998</v>
      </c>
      <c r="CE1859">
        <v>0.35</v>
      </c>
      <c r="CF1859">
        <v>0.24</v>
      </c>
      <c r="CG1859">
        <v>0</v>
      </c>
      <c r="CH1859">
        <v>1.1399999999999999</v>
      </c>
      <c r="CI1859">
        <v>0</v>
      </c>
      <c r="CJ1859">
        <v>-1</v>
      </c>
      <c r="CK1859">
        <v>91</v>
      </c>
      <c r="CL1859">
        <v>-0.96</v>
      </c>
      <c r="CM1859">
        <v>89</v>
      </c>
      <c r="CN1859">
        <v>-0.41</v>
      </c>
      <c r="CO1859">
        <v>88</v>
      </c>
      <c r="CP1859">
        <v>4.4000000000000004</v>
      </c>
      <c r="CQ1859">
        <v>60</v>
      </c>
      <c r="CR1859">
        <v>0</v>
      </c>
      <c r="CS1859">
        <v>0</v>
      </c>
      <c r="CT1859">
        <v>15.2</v>
      </c>
      <c r="CU1859">
        <v>56</v>
      </c>
      <c r="CV1859">
        <v>0.18</v>
      </c>
      <c r="CW1859">
        <v>44</v>
      </c>
      <c r="CX1859" t="s">
        <v>12286</v>
      </c>
    </row>
    <row r="1860" spans="1:102" x14ac:dyDescent="0.3">
      <c r="A1860" t="str">
        <f>HYPERLINK("https://webapp.icbf.com/v2/app/bull-search/view/1306337479","S3133")</f>
        <v>S3133</v>
      </c>
      <c r="B1860" t="s">
        <v>14601</v>
      </c>
      <c r="C1860" t="s">
        <v>14602</v>
      </c>
      <c r="D1860" s="1">
        <v>41705</v>
      </c>
      <c r="E1860" t="s">
        <v>92</v>
      </c>
      <c r="F1860">
        <v>100</v>
      </c>
      <c r="G1860" t="s">
        <v>109</v>
      </c>
      <c r="H1860">
        <v>80.94</v>
      </c>
      <c r="I1860">
        <v>77</v>
      </c>
      <c r="J1860">
        <v>90.86</v>
      </c>
      <c r="K1860">
        <v>93</v>
      </c>
      <c r="L1860">
        <v>-45.22</v>
      </c>
      <c r="M1860">
        <v>84</v>
      </c>
      <c r="N1860">
        <v>21.02</v>
      </c>
      <c r="O1860">
        <v>69</v>
      </c>
      <c r="P1860">
        <v>-0.93</v>
      </c>
      <c r="Q1860">
        <v>44</v>
      </c>
      <c r="R1860">
        <v>17.03</v>
      </c>
      <c r="S1860">
        <v>73</v>
      </c>
      <c r="T1860">
        <v>-8.15</v>
      </c>
      <c r="U1860">
        <v>41</v>
      </c>
      <c r="V1860">
        <v>6.33</v>
      </c>
      <c r="W1860">
        <v>57</v>
      </c>
      <c r="X1860" t="s">
        <v>110</v>
      </c>
      <c r="Y1860" t="s">
        <v>457</v>
      </c>
      <c r="Z1860" t="s">
        <v>96</v>
      </c>
      <c r="AA1860" t="s">
        <v>2216</v>
      </c>
      <c r="AB1860" t="s">
        <v>14603</v>
      </c>
      <c r="AC1860">
        <v>0</v>
      </c>
      <c r="AD1860">
        <v>0</v>
      </c>
      <c r="AE1860">
        <v>93</v>
      </c>
      <c r="AF1860">
        <v>614.66</v>
      </c>
      <c r="AG1860">
        <v>16.48</v>
      </c>
      <c r="AH1860">
        <v>19.03</v>
      </c>
      <c r="AI1860">
        <v>-0.12</v>
      </c>
      <c r="AJ1860">
        <v>-0.03</v>
      </c>
      <c r="AK1860">
        <v>84</v>
      </c>
      <c r="AL1860">
        <v>0</v>
      </c>
      <c r="AM1860">
        <v>0</v>
      </c>
      <c r="AN1860">
        <v>4.5</v>
      </c>
      <c r="AO1860">
        <v>0.92</v>
      </c>
      <c r="AP1860">
        <v>51</v>
      </c>
      <c r="AQ1860">
        <v>0</v>
      </c>
      <c r="AR1860">
        <v>6.95</v>
      </c>
      <c r="AS1860">
        <v>64</v>
      </c>
      <c r="AT1860">
        <v>3.11</v>
      </c>
      <c r="AU1860">
        <v>92</v>
      </c>
      <c r="AV1860">
        <v>-2.83</v>
      </c>
      <c r="AW1860">
        <v>69</v>
      </c>
      <c r="AX1860">
        <v>0.06</v>
      </c>
      <c r="AY1860">
        <v>61</v>
      </c>
      <c r="AZ1860">
        <v>6.9</v>
      </c>
      <c r="BA1860">
        <v>45</v>
      </c>
      <c r="BB1860">
        <v>5.47</v>
      </c>
      <c r="BC1860">
        <v>40</v>
      </c>
      <c r="BD1860">
        <v>-0.04</v>
      </c>
      <c r="BE1860">
        <v>-0.05</v>
      </c>
      <c r="BF1860">
        <v>-0.23</v>
      </c>
      <c r="BG1860">
        <v>91</v>
      </c>
      <c r="BH1860">
        <v>0.1</v>
      </c>
      <c r="BI1860">
        <v>-8.85</v>
      </c>
      <c r="BJ1860">
        <v>0</v>
      </c>
      <c r="BK1860">
        <v>0</v>
      </c>
      <c r="BL1860">
        <v>2.67</v>
      </c>
      <c r="BM1860">
        <v>0.84</v>
      </c>
      <c r="BN1860">
        <v>1.56</v>
      </c>
      <c r="BO1860">
        <v>1.64</v>
      </c>
      <c r="BP1860">
        <v>-0.56999999999999995</v>
      </c>
      <c r="BQ1860">
        <v>4.26</v>
      </c>
      <c r="BR1860">
        <v>-2.16</v>
      </c>
      <c r="BS1860">
        <v>4.04</v>
      </c>
      <c r="BT1860">
        <v>2.6</v>
      </c>
      <c r="BU1860">
        <v>4.4400000000000004</v>
      </c>
      <c r="BV1860">
        <v>3.63</v>
      </c>
      <c r="BW1860">
        <v>3.12</v>
      </c>
      <c r="BX1860">
        <v>3.46</v>
      </c>
      <c r="BY1860">
        <v>2.73</v>
      </c>
      <c r="BZ1860">
        <v>-0.87</v>
      </c>
      <c r="CA1860">
        <v>4.0999999999999996</v>
      </c>
      <c r="CB1860">
        <v>3.3</v>
      </c>
      <c r="CC1860">
        <v>3.39</v>
      </c>
      <c r="CD1860">
        <v>-0.65</v>
      </c>
      <c r="CE1860">
        <v>0.85</v>
      </c>
      <c r="CF1860">
        <v>1.68</v>
      </c>
      <c r="CG1860">
        <v>0</v>
      </c>
      <c r="CH1860">
        <v>2.67</v>
      </c>
      <c r="CI1860">
        <v>0</v>
      </c>
      <c r="CJ1860">
        <v>2.2000000000000002</v>
      </c>
      <c r="CK1860">
        <v>45</v>
      </c>
      <c r="CL1860">
        <v>-1.35</v>
      </c>
      <c r="CM1860">
        <v>44</v>
      </c>
      <c r="CN1860">
        <v>-0.81</v>
      </c>
      <c r="CO1860">
        <v>44</v>
      </c>
      <c r="CP1860">
        <v>3.2</v>
      </c>
      <c r="CQ1860">
        <v>42</v>
      </c>
      <c r="CR1860">
        <v>0</v>
      </c>
      <c r="CS1860">
        <v>0</v>
      </c>
      <c r="CT1860">
        <v>24.8</v>
      </c>
      <c r="CU1860">
        <v>41</v>
      </c>
      <c r="CV1860">
        <v>0.28000000000000003</v>
      </c>
      <c r="CW1860">
        <v>34</v>
      </c>
      <c r="CX1860" t="s">
        <v>353</v>
      </c>
    </row>
    <row r="1861" spans="1:102" x14ac:dyDescent="0.3">
      <c r="A1861" t="str">
        <f>HYPERLINK("https://webapp.icbf.com/v2/app/bull-search/view/508753136","HZD")</f>
        <v>HZD</v>
      </c>
      <c r="B1861" t="s">
        <v>14848</v>
      </c>
      <c r="C1861" t="s">
        <v>14849</v>
      </c>
      <c r="D1861" s="1">
        <v>35700</v>
      </c>
      <c r="E1861" t="s">
        <v>395</v>
      </c>
      <c r="F1861">
        <v>0</v>
      </c>
      <c r="G1861" t="s">
        <v>93</v>
      </c>
      <c r="H1861">
        <v>80.94</v>
      </c>
      <c r="I1861">
        <v>81</v>
      </c>
      <c r="J1861">
        <v>-37.57</v>
      </c>
      <c r="K1861">
        <v>91</v>
      </c>
      <c r="L1861">
        <v>87.12</v>
      </c>
      <c r="M1861">
        <v>78</v>
      </c>
      <c r="N1861">
        <v>15.3</v>
      </c>
      <c r="O1861">
        <v>77</v>
      </c>
      <c r="P1861">
        <v>-1.76</v>
      </c>
      <c r="Q1861">
        <v>82</v>
      </c>
      <c r="R1861">
        <v>13.66</v>
      </c>
      <c r="S1861">
        <v>60</v>
      </c>
      <c r="T1861">
        <v>11.38</v>
      </c>
      <c r="U1861">
        <v>78</v>
      </c>
      <c r="V1861">
        <v>-7.19</v>
      </c>
      <c r="W1861">
        <v>63</v>
      </c>
      <c r="X1861" t="s">
        <v>94</v>
      </c>
      <c r="Y1861" t="s">
        <v>95</v>
      </c>
      <c r="Z1861">
        <v>0</v>
      </c>
      <c r="AA1861" t="s">
        <v>12099</v>
      </c>
      <c r="AB1861" t="s">
        <v>144</v>
      </c>
      <c r="AC1861">
        <v>45</v>
      </c>
      <c r="AD1861">
        <v>30</v>
      </c>
      <c r="AE1861">
        <v>91</v>
      </c>
      <c r="AF1861">
        <v>-306.95</v>
      </c>
      <c r="AG1861">
        <v>-12.29</v>
      </c>
      <c r="AH1861">
        <v>-6.74</v>
      </c>
      <c r="AI1861">
        <v>-0.01</v>
      </c>
      <c r="AJ1861">
        <v>7.0000000000000007E-2</v>
      </c>
      <c r="AK1861">
        <v>78</v>
      </c>
      <c r="AL1861">
        <v>38</v>
      </c>
      <c r="AM1861">
        <v>23</v>
      </c>
      <c r="AN1861">
        <v>-6.15</v>
      </c>
      <c r="AO1861">
        <v>0.78</v>
      </c>
      <c r="AP1861">
        <v>75</v>
      </c>
      <c r="AQ1861">
        <v>2</v>
      </c>
      <c r="AR1861">
        <v>4.3600000000000003</v>
      </c>
      <c r="AS1861">
        <v>66</v>
      </c>
      <c r="AT1861">
        <v>2.21</v>
      </c>
      <c r="AU1861">
        <v>87</v>
      </c>
      <c r="AV1861">
        <v>0.44</v>
      </c>
      <c r="AW1861">
        <v>90</v>
      </c>
      <c r="AX1861">
        <v>-0.21</v>
      </c>
      <c r="AY1861">
        <v>65</v>
      </c>
      <c r="AZ1861">
        <v>5.1100000000000003</v>
      </c>
      <c r="BA1861">
        <v>41</v>
      </c>
      <c r="BB1861">
        <v>4.57</v>
      </c>
      <c r="BC1861">
        <v>43</v>
      </c>
      <c r="BD1861">
        <v>-0.03</v>
      </c>
      <c r="BE1861">
        <v>-0.06</v>
      </c>
      <c r="BF1861">
        <v>-0.15</v>
      </c>
      <c r="BG1861">
        <v>69</v>
      </c>
      <c r="BH1861">
        <v>-0.05</v>
      </c>
      <c r="BI1861">
        <v>17.399999999999999</v>
      </c>
      <c r="BJ1861">
        <v>0</v>
      </c>
      <c r="BK1861">
        <v>0</v>
      </c>
      <c r="BL1861">
        <v>-1.73</v>
      </c>
      <c r="BM1861">
        <v>0.87</v>
      </c>
      <c r="BN1861">
        <v>-1.81</v>
      </c>
      <c r="BO1861">
        <v>-1.93</v>
      </c>
      <c r="BP1861">
        <v>1.22</v>
      </c>
      <c r="BQ1861">
        <v>-0.79</v>
      </c>
      <c r="BR1861">
        <v>0.61</v>
      </c>
      <c r="BS1861">
        <v>0.06</v>
      </c>
      <c r="BT1861">
        <v>-0.91</v>
      </c>
      <c r="BU1861">
        <v>-1.29</v>
      </c>
      <c r="BV1861">
        <v>-2.2999999999999998</v>
      </c>
      <c r="BW1861">
        <v>-1.96</v>
      </c>
      <c r="BX1861">
        <v>-1.26</v>
      </c>
      <c r="BY1861">
        <v>-1.05</v>
      </c>
      <c r="BZ1861">
        <v>-1.19</v>
      </c>
      <c r="CA1861">
        <v>-1.7</v>
      </c>
      <c r="CB1861">
        <v>-1.93</v>
      </c>
      <c r="CC1861">
        <v>-0.65</v>
      </c>
      <c r="CD1861">
        <v>1.49</v>
      </c>
      <c r="CE1861">
        <v>-1.92</v>
      </c>
      <c r="CF1861">
        <v>-1.98</v>
      </c>
      <c r="CG1861">
        <v>0</v>
      </c>
      <c r="CH1861">
        <v>-1.17</v>
      </c>
      <c r="CI1861">
        <v>0</v>
      </c>
      <c r="CJ1861">
        <v>-0.2</v>
      </c>
      <c r="CK1861">
        <v>84</v>
      </c>
      <c r="CL1861">
        <v>-0.16</v>
      </c>
      <c r="CM1861">
        <v>81</v>
      </c>
      <c r="CN1861">
        <v>-0.1</v>
      </c>
      <c r="CO1861">
        <v>79</v>
      </c>
      <c r="CP1861">
        <v>-6.7</v>
      </c>
      <c r="CQ1861">
        <v>79</v>
      </c>
      <c r="CR1861">
        <v>0</v>
      </c>
      <c r="CS1861">
        <v>0</v>
      </c>
      <c r="CT1861">
        <v>-1.6</v>
      </c>
      <c r="CU1861">
        <v>78</v>
      </c>
      <c r="CV1861">
        <v>-0.02</v>
      </c>
      <c r="CW1861">
        <v>23</v>
      </c>
      <c r="CX1861" t="s">
        <v>2426</v>
      </c>
    </row>
    <row r="1862" spans="1:102" x14ac:dyDescent="0.3">
      <c r="A1862" t="str">
        <f>HYPERLINK("https://webapp.icbf.com/v2/app/bull-search/view/1350503217","FR4241")</f>
        <v>FR4241</v>
      </c>
      <c r="B1862" t="s">
        <v>2374</v>
      </c>
      <c r="C1862" t="s">
        <v>2375</v>
      </c>
      <c r="D1862" s="1">
        <v>42380</v>
      </c>
      <c r="E1862" t="s">
        <v>108</v>
      </c>
      <c r="F1862">
        <v>16</v>
      </c>
      <c r="G1862" t="s">
        <v>435</v>
      </c>
      <c r="H1862">
        <v>80.91</v>
      </c>
      <c r="I1862">
        <v>65</v>
      </c>
      <c r="J1862">
        <v>-17.13</v>
      </c>
      <c r="K1862">
        <v>82</v>
      </c>
      <c r="L1862">
        <v>70.36</v>
      </c>
      <c r="M1862">
        <v>56</v>
      </c>
      <c r="N1862">
        <v>35.979999999999997</v>
      </c>
      <c r="O1862">
        <v>79</v>
      </c>
      <c r="P1862">
        <v>-13.54</v>
      </c>
      <c r="Q1862">
        <v>49</v>
      </c>
      <c r="R1862">
        <v>-6.54</v>
      </c>
      <c r="S1862">
        <v>57</v>
      </c>
      <c r="T1862">
        <v>9.68</v>
      </c>
      <c r="U1862">
        <v>46</v>
      </c>
      <c r="V1862">
        <v>2.1</v>
      </c>
      <c r="W1862">
        <v>52</v>
      </c>
      <c r="X1862" t="s">
        <v>276</v>
      </c>
      <c r="Y1862" t="s">
        <v>2255</v>
      </c>
      <c r="Z1862" t="s">
        <v>96</v>
      </c>
      <c r="AA1862" t="s">
        <v>2376</v>
      </c>
      <c r="AB1862" t="s">
        <v>2377</v>
      </c>
      <c r="AC1862">
        <v>0</v>
      </c>
      <c r="AD1862">
        <v>0</v>
      </c>
      <c r="AE1862">
        <v>82</v>
      </c>
      <c r="AF1862">
        <v>-288.41000000000003</v>
      </c>
      <c r="AG1862">
        <v>-1.66</v>
      </c>
      <c r="AH1862">
        <v>-6.74</v>
      </c>
      <c r="AI1862">
        <v>0.17</v>
      </c>
      <c r="AJ1862">
        <v>0.06</v>
      </c>
      <c r="AK1862">
        <v>56</v>
      </c>
      <c r="AL1862">
        <v>0</v>
      </c>
      <c r="AM1862">
        <v>0</v>
      </c>
      <c r="AN1862">
        <v>-2.38</v>
      </c>
      <c r="AO1862">
        <v>3.25</v>
      </c>
      <c r="AP1862">
        <v>290</v>
      </c>
      <c r="AQ1862">
        <v>1</v>
      </c>
      <c r="AR1862">
        <v>4.8</v>
      </c>
      <c r="AS1862">
        <v>55</v>
      </c>
      <c r="AT1862">
        <v>2.16</v>
      </c>
      <c r="AU1862">
        <v>88</v>
      </c>
      <c r="AV1862">
        <v>-2.89</v>
      </c>
      <c r="AW1862">
        <v>94</v>
      </c>
      <c r="AX1862">
        <v>-0.27</v>
      </c>
      <c r="AY1862">
        <v>81</v>
      </c>
      <c r="AZ1862">
        <v>5.91</v>
      </c>
      <c r="BA1862">
        <v>41</v>
      </c>
      <c r="BB1862">
        <v>5.43</v>
      </c>
      <c r="BC1862">
        <v>40</v>
      </c>
      <c r="BD1862">
        <v>0.05</v>
      </c>
      <c r="BE1862">
        <v>0.03</v>
      </c>
      <c r="BF1862">
        <v>0.01</v>
      </c>
      <c r="BG1862">
        <v>65</v>
      </c>
      <c r="BH1862">
        <v>-0.02</v>
      </c>
      <c r="BI1862">
        <v>-9.09</v>
      </c>
      <c r="BJ1862">
        <v>0</v>
      </c>
      <c r="BK1862">
        <v>0</v>
      </c>
      <c r="BL1862">
        <v>-1.29</v>
      </c>
      <c r="BM1862">
        <v>3.16</v>
      </c>
      <c r="BN1862">
        <v>-0.37</v>
      </c>
      <c r="BO1862">
        <v>-1.8</v>
      </c>
      <c r="BP1862">
        <v>-2.77</v>
      </c>
      <c r="BQ1862">
        <v>3.9</v>
      </c>
      <c r="BR1862">
        <v>-1.54</v>
      </c>
      <c r="BS1862">
        <v>-0.32</v>
      </c>
      <c r="BT1862">
        <v>0.06</v>
      </c>
      <c r="BU1862">
        <v>-1.85</v>
      </c>
      <c r="BV1862">
        <v>-2.2200000000000002</v>
      </c>
      <c r="BW1862">
        <v>-1.06</v>
      </c>
      <c r="BX1862">
        <v>-1.92</v>
      </c>
      <c r="BY1862">
        <v>-0.66</v>
      </c>
      <c r="BZ1862">
        <v>2.67</v>
      </c>
      <c r="CA1862">
        <v>-0.96</v>
      </c>
      <c r="CB1862">
        <v>-1.05</v>
      </c>
      <c r="CC1862">
        <v>-0.82</v>
      </c>
      <c r="CD1862">
        <v>2.57</v>
      </c>
      <c r="CE1862">
        <v>-0.83</v>
      </c>
      <c r="CF1862">
        <v>0.05</v>
      </c>
      <c r="CG1862">
        <v>0</v>
      </c>
      <c r="CH1862">
        <v>-0.83</v>
      </c>
      <c r="CI1862">
        <v>0</v>
      </c>
      <c r="CJ1862">
        <v>-5.8</v>
      </c>
      <c r="CK1862">
        <v>50</v>
      </c>
      <c r="CL1862">
        <v>-0.61</v>
      </c>
      <c r="CM1862">
        <v>48</v>
      </c>
      <c r="CN1862">
        <v>-0.17</v>
      </c>
      <c r="CO1862">
        <v>47</v>
      </c>
      <c r="CP1862">
        <v>-8.1999999999999993</v>
      </c>
      <c r="CQ1862">
        <v>48</v>
      </c>
      <c r="CR1862">
        <v>0</v>
      </c>
      <c r="CS1862">
        <v>0</v>
      </c>
      <c r="CT1862">
        <v>0.7</v>
      </c>
      <c r="CU1862">
        <v>46</v>
      </c>
      <c r="CV1862">
        <v>0.12</v>
      </c>
      <c r="CW1862">
        <v>35</v>
      </c>
      <c r="CX1862" t="s">
        <v>2378</v>
      </c>
    </row>
    <row r="1863" spans="1:102" x14ac:dyDescent="0.3">
      <c r="A1863" t="str">
        <f>HYPERLINK("https://webapp.icbf.com/v2/app/bull-search/view/586148626","VUC")</f>
        <v>VUC</v>
      </c>
      <c r="B1863" t="s">
        <v>7518</v>
      </c>
      <c r="C1863" t="s">
        <v>7519</v>
      </c>
      <c r="D1863" s="1">
        <v>38102</v>
      </c>
      <c r="E1863" t="s">
        <v>92</v>
      </c>
      <c r="F1863">
        <v>100</v>
      </c>
      <c r="G1863" t="s">
        <v>93</v>
      </c>
      <c r="H1863">
        <v>80.87</v>
      </c>
      <c r="I1863">
        <v>96</v>
      </c>
      <c r="J1863">
        <v>78.73</v>
      </c>
      <c r="K1863">
        <v>99</v>
      </c>
      <c r="L1863">
        <v>-36.17</v>
      </c>
      <c r="M1863">
        <v>93</v>
      </c>
      <c r="N1863">
        <v>26.13</v>
      </c>
      <c r="O1863">
        <v>96</v>
      </c>
      <c r="P1863">
        <v>3.52</v>
      </c>
      <c r="Q1863">
        <v>99</v>
      </c>
      <c r="R1863">
        <v>15.83</v>
      </c>
      <c r="S1863">
        <v>89</v>
      </c>
      <c r="T1863">
        <v>-13.78</v>
      </c>
      <c r="U1863">
        <v>96</v>
      </c>
      <c r="V1863">
        <v>6.61</v>
      </c>
      <c r="W1863">
        <v>87</v>
      </c>
      <c r="X1863" t="s">
        <v>102</v>
      </c>
      <c r="Y1863" t="s">
        <v>235</v>
      </c>
      <c r="Z1863" t="s">
        <v>96</v>
      </c>
      <c r="AA1863" t="s">
        <v>316</v>
      </c>
      <c r="AB1863" t="s">
        <v>7520</v>
      </c>
      <c r="AC1863">
        <v>663</v>
      </c>
      <c r="AD1863">
        <v>181</v>
      </c>
      <c r="AE1863">
        <v>99</v>
      </c>
      <c r="AF1863">
        <v>379.75</v>
      </c>
      <c r="AG1863">
        <v>14.48</v>
      </c>
      <c r="AH1863">
        <v>14.08</v>
      </c>
      <c r="AI1863">
        <v>-0.01</v>
      </c>
      <c r="AJ1863">
        <v>0.02</v>
      </c>
      <c r="AK1863">
        <v>93</v>
      </c>
      <c r="AL1863">
        <v>715</v>
      </c>
      <c r="AM1863">
        <v>222</v>
      </c>
      <c r="AN1863">
        <v>1.53</v>
      </c>
      <c r="AO1863">
        <v>-1.36</v>
      </c>
      <c r="AP1863">
        <v>1560</v>
      </c>
      <c r="AQ1863">
        <v>5</v>
      </c>
      <c r="AR1863">
        <v>6.91</v>
      </c>
      <c r="AS1863">
        <v>96</v>
      </c>
      <c r="AT1863">
        <v>2.9</v>
      </c>
      <c r="AU1863">
        <v>97</v>
      </c>
      <c r="AV1863">
        <v>-2.87</v>
      </c>
      <c r="AW1863">
        <v>99</v>
      </c>
      <c r="AX1863">
        <v>-0.24</v>
      </c>
      <c r="AY1863">
        <v>97</v>
      </c>
      <c r="AZ1863">
        <v>6.61</v>
      </c>
      <c r="BA1863">
        <v>89</v>
      </c>
      <c r="BB1863">
        <v>5.14</v>
      </c>
      <c r="BC1863">
        <v>89</v>
      </c>
      <c r="BD1863">
        <v>-0.06</v>
      </c>
      <c r="BE1863">
        <v>-0.06</v>
      </c>
      <c r="BF1863">
        <v>-0.15</v>
      </c>
      <c r="BG1863">
        <v>97</v>
      </c>
      <c r="BH1863">
        <v>0.22</v>
      </c>
      <c r="BI1863">
        <v>4.1399999999999997</v>
      </c>
      <c r="BJ1863">
        <v>162</v>
      </c>
      <c r="BK1863">
        <v>62</v>
      </c>
      <c r="BL1863">
        <v>0.67</v>
      </c>
      <c r="BM1863">
        <v>1.6</v>
      </c>
      <c r="BN1863">
        <v>-1.63</v>
      </c>
      <c r="BO1863">
        <v>-1.36</v>
      </c>
      <c r="BP1863">
        <v>0.99</v>
      </c>
      <c r="BQ1863">
        <v>1.4</v>
      </c>
      <c r="BR1863">
        <v>-2.27</v>
      </c>
      <c r="BS1863">
        <v>-1.75</v>
      </c>
      <c r="BT1863">
        <v>2.3199999999999998</v>
      </c>
      <c r="BU1863">
        <v>1.02</v>
      </c>
      <c r="BV1863">
        <v>-0.4</v>
      </c>
      <c r="BW1863">
        <v>-0.93</v>
      </c>
      <c r="BX1863">
        <v>2.1</v>
      </c>
      <c r="BY1863">
        <v>0.95</v>
      </c>
      <c r="BZ1863">
        <v>0.14000000000000001</v>
      </c>
      <c r="CA1863">
        <v>0.63</v>
      </c>
      <c r="CB1863">
        <v>0.79</v>
      </c>
      <c r="CC1863">
        <v>-0.45</v>
      </c>
      <c r="CD1863">
        <v>1.79</v>
      </c>
      <c r="CE1863">
        <v>-0.77</v>
      </c>
      <c r="CF1863">
        <v>0.21</v>
      </c>
      <c r="CG1863">
        <v>0</v>
      </c>
      <c r="CH1863">
        <v>1.01</v>
      </c>
      <c r="CI1863">
        <v>0</v>
      </c>
      <c r="CJ1863">
        <v>3.1</v>
      </c>
      <c r="CK1863">
        <v>99</v>
      </c>
      <c r="CL1863">
        <v>-0.63</v>
      </c>
      <c r="CM1863">
        <v>99</v>
      </c>
      <c r="CN1863">
        <v>-0.33</v>
      </c>
      <c r="CO1863">
        <v>99</v>
      </c>
      <c r="CP1863">
        <v>12.5</v>
      </c>
      <c r="CQ1863">
        <v>97</v>
      </c>
      <c r="CR1863">
        <v>0</v>
      </c>
      <c r="CS1863">
        <v>0</v>
      </c>
      <c r="CT1863">
        <v>32.4</v>
      </c>
      <c r="CU1863">
        <v>96</v>
      </c>
      <c r="CV1863">
        <v>0.2</v>
      </c>
      <c r="CW1863">
        <v>49</v>
      </c>
      <c r="CX1863" t="s">
        <v>4549</v>
      </c>
    </row>
    <row r="1864" spans="1:102" x14ac:dyDescent="0.3">
      <c r="A1864" t="str">
        <f>HYPERLINK("https://webapp.icbf.com/v2/app/bull-search/view/499934854","NXU")</f>
        <v>NXU</v>
      </c>
      <c r="B1864" t="s">
        <v>8117</v>
      </c>
      <c r="C1864" t="s">
        <v>8118</v>
      </c>
      <c r="D1864" s="1">
        <v>39141</v>
      </c>
      <c r="E1864" t="s">
        <v>92</v>
      </c>
      <c r="F1864">
        <v>91</v>
      </c>
      <c r="G1864" t="s">
        <v>93</v>
      </c>
      <c r="H1864">
        <v>80.86</v>
      </c>
      <c r="I1864">
        <v>87</v>
      </c>
      <c r="J1864">
        <v>74.89</v>
      </c>
      <c r="K1864">
        <v>96</v>
      </c>
      <c r="L1864">
        <v>-24.01</v>
      </c>
      <c r="M1864">
        <v>79</v>
      </c>
      <c r="N1864">
        <v>33.17</v>
      </c>
      <c r="O1864">
        <v>84</v>
      </c>
      <c r="P1864">
        <v>-14.21</v>
      </c>
      <c r="Q1864">
        <v>89</v>
      </c>
      <c r="R1864">
        <v>-1.1200000000000001</v>
      </c>
      <c r="S1864">
        <v>82</v>
      </c>
      <c r="T1864">
        <v>10.199999999999999</v>
      </c>
      <c r="U1864">
        <v>84</v>
      </c>
      <c r="V1864">
        <v>1.94</v>
      </c>
      <c r="W1864">
        <v>82</v>
      </c>
      <c r="X1864" t="s">
        <v>94</v>
      </c>
      <c r="Y1864" t="s">
        <v>1405</v>
      </c>
      <c r="Z1864" t="s">
        <v>96</v>
      </c>
      <c r="AA1864" t="s">
        <v>1406</v>
      </c>
      <c r="AB1864" t="s">
        <v>8119</v>
      </c>
      <c r="AC1864">
        <v>60</v>
      </c>
      <c r="AD1864">
        <v>39</v>
      </c>
      <c r="AE1864">
        <v>96</v>
      </c>
      <c r="AF1864">
        <v>172.53</v>
      </c>
      <c r="AG1864">
        <v>7.17</v>
      </c>
      <c r="AH1864">
        <v>12.84</v>
      </c>
      <c r="AI1864">
        <v>0.01</v>
      </c>
      <c r="AJ1864">
        <v>0.12</v>
      </c>
      <c r="AK1864">
        <v>79</v>
      </c>
      <c r="AL1864">
        <v>59</v>
      </c>
      <c r="AM1864">
        <v>41</v>
      </c>
      <c r="AN1864">
        <v>1.69</v>
      </c>
      <c r="AO1864">
        <v>-0.22</v>
      </c>
      <c r="AP1864">
        <v>150</v>
      </c>
      <c r="AQ1864">
        <v>0</v>
      </c>
      <c r="AR1864">
        <v>5.56</v>
      </c>
      <c r="AS1864">
        <v>70</v>
      </c>
      <c r="AT1864">
        <v>2.33</v>
      </c>
      <c r="AU1864">
        <v>87</v>
      </c>
      <c r="AV1864">
        <v>-3.12</v>
      </c>
      <c r="AW1864">
        <v>95</v>
      </c>
      <c r="AX1864">
        <v>0.46</v>
      </c>
      <c r="AY1864">
        <v>77</v>
      </c>
      <c r="AZ1864">
        <v>7.42</v>
      </c>
      <c r="BA1864">
        <v>63</v>
      </c>
      <c r="BB1864">
        <v>5</v>
      </c>
      <c r="BC1864">
        <v>66</v>
      </c>
      <c r="BD1864">
        <v>-0.02</v>
      </c>
      <c r="BE1864">
        <v>0.01</v>
      </c>
      <c r="BF1864">
        <v>0.04</v>
      </c>
      <c r="BG1864">
        <v>87</v>
      </c>
      <c r="BH1864">
        <v>-0.03</v>
      </c>
      <c r="BI1864">
        <v>-9.7200000000000006</v>
      </c>
      <c r="BJ1864">
        <v>4</v>
      </c>
      <c r="BK1864">
        <v>4</v>
      </c>
      <c r="BL1864">
        <v>-0.21</v>
      </c>
      <c r="BM1864">
        <v>-0.15</v>
      </c>
      <c r="BN1864">
        <v>0.12</v>
      </c>
      <c r="BO1864">
        <v>-0.05</v>
      </c>
      <c r="BP1864">
        <v>0.48</v>
      </c>
      <c r="BQ1864">
        <v>-0.82</v>
      </c>
      <c r="BR1864">
        <v>0.95</v>
      </c>
      <c r="BS1864">
        <v>-0.24</v>
      </c>
      <c r="BT1864">
        <v>-1.01</v>
      </c>
      <c r="BU1864">
        <v>-1.22</v>
      </c>
      <c r="BV1864">
        <v>-0.19</v>
      </c>
      <c r="BW1864">
        <v>-0.11</v>
      </c>
      <c r="BX1864">
        <v>-1.51</v>
      </c>
      <c r="BY1864">
        <v>0.92</v>
      </c>
      <c r="BZ1864">
        <v>-0.8</v>
      </c>
      <c r="CA1864">
        <v>-0.55000000000000004</v>
      </c>
      <c r="CB1864">
        <v>-0.13</v>
      </c>
      <c r="CC1864">
        <v>-0.66</v>
      </c>
      <c r="CD1864">
        <v>0.14000000000000001</v>
      </c>
      <c r="CE1864">
        <v>-0.24</v>
      </c>
      <c r="CF1864">
        <v>0.17</v>
      </c>
      <c r="CG1864">
        <v>0</v>
      </c>
      <c r="CH1864">
        <v>-0.23</v>
      </c>
      <c r="CI1864">
        <v>0</v>
      </c>
      <c r="CJ1864">
        <v>-4.5999999999999996</v>
      </c>
      <c r="CK1864">
        <v>90</v>
      </c>
      <c r="CL1864">
        <v>-0.89</v>
      </c>
      <c r="CM1864">
        <v>88</v>
      </c>
      <c r="CN1864">
        <v>-0.26</v>
      </c>
      <c r="CO1864">
        <v>87</v>
      </c>
      <c r="CP1864">
        <v>-11.5</v>
      </c>
      <c r="CQ1864">
        <v>86</v>
      </c>
      <c r="CR1864">
        <v>0</v>
      </c>
      <c r="CS1864">
        <v>0</v>
      </c>
      <c r="CT1864">
        <v>0</v>
      </c>
      <c r="CU1864">
        <v>84</v>
      </c>
      <c r="CV1864">
        <v>0.09</v>
      </c>
      <c r="CW1864">
        <v>44</v>
      </c>
      <c r="CX1864" t="s">
        <v>1252</v>
      </c>
    </row>
    <row r="1865" spans="1:102" x14ac:dyDescent="0.3">
      <c r="A1865" t="str">
        <f>HYPERLINK("https://webapp.icbf.com/v2/app/bull-search/view/804580446","S2053")</f>
        <v>S2053</v>
      </c>
      <c r="B1865" t="s">
        <v>9203</v>
      </c>
      <c r="C1865" t="s">
        <v>9204</v>
      </c>
      <c r="D1865" s="1">
        <v>39727</v>
      </c>
      <c r="E1865" t="s">
        <v>92</v>
      </c>
      <c r="F1865">
        <v>100</v>
      </c>
      <c r="G1865" t="s">
        <v>109</v>
      </c>
      <c r="H1865">
        <v>80.72</v>
      </c>
      <c r="I1865">
        <v>79</v>
      </c>
      <c r="J1865">
        <v>84.31</v>
      </c>
      <c r="K1865">
        <v>93</v>
      </c>
      <c r="L1865">
        <v>-28.3</v>
      </c>
      <c r="M1865">
        <v>85</v>
      </c>
      <c r="N1865">
        <v>30.94</v>
      </c>
      <c r="O1865">
        <v>61</v>
      </c>
      <c r="P1865">
        <v>-2.81</v>
      </c>
      <c r="Q1865">
        <v>54</v>
      </c>
      <c r="R1865">
        <v>4.6100000000000003</v>
      </c>
      <c r="S1865">
        <v>76</v>
      </c>
      <c r="T1865">
        <v>-10.220000000000001</v>
      </c>
      <c r="U1865">
        <v>47</v>
      </c>
      <c r="V1865">
        <v>2.19</v>
      </c>
      <c r="W1865">
        <v>65</v>
      </c>
      <c r="X1865" t="s">
        <v>94</v>
      </c>
      <c r="Y1865" t="s">
        <v>367</v>
      </c>
      <c r="Z1865" t="s">
        <v>96</v>
      </c>
      <c r="AA1865" t="s">
        <v>2131</v>
      </c>
      <c r="AB1865" t="s">
        <v>8987</v>
      </c>
      <c r="AC1865">
        <v>0</v>
      </c>
      <c r="AD1865">
        <v>0</v>
      </c>
      <c r="AE1865">
        <v>93</v>
      </c>
      <c r="AF1865">
        <v>296.08999999999997</v>
      </c>
      <c r="AG1865">
        <v>10.66</v>
      </c>
      <c r="AH1865">
        <v>15.1</v>
      </c>
      <c r="AI1865">
        <v>-0.02</v>
      </c>
      <c r="AJ1865">
        <v>0.08</v>
      </c>
      <c r="AK1865">
        <v>85</v>
      </c>
      <c r="AL1865">
        <v>0</v>
      </c>
      <c r="AM1865">
        <v>0</v>
      </c>
      <c r="AN1865">
        <v>1.31</v>
      </c>
      <c r="AO1865">
        <v>-0.95</v>
      </c>
      <c r="AP1865">
        <v>13</v>
      </c>
      <c r="AQ1865">
        <v>0</v>
      </c>
      <c r="AR1865">
        <v>7.7</v>
      </c>
      <c r="AS1865">
        <v>58</v>
      </c>
      <c r="AT1865">
        <v>3.27</v>
      </c>
      <c r="AU1865">
        <v>89</v>
      </c>
      <c r="AV1865">
        <v>-4.03</v>
      </c>
      <c r="AW1865">
        <v>53</v>
      </c>
      <c r="AX1865">
        <v>-0.15</v>
      </c>
      <c r="AY1865">
        <v>50</v>
      </c>
      <c r="AZ1865">
        <v>5.84</v>
      </c>
      <c r="BA1865">
        <v>48</v>
      </c>
      <c r="BB1865">
        <v>5.15</v>
      </c>
      <c r="BC1865">
        <v>48</v>
      </c>
      <c r="BD1865">
        <v>0</v>
      </c>
      <c r="BE1865">
        <v>-0.04</v>
      </c>
      <c r="BF1865">
        <v>-0.03</v>
      </c>
      <c r="BG1865">
        <v>90</v>
      </c>
      <c r="BH1865">
        <v>-0.02</v>
      </c>
      <c r="BI1865">
        <v>-9.39</v>
      </c>
      <c r="BJ1865">
        <v>1</v>
      </c>
      <c r="BK1865">
        <v>1</v>
      </c>
      <c r="BL1865">
        <v>1.82</v>
      </c>
      <c r="BM1865">
        <v>-0.91</v>
      </c>
      <c r="BN1865">
        <v>0.78</v>
      </c>
      <c r="BO1865">
        <v>1.21</v>
      </c>
      <c r="BP1865">
        <v>3.52</v>
      </c>
      <c r="BQ1865">
        <v>1.08</v>
      </c>
      <c r="BR1865">
        <v>-1.68</v>
      </c>
      <c r="BS1865">
        <v>0.28000000000000003</v>
      </c>
      <c r="BT1865">
        <v>-0.44</v>
      </c>
      <c r="BU1865">
        <v>1.6</v>
      </c>
      <c r="BV1865">
        <v>2.16</v>
      </c>
      <c r="BW1865">
        <v>2.4</v>
      </c>
      <c r="BX1865">
        <v>1.33</v>
      </c>
      <c r="BY1865">
        <v>1.53</v>
      </c>
      <c r="BZ1865">
        <v>-1.56</v>
      </c>
      <c r="CA1865">
        <v>2.06</v>
      </c>
      <c r="CB1865">
        <v>2.0299999999999998</v>
      </c>
      <c r="CC1865">
        <v>1.18</v>
      </c>
      <c r="CD1865">
        <v>-0.45</v>
      </c>
      <c r="CE1865">
        <v>1.56</v>
      </c>
      <c r="CF1865">
        <v>2.1</v>
      </c>
      <c r="CG1865">
        <v>0</v>
      </c>
      <c r="CH1865">
        <v>1.59</v>
      </c>
      <c r="CI1865">
        <v>0</v>
      </c>
      <c r="CJ1865">
        <v>3.2</v>
      </c>
      <c r="CK1865">
        <v>55</v>
      </c>
      <c r="CL1865">
        <v>-1.17</v>
      </c>
      <c r="CM1865">
        <v>54</v>
      </c>
      <c r="CN1865">
        <v>-0.28999999999999998</v>
      </c>
      <c r="CO1865">
        <v>53</v>
      </c>
      <c r="CP1865">
        <v>9.6999999999999993</v>
      </c>
      <c r="CQ1865">
        <v>49</v>
      </c>
      <c r="CR1865">
        <v>0</v>
      </c>
      <c r="CS1865">
        <v>0</v>
      </c>
      <c r="CT1865">
        <v>27.6</v>
      </c>
      <c r="CU1865">
        <v>47</v>
      </c>
      <c r="CV1865">
        <v>0.36</v>
      </c>
      <c r="CW1865">
        <v>37</v>
      </c>
      <c r="CX1865" t="s">
        <v>316</v>
      </c>
    </row>
    <row r="1866" spans="1:102" x14ac:dyDescent="0.3">
      <c r="A1866" t="str">
        <f>HYPERLINK("https://webapp.icbf.com/v2/app/bull-search/view/760395830","WSM")</f>
        <v>WSM</v>
      </c>
      <c r="B1866" t="s">
        <v>9090</v>
      </c>
      <c r="C1866" t="s">
        <v>9091</v>
      </c>
      <c r="D1866" s="1">
        <v>40022</v>
      </c>
      <c r="E1866" t="s">
        <v>92</v>
      </c>
      <c r="F1866">
        <v>56</v>
      </c>
      <c r="G1866" t="s">
        <v>109</v>
      </c>
      <c r="H1866">
        <v>80.45</v>
      </c>
      <c r="I1866">
        <v>74</v>
      </c>
      <c r="J1866">
        <v>50.45</v>
      </c>
      <c r="K1866">
        <v>88</v>
      </c>
      <c r="L1866">
        <v>-13.44</v>
      </c>
      <c r="M1866">
        <v>68</v>
      </c>
      <c r="N1866">
        <v>44.43</v>
      </c>
      <c r="O1866">
        <v>64</v>
      </c>
      <c r="P1866">
        <v>-36.07</v>
      </c>
      <c r="Q1866">
        <v>74</v>
      </c>
      <c r="R1866">
        <v>-0.54</v>
      </c>
      <c r="S1866">
        <v>67</v>
      </c>
      <c r="T1866">
        <v>32.18</v>
      </c>
      <c r="U1866">
        <v>60</v>
      </c>
      <c r="V1866">
        <v>3.44</v>
      </c>
      <c r="W1866">
        <v>57</v>
      </c>
      <c r="X1866" t="s">
        <v>276</v>
      </c>
      <c r="Y1866" t="s">
        <v>435</v>
      </c>
      <c r="Z1866" t="s">
        <v>330</v>
      </c>
      <c r="AA1866" t="s">
        <v>5615</v>
      </c>
      <c r="AB1866" t="s">
        <v>9092</v>
      </c>
      <c r="AC1866">
        <v>0</v>
      </c>
      <c r="AD1866">
        <v>0</v>
      </c>
      <c r="AE1866">
        <v>88</v>
      </c>
      <c r="AF1866">
        <v>423.87</v>
      </c>
      <c r="AG1866">
        <v>5.62</v>
      </c>
      <c r="AH1866">
        <v>13.08</v>
      </c>
      <c r="AI1866">
        <v>-0.18</v>
      </c>
      <c r="AJ1866">
        <v>-0.02</v>
      </c>
      <c r="AK1866">
        <v>68</v>
      </c>
      <c r="AL1866">
        <v>0</v>
      </c>
      <c r="AM1866">
        <v>0</v>
      </c>
      <c r="AN1866">
        <v>0.89</v>
      </c>
      <c r="AO1866">
        <v>-0.18</v>
      </c>
      <c r="AP1866">
        <v>33</v>
      </c>
      <c r="AQ1866">
        <v>0</v>
      </c>
      <c r="AR1866">
        <v>3.73</v>
      </c>
      <c r="AS1866">
        <v>50</v>
      </c>
      <c r="AT1866">
        <v>1.64</v>
      </c>
      <c r="AU1866">
        <v>69</v>
      </c>
      <c r="AV1866">
        <v>-3.06</v>
      </c>
      <c r="AW1866">
        <v>77</v>
      </c>
      <c r="AX1866">
        <v>-0.04</v>
      </c>
      <c r="AY1866">
        <v>54</v>
      </c>
      <c r="AZ1866">
        <v>6.01</v>
      </c>
      <c r="BA1866">
        <v>38</v>
      </c>
      <c r="BB1866">
        <v>4.8499999999999996</v>
      </c>
      <c r="BC1866">
        <v>39</v>
      </c>
      <c r="BD1866">
        <v>-0.04</v>
      </c>
      <c r="BE1866">
        <v>0.01</v>
      </c>
      <c r="BF1866">
        <v>0.06</v>
      </c>
      <c r="BG1866">
        <v>82</v>
      </c>
      <c r="BH1866">
        <v>0.05</v>
      </c>
      <c r="BI1866">
        <v>-5.32</v>
      </c>
      <c r="BJ1866">
        <v>0</v>
      </c>
      <c r="BK1866">
        <v>0</v>
      </c>
      <c r="BL1866">
        <v>-1.1499999999999999</v>
      </c>
      <c r="BM1866">
        <v>-0.91</v>
      </c>
      <c r="BN1866">
        <v>-1.33</v>
      </c>
      <c r="BO1866">
        <v>0.04</v>
      </c>
      <c r="BP1866">
        <v>-1.31</v>
      </c>
      <c r="BQ1866">
        <v>-0.76</v>
      </c>
      <c r="BR1866">
        <v>2.09</v>
      </c>
      <c r="BS1866">
        <v>0.69</v>
      </c>
      <c r="BT1866">
        <v>-2</v>
      </c>
      <c r="BU1866">
        <v>-1.62</v>
      </c>
      <c r="BV1866">
        <v>-0.32</v>
      </c>
      <c r="BW1866">
        <v>-1.21</v>
      </c>
      <c r="BX1866">
        <v>-0.78</v>
      </c>
      <c r="BY1866">
        <v>-0.42</v>
      </c>
      <c r="BZ1866">
        <v>0.66</v>
      </c>
      <c r="CA1866">
        <v>-0.86</v>
      </c>
      <c r="CB1866">
        <v>-0.92</v>
      </c>
      <c r="CC1866">
        <v>-0.28000000000000003</v>
      </c>
      <c r="CD1866">
        <v>-0.54</v>
      </c>
      <c r="CE1866">
        <v>-0.19</v>
      </c>
      <c r="CF1866">
        <v>-0.52</v>
      </c>
      <c r="CG1866">
        <v>0</v>
      </c>
      <c r="CH1866">
        <v>-0.72</v>
      </c>
      <c r="CI1866">
        <v>0</v>
      </c>
      <c r="CJ1866">
        <v>-17.3</v>
      </c>
      <c r="CK1866">
        <v>77</v>
      </c>
      <c r="CL1866">
        <v>-0.96</v>
      </c>
      <c r="CM1866">
        <v>73</v>
      </c>
      <c r="CN1866">
        <v>-0.13</v>
      </c>
      <c r="CO1866">
        <v>71</v>
      </c>
      <c r="CP1866">
        <v>-25.4</v>
      </c>
      <c r="CQ1866">
        <v>61</v>
      </c>
      <c r="CR1866">
        <v>0</v>
      </c>
      <c r="CS1866">
        <v>0</v>
      </c>
      <c r="CT1866">
        <v>-29.7</v>
      </c>
      <c r="CU1866">
        <v>60</v>
      </c>
      <c r="CV1866">
        <v>0.06</v>
      </c>
      <c r="CW1866">
        <v>41</v>
      </c>
      <c r="CX1866" t="s">
        <v>1395</v>
      </c>
    </row>
    <row r="1867" spans="1:102" x14ac:dyDescent="0.3">
      <c r="A1867" t="str">
        <f>HYPERLINK("https://webapp.icbf.com/v2/app/bull-search/view/108375217","JRI")</f>
        <v>JRI</v>
      </c>
      <c r="B1867" t="s">
        <v>144</v>
      </c>
      <c r="C1867" t="s">
        <v>363</v>
      </c>
      <c r="D1867" s="1">
        <v>34624</v>
      </c>
      <c r="E1867" t="s">
        <v>895</v>
      </c>
      <c r="F1867">
        <v>0</v>
      </c>
      <c r="G1867" t="s">
        <v>93</v>
      </c>
      <c r="H1867">
        <v>80.34</v>
      </c>
      <c r="I1867">
        <v>76</v>
      </c>
      <c r="J1867">
        <v>-25.71</v>
      </c>
      <c r="K1867">
        <v>95</v>
      </c>
      <c r="L1867">
        <v>68.66</v>
      </c>
      <c r="M1867">
        <v>58</v>
      </c>
      <c r="N1867">
        <v>7</v>
      </c>
      <c r="O1867">
        <v>76</v>
      </c>
      <c r="P1867">
        <v>2.13</v>
      </c>
      <c r="Q1867">
        <v>92</v>
      </c>
      <c r="R1867">
        <v>21.11</v>
      </c>
      <c r="S1867">
        <v>67</v>
      </c>
      <c r="T1867">
        <v>9.02</v>
      </c>
      <c r="U1867">
        <v>76</v>
      </c>
      <c r="V1867">
        <v>-1.87</v>
      </c>
      <c r="W1867">
        <v>51</v>
      </c>
      <c r="X1867" t="s">
        <v>94</v>
      </c>
      <c r="Y1867" t="s">
        <v>95</v>
      </c>
      <c r="Z1867">
        <v>0</v>
      </c>
      <c r="AA1867" t="s">
        <v>4063</v>
      </c>
      <c r="AB1867" t="s">
        <v>7452</v>
      </c>
      <c r="AC1867">
        <v>68</v>
      </c>
      <c r="AD1867">
        <v>39</v>
      </c>
      <c r="AE1867">
        <v>95</v>
      </c>
      <c r="AF1867">
        <v>-185.82</v>
      </c>
      <c r="AG1867">
        <v>-10.79</v>
      </c>
      <c r="AH1867">
        <v>-3.4</v>
      </c>
      <c r="AI1867">
        <v>-0.06</v>
      </c>
      <c r="AJ1867">
        <v>0.05</v>
      </c>
      <c r="AK1867">
        <v>58</v>
      </c>
      <c r="AL1867">
        <v>74</v>
      </c>
      <c r="AM1867">
        <v>41</v>
      </c>
      <c r="AN1867">
        <v>-1.87</v>
      </c>
      <c r="AO1867">
        <v>3.63</v>
      </c>
      <c r="AP1867">
        <v>108</v>
      </c>
      <c r="AQ1867">
        <v>9</v>
      </c>
      <c r="AR1867">
        <v>4.99</v>
      </c>
      <c r="AS1867">
        <v>52</v>
      </c>
      <c r="AT1867">
        <v>2.46</v>
      </c>
      <c r="AU1867">
        <v>76</v>
      </c>
      <c r="AV1867">
        <v>1.3</v>
      </c>
      <c r="AW1867">
        <v>91</v>
      </c>
      <c r="AX1867">
        <v>0.49</v>
      </c>
      <c r="AY1867">
        <v>74</v>
      </c>
      <c r="AZ1867">
        <v>4.53</v>
      </c>
      <c r="BA1867">
        <v>42</v>
      </c>
      <c r="BB1867">
        <v>3.97</v>
      </c>
      <c r="BC1867">
        <v>57</v>
      </c>
      <c r="BD1867">
        <v>-0.02</v>
      </c>
      <c r="BE1867">
        <v>-0.08</v>
      </c>
      <c r="BF1867">
        <v>-0.3</v>
      </c>
      <c r="BG1867">
        <v>78</v>
      </c>
      <c r="BH1867">
        <v>-0.01</v>
      </c>
      <c r="BI1867">
        <v>4.88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0.2</v>
      </c>
      <c r="CK1867">
        <v>93</v>
      </c>
      <c r="CL1867">
        <v>0.02</v>
      </c>
      <c r="CM1867">
        <v>92</v>
      </c>
      <c r="CN1867">
        <v>-0.16</v>
      </c>
      <c r="CO1867">
        <v>90</v>
      </c>
      <c r="CP1867">
        <v>-1.5</v>
      </c>
      <c r="CQ1867">
        <v>87</v>
      </c>
      <c r="CR1867">
        <v>0</v>
      </c>
      <c r="CS1867">
        <v>0</v>
      </c>
      <c r="CT1867">
        <v>1.6</v>
      </c>
      <c r="CU1867">
        <v>76</v>
      </c>
      <c r="CV1867">
        <v>-0.15</v>
      </c>
      <c r="CW1867">
        <v>26</v>
      </c>
      <c r="CX1867" t="s">
        <v>896</v>
      </c>
    </row>
    <row r="1868" spans="1:102" x14ac:dyDescent="0.3">
      <c r="A1868" t="str">
        <f>HYPERLINK("https://webapp.icbf.com/v2/app/bull-search/view/1113850117","FR4281")</f>
        <v>FR4281</v>
      </c>
      <c r="B1868" t="s">
        <v>8407</v>
      </c>
      <c r="C1868" t="s">
        <v>6418</v>
      </c>
      <c r="D1868" s="1">
        <v>39452</v>
      </c>
      <c r="E1868" t="s">
        <v>108</v>
      </c>
      <c r="F1868">
        <v>0</v>
      </c>
      <c r="G1868" t="s">
        <v>435</v>
      </c>
      <c r="H1868">
        <v>80.209999999999994</v>
      </c>
      <c r="I1868">
        <v>68</v>
      </c>
      <c r="J1868">
        <v>-31.22</v>
      </c>
      <c r="K1868">
        <v>80</v>
      </c>
      <c r="L1868">
        <v>55.08</v>
      </c>
      <c r="M1868">
        <v>58</v>
      </c>
      <c r="N1868">
        <v>29.61</v>
      </c>
      <c r="O1868">
        <v>81</v>
      </c>
      <c r="P1868">
        <v>-1.19</v>
      </c>
      <c r="Q1868">
        <v>73</v>
      </c>
      <c r="R1868">
        <v>15.15</v>
      </c>
      <c r="S1868">
        <v>59</v>
      </c>
      <c r="T1868">
        <v>12.49</v>
      </c>
      <c r="U1868">
        <v>51</v>
      </c>
      <c r="V1868">
        <v>0.28999999999999998</v>
      </c>
      <c r="W1868">
        <v>57</v>
      </c>
      <c r="X1868" t="s">
        <v>8408</v>
      </c>
      <c r="Y1868" t="s">
        <v>1923</v>
      </c>
      <c r="Z1868" t="s">
        <v>96</v>
      </c>
      <c r="AA1868" t="s">
        <v>1543</v>
      </c>
      <c r="AB1868" t="s">
        <v>8409</v>
      </c>
      <c r="AC1868">
        <v>3</v>
      </c>
      <c r="AD1868">
        <v>1</v>
      </c>
      <c r="AE1868">
        <v>80</v>
      </c>
      <c r="AF1868">
        <v>-13.98</v>
      </c>
      <c r="AG1868">
        <v>-6.68</v>
      </c>
      <c r="AH1868">
        <v>-3.16</v>
      </c>
      <c r="AI1868">
        <v>-0.11</v>
      </c>
      <c r="AJ1868">
        <v>-0.05</v>
      </c>
      <c r="AK1868">
        <v>58</v>
      </c>
      <c r="AL1868">
        <v>4</v>
      </c>
      <c r="AM1868">
        <v>1</v>
      </c>
      <c r="AN1868">
        <v>-2.4300000000000002</v>
      </c>
      <c r="AO1868">
        <v>1.97</v>
      </c>
      <c r="AP1868">
        <v>252</v>
      </c>
      <c r="AQ1868">
        <v>0</v>
      </c>
      <c r="AR1868">
        <v>6.37</v>
      </c>
      <c r="AS1868">
        <v>56</v>
      </c>
      <c r="AT1868">
        <v>2.1800000000000002</v>
      </c>
      <c r="AU1868">
        <v>88</v>
      </c>
      <c r="AV1868">
        <v>-2.71</v>
      </c>
      <c r="AW1868">
        <v>96</v>
      </c>
      <c r="AX1868">
        <v>0.28000000000000003</v>
      </c>
      <c r="AY1868">
        <v>81</v>
      </c>
      <c r="AZ1868">
        <v>7.14</v>
      </c>
      <c r="BA1868">
        <v>40</v>
      </c>
      <c r="BB1868">
        <v>5.1100000000000003</v>
      </c>
      <c r="BC1868">
        <v>42</v>
      </c>
      <c r="BD1868">
        <v>-0.02</v>
      </c>
      <c r="BE1868">
        <v>-0.05</v>
      </c>
      <c r="BF1868">
        <v>-0.22</v>
      </c>
      <c r="BG1868">
        <v>66</v>
      </c>
      <c r="BH1868">
        <v>-0.03</v>
      </c>
      <c r="BI1868">
        <v>-4.3899999999999997</v>
      </c>
      <c r="BJ1868">
        <v>2</v>
      </c>
      <c r="BK1868">
        <v>1</v>
      </c>
      <c r="BL1868">
        <v>-3.13</v>
      </c>
      <c r="BM1868">
        <v>2.0299999999999998</v>
      </c>
      <c r="BN1868">
        <v>-1.98</v>
      </c>
      <c r="BO1868">
        <v>-3.2</v>
      </c>
      <c r="BP1868">
        <v>-0.86</v>
      </c>
      <c r="BQ1868">
        <v>0.02</v>
      </c>
      <c r="BR1868">
        <v>-1.68</v>
      </c>
      <c r="BS1868">
        <v>0.91</v>
      </c>
      <c r="BT1868">
        <v>2.0699999999999998</v>
      </c>
      <c r="BU1868">
        <v>-1.1100000000000001</v>
      </c>
      <c r="BV1868">
        <v>-2.41</v>
      </c>
      <c r="BW1868">
        <v>-1.4</v>
      </c>
      <c r="BX1868">
        <v>-0.19</v>
      </c>
      <c r="BY1868">
        <v>-0.72</v>
      </c>
      <c r="BZ1868">
        <v>-2.79</v>
      </c>
      <c r="CA1868">
        <v>-0.91</v>
      </c>
      <c r="CB1868">
        <v>-1.65</v>
      </c>
      <c r="CC1868">
        <v>0.44</v>
      </c>
      <c r="CD1868">
        <v>3.02</v>
      </c>
      <c r="CE1868">
        <v>-2.67</v>
      </c>
      <c r="CF1868">
        <v>-2.2400000000000002</v>
      </c>
      <c r="CG1868">
        <v>0</v>
      </c>
      <c r="CH1868">
        <v>0.14000000000000001</v>
      </c>
      <c r="CI1868">
        <v>0</v>
      </c>
      <c r="CJ1868">
        <v>-1.2</v>
      </c>
      <c r="CK1868">
        <v>77</v>
      </c>
      <c r="CL1868">
        <v>-0.12</v>
      </c>
      <c r="CM1868">
        <v>72</v>
      </c>
      <c r="CN1868">
        <v>-0.13</v>
      </c>
      <c r="CO1868">
        <v>71</v>
      </c>
      <c r="CP1868">
        <v>1.2</v>
      </c>
      <c r="CQ1868">
        <v>56</v>
      </c>
      <c r="CR1868">
        <v>0</v>
      </c>
      <c r="CS1868">
        <v>0</v>
      </c>
      <c r="CT1868">
        <v>-3.1</v>
      </c>
      <c r="CU1868">
        <v>51</v>
      </c>
      <c r="CV1868">
        <v>-0.01</v>
      </c>
      <c r="CW1868">
        <v>42</v>
      </c>
      <c r="CX1868" t="s">
        <v>688</v>
      </c>
    </row>
    <row r="1869" spans="1:102" x14ac:dyDescent="0.3">
      <c r="A1869" t="str">
        <f>HYPERLINK("https://webapp.icbf.com/v2/app/bull-search/view/550981672","MTD")</f>
        <v>MTD</v>
      </c>
      <c r="B1869" t="s">
        <v>8882</v>
      </c>
      <c r="C1869" t="s">
        <v>8883</v>
      </c>
      <c r="D1869" s="1">
        <v>38562</v>
      </c>
      <c r="E1869" t="s">
        <v>227</v>
      </c>
      <c r="F1869">
        <v>0</v>
      </c>
      <c r="G1869" t="s">
        <v>93</v>
      </c>
      <c r="H1869">
        <v>80.209999999999994</v>
      </c>
      <c r="I1869">
        <v>95</v>
      </c>
      <c r="J1869">
        <v>60.04</v>
      </c>
      <c r="K1869">
        <v>99</v>
      </c>
      <c r="L1869">
        <v>-27.57</v>
      </c>
      <c r="M1869">
        <v>90</v>
      </c>
      <c r="N1869">
        <v>37.06</v>
      </c>
      <c r="O1869">
        <v>95</v>
      </c>
      <c r="P1869">
        <v>-54.25</v>
      </c>
      <c r="Q1869">
        <v>97</v>
      </c>
      <c r="R1869">
        <v>5.07</v>
      </c>
      <c r="S1869">
        <v>92</v>
      </c>
      <c r="T1869">
        <v>57.26</v>
      </c>
      <c r="U1869">
        <v>96</v>
      </c>
      <c r="V1869">
        <v>2.6</v>
      </c>
      <c r="W1869">
        <v>94</v>
      </c>
      <c r="X1869" t="s">
        <v>94</v>
      </c>
      <c r="Y1869" t="s">
        <v>1524</v>
      </c>
      <c r="Z1869">
        <v>0</v>
      </c>
      <c r="AA1869" t="s">
        <v>1525</v>
      </c>
      <c r="AB1869" t="s">
        <v>8884</v>
      </c>
      <c r="AC1869">
        <v>328</v>
      </c>
      <c r="AD1869">
        <v>114</v>
      </c>
      <c r="AE1869">
        <v>99</v>
      </c>
      <c r="AF1869">
        <v>-276.45</v>
      </c>
      <c r="AG1869">
        <v>13.06</v>
      </c>
      <c r="AH1869">
        <v>1.36</v>
      </c>
      <c r="AI1869">
        <v>0.44</v>
      </c>
      <c r="AJ1869">
        <v>0.2</v>
      </c>
      <c r="AK1869">
        <v>90</v>
      </c>
      <c r="AL1869">
        <v>340</v>
      </c>
      <c r="AM1869">
        <v>108</v>
      </c>
      <c r="AN1869">
        <v>1.39</v>
      </c>
      <c r="AO1869">
        <v>-0.81</v>
      </c>
      <c r="AP1869">
        <v>634</v>
      </c>
      <c r="AQ1869">
        <v>7</v>
      </c>
      <c r="AR1869">
        <v>3.47</v>
      </c>
      <c r="AS1869">
        <v>92</v>
      </c>
      <c r="AT1869">
        <v>1.33</v>
      </c>
      <c r="AU1869">
        <v>95</v>
      </c>
      <c r="AV1869">
        <v>-3.05</v>
      </c>
      <c r="AW1869">
        <v>99</v>
      </c>
      <c r="AX1869">
        <v>1.02</v>
      </c>
      <c r="AY1869">
        <v>93</v>
      </c>
      <c r="AZ1869">
        <v>8</v>
      </c>
      <c r="BA1869">
        <v>84</v>
      </c>
      <c r="BB1869">
        <v>5.52</v>
      </c>
      <c r="BC1869">
        <v>87</v>
      </c>
      <c r="BD1869">
        <v>-0.04</v>
      </c>
      <c r="BE1869">
        <v>0</v>
      </c>
      <c r="BF1869">
        <v>-0.05</v>
      </c>
      <c r="BG1869">
        <v>96</v>
      </c>
      <c r="BH1869">
        <v>-0.06</v>
      </c>
      <c r="BI1869">
        <v>-15.33</v>
      </c>
      <c r="BJ1869">
        <v>45</v>
      </c>
      <c r="BK1869">
        <v>16</v>
      </c>
      <c r="BL1869">
        <v>-2.8</v>
      </c>
      <c r="BM1869">
        <v>-1.63</v>
      </c>
      <c r="BN1869">
        <v>0.28000000000000003</v>
      </c>
      <c r="BO1869">
        <v>1.7</v>
      </c>
      <c r="BP1869">
        <v>-1.61</v>
      </c>
      <c r="BQ1869">
        <v>-6.73</v>
      </c>
      <c r="BR1869">
        <v>2.31</v>
      </c>
      <c r="BS1869">
        <v>7.27</v>
      </c>
      <c r="BT1869">
        <v>-0.6</v>
      </c>
      <c r="BU1869">
        <v>-1.44</v>
      </c>
      <c r="BV1869">
        <v>-1.19</v>
      </c>
      <c r="BW1869">
        <v>-3.15</v>
      </c>
      <c r="BX1869">
        <v>-5.12</v>
      </c>
      <c r="BY1869">
        <v>-0.78</v>
      </c>
      <c r="BZ1869">
        <v>-0.74</v>
      </c>
      <c r="CA1869">
        <v>0.84</v>
      </c>
      <c r="CB1869">
        <v>-0.99</v>
      </c>
      <c r="CC1869">
        <v>4.3899999999999997</v>
      </c>
      <c r="CD1869">
        <v>-2.13</v>
      </c>
      <c r="CE1869">
        <v>1.01</v>
      </c>
      <c r="CF1869">
        <v>-3.17</v>
      </c>
      <c r="CG1869">
        <v>0</v>
      </c>
      <c r="CH1869">
        <v>-1.71</v>
      </c>
      <c r="CI1869">
        <v>0</v>
      </c>
      <c r="CJ1869">
        <v>-29.4</v>
      </c>
      <c r="CK1869">
        <v>97</v>
      </c>
      <c r="CL1869">
        <v>-0.92</v>
      </c>
      <c r="CM1869">
        <v>96</v>
      </c>
      <c r="CN1869">
        <v>-0.25</v>
      </c>
      <c r="CO1869">
        <v>96</v>
      </c>
      <c r="CP1869">
        <v>-47.4</v>
      </c>
      <c r="CQ1869">
        <v>96</v>
      </c>
      <c r="CR1869">
        <v>0</v>
      </c>
      <c r="CS1869">
        <v>0</v>
      </c>
      <c r="CT1869">
        <v>-63.6</v>
      </c>
      <c r="CU1869">
        <v>96</v>
      </c>
      <c r="CV1869">
        <v>-0.31</v>
      </c>
      <c r="CW1869">
        <v>46</v>
      </c>
      <c r="CX1869" t="s">
        <v>8885</v>
      </c>
    </row>
    <row r="1870" spans="1:102" x14ac:dyDescent="0.3">
      <c r="A1870" t="str">
        <f>HYPERLINK("https://webapp.icbf.com/v2/app/bull-search/view/69091510","DPM")</f>
        <v>DPM</v>
      </c>
      <c r="B1870" t="s">
        <v>8211</v>
      </c>
      <c r="C1870" t="s">
        <v>8212</v>
      </c>
      <c r="D1870" s="1">
        <v>31720</v>
      </c>
      <c r="E1870" t="s">
        <v>227</v>
      </c>
      <c r="F1870">
        <v>0</v>
      </c>
      <c r="G1870" t="s">
        <v>109</v>
      </c>
      <c r="H1870">
        <v>80.2</v>
      </c>
      <c r="I1870">
        <v>82</v>
      </c>
      <c r="J1870">
        <v>-6.59</v>
      </c>
      <c r="K1870">
        <v>92</v>
      </c>
      <c r="L1870">
        <v>40.08</v>
      </c>
      <c r="M1870">
        <v>89</v>
      </c>
      <c r="N1870">
        <v>9.8000000000000007</v>
      </c>
      <c r="O1870">
        <v>66</v>
      </c>
      <c r="P1870">
        <v>-50.98</v>
      </c>
      <c r="Q1870">
        <v>66</v>
      </c>
      <c r="R1870">
        <v>6.62</v>
      </c>
      <c r="S1870">
        <v>72</v>
      </c>
      <c r="T1870">
        <v>81.540000000000006</v>
      </c>
      <c r="U1870">
        <v>63</v>
      </c>
      <c r="V1870">
        <v>-0.27</v>
      </c>
      <c r="W1870">
        <v>69</v>
      </c>
      <c r="X1870" t="s">
        <v>276</v>
      </c>
      <c r="Y1870" t="s">
        <v>95</v>
      </c>
      <c r="Z1870">
        <v>0</v>
      </c>
      <c r="AA1870" t="s">
        <v>4332</v>
      </c>
      <c r="AB1870" t="s">
        <v>8213</v>
      </c>
      <c r="AC1870">
        <v>0</v>
      </c>
      <c r="AD1870">
        <v>0</v>
      </c>
      <c r="AE1870">
        <v>92</v>
      </c>
      <c r="AF1870">
        <v>-363.54</v>
      </c>
      <c r="AG1870">
        <v>2.5299999999999998</v>
      </c>
      <c r="AH1870">
        <v>-7.58</v>
      </c>
      <c r="AI1870">
        <v>0.31</v>
      </c>
      <c r="AJ1870">
        <v>0.09</v>
      </c>
      <c r="AK1870">
        <v>89</v>
      </c>
      <c r="AL1870">
        <v>0</v>
      </c>
      <c r="AM1870">
        <v>0</v>
      </c>
      <c r="AN1870">
        <v>-1.87</v>
      </c>
      <c r="AO1870">
        <v>1.33</v>
      </c>
      <c r="AP1870">
        <v>7</v>
      </c>
      <c r="AQ1870">
        <v>0</v>
      </c>
      <c r="AR1870">
        <v>2.2999999999999998</v>
      </c>
      <c r="AS1870">
        <v>53</v>
      </c>
      <c r="AT1870">
        <v>1.57</v>
      </c>
      <c r="AU1870">
        <v>65</v>
      </c>
      <c r="AV1870">
        <v>0.03</v>
      </c>
      <c r="AW1870">
        <v>75</v>
      </c>
      <c r="AX1870">
        <v>3</v>
      </c>
      <c r="AY1870">
        <v>67</v>
      </c>
      <c r="AZ1870">
        <v>7.23</v>
      </c>
      <c r="BA1870">
        <v>49</v>
      </c>
      <c r="BB1870">
        <v>5.42</v>
      </c>
      <c r="BC1870">
        <v>56</v>
      </c>
      <c r="BD1870">
        <v>-0.11</v>
      </c>
      <c r="BE1870">
        <v>-0.01</v>
      </c>
      <c r="BF1870">
        <v>0.05</v>
      </c>
      <c r="BG1870">
        <v>80</v>
      </c>
      <c r="BH1870">
        <v>-0.02</v>
      </c>
      <c r="BI1870">
        <v>-1.43</v>
      </c>
      <c r="BJ1870">
        <v>0</v>
      </c>
      <c r="BK1870">
        <v>0</v>
      </c>
      <c r="BL1870">
        <v>-0.48</v>
      </c>
      <c r="BM1870">
        <v>-0.95</v>
      </c>
      <c r="BN1870">
        <v>0.66</v>
      </c>
      <c r="BO1870">
        <v>1.73</v>
      </c>
      <c r="BP1870">
        <v>-0.14000000000000001</v>
      </c>
      <c r="BQ1870">
        <v>-3.94</v>
      </c>
      <c r="BR1870">
        <v>2.4700000000000002</v>
      </c>
      <c r="BS1870">
        <v>6.49</v>
      </c>
      <c r="BT1870">
        <v>-1.27</v>
      </c>
      <c r="BU1870">
        <v>1.4</v>
      </c>
      <c r="BV1870">
        <v>1.39</v>
      </c>
      <c r="BW1870">
        <v>-1.01</v>
      </c>
      <c r="BX1870">
        <v>-1.92</v>
      </c>
      <c r="BY1870">
        <v>0.74</v>
      </c>
      <c r="BZ1870">
        <v>0.87</v>
      </c>
      <c r="CA1870">
        <v>2.63</v>
      </c>
      <c r="CB1870">
        <v>1.53</v>
      </c>
      <c r="CC1870">
        <v>3.74</v>
      </c>
      <c r="CD1870">
        <v>-1.81</v>
      </c>
      <c r="CE1870">
        <v>1.65</v>
      </c>
      <c r="CF1870">
        <v>0.28999999999999998</v>
      </c>
      <c r="CG1870">
        <v>0</v>
      </c>
      <c r="CH1870">
        <v>0</v>
      </c>
      <c r="CI1870">
        <v>0</v>
      </c>
      <c r="CJ1870">
        <v>-27.9</v>
      </c>
      <c r="CK1870">
        <v>68</v>
      </c>
      <c r="CL1870">
        <v>-0.92</v>
      </c>
      <c r="CM1870">
        <v>64</v>
      </c>
      <c r="CN1870">
        <v>-0.46</v>
      </c>
      <c r="CO1870">
        <v>60</v>
      </c>
      <c r="CP1870">
        <v>-55.8</v>
      </c>
      <c r="CQ1870">
        <v>70</v>
      </c>
      <c r="CR1870">
        <v>0</v>
      </c>
      <c r="CS1870">
        <v>0</v>
      </c>
      <c r="CT1870">
        <v>-96.4</v>
      </c>
      <c r="CU1870">
        <v>63</v>
      </c>
      <c r="CV1870">
        <v>-0.32</v>
      </c>
      <c r="CW1870">
        <v>38</v>
      </c>
      <c r="CX1870" t="s">
        <v>8214</v>
      </c>
    </row>
    <row r="1871" spans="1:102" x14ac:dyDescent="0.3">
      <c r="A1871" t="str">
        <f>HYPERLINK("https://webapp.icbf.com/v2/app/bull-search/view/116541985","PIS")</f>
        <v>PIS</v>
      </c>
      <c r="B1871" t="s">
        <v>11325</v>
      </c>
      <c r="C1871" t="s">
        <v>11326</v>
      </c>
      <c r="D1871" s="1">
        <v>36177</v>
      </c>
      <c r="E1871" t="s">
        <v>146</v>
      </c>
      <c r="F1871">
        <v>19</v>
      </c>
      <c r="G1871" t="s">
        <v>93</v>
      </c>
      <c r="H1871">
        <v>80.180000000000007</v>
      </c>
      <c r="I1871">
        <v>96</v>
      </c>
      <c r="J1871">
        <v>-30.72</v>
      </c>
      <c r="K1871">
        <v>99</v>
      </c>
      <c r="L1871">
        <v>74.709999999999994</v>
      </c>
      <c r="M1871">
        <v>92</v>
      </c>
      <c r="N1871">
        <v>40.619999999999997</v>
      </c>
      <c r="O1871">
        <v>97</v>
      </c>
      <c r="P1871">
        <v>4.4400000000000004</v>
      </c>
      <c r="Q1871">
        <v>99</v>
      </c>
      <c r="R1871">
        <v>-7.16</v>
      </c>
      <c r="S1871">
        <v>94</v>
      </c>
      <c r="T1871">
        <v>12.35</v>
      </c>
      <c r="U1871">
        <v>98</v>
      </c>
      <c r="V1871">
        <v>-14.06</v>
      </c>
      <c r="W1871">
        <v>96</v>
      </c>
      <c r="X1871" t="s">
        <v>276</v>
      </c>
      <c r="Y1871" t="s">
        <v>117</v>
      </c>
      <c r="Z1871">
        <v>0</v>
      </c>
      <c r="AA1871" t="s">
        <v>236</v>
      </c>
      <c r="AB1871" t="s">
        <v>11327</v>
      </c>
      <c r="AC1871">
        <v>876</v>
      </c>
      <c r="AD1871">
        <v>283</v>
      </c>
      <c r="AE1871">
        <v>99</v>
      </c>
      <c r="AF1871">
        <v>-314.20999999999998</v>
      </c>
      <c r="AG1871">
        <v>-9.3699999999999992</v>
      </c>
      <c r="AH1871">
        <v>-6.72</v>
      </c>
      <c r="AI1871">
        <v>0.05</v>
      </c>
      <c r="AJ1871">
        <v>7.0000000000000007E-2</v>
      </c>
      <c r="AK1871">
        <v>92</v>
      </c>
      <c r="AL1871">
        <v>1044</v>
      </c>
      <c r="AM1871">
        <v>335</v>
      </c>
      <c r="AN1871">
        <v>-3.9</v>
      </c>
      <c r="AO1871">
        <v>2.06</v>
      </c>
      <c r="AP1871">
        <v>1380</v>
      </c>
      <c r="AQ1871">
        <v>46</v>
      </c>
      <c r="AR1871">
        <v>6.04</v>
      </c>
      <c r="AS1871">
        <v>95</v>
      </c>
      <c r="AT1871">
        <v>2.5499999999999998</v>
      </c>
      <c r="AU1871">
        <v>98</v>
      </c>
      <c r="AV1871">
        <v>-3.47</v>
      </c>
      <c r="AW1871">
        <v>99</v>
      </c>
      <c r="AX1871">
        <v>-0.37</v>
      </c>
      <c r="AY1871">
        <v>98</v>
      </c>
      <c r="AZ1871">
        <v>5.33</v>
      </c>
      <c r="BA1871">
        <v>92</v>
      </c>
      <c r="BB1871">
        <v>4.5599999999999996</v>
      </c>
      <c r="BC1871">
        <v>94</v>
      </c>
      <c r="BD1871">
        <v>0.04</v>
      </c>
      <c r="BE1871">
        <v>0.02</v>
      </c>
      <c r="BF1871">
        <v>0.06</v>
      </c>
      <c r="BG1871">
        <v>98</v>
      </c>
      <c r="BH1871">
        <v>-0.25</v>
      </c>
      <c r="BI1871">
        <v>16.420000000000002</v>
      </c>
      <c r="BJ1871">
        <v>7</v>
      </c>
      <c r="BK1871">
        <v>5</v>
      </c>
      <c r="BL1871">
        <v>-2.13</v>
      </c>
      <c r="BM1871">
        <v>2.94</v>
      </c>
      <c r="BN1871">
        <v>-0.9</v>
      </c>
      <c r="BO1871">
        <v>-2.66</v>
      </c>
      <c r="BP1871">
        <v>2.16</v>
      </c>
      <c r="BQ1871">
        <v>1.45</v>
      </c>
      <c r="BR1871">
        <v>0.87</v>
      </c>
      <c r="BS1871">
        <v>-0.57999999999999996</v>
      </c>
      <c r="BT1871">
        <v>-0.84</v>
      </c>
      <c r="BU1871">
        <v>-2.7</v>
      </c>
      <c r="BV1871">
        <v>-4.37</v>
      </c>
      <c r="BW1871">
        <v>-3.81</v>
      </c>
      <c r="BX1871">
        <v>-1.94</v>
      </c>
      <c r="BY1871">
        <v>-4.26</v>
      </c>
      <c r="BZ1871">
        <v>2.9</v>
      </c>
      <c r="CA1871">
        <v>-3.12</v>
      </c>
      <c r="CB1871">
        <v>-3.34</v>
      </c>
      <c r="CC1871">
        <v>-1.19</v>
      </c>
      <c r="CD1871">
        <v>2.78</v>
      </c>
      <c r="CE1871">
        <v>-2.52</v>
      </c>
      <c r="CF1871">
        <v>-1.18</v>
      </c>
      <c r="CG1871">
        <v>0</v>
      </c>
      <c r="CH1871">
        <v>-3.49</v>
      </c>
      <c r="CI1871">
        <v>0</v>
      </c>
      <c r="CJ1871">
        <v>2.6</v>
      </c>
      <c r="CK1871">
        <v>99</v>
      </c>
      <c r="CL1871">
        <v>0.16</v>
      </c>
      <c r="CM1871">
        <v>99</v>
      </c>
      <c r="CN1871">
        <v>0.03</v>
      </c>
      <c r="CO1871">
        <v>99</v>
      </c>
      <c r="CP1871">
        <v>-3</v>
      </c>
      <c r="CQ1871">
        <v>99</v>
      </c>
      <c r="CR1871">
        <v>0</v>
      </c>
      <c r="CS1871">
        <v>0</v>
      </c>
      <c r="CT1871">
        <v>-2.9</v>
      </c>
      <c r="CU1871">
        <v>98</v>
      </c>
      <c r="CV1871">
        <v>-0.05</v>
      </c>
      <c r="CW1871">
        <v>47</v>
      </c>
      <c r="CX1871" t="s">
        <v>3797</v>
      </c>
    </row>
    <row r="1872" spans="1:102" x14ac:dyDescent="0.3">
      <c r="A1872" t="str">
        <f>HYPERLINK("https://webapp.icbf.com/v2/app/bull-search/view/1647949755","S3307")</f>
        <v>S3307</v>
      </c>
      <c r="B1872" t="s">
        <v>14051</v>
      </c>
      <c r="C1872" t="s">
        <v>14052</v>
      </c>
      <c r="D1872" s="1">
        <v>42311</v>
      </c>
      <c r="E1872" t="s">
        <v>108</v>
      </c>
      <c r="F1872">
        <v>0</v>
      </c>
      <c r="G1872" t="s">
        <v>435</v>
      </c>
      <c r="H1872">
        <v>80.069999999999993</v>
      </c>
      <c r="I1872">
        <v>60</v>
      </c>
      <c r="J1872">
        <v>-27.86</v>
      </c>
      <c r="K1872">
        <v>79</v>
      </c>
      <c r="L1872">
        <v>87.42</v>
      </c>
      <c r="M1872">
        <v>56</v>
      </c>
      <c r="N1872">
        <v>17.309999999999999</v>
      </c>
      <c r="O1872">
        <v>56</v>
      </c>
      <c r="P1872">
        <v>-11.69</v>
      </c>
      <c r="Q1872">
        <v>38</v>
      </c>
      <c r="R1872">
        <v>8.52</v>
      </c>
      <c r="S1872">
        <v>54</v>
      </c>
      <c r="T1872">
        <v>8.0500000000000007</v>
      </c>
      <c r="U1872">
        <v>37</v>
      </c>
      <c r="V1872">
        <v>-1.68</v>
      </c>
      <c r="W1872">
        <v>50</v>
      </c>
      <c r="X1872" t="s">
        <v>110</v>
      </c>
      <c r="Y1872" t="s">
        <v>2394</v>
      </c>
      <c r="Z1872" t="s">
        <v>96</v>
      </c>
      <c r="AA1872" t="s">
        <v>14018</v>
      </c>
      <c r="AB1872" t="s">
        <v>6983</v>
      </c>
      <c r="AC1872">
        <v>0</v>
      </c>
      <c r="AD1872">
        <v>0</v>
      </c>
      <c r="AE1872">
        <v>79</v>
      </c>
      <c r="AF1872">
        <v>-130.36000000000001</v>
      </c>
      <c r="AG1872">
        <v>-3.09</v>
      </c>
      <c r="AH1872">
        <v>-5.64</v>
      </c>
      <c r="AI1872">
        <v>0.03</v>
      </c>
      <c r="AJ1872">
        <v>-0.02</v>
      </c>
      <c r="AK1872">
        <v>56</v>
      </c>
      <c r="AL1872">
        <v>0</v>
      </c>
      <c r="AM1872">
        <v>0</v>
      </c>
      <c r="AN1872">
        <v>-4.8899999999999997</v>
      </c>
      <c r="AO1872">
        <v>2.08</v>
      </c>
      <c r="AP1872">
        <v>16</v>
      </c>
      <c r="AQ1872">
        <v>0</v>
      </c>
      <c r="AR1872">
        <v>9.83</v>
      </c>
      <c r="AS1872">
        <v>40</v>
      </c>
      <c r="AT1872">
        <v>3.15</v>
      </c>
      <c r="AU1872">
        <v>58</v>
      </c>
      <c r="AV1872">
        <v>-3.16</v>
      </c>
      <c r="AW1872">
        <v>70</v>
      </c>
      <c r="AX1872">
        <v>0.47</v>
      </c>
      <c r="AY1872">
        <v>44</v>
      </c>
      <c r="AZ1872">
        <v>6.73</v>
      </c>
      <c r="BA1872">
        <v>32</v>
      </c>
      <c r="BB1872">
        <v>4.9400000000000004</v>
      </c>
      <c r="BC1872">
        <v>32</v>
      </c>
      <c r="BD1872">
        <v>-0.03</v>
      </c>
      <c r="BE1872">
        <v>-0.04</v>
      </c>
      <c r="BF1872">
        <v>-7.0000000000000007E-2</v>
      </c>
      <c r="BG1872">
        <v>64</v>
      </c>
      <c r="BH1872">
        <v>-0.03</v>
      </c>
      <c r="BI1872">
        <v>1.96</v>
      </c>
      <c r="BJ1872">
        <v>0</v>
      </c>
      <c r="BK1872">
        <v>0</v>
      </c>
      <c r="BL1872">
        <v>-2.89</v>
      </c>
      <c r="BM1872">
        <v>1.02</v>
      </c>
      <c r="BN1872">
        <v>-2.21</v>
      </c>
      <c r="BO1872">
        <v>-2.4900000000000002</v>
      </c>
      <c r="BP1872">
        <v>-0.4</v>
      </c>
      <c r="BQ1872">
        <v>0.3</v>
      </c>
      <c r="BR1872">
        <v>-2.57</v>
      </c>
      <c r="BS1872">
        <v>0.65</v>
      </c>
      <c r="BT1872">
        <v>3.36</v>
      </c>
      <c r="BU1872">
        <v>0.18</v>
      </c>
      <c r="BV1872">
        <v>-0.73</v>
      </c>
      <c r="BW1872">
        <v>-0.6</v>
      </c>
      <c r="BX1872">
        <v>0.78</v>
      </c>
      <c r="BY1872">
        <v>0.42</v>
      </c>
      <c r="BZ1872">
        <v>-2.5</v>
      </c>
      <c r="CA1872">
        <v>-0.3</v>
      </c>
      <c r="CB1872">
        <v>-0.53</v>
      </c>
      <c r="CC1872">
        <v>0.05</v>
      </c>
      <c r="CD1872">
        <v>2.2400000000000002</v>
      </c>
      <c r="CE1872">
        <v>-1.9</v>
      </c>
      <c r="CF1872">
        <v>-1.24</v>
      </c>
      <c r="CG1872">
        <v>0</v>
      </c>
      <c r="CH1872">
        <v>0.71</v>
      </c>
      <c r="CI1872">
        <v>0</v>
      </c>
      <c r="CJ1872">
        <v>-5.3</v>
      </c>
      <c r="CK1872">
        <v>38</v>
      </c>
      <c r="CL1872">
        <v>-0.26</v>
      </c>
      <c r="CM1872">
        <v>38</v>
      </c>
      <c r="CN1872">
        <v>0.1</v>
      </c>
      <c r="CO1872">
        <v>38</v>
      </c>
      <c r="CP1872">
        <v>-3.5</v>
      </c>
      <c r="CQ1872">
        <v>37</v>
      </c>
      <c r="CR1872">
        <v>0</v>
      </c>
      <c r="CS1872">
        <v>0</v>
      </c>
      <c r="CT1872">
        <v>2.9</v>
      </c>
      <c r="CU1872">
        <v>37</v>
      </c>
      <c r="CV1872">
        <v>0.06</v>
      </c>
      <c r="CW1872">
        <v>33</v>
      </c>
      <c r="CX1872" t="s">
        <v>1543</v>
      </c>
    </row>
    <row r="1873" spans="1:102" x14ac:dyDescent="0.3">
      <c r="A1873" t="str">
        <f>HYPERLINK("https://webapp.icbf.com/v2/app/bull-search/view/497279832","MVC")</f>
        <v>MVC</v>
      </c>
      <c r="B1873" t="s">
        <v>4877</v>
      </c>
      <c r="C1873" t="s">
        <v>4878</v>
      </c>
      <c r="D1873" s="1">
        <v>39127</v>
      </c>
      <c r="E1873" t="s">
        <v>92</v>
      </c>
      <c r="F1873">
        <v>88</v>
      </c>
      <c r="G1873" t="s">
        <v>93</v>
      </c>
      <c r="H1873">
        <v>79.900000000000006</v>
      </c>
      <c r="I1873">
        <v>88</v>
      </c>
      <c r="J1873">
        <v>31.59</v>
      </c>
      <c r="K1873">
        <v>97</v>
      </c>
      <c r="L1873">
        <v>18.45</v>
      </c>
      <c r="M1873">
        <v>80</v>
      </c>
      <c r="N1873">
        <v>27.54</v>
      </c>
      <c r="O1873">
        <v>86</v>
      </c>
      <c r="P1873">
        <v>-8.1</v>
      </c>
      <c r="Q1873">
        <v>91</v>
      </c>
      <c r="R1873">
        <v>-0.97</v>
      </c>
      <c r="S1873">
        <v>83</v>
      </c>
      <c r="T1873">
        <v>11.24</v>
      </c>
      <c r="U1873">
        <v>86</v>
      </c>
      <c r="V1873">
        <v>0.15</v>
      </c>
      <c r="W1873">
        <v>82</v>
      </c>
      <c r="X1873" t="s">
        <v>94</v>
      </c>
      <c r="Y1873" t="s">
        <v>4217</v>
      </c>
      <c r="Z1873" t="s">
        <v>96</v>
      </c>
      <c r="AA1873" t="s">
        <v>1406</v>
      </c>
      <c r="AB1873" t="s">
        <v>4879</v>
      </c>
      <c r="AC1873">
        <v>82</v>
      </c>
      <c r="AD1873">
        <v>51</v>
      </c>
      <c r="AE1873">
        <v>97</v>
      </c>
      <c r="AF1873">
        <v>126.54</v>
      </c>
      <c r="AG1873">
        <v>5.34</v>
      </c>
      <c r="AH1873">
        <v>5.42</v>
      </c>
      <c r="AI1873">
        <v>0.01</v>
      </c>
      <c r="AJ1873">
        <v>0.02</v>
      </c>
      <c r="AK1873">
        <v>80</v>
      </c>
      <c r="AL1873">
        <v>82</v>
      </c>
      <c r="AM1873">
        <v>54</v>
      </c>
      <c r="AN1873">
        <v>-0.34</v>
      </c>
      <c r="AO1873">
        <v>1.1399999999999999</v>
      </c>
      <c r="AP1873">
        <v>210</v>
      </c>
      <c r="AQ1873">
        <v>0</v>
      </c>
      <c r="AR1873">
        <v>6.16</v>
      </c>
      <c r="AS1873">
        <v>73</v>
      </c>
      <c r="AT1873">
        <v>2.66</v>
      </c>
      <c r="AU1873">
        <v>89</v>
      </c>
      <c r="AV1873">
        <v>-2.62</v>
      </c>
      <c r="AW1873">
        <v>96</v>
      </c>
      <c r="AX1873">
        <v>-0.47</v>
      </c>
      <c r="AY1873">
        <v>81</v>
      </c>
      <c r="AZ1873">
        <v>6.63</v>
      </c>
      <c r="BA1873">
        <v>68</v>
      </c>
      <c r="BB1873">
        <v>5.29</v>
      </c>
      <c r="BC1873">
        <v>69</v>
      </c>
      <c r="BD1873">
        <v>-0.01</v>
      </c>
      <c r="BE1873">
        <v>0.01</v>
      </c>
      <c r="BF1873">
        <v>0.02</v>
      </c>
      <c r="BG1873">
        <v>89</v>
      </c>
      <c r="BH1873">
        <v>7.0000000000000007E-2</v>
      </c>
      <c r="BI1873">
        <v>7.6</v>
      </c>
      <c r="BJ1873">
        <v>34</v>
      </c>
      <c r="BK1873">
        <v>22</v>
      </c>
      <c r="BL1873">
        <v>-0.33</v>
      </c>
      <c r="BM1873">
        <v>-0.08</v>
      </c>
      <c r="BN1873">
        <v>-1.23</v>
      </c>
      <c r="BO1873">
        <v>-0.81</v>
      </c>
      <c r="BP1873">
        <v>3.95</v>
      </c>
      <c r="BQ1873">
        <v>-1.53</v>
      </c>
      <c r="BR1873">
        <v>1</v>
      </c>
      <c r="BS1873">
        <v>-1.07</v>
      </c>
      <c r="BT1873">
        <v>-0.67</v>
      </c>
      <c r="BU1873">
        <v>-1.36</v>
      </c>
      <c r="BV1873">
        <v>-0.85</v>
      </c>
      <c r="BW1873">
        <v>-0.63</v>
      </c>
      <c r="BX1873">
        <v>-1.03</v>
      </c>
      <c r="BY1873">
        <v>1.1499999999999999</v>
      </c>
      <c r="BZ1873">
        <v>0.37</v>
      </c>
      <c r="CA1873">
        <v>-0.72</v>
      </c>
      <c r="CB1873">
        <v>-0.54</v>
      </c>
      <c r="CC1873">
        <v>-1.02</v>
      </c>
      <c r="CD1873">
        <v>0.12</v>
      </c>
      <c r="CE1873">
        <v>-0.75</v>
      </c>
      <c r="CF1873">
        <v>-0.56000000000000005</v>
      </c>
      <c r="CG1873">
        <v>0</v>
      </c>
      <c r="CH1873">
        <v>1</v>
      </c>
      <c r="CI1873">
        <v>0</v>
      </c>
      <c r="CJ1873">
        <v>-1.6</v>
      </c>
      <c r="CK1873">
        <v>92</v>
      </c>
      <c r="CL1873">
        <v>-0.6</v>
      </c>
      <c r="CM1873">
        <v>90</v>
      </c>
      <c r="CN1873">
        <v>-0.12</v>
      </c>
      <c r="CO1873">
        <v>89</v>
      </c>
      <c r="CP1873">
        <v>-7.4</v>
      </c>
      <c r="CQ1873">
        <v>89</v>
      </c>
      <c r="CR1873">
        <v>0</v>
      </c>
      <c r="CS1873">
        <v>0</v>
      </c>
      <c r="CT1873">
        <v>-1.4</v>
      </c>
      <c r="CU1873">
        <v>86</v>
      </c>
      <c r="CV1873">
        <v>0.11</v>
      </c>
      <c r="CW1873">
        <v>44</v>
      </c>
      <c r="CX1873" t="s">
        <v>4130</v>
      </c>
    </row>
    <row r="1874" spans="1:102" x14ac:dyDescent="0.3">
      <c r="A1874" t="str">
        <f>HYPERLINK("https://webapp.icbf.com/v2/app/bull-search/view/77859781","BLV")</f>
        <v>BLV</v>
      </c>
      <c r="B1874" t="s">
        <v>820</v>
      </c>
      <c r="C1874" t="s">
        <v>821</v>
      </c>
      <c r="D1874" s="1">
        <v>32878</v>
      </c>
      <c r="E1874" t="s">
        <v>92</v>
      </c>
      <c r="F1874">
        <v>63</v>
      </c>
      <c r="G1874" t="s">
        <v>93</v>
      </c>
      <c r="H1874">
        <v>79.81</v>
      </c>
      <c r="I1874">
        <v>56</v>
      </c>
      <c r="J1874">
        <v>-16.850000000000001</v>
      </c>
      <c r="K1874">
        <v>72</v>
      </c>
      <c r="L1874">
        <v>59.78</v>
      </c>
      <c r="M1874">
        <v>47</v>
      </c>
      <c r="N1874">
        <v>21.35</v>
      </c>
      <c r="O1874">
        <v>44</v>
      </c>
      <c r="P1874">
        <v>-17.48</v>
      </c>
      <c r="Q1874">
        <v>55</v>
      </c>
      <c r="R1874">
        <v>1.25</v>
      </c>
      <c r="S1874">
        <v>47</v>
      </c>
      <c r="T1874">
        <v>35.36</v>
      </c>
      <c r="U1874">
        <v>56</v>
      </c>
      <c r="V1874">
        <v>-3.6</v>
      </c>
      <c r="W1874">
        <v>35</v>
      </c>
      <c r="X1874" t="s">
        <v>94</v>
      </c>
      <c r="Y1874" t="s">
        <v>95</v>
      </c>
      <c r="Z1874" t="s">
        <v>96</v>
      </c>
      <c r="AA1874" t="s">
        <v>638</v>
      </c>
      <c r="AB1874" t="s">
        <v>822</v>
      </c>
      <c r="AC1874">
        <v>14</v>
      </c>
      <c r="AD1874">
        <v>10</v>
      </c>
      <c r="AE1874">
        <v>72</v>
      </c>
      <c r="AF1874">
        <v>-255.59</v>
      </c>
      <c r="AG1874">
        <v>2.38</v>
      </c>
      <c r="AH1874">
        <v>-7.62</v>
      </c>
      <c r="AI1874">
        <v>0.21</v>
      </c>
      <c r="AJ1874">
        <v>0.02</v>
      </c>
      <c r="AK1874">
        <v>47</v>
      </c>
      <c r="AL1874">
        <v>34</v>
      </c>
      <c r="AM1874">
        <v>12</v>
      </c>
      <c r="AN1874">
        <v>-3.04</v>
      </c>
      <c r="AO1874">
        <v>1.73</v>
      </c>
      <c r="AP1874">
        <v>3</v>
      </c>
      <c r="AQ1874">
        <v>3</v>
      </c>
      <c r="AR1874">
        <v>5.75</v>
      </c>
      <c r="AS1874">
        <v>22</v>
      </c>
      <c r="AT1874">
        <v>2.34</v>
      </c>
      <c r="AU1874">
        <v>37</v>
      </c>
      <c r="AV1874">
        <v>-1</v>
      </c>
      <c r="AW1874">
        <v>56</v>
      </c>
      <c r="AX1874">
        <v>-0.14000000000000001</v>
      </c>
      <c r="AY1874">
        <v>53</v>
      </c>
      <c r="AZ1874">
        <v>5.71</v>
      </c>
      <c r="BA1874">
        <v>23</v>
      </c>
      <c r="BB1874">
        <v>4.72</v>
      </c>
      <c r="BC1874">
        <v>32</v>
      </c>
      <c r="BD1874">
        <v>0.05</v>
      </c>
      <c r="BE1874">
        <v>0.02</v>
      </c>
      <c r="BF1874">
        <v>-0.15</v>
      </c>
      <c r="BG1874">
        <v>58</v>
      </c>
      <c r="BH1874">
        <v>-7.0000000000000007E-2</v>
      </c>
      <c r="BI1874">
        <v>3.51</v>
      </c>
      <c r="BJ1874">
        <v>0</v>
      </c>
      <c r="BK1874">
        <v>0</v>
      </c>
      <c r="BL1874">
        <v>-1.27</v>
      </c>
      <c r="BM1874">
        <v>-0.22</v>
      </c>
      <c r="BN1874">
        <v>-1.2</v>
      </c>
      <c r="BO1874">
        <v>-1.07</v>
      </c>
      <c r="BP1874">
        <v>-0.28999999999999998</v>
      </c>
      <c r="BQ1874">
        <v>-0.85</v>
      </c>
      <c r="BR1874">
        <v>-0.8</v>
      </c>
      <c r="BS1874">
        <v>0.62</v>
      </c>
      <c r="BT1874">
        <v>0.63</v>
      </c>
      <c r="BU1874">
        <v>-0.83</v>
      </c>
      <c r="BV1874">
        <v>-1.18</v>
      </c>
      <c r="BW1874">
        <v>-1.03</v>
      </c>
      <c r="BX1874">
        <v>-0.22</v>
      </c>
      <c r="BY1874">
        <v>0.28999999999999998</v>
      </c>
      <c r="BZ1874">
        <v>-0.18</v>
      </c>
      <c r="CA1874">
        <v>-0.96</v>
      </c>
      <c r="CB1874">
        <v>-0.97</v>
      </c>
      <c r="CC1874">
        <v>-0.63</v>
      </c>
      <c r="CD1874">
        <v>0.3</v>
      </c>
      <c r="CE1874">
        <v>-0.84</v>
      </c>
      <c r="CF1874">
        <v>-1.33</v>
      </c>
      <c r="CG1874">
        <v>0</v>
      </c>
      <c r="CH1874">
        <v>-0.63</v>
      </c>
      <c r="CI1874">
        <v>0</v>
      </c>
      <c r="CJ1874">
        <v>-11.1</v>
      </c>
      <c r="CK1874">
        <v>57</v>
      </c>
      <c r="CL1874">
        <v>-7.0000000000000007E-2</v>
      </c>
      <c r="CM1874">
        <v>52</v>
      </c>
      <c r="CN1874">
        <v>-0.2</v>
      </c>
      <c r="CO1874">
        <v>48</v>
      </c>
      <c r="CP1874">
        <v>-25.2</v>
      </c>
      <c r="CQ1874">
        <v>59</v>
      </c>
      <c r="CR1874">
        <v>0</v>
      </c>
      <c r="CS1874">
        <v>0</v>
      </c>
      <c r="CT1874">
        <v>-34</v>
      </c>
      <c r="CU1874">
        <v>56</v>
      </c>
      <c r="CV1874">
        <v>-0.25</v>
      </c>
      <c r="CW1874">
        <v>15</v>
      </c>
      <c r="CX1874" t="s">
        <v>823</v>
      </c>
    </row>
    <row r="1875" spans="1:102" x14ac:dyDescent="0.3">
      <c r="A1875" t="str">
        <f>HYPERLINK("https://webapp.icbf.com/v2/app/bull-search/view/1231258369","S3063")</f>
        <v>S3063</v>
      </c>
      <c r="B1875" t="s">
        <v>15684</v>
      </c>
      <c r="C1875" t="s">
        <v>15685</v>
      </c>
      <c r="D1875" s="1">
        <v>41520</v>
      </c>
      <c r="E1875" t="s">
        <v>92</v>
      </c>
      <c r="F1875">
        <v>100</v>
      </c>
      <c r="G1875" t="s">
        <v>109</v>
      </c>
      <c r="H1875">
        <v>79.81</v>
      </c>
      <c r="I1875">
        <v>60</v>
      </c>
      <c r="J1875">
        <v>75.459999999999994</v>
      </c>
      <c r="K1875">
        <v>81</v>
      </c>
      <c r="L1875">
        <v>-30.23</v>
      </c>
      <c r="M1875">
        <v>75</v>
      </c>
      <c r="N1875">
        <v>37.68</v>
      </c>
      <c r="O1875">
        <v>36</v>
      </c>
      <c r="P1875">
        <v>-8.6300000000000008</v>
      </c>
      <c r="Q1875">
        <v>18</v>
      </c>
      <c r="R1875">
        <v>7.65</v>
      </c>
      <c r="S1875">
        <v>53</v>
      </c>
      <c r="T1875">
        <v>-0.75</v>
      </c>
      <c r="U1875">
        <v>14</v>
      </c>
      <c r="V1875">
        <v>-1.37</v>
      </c>
      <c r="W1875">
        <v>12</v>
      </c>
      <c r="X1875" t="s">
        <v>110</v>
      </c>
      <c r="Y1875" t="s">
        <v>411</v>
      </c>
      <c r="Z1875" t="s">
        <v>96</v>
      </c>
      <c r="AA1875" t="s">
        <v>2395</v>
      </c>
      <c r="AB1875" t="s">
        <v>13280</v>
      </c>
      <c r="AC1875">
        <v>0</v>
      </c>
      <c r="AD1875">
        <v>0</v>
      </c>
      <c r="AE1875">
        <v>81</v>
      </c>
      <c r="AF1875">
        <v>536.04</v>
      </c>
      <c r="AG1875">
        <v>16.59</v>
      </c>
      <c r="AH1875">
        <v>15.17</v>
      </c>
      <c r="AI1875">
        <v>-7.0000000000000007E-2</v>
      </c>
      <c r="AJ1875">
        <v>-0.05</v>
      </c>
      <c r="AK1875">
        <v>75</v>
      </c>
      <c r="AL1875">
        <v>0</v>
      </c>
      <c r="AM1875">
        <v>0</v>
      </c>
      <c r="AN1875">
        <v>4.03</v>
      </c>
      <c r="AO1875">
        <v>1.65</v>
      </c>
      <c r="AP1875">
        <v>3</v>
      </c>
      <c r="AQ1875">
        <v>0</v>
      </c>
      <c r="AR1875">
        <v>4.68</v>
      </c>
      <c r="AS1875">
        <v>17</v>
      </c>
      <c r="AT1875">
        <v>2.2000000000000002</v>
      </c>
      <c r="AU1875">
        <v>89</v>
      </c>
      <c r="AV1875">
        <v>-2.4300000000000002</v>
      </c>
      <c r="AW1875">
        <v>21</v>
      </c>
      <c r="AX1875">
        <v>-0.84</v>
      </c>
      <c r="AY1875">
        <v>25</v>
      </c>
      <c r="AZ1875">
        <v>6.03</v>
      </c>
      <c r="BA1875">
        <v>12</v>
      </c>
      <c r="BB1875">
        <v>4.5999999999999996</v>
      </c>
      <c r="BC1875">
        <v>10</v>
      </c>
      <c r="BD1875">
        <v>-0.03</v>
      </c>
      <c r="BE1875">
        <v>-0.04</v>
      </c>
      <c r="BF1875">
        <v>-0.05</v>
      </c>
      <c r="BG1875">
        <v>87</v>
      </c>
      <c r="BH1875">
        <v>-0.02</v>
      </c>
      <c r="BI1875">
        <v>2.09</v>
      </c>
      <c r="BJ1875">
        <v>0</v>
      </c>
      <c r="BK1875">
        <v>0</v>
      </c>
      <c r="BL1875">
        <v>1.22</v>
      </c>
      <c r="BM1875">
        <v>-0.14000000000000001</v>
      </c>
      <c r="BN1875">
        <v>1.72</v>
      </c>
      <c r="BO1875">
        <v>2.14</v>
      </c>
      <c r="BP1875">
        <v>0.48</v>
      </c>
      <c r="BQ1875">
        <v>0.94</v>
      </c>
      <c r="BR1875">
        <v>-0.72</v>
      </c>
      <c r="BS1875">
        <v>3.25</v>
      </c>
      <c r="BT1875">
        <v>0.83</v>
      </c>
      <c r="BU1875">
        <v>3.01</v>
      </c>
      <c r="BV1875">
        <v>3.67</v>
      </c>
      <c r="BW1875">
        <v>2.94</v>
      </c>
      <c r="BX1875">
        <v>1.52</v>
      </c>
      <c r="BY1875">
        <v>0.89</v>
      </c>
      <c r="BZ1875">
        <v>1.9</v>
      </c>
      <c r="CA1875">
        <v>3.33</v>
      </c>
      <c r="CB1875">
        <v>2.84</v>
      </c>
      <c r="CC1875">
        <v>3.08</v>
      </c>
      <c r="CD1875">
        <v>-1.1399999999999999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-2.85</v>
      </c>
      <c r="CK1875">
        <v>19</v>
      </c>
      <c r="CL1875">
        <v>-1.1499999999999999</v>
      </c>
      <c r="CM1875">
        <v>18</v>
      </c>
      <c r="CN1875">
        <v>-0.62</v>
      </c>
      <c r="CO1875">
        <v>18</v>
      </c>
      <c r="CP1875">
        <v>-0.6</v>
      </c>
      <c r="CQ1875">
        <v>16</v>
      </c>
      <c r="CR1875">
        <v>0</v>
      </c>
      <c r="CS1875">
        <v>0</v>
      </c>
      <c r="CT1875">
        <v>14.8</v>
      </c>
      <c r="CU1875">
        <v>14</v>
      </c>
      <c r="CV1875">
        <v>0.3</v>
      </c>
      <c r="CW1875">
        <v>6</v>
      </c>
      <c r="CX1875" t="s">
        <v>348</v>
      </c>
    </row>
    <row r="1876" spans="1:102" x14ac:dyDescent="0.3">
      <c r="A1876" t="str">
        <f>HYPERLINK("https://webapp.icbf.com/v2/app/bull-search/view/444598492","PZO")</f>
        <v>PZO</v>
      </c>
      <c r="B1876" t="s">
        <v>214</v>
      </c>
      <c r="C1876" t="s">
        <v>215</v>
      </c>
      <c r="D1876" s="1">
        <v>36173</v>
      </c>
      <c r="E1876" t="s">
        <v>92</v>
      </c>
      <c r="F1876">
        <v>100</v>
      </c>
      <c r="G1876" t="s">
        <v>93</v>
      </c>
      <c r="H1876">
        <v>79.56</v>
      </c>
      <c r="I1876">
        <v>96</v>
      </c>
      <c r="J1876">
        <v>56.12</v>
      </c>
      <c r="K1876">
        <v>99</v>
      </c>
      <c r="L1876">
        <v>-12.42</v>
      </c>
      <c r="M1876">
        <v>92</v>
      </c>
      <c r="N1876">
        <v>27.79</v>
      </c>
      <c r="O1876">
        <v>96</v>
      </c>
      <c r="P1876">
        <v>-7.62</v>
      </c>
      <c r="Q1876">
        <v>99</v>
      </c>
      <c r="R1876">
        <v>-0.72</v>
      </c>
      <c r="S1876">
        <v>92</v>
      </c>
      <c r="T1876">
        <v>5.0199999999999996</v>
      </c>
      <c r="U1876">
        <v>97</v>
      </c>
      <c r="V1876">
        <v>11.39</v>
      </c>
      <c r="W1876">
        <v>94</v>
      </c>
      <c r="X1876" t="s">
        <v>102</v>
      </c>
      <c r="Y1876" t="s">
        <v>95</v>
      </c>
      <c r="Z1876" t="s">
        <v>96</v>
      </c>
      <c r="AA1876" t="s">
        <v>216</v>
      </c>
      <c r="AB1876" t="s">
        <v>217</v>
      </c>
      <c r="AC1876">
        <v>464</v>
      </c>
      <c r="AD1876">
        <v>161</v>
      </c>
      <c r="AE1876">
        <v>99</v>
      </c>
      <c r="AF1876">
        <v>416.44</v>
      </c>
      <c r="AG1876">
        <v>8.73</v>
      </c>
      <c r="AH1876">
        <v>12.83</v>
      </c>
      <c r="AI1876">
        <v>-0.12</v>
      </c>
      <c r="AJ1876">
        <v>-0.02</v>
      </c>
      <c r="AK1876">
        <v>92</v>
      </c>
      <c r="AL1876">
        <v>599</v>
      </c>
      <c r="AM1876">
        <v>199</v>
      </c>
      <c r="AN1876">
        <v>0.7</v>
      </c>
      <c r="AO1876">
        <v>-0.28999999999999998</v>
      </c>
      <c r="AP1876">
        <v>964</v>
      </c>
      <c r="AQ1876">
        <v>7</v>
      </c>
      <c r="AR1876">
        <v>7.88</v>
      </c>
      <c r="AS1876">
        <v>92</v>
      </c>
      <c r="AT1876">
        <v>2.88</v>
      </c>
      <c r="AU1876">
        <v>96</v>
      </c>
      <c r="AV1876">
        <v>-3.62</v>
      </c>
      <c r="AW1876">
        <v>99</v>
      </c>
      <c r="AX1876">
        <v>-0.39</v>
      </c>
      <c r="AY1876">
        <v>96</v>
      </c>
      <c r="AZ1876">
        <v>6.87</v>
      </c>
      <c r="BA1876">
        <v>87</v>
      </c>
      <c r="BB1876">
        <v>5.52</v>
      </c>
      <c r="BC1876">
        <v>89</v>
      </c>
      <c r="BD1876">
        <v>0.01</v>
      </c>
      <c r="BE1876">
        <v>0</v>
      </c>
      <c r="BF1876">
        <v>0</v>
      </c>
      <c r="BG1876">
        <v>96</v>
      </c>
      <c r="BH1876">
        <v>0.19</v>
      </c>
      <c r="BI1876">
        <v>-14.77</v>
      </c>
      <c r="BJ1876">
        <v>39</v>
      </c>
      <c r="BK1876">
        <v>17</v>
      </c>
      <c r="BL1876">
        <v>0.72</v>
      </c>
      <c r="BM1876">
        <v>0.54</v>
      </c>
      <c r="BN1876">
        <v>0.6</v>
      </c>
      <c r="BO1876">
        <v>0.45</v>
      </c>
      <c r="BP1876">
        <v>0.82</v>
      </c>
      <c r="BQ1876">
        <v>0.89</v>
      </c>
      <c r="BR1876">
        <v>2.2200000000000002</v>
      </c>
      <c r="BS1876">
        <v>-3.41</v>
      </c>
      <c r="BT1876">
        <v>-2</v>
      </c>
      <c r="BU1876">
        <v>0.3</v>
      </c>
      <c r="BV1876">
        <v>0.7</v>
      </c>
      <c r="BW1876">
        <v>-0.16</v>
      </c>
      <c r="BX1876">
        <v>0.6</v>
      </c>
      <c r="BY1876">
        <v>-0.65</v>
      </c>
      <c r="BZ1876">
        <v>0.63</v>
      </c>
      <c r="CA1876">
        <v>-0.73</v>
      </c>
      <c r="CB1876">
        <v>0.28000000000000003</v>
      </c>
      <c r="CC1876">
        <v>-2.5099999999999998</v>
      </c>
      <c r="CD1876">
        <v>0.37</v>
      </c>
      <c r="CE1876">
        <v>-0.08</v>
      </c>
      <c r="CF1876">
        <v>1.05</v>
      </c>
      <c r="CG1876">
        <v>0</v>
      </c>
      <c r="CH1876">
        <v>-0.48</v>
      </c>
      <c r="CI1876">
        <v>0</v>
      </c>
      <c r="CJ1876">
        <v>-0.1</v>
      </c>
      <c r="CK1876">
        <v>99</v>
      </c>
      <c r="CL1876">
        <v>-0.79</v>
      </c>
      <c r="CM1876">
        <v>99</v>
      </c>
      <c r="CN1876">
        <v>-0.11</v>
      </c>
      <c r="CO1876">
        <v>99</v>
      </c>
      <c r="CP1876">
        <v>-4.0999999999999996</v>
      </c>
      <c r="CQ1876">
        <v>98</v>
      </c>
      <c r="CR1876">
        <v>0</v>
      </c>
      <c r="CS1876">
        <v>0</v>
      </c>
      <c r="CT1876">
        <v>7</v>
      </c>
      <c r="CU1876">
        <v>97</v>
      </c>
      <c r="CV1876">
        <v>0.19</v>
      </c>
      <c r="CW1876">
        <v>47</v>
      </c>
      <c r="CX1876" t="s">
        <v>218</v>
      </c>
    </row>
    <row r="1877" spans="1:102" x14ac:dyDescent="0.3">
      <c r="A1877" t="str">
        <f>HYPERLINK("https://webapp.icbf.com/v2/app/bull-search/view/77854762","PKM")</f>
        <v>PKM</v>
      </c>
      <c r="B1877" t="s">
        <v>124</v>
      </c>
      <c r="C1877" t="s">
        <v>125</v>
      </c>
      <c r="D1877" s="1">
        <v>32464</v>
      </c>
      <c r="E1877" t="s">
        <v>92</v>
      </c>
      <c r="F1877">
        <v>100</v>
      </c>
      <c r="G1877" t="s">
        <v>93</v>
      </c>
      <c r="H1877">
        <v>79.540000000000006</v>
      </c>
      <c r="I1877">
        <v>92</v>
      </c>
      <c r="J1877">
        <v>14.04</v>
      </c>
      <c r="K1877">
        <v>98</v>
      </c>
      <c r="L1877">
        <v>36.53</v>
      </c>
      <c r="M1877">
        <v>91</v>
      </c>
      <c r="N1877">
        <v>27.04</v>
      </c>
      <c r="O1877">
        <v>85</v>
      </c>
      <c r="P1877">
        <v>-6.05</v>
      </c>
      <c r="Q1877">
        <v>93</v>
      </c>
      <c r="R1877">
        <v>-5.73</v>
      </c>
      <c r="S1877">
        <v>83</v>
      </c>
      <c r="T1877">
        <v>9.09</v>
      </c>
      <c r="U1877">
        <v>88</v>
      </c>
      <c r="V1877">
        <v>4.62</v>
      </c>
      <c r="W1877">
        <v>71</v>
      </c>
      <c r="X1877" t="s">
        <v>94</v>
      </c>
      <c r="Y1877" t="s">
        <v>95</v>
      </c>
      <c r="Z1877" t="s">
        <v>96</v>
      </c>
      <c r="AA1877" t="s">
        <v>126</v>
      </c>
      <c r="AB1877" t="s">
        <v>127</v>
      </c>
      <c r="AC1877">
        <v>254</v>
      </c>
      <c r="AD1877">
        <v>152</v>
      </c>
      <c r="AE1877">
        <v>98</v>
      </c>
      <c r="AF1877">
        <v>5.29</v>
      </c>
      <c r="AG1877">
        <v>5.45</v>
      </c>
      <c r="AH1877">
        <v>0.54</v>
      </c>
      <c r="AI1877">
        <v>0.09</v>
      </c>
      <c r="AJ1877">
        <v>0.01</v>
      </c>
      <c r="AK1877">
        <v>91</v>
      </c>
      <c r="AL1877">
        <v>295</v>
      </c>
      <c r="AM1877">
        <v>167</v>
      </c>
      <c r="AN1877">
        <v>-1.48</v>
      </c>
      <c r="AO1877">
        <v>1.44</v>
      </c>
      <c r="AP1877">
        <v>9</v>
      </c>
      <c r="AQ1877">
        <v>0</v>
      </c>
      <c r="AR1877">
        <v>4.7300000000000004</v>
      </c>
      <c r="AS1877">
        <v>68</v>
      </c>
      <c r="AT1877">
        <v>2.35</v>
      </c>
      <c r="AU1877">
        <v>88</v>
      </c>
      <c r="AV1877">
        <v>-1.34</v>
      </c>
      <c r="AW1877">
        <v>89</v>
      </c>
      <c r="AX1877">
        <v>-0.38</v>
      </c>
      <c r="AY1877">
        <v>90</v>
      </c>
      <c r="AZ1877">
        <v>5.62</v>
      </c>
      <c r="BA1877">
        <v>63</v>
      </c>
      <c r="BB1877">
        <v>4.66</v>
      </c>
      <c r="BC1877">
        <v>80</v>
      </c>
      <c r="BD1877">
        <v>0.01</v>
      </c>
      <c r="BE1877">
        <v>0.05</v>
      </c>
      <c r="BF1877">
        <v>0.02</v>
      </c>
      <c r="BG1877">
        <v>95</v>
      </c>
      <c r="BH1877">
        <v>0.3</v>
      </c>
      <c r="BI1877">
        <v>19.79</v>
      </c>
      <c r="BJ1877">
        <v>13</v>
      </c>
      <c r="BK1877">
        <v>11</v>
      </c>
      <c r="BL1877">
        <v>-0.18</v>
      </c>
      <c r="BM1877">
        <v>0.87</v>
      </c>
      <c r="BN1877">
        <v>-1.31</v>
      </c>
      <c r="BO1877">
        <v>-1.23</v>
      </c>
      <c r="BP1877">
        <v>0.36</v>
      </c>
      <c r="BQ1877">
        <v>-1.66</v>
      </c>
      <c r="BR1877">
        <v>-1.82</v>
      </c>
      <c r="BS1877">
        <v>2.04</v>
      </c>
      <c r="BT1877">
        <v>1.85</v>
      </c>
      <c r="BU1877">
        <v>0.52</v>
      </c>
      <c r="BV1877">
        <v>-0.28999999999999998</v>
      </c>
      <c r="BW1877">
        <v>-0.62</v>
      </c>
      <c r="BX1877">
        <v>0.21</v>
      </c>
      <c r="BY1877">
        <v>-1.24</v>
      </c>
      <c r="BZ1877">
        <v>0</v>
      </c>
      <c r="CA1877">
        <v>0.76</v>
      </c>
      <c r="CB1877">
        <v>-0.15</v>
      </c>
      <c r="CC1877">
        <v>1.75</v>
      </c>
      <c r="CD1877">
        <v>1.65</v>
      </c>
      <c r="CE1877">
        <v>-0.61</v>
      </c>
      <c r="CF1877">
        <v>-0.68</v>
      </c>
      <c r="CG1877">
        <v>0</v>
      </c>
      <c r="CH1877">
        <v>-1.3</v>
      </c>
      <c r="CI1877">
        <v>0</v>
      </c>
      <c r="CJ1877">
        <v>-2.1</v>
      </c>
      <c r="CK1877">
        <v>93</v>
      </c>
      <c r="CL1877">
        <v>-0.5</v>
      </c>
      <c r="CM1877">
        <v>92</v>
      </c>
      <c r="CN1877">
        <v>-0.21</v>
      </c>
      <c r="CO1877">
        <v>91</v>
      </c>
      <c r="CP1877">
        <v>-3</v>
      </c>
      <c r="CQ1877">
        <v>95</v>
      </c>
      <c r="CR1877">
        <v>0</v>
      </c>
      <c r="CS1877">
        <v>0</v>
      </c>
      <c r="CT1877">
        <v>1.5</v>
      </c>
      <c r="CU1877">
        <v>88</v>
      </c>
      <c r="CV1877">
        <v>0.05</v>
      </c>
      <c r="CW1877">
        <v>44</v>
      </c>
      <c r="CX1877" t="s">
        <v>128</v>
      </c>
    </row>
    <row r="1878" spans="1:102" x14ac:dyDescent="0.3">
      <c r="A1878" t="str">
        <f>HYPERLINK("https://webapp.icbf.com/v2/app/bull-search/view/1337275862","FR2346")</f>
        <v>FR2346</v>
      </c>
      <c r="B1878" t="s">
        <v>2230</v>
      </c>
      <c r="C1878" t="s">
        <v>2231</v>
      </c>
      <c r="D1878" s="1">
        <v>41855</v>
      </c>
      <c r="E1878" t="s">
        <v>92</v>
      </c>
      <c r="F1878">
        <v>100</v>
      </c>
      <c r="G1878" t="s">
        <v>109</v>
      </c>
      <c r="H1878">
        <v>79.540000000000006</v>
      </c>
      <c r="I1878">
        <v>55</v>
      </c>
      <c r="J1878">
        <v>99.78</v>
      </c>
      <c r="K1878">
        <v>74</v>
      </c>
      <c r="L1878">
        <v>-31.56</v>
      </c>
      <c r="M1878">
        <v>59</v>
      </c>
      <c r="N1878">
        <v>8.8800000000000008</v>
      </c>
      <c r="O1878">
        <v>62</v>
      </c>
      <c r="P1878">
        <v>-3.92</v>
      </c>
      <c r="Q1878">
        <v>29</v>
      </c>
      <c r="R1878">
        <v>4.16</v>
      </c>
      <c r="S1878">
        <v>46</v>
      </c>
      <c r="T1878">
        <v>1.32</v>
      </c>
      <c r="U1878">
        <v>12</v>
      </c>
      <c r="V1878">
        <v>0.88</v>
      </c>
      <c r="W1878">
        <v>7</v>
      </c>
      <c r="X1878" t="s">
        <v>428</v>
      </c>
      <c r="Y1878" t="s">
        <v>429</v>
      </c>
      <c r="Z1878" t="s">
        <v>96</v>
      </c>
      <c r="AA1878" t="s">
        <v>2232</v>
      </c>
      <c r="AB1878" t="s">
        <v>2190</v>
      </c>
      <c r="AC1878">
        <v>0</v>
      </c>
      <c r="AD1878">
        <v>0</v>
      </c>
      <c r="AE1878">
        <v>74</v>
      </c>
      <c r="AF1878">
        <v>780.87</v>
      </c>
      <c r="AG1878">
        <v>22.11</v>
      </c>
      <c r="AH1878">
        <v>21.1</v>
      </c>
      <c r="AI1878">
        <v>-0.12</v>
      </c>
      <c r="AJ1878">
        <v>-0.08</v>
      </c>
      <c r="AK1878">
        <v>59</v>
      </c>
      <c r="AL1878">
        <v>0</v>
      </c>
      <c r="AM1878">
        <v>0</v>
      </c>
      <c r="AN1878">
        <v>3.05</v>
      </c>
      <c r="AO1878">
        <v>0.55000000000000004</v>
      </c>
      <c r="AP1878">
        <v>78</v>
      </c>
      <c r="AQ1878">
        <v>0</v>
      </c>
      <c r="AR1878">
        <v>10.33</v>
      </c>
      <c r="AS1878">
        <v>24</v>
      </c>
      <c r="AT1878">
        <v>4.04</v>
      </c>
      <c r="AU1878">
        <v>86</v>
      </c>
      <c r="AV1878">
        <v>-2.63</v>
      </c>
      <c r="AW1878">
        <v>79</v>
      </c>
      <c r="AX1878">
        <v>-0.84</v>
      </c>
      <c r="AY1878">
        <v>51</v>
      </c>
      <c r="AZ1878">
        <v>5.69</v>
      </c>
      <c r="BA1878">
        <v>11</v>
      </c>
      <c r="BB1878">
        <v>4.58</v>
      </c>
      <c r="BC1878">
        <v>5</v>
      </c>
      <c r="BD1878">
        <v>-0.01</v>
      </c>
      <c r="BE1878">
        <v>-0.01</v>
      </c>
      <c r="BF1878">
        <v>-0.06</v>
      </c>
      <c r="BG1878">
        <v>77</v>
      </c>
      <c r="BH1878">
        <v>0.03</v>
      </c>
      <c r="BI1878">
        <v>0.63</v>
      </c>
      <c r="BJ1878">
        <v>0</v>
      </c>
      <c r="BK1878">
        <v>0</v>
      </c>
      <c r="BL1878">
        <v>1.76</v>
      </c>
      <c r="BM1878">
        <v>0.66</v>
      </c>
      <c r="BN1878">
        <v>1.19</v>
      </c>
      <c r="BO1878">
        <v>1.51</v>
      </c>
      <c r="BP1878">
        <v>-1.47</v>
      </c>
      <c r="BQ1878">
        <v>2.76</v>
      </c>
      <c r="BR1878">
        <v>-0.26</v>
      </c>
      <c r="BS1878">
        <v>1.33</v>
      </c>
      <c r="BT1878">
        <v>1.06</v>
      </c>
      <c r="BU1878">
        <v>2.88</v>
      </c>
      <c r="BV1878">
        <v>3.82</v>
      </c>
      <c r="BW1878">
        <v>2.75</v>
      </c>
      <c r="BX1878">
        <v>1.85</v>
      </c>
      <c r="BY1878">
        <v>1.54</v>
      </c>
      <c r="BZ1878">
        <v>-0.16</v>
      </c>
      <c r="CA1878">
        <v>2.72</v>
      </c>
      <c r="CB1878">
        <v>2.75</v>
      </c>
      <c r="CC1878">
        <v>1.51</v>
      </c>
      <c r="CD1878">
        <v>-0.79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34</v>
      </c>
      <c r="CL1878">
        <v>-1.03</v>
      </c>
      <c r="CM1878">
        <v>24</v>
      </c>
      <c r="CN1878">
        <v>-0.59</v>
      </c>
      <c r="CO1878">
        <v>24</v>
      </c>
      <c r="CP1878">
        <v>-1.3</v>
      </c>
      <c r="CQ1878">
        <v>16</v>
      </c>
      <c r="CR1878">
        <v>0</v>
      </c>
      <c r="CS1878">
        <v>0</v>
      </c>
      <c r="CT1878">
        <v>12</v>
      </c>
      <c r="CU1878">
        <v>12</v>
      </c>
      <c r="CV1878">
        <v>0.32</v>
      </c>
      <c r="CW1878">
        <v>9</v>
      </c>
      <c r="CX1878" t="s">
        <v>465</v>
      </c>
    </row>
    <row r="1879" spans="1:102" x14ac:dyDescent="0.3">
      <c r="A1879" t="str">
        <f>HYPERLINK("https://webapp.icbf.com/v2/app/bull-search/view/586202562","S791")</f>
        <v>S791</v>
      </c>
      <c r="B1879" t="s">
        <v>14649</v>
      </c>
      <c r="C1879" t="s">
        <v>14650</v>
      </c>
      <c r="D1879" s="1">
        <v>38175</v>
      </c>
      <c r="E1879" t="s">
        <v>92</v>
      </c>
      <c r="F1879">
        <v>100</v>
      </c>
      <c r="G1879" t="s">
        <v>93</v>
      </c>
      <c r="H1879">
        <v>79.319999999999993</v>
      </c>
      <c r="I1879">
        <v>92</v>
      </c>
      <c r="J1879">
        <v>34.21</v>
      </c>
      <c r="K1879">
        <v>98</v>
      </c>
      <c r="L1879">
        <v>-5.27</v>
      </c>
      <c r="M1879">
        <v>89</v>
      </c>
      <c r="N1879">
        <v>30.42</v>
      </c>
      <c r="O1879">
        <v>88</v>
      </c>
      <c r="P1879">
        <v>-12.16</v>
      </c>
      <c r="Q1879">
        <v>91</v>
      </c>
      <c r="R1879">
        <v>3.48</v>
      </c>
      <c r="S1879">
        <v>84</v>
      </c>
      <c r="T1879">
        <v>23.74</v>
      </c>
      <c r="U1879">
        <v>89</v>
      </c>
      <c r="V1879">
        <v>4.9000000000000004</v>
      </c>
      <c r="W1879">
        <v>81</v>
      </c>
      <c r="X1879" t="s">
        <v>102</v>
      </c>
      <c r="Y1879" t="s">
        <v>1494</v>
      </c>
      <c r="Z1879" t="s">
        <v>96</v>
      </c>
      <c r="AA1879" t="s">
        <v>277</v>
      </c>
      <c r="AB1879" t="s">
        <v>14651</v>
      </c>
      <c r="AC1879">
        <v>148</v>
      </c>
      <c r="AD1879">
        <v>52</v>
      </c>
      <c r="AE1879">
        <v>98</v>
      </c>
      <c r="AF1879">
        <v>241.94</v>
      </c>
      <c r="AG1879">
        <v>11.99</v>
      </c>
      <c r="AH1879">
        <v>5.28</v>
      </c>
      <c r="AI1879">
        <v>0.04</v>
      </c>
      <c r="AJ1879">
        <v>-0.05</v>
      </c>
      <c r="AK1879">
        <v>89</v>
      </c>
      <c r="AL1879">
        <v>168</v>
      </c>
      <c r="AM1879">
        <v>69</v>
      </c>
      <c r="AN1879">
        <v>1.87</v>
      </c>
      <c r="AO1879">
        <v>1.47</v>
      </c>
      <c r="AP1879">
        <v>159</v>
      </c>
      <c r="AQ1879">
        <v>1</v>
      </c>
      <c r="AR1879">
        <v>5.13</v>
      </c>
      <c r="AS1879">
        <v>88</v>
      </c>
      <c r="AT1879">
        <v>2.27</v>
      </c>
      <c r="AU1879">
        <v>85</v>
      </c>
      <c r="AV1879">
        <v>-2.71</v>
      </c>
      <c r="AW1879">
        <v>95</v>
      </c>
      <c r="AX1879">
        <v>-0.56999999999999995</v>
      </c>
      <c r="AY1879">
        <v>84</v>
      </c>
      <c r="AZ1879">
        <v>7.68</v>
      </c>
      <c r="BA1879">
        <v>74</v>
      </c>
      <c r="BB1879">
        <v>5.56</v>
      </c>
      <c r="BC1879">
        <v>75</v>
      </c>
      <c r="BD1879">
        <v>-0.06</v>
      </c>
      <c r="BE1879">
        <v>0</v>
      </c>
      <c r="BF1879">
        <v>0.02</v>
      </c>
      <c r="BG1879">
        <v>94</v>
      </c>
      <c r="BH1879">
        <v>0.11</v>
      </c>
      <c r="BI1879">
        <v>-3.08</v>
      </c>
      <c r="BJ1879">
        <v>28</v>
      </c>
      <c r="BK1879">
        <v>10</v>
      </c>
      <c r="BL1879">
        <v>0.37</v>
      </c>
      <c r="BM1879">
        <v>-3.49</v>
      </c>
      <c r="BN1879">
        <v>-0.86</v>
      </c>
      <c r="BO1879">
        <v>1.17</v>
      </c>
      <c r="BP1879">
        <v>1.22</v>
      </c>
      <c r="BQ1879">
        <v>-2.68</v>
      </c>
      <c r="BR1879">
        <v>-0.12</v>
      </c>
      <c r="BS1879">
        <v>2.83</v>
      </c>
      <c r="BT1879">
        <v>0.66</v>
      </c>
      <c r="BU1879">
        <v>1.17</v>
      </c>
      <c r="BV1879">
        <v>1.89</v>
      </c>
      <c r="BW1879">
        <v>0.66</v>
      </c>
      <c r="BX1879">
        <v>1</v>
      </c>
      <c r="BY1879">
        <v>0.19</v>
      </c>
      <c r="BZ1879">
        <v>1.03</v>
      </c>
      <c r="CA1879">
        <v>1.68</v>
      </c>
      <c r="CB1879">
        <v>1.24</v>
      </c>
      <c r="CC1879">
        <v>2.11</v>
      </c>
      <c r="CD1879">
        <v>-2.0299999999999998</v>
      </c>
      <c r="CE1879">
        <v>0.8</v>
      </c>
      <c r="CF1879">
        <v>-0.64</v>
      </c>
      <c r="CG1879">
        <v>0</v>
      </c>
      <c r="CH1879">
        <v>0.75</v>
      </c>
      <c r="CI1879">
        <v>0</v>
      </c>
      <c r="CJ1879">
        <v>-3</v>
      </c>
      <c r="CK1879">
        <v>92</v>
      </c>
      <c r="CL1879">
        <v>-0.93</v>
      </c>
      <c r="CM1879">
        <v>91</v>
      </c>
      <c r="CN1879">
        <v>-0.3</v>
      </c>
      <c r="CO1879">
        <v>89</v>
      </c>
      <c r="CP1879">
        <v>-12.9</v>
      </c>
      <c r="CQ1879">
        <v>91</v>
      </c>
      <c r="CR1879">
        <v>0</v>
      </c>
      <c r="CS1879">
        <v>0</v>
      </c>
      <c r="CT1879">
        <v>-18.3</v>
      </c>
      <c r="CU1879">
        <v>89</v>
      </c>
      <c r="CV1879">
        <v>0.19</v>
      </c>
      <c r="CW1879">
        <v>45</v>
      </c>
      <c r="CX1879" t="s">
        <v>291</v>
      </c>
    </row>
    <row r="1880" spans="1:102" x14ac:dyDescent="0.3">
      <c r="A1880" t="str">
        <f>HYPERLINK("https://webapp.icbf.com/v2/app/bull-search/view/448096398","SZU")</f>
        <v>SZU</v>
      </c>
      <c r="B1880" t="s">
        <v>12023</v>
      </c>
      <c r="C1880" t="s">
        <v>12024</v>
      </c>
      <c r="D1880" s="1">
        <v>38778</v>
      </c>
      <c r="E1880" t="s">
        <v>92</v>
      </c>
      <c r="F1880">
        <v>81</v>
      </c>
      <c r="G1880" t="s">
        <v>93</v>
      </c>
      <c r="H1880">
        <v>79.239999999999995</v>
      </c>
      <c r="I1880">
        <v>87</v>
      </c>
      <c r="J1880">
        <v>44.39</v>
      </c>
      <c r="K1880">
        <v>96</v>
      </c>
      <c r="L1880">
        <v>-17.43</v>
      </c>
      <c r="M1880">
        <v>79</v>
      </c>
      <c r="N1880">
        <v>48.17</v>
      </c>
      <c r="O1880">
        <v>84</v>
      </c>
      <c r="P1880">
        <v>-5.17</v>
      </c>
      <c r="Q1880">
        <v>90</v>
      </c>
      <c r="R1880">
        <v>-2.61</v>
      </c>
      <c r="S1880">
        <v>82</v>
      </c>
      <c r="T1880">
        <v>7.46</v>
      </c>
      <c r="U1880">
        <v>85</v>
      </c>
      <c r="V1880">
        <v>4.43</v>
      </c>
      <c r="W1880">
        <v>82</v>
      </c>
      <c r="X1880" t="s">
        <v>94</v>
      </c>
      <c r="Y1880" t="s">
        <v>1251</v>
      </c>
      <c r="Z1880" t="s">
        <v>96</v>
      </c>
      <c r="AA1880" t="s">
        <v>1165</v>
      </c>
      <c r="AB1880" t="s">
        <v>12025</v>
      </c>
      <c r="AC1880">
        <v>69</v>
      </c>
      <c r="AD1880">
        <v>54</v>
      </c>
      <c r="AE1880">
        <v>96</v>
      </c>
      <c r="AF1880">
        <v>-40.200000000000003</v>
      </c>
      <c r="AG1880">
        <v>10.84</v>
      </c>
      <c r="AH1880">
        <v>3.1</v>
      </c>
      <c r="AI1880">
        <v>0.22</v>
      </c>
      <c r="AJ1880">
        <v>0.08</v>
      </c>
      <c r="AK1880">
        <v>79</v>
      </c>
      <c r="AL1880">
        <v>70</v>
      </c>
      <c r="AM1880">
        <v>56</v>
      </c>
      <c r="AN1880">
        <v>1.74</v>
      </c>
      <c r="AO1880">
        <v>0.36</v>
      </c>
      <c r="AP1880">
        <v>152</v>
      </c>
      <c r="AQ1880">
        <v>0</v>
      </c>
      <c r="AR1880">
        <v>4.8499999999999996</v>
      </c>
      <c r="AS1880">
        <v>70</v>
      </c>
      <c r="AT1880">
        <v>1.78</v>
      </c>
      <c r="AU1880">
        <v>86</v>
      </c>
      <c r="AV1880">
        <v>-3.89</v>
      </c>
      <c r="AW1880">
        <v>95</v>
      </c>
      <c r="AX1880">
        <v>-0.84</v>
      </c>
      <c r="AY1880">
        <v>79</v>
      </c>
      <c r="AZ1880">
        <v>6.69</v>
      </c>
      <c r="BA1880">
        <v>66</v>
      </c>
      <c r="BB1880">
        <v>5.09</v>
      </c>
      <c r="BC1880">
        <v>67</v>
      </c>
      <c r="BD1880">
        <v>-0.03</v>
      </c>
      <c r="BE1880">
        <v>0</v>
      </c>
      <c r="BF1880">
        <v>0.11</v>
      </c>
      <c r="BG1880">
        <v>88</v>
      </c>
      <c r="BH1880">
        <v>0.11</v>
      </c>
      <c r="BI1880">
        <v>-1.55</v>
      </c>
      <c r="BJ1880">
        <v>2</v>
      </c>
      <c r="BK1880">
        <v>2</v>
      </c>
      <c r="BL1880">
        <v>-0.44</v>
      </c>
      <c r="BM1880">
        <v>0.09</v>
      </c>
      <c r="BN1880">
        <v>-0.01</v>
      </c>
      <c r="BO1880">
        <v>-0.15</v>
      </c>
      <c r="BP1880">
        <v>2.35</v>
      </c>
      <c r="BQ1880">
        <v>-0.46</v>
      </c>
      <c r="BR1880">
        <v>-0.42</v>
      </c>
      <c r="BS1880">
        <v>-0.51</v>
      </c>
      <c r="BT1880">
        <v>-0.73</v>
      </c>
      <c r="BU1880">
        <v>0.16</v>
      </c>
      <c r="BV1880">
        <v>-0.24</v>
      </c>
      <c r="BW1880">
        <v>0.38</v>
      </c>
      <c r="BX1880">
        <v>-0.43</v>
      </c>
      <c r="BY1880">
        <v>0.15</v>
      </c>
      <c r="BZ1880">
        <v>-1.72</v>
      </c>
      <c r="CA1880">
        <v>0.33</v>
      </c>
      <c r="CB1880">
        <v>0.87</v>
      </c>
      <c r="CC1880">
        <v>-0.76</v>
      </c>
      <c r="CD1880">
        <v>0.27</v>
      </c>
      <c r="CE1880">
        <v>0.28999999999999998</v>
      </c>
      <c r="CF1880">
        <v>0.05</v>
      </c>
      <c r="CG1880">
        <v>0</v>
      </c>
      <c r="CH1880">
        <v>1.03</v>
      </c>
      <c r="CI1880">
        <v>0</v>
      </c>
      <c r="CJ1880">
        <v>-0.3</v>
      </c>
      <c r="CK1880">
        <v>91</v>
      </c>
      <c r="CL1880">
        <v>-0.67</v>
      </c>
      <c r="CM1880">
        <v>89</v>
      </c>
      <c r="CN1880">
        <v>-0.25</v>
      </c>
      <c r="CO1880">
        <v>87</v>
      </c>
      <c r="CP1880">
        <v>-5.0999999999999996</v>
      </c>
      <c r="CQ1880">
        <v>89</v>
      </c>
      <c r="CR1880">
        <v>0</v>
      </c>
      <c r="CS1880">
        <v>0</v>
      </c>
      <c r="CT1880">
        <v>3.7</v>
      </c>
      <c r="CU1880">
        <v>85</v>
      </c>
      <c r="CV1880">
        <v>0.21</v>
      </c>
      <c r="CW1880">
        <v>46</v>
      </c>
      <c r="CX1880" t="s">
        <v>1037</v>
      </c>
    </row>
    <row r="1881" spans="1:102" x14ac:dyDescent="0.3">
      <c r="A1881" t="str">
        <f>HYPERLINK("https://webapp.icbf.com/v2/app/bull-search/view/307655887","KGE")</f>
        <v>KGE</v>
      </c>
      <c r="B1881" t="s">
        <v>15203</v>
      </c>
      <c r="C1881" t="s">
        <v>15204</v>
      </c>
      <c r="D1881" s="1">
        <v>37645</v>
      </c>
      <c r="E1881" t="s">
        <v>92</v>
      </c>
      <c r="F1881">
        <v>100</v>
      </c>
      <c r="G1881" t="s">
        <v>93</v>
      </c>
      <c r="H1881">
        <v>79.16</v>
      </c>
      <c r="I1881">
        <v>87</v>
      </c>
      <c r="J1881">
        <v>42.46</v>
      </c>
      <c r="K1881">
        <v>96</v>
      </c>
      <c r="L1881">
        <v>13.46</v>
      </c>
      <c r="M1881">
        <v>81</v>
      </c>
      <c r="N1881">
        <v>8.7100000000000009</v>
      </c>
      <c r="O1881">
        <v>84</v>
      </c>
      <c r="P1881">
        <v>-7.37</v>
      </c>
      <c r="Q1881">
        <v>89</v>
      </c>
      <c r="R1881">
        <v>14.77</v>
      </c>
      <c r="S1881">
        <v>82</v>
      </c>
      <c r="T1881">
        <v>0.88</v>
      </c>
      <c r="U1881">
        <v>85</v>
      </c>
      <c r="V1881">
        <v>6.25</v>
      </c>
      <c r="W1881">
        <v>79</v>
      </c>
      <c r="X1881" t="s">
        <v>94</v>
      </c>
      <c r="Y1881" t="s">
        <v>2565</v>
      </c>
      <c r="Z1881" t="s">
        <v>96</v>
      </c>
      <c r="AA1881" t="s">
        <v>4023</v>
      </c>
      <c r="AB1881" t="s">
        <v>11521</v>
      </c>
      <c r="AC1881">
        <v>71</v>
      </c>
      <c r="AD1881">
        <v>48</v>
      </c>
      <c r="AE1881">
        <v>96</v>
      </c>
      <c r="AF1881">
        <v>38.4</v>
      </c>
      <c r="AG1881">
        <v>9.41</v>
      </c>
      <c r="AH1881">
        <v>4.4800000000000004</v>
      </c>
      <c r="AI1881">
        <v>0.14000000000000001</v>
      </c>
      <c r="AJ1881">
        <v>0.06</v>
      </c>
      <c r="AK1881">
        <v>81</v>
      </c>
      <c r="AL1881">
        <v>73</v>
      </c>
      <c r="AM1881">
        <v>49</v>
      </c>
      <c r="AN1881">
        <v>-0.98</v>
      </c>
      <c r="AO1881">
        <v>0.09</v>
      </c>
      <c r="AP1881">
        <v>133</v>
      </c>
      <c r="AQ1881">
        <v>4</v>
      </c>
      <c r="AR1881">
        <v>7.91</v>
      </c>
      <c r="AS1881">
        <v>71</v>
      </c>
      <c r="AT1881">
        <v>3.97</v>
      </c>
      <c r="AU1881">
        <v>86</v>
      </c>
      <c r="AV1881">
        <v>-1.53</v>
      </c>
      <c r="AW1881">
        <v>92</v>
      </c>
      <c r="AX1881">
        <v>-0.09</v>
      </c>
      <c r="AY1881">
        <v>78</v>
      </c>
      <c r="AZ1881">
        <v>5.08</v>
      </c>
      <c r="BA1881">
        <v>66</v>
      </c>
      <c r="BB1881">
        <v>4.29</v>
      </c>
      <c r="BC1881">
        <v>69</v>
      </c>
      <c r="BD1881">
        <v>-7.0000000000000007E-2</v>
      </c>
      <c r="BE1881">
        <v>-7.0000000000000007E-2</v>
      </c>
      <c r="BF1881">
        <v>-0.09</v>
      </c>
      <c r="BG1881">
        <v>88</v>
      </c>
      <c r="BH1881">
        <v>0.19</v>
      </c>
      <c r="BI1881">
        <v>1.81</v>
      </c>
      <c r="BJ1881">
        <v>15</v>
      </c>
      <c r="BK1881">
        <v>11</v>
      </c>
      <c r="BL1881">
        <v>0.55000000000000004</v>
      </c>
      <c r="BM1881">
        <v>1.05</v>
      </c>
      <c r="BN1881">
        <v>0.81</v>
      </c>
      <c r="BO1881">
        <v>0.32</v>
      </c>
      <c r="BP1881">
        <v>-0.61</v>
      </c>
      <c r="BQ1881">
        <v>0.51</v>
      </c>
      <c r="BR1881">
        <v>1.83</v>
      </c>
      <c r="BS1881">
        <v>0.03</v>
      </c>
      <c r="BT1881">
        <v>-1.32</v>
      </c>
      <c r="BU1881">
        <v>1.67</v>
      </c>
      <c r="BV1881">
        <v>0.44</v>
      </c>
      <c r="BW1881">
        <v>0.51</v>
      </c>
      <c r="BX1881">
        <v>0.55000000000000004</v>
      </c>
      <c r="BY1881">
        <v>0.97</v>
      </c>
      <c r="BZ1881">
        <v>0.12</v>
      </c>
      <c r="CA1881">
        <v>1.17</v>
      </c>
      <c r="CB1881">
        <v>1.44</v>
      </c>
      <c r="CC1881">
        <v>0.01</v>
      </c>
      <c r="CD1881">
        <v>0.15</v>
      </c>
      <c r="CE1881">
        <v>-0.11</v>
      </c>
      <c r="CF1881">
        <v>-0.1</v>
      </c>
      <c r="CG1881">
        <v>0</v>
      </c>
      <c r="CH1881">
        <v>1.89</v>
      </c>
      <c r="CI1881">
        <v>0</v>
      </c>
      <c r="CJ1881">
        <v>-1.6</v>
      </c>
      <c r="CK1881">
        <v>90</v>
      </c>
      <c r="CL1881">
        <v>-0.93</v>
      </c>
      <c r="CM1881">
        <v>88</v>
      </c>
      <c r="CN1881">
        <v>-0.38</v>
      </c>
      <c r="CO1881">
        <v>87</v>
      </c>
      <c r="CP1881">
        <v>-0.1</v>
      </c>
      <c r="CQ1881">
        <v>88</v>
      </c>
      <c r="CR1881">
        <v>0</v>
      </c>
      <c r="CS1881">
        <v>0</v>
      </c>
      <c r="CT1881">
        <v>12.6</v>
      </c>
      <c r="CU1881">
        <v>85</v>
      </c>
      <c r="CV1881">
        <v>0.19</v>
      </c>
      <c r="CW1881">
        <v>44</v>
      </c>
      <c r="CX1881" t="s">
        <v>11522</v>
      </c>
    </row>
    <row r="1882" spans="1:102" x14ac:dyDescent="0.3">
      <c r="A1882" t="str">
        <f>HYPERLINK("https://webapp.icbf.com/v2/app/bull-search/view/77855227","MLA")</f>
        <v>MLA</v>
      </c>
      <c r="B1882" t="s">
        <v>3670</v>
      </c>
      <c r="C1882" t="s">
        <v>3671</v>
      </c>
      <c r="D1882" s="1">
        <v>33649</v>
      </c>
      <c r="E1882" t="s">
        <v>108</v>
      </c>
      <c r="F1882">
        <v>0</v>
      </c>
      <c r="G1882" t="s">
        <v>93</v>
      </c>
      <c r="H1882">
        <v>79.099999999999994</v>
      </c>
      <c r="I1882">
        <v>76</v>
      </c>
      <c r="J1882">
        <v>-17.32</v>
      </c>
      <c r="K1882">
        <v>91</v>
      </c>
      <c r="L1882">
        <v>86.32</v>
      </c>
      <c r="M1882">
        <v>67</v>
      </c>
      <c r="N1882">
        <v>-7.2</v>
      </c>
      <c r="O1882">
        <v>69</v>
      </c>
      <c r="P1882">
        <v>-10.02</v>
      </c>
      <c r="Q1882">
        <v>80</v>
      </c>
      <c r="R1882">
        <v>5.26</v>
      </c>
      <c r="S1882">
        <v>69</v>
      </c>
      <c r="T1882">
        <v>15.68</v>
      </c>
      <c r="U1882">
        <v>74</v>
      </c>
      <c r="V1882">
        <v>6.38</v>
      </c>
      <c r="W1882">
        <v>48</v>
      </c>
      <c r="X1882" t="s">
        <v>94</v>
      </c>
      <c r="Y1882" t="s">
        <v>95</v>
      </c>
      <c r="Z1882" t="s">
        <v>96</v>
      </c>
      <c r="AA1882" t="s">
        <v>3672</v>
      </c>
      <c r="AB1882" t="s">
        <v>3673</v>
      </c>
      <c r="AC1882">
        <v>58</v>
      </c>
      <c r="AD1882">
        <v>48</v>
      </c>
      <c r="AE1882">
        <v>91</v>
      </c>
      <c r="AF1882">
        <v>-182.49</v>
      </c>
      <c r="AG1882">
        <v>-4.97</v>
      </c>
      <c r="AH1882">
        <v>-3.98</v>
      </c>
      <c r="AI1882">
        <v>0.04</v>
      </c>
      <c r="AJ1882">
        <v>0.04</v>
      </c>
      <c r="AK1882">
        <v>67</v>
      </c>
      <c r="AL1882">
        <v>104</v>
      </c>
      <c r="AM1882">
        <v>72</v>
      </c>
      <c r="AN1882">
        <v>-5.01</v>
      </c>
      <c r="AO1882">
        <v>1.87</v>
      </c>
      <c r="AP1882">
        <v>68</v>
      </c>
      <c r="AQ1882">
        <v>1</v>
      </c>
      <c r="AR1882">
        <v>8.42</v>
      </c>
      <c r="AS1882">
        <v>67</v>
      </c>
      <c r="AT1882">
        <v>2.96</v>
      </c>
      <c r="AU1882">
        <v>64</v>
      </c>
      <c r="AV1882">
        <v>-0.05</v>
      </c>
      <c r="AW1882">
        <v>79</v>
      </c>
      <c r="AX1882">
        <v>1.31</v>
      </c>
      <c r="AY1882">
        <v>74</v>
      </c>
      <c r="AZ1882">
        <v>7.37</v>
      </c>
      <c r="BA1882">
        <v>37</v>
      </c>
      <c r="BB1882">
        <v>5.4</v>
      </c>
      <c r="BC1882">
        <v>51</v>
      </c>
      <c r="BD1882">
        <v>-0.03</v>
      </c>
      <c r="BE1882">
        <v>0.01</v>
      </c>
      <c r="BF1882">
        <v>-0.09</v>
      </c>
      <c r="BG1882">
        <v>86</v>
      </c>
      <c r="BH1882">
        <v>-0.02</v>
      </c>
      <c r="BI1882">
        <v>-22.91</v>
      </c>
      <c r="BJ1882">
        <v>9</v>
      </c>
      <c r="BK1882">
        <v>7</v>
      </c>
      <c r="BL1882">
        <v>-3.33</v>
      </c>
      <c r="BM1882">
        <v>2.2200000000000002</v>
      </c>
      <c r="BN1882">
        <v>-1.95</v>
      </c>
      <c r="BO1882">
        <v>-3.16</v>
      </c>
      <c r="BP1882">
        <v>0.04</v>
      </c>
      <c r="BQ1882">
        <v>-0.03</v>
      </c>
      <c r="BR1882">
        <v>-1.2</v>
      </c>
      <c r="BS1882">
        <v>0.69</v>
      </c>
      <c r="BT1882">
        <v>1.35</v>
      </c>
      <c r="BU1882">
        <v>-2.35</v>
      </c>
      <c r="BV1882">
        <v>-2.4300000000000002</v>
      </c>
      <c r="BW1882">
        <v>-1.1599999999999999</v>
      </c>
      <c r="BX1882">
        <v>-2.21</v>
      </c>
      <c r="BY1882">
        <v>-1.73</v>
      </c>
      <c r="BZ1882">
        <v>-1.99</v>
      </c>
      <c r="CA1882">
        <v>-2.14</v>
      </c>
      <c r="CB1882">
        <v>-2.46</v>
      </c>
      <c r="CC1882">
        <v>-0.61</v>
      </c>
      <c r="CD1882">
        <v>3.22</v>
      </c>
      <c r="CE1882">
        <v>-3.34</v>
      </c>
      <c r="CF1882">
        <v>-2.81</v>
      </c>
      <c r="CG1882">
        <v>0</v>
      </c>
      <c r="CH1882">
        <v>-1.1000000000000001</v>
      </c>
      <c r="CI1882">
        <v>0</v>
      </c>
      <c r="CJ1882">
        <v>-4.3</v>
      </c>
      <c r="CK1882">
        <v>81</v>
      </c>
      <c r="CL1882">
        <v>0.08</v>
      </c>
      <c r="CM1882">
        <v>78</v>
      </c>
      <c r="CN1882">
        <v>0.28999999999999998</v>
      </c>
      <c r="CO1882">
        <v>75</v>
      </c>
      <c r="CP1882">
        <v>-10.1</v>
      </c>
      <c r="CQ1882">
        <v>81</v>
      </c>
      <c r="CR1882">
        <v>0</v>
      </c>
      <c r="CS1882">
        <v>0</v>
      </c>
      <c r="CT1882">
        <v>-7.4</v>
      </c>
      <c r="CU1882">
        <v>74</v>
      </c>
      <c r="CV1882">
        <v>-7.0000000000000007E-2</v>
      </c>
      <c r="CW1882">
        <v>22</v>
      </c>
      <c r="CX1882" t="s">
        <v>262</v>
      </c>
    </row>
    <row r="1883" spans="1:102" x14ac:dyDescent="0.3">
      <c r="A1883" t="str">
        <f>HYPERLINK("https://webapp.icbf.com/v2/app/bull-search/view/587094482","VRO")</f>
        <v>VRO</v>
      </c>
      <c r="B1883" t="s">
        <v>5040</v>
      </c>
      <c r="C1883" t="s">
        <v>5041</v>
      </c>
      <c r="D1883" s="1">
        <v>37678</v>
      </c>
      <c r="E1883" t="s">
        <v>108</v>
      </c>
      <c r="F1883">
        <v>0</v>
      </c>
      <c r="G1883" t="s">
        <v>93</v>
      </c>
      <c r="H1883">
        <v>78.900000000000006</v>
      </c>
      <c r="I1883">
        <v>79</v>
      </c>
      <c r="J1883">
        <v>-53.27</v>
      </c>
      <c r="K1883">
        <v>90</v>
      </c>
      <c r="L1883">
        <v>112.65</v>
      </c>
      <c r="M1883">
        <v>72</v>
      </c>
      <c r="N1883">
        <v>18.2</v>
      </c>
      <c r="O1883">
        <v>74</v>
      </c>
      <c r="P1883">
        <v>-9.65</v>
      </c>
      <c r="Q1883">
        <v>88</v>
      </c>
      <c r="R1883">
        <v>-1.06</v>
      </c>
      <c r="S1883">
        <v>69</v>
      </c>
      <c r="T1883">
        <v>18.93</v>
      </c>
      <c r="U1883">
        <v>75</v>
      </c>
      <c r="V1883">
        <v>-6.9</v>
      </c>
      <c r="W1883">
        <v>67</v>
      </c>
      <c r="X1883" t="s">
        <v>276</v>
      </c>
      <c r="Y1883" t="s">
        <v>329</v>
      </c>
      <c r="Z1883" t="s">
        <v>96</v>
      </c>
      <c r="AA1883" t="s">
        <v>5042</v>
      </c>
      <c r="AB1883" t="s">
        <v>5043</v>
      </c>
      <c r="AC1883">
        <v>24</v>
      </c>
      <c r="AD1883">
        <v>18</v>
      </c>
      <c r="AE1883">
        <v>90</v>
      </c>
      <c r="AF1883">
        <v>-350.11</v>
      </c>
      <c r="AG1883">
        <v>-10.37</v>
      </c>
      <c r="AH1883">
        <v>-10.75</v>
      </c>
      <c r="AI1883">
        <v>0.06</v>
      </c>
      <c r="AJ1883">
        <v>0.02</v>
      </c>
      <c r="AK1883">
        <v>72</v>
      </c>
      <c r="AL1883">
        <v>52</v>
      </c>
      <c r="AM1883">
        <v>31</v>
      </c>
      <c r="AN1883">
        <v>-7.23</v>
      </c>
      <c r="AO1883">
        <v>1.74</v>
      </c>
      <c r="AP1883">
        <v>59</v>
      </c>
      <c r="AQ1883">
        <v>1</v>
      </c>
      <c r="AR1883">
        <v>6.08</v>
      </c>
      <c r="AS1883">
        <v>60</v>
      </c>
      <c r="AT1883">
        <v>2.63</v>
      </c>
      <c r="AU1883">
        <v>74</v>
      </c>
      <c r="AV1883">
        <v>-1.71</v>
      </c>
      <c r="AW1883">
        <v>87</v>
      </c>
      <c r="AX1883">
        <v>-0.64</v>
      </c>
      <c r="AY1883">
        <v>71</v>
      </c>
      <c r="AZ1883">
        <v>6.93</v>
      </c>
      <c r="BA1883">
        <v>49</v>
      </c>
      <c r="BB1883">
        <v>5.77</v>
      </c>
      <c r="BC1883">
        <v>53</v>
      </c>
      <c r="BD1883">
        <v>0.02</v>
      </c>
      <c r="BE1883">
        <v>-0.01</v>
      </c>
      <c r="BF1883">
        <v>0.01</v>
      </c>
      <c r="BG1883">
        <v>77</v>
      </c>
      <c r="BH1883">
        <v>-0.17</v>
      </c>
      <c r="BI1883">
        <v>2.6</v>
      </c>
      <c r="BJ1883">
        <v>2</v>
      </c>
      <c r="BK1883">
        <v>2</v>
      </c>
      <c r="BL1883">
        <v>-4.1100000000000003</v>
      </c>
      <c r="BM1883">
        <v>1.29</v>
      </c>
      <c r="BN1883">
        <v>-3.31</v>
      </c>
      <c r="BO1883">
        <v>-3.4</v>
      </c>
      <c r="BP1883">
        <v>-1.42</v>
      </c>
      <c r="BQ1883">
        <v>1.34</v>
      </c>
      <c r="BR1883">
        <v>-2.97</v>
      </c>
      <c r="BS1883">
        <v>2.73</v>
      </c>
      <c r="BT1883">
        <v>1.54</v>
      </c>
      <c r="BU1883">
        <v>-2.98</v>
      </c>
      <c r="BV1883">
        <v>-3.9</v>
      </c>
      <c r="BW1883">
        <v>-3.09</v>
      </c>
      <c r="BX1883">
        <v>-2.92</v>
      </c>
      <c r="BY1883">
        <v>-1.87</v>
      </c>
      <c r="BZ1883">
        <v>-0.39</v>
      </c>
      <c r="CA1883">
        <v>-2.46</v>
      </c>
      <c r="CB1883">
        <v>-3.61</v>
      </c>
      <c r="CC1883">
        <v>0.4</v>
      </c>
      <c r="CD1883">
        <v>3.54</v>
      </c>
      <c r="CE1883">
        <v>-3.29</v>
      </c>
      <c r="CF1883">
        <v>-2.54</v>
      </c>
      <c r="CG1883">
        <v>0</v>
      </c>
      <c r="CH1883">
        <v>-1.59</v>
      </c>
      <c r="CI1883">
        <v>0</v>
      </c>
      <c r="CJ1883">
        <v>-6.2</v>
      </c>
      <c r="CK1883">
        <v>89</v>
      </c>
      <c r="CL1883">
        <v>0.18</v>
      </c>
      <c r="CM1883">
        <v>87</v>
      </c>
      <c r="CN1883">
        <v>0.1</v>
      </c>
      <c r="CO1883">
        <v>86</v>
      </c>
      <c r="CP1883">
        <v>-11.9</v>
      </c>
      <c r="CQ1883">
        <v>83</v>
      </c>
      <c r="CR1883">
        <v>0</v>
      </c>
      <c r="CS1883">
        <v>0</v>
      </c>
      <c r="CT1883">
        <v>-11.8</v>
      </c>
      <c r="CU1883">
        <v>75</v>
      </c>
      <c r="CV1883">
        <v>-0.02</v>
      </c>
      <c r="CW1883">
        <v>43</v>
      </c>
      <c r="CX1883" t="s">
        <v>5044</v>
      </c>
    </row>
    <row r="1884" spans="1:102" x14ac:dyDescent="0.3">
      <c r="A1884" t="str">
        <f>HYPERLINK("https://webapp.icbf.com/v2/app/bull-search/view/760392603","S1449")</f>
        <v>S1449</v>
      </c>
      <c r="B1884" t="s">
        <v>10149</v>
      </c>
      <c r="C1884" t="s">
        <v>10150</v>
      </c>
      <c r="D1884" s="1">
        <v>39082</v>
      </c>
      <c r="E1884" t="s">
        <v>227</v>
      </c>
      <c r="F1884">
        <v>0</v>
      </c>
      <c r="G1884" t="s">
        <v>109</v>
      </c>
      <c r="H1884">
        <v>78.88</v>
      </c>
      <c r="I1884">
        <v>63</v>
      </c>
      <c r="J1884">
        <v>9.5299999999999994</v>
      </c>
      <c r="K1884">
        <v>84</v>
      </c>
      <c r="L1884">
        <v>42.1</v>
      </c>
      <c r="M1884">
        <v>71</v>
      </c>
      <c r="N1884">
        <v>15.51</v>
      </c>
      <c r="O1884">
        <v>44</v>
      </c>
      <c r="P1884">
        <v>-70.27</v>
      </c>
      <c r="Q1884">
        <v>40</v>
      </c>
      <c r="R1884">
        <v>5.03</v>
      </c>
      <c r="S1884">
        <v>32</v>
      </c>
      <c r="T1884">
        <v>77.39</v>
      </c>
      <c r="U1884">
        <v>29</v>
      </c>
      <c r="V1884">
        <v>-0.41</v>
      </c>
      <c r="W1884">
        <v>18</v>
      </c>
      <c r="X1884" t="s">
        <v>94</v>
      </c>
      <c r="Y1884" t="s">
        <v>342</v>
      </c>
      <c r="Z1884">
        <v>0</v>
      </c>
      <c r="AA1884" t="s">
        <v>1914</v>
      </c>
      <c r="AB1884" t="s">
        <v>10151</v>
      </c>
      <c r="AC1884">
        <v>0</v>
      </c>
      <c r="AD1884">
        <v>0</v>
      </c>
      <c r="AE1884">
        <v>84</v>
      </c>
      <c r="AF1884">
        <v>-381.04</v>
      </c>
      <c r="AG1884">
        <v>4.8</v>
      </c>
      <c r="AH1884">
        <v>-5.91</v>
      </c>
      <c r="AI1884">
        <v>0.35</v>
      </c>
      <c r="AJ1884">
        <v>0.13</v>
      </c>
      <c r="AK1884">
        <v>71</v>
      </c>
      <c r="AL1884">
        <v>0</v>
      </c>
      <c r="AM1884">
        <v>0</v>
      </c>
      <c r="AN1884">
        <v>-2.09</v>
      </c>
      <c r="AO1884">
        <v>1.27</v>
      </c>
      <c r="AP1884">
        <v>7</v>
      </c>
      <c r="AQ1884">
        <v>0</v>
      </c>
      <c r="AR1884">
        <v>2.41</v>
      </c>
      <c r="AS1884">
        <v>29</v>
      </c>
      <c r="AT1884">
        <v>1.59</v>
      </c>
      <c r="AU1884">
        <v>26</v>
      </c>
      <c r="AV1884">
        <v>0.01</v>
      </c>
      <c r="AW1884">
        <v>71</v>
      </c>
      <c r="AX1884">
        <v>2.08</v>
      </c>
      <c r="AY1884">
        <v>35</v>
      </c>
      <c r="AZ1884">
        <v>6.87</v>
      </c>
      <c r="BA1884">
        <v>16</v>
      </c>
      <c r="BB1884">
        <v>4.87</v>
      </c>
      <c r="BC1884">
        <v>17</v>
      </c>
      <c r="BD1884">
        <v>-0.04</v>
      </c>
      <c r="BE1884">
        <v>-0.01</v>
      </c>
      <c r="BF1884">
        <v>-0.03</v>
      </c>
      <c r="BG1884">
        <v>42</v>
      </c>
      <c r="BH1884">
        <v>-0.13</v>
      </c>
      <c r="BI1884">
        <v>-13.7</v>
      </c>
      <c r="BJ1884">
        <v>6</v>
      </c>
      <c r="BK1884">
        <v>5</v>
      </c>
      <c r="BL1884">
        <v>-0.54</v>
      </c>
      <c r="BM1884">
        <v>-2.4900000000000002</v>
      </c>
      <c r="BN1884">
        <v>-0.9</v>
      </c>
      <c r="BO1884">
        <v>1.76</v>
      </c>
      <c r="BP1884">
        <v>-1.26</v>
      </c>
      <c r="BQ1884">
        <v>-3.91</v>
      </c>
      <c r="BR1884">
        <v>1.47</v>
      </c>
      <c r="BS1884">
        <v>5.96</v>
      </c>
      <c r="BT1884">
        <v>-0.96</v>
      </c>
      <c r="BU1884">
        <v>1.57</v>
      </c>
      <c r="BV1884">
        <v>0.67</v>
      </c>
      <c r="BW1884">
        <v>-1.65</v>
      </c>
      <c r="BX1884">
        <v>-0.81</v>
      </c>
      <c r="BY1884">
        <v>-0.3</v>
      </c>
      <c r="BZ1884">
        <v>1.67</v>
      </c>
      <c r="CA1884">
        <v>2.5</v>
      </c>
      <c r="CB1884">
        <v>1.22</v>
      </c>
      <c r="CC1884">
        <v>3.82</v>
      </c>
      <c r="CD1884">
        <v>-2.57</v>
      </c>
      <c r="CE1884">
        <v>1.26</v>
      </c>
      <c r="CF1884">
        <v>-0.46</v>
      </c>
      <c r="CG1884">
        <v>0</v>
      </c>
      <c r="CH1884">
        <v>-1.04</v>
      </c>
      <c r="CI1884">
        <v>0</v>
      </c>
      <c r="CJ1884">
        <v>-37.700000000000003</v>
      </c>
      <c r="CK1884">
        <v>42</v>
      </c>
      <c r="CL1884">
        <v>-1.39</v>
      </c>
      <c r="CM1884">
        <v>38</v>
      </c>
      <c r="CN1884">
        <v>-0.4</v>
      </c>
      <c r="CO1884">
        <v>34</v>
      </c>
      <c r="CP1884">
        <v>-57.2</v>
      </c>
      <c r="CQ1884">
        <v>44</v>
      </c>
      <c r="CR1884">
        <v>0</v>
      </c>
      <c r="CS1884">
        <v>0</v>
      </c>
      <c r="CT1884">
        <v>-90.8</v>
      </c>
      <c r="CU1884">
        <v>29</v>
      </c>
      <c r="CV1884">
        <v>-0.4</v>
      </c>
      <c r="CW1884">
        <v>10</v>
      </c>
      <c r="CX1884" t="s">
        <v>2667</v>
      </c>
    </row>
    <row r="1885" spans="1:102" x14ac:dyDescent="0.3">
      <c r="A1885" t="str">
        <f>HYPERLINK("https://webapp.icbf.com/v2/app/bull-search/view/139799099","GIZ")</f>
        <v>GIZ</v>
      </c>
      <c r="B1885" t="s">
        <v>6693</v>
      </c>
      <c r="C1885" t="s">
        <v>5256</v>
      </c>
      <c r="D1885" s="1">
        <v>37053</v>
      </c>
      <c r="E1885" t="s">
        <v>108</v>
      </c>
      <c r="F1885">
        <v>0</v>
      </c>
      <c r="G1885" t="s">
        <v>93</v>
      </c>
      <c r="H1885">
        <v>78.8</v>
      </c>
      <c r="I1885">
        <v>98</v>
      </c>
      <c r="J1885">
        <v>-14.34</v>
      </c>
      <c r="K1885">
        <v>99</v>
      </c>
      <c r="L1885">
        <v>57.44</v>
      </c>
      <c r="M1885">
        <v>96</v>
      </c>
      <c r="N1885">
        <v>4.6500000000000004</v>
      </c>
      <c r="O1885">
        <v>99</v>
      </c>
      <c r="P1885">
        <v>0.01</v>
      </c>
      <c r="Q1885">
        <v>99</v>
      </c>
      <c r="R1885">
        <v>6.6</v>
      </c>
      <c r="S1885">
        <v>97</v>
      </c>
      <c r="T1885">
        <v>13.01</v>
      </c>
      <c r="U1885">
        <v>99</v>
      </c>
      <c r="V1885">
        <v>11.43</v>
      </c>
      <c r="W1885">
        <v>98</v>
      </c>
      <c r="X1885" t="s">
        <v>102</v>
      </c>
      <c r="Y1885" t="s">
        <v>95</v>
      </c>
      <c r="Z1885" t="s">
        <v>96</v>
      </c>
      <c r="AA1885" t="s">
        <v>6694</v>
      </c>
      <c r="AB1885" t="s">
        <v>4465</v>
      </c>
      <c r="AC1885">
        <v>1396</v>
      </c>
      <c r="AD1885">
        <v>462</v>
      </c>
      <c r="AE1885">
        <v>99</v>
      </c>
      <c r="AF1885">
        <v>-13.27</v>
      </c>
      <c r="AG1885">
        <v>-2.0699999999999998</v>
      </c>
      <c r="AH1885">
        <v>-1.91</v>
      </c>
      <c r="AI1885">
        <v>-0.03</v>
      </c>
      <c r="AJ1885">
        <v>-0.03</v>
      </c>
      <c r="AK1885">
        <v>96</v>
      </c>
      <c r="AL1885">
        <v>2461</v>
      </c>
      <c r="AM1885">
        <v>798</v>
      </c>
      <c r="AN1885">
        <v>-3.96</v>
      </c>
      <c r="AO1885">
        <v>0.61</v>
      </c>
      <c r="AP1885">
        <v>2988</v>
      </c>
      <c r="AQ1885">
        <v>23</v>
      </c>
      <c r="AR1885">
        <v>10.47</v>
      </c>
      <c r="AS1885">
        <v>97</v>
      </c>
      <c r="AT1885">
        <v>4.1900000000000004</v>
      </c>
      <c r="AU1885">
        <v>99</v>
      </c>
      <c r="AV1885">
        <v>-2.82</v>
      </c>
      <c r="AW1885">
        <v>99</v>
      </c>
      <c r="AX1885">
        <v>-0.09</v>
      </c>
      <c r="AY1885">
        <v>99</v>
      </c>
      <c r="AZ1885">
        <v>5.75</v>
      </c>
      <c r="BA1885">
        <v>96</v>
      </c>
      <c r="BB1885">
        <v>4.95</v>
      </c>
      <c r="BC1885">
        <v>97</v>
      </c>
      <c r="BD1885">
        <v>-0.01</v>
      </c>
      <c r="BE1885">
        <v>-0.05</v>
      </c>
      <c r="BF1885">
        <v>-0.04</v>
      </c>
      <c r="BG1885">
        <v>99</v>
      </c>
      <c r="BH1885">
        <v>0.12</v>
      </c>
      <c r="BI1885">
        <v>-23</v>
      </c>
      <c r="BJ1885">
        <v>103</v>
      </c>
      <c r="BK1885">
        <v>57</v>
      </c>
      <c r="BL1885">
        <v>-1.81</v>
      </c>
      <c r="BM1885">
        <v>2.19</v>
      </c>
      <c r="BN1885">
        <v>-1.28</v>
      </c>
      <c r="BO1885">
        <v>-1.95</v>
      </c>
      <c r="BP1885">
        <v>0.67</v>
      </c>
      <c r="BQ1885">
        <v>2.81</v>
      </c>
      <c r="BR1885">
        <v>-0.3</v>
      </c>
      <c r="BS1885">
        <v>-0.79</v>
      </c>
      <c r="BT1885">
        <v>0.01</v>
      </c>
      <c r="BU1885">
        <v>-1.65</v>
      </c>
      <c r="BV1885">
        <v>-3.51</v>
      </c>
      <c r="BW1885">
        <v>-1.63</v>
      </c>
      <c r="BX1885">
        <v>-1.04</v>
      </c>
      <c r="BY1885">
        <v>1.6</v>
      </c>
      <c r="BZ1885">
        <v>-0.78</v>
      </c>
      <c r="CA1885">
        <v>-2.2200000000000002</v>
      </c>
      <c r="CB1885">
        <v>-2.09</v>
      </c>
      <c r="CC1885">
        <v>-1.45</v>
      </c>
      <c r="CD1885">
        <v>1.86</v>
      </c>
      <c r="CE1885">
        <v>-1.96</v>
      </c>
      <c r="CF1885">
        <v>0.22</v>
      </c>
      <c r="CG1885">
        <v>0</v>
      </c>
      <c r="CH1885">
        <v>1.38</v>
      </c>
      <c r="CI1885">
        <v>0</v>
      </c>
      <c r="CJ1885">
        <v>-0.3</v>
      </c>
      <c r="CK1885">
        <v>99</v>
      </c>
      <c r="CL1885">
        <v>0.04</v>
      </c>
      <c r="CM1885">
        <v>99</v>
      </c>
      <c r="CN1885">
        <v>-7.0000000000000007E-2</v>
      </c>
      <c r="CO1885">
        <v>99</v>
      </c>
      <c r="CP1885">
        <v>-5.4</v>
      </c>
      <c r="CQ1885">
        <v>99</v>
      </c>
      <c r="CR1885">
        <v>0</v>
      </c>
      <c r="CS1885">
        <v>0</v>
      </c>
      <c r="CT1885">
        <v>-3.8</v>
      </c>
      <c r="CU1885">
        <v>99</v>
      </c>
      <c r="CV1885">
        <v>0.11</v>
      </c>
      <c r="CW1885">
        <v>46</v>
      </c>
      <c r="CX1885" t="s">
        <v>2821</v>
      </c>
    </row>
    <row r="1886" spans="1:102" x14ac:dyDescent="0.3">
      <c r="A1886" t="str">
        <f>HYPERLINK("https://webapp.icbf.com/v2/app/bull-search/view/73468965","DAG")</f>
        <v>DAG</v>
      </c>
      <c r="B1886" t="s">
        <v>14959</v>
      </c>
      <c r="C1886" t="s">
        <v>14960</v>
      </c>
      <c r="D1886" s="1">
        <v>32085</v>
      </c>
      <c r="E1886" t="s">
        <v>92</v>
      </c>
      <c r="F1886">
        <v>50</v>
      </c>
      <c r="G1886" t="s">
        <v>93</v>
      </c>
      <c r="H1886">
        <v>78.63</v>
      </c>
      <c r="I1886">
        <v>96</v>
      </c>
      <c r="J1886">
        <v>-35.36</v>
      </c>
      <c r="K1886">
        <v>99</v>
      </c>
      <c r="L1886">
        <v>88.36</v>
      </c>
      <c r="M1886">
        <v>94</v>
      </c>
      <c r="N1886">
        <v>9.26</v>
      </c>
      <c r="O1886">
        <v>96</v>
      </c>
      <c r="P1886">
        <v>-26.79</v>
      </c>
      <c r="Q1886">
        <v>99</v>
      </c>
      <c r="R1886">
        <v>-7.18</v>
      </c>
      <c r="S1886">
        <v>91</v>
      </c>
      <c r="T1886">
        <v>40.17</v>
      </c>
      <c r="U1886">
        <v>98</v>
      </c>
      <c r="V1886">
        <v>10.17</v>
      </c>
      <c r="W1886">
        <v>85</v>
      </c>
      <c r="X1886" t="s">
        <v>94</v>
      </c>
      <c r="Y1886" t="s">
        <v>95</v>
      </c>
      <c r="Z1886" t="s">
        <v>96</v>
      </c>
      <c r="AA1886" t="s">
        <v>620</v>
      </c>
      <c r="AB1886" t="s">
        <v>14961</v>
      </c>
      <c r="AC1886">
        <v>1637</v>
      </c>
      <c r="AD1886">
        <v>912</v>
      </c>
      <c r="AE1886">
        <v>99</v>
      </c>
      <c r="AF1886">
        <v>-223.63</v>
      </c>
      <c r="AG1886">
        <v>-6.38</v>
      </c>
      <c r="AH1886">
        <v>-7.18</v>
      </c>
      <c r="AI1886">
        <v>0.04</v>
      </c>
      <c r="AJ1886">
        <v>0.01</v>
      </c>
      <c r="AK1886">
        <v>94</v>
      </c>
      <c r="AL1886">
        <v>2308</v>
      </c>
      <c r="AM1886">
        <v>1256</v>
      </c>
      <c r="AN1886">
        <v>-4.58</v>
      </c>
      <c r="AO1886">
        <v>2.4700000000000002</v>
      </c>
      <c r="AP1886">
        <v>3</v>
      </c>
      <c r="AQ1886">
        <v>0</v>
      </c>
      <c r="AR1886">
        <v>6.24</v>
      </c>
      <c r="AS1886">
        <v>81</v>
      </c>
      <c r="AT1886">
        <v>2.97</v>
      </c>
      <c r="AU1886">
        <v>96</v>
      </c>
      <c r="AV1886">
        <v>-0.5</v>
      </c>
      <c r="AW1886">
        <v>98</v>
      </c>
      <c r="AX1886">
        <v>-0.22</v>
      </c>
      <c r="AY1886">
        <v>98</v>
      </c>
      <c r="AZ1886">
        <v>6.21</v>
      </c>
      <c r="BA1886">
        <v>84</v>
      </c>
      <c r="BB1886">
        <v>5.08</v>
      </c>
      <c r="BC1886">
        <v>96</v>
      </c>
      <c r="BD1886">
        <v>0.12</v>
      </c>
      <c r="BE1886">
        <v>0.05</v>
      </c>
      <c r="BF1886">
        <v>-0.13</v>
      </c>
      <c r="BG1886">
        <v>99</v>
      </c>
      <c r="BH1886">
        <v>0.13</v>
      </c>
      <c r="BI1886">
        <v>-17.78</v>
      </c>
      <c r="BJ1886">
        <v>111</v>
      </c>
      <c r="BK1886">
        <v>88</v>
      </c>
      <c r="BL1886">
        <v>-2.15</v>
      </c>
      <c r="BM1886">
        <v>0.32</v>
      </c>
      <c r="BN1886">
        <v>-2.36</v>
      </c>
      <c r="BO1886">
        <v>-1.96</v>
      </c>
      <c r="BP1886">
        <v>1.42</v>
      </c>
      <c r="BQ1886">
        <v>0.56000000000000005</v>
      </c>
      <c r="BR1886">
        <v>-1.37</v>
      </c>
      <c r="BS1886">
        <v>-0.33</v>
      </c>
      <c r="BT1886">
        <v>1.0900000000000001</v>
      </c>
      <c r="BU1886">
        <v>-0.21</v>
      </c>
      <c r="BV1886">
        <v>-0.83</v>
      </c>
      <c r="BW1886">
        <v>-1.31</v>
      </c>
      <c r="BX1886">
        <v>0.91</v>
      </c>
      <c r="BY1886">
        <v>0.76</v>
      </c>
      <c r="BZ1886">
        <v>-2.68</v>
      </c>
      <c r="CA1886">
        <v>-1.42</v>
      </c>
      <c r="CB1886">
        <v>-1.26</v>
      </c>
      <c r="CC1886">
        <v>-1.23</v>
      </c>
      <c r="CD1886">
        <v>1.74</v>
      </c>
      <c r="CE1886">
        <v>-2.2799999999999998</v>
      </c>
      <c r="CF1886">
        <v>-2.74</v>
      </c>
      <c r="CG1886">
        <v>0</v>
      </c>
      <c r="CH1886">
        <v>-0.05</v>
      </c>
      <c r="CI1886">
        <v>0</v>
      </c>
      <c r="CJ1886">
        <v>-13</v>
      </c>
      <c r="CK1886">
        <v>99</v>
      </c>
      <c r="CL1886">
        <v>-0.37</v>
      </c>
      <c r="CM1886">
        <v>98</v>
      </c>
      <c r="CN1886">
        <v>0.14000000000000001</v>
      </c>
      <c r="CO1886">
        <v>98</v>
      </c>
      <c r="CP1886">
        <v>-22.6</v>
      </c>
      <c r="CQ1886">
        <v>99</v>
      </c>
      <c r="CR1886">
        <v>0</v>
      </c>
      <c r="CS1886">
        <v>0</v>
      </c>
      <c r="CT1886">
        <v>-40.5</v>
      </c>
      <c r="CU1886">
        <v>98</v>
      </c>
      <c r="CV1886">
        <v>-0.17</v>
      </c>
      <c r="CW1886">
        <v>29</v>
      </c>
      <c r="CX1886" t="s">
        <v>4272</v>
      </c>
    </row>
    <row r="1887" spans="1:102" x14ac:dyDescent="0.3">
      <c r="A1887" t="str">
        <f>HYPERLINK("https://webapp.icbf.com/v2/app/bull-search/view/77860111","CAK")</f>
        <v>CAK</v>
      </c>
      <c r="B1887" t="s">
        <v>2968</v>
      </c>
      <c r="C1887" t="s">
        <v>2969</v>
      </c>
      <c r="D1887" s="1">
        <v>31415</v>
      </c>
      <c r="E1887" t="s">
        <v>92</v>
      </c>
      <c r="F1887">
        <v>50</v>
      </c>
      <c r="G1887" t="s">
        <v>93</v>
      </c>
      <c r="H1887">
        <v>78.62</v>
      </c>
      <c r="I1887">
        <v>91</v>
      </c>
      <c r="J1887">
        <v>-29.09</v>
      </c>
      <c r="K1887">
        <v>99</v>
      </c>
      <c r="L1887">
        <v>93.25</v>
      </c>
      <c r="M1887">
        <v>88</v>
      </c>
      <c r="N1887">
        <v>11.61</v>
      </c>
      <c r="O1887">
        <v>87</v>
      </c>
      <c r="P1887">
        <v>-11.88</v>
      </c>
      <c r="Q1887">
        <v>96</v>
      </c>
      <c r="R1887">
        <v>-3.74</v>
      </c>
      <c r="S1887">
        <v>81</v>
      </c>
      <c r="T1887">
        <v>22.78</v>
      </c>
      <c r="U1887">
        <v>93</v>
      </c>
      <c r="V1887">
        <v>-4.3099999999999996</v>
      </c>
      <c r="W1887">
        <v>66</v>
      </c>
      <c r="X1887" t="s">
        <v>94</v>
      </c>
      <c r="Y1887" t="s">
        <v>95</v>
      </c>
      <c r="Z1887" t="s">
        <v>96</v>
      </c>
      <c r="AA1887" t="s">
        <v>2970</v>
      </c>
      <c r="AB1887" t="s">
        <v>2971</v>
      </c>
      <c r="AC1887">
        <v>513</v>
      </c>
      <c r="AD1887">
        <v>350</v>
      </c>
      <c r="AE1887">
        <v>99</v>
      </c>
      <c r="AF1887">
        <v>-173.36</v>
      </c>
      <c r="AG1887">
        <v>-9.67</v>
      </c>
      <c r="AH1887">
        <v>-4.18</v>
      </c>
      <c r="AI1887">
        <v>-0.05</v>
      </c>
      <c r="AJ1887">
        <v>0.03</v>
      </c>
      <c r="AK1887">
        <v>88</v>
      </c>
      <c r="AL1887">
        <v>868</v>
      </c>
      <c r="AM1887">
        <v>535</v>
      </c>
      <c r="AN1887">
        <v>-4.84</v>
      </c>
      <c r="AO1887">
        <v>2.6</v>
      </c>
      <c r="AP1887">
        <v>1</v>
      </c>
      <c r="AQ1887">
        <v>1</v>
      </c>
      <c r="AR1887">
        <v>5</v>
      </c>
      <c r="AS1887">
        <v>56</v>
      </c>
      <c r="AT1887">
        <v>2.2999999999999998</v>
      </c>
      <c r="AU1887">
        <v>87</v>
      </c>
      <c r="AV1887">
        <v>0.04</v>
      </c>
      <c r="AW1887">
        <v>93</v>
      </c>
      <c r="AX1887">
        <v>-7.0000000000000007E-2</v>
      </c>
      <c r="AY1887">
        <v>93</v>
      </c>
      <c r="AZ1887">
        <v>6.66</v>
      </c>
      <c r="BA1887">
        <v>61</v>
      </c>
      <c r="BB1887">
        <v>5.08</v>
      </c>
      <c r="BC1887">
        <v>86</v>
      </c>
      <c r="BD1887">
        <v>0.09</v>
      </c>
      <c r="BE1887">
        <v>0.04</v>
      </c>
      <c r="BF1887">
        <v>-0.14000000000000001</v>
      </c>
      <c r="BG1887">
        <v>98</v>
      </c>
      <c r="BH1887">
        <v>-0.2</v>
      </c>
      <c r="BI1887">
        <v>-9.2200000000000006</v>
      </c>
      <c r="BJ1887">
        <v>47</v>
      </c>
      <c r="BK1887">
        <v>39</v>
      </c>
      <c r="BL1887">
        <v>-1.77</v>
      </c>
      <c r="BM1887">
        <v>1.46</v>
      </c>
      <c r="BN1887">
        <v>-1.97</v>
      </c>
      <c r="BO1887">
        <v>-2.56</v>
      </c>
      <c r="BP1887">
        <v>0.56000000000000005</v>
      </c>
      <c r="BQ1887">
        <v>-0.66</v>
      </c>
      <c r="BR1887">
        <v>0.33</v>
      </c>
      <c r="BS1887">
        <v>-2.11</v>
      </c>
      <c r="BT1887">
        <v>-0.37</v>
      </c>
      <c r="BU1887">
        <v>-2</v>
      </c>
      <c r="BV1887">
        <v>-2.59</v>
      </c>
      <c r="BW1887">
        <v>-2.1800000000000002</v>
      </c>
      <c r="BX1887">
        <v>-0.56000000000000005</v>
      </c>
      <c r="BY1887">
        <v>-0.84</v>
      </c>
      <c r="BZ1887">
        <v>-0.88</v>
      </c>
      <c r="CA1887">
        <v>-3.2</v>
      </c>
      <c r="CB1887">
        <v>-2.5499999999999998</v>
      </c>
      <c r="CC1887">
        <v>-3.68</v>
      </c>
      <c r="CD1887">
        <v>2.48</v>
      </c>
      <c r="CE1887">
        <v>-2.5499999999999998</v>
      </c>
      <c r="CF1887">
        <v>-2.41</v>
      </c>
      <c r="CG1887">
        <v>0</v>
      </c>
      <c r="CH1887">
        <v>-1.48</v>
      </c>
      <c r="CI1887">
        <v>0</v>
      </c>
      <c r="CJ1887">
        <v>-4.9000000000000004</v>
      </c>
      <c r="CK1887">
        <v>96</v>
      </c>
      <c r="CL1887">
        <v>-0.54</v>
      </c>
      <c r="CM1887">
        <v>95</v>
      </c>
      <c r="CN1887">
        <v>-0.25</v>
      </c>
      <c r="CO1887">
        <v>95</v>
      </c>
      <c r="CP1887">
        <v>-16.5</v>
      </c>
      <c r="CQ1887">
        <v>97</v>
      </c>
      <c r="CR1887">
        <v>0</v>
      </c>
      <c r="CS1887">
        <v>0</v>
      </c>
      <c r="CT1887">
        <v>-17</v>
      </c>
      <c r="CU1887">
        <v>93</v>
      </c>
      <c r="CV1887">
        <v>0.09</v>
      </c>
      <c r="CW1887">
        <v>28</v>
      </c>
      <c r="CX1887" t="s">
        <v>2972</v>
      </c>
    </row>
    <row r="1888" spans="1:102" x14ac:dyDescent="0.3">
      <c r="A1888" t="str">
        <f>HYPERLINK("https://webapp.icbf.com/v2/app/bull-search/view/1150874092","MY4278")</f>
        <v>MY4278</v>
      </c>
      <c r="B1888" t="s">
        <v>9648</v>
      </c>
      <c r="C1888" t="s">
        <v>9649</v>
      </c>
      <c r="D1888" s="1">
        <v>40575</v>
      </c>
      <c r="E1888" t="s">
        <v>146</v>
      </c>
      <c r="F1888">
        <v>0</v>
      </c>
      <c r="G1888" t="s">
        <v>109</v>
      </c>
      <c r="H1888">
        <v>78.510000000000005</v>
      </c>
      <c r="I1888">
        <v>57</v>
      </c>
      <c r="J1888">
        <v>27.83</v>
      </c>
      <c r="K1888">
        <v>73</v>
      </c>
      <c r="L1888">
        <v>32.93</v>
      </c>
      <c r="M1888">
        <v>54</v>
      </c>
      <c r="N1888">
        <v>10</v>
      </c>
      <c r="O1888">
        <v>65</v>
      </c>
      <c r="P1888">
        <v>-1.44</v>
      </c>
      <c r="Q1888">
        <v>37</v>
      </c>
      <c r="R1888">
        <v>0.54</v>
      </c>
      <c r="S1888">
        <v>46</v>
      </c>
      <c r="T1888">
        <v>14.79</v>
      </c>
      <c r="U1888">
        <v>36</v>
      </c>
      <c r="V1888">
        <v>-6.14</v>
      </c>
      <c r="W1888">
        <v>12</v>
      </c>
      <c r="X1888" t="s">
        <v>94</v>
      </c>
      <c r="Y1888" t="s">
        <v>1923</v>
      </c>
      <c r="Z1888">
        <v>0</v>
      </c>
      <c r="AA1888" t="s">
        <v>9650</v>
      </c>
      <c r="AB1888" t="s">
        <v>9651</v>
      </c>
      <c r="AC1888">
        <v>0</v>
      </c>
      <c r="AD1888">
        <v>0</v>
      </c>
      <c r="AE1888">
        <v>73</v>
      </c>
      <c r="AF1888">
        <v>-81.87</v>
      </c>
      <c r="AG1888">
        <v>-0.14000000000000001</v>
      </c>
      <c r="AH1888">
        <v>3.53</v>
      </c>
      <c r="AI1888">
        <v>0.05</v>
      </c>
      <c r="AJ1888">
        <v>0.11</v>
      </c>
      <c r="AK1888">
        <v>54</v>
      </c>
      <c r="AL1888">
        <v>0</v>
      </c>
      <c r="AM1888">
        <v>0</v>
      </c>
      <c r="AN1888">
        <v>-2.29</v>
      </c>
      <c r="AO1888">
        <v>0.33</v>
      </c>
      <c r="AP1888">
        <v>30</v>
      </c>
      <c r="AQ1888">
        <v>0</v>
      </c>
      <c r="AR1888">
        <v>6.05</v>
      </c>
      <c r="AS1888">
        <v>36</v>
      </c>
      <c r="AT1888">
        <v>2.27</v>
      </c>
      <c r="AU1888">
        <v>84</v>
      </c>
      <c r="AV1888">
        <v>-0.79</v>
      </c>
      <c r="AW1888">
        <v>78</v>
      </c>
      <c r="AX1888">
        <v>0.63</v>
      </c>
      <c r="AY1888">
        <v>46</v>
      </c>
      <c r="AZ1888">
        <v>7.37</v>
      </c>
      <c r="BA1888">
        <v>28</v>
      </c>
      <c r="BB1888">
        <v>5.7</v>
      </c>
      <c r="BC1888">
        <v>29</v>
      </c>
      <c r="BD1888">
        <v>-0.02</v>
      </c>
      <c r="BE1888">
        <v>-0.01</v>
      </c>
      <c r="BF1888">
        <v>0.04</v>
      </c>
      <c r="BG1888">
        <v>75</v>
      </c>
      <c r="BH1888">
        <v>-0.18</v>
      </c>
      <c r="BI1888">
        <v>-1.01</v>
      </c>
      <c r="BJ1888">
        <v>0</v>
      </c>
      <c r="BK1888">
        <v>0</v>
      </c>
      <c r="BL1888">
        <v>-2.04</v>
      </c>
      <c r="BM1888">
        <v>2.38</v>
      </c>
      <c r="BN1888">
        <v>-1.1299999999999999</v>
      </c>
      <c r="BO1888">
        <v>-1.76</v>
      </c>
      <c r="BP1888">
        <v>0.09</v>
      </c>
      <c r="BQ1888">
        <v>-1.22</v>
      </c>
      <c r="BR1888">
        <v>-1.77</v>
      </c>
      <c r="BS1888">
        <v>2.2799999999999998</v>
      </c>
      <c r="BT1888">
        <v>1.67</v>
      </c>
      <c r="BU1888">
        <v>-0.67</v>
      </c>
      <c r="BV1888">
        <v>-1.94</v>
      </c>
      <c r="BW1888">
        <v>-1.91</v>
      </c>
      <c r="BX1888">
        <v>-1.47</v>
      </c>
      <c r="BY1888">
        <v>-0.34</v>
      </c>
      <c r="BZ1888">
        <v>-0.02</v>
      </c>
      <c r="CA1888">
        <v>-0.71</v>
      </c>
      <c r="CB1888">
        <v>-1.47</v>
      </c>
      <c r="CC1888">
        <v>1.01</v>
      </c>
      <c r="CD1888">
        <v>2.62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-3.4</v>
      </c>
      <c r="CK1888">
        <v>37</v>
      </c>
      <c r="CL1888">
        <v>0.05</v>
      </c>
      <c r="CM1888">
        <v>37</v>
      </c>
      <c r="CN1888">
        <v>-0.38</v>
      </c>
      <c r="CO1888">
        <v>36</v>
      </c>
      <c r="CP1888">
        <v>-11.4</v>
      </c>
      <c r="CQ1888">
        <v>36</v>
      </c>
      <c r="CR1888">
        <v>0</v>
      </c>
      <c r="CS1888">
        <v>0</v>
      </c>
      <c r="CT1888">
        <v>-6.2</v>
      </c>
      <c r="CU1888">
        <v>36</v>
      </c>
      <c r="CV1888">
        <v>-0.2</v>
      </c>
      <c r="CW1888">
        <v>32</v>
      </c>
      <c r="CX1888" t="s">
        <v>306</v>
      </c>
    </row>
    <row r="1889" spans="1:102" x14ac:dyDescent="0.3">
      <c r="A1889" t="str">
        <f>HYPERLINK("https://webapp.icbf.com/v2/app/bull-search/view/1038469018","FKZ")</f>
        <v>FKZ</v>
      </c>
      <c r="B1889" t="s">
        <v>2103</v>
      </c>
      <c r="C1889" t="s">
        <v>2104</v>
      </c>
      <c r="D1889" s="1">
        <v>41297</v>
      </c>
      <c r="E1889" t="s">
        <v>108</v>
      </c>
      <c r="F1889">
        <v>3</v>
      </c>
      <c r="G1889" t="s">
        <v>435</v>
      </c>
      <c r="H1889">
        <v>78.5</v>
      </c>
      <c r="I1889">
        <v>66</v>
      </c>
      <c r="J1889">
        <v>34.56</v>
      </c>
      <c r="K1889">
        <v>84</v>
      </c>
      <c r="L1889">
        <v>39.36</v>
      </c>
      <c r="M1889">
        <v>59</v>
      </c>
      <c r="N1889">
        <v>13.11</v>
      </c>
      <c r="O1889">
        <v>55</v>
      </c>
      <c r="P1889">
        <v>-5.32</v>
      </c>
      <c r="Q1889">
        <v>63</v>
      </c>
      <c r="R1889">
        <v>-5.07</v>
      </c>
      <c r="S1889">
        <v>60</v>
      </c>
      <c r="T1889">
        <v>3.47</v>
      </c>
      <c r="U1889">
        <v>50</v>
      </c>
      <c r="V1889">
        <v>-1.61</v>
      </c>
      <c r="W1889">
        <v>57</v>
      </c>
      <c r="X1889" t="s">
        <v>94</v>
      </c>
      <c r="Y1889" t="s">
        <v>389</v>
      </c>
      <c r="Z1889" t="s">
        <v>96</v>
      </c>
      <c r="AA1889" t="s">
        <v>2016</v>
      </c>
      <c r="AB1889" t="s">
        <v>2105</v>
      </c>
      <c r="AC1889">
        <v>0</v>
      </c>
      <c r="AD1889">
        <v>0</v>
      </c>
      <c r="AE1889">
        <v>84</v>
      </c>
      <c r="AF1889">
        <v>-96.49</v>
      </c>
      <c r="AG1889">
        <v>3.62</v>
      </c>
      <c r="AH1889">
        <v>3.12</v>
      </c>
      <c r="AI1889">
        <v>0.13</v>
      </c>
      <c r="AJ1889">
        <v>0.12</v>
      </c>
      <c r="AK1889">
        <v>59</v>
      </c>
      <c r="AL1889">
        <v>3</v>
      </c>
      <c r="AM1889">
        <v>3</v>
      </c>
      <c r="AN1889">
        <v>-1.31</v>
      </c>
      <c r="AO1889">
        <v>1.84</v>
      </c>
      <c r="AP1889">
        <v>2</v>
      </c>
      <c r="AQ1889">
        <v>0</v>
      </c>
      <c r="AR1889">
        <v>6.46</v>
      </c>
      <c r="AS1889">
        <v>51</v>
      </c>
      <c r="AT1889">
        <v>2.93</v>
      </c>
      <c r="AU1889">
        <v>58</v>
      </c>
      <c r="AV1889">
        <v>-1.43</v>
      </c>
      <c r="AW1889">
        <v>60</v>
      </c>
      <c r="AX1889">
        <v>-0.35</v>
      </c>
      <c r="AY1889">
        <v>51</v>
      </c>
      <c r="AZ1889">
        <v>6.37</v>
      </c>
      <c r="BA1889">
        <v>42</v>
      </c>
      <c r="BB1889">
        <v>5.74</v>
      </c>
      <c r="BC1889">
        <v>43</v>
      </c>
      <c r="BD1889">
        <v>0.04</v>
      </c>
      <c r="BE1889">
        <v>0</v>
      </c>
      <c r="BF1889">
        <v>0.05</v>
      </c>
      <c r="BG1889">
        <v>66</v>
      </c>
      <c r="BH1889">
        <v>-7.0000000000000007E-2</v>
      </c>
      <c r="BI1889">
        <v>-2.92</v>
      </c>
      <c r="BJ1889">
        <v>0</v>
      </c>
      <c r="BK1889">
        <v>0</v>
      </c>
      <c r="BL1889">
        <v>-2.27</v>
      </c>
      <c r="BM1889">
        <v>2.94</v>
      </c>
      <c r="BN1889">
        <v>-0.61</v>
      </c>
      <c r="BO1889">
        <v>-2.2599999999999998</v>
      </c>
      <c r="BP1889">
        <v>0.56000000000000005</v>
      </c>
      <c r="BQ1889">
        <v>3.14</v>
      </c>
      <c r="BR1889">
        <v>-0.06</v>
      </c>
      <c r="BS1889">
        <v>-0.34</v>
      </c>
      <c r="BT1889">
        <v>0.03</v>
      </c>
      <c r="BU1889">
        <v>-2.4300000000000002</v>
      </c>
      <c r="BV1889">
        <v>-2.61</v>
      </c>
      <c r="BW1889">
        <v>-2.35</v>
      </c>
      <c r="BX1889">
        <v>-2.13</v>
      </c>
      <c r="BY1889">
        <v>-1.93</v>
      </c>
      <c r="BZ1889">
        <v>-0.77</v>
      </c>
      <c r="CA1889">
        <v>-2.13</v>
      </c>
      <c r="CB1889">
        <v>-2.39</v>
      </c>
      <c r="CC1889">
        <v>-0.56000000000000005</v>
      </c>
      <c r="CD1889">
        <v>2.86</v>
      </c>
      <c r="CE1889">
        <v>-2.0299999999999998</v>
      </c>
      <c r="CF1889">
        <v>-0.44</v>
      </c>
      <c r="CG1889">
        <v>0</v>
      </c>
      <c r="CH1889">
        <v>-1.88</v>
      </c>
      <c r="CI1889">
        <v>0</v>
      </c>
      <c r="CJ1889">
        <v>-2.2000000000000002</v>
      </c>
      <c r="CK1889">
        <v>65</v>
      </c>
      <c r="CL1889">
        <v>-0.23</v>
      </c>
      <c r="CM1889">
        <v>62</v>
      </c>
      <c r="CN1889">
        <v>-0.06</v>
      </c>
      <c r="CO1889">
        <v>61</v>
      </c>
      <c r="CP1889">
        <v>-4.0999999999999996</v>
      </c>
      <c r="CQ1889">
        <v>53</v>
      </c>
      <c r="CR1889">
        <v>0</v>
      </c>
      <c r="CS1889">
        <v>0</v>
      </c>
      <c r="CT1889">
        <v>9.1</v>
      </c>
      <c r="CU1889">
        <v>50</v>
      </c>
      <c r="CV1889">
        <v>0.1</v>
      </c>
      <c r="CW1889">
        <v>39</v>
      </c>
      <c r="CX1889" t="s">
        <v>584</v>
      </c>
    </row>
    <row r="1890" spans="1:102" x14ac:dyDescent="0.3">
      <c r="A1890" t="str">
        <f>HYPERLINK("https://webapp.icbf.com/v2/app/bull-search/view/1376538996","S3150")</f>
        <v>S3150</v>
      </c>
      <c r="B1890" t="s">
        <v>2367</v>
      </c>
      <c r="C1890" t="s">
        <v>2368</v>
      </c>
      <c r="D1890" s="1">
        <v>42106</v>
      </c>
      <c r="E1890" t="s">
        <v>92</v>
      </c>
      <c r="F1890">
        <v>100</v>
      </c>
      <c r="G1890" t="s">
        <v>435</v>
      </c>
      <c r="H1890">
        <v>78.47</v>
      </c>
      <c r="I1890">
        <v>71</v>
      </c>
      <c r="J1890">
        <v>86.53</v>
      </c>
      <c r="K1890">
        <v>91</v>
      </c>
      <c r="L1890">
        <v>-47.67</v>
      </c>
      <c r="M1890">
        <v>68</v>
      </c>
      <c r="N1890">
        <v>24.47</v>
      </c>
      <c r="O1890">
        <v>68</v>
      </c>
      <c r="P1890">
        <v>2.68</v>
      </c>
      <c r="Q1890">
        <v>47</v>
      </c>
      <c r="R1890">
        <v>17.09</v>
      </c>
      <c r="S1890">
        <v>67</v>
      </c>
      <c r="T1890">
        <v>-11.78</v>
      </c>
      <c r="U1890">
        <v>38</v>
      </c>
      <c r="V1890">
        <v>7.15</v>
      </c>
      <c r="W1890">
        <v>55</v>
      </c>
      <c r="X1890" t="s">
        <v>110</v>
      </c>
      <c r="Y1890" t="s">
        <v>457</v>
      </c>
      <c r="Z1890" t="s">
        <v>96</v>
      </c>
      <c r="AA1890" t="s">
        <v>2298</v>
      </c>
      <c r="AB1890" t="s">
        <v>2369</v>
      </c>
      <c r="AC1890">
        <v>0</v>
      </c>
      <c r="AD1890">
        <v>0</v>
      </c>
      <c r="AE1890">
        <v>91</v>
      </c>
      <c r="AF1890">
        <v>606.32000000000005</v>
      </c>
      <c r="AG1890">
        <v>18.59</v>
      </c>
      <c r="AH1890">
        <v>17.420000000000002</v>
      </c>
      <c r="AI1890">
        <v>-0.08</v>
      </c>
      <c r="AJ1890">
        <v>-0.05</v>
      </c>
      <c r="AK1890">
        <v>68</v>
      </c>
      <c r="AL1890">
        <v>0</v>
      </c>
      <c r="AM1890">
        <v>0</v>
      </c>
      <c r="AN1890">
        <v>3.51</v>
      </c>
      <c r="AO1890">
        <v>-0.28000000000000003</v>
      </c>
      <c r="AP1890">
        <v>40</v>
      </c>
      <c r="AQ1890">
        <v>0</v>
      </c>
      <c r="AR1890">
        <v>10.59</v>
      </c>
      <c r="AS1890">
        <v>60</v>
      </c>
      <c r="AT1890">
        <v>3.2</v>
      </c>
      <c r="AU1890">
        <v>91</v>
      </c>
      <c r="AV1890">
        <v>-3.58</v>
      </c>
      <c r="AW1890">
        <v>73</v>
      </c>
      <c r="AX1890">
        <v>-0.26</v>
      </c>
      <c r="AY1890">
        <v>53</v>
      </c>
      <c r="AZ1890">
        <v>5.84</v>
      </c>
      <c r="BA1890">
        <v>36</v>
      </c>
      <c r="BB1890">
        <v>4.22</v>
      </c>
      <c r="BC1890">
        <v>35</v>
      </c>
      <c r="BD1890">
        <v>-0.06</v>
      </c>
      <c r="BE1890">
        <v>-7.0000000000000007E-2</v>
      </c>
      <c r="BF1890">
        <v>-0.16</v>
      </c>
      <c r="BG1890">
        <v>84</v>
      </c>
      <c r="BH1890">
        <v>0.06</v>
      </c>
      <c r="BI1890">
        <v>-16.11</v>
      </c>
      <c r="BJ1890">
        <v>0</v>
      </c>
      <c r="BK1890">
        <v>0</v>
      </c>
      <c r="BL1890">
        <v>3.08</v>
      </c>
      <c r="BM1890">
        <v>-0.71</v>
      </c>
      <c r="BN1890">
        <v>-0.04</v>
      </c>
      <c r="BO1890">
        <v>1.36</v>
      </c>
      <c r="BP1890">
        <v>-0.21</v>
      </c>
      <c r="BQ1890">
        <v>1.76</v>
      </c>
      <c r="BR1890">
        <v>-2.69</v>
      </c>
      <c r="BS1890">
        <v>1.62</v>
      </c>
      <c r="BT1890">
        <v>3.61</v>
      </c>
      <c r="BU1890">
        <v>5.81</v>
      </c>
      <c r="BV1890">
        <v>4.8899999999999997</v>
      </c>
      <c r="BW1890">
        <v>2.0099999999999998</v>
      </c>
      <c r="BX1890">
        <v>5.96</v>
      </c>
      <c r="BY1890">
        <v>3.26</v>
      </c>
      <c r="BZ1890">
        <v>-1.71</v>
      </c>
      <c r="CA1890">
        <v>4.5199999999999996</v>
      </c>
      <c r="CB1890">
        <v>4.04</v>
      </c>
      <c r="CC1890">
        <v>1.81</v>
      </c>
      <c r="CD1890">
        <v>-1.1299999999999999</v>
      </c>
      <c r="CE1890">
        <v>1.1599999999999999</v>
      </c>
      <c r="CF1890">
        <v>2.29</v>
      </c>
      <c r="CG1890">
        <v>0</v>
      </c>
      <c r="CH1890">
        <v>3.59</v>
      </c>
      <c r="CI1890">
        <v>0</v>
      </c>
      <c r="CJ1890">
        <v>4.7</v>
      </c>
      <c r="CK1890">
        <v>49</v>
      </c>
      <c r="CL1890">
        <v>-1.56</v>
      </c>
      <c r="CM1890">
        <v>47</v>
      </c>
      <c r="CN1890">
        <v>-0.91</v>
      </c>
      <c r="CO1890">
        <v>46</v>
      </c>
      <c r="CP1890">
        <v>10.9</v>
      </c>
      <c r="CQ1890">
        <v>40</v>
      </c>
      <c r="CR1890">
        <v>0</v>
      </c>
      <c r="CS1890">
        <v>0</v>
      </c>
      <c r="CT1890">
        <v>29.7</v>
      </c>
      <c r="CU1890">
        <v>38</v>
      </c>
      <c r="CV1890">
        <v>0.24</v>
      </c>
      <c r="CW1890">
        <v>35</v>
      </c>
      <c r="CX1890" t="s">
        <v>412</v>
      </c>
    </row>
    <row r="1891" spans="1:102" x14ac:dyDescent="0.3">
      <c r="A1891" t="str">
        <f>HYPERLINK("https://webapp.icbf.com/v2/app/bull-search/view/141706816","RYL")</f>
        <v>RYL</v>
      </c>
      <c r="B1891" t="s">
        <v>4025</v>
      </c>
      <c r="C1891" t="s">
        <v>4026</v>
      </c>
      <c r="D1891" s="1">
        <v>37647</v>
      </c>
      <c r="E1891" t="s">
        <v>108</v>
      </c>
      <c r="F1891">
        <v>0</v>
      </c>
      <c r="G1891" t="s">
        <v>93</v>
      </c>
      <c r="H1891">
        <v>78.459999999999994</v>
      </c>
      <c r="I1891">
        <v>94</v>
      </c>
      <c r="J1891">
        <v>8.6</v>
      </c>
      <c r="K1891">
        <v>99</v>
      </c>
      <c r="L1891">
        <v>73.959999999999994</v>
      </c>
      <c r="M1891">
        <v>88</v>
      </c>
      <c r="N1891">
        <v>-9.3800000000000008</v>
      </c>
      <c r="O1891">
        <v>94</v>
      </c>
      <c r="P1891">
        <v>-8.2100000000000009</v>
      </c>
      <c r="Q1891">
        <v>98</v>
      </c>
      <c r="R1891">
        <v>-2.2200000000000002</v>
      </c>
      <c r="S1891">
        <v>90</v>
      </c>
      <c r="T1891">
        <v>13.83</v>
      </c>
      <c r="U1891">
        <v>95</v>
      </c>
      <c r="V1891">
        <v>1.88</v>
      </c>
      <c r="W1891">
        <v>92</v>
      </c>
      <c r="X1891" t="s">
        <v>102</v>
      </c>
      <c r="Y1891" t="s">
        <v>95</v>
      </c>
      <c r="Z1891" t="s">
        <v>96</v>
      </c>
      <c r="AA1891" t="s">
        <v>975</v>
      </c>
      <c r="AB1891" t="s">
        <v>4027</v>
      </c>
      <c r="AC1891">
        <v>303</v>
      </c>
      <c r="AD1891">
        <v>123</v>
      </c>
      <c r="AE1891">
        <v>99</v>
      </c>
      <c r="AF1891">
        <v>158.63999999999999</v>
      </c>
      <c r="AG1891">
        <v>1.64</v>
      </c>
      <c r="AH1891">
        <v>3.31</v>
      </c>
      <c r="AI1891">
        <v>-0.08</v>
      </c>
      <c r="AJ1891">
        <v>-0.04</v>
      </c>
      <c r="AK1891">
        <v>88</v>
      </c>
      <c r="AL1891">
        <v>369</v>
      </c>
      <c r="AM1891">
        <v>157</v>
      </c>
      <c r="AN1891">
        <v>-3.09</v>
      </c>
      <c r="AO1891">
        <v>2.82</v>
      </c>
      <c r="AP1891">
        <v>569</v>
      </c>
      <c r="AQ1891">
        <v>6</v>
      </c>
      <c r="AR1891">
        <v>10.1</v>
      </c>
      <c r="AS1891">
        <v>87</v>
      </c>
      <c r="AT1891">
        <v>4.24</v>
      </c>
      <c r="AU1891">
        <v>95</v>
      </c>
      <c r="AV1891">
        <v>-0.88</v>
      </c>
      <c r="AW1891">
        <v>98</v>
      </c>
      <c r="AX1891">
        <v>-0.56000000000000005</v>
      </c>
      <c r="AY1891">
        <v>95</v>
      </c>
      <c r="AZ1891">
        <v>6.92</v>
      </c>
      <c r="BA1891">
        <v>84</v>
      </c>
      <c r="BB1891">
        <v>4.68</v>
      </c>
      <c r="BC1891">
        <v>87</v>
      </c>
      <c r="BD1891">
        <v>0</v>
      </c>
      <c r="BE1891">
        <v>-0.01</v>
      </c>
      <c r="BF1891">
        <v>7.0000000000000007E-2</v>
      </c>
      <c r="BG1891">
        <v>95</v>
      </c>
      <c r="BH1891">
        <v>-0.03</v>
      </c>
      <c r="BI1891">
        <v>-9.5299999999999994</v>
      </c>
      <c r="BJ1891">
        <v>44</v>
      </c>
      <c r="BK1891">
        <v>25</v>
      </c>
      <c r="BL1891">
        <v>-2.39</v>
      </c>
      <c r="BM1891">
        <v>0.01</v>
      </c>
      <c r="BN1891">
        <v>-1.71</v>
      </c>
      <c r="BO1891">
        <v>-1.24</v>
      </c>
      <c r="BP1891">
        <v>1.42</v>
      </c>
      <c r="BQ1891">
        <v>1.53</v>
      </c>
      <c r="BR1891">
        <v>0.21</v>
      </c>
      <c r="BS1891">
        <v>0.77</v>
      </c>
      <c r="BT1891">
        <v>-0.75</v>
      </c>
      <c r="BU1891">
        <v>-1.73</v>
      </c>
      <c r="BV1891">
        <v>-2.4</v>
      </c>
      <c r="BW1891">
        <v>-2</v>
      </c>
      <c r="BX1891">
        <v>-1</v>
      </c>
      <c r="BY1891">
        <v>-1.05</v>
      </c>
      <c r="BZ1891">
        <v>-0.3</v>
      </c>
      <c r="CA1891">
        <v>-1.49</v>
      </c>
      <c r="CB1891">
        <v>-2.0499999999999998</v>
      </c>
      <c r="CC1891">
        <v>0.18</v>
      </c>
      <c r="CD1891">
        <v>1.19</v>
      </c>
      <c r="CE1891">
        <v>-1.32</v>
      </c>
      <c r="CF1891">
        <v>-0.96</v>
      </c>
      <c r="CG1891">
        <v>0</v>
      </c>
      <c r="CH1891">
        <v>-1.1399999999999999</v>
      </c>
      <c r="CI1891">
        <v>0</v>
      </c>
      <c r="CJ1891">
        <v>-5.7</v>
      </c>
      <c r="CK1891">
        <v>99</v>
      </c>
      <c r="CL1891">
        <v>-0.24</v>
      </c>
      <c r="CM1891">
        <v>98</v>
      </c>
      <c r="CN1891">
        <v>-0.3</v>
      </c>
      <c r="CO1891">
        <v>98</v>
      </c>
      <c r="CP1891">
        <v>-9.1999999999999993</v>
      </c>
      <c r="CQ1891">
        <v>97</v>
      </c>
      <c r="CR1891">
        <v>0</v>
      </c>
      <c r="CS1891">
        <v>0</v>
      </c>
      <c r="CT1891">
        <v>-4.9000000000000004</v>
      </c>
      <c r="CU1891">
        <v>95</v>
      </c>
      <c r="CV1891">
        <v>-0.02</v>
      </c>
      <c r="CW1891">
        <v>46</v>
      </c>
      <c r="CX1891" t="s">
        <v>847</v>
      </c>
    </row>
    <row r="1892" spans="1:102" x14ac:dyDescent="0.3">
      <c r="A1892" t="str">
        <f>HYPERLINK("https://webapp.icbf.com/v2/app/bull-search/view/440114581","RGA")</f>
        <v>RGA</v>
      </c>
      <c r="B1892" t="s">
        <v>1268</v>
      </c>
      <c r="C1892" t="s">
        <v>1269</v>
      </c>
      <c r="D1892" s="1">
        <v>38734</v>
      </c>
      <c r="E1892" t="s">
        <v>92</v>
      </c>
      <c r="F1892">
        <v>94</v>
      </c>
      <c r="G1892" t="s">
        <v>93</v>
      </c>
      <c r="H1892">
        <v>78.25</v>
      </c>
      <c r="I1892">
        <v>89</v>
      </c>
      <c r="J1892">
        <v>26.6</v>
      </c>
      <c r="K1892">
        <v>97</v>
      </c>
      <c r="L1892">
        <v>29.9</v>
      </c>
      <c r="M1892">
        <v>82</v>
      </c>
      <c r="N1892">
        <v>26.97</v>
      </c>
      <c r="O1892">
        <v>88</v>
      </c>
      <c r="P1892">
        <v>-13.04</v>
      </c>
      <c r="Q1892">
        <v>93</v>
      </c>
      <c r="R1892">
        <v>2.67</v>
      </c>
      <c r="S1892">
        <v>85</v>
      </c>
      <c r="T1892">
        <v>10.64</v>
      </c>
      <c r="U1892">
        <v>89</v>
      </c>
      <c r="V1892">
        <v>-5.49</v>
      </c>
      <c r="W1892">
        <v>84</v>
      </c>
      <c r="X1892" t="s">
        <v>94</v>
      </c>
      <c r="Y1892" t="s">
        <v>1251</v>
      </c>
      <c r="Z1892" t="s">
        <v>96</v>
      </c>
      <c r="AA1892" t="s">
        <v>1165</v>
      </c>
      <c r="AB1892" t="s">
        <v>1270</v>
      </c>
      <c r="AC1892">
        <v>114</v>
      </c>
      <c r="AD1892">
        <v>84</v>
      </c>
      <c r="AE1892">
        <v>97</v>
      </c>
      <c r="AF1892">
        <v>11.74</v>
      </c>
      <c r="AG1892">
        <v>2.27</v>
      </c>
      <c r="AH1892">
        <v>3.9</v>
      </c>
      <c r="AI1892">
        <v>0.03</v>
      </c>
      <c r="AJ1892">
        <v>0.06</v>
      </c>
      <c r="AK1892">
        <v>82</v>
      </c>
      <c r="AL1892">
        <v>109</v>
      </c>
      <c r="AM1892">
        <v>76</v>
      </c>
      <c r="AN1892">
        <v>-1.19</v>
      </c>
      <c r="AO1892">
        <v>1.2</v>
      </c>
      <c r="AP1892">
        <v>229</v>
      </c>
      <c r="AQ1892">
        <v>1</v>
      </c>
      <c r="AR1892">
        <v>7.38</v>
      </c>
      <c r="AS1892">
        <v>73</v>
      </c>
      <c r="AT1892">
        <v>2.84</v>
      </c>
      <c r="AU1892">
        <v>90</v>
      </c>
      <c r="AV1892">
        <v>-2.15</v>
      </c>
      <c r="AW1892">
        <v>97</v>
      </c>
      <c r="AX1892">
        <v>-0.84</v>
      </c>
      <c r="AY1892">
        <v>83</v>
      </c>
      <c r="AZ1892">
        <v>5.39</v>
      </c>
      <c r="BA1892">
        <v>70</v>
      </c>
      <c r="BB1892">
        <v>4.3099999999999996</v>
      </c>
      <c r="BC1892">
        <v>73</v>
      </c>
      <c r="BD1892">
        <v>-0.05</v>
      </c>
      <c r="BE1892">
        <v>-0.02</v>
      </c>
      <c r="BF1892">
        <v>0.06</v>
      </c>
      <c r="BG1892">
        <v>91</v>
      </c>
      <c r="BH1892">
        <v>0.01</v>
      </c>
      <c r="BI1892">
        <v>18.88</v>
      </c>
      <c r="BJ1892">
        <v>21</v>
      </c>
      <c r="BK1892">
        <v>19</v>
      </c>
      <c r="BL1892">
        <v>0.14000000000000001</v>
      </c>
      <c r="BM1892">
        <v>-0.57999999999999996</v>
      </c>
      <c r="BN1892">
        <v>-0.41</v>
      </c>
      <c r="BO1892">
        <v>0</v>
      </c>
      <c r="BP1892">
        <v>2.08</v>
      </c>
      <c r="BQ1892">
        <v>-0.45</v>
      </c>
      <c r="BR1892">
        <v>0.62</v>
      </c>
      <c r="BS1892">
        <v>-1.59</v>
      </c>
      <c r="BT1892">
        <v>-1.63</v>
      </c>
      <c r="BU1892">
        <v>-1.55</v>
      </c>
      <c r="BV1892">
        <v>-0.85</v>
      </c>
      <c r="BW1892">
        <v>-1.19</v>
      </c>
      <c r="BX1892">
        <v>-0.6</v>
      </c>
      <c r="BY1892">
        <v>0.13</v>
      </c>
      <c r="BZ1892">
        <v>-1.82</v>
      </c>
      <c r="CA1892">
        <v>-0.75</v>
      </c>
      <c r="CB1892">
        <v>-0.35</v>
      </c>
      <c r="CC1892">
        <v>-1.36</v>
      </c>
      <c r="CD1892">
        <v>-7.0000000000000007E-2</v>
      </c>
      <c r="CE1892">
        <v>0.02</v>
      </c>
      <c r="CF1892">
        <v>-0.31</v>
      </c>
      <c r="CG1892">
        <v>0</v>
      </c>
      <c r="CH1892">
        <v>-0.55000000000000004</v>
      </c>
      <c r="CI1892">
        <v>0</v>
      </c>
      <c r="CJ1892">
        <v>-2.8</v>
      </c>
      <c r="CK1892">
        <v>94</v>
      </c>
      <c r="CL1892">
        <v>-0.88</v>
      </c>
      <c r="CM1892">
        <v>93</v>
      </c>
      <c r="CN1892">
        <v>-7.0000000000000007E-2</v>
      </c>
      <c r="CO1892">
        <v>92</v>
      </c>
      <c r="CP1892">
        <v>-6.1</v>
      </c>
      <c r="CQ1892">
        <v>90</v>
      </c>
      <c r="CR1892">
        <v>0</v>
      </c>
      <c r="CS1892">
        <v>0</v>
      </c>
      <c r="CT1892">
        <v>-0.6</v>
      </c>
      <c r="CU1892">
        <v>89</v>
      </c>
      <c r="CV1892">
        <v>0.3</v>
      </c>
      <c r="CW1892">
        <v>47</v>
      </c>
      <c r="CX1892" t="s">
        <v>771</v>
      </c>
    </row>
    <row r="1893" spans="1:102" x14ac:dyDescent="0.3">
      <c r="A1893" t="str">
        <f>HYPERLINK("https://webapp.icbf.com/v2/app/bull-search/view/547761200","WSO")</f>
        <v>WSO</v>
      </c>
      <c r="B1893" t="s">
        <v>12308</v>
      </c>
      <c r="C1893" t="s">
        <v>8472</v>
      </c>
      <c r="D1893" s="1">
        <v>37633</v>
      </c>
      <c r="E1893" t="s">
        <v>92</v>
      </c>
      <c r="F1893">
        <v>100</v>
      </c>
      <c r="G1893" t="s">
        <v>93</v>
      </c>
      <c r="H1893">
        <v>78.23</v>
      </c>
      <c r="I1893">
        <v>98</v>
      </c>
      <c r="J1893">
        <v>43.4</v>
      </c>
      <c r="K1893">
        <v>99</v>
      </c>
      <c r="L1893">
        <v>10.19</v>
      </c>
      <c r="M1893">
        <v>96</v>
      </c>
      <c r="N1893">
        <v>17.48</v>
      </c>
      <c r="O1893">
        <v>99</v>
      </c>
      <c r="P1893">
        <v>0.61</v>
      </c>
      <c r="Q1893">
        <v>99</v>
      </c>
      <c r="R1893">
        <v>-3.97</v>
      </c>
      <c r="S1893">
        <v>97</v>
      </c>
      <c r="T1893">
        <v>1.32</v>
      </c>
      <c r="U1893">
        <v>99</v>
      </c>
      <c r="V1893">
        <v>9.1999999999999993</v>
      </c>
      <c r="W1893">
        <v>98</v>
      </c>
      <c r="X1893" t="s">
        <v>94</v>
      </c>
      <c r="Y1893" t="s">
        <v>270</v>
      </c>
      <c r="Z1893" t="s">
        <v>96</v>
      </c>
      <c r="AA1893" t="s">
        <v>4023</v>
      </c>
      <c r="AB1893" t="s">
        <v>12309</v>
      </c>
      <c r="AC1893">
        <v>2198</v>
      </c>
      <c r="AD1893">
        <v>726</v>
      </c>
      <c r="AE1893">
        <v>99</v>
      </c>
      <c r="AF1893">
        <v>263.24</v>
      </c>
      <c r="AG1893">
        <v>6.25</v>
      </c>
      <c r="AH1893">
        <v>9.1999999999999993</v>
      </c>
      <c r="AI1893">
        <v>-7.0000000000000007E-2</v>
      </c>
      <c r="AJ1893">
        <v>0.01</v>
      </c>
      <c r="AK1893">
        <v>96</v>
      </c>
      <c r="AL1893">
        <v>2481</v>
      </c>
      <c r="AM1893">
        <v>872</v>
      </c>
      <c r="AN1893">
        <v>-0.01</v>
      </c>
      <c r="AO1893">
        <v>0.81</v>
      </c>
      <c r="AP1893">
        <v>3474</v>
      </c>
      <c r="AQ1893">
        <v>27</v>
      </c>
      <c r="AR1893">
        <v>7.24</v>
      </c>
      <c r="AS1893">
        <v>98</v>
      </c>
      <c r="AT1893">
        <v>3.58</v>
      </c>
      <c r="AU1893">
        <v>99</v>
      </c>
      <c r="AV1893">
        <v>-2.12</v>
      </c>
      <c r="AW1893">
        <v>99</v>
      </c>
      <c r="AX1893">
        <v>-0.25</v>
      </c>
      <c r="AY1893">
        <v>99</v>
      </c>
      <c r="AZ1893">
        <v>6.1</v>
      </c>
      <c r="BA1893">
        <v>96</v>
      </c>
      <c r="BB1893">
        <v>4.45</v>
      </c>
      <c r="BC1893">
        <v>97</v>
      </c>
      <c r="BD1893">
        <v>-0.04</v>
      </c>
      <c r="BE1893">
        <v>0.02</v>
      </c>
      <c r="BF1893">
        <v>0.12</v>
      </c>
      <c r="BG1893">
        <v>99</v>
      </c>
      <c r="BH1893">
        <v>0.21</v>
      </c>
      <c r="BI1893">
        <v>-5.37</v>
      </c>
      <c r="BJ1893">
        <v>158</v>
      </c>
      <c r="BK1893">
        <v>62</v>
      </c>
      <c r="BL1893">
        <v>0.43</v>
      </c>
      <c r="BM1893">
        <v>1.06</v>
      </c>
      <c r="BN1893">
        <v>0.38</v>
      </c>
      <c r="BO1893">
        <v>0.34</v>
      </c>
      <c r="BP1893">
        <v>0.38</v>
      </c>
      <c r="BQ1893">
        <v>0.28000000000000003</v>
      </c>
      <c r="BR1893">
        <v>0.27</v>
      </c>
      <c r="BS1893">
        <v>0.94</v>
      </c>
      <c r="BT1893">
        <v>0.81</v>
      </c>
      <c r="BU1893">
        <v>1.05</v>
      </c>
      <c r="BV1893">
        <v>0.74</v>
      </c>
      <c r="BW1893">
        <v>0.1</v>
      </c>
      <c r="BX1893">
        <v>0.43</v>
      </c>
      <c r="BY1893">
        <v>1.0900000000000001</v>
      </c>
      <c r="BZ1893">
        <v>-0.63</v>
      </c>
      <c r="CA1893">
        <v>1.1200000000000001</v>
      </c>
      <c r="CB1893">
        <v>1</v>
      </c>
      <c r="CC1893">
        <v>0.98</v>
      </c>
      <c r="CD1893">
        <v>0.49</v>
      </c>
      <c r="CE1893">
        <v>0.56000000000000005</v>
      </c>
      <c r="CF1893">
        <v>0.72</v>
      </c>
      <c r="CG1893">
        <v>0</v>
      </c>
      <c r="CH1893">
        <v>1.01</v>
      </c>
      <c r="CI1893">
        <v>0</v>
      </c>
      <c r="CJ1893">
        <v>3.5</v>
      </c>
      <c r="CK1893">
        <v>99</v>
      </c>
      <c r="CL1893">
        <v>-0.78</v>
      </c>
      <c r="CM1893">
        <v>99</v>
      </c>
      <c r="CN1893">
        <v>-0.3</v>
      </c>
      <c r="CO1893">
        <v>99</v>
      </c>
      <c r="CP1893">
        <v>2.1</v>
      </c>
      <c r="CQ1893">
        <v>99</v>
      </c>
      <c r="CR1893">
        <v>0</v>
      </c>
      <c r="CS1893">
        <v>0</v>
      </c>
      <c r="CT1893">
        <v>12</v>
      </c>
      <c r="CU1893">
        <v>99</v>
      </c>
      <c r="CV1893">
        <v>0.15</v>
      </c>
      <c r="CW1893">
        <v>48</v>
      </c>
      <c r="CX1893" t="s">
        <v>961</v>
      </c>
    </row>
    <row r="1894" spans="1:102" x14ac:dyDescent="0.3">
      <c r="A1894" t="str">
        <f>HYPERLINK("https://webapp.icbf.com/v2/app/bull-search/view/69091381","CSA")</f>
        <v>CSA</v>
      </c>
      <c r="B1894" t="s">
        <v>5022</v>
      </c>
      <c r="C1894" t="s">
        <v>5023</v>
      </c>
      <c r="D1894" s="1">
        <v>32118</v>
      </c>
      <c r="E1894" t="s">
        <v>140</v>
      </c>
      <c r="F1894">
        <v>0</v>
      </c>
      <c r="G1894" t="s">
        <v>109</v>
      </c>
      <c r="H1894">
        <v>78.09</v>
      </c>
      <c r="I1894">
        <v>64</v>
      </c>
      <c r="J1894">
        <v>-56.8</v>
      </c>
      <c r="K1894">
        <v>75</v>
      </c>
      <c r="L1894">
        <v>146.43</v>
      </c>
      <c r="M1894">
        <v>54</v>
      </c>
      <c r="N1894">
        <v>-23.2</v>
      </c>
      <c r="O1894">
        <v>63</v>
      </c>
      <c r="P1894">
        <v>13.89</v>
      </c>
      <c r="Q1894">
        <v>75</v>
      </c>
      <c r="R1894">
        <v>4.74</v>
      </c>
      <c r="S1894">
        <v>57</v>
      </c>
      <c r="T1894">
        <v>11.53</v>
      </c>
      <c r="U1894">
        <v>66</v>
      </c>
      <c r="V1894">
        <v>-18.5</v>
      </c>
      <c r="W1894">
        <v>37</v>
      </c>
      <c r="X1894" t="s">
        <v>94</v>
      </c>
      <c r="Y1894" t="s">
        <v>95</v>
      </c>
      <c r="Z1894">
        <v>0</v>
      </c>
      <c r="AA1894" t="s">
        <v>696</v>
      </c>
      <c r="AB1894" t="s">
        <v>3283</v>
      </c>
      <c r="AC1894">
        <v>0</v>
      </c>
      <c r="AD1894">
        <v>0</v>
      </c>
      <c r="AE1894">
        <v>75</v>
      </c>
      <c r="AF1894">
        <v>-196.57</v>
      </c>
      <c r="AG1894">
        <v>-15.32</v>
      </c>
      <c r="AH1894">
        <v>-7.25</v>
      </c>
      <c r="AI1894">
        <v>-0.13</v>
      </c>
      <c r="AJ1894">
        <v>-0.01</v>
      </c>
      <c r="AK1894">
        <v>54</v>
      </c>
      <c r="AL1894">
        <v>42</v>
      </c>
      <c r="AM1894">
        <v>28</v>
      </c>
      <c r="AN1894">
        <v>-7.01</v>
      </c>
      <c r="AO1894">
        <v>4.68</v>
      </c>
      <c r="AP1894">
        <v>11</v>
      </c>
      <c r="AQ1894">
        <v>0</v>
      </c>
      <c r="AR1894">
        <v>7.96</v>
      </c>
      <c r="AS1894">
        <v>38</v>
      </c>
      <c r="AT1894">
        <v>4.66</v>
      </c>
      <c r="AU1894">
        <v>51</v>
      </c>
      <c r="AV1894">
        <v>1.66</v>
      </c>
      <c r="AW1894">
        <v>83</v>
      </c>
      <c r="AX1894">
        <v>-0.44</v>
      </c>
      <c r="AY1894">
        <v>67</v>
      </c>
      <c r="AZ1894">
        <v>4.78</v>
      </c>
      <c r="BA1894">
        <v>26</v>
      </c>
      <c r="BB1894">
        <v>4.41</v>
      </c>
      <c r="BC1894">
        <v>45</v>
      </c>
      <c r="BD1894">
        <v>0</v>
      </c>
      <c r="BE1894">
        <v>-0.01</v>
      </c>
      <c r="BF1894">
        <v>-0.09</v>
      </c>
      <c r="BG1894">
        <v>71</v>
      </c>
      <c r="BH1894">
        <v>-0.44</v>
      </c>
      <c r="BI1894">
        <v>8.7799999999999994</v>
      </c>
      <c r="BJ1894">
        <v>0</v>
      </c>
      <c r="BK1894">
        <v>0</v>
      </c>
      <c r="BL1894">
        <v>-0.91</v>
      </c>
      <c r="BM1894">
        <v>3.61</v>
      </c>
      <c r="BN1894">
        <v>-1.74</v>
      </c>
      <c r="BO1894">
        <v>-3.16</v>
      </c>
      <c r="BP1894">
        <v>4.05</v>
      </c>
      <c r="BQ1894">
        <v>-2.2999999999999998</v>
      </c>
      <c r="BR1894">
        <v>-2.92</v>
      </c>
      <c r="BS1894">
        <v>0.06</v>
      </c>
      <c r="BT1894">
        <v>2.79</v>
      </c>
      <c r="BU1894">
        <v>-3.88</v>
      </c>
      <c r="BV1894">
        <v>-4.38</v>
      </c>
      <c r="BW1894">
        <v>-3.34</v>
      </c>
      <c r="BX1894">
        <v>-3.47</v>
      </c>
      <c r="BY1894">
        <v>-2.0299999999999998</v>
      </c>
      <c r="BZ1894">
        <v>1.28</v>
      </c>
      <c r="CA1894">
        <v>-2.63</v>
      </c>
      <c r="CB1894">
        <v>-3.49</v>
      </c>
      <c r="CC1894">
        <v>-0.17</v>
      </c>
      <c r="CD1894">
        <v>4.2</v>
      </c>
      <c r="CE1894">
        <v>-3.14</v>
      </c>
      <c r="CF1894">
        <v>-0.95</v>
      </c>
      <c r="CG1894">
        <v>0</v>
      </c>
      <c r="CH1894">
        <v>-3.36</v>
      </c>
      <c r="CI1894">
        <v>0</v>
      </c>
      <c r="CJ1894">
        <v>3.5</v>
      </c>
      <c r="CK1894">
        <v>76</v>
      </c>
      <c r="CL1894">
        <v>0.48</v>
      </c>
      <c r="CM1894">
        <v>72</v>
      </c>
      <c r="CN1894">
        <v>-0.32</v>
      </c>
      <c r="CO1894">
        <v>69</v>
      </c>
      <c r="CP1894">
        <v>2.4</v>
      </c>
      <c r="CQ1894">
        <v>80</v>
      </c>
      <c r="CR1894">
        <v>0</v>
      </c>
      <c r="CS1894">
        <v>0</v>
      </c>
      <c r="CT1894">
        <v>-1.8</v>
      </c>
      <c r="CU1894">
        <v>66</v>
      </c>
      <c r="CV1894">
        <v>-0.28000000000000003</v>
      </c>
      <c r="CW1894">
        <v>20</v>
      </c>
      <c r="CX1894" t="s">
        <v>363</v>
      </c>
    </row>
    <row r="1895" spans="1:102" x14ac:dyDescent="0.3">
      <c r="A1895" t="str">
        <f>HYPERLINK("https://webapp.icbf.com/v2/app/bull-search/view/859903832","YRD")</f>
        <v>YRD</v>
      </c>
      <c r="B1895" t="s">
        <v>7591</v>
      </c>
      <c r="C1895" t="s">
        <v>7592</v>
      </c>
      <c r="D1895" s="1">
        <v>40570</v>
      </c>
      <c r="E1895" t="s">
        <v>92</v>
      </c>
      <c r="F1895">
        <v>97</v>
      </c>
      <c r="G1895" t="s">
        <v>93</v>
      </c>
      <c r="H1895">
        <v>78.010000000000005</v>
      </c>
      <c r="I1895">
        <v>89</v>
      </c>
      <c r="J1895">
        <v>67.47</v>
      </c>
      <c r="K1895">
        <v>98</v>
      </c>
      <c r="L1895">
        <v>-28.56</v>
      </c>
      <c r="M1895">
        <v>82</v>
      </c>
      <c r="N1895">
        <v>33.33</v>
      </c>
      <c r="O1895">
        <v>90</v>
      </c>
      <c r="P1895">
        <v>-14.42</v>
      </c>
      <c r="Q1895">
        <v>96</v>
      </c>
      <c r="R1895">
        <v>4.32</v>
      </c>
      <c r="S1895">
        <v>82</v>
      </c>
      <c r="T1895">
        <v>24.41</v>
      </c>
      <c r="U1895">
        <v>88</v>
      </c>
      <c r="V1895">
        <v>-8.5399999999999991</v>
      </c>
      <c r="W1895">
        <v>76</v>
      </c>
      <c r="X1895" t="s">
        <v>276</v>
      </c>
      <c r="Y1895" t="s">
        <v>1775</v>
      </c>
      <c r="Z1895" t="s">
        <v>96</v>
      </c>
      <c r="AA1895" t="s">
        <v>7593</v>
      </c>
      <c r="AB1895" t="s">
        <v>7594</v>
      </c>
      <c r="AC1895">
        <v>223</v>
      </c>
      <c r="AD1895">
        <v>97</v>
      </c>
      <c r="AE1895">
        <v>98</v>
      </c>
      <c r="AF1895">
        <v>95.38</v>
      </c>
      <c r="AG1895">
        <v>11.29</v>
      </c>
      <c r="AH1895">
        <v>8.94</v>
      </c>
      <c r="AI1895">
        <v>0.13</v>
      </c>
      <c r="AJ1895">
        <v>0.1</v>
      </c>
      <c r="AK1895">
        <v>82</v>
      </c>
      <c r="AL1895">
        <v>234</v>
      </c>
      <c r="AM1895">
        <v>107</v>
      </c>
      <c r="AN1895">
        <v>0.61</v>
      </c>
      <c r="AO1895">
        <v>-1.68</v>
      </c>
      <c r="AP1895">
        <v>481</v>
      </c>
      <c r="AQ1895">
        <v>0</v>
      </c>
      <c r="AR1895">
        <v>6.91</v>
      </c>
      <c r="AS1895">
        <v>81</v>
      </c>
      <c r="AT1895">
        <v>2.78</v>
      </c>
      <c r="AU1895">
        <v>93</v>
      </c>
      <c r="AV1895">
        <v>-3.3</v>
      </c>
      <c r="AW1895">
        <v>98</v>
      </c>
      <c r="AX1895">
        <v>0.01</v>
      </c>
      <c r="AY1895">
        <v>91</v>
      </c>
      <c r="AZ1895">
        <v>5.89</v>
      </c>
      <c r="BA1895">
        <v>74</v>
      </c>
      <c r="BB1895">
        <v>4.6399999999999997</v>
      </c>
      <c r="BC1895">
        <v>70</v>
      </c>
      <c r="BD1895">
        <v>-0.02</v>
      </c>
      <c r="BE1895">
        <v>-0.04</v>
      </c>
      <c r="BF1895">
        <v>0.01</v>
      </c>
      <c r="BG1895">
        <v>93</v>
      </c>
      <c r="BH1895">
        <v>-0.27</v>
      </c>
      <c r="BI1895">
        <v>-3.68</v>
      </c>
      <c r="BJ1895">
        <v>26</v>
      </c>
      <c r="BK1895">
        <v>10</v>
      </c>
      <c r="BL1895">
        <v>-0.55000000000000004</v>
      </c>
      <c r="BM1895">
        <v>-1.43</v>
      </c>
      <c r="BN1895">
        <v>-1.39</v>
      </c>
      <c r="BO1895">
        <v>0.01</v>
      </c>
      <c r="BP1895">
        <v>2.57</v>
      </c>
      <c r="BQ1895">
        <v>-1.74</v>
      </c>
      <c r="BR1895">
        <v>-2.33</v>
      </c>
      <c r="BS1895">
        <v>1.99</v>
      </c>
      <c r="BT1895">
        <v>2.67</v>
      </c>
      <c r="BU1895">
        <v>-1.01</v>
      </c>
      <c r="BV1895">
        <v>-0.41</v>
      </c>
      <c r="BW1895">
        <v>-0.76</v>
      </c>
      <c r="BX1895">
        <v>-1.36</v>
      </c>
      <c r="BY1895">
        <v>0.46</v>
      </c>
      <c r="BZ1895">
        <v>2.36</v>
      </c>
      <c r="CA1895">
        <v>0.32</v>
      </c>
      <c r="CB1895">
        <v>-0.38</v>
      </c>
      <c r="CC1895">
        <v>1.23</v>
      </c>
      <c r="CD1895">
        <v>-0.83</v>
      </c>
      <c r="CE1895">
        <v>0.16</v>
      </c>
      <c r="CF1895">
        <v>-0.8</v>
      </c>
      <c r="CG1895">
        <v>0</v>
      </c>
      <c r="CH1895">
        <v>0.39</v>
      </c>
      <c r="CI1895">
        <v>0</v>
      </c>
      <c r="CJ1895">
        <v>-6.1</v>
      </c>
      <c r="CK1895">
        <v>97</v>
      </c>
      <c r="CL1895">
        <v>-0.71</v>
      </c>
      <c r="CM1895">
        <v>96</v>
      </c>
      <c r="CN1895">
        <v>-0.25</v>
      </c>
      <c r="CO1895">
        <v>96</v>
      </c>
      <c r="CP1895">
        <v>-10.7</v>
      </c>
      <c r="CQ1895">
        <v>91</v>
      </c>
      <c r="CR1895">
        <v>0</v>
      </c>
      <c r="CS1895">
        <v>0</v>
      </c>
      <c r="CT1895">
        <v>-19.2</v>
      </c>
      <c r="CU1895">
        <v>88</v>
      </c>
      <c r="CV1895">
        <v>0.08</v>
      </c>
      <c r="CW1895">
        <v>46</v>
      </c>
      <c r="CX1895" t="s">
        <v>771</v>
      </c>
    </row>
    <row r="1896" spans="1:102" x14ac:dyDescent="0.3">
      <c r="A1896" t="str">
        <f>HYPERLINK("https://webapp.icbf.com/v2/app/bull-search/view/714763183","S1500")</f>
        <v>S1500</v>
      </c>
      <c r="B1896" t="s">
        <v>13441</v>
      </c>
      <c r="C1896" t="s">
        <v>13442</v>
      </c>
      <c r="D1896" s="1">
        <v>38906</v>
      </c>
      <c r="E1896" t="s">
        <v>92</v>
      </c>
      <c r="F1896">
        <v>100</v>
      </c>
      <c r="G1896" t="s">
        <v>109</v>
      </c>
      <c r="H1896">
        <v>77.97</v>
      </c>
      <c r="I1896">
        <v>67</v>
      </c>
      <c r="J1896">
        <v>66.47</v>
      </c>
      <c r="K1896">
        <v>78</v>
      </c>
      <c r="L1896">
        <v>-25.52</v>
      </c>
      <c r="M1896">
        <v>74</v>
      </c>
      <c r="N1896">
        <v>28.1</v>
      </c>
      <c r="O1896">
        <v>60</v>
      </c>
      <c r="P1896">
        <v>-14.57</v>
      </c>
      <c r="Q1896">
        <v>53</v>
      </c>
      <c r="R1896">
        <v>8.1300000000000008</v>
      </c>
      <c r="S1896">
        <v>63</v>
      </c>
      <c r="T1896">
        <v>14.27</v>
      </c>
      <c r="U1896">
        <v>42</v>
      </c>
      <c r="V1896">
        <v>1.0900000000000001</v>
      </c>
      <c r="W1896">
        <v>28</v>
      </c>
      <c r="X1896" t="s">
        <v>102</v>
      </c>
      <c r="Y1896" t="s">
        <v>362</v>
      </c>
      <c r="Z1896" t="s">
        <v>96</v>
      </c>
      <c r="AA1896" t="s">
        <v>358</v>
      </c>
      <c r="AB1896" t="s">
        <v>13443</v>
      </c>
      <c r="AC1896">
        <v>0</v>
      </c>
      <c r="AD1896">
        <v>0</v>
      </c>
      <c r="AE1896">
        <v>78</v>
      </c>
      <c r="AF1896">
        <v>196.79</v>
      </c>
      <c r="AG1896">
        <v>8.81</v>
      </c>
      <c r="AH1896">
        <v>11.2</v>
      </c>
      <c r="AI1896">
        <v>0.02</v>
      </c>
      <c r="AJ1896">
        <v>7.0000000000000007E-2</v>
      </c>
      <c r="AK1896">
        <v>74</v>
      </c>
      <c r="AL1896">
        <v>0</v>
      </c>
      <c r="AM1896">
        <v>0</v>
      </c>
      <c r="AN1896">
        <v>3.34</v>
      </c>
      <c r="AO1896">
        <v>1.33</v>
      </c>
      <c r="AP1896">
        <v>28</v>
      </c>
      <c r="AQ1896">
        <v>0</v>
      </c>
      <c r="AR1896">
        <v>6.6</v>
      </c>
      <c r="AS1896">
        <v>39</v>
      </c>
      <c r="AT1896">
        <v>2.77</v>
      </c>
      <c r="AU1896">
        <v>88</v>
      </c>
      <c r="AV1896">
        <v>-2.96</v>
      </c>
      <c r="AW1896">
        <v>63</v>
      </c>
      <c r="AX1896">
        <v>0.09</v>
      </c>
      <c r="AY1896">
        <v>43</v>
      </c>
      <c r="AZ1896">
        <v>6.52</v>
      </c>
      <c r="BA1896">
        <v>33</v>
      </c>
      <c r="BB1896">
        <v>5.1100000000000003</v>
      </c>
      <c r="BC1896">
        <v>30</v>
      </c>
      <c r="BD1896">
        <v>0</v>
      </c>
      <c r="BE1896">
        <v>-0.03</v>
      </c>
      <c r="BF1896">
        <v>-0.13</v>
      </c>
      <c r="BG1896">
        <v>87</v>
      </c>
      <c r="BH1896">
        <v>-0.04</v>
      </c>
      <c r="BI1896">
        <v>-8.1300000000000008</v>
      </c>
      <c r="BJ1896">
        <v>3</v>
      </c>
      <c r="BK1896">
        <v>2</v>
      </c>
      <c r="BL1896">
        <v>0.03</v>
      </c>
      <c r="BM1896">
        <v>-1.33</v>
      </c>
      <c r="BN1896">
        <v>-1.1399999999999999</v>
      </c>
      <c r="BO1896">
        <v>0.53</v>
      </c>
      <c r="BP1896">
        <v>1.27</v>
      </c>
      <c r="BQ1896">
        <v>-2.4900000000000002</v>
      </c>
      <c r="BR1896">
        <v>-0.28000000000000003</v>
      </c>
      <c r="BS1896">
        <v>2.4900000000000002</v>
      </c>
      <c r="BT1896">
        <v>1.51</v>
      </c>
      <c r="BU1896">
        <v>1.37</v>
      </c>
      <c r="BV1896">
        <v>0.44</v>
      </c>
      <c r="BW1896">
        <v>-2.02</v>
      </c>
      <c r="BX1896">
        <v>1.55</v>
      </c>
      <c r="BY1896">
        <v>-0.71</v>
      </c>
      <c r="BZ1896">
        <v>-0.75</v>
      </c>
      <c r="CA1896">
        <v>1.96</v>
      </c>
      <c r="CB1896">
        <v>1.08</v>
      </c>
      <c r="CC1896">
        <v>2.61</v>
      </c>
      <c r="CD1896">
        <v>-1.19</v>
      </c>
      <c r="CE1896">
        <v>0.85</v>
      </c>
      <c r="CF1896">
        <v>0.43</v>
      </c>
      <c r="CG1896">
        <v>0</v>
      </c>
      <c r="CH1896">
        <v>1.1299999999999999</v>
      </c>
      <c r="CI1896">
        <v>0</v>
      </c>
      <c r="CJ1896">
        <v>-6</v>
      </c>
      <c r="CK1896">
        <v>56</v>
      </c>
      <c r="CL1896">
        <v>-0.89</v>
      </c>
      <c r="CM1896">
        <v>52</v>
      </c>
      <c r="CN1896">
        <v>-0.32</v>
      </c>
      <c r="CO1896">
        <v>49</v>
      </c>
      <c r="CP1896">
        <v>-5.7</v>
      </c>
      <c r="CQ1896">
        <v>44</v>
      </c>
      <c r="CR1896">
        <v>0</v>
      </c>
      <c r="CS1896">
        <v>0</v>
      </c>
      <c r="CT1896">
        <v>-5.5</v>
      </c>
      <c r="CU1896">
        <v>42</v>
      </c>
      <c r="CV1896">
        <v>0.1</v>
      </c>
      <c r="CW1896">
        <v>16</v>
      </c>
      <c r="CX1896" t="s">
        <v>4470</v>
      </c>
    </row>
    <row r="1897" spans="1:102" x14ac:dyDescent="0.3">
      <c r="A1897" t="str">
        <f>HYPERLINK("https://webapp.icbf.com/v2/app/bull-search/view/669004604","S687")</f>
        <v>S687</v>
      </c>
      <c r="B1897" t="s">
        <v>5030</v>
      </c>
      <c r="C1897" t="s">
        <v>5031</v>
      </c>
      <c r="D1897" s="1">
        <v>37374</v>
      </c>
      <c r="E1897" t="s">
        <v>197</v>
      </c>
      <c r="F1897">
        <v>0</v>
      </c>
      <c r="G1897" t="s">
        <v>116</v>
      </c>
      <c r="H1897">
        <v>77.819999999999993</v>
      </c>
      <c r="I1897">
        <v>36</v>
      </c>
      <c r="J1897">
        <v>-5.33</v>
      </c>
      <c r="K1897">
        <v>54</v>
      </c>
      <c r="L1897">
        <v>79.989999999999995</v>
      </c>
      <c r="M1897">
        <v>20</v>
      </c>
      <c r="N1897">
        <v>-9.48</v>
      </c>
      <c r="O1897">
        <v>30</v>
      </c>
      <c r="P1897">
        <v>7.83</v>
      </c>
      <c r="Q1897">
        <v>43</v>
      </c>
      <c r="R1897">
        <v>-3.29</v>
      </c>
      <c r="S1897">
        <v>21</v>
      </c>
      <c r="T1897">
        <v>11.24</v>
      </c>
      <c r="U1897">
        <v>40</v>
      </c>
      <c r="V1897">
        <v>-3.14</v>
      </c>
      <c r="W1897">
        <v>29</v>
      </c>
      <c r="X1897" t="s">
        <v>94</v>
      </c>
      <c r="Y1897" t="s">
        <v>1494</v>
      </c>
      <c r="Z1897">
        <v>0</v>
      </c>
      <c r="AA1897" t="s">
        <v>5032</v>
      </c>
      <c r="AB1897" t="s">
        <v>5033</v>
      </c>
      <c r="AC1897">
        <v>4</v>
      </c>
      <c r="AD1897">
        <v>1</v>
      </c>
      <c r="AE1897">
        <v>54</v>
      </c>
      <c r="AF1897">
        <v>-237.74</v>
      </c>
      <c r="AG1897">
        <v>1.2</v>
      </c>
      <c r="AH1897">
        <v>-4.97</v>
      </c>
      <c r="AI1897">
        <v>0.18</v>
      </c>
      <c r="AJ1897">
        <v>0.05</v>
      </c>
      <c r="AK1897">
        <v>20</v>
      </c>
      <c r="AL1897">
        <v>6</v>
      </c>
      <c r="AM1897">
        <v>2</v>
      </c>
      <c r="AN1897">
        <v>-6.64</v>
      </c>
      <c r="AO1897">
        <v>-0.28999999999999998</v>
      </c>
      <c r="AP1897">
        <v>9</v>
      </c>
      <c r="AQ1897">
        <v>0</v>
      </c>
      <c r="AR1897">
        <v>4.33</v>
      </c>
      <c r="AS1897">
        <v>6</v>
      </c>
      <c r="AT1897">
        <v>4.84</v>
      </c>
      <c r="AU1897">
        <v>25</v>
      </c>
      <c r="AV1897">
        <v>1.1499999999999999</v>
      </c>
      <c r="AW1897">
        <v>46</v>
      </c>
      <c r="AX1897">
        <v>0.71</v>
      </c>
      <c r="AY1897">
        <v>27</v>
      </c>
      <c r="AZ1897">
        <v>5.61</v>
      </c>
      <c r="BA1897">
        <v>6</v>
      </c>
      <c r="BB1897">
        <v>3.38</v>
      </c>
      <c r="BC1897">
        <v>9</v>
      </c>
      <c r="BD1897">
        <v>0.04</v>
      </c>
      <c r="BE1897">
        <v>0.01</v>
      </c>
      <c r="BF1897">
        <v>-0.01</v>
      </c>
      <c r="BG1897">
        <v>24</v>
      </c>
      <c r="BH1897">
        <v>-0.13</v>
      </c>
      <c r="BI1897">
        <v>-4.9000000000000004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7.2</v>
      </c>
      <c r="CK1897">
        <v>46</v>
      </c>
      <c r="CL1897">
        <v>7.0000000000000007E-2</v>
      </c>
      <c r="CM1897">
        <v>40</v>
      </c>
      <c r="CN1897">
        <v>0.27</v>
      </c>
      <c r="CO1897">
        <v>35</v>
      </c>
      <c r="CP1897">
        <v>2.2000000000000002</v>
      </c>
      <c r="CQ1897">
        <v>39</v>
      </c>
      <c r="CR1897">
        <v>0</v>
      </c>
      <c r="CS1897">
        <v>0</v>
      </c>
      <c r="CT1897">
        <v>-1.4</v>
      </c>
      <c r="CU1897">
        <v>40</v>
      </c>
      <c r="CV1897">
        <v>0.09</v>
      </c>
      <c r="CW1897">
        <v>11</v>
      </c>
      <c r="CX1897" t="s">
        <v>202</v>
      </c>
    </row>
    <row r="1898" spans="1:102" x14ac:dyDescent="0.3">
      <c r="A1898" t="str">
        <f>HYPERLINK("https://webapp.icbf.com/v2/app/bull-search/view/760393528","S2200")</f>
        <v>S2200</v>
      </c>
      <c r="B1898" t="s">
        <v>9258</v>
      </c>
      <c r="C1898" t="s">
        <v>2505</v>
      </c>
      <c r="D1898" s="1">
        <v>39713</v>
      </c>
      <c r="E1898" t="s">
        <v>227</v>
      </c>
      <c r="F1898">
        <v>0</v>
      </c>
      <c r="G1898" t="s">
        <v>109</v>
      </c>
      <c r="H1898">
        <v>77.75</v>
      </c>
      <c r="I1898">
        <v>81</v>
      </c>
      <c r="J1898">
        <v>70.67</v>
      </c>
      <c r="K1898">
        <v>93</v>
      </c>
      <c r="L1898">
        <v>-3.82</v>
      </c>
      <c r="M1898">
        <v>88</v>
      </c>
      <c r="N1898">
        <v>11.21</v>
      </c>
      <c r="O1898">
        <v>70</v>
      </c>
      <c r="P1898">
        <v>-56.87</v>
      </c>
      <c r="Q1898">
        <v>62</v>
      </c>
      <c r="R1898">
        <v>-5.87</v>
      </c>
      <c r="S1898">
        <v>65</v>
      </c>
      <c r="T1898">
        <v>61.7</v>
      </c>
      <c r="U1898">
        <v>54</v>
      </c>
      <c r="V1898">
        <v>0.73</v>
      </c>
      <c r="W1898">
        <v>62</v>
      </c>
      <c r="X1898" t="s">
        <v>428</v>
      </c>
      <c r="Y1898" t="s">
        <v>367</v>
      </c>
      <c r="Z1898">
        <v>0</v>
      </c>
      <c r="AA1898" t="s">
        <v>9259</v>
      </c>
      <c r="AB1898" t="s">
        <v>9260</v>
      </c>
      <c r="AC1898">
        <v>0</v>
      </c>
      <c r="AD1898">
        <v>0</v>
      </c>
      <c r="AE1898">
        <v>93</v>
      </c>
      <c r="AF1898">
        <v>117.08</v>
      </c>
      <c r="AG1898">
        <v>15.89</v>
      </c>
      <c r="AH1898">
        <v>8.19</v>
      </c>
      <c r="AI1898">
        <v>0.19</v>
      </c>
      <c r="AJ1898">
        <v>7.0000000000000007E-2</v>
      </c>
      <c r="AK1898">
        <v>88</v>
      </c>
      <c r="AL1898">
        <v>0</v>
      </c>
      <c r="AM1898">
        <v>0</v>
      </c>
      <c r="AN1898">
        <v>2.14</v>
      </c>
      <c r="AO1898">
        <v>1.86</v>
      </c>
      <c r="AP1898">
        <v>58</v>
      </c>
      <c r="AQ1898">
        <v>1</v>
      </c>
      <c r="AR1898">
        <v>3.64</v>
      </c>
      <c r="AS1898">
        <v>62</v>
      </c>
      <c r="AT1898">
        <v>1.93</v>
      </c>
      <c r="AU1898">
        <v>68</v>
      </c>
      <c r="AV1898">
        <v>-1.94</v>
      </c>
      <c r="AW1898">
        <v>87</v>
      </c>
      <c r="AX1898">
        <v>5.21</v>
      </c>
      <c r="AY1898">
        <v>63</v>
      </c>
      <c r="AZ1898">
        <v>9.01</v>
      </c>
      <c r="BA1898">
        <v>47</v>
      </c>
      <c r="BB1898">
        <v>5.71</v>
      </c>
      <c r="BC1898">
        <v>38</v>
      </c>
      <c r="BD1898">
        <v>-0.03</v>
      </c>
      <c r="BE1898">
        <v>0.05</v>
      </c>
      <c r="BF1898">
        <v>0.09</v>
      </c>
      <c r="BG1898">
        <v>73</v>
      </c>
      <c r="BH1898">
        <v>0.06</v>
      </c>
      <c r="BI1898">
        <v>4.58</v>
      </c>
      <c r="BJ1898">
        <v>6</v>
      </c>
      <c r="BK1898">
        <v>4</v>
      </c>
      <c r="BL1898">
        <v>-1.1599999999999999</v>
      </c>
      <c r="BM1898">
        <v>-0.97</v>
      </c>
      <c r="BN1898">
        <v>-0.08</v>
      </c>
      <c r="BO1898">
        <v>1.18</v>
      </c>
      <c r="BP1898">
        <v>0.81</v>
      </c>
      <c r="BQ1898">
        <v>-4.28</v>
      </c>
      <c r="BR1898">
        <v>1.82</v>
      </c>
      <c r="BS1898">
        <v>6.5</v>
      </c>
      <c r="BT1898">
        <v>-1.34</v>
      </c>
      <c r="BU1898">
        <v>1.63</v>
      </c>
      <c r="BV1898">
        <v>1.77</v>
      </c>
      <c r="BW1898">
        <v>-1.3</v>
      </c>
      <c r="BX1898">
        <v>-1.96</v>
      </c>
      <c r="BY1898">
        <v>0.43</v>
      </c>
      <c r="BZ1898">
        <v>-0.1</v>
      </c>
      <c r="CA1898">
        <v>3.11</v>
      </c>
      <c r="CB1898">
        <v>1.68</v>
      </c>
      <c r="CC1898">
        <v>4.62</v>
      </c>
      <c r="CD1898">
        <v>-1.65</v>
      </c>
      <c r="CE1898">
        <v>1.57</v>
      </c>
      <c r="CF1898">
        <v>-0.31</v>
      </c>
      <c r="CG1898">
        <v>0</v>
      </c>
      <c r="CH1898">
        <v>-0.93</v>
      </c>
      <c r="CI1898">
        <v>0</v>
      </c>
      <c r="CJ1898">
        <v>-28.8</v>
      </c>
      <c r="CK1898">
        <v>65</v>
      </c>
      <c r="CL1898">
        <v>-1.41</v>
      </c>
      <c r="CM1898">
        <v>59</v>
      </c>
      <c r="CN1898">
        <v>-0.38</v>
      </c>
      <c r="CO1898">
        <v>56</v>
      </c>
      <c r="CP1898">
        <v>-46.8</v>
      </c>
      <c r="CQ1898">
        <v>53</v>
      </c>
      <c r="CR1898">
        <v>0</v>
      </c>
      <c r="CS1898">
        <v>0</v>
      </c>
      <c r="CT1898">
        <v>-69.599999999999994</v>
      </c>
      <c r="CU1898">
        <v>54</v>
      </c>
      <c r="CV1898">
        <v>-0.3</v>
      </c>
      <c r="CW1898">
        <v>38</v>
      </c>
      <c r="CX1898" t="s">
        <v>2169</v>
      </c>
    </row>
    <row r="1899" spans="1:102" x14ac:dyDescent="0.3">
      <c r="A1899" t="str">
        <f>HYPERLINK("https://webapp.icbf.com/v2/app/bull-search/view/1006204335","S2258")</f>
        <v>S2258</v>
      </c>
      <c r="B1899" t="s">
        <v>2118</v>
      </c>
      <c r="C1899" t="s">
        <v>2119</v>
      </c>
      <c r="D1899" s="1">
        <v>40478</v>
      </c>
      <c r="E1899" t="s">
        <v>92</v>
      </c>
      <c r="F1899">
        <v>100</v>
      </c>
      <c r="G1899" t="s">
        <v>93</v>
      </c>
      <c r="H1899">
        <v>77.61</v>
      </c>
      <c r="I1899">
        <v>88</v>
      </c>
      <c r="J1899">
        <v>51.51</v>
      </c>
      <c r="K1899">
        <v>98</v>
      </c>
      <c r="L1899">
        <v>27.87</v>
      </c>
      <c r="M1899">
        <v>82</v>
      </c>
      <c r="N1899">
        <v>9.98</v>
      </c>
      <c r="O1899">
        <v>88</v>
      </c>
      <c r="P1899">
        <v>-11.02</v>
      </c>
      <c r="Q1899">
        <v>94</v>
      </c>
      <c r="R1899">
        <v>3.15</v>
      </c>
      <c r="S1899">
        <v>75</v>
      </c>
      <c r="T1899">
        <v>-8.15</v>
      </c>
      <c r="U1899">
        <v>81</v>
      </c>
      <c r="V1899">
        <v>4.2699999999999996</v>
      </c>
      <c r="W1899">
        <v>67</v>
      </c>
      <c r="X1899" t="s">
        <v>428</v>
      </c>
      <c r="Y1899" t="s">
        <v>367</v>
      </c>
      <c r="Z1899" t="s">
        <v>96</v>
      </c>
      <c r="AA1899" t="s">
        <v>1572</v>
      </c>
      <c r="AB1899" t="s">
        <v>2120</v>
      </c>
      <c r="AC1899">
        <v>337</v>
      </c>
      <c r="AD1899">
        <v>113</v>
      </c>
      <c r="AE1899">
        <v>98</v>
      </c>
      <c r="AF1899">
        <v>166.34</v>
      </c>
      <c r="AG1899">
        <v>10.9</v>
      </c>
      <c r="AH1899">
        <v>7.45</v>
      </c>
      <c r="AI1899">
        <v>7.0000000000000007E-2</v>
      </c>
      <c r="AJ1899">
        <v>0.03</v>
      </c>
      <c r="AK1899">
        <v>82</v>
      </c>
      <c r="AL1899">
        <v>127</v>
      </c>
      <c r="AM1899">
        <v>56</v>
      </c>
      <c r="AN1899">
        <v>-1.73</v>
      </c>
      <c r="AO1899">
        <v>0.49</v>
      </c>
      <c r="AP1899">
        <v>825</v>
      </c>
      <c r="AQ1899">
        <v>5</v>
      </c>
      <c r="AR1899">
        <v>9.4499999999999993</v>
      </c>
      <c r="AS1899">
        <v>86</v>
      </c>
      <c r="AT1899">
        <v>3.25</v>
      </c>
      <c r="AU1899">
        <v>94</v>
      </c>
      <c r="AV1899">
        <v>-1.7</v>
      </c>
      <c r="AW1899">
        <v>98</v>
      </c>
      <c r="AX1899">
        <v>0.24</v>
      </c>
      <c r="AY1899">
        <v>92</v>
      </c>
      <c r="AZ1899">
        <v>5.43</v>
      </c>
      <c r="BA1899">
        <v>78</v>
      </c>
      <c r="BB1899">
        <v>4.59</v>
      </c>
      <c r="BC1899">
        <v>48</v>
      </c>
      <c r="BD1899">
        <v>0.04</v>
      </c>
      <c r="BE1899">
        <v>-0.01</v>
      </c>
      <c r="BF1899">
        <v>-0.12</v>
      </c>
      <c r="BG1899">
        <v>91</v>
      </c>
      <c r="BH1899">
        <v>0</v>
      </c>
      <c r="BI1899">
        <v>-13.79</v>
      </c>
      <c r="BJ1899">
        <v>39</v>
      </c>
      <c r="BK1899">
        <v>23</v>
      </c>
      <c r="BL1899">
        <v>1.74</v>
      </c>
      <c r="BM1899">
        <v>-0.88</v>
      </c>
      <c r="BN1899">
        <v>0.03</v>
      </c>
      <c r="BO1899">
        <v>0.9</v>
      </c>
      <c r="BP1899">
        <v>-0.41</v>
      </c>
      <c r="BQ1899">
        <v>1.52</v>
      </c>
      <c r="BR1899">
        <v>-1.32</v>
      </c>
      <c r="BS1899">
        <v>1.97</v>
      </c>
      <c r="BT1899">
        <v>2.37</v>
      </c>
      <c r="BU1899">
        <v>3.22</v>
      </c>
      <c r="BV1899">
        <v>3.93</v>
      </c>
      <c r="BW1899">
        <v>2.98</v>
      </c>
      <c r="BX1899">
        <v>2.37</v>
      </c>
      <c r="BY1899">
        <v>2.2999999999999998</v>
      </c>
      <c r="BZ1899">
        <v>0.21</v>
      </c>
      <c r="CA1899">
        <v>2.98</v>
      </c>
      <c r="CB1899">
        <v>2.75</v>
      </c>
      <c r="CC1899">
        <v>1.96</v>
      </c>
      <c r="CD1899">
        <v>-0.64</v>
      </c>
      <c r="CE1899">
        <v>0.91</v>
      </c>
      <c r="CF1899">
        <v>1.37</v>
      </c>
      <c r="CG1899">
        <v>0</v>
      </c>
      <c r="CH1899">
        <v>1.84</v>
      </c>
      <c r="CI1899">
        <v>0</v>
      </c>
      <c r="CJ1899">
        <v>-2.6</v>
      </c>
      <c r="CK1899">
        <v>96</v>
      </c>
      <c r="CL1899">
        <v>-1.25</v>
      </c>
      <c r="CM1899">
        <v>95</v>
      </c>
      <c r="CN1899">
        <v>-0.4</v>
      </c>
      <c r="CO1899">
        <v>94</v>
      </c>
      <c r="CP1899">
        <v>5.2</v>
      </c>
      <c r="CQ1899">
        <v>78</v>
      </c>
      <c r="CR1899">
        <v>0</v>
      </c>
      <c r="CS1899">
        <v>0</v>
      </c>
      <c r="CT1899">
        <v>24.8</v>
      </c>
      <c r="CU1899">
        <v>81</v>
      </c>
      <c r="CV1899">
        <v>0.34</v>
      </c>
      <c r="CW1899">
        <v>29</v>
      </c>
      <c r="CX1899" t="s">
        <v>350</v>
      </c>
    </row>
    <row r="1900" spans="1:102" x14ac:dyDescent="0.3">
      <c r="A1900" t="str">
        <f>HYPERLINK("https://webapp.icbf.com/v2/app/bull-search/view/586231679","S1282")</f>
        <v>S1282</v>
      </c>
      <c r="B1900" t="s">
        <v>7856</v>
      </c>
      <c r="C1900" t="s">
        <v>7857</v>
      </c>
      <c r="D1900" s="1">
        <v>38543</v>
      </c>
      <c r="E1900" t="s">
        <v>92</v>
      </c>
      <c r="F1900">
        <v>100</v>
      </c>
      <c r="G1900" t="s">
        <v>93</v>
      </c>
      <c r="H1900">
        <v>77.52</v>
      </c>
      <c r="I1900">
        <v>88</v>
      </c>
      <c r="J1900">
        <v>55.2</v>
      </c>
      <c r="K1900">
        <v>96</v>
      </c>
      <c r="L1900">
        <v>-9.64</v>
      </c>
      <c r="M1900">
        <v>87</v>
      </c>
      <c r="N1900">
        <v>27.3</v>
      </c>
      <c r="O1900">
        <v>84</v>
      </c>
      <c r="P1900">
        <v>8.51</v>
      </c>
      <c r="Q1900">
        <v>89</v>
      </c>
      <c r="R1900">
        <v>9.68</v>
      </c>
      <c r="S1900">
        <v>81</v>
      </c>
      <c r="T1900">
        <v>-16.440000000000001</v>
      </c>
      <c r="U1900">
        <v>72</v>
      </c>
      <c r="V1900">
        <v>2.91</v>
      </c>
      <c r="W1900">
        <v>68</v>
      </c>
      <c r="X1900" t="s">
        <v>276</v>
      </c>
      <c r="Y1900" t="s">
        <v>342</v>
      </c>
      <c r="Z1900" t="s">
        <v>96</v>
      </c>
      <c r="AA1900" t="s">
        <v>316</v>
      </c>
      <c r="AB1900" t="s">
        <v>7858</v>
      </c>
      <c r="AC1900">
        <v>67</v>
      </c>
      <c r="AD1900">
        <v>32</v>
      </c>
      <c r="AE1900">
        <v>96</v>
      </c>
      <c r="AF1900">
        <v>402.49</v>
      </c>
      <c r="AG1900">
        <v>8.93</v>
      </c>
      <c r="AH1900">
        <v>12.39</v>
      </c>
      <c r="AI1900">
        <v>-0.11</v>
      </c>
      <c r="AJ1900">
        <v>-0.02</v>
      </c>
      <c r="AK1900">
        <v>87</v>
      </c>
      <c r="AL1900">
        <v>65</v>
      </c>
      <c r="AM1900">
        <v>31</v>
      </c>
      <c r="AN1900">
        <v>1.18</v>
      </c>
      <c r="AO1900">
        <v>0.42</v>
      </c>
      <c r="AP1900">
        <v>123</v>
      </c>
      <c r="AQ1900">
        <v>0</v>
      </c>
      <c r="AR1900">
        <v>5.35</v>
      </c>
      <c r="AS1900">
        <v>72</v>
      </c>
      <c r="AT1900">
        <v>2.16</v>
      </c>
      <c r="AU1900">
        <v>90</v>
      </c>
      <c r="AV1900">
        <v>-1.54</v>
      </c>
      <c r="AW1900">
        <v>94</v>
      </c>
      <c r="AX1900">
        <v>0.26</v>
      </c>
      <c r="AY1900">
        <v>76</v>
      </c>
      <c r="AZ1900">
        <v>4.7699999999999996</v>
      </c>
      <c r="BA1900">
        <v>62</v>
      </c>
      <c r="BB1900">
        <v>4.8600000000000003</v>
      </c>
      <c r="BC1900">
        <v>61</v>
      </c>
      <c r="BD1900">
        <v>-0.01</v>
      </c>
      <c r="BE1900">
        <v>-0.04</v>
      </c>
      <c r="BF1900">
        <v>-0.13</v>
      </c>
      <c r="BG1900">
        <v>93</v>
      </c>
      <c r="BH1900">
        <v>-0.02</v>
      </c>
      <c r="BI1900">
        <v>-11.7</v>
      </c>
      <c r="BJ1900">
        <v>19</v>
      </c>
      <c r="BK1900">
        <v>8</v>
      </c>
      <c r="BL1900">
        <v>0.8</v>
      </c>
      <c r="BM1900">
        <v>2.4900000000000002</v>
      </c>
      <c r="BN1900">
        <v>1.35</v>
      </c>
      <c r="BO1900">
        <v>-0.11</v>
      </c>
      <c r="BP1900">
        <v>1.47</v>
      </c>
      <c r="BQ1900">
        <v>1.19</v>
      </c>
      <c r="BR1900">
        <v>-2.4</v>
      </c>
      <c r="BS1900">
        <v>2.2400000000000002</v>
      </c>
      <c r="BT1900">
        <v>1.97</v>
      </c>
      <c r="BU1900">
        <v>0.64</v>
      </c>
      <c r="BV1900">
        <v>0.19</v>
      </c>
      <c r="BW1900">
        <v>0.27</v>
      </c>
      <c r="BX1900">
        <v>0.73</v>
      </c>
      <c r="BY1900">
        <v>1.1299999999999999</v>
      </c>
      <c r="BZ1900">
        <v>-0.49</v>
      </c>
      <c r="CA1900">
        <v>1.38</v>
      </c>
      <c r="CB1900">
        <v>0.83</v>
      </c>
      <c r="CC1900">
        <v>2.48</v>
      </c>
      <c r="CD1900">
        <v>1.53</v>
      </c>
      <c r="CE1900">
        <v>0.09</v>
      </c>
      <c r="CF1900">
        <v>1.04</v>
      </c>
      <c r="CG1900">
        <v>0</v>
      </c>
      <c r="CH1900">
        <v>1.19</v>
      </c>
      <c r="CI1900">
        <v>0</v>
      </c>
      <c r="CJ1900">
        <v>5</v>
      </c>
      <c r="CK1900">
        <v>91</v>
      </c>
      <c r="CL1900">
        <v>-0.65</v>
      </c>
      <c r="CM1900">
        <v>89</v>
      </c>
      <c r="CN1900">
        <v>-0.54</v>
      </c>
      <c r="CO1900">
        <v>88</v>
      </c>
      <c r="CP1900">
        <v>13.3</v>
      </c>
      <c r="CQ1900">
        <v>80</v>
      </c>
      <c r="CR1900">
        <v>0</v>
      </c>
      <c r="CS1900">
        <v>0</v>
      </c>
      <c r="CT1900">
        <v>36</v>
      </c>
      <c r="CU1900">
        <v>72</v>
      </c>
      <c r="CV1900">
        <v>0.27</v>
      </c>
      <c r="CW1900">
        <v>47</v>
      </c>
      <c r="CX1900" t="s">
        <v>1439</v>
      </c>
    </row>
    <row r="1901" spans="1:102" x14ac:dyDescent="0.3">
      <c r="A1901" t="str">
        <f>HYPERLINK("https://webapp.icbf.com/v2/app/bull-search/view/933798789","S2227")</f>
        <v>S2227</v>
      </c>
      <c r="B1901" t="s">
        <v>13300</v>
      </c>
      <c r="C1901" t="s">
        <v>13301</v>
      </c>
      <c r="D1901" s="1">
        <v>40280</v>
      </c>
      <c r="E1901" t="s">
        <v>92</v>
      </c>
      <c r="F1901">
        <v>100</v>
      </c>
      <c r="G1901" t="s">
        <v>109</v>
      </c>
      <c r="H1901">
        <v>77.48</v>
      </c>
      <c r="I1901">
        <v>83</v>
      </c>
      <c r="J1901">
        <v>47.88</v>
      </c>
      <c r="K1901">
        <v>94</v>
      </c>
      <c r="L1901">
        <v>20.82</v>
      </c>
      <c r="M1901">
        <v>84</v>
      </c>
      <c r="N1901">
        <v>31.93</v>
      </c>
      <c r="O1901">
        <v>81</v>
      </c>
      <c r="P1901">
        <v>-10.18</v>
      </c>
      <c r="Q1901">
        <v>77</v>
      </c>
      <c r="R1901">
        <v>6.15</v>
      </c>
      <c r="S1901">
        <v>76</v>
      </c>
      <c r="T1901">
        <v>-17.77</v>
      </c>
      <c r="U1901">
        <v>56</v>
      </c>
      <c r="V1901">
        <v>-1.35</v>
      </c>
      <c r="W1901">
        <v>60</v>
      </c>
      <c r="X1901" t="s">
        <v>428</v>
      </c>
      <c r="Y1901" t="s">
        <v>367</v>
      </c>
      <c r="Z1901" t="s">
        <v>96</v>
      </c>
      <c r="AA1901" t="s">
        <v>1572</v>
      </c>
      <c r="AB1901" t="s">
        <v>13302</v>
      </c>
      <c r="AC1901">
        <v>0</v>
      </c>
      <c r="AD1901">
        <v>0</v>
      </c>
      <c r="AE1901">
        <v>94</v>
      </c>
      <c r="AF1901">
        <v>309.27999999999997</v>
      </c>
      <c r="AG1901">
        <v>7.71</v>
      </c>
      <c r="AH1901">
        <v>10.15</v>
      </c>
      <c r="AI1901">
        <v>-7.0000000000000007E-2</v>
      </c>
      <c r="AJ1901">
        <v>-0.01</v>
      </c>
      <c r="AK1901">
        <v>84</v>
      </c>
      <c r="AL1901">
        <v>0</v>
      </c>
      <c r="AM1901">
        <v>0</v>
      </c>
      <c r="AN1901">
        <v>-1.1499999999999999</v>
      </c>
      <c r="AO1901">
        <v>0.51</v>
      </c>
      <c r="AP1901">
        <v>147</v>
      </c>
      <c r="AQ1901">
        <v>0</v>
      </c>
      <c r="AR1901">
        <v>5.46</v>
      </c>
      <c r="AS1901">
        <v>77</v>
      </c>
      <c r="AT1901">
        <v>2.5099999999999998</v>
      </c>
      <c r="AU1901">
        <v>90</v>
      </c>
      <c r="AV1901">
        <v>-2.84</v>
      </c>
      <c r="AW1901">
        <v>91</v>
      </c>
      <c r="AX1901">
        <v>1.1399999999999999</v>
      </c>
      <c r="AY1901">
        <v>77</v>
      </c>
      <c r="AZ1901">
        <v>5.66</v>
      </c>
      <c r="BA1901">
        <v>52</v>
      </c>
      <c r="BB1901">
        <v>4.75</v>
      </c>
      <c r="BC1901">
        <v>46</v>
      </c>
      <c r="BD1901">
        <v>-0.02</v>
      </c>
      <c r="BE1901">
        <v>-0.02</v>
      </c>
      <c r="BF1901">
        <v>-7.0000000000000007E-2</v>
      </c>
      <c r="BG1901">
        <v>91</v>
      </c>
      <c r="BH1901">
        <v>-0.06</v>
      </c>
      <c r="BI1901">
        <v>-2.58</v>
      </c>
      <c r="BJ1901">
        <v>9</v>
      </c>
      <c r="BK1901">
        <v>4</v>
      </c>
      <c r="BL1901">
        <v>2.0299999999999998</v>
      </c>
      <c r="BM1901">
        <v>0.27</v>
      </c>
      <c r="BN1901">
        <v>1.1299999999999999</v>
      </c>
      <c r="BO1901">
        <v>1.44</v>
      </c>
      <c r="BP1901">
        <v>-0.36</v>
      </c>
      <c r="BQ1901">
        <v>2.2000000000000002</v>
      </c>
      <c r="BR1901">
        <v>-0.16</v>
      </c>
      <c r="BS1901">
        <v>1.95</v>
      </c>
      <c r="BT1901">
        <v>0.75</v>
      </c>
      <c r="BU1901">
        <v>2.57</v>
      </c>
      <c r="BV1901">
        <v>2.2400000000000002</v>
      </c>
      <c r="BW1901">
        <v>2.54</v>
      </c>
      <c r="BX1901">
        <v>2.99</v>
      </c>
      <c r="BY1901">
        <v>3.05</v>
      </c>
      <c r="BZ1901">
        <v>-2.33</v>
      </c>
      <c r="CA1901">
        <v>2.4900000000000002</v>
      </c>
      <c r="CB1901">
        <v>2.17</v>
      </c>
      <c r="CC1901">
        <v>1.8</v>
      </c>
      <c r="CD1901">
        <v>-0.62</v>
      </c>
      <c r="CE1901">
        <v>1.59</v>
      </c>
      <c r="CF1901">
        <v>2.12</v>
      </c>
      <c r="CG1901">
        <v>0</v>
      </c>
      <c r="CH1901">
        <v>2.94</v>
      </c>
      <c r="CI1901">
        <v>0</v>
      </c>
      <c r="CJ1901">
        <v>-3</v>
      </c>
      <c r="CK1901">
        <v>81</v>
      </c>
      <c r="CL1901">
        <v>-1.3</v>
      </c>
      <c r="CM1901">
        <v>76</v>
      </c>
      <c r="CN1901">
        <v>-0.52</v>
      </c>
      <c r="CO1901">
        <v>75</v>
      </c>
      <c r="CP1901">
        <v>8.6</v>
      </c>
      <c r="CQ1901">
        <v>58</v>
      </c>
      <c r="CR1901">
        <v>0</v>
      </c>
      <c r="CS1901">
        <v>0</v>
      </c>
      <c r="CT1901">
        <v>37.799999999999997</v>
      </c>
      <c r="CU1901">
        <v>56</v>
      </c>
      <c r="CV1901">
        <v>0.24</v>
      </c>
      <c r="CW1901">
        <v>43</v>
      </c>
      <c r="CX1901" t="s">
        <v>8177</v>
      </c>
    </row>
    <row r="1902" spans="1:102" x14ac:dyDescent="0.3">
      <c r="A1902" t="str">
        <f>HYPERLINK("https://webapp.icbf.com/v2/app/bull-search/view/452287599","CZD")</f>
        <v>CZD</v>
      </c>
      <c r="B1902" t="s">
        <v>8869</v>
      </c>
      <c r="C1902" t="s">
        <v>8870</v>
      </c>
      <c r="D1902" s="1">
        <v>38793</v>
      </c>
      <c r="E1902" t="s">
        <v>92</v>
      </c>
      <c r="F1902">
        <v>91</v>
      </c>
      <c r="G1902" t="s">
        <v>93</v>
      </c>
      <c r="H1902">
        <v>77.38</v>
      </c>
      <c r="I1902">
        <v>87</v>
      </c>
      <c r="J1902">
        <v>17.510000000000002</v>
      </c>
      <c r="K1902">
        <v>97</v>
      </c>
      <c r="L1902">
        <v>31.2</v>
      </c>
      <c r="M1902">
        <v>78</v>
      </c>
      <c r="N1902">
        <v>31.07</v>
      </c>
      <c r="O1902">
        <v>86</v>
      </c>
      <c r="P1902">
        <v>-3.22</v>
      </c>
      <c r="Q1902">
        <v>92</v>
      </c>
      <c r="R1902">
        <v>-5.67</v>
      </c>
      <c r="S1902">
        <v>82</v>
      </c>
      <c r="T1902">
        <v>16.05</v>
      </c>
      <c r="U1902">
        <v>86</v>
      </c>
      <c r="V1902">
        <v>-9.56</v>
      </c>
      <c r="W1902">
        <v>79</v>
      </c>
      <c r="X1902" t="s">
        <v>94</v>
      </c>
      <c r="Y1902" t="s">
        <v>228</v>
      </c>
      <c r="Z1902" t="s">
        <v>96</v>
      </c>
      <c r="AA1902" t="s">
        <v>1114</v>
      </c>
      <c r="AB1902" t="s">
        <v>8871</v>
      </c>
      <c r="AC1902">
        <v>82</v>
      </c>
      <c r="AD1902">
        <v>66</v>
      </c>
      <c r="AE1902">
        <v>97</v>
      </c>
      <c r="AF1902">
        <v>111.22</v>
      </c>
      <c r="AG1902">
        <v>2.0099999999999998</v>
      </c>
      <c r="AH1902">
        <v>3.97</v>
      </c>
      <c r="AI1902">
        <v>-0.04</v>
      </c>
      <c r="AJ1902">
        <v>0</v>
      </c>
      <c r="AK1902">
        <v>78</v>
      </c>
      <c r="AL1902">
        <v>84</v>
      </c>
      <c r="AM1902">
        <v>63</v>
      </c>
      <c r="AN1902">
        <v>0.02</v>
      </c>
      <c r="AO1902">
        <v>2.5299999999999998</v>
      </c>
      <c r="AP1902">
        <v>189</v>
      </c>
      <c r="AQ1902">
        <v>2</v>
      </c>
      <c r="AR1902">
        <v>5.2</v>
      </c>
      <c r="AS1902">
        <v>73</v>
      </c>
      <c r="AT1902">
        <v>2.2400000000000002</v>
      </c>
      <c r="AU1902">
        <v>87</v>
      </c>
      <c r="AV1902">
        <v>-2.16</v>
      </c>
      <c r="AW1902">
        <v>96</v>
      </c>
      <c r="AX1902">
        <v>-0.13</v>
      </c>
      <c r="AY1902">
        <v>81</v>
      </c>
      <c r="AZ1902">
        <v>6</v>
      </c>
      <c r="BA1902">
        <v>65</v>
      </c>
      <c r="BB1902">
        <v>4.9000000000000004</v>
      </c>
      <c r="BC1902">
        <v>67</v>
      </c>
      <c r="BD1902">
        <v>0.02</v>
      </c>
      <c r="BE1902">
        <v>0.03</v>
      </c>
      <c r="BF1902">
        <v>0.04</v>
      </c>
      <c r="BG1902">
        <v>89</v>
      </c>
      <c r="BH1902">
        <v>-0.15</v>
      </c>
      <c r="BI1902">
        <v>13.48</v>
      </c>
      <c r="BJ1902">
        <v>26</v>
      </c>
      <c r="BK1902">
        <v>19</v>
      </c>
      <c r="BL1902">
        <v>0.74</v>
      </c>
      <c r="BM1902">
        <v>-0.28999999999999998</v>
      </c>
      <c r="BN1902">
        <v>-0.51</v>
      </c>
      <c r="BO1902">
        <v>0.17</v>
      </c>
      <c r="BP1902">
        <v>2.6</v>
      </c>
      <c r="BQ1902">
        <v>-0.93</v>
      </c>
      <c r="BR1902">
        <v>0.14000000000000001</v>
      </c>
      <c r="BS1902">
        <v>0.08</v>
      </c>
      <c r="BT1902">
        <v>-0.09</v>
      </c>
      <c r="BU1902">
        <v>-0.39</v>
      </c>
      <c r="BV1902">
        <v>0.2</v>
      </c>
      <c r="BW1902">
        <v>-0.47</v>
      </c>
      <c r="BX1902">
        <v>-0.27</v>
      </c>
      <c r="BY1902">
        <v>0.02</v>
      </c>
      <c r="BZ1902">
        <v>-1</v>
      </c>
      <c r="CA1902">
        <v>0.28999999999999998</v>
      </c>
      <c r="CB1902">
        <v>0.08</v>
      </c>
      <c r="CC1902">
        <v>0.38</v>
      </c>
      <c r="CD1902">
        <v>-0.49</v>
      </c>
      <c r="CE1902">
        <v>0.31</v>
      </c>
      <c r="CF1902">
        <v>0.44</v>
      </c>
      <c r="CG1902">
        <v>0</v>
      </c>
      <c r="CH1902">
        <v>-0.04</v>
      </c>
      <c r="CI1902">
        <v>0</v>
      </c>
      <c r="CJ1902">
        <v>0.4</v>
      </c>
      <c r="CK1902">
        <v>93</v>
      </c>
      <c r="CL1902">
        <v>-0.7</v>
      </c>
      <c r="CM1902">
        <v>92</v>
      </c>
      <c r="CN1902">
        <v>-0.37</v>
      </c>
      <c r="CO1902">
        <v>91</v>
      </c>
      <c r="CP1902">
        <v>-5.9</v>
      </c>
      <c r="CQ1902">
        <v>90</v>
      </c>
      <c r="CR1902">
        <v>0</v>
      </c>
      <c r="CS1902">
        <v>0</v>
      </c>
      <c r="CT1902">
        <v>-7.9</v>
      </c>
      <c r="CU1902">
        <v>86</v>
      </c>
      <c r="CV1902">
        <v>0.21</v>
      </c>
      <c r="CW1902">
        <v>44</v>
      </c>
      <c r="CX1902" t="s">
        <v>2775</v>
      </c>
    </row>
    <row r="1903" spans="1:102" x14ac:dyDescent="0.3">
      <c r="A1903" t="str">
        <f>HYPERLINK("https://webapp.icbf.com/v2/app/bull-search/view/760395699","S2109")</f>
        <v>S2109</v>
      </c>
      <c r="B1903" t="s">
        <v>2128</v>
      </c>
      <c r="C1903" t="s">
        <v>2129</v>
      </c>
      <c r="D1903" s="1">
        <v>39773</v>
      </c>
      <c r="E1903" t="s">
        <v>92</v>
      </c>
      <c r="F1903">
        <v>100</v>
      </c>
      <c r="G1903" t="s">
        <v>109</v>
      </c>
      <c r="H1903">
        <v>77.36</v>
      </c>
      <c r="I1903">
        <v>75</v>
      </c>
      <c r="J1903">
        <v>40.86</v>
      </c>
      <c r="K1903">
        <v>93</v>
      </c>
      <c r="L1903">
        <v>-24.23</v>
      </c>
      <c r="M1903">
        <v>80</v>
      </c>
      <c r="N1903">
        <v>37.770000000000003</v>
      </c>
      <c r="O1903">
        <v>56</v>
      </c>
      <c r="P1903">
        <v>3.81</v>
      </c>
      <c r="Q1903">
        <v>44</v>
      </c>
      <c r="R1903">
        <v>12.58</v>
      </c>
      <c r="S1903">
        <v>74</v>
      </c>
      <c r="T1903">
        <v>1.69</v>
      </c>
      <c r="U1903">
        <v>43</v>
      </c>
      <c r="V1903">
        <v>4.88</v>
      </c>
      <c r="W1903">
        <v>66</v>
      </c>
      <c r="X1903" t="s">
        <v>110</v>
      </c>
      <c r="Y1903" t="s">
        <v>367</v>
      </c>
      <c r="Z1903" t="s">
        <v>2130</v>
      </c>
      <c r="AA1903" t="s">
        <v>2131</v>
      </c>
      <c r="AB1903" t="s">
        <v>2132</v>
      </c>
      <c r="AC1903">
        <v>0</v>
      </c>
      <c r="AD1903">
        <v>0</v>
      </c>
      <c r="AE1903">
        <v>93</v>
      </c>
      <c r="AF1903">
        <v>238.52</v>
      </c>
      <c r="AG1903">
        <v>3.76</v>
      </c>
      <c r="AH1903">
        <v>9.27</v>
      </c>
      <c r="AI1903">
        <v>-0.1</v>
      </c>
      <c r="AJ1903">
        <v>0.02</v>
      </c>
      <c r="AK1903">
        <v>80</v>
      </c>
      <c r="AL1903">
        <v>0</v>
      </c>
      <c r="AM1903">
        <v>0</v>
      </c>
      <c r="AN1903">
        <v>3.86</v>
      </c>
      <c r="AO1903">
        <v>1.96</v>
      </c>
      <c r="AP1903">
        <v>1</v>
      </c>
      <c r="AQ1903">
        <v>0</v>
      </c>
      <c r="AR1903">
        <v>4.33</v>
      </c>
      <c r="AS1903">
        <v>57</v>
      </c>
      <c r="AT1903">
        <v>2.4700000000000002</v>
      </c>
      <c r="AU1903">
        <v>87</v>
      </c>
      <c r="AV1903">
        <v>-3.02</v>
      </c>
      <c r="AW1903">
        <v>44</v>
      </c>
      <c r="AX1903">
        <v>0.08</v>
      </c>
      <c r="AY1903">
        <v>43</v>
      </c>
      <c r="AZ1903">
        <v>6.84</v>
      </c>
      <c r="BA1903">
        <v>46</v>
      </c>
      <c r="BB1903">
        <v>4.59</v>
      </c>
      <c r="BC1903">
        <v>46</v>
      </c>
      <c r="BD1903">
        <v>-0.08</v>
      </c>
      <c r="BE1903">
        <v>-0.04</v>
      </c>
      <c r="BF1903">
        <v>-0.08</v>
      </c>
      <c r="BG1903">
        <v>88</v>
      </c>
      <c r="BH1903">
        <v>0.12</v>
      </c>
      <c r="BI1903">
        <v>-1.85</v>
      </c>
      <c r="BJ1903">
        <v>0</v>
      </c>
      <c r="BK1903">
        <v>0</v>
      </c>
      <c r="BL1903">
        <v>0.14000000000000001</v>
      </c>
      <c r="BM1903">
        <v>-1.48</v>
      </c>
      <c r="BN1903">
        <v>-1.34</v>
      </c>
      <c r="BO1903">
        <v>0.12</v>
      </c>
      <c r="BP1903">
        <v>0.03</v>
      </c>
      <c r="BQ1903">
        <v>-0.41</v>
      </c>
      <c r="BR1903">
        <v>-0.49</v>
      </c>
      <c r="BS1903">
        <v>-0.42</v>
      </c>
      <c r="BT1903">
        <v>0.11</v>
      </c>
      <c r="BU1903">
        <v>2.06</v>
      </c>
      <c r="BV1903">
        <v>1.49</v>
      </c>
      <c r="BW1903">
        <v>1.79</v>
      </c>
      <c r="BX1903">
        <v>1.73</v>
      </c>
      <c r="BY1903">
        <v>2.13</v>
      </c>
      <c r="BZ1903">
        <v>-0.01</v>
      </c>
      <c r="CA1903">
        <v>1.57</v>
      </c>
      <c r="CB1903">
        <v>1.75</v>
      </c>
      <c r="CC1903">
        <v>0</v>
      </c>
      <c r="CD1903">
        <v>-0.98</v>
      </c>
      <c r="CE1903">
        <v>0.08</v>
      </c>
      <c r="CF1903">
        <v>-0.53</v>
      </c>
      <c r="CG1903">
        <v>0</v>
      </c>
      <c r="CH1903">
        <v>2.64</v>
      </c>
      <c r="CI1903">
        <v>0</v>
      </c>
      <c r="CJ1903">
        <v>1.8</v>
      </c>
      <c r="CK1903">
        <v>44</v>
      </c>
      <c r="CL1903">
        <v>-0.7</v>
      </c>
      <c r="CM1903">
        <v>44</v>
      </c>
      <c r="CN1903">
        <v>-0.67</v>
      </c>
      <c r="CO1903">
        <v>44</v>
      </c>
      <c r="CP1903">
        <v>4.7</v>
      </c>
      <c r="CQ1903">
        <v>43</v>
      </c>
      <c r="CR1903">
        <v>0</v>
      </c>
      <c r="CS1903">
        <v>0</v>
      </c>
      <c r="CT1903">
        <v>11.5</v>
      </c>
      <c r="CU1903">
        <v>43</v>
      </c>
      <c r="CV1903">
        <v>0.18</v>
      </c>
      <c r="CW1903">
        <v>34</v>
      </c>
      <c r="CX1903" t="s">
        <v>2133</v>
      </c>
    </row>
    <row r="1904" spans="1:102" x14ac:dyDescent="0.3">
      <c r="A1904" t="str">
        <f>HYPERLINK("https://webapp.icbf.com/v2/app/bull-search/view/368264195","MZZ")</f>
        <v>MZZ</v>
      </c>
      <c r="B1904" t="s">
        <v>144</v>
      </c>
      <c r="C1904" t="s">
        <v>4259</v>
      </c>
      <c r="D1904" s="1">
        <v>35703</v>
      </c>
      <c r="E1904" t="s">
        <v>146</v>
      </c>
      <c r="F1904">
        <v>0</v>
      </c>
      <c r="G1904" t="s">
        <v>93</v>
      </c>
      <c r="H1904">
        <v>77.28</v>
      </c>
      <c r="I1904">
        <v>85</v>
      </c>
      <c r="J1904">
        <v>3.64</v>
      </c>
      <c r="K1904">
        <v>96</v>
      </c>
      <c r="L1904">
        <v>34.78</v>
      </c>
      <c r="M1904">
        <v>74</v>
      </c>
      <c r="N1904">
        <v>12.46</v>
      </c>
      <c r="O1904">
        <v>86</v>
      </c>
      <c r="P1904">
        <v>6.95</v>
      </c>
      <c r="Q1904">
        <v>94</v>
      </c>
      <c r="R1904">
        <v>5.92</v>
      </c>
      <c r="S1904">
        <v>76</v>
      </c>
      <c r="T1904">
        <v>18.78</v>
      </c>
      <c r="U1904">
        <v>87</v>
      </c>
      <c r="V1904">
        <v>-5.25</v>
      </c>
      <c r="W1904">
        <v>73</v>
      </c>
      <c r="X1904" t="s">
        <v>276</v>
      </c>
      <c r="Y1904" t="s">
        <v>95</v>
      </c>
      <c r="Z1904">
        <v>0</v>
      </c>
      <c r="AA1904" t="s">
        <v>4426</v>
      </c>
      <c r="AB1904" t="s">
        <v>7787</v>
      </c>
      <c r="AC1904">
        <v>113</v>
      </c>
      <c r="AD1904">
        <v>31</v>
      </c>
      <c r="AE1904">
        <v>96</v>
      </c>
      <c r="AF1904">
        <v>-301.08</v>
      </c>
      <c r="AG1904">
        <v>-1.3</v>
      </c>
      <c r="AH1904">
        <v>-3.53</v>
      </c>
      <c r="AI1904">
        <v>0.18</v>
      </c>
      <c r="AJ1904">
        <v>0.12</v>
      </c>
      <c r="AK1904">
        <v>74</v>
      </c>
      <c r="AL1904">
        <v>116</v>
      </c>
      <c r="AM1904">
        <v>38</v>
      </c>
      <c r="AN1904">
        <v>-2.21</v>
      </c>
      <c r="AO1904">
        <v>0.56000000000000005</v>
      </c>
      <c r="AP1904">
        <v>170</v>
      </c>
      <c r="AQ1904">
        <v>3</v>
      </c>
      <c r="AR1904">
        <v>6.36</v>
      </c>
      <c r="AS1904">
        <v>79</v>
      </c>
      <c r="AT1904">
        <v>2.81</v>
      </c>
      <c r="AU1904">
        <v>86</v>
      </c>
      <c r="AV1904">
        <v>-1.01</v>
      </c>
      <c r="AW1904">
        <v>95</v>
      </c>
      <c r="AX1904">
        <v>0.01</v>
      </c>
      <c r="AY1904">
        <v>86</v>
      </c>
      <c r="AZ1904">
        <v>8.0500000000000007</v>
      </c>
      <c r="BA1904">
        <v>64</v>
      </c>
      <c r="BB1904">
        <v>4.7699999999999996</v>
      </c>
      <c r="BC1904">
        <v>70</v>
      </c>
      <c r="BD1904">
        <v>0</v>
      </c>
      <c r="BE1904">
        <v>-0.04</v>
      </c>
      <c r="BF1904">
        <v>-0.06</v>
      </c>
      <c r="BG1904">
        <v>87</v>
      </c>
      <c r="BH1904">
        <v>-0.03</v>
      </c>
      <c r="BI1904">
        <v>13.48</v>
      </c>
      <c r="BJ1904">
        <v>1</v>
      </c>
      <c r="BK1904">
        <v>1</v>
      </c>
      <c r="BL1904">
        <v>-1.1299999999999999</v>
      </c>
      <c r="BM1904">
        <v>2.08</v>
      </c>
      <c r="BN1904">
        <v>-0.83</v>
      </c>
      <c r="BO1904">
        <v>-1.84</v>
      </c>
      <c r="BP1904">
        <v>2.04</v>
      </c>
      <c r="BQ1904">
        <v>0.97</v>
      </c>
      <c r="BR1904">
        <v>0.06</v>
      </c>
      <c r="BS1904">
        <v>-0.19</v>
      </c>
      <c r="BT1904">
        <v>-0.4</v>
      </c>
      <c r="BU1904">
        <v>-2.14</v>
      </c>
      <c r="BV1904">
        <v>-2.33</v>
      </c>
      <c r="BW1904">
        <v>-2.37</v>
      </c>
      <c r="BX1904">
        <v>-1.75</v>
      </c>
      <c r="BY1904">
        <v>-1.18</v>
      </c>
      <c r="BZ1904">
        <v>0.9</v>
      </c>
      <c r="CA1904">
        <v>-2.4500000000000002</v>
      </c>
      <c r="CB1904">
        <v>-2.54</v>
      </c>
      <c r="CC1904">
        <v>-1.17</v>
      </c>
      <c r="CD1904">
        <v>2.0499999999999998</v>
      </c>
      <c r="CE1904">
        <v>-2.06</v>
      </c>
      <c r="CF1904">
        <v>-0.77</v>
      </c>
      <c r="CG1904">
        <v>0</v>
      </c>
      <c r="CH1904">
        <v>-1.67</v>
      </c>
      <c r="CI1904">
        <v>0</v>
      </c>
      <c r="CJ1904">
        <v>2.2999999999999998</v>
      </c>
      <c r="CK1904">
        <v>95</v>
      </c>
      <c r="CL1904">
        <v>0.1</v>
      </c>
      <c r="CM1904">
        <v>94</v>
      </c>
      <c r="CN1904">
        <v>-0.3</v>
      </c>
      <c r="CO1904">
        <v>94</v>
      </c>
      <c r="CP1904">
        <v>-5.0999999999999996</v>
      </c>
      <c r="CQ1904">
        <v>93</v>
      </c>
      <c r="CR1904">
        <v>0</v>
      </c>
      <c r="CS1904">
        <v>0</v>
      </c>
      <c r="CT1904">
        <v>-11.6</v>
      </c>
      <c r="CU1904">
        <v>87</v>
      </c>
      <c r="CV1904">
        <v>-7.0000000000000007E-2</v>
      </c>
      <c r="CW1904">
        <v>27</v>
      </c>
      <c r="CX1904" t="s">
        <v>7788</v>
      </c>
    </row>
    <row r="1905" spans="1:102" x14ac:dyDescent="0.3">
      <c r="A1905" t="str">
        <f>HYPERLINK("https://webapp.icbf.com/v2/app/bull-search/view/560108324","FTV")</f>
        <v>FTV</v>
      </c>
      <c r="B1905" t="s">
        <v>8227</v>
      </c>
      <c r="C1905" t="s">
        <v>8228</v>
      </c>
      <c r="D1905" s="1">
        <v>39492</v>
      </c>
      <c r="E1905" t="s">
        <v>92</v>
      </c>
      <c r="F1905">
        <v>97</v>
      </c>
      <c r="G1905" t="s">
        <v>93</v>
      </c>
      <c r="H1905">
        <v>77.22</v>
      </c>
      <c r="I1905">
        <v>89</v>
      </c>
      <c r="J1905">
        <v>35.17</v>
      </c>
      <c r="K1905">
        <v>97</v>
      </c>
      <c r="L1905">
        <v>10.28</v>
      </c>
      <c r="M1905">
        <v>82</v>
      </c>
      <c r="N1905">
        <v>25.76</v>
      </c>
      <c r="O1905">
        <v>88</v>
      </c>
      <c r="P1905">
        <v>-11.7</v>
      </c>
      <c r="Q1905">
        <v>91</v>
      </c>
      <c r="R1905">
        <v>0.83</v>
      </c>
      <c r="S1905">
        <v>84</v>
      </c>
      <c r="T1905">
        <v>9.09</v>
      </c>
      <c r="U1905">
        <v>89</v>
      </c>
      <c r="V1905">
        <v>7.79</v>
      </c>
      <c r="W1905">
        <v>85</v>
      </c>
      <c r="X1905" t="s">
        <v>94</v>
      </c>
      <c r="Y1905" t="s">
        <v>1113</v>
      </c>
      <c r="Z1905" t="s">
        <v>96</v>
      </c>
      <c r="AA1905" t="s">
        <v>1406</v>
      </c>
      <c r="AB1905" t="s">
        <v>8229</v>
      </c>
      <c r="AC1905">
        <v>113</v>
      </c>
      <c r="AD1905">
        <v>74</v>
      </c>
      <c r="AE1905">
        <v>97</v>
      </c>
      <c r="AF1905">
        <v>-284.98</v>
      </c>
      <c r="AG1905">
        <v>6.7</v>
      </c>
      <c r="AH1905">
        <v>-0.75</v>
      </c>
      <c r="AI1905">
        <v>0.33</v>
      </c>
      <c r="AJ1905">
        <v>0.16</v>
      </c>
      <c r="AK1905">
        <v>82</v>
      </c>
      <c r="AL1905">
        <v>121</v>
      </c>
      <c r="AM1905">
        <v>83</v>
      </c>
      <c r="AN1905">
        <v>-0.53</v>
      </c>
      <c r="AO1905">
        <v>0.28999999999999998</v>
      </c>
      <c r="AP1905">
        <v>255</v>
      </c>
      <c r="AQ1905">
        <v>6</v>
      </c>
      <c r="AR1905">
        <v>4.63</v>
      </c>
      <c r="AS1905">
        <v>76</v>
      </c>
      <c r="AT1905">
        <v>2.2000000000000002</v>
      </c>
      <c r="AU1905">
        <v>90</v>
      </c>
      <c r="AV1905">
        <v>-1.28</v>
      </c>
      <c r="AW1905">
        <v>97</v>
      </c>
      <c r="AX1905">
        <v>-0.32</v>
      </c>
      <c r="AY1905">
        <v>84</v>
      </c>
      <c r="AZ1905">
        <v>6.71</v>
      </c>
      <c r="BA1905">
        <v>71</v>
      </c>
      <c r="BB1905">
        <v>4.72</v>
      </c>
      <c r="BC1905">
        <v>72</v>
      </c>
      <c r="BD1905">
        <v>-0.03</v>
      </c>
      <c r="BE1905">
        <v>-0.01</v>
      </c>
      <c r="BF1905">
        <v>0.05</v>
      </c>
      <c r="BG1905">
        <v>90</v>
      </c>
      <c r="BH1905">
        <v>0.05</v>
      </c>
      <c r="BI1905">
        <v>-19.329999999999998</v>
      </c>
      <c r="BJ1905">
        <v>25</v>
      </c>
      <c r="BK1905">
        <v>15</v>
      </c>
      <c r="BL1905">
        <v>-0.67</v>
      </c>
      <c r="BM1905">
        <v>0.09</v>
      </c>
      <c r="BN1905">
        <v>-0.66</v>
      </c>
      <c r="BO1905">
        <v>-0.75</v>
      </c>
      <c r="BP1905">
        <v>0.56000000000000005</v>
      </c>
      <c r="BQ1905">
        <v>-0.35</v>
      </c>
      <c r="BR1905">
        <v>0.23</v>
      </c>
      <c r="BS1905">
        <v>-1</v>
      </c>
      <c r="BT1905">
        <v>-0.52</v>
      </c>
      <c r="BU1905">
        <v>-0.2</v>
      </c>
      <c r="BV1905">
        <v>-0.99</v>
      </c>
      <c r="BW1905">
        <v>-1.2</v>
      </c>
      <c r="BX1905">
        <v>0.09</v>
      </c>
      <c r="BY1905">
        <v>-0.24</v>
      </c>
      <c r="BZ1905">
        <v>-0.56000000000000005</v>
      </c>
      <c r="CA1905">
        <v>-0.37</v>
      </c>
      <c r="CB1905">
        <v>-0.22</v>
      </c>
      <c r="CC1905">
        <v>-1.1399999999999999</v>
      </c>
      <c r="CD1905">
        <v>0.3</v>
      </c>
      <c r="CE1905">
        <v>-0.82</v>
      </c>
      <c r="CF1905">
        <v>-0.55000000000000004</v>
      </c>
      <c r="CG1905">
        <v>0</v>
      </c>
      <c r="CH1905">
        <v>0.03</v>
      </c>
      <c r="CI1905">
        <v>0</v>
      </c>
      <c r="CJ1905">
        <v>-6</v>
      </c>
      <c r="CK1905">
        <v>92</v>
      </c>
      <c r="CL1905">
        <v>-0.56999999999999995</v>
      </c>
      <c r="CM1905">
        <v>90</v>
      </c>
      <c r="CN1905">
        <v>-0.28999999999999998</v>
      </c>
      <c r="CO1905">
        <v>89</v>
      </c>
      <c r="CP1905">
        <v>-6.2</v>
      </c>
      <c r="CQ1905">
        <v>91</v>
      </c>
      <c r="CR1905">
        <v>0</v>
      </c>
      <c r="CS1905">
        <v>0</v>
      </c>
      <c r="CT1905">
        <v>1.5</v>
      </c>
      <c r="CU1905">
        <v>89</v>
      </c>
      <c r="CV1905">
        <v>-0.02</v>
      </c>
      <c r="CW1905">
        <v>45</v>
      </c>
      <c r="CX1905" t="s">
        <v>256</v>
      </c>
    </row>
    <row r="1906" spans="1:102" x14ac:dyDescent="0.3">
      <c r="A1906" t="str">
        <f>HYPERLINK("https://webapp.icbf.com/v2/app/bull-search/view/448572172","LGU")</f>
        <v>LGU</v>
      </c>
      <c r="B1906" t="s">
        <v>6731</v>
      </c>
      <c r="C1906" t="s">
        <v>6732</v>
      </c>
      <c r="D1906" s="1">
        <v>36932</v>
      </c>
      <c r="E1906" t="s">
        <v>108</v>
      </c>
      <c r="F1906">
        <v>0</v>
      </c>
      <c r="G1906" t="s">
        <v>93</v>
      </c>
      <c r="H1906">
        <v>77.13</v>
      </c>
      <c r="I1906">
        <v>95</v>
      </c>
      <c r="J1906">
        <v>-99.17</v>
      </c>
      <c r="K1906">
        <v>99</v>
      </c>
      <c r="L1906">
        <v>126.36</v>
      </c>
      <c r="M1906">
        <v>91</v>
      </c>
      <c r="N1906">
        <v>27.83</v>
      </c>
      <c r="O1906">
        <v>95</v>
      </c>
      <c r="P1906">
        <v>-18.940000000000001</v>
      </c>
      <c r="Q1906">
        <v>99</v>
      </c>
      <c r="R1906">
        <v>16.03</v>
      </c>
      <c r="S1906">
        <v>93</v>
      </c>
      <c r="T1906">
        <v>27.07</v>
      </c>
      <c r="U1906">
        <v>97</v>
      </c>
      <c r="V1906">
        <v>-2.0499999999999998</v>
      </c>
      <c r="W1906">
        <v>94</v>
      </c>
      <c r="X1906" t="s">
        <v>276</v>
      </c>
      <c r="Y1906" t="s">
        <v>95</v>
      </c>
      <c r="Z1906" t="s">
        <v>96</v>
      </c>
      <c r="AA1906" t="s">
        <v>6733</v>
      </c>
      <c r="AB1906" t="s">
        <v>6734</v>
      </c>
      <c r="AC1906">
        <v>370</v>
      </c>
      <c r="AD1906">
        <v>138</v>
      </c>
      <c r="AE1906">
        <v>99</v>
      </c>
      <c r="AF1906">
        <v>-373.34</v>
      </c>
      <c r="AG1906">
        <v>-20.75</v>
      </c>
      <c r="AH1906">
        <v>-15.24</v>
      </c>
      <c r="AI1906">
        <v>-0.12</v>
      </c>
      <c r="AJ1906">
        <v>-0.05</v>
      </c>
      <c r="AK1906">
        <v>91</v>
      </c>
      <c r="AL1906">
        <v>472</v>
      </c>
      <c r="AM1906">
        <v>173</v>
      </c>
      <c r="AN1906">
        <v>-7.44</v>
      </c>
      <c r="AO1906">
        <v>2.63</v>
      </c>
      <c r="AP1906">
        <v>588</v>
      </c>
      <c r="AQ1906">
        <v>2</v>
      </c>
      <c r="AR1906">
        <v>5.27</v>
      </c>
      <c r="AS1906">
        <v>88</v>
      </c>
      <c r="AT1906">
        <v>2.31</v>
      </c>
      <c r="AU1906">
        <v>96</v>
      </c>
      <c r="AV1906">
        <v>-1.85</v>
      </c>
      <c r="AW1906">
        <v>98</v>
      </c>
      <c r="AX1906">
        <v>-1.02</v>
      </c>
      <c r="AY1906">
        <v>95</v>
      </c>
      <c r="AZ1906">
        <v>6.95</v>
      </c>
      <c r="BA1906">
        <v>86</v>
      </c>
      <c r="BB1906">
        <v>5.1100000000000003</v>
      </c>
      <c r="BC1906">
        <v>90</v>
      </c>
      <c r="BD1906">
        <v>-7.0000000000000007E-2</v>
      </c>
      <c r="BE1906">
        <v>-0.08</v>
      </c>
      <c r="BF1906">
        <v>-0.1</v>
      </c>
      <c r="BG1906">
        <v>96</v>
      </c>
      <c r="BH1906">
        <v>-0.09</v>
      </c>
      <c r="BI1906">
        <v>-3.8</v>
      </c>
      <c r="BJ1906">
        <v>18</v>
      </c>
      <c r="BK1906">
        <v>8</v>
      </c>
      <c r="BL1906">
        <v>-3.96</v>
      </c>
      <c r="BM1906">
        <v>0.98</v>
      </c>
      <c r="BN1906">
        <v>-3.29</v>
      </c>
      <c r="BO1906">
        <v>-3.51</v>
      </c>
      <c r="BP1906">
        <v>-1.81</v>
      </c>
      <c r="BQ1906">
        <v>-1.35</v>
      </c>
      <c r="BR1906">
        <v>-0.53</v>
      </c>
      <c r="BS1906">
        <v>0.22</v>
      </c>
      <c r="BT1906">
        <v>-0.32</v>
      </c>
      <c r="BU1906">
        <v>-0.7</v>
      </c>
      <c r="BV1906">
        <v>-1.94</v>
      </c>
      <c r="BW1906">
        <v>-1.8</v>
      </c>
      <c r="BX1906">
        <v>-0.52</v>
      </c>
      <c r="BY1906">
        <v>-0.84</v>
      </c>
      <c r="BZ1906">
        <v>-0.71</v>
      </c>
      <c r="CA1906">
        <v>-1.73</v>
      </c>
      <c r="CB1906">
        <v>-1.54</v>
      </c>
      <c r="CC1906">
        <v>-0.96</v>
      </c>
      <c r="CD1906">
        <v>2.74</v>
      </c>
      <c r="CE1906">
        <v>-2.2400000000000002</v>
      </c>
      <c r="CF1906">
        <v>-4.12</v>
      </c>
      <c r="CG1906">
        <v>0</v>
      </c>
      <c r="CH1906">
        <v>-0.73</v>
      </c>
      <c r="CI1906">
        <v>0</v>
      </c>
      <c r="CJ1906">
        <v>-11.4</v>
      </c>
      <c r="CK1906">
        <v>99</v>
      </c>
      <c r="CL1906">
        <v>7.0000000000000007E-2</v>
      </c>
      <c r="CM1906">
        <v>98</v>
      </c>
      <c r="CN1906">
        <v>0.17</v>
      </c>
      <c r="CO1906">
        <v>98</v>
      </c>
      <c r="CP1906">
        <v>-12.9</v>
      </c>
      <c r="CQ1906">
        <v>98</v>
      </c>
      <c r="CR1906">
        <v>0</v>
      </c>
      <c r="CS1906">
        <v>0</v>
      </c>
      <c r="CT1906">
        <v>-22.8</v>
      </c>
      <c r="CU1906">
        <v>97</v>
      </c>
      <c r="CV1906">
        <v>-0.19</v>
      </c>
      <c r="CW1906">
        <v>45</v>
      </c>
      <c r="CX1906" t="s">
        <v>2803</v>
      </c>
    </row>
    <row r="1907" spans="1:102" x14ac:dyDescent="0.3">
      <c r="A1907" t="str">
        <f>HYPERLINK("https://webapp.icbf.com/v2/app/bull-search/view/614464914","CDQ")</f>
        <v>CDQ</v>
      </c>
      <c r="B1907" t="s">
        <v>5086</v>
      </c>
      <c r="C1907" t="s">
        <v>5087</v>
      </c>
      <c r="D1907" s="1">
        <v>39145</v>
      </c>
      <c r="E1907" t="s">
        <v>108</v>
      </c>
      <c r="F1907">
        <v>0</v>
      </c>
      <c r="G1907" t="s">
        <v>93</v>
      </c>
      <c r="H1907">
        <v>76.97</v>
      </c>
      <c r="I1907">
        <v>95</v>
      </c>
      <c r="J1907">
        <v>-63.98</v>
      </c>
      <c r="K1907">
        <v>99</v>
      </c>
      <c r="L1907">
        <v>106.33</v>
      </c>
      <c r="M1907">
        <v>91</v>
      </c>
      <c r="N1907">
        <v>8.69</v>
      </c>
      <c r="O1907">
        <v>96</v>
      </c>
      <c r="P1907">
        <v>-10.34</v>
      </c>
      <c r="Q1907">
        <v>99</v>
      </c>
      <c r="R1907">
        <v>9.7899999999999991</v>
      </c>
      <c r="S1907">
        <v>92</v>
      </c>
      <c r="T1907">
        <v>14.79</v>
      </c>
      <c r="U1907">
        <v>96</v>
      </c>
      <c r="V1907">
        <v>11.69</v>
      </c>
      <c r="W1907">
        <v>93</v>
      </c>
      <c r="X1907" t="s">
        <v>102</v>
      </c>
      <c r="Y1907" t="s">
        <v>4217</v>
      </c>
      <c r="Z1907" t="s">
        <v>96</v>
      </c>
      <c r="AA1907" t="s">
        <v>1129</v>
      </c>
      <c r="AB1907" t="s">
        <v>5088</v>
      </c>
      <c r="AC1907">
        <v>472</v>
      </c>
      <c r="AD1907">
        <v>194</v>
      </c>
      <c r="AE1907">
        <v>99</v>
      </c>
      <c r="AF1907">
        <v>-53.56</v>
      </c>
      <c r="AG1907">
        <v>-11.11</v>
      </c>
      <c r="AH1907">
        <v>-7.77</v>
      </c>
      <c r="AI1907">
        <v>-0.16</v>
      </c>
      <c r="AJ1907">
        <v>-0.11</v>
      </c>
      <c r="AK1907">
        <v>91</v>
      </c>
      <c r="AL1907">
        <v>637</v>
      </c>
      <c r="AM1907">
        <v>285</v>
      </c>
      <c r="AN1907">
        <v>-6.52</v>
      </c>
      <c r="AO1907">
        <v>1.95</v>
      </c>
      <c r="AP1907">
        <v>1015</v>
      </c>
      <c r="AQ1907">
        <v>7</v>
      </c>
      <c r="AR1907">
        <v>10.029999999999999</v>
      </c>
      <c r="AS1907">
        <v>92</v>
      </c>
      <c r="AT1907">
        <v>3.72</v>
      </c>
      <c r="AU1907">
        <v>97</v>
      </c>
      <c r="AV1907">
        <v>-2.68</v>
      </c>
      <c r="AW1907">
        <v>99</v>
      </c>
      <c r="AX1907">
        <v>0.68</v>
      </c>
      <c r="AY1907">
        <v>96</v>
      </c>
      <c r="AZ1907">
        <v>5.88</v>
      </c>
      <c r="BA1907">
        <v>89</v>
      </c>
      <c r="BB1907">
        <v>4.78</v>
      </c>
      <c r="BC1907">
        <v>90</v>
      </c>
      <c r="BD1907">
        <v>0</v>
      </c>
      <c r="BE1907">
        <v>-0.05</v>
      </c>
      <c r="BF1907">
        <v>-0.13</v>
      </c>
      <c r="BG1907">
        <v>97</v>
      </c>
      <c r="BH1907">
        <v>0.08</v>
      </c>
      <c r="BI1907">
        <v>-28.45</v>
      </c>
      <c r="BJ1907">
        <v>72</v>
      </c>
      <c r="BK1907">
        <v>35</v>
      </c>
      <c r="BL1907">
        <v>-2.2599999999999998</v>
      </c>
      <c r="BM1907">
        <v>1.1499999999999999</v>
      </c>
      <c r="BN1907">
        <v>-1.82</v>
      </c>
      <c r="BO1907">
        <v>-1.97</v>
      </c>
      <c r="BP1907">
        <v>2.8</v>
      </c>
      <c r="BQ1907">
        <v>1.71</v>
      </c>
      <c r="BR1907">
        <v>-0.24</v>
      </c>
      <c r="BS1907">
        <v>1.75</v>
      </c>
      <c r="BT1907">
        <v>0.8</v>
      </c>
      <c r="BU1907">
        <v>0.69</v>
      </c>
      <c r="BV1907">
        <v>-1.02</v>
      </c>
      <c r="BW1907">
        <v>-0.57999999999999996</v>
      </c>
      <c r="BX1907">
        <v>1.52</v>
      </c>
      <c r="BY1907">
        <v>2.14</v>
      </c>
      <c r="BZ1907">
        <v>-3.7</v>
      </c>
      <c r="CA1907">
        <v>-0.09</v>
      </c>
      <c r="CB1907">
        <v>-0.28999999999999998</v>
      </c>
      <c r="CC1907">
        <v>0.41</v>
      </c>
      <c r="CD1907">
        <v>1.99</v>
      </c>
      <c r="CE1907">
        <v>-2.2799999999999998</v>
      </c>
      <c r="CF1907">
        <v>-0.47</v>
      </c>
      <c r="CG1907">
        <v>0</v>
      </c>
      <c r="CH1907">
        <v>1.79</v>
      </c>
      <c r="CI1907">
        <v>0</v>
      </c>
      <c r="CJ1907">
        <v>-5.3</v>
      </c>
      <c r="CK1907">
        <v>99</v>
      </c>
      <c r="CL1907">
        <v>-0.26</v>
      </c>
      <c r="CM1907">
        <v>99</v>
      </c>
      <c r="CN1907">
        <v>-0.04</v>
      </c>
      <c r="CO1907">
        <v>99</v>
      </c>
      <c r="CP1907">
        <v>-5.4</v>
      </c>
      <c r="CQ1907">
        <v>97</v>
      </c>
      <c r="CR1907">
        <v>0</v>
      </c>
      <c r="CS1907">
        <v>0</v>
      </c>
      <c r="CT1907">
        <v>-6.2</v>
      </c>
      <c r="CU1907">
        <v>96</v>
      </c>
      <c r="CV1907">
        <v>-0.01</v>
      </c>
      <c r="CW1907">
        <v>46</v>
      </c>
      <c r="CX1907" t="s">
        <v>1543</v>
      </c>
    </row>
    <row r="1908" spans="1:102" x14ac:dyDescent="0.3">
      <c r="A1908" t="str">
        <f>HYPERLINK("https://webapp.icbf.com/v2/app/bull-search/view/77856670","HWT")</f>
        <v>HWT</v>
      </c>
      <c r="B1908" t="s">
        <v>11107</v>
      </c>
      <c r="C1908" t="s">
        <v>4265</v>
      </c>
      <c r="D1908" s="1">
        <v>32792</v>
      </c>
      <c r="E1908" t="s">
        <v>108</v>
      </c>
      <c r="F1908">
        <v>0</v>
      </c>
      <c r="G1908" t="s">
        <v>93</v>
      </c>
      <c r="H1908">
        <v>76.959999999999994</v>
      </c>
      <c r="I1908">
        <v>99</v>
      </c>
      <c r="J1908">
        <v>-7.01</v>
      </c>
      <c r="K1908">
        <v>99</v>
      </c>
      <c r="L1908">
        <v>57.72</v>
      </c>
      <c r="M1908">
        <v>98</v>
      </c>
      <c r="N1908">
        <v>22.84</v>
      </c>
      <c r="O1908">
        <v>99</v>
      </c>
      <c r="P1908">
        <v>-3.73</v>
      </c>
      <c r="Q1908">
        <v>99</v>
      </c>
      <c r="R1908">
        <v>-10.02</v>
      </c>
      <c r="S1908">
        <v>98</v>
      </c>
      <c r="T1908">
        <v>11.83</v>
      </c>
      <c r="U1908">
        <v>99</v>
      </c>
      <c r="V1908">
        <v>5.33</v>
      </c>
      <c r="W1908">
        <v>98</v>
      </c>
      <c r="X1908" t="s">
        <v>102</v>
      </c>
      <c r="Y1908" t="s">
        <v>95</v>
      </c>
      <c r="Z1908" t="s">
        <v>96</v>
      </c>
      <c r="AA1908" t="s">
        <v>3562</v>
      </c>
      <c r="AB1908" t="s">
        <v>506</v>
      </c>
      <c r="AC1908">
        <v>3336</v>
      </c>
      <c r="AD1908">
        <v>858</v>
      </c>
      <c r="AE1908">
        <v>99</v>
      </c>
      <c r="AF1908">
        <v>-139.19999999999999</v>
      </c>
      <c r="AG1908">
        <v>-3.71</v>
      </c>
      <c r="AH1908">
        <v>-2.0099999999999998</v>
      </c>
      <c r="AI1908">
        <v>0.03</v>
      </c>
      <c r="AJ1908">
        <v>0.05</v>
      </c>
      <c r="AK1908">
        <v>98</v>
      </c>
      <c r="AL1908">
        <v>5108</v>
      </c>
      <c r="AM1908">
        <v>1556</v>
      </c>
      <c r="AN1908">
        <v>-2.64</v>
      </c>
      <c r="AO1908">
        <v>1.97</v>
      </c>
      <c r="AP1908">
        <v>742</v>
      </c>
      <c r="AQ1908">
        <v>12</v>
      </c>
      <c r="AR1908">
        <v>4.83</v>
      </c>
      <c r="AS1908">
        <v>98</v>
      </c>
      <c r="AT1908">
        <v>2</v>
      </c>
      <c r="AU1908">
        <v>99</v>
      </c>
      <c r="AV1908">
        <v>-0.86</v>
      </c>
      <c r="AW1908">
        <v>99</v>
      </c>
      <c r="AX1908">
        <v>-0.35</v>
      </c>
      <c r="AY1908">
        <v>99</v>
      </c>
      <c r="AZ1908">
        <v>5.33</v>
      </c>
      <c r="BA1908">
        <v>98</v>
      </c>
      <c r="BB1908">
        <v>5.25</v>
      </c>
      <c r="BC1908">
        <v>99</v>
      </c>
      <c r="BD1908">
        <v>0.05</v>
      </c>
      <c r="BE1908">
        <v>0.03</v>
      </c>
      <c r="BF1908">
        <v>0.09</v>
      </c>
      <c r="BG1908">
        <v>99</v>
      </c>
      <c r="BH1908">
        <v>0.21</v>
      </c>
      <c r="BI1908">
        <v>7.11</v>
      </c>
      <c r="BJ1908">
        <v>113</v>
      </c>
      <c r="BK1908">
        <v>65</v>
      </c>
      <c r="BL1908">
        <v>-2.0499999999999998</v>
      </c>
      <c r="BM1908">
        <v>1.06</v>
      </c>
      <c r="BN1908">
        <v>-2.4</v>
      </c>
      <c r="BO1908">
        <v>-2.23</v>
      </c>
      <c r="BP1908">
        <v>-2.12</v>
      </c>
      <c r="BQ1908">
        <v>2.36</v>
      </c>
      <c r="BR1908">
        <v>-1.05</v>
      </c>
      <c r="BS1908">
        <v>-2.08</v>
      </c>
      <c r="BT1908">
        <v>0.28000000000000003</v>
      </c>
      <c r="BU1908">
        <v>-1.98</v>
      </c>
      <c r="BV1908">
        <v>-1.56</v>
      </c>
      <c r="BW1908">
        <v>-1.85</v>
      </c>
      <c r="BX1908">
        <v>0.39</v>
      </c>
      <c r="BY1908">
        <v>-1.48</v>
      </c>
      <c r="BZ1908">
        <v>0.04</v>
      </c>
      <c r="CA1908">
        <v>-1.91</v>
      </c>
      <c r="CB1908">
        <v>-1.84</v>
      </c>
      <c r="CC1908">
        <v>-1.36</v>
      </c>
      <c r="CD1908">
        <v>1.6</v>
      </c>
      <c r="CE1908">
        <v>-2.2000000000000002</v>
      </c>
      <c r="CF1908">
        <v>-1.35</v>
      </c>
      <c r="CG1908">
        <v>0</v>
      </c>
      <c r="CH1908">
        <v>-1.53</v>
      </c>
      <c r="CI1908">
        <v>0</v>
      </c>
      <c r="CJ1908">
        <v>1.1000000000000001</v>
      </c>
      <c r="CK1908">
        <v>99</v>
      </c>
      <c r="CL1908">
        <v>-0.2</v>
      </c>
      <c r="CM1908">
        <v>99</v>
      </c>
      <c r="CN1908">
        <v>0.19</v>
      </c>
      <c r="CO1908">
        <v>99</v>
      </c>
      <c r="CP1908">
        <v>-6.4</v>
      </c>
      <c r="CQ1908">
        <v>99</v>
      </c>
      <c r="CR1908">
        <v>0</v>
      </c>
      <c r="CS1908">
        <v>0</v>
      </c>
      <c r="CT1908">
        <v>-2.2000000000000002</v>
      </c>
      <c r="CU1908">
        <v>99</v>
      </c>
      <c r="CV1908">
        <v>0.22</v>
      </c>
      <c r="CW1908">
        <v>47</v>
      </c>
      <c r="CX1908" t="s">
        <v>507</v>
      </c>
    </row>
    <row r="1909" spans="1:102" x14ac:dyDescent="0.3">
      <c r="A1909" t="str">
        <f>HYPERLINK("https://webapp.icbf.com/v2/app/bull-search/view/659997885","S1340")</f>
        <v>S1340</v>
      </c>
      <c r="B1909" t="s">
        <v>1901</v>
      </c>
      <c r="C1909" t="s">
        <v>1902</v>
      </c>
      <c r="D1909" s="1">
        <v>39171</v>
      </c>
      <c r="E1909" t="s">
        <v>92</v>
      </c>
      <c r="F1909">
        <v>100</v>
      </c>
      <c r="G1909" t="s">
        <v>109</v>
      </c>
      <c r="H1909">
        <v>76.81</v>
      </c>
      <c r="I1909">
        <v>74</v>
      </c>
      <c r="J1909">
        <v>55.28</v>
      </c>
      <c r="K1909">
        <v>87</v>
      </c>
      <c r="L1909">
        <v>-12.03</v>
      </c>
      <c r="M1909">
        <v>84</v>
      </c>
      <c r="N1909">
        <v>14.43</v>
      </c>
      <c r="O1909">
        <v>53</v>
      </c>
      <c r="P1909">
        <v>7.73</v>
      </c>
      <c r="Q1909">
        <v>67</v>
      </c>
      <c r="R1909">
        <v>7.83</v>
      </c>
      <c r="S1909">
        <v>64</v>
      </c>
      <c r="T1909">
        <v>-1.79</v>
      </c>
      <c r="U1909">
        <v>40</v>
      </c>
      <c r="V1909">
        <v>5.36</v>
      </c>
      <c r="W1909">
        <v>41</v>
      </c>
      <c r="X1909" t="s">
        <v>251</v>
      </c>
      <c r="Y1909" t="s">
        <v>342</v>
      </c>
      <c r="Z1909" t="s">
        <v>96</v>
      </c>
      <c r="AA1909" t="s">
        <v>350</v>
      </c>
      <c r="AB1909" t="s">
        <v>1903</v>
      </c>
      <c r="AC1909">
        <v>0</v>
      </c>
      <c r="AD1909">
        <v>0</v>
      </c>
      <c r="AE1909">
        <v>87</v>
      </c>
      <c r="AF1909">
        <v>460.79</v>
      </c>
      <c r="AG1909">
        <v>8.69</v>
      </c>
      <c r="AH1909">
        <v>13.38</v>
      </c>
      <c r="AI1909">
        <v>-0.14000000000000001</v>
      </c>
      <c r="AJ1909">
        <v>-0.04</v>
      </c>
      <c r="AK1909">
        <v>84</v>
      </c>
      <c r="AL1909">
        <v>0</v>
      </c>
      <c r="AM1909">
        <v>0</v>
      </c>
      <c r="AN1909">
        <v>2.16</v>
      </c>
      <c r="AO1909">
        <v>1.22</v>
      </c>
      <c r="AP1909">
        <v>27</v>
      </c>
      <c r="AQ1909">
        <v>0</v>
      </c>
      <c r="AR1909">
        <v>6.9</v>
      </c>
      <c r="AS1909">
        <v>36</v>
      </c>
      <c r="AT1909">
        <v>3.44</v>
      </c>
      <c r="AU1909">
        <v>91</v>
      </c>
      <c r="AV1909">
        <v>-1.58</v>
      </c>
      <c r="AW1909">
        <v>44</v>
      </c>
      <c r="AX1909">
        <v>0.66</v>
      </c>
      <c r="AY1909">
        <v>46</v>
      </c>
      <c r="AZ1909">
        <v>5.3</v>
      </c>
      <c r="BA1909">
        <v>37</v>
      </c>
      <c r="BB1909">
        <v>4.37</v>
      </c>
      <c r="BC1909">
        <v>33</v>
      </c>
      <c r="BD1909">
        <v>0</v>
      </c>
      <c r="BE1909">
        <v>0</v>
      </c>
      <c r="BF1909">
        <v>-0.18</v>
      </c>
      <c r="BG1909">
        <v>91</v>
      </c>
      <c r="BH1909">
        <v>0.19</v>
      </c>
      <c r="BI1909">
        <v>4.7</v>
      </c>
      <c r="BJ1909">
        <v>0</v>
      </c>
      <c r="BK1909">
        <v>0</v>
      </c>
      <c r="BL1909">
        <v>0.18</v>
      </c>
      <c r="BM1909">
        <v>0.5</v>
      </c>
      <c r="BN1909">
        <v>0.34</v>
      </c>
      <c r="BO1909">
        <v>0.52</v>
      </c>
      <c r="BP1909">
        <v>-0.77</v>
      </c>
      <c r="BQ1909">
        <v>1.07</v>
      </c>
      <c r="BR1909">
        <v>-0.35</v>
      </c>
      <c r="BS1909">
        <v>3.62</v>
      </c>
      <c r="BT1909">
        <v>0.76</v>
      </c>
      <c r="BU1909">
        <v>2.37</v>
      </c>
      <c r="BV1909">
        <v>1.1599999999999999</v>
      </c>
      <c r="BW1909">
        <v>2.39</v>
      </c>
      <c r="BX1909">
        <v>2.2599999999999998</v>
      </c>
      <c r="BY1909">
        <v>2.85</v>
      </c>
      <c r="BZ1909">
        <v>-0.24</v>
      </c>
      <c r="CA1909">
        <v>2.6</v>
      </c>
      <c r="CB1909">
        <v>2.2599999999999998</v>
      </c>
      <c r="CC1909">
        <v>2.16</v>
      </c>
      <c r="CD1909">
        <v>0.42</v>
      </c>
      <c r="CE1909">
        <v>1.04</v>
      </c>
      <c r="CF1909">
        <v>1.35</v>
      </c>
      <c r="CG1909">
        <v>0</v>
      </c>
      <c r="CH1909">
        <v>1.82</v>
      </c>
      <c r="CI1909">
        <v>0</v>
      </c>
      <c r="CJ1909">
        <v>6.9</v>
      </c>
      <c r="CK1909">
        <v>71</v>
      </c>
      <c r="CL1909">
        <v>-0.92</v>
      </c>
      <c r="CM1909">
        <v>67</v>
      </c>
      <c r="CN1909">
        <v>-0.56000000000000005</v>
      </c>
      <c r="CO1909">
        <v>65</v>
      </c>
      <c r="CP1909">
        <v>7.6</v>
      </c>
      <c r="CQ1909">
        <v>48</v>
      </c>
      <c r="CR1909">
        <v>0</v>
      </c>
      <c r="CS1909">
        <v>0</v>
      </c>
      <c r="CT1909">
        <v>16.2</v>
      </c>
      <c r="CU1909">
        <v>40</v>
      </c>
      <c r="CV1909">
        <v>0.37</v>
      </c>
      <c r="CW1909">
        <v>20</v>
      </c>
      <c r="CX1909" t="s">
        <v>314</v>
      </c>
    </row>
    <row r="1910" spans="1:102" x14ac:dyDescent="0.3">
      <c r="A1910" t="str">
        <f>HYPERLINK("https://webapp.icbf.com/v2/app/bull-search/view/568051028","ATY")</f>
        <v>ATY</v>
      </c>
      <c r="B1910" t="s">
        <v>11750</v>
      </c>
      <c r="C1910" t="s">
        <v>11751</v>
      </c>
      <c r="D1910" s="1">
        <v>38994</v>
      </c>
      <c r="E1910" t="s">
        <v>92</v>
      </c>
      <c r="F1910">
        <v>100</v>
      </c>
      <c r="G1910" t="s">
        <v>109</v>
      </c>
      <c r="H1910">
        <v>76.75</v>
      </c>
      <c r="I1910">
        <v>77</v>
      </c>
      <c r="J1910">
        <v>31.63</v>
      </c>
      <c r="K1910">
        <v>88</v>
      </c>
      <c r="L1910">
        <v>-14.15</v>
      </c>
      <c r="M1910">
        <v>73</v>
      </c>
      <c r="N1910">
        <v>42.16</v>
      </c>
      <c r="O1910">
        <v>70</v>
      </c>
      <c r="P1910">
        <v>-4.78</v>
      </c>
      <c r="Q1910">
        <v>80</v>
      </c>
      <c r="R1910">
        <v>13.56</v>
      </c>
      <c r="S1910">
        <v>66</v>
      </c>
      <c r="T1910">
        <v>9.24</v>
      </c>
      <c r="U1910">
        <v>68</v>
      </c>
      <c r="V1910">
        <v>-0.91</v>
      </c>
      <c r="W1910">
        <v>53</v>
      </c>
      <c r="X1910" t="s">
        <v>251</v>
      </c>
      <c r="Y1910" t="s">
        <v>2581</v>
      </c>
      <c r="Z1910" t="s">
        <v>96</v>
      </c>
      <c r="AA1910" t="s">
        <v>358</v>
      </c>
      <c r="AB1910" t="s">
        <v>11752</v>
      </c>
      <c r="AC1910">
        <v>30</v>
      </c>
      <c r="AD1910">
        <v>18</v>
      </c>
      <c r="AE1910">
        <v>88</v>
      </c>
      <c r="AF1910">
        <v>147.94999999999999</v>
      </c>
      <c r="AG1910">
        <v>3.46</v>
      </c>
      <c r="AH1910">
        <v>6.42</v>
      </c>
      <c r="AI1910">
        <v>-0.04</v>
      </c>
      <c r="AJ1910">
        <v>0.02</v>
      </c>
      <c r="AK1910">
        <v>73</v>
      </c>
      <c r="AL1910">
        <v>25</v>
      </c>
      <c r="AM1910">
        <v>19</v>
      </c>
      <c r="AN1910">
        <v>1.43</v>
      </c>
      <c r="AO1910">
        <v>0.31</v>
      </c>
      <c r="AP1910">
        <v>65</v>
      </c>
      <c r="AQ1910">
        <v>7</v>
      </c>
      <c r="AR1910">
        <v>4.5999999999999996</v>
      </c>
      <c r="AS1910">
        <v>42</v>
      </c>
      <c r="AT1910">
        <v>1.98</v>
      </c>
      <c r="AU1910">
        <v>73</v>
      </c>
      <c r="AV1910">
        <v>-3.23</v>
      </c>
      <c r="AW1910">
        <v>87</v>
      </c>
      <c r="AX1910">
        <v>-0.84</v>
      </c>
      <c r="AY1910">
        <v>61</v>
      </c>
      <c r="AZ1910">
        <v>6.19</v>
      </c>
      <c r="BA1910">
        <v>43</v>
      </c>
      <c r="BB1910">
        <v>5.25</v>
      </c>
      <c r="BC1910">
        <v>43</v>
      </c>
      <c r="BD1910">
        <v>-0.01</v>
      </c>
      <c r="BE1910">
        <v>-0.05</v>
      </c>
      <c r="BF1910">
        <v>-0.2</v>
      </c>
      <c r="BG1910">
        <v>81</v>
      </c>
      <c r="BH1910">
        <v>0.03</v>
      </c>
      <c r="BI1910">
        <v>6.42</v>
      </c>
      <c r="BJ1910">
        <v>2</v>
      </c>
      <c r="BK1910">
        <v>2</v>
      </c>
      <c r="BL1910">
        <v>-0.04</v>
      </c>
      <c r="BM1910">
        <v>0.16</v>
      </c>
      <c r="BN1910">
        <v>-0.26</v>
      </c>
      <c r="BO1910">
        <v>-0.51</v>
      </c>
      <c r="BP1910">
        <v>0.9</v>
      </c>
      <c r="BQ1910">
        <v>0.61</v>
      </c>
      <c r="BR1910">
        <v>-1.38</v>
      </c>
      <c r="BS1910">
        <v>1.53</v>
      </c>
      <c r="BT1910">
        <v>0.6</v>
      </c>
      <c r="BU1910">
        <v>0.17</v>
      </c>
      <c r="BV1910">
        <v>0.47</v>
      </c>
      <c r="BW1910">
        <v>-0.82</v>
      </c>
      <c r="BX1910">
        <v>0.28000000000000003</v>
      </c>
      <c r="BY1910">
        <v>-0.01</v>
      </c>
      <c r="BZ1910">
        <v>-0.41</v>
      </c>
      <c r="CA1910">
        <v>0.87</v>
      </c>
      <c r="CB1910">
        <v>0.44</v>
      </c>
      <c r="CC1910">
        <v>1.32</v>
      </c>
      <c r="CD1910">
        <v>0.56999999999999995</v>
      </c>
      <c r="CE1910">
        <v>0.7</v>
      </c>
      <c r="CF1910">
        <v>0.4</v>
      </c>
      <c r="CG1910">
        <v>0</v>
      </c>
      <c r="CH1910">
        <v>1.26</v>
      </c>
      <c r="CI1910">
        <v>0</v>
      </c>
      <c r="CJ1910">
        <v>-2.2000000000000002</v>
      </c>
      <c r="CK1910">
        <v>82</v>
      </c>
      <c r="CL1910">
        <v>-0.66</v>
      </c>
      <c r="CM1910">
        <v>78</v>
      </c>
      <c r="CN1910">
        <v>-0.52</v>
      </c>
      <c r="CO1910">
        <v>76</v>
      </c>
      <c r="CP1910">
        <v>-6.8</v>
      </c>
      <c r="CQ1910">
        <v>74</v>
      </c>
      <c r="CR1910">
        <v>0</v>
      </c>
      <c r="CS1910">
        <v>0</v>
      </c>
      <c r="CT1910">
        <v>1.3</v>
      </c>
      <c r="CU1910">
        <v>68</v>
      </c>
      <c r="CV1910">
        <v>0.13</v>
      </c>
      <c r="CW1910">
        <v>24</v>
      </c>
      <c r="CX1910" t="s">
        <v>316</v>
      </c>
    </row>
    <row r="1911" spans="1:102" x14ac:dyDescent="0.3">
      <c r="A1911" t="str">
        <f>HYPERLINK("https://webapp.icbf.com/v2/app/bull-search/view/982451522","S1445")</f>
        <v>S1445</v>
      </c>
      <c r="B1911" t="s">
        <v>13125</v>
      </c>
      <c r="C1911" t="s">
        <v>13126</v>
      </c>
      <c r="D1911" s="1">
        <v>40626</v>
      </c>
      <c r="E1911" t="s">
        <v>92</v>
      </c>
      <c r="F1911">
        <v>100</v>
      </c>
      <c r="G1911" t="s">
        <v>93</v>
      </c>
      <c r="H1911">
        <v>76.72</v>
      </c>
      <c r="I1911">
        <v>90</v>
      </c>
      <c r="J1911">
        <v>61.98</v>
      </c>
      <c r="K1911">
        <v>98</v>
      </c>
      <c r="L1911">
        <v>-31.8</v>
      </c>
      <c r="M1911">
        <v>85</v>
      </c>
      <c r="N1911">
        <v>38.159999999999997</v>
      </c>
      <c r="O1911">
        <v>89</v>
      </c>
      <c r="P1911">
        <v>-2.6</v>
      </c>
      <c r="Q1911">
        <v>92</v>
      </c>
      <c r="R1911">
        <v>19.66</v>
      </c>
      <c r="S1911">
        <v>81</v>
      </c>
      <c r="T1911">
        <v>-11.85</v>
      </c>
      <c r="U1911">
        <v>84</v>
      </c>
      <c r="V1911">
        <v>3.17</v>
      </c>
      <c r="W1911">
        <v>73</v>
      </c>
      <c r="X1911" t="s">
        <v>276</v>
      </c>
      <c r="Y1911" t="s">
        <v>342</v>
      </c>
      <c r="Z1911" t="s">
        <v>96</v>
      </c>
      <c r="AA1911" t="s">
        <v>9195</v>
      </c>
      <c r="AB1911" t="s">
        <v>13127</v>
      </c>
      <c r="AC1911">
        <v>184</v>
      </c>
      <c r="AD1911">
        <v>70</v>
      </c>
      <c r="AE1911">
        <v>98</v>
      </c>
      <c r="AF1911">
        <v>173.05</v>
      </c>
      <c r="AG1911">
        <v>5.71</v>
      </c>
      <c r="AH1911">
        <v>11.17</v>
      </c>
      <c r="AI1911">
        <v>-0.02</v>
      </c>
      <c r="AJ1911">
        <v>0.09</v>
      </c>
      <c r="AK1911">
        <v>85</v>
      </c>
      <c r="AL1911">
        <v>182</v>
      </c>
      <c r="AM1911">
        <v>73</v>
      </c>
      <c r="AN1911">
        <v>0.62</v>
      </c>
      <c r="AO1911">
        <v>-1.93</v>
      </c>
      <c r="AP1911">
        <v>308</v>
      </c>
      <c r="AQ1911">
        <v>4</v>
      </c>
      <c r="AR1911">
        <v>5.23</v>
      </c>
      <c r="AS1911">
        <v>90</v>
      </c>
      <c r="AT1911">
        <v>2.82</v>
      </c>
      <c r="AU1911">
        <v>91</v>
      </c>
      <c r="AV1911">
        <v>-3.58</v>
      </c>
      <c r="AW1911">
        <v>97</v>
      </c>
      <c r="AX1911">
        <v>-0.12</v>
      </c>
      <c r="AY1911">
        <v>86</v>
      </c>
      <c r="AZ1911">
        <v>6.03</v>
      </c>
      <c r="BA1911">
        <v>72</v>
      </c>
      <c r="BB1911">
        <v>4.8899999999999997</v>
      </c>
      <c r="BC1911">
        <v>64</v>
      </c>
      <c r="BD1911">
        <v>-0.06</v>
      </c>
      <c r="BE1911">
        <v>-0.08</v>
      </c>
      <c r="BF1911">
        <v>-0.2</v>
      </c>
      <c r="BG1911">
        <v>93</v>
      </c>
      <c r="BH1911">
        <v>-0.08</v>
      </c>
      <c r="BI1911">
        <v>-19.489999999999998</v>
      </c>
      <c r="BJ1911">
        <v>47</v>
      </c>
      <c r="BK1911">
        <v>13</v>
      </c>
      <c r="BL1911">
        <v>1.63</v>
      </c>
      <c r="BM1911">
        <v>0.64</v>
      </c>
      <c r="BN1911">
        <v>-0.33</v>
      </c>
      <c r="BO1911">
        <v>-0.24</v>
      </c>
      <c r="BP1911">
        <v>-0.56000000000000005</v>
      </c>
      <c r="BQ1911">
        <v>-1.44</v>
      </c>
      <c r="BR1911">
        <v>-1.73</v>
      </c>
      <c r="BS1911">
        <v>2.0699999999999998</v>
      </c>
      <c r="BT1911">
        <v>2.42</v>
      </c>
      <c r="BU1911">
        <v>2.2200000000000002</v>
      </c>
      <c r="BV1911">
        <v>1.55</v>
      </c>
      <c r="BW1911">
        <v>1.39</v>
      </c>
      <c r="BX1911">
        <v>2.75</v>
      </c>
      <c r="BY1911">
        <v>0.52</v>
      </c>
      <c r="BZ1911">
        <v>0.4</v>
      </c>
      <c r="CA1911">
        <v>2.31</v>
      </c>
      <c r="CB1911">
        <v>1.86</v>
      </c>
      <c r="CC1911">
        <v>1.93</v>
      </c>
      <c r="CD1911">
        <v>1.34</v>
      </c>
      <c r="CE1911">
        <v>0.32</v>
      </c>
      <c r="CF1911">
        <v>0.82</v>
      </c>
      <c r="CG1911">
        <v>0</v>
      </c>
      <c r="CH1911">
        <v>0.7</v>
      </c>
      <c r="CI1911">
        <v>0</v>
      </c>
      <c r="CJ1911">
        <v>1.3</v>
      </c>
      <c r="CK1911">
        <v>93</v>
      </c>
      <c r="CL1911">
        <v>-1.2</v>
      </c>
      <c r="CM1911">
        <v>92</v>
      </c>
      <c r="CN1911">
        <v>-0.52</v>
      </c>
      <c r="CO1911">
        <v>91</v>
      </c>
      <c r="CP1911">
        <v>12.7</v>
      </c>
      <c r="CQ1911">
        <v>87</v>
      </c>
      <c r="CR1911">
        <v>0</v>
      </c>
      <c r="CS1911">
        <v>0</v>
      </c>
      <c r="CT1911">
        <v>29.8</v>
      </c>
      <c r="CU1911">
        <v>84</v>
      </c>
      <c r="CV1911">
        <v>0.3</v>
      </c>
      <c r="CW1911">
        <v>44</v>
      </c>
      <c r="CX1911" t="s">
        <v>2131</v>
      </c>
    </row>
    <row r="1912" spans="1:102" x14ac:dyDescent="0.3">
      <c r="A1912" t="str">
        <f>HYPERLINK("https://webapp.icbf.com/v2/app/bull-search/view/388952542","JTZ")</f>
        <v>JTZ</v>
      </c>
      <c r="B1912" t="s">
        <v>12537</v>
      </c>
      <c r="C1912" t="s">
        <v>12538</v>
      </c>
      <c r="D1912" s="1">
        <v>38067</v>
      </c>
      <c r="E1912" t="s">
        <v>108</v>
      </c>
      <c r="F1912">
        <v>0</v>
      </c>
      <c r="G1912" t="s">
        <v>109</v>
      </c>
      <c r="H1912">
        <v>76.709999999999994</v>
      </c>
      <c r="I1912">
        <v>80</v>
      </c>
      <c r="J1912">
        <v>-26.76</v>
      </c>
      <c r="K1912">
        <v>92</v>
      </c>
      <c r="L1912">
        <v>80.260000000000005</v>
      </c>
      <c r="M1912">
        <v>72</v>
      </c>
      <c r="N1912">
        <v>7.36</v>
      </c>
      <c r="O1912">
        <v>70</v>
      </c>
      <c r="P1912">
        <v>-19.87</v>
      </c>
      <c r="Q1912">
        <v>84</v>
      </c>
      <c r="R1912">
        <v>-1.68</v>
      </c>
      <c r="S1912">
        <v>70</v>
      </c>
      <c r="T1912">
        <v>32.1</v>
      </c>
      <c r="U1912">
        <v>78</v>
      </c>
      <c r="V1912">
        <v>5.3</v>
      </c>
      <c r="W1912">
        <v>67</v>
      </c>
      <c r="X1912" t="s">
        <v>102</v>
      </c>
      <c r="Y1912" t="s">
        <v>1215</v>
      </c>
      <c r="Z1912" t="s">
        <v>96</v>
      </c>
      <c r="AA1912" t="s">
        <v>8136</v>
      </c>
      <c r="AB1912" t="s">
        <v>12539</v>
      </c>
      <c r="AC1912">
        <v>23</v>
      </c>
      <c r="AD1912">
        <v>15</v>
      </c>
      <c r="AE1912">
        <v>92</v>
      </c>
      <c r="AF1912">
        <v>-178.5</v>
      </c>
      <c r="AG1912">
        <v>-5.24</v>
      </c>
      <c r="AH1912">
        <v>-5.43</v>
      </c>
      <c r="AI1912">
        <v>0.03</v>
      </c>
      <c r="AJ1912">
        <v>0.01</v>
      </c>
      <c r="AK1912">
        <v>72</v>
      </c>
      <c r="AL1912">
        <v>27</v>
      </c>
      <c r="AM1912">
        <v>21</v>
      </c>
      <c r="AN1912">
        <v>-5.96</v>
      </c>
      <c r="AO1912">
        <v>0.42</v>
      </c>
      <c r="AP1912">
        <v>40</v>
      </c>
      <c r="AQ1912">
        <v>0</v>
      </c>
      <c r="AR1912">
        <v>7.15</v>
      </c>
      <c r="AS1912">
        <v>53</v>
      </c>
      <c r="AT1912">
        <v>2.72</v>
      </c>
      <c r="AU1912">
        <v>72</v>
      </c>
      <c r="AV1912">
        <v>-1.1399999999999999</v>
      </c>
      <c r="AW1912">
        <v>79</v>
      </c>
      <c r="AX1912">
        <v>-0.45</v>
      </c>
      <c r="AY1912">
        <v>66</v>
      </c>
      <c r="AZ1912">
        <v>6.83</v>
      </c>
      <c r="BA1912">
        <v>49</v>
      </c>
      <c r="BB1912">
        <v>6.26</v>
      </c>
      <c r="BC1912">
        <v>54</v>
      </c>
      <c r="BD1912">
        <v>0.01</v>
      </c>
      <c r="BE1912">
        <v>-0.02</v>
      </c>
      <c r="BF1912">
        <v>0.06</v>
      </c>
      <c r="BG1912">
        <v>76</v>
      </c>
      <c r="BH1912">
        <v>0.13</v>
      </c>
      <c r="BI1912">
        <v>-2.06</v>
      </c>
      <c r="BJ1912">
        <v>15</v>
      </c>
      <c r="BK1912">
        <v>9</v>
      </c>
      <c r="BL1912">
        <v>-3.2</v>
      </c>
      <c r="BM1912">
        <v>1.23</v>
      </c>
      <c r="BN1912">
        <v>-3.3</v>
      </c>
      <c r="BO1912">
        <v>-3.11</v>
      </c>
      <c r="BP1912">
        <v>-0.02</v>
      </c>
      <c r="BQ1912">
        <v>1.47</v>
      </c>
      <c r="BR1912">
        <v>-3.21</v>
      </c>
      <c r="BS1912">
        <v>0.49</v>
      </c>
      <c r="BT1912">
        <v>2.0099999999999998</v>
      </c>
      <c r="BU1912">
        <v>-2.54</v>
      </c>
      <c r="BV1912">
        <v>-3.37</v>
      </c>
      <c r="BW1912">
        <v>-2.77</v>
      </c>
      <c r="BX1912">
        <v>-0.73</v>
      </c>
      <c r="BY1912">
        <v>-1.83</v>
      </c>
      <c r="BZ1912">
        <v>-2.2400000000000002</v>
      </c>
      <c r="CA1912">
        <v>-2.2799999999999998</v>
      </c>
      <c r="CB1912">
        <v>-2.81</v>
      </c>
      <c r="CC1912">
        <v>-0.83</v>
      </c>
      <c r="CD1912">
        <v>2.66</v>
      </c>
      <c r="CE1912">
        <v>-2.84</v>
      </c>
      <c r="CF1912">
        <v>-1.52</v>
      </c>
      <c r="CG1912">
        <v>0</v>
      </c>
      <c r="CH1912">
        <v>-0.96</v>
      </c>
      <c r="CI1912">
        <v>0</v>
      </c>
      <c r="CJ1912">
        <v>-10.9</v>
      </c>
      <c r="CK1912">
        <v>85</v>
      </c>
      <c r="CL1912">
        <v>-0.15</v>
      </c>
      <c r="CM1912">
        <v>83</v>
      </c>
      <c r="CN1912">
        <v>0.01</v>
      </c>
      <c r="CO1912">
        <v>81</v>
      </c>
      <c r="CP1912">
        <v>-21.1</v>
      </c>
      <c r="CQ1912">
        <v>80</v>
      </c>
      <c r="CR1912">
        <v>0</v>
      </c>
      <c r="CS1912">
        <v>0</v>
      </c>
      <c r="CT1912">
        <v>-29.6</v>
      </c>
      <c r="CU1912">
        <v>78</v>
      </c>
      <c r="CV1912">
        <v>-0.02</v>
      </c>
      <c r="CW1912">
        <v>42</v>
      </c>
      <c r="CX1912" t="s">
        <v>6694</v>
      </c>
    </row>
    <row r="1913" spans="1:102" x14ac:dyDescent="0.3">
      <c r="A1913" t="str">
        <f>HYPERLINK("https://webapp.icbf.com/v2/app/bull-search/view/108372582","BSZ")</f>
        <v>BSZ</v>
      </c>
      <c r="B1913" t="s">
        <v>9864</v>
      </c>
      <c r="C1913" t="s">
        <v>5337</v>
      </c>
      <c r="D1913" s="1">
        <v>34559</v>
      </c>
      <c r="E1913" t="s">
        <v>146</v>
      </c>
      <c r="F1913">
        <v>25</v>
      </c>
      <c r="G1913" t="s">
        <v>93</v>
      </c>
      <c r="H1913">
        <v>76.7</v>
      </c>
      <c r="I1913">
        <v>86</v>
      </c>
      <c r="J1913">
        <v>3.56</v>
      </c>
      <c r="K1913">
        <v>97</v>
      </c>
      <c r="L1913">
        <v>46.31</v>
      </c>
      <c r="M1913">
        <v>72</v>
      </c>
      <c r="N1913">
        <v>-1.81</v>
      </c>
      <c r="O1913">
        <v>88</v>
      </c>
      <c r="P1913">
        <v>11.89</v>
      </c>
      <c r="Q1913">
        <v>96</v>
      </c>
      <c r="R1913">
        <v>16.03</v>
      </c>
      <c r="S1913">
        <v>80</v>
      </c>
      <c r="T1913">
        <v>5.91</v>
      </c>
      <c r="U1913">
        <v>91</v>
      </c>
      <c r="V1913">
        <v>-5.19</v>
      </c>
      <c r="W1913">
        <v>82</v>
      </c>
      <c r="X1913" t="s">
        <v>110</v>
      </c>
      <c r="Y1913" t="s">
        <v>95</v>
      </c>
      <c r="Z1913" t="s">
        <v>96</v>
      </c>
      <c r="AA1913" t="s">
        <v>9865</v>
      </c>
      <c r="AB1913" t="s">
        <v>9866</v>
      </c>
      <c r="AC1913">
        <v>169</v>
      </c>
      <c r="AD1913">
        <v>59</v>
      </c>
      <c r="AE1913">
        <v>97</v>
      </c>
      <c r="AF1913">
        <v>-253.58</v>
      </c>
      <c r="AG1913">
        <v>-0.3</v>
      </c>
      <c r="AH1913">
        <v>-3.17</v>
      </c>
      <c r="AI1913">
        <v>0.17</v>
      </c>
      <c r="AJ1913">
        <v>0.1</v>
      </c>
      <c r="AK1913">
        <v>72</v>
      </c>
      <c r="AL1913">
        <v>0</v>
      </c>
      <c r="AM1913">
        <v>0</v>
      </c>
      <c r="AN1913">
        <v>-2.77</v>
      </c>
      <c r="AO1913">
        <v>0.92</v>
      </c>
      <c r="AP1913">
        <v>251</v>
      </c>
      <c r="AQ1913">
        <v>5</v>
      </c>
      <c r="AR1913">
        <v>12.16</v>
      </c>
      <c r="AS1913">
        <v>79</v>
      </c>
      <c r="AT1913">
        <v>4.22</v>
      </c>
      <c r="AU1913">
        <v>91</v>
      </c>
      <c r="AV1913">
        <v>-2.13</v>
      </c>
      <c r="AW1913">
        <v>93</v>
      </c>
      <c r="AX1913">
        <v>-0.15</v>
      </c>
      <c r="AY1913">
        <v>90</v>
      </c>
      <c r="AZ1913">
        <v>4.79</v>
      </c>
      <c r="BA1913">
        <v>69</v>
      </c>
      <c r="BB1913">
        <v>4.0599999999999996</v>
      </c>
      <c r="BC1913">
        <v>76</v>
      </c>
      <c r="BD1913">
        <v>-0.04</v>
      </c>
      <c r="BE1913">
        <v>-0.08</v>
      </c>
      <c r="BF1913">
        <v>-0.15</v>
      </c>
      <c r="BG1913">
        <v>90</v>
      </c>
      <c r="BH1913">
        <v>-0.16</v>
      </c>
      <c r="BI1913">
        <v>-1.76</v>
      </c>
      <c r="BJ1913">
        <v>3</v>
      </c>
      <c r="BK1913">
        <v>3</v>
      </c>
      <c r="BL1913">
        <v>-1.91</v>
      </c>
      <c r="BM1913">
        <v>3.26</v>
      </c>
      <c r="BN1913">
        <v>0.13</v>
      </c>
      <c r="BO1913">
        <v>-0.99</v>
      </c>
      <c r="BP1913">
        <v>1.68</v>
      </c>
      <c r="BQ1913">
        <v>0.25</v>
      </c>
      <c r="BR1913">
        <v>1.47</v>
      </c>
      <c r="BS1913">
        <v>1.0900000000000001</v>
      </c>
      <c r="BT1913">
        <v>-0.94</v>
      </c>
      <c r="BU1913">
        <v>-1.08</v>
      </c>
      <c r="BV1913">
        <v>-3.46</v>
      </c>
      <c r="BW1913">
        <v>-2.23</v>
      </c>
      <c r="BX1913">
        <v>-1.31</v>
      </c>
      <c r="BY1913">
        <v>0.01</v>
      </c>
      <c r="BZ1913">
        <v>-3.18</v>
      </c>
      <c r="CA1913">
        <v>-1.38</v>
      </c>
      <c r="CB1913">
        <v>-1.65</v>
      </c>
      <c r="CC1913">
        <v>-0.01</v>
      </c>
      <c r="CD1913">
        <v>3.1</v>
      </c>
      <c r="CE1913">
        <v>-1.7</v>
      </c>
      <c r="CF1913">
        <v>0.22</v>
      </c>
      <c r="CG1913">
        <v>0</v>
      </c>
      <c r="CH1913">
        <v>-0.89</v>
      </c>
      <c r="CI1913">
        <v>0</v>
      </c>
      <c r="CJ1913">
        <v>2.6</v>
      </c>
      <c r="CK1913">
        <v>97</v>
      </c>
      <c r="CL1913">
        <v>0.19</v>
      </c>
      <c r="CM1913">
        <v>96</v>
      </c>
      <c r="CN1913">
        <v>-0.43</v>
      </c>
      <c r="CO1913">
        <v>96</v>
      </c>
      <c r="CP1913">
        <v>8.6999999999999993</v>
      </c>
      <c r="CQ1913">
        <v>95</v>
      </c>
      <c r="CR1913">
        <v>0</v>
      </c>
      <c r="CS1913">
        <v>0</v>
      </c>
      <c r="CT1913">
        <v>5.8</v>
      </c>
      <c r="CU1913">
        <v>91</v>
      </c>
      <c r="CV1913">
        <v>-0.03</v>
      </c>
      <c r="CW1913">
        <v>28</v>
      </c>
      <c r="CX1913" t="s">
        <v>9867</v>
      </c>
    </row>
    <row r="1914" spans="1:102" x14ac:dyDescent="0.3">
      <c r="A1914" t="str">
        <f>HYPERLINK("https://webapp.icbf.com/v2/app/bull-search/view/1411362776","S3126")</f>
        <v>S3126</v>
      </c>
      <c r="B1914" t="s">
        <v>9516</v>
      </c>
      <c r="C1914" t="s">
        <v>9517</v>
      </c>
      <c r="D1914" s="1">
        <v>42030</v>
      </c>
      <c r="E1914" t="s">
        <v>92</v>
      </c>
      <c r="F1914">
        <v>100</v>
      </c>
      <c r="G1914" t="s">
        <v>109</v>
      </c>
      <c r="H1914">
        <v>76.540000000000006</v>
      </c>
      <c r="I1914">
        <v>72</v>
      </c>
      <c r="J1914">
        <v>44.05</v>
      </c>
      <c r="K1914">
        <v>92</v>
      </c>
      <c r="L1914">
        <v>20.88</v>
      </c>
      <c r="M1914">
        <v>74</v>
      </c>
      <c r="N1914">
        <v>-0.94</v>
      </c>
      <c r="O1914">
        <v>58</v>
      </c>
      <c r="P1914">
        <v>2.41</v>
      </c>
      <c r="Q1914">
        <v>40</v>
      </c>
      <c r="R1914">
        <v>15.21</v>
      </c>
      <c r="S1914">
        <v>71</v>
      </c>
      <c r="T1914">
        <v>-14.07</v>
      </c>
      <c r="U1914">
        <v>37</v>
      </c>
      <c r="V1914">
        <v>9</v>
      </c>
      <c r="W1914">
        <v>58</v>
      </c>
      <c r="X1914" t="s">
        <v>94</v>
      </c>
      <c r="Y1914" t="s">
        <v>457</v>
      </c>
      <c r="Z1914" t="s">
        <v>96</v>
      </c>
      <c r="AA1914" t="s">
        <v>6211</v>
      </c>
      <c r="AB1914" t="s">
        <v>7024</v>
      </c>
      <c r="AC1914">
        <v>0</v>
      </c>
      <c r="AD1914">
        <v>0</v>
      </c>
      <c r="AE1914">
        <v>92</v>
      </c>
      <c r="AF1914">
        <v>550.14</v>
      </c>
      <c r="AG1914">
        <v>8.1199999999999992</v>
      </c>
      <c r="AH1914">
        <v>13.04</v>
      </c>
      <c r="AI1914">
        <v>-0.21</v>
      </c>
      <c r="AJ1914">
        <v>-0.09</v>
      </c>
      <c r="AK1914">
        <v>74</v>
      </c>
      <c r="AL1914">
        <v>0</v>
      </c>
      <c r="AM1914">
        <v>0</v>
      </c>
      <c r="AN1914">
        <v>-0.74</v>
      </c>
      <c r="AO1914">
        <v>0.93</v>
      </c>
      <c r="AP1914">
        <v>4</v>
      </c>
      <c r="AQ1914">
        <v>0</v>
      </c>
      <c r="AR1914">
        <v>9.81</v>
      </c>
      <c r="AS1914">
        <v>55</v>
      </c>
      <c r="AT1914">
        <v>4.99</v>
      </c>
      <c r="AU1914">
        <v>91</v>
      </c>
      <c r="AV1914">
        <v>-2.93</v>
      </c>
      <c r="AW1914">
        <v>51</v>
      </c>
      <c r="AX1914">
        <v>0.72</v>
      </c>
      <c r="AY1914">
        <v>44</v>
      </c>
      <c r="AZ1914">
        <v>4.95</v>
      </c>
      <c r="BA1914">
        <v>40</v>
      </c>
      <c r="BB1914">
        <v>4.58</v>
      </c>
      <c r="BC1914">
        <v>38</v>
      </c>
      <c r="BD1914">
        <v>-0.04</v>
      </c>
      <c r="BE1914">
        <v>-7.0000000000000007E-2</v>
      </c>
      <c r="BF1914">
        <v>-0.15</v>
      </c>
      <c r="BG1914">
        <v>87</v>
      </c>
      <c r="BH1914">
        <v>0.22</v>
      </c>
      <c r="BI1914">
        <v>-3.58</v>
      </c>
      <c r="BJ1914">
        <v>0</v>
      </c>
      <c r="BK1914">
        <v>0</v>
      </c>
      <c r="BL1914">
        <v>3.95</v>
      </c>
      <c r="BM1914">
        <v>-0.47</v>
      </c>
      <c r="BN1914">
        <v>1.28</v>
      </c>
      <c r="BO1914">
        <v>1.78</v>
      </c>
      <c r="BP1914">
        <v>-0.49</v>
      </c>
      <c r="BQ1914">
        <v>4.51</v>
      </c>
      <c r="BR1914">
        <v>1.28</v>
      </c>
      <c r="BS1914">
        <v>0.31</v>
      </c>
      <c r="BT1914">
        <v>0.22</v>
      </c>
      <c r="BU1914">
        <v>4.0599999999999996</v>
      </c>
      <c r="BV1914">
        <v>3.8</v>
      </c>
      <c r="BW1914">
        <v>2.92</v>
      </c>
      <c r="BX1914">
        <v>4.04</v>
      </c>
      <c r="BY1914">
        <v>2.66</v>
      </c>
      <c r="BZ1914">
        <v>0.08</v>
      </c>
      <c r="CA1914">
        <v>2.74</v>
      </c>
      <c r="CB1914">
        <v>3.17</v>
      </c>
      <c r="CC1914">
        <v>0.72</v>
      </c>
      <c r="CD1914">
        <v>-1.04</v>
      </c>
      <c r="CE1914">
        <v>0.95</v>
      </c>
      <c r="CF1914">
        <v>1.55</v>
      </c>
      <c r="CG1914">
        <v>0</v>
      </c>
      <c r="CH1914">
        <v>2.8</v>
      </c>
      <c r="CI1914">
        <v>0</v>
      </c>
      <c r="CJ1914">
        <v>5.7</v>
      </c>
      <c r="CK1914">
        <v>41</v>
      </c>
      <c r="CL1914">
        <v>-1.63</v>
      </c>
      <c r="CM1914">
        <v>40</v>
      </c>
      <c r="CN1914">
        <v>-0.78</v>
      </c>
      <c r="CO1914">
        <v>40</v>
      </c>
      <c r="CP1914">
        <v>14.9</v>
      </c>
      <c r="CQ1914">
        <v>38</v>
      </c>
      <c r="CR1914">
        <v>0</v>
      </c>
      <c r="CS1914">
        <v>0</v>
      </c>
      <c r="CT1914">
        <v>32.799999999999997</v>
      </c>
      <c r="CU1914">
        <v>37</v>
      </c>
      <c r="CV1914">
        <v>0.33</v>
      </c>
      <c r="CW1914">
        <v>33</v>
      </c>
      <c r="CX1914" t="s">
        <v>401</v>
      </c>
    </row>
    <row r="1915" spans="1:102" x14ac:dyDescent="0.3">
      <c r="A1915" t="str">
        <f>HYPERLINK("https://webapp.icbf.com/v2/app/bull-search/view/1196692159","S2260")</f>
        <v>S2260</v>
      </c>
      <c r="B1915" t="s">
        <v>13395</v>
      </c>
      <c r="C1915" t="s">
        <v>2311</v>
      </c>
      <c r="D1915" s="1">
        <v>41201</v>
      </c>
      <c r="E1915" t="s">
        <v>92</v>
      </c>
      <c r="F1915">
        <v>100</v>
      </c>
      <c r="G1915" t="s">
        <v>93</v>
      </c>
      <c r="H1915">
        <v>76.540000000000006</v>
      </c>
      <c r="I1915">
        <v>87</v>
      </c>
      <c r="J1915">
        <v>46.37</v>
      </c>
      <c r="K1915">
        <v>96</v>
      </c>
      <c r="L1915">
        <v>5.75</v>
      </c>
      <c r="M1915">
        <v>88</v>
      </c>
      <c r="N1915">
        <v>18.68</v>
      </c>
      <c r="O1915">
        <v>86</v>
      </c>
      <c r="P1915">
        <v>-0.46</v>
      </c>
      <c r="Q1915">
        <v>82</v>
      </c>
      <c r="R1915">
        <v>14.38</v>
      </c>
      <c r="S1915">
        <v>78</v>
      </c>
      <c r="T1915">
        <v>-13.92</v>
      </c>
      <c r="U1915">
        <v>65</v>
      </c>
      <c r="V1915">
        <v>5.74</v>
      </c>
      <c r="W1915">
        <v>61</v>
      </c>
      <c r="X1915" t="s">
        <v>428</v>
      </c>
      <c r="Y1915" t="s">
        <v>367</v>
      </c>
      <c r="Z1915" t="s">
        <v>96</v>
      </c>
      <c r="AA1915" t="s">
        <v>412</v>
      </c>
      <c r="AB1915" t="s">
        <v>13396</v>
      </c>
      <c r="AC1915">
        <v>115</v>
      </c>
      <c r="AD1915">
        <v>44</v>
      </c>
      <c r="AE1915">
        <v>96</v>
      </c>
      <c r="AF1915">
        <v>531.83000000000004</v>
      </c>
      <c r="AG1915">
        <v>10.73</v>
      </c>
      <c r="AH1915">
        <v>12.23</v>
      </c>
      <c r="AI1915">
        <v>-0.16</v>
      </c>
      <c r="AJ1915">
        <v>-0.09</v>
      </c>
      <c r="AK1915">
        <v>88</v>
      </c>
      <c r="AL1915">
        <v>39</v>
      </c>
      <c r="AM1915">
        <v>19</v>
      </c>
      <c r="AN1915">
        <v>0.56000000000000005</v>
      </c>
      <c r="AO1915">
        <v>1.03</v>
      </c>
      <c r="AP1915">
        <v>137</v>
      </c>
      <c r="AQ1915">
        <v>0</v>
      </c>
      <c r="AR1915">
        <v>7.85</v>
      </c>
      <c r="AS1915">
        <v>84</v>
      </c>
      <c r="AT1915">
        <v>3.36</v>
      </c>
      <c r="AU1915">
        <v>97</v>
      </c>
      <c r="AV1915">
        <v>-2.44</v>
      </c>
      <c r="AW1915">
        <v>95</v>
      </c>
      <c r="AX1915">
        <v>-0.23</v>
      </c>
      <c r="AY1915">
        <v>83</v>
      </c>
      <c r="AZ1915">
        <v>6.19</v>
      </c>
      <c r="BA1915">
        <v>63</v>
      </c>
      <c r="BB1915">
        <v>4.7699999999999996</v>
      </c>
      <c r="BC1915">
        <v>48</v>
      </c>
      <c r="BD1915">
        <v>-0.04</v>
      </c>
      <c r="BE1915">
        <v>-0.06</v>
      </c>
      <c r="BF1915">
        <v>-0.15</v>
      </c>
      <c r="BG1915">
        <v>93</v>
      </c>
      <c r="BH1915">
        <v>0.19</v>
      </c>
      <c r="BI1915">
        <v>3.45</v>
      </c>
      <c r="BJ1915">
        <v>53</v>
      </c>
      <c r="BK1915">
        <v>19</v>
      </c>
      <c r="BL1915">
        <v>2.48</v>
      </c>
      <c r="BM1915">
        <v>0.15</v>
      </c>
      <c r="BN1915">
        <v>1.1499999999999999</v>
      </c>
      <c r="BO1915">
        <v>1.37</v>
      </c>
      <c r="BP1915">
        <v>-1.01</v>
      </c>
      <c r="BQ1915">
        <v>3.09</v>
      </c>
      <c r="BR1915">
        <v>-0.57999999999999996</v>
      </c>
      <c r="BS1915">
        <v>1.49</v>
      </c>
      <c r="BT1915">
        <v>1.87</v>
      </c>
      <c r="BU1915">
        <v>3.03</v>
      </c>
      <c r="BV1915">
        <v>3.52</v>
      </c>
      <c r="BW1915">
        <v>3.12</v>
      </c>
      <c r="BX1915">
        <v>2.4900000000000002</v>
      </c>
      <c r="BY1915">
        <v>2.81</v>
      </c>
      <c r="BZ1915">
        <v>-0.13</v>
      </c>
      <c r="CA1915">
        <v>2.14</v>
      </c>
      <c r="CB1915">
        <v>2.2799999999999998</v>
      </c>
      <c r="CC1915">
        <v>1</v>
      </c>
      <c r="CD1915">
        <v>-0.41</v>
      </c>
      <c r="CE1915">
        <v>1.1299999999999999</v>
      </c>
      <c r="CF1915">
        <v>1.84</v>
      </c>
      <c r="CG1915">
        <v>0</v>
      </c>
      <c r="CH1915">
        <v>2.69</v>
      </c>
      <c r="CI1915">
        <v>0</v>
      </c>
      <c r="CJ1915">
        <v>2.7</v>
      </c>
      <c r="CK1915">
        <v>85</v>
      </c>
      <c r="CL1915">
        <v>-1.34</v>
      </c>
      <c r="CM1915">
        <v>82</v>
      </c>
      <c r="CN1915">
        <v>-0.64</v>
      </c>
      <c r="CO1915">
        <v>80</v>
      </c>
      <c r="CP1915">
        <v>14.3</v>
      </c>
      <c r="CQ1915">
        <v>68</v>
      </c>
      <c r="CR1915">
        <v>0</v>
      </c>
      <c r="CS1915">
        <v>0</v>
      </c>
      <c r="CT1915">
        <v>32.6</v>
      </c>
      <c r="CU1915">
        <v>65</v>
      </c>
      <c r="CV1915">
        <v>0.27</v>
      </c>
      <c r="CW1915">
        <v>43</v>
      </c>
      <c r="CX1915" t="s">
        <v>1848</v>
      </c>
    </row>
    <row r="1916" spans="1:102" x14ac:dyDescent="0.3">
      <c r="A1916" t="str">
        <f>HYPERLINK("https://webapp.icbf.com/v2/app/bull-search/view/804574695","S973")</f>
        <v>S973</v>
      </c>
      <c r="B1916" t="s">
        <v>7543</v>
      </c>
      <c r="C1916" t="s">
        <v>7544</v>
      </c>
      <c r="D1916" s="1">
        <v>39737</v>
      </c>
      <c r="E1916" t="s">
        <v>92</v>
      </c>
      <c r="F1916">
        <v>100</v>
      </c>
      <c r="G1916" t="s">
        <v>109</v>
      </c>
      <c r="H1916">
        <v>76.510000000000005</v>
      </c>
      <c r="I1916">
        <v>81</v>
      </c>
      <c r="J1916">
        <v>35.51</v>
      </c>
      <c r="K1916">
        <v>93</v>
      </c>
      <c r="L1916">
        <v>6.57</v>
      </c>
      <c r="M1916">
        <v>82</v>
      </c>
      <c r="N1916">
        <v>38.85</v>
      </c>
      <c r="O1916">
        <v>74</v>
      </c>
      <c r="P1916">
        <v>-14.82</v>
      </c>
      <c r="Q1916">
        <v>75</v>
      </c>
      <c r="R1916">
        <v>6.15</v>
      </c>
      <c r="S1916">
        <v>72</v>
      </c>
      <c r="T1916">
        <v>4.28</v>
      </c>
      <c r="U1916">
        <v>59</v>
      </c>
      <c r="V1916">
        <v>-0.03</v>
      </c>
      <c r="W1916">
        <v>54</v>
      </c>
      <c r="X1916" t="s">
        <v>94</v>
      </c>
      <c r="Y1916" t="s">
        <v>303</v>
      </c>
      <c r="Z1916" t="s">
        <v>96</v>
      </c>
      <c r="AA1916" t="s">
        <v>2358</v>
      </c>
      <c r="AB1916" t="s">
        <v>7545</v>
      </c>
      <c r="AC1916">
        <v>0</v>
      </c>
      <c r="AD1916">
        <v>0</v>
      </c>
      <c r="AE1916">
        <v>93</v>
      </c>
      <c r="AF1916">
        <v>228.12</v>
      </c>
      <c r="AG1916">
        <v>8.8800000000000008</v>
      </c>
      <c r="AH1916">
        <v>6.39</v>
      </c>
      <c r="AI1916">
        <v>0</v>
      </c>
      <c r="AJ1916">
        <v>-0.02</v>
      </c>
      <c r="AK1916">
        <v>82</v>
      </c>
      <c r="AL1916">
        <v>0</v>
      </c>
      <c r="AM1916">
        <v>0</v>
      </c>
      <c r="AN1916">
        <v>0.12</v>
      </c>
      <c r="AO1916">
        <v>0.65</v>
      </c>
      <c r="AP1916">
        <v>31</v>
      </c>
      <c r="AQ1916">
        <v>0</v>
      </c>
      <c r="AR1916">
        <v>3.69</v>
      </c>
      <c r="AS1916">
        <v>60</v>
      </c>
      <c r="AT1916">
        <v>1.49</v>
      </c>
      <c r="AU1916">
        <v>83</v>
      </c>
      <c r="AV1916">
        <v>-2.95</v>
      </c>
      <c r="AW1916">
        <v>85</v>
      </c>
      <c r="AX1916">
        <v>-0.8</v>
      </c>
      <c r="AY1916">
        <v>61</v>
      </c>
      <c r="AZ1916">
        <v>7.21</v>
      </c>
      <c r="BA1916">
        <v>44</v>
      </c>
      <c r="BB1916">
        <v>5.92</v>
      </c>
      <c r="BC1916">
        <v>46</v>
      </c>
      <c r="BD1916">
        <v>-0.02</v>
      </c>
      <c r="BE1916">
        <v>-0.02</v>
      </c>
      <c r="BF1916">
        <v>-7.0000000000000007E-2</v>
      </c>
      <c r="BG1916">
        <v>89</v>
      </c>
      <c r="BH1916">
        <v>0.09</v>
      </c>
      <c r="BI1916">
        <v>10.52</v>
      </c>
      <c r="BJ1916">
        <v>13</v>
      </c>
      <c r="BK1916">
        <v>8</v>
      </c>
      <c r="BL1916">
        <v>0.87</v>
      </c>
      <c r="BM1916">
        <v>-0.54</v>
      </c>
      <c r="BN1916">
        <v>-0.25</v>
      </c>
      <c r="BO1916">
        <v>0.54</v>
      </c>
      <c r="BP1916">
        <v>-2.0699999999999998</v>
      </c>
      <c r="BQ1916">
        <v>-0.04</v>
      </c>
      <c r="BR1916">
        <v>0.39</v>
      </c>
      <c r="BS1916">
        <v>0.01</v>
      </c>
      <c r="BT1916">
        <v>-0.2</v>
      </c>
      <c r="BU1916">
        <v>2.5299999999999998</v>
      </c>
      <c r="BV1916">
        <v>2.66</v>
      </c>
      <c r="BW1916">
        <v>1.66</v>
      </c>
      <c r="BX1916">
        <v>2.23</v>
      </c>
      <c r="BY1916">
        <v>1.88</v>
      </c>
      <c r="BZ1916">
        <v>-0.62</v>
      </c>
      <c r="CA1916">
        <v>1.78</v>
      </c>
      <c r="CB1916">
        <v>1.93</v>
      </c>
      <c r="CC1916">
        <v>0.36</v>
      </c>
      <c r="CD1916">
        <v>-0.6</v>
      </c>
      <c r="CE1916">
        <v>0.9</v>
      </c>
      <c r="CF1916">
        <v>0.55000000000000004</v>
      </c>
      <c r="CG1916">
        <v>0</v>
      </c>
      <c r="CH1916">
        <v>1.67</v>
      </c>
      <c r="CI1916">
        <v>0</v>
      </c>
      <c r="CJ1916">
        <v>-8</v>
      </c>
      <c r="CK1916">
        <v>78</v>
      </c>
      <c r="CL1916">
        <v>-1.01</v>
      </c>
      <c r="CM1916">
        <v>74</v>
      </c>
      <c r="CN1916">
        <v>-0.63</v>
      </c>
      <c r="CO1916">
        <v>71</v>
      </c>
      <c r="CP1916">
        <v>-4.9000000000000004</v>
      </c>
      <c r="CQ1916">
        <v>63</v>
      </c>
      <c r="CR1916">
        <v>0</v>
      </c>
      <c r="CS1916">
        <v>0</v>
      </c>
      <c r="CT1916">
        <v>8</v>
      </c>
      <c r="CU1916">
        <v>59</v>
      </c>
      <c r="CV1916">
        <v>-0.04</v>
      </c>
      <c r="CW1916">
        <v>41</v>
      </c>
      <c r="CX1916" t="s">
        <v>7546</v>
      </c>
    </row>
    <row r="1917" spans="1:102" x14ac:dyDescent="0.3">
      <c r="A1917" t="str">
        <f>HYPERLINK("https://webapp.icbf.com/v2/app/bull-search/view/124414445","BWV")</f>
        <v>BWV</v>
      </c>
      <c r="B1917" t="s">
        <v>11463</v>
      </c>
      <c r="C1917" t="s">
        <v>5528</v>
      </c>
      <c r="D1917" s="1">
        <v>36543</v>
      </c>
      <c r="E1917" t="s">
        <v>108</v>
      </c>
      <c r="F1917">
        <v>0</v>
      </c>
      <c r="G1917" t="s">
        <v>93</v>
      </c>
      <c r="H1917">
        <v>76.31</v>
      </c>
      <c r="I1917">
        <v>99</v>
      </c>
      <c r="J1917">
        <v>-7.71</v>
      </c>
      <c r="K1917">
        <v>99</v>
      </c>
      <c r="L1917">
        <v>69.06</v>
      </c>
      <c r="M1917">
        <v>98</v>
      </c>
      <c r="N1917">
        <v>-9.93</v>
      </c>
      <c r="O1917">
        <v>99</v>
      </c>
      <c r="P1917">
        <v>-9.0399999999999991</v>
      </c>
      <c r="Q1917">
        <v>99</v>
      </c>
      <c r="R1917">
        <v>7.71</v>
      </c>
      <c r="S1917">
        <v>99</v>
      </c>
      <c r="T1917">
        <v>16.420000000000002</v>
      </c>
      <c r="U1917">
        <v>99</v>
      </c>
      <c r="V1917">
        <v>9.8000000000000007</v>
      </c>
      <c r="W1917">
        <v>99</v>
      </c>
      <c r="X1917" t="s">
        <v>94</v>
      </c>
      <c r="Y1917" t="s">
        <v>95</v>
      </c>
      <c r="Z1917" t="s">
        <v>96</v>
      </c>
      <c r="AA1917" t="s">
        <v>4265</v>
      </c>
      <c r="AB1917" t="s">
        <v>11464</v>
      </c>
      <c r="AC1917">
        <v>3167</v>
      </c>
      <c r="AD1917">
        <v>1357</v>
      </c>
      <c r="AE1917">
        <v>99</v>
      </c>
      <c r="AF1917">
        <v>-155.78</v>
      </c>
      <c r="AG1917">
        <v>-0.95</v>
      </c>
      <c r="AH1917">
        <v>-3.36</v>
      </c>
      <c r="AI1917">
        <v>0.09</v>
      </c>
      <c r="AJ1917">
        <v>0.03</v>
      </c>
      <c r="AK1917">
        <v>98</v>
      </c>
      <c r="AL1917">
        <v>4417</v>
      </c>
      <c r="AM1917">
        <v>1875</v>
      </c>
      <c r="AN1917">
        <v>-3.56</v>
      </c>
      <c r="AO1917">
        <v>1.95</v>
      </c>
      <c r="AP1917">
        <v>5463</v>
      </c>
      <c r="AQ1917">
        <v>26</v>
      </c>
      <c r="AR1917">
        <v>7.44</v>
      </c>
      <c r="AS1917">
        <v>98</v>
      </c>
      <c r="AT1917">
        <v>3.6</v>
      </c>
      <c r="AU1917">
        <v>99</v>
      </c>
      <c r="AV1917">
        <v>-1.41</v>
      </c>
      <c r="AW1917">
        <v>99</v>
      </c>
      <c r="AX1917">
        <v>-0.78</v>
      </c>
      <c r="AY1917">
        <v>99</v>
      </c>
      <c r="AZ1917">
        <v>8.73</v>
      </c>
      <c r="BA1917">
        <v>98</v>
      </c>
      <c r="BB1917">
        <v>7.56</v>
      </c>
      <c r="BC1917">
        <v>99</v>
      </c>
      <c r="BD1917">
        <v>0.04</v>
      </c>
      <c r="BE1917">
        <v>-0.06</v>
      </c>
      <c r="BF1917">
        <v>-0.13</v>
      </c>
      <c r="BG1917">
        <v>99</v>
      </c>
      <c r="BH1917">
        <v>0.27</v>
      </c>
      <c r="BI1917">
        <v>-0.37</v>
      </c>
      <c r="BJ1917">
        <v>122</v>
      </c>
      <c r="BK1917">
        <v>69</v>
      </c>
      <c r="BL1917">
        <v>-1.77</v>
      </c>
      <c r="BM1917">
        <v>1.69</v>
      </c>
      <c r="BN1917">
        <v>-2.34</v>
      </c>
      <c r="BO1917">
        <v>-2.72</v>
      </c>
      <c r="BP1917">
        <v>-1.98</v>
      </c>
      <c r="BQ1917">
        <v>1.86</v>
      </c>
      <c r="BR1917">
        <v>-0.78</v>
      </c>
      <c r="BS1917">
        <v>-1.98</v>
      </c>
      <c r="BT1917">
        <v>-0.56999999999999995</v>
      </c>
      <c r="BU1917">
        <v>-2.64</v>
      </c>
      <c r="BV1917">
        <v>-2.65</v>
      </c>
      <c r="BW1917">
        <v>-1.79</v>
      </c>
      <c r="BX1917">
        <v>-0.89</v>
      </c>
      <c r="BY1917">
        <v>-1.95</v>
      </c>
      <c r="BZ1917">
        <v>-0.83</v>
      </c>
      <c r="CA1917">
        <v>-3.12</v>
      </c>
      <c r="CB1917">
        <v>-2.88</v>
      </c>
      <c r="CC1917">
        <v>-2.61</v>
      </c>
      <c r="CD1917">
        <v>2.3199999999999998</v>
      </c>
      <c r="CE1917">
        <v>-2.5099999999999998</v>
      </c>
      <c r="CF1917">
        <v>-1.6</v>
      </c>
      <c r="CG1917">
        <v>0</v>
      </c>
      <c r="CH1917">
        <v>-1.89</v>
      </c>
      <c r="CI1917">
        <v>0</v>
      </c>
      <c r="CJ1917">
        <v>-3.3</v>
      </c>
      <c r="CK1917">
        <v>99</v>
      </c>
      <c r="CL1917">
        <v>-0.27</v>
      </c>
      <c r="CM1917">
        <v>99</v>
      </c>
      <c r="CN1917">
        <v>-0.02</v>
      </c>
      <c r="CO1917">
        <v>99</v>
      </c>
      <c r="CP1917">
        <v>-12.9</v>
      </c>
      <c r="CQ1917">
        <v>99</v>
      </c>
      <c r="CR1917">
        <v>0</v>
      </c>
      <c r="CS1917">
        <v>0</v>
      </c>
      <c r="CT1917">
        <v>-8.4</v>
      </c>
      <c r="CU1917">
        <v>99</v>
      </c>
      <c r="CV1917">
        <v>0.13</v>
      </c>
      <c r="CW1917">
        <v>47</v>
      </c>
      <c r="CX1917" t="s">
        <v>3865</v>
      </c>
    </row>
    <row r="1918" spans="1:102" x14ac:dyDescent="0.3">
      <c r="A1918" t="str">
        <f>HYPERLINK("https://webapp.icbf.com/v2/app/bull-search/view/397611286","MPU")</f>
        <v>MPU</v>
      </c>
      <c r="B1918" t="s">
        <v>11863</v>
      </c>
      <c r="C1918" t="s">
        <v>11864</v>
      </c>
      <c r="D1918" s="1">
        <v>38414</v>
      </c>
      <c r="E1918" t="s">
        <v>108</v>
      </c>
      <c r="F1918">
        <v>41</v>
      </c>
      <c r="G1918" t="s">
        <v>93</v>
      </c>
      <c r="H1918">
        <v>76.23</v>
      </c>
      <c r="I1918">
        <v>86</v>
      </c>
      <c r="J1918">
        <v>4.01</v>
      </c>
      <c r="K1918">
        <v>96</v>
      </c>
      <c r="L1918">
        <v>76.17</v>
      </c>
      <c r="M1918">
        <v>78</v>
      </c>
      <c r="N1918">
        <v>-16.12</v>
      </c>
      <c r="O1918">
        <v>84</v>
      </c>
      <c r="P1918">
        <v>-21</v>
      </c>
      <c r="Q1918">
        <v>90</v>
      </c>
      <c r="R1918">
        <v>5.09</v>
      </c>
      <c r="S1918">
        <v>82</v>
      </c>
      <c r="T1918">
        <v>24.11</v>
      </c>
      <c r="U1918">
        <v>84</v>
      </c>
      <c r="V1918">
        <v>3.97</v>
      </c>
      <c r="W1918">
        <v>83</v>
      </c>
      <c r="X1918" t="s">
        <v>94</v>
      </c>
      <c r="Y1918" t="s">
        <v>95</v>
      </c>
      <c r="Z1918" t="s">
        <v>96</v>
      </c>
      <c r="AA1918" t="s">
        <v>792</v>
      </c>
      <c r="AB1918" t="s">
        <v>11865</v>
      </c>
      <c r="AC1918">
        <v>66</v>
      </c>
      <c r="AD1918">
        <v>52</v>
      </c>
      <c r="AE1918">
        <v>96</v>
      </c>
      <c r="AF1918">
        <v>8.75</v>
      </c>
      <c r="AG1918">
        <v>5.64</v>
      </c>
      <c r="AH1918">
        <v>-1.18</v>
      </c>
      <c r="AI1918">
        <v>0.09</v>
      </c>
      <c r="AJ1918">
        <v>-0.03</v>
      </c>
      <c r="AK1918">
        <v>78</v>
      </c>
      <c r="AL1918">
        <v>64</v>
      </c>
      <c r="AM1918">
        <v>47</v>
      </c>
      <c r="AN1918">
        <v>-4.47</v>
      </c>
      <c r="AO1918">
        <v>1.6</v>
      </c>
      <c r="AP1918">
        <v>143</v>
      </c>
      <c r="AQ1918">
        <v>6</v>
      </c>
      <c r="AR1918">
        <v>11.64</v>
      </c>
      <c r="AS1918">
        <v>68</v>
      </c>
      <c r="AT1918">
        <v>4.51</v>
      </c>
      <c r="AU1918">
        <v>86</v>
      </c>
      <c r="AV1918">
        <v>-0.82</v>
      </c>
      <c r="AW1918">
        <v>94</v>
      </c>
      <c r="AX1918">
        <v>-0.23</v>
      </c>
      <c r="AY1918">
        <v>79</v>
      </c>
      <c r="AZ1918">
        <v>5.24</v>
      </c>
      <c r="BA1918">
        <v>65</v>
      </c>
      <c r="BB1918">
        <v>4.5199999999999996</v>
      </c>
      <c r="BC1918">
        <v>68</v>
      </c>
      <c r="BD1918">
        <v>0</v>
      </c>
      <c r="BE1918">
        <v>-0.03</v>
      </c>
      <c r="BF1918">
        <v>-0.06</v>
      </c>
      <c r="BG1918">
        <v>88</v>
      </c>
      <c r="BH1918">
        <v>0.15</v>
      </c>
      <c r="BI1918">
        <v>4.54</v>
      </c>
      <c r="BJ1918">
        <v>17</v>
      </c>
      <c r="BK1918">
        <v>15</v>
      </c>
      <c r="BL1918">
        <v>-1.48</v>
      </c>
      <c r="BM1918">
        <v>0.71</v>
      </c>
      <c r="BN1918">
        <v>-1</v>
      </c>
      <c r="BO1918">
        <v>-1.39</v>
      </c>
      <c r="BP1918">
        <v>0.23</v>
      </c>
      <c r="BQ1918">
        <v>-2.35</v>
      </c>
      <c r="BR1918">
        <v>1.88</v>
      </c>
      <c r="BS1918">
        <v>-1.23</v>
      </c>
      <c r="BT1918">
        <v>-2.99</v>
      </c>
      <c r="BU1918">
        <v>-0.44</v>
      </c>
      <c r="BV1918">
        <v>-1.64</v>
      </c>
      <c r="BW1918">
        <v>-1.94</v>
      </c>
      <c r="BX1918">
        <v>-0.19</v>
      </c>
      <c r="BY1918">
        <v>-2.61</v>
      </c>
      <c r="BZ1918">
        <v>1.61</v>
      </c>
      <c r="CA1918">
        <v>-1.63</v>
      </c>
      <c r="CB1918">
        <v>-1.52</v>
      </c>
      <c r="CC1918">
        <v>-1.55</v>
      </c>
      <c r="CD1918">
        <v>0.69</v>
      </c>
      <c r="CE1918">
        <v>-1.66</v>
      </c>
      <c r="CF1918">
        <v>-1.9</v>
      </c>
      <c r="CG1918">
        <v>0</v>
      </c>
      <c r="CH1918">
        <v>-1.92</v>
      </c>
      <c r="CI1918">
        <v>0</v>
      </c>
      <c r="CJ1918">
        <v>-9.8000000000000007</v>
      </c>
      <c r="CK1918">
        <v>91</v>
      </c>
      <c r="CL1918">
        <v>-0.64</v>
      </c>
      <c r="CM1918">
        <v>89</v>
      </c>
      <c r="CN1918">
        <v>-0.16</v>
      </c>
      <c r="CO1918">
        <v>87</v>
      </c>
      <c r="CP1918">
        <v>-18.3</v>
      </c>
      <c r="CQ1918">
        <v>87</v>
      </c>
      <c r="CR1918">
        <v>0</v>
      </c>
      <c r="CS1918">
        <v>0</v>
      </c>
      <c r="CT1918">
        <v>-18.8</v>
      </c>
      <c r="CU1918">
        <v>84</v>
      </c>
      <c r="CV1918">
        <v>7.0000000000000007E-2</v>
      </c>
      <c r="CW1918">
        <v>45</v>
      </c>
      <c r="CX1918" t="s">
        <v>1035</v>
      </c>
    </row>
    <row r="1919" spans="1:102" x14ac:dyDescent="0.3">
      <c r="A1919" t="str">
        <f>HYPERLINK("https://webapp.icbf.com/v2/app/bull-search/view/714735268","S1551")</f>
        <v>S1551</v>
      </c>
      <c r="B1919" t="s">
        <v>5929</v>
      </c>
      <c r="C1919" t="s">
        <v>5930</v>
      </c>
      <c r="D1919" s="1">
        <v>39450</v>
      </c>
      <c r="E1919" t="s">
        <v>92</v>
      </c>
      <c r="F1919">
        <v>100</v>
      </c>
      <c r="G1919" t="s">
        <v>109</v>
      </c>
      <c r="H1919">
        <v>76.2</v>
      </c>
      <c r="I1919">
        <v>83</v>
      </c>
      <c r="J1919">
        <v>68.47</v>
      </c>
      <c r="K1919">
        <v>94</v>
      </c>
      <c r="L1919">
        <v>-17.989999999999998</v>
      </c>
      <c r="M1919">
        <v>87</v>
      </c>
      <c r="N1919">
        <v>27.56</v>
      </c>
      <c r="O1919">
        <v>70</v>
      </c>
      <c r="P1919">
        <v>1.17</v>
      </c>
      <c r="Q1919">
        <v>76</v>
      </c>
      <c r="R1919">
        <v>8.24</v>
      </c>
      <c r="S1919">
        <v>80</v>
      </c>
      <c r="T1919">
        <v>-10.89</v>
      </c>
      <c r="U1919">
        <v>56</v>
      </c>
      <c r="V1919">
        <v>-0.36</v>
      </c>
      <c r="W1919">
        <v>70</v>
      </c>
      <c r="X1919" t="s">
        <v>251</v>
      </c>
      <c r="Y1919" t="s">
        <v>362</v>
      </c>
      <c r="Z1919" t="s">
        <v>96</v>
      </c>
      <c r="AA1919" t="s">
        <v>316</v>
      </c>
      <c r="AB1919" t="s">
        <v>5931</v>
      </c>
      <c r="AC1919">
        <v>0</v>
      </c>
      <c r="AD1919">
        <v>0</v>
      </c>
      <c r="AE1919">
        <v>94</v>
      </c>
      <c r="AF1919">
        <v>520.51</v>
      </c>
      <c r="AG1919">
        <v>14.11</v>
      </c>
      <c r="AH1919">
        <v>14.62</v>
      </c>
      <c r="AI1919">
        <v>-0.1</v>
      </c>
      <c r="AJ1919">
        <v>-0.05</v>
      </c>
      <c r="AK1919">
        <v>87</v>
      </c>
      <c r="AL1919">
        <v>0</v>
      </c>
      <c r="AM1919">
        <v>0</v>
      </c>
      <c r="AN1919">
        <v>1.36</v>
      </c>
      <c r="AO1919">
        <v>-7.0000000000000007E-2</v>
      </c>
      <c r="AP1919">
        <v>25</v>
      </c>
      <c r="AQ1919">
        <v>0</v>
      </c>
      <c r="AR1919">
        <v>5.19</v>
      </c>
      <c r="AS1919">
        <v>69</v>
      </c>
      <c r="AT1919">
        <v>1.73</v>
      </c>
      <c r="AU1919">
        <v>91</v>
      </c>
      <c r="AV1919">
        <v>-2.58</v>
      </c>
      <c r="AW1919">
        <v>65</v>
      </c>
      <c r="AX1919">
        <v>0.56999999999999995</v>
      </c>
      <c r="AY1919">
        <v>60</v>
      </c>
      <c r="AZ1919">
        <v>7.75</v>
      </c>
      <c r="BA1919">
        <v>59</v>
      </c>
      <c r="BB1919">
        <v>5.93</v>
      </c>
      <c r="BC1919">
        <v>55</v>
      </c>
      <c r="BD1919">
        <v>0.01</v>
      </c>
      <c r="BE1919">
        <v>-0.04</v>
      </c>
      <c r="BF1919">
        <v>-0.13</v>
      </c>
      <c r="BG1919">
        <v>93</v>
      </c>
      <c r="BH1919">
        <v>-0.01</v>
      </c>
      <c r="BI1919">
        <v>0</v>
      </c>
      <c r="BJ1919">
        <v>4</v>
      </c>
      <c r="BK1919">
        <v>2</v>
      </c>
      <c r="BL1919">
        <v>0.97</v>
      </c>
      <c r="BM1919">
        <v>2.17</v>
      </c>
      <c r="BN1919">
        <v>1.29</v>
      </c>
      <c r="BO1919">
        <v>0.04</v>
      </c>
      <c r="BP1919">
        <v>0.85</v>
      </c>
      <c r="BQ1919">
        <v>1.88</v>
      </c>
      <c r="BR1919">
        <v>-2.57</v>
      </c>
      <c r="BS1919">
        <v>0.43</v>
      </c>
      <c r="BT1919">
        <v>2.95</v>
      </c>
      <c r="BU1919">
        <v>0.56000000000000005</v>
      </c>
      <c r="BV1919">
        <v>0.03</v>
      </c>
      <c r="BW1919">
        <v>0.24</v>
      </c>
      <c r="BX1919">
        <v>-0.03</v>
      </c>
      <c r="BY1919">
        <v>0.65</v>
      </c>
      <c r="BZ1919">
        <v>0.04</v>
      </c>
      <c r="CA1919">
        <v>0.76</v>
      </c>
      <c r="CB1919">
        <v>0.87</v>
      </c>
      <c r="CC1919">
        <v>0.65</v>
      </c>
      <c r="CD1919">
        <v>1.34</v>
      </c>
      <c r="CE1919">
        <v>0.2</v>
      </c>
      <c r="CF1919">
        <v>1.34</v>
      </c>
      <c r="CG1919">
        <v>0</v>
      </c>
      <c r="CH1919">
        <v>0.73</v>
      </c>
      <c r="CI1919">
        <v>0</v>
      </c>
      <c r="CJ1919">
        <v>3.2</v>
      </c>
      <c r="CK1919">
        <v>79</v>
      </c>
      <c r="CL1919">
        <v>-0.95</v>
      </c>
      <c r="CM1919">
        <v>75</v>
      </c>
      <c r="CN1919">
        <v>-0.46</v>
      </c>
      <c r="CO1919">
        <v>73</v>
      </c>
      <c r="CP1919">
        <v>7.8</v>
      </c>
      <c r="CQ1919">
        <v>65</v>
      </c>
      <c r="CR1919">
        <v>0</v>
      </c>
      <c r="CS1919">
        <v>0</v>
      </c>
      <c r="CT1919">
        <v>28.5</v>
      </c>
      <c r="CU1919">
        <v>56</v>
      </c>
      <c r="CV1919">
        <v>0.25</v>
      </c>
      <c r="CW1919">
        <v>44</v>
      </c>
      <c r="CX1919" t="s">
        <v>309</v>
      </c>
    </row>
    <row r="1920" spans="1:102" x14ac:dyDescent="0.3">
      <c r="A1920" t="str">
        <f>HYPERLINK("https://webapp.icbf.com/v2/app/bull-search/view/670585634","KBB")</f>
        <v>KBB</v>
      </c>
      <c r="B1920" t="s">
        <v>12718</v>
      </c>
      <c r="C1920" t="s">
        <v>12719</v>
      </c>
      <c r="D1920" s="1">
        <v>39864</v>
      </c>
      <c r="E1920" t="s">
        <v>92</v>
      </c>
      <c r="F1920">
        <v>63</v>
      </c>
      <c r="G1920" t="s">
        <v>93</v>
      </c>
      <c r="H1920">
        <v>76.12</v>
      </c>
      <c r="I1920">
        <v>86</v>
      </c>
      <c r="J1920">
        <v>65.459999999999994</v>
      </c>
      <c r="K1920">
        <v>96</v>
      </c>
      <c r="L1920">
        <v>-21.3</v>
      </c>
      <c r="M1920">
        <v>79</v>
      </c>
      <c r="N1920">
        <v>26.57</v>
      </c>
      <c r="O1920">
        <v>85</v>
      </c>
      <c r="P1920">
        <v>-3.97</v>
      </c>
      <c r="Q1920">
        <v>93</v>
      </c>
      <c r="R1920">
        <v>-4.55</v>
      </c>
      <c r="S1920">
        <v>78</v>
      </c>
      <c r="T1920">
        <v>4.21</v>
      </c>
      <c r="U1920">
        <v>83</v>
      </c>
      <c r="V1920">
        <v>9.6999999999999993</v>
      </c>
      <c r="W1920">
        <v>75</v>
      </c>
      <c r="X1920" t="s">
        <v>94</v>
      </c>
      <c r="Y1920" t="s">
        <v>329</v>
      </c>
      <c r="Z1920" t="s">
        <v>330</v>
      </c>
      <c r="AA1920" t="s">
        <v>2990</v>
      </c>
      <c r="AB1920" t="s">
        <v>5091</v>
      </c>
      <c r="AC1920">
        <v>69</v>
      </c>
      <c r="AD1920">
        <v>55</v>
      </c>
      <c r="AE1920">
        <v>96</v>
      </c>
      <c r="AF1920">
        <v>24.06</v>
      </c>
      <c r="AG1920">
        <v>19.170000000000002</v>
      </c>
      <c r="AH1920">
        <v>4.72</v>
      </c>
      <c r="AI1920">
        <v>0.32</v>
      </c>
      <c r="AJ1920">
        <v>7.0000000000000007E-2</v>
      </c>
      <c r="AK1920">
        <v>79</v>
      </c>
      <c r="AL1920">
        <v>83</v>
      </c>
      <c r="AM1920">
        <v>65</v>
      </c>
      <c r="AN1920">
        <v>0.28000000000000003</v>
      </c>
      <c r="AO1920">
        <v>-1.43</v>
      </c>
      <c r="AP1920">
        <v>204</v>
      </c>
      <c r="AQ1920">
        <v>4</v>
      </c>
      <c r="AR1920">
        <v>7.76</v>
      </c>
      <c r="AS1920">
        <v>70</v>
      </c>
      <c r="AT1920">
        <v>3.03</v>
      </c>
      <c r="AU1920">
        <v>88</v>
      </c>
      <c r="AV1920">
        <v>-2.94</v>
      </c>
      <c r="AW1920">
        <v>96</v>
      </c>
      <c r="AX1920">
        <v>0.15</v>
      </c>
      <c r="AY1920">
        <v>80</v>
      </c>
      <c r="AZ1920">
        <v>5.38</v>
      </c>
      <c r="BA1920">
        <v>64</v>
      </c>
      <c r="BB1920">
        <v>4.6399999999999997</v>
      </c>
      <c r="BC1920">
        <v>65</v>
      </c>
      <c r="BD1920">
        <v>-0.02</v>
      </c>
      <c r="BE1920">
        <v>0.02</v>
      </c>
      <c r="BF1920">
        <v>0.1</v>
      </c>
      <c r="BG1920">
        <v>87</v>
      </c>
      <c r="BH1920">
        <v>0.14000000000000001</v>
      </c>
      <c r="BI1920">
        <v>-15.08</v>
      </c>
      <c r="BJ1920">
        <v>15</v>
      </c>
      <c r="BK1920">
        <v>10</v>
      </c>
      <c r="BL1920">
        <v>-0.1</v>
      </c>
      <c r="BM1920">
        <v>0.26</v>
      </c>
      <c r="BN1920">
        <v>0.05</v>
      </c>
      <c r="BO1920">
        <v>-0.08</v>
      </c>
      <c r="BP1920">
        <v>2.2200000000000002</v>
      </c>
      <c r="BQ1920">
        <v>-1.68</v>
      </c>
      <c r="BR1920">
        <v>1.04</v>
      </c>
      <c r="BS1920">
        <v>-0.92</v>
      </c>
      <c r="BT1920">
        <v>-1.34</v>
      </c>
      <c r="BU1920">
        <v>-0.95</v>
      </c>
      <c r="BV1920">
        <v>-1.24</v>
      </c>
      <c r="BW1920">
        <v>-0.53</v>
      </c>
      <c r="BX1920">
        <v>-0.4</v>
      </c>
      <c r="BY1920">
        <v>-1.19</v>
      </c>
      <c r="BZ1920">
        <v>-0.09</v>
      </c>
      <c r="CA1920">
        <v>-1.1499999999999999</v>
      </c>
      <c r="CB1920">
        <v>-0.74</v>
      </c>
      <c r="CC1920">
        <v>-1.25</v>
      </c>
      <c r="CD1920">
        <v>0.76</v>
      </c>
      <c r="CE1920">
        <v>-0.45</v>
      </c>
      <c r="CF1920">
        <v>-0.28999999999999998</v>
      </c>
      <c r="CG1920">
        <v>0</v>
      </c>
      <c r="CH1920">
        <v>-1.03</v>
      </c>
      <c r="CI1920">
        <v>0</v>
      </c>
      <c r="CJ1920">
        <v>1.9</v>
      </c>
      <c r="CK1920">
        <v>94</v>
      </c>
      <c r="CL1920">
        <v>-0.61</v>
      </c>
      <c r="CM1920">
        <v>93</v>
      </c>
      <c r="CN1920">
        <v>0</v>
      </c>
      <c r="CO1920">
        <v>92</v>
      </c>
      <c r="CP1920">
        <v>-2</v>
      </c>
      <c r="CQ1920">
        <v>86</v>
      </c>
      <c r="CR1920">
        <v>0</v>
      </c>
      <c r="CS1920">
        <v>0</v>
      </c>
      <c r="CT1920">
        <v>8.1</v>
      </c>
      <c r="CU1920">
        <v>83</v>
      </c>
      <c r="CV1920">
        <v>0.27</v>
      </c>
      <c r="CW1920">
        <v>45</v>
      </c>
      <c r="CX1920" t="s">
        <v>1165</v>
      </c>
    </row>
    <row r="1921" spans="1:102" x14ac:dyDescent="0.3">
      <c r="A1921" t="str">
        <f>HYPERLINK("https://webapp.icbf.com/v2/app/bull-search/view/1485023461","S3178")</f>
        <v>S3178</v>
      </c>
      <c r="B1921" t="s">
        <v>13760</v>
      </c>
      <c r="C1921" t="s">
        <v>13761</v>
      </c>
      <c r="D1921" s="1">
        <v>42234</v>
      </c>
      <c r="E1921" t="s">
        <v>227</v>
      </c>
      <c r="F1921">
        <v>0</v>
      </c>
      <c r="G1921" t="s">
        <v>435</v>
      </c>
      <c r="H1921">
        <v>76.08</v>
      </c>
      <c r="I1921">
        <v>65</v>
      </c>
      <c r="J1921">
        <v>40.78</v>
      </c>
      <c r="K1921">
        <v>83</v>
      </c>
      <c r="L1921">
        <v>22.37</v>
      </c>
      <c r="M1921">
        <v>68</v>
      </c>
      <c r="N1921">
        <v>-7.27</v>
      </c>
      <c r="O1921">
        <v>51</v>
      </c>
      <c r="P1921">
        <v>-62.77</v>
      </c>
      <c r="Q1921">
        <v>35</v>
      </c>
      <c r="R1921">
        <v>8.2799999999999994</v>
      </c>
      <c r="S1921">
        <v>54</v>
      </c>
      <c r="T1921">
        <v>69.84</v>
      </c>
      <c r="U1921">
        <v>34</v>
      </c>
      <c r="V1921">
        <v>4.8499999999999996</v>
      </c>
      <c r="W1921">
        <v>53</v>
      </c>
      <c r="X1921" t="s">
        <v>110</v>
      </c>
      <c r="Y1921" t="s">
        <v>453</v>
      </c>
      <c r="Z1921">
        <v>0</v>
      </c>
      <c r="AA1921" t="s">
        <v>13762</v>
      </c>
      <c r="AB1921" t="s">
        <v>144</v>
      </c>
      <c r="AC1921">
        <v>0</v>
      </c>
      <c r="AD1921">
        <v>0</v>
      </c>
      <c r="AE1921">
        <v>83</v>
      </c>
      <c r="AF1921">
        <v>-537.04</v>
      </c>
      <c r="AG1921">
        <v>6.6</v>
      </c>
      <c r="AH1921">
        <v>-3.62</v>
      </c>
      <c r="AI1921">
        <v>0.52</v>
      </c>
      <c r="AJ1921">
        <v>0.28000000000000003</v>
      </c>
      <c r="AK1921">
        <v>68</v>
      </c>
      <c r="AL1921">
        <v>0</v>
      </c>
      <c r="AM1921">
        <v>0</v>
      </c>
      <c r="AN1921">
        <v>0.01</v>
      </c>
      <c r="AO1921">
        <v>1.81</v>
      </c>
      <c r="AP1921">
        <v>16</v>
      </c>
      <c r="AQ1921">
        <v>0</v>
      </c>
      <c r="AR1921">
        <v>4.2699999999999996</v>
      </c>
      <c r="AS1921">
        <v>58</v>
      </c>
      <c r="AT1921">
        <v>2.0099999999999998</v>
      </c>
      <c r="AU1921">
        <v>47</v>
      </c>
      <c r="AV1921">
        <v>0.31</v>
      </c>
      <c r="AW1921">
        <v>61</v>
      </c>
      <c r="AX1921">
        <v>6.51</v>
      </c>
      <c r="AY1921">
        <v>41</v>
      </c>
      <c r="AZ1921">
        <v>7.03</v>
      </c>
      <c r="BA1921">
        <v>35</v>
      </c>
      <c r="BB1921">
        <v>5.53</v>
      </c>
      <c r="BC1921">
        <v>35</v>
      </c>
      <c r="BD1921">
        <v>-0.11</v>
      </c>
      <c r="BE1921">
        <v>-0.03</v>
      </c>
      <c r="BF1921">
        <v>0.05</v>
      </c>
      <c r="BG1921">
        <v>59</v>
      </c>
      <c r="BH1921">
        <v>0.04</v>
      </c>
      <c r="BI1921">
        <v>-11.02</v>
      </c>
      <c r="BJ1921">
        <v>0</v>
      </c>
      <c r="BK1921">
        <v>0</v>
      </c>
      <c r="BL1921">
        <v>-1.31</v>
      </c>
      <c r="BM1921">
        <v>-2.15</v>
      </c>
      <c r="BN1921">
        <v>-0.57999999999999996</v>
      </c>
      <c r="BO1921">
        <v>1.48</v>
      </c>
      <c r="BP1921">
        <v>0.2</v>
      </c>
      <c r="BQ1921">
        <v>-5.41</v>
      </c>
      <c r="BR1921">
        <v>2.61</v>
      </c>
      <c r="BS1921">
        <v>6.38</v>
      </c>
      <c r="BT1921">
        <v>-1.43</v>
      </c>
      <c r="BU1921">
        <v>0.99</v>
      </c>
      <c r="BV1921">
        <v>0.93</v>
      </c>
      <c r="BW1921">
        <v>-1.04</v>
      </c>
      <c r="BX1921">
        <v>-1.64</v>
      </c>
      <c r="BY1921">
        <v>0.46</v>
      </c>
      <c r="BZ1921">
        <v>-0.8</v>
      </c>
      <c r="CA1921">
        <v>2.35</v>
      </c>
      <c r="CB1921">
        <v>1</v>
      </c>
      <c r="CC1921">
        <v>4</v>
      </c>
      <c r="CD1921">
        <v>-2.4</v>
      </c>
      <c r="CE1921">
        <v>1.32</v>
      </c>
      <c r="CF1921">
        <v>-1.29</v>
      </c>
      <c r="CG1921">
        <v>0</v>
      </c>
      <c r="CH1921">
        <v>-0.24</v>
      </c>
      <c r="CI1921">
        <v>0</v>
      </c>
      <c r="CJ1921">
        <v>-34.4</v>
      </c>
      <c r="CK1921">
        <v>35</v>
      </c>
      <c r="CL1921">
        <v>-1.1499999999999999</v>
      </c>
      <c r="CM1921">
        <v>34</v>
      </c>
      <c r="CN1921">
        <v>-0.34</v>
      </c>
      <c r="CO1921">
        <v>34</v>
      </c>
      <c r="CP1921">
        <v>-49.4</v>
      </c>
      <c r="CQ1921">
        <v>34</v>
      </c>
      <c r="CR1921">
        <v>0</v>
      </c>
      <c r="CS1921">
        <v>0</v>
      </c>
      <c r="CT1921">
        <v>-80.599999999999994</v>
      </c>
      <c r="CU1921">
        <v>34</v>
      </c>
      <c r="CV1921">
        <v>-0.27</v>
      </c>
      <c r="CW1921">
        <v>31</v>
      </c>
      <c r="CX1921" t="s">
        <v>454</v>
      </c>
    </row>
    <row r="1922" spans="1:102" x14ac:dyDescent="0.3">
      <c r="A1922" t="str">
        <f>HYPERLINK("https://webapp.icbf.com/v2/app/bull-search/view/586063609","RTR")</f>
        <v>RTR</v>
      </c>
      <c r="B1922" t="s">
        <v>5037</v>
      </c>
      <c r="C1922" t="s">
        <v>5038</v>
      </c>
      <c r="D1922" s="1">
        <v>37775</v>
      </c>
      <c r="E1922" t="s">
        <v>92</v>
      </c>
      <c r="F1922">
        <v>100</v>
      </c>
      <c r="G1922" t="s">
        <v>93</v>
      </c>
      <c r="H1922">
        <v>75.959999999999994</v>
      </c>
      <c r="I1922">
        <v>94</v>
      </c>
      <c r="J1922">
        <v>5.46</v>
      </c>
      <c r="K1922">
        <v>99</v>
      </c>
      <c r="L1922">
        <v>27.09</v>
      </c>
      <c r="M1922">
        <v>91</v>
      </c>
      <c r="N1922">
        <v>20.010000000000002</v>
      </c>
      <c r="O1922">
        <v>94</v>
      </c>
      <c r="P1922">
        <v>-2.75</v>
      </c>
      <c r="Q1922">
        <v>97</v>
      </c>
      <c r="R1922">
        <v>17.43</v>
      </c>
      <c r="S1922">
        <v>89</v>
      </c>
      <c r="T1922">
        <v>6.43</v>
      </c>
      <c r="U1922">
        <v>94</v>
      </c>
      <c r="V1922">
        <v>2.29</v>
      </c>
      <c r="W1922">
        <v>88</v>
      </c>
      <c r="X1922" t="s">
        <v>102</v>
      </c>
      <c r="Y1922" t="s">
        <v>270</v>
      </c>
      <c r="Z1922" t="s">
        <v>96</v>
      </c>
      <c r="AA1922" t="s">
        <v>277</v>
      </c>
      <c r="AB1922" t="s">
        <v>5039</v>
      </c>
      <c r="AC1922">
        <v>294</v>
      </c>
      <c r="AD1922">
        <v>121</v>
      </c>
      <c r="AE1922">
        <v>99</v>
      </c>
      <c r="AF1922">
        <v>314.70999999999998</v>
      </c>
      <c r="AG1922">
        <v>3.07</v>
      </c>
      <c r="AH1922">
        <v>4.66</v>
      </c>
      <c r="AI1922">
        <v>-0.15</v>
      </c>
      <c r="AJ1922">
        <v>-0.1</v>
      </c>
      <c r="AK1922">
        <v>91</v>
      </c>
      <c r="AL1922">
        <v>315</v>
      </c>
      <c r="AM1922">
        <v>131</v>
      </c>
      <c r="AN1922">
        <v>-0.76</v>
      </c>
      <c r="AO1922">
        <v>1.41</v>
      </c>
      <c r="AP1922">
        <v>606</v>
      </c>
      <c r="AQ1922">
        <v>0</v>
      </c>
      <c r="AR1922">
        <v>6.75</v>
      </c>
      <c r="AS1922">
        <v>88</v>
      </c>
      <c r="AT1922">
        <v>2.63</v>
      </c>
      <c r="AU1922">
        <v>95</v>
      </c>
      <c r="AV1922">
        <v>-1.23</v>
      </c>
      <c r="AW1922">
        <v>98</v>
      </c>
      <c r="AX1922">
        <v>0.05</v>
      </c>
      <c r="AY1922">
        <v>93</v>
      </c>
      <c r="AZ1922">
        <v>5.38</v>
      </c>
      <c r="BA1922">
        <v>84</v>
      </c>
      <c r="BB1922">
        <v>4.43</v>
      </c>
      <c r="BC1922">
        <v>84</v>
      </c>
      <c r="BD1922">
        <v>-0.04</v>
      </c>
      <c r="BE1922">
        <v>-0.06</v>
      </c>
      <c r="BF1922">
        <v>-0.22</v>
      </c>
      <c r="BG1922">
        <v>96</v>
      </c>
      <c r="BH1922">
        <v>-0.06</v>
      </c>
      <c r="BI1922">
        <v>-14.33</v>
      </c>
      <c r="BJ1922">
        <v>49</v>
      </c>
      <c r="BK1922">
        <v>29</v>
      </c>
      <c r="BL1922">
        <v>1.19</v>
      </c>
      <c r="BM1922">
        <v>-7.0000000000000007E-2</v>
      </c>
      <c r="BN1922">
        <v>0.63</v>
      </c>
      <c r="BO1922">
        <v>0.67</v>
      </c>
      <c r="BP1922">
        <v>0.21</v>
      </c>
      <c r="BQ1922">
        <v>-0.09</v>
      </c>
      <c r="BR1922">
        <v>1.77</v>
      </c>
      <c r="BS1922">
        <v>0.23</v>
      </c>
      <c r="BT1922">
        <v>0.16</v>
      </c>
      <c r="BU1922">
        <v>-0.03</v>
      </c>
      <c r="BV1922">
        <v>-0.02</v>
      </c>
      <c r="BW1922">
        <v>-0.09</v>
      </c>
      <c r="BX1922">
        <v>0.24</v>
      </c>
      <c r="BY1922">
        <v>1.58</v>
      </c>
      <c r="BZ1922">
        <v>2.23</v>
      </c>
      <c r="CA1922">
        <v>0.11</v>
      </c>
      <c r="CB1922">
        <v>0.34</v>
      </c>
      <c r="CC1922">
        <v>-0.31</v>
      </c>
      <c r="CD1922">
        <v>-0.75</v>
      </c>
      <c r="CE1922">
        <v>0.19</v>
      </c>
      <c r="CF1922">
        <v>0.28999999999999998</v>
      </c>
      <c r="CG1922">
        <v>0</v>
      </c>
      <c r="CH1922">
        <v>1.58</v>
      </c>
      <c r="CI1922">
        <v>0</v>
      </c>
      <c r="CJ1922">
        <v>2.6</v>
      </c>
      <c r="CK1922">
        <v>98</v>
      </c>
      <c r="CL1922">
        <v>-1.1299999999999999</v>
      </c>
      <c r="CM1922">
        <v>97</v>
      </c>
      <c r="CN1922">
        <v>-0.38</v>
      </c>
      <c r="CO1922">
        <v>97</v>
      </c>
      <c r="CP1922">
        <v>5.8</v>
      </c>
      <c r="CQ1922">
        <v>95</v>
      </c>
      <c r="CR1922">
        <v>0</v>
      </c>
      <c r="CS1922">
        <v>0</v>
      </c>
      <c r="CT1922">
        <v>5.0999999999999996</v>
      </c>
      <c r="CU1922">
        <v>94</v>
      </c>
      <c r="CV1922">
        <v>0.34</v>
      </c>
      <c r="CW1922">
        <v>46</v>
      </c>
      <c r="CX1922" t="s">
        <v>3310</v>
      </c>
    </row>
    <row r="1923" spans="1:102" x14ac:dyDescent="0.3">
      <c r="A1923" t="str">
        <f>HYPERLINK("https://webapp.icbf.com/v2/app/bull-search/view/586046337","ARW")</f>
        <v>ARW</v>
      </c>
      <c r="B1923" t="s">
        <v>12715</v>
      </c>
      <c r="C1923" t="s">
        <v>12716</v>
      </c>
      <c r="D1923" s="1">
        <v>38382</v>
      </c>
      <c r="E1923" t="s">
        <v>92</v>
      </c>
      <c r="F1923">
        <v>100</v>
      </c>
      <c r="G1923" t="s">
        <v>93</v>
      </c>
      <c r="H1923">
        <v>75.87</v>
      </c>
      <c r="I1923">
        <v>93</v>
      </c>
      <c r="J1923">
        <v>35.07</v>
      </c>
      <c r="K1923">
        <v>98</v>
      </c>
      <c r="L1923">
        <v>14.09</v>
      </c>
      <c r="M1923">
        <v>92</v>
      </c>
      <c r="N1923">
        <v>20.88</v>
      </c>
      <c r="O1923">
        <v>91</v>
      </c>
      <c r="P1923">
        <v>-5.22</v>
      </c>
      <c r="Q1923">
        <v>95</v>
      </c>
      <c r="R1923">
        <v>7.8</v>
      </c>
      <c r="S1923">
        <v>85</v>
      </c>
      <c r="T1923">
        <v>-0.9</v>
      </c>
      <c r="U1923">
        <v>90</v>
      </c>
      <c r="V1923">
        <v>4.1500000000000004</v>
      </c>
      <c r="W1923">
        <v>78</v>
      </c>
      <c r="X1923" t="s">
        <v>288</v>
      </c>
      <c r="Y1923" t="s">
        <v>1756</v>
      </c>
      <c r="Z1923" t="s">
        <v>96</v>
      </c>
      <c r="AA1923" t="s">
        <v>316</v>
      </c>
      <c r="AB1923" t="s">
        <v>12717</v>
      </c>
      <c r="AC1923">
        <v>216</v>
      </c>
      <c r="AD1923">
        <v>59</v>
      </c>
      <c r="AE1923">
        <v>98</v>
      </c>
      <c r="AF1923">
        <v>289.43</v>
      </c>
      <c r="AG1923">
        <v>7.36</v>
      </c>
      <c r="AH1923">
        <v>7.79</v>
      </c>
      <c r="AI1923">
        <v>-7.0000000000000007E-2</v>
      </c>
      <c r="AJ1923">
        <v>-0.03</v>
      </c>
      <c r="AK1923">
        <v>92</v>
      </c>
      <c r="AL1923">
        <v>197</v>
      </c>
      <c r="AM1923">
        <v>63</v>
      </c>
      <c r="AN1923">
        <v>0.52</v>
      </c>
      <c r="AO1923">
        <v>1.66</v>
      </c>
      <c r="AP1923">
        <v>458</v>
      </c>
      <c r="AQ1923">
        <v>8</v>
      </c>
      <c r="AR1923">
        <v>7.79</v>
      </c>
      <c r="AS1923">
        <v>86</v>
      </c>
      <c r="AT1923">
        <v>3.53</v>
      </c>
      <c r="AU1923">
        <v>96</v>
      </c>
      <c r="AV1923">
        <v>-2.64</v>
      </c>
      <c r="AW1923">
        <v>96</v>
      </c>
      <c r="AX1923">
        <v>-0.46</v>
      </c>
      <c r="AY1923">
        <v>89</v>
      </c>
      <c r="AZ1923">
        <v>5.61</v>
      </c>
      <c r="BA1923">
        <v>77</v>
      </c>
      <c r="BB1923">
        <v>4.6399999999999997</v>
      </c>
      <c r="BC1923">
        <v>74</v>
      </c>
      <c r="BD1923">
        <v>-0.02</v>
      </c>
      <c r="BE1923">
        <v>-0.04</v>
      </c>
      <c r="BF1923">
        <v>-7.0000000000000007E-2</v>
      </c>
      <c r="BG1923">
        <v>96</v>
      </c>
      <c r="BH1923">
        <v>-0.02</v>
      </c>
      <c r="BI1923">
        <v>-15.71</v>
      </c>
      <c r="BJ1923">
        <v>53</v>
      </c>
      <c r="BK1923">
        <v>19</v>
      </c>
      <c r="BL1923">
        <v>1.07</v>
      </c>
      <c r="BM1923">
        <v>0.73</v>
      </c>
      <c r="BN1923">
        <v>0.62</v>
      </c>
      <c r="BO1923">
        <v>-0.17</v>
      </c>
      <c r="BP1923">
        <v>0.9</v>
      </c>
      <c r="BQ1923">
        <v>-0.89</v>
      </c>
      <c r="BR1923">
        <v>-2.4900000000000002</v>
      </c>
      <c r="BS1923">
        <v>-0.59</v>
      </c>
      <c r="BT1923">
        <v>1.96</v>
      </c>
      <c r="BU1923">
        <v>1.81</v>
      </c>
      <c r="BV1923">
        <v>0.54</v>
      </c>
      <c r="BW1923">
        <v>0.42</v>
      </c>
      <c r="BX1923">
        <v>2.02</v>
      </c>
      <c r="BY1923">
        <v>1.74</v>
      </c>
      <c r="BZ1923">
        <v>-1.93</v>
      </c>
      <c r="CA1923">
        <v>1.4</v>
      </c>
      <c r="CB1923">
        <v>1.36</v>
      </c>
      <c r="CC1923">
        <v>0.64</v>
      </c>
      <c r="CD1923">
        <v>0.67</v>
      </c>
      <c r="CE1923">
        <v>-0.53</v>
      </c>
      <c r="CF1923">
        <v>1.1599999999999999</v>
      </c>
      <c r="CG1923">
        <v>0</v>
      </c>
      <c r="CH1923">
        <v>1.85</v>
      </c>
      <c r="CI1923">
        <v>0</v>
      </c>
      <c r="CJ1923">
        <v>-1.4</v>
      </c>
      <c r="CK1923">
        <v>96</v>
      </c>
      <c r="CL1923">
        <v>-0.84</v>
      </c>
      <c r="CM1923">
        <v>95</v>
      </c>
      <c r="CN1923">
        <v>-0.47</v>
      </c>
      <c r="CO1923">
        <v>94</v>
      </c>
      <c r="CP1923">
        <v>-0.8</v>
      </c>
      <c r="CQ1923">
        <v>90</v>
      </c>
      <c r="CR1923">
        <v>0</v>
      </c>
      <c r="CS1923">
        <v>0</v>
      </c>
      <c r="CT1923">
        <v>15</v>
      </c>
      <c r="CU1923">
        <v>90</v>
      </c>
      <c r="CV1923">
        <v>0.12</v>
      </c>
      <c r="CW1923">
        <v>48</v>
      </c>
      <c r="CX1923" t="s">
        <v>4643</v>
      </c>
    </row>
    <row r="1924" spans="1:102" x14ac:dyDescent="0.3">
      <c r="A1924" t="str">
        <f>HYPERLINK("https://webapp.icbf.com/v2/app/bull-search/view/69091789","GRP")</f>
        <v>GRP</v>
      </c>
      <c r="B1924" t="s">
        <v>15384</v>
      </c>
      <c r="C1924" t="s">
        <v>15385</v>
      </c>
      <c r="D1924" s="1">
        <v>33107</v>
      </c>
      <c r="E1924" t="s">
        <v>227</v>
      </c>
      <c r="F1924">
        <v>0</v>
      </c>
      <c r="G1924" t="s">
        <v>109</v>
      </c>
      <c r="H1924">
        <v>75.849999999999994</v>
      </c>
      <c r="I1924">
        <v>48</v>
      </c>
      <c r="J1924">
        <v>5.84</v>
      </c>
      <c r="K1924">
        <v>82</v>
      </c>
      <c r="L1924">
        <v>9.64</v>
      </c>
      <c r="M1924">
        <v>50</v>
      </c>
      <c r="N1924">
        <v>43.56</v>
      </c>
      <c r="O1924">
        <v>13</v>
      </c>
      <c r="P1924">
        <v>-32.24</v>
      </c>
      <c r="Q1924">
        <v>14</v>
      </c>
      <c r="R1924">
        <v>0.28999999999999998</v>
      </c>
      <c r="S1924">
        <v>14</v>
      </c>
      <c r="T1924">
        <v>45.13</v>
      </c>
      <c r="U1924">
        <v>13</v>
      </c>
      <c r="V1924">
        <v>3.63</v>
      </c>
      <c r="W1924">
        <v>7</v>
      </c>
      <c r="X1924" t="s">
        <v>102</v>
      </c>
      <c r="Y1924" t="s">
        <v>95</v>
      </c>
      <c r="Z1924">
        <v>0</v>
      </c>
      <c r="AA1924" t="s">
        <v>15386</v>
      </c>
      <c r="AB1924" t="s">
        <v>15387</v>
      </c>
      <c r="AC1924">
        <v>0</v>
      </c>
      <c r="AD1924">
        <v>0</v>
      </c>
      <c r="AE1924">
        <v>82</v>
      </c>
      <c r="AF1924">
        <v>-600</v>
      </c>
      <c r="AG1924">
        <v>5.37</v>
      </c>
      <c r="AH1924">
        <v>-10.09</v>
      </c>
      <c r="AI1924">
        <v>0.53</v>
      </c>
      <c r="AJ1924">
        <v>0.19</v>
      </c>
      <c r="AK1924">
        <v>50</v>
      </c>
      <c r="AL1924">
        <v>0</v>
      </c>
      <c r="AM1924">
        <v>0</v>
      </c>
      <c r="AN1924">
        <v>-0.43</v>
      </c>
      <c r="AO1924">
        <v>0.34</v>
      </c>
      <c r="AP1924">
        <v>1</v>
      </c>
      <c r="AQ1924">
        <v>0</v>
      </c>
      <c r="AR1924">
        <v>2.12</v>
      </c>
      <c r="AS1924">
        <v>7</v>
      </c>
      <c r="AT1924">
        <v>1.33</v>
      </c>
      <c r="AU1924">
        <v>11</v>
      </c>
      <c r="AV1924">
        <v>-2.9</v>
      </c>
      <c r="AW1924">
        <v>18</v>
      </c>
      <c r="AX1924">
        <v>0.16</v>
      </c>
      <c r="AY1924">
        <v>19</v>
      </c>
      <c r="AZ1924">
        <v>6.86</v>
      </c>
      <c r="BA1924">
        <v>6</v>
      </c>
      <c r="BB1924">
        <v>5.18</v>
      </c>
      <c r="BC1924">
        <v>5</v>
      </c>
      <c r="BD1924">
        <v>-0.04</v>
      </c>
      <c r="BE1924">
        <v>0</v>
      </c>
      <c r="BF1924">
        <v>0.06</v>
      </c>
      <c r="BG1924">
        <v>19</v>
      </c>
      <c r="BH1924">
        <v>0.12</v>
      </c>
      <c r="BI1924">
        <v>2.1800000000000002</v>
      </c>
      <c r="BJ1924">
        <v>0</v>
      </c>
      <c r="BK1924">
        <v>0</v>
      </c>
      <c r="BL1924">
        <v>-2.4300000000000002</v>
      </c>
      <c r="BM1924">
        <v>-1.33</v>
      </c>
      <c r="BN1924">
        <v>-0.33</v>
      </c>
      <c r="BO1924">
        <v>0.83</v>
      </c>
      <c r="BP1924">
        <v>-1.05</v>
      </c>
      <c r="BQ1924">
        <v>-5.49</v>
      </c>
      <c r="BR1924">
        <v>2.33</v>
      </c>
      <c r="BS1924">
        <v>6.74</v>
      </c>
      <c r="BT1924">
        <v>-0.73</v>
      </c>
      <c r="BU1924">
        <v>-0.74</v>
      </c>
      <c r="BV1924">
        <v>-0.37</v>
      </c>
      <c r="BW1924">
        <v>-2.59</v>
      </c>
      <c r="BX1924">
        <v>-3.54</v>
      </c>
      <c r="BY1924">
        <v>-0.23</v>
      </c>
      <c r="BZ1924">
        <v>-0.74</v>
      </c>
      <c r="CA1924">
        <v>1.1100000000000001</v>
      </c>
      <c r="CB1924">
        <v>-0.64</v>
      </c>
      <c r="CC1924">
        <v>4.24</v>
      </c>
      <c r="CD1924">
        <v>-1.89</v>
      </c>
      <c r="CE1924">
        <v>0.52</v>
      </c>
      <c r="CF1924">
        <v>-2.66</v>
      </c>
      <c r="CG1924">
        <v>0</v>
      </c>
      <c r="CH1924">
        <v>-1.26</v>
      </c>
      <c r="CI1924">
        <v>0</v>
      </c>
      <c r="CJ1924">
        <v>-18.7</v>
      </c>
      <c r="CK1924">
        <v>15</v>
      </c>
      <c r="CL1924">
        <v>-0.34</v>
      </c>
      <c r="CM1924">
        <v>14</v>
      </c>
      <c r="CN1924">
        <v>-0.17</v>
      </c>
      <c r="CO1924">
        <v>11</v>
      </c>
      <c r="CP1924">
        <v>-32.799999999999997</v>
      </c>
      <c r="CQ1924">
        <v>16</v>
      </c>
      <c r="CR1924">
        <v>0</v>
      </c>
      <c r="CS1924">
        <v>0</v>
      </c>
      <c r="CT1924">
        <v>-47.2</v>
      </c>
      <c r="CU1924">
        <v>13</v>
      </c>
      <c r="CV1924">
        <v>-0.25</v>
      </c>
      <c r="CW1924">
        <v>3</v>
      </c>
      <c r="CX1924" t="s">
        <v>15388</v>
      </c>
    </row>
    <row r="1925" spans="1:102" x14ac:dyDescent="0.3">
      <c r="A1925" t="str">
        <f>HYPERLINK("https://webapp.icbf.com/v2/app/bull-search/view/1246791698","FR2196")</f>
        <v>FR2196</v>
      </c>
      <c r="B1925" t="s">
        <v>7738</v>
      </c>
      <c r="C1925" t="s">
        <v>7739</v>
      </c>
      <c r="D1925" s="1">
        <v>41403</v>
      </c>
      <c r="E1925" t="s">
        <v>92</v>
      </c>
      <c r="F1925">
        <v>100</v>
      </c>
      <c r="G1925" t="s">
        <v>109</v>
      </c>
      <c r="H1925">
        <v>75.84</v>
      </c>
      <c r="I1925">
        <v>73</v>
      </c>
      <c r="J1925">
        <v>40.26</v>
      </c>
      <c r="K1925">
        <v>92</v>
      </c>
      <c r="L1925">
        <v>21.74</v>
      </c>
      <c r="M1925">
        <v>79</v>
      </c>
      <c r="N1925">
        <v>21.95</v>
      </c>
      <c r="O1925">
        <v>52</v>
      </c>
      <c r="P1925">
        <v>-6.89</v>
      </c>
      <c r="Q1925">
        <v>38</v>
      </c>
      <c r="R1925">
        <v>-3.06</v>
      </c>
      <c r="S1925">
        <v>72</v>
      </c>
      <c r="T1925">
        <v>4.58</v>
      </c>
      <c r="U1925">
        <v>36</v>
      </c>
      <c r="V1925">
        <v>-2.74</v>
      </c>
      <c r="W1925">
        <v>58</v>
      </c>
      <c r="X1925" t="s">
        <v>102</v>
      </c>
      <c r="Y1925" t="s">
        <v>405</v>
      </c>
      <c r="Z1925" t="s">
        <v>96</v>
      </c>
      <c r="AA1925" t="s">
        <v>2699</v>
      </c>
      <c r="AB1925" t="s">
        <v>7740</v>
      </c>
      <c r="AC1925">
        <v>0</v>
      </c>
      <c r="AD1925">
        <v>0</v>
      </c>
      <c r="AE1925">
        <v>92</v>
      </c>
      <c r="AF1925">
        <v>-41.06</v>
      </c>
      <c r="AG1925">
        <v>5.51</v>
      </c>
      <c r="AH1925">
        <v>4.2699999999999996</v>
      </c>
      <c r="AI1925">
        <v>0.12</v>
      </c>
      <c r="AJ1925">
        <v>0.1</v>
      </c>
      <c r="AK1925">
        <v>79</v>
      </c>
      <c r="AL1925">
        <v>0</v>
      </c>
      <c r="AM1925">
        <v>0</v>
      </c>
      <c r="AN1925">
        <v>-0.67</v>
      </c>
      <c r="AO1925">
        <v>1.07</v>
      </c>
      <c r="AP1925">
        <v>2</v>
      </c>
      <c r="AQ1925">
        <v>0</v>
      </c>
      <c r="AR1925">
        <v>6.79</v>
      </c>
      <c r="AS1925">
        <v>51</v>
      </c>
      <c r="AT1925">
        <v>3.21</v>
      </c>
      <c r="AU1925">
        <v>89</v>
      </c>
      <c r="AV1925">
        <v>-2.92</v>
      </c>
      <c r="AW1925">
        <v>39</v>
      </c>
      <c r="AX1925">
        <v>0.77</v>
      </c>
      <c r="AY1925">
        <v>39</v>
      </c>
      <c r="AZ1925">
        <v>6.65</v>
      </c>
      <c r="BA1925">
        <v>36</v>
      </c>
      <c r="BB1925">
        <v>5.0599999999999996</v>
      </c>
      <c r="BC1925">
        <v>38</v>
      </c>
      <c r="BD1925">
        <v>-0.04</v>
      </c>
      <c r="BE1925">
        <v>0.03</v>
      </c>
      <c r="BF1925">
        <v>0.08</v>
      </c>
      <c r="BG1925">
        <v>89</v>
      </c>
      <c r="BH1925">
        <v>-0.23</v>
      </c>
      <c r="BI1925">
        <v>-17.77</v>
      </c>
      <c r="BJ1925">
        <v>0</v>
      </c>
      <c r="BK1925">
        <v>0</v>
      </c>
      <c r="BL1925">
        <v>0.69</v>
      </c>
      <c r="BM1925">
        <v>0.11</v>
      </c>
      <c r="BN1925">
        <v>-0.08</v>
      </c>
      <c r="BO1925">
        <v>0.52</v>
      </c>
      <c r="BP1925">
        <v>-0.09</v>
      </c>
      <c r="BQ1925">
        <v>-1.22</v>
      </c>
      <c r="BR1925">
        <v>0.56999999999999995</v>
      </c>
      <c r="BS1925">
        <v>0.38</v>
      </c>
      <c r="BT1925">
        <v>-0.72</v>
      </c>
      <c r="BU1925">
        <v>1.85</v>
      </c>
      <c r="BV1925">
        <v>1.38</v>
      </c>
      <c r="BW1925">
        <v>0.83</v>
      </c>
      <c r="BX1925">
        <v>1.37</v>
      </c>
      <c r="BY1925">
        <v>2.2999999999999998</v>
      </c>
      <c r="BZ1925">
        <v>0.34</v>
      </c>
      <c r="CA1925">
        <v>1.59</v>
      </c>
      <c r="CB1925">
        <v>1.66</v>
      </c>
      <c r="CC1925">
        <v>0.41</v>
      </c>
      <c r="CD1925">
        <v>0.54</v>
      </c>
      <c r="CE1925">
        <v>0.38</v>
      </c>
      <c r="CF1925">
        <v>0.13</v>
      </c>
      <c r="CG1925">
        <v>0</v>
      </c>
      <c r="CH1925">
        <v>2.4700000000000002</v>
      </c>
      <c r="CI1925">
        <v>0</v>
      </c>
      <c r="CJ1925">
        <v>-1.5</v>
      </c>
      <c r="CK1925">
        <v>38</v>
      </c>
      <c r="CL1925">
        <v>-1.04</v>
      </c>
      <c r="CM1925">
        <v>38</v>
      </c>
      <c r="CN1925">
        <v>-0.51</v>
      </c>
      <c r="CO1925">
        <v>38</v>
      </c>
      <c r="CP1925">
        <v>-0.4</v>
      </c>
      <c r="CQ1925">
        <v>37</v>
      </c>
      <c r="CR1925">
        <v>0</v>
      </c>
      <c r="CS1925">
        <v>0</v>
      </c>
      <c r="CT1925">
        <v>7.6</v>
      </c>
      <c r="CU1925">
        <v>36</v>
      </c>
      <c r="CV1925">
        <v>0.13</v>
      </c>
      <c r="CW1925">
        <v>32</v>
      </c>
      <c r="CX1925" t="s">
        <v>7741</v>
      </c>
    </row>
    <row r="1926" spans="1:102" x14ac:dyDescent="0.3">
      <c r="A1926" t="str">
        <f>HYPERLINK("https://webapp.icbf.com/v2/app/bull-search/view/1005573610","S2056")</f>
        <v>S2056</v>
      </c>
      <c r="B1926" t="s">
        <v>14915</v>
      </c>
      <c r="C1926" t="s">
        <v>14916</v>
      </c>
      <c r="D1926" s="1">
        <v>39304</v>
      </c>
      <c r="E1926" t="s">
        <v>92</v>
      </c>
      <c r="F1926">
        <v>100</v>
      </c>
      <c r="G1926" t="s">
        <v>109</v>
      </c>
      <c r="H1926">
        <v>75.84</v>
      </c>
      <c r="I1926">
        <v>62</v>
      </c>
      <c r="J1926">
        <v>94.69</v>
      </c>
      <c r="K1926">
        <v>81</v>
      </c>
      <c r="L1926">
        <v>-22.9</v>
      </c>
      <c r="M1926">
        <v>75</v>
      </c>
      <c r="N1926">
        <v>12.67</v>
      </c>
      <c r="O1926">
        <v>43</v>
      </c>
      <c r="P1926">
        <v>-9.94</v>
      </c>
      <c r="Q1926">
        <v>24</v>
      </c>
      <c r="R1926">
        <v>3.52</v>
      </c>
      <c r="S1926">
        <v>54</v>
      </c>
      <c r="T1926">
        <v>1.54</v>
      </c>
      <c r="U1926">
        <v>18</v>
      </c>
      <c r="V1926">
        <v>-3.74</v>
      </c>
      <c r="W1926">
        <v>11</v>
      </c>
      <c r="X1926" t="s">
        <v>234</v>
      </c>
      <c r="Y1926" t="s">
        <v>367</v>
      </c>
      <c r="Z1926" t="s">
        <v>96</v>
      </c>
      <c r="AA1926" t="s">
        <v>14917</v>
      </c>
      <c r="AB1926" t="s">
        <v>14918</v>
      </c>
      <c r="AC1926">
        <v>0</v>
      </c>
      <c r="AD1926">
        <v>0</v>
      </c>
      <c r="AE1926">
        <v>81</v>
      </c>
      <c r="AF1926">
        <v>581.63</v>
      </c>
      <c r="AG1926">
        <v>17.149999999999999</v>
      </c>
      <c r="AH1926">
        <v>18.940000000000001</v>
      </c>
      <c r="AI1926">
        <v>-0.08</v>
      </c>
      <c r="AJ1926">
        <v>-0.02</v>
      </c>
      <c r="AK1926">
        <v>75</v>
      </c>
      <c r="AL1926">
        <v>0</v>
      </c>
      <c r="AM1926">
        <v>0</v>
      </c>
      <c r="AN1926">
        <v>2.52</v>
      </c>
      <c r="AO1926">
        <v>0.71</v>
      </c>
      <c r="AP1926">
        <v>6</v>
      </c>
      <c r="AQ1926">
        <v>0</v>
      </c>
      <c r="AR1926">
        <v>6.33</v>
      </c>
      <c r="AS1926">
        <v>15</v>
      </c>
      <c r="AT1926">
        <v>3.05</v>
      </c>
      <c r="AU1926">
        <v>89</v>
      </c>
      <c r="AV1926">
        <v>-1.35</v>
      </c>
      <c r="AW1926">
        <v>37</v>
      </c>
      <c r="AX1926">
        <v>0.18</v>
      </c>
      <c r="AY1926">
        <v>25</v>
      </c>
      <c r="AZ1926">
        <v>6.58</v>
      </c>
      <c r="BA1926">
        <v>12</v>
      </c>
      <c r="BB1926">
        <v>5.26</v>
      </c>
      <c r="BC1926">
        <v>11</v>
      </c>
      <c r="BD1926">
        <v>0.03</v>
      </c>
      <c r="BE1926">
        <v>0.01</v>
      </c>
      <c r="BF1926">
        <v>-0.15</v>
      </c>
      <c r="BG1926">
        <v>88</v>
      </c>
      <c r="BH1926">
        <v>-0.02</v>
      </c>
      <c r="BI1926">
        <v>9.76</v>
      </c>
      <c r="BJ1926">
        <v>3</v>
      </c>
      <c r="BK1926">
        <v>2</v>
      </c>
      <c r="BL1926">
        <v>0.18</v>
      </c>
      <c r="BM1926">
        <v>-1.71</v>
      </c>
      <c r="BN1926">
        <v>-1.23</v>
      </c>
      <c r="BO1926">
        <v>0.42</v>
      </c>
      <c r="BP1926">
        <v>0.54</v>
      </c>
      <c r="BQ1926">
        <v>0.15</v>
      </c>
      <c r="BR1926">
        <v>-3.31</v>
      </c>
      <c r="BS1926">
        <v>2.5</v>
      </c>
      <c r="BT1926">
        <v>2.31</v>
      </c>
      <c r="BU1926">
        <v>1.02</v>
      </c>
      <c r="BV1926">
        <v>1.78</v>
      </c>
      <c r="BW1926">
        <v>0.87</v>
      </c>
      <c r="BX1926">
        <v>0.89</v>
      </c>
      <c r="BY1926">
        <v>0.83</v>
      </c>
      <c r="BZ1926">
        <v>-2.76</v>
      </c>
      <c r="CA1926">
        <v>1.77</v>
      </c>
      <c r="CB1926">
        <v>1.1100000000000001</v>
      </c>
      <c r="CC1926">
        <v>2.14</v>
      </c>
      <c r="CD1926">
        <v>-0.83</v>
      </c>
      <c r="CE1926">
        <v>0.57999999999999996</v>
      </c>
      <c r="CF1926">
        <v>-0.13</v>
      </c>
      <c r="CG1926">
        <v>0</v>
      </c>
      <c r="CH1926">
        <v>0.71</v>
      </c>
      <c r="CI1926">
        <v>0</v>
      </c>
      <c r="CJ1926">
        <v>-2.6</v>
      </c>
      <c r="CK1926">
        <v>26</v>
      </c>
      <c r="CL1926">
        <v>-1.05</v>
      </c>
      <c r="CM1926">
        <v>21</v>
      </c>
      <c r="CN1926">
        <v>-0.37</v>
      </c>
      <c r="CO1926">
        <v>19</v>
      </c>
      <c r="CP1926">
        <v>1</v>
      </c>
      <c r="CQ1926">
        <v>23</v>
      </c>
      <c r="CR1926">
        <v>0</v>
      </c>
      <c r="CS1926">
        <v>0</v>
      </c>
      <c r="CT1926">
        <v>11.7</v>
      </c>
      <c r="CU1926">
        <v>18</v>
      </c>
      <c r="CV1926">
        <v>0.26</v>
      </c>
      <c r="CW1926">
        <v>7</v>
      </c>
      <c r="CX1926" t="s">
        <v>2030</v>
      </c>
    </row>
    <row r="1927" spans="1:102" x14ac:dyDescent="0.3">
      <c r="A1927" t="str">
        <f>HYPERLINK("https://webapp.icbf.com/v2/app/bull-search/view/152140026","S303")</f>
        <v>S303</v>
      </c>
      <c r="B1927" t="s">
        <v>11596</v>
      </c>
      <c r="C1927" t="s">
        <v>11597</v>
      </c>
      <c r="D1927" s="1">
        <v>34911</v>
      </c>
      <c r="E1927" t="s">
        <v>395</v>
      </c>
      <c r="F1927">
        <v>0</v>
      </c>
      <c r="G1927" t="s">
        <v>93</v>
      </c>
      <c r="H1927">
        <v>75.83</v>
      </c>
      <c r="I1927">
        <v>88</v>
      </c>
      <c r="J1927">
        <v>-25.1</v>
      </c>
      <c r="K1927">
        <v>95</v>
      </c>
      <c r="L1927">
        <v>67.510000000000005</v>
      </c>
      <c r="M1927">
        <v>82</v>
      </c>
      <c r="N1927">
        <v>9.73</v>
      </c>
      <c r="O1927">
        <v>84</v>
      </c>
      <c r="P1927">
        <v>-4.53</v>
      </c>
      <c r="Q1927">
        <v>91</v>
      </c>
      <c r="R1927">
        <v>21.02</v>
      </c>
      <c r="S1927">
        <v>77</v>
      </c>
      <c r="T1927">
        <v>16.190000000000001</v>
      </c>
      <c r="U1927">
        <v>96</v>
      </c>
      <c r="V1927">
        <v>-8.99</v>
      </c>
      <c r="W1927">
        <v>75</v>
      </c>
      <c r="X1927" t="s">
        <v>110</v>
      </c>
      <c r="Y1927" t="s">
        <v>95</v>
      </c>
      <c r="Z1927">
        <v>0</v>
      </c>
      <c r="AA1927" t="s">
        <v>1045</v>
      </c>
      <c r="AB1927" t="s">
        <v>11598</v>
      </c>
      <c r="AC1927">
        <v>88</v>
      </c>
      <c r="AD1927">
        <v>56</v>
      </c>
      <c r="AE1927">
        <v>95</v>
      </c>
      <c r="AF1927">
        <v>-191.62</v>
      </c>
      <c r="AG1927">
        <v>-5.49</v>
      </c>
      <c r="AH1927">
        <v>-5.26</v>
      </c>
      <c r="AI1927">
        <v>0.03</v>
      </c>
      <c r="AJ1927">
        <v>0.02</v>
      </c>
      <c r="AK1927">
        <v>82</v>
      </c>
      <c r="AL1927">
        <v>76</v>
      </c>
      <c r="AM1927">
        <v>57</v>
      </c>
      <c r="AN1927">
        <v>-3.2</v>
      </c>
      <c r="AO1927">
        <v>2.19</v>
      </c>
      <c r="AP1927">
        <v>83</v>
      </c>
      <c r="AQ1927">
        <v>1</v>
      </c>
      <c r="AR1927">
        <v>5.99</v>
      </c>
      <c r="AS1927">
        <v>66</v>
      </c>
      <c r="AT1927">
        <v>2.86</v>
      </c>
      <c r="AU1927">
        <v>89</v>
      </c>
      <c r="AV1927">
        <v>0.38</v>
      </c>
      <c r="AW1927">
        <v>93</v>
      </c>
      <c r="AX1927">
        <v>-0.67</v>
      </c>
      <c r="AY1927">
        <v>80</v>
      </c>
      <c r="AZ1927">
        <v>4.76</v>
      </c>
      <c r="BA1927">
        <v>60</v>
      </c>
      <c r="BB1927">
        <v>4.47</v>
      </c>
      <c r="BC1927">
        <v>69</v>
      </c>
      <c r="BD1927">
        <v>-0.11</v>
      </c>
      <c r="BE1927">
        <v>-0.1</v>
      </c>
      <c r="BF1927">
        <v>-0.11</v>
      </c>
      <c r="BG1927">
        <v>85</v>
      </c>
      <c r="BH1927">
        <v>-0.3</v>
      </c>
      <c r="BI1927">
        <v>-5.69</v>
      </c>
      <c r="BJ1927">
        <v>41</v>
      </c>
      <c r="BK1927">
        <v>24</v>
      </c>
      <c r="BL1927">
        <v>-2.29</v>
      </c>
      <c r="BM1927">
        <v>1.0900000000000001</v>
      </c>
      <c r="BN1927">
        <v>-1.94</v>
      </c>
      <c r="BO1927">
        <v>-1.96</v>
      </c>
      <c r="BP1927">
        <v>3.5</v>
      </c>
      <c r="BQ1927">
        <v>-1.3</v>
      </c>
      <c r="BR1927">
        <v>2.02</v>
      </c>
      <c r="BS1927">
        <v>1.28</v>
      </c>
      <c r="BT1927">
        <v>-2.27</v>
      </c>
      <c r="BU1927">
        <v>-1.75</v>
      </c>
      <c r="BV1927">
        <v>-3.28</v>
      </c>
      <c r="BW1927">
        <v>-2.46</v>
      </c>
      <c r="BX1927">
        <v>-2.72</v>
      </c>
      <c r="BY1927">
        <v>-2.97</v>
      </c>
      <c r="BZ1927">
        <v>-1.53</v>
      </c>
      <c r="CA1927">
        <v>-2.31</v>
      </c>
      <c r="CB1927">
        <v>-2.85</v>
      </c>
      <c r="CC1927">
        <v>-0.26</v>
      </c>
      <c r="CD1927">
        <v>1.91</v>
      </c>
      <c r="CE1927">
        <v>-1.66</v>
      </c>
      <c r="CF1927">
        <v>-2.4300000000000002</v>
      </c>
      <c r="CG1927">
        <v>0</v>
      </c>
      <c r="CH1927">
        <v>-3</v>
      </c>
      <c r="CI1927">
        <v>0</v>
      </c>
      <c r="CJ1927">
        <v>-2.8</v>
      </c>
      <c r="CK1927">
        <v>92</v>
      </c>
      <c r="CL1927">
        <v>-0.03</v>
      </c>
      <c r="CM1927">
        <v>90</v>
      </c>
      <c r="CN1927">
        <v>-0.13</v>
      </c>
      <c r="CO1927">
        <v>89</v>
      </c>
      <c r="CP1927">
        <v>-12.5</v>
      </c>
      <c r="CQ1927">
        <v>89</v>
      </c>
      <c r="CR1927">
        <v>0</v>
      </c>
      <c r="CS1927">
        <v>0</v>
      </c>
      <c r="CT1927">
        <v>-8.1</v>
      </c>
      <c r="CU1927">
        <v>96</v>
      </c>
      <c r="CV1927">
        <v>-0.16</v>
      </c>
      <c r="CW1927">
        <v>27</v>
      </c>
      <c r="CX1927" t="s">
        <v>11599</v>
      </c>
    </row>
    <row r="1928" spans="1:102" x14ac:dyDescent="0.3">
      <c r="A1928" t="str">
        <f>HYPERLINK("https://webapp.icbf.com/v2/app/bull-search/view/846940260","LPK")</f>
        <v>LPK</v>
      </c>
      <c r="B1928" t="s">
        <v>10136</v>
      </c>
      <c r="C1928" t="s">
        <v>10137</v>
      </c>
      <c r="D1928" s="1">
        <v>40503</v>
      </c>
      <c r="E1928" t="s">
        <v>92</v>
      </c>
      <c r="F1928">
        <v>100</v>
      </c>
      <c r="G1928" t="s">
        <v>93</v>
      </c>
      <c r="H1928">
        <v>75.680000000000007</v>
      </c>
      <c r="I1928">
        <v>89</v>
      </c>
      <c r="J1928">
        <v>8.66</v>
      </c>
      <c r="K1928">
        <v>98</v>
      </c>
      <c r="L1928">
        <v>36.17</v>
      </c>
      <c r="M1928">
        <v>82</v>
      </c>
      <c r="N1928">
        <v>43.17</v>
      </c>
      <c r="O1928">
        <v>90</v>
      </c>
      <c r="P1928">
        <v>-13.53</v>
      </c>
      <c r="Q1928">
        <v>96</v>
      </c>
      <c r="R1928">
        <v>2.52</v>
      </c>
      <c r="S1928">
        <v>81</v>
      </c>
      <c r="T1928">
        <v>-1.49</v>
      </c>
      <c r="U1928">
        <v>86</v>
      </c>
      <c r="V1928">
        <v>0.18</v>
      </c>
      <c r="W1928">
        <v>67</v>
      </c>
      <c r="X1928" t="s">
        <v>94</v>
      </c>
      <c r="Y1928" t="s">
        <v>1923</v>
      </c>
      <c r="Z1928" t="s">
        <v>96</v>
      </c>
      <c r="AA1928" t="s">
        <v>1962</v>
      </c>
      <c r="AB1928" t="s">
        <v>10138</v>
      </c>
      <c r="AC1928">
        <v>244</v>
      </c>
      <c r="AD1928">
        <v>103</v>
      </c>
      <c r="AE1928">
        <v>98</v>
      </c>
      <c r="AF1928">
        <v>279.85000000000002</v>
      </c>
      <c r="AG1928">
        <v>0.92</v>
      </c>
      <c r="AH1928">
        <v>5.43</v>
      </c>
      <c r="AI1928">
        <v>-0.17</v>
      </c>
      <c r="AJ1928">
        <v>-7.0000000000000007E-2</v>
      </c>
      <c r="AK1928">
        <v>82</v>
      </c>
      <c r="AL1928">
        <v>239</v>
      </c>
      <c r="AM1928">
        <v>99</v>
      </c>
      <c r="AN1928">
        <v>-2.2999999999999998</v>
      </c>
      <c r="AO1928">
        <v>0.57999999999999996</v>
      </c>
      <c r="AP1928">
        <v>470</v>
      </c>
      <c r="AQ1928">
        <v>3</v>
      </c>
      <c r="AR1928">
        <v>4.4800000000000004</v>
      </c>
      <c r="AS1928">
        <v>89</v>
      </c>
      <c r="AT1928">
        <v>2.5</v>
      </c>
      <c r="AU1928">
        <v>92</v>
      </c>
      <c r="AV1928">
        <v>-3.48</v>
      </c>
      <c r="AW1928">
        <v>98</v>
      </c>
      <c r="AX1928">
        <v>0.02</v>
      </c>
      <c r="AY1928">
        <v>91</v>
      </c>
      <c r="AZ1928">
        <v>5.97</v>
      </c>
      <c r="BA1928">
        <v>77</v>
      </c>
      <c r="BB1928">
        <v>4.4000000000000004</v>
      </c>
      <c r="BC1928">
        <v>68</v>
      </c>
      <c r="BD1928">
        <v>-0.03</v>
      </c>
      <c r="BE1928">
        <v>-0.02</v>
      </c>
      <c r="BF1928">
        <v>0.03</v>
      </c>
      <c r="BG1928">
        <v>93</v>
      </c>
      <c r="BH1928">
        <v>-0.1</v>
      </c>
      <c r="BI1928">
        <v>-12.16</v>
      </c>
      <c r="BJ1928">
        <v>106</v>
      </c>
      <c r="BK1928">
        <v>49</v>
      </c>
      <c r="BL1928">
        <v>0.99</v>
      </c>
      <c r="BM1928">
        <v>-0.16</v>
      </c>
      <c r="BN1928">
        <v>0.28999999999999998</v>
      </c>
      <c r="BO1928">
        <v>0.88</v>
      </c>
      <c r="BP1928">
        <v>-0.14000000000000001</v>
      </c>
      <c r="BQ1928">
        <v>4.59</v>
      </c>
      <c r="BR1928">
        <v>1.57</v>
      </c>
      <c r="BS1928">
        <v>-0.48</v>
      </c>
      <c r="BT1928">
        <v>-0.61</v>
      </c>
      <c r="BU1928">
        <v>3.11</v>
      </c>
      <c r="BV1928">
        <v>2.81</v>
      </c>
      <c r="BW1928">
        <v>2.04</v>
      </c>
      <c r="BX1928">
        <v>2.79</v>
      </c>
      <c r="BY1928">
        <v>3.25</v>
      </c>
      <c r="BZ1928">
        <v>-3.69</v>
      </c>
      <c r="CA1928">
        <v>1.77</v>
      </c>
      <c r="CB1928">
        <v>2.62</v>
      </c>
      <c r="CC1928">
        <v>-0.1</v>
      </c>
      <c r="CD1928">
        <v>-0.11</v>
      </c>
      <c r="CE1928">
        <v>1.38</v>
      </c>
      <c r="CF1928">
        <v>1.56</v>
      </c>
      <c r="CG1928">
        <v>0</v>
      </c>
      <c r="CH1928">
        <v>3.72</v>
      </c>
      <c r="CI1928">
        <v>0</v>
      </c>
      <c r="CJ1928">
        <v>-3.4</v>
      </c>
      <c r="CK1928">
        <v>97</v>
      </c>
      <c r="CL1928">
        <v>-1.34</v>
      </c>
      <c r="CM1928">
        <v>96</v>
      </c>
      <c r="CN1928">
        <v>-0.42</v>
      </c>
      <c r="CO1928">
        <v>95</v>
      </c>
      <c r="CP1928">
        <v>0.5</v>
      </c>
      <c r="CQ1928">
        <v>88</v>
      </c>
      <c r="CR1928">
        <v>0</v>
      </c>
      <c r="CS1928">
        <v>0</v>
      </c>
      <c r="CT1928">
        <v>15.8</v>
      </c>
      <c r="CU1928">
        <v>86</v>
      </c>
      <c r="CV1928">
        <v>0.2</v>
      </c>
      <c r="CW1928">
        <v>45</v>
      </c>
      <c r="CX1928" t="s">
        <v>350</v>
      </c>
    </row>
    <row r="1929" spans="1:102" x14ac:dyDescent="0.3">
      <c r="A1929" t="str">
        <f>HYPERLINK("https://webapp.icbf.com/v2/app/bull-search/view/343521570","KWN")</f>
        <v>KWN</v>
      </c>
      <c r="B1929" t="s">
        <v>7795</v>
      </c>
      <c r="C1929" t="s">
        <v>7796</v>
      </c>
      <c r="D1929" s="1">
        <v>38027</v>
      </c>
      <c r="E1929" t="s">
        <v>92</v>
      </c>
      <c r="F1929">
        <v>91</v>
      </c>
      <c r="G1929" t="s">
        <v>93</v>
      </c>
      <c r="H1929">
        <v>75.64</v>
      </c>
      <c r="I1929">
        <v>60</v>
      </c>
      <c r="J1929">
        <v>33.81</v>
      </c>
      <c r="K1929">
        <v>77</v>
      </c>
      <c r="L1929">
        <v>10.039999999999999</v>
      </c>
      <c r="M1929">
        <v>45</v>
      </c>
      <c r="N1929">
        <v>6.97</v>
      </c>
      <c r="O1929">
        <v>57</v>
      </c>
      <c r="P1929">
        <v>-3.19</v>
      </c>
      <c r="Q1929">
        <v>71</v>
      </c>
      <c r="R1929">
        <v>3.15</v>
      </c>
      <c r="S1929">
        <v>50</v>
      </c>
      <c r="T1929">
        <v>19.75</v>
      </c>
      <c r="U1929">
        <v>60</v>
      </c>
      <c r="V1929">
        <v>5.1100000000000003</v>
      </c>
      <c r="W1929">
        <v>50</v>
      </c>
      <c r="X1929" t="s">
        <v>94</v>
      </c>
      <c r="Y1929" t="s">
        <v>1153</v>
      </c>
      <c r="Z1929" t="s">
        <v>96</v>
      </c>
      <c r="AA1929" t="s">
        <v>7797</v>
      </c>
      <c r="AB1929" t="s">
        <v>7798</v>
      </c>
      <c r="AC1929">
        <v>13</v>
      </c>
      <c r="AD1929">
        <v>9</v>
      </c>
      <c r="AE1929">
        <v>77</v>
      </c>
      <c r="AF1929">
        <v>-67.58</v>
      </c>
      <c r="AG1929">
        <v>8.92</v>
      </c>
      <c r="AH1929">
        <v>1.56</v>
      </c>
      <c r="AI1929">
        <v>0.19</v>
      </c>
      <c r="AJ1929">
        <v>0.06</v>
      </c>
      <c r="AK1929">
        <v>45</v>
      </c>
      <c r="AL1929">
        <v>15</v>
      </c>
      <c r="AM1929">
        <v>10</v>
      </c>
      <c r="AN1929">
        <v>-0.62</v>
      </c>
      <c r="AO1929">
        <v>0.18</v>
      </c>
      <c r="AP1929">
        <v>21</v>
      </c>
      <c r="AQ1929">
        <v>1</v>
      </c>
      <c r="AR1929">
        <v>7.76</v>
      </c>
      <c r="AS1929">
        <v>36</v>
      </c>
      <c r="AT1929">
        <v>2.84</v>
      </c>
      <c r="AU1929">
        <v>50</v>
      </c>
      <c r="AV1929">
        <v>-1.04</v>
      </c>
      <c r="AW1929">
        <v>76</v>
      </c>
      <c r="AX1929">
        <v>0.01</v>
      </c>
      <c r="AY1929">
        <v>50</v>
      </c>
      <c r="AZ1929">
        <v>7.22</v>
      </c>
      <c r="BA1929">
        <v>35</v>
      </c>
      <c r="BB1929">
        <v>5.42</v>
      </c>
      <c r="BC1929">
        <v>37</v>
      </c>
      <c r="BD1929">
        <v>0.01</v>
      </c>
      <c r="BE1929">
        <v>-0.01</v>
      </c>
      <c r="BF1929">
        <v>-7.0000000000000007E-2</v>
      </c>
      <c r="BG1929">
        <v>57</v>
      </c>
      <c r="BH1929">
        <v>0.15</v>
      </c>
      <c r="BI1929">
        <v>0.87</v>
      </c>
      <c r="BJ1929">
        <v>1</v>
      </c>
      <c r="BK1929">
        <v>1</v>
      </c>
      <c r="BL1929">
        <v>0.18</v>
      </c>
      <c r="BM1929">
        <v>-0.61</v>
      </c>
      <c r="BN1929">
        <v>0.34</v>
      </c>
      <c r="BO1929">
        <v>0.65</v>
      </c>
      <c r="BP1929">
        <v>0.57999999999999996</v>
      </c>
      <c r="BQ1929">
        <v>0.01</v>
      </c>
      <c r="BR1929">
        <v>1.05</v>
      </c>
      <c r="BS1929">
        <v>-0.59</v>
      </c>
      <c r="BT1929">
        <v>-0.88</v>
      </c>
      <c r="BU1929">
        <v>-0.1</v>
      </c>
      <c r="BV1929">
        <v>-0.3</v>
      </c>
      <c r="BW1929">
        <v>-0.12</v>
      </c>
      <c r="BX1929">
        <v>0.15</v>
      </c>
      <c r="BY1929">
        <v>-0.15</v>
      </c>
      <c r="BZ1929">
        <v>0.74</v>
      </c>
      <c r="CA1929">
        <v>-0.33</v>
      </c>
      <c r="CB1929">
        <v>-0.01</v>
      </c>
      <c r="CC1929">
        <v>-0.69</v>
      </c>
      <c r="CD1929">
        <v>-0.82</v>
      </c>
      <c r="CE1929">
        <v>0.49</v>
      </c>
      <c r="CF1929">
        <v>0.42</v>
      </c>
      <c r="CG1929">
        <v>0</v>
      </c>
      <c r="CH1929">
        <v>-0.56000000000000005</v>
      </c>
      <c r="CI1929">
        <v>0</v>
      </c>
      <c r="CJ1929">
        <v>1.5</v>
      </c>
      <c r="CK1929">
        <v>74</v>
      </c>
      <c r="CL1929">
        <v>-0.52</v>
      </c>
      <c r="CM1929">
        <v>69</v>
      </c>
      <c r="CN1929">
        <v>-0.15</v>
      </c>
      <c r="CO1929">
        <v>66</v>
      </c>
      <c r="CP1929">
        <v>-11</v>
      </c>
      <c r="CQ1929">
        <v>64</v>
      </c>
      <c r="CR1929">
        <v>0</v>
      </c>
      <c r="CS1929">
        <v>0</v>
      </c>
      <c r="CT1929">
        <v>-12.9</v>
      </c>
      <c r="CU1929">
        <v>60</v>
      </c>
      <c r="CV1929">
        <v>0.21</v>
      </c>
      <c r="CW1929">
        <v>20</v>
      </c>
      <c r="CX1929" t="s">
        <v>2775</v>
      </c>
    </row>
    <row r="1930" spans="1:102" x14ac:dyDescent="0.3">
      <c r="A1930" t="str">
        <f>HYPERLINK("https://webapp.icbf.com/v2/app/bull-search/view/550978459","WDB")</f>
        <v>WDB</v>
      </c>
      <c r="B1930" t="s">
        <v>4253</v>
      </c>
      <c r="C1930" t="s">
        <v>4254</v>
      </c>
      <c r="D1930" s="1">
        <v>37452</v>
      </c>
      <c r="E1930" t="s">
        <v>227</v>
      </c>
      <c r="F1930">
        <v>0</v>
      </c>
      <c r="G1930" t="s">
        <v>109</v>
      </c>
      <c r="H1930">
        <v>75.56</v>
      </c>
      <c r="I1930">
        <v>78</v>
      </c>
      <c r="J1930">
        <v>53.65</v>
      </c>
      <c r="K1930">
        <v>90</v>
      </c>
      <c r="L1930">
        <v>15.24</v>
      </c>
      <c r="M1930">
        <v>81</v>
      </c>
      <c r="N1930">
        <v>0.47</v>
      </c>
      <c r="O1930">
        <v>66</v>
      </c>
      <c r="P1930">
        <v>-49.24</v>
      </c>
      <c r="Q1930">
        <v>69</v>
      </c>
      <c r="R1930">
        <v>2.65</v>
      </c>
      <c r="S1930">
        <v>63</v>
      </c>
      <c r="T1930">
        <v>49.64</v>
      </c>
      <c r="U1930">
        <v>62</v>
      </c>
      <c r="V1930">
        <v>3.15</v>
      </c>
      <c r="W1930">
        <v>60</v>
      </c>
      <c r="X1930" t="s">
        <v>276</v>
      </c>
      <c r="Y1930" t="s">
        <v>235</v>
      </c>
      <c r="Z1930">
        <v>0</v>
      </c>
      <c r="AA1930" t="s">
        <v>4255</v>
      </c>
      <c r="AB1930" t="s">
        <v>4256</v>
      </c>
      <c r="AC1930">
        <v>0</v>
      </c>
      <c r="AD1930">
        <v>0</v>
      </c>
      <c r="AE1930">
        <v>90</v>
      </c>
      <c r="AF1930">
        <v>-422.43</v>
      </c>
      <c r="AG1930">
        <v>13.65</v>
      </c>
      <c r="AH1930">
        <v>-2.17</v>
      </c>
      <c r="AI1930">
        <v>0.56999999999999995</v>
      </c>
      <c r="AJ1930">
        <v>0.23</v>
      </c>
      <c r="AK1930">
        <v>81</v>
      </c>
      <c r="AL1930">
        <v>0</v>
      </c>
      <c r="AM1930">
        <v>0</v>
      </c>
      <c r="AN1930">
        <v>0.28999999999999998</v>
      </c>
      <c r="AO1930">
        <v>1.52</v>
      </c>
      <c r="AP1930">
        <v>32</v>
      </c>
      <c r="AQ1930">
        <v>3</v>
      </c>
      <c r="AR1930">
        <v>3.39</v>
      </c>
      <c r="AS1930">
        <v>59</v>
      </c>
      <c r="AT1930">
        <v>1.57</v>
      </c>
      <c r="AU1930">
        <v>60</v>
      </c>
      <c r="AV1930">
        <v>1.47</v>
      </c>
      <c r="AW1930">
        <v>82</v>
      </c>
      <c r="AX1930">
        <v>1.76</v>
      </c>
      <c r="AY1930">
        <v>56</v>
      </c>
      <c r="AZ1930">
        <v>6.99</v>
      </c>
      <c r="BA1930">
        <v>42</v>
      </c>
      <c r="BB1930">
        <v>5.4</v>
      </c>
      <c r="BC1930">
        <v>43</v>
      </c>
      <c r="BD1930">
        <v>-0.09</v>
      </c>
      <c r="BE1930">
        <v>0.01</v>
      </c>
      <c r="BF1930">
        <v>7.0000000000000007E-2</v>
      </c>
      <c r="BG1930">
        <v>69</v>
      </c>
      <c r="BH1930">
        <v>0.01</v>
      </c>
      <c r="BI1930">
        <v>-9</v>
      </c>
      <c r="BJ1930">
        <v>0</v>
      </c>
      <c r="BK1930">
        <v>0</v>
      </c>
      <c r="BL1930">
        <v>-1.1200000000000001</v>
      </c>
      <c r="BM1930">
        <v>-1.91</v>
      </c>
      <c r="BN1930">
        <v>-0.2</v>
      </c>
      <c r="BO1930">
        <v>1.6</v>
      </c>
      <c r="BP1930">
        <v>-0.31</v>
      </c>
      <c r="BQ1930">
        <v>-5.18</v>
      </c>
      <c r="BR1930">
        <v>1.85</v>
      </c>
      <c r="BS1930">
        <v>6.8</v>
      </c>
      <c r="BT1930">
        <v>-1.1299999999999999</v>
      </c>
      <c r="BU1930">
        <v>0.75</v>
      </c>
      <c r="BV1930">
        <v>0.8</v>
      </c>
      <c r="BW1930">
        <v>-1.38</v>
      </c>
      <c r="BX1930">
        <v>-2.1800000000000002</v>
      </c>
      <c r="BY1930">
        <v>0.17</v>
      </c>
      <c r="BZ1930">
        <v>0.56999999999999995</v>
      </c>
      <c r="CA1930">
        <v>2.4</v>
      </c>
      <c r="CB1930">
        <v>0.89</v>
      </c>
      <c r="CC1930">
        <v>4.3600000000000003</v>
      </c>
      <c r="CD1930">
        <v>-2.38</v>
      </c>
      <c r="CE1930">
        <v>1.48</v>
      </c>
      <c r="CF1930">
        <v>-0.8</v>
      </c>
      <c r="CG1930">
        <v>0</v>
      </c>
      <c r="CH1930">
        <v>-0.52</v>
      </c>
      <c r="CI1930">
        <v>0</v>
      </c>
      <c r="CJ1930">
        <v>-26.1</v>
      </c>
      <c r="CK1930">
        <v>71</v>
      </c>
      <c r="CL1930">
        <v>-0.93</v>
      </c>
      <c r="CM1930">
        <v>67</v>
      </c>
      <c r="CN1930">
        <v>-0.2</v>
      </c>
      <c r="CO1930">
        <v>64</v>
      </c>
      <c r="CP1930">
        <v>-39.799999999999997</v>
      </c>
      <c r="CQ1930">
        <v>67</v>
      </c>
      <c r="CR1930">
        <v>0</v>
      </c>
      <c r="CS1930">
        <v>0</v>
      </c>
      <c r="CT1930">
        <v>-53.3</v>
      </c>
      <c r="CU1930">
        <v>62</v>
      </c>
      <c r="CV1930">
        <v>-0.32</v>
      </c>
      <c r="CW1930">
        <v>39</v>
      </c>
      <c r="CX1930" t="s">
        <v>788</v>
      </c>
    </row>
    <row r="1931" spans="1:102" x14ac:dyDescent="0.3">
      <c r="A1931" t="str">
        <f>HYPERLINK("https://webapp.icbf.com/v2/app/bull-search/view/443908243","RZC")</f>
        <v>RZC</v>
      </c>
      <c r="B1931" t="s">
        <v>2993</v>
      </c>
      <c r="C1931" t="s">
        <v>2994</v>
      </c>
      <c r="D1931" s="1">
        <v>38759</v>
      </c>
      <c r="E1931" t="s">
        <v>92</v>
      </c>
      <c r="F1931">
        <v>72</v>
      </c>
      <c r="G1931" t="s">
        <v>435</v>
      </c>
      <c r="H1931">
        <v>75.47</v>
      </c>
      <c r="I1931">
        <v>69</v>
      </c>
      <c r="J1931">
        <v>20.55</v>
      </c>
      <c r="K1931">
        <v>88</v>
      </c>
      <c r="L1931">
        <v>26</v>
      </c>
      <c r="M1931">
        <v>65</v>
      </c>
      <c r="N1931">
        <v>21.64</v>
      </c>
      <c r="O1931">
        <v>56</v>
      </c>
      <c r="P1931">
        <v>-22.46</v>
      </c>
      <c r="Q1931">
        <v>49</v>
      </c>
      <c r="R1931">
        <v>1.99</v>
      </c>
      <c r="S1931">
        <v>65</v>
      </c>
      <c r="T1931">
        <v>24.7</v>
      </c>
      <c r="U1931">
        <v>47</v>
      </c>
      <c r="V1931">
        <v>3.05</v>
      </c>
      <c r="W1931">
        <v>61</v>
      </c>
      <c r="X1931" t="s">
        <v>94</v>
      </c>
      <c r="Y1931" t="s">
        <v>1251</v>
      </c>
      <c r="Z1931" t="s">
        <v>96</v>
      </c>
      <c r="AA1931" t="s">
        <v>2713</v>
      </c>
      <c r="AB1931" t="s">
        <v>2995</v>
      </c>
      <c r="AC1931">
        <v>0</v>
      </c>
      <c r="AD1931">
        <v>0</v>
      </c>
      <c r="AE1931">
        <v>88</v>
      </c>
      <c r="AF1931">
        <v>159.91</v>
      </c>
      <c r="AG1931">
        <v>4.22</v>
      </c>
      <c r="AH1931">
        <v>4.45</v>
      </c>
      <c r="AI1931">
        <v>-0.04</v>
      </c>
      <c r="AJ1931">
        <v>-0.01</v>
      </c>
      <c r="AK1931">
        <v>65</v>
      </c>
      <c r="AL1931">
        <v>0</v>
      </c>
      <c r="AM1931">
        <v>0</v>
      </c>
      <c r="AN1931">
        <v>-0.93</v>
      </c>
      <c r="AO1931">
        <v>1.1499999999999999</v>
      </c>
      <c r="AP1931">
        <v>1</v>
      </c>
      <c r="AQ1931">
        <v>0</v>
      </c>
      <c r="AR1931">
        <v>7.02</v>
      </c>
      <c r="AS1931">
        <v>51</v>
      </c>
      <c r="AT1931">
        <v>3.38</v>
      </c>
      <c r="AU1931">
        <v>62</v>
      </c>
      <c r="AV1931">
        <v>-2.35</v>
      </c>
      <c r="AW1931">
        <v>60</v>
      </c>
      <c r="AX1931">
        <v>-0.08</v>
      </c>
      <c r="AY1931">
        <v>47</v>
      </c>
      <c r="AZ1931">
        <v>5.37</v>
      </c>
      <c r="BA1931">
        <v>42</v>
      </c>
      <c r="BB1931">
        <v>4.58</v>
      </c>
      <c r="BC1931">
        <v>45</v>
      </c>
      <c r="BD1931">
        <v>-0.01</v>
      </c>
      <c r="BE1931">
        <v>-0.01</v>
      </c>
      <c r="BF1931">
        <v>-0.01</v>
      </c>
      <c r="BG1931">
        <v>74</v>
      </c>
      <c r="BH1931">
        <v>0.13</v>
      </c>
      <c r="BI1931">
        <v>5.21</v>
      </c>
      <c r="BJ1931">
        <v>0</v>
      </c>
      <c r="BK1931">
        <v>0</v>
      </c>
      <c r="BL1931">
        <v>-0.38</v>
      </c>
      <c r="BM1931">
        <v>-1.1599999999999999</v>
      </c>
      <c r="BN1931">
        <v>-0.56999999999999995</v>
      </c>
      <c r="BO1931">
        <v>-0.2</v>
      </c>
      <c r="BP1931">
        <v>0.91</v>
      </c>
      <c r="BQ1931">
        <v>-0.13</v>
      </c>
      <c r="BR1931">
        <v>2.78</v>
      </c>
      <c r="BS1931">
        <v>-2.3199999999999998</v>
      </c>
      <c r="BT1931">
        <v>-1.9</v>
      </c>
      <c r="BU1931">
        <v>-1.18</v>
      </c>
      <c r="BV1931">
        <v>-1.08</v>
      </c>
      <c r="BW1931">
        <v>-1.32</v>
      </c>
      <c r="BX1931">
        <v>-1.5</v>
      </c>
      <c r="BY1931">
        <v>-1.54</v>
      </c>
      <c r="BZ1931">
        <v>1.53</v>
      </c>
      <c r="CA1931">
        <v>-1.72</v>
      </c>
      <c r="CB1931">
        <v>-1.22</v>
      </c>
      <c r="CC1931">
        <v>-2.2000000000000002</v>
      </c>
      <c r="CD1931">
        <v>0.15</v>
      </c>
      <c r="CE1931">
        <v>-0.65</v>
      </c>
      <c r="CF1931">
        <v>-0.94</v>
      </c>
      <c r="CG1931">
        <v>0</v>
      </c>
      <c r="CH1931">
        <v>-1.1599999999999999</v>
      </c>
      <c r="CI1931">
        <v>0</v>
      </c>
      <c r="CJ1931">
        <v>-6.8</v>
      </c>
      <c r="CK1931">
        <v>50</v>
      </c>
      <c r="CL1931">
        <v>-0.91</v>
      </c>
      <c r="CM1931">
        <v>49</v>
      </c>
      <c r="CN1931">
        <v>0.06</v>
      </c>
      <c r="CO1931">
        <v>49</v>
      </c>
      <c r="CP1931">
        <v>-19.899999999999999</v>
      </c>
      <c r="CQ1931">
        <v>47</v>
      </c>
      <c r="CR1931">
        <v>0</v>
      </c>
      <c r="CS1931">
        <v>0</v>
      </c>
      <c r="CT1931">
        <v>-19.600000000000001</v>
      </c>
      <c r="CU1931">
        <v>47</v>
      </c>
      <c r="CV1931">
        <v>0.18</v>
      </c>
      <c r="CW1931">
        <v>36</v>
      </c>
      <c r="CX1931" t="s">
        <v>792</v>
      </c>
    </row>
    <row r="1932" spans="1:102" x14ac:dyDescent="0.3">
      <c r="A1932" t="str">
        <f>HYPERLINK("https://webapp.icbf.com/v2/app/bull-search/view/396181439","KRU")</f>
        <v>KRU</v>
      </c>
      <c r="B1932" t="s">
        <v>7095</v>
      </c>
      <c r="C1932" t="s">
        <v>7096</v>
      </c>
      <c r="D1932" s="1">
        <v>38401</v>
      </c>
      <c r="E1932" t="s">
        <v>92</v>
      </c>
      <c r="F1932">
        <v>100</v>
      </c>
      <c r="G1932" t="s">
        <v>93</v>
      </c>
      <c r="H1932">
        <v>75.45</v>
      </c>
      <c r="I1932">
        <v>87</v>
      </c>
      <c r="J1932">
        <v>33.08</v>
      </c>
      <c r="K1932">
        <v>97</v>
      </c>
      <c r="L1932">
        <v>14.68</v>
      </c>
      <c r="M1932">
        <v>80</v>
      </c>
      <c r="N1932">
        <v>18.7</v>
      </c>
      <c r="O1932">
        <v>85</v>
      </c>
      <c r="P1932">
        <v>-4.72</v>
      </c>
      <c r="Q1932">
        <v>91</v>
      </c>
      <c r="R1932">
        <v>3.58</v>
      </c>
      <c r="S1932">
        <v>82</v>
      </c>
      <c r="T1932">
        <v>8.42</v>
      </c>
      <c r="U1932">
        <v>85</v>
      </c>
      <c r="V1932">
        <v>1.71</v>
      </c>
      <c r="W1932">
        <v>79</v>
      </c>
      <c r="X1932" t="s">
        <v>94</v>
      </c>
      <c r="Y1932" t="s">
        <v>228</v>
      </c>
      <c r="Z1932" t="s">
        <v>96</v>
      </c>
      <c r="AA1932" t="s">
        <v>1165</v>
      </c>
      <c r="AB1932" t="s">
        <v>7097</v>
      </c>
      <c r="AC1932">
        <v>87</v>
      </c>
      <c r="AD1932">
        <v>71</v>
      </c>
      <c r="AE1932">
        <v>97</v>
      </c>
      <c r="AF1932">
        <v>136.09</v>
      </c>
      <c r="AG1932">
        <v>7.12</v>
      </c>
      <c r="AH1932">
        <v>5.19</v>
      </c>
      <c r="AI1932">
        <v>0.03</v>
      </c>
      <c r="AJ1932">
        <v>0.01</v>
      </c>
      <c r="AK1932">
        <v>80</v>
      </c>
      <c r="AL1932">
        <v>75</v>
      </c>
      <c r="AM1932">
        <v>61</v>
      </c>
      <c r="AN1932">
        <v>0.72</v>
      </c>
      <c r="AO1932">
        <v>1.91</v>
      </c>
      <c r="AP1932">
        <v>161</v>
      </c>
      <c r="AQ1932">
        <v>1</v>
      </c>
      <c r="AR1932">
        <v>7.13</v>
      </c>
      <c r="AS1932">
        <v>70</v>
      </c>
      <c r="AT1932">
        <v>2.75</v>
      </c>
      <c r="AU1932">
        <v>87</v>
      </c>
      <c r="AV1932">
        <v>-1.72</v>
      </c>
      <c r="AW1932">
        <v>95</v>
      </c>
      <c r="AX1932">
        <v>0.56000000000000005</v>
      </c>
      <c r="AY1932">
        <v>79</v>
      </c>
      <c r="AZ1932">
        <v>5.29</v>
      </c>
      <c r="BA1932">
        <v>65</v>
      </c>
      <c r="BB1932">
        <v>4.9000000000000004</v>
      </c>
      <c r="BC1932">
        <v>69</v>
      </c>
      <c r="BD1932">
        <v>-0.02</v>
      </c>
      <c r="BE1932">
        <v>-0.01</v>
      </c>
      <c r="BF1932">
        <v>-0.03</v>
      </c>
      <c r="BG1932">
        <v>89</v>
      </c>
      <c r="BH1932">
        <v>0.02</v>
      </c>
      <c r="BI1932">
        <v>-3.2</v>
      </c>
      <c r="BJ1932">
        <v>11</v>
      </c>
      <c r="BK1932">
        <v>11</v>
      </c>
      <c r="BL1932">
        <v>0.81</v>
      </c>
      <c r="BM1932">
        <v>1.0900000000000001</v>
      </c>
      <c r="BN1932">
        <v>0.36</v>
      </c>
      <c r="BO1932">
        <v>-0.09</v>
      </c>
      <c r="BP1932">
        <v>2.92</v>
      </c>
      <c r="BQ1932">
        <v>0.66</v>
      </c>
      <c r="BR1932">
        <v>-0.72</v>
      </c>
      <c r="BS1932">
        <v>-0.66</v>
      </c>
      <c r="BT1932">
        <v>-1.18</v>
      </c>
      <c r="BU1932">
        <v>-0.4</v>
      </c>
      <c r="BV1932">
        <v>0.02</v>
      </c>
      <c r="BW1932">
        <v>0.28999999999999998</v>
      </c>
      <c r="BX1932">
        <v>0.38</v>
      </c>
      <c r="BY1932">
        <v>0.86</v>
      </c>
      <c r="BZ1932">
        <v>-3.47</v>
      </c>
      <c r="CA1932">
        <v>0.78</v>
      </c>
      <c r="CB1932">
        <v>0.69</v>
      </c>
      <c r="CC1932">
        <v>-0.28999999999999998</v>
      </c>
      <c r="CD1932">
        <v>0.83</v>
      </c>
      <c r="CE1932">
        <v>0.28000000000000003</v>
      </c>
      <c r="CF1932">
        <v>0.8</v>
      </c>
      <c r="CG1932">
        <v>0</v>
      </c>
      <c r="CH1932">
        <v>1.1200000000000001</v>
      </c>
      <c r="CI1932">
        <v>0</v>
      </c>
      <c r="CJ1932">
        <v>0.3</v>
      </c>
      <c r="CK1932">
        <v>92</v>
      </c>
      <c r="CL1932">
        <v>-0.75</v>
      </c>
      <c r="CM1932">
        <v>90</v>
      </c>
      <c r="CN1932">
        <v>-0.31</v>
      </c>
      <c r="CO1932">
        <v>88</v>
      </c>
      <c r="CP1932">
        <v>-6.8</v>
      </c>
      <c r="CQ1932">
        <v>89</v>
      </c>
      <c r="CR1932">
        <v>0</v>
      </c>
      <c r="CS1932">
        <v>0</v>
      </c>
      <c r="CT1932">
        <v>2.4</v>
      </c>
      <c r="CU1932">
        <v>85</v>
      </c>
      <c r="CV1932">
        <v>0.2</v>
      </c>
      <c r="CW1932">
        <v>46</v>
      </c>
      <c r="CX1932" t="s">
        <v>3499</v>
      </c>
    </row>
    <row r="1933" spans="1:102" x14ac:dyDescent="0.3">
      <c r="A1933" t="str">
        <f>HYPERLINK("https://webapp.icbf.com/v2/app/bull-search/view/716223760","LKD")</f>
        <v>LKD</v>
      </c>
      <c r="B1933" t="s">
        <v>14980</v>
      </c>
      <c r="C1933" t="s">
        <v>14981</v>
      </c>
      <c r="D1933" s="1">
        <v>39686</v>
      </c>
      <c r="E1933" t="s">
        <v>108</v>
      </c>
      <c r="F1933">
        <v>0</v>
      </c>
      <c r="G1933" t="s">
        <v>93</v>
      </c>
      <c r="H1933">
        <v>75.37</v>
      </c>
      <c r="I1933">
        <v>86</v>
      </c>
      <c r="J1933">
        <v>-48.24</v>
      </c>
      <c r="K1933">
        <v>96</v>
      </c>
      <c r="L1933">
        <v>112.12</v>
      </c>
      <c r="M1933">
        <v>77</v>
      </c>
      <c r="N1933">
        <v>-11.41</v>
      </c>
      <c r="O1933">
        <v>84</v>
      </c>
      <c r="P1933">
        <v>-13.47</v>
      </c>
      <c r="Q1933">
        <v>94</v>
      </c>
      <c r="R1933">
        <v>6.89</v>
      </c>
      <c r="S1933">
        <v>77</v>
      </c>
      <c r="T1933">
        <v>20.63</v>
      </c>
      <c r="U1933">
        <v>85</v>
      </c>
      <c r="V1933">
        <v>8.85</v>
      </c>
      <c r="W1933">
        <v>76</v>
      </c>
      <c r="X1933" t="s">
        <v>234</v>
      </c>
      <c r="Y1933" t="s">
        <v>1727</v>
      </c>
      <c r="Z1933" t="s">
        <v>96</v>
      </c>
      <c r="AA1933" t="s">
        <v>3029</v>
      </c>
      <c r="AB1933" t="s">
        <v>7588</v>
      </c>
      <c r="AC1933">
        <v>96</v>
      </c>
      <c r="AD1933">
        <v>39</v>
      </c>
      <c r="AE1933">
        <v>96</v>
      </c>
      <c r="AF1933">
        <v>-229.42</v>
      </c>
      <c r="AG1933">
        <v>-9.23</v>
      </c>
      <c r="AH1933">
        <v>-8.4499999999999993</v>
      </c>
      <c r="AI1933">
        <v>-0.01</v>
      </c>
      <c r="AJ1933">
        <v>-0.01</v>
      </c>
      <c r="AK1933">
        <v>77</v>
      </c>
      <c r="AL1933">
        <v>127</v>
      </c>
      <c r="AM1933">
        <v>57</v>
      </c>
      <c r="AN1933">
        <v>-6.25</v>
      </c>
      <c r="AO1933">
        <v>2.69</v>
      </c>
      <c r="AP1933">
        <v>152</v>
      </c>
      <c r="AQ1933">
        <v>1</v>
      </c>
      <c r="AR1933">
        <v>10.48</v>
      </c>
      <c r="AS1933">
        <v>68</v>
      </c>
      <c r="AT1933">
        <v>4.38</v>
      </c>
      <c r="AU1933">
        <v>85</v>
      </c>
      <c r="AV1933">
        <v>-1.06</v>
      </c>
      <c r="AW1933">
        <v>93</v>
      </c>
      <c r="AX1933">
        <v>0.5</v>
      </c>
      <c r="AY1933">
        <v>85</v>
      </c>
      <c r="AZ1933">
        <v>5.61</v>
      </c>
      <c r="BA1933">
        <v>63</v>
      </c>
      <c r="BB1933">
        <v>4.63</v>
      </c>
      <c r="BC1933">
        <v>67</v>
      </c>
      <c r="BD1933">
        <v>0.04</v>
      </c>
      <c r="BE1933">
        <v>-0.05</v>
      </c>
      <c r="BF1933">
        <v>-0.13</v>
      </c>
      <c r="BG1933">
        <v>87</v>
      </c>
      <c r="BH1933">
        <v>0.1</v>
      </c>
      <c r="BI1933">
        <v>-16.989999999999998</v>
      </c>
      <c r="BJ1933">
        <v>6</v>
      </c>
      <c r="BK1933">
        <v>3</v>
      </c>
      <c r="BL1933">
        <v>-4.16</v>
      </c>
      <c r="BM1933">
        <v>2.16</v>
      </c>
      <c r="BN1933">
        <v>-2.93</v>
      </c>
      <c r="BO1933">
        <v>-3.72</v>
      </c>
      <c r="BP1933">
        <v>-0.94</v>
      </c>
      <c r="BQ1933">
        <v>-0.11</v>
      </c>
      <c r="BR1933">
        <v>-1.64</v>
      </c>
      <c r="BS1933">
        <v>0.09</v>
      </c>
      <c r="BT1933">
        <v>-0.01</v>
      </c>
      <c r="BU1933">
        <v>-2</v>
      </c>
      <c r="BV1933">
        <v>-2.87</v>
      </c>
      <c r="BW1933">
        <v>-2.4500000000000002</v>
      </c>
      <c r="BX1933">
        <v>-2.3199999999999998</v>
      </c>
      <c r="BY1933">
        <v>-1.72</v>
      </c>
      <c r="BZ1933">
        <v>-2.97</v>
      </c>
      <c r="CA1933">
        <v>-2.29</v>
      </c>
      <c r="CB1933">
        <v>-2.5099999999999998</v>
      </c>
      <c r="CC1933">
        <v>-1.1200000000000001</v>
      </c>
      <c r="CD1933">
        <v>3.58</v>
      </c>
      <c r="CE1933">
        <v>-3.09</v>
      </c>
      <c r="CF1933">
        <v>-2.7</v>
      </c>
      <c r="CG1933">
        <v>0</v>
      </c>
      <c r="CH1933">
        <v>-1.35</v>
      </c>
      <c r="CI1933">
        <v>0</v>
      </c>
      <c r="CJ1933">
        <v>-9.4</v>
      </c>
      <c r="CK1933">
        <v>95</v>
      </c>
      <c r="CL1933">
        <v>-0.13</v>
      </c>
      <c r="CM1933">
        <v>94</v>
      </c>
      <c r="CN1933">
        <v>-0.26</v>
      </c>
      <c r="CO1933">
        <v>93</v>
      </c>
      <c r="CP1933">
        <v>-14.7</v>
      </c>
      <c r="CQ1933">
        <v>88</v>
      </c>
      <c r="CR1933">
        <v>0</v>
      </c>
      <c r="CS1933">
        <v>0</v>
      </c>
      <c r="CT1933">
        <v>-14.1</v>
      </c>
      <c r="CU1933">
        <v>85</v>
      </c>
      <c r="CV1933">
        <v>-7.0000000000000007E-2</v>
      </c>
      <c r="CW1933">
        <v>45</v>
      </c>
      <c r="CX1933" t="s">
        <v>2905</v>
      </c>
    </row>
    <row r="1934" spans="1:102" x14ac:dyDescent="0.3">
      <c r="A1934" t="str">
        <f>HYPERLINK("https://webapp.icbf.com/v2/app/bull-search/view/464137325","S439")</f>
        <v>S439</v>
      </c>
      <c r="B1934" t="s">
        <v>8155</v>
      </c>
      <c r="C1934" t="s">
        <v>7644</v>
      </c>
      <c r="D1934" s="1">
        <v>36489</v>
      </c>
      <c r="E1934" t="s">
        <v>146</v>
      </c>
      <c r="F1934">
        <v>0</v>
      </c>
      <c r="G1934" t="s">
        <v>109</v>
      </c>
      <c r="H1934">
        <v>75.12</v>
      </c>
      <c r="I1934">
        <v>62</v>
      </c>
      <c r="J1934">
        <v>11.4</v>
      </c>
      <c r="K1934">
        <v>77</v>
      </c>
      <c r="L1934">
        <v>27.58</v>
      </c>
      <c r="M1934">
        <v>63</v>
      </c>
      <c r="N1934">
        <v>30.25</v>
      </c>
      <c r="O1934">
        <v>54</v>
      </c>
      <c r="P1934">
        <v>2.09</v>
      </c>
      <c r="Q1934">
        <v>52</v>
      </c>
      <c r="R1934">
        <v>6.39</v>
      </c>
      <c r="S1934">
        <v>55</v>
      </c>
      <c r="T1934">
        <v>6.06</v>
      </c>
      <c r="U1934">
        <v>35</v>
      </c>
      <c r="V1934">
        <v>-8.65</v>
      </c>
      <c r="W1934">
        <v>22</v>
      </c>
      <c r="X1934" t="s">
        <v>110</v>
      </c>
      <c r="Y1934" t="s">
        <v>545</v>
      </c>
      <c r="Z1934">
        <v>0</v>
      </c>
      <c r="AA1934" t="s">
        <v>345</v>
      </c>
      <c r="AB1934" t="s">
        <v>8156</v>
      </c>
      <c r="AC1934">
        <v>0</v>
      </c>
      <c r="AD1934">
        <v>0</v>
      </c>
      <c r="AE1934">
        <v>77</v>
      </c>
      <c r="AF1934">
        <v>-145.63999999999999</v>
      </c>
      <c r="AG1934">
        <v>-5.71</v>
      </c>
      <c r="AH1934">
        <v>1.73</v>
      </c>
      <c r="AI1934">
        <v>0</v>
      </c>
      <c r="AJ1934">
        <v>0.11</v>
      </c>
      <c r="AK1934">
        <v>63</v>
      </c>
      <c r="AL1934">
        <v>0</v>
      </c>
      <c r="AM1934">
        <v>0</v>
      </c>
      <c r="AN1934">
        <v>-2.2200000000000002</v>
      </c>
      <c r="AO1934">
        <v>-0.03</v>
      </c>
      <c r="AP1934">
        <v>3</v>
      </c>
      <c r="AQ1934">
        <v>0</v>
      </c>
      <c r="AR1934">
        <v>6.34</v>
      </c>
      <c r="AS1934">
        <v>39</v>
      </c>
      <c r="AT1934">
        <v>2.4900000000000002</v>
      </c>
      <c r="AU1934">
        <v>84</v>
      </c>
      <c r="AV1934">
        <v>-2.58</v>
      </c>
      <c r="AW1934">
        <v>50</v>
      </c>
      <c r="AX1934">
        <v>0.22</v>
      </c>
      <c r="AY1934">
        <v>44</v>
      </c>
      <c r="AZ1934">
        <v>5.99</v>
      </c>
      <c r="BA1934">
        <v>31</v>
      </c>
      <c r="BB1934">
        <v>4.6900000000000004</v>
      </c>
      <c r="BC1934">
        <v>29</v>
      </c>
      <c r="BD1934">
        <v>-0.03</v>
      </c>
      <c r="BE1934">
        <v>-0.03</v>
      </c>
      <c r="BF1934">
        <v>-0.04</v>
      </c>
      <c r="BG1934">
        <v>82</v>
      </c>
      <c r="BH1934">
        <v>-0.26</v>
      </c>
      <c r="BI1934">
        <v>-2.1800000000000002</v>
      </c>
      <c r="BJ1934">
        <v>0</v>
      </c>
      <c r="BK1934">
        <v>0</v>
      </c>
      <c r="BL1934">
        <v>-1.61</v>
      </c>
      <c r="BM1934">
        <v>2.0099999999999998</v>
      </c>
      <c r="BN1934">
        <v>-1.18</v>
      </c>
      <c r="BO1934">
        <v>-1.72</v>
      </c>
      <c r="BP1934">
        <v>3.07</v>
      </c>
      <c r="BQ1934">
        <v>-2.11</v>
      </c>
      <c r="BR1934">
        <v>-0.5</v>
      </c>
      <c r="BS1934">
        <v>1.06</v>
      </c>
      <c r="BT1934">
        <v>0.38</v>
      </c>
      <c r="BU1934">
        <v>-3.04</v>
      </c>
      <c r="BV1934">
        <v>-1.74</v>
      </c>
      <c r="BW1934">
        <v>-2.7</v>
      </c>
      <c r="BX1934">
        <v>-2.4500000000000002</v>
      </c>
      <c r="BY1934">
        <v>-3.36</v>
      </c>
      <c r="BZ1934">
        <v>4.04</v>
      </c>
      <c r="CA1934">
        <v>-1.79</v>
      </c>
      <c r="CB1934">
        <v>-2.57</v>
      </c>
      <c r="CC1934">
        <v>0.47</v>
      </c>
      <c r="CD1934">
        <v>1.97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-4.9000000000000004</v>
      </c>
      <c r="CK1934">
        <v>54</v>
      </c>
      <c r="CL1934">
        <v>0.13</v>
      </c>
      <c r="CM1934">
        <v>52</v>
      </c>
      <c r="CN1934">
        <v>-0.64</v>
      </c>
      <c r="CO1934">
        <v>51</v>
      </c>
      <c r="CP1934">
        <v>0.1</v>
      </c>
      <c r="CQ1934">
        <v>41</v>
      </c>
      <c r="CR1934">
        <v>0</v>
      </c>
      <c r="CS1934">
        <v>0</v>
      </c>
      <c r="CT1934">
        <v>5.6</v>
      </c>
      <c r="CU1934">
        <v>35</v>
      </c>
      <c r="CV1934">
        <v>-0.32</v>
      </c>
      <c r="CW1934">
        <v>16</v>
      </c>
      <c r="CX1934" t="s">
        <v>4601</v>
      </c>
    </row>
    <row r="1935" spans="1:102" x14ac:dyDescent="0.3">
      <c r="A1935" t="str">
        <f>HYPERLINK("https://webapp.icbf.com/v2/app/bull-search/view/394702049","LTJ")</f>
        <v>LTJ</v>
      </c>
      <c r="B1935" t="s">
        <v>11854</v>
      </c>
      <c r="C1935" t="s">
        <v>11855</v>
      </c>
      <c r="D1935" s="1">
        <v>38399</v>
      </c>
      <c r="E1935" t="s">
        <v>92</v>
      </c>
      <c r="F1935">
        <v>100</v>
      </c>
      <c r="G1935" t="s">
        <v>93</v>
      </c>
      <c r="H1935">
        <v>75.12</v>
      </c>
      <c r="I1935">
        <v>89</v>
      </c>
      <c r="J1935">
        <v>-3.83</v>
      </c>
      <c r="K1935">
        <v>97</v>
      </c>
      <c r="L1935">
        <v>39.36</v>
      </c>
      <c r="M1935">
        <v>82</v>
      </c>
      <c r="N1935">
        <v>30.94</v>
      </c>
      <c r="O1935">
        <v>86</v>
      </c>
      <c r="P1935">
        <v>-20.32</v>
      </c>
      <c r="Q1935">
        <v>91</v>
      </c>
      <c r="R1935">
        <v>9.5399999999999991</v>
      </c>
      <c r="S1935">
        <v>83</v>
      </c>
      <c r="T1935">
        <v>22.78</v>
      </c>
      <c r="U1935">
        <v>91</v>
      </c>
      <c r="V1935">
        <v>-3.35</v>
      </c>
      <c r="W1935">
        <v>81</v>
      </c>
      <c r="X1935" t="s">
        <v>94</v>
      </c>
      <c r="Y1935" t="s">
        <v>95</v>
      </c>
      <c r="Z1935" t="s">
        <v>96</v>
      </c>
      <c r="AA1935" t="s">
        <v>1420</v>
      </c>
      <c r="AB1935" t="s">
        <v>11856</v>
      </c>
      <c r="AC1935">
        <v>93</v>
      </c>
      <c r="AD1935">
        <v>73</v>
      </c>
      <c r="AE1935">
        <v>97</v>
      </c>
      <c r="AF1935">
        <v>-81.12</v>
      </c>
      <c r="AG1935">
        <v>-1.1399999999999999</v>
      </c>
      <c r="AH1935">
        <v>-1.49</v>
      </c>
      <c r="AI1935">
        <v>0.04</v>
      </c>
      <c r="AJ1935">
        <v>0.02</v>
      </c>
      <c r="AK1935">
        <v>82</v>
      </c>
      <c r="AL1935">
        <v>94</v>
      </c>
      <c r="AM1935">
        <v>67</v>
      </c>
      <c r="AN1935">
        <v>-1.28</v>
      </c>
      <c r="AO1935">
        <v>1.87</v>
      </c>
      <c r="AP1935">
        <v>173</v>
      </c>
      <c r="AQ1935">
        <v>0</v>
      </c>
      <c r="AR1935">
        <v>4.62</v>
      </c>
      <c r="AS1935">
        <v>73</v>
      </c>
      <c r="AT1935">
        <v>2.42</v>
      </c>
      <c r="AU1935">
        <v>88</v>
      </c>
      <c r="AV1935">
        <v>-1.88</v>
      </c>
      <c r="AW1935">
        <v>94</v>
      </c>
      <c r="AX1935">
        <v>-0.4</v>
      </c>
      <c r="AY1935">
        <v>82</v>
      </c>
      <c r="AZ1935">
        <v>5.6</v>
      </c>
      <c r="BA1935">
        <v>67</v>
      </c>
      <c r="BB1935">
        <v>4.71</v>
      </c>
      <c r="BC1935">
        <v>70</v>
      </c>
      <c r="BD1935">
        <v>-0.08</v>
      </c>
      <c r="BE1935">
        <v>-0.04</v>
      </c>
      <c r="BF1935">
        <v>-0.01</v>
      </c>
      <c r="BG1935">
        <v>90</v>
      </c>
      <c r="BH1935">
        <v>-0.11</v>
      </c>
      <c r="BI1935">
        <v>-1.92</v>
      </c>
      <c r="BJ1935">
        <v>30</v>
      </c>
      <c r="BK1935">
        <v>26</v>
      </c>
      <c r="BL1935">
        <v>-0.81</v>
      </c>
      <c r="BM1935">
        <v>-0.49</v>
      </c>
      <c r="BN1935">
        <v>-1.03</v>
      </c>
      <c r="BO1935">
        <v>-0.59</v>
      </c>
      <c r="BP1935">
        <v>0.05</v>
      </c>
      <c r="BQ1935">
        <v>-1.77</v>
      </c>
      <c r="BR1935">
        <v>0.34</v>
      </c>
      <c r="BS1935">
        <v>-0.23</v>
      </c>
      <c r="BT1935">
        <v>-1.25</v>
      </c>
      <c r="BU1935">
        <v>-0.06</v>
      </c>
      <c r="BV1935">
        <v>0.79</v>
      </c>
      <c r="BW1935">
        <v>0.19</v>
      </c>
      <c r="BX1935">
        <v>-0.02</v>
      </c>
      <c r="BY1935">
        <v>-1.4</v>
      </c>
      <c r="BZ1935">
        <v>1.56</v>
      </c>
      <c r="CA1935">
        <v>0.23</v>
      </c>
      <c r="CB1935">
        <v>0.26</v>
      </c>
      <c r="CC1935">
        <v>-0.17</v>
      </c>
      <c r="CD1935">
        <v>0.45</v>
      </c>
      <c r="CE1935">
        <v>-0.33</v>
      </c>
      <c r="CF1935">
        <v>-1.35</v>
      </c>
      <c r="CG1935">
        <v>0</v>
      </c>
      <c r="CH1935">
        <v>-1.41</v>
      </c>
      <c r="CI1935">
        <v>0</v>
      </c>
      <c r="CJ1935">
        <v>-10.199999999999999</v>
      </c>
      <c r="CK1935">
        <v>92</v>
      </c>
      <c r="CL1935">
        <v>-0.8</v>
      </c>
      <c r="CM1935">
        <v>90</v>
      </c>
      <c r="CN1935">
        <v>-0.42</v>
      </c>
      <c r="CO1935">
        <v>89</v>
      </c>
      <c r="CP1935">
        <v>-19.399999999999999</v>
      </c>
      <c r="CQ1935">
        <v>90</v>
      </c>
      <c r="CR1935">
        <v>0</v>
      </c>
      <c r="CS1935">
        <v>0</v>
      </c>
      <c r="CT1935">
        <v>-17</v>
      </c>
      <c r="CU1935">
        <v>91</v>
      </c>
      <c r="CV1935">
        <v>-0.03</v>
      </c>
      <c r="CW1935">
        <v>44</v>
      </c>
      <c r="CX1935" t="s">
        <v>1252</v>
      </c>
    </row>
    <row r="1936" spans="1:102" x14ac:dyDescent="0.3">
      <c r="A1936" t="str">
        <f>HYPERLINK("https://webapp.icbf.com/v2/app/bull-search/view/77856958","HKY")</f>
        <v>HKY</v>
      </c>
      <c r="B1936" t="s">
        <v>11243</v>
      </c>
      <c r="C1936" t="s">
        <v>11244</v>
      </c>
      <c r="D1936" s="1">
        <v>33866</v>
      </c>
      <c r="E1936" t="s">
        <v>108</v>
      </c>
      <c r="F1936">
        <v>0</v>
      </c>
      <c r="G1936" t="s">
        <v>93</v>
      </c>
      <c r="H1936">
        <v>75</v>
      </c>
      <c r="I1936">
        <v>66</v>
      </c>
      <c r="J1936">
        <v>-33.51</v>
      </c>
      <c r="K1936">
        <v>87</v>
      </c>
      <c r="L1936">
        <v>93.36</v>
      </c>
      <c r="M1936">
        <v>54</v>
      </c>
      <c r="N1936">
        <v>15.16</v>
      </c>
      <c r="O1936">
        <v>53</v>
      </c>
      <c r="P1936">
        <v>3.43</v>
      </c>
      <c r="Q1936">
        <v>74</v>
      </c>
      <c r="R1936">
        <v>-14.28</v>
      </c>
      <c r="S1936">
        <v>58</v>
      </c>
      <c r="T1936">
        <v>10.27</v>
      </c>
      <c r="U1936">
        <v>64</v>
      </c>
      <c r="V1936">
        <v>0.56999999999999995</v>
      </c>
      <c r="W1936">
        <v>26</v>
      </c>
      <c r="X1936" t="s">
        <v>102</v>
      </c>
      <c r="Y1936" t="s">
        <v>95</v>
      </c>
      <c r="Z1936" t="s">
        <v>96</v>
      </c>
      <c r="AA1936" t="s">
        <v>507</v>
      </c>
      <c r="AB1936" t="s">
        <v>11245</v>
      </c>
      <c r="AC1936">
        <v>34</v>
      </c>
      <c r="AD1936">
        <v>29</v>
      </c>
      <c r="AE1936">
        <v>87</v>
      </c>
      <c r="AF1936">
        <v>-531.71</v>
      </c>
      <c r="AG1936">
        <v>-11.81</v>
      </c>
      <c r="AH1936">
        <v>-9.66</v>
      </c>
      <c r="AI1936">
        <v>0.16</v>
      </c>
      <c r="AJ1936">
        <v>0.16</v>
      </c>
      <c r="AK1936">
        <v>54</v>
      </c>
      <c r="AL1936">
        <v>62</v>
      </c>
      <c r="AM1936">
        <v>49</v>
      </c>
      <c r="AN1936">
        <v>-6.26</v>
      </c>
      <c r="AO1936">
        <v>1.17</v>
      </c>
      <c r="AP1936">
        <v>9</v>
      </c>
      <c r="AQ1936">
        <v>8</v>
      </c>
      <c r="AR1936">
        <v>6.22</v>
      </c>
      <c r="AS1936">
        <v>21</v>
      </c>
      <c r="AT1936">
        <v>2.68</v>
      </c>
      <c r="AU1936">
        <v>46</v>
      </c>
      <c r="AV1936">
        <v>-2.74</v>
      </c>
      <c r="AW1936">
        <v>68</v>
      </c>
      <c r="AX1936">
        <v>0.2</v>
      </c>
      <c r="AY1936">
        <v>65</v>
      </c>
      <c r="AZ1936">
        <v>7.38</v>
      </c>
      <c r="BA1936">
        <v>22</v>
      </c>
      <c r="BB1936">
        <v>7.04</v>
      </c>
      <c r="BC1936">
        <v>37</v>
      </c>
      <c r="BD1936">
        <v>0.05</v>
      </c>
      <c r="BE1936">
        <v>0.05</v>
      </c>
      <c r="BF1936">
        <v>0.15</v>
      </c>
      <c r="BG1936">
        <v>77</v>
      </c>
      <c r="BH1936">
        <v>-0.03</v>
      </c>
      <c r="BI1936">
        <v>-5.31</v>
      </c>
      <c r="BJ1936">
        <v>12</v>
      </c>
      <c r="BK1936">
        <v>8</v>
      </c>
      <c r="BL1936">
        <v>-2.59</v>
      </c>
      <c r="BM1936">
        <v>0.94</v>
      </c>
      <c r="BN1936">
        <v>-2.78</v>
      </c>
      <c r="BO1936">
        <v>-2.57</v>
      </c>
      <c r="BP1936">
        <v>-1.05</v>
      </c>
      <c r="BQ1936">
        <v>1.4</v>
      </c>
      <c r="BR1936">
        <v>-1.56</v>
      </c>
      <c r="BS1936">
        <v>-0.7</v>
      </c>
      <c r="BT1936">
        <v>0.1</v>
      </c>
      <c r="BU1936">
        <v>-2.36</v>
      </c>
      <c r="BV1936">
        <v>-2.0499999999999998</v>
      </c>
      <c r="BW1936">
        <v>-2.0699999999999998</v>
      </c>
      <c r="BX1936">
        <v>-1.86</v>
      </c>
      <c r="BY1936">
        <v>-0.74</v>
      </c>
      <c r="BZ1936">
        <v>-0.68</v>
      </c>
      <c r="CA1936">
        <v>-1.73</v>
      </c>
      <c r="CB1936">
        <v>-1.85</v>
      </c>
      <c r="CC1936">
        <v>-0.94</v>
      </c>
      <c r="CD1936">
        <v>2.0099999999999998</v>
      </c>
      <c r="CE1936">
        <v>-2.2200000000000002</v>
      </c>
      <c r="CF1936">
        <v>-1.84</v>
      </c>
      <c r="CG1936">
        <v>0</v>
      </c>
      <c r="CH1936">
        <v>-1.67</v>
      </c>
      <c r="CI1936">
        <v>0</v>
      </c>
      <c r="CJ1936">
        <v>4.0999999999999996</v>
      </c>
      <c r="CK1936">
        <v>76</v>
      </c>
      <c r="CL1936">
        <v>0.28999999999999998</v>
      </c>
      <c r="CM1936">
        <v>72</v>
      </c>
      <c r="CN1936">
        <v>0.35</v>
      </c>
      <c r="CO1936">
        <v>68</v>
      </c>
      <c r="CP1936">
        <v>-7.5</v>
      </c>
      <c r="CQ1936">
        <v>76</v>
      </c>
      <c r="CR1936">
        <v>0</v>
      </c>
      <c r="CS1936">
        <v>0</v>
      </c>
      <c r="CT1936">
        <v>-0.1</v>
      </c>
      <c r="CU1936">
        <v>64</v>
      </c>
      <c r="CV1936">
        <v>-0.03</v>
      </c>
      <c r="CW1936">
        <v>21</v>
      </c>
      <c r="CX1936" t="s">
        <v>3562</v>
      </c>
    </row>
    <row r="1937" spans="1:102" x14ac:dyDescent="0.3">
      <c r="A1937" t="str">
        <f>HYPERLINK("https://webapp.icbf.com/v2/app/bull-search/view/1196705857","JE2098")</f>
        <v>JE2098</v>
      </c>
      <c r="B1937" t="s">
        <v>9640</v>
      </c>
      <c r="C1937" t="s">
        <v>9641</v>
      </c>
      <c r="D1937" s="1">
        <v>40328</v>
      </c>
      <c r="E1937" t="s">
        <v>227</v>
      </c>
      <c r="F1937">
        <v>0</v>
      </c>
      <c r="G1937" t="s">
        <v>109</v>
      </c>
      <c r="H1937">
        <v>74.98</v>
      </c>
      <c r="I1937">
        <v>54</v>
      </c>
      <c r="J1937">
        <v>55.04</v>
      </c>
      <c r="K1937">
        <v>73</v>
      </c>
      <c r="L1937">
        <v>36.31</v>
      </c>
      <c r="M1937">
        <v>72</v>
      </c>
      <c r="N1937">
        <v>-28.34</v>
      </c>
      <c r="O1937">
        <v>17</v>
      </c>
      <c r="P1937">
        <v>-67.290000000000006</v>
      </c>
      <c r="Q1937">
        <v>27</v>
      </c>
      <c r="R1937">
        <v>2.13</v>
      </c>
      <c r="S1937">
        <v>21</v>
      </c>
      <c r="T1937">
        <v>74.650000000000006</v>
      </c>
      <c r="U1937">
        <v>13</v>
      </c>
      <c r="V1937">
        <v>2.48</v>
      </c>
      <c r="W1937">
        <v>8</v>
      </c>
      <c r="X1937" t="s">
        <v>428</v>
      </c>
      <c r="Y1937" t="s">
        <v>422</v>
      </c>
      <c r="Z1937">
        <v>0</v>
      </c>
      <c r="AA1937" t="s">
        <v>9642</v>
      </c>
      <c r="AB1937" t="s">
        <v>9643</v>
      </c>
      <c r="AC1937">
        <v>0</v>
      </c>
      <c r="AD1937">
        <v>0</v>
      </c>
      <c r="AE1937">
        <v>73</v>
      </c>
      <c r="AF1937">
        <v>-210.79</v>
      </c>
      <c r="AG1937">
        <v>14.74</v>
      </c>
      <c r="AH1937">
        <v>0.92</v>
      </c>
      <c r="AI1937">
        <v>0.39</v>
      </c>
      <c r="AJ1937">
        <v>0.14000000000000001</v>
      </c>
      <c r="AK1937">
        <v>72</v>
      </c>
      <c r="AL1937">
        <v>0</v>
      </c>
      <c r="AM1937">
        <v>0</v>
      </c>
      <c r="AN1937">
        <v>-1.63</v>
      </c>
      <c r="AO1937">
        <v>1.27</v>
      </c>
      <c r="AP1937">
        <v>5</v>
      </c>
      <c r="AQ1937">
        <v>0</v>
      </c>
      <c r="AR1937">
        <v>4.8</v>
      </c>
      <c r="AS1937">
        <v>23</v>
      </c>
      <c r="AT1937">
        <v>2.31</v>
      </c>
      <c r="AU1937">
        <v>8</v>
      </c>
      <c r="AV1937">
        <v>0.69</v>
      </c>
      <c r="AW1937">
        <v>19</v>
      </c>
      <c r="AX1937">
        <v>12.74</v>
      </c>
      <c r="AY1937">
        <v>41</v>
      </c>
      <c r="AZ1937">
        <v>7.26</v>
      </c>
      <c r="BA1937">
        <v>7</v>
      </c>
      <c r="BB1937">
        <v>5.3</v>
      </c>
      <c r="BC1937">
        <v>7</v>
      </c>
      <c r="BD1937">
        <v>-0.03</v>
      </c>
      <c r="BE1937">
        <v>-0.01</v>
      </c>
      <c r="BF1937">
        <v>0.02</v>
      </c>
      <c r="BG1937">
        <v>26</v>
      </c>
      <c r="BH1937">
        <v>0.05</v>
      </c>
      <c r="BI1937">
        <v>-2.23</v>
      </c>
      <c r="BJ1937">
        <v>0</v>
      </c>
      <c r="BK1937">
        <v>0</v>
      </c>
      <c r="BL1937">
        <v>-0.77</v>
      </c>
      <c r="BM1937">
        <v>-1.59</v>
      </c>
      <c r="BN1937">
        <v>0.18</v>
      </c>
      <c r="BO1937">
        <v>1.76</v>
      </c>
      <c r="BP1937">
        <v>-0.2</v>
      </c>
      <c r="BQ1937">
        <v>-4.51</v>
      </c>
      <c r="BR1937">
        <v>1.74</v>
      </c>
      <c r="BS1937">
        <v>6.84</v>
      </c>
      <c r="BT1937">
        <v>-0.62</v>
      </c>
      <c r="BU1937">
        <v>1.24</v>
      </c>
      <c r="BV1937">
        <v>1.25</v>
      </c>
      <c r="BW1937">
        <v>-0.84</v>
      </c>
      <c r="BX1937">
        <v>-1.65</v>
      </c>
      <c r="BY1937">
        <v>0.55000000000000004</v>
      </c>
      <c r="BZ1937">
        <v>0.4</v>
      </c>
      <c r="CA1937">
        <v>2.5</v>
      </c>
      <c r="CB1937">
        <v>1.0900000000000001</v>
      </c>
      <c r="CC1937">
        <v>4.25</v>
      </c>
      <c r="CD1937">
        <v>-2.31</v>
      </c>
      <c r="CE1937">
        <v>1.62</v>
      </c>
      <c r="CF1937">
        <v>-0.37</v>
      </c>
      <c r="CG1937">
        <v>0</v>
      </c>
      <c r="CH1937">
        <v>-0.1</v>
      </c>
      <c r="CI1937">
        <v>0</v>
      </c>
      <c r="CJ1937">
        <v>-35.4</v>
      </c>
      <c r="CK1937">
        <v>30</v>
      </c>
      <c r="CL1937">
        <v>-1.43</v>
      </c>
      <c r="CM1937">
        <v>26</v>
      </c>
      <c r="CN1937">
        <v>-0.43</v>
      </c>
      <c r="CO1937">
        <v>25</v>
      </c>
      <c r="CP1937">
        <v>-58.1</v>
      </c>
      <c r="CQ1937">
        <v>16</v>
      </c>
      <c r="CR1937">
        <v>0</v>
      </c>
      <c r="CS1937">
        <v>0</v>
      </c>
      <c r="CT1937">
        <v>-87.1</v>
      </c>
      <c r="CU1937">
        <v>13</v>
      </c>
      <c r="CV1937">
        <v>-0.31</v>
      </c>
      <c r="CW1937">
        <v>8</v>
      </c>
      <c r="CX1937" t="s">
        <v>2659</v>
      </c>
    </row>
    <row r="1938" spans="1:102" x14ac:dyDescent="0.3">
      <c r="A1938" t="str">
        <f>HYPERLINK("https://webapp.icbf.com/v2/app/bull-search/view/1097416568","S3139")</f>
        <v>S3139</v>
      </c>
      <c r="B1938" t="s">
        <v>2494</v>
      </c>
      <c r="C1938" t="s">
        <v>2495</v>
      </c>
      <c r="D1938" s="1">
        <v>40720</v>
      </c>
      <c r="E1938" t="s">
        <v>92</v>
      </c>
      <c r="F1938">
        <v>100</v>
      </c>
      <c r="G1938" t="s">
        <v>109</v>
      </c>
      <c r="H1938">
        <v>74.97</v>
      </c>
      <c r="I1938">
        <v>62</v>
      </c>
      <c r="J1938">
        <v>85.67</v>
      </c>
      <c r="K1938">
        <v>79</v>
      </c>
      <c r="L1938">
        <v>-43.95</v>
      </c>
      <c r="M1938">
        <v>79</v>
      </c>
      <c r="N1938">
        <v>36.68</v>
      </c>
      <c r="O1938">
        <v>40</v>
      </c>
      <c r="P1938">
        <v>-4.29</v>
      </c>
      <c r="Q1938">
        <v>22</v>
      </c>
      <c r="R1938">
        <v>5.71</v>
      </c>
      <c r="S1938">
        <v>55</v>
      </c>
      <c r="T1938">
        <v>-3.71</v>
      </c>
      <c r="U1938">
        <v>18</v>
      </c>
      <c r="V1938">
        <v>-1.1399999999999999</v>
      </c>
      <c r="W1938">
        <v>14</v>
      </c>
      <c r="X1938" t="s">
        <v>110</v>
      </c>
      <c r="Y1938" t="s">
        <v>457</v>
      </c>
      <c r="Z1938" t="s">
        <v>96</v>
      </c>
      <c r="AA1938" t="s">
        <v>353</v>
      </c>
      <c r="AB1938" t="s">
        <v>2496</v>
      </c>
      <c r="AC1938">
        <v>0</v>
      </c>
      <c r="AD1938">
        <v>0</v>
      </c>
      <c r="AE1938">
        <v>79</v>
      </c>
      <c r="AF1938">
        <v>479.5</v>
      </c>
      <c r="AG1938">
        <v>17.100000000000001</v>
      </c>
      <c r="AH1938">
        <v>15.86</v>
      </c>
      <c r="AI1938">
        <v>-0.03</v>
      </c>
      <c r="AJ1938">
        <v>-0.01</v>
      </c>
      <c r="AK1938">
        <v>79</v>
      </c>
      <c r="AL1938">
        <v>0</v>
      </c>
      <c r="AM1938">
        <v>0</v>
      </c>
      <c r="AN1938">
        <v>4.34</v>
      </c>
      <c r="AO1938">
        <v>0.86</v>
      </c>
      <c r="AP1938">
        <v>1</v>
      </c>
      <c r="AQ1938">
        <v>0</v>
      </c>
      <c r="AR1938">
        <v>5.72</v>
      </c>
      <c r="AS1938">
        <v>23</v>
      </c>
      <c r="AT1938">
        <v>2.58</v>
      </c>
      <c r="AU1938">
        <v>87</v>
      </c>
      <c r="AV1938">
        <v>-3.29</v>
      </c>
      <c r="AW1938">
        <v>29</v>
      </c>
      <c r="AX1938">
        <v>-0.03</v>
      </c>
      <c r="AY1938">
        <v>22</v>
      </c>
      <c r="AZ1938">
        <v>6.36</v>
      </c>
      <c r="BA1938">
        <v>17</v>
      </c>
      <c r="BB1938">
        <v>4.71</v>
      </c>
      <c r="BC1938">
        <v>15</v>
      </c>
      <c r="BD1938">
        <v>-0.02</v>
      </c>
      <c r="BE1938">
        <v>-0.02</v>
      </c>
      <c r="BF1938">
        <v>-0.06</v>
      </c>
      <c r="BG1938">
        <v>88</v>
      </c>
      <c r="BH1938">
        <v>-0.12</v>
      </c>
      <c r="BI1938">
        <v>-10.210000000000001</v>
      </c>
      <c r="BJ1938">
        <v>0</v>
      </c>
      <c r="BK1938">
        <v>0</v>
      </c>
      <c r="BL1938">
        <v>1.56</v>
      </c>
      <c r="BM1938">
        <v>-2.2799999999999998</v>
      </c>
      <c r="BN1938">
        <v>0</v>
      </c>
      <c r="BO1938">
        <v>1.76</v>
      </c>
      <c r="BP1938">
        <v>0.24</v>
      </c>
      <c r="BQ1938">
        <v>1.5</v>
      </c>
      <c r="BR1938">
        <v>2.02</v>
      </c>
      <c r="BS1938">
        <v>0.25</v>
      </c>
      <c r="BT1938">
        <v>-0.13</v>
      </c>
      <c r="BU1938">
        <v>2.93</v>
      </c>
      <c r="BV1938">
        <v>2.87</v>
      </c>
      <c r="BW1938">
        <v>2.0299999999999998</v>
      </c>
      <c r="BX1938">
        <v>2.37</v>
      </c>
      <c r="BY1938">
        <v>1.27</v>
      </c>
      <c r="BZ1938">
        <v>-0.9</v>
      </c>
      <c r="CA1938">
        <v>2.3199999999999998</v>
      </c>
      <c r="CB1938">
        <v>2.76</v>
      </c>
      <c r="CC1938">
        <v>0.41</v>
      </c>
      <c r="CD1938">
        <v>-2.09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0.3</v>
      </c>
      <c r="CK1938">
        <v>23</v>
      </c>
      <c r="CL1938">
        <v>-1.07</v>
      </c>
      <c r="CM1938">
        <v>22</v>
      </c>
      <c r="CN1938">
        <v>-0.53</v>
      </c>
      <c r="CO1938">
        <v>22</v>
      </c>
      <c r="CP1938">
        <v>0.9</v>
      </c>
      <c r="CQ1938">
        <v>20</v>
      </c>
      <c r="CR1938">
        <v>0</v>
      </c>
      <c r="CS1938">
        <v>0</v>
      </c>
      <c r="CT1938">
        <v>18.8</v>
      </c>
      <c r="CU1938">
        <v>18</v>
      </c>
      <c r="CV1938">
        <v>0.34</v>
      </c>
      <c r="CW1938">
        <v>8</v>
      </c>
      <c r="CX1938" t="s">
        <v>1962</v>
      </c>
    </row>
    <row r="1939" spans="1:102" x14ac:dyDescent="0.3">
      <c r="A1939" t="str">
        <f>HYPERLINK("https://webapp.icbf.com/v2/app/bull-search/view/444505302","NVE")</f>
        <v>NVE</v>
      </c>
      <c r="B1939" t="s">
        <v>15666</v>
      </c>
      <c r="C1939" t="s">
        <v>15667</v>
      </c>
      <c r="D1939" s="1">
        <v>36019</v>
      </c>
      <c r="E1939" t="s">
        <v>92</v>
      </c>
      <c r="F1939">
        <v>100</v>
      </c>
      <c r="G1939" t="s">
        <v>93</v>
      </c>
      <c r="H1939">
        <v>74.930000000000007</v>
      </c>
      <c r="I1939">
        <v>96</v>
      </c>
      <c r="J1939">
        <v>16.989999999999998</v>
      </c>
      <c r="K1939">
        <v>99</v>
      </c>
      <c r="L1939">
        <v>25.82</v>
      </c>
      <c r="M1939">
        <v>93</v>
      </c>
      <c r="N1939">
        <v>16.09</v>
      </c>
      <c r="O1939">
        <v>95</v>
      </c>
      <c r="P1939">
        <v>-10.96</v>
      </c>
      <c r="Q1939">
        <v>97</v>
      </c>
      <c r="R1939">
        <v>-1.1599999999999999</v>
      </c>
      <c r="S1939">
        <v>93</v>
      </c>
      <c r="T1939">
        <v>28.11</v>
      </c>
      <c r="U1939">
        <v>97</v>
      </c>
      <c r="V1939">
        <v>0.04</v>
      </c>
      <c r="W1939">
        <v>94</v>
      </c>
      <c r="X1939" t="s">
        <v>94</v>
      </c>
      <c r="Y1939" t="s">
        <v>270</v>
      </c>
      <c r="Z1939" t="s">
        <v>96</v>
      </c>
      <c r="AA1939" t="s">
        <v>1380</v>
      </c>
      <c r="AB1939" t="s">
        <v>15668</v>
      </c>
      <c r="AC1939">
        <v>500</v>
      </c>
      <c r="AD1939">
        <v>170</v>
      </c>
      <c r="AE1939">
        <v>99</v>
      </c>
      <c r="AF1939">
        <v>219.66</v>
      </c>
      <c r="AG1939">
        <v>2.5499999999999998</v>
      </c>
      <c r="AH1939">
        <v>5.35</v>
      </c>
      <c r="AI1939">
        <v>-0.1</v>
      </c>
      <c r="AJ1939">
        <v>-0.04</v>
      </c>
      <c r="AK1939">
        <v>93</v>
      </c>
      <c r="AL1939">
        <v>551</v>
      </c>
      <c r="AM1939">
        <v>214</v>
      </c>
      <c r="AN1939">
        <v>-1.32</v>
      </c>
      <c r="AO1939">
        <v>0.74</v>
      </c>
      <c r="AP1939">
        <v>700</v>
      </c>
      <c r="AQ1939">
        <v>4</v>
      </c>
      <c r="AR1939">
        <v>7.14</v>
      </c>
      <c r="AS1939">
        <v>96</v>
      </c>
      <c r="AT1939">
        <v>3.18</v>
      </c>
      <c r="AU1939">
        <v>94</v>
      </c>
      <c r="AV1939">
        <v>-1.34</v>
      </c>
      <c r="AW1939">
        <v>99</v>
      </c>
      <c r="AX1939">
        <v>-0.71</v>
      </c>
      <c r="AY1939">
        <v>94</v>
      </c>
      <c r="AZ1939">
        <v>5.49</v>
      </c>
      <c r="BA1939">
        <v>87</v>
      </c>
      <c r="BB1939">
        <v>4.68</v>
      </c>
      <c r="BC1939">
        <v>88</v>
      </c>
      <c r="BD1939">
        <v>-0.02</v>
      </c>
      <c r="BE1939">
        <v>0</v>
      </c>
      <c r="BF1939">
        <v>0.06</v>
      </c>
      <c r="BG1939">
        <v>97</v>
      </c>
      <c r="BH1939">
        <v>-0.06</v>
      </c>
      <c r="BI1939">
        <v>-7.08</v>
      </c>
      <c r="BJ1939">
        <v>32</v>
      </c>
      <c r="BK1939">
        <v>14</v>
      </c>
      <c r="BL1939">
        <v>0.32</v>
      </c>
      <c r="BM1939">
        <v>-1.72</v>
      </c>
      <c r="BN1939">
        <v>-2.67</v>
      </c>
      <c r="BO1939">
        <v>-0.35</v>
      </c>
      <c r="BP1939">
        <v>2.82</v>
      </c>
      <c r="BQ1939">
        <v>-1.24</v>
      </c>
      <c r="BR1939">
        <v>-1.52</v>
      </c>
      <c r="BS1939">
        <v>-1.1000000000000001</v>
      </c>
      <c r="BT1939">
        <v>0.76</v>
      </c>
      <c r="BU1939">
        <v>-0.19</v>
      </c>
      <c r="BV1939">
        <v>-0.84</v>
      </c>
      <c r="BW1939">
        <v>-1.39</v>
      </c>
      <c r="BX1939">
        <v>0.84</v>
      </c>
      <c r="BY1939">
        <v>-1</v>
      </c>
      <c r="BZ1939">
        <v>1.95</v>
      </c>
      <c r="CA1939">
        <v>-0.84</v>
      </c>
      <c r="CB1939">
        <v>-0.87</v>
      </c>
      <c r="CC1939">
        <v>-0.87</v>
      </c>
      <c r="CD1939">
        <v>-0.2</v>
      </c>
      <c r="CE1939">
        <v>-0.16</v>
      </c>
      <c r="CF1939">
        <v>-1.87</v>
      </c>
      <c r="CG1939">
        <v>0</v>
      </c>
      <c r="CH1939">
        <v>-1.21</v>
      </c>
      <c r="CI1939">
        <v>0</v>
      </c>
      <c r="CJ1939">
        <v>-3.8</v>
      </c>
      <c r="CK1939">
        <v>97</v>
      </c>
      <c r="CL1939">
        <v>-0.8</v>
      </c>
      <c r="CM1939">
        <v>97</v>
      </c>
      <c r="CN1939">
        <v>-0.34</v>
      </c>
      <c r="CO1939">
        <v>96</v>
      </c>
      <c r="CP1939">
        <v>-9.6</v>
      </c>
      <c r="CQ1939">
        <v>97</v>
      </c>
      <c r="CR1939">
        <v>0</v>
      </c>
      <c r="CS1939">
        <v>0</v>
      </c>
      <c r="CT1939">
        <v>-24.2</v>
      </c>
      <c r="CU1939">
        <v>97</v>
      </c>
      <c r="CV1939">
        <v>0.16</v>
      </c>
      <c r="CW1939">
        <v>46</v>
      </c>
      <c r="CX1939" t="s">
        <v>753</v>
      </c>
    </row>
    <row r="1940" spans="1:102" x14ac:dyDescent="0.3">
      <c r="A1940" t="str">
        <f>HYPERLINK("https://webapp.icbf.com/v2/app/bull-search/view/1196691015","S3067")</f>
        <v>S3067</v>
      </c>
      <c r="B1940" t="s">
        <v>7646</v>
      </c>
      <c r="C1940" t="s">
        <v>7647</v>
      </c>
      <c r="D1940" s="1">
        <v>41088</v>
      </c>
      <c r="E1940" t="s">
        <v>92</v>
      </c>
      <c r="F1940">
        <v>100</v>
      </c>
      <c r="G1940" t="s">
        <v>109</v>
      </c>
      <c r="H1940">
        <v>74.83</v>
      </c>
      <c r="I1940">
        <v>65</v>
      </c>
      <c r="J1940">
        <v>45.13</v>
      </c>
      <c r="K1940">
        <v>83</v>
      </c>
      <c r="L1940">
        <v>15.05</v>
      </c>
      <c r="M1940">
        <v>77</v>
      </c>
      <c r="N1940">
        <v>11.3</v>
      </c>
      <c r="O1940">
        <v>53</v>
      </c>
      <c r="P1940">
        <v>-8.61</v>
      </c>
      <c r="Q1940">
        <v>28</v>
      </c>
      <c r="R1940">
        <v>7.26</v>
      </c>
      <c r="S1940">
        <v>60</v>
      </c>
      <c r="T1940">
        <v>2.2799999999999998</v>
      </c>
      <c r="U1940">
        <v>24</v>
      </c>
      <c r="V1940">
        <v>2.42</v>
      </c>
      <c r="W1940">
        <v>19</v>
      </c>
      <c r="X1940" t="s">
        <v>110</v>
      </c>
      <c r="Y1940" t="s">
        <v>411</v>
      </c>
      <c r="Z1940" t="s">
        <v>96</v>
      </c>
      <c r="AA1940" t="s">
        <v>401</v>
      </c>
      <c r="AB1940" t="s">
        <v>7648</v>
      </c>
      <c r="AC1940">
        <v>0</v>
      </c>
      <c r="AD1940">
        <v>0</v>
      </c>
      <c r="AE1940">
        <v>83</v>
      </c>
      <c r="AF1940">
        <v>551.55999999999995</v>
      </c>
      <c r="AG1940">
        <v>12.74</v>
      </c>
      <c r="AH1940">
        <v>11.61</v>
      </c>
      <c r="AI1940">
        <v>-0.13</v>
      </c>
      <c r="AJ1940">
        <v>-0.11</v>
      </c>
      <c r="AK1940">
        <v>77</v>
      </c>
      <c r="AL1940">
        <v>0</v>
      </c>
      <c r="AM1940">
        <v>0</v>
      </c>
      <c r="AN1940">
        <v>0.69</v>
      </c>
      <c r="AO1940">
        <v>1.91</v>
      </c>
      <c r="AP1940">
        <v>9</v>
      </c>
      <c r="AQ1940">
        <v>0</v>
      </c>
      <c r="AR1940">
        <v>7.58</v>
      </c>
      <c r="AS1940">
        <v>33</v>
      </c>
      <c r="AT1940">
        <v>3.14</v>
      </c>
      <c r="AU1940">
        <v>88</v>
      </c>
      <c r="AV1940">
        <v>-1.05</v>
      </c>
      <c r="AW1940">
        <v>53</v>
      </c>
      <c r="AX1940">
        <v>-0.03</v>
      </c>
      <c r="AY1940">
        <v>34</v>
      </c>
      <c r="AZ1940">
        <v>5.4</v>
      </c>
      <c r="BA1940">
        <v>24</v>
      </c>
      <c r="BB1940">
        <v>4.7</v>
      </c>
      <c r="BC1940">
        <v>20</v>
      </c>
      <c r="BD1940">
        <v>0</v>
      </c>
      <c r="BE1940">
        <v>-0.03</v>
      </c>
      <c r="BF1940">
        <v>-0.11</v>
      </c>
      <c r="BG1940">
        <v>88</v>
      </c>
      <c r="BH1940">
        <v>-0.08</v>
      </c>
      <c r="BI1940">
        <v>-17.07</v>
      </c>
      <c r="BJ1940">
        <v>0</v>
      </c>
      <c r="BK1940">
        <v>0</v>
      </c>
      <c r="BL1940">
        <v>1.86</v>
      </c>
      <c r="BM1940">
        <v>-2.88</v>
      </c>
      <c r="BN1940">
        <v>-1.1000000000000001</v>
      </c>
      <c r="BO1940">
        <v>1.5</v>
      </c>
      <c r="BP1940">
        <v>1.17</v>
      </c>
      <c r="BQ1940">
        <v>1.82</v>
      </c>
      <c r="BR1940">
        <v>0.33</v>
      </c>
      <c r="BS1940">
        <v>2.0499999999999998</v>
      </c>
      <c r="BT1940">
        <v>0.01</v>
      </c>
      <c r="BU1940">
        <v>2.63</v>
      </c>
      <c r="BV1940">
        <v>2.5099999999999998</v>
      </c>
      <c r="BW1940">
        <v>3.2</v>
      </c>
      <c r="BX1940">
        <v>2.98</v>
      </c>
      <c r="BY1940">
        <v>1.1200000000000001</v>
      </c>
      <c r="BZ1940">
        <v>0.24</v>
      </c>
      <c r="CA1940">
        <v>2.62</v>
      </c>
      <c r="CB1940">
        <v>2.39</v>
      </c>
      <c r="CC1940">
        <v>1.74</v>
      </c>
      <c r="CD1940">
        <v>-1.82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-2.4</v>
      </c>
      <c r="CK1940">
        <v>28</v>
      </c>
      <c r="CL1940">
        <v>-1.1000000000000001</v>
      </c>
      <c r="CM1940">
        <v>28</v>
      </c>
      <c r="CN1940">
        <v>-0.5</v>
      </c>
      <c r="CO1940">
        <v>28</v>
      </c>
      <c r="CP1940">
        <v>1.3</v>
      </c>
      <c r="CQ1940">
        <v>25</v>
      </c>
      <c r="CR1940">
        <v>0</v>
      </c>
      <c r="CS1940">
        <v>0</v>
      </c>
      <c r="CT1940">
        <v>10.7</v>
      </c>
      <c r="CU1940">
        <v>24</v>
      </c>
      <c r="CV1940">
        <v>0.28000000000000003</v>
      </c>
      <c r="CW1940">
        <v>9</v>
      </c>
      <c r="CX1940" t="s">
        <v>355</v>
      </c>
    </row>
    <row r="1941" spans="1:102" x14ac:dyDescent="0.3">
      <c r="A1941" t="str">
        <f>HYPERLINK("https://webapp.icbf.com/v2/app/bull-search/view/440199867","ABU")</f>
        <v>ABU</v>
      </c>
      <c r="B1941" t="s">
        <v>12560</v>
      </c>
      <c r="C1941" t="s">
        <v>12561</v>
      </c>
      <c r="D1941" s="1">
        <v>38079</v>
      </c>
      <c r="E1941" t="s">
        <v>108</v>
      </c>
      <c r="F1941">
        <v>25</v>
      </c>
      <c r="G1941" t="s">
        <v>93</v>
      </c>
      <c r="H1941">
        <v>74.75</v>
      </c>
      <c r="I1941">
        <v>91</v>
      </c>
      <c r="J1941">
        <v>-63.67</v>
      </c>
      <c r="K1941">
        <v>98</v>
      </c>
      <c r="L1941">
        <v>100.36</v>
      </c>
      <c r="M1941">
        <v>84</v>
      </c>
      <c r="N1941">
        <v>27.4</v>
      </c>
      <c r="O1941">
        <v>91</v>
      </c>
      <c r="P1941">
        <v>-2.27</v>
      </c>
      <c r="Q1941">
        <v>98</v>
      </c>
      <c r="R1941">
        <v>12.89</v>
      </c>
      <c r="S1941">
        <v>86</v>
      </c>
      <c r="T1941">
        <v>2.2799999999999998</v>
      </c>
      <c r="U1941">
        <v>93</v>
      </c>
      <c r="V1941">
        <v>-2.2400000000000002</v>
      </c>
      <c r="W1941">
        <v>87</v>
      </c>
      <c r="X1941" t="s">
        <v>102</v>
      </c>
      <c r="Y1941" t="s">
        <v>1164</v>
      </c>
      <c r="Z1941" t="s">
        <v>96</v>
      </c>
      <c r="AA1941" t="s">
        <v>2574</v>
      </c>
      <c r="AB1941" t="s">
        <v>12562</v>
      </c>
      <c r="AC1941">
        <v>170</v>
      </c>
      <c r="AD1941">
        <v>112</v>
      </c>
      <c r="AE1941">
        <v>98</v>
      </c>
      <c r="AF1941">
        <v>-299.52</v>
      </c>
      <c r="AG1941">
        <v>-15.67</v>
      </c>
      <c r="AH1941">
        <v>-9.8699999999999992</v>
      </c>
      <c r="AI1941">
        <v>-7.0000000000000007E-2</v>
      </c>
      <c r="AJ1941">
        <v>0.01</v>
      </c>
      <c r="AK1941">
        <v>84</v>
      </c>
      <c r="AL1941">
        <v>267</v>
      </c>
      <c r="AM1941">
        <v>173</v>
      </c>
      <c r="AN1941">
        <v>-6.54</v>
      </c>
      <c r="AO1941">
        <v>1.45</v>
      </c>
      <c r="AP1941">
        <v>388</v>
      </c>
      <c r="AQ1941">
        <v>4</v>
      </c>
      <c r="AR1941">
        <v>6.51</v>
      </c>
      <c r="AS1941">
        <v>81</v>
      </c>
      <c r="AT1941">
        <v>2.76</v>
      </c>
      <c r="AU1941">
        <v>92</v>
      </c>
      <c r="AV1941">
        <v>-2.78</v>
      </c>
      <c r="AW1941">
        <v>98</v>
      </c>
      <c r="AX1941">
        <v>-0.3</v>
      </c>
      <c r="AY1941">
        <v>92</v>
      </c>
      <c r="AZ1941">
        <v>7.28</v>
      </c>
      <c r="BA1941">
        <v>75</v>
      </c>
      <c r="BB1941">
        <v>4.99</v>
      </c>
      <c r="BC1941">
        <v>81</v>
      </c>
      <c r="BD1941">
        <v>-0.02</v>
      </c>
      <c r="BE1941">
        <v>-7.0000000000000007E-2</v>
      </c>
      <c r="BF1941">
        <v>-0.13</v>
      </c>
      <c r="BG1941">
        <v>92</v>
      </c>
      <c r="BH1941">
        <v>-0.36</v>
      </c>
      <c r="BI1941">
        <v>-34.409999999999997</v>
      </c>
      <c r="BJ1941">
        <v>31</v>
      </c>
      <c r="BK1941">
        <v>18</v>
      </c>
      <c r="BL1941">
        <v>-2.21</v>
      </c>
      <c r="BM1941">
        <v>2.66</v>
      </c>
      <c r="BN1941">
        <v>-2.0499999999999998</v>
      </c>
      <c r="BO1941">
        <v>-3.14</v>
      </c>
      <c r="BP1941">
        <v>0.23</v>
      </c>
      <c r="BQ1941">
        <v>2.56</v>
      </c>
      <c r="BR1941">
        <v>-0.95</v>
      </c>
      <c r="BS1941">
        <v>-0.56000000000000005</v>
      </c>
      <c r="BT1941">
        <v>0.11</v>
      </c>
      <c r="BU1941">
        <v>-0.24</v>
      </c>
      <c r="BV1941">
        <v>-2.25</v>
      </c>
      <c r="BW1941">
        <v>-1.74</v>
      </c>
      <c r="BX1941">
        <v>1.03</v>
      </c>
      <c r="BY1941">
        <v>-2.0099999999999998</v>
      </c>
      <c r="BZ1941">
        <v>-1.58</v>
      </c>
      <c r="CA1941">
        <v>-1.49</v>
      </c>
      <c r="CB1941">
        <v>-1.9</v>
      </c>
      <c r="CC1941">
        <v>-0.52</v>
      </c>
      <c r="CD1941">
        <v>2.84</v>
      </c>
      <c r="CE1941">
        <v>-2.15</v>
      </c>
      <c r="CF1941">
        <v>-1.46</v>
      </c>
      <c r="CG1941">
        <v>0</v>
      </c>
      <c r="CH1941">
        <v>-1.75</v>
      </c>
      <c r="CI1941">
        <v>0</v>
      </c>
      <c r="CJ1941">
        <v>-2.2000000000000002</v>
      </c>
      <c r="CK1941">
        <v>98</v>
      </c>
      <c r="CL1941">
        <v>0.03</v>
      </c>
      <c r="CM1941">
        <v>98</v>
      </c>
      <c r="CN1941">
        <v>-0.02</v>
      </c>
      <c r="CO1941">
        <v>98</v>
      </c>
      <c r="CP1941">
        <v>1.5</v>
      </c>
      <c r="CQ1941">
        <v>95</v>
      </c>
      <c r="CR1941">
        <v>0</v>
      </c>
      <c r="CS1941">
        <v>0</v>
      </c>
      <c r="CT1941">
        <v>10.7</v>
      </c>
      <c r="CU1941">
        <v>93</v>
      </c>
      <c r="CV1941">
        <v>0.05</v>
      </c>
      <c r="CW1941">
        <v>45</v>
      </c>
      <c r="CX1941" t="s">
        <v>12563</v>
      </c>
    </row>
    <row r="1942" spans="1:102" x14ac:dyDescent="0.3">
      <c r="A1942" t="str">
        <f>HYPERLINK("https://webapp.icbf.com/v2/app/bull-search/view/550982389","S629")</f>
        <v>S629</v>
      </c>
      <c r="B1942" t="s">
        <v>7288</v>
      </c>
      <c r="C1942" t="s">
        <v>7289</v>
      </c>
      <c r="D1942" s="1">
        <v>36313</v>
      </c>
      <c r="E1942" t="s">
        <v>227</v>
      </c>
      <c r="F1942">
        <v>0</v>
      </c>
      <c r="G1942" t="s">
        <v>109</v>
      </c>
      <c r="H1942">
        <v>74.66</v>
      </c>
      <c r="I1942">
        <v>80</v>
      </c>
      <c r="J1942">
        <v>4.47</v>
      </c>
      <c r="K1942">
        <v>93</v>
      </c>
      <c r="L1942">
        <v>39.53</v>
      </c>
      <c r="M1942">
        <v>88</v>
      </c>
      <c r="N1942">
        <v>21.56</v>
      </c>
      <c r="O1942">
        <v>63</v>
      </c>
      <c r="P1942">
        <v>-59.5</v>
      </c>
      <c r="Q1942">
        <v>58</v>
      </c>
      <c r="R1942">
        <v>-2.13</v>
      </c>
      <c r="S1942">
        <v>67</v>
      </c>
      <c r="T1942">
        <v>71.180000000000007</v>
      </c>
      <c r="U1942">
        <v>55</v>
      </c>
      <c r="V1942">
        <v>-0.45</v>
      </c>
      <c r="W1942">
        <v>62</v>
      </c>
      <c r="X1942" t="s">
        <v>276</v>
      </c>
      <c r="Y1942" t="s">
        <v>1122</v>
      </c>
      <c r="Z1942">
        <v>0</v>
      </c>
      <c r="AA1942" t="s">
        <v>7290</v>
      </c>
      <c r="AB1942" t="s">
        <v>7291</v>
      </c>
      <c r="AC1942">
        <v>0</v>
      </c>
      <c r="AD1942">
        <v>0</v>
      </c>
      <c r="AE1942">
        <v>93</v>
      </c>
      <c r="AF1942">
        <v>-271</v>
      </c>
      <c r="AG1942">
        <v>2.86</v>
      </c>
      <c r="AH1942">
        <v>-4.4000000000000004</v>
      </c>
      <c r="AI1942">
        <v>0.25</v>
      </c>
      <c r="AJ1942">
        <v>0.09</v>
      </c>
      <c r="AK1942">
        <v>88</v>
      </c>
      <c r="AL1942">
        <v>0</v>
      </c>
      <c r="AM1942">
        <v>0</v>
      </c>
      <c r="AN1942">
        <v>-0.82</v>
      </c>
      <c r="AO1942">
        <v>2.35</v>
      </c>
      <c r="AP1942">
        <v>22</v>
      </c>
      <c r="AQ1942">
        <v>0</v>
      </c>
      <c r="AR1942">
        <v>2.31</v>
      </c>
      <c r="AS1942">
        <v>48</v>
      </c>
      <c r="AT1942">
        <v>0.96</v>
      </c>
      <c r="AU1942">
        <v>63</v>
      </c>
      <c r="AV1942">
        <v>-0.27</v>
      </c>
      <c r="AW1942">
        <v>78</v>
      </c>
      <c r="AX1942">
        <v>0.11</v>
      </c>
      <c r="AY1942">
        <v>47</v>
      </c>
      <c r="AZ1942">
        <v>6.98</v>
      </c>
      <c r="BA1942">
        <v>43</v>
      </c>
      <c r="BB1942">
        <v>5.63</v>
      </c>
      <c r="BC1942">
        <v>41</v>
      </c>
      <c r="BD1942">
        <v>-0.09</v>
      </c>
      <c r="BE1942">
        <v>0.01</v>
      </c>
      <c r="BF1942">
        <v>0.18</v>
      </c>
      <c r="BG1942">
        <v>74</v>
      </c>
      <c r="BH1942">
        <v>-0.02</v>
      </c>
      <c r="BI1942">
        <v>-0.85</v>
      </c>
      <c r="BJ1942">
        <v>2</v>
      </c>
      <c r="BK1942">
        <v>2</v>
      </c>
      <c r="BL1942">
        <v>-0.23</v>
      </c>
      <c r="BM1942">
        <v>-0.65</v>
      </c>
      <c r="BN1942">
        <v>1.34</v>
      </c>
      <c r="BO1942">
        <v>2.0299999999999998</v>
      </c>
      <c r="BP1942">
        <v>-0.96</v>
      </c>
      <c r="BQ1942">
        <v>-3.74</v>
      </c>
      <c r="BR1942">
        <v>2.2200000000000002</v>
      </c>
      <c r="BS1942">
        <v>6.05</v>
      </c>
      <c r="BT1942">
        <v>-1.28</v>
      </c>
      <c r="BU1942">
        <v>2</v>
      </c>
      <c r="BV1942">
        <v>1.86</v>
      </c>
      <c r="BW1942">
        <v>-0.35</v>
      </c>
      <c r="BX1942">
        <v>-1.32</v>
      </c>
      <c r="BY1942">
        <v>0.1</v>
      </c>
      <c r="BZ1942">
        <v>1.48</v>
      </c>
      <c r="CA1942">
        <v>3.08</v>
      </c>
      <c r="CB1942">
        <v>2.02</v>
      </c>
      <c r="CC1942">
        <v>3.98</v>
      </c>
      <c r="CD1942">
        <v>-1.94</v>
      </c>
      <c r="CE1942">
        <v>2.17</v>
      </c>
      <c r="CF1942">
        <v>0.39</v>
      </c>
      <c r="CG1942">
        <v>0</v>
      </c>
      <c r="CH1942">
        <v>0.17</v>
      </c>
      <c r="CI1942">
        <v>0</v>
      </c>
      <c r="CJ1942">
        <v>-30</v>
      </c>
      <c r="CK1942">
        <v>60</v>
      </c>
      <c r="CL1942">
        <v>-1.38</v>
      </c>
      <c r="CM1942">
        <v>57</v>
      </c>
      <c r="CN1942">
        <v>-0.36</v>
      </c>
      <c r="CO1942">
        <v>53</v>
      </c>
      <c r="CP1942">
        <v>-53.8</v>
      </c>
      <c r="CQ1942">
        <v>61</v>
      </c>
      <c r="CR1942">
        <v>0</v>
      </c>
      <c r="CS1942">
        <v>0</v>
      </c>
      <c r="CT1942">
        <v>-82.4</v>
      </c>
      <c r="CU1942">
        <v>55</v>
      </c>
      <c r="CV1942">
        <v>-0.28000000000000003</v>
      </c>
      <c r="CW1942">
        <v>37</v>
      </c>
      <c r="CX1942" t="s">
        <v>788</v>
      </c>
    </row>
    <row r="1943" spans="1:102" x14ac:dyDescent="0.3">
      <c r="A1943" t="str">
        <f>HYPERLINK("https://webapp.icbf.com/v2/app/bull-search/view/547761128","LPO")</f>
        <v>LPO</v>
      </c>
      <c r="B1943" t="s">
        <v>11742</v>
      </c>
      <c r="C1943" t="s">
        <v>11743</v>
      </c>
      <c r="D1943" s="1">
        <v>37200</v>
      </c>
      <c r="E1943" t="s">
        <v>108</v>
      </c>
      <c r="F1943">
        <v>0</v>
      </c>
      <c r="G1943" t="s">
        <v>93</v>
      </c>
      <c r="H1943">
        <v>74.63</v>
      </c>
      <c r="I1943">
        <v>89</v>
      </c>
      <c r="J1943">
        <v>-51.71</v>
      </c>
      <c r="K1943">
        <v>97</v>
      </c>
      <c r="L1943">
        <v>125.33</v>
      </c>
      <c r="M1943">
        <v>85</v>
      </c>
      <c r="N1943">
        <v>9.07</v>
      </c>
      <c r="O1943">
        <v>84</v>
      </c>
      <c r="P1943">
        <v>-23.32</v>
      </c>
      <c r="Q1943">
        <v>92</v>
      </c>
      <c r="R1943">
        <v>-4.0999999999999996</v>
      </c>
      <c r="S1943">
        <v>77</v>
      </c>
      <c r="T1943">
        <v>27.22</v>
      </c>
      <c r="U1943">
        <v>90</v>
      </c>
      <c r="V1943">
        <v>-7.86</v>
      </c>
      <c r="W1943">
        <v>76</v>
      </c>
      <c r="X1943" t="s">
        <v>251</v>
      </c>
      <c r="Y1943" t="s">
        <v>270</v>
      </c>
      <c r="Z1943" t="s">
        <v>96</v>
      </c>
      <c r="AA1943" t="s">
        <v>4369</v>
      </c>
      <c r="AB1943" t="s">
        <v>11744</v>
      </c>
      <c r="AC1943">
        <v>110</v>
      </c>
      <c r="AD1943">
        <v>45</v>
      </c>
      <c r="AE1943">
        <v>97</v>
      </c>
      <c r="AF1943">
        <v>-185.87</v>
      </c>
      <c r="AG1943">
        <v>-12.38</v>
      </c>
      <c r="AH1943">
        <v>-7.26</v>
      </c>
      <c r="AI1943">
        <v>-0.09</v>
      </c>
      <c r="AJ1943">
        <v>-0.02</v>
      </c>
      <c r="AK1943">
        <v>85</v>
      </c>
      <c r="AL1943">
        <v>157</v>
      </c>
      <c r="AM1943">
        <v>64</v>
      </c>
      <c r="AN1943">
        <v>-7.19</v>
      </c>
      <c r="AO1943">
        <v>2.8</v>
      </c>
      <c r="AP1943">
        <v>160</v>
      </c>
      <c r="AQ1943">
        <v>1</v>
      </c>
      <c r="AR1943">
        <v>5.53</v>
      </c>
      <c r="AS1943">
        <v>79</v>
      </c>
      <c r="AT1943">
        <v>2.4900000000000002</v>
      </c>
      <c r="AU1943">
        <v>83</v>
      </c>
      <c r="AV1943">
        <v>0.38</v>
      </c>
      <c r="AW1943">
        <v>94</v>
      </c>
      <c r="AX1943">
        <v>-0.5</v>
      </c>
      <c r="AY1943">
        <v>84</v>
      </c>
      <c r="AZ1943">
        <v>6.63</v>
      </c>
      <c r="BA1943">
        <v>61</v>
      </c>
      <c r="BB1943">
        <v>4.78</v>
      </c>
      <c r="BC1943">
        <v>68</v>
      </c>
      <c r="BD1943">
        <v>-0.01</v>
      </c>
      <c r="BE1943">
        <v>-0.01</v>
      </c>
      <c r="BF1943">
        <v>0.13</v>
      </c>
      <c r="BG1943">
        <v>87</v>
      </c>
      <c r="BH1943">
        <v>-0.3</v>
      </c>
      <c r="BI1943">
        <v>-9.35</v>
      </c>
      <c r="BJ1943">
        <v>5</v>
      </c>
      <c r="BK1943">
        <v>4</v>
      </c>
      <c r="BL1943">
        <v>-3.31</v>
      </c>
      <c r="BM1943">
        <v>0.63</v>
      </c>
      <c r="BN1943">
        <v>-3.3</v>
      </c>
      <c r="BO1943">
        <v>-3.08</v>
      </c>
      <c r="BP1943">
        <v>1.57</v>
      </c>
      <c r="BQ1943">
        <v>-0.98</v>
      </c>
      <c r="BR1943">
        <v>-0.25</v>
      </c>
      <c r="BS1943">
        <v>-1.5</v>
      </c>
      <c r="BT1943">
        <v>0.26</v>
      </c>
      <c r="BU1943">
        <v>-3.91</v>
      </c>
      <c r="BV1943">
        <v>-3.87</v>
      </c>
      <c r="BW1943">
        <v>-3.55</v>
      </c>
      <c r="BX1943">
        <v>-3.44</v>
      </c>
      <c r="BY1943">
        <v>-1.54</v>
      </c>
      <c r="BZ1943">
        <v>0.08</v>
      </c>
      <c r="CA1943">
        <v>-3.73</v>
      </c>
      <c r="CB1943">
        <v>-3.61</v>
      </c>
      <c r="CC1943">
        <v>-1.91</v>
      </c>
      <c r="CD1943">
        <v>2.84</v>
      </c>
      <c r="CE1943">
        <v>-2.91</v>
      </c>
      <c r="CF1943">
        <v>-3.58</v>
      </c>
      <c r="CG1943">
        <v>0</v>
      </c>
      <c r="CH1943">
        <v>-1.74</v>
      </c>
      <c r="CI1943">
        <v>0</v>
      </c>
      <c r="CJ1943">
        <v>-12.7</v>
      </c>
      <c r="CK1943">
        <v>93</v>
      </c>
      <c r="CL1943">
        <v>-0.03</v>
      </c>
      <c r="CM1943">
        <v>92</v>
      </c>
      <c r="CN1943">
        <v>0.22</v>
      </c>
      <c r="CO1943">
        <v>91</v>
      </c>
      <c r="CP1943">
        <v>-19.399999999999999</v>
      </c>
      <c r="CQ1943">
        <v>91</v>
      </c>
      <c r="CR1943">
        <v>0</v>
      </c>
      <c r="CS1943">
        <v>0</v>
      </c>
      <c r="CT1943">
        <v>-23</v>
      </c>
      <c r="CU1943">
        <v>90</v>
      </c>
      <c r="CV1943">
        <v>-0.16</v>
      </c>
      <c r="CW1943">
        <v>44</v>
      </c>
      <c r="CX1943" t="s">
        <v>11745</v>
      </c>
    </row>
    <row r="1944" spans="1:102" x14ac:dyDescent="0.3">
      <c r="A1944" t="str">
        <f>HYPERLINK("https://webapp.icbf.com/v2/app/bull-search/view/1364113886","F352")</f>
        <v>F352</v>
      </c>
      <c r="B1944" t="s">
        <v>14039</v>
      </c>
      <c r="C1944" t="s">
        <v>14040</v>
      </c>
      <c r="D1944" s="1">
        <v>42282</v>
      </c>
      <c r="E1944" t="s">
        <v>108</v>
      </c>
      <c r="F1944">
        <v>3</v>
      </c>
      <c r="G1944" t="s">
        <v>435</v>
      </c>
      <c r="H1944">
        <v>74.63</v>
      </c>
      <c r="I1944">
        <v>65</v>
      </c>
      <c r="J1944">
        <v>-36.049999999999997</v>
      </c>
      <c r="K1944">
        <v>79</v>
      </c>
      <c r="L1944">
        <v>75.010000000000005</v>
      </c>
      <c r="M1944">
        <v>56</v>
      </c>
      <c r="N1944">
        <v>32.01</v>
      </c>
      <c r="O1944">
        <v>77</v>
      </c>
      <c r="P1944">
        <v>-7.46</v>
      </c>
      <c r="Q1944">
        <v>55</v>
      </c>
      <c r="R1944">
        <v>6.15</v>
      </c>
      <c r="S1944">
        <v>55</v>
      </c>
      <c r="T1944">
        <v>9.31</v>
      </c>
      <c r="U1944">
        <v>47</v>
      </c>
      <c r="V1944">
        <v>-4.34</v>
      </c>
      <c r="W1944">
        <v>49</v>
      </c>
      <c r="X1944" t="s">
        <v>110</v>
      </c>
      <c r="Y1944" t="s">
        <v>2410</v>
      </c>
      <c r="Z1944" t="s">
        <v>96</v>
      </c>
      <c r="AA1944" t="s">
        <v>2411</v>
      </c>
      <c r="AB1944" t="s">
        <v>6218</v>
      </c>
      <c r="AC1944">
        <v>0</v>
      </c>
      <c r="AD1944">
        <v>0</v>
      </c>
      <c r="AE1944">
        <v>79</v>
      </c>
      <c r="AF1944">
        <v>-323.39</v>
      </c>
      <c r="AG1944">
        <v>-8.23</v>
      </c>
      <c r="AH1944">
        <v>-8.17</v>
      </c>
      <c r="AI1944">
        <v>0.08</v>
      </c>
      <c r="AJ1944">
        <v>0.06</v>
      </c>
      <c r="AK1944">
        <v>56</v>
      </c>
      <c r="AL1944">
        <v>0</v>
      </c>
      <c r="AM1944">
        <v>0</v>
      </c>
      <c r="AN1944">
        <v>-4.99</v>
      </c>
      <c r="AO1944">
        <v>0.98</v>
      </c>
      <c r="AP1944">
        <v>177</v>
      </c>
      <c r="AQ1944">
        <v>0</v>
      </c>
      <c r="AR1944">
        <v>5.12</v>
      </c>
      <c r="AS1944">
        <v>67</v>
      </c>
      <c r="AT1944">
        <v>2.21</v>
      </c>
      <c r="AU1944">
        <v>83</v>
      </c>
      <c r="AV1944">
        <v>-2.59</v>
      </c>
      <c r="AW1944">
        <v>94</v>
      </c>
      <c r="AX1944">
        <v>-0.49</v>
      </c>
      <c r="AY1944">
        <v>72</v>
      </c>
      <c r="AZ1944">
        <v>6.96</v>
      </c>
      <c r="BA1944">
        <v>39</v>
      </c>
      <c r="BB1944">
        <v>5.35</v>
      </c>
      <c r="BC1944">
        <v>35</v>
      </c>
      <c r="BD1944">
        <v>0.01</v>
      </c>
      <c r="BE1944">
        <v>-0.02</v>
      </c>
      <c r="BF1944">
        <v>-0.12</v>
      </c>
      <c r="BG1944">
        <v>64</v>
      </c>
      <c r="BH1944">
        <v>-0.14000000000000001</v>
      </c>
      <c r="BI1944">
        <v>-2.21</v>
      </c>
      <c r="BJ1944">
        <v>0</v>
      </c>
      <c r="BK1944">
        <v>0</v>
      </c>
      <c r="BL1944">
        <v>-3.43</v>
      </c>
      <c r="BM1944">
        <v>2.25</v>
      </c>
      <c r="BN1944">
        <v>-1.43</v>
      </c>
      <c r="BO1944">
        <v>-2.52</v>
      </c>
      <c r="BP1944">
        <v>-0.35</v>
      </c>
      <c r="BQ1944">
        <v>1</v>
      </c>
      <c r="BR1944">
        <v>-1.46</v>
      </c>
      <c r="BS1944">
        <v>1.38</v>
      </c>
      <c r="BT1944">
        <v>0.81</v>
      </c>
      <c r="BU1944">
        <v>-1</v>
      </c>
      <c r="BV1944">
        <v>-2.21</v>
      </c>
      <c r="BW1944">
        <v>-2.65</v>
      </c>
      <c r="BX1944">
        <v>-1.08</v>
      </c>
      <c r="BY1944">
        <v>-1.36</v>
      </c>
      <c r="BZ1944">
        <v>0.78</v>
      </c>
      <c r="CA1944">
        <v>-1.1599999999999999</v>
      </c>
      <c r="CB1944">
        <v>-1.98</v>
      </c>
      <c r="CC1944">
        <v>0.28000000000000003</v>
      </c>
      <c r="CD1944">
        <v>2.98</v>
      </c>
      <c r="CE1944">
        <v>-2.33</v>
      </c>
      <c r="CF1944">
        <v>-1.95</v>
      </c>
      <c r="CG1944">
        <v>0</v>
      </c>
      <c r="CH1944">
        <v>-2.56</v>
      </c>
      <c r="CI1944">
        <v>0</v>
      </c>
      <c r="CJ1944">
        <v>-4.3</v>
      </c>
      <c r="CK1944">
        <v>58</v>
      </c>
      <c r="CL1944">
        <v>-0.17</v>
      </c>
      <c r="CM1944">
        <v>51</v>
      </c>
      <c r="CN1944">
        <v>-0.14000000000000001</v>
      </c>
      <c r="CO1944">
        <v>51</v>
      </c>
      <c r="CP1944">
        <v>-9.4</v>
      </c>
      <c r="CQ1944">
        <v>48</v>
      </c>
      <c r="CR1944">
        <v>0</v>
      </c>
      <c r="CS1944">
        <v>0</v>
      </c>
      <c r="CT1944">
        <v>1.2</v>
      </c>
      <c r="CU1944">
        <v>47</v>
      </c>
      <c r="CV1944">
        <v>0.06</v>
      </c>
      <c r="CW1944">
        <v>37</v>
      </c>
      <c r="CX1944" t="s">
        <v>2881</v>
      </c>
    </row>
    <row r="1945" spans="1:102" x14ac:dyDescent="0.3">
      <c r="A1945" t="str">
        <f>HYPERLINK("https://webapp.icbf.com/v2/app/bull-search/view/587096833","OOK")</f>
        <v>OOK</v>
      </c>
      <c r="B1945" t="s">
        <v>12606</v>
      </c>
      <c r="C1945" t="s">
        <v>5459</v>
      </c>
      <c r="D1945" s="1">
        <v>37531</v>
      </c>
      <c r="E1945" t="s">
        <v>92</v>
      </c>
      <c r="F1945">
        <v>100</v>
      </c>
      <c r="G1945" t="s">
        <v>93</v>
      </c>
      <c r="H1945">
        <v>74.62</v>
      </c>
      <c r="I1945">
        <v>98</v>
      </c>
      <c r="J1945">
        <v>66.97</v>
      </c>
      <c r="K1945">
        <v>99</v>
      </c>
      <c r="L1945">
        <v>-52.19</v>
      </c>
      <c r="M1945">
        <v>97</v>
      </c>
      <c r="N1945">
        <v>46.67</v>
      </c>
      <c r="O1945">
        <v>99</v>
      </c>
      <c r="P1945">
        <v>-4.01</v>
      </c>
      <c r="Q1945">
        <v>99</v>
      </c>
      <c r="R1945">
        <v>8.3800000000000008</v>
      </c>
      <c r="S1945">
        <v>98</v>
      </c>
      <c r="T1945">
        <v>6.2</v>
      </c>
      <c r="U1945">
        <v>99</v>
      </c>
      <c r="V1945">
        <v>2.6</v>
      </c>
      <c r="W1945">
        <v>98</v>
      </c>
      <c r="X1945" t="s">
        <v>276</v>
      </c>
      <c r="Y1945" t="s">
        <v>270</v>
      </c>
      <c r="Z1945" t="s">
        <v>96</v>
      </c>
      <c r="AA1945" t="s">
        <v>4023</v>
      </c>
      <c r="AB1945" t="s">
        <v>12607</v>
      </c>
      <c r="AC1945">
        <v>4678</v>
      </c>
      <c r="AD1945">
        <v>1162</v>
      </c>
      <c r="AE1945">
        <v>99</v>
      </c>
      <c r="AF1945">
        <v>353.4</v>
      </c>
      <c r="AG1945">
        <v>9.24</v>
      </c>
      <c r="AH1945">
        <v>13.53</v>
      </c>
      <c r="AI1945">
        <v>-0.08</v>
      </c>
      <c r="AJ1945">
        <v>0.03</v>
      </c>
      <c r="AK1945">
        <v>97</v>
      </c>
      <c r="AL1945">
        <v>5076</v>
      </c>
      <c r="AM1945">
        <v>1411</v>
      </c>
      <c r="AN1945">
        <v>3.02</v>
      </c>
      <c r="AO1945">
        <v>-1.1399999999999999</v>
      </c>
      <c r="AP1945">
        <v>8020</v>
      </c>
      <c r="AQ1945">
        <v>57</v>
      </c>
      <c r="AR1945">
        <v>4.2699999999999996</v>
      </c>
      <c r="AS1945">
        <v>99</v>
      </c>
      <c r="AT1945">
        <v>1.79</v>
      </c>
      <c r="AU1945">
        <v>99</v>
      </c>
      <c r="AV1945">
        <v>-4.0999999999999996</v>
      </c>
      <c r="AW1945">
        <v>99</v>
      </c>
      <c r="AX1945">
        <v>0.17</v>
      </c>
      <c r="AY1945">
        <v>99</v>
      </c>
      <c r="AZ1945">
        <v>6.99</v>
      </c>
      <c r="BA1945">
        <v>98</v>
      </c>
      <c r="BB1945">
        <v>5.3</v>
      </c>
      <c r="BC1945">
        <v>98</v>
      </c>
      <c r="BD1945">
        <v>-0.04</v>
      </c>
      <c r="BE1945">
        <v>-0.04</v>
      </c>
      <c r="BF1945">
        <v>-0.05</v>
      </c>
      <c r="BG1945">
        <v>99</v>
      </c>
      <c r="BH1945">
        <v>0.03</v>
      </c>
      <c r="BI1945">
        <v>-4.93</v>
      </c>
      <c r="BJ1945">
        <v>638</v>
      </c>
      <c r="BK1945">
        <v>184</v>
      </c>
      <c r="BL1945">
        <v>-0.04</v>
      </c>
      <c r="BM1945">
        <v>1.53</v>
      </c>
      <c r="BN1945">
        <v>1.2</v>
      </c>
      <c r="BO1945">
        <v>0.45</v>
      </c>
      <c r="BP1945">
        <v>-3.94</v>
      </c>
      <c r="BQ1945">
        <v>2.14</v>
      </c>
      <c r="BR1945">
        <v>4.05</v>
      </c>
      <c r="BS1945">
        <v>-1.84</v>
      </c>
      <c r="BT1945">
        <v>-3.49</v>
      </c>
      <c r="BU1945">
        <v>1.1200000000000001</v>
      </c>
      <c r="BV1945">
        <v>1.02</v>
      </c>
      <c r="BW1945">
        <v>0.27</v>
      </c>
      <c r="BX1945">
        <v>0</v>
      </c>
      <c r="BY1945">
        <v>2.5099999999999998</v>
      </c>
      <c r="BZ1945">
        <v>-2.27</v>
      </c>
      <c r="CA1945">
        <v>0.4</v>
      </c>
      <c r="CB1945">
        <v>1.07</v>
      </c>
      <c r="CC1945">
        <v>-0.97</v>
      </c>
      <c r="CD1945">
        <v>0.34</v>
      </c>
      <c r="CE1945">
        <v>0.47</v>
      </c>
      <c r="CF1945">
        <v>-0.14000000000000001</v>
      </c>
      <c r="CG1945">
        <v>0</v>
      </c>
      <c r="CH1945">
        <v>2.5099999999999998</v>
      </c>
      <c r="CI1945">
        <v>0</v>
      </c>
      <c r="CJ1945">
        <v>0.7</v>
      </c>
      <c r="CK1945">
        <v>99</v>
      </c>
      <c r="CL1945">
        <v>-0.85</v>
      </c>
      <c r="CM1945">
        <v>99</v>
      </c>
      <c r="CN1945">
        <v>-0.36</v>
      </c>
      <c r="CO1945">
        <v>99</v>
      </c>
      <c r="CP1945">
        <v>-2.8</v>
      </c>
      <c r="CQ1945">
        <v>99</v>
      </c>
      <c r="CR1945">
        <v>0</v>
      </c>
      <c r="CS1945">
        <v>0</v>
      </c>
      <c r="CT1945">
        <v>5.4</v>
      </c>
      <c r="CU1945">
        <v>99</v>
      </c>
      <c r="CV1945">
        <v>0.16</v>
      </c>
      <c r="CW1945">
        <v>47</v>
      </c>
      <c r="CX1945" t="s">
        <v>3035</v>
      </c>
    </row>
    <row r="1946" spans="1:102" x14ac:dyDescent="0.3">
      <c r="A1946" t="str">
        <f>HYPERLINK("https://webapp.icbf.com/v2/app/bull-search/view/956530190","S1303")</f>
        <v>S1303</v>
      </c>
      <c r="B1946" t="s">
        <v>15529</v>
      </c>
      <c r="C1946" t="s">
        <v>15530</v>
      </c>
      <c r="D1946" s="1">
        <v>40432</v>
      </c>
      <c r="E1946" t="s">
        <v>92</v>
      </c>
      <c r="F1946">
        <v>100</v>
      </c>
      <c r="G1946" t="s">
        <v>109</v>
      </c>
      <c r="H1946">
        <v>74.58</v>
      </c>
      <c r="I1946">
        <v>64</v>
      </c>
      <c r="J1946">
        <v>13.47</v>
      </c>
      <c r="K1946">
        <v>83</v>
      </c>
      <c r="L1946">
        <v>16.600000000000001</v>
      </c>
      <c r="M1946">
        <v>80</v>
      </c>
      <c r="N1946">
        <v>42.14</v>
      </c>
      <c r="O1946">
        <v>47</v>
      </c>
      <c r="P1946">
        <v>-3.28</v>
      </c>
      <c r="Q1946">
        <v>23</v>
      </c>
      <c r="R1946">
        <v>2.13</v>
      </c>
      <c r="S1946">
        <v>56</v>
      </c>
      <c r="T1946">
        <v>-0.38</v>
      </c>
      <c r="U1946">
        <v>16</v>
      </c>
      <c r="V1946">
        <v>3.9</v>
      </c>
      <c r="W1946">
        <v>13</v>
      </c>
      <c r="X1946" t="s">
        <v>288</v>
      </c>
      <c r="Y1946" t="s">
        <v>342</v>
      </c>
      <c r="Z1946" t="s">
        <v>96</v>
      </c>
      <c r="AA1946" t="s">
        <v>5937</v>
      </c>
      <c r="AB1946" t="s">
        <v>15531</v>
      </c>
      <c r="AC1946">
        <v>0</v>
      </c>
      <c r="AD1946">
        <v>0</v>
      </c>
      <c r="AE1946">
        <v>83</v>
      </c>
      <c r="AF1946">
        <v>552.5</v>
      </c>
      <c r="AG1946">
        <v>4.46</v>
      </c>
      <c r="AH1946">
        <v>9.17</v>
      </c>
      <c r="AI1946">
        <v>-0.26</v>
      </c>
      <c r="AJ1946">
        <v>-0.15</v>
      </c>
      <c r="AK1946">
        <v>80</v>
      </c>
      <c r="AL1946">
        <v>0</v>
      </c>
      <c r="AM1946">
        <v>0</v>
      </c>
      <c r="AN1946">
        <v>-1.22</v>
      </c>
      <c r="AO1946">
        <v>0.1</v>
      </c>
      <c r="AP1946">
        <v>7</v>
      </c>
      <c r="AQ1946">
        <v>0</v>
      </c>
      <c r="AR1946">
        <v>3.88</v>
      </c>
      <c r="AS1946">
        <v>16</v>
      </c>
      <c r="AT1946">
        <v>1.94</v>
      </c>
      <c r="AU1946">
        <v>87</v>
      </c>
      <c r="AV1946">
        <v>-2.91</v>
      </c>
      <c r="AW1946">
        <v>47</v>
      </c>
      <c r="AX1946">
        <v>-0.52</v>
      </c>
      <c r="AY1946">
        <v>22</v>
      </c>
      <c r="AZ1946">
        <v>6.34</v>
      </c>
      <c r="BA1946">
        <v>15</v>
      </c>
      <c r="BB1946">
        <v>4.83</v>
      </c>
      <c r="BC1946">
        <v>14</v>
      </c>
      <c r="BD1946">
        <v>0</v>
      </c>
      <c r="BE1946">
        <v>-0.01</v>
      </c>
      <c r="BF1946">
        <v>-0.03</v>
      </c>
      <c r="BG1946">
        <v>89</v>
      </c>
      <c r="BH1946">
        <v>0.09</v>
      </c>
      <c r="BI1946">
        <v>-2.17</v>
      </c>
      <c r="BJ1946">
        <v>0</v>
      </c>
      <c r="BK1946">
        <v>0</v>
      </c>
      <c r="BL1946">
        <v>1.57</v>
      </c>
      <c r="BM1946">
        <v>-1.62</v>
      </c>
      <c r="BN1946">
        <v>-0.73</v>
      </c>
      <c r="BO1946">
        <v>0.62</v>
      </c>
      <c r="BP1946">
        <v>4.28</v>
      </c>
      <c r="BQ1946">
        <v>0.7</v>
      </c>
      <c r="BR1946">
        <v>-0.33</v>
      </c>
      <c r="BS1946">
        <v>1.4</v>
      </c>
      <c r="BT1946">
        <v>-0.02</v>
      </c>
      <c r="BU1946">
        <v>1.9</v>
      </c>
      <c r="BV1946">
        <v>2.23</v>
      </c>
      <c r="BW1946">
        <v>1.18</v>
      </c>
      <c r="BX1946">
        <v>1.99</v>
      </c>
      <c r="BY1946">
        <v>2.04</v>
      </c>
      <c r="BZ1946">
        <v>-1.63</v>
      </c>
      <c r="CA1946">
        <v>1.83</v>
      </c>
      <c r="CB1946">
        <v>1.5</v>
      </c>
      <c r="CC1946">
        <v>1.54</v>
      </c>
      <c r="CD1946">
        <v>-0.52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0.9</v>
      </c>
      <c r="CK1946">
        <v>26</v>
      </c>
      <c r="CL1946">
        <v>-1.1200000000000001</v>
      </c>
      <c r="CM1946">
        <v>19</v>
      </c>
      <c r="CN1946">
        <v>-0.56999999999999995</v>
      </c>
      <c r="CO1946">
        <v>18</v>
      </c>
      <c r="CP1946">
        <v>2.4</v>
      </c>
      <c r="CQ1946">
        <v>18</v>
      </c>
      <c r="CR1946">
        <v>0</v>
      </c>
      <c r="CS1946">
        <v>0</v>
      </c>
      <c r="CT1946">
        <v>14.3</v>
      </c>
      <c r="CU1946">
        <v>16</v>
      </c>
      <c r="CV1946">
        <v>0.37</v>
      </c>
      <c r="CW1946">
        <v>7</v>
      </c>
      <c r="CX1946" t="s">
        <v>350</v>
      </c>
    </row>
    <row r="1947" spans="1:102" x14ac:dyDescent="0.3">
      <c r="A1947" t="str">
        <f>HYPERLINK("https://webapp.icbf.com/v2/app/bull-search/view/1196694656","S2217")</f>
        <v>S2217</v>
      </c>
      <c r="B1947" t="s">
        <v>5843</v>
      </c>
      <c r="C1947" t="s">
        <v>5844</v>
      </c>
      <c r="D1947" s="1">
        <v>41441</v>
      </c>
      <c r="E1947" t="s">
        <v>92</v>
      </c>
      <c r="F1947">
        <v>100</v>
      </c>
      <c r="G1947" t="s">
        <v>109</v>
      </c>
      <c r="H1947">
        <v>74.53</v>
      </c>
      <c r="I1947">
        <v>78</v>
      </c>
      <c r="J1947">
        <v>65.180000000000007</v>
      </c>
      <c r="K1947">
        <v>93</v>
      </c>
      <c r="L1947">
        <v>-32.53</v>
      </c>
      <c r="M1947">
        <v>85</v>
      </c>
      <c r="N1947">
        <v>47.21</v>
      </c>
      <c r="O1947">
        <v>63</v>
      </c>
      <c r="P1947">
        <v>-2.76</v>
      </c>
      <c r="Q1947">
        <v>50</v>
      </c>
      <c r="R1947">
        <v>9.6</v>
      </c>
      <c r="S1947">
        <v>74</v>
      </c>
      <c r="T1947">
        <v>-16.809999999999999</v>
      </c>
      <c r="U1947">
        <v>43</v>
      </c>
      <c r="V1947">
        <v>4.6399999999999997</v>
      </c>
      <c r="W1947">
        <v>59</v>
      </c>
      <c r="X1947" t="s">
        <v>94</v>
      </c>
      <c r="Y1947" t="s">
        <v>367</v>
      </c>
      <c r="Z1947" t="s">
        <v>96</v>
      </c>
      <c r="AA1947" t="s">
        <v>412</v>
      </c>
      <c r="AB1947" t="s">
        <v>5845</v>
      </c>
      <c r="AC1947">
        <v>0</v>
      </c>
      <c r="AD1947">
        <v>0</v>
      </c>
      <c r="AE1947">
        <v>93</v>
      </c>
      <c r="AF1947">
        <v>642.54</v>
      </c>
      <c r="AG1947">
        <v>16.03</v>
      </c>
      <c r="AH1947">
        <v>15.25</v>
      </c>
      <c r="AI1947">
        <v>-0.14000000000000001</v>
      </c>
      <c r="AJ1947">
        <v>-0.1</v>
      </c>
      <c r="AK1947">
        <v>85</v>
      </c>
      <c r="AL1947">
        <v>0</v>
      </c>
      <c r="AM1947">
        <v>0</v>
      </c>
      <c r="AN1947">
        <v>2.89</v>
      </c>
      <c r="AO1947">
        <v>0.31</v>
      </c>
      <c r="AP1947">
        <v>5</v>
      </c>
      <c r="AQ1947">
        <v>0</v>
      </c>
      <c r="AR1947">
        <v>8.01</v>
      </c>
      <c r="AS1947">
        <v>59</v>
      </c>
      <c r="AT1947">
        <v>2.5</v>
      </c>
      <c r="AU1947">
        <v>92</v>
      </c>
      <c r="AV1947">
        <v>-5.26</v>
      </c>
      <c r="AW1947">
        <v>60</v>
      </c>
      <c r="AX1947">
        <v>-0.01</v>
      </c>
      <c r="AY1947">
        <v>46</v>
      </c>
      <c r="AZ1947">
        <v>6.21</v>
      </c>
      <c r="BA1947">
        <v>45</v>
      </c>
      <c r="BB1947">
        <v>4.82</v>
      </c>
      <c r="BC1947">
        <v>42</v>
      </c>
      <c r="BD1947">
        <v>-0.04</v>
      </c>
      <c r="BE1947">
        <v>-0.06</v>
      </c>
      <c r="BF1947">
        <v>-0.04</v>
      </c>
      <c r="BG1947">
        <v>92</v>
      </c>
      <c r="BH1947">
        <v>0.04</v>
      </c>
      <c r="BI1947">
        <v>-10.33</v>
      </c>
      <c r="BJ1947">
        <v>1</v>
      </c>
      <c r="BK1947">
        <v>1</v>
      </c>
      <c r="BL1947">
        <v>2.91</v>
      </c>
      <c r="BM1947">
        <v>0.16</v>
      </c>
      <c r="BN1947">
        <v>1.2</v>
      </c>
      <c r="BO1947">
        <v>1.67</v>
      </c>
      <c r="BP1947">
        <v>-0.67</v>
      </c>
      <c r="BQ1947">
        <v>1.19</v>
      </c>
      <c r="BR1947">
        <v>-1.79</v>
      </c>
      <c r="BS1947">
        <v>3.5</v>
      </c>
      <c r="BT1947">
        <v>2.48</v>
      </c>
      <c r="BU1947">
        <v>2.98</v>
      </c>
      <c r="BV1947">
        <v>2.4700000000000002</v>
      </c>
      <c r="BW1947">
        <v>3.03</v>
      </c>
      <c r="BX1947">
        <v>3.04</v>
      </c>
      <c r="BY1947">
        <v>1.82</v>
      </c>
      <c r="BZ1947">
        <v>-1.82</v>
      </c>
      <c r="CA1947">
        <v>3.33</v>
      </c>
      <c r="CB1947">
        <v>2.5499999999999998</v>
      </c>
      <c r="CC1947">
        <v>2.86</v>
      </c>
      <c r="CD1947">
        <v>-1</v>
      </c>
      <c r="CE1947">
        <v>1.01</v>
      </c>
      <c r="CF1947">
        <v>1.91</v>
      </c>
      <c r="CG1947">
        <v>0</v>
      </c>
      <c r="CH1947">
        <v>1.91</v>
      </c>
      <c r="CI1947">
        <v>0</v>
      </c>
      <c r="CJ1947">
        <v>4</v>
      </c>
      <c r="CK1947">
        <v>51</v>
      </c>
      <c r="CL1947">
        <v>-1.67</v>
      </c>
      <c r="CM1947">
        <v>49</v>
      </c>
      <c r="CN1947">
        <v>-0.62</v>
      </c>
      <c r="CO1947">
        <v>49</v>
      </c>
      <c r="CP1947">
        <v>11.3</v>
      </c>
      <c r="CQ1947">
        <v>45</v>
      </c>
      <c r="CR1947">
        <v>0</v>
      </c>
      <c r="CS1947">
        <v>0</v>
      </c>
      <c r="CT1947">
        <v>36.5</v>
      </c>
      <c r="CU1947">
        <v>43</v>
      </c>
      <c r="CV1947">
        <v>0.34</v>
      </c>
      <c r="CW1947">
        <v>36</v>
      </c>
      <c r="CX1947" t="s">
        <v>353</v>
      </c>
    </row>
    <row r="1948" spans="1:102" x14ac:dyDescent="0.3">
      <c r="A1948" t="str">
        <f>HYPERLINK("https://webapp.icbf.com/v2/app/bull-search/view/720514114","TPF")</f>
        <v>TPF</v>
      </c>
      <c r="B1948" t="s">
        <v>1635</v>
      </c>
      <c r="C1948" t="s">
        <v>1636</v>
      </c>
      <c r="D1948" s="1">
        <v>38594</v>
      </c>
      <c r="E1948" t="s">
        <v>92</v>
      </c>
      <c r="F1948">
        <v>50</v>
      </c>
      <c r="G1948" t="s">
        <v>109</v>
      </c>
      <c r="H1948">
        <v>74.42</v>
      </c>
      <c r="I1948">
        <v>81</v>
      </c>
      <c r="J1948">
        <v>42.54</v>
      </c>
      <c r="K1948">
        <v>93</v>
      </c>
      <c r="L1948">
        <v>14.72</v>
      </c>
      <c r="M1948">
        <v>74</v>
      </c>
      <c r="N1948">
        <v>19.36</v>
      </c>
      <c r="O1948">
        <v>73</v>
      </c>
      <c r="P1948">
        <v>-46.82</v>
      </c>
      <c r="Q1948">
        <v>79</v>
      </c>
      <c r="R1948">
        <v>6.83</v>
      </c>
      <c r="S1948">
        <v>69</v>
      </c>
      <c r="T1948">
        <v>38.39</v>
      </c>
      <c r="U1948">
        <v>81</v>
      </c>
      <c r="V1948">
        <v>-0.6</v>
      </c>
      <c r="W1948">
        <v>70</v>
      </c>
      <c r="X1948" t="s">
        <v>276</v>
      </c>
      <c r="Y1948" t="s">
        <v>282</v>
      </c>
      <c r="Z1948" t="s">
        <v>528</v>
      </c>
      <c r="AA1948" t="s">
        <v>1637</v>
      </c>
      <c r="AB1948" t="s">
        <v>1638</v>
      </c>
      <c r="AC1948">
        <v>31</v>
      </c>
      <c r="AD1948">
        <v>12</v>
      </c>
      <c r="AE1948">
        <v>93</v>
      </c>
      <c r="AF1948">
        <v>-133.15</v>
      </c>
      <c r="AG1948">
        <v>6.18</v>
      </c>
      <c r="AH1948">
        <v>3.01</v>
      </c>
      <c r="AI1948">
        <v>0.2</v>
      </c>
      <c r="AJ1948">
        <v>0.13</v>
      </c>
      <c r="AK1948">
        <v>74</v>
      </c>
      <c r="AL1948">
        <v>36</v>
      </c>
      <c r="AM1948">
        <v>15</v>
      </c>
      <c r="AN1948">
        <v>1.23</v>
      </c>
      <c r="AO1948">
        <v>2.4300000000000002</v>
      </c>
      <c r="AP1948">
        <v>45</v>
      </c>
      <c r="AQ1948">
        <v>0</v>
      </c>
      <c r="AR1948">
        <v>5.14</v>
      </c>
      <c r="AS1948">
        <v>61</v>
      </c>
      <c r="AT1948">
        <v>2.16</v>
      </c>
      <c r="AU1948">
        <v>70</v>
      </c>
      <c r="AV1948">
        <v>-1.49</v>
      </c>
      <c r="AW1948">
        <v>88</v>
      </c>
      <c r="AX1948">
        <v>-0.36</v>
      </c>
      <c r="AY1948">
        <v>67</v>
      </c>
      <c r="AZ1948">
        <v>6.62</v>
      </c>
      <c r="BA1948">
        <v>46</v>
      </c>
      <c r="BB1948">
        <v>6.15</v>
      </c>
      <c r="BC1948">
        <v>47</v>
      </c>
      <c r="BD1948">
        <v>-0.06</v>
      </c>
      <c r="BE1948">
        <v>-0.03</v>
      </c>
      <c r="BF1948">
        <v>0</v>
      </c>
      <c r="BG1948">
        <v>79</v>
      </c>
      <c r="BH1948">
        <v>-0.11</v>
      </c>
      <c r="BI1948">
        <v>-10.78</v>
      </c>
      <c r="BJ1948">
        <v>0</v>
      </c>
      <c r="BK1948">
        <v>0</v>
      </c>
      <c r="BL1948">
        <v>-2.4700000000000002</v>
      </c>
      <c r="BM1948">
        <v>-1.0900000000000001</v>
      </c>
      <c r="BN1948">
        <v>-0.54</v>
      </c>
      <c r="BO1948">
        <v>0.17</v>
      </c>
      <c r="BP1948">
        <v>-1.4</v>
      </c>
      <c r="BQ1948">
        <v>-4.47</v>
      </c>
      <c r="BR1948">
        <v>2.11</v>
      </c>
      <c r="BS1948">
        <v>2.2400000000000002</v>
      </c>
      <c r="BT1948">
        <v>-1.92</v>
      </c>
      <c r="BU1948">
        <v>-1</v>
      </c>
      <c r="BV1948">
        <v>-0.67</v>
      </c>
      <c r="BW1948">
        <v>-1.89</v>
      </c>
      <c r="BX1948">
        <v>-2.72</v>
      </c>
      <c r="BY1948">
        <v>-1.1599999999999999</v>
      </c>
      <c r="BZ1948">
        <v>-0.34</v>
      </c>
      <c r="CA1948">
        <v>-0.18</v>
      </c>
      <c r="CB1948">
        <v>-0.67</v>
      </c>
      <c r="CC1948">
        <v>0.94</v>
      </c>
      <c r="CD1948">
        <v>-0.85</v>
      </c>
      <c r="CE1948">
        <v>0.11</v>
      </c>
      <c r="CF1948">
        <v>-2.77</v>
      </c>
      <c r="CG1948">
        <v>0</v>
      </c>
      <c r="CH1948">
        <v>-0.98</v>
      </c>
      <c r="CI1948">
        <v>0</v>
      </c>
      <c r="CJ1948">
        <v>-23.1</v>
      </c>
      <c r="CK1948">
        <v>81</v>
      </c>
      <c r="CL1948">
        <v>-1.21</v>
      </c>
      <c r="CM1948">
        <v>78</v>
      </c>
      <c r="CN1948">
        <v>-0.19</v>
      </c>
      <c r="CO1948">
        <v>75</v>
      </c>
      <c r="CP1948">
        <v>-31.2</v>
      </c>
      <c r="CQ1948">
        <v>79</v>
      </c>
      <c r="CR1948">
        <v>0</v>
      </c>
      <c r="CS1948">
        <v>0</v>
      </c>
      <c r="CT1948">
        <v>-38.1</v>
      </c>
      <c r="CU1948">
        <v>81</v>
      </c>
      <c r="CV1948">
        <v>-0.03</v>
      </c>
      <c r="CW1948">
        <v>42</v>
      </c>
      <c r="CX1948" t="s">
        <v>792</v>
      </c>
    </row>
    <row r="1949" spans="1:102" x14ac:dyDescent="0.3">
      <c r="A1949" t="str">
        <f>HYPERLINK("https://webapp.icbf.com/v2/app/bull-search/view/1027066940","FR2291")</f>
        <v>FR2291</v>
      </c>
      <c r="B1949" t="s">
        <v>13584</v>
      </c>
      <c r="C1949" t="s">
        <v>13585</v>
      </c>
      <c r="D1949" s="1">
        <v>40389</v>
      </c>
      <c r="E1949" t="s">
        <v>92</v>
      </c>
      <c r="F1949">
        <v>97</v>
      </c>
      <c r="G1949" t="s">
        <v>93</v>
      </c>
      <c r="H1949">
        <v>74.42</v>
      </c>
      <c r="I1949">
        <v>84</v>
      </c>
      <c r="J1949">
        <v>53.33</v>
      </c>
      <c r="K1949">
        <v>95</v>
      </c>
      <c r="L1949">
        <v>1.26</v>
      </c>
      <c r="M1949">
        <v>80</v>
      </c>
      <c r="N1949">
        <v>15.66</v>
      </c>
      <c r="O1949">
        <v>88</v>
      </c>
      <c r="P1949">
        <v>-3.82</v>
      </c>
      <c r="Q1949">
        <v>90</v>
      </c>
      <c r="R1949">
        <v>2.42</v>
      </c>
      <c r="S1949">
        <v>76</v>
      </c>
      <c r="T1949">
        <v>8.8699999999999992</v>
      </c>
      <c r="U1949">
        <v>54</v>
      </c>
      <c r="V1949">
        <v>-3.3</v>
      </c>
      <c r="W1949">
        <v>65</v>
      </c>
      <c r="X1949" t="s">
        <v>102</v>
      </c>
      <c r="Y1949" t="s">
        <v>422</v>
      </c>
      <c r="Z1949" t="s">
        <v>96</v>
      </c>
      <c r="AA1949" t="s">
        <v>3020</v>
      </c>
      <c r="AB1949" t="s">
        <v>13586</v>
      </c>
      <c r="AC1949">
        <v>131</v>
      </c>
      <c r="AD1949">
        <v>51</v>
      </c>
      <c r="AE1949">
        <v>95</v>
      </c>
      <c r="AF1949">
        <v>267.04000000000002</v>
      </c>
      <c r="AG1949">
        <v>11.16</v>
      </c>
      <c r="AH1949">
        <v>9.2100000000000009</v>
      </c>
      <c r="AI1949">
        <v>0.01</v>
      </c>
      <c r="AJ1949">
        <v>0</v>
      </c>
      <c r="AK1949">
        <v>80</v>
      </c>
      <c r="AL1949">
        <v>0</v>
      </c>
      <c r="AM1949">
        <v>0</v>
      </c>
      <c r="AN1949">
        <v>-0.88</v>
      </c>
      <c r="AO1949">
        <v>-0.79</v>
      </c>
      <c r="AP1949">
        <v>990</v>
      </c>
      <c r="AQ1949">
        <v>3</v>
      </c>
      <c r="AR1949">
        <v>8.3800000000000008</v>
      </c>
      <c r="AS1949">
        <v>94</v>
      </c>
      <c r="AT1949">
        <v>3.12</v>
      </c>
      <c r="AU1949">
        <v>95</v>
      </c>
      <c r="AV1949">
        <v>-2.31</v>
      </c>
      <c r="AW1949">
        <v>98</v>
      </c>
      <c r="AX1949">
        <v>1.1499999999999999</v>
      </c>
      <c r="AY1949">
        <v>94</v>
      </c>
      <c r="AZ1949">
        <v>6.42</v>
      </c>
      <c r="BA1949">
        <v>69</v>
      </c>
      <c r="BB1949">
        <v>4.5199999999999996</v>
      </c>
      <c r="BC1949">
        <v>43</v>
      </c>
      <c r="BD1949">
        <v>0.02</v>
      </c>
      <c r="BE1949">
        <v>-0.01</v>
      </c>
      <c r="BF1949">
        <v>-7.0000000000000007E-2</v>
      </c>
      <c r="BG1949">
        <v>90</v>
      </c>
      <c r="BH1949">
        <v>-0.16</v>
      </c>
      <c r="BI1949">
        <v>-7.87</v>
      </c>
      <c r="BJ1949">
        <v>0</v>
      </c>
      <c r="BK1949">
        <v>0</v>
      </c>
      <c r="BL1949">
        <v>0.43</v>
      </c>
      <c r="BM1949">
        <v>-0.63</v>
      </c>
      <c r="BN1949">
        <v>0.02</v>
      </c>
      <c r="BO1949">
        <v>0.38</v>
      </c>
      <c r="BP1949">
        <v>-1.18</v>
      </c>
      <c r="BQ1949">
        <v>-1.35</v>
      </c>
      <c r="BR1949">
        <v>-0.24</v>
      </c>
      <c r="BS1949">
        <v>0.85</v>
      </c>
      <c r="BT1949">
        <v>0.35</v>
      </c>
      <c r="BU1949">
        <v>0.09</v>
      </c>
      <c r="BV1949">
        <v>0.34</v>
      </c>
      <c r="BW1949">
        <v>-0.13</v>
      </c>
      <c r="BX1949">
        <v>0.19</v>
      </c>
      <c r="BY1949">
        <v>-0.4</v>
      </c>
      <c r="BZ1949">
        <v>-0.94</v>
      </c>
      <c r="CA1949">
        <v>0.55000000000000004</v>
      </c>
      <c r="CB1949">
        <v>0.27</v>
      </c>
      <c r="CC1949">
        <v>0.71</v>
      </c>
      <c r="CD1949">
        <v>-0.56000000000000005</v>
      </c>
      <c r="CE1949">
        <v>0.16</v>
      </c>
      <c r="CF1949">
        <v>-0.25</v>
      </c>
      <c r="CG1949">
        <v>0</v>
      </c>
      <c r="CH1949">
        <v>-0.36</v>
      </c>
      <c r="CI1949">
        <v>0</v>
      </c>
      <c r="CJ1949">
        <v>0.7</v>
      </c>
      <c r="CK1949">
        <v>93</v>
      </c>
      <c r="CL1949">
        <v>-0.81</v>
      </c>
      <c r="CM1949">
        <v>92</v>
      </c>
      <c r="CN1949">
        <v>-0.36</v>
      </c>
      <c r="CO1949">
        <v>91</v>
      </c>
      <c r="CP1949">
        <v>-4.3</v>
      </c>
      <c r="CQ1949">
        <v>61</v>
      </c>
      <c r="CR1949">
        <v>0</v>
      </c>
      <c r="CS1949">
        <v>0</v>
      </c>
      <c r="CT1949">
        <v>1.8</v>
      </c>
      <c r="CU1949">
        <v>54</v>
      </c>
      <c r="CV1949">
        <v>0.2</v>
      </c>
      <c r="CW1949">
        <v>45</v>
      </c>
      <c r="CX1949" t="s">
        <v>6022</v>
      </c>
    </row>
    <row r="1950" spans="1:102" x14ac:dyDescent="0.3">
      <c r="A1950" t="str">
        <f>HYPERLINK("https://webapp.icbf.com/v2/app/bull-search/view/77858362","DHP")</f>
        <v>DHP</v>
      </c>
      <c r="B1950" t="s">
        <v>10887</v>
      </c>
      <c r="C1950" t="s">
        <v>10888</v>
      </c>
      <c r="D1950" s="1">
        <v>33178</v>
      </c>
      <c r="E1950" t="s">
        <v>108</v>
      </c>
      <c r="F1950">
        <v>0</v>
      </c>
      <c r="G1950" t="s">
        <v>93</v>
      </c>
      <c r="H1950">
        <v>74.400000000000006</v>
      </c>
      <c r="I1950">
        <v>83</v>
      </c>
      <c r="J1950">
        <v>-36.18</v>
      </c>
      <c r="K1950">
        <v>96</v>
      </c>
      <c r="L1950">
        <v>104.1</v>
      </c>
      <c r="M1950">
        <v>78</v>
      </c>
      <c r="N1950">
        <v>-8.5500000000000007</v>
      </c>
      <c r="O1950">
        <v>68</v>
      </c>
      <c r="P1950">
        <v>-12.06</v>
      </c>
      <c r="Q1950">
        <v>88</v>
      </c>
      <c r="R1950">
        <v>-2.42</v>
      </c>
      <c r="S1950">
        <v>79</v>
      </c>
      <c r="T1950">
        <v>23.74</v>
      </c>
      <c r="U1950">
        <v>75</v>
      </c>
      <c r="V1950">
        <v>5.77</v>
      </c>
      <c r="W1950">
        <v>64</v>
      </c>
      <c r="X1950" t="s">
        <v>102</v>
      </c>
      <c r="Y1950" t="s">
        <v>95</v>
      </c>
      <c r="Z1950" t="s">
        <v>96</v>
      </c>
      <c r="AA1950" t="s">
        <v>10889</v>
      </c>
      <c r="AB1950" t="s">
        <v>4163</v>
      </c>
      <c r="AC1950">
        <v>80</v>
      </c>
      <c r="AD1950">
        <v>61</v>
      </c>
      <c r="AE1950">
        <v>96</v>
      </c>
      <c r="AF1950">
        <v>48.71</v>
      </c>
      <c r="AG1950">
        <v>-5.76</v>
      </c>
      <c r="AH1950">
        <v>-3.37</v>
      </c>
      <c r="AI1950">
        <v>-0.13</v>
      </c>
      <c r="AJ1950">
        <v>-0.09</v>
      </c>
      <c r="AK1950">
        <v>78</v>
      </c>
      <c r="AL1950">
        <v>146</v>
      </c>
      <c r="AM1950">
        <v>90</v>
      </c>
      <c r="AN1950">
        <v>-7.38</v>
      </c>
      <c r="AO1950">
        <v>0.9</v>
      </c>
      <c r="AP1950">
        <v>2</v>
      </c>
      <c r="AQ1950">
        <v>0</v>
      </c>
      <c r="AR1950">
        <v>8.26</v>
      </c>
      <c r="AS1950">
        <v>49</v>
      </c>
      <c r="AT1950">
        <v>3.52</v>
      </c>
      <c r="AU1950">
        <v>69</v>
      </c>
      <c r="AV1950">
        <v>-0.8</v>
      </c>
      <c r="AW1950">
        <v>74</v>
      </c>
      <c r="AX1950">
        <v>-0.27</v>
      </c>
      <c r="AY1950">
        <v>77</v>
      </c>
      <c r="AZ1950">
        <v>8.17</v>
      </c>
      <c r="BA1950">
        <v>45</v>
      </c>
      <c r="BB1950">
        <v>6.33</v>
      </c>
      <c r="BC1950">
        <v>62</v>
      </c>
      <c r="BD1950">
        <v>0.04</v>
      </c>
      <c r="BE1950">
        <v>0.01</v>
      </c>
      <c r="BF1950">
        <v>-0.03</v>
      </c>
      <c r="BG1950">
        <v>92</v>
      </c>
      <c r="BH1950">
        <v>0.03</v>
      </c>
      <c r="BI1950">
        <v>-15.15</v>
      </c>
      <c r="BJ1950">
        <v>23</v>
      </c>
      <c r="BK1950">
        <v>19</v>
      </c>
      <c r="BL1950">
        <v>-3.34</v>
      </c>
      <c r="BM1950">
        <v>0.93</v>
      </c>
      <c r="BN1950">
        <v>-2.94</v>
      </c>
      <c r="BO1950">
        <v>-2.78</v>
      </c>
      <c r="BP1950">
        <v>-1.1299999999999999</v>
      </c>
      <c r="BQ1950">
        <v>1.39</v>
      </c>
      <c r="BR1950">
        <v>-1.17</v>
      </c>
      <c r="BS1950">
        <v>-0.19</v>
      </c>
      <c r="BT1950">
        <v>-0.43</v>
      </c>
      <c r="BU1950">
        <v>-2.4</v>
      </c>
      <c r="BV1950">
        <v>-3.2</v>
      </c>
      <c r="BW1950">
        <v>-2.6</v>
      </c>
      <c r="BX1950">
        <v>-2.4700000000000002</v>
      </c>
      <c r="BY1950">
        <v>-1.02</v>
      </c>
      <c r="BZ1950">
        <v>-0.18</v>
      </c>
      <c r="CA1950">
        <v>-2.41</v>
      </c>
      <c r="CB1950">
        <v>-2.83</v>
      </c>
      <c r="CC1950">
        <v>-1.62</v>
      </c>
      <c r="CD1950">
        <v>2.46</v>
      </c>
      <c r="CE1950">
        <v>-2.58</v>
      </c>
      <c r="CF1950">
        <v>-2.14</v>
      </c>
      <c r="CG1950">
        <v>0</v>
      </c>
      <c r="CH1950">
        <v>-0.64</v>
      </c>
      <c r="CI1950">
        <v>0</v>
      </c>
      <c r="CJ1950">
        <v>-8.5</v>
      </c>
      <c r="CK1950">
        <v>89</v>
      </c>
      <c r="CL1950">
        <v>0.06</v>
      </c>
      <c r="CM1950">
        <v>87</v>
      </c>
      <c r="CN1950">
        <v>-0.06</v>
      </c>
      <c r="CO1950">
        <v>86</v>
      </c>
      <c r="CP1950">
        <v>-11</v>
      </c>
      <c r="CQ1950">
        <v>88</v>
      </c>
      <c r="CR1950">
        <v>0</v>
      </c>
      <c r="CS1950">
        <v>0</v>
      </c>
      <c r="CT1950">
        <v>-18.3</v>
      </c>
      <c r="CU1950">
        <v>75</v>
      </c>
      <c r="CV1950">
        <v>-0.12</v>
      </c>
      <c r="CW1950">
        <v>44</v>
      </c>
      <c r="CX1950" t="s">
        <v>481</v>
      </c>
    </row>
    <row r="1951" spans="1:102" x14ac:dyDescent="0.3">
      <c r="A1951" t="str">
        <f>HYPERLINK("https://webapp.icbf.com/v2/app/bull-search/view/388953968","AFS")</f>
        <v>AFS</v>
      </c>
      <c r="B1951" t="s">
        <v>4743</v>
      </c>
      <c r="C1951" t="s">
        <v>4744</v>
      </c>
      <c r="D1951" s="1">
        <v>37873</v>
      </c>
      <c r="E1951" t="s">
        <v>108</v>
      </c>
      <c r="F1951">
        <v>0</v>
      </c>
      <c r="G1951" t="s">
        <v>93</v>
      </c>
      <c r="H1951">
        <v>74.37</v>
      </c>
      <c r="I1951">
        <v>98</v>
      </c>
      <c r="J1951">
        <v>-22.62</v>
      </c>
      <c r="K1951">
        <v>99</v>
      </c>
      <c r="L1951">
        <v>73.72</v>
      </c>
      <c r="M1951">
        <v>96</v>
      </c>
      <c r="N1951">
        <v>3.84</v>
      </c>
      <c r="O1951">
        <v>99</v>
      </c>
      <c r="P1951">
        <v>-23.89</v>
      </c>
      <c r="Q1951">
        <v>99</v>
      </c>
      <c r="R1951">
        <v>6.35</v>
      </c>
      <c r="S1951">
        <v>97</v>
      </c>
      <c r="T1951">
        <v>35.880000000000003</v>
      </c>
      <c r="U1951">
        <v>99</v>
      </c>
      <c r="V1951">
        <v>1.0900000000000001</v>
      </c>
      <c r="W1951">
        <v>98</v>
      </c>
      <c r="X1951" t="s">
        <v>102</v>
      </c>
      <c r="Y1951" t="s">
        <v>1153</v>
      </c>
      <c r="Z1951" t="s">
        <v>96</v>
      </c>
      <c r="AA1951" t="s">
        <v>4745</v>
      </c>
      <c r="AB1951" t="s">
        <v>4746</v>
      </c>
      <c r="AC1951">
        <v>2019</v>
      </c>
      <c r="AD1951">
        <v>588</v>
      </c>
      <c r="AE1951">
        <v>99</v>
      </c>
      <c r="AF1951">
        <v>-249.37</v>
      </c>
      <c r="AG1951">
        <v>-7.84</v>
      </c>
      <c r="AH1951">
        <v>-4.8899999999999997</v>
      </c>
      <c r="AI1951">
        <v>0.03</v>
      </c>
      <c r="AJ1951">
        <v>7.0000000000000007E-2</v>
      </c>
      <c r="AK1951">
        <v>96</v>
      </c>
      <c r="AL1951">
        <v>3472</v>
      </c>
      <c r="AM1951">
        <v>1060</v>
      </c>
      <c r="AN1951">
        <v>-3.97</v>
      </c>
      <c r="AO1951">
        <v>1.91</v>
      </c>
      <c r="AP1951">
        <v>4483</v>
      </c>
      <c r="AQ1951">
        <v>44</v>
      </c>
      <c r="AR1951">
        <v>5.65</v>
      </c>
      <c r="AS1951">
        <v>99</v>
      </c>
      <c r="AT1951">
        <v>2.2999999999999998</v>
      </c>
      <c r="AU1951">
        <v>99</v>
      </c>
      <c r="AV1951">
        <v>-2.61</v>
      </c>
      <c r="AW1951">
        <v>99</v>
      </c>
      <c r="AX1951">
        <v>-0.13</v>
      </c>
      <c r="AY1951">
        <v>99</v>
      </c>
      <c r="AZ1951">
        <v>11.36</v>
      </c>
      <c r="BA1951">
        <v>97</v>
      </c>
      <c r="BB1951">
        <v>8.01</v>
      </c>
      <c r="BC1951">
        <v>98</v>
      </c>
      <c r="BD1951">
        <v>0</v>
      </c>
      <c r="BE1951">
        <v>-0.04</v>
      </c>
      <c r="BF1951">
        <v>-7.0000000000000007E-2</v>
      </c>
      <c r="BG1951">
        <v>99</v>
      </c>
      <c r="BH1951">
        <v>-0.04</v>
      </c>
      <c r="BI1951">
        <v>-8.14</v>
      </c>
      <c r="BJ1951">
        <v>70</v>
      </c>
      <c r="BK1951">
        <v>46</v>
      </c>
      <c r="BL1951">
        <v>-3.46</v>
      </c>
      <c r="BM1951">
        <v>-0.95</v>
      </c>
      <c r="BN1951">
        <v>-5.12</v>
      </c>
      <c r="BO1951">
        <v>-2.87</v>
      </c>
      <c r="BP1951">
        <v>0.06</v>
      </c>
      <c r="BQ1951">
        <v>0.28000000000000003</v>
      </c>
      <c r="BR1951">
        <v>-1.43</v>
      </c>
      <c r="BS1951">
        <v>-0.32</v>
      </c>
      <c r="BT1951">
        <v>0.05</v>
      </c>
      <c r="BU1951">
        <v>-2.91</v>
      </c>
      <c r="BV1951">
        <v>-2.82</v>
      </c>
      <c r="BW1951">
        <v>-2.38</v>
      </c>
      <c r="BX1951">
        <v>-0.56000000000000005</v>
      </c>
      <c r="BY1951">
        <v>-0.91</v>
      </c>
      <c r="BZ1951">
        <v>-0.92</v>
      </c>
      <c r="CA1951">
        <v>-2.2200000000000002</v>
      </c>
      <c r="CB1951">
        <v>-2.72</v>
      </c>
      <c r="CC1951">
        <v>-0.87</v>
      </c>
      <c r="CD1951">
        <v>1.36</v>
      </c>
      <c r="CE1951">
        <v>-2.37</v>
      </c>
      <c r="CF1951">
        <v>-3.04</v>
      </c>
      <c r="CG1951">
        <v>0</v>
      </c>
      <c r="CH1951">
        <v>-0.62</v>
      </c>
      <c r="CI1951">
        <v>0</v>
      </c>
      <c r="CJ1951">
        <v>-15</v>
      </c>
      <c r="CK1951">
        <v>99</v>
      </c>
      <c r="CL1951">
        <v>-0.22</v>
      </c>
      <c r="CM1951">
        <v>99</v>
      </c>
      <c r="CN1951">
        <v>-0.21</v>
      </c>
      <c r="CO1951">
        <v>99</v>
      </c>
      <c r="CP1951">
        <v>-22.5</v>
      </c>
      <c r="CQ1951">
        <v>99</v>
      </c>
      <c r="CR1951">
        <v>0</v>
      </c>
      <c r="CS1951">
        <v>0</v>
      </c>
      <c r="CT1951">
        <v>-34.700000000000003</v>
      </c>
      <c r="CU1951">
        <v>99</v>
      </c>
      <c r="CV1951">
        <v>-0.04</v>
      </c>
      <c r="CW1951">
        <v>47</v>
      </c>
      <c r="CX1951" t="s">
        <v>4747</v>
      </c>
    </row>
    <row r="1952" spans="1:102" x14ac:dyDescent="0.3">
      <c r="A1952" t="str">
        <f>HYPERLINK("https://webapp.icbf.com/v2/app/bull-search/view/586036782","GPW")</f>
        <v>GPW</v>
      </c>
      <c r="B1952" t="s">
        <v>12841</v>
      </c>
      <c r="C1952" t="s">
        <v>12842</v>
      </c>
      <c r="D1952" s="1">
        <v>39328</v>
      </c>
      <c r="E1952" t="s">
        <v>92</v>
      </c>
      <c r="F1952">
        <v>41</v>
      </c>
      <c r="G1952" t="s">
        <v>109</v>
      </c>
      <c r="H1952">
        <v>74.36</v>
      </c>
      <c r="I1952">
        <v>69</v>
      </c>
      <c r="J1952">
        <v>45.2</v>
      </c>
      <c r="K1952">
        <v>84</v>
      </c>
      <c r="L1952">
        <v>-3.28</v>
      </c>
      <c r="M1952">
        <v>63</v>
      </c>
      <c r="N1952">
        <v>35.64</v>
      </c>
      <c r="O1952">
        <v>63</v>
      </c>
      <c r="P1952">
        <v>-31.71</v>
      </c>
      <c r="Q1952">
        <v>69</v>
      </c>
      <c r="R1952">
        <v>-13.79</v>
      </c>
      <c r="S1952">
        <v>64</v>
      </c>
      <c r="T1952">
        <v>40.47</v>
      </c>
      <c r="U1952">
        <v>53</v>
      </c>
      <c r="V1952">
        <v>1.83</v>
      </c>
      <c r="W1952">
        <v>54</v>
      </c>
      <c r="X1952" t="s">
        <v>276</v>
      </c>
      <c r="Y1952" t="s">
        <v>228</v>
      </c>
      <c r="Z1952">
        <v>0</v>
      </c>
      <c r="AA1952" t="s">
        <v>1451</v>
      </c>
      <c r="AB1952" t="s">
        <v>144</v>
      </c>
      <c r="AC1952">
        <v>0</v>
      </c>
      <c r="AD1952">
        <v>0</v>
      </c>
      <c r="AE1952">
        <v>84</v>
      </c>
      <c r="AF1952">
        <v>55.16</v>
      </c>
      <c r="AG1952">
        <v>11.79</v>
      </c>
      <c r="AH1952">
        <v>4.3600000000000003</v>
      </c>
      <c r="AI1952">
        <v>0.17</v>
      </c>
      <c r="AJ1952">
        <v>0.04</v>
      </c>
      <c r="AK1952">
        <v>63</v>
      </c>
      <c r="AL1952">
        <v>0</v>
      </c>
      <c r="AM1952">
        <v>0</v>
      </c>
      <c r="AN1952">
        <v>-0.5</v>
      </c>
      <c r="AO1952">
        <v>-0.77</v>
      </c>
      <c r="AP1952">
        <v>22</v>
      </c>
      <c r="AQ1952">
        <v>1</v>
      </c>
      <c r="AR1952">
        <v>4.1100000000000003</v>
      </c>
      <c r="AS1952">
        <v>52</v>
      </c>
      <c r="AT1952">
        <v>1.6</v>
      </c>
      <c r="AU1952">
        <v>62</v>
      </c>
      <c r="AV1952">
        <v>-2.2999999999999998</v>
      </c>
      <c r="AW1952">
        <v>77</v>
      </c>
      <c r="AX1952">
        <v>-0.21</v>
      </c>
      <c r="AY1952">
        <v>53</v>
      </c>
      <c r="AZ1952">
        <v>5.8</v>
      </c>
      <c r="BA1952">
        <v>40</v>
      </c>
      <c r="BB1952">
        <v>5.47</v>
      </c>
      <c r="BC1952">
        <v>40</v>
      </c>
      <c r="BD1952">
        <v>0</v>
      </c>
      <c r="BE1952">
        <v>0.03</v>
      </c>
      <c r="BF1952">
        <v>0.26</v>
      </c>
      <c r="BG1952">
        <v>78</v>
      </c>
      <c r="BH1952">
        <v>-0.06</v>
      </c>
      <c r="BI1952">
        <v>-12.85</v>
      </c>
      <c r="BJ1952">
        <v>0</v>
      </c>
      <c r="BK1952">
        <v>0</v>
      </c>
      <c r="BL1952">
        <v>-1.45</v>
      </c>
      <c r="BM1952">
        <v>0.28999999999999998</v>
      </c>
      <c r="BN1952">
        <v>-0.74</v>
      </c>
      <c r="BO1952">
        <v>0</v>
      </c>
      <c r="BP1952">
        <v>-1.1000000000000001</v>
      </c>
      <c r="BQ1952">
        <v>-3.31</v>
      </c>
      <c r="BR1952">
        <v>0.69</v>
      </c>
      <c r="BS1952">
        <v>0</v>
      </c>
      <c r="BT1952">
        <v>0</v>
      </c>
      <c r="BU1952">
        <v>-2.74</v>
      </c>
      <c r="BV1952">
        <v>-1.87</v>
      </c>
      <c r="BW1952">
        <v>-1.92</v>
      </c>
      <c r="BX1952">
        <v>0</v>
      </c>
      <c r="BY1952">
        <v>-0.97</v>
      </c>
      <c r="BZ1952">
        <v>0</v>
      </c>
      <c r="CA1952">
        <v>-1.6</v>
      </c>
      <c r="CB1952">
        <v>-1.84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-14</v>
      </c>
      <c r="CK1952">
        <v>71</v>
      </c>
      <c r="CL1952">
        <v>-0.73</v>
      </c>
      <c r="CM1952">
        <v>68</v>
      </c>
      <c r="CN1952">
        <v>0.02</v>
      </c>
      <c r="CO1952">
        <v>66</v>
      </c>
      <c r="CP1952">
        <v>-30.8</v>
      </c>
      <c r="CQ1952">
        <v>59</v>
      </c>
      <c r="CR1952">
        <v>0</v>
      </c>
      <c r="CS1952">
        <v>0</v>
      </c>
      <c r="CT1952">
        <v>-40.9</v>
      </c>
      <c r="CU1952">
        <v>53</v>
      </c>
      <c r="CV1952">
        <v>0.01</v>
      </c>
      <c r="CW1952">
        <v>40</v>
      </c>
      <c r="CX1952" t="s">
        <v>1525</v>
      </c>
    </row>
    <row r="1953" spans="1:102" x14ac:dyDescent="0.3">
      <c r="A1953" t="str">
        <f>HYPERLINK("https://webapp.icbf.com/v2/app/bull-search/view/147615117","HZU")</f>
        <v>HZU</v>
      </c>
      <c r="B1953" t="s">
        <v>11595</v>
      </c>
      <c r="C1953" t="s">
        <v>1496</v>
      </c>
      <c r="D1953" s="1">
        <v>35639</v>
      </c>
      <c r="E1953" t="s">
        <v>92</v>
      </c>
      <c r="F1953">
        <v>88</v>
      </c>
      <c r="G1953" t="s">
        <v>93</v>
      </c>
      <c r="H1953">
        <v>74.19</v>
      </c>
      <c r="I1953">
        <v>96</v>
      </c>
      <c r="J1953">
        <v>56.61</v>
      </c>
      <c r="K1953">
        <v>99</v>
      </c>
      <c r="L1953">
        <v>-11.82</v>
      </c>
      <c r="M1953">
        <v>92</v>
      </c>
      <c r="N1953">
        <v>19.41</v>
      </c>
      <c r="O1953">
        <v>96</v>
      </c>
      <c r="P1953">
        <v>-18.04</v>
      </c>
      <c r="Q1953">
        <v>99</v>
      </c>
      <c r="R1953">
        <v>1.84</v>
      </c>
      <c r="S1953">
        <v>94</v>
      </c>
      <c r="T1953">
        <v>30.03</v>
      </c>
      <c r="U1953">
        <v>98</v>
      </c>
      <c r="V1953">
        <v>-3.84</v>
      </c>
      <c r="W1953">
        <v>95</v>
      </c>
      <c r="X1953" t="s">
        <v>276</v>
      </c>
      <c r="Y1953" t="s">
        <v>95</v>
      </c>
      <c r="Z1953" t="s">
        <v>96</v>
      </c>
      <c r="AA1953" t="s">
        <v>218</v>
      </c>
      <c r="AB1953" t="s">
        <v>9069</v>
      </c>
      <c r="AC1953">
        <v>662</v>
      </c>
      <c r="AD1953">
        <v>296</v>
      </c>
      <c r="AE1953">
        <v>99</v>
      </c>
      <c r="AF1953">
        <v>205.36</v>
      </c>
      <c r="AG1953">
        <v>4.4400000000000004</v>
      </c>
      <c r="AH1953">
        <v>11.2</v>
      </c>
      <c r="AI1953">
        <v>-0.06</v>
      </c>
      <c r="AJ1953">
        <v>7.0000000000000007E-2</v>
      </c>
      <c r="AK1953">
        <v>92</v>
      </c>
      <c r="AL1953">
        <v>741</v>
      </c>
      <c r="AM1953">
        <v>319</v>
      </c>
      <c r="AN1953">
        <v>0.1</v>
      </c>
      <c r="AO1953">
        <v>-0.85</v>
      </c>
      <c r="AP1953">
        <v>921</v>
      </c>
      <c r="AQ1953">
        <v>4</v>
      </c>
      <c r="AR1953">
        <v>5.67</v>
      </c>
      <c r="AS1953">
        <v>90</v>
      </c>
      <c r="AT1953">
        <v>2.88</v>
      </c>
      <c r="AU1953">
        <v>97</v>
      </c>
      <c r="AV1953">
        <v>-1.84</v>
      </c>
      <c r="AW1953">
        <v>99</v>
      </c>
      <c r="AX1953">
        <v>-0.33</v>
      </c>
      <c r="AY1953">
        <v>97</v>
      </c>
      <c r="AZ1953">
        <v>6.8</v>
      </c>
      <c r="BA1953">
        <v>89</v>
      </c>
      <c r="BB1953">
        <v>5.45</v>
      </c>
      <c r="BC1953">
        <v>92</v>
      </c>
      <c r="BD1953">
        <v>-0.02</v>
      </c>
      <c r="BE1953">
        <v>-0.01</v>
      </c>
      <c r="BF1953">
        <v>0.01</v>
      </c>
      <c r="BG1953">
        <v>98</v>
      </c>
      <c r="BH1953">
        <v>-0.11</v>
      </c>
      <c r="BI1953">
        <v>-0.35</v>
      </c>
      <c r="BJ1953">
        <v>12</v>
      </c>
      <c r="BK1953">
        <v>7</v>
      </c>
      <c r="BL1953">
        <v>-0.68</v>
      </c>
      <c r="BM1953">
        <v>-0.44</v>
      </c>
      <c r="BN1953">
        <v>-0.81</v>
      </c>
      <c r="BO1953">
        <v>-0.32</v>
      </c>
      <c r="BP1953">
        <v>0.86</v>
      </c>
      <c r="BQ1953">
        <v>-1.44</v>
      </c>
      <c r="BR1953">
        <v>0.33</v>
      </c>
      <c r="BS1953">
        <v>-0.4</v>
      </c>
      <c r="BT1953">
        <v>-1.73</v>
      </c>
      <c r="BU1953">
        <v>-0.86</v>
      </c>
      <c r="BV1953">
        <v>1.1100000000000001</v>
      </c>
      <c r="BW1953">
        <v>0.02</v>
      </c>
      <c r="BX1953">
        <v>-0.74</v>
      </c>
      <c r="BY1953">
        <v>0.08</v>
      </c>
      <c r="BZ1953">
        <v>-0.35</v>
      </c>
      <c r="CA1953">
        <v>-0.61</v>
      </c>
      <c r="CB1953">
        <v>0.09</v>
      </c>
      <c r="CC1953">
        <v>-0.49</v>
      </c>
      <c r="CD1953">
        <v>0.2</v>
      </c>
      <c r="CE1953">
        <v>-0.17</v>
      </c>
      <c r="CF1953">
        <v>-0.46</v>
      </c>
      <c r="CG1953">
        <v>0</v>
      </c>
      <c r="CH1953">
        <v>0.22</v>
      </c>
      <c r="CI1953">
        <v>0</v>
      </c>
      <c r="CJ1953">
        <v>-7</v>
      </c>
      <c r="CK1953">
        <v>99</v>
      </c>
      <c r="CL1953">
        <v>-0.64</v>
      </c>
      <c r="CM1953">
        <v>99</v>
      </c>
      <c r="CN1953">
        <v>-0.06</v>
      </c>
      <c r="CO1953">
        <v>98</v>
      </c>
      <c r="CP1953">
        <v>-16.5</v>
      </c>
      <c r="CQ1953">
        <v>98</v>
      </c>
      <c r="CR1953">
        <v>0</v>
      </c>
      <c r="CS1953">
        <v>0</v>
      </c>
      <c r="CT1953">
        <v>-26.8</v>
      </c>
      <c r="CU1953">
        <v>98</v>
      </c>
      <c r="CV1953">
        <v>0.11</v>
      </c>
      <c r="CW1953">
        <v>46</v>
      </c>
      <c r="CX1953" t="s">
        <v>531</v>
      </c>
    </row>
    <row r="1954" spans="1:102" x14ac:dyDescent="0.3">
      <c r="A1954" t="str">
        <f>HYPERLINK("https://webapp.icbf.com/v2/app/bull-search/view/402593041","BLJ")</f>
        <v>BLJ</v>
      </c>
      <c r="B1954" t="s">
        <v>11868</v>
      </c>
      <c r="C1954" t="s">
        <v>11869</v>
      </c>
      <c r="D1954" s="1">
        <v>38439</v>
      </c>
      <c r="E1954" t="s">
        <v>92</v>
      </c>
      <c r="F1954">
        <v>56</v>
      </c>
      <c r="G1954" t="s">
        <v>93</v>
      </c>
      <c r="H1954">
        <v>74.16</v>
      </c>
      <c r="I1954">
        <v>90</v>
      </c>
      <c r="J1954">
        <v>67.8</v>
      </c>
      <c r="K1954">
        <v>98</v>
      </c>
      <c r="L1954">
        <v>3.76</v>
      </c>
      <c r="M1954">
        <v>82</v>
      </c>
      <c r="N1954">
        <v>7.48</v>
      </c>
      <c r="O1954">
        <v>88</v>
      </c>
      <c r="P1954">
        <v>-22.15</v>
      </c>
      <c r="Q1954">
        <v>94</v>
      </c>
      <c r="R1954">
        <v>-5.71</v>
      </c>
      <c r="S1954">
        <v>85</v>
      </c>
      <c r="T1954">
        <v>21.89</v>
      </c>
      <c r="U1954">
        <v>90</v>
      </c>
      <c r="V1954">
        <v>1.0900000000000001</v>
      </c>
      <c r="W1954">
        <v>86</v>
      </c>
      <c r="X1954" t="s">
        <v>94</v>
      </c>
      <c r="Y1954" t="s">
        <v>1164</v>
      </c>
      <c r="Z1954" t="s">
        <v>96</v>
      </c>
      <c r="AA1954" t="s">
        <v>4059</v>
      </c>
      <c r="AB1954" t="s">
        <v>11870</v>
      </c>
      <c r="AC1954">
        <v>130</v>
      </c>
      <c r="AD1954">
        <v>82</v>
      </c>
      <c r="AE1954">
        <v>98</v>
      </c>
      <c r="AF1954">
        <v>-131.07</v>
      </c>
      <c r="AG1954">
        <v>20.309999999999999</v>
      </c>
      <c r="AH1954">
        <v>2.34</v>
      </c>
      <c r="AI1954">
        <v>0.45</v>
      </c>
      <c r="AJ1954">
        <v>0.12</v>
      </c>
      <c r="AK1954">
        <v>82</v>
      </c>
      <c r="AL1954">
        <v>119</v>
      </c>
      <c r="AM1954">
        <v>81</v>
      </c>
      <c r="AN1954">
        <v>-0.95</v>
      </c>
      <c r="AO1954">
        <v>-0.66</v>
      </c>
      <c r="AP1954">
        <v>238</v>
      </c>
      <c r="AQ1954">
        <v>0</v>
      </c>
      <c r="AR1954">
        <v>9.2799999999999994</v>
      </c>
      <c r="AS1954">
        <v>74</v>
      </c>
      <c r="AT1954">
        <v>3.03</v>
      </c>
      <c r="AU1954">
        <v>89</v>
      </c>
      <c r="AV1954">
        <v>-1.84</v>
      </c>
      <c r="AW1954">
        <v>97</v>
      </c>
      <c r="AX1954">
        <v>-0.27</v>
      </c>
      <c r="AY1954">
        <v>84</v>
      </c>
      <c r="AZ1954">
        <v>8.33</v>
      </c>
      <c r="BA1954">
        <v>70</v>
      </c>
      <c r="BB1954">
        <v>5.23</v>
      </c>
      <c r="BC1954">
        <v>71</v>
      </c>
      <c r="BD1954">
        <v>-0.01</v>
      </c>
      <c r="BE1954">
        <v>0.02</v>
      </c>
      <c r="BF1954">
        <v>0.11</v>
      </c>
      <c r="BG1954">
        <v>91</v>
      </c>
      <c r="BH1954">
        <v>0.08</v>
      </c>
      <c r="BI1954">
        <v>5.75</v>
      </c>
      <c r="BJ1954">
        <v>34</v>
      </c>
      <c r="BK1954">
        <v>20</v>
      </c>
      <c r="BL1954">
        <v>-1.41</v>
      </c>
      <c r="BM1954">
        <v>1.31</v>
      </c>
      <c r="BN1954">
        <v>-0.23</v>
      </c>
      <c r="BO1954">
        <v>-1.38</v>
      </c>
      <c r="BP1954">
        <v>2.99</v>
      </c>
      <c r="BQ1954">
        <v>-1.2</v>
      </c>
      <c r="BR1954">
        <v>-0.47</v>
      </c>
      <c r="BS1954">
        <v>-1.59</v>
      </c>
      <c r="BT1954">
        <v>-0.32</v>
      </c>
      <c r="BU1954">
        <v>-2.37</v>
      </c>
      <c r="BV1954">
        <v>-3.17</v>
      </c>
      <c r="BW1954">
        <v>-2.19</v>
      </c>
      <c r="BX1954">
        <v>-0.93</v>
      </c>
      <c r="BY1954">
        <v>-0.67</v>
      </c>
      <c r="BZ1954">
        <v>0.34</v>
      </c>
      <c r="CA1954">
        <v>-2.37</v>
      </c>
      <c r="CB1954">
        <v>-2.2799999999999998</v>
      </c>
      <c r="CC1954">
        <v>-1.1599999999999999</v>
      </c>
      <c r="CD1954">
        <v>0.86</v>
      </c>
      <c r="CE1954">
        <v>-1.02</v>
      </c>
      <c r="CF1954">
        <v>-1.35</v>
      </c>
      <c r="CG1954">
        <v>0</v>
      </c>
      <c r="CH1954">
        <v>-0.66</v>
      </c>
      <c r="CI1954">
        <v>0</v>
      </c>
      <c r="CJ1954">
        <v>-10.4</v>
      </c>
      <c r="CK1954">
        <v>95</v>
      </c>
      <c r="CL1954">
        <v>-0.8</v>
      </c>
      <c r="CM1954">
        <v>93</v>
      </c>
      <c r="CN1954">
        <v>-0.24</v>
      </c>
      <c r="CO1954">
        <v>93</v>
      </c>
      <c r="CP1954">
        <v>-15.7</v>
      </c>
      <c r="CQ1954">
        <v>92</v>
      </c>
      <c r="CR1954">
        <v>0</v>
      </c>
      <c r="CS1954">
        <v>0</v>
      </c>
      <c r="CT1954">
        <v>-15.8</v>
      </c>
      <c r="CU1954">
        <v>90</v>
      </c>
      <c r="CV1954">
        <v>0.03</v>
      </c>
      <c r="CW1954">
        <v>46</v>
      </c>
      <c r="CX1954" t="s">
        <v>792</v>
      </c>
    </row>
    <row r="1955" spans="1:102" x14ac:dyDescent="0.3">
      <c r="A1955" t="str">
        <f>HYPERLINK("https://webapp.icbf.com/v2/app/bull-search/view/69091315","CAR")</f>
        <v>CAR</v>
      </c>
      <c r="B1955" t="s">
        <v>15642</v>
      </c>
      <c r="C1955" t="s">
        <v>975</v>
      </c>
      <c r="D1955" s="1">
        <v>32448</v>
      </c>
      <c r="E1955" t="s">
        <v>108</v>
      </c>
      <c r="F1955">
        <v>0</v>
      </c>
      <c r="G1955" t="s">
        <v>93</v>
      </c>
      <c r="H1955">
        <v>73.989999999999995</v>
      </c>
      <c r="I1955">
        <v>95</v>
      </c>
      <c r="J1955">
        <v>-10.93</v>
      </c>
      <c r="K1955">
        <v>99</v>
      </c>
      <c r="L1955">
        <v>64.540000000000006</v>
      </c>
      <c r="M1955">
        <v>91</v>
      </c>
      <c r="N1955">
        <v>8.19</v>
      </c>
      <c r="O1955">
        <v>93</v>
      </c>
      <c r="P1955">
        <v>-13.14</v>
      </c>
      <c r="Q1955">
        <v>98</v>
      </c>
      <c r="R1955">
        <v>7.02</v>
      </c>
      <c r="S1955">
        <v>92</v>
      </c>
      <c r="T1955">
        <v>15.6</v>
      </c>
      <c r="U1955">
        <v>95</v>
      </c>
      <c r="V1955">
        <v>2.71</v>
      </c>
      <c r="W1955">
        <v>89</v>
      </c>
      <c r="X1955" t="s">
        <v>94</v>
      </c>
      <c r="Y1955" t="s">
        <v>95</v>
      </c>
      <c r="Z1955" t="s">
        <v>96</v>
      </c>
      <c r="AA1955" t="s">
        <v>607</v>
      </c>
      <c r="AB1955" t="s">
        <v>15643</v>
      </c>
      <c r="AC1955">
        <v>378</v>
      </c>
      <c r="AD1955">
        <v>142</v>
      </c>
      <c r="AE1955">
        <v>99</v>
      </c>
      <c r="AF1955">
        <v>-142.99</v>
      </c>
      <c r="AG1955">
        <v>-5.39</v>
      </c>
      <c r="AH1955">
        <v>-2.14</v>
      </c>
      <c r="AI1955">
        <v>0</v>
      </c>
      <c r="AJ1955">
        <v>0.05</v>
      </c>
      <c r="AK1955">
        <v>91</v>
      </c>
      <c r="AL1955">
        <v>576</v>
      </c>
      <c r="AM1955">
        <v>256</v>
      </c>
      <c r="AN1955">
        <v>-4.05</v>
      </c>
      <c r="AO1955">
        <v>1.0900000000000001</v>
      </c>
      <c r="AP1955">
        <v>103</v>
      </c>
      <c r="AQ1955">
        <v>0</v>
      </c>
      <c r="AR1955">
        <v>7.8</v>
      </c>
      <c r="AS1955">
        <v>87</v>
      </c>
      <c r="AT1955">
        <v>3.49</v>
      </c>
      <c r="AU1955">
        <v>92</v>
      </c>
      <c r="AV1955">
        <v>-0.93</v>
      </c>
      <c r="AW1955">
        <v>95</v>
      </c>
      <c r="AX1955">
        <v>0.11</v>
      </c>
      <c r="AY1955">
        <v>95</v>
      </c>
      <c r="AZ1955">
        <v>5.23</v>
      </c>
      <c r="BA1955">
        <v>82</v>
      </c>
      <c r="BB1955">
        <v>4.3099999999999996</v>
      </c>
      <c r="BC1955">
        <v>90</v>
      </c>
      <c r="BD1955">
        <v>0.01</v>
      </c>
      <c r="BE1955">
        <v>-0.02</v>
      </c>
      <c r="BF1955">
        <v>-0.14000000000000001</v>
      </c>
      <c r="BG1955">
        <v>97</v>
      </c>
      <c r="BH1955">
        <v>0.11</v>
      </c>
      <c r="BI1955">
        <v>3.99</v>
      </c>
      <c r="BJ1955">
        <v>3</v>
      </c>
      <c r="BK1955">
        <v>3</v>
      </c>
      <c r="BL1955">
        <v>-2.59</v>
      </c>
      <c r="BM1955">
        <v>0.95</v>
      </c>
      <c r="BN1955">
        <v>-1.46</v>
      </c>
      <c r="BO1955">
        <v>-1.63</v>
      </c>
      <c r="BP1955">
        <v>2.04</v>
      </c>
      <c r="BQ1955">
        <v>1.19</v>
      </c>
      <c r="BR1955">
        <v>-1.67</v>
      </c>
      <c r="BS1955">
        <v>1.76</v>
      </c>
      <c r="BT1955">
        <v>1.46</v>
      </c>
      <c r="BU1955">
        <v>-1.61</v>
      </c>
      <c r="BV1955">
        <v>-2.0099999999999998</v>
      </c>
      <c r="BW1955">
        <v>-1.89</v>
      </c>
      <c r="BX1955">
        <v>-0.97</v>
      </c>
      <c r="BY1955">
        <v>-1.68</v>
      </c>
      <c r="BZ1955">
        <v>-0.35</v>
      </c>
      <c r="CA1955">
        <v>-0.89</v>
      </c>
      <c r="CB1955">
        <v>-1.75</v>
      </c>
      <c r="CC1955">
        <v>1.45</v>
      </c>
      <c r="CD1955">
        <v>2.08</v>
      </c>
      <c r="CE1955">
        <v>-1.73</v>
      </c>
      <c r="CF1955">
        <v>-1.5</v>
      </c>
      <c r="CG1955">
        <v>0</v>
      </c>
      <c r="CH1955">
        <v>-1.1299999999999999</v>
      </c>
      <c r="CI1955">
        <v>0</v>
      </c>
      <c r="CJ1955">
        <v>-7.7</v>
      </c>
      <c r="CK1955">
        <v>98</v>
      </c>
      <c r="CL1955">
        <v>-0.25</v>
      </c>
      <c r="CM1955">
        <v>97</v>
      </c>
      <c r="CN1955">
        <v>-0.18</v>
      </c>
      <c r="CO1955">
        <v>97</v>
      </c>
      <c r="CP1955">
        <v>-13.6</v>
      </c>
      <c r="CQ1955">
        <v>98</v>
      </c>
      <c r="CR1955">
        <v>0</v>
      </c>
      <c r="CS1955">
        <v>0</v>
      </c>
      <c r="CT1955">
        <v>-7.3</v>
      </c>
      <c r="CU1955">
        <v>95</v>
      </c>
      <c r="CV1955">
        <v>-0.04</v>
      </c>
      <c r="CW1955">
        <v>46</v>
      </c>
      <c r="CX1955" t="s">
        <v>15644</v>
      </c>
    </row>
    <row r="1956" spans="1:102" x14ac:dyDescent="0.3">
      <c r="A1956" t="str">
        <f>HYPERLINK("https://webapp.icbf.com/v2/app/bull-search/view/942813515","RAF")</f>
        <v>RAF</v>
      </c>
      <c r="B1956" t="s">
        <v>9298</v>
      </c>
      <c r="C1956" t="s">
        <v>9299</v>
      </c>
      <c r="D1956" s="1">
        <v>40918</v>
      </c>
      <c r="E1956" t="s">
        <v>92</v>
      </c>
      <c r="F1956">
        <v>100</v>
      </c>
      <c r="G1956" t="s">
        <v>93</v>
      </c>
      <c r="H1956">
        <v>73.959999999999994</v>
      </c>
      <c r="I1956">
        <v>92</v>
      </c>
      <c r="J1956">
        <v>64.680000000000007</v>
      </c>
      <c r="K1956">
        <v>99</v>
      </c>
      <c r="L1956">
        <v>-26.11</v>
      </c>
      <c r="M1956">
        <v>86</v>
      </c>
      <c r="N1956">
        <v>30.64</v>
      </c>
      <c r="O1956">
        <v>94</v>
      </c>
      <c r="P1956">
        <v>-6.98</v>
      </c>
      <c r="Q1956">
        <v>98</v>
      </c>
      <c r="R1956">
        <v>2.96</v>
      </c>
      <c r="S1956">
        <v>86</v>
      </c>
      <c r="T1956">
        <v>6.94</v>
      </c>
      <c r="U1956">
        <v>92</v>
      </c>
      <c r="V1956">
        <v>1.83</v>
      </c>
      <c r="W1956">
        <v>79</v>
      </c>
      <c r="X1956" t="s">
        <v>94</v>
      </c>
      <c r="Y1956" t="s">
        <v>1976</v>
      </c>
      <c r="Z1956" t="s">
        <v>96</v>
      </c>
      <c r="AA1956" t="s">
        <v>1569</v>
      </c>
      <c r="AB1956" t="s">
        <v>9300</v>
      </c>
      <c r="AC1956">
        <v>551</v>
      </c>
      <c r="AD1956">
        <v>234</v>
      </c>
      <c r="AE1956">
        <v>99</v>
      </c>
      <c r="AF1956">
        <v>277.69</v>
      </c>
      <c r="AG1956">
        <v>13.09</v>
      </c>
      <c r="AH1956">
        <v>10.62</v>
      </c>
      <c r="AI1956">
        <v>0.04</v>
      </c>
      <c r="AJ1956">
        <v>0.02</v>
      </c>
      <c r="AK1956">
        <v>86</v>
      </c>
      <c r="AL1956">
        <v>525</v>
      </c>
      <c r="AM1956">
        <v>244</v>
      </c>
      <c r="AN1956">
        <v>3.16</v>
      </c>
      <c r="AO1956">
        <v>1.1000000000000001</v>
      </c>
      <c r="AP1956">
        <v>1262</v>
      </c>
      <c r="AQ1956">
        <v>4</v>
      </c>
      <c r="AR1956">
        <v>7.58</v>
      </c>
      <c r="AS1956">
        <v>93</v>
      </c>
      <c r="AT1956">
        <v>2.99</v>
      </c>
      <c r="AU1956">
        <v>96</v>
      </c>
      <c r="AV1956">
        <v>-3.56</v>
      </c>
      <c r="AW1956">
        <v>99</v>
      </c>
      <c r="AX1956">
        <v>-0.14000000000000001</v>
      </c>
      <c r="AY1956">
        <v>95</v>
      </c>
      <c r="AZ1956">
        <v>5.21</v>
      </c>
      <c r="BA1956">
        <v>86</v>
      </c>
      <c r="BB1956">
        <v>5.2</v>
      </c>
      <c r="BC1956">
        <v>79</v>
      </c>
      <c r="BD1956">
        <v>0.03</v>
      </c>
      <c r="BE1956">
        <v>-0.02</v>
      </c>
      <c r="BF1956">
        <v>-0.08</v>
      </c>
      <c r="BG1956">
        <v>96</v>
      </c>
      <c r="BH1956">
        <v>0.01</v>
      </c>
      <c r="BI1956">
        <v>-4.74</v>
      </c>
      <c r="BJ1956">
        <v>110</v>
      </c>
      <c r="BK1956">
        <v>47</v>
      </c>
      <c r="BL1956">
        <v>0.6</v>
      </c>
      <c r="BM1956">
        <v>2.16</v>
      </c>
      <c r="BN1956">
        <v>1.73</v>
      </c>
      <c r="BO1956">
        <v>0.49</v>
      </c>
      <c r="BP1956">
        <v>-0.77</v>
      </c>
      <c r="BQ1956">
        <v>1.98</v>
      </c>
      <c r="BR1956">
        <v>0.35</v>
      </c>
      <c r="BS1956">
        <v>1.39</v>
      </c>
      <c r="BT1956">
        <v>-0.28999999999999998</v>
      </c>
      <c r="BU1956">
        <v>1.43</v>
      </c>
      <c r="BV1956">
        <v>1.64</v>
      </c>
      <c r="BW1956">
        <v>-0.25</v>
      </c>
      <c r="BX1956">
        <v>0.26</v>
      </c>
      <c r="BY1956">
        <v>1.81</v>
      </c>
      <c r="BZ1956">
        <v>-1.68</v>
      </c>
      <c r="CA1956">
        <v>1.42</v>
      </c>
      <c r="CB1956">
        <v>1.35</v>
      </c>
      <c r="CC1956">
        <v>1.1499999999999999</v>
      </c>
      <c r="CD1956">
        <v>0.78</v>
      </c>
      <c r="CE1956">
        <v>0.54</v>
      </c>
      <c r="CF1956">
        <v>1.51</v>
      </c>
      <c r="CG1956">
        <v>0</v>
      </c>
      <c r="CH1956">
        <v>1.71</v>
      </c>
      <c r="CI1956">
        <v>0</v>
      </c>
      <c r="CJ1956">
        <v>-1.6</v>
      </c>
      <c r="CK1956">
        <v>98</v>
      </c>
      <c r="CL1956">
        <v>-0.98</v>
      </c>
      <c r="CM1956">
        <v>98</v>
      </c>
      <c r="CN1956">
        <v>-0.46</v>
      </c>
      <c r="CO1956">
        <v>98</v>
      </c>
      <c r="CP1956">
        <v>-0.3</v>
      </c>
      <c r="CQ1956">
        <v>93</v>
      </c>
      <c r="CR1956">
        <v>0</v>
      </c>
      <c r="CS1956">
        <v>0</v>
      </c>
      <c r="CT1956">
        <v>4.4000000000000004</v>
      </c>
      <c r="CU1956">
        <v>92</v>
      </c>
      <c r="CV1956">
        <v>0.12</v>
      </c>
      <c r="CW1956">
        <v>47</v>
      </c>
      <c r="CX1956" t="s">
        <v>358</v>
      </c>
    </row>
    <row r="1957" spans="1:102" x14ac:dyDescent="0.3">
      <c r="A1957" t="str">
        <f>HYPERLINK("https://webapp.icbf.com/v2/app/bull-search/view/678697439","SSZ")</f>
        <v>SSZ</v>
      </c>
      <c r="B1957" t="s">
        <v>7537</v>
      </c>
      <c r="C1957" t="s">
        <v>7538</v>
      </c>
      <c r="D1957" s="1">
        <v>39665</v>
      </c>
      <c r="E1957" t="s">
        <v>227</v>
      </c>
      <c r="F1957">
        <v>25</v>
      </c>
      <c r="G1957" t="s">
        <v>93</v>
      </c>
      <c r="H1957">
        <v>73.86</v>
      </c>
      <c r="I1957">
        <v>94</v>
      </c>
      <c r="J1957">
        <v>42.29</v>
      </c>
      <c r="K1957">
        <v>99</v>
      </c>
      <c r="L1957">
        <v>-3.03</v>
      </c>
      <c r="M1957">
        <v>90</v>
      </c>
      <c r="N1957">
        <v>35.9</v>
      </c>
      <c r="O1957">
        <v>95</v>
      </c>
      <c r="P1957">
        <v>-38.770000000000003</v>
      </c>
      <c r="Q1957">
        <v>98</v>
      </c>
      <c r="R1957">
        <v>-3.58</v>
      </c>
      <c r="S1957">
        <v>86</v>
      </c>
      <c r="T1957">
        <v>29.81</v>
      </c>
      <c r="U1957">
        <v>97</v>
      </c>
      <c r="V1957">
        <v>11.24</v>
      </c>
      <c r="W1957">
        <v>80</v>
      </c>
      <c r="X1957" t="s">
        <v>276</v>
      </c>
      <c r="Y1957" t="s">
        <v>329</v>
      </c>
      <c r="Z1957">
        <v>0</v>
      </c>
      <c r="AA1957" t="s">
        <v>333</v>
      </c>
      <c r="AB1957" t="s">
        <v>7539</v>
      </c>
      <c r="AC1957">
        <v>458</v>
      </c>
      <c r="AD1957">
        <v>141</v>
      </c>
      <c r="AE1957">
        <v>99</v>
      </c>
      <c r="AF1957">
        <v>26.94</v>
      </c>
      <c r="AG1957">
        <v>5.64</v>
      </c>
      <c r="AH1957">
        <v>5.61</v>
      </c>
      <c r="AI1957">
        <v>0.08</v>
      </c>
      <c r="AJ1957">
        <v>0.08</v>
      </c>
      <c r="AK1957">
        <v>90</v>
      </c>
      <c r="AL1957">
        <v>489</v>
      </c>
      <c r="AM1957">
        <v>148</v>
      </c>
      <c r="AN1957">
        <v>0.28999999999999998</v>
      </c>
      <c r="AO1957">
        <v>0.05</v>
      </c>
      <c r="AP1957">
        <v>860</v>
      </c>
      <c r="AQ1957">
        <v>5</v>
      </c>
      <c r="AR1957">
        <v>4.8600000000000003</v>
      </c>
      <c r="AS1957">
        <v>93</v>
      </c>
      <c r="AT1957">
        <v>1.97</v>
      </c>
      <c r="AU1957">
        <v>96</v>
      </c>
      <c r="AV1957">
        <v>-3.41</v>
      </c>
      <c r="AW1957">
        <v>99</v>
      </c>
      <c r="AX1957">
        <v>0.01</v>
      </c>
      <c r="AY1957">
        <v>95</v>
      </c>
      <c r="AZ1957">
        <v>8.33</v>
      </c>
      <c r="BA1957">
        <v>86</v>
      </c>
      <c r="BB1957">
        <v>5.56</v>
      </c>
      <c r="BC1957">
        <v>88</v>
      </c>
      <c r="BD1957">
        <v>-0.04</v>
      </c>
      <c r="BE1957">
        <v>0.01</v>
      </c>
      <c r="BF1957">
        <v>0.13</v>
      </c>
      <c r="BG1957">
        <v>96</v>
      </c>
      <c r="BH1957">
        <v>0.16</v>
      </c>
      <c r="BI1957">
        <v>-17.75</v>
      </c>
      <c r="BJ1957">
        <v>0</v>
      </c>
      <c r="BK1957">
        <v>0</v>
      </c>
      <c r="BL1957">
        <v>-2.0299999999999998</v>
      </c>
      <c r="BM1957">
        <v>0.57999999999999996</v>
      </c>
      <c r="BN1957">
        <v>-0.6</v>
      </c>
      <c r="BO1957">
        <v>-0.47</v>
      </c>
      <c r="BP1957">
        <v>-2</v>
      </c>
      <c r="BQ1957">
        <v>-2.4500000000000002</v>
      </c>
      <c r="BR1957">
        <v>1</v>
      </c>
      <c r="BS1957">
        <v>2.2400000000000002</v>
      </c>
      <c r="BT1957">
        <v>-0.79</v>
      </c>
      <c r="BU1957">
        <v>-1.32</v>
      </c>
      <c r="BV1957">
        <v>-1.1100000000000001</v>
      </c>
      <c r="BW1957">
        <v>-1.69</v>
      </c>
      <c r="BX1957">
        <v>-3.16</v>
      </c>
      <c r="BY1957">
        <v>-2.2200000000000002</v>
      </c>
      <c r="BZ1957">
        <v>-0.23</v>
      </c>
      <c r="CA1957">
        <v>-0.84</v>
      </c>
      <c r="CB1957">
        <v>-1.19</v>
      </c>
      <c r="CC1957">
        <v>1.17</v>
      </c>
      <c r="CD1957">
        <v>-0.92</v>
      </c>
      <c r="CE1957">
        <v>-0.48</v>
      </c>
      <c r="CF1957">
        <v>-3.07</v>
      </c>
      <c r="CG1957">
        <v>0</v>
      </c>
      <c r="CH1957">
        <v>-0.93</v>
      </c>
      <c r="CI1957">
        <v>0</v>
      </c>
      <c r="CJ1957">
        <v>-20.7</v>
      </c>
      <c r="CK1957">
        <v>98</v>
      </c>
      <c r="CL1957">
        <v>-0.84</v>
      </c>
      <c r="CM1957">
        <v>98</v>
      </c>
      <c r="CN1957">
        <v>-0.17</v>
      </c>
      <c r="CO1957">
        <v>98</v>
      </c>
      <c r="CP1957">
        <v>-23.5</v>
      </c>
      <c r="CQ1957">
        <v>96</v>
      </c>
      <c r="CR1957">
        <v>0</v>
      </c>
      <c r="CS1957">
        <v>0</v>
      </c>
      <c r="CT1957">
        <v>-26.5</v>
      </c>
      <c r="CU1957">
        <v>97</v>
      </c>
      <c r="CV1957">
        <v>-0.04</v>
      </c>
      <c r="CW1957">
        <v>46</v>
      </c>
      <c r="CX1957" t="s">
        <v>7540</v>
      </c>
    </row>
    <row r="1958" spans="1:102" x14ac:dyDescent="0.3">
      <c r="A1958" t="str">
        <f>HYPERLINK("https://webapp.icbf.com/v2/app/bull-search/view/69091822","GYC")</f>
        <v>GYC</v>
      </c>
      <c r="B1958" t="s">
        <v>10528</v>
      </c>
      <c r="C1958" t="s">
        <v>10529</v>
      </c>
      <c r="D1958" s="1">
        <v>33111</v>
      </c>
      <c r="E1958" t="s">
        <v>227</v>
      </c>
      <c r="F1958">
        <v>0</v>
      </c>
      <c r="G1958" t="s">
        <v>109</v>
      </c>
      <c r="H1958">
        <v>73.86</v>
      </c>
      <c r="I1958">
        <v>49</v>
      </c>
      <c r="J1958">
        <v>2.31</v>
      </c>
      <c r="K1958">
        <v>83</v>
      </c>
      <c r="L1958">
        <v>33.840000000000003</v>
      </c>
      <c r="M1958">
        <v>42</v>
      </c>
      <c r="N1958">
        <v>31.82</v>
      </c>
      <c r="O1958">
        <v>25</v>
      </c>
      <c r="P1958">
        <v>-43.63</v>
      </c>
      <c r="Q1958">
        <v>24</v>
      </c>
      <c r="R1958">
        <v>-3.25</v>
      </c>
      <c r="S1958">
        <v>28</v>
      </c>
      <c r="T1958">
        <v>48.31</v>
      </c>
      <c r="U1958">
        <v>19</v>
      </c>
      <c r="V1958">
        <v>4.46</v>
      </c>
      <c r="W1958">
        <v>26</v>
      </c>
      <c r="X1958" t="s">
        <v>102</v>
      </c>
      <c r="Y1958" t="s">
        <v>95</v>
      </c>
      <c r="Z1958">
        <v>0</v>
      </c>
      <c r="AA1958" t="s">
        <v>10530</v>
      </c>
      <c r="AB1958" t="s">
        <v>10531</v>
      </c>
      <c r="AC1958">
        <v>0</v>
      </c>
      <c r="AD1958">
        <v>0</v>
      </c>
      <c r="AE1958">
        <v>83</v>
      </c>
      <c r="AF1958">
        <v>-598.20000000000005</v>
      </c>
      <c r="AG1958">
        <v>3.47</v>
      </c>
      <c r="AH1958">
        <v>-9.99</v>
      </c>
      <c r="AI1958">
        <v>0.49</v>
      </c>
      <c r="AJ1958">
        <v>0.19</v>
      </c>
      <c r="AK1958">
        <v>42</v>
      </c>
      <c r="AL1958">
        <v>0</v>
      </c>
      <c r="AM1958">
        <v>0</v>
      </c>
      <c r="AN1958">
        <v>-1.77</v>
      </c>
      <c r="AO1958">
        <v>0.93</v>
      </c>
      <c r="AP1958">
        <v>2</v>
      </c>
      <c r="AQ1958">
        <v>0</v>
      </c>
      <c r="AR1958">
        <v>2.69</v>
      </c>
      <c r="AS1958">
        <v>9</v>
      </c>
      <c r="AT1958">
        <v>1.48</v>
      </c>
      <c r="AU1958">
        <v>22</v>
      </c>
      <c r="AV1958">
        <v>-2.23</v>
      </c>
      <c r="AW1958">
        <v>33</v>
      </c>
      <c r="AX1958">
        <v>1.42</v>
      </c>
      <c r="AY1958">
        <v>29</v>
      </c>
      <c r="AZ1958">
        <v>7.36</v>
      </c>
      <c r="BA1958">
        <v>9</v>
      </c>
      <c r="BB1958">
        <v>5.36</v>
      </c>
      <c r="BC1958">
        <v>15</v>
      </c>
      <c r="BD1958">
        <v>-0.02</v>
      </c>
      <c r="BE1958">
        <v>0.02</v>
      </c>
      <c r="BF1958">
        <v>7.0000000000000007E-2</v>
      </c>
      <c r="BG1958">
        <v>34</v>
      </c>
      <c r="BH1958">
        <v>7.0000000000000007E-2</v>
      </c>
      <c r="BI1958">
        <v>-6.3</v>
      </c>
      <c r="BJ1958">
        <v>0</v>
      </c>
      <c r="BK1958">
        <v>0</v>
      </c>
      <c r="BL1958">
        <v>-2.5499999999999998</v>
      </c>
      <c r="BM1958">
        <v>-1.66</v>
      </c>
      <c r="BN1958">
        <v>-0.08</v>
      </c>
      <c r="BO1958">
        <v>1.19</v>
      </c>
      <c r="BP1958">
        <v>-1.43</v>
      </c>
      <c r="BQ1958">
        <v>-5.57</v>
      </c>
      <c r="BR1958">
        <v>2.62</v>
      </c>
      <c r="BS1958">
        <v>7.11</v>
      </c>
      <c r="BT1958">
        <v>-0.76</v>
      </c>
      <c r="BU1958">
        <v>-0.99</v>
      </c>
      <c r="BV1958">
        <v>-0.42</v>
      </c>
      <c r="BW1958">
        <v>-2.65</v>
      </c>
      <c r="BX1958">
        <v>-3.61</v>
      </c>
      <c r="BY1958">
        <v>-0.15</v>
      </c>
      <c r="BZ1958">
        <v>-0.48</v>
      </c>
      <c r="CA1958">
        <v>1.0900000000000001</v>
      </c>
      <c r="CB1958">
        <v>-0.71</v>
      </c>
      <c r="CC1958">
        <v>4.42</v>
      </c>
      <c r="CD1958">
        <v>-2.27</v>
      </c>
      <c r="CE1958">
        <v>0.7</v>
      </c>
      <c r="CF1958">
        <v>-2.81</v>
      </c>
      <c r="CG1958">
        <v>0</v>
      </c>
      <c r="CH1958">
        <v>-1.36</v>
      </c>
      <c r="CI1958">
        <v>0</v>
      </c>
      <c r="CJ1958">
        <v>-22.5</v>
      </c>
      <c r="CK1958">
        <v>26</v>
      </c>
      <c r="CL1958">
        <v>-0.75</v>
      </c>
      <c r="CM1958">
        <v>23</v>
      </c>
      <c r="CN1958">
        <v>-0.08</v>
      </c>
      <c r="CO1958">
        <v>20</v>
      </c>
      <c r="CP1958">
        <v>-38.5</v>
      </c>
      <c r="CQ1958">
        <v>25</v>
      </c>
      <c r="CR1958">
        <v>0</v>
      </c>
      <c r="CS1958">
        <v>0</v>
      </c>
      <c r="CT1958">
        <v>-51.5</v>
      </c>
      <c r="CU1958">
        <v>19</v>
      </c>
      <c r="CV1958">
        <v>-0.18</v>
      </c>
      <c r="CW1958">
        <v>6</v>
      </c>
      <c r="CX1958" t="s">
        <v>10532</v>
      </c>
    </row>
    <row r="1959" spans="1:102" x14ac:dyDescent="0.3">
      <c r="A1959" t="str">
        <f>HYPERLINK("https://webapp.icbf.com/v2/app/bull-search/view/1194906902","FR2171")</f>
        <v>FR2171</v>
      </c>
      <c r="B1959" t="s">
        <v>14780</v>
      </c>
      <c r="C1959" t="s">
        <v>14781</v>
      </c>
      <c r="D1959" s="1">
        <v>41652</v>
      </c>
      <c r="E1959" t="s">
        <v>92</v>
      </c>
      <c r="F1959">
        <v>100</v>
      </c>
      <c r="G1959" t="s">
        <v>109</v>
      </c>
      <c r="H1959">
        <v>73.67</v>
      </c>
      <c r="I1959">
        <v>69</v>
      </c>
      <c r="J1959">
        <v>68.59</v>
      </c>
      <c r="K1959">
        <v>91</v>
      </c>
      <c r="L1959">
        <v>-27.84</v>
      </c>
      <c r="M1959">
        <v>70</v>
      </c>
      <c r="N1959">
        <v>27.88</v>
      </c>
      <c r="O1959">
        <v>50</v>
      </c>
      <c r="P1959">
        <v>-6.53</v>
      </c>
      <c r="Q1959">
        <v>38</v>
      </c>
      <c r="R1959">
        <v>16.079999999999998</v>
      </c>
      <c r="S1959">
        <v>68</v>
      </c>
      <c r="T1959">
        <v>-11.26</v>
      </c>
      <c r="U1959">
        <v>35</v>
      </c>
      <c r="V1959">
        <v>6.75</v>
      </c>
      <c r="W1959">
        <v>59</v>
      </c>
      <c r="X1959" t="s">
        <v>251</v>
      </c>
      <c r="Y1959" t="s">
        <v>405</v>
      </c>
      <c r="Z1959" t="s">
        <v>96</v>
      </c>
      <c r="AA1959" t="s">
        <v>13220</v>
      </c>
      <c r="AB1959" t="s">
        <v>14782</v>
      </c>
      <c r="AC1959">
        <v>0</v>
      </c>
      <c r="AD1959">
        <v>0</v>
      </c>
      <c r="AE1959">
        <v>91</v>
      </c>
      <c r="AF1959">
        <v>206.93</v>
      </c>
      <c r="AG1959">
        <v>13.01</v>
      </c>
      <c r="AH1959">
        <v>10.23</v>
      </c>
      <c r="AI1959">
        <v>0.08</v>
      </c>
      <c r="AJ1959">
        <v>0.06</v>
      </c>
      <c r="AK1959">
        <v>70</v>
      </c>
      <c r="AL1959">
        <v>0</v>
      </c>
      <c r="AM1959">
        <v>0</v>
      </c>
      <c r="AN1959">
        <v>2.2799999999999998</v>
      </c>
      <c r="AO1959">
        <v>7.0000000000000007E-2</v>
      </c>
      <c r="AP1959">
        <v>2</v>
      </c>
      <c r="AQ1959">
        <v>0</v>
      </c>
      <c r="AR1959">
        <v>8.19</v>
      </c>
      <c r="AS1959">
        <v>53</v>
      </c>
      <c r="AT1959">
        <v>3.64</v>
      </c>
      <c r="AU1959">
        <v>74</v>
      </c>
      <c r="AV1959">
        <v>-4.18</v>
      </c>
      <c r="AW1959">
        <v>42</v>
      </c>
      <c r="AX1959">
        <v>0.22</v>
      </c>
      <c r="AY1959">
        <v>40</v>
      </c>
      <c r="AZ1959">
        <v>5.92</v>
      </c>
      <c r="BA1959">
        <v>38</v>
      </c>
      <c r="BB1959">
        <v>4.8</v>
      </c>
      <c r="BC1959">
        <v>38</v>
      </c>
      <c r="BD1959">
        <v>-0.04</v>
      </c>
      <c r="BE1959">
        <v>-7.0000000000000007E-2</v>
      </c>
      <c r="BF1959">
        <v>-0.17</v>
      </c>
      <c r="BG1959">
        <v>81</v>
      </c>
      <c r="BH1959">
        <v>-0.01</v>
      </c>
      <c r="BI1959">
        <v>-22.92</v>
      </c>
      <c r="BJ1959">
        <v>0</v>
      </c>
      <c r="BK1959">
        <v>0</v>
      </c>
      <c r="BL1959">
        <v>2.1</v>
      </c>
      <c r="BM1959">
        <v>1.19</v>
      </c>
      <c r="BN1959">
        <v>1.82</v>
      </c>
      <c r="BO1959">
        <v>1.29</v>
      </c>
      <c r="BP1959">
        <v>1.27</v>
      </c>
      <c r="BQ1959">
        <v>2.5299999999999998</v>
      </c>
      <c r="BR1959">
        <v>-1.44</v>
      </c>
      <c r="BS1959">
        <v>2.2200000000000002</v>
      </c>
      <c r="BT1959">
        <v>2.67</v>
      </c>
      <c r="BU1959">
        <v>2.98</v>
      </c>
      <c r="BV1959">
        <v>2.2599999999999998</v>
      </c>
      <c r="BW1959">
        <v>1.96</v>
      </c>
      <c r="BX1959">
        <v>2.37</v>
      </c>
      <c r="BY1959">
        <v>3.19</v>
      </c>
      <c r="BZ1959">
        <v>-1.62</v>
      </c>
      <c r="CA1959">
        <v>3.46</v>
      </c>
      <c r="CB1959">
        <v>2.84</v>
      </c>
      <c r="CC1959">
        <v>2.99</v>
      </c>
      <c r="CD1959">
        <v>0.37</v>
      </c>
      <c r="CE1959">
        <v>1.0900000000000001</v>
      </c>
      <c r="CF1959">
        <v>1.64</v>
      </c>
      <c r="CG1959">
        <v>0</v>
      </c>
      <c r="CH1959">
        <v>3.44</v>
      </c>
      <c r="CI1959">
        <v>0</v>
      </c>
      <c r="CJ1959">
        <v>-2.6</v>
      </c>
      <c r="CK1959">
        <v>39</v>
      </c>
      <c r="CL1959">
        <v>-1.39</v>
      </c>
      <c r="CM1959">
        <v>38</v>
      </c>
      <c r="CN1959">
        <v>-0.87</v>
      </c>
      <c r="CO1959">
        <v>38</v>
      </c>
      <c r="CP1959">
        <v>8.1</v>
      </c>
      <c r="CQ1959">
        <v>36</v>
      </c>
      <c r="CR1959">
        <v>0</v>
      </c>
      <c r="CS1959">
        <v>0</v>
      </c>
      <c r="CT1959">
        <v>29</v>
      </c>
      <c r="CU1959">
        <v>35</v>
      </c>
      <c r="CV1959">
        <v>0.2</v>
      </c>
      <c r="CW1959">
        <v>33</v>
      </c>
      <c r="CX1959" t="s">
        <v>14783</v>
      </c>
    </row>
    <row r="1960" spans="1:102" x14ac:dyDescent="0.3">
      <c r="A1960" t="str">
        <f>HYPERLINK("https://webapp.icbf.com/v2/app/bull-search/view/491168734","WRJ")</f>
        <v>WRJ</v>
      </c>
      <c r="B1960" t="s">
        <v>8198</v>
      </c>
      <c r="C1960" t="s">
        <v>8199</v>
      </c>
      <c r="D1960" s="1">
        <v>38548</v>
      </c>
      <c r="E1960" t="s">
        <v>92</v>
      </c>
      <c r="F1960">
        <v>100</v>
      </c>
      <c r="G1960" t="s">
        <v>93</v>
      </c>
      <c r="H1960">
        <v>73.66</v>
      </c>
      <c r="I1960">
        <v>90</v>
      </c>
      <c r="J1960">
        <v>93.02</v>
      </c>
      <c r="K1960">
        <v>97</v>
      </c>
      <c r="L1960">
        <v>-42.76</v>
      </c>
      <c r="M1960">
        <v>86</v>
      </c>
      <c r="N1960">
        <v>29.7</v>
      </c>
      <c r="O1960">
        <v>87</v>
      </c>
      <c r="P1960">
        <v>-4.7300000000000004</v>
      </c>
      <c r="Q1960">
        <v>93</v>
      </c>
      <c r="R1960">
        <v>-4.12</v>
      </c>
      <c r="S1960">
        <v>83</v>
      </c>
      <c r="T1960">
        <v>3.54</v>
      </c>
      <c r="U1960">
        <v>88</v>
      </c>
      <c r="V1960">
        <v>-0.99</v>
      </c>
      <c r="W1960">
        <v>80</v>
      </c>
      <c r="X1960" t="s">
        <v>251</v>
      </c>
      <c r="Y1960" t="s">
        <v>1423</v>
      </c>
      <c r="Z1960" t="s">
        <v>96</v>
      </c>
      <c r="AA1960" t="s">
        <v>316</v>
      </c>
      <c r="AB1960" t="s">
        <v>8200</v>
      </c>
      <c r="AC1960">
        <v>101</v>
      </c>
      <c r="AD1960">
        <v>55</v>
      </c>
      <c r="AE1960">
        <v>97</v>
      </c>
      <c r="AF1960">
        <v>414.55</v>
      </c>
      <c r="AG1960">
        <v>14.94</v>
      </c>
      <c r="AH1960">
        <v>16.88</v>
      </c>
      <c r="AI1960">
        <v>-0.02</v>
      </c>
      <c r="AJ1960">
        <v>0.05</v>
      </c>
      <c r="AK1960">
        <v>86</v>
      </c>
      <c r="AL1960">
        <v>97</v>
      </c>
      <c r="AM1960">
        <v>57</v>
      </c>
      <c r="AN1960">
        <v>1.58</v>
      </c>
      <c r="AO1960">
        <v>-1.84</v>
      </c>
      <c r="AP1960">
        <v>230</v>
      </c>
      <c r="AQ1960">
        <v>0</v>
      </c>
      <c r="AR1960">
        <v>4.78</v>
      </c>
      <c r="AS1960">
        <v>77</v>
      </c>
      <c r="AT1960">
        <v>1.81</v>
      </c>
      <c r="AU1960">
        <v>90</v>
      </c>
      <c r="AV1960">
        <v>-2.37</v>
      </c>
      <c r="AW1960">
        <v>94</v>
      </c>
      <c r="AX1960">
        <v>-0.24</v>
      </c>
      <c r="AY1960">
        <v>84</v>
      </c>
      <c r="AZ1960">
        <v>8.2899999999999991</v>
      </c>
      <c r="BA1960">
        <v>68</v>
      </c>
      <c r="BB1960">
        <v>5.53</v>
      </c>
      <c r="BC1960">
        <v>70</v>
      </c>
      <c r="BD1960">
        <v>0.01</v>
      </c>
      <c r="BE1960">
        <v>0.02</v>
      </c>
      <c r="BF1960">
        <v>0.04</v>
      </c>
      <c r="BG1960">
        <v>91</v>
      </c>
      <c r="BH1960">
        <v>-0.05</v>
      </c>
      <c r="BI1960">
        <v>-2.59</v>
      </c>
      <c r="BJ1960">
        <v>16</v>
      </c>
      <c r="BK1960">
        <v>11</v>
      </c>
      <c r="BL1960">
        <v>0.51</v>
      </c>
      <c r="BM1960">
        <v>0.44</v>
      </c>
      <c r="BN1960">
        <v>-0.28999999999999998</v>
      </c>
      <c r="BO1960">
        <v>-0.32</v>
      </c>
      <c r="BP1960">
        <v>0.55000000000000004</v>
      </c>
      <c r="BQ1960">
        <v>0</v>
      </c>
      <c r="BR1960">
        <v>-0.64</v>
      </c>
      <c r="BS1960">
        <v>-1.71</v>
      </c>
      <c r="BT1960">
        <v>0.03</v>
      </c>
      <c r="BU1960">
        <v>-0.24</v>
      </c>
      <c r="BV1960">
        <v>0.05</v>
      </c>
      <c r="BW1960">
        <v>-0.15</v>
      </c>
      <c r="BX1960">
        <v>0.93</v>
      </c>
      <c r="BY1960">
        <v>-0.82</v>
      </c>
      <c r="BZ1960">
        <v>-1.65</v>
      </c>
      <c r="CA1960">
        <v>-0.9</v>
      </c>
      <c r="CB1960">
        <v>-0.55000000000000004</v>
      </c>
      <c r="CC1960">
        <v>-1.27</v>
      </c>
      <c r="CD1960">
        <v>0.08</v>
      </c>
      <c r="CE1960">
        <v>0.46</v>
      </c>
      <c r="CF1960">
        <v>1.1000000000000001</v>
      </c>
      <c r="CG1960">
        <v>0</v>
      </c>
      <c r="CH1960">
        <v>-1.01</v>
      </c>
      <c r="CI1960">
        <v>0</v>
      </c>
      <c r="CJ1960">
        <v>-0.4</v>
      </c>
      <c r="CK1960">
        <v>94</v>
      </c>
      <c r="CL1960">
        <v>-0.78</v>
      </c>
      <c r="CM1960">
        <v>93</v>
      </c>
      <c r="CN1960">
        <v>-0.31</v>
      </c>
      <c r="CO1960">
        <v>92</v>
      </c>
      <c r="CP1960">
        <v>1.6</v>
      </c>
      <c r="CQ1960">
        <v>90</v>
      </c>
      <c r="CR1960">
        <v>0</v>
      </c>
      <c r="CS1960">
        <v>0</v>
      </c>
      <c r="CT1960">
        <v>9</v>
      </c>
      <c r="CU1960">
        <v>88</v>
      </c>
      <c r="CV1960">
        <v>0.19</v>
      </c>
      <c r="CW1960">
        <v>47</v>
      </c>
      <c r="CX1960" t="s">
        <v>906</v>
      </c>
    </row>
    <row r="1961" spans="1:102" x14ac:dyDescent="0.3">
      <c r="A1961" t="str">
        <f>HYPERLINK("https://webapp.icbf.com/v2/app/bull-search/view/390704503","KRI")</f>
        <v>KRI</v>
      </c>
      <c r="B1961" t="s">
        <v>11857</v>
      </c>
      <c r="C1961" t="s">
        <v>11858</v>
      </c>
      <c r="D1961" s="1">
        <v>38375</v>
      </c>
      <c r="E1961" t="s">
        <v>92</v>
      </c>
      <c r="F1961">
        <v>94</v>
      </c>
      <c r="G1961" t="s">
        <v>93</v>
      </c>
      <c r="H1961">
        <v>73.569999999999993</v>
      </c>
      <c r="I1961">
        <v>93</v>
      </c>
      <c r="J1961">
        <v>-5.22</v>
      </c>
      <c r="K1961">
        <v>98</v>
      </c>
      <c r="L1961">
        <v>31.6</v>
      </c>
      <c r="M1961">
        <v>88</v>
      </c>
      <c r="N1961">
        <v>32.94</v>
      </c>
      <c r="O1961">
        <v>93</v>
      </c>
      <c r="P1961">
        <v>-12.63</v>
      </c>
      <c r="Q1961">
        <v>97</v>
      </c>
      <c r="R1961">
        <v>-6</v>
      </c>
      <c r="S1961">
        <v>90</v>
      </c>
      <c r="T1961">
        <v>19.75</v>
      </c>
      <c r="U1961">
        <v>96</v>
      </c>
      <c r="V1961">
        <v>13.13</v>
      </c>
      <c r="W1961">
        <v>92</v>
      </c>
      <c r="X1961" t="s">
        <v>94</v>
      </c>
      <c r="Y1961" t="s">
        <v>1164</v>
      </c>
      <c r="Z1961" t="s">
        <v>96</v>
      </c>
      <c r="AA1961" t="s">
        <v>1165</v>
      </c>
      <c r="AB1961" t="s">
        <v>11859</v>
      </c>
      <c r="AC1961">
        <v>248</v>
      </c>
      <c r="AD1961">
        <v>159</v>
      </c>
      <c r="AE1961">
        <v>98</v>
      </c>
      <c r="AF1961">
        <v>-174.38</v>
      </c>
      <c r="AG1961">
        <v>1.28</v>
      </c>
      <c r="AH1961">
        <v>-4.01</v>
      </c>
      <c r="AI1961">
        <v>0.15</v>
      </c>
      <c r="AJ1961">
        <v>0.03</v>
      </c>
      <c r="AK1961">
        <v>88</v>
      </c>
      <c r="AL1961">
        <v>282</v>
      </c>
      <c r="AM1961">
        <v>179</v>
      </c>
      <c r="AN1961">
        <v>-0.92</v>
      </c>
      <c r="AO1961">
        <v>1.61</v>
      </c>
      <c r="AP1961">
        <v>535</v>
      </c>
      <c r="AQ1961">
        <v>2</v>
      </c>
      <c r="AR1961">
        <v>5.6</v>
      </c>
      <c r="AS1961">
        <v>89</v>
      </c>
      <c r="AT1961">
        <v>2.11</v>
      </c>
      <c r="AU1961">
        <v>94</v>
      </c>
      <c r="AV1961">
        <v>-2.21</v>
      </c>
      <c r="AW1961">
        <v>99</v>
      </c>
      <c r="AX1961">
        <v>-0.19</v>
      </c>
      <c r="AY1961">
        <v>92</v>
      </c>
      <c r="AZ1961">
        <v>5.61</v>
      </c>
      <c r="BA1961">
        <v>80</v>
      </c>
      <c r="BB1961">
        <v>4.75</v>
      </c>
      <c r="BC1961">
        <v>83</v>
      </c>
      <c r="BD1961">
        <v>0.03</v>
      </c>
      <c r="BE1961">
        <v>0.02</v>
      </c>
      <c r="BF1961">
        <v>0.05</v>
      </c>
      <c r="BG1961">
        <v>94</v>
      </c>
      <c r="BH1961">
        <v>0.3</v>
      </c>
      <c r="BI1961">
        <v>-7.66</v>
      </c>
      <c r="BJ1961">
        <v>52</v>
      </c>
      <c r="BK1961">
        <v>40</v>
      </c>
      <c r="BL1961">
        <v>0.39</v>
      </c>
      <c r="BM1961">
        <v>-1.1000000000000001</v>
      </c>
      <c r="BN1961">
        <v>-1.87</v>
      </c>
      <c r="BO1961">
        <v>-0.39</v>
      </c>
      <c r="BP1961">
        <v>2.4900000000000002</v>
      </c>
      <c r="BQ1961">
        <v>-0.62</v>
      </c>
      <c r="BR1961">
        <v>0.17</v>
      </c>
      <c r="BS1961">
        <v>-1.8</v>
      </c>
      <c r="BT1961">
        <v>-0.1</v>
      </c>
      <c r="BU1961">
        <v>1.2</v>
      </c>
      <c r="BV1961">
        <v>1.73</v>
      </c>
      <c r="BW1961">
        <v>1.41</v>
      </c>
      <c r="BX1961">
        <v>2.31</v>
      </c>
      <c r="BY1961">
        <v>0.39</v>
      </c>
      <c r="BZ1961">
        <v>-3.1</v>
      </c>
      <c r="CA1961">
        <v>0.97</v>
      </c>
      <c r="CB1961">
        <v>1.23</v>
      </c>
      <c r="CC1961">
        <v>-0.74</v>
      </c>
      <c r="CD1961">
        <v>-0.08</v>
      </c>
      <c r="CE1961">
        <v>-0.38</v>
      </c>
      <c r="CF1961">
        <v>-0.44</v>
      </c>
      <c r="CG1961">
        <v>0</v>
      </c>
      <c r="CH1961">
        <v>0.6</v>
      </c>
      <c r="CI1961">
        <v>0</v>
      </c>
      <c r="CJ1961">
        <v>-3.8</v>
      </c>
      <c r="CK1961">
        <v>97</v>
      </c>
      <c r="CL1961">
        <v>-0.89</v>
      </c>
      <c r="CM1961">
        <v>97</v>
      </c>
      <c r="CN1961">
        <v>-0.25</v>
      </c>
      <c r="CO1961">
        <v>96</v>
      </c>
      <c r="CP1961">
        <v>-7.5</v>
      </c>
      <c r="CQ1961">
        <v>96</v>
      </c>
      <c r="CR1961">
        <v>0</v>
      </c>
      <c r="CS1961">
        <v>0</v>
      </c>
      <c r="CT1961">
        <v>-12.9</v>
      </c>
      <c r="CU1961">
        <v>96</v>
      </c>
      <c r="CV1961">
        <v>0.23</v>
      </c>
      <c r="CW1961">
        <v>47</v>
      </c>
      <c r="CX1961" t="s">
        <v>256</v>
      </c>
    </row>
    <row r="1962" spans="1:102" x14ac:dyDescent="0.3">
      <c r="A1962" t="str">
        <f>HYPERLINK("https://webapp.icbf.com/v2/app/bull-search/view/1348920666","FR2331")</f>
        <v>FR2331</v>
      </c>
      <c r="B1962" t="s">
        <v>6110</v>
      </c>
      <c r="C1962" t="s">
        <v>6111</v>
      </c>
      <c r="D1962" s="1">
        <v>41852</v>
      </c>
      <c r="E1962" t="s">
        <v>92</v>
      </c>
      <c r="F1962">
        <v>100</v>
      </c>
      <c r="G1962" t="s">
        <v>109</v>
      </c>
      <c r="H1962">
        <v>73.540000000000006</v>
      </c>
      <c r="I1962">
        <v>68</v>
      </c>
      <c r="J1962">
        <v>64.069999999999993</v>
      </c>
      <c r="K1962">
        <v>88</v>
      </c>
      <c r="L1962">
        <v>-19.7</v>
      </c>
      <c r="M1962">
        <v>66</v>
      </c>
      <c r="N1962">
        <v>31.75</v>
      </c>
      <c r="O1962">
        <v>69</v>
      </c>
      <c r="P1962">
        <v>-4.1500000000000004</v>
      </c>
      <c r="Q1962">
        <v>40</v>
      </c>
      <c r="R1962">
        <v>7.16</v>
      </c>
      <c r="S1962">
        <v>63</v>
      </c>
      <c r="T1962">
        <v>-9.7799999999999994</v>
      </c>
      <c r="U1962">
        <v>36</v>
      </c>
      <c r="V1962">
        <v>4.1900000000000004</v>
      </c>
      <c r="W1962">
        <v>52</v>
      </c>
      <c r="X1962" t="s">
        <v>234</v>
      </c>
      <c r="Y1962" t="s">
        <v>429</v>
      </c>
      <c r="Z1962" t="s">
        <v>96</v>
      </c>
      <c r="AA1962" t="s">
        <v>1999</v>
      </c>
      <c r="AB1962" t="s">
        <v>6112</v>
      </c>
      <c r="AC1962">
        <v>0</v>
      </c>
      <c r="AD1962">
        <v>0</v>
      </c>
      <c r="AE1962">
        <v>88</v>
      </c>
      <c r="AF1962">
        <v>502.05</v>
      </c>
      <c r="AG1962">
        <v>19.760000000000002</v>
      </c>
      <c r="AH1962">
        <v>11.59</v>
      </c>
      <c r="AI1962">
        <v>0</v>
      </c>
      <c r="AJ1962">
        <v>-0.09</v>
      </c>
      <c r="AK1962">
        <v>66</v>
      </c>
      <c r="AL1962">
        <v>0</v>
      </c>
      <c r="AM1962">
        <v>0</v>
      </c>
      <c r="AN1962">
        <v>1.94</v>
      </c>
      <c r="AO1962">
        <v>0.38</v>
      </c>
      <c r="AP1962">
        <v>54</v>
      </c>
      <c r="AQ1962">
        <v>0</v>
      </c>
      <c r="AR1962">
        <v>6.2</v>
      </c>
      <c r="AS1962">
        <v>53</v>
      </c>
      <c r="AT1962">
        <v>2.21</v>
      </c>
      <c r="AU1962">
        <v>83</v>
      </c>
      <c r="AV1962">
        <v>-2.58</v>
      </c>
      <c r="AW1962">
        <v>83</v>
      </c>
      <c r="AX1962">
        <v>-0.68</v>
      </c>
      <c r="AY1962">
        <v>55</v>
      </c>
      <c r="AZ1962">
        <v>6.09</v>
      </c>
      <c r="BA1962">
        <v>34</v>
      </c>
      <c r="BB1962">
        <v>5.31</v>
      </c>
      <c r="BC1962">
        <v>33</v>
      </c>
      <c r="BD1962">
        <v>-0.04</v>
      </c>
      <c r="BE1962">
        <v>-0.02</v>
      </c>
      <c r="BF1962">
        <v>-0.06</v>
      </c>
      <c r="BG1962">
        <v>79</v>
      </c>
      <c r="BH1962">
        <v>0.03</v>
      </c>
      <c r="BI1962">
        <v>-10.039999999999999</v>
      </c>
      <c r="BJ1962">
        <v>1</v>
      </c>
      <c r="BK1962">
        <v>1</v>
      </c>
      <c r="BL1962">
        <v>1.32</v>
      </c>
      <c r="BM1962">
        <v>-0.11</v>
      </c>
      <c r="BN1962">
        <v>0.19</v>
      </c>
      <c r="BO1962">
        <v>1.1200000000000001</v>
      </c>
      <c r="BP1962">
        <v>0.86</v>
      </c>
      <c r="BQ1962">
        <v>0.94</v>
      </c>
      <c r="BR1962">
        <v>-1.26</v>
      </c>
      <c r="BS1962">
        <v>1.4</v>
      </c>
      <c r="BT1962">
        <v>0.56999999999999995</v>
      </c>
      <c r="BU1962">
        <v>2.09</v>
      </c>
      <c r="BV1962">
        <v>2.3199999999999998</v>
      </c>
      <c r="BW1962">
        <v>1.5</v>
      </c>
      <c r="BX1962">
        <v>1.65</v>
      </c>
      <c r="BY1962">
        <v>1.42</v>
      </c>
      <c r="BZ1962">
        <v>-0.23</v>
      </c>
      <c r="CA1962">
        <v>1.82</v>
      </c>
      <c r="CB1962">
        <v>1.99</v>
      </c>
      <c r="CC1962">
        <v>1.25</v>
      </c>
      <c r="CD1962">
        <v>-0.16</v>
      </c>
      <c r="CE1962">
        <v>1.49</v>
      </c>
      <c r="CF1962">
        <v>1.41</v>
      </c>
      <c r="CG1962">
        <v>0</v>
      </c>
      <c r="CH1962">
        <v>0.74</v>
      </c>
      <c r="CI1962">
        <v>0</v>
      </c>
      <c r="CJ1962">
        <v>-0.8</v>
      </c>
      <c r="CK1962">
        <v>41</v>
      </c>
      <c r="CL1962">
        <v>-1.23</v>
      </c>
      <c r="CM1962">
        <v>39</v>
      </c>
      <c r="CN1962">
        <v>-0.72</v>
      </c>
      <c r="CO1962">
        <v>39</v>
      </c>
      <c r="CP1962">
        <v>8.1</v>
      </c>
      <c r="CQ1962">
        <v>37</v>
      </c>
      <c r="CR1962">
        <v>0</v>
      </c>
      <c r="CS1962">
        <v>0</v>
      </c>
      <c r="CT1962">
        <v>27</v>
      </c>
      <c r="CU1962">
        <v>36</v>
      </c>
      <c r="CV1962">
        <v>0.17</v>
      </c>
      <c r="CW1962">
        <v>33</v>
      </c>
      <c r="CX1962" t="s">
        <v>401</v>
      </c>
    </row>
    <row r="1963" spans="1:102" x14ac:dyDescent="0.3">
      <c r="A1963" t="str">
        <f>HYPERLINK("https://webapp.icbf.com/v2/app/bull-search/view/139188010","MLX")</f>
        <v>MLX</v>
      </c>
      <c r="B1963" t="s">
        <v>10006</v>
      </c>
      <c r="C1963" t="s">
        <v>10007</v>
      </c>
      <c r="D1963" s="1">
        <v>35305</v>
      </c>
      <c r="E1963" t="s">
        <v>140</v>
      </c>
      <c r="F1963">
        <v>0</v>
      </c>
      <c r="G1963" t="s">
        <v>93</v>
      </c>
      <c r="H1963">
        <v>73.52</v>
      </c>
      <c r="I1963">
        <v>93</v>
      </c>
      <c r="J1963">
        <v>-10.18</v>
      </c>
      <c r="K1963">
        <v>98</v>
      </c>
      <c r="L1963">
        <v>74.17</v>
      </c>
      <c r="M1963">
        <v>87</v>
      </c>
      <c r="N1963">
        <v>2.3199999999999998</v>
      </c>
      <c r="O1963">
        <v>93</v>
      </c>
      <c r="P1963">
        <v>22.74</v>
      </c>
      <c r="Q1963">
        <v>98</v>
      </c>
      <c r="R1963">
        <v>-2.65</v>
      </c>
      <c r="S1963">
        <v>90</v>
      </c>
      <c r="T1963">
        <v>3.91</v>
      </c>
      <c r="U1963">
        <v>96</v>
      </c>
      <c r="V1963">
        <v>-16.79</v>
      </c>
      <c r="W1963">
        <v>90</v>
      </c>
      <c r="X1963" t="s">
        <v>102</v>
      </c>
      <c r="Y1963" t="s">
        <v>95</v>
      </c>
      <c r="Z1963">
        <v>0</v>
      </c>
      <c r="AA1963" t="s">
        <v>695</v>
      </c>
      <c r="AB1963" t="s">
        <v>6478</v>
      </c>
      <c r="AC1963">
        <v>235</v>
      </c>
      <c r="AD1963">
        <v>73</v>
      </c>
      <c r="AE1963">
        <v>98</v>
      </c>
      <c r="AF1963">
        <v>-22.65</v>
      </c>
      <c r="AG1963">
        <v>-5.45</v>
      </c>
      <c r="AH1963">
        <v>-0.15</v>
      </c>
      <c r="AI1963">
        <v>-0.08</v>
      </c>
      <c r="AJ1963">
        <v>0.01</v>
      </c>
      <c r="AK1963">
        <v>87</v>
      </c>
      <c r="AL1963">
        <v>316</v>
      </c>
      <c r="AM1963">
        <v>126</v>
      </c>
      <c r="AN1963">
        <v>-4.46</v>
      </c>
      <c r="AO1963">
        <v>1.45</v>
      </c>
      <c r="AP1963">
        <v>433</v>
      </c>
      <c r="AQ1963">
        <v>14</v>
      </c>
      <c r="AR1963">
        <v>6.47</v>
      </c>
      <c r="AS1963">
        <v>88</v>
      </c>
      <c r="AT1963">
        <v>4.0199999999999996</v>
      </c>
      <c r="AU1963">
        <v>94</v>
      </c>
      <c r="AV1963">
        <v>0.06</v>
      </c>
      <c r="AW1963">
        <v>97</v>
      </c>
      <c r="AX1963">
        <v>-0.01</v>
      </c>
      <c r="AY1963">
        <v>93</v>
      </c>
      <c r="AZ1963">
        <v>4.79</v>
      </c>
      <c r="BA1963">
        <v>84</v>
      </c>
      <c r="BB1963">
        <v>3.74</v>
      </c>
      <c r="BC1963">
        <v>87</v>
      </c>
      <c r="BD1963">
        <v>0.09</v>
      </c>
      <c r="BE1963">
        <v>-0.01</v>
      </c>
      <c r="BF1963">
        <v>-7.0000000000000007E-2</v>
      </c>
      <c r="BG1963">
        <v>95</v>
      </c>
      <c r="BH1963">
        <v>-0.23</v>
      </c>
      <c r="BI1963">
        <v>27.55</v>
      </c>
      <c r="BJ1963">
        <v>0</v>
      </c>
      <c r="BK1963">
        <v>0</v>
      </c>
      <c r="BL1963">
        <v>-0.57999999999999996</v>
      </c>
      <c r="BM1963">
        <v>4.07</v>
      </c>
      <c r="BN1963">
        <v>-0.88</v>
      </c>
      <c r="BO1963">
        <v>-2.84</v>
      </c>
      <c r="BP1963">
        <v>3.76</v>
      </c>
      <c r="BQ1963">
        <v>-1.04</v>
      </c>
      <c r="BR1963">
        <v>-2.2999999999999998</v>
      </c>
      <c r="BS1963">
        <v>0.1</v>
      </c>
      <c r="BT1963">
        <v>2.29</v>
      </c>
      <c r="BU1963">
        <v>-3.35</v>
      </c>
      <c r="BV1963">
        <v>-3.74</v>
      </c>
      <c r="BW1963">
        <v>-2.89</v>
      </c>
      <c r="BX1963">
        <v>-3.16</v>
      </c>
      <c r="BY1963">
        <v>-1.66</v>
      </c>
      <c r="BZ1963">
        <v>0.54</v>
      </c>
      <c r="CA1963">
        <v>-2.2599999999999998</v>
      </c>
      <c r="CB1963">
        <v>-2.98</v>
      </c>
      <c r="CC1963">
        <v>-0.08</v>
      </c>
      <c r="CD1963">
        <v>4.01</v>
      </c>
      <c r="CE1963">
        <v>-2.69</v>
      </c>
      <c r="CF1963">
        <v>-0.42</v>
      </c>
      <c r="CG1963">
        <v>0</v>
      </c>
      <c r="CH1963">
        <v>-2.84</v>
      </c>
      <c r="CI1963">
        <v>0</v>
      </c>
      <c r="CJ1963">
        <v>9.1999999999999993</v>
      </c>
      <c r="CK1963">
        <v>98</v>
      </c>
      <c r="CL1963">
        <v>0.38</v>
      </c>
      <c r="CM1963">
        <v>98</v>
      </c>
      <c r="CN1963">
        <v>-0.42</v>
      </c>
      <c r="CO1963">
        <v>98</v>
      </c>
      <c r="CP1963">
        <v>8</v>
      </c>
      <c r="CQ1963">
        <v>96</v>
      </c>
      <c r="CR1963">
        <v>0</v>
      </c>
      <c r="CS1963">
        <v>0</v>
      </c>
      <c r="CT1963">
        <v>8.5</v>
      </c>
      <c r="CU1963">
        <v>96</v>
      </c>
      <c r="CV1963">
        <v>0.11</v>
      </c>
      <c r="CW1963">
        <v>46</v>
      </c>
      <c r="CX1963" t="s">
        <v>224</v>
      </c>
    </row>
    <row r="1964" spans="1:102" x14ac:dyDescent="0.3">
      <c r="A1964" t="str">
        <f>HYPERLINK("https://webapp.icbf.com/v2/app/bull-search/view/497172842","KLI")</f>
        <v>KLI</v>
      </c>
      <c r="B1964" t="s">
        <v>12564</v>
      </c>
      <c r="C1964" t="s">
        <v>12565</v>
      </c>
      <c r="D1964" s="1">
        <v>37744</v>
      </c>
      <c r="E1964" t="s">
        <v>108</v>
      </c>
      <c r="F1964">
        <v>3</v>
      </c>
      <c r="G1964" t="s">
        <v>109</v>
      </c>
      <c r="H1964">
        <v>73.510000000000005</v>
      </c>
      <c r="I1964">
        <v>84</v>
      </c>
      <c r="J1964">
        <v>-53.66</v>
      </c>
      <c r="K1964">
        <v>93</v>
      </c>
      <c r="L1964">
        <v>92.72</v>
      </c>
      <c r="M1964">
        <v>81</v>
      </c>
      <c r="N1964">
        <v>12.58</v>
      </c>
      <c r="O1964">
        <v>77</v>
      </c>
      <c r="P1964">
        <v>-0.32</v>
      </c>
      <c r="Q1964">
        <v>87</v>
      </c>
      <c r="R1964">
        <v>12.84</v>
      </c>
      <c r="S1964">
        <v>75</v>
      </c>
      <c r="T1964">
        <v>13.68</v>
      </c>
      <c r="U1964">
        <v>83</v>
      </c>
      <c r="V1964">
        <v>-4.33</v>
      </c>
      <c r="W1964">
        <v>69</v>
      </c>
      <c r="X1964" t="s">
        <v>251</v>
      </c>
      <c r="Y1964" t="s">
        <v>1534</v>
      </c>
      <c r="Z1964" t="s">
        <v>96</v>
      </c>
      <c r="AA1964" t="s">
        <v>585</v>
      </c>
      <c r="AB1964" t="s">
        <v>12566</v>
      </c>
      <c r="AC1964">
        <v>37</v>
      </c>
      <c r="AD1964">
        <v>21</v>
      </c>
      <c r="AE1964">
        <v>93</v>
      </c>
      <c r="AF1964">
        <v>-392.44</v>
      </c>
      <c r="AG1964">
        <v>-11.74</v>
      </c>
      <c r="AH1964">
        <v>-10.98</v>
      </c>
      <c r="AI1964">
        <v>7.0000000000000007E-2</v>
      </c>
      <c r="AJ1964">
        <v>0.04</v>
      </c>
      <c r="AK1964">
        <v>81</v>
      </c>
      <c r="AL1964">
        <v>48</v>
      </c>
      <c r="AM1964">
        <v>27</v>
      </c>
      <c r="AN1964">
        <v>-6.14</v>
      </c>
      <c r="AO1964">
        <v>1.24</v>
      </c>
      <c r="AP1964">
        <v>72</v>
      </c>
      <c r="AQ1964">
        <v>0</v>
      </c>
      <c r="AR1964">
        <v>6.26</v>
      </c>
      <c r="AS1964">
        <v>59</v>
      </c>
      <c r="AT1964">
        <v>2.61</v>
      </c>
      <c r="AU1964">
        <v>79</v>
      </c>
      <c r="AV1964">
        <v>-1.75</v>
      </c>
      <c r="AW1964">
        <v>87</v>
      </c>
      <c r="AX1964">
        <v>-0.9</v>
      </c>
      <c r="AY1964">
        <v>75</v>
      </c>
      <c r="AZ1964">
        <v>9.1300000000000008</v>
      </c>
      <c r="BA1964">
        <v>54</v>
      </c>
      <c r="BB1964">
        <v>6.2</v>
      </c>
      <c r="BC1964">
        <v>58</v>
      </c>
      <c r="BD1964">
        <v>-0.05</v>
      </c>
      <c r="BE1964">
        <v>-0.08</v>
      </c>
      <c r="BF1964">
        <v>-0.06</v>
      </c>
      <c r="BG1964">
        <v>86</v>
      </c>
      <c r="BH1964">
        <v>-0.33</v>
      </c>
      <c r="BI1964">
        <v>-24.19</v>
      </c>
      <c r="BJ1964">
        <v>1</v>
      </c>
      <c r="BK1964">
        <v>1</v>
      </c>
      <c r="BL1964">
        <v>-2.74</v>
      </c>
      <c r="BM1964">
        <v>2.66</v>
      </c>
      <c r="BN1964">
        <v>-2.1</v>
      </c>
      <c r="BO1964">
        <v>-3.21</v>
      </c>
      <c r="BP1964">
        <v>0.47</v>
      </c>
      <c r="BQ1964">
        <v>1.18</v>
      </c>
      <c r="BR1964">
        <v>-1.37</v>
      </c>
      <c r="BS1964">
        <v>1.63</v>
      </c>
      <c r="BT1964">
        <v>-0.3</v>
      </c>
      <c r="BU1964">
        <v>-1.57</v>
      </c>
      <c r="BV1964">
        <v>-2.37</v>
      </c>
      <c r="BW1964">
        <v>-1.1399999999999999</v>
      </c>
      <c r="BX1964">
        <v>-0.73</v>
      </c>
      <c r="BY1964">
        <v>0.52</v>
      </c>
      <c r="BZ1964">
        <v>-0.5</v>
      </c>
      <c r="CA1964">
        <v>-0.88</v>
      </c>
      <c r="CB1964">
        <v>-1.59</v>
      </c>
      <c r="CC1964">
        <v>0.33</v>
      </c>
      <c r="CD1964">
        <v>3.71</v>
      </c>
      <c r="CE1964">
        <v>-2.44</v>
      </c>
      <c r="CF1964">
        <v>-1.71</v>
      </c>
      <c r="CG1964">
        <v>0</v>
      </c>
      <c r="CH1964">
        <v>0.77</v>
      </c>
      <c r="CI1964">
        <v>0</v>
      </c>
      <c r="CJ1964">
        <v>-1.6</v>
      </c>
      <c r="CK1964">
        <v>88</v>
      </c>
      <c r="CL1964">
        <v>0.02</v>
      </c>
      <c r="CM1964">
        <v>86</v>
      </c>
      <c r="CN1964">
        <v>-0.21</v>
      </c>
      <c r="CO1964">
        <v>85</v>
      </c>
      <c r="CP1964">
        <v>-5.2</v>
      </c>
      <c r="CQ1964">
        <v>82</v>
      </c>
      <c r="CR1964">
        <v>0</v>
      </c>
      <c r="CS1964">
        <v>0</v>
      </c>
      <c r="CT1964">
        <v>-4.7</v>
      </c>
      <c r="CU1964">
        <v>83</v>
      </c>
      <c r="CV1964">
        <v>0</v>
      </c>
      <c r="CW1964">
        <v>43</v>
      </c>
      <c r="CX1964" t="s">
        <v>11774</v>
      </c>
    </row>
    <row r="1965" spans="1:102" x14ac:dyDescent="0.3">
      <c r="A1965" t="str">
        <f>HYPERLINK("https://webapp.icbf.com/v2/app/bull-search/view/444131286","ZRU")</f>
        <v>ZRU</v>
      </c>
      <c r="B1965" t="s">
        <v>12223</v>
      </c>
      <c r="C1965" t="s">
        <v>12224</v>
      </c>
      <c r="D1965" s="1">
        <v>38752</v>
      </c>
      <c r="E1965" t="s">
        <v>92</v>
      </c>
      <c r="F1965">
        <v>94</v>
      </c>
      <c r="G1965" t="s">
        <v>93</v>
      </c>
      <c r="H1965">
        <v>73.430000000000007</v>
      </c>
      <c r="I1965">
        <v>90</v>
      </c>
      <c r="J1965">
        <v>48.03</v>
      </c>
      <c r="K1965">
        <v>98</v>
      </c>
      <c r="L1965">
        <v>-17.59</v>
      </c>
      <c r="M1965">
        <v>83</v>
      </c>
      <c r="N1965">
        <v>35.42</v>
      </c>
      <c r="O1965">
        <v>89</v>
      </c>
      <c r="P1965">
        <v>0.53</v>
      </c>
      <c r="Q1965">
        <v>94</v>
      </c>
      <c r="R1965">
        <v>2.86</v>
      </c>
      <c r="S1965">
        <v>86</v>
      </c>
      <c r="T1965">
        <v>0.73</v>
      </c>
      <c r="U1965">
        <v>88</v>
      </c>
      <c r="V1965">
        <v>3.45</v>
      </c>
      <c r="W1965">
        <v>87</v>
      </c>
      <c r="X1965" t="s">
        <v>251</v>
      </c>
      <c r="Y1965" t="s">
        <v>228</v>
      </c>
      <c r="Z1965" t="s">
        <v>96</v>
      </c>
      <c r="AA1965" t="s">
        <v>1165</v>
      </c>
      <c r="AB1965" t="s">
        <v>8788</v>
      </c>
      <c r="AC1965">
        <v>131</v>
      </c>
      <c r="AD1965">
        <v>85</v>
      </c>
      <c r="AE1965">
        <v>98</v>
      </c>
      <c r="AF1965">
        <v>54.13</v>
      </c>
      <c r="AG1965">
        <v>13.59</v>
      </c>
      <c r="AH1965">
        <v>4.1900000000000004</v>
      </c>
      <c r="AI1965">
        <v>0.2</v>
      </c>
      <c r="AJ1965">
        <v>0.04</v>
      </c>
      <c r="AK1965">
        <v>83</v>
      </c>
      <c r="AL1965">
        <v>124</v>
      </c>
      <c r="AM1965">
        <v>79</v>
      </c>
      <c r="AN1965">
        <v>0.42</v>
      </c>
      <c r="AO1965">
        <v>-0.99</v>
      </c>
      <c r="AP1965">
        <v>312</v>
      </c>
      <c r="AQ1965">
        <v>1</v>
      </c>
      <c r="AR1965">
        <v>7.65</v>
      </c>
      <c r="AS1965">
        <v>73</v>
      </c>
      <c r="AT1965">
        <v>2.2999999999999998</v>
      </c>
      <c r="AU1965">
        <v>92</v>
      </c>
      <c r="AV1965">
        <v>-3.43</v>
      </c>
      <c r="AW1965">
        <v>97</v>
      </c>
      <c r="AX1965">
        <v>-0.3</v>
      </c>
      <c r="AY1965">
        <v>85</v>
      </c>
      <c r="AZ1965">
        <v>6.37</v>
      </c>
      <c r="BA1965">
        <v>70</v>
      </c>
      <c r="BB1965">
        <v>4.88</v>
      </c>
      <c r="BC1965">
        <v>74</v>
      </c>
      <c r="BD1965">
        <v>-0.04</v>
      </c>
      <c r="BE1965">
        <v>-0.01</v>
      </c>
      <c r="BF1965">
        <v>0.02</v>
      </c>
      <c r="BG1965">
        <v>92</v>
      </c>
      <c r="BH1965">
        <v>0.09</v>
      </c>
      <c r="BI1965">
        <v>-0.71</v>
      </c>
      <c r="BJ1965">
        <v>40</v>
      </c>
      <c r="BK1965">
        <v>25</v>
      </c>
      <c r="BL1965">
        <v>1.06</v>
      </c>
      <c r="BM1965">
        <v>-0.08</v>
      </c>
      <c r="BN1965">
        <v>0.47</v>
      </c>
      <c r="BO1965">
        <v>0.38</v>
      </c>
      <c r="BP1965">
        <v>1.97</v>
      </c>
      <c r="BQ1965">
        <v>-0.22</v>
      </c>
      <c r="BR1965">
        <v>1.42</v>
      </c>
      <c r="BS1965">
        <v>-1.18</v>
      </c>
      <c r="BT1965">
        <v>-1.59</v>
      </c>
      <c r="BU1965">
        <v>-0.13</v>
      </c>
      <c r="BV1965">
        <v>-0.31</v>
      </c>
      <c r="BW1965">
        <v>-0.56000000000000005</v>
      </c>
      <c r="BX1965">
        <v>0.85</v>
      </c>
      <c r="BY1965">
        <v>-0.47</v>
      </c>
      <c r="BZ1965">
        <v>-1.42</v>
      </c>
      <c r="CA1965">
        <v>-0.01</v>
      </c>
      <c r="CB1965">
        <v>0.35</v>
      </c>
      <c r="CC1965">
        <v>-0.55000000000000004</v>
      </c>
      <c r="CD1965">
        <v>-0.02</v>
      </c>
      <c r="CE1965">
        <v>0.48</v>
      </c>
      <c r="CF1965">
        <v>0.38</v>
      </c>
      <c r="CG1965">
        <v>0</v>
      </c>
      <c r="CH1965">
        <v>-0.28999999999999998</v>
      </c>
      <c r="CI1965">
        <v>0</v>
      </c>
      <c r="CJ1965">
        <v>4.2</v>
      </c>
      <c r="CK1965">
        <v>95</v>
      </c>
      <c r="CL1965">
        <v>-0.79</v>
      </c>
      <c r="CM1965">
        <v>94</v>
      </c>
      <c r="CN1965">
        <v>-0.23</v>
      </c>
      <c r="CO1965">
        <v>93</v>
      </c>
      <c r="CP1965">
        <v>1.3</v>
      </c>
      <c r="CQ1965">
        <v>92</v>
      </c>
      <c r="CR1965">
        <v>0</v>
      </c>
      <c r="CS1965">
        <v>0</v>
      </c>
      <c r="CT1965">
        <v>12.8</v>
      </c>
      <c r="CU1965">
        <v>88</v>
      </c>
      <c r="CV1965">
        <v>0.32</v>
      </c>
      <c r="CW1965">
        <v>47</v>
      </c>
      <c r="CX1965" t="s">
        <v>753</v>
      </c>
    </row>
    <row r="1966" spans="1:102" x14ac:dyDescent="0.3">
      <c r="A1966" t="str">
        <f>HYPERLINK("https://webapp.icbf.com/v2/app/bull-search/view/1337270631","S3122")</f>
        <v>S3122</v>
      </c>
      <c r="B1966" t="s">
        <v>455</v>
      </c>
      <c r="C1966" t="s">
        <v>456</v>
      </c>
      <c r="D1966" s="1">
        <v>41849</v>
      </c>
      <c r="E1966" t="s">
        <v>92</v>
      </c>
      <c r="F1966">
        <v>100</v>
      </c>
      <c r="G1966" t="s">
        <v>109</v>
      </c>
      <c r="H1966">
        <v>73.34</v>
      </c>
      <c r="I1966">
        <v>69</v>
      </c>
      <c r="J1966">
        <v>64.930000000000007</v>
      </c>
      <c r="K1966">
        <v>90</v>
      </c>
      <c r="L1966">
        <v>-14.82</v>
      </c>
      <c r="M1966">
        <v>71</v>
      </c>
      <c r="N1966">
        <v>18.5</v>
      </c>
      <c r="O1966">
        <v>53</v>
      </c>
      <c r="P1966">
        <v>-11.48</v>
      </c>
      <c r="Q1966">
        <v>37</v>
      </c>
      <c r="R1966">
        <v>23.24</v>
      </c>
      <c r="S1966">
        <v>67</v>
      </c>
      <c r="T1966">
        <v>-14.59</v>
      </c>
      <c r="U1966">
        <v>35</v>
      </c>
      <c r="V1966">
        <v>7.56</v>
      </c>
      <c r="W1966">
        <v>53</v>
      </c>
      <c r="X1966" t="s">
        <v>110</v>
      </c>
      <c r="Y1966" t="s">
        <v>457</v>
      </c>
      <c r="Z1966" t="s">
        <v>96</v>
      </c>
      <c r="AA1966" t="s">
        <v>458</v>
      </c>
      <c r="AB1966" t="s">
        <v>459</v>
      </c>
      <c r="AC1966">
        <v>0</v>
      </c>
      <c r="AD1966">
        <v>0</v>
      </c>
      <c r="AE1966">
        <v>90</v>
      </c>
      <c r="AF1966">
        <v>683.04</v>
      </c>
      <c r="AG1966">
        <v>13.56</v>
      </c>
      <c r="AH1966">
        <v>16.7</v>
      </c>
      <c r="AI1966">
        <v>-0.2</v>
      </c>
      <c r="AJ1966">
        <v>-0.1</v>
      </c>
      <c r="AK1966">
        <v>71</v>
      </c>
      <c r="AL1966">
        <v>0</v>
      </c>
      <c r="AM1966">
        <v>0</v>
      </c>
      <c r="AN1966">
        <v>2.4900000000000002</v>
      </c>
      <c r="AO1966">
        <v>1.33</v>
      </c>
      <c r="AP1966">
        <v>1</v>
      </c>
      <c r="AQ1966">
        <v>0</v>
      </c>
      <c r="AR1966">
        <v>9.34</v>
      </c>
      <c r="AS1966">
        <v>52</v>
      </c>
      <c r="AT1966">
        <v>2.85</v>
      </c>
      <c r="AU1966">
        <v>86</v>
      </c>
      <c r="AV1966">
        <v>-2.39</v>
      </c>
      <c r="AW1966">
        <v>44</v>
      </c>
      <c r="AX1966">
        <v>0.18</v>
      </c>
      <c r="AY1966">
        <v>41</v>
      </c>
      <c r="AZ1966">
        <v>5.93</v>
      </c>
      <c r="BA1966">
        <v>36</v>
      </c>
      <c r="BB1966">
        <v>4.71</v>
      </c>
      <c r="BC1966">
        <v>33</v>
      </c>
      <c r="BD1966">
        <v>-0.05</v>
      </c>
      <c r="BE1966">
        <v>-0.09</v>
      </c>
      <c r="BF1966">
        <v>-0.28000000000000003</v>
      </c>
      <c r="BG1966">
        <v>85</v>
      </c>
      <c r="BH1966">
        <v>0.04</v>
      </c>
      <c r="BI1966">
        <v>-19.760000000000002</v>
      </c>
      <c r="BJ1966">
        <v>0</v>
      </c>
      <c r="BK1966">
        <v>0</v>
      </c>
      <c r="BL1966">
        <v>2.2200000000000002</v>
      </c>
      <c r="BM1966">
        <v>0.84</v>
      </c>
      <c r="BN1966">
        <v>1.02</v>
      </c>
      <c r="BO1966">
        <v>0.41</v>
      </c>
      <c r="BP1966">
        <v>-0.8</v>
      </c>
      <c r="BQ1966">
        <v>1.81</v>
      </c>
      <c r="BR1966">
        <v>-1.1499999999999999</v>
      </c>
      <c r="BS1966">
        <v>2.73</v>
      </c>
      <c r="BT1966">
        <v>1.74</v>
      </c>
      <c r="BU1966">
        <v>3.55</v>
      </c>
      <c r="BV1966">
        <v>3.02</v>
      </c>
      <c r="BW1966">
        <v>1.71</v>
      </c>
      <c r="BX1966">
        <v>2.81</v>
      </c>
      <c r="BY1966">
        <v>0.05</v>
      </c>
      <c r="BZ1966">
        <v>2.71</v>
      </c>
      <c r="CA1966">
        <v>3.13</v>
      </c>
      <c r="CB1966">
        <v>2.63</v>
      </c>
      <c r="CC1966">
        <v>2.6</v>
      </c>
      <c r="CD1966">
        <v>0.95</v>
      </c>
      <c r="CE1966">
        <v>0.98</v>
      </c>
      <c r="CF1966">
        <v>1.22</v>
      </c>
      <c r="CG1966">
        <v>0</v>
      </c>
      <c r="CH1966">
        <v>0.46</v>
      </c>
      <c r="CI1966">
        <v>0</v>
      </c>
      <c r="CJ1966">
        <v>-4.9000000000000004</v>
      </c>
      <c r="CK1966">
        <v>38</v>
      </c>
      <c r="CL1966">
        <v>-1.67</v>
      </c>
      <c r="CM1966">
        <v>37</v>
      </c>
      <c r="CN1966">
        <v>-1</v>
      </c>
      <c r="CO1966">
        <v>37</v>
      </c>
      <c r="CP1966">
        <v>5.4</v>
      </c>
      <c r="CQ1966">
        <v>36</v>
      </c>
      <c r="CR1966">
        <v>0</v>
      </c>
      <c r="CS1966">
        <v>0</v>
      </c>
      <c r="CT1966">
        <v>33.5</v>
      </c>
      <c r="CU1966">
        <v>35</v>
      </c>
      <c r="CV1966">
        <v>0.17</v>
      </c>
      <c r="CW1966">
        <v>32</v>
      </c>
      <c r="CX1966" t="s">
        <v>460</v>
      </c>
    </row>
    <row r="1967" spans="1:102" x14ac:dyDescent="0.3">
      <c r="A1967" t="str">
        <f>HYPERLINK("https://webapp.icbf.com/v2/app/bull-search/view/1025664341","S1455")</f>
        <v>S1455</v>
      </c>
      <c r="B1967" t="s">
        <v>5645</v>
      </c>
      <c r="C1967" t="s">
        <v>5646</v>
      </c>
      <c r="D1967" s="1">
        <v>40511</v>
      </c>
      <c r="E1967" t="s">
        <v>92</v>
      </c>
      <c r="F1967">
        <v>100</v>
      </c>
      <c r="G1967" t="s">
        <v>93</v>
      </c>
      <c r="H1967">
        <v>73.31</v>
      </c>
      <c r="I1967">
        <v>89</v>
      </c>
      <c r="J1967">
        <v>55.59</v>
      </c>
      <c r="K1967">
        <v>98</v>
      </c>
      <c r="L1967">
        <v>3.91</v>
      </c>
      <c r="M1967">
        <v>89</v>
      </c>
      <c r="N1967">
        <v>12.67</v>
      </c>
      <c r="O1967">
        <v>89</v>
      </c>
      <c r="P1967">
        <v>-29.39</v>
      </c>
      <c r="Q1967">
        <v>87</v>
      </c>
      <c r="R1967">
        <v>16.670000000000002</v>
      </c>
      <c r="S1967">
        <v>84</v>
      </c>
      <c r="T1967">
        <v>10.72</v>
      </c>
      <c r="U1967">
        <v>72</v>
      </c>
      <c r="V1967">
        <v>3.14</v>
      </c>
      <c r="W1967">
        <v>69</v>
      </c>
      <c r="X1967" t="s">
        <v>94</v>
      </c>
      <c r="Y1967" t="s">
        <v>342</v>
      </c>
      <c r="Z1967" t="s">
        <v>96</v>
      </c>
      <c r="AA1967" t="s">
        <v>309</v>
      </c>
      <c r="AB1967" t="s">
        <v>5647</v>
      </c>
      <c r="AC1967">
        <v>194</v>
      </c>
      <c r="AD1967">
        <v>83</v>
      </c>
      <c r="AE1967">
        <v>98</v>
      </c>
      <c r="AF1967">
        <v>-61.01</v>
      </c>
      <c r="AG1967">
        <v>13.91</v>
      </c>
      <c r="AH1967">
        <v>3.6</v>
      </c>
      <c r="AI1967">
        <v>0.28999999999999998</v>
      </c>
      <c r="AJ1967">
        <v>0.1</v>
      </c>
      <c r="AK1967">
        <v>89</v>
      </c>
      <c r="AL1967">
        <v>123</v>
      </c>
      <c r="AM1967">
        <v>48</v>
      </c>
      <c r="AN1967">
        <v>0.43</v>
      </c>
      <c r="AO1967">
        <v>0.75</v>
      </c>
      <c r="AP1967">
        <v>367</v>
      </c>
      <c r="AQ1967">
        <v>2</v>
      </c>
      <c r="AR1967">
        <v>6.01</v>
      </c>
      <c r="AS1967">
        <v>91</v>
      </c>
      <c r="AT1967">
        <v>2.89</v>
      </c>
      <c r="AU1967">
        <v>93</v>
      </c>
      <c r="AV1967">
        <v>-1.37</v>
      </c>
      <c r="AW1967">
        <v>96</v>
      </c>
      <c r="AX1967">
        <v>1.62</v>
      </c>
      <c r="AY1967">
        <v>87</v>
      </c>
      <c r="AZ1967">
        <v>6.4</v>
      </c>
      <c r="BA1967">
        <v>74</v>
      </c>
      <c r="BB1967">
        <v>5</v>
      </c>
      <c r="BC1967">
        <v>61</v>
      </c>
      <c r="BD1967">
        <v>-0.02</v>
      </c>
      <c r="BE1967">
        <v>-0.1</v>
      </c>
      <c r="BF1967">
        <v>-0.16</v>
      </c>
      <c r="BG1967">
        <v>95</v>
      </c>
      <c r="BH1967">
        <v>0.02</v>
      </c>
      <c r="BI1967">
        <v>-7.8</v>
      </c>
      <c r="BJ1967">
        <v>97</v>
      </c>
      <c r="BK1967">
        <v>39</v>
      </c>
      <c r="BL1967">
        <v>1.19</v>
      </c>
      <c r="BM1967">
        <v>-3.46</v>
      </c>
      <c r="BN1967">
        <v>-0.87</v>
      </c>
      <c r="BO1967">
        <v>1.29</v>
      </c>
      <c r="BP1967">
        <v>0.14000000000000001</v>
      </c>
      <c r="BQ1967">
        <v>-0.15</v>
      </c>
      <c r="BR1967">
        <v>-0.53</v>
      </c>
      <c r="BS1967">
        <v>3.95</v>
      </c>
      <c r="BT1967">
        <v>1.27</v>
      </c>
      <c r="BU1967">
        <v>2.74</v>
      </c>
      <c r="BV1967">
        <v>3.68</v>
      </c>
      <c r="BW1967">
        <v>3.68</v>
      </c>
      <c r="BX1967">
        <v>2.3199999999999998</v>
      </c>
      <c r="BY1967">
        <v>2.34</v>
      </c>
      <c r="BZ1967">
        <v>-0.95</v>
      </c>
      <c r="CA1967">
        <v>3.14</v>
      </c>
      <c r="CB1967">
        <v>2.56</v>
      </c>
      <c r="CC1967">
        <v>2.62</v>
      </c>
      <c r="CD1967">
        <v>-1.69</v>
      </c>
      <c r="CE1967">
        <v>1.03</v>
      </c>
      <c r="CF1967">
        <v>0.13</v>
      </c>
      <c r="CG1967">
        <v>0</v>
      </c>
      <c r="CH1967">
        <v>2.58</v>
      </c>
      <c r="CI1967">
        <v>0</v>
      </c>
      <c r="CJ1967">
        <v>-14.3</v>
      </c>
      <c r="CK1967">
        <v>89</v>
      </c>
      <c r="CL1967">
        <v>-1.61</v>
      </c>
      <c r="CM1967">
        <v>86</v>
      </c>
      <c r="CN1967">
        <v>-0.72</v>
      </c>
      <c r="CO1967">
        <v>85</v>
      </c>
      <c r="CP1967">
        <v>-9.8000000000000007</v>
      </c>
      <c r="CQ1967">
        <v>79</v>
      </c>
      <c r="CR1967">
        <v>0</v>
      </c>
      <c r="CS1967">
        <v>0</v>
      </c>
      <c r="CT1967">
        <v>-0.7</v>
      </c>
      <c r="CU1967">
        <v>72</v>
      </c>
      <c r="CV1967">
        <v>0.03</v>
      </c>
      <c r="CW1967">
        <v>43</v>
      </c>
      <c r="CX1967" t="s">
        <v>5648</v>
      </c>
    </row>
    <row r="1968" spans="1:102" x14ac:dyDescent="0.3">
      <c r="A1968" t="str">
        <f>HYPERLINK("https://webapp.icbf.com/v2/app/bull-search/view/860624522","YLD")</f>
        <v>YLD</v>
      </c>
      <c r="B1968" t="s">
        <v>13110</v>
      </c>
      <c r="C1968" t="s">
        <v>13111</v>
      </c>
      <c r="D1968" s="1">
        <v>40579</v>
      </c>
      <c r="E1968" t="s">
        <v>92</v>
      </c>
      <c r="F1968">
        <v>66</v>
      </c>
      <c r="G1968" t="s">
        <v>93</v>
      </c>
      <c r="H1968">
        <v>73.290000000000006</v>
      </c>
      <c r="I1968">
        <v>85</v>
      </c>
      <c r="J1968">
        <v>29.37</v>
      </c>
      <c r="K1968">
        <v>96</v>
      </c>
      <c r="L1968">
        <v>13.91</v>
      </c>
      <c r="M1968">
        <v>75</v>
      </c>
      <c r="N1968">
        <v>18.71</v>
      </c>
      <c r="O1968">
        <v>78</v>
      </c>
      <c r="P1968">
        <v>-9.7200000000000006</v>
      </c>
      <c r="Q1968">
        <v>92</v>
      </c>
      <c r="R1968">
        <v>8.2799999999999994</v>
      </c>
      <c r="S1968">
        <v>76</v>
      </c>
      <c r="T1968">
        <v>5.54</v>
      </c>
      <c r="U1968">
        <v>91</v>
      </c>
      <c r="V1968">
        <v>7.2</v>
      </c>
      <c r="W1968">
        <v>73</v>
      </c>
      <c r="X1968" t="s">
        <v>94</v>
      </c>
      <c r="Y1968" t="s">
        <v>1860</v>
      </c>
      <c r="Z1968" t="s">
        <v>96</v>
      </c>
      <c r="AA1968" t="s">
        <v>419</v>
      </c>
      <c r="AB1968" t="s">
        <v>13112</v>
      </c>
      <c r="AC1968">
        <v>73</v>
      </c>
      <c r="AD1968">
        <v>11</v>
      </c>
      <c r="AE1968">
        <v>96</v>
      </c>
      <c r="AF1968">
        <v>96.5</v>
      </c>
      <c r="AG1968">
        <v>4.3</v>
      </c>
      <c r="AH1968">
        <v>4.95</v>
      </c>
      <c r="AI1968">
        <v>0.01</v>
      </c>
      <c r="AJ1968">
        <v>0.03</v>
      </c>
      <c r="AK1968">
        <v>75</v>
      </c>
      <c r="AL1968">
        <v>52</v>
      </c>
      <c r="AM1968">
        <v>3</v>
      </c>
      <c r="AN1968">
        <v>-1.46</v>
      </c>
      <c r="AO1968">
        <v>-0.36</v>
      </c>
      <c r="AP1968">
        <v>198</v>
      </c>
      <c r="AQ1968">
        <v>0</v>
      </c>
      <c r="AR1968">
        <v>4.9000000000000004</v>
      </c>
      <c r="AS1968">
        <v>90</v>
      </c>
      <c r="AT1968">
        <v>2.2999999999999998</v>
      </c>
      <c r="AU1968">
        <v>76</v>
      </c>
      <c r="AV1968">
        <v>-0.55000000000000004</v>
      </c>
      <c r="AW1968">
        <v>85</v>
      </c>
      <c r="AX1968">
        <v>-0.84</v>
      </c>
      <c r="AY1968">
        <v>77</v>
      </c>
      <c r="AZ1968">
        <v>6.27</v>
      </c>
      <c r="BA1968">
        <v>66</v>
      </c>
      <c r="BB1968">
        <v>5.14</v>
      </c>
      <c r="BC1968">
        <v>58</v>
      </c>
      <c r="BD1968">
        <v>-0.02</v>
      </c>
      <c r="BE1968">
        <v>-0.03</v>
      </c>
      <c r="BF1968">
        <v>-0.1</v>
      </c>
      <c r="BG1968">
        <v>86</v>
      </c>
      <c r="BH1968">
        <v>7.0000000000000007E-2</v>
      </c>
      <c r="BI1968">
        <v>-15.14</v>
      </c>
      <c r="BJ1968">
        <v>32</v>
      </c>
      <c r="BK1968">
        <v>2</v>
      </c>
      <c r="BL1968">
        <v>-1.94</v>
      </c>
      <c r="BM1968">
        <v>2.1800000000000002</v>
      </c>
      <c r="BN1968">
        <v>-0.17</v>
      </c>
      <c r="BO1968">
        <v>-1.69</v>
      </c>
      <c r="BP1968">
        <v>-3.2</v>
      </c>
      <c r="BQ1968">
        <v>0.11</v>
      </c>
      <c r="BR1968">
        <v>-2.09</v>
      </c>
      <c r="BS1968">
        <v>0.06</v>
      </c>
      <c r="BT1968">
        <v>0.81</v>
      </c>
      <c r="BU1968">
        <v>-0.31</v>
      </c>
      <c r="BV1968">
        <v>-0.77</v>
      </c>
      <c r="BW1968">
        <v>-1.45</v>
      </c>
      <c r="BX1968">
        <v>-1.03</v>
      </c>
      <c r="BY1968">
        <v>-2.67</v>
      </c>
      <c r="BZ1968">
        <v>-1.87</v>
      </c>
      <c r="CA1968">
        <v>-1.33</v>
      </c>
      <c r="CB1968">
        <v>-1.25</v>
      </c>
      <c r="CC1968">
        <v>-0.18</v>
      </c>
      <c r="CD1968">
        <v>2.19</v>
      </c>
      <c r="CE1968">
        <v>-1.74</v>
      </c>
      <c r="CF1968">
        <v>-1.08</v>
      </c>
      <c r="CG1968">
        <v>0</v>
      </c>
      <c r="CH1968">
        <v>-3.07</v>
      </c>
      <c r="CI1968">
        <v>0</v>
      </c>
      <c r="CJ1968">
        <v>-5.4</v>
      </c>
      <c r="CK1968">
        <v>94</v>
      </c>
      <c r="CL1968">
        <v>-0.55000000000000004</v>
      </c>
      <c r="CM1968">
        <v>92</v>
      </c>
      <c r="CN1968">
        <v>-0.3</v>
      </c>
      <c r="CO1968">
        <v>91</v>
      </c>
      <c r="CP1968">
        <v>-0.7</v>
      </c>
      <c r="CQ1968">
        <v>80</v>
      </c>
      <c r="CR1968">
        <v>0</v>
      </c>
      <c r="CS1968">
        <v>0</v>
      </c>
      <c r="CT1968">
        <v>6.3</v>
      </c>
      <c r="CU1968">
        <v>91</v>
      </c>
      <c r="CV1968">
        <v>-0.04</v>
      </c>
      <c r="CW1968">
        <v>45</v>
      </c>
      <c r="CX1968" t="s">
        <v>1514</v>
      </c>
    </row>
    <row r="1969" spans="1:102" x14ac:dyDescent="0.3">
      <c r="A1969" t="str">
        <f>HYPERLINK("https://webapp.icbf.com/v2/app/bull-search/view/678696087","S1452")</f>
        <v>S1452</v>
      </c>
      <c r="B1969" t="s">
        <v>356</v>
      </c>
      <c r="C1969" t="s">
        <v>357</v>
      </c>
      <c r="D1969" s="1">
        <v>38869</v>
      </c>
      <c r="E1969" t="s">
        <v>92</v>
      </c>
      <c r="F1969">
        <v>100</v>
      </c>
      <c r="G1969" t="s">
        <v>93</v>
      </c>
      <c r="H1969">
        <v>73.22</v>
      </c>
      <c r="I1969">
        <v>89</v>
      </c>
      <c r="J1969">
        <v>49.14</v>
      </c>
      <c r="K1969">
        <v>96</v>
      </c>
      <c r="L1969">
        <v>-23.02</v>
      </c>
      <c r="M1969">
        <v>87</v>
      </c>
      <c r="N1969">
        <v>36.64</v>
      </c>
      <c r="O1969">
        <v>86</v>
      </c>
      <c r="P1969">
        <v>1.51</v>
      </c>
      <c r="Q1969">
        <v>91</v>
      </c>
      <c r="R1969">
        <v>8.9600000000000009</v>
      </c>
      <c r="S1969">
        <v>81</v>
      </c>
      <c r="T1969">
        <v>-6.38</v>
      </c>
      <c r="U1969">
        <v>81</v>
      </c>
      <c r="V1969">
        <v>6.37</v>
      </c>
      <c r="W1969">
        <v>71</v>
      </c>
      <c r="X1969" t="s">
        <v>102</v>
      </c>
      <c r="Y1969" t="s">
        <v>342</v>
      </c>
      <c r="Z1969" t="s">
        <v>96</v>
      </c>
      <c r="AA1969" t="s">
        <v>358</v>
      </c>
      <c r="AB1969" t="s">
        <v>359</v>
      </c>
      <c r="AC1969">
        <v>88</v>
      </c>
      <c r="AD1969">
        <v>35</v>
      </c>
      <c r="AE1969">
        <v>96</v>
      </c>
      <c r="AF1969">
        <v>230.63</v>
      </c>
      <c r="AG1969">
        <v>4.1500000000000004</v>
      </c>
      <c r="AH1969">
        <v>10.42</v>
      </c>
      <c r="AI1969">
        <v>-0.08</v>
      </c>
      <c r="AJ1969">
        <v>0.04</v>
      </c>
      <c r="AK1969">
        <v>87</v>
      </c>
      <c r="AL1969">
        <v>120</v>
      </c>
      <c r="AM1969">
        <v>49</v>
      </c>
      <c r="AN1969">
        <v>3.29</v>
      </c>
      <c r="AO1969">
        <v>1.48</v>
      </c>
      <c r="AP1969">
        <v>203</v>
      </c>
      <c r="AQ1969">
        <v>1</v>
      </c>
      <c r="AR1969">
        <v>5.78</v>
      </c>
      <c r="AS1969">
        <v>86</v>
      </c>
      <c r="AT1969">
        <v>2.3199999999999998</v>
      </c>
      <c r="AU1969">
        <v>91</v>
      </c>
      <c r="AV1969">
        <v>-3.32</v>
      </c>
      <c r="AW1969">
        <v>92</v>
      </c>
      <c r="AX1969">
        <v>0.09</v>
      </c>
      <c r="AY1969">
        <v>83</v>
      </c>
      <c r="AZ1969">
        <v>6.64</v>
      </c>
      <c r="BA1969">
        <v>65</v>
      </c>
      <c r="BB1969">
        <v>4.97</v>
      </c>
      <c r="BC1969">
        <v>63</v>
      </c>
      <c r="BD1969">
        <v>-0.03</v>
      </c>
      <c r="BE1969">
        <v>-0.04</v>
      </c>
      <c r="BF1969">
        <v>-0.08</v>
      </c>
      <c r="BG1969">
        <v>93</v>
      </c>
      <c r="BH1969">
        <v>0.01</v>
      </c>
      <c r="BI1969">
        <v>-19.39</v>
      </c>
      <c r="BJ1969">
        <v>20</v>
      </c>
      <c r="BK1969">
        <v>14</v>
      </c>
      <c r="BL1969">
        <v>0.77</v>
      </c>
      <c r="BM1969">
        <v>-0.5</v>
      </c>
      <c r="BN1969">
        <v>0.6</v>
      </c>
      <c r="BO1969">
        <v>1.03</v>
      </c>
      <c r="BP1969">
        <v>1.61</v>
      </c>
      <c r="BQ1969">
        <v>2.59</v>
      </c>
      <c r="BR1969">
        <v>1.92</v>
      </c>
      <c r="BS1969">
        <v>1.32</v>
      </c>
      <c r="BT1969">
        <v>-1.38</v>
      </c>
      <c r="BU1969">
        <v>0.91</v>
      </c>
      <c r="BV1969">
        <v>1.19</v>
      </c>
      <c r="BW1969">
        <v>0.75</v>
      </c>
      <c r="BX1969">
        <v>0.63</v>
      </c>
      <c r="BY1969">
        <v>0.88</v>
      </c>
      <c r="BZ1969">
        <v>-0.87</v>
      </c>
      <c r="CA1969">
        <v>1.1100000000000001</v>
      </c>
      <c r="CB1969">
        <v>1.07</v>
      </c>
      <c r="CC1969">
        <v>0.96</v>
      </c>
      <c r="CD1969">
        <v>-1.78</v>
      </c>
      <c r="CE1969">
        <v>0.64</v>
      </c>
      <c r="CF1969">
        <v>0.98</v>
      </c>
      <c r="CG1969">
        <v>0</v>
      </c>
      <c r="CH1969">
        <v>0.94</v>
      </c>
      <c r="CI1969">
        <v>0</v>
      </c>
      <c r="CJ1969">
        <v>2.9</v>
      </c>
      <c r="CK1969">
        <v>93</v>
      </c>
      <c r="CL1969">
        <v>-1.0900000000000001</v>
      </c>
      <c r="CM1969">
        <v>91</v>
      </c>
      <c r="CN1969">
        <v>-0.68</v>
      </c>
      <c r="CO1969">
        <v>90</v>
      </c>
      <c r="CP1969">
        <v>5.3</v>
      </c>
      <c r="CQ1969">
        <v>84</v>
      </c>
      <c r="CR1969">
        <v>0</v>
      </c>
      <c r="CS1969">
        <v>0</v>
      </c>
      <c r="CT1969">
        <v>22.4</v>
      </c>
      <c r="CU1969">
        <v>81</v>
      </c>
      <c r="CV1969">
        <v>0.16</v>
      </c>
      <c r="CW1969">
        <v>45</v>
      </c>
      <c r="CX1969" t="s">
        <v>283</v>
      </c>
    </row>
    <row r="1970" spans="1:102" x14ac:dyDescent="0.3">
      <c r="A1970" t="str">
        <f>HYPERLINK("https://webapp.icbf.com/v2/app/bull-search/view/444591688","PSA")</f>
        <v>PSA</v>
      </c>
      <c r="B1970" t="s">
        <v>232</v>
      </c>
      <c r="C1970" t="s">
        <v>233</v>
      </c>
      <c r="D1970" s="1">
        <v>36127</v>
      </c>
      <c r="E1970" t="s">
        <v>146</v>
      </c>
      <c r="F1970">
        <v>0</v>
      </c>
      <c r="G1970" t="s">
        <v>109</v>
      </c>
      <c r="H1970">
        <v>73.16</v>
      </c>
      <c r="I1970">
        <v>60</v>
      </c>
      <c r="J1970">
        <v>-6.29</v>
      </c>
      <c r="K1970">
        <v>75</v>
      </c>
      <c r="L1970">
        <v>43.44</v>
      </c>
      <c r="M1970">
        <v>60</v>
      </c>
      <c r="N1970">
        <v>28.9</v>
      </c>
      <c r="O1970">
        <v>45</v>
      </c>
      <c r="P1970">
        <v>17.53</v>
      </c>
      <c r="Q1970">
        <v>57</v>
      </c>
      <c r="R1970">
        <v>-4.9400000000000004</v>
      </c>
      <c r="S1970">
        <v>54</v>
      </c>
      <c r="T1970">
        <v>4.28</v>
      </c>
      <c r="U1970">
        <v>36</v>
      </c>
      <c r="V1970">
        <v>-9.76</v>
      </c>
      <c r="W1970">
        <v>24</v>
      </c>
      <c r="X1970" t="s">
        <v>234</v>
      </c>
      <c r="Y1970" t="s">
        <v>235</v>
      </c>
      <c r="Z1970">
        <v>0</v>
      </c>
      <c r="AA1970" t="s">
        <v>236</v>
      </c>
      <c r="AB1970" t="s">
        <v>237</v>
      </c>
      <c r="AC1970">
        <v>0</v>
      </c>
      <c r="AD1970">
        <v>0</v>
      </c>
      <c r="AE1970">
        <v>75</v>
      </c>
      <c r="AF1970">
        <v>-223.41</v>
      </c>
      <c r="AG1970">
        <v>-8.65</v>
      </c>
      <c r="AH1970">
        <v>-1.43</v>
      </c>
      <c r="AI1970">
        <v>0</v>
      </c>
      <c r="AJ1970">
        <v>0.11</v>
      </c>
      <c r="AK1970">
        <v>60</v>
      </c>
      <c r="AL1970">
        <v>0</v>
      </c>
      <c r="AM1970">
        <v>0</v>
      </c>
      <c r="AN1970">
        <v>-3.5</v>
      </c>
      <c r="AO1970">
        <v>-0.05</v>
      </c>
      <c r="AP1970">
        <v>5</v>
      </c>
      <c r="AQ1970">
        <v>2</v>
      </c>
      <c r="AR1970">
        <v>6.49</v>
      </c>
      <c r="AS1970">
        <v>24</v>
      </c>
      <c r="AT1970">
        <v>2.62</v>
      </c>
      <c r="AU1970">
        <v>72</v>
      </c>
      <c r="AV1970">
        <v>-2.41</v>
      </c>
      <c r="AW1970">
        <v>43</v>
      </c>
      <c r="AX1970">
        <v>0.37</v>
      </c>
      <c r="AY1970">
        <v>34</v>
      </c>
      <c r="AZ1970">
        <v>5.31</v>
      </c>
      <c r="BA1970">
        <v>23</v>
      </c>
      <c r="BB1970">
        <v>4.53</v>
      </c>
      <c r="BC1970">
        <v>26</v>
      </c>
      <c r="BD1970">
        <v>-0.02</v>
      </c>
      <c r="BE1970">
        <v>0.03</v>
      </c>
      <c r="BF1970">
        <v>0.09</v>
      </c>
      <c r="BG1970">
        <v>78</v>
      </c>
      <c r="BH1970">
        <v>-0.22</v>
      </c>
      <c r="BI1970">
        <v>6.03</v>
      </c>
      <c r="BJ1970">
        <v>0</v>
      </c>
      <c r="BK1970">
        <v>0</v>
      </c>
      <c r="BL1970">
        <v>-1.48</v>
      </c>
      <c r="BM1970">
        <v>3.12</v>
      </c>
      <c r="BN1970">
        <v>-0.42</v>
      </c>
      <c r="BO1970">
        <v>0</v>
      </c>
      <c r="BP1970">
        <v>2.2000000000000002</v>
      </c>
      <c r="BQ1970">
        <v>1.54</v>
      </c>
      <c r="BR1970">
        <v>-1.65</v>
      </c>
      <c r="BS1970">
        <v>-0.7</v>
      </c>
      <c r="BT1970">
        <v>0.42</v>
      </c>
      <c r="BU1970">
        <v>-2.2599999999999998</v>
      </c>
      <c r="BV1970">
        <v>-3.35</v>
      </c>
      <c r="BW1970">
        <v>-2.85</v>
      </c>
      <c r="BX1970">
        <v>-2.11</v>
      </c>
      <c r="BY1970">
        <v>-3.45</v>
      </c>
      <c r="BZ1970">
        <v>1.71</v>
      </c>
      <c r="CA1970">
        <v>-2.0299999999999998</v>
      </c>
      <c r="CB1970">
        <v>-2.64</v>
      </c>
      <c r="CC1970">
        <v>-1.1100000000000001</v>
      </c>
      <c r="CD1970">
        <v>2.4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8.8000000000000007</v>
      </c>
      <c r="CK1970">
        <v>60</v>
      </c>
      <c r="CL1970">
        <v>0.24</v>
      </c>
      <c r="CM1970">
        <v>56</v>
      </c>
      <c r="CN1970">
        <v>-0.2</v>
      </c>
      <c r="CO1970">
        <v>53</v>
      </c>
      <c r="CP1970">
        <v>3.8</v>
      </c>
      <c r="CQ1970">
        <v>45</v>
      </c>
      <c r="CR1970">
        <v>0</v>
      </c>
      <c r="CS1970">
        <v>0</v>
      </c>
      <c r="CT1970">
        <v>8</v>
      </c>
      <c r="CU1970">
        <v>36</v>
      </c>
      <c r="CV1970">
        <v>-0.06</v>
      </c>
      <c r="CW1970">
        <v>16</v>
      </c>
      <c r="CX1970" t="s">
        <v>238</v>
      </c>
    </row>
    <row r="1971" spans="1:102" x14ac:dyDescent="0.3">
      <c r="A1971" t="str">
        <f>HYPERLINK("https://webapp.icbf.com/v2/app/bull-search/view/491717194","PVS")</f>
        <v>PVS</v>
      </c>
      <c r="B1971" t="s">
        <v>4852</v>
      </c>
      <c r="C1971" t="s">
        <v>4853</v>
      </c>
      <c r="D1971" s="1">
        <v>36803</v>
      </c>
      <c r="E1971" t="s">
        <v>227</v>
      </c>
      <c r="F1971">
        <v>0</v>
      </c>
      <c r="G1971" t="s">
        <v>93</v>
      </c>
      <c r="H1971">
        <v>73.05</v>
      </c>
      <c r="I1971">
        <v>94</v>
      </c>
      <c r="J1971">
        <v>-11.24</v>
      </c>
      <c r="K1971">
        <v>98</v>
      </c>
      <c r="L1971">
        <v>40.93</v>
      </c>
      <c r="M1971">
        <v>93</v>
      </c>
      <c r="N1971">
        <v>34.33</v>
      </c>
      <c r="O1971">
        <v>90</v>
      </c>
      <c r="P1971">
        <v>-58.81</v>
      </c>
      <c r="Q1971">
        <v>94</v>
      </c>
      <c r="R1971">
        <v>1.41</v>
      </c>
      <c r="S1971">
        <v>87</v>
      </c>
      <c r="T1971">
        <v>59.56</v>
      </c>
      <c r="U1971">
        <v>88</v>
      </c>
      <c r="V1971">
        <v>6.87</v>
      </c>
      <c r="W1971">
        <v>88</v>
      </c>
      <c r="X1971" t="s">
        <v>94</v>
      </c>
      <c r="Y1971" t="s">
        <v>221</v>
      </c>
      <c r="Z1971">
        <v>0</v>
      </c>
      <c r="AA1971" t="s">
        <v>4854</v>
      </c>
      <c r="AB1971" t="s">
        <v>4855</v>
      </c>
      <c r="AC1971">
        <v>168</v>
      </c>
      <c r="AD1971">
        <v>68</v>
      </c>
      <c r="AE1971">
        <v>98</v>
      </c>
      <c r="AF1971">
        <v>-432.26</v>
      </c>
      <c r="AG1971">
        <v>-1.72</v>
      </c>
      <c r="AH1971">
        <v>-7.92</v>
      </c>
      <c r="AI1971">
        <v>0.28999999999999998</v>
      </c>
      <c r="AJ1971">
        <v>0.13</v>
      </c>
      <c r="AK1971">
        <v>93</v>
      </c>
      <c r="AL1971">
        <v>191</v>
      </c>
      <c r="AM1971">
        <v>69</v>
      </c>
      <c r="AN1971">
        <v>-1.79</v>
      </c>
      <c r="AO1971">
        <v>1.48</v>
      </c>
      <c r="AP1971">
        <v>243</v>
      </c>
      <c r="AQ1971">
        <v>6</v>
      </c>
      <c r="AR1971">
        <v>2.14</v>
      </c>
      <c r="AS1971">
        <v>85</v>
      </c>
      <c r="AT1971">
        <v>1.26</v>
      </c>
      <c r="AU1971">
        <v>90</v>
      </c>
      <c r="AV1971">
        <v>-2.54</v>
      </c>
      <c r="AW1971">
        <v>97</v>
      </c>
      <c r="AX1971">
        <v>2.79</v>
      </c>
      <c r="AY1971">
        <v>88</v>
      </c>
      <c r="AZ1971">
        <v>7.47</v>
      </c>
      <c r="BA1971">
        <v>76</v>
      </c>
      <c r="BB1971">
        <v>4.97</v>
      </c>
      <c r="BC1971">
        <v>80</v>
      </c>
      <c r="BD1971">
        <v>-0.08</v>
      </c>
      <c r="BE1971">
        <v>-0.01</v>
      </c>
      <c r="BF1971">
        <v>0.12</v>
      </c>
      <c r="BG1971">
        <v>94</v>
      </c>
      <c r="BH1971">
        <v>0.02</v>
      </c>
      <c r="BI1971">
        <v>-19.850000000000001</v>
      </c>
      <c r="BJ1971">
        <v>38</v>
      </c>
      <c r="BK1971">
        <v>18</v>
      </c>
      <c r="BL1971">
        <v>-0.76</v>
      </c>
      <c r="BM1971">
        <v>-1.43</v>
      </c>
      <c r="BN1971">
        <v>0.49</v>
      </c>
      <c r="BO1971">
        <v>1.68</v>
      </c>
      <c r="BP1971">
        <v>1.05</v>
      </c>
      <c r="BQ1971">
        <v>-4.87</v>
      </c>
      <c r="BR1971">
        <v>2.29</v>
      </c>
      <c r="BS1971">
        <v>5.6</v>
      </c>
      <c r="BT1971">
        <v>-1.71</v>
      </c>
      <c r="BU1971">
        <v>0.53</v>
      </c>
      <c r="BV1971">
        <v>0.49</v>
      </c>
      <c r="BW1971">
        <v>-0.99</v>
      </c>
      <c r="BX1971">
        <v>-1.1000000000000001</v>
      </c>
      <c r="BY1971">
        <v>0.87</v>
      </c>
      <c r="BZ1971">
        <v>0.71</v>
      </c>
      <c r="CA1971">
        <v>1.81</v>
      </c>
      <c r="CB1971">
        <v>0.85</v>
      </c>
      <c r="CC1971">
        <v>3.02</v>
      </c>
      <c r="CD1971">
        <v>-1.58</v>
      </c>
      <c r="CE1971">
        <v>1.69</v>
      </c>
      <c r="CF1971">
        <v>-0.81</v>
      </c>
      <c r="CG1971">
        <v>0</v>
      </c>
      <c r="CH1971">
        <v>0.14000000000000001</v>
      </c>
      <c r="CI1971">
        <v>0</v>
      </c>
      <c r="CJ1971">
        <v>-31.5</v>
      </c>
      <c r="CK1971">
        <v>95</v>
      </c>
      <c r="CL1971">
        <v>-1.28</v>
      </c>
      <c r="CM1971">
        <v>94</v>
      </c>
      <c r="CN1971">
        <v>-0.43</v>
      </c>
      <c r="CO1971">
        <v>93</v>
      </c>
      <c r="CP1971">
        <v>-47.8</v>
      </c>
      <c r="CQ1971">
        <v>94</v>
      </c>
      <c r="CR1971">
        <v>0</v>
      </c>
      <c r="CS1971">
        <v>0</v>
      </c>
      <c r="CT1971">
        <v>-66.7</v>
      </c>
      <c r="CU1971">
        <v>88</v>
      </c>
      <c r="CV1971">
        <v>-0.28999999999999998</v>
      </c>
      <c r="CW1971">
        <v>45</v>
      </c>
      <c r="CX1971" t="s">
        <v>4856</v>
      </c>
    </row>
    <row r="1972" spans="1:102" x14ac:dyDescent="0.3">
      <c r="A1972" t="str">
        <f>HYPERLINK("https://webapp.icbf.com/v2/app/bull-search/view/550984592","S715")</f>
        <v>S715</v>
      </c>
      <c r="B1972" t="s">
        <v>12121</v>
      </c>
      <c r="C1972" t="s">
        <v>1914</v>
      </c>
      <c r="D1972" s="1">
        <v>36953</v>
      </c>
      <c r="E1972" t="s">
        <v>227</v>
      </c>
      <c r="F1972">
        <v>0</v>
      </c>
      <c r="G1972" t="s">
        <v>109</v>
      </c>
      <c r="H1972">
        <v>73</v>
      </c>
      <c r="I1972">
        <v>86</v>
      </c>
      <c r="J1972">
        <v>25.75</v>
      </c>
      <c r="K1972">
        <v>94</v>
      </c>
      <c r="L1972">
        <v>10.3</v>
      </c>
      <c r="M1972">
        <v>88</v>
      </c>
      <c r="N1972">
        <v>21.03</v>
      </c>
      <c r="O1972">
        <v>79</v>
      </c>
      <c r="P1972">
        <v>-67.31</v>
      </c>
      <c r="Q1972">
        <v>82</v>
      </c>
      <c r="R1972">
        <v>9.8699999999999992</v>
      </c>
      <c r="S1972">
        <v>75</v>
      </c>
      <c r="T1972">
        <v>73.17</v>
      </c>
      <c r="U1972">
        <v>65</v>
      </c>
      <c r="V1972">
        <v>0.19</v>
      </c>
      <c r="W1972">
        <v>70</v>
      </c>
      <c r="X1972" t="s">
        <v>251</v>
      </c>
      <c r="Y1972" t="s">
        <v>1494</v>
      </c>
      <c r="Z1972">
        <v>0</v>
      </c>
      <c r="AA1972" t="s">
        <v>2169</v>
      </c>
      <c r="AB1972" t="s">
        <v>12122</v>
      </c>
      <c r="AC1972">
        <v>0</v>
      </c>
      <c r="AD1972">
        <v>0</v>
      </c>
      <c r="AE1972">
        <v>94</v>
      </c>
      <c r="AF1972">
        <v>-219.3</v>
      </c>
      <c r="AG1972">
        <v>7.98</v>
      </c>
      <c r="AH1972">
        <v>-1.8</v>
      </c>
      <c r="AI1972">
        <v>0.3</v>
      </c>
      <c r="AJ1972">
        <v>0.1</v>
      </c>
      <c r="AK1972">
        <v>88</v>
      </c>
      <c r="AL1972">
        <v>0</v>
      </c>
      <c r="AM1972">
        <v>0</v>
      </c>
      <c r="AN1972">
        <v>0.1</v>
      </c>
      <c r="AO1972">
        <v>0.93</v>
      </c>
      <c r="AP1972">
        <v>58</v>
      </c>
      <c r="AQ1972">
        <v>4</v>
      </c>
      <c r="AR1972">
        <v>3.19</v>
      </c>
      <c r="AS1972">
        <v>73</v>
      </c>
      <c r="AT1972">
        <v>1.84</v>
      </c>
      <c r="AU1972">
        <v>78</v>
      </c>
      <c r="AV1972">
        <v>-0.61</v>
      </c>
      <c r="AW1972">
        <v>89</v>
      </c>
      <c r="AX1972">
        <v>0.47</v>
      </c>
      <c r="AY1972">
        <v>76</v>
      </c>
      <c r="AZ1972">
        <v>7</v>
      </c>
      <c r="BA1972">
        <v>58</v>
      </c>
      <c r="BB1972">
        <v>5.05</v>
      </c>
      <c r="BC1972">
        <v>58</v>
      </c>
      <c r="BD1972">
        <v>-0.09</v>
      </c>
      <c r="BE1972">
        <v>-0.03</v>
      </c>
      <c r="BF1972">
        <v>-0.02</v>
      </c>
      <c r="BG1972">
        <v>84</v>
      </c>
      <c r="BH1972">
        <v>-0.16</v>
      </c>
      <c r="BI1972">
        <v>-19.11</v>
      </c>
      <c r="BJ1972">
        <v>7</v>
      </c>
      <c r="BK1972">
        <v>4</v>
      </c>
      <c r="BL1972">
        <v>0</v>
      </c>
      <c r="BM1972">
        <v>-2.16</v>
      </c>
      <c r="BN1972">
        <v>-0.22</v>
      </c>
      <c r="BO1972">
        <v>2.0299999999999998</v>
      </c>
      <c r="BP1972">
        <v>-1.62</v>
      </c>
      <c r="BQ1972">
        <v>-3.06</v>
      </c>
      <c r="BR1972">
        <v>1.05</v>
      </c>
      <c r="BS1972">
        <v>6.86</v>
      </c>
      <c r="BT1972">
        <v>-0.55000000000000004</v>
      </c>
      <c r="BU1972">
        <v>1.56</v>
      </c>
      <c r="BV1972">
        <v>1.52</v>
      </c>
      <c r="BW1972">
        <v>-1.26</v>
      </c>
      <c r="BX1972">
        <v>-1.92</v>
      </c>
      <c r="BY1972">
        <v>-0.62</v>
      </c>
      <c r="BZ1972">
        <v>1.59</v>
      </c>
      <c r="CA1972">
        <v>3.04</v>
      </c>
      <c r="CB1972">
        <v>1.47</v>
      </c>
      <c r="CC1972">
        <v>4.78</v>
      </c>
      <c r="CD1972">
        <v>-2.67</v>
      </c>
      <c r="CE1972">
        <v>1.7</v>
      </c>
      <c r="CF1972">
        <v>0.31</v>
      </c>
      <c r="CG1972">
        <v>0</v>
      </c>
      <c r="CH1972">
        <v>-0.36</v>
      </c>
      <c r="CI1972">
        <v>0</v>
      </c>
      <c r="CJ1972">
        <v>-34.9</v>
      </c>
      <c r="CK1972">
        <v>84</v>
      </c>
      <c r="CL1972">
        <v>-1.48</v>
      </c>
      <c r="CM1972">
        <v>81</v>
      </c>
      <c r="CN1972">
        <v>-0.43</v>
      </c>
      <c r="CO1972">
        <v>80</v>
      </c>
      <c r="CP1972">
        <v>-59.4</v>
      </c>
      <c r="CQ1972">
        <v>75</v>
      </c>
      <c r="CR1972">
        <v>0</v>
      </c>
      <c r="CS1972">
        <v>0</v>
      </c>
      <c r="CT1972">
        <v>-85.1</v>
      </c>
      <c r="CU1972">
        <v>65</v>
      </c>
      <c r="CV1972">
        <v>-0.3</v>
      </c>
      <c r="CW1972">
        <v>42</v>
      </c>
      <c r="CX1972" t="s">
        <v>2941</v>
      </c>
    </row>
    <row r="1973" spans="1:102" x14ac:dyDescent="0.3">
      <c r="A1973" t="str">
        <f>HYPERLINK("https://webapp.icbf.com/v2/app/bull-search/view/193241353","CWX")</f>
        <v>CWX</v>
      </c>
      <c r="B1973" t="s">
        <v>7422</v>
      </c>
      <c r="C1973" t="s">
        <v>7423</v>
      </c>
      <c r="D1973" s="1">
        <v>35831</v>
      </c>
      <c r="E1973" t="s">
        <v>227</v>
      </c>
      <c r="F1973">
        <v>0</v>
      </c>
      <c r="G1973" t="s">
        <v>109</v>
      </c>
      <c r="H1973">
        <v>72.989999999999995</v>
      </c>
      <c r="I1973">
        <v>74</v>
      </c>
      <c r="J1973">
        <v>0.71</v>
      </c>
      <c r="K1973">
        <v>89</v>
      </c>
      <c r="L1973">
        <v>23.6</v>
      </c>
      <c r="M1973">
        <v>69</v>
      </c>
      <c r="N1973">
        <v>26.3</v>
      </c>
      <c r="O1973">
        <v>60</v>
      </c>
      <c r="P1973">
        <v>-58.06</v>
      </c>
      <c r="Q1973">
        <v>68</v>
      </c>
      <c r="R1973">
        <v>4.9400000000000004</v>
      </c>
      <c r="S1973">
        <v>70</v>
      </c>
      <c r="T1973">
        <v>68.14</v>
      </c>
      <c r="U1973">
        <v>66</v>
      </c>
      <c r="V1973">
        <v>7.36</v>
      </c>
      <c r="W1973">
        <v>68</v>
      </c>
      <c r="X1973" t="s">
        <v>276</v>
      </c>
      <c r="Y1973" t="s">
        <v>95</v>
      </c>
      <c r="Z1973">
        <v>0</v>
      </c>
      <c r="AA1973" t="s">
        <v>4966</v>
      </c>
      <c r="AB1973" t="s">
        <v>7424</v>
      </c>
      <c r="AC1973">
        <v>0</v>
      </c>
      <c r="AD1973">
        <v>0</v>
      </c>
      <c r="AE1973">
        <v>89</v>
      </c>
      <c r="AF1973">
        <v>-329.41</v>
      </c>
      <c r="AG1973">
        <v>4.1500000000000004</v>
      </c>
      <c r="AH1973">
        <v>-6.39</v>
      </c>
      <c r="AI1973">
        <v>0.31</v>
      </c>
      <c r="AJ1973">
        <v>0.09</v>
      </c>
      <c r="AK1973">
        <v>69</v>
      </c>
      <c r="AL1973">
        <v>21</v>
      </c>
      <c r="AM1973">
        <v>15</v>
      </c>
      <c r="AN1973">
        <v>0.1</v>
      </c>
      <c r="AO1973">
        <v>2</v>
      </c>
      <c r="AP1973">
        <v>10</v>
      </c>
      <c r="AQ1973">
        <v>1</v>
      </c>
      <c r="AR1973">
        <v>1.58</v>
      </c>
      <c r="AS1973">
        <v>58</v>
      </c>
      <c r="AT1973">
        <v>1.46</v>
      </c>
      <c r="AU1973">
        <v>57</v>
      </c>
      <c r="AV1973">
        <v>-0.86</v>
      </c>
      <c r="AW1973">
        <v>68</v>
      </c>
      <c r="AX1973">
        <v>0.88</v>
      </c>
      <c r="AY1973">
        <v>58</v>
      </c>
      <c r="AZ1973">
        <v>6.62</v>
      </c>
      <c r="BA1973">
        <v>45</v>
      </c>
      <c r="BB1973">
        <v>5.12</v>
      </c>
      <c r="BC1973">
        <v>47</v>
      </c>
      <c r="BD1973">
        <v>-0.1</v>
      </c>
      <c r="BE1973">
        <v>-0.03</v>
      </c>
      <c r="BF1973">
        <v>0.11</v>
      </c>
      <c r="BG1973">
        <v>75</v>
      </c>
      <c r="BH1973">
        <v>0.11</v>
      </c>
      <c r="BI1973">
        <v>-11.03</v>
      </c>
      <c r="BJ1973">
        <v>0</v>
      </c>
      <c r="BK1973">
        <v>0</v>
      </c>
      <c r="BL1973">
        <v>-0.69</v>
      </c>
      <c r="BM1973">
        <v>-1.22</v>
      </c>
      <c r="BN1973">
        <v>0.21</v>
      </c>
      <c r="BO1973">
        <v>1.58</v>
      </c>
      <c r="BP1973">
        <v>0.46</v>
      </c>
      <c r="BQ1973">
        <v>-4.41</v>
      </c>
      <c r="BR1973">
        <v>2.2799999999999998</v>
      </c>
      <c r="BS1973">
        <v>6.4</v>
      </c>
      <c r="BT1973">
        <v>-0.85</v>
      </c>
      <c r="BU1973">
        <v>1.26</v>
      </c>
      <c r="BV1973">
        <v>1.0900000000000001</v>
      </c>
      <c r="BW1973">
        <v>-1.1200000000000001</v>
      </c>
      <c r="BX1973">
        <v>-1.31</v>
      </c>
      <c r="BY1973">
        <v>0.28000000000000003</v>
      </c>
      <c r="BZ1973">
        <v>-0.61</v>
      </c>
      <c r="CA1973">
        <v>2.54</v>
      </c>
      <c r="CB1973">
        <v>1.3</v>
      </c>
      <c r="CC1973">
        <v>3.91</v>
      </c>
      <c r="CD1973">
        <v>-2.13</v>
      </c>
      <c r="CE1973">
        <v>1.57</v>
      </c>
      <c r="CF1973">
        <v>-0.14000000000000001</v>
      </c>
      <c r="CG1973">
        <v>0</v>
      </c>
      <c r="CH1973">
        <v>-0.24</v>
      </c>
      <c r="CI1973">
        <v>0</v>
      </c>
      <c r="CJ1973">
        <v>-30</v>
      </c>
      <c r="CK1973">
        <v>70</v>
      </c>
      <c r="CL1973">
        <v>-1.28</v>
      </c>
      <c r="CM1973">
        <v>66</v>
      </c>
      <c r="CN1973">
        <v>-0.37</v>
      </c>
      <c r="CO1973">
        <v>63</v>
      </c>
      <c r="CP1973">
        <v>-51.9</v>
      </c>
      <c r="CQ1973">
        <v>69</v>
      </c>
      <c r="CR1973">
        <v>0</v>
      </c>
      <c r="CS1973">
        <v>0</v>
      </c>
      <c r="CT1973">
        <v>-78.3</v>
      </c>
      <c r="CU1973">
        <v>66</v>
      </c>
      <c r="CV1973">
        <v>-0.27</v>
      </c>
      <c r="CW1973">
        <v>39</v>
      </c>
      <c r="CX1973" t="s">
        <v>533</v>
      </c>
    </row>
    <row r="1974" spans="1:102" x14ac:dyDescent="0.3">
      <c r="A1974" t="str">
        <f>HYPERLINK("https://webapp.icbf.com/v2/app/bull-search/view/77852722","WVH")</f>
        <v>WVH</v>
      </c>
      <c r="B1974" t="s">
        <v>10630</v>
      </c>
      <c r="C1974" t="s">
        <v>1095</v>
      </c>
      <c r="D1974" s="1">
        <v>33111</v>
      </c>
      <c r="E1974" t="s">
        <v>108</v>
      </c>
      <c r="F1974">
        <v>38</v>
      </c>
      <c r="G1974" t="s">
        <v>93</v>
      </c>
      <c r="H1974">
        <v>72.959999999999994</v>
      </c>
      <c r="I1974">
        <v>91</v>
      </c>
      <c r="J1974">
        <v>-29.29</v>
      </c>
      <c r="K1974">
        <v>97</v>
      </c>
      <c r="L1974">
        <v>61.47</v>
      </c>
      <c r="M1974">
        <v>88</v>
      </c>
      <c r="N1974">
        <v>38.69</v>
      </c>
      <c r="O1974">
        <v>88</v>
      </c>
      <c r="P1974">
        <v>-20.38</v>
      </c>
      <c r="Q1974">
        <v>95</v>
      </c>
      <c r="R1974">
        <v>-7.61</v>
      </c>
      <c r="S1974">
        <v>82</v>
      </c>
      <c r="T1974">
        <v>28.55</v>
      </c>
      <c r="U1974">
        <v>92</v>
      </c>
      <c r="V1974">
        <v>1.53</v>
      </c>
      <c r="W1974">
        <v>79</v>
      </c>
      <c r="X1974" t="s">
        <v>302</v>
      </c>
      <c r="Y1974" t="s">
        <v>95</v>
      </c>
      <c r="Z1974" t="s">
        <v>96</v>
      </c>
      <c r="AA1974" t="s">
        <v>10631</v>
      </c>
      <c r="AB1974" t="s">
        <v>10632</v>
      </c>
      <c r="AC1974">
        <v>185</v>
      </c>
      <c r="AD1974">
        <v>76</v>
      </c>
      <c r="AE1974">
        <v>97</v>
      </c>
      <c r="AF1974">
        <v>-220.96</v>
      </c>
      <c r="AG1974">
        <v>-4.42</v>
      </c>
      <c r="AH1974">
        <v>-6.8</v>
      </c>
      <c r="AI1974">
        <v>7.0000000000000007E-2</v>
      </c>
      <c r="AJ1974">
        <v>0.01</v>
      </c>
      <c r="AK1974">
        <v>88</v>
      </c>
      <c r="AL1974">
        <v>215</v>
      </c>
      <c r="AM1974">
        <v>96</v>
      </c>
      <c r="AN1974">
        <v>-4.28</v>
      </c>
      <c r="AO1974">
        <v>0.61</v>
      </c>
      <c r="AP1974">
        <v>123</v>
      </c>
      <c r="AQ1974">
        <v>1</v>
      </c>
      <c r="AR1974">
        <v>4.45</v>
      </c>
      <c r="AS1974">
        <v>76</v>
      </c>
      <c r="AT1974">
        <v>1.96</v>
      </c>
      <c r="AU1974">
        <v>85</v>
      </c>
      <c r="AV1974">
        <v>-2.23</v>
      </c>
      <c r="AW1974">
        <v>97</v>
      </c>
      <c r="AX1974">
        <v>-0.25</v>
      </c>
      <c r="AY1974">
        <v>88</v>
      </c>
      <c r="AZ1974">
        <v>5.24</v>
      </c>
      <c r="BA1974">
        <v>66</v>
      </c>
      <c r="BB1974">
        <v>4.3600000000000003</v>
      </c>
      <c r="BC1974">
        <v>79</v>
      </c>
      <c r="BD1974">
        <v>-0.03</v>
      </c>
      <c r="BE1974">
        <v>0.05</v>
      </c>
      <c r="BF1974">
        <v>0.13</v>
      </c>
      <c r="BG1974">
        <v>91</v>
      </c>
      <c r="BH1974">
        <v>0.06</v>
      </c>
      <c r="BI1974">
        <v>2.02</v>
      </c>
      <c r="BJ1974">
        <v>2</v>
      </c>
      <c r="BK1974">
        <v>2</v>
      </c>
      <c r="BL1974">
        <v>-2.99</v>
      </c>
      <c r="BM1974">
        <v>-0.49</v>
      </c>
      <c r="BN1974">
        <v>-1.75</v>
      </c>
      <c r="BO1974">
        <v>-1.27</v>
      </c>
      <c r="BP1974">
        <v>2.38</v>
      </c>
      <c r="BQ1974">
        <v>-2.35</v>
      </c>
      <c r="BR1974">
        <v>0.63</v>
      </c>
      <c r="BS1974">
        <v>-1.1599999999999999</v>
      </c>
      <c r="BT1974">
        <v>-2.35</v>
      </c>
      <c r="BU1974">
        <v>-1.96</v>
      </c>
      <c r="BV1974">
        <v>-2.06</v>
      </c>
      <c r="BW1974">
        <v>-2.44</v>
      </c>
      <c r="BX1974">
        <v>-3.5</v>
      </c>
      <c r="BY1974">
        <v>-1.35</v>
      </c>
      <c r="BZ1974">
        <v>2.25</v>
      </c>
      <c r="CA1974">
        <v>-2.12</v>
      </c>
      <c r="CB1974">
        <v>-1.89</v>
      </c>
      <c r="CC1974">
        <v>-1.65</v>
      </c>
      <c r="CD1974">
        <v>1.02</v>
      </c>
      <c r="CE1974">
        <v>-1.18</v>
      </c>
      <c r="CF1974">
        <v>-1.94</v>
      </c>
      <c r="CG1974">
        <v>0</v>
      </c>
      <c r="CH1974">
        <v>-1.45</v>
      </c>
      <c r="CI1974">
        <v>0</v>
      </c>
      <c r="CJ1974">
        <v>-9.6999999999999993</v>
      </c>
      <c r="CK1974">
        <v>95</v>
      </c>
      <c r="CL1974">
        <v>-0.83</v>
      </c>
      <c r="CM1974">
        <v>94</v>
      </c>
      <c r="CN1974">
        <v>-0.38</v>
      </c>
      <c r="CO1974">
        <v>93</v>
      </c>
      <c r="CP1974">
        <v>-19.2</v>
      </c>
      <c r="CQ1974">
        <v>95</v>
      </c>
      <c r="CR1974">
        <v>0</v>
      </c>
      <c r="CS1974">
        <v>0</v>
      </c>
      <c r="CT1974">
        <v>-24.8</v>
      </c>
      <c r="CU1974">
        <v>92</v>
      </c>
      <c r="CV1974">
        <v>0.13</v>
      </c>
      <c r="CW1974">
        <v>27</v>
      </c>
      <c r="CX1974" t="s">
        <v>2844</v>
      </c>
    </row>
    <row r="1975" spans="1:102" x14ac:dyDescent="0.3">
      <c r="A1975" t="str">
        <f>HYPERLINK("https://webapp.icbf.com/v2/app/bull-search/view/670014349","PYX")</f>
        <v>PYX</v>
      </c>
      <c r="B1975" t="s">
        <v>3023</v>
      </c>
      <c r="C1975" t="s">
        <v>3024</v>
      </c>
      <c r="D1975" s="1">
        <v>39867</v>
      </c>
      <c r="E1975" t="s">
        <v>92</v>
      </c>
      <c r="F1975">
        <v>72</v>
      </c>
      <c r="G1975" t="s">
        <v>435</v>
      </c>
      <c r="H1975">
        <v>72.819999999999993</v>
      </c>
      <c r="I1975">
        <v>71</v>
      </c>
      <c r="J1975">
        <v>16.16</v>
      </c>
      <c r="K1975">
        <v>88</v>
      </c>
      <c r="L1975">
        <v>38.270000000000003</v>
      </c>
      <c r="M1975">
        <v>66</v>
      </c>
      <c r="N1975">
        <v>1.28</v>
      </c>
      <c r="O1975">
        <v>57</v>
      </c>
      <c r="P1975">
        <v>-5.14</v>
      </c>
      <c r="Q1975">
        <v>63</v>
      </c>
      <c r="R1975">
        <v>4.76</v>
      </c>
      <c r="S1975">
        <v>66</v>
      </c>
      <c r="T1975">
        <v>16.34</v>
      </c>
      <c r="U1975">
        <v>51</v>
      </c>
      <c r="V1975">
        <v>1.1499999999999999</v>
      </c>
      <c r="W1975">
        <v>63</v>
      </c>
      <c r="X1975" t="s">
        <v>94</v>
      </c>
      <c r="Y1975" t="s">
        <v>1727</v>
      </c>
      <c r="Z1975" t="s">
        <v>3025</v>
      </c>
      <c r="AA1975" t="s">
        <v>3026</v>
      </c>
      <c r="AB1975" t="s">
        <v>144</v>
      </c>
      <c r="AC1975">
        <v>0</v>
      </c>
      <c r="AD1975">
        <v>0</v>
      </c>
      <c r="AE1975">
        <v>88</v>
      </c>
      <c r="AF1975">
        <v>-155.47</v>
      </c>
      <c r="AG1975">
        <v>0.93</v>
      </c>
      <c r="AH1975">
        <v>0.04</v>
      </c>
      <c r="AI1975">
        <v>0.12</v>
      </c>
      <c r="AJ1975">
        <v>0.1</v>
      </c>
      <c r="AK1975">
        <v>66</v>
      </c>
      <c r="AL1975">
        <v>0</v>
      </c>
      <c r="AM1975">
        <v>0</v>
      </c>
      <c r="AN1975">
        <v>-3.04</v>
      </c>
      <c r="AO1975">
        <v>0</v>
      </c>
      <c r="AP1975">
        <v>1</v>
      </c>
      <c r="AQ1975">
        <v>0</v>
      </c>
      <c r="AR1975">
        <v>8.64</v>
      </c>
      <c r="AS1975">
        <v>54</v>
      </c>
      <c r="AT1975">
        <v>3.27</v>
      </c>
      <c r="AU1975">
        <v>62</v>
      </c>
      <c r="AV1975">
        <v>-0.75</v>
      </c>
      <c r="AW1975">
        <v>61</v>
      </c>
      <c r="AX1975">
        <v>1.07</v>
      </c>
      <c r="AY1975">
        <v>48</v>
      </c>
      <c r="AZ1975">
        <v>5.52</v>
      </c>
      <c r="BA1975">
        <v>44</v>
      </c>
      <c r="BB1975">
        <v>4.8099999999999996</v>
      </c>
      <c r="BC1975">
        <v>46</v>
      </c>
      <c r="BD1975">
        <v>-0.02</v>
      </c>
      <c r="BE1975">
        <v>-0.04</v>
      </c>
      <c r="BF1975">
        <v>0</v>
      </c>
      <c r="BG1975">
        <v>74</v>
      </c>
      <c r="BH1975">
        <v>0.09</v>
      </c>
      <c r="BI1975">
        <v>6.71</v>
      </c>
      <c r="BJ1975">
        <v>0</v>
      </c>
      <c r="BK1975">
        <v>0</v>
      </c>
      <c r="BL1975">
        <v>-1.21</v>
      </c>
      <c r="BM1975">
        <v>1.39</v>
      </c>
      <c r="BN1975">
        <v>-0.78</v>
      </c>
      <c r="BO1975">
        <v>-1.01</v>
      </c>
      <c r="BP1975">
        <v>-1.85</v>
      </c>
      <c r="BQ1975">
        <v>1.01</v>
      </c>
      <c r="BR1975">
        <v>7.0000000000000007E-2</v>
      </c>
      <c r="BS1975">
        <v>-0.61</v>
      </c>
      <c r="BT1975">
        <v>-1.29</v>
      </c>
      <c r="BU1975">
        <v>-0.02</v>
      </c>
      <c r="BV1975">
        <v>-0.57999999999999996</v>
      </c>
      <c r="BW1975">
        <v>-0.21</v>
      </c>
      <c r="BX1975">
        <v>-0.31</v>
      </c>
      <c r="BY1975">
        <v>-1.1599999999999999</v>
      </c>
      <c r="BZ1975">
        <v>1.1200000000000001</v>
      </c>
      <c r="CA1975">
        <v>-0.15</v>
      </c>
      <c r="CB1975">
        <v>-0.26</v>
      </c>
      <c r="CC1975">
        <v>-0.32</v>
      </c>
      <c r="CD1975">
        <v>0.91</v>
      </c>
      <c r="CE1975">
        <v>-1.1599999999999999</v>
      </c>
      <c r="CF1975">
        <v>-1.41</v>
      </c>
      <c r="CG1975">
        <v>0</v>
      </c>
      <c r="CH1975">
        <v>-0.49</v>
      </c>
      <c r="CI1975">
        <v>0</v>
      </c>
      <c r="CJ1975">
        <v>-0.8</v>
      </c>
      <c r="CK1975">
        <v>65</v>
      </c>
      <c r="CL1975">
        <v>-0.49</v>
      </c>
      <c r="CM1975">
        <v>62</v>
      </c>
      <c r="CN1975">
        <v>-0.19</v>
      </c>
      <c r="CO1975">
        <v>61</v>
      </c>
      <c r="CP1975">
        <v>-8</v>
      </c>
      <c r="CQ1975">
        <v>53</v>
      </c>
      <c r="CR1975">
        <v>0</v>
      </c>
      <c r="CS1975">
        <v>0</v>
      </c>
      <c r="CT1975">
        <v>-8.3000000000000007</v>
      </c>
      <c r="CU1975">
        <v>51</v>
      </c>
      <c r="CV1975">
        <v>0.23</v>
      </c>
      <c r="CW1975">
        <v>39</v>
      </c>
      <c r="CX1975" t="s">
        <v>1229</v>
      </c>
    </row>
    <row r="1976" spans="1:102" x14ac:dyDescent="0.3">
      <c r="A1976" t="str">
        <f>HYPERLINK("https://webapp.icbf.com/v2/app/bull-search/view/1196701168","S2270")</f>
        <v>S2270</v>
      </c>
      <c r="B1976" t="s">
        <v>5883</v>
      </c>
      <c r="C1976" t="s">
        <v>5884</v>
      </c>
      <c r="D1976" s="1">
        <v>40883</v>
      </c>
      <c r="E1976" t="s">
        <v>92</v>
      </c>
      <c r="F1976">
        <v>100</v>
      </c>
      <c r="G1976" t="s">
        <v>109</v>
      </c>
      <c r="H1976">
        <v>72.8</v>
      </c>
      <c r="I1976">
        <v>77</v>
      </c>
      <c r="J1976">
        <v>86.64</v>
      </c>
      <c r="K1976">
        <v>93</v>
      </c>
      <c r="L1976">
        <v>-23.08</v>
      </c>
      <c r="M1976">
        <v>84</v>
      </c>
      <c r="N1976">
        <v>33.32</v>
      </c>
      <c r="O1976">
        <v>58</v>
      </c>
      <c r="P1976">
        <v>-17.34</v>
      </c>
      <c r="Q1976">
        <v>50</v>
      </c>
      <c r="R1976">
        <v>-0.62</v>
      </c>
      <c r="S1976">
        <v>74</v>
      </c>
      <c r="T1976">
        <v>-10.52</v>
      </c>
      <c r="U1976">
        <v>41</v>
      </c>
      <c r="V1976">
        <v>4.4000000000000004</v>
      </c>
      <c r="W1976">
        <v>60</v>
      </c>
      <c r="X1976" t="s">
        <v>94</v>
      </c>
      <c r="Y1976" t="s">
        <v>367</v>
      </c>
      <c r="Z1976" t="s">
        <v>96</v>
      </c>
      <c r="AA1976" t="s">
        <v>5885</v>
      </c>
      <c r="AB1976" t="s">
        <v>5886</v>
      </c>
      <c r="AC1976">
        <v>0</v>
      </c>
      <c r="AD1976">
        <v>0</v>
      </c>
      <c r="AE1976">
        <v>93</v>
      </c>
      <c r="AF1976">
        <v>701.12</v>
      </c>
      <c r="AG1976">
        <v>25.09</v>
      </c>
      <c r="AH1976">
        <v>16.59</v>
      </c>
      <c r="AI1976">
        <v>-0.04</v>
      </c>
      <c r="AJ1976">
        <v>-0.11</v>
      </c>
      <c r="AK1976">
        <v>84</v>
      </c>
      <c r="AL1976">
        <v>0</v>
      </c>
      <c r="AM1976">
        <v>0</v>
      </c>
      <c r="AN1976">
        <v>0.52</v>
      </c>
      <c r="AO1976">
        <v>-1.33</v>
      </c>
      <c r="AP1976">
        <v>12</v>
      </c>
      <c r="AQ1976">
        <v>0</v>
      </c>
      <c r="AR1976">
        <v>5.12</v>
      </c>
      <c r="AS1976">
        <v>56</v>
      </c>
      <c r="AT1976">
        <v>1.82</v>
      </c>
      <c r="AU1976">
        <v>90</v>
      </c>
      <c r="AV1976">
        <v>-2.54</v>
      </c>
      <c r="AW1976">
        <v>50</v>
      </c>
      <c r="AX1976">
        <v>0.72</v>
      </c>
      <c r="AY1976">
        <v>45</v>
      </c>
      <c r="AZ1976">
        <v>6.87</v>
      </c>
      <c r="BA1976">
        <v>43</v>
      </c>
      <c r="BB1976">
        <v>4.92</v>
      </c>
      <c r="BC1976">
        <v>41</v>
      </c>
      <c r="BD1976">
        <v>0.02</v>
      </c>
      <c r="BE1976">
        <v>-0.01</v>
      </c>
      <c r="BF1976">
        <v>0</v>
      </c>
      <c r="BG1976">
        <v>91</v>
      </c>
      <c r="BH1976">
        <v>7.0000000000000007E-2</v>
      </c>
      <c r="BI1976">
        <v>-6.11</v>
      </c>
      <c r="BJ1976">
        <v>0</v>
      </c>
      <c r="BK1976">
        <v>0</v>
      </c>
      <c r="BL1976">
        <v>2.78</v>
      </c>
      <c r="BM1976">
        <v>-1.39</v>
      </c>
      <c r="BN1976">
        <v>0.87</v>
      </c>
      <c r="BO1976">
        <v>1.75</v>
      </c>
      <c r="BP1976">
        <v>1.65</v>
      </c>
      <c r="BQ1976">
        <v>0.39</v>
      </c>
      <c r="BR1976">
        <v>1.37</v>
      </c>
      <c r="BS1976">
        <v>0.92</v>
      </c>
      <c r="BT1976">
        <v>-0.68</v>
      </c>
      <c r="BU1976">
        <v>3.17</v>
      </c>
      <c r="BV1976">
        <v>3.47</v>
      </c>
      <c r="BW1976">
        <v>2.61</v>
      </c>
      <c r="BX1976">
        <v>3.29</v>
      </c>
      <c r="BY1976">
        <v>2.34</v>
      </c>
      <c r="BZ1976">
        <v>-0.15</v>
      </c>
      <c r="CA1976">
        <v>2.5499999999999998</v>
      </c>
      <c r="CB1976">
        <v>2.77</v>
      </c>
      <c r="CC1976">
        <v>0.43</v>
      </c>
      <c r="CD1976">
        <v>-1.72</v>
      </c>
      <c r="CE1976">
        <v>0.72</v>
      </c>
      <c r="CF1976">
        <v>0.4</v>
      </c>
      <c r="CG1976">
        <v>0</v>
      </c>
      <c r="CH1976">
        <v>2.27</v>
      </c>
      <c r="CI1976">
        <v>0</v>
      </c>
      <c r="CJ1976">
        <v>-4.5</v>
      </c>
      <c r="CK1976">
        <v>52</v>
      </c>
      <c r="CL1976">
        <v>-1.95</v>
      </c>
      <c r="CM1976">
        <v>50</v>
      </c>
      <c r="CN1976">
        <v>-0.69</v>
      </c>
      <c r="CO1976">
        <v>49</v>
      </c>
      <c r="CP1976">
        <v>6.1</v>
      </c>
      <c r="CQ1976">
        <v>43</v>
      </c>
      <c r="CR1976">
        <v>0</v>
      </c>
      <c r="CS1976">
        <v>0</v>
      </c>
      <c r="CT1976">
        <v>28</v>
      </c>
      <c r="CU1976">
        <v>41</v>
      </c>
      <c r="CV1976">
        <v>0.37</v>
      </c>
      <c r="CW1976">
        <v>36</v>
      </c>
      <c r="CX1976" t="s">
        <v>309</v>
      </c>
    </row>
    <row r="1977" spans="1:102" x14ac:dyDescent="0.3">
      <c r="A1977" t="str">
        <f>HYPERLINK("https://webapp.icbf.com/v2/app/bull-search/view/804580824","DGQ")</f>
        <v>DGQ</v>
      </c>
      <c r="B1977" t="s">
        <v>9317</v>
      </c>
      <c r="C1977" t="s">
        <v>9318</v>
      </c>
      <c r="D1977" s="1">
        <v>38464</v>
      </c>
      <c r="E1977" t="s">
        <v>108</v>
      </c>
      <c r="F1977">
        <v>3</v>
      </c>
      <c r="G1977" t="s">
        <v>109</v>
      </c>
      <c r="H1977">
        <v>72.739999999999995</v>
      </c>
      <c r="I1977">
        <v>84</v>
      </c>
      <c r="J1977">
        <v>0.55000000000000004</v>
      </c>
      <c r="K1977">
        <v>94</v>
      </c>
      <c r="L1977">
        <v>54.65</v>
      </c>
      <c r="M1977">
        <v>84</v>
      </c>
      <c r="N1977">
        <v>9.76</v>
      </c>
      <c r="O1977">
        <v>77</v>
      </c>
      <c r="P1977">
        <v>-0.44</v>
      </c>
      <c r="Q1977">
        <v>83</v>
      </c>
      <c r="R1977">
        <v>1.76</v>
      </c>
      <c r="S1977">
        <v>77</v>
      </c>
      <c r="T1977">
        <v>8.2799999999999994</v>
      </c>
      <c r="U1977">
        <v>68</v>
      </c>
      <c r="V1977">
        <v>-1.82</v>
      </c>
      <c r="W1977">
        <v>72</v>
      </c>
      <c r="X1977" t="s">
        <v>251</v>
      </c>
      <c r="Y1977" t="s">
        <v>329</v>
      </c>
      <c r="Z1977" t="s">
        <v>96</v>
      </c>
      <c r="AA1977" t="s">
        <v>5174</v>
      </c>
      <c r="AB1977" t="s">
        <v>9319</v>
      </c>
      <c r="AC1977">
        <v>39</v>
      </c>
      <c r="AD1977">
        <v>16</v>
      </c>
      <c r="AE1977">
        <v>94</v>
      </c>
      <c r="AF1977">
        <v>-204.32</v>
      </c>
      <c r="AG1977">
        <v>-2.33</v>
      </c>
      <c r="AH1977">
        <v>-2.21</v>
      </c>
      <c r="AI1977">
        <v>0.1</v>
      </c>
      <c r="AJ1977">
        <v>0.09</v>
      </c>
      <c r="AK1977">
        <v>84</v>
      </c>
      <c r="AL1977">
        <v>42</v>
      </c>
      <c r="AM1977">
        <v>16</v>
      </c>
      <c r="AN1977">
        <v>-2.83</v>
      </c>
      <c r="AO1977">
        <v>1.53</v>
      </c>
      <c r="AP1977">
        <v>84</v>
      </c>
      <c r="AQ1977">
        <v>0</v>
      </c>
      <c r="AR1977">
        <v>4.63</v>
      </c>
      <c r="AS1977">
        <v>61</v>
      </c>
      <c r="AT1977">
        <v>2.2799999999999998</v>
      </c>
      <c r="AU1977">
        <v>77</v>
      </c>
      <c r="AV1977">
        <v>-0.64</v>
      </c>
      <c r="AW1977">
        <v>92</v>
      </c>
      <c r="AX1977">
        <v>1.19</v>
      </c>
      <c r="AY1977">
        <v>69</v>
      </c>
      <c r="AZ1977">
        <v>7.53</v>
      </c>
      <c r="BA1977">
        <v>55</v>
      </c>
      <c r="BB1977">
        <v>5.72</v>
      </c>
      <c r="BC1977">
        <v>51</v>
      </c>
      <c r="BD1977">
        <v>0.04</v>
      </c>
      <c r="BE1977">
        <v>-0.03</v>
      </c>
      <c r="BF1977">
        <v>-0.05</v>
      </c>
      <c r="BG1977">
        <v>90</v>
      </c>
      <c r="BH1977">
        <v>-7.0000000000000007E-2</v>
      </c>
      <c r="BI1977">
        <v>-2.23</v>
      </c>
      <c r="BJ1977">
        <v>6</v>
      </c>
      <c r="BK1977">
        <v>4</v>
      </c>
      <c r="BL1977">
        <v>-2</v>
      </c>
      <c r="BM1977">
        <v>2.61</v>
      </c>
      <c r="BN1977">
        <v>-1.83</v>
      </c>
      <c r="BO1977">
        <v>-2.5499999999999998</v>
      </c>
      <c r="BP1977">
        <v>-1.58</v>
      </c>
      <c r="BQ1977">
        <v>2.0299999999999998</v>
      </c>
      <c r="BR1977">
        <v>-2.1</v>
      </c>
      <c r="BS1977">
        <v>0.51</v>
      </c>
      <c r="BT1977">
        <v>0.79</v>
      </c>
      <c r="BU1977">
        <v>-1.56</v>
      </c>
      <c r="BV1977">
        <v>-1.93</v>
      </c>
      <c r="BW1977">
        <v>-0.93</v>
      </c>
      <c r="BX1977">
        <v>-0.84</v>
      </c>
      <c r="BY1977">
        <v>0.12</v>
      </c>
      <c r="BZ1977">
        <v>1.1599999999999999</v>
      </c>
      <c r="CA1977">
        <v>-1.1399999999999999</v>
      </c>
      <c r="CB1977">
        <v>-1.37</v>
      </c>
      <c r="CC1977">
        <v>-0.44</v>
      </c>
      <c r="CD1977">
        <v>2.67</v>
      </c>
      <c r="CE1977">
        <v>-2.37</v>
      </c>
      <c r="CF1977">
        <v>-0.89</v>
      </c>
      <c r="CG1977">
        <v>0</v>
      </c>
      <c r="CH1977">
        <v>-0.16</v>
      </c>
      <c r="CI1977">
        <v>0</v>
      </c>
      <c r="CJ1977">
        <v>1.6</v>
      </c>
      <c r="CK1977">
        <v>86</v>
      </c>
      <c r="CL1977">
        <v>-0.02</v>
      </c>
      <c r="CM1977">
        <v>83</v>
      </c>
      <c r="CN1977">
        <v>0.15</v>
      </c>
      <c r="CO1977">
        <v>82</v>
      </c>
      <c r="CP1977">
        <v>-4.5999999999999996</v>
      </c>
      <c r="CQ1977">
        <v>67</v>
      </c>
      <c r="CR1977">
        <v>0</v>
      </c>
      <c r="CS1977">
        <v>0</v>
      </c>
      <c r="CT1977">
        <v>2.6</v>
      </c>
      <c r="CU1977">
        <v>68</v>
      </c>
      <c r="CV1977">
        <v>0.13</v>
      </c>
      <c r="CW1977">
        <v>44</v>
      </c>
      <c r="CX1977" t="s">
        <v>4890</v>
      </c>
    </row>
    <row r="1978" spans="1:102" x14ac:dyDescent="0.3">
      <c r="A1978" t="str">
        <f>HYPERLINK("https://webapp.icbf.com/v2/app/bull-search/view/537990540","LRG")</f>
        <v>LRG</v>
      </c>
      <c r="B1978" t="s">
        <v>6744</v>
      </c>
      <c r="C1978" t="s">
        <v>6745</v>
      </c>
      <c r="D1978" s="1">
        <v>39367</v>
      </c>
      <c r="E1978" t="s">
        <v>92</v>
      </c>
      <c r="F1978">
        <v>100</v>
      </c>
      <c r="G1978" t="s">
        <v>93</v>
      </c>
      <c r="H1978">
        <v>72.72</v>
      </c>
      <c r="I1978">
        <v>90</v>
      </c>
      <c r="J1978">
        <v>59.33</v>
      </c>
      <c r="K1978">
        <v>98</v>
      </c>
      <c r="L1978">
        <v>-38.08</v>
      </c>
      <c r="M1978">
        <v>82</v>
      </c>
      <c r="N1978">
        <v>47</v>
      </c>
      <c r="O1978">
        <v>89</v>
      </c>
      <c r="P1978">
        <v>-5.61</v>
      </c>
      <c r="Q1978">
        <v>92</v>
      </c>
      <c r="R1978">
        <v>7.74</v>
      </c>
      <c r="S1978">
        <v>84</v>
      </c>
      <c r="T1978">
        <v>-1.71</v>
      </c>
      <c r="U1978">
        <v>89</v>
      </c>
      <c r="V1978">
        <v>4.05</v>
      </c>
      <c r="W1978">
        <v>85</v>
      </c>
      <c r="X1978" t="s">
        <v>94</v>
      </c>
      <c r="Y1978" t="s">
        <v>1113</v>
      </c>
      <c r="Z1978" t="s">
        <v>96</v>
      </c>
      <c r="AA1978" t="s">
        <v>5124</v>
      </c>
      <c r="AB1978" t="s">
        <v>6746</v>
      </c>
      <c r="AC1978">
        <v>117</v>
      </c>
      <c r="AD1978">
        <v>76</v>
      </c>
      <c r="AE1978">
        <v>98</v>
      </c>
      <c r="AF1978">
        <v>432.24</v>
      </c>
      <c r="AG1978">
        <v>12.51</v>
      </c>
      <c r="AH1978">
        <v>12.28</v>
      </c>
      <c r="AI1978">
        <v>-7.0000000000000007E-2</v>
      </c>
      <c r="AJ1978">
        <v>-0.04</v>
      </c>
      <c r="AK1978">
        <v>82</v>
      </c>
      <c r="AL1978">
        <v>118</v>
      </c>
      <c r="AM1978">
        <v>76</v>
      </c>
      <c r="AN1978">
        <v>2.59</v>
      </c>
      <c r="AO1978">
        <v>-0.44</v>
      </c>
      <c r="AP1978">
        <v>245</v>
      </c>
      <c r="AQ1978">
        <v>1</v>
      </c>
      <c r="AR1978">
        <v>4.66</v>
      </c>
      <c r="AS1978">
        <v>79</v>
      </c>
      <c r="AT1978">
        <v>1.86</v>
      </c>
      <c r="AU1978">
        <v>90</v>
      </c>
      <c r="AV1978">
        <v>-3.43</v>
      </c>
      <c r="AW1978">
        <v>97</v>
      </c>
      <c r="AX1978">
        <v>-0.3</v>
      </c>
      <c r="AY1978">
        <v>85</v>
      </c>
      <c r="AZ1978">
        <v>5.52</v>
      </c>
      <c r="BA1978">
        <v>72</v>
      </c>
      <c r="BB1978">
        <v>4.62</v>
      </c>
      <c r="BC1978">
        <v>73</v>
      </c>
      <c r="BD1978">
        <v>-0.03</v>
      </c>
      <c r="BE1978">
        <v>-0.02</v>
      </c>
      <c r="BF1978">
        <v>-0.09</v>
      </c>
      <c r="BG1978">
        <v>91</v>
      </c>
      <c r="BH1978">
        <v>-0.08</v>
      </c>
      <c r="BI1978">
        <v>-22.31</v>
      </c>
      <c r="BJ1978">
        <v>34</v>
      </c>
      <c r="BK1978">
        <v>18</v>
      </c>
      <c r="BL1978">
        <v>0.4</v>
      </c>
      <c r="BM1978">
        <v>0.19</v>
      </c>
      <c r="BN1978">
        <v>-0.12</v>
      </c>
      <c r="BO1978">
        <v>0.09</v>
      </c>
      <c r="BP1978">
        <v>2.86</v>
      </c>
      <c r="BQ1978">
        <v>0.39</v>
      </c>
      <c r="BR1978">
        <v>-0.24</v>
      </c>
      <c r="BS1978">
        <v>-1.04</v>
      </c>
      <c r="BT1978">
        <v>0.97</v>
      </c>
      <c r="BU1978">
        <v>0.99</v>
      </c>
      <c r="BV1978">
        <v>1.05</v>
      </c>
      <c r="BW1978">
        <v>1.24</v>
      </c>
      <c r="BX1978">
        <v>0.86</v>
      </c>
      <c r="BY1978">
        <v>1.25</v>
      </c>
      <c r="BZ1978">
        <v>0.21</v>
      </c>
      <c r="CA1978">
        <v>0.79</v>
      </c>
      <c r="CB1978">
        <v>1.0900000000000001</v>
      </c>
      <c r="CC1978">
        <v>-0.26</v>
      </c>
      <c r="CD1978">
        <v>0.46</v>
      </c>
      <c r="CE1978">
        <v>0.44</v>
      </c>
      <c r="CF1978">
        <v>0.9</v>
      </c>
      <c r="CG1978">
        <v>0</v>
      </c>
      <c r="CH1978">
        <v>1.9</v>
      </c>
      <c r="CI1978">
        <v>0</v>
      </c>
      <c r="CJ1978">
        <v>-2</v>
      </c>
      <c r="CK1978">
        <v>93</v>
      </c>
      <c r="CL1978">
        <v>-0.88</v>
      </c>
      <c r="CM1978">
        <v>91</v>
      </c>
      <c r="CN1978">
        <v>-0.49</v>
      </c>
      <c r="CO1978">
        <v>90</v>
      </c>
      <c r="CP1978">
        <v>3.3</v>
      </c>
      <c r="CQ1978">
        <v>90</v>
      </c>
      <c r="CR1978">
        <v>0</v>
      </c>
      <c r="CS1978">
        <v>0</v>
      </c>
      <c r="CT1978">
        <v>16.100000000000001</v>
      </c>
      <c r="CU1978">
        <v>89</v>
      </c>
      <c r="CV1978">
        <v>0.12</v>
      </c>
      <c r="CW1978">
        <v>45</v>
      </c>
      <c r="CX1978" t="s">
        <v>316</v>
      </c>
    </row>
    <row r="1979" spans="1:102" x14ac:dyDescent="0.3">
      <c r="A1979" t="str">
        <f>HYPERLINK("https://webapp.icbf.com/v2/app/bull-search/view/487000723","S711")</f>
        <v>S711</v>
      </c>
      <c r="B1979" t="s">
        <v>1492</v>
      </c>
      <c r="C1979" t="s">
        <v>1493</v>
      </c>
      <c r="D1979" s="1">
        <v>38560</v>
      </c>
      <c r="E1979" t="s">
        <v>92</v>
      </c>
      <c r="F1979">
        <v>94</v>
      </c>
      <c r="G1979" t="s">
        <v>109</v>
      </c>
      <c r="H1979">
        <v>72.59</v>
      </c>
      <c r="I1979">
        <v>87</v>
      </c>
      <c r="J1979">
        <v>37.520000000000003</v>
      </c>
      <c r="K1979">
        <v>96</v>
      </c>
      <c r="L1979">
        <v>17.88</v>
      </c>
      <c r="M1979">
        <v>87</v>
      </c>
      <c r="N1979">
        <v>28.17</v>
      </c>
      <c r="O1979">
        <v>82</v>
      </c>
      <c r="P1979">
        <v>-21.65</v>
      </c>
      <c r="Q1979">
        <v>78</v>
      </c>
      <c r="R1979">
        <v>8.9600000000000009</v>
      </c>
      <c r="S1979">
        <v>82</v>
      </c>
      <c r="T1979">
        <v>1.39</v>
      </c>
      <c r="U1979">
        <v>75</v>
      </c>
      <c r="V1979">
        <v>0.32</v>
      </c>
      <c r="W1979">
        <v>78</v>
      </c>
      <c r="X1979" t="s">
        <v>94</v>
      </c>
      <c r="Y1979" t="s">
        <v>1494</v>
      </c>
      <c r="Z1979" t="s">
        <v>96</v>
      </c>
      <c r="AA1979" t="s">
        <v>316</v>
      </c>
      <c r="AB1979" t="s">
        <v>1495</v>
      </c>
      <c r="AC1979">
        <v>27</v>
      </c>
      <c r="AD1979">
        <v>11</v>
      </c>
      <c r="AE1979">
        <v>96</v>
      </c>
      <c r="AF1979">
        <v>434.37</v>
      </c>
      <c r="AG1979">
        <v>5.51</v>
      </c>
      <c r="AH1979">
        <v>11.08</v>
      </c>
      <c r="AI1979">
        <v>-0.19</v>
      </c>
      <c r="AJ1979">
        <v>-0.06</v>
      </c>
      <c r="AK1979">
        <v>87</v>
      </c>
      <c r="AL1979">
        <v>0</v>
      </c>
      <c r="AM1979">
        <v>0</v>
      </c>
      <c r="AN1979">
        <v>-0.66</v>
      </c>
      <c r="AO1979">
        <v>0.77</v>
      </c>
      <c r="AP1979">
        <v>60</v>
      </c>
      <c r="AQ1979">
        <v>0</v>
      </c>
      <c r="AR1979">
        <v>4.7</v>
      </c>
      <c r="AS1979">
        <v>74</v>
      </c>
      <c r="AT1979">
        <v>2.29</v>
      </c>
      <c r="AU1979">
        <v>87</v>
      </c>
      <c r="AV1979">
        <v>-2.2999999999999998</v>
      </c>
      <c r="AW1979">
        <v>90</v>
      </c>
      <c r="AX1979">
        <v>0.53</v>
      </c>
      <c r="AY1979">
        <v>71</v>
      </c>
      <c r="AZ1979">
        <v>6.34</v>
      </c>
      <c r="BA1979">
        <v>62</v>
      </c>
      <c r="BB1979">
        <v>5.39</v>
      </c>
      <c r="BC1979">
        <v>64</v>
      </c>
      <c r="BD1979">
        <v>-0.03</v>
      </c>
      <c r="BE1979">
        <v>-0.04</v>
      </c>
      <c r="BF1979">
        <v>-0.08</v>
      </c>
      <c r="BG1979">
        <v>92</v>
      </c>
      <c r="BH1979">
        <v>0.03</v>
      </c>
      <c r="BI1979">
        <v>2.4500000000000002</v>
      </c>
      <c r="BJ1979">
        <v>0</v>
      </c>
      <c r="BK1979">
        <v>0</v>
      </c>
      <c r="BL1979">
        <v>-0.19</v>
      </c>
      <c r="BM1979">
        <v>2.0499999999999998</v>
      </c>
      <c r="BN1979">
        <v>0.01</v>
      </c>
      <c r="BO1979">
        <v>-0.9</v>
      </c>
      <c r="BP1979">
        <v>-0.96</v>
      </c>
      <c r="BQ1979">
        <v>-0.28000000000000003</v>
      </c>
      <c r="BR1979">
        <v>-0.89</v>
      </c>
      <c r="BS1979">
        <v>-0.64</v>
      </c>
      <c r="BT1979">
        <v>0</v>
      </c>
      <c r="BU1979">
        <v>0.33</v>
      </c>
      <c r="BV1979">
        <v>-0.72</v>
      </c>
      <c r="BW1979">
        <v>-1.1000000000000001</v>
      </c>
      <c r="BX1979">
        <v>-0.05</v>
      </c>
      <c r="BY1979">
        <v>-0.04</v>
      </c>
      <c r="BZ1979">
        <v>1.03</v>
      </c>
      <c r="CA1979">
        <v>-0.24</v>
      </c>
      <c r="CB1979">
        <v>0.13</v>
      </c>
      <c r="CC1979">
        <v>-0.46</v>
      </c>
      <c r="CD1979">
        <v>1.61</v>
      </c>
      <c r="CE1979">
        <v>-0.91</v>
      </c>
      <c r="CF1979">
        <v>0.77</v>
      </c>
      <c r="CG1979">
        <v>0</v>
      </c>
      <c r="CH1979">
        <v>-0.28000000000000003</v>
      </c>
      <c r="CI1979">
        <v>0</v>
      </c>
      <c r="CJ1979">
        <v>-9.6999999999999993</v>
      </c>
      <c r="CK1979">
        <v>80</v>
      </c>
      <c r="CL1979">
        <v>-0.87</v>
      </c>
      <c r="CM1979">
        <v>76</v>
      </c>
      <c r="CN1979">
        <v>-0.08</v>
      </c>
      <c r="CO1979">
        <v>74</v>
      </c>
      <c r="CP1979">
        <v>-1.5</v>
      </c>
      <c r="CQ1979">
        <v>78</v>
      </c>
      <c r="CR1979">
        <v>0</v>
      </c>
      <c r="CS1979">
        <v>0</v>
      </c>
      <c r="CT1979">
        <v>11.9</v>
      </c>
      <c r="CU1979">
        <v>75</v>
      </c>
      <c r="CV1979">
        <v>0.1</v>
      </c>
      <c r="CW1979">
        <v>45</v>
      </c>
      <c r="CX1979" t="s">
        <v>1496</v>
      </c>
    </row>
    <row r="1980" spans="1:102" x14ac:dyDescent="0.3">
      <c r="A1980" t="str">
        <f>HYPERLINK("https://webapp.icbf.com/v2/app/bull-search/view/108378535","SEA")</f>
        <v>SEA</v>
      </c>
      <c r="B1980" t="s">
        <v>4967</v>
      </c>
      <c r="C1980" t="s">
        <v>4968</v>
      </c>
      <c r="D1980" s="1">
        <v>34277</v>
      </c>
      <c r="E1980" t="s">
        <v>227</v>
      </c>
      <c r="F1980">
        <v>0</v>
      </c>
      <c r="G1980" t="s">
        <v>93</v>
      </c>
      <c r="H1980">
        <v>72.38</v>
      </c>
      <c r="I1980">
        <v>86</v>
      </c>
      <c r="J1980">
        <v>-17.25</v>
      </c>
      <c r="K1980">
        <v>95</v>
      </c>
      <c r="L1980">
        <v>79.2</v>
      </c>
      <c r="M1980">
        <v>82</v>
      </c>
      <c r="N1980">
        <v>10.47</v>
      </c>
      <c r="O1980">
        <v>78</v>
      </c>
      <c r="P1980">
        <v>-75.92</v>
      </c>
      <c r="Q1980">
        <v>87</v>
      </c>
      <c r="R1980">
        <v>3.58</v>
      </c>
      <c r="S1980">
        <v>72</v>
      </c>
      <c r="T1980">
        <v>83.24</v>
      </c>
      <c r="U1980">
        <v>88</v>
      </c>
      <c r="V1980">
        <v>-10.94</v>
      </c>
      <c r="W1980">
        <v>67</v>
      </c>
      <c r="X1980" t="s">
        <v>94</v>
      </c>
      <c r="Y1980" t="s">
        <v>95</v>
      </c>
      <c r="Z1980">
        <v>0</v>
      </c>
      <c r="AA1980" t="s">
        <v>4969</v>
      </c>
      <c r="AB1980" t="s">
        <v>144</v>
      </c>
      <c r="AC1980">
        <v>76</v>
      </c>
      <c r="AD1980">
        <v>41</v>
      </c>
      <c r="AE1980">
        <v>95</v>
      </c>
      <c r="AF1980">
        <v>-503.39</v>
      </c>
      <c r="AG1980">
        <v>5.15</v>
      </c>
      <c r="AH1980">
        <v>-12.46</v>
      </c>
      <c r="AI1980">
        <v>0.45</v>
      </c>
      <c r="AJ1980">
        <v>0.09</v>
      </c>
      <c r="AK1980">
        <v>82</v>
      </c>
      <c r="AL1980">
        <v>104</v>
      </c>
      <c r="AM1980">
        <v>32</v>
      </c>
      <c r="AN1980">
        <v>-2.48</v>
      </c>
      <c r="AO1980">
        <v>3.86</v>
      </c>
      <c r="AP1980">
        <v>61</v>
      </c>
      <c r="AQ1980">
        <v>1</v>
      </c>
      <c r="AR1980">
        <v>4.2300000000000004</v>
      </c>
      <c r="AS1980">
        <v>71</v>
      </c>
      <c r="AT1980">
        <v>1.97</v>
      </c>
      <c r="AU1980">
        <v>71</v>
      </c>
      <c r="AV1980">
        <v>-0.41</v>
      </c>
      <c r="AW1980">
        <v>92</v>
      </c>
      <c r="AX1980">
        <v>3.1</v>
      </c>
      <c r="AY1980">
        <v>82</v>
      </c>
      <c r="AZ1980">
        <v>5.96</v>
      </c>
      <c r="BA1980">
        <v>49</v>
      </c>
      <c r="BB1980">
        <v>5.3</v>
      </c>
      <c r="BC1980">
        <v>60</v>
      </c>
      <c r="BD1980">
        <v>-0.05</v>
      </c>
      <c r="BE1980">
        <v>-0.01</v>
      </c>
      <c r="BF1980">
        <v>0.02</v>
      </c>
      <c r="BG1980">
        <v>84</v>
      </c>
      <c r="BH1980">
        <v>-0.25</v>
      </c>
      <c r="BI1980">
        <v>6.36</v>
      </c>
      <c r="BJ1980">
        <v>5</v>
      </c>
      <c r="BK1980">
        <v>3</v>
      </c>
      <c r="BL1980">
        <v>-1.27</v>
      </c>
      <c r="BM1980">
        <v>-1.5</v>
      </c>
      <c r="BN1980">
        <v>-0.56999999999999995</v>
      </c>
      <c r="BO1980">
        <v>0.86</v>
      </c>
      <c r="BP1980">
        <v>-1.27</v>
      </c>
      <c r="BQ1980">
        <v>-4.28</v>
      </c>
      <c r="BR1980">
        <v>3.26</v>
      </c>
      <c r="BS1980">
        <v>4.4800000000000004</v>
      </c>
      <c r="BT1980">
        <v>-2.48</v>
      </c>
      <c r="BU1980">
        <v>1.25</v>
      </c>
      <c r="BV1980">
        <v>0.76</v>
      </c>
      <c r="BW1980">
        <v>-1.6</v>
      </c>
      <c r="BX1980">
        <v>-0.47</v>
      </c>
      <c r="BY1980">
        <v>-0.23</v>
      </c>
      <c r="BZ1980">
        <v>-2.0499999999999998</v>
      </c>
      <c r="CA1980">
        <v>1.29</v>
      </c>
      <c r="CB1980">
        <v>0.6</v>
      </c>
      <c r="CC1980">
        <v>2.04</v>
      </c>
      <c r="CD1980">
        <v>-2.4900000000000002</v>
      </c>
      <c r="CE1980">
        <v>0.78</v>
      </c>
      <c r="CF1980">
        <v>-1.45</v>
      </c>
      <c r="CG1980">
        <v>0</v>
      </c>
      <c r="CH1980">
        <v>-0.26</v>
      </c>
      <c r="CI1980">
        <v>0</v>
      </c>
      <c r="CJ1980">
        <v>-41.3</v>
      </c>
      <c r="CK1980">
        <v>88</v>
      </c>
      <c r="CL1980">
        <v>-1.08</v>
      </c>
      <c r="CM1980">
        <v>86</v>
      </c>
      <c r="CN1980">
        <v>-0.2</v>
      </c>
      <c r="CO1980">
        <v>84</v>
      </c>
      <c r="CP1980">
        <v>-67.5</v>
      </c>
      <c r="CQ1980">
        <v>89</v>
      </c>
      <c r="CR1980">
        <v>0</v>
      </c>
      <c r="CS1980">
        <v>0</v>
      </c>
      <c r="CT1980">
        <v>-98.7</v>
      </c>
      <c r="CU1980">
        <v>88</v>
      </c>
      <c r="CV1980">
        <v>-0.55000000000000004</v>
      </c>
      <c r="CW1980">
        <v>24</v>
      </c>
      <c r="CX1980" t="s">
        <v>4311</v>
      </c>
    </row>
    <row r="1981" spans="1:102" x14ac:dyDescent="0.3">
      <c r="A1981" t="str">
        <f>HYPERLINK("https://webapp.icbf.com/v2/app/bull-search/view/867778389","PWZ")</f>
        <v>PWZ</v>
      </c>
      <c r="B1981" t="s">
        <v>9182</v>
      </c>
      <c r="C1981" t="s">
        <v>9183</v>
      </c>
      <c r="D1981" s="1">
        <v>40605</v>
      </c>
      <c r="E1981" t="s">
        <v>92</v>
      </c>
      <c r="F1981">
        <v>72</v>
      </c>
      <c r="G1981" t="s">
        <v>93</v>
      </c>
      <c r="H1981">
        <v>72.38</v>
      </c>
      <c r="I1981">
        <v>86</v>
      </c>
      <c r="J1981">
        <v>57.21</v>
      </c>
      <c r="K1981">
        <v>97</v>
      </c>
      <c r="L1981">
        <v>-37.93</v>
      </c>
      <c r="M1981">
        <v>78</v>
      </c>
      <c r="N1981">
        <v>33.58</v>
      </c>
      <c r="O1981">
        <v>85</v>
      </c>
      <c r="P1981">
        <v>-6.27</v>
      </c>
      <c r="Q1981">
        <v>92</v>
      </c>
      <c r="R1981">
        <v>-0.04</v>
      </c>
      <c r="S1981">
        <v>78</v>
      </c>
      <c r="T1981">
        <v>14.94</v>
      </c>
      <c r="U1981">
        <v>85</v>
      </c>
      <c r="V1981">
        <v>10.89</v>
      </c>
      <c r="W1981">
        <v>74</v>
      </c>
      <c r="X1981" t="s">
        <v>102</v>
      </c>
      <c r="Y1981" t="s">
        <v>1860</v>
      </c>
      <c r="Z1981" t="s">
        <v>330</v>
      </c>
      <c r="AA1981" t="s">
        <v>2150</v>
      </c>
      <c r="AB1981" t="s">
        <v>9184</v>
      </c>
      <c r="AC1981">
        <v>85</v>
      </c>
      <c r="AD1981">
        <v>49</v>
      </c>
      <c r="AE1981">
        <v>97</v>
      </c>
      <c r="AF1981">
        <v>129.15</v>
      </c>
      <c r="AG1981">
        <v>9.9700000000000006</v>
      </c>
      <c r="AH1981">
        <v>8.18</v>
      </c>
      <c r="AI1981">
        <v>0.08</v>
      </c>
      <c r="AJ1981">
        <v>7.0000000000000007E-2</v>
      </c>
      <c r="AK1981">
        <v>78</v>
      </c>
      <c r="AL1981">
        <v>90</v>
      </c>
      <c r="AM1981">
        <v>57</v>
      </c>
      <c r="AN1981">
        <v>2.4300000000000002</v>
      </c>
      <c r="AO1981">
        <v>-0.59</v>
      </c>
      <c r="AP1981">
        <v>226</v>
      </c>
      <c r="AQ1981">
        <v>2</v>
      </c>
      <c r="AR1981">
        <v>5.74</v>
      </c>
      <c r="AS1981">
        <v>79</v>
      </c>
      <c r="AT1981">
        <v>2.37</v>
      </c>
      <c r="AU1981">
        <v>87</v>
      </c>
      <c r="AV1981">
        <v>-3.63</v>
      </c>
      <c r="AW1981">
        <v>95</v>
      </c>
      <c r="AX1981">
        <v>0.46</v>
      </c>
      <c r="AY1981">
        <v>80</v>
      </c>
      <c r="AZ1981">
        <v>6.9</v>
      </c>
      <c r="BA1981">
        <v>65</v>
      </c>
      <c r="BB1981">
        <v>5.71</v>
      </c>
      <c r="BC1981">
        <v>65</v>
      </c>
      <c r="BD1981">
        <v>-0.03</v>
      </c>
      <c r="BE1981">
        <v>-0.01</v>
      </c>
      <c r="BF1981">
        <v>7.0000000000000007E-2</v>
      </c>
      <c r="BG1981">
        <v>88</v>
      </c>
      <c r="BH1981">
        <v>0.13</v>
      </c>
      <c r="BI1981">
        <v>-20.079999999999998</v>
      </c>
      <c r="BJ1981">
        <v>3</v>
      </c>
      <c r="BK1981">
        <v>3</v>
      </c>
      <c r="BL1981">
        <v>-0.75</v>
      </c>
      <c r="BM1981">
        <v>-0.84</v>
      </c>
      <c r="BN1981">
        <v>-0.93</v>
      </c>
      <c r="BO1981">
        <v>0.06</v>
      </c>
      <c r="BP1981">
        <v>1.1299999999999999</v>
      </c>
      <c r="BQ1981">
        <v>-0.52</v>
      </c>
      <c r="BR1981">
        <v>0.03</v>
      </c>
      <c r="BS1981">
        <v>-0.85</v>
      </c>
      <c r="BT1981">
        <v>-0.9</v>
      </c>
      <c r="BU1981">
        <v>-0.62</v>
      </c>
      <c r="BV1981">
        <v>-0.48</v>
      </c>
      <c r="BW1981">
        <v>-0.02</v>
      </c>
      <c r="BX1981">
        <v>-0.54</v>
      </c>
      <c r="BY1981">
        <v>-0.33</v>
      </c>
      <c r="BZ1981">
        <v>-1.8</v>
      </c>
      <c r="CA1981">
        <v>-0.4</v>
      </c>
      <c r="CB1981">
        <v>-0.17</v>
      </c>
      <c r="CC1981">
        <v>-0.14000000000000001</v>
      </c>
      <c r="CD1981">
        <v>-0.72</v>
      </c>
      <c r="CE1981">
        <v>-0.74</v>
      </c>
      <c r="CF1981">
        <v>-1.25</v>
      </c>
      <c r="CG1981">
        <v>0</v>
      </c>
      <c r="CH1981">
        <v>-1.02</v>
      </c>
      <c r="CI1981">
        <v>0</v>
      </c>
      <c r="CJ1981">
        <v>-1.7</v>
      </c>
      <c r="CK1981">
        <v>93</v>
      </c>
      <c r="CL1981">
        <v>-0.78</v>
      </c>
      <c r="CM1981">
        <v>92</v>
      </c>
      <c r="CN1981">
        <v>-0.45</v>
      </c>
      <c r="CO1981">
        <v>91</v>
      </c>
      <c r="CP1981">
        <v>-7.6</v>
      </c>
      <c r="CQ1981">
        <v>83</v>
      </c>
      <c r="CR1981">
        <v>0</v>
      </c>
      <c r="CS1981">
        <v>0</v>
      </c>
      <c r="CT1981">
        <v>-6.4</v>
      </c>
      <c r="CU1981">
        <v>85</v>
      </c>
      <c r="CV1981">
        <v>0.25</v>
      </c>
      <c r="CW1981">
        <v>45</v>
      </c>
      <c r="CX1981" t="s">
        <v>9185</v>
      </c>
    </row>
    <row r="1982" spans="1:102" x14ac:dyDescent="0.3">
      <c r="A1982" t="str">
        <f>HYPERLINK("https://webapp.icbf.com/v2/app/bull-search/view/586044470","S1169")</f>
        <v>S1169</v>
      </c>
      <c r="B1982" t="s">
        <v>14668</v>
      </c>
      <c r="C1982" t="s">
        <v>384</v>
      </c>
      <c r="D1982" s="1">
        <v>38987</v>
      </c>
      <c r="E1982" t="s">
        <v>92</v>
      </c>
      <c r="F1982">
        <v>100</v>
      </c>
      <c r="G1982" t="s">
        <v>93</v>
      </c>
      <c r="H1982">
        <v>72.37</v>
      </c>
      <c r="I1982">
        <v>91</v>
      </c>
      <c r="J1982">
        <v>61.01</v>
      </c>
      <c r="K1982">
        <v>98</v>
      </c>
      <c r="L1982">
        <v>-12.35</v>
      </c>
      <c r="M1982">
        <v>91</v>
      </c>
      <c r="N1982">
        <v>31.25</v>
      </c>
      <c r="O1982">
        <v>88</v>
      </c>
      <c r="P1982">
        <v>-10.43</v>
      </c>
      <c r="Q1982">
        <v>92</v>
      </c>
      <c r="R1982">
        <v>10.86</v>
      </c>
      <c r="S1982">
        <v>83</v>
      </c>
      <c r="T1982">
        <v>-11.48</v>
      </c>
      <c r="U1982">
        <v>79</v>
      </c>
      <c r="V1982">
        <v>3.51</v>
      </c>
      <c r="W1982">
        <v>74</v>
      </c>
      <c r="X1982" t="s">
        <v>94</v>
      </c>
      <c r="Y1982" t="s">
        <v>336</v>
      </c>
      <c r="Z1982" t="s">
        <v>96</v>
      </c>
      <c r="AA1982" t="s">
        <v>309</v>
      </c>
      <c r="AB1982" t="s">
        <v>1749</v>
      </c>
      <c r="AC1982">
        <v>117</v>
      </c>
      <c r="AD1982">
        <v>39</v>
      </c>
      <c r="AE1982">
        <v>98</v>
      </c>
      <c r="AF1982">
        <v>303.22000000000003</v>
      </c>
      <c r="AG1982">
        <v>8.8699999999999992</v>
      </c>
      <c r="AH1982">
        <v>11.88</v>
      </c>
      <c r="AI1982">
        <v>-0.05</v>
      </c>
      <c r="AJ1982">
        <v>0.03</v>
      </c>
      <c r="AK1982">
        <v>91</v>
      </c>
      <c r="AL1982">
        <v>104</v>
      </c>
      <c r="AM1982">
        <v>30</v>
      </c>
      <c r="AN1982">
        <v>1.08</v>
      </c>
      <c r="AO1982">
        <v>0.1</v>
      </c>
      <c r="AP1982">
        <v>190</v>
      </c>
      <c r="AQ1982">
        <v>0</v>
      </c>
      <c r="AR1982">
        <v>5.1100000000000003</v>
      </c>
      <c r="AS1982">
        <v>83</v>
      </c>
      <c r="AT1982">
        <v>2.2799999999999998</v>
      </c>
      <c r="AU1982">
        <v>94</v>
      </c>
      <c r="AV1982">
        <v>-2.39</v>
      </c>
      <c r="AW1982">
        <v>95</v>
      </c>
      <c r="AX1982">
        <v>0.03</v>
      </c>
      <c r="AY1982">
        <v>85</v>
      </c>
      <c r="AZ1982">
        <v>6.51</v>
      </c>
      <c r="BA1982">
        <v>73</v>
      </c>
      <c r="BB1982">
        <v>4.9800000000000004</v>
      </c>
      <c r="BC1982">
        <v>67</v>
      </c>
      <c r="BD1982">
        <v>-0.04</v>
      </c>
      <c r="BE1982">
        <v>-7.0000000000000007E-2</v>
      </c>
      <c r="BF1982">
        <v>-0.05</v>
      </c>
      <c r="BG1982">
        <v>94</v>
      </c>
      <c r="BH1982">
        <v>0.11</v>
      </c>
      <c r="BI1982">
        <v>1.41</v>
      </c>
      <c r="BJ1982">
        <v>27</v>
      </c>
      <c r="BK1982">
        <v>13</v>
      </c>
      <c r="BL1982">
        <v>1.44</v>
      </c>
      <c r="BM1982">
        <v>0.25</v>
      </c>
      <c r="BN1982">
        <v>1.36</v>
      </c>
      <c r="BO1982">
        <v>0.97</v>
      </c>
      <c r="BP1982">
        <v>-1.25</v>
      </c>
      <c r="BQ1982">
        <v>0.2</v>
      </c>
      <c r="BR1982">
        <v>-1.1299999999999999</v>
      </c>
      <c r="BS1982">
        <v>2.98</v>
      </c>
      <c r="BT1982">
        <v>2.4</v>
      </c>
      <c r="BU1982">
        <v>2.3199999999999998</v>
      </c>
      <c r="BV1982">
        <v>2.17</v>
      </c>
      <c r="BW1982">
        <v>1.89</v>
      </c>
      <c r="BX1982">
        <v>1.38</v>
      </c>
      <c r="BY1982">
        <v>0.84</v>
      </c>
      <c r="BZ1982">
        <v>0.75</v>
      </c>
      <c r="CA1982">
        <v>2.19</v>
      </c>
      <c r="CB1982">
        <v>1.55</v>
      </c>
      <c r="CC1982">
        <v>2.77</v>
      </c>
      <c r="CD1982">
        <v>0.13</v>
      </c>
      <c r="CE1982">
        <v>0.47</v>
      </c>
      <c r="CF1982">
        <v>1.75</v>
      </c>
      <c r="CG1982">
        <v>0</v>
      </c>
      <c r="CH1982">
        <v>0.59</v>
      </c>
      <c r="CI1982">
        <v>0</v>
      </c>
      <c r="CJ1982">
        <v>-2.2000000000000002</v>
      </c>
      <c r="CK1982">
        <v>94</v>
      </c>
      <c r="CL1982">
        <v>-1.42</v>
      </c>
      <c r="CM1982">
        <v>92</v>
      </c>
      <c r="CN1982">
        <v>-0.57999999999999996</v>
      </c>
      <c r="CO1982">
        <v>91</v>
      </c>
      <c r="CP1982">
        <v>3.1</v>
      </c>
      <c r="CQ1982">
        <v>84</v>
      </c>
      <c r="CR1982">
        <v>0</v>
      </c>
      <c r="CS1982">
        <v>0</v>
      </c>
      <c r="CT1982">
        <v>29.3</v>
      </c>
      <c r="CU1982">
        <v>79</v>
      </c>
      <c r="CV1982">
        <v>0.25</v>
      </c>
      <c r="CW1982">
        <v>45</v>
      </c>
      <c r="CX1982" t="s">
        <v>316</v>
      </c>
    </row>
    <row r="1983" spans="1:102" x14ac:dyDescent="0.3">
      <c r="A1983" t="str">
        <f>HYPERLINK("https://webapp.icbf.com/v2/app/bull-search/view/69092275","MRC")</f>
        <v>MRC</v>
      </c>
      <c r="B1983" t="s">
        <v>10505</v>
      </c>
      <c r="C1983" t="s">
        <v>10506</v>
      </c>
      <c r="D1983" s="1">
        <v>32870</v>
      </c>
      <c r="E1983" t="s">
        <v>146</v>
      </c>
      <c r="F1983">
        <v>0</v>
      </c>
      <c r="G1983" t="s">
        <v>93</v>
      </c>
      <c r="H1983">
        <v>72.36</v>
      </c>
      <c r="I1983">
        <v>79</v>
      </c>
      <c r="J1983">
        <v>-59.29</v>
      </c>
      <c r="K1983">
        <v>94</v>
      </c>
      <c r="L1983">
        <v>100.14</v>
      </c>
      <c r="M1983">
        <v>69</v>
      </c>
      <c r="N1983">
        <v>16.52</v>
      </c>
      <c r="O1983">
        <v>76</v>
      </c>
      <c r="P1983">
        <v>16.57</v>
      </c>
      <c r="Q1983">
        <v>91</v>
      </c>
      <c r="R1983">
        <v>3.87</v>
      </c>
      <c r="S1983">
        <v>69</v>
      </c>
      <c r="T1983">
        <v>2.8</v>
      </c>
      <c r="U1983">
        <v>77</v>
      </c>
      <c r="V1983">
        <v>-8.25</v>
      </c>
      <c r="W1983">
        <v>39</v>
      </c>
      <c r="X1983" t="s">
        <v>110</v>
      </c>
      <c r="Y1983" t="s">
        <v>95</v>
      </c>
      <c r="Z1983" t="s">
        <v>96</v>
      </c>
      <c r="AA1983" t="s">
        <v>185</v>
      </c>
      <c r="AB1983" t="s">
        <v>10507</v>
      </c>
      <c r="AC1983">
        <v>77</v>
      </c>
      <c r="AD1983">
        <v>49</v>
      </c>
      <c r="AE1983">
        <v>94</v>
      </c>
      <c r="AF1983">
        <v>-557.65</v>
      </c>
      <c r="AG1983">
        <v>-18.88</v>
      </c>
      <c r="AH1983">
        <v>-11.94</v>
      </c>
      <c r="AI1983">
        <v>0.05</v>
      </c>
      <c r="AJ1983">
        <v>0.13</v>
      </c>
      <c r="AK1983">
        <v>69</v>
      </c>
      <c r="AL1983">
        <v>154</v>
      </c>
      <c r="AM1983">
        <v>86</v>
      </c>
      <c r="AN1983">
        <v>-6.7</v>
      </c>
      <c r="AO1983">
        <v>1.27</v>
      </c>
      <c r="AP1983">
        <v>28</v>
      </c>
      <c r="AQ1983">
        <v>0</v>
      </c>
      <c r="AR1983">
        <v>6.97</v>
      </c>
      <c r="AS1983">
        <v>51</v>
      </c>
      <c r="AT1983">
        <v>2.58</v>
      </c>
      <c r="AU1983">
        <v>72</v>
      </c>
      <c r="AV1983">
        <v>-1.38</v>
      </c>
      <c r="AW1983">
        <v>89</v>
      </c>
      <c r="AX1983">
        <v>0.66</v>
      </c>
      <c r="AY1983">
        <v>80</v>
      </c>
      <c r="AZ1983">
        <v>5.87</v>
      </c>
      <c r="BA1983">
        <v>44</v>
      </c>
      <c r="BB1983">
        <v>4.9400000000000004</v>
      </c>
      <c r="BC1983">
        <v>61</v>
      </c>
      <c r="BD1983">
        <v>-0.03</v>
      </c>
      <c r="BE1983">
        <v>-0.01</v>
      </c>
      <c r="BF1983">
        <v>-0.02</v>
      </c>
      <c r="BG1983">
        <v>89</v>
      </c>
      <c r="BH1983">
        <v>-0.13</v>
      </c>
      <c r="BI1983">
        <v>11.56</v>
      </c>
      <c r="BJ1983">
        <v>0</v>
      </c>
      <c r="BK1983">
        <v>0</v>
      </c>
      <c r="BL1983">
        <v>-1.0900000000000001</v>
      </c>
      <c r="BM1983">
        <v>1.85</v>
      </c>
      <c r="BN1983">
        <v>-1.07</v>
      </c>
      <c r="BO1983">
        <v>-1.79</v>
      </c>
      <c r="BP1983">
        <v>0.81</v>
      </c>
      <c r="BQ1983">
        <v>-0.27</v>
      </c>
      <c r="BR1983">
        <v>-0.4</v>
      </c>
      <c r="BS1983">
        <v>0.8</v>
      </c>
      <c r="BT1983">
        <v>0.71</v>
      </c>
      <c r="BU1983">
        <v>-1.28</v>
      </c>
      <c r="BV1983">
        <v>-2.29</v>
      </c>
      <c r="BW1983">
        <v>-2.0299999999999998</v>
      </c>
      <c r="BX1983">
        <v>-1.27</v>
      </c>
      <c r="BY1983">
        <v>-1.84</v>
      </c>
      <c r="BZ1983">
        <v>0.48</v>
      </c>
      <c r="CA1983">
        <v>-1.0900000000000001</v>
      </c>
      <c r="CB1983">
        <v>-1.59</v>
      </c>
      <c r="CC1983">
        <v>0.24</v>
      </c>
      <c r="CD1983">
        <v>1.42</v>
      </c>
      <c r="CE1983">
        <v>-1.49</v>
      </c>
      <c r="CF1983">
        <v>-0.9</v>
      </c>
      <c r="CG1983">
        <v>0</v>
      </c>
      <c r="CH1983">
        <v>-1.87</v>
      </c>
      <c r="CI1983">
        <v>0</v>
      </c>
      <c r="CJ1983">
        <v>6.5</v>
      </c>
      <c r="CK1983">
        <v>92</v>
      </c>
      <c r="CL1983">
        <v>0.67</v>
      </c>
      <c r="CM1983">
        <v>90</v>
      </c>
      <c r="CN1983">
        <v>0.03</v>
      </c>
      <c r="CO1983">
        <v>89</v>
      </c>
      <c r="CP1983">
        <v>6.9</v>
      </c>
      <c r="CQ1983">
        <v>88</v>
      </c>
      <c r="CR1983">
        <v>0</v>
      </c>
      <c r="CS1983">
        <v>0</v>
      </c>
      <c r="CT1983">
        <v>10</v>
      </c>
      <c r="CU1983">
        <v>77</v>
      </c>
      <c r="CV1983">
        <v>-0.15</v>
      </c>
      <c r="CW1983">
        <v>44</v>
      </c>
      <c r="CX1983" t="s">
        <v>10508</v>
      </c>
    </row>
    <row r="1984" spans="1:102" x14ac:dyDescent="0.3">
      <c r="A1984" t="str">
        <f>HYPERLINK("https://webapp.icbf.com/v2/app/bull-search/view/1157097652","S2110")</f>
        <v>S2110</v>
      </c>
      <c r="B1984" t="s">
        <v>13245</v>
      </c>
      <c r="C1984" t="s">
        <v>13246</v>
      </c>
      <c r="D1984" s="1">
        <v>40987</v>
      </c>
      <c r="E1984" t="s">
        <v>92</v>
      </c>
      <c r="F1984">
        <v>100</v>
      </c>
      <c r="G1984" t="s">
        <v>93</v>
      </c>
      <c r="H1984">
        <v>72.349999999999994</v>
      </c>
      <c r="I1984">
        <v>85</v>
      </c>
      <c r="J1984">
        <v>109.3</v>
      </c>
      <c r="K1984">
        <v>96</v>
      </c>
      <c r="L1984">
        <v>-72.75</v>
      </c>
      <c r="M1984">
        <v>89</v>
      </c>
      <c r="N1984">
        <v>39.94</v>
      </c>
      <c r="O1984">
        <v>80</v>
      </c>
      <c r="P1984">
        <v>-14.57</v>
      </c>
      <c r="Q1984">
        <v>70</v>
      </c>
      <c r="R1984">
        <v>7.78</v>
      </c>
      <c r="S1984">
        <v>78</v>
      </c>
      <c r="T1984">
        <v>0.28000000000000003</v>
      </c>
      <c r="U1984">
        <v>58</v>
      </c>
      <c r="V1984">
        <v>2.37</v>
      </c>
      <c r="W1984">
        <v>60</v>
      </c>
      <c r="X1984" t="s">
        <v>251</v>
      </c>
      <c r="Y1984" t="s">
        <v>367</v>
      </c>
      <c r="Z1984" t="s">
        <v>96</v>
      </c>
      <c r="AA1984" t="s">
        <v>2187</v>
      </c>
      <c r="AB1984" t="s">
        <v>7637</v>
      </c>
      <c r="AC1984">
        <v>75</v>
      </c>
      <c r="AD1984">
        <v>22</v>
      </c>
      <c r="AE1984">
        <v>96</v>
      </c>
      <c r="AF1984">
        <v>600.79999999999995</v>
      </c>
      <c r="AG1984">
        <v>18.7</v>
      </c>
      <c r="AH1984">
        <v>21.17</v>
      </c>
      <c r="AI1984">
        <v>-0.08</v>
      </c>
      <c r="AJ1984">
        <v>0.01</v>
      </c>
      <c r="AK1984">
        <v>89</v>
      </c>
      <c r="AL1984">
        <v>60</v>
      </c>
      <c r="AM1984">
        <v>16</v>
      </c>
      <c r="AN1984">
        <v>5.64</v>
      </c>
      <c r="AO1984">
        <v>-0.14000000000000001</v>
      </c>
      <c r="AP1984">
        <v>68</v>
      </c>
      <c r="AQ1984">
        <v>0</v>
      </c>
      <c r="AR1984">
        <v>6.91</v>
      </c>
      <c r="AS1984">
        <v>77</v>
      </c>
      <c r="AT1984">
        <v>2.31</v>
      </c>
      <c r="AU1984">
        <v>92</v>
      </c>
      <c r="AV1984">
        <v>-3.79</v>
      </c>
      <c r="AW1984">
        <v>87</v>
      </c>
      <c r="AX1984">
        <v>-0.81</v>
      </c>
      <c r="AY1984">
        <v>75</v>
      </c>
      <c r="AZ1984">
        <v>5.84</v>
      </c>
      <c r="BA1984">
        <v>58</v>
      </c>
      <c r="BB1984">
        <v>5.28</v>
      </c>
      <c r="BC1984">
        <v>49</v>
      </c>
      <c r="BD1984">
        <v>-0.06</v>
      </c>
      <c r="BE1984">
        <v>-0.01</v>
      </c>
      <c r="BF1984">
        <v>-0.06</v>
      </c>
      <c r="BG1984">
        <v>94</v>
      </c>
      <c r="BH1984">
        <v>7.0000000000000007E-2</v>
      </c>
      <c r="BI1984">
        <v>0.45</v>
      </c>
      <c r="BJ1984">
        <v>36</v>
      </c>
      <c r="BK1984">
        <v>12</v>
      </c>
      <c r="BL1984">
        <v>1.61</v>
      </c>
      <c r="BM1984">
        <v>0.55000000000000004</v>
      </c>
      <c r="BN1984">
        <v>1.51</v>
      </c>
      <c r="BO1984">
        <v>1.23</v>
      </c>
      <c r="BP1984">
        <v>-0.92</v>
      </c>
      <c r="BQ1984">
        <v>2.16</v>
      </c>
      <c r="BR1984">
        <v>0.81</v>
      </c>
      <c r="BS1984">
        <v>1.1299999999999999</v>
      </c>
      <c r="BT1984">
        <v>0.16</v>
      </c>
      <c r="BU1984">
        <v>2.16</v>
      </c>
      <c r="BV1984">
        <v>2.75</v>
      </c>
      <c r="BW1984">
        <v>0.92</v>
      </c>
      <c r="BX1984">
        <v>1.85</v>
      </c>
      <c r="BY1984">
        <v>0.38</v>
      </c>
      <c r="BZ1984">
        <v>1.72</v>
      </c>
      <c r="CA1984">
        <v>1.78</v>
      </c>
      <c r="CB1984">
        <v>1.89</v>
      </c>
      <c r="CC1984">
        <v>0.91</v>
      </c>
      <c r="CD1984">
        <v>-0.4</v>
      </c>
      <c r="CE1984">
        <v>1.1399999999999999</v>
      </c>
      <c r="CF1984">
        <v>1.6</v>
      </c>
      <c r="CG1984">
        <v>0</v>
      </c>
      <c r="CH1984">
        <v>0.21</v>
      </c>
      <c r="CI1984">
        <v>0</v>
      </c>
      <c r="CJ1984">
        <v>-4.5999999999999996</v>
      </c>
      <c r="CK1984">
        <v>72</v>
      </c>
      <c r="CL1984">
        <v>-1.34</v>
      </c>
      <c r="CM1984">
        <v>69</v>
      </c>
      <c r="CN1984">
        <v>-0.56999999999999995</v>
      </c>
      <c r="CO1984">
        <v>66</v>
      </c>
      <c r="CP1984">
        <v>-7.1</v>
      </c>
      <c r="CQ1984">
        <v>66</v>
      </c>
      <c r="CR1984">
        <v>0</v>
      </c>
      <c r="CS1984">
        <v>0</v>
      </c>
      <c r="CT1984">
        <v>13.4</v>
      </c>
      <c r="CU1984">
        <v>58</v>
      </c>
      <c r="CV1984">
        <v>0.22</v>
      </c>
      <c r="CW1984">
        <v>40</v>
      </c>
      <c r="CX1984" t="s">
        <v>7638</v>
      </c>
    </row>
    <row r="1985" spans="1:102" x14ac:dyDescent="0.3">
      <c r="A1985" t="str">
        <f>HYPERLINK("https://webapp.icbf.com/v2/app/bull-search/view/69091390","CUX")</f>
        <v>CUX</v>
      </c>
      <c r="B1985" t="s">
        <v>15049</v>
      </c>
      <c r="C1985" t="s">
        <v>15050</v>
      </c>
      <c r="D1985" s="1">
        <v>32052</v>
      </c>
      <c r="E1985" t="s">
        <v>140</v>
      </c>
      <c r="F1985">
        <v>0</v>
      </c>
      <c r="G1985" t="s">
        <v>109</v>
      </c>
      <c r="H1985">
        <v>72.27</v>
      </c>
      <c r="I1985">
        <v>63</v>
      </c>
      <c r="J1985">
        <v>-55.2</v>
      </c>
      <c r="K1985">
        <v>75</v>
      </c>
      <c r="L1985">
        <v>97.32</v>
      </c>
      <c r="M1985">
        <v>50</v>
      </c>
      <c r="N1985">
        <v>13.02</v>
      </c>
      <c r="O1985">
        <v>62</v>
      </c>
      <c r="P1985">
        <v>6.31</v>
      </c>
      <c r="Q1985">
        <v>75</v>
      </c>
      <c r="R1985">
        <v>8.86</v>
      </c>
      <c r="S1985">
        <v>55</v>
      </c>
      <c r="T1985">
        <v>11.38</v>
      </c>
      <c r="U1985">
        <v>62</v>
      </c>
      <c r="V1985">
        <v>-9.42</v>
      </c>
      <c r="W1985">
        <v>49</v>
      </c>
      <c r="X1985" t="s">
        <v>110</v>
      </c>
      <c r="Y1985" t="s">
        <v>95</v>
      </c>
      <c r="Z1985">
        <v>0</v>
      </c>
      <c r="AA1985" t="s">
        <v>696</v>
      </c>
      <c r="AB1985" t="s">
        <v>15051</v>
      </c>
      <c r="AC1985">
        <v>0</v>
      </c>
      <c r="AD1985">
        <v>0</v>
      </c>
      <c r="AE1985">
        <v>75</v>
      </c>
      <c r="AF1985">
        <v>-326.47000000000003</v>
      </c>
      <c r="AG1985">
        <v>-12.03</v>
      </c>
      <c r="AH1985">
        <v>-10.130000000000001</v>
      </c>
      <c r="AI1985">
        <v>0.01</v>
      </c>
      <c r="AJ1985">
        <v>0.02</v>
      </c>
      <c r="AK1985">
        <v>50</v>
      </c>
      <c r="AL1985">
        <v>32</v>
      </c>
      <c r="AM1985">
        <v>22</v>
      </c>
      <c r="AN1985">
        <v>-3.08</v>
      </c>
      <c r="AO1985">
        <v>4.71</v>
      </c>
      <c r="AP1985">
        <v>16</v>
      </c>
      <c r="AQ1985">
        <v>1</v>
      </c>
      <c r="AR1985">
        <v>5.92</v>
      </c>
      <c r="AS1985">
        <v>36</v>
      </c>
      <c r="AT1985">
        <v>3.45</v>
      </c>
      <c r="AU1985">
        <v>50</v>
      </c>
      <c r="AV1985">
        <v>-0.21</v>
      </c>
      <c r="AW1985">
        <v>85</v>
      </c>
      <c r="AX1985">
        <v>-0.8</v>
      </c>
      <c r="AY1985">
        <v>61</v>
      </c>
      <c r="AZ1985">
        <v>4.87</v>
      </c>
      <c r="BA1985">
        <v>32</v>
      </c>
      <c r="BB1985">
        <v>3.73</v>
      </c>
      <c r="BC1985">
        <v>40</v>
      </c>
      <c r="BD1985">
        <v>-0.01</v>
      </c>
      <c r="BE1985">
        <v>-0.03</v>
      </c>
      <c r="BF1985">
        <v>-0.13</v>
      </c>
      <c r="BG1985">
        <v>69</v>
      </c>
      <c r="BH1985">
        <v>-0.41</v>
      </c>
      <c r="BI1985">
        <v>-17.03</v>
      </c>
      <c r="BJ1985">
        <v>0</v>
      </c>
      <c r="BK1985">
        <v>0</v>
      </c>
      <c r="BL1985">
        <v>-0.84</v>
      </c>
      <c r="BM1985">
        <v>3.58</v>
      </c>
      <c r="BN1985">
        <v>-1.64</v>
      </c>
      <c r="BO1985">
        <v>-3.04</v>
      </c>
      <c r="BP1985">
        <v>4.0599999999999996</v>
      </c>
      <c r="BQ1985">
        <v>-2.2599999999999998</v>
      </c>
      <c r="BR1985">
        <v>-2.87</v>
      </c>
      <c r="BS1985">
        <v>0</v>
      </c>
      <c r="BT1985">
        <v>2.71</v>
      </c>
      <c r="BU1985">
        <v>-3.72</v>
      </c>
      <c r="BV1985">
        <v>-4.12</v>
      </c>
      <c r="BW1985">
        <v>-3.11</v>
      </c>
      <c r="BX1985">
        <v>-3.31</v>
      </c>
      <c r="BY1985">
        <v>-1.92</v>
      </c>
      <c r="BZ1985">
        <v>1.07</v>
      </c>
      <c r="CA1985">
        <v>-2.54</v>
      </c>
      <c r="CB1985">
        <v>-3.35</v>
      </c>
      <c r="CC1985">
        <v>-0.21</v>
      </c>
      <c r="CD1985">
        <v>4.0599999999999996</v>
      </c>
      <c r="CE1985">
        <v>-3.01</v>
      </c>
      <c r="CF1985">
        <v>-0.89</v>
      </c>
      <c r="CG1985">
        <v>0</v>
      </c>
      <c r="CH1985">
        <v>-2.96</v>
      </c>
      <c r="CI1985">
        <v>0</v>
      </c>
      <c r="CJ1985">
        <v>-1.9</v>
      </c>
      <c r="CK1985">
        <v>77</v>
      </c>
      <c r="CL1985">
        <v>0.22</v>
      </c>
      <c r="CM1985">
        <v>73</v>
      </c>
      <c r="CN1985">
        <v>-0.56999999999999995</v>
      </c>
      <c r="CO1985">
        <v>70</v>
      </c>
      <c r="CP1985">
        <v>-0.1</v>
      </c>
      <c r="CQ1985">
        <v>73</v>
      </c>
      <c r="CR1985">
        <v>0</v>
      </c>
      <c r="CS1985">
        <v>0</v>
      </c>
      <c r="CT1985">
        <v>-1.6</v>
      </c>
      <c r="CU1985">
        <v>62</v>
      </c>
      <c r="CV1985">
        <v>-0.28999999999999998</v>
      </c>
      <c r="CW1985">
        <v>21</v>
      </c>
      <c r="CX1985" t="s">
        <v>15052</v>
      </c>
    </row>
    <row r="1986" spans="1:102" x14ac:dyDescent="0.3">
      <c r="A1986" t="str">
        <f>HYPERLINK("https://webapp.icbf.com/v2/app/bull-search/view/560645130","CWZ")</f>
        <v>CWZ</v>
      </c>
      <c r="B1986" t="s">
        <v>2988</v>
      </c>
      <c r="C1986" t="s">
        <v>2989</v>
      </c>
      <c r="D1986" s="1">
        <v>39487</v>
      </c>
      <c r="E1986" t="s">
        <v>92</v>
      </c>
      <c r="F1986">
        <v>72</v>
      </c>
      <c r="G1986" t="s">
        <v>93</v>
      </c>
      <c r="H1986">
        <v>72.239999999999995</v>
      </c>
      <c r="I1986">
        <v>88</v>
      </c>
      <c r="J1986">
        <v>45.57</v>
      </c>
      <c r="K1986">
        <v>97</v>
      </c>
      <c r="L1986">
        <v>30.9</v>
      </c>
      <c r="M1986">
        <v>80</v>
      </c>
      <c r="N1986">
        <v>0.97</v>
      </c>
      <c r="O1986">
        <v>88</v>
      </c>
      <c r="P1986">
        <v>-17.12</v>
      </c>
      <c r="Q1986">
        <v>92</v>
      </c>
      <c r="R1986">
        <v>-3.73</v>
      </c>
      <c r="S1986">
        <v>83</v>
      </c>
      <c r="T1986">
        <v>13.6</v>
      </c>
      <c r="U1986">
        <v>90</v>
      </c>
      <c r="V1986">
        <v>2.0499999999999998</v>
      </c>
      <c r="W1986">
        <v>85</v>
      </c>
      <c r="X1986" t="s">
        <v>94</v>
      </c>
      <c r="Y1986" t="s">
        <v>1513</v>
      </c>
      <c r="Z1986" t="s">
        <v>330</v>
      </c>
      <c r="AA1986" t="s">
        <v>2990</v>
      </c>
      <c r="AB1986" t="s">
        <v>2991</v>
      </c>
      <c r="AC1986">
        <v>98</v>
      </c>
      <c r="AD1986">
        <v>71</v>
      </c>
      <c r="AE1986">
        <v>97</v>
      </c>
      <c r="AF1986">
        <v>-203.78</v>
      </c>
      <c r="AG1986">
        <v>11.11</v>
      </c>
      <c r="AH1986">
        <v>0.7</v>
      </c>
      <c r="AI1986">
        <v>0.34</v>
      </c>
      <c r="AJ1986">
        <v>0.14000000000000001</v>
      </c>
      <c r="AK1986">
        <v>80</v>
      </c>
      <c r="AL1986">
        <v>99</v>
      </c>
      <c r="AM1986">
        <v>63</v>
      </c>
      <c r="AN1986">
        <v>-2.79</v>
      </c>
      <c r="AO1986">
        <v>-0.34</v>
      </c>
      <c r="AP1986">
        <v>232</v>
      </c>
      <c r="AQ1986">
        <v>5</v>
      </c>
      <c r="AR1986">
        <v>9.32</v>
      </c>
      <c r="AS1986">
        <v>77</v>
      </c>
      <c r="AT1986">
        <v>3.34</v>
      </c>
      <c r="AU1986">
        <v>89</v>
      </c>
      <c r="AV1986">
        <v>-0.88</v>
      </c>
      <c r="AW1986">
        <v>97</v>
      </c>
      <c r="AX1986">
        <v>-0.35</v>
      </c>
      <c r="AY1986">
        <v>84</v>
      </c>
      <c r="AZ1986">
        <v>6.83</v>
      </c>
      <c r="BA1986">
        <v>69</v>
      </c>
      <c r="BB1986">
        <v>4.91</v>
      </c>
      <c r="BC1986">
        <v>71</v>
      </c>
      <c r="BD1986">
        <v>-0.05</v>
      </c>
      <c r="BE1986">
        <v>0.01</v>
      </c>
      <c r="BF1986">
        <v>0.15</v>
      </c>
      <c r="BG1986">
        <v>90</v>
      </c>
      <c r="BH1986">
        <v>-0.02</v>
      </c>
      <c r="BI1986">
        <v>-8.94</v>
      </c>
      <c r="BJ1986">
        <v>28</v>
      </c>
      <c r="BK1986">
        <v>16</v>
      </c>
      <c r="BL1986">
        <v>0.24</v>
      </c>
      <c r="BM1986">
        <v>1.76</v>
      </c>
      <c r="BN1986">
        <v>0.46</v>
      </c>
      <c r="BO1986">
        <v>-0.97</v>
      </c>
      <c r="BP1986">
        <v>0.59</v>
      </c>
      <c r="BQ1986">
        <v>-1.04</v>
      </c>
      <c r="BR1986">
        <v>0.93</v>
      </c>
      <c r="BS1986">
        <v>-0.64</v>
      </c>
      <c r="BT1986">
        <v>-1.93</v>
      </c>
      <c r="BU1986">
        <v>-0.41</v>
      </c>
      <c r="BV1986">
        <v>-0.98</v>
      </c>
      <c r="BW1986">
        <v>-1.43</v>
      </c>
      <c r="BX1986">
        <v>-0.04</v>
      </c>
      <c r="BY1986">
        <v>-1.19</v>
      </c>
      <c r="BZ1986">
        <v>0.32</v>
      </c>
      <c r="CA1986">
        <v>-1.4</v>
      </c>
      <c r="CB1986">
        <v>-1.1100000000000001</v>
      </c>
      <c r="CC1986">
        <v>-1.4</v>
      </c>
      <c r="CD1986">
        <v>1.92</v>
      </c>
      <c r="CE1986">
        <v>-1.1599999999999999</v>
      </c>
      <c r="CF1986">
        <v>1.06</v>
      </c>
      <c r="CG1986">
        <v>0</v>
      </c>
      <c r="CH1986">
        <v>-1.34</v>
      </c>
      <c r="CI1986">
        <v>0</v>
      </c>
      <c r="CJ1986">
        <v>-6.2</v>
      </c>
      <c r="CK1986">
        <v>93</v>
      </c>
      <c r="CL1986">
        <v>-0.62</v>
      </c>
      <c r="CM1986">
        <v>92</v>
      </c>
      <c r="CN1986">
        <v>0.1</v>
      </c>
      <c r="CO1986">
        <v>91</v>
      </c>
      <c r="CP1986">
        <v>-6.6</v>
      </c>
      <c r="CQ1986">
        <v>89</v>
      </c>
      <c r="CR1986">
        <v>0</v>
      </c>
      <c r="CS1986">
        <v>0</v>
      </c>
      <c r="CT1986">
        <v>-4.5999999999999996</v>
      </c>
      <c r="CU1986">
        <v>90</v>
      </c>
      <c r="CV1986">
        <v>0.09</v>
      </c>
      <c r="CW1986">
        <v>45</v>
      </c>
      <c r="CX1986" t="s">
        <v>2992</v>
      </c>
    </row>
    <row r="1987" spans="1:102" x14ac:dyDescent="0.3">
      <c r="A1987" t="str">
        <f>HYPERLINK("https://webapp.icbf.com/v2/app/bull-search/view/492815912","RGW")</f>
        <v>RGW</v>
      </c>
      <c r="B1987" t="s">
        <v>4857</v>
      </c>
      <c r="C1987" t="s">
        <v>4858</v>
      </c>
      <c r="D1987" s="1">
        <v>39093</v>
      </c>
      <c r="E1987" t="s">
        <v>92</v>
      </c>
      <c r="F1987">
        <v>97</v>
      </c>
      <c r="G1987" t="s">
        <v>93</v>
      </c>
      <c r="H1987">
        <v>72.03</v>
      </c>
      <c r="I1987">
        <v>88</v>
      </c>
      <c r="J1987">
        <v>41.33</v>
      </c>
      <c r="K1987">
        <v>97</v>
      </c>
      <c r="L1987">
        <v>-20.64</v>
      </c>
      <c r="M1987">
        <v>80</v>
      </c>
      <c r="N1987">
        <v>28.92</v>
      </c>
      <c r="O1987">
        <v>85</v>
      </c>
      <c r="P1987">
        <v>-1.93</v>
      </c>
      <c r="Q1987">
        <v>91</v>
      </c>
      <c r="R1987">
        <v>6.83</v>
      </c>
      <c r="S1987">
        <v>82</v>
      </c>
      <c r="T1987">
        <v>7.31</v>
      </c>
      <c r="U1987">
        <v>89</v>
      </c>
      <c r="V1987">
        <v>10.210000000000001</v>
      </c>
      <c r="W1987">
        <v>83</v>
      </c>
      <c r="X1987" t="s">
        <v>94</v>
      </c>
      <c r="Y1987" t="s">
        <v>1405</v>
      </c>
      <c r="Z1987" t="s">
        <v>96</v>
      </c>
      <c r="AA1987" t="s">
        <v>1414</v>
      </c>
      <c r="AB1987" t="s">
        <v>4859</v>
      </c>
      <c r="AC1987">
        <v>85</v>
      </c>
      <c r="AD1987">
        <v>59</v>
      </c>
      <c r="AE1987">
        <v>97</v>
      </c>
      <c r="AF1987">
        <v>69.89</v>
      </c>
      <c r="AG1987">
        <v>7.43</v>
      </c>
      <c r="AH1987">
        <v>5.47</v>
      </c>
      <c r="AI1987">
        <v>0.08</v>
      </c>
      <c r="AJ1987">
        <v>0.05</v>
      </c>
      <c r="AK1987">
        <v>80</v>
      </c>
      <c r="AL1987">
        <v>82</v>
      </c>
      <c r="AM1987">
        <v>57</v>
      </c>
      <c r="AN1987">
        <v>2.36</v>
      </c>
      <c r="AO1987">
        <v>0.73</v>
      </c>
      <c r="AP1987">
        <v>185</v>
      </c>
      <c r="AQ1987">
        <v>3</v>
      </c>
      <c r="AR1987">
        <v>6.06</v>
      </c>
      <c r="AS1987">
        <v>68</v>
      </c>
      <c r="AT1987">
        <v>2.4</v>
      </c>
      <c r="AU1987">
        <v>88</v>
      </c>
      <c r="AV1987">
        <v>-2.39</v>
      </c>
      <c r="AW1987">
        <v>96</v>
      </c>
      <c r="AX1987">
        <v>0.48</v>
      </c>
      <c r="AY1987">
        <v>81</v>
      </c>
      <c r="AZ1987">
        <v>5.78</v>
      </c>
      <c r="BA1987">
        <v>63</v>
      </c>
      <c r="BB1987">
        <v>4.8600000000000003</v>
      </c>
      <c r="BC1987">
        <v>66</v>
      </c>
      <c r="BD1987">
        <v>-0.06</v>
      </c>
      <c r="BE1987">
        <v>-0.03</v>
      </c>
      <c r="BF1987">
        <v>0</v>
      </c>
      <c r="BG1987">
        <v>89</v>
      </c>
      <c r="BH1987">
        <v>0.21</v>
      </c>
      <c r="BI1987">
        <v>-8.64</v>
      </c>
      <c r="BJ1987">
        <v>12</v>
      </c>
      <c r="BK1987">
        <v>8</v>
      </c>
      <c r="BL1987">
        <v>0.17</v>
      </c>
      <c r="BM1987">
        <v>0.88</v>
      </c>
      <c r="BN1987">
        <v>-0.28000000000000003</v>
      </c>
      <c r="BO1987">
        <v>-0.33</v>
      </c>
      <c r="BP1987">
        <v>0.22</v>
      </c>
      <c r="BQ1987">
        <v>0.85</v>
      </c>
      <c r="BR1987">
        <v>-2.2400000000000002</v>
      </c>
      <c r="BS1987">
        <v>1.71</v>
      </c>
      <c r="BT1987">
        <v>1.61</v>
      </c>
      <c r="BU1987">
        <v>1.31</v>
      </c>
      <c r="BV1987">
        <v>0.86</v>
      </c>
      <c r="BW1987">
        <v>0.31</v>
      </c>
      <c r="BX1987">
        <v>1.61</v>
      </c>
      <c r="BY1987">
        <v>-1.42</v>
      </c>
      <c r="BZ1987">
        <v>0.01</v>
      </c>
      <c r="CA1987">
        <v>1</v>
      </c>
      <c r="CB1987">
        <v>0.75</v>
      </c>
      <c r="CC1987">
        <v>1.25</v>
      </c>
      <c r="CD1987">
        <v>0.88</v>
      </c>
      <c r="CE1987">
        <v>-0.12</v>
      </c>
      <c r="CF1987">
        <v>0.28999999999999998</v>
      </c>
      <c r="CG1987">
        <v>0</v>
      </c>
      <c r="CH1987">
        <v>-1.21</v>
      </c>
      <c r="CI1987">
        <v>0</v>
      </c>
      <c r="CJ1987">
        <v>-0.1</v>
      </c>
      <c r="CK1987">
        <v>92</v>
      </c>
      <c r="CL1987">
        <v>-0.69</v>
      </c>
      <c r="CM1987">
        <v>91</v>
      </c>
      <c r="CN1987">
        <v>-0.46</v>
      </c>
      <c r="CO1987">
        <v>90</v>
      </c>
      <c r="CP1987">
        <v>-0.4</v>
      </c>
      <c r="CQ1987">
        <v>89</v>
      </c>
      <c r="CR1987">
        <v>0</v>
      </c>
      <c r="CS1987">
        <v>0</v>
      </c>
      <c r="CT1987">
        <v>3.9</v>
      </c>
      <c r="CU1987">
        <v>89</v>
      </c>
      <c r="CV1987">
        <v>0.11</v>
      </c>
      <c r="CW1987">
        <v>45</v>
      </c>
      <c r="CX1987" t="s">
        <v>1165</v>
      </c>
    </row>
    <row r="1988" spans="1:102" x14ac:dyDescent="0.3">
      <c r="A1988" t="str">
        <f>HYPERLINK("https://webapp.icbf.com/v2/app/bull-search/view/727346980","SOP")</f>
        <v>SOP</v>
      </c>
      <c r="B1988" t="s">
        <v>12773</v>
      </c>
      <c r="C1988" t="s">
        <v>12774</v>
      </c>
      <c r="D1988" s="1">
        <v>39682</v>
      </c>
      <c r="E1988" t="s">
        <v>92</v>
      </c>
      <c r="F1988">
        <v>100</v>
      </c>
      <c r="G1988" t="s">
        <v>93</v>
      </c>
      <c r="H1988">
        <v>72.02</v>
      </c>
      <c r="I1988">
        <v>86</v>
      </c>
      <c r="J1988">
        <v>34.36</v>
      </c>
      <c r="K1988">
        <v>96</v>
      </c>
      <c r="L1988">
        <v>2.33</v>
      </c>
      <c r="M1988">
        <v>80</v>
      </c>
      <c r="N1988">
        <v>37.07</v>
      </c>
      <c r="O1988">
        <v>81</v>
      </c>
      <c r="P1988">
        <v>-6.6</v>
      </c>
      <c r="Q1988">
        <v>88</v>
      </c>
      <c r="R1988">
        <v>8.19</v>
      </c>
      <c r="S1988">
        <v>79</v>
      </c>
      <c r="T1988">
        <v>-0.75</v>
      </c>
      <c r="U1988">
        <v>78</v>
      </c>
      <c r="V1988">
        <v>-2.58</v>
      </c>
      <c r="W1988">
        <v>75</v>
      </c>
      <c r="X1988" t="s">
        <v>251</v>
      </c>
      <c r="Y1988" t="s">
        <v>329</v>
      </c>
      <c r="Z1988" t="s">
        <v>96</v>
      </c>
      <c r="AA1988" t="s">
        <v>316</v>
      </c>
      <c r="AB1988" t="s">
        <v>12775</v>
      </c>
      <c r="AC1988">
        <v>50</v>
      </c>
      <c r="AD1988">
        <v>23</v>
      </c>
      <c r="AE1988">
        <v>96</v>
      </c>
      <c r="AF1988">
        <v>196.31</v>
      </c>
      <c r="AG1988">
        <v>8.0500000000000007</v>
      </c>
      <c r="AH1988">
        <v>6</v>
      </c>
      <c r="AI1988">
        <v>0.01</v>
      </c>
      <c r="AJ1988">
        <v>-0.01</v>
      </c>
      <c r="AK1988">
        <v>80</v>
      </c>
      <c r="AL1988">
        <v>52</v>
      </c>
      <c r="AM1988">
        <v>26</v>
      </c>
      <c r="AN1988">
        <v>0.18</v>
      </c>
      <c r="AO1988">
        <v>0.37</v>
      </c>
      <c r="AP1988">
        <v>124</v>
      </c>
      <c r="AQ1988">
        <v>0</v>
      </c>
      <c r="AR1988">
        <v>6.92</v>
      </c>
      <c r="AS1988">
        <v>72</v>
      </c>
      <c r="AT1988">
        <v>2.39</v>
      </c>
      <c r="AU1988">
        <v>86</v>
      </c>
      <c r="AV1988">
        <v>-3.85</v>
      </c>
      <c r="AW1988">
        <v>90</v>
      </c>
      <c r="AX1988">
        <v>0.26</v>
      </c>
      <c r="AY1988">
        <v>74</v>
      </c>
      <c r="AZ1988">
        <v>6.87</v>
      </c>
      <c r="BA1988">
        <v>63</v>
      </c>
      <c r="BB1988">
        <v>4.9800000000000004</v>
      </c>
      <c r="BC1988">
        <v>62</v>
      </c>
      <c r="BD1988">
        <v>-0.02</v>
      </c>
      <c r="BE1988">
        <v>-0.05</v>
      </c>
      <c r="BF1988">
        <v>-0.06</v>
      </c>
      <c r="BG1988">
        <v>87</v>
      </c>
      <c r="BH1988">
        <v>-0.02</v>
      </c>
      <c r="BI1988">
        <v>6.02</v>
      </c>
      <c r="BJ1988">
        <v>22</v>
      </c>
      <c r="BK1988">
        <v>12</v>
      </c>
      <c r="BL1988">
        <v>0.43</v>
      </c>
      <c r="BM1988">
        <v>-0.43</v>
      </c>
      <c r="BN1988">
        <v>-0.87</v>
      </c>
      <c r="BO1988">
        <v>-0.43</v>
      </c>
      <c r="BP1988">
        <v>0.61</v>
      </c>
      <c r="BQ1988">
        <v>-0.64</v>
      </c>
      <c r="BR1988">
        <v>-0.82</v>
      </c>
      <c r="BS1988">
        <v>0.33</v>
      </c>
      <c r="BT1988">
        <v>0.91</v>
      </c>
      <c r="BU1988">
        <v>1.51</v>
      </c>
      <c r="BV1988">
        <v>1.1000000000000001</v>
      </c>
      <c r="BW1988">
        <v>1.81</v>
      </c>
      <c r="BX1988">
        <v>1.89</v>
      </c>
      <c r="BY1988">
        <v>2.56</v>
      </c>
      <c r="BZ1988">
        <v>-3.07</v>
      </c>
      <c r="CA1988">
        <v>1.42</v>
      </c>
      <c r="CB1988">
        <v>1.37</v>
      </c>
      <c r="CC1988">
        <v>0.56000000000000005</v>
      </c>
      <c r="CD1988">
        <v>0.32</v>
      </c>
      <c r="CE1988">
        <v>0.26</v>
      </c>
      <c r="CF1988">
        <v>0.06</v>
      </c>
      <c r="CG1988">
        <v>0</v>
      </c>
      <c r="CH1988">
        <v>2.68</v>
      </c>
      <c r="CI1988">
        <v>0</v>
      </c>
      <c r="CJ1988">
        <v>-1.2</v>
      </c>
      <c r="CK1988">
        <v>90</v>
      </c>
      <c r="CL1988">
        <v>-1.08</v>
      </c>
      <c r="CM1988">
        <v>87</v>
      </c>
      <c r="CN1988">
        <v>-0.49</v>
      </c>
      <c r="CO1988">
        <v>86</v>
      </c>
      <c r="CP1988">
        <v>3.1</v>
      </c>
      <c r="CQ1988">
        <v>82</v>
      </c>
      <c r="CR1988">
        <v>0</v>
      </c>
      <c r="CS1988">
        <v>0</v>
      </c>
      <c r="CT1988">
        <v>14.8</v>
      </c>
      <c r="CU1988">
        <v>78</v>
      </c>
      <c r="CV1988">
        <v>0.21</v>
      </c>
      <c r="CW1988">
        <v>46</v>
      </c>
      <c r="CX1988" t="s">
        <v>350</v>
      </c>
    </row>
    <row r="1989" spans="1:102" x14ac:dyDescent="0.3">
      <c r="A1989" t="str">
        <f>HYPERLINK("https://webapp.icbf.com/v2/app/bull-search/view/414149280","RVM")</f>
        <v>RVM</v>
      </c>
      <c r="B1989" t="s">
        <v>4433</v>
      </c>
      <c r="C1989" t="s">
        <v>4434</v>
      </c>
      <c r="D1989" s="1">
        <v>37748</v>
      </c>
      <c r="E1989" t="s">
        <v>146</v>
      </c>
      <c r="F1989">
        <v>0</v>
      </c>
      <c r="G1989" t="s">
        <v>93</v>
      </c>
      <c r="H1989">
        <v>71.95</v>
      </c>
      <c r="I1989">
        <v>85</v>
      </c>
      <c r="J1989">
        <v>16.57</v>
      </c>
      <c r="K1989">
        <v>96</v>
      </c>
      <c r="L1989">
        <v>55.64</v>
      </c>
      <c r="M1989">
        <v>71</v>
      </c>
      <c r="N1989">
        <v>-4.9800000000000004</v>
      </c>
      <c r="O1989">
        <v>89</v>
      </c>
      <c r="P1989">
        <v>10.220000000000001</v>
      </c>
      <c r="Q1989">
        <v>96</v>
      </c>
      <c r="R1989">
        <v>4.9400000000000004</v>
      </c>
      <c r="S1989">
        <v>72</v>
      </c>
      <c r="T1989">
        <v>-1.71</v>
      </c>
      <c r="U1989">
        <v>88</v>
      </c>
      <c r="V1989">
        <v>-8.73</v>
      </c>
      <c r="W1989">
        <v>75</v>
      </c>
      <c r="X1989" t="s">
        <v>276</v>
      </c>
      <c r="Y1989" t="s">
        <v>1128</v>
      </c>
      <c r="Z1989">
        <v>0</v>
      </c>
      <c r="AA1989" t="s">
        <v>4435</v>
      </c>
      <c r="AB1989" t="s">
        <v>4436</v>
      </c>
      <c r="AC1989">
        <v>114</v>
      </c>
      <c r="AD1989">
        <v>49</v>
      </c>
      <c r="AE1989">
        <v>96</v>
      </c>
      <c r="AF1989">
        <v>-164.95</v>
      </c>
      <c r="AG1989">
        <v>-7.99</v>
      </c>
      <c r="AH1989">
        <v>3.12</v>
      </c>
      <c r="AI1989">
        <v>-0.03</v>
      </c>
      <c r="AJ1989">
        <v>0.15</v>
      </c>
      <c r="AK1989">
        <v>71</v>
      </c>
      <c r="AL1989">
        <v>152</v>
      </c>
      <c r="AM1989">
        <v>62</v>
      </c>
      <c r="AN1989">
        <v>-5.16</v>
      </c>
      <c r="AO1989">
        <v>-0.75</v>
      </c>
      <c r="AP1989">
        <v>308</v>
      </c>
      <c r="AQ1989">
        <v>8</v>
      </c>
      <c r="AR1989">
        <v>8.57</v>
      </c>
      <c r="AS1989">
        <v>74</v>
      </c>
      <c r="AT1989">
        <v>3.81</v>
      </c>
      <c r="AU1989">
        <v>91</v>
      </c>
      <c r="AV1989">
        <v>-2.4700000000000002</v>
      </c>
      <c r="AW1989">
        <v>97</v>
      </c>
      <c r="AX1989">
        <v>0.3</v>
      </c>
      <c r="AY1989">
        <v>87</v>
      </c>
      <c r="AZ1989">
        <v>9.9</v>
      </c>
      <c r="BA1989">
        <v>71</v>
      </c>
      <c r="BB1989">
        <v>6.52</v>
      </c>
      <c r="BC1989">
        <v>72</v>
      </c>
      <c r="BD1989">
        <v>-0.04</v>
      </c>
      <c r="BE1989">
        <v>-0.03</v>
      </c>
      <c r="BF1989">
        <v>0.01</v>
      </c>
      <c r="BG1989">
        <v>84</v>
      </c>
      <c r="BH1989">
        <v>-0.3</v>
      </c>
      <c r="BI1989">
        <v>-6.53</v>
      </c>
      <c r="BJ1989">
        <v>20</v>
      </c>
      <c r="BK1989">
        <v>10</v>
      </c>
      <c r="BL1989">
        <v>-1.62</v>
      </c>
      <c r="BM1989">
        <v>2.74</v>
      </c>
      <c r="BN1989">
        <v>-1.1599999999999999</v>
      </c>
      <c r="BO1989">
        <v>-1.31</v>
      </c>
      <c r="BP1989">
        <v>0.73</v>
      </c>
      <c r="BQ1989">
        <v>-0.68</v>
      </c>
      <c r="BR1989">
        <v>-1.33</v>
      </c>
      <c r="BS1989">
        <v>1.23</v>
      </c>
      <c r="BT1989">
        <v>1.56</v>
      </c>
      <c r="BU1989">
        <v>-1.24</v>
      </c>
      <c r="BV1989">
        <v>-2.06</v>
      </c>
      <c r="BW1989">
        <v>-1.76</v>
      </c>
      <c r="BX1989">
        <v>-1.7</v>
      </c>
      <c r="BY1989">
        <v>-0.99</v>
      </c>
      <c r="BZ1989">
        <v>-0.28000000000000003</v>
      </c>
      <c r="CA1989">
        <v>-1.1200000000000001</v>
      </c>
      <c r="CB1989">
        <v>-1.71</v>
      </c>
      <c r="CC1989">
        <v>0.44</v>
      </c>
      <c r="CD1989">
        <v>2.84</v>
      </c>
      <c r="CE1989">
        <v>-3.31</v>
      </c>
      <c r="CF1989">
        <v>-0.54</v>
      </c>
      <c r="CG1989">
        <v>0</v>
      </c>
      <c r="CH1989">
        <v>-0.48</v>
      </c>
      <c r="CI1989">
        <v>0</v>
      </c>
      <c r="CJ1989">
        <v>2.6</v>
      </c>
      <c r="CK1989">
        <v>97</v>
      </c>
      <c r="CL1989">
        <v>0.26</v>
      </c>
      <c r="CM1989">
        <v>96</v>
      </c>
      <c r="CN1989">
        <v>-0.25</v>
      </c>
      <c r="CO1989">
        <v>96</v>
      </c>
      <c r="CP1989">
        <v>6.8</v>
      </c>
      <c r="CQ1989">
        <v>90</v>
      </c>
      <c r="CR1989">
        <v>0</v>
      </c>
      <c r="CS1989">
        <v>0</v>
      </c>
      <c r="CT1989">
        <v>16.100000000000001</v>
      </c>
      <c r="CU1989">
        <v>88</v>
      </c>
      <c r="CV1989">
        <v>-0.17</v>
      </c>
      <c r="CW1989">
        <v>45</v>
      </c>
      <c r="CX1989" t="s">
        <v>183</v>
      </c>
    </row>
    <row r="1990" spans="1:102" x14ac:dyDescent="0.3">
      <c r="A1990" t="str">
        <f>HYPERLINK("https://webapp.icbf.com/v2/app/bull-search/view/751412792","YWB")</f>
        <v>YWB</v>
      </c>
      <c r="B1990" t="s">
        <v>12929</v>
      </c>
      <c r="C1990" t="s">
        <v>12930</v>
      </c>
      <c r="D1990" s="1">
        <v>40218</v>
      </c>
      <c r="E1990" t="s">
        <v>108</v>
      </c>
      <c r="F1990">
        <v>3</v>
      </c>
      <c r="G1990" t="s">
        <v>93</v>
      </c>
      <c r="H1990">
        <v>71.95</v>
      </c>
      <c r="I1990">
        <v>80</v>
      </c>
      <c r="J1990">
        <v>-12.54</v>
      </c>
      <c r="K1990">
        <v>95</v>
      </c>
      <c r="L1990">
        <v>53.75</v>
      </c>
      <c r="M1990">
        <v>70</v>
      </c>
      <c r="N1990">
        <v>12.63</v>
      </c>
      <c r="O1990">
        <v>78</v>
      </c>
      <c r="P1990">
        <v>-7.69</v>
      </c>
      <c r="Q1990">
        <v>87</v>
      </c>
      <c r="R1990">
        <v>5.19</v>
      </c>
      <c r="S1990">
        <v>71</v>
      </c>
      <c r="T1990">
        <v>16.05</v>
      </c>
      <c r="U1990">
        <v>68</v>
      </c>
      <c r="V1990">
        <v>4.5599999999999996</v>
      </c>
      <c r="W1990">
        <v>69</v>
      </c>
      <c r="X1990" t="s">
        <v>94</v>
      </c>
      <c r="Y1990" t="s">
        <v>1685</v>
      </c>
      <c r="Z1990" t="s">
        <v>96</v>
      </c>
      <c r="AA1990" t="s">
        <v>5087</v>
      </c>
      <c r="AB1990" t="s">
        <v>12931</v>
      </c>
      <c r="AC1990">
        <v>49</v>
      </c>
      <c r="AD1990">
        <v>34</v>
      </c>
      <c r="AE1990">
        <v>95</v>
      </c>
      <c r="AF1990">
        <v>-262.83999999999997</v>
      </c>
      <c r="AG1990">
        <v>-2.76</v>
      </c>
      <c r="AH1990">
        <v>-5.18</v>
      </c>
      <c r="AI1990">
        <v>0.14000000000000001</v>
      </c>
      <c r="AJ1990">
        <v>7.0000000000000007E-2</v>
      </c>
      <c r="AK1990">
        <v>70</v>
      </c>
      <c r="AL1990">
        <v>45</v>
      </c>
      <c r="AM1990">
        <v>33</v>
      </c>
      <c r="AN1990">
        <v>-3.42</v>
      </c>
      <c r="AO1990">
        <v>0.86</v>
      </c>
      <c r="AP1990">
        <v>89</v>
      </c>
      <c r="AQ1990">
        <v>0</v>
      </c>
      <c r="AR1990">
        <v>9.86</v>
      </c>
      <c r="AS1990">
        <v>58</v>
      </c>
      <c r="AT1990">
        <v>4</v>
      </c>
      <c r="AU1990">
        <v>79</v>
      </c>
      <c r="AV1990">
        <v>-2.84</v>
      </c>
      <c r="AW1990">
        <v>92</v>
      </c>
      <c r="AX1990">
        <v>-0.81</v>
      </c>
      <c r="AY1990">
        <v>71</v>
      </c>
      <c r="AZ1990">
        <v>5.8</v>
      </c>
      <c r="BA1990">
        <v>53</v>
      </c>
      <c r="BB1990">
        <v>4.51</v>
      </c>
      <c r="BC1990">
        <v>54</v>
      </c>
      <c r="BD1990">
        <v>0.01</v>
      </c>
      <c r="BE1990">
        <v>-0.04</v>
      </c>
      <c r="BF1990">
        <v>-0.06</v>
      </c>
      <c r="BG1990">
        <v>82</v>
      </c>
      <c r="BH1990">
        <v>0</v>
      </c>
      <c r="BI1990">
        <v>-14.72</v>
      </c>
      <c r="BJ1990">
        <v>2</v>
      </c>
      <c r="BK1990">
        <v>2</v>
      </c>
      <c r="BL1990">
        <v>-2.84</v>
      </c>
      <c r="BM1990">
        <v>2.2000000000000002</v>
      </c>
      <c r="BN1990">
        <v>-1.54</v>
      </c>
      <c r="BO1990">
        <v>-2.71</v>
      </c>
      <c r="BP1990">
        <v>1.99</v>
      </c>
      <c r="BQ1990">
        <v>1.27</v>
      </c>
      <c r="BR1990">
        <v>-0.51</v>
      </c>
      <c r="BS1990">
        <v>1.43</v>
      </c>
      <c r="BT1990">
        <v>0.64</v>
      </c>
      <c r="BU1990">
        <v>-1.18</v>
      </c>
      <c r="BV1990">
        <v>-1.86</v>
      </c>
      <c r="BW1990">
        <v>-1.3</v>
      </c>
      <c r="BX1990">
        <v>-0.76</v>
      </c>
      <c r="BY1990">
        <v>-0.89</v>
      </c>
      <c r="BZ1990">
        <v>-1.79</v>
      </c>
      <c r="CA1990">
        <v>-1.2</v>
      </c>
      <c r="CB1990">
        <v>-1.54</v>
      </c>
      <c r="CC1990">
        <v>0.48</v>
      </c>
      <c r="CD1990">
        <v>3.01</v>
      </c>
      <c r="CE1990">
        <v>-2.61</v>
      </c>
      <c r="CF1990">
        <v>-1.18</v>
      </c>
      <c r="CG1990">
        <v>0</v>
      </c>
      <c r="CH1990">
        <v>-0.27</v>
      </c>
      <c r="CI1990">
        <v>0</v>
      </c>
      <c r="CJ1990">
        <v>-4.0999999999999996</v>
      </c>
      <c r="CK1990">
        <v>89</v>
      </c>
      <c r="CL1990">
        <v>-7.0000000000000007E-2</v>
      </c>
      <c r="CM1990">
        <v>86</v>
      </c>
      <c r="CN1990">
        <v>0.02</v>
      </c>
      <c r="CO1990">
        <v>85</v>
      </c>
      <c r="CP1990">
        <v>-7.2</v>
      </c>
      <c r="CQ1990">
        <v>74</v>
      </c>
      <c r="CR1990">
        <v>0</v>
      </c>
      <c r="CS1990">
        <v>0</v>
      </c>
      <c r="CT1990">
        <v>-7.9</v>
      </c>
      <c r="CU1990">
        <v>68</v>
      </c>
      <c r="CV1990">
        <v>-0.06</v>
      </c>
      <c r="CW1990">
        <v>43</v>
      </c>
      <c r="CX1990" t="s">
        <v>975</v>
      </c>
    </row>
    <row r="1991" spans="1:102" x14ac:dyDescent="0.3">
      <c r="A1991" t="str">
        <f>HYPERLINK("https://webapp.icbf.com/v2/app/bull-search/view/69092677","SKA")</f>
        <v>SKA</v>
      </c>
      <c r="B1991" t="s">
        <v>8792</v>
      </c>
      <c r="C1991" t="s">
        <v>8793</v>
      </c>
      <c r="D1991" s="1">
        <v>32332</v>
      </c>
      <c r="E1991" t="s">
        <v>227</v>
      </c>
      <c r="F1991">
        <v>0</v>
      </c>
      <c r="G1991" t="s">
        <v>109</v>
      </c>
      <c r="H1991">
        <v>71.94</v>
      </c>
      <c r="I1991">
        <v>64</v>
      </c>
      <c r="J1991">
        <v>-32.57</v>
      </c>
      <c r="K1991">
        <v>85</v>
      </c>
      <c r="L1991">
        <v>69.959999999999994</v>
      </c>
      <c r="M1991">
        <v>69</v>
      </c>
      <c r="N1991">
        <v>13.24</v>
      </c>
      <c r="O1991">
        <v>37</v>
      </c>
      <c r="P1991">
        <v>-53.04</v>
      </c>
      <c r="Q1991">
        <v>44</v>
      </c>
      <c r="R1991">
        <v>10.99</v>
      </c>
      <c r="S1991">
        <v>37</v>
      </c>
      <c r="T1991">
        <v>59.41</v>
      </c>
      <c r="U1991">
        <v>37</v>
      </c>
      <c r="V1991">
        <v>3.95</v>
      </c>
      <c r="W1991">
        <v>30</v>
      </c>
      <c r="X1991" t="s">
        <v>94</v>
      </c>
      <c r="Y1991" t="s">
        <v>95</v>
      </c>
      <c r="Z1991" t="s">
        <v>96</v>
      </c>
      <c r="AA1991" t="s">
        <v>577</v>
      </c>
      <c r="AB1991" t="s">
        <v>144</v>
      </c>
      <c r="AC1991">
        <v>0</v>
      </c>
      <c r="AD1991">
        <v>0</v>
      </c>
      <c r="AE1991">
        <v>85</v>
      </c>
      <c r="AF1991">
        <v>-755.44</v>
      </c>
      <c r="AG1991">
        <v>-6.59</v>
      </c>
      <c r="AH1991">
        <v>-14.77</v>
      </c>
      <c r="AI1991">
        <v>0.43</v>
      </c>
      <c r="AJ1991">
        <v>0.21</v>
      </c>
      <c r="AK1991">
        <v>69</v>
      </c>
      <c r="AL1991">
        <v>0</v>
      </c>
      <c r="AM1991">
        <v>0</v>
      </c>
      <c r="AN1991">
        <v>-2.95</v>
      </c>
      <c r="AO1991">
        <v>2.64</v>
      </c>
      <c r="AP1991">
        <v>1</v>
      </c>
      <c r="AQ1991">
        <v>1</v>
      </c>
      <c r="AR1991">
        <v>4.1100000000000003</v>
      </c>
      <c r="AS1991">
        <v>23</v>
      </c>
      <c r="AT1991">
        <v>2.23</v>
      </c>
      <c r="AU1991">
        <v>31</v>
      </c>
      <c r="AV1991">
        <v>-0.71</v>
      </c>
      <c r="AW1991">
        <v>47</v>
      </c>
      <c r="AX1991">
        <v>2.78</v>
      </c>
      <c r="AY1991">
        <v>48</v>
      </c>
      <c r="AZ1991">
        <v>6.6</v>
      </c>
      <c r="BA1991">
        <v>19</v>
      </c>
      <c r="BB1991">
        <v>4.93</v>
      </c>
      <c r="BC1991">
        <v>25</v>
      </c>
      <c r="BD1991">
        <v>-0.04</v>
      </c>
      <c r="BE1991">
        <v>-0.04</v>
      </c>
      <c r="BF1991">
        <v>-0.11</v>
      </c>
      <c r="BG1991">
        <v>47</v>
      </c>
      <c r="BH1991">
        <v>0.16</v>
      </c>
      <c r="BI1991">
        <v>5.78</v>
      </c>
      <c r="BJ1991">
        <v>0</v>
      </c>
      <c r="BK1991">
        <v>0</v>
      </c>
      <c r="BL1991">
        <v>-1.41</v>
      </c>
      <c r="BM1991">
        <v>-1.43</v>
      </c>
      <c r="BN1991">
        <v>-0.1</v>
      </c>
      <c r="BO1991">
        <v>1.26</v>
      </c>
      <c r="BP1991">
        <v>-0.1</v>
      </c>
      <c r="BQ1991">
        <v>-5.41</v>
      </c>
      <c r="BR1991">
        <v>1.85</v>
      </c>
      <c r="BS1991">
        <v>6.46</v>
      </c>
      <c r="BT1991">
        <v>-1.03</v>
      </c>
      <c r="BU1991">
        <v>-0.12</v>
      </c>
      <c r="BV1991">
        <v>0.09</v>
      </c>
      <c r="BW1991">
        <v>-2.0299999999999998</v>
      </c>
      <c r="BX1991">
        <v>-2.8</v>
      </c>
      <c r="BY1991">
        <v>-0.22</v>
      </c>
      <c r="BZ1991">
        <v>0.57999999999999996</v>
      </c>
      <c r="CA1991">
        <v>1.75</v>
      </c>
      <c r="CB1991">
        <v>0.13</v>
      </c>
      <c r="CC1991">
        <v>4.2300000000000004</v>
      </c>
      <c r="CD1991">
        <v>-2.1800000000000002</v>
      </c>
      <c r="CE1991">
        <v>1.22</v>
      </c>
      <c r="CF1991">
        <v>-1.18</v>
      </c>
      <c r="CG1991">
        <v>0</v>
      </c>
      <c r="CH1991">
        <v>-1.4</v>
      </c>
      <c r="CI1991">
        <v>0</v>
      </c>
      <c r="CJ1991">
        <v>-28.9</v>
      </c>
      <c r="CK1991">
        <v>45</v>
      </c>
      <c r="CL1991">
        <v>-0.86</v>
      </c>
      <c r="CM1991">
        <v>42</v>
      </c>
      <c r="CN1991">
        <v>-0.22</v>
      </c>
      <c r="CO1991">
        <v>37</v>
      </c>
      <c r="CP1991">
        <v>-45.7</v>
      </c>
      <c r="CQ1991">
        <v>50</v>
      </c>
      <c r="CR1991">
        <v>0</v>
      </c>
      <c r="CS1991">
        <v>0</v>
      </c>
      <c r="CT1991">
        <v>-66.5</v>
      </c>
      <c r="CU1991">
        <v>37</v>
      </c>
      <c r="CV1991">
        <v>-0.39</v>
      </c>
      <c r="CW1991">
        <v>12</v>
      </c>
      <c r="CX1991" t="s">
        <v>578</v>
      </c>
    </row>
    <row r="1992" spans="1:102" x14ac:dyDescent="0.3">
      <c r="A1992" t="str">
        <f>HYPERLINK("https://webapp.icbf.com/v2/app/bull-search/view/760395497","S976")</f>
        <v>S976</v>
      </c>
      <c r="B1992" t="s">
        <v>7131</v>
      </c>
      <c r="C1992" t="s">
        <v>3076</v>
      </c>
      <c r="D1992" s="1">
        <v>38039</v>
      </c>
      <c r="E1992" t="s">
        <v>108</v>
      </c>
      <c r="F1992">
        <v>0</v>
      </c>
      <c r="G1992" t="s">
        <v>109</v>
      </c>
      <c r="H1992">
        <v>71.91</v>
      </c>
      <c r="I1992">
        <v>76</v>
      </c>
      <c r="J1992">
        <v>12.16</v>
      </c>
      <c r="K1992">
        <v>86</v>
      </c>
      <c r="L1992">
        <v>32.58</v>
      </c>
      <c r="M1992">
        <v>76</v>
      </c>
      <c r="N1992">
        <v>19.329999999999998</v>
      </c>
      <c r="O1992">
        <v>65</v>
      </c>
      <c r="P1992">
        <v>-10.3</v>
      </c>
      <c r="Q1992">
        <v>77</v>
      </c>
      <c r="R1992">
        <v>-6.91</v>
      </c>
      <c r="S1992">
        <v>72</v>
      </c>
      <c r="T1992">
        <v>21.08</v>
      </c>
      <c r="U1992">
        <v>61</v>
      </c>
      <c r="V1992">
        <v>3.97</v>
      </c>
      <c r="W1992">
        <v>57</v>
      </c>
      <c r="X1992" t="s">
        <v>251</v>
      </c>
      <c r="Y1992" t="s">
        <v>303</v>
      </c>
      <c r="Z1992" t="s">
        <v>96</v>
      </c>
      <c r="AA1992" t="s">
        <v>478</v>
      </c>
      <c r="AB1992" t="s">
        <v>7132</v>
      </c>
      <c r="AC1992">
        <v>0</v>
      </c>
      <c r="AD1992">
        <v>0</v>
      </c>
      <c r="AE1992">
        <v>86</v>
      </c>
      <c r="AF1992">
        <v>-66.11</v>
      </c>
      <c r="AG1992">
        <v>5.22</v>
      </c>
      <c r="AH1992">
        <v>-0.79</v>
      </c>
      <c r="AI1992">
        <v>0.14000000000000001</v>
      </c>
      <c r="AJ1992">
        <v>0.03</v>
      </c>
      <c r="AK1992">
        <v>76</v>
      </c>
      <c r="AL1992">
        <v>0</v>
      </c>
      <c r="AM1992">
        <v>0</v>
      </c>
      <c r="AN1992">
        <v>-1.61</v>
      </c>
      <c r="AO1992">
        <v>0.99</v>
      </c>
      <c r="AP1992">
        <v>36</v>
      </c>
      <c r="AQ1992">
        <v>0</v>
      </c>
      <c r="AR1992">
        <v>6.65</v>
      </c>
      <c r="AS1992">
        <v>63</v>
      </c>
      <c r="AT1992">
        <v>2.84</v>
      </c>
      <c r="AU1992">
        <v>75</v>
      </c>
      <c r="AV1992">
        <v>-3.61</v>
      </c>
      <c r="AW1992">
        <v>68</v>
      </c>
      <c r="AX1992">
        <v>-0.9</v>
      </c>
      <c r="AY1992">
        <v>67</v>
      </c>
      <c r="AZ1992">
        <v>9.2200000000000006</v>
      </c>
      <c r="BA1992">
        <v>47</v>
      </c>
      <c r="BB1992">
        <v>6.99</v>
      </c>
      <c r="BC1992">
        <v>44</v>
      </c>
      <c r="BD1992">
        <v>0.06</v>
      </c>
      <c r="BE1992">
        <v>0.01</v>
      </c>
      <c r="BF1992">
        <v>0.04</v>
      </c>
      <c r="BG1992">
        <v>88</v>
      </c>
      <c r="BH1992">
        <v>0.18</v>
      </c>
      <c r="BI1992">
        <v>8.02</v>
      </c>
      <c r="BJ1992">
        <v>2</v>
      </c>
      <c r="BK1992">
        <v>2</v>
      </c>
      <c r="BL1992">
        <v>-2.57</v>
      </c>
      <c r="BM1992">
        <v>1.38</v>
      </c>
      <c r="BN1992">
        <v>-1.72</v>
      </c>
      <c r="BO1992">
        <v>-1.88</v>
      </c>
      <c r="BP1992">
        <v>-1.55</v>
      </c>
      <c r="BQ1992">
        <v>2.2599999999999998</v>
      </c>
      <c r="BR1992">
        <v>-0.51</v>
      </c>
      <c r="BS1992">
        <v>-0.35</v>
      </c>
      <c r="BT1992">
        <v>0.86</v>
      </c>
      <c r="BU1992">
        <v>-2.0699999999999998</v>
      </c>
      <c r="BV1992">
        <v>-1.1000000000000001</v>
      </c>
      <c r="BW1992">
        <v>-2</v>
      </c>
      <c r="BX1992">
        <v>-1.36</v>
      </c>
      <c r="BY1992">
        <v>-0.54</v>
      </c>
      <c r="BZ1992">
        <v>-0.79</v>
      </c>
      <c r="CA1992">
        <v>-1.34</v>
      </c>
      <c r="CB1992">
        <v>-1.1000000000000001</v>
      </c>
      <c r="CC1992">
        <v>-0.75</v>
      </c>
      <c r="CD1992">
        <v>1.81</v>
      </c>
      <c r="CE1992">
        <v>-2.98</v>
      </c>
      <c r="CF1992">
        <v>-3.13</v>
      </c>
      <c r="CG1992">
        <v>0</v>
      </c>
      <c r="CH1992">
        <v>-0.7</v>
      </c>
      <c r="CI1992">
        <v>0</v>
      </c>
      <c r="CJ1992">
        <v>-6</v>
      </c>
      <c r="CK1992">
        <v>79</v>
      </c>
      <c r="CL1992">
        <v>-7.0000000000000007E-2</v>
      </c>
      <c r="CM1992">
        <v>76</v>
      </c>
      <c r="CN1992">
        <v>-0.09</v>
      </c>
      <c r="CO1992">
        <v>74</v>
      </c>
      <c r="CP1992">
        <v>-15.7</v>
      </c>
      <c r="CQ1992">
        <v>70</v>
      </c>
      <c r="CR1992">
        <v>0</v>
      </c>
      <c r="CS1992">
        <v>0</v>
      </c>
      <c r="CT1992">
        <v>-14.7</v>
      </c>
      <c r="CU1992">
        <v>61</v>
      </c>
      <c r="CV1992">
        <v>7.0000000000000007E-2</v>
      </c>
      <c r="CW1992">
        <v>42</v>
      </c>
      <c r="CX1992" t="s">
        <v>7133</v>
      </c>
    </row>
    <row r="1993" spans="1:102" x14ac:dyDescent="0.3">
      <c r="A1993" t="str">
        <f>HYPERLINK("https://webapp.icbf.com/v2/app/bull-search/view/444505354","RIH")</f>
        <v>RIH</v>
      </c>
      <c r="B1993" t="s">
        <v>12059</v>
      </c>
      <c r="C1993" t="s">
        <v>324</v>
      </c>
      <c r="D1993" s="1">
        <v>35975</v>
      </c>
      <c r="E1993" t="s">
        <v>92</v>
      </c>
      <c r="F1993">
        <v>100</v>
      </c>
      <c r="G1993" t="s">
        <v>93</v>
      </c>
      <c r="H1993">
        <v>71.72</v>
      </c>
      <c r="I1993">
        <v>92</v>
      </c>
      <c r="J1993">
        <v>35.54</v>
      </c>
      <c r="K1993">
        <v>97</v>
      </c>
      <c r="L1993">
        <v>8.73</v>
      </c>
      <c r="M1993">
        <v>91</v>
      </c>
      <c r="N1993">
        <v>19.190000000000001</v>
      </c>
      <c r="O1993">
        <v>89</v>
      </c>
      <c r="P1993">
        <v>-10.31</v>
      </c>
      <c r="Q1993">
        <v>92</v>
      </c>
      <c r="R1993">
        <v>-1.84</v>
      </c>
      <c r="S1993">
        <v>85</v>
      </c>
      <c r="T1993">
        <v>21.82</v>
      </c>
      <c r="U1993">
        <v>84</v>
      </c>
      <c r="V1993">
        <v>-1.41</v>
      </c>
      <c r="W1993">
        <v>82</v>
      </c>
      <c r="X1993" t="s">
        <v>94</v>
      </c>
      <c r="Y1993" t="s">
        <v>270</v>
      </c>
      <c r="Z1993" t="s">
        <v>96</v>
      </c>
      <c r="AA1993" t="s">
        <v>1380</v>
      </c>
      <c r="AB1993" t="s">
        <v>12060</v>
      </c>
      <c r="AC1993">
        <v>106</v>
      </c>
      <c r="AD1993">
        <v>41</v>
      </c>
      <c r="AE1993">
        <v>97</v>
      </c>
      <c r="AF1993">
        <v>239.44</v>
      </c>
      <c r="AG1993">
        <v>3.56</v>
      </c>
      <c r="AH1993">
        <v>8.4499999999999993</v>
      </c>
      <c r="AI1993">
        <v>-0.1</v>
      </c>
      <c r="AJ1993">
        <v>0.01</v>
      </c>
      <c r="AK1993">
        <v>91</v>
      </c>
      <c r="AL1993">
        <v>122</v>
      </c>
      <c r="AM1993">
        <v>48</v>
      </c>
      <c r="AN1993">
        <v>-0.21</v>
      </c>
      <c r="AO1993">
        <v>0.49</v>
      </c>
      <c r="AP1993">
        <v>209</v>
      </c>
      <c r="AQ1993">
        <v>0</v>
      </c>
      <c r="AR1993">
        <v>6.01</v>
      </c>
      <c r="AS1993">
        <v>82</v>
      </c>
      <c r="AT1993">
        <v>2.73</v>
      </c>
      <c r="AU1993">
        <v>93</v>
      </c>
      <c r="AV1993">
        <v>-0.96</v>
      </c>
      <c r="AW1993">
        <v>96</v>
      </c>
      <c r="AX1993">
        <v>-0.55000000000000004</v>
      </c>
      <c r="AY1993">
        <v>84</v>
      </c>
      <c r="AZ1993">
        <v>5.42</v>
      </c>
      <c r="BA1993">
        <v>73</v>
      </c>
      <c r="BB1993">
        <v>4.6900000000000004</v>
      </c>
      <c r="BC1993">
        <v>74</v>
      </c>
      <c r="BD1993">
        <v>-0.01</v>
      </c>
      <c r="BE1993">
        <v>0.01</v>
      </c>
      <c r="BF1993">
        <v>0.04</v>
      </c>
      <c r="BG1993">
        <v>92</v>
      </c>
      <c r="BH1993">
        <v>-0.01</v>
      </c>
      <c r="BI1993">
        <v>3.4</v>
      </c>
      <c r="BJ1993">
        <v>2</v>
      </c>
      <c r="BK1993">
        <v>2</v>
      </c>
      <c r="BL1993">
        <v>-0.03</v>
      </c>
      <c r="BM1993">
        <v>-2.54</v>
      </c>
      <c r="BN1993">
        <v>-2.79</v>
      </c>
      <c r="BO1993">
        <v>-0.3</v>
      </c>
      <c r="BP1993">
        <v>1.22</v>
      </c>
      <c r="BQ1993">
        <v>-1.94</v>
      </c>
      <c r="BR1993">
        <v>-0.05</v>
      </c>
      <c r="BS1993">
        <v>-2.95</v>
      </c>
      <c r="BT1993">
        <v>-1.02</v>
      </c>
      <c r="BU1993">
        <v>0.8</v>
      </c>
      <c r="BV1993">
        <v>1.65</v>
      </c>
      <c r="BW1993">
        <v>0.23</v>
      </c>
      <c r="BX1993">
        <v>1.45</v>
      </c>
      <c r="BY1993">
        <v>-0.43</v>
      </c>
      <c r="BZ1993">
        <v>0.4</v>
      </c>
      <c r="CA1993">
        <v>-0.09</v>
      </c>
      <c r="CB1993">
        <v>0.88</v>
      </c>
      <c r="CC1993">
        <v>-1.8</v>
      </c>
      <c r="CD1993">
        <v>-0.9</v>
      </c>
      <c r="CE1993">
        <v>0.56000000000000005</v>
      </c>
      <c r="CF1993">
        <v>-0.69</v>
      </c>
      <c r="CG1993">
        <v>0</v>
      </c>
      <c r="CH1993">
        <v>-0.39</v>
      </c>
      <c r="CI1993">
        <v>0</v>
      </c>
      <c r="CJ1993">
        <v>-2.7</v>
      </c>
      <c r="CK1993">
        <v>93</v>
      </c>
      <c r="CL1993">
        <v>-0.83</v>
      </c>
      <c r="CM1993">
        <v>92</v>
      </c>
      <c r="CN1993">
        <v>-0.31</v>
      </c>
      <c r="CO1993">
        <v>91</v>
      </c>
      <c r="CP1993">
        <v>-11</v>
      </c>
      <c r="CQ1993">
        <v>91</v>
      </c>
      <c r="CR1993">
        <v>0</v>
      </c>
      <c r="CS1993">
        <v>0</v>
      </c>
      <c r="CT1993">
        <v>-15.7</v>
      </c>
      <c r="CU1993">
        <v>84</v>
      </c>
      <c r="CV1993">
        <v>0.24</v>
      </c>
      <c r="CW1993">
        <v>44</v>
      </c>
      <c r="CX1993" t="s">
        <v>105</v>
      </c>
    </row>
    <row r="1994" spans="1:102" x14ac:dyDescent="0.3">
      <c r="A1994" t="str">
        <f>HYPERLINK("https://webapp.icbf.com/v2/app/bull-search/view/388955761","PIA")</f>
        <v>PIA</v>
      </c>
      <c r="B1994" t="s">
        <v>1222</v>
      </c>
      <c r="C1994" t="s">
        <v>1223</v>
      </c>
      <c r="D1994" s="1">
        <v>37904</v>
      </c>
      <c r="E1994" t="s">
        <v>108</v>
      </c>
      <c r="F1994">
        <v>0</v>
      </c>
      <c r="G1994" t="s">
        <v>93</v>
      </c>
      <c r="H1994">
        <v>71.69</v>
      </c>
      <c r="I1994">
        <v>97</v>
      </c>
      <c r="J1994">
        <v>-15.75</v>
      </c>
      <c r="K1994">
        <v>99</v>
      </c>
      <c r="L1994">
        <v>57.21</v>
      </c>
      <c r="M1994">
        <v>95</v>
      </c>
      <c r="N1994">
        <v>26.41</v>
      </c>
      <c r="O1994">
        <v>98</v>
      </c>
      <c r="P1994">
        <v>-20.04</v>
      </c>
      <c r="Q1994">
        <v>99</v>
      </c>
      <c r="R1994">
        <v>9.02</v>
      </c>
      <c r="S1994">
        <v>96</v>
      </c>
      <c r="T1994">
        <v>20.41</v>
      </c>
      <c r="U1994">
        <v>99</v>
      </c>
      <c r="V1994">
        <v>-5.57</v>
      </c>
      <c r="W1994">
        <v>97</v>
      </c>
      <c r="X1994" t="s">
        <v>102</v>
      </c>
      <c r="Y1994" t="s">
        <v>1153</v>
      </c>
      <c r="Z1994" t="s">
        <v>96</v>
      </c>
      <c r="AA1994" t="s">
        <v>1224</v>
      </c>
      <c r="AB1994" t="s">
        <v>1225</v>
      </c>
      <c r="AC1994">
        <v>1305</v>
      </c>
      <c r="AD1994">
        <v>470</v>
      </c>
      <c r="AE1994">
        <v>99</v>
      </c>
      <c r="AF1994">
        <v>-243.86</v>
      </c>
      <c r="AG1994">
        <v>-4.78</v>
      </c>
      <c r="AH1994">
        <v>-4.72</v>
      </c>
      <c r="AI1994">
        <v>0.09</v>
      </c>
      <c r="AJ1994">
        <v>0.06</v>
      </c>
      <c r="AK1994">
        <v>95</v>
      </c>
      <c r="AL1994">
        <v>2148</v>
      </c>
      <c r="AM1994">
        <v>822</v>
      </c>
      <c r="AN1994">
        <v>-3.31</v>
      </c>
      <c r="AO1994">
        <v>1.25</v>
      </c>
      <c r="AP1994">
        <v>2806</v>
      </c>
      <c r="AQ1994">
        <v>23</v>
      </c>
      <c r="AR1994">
        <v>6.31</v>
      </c>
      <c r="AS1994">
        <v>98</v>
      </c>
      <c r="AT1994">
        <v>2.5299999999999998</v>
      </c>
      <c r="AU1994">
        <v>99</v>
      </c>
      <c r="AV1994">
        <v>-3.83</v>
      </c>
      <c r="AW1994">
        <v>99</v>
      </c>
      <c r="AX1994">
        <v>-0.21</v>
      </c>
      <c r="AY1994">
        <v>99</v>
      </c>
      <c r="AZ1994">
        <v>9.4700000000000006</v>
      </c>
      <c r="BA1994">
        <v>95</v>
      </c>
      <c r="BB1994">
        <v>6.32</v>
      </c>
      <c r="BC1994">
        <v>96</v>
      </c>
      <c r="BD1994">
        <v>-0.02</v>
      </c>
      <c r="BE1994">
        <v>-0.06</v>
      </c>
      <c r="BF1994">
        <v>-0.06</v>
      </c>
      <c r="BG1994">
        <v>98</v>
      </c>
      <c r="BH1994">
        <v>-0.11</v>
      </c>
      <c r="BI1994">
        <v>5.24</v>
      </c>
      <c r="BJ1994">
        <v>55</v>
      </c>
      <c r="BK1994">
        <v>45</v>
      </c>
      <c r="BL1994">
        <v>-3.05</v>
      </c>
      <c r="BM1994">
        <v>0.66</v>
      </c>
      <c r="BN1994">
        <v>-3.44</v>
      </c>
      <c r="BO1994">
        <v>-3.01</v>
      </c>
      <c r="BP1994">
        <v>-3.65</v>
      </c>
      <c r="BQ1994">
        <v>1.8</v>
      </c>
      <c r="BR1994">
        <v>-3.89</v>
      </c>
      <c r="BS1994">
        <v>-0.44</v>
      </c>
      <c r="BT1994">
        <v>1.88</v>
      </c>
      <c r="BU1994">
        <v>-2.57</v>
      </c>
      <c r="BV1994">
        <v>-2.12</v>
      </c>
      <c r="BW1994">
        <v>-1.55</v>
      </c>
      <c r="BX1994">
        <v>-1.03</v>
      </c>
      <c r="BY1994">
        <v>-0.55000000000000004</v>
      </c>
      <c r="BZ1994">
        <v>0.71</v>
      </c>
      <c r="CA1994">
        <v>-1.28</v>
      </c>
      <c r="CB1994">
        <v>-1.75</v>
      </c>
      <c r="CC1994">
        <v>-0.13</v>
      </c>
      <c r="CD1994">
        <v>1.7</v>
      </c>
      <c r="CE1994">
        <v>-2.04</v>
      </c>
      <c r="CF1994">
        <v>-2.41</v>
      </c>
      <c r="CG1994">
        <v>0</v>
      </c>
      <c r="CH1994">
        <v>-0.92</v>
      </c>
      <c r="CI1994">
        <v>0</v>
      </c>
      <c r="CJ1994">
        <v>-14</v>
      </c>
      <c r="CK1994">
        <v>99</v>
      </c>
      <c r="CL1994">
        <v>-0.18</v>
      </c>
      <c r="CM1994">
        <v>99</v>
      </c>
      <c r="CN1994">
        <v>-0.23</v>
      </c>
      <c r="CO1994">
        <v>99</v>
      </c>
      <c r="CP1994">
        <v>-10.4</v>
      </c>
      <c r="CQ1994">
        <v>99</v>
      </c>
      <c r="CR1994">
        <v>0</v>
      </c>
      <c r="CS1994">
        <v>0</v>
      </c>
      <c r="CT1994">
        <v>-13.8</v>
      </c>
      <c r="CU1994">
        <v>99</v>
      </c>
      <c r="CV1994">
        <v>-0.08</v>
      </c>
      <c r="CW1994">
        <v>46</v>
      </c>
      <c r="CX1994" t="s">
        <v>1226</v>
      </c>
    </row>
    <row r="1995" spans="1:102" x14ac:dyDescent="0.3">
      <c r="A1995" t="str">
        <f>HYPERLINK("https://webapp.icbf.com/v2/app/bull-search/view/77854504","RFE")</f>
        <v>RFE</v>
      </c>
      <c r="B1995" t="s">
        <v>4291</v>
      </c>
      <c r="C1995" t="s">
        <v>4292</v>
      </c>
      <c r="D1995" s="1">
        <v>33828</v>
      </c>
      <c r="E1995" t="s">
        <v>92</v>
      </c>
      <c r="F1995">
        <v>81</v>
      </c>
      <c r="G1995" t="s">
        <v>93</v>
      </c>
      <c r="H1995">
        <v>71.599999999999994</v>
      </c>
      <c r="I1995">
        <v>96</v>
      </c>
      <c r="J1995">
        <v>15.9</v>
      </c>
      <c r="K1995">
        <v>99</v>
      </c>
      <c r="L1995">
        <v>22.87</v>
      </c>
      <c r="M1995">
        <v>93</v>
      </c>
      <c r="N1995">
        <v>13.81</v>
      </c>
      <c r="O1995">
        <v>95</v>
      </c>
      <c r="P1995">
        <v>-32.229999999999997</v>
      </c>
      <c r="Q1995">
        <v>98</v>
      </c>
      <c r="R1995">
        <v>1.06</v>
      </c>
      <c r="S1995">
        <v>93</v>
      </c>
      <c r="T1995">
        <v>42.76</v>
      </c>
      <c r="U1995">
        <v>98</v>
      </c>
      <c r="V1995">
        <v>7.43</v>
      </c>
      <c r="W1995">
        <v>92</v>
      </c>
      <c r="X1995" t="s">
        <v>302</v>
      </c>
      <c r="Y1995" t="s">
        <v>95</v>
      </c>
      <c r="Z1995" t="s">
        <v>96</v>
      </c>
      <c r="AA1995" t="s">
        <v>4293</v>
      </c>
      <c r="AB1995" t="s">
        <v>4294</v>
      </c>
      <c r="AC1995">
        <v>728</v>
      </c>
      <c r="AD1995">
        <v>194</v>
      </c>
      <c r="AE1995">
        <v>99</v>
      </c>
      <c r="AF1995">
        <v>-36.9</v>
      </c>
      <c r="AG1995">
        <v>1.44</v>
      </c>
      <c r="AH1995">
        <v>1.63</v>
      </c>
      <c r="AI1995">
        <v>0.05</v>
      </c>
      <c r="AJ1995">
        <v>0.05</v>
      </c>
      <c r="AK1995">
        <v>93</v>
      </c>
      <c r="AL1995">
        <v>753</v>
      </c>
      <c r="AM1995">
        <v>203</v>
      </c>
      <c r="AN1995">
        <v>-0.78</v>
      </c>
      <c r="AO1995">
        <v>1.05</v>
      </c>
      <c r="AP1995">
        <v>213</v>
      </c>
      <c r="AQ1995">
        <v>1</v>
      </c>
      <c r="AR1995">
        <v>4.38</v>
      </c>
      <c r="AS1995">
        <v>91</v>
      </c>
      <c r="AT1995">
        <v>1.65</v>
      </c>
      <c r="AU1995">
        <v>96</v>
      </c>
      <c r="AV1995">
        <v>-0.3</v>
      </c>
      <c r="AW1995">
        <v>97</v>
      </c>
      <c r="AX1995">
        <v>0.2</v>
      </c>
      <c r="AY1995">
        <v>96</v>
      </c>
      <c r="AZ1995">
        <v>7.39</v>
      </c>
      <c r="BA1995">
        <v>89</v>
      </c>
      <c r="BB1995">
        <v>5.78</v>
      </c>
      <c r="BC1995">
        <v>93</v>
      </c>
      <c r="BD1995">
        <v>-0.05</v>
      </c>
      <c r="BE1995">
        <v>0.01</v>
      </c>
      <c r="BF1995">
        <v>0.04</v>
      </c>
      <c r="BG1995">
        <v>98</v>
      </c>
      <c r="BH1995">
        <v>0.15</v>
      </c>
      <c r="BI1995">
        <v>-6.62</v>
      </c>
      <c r="BJ1995">
        <v>5</v>
      </c>
      <c r="BK1995">
        <v>4</v>
      </c>
      <c r="BL1995">
        <v>-3.2</v>
      </c>
      <c r="BM1995">
        <v>-0.72</v>
      </c>
      <c r="BN1995">
        <v>-2.5099999999999998</v>
      </c>
      <c r="BO1995">
        <v>-1.56</v>
      </c>
      <c r="BP1995">
        <v>-0.96</v>
      </c>
      <c r="BQ1995">
        <v>-3.13</v>
      </c>
      <c r="BR1995">
        <v>2.04</v>
      </c>
      <c r="BS1995">
        <v>-1.55</v>
      </c>
      <c r="BT1995">
        <v>-1.67</v>
      </c>
      <c r="BU1995">
        <v>-2.23</v>
      </c>
      <c r="BV1995">
        <v>-2.12</v>
      </c>
      <c r="BW1995">
        <v>-2.85</v>
      </c>
      <c r="BX1995">
        <v>-3.39</v>
      </c>
      <c r="BY1995">
        <v>-2.81</v>
      </c>
      <c r="BZ1995">
        <v>3.06</v>
      </c>
      <c r="CA1995">
        <v>-2.83</v>
      </c>
      <c r="CB1995">
        <v>-2.61</v>
      </c>
      <c r="CC1995">
        <v>-2.11</v>
      </c>
      <c r="CD1995">
        <v>0.98</v>
      </c>
      <c r="CE1995">
        <v>-1.88</v>
      </c>
      <c r="CF1995">
        <v>-2.94</v>
      </c>
      <c r="CG1995">
        <v>0</v>
      </c>
      <c r="CH1995">
        <v>-2.85</v>
      </c>
      <c r="CI1995">
        <v>0</v>
      </c>
      <c r="CJ1995">
        <v>-16.2</v>
      </c>
      <c r="CK1995">
        <v>98</v>
      </c>
      <c r="CL1995">
        <v>-0.5</v>
      </c>
      <c r="CM1995">
        <v>98</v>
      </c>
      <c r="CN1995">
        <v>-0.06</v>
      </c>
      <c r="CO1995">
        <v>97</v>
      </c>
      <c r="CP1995">
        <v>-36.1</v>
      </c>
      <c r="CQ1995">
        <v>98</v>
      </c>
      <c r="CR1995">
        <v>0</v>
      </c>
      <c r="CS1995">
        <v>0</v>
      </c>
      <c r="CT1995">
        <v>-44</v>
      </c>
      <c r="CU1995">
        <v>98</v>
      </c>
      <c r="CV1995">
        <v>-0.09</v>
      </c>
      <c r="CW1995">
        <v>46</v>
      </c>
      <c r="CX1995" t="s">
        <v>4295</v>
      </c>
    </row>
    <row r="1996" spans="1:102" x14ac:dyDescent="0.3">
      <c r="A1996" t="str">
        <f>HYPERLINK("https://webapp.icbf.com/v2/app/bull-search/view/903268491","S1145")</f>
        <v>S1145</v>
      </c>
      <c r="B1996" t="s">
        <v>7561</v>
      </c>
      <c r="C1996" t="s">
        <v>7562</v>
      </c>
      <c r="D1996" s="1">
        <v>39409</v>
      </c>
      <c r="E1996" t="s">
        <v>227</v>
      </c>
      <c r="F1996">
        <v>0</v>
      </c>
      <c r="G1996" t="s">
        <v>109</v>
      </c>
      <c r="H1996">
        <v>71.36</v>
      </c>
      <c r="I1996">
        <v>72</v>
      </c>
      <c r="J1996">
        <v>-14.71</v>
      </c>
      <c r="K1996">
        <v>85</v>
      </c>
      <c r="L1996">
        <v>45.61</v>
      </c>
      <c r="M1996">
        <v>75</v>
      </c>
      <c r="N1996">
        <v>30.09</v>
      </c>
      <c r="O1996">
        <v>60</v>
      </c>
      <c r="P1996">
        <v>-53.08</v>
      </c>
      <c r="Q1996">
        <v>56</v>
      </c>
      <c r="R1996">
        <v>1.7</v>
      </c>
      <c r="S1996">
        <v>61</v>
      </c>
      <c r="T1996">
        <v>60.67</v>
      </c>
      <c r="U1996">
        <v>45</v>
      </c>
      <c r="V1996">
        <v>1.08</v>
      </c>
      <c r="W1996">
        <v>58</v>
      </c>
      <c r="X1996" t="s">
        <v>251</v>
      </c>
      <c r="Y1996" t="s">
        <v>336</v>
      </c>
      <c r="Z1996">
        <v>0</v>
      </c>
      <c r="AA1996" t="s">
        <v>7515</v>
      </c>
      <c r="AB1996" t="s">
        <v>7563</v>
      </c>
      <c r="AC1996">
        <v>0</v>
      </c>
      <c r="AD1996">
        <v>0</v>
      </c>
      <c r="AE1996">
        <v>85</v>
      </c>
      <c r="AF1996">
        <v>-652.66</v>
      </c>
      <c r="AG1996">
        <v>4.6900000000000004</v>
      </c>
      <c r="AH1996">
        <v>-14.15</v>
      </c>
      <c r="AI1996">
        <v>0.59</v>
      </c>
      <c r="AJ1996">
        <v>0.16</v>
      </c>
      <c r="AK1996">
        <v>75</v>
      </c>
      <c r="AL1996">
        <v>0</v>
      </c>
      <c r="AM1996">
        <v>0</v>
      </c>
      <c r="AN1996">
        <v>-0.7</v>
      </c>
      <c r="AO1996">
        <v>2.96</v>
      </c>
      <c r="AP1996">
        <v>14</v>
      </c>
      <c r="AQ1996">
        <v>0</v>
      </c>
      <c r="AR1996">
        <v>2.48</v>
      </c>
      <c r="AS1996">
        <v>54</v>
      </c>
      <c r="AT1996">
        <v>1.71</v>
      </c>
      <c r="AU1996">
        <v>56</v>
      </c>
      <c r="AV1996">
        <v>-1.77</v>
      </c>
      <c r="AW1996">
        <v>73</v>
      </c>
      <c r="AX1996">
        <v>0.73</v>
      </c>
      <c r="AY1996">
        <v>51</v>
      </c>
      <c r="AZ1996">
        <v>7.16</v>
      </c>
      <c r="BA1996">
        <v>41</v>
      </c>
      <c r="BB1996">
        <v>5.24</v>
      </c>
      <c r="BC1996">
        <v>38</v>
      </c>
      <c r="BD1996">
        <v>-0.09</v>
      </c>
      <c r="BE1996">
        <v>-0.01</v>
      </c>
      <c r="BF1996">
        <v>0.13</v>
      </c>
      <c r="BG1996">
        <v>69</v>
      </c>
      <c r="BH1996">
        <v>0.02</v>
      </c>
      <c r="BI1996">
        <v>-1.17</v>
      </c>
      <c r="BJ1996">
        <v>5</v>
      </c>
      <c r="BK1996">
        <v>4</v>
      </c>
      <c r="BL1996">
        <v>0.38</v>
      </c>
      <c r="BM1996">
        <v>0.71</v>
      </c>
      <c r="BN1996">
        <v>0.81</v>
      </c>
      <c r="BO1996">
        <v>0.84</v>
      </c>
      <c r="BP1996">
        <v>-2.0299999999999998</v>
      </c>
      <c r="BQ1996">
        <v>-0.65</v>
      </c>
      <c r="BR1996">
        <v>-0.04</v>
      </c>
      <c r="BS1996">
        <v>4.79</v>
      </c>
      <c r="BT1996">
        <v>0.5</v>
      </c>
      <c r="BU1996">
        <v>0.98</v>
      </c>
      <c r="BV1996">
        <v>1.04</v>
      </c>
      <c r="BW1996">
        <v>-0.4</v>
      </c>
      <c r="BX1996">
        <v>-0.59</v>
      </c>
      <c r="BY1996">
        <v>1.73</v>
      </c>
      <c r="BZ1996">
        <v>0.61</v>
      </c>
      <c r="CA1996">
        <v>2.2400000000000002</v>
      </c>
      <c r="CB1996">
        <v>1.26</v>
      </c>
      <c r="CC1996">
        <v>3.2</v>
      </c>
      <c r="CD1996">
        <v>-0.13</v>
      </c>
      <c r="CE1996">
        <v>0.86</v>
      </c>
      <c r="CF1996">
        <v>1.23</v>
      </c>
      <c r="CG1996">
        <v>0</v>
      </c>
      <c r="CH1996">
        <v>0.39</v>
      </c>
      <c r="CI1996">
        <v>0</v>
      </c>
      <c r="CJ1996">
        <v>-32.200000000000003</v>
      </c>
      <c r="CK1996">
        <v>58</v>
      </c>
      <c r="CL1996">
        <v>-0.93</v>
      </c>
      <c r="CM1996">
        <v>54</v>
      </c>
      <c r="CN1996">
        <v>-0.63</v>
      </c>
      <c r="CO1996">
        <v>53</v>
      </c>
      <c r="CP1996">
        <v>-42.8</v>
      </c>
      <c r="CQ1996">
        <v>50</v>
      </c>
      <c r="CR1996">
        <v>0</v>
      </c>
      <c r="CS1996">
        <v>0</v>
      </c>
      <c r="CT1996">
        <v>-68.2</v>
      </c>
      <c r="CU1996">
        <v>45</v>
      </c>
      <c r="CV1996">
        <v>-0.3</v>
      </c>
      <c r="CW1996">
        <v>37</v>
      </c>
      <c r="CX1996" t="s">
        <v>2169</v>
      </c>
    </row>
    <row r="1997" spans="1:102" x14ac:dyDescent="0.3">
      <c r="A1997" t="str">
        <f>HYPERLINK("https://webapp.icbf.com/v2/app/bull-search/view/77856685","HYM")</f>
        <v>HYM</v>
      </c>
      <c r="B1997" t="s">
        <v>3710</v>
      </c>
      <c r="C1997" t="s">
        <v>3711</v>
      </c>
      <c r="D1997" s="1">
        <v>33711</v>
      </c>
      <c r="E1997" t="s">
        <v>92</v>
      </c>
      <c r="F1997">
        <v>100</v>
      </c>
      <c r="G1997" t="s">
        <v>93</v>
      </c>
      <c r="H1997">
        <v>71.290000000000006</v>
      </c>
      <c r="I1997">
        <v>90</v>
      </c>
      <c r="J1997">
        <v>32.29</v>
      </c>
      <c r="K1997">
        <v>98</v>
      </c>
      <c r="L1997">
        <v>9.98</v>
      </c>
      <c r="M1997">
        <v>85</v>
      </c>
      <c r="N1997">
        <v>23.68</v>
      </c>
      <c r="O1997">
        <v>90</v>
      </c>
      <c r="P1997">
        <v>0.59</v>
      </c>
      <c r="Q1997">
        <v>95</v>
      </c>
      <c r="R1997">
        <v>-5.81</v>
      </c>
      <c r="S1997">
        <v>80</v>
      </c>
      <c r="T1997">
        <v>10.27</v>
      </c>
      <c r="U1997">
        <v>89</v>
      </c>
      <c r="V1997">
        <v>0.28999999999999998</v>
      </c>
      <c r="W1997">
        <v>77</v>
      </c>
      <c r="X1997" t="s">
        <v>558</v>
      </c>
      <c r="Y1997" t="s">
        <v>95</v>
      </c>
      <c r="Z1997" t="s">
        <v>96</v>
      </c>
      <c r="AA1997" t="s">
        <v>161</v>
      </c>
      <c r="AB1997" t="s">
        <v>3712</v>
      </c>
      <c r="AC1997">
        <v>199</v>
      </c>
      <c r="AD1997">
        <v>112</v>
      </c>
      <c r="AE1997">
        <v>98</v>
      </c>
      <c r="AF1997">
        <v>-41.44</v>
      </c>
      <c r="AG1997">
        <v>5.05</v>
      </c>
      <c r="AH1997">
        <v>3.07</v>
      </c>
      <c r="AI1997">
        <v>0.12</v>
      </c>
      <c r="AJ1997">
        <v>0.08</v>
      </c>
      <c r="AK1997">
        <v>85</v>
      </c>
      <c r="AL1997">
        <v>225</v>
      </c>
      <c r="AM1997">
        <v>118</v>
      </c>
      <c r="AN1997">
        <v>-1.03</v>
      </c>
      <c r="AO1997">
        <v>-0.24</v>
      </c>
      <c r="AP1997">
        <v>270</v>
      </c>
      <c r="AQ1997">
        <v>2</v>
      </c>
      <c r="AR1997">
        <v>7.89</v>
      </c>
      <c r="AS1997">
        <v>86</v>
      </c>
      <c r="AT1997">
        <v>3.75</v>
      </c>
      <c r="AU1997">
        <v>89</v>
      </c>
      <c r="AV1997">
        <v>-3.56</v>
      </c>
      <c r="AW1997">
        <v>96</v>
      </c>
      <c r="AX1997">
        <v>-0.13</v>
      </c>
      <c r="AY1997">
        <v>89</v>
      </c>
      <c r="AZ1997">
        <v>6.28</v>
      </c>
      <c r="BA1997">
        <v>74</v>
      </c>
      <c r="BB1997">
        <v>4.71</v>
      </c>
      <c r="BC1997">
        <v>78</v>
      </c>
      <c r="BD1997">
        <v>0.01</v>
      </c>
      <c r="BE1997">
        <v>0.03</v>
      </c>
      <c r="BF1997">
        <v>0.06</v>
      </c>
      <c r="BG1997">
        <v>92</v>
      </c>
      <c r="BH1997">
        <v>0.02</v>
      </c>
      <c r="BI1997">
        <v>1.39</v>
      </c>
      <c r="BJ1997">
        <v>28</v>
      </c>
      <c r="BK1997">
        <v>10</v>
      </c>
      <c r="BL1997">
        <v>0.45</v>
      </c>
      <c r="BM1997">
        <v>-0.87</v>
      </c>
      <c r="BN1997">
        <v>-0.76</v>
      </c>
      <c r="BO1997">
        <v>0.42</v>
      </c>
      <c r="BP1997">
        <v>-0.79</v>
      </c>
      <c r="BQ1997">
        <v>-1.21</v>
      </c>
      <c r="BR1997">
        <v>-0.2</v>
      </c>
      <c r="BS1997">
        <v>-0.56000000000000005</v>
      </c>
      <c r="BT1997">
        <v>0</v>
      </c>
      <c r="BU1997">
        <v>-0.16</v>
      </c>
      <c r="BV1997">
        <v>0.75</v>
      </c>
      <c r="BW1997">
        <v>0.08</v>
      </c>
      <c r="BX1997">
        <v>0.79</v>
      </c>
      <c r="BY1997">
        <v>0.41</v>
      </c>
      <c r="BZ1997">
        <v>0.55000000000000004</v>
      </c>
      <c r="CA1997">
        <v>0.33</v>
      </c>
      <c r="CB1997">
        <v>0.28000000000000003</v>
      </c>
      <c r="CC1997">
        <v>0.09</v>
      </c>
      <c r="CD1997">
        <v>-0.41</v>
      </c>
      <c r="CE1997">
        <v>0.18</v>
      </c>
      <c r="CF1997">
        <v>0.08</v>
      </c>
      <c r="CG1997">
        <v>0</v>
      </c>
      <c r="CH1997">
        <v>-0.06</v>
      </c>
      <c r="CI1997">
        <v>0</v>
      </c>
      <c r="CJ1997">
        <v>2.2000000000000002</v>
      </c>
      <c r="CK1997">
        <v>96</v>
      </c>
      <c r="CL1997">
        <v>-0.56999999999999995</v>
      </c>
      <c r="CM1997">
        <v>95</v>
      </c>
      <c r="CN1997">
        <v>-0.31</v>
      </c>
      <c r="CO1997">
        <v>95</v>
      </c>
      <c r="CP1997">
        <v>-1.3</v>
      </c>
      <c r="CQ1997">
        <v>94</v>
      </c>
      <c r="CR1997">
        <v>0</v>
      </c>
      <c r="CS1997">
        <v>0</v>
      </c>
      <c r="CT1997">
        <v>-0.1</v>
      </c>
      <c r="CU1997">
        <v>89</v>
      </c>
      <c r="CV1997">
        <v>0.18</v>
      </c>
      <c r="CW1997">
        <v>45</v>
      </c>
      <c r="CX1997" t="s">
        <v>166</v>
      </c>
    </row>
    <row r="1998" spans="1:102" x14ac:dyDescent="0.3">
      <c r="A1998" t="str">
        <f>HYPERLINK("https://webapp.icbf.com/v2/app/bull-search/view/554314582","DUJ")</f>
        <v>DUJ</v>
      </c>
      <c r="B1998" t="s">
        <v>4257</v>
      </c>
      <c r="C1998" t="s">
        <v>4258</v>
      </c>
      <c r="D1998" s="1">
        <v>38995</v>
      </c>
      <c r="E1998" t="s">
        <v>146</v>
      </c>
      <c r="F1998">
        <v>3</v>
      </c>
      <c r="G1998" t="s">
        <v>93</v>
      </c>
      <c r="H1998">
        <v>71.23</v>
      </c>
      <c r="I1998">
        <v>92</v>
      </c>
      <c r="J1998">
        <v>12.09</v>
      </c>
      <c r="K1998">
        <v>98</v>
      </c>
      <c r="L1998">
        <v>23.59</v>
      </c>
      <c r="M1998">
        <v>84</v>
      </c>
      <c r="N1998">
        <v>18.02</v>
      </c>
      <c r="O1998">
        <v>95</v>
      </c>
      <c r="P1998">
        <v>5.58</v>
      </c>
      <c r="Q1998">
        <v>99</v>
      </c>
      <c r="R1998">
        <v>-6.58</v>
      </c>
      <c r="S1998">
        <v>84</v>
      </c>
      <c r="T1998">
        <v>13.68</v>
      </c>
      <c r="U1998">
        <v>94</v>
      </c>
      <c r="V1998">
        <v>4.8499999999999996</v>
      </c>
      <c r="W1998">
        <v>88</v>
      </c>
      <c r="X1998" t="s">
        <v>102</v>
      </c>
      <c r="Y1998" t="s">
        <v>1374</v>
      </c>
      <c r="Z1998">
        <v>0</v>
      </c>
      <c r="AA1998" t="s">
        <v>4259</v>
      </c>
      <c r="AB1998" t="s">
        <v>4260</v>
      </c>
      <c r="AC1998">
        <v>257</v>
      </c>
      <c r="AD1998">
        <v>90</v>
      </c>
      <c r="AE1998">
        <v>98</v>
      </c>
      <c r="AF1998">
        <v>-10.31</v>
      </c>
      <c r="AG1998">
        <v>3.87</v>
      </c>
      <c r="AH1998">
        <v>0.53</v>
      </c>
      <c r="AI1998">
        <v>7.0000000000000007E-2</v>
      </c>
      <c r="AJ1998">
        <v>0.01</v>
      </c>
      <c r="AK1998">
        <v>84</v>
      </c>
      <c r="AL1998">
        <v>431</v>
      </c>
      <c r="AM1998">
        <v>160</v>
      </c>
      <c r="AN1998">
        <v>-1.37</v>
      </c>
      <c r="AO1998">
        <v>0.51</v>
      </c>
      <c r="AP1998">
        <v>918</v>
      </c>
      <c r="AQ1998">
        <v>44</v>
      </c>
      <c r="AR1998">
        <v>5.28</v>
      </c>
      <c r="AS1998">
        <v>92</v>
      </c>
      <c r="AT1998">
        <v>2.59</v>
      </c>
      <c r="AU1998">
        <v>96</v>
      </c>
      <c r="AV1998">
        <v>-1.38</v>
      </c>
      <c r="AW1998">
        <v>99</v>
      </c>
      <c r="AX1998">
        <v>-0.75</v>
      </c>
      <c r="AY1998">
        <v>95</v>
      </c>
      <c r="AZ1998">
        <v>8.58</v>
      </c>
      <c r="BA1998">
        <v>84</v>
      </c>
      <c r="BB1998">
        <v>5.26</v>
      </c>
      <c r="BC1998">
        <v>85</v>
      </c>
      <c r="BD1998">
        <v>0.02</v>
      </c>
      <c r="BE1998">
        <v>0.02</v>
      </c>
      <c r="BF1998">
        <v>0.08</v>
      </c>
      <c r="BG1998">
        <v>92</v>
      </c>
      <c r="BH1998">
        <v>0</v>
      </c>
      <c r="BI1998">
        <v>-15.66</v>
      </c>
      <c r="BJ1998">
        <v>4</v>
      </c>
      <c r="BK1998">
        <v>4</v>
      </c>
      <c r="BL1998">
        <v>-1.54</v>
      </c>
      <c r="BM1998">
        <v>2.27</v>
      </c>
      <c r="BN1998">
        <v>-1.26</v>
      </c>
      <c r="BO1998">
        <v>-2.36</v>
      </c>
      <c r="BP1998">
        <v>1.36</v>
      </c>
      <c r="BQ1998">
        <v>0.17</v>
      </c>
      <c r="BR1998">
        <v>0.72</v>
      </c>
      <c r="BS1998">
        <v>-0.95</v>
      </c>
      <c r="BT1998">
        <v>-1.1499999999999999</v>
      </c>
      <c r="BU1998">
        <v>-2.41</v>
      </c>
      <c r="BV1998">
        <v>-2.69</v>
      </c>
      <c r="BW1998">
        <v>-2.67</v>
      </c>
      <c r="BX1998">
        <v>-1.86</v>
      </c>
      <c r="BY1998">
        <v>-0.5</v>
      </c>
      <c r="BZ1998">
        <v>1.85</v>
      </c>
      <c r="CA1998">
        <v>-2.66</v>
      </c>
      <c r="CB1998">
        <v>-2.68</v>
      </c>
      <c r="CC1998">
        <v>-1.56</v>
      </c>
      <c r="CD1998">
        <v>2.2400000000000002</v>
      </c>
      <c r="CE1998">
        <v>-1.97</v>
      </c>
      <c r="CF1998">
        <v>-1.33</v>
      </c>
      <c r="CG1998">
        <v>0</v>
      </c>
      <c r="CH1998">
        <v>-1.64</v>
      </c>
      <c r="CI1998">
        <v>0</v>
      </c>
      <c r="CJ1998">
        <v>2.7</v>
      </c>
      <c r="CK1998">
        <v>99</v>
      </c>
      <c r="CL1998">
        <v>0.14000000000000001</v>
      </c>
      <c r="CM1998">
        <v>99</v>
      </c>
      <c r="CN1998">
        <v>-0.03</v>
      </c>
      <c r="CO1998">
        <v>99</v>
      </c>
      <c r="CP1998">
        <v>0.4</v>
      </c>
      <c r="CQ1998">
        <v>96</v>
      </c>
      <c r="CR1998">
        <v>0</v>
      </c>
      <c r="CS1998">
        <v>0</v>
      </c>
      <c r="CT1998">
        <v>-4.7</v>
      </c>
      <c r="CU1998">
        <v>94</v>
      </c>
      <c r="CV1998">
        <v>-0.05</v>
      </c>
      <c r="CW1998">
        <v>46</v>
      </c>
      <c r="CX1998" t="s">
        <v>306</v>
      </c>
    </row>
    <row r="1999" spans="1:102" x14ac:dyDescent="0.3">
      <c r="A1999" t="str">
        <f>HYPERLINK("https://webapp.icbf.com/v2/app/bull-search/view/965607946","S1330")</f>
        <v>S1330</v>
      </c>
      <c r="B1999" t="s">
        <v>15129</v>
      </c>
      <c r="C1999" t="s">
        <v>15130</v>
      </c>
      <c r="D1999" s="1">
        <v>38722</v>
      </c>
      <c r="E1999" t="s">
        <v>92</v>
      </c>
      <c r="F1999">
        <v>94</v>
      </c>
      <c r="G1999" t="s">
        <v>93</v>
      </c>
      <c r="H1999">
        <v>71.16</v>
      </c>
      <c r="I1999">
        <v>88</v>
      </c>
      <c r="J1999">
        <v>74.81</v>
      </c>
      <c r="K1999">
        <v>96</v>
      </c>
      <c r="L1999">
        <v>-24.08</v>
      </c>
      <c r="M1999">
        <v>86</v>
      </c>
      <c r="N1999">
        <v>23.37</v>
      </c>
      <c r="O1999">
        <v>86</v>
      </c>
      <c r="P1999">
        <v>3.32</v>
      </c>
      <c r="Q1999">
        <v>92</v>
      </c>
      <c r="R1999">
        <v>1.88</v>
      </c>
      <c r="S1999">
        <v>78</v>
      </c>
      <c r="T1999">
        <v>1.25</v>
      </c>
      <c r="U1999">
        <v>78</v>
      </c>
      <c r="V1999">
        <v>-9.39</v>
      </c>
      <c r="W1999">
        <v>67</v>
      </c>
      <c r="X1999" t="s">
        <v>102</v>
      </c>
      <c r="Y1999" t="s">
        <v>342</v>
      </c>
      <c r="Z1999" t="s">
        <v>330</v>
      </c>
      <c r="AA1999" t="s">
        <v>5630</v>
      </c>
      <c r="AB1999" t="s">
        <v>15131</v>
      </c>
      <c r="AC1999">
        <v>116</v>
      </c>
      <c r="AD1999">
        <v>50</v>
      </c>
      <c r="AE1999">
        <v>96</v>
      </c>
      <c r="AF1999">
        <v>157.18</v>
      </c>
      <c r="AG1999">
        <v>12.8</v>
      </c>
      <c r="AH1999">
        <v>10.6</v>
      </c>
      <c r="AI1999">
        <v>0.11</v>
      </c>
      <c r="AJ1999">
        <v>0.09</v>
      </c>
      <c r="AK1999">
        <v>86</v>
      </c>
      <c r="AL1999">
        <v>97</v>
      </c>
      <c r="AM1999">
        <v>49</v>
      </c>
      <c r="AN1999">
        <v>2.9</v>
      </c>
      <c r="AO1999">
        <v>1</v>
      </c>
      <c r="AP1999">
        <v>484</v>
      </c>
      <c r="AQ1999">
        <v>3</v>
      </c>
      <c r="AR1999">
        <v>6.52</v>
      </c>
      <c r="AS1999">
        <v>79</v>
      </c>
      <c r="AT1999">
        <v>2.67</v>
      </c>
      <c r="AU1999">
        <v>95</v>
      </c>
      <c r="AV1999">
        <v>-3.17</v>
      </c>
      <c r="AW1999">
        <v>97</v>
      </c>
      <c r="AX1999">
        <v>-0.62</v>
      </c>
      <c r="AY1999">
        <v>88</v>
      </c>
      <c r="AZ1999">
        <v>8.1199999999999992</v>
      </c>
      <c r="BA1999">
        <v>62</v>
      </c>
      <c r="BB1999">
        <v>6.28</v>
      </c>
      <c r="BC1999">
        <v>48</v>
      </c>
      <c r="BD1999">
        <v>0.01</v>
      </c>
      <c r="BE1999">
        <v>0</v>
      </c>
      <c r="BF1999">
        <v>-0.06</v>
      </c>
      <c r="BG1999">
        <v>94</v>
      </c>
      <c r="BH1999">
        <v>-0.03</v>
      </c>
      <c r="BI1999">
        <v>26.81</v>
      </c>
      <c r="BJ1999">
        <v>15</v>
      </c>
      <c r="BK1999">
        <v>9</v>
      </c>
      <c r="BL1999">
        <v>0.33</v>
      </c>
      <c r="BM1999">
        <v>0.74</v>
      </c>
      <c r="BN1999">
        <v>0.71</v>
      </c>
      <c r="BO1999">
        <v>-0.12</v>
      </c>
      <c r="BP1999">
        <v>3.04</v>
      </c>
      <c r="BQ1999">
        <v>-0.03</v>
      </c>
      <c r="BR1999">
        <v>-0.56000000000000005</v>
      </c>
      <c r="BS1999">
        <v>-0.67</v>
      </c>
      <c r="BT1999">
        <v>-0.83</v>
      </c>
      <c r="BU1999">
        <v>-0.65</v>
      </c>
      <c r="BV1999">
        <v>1.0900000000000001</v>
      </c>
      <c r="BW1999">
        <v>0.65</v>
      </c>
      <c r="BX1999">
        <v>-0.31</v>
      </c>
      <c r="BY1999">
        <v>0.23</v>
      </c>
      <c r="BZ1999">
        <v>0.31</v>
      </c>
      <c r="CA1999">
        <v>-0.04</v>
      </c>
      <c r="CB1999">
        <v>0.13</v>
      </c>
      <c r="CC1999">
        <v>-0.42</v>
      </c>
      <c r="CD1999">
        <v>0.34</v>
      </c>
      <c r="CE1999">
        <v>0.74</v>
      </c>
      <c r="CF1999">
        <v>0.75</v>
      </c>
      <c r="CG1999">
        <v>0</v>
      </c>
      <c r="CH1999">
        <v>0.11</v>
      </c>
      <c r="CI1999">
        <v>0</v>
      </c>
      <c r="CJ1999">
        <v>3.4</v>
      </c>
      <c r="CK1999">
        <v>94</v>
      </c>
      <c r="CL1999">
        <v>-0.56999999999999995</v>
      </c>
      <c r="CM1999">
        <v>92</v>
      </c>
      <c r="CN1999">
        <v>-0.33</v>
      </c>
      <c r="CO1999">
        <v>91</v>
      </c>
      <c r="CP1999">
        <v>4.3</v>
      </c>
      <c r="CQ1999">
        <v>80</v>
      </c>
      <c r="CR1999">
        <v>0</v>
      </c>
      <c r="CS1999">
        <v>0</v>
      </c>
      <c r="CT1999">
        <v>12.1</v>
      </c>
      <c r="CU1999">
        <v>78</v>
      </c>
      <c r="CV1999">
        <v>0.17</v>
      </c>
      <c r="CW1999">
        <v>44</v>
      </c>
      <c r="CX1999" t="s">
        <v>1874</v>
      </c>
    </row>
    <row r="2000" spans="1:102" x14ac:dyDescent="0.3">
      <c r="A2000" t="str">
        <f>HYPERLINK("https://webapp.icbf.com/v2/app/bull-search/view/146158624","BXC")</f>
        <v>BXC</v>
      </c>
      <c r="B2000" t="s">
        <v>1033</v>
      </c>
      <c r="C2000" t="s">
        <v>1034</v>
      </c>
      <c r="D2000" s="1">
        <v>37677</v>
      </c>
      <c r="E2000" t="s">
        <v>92</v>
      </c>
      <c r="F2000">
        <v>56</v>
      </c>
      <c r="G2000" t="s">
        <v>93</v>
      </c>
      <c r="H2000">
        <v>71.040000000000006</v>
      </c>
      <c r="I2000">
        <v>85</v>
      </c>
      <c r="J2000">
        <v>4.04</v>
      </c>
      <c r="K2000">
        <v>96</v>
      </c>
      <c r="L2000">
        <v>52.66</v>
      </c>
      <c r="M2000">
        <v>76</v>
      </c>
      <c r="N2000">
        <v>-5.66</v>
      </c>
      <c r="O2000">
        <v>81</v>
      </c>
      <c r="P2000">
        <v>-7.58</v>
      </c>
      <c r="Q2000">
        <v>89</v>
      </c>
      <c r="R2000">
        <v>-7.02</v>
      </c>
      <c r="S2000">
        <v>79</v>
      </c>
      <c r="T2000">
        <v>25.81</v>
      </c>
      <c r="U2000">
        <v>80</v>
      </c>
      <c r="V2000">
        <v>8.7899999999999991</v>
      </c>
      <c r="W2000">
        <v>76</v>
      </c>
      <c r="X2000" t="s">
        <v>94</v>
      </c>
      <c r="Y2000" t="s">
        <v>95</v>
      </c>
      <c r="Z2000" t="s">
        <v>96</v>
      </c>
      <c r="AA2000" t="s">
        <v>1035</v>
      </c>
      <c r="AB2000" t="s">
        <v>1036</v>
      </c>
      <c r="AC2000">
        <v>55</v>
      </c>
      <c r="AD2000">
        <v>46</v>
      </c>
      <c r="AE2000">
        <v>96</v>
      </c>
      <c r="AF2000">
        <v>91.46</v>
      </c>
      <c r="AG2000">
        <v>0.7</v>
      </c>
      <c r="AH2000">
        <v>1.84</v>
      </c>
      <c r="AI2000">
        <v>-0.05</v>
      </c>
      <c r="AJ2000">
        <v>-0.02</v>
      </c>
      <c r="AK2000">
        <v>76</v>
      </c>
      <c r="AL2000">
        <v>54</v>
      </c>
      <c r="AM2000">
        <v>44</v>
      </c>
      <c r="AN2000">
        <v>-1.28</v>
      </c>
      <c r="AO2000">
        <v>2.94</v>
      </c>
      <c r="AP2000">
        <v>108</v>
      </c>
      <c r="AQ2000">
        <v>1</v>
      </c>
      <c r="AR2000">
        <v>10.18</v>
      </c>
      <c r="AS2000">
        <v>63</v>
      </c>
      <c r="AT2000">
        <v>3.89</v>
      </c>
      <c r="AU2000">
        <v>83</v>
      </c>
      <c r="AV2000">
        <v>-0.56000000000000005</v>
      </c>
      <c r="AW2000">
        <v>92</v>
      </c>
      <c r="AX2000">
        <v>-0.65</v>
      </c>
      <c r="AY2000">
        <v>75</v>
      </c>
      <c r="AZ2000">
        <v>5.42</v>
      </c>
      <c r="BA2000">
        <v>59</v>
      </c>
      <c r="BB2000">
        <v>4.6100000000000003</v>
      </c>
      <c r="BC2000">
        <v>63</v>
      </c>
      <c r="BD2000">
        <v>0.08</v>
      </c>
      <c r="BE2000">
        <v>0.02</v>
      </c>
      <c r="BF2000">
        <v>-0.01</v>
      </c>
      <c r="BG2000">
        <v>87</v>
      </c>
      <c r="BH2000">
        <v>0.33</v>
      </c>
      <c r="BI2000">
        <v>9.81</v>
      </c>
      <c r="BJ2000">
        <v>21</v>
      </c>
      <c r="BK2000">
        <v>16</v>
      </c>
      <c r="BL2000">
        <v>-1.89</v>
      </c>
      <c r="BM2000">
        <v>0.55000000000000004</v>
      </c>
      <c r="BN2000">
        <v>-1.39</v>
      </c>
      <c r="BO2000">
        <v>-1.51</v>
      </c>
      <c r="BP2000">
        <v>-0.99</v>
      </c>
      <c r="BQ2000">
        <v>-3.09</v>
      </c>
      <c r="BR2000">
        <v>1.62</v>
      </c>
      <c r="BS2000">
        <v>-1.81</v>
      </c>
      <c r="BT2000">
        <v>-2.08</v>
      </c>
      <c r="BU2000">
        <v>0.1</v>
      </c>
      <c r="BV2000">
        <v>-0.94</v>
      </c>
      <c r="BW2000">
        <v>-1.2</v>
      </c>
      <c r="BX2000">
        <v>-0.86</v>
      </c>
      <c r="BY2000">
        <v>-0.83</v>
      </c>
      <c r="BZ2000">
        <v>-0.47</v>
      </c>
      <c r="CA2000">
        <v>-1.67</v>
      </c>
      <c r="CB2000">
        <v>-0.64</v>
      </c>
      <c r="CC2000">
        <v>-3.09</v>
      </c>
      <c r="CD2000">
        <v>1.42</v>
      </c>
      <c r="CE2000">
        <v>-2.02</v>
      </c>
      <c r="CF2000">
        <v>-2.46</v>
      </c>
      <c r="CG2000">
        <v>0</v>
      </c>
      <c r="CH2000">
        <v>-0.67</v>
      </c>
      <c r="CI2000">
        <v>0</v>
      </c>
      <c r="CJ2000">
        <v>-2.2999999999999998</v>
      </c>
      <c r="CK2000">
        <v>90</v>
      </c>
      <c r="CL2000">
        <v>-0.36</v>
      </c>
      <c r="CM2000">
        <v>88</v>
      </c>
      <c r="CN2000">
        <v>-0.11</v>
      </c>
      <c r="CO2000">
        <v>87</v>
      </c>
      <c r="CP2000">
        <v>-13.2</v>
      </c>
      <c r="CQ2000">
        <v>86</v>
      </c>
      <c r="CR2000">
        <v>0</v>
      </c>
      <c r="CS2000">
        <v>0</v>
      </c>
      <c r="CT2000">
        <v>-21.1</v>
      </c>
      <c r="CU2000">
        <v>80</v>
      </c>
      <c r="CV2000">
        <v>0.05</v>
      </c>
      <c r="CW2000">
        <v>44</v>
      </c>
      <c r="CX2000" t="s">
        <v>1037</v>
      </c>
    </row>
    <row r="2001" spans="1:102" x14ac:dyDescent="0.3">
      <c r="A2001" t="str">
        <f>HYPERLINK("https://webapp.icbf.com/v2/app/bull-search/view/69092395","PLZ")</f>
        <v>PLZ</v>
      </c>
      <c r="B2001" t="s">
        <v>3524</v>
      </c>
      <c r="C2001" t="s">
        <v>3525</v>
      </c>
      <c r="D2001" s="1">
        <v>33174</v>
      </c>
      <c r="E2001" t="s">
        <v>146</v>
      </c>
      <c r="F2001">
        <v>13</v>
      </c>
      <c r="G2001" t="s">
        <v>109</v>
      </c>
      <c r="H2001">
        <v>70.92</v>
      </c>
      <c r="I2001">
        <v>54</v>
      </c>
      <c r="J2001">
        <v>-8.99</v>
      </c>
      <c r="K2001">
        <v>67</v>
      </c>
      <c r="L2001">
        <v>54.69</v>
      </c>
      <c r="M2001">
        <v>46</v>
      </c>
      <c r="N2001">
        <v>26.78</v>
      </c>
      <c r="O2001">
        <v>37</v>
      </c>
      <c r="P2001">
        <v>-1.33</v>
      </c>
      <c r="Q2001">
        <v>56</v>
      </c>
      <c r="R2001">
        <v>-2.65</v>
      </c>
      <c r="S2001">
        <v>55</v>
      </c>
      <c r="T2001">
        <v>8.5</v>
      </c>
      <c r="U2001">
        <v>59</v>
      </c>
      <c r="V2001">
        <v>-6.08</v>
      </c>
      <c r="W2001">
        <v>36</v>
      </c>
      <c r="X2001" t="s">
        <v>276</v>
      </c>
      <c r="Y2001" t="s">
        <v>95</v>
      </c>
      <c r="Z2001">
        <v>0</v>
      </c>
      <c r="AA2001" t="s">
        <v>546</v>
      </c>
      <c r="AB2001" t="s">
        <v>3526</v>
      </c>
      <c r="AC2001">
        <v>0</v>
      </c>
      <c r="AD2001">
        <v>0</v>
      </c>
      <c r="AE2001">
        <v>67</v>
      </c>
      <c r="AF2001">
        <v>-96.68</v>
      </c>
      <c r="AG2001">
        <v>-3.5</v>
      </c>
      <c r="AH2001">
        <v>-1.77</v>
      </c>
      <c r="AI2001">
        <v>0</v>
      </c>
      <c r="AJ2001">
        <v>0.03</v>
      </c>
      <c r="AK2001">
        <v>46</v>
      </c>
      <c r="AL2001">
        <v>0</v>
      </c>
      <c r="AM2001">
        <v>0</v>
      </c>
      <c r="AN2001">
        <v>-4.67</v>
      </c>
      <c r="AO2001">
        <v>-0.33</v>
      </c>
      <c r="AP2001">
        <v>9</v>
      </c>
      <c r="AQ2001">
        <v>0</v>
      </c>
      <c r="AR2001">
        <v>6.21</v>
      </c>
      <c r="AS2001">
        <v>10</v>
      </c>
      <c r="AT2001">
        <v>2.5099999999999998</v>
      </c>
      <c r="AU2001">
        <v>26</v>
      </c>
      <c r="AV2001">
        <v>-1.75</v>
      </c>
      <c r="AW2001">
        <v>62</v>
      </c>
      <c r="AX2001">
        <v>-1.03</v>
      </c>
      <c r="AY2001">
        <v>31</v>
      </c>
      <c r="AZ2001">
        <v>6.02</v>
      </c>
      <c r="BA2001">
        <v>7</v>
      </c>
      <c r="BB2001">
        <v>4.75</v>
      </c>
      <c r="BC2001">
        <v>10</v>
      </c>
      <c r="BD2001">
        <v>0</v>
      </c>
      <c r="BE2001">
        <v>-0.01</v>
      </c>
      <c r="BF2001">
        <v>0.08</v>
      </c>
      <c r="BG2001">
        <v>79</v>
      </c>
      <c r="BH2001">
        <v>-0.12</v>
      </c>
      <c r="BI2001">
        <v>5.72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-3</v>
      </c>
      <c r="CK2001">
        <v>59</v>
      </c>
      <c r="CL2001">
        <v>0.12</v>
      </c>
      <c r="CM2001">
        <v>53</v>
      </c>
      <c r="CN2001">
        <v>-0.18</v>
      </c>
      <c r="CO2001">
        <v>46</v>
      </c>
      <c r="CP2001">
        <v>-3.6</v>
      </c>
      <c r="CQ2001">
        <v>62</v>
      </c>
      <c r="CR2001">
        <v>0</v>
      </c>
      <c r="CS2001">
        <v>0</v>
      </c>
      <c r="CT2001">
        <v>2.2999999999999998</v>
      </c>
      <c r="CU2001">
        <v>59</v>
      </c>
      <c r="CV2001">
        <v>-0.2</v>
      </c>
      <c r="CW2001">
        <v>14</v>
      </c>
      <c r="CX2001" t="s">
        <v>3527</v>
      </c>
    </row>
    <row r="2002" spans="1:102" x14ac:dyDescent="0.3">
      <c r="A2002" t="str">
        <f>HYPERLINK("https://webapp.icbf.com/v2/app/bull-search/view/1193949417","S3069")</f>
        <v>S3069</v>
      </c>
      <c r="B2002" t="s">
        <v>7658</v>
      </c>
      <c r="C2002" t="s">
        <v>7659</v>
      </c>
      <c r="D2002" s="1">
        <v>41046</v>
      </c>
      <c r="E2002" t="s">
        <v>92</v>
      </c>
      <c r="F2002">
        <v>100</v>
      </c>
      <c r="G2002" t="s">
        <v>109</v>
      </c>
      <c r="H2002">
        <v>70.91</v>
      </c>
      <c r="I2002">
        <v>76</v>
      </c>
      <c r="J2002">
        <v>38.909999999999997</v>
      </c>
      <c r="K2002">
        <v>93</v>
      </c>
      <c r="L2002">
        <v>1.35</v>
      </c>
      <c r="M2002">
        <v>82</v>
      </c>
      <c r="N2002">
        <v>17.21</v>
      </c>
      <c r="O2002">
        <v>62</v>
      </c>
      <c r="P2002">
        <v>-5.55</v>
      </c>
      <c r="Q2002">
        <v>45</v>
      </c>
      <c r="R2002">
        <v>14.58</v>
      </c>
      <c r="S2002">
        <v>74</v>
      </c>
      <c r="T2002">
        <v>-2.97</v>
      </c>
      <c r="U2002">
        <v>42</v>
      </c>
      <c r="V2002">
        <v>7.38</v>
      </c>
      <c r="W2002">
        <v>58</v>
      </c>
      <c r="X2002" t="s">
        <v>110</v>
      </c>
      <c r="Y2002" t="s">
        <v>411</v>
      </c>
      <c r="Z2002" t="s">
        <v>96</v>
      </c>
      <c r="AA2002" t="s">
        <v>401</v>
      </c>
      <c r="AB2002" t="s">
        <v>7660</v>
      </c>
      <c r="AC2002">
        <v>0</v>
      </c>
      <c r="AD2002">
        <v>0</v>
      </c>
      <c r="AE2002">
        <v>93</v>
      </c>
      <c r="AF2002">
        <v>308.33</v>
      </c>
      <c r="AG2002">
        <v>8.67</v>
      </c>
      <c r="AH2002">
        <v>8.27</v>
      </c>
      <c r="AI2002">
        <v>-0.06</v>
      </c>
      <c r="AJ2002">
        <v>-0.04</v>
      </c>
      <c r="AK2002">
        <v>82</v>
      </c>
      <c r="AL2002">
        <v>0</v>
      </c>
      <c r="AM2002">
        <v>0</v>
      </c>
      <c r="AN2002">
        <v>0.87</v>
      </c>
      <c r="AO2002">
        <v>0.99</v>
      </c>
      <c r="AP2002">
        <v>4</v>
      </c>
      <c r="AQ2002">
        <v>1</v>
      </c>
      <c r="AR2002">
        <v>8.02</v>
      </c>
      <c r="AS2002">
        <v>59</v>
      </c>
      <c r="AT2002">
        <v>3.82</v>
      </c>
      <c r="AU2002">
        <v>87</v>
      </c>
      <c r="AV2002">
        <v>-2.4900000000000002</v>
      </c>
      <c r="AW2002">
        <v>58</v>
      </c>
      <c r="AX2002">
        <v>-0.05</v>
      </c>
      <c r="AY2002">
        <v>47</v>
      </c>
      <c r="AZ2002">
        <v>4.9800000000000004</v>
      </c>
      <c r="BA2002">
        <v>44</v>
      </c>
      <c r="BB2002">
        <v>4.3600000000000003</v>
      </c>
      <c r="BC2002">
        <v>42</v>
      </c>
      <c r="BD2002">
        <v>-0.02</v>
      </c>
      <c r="BE2002">
        <v>-0.08</v>
      </c>
      <c r="BF2002">
        <v>-0.15</v>
      </c>
      <c r="BG2002">
        <v>91</v>
      </c>
      <c r="BH2002">
        <v>0.03</v>
      </c>
      <c r="BI2002">
        <v>-20.329999999999998</v>
      </c>
      <c r="BJ2002">
        <v>0</v>
      </c>
      <c r="BK2002">
        <v>0</v>
      </c>
      <c r="BL2002">
        <v>2.04</v>
      </c>
      <c r="BM2002">
        <v>-1.02</v>
      </c>
      <c r="BN2002">
        <v>-0.73</v>
      </c>
      <c r="BO2002">
        <v>0.72</v>
      </c>
      <c r="BP2002">
        <v>2.0699999999999998</v>
      </c>
      <c r="BQ2002">
        <v>1.68</v>
      </c>
      <c r="BR2002">
        <v>0.24</v>
      </c>
      <c r="BS2002">
        <v>0.4</v>
      </c>
      <c r="BT2002">
        <v>0.97</v>
      </c>
      <c r="BU2002">
        <v>3.29</v>
      </c>
      <c r="BV2002">
        <v>2.75</v>
      </c>
      <c r="BW2002">
        <v>3.78</v>
      </c>
      <c r="BX2002">
        <v>3.51</v>
      </c>
      <c r="BY2002">
        <v>3.37</v>
      </c>
      <c r="BZ2002">
        <v>-3.07</v>
      </c>
      <c r="CA2002">
        <v>2.5</v>
      </c>
      <c r="CB2002">
        <v>2.75</v>
      </c>
      <c r="CC2002">
        <v>0.16</v>
      </c>
      <c r="CD2002">
        <v>-0.28999999999999998</v>
      </c>
      <c r="CE2002">
        <v>0.83</v>
      </c>
      <c r="CF2002">
        <v>0.92</v>
      </c>
      <c r="CG2002">
        <v>0</v>
      </c>
      <c r="CH2002">
        <v>4.01</v>
      </c>
      <c r="CI2002">
        <v>0</v>
      </c>
      <c r="CJ2002">
        <v>0.3</v>
      </c>
      <c r="CK2002">
        <v>45</v>
      </c>
      <c r="CL2002">
        <v>-1.47</v>
      </c>
      <c r="CM2002">
        <v>45</v>
      </c>
      <c r="CN2002">
        <v>-0.74</v>
      </c>
      <c r="CO2002">
        <v>45</v>
      </c>
      <c r="CP2002">
        <v>3.6</v>
      </c>
      <c r="CQ2002">
        <v>43</v>
      </c>
      <c r="CR2002">
        <v>0</v>
      </c>
      <c r="CS2002">
        <v>0</v>
      </c>
      <c r="CT2002">
        <v>17.8</v>
      </c>
      <c r="CU2002">
        <v>42</v>
      </c>
      <c r="CV2002">
        <v>0.2</v>
      </c>
      <c r="CW2002">
        <v>35</v>
      </c>
      <c r="CX2002" t="s">
        <v>5937</v>
      </c>
    </row>
    <row r="2003" spans="1:102" x14ac:dyDescent="0.3">
      <c r="A2003" t="str">
        <f>HYPERLINK("https://webapp.icbf.com/v2/app/bull-search/view/753532304","DWG")</f>
        <v>DWG</v>
      </c>
      <c r="B2003" t="s">
        <v>5449</v>
      </c>
      <c r="C2003" t="s">
        <v>5450</v>
      </c>
      <c r="D2003" s="1">
        <v>40247</v>
      </c>
      <c r="E2003" t="s">
        <v>92</v>
      </c>
      <c r="F2003">
        <v>78</v>
      </c>
      <c r="G2003" t="s">
        <v>435</v>
      </c>
      <c r="H2003">
        <v>70.83</v>
      </c>
      <c r="I2003">
        <v>72</v>
      </c>
      <c r="J2003">
        <v>-19.72</v>
      </c>
      <c r="K2003">
        <v>88</v>
      </c>
      <c r="L2003">
        <v>63.69</v>
      </c>
      <c r="M2003">
        <v>68</v>
      </c>
      <c r="N2003">
        <v>16.399999999999999</v>
      </c>
      <c r="O2003">
        <v>59</v>
      </c>
      <c r="P2003">
        <v>-27.73</v>
      </c>
      <c r="Q2003">
        <v>63</v>
      </c>
      <c r="R2003">
        <v>11.44</v>
      </c>
      <c r="S2003">
        <v>68</v>
      </c>
      <c r="T2003">
        <v>27.81</v>
      </c>
      <c r="U2003">
        <v>51</v>
      </c>
      <c r="V2003">
        <v>-1.06</v>
      </c>
      <c r="W2003">
        <v>64</v>
      </c>
      <c r="X2003" t="s">
        <v>94</v>
      </c>
      <c r="Y2003" t="s">
        <v>1685</v>
      </c>
      <c r="Z2003" t="s">
        <v>96</v>
      </c>
      <c r="AA2003" t="s">
        <v>277</v>
      </c>
      <c r="AB2003" t="s">
        <v>5451</v>
      </c>
      <c r="AC2003">
        <v>0</v>
      </c>
      <c r="AD2003">
        <v>0</v>
      </c>
      <c r="AE2003">
        <v>88</v>
      </c>
      <c r="AF2003">
        <v>-120.78</v>
      </c>
      <c r="AG2003">
        <v>-1.1100000000000001</v>
      </c>
      <c r="AH2003">
        <v>-4.8099999999999996</v>
      </c>
      <c r="AI2003">
        <v>0.06</v>
      </c>
      <c r="AJ2003">
        <v>-0.01</v>
      </c>
      <c r="AK2003">
        <v>68</v>
      </c>
      <c r="AL2003">
        <v>0</v>
      </c>
      <c r="AM2003">
        <v>0</v>
      </c>
      <c r="AN2003">
        <v>-2.64</v>
      </c>
      <c r="AO2003">
        <v>2.4500000000000002</v>
      </c>
      <c r="AP2003">
        <v>9</v>
      </c>
      <c r="AQ2003">
        <v>0</v>
      </c>
      <c r="AR2003">
        <v>7.6</v>
      </c>
      <c r="AS2003">
        <v>59</v>
      </c>
      <c r="AT2003">
        <v>2.93</v>
      </c>
      <c r="AU2003">
        <v>66</v>
      </c>
      <c r="AV2003">
        <v>-0.96</v>
      </c>
      <c r="AW2003">
        <v>61</v>
      </c>
      <c r="AX2003">
        <v>-0.54</v>
      </c>
      <c r="AY2003">
        <v>52</v>
      </c>
      <c r="AZ2003">
        <v>5.13</v>
      </c>
      <c r="BA2003">
        <v>47</v>
      </c>
      <c r="BB2003">
        <v>4.17</v>
      </c>
      <c r="BC2003">
        <v>48</v>
      </c>
      <c r="BD2003">
        <v>0</v>
      </c>
      <c r="BE2003">
        <v>-7.0000000000000007E-2</v>
      </c>
      <c r="BF2003">
        <v>-0.13</v>
      </c>
      <c r="BG2003">
        <v>75</v>
      </c>
      <c r="BH2003">
        <v>-0.05</v>
      </c>
      <c r="BI2003">
        <v>-2.35</v>
      </c>
      <c r="BJ2003">
        <v>0</v>
      </c>
      <c r="BK2003">
        <v>0</v>
      </c>
      <c r="BL2003">
        <v>-1.38</v>
      </c>
      <c r="BM2003">
        <v>0.22</v>
      </c>
      <c r="BN2003">
        <v>-1.64</v>
      </c>
      <c r="BO2003">
        <v>-1.77</v>
      </c>
      <c r="BP2003">
        <v>-0.26</v>
      </c>
      <c r="BQ2003">
        <v>-1.03</v>
      </c>
      <c r="BR2003">
        <v>-1.37</v>
      </c>
      <c r="BS2003">
        <v>1.84</v>
      </c>
      <c r="BT2003">
        <v>1.21</v>
      </c>
      <c r="BU2003">
        <v>0.74</v>
      </c>
      <c r="BV2003">
        <v>-0.19</v>
      </c>
      <c r="BW2003">
        <v>-0.88</v>
      </c>
      <c r="BX2003">
        <v>0.67</v>
      </c>
      <c r="BY2003">
        <v>-1.3</v>
      </c>
      <c r="BZ2003">
        <v>-1.33</v>
      </c>
      <c r="CA2003">
        <v>0.48</v>
      </c>
      <c r="CB2003">
        <v>0.13</v>
      </c>
      <c r="CC2003">
        <v>1.05</v>
      </c>
      <c r="CD2003">
        <v>1.58</v>
      </c>
      <c r="CE2003">
        <v>-1.0900000000000001</v>
      </c>
      <c r="CF2003">
        <v>-1.23</v>
      </c>
      <c r="CG2003">
        <v>0</v>
      </c>
      <c r="CH2003">
        <v>-0.23</v>
      </c>
      <c r="CI2003">
        <v>0</v>
      </c>
      <c r="CJ2003">
        <v>-15.8</v>
      </c>
      <c r="CK2003">
        <v>65</v>
      </c>
      <c r="CL2003">
        <v>-0.56999999999999995</v>
      </c>
      <c r="CM2003">
        <v>62</v>
      </c>
      <c r="CN2003">
        <v>-0.25</v>
      </c>
      <c r="CO2003">
        <v>61</v>
      </c>
      <c r="CP2003">
        <v>-19.8</v>
      </c>
      <c r="CQ2003">
        <v>53</v>
      </c>
      <c r="CR2003">
        <v>0</v>
      </c>
      <c r="CS2003">
        <v>0</v>
      </c>
      <c r="CT2003">
        <v>-23.8</v>
      </c>
      <c r="CU2003">
        <v>51</v>
      </c>
      <c r="CV2003">
        <v>-0.21</v>
      </c>
      <c r="CW2003">
        <v>39</v>
      </c>
      <c r="CX2003" t="s">
        <v>3368</v>
      </c>
    </row>
    <row r="2004" spans="1:102" x14ac:dyDescent="0.3">
      <c r="A2004" t="str">
        <f>HYPERLINK("https://webapp.icbf.com/v2/app/bull-search/view/853470377","YLS")</f>
        <v>YLS</v>
      </c>
      <c r="B2004" t="s">
        <v>6789</v>
      </c>
      <c r="C2004" t="s">
        <v>6790</v>
      </c>
      <c r="D2004" s="1">
        <v>40537</v>
      </c>
      <c r="E2004" t="s">
        <v>108</v>
      </c>
      <c r="F2004">
        <v>6</v>
      </c>
      <c r="G2004" t="s">
        <v>93</v>
      </c>
      <c r="H2004">
        <v>70.790000000000006</v>
      </c>
      <c r="I2004">
        <v>84</v>
      </c>
      <c r="J2004">
        <v>-0.77</v>
      </c>
      <c r="K2004">
        <v>97</v>
      </c>
      <c r="L2004">
        <v>46.14</v>
      </c>
      <c r="M2004">
        <v>74</v>
      </c>
      <c r="N2004">
        <v>33.14</v>
      </c>
      <c r="O2004">
        <v>85</v>
      </c>
      <c r="P2004">
        <v>-17.649999999999999</v>
      </c>
      <c r="Q2004">
        <v>91</v>
      </c>
      <c r="R2004">
        <v>-5.8</v>
      </c>
      <c r="S2004">
        <v>78</v>
      </c>
      <c r="T2004">
        <v>17.23</v>
      </c>
      <c r="U2004">
        <v>72</v>
      </c>
      <c r="V2004">
        <v>-1.5</v>
      </c>
      <c r="W2004">
        <v>74</v>
      </c>
      <c r="X2004" t="s">
        <v>94</v>
      </c>
      <c r="Y2004" t="s">
        <v>1923</v>
      </c>
      <c r="Z2004" t="s">
        <v>96</v>
      </c>
      <c r="AA2004" t="s">
        <v>6791</v>
      </c>
      <c r="AB2004" t="s">
        <v>6792</v>
      </c>
      <c r="AC2004">
        <v>89</v>
      </c>
      <c r="AD2004">
        <v>46</v>
      </c>
      <c r="AE2004">
        <v>97</v>
      </c>
      <c r="AF2004">
        <v>-176.03</v>
      </c>
      <c r="AG2004">
        <v>1.4</v>
      </c>
      <c r="AH2004">
        <v>-3.32</v>
      </c>
      <c r="AI2004">
        <v>0.15</v>
      </c>
      <c r="AJ2004">
        <v>0.05</v>
      </c>
      <c r="AK2004">
        <v>74</v>
      </c>
      <c r="AL2004">
        <v>90</v>
      </c>
      <c r="AM2004">
        <v>50</v>
      </c>
      <c r="AN2004">
        <v>-2.5099999999999998</v>
      </c>
      <c r="AO2004">
        <v>1.17</v>
      </c>
      <c r="AP2004">
        <v>198</v>
      </c>
      <c r="AQ2004">
        <v>0</v>
      </c>
      <c r="AR2004">
        <v>6.8</v>
      </c>
      <c r="AS2004">
        <v>70</v>
      </c>
      <c r="AT2004">
        <v>2.64</v>
      </c>
      <c r="AU2004">
        <v>87</v>
      </c>
      <c r="AV2004">
        <v>-3.23</v>
      </c>
      <c r="AW2004">
        <v>96</v>
      </c>
      <c r="AX2004">
        <v>0.01</v>
      </c>
      <c r="AY2004">
        <v>80</v>
      </c>
      <c r="AZ2004">
        <v>6.65</v>
      </c>
      <c r="BA2004">
        <v>65</v>
      </c>
      <c r="BB2004">
        <v>4.62</v>
      </c>
      <c r="BC2004">
        <v>64</v>
      </c>
      <c r="BD2004">
        <v>0.02</v>
      </c>
      <c r="BE2004">
        <v>0</v>
      </c>
      <c r="BF2004">
        <v>0.1</v>
      </c>
      <c r="BG2004">
        <v>87</v>
      </c>
      <c r="BH2004">
        <v>-0.14000000000000001</v>
      </c>
      <c r="BI2004">
        <v>-11.35</v>
      </c>
      <c r="BJ2004">
        <v>24</v>
      </c>
      <c r="BK2004">
        <v>8</v>
      </c>
      <c r="BL2004">
        <v>-2.98</v>
      </c>
      <c r="BM2004">
        <v>2.64</v>
      </c>
      <c r="BN2004">
        <v>0.32</v>
      </c>
      <c r="BO2004">
        <v>-1.74</v>
      </c>
      <c r="BP2004">
        <v>-1.24</v>
      </c>
      <c r="BQ2004">
        <v>-0.42</v>
      </c>
      <c r="BR2004">
        <v>-0.84</v>
      </c>
      <c r="BS2004">
        <v>2.63</v>
      </c>
      <c r="BT2004">
        <v>0.51</v>
      </c>
      <c r="BU2004">
        <v>-1.79</v>
      </c>
      <c r="BV2004">
        <v>-3.22</v>
      </c>
      <c r="BW2004">
        <v>-3.2</v>
      </c>
      <c r="BX2004">
        <v>-1.77</v>
      </c>
      <c r="BY2004">
        <v>-3.32</v>
      </c>
      <c r="BZ2004">
        <v>2.21</v>
      </c>
      <c r="CA2004">
        <v>-1.57</v>
      </c>
      <c r="CB2004">
        <v>-2.6</v>
      </c>
      <c r="CC2004">
        <v>0.77</v>
      </c>
      <c r="CD2004">
        <v>2.4700000000000002</v>
      </c>
      <c r="CE2004">
        <v>-1.94</v>
      </c>
      <c r="CF2004">
        <v>-0.81</v>
      </c>
      <c r="CG2004">
        <v>0</v>
      </c>
      <c r="CH2004">
        <v>-1.1299999999999999</v>
      </c>
      <c r="CI2004">
        <v>0</v>
      </c>
      <c r="CJ2004">
        <v>-10.4</v>
      </c>
      <c r="CK2004">
        <v>93</v>
      </c>
      <c r="CL2004">
        <v>0.01</v>
      </c>
      <c r="CM2004">
        <v>91</v>
      </c>
      <c r="CN2004">
        <v>0.16</v>
      </c>
      <c r="CO2004">
        <v>90</v>
      </c>
      <c r="CP2004">
        <v>-10.199999999999999</v>
      </c>
      <c r="CQ2004">
        <v>77</v>
      </c>
      <c r="CR2004">
        <v>0</v>
      </c>
      <c r="CS2004">
        <v>0</v>
      </c>
      <c r="CT2004">
        <v>-9.5</v>
      </c>
      <c r="CU2004">
        <v>72</v>
      </c>
      <c r="CV2004">
        <v>-0.18</v>
      </c>
      <c r="CW2004">
        <v>44</v>
      </c>
      <c r="CX2004" t="s">
        <v>6793</v>
      </c>
    </row>
    <row r="2005" spans="1:102" x14ac:dyDescent="0.3">
      <c r="A2005" t="str">
        <f>HYPERLINK("https://webapp.icbf.com/v2/app/bull-search/view/1584705021","FR4400")</f>
        <v>FR4400</v>
      </c>
      <c r="B2005" t="s">
        <v>13976</v>
      </c>
      <c r="C2005" t="s">
        <v>13977</v>
      </c>
      <c r="D2005" s="1">
        <v>42381</v>
      </c>
      <c r="E2005" t="s">
        <v>92</v>
      </c>
      <c r="F2005">
        <v>100</v>
      </c>
      <c r="G2005" t="s">
        <v>435</v>
      </c>
      <c r="H2005">
        <v>70.77</v>
      </c>
      <c r="I2005">
        <v>59</v>
      </c>
      <c r="J2005">
        <v>-33.29</v>
      </c>
      <c r="K2005">
        <v>77</v>
      </c>
      <c r="L2005">
        <v>77.540000000000006</v>
      </c>
      <c r="M2005">
        <v>52</v>
      </c>
      <c r="N2005">
        <v>22.14</v>
      </c>
      <c r="O2005">
        <v>69</v>
      </c>
      <c r="P2005">
        <v>-11.62</v>
      </c>
      <c r="Q2005">
        <v>35</v>
      </c>
      <c r="R2005">
        <v>-5.46</v>
      </c>
      <c r="S2005">
        <v>51</v>
      </c>
      <c r="T2005">
        <v>19.010000000000002</v>
      </c>
      <c r="U2005">
        <v>35</v>
      </c>
      <c r="V2005">
        <v>2.4500000000000002</v>
      </c>
      <c r="W2005">
        <v>46</v>
      </c>
      <c r="X2005" t="s">
        <v>102</v>
      </c>
      <c r="Y2005" t="s">
        <v>2261</v>
      </c>
      <c r="Z2005" t="s">
        <v>96</v>
      </c>
      <c r="AA2005" t="s">
        <v>13978</v>
      </c>
      <c r="AB2005" t="s">
        <v>13979</v>
      </c>
      <c r="AC2005">
        <v>0</v>
      </c>
      <c r="AD2005">
        <v>0</v>
      </c>
      <c r="AE2005">
        <v>77</v>
      </c>
      <c r="AF2005">
        <v>-224.85</v>
      </c>
      <c r="AG2005">
        <v>-3.6</v>
      </c>
      <c r="AH2005">
        <v>-7.83</v>
      </c>
      <c r="AI2005">
        <v>0.09</v>
      </c>
      <c r="AJ2005">
        <v>0</v>
      </c>
      <c r="AK2005">
        <v>52</v>
      </c>
      <c r="AL2005">
        <v>0</v>
      </c>
      <c r="AM2005">
        <v>0</v>
      </c>
      <c r="AN2005">
        <v>-5.27</v>
      </c>
      <c r="AO2005">
        <v>0.9</v>
      </c>
      <c r="AP2005">
        <v>70</v>
      </c>
      <c r="AQ2005">
        <v>0</v>
      </c>
      <c r="AR2005">
        <v>6.56</v>
      </c>
      <c r="AS2005">
        <v>58</v>
      </c>
      <c r="AT2005">
        <v>2.86</v>
      </c>
      <c r="AU2005">
        <v>86</v>
      </c>
      <c r="AV2005">
        <v>-2.99</v>
      </c>
      <c r="AW2005">
        <v>81</v>
      </c>
      <c r="AX2005">
        <v>1.23</v>
      </c>
      <c r="AY2005">
        <v>55</v>
      </c>
      <c r="AZ2005">
        <v>6.88</v>
      </c>
      <c r="BA2005">
        <v>28</v>
      </c>
      <c r="BB2005">
        <v>5.5</v>
      </c>
      <c r="BC2005">
        <v>28</v>
      </c>
      <c r="BD2005">
        <v>7.0000000000000007E-2</v>
      </c>
      <c r="BE2005">
        <v>0.01</v>
      </c>
      <c r="BF2005">
        <v>-0.01</v>
      </c>
      <c r="BG2005">
        <v>60</v>
      </c>
      <c r="BH2005">
        <v>0.02</v>
      </c>
      <c r="BI2005">
        <v>-5.6</v>
      </c>
      <c r="BJ2005">
        <v>0</v>
      </c>
      <c r="BK2005">
        <v>0</v>
      </c>
      <c r="BL2005">
        <v>-1.79</v>
      </c>
      <c r="BM2005">
        <v>1.95</v>
      </c>
      <c r="BN2005">
        <v>-1.68</v>
      </c>
      <c r="BO2005">
        <v>-2.2799999999999998</v>
      </c>
      <c r="BP2005">
        <v>-0.66</v>
      </c>
      <c r="BQ2005">
        <v>2.11</v>
      </c>
      <c r="BR2005">
        <v>-1.9</v>
      </c>
      <c r="BS2005">
        <v>-0.52</v>
      </c>
      <c r="BT2005">
        <v>0.46</v>
      </c>
      <c r="BU2005">
        <v>-1.57</v>
      </c>
      <c r="BV2005">
        <v>-2</v>
      </c>
      <c r="BW2005">
        <v>-1.63</v>
      </c>
      <c r="BX2005">
        <v>-0.52</v>
      </c>
      <c r="BY2005">
        <v>-1.32</v>
      </c>
      <c r="BZ2005">
        <v>0.11</v>
      </c>
      <c r="CA2005">
        <v>-1.7</v>
      </c>
      <c r="CB2005">
        <v>-1.9</v>
      </c>
      <c r="CC2005">
        <v>-1.04</v>
      </c>
      <c r="CD2005">
        <v>1.94</v>
      </c>
      <c r="CE2005">
        <v>-1.93</v>
      </c>
      <c r="CF2005">
        <v>-0.99</v>
      </c>
      <c r="CG2005">
        <v>0</v>
      </c>
      <c r="CH2005">
        <v>-1.31</v>
      </c>
      <c r="CI2005">
        <v>0</v>
      </c>
      <c r="CJ2005">
        <v>-8.1999999999999993</v>
      </c>
      <c r="CK2005">
        <v>35</v>
      </c>
      <c r="CL2005">
        <v>-0.25</v>
      </c>
      <c r="CM2005">
        <v>35</v>
      </c>
      <c r="CN2005">
        <v>-0.34</v>
      </c>
      <c r="CO2005">
        <v>35</v>
      </c>
      <c r="CP2005">
        <v>-11.4</v>
      </c>
      <c r="CQ2005">
        <v>35</v>
      </c>
      <c r="CR2005">
        <v>0</v>
      </c>
      <c r="CS2005">
        <v>0</v>
      </c>
      <c r="CT2005">
        <v>-11.9</v>
      </c>
      <c r="CU2005">
        <v>35</v>
      </c>
      <c r="CV2005">
        <v>-0.09</v>
      </c>
      <c r="CW2005">
        <v>32</v>
      </c>
      <c r="CX2005" t="s">
        <v>13980</v>
      </c>
    </row>
    <row r="2006" spans="1:102" x14ac:dyDescent="0.3">
      <c r="A2006" t="str">
        <f>HYPERLINK("https://webapp.icbf.com/v2/app/bull-search/view/1139996644","S2069")</f>
        <v>S2069</v>
      </c>
      <c r="B2006" t="s">
        <v>10210</v>
      </c>
      <c r="C2006" t="s">
        <v>10211</v>
      </c>
      <c r="D2006" s="1">
        <v>41157</v>
      </c>
      <c r="E2006" t="s">
        <v>92</v>
      </c>
      <c r="F2006">
        <v>100</v>
      </c>
      <c r="G2006" t="s">
        <v>109</v>
      </c>
      <c r="H2006">
        <v>70.63</v>
      </c>
      <c r="I2006">
        <v>76</v>
      </c>
      <c r="J2006">
        <v>86.39</v>
      </c>
      <c r="K2006">
        <v>92</v>
      </c>
      <c r="L2006">
        <v>-25.92</v>
      </c>
      <c r="M2006">
        <v>80</v>
      </c>
      <c r="N2006">
        <v>20.51</v>
      </c>
      <c r="O2006">
        <v>64</v>
      </c>
      <c r="P2006">
        <v>-9.5299999999999994</v>
      </c>
      <c r="Q2006">
        <v>53</v>
      </c>
      <c r="R2006">
        <v>5.71</v>
      </c>
      <c r="S2006">
        <v>72</v>
      </c>
      <c r="T2006">
        <v>-12.07</v>
      </c>
      <c r="U2006">
        <v>43</v>
      </c>
      <c r="V2006">
        <v>5.54</v>
      </c>
      <c r="W2006">
        <v>59</v>
      </c>
      <c r="X2006" t="s">
        <v>94</v>
      </c>
      <c r="Y2006" t="s">
        <v>367</v>
      </c>
      <c r="Z2006" t="s">
        <v>96</v>
      </c>
      <c r="AA2006" t="s">
        <v>10212</v>
      </c>
      <c r="AB2006" t="s">
        <v>10213</v>
      </c>
      <c r="AC2006">
        <v>0</v>
      </c>
      <c r="AD2006">
        <v>0</v>
      </c>
      <c r="AE2006">
        <v>92</v>
      </c>
      <c r="AF2006">
        <v>558.79999999999995</v>
      </c>
      <c r="AG2006">
        <v>17.91</v>
      </c>
      <c r="AH2006">
        <v>16.91</v>
      </c>
      <c r="AI2006">
        <v>-0.06</v>
      </c>
      <c r="AJ2006">
        <v>-0.03</v>
      </c>
      <c r="AK2006">
        <v>80</v>
      </c>
      <c r="AL2006">
        <v>0</v>
      </c>
      <c r="AM2006">
        <v>0</v>
      </c>
      <c r="AN2006">
        <v>1.94</v>
      </c>
      <c r="AO2006">
        <v>-0.12</v>
      </c>
      <c r="AP2006">
        <v>20</v>
      </c>
      <c r="AQ2006">
        <v>0</v>
      </c>
      <c r="AR2006">
        <v>8.77</v>
      </c>
      <c r="AS2006">
        <v>58</v>
      </c>
      <c r="AT2006">
        <v>3.65</v>
      </c>
      <c r="AU2006">
        <v>88</v>
      </c>
      <c r="AV2006">
        <v>-4.1399999999999997</v>
      </c>
      <c r="AW2006">
        <v>65</v>
      </c>
      <c r="AX2006">
        <v>0.38</v>
      </c>
      <c r="AY2006">
        <v>46</v>
      </c>
      <c r="AZ2006">
        <v>7.1</v>
      </c>
      <c r="BA2006">
        <v>44</v>
      </c>
      <c r="BB2006">
        <v>5.41</v>
      </c>
      <c r="BC2006">
        <v>40</v>
      </c>
      <c r="BD2006">
        <v>0.04</v>
      </c>
      <c r="BE2006">
        <v>-0.02</v>
      </c>
      <c r="BF2006">
        <v>-0.16</v>
      </c>
      <c r="BG2006">
        <v>87</v>
      </c>
      <c r="BH2006">
        <v>0.14000000000000001</v>
      </c>
      <c r="BI2006">
        <v>-1.66</v>
      </c>
      <c r="BJ2006">
        <v>11</v>
      </c>
      <c r="BK2006">
        <v>3</v>
      </c>
      <c r="BL2006">
        <v>2.02</v>
      </c>
      <c r="BM2006">
        <v>-0.61</v>
      </c>
      <c r="BN2006">
        <v>1.37</v>
      </c>
      <c r="BO2006">
        <v>1.59</v>
      </c>
      <c r="BP2006">
        <v>0.64</v>
      </c>
      <c r="BQ2006">
        <v>2.5</v>
      </c>
      <c r="BR2006">
        <v>3.5</v>
      </c>
      <c r="BS2006">
        <v>1.37</v>
      </c>
      <c r="BT2006">
        <v>-1.35</v>
      </c>
      <c r="BU2006">
        <v>2.68</v>
      </c>
      <c r="BV2006">
        <v>3.33</v>
      </c>
      <c r="BW2006">
        <v>2.13</v>
      </c>
      <c r="BX2006">
        <v>2.67</v>
      </c>
      <c r="BY2006">
        <v>1.6</v>
      </c>
      <c r="BZ2006">
        <v>-1.95</v>
      </c>
      <c r="CA2006">
        <v>2.1</v>
      </c>
      <c r="CB2006">
        <v>2.54</v>
      </c>
      <c r="CC2006">
        <v>0.56000000000000005</v>
      </c>
      <c r="CD2006">
        <v>-0.64</v>
      </c>
      <c r="CE2006">
        <v>1.76</v>
      </c>
      <c r="CF2006">
        <v>1.93</v>
      </c>
      <c r="CG2006">
        <v>0</v>
      </c>
      <c r="CH2006">
        <v>1.56</v>
      </c>
      <c r="CI2006">
        <v>0</v>
      </c>
      <c r="CJ2006">
        <v>0.7</v>
      </c>
      <c r="CK2006">
        <v>57</v>
      </c>
      <c r="CL2006">
        <v>-1.88</v>
      </c>
      <c r="CM2006">
        <v>48</v>
      </c>
      <c r="CN2006">
        <v>-0.7</v>
      </c>
      <c r="CO2006">
        <v>47</v>
      </c>
      <c r="CP2006">
        <v>4.7</v>
      </c>
      <c r="CQ2006">
        <v>47</v>
      </c>
      <c r="CR2006">
        <v>0</v>
      </c>
      <c r="CS2006">
        <v>0</v>
      </c>
      <c r="CT2006">
        <v>30.1</v>
      </c>
      <c r="CU2006">
        <v>43</v>
      </c>
      <c r="CV2006">
        <v>0.3</v>
      </c>
      <c r="CW2006">
        <v>37</v>
      </c>
      <c r="CX2006" t="s">
        <v>1962</v>
      </c>
    </row>
    <row r="2007" spans="1:102" x14ac:dyDescent="0.3">
      <c r="A2007" t="str">
        <f>HYPERLINK("https://webapp.icbf.com/v2/app/bull-search/view/760392999","S1618")</f>
        <v>S1618</v>
      </c>
      <c r="B2007" t="s">
        <v>2489</v>
      </c>
      <c r="C2007" t="s">
        <v>2490</v>
      </c>
      <c r="D2007" s="1">
        <v>39762</v>
      </c>
      <c r="E2007" t="s">
        <v>92</v>
      </c>
      <c r="F2007">
        <v>100</v>
      </c>
      <c r="G2007" t="s">
        <v>93</v>
      </c>
      <c r="H2007">
        <v>70.58</v>
      </c>
      <c r="I2007">
        <v>78</v>
      </c>
      <c r="J2007">
        <v>89.88</v>
      </c>
      <c r="K2007">
        <v>92</v>
      </c>
      <c r="L2007">
        <v>-39.090000000000003</v>
      </c>
      <c r="M2007">
        <v>75</v>
      </c>
      <c r="N2007">
        <v>8.2799999999999994</v>
      </c>
      <c r="O2007">
        <v>76</v>
      </c>
      <c r="P2007">
        <v>4.09</v>
      </c>
      <c r="Q2007">
        <v>85</v>
      </c>
      <c r="R2007">
        <v>0.68</v>
      </c>
      <c r="S2007">
        <v>66</v>
      </c>
      <c r="T2007">
        <v>7.46</v>
      </c>
      <c r="U2007">
        <v>58</v>
      </c>
      <c r="V2007">
        <v>-0.72</v>
      </c>
      <c r="W2007">
        <v>38</v>
      </c>
      <c r="X2007" t="s">
        <v>251</v>
      </c>
      <c r="Y2007" t="s">
        <v>362</v>
      </c>
      <c r="Z2007" t="s">
        <v>96</v>
      </c>
      <c r="AA2007" t="s">
        <v>2491</v>
      </c>
      <c r="AB2007" t="s">
        <v>2492</v>
      </c>
      <c r="AC2007">
        <v>56</v>
      </c>
      <c r="AD2007">
        <v>30</v>
      </c>
      <c r="AE2007">
        <v>92</v>
      </c>
      <c r="AF2007">
        <v>342.45</v>
      </c>
      <c r="AG2007">
        <v>21.59</v>
      </c>
      <c r="AH2007">
        <v>12.89</v>
      </c>
      <c r="AI2007">
        <v>0.13</v>
      </c>
      <c r="AJ2007">
        <v>0.02</v>
      </c>
      <c r="AK2007">
        <v>75</v>
      </c>
      <c r="AL2007">
        <v>0</v>
      </c>
      <c r="AM2007">
        <v>0</v>
      </c>
      <c r="AN2007">
        <v>2.68</v>
      </c>
      <c r="AO2007">
        <v>-0.43</v>
      </c>
      <c r="AP2007">
        <v>178</v>
      </c>
      <c r="AQ2007">
        <v>0</v>
      </c>
      <c r="AR2007">
        <v>6.87</v>
      </c>
      <c r="AS2007">
        <v>62</v>
      </c>
      <c r="AT2007">
        <v>3.48</v>
      </c>
      <c r="AU2007">
        <v>82</v>
      </c>
      <c r="AV2007">
        <v>-0.68</v>
      </c>
      <c r="AW2007">
        <v>93</v>
      </c>
      <c r="AX2007">
        <v>0.21</v>
      </c>
      <c r="AY2007">
        <v>74</v>
      </c>
      <c r="AZ2007">
        <v>5.23</v>
      </c>
      <c r="BA2007">
        <v>47</v>
      </c>
      <c r="BB2007">
        <v>4.37</v>
      </c>
      <c r="BC2007">
        <v>33</v>
      </c>
      <c r="BD2007">
        <v>-0.01</v>
      </c>
      <c r="BE2007">
        <v>-0.01</v>
      </c>
      <c r="BF2007">
        <v>0.02</v>
      </c>
      <c r="BG2007">
        <v>90</v>
      </c>
      <c r="BH2007">
        <v>-0.1</v>
      </c>
      <c r="BI2007">
        <v>-9.25</v>
      </c>
      <c r="BJ2007">
        <v>20</v>
      </c>
      <c r="BK2007">
        <v>10</v>
      </c>
      <c r="BL2007">
        <v>0.31</v>
      </c>
      <c r="BM2007">
        <v>-0.15</v>
      </c>
      <c r="BN2007">
        <v>-0.6</v>
      </c>
      <c r="BO2007">
        <v>0.48</v>
      </c>
      <c r="BP2007">
        <v>-1.48</v>
      </c>
      <c r="BQ2007">
        <v>1.88</v>
      </c>
      <c r="BR2007">
        <v>-2.63</v>
      </c>
      <c r="BS2007">
        <v>0.53</v>
      </c>
      <c r="BT2007">
        <v>3.07</v>
      </c>
      <c r="BU2007">
        <v>0.5</v>
      </c>
      <c r="BV2007">
        <v>1.64</v>
      </c>
      <c r="BW2007">
        <v>1.26</v>
      </c>
      <c r="BX2007">
        <v>1.25</v>
      </c>
      <c r="BY2007">
        <v>-0.12</v>
      </c>
      <c r="BZ2007">
        <v>0.48</v>
      </c>
      <c r="CA2007">
        <v>1.04</v>
      </c>
      <c r="CB2007">
        <v>1.0900000000000001</v>
      </c>
      <c r="CC2007">
        <v>0.41</v>
      </c>
      <c r="CD2007">
        <v>-0.23</v>
      </c>
      <c r="CE2007">
        <v>0.6</v>
      </c>
      <c r="CF2007">
        <v>-0.28000000000000003</v>
      </c>
      <c r="CG2007">
        <v>0</v>
      </c>
      <c r="CH2007">
        <v>0.5</v>
      </c>
      <c r="CI2007">
        <v>0</v>
      </c>
      <c r="CJ2007">
        <v>4.0999999999999996</v>
      </c>
      <c r="CK2007">
        <v>88</v>
      </c>
      <c r="CL2007">
        <v>-0.62</v>
      </c>
      <c r="CM2007">
        <v>85</v>
      </c>
      <c r="CN2007">
        <v>-0.4</v>
      </c>
      <c r="CO2007">
        <v>83</v>
      </c>
      <c r="CP2007">
        <v>1</v>
      </c>
      <c r="CQ2007">
        <v>63</v>
      </c>
      <c r="CR2007">
        <v>0</v>
      </c>
      <c r="CS2007">
        <v>0</v>
      </c>
      <c r="CT2007">
        <v>3.7</v>
      </c>
      <c r="CU2007">
        <v>58</v>
      </c>
      <c r="CV2007">
        <v>0.27</v>
      </c>
      <c r="CW2007">
        <v>25</v>
      </c>
      <c r="CX2007" t="s">
        <v>2493</v>
      </c>
    </row>
    <row r="2008" spans="1:102" x14ac:dyDescent="0.3">
      <c r="A2008" t="str">
        <f>HYPERLINK("https://webapp.icbf.com/v2/app/bull-search/view/542954697","DJY")</f>
        <v>DJY</v>
      </c>
      <c r="B2008" t="s">
        <v>6747</v>
      </c>
      <c r="C2008" t="s">
        <v>2023</v>
      </c>
      <c r="D2008" s="1">
        <v>37121</v>
      </c>
      <c r="E2008" t="s">
        <v>227</v>
      </c>
      <c r="F2008">
        <v>0</v>
      </c>
      <c r="G2008" t="s">
        <v>93</v>
      </c>
      <c r="H2008">
        <v>70.55</v>
      </c>
      <c r="I2008">
        <v>93</v>
      </c>
      <c r="J2008">
        <v>4.46</v>
      </c>
      <c r="K2008">
        <v>98</v>
      </c>
      <c r="L2008">
        <v>53.04</v>
      </c>
      <c r="M2008">
        <v>92</v>
      </c>
      <c r="N2008">
        <v>-0.39</v>
      </c>
      <c r="O2008">
        <v>90</v>
      </c>
      <c r="P2008">
        <v>-57.3</v>
      </c>
      <c r="Q2008">
        <v>94</v>
      </c>
      <c r="R2008">
        <v>3.15</v>
      </c>
      <c r="S2008">
        <v>84</v>
      </c>
      <c r="T2008">
        <v>62.59</v>
      </c>
      <c r="U2008">
        <v>87</v>
      </c>
      <c r="V2008">
        <v>5</v>
      </c>
      <c r="W2008">
        <v>85</v>
      </c>
      <c r="X2008" t="s">
        <v>94</v>
      </c>
      <c r="Y2008" t="s">
        <v>221</v>
      </c>
      <c r="Z2008">
        <v>0</v>
      </c>
      <c r="AA2008" t="s">
        <v>6748</v>
      </c>
      <c r="AB2008" t="s">
        <v>6749</v>
      </c>
      <c r="AC2008">
        <v>154</v>
      </c>
      <c r="AD2008">
        <v>62</v>
      </c>
      <c r="AE2008">
        <v>98</v>
      </c>
      <c r="AF2008">
        <v>-336.77</v>
      </c>
      <c r="AG2008">
        <v>5.89</v>
      </c>
      <c r="AH2008">
        <v>-6.48</v>
      </c>
      <c r="AI2008">
        <v>0.35</v>
      </c>
      <c r="AJ2008">
        <v>0.09</v>
      </c>
      <c r="AK2008">
        <v>92</v>
      </c>
      <c r="AL2008">
        <v>219</v>
      </c>
      <c r="AM2008">
        <v>58</v>
      </c>
      <c r="AN2008">
        <v>-1.3</v>
      </c>
      <c r="AO2008">
        <v>2.95</v>
      </c>
      <c r="AP2008">
        <v>197</v>
      </c>
      <c r="AQ2008">
        <v>0</v>
      </c>
      <c r="AR2008">
        <v>2.31</v>
      </c>
      <c r="AS2008">
        <v>87</v>
      </c>
      <c r="AT2008">
        <v>1.44</v>
      </c>
      <c r="AU2008">
        <v>87</v>
      </c>
      <c r="AV2008">
        <v>0.41</v>
      </c>
      <c r="AW2008">
        <v>98</v>
      </c>
      <c r="AX2008">
        <v>4.7300000000000004</v>
      </c>
      <c r="AY2008">
        <v>88</v>
      </c>
      <c r="AZ2008">
        <v>8.1999999999999993</v>
      </c>
      <c r="BA2008">
        <v>73</v>
      </c>
      <c r="BB2008">
        <v>5.73</v>
      </c>
      <c r="BC2008">
        <v>79</v>
      </c>
      <c r="BD2008">
        <v>-0.05</v>
      </c>
      <c r="BE2008">
        <v>-0.01</v>
      </c>
      <c r="BF2008">
        <v>0.03</v>
      </c>
      <c r="BG2008">
        <v>92</v>
      </c>
      <c r="BH2008">
        <v>0.01</v>
      </c>
      <c r="BI2008">
        <v>-14.98</v>
      </c>
      <c r="BJ2008">
        <v>25</v>
      </c>
      <c r="BK2008">
        <v>9</v>
      </c>
      <c r="BL2008">
        <v>-0.7</v>
      </c>
      <c r="BM2008">
        <v>-0.35</v>
      </c>
      <c r="BN2008">
        <v>0.27</v>
      </c>
      <c r="BO2008">
        <v>1.17</v>
      </c>
      <c r="BP2008">
        <v>0.64</v>
      </c>
      <c r="BQ2008">
        <v>-4.25</v>
      </c>
      <c r="BR2008">
        <v>3.33</v>
      </c>
      <c r="BS2008">
        <v>5.41</v>
      </c>
      <c r="BT2008">
        <v>-1.62</v>
      </c>
      <c r="BU2008">
        <v>1.43</v>
      </c>
      <c r="BV2008">
        <v>1.19</v>
      </c>
      <c r="BW2008">
        <v>-1.31</v>
      </c>
      <c r="BX2008">
        <v>-1.1200000000000001</v>
      </c>
      <c r="BY2008">
        <v>0.72</v>
      </c>
      <c r="BZ2008">
        <v>0.93</v>
      </c>
      <c r="CA2008">
        <v>2.1800000000000002</v>
      </c>
      <c r="CB2008">
        <v>1.1599999999999999</v>
      </c>
      <c r="CC2008">
        <v>3.26</v>
      </c>
      <c r="CD2008">
        <v>-1.53</v>
      </c>
      <c r="CE2008">
        <v>1.44</v>
      </c>
      <c r="CF2008">
        <v>-1.1100000000000001</v>
      </c>
      <c r="CG2008">
        <v>0</v>
      </c>
      <c r="CH2008">
        <v>-1</v>
      </c>
      <c r="CI2008">
        <v>0</v>
      </c>
      <c r="CJ2008">
        <v>-29.7</v>
      </c>
      <c r="CK2008">
        <v>94</v>
      </c>
      <c r="CL2008">
        <v>-1.0900000000000001</v>
      </c>
      <c r="CM2008">
        <v>93</v>
      </c>
      <c r="CN2008">
        <v>-0.19</v>
      </c>
      <c r="CO2008">
        <v>92</v>
      </c>
      <c r="CP2008">
        <v>-48.6</v>
      </c>
      <c r="CQ2008">
        <v>94</v>
      </c>
      <c r="CR2008">
        <v>0</v>
      </c>
      <c r="CS2008">
        <v>0</v>
      </c>
      <c r="CT2008">
        <v>-70.8</v>
      </c>
      <c r="CU2008">
        <v>87</v>
      </c>
      <c r="CV2008">
        <v>-0.23</v>
      </c>
      <c r="CW2008">
        <v>44</v>
      </c>
      <c r="CX2008" t="s">
        <v>554</v>
      </c>
    </row>
    <row r="2009" spans="1:102" x14ac:dyDescent="0.3">
      <c r="A2009" t="str">
        <f>HYPERLINK("https://webapp.icbf.com/v2/app/bull-search/view/448301880","SHY")</f>
        <v>SHY</v>
      </c>
      <c r="B2009" t="s">
        <v>7485</v>
      </c>
      <c r="C2009" t="s">
        <v>7486</v>
      </c>
      <c r="D2009" s="1">
        <v>38394</v>
      </c>
      <c r="E2009" t="s">
        <v>108</v>
      </c>
      <c r="F2009">
        <v>0</v>
      </c>
      <c r="G2009" t="s">
        <v>109</v>
      </c>
      <c r="H2009">
        <v>70.48</v>
      </c>
      <c r="I2009">
        <v>51</v>
      </c>
      <c r="J2009">
        <v>47.98</v>
      </c>
      <c r="K2009">
        <v>66</v>
      </c>
      <c r="L2009">
        <v>2.98</v>
      </c>
      <c r="M2009">
        <v>42</v>
      </c>
      <c r="N2009">
        <v>13.33</v>
      </c>
      <c r="O2009">
        <v>43</v>
      </c>
      <c r="P2009">
        <v>-19.11</v>
      </c>
      <c r="Q2009">
        <v>47</v>
      </c>
      <c r="R2009">
        <v>-3.1</v>
      </c>
      <c r="S2009">
        <v>46</v>
      </c>
      <c r="T2009">
        <v>28.4</v>
      </c>
      <c r="U2009">
        <v>49</v>
      </c>
      <c r="V2009">
        <v>0</v>
      </c>
      <c r="W2009">
        <v>28</v>
      </c>
      <c r="X2009" t="s">
        <v>251</v>
      </c>
      <c r="Y2009" t="s">
        <v>2643</v>
      </c>
      <c r="Z2009" t="s">
        <v>96</v>
      </c>
      <c r="AA2009" t="s">
        <v>792</v>
      </c>
      <c r="AB2009" t="s">
        <v>7487</v>
      </c>
      <c r="AC2009">
        <v>0</v>
      </c>
      <c r="AD2009">
        <v>0</v>
      </c>
      <c r="AE2009">
        <v>66</v>
      </c>
      <c r="AF2009">
        <v>-2.25</v>
      </c>
      <c r="AG2009">
        <v>8.9499999999999993</v>
      </c>
      <c r="AH2009">
        <v>4.96</v>
      </c>
      <c r="AI2009">
        <v>0.15</v>
      </c>
      <c r="AJ2009">
        <v>0.08</v>
      </c>
      <c r="AK2009">
        <v>42</v>
      </c>
      <c r="AL2009">
        <v>0</v>
      </c>
      <c r="AM2009">
        <v>0</v>
      </c>
      <c r="AN2009">
        <v>-0.77</v>
      </c>
      <c r="AO2009">
        <v>-0.54</v>
      </c>
      <c r="AP2009">
        <v>7</v>
      </c>
      <c r="AQ2009">
        <v>0</v>
      </c>
      <c r="AR2009">
        <v>6.35</v>
      </c>
      <c r="AS2009">
        <v>30</v>
      </c>
      <c r="AT2009">
        <v>2.46</v>
      </c>
      <c r="AU2009">
        <v>36</v>
      </c>
      <c r="AV2009">
        <v>-0.39</v>
      </c>
      <c r="AW2009">
        <v>56</v>
      </c>
      <c r="AX2009">
        <v>-0.47</v>
      </c>
      <c r="AY2009">
        <v>38</v>
      </c>
      <c r="AZ2009">
        <v>6.14</v>
      </c>
      <c r="BA2009">
        <v>31</v>
      </c>
      <c r="BB2009">
        <v>4.9800000000000004</v>
      </c>
      <c r="BC2009">
        <v>30</v>
      </c>
      <c r="BD2009">
        <v>0.02</v>
      </c>
      <c r="BE2009">
        <v>0.02</v>
      </c>
      <c r="BF2009">
        <v>0</v>
      </c>
      <c r="BG2009">
        <v>59</v>
      </c>
      <c r="BH2009">
        <v>0.02</v>
      </c>
      <c r="BI2009">
        <v>2.2999999999999998</v>
      </c>
      <c r="BJ2009">
        <v>1</v>
      </c>
      <c r="BK2009">
        <v>1</v>
      </c>
      <c r="BL2009">
        <v>-1.52</v>
      </c>
      <c r="BM2009">
        <v>-0.09</v>
      </c>
      <c r="BN2009">
        <v>-1.37</v>
      </c>
      <c r="BO2009">
        <v>-1.1599999999999999</v>
      </c>
      <c r="BP2009">
        <v>0.01</v>
      </c>
      <c r="BQ2009">
        <v>-2.09</v>
      </c>
      <c r="BR2009">
        <v>1.4</v>
      </c>
      <c r="BS2009">
        <v>-0.21</v>
      </c>
      <c r="BT2009">
        <v>-1.63</v>
      </c>
      <c r="BU2009">
        <v>-0.62</v>
      </c>
      <c r="BV2009">
        <v>-1.38</v>
      </c>
      <c r="BW2009">
        <v>-1.59</v>
      </c>
      <c r="BX2009">
        <v>-0.69</v>
      </c>
      <c r="BY2009">
        <v>-1.04</v>
      </c>
      <c r="BZ2009">
        <v>0.63</v>
      </c>
      <c r="CA2009">
        <v>-1.51</v>
      </c>
      <c r="CB2009">
        <v>-1.6</v>
      </c>
      <c r="CC2009">
        <v>-0.82</v>
      </c>
      <c r="CD2009">
        <v>0.48</v>
      </c>
      <c r="CE2009">
        <v>-1.28</v>
      </c>
      <c r="CF2009">
        <v>-1.86</v>
      </c>
      <c r="CG2009">
        <v>0</v>
      </c>
      <c r="CH2009">
        <v>-1.68</v>
      </c>
      <c r="CI2009">
        <v>0</v>
      </c>
      <c r="CJ2009">
        <v>-9.1999999999999993</v>
      </c>
      <c r="CK2009">
        <v>49</v>
      </c>
      <c r="CL2009">
        <v>-0.56000000000000005</v>
      </c>
      <c r="CM2009">
        <v>45</v>
      </c>
      <c r="CN2009">
        <v>-0.18</v>
      </c>
      <c r="CO2009">
        <v>41</v>
      </c>
      <c r="CP2009">
        <v>-18.3</v>
      </c>
      <c r="CQ2009">
        <v>50</v>
      </c>
      <c r="CR2009">
        <v>0</v>
      </c>
      <c r="CS2009">
        <v>0</v>
      </c>
      <c r="CT2009">
        <v>-24.6</v>
      </c>
      <c r="CU2009">
        <v>49</v>
      </c>
      <c r="CV2009">
        <v>0.03</v>
      </c>
      <c r="CW2009">
        <v>15</v>
      </c>
      <c r="CX2009" t="s">
        <v>1035</v>
      </c>
    </row>
    <row r="2010" spans="1:102" x14ac:dyDescent="0.3">
      <c r="A2010" t="str">
        <f>HYPERLINK("https://webapp.icbf.com/v2/app/bull-search/view/1132839009","S2040")</f>
        <v>S2040</v>
      </c>
      <c r="B2010" t="s">
        <v>5991</v>
      </c>
      <c r="C2010" t="s">
        <v>5992</v>
      </c>
      <c r="D2010" s="1">
        <v>40349</v>
      </c>
      <c r="E2010" t="s">
        <v>108</v>
      </c>
      <c r="F2010">
        <v>0</v>
      </c>
      <c r="G2010" t="s">
        <v>109</v>
      </c>
      <c r="H2010">
        <v>70.459999999999994</v>
      </c>
      <c r="I2010">
        <v>77</v>
      </c>
      <c r="J2010">
        <v>17.22</v>
      </c>
      <c r="K2010">
        <v>89</v>
      </c>
      <c r="L2010">
        <v>44.38</v>
      </c>
      <c r="M2010">
        <v>73</v>
      </c>
      <c r="N2010">
        <v>5.31</v>
      </c>
      <c r="O2010">
        <v>73</v>
      </c>
      <c r="P2010">
        <v>8.4499999999999993</v>
      </c>
      <c r="Q2010">
        <v>81</v>
      </c>
      <c r="R2010">
        <v>-13.76</v>
      </c>
      <c r="S2010">
        <v>72</v>
      </c>
      <c r="T2010">
        <v>6.28</v>
      </c>
      <c r="U2010">
        <v>54</v>
      </c>
      <c r="V2010">
        <v>2.58</v>
      </c>
      <c r="W2010">
        <v>66</v>
      </c>
      <c r="X2010" t="s">
        <v>1645</v>
      </c>
      <c r="Y2010" t="s">
        <v>367</v>
      </c>
      <c r="Z2010" t="s">
        <v>96</v>
      </c>
      <c r="AA2010" t="s">
        <v>5993</v>
      </c>
      <c r="AB2010" t="s">
        <v>5994</v>
      </c>
      <c r="AC2010">
        <v>0</v>
      </c>
      <c r="AD2010">
        <v>0</v>
      </c>
      <c r="AE2010">
        <v>89</v>
      </c>
      <c r="AF2010">
        <v>70.89</v>
      </c>
      <c r="AG2010">
        <v>5.27</v>
      </c>
      <c r="AH2010">
        <v>2.15</v>
      </c>
      <c r="AI2010">
        <v>0.04</v>
      </c>
      <c r="AJ2010">
        <v>0</v>
      </c>
      <c r="AK2010">
        <v>73</v>
      </c>
      <c r="AL2010">
        <v>0</v>
      </c>
      <c r="AM2010">
        <v>0</v>
      </c>
      <c r="AN2010">
        <v>-3.11</v>
      </c>
      <c r="AO2010">
        <v>0.42</v>
      </c>
      <c r="AP2010">
        <v>3</v>
      </c>
      <c r="AQ2010">
        <v>0</v>
      </c>
      <c r="AR2010">
        <v>6.04</v>
      </c>
      <c r="AS2010">
        <v>54</v>
      </c>
      <c r="AT2010">
        <v>3.01</v>
      </c>
      <c r="AU2010">
        <v>78</v>
      </c>
      <c r="AV2010">
        <v>-0.68</v>
      </c>
      <c r="AW2010">
        <v>89</v>
      </c>
      <c r="AX2010">
        <v>0.84</v>
      </c>
      <c r="AY2010">
        <v>64</v>
      </c>
      <c r="AZ2010">
        <v>6.34</v>
      </c>
      <c r="BA2010">
        <v>46</v>
      </c>
      <c r="BB2010">
        <v>5.58</v>
      </c>
      <c r="BC2010">
        <v>44</v>
      </c>
      <c r="BD2010">
        <v>0.08</v>
      </c>
      <c r="BE2010">
        <v>7.0000000000000007E-2</v>
      </c>
      <c r="BF2010">
        <v>0.05</v>
      </c>
      <c r="BG2010">
        <v>85</v>
      </c>
      <c r="BH2010">
        <v>0.03</v>
      </c>
      <c r="BI2010">
        <v>-4.8600000000000003</v>
      </c>
      <c r="BJ2010">
        <v>0</v>
      </c>
      <c r="BK2010">
        <v>0</v>
      </c>
      <c r="BL2010">
        <v>-2.69</v>
      </c>
      <c r="BM2010">
        <v>1.53</v>
      </c>
      <c r="BN2010">
        <v>-1.79</v>
      </c>
      <c r="BO2010">
        <v>-1.98</v>
      </c>
      <c r="BP2010">
        <v>-1.32</v>
      </c>
      <c r="BQ2010">
        <v>3.29</v>
      </c>
      <c r="BR2010">
        <v>-2.36</v>
      </c>
      <c r="BS2010">
        <v>-0.16</v>
      </c>
      <c r="BT2010">
        <v>1.5</v>
      </c>
      <c r="BU2010">
        <v>-3.26</v>
      </c>
      <c r="BV2010">
        <v>-3.56</v>
      </c>
      <c r="BW2010">
        <v>-2.5299999999999998</v>
      </c>
      <c r="BX2010">
        <v>-2.0499999999999998</v>
      </c>
      <c r="BY2010">
        <v>-0.88</v>
      </c>
      <c r="BZ2010">
        <v>-0.87</v>
      </c>
      <c r="CA2010">
        <v>-1.98</v>
      </c>
      <c r="CB2010">
        <v>-2.09</v>
      </c>
      <c r="CC2010">
        <v>-0.91</v>
      </c>
      <c r="CD2010">
        <v>2.06</v>
      </c>
      <c r="CE2010">
        <v>-1.84</v>
      </c>
      <c r="CF2010">
        <v>-1.58</v>
      </c>
      <c r="CG2010">
        <v>0</v>
      </c>
      <c r="CH2010">
        <v>0.09</v>
      </c>
      <c r="CI2010">
        <v>0</v>
      </c>
      <c r="CJ2010">
        <v>3.7</v>
      </c>
      <c r="CK2010">
        <v>84</v>
      </c>
      <c r="CL2010">
        <v>-0.21</v>
      </c>
      <c r="CM2010">
        <v>81</v>
      </c>
      <c r="CN2010">
        <v>-0.46</v>
      </c>
      <c r="CO2010">
        <v>79</v>
      </c>
      <c r="CP2010">
        <v>0.8</v>
      </c>
      <c r="CQ2010">
        <v>60</v>
      </c>
      <c r="CR2010">
        <v>0</v>
      </c>
      <c r="CS2010">
        <v>0</v>
      </c>
      <c r="CT2010">
        <v>5.3</v>
      </c>
      <c r="CU2010">
        <v>54</v>
      </c>
      <c r="CV2010">
        <v>0.2</v>
      </c>
      <c r="CW2010">
        <v>42</v>
      </c>
      <c r="CX2010" t="s">
        <v>4320</v>
      </c>
    </row>
    <row r="2011" spans="1:102" x14ac:dyDescent="0.3">
      <c r="A2011" t="str">
        <f>HYPERLINK("https://webapp.icbf.com/v2/app/bull-search/view/1269204437","S3015")</f>
        <v>S3015</v>
      </c>
      <c r="B2011" t="s">
        <v>10243</v>
      </c>
      <c r="C2011" t="s">
        <v>10244</v>
      </c>
      <c r="D2011" s="1">
        <v>41278</v>
      </c>
      <c r="E2011" t="s">
        <v>146</v>
      </c>
      <c r="F2011">
        <v>0</v>
      </c>
      <c r="G2011" t="s">
        <v>109</v>
      </c>
      <c r="H2011">
        <v>70.430000000000007</v>
      </c>
      <c r="I2011">
        <v>52</v>
      </c>
      <c r="J2011">
        <v>3.51</v>
      </c>
      <c r="K2011">
        <v>72</v>
      </c>
      <c r="L2011">
        <v>30.37</v>
      </c>
      <c r="M2011">
        <v>51</v>
      </c>
      <c r="N2011">
        <v>28.34</v>
      </c>
      <c r="O2011">
        <v>34</v>
      </c>
      <c r="P2011">
        <v>0.54</v>
      </c>
      <c r="Q2011">
        <v>59</v>
      </c>
      <c r="R2011">
        <v>5.65</v>
      </c>
      <c r="S2011">
        <v>43</v>
      </c>
      <c r="T2011">
        <v>7.76</v>
      </c>
      <c r="U2011">
        <v>18</v>
      </c>
      <c r="V2011">
        <v>-5.74</v>
      </c>
      <c r="W2011">
        <v>8</v>
      </c>
      <c r="X2011" t="s">
        <v>110</v>
      </c>
      <c r="Y2011" t="s">
        <v>411</v>
      </c>
      <c r="Z2011">
        <v>0</v>
      </c>
      <c r="AA2011" t="s">
        <v>341</v>
      </c>
      <c r="AB2011" t="s">
        <v>10245</v>
      </c>
      <c r="AC2011">
        <v>0</v>
      </c>
      <c r="AD2011">
        <v>0</v>
      </c>
      <c r="AE2011">
        <v>72</v>
      </c>
      <c r="AF2011">
        <v>-211.22</v>
      </c>
      <c r="AG2011">
        <v>-6.49</v>
      </c>
      <c r="AH2011">
        <v>-0.34</v>
      </c>
      <c r="AI2011">
        <v>0.03</v>
      </c>
      <c r="AJ2011">
        <v>0.12</v>
      </c>
      <c r="AK2011">
        <v>51</v>
      </c>
      <c r="AL2011">
        <v>0</v>
      </c>
      <c r="AM2011">
        <v>0</v>
      </c>
      <c r="AN2011">
        <v>-2.61</v>
      </c>
      <c r="AO2011">
        <v>-0.2</v>
      </c>
      <c r="AP2011">
        <v>6</v>
      </c>
      <c r="AQ2011">
        <v>0</v>
      </c>
      <c r="AR2011">
        <v>4.16</v>
      </c>
      <c r="AS2011">
        <v>26</v>
      </c>
      <c r="AT2011">
        <v>1.6</v>
      </c>
      <c r="AU2011">
        <v>73</v>
      </c>
      <c r="AV2011">
        <v>-1.61</v>
      </c>
      <c r="AW2011">
        <v>21</v>
      </c>
      <c r="AX2011">
        <v>0.21</v>
      </c>
      <c r="AY2011">
        <v>37</v>
      </c>
      <c r="AZ2011">
        <v>6.57</v>
      </c>
      <c r="BA2011">
        <v>11</v>
      </c>
      <c r="BB2011">
        <v>5.38</v>
      </c>
      <c r="BC2011">
        <v>7</v>
      </c>
      <c r="BD2011">
        <v>-0.03</v>
      </c>
      <c r="BE2011">
        <v>0</v>
      </c>
      <c r="BF2011">
        <v>-0.08</v>
      </c>
      <c r="BG2011">
        <v>72</v>
      </c>
      <c r="BH2011">
        <v>-0.21</v>
      </c>
      <c r="BI2011">
        <v>-5.79</v>
      </c>
      <c r="BJ2011">
        <v>0</v>
      </c>
      <c r="BK2011">
        <v>0</v>
      </c>
      <c r="BL2011">
        <v>-1.44</v>
      </c>
      <c r="BM2011">
        <v>1.18</v>
      </c>
      <c r="BN2011">
        <v>-1.63</v>
      </c>
      <c r="BO2011">
        <v>-1.39</v>
      </c>
      <c r="BP2011">
        <v>0.84</v>
      </c>
      <c r="BQ2011">
        <v>-1.4</v>
      </c>
      <c r="BR2011">
        <v>-1.56</v>
      </c>
      <c r="BS2011">
        <v>-0.28000000000000003</v>
      </c>
      <c r="BT2011">
        <v>2.13</v>
      </c>
      <c r="BU2011">
        <v>-1.98</v>
      </c>
      <c r="BV2011">
        <v>-0.64</v>
      </c>
      <c r="BW2011">
        <v>-1.24</v>
      </c>
      <c r="BX2011">
        <v>-2.2400000000000002</v>
      </c>
      <c r="BY2011">
        <v>-0.01</v>
      </c>
      <c r="BZ2011">
        <v>3.59</v>
      </c>
      <c r="CA2011">
        <v>-1.33</v>
      </c>
      <c r="CB2011">
        <v>-1.56</v>
      </c>
      <c r="CC2011">
        <v>-0.48</v>
      </c>
      <c r="CD2011">
        <v>1.5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1.3</v>
      </c>
      <c r="CK2011">
        <v>64</v>
      </c>
      <c r="CL2011">
        <v>-0.22</v>
      </c>
      <c r="CM2011">
        <v>60</v>
      </c>
      <c r="CN2011">
        <v>-0.1</v>
      </c>
      <c r="CO2011">
        <v>58</v>
      </c>
      <c r="CP2011">
        <v>-1</v>
      </c>
      <c r="CQ2011">
        <v>27</v>
      </c>
      <c r="CR2011">
        <v>0</v>
      </c>
      <c r="CS2011">
        <v>0</v>
      </c>
      <c r="CT2011">
        <v>3.3</v>
      </c>
      <c r="CU2011">
        <v>18</v>
      </c>
      <c r="CV2011">
        <v>0.01</v>
      </c>
      <c r="CW2011">
        <v>17</v>
      </c>
      <c r="CX2011" t="s">
        <v>7644</v>
      </c>
    </row>
    <row r="2012" spans="1:102" x14ac:dyDescent="0.3">
      <c r="A2012" t="str">
        <f>HYPERLINK("https://webapp.icbf.com/v2/app/bull-search/view/918998791","S1502")</f>
        <v>S1502</v>
      </c>
      <c r="B2012" t="s">
        <v>2121</v>
      </c>
      <c r="C2012" t="s">
        <v>2122</v>
      </c>
      <c r="D2012" s="1">
        <v>40279</v>
      </c>
      <c r="E2012" t="s">
        <v>92</v>
      </c>
      <c r="F2012">
        <v>100</v>
      </c>
      <c r="G2012" t="s">
        <v>93</v>
      </c>
      <c r="H2012">
        <v>70.42</v>
      </c>
      <c r="I2012">
        <v>85</v>
      </c>
      <c r="J2012">
        <v>17.5</v>
      </c>
      <c r="K2012">
        <v>95</v>
      </c>
      <c r="L2012">
        <v>8.74</v>
      </c>
      <c r="M2012">
        <v>83</v>
      </c>
      <c r="N2012">
        <v>21.78</v>
      </c>
      <c r="O2012">
        <v>81</v>
      </c>
      <c r="P2012">
        <v>-13.46</v>
      </c>
      <c r="Q2012">
        <v>87</v>
      </c>
      <c r="R2012">
        <v>17.11</v>
      </c>
      <c r="S2012">
        <v>77</v>
      </c>
      <c r="T2012">
        <v>16.34</v>
      </c>
      <c r="U2012">
        <v>63</v>
      </c>
      <c r="V2012">
        <v>2.41</v>
      </c>
      <c r="W2012">
        <v>70</v>
      </c>
      <c r="X2012" t="s">
        <v>102</v>
      </c>
      <c r="Y2012" t="s">
        <v>362</v>
      </c>
      <c r="Z2012" t="s">
        <v>96</v>
      </c>
      <c r="AA2012" t="s">
        <v>474</v>
      </c>
      <c r="AB2012" t="s">
        <v>2123</v>
      </c>
      <c r="AC2012">
        <v>58</v>
      </c>
      <c r="AD2012">
        <v>15</v>
      </c>
      <c r="AE2012">
        <v>95</v>
      </c>
      <c r="AF2012">
        <v>-155.29</v>
      </c>
      <c r="AG2012">
        <v>5.71</v>
      </c>
      <c r="AH2012">
        <v>-1.42</v>
      </c>
      <c r="AI2012">
        <v>0.21</v>
      </c>
      <c r="AJ2012">
        <v>7.0000000000000007E-2</v>
      </c>
      <c r="AK2012">
        <v>83</v>
      </c>
      <c r="AL2012">
        <v>47</v>
      </c>
      <c r="AM2012">
        <v>16</v>
      </c>
      <c r="AN2012">
        <v>1.28</v>
      </c>
      <c r="AO2012">
        <v>2</v>
      </c>
      <c r="AP2012">
        <v>151</v>
      </c>
      <c r="AQ2012">
        <v>0</v>
      </c>
      <c r="AR2012">
        <v>8.42</v>
      </c>
      <c r="AS2012">
        <v>77</v>
      </c>
      <c r="AT2012">
        <v>2.99</v>
      </c>
      <c r="AU2012">
        <v>83</v>
      </c>
      <c r="AV2012">
        <v>-2.4300000000000002</v>
      </c>
      <c r="AW2012">
        <v>93</v>
      </c>
      <c r="AX2012">
        <v>0.11</v>
      </c>
      <c r="AY2012">
        <v>75</v>
      </c>
      <c r="AZ2012">
        <v>5.34</v>
      </c>
      <c r="BA2012">
        <v>61</v>
      </c>
      <c r="BB2012">
        <v>4.54</v>
      </c>
      <c r="BC2012">
        <v>54</v>
      </c>
      <c r="BD2012">
        <v>-0.08</v>
      </c>
      <c r="BE2012">
        <v>-0.1</v>
      </c>
      <c r="BF2012">
        <v>-7.0000000000000007E-2</v>
      </c>
      <c r="BG2012">
        <v>91</v>
      </c>
      <c r="BH2012">
        <v>7.0000000000000007E-2</v>
      </c>
      <c r="BI2012">
        <v>0.32</v>
      </c>
      <c r="BJ2012">
        <v>9</v>
      </c>
      <c r="BK2012">
        <v>4</v>
      </c>
      <c r="BL2012">
        <v>-0.28000000000000003</v>
      </c>
      <c r="BM2012">
        <v>-2.5299999999999998</v>
      </c>
      <c r="BN2012">
        <v>-1.08</v>
      </c>
      <c r="BO2012">
        <v>0.62</v>
      </c>
      <c r="BP2012">
        <v>-0.45</v>
      </c>
      <c r="BQ2012">
        <v>-2.11</v>
      </c>
      <c r="BR2012">
        <v>-1.73</v>
      </c>
      <c r="BS2012">
        <v>2.79</v>
      </c>
      <c r="BT2012">
        <v>0.74</v>
      </c>
      <c r="BU2012">
        <v>1.49</v>
      </c>
      <c r="BV2012">
        <v>0.92</v>
      </c>
      <c r="BW2012">
        <v>2.2799999999999998</v>
      </c>
      <c r="BX2012">
        <v>1.69</v>
      </c>
      <c r="BY2012">
        <v>1.17</v>
      </c>
      <c r="BZ2012">
        <v>-1.68</v>
      </c>
      <c r="CA2012">
        <v>2.2999999999999998</v>
      </c>
      <c r="CB2012">
        <v>1.82</v>
      </c>
      <c r="CC2012">
        <v>2.38</v>
      </c>
      <c r="CD2012">
        <v>-1.35</v>
      </c>
      <c r="CE2012">
        <v>0.4</v>
      </c>
      <c r="CF2012">
        <v>-0.36</v>
      </c>
      <c r="CG2012">
        <v>0</v>
      </c>
      <c r="CH2012">
        <v>1.18</v>
      </c>
      <c r="CI2012">
        <v>0</v>
      </c>
      <c r="CJ2012">
        <v>-5.0999999999999996</v>
      </c>
      <c r="CK2012">
        <v>89</v>
      </c>
      <c r="CL2012">
        <v>-0.95</v>
      </c>
      <c r="CM2012">
        <v>87</v>
      </c>
      <c r="CN2012">
        <v>-0.4</v>
      </c>
      <c r="CO2012">
        <v>85</v>
      </c>
      <c r="CP2012">
        <v>-8.6999999999999993</v>
      </c>
      <c r="CQ2012">
        <v>70</v>
      </c>
      <c r="CR2012">
        <v>0</v>
      </c>
      <c r="CS2012">
        <v>0</v>
      </c>
      <c r="CT2012">
        <v>-8.3000000000000007</v>
      </c>
      <c r="CU2012">
        <v>63</v>
      </c>
      <c r="CV2012">
        <v>0.11</v>
      </c>
      <c r="CW2012">
        <v>43</v>
      </c>
      <c r="CX2012" t="s">
        <v>2124</v>
      </c>
    </row>
    <row r="2013" spans="1:102" x14ac:dyDescent="0.3">
      <c r="A2013" t="str">
        <f>HYPERLINK("https://webapp.icbf.com/v2/app/bull-search/view/1456851972","S3549")</f>
        <v>S3549</v>
      </c>
      <c r="B2013" t="s">
        <v>9549</v>
      </c>
      <c r="C2013" t="s">
        <v>9550</v>
      </c>
      <c r="D2013" s="1">
        <v>42158</v>
      </c>
      <c r="E2013" t="s">
        <v>92</v>
      </c>
      <c r="F2013">
        <v>100</v>
      </c>
      <c r="G2013" t="s">
        <v>435</v>
      </c>
      <c r="H2013">
        <v>70.39</v>
      </c>
      <c r="I2013">
        <v>67</v>
      </c>
      <c r="J2013">
        <v>94.79</v>
      </c>
      <c r="K2013">
        <v>89</v>
      </c>
      <c r="L2013">
        <v>-68.38</v>
      </c>
      <c r="M2013">
        <v>66</v>
      </c>
      <c r="N2013">
        <v>36.380000000000003</v>
      </c>
      <c r="O2013">
        <v>52</v>
      </c>
      <c r="P2013">
        <v>-10.46</v>
      </c>
      <c r="Q2013">
        <v>37</v>
      </c>
      <c r="R2013">
        <v>18.27</v>
      </c>
      <c r="S2013">
        <v>63</v>
      </c>
      <c r="T2013">
        <v>-0.01</v>
      </c>
      <c r="U2013">
        <v>35</v>
      </c>
      <c r="V2013">
        <v>-0.2</v>
      </c>
      <c r="W2013">
        <v>54</v>
      </c>
      <c r="X2013" t="s">
        <v>110</v>
      </c>
      <c r="Y2013" t="s">
        <v>9551</v>
      </c>
      <c r="Z2013" t="s">
        <v>96</v>
      </c>
      <c r="AA2013" t="s">
        <v>6437</v>
      </c>
      <c r="AB2013" t="s">
        <v>9552</v>
      </c>
      <c r="AC2013">
        <v>0</v>
      </c>
      <c r="AD2013">
        <v>0</v>
      </c>
      <c r="AE2013">
        <v>89</v>
      </c>
      <c r="AF2013">
        <v>704.24</v>
      </c>
      <c r="AG2013">
        <v>21.2</v>
      </c>
      <c r="AH2013">
        <v>19.399999999999999</v>
      </c>
      <c r="AI2013">
        <v>-0.1</v>
      </c>
      <c r="AJ2013">
        <v>-7.0000000000000007E-2</v>
      </c>
      <c r="AK2013">
        <v>66</v>
      </c>
      <c r="AL2013">
        <v>0</v>
      </c>
      <c r="AM2013">
        <v>0</v>
      </c>
      <c r="AN2013">
        <v>6.32</v>
      </c>
      <c r="AO2013">
        <v>0.9</v>
      </c>
      <c r="AP2013">
        <v>1</v>
      </c>
      <c r="AQ2013">
        <v>0</v>
      </c>
      <c r="AR2013">
        <v>6.86</v>
      </c>
      <c r="AS2013">
        <v>50</v>
      </c>
      <c r="AT2013">
        <v>2.8</v>
      </c>
      <c r="AU2013">
        <v>90</v>
      </c>
      <c r="AV2013">
        <v>-3.88</v>
      </c>
      <c r="AW2013">
        <v>39</v>
      </c>
      <c r="AX2013">
        <v>0.01</v>
      </c>
      <c r="AY2013">
        <v>39</v>
      </c>
      <c r="AZ2013">
        <v>5.83</v>
      </c>
      <c r="BA2013">
        <v>35</v>
      </c>
      <c r="BB2013">
        <v>4.9800000000000004</v>
      </c>
      <c r="BC2013">
        <v>35</v>
      </c>
      <c r="BD2013">
        <v>-0.06</v>
      </c>
      <c r="BE2013">
        <v>-0.1</v>
      </c>
      <c r="BF2013">
        <v>-0.13</v>
      </c>
      <c r="BG2013">
        <v>77</v>
      </c>
      <c r="BH2013">
        <v>-0.23</v>
      </c>
      <c r="BI2013">
        <v>-25.97</v>
      </c>
      <c r="BJ2013">
        <v>0</v>
      </c>
      <c r="BK2013">
        <v>0</v>
      </c>
      <c r="BL2013">
        <v>1.98</v>
      </c>
      <c r="BM2013">
        <v>-0.17</v>
      </c>
      <c r="BN2013">
        <v>1.61</v>
      </c>
      <c r="BO2013">
        <v>1.75</v>
      </c>
      <c r="BP2013">
        <v>0.22</v>
      </c>
      <c r="BQ2013">
        <v>2.35</v>
      </c>
      <c r="BR2013">
        <v>-0.33</v>
      </c>
      <c r="BS2013">
        <v>1.89</v>
      </c>
      <c r="BT2013">
        <v>1.48</v>
      </c>
      <c r="BU2013">
        <v>4.2699999999999996</v>
      </c>
      <c r="BV2013">
        <v>4.4400000000000004</v>
      </c>
      <c r="BW2013">
        <v>3.47</v>
      </c>
      <c r="BX2013">
        <v>2.98</v>
      </c>
      <c r="BY2013">
        <v>3.24</v>
      </c>
      <c r="BZ2013">
        <v>-0.73</v>
      </c>
      <c r="CA2013">
        <v>3.93</v>
      </c>
      <c r="CB2013">
        <v>3.85</v>
      </c>
      <c r="CC2013">
        <v>1.96</v>
      </c>
      <c r="CD2013">
        <v>-0.89</v>
      </c>
      <c r="CE2013">
        <v>1.53</v>
      </c>
      <c r="CF2013">
        <v>1.73</v>
      </c>
      <c r="CG2013">
        <v>0</v>
      </c>
      <c r="CH2013">
        <v>2.58</v>
      </c>
      <c r="CI2013">
        <v>0</v>
      </c>
      <c r="CJ2013">
        <v>-3</v>
      </c>
      <c r="CK2013">
        <v>37</v>
      </c>
      <c r="CL2013">
        <v>-1.66</v>
      </c>
      <c r="CM2013">
        <v>37</v>
      </c>
      <c r="CN2013">
        <v>-0.88</v>
      </c>
      <c r="CO2013">
        <v>37</v>
      </c>
      <c r="CP2013">
        <v>3.4</v>
      </c>
      <c r="CQ2013">
        <v>36</v>
      </c>
      <c r="CR2013">
        <v>0</v>
      </c>
      <c r="CS2013">
        <v>0</v>
      </c>
      <c r="CT2013">
        <v>13.8</v>
      </c>
      <c r="CU2013">
        <v>35</v>
      </c>
      <c r="CV2013">
        <v>0.28000000000000003</v>
      </c>
      <c r="CW2013">
        <v>32</v>
      </c>
      <c r="CX2013" t="s">
        <v>401</v>
      </c>
    </row>
    <row r="2014" spans="1:102" x14ac:dyDescent="0.3">
      <c r="A2014" t="str">
        <f>HYPERLINK("https://webapp.icbf.com/v2/app/bull-search/view/437602409","BBW")</f>
        <v>BBW</v>
      </c>
      <c r="B2014" t="s">
        <v>12014</v>
      </c>
      <c r="C2014" t="s">
        <v>12015</v>
      </c>
      <c r="D2014" s="1">
        <v>38717</v>
      </c>
      <c r="E2014" t="s">
        <v>92</v>
      </c>
      <c r="F2014">
        <v>88</v>
      </c>
      <c r="G2014" t="s">
        <v>93</v>
      </c>
      <c r="H2014">
        <v>70.36</v>
      </c>
      <c r="I2014">
        <v>89</v>
      </c>
      <c r="J2014">
        <v>-2.02</v>
      </c>
      <c r="K2014">
        <v>97</v>
      </c>
      <c r="L2014">
        <v>15</v>
      </c>
      <c r="M2014">
        <v>82</v>
      </c>
      <c r="N2014">
        <v>39.18</v>
      </c>
      <c r="O2014">
        <v>87</v>
      </c>
      <c r="P2014">
        <v>7.15</v>
      </c>
      <c r="Q2014">
        <v>92</v>
      </c>
      <c r="R2014">
        <v>8.86</v>
      </c>
      <c r="S2014">
        <v>84</v>
      </c>
      <c r="T2014">
        <v>-0.23</v>
      </c>
      <c r="U2014">
        <v>89</v>
      </c>
      <c r="V2014">
        <v>2.42</v>
      </c>
      <c r="W2014">
        <v>84</v>
      </c>
      <c r="X2014" t="s">
        <v>94</v>
      </c>
      <c r="Y2014" t="s">
        <v>228</v>
      </c>
      <c r="Z2014" t="s">
        <v>96</v>
      </c>
      <c r="AA2014" t="s">
        <v>1165</v>
      </c>
      <c r="AB2014" t="s">
        <v>12016</v>
      </c>
      <c r="AC2014">
        <v>94</v>
      </c>
      <c r="AD2014">
        <v>68</v>
      </c>
      <c r="AE2014">
        <v>97</v>
      </c>
      <c r="AF2014">
        <v>4.72</v>
      </c>
      <c r="AG2014">
        <v>0.56000000000000005</v>
      </c>
      <c r="AH2014">
        <v>-0.47</v>
      </c>
      <c r="AI2014">
        <v>0.01</v>
      </c>
      <c r="AJ2014">
        <v>-0.01</v>
      </c>
      <c r="AK2014">
        <v>82</v>
      </c>
      <c r="AL2014">
        <v>89</v>
      </c>
      <c r="AM2014">
        <v>66</v>
      </c>
      <c r="AN2014">
        <v>-0.51</v>
      </c>
      <c r="AO2014">
        <v>0.69</v>
      </c>
      <c r="AP2014">
        <v>205</v>
      </c>
      <c r="AQ2014">
        <v>0</v>
      </c>
      <c r="AR2014">
        <v>3.65</v>
      </c>
      <c r="AS2014">
        <v>73</v>
      </c>
      <c r="AT2014">
        <v>1.85</v>
      </c>
      <c r="AU2014">
        <v>89</v>
      </c>
      <c r="AV2014">
        <v>-2.06</v>
      </c>
      <c r="AW2014">
        <v>96</v>
      </c>
      <c r="AX2014">
        <v>-0.35</v>
      </c>
      <c r="AY2014">
        <v>83</v>
      </c>
      <c r="AZ2014">
        <v>5.18</v>
      </c>
      <c r="BA2014">
        <v>69</v>
      </c>
      <c r="BB2014">
        <v>4.4800000000000004</v>
      </c>
      <c r="BC2014">
        <v>71</v>
      </c>
      <c r="BD2014">
        <v>-0.04</v>
      </c>
      <c r="BE2014">
        <v>-0.03</v>
      </c>
      <c r="BF2014">
        <v>-0.08</v>
      </c>
      <c r="BG2014">
        <v>90</v>
      </c>
      <c r="BH2014">
        <v>-7.0000000000000007E-2</v>
      </c>
      <c r="BI2014">
        <v>-15.89</v>
      </c>
      <c r="BJ2014">
        <v>15</v>
      </c>
      <c r="BK2014">
        <v>14</v>
      </c>
      <c r="BL2014">
        <v>0.02</v>
      </c>
      <c r="BM2014">
        <v>0.47</v>
      </c>
      <c r="BN2014">
        <v>-0.86</v>
      </c>
      <c r="BO2014">
        <v>-0.41</v>
      </c>
      <c r="BP2014">
        <v>3.39</v>
      </c>
      <c r="BQ2014">
        <v>-0.12</v>
      </c>
      <c r="BR2014">
        <v>-1.24</v>
      </c>
      <c r="BS2014">
        <v>-0.35</v>
      </c>
      <c r="BT2014">
        <v>-0.03</v>
      </c>
      <c r="BU2014">
        <v>0.4</v>
      </c>
      <c r="BV2014">
        <v>-1.44</v>
      </c>
      <c r="BW2014">
        <v>-1.31</v>
      </c>
      <c r="BX2014">
        <v>1.69</v>
      </c>
      <c r="BY2014">
        <v>-0.64</v>
      </c>
      <c r="BZ2014">
        <v>-1.92</v>
      </c>
      <c r="CA2014">
        <v>-0.24</v>
      </c>
      <c r="CB2014">
        <v>-0.2</v>
      </c>
      <c r="CC2014">
        <v>0.14000000000000001</v>
      </c>
      <c r="CD2014">
        <v>1.2</v>
      </c>
      <c r="CE2014">
        <v>-0.31</v>
      </c>
      <c r="CF2014">
        <v>-0.01</v>
      </c>
      <c r="CG2014">
        <v>0</v>
      </c>
      <c r="CH2014">
        <v>0.37</v>
      </c>
      <c r="CI2014">
        <v>0</v>
      </c>
      <c r="CJ2014">
        <v>7</v>
      </c>
      <c r="CK2014">
        <v>93</v>
      </c>
      <c r="CL2014">
        <v>-0.62</v>
      </c>
      <c r="CM2014">
        <v>92</v>
      </c>
      <c r="CN2014">
        <v>-0.25</v>
      </c>
      <c r="CO2014">
        <v>91</v>
      </c>
      <c r="CP2014">
        <v>6.4</v>
      </c>
      <c r="CQ2014">
        <v>90</v>
      </c>
      <c r="CR2014">
        <v>0</v>
      </c>
      <c r="CS2014">
        <v>0</v>
      </c>
      <c r="CT2014">
        <v>14.1</v>
      </c>
      <c r="CU2014">
        <v>89</v>
      </c>
      <c r="CV2014">
        <v>0.33</v>
      </c>
      <c r="CW2014">
        <v>46</v>
      </c>
      <c r="CX2014" t="s">
        <v>188</v>
      </c>
    </row>
    <row r="2015" spans="1:102" x14ac:dyDescent="0.3">
      <c r="A2015" t="str">
        <f>HYPERLINK("https://webapp.icbf.com/v2/app/bull-search/view/69092458","QUR")</f>
        <v>QUR</v>
      </c>
      <c r="B2015" t="s">
        <v>12141</v>
      </c>
      <c r="C2015" t="s">
        <v>4796</v>
      </c>
      <c r="D2015" s="1">
        <v>36048</v>
      </c>
      <c r="E2015" t="s">
        <v>92</v>
      </c>
      <c r="F2015">
        <v>100</v>
      </c>
      <c r="G2015" t="s">
        <v>93</v>
      </c>
      <c r="H2015">
        <v>70.349999999999994</v>
      </c>
      <c r="I2015">
        <v>98</v>
      </c>
      <c r="J2015">
        <v>52.64</v>
      </c>
      <c r="K2015">
        <v>99</v>
      </c>
      <c r="L2015">
        <v>-26.14</v>
      </c>
      <c r="M2015">
        <v>97</v>
      </c>
      <c r="N2015">
        <v>42.17</v>
      </c>
      <c r="O2015">
        <v>99</v>
      </c>
      <c r="P2015">
        <v>-9.2799999999999994</v>
      </c>
      <c r="Q2015">
        <v>99</v>
      </c>
      <c r="R2015">
        <v>-5.86</v>
      </c>
      <c r="S2015">
        <v>98</v>
      </c>
      <c r="T2015">
        <v>10.27</v>
      </c>
      <c r="U2015">
        <v>99</v>
      </c>
      <c r="V2015">
        <v>6.55</v>
      </c>
      <c r="W2015">
        <v>99</v>
      </c>
      <c r="X2015" t="s">
        <v>94</v>
      </c>
      <c r="Y2015" t="s">
        <v>95</v>
      </c>
      <c r="Z2015" t="s">
        <v>96</v>
      </c>
      <c r="AA2015" t="s">
        <v>216</v>
      </c>
      <c r="AB2015" t="s">
        <v>12142</v>
      </c>
      <c r="AC2015">
        <v>4215</v>
      </c>
      <c r="AD2015">
        <v>1632</v>
      </c>
      <c r="AE2015">
        <v>99</v>
      </c>
      <c r="AF2015">
        <v>433.81</v>
      </c>
      <c r="AG2015">
        <v>2.92</v>
      </c>
      <c r="AH2015">
        <v>14.56</v>
      </c>
      <c r="AI2015">
        <v>-0.23</v>
      </c>
      <c r="AJ2015">
        <v>0</v>
      </c>
      <c r="AK2015">
        <v>97</v>
      </c>
      <c r="AL2015">
        <v>5150</v>
      </c>
      <c r="AM2015">
        <v>2168</v>
      </c>
      <c r="AN2015">
        <v>1.8</v>
      </c>
      <c r="AO2015">
        <v>-0.28000000000000003</v>
      </c>
      <c r="AP2015">
        <v>6821</v>
      </c>
      <c r="AQ2015">
        <v>58</v>
      </c>
      <c r="AR2015">
        <v>4.4400000000000004</v>
      </c>
      <c r="AS2015">
        <v>99</v>
      </c>
      <c r="AT2015">
        <v>1.9</v>
      </c>
      <c r="AU2015">
        <v>99</v>
      </c>
      <c r="AV2015">
        <v>-2.64</v>
      </c>
      <c r="AW2015">
        <v>99</v>
      </c>
      <c r="AX2015">
        <v>-0.89</v>
      </c>
      <c r="AY2015">
        <v>99</v>
      </c>
      <c r="AZ2015">
        <v>5.22</v>
      </c>
      <c r="BA2015">
        <v>98</v>
      </c>
      <c r="BB2015">
        <v>4.76</v>
      </c>
      <c r="BC2015">
        <v>98</v>
      </c>
      <c r="BD2015">
        <v>0.01</v>
      </c>
      <c r="BE2015">
        <v>0.02</v>
      </c>
      <c r="BF2015">
        <v>0.08</v>
      </c>
      <c r="BG2015">
        <v>99</v>
      </c>
      <c r="BH2015">
        <v>0.12</v>
      </c>
      <c r="BI2015">
        <v>-7.26</v>
      </c>
      <c r="BJ2015">
        <v>279</v>
      </c>
      <c r="BK2015">
        <v>135</v>
      </c>
      <c r="BL2015">
        <v>-0.23</v>
      </c>
      <c r="BM2015">
        <v>0.66</v>
      </c>
      <c r="BN2015">
        <v>-0.26</v>
      </c>
      <c r="BO2015">
        <v>-0.28999999999999998</v>
      </c>
      <c r="BP2015">
        <v>-0.23</v>
      </c>
      <c r="BQ2015">
        <v>0.06</v>
      </c>
      <c r="BR2015">
        <v>1.75</v>
      </c>
      <c r="BS2015">
        <v>-3.07</v>
      </c>
      <c r="BT2015">
        <v>-2.21</v>
      </c>
      <c r="BU2015">
        <v>-0.03</v>
      </c>
      <c r="BV2015">
        <v>0.14000000000000001</v>
      </c>
      <c r="BW2015">
        <v>-1.02</v>
      </c>
      <c r="BX2015">
        <v>-0.46</v>
      </c>
      <c r="BY2015">
        <v>0.63</v>
      </c>
      <c r="BZ2015">
        <v>-1.42</v>
      </c>
      <c r="CA2015">
        <v>-1.03</v>
      </c>
      <c r="CB2015">
        <v>0.01</v>
      </c>
      <c r="CC2015">
        <v>-2.56</v>
      </c>
      <c r="CD2015">
        <v>0.51</v>
      </c>
      <c r="CE2015">
        <v>-0.13</v>
      </c>
      <c r="CF2015">
        <v>-0.34</v>
      </c>
      <c r="CG2015">
        <v>0</v>
      </c>
      <c r="CH2015">
        <v>0.74</v>
      </c>
      <c r="CI2015">
        <v>0</v>
      </c>
      <c r="CJ2015">
        <v>-1.6</v>
      </c>
      <c r="CK2015">
        <v>99</v>
      </c>
      <c r="CL2015">
        <v>-0.77</v>
      </c>
      <c r="CM2015">
        <v>99</v>
      </c>
      <c r="CN2015">
        <v>-0.19</v>
      </c>
      <c r="CO2015">
        <v>99</v>
      </c>
      <c r="CP2015">
        <v>-9</v>
      </c>
      <c r="CQ2015">
        <v>99</v>
      </c>
      <c r="CR2015">
        <v>0</v>
      </c>
      <c r="CS2015">
        <v>0</v>
      </c>
      <c r="CT2015">
        <v>-0.1</v>
      </c>
      <c r="CU2015">
        <v>99</v>
      </c>
      <c r="CV2015">
        <v>0.19</v>
      </c>
      <c r="CW2015">
        <v>50</v>
      </c>
      <c r="CX2015" t="s">
        <v>485</v>
      </c>
    </row>
    <row r="2016" spans="1:102" x14ac:dyDescent="0.3">
      <c r="A2016" t="str">
        <f>HYPERLINK("https://webapp.icbf.com/v2/app/bull-search/view/388952341","OSM")</f>
        <v>OSM</v>
      </c>
      <c r="B2016" t="s">
        <v>9952</v>
      </c>
      <c r="C2016" t="s">
        <v>9953</v>
      </c>
      <c r="D2016" s="1">
        <v>35827</v>
      </c>
      <c r="E2016" t="s">
        <v>140</v>
      </c>
      <c r="F2016">
        <v>0</v>
      </c>
      <c r="G2016" t="s">
        <v>93</v>
      </c>
      <c r="H2016">
        <v>70.34</v>
      </c>
      <c r="I2016">
        <v>78</v>
      </c>
      <c r="J2016">
        <v>-30.41</v>
      </c>
      <c r="K2016">
        <v>92</v>
      </c>
      <c r="L2016">
        <v>46.04</v>
      </c>
      <c r="M2016">
        <v>62</v>
      </c>
      <c r="N2016">
        <v>9.44</v>
      </c>
      <c r="O2016">
        <v>78</v>
      </c>
      <c r="P2016">
        <v>34.340000000000003</v>
      </c>
      <c r="Q2016">
        <v>91</v>
      </c>
      <c r="R2016">
        <v>10.220000000000001</v>
      </c>
      <c r="S2016">
        <v>67</v>
      </c>
      <c r="T2016">
        <v>1.17</v>
      </c>
      <c r="U2016">
        <v>85</v>
      </c>
      <c r="V2016">
        <v>-0.46</v>
      </c>
      <c r="W2016">
        <v>66</v>
      </c>
      <c r="X2016" t="s">
        <v>102</v>
      </c>
      <c r="Y2016" t="s">
        <v>95</v>
      </c>
      <c r="Z2016">
        <v>0</v>
      </c>
      <c r="AA2016" t="s">
        <v>295</v>
      </c>
      <c r="AB2016" t="s">
        <v>9954</v>
      </c>
      <c r="AC2016">
        <v>52</v>
      </c>
      <c r="AD2016">
        <v>19</v>
      </c>
      <c r="AE2016">
        <v>92</v>
      </c>
      <c r="AF2016">
        <v>-10.18</v>
      </c>
      <c r="AG2016">
        <v>-2.96</v>
      </c>
      <c r="AH2016">
        <v>-4.28</v>
      </c>
      <c r="AI2016">
        <v>-0.04</v>
      </c>
      <c r="AJ2016">
        <v>-7.0000000000000007E-2</v>
      </c>
      <c r="AK2016">
        <v>62</v>
      </c>
      <c r="AL2016">
        <v>59</v>
      </c>
      <c r="AM2016">
        <v>24</v>
      </c>
      <c r="AN2016">
        <v>-3.44</v>
      </c>
      <c r="AO2016">
        <v>0.22</v>
      </c>
      <c r="AP2016">
        <v>94</v>
      </c>
      <c r="AQ2016">
        <v>6</v>
      </c>
      <c r="AR2016">
        <v>5.92</v>
      </c>
      <c r="AS2016">
        <v>57</v>
      </c>
      <c r="AT2016">
        <v>3.29</v>
      </c>
      <c r="AU2016">
        <v>79</v>
      </c>
      <c r="AV2016">
        <v>-0.22</v>
      </c>
      <c r="AW2016">
        <v>90</v>
      </c>
      <c r="AX2016">
        <v>0.22</v>
      </c>
      <c r="AY2016">
        <v>74</v>
      </c>
      <c r="AZ2016">
        <v>5.63</v>
      </c>
      <c r="BA2016">
        <v>55</v>
      </c>
      <c r="BB2016">
        <v>4.0999999999999996</v>
      </c>
      <c r="BC2016">
        <v>59</v>
      </c>
      <c r="BD2016">
        <v>0.03</v>
      </c>
      <c r="BE2016">
        <v>-0.05</v>
      </c>
      <c r="BF2016">
        <v>-0.19</v>
      </c>
      <c r="BG2016">
        <v>76</v>
      </c>
      <c r="BH2016">
        <v>-0.04</v>
      </c>
      <c r="BI2016">
        <v>-3.15</v>
      </c>
      <c r="BJ2016">
        <v>0</v>
      </c>
      <c r="BK2016">
        <v>0</v>
      </c>
      <c r="BL2016">
        <v>-0.62</v>
      </c>
      <c r="BM2016">
        <v>3.97</v>
      </c>
      <c r="BN2016">
        <v>-1.46</v>
      </c>
      <c r="BO2016">
        <v>-3.12</v>
      </c>
      <c r="BP2016">
        <v>4.3</v>
      </c>
      <c r="BQ2016">
        <v>-1.62</v>
      </c>
      <c r="BR2016">
        <v>-2.57</v>
      </c>
      <c r="BS2016">
        <v>-0.24</v>
      </c>
      <c r="BT2016">
        <v>2.5499999999999998</v>
      </c>
      <c r="BU2016">
        <v>-3.37</v>
      </c>
      <c r="BV2016">
        <v>-3.79</v>
      </c>
      <c r="BW2016">
        <v>-2.79</v>
      </c>
      <c r="BX2016">
        <v>-2.72</v>
      </c>
      <c r="BY2016">
        <v>-1.83</v>
      </c>
      <c r="BZ2016">
        <v>0.86</v>
      </c>
      <c r="CA2016">
        <v>-2.5</v>
      </c>
      <c r="CB2016">
        <v>-3.19</v>
      </c>
      <c r="CC2016">
        <v>-0.42</v>
      </c>
      <c r="CD2016">
        <v>4.0999999999999996</v>
      </c>
      <c r="CE2016">
        <v>-3.12</v>
      </c>
      <c r="CF2016">
        <v>-0.81</v>
      </c>
      <c r="CG2016">
        <v>0</v>
      </c>
      <c r="CH2016">
        <v>-2.88</v>
      </c>
      <c r="CI2016">
        <v>0</v>
      </c>
      <c r="CJ2016">
        <v>14.3</v>
      </c>
      <c r="CK2016">
        <v>92</v>
      </c>
      <c r="CL2016">
        <v>0.96</v>
      </c>
      <c r="CM2016">
        <v>90</v>
      </c>
      <c r="CN2016">
        <v>-0.3</v>
      </c>
      <c r="CO2016">
        <v>89</v>
      </c>
      <c r="CP2016">
        <v>7.9</v>
      </c>
      <c r="CQ2016">
        <v>85</v>
      </c>
      <c r="CR2016">
        <v>0</v>
      </c>
      <c r="CS2016">
        <v>0</v>
      </c>
      <c r="CT2016">
        <v>12.2</v>
      </c>
      <c r="CU2016">
        <v>85</v>
      </c>
      <c r="CV2016">
        <v>-0.17</v>
      </c>
      <c r="CW2016">
        <v>27</v>
      </c>
      <c r="CX2016" t="s">
        <v>224</v>
      </c>
    </row>
    <row r="2017" spans="1:102" x14ac:dyDescent="0.3">
      <c r="A2017" t="str">
        <f>HYPERLINK("https://webapp.icbf.com/v2/app/bull-search/view/586069110","BZX")</f>
        <v>BZX</v>
      </c>
      <c r="B2017" t="s">
        <v>1660</v>
      </c>
      <c r="C2017" t="s">
        <v>1661</v>
      </c>
      <c r="D2017" s="1">
        <v>39332</v>
      </c>
      <c r="E2017" t="s">
        <v>92</v>
      </c>
      <c r="F2017">
        <v>75</v>
      </c>
      <c r="G2017" t="s">
        <v>109</v>
      </c>
      <c r="H2017">
        <v>70.319999999999993</v>
      </c>
      <c r="I2017">
        <v>71</v>
      </c>
      <c r="J2017">
        <v>59.35</v>
      </c>
      <c r="K2017">
        <v>89</v>
      </c>
      <c r="L2017">
        <v>-6.71</v>
      </c>
      <c r="M2017">
        <v>73</v>
      </c>
      <c r="N2017">
        <v>31.04</v>
      </c>
      <c r="O2017">
        <v>48</v>
      </c>
      <c r="P2017">
        <v>-18.54</v>
      </c>
      <c r="Q2017">
        <v>50</v>
      </c>
      <c r="R2017">
        <v>-10.02</v>
      </c>
      <c r="S2017">
        <v>67</v>
      </c>
      <c r="T2017">
        <v>10.79</v>
      </c>
      <c r="U2017">
        <v>43</v>
      </c>
      <c r="V2017">
        <v>4.41</v>
      </c>
      <c r="W2017">
        <v>57</v>
      </c>
      <c r="X2017" t="s">
        <v>276</v>
      </c>
      <c r="Y2017" t="s">
        <v>329</v>
      </c>
      <c r="Z2017" t="s">
        <v>330</v>
      </c>
      <c r="AA2017" t="s">
        <v>1662</v>
      </c>
      <c r="AB2017" t="s">
        <v>144</v>
      </c>
      <c r="AC2017">
        <v>0</v>
      </c>
      <c r="AD2017">
        <v>0</v>
      </c>
      <c r="AE2017">
        <v>89</v>
      </c>
      <c r="AF2017">
        <v>156.19999999999999</v>
      </c>
      <c r="AG2017">
        <v>6.46</v>
      </c>
      <c r="AH2017">
        <v>10.199999999999999</v>
      </c>
      <c r="AI2017">
        <v>0.01</v>
      </c>
      <c r="AJ2017">
        <v>0.08</v>
      </c>
      <c r="AK2017">
        <v>73</v>
      </c>
      <c r="AL2017">
        <v>0</v>
      </c>
      <c r="AM2017">
        <v>0</v>
      </c>
      <c r="AN2017">
        <v>-0.03</v>
      </c>
      <c r="AO2017">
        <v>-0.56999999999999995</v>
      </c>
      <c r="AP2017">
        <v>1</v>
      </c>
      <c r="AQ2017">
        <v>0</v>
      </c>
      <c r="AR2017">
        <v>6.15</v>
      </c>
      <c r="AS2017">
        <v>40</v>
      </c>
      <c r="AT2017">
        <v>2.4700000000000002</v>
      </c>
      <c r="AU2017">
        <v>73</v>
      </c>
      <c r="AV2017">
        <v>-2.68</v>
      </c>
      <c r="AW2017">
        <v>44</v>
      </c>
      <c r="AX2017">
        <v>-0.61</v>
      </c>
      <c r="AY2017">
        <v>43</v>
      </c>
      <c r="AZ2017">
        <v>6.54</v>
      </c>
      <c r="BA2017">
        <v>30</v>
      </c>
      <c r="BB2017">
        <v>5.08</v>
      </c>
      <c r="BC2017">
        <v>31</v>
      </c>
      <c r="BD2017">
        <v>-0.01</v>
      </c>
      <c r="BE2017">
        <v>0.03</v>
      </c>
      <c r="BF2017">
        <v>0.19</v>
      </c>
      <c r="BG2017">
        <v>86</v>
      </c>
      <c r="BH2017">
        <v>0.06</v>
      </c>
      <c r="BI2017">
        <v>-7.27</v>
      </c>
      <c r="BJ2017">
        <v>0</v>
      </c>
      <c r="BK2017">
        <v>0</v>
      </c>
      <c r="BL2017">
        <v>-1.44</v>
      </c>
      <c r="BM2017">
        <v>0.54</v>
      </c>
      <c r="BN2017">
        <v>-0.01</v>
      </c>
      <c r="BO2017">
        <v>-0.11</v>
      </c>
      <c r="BP2017">
        <v>0.84</v>
      </c>
      <c r="BQ2017">
        <v>-0.83</v>
      </c>
      <c r="BR2017">
        <v>1.22</v>
      </c>
      <c r="BS2017">
        <v>-0.11</v>
      </c>
      <c r="BT2017">
        <v>-1.81</v>
      </c>
      <c r="BU2017">
        <v>-0.61</v>
      </c>
      <c r="BV2017">
        <v>-0.67</v>
      </c>
      <c r="BW2017">
        <v>-1.3</v>
      </c>
      <c r="BX2017">
        <v>-1.1299999999999999</v>
      </c>
      <c r="BY2017">
        <v>-0.39</v>
      </c>
      <c r="BZ2017">
        <v>-0.14000000000000001</v>
      </c>
      <c r="CA2017">
        <v>-1.3</v>
      </c>
      <c r="CB2017">
        <v>-0.78</v>
      </c>
      <c r="CC2017">
        <v>-1.45</v>
      </c>
      <c r="CD2017">
        <v>0.02</v>
      </c>
      <c r="CE2017">
        <v>0.01</v>
      </c>
      <c r="CF2017">
        <v>-0.14000000000000001</v>
      </c>
      <c r="CG2017">
        <v>0</v>
      </c>
      <c r="CH2017">
        <v>-0.79</v>
      </c>
      <c r="CI2017">
        <v>0</v>
      </c>
      <c r="CJ2017">
        <v>-6.9</v>
      </c>
      <c r="CK2017">
        <v>51</v>
      </c>
      <c r="CL2017">
        <v>-0.53</v>
      </c>
      <c r="CM2017">
        <v>49</v>
      </c>
      <c r="CN2017">
        <v>0.17</v>
      </c>
      <c r="CO2017">
        <v>47</v>
      </c>
      <c r="CP2017">
        <v>-10.4</v>
      </c>
      <c r="CQ2017">
        <v>45</v>
      </c>
      <c r="CR2017">
        <v>0</v>
      </c>
      <c r="CS2017">
        <v>0</v>
      </c>
      <c r="CT2017">
        <v>-0.8</v>
      </c>
      <c r="CU2017">
        <v>43</v>
      </c>
      <c r="CV2017">
        <v>0</v>
      </c>
      <c r="CW2017">
        <v>35</v>
      </c>
      <c r="CX2017" t="s">
        <v>1663</v>
      </c>
    </row>
    <row r="2018" spans="1:102" x14ac:dyDescent="0.3">
      <c r="A2018" t="str">
        <f>HYPERLINK("https://webapp.icbf.com/v2/app/bull-search/view/319248793","DGZ")</f>
        <v>DGZ</v>
      </c>
      <c r="B2018" t="s">
        <v>15574</v>
      </c>
      <c r="C2018" t="s">
        <v>15575</v>
      </c>
      <c r="D2018" s="1">
        <v>38003</v>
      </c>
      <c r="E2018" t="s">
        <v>92</v>
      </c>
      <c r="F2018">
        <v>94</v>
      </c>
      <c r="G2018" t="s">
        <v>93</v>
      </c>
      <c r="H2018">
        <v>70.3</v>
      </c>
      <c r="I2018">
        <v>83</v>
      </c>
      <c r="J2018">
        <v>15.63</v>
      </c>
      <c r="K2018">
        <v>95</v>
      </c>
      <c r="L2018">
        <v>45.1</v>
      </c>
      <c r="M2018">
        <v>76</v>
      </c>
      <c r="N2018">
        <v>27.24</v>
      </c>
      <c r="O2018">
        <v>80</v>
      </c>
      <c r="P2018">
        <v>-12.85</v>
      </c>
      <c r="Q2018">
        <v>86</v>
      </c>
      <c r="R2018">
        <v>-4.41</v>
      </c>
      <c r="S2018">
        <v>77</v>
      </c>
      <c r="T2018">
        <v>8.35</v>
      </c>
      <c r="U2018">
        <v>76</v>
      </c>
      <c r="V2018">
        <v>-8.76</v>
      </c>
      <c r="W2018">
        <v>72</v>
      </c>
      <c r="X2018" t="s">
        <v>94</v>
      </c>
      <c r="Y2018" t="s">
        <v>228</v>
      </c>
      <c r="Z2018" t="s">
        <v>96</v>
      </c>
      <c r="AA2018" t="s">
        <v>1109</v>
      </c>
      <c r="AB2018" t="s">
        <v>15576</v>
      </c>
      <c r="AC2018">
        <v>46</v>
      </c>
      <c r="AD2018">
        <v>40</v>
      </c>
      <c r="AE2018">
        <v>95</v>
      </c>
      <c r="AF2018">
        <v>-99.89</v>
      </c>
      <c r="AG2018">
        <v>0.79</v>
      </c>
      <c r="AH2018">
        <v>0.85</v>
      </c>
      <c r="AI2018">
        <v>0.08</v>
      </c>
      <c r="AJ2018">
        <v>0.08</v>
      </c>
      <c r="AK2018">
        <v>76</v>
      </c>
      <c r="AL2018">
        <v>45</v>
      </c>
      <c r="AM2018">
        <v>39</v>
      </c>
      <c r="AN2018">
        <v>-4.55</v>
      </c>
      <c r="AO2018">
        <v>-0.98</v>
      </c>
      <c r="AP2018">
        <v>92</v>
      </c>
      <c r="AQ2018">
        <v>0</v>
      </c>
      <c r="AR2018">
        <v>6.76</v>
      </c>
      <c r="AS2018">
        <v>64</v>
      </c>
      <c r="AT2018">
        <v>2.52</v>
      </c>
      <c r="AU2018">
        <v>82</v>
      </c>
      <c r="AV2018">
        <v>-2.58</v>
      </c>
      <c r="AW2018">
        <v>91</v>
      </c>
      <c r="AX2018">
        <v>-0.8</v>
      </c>
      <c r="AY2018">
        <v>73</v>
      </c>
      <c r="AZ2018">
        <v>6.71</v>
      </c>
      <c r="BA2018">
        <v>58</v>
      </c>
      <c r="BB2018">
        <v>5.37</v>
      </c>
      <c r="BC2018">
        <v>59</v>
      </c>
      <c r="BD2018">
        <v>0.05</v>
      </c>
      <c r="BE2018">
        <v>0.02</v>
      </c>
      <c r="BF2018">
        <v>-0.02</v>
      </c>
      <c r="BG2018">
        <v>85</v>
      </c>
      <c r="BH2018">
        <v>-0.27</v>
      </c>
      <c r="BI2018">
        <v>-2.99</v>
      </c>
      <c r="BJ2018">
        <v>14</v>
      </c>
      <c r="BK2018">
        <v>12</v>
      </c>
      <c r="BL2018">
        <v>-0.19</v>
      </c>
      <c r="BM2018">
        <v>0.02</v>
      </c>
      <c r="BN2018">
        <v>7.0000000000000007E-2</v>
      </c>
      <c r="BO2018">
        <v>-0.25</v>
      </c>
      <c r="BP2018">
        <v>1.87</v>
      </c>
      <c r="BQ2018">
        <v>0.91</v>
      </c>
      <c r="BR2018">
        <v>-0.64</v>
      </c>
      <c r="BS2018">
        <v>0.37</v>
      </c>
      <c r="BT2018">
        <v>1.87</v>
      </c>
      <c r="BU2018">
        <v>-2.2599999999999998</v>
      </c>
      <c r="BV2018">
        <v>-0.83</v>
      </c>
      <c r="BW2018">
        <v>-0.2</v>
      </c>
      <c r="BX2018">
        <v>-1.6</v>
      </c>
      <c r="BY2018">
        <v>-0.81</v>
      </c>
      <c r="BZ2018">
        <v>-3.19</v>
      </c>
      <c r="CA2018">
        <v>-1.0900000000000001</v>
      </c>
      <c r="CB2018">
        <v>-1.25</v>
      </c>
      <c r="CC2018">
        <v>0.36</v>
      </c>
      <c r="CD2018">
        <v>0</v>
      </c>
      <c r="CE2018">
        <v>0.36</v>
      </c>
      <c r="CF2018">
        <v>0.49</v>
      </c>
      <c r="CG2018">
        <v>0</v>
      </c>
      <c r="CH2018">
        <v>-0.59</v>
      </c>
      <c r="CI2018">
        <v>0</v>
      </c>
      <c r="CJ2018">
        <v>-5.9</v>
      </c>
      <c r="CK2018">
        <v>87</v>
      </c>
      <c r="CL2018">
        <v>-0.59</v>
      </c>
      <c r="CM2018">
        <v>85</v>
      </c>
      <c r="CN2018">
        <v>-0.21</v>
      </c>
      <c r="CO2018">
        <v>83</v>
      </c>
      <c r="CP2018">
        <v>-7.2</v>
      </c>
      <c r="CQ2018">
        <v>83</v>
      </c>
      <c r="CR2018">
        <v>0</v>
      </c>
      <c r="CS2018">
        <v>0</v>
      </c>
      <c r="CT2018">
        <v>2.5</v>
      </c>
      <c r="CU2018">
        <v>76</v>
      </c>
      <c r="CV2018">
        <v>0.06</v>
      </c>
      <c r="CW2018">
        <v>43</v>
      </c>
      <c r="CX2018" t="s">
        <v>6877</v>
      </c>
    </row>
    <row r="2019" spans="1:102" x14ac:dyDescent="0.3">
      <c r="A2019" t="str">
        <f>HYPERLINK("https://webapp.icbf.com/v2/app/bull-search/view/1196709892","S3075")</f>
        <v>S3075</v>
      </c>
      <c r="B2019" t="s">
        <v>3097</v>
      </c>
      <c r="C2019" t="s">
        <v>3098</v>
      </c>
      <c r="D2019" s="1">
        <v>41486</v>
      </c>
      <c r="E2019" t="s">
        <v>92</v>
      </c>
      <c r="F2019">
        <v>100</v>
      </c>
      <c r="G2019" t="s">
        <v>109</v>
      </c>
      <c r="H2019">
        <v>70.28</v>
      </c>
      <c r="I2019">
        <v>76</v>
      </c>
      <c r="J2019">
        <v>48.84</v>
      </c>
      <c r="K2019">
        <v>92</v>
      </c>
      <c r="L2019">
        <v>-22.14</v>
      </c>
      <c r="M2019">
        <v>82</v>
      </c>
      <c r="N2019">
        <v>29.09</v>
      </c>
      <c r="O2019">
        <v>62</v>
      </c>
      <c r="P2019">
        <v>-5.91</v>
      </c>
      <c r="Q2019">
        <v>46</v>
      </c>
      <c r="R2019">
        <v>26.36</v>
      </c>
      <c r="S2019">
        <v>71</v>
      </c>
      <c r="T2019">
        <v>-11.26</v>
      </c>
      <c r="U2019">
        <v>41</v>
      </c>
      <c r="V2019">
        <v>5.3</v>
      </c>
      <c r="W2019">
        <v>56</v>
      </c>
      <c r="X2019" t="s">
        <v>94</v>
      </c>
      <c r="Y2019" t="s">
        <v>411</v>
      </c>
      <c r="Z2019" t="s">
        <v>96</v>
      </c>
      <c r="AA2019" t="s">
        <v>3099</v>
      </c>
      <c r="AB2019" t="s">
        <v>3100</v>
      </c>
      <c r="AC2019">
        <v>0</v>
      </c>
      <c r="AD2019">
        <v>0</v>
      </c>
      <c r="AE2019">
        <v>92</v>
      </c>
      <c r="AF2019">
        <v>141.22</v>
      </c>
      <c r="AG2019">
        <v>11.84</v>
      </c>
      <c r="AH2019">
        <v>6.28</v>
      </c>
      <c r="AI2019">
        <v>0.11</v>
      </c>
      <c r="AJ2019">
        <v>0.03</v>
      </c>
      <c r="AK2019">
        <v>82</v>
      </c>
      <c r="AL2019">
        <v>0</v>
      </c>
      <c r="AM2019">
        <v>0</v>
      </c>
      <c r="AN2019">
        <v>0.89</v>
      </c>
      <c r="AO2019">
        <v>-0.88</v>
      </c>
      <c r="AP2019">
        <v>14</v>
      </c>
      <c r="AQ2019">
        <v>0</v>
      </c>
      <c r="AR2019">
        <v>6.24</v>
      </c>
      <c r="AS2019">
        <v>56</v>
      </c>
      <c r="AT2019">
        <v>2.86</v>
      </c>
      <c r="AU2019">
        <v>90</v>
      </c>
      <c r="AV2019">
        <v>-2.4300000000000002</v>
      </c>
      <c r="AW2019">
        <v>60</v>
      </c>
      <c r="AX2019">
        <v>-0.38</v>
      </c>
      <c r="AY2019">
        <v>44</v>
      </c>
      <c r="AZ2019">
        <v>5.72</v>
      </c>
      <c r="BA2019">
        <v>38</v>
      </c>
      <c r="BB2019">
        <v>4.54</v>
      </c>
      <c r="BC2019">
        <v>37</v>
      </c>
      <c r="BD2019">
        <v>-0.12</v>
      </c>
      <c r="BE2019">
        <v>-0.14000000000000001</v>
      </c>
      <c r="BF2019">
        <v>-0.14000000000000001</v>
      </c>
      <c r="BG2019">
        <v>90</v>
      </c>
      <c r="BH2019">
        <v>-0.12</v>
      </c>
      <c r="BI2019">
        <v>-30.99</v>
      </c>
      <c r="BJ2019">
        <v>0</v>
      </c>
      <c r="BK2019">
        <v>0</v>
      </c>
      <c r="BL2019">
        <v>2.44</v>
      </c>
      <c r="BM2019">
        <v>-7.0000000000000007E-2</v>
      </c>
      <c r="BN2019">
        <v>2</v>
      </c>
      <c r="BO2019">
        <v>2</v>
      </c>
      <c r="BP2019">
        <v>2.2599999999999998</v>
      </c>
      <c r="BQ2019">
        <v>0.92</v>
      </c>
      <c r="BR2019">
        <v>-1.1100000000000001</v>
      </c>
      <c r="BS2019">
        <v>2.2200000000000002</v>
      </c>
      <c r="BT2019">
        <v>1.39</v>
      </c>
      <c r="BU2019">
        <v>4.49</v>
      </c>
      <c r="BV2019">
        <v>3.63</v>
      </c>
      <c r="BW2019">
        <v>2.06</v>
      </c>
      <c r="BX2019">
        <v>3.83</v>
      </c>
      <c r="BY2019">
        <v>2.73</v>
      </c>
      <c r="BZ2019">
        <v>-3.17</v>
      </c>
      <c r="CA2019">
        <v>3.77</v>
      </c>
      <c r="CB2019">
        <v>3.22</v>
      </c>
      <c r="CC2019">
        <v>3.08</v>
      </c>
      <c r="CD2019">
        <v>-1.07</v>
      </c>
      <c r="CE2019">
        <v>0.49</v>
      </c>
      <c r="CF2019">
        <v>1.31</v>
      </c>
      <c r="CG2019">
        <v>0</v>
      </c>
      <c r="CH2019">
        <v>2.95</v>
      </c>
      <c r="CI2019">
        <v>0</v>
      </c>
      <c r="CJ2019">
        <v>-1.2</v>
      </c>
      <c r="CK2019">
        <v>47</v>
      </c>
      <c r="CL2019">
        <v>-1.61</v>
      </c>
      <c r="CM2019">
        <v>46</v>
      </c>
      <c r="CN2019">
        <v>-0.97</v>
      </c>
      <c r="CO2019">
        <v>45</v>
      </c>
      <c r="CP2019">
        <v>6.7</v>
      </c>
      <c r="CQ2019">
        <v>42</v>
      </c>
      <c r="CR2019">
        <v>0</v>
      </c>
      <c r="CS2019">
        <v>0</v>
      </c>
      <c r="CT2019">
        <v>29</v>
      </c>
      <c r="CU2019">
        <v>41</v>
      </c>
      <c r="CV2019">
        <v>0.28999999999999998</v>
      </c>
      <c r="CW2019">
        <v>35</v>
      </c>
      <c r="CX2019" t="s">
        <v>3101</v>
      </c>
    </row>
    <row r="2020" spans="1:102" x14ac:dyDescent="0.3">
      <c r="A2020" t="str">
        <f>HYPERLINK("https://webapp.icbf.com/v2/app/bull-search/view/973549478","S1345")</f>
        <v>S1345</v>
      </c>
      <c r="B2020" t="s">
        <v>1893</v>
      </c>
      <c r="C2020" t="s">
        <v>1894</v>
      </c>
      <c r="D2020" s="1">
        <v>40351</v>
      </c>
      <c r="E2020" t="s">
        <v>92</v>
      </c>
      <c r="F2020">
        <v>100</v>
      </c>
      <c r="G2020" t="s">
        <v>93</v>
      </c>
      <c r="H2020">
        <v>69.84</v>
      </c>
      <c r="I2020">
        <v>92</v>
      </c>
      <c r="J2020">
        <v>60.84</v>
      </c>
      <c r="K2020">
        <v>98</v>
      </c>
      <c r="L2020">
        <v>-56.16</v>
      </c>
      <c r="M2020">
        <v>93</v>
      </c>
      <c r="N2020">
        <v>40.340000000000003</v>
      </c>
      <c r="O2020">
        <v>93</v>
      </c>
      <c r="P2020">
        <v>-4.1500000000000004</v>
      </c>
      <c r="Q2020">
        <v>95</v>
      </c>
      <c r="R2020">
        <v>7.74</v>
      </c>
      <c r="S2020">
        <v>80</v>
      </c>
      <c r="T2020">
        <v>15.53</v>
      </c>
      <c r="U2020">
        <v>74</v>
      </c>
      <c r="V2020">
        <v>5.7</v>
      </c>
      <c r="W2020">
        <v>69</v>
      </c>
      <c r="X2020" t="s">
        <v>428</v>
      </c>
      <c r="Y2020" t="s">
        <v>342</v>
      </c>
      <c r="Z2020" t="s">
        <v>96</v>
      </c>
      <c r="AA2020" t="s">
        <v>1895</v>
      </c>
      <c r="AB2020" t="s">
        <v>1896</v>
      </c>
      <c r="AC2020">
        <v>329</v>
      </c>
      <c r="AD2020">
        <v>95</v>
      </c>
      <c r="AE2020">
        <v>98</v>
      </c>
      <c r="AF2020">
        <v>518.54</v>
      </c>
      <c r="AG2020">
        <v>17.96</v>
      </c>
      <c r="AH2020">
        <v>11.93</v>
      </c>
      <c r="AI2020">
        <v>-0.04</v>
      </c>
      <c r="AJ2020">
        <v>-0.09</v>
      </c>
      <c r="AK2020">
        <v>93</v>
      </c>
      <c r="AL2020">
        <v>98</v>
      </c>
      <c r="AM2020">
        <v>40</v>
      </c>
      <c r="AN2020">
        <v>3.72</v>
      </c>
      <c r="AO2020">
        <v>-0.75</v>
      </c>
      <c r="AP2020">
        <v>1120</v>
      </c>
      <c r="AQ2020">
        <v>1</v>
      </c>
      <c r="AR2020">
        <v>6.17</v>
      </c>
      <c r="AS2020">
        <v>96</v>
      </c>
      <c r="AT2020">
        <v>2.5499999999999998</v>
      </c>
      <c r="AU2020">
        <v>99</v>
      </c>
      <c r="AV2020">
        <v>-3.51</v>
      </c>
      <c r="AW2020">
        <v>99</v>
      </c>
      <c r="AX2020">
        <v>-0.48</v>
      </c>
      <c r="AY2020">
        <v>96</v>
      </c>
      <c r="AZ2020">
        <v>5.36</v>
      </c>
      <c r="BA2020">
        <v>84</v>
      </c>
      <c r="BB2020">
        <v>4.6900000000000004</v>
      </c>
      <c r="BC2020">
        <v>64</v>
      </c>
      <c r="BD2020">
        <v>-0.06</v>
      </c>
      <c r="BE2020">
        <v>-0.02</v>
      </c>
      <c r="BF2020">
        <v>-0.04</v>
      </c>
      <c r="BG2020">
        <v>95</v>
      </c>
      <c r="BH2020">
        <v>-0.05</v>
      </c>
      <c r="BI2020">
        <v>-24.17</v>
      </c>
      <c r="BJ2020">
        <v>126</v>
      </c>
      <c r="BK2020">
        <v>51</v>
      </c>
      <c r="BL2020">
        <v>0.6</v>
      </c>
      <c r="BM2020">
        <v>-0.4</v>
      </c>
      <c r="BN2020">
        <v>1.28</v>
      </c>
      <c r="BO2020">
        <v>1.7</v>
      </c>
      <c r="BP2020">
        <v>-0.03</v>
      </c>
      <c r="BQ2020">
        <v>-7.0000000000000007E-2</v>
      </c>
      <c r="BR2020">
        <v>-2.58</v>
      </c>
      <c r="BS2020">
        <v>4.43</v>
      </c>
      <c r="BT2020">
        <v>2.91</v>
      </c>
      <c r="BU2020">
        <v>3.21</v>
      </c>
      <c r="BV2020">
        <v>3.57</v>
      </c>
      <c r="BW2020">
        <v>1.36</v>
      </c>
      <c r="BX2020">
        <v>1.95</v>
      </c>
      <c r="BY2020">
        <v>2.76</v>
      </c>
      <c r="BZ2020">
        <v>-1.96</v>
      </c>
      <c r="CA2020">
        <v>2.8</v>
      </c>
      <c r="CB2020">
        <v>2.61</v>
      </c>
      <c r="CC2020">
        <v>2.4</v>
      </c>
      <c r="CD2020">
        <v>-0.76</v>
      </c>
      <c r="CE2020">
        <v>1.45</v>
      </c>
      <c r="CF2020">
        <v>1.46</v>
      </c>
      <c r="CG2020">
        <v>0</v>
      </c>
      <c r="CH2020">
        <v>2.4700000000000002</v>
      </c>
      <c r="CI2020">
        <v>0</v>
      </c>
      <c r="CJ2020">
        <v>-0.9</v>
      </c>
      <c r="CK2020">
        <v>96</v>
      </c>
      <c r="CL2020">
        <v>-0.73</v>
      </c>
      <c r="CM2020">
        <v>95</v>
      </c>
      <c r="CN2020">
        <v>-0.49</v>
      </c>
      <c r="CO2020">
        <v>95</v>
      </c>
      <c r="CP2020">
        <v>-7.4</v>
      </c>
      <c r="CQ2020">
        <v>82</v>
      </c>
      <c r="CR2020">
        <v>0</v>
      </c>
      <c r="CS2020">
        <v>0</v>
      </c>
      <c r="CT2020">
        <v>-7.2</v>
      </c>
      <c r="CU2020">
        <v>74</v>
      </c>
      <c r="CV2020">
        <v>0.2</v>
      </c>
      <c r="CW2020">
        <v>45</v>
      </c>
      <c r="CX2020" t="s">
        <v>1897</v>
      </c>
    </row>
    <row r="2021" spans="1:102" x14ac:dyDescent="0.3">
      <c r="A2021" t="str">
        <f>HYPERLINK("https://webapp.icbf.com/v2/app/bull-search/view/1418735742","S3130")</f>
        <v>S3130</v>
      </c>
      <c r="B2021" t="s">
        <v>7214</v>
      </c>
      <c r="C2021" t="s">
        <v>7215</v>
      </c>
      <c r="D2021" s="1">
        <v>42120</v>
      </c>
      <c r="E2021" t="s">
        <v>92</v>
      </c>
      <c r="F2021">
        <v>100</v>
      </c>
      <c r="G2021" t="s">
        <v>435</v>
      </c>
      <c r="H2021">
        <v>69.72</v>
      </c>
      <c r="I2021">
        <v>65</v>
      </c>
      <c r="J2021">
        <v>83.5</v>
      </c>
      <c r="K2021">
        <v>88</v>
      </c>
      <c r="L2021">
        <v>-44.34</v>
      </c>
      <c r="M2021">
        <v>66</v>
      </c>
      <c r="N2021">
        <v>27.93</v>
      </c>
      <c r="O2021">
        <v>47</v>
      </c>
      <c r="P2021">
        <v>-1.34</v>
      </c>
      <c r="Q2021">
        <v>35</v>
      </c>
      <c r="R2021">
        <v>13.41</v>
      </c>
      <c r="S2021">
        <v>62</v>
      </c>
      <c r="T2021">
        <v>-10.37</v>
      </c>
      <c r="U2021">
        <v>33</v>
      </c>
      <c r="V2021">
        <v>0.93</v>
      </c>
      <c r="W2021">
        <v>51</v>
      </c>
      <c r="X2021" t="s">
        <v>110</v>
      </c>
      <c r="Y2021" t="s">
        <v>457</v>
      </c>
      <c r="Z2021" t="s">
        <v>96</v>
      </c>
      <c r="AA2021" t="s">
        <v>7216</v>
      </c>
      <c r="AB2021" t="s">
        <v>7217</v>
      </c>
      <c r="AC2021">
        <v>0</v>
      </c>
      <c r="AD2021">
        <v>0</v>
      </c>
      <c r="AE2021">
        <v>88</v>
      </c>
      <c r="AF2021">
        <v>731.36</v>
      </c>
      <c r="AG2021">
        <v>13.64</v>
      </c>
      <c r="AH2021">
        <v>20.57</v>
      </c>
      <c r="AI2021">
        <v>-0.23</v>
      </c>
      <c r="AJ2021">
        <v>-0.06</v>
      </c>
      <c r="AK2021">
        <v>66</v>
      </c>
      <c r="AL2021">
        <v>0</v>
      </c>
      <c r="AM2021">
        <v>0</v>
      </c>
      <c r="AN2021">
        <v>5.24</v>
      </c>
      <c r="AO2021">
        <v>1.74</v>
      </c>
      <c r="AP2021">
        <v>1</v>
      </c>
      <c r="AQ2021">
        <v>0</v>
      </c>
      <c r="AR2021">
        <v>10.48</v>
      </c>
      <c r="AS2021">
        <v>45</v>
      </c>
      <c r="AT2021">
        <v>3.84</v>
      </c>
      <c r="AU2021">
        <v>82</v>
      </c>
      <c r="AV2021">
        <v>-5.16</v>
      </c>
      <c r="AW2021">
        <v>35</v>
      </c>
      <c r="AX2021">
        <v>0.05</v>
      </c>
      <c r="AY2021">
        <v>36</v>
      </c>
      <c r="AZ2021">
        <v>6.24</v>
      </c>
      <c r="BA2021">
        <v>31</v>
      </c>
      <c r="BB2021">
        <v>4.51</v>
      </c>
      <c r="BC2021">
        <v>31</v>
      </c>
      <c r="BD2021">
        <v>-0.02</v>
      </c>
      <c r="BE2021">
        <v>-0.05</v>
      </c>
      <c r="BF2021">
        <v>-0.18</v>
      </c>
      <c r="BG2021">
        <v>78</v>
      </c>
      <c r="BH2021">
        <v>-0.05</v>
      </c>
      <c r="BI2021">
        <v>-8.77</v>
      </c>
      <c r="BJ2021">
        <v>0</v>
      </c>
      <c r="BK2021">
        <v>0</v>
      </c>
      <c r="BL2021">
        <v>2.5099999999999998</v>
      </c>
      <c r="BM2021">
        <v>-0.81</v>
      </c>
      <c r="BN2021">
        <v>0.81</v>
      </c>
      <c r="BO2021">
        <v>1.75</v>
      </c>
      <c r="BP2021">
        <v>3.35</v>
      </c>
      <c r="BQ2021">
        <v>1.96</v>
      </c>
      <c r="BR2021">
        <v>-0.28000000000000003</v>
      </c>
      <c r="BS2021">
        <v>1.62</v>
      </c>
      <c r="BT2021">
        <v>1.07</v>
      </c>
      <c r="BU2021">
        <v>3.12</v>
      </c>
      <c r="BV2021">
        <v>3.68</v>
      </c>
      <c r="BW2021">
        <v>2.85</v>
      </c>
      <c r="BX2021">
        <v>3.4</v>
      </c>
      <c r="BY2021">
        <v>1.54</v>
      </c>
      <c r="BZ2021">
        <v>-0.2</v>
      </c>
      <c r="CA2021">
        <v>3.64</v>
      </c>
      <c r="CB2021">
        <v>3.3</v>
      </c>
      <c r="CC2021">
        <v>2.44</v>
      </c>
      <c r="CD2021">
        <v>-1.52</v>
      </c>
      <c r="CE2021">
        <v>1.63</v>
      </c>
      <c r="CF2021">
        <v>1.49</v>
      </c>
      <c r="CG2021">
        <v>0</v>
      </c>
      <c r="CH2021">
        <v>2.39</v>
      </c>
      <c r="CI2021">
        <v>0</v>
      </c>
      <c r="CJ2021">
        <v>1.6</v>
      </c>
      <c r="CK2021">
        <v>35</v>
      </c>
      <c r="CL2021">
        <v>-1.42</v>
      </c>
      <c r="CM2021">
        <v>35</v>
      </c>
      <c r="CN2021">
        <v>-0.84</v>
      </c>
      <c r="CO2021">
        <v>35</v>
      </c>
      <c r="CP2021">
        <v>8.5</v>
      </c>
      <c r="CQ2021">
        <v>34</v>
      </c>
      <c r="CR2021">
        <v>0</v>
      </c>
      <c r="CS2021">
        <v>0</v>
      </c>
      <c r="CT2021">
        <v>27.8</v>
      </c>
      <c r="CU2021">
        <v>33</v>
      </c>
      <c r="CV2021">
        <v>0.25</v>
      </c>
      <c r="CW2021">
        <v>32</v>
      </c>
      <c r="CX2021" t="s">
        <v>7218</v>
      </c>
    </row>
    <row r="2022" spans="1:102" x14ac:dyDescent="0.3">
      <c r="A2022" t="str">
        <f>HYPERLINK("https://webapp.icbf.com/v2/app/bull-search/view/77857381","HCM")</f>
        <v>HCM</v>
      </c>
      <c r="B2022" t="s">
        <v>15322</v>
      </c>
      <c r="C2022" t="s">
        <v>216</v>
      </c>
      <c r="D2022" s="1">
        <v>33579</v>
      </c>
      <c r="E2022" t="s">
        <v>92</v>
      </c>
      <c r="F2022">
        <v>100</v>
      </c>
      <c r="G2022" t="s">
        <v>93</v>
      </c>
      <c r="H2022">
        <v>69.7</v>
      </c>
      <c r="I2022">
        <v>94</v>
      </c>
      <c r="J2022">
        <v>38.83</v>
      </c>
      <c r="K2022">
        <v>98</v>
      </c>
      <c r="L2022">
        <v>9.9600000000000009</v>
      </c>
      <c r="M2022">
        <v>94</v>
      </c>
      <c r="N2022">
        <v>43.67</v>
      </c>
      <c r="O2022">
        <v>90</v>
      </c>
      <c r="P2022">
        <v>-15.44</v>
      </c>
      <c r="Q2022">
        <v>92</v>
      </c>
      <c r="R2022">
        <v>-18.12</v>
      </c>
      <c r="S2022">
        <v>90</v>
      </c>
      <c r="T2022">
        <v>5.17</v>
      </c>
      <c r="U2022">
        <v>91</v>
      </c>
      <c r="V2022">
        <v>5.63</v>
      </c>
      <c r="W2022">
        <v>86</v>
      </c>
      <c r="X2022" t="s">
        <v>110</v>
      </c>
      <c r="Y2022" t="s">
        <v>95</v>
      </c>
      <c r="Z2022" t="s">
        <v>96</v>
      </c>
      <c r="AA2022" t="s">
        <v>666</v>
      </c>
      <c r="AB2022" t="s">
        <v>15323</v>
      </c>
      <c r="AC2022">
        <v>112</v>
      </c>
      <c r="AD2022">
        <v>50</v>
      </c>
      <c r="AE2022">
        <v>98</v>
      </c>
      <c r="AF2022">
        <v>626.58000000000004</v>
      </c>
      <c r="AG2022">
        <v>9.99</v>
      </c>
      <c r="AH2022">
        <v>12.66</v>
      </c>
      <c r="AI2022">
        <v>-0.23</v>
      </c>
      <c r="AJ2022">
        <v>-0.14000000000000001</v>
      </c>
      <c r="AK2022">
        <v>94</v>
      </c>
      <c r="AL2022">
        <v>112</v>
      </c>
      <c r="AM2022">
        <v>41</v>
      </c>
      <c r="AN2022">
        <v>-0.1</v>
      </c>
      <c r="AO2022">
        <v>0.7</v>
      </c>
      <c r="AP2022">
        <v>4</v>
      </c>
      <c r="AQ2022">
        <v>0</v>
      </c>
      <c r="AR2022">
        <v>3.96</v>
      </c>
      <c r="AS2022">
        <v>87</v>
      </c>
      <c r="AT2022">
        <v>1.69</v>
      </c>
      <c r="AU2022">
        <v>99</v>
      </c>
      <c r="AV2022">
        <v>-3.52</v>
      </c>
      <c r="AW2022">
        <v>88</v>
      </c>
      <c r="AX2022">
        <v>0.03</v>
      </c>
      <c r="AY2022">
        <v>89</v>
      </c>
      <c r="AZ2022">
        <v>5.94</v>
      </c>
      <c r="BA2022">
        <v>82</v>
      </c>
      <c r="BB2022">
        <v>5.59</v>
      </c>
      <c r="BC2022">
        <v>85</v>
      </c>
      <c r="BD2022">
        <v>7.0000000000000007E-2</v>
      </c>
      <c r="BE2022">
        <v>0.1</v>
      </c>
      <c r="BF2022">
        <v>0.11</v>
      </c>
      <c r="BG2022">
        <v>95</v>
      </c>
      <c r="BH2022">
        <v>0.1</v>
      </c>
      <c r="BI2022">
        <v>-6.59</v>
      </c>
      <c r="BJ2022">
        <v>15</v>
      </c>
      <c r="BK2022">
        <v>11</v>
      </c>
      <c r="BL2022">
        <v>-0.73</v>
      </c>
      <c r="BM2022">
        <v>0.96</v>
      </c>
      <c r="BN2022">
        <v>0.19</v>
      </c>
      <c r="BO2022">
        <v>-0.43</v>
      </c>
      <c r="BP2022">
        <v>0.91</v>
      </c>
      <c r="BQ2022">
        <v>-0.71</v>
      </c>
      <c r="BR2022">
        <v>-0.66</v>
      </c>
      <c r="BS2022">
        <v>-1.46</v>
      </c>
      <c r="BT2022">
        <v>-0.57999999999999996</v>
      </c>
      <c r="BU2022">
        <v>-1.53</v>
      </c>
      <c r="BV2022">
        <v>-0.99</v>
      </c>
      <c r="BW2022">
        <v>-1.06</v>
      </c>
      <c r="BX2022">
        <v>-1.4</v>
      </c>
      <c r="BY2022">
        <v>-0.35</v>
      </c>
      <c r="BZ2022">
        <v>1.53</v>
      </c>
      <c r="CA2022">
        <v>-1.33</v>
      </c>
      <c r="CB2022">
        <v>-1.1299999999999999</v>
      </c>
      <c r="CC2022">
        <v>-0.61</v>
      </c>
      <c r="CD2022">
        <v>1.27</v>
      </c>
      <c r="CE2022">
        <v>0.1</v>
      </c>
      <c r="CF2022">
        <v>0.49</v>
      </c>
      <c r="CG2022">
        <v>0</v>
      </c>
      <c r="CH2022">
        <v>-0.57999999999999996</v>
      </c>
      <c r="CI2022">
        <v>0</v>
      </c>
      <c r="CJ2022">
        <v>-5.2</v>
      </c>
      <c r="CK2022">
        <v>92</v>
      </c>
      <c r="CL2022">
        <v>-0.72</v>
      </c>
      <c r="CM2022">
        <v>91</v>
      </c>
      <c r="CN2022">
        <v>-0.04</v>
      </c>
      <c r="CO2022">
        <v>90</v>
      </c>
      <c r="CP2022">
        <v>-8.6999999999999993</v>
      </c>
      <c r="CQ2022">
        <v>93</v>
      </c>
      <c r="CR2022">
        <v>0</v>
      </c>
      <c r="CS2022">
        <v>0</v>
      </c>
      <c r="CT2022">
        <v>6.8</v>
      </c>
      <c r="CU2022">
        <v>91</v>
      </c>
      <c r="CV2022">
        <v>0.17</v>
      </c>
      <c r="CW2022">
        <v>48</v>
      </c>
      <c r="CX2022" t="s">
        <v>152</v>
      </c>
    </row>
    <row r="2023" spans="1:102" x14ac:dyDescent="0.3">
      <c r="A2023" t="str">
        <f>HYPERLINK("https://webapp.icbf.com/v2/app/bull-search/view/453325936","AZB")</f>
        <v>AZB</v>
      </c>
      <c r="B2023" t="s">
        <v>12551</v>
      </c>
      <c r="C2023" t="s">
        <v>12552</v>
      </c>
      <c r="D2023" s="1">
        <v>38784</v>
      </c>
      <c r="E2023" t="s">
        <v>92</v>
      </c>
      <c r="F2023">
        <v>88</v>
      </c>
      <c r="G2023" t="s">
        <v>116</v>
      </c>
      <c r="H2023">
        <v>69.69</v>
      </c>
      <c r="I2023">
        <v>37</v>
      </c>
      <c r="J2023">
        <v>30.2</v>
      </c>
      <c r="K2023">
        <v>33</v>
      </c>
      <c r="L2023">
        <v>21.61</v>
      </c>
      <c r="M2023">
        <v>33</v>
      </c>
      <c r="N2023">
        <v>20.38</v>
      </c>
      <c r="O2023">
        <v>52</v>
      </c>
      <c r="P2023">
        <v>-14.21</v>
      </c>
      <c r="Q2023">
        <v>56</v>
      </c>
      <c r="R2023">
        <v>-5.81</v>
      </c>
      <c r="S2023">
        <v>37</v>
      </c>
      <c r="T2023">
        <v>23.82</v>
      </c>
      <c r="U2023">
        <v>36</v>
      </c>
      <c r="V2023">
        <v>-6.3</v>
      </c>
      <c r="W2023">
        <v>34</v>
      </c>
      <c r="X2023" t="s">
        <v>94</v>
      </c>
      <c r="Y2023" t="s">
        <v>1251</v>
      </c>
      <c r="Z2023" t="s">
        <v>96</v>
      </c>
      <c r="AA2023" t="s">
        <v>4398</v>
      </c>
      <c r="AB2023" t="s">
        <v>12553</v>
      </c>
      <c r="AC2023">
        <v>3</v>
      </c>
      <c r="AD2023">
        <v>3</v>
      </c>
      <c r="AE2023">
        <v>33</v>
      </c>
      <c r="AF2023">
        <v>125.22</v>
      </c>
      <c r="AG2023">
        <v>6.34</v>
      </c>
      <c r="AH2023">
        <v>4.8099999999999996</v>
      </c>
      <c r="AI2023">
        <v>0.02</v>
      </c>
      <c r="AJ2023">
        <v>0.01</v>
      </c>
      <c r="AK2023">
        <v>33</v>
      </c>
      <c r="AL2023">
        <v>3</v>
      </c>
      <c r="AM2023">
        <v>3</v>
      </c>
      <c r="AN2023">
        <v>-0.66</v>
      </c>
      <c r="AO2023">
        <v>1.07</v>
      </c>
      <c r="AP2023">
        <v>16</v>
      </c>
      <c r="AQ2023">
        <v>0</v>
      </c>
      <c r="AR2023">
        <v>5.4</v>
      </c>
      <c r="AS2023">
        <v>37</v>
      </c>
      <c r="AT2023">
        <v>2.56</v>
      </c>
      <c r="AU2023">
        <v>43</v>
      </c>
      <c r="AV2023">
        <v>-1.78</v>
      </c>
      <c r="AW2023">
        <v>71</v>
      </c>
      <c r="AX2023">
        <v>-0.66</v>
      </c>
      <c r="AY2023">
        <v>41</v>
      </c>
      <c r="AZ2023">
        <v>7.47</v>
      </c>
      <c r="BA2023">
        <v>30</v>
      </c>
      <c r="BB2023">
        <v>5.69</v>
      </c>
      <c r="BC2023">
        <v>29</v>
      </c>
      <c r="BD2023">
        <v>0.01</v>
      </c>
      <c r="BE2023">
        <v>0.03</v>
      </c>
      <c r="BF2023">
        <v>0.06</v>
      </c>
      <c r="BG2023">
        <v>41</v>
      </c>
      <c r="BH2023">
        <v>-0.04</v>
      </c>
      <c r="BI2023">
        <v>15.69</v>
      </c>
      <c r="BJ2023">
        <v>0</v>
      </c>
      <c r="BK2023">
        <v>0</v>
      </c>
      <c r="BL2023">
        <v>-0.4</v>
      </c>
      <c r="BM2023">
        <v>-1.66</v>
      </c>
      <c r="BN2023">
        <v>-1.64</v>
      </c>
      <c r="BO2023">
        <v>-0.24</v>
      </c>
      <c r="BP2023">
        <v>0.55000000000000004</v>
      </c>
      <c r="BQ2023">
        <v>-1.51</v>
      </c>
      <c r="BR2023">
        <v>-0.31</v>
      </c>
      <c r="BS2023">
        <v>-0.25</v>
      </c>
      <c r="BT2023">
        <v>0.04</v>
      </c>
      <c r="BU2023">
        <v>-1.95</v>
      </c>
      <c r="BV2023">
        <v>-1.8</v>
      </c>
      <c r="BW2023">
        <v>-1.08</v>
      </c>
      <c r="BX2023">
        <v>-1.06</v>
      </c>
      <c r="BY2023">
        <v>-0.33</v>
      </c>
      <c r="BZ2023">
        <v>-0.9</v>
      </c>
      <c r="CA2023">
        <v>-1.39</v>
      </c>
      <c r="CB2023">
        <v>-1.59</v>
      </c>
      <c r="CC2023">
        <v>-0.53</v>
      </c>
      <c r="CD2023">
        <v>-0.74</v>
      </c>
      <c r="CE2023">
        <v>-0.14000000000000001</v>
      </c>
      <c r="CF2023">
        <v>-1.06</v>
      </c>
      <c r="CG2023">
        <v>0</v>
      </c>
      <c r="CH2023">
        <v>-0.41</v>
      </c>
      <c r="CI2023">
        <v>0</v>
      </c>
      <c r="CJ2023">
        <v>-6.2</v>
      </c>
      <c r="CK2023">
        <v>59</v>
      </c>
      <c r="CL2023">
        <v>-0.66</v>
      </c>
      <c r="CM2023">
        <v>54</v>
      </c>
      <c r="CN2023">
        <v>-0.28999999999999998</v>
      </c>
      <c r="CO2023">
        <v>53</v>
      </c>
      <c r="CP2023">
        <v>-14.9</v>
      </c>
      <c r="CQ2023">
        <v>41</v>
      </c>
      <c r="CR2023">
        <v>0</v>
      </c>
      <c r="CS2023">
        <v>0</v>
      </c>
      <c r="CT2023">
        <v>-18.399999999999999</v>
      </c>
      <c r="CU2023">
        <v>36</v>
      </c>
      <c r="CV2023">
        <v>0.1</v>
      </c>
      <c r="CW2023">
        <v>16</v>
      </c>
      <c r="CX2023" t="s">
        <v>2775</v>
      </c>
    </row>
    <row r="2024" spans="1:102" x14ac:dyDescent="0.3">
      <c r="A2024" t="str">
        <f>HYPERLINK("https://webapp.icbf.com/v2/app/bull-search/view/443058000","USJ")</f>
        <v>USJ</v>
      </c>
      <c r="B2024" t="s">
        <v>2929</v>
      </c>
      <c r="C2024" t="s">
        <v>2930</v>
      </c>
      <c r="D2024" s="1">
        <v>38753</v>
      </c>
      <c r="E2024" t="s">
        <v>92</v>
      </c>
      <c r="F2024">
        <v>91</v>
      </c>
      <c r="G2024" t="s">
        <v>93</v>
      </c>
      <c r="H2024">
        <v>69.61</v>
      </c>
      <c r="I2024">
        <v>87</v>
      </c>
      <c r="J2024">
        <v>33.25</v>
      </c>
      <c r="K2024">
        <v>97</v>
      </c>
      <c r="L2024">
        <v>1.74</v>
      </c>
      <c r="M2024">
        <v>79</v>
      </c>
      <c r="N2024">
        <v>30.23</v>
      </c>
      <c r="O2024">
        <v>85</v>
      </c>
      <c r="P2024">
        <v>-20.68</v>
      </c>
      <c r="Q2024">
        <v>89</v>
      </c>
      <c r="R2024">
        <v>3.83</v>
      </c>
      <c r="S2024">
        <v>82</v>
      </c>
      <c r="T2024">
        <v>27.22</v>
      </c>
      <c r="U2024">
        <v>86</v>
      </c>
      <c r="V2024">
        <v>-5.98</v>
      </c>
      <c r="W2024">
        <v>83</v>
      </c>
      <c r="X2024" t="s">
        <v>94</v>
      </c>
      <c r="Y2024" t="s">
        <v>1251</v>
      </c>
      <c r="Z2024" t="s">
        <v>96</v>
      </c>
      <c r="AA2024" t="s">
        <v>771</v>
      </c>
      <c r="AB2024" t="s">
        <v>2931</v>
      </c>
      <c r="AC2024">
        <v>70</v>
      </c>
      <c r="AD2024">
        <v>53</v>
      </c>
      <c r="AE2024">
        <v>97</v>
      </c>
      <c r="AF2024">
        <v>88.93</v>
      </c>
      <c r="AG2024">
        <v>7</v>
      </c>
      <c r="AH2024">
        <v>4.54</v>
      </c>
      <c r="AI2024">
        <v>0.06</v>
      </c>
      <c r="AJ2024">
        <v>0.03</v>
      </c>
      <c r="AK2024">
        <v>79</v>
      </c>
      <c r="AL2024">
        <v>76</v>
      </c>
      <c r="AM2024">
        <v>55</v>
      </c>
      <c r="AN2024">
        <v>0.01</v>
      </c>
      <c r="AO2024">
        <v>0.15</v>
      </c>
      <c r="AP2024">
        <v>163</v>
      </c>
      <c r="AQ2024">
        <v>0</v>
      </c>
      <c r="AR2024">
        <v>4.59</v>
      </c>
      <c r="AS2024">
        <v>68</v>
      </c>
      <c r="AT2024">
        <v>2.0699999999999998</v>
      </c>
      <c r="AU2024">
        <v>87</v>
      </c>
      <c r="AV2024">
        <v>-1.25</v>
      </c>
      <c r="AW2024">
        <v>96</v>
      </c>
      <c r="AX2024">
        <v>-0.62</v>
      </c>
      <c r="AY2024">
        <v>79</v>
      </c>
      <c r="AZ2024">
        <v>5.15</v>
      </c>
      <c r="BA2024">
        <v>63</v>
      </c>
      <c r="BB2024">
        <v>4.54</v>
      </c>
      <c r="BC2024">
        <v>68</v>
      </c>
      <c r="BD2024">
        <v>-0.06</v>
      </c>
      <c r="BE2024">
        <v>-0.02</v>
      </c>
      <c r="BF2024">
        <v>0.05</v>
      </c>
      <c r="BG2024">
        <v>87</v>
      </c>
      <c r="BH2024">
        <v>-0.14000000000000001</v>
      </c>
      <c r="BI2024">
        <v>3.08</v>
      </c>
      <c r="BJ2024">
        <v>4</v>
      </c>
      <c r="BK2024">
        <v>4</v>
      </c>
      <c r="BL2024">
        <v>-0.41</v>
      </c>
      <c r="BM2024">
        <v>0.2</v>
      </c>
      <c r="BN2024">
        <v>-0.28999999999999998</v>
      </c>
      <c r="BO2024">
        <v>-0.18</v>
      </c>
      <c r="BP2024">
        <v>0.79</v>
      </c>
      <c r="BQ2024">
        <v>-0.36</v>
      </c>
      <c r="BR2024">
        <v>-0.97</v>
      </c>
      <c r="BS2024">
        <v>-0.1</v>
      </c>
      <c r="BT2024">
        <v>0.79</v>
      </c>
      <c r="BU2024">
        <v>-0.47</v>
      </c>
      <c r="BV2024">
        <v>0.8</v>
      </c>
      <c r="BW2024">
        <v>0.05</v>
      </c>
      <c r="BX2024">
        <v>-0.97</v>
      </c>
      <c r="BY2024">
        <v>-0.31</v>
      </c>
      <c r="BZ2024">
        <v>1.06</v>
      </c>
      <c r="CA2024">
        <v>0.19</v>
      </c>
      <c r="CB2024">
        <v>0.11</v>
      </c>
      <c r="CC2024">
        <v>0.21</v>
      </c>
      <c r="CD2024">
        <v>-0.35</v>
      </c>
      <c r="CE2024">
        <v>-0.3</v>
      </c>
      <c r="CF2024">
        <v>-0.89</v>
      </c>
      <c r="CG2024">
        <v>0</v>
      </c>
      <c r="CH2024">
        <v>0.05</v>
      </c>
      <c r="CI2024">
        <v>0</v>
      </c>
      <c r="CJ2024">
        <v>-7.3</v>
      </c>
      <c r="CK2024">
        <v>90</v>
      </c>
      <c r="CL2024">
        <v>-0.94</v>
      </c>
      <c r="CM2024">
        <v>88</v>
      </c>
      <c r="CN2024">
        <v>-0.16</v>
      </c>
      <c r="CO2024">
        <v>87</v>
      </c>
      <c r="CP2024">
        <v>-18.5</v>
      </c>
      <c r="CQ2024">
        <v>87</v>
      </c>
      <c r="CR2024">
        <v>0</v>
      </c>
      <c r="CS2024">
        <v>0</v>
      </c>
      <c r="CT2024">
        <v>-23</v>
      </c>
      <c r="CU2024">
        <v>86</v>
      </c>
      <c r="CV2024">
        <v>0.13</v>
      </c>
      <c r="CW2024">
        <v>46</v>
      </c>
      <c r="CX2024" t="s">
        <v>2932</v>
      </c>
    </row>
    <row r="2025" spans="1:102" x14ac:dyDescent="0.3">
      <c r="A2025" t="str">
        <f>HYPERLINK("https://webapp.icbf.com/v2/app/bull-search/view/77858428","DLB")</f>
        <v>DLB</v>
      </c>
      <c r="B2025" t="s">
        <v>15636</v>
      </c>
      <c r="C2025" t="s">
        <v>15637</v>
      </c>
      <c r="D2025" s="1">
        <v>33319</v>
      </c>
      <c r="E2025" t="s">
        <v>92</v>
      </c>
      <c r="F2025">
        <v>100</v>
      </c>
      <c r="G2025" t="s">
        <v>93</v>
      </c>
      <c r="H2025">
        <v>69.55</v>
      </c>
      <c r="I2025">
        <v>80</v>
      </c>
      <c r="J2025">
        <v>-0.68</v>
      </c>
      <c r="K2025">
        <v>95</v>
      </c>
      <c r="L2025">
        <v>47.84</v>
      </c>
      <c r="M2025">
        <v>72</v>
      </c>
      <c r="N2025">
        <v>13.66</v>
      </c>
      <c r="O2025">
        <v>70</v>
      </c>
      <c r="P2025">
        <v>-10.91</v>
      </c>
      <c r="Q2025">
        <v>87</v>
      </c>
      <c r="R2025">
        <v>-0.16</v>
      </c>
      <c r="S2025">
        <v>74</v>
      </c>
      <c r="T2025">
        <v>23.45</v>
      </c>
      <c r="U2025">
        <v>78</v>
      </c>
      <c r="V2025">
        <v>-3.65</v>
      </c>
      <c r="W2025">
        <v>52</v>
      </c>
      <c r="X2025" t="s">
        <v>102</v>
      </c>
      <c r="Y2025" t="s">
        <v>95</v>
      </c>
      <c r="Z2025" t="s">
        <v>96</v>
      </c>
      <c r="AA2025" t="s">
        <v>161</v>
      </c>
      <c r="AB2025" t="s">
        <v>15638</v>
      </c>
      <c r="AC2025">
        <v>102</v>
      </c>
      <c r="AD2025">
        <v>70</v>
      </c>
      <c r="AE2025">
        <v>95</v>
      </c>
      <c r="AF2025">
        <v>-47.93</v>
      </c>
      <c r="AG2025">
        <v>0.99</v>
      </c>
      <c r="AH2025">
        <v>-1.2</v>
      </c>
      <c r="AI2025">
        <v>0.05</v>
      </c>
      <c r="AJ2025">
        <v>0.01</v>
      </c>
      <c r="AK2025">
        <v>72</v>
      </c>
      <c r="AL2025">
        <v>152</v>
      </c>
      <c r="AM2025">
        <v>83</v>
      </c>
      <c r="AN2025">
        <v>-3.77</v>
      </c>
      <c r="AO2025">
        <v>0.03</v>
      </c>
      <c r="AP2025">
        <v>7</v>
      </c>
      <c r="AQ2025">
        <v>1</v>
      </c>
      <c r="AR2025">
        <v>5.35</v>
      </c>
      <c r="AS2025">
        <v>46</v>
      </c>
      <c r="AT2025">
        <v>2.52</v>
      </c>
      <c r="AU2025">
        <v>69</v>
      </c>
      <c r="AV2025">
        <v>-0.01</v>
      </c>
      <c r="AW2025">
        <v>75</v>
      </c>
      <c r="AX2025">
        <v>0.24</v>
      </c>
      <c r="AY2025">
        <v>81</v>
      </c>
      <c r="AZ2025">
        <v>5.6</v>
      </c>
      <c r="BA2025">
        <v>46</v>
      </c>
      <c r="BB2025">
        <v>4.4000000000000004</v>
      </c>
      <c r="BC2025">
        <v>66</v>
      </c>
      <c r="BD2025">
        <v>0.04</v>
      </c>
      <c r="BE2025">
        <v>0.03</v>
      </c>
      <c r="BF2025">
        <v>-0.12</v>
      </c>
      <c r="BG2025">
        <v>90</v>
      </c>
      <c r="BH2025">
        <v>-0.04</v>
      </c>
      <c r="BI2025">
        <v>7.15</v>
      </c>
      <c r="BJ2025">
        <v>29</v>
      </c>
      <c r="BK2025">
        <v>24</v>
      </c>
      <c r="BL2025">
        <v>-0.94</v>
      </c>
      <c r="BM2025">
        <v>-0.79</v>
      </c>
      <c r="BN2025">
        <v>-1.03</v>
      </c>
      <c r="BO2025">
        <v>-0.54</v>
      </c>
      <c r="BP2025">
        <v>1.25</v>
      </c>
      <c r="BQ2025">
        <v>-2.15</v>
      </c>
      <c r="BR2025">
        <v>0.35</v>
      </c>
      <c r="BS2025">
        <v>0.08</v>
      </c>
      <c r="BT2025">
        <v>-0.01</v>
      </c>
      <c r="BU2025">
        <v>-1.1499999999999999</v>
      </c>
      <c r="BV2025">
        <v>-0.37</v>
      </c>
      <c r="BW2025">
        <v>0.22</v>
      </c>
      <c r="BX2025">
        <v>0.32</v>
      </c>
      <c r="BY2025">
        <v>-1.43</v>
      </c>
      <c r="BZ2025">
        <v>0.1</v>
      </c>
      <c r="CA2025">
        <v>-0.73</v>
      </c>
      <c r="CB2025">
        <v>-0.74</v>
      </c>
      <c r="CC2025">
        <v>-0.17</v>
      </c>
      <c r="CD2025">
        <v>-0.08</v>
      </c>
      <c r="CE2025">
        <v>-0.33</v>
      </c>
      <c r="CF2025">
        <v>-1.22</v>
      </c>
      <c r="CG2025">
        <v>0</v>
      </c>
      <c r="CH2025">
        <v>1.1200000000000001</v>
      </c>
      <c r="CI2025">
        <v>0</v>
      </c>
      <c r="CJ2025">
        <v>-6.1</v>
      </c>
      <c r="CK2025">
        <v>88</v>
      </c>
      <c r="CL2025">
        <v>-0.5</v>
      </c>
      <c r="CM2025">
        <v>85</v>
      </c>
      <c r="CN2025">
        <v>-0.33</v>
      </c>
      <c r="CO2025">
        <v>84</v>
      </c>
      <c r="CP2025">
        <v>-8</v>
      </c>
      <c r="CQ2025">
        <v>88</v>
      </c>
      <c r="CR2025">
        <v>0</v>
      </c>
      <c r="CS2025">
        <v>0</v>
      </c>
      <c r="CT2025">
        <v>-17.899999999999999</v>
      </c>
      <c r="CU2025">
        <v>78</v>
      </c>
      <c r="CV2025">
        <v>0.06</v>
      </c>
      <c r="CW2025">
        <v>25</v>
      </c>
      <c r="CX2025" t="s">
        <v>128</v>
      </c>
    </row>
    <row r="2026" spans="1:102" x14ac:dyDescent="0.3">
      <c r="A2026" t="str">
        <f>HYPERLINK("https://webapp.icbf.com/v2/app/bull-search/view/401981352","ALI")</f>
        <v>ALI</v>
      </c>
      <c r="B2026" t="s">
        <v>10072</v>
      </c>
      <c r="C2026" t="s">
        <v>10073</v>
      </c>
      <c r="D2026" s="1">
        <v>38421</v>
      </c>
      <c r="E2026" t="s">
        <v>92</v>
      </c>
      <c r="F2026">
        <v>88</v>
      </c>
      <c r="G2026" t="s">
        <v>93</v>
      </c>
      <c r="H2026">
        <v>69.28</v>
      </c>
      <c r="I2026">
        <v>88</v>
      </c>
      <c r="J2026">
        <v>47.57</v>
      </c>
      <c r="K2026">
        <v>97</v>
      </c>
      <c r="L2026">
        <v>5.81</v>
      </c>
      <c r="M2026">
        <v>80</v>
      </c>
      <c r="N2026">
        <v>16.079999999999998</v>
      </c>
      <c r="O2026">
        <v>87</v>
      </c>
      <c r="P2026">
        <v>-12.53</v>
      </c>
      <c r="Q2026">
        <v>90</v>
      </c>
      <c r="R2026">
        <v>-9.68</v>
      </c>
      <c r="S2026">
        <v>83</v>
      </c>
      <c r="T2026">
        <v>28.55</v>
      </c>
      <c r="U2026">
        <v>87</v>
      </c>
      <c r="V2026">
        <v>-6.52</v>
      </c>
      <c r="W2026">
        <v>83</v>
      </c>
      <c r="X2026" t="s">
        <v>94</v>
      </c>
      <c r="Y2026" t="s">
        <v>1164</v>
      </c>
      <c r="Z2026" t="s">
        <v>96</v>
      </c>
      <c r="AA2026" t="s">
        <v>4398</v>
      </c>
      <c r="AB2026" t="s">
        <v>10074</v>
      </c>
      <c r="AC2026">
        <v>81</v>
      </c>
      <c r="AD2026">
        <v>59</v>
      </c>
      <c r="AE2026">
        <v>97</v>
      </c>
      <c r="AF2026">
        <v>200.71</v>
      </c>
      <c r="AG2026">
        <v>7.27</v>
      </c>
      <c r="AH2026">
        <v>8.59</v>
      </c>
      <c r="AI2026">
        <v>-0.01</v>
      </c>
      <c r="AJ2026">
        <v>0.03</v>
      </c>
      <c r="AK2026">
        <v>80</v>
      </c>
      <c r="AL2026">
        <v>83</v>
      </c>
      <c r="AM2026">
        <v>61</v>
      </c>
      <c r="AN2026">
        <v>0.22</v>
      </c>
      <c r="AO2026">
        <v>0.69</v>
      </c>
      <c r="AP2026">
        <v>181</v>
      </c>
      <c r="AQ2026">
        <v>3</v>
      </c>
      <c r="AR2026">
        <v>6.44</v>
      </c>
      <c r="AS2026">
        <v>73</v>
      </c>
      <c r="AT2026">
        <v>2.92</v>
      </c>
      <c r="AU2026">
        <v>88</v>
      </c>
      <c r="AV2026">
        <v>-1.1399999999999999</v>
      </c>
      <c r="AW2026">
        <v>96</v>
      </c>
      <c r="AX2026">
        <v>-0.64</v>
      </c>
      <c r="AY2026">
        <v>81</v>
      </c>
      <c r="AZ2026">
        <v>6.45</v>
      </c>
      <c r="BA2026">
        <v>67</v>
      </c>
      <c r="BB2026">
        <v>4.8499999999999996</v>
      </c>
      <c r="BC2026">
        <v>71</v>
      </c>
      <c r="BD2026">
        <v>-0.02</v>
      </c>
      <c r="BE2026">
        <v>0.04</v>
      </c>
      <c r="BF2026">
        <v>0.18</v>
      </c>
      <c r="BG2026">
        <v>89</v>
      </c>
      <c r="BH2026">
        <v>0.02</v>
      </c>
      <c r="BI2026">
        <v>23.35</v>
      </c>
      <c r="BJ2026">
        <v>19</v>
      </c>
      <c r="BK2026">
        <v>17</v>
      </c>
      <c r="BL2026">
        <v>-0.5</v>
      </c>
      <c r="BM2026">
        <v>-1.22</v>
      </c>
      <c r="BN2026">
        <v>-1.38</v>
      </c>
      <c r="BO2026">
        <v>-0.34</v>
      </c>
      <c r="BP2026">
        <v>1.1200000000000001</v>
      </c>
      <c r="BQ2026">
        <v>-1.06</v>
      </c>
      <c r="BR2026">
        <v>0.44</v>
      </c>
      <c r="BS2026">
        <v>-1.39</v>
      </c>
      <c r="BT2026">
        <v>-0.61</v>
      </c>
      <c r="BU2026">
        <v>-3.66</v>
      </c>
      <c r="BV2026">
        <v>-2.35</v>
      </c>
      <c r="BW2026">
        <v>-1.36</v>
      </c>
      <c r="BX2026">
        <v>-2.61</v>
      </c>
      <c r="BY2026">
        <v>-1.56</v>
      </c>
      <c r="BZ2026">
        <v>-1.82</v>
      </c>
      <c r="CA2026">
        <v>-3.01</v>
      </c>
      <c r="CB2026">
        <v>-2.92</v>
      </c>
      <c r="CC2026">
        <v>-2.23</v>
      </c>
      <c r="CD2026">
        <v>-0.5</v>
      </c>
      <c r="CE2026">
        <v>-0.69</v>
      </c>
      <c r="CF2026">
        <v>-1.67</v>
      </c>
      <c r="CG2026">
        <v>0</v>
      </c>
      <c r="CH2026">
        <v>-2.1800000000000002</v>
      </c>
      <c r="CI2026">
        <v>0</v>
      </c>
      <c r="CJ2026">
        <v>-3.5</v>
      </c>
      <c r="CK2026">
        <v>91</v>
      </c>
      <c r="CL2026">
        <v>-0.54</v>
      </c>
      <c r="CM2026">
        <v>89</v>
      </c>
      <c r="CN2026">
        <v>-0.11</v>
      </c>
      <c r="CO2026">
        <v>88</v>
      </c>
      <c r="CP2026">
        <v>-22.8</v>
      </c>
      <c r="CQ2026">
        <v>89</v>
      </c>
      <c r="CR2026">
        <v>0</v>
      </c>
      <c r="CS2026">
        <v>0</v>
      </c>
      <c r="CT2026">
        <v>-24.8</v>
      </c>
      <c r="CU2026">
        <v>87</v>
      </c>
      <c r="CV2026">
        <v>0.17</v>
      </c>
      <c r="CW2026">
        <v>44</v>
      </c>
      <c r="CX2026" t="s">
        <v>1037</v>
      </c>
    </row>
    <row r="2027" spans="1:102" x14ac:dyDescent="0.3">
      <c r="A2027" t="str">
        <f>HYPERLINK("https://webapp.icbf.com/v2/app/bull-search/view/607351107","AXN")</f>
        <v>AXN</v>
      </c>
      <c r="B2027" t="s">
        <v>12663</v>
      </c>
      <c r="C2027" t="s">
        <v>12664</v>
      </c>
      <c r="D2027" s="1">
        <v>39693</v>
      </c>
      <c r="E2027" t="s">
        <v>92</v>
      </c>
      <c r="F2027">
        <v>100</v>
      </c>
      <c r="G2027" t="s">
        <v>93</v>
      </c>
      <c r="H2027">
        <v>69.16</v>
      </c>
      <c r="I2027">
        <v>98</v>
      </c>
      <c r="J2027">
        <v>55.73</v>
      </c>
      <c r="K2027">
        <v>99</v>
      </c>
      <c r="L2027">
        <v>-23.16</v>
      </c>
      <c r="M2027">
        <v>97</v>
      </c>
      <c r="N2027">
        <v>38.299999999999997</v>
      </c>
      <c r="O2027">
        <v>99</v>
      </c>
      <c r="P2027">
        <v>-7.25</v>
      </c>
      <c r="Q2027">
        <v>99</v>
      </c>
      <c r="R2027">
        <v>3.68</v>
      </c>
      <c r="S2027">
        <v>97</v>
      </c>
      <c r="T2027">
        <v>-6.15</v>
      </c>
      <c r="U2027">
        <v>99</v>
      </c>
      <c r="V2027">
        <v>8.01</v>
      </c>
      <c r="W2027">
        <v>89</v>
      </c>
      <c r="X2027" t="s">
        <v>94</v>
      </c>
      <c r="Y2027" t="s">
        <v>1727</v>
      </c>
      <c r="Z2027" t="s">
        <v>96</v>
      </c>
      <c r="AA2027" t="s">
        <v>309</v>
      </c>
      <c r="AB2027" t="s">
        <v>12665</v>
      </c>
      <c r="AC2027">
        <v>6469</v>
      </c>
      <c r="AD2027">
        <v>1861</v>
      </c>
      <c r="AE2027">
        <v>99</v>
      </c>
      <c r="AF2027">
        <v>213.55</v>
      </c>
      <c r="AG2027">
        <v>6.66</v>
      </c>
      <c r="AH2027">
        <v>10.39</v>
      </c>
      <c r="AI2027">
        <v>-0.03</v>
      </c>
      <c r="AJ2027">
        <v>0.05</v>
      </c>
      <c r="AK2027">
        <v>97</v>
      </c>
      <c r="AL2027">
        <v>7151</v>
      </c>
      <c r="AM2027">
        <v>2459</v>
      </c>
      <c r="AN2027">
        <v>1</v>
      </c>
      <c r="AO2027">
        <v>-0.85</v>
      </c>
      <c r="AP2027">
        <v>12940</v>
      </c>
      <c r="AQ2027">
        <v>89</v>
      </c>
      <c r="AR2027">
        <v>4.6399999999999997</v>
      </c>
      <c r="AS2027">
        <v>99</v>
      </c>
      <c r="AT2027">
        <v>2.37</v>
      </c>
      <c r="AU2027">
        <v>99</v>
      </c>
      <c r="AV2027">
        <v>-2.98</v>
      </c>
      <c r="AW2027">
        <v>99</v>
      </c>
      <c r="AX2027">
        <v>-0.31</v>
      </c>
      <c r="AY2027">
        <v>99</v>
      </c>
      <c r="AZ2027">
        <v>6.01</v>
      </c>
      <c r="BA2027">
        <v>99</v>
      </c>
      <c r="BB2027">
        <v>4.8899999999999997</v>
      </c>
      <c r="BC2027">
        <v>98</v>
      </c>
      <c r="BD2027">
        <v>-0.01</v>
      </c>
      <c r="BE2027">
        <v>-0.02</v>
      </c>
      <c r="BF2027">
        <v>-0.03</v>
      </c>
      <c r="BG2027">
        <v>99</v>
      </c>
      <c r="BH2027">
        <v>0</v>
      </c>
      <c r="BI2027">
        <v>-25.85</v>
      </c>
      <c r="BJ2027">
        <v>934</v>
      </c>
      <c r="BK2027">
        <v>311</v>
      </c>
      <c r="BL2027">
        <v>2.71</v>
      </c>
      <c r="BM2027">
        <v>-2.13</v>
      </c>
      <c r="BN2027">
        <v>0.4</v>
      </c>
      <c r="BO2027">
        <v>1.44</v>
      </c>
      <c r="BP2027">
        <v>1.72</v>
      </c>
      <c r="BQ2027">
        <v>0.75</v>
      </c>
      <c r="BR2027">
        <v>-1.59</v>
      </c>
      <c r="BS2027">
        <v>0.96</v>
      </c>
      <c r="BT2027">
        <v>1.39</v>
      </c>
      <c r="BU2027">
        <v>3.09</v>
      </c>
      <c r="BV2027">
        <v>3.08</v>
      </c>
      <c r="BW2027">
        <v>3.03</v>
      </c>
      <c r="BX2027">
        <v>2.82</v>
      </c>
      <c r="BY2027">
        <v>1.81</v>
      </c>
      <c r="BZ2027">
        <v>-0.7</v>
      </c>
      <c r="CA2027">
        <v>2.3199999999999998</v>
      </c>
      <c r="CB2027">
        <v>2.6</v>
      </c>
      <c r="CC2027">
        <v>0.62</v>
      </c>
      <c r="CD2027">
        <v>-1.06</v>
      </c>
      <c r="CE2027">
        <v>1.0900000000000001</v>
      </c>
      <c r="CF2027">
        <v>1.34</v>
      </c>
      <c r="CG2027">
        <v>0</v>
      </c>
      <c r="CH2027">
        <v>1.81</v>
      </c>
      <c r="CI2027">
        <v>0</v>
      </c>
      <c r="CJ2027">
        <v>-0.3</v>
      </c>
      <c r="CK2027">
        <v>99</v>
      </c>
      <c r="CL2027">
        <v>-1.52</v>
      </c>
      <c r="CM2027">
        <v>99</v>
      </c>
      <c r="CN2027">
        <v>-0.71</v>
      </c>
      <c r="CO2027">
        <v>99</v>
      </c>
      <c r="CP2027">
        <v>3.6</v>
      </c>
      <c r="CQ2027">
        <v>99</v>
      </c>
      <c r="CR2027">
        <v>0</v>
      </c>
      <c r="CS2027">
        <v>0</v>
      </c>
      <c r="CT2027">
        <v>22.1</v>
      </c>
      <c r="CU2027">
        <v>99</v>
      </c>
      <c r="CV2027">
        <v>0.32</v>
      </c>
      <c r="CW2027">
        <v>47</v>
      </c>
      <c r="CX2027" t="s">
        <v>316</v>
      </c>
    </row>
    <row r="2028" spans="1:102" x14ac:dyDescent="0.3">
      <c r="A2028" t="str">
        <f>HYPERLINK("https://webapp.icbf.com/v2/app/bull-search/view/1132051429","ZHR")</f>
        <v>ZHR</v>
      </c>
      <c r="B2028" t="s">
        <v>13371</v>
      </c>
      <c r="C2028" t="s">
        <v>13372</v>
      </c>
      <c r="D2028" s="1">
        <v>39241</v>
      </c>
      <c r="E2028" t="s">
        <v>895</v>
      </c>
      <c r="F2028">
        <v>0</v>
      </c>
      <c r="G2028" t="s">
        <v>93</v>
      </c>
      <c r="H2028">
        <v>69.099999999999994</v>
      </c>
      <c r="I2028">
        <v>56</v>
      </c>
      <c r="J2028">
        <v>72.45</v>
      </c>
      <c r="K2028">
        <v>85</v>
      </c>
      <c r="L2028">
        <v>-26.87</v>
      </c>
      <c r="M2028">
        <v>30</v>
      </c>
      <c r="N2028">
        <v>-11.64</v>
      </c>
      <c r="O2028">
        <v>59</v>
      </c>
      <c r="P2028">
        <v>9.57</v>
      </c>
      <c r="Q2028">
        <v>65</v>
      </c>
      <c r="R2028">
        <v>13.61</v>
      </c>
      <c r="S2028">
        <v>39</v>
      </c>
      <c r="T2028">
        <v>12.86</v>
      </c>
      <c r="U2028">
        <v>51</v>
      </c>
      <c r="V2028">
        <v>-0.88</v>
      </c>
      <c r="W2028">
        <v>44</v>
      </c>
      <c r="X2028" t="s">
        <v>276</v>
      </c>
      <c r="Y2028" t="s">
        <v>329</v>
      </c>
      <c r="Z2028">
        <v>0</v>
      </c>
      <c r="AA2028" t="s">
        <v>13373</v>
      </c>
      <c r="AB2028" t="s">
        <v>13374</v>
      </c>
      <c r="AC2028">
        <v>28</v>
      </c>
      <c r="AD2028">
        <v>8</v>
      </c>
      <c r="AE2028">
        <v>85</v>
      </c>
      <c r="AF2028">
        <v>116.02</v>
      </c>
      <c r="AG2028">
        <v>9.4600000000000009</v>
      </c>
      <c r="AH2028">
        <v>10.75</v>
      </c>
      <c r="AI2028">
        <v>0.08</v>
      </c>
      <c r="AJ2028">
        <v>0.11</v>
      </c>
      <c r="AK2028">
        <v>30</v>
      </c>
      <c r="AL2028">
        <v>20</v>
      </c>
      <c r="AM2028">
        <v>3</v>
      </c>
      <c r="AN2028">
        <v>3.27</v>
      </c>
      <c r="AO2028">
        <v>1.1499999999999999</v>
      </c>
      <c r="AP2028">
        <v>58</v>
      </c>
      <c r="AQ2028">
        <v>2</v>
      </c>
      <c r="AR2028">
        <v>6.24</v>
      </c>
      <c r="AS2028">
        <v>43</v>
      </c>
      <c r="AT2028">
        <v>2.96</v>
      </c>
      <c r="AU2028">
        <v>52</v>
      </c>
      <c r="AV2028">
        <v>2.16</v>
      </c>
      <c r="AW2028">
        <v>87</v>
      </c>
      <c r="AX2028">
        <v>1.69</v>
      </c>
      <c r="AY2028">
        <v>44</v>
      </c>
      <c r="AZ2028">
        <v>5.83</v>
      </c>
      <c r="BA2028">
        <v>25</v>
      </c>
      <c r="BB2028">
        <v>4.1100000000000003</v>
      </c>
      <c r="BC2028">
        <v>13</v>
      </c>
      <c r="BD2028">
        <v>-0.03</v>
      </c>
      <c r="BE2028">
        <v>-7.0000000000000007E-2</v>
      </c>
      <c r="BF2028">
        <v>-0.13</v>
      </c>
      <c r="BG2028">
        <v>51</v>
      </c>
      <c r="BH2028">
        <v>-0.33</v>
      </c>
      <c r="BI2028">
        <v>-35.33</v>
      </c>
      <c r="BJ2028">
        <v>0</v>
      </c>
      <c r="BK2028">
        <v>0</v>
      </c>
      <c r="BL2028">
        <v>-0.48</v>
      </c>
      <c r="BM2028">
        <v>0.36</v>
      </c>
      <c r="BN2028">
        <v>-0.4</v>
      </c>
      <c r="BO2028">
        <v>-0.53</v>
      </c>
      <c r="BP2028">
        <v>0.26</v>
      </c>
      <c r="BQ2028">
        <v>-0.13</v>
      </c>
      <c r="BR2028">
        <v>0.18</v>
      </c>
      <c r="BS2028">
        <v>-0.17</v>
      </c>
      <c r="BT2028">
        <v>-0.13</v>
      </c>
      <c r="BU2028">
        <v>-0.38</v>
      </c>
      <c r="BV2028">
        <v>-0.69</v>
      </c>
      <c r="BW2028">
        <v>-0.61</v>
      </c>
      <c r="BX2028">
        <v>-0.24</v>
      </c>
      <c r="BY2028">
        <v>-0.36</v>
      </c>
      <c r="BZ2028">
        <v>-0.09</v>
      </c>
      <c r="CA2028">
        <v>-0.55000000000000004</v>
      </c>
      <c r="CB2028">
        <v>-0.56999999999999995</v>
      </c>
      <c r="CC2028">
        <v>-0.28999999999999998</v>
      </c>
      <c r="CD2028">
        <v>0.44</v>
      </c>
      <c r="CE2028">
        <v>-0.55000000000000004</v>
      </c>
      <c r="CF2028">
        <v>-0.54</v>
      </c>
      <c r="CG2028">
        <v>0</v>
      </c>
      <c r="CH2028">
        <v>-0.54</v>
      </c>
      <c r="CI2028">
        <v>0</v>
      </c>
      <c r="CJ2028">
        <v>9.3000000000000007</v>
      </c>
      <c r="CK2028">
        <v>70</v>
      </c>
      <c r="CL2028">
        <v>-0.23</v>
      </c>
      <c r="CM2028">
        <v>62</v>
      </c>
      <c r="CN2028">
        <v>0.1</v>
      </c>
      <c r="CO2028">
        <v>57</v>
      </c>
      <c r="CP2028">
        <v>1.9</v>
      </c>
      <c r="CQ2028">
        <v>49</v>
      </c>
      <c r="CR2028">
        <v>0</v>
      </c>
      <c r="CS2028">
        <v>0</v>
      </c>
      <c r="CT2028">
        <v>-3.6</v>
      </c>
      <c r="CU2028">
        <v>51</v>
      </c>
      <c r="CV2028">
        <v>0.21</v>
      </c>
      <c r="CW2028">
        <v>18</v>
      </c>
      <c r="CX2028" t="s">
        <v>13375</v>
      </c>
    </row>
    <row r="2029" spans="1:102" x14ac:dyDescent="0.3">
      <c r="A2029" t="str">
        <f>HYPERLINK("https://webapp.icbf.com/v2/app/bull-search/view/77858203","EKY")</f>
        <v>EKY</v>
      </c>
      <c r="B2029" t="s">
        <v>3667</v>
      </c>
      <c r="C2029" t="s">
        <v>3668</v>
      </c>
      <c r="D2029" s="1">
        <v>32712</v>
      </c>
      <c r="E2029" t="s">
        <v>92</v>
      </c>
      <c r="F2029">
        <v>100</v>
      </c>
      <c r="G2029" t="s">
        <v>109</v>
      </c>
      <c r="H2029">
        <v>69.09</v>
      </c>
      <c r="I2029">
        <v>78</v>
      </c>
      <c r="J2029">
        <v>10.02</v>
      </c>
      <c r="K2029">
        <v>91</v>
      </c>
      <c r="L2029">
        <v>32.68</v>
      </c>
      <c r="M2029">
        <v>82</v>
      </c>
      <c r="N2029">
        <v>33.46</v>
      </c>
      <c r="O2029">
        <v>59</v>
      </c>
      <c r="P2029">
        <v>-9.5500000000000007</v>
      </c>
      <c r="Q2029">
        <v>60</v>
      </c>
      <c r="R2029">
        <v>-12.21</v>
      </c>
      <c r="S2029">
        <v>76</v>
      </c>
      <c r="T2029">
        <v>12.35</v>
      </c>
      <c r="U2029">
        <v>58</v>
      </c>
      <c r="V2029">
        <v>2.34</v>
      </c>
      <c r="W2029">
        <v>60</v>
      </c>
      <c r="X2029" t="s">
        <v>102</v>
      </c>
      <c r="Y2029" t="s">
        <v>95</v>
      </c>
      <c r="Z2029" t="s">
        <v>96</v>
      </c>
      <c r="AA2029" t="s">
        <v>724</v>
      </c>
      <c r="AB2029" t="s">
        <v>3669</v>
      </c>
      <c r="AC2029">
        <v>0</v>
      </c>
      <c r="AD2029">
        <v>0</v>
      </c>
      <c r="AE2029">
        <v>91</v>
      </c>
      <c r="AF2029">
        <v>-69.569999999999993</v>
      </c>
      <c r="AG2029">
        <v>-1.05</v>
      </c>
      <c r="AH2029">
        <v>1.01</v>
      </c>
      <c r="AI2029">
        <v>0.03</v>
      </c>
      <c r="AJ2029">
        <v>0.06</v>
      </c>
      <c r="AK2029">
        <v>82</v>
      </c>
      <c r="AL2029">
        <v>0</v>
      </c>
      <c r="AM2029">
        <v>0</v>
      </c>
      <c r="AN2029">
        <v>-1.51</v>
      </c>
      <c r="AO2029">
        <v>1.1000000000000001</v>
      </c>
      <c r="AP2029">
        <v>2</v>
      </c>
      <c r="AQ2029">
        <v>0</v>
      </c>
      <c r="AR2029">
        <v>5.85</v>
      </c>
      <c r="AS2029">
        <v>52</v>
      </c>
      <c r="AT2029">
        <v>2.15</v>
      </c>
      <c r="AU2029">
        <v>82</v>
      </c>
      <c r="AV2029">
        <v>-2.48</v>
      </c>
      <c r="AW2029">
        <v>52</v>
      </c>
      <c r="AX2029">
        <v>-0.84</v>
      </c>
      <c r="AY2029">
        <v>57</v>
      </c>
      <c r="AZ2029">
        <v>6.12</v>
      </c>
      <c r="BA2029">
        <v>44</v>
      </c>
      <c r="BB2029">
        <v>5.12</v>
      </c>
      <c r="BC2029">
        <v>50</v>
      </c>
      <c r="BD2029">
        <v>0.04</v>
      </c>
      <c r="BE2029">
        <v>0.06</v>
      </c>
      <c r="BF2029">
        <v>0.1</v>
      </c>
      <c r="BG2029">
        <v>90</v>
      </c>
      <c r="BH2029">
        <v>0.09</v>
      </c>
      <c r="BI2029">
        <v>2.86</v>
      </c>
      <c r="BJ2029">
        <v>0</v>
      </c>
      <c r="BK2029">
        <v>0</v>
      </c>
      <c r="BL2029">
        <v>-0.5</v>
      </c>
      <c r="BM2029">
        <v>-2.56</v>
      </c>
      <c r="BN2029">
        <v>-3.28</v>
      </c>
      <c r="BO2029">
        <v>-0.38</v>
      </c>
      <c r="BP2029">
        <v>0.56999999999999995</v>
      </c>
      <c r="BQ2029">
        <v>-2.6</v>
      </c>
      <c r="BR2029">
        <v>1.92</v>
      </c>
      <c r="BS2029">
        <v>-0.82</v>
      </c>
      <c r="BT2029">
        <v>-2.06</v>
      </c>
      <c r="BU2029">
        <v>-0.17</v>
      </c>
      <c r="BV2029">
        <v>-1.69</v>
      </c>
      <c r="BW2029">
        <v>-0.45</v>
      </c>
      <c r="BX2029">
        <v>0.14000000000000001</v>
      </c>
      <c r="BY2029">
        <v>-0.02</v>
      </c>
      <c r="BZ2029">
        <v>-1.28</v>
      </c>
      <c r="CA2029">
        <v>-0.81</v>
      </c>
      <c r="CB2029">
        <v>-0.65</v>
      </c>
      <c r="CC2029">
        <v>-1.72</v>
      </c>
      <c r="CD2029">
        <v>-0.6</v>
      </c>
      <c r="CE2029">
        <v>0.25</v>
      </c>
      <c r="CF2029">
        <v>-1.06</v>
      </c>
      <c r="CG2029">
        <v>0</v>
      </c>
      <c r="CH2029">
        <v>0.11</v>
      </c>
      <c r="CI2029">
        <v>0</v>
      </c>
      <c r="CJ2029">
        <v>-2.7</v>
      </c>
      <c r="CK2029">
        <v>61</v>
      </c>
      <c r="CL2029">
        <v>-0.91</v>
      </c>
      <c r="CM2029">
        <v>58</v>
      </c>
      <c r="CN2029">
        <v>-0.38</v>
      </c>
      <c r="CO2029">
        <v>55</v>
      </c>
      <c r="CP2029">
        <v>-5.9</v>
      </c>
      <c r="CQ2029">
        <v>66</v>
      </c>
      <c r="CR2029">
        <v>0</v>
      </c>
      <c r="CS2029">
        <v>0</v>
      </c>
      <c r="CT2029">
        <v>-2.9</v>
      </c>
      <c r="CU2029">
        <v>58</v>
      </c>
      <c r="CV2029">
        <v>0.15</v>
      </c>
      <c r="CW2029">
        <v>37</v>
      </c>
      <c r="CX2029" t="s">
        <v>707</v>
      </c>
    </row>
    <row r="2030" spans="1:102" x14ac:dyDescent="0.3">
      <c r="A2030" t="str">
        <f>HYPERLINK("https://webapp.icbf.com/v2/app/bull-search/view/69091867","HIB")</f>
        <v>HIB</v>
      </c>
      <c r="B2030" t="s">
        <v>5009</v>
      </c>
      <c r="C2030" t="s">
        <v>5010</v>
      </c>
      <c r="D2030" s="1">
        <v>33557</v>
      </c>
      <c r="E2030" t="s">
        <v>227</v>
      </c>
      <c r="F2030">
        <v>0</v>
      </c>
      <c r="G2030" t="s">
        <v>109</v>
      </c>
      <c r="H2030">
        <v>69.09</v>
      </c>
      <c r="I2030">
        <v>75</v>
      </c>
      <c r="J2030">
        <v>-6.04</v>
      </c>
      <c r="K2030">
        <v>90</v>
      </c>
      <c r="L2030">
        <v>64.02</v>
      </c>
      <c r="M2030">
        <v>79</v>
      </c>
      <c r="N2030">
        <v>3.6</v>
      </c>
      <c r="O2030">
        <v>53</v>
      </c>
      <c r="P2030">
        <v>-73.23</v>
      </c>
      <c r="Q2030">
        <v>65</v>
      </c>
      <c r="R2030">
        <v>-1.55</v>
      </c>
      <c r="S2030">
        <v>53</v>
      </c>
      <c r="T2030">
        <v>77.98</v>
      </c>
      <c r="U2030">
        <v>68</v>
      </c>
      <c r="V2030">
        <v>4.3099999999999996</v>
      </c>
      <c r="W2030">
        <v>31</v>
      </c>
      <c r="X2030" t="s">
        <v>110</v>
      </c>
      <c r="Y2030" t="s">
        <v>95</v>
      </c>
      <c r="Z2030">
        <v>0</v>
      </c>
      <c r="AA2030" t="s">
        <v>555</v>
      </c>
      <c r="AB2030" t="s">
        <v>144</v>
      </c>
      <c r="AC2030">
        <v>29</v>
      </c>
      <c r="AD2030">
        <v>11</v>
      </c>
      <c r="AE2030">
        <v>90</v>
      </c>
      <c r="AF2030">
        <v>-812.13</v>
      </c>
      <c r="AG2030">
        <v>4.0199999999999996</v>
      </c>
      <c r="AH2030">
        <v>-14.88</v>
      </c>
      <c r="AI2030">
        <v>0.68</v>
      </c>
      <c r="AJ2030">
        <v>0.25</v>
      </c>
      <c r="AK2030">
        <v>79</v>
      </c>
      <c r="AL2030">
        <v>34</v>
      </c>
      <c r="AM2030">
        <v>15</v>
      </c>
      <c r="AN2030">
        <v>-3.16</v>
      </c>
      <c r="AO2030">
        <v>1.95</v>
      </c>
      <c r="AP2030">
        <v>1</v>
      </c>
      <c r="AQ2030">
        <v>0</v>
      </c>
      <c r="AR2030">
        <v>4.17</v>
      </c>
      <c r="AS2030">
        <v>39</v>
      </c>
      <c r="AT2030">
        <v>2.1</v>
      </c>
      <c r="AU2030">
        <v>44</v>
      </c>
      <c r="AV2030">
        <v>0.64</v>
      </c>
      <c r="AW2030">
        <v>64</v>
      </c>
      <c r="AX2030">
        <v>2.59</v>
      </c>
      <c r="AY2030">
        <v>63</v>
      </c>
      <c r="AZ2030">
        <v>6.49</v>
      </c>
      <c r="BA2030">
        <v>29</v>
      </c>
      <c r="BB2030">
        <v>4.97</v>
      </c>
      <c r="BC2030">
        <v>40</v>
      </c>
      <c r="BD2030">
        <v>-0.02</v>
      </c>
      <c r="BE2030">
        <v>0.01</v>
      </c>
      <c r="BF2030">
        <v>0.05</v>
      </c>
      <c r="BG2030">
        <v>67</v>
      </c>
      <c r="BH2030">
        <v>0.08</v>
      </c>
      <c r="BI2030">
        <v>-4.66</v>
      </c>
      <c r="BJ2030">
        <v>0</v>
      </c>
      <c r="BK2030">
        <v>0</v>
      </c>
      <c r="BL2030">
        <v>-1.55</v>
      </c>
      <c r="BM2030">
        <v>-1.54</v>
      </c>
      <c r="BN2030">
        <v>-0.34</v>
      </c>
      <c r="BO2030">
        <v>1.23</v>
      </c>
      <c r="BP2030">
        <v>0</v>
      </c>
      <c r="BQ2030">
        <v>-5.51</v>
      </c>
      <c r="BR2030">
        <v>1.94</v>
      </c>
      <c r="BS2030">
        <v>6.91</v>
      </c>
      <c r="BT2030">
        <v>-1.08</v>
      </c>
      <c r="BU2030">
        <v>0.21</v>
      </c>
      <c r="BV2030">
        <v>0.23</v>
      </c>
      <c r="BW2030">
        <v>-1.67</v>
      </c>
      <c r="BX2030">
        <v>-2.58</v>
      </c>
      <c r="BY2030">
        <v>-0.01</v>
      </c>
      <c r="BZ2030">
        <v>0.49</v>
      </c>
      <c r="CA2030">
        <v>1.96</v>
      </c>
      <c r="CB2030">
        <v>0.33</v>
      </c>
      <c r="CC2030">
        <v>4.3499999999999996</v>
      </c>
      <c r="CD2030">
        <v>-2.0099999999999998</v>
      </c>
      <c r="CE2030">
        <v>1.04</v>
      </c>
      <c r="CF2030">
        <v>-1.47</v>
      </c>
      <c r="CG2030">
        <v>0</v>
      </c>
      <c r="CH2030">
        <v>-0.85</v>
      </c>
      <c r="CI2030">
        <v>0</v>
      </c>
      <c r="CJ2030">
        <v>-40</v>
      </c>
      <c r="CK2030">
        <v>67</v>
      </c>
      <c r="CL2030">
        <v>-1.1299999999999999</v>
      </c>
      <c r="CM2030">
        <v>62</v>
      </c>
      <c r="CN2030">
        <v>-0.25</v>
      </c>
      <c r="CO2030">
        <v>57</v>
      </c>
      <c r="CP2030">
        <v>-62</v>
      </c>
      <c r="CQ2030">
        <v>74</v>
      </c>
      <c r="CR2030">
        <v>0</v>
      </c>
      <c r="CS2030">
        <v>0</v>
      </c>
      <c r="CT2030">
        <v>-91.6</v>
      </c>
      <c r="CU2030">
        <v>68</v>
      </c>
      <c r="CV2030">
        <v>-0.52</v>
      </c>
      <c r="CW2030">
        <v>17</v>
      </c>
      <c r="CX2030" t="s">
        <v>578</v>
      </c>
    </row>
    <row r="2031" spans="1:102" x14ac:dyDescent="0.3">
      <c r="A2031" t="str">
        <f>HYPERLINK("https://webapp.icbf.com/v2/app/bull-search/view/423383020","DUO")</f>
        <v>DUO</v>
      </c>
      <c r="B2031" t="s">
        <v>11997</v>
      </c>
      <c r="C2031" t="s">
        <v>1909</v>
      </c>
      <c r="D2031" s="1">
        <v>36831</v>
      </c>
      <c r="E2031" t="s">
        <v>108</v>
      </c>
      <c r="F2031">
        <v>0</v>
      </c>
      <c r="G2031" t="s">
        <v>93</v>
      </c>
      <c r="H2031">
        <v>69.08</v>
      </c>
      <c r="I2031">
        <v>92</v>
      </c>
      <c r="J2031">
        <v>-7.63</v>
      </c>
      <c r="K2031">
        <v>98</v>
      </c>
      <c r="L2031">
        <v>40.119999999999997</v>
      </c>
      <c r="M2031">
        <v>90</v>
      </c>
      <c r="N2031">
        <v>11.87</v>
      </c>
      <c r="O2031">
        <v>89</v>
      </c>
      <c r="P2031">
        <v>-16.37</v>
      </c>
      <c r="Q2031">
        <v>94</v>
      </c>
      <c r="R2031">
        <v>20.77</v>
      </c>
      <c r="S2031">
        <v>86</v>
      </c>
      <c r="T2031">
        <v>17.670000000000002</v>
      </c>
      <c r="U2031">
        <v>90</v>
      </c>
      <c r="V2031">
        <v>2.65</v>
      </c>
      <c r="W2031">
        <v>84</v>
      </c>
      <c r="X2031" t="s">
        <v>251</v>
      </c>
      <c r="Y2031" t="s">
        <v>1208</v>
      </c>
      <c r="Z2031" t="s">
        <v>96</v>
      </c>
      <c r="AA2031" t="s">
        <v>11774</v>
      </c>
      <c r="AB2031" t="s">
        <v>11998</v>
      </c>
      <c r="AC2031">
        <v>130</v>
      </c>
      <c r="AD2031">
        <v>32</v>
      </c>
      <c r="AE2031">
        <v>98</v>
      </c>
      <c r="AF2031">
        <v>64.14</v>
      </c>
      <c r="AG2031">
        <v>5.3</v>
      </c>
      <c r="AH2031">
        <v>-2.19</v>
      </c>
      <c r="AI2031">
        <v>0.05</v>
      </c>
      <c r="AJ2031">
        <v>-0.08</v>
      </c>
      <c r="AK2031">
        <v>90</v>
      </c>
      <c r="AL2031">
        <v>115</v>
      </c>
      <c r="AM2031">
        <v>26</v>
      </c>
      <c r="AN2031">
        <v>-2.93</v>
      </c>
      <c r="AO2031">
        <v>0.26</v>
      </c>
      <c r="AP2031">
        <v>117</v>
      </c>
      <c r="AQ2031">
        <v>1</v>
      </c>
      <c r="AR2031">
        <v>6.91</v>
      </c>
      <c r="AS2031">
        <v>84</v>
      </c>
      <c r="AT2031">
        <v>2.95</v>
      </c>
      <c r="AU2031">
        <v>90</v>
      </c>
      <c r="AV2031">
        <v>-0.97</v>
      </c>
      <c r="AW2031">
        <v>95</v>
      </c>
      <c r="AX2031">
        <v>-0.09</v>
      </c>
      <c r="AY2031">
        <v>89</v>
      </c>
      <c r="AZ2031">
        <v>5.83</v>
      </c>
      <c r="BA2031">
        <v>78</v>
      </c>
      <c r="BB2031">
        <v>5.05</v>
      </c>
      <c r="BC2031">
        <v>77</v>
      </c>
      <c r="BD2031">
        <v>-0.04</v>
      </c>
      <c r="BE2031">
        <v>-0.09</v>
      </c>
      <c r="BF2031">
        <v>-0.24</v>
      </c>
      <c r="BG2031">
        <v>93</v>
      </c>
      <c r="BH2031">
        <v>-0.06</v>
      </c>
      <c r="BI2031">
        <v>-15.49</v>
      </c>
      <c r="BJ2031">
        <v>27</v>
      </c>
      <c r="BK2031">
        <v>11</v>
      </c>
      <c r="BL2031">
        <v>-2.17</v>
      </c>
      <c r="BM2031">
        <v>2.33</v>
      </c>
      <c r="BN2031">
        <v>-0.63</v>
      </c>
      <c r="BO2031">
        <v>-1.96</v>
      </c>
      <c r="BP2031">
        <v>-1.9</v>
      </c>
      <c r="BQ2031">
        <v>1.4</v>
      </c>
      <c r="BR2031">
        <v>-2.04</v>
      </c>
      <c r="BS2031">
        <v>1.78</v>
      </c>
      <c r="BT2031">
        <v>1.43</v>
      </c>
      <c r="BU2031">
        <v>0.43</v>
      </c>
      <c r="BV2031">
        <v>-0.49</v>
      </c>
      <c r="BW2031">
        <v>-0.44</v>
      </c>
      <c r="BX2031">
        <v>0.23</v>
      </c>
      <c r="BY2031">
        <v>-0.52</v>
      </c>
      <c r="BZ2031">
        <v>-2.14</v>
      </c>
      <c r="CA2031">
        <v>0.25</v>
      </c>
      <c r="CB2031">
        <v>-0.02</v>
      </c>
      <c r="CC2031">
        <v>0.7</v>
      </c>
      <c r="CD2031">
        <v>2.4500000000000002</v>
      </c>
      <c r="CE2031">
        <v>-1.46</v>
      </c>
      <c r="CF2031">
        <v>-0.51</v>
      </c>
      <c r="CG2031">
        <v>0</v>
      </c>
      <c r="CH2031">
        <v>-0.2</v>
      </c>
      <c r="CI2031">
        <v>0</v>
      </c>
      <c r="CJ2031">
        <v>-7.6</v>
      </c>
      <c r="CK2031">
        <v>95</v>
      </c>
      <c r="CL2031">
        <v>-0.53</v>
      </c>
      <c r="CM2031">
        <v>94</v>
      </c>
      <c r="CN2031">
        <v>-0.06</v>
      </c>
      <c r="CO2031">
        <v>94</v>
      </c>
      <c r="CP2031">
        <v>-7.4</v>
      </c>
      <c r="CQ2031">
        <v>93</v>
      </c>
      <c r="CR2031">
        <v>0</v>
      </c>
      <c r="CS2031">
        <v>0</v>
      </c>
      <c r="CT2031">
        <v>-10.1</v>
      </c>
      <c r="CU2031">
        <v>90</v>
      </c>
      <c r="CV2031">
        <v>0.06</v>
      </c>
      <c r="CW2031">
        <v>46</v>
      </c>
      <c r="CX2031" t="s">
        <v>11999</v>
      </c>
    </row>
    <row r="2032" spans="1:102" x14ac:dyDescent="0.3">
      <c r="A2032" t="str">
        <f>HYPERLINK("https://webapp.icbf.com/v2/app/bull-search/view/355564914","WDJ")</f>
        <v>WDJ</v>
      </c>
      <c r="B2032" t="s">
        <v>11820</v>
      </c>
      <c r="C2032" t="s">
        <v>11821</v>
      </c>
      <c r="D2032" s="1">
        <v>37444</v>
      </c>
      <c r="E2032" t="s">
        <v>108</v>
      </c>
      <c r="F2032">
        <v>38</v>
      </c>
      <c r="G2032" t="s">
        <v>93</v>
      </c>
      <c r="H2032">
        <v>69.03</v>
      </c>
      <c r="I2032">
        <v>82</v>
      </c>
      <c r="J2032">
        <v>69.930000000000007</v>
      </c>
      <c r="K2032">
        <v>93</v>
      </c>
      <c r="L2032">
        <v>0.87</v>
      </c>
      <c r="M2032">
        <v>73</v>
      </c>
      <c r="N2032">
        <v>10.29</v>
      </c>
      <c r="O2032">
        <v>76</v>
      </c>
      <c r="P2032">
        <v>-25.74</v>
      </c>
      <c r="Q2032">
        <v>87</v>
      </c>
      <c r="R2032">
        <v>-8.3800000000000008</v>
      </c>
      <c r="S2032">
        <v>67</v>
      </c>
      <c r="T2032">
        <v>17.670000000000002</v>
      </c>
      <c r="U2032">
        <v>88</v>
      </c>
      <c r="V2032">
        <v>4.3899999999999997</v>
      </c>
      <c r="W2032">
        <v>61</v>
      </c>
      <c r="X2032" t="s">
        <v>94</v>
      </c>
      <c r="Y2032" t="s">
        <v>171</v>
      </c>
      <c r="Z2032" t="s">
        <v>528</v>
      </c>
      <c r="AA2032" t="s">
        <v>11822</v>
      </c>
      <c r="AB2032" t="s">
        <v>11823</v>
      </c>
      <c r="AC2032">
        <v>68</v>
      </c>
      <c r="AD2032">
        <v>24</v>
      </c>
      <c r="AE2032">
        <v>93</v>
      </c>
      <c r="AF2032">
        <v>-4.72</v>
      </c>
      <c r="AG2032">
        <v>14.05</v>
      </c>
      <c r="AH2032">
        <v>6.85</v>
      </c>
      <c r="AI2032">
        <v>0.24</v>
      </c>
      <c r="AJ2032">
        <v>0.12</v>
      </c>
      <c r="AK2032">
        <v>73</v>
      </c>
      <c r="AL2032">
        <v>65</v>
      </c>
      <c r="AM2032">
        <v>27</v>
      </c>
      <c r="AN2032">
        <v>-1.56</v>
      </c>
      <c r="AO2032">
        <v>-1.51</v>
      </c>
      <c r="AP2032">
        <v>140</v>
      </c>
      <c r="AQ2032">
        <v>0</v>
      </c>
      <c r="AR2032">
        <v>8.52</v>
      </c>
      <c r="AS2032">
        <v>48</v>
      </c>
      <c r="AT2032">
        <v>3.15</v>
      </c>
      <c r="AU2032">
        <v>81</v>
      </c>
      <c r="AV2032">
        <v>-3.45</v>
      </c>
      <c r="AW2032">
        <v>94</v>
      </c>
      <c r="AX2032">
        <v>0.96</v>
      </c>
      <c r="AY2032">
        <v>76</v>
      </c>
      <c r="AZ2032">
        <v>8.59</v>
      </c>
      <c r="BA2032">
        <v>39</v>
      </c>
      <c r="BB2032">
        <v>6.47</v>
      </c>
      <c r="BC2032">
        <v>41</v>
      </c>
      <c r="BD2032">
        <v>-0.02</v>
      </c>
      <c r="BE2032">
        <v>0.04</v>
      </c>
      <c r="BF2032">
        <v>0.15</v>
      </c>
      <c r="BG2032">
        <v>82</v>
      </c>
      <c r="BH2032">
        <v>0.04</v>
      </c>
      <c r="BI2032">
        <v>-9.52</v>
      </c>
      <c r="BJ2032">
        <v>3</v>
      </c>
      <c r="BK2032">
        <v>3</v>
      </c>
      <c r="BL2032">
        <v>-0.98</v>
      </c>
      <c r="BM2032">
        <v>0.33</v>
      </c>
      <c r="BN2032">
        <v>-0.86</v>
      </c>
      <c r="BO2032">
        <v>-1.25</v>
      </c>
      <c r="BP2032">
        <v>0.1</v>
      </c>
      <c r="BQ2032">
        <v>-1.82</v>
      </c>
      <c r="BR2032">
        <v>0.73</v>
      </c>
      <c r="BS2032">
        <v>-1.26</v>
      </c>
      <c r="BT2032">
        <v>-1.01</v>
      </c>
      <c r="BU2032">
        <v>0.03</v>
      </c>
      <c r="BV2032">
        <v>-0.82</v>
      </c>
      <c r="BW2032">
        <v>-0.49</v>
      </c>
      <c r="BX2032">
        <v>-0.45</v>
      </c>
      <c r="BY2032">
        <v>0.38</v>
      </c>
      <c r="BZ2032">
        <v>1.72</v>
      </c>
      <c r="CA2032">
        <v>-0.79</v>
      </c>
      <c r="CB2032">
        <v>-0.36</v>
      </c>
      <c r="CC2032">
        <v>-2.04</v>
      </c>
      <c r="CD2032">
        <v>0.69</v>
      </c>
      <c r="CE2032">
        <v>-1.24</v>
      </c>
      <c r="CF2032">
        <v>-1.86</v>
      </c>
      <c r="CG2032">
        <v>0</v>
      </c>
      <c r="CH2032">
        <v>-0.76</v>
      </c>
      <c r="CI2032">
        <v>0</v>
      </c>
      <c r="CJ2032">
        <v>-12.7</v>
      </c>
      <c r="CK2032">
        <v>89</v>
      </c>
      <c r="CL2032">
        <v>-0.85</v>
      </c>
      <c r="CM2032">
        <v>86</v>
      </c>
      <c r="CN2032">
        <v>-0.18</v>
      </c>
      <c r="CO2032">
        <v>84</v>
      </c>
      <c r="CP2032">
        <v>-10.3</v>
      </c>
      <c r="CQ2032">
        <v>86</v>
      </c>
      <c r="CR2032">
        <v>0</v>
      </c>
      <c r="CS2032">
        <v>0</v>
      </c>
      <c r="CT2032">
        <v>-10.1</v>
      </c>
      <c r="CU2032">
        <v>88</v>
      </c>
      <c r="CV2032">
        <v>0.06</v>
      </c>
      <c r="CW2032">
        <v>25</v>
      </c>
      <c r="CX2032" t="s">
        <v>5213</v>
      </c>
    </row>
    <row r="2033" spans="1:102" x14ac:dyDescent="0.3">
      <c r="A2033" t="str">
        <f>HYPERLINK("https://webapp.icbf.com/v2/app/bull-search/view/1574250394","FR4386")</f>
        <v>FR4386</v>
      </c>
      <c r="B2033" t="s">
        <v>13973</v>
      </c>
      <c r="C2033" t="s">
        <v>13974</v>
      </c>
      <c r="D2033" s="1">
        <v>42469</v>
      </c>
      <c r="E2033" t="s">
        <v>92</v>
      </c>
      <c r="F2033">
        <v>100</v>
      </c>
      <c r="G2033" t="s">
        <v>435</v>
      </c>
      <c r="H2033">
        <v>68.989999999999995</v>
      </c>
      <c r="I2033">
        <v>69</v>
      </c>
      <c r="J2033">
        <v>69.7</v>
      </c>
      <c r="K2033">
        <v>88</v>
      </c>
      <c r="L2033">
        <v>-42.6</v>
      </c>
      <c r="M2033">
        <v>68</v>
      </c>
      <c r="N2033">
        <v>29.87</v>
      </c>
      <c r="O2033">
        <v>67</v>
      </c>
      <c r="P2033">
        <v>-9.7899999999999991</v>
      </c>
      <c r="Q2033">
        <v>42</v>
      </c>
      <c r="R2033">
        <v>27.02</v>
      </c>
      <c r="S2033">
        <v>64</v>
      </c>
      <c r="T2033">
        <v>-8.6</v>
      </c>
      <c r="U2033">
        <v>36</v>
      </c>
      <c r="V2033">
        <v>3.39</v>
      </c>
      <c r="W2033">
        <v>55</v>
      </c>
      <c r="X2033" t="s">
        <v>428</v>
      </c>
      <c r="Y2033" t="s">
        <v>2261</v>
      </c>
      <c r="Z2033" t="s">
        <v>96</v>
      </c>
      <c r="AA2033" t="s">
        <v>9768</v>
      </c>
      <c r="AB2033" t="s">
        <v>13975</v>
      </c>
      <c r="AC2033">
        <v>0</v>
      </c>
      <c r="AD2033">
        <v>0</v>
      </c>
      <c r="AE2033">
        <v>88</v>
      </c>
      <c r="AF2033">
        <v>564.30999999999995</v>
      </c>
      <c r="AG2033">
        <v>17.899999999999999</v>
      </c>
      <c r="AH2033">
        <v>14.16</v>
      </c>
      <c r="AI2033">
        <v>-7.0000000000000007E-2</v>
      </c>
      <c r="AJ2033">
        <v>-0.08</v>
      </c>
      <c r="AK2033">
        <v>68</v>
      </c>
      <c r="AL2033">
        <v>0</v>
      </c>
      <c r="AM2033">
        <v>0</v>
      </c>
      <c r="AN2033">
        <v>3.66</v>
      </c>
      <c r="AO2033">
        <v>0.28000000000000003</v>
      </c>
      <c r="AP2033">
        <v>29</v>
      </c>
      <c r="AQ2033">
        <v>0</v>
      </c>
      <c r="AR2033">
        <v>8.52</v>
      </c>
      <c r="AS2033">
        <v>60</v>
      </c>
      <c r="AT2033">
        <v>3.3</v>
      </c>
      <c r="AU2033">
        <v>88</v>
      </c>
      <c r="AV2033">
        <v>-4.58</v>
      </c>
      <c r="AW2033">
        <v>71</v>
      </c>
      <c r="AX2033">
        <v>0.24</v>
      </c>
      <c r="AY2033">
        <v>59</v>
      </c>
      <c r="AZ2033">
        <v>6.79</v>
      </c>
      <c r="BA2033">
        <v>39</v>
      </c>
      <c r="BB2033">
        <v>5.25</v>
      </c>
      <c r="BC2033">
        <v>34</v>
      </c>
      <c r="BD2033">
        <v>-0.11</v>
      </c>
      <c r="BE2033">
        <v>-0.12</v>
      </c>
      <c r="BF2033">
        <v>-0.21</v>
      </c>
      <c r="BG2033">
        <v>76</v>
      </c>
      <c r="BH2033">
        <v>0.04</v>
      </c>
      <c r="BI2033">
        <v>-6.32</v>
      </c>
      <c r="BJ2033">
        <v>0</v>
      </c>
      <c r="BK2033">
        <v>0</v>
      </c>
      <c r="BL2033">
        <v>2.21</v>
      </c>
      <c r="BM2033">
        <v>0.39</v>
      </c>
      <c r="BN2033">
        <v>2.93</v>
      </c>
      <c r="BO2033">
        <v>2.61</v>
      </c>
      <c r="BP2033">
        <v>-0.05</v>
      </c>
      <c r="BQ2033">
        <v>3.04</v>
      </c>
      <c r="BR2033">
        <v>0.76</v>
      </c>
      <c r="BS2033">
        <v>3.81</v>
      </c>
      <c r="BT2033">
        <v>1.34</v>
      </c>
      <c r="BU2033">
        <v>5.39</v>
      </c>
      <c r="BV2033">
        <v>4.4400000000000004</v>
      </c>
      <c r="BW2033">
        <v>2.36</v>
      </c>
      <c r="BX2033">
        <v>2.95</v>
      </c>
      <c r="BY2033">
        <v>1.52</v>
      </c>
      <c r="BZ2033">
        <v>-0.69</v>
      </c>
      <c r="CA2033">
        <v>4.04</v>
      </c>
      <c r="CB2033">
        <v>3.84</v>
      </c>
      <c r="CC2033">
        <v>2.63</v>
      </c>
      <c r="CD2033">
        <v>-1.36</v>
      </c>
      <c r="CE2033">
        <v>1.08</v>
      </c>
      <c r="CF2033">
        <v>1.48</v>
      </c>
      <c r="CG2033">
        <v>0</v>
      </c>
      <c r="CH2033">
        <v>3.74</v>
      </c>
      <c r="CI2033">
        <v>0</v>
      </c>
      <c r="CJ2033">
        <v>-1.4</v>
      </c>
      <c r="CK2033">
        <v>43</v>
      </c>
      <c r="CL2033">
        <v>-1.82</v>
      </c>
      <c r="CM2033">
        <v>43</v>
      </c>
      <c r="CN2033">
        <v>-0.87</v>
      </c>
      <c r="CO2033">
        <v>42</v>
      </c>
      <c r="CP2033">
        <v>4.9000000000000004</v>
      </c>
      <c r="CQ2033">
        <v>37</v>
      </c>
      <c r="CR2033">
        <v>0</v>
      </c>
      <c r="CS2033">
        <v>0</v>
      </c>
      <c r="CT2033">
        <v>25.4</v>
      </c>
      <c r="CU2033">
        <v>36</v>
      </c>
      <c r="CV2033">
        <v>0.2</v>
      </c>
      <c r="CW2033">
        <v>34</v>
      </c>
      <c r="CX2033" t="s">
        <v>2216</v>
      </c>
    </row>
    <row r="2034" spans="1:102" x14ac:dyDescent="0.3">
      <c r="A2034" t="str">
        <f>HYPERLINK("https://webapp.icbf.com/v2/app/bull-search/view/1003246427","DXH")</f>
        <v>DXH</v>
      </c>
      <c r="B2034" t="s">
        <v>15135</v>
      </c>
      <c r="C2034" t="s">
        <v>15136</v>
      </c>
      <c r="D2034" s="1">
        <v>40677</v>
      </c>
      <c r="E2034" t="s">
        <v>92</v>
      </c>
      <c r="F2034">
        <v>100</v>
      </c>
      <c r="G2034" t="s">
        <v>109</v>
      </c>
      <c r="H2034">
        <v>68.98</v>
      </c>
      <c r="I2034">
        <v>81</v>
      </c>
      <c r="J2034">
        <v>67.03</v>
      </c>
      <c r="K2034">
        <v>94</v>
      </c>
      <c r="L2034">
        <v>-42.9</v>
      </c>
      <c r="M2034">
        <v>79</v>
      </c>
      <c r="N2034">
        <v>38.69</v>
      </c>
      <c r="O2034">
        <v>75</v>
      </c>
      <c r="P2034">
        <v>1.1499999999999999</v>
      </c>
      <c r="Q2034">
        <v>75</v>
      </c>
      <c r="R2034">
        <v>8.7100000000000009</v>
      </c>
      <c r="S2034">
        <v>73</v>
      </c>
      <c r="T2034">
        <v>-7.93</v>
      </c>
      <c r="U2034">
        <v>64</v>
      </c>
      <c r="V2034">
        <v>4.2300000000000004</v>
      </c>
      <c r="W2034">
        <v>62</v>
      </c>
      <c r="X2034" t="s">
        <v>251</v>
      </c>
      <c r="Y2034" t="s">
        <v>5587</v>
      </c>
      <c r="Z2034" t="s">
        <v>96</v>
      </c>
      <c r="AA2034" t="s">
        <v>5940</v>
      </c>
      <c r="AB2034" t="s">
        <v>15137</v>
      </c>
      <c r="AC2034">
        <v>26</v>
      </c>
      <c r="AD2034">
        <v>13</v>
      </c>
      <c r="AE2034">
        <v>94</v>
      </c>
      <c r="AF2034">
        <v>365.71</v>
      </c>
      <c r="AG2034">
        <v>8.19</v>
      </c>
      <c r="AH2034">
        <v>14.1</v>
      </c>
      <c r="AI2034">
        <v>-0.1</v>
      </c>
      <c r="AJ2034">
        <v>0.03</v>
      </c>
      <c r="AK2034">
        <v>79</v>
      </c>
      <c r="AL2034">
        <v>36</v>
      </c>
      <c r="AM2034">
        <v>20</v>
      </c>
      <c r="AN2034">
        <v>3.21</v>
      </c>
      <c r="AO2034">
        <v>-0.2</v>
      </c>
      <c r="AP2034">
        <v>97</v>
      </c>
      <c r="AQ2034">
        <v>0</v>
      </c>
      <c r="AR2034">
        <v>7.02</v>
      </c>
      <c r="AS2034">
        <v>72</v>
      </c>
      <c r="AT2034">
        <v>3.06</v>
      </c>
      <c r="AU2034">
        <v>81</v>
      </c>
      <c r="AV2034">
        <v>-4.32</v>
      </c>
      <c r="AW2034">
        <v>86</v>
      </c>
      <c r="AX2034">
        <v>-0.83</v>
      </c>
      <c r="AY2034">
        <v>65</v>
      </c>
      <c r="AZ2034">
        <v>6.75</v>
      </c>
      <c r="BA2034">
        <v>50</v>
      </c>
      <c r="BB2034">
        <v>4.87</v>
      </c>
      <c r="BC2034">
        <v>48</v>
      </c>
      <c r="BD2034">
        <v>-0.05</v>
      </c>
      <c r="BE2034">
        <v>-0.03</v>
      </c>
      <c r="BF2034">
        <v>-0.06</v>
      </c>
      <c r="BG2034">
        <v>86</v>
      </c>
      <c r="BH2034">
        <v>0</v>
      </c>
      <c r="BI2034">
        <v>-13.64</v>
      </c>
      <c r="BJ2034">
        <v>11</v>
      </c>
      <c r="BK2034">
        <v>7</v>
      </c>
      <c r="BL2034">
        <v>2.1</v>
      </c>
      <c r="BM2034">
        <v>-0.41</v>
      </c>
      <c r="BN2034">
        <v>0.82</v>
      </c>
      <c r="BO2034">
        <v>1.5</v>
      </c>
      <c r="BP2034">
        <v>2.96</v>
      </c>
      <c r="BQ2034">
        <v>3.91</v>
      </c>
      <c r="BR2034">
        <v>1.49</v>
      </c>
      <c r="BS2034">
        <v>0.54</v>
      </c>
      <c r="BT2034">
        <v>0.19</v>
      </c>
      <c r="BU2034">
        <v>2.77</v>
      </c>
      <c r="BV2034">
        <v>2.15</v>
      </c>
      <c r="BW2034">
        <v>2.52</v>
      </c>
      <c r="BX2034">
        <v>2.2200000000000002</v>
      </c>
      <c r="BY2034">
        <v>0.56000000000000005</v>
      </c>
      <c r="BZ2034">
        <v>1.29</v>
      </c>
      <c r="CA2034">
        <v>1.94</v>
      </c>
      <c r="CB2034">
        <v>2.29</v>
      </c>
      <c r="CC2034">
        <v>0.19</v>
      </c>
      <c r="CD2034">
        <v>-1.06</v>
      </c>
      <c r="CE2034">
        <v>1.1000000000000001</v>
      </c>
      <c r="CF2034">
        <v>1.94</v>
      </c>
      <c r="CG2034">
        <v>0</v>
      </c>
      <c r="CH2034">
        <v>1.1599999999999999</v>
      </c>
      <c r="CI2034">
        <v>0</v>
      </c>
      <c r="CJ2034">
        <v>5.0999999999999996</v>
      </c>
      <c r="CK2034">
        <v>78</v>
      </c>
      <c r="CL2034">
        <v>-1.41</v>
      </c>
      <c r="CM2034">
        <v>74</v>
      </c>
      <c r="CN2034">
        <v>-0.64</v>
      </c>
      <c r="CO2034">
        <v>71</v>
      </c>
      <c r="CP2034">
        <v>7.8</v>
      </c>
      <c r="CQ2034">
        <v>69</v>
      </c>
      <c r="CR2034">
        <v>0</v>
      </c>
      <c r="CS2034">
        <v>0</v>
      </c>
      <c r="CT2034">
        <v>24.5</v>
      </c>
      <c r="CU2034">
        <v>64</v>
      </c>
      <c r="CV2034">
        <v>0.4</v>
      </c>
      <c r="CW2034">
        <v>41</v>
      </c>
      <c r="CX2034" t="s">
        <v>309</v>
      </c>
    </row>
    <row r="2035" spans="1:102" x14ac:dyDescent="0.3">
      <c r="A2035" t="str">
        <f>HYPERLINK("https://webapp.icbf.com/v2/app/bull-search/view/77858497","DOA")</f>
        <v>DOA</v>
      </c>
      <c r="B2035" t="s">
        <v>14993</v>
      </c>
      <c r="C2035" t="s">
        <v>14994</v>
      </c>
      <c r="D2035" s="1">
        <v>31742</v>
      </c>
      <c r="E2035" t="s">
        <v>92</v>
      </c>
      <c r="F2035">
        <v>100</v>
      </c>
      <c r="G2035" t="s">
        <v>93</v>
      </c>
      <c r="H2035">
        <v>68.89</v>
      </c>
      <c r="I2035">
        <v>88</v>
      </c>
      <c r="J2035">
        <v>-10.97</v>
      </c>
      <c r="K2035">
        <v>97</v>
      </c>
      <c r="L2035">
        <v>68.12</v>
      </c>
      <c r="M2035">
        <v>85</v>
      </c>
      <c r="N2035">
        <v>3.69</v>
      </c>
      <c r="O2035">
        <v>80</v>
      </c>
      <c r="P2035">
        <v>-10.7</v>
      </c>
      <c r="Q2035">
        <v>92</v>
      </c>
      <c r="R2035">
        <v>-2</v>
      </c>
      <c r="S2035">
        <v>83</v>
      </c>
      <c r="T2035">
        <v>15.82</v>
      </c>
      <c r="U2035">
        <v>83</v>
      </c>
      <c r="V2035">
        <v>4.93</v>
      </c>
      <c r="W2035">
        <v>69</v>
      </c>
      <c r="X2035" t="s">
        <v>102</v>
      </c>
      <c r="Y2035" t="s">
        <v>95</v>
      </c>
      <c r="Z2035" t="s">
        <v>96</v>
      </c>
      <c r="AA2035" t="s">
        <v>617</v>
      </c>
      <c r="AB2035" t="s">
        <v>14995</v>
      </c>
      <c r="AC2035">
        <v>174</v>
      </c>
      <c r="AD2035">
        <v>107</v>
      </c>
      <c r="AE2035">
        <v>97</v>
      </c>
      <c r="AF2035">
        <v>-184.58</v>
      </c>
      <c r="AG2035">
        <v>-3.99</v>
      </c>
      <c r="AH2035">
        <v>-3.28</v>
      </c>
      <c r="AI2035">
        <v>0.06</v>
      </c>
      <c r="AJ2035">
        <v>0.05</v>
      </c>
      <c r="AK2035">
        <v>85</v>
      </c>
      <c r="AL2035">
        <v>379</v>
      </c>
      <c r="AM2035">
        <v>203</v>
      </c>
      <c r="AN2035">
        <v>-3.93</v>
      </c>
      <c r="AO2035">
        <v>1.5</v>
      </c>
      <c r="AP2035">
        <v>19</v>
      </c>
      <c r="AQ2035">
        <v>1</v>
      </c>
      <c r="AR2035">
        <v>6.85</v>
      </c>
      <c r="AS2035">
        <v>62</v>
      </c>
      <c r="AT2035">
        <v>2.88</v>
      </c>
      <c r="AU2035">
        <v>82</v>
      </c>
      <c r="AV2035">
        <v>-1.7</v>
      </c>
      <c r="AW2035">
        <v>83</v>
      </c>
      <c r="AX2035">
        <v>0.38</v>
      </c>
      <c r="AY2035">
        <v>89</v>
      </c>
      <c r="AZ2035">
        <v>7.35</v>
      </c>
      <c r="BA2035">
        <v>59</v>
      </c>
      <c r="BB2035">
        <v>7</v>
      </c>
      <c r="BC2035">
        <v>75</v>
      </c>
      <c r="BD2035">
        <v>-0.03</v>
      </c>
      <c r="BE2035">
        <v>0.04</v>
      </c>
      <c r="BF2035">
        <v>0.02</v>
      </c>
      <c r="BG2035">
        <v>96</v>
      </c>
      <c r="BH2035">
        <v>0.25</v>
      </c>
      <c r="BI2035">
        <v>13.02</v>
      </c>
      <c r="BJ2035">
        <v>18</v>
      </c>
      <c r="BK2035">
        <v>17</v>
      </c>
      <c r="BL2035">
        <v>-1.1000000000000001</v>
      </c>
      <c r="BM2035">
        <v>7.0000000000000007E-2</v>
      </c>
      <c r="BN2035">
        <v>-1.53</v>
      </c>
      <c r="BO2035">
        <v>-1.1599999999999999</v>
      </c>
      <c r="BP2035">
        <v>0.89</v>
      </c>
      <c r="BQ2035">
        <v>-0.79</v>
      </c>
      <c r="BR2035">
        <v>0.08</v>
      </c>
      <c r="BS2035">
        <v>-0.87</v>
      </c>
      <c r="BT2035">
        <v>-0.01</v>
      </c>
      <c r="BU2035">
        <v>-1.77</v>
      </c>
      <c r="BV2035">
        <v>-0.57999999999999996</v>
      </c>
      <c r="BW2035">
        <v>-1.39</v>
      </c>
      <c r="BX2035">
        <v>-0.28999999999999998</v>
      </c>
      <c r="BY2035">
        <v>-2.25</v>
      </c>
      <c r="BZ2035">
        <v>2.0099999999999998</v>
      </c>
      <c r="CA2035">
        <v>-1.17</v>
      </c>
      <c r="CB2035">
        <v>-1.1499999999999999</v>
      </c>
      <c r="CC2035">
        <v>-0.72</v>
      </c>
      <c r="CD2035">
        <v>0.33</v>
      </c>
      <c r="CE2035">
        <v>-0.75</v>
      </c>
      <c r="CF2035">
        <v>-2</v>
      </c>
      <c r="CG2035">
        <v>0</v>
      </c>
      <c r="CH2035">
        <v>-2.14</v>
      </c>
      <c r="CI2035">
        <v>0</v>
      </c>
      <c r="CJ2035">
        <v>-3.2</v>
      </c>
      <c r="CK2035">
        <v>93</v>
      </c>
      <c r="CL2035">
        <v>-0.32</v>
      </c>
      <c r="CM2035">
        <v>91</v>
      </c>
      <c r="CN2035">
        <v>0.13</v>
      </c>
      <c r="CO2035">
        <v>90</v>
      </c>
      <c r="CP2035">
        <v>-9.6999999999999993</v>
      </c>
      <c r="CQ2035">
        <v>94</v>
      </c>
      <c r="CR2035">
        <v>0</v>
      </c>
      <c r="CS2035">
        <v>0</v>
      </c>
      <c r="CT2035">
        <v>-7.6</v>
      </c>
      <c r="CU2035">
        <v>83</v>
      </c>
      <c r="CV2035">
        <v>0</v>
      </c>
      <c r="CW2035">
        <v>44</v>
      </c>
      <c r="CX2035" t="s">
        <v>3433</v>
      </c>
    </row>
    <row r="2036" spans="1:102" x14ac:dyDescent="0.3">
      <c r="A2036" t="str">
        <f>HYPERLINK("https://webapp.icbf.com/v2/app/bull-search/view/448281484","DXO")</f>
        <v>DXO</v>
      </c>
      <c r="B2036" t="s">
        <v>6958</v>
      </c>
      <c r="C2036" t="s">
        <v>6959</v>
      </c>
      <c r="D2036" s="1">
        <v>36741</v>
      </c>
      <c r="E2036" t="s">
        <v>92</v>
      </c>
      <c r="F2036">
        <v>69</v>
      </c>
      <c r="G2036" t="s">
        <v>109</v>
      </c>
      <c r="H2036">
        <v>68.83</v>
      </c>
      <c r="I2036">
        <v>80</v>
      </c>
      <c r="J2036">
        <v>15.02</v>
      </c>
      <c r="K2036">
        <v>92</v>
      </c>
      <c r="L2036">
        <v>30.98</v>
      </c>
      <c r="M2036">
        <v>73</v>
      </c>
      <c r="N2036">
        <v>25.16</v>
      </c>
      <c r="O2036">
        <v>73</v>
      </c>
      <c r="P2036">
        <v>-44.38</v>
      </c>
      <c r="Q2036">
        <v>80</v>
      </c>
      <c r="R2036">
        <v>-6.73</v>
      </c>
      <c r="S2036">
        <v>74</v>
      </c>
      <c r="T2036">
        <v>43.5</v>
      </c>
      <c r="U2036">
        <v>79</v>
      </c>
      <c r="V2036">
        <v>5.28</v>
      </c>
      <c r="W2036">
        <v>71</v>
      </c>
      <c r="X2036" t="s">
        <v>302</v>
      </c>
      <c r="Y2036" t="s">
        <v>95</v>
      </c>
      <c r="Z2036">
        <v>0</v>
      </c>
      <c r="AA2036" t="s">
        <v>5213</v>
      </c>
      <c r="AB2036" t="s">
        <v>6960</v>
      </c>
      <c r="AC2036">
        <v>0</v>
      </c>
      <c r="AD2036">
        <v>0</v>
      </c>
      <c r="AE2036">
        <v>92</v>
      </c>
      <c r="AF2036">
        <v>-10.220000000000001</v>
      </c>
      <c r="AG2036">
        <v>0.36</v>
      </c>
      <c r="AH2036">
        <v>2.27</v>
      </c>
      <c r="AI2036">
        <v>0.01</v>
      </c>
      <c r="AJ2036">
        <v>0.05</v>
      </c>
      <c r="AK2036">
        <v>73</v>
      </c>
      <c r="AL2036">
        <v>0</v>
      </c>
      <c r="AM2036">
        <v>0</v>
      </c>
      <c r="AN2036">
        <v>-0.93</v>
      </c>
      <c r="AO2036">
        <v>1.55</v>
      </c>
      <c r="AP2036">
        <v>51</v>
      </c>
      <c r="AQ2036">
        <v>0</v>
      </c>
      <c r="AR2036">
        <v>3.96</v>
      </c>
      <c r="AS2036">
        <v>54</v>
      </c>
      <c r="AT2036">
        <v>1.94</v>
      </c>
      <c r="AU2036">
        <v>72</v>
      </c>
      <c r="AV2036">
        <v>-1.73</v>
      </c>
      <c r="AW2036">
        <v>90</v>
      </c>
      <c r="AX2036">
        <v>-0.84</v>
      </c>
      <c r="AY2036">
        <v>68</v>
      </c>
      <c r="AZ2036">
        <v>7.68</v>
      </c>
      <c r="BA2036">
        <v>42</v>
      </c>
      <c r="BB2036">
        <v>6</v>
      </c>
      <c r="BC2036">
        <v>48</v>
      </c>
      <c r="BD2036">
        <v>0.01</v>
      </c>
      <c r="BE2036">
        <v>0.02</v>
      </c>
      <c r="BF2036">
        <v>0.1</v>
      </c>
      <c r="BG2036">
        <v>89</v>
      </c>
      <c r="BH2036">
        <v>0.01</v>
      </c>
      <c r="BI2036">
        <v>-15.87</v>
      </c>
      <c r="BJ2036">
        <v>0</v>
      </c>
      <c r="BK2036">
        <v>0</v>
      </c>
      <c r="BL2036">
        <v>-3.07</v>
      </c>
      <c r="BM2036">
        <v>0.48</v>
      </c>
      <c r="BN2036">
        <v>-0.55000000000000004</v>
      </c>
      <c r="BO2036">
        <v>-0.21</v>
      </c>
      <c r="BP2036">
        <v>-1.32</v>
      </c>
      <c r="BQ2036">
        <v>-2.4</v>
      </c>
      <c r="BR2036">
        <v>1.98</v>
      </c>
      <c r="BS2036">
        <v>1.66</v>
      </c>
      <c r="BT2036">
        <v>-0.76</v>
      </c>
      <c r="BU2036">
        <v>-0.87</v>
      </c>
      <c r="BV2036">
        <v>-0.84</v>
      </c>
      <c r="BW2036">
        <v>-0.76</v>
      </c>
      <c r="BX2036">
        <v>-2.2799999999999998</v>
      </c>
      <c r="BY2036">
        <v>0.03</v>
      </c>
      <c r="BZ2036">
        <v>-0.65</v>
      </c>
      <c r="CA2036">
        <v>-0.76</v>
      </c>
      <c r="CB2036">
        <v>-0.68</v>
      </c>
      <c r="CC2036">
        <v>0.68</v>
      </c>
      <c r="CD2036">
        <v>-0.26</v>
      </c>
      <c r="CE2036">
        <v>-0.14000000000000001</v>
      </c>
      <c r="CF2036">
        <v>-2.0699999999999998</v>
      </c>
      <c r="CG2036">
        <v>0</v>
      </c>
      <c r="CH2036">
        <v>-1.1200000000000001</v>
      </c>
      <c r="CI2036">
        <v>0</v>
      </c>
      <c r="CJ2036">
        <v>-24.6</v>
      </c>
      <c r="CK2036">
        <v>82</v>
      </c>
      <c r="CL2036">
        <v>-0.74</v>
      </c>
      <c r="CM2036">
        <v>79</v>
      </c>
      <c r="CN2036">
        <v>-0.21</v>
      </c>
      <c r="CO2036">
        <v>76</v>
      </c>
      <c r="CP2036">
        <v>-35</v>
      </c>
      <c r="CQ2036">
        <v>76</v>
      </c>
      <c r="CR2036">
        <v>0</v>
      </c>
      <c r="CS2036">
        <v>0</v>
      </c>
      <c r="CT2036">
        <v>-45</v>
      </c>
      <c r="CU2036">
        <v>79</v>
      </c>
      <c r="CV2036">
        <v>-0.26</v>
      </c>
      <c r="CW2036">
        <v>42</v>
      </c>
      <c r="CX2036" t="s">
        <v>514</v>
      </c>
    </row>
    <row r="2037" spans="1:102" x14ac:dyDescent="0.3">
      <c r="A2037" t="str">
        <f>HYPERLINK("https://webapp.icbf.com/v2/app/bull-search/view/678698660","REK")</f>
        <v>REK</v>
      </c>
      <c r="B2037" t="s">
        <v>14907</v>
      </c>
      <c r="C2037" t="s">
        <v>2115</v>
      </c>
      <c r="D2037" s="1">
        <v>39339</v>
      </c>
      <c r="E2037" t="s">
        <v>92</v>
      </c>
      <c r="F2037">
        <v>100</v>
      </c>
      <c r="G2037" t="s">
        <v>109</v>
      </c>
      <c r="H2037">
        <v>68.739999999999995</v>
      </c>
      <c r="I2037">
        <v>76</v>
      </c>
      <c r="J2037">
        <v>58.43</v>
      </c>
      <c r="K2037">
        <v>86</v>
      </c>
      <c r="L2037">
        <v>-25.58</v>
      </c>
      <c r="M2037">
        <v>82</v>
      </c>
      <c r="N2037">
        <v>26.39</v>
      </c>
      <c r="O2037">
        <v>72</v>
      </c>
      <c r="P2037">
        <v>-7.02</v>
      </c>
      <c r="Q2037">
        <v>72</v>
      </c>
      <c r="R2037">
        <v>6.19</v>
      </c>
      <c r="S2037">
        <v>67</v>
      </c>
      <c r="T2037">
        <v>4.6500000000000004</v>
      </c>
      <c r="U2037">
        <v>42</v>
      </c>
      <c r="V2037">
        <v>5.68</v>
      </c>
      <c r="W2037">
        <v>32</v>
      </c>
      <c r="X2037" t="s">
        <v>428</v>
      </c>
      <c r="Y2037" t="s">
        <v>329</v>
      </c>
      <c r="Z2037" t="s">
        <v>96</v>
      </c>
      <c r="AA2037" t="s">
        <v>350</v>
      </c>
      <c r="AB2037" t="s">
        <v>14908</v>
      </c>
      <c r="AC2037">
        <v>0</v>
      </c>
      <c r="AD2037">
        <v>0</v>
      </c>
      <c r="AE2037">
        <v>86</v>
      </c>
      <c r="AF2037">
        <v>336.34</v>
      </c>
      <c r="AG2037">
        <v>13.5</v>
      </c>
      <c r="AH2037">
        <v>10.31</v>
      </c>
      <c r="AI2037">
        <v>0.01</v>
      </c>
      <c r="AJ2037">
        <v>-0.02</v>
      </c>
      <c r="AK2037">
        <v>82</v>
      </c>
      <c r="AL2037">
        <v>0</v>
      </c>
      <c r="AM2037">
        <v>0</v>
      </c>
      <c r="AN2037">
        <v>2.92</v>
      </c>
      <c r="AO2037">
        <v>0.9</v>
      </c>
      <c r="AP2037">
        <v>63</v>
      </c>
      <c r="AQ2037">
        <v>0</v>
      </c>
      <c r="AR2037">
        <v>5.34</v>
      </c>
      <c r="AS2037">
        <v>57</v>
      </c>
      <c r="AT2037">
        <v>2.62</v>
      </c>
      <c r="AU2037">
        <v>91</v>
      </c>
      <c r="AV2037">
        <v>-2.33</v>
      </c>
      <c r="AW2037">
        <v>81</v>
      </c>
      <c r="AX2037">
        <v>0.17</v>
      </c>
      <c r="AY2037">
        <v>63</v>
      </c>
      <c r="AZ2037">
        <v>6.63</v>
      </c>
      <c r="BA2037">
        <v>43</v>
      </c>
      <c r="BB2037">
        <v>5.16</v>
      </c>
      <c r="BC2037">
        <v>33</v>
      </c>
      <c r="BD2037">
        <v>0.01</v>
      </c>
      <c r="BE2037">
        <v>-0.01</v>
      </c>
      <c r="BF2037">
        <v>-0.14000000000000001</v>
      </c>
      <c r="BG2037">
        <v>90</v>
      </c>
      <c r="BH2037">
        <v>0.13</v>
      </c>
      <c r="BI2037">
        <v>-3.3</v>
      </c>
      <c r="BJ2037">
        <v>6</v>
      </c>
      <c r="BK2037">
        <v>5</v>
      </c>
      <c r="BL2037">
        <v>1.23</v>
      </c>
      <c r="BM2037">
        <v>-1.81</v>
      </c>
      <c r="BN2037">
        <v>-0.28000000000000003</v>
      </c>
      <c r="BO2037">
        <v>1.36</v>
      </c>
      <c r="BP2037">
        <v>1.44</v>
      </c>
      <c r="BQ2037">
        <v>2.2000000000000002</v>
      </c>
      <c r="BR2037">
        <v>1.04</v>
      </c>
      <c r="BS2037">
        <v>2.39</v>
      </c>
      <c r="BT2037">
        <v>0.91</v>
      </c>
      <c r="BU2037">
        <v>1.96</v>
      </c>
      <c r="BV2037">
        <v>3.14</v>
      </c>
      <c r="BW2037">
        <v>1.98</v>
      </c>
      <c r="BX2037">
        <v>1.68</v>
      </c>
      <c r="BY2037">
        <v>0.1</v>
      </c>
      <c r="BZ2037">
        <v>-1.88</v>
      </c>
      <c r="CA2037">
        <v>2.5499999999999998</v>
      </c>
      <c r="CB2037">
        <v>2.21</v>
      </c>
      <c r="CC2037">
        <v>2.12</v>
      </c>
      <c r="CD2037">
        <v>-1.2</v>
      </c>
      <c r="CE2037">
        <v>1.28</v>
      </c>
      <c r="CF2037">
        <v>1.3</v>
      </c>
      <c r="CG2037">
        <v>0</v>
      </c>
      <c r="CH2037">
        <v>2.2200000000000002</v>
      </c>
      <c r="CI2037">
        <v>0</v>
      </c>
      <c r="CJ2037">
        <v>-3.9</v>
      </c>
      <c r="CK2037">
        <v>76</v>
      </c>
      <c r="CL2037">
        <v>-1.03</v>
      </c>
      <c r="CM2037">
        <v>72</v>
      </c>
      <c r="CN2037">
        <v>-0.77</v>
      </c>
      <c r="CO2037">
        <v>70</v>
      </c>
      <c r="CP2037">
        <v>-0.2</v>
      </c>
      <c r="CQ2037">
        <v>49</v>
      </c>
      <c r="CR2037">
        <v>0</v>
      </c>
      <c r="CS2037">
        <v>0</v>
      </c>
      <c r="CT2037">
        <v>7.5</v>
      </c>
      <c r="CU2037">
        <v>42</v>
      </c>
      <c r="CV2037">
        <v>0.14000000000000001</v>
      </c>
      <c r="CW2037">
        <v>21</v>
      </c>
      <c r="CX2037" t="s">
        <v>309</v>
      </c>
    </row>
    <row r="2038" spans="1:102" x14ac:dyDescent="0.3">
      <c r="A2038" t="str">
        <f>HYPERLINK("https://webapp.icbf.com/v2/app/bull-search/view/1196689382","S3066")</f>
        <v>S3066</v>
      </c>
      <c r="B2038" t="s">
        <v>409</v>
      </c>
      <c r="C2038" t="s">
        <v>410</v>
      </c>
      <c r="D2038" s="1">
        <v>41312</v>
      </c>
      <c r="E2038" t="s">
        <v>92</v>
      </c>
      <c r="F2038">
        <v>100</v>
      </c>
      <c r="G2038" t="s">
        <v>109</v>
      </c>
      <c r="H2038">
        <v>68.58</v>
      </c>
      <c r="I2038">
        <v>67</v>
      </c>
      <c r="J2038">
        <v>69.2</v>
      </c>
      <c r="K2038">
        <v>84</v>
      </c>
      <c r="L2038">
        <v>-30.51</v>
      </c>
      <c r="M2038">
        <v>79</v>
      </c>
      <c r="N2038">
        <v>27.67</v>
      </c>
      <c r="O2038">
        <v>51</v>
      </c>
      <c r="P2038">
        <v>-8.6999999999999993</v>
      </c>
      <c r="Q2038">
        <v>36</v>
      </c>
      <c r="R2038">
        <v>10.84</v>
      </c>
      <c r="S2038">
        <v>57</v>
      </c>
      <c r="T2038">
        <v>-1.94</v>
      </c>
      <c r="U2038">
        <v>25</v>
      </c>
      <c r="V2038">
        <v>2.02</v>
      </c>
      <c r="W2038">
        <v>17</v>
      </c>
      <c r="X2038" t="s">
        <v>110</v>
      </c>
      <c r="Y2038" t="s">
        <v>411</v>
      </c>
      <c r="Z2038" t="s">
        <v>96</v>
      </c>
      <c r="AA2038" t="s">
        <v>412</v>
      </c>
      <c r="AB2038" t="s">
        <v>413</v>
      </c>
      <c r="AC2038">
        <v>0</v>
      </c>
      <c r="AD2038">
        <v>0</v>
      </c>
      <c r="AE2038">
        <v>84</v>
      </c>
      <c r="AF2038">
        <v>482.09</v>
      </c>
      <c r="AG2038">
        <v>15.91</v>
      </c>
      <c r="AH2038">
        <v>13.52</v>
      </c>
      <c r="AI2038">
        <v>-0.04</v>
      </c>
      <c r="AJ2038">
        <v>-0.05</v>
      </c>
      <c r="AK2038">
        <v>79</v>
      </c>
      <c r="AL2038">
        <v>0</v>
      </c>
      <c r="AM2038">
        <v>0</v>
      </c>
      <c r="AN2038">
        <v>2.71</v>
      </c>
      <c r="AO2038">
        <v>0.28999999999999998</v>
      </c>
      <c r="AP2038">
        <v>6</v>
      </c>
      <c r="AQ2038">
        <v>2</v>
      </c>
      <c r="AR2038">
        <v>8.34</v>
      </c>
      <c r="AS2038">
        <v>30</v>
      </c>
      <c r="AT2038">
        <v>3.48</v>
      </c>
      <c r="AU2038">
        <v>89</v>
      </c>
      <c r="AV2038">
        <v>-3.5</v>
      </c>
      <c r="AW2038">
        <v>51</v>
      </c>
      <c r="AX2038">
        <v>-0.31</v>
      </c>
      <c r="AY2038">
        <v>32</v>
      </c>
      <c r="AZ2038">
        <v>5.4</v>
      </c>
      <c r="BA2038">
        <v>23</v>
      </c>
      <c r="BB2038">
        <v>4.37</v>
      </c>
      <c r="BC2038">
        <v>17</v>
      </c>
      <c r="BD2038">
        <v>-0.02</v>
      </c>
      <c r="BE2038">
        <v>-0.04</v>
      </c>
      <c r="BF2038">
        <v>-0.14000000000000001</v>
      </c>
      <c r="BG2038">
        <v>88</v>
      </c>
      <c r="BH2038">
        <v>0.02</v>
      </c>
      <c r="BI2038">
        <v>-4.2</v>
      </c>
      <c r="BJ2038">
        <v>0</v>
      </c>
      <c r="BK2038">
        <v>0</v>
      </c>
      <c r="BL2038">
        <v>2.63</v>
      </c>
      <c r="BM2038">
        <v>0.18</v>
      </c>
      <c r="BN2038">
        <v>0.57999999999999996</v>
      </c>
      <c r="BO2038">
        <v>0.94</v>
      </c>
      <c r="BP2038">
        <v>0.53</v>
      </c>
      <c r="BQ2038">
        <v>0.4</v>
      </c>
      <c r="BR2038">
        <v>-1.8</v>
      </c>
      <c r="BS2038">
        <v>2.08</v>
      </c>
      <c r="BT2038">
        <v>1.52</v>
      </c>
      <c r="BU2038">
        <v>2.2999999999999998</v>
      </c>
      <c r="BV2038">
        <v>2.78</v>
      </c>
      <c r="BW2038">
        <v>2.29</v>
      </c>
      <c r="BX2038">
        <v>3.2</v>
      </c>
      <c r="BY2038">
        <v>1.18</v>
      </c>
      <c r="BZ2038">
        <v>-1.95</v>
      </c>
      <c r="CA2038">
        <v>2.42</v>
      </c>
      <c r="CB2038">
        <v>2.17</v>
      </c>
      <c r="CC2038">
        <v>1.58</v>
      </c>
      <c r="CD2038">
        <v>-0.38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-1.4</v>
      </c>
      <c r="CK2038">
        <v>38</v>
      </c>
      <c r="CL2038">
        <v>-1.27</v>
      </c>
      <c r="CM2038">
        <v>36</v>
      </c>
      <c r="CN2038">
        <v>-0.5</v>
      </c>
      <c r="CO2038">
        <v>35</v>
      </c>
      <c r="CP2038">
        <v>3.2</v>
      </c>
      <c r="CQ2038">
        <v>28</v>
      </c>
      <c r="CR2038">
        <v>0</v>
      </c>
      <c r="CS2038">
        <v>0</v>
      </c>
      <c r="CT2038">
        <v>16.399999999999999</v>
      </c>
      <c r="CU2038">
        <v>25</v>
      </c>
      <c r="CV2038">
        <v>0.35</v>
      </c>
      <c r="CW2038">
        <v>11</v>
      </c>
      <c r="CX2038" t="s">
        <v>353</v>
      </c>
    </row>
    <row r="2039" spans="1:102" x14ac:dyDescent="0.3">
      <c r="A2039" t="str">
        <f>HYPERLINK("https://webapp.icbf.com/v2/app/bull-search/view/69091876","HKC")</f>
        <v>HKC</v>
      </c>
      <c r="B2039" t="s">
        <v>526</v>
      </c>
      <c r="C2039" t="s">
        <v>527</v>
      </c>
      <c r="D2039" s="1">
        <v>34800</v>
      </c>
      <c r="E2039" t="s">
        <v>92</v>
      </c>
      <c r="F2039">
        <v>81</v>
      </c>
      <c r="G2039" t="s">
        <v>109</v>
      </c>
      <c r="H2039">
        <v>68.48</v>
      </c>
      <c r="I2039">
        <v>79</v>
      </c>
      <c r="J2039">
        <v>59.57</v>
      </c>
      <c r="K2039">
        <v>93</v>
      </c>
      <c r="L2039">
        <v>-28.61</v>
      </c>
      <c r="M2039">
        <v>82</v>
      </c>
      <c r="N2039">
        <v>29.19</v>
      </c>
      <c r="O2039">
        <v>66</v>
      </c>
      <c r="P2039">
        <v>11.85</v>
      </c>
      <c r="Q2039">
        <v>65</v>
      </c>
      <c r="R2039">
        <v>-7.24</v>
      </c>
      <c r="S2039">
        <v>74</v>
      </c>
      <c r="T2039">
        <v>10.57</v>
      </c>
      <c r="U2039">
        <v>54</v>
      </c>
      <c r="V2039">
        <v>-6.85</v>
      </c>
      <c r="W2039">
        <v>60</v>
      </c>
      <c r="X2039" t="s">
        <v>302</v>
      </c>
      <c r="Y2039" t="s">
        <v>95</v>
      </c>
      <c r="Z2039" t="s">
        <v>528</v>
      </c>
      <c r="AA2039" t="s">
        <v>529</v>
      </c>
      <c r="AB2039" t="s">
        <v>530</v>
      </c>
      <c r="AC2039">
        <v>0</v>
      </c>
      <c r="AD2039">
        <v>0</v>
      </c>
      <c r="AE2039">
        <v>93</v>
      </c>
      <c r="AF2039">
        <v>133.94999999999999</v>
      </c>
      <c r="AG2039">
        <v>11.62</v>
      </c>
      <c r="AH2039">
        <v>8.07</v>
      </c>
      <c r="AI2039">
        <v>0.11</v>
      </c>
      <c r="AJ2039">
        <v>0.06</v>
      </c>
      <c r="AK2039">
        <v>82</v>
      </c>
      <c r="AL2039">
        <v>0</v>
      </c>
      <c r="AM2039">
        <v>0</v>
      </c>
      <c r="AN2039">
        <v>2.48</v>
      </c>
      <c r="AO2039">
        <v>0.21</v>
      </c>
      <c r="AP2039">
        <v>2</v>
      </c>
      <c r="AQ2039">
        <v>5</v>
      </c>
      <c r="AR2039">
        <v>5.88</v>
      </c>
      <c r="AS2039">
        <v>55</v>
      </c>
      <c r="AT2039">
        <v>1.59</v>
      </c>
      <c r="AU2039">
        <v>86</v>
      </c>
      <c r="AV2039">
        <v>-1.53</v>
      </c>
      <c r="AW2039">
        <v>66</v>
      </c>
      <c r="AX2039">
        <v>-0.81</v>
      </c>
      <c r="AY2039">
        <v>59</v>
      </c>
      <c r="AZ2039">
        <v>6.03</v>
      </c>
      <c r="BA2039">
        <v>46</v>
      </c>
      <c r="BB2039">
        <v>5.18</v>
      </c>
      <c r="BC2039">
        <v>48</v>
      </c>
      <c r="BD2039">
        <v>-0.01</v>
      </c>
      <c r="BE2039">
        <v>7.0000000000000007E-2</v>
      </c>
      <c r="BF2039">
        <v>0.05</v>
      </c>
      <c r="BG2039">
        <v>90</v>
      </c>
      <c r="BH2039">
        <v>-0.19</v>
      </c>
      <c r="BI2039">
        <v>0.12</v>
      </c>
      <c r="BJ2039">
        <v>0</v>
      </c>
      <c r="BK2039">
        <v>0</v>
      </c>
      <c r="BL2039">
        <v>-0.64</v>
      </c>
      <c r="BM2039">
        <v>-0.84</v>
      </c>
      <c r="BN2039">
        <v>-1.1000000000000001</v>
      </c>
      <c r="BO2039">
        <v>-0.73</v>
      </c>
      <c r="BP2039">
        <v>-1.19</v>
      </c>
      <c r="BQ2039">
        <v>-1.55</v>
      </c>
      <c r="BR2039">
        <v>-0.39</v>
      </c>
      <c r="BS2039">
        <v>-0.95</v>
      </c>
      <c r="BT2039">
        <v>-2</v>
      </c>
      <c r="BU2039">
        <v>-0.84</v>
      </c>
      <c r="BV2039">
        <v>-0.14000000000000001</v>
      </c>
      <c r="BW2039">
        <v>-0.75</v>
      </c>
      <c r="BX2039">
        <v>-1.41</v>
      </c>
      <c r="BY2039">
        <v>-0.82</v>
      </c>
      <c r="BZ2039">
        <v>0.23</v>
      </c>
      <c r="CA2039">
        <v>-1.57</v>
      </c>
      <c r="CB2039">
        <v>-0.78</v>
      </c>
      <c r="CC2039">
        <v>-2.48</v>
      </c>
      <c r="CD2039">
        <v>0.04</v>
      </c>
      <c r="CE2039">
        <v>-0.34</v>
      </c>
      <c r="CF2039">
        <v>-0.6</v>
      </c>
      <c r="CG2039">
        <v>0</v>
      </c>
      <c r="CH2039">
        <v>-0.74</v>
      </c>
      <c r="CI2039">
        <v>0</v>
      </c>
      <c r="CJ2039">
        <v>7</v>
      </c>
      <c r="CK2039">
        <v>67</v>
      </c>
      <c r="CL2039">
        <v>0.05</v>
      </c>
      <c r="CM2039">
        <v>64</v>
      </c>
      <c r="CN2039">
        <v>-0.16</v>
      </c>
      <c r="CO2039">
        <v>62</v>
      </c>
      <c r="CP2039">
        <v>-1.3</v>
      </c>
      <c r="CQ2039">
        <v>55</v>
      </c>
      <c r="CR2039">
        <v>0</v>
      </c>
      <c r="CS2039">
        <v>0</v>
      </c>
      <c r="CT2039">
        <v>-0.5</v>
      </c>
      <c r="CU2039">
        <v>54</v>
      </c>
      <c r="CV2039">
        <v>0.11</v>
      </c>
      <c r="CW2039">
        <v>40</v>
      </c>
      <c r="CX2039" t="s">
        <v>531</v>
      </c>
    </row>
    <row r="2040" spans="1:102" x14ac:dyDescent="0.3">
      <c r="A2040" t="str">
        <f>HYPERLINK("https://webapp.icbf.com/v2/app/bull-search/view/1028754203","S1496")</f>
        <v>S1496</v>
      </c>
      <c r="B2040" t="s">
        <v>9215</v>
      </c>
      <c r="C2040" t="s">
        <v>412</v>
      </c>
      <c r="D2040" s="1">
        <v>40507</v>
      </c>
      <c r="E2040" t="s">
        <v>92</v>
      </c>
      <c r="F2040">
        <v>100</v>
      </c>
      <c r="G2040" t="s">
        <v>93</v>
      </c>
      <c r="H2040">
        <v>68.430000000000007</v>
      </c>
      <c r="I2040">
        <v>90</v>
      </c>
      <c r="J2040">
        <v>55.5</v>
      </c>
      <c r="K2040">
        <v>98</v>
      </c>
      <c r="L2040">
        <v>-26.04</v>
      </c>
      <c r="M2040">
        <v>89</v>
      </c>
      <c r="N2040">
        <v>29.12</v>
      </c>
      <c r="O2040">
        <v>90</v>
      </c>
      <c r="P2040">
        <v>-4.58</v>
      </c>
      <c r="Q2040">
        <v>93</v>
      </c>
      <c r="R2040">
        <v>16.22</v>
      </c>
      <c r="S2040">
        <v>74</v>
      </c>
      <c r="T2040">
        <v>-5.49</v>
      </c>
      <c r="U2040">
        <v>77</v>
      </c>
      <c r="V2040">
        <v>3.7</v>
      </c>
      <c r="W2040">
        <v>57</v>
      </c>
      <c r="X2040" t="s">
        <v>276</v>
      </c>
      <c r="Y2040" t="s">
        <v>362</v>
      </c>
      <c r="Z2040" t="s">
        <v>96</v>
      </c>
      <c r="AA2040" t="s">
        <v>2187</v>
      </c>
      <c r="AB2040" t="s">
        <v>5510</v>
      </c>
      <c r="AC2040">
        <v>272</v>
      </c>
      <c r="AD2040">
        <v>88</v>
      </c>
      <c r="AE2040">
        <v>98</v>
      </c>
      <c r="AF2040">
        <v>469.77</v>
      </c>
      <c r="AG2040">
        <v>12.66</v>
      </c>
      <c r="AH2040">
        <v>12.15</v>
      </c>
      <c r="AI2040">
        <v>-0.09</v>
      </c>
      <c r="AJ2040">
        <v>-0.06</v>
      </c>
      <c r="AK2040">
        <v>89</v>
      </c>
      <c r="AL2040">
        <v>197</v>
      </c>
      <c r="AM2040">
        <v>70</v>
      </c>
      <c r="AN2040">
        <v>2.71</v>
      </c>
      <c r="AO2040">
        <v>0.65</v>
      </c>
      <c r="AP2040">
        <v>398</v>
      </c>
      <c r="AQ2040">
        <v>1</v>
      </c>
      <c r="AR2040">
        <v>8.36</v>
      </c>
      <c r="AS2040">
        <v>92</v>
      </c>
      <c r="AT2040">
        <v>3.35</v>
      </c>
      <c r="AU2040">
        <v>98</v>
      </c>
      <c r="AV2040">
        <v>-3.62</v>
      </c>
      <c r="AW2040">
        <v>97</v>
      </c>
      <c r="AX2040">
        <v>0.06</v>
      </c>
      <c r="AY2040">
        <v>91</v>
      </c>
      <c r="AZ2040">
        <v>5.23</v>
      </c>
      <c r="BA2040">
        <v>78</v>
      </c>
      <c r="BB2040">
        <v>4.37</v>
      </c>
      <c r="BC2040">
        <v>57</v>
      </c>
      <c r="BD2040">
        <v>-0.03</v>
      </c>
      <c r="BE2040">
        <v>-7.0000000000000007E-2</v>
      </c>
      <c r="BF2040">
        <v>-0.19</v>
      </c>
      <c r="BG2040">
        <v>91</v>
      </c>
      <c r="BH2040">
        <v>0.09</v>
      </c>
      <c r="BI2040">
        <v>-1.51</v>
      </c>
      <c r="BJ2040">
        <v>177</v>
      </c>
      <c r="BK2040">
        <v>59</v>
      </c>
      <c r="BL2040">
        <v>3.23</v>
      </c>
      <c r="BM2040">
        <v>-0.56999999999999995</v>
      </c>
      <c r="BN2040">
        <v>0.63</v>
      </c>
      <c r="BO2040">
        <v>1.41</v>
      </c>
      <c r="BP2040">
        <v>-3.19</v>
      </c>
      <c r="BQ2040">
        <v>2.63</v>
      </c>
      <c r="BR2040">
        <v>-2.16</v>
      </c>
      <c r="BS2040">
        <v>2.91</v>
      </c>
      <c r="BT2040">
        <v>3.17</v>
      </c>
      <c r="BU2040">
        <v>3.58</v>
      </c>
      <c r="BV2040">
        <v>3.62</v>
      </c>
      <c r="BW2040">
        <v>2.97</v>
      </c>
      <c r="BX2040">
        <v>3.98</v>
      </c>
      <c r="BY2040">
        <v>1.82</v>
      </c>
      <c r="BZ2040">
        <v>-1.64</v>
      </c>
      <c r="CA2040">
        <v>2.84</v>
      </c>
      <c r="CB2040">
        <v>2.65</v>
      </c>
      <c r="CC2040">
        <v>1.71</v>
      </c>
      <c r="CD2040">
        <v>-0.82</v>
      </c>
      <c r="CE2040">
        <v>1.42</v>
      </c>
      <c r="CF2040">
        <v>1.75</v>
      </c>
      <c r="CG2040">
        <v>0</v>
      </c>
      <c r="CH2040">
        <v>1.49</v>
      </c>
      <c r="CI2040">
        <v>0</v>
      </c>
      <c r="CJ2040">
        <v>3.6</v>
      </c>
      <c r="CK2040">
        <v>94</v>
      </c>
      <c r="CL2040">
        <v>-1.57</v>
      </c>
      <c r="CM2040">
        <v>93</v>
      </c>
      <c r="CN2040">
        <v>-0.44</v>
      </c>
      <c r="CO2040">
        <v>92</v>
      </c>
      <c r="CP2040">
        <v>10</v>
      </c>
      <c r="CQ2040">
        <v>84</v>
      </c>
      <c r="CR2040">
        <v>0</v>
      </c>
      <c r="CS2040">
        <v>0</v>
      </c>
      <c r="CT2040">
        <v>21.2</v>
      </c>
      <c r="CU2040">
        <v>77</v>
      </c>
      <c r="CV2040">
        <v>0.54</v>
      </c>
      <c r="CW2040">
        <v>28</v>
      </c>
      <c r="CX2040" t="s">
        <v>350</v>
      </c>
    </row>
    <row r="2041" spans="1:102" x14ac:dyDescent="0.3">
      <c r="A2041" t="str">
        <f>HYPERLINK("https://webapp.icbf.com/v2/app/bull-search/view/326632374","IVY")</f>
        <v>IVY</v>
      </c>
      <c r="B2041" t="s">
        <v>11805</v>
      </c>
      <c r="C2041" t="s">
        <v>11806</v>
      </c>
      <c r="D2041" s="1">
        <v>37715</v>
      </c>
      <c r="E2041" t="s">
        <v>140</v>
      </c>
      <c r="F2041">
        <v>0</v>
      </c>
      <c r="G2041" t="s">
        <v>93</v>
      </c>
      <c r="H2041">
        <v>68.400000000000006</v>
      </c>
      <c r="I2041">
        <v>81</v>
      </c>
      <c r="J2041">
        <v>3.46</v>
      </c>
      <c r="K2041">
        <v>94</v>
      </c>
      <c r="L2041">
        <v>90.1</v>
      </c>
      <c r="M2041">
        <v>67</v>
      </c>
      <c r="N2041">
        <v>-45.17</v>
      </c>
      <c r="O2041">
        <v>82</v>
      </c>
      <c r="P2041">
        <v>19.079999999999998</v>
      </c>
      <c r="Q2041">
        <v>94</v>
      </c>
      <c r="R2041">
        <v>6</v>
      </c>
      <c r="S2041">
        <v>70</v>
      </c>
      <c r="T2041">
        <v>8.0500000000000007</v>
      </c>
      <c r="U2041">
        <v>87</v>
      </c>
      <c r="V2041">
        <v>-13.12</v>
      </c>
      <c r="W2041">
        <v>72</v>
      </c>
      <c r="X2041" t="s">
        <v>94</v>
      </c>
      <c r="Y2041" t="s">
        <v>1128</v>
      </c>
      <c r="Z2041">
        <v>0</v>
      </c>
      <c r="AA2041" t="s">
        <v>1585</v>
      </c>
      <c r="AB2041" t="s">
        <v>11807</v>
      </c>
      <c r="AC2041">
        <v>67</v>
      </c>
      <c r="AD2041">
        <v>48</v>
      </c>
      <c r="AE2041">
        <v>94</v>
      </c>
      <c r="AF2041">
        <v>-123.39</v>
      </c>
      <c r="AG2041">
        <v>-3.11</v>
      </c>
      <c r="AH2041">
        <v>-0.2</v>
      </c>
      <c r="AI2041">
        <v>0.03</v>
      </c>
      <c r="AJ2041">
        <v>7.0000000000000007E-2</v>
      </c>
      <c r="AK2041">
        <v>67</v>
      </c>
      <c r="AL2041">
        <v>91</v>
      </c>
      <c r="AM2041">
        <v>63</v>
      </c>
      <c r="AN2041">
        <v>-4.54</v>
      </c>
      <c r="AO2041">
        <v>2.65</v>
      </c>
      <c r="AP2041">
        <v>142</v>
      </c>
      <c r="AQ2041">
        <v>9</v>
      </c>
      <c r="AR2041">
        <v>11.75</v>
      </c>
      <c r="AS2041">
        <v>52</v>
      </c>
      <c r="AT2041">
        <v>5.49</v>
      </c>
      <c r="AU2041">
        <v>82</v>
      </c>
      <c r="AV2041">
        <v>1.2</v>
      </c>
      <c r="AW2041">
        <v>96</v>
      </c>
      <c r="AX2041">
        <v>0.96</v>
      </c>
      <c r="AY2041">
        <v>82</v>
      </c>
      <c r="AZ2041">
        <v>4.8600000000000003</v>
      </c>
      <c r="BA2041">
        <v>50</v>
      </c>
      <c r="BB2041">
        <v>3.92</v>
      </c>
      <c r="BC2041">
        <v>64</v>
      </c>
      <c r="BD2041">
        <v>0</v>
      </c>
      <c r="BE2041">
        <v>-0.02</v>
      </c>
      <c r="BF2041">
        <v>-0.1</v>
      </c>
      <c r="BG2041">
        <v>79</v>
      </c>
      <c r="BH2041">
        <v>-0.32</v>
      </c>
      <c r="BI2041">
        <v>5.31</v>
      </c>
      <c r="BJ2041">
        <v>1</v>
      </c>
      <c r="BK2041">
        <v>1</v>
      </c>
      <c r="BL2041">
        <v>-1.18</v>
      </c>
      <c r="BM2041">
        <v>4.42</v>
      </c>
      <c r="BN2041">
        <v>-1.68</v>
      </c>
      <c r="BO2041">
        <v>-3.74</v>
      </c>
      <c r="BP2041">
        <v>3.62</v>
      </c>
      <c r="BQ2041">
        <v>-2.04</v>
      </c>
      <c r="BR2041">
        <v>-2.5099999999999998</v>
      </c>
      <c r="BS2041">
        <v>-0.1</v>
      </c>
      <c r="BT2041">
        <v>2.4300000000000002</v>
      </c>
      <c r="BU2041">
        <v>-3.83</v>
      </c>
      <c r="BV2041">
        <v>-4.33</v>
      </c>
      <c r="BW2041">
        <v>-3.33</v>
      </c>
      <c r="BX2041">
        <v>-2.79</v>
      </c>
      <c r="BY2041">
        <v>-1.59</v>
      </c>
      <c r="BZ2041">
        <v>1.83</v>
      </c>
      <c r="CA2041">
        <v>-2.59</v>
      </c>
      <c r="CB2041">
        <v>-3.56</v>
      </c>
      <c r="CC2041">
        <v>0.06</v>
      </c>
      <c r="CD2041">
        <v>4.38</v>
      </c>
      <c r="CE2041">
        <v>-3.34</v>
      </c>
      <c r="CF2041">
        <v>-1.35</v>
      </c>
      <c r="CG2041">
        <v>0</v>
      </c>
      <c r="CH2041">
        <v>-2.89</v>
      </c>
      <c r="CI2041">
        <v>0</v>
      </c>
      <c r="CJ2041">
        <v>7.3</v>
      </c>
      <c r="CK2041">
        <v>95</v>
      </c>
      <c r="CL2041">
        <v>0.22</v>
      </c>
      <c r="CM2041">
        <v>93</v>
      </c>
      <c r="CN2041">
        <v>-0.5</v>
      </c>
      <c r="CO2041">
        <v>92</v>
      </c>
      <c r="CP2041">
        <v>5.9</v>
      </c>
      <c r="CQ2041">
        <v>88</v>
      </c>
      <c r="CR2041">
        <v>0</v>
      </c>
      <c r="CS2041">
        <v>0</v>
      </c>
      <c r="CT2041">
        <v>2.9</v>
      </c>
      <c r="CU2041">
        <v>87</v>
      </c>
      <c r="CV2041">
        <v>-0.15</v>
      </c>
      <c r="CW2041">
        <v>27</v>
      </c>
      <c r="CX2041" t="s">
        <v>247</v>
      </c>
    </row>
    <row r="2042" spans="1:102" x14ac:dyDescent="0.3">
      <c r="A2042" t="str">
        <f>HYPERLINK("https://webapp.icbf.com/v2/app/bull-search/view/77854819","MRR")</f>
        <v>MRR</v>
      </c>
      <c r="B2042" t="s">
        <v>6641</v>
      </c>
      <c r="C2042" t="s">
        <v>6642</v>
      </c>
      <c r="D2042" s="1">
        <v>33679</v>
      </c>
      <c r="E2042" t="s">
        <v>92</v>
      </c>
      <c r="F2042">
        <v>100</v>
      </c>
      <c r="G2042" t="s">
        <v>93</v>
      </c>
      <c r="H2042">
        <v>68.39</v>
      </c>
      <c r="I2042">
        <v>87</v>
      </c>
      <c r="J2042">
        <v>-2.86</v>
      </c>
      <c r="K2042">
        <v>97</v>
      </c>
      <c r="L2042">
        <v>36.64</v>
      </c>
      <c r="M2042">
        <v>81</v>
      </c>
      <c r="N2042">
        <v>24.51</v>
      </c>
      <c r="O2042">
        <v>75</v>
      </c>
      <c r="P2042">
        <v>-4.4800000000000004</v>
      </c>
      <c r="Q2042">
        <v>87</v>
      </c>
      <c r="R2042">
        <v>-2.09</v>
      </c>
      <c r="S2042">
        <v>80</v>
      </c>
      <c r="T2042">
        <v>15.6</v>
      </c>
      <c r="U2042">
        <v>93</v>
      </c>
      <c r="V2042">
        <v>1.07</v>
      </c>
      <c r="W2042">
        <v>68</v>
      </c>
      <c r="X2042" t="s">
        <v>94</v>
      </c>
      <c r="Y2042" t="s">
        <v>95</v>
      </c>
      <c r="Z2042" t="s">
        <v>96</v>
      </c>
      <c r="AA2042" t="s">
        <v>161</v>
      </c>
      <c r="AB2042" t="s">
        <v>613</v>
      </c>
      <c r="AC2042">
        <v>114</v>
      </c>
      <c r="AD2042">
        <v>89</v>
      </c>
      <c r="AE2042">
        <v>97</v>
      </c>
      <c r="AF2042">
        <v>-35.79</v>
      </c>
      <c r="AG2042">
        <v>-0.35</v>
      </c>
      <c r="AH2042">
        <v>-0.91</v>
      </c>
      <c r="AI2042">
        <v>0.02</v>
      </c>
      <c r="AJ2042">
        <v>0.01</v>
      </c>
      <c r="AK2042">
        <v>81</v>
      </c>
      <c r="AL2042">
        <v>155</v>
      </c>
      <c r="AM2042">
        <v>108</v>
      </c>
      <c r="AN2042">
        <v>-2.16</v>
      </c>
      <c r="AO2042">
        <v>0.76</v>
      </c>
      <c r="AP2042">
        <v>1</v>
      </c>
      <c r="AQ2042">
        <v>0</v>
      </c>
      <c r="AR2042">
        <v>5.25</v>
      </c>
      <c r="AS2042">
        <v>57</v>
      </c>
      <c r="AT2042">
        <v>2.38</v>
      </c>
      <c r="AU2042">
        <v>77</v>
      </c>
      <c r="AV2042">
        <v>-1.27</v>
      </c>
      <c r="AW2042">
        <v>79</v>
      </c>
      <c r="AX2042">
        <v>-0.14000000000000001</v>
      </c>
      <c r="AY2042">
        <v>83</v>
      </c>
      <c r="AZ2042">
        <v>6.49</v>
      </c>
      <c r="BA2042">
        <v>50</v>
      </c>
      <c r="BB2042">
        <v>4.43</v>
      </c>
      <c r="BC2042">
        <v>68</v>
      </c>
      <c r="BD2042">
        <v>0.06</v>
      </c>
      <c r="BE2042">
        <v>0.02</v>
      </c>
      <c r="BF2042">
        <v>-0.09</v>
      </c>
      <c r="BG2042">
        <v>92</v>
      </c>
      <c r="BH2042">
        <v>0.1</v>
      </c>
      <c r="BI2042">
        <v>8.11</v>
      </c>
      <c r="BJ2042">
        <v>7</v>
      </c>
      <c r="BK2042">
        <v>7</v>
      </c>
      <c r="BL2042">
        <v>1.06</v>
      </c>
      <c r="BM2042">
        <v>-0.16</v>
      </c>
      <c r="BN2042">
        <v>-0.51</v>
      </c>
      <c r="BO2042">
        <v>0.13</v>
      </c>
      <c r="BP2042">
        <v>1.26</v>
      </c>
      <c r="BQ2042">
        <v>0.66</v>
      </c>
      <c r="BR2042">
        <v>-2.4</v>
      </c>
      <c r="BS2042">
        <v>0.75</v>
      </c>
      <c r="BT2042">
        <v>1.56</v>
      </c>
      <c r="BU2042">
        <v>-0.84</v>
      </c>
      <c r="BV2042">
        <v>0.2</v>
      </c>
      <c r="BW2042">
        <v>0.98</v>
      </c>
      <c r="BX2042">
        <v>1.36</v>
      </c>
      <c r="BY2042">
        <v>0.43</v>
      </c>
      <c r="BZ2042">
        <v>1.44</v>
      </c>
      <c r="CA2042">
        <v>-0.06</v>
      </c>
      <c r="CB2042">
        <v>-0.7</v>
      </c>
      <c r="CC2042">
        <v>0.57999999999999996</v>
      </c>
      <c r="CD2042">
        <v>0</v>
      </c>
      <c r="CE2042">
        <v>-0.2</v>
      </c>
      <c r="CF2042">
        <v>0.6</v>
      </c>
      <c r="CG2042">
        <v>0</v>
      </c>
      <c r="CH2042">
        <v>-1.75</v>
      </c>
      <c r="CI2042">
        <v>0</v>
      </c>
      <c r="CJ2042">
        <v>0.2</v>
      </c>
      <c r="CK2042">
        <v>88</v>
      </c>
      <c r="CL2042">
        <v>-0.7</v>
      </c>
      <c r="CM2042">
        <v>86</v>
      </c>
      <c r="CN2042">
        <v>-0.24</v>
      </c>
      <c r="CO2042">
        <v>84</v>
      </c>
      <c r="CP2042">
        <v>-2.2999999999999998</v>
      </c>
      <c r="CQ2042">
        <v>92</v>
      </c>
      <c r="CR2042">
        <v>0</v>
      </c>
      <c r="CS2042">
        <v>0</v>
      </c>
      <c r="CT2042">
        <v>-7.3</v>
      </c>
      <c r="CU2042">
        <v>93</v>
      </c>
      <c r="CV2042">
        <v>0.2</v>
      </c>
      <c r="CW2042">
        <v>43</v>
      </c>
      <c r="CX2042" t="s">
        <v>539</v>
      </c>
    </row>
    <row r="2043" spans="1:102" x14ac:dyDescent="0.3">
      <c r="A2043" t="str">
        <f>HYPERLINK("https://webapp.icbf.com/v2/app/bull-search/view/1456849761","FR4729")</f>
        <v>FR4729</v>
      </c>
      <c r="B2043" t="s">
        <v>9576</v>
      </c>
      <c r="C2043" t="s">
        <v>9577</v>
      </c>
      <c r="D2043" s="1">
        <v>42222</v>
      </c>
      <c r="E2043" t="s">
        <v>92</v>
      </c>
      <c r="F2043">
        <v>100</v>
      </c>
      <c r="G2043" t="s">
        <v>435</v>
      </c>
      <c r="H2043">
        <v>68.39</v>
      </c>
      <c r="I2043">
        <v>68</v>
      </c>
      <c r="J2043">
        <v>84.43</v>
      </c>
      <c r="K2043">
        <v>87</v>
      </c>
      <c r="L2043">
        <v>-46.98</v>
      </c>
      <c r="M2043">
        <v>66</v>
      </c>
      <c r="N2043">
        <v>25.56</v>
      </c>
      <c r="O2043">
        <v>70</v>
      </c>
      <c r="P2043">
        <v>-3.09</v>
      </c>
      <c r="Q2043">
        <v>36</v>
      </c>
      <c r="R2043">
        <v>9.73</v>
      </c>
      <c r="S2043">
        <v>61</v>
      </c>
      <c r="T2043">
        <v>-0.75</v>
      </c>
      <c r="U2043">
        <v>35</v>
      </c>
      <c r="V2043">
        <v>-0.51</v>
      </c>
      <c r="W2043">
        <v>53</v>
      </c>
      <c r="X2043" t="s">
        <v>428</v>
      </c>
      <c r="Y2043" t="s">
        <v>442</v>
      </c>
      <c r="Z2043" t="s">
        <v>96</v>
      </c>
      <c r="AA2043" t="s">
        <v>2721</v>
      </c>
      <c r="AB2043" t="s">
        <v>9578</v>
      </c>
      <c r="AC2043">
        <v>0</v>
      </c>
      <c r="AD2043">
        <v>0</v>
      </c>
      <c r="AE2043">
        <v>87</v>
      </c>
      <c r="AF2043">
        <v>445.88</v>
      </c>
      <c r="AG2043">
        <v>19.8</v>
      </c>
      <c r="AH2043">
        <v>14.18</v>
      </c>
      <c r="AI2043">
        <v>0.04</v>
      </c>
      <c r="AJ2043">
        <v>-0.01</v>
      </c>
      <c r="AK2043">
        <v>66</v>
      </c>
      <c r="AL2043">
        <v>0</v>
      </c>
      <c r="AM2043">
        <v>0</v>
      </c>
      <c r="AN2043">
        <v>4.6500000000000004</v>
      </c>
      <c r="AO2043">
        <v>0.93</v>
      </c>
      <c r="AP2043">
        <v>41</v>
      </c>
      <c r="AQ2043">
        <v>0</v>
      </c>
      <c r="AR2043">
        <v>9.07</v>
      </c>
      <c r="AS2043">
        <v>52</v>
      </c>
      <c r="AT2043">
        <v>3.7</v>
      </c>
      <c r="AU2043">
        <v>83</v>
      </c>
      <c r="AV2043">
        <v>-4.71</v>
      </c>
      <c r="AW2043">
        <v>84</v>
      </c>
      <c r="AX2043">
        <v>-0.56999999999999995</v>
      </c>
      <c r="AY2043">
        <v>56</v>
      </c>
      <c r="AZ2043">
        <v>7.13</v>
      </c>
      <c r="BA2043">
        <v>34</v>
      </c>
      <c r="BB2043">
        <v>5.49</v>
      </c>
      <c r="BC2043">
        <v>33</v>
      </c>
      <c r="BD2043">
        <v>-0.04</v>
      </c>
      <c r="BE2043">
        <v>-0.03</v>
      </c>
      <c r="BF2043">
        <v>-0.1</v>
      </c>
      <c r="BG2043">
        <v>74</v>
      </c>
      <c r="BH2043">
        <v>-0.1</v>
      </c>
      <c r="BI2043">
        <v>-9.93</v>
      </c>
      <c r="BJ2043">
        <v>0</v>
      </c>
      <c r="BK2043">
        <v>0</v>
      </c>
      <c r="BL2043">
        <v>1.86</v>
      </c>
      <c r="BM2043">
        <v>0.84</v>
      </c>
      <c r="BN2043">
        <v>1.82</v>
      </c>
      <c r="BO2043">
        <v>1.87</v>
      </c>
      <c r="BP2043">
        <v>-2.6</v>
      </c>
      <c r="BQ2043">
        <v>1.69</v>
      </c>
      <c r="BR2043">
        <v>-1.29</v>
      </c>
      <c r="BS2043">
        <v>3.59</v>
      </c>
      <c r="BT2043">
        <v>1.1100000000000001</v>
      </c>
      <c r="BU2043">
        <v>1.34</v>
      </c>
      <c r="BV2043">
        <v>2.77</v>
      </c>
      <c r="BW2043">
        <v>2.3199999999999998</v>
      </c>
      <c r="BX2043">
        <v>0.21</v>
      </c>
      <c r="BY2043">
        <v>2.25</v>
      </c>
      <c r="BZ2043">
        <v>1.48</v>
      </c>
      <c r="CA2043">
        <v>2.42</v>
      </c>
      <c r="CB2043">
        <v>1.96</v>
      </c>
      <c r="CC2043">
        <v>1.87</v>
      </c>
      <c r="CD2043">
        <v>-1.06</v>
      </c>
      <c r="CE2043">
        <v>1.37</v>
      </c>
      <c r="CF2043">
        <v>0.43</v>
      </c>
      <c r="CG2043">
        <v>0</v>
      </c>
      <c r="CH2043">
        <v>1.26</v>
      </c>
      <c r="CI2043">
        <v>0</v>
      </c>
      <c r="CJ2043">
        <v>0.2</v>
      </c>
      <c r="CK2043">
        <v>36</v>
      </c>
      <c r="CL2043">
        <v>-1.32</v>
      </c>
      <c r="CM2043">
        <v>36</v>
      </c>
      <c r="CN2043">
        <v>-0.83</v>
      </c>
      <c r="CO2043">
        <v>36</v>
      </c>
      <c r="CP2043">
        <v>3.6</v>
      </c>
      <c r="CQ2043">
        <v>35</v>
      </c>
      <c r="CR2043">
        <v>0</v>
      </c>
      <c r="CS2043">
        <v>0</v>
      </c>
      <c r="CT2043">
        <v>14.8</v>
      </c>
      <c r="CU2043">
        <v>35</v>
      </c>
      <c r="CV2043">
        <v>0.22</v>
      </c>
      <c r="CW2043">
        <v>32</v>
      </c>
      <c r="CX2043" t="s">
        <v>2267</v>
      </c>
    </row>
    <row r="2044" spans="1:102" x14ac:dyDescent="0.3">
      <c r="A2044" t="str">
        <f>HYPERLINK("https://webapp.icbf.com/v2/app/bull-search/view/77854825","MSA")</f>
        <v>MSA</v>
      </c>
      <c r="B2044" t="s">
        <v>9868</v>
      </c>
      <c r="C2044" t="s">
        <v>9869</v>
      </c>
      <c r="D2044" s="1">
        <v>33314</v>
      </c>
      <c r="E2044" t="s">
        <v>92</v>
      </c>
      <c r="F2044">
        <v>63</v>
      </c>
      <c r="G2044" t="s">
        <v>93</v>
      </c>
      <c r="H2044">
        <v>68.349999999999994</v>
      </c>
      <c r="I2044">
        <v>83</v>
      </c>
      <c r="J2044">
        <v>-5.32</v>
      </c>
      <c r="K2044">
        <v>95</v>
      </c>
      <c r="L2044">
        <v>68.510000000000005</v>
      </c>
      <c r="M2044">
        <v>79</v>
      </c>
      <c r="N2044">
        <v>10.65</v>
      </c>
      <c r="O2044">
        <v>70</v>
      </c>
      <c r="P2044">
        <v>-9.4</v>
      </c>
      <c r="Q2044">
        <v>83</v>
      </c>
      <c r="R2044">
        <v>2.5499999999999998</v>
      </c>
      <c r="S2044">
        <v>78</v>
      </c>
      <c r="T2044">
        <v>6.65</v>
      </c>
      <c r="U2044">
        <v>78</v>
      </c>
      <c r="V2044">
        <v>-5.29</v>
      </c>
      <c r="W2044">
        <v>57</v>
      </c>
      <c r="X2044" t="s">
        <v>94</v>
      </c>
      <c r="Y2044" t="s">
        <v>95</v>
      </c>
      <c r="Z2044" t="s">
        <v>96</v>
      </c>
      <c r="AA2044" t="s">
        <v>154</v>
      </c>
      <c r="AB2044" t="s">
        <v>9870</v>
      </c>
      <c r="AC2044">
        <v>73</v>
      </c>
      <c r="AD2044">
        <v>65</v>
      </c>
      <c r="AE2044">
        <v>95</v>
      </c>
      <c r="AF2044">
        <v>-194.9</v>
      </c>
      <c r="AG2044">
        <v>0.26</v>
      </c>
      <c r="AH2044">
        <v>-3.98</v>
      </c>
      <c r="AI2044">
        <v>0.14000000000000001</v>
      </c>
      <c r="AJ2044">
        <v>0.05</v>
      </c>
      <c r="AK2044">
        <v>79</v>
      </c>
      <c r="AL2044">
        <v>169</v>
      </c>
      <c r="AM2044">
        <v>127</v>
      </c>
      <c r="AN2044">
        <v>-4.8</v>
      </c>
      <c r="AO2044">
        <v>0.65</v>
      </c>
      <c r="AP2044">
        <v>3</v>
      </c>
      <c r="AQ2044">
        <v>0</v>
      </c>
      <c r="AR2044">
        <v>5.17</v>
      </c>
      <c r="AS2044">
        <v>55</v>
      </c>
      <c r="AT2044">
        <v>3.06</v>
      </c>
      <c r="AU2044">
        <v>71</v>
      </c>
      <c r="AV2044">
        <v>-1.18</v>
      </c>
      <c r="AW2044">
        <v>76</v>
      </c>
      <c r="AX2044">
        <v>0.21</v>
      </c>
      <c r="AY2044">
        <v>75</v>
      </c>
      <c r="AZ2044">
        <v>7.03</v>
      </c>
      <c r="BA2044">
        <v>48</v>
      </c>
      <c r="BB2044">
        <v>5.72</v>
      </c>
      <c r="BC2044">
        <v>62</v>
      </c>
      <c r="BD2044">
        <v>0.02</v>
      </c>
      <c r="BE2044">
        <v>0.02</v>
      </c>
      <c r="BF2044">
        <v>-0.13</v>
      </c>
      <c r="BG2044">
        <v>93</v>
      </c>
      <c r="BH2044">
        <v>0</v>
      </c>
      <c r="BI2044">
        <v>17.07</v>
      </c>
      <c r="BJ2044">
        <v>26</v>
      </c>
      <c r="BK2044">
        <v>22</v>
      </c>
      <c r="BL2044">
        <v>-0.33</v>
      </c>
      <c r="BM2044">
        <v>1.0900000000000001</v>
      </c>
      <c r="BN2044">
        <v>0.7</v>
      </c>
      <c r="BO2044">
        <v>-0.24</v>
      </c>
      <c r="BP2044">
        <v>-1.58</v>
      </c>
      <c r="BQ2044">
        <v>0.16</v>
      </c>
      <c r="BR2044">
        <v>-1.88</v>
      </c>
      <c r="BS2044">
        <v>2.2999999999999998</v>
      </c>
      <c r="BT2044">
        <v>3.12</v>
      </c>
      <c r="BU2044">
        <v>-0.06</v>
      </c>
      <c r="BV2044">
        <v>-0.83</v>
      </c>
      <c r="BW2044">
        <v>-0.3</v>
      </c>
      <c r="BX2044">
        <v>0.99</v>
      </c>
      <c r="BY2044">
        <v>-0.48</v>
      </c>
      <c r="BZ2044">
        <v>1.54</v>
      </c>
      <c r="CA2044">
        <v>0.28000000000000003</v>
      </c>
      <c r="CB2044">
        <v>-0.59</v>
      </c>
      <c r="CC2044">
        <v>2.56</v>
      </c>
      <c r="CD2044">
        <v>0.88</v>
      </c>
      <c r="CE2044">
        <v>-0.23</v>
      </c>
      <c r="CF2044">
        <v>0.55000000000000004</v>
      </c>
      <c r="CG2044">
        <v>0</v>
      </c>
      <c r="CH2044">
        <v>-1.22</v>
      </c>
      <c r="CI2044">
        <v>0</v>
      </c>
      <c r="CJ2044">
        <v>-4.3</v>
      </c>
      <c r="CK2044">
        <v>84</v>
      </c>
      <c r="CL2044">
        <v>-0.63</v>
      </c>
      <c r="CM2044">
        <v>82</v>
      </c>
      <c r="CN2044">
        <v>-0.3</v>
      </c>
      <c r="CO2044">
        <v>80</v>
      </c>
      <c r="CP2044">
        <v>-3.2</v>
      </c>
      <c r="CQ2044">
        <v>84</v>
      </c>
      <c r="CR2044">
        <v>0</v>
      </c>
      <c r="CS2044">
        <v>0</v>
      </c>
      <c r="CT2044">
        <v>4.8</v>
      </c>
      <c r="CU2044">
        <v>78</v>
      </c>
      <c r="CV2044">
        <v>0.03</v>
      </c>
      <c r="CW2044">
        <v>42</v>
      </c>
      <c r="CX2044" t="s">
        <v>262</v>
      </c>
    </row>
    <row r="2045" spans="1:102" x14ac:dyDescent="0.3">
      <c r="A2045" t="str">
        <f>HYPERLINK("https://webapp.icbf.com/v2/app/bull-search/view/534364211","SVW")</f>
        <v>SVW</v>
      </c>
      <c r="B2045" t="s">
        <v>8841</v>
      </c>
      <c r="C2045" t="s">
        <v>8842</v>
      </c>
      <c r="D2045" s="1">
        <v>39338</v>
      </c>
      <c r="E2045" t="s">
        <v>92</v>
      </c>
      <c r="F2045">
        <v>91</v>
      </c>
      <c r="G2045" t="s">
        <v>93</v>
      </c>
      <c r="H2045">
        <v>68.27</v>
      </c>
      <c r="I2045">
        <v>79</v>
      </c>
      <c r="J2045">
        <v>27.94</v>
      </c>
      <c r="K2045">
        <v>93</v>
      </c>
      <c r="L2045">
        <v>35.03</v>
      </c>
      <c r="M2045">
        <v>74</v>
      </c>
      <c r="N2045">
        <v>14.77</v>
      </c>
      <c r="O2045">
        <v>71</v>
      </c>
      <c r="P2045">
        <v>-3.18</v>
      </c>
      <c r="Q2045">
        <v>78</v>
      </c>
      <c r="R2045">
        <v>-6.97</v>
      </c>
      <c r="S2045">
        <v>75</v>
      </c>
      <c r="T2045">
        <v>8.1300000000000008</v>
      </c>
      <c r="U2045">
        <v>66</v>
      </c>
      <c r="V2045">
        <v>-7.45</v>
      </c>
      <c r="W2045">
        <v>69</v>
      </c>
      <c r="X2045" t="s">
        <v>94</v>
      </c>
      <c r="Y2045" t="s">
        <v>241</v>
      </c>
      <c r="Z2045" t="s">
        <v>96</v>
      </c>
      <c r="AA2045" t="s">
        <v>2775</v>
      </c>
      <c r="AB2045" t="s">
        <v>2776</v>
      </c>
      <c r="AC2045">
        <v>19</v>
      </c>
      <c r="AD2045">
        <v>12</v>
      </c>
      <c r="AE2045">
        <v>93</v>
      </c>
      <c r="AF2045">
        <v>95.32</v>
      </c>
      <c r="AG2045">
        <v>6.9</v>
      </c>
      <c r="AH2045">
        <v>3.77</v>
      </c>
      <c r="AI2045">
        <v>0.05</v>
      </c>
      <c r="AJ2045">
        <v>0.01</v>
      </c>
      <c r="AK2045">
        <v>74</v>
      </c>
      <c r="AL2045">
        <v>18</v>
      </c>
      <c r="AM2045">
        <v>12</v>
      </c>
      <c r="AN2045">
        <v>-1.39</v>
      </c>
      <c r="AO2045">
        <v>1.41</v>
      </c>
      <c r="AP2045">
        <v>32</v>
      </c>
      <c r="AQ2045">
        <v>0</v>
      </c>
      <c r="AR2045">
        <v>6.96</v>
      </c>
      <c r="AS2045">
        <v>63</v>
      </c>
      <c r="AT2045">
        <v>2.81</v>
      </c>
      <c r="AU2045">
        <v>76</v>
      </c>
      <c r="AV2045">
        <v>-1.34</v>
      </c>
      <c r="AW2045">
        <v>77</v>
      </c>
      <c r="AX2045">
        <v>-0.84</v>
      </c>
      <c r="AY2045">
        <v>65</v>
      </c>
      <c r="AZ2045">
        <v>5.76</v>
      </c>
      <c r="BA2045">
        <v>53</v>
      </c>
      <c r="BB2045">
        <v>5.67</v>
      </c>
      <c r="BC2045">
        <v>57</v>
      </c>
      <c r="BD2045">
        <v>0.02</v>
      </c>
      <c r="BE2045">
        <v>0.03</v>
      </c>
      <c r="BF2045">
        <v>7.0000000000000007E-2</v>
      </c>
      <c r="BG2045">
        <v>82</v>
      </c>
      <c r="BH2045">
        <v>-0.08</v>
      </c>
      <c r="BI2045">
        <v>14.78</v>
      </c>
      <c r="BJ2045">
        <v>0</v>
      </c>
      <c r="BK2045">
        <v>0</v>
      </c>
      <c r="BL2045">
        <v>0.03</v>
      </c>
      <c r="BM2045">
        <v>0.12</v>
      </c>
      <c r="BN2045">
        <v>0.22</v>
      </c>
      <c r="BO2045">
        <v>0.41</v>
      </c>
      <c r="BP2045">
        <v>0.65</v>
      </c>
      <c r="BQ2045">
        <v>-0.17</v>
      </c>
      <c r="BR2045">
        <v>0.74</v>
      </c>
      <c r="BS2045">
        <v>0.18</v>
      </c>
      <c r="BT2045">
        <v>-1.31</v>
      </c>
      <c r="BU2045">
        <v>-1.77</v>
      </c>
      <c r="BV2045">
        <v>-0.43</v>
      </c>
      <c r="BW2045">
        <v>-0.66</v>
      </c>
      <c r="BX2045">
        <v>-1.81</v>
      </c>
      <c r="BY2045">
        <v>-0.8</v>
      </c>
      <c r="BZ2045">
        <v>2.12</v>
      </c>
      <c r="CA2045">
        <v>-1.07</v>
      </c>
      <c r="CB2045">
        <v>-1.34</v>
      </c>
      <c r="CC2045">
        <v>-0.22</v>
      </c>
      <c r="CD2045">
        <v>-0.48</v>
      </c>
      <c r="CE2045">
        <v>0.14000000000000001</v>
      </c>
      <c r="CF2045">
        <v>0.34</v>
      </c>
      <c r="CG2045">
        <v>0</v>
      </c>
      <c r="CH2045">
        <v>-1.62</v>
      </c>
      <c r="CI2045">
        <v>0</v>
      </c>
      <c r="CJ2045">
        <v>1.7</v>
      </c>
      <c r="CK2045">
        <v>80</v>
      </c>
      <c r="CL2045">
        <v>-0.78</v>
      </c>
      <c r="CM2045">
        <v>77</v>
      </c>
      <c r="CN2045">
        <v>-0.3</v>
      </c>
      <c r="CO2045">
        <v>75</v>
      </c>
      <c r="CP2045">
        <v>-6.6</v>
      </c>
      <c r="CQ2045">
        <v>73</v>
      </c>
      <c r="CR2045">
        <v>0</v>
      </c>
      <c r="CS2045">
        <v>0</v>
      </c>
      <c r="CT2045">
        <v>2.8</v>
      </c>
      <c r="CU2045">
        <v>66</v>
      </c>
      <c r="CV2045">
        <v>0.27</v>
      </c>
      <c r="CW2045">
        <v>42</v>
      </c>
      <c r="CX2045" t="s">
        <v>193</v>
      </c>
    </row>
    <row r="2046" spans="1:102" x14ac:dyDescent="0.3">
      <c r="A2046" t="str">
        <f>HYPERLINK("https://webapp.icbf.com/v2/app/bull-search/view/487001788","WSP")</f>
        <v>WSP</v>
      </c>
      <c r="B2046" t="s">
        <v>12832</v>
      </c>
      <c r="C2046" t="s">
        <v>12833</v>
      </c>
      <c r="D2046" s="1">
        <v>38580</v>
      </c>
      <c r="E2046" t="s">
        <v>92</v>
      </c>
      <c r="F2046">
        <v>94</v>
      </c>
      <c r="G2046" t="s">
        <v>109</v>
      </c>
      <c r="H2046">
        <v>68.25</v>
      </c>
      <c r="I2046">
        <v>75</v>
      </c>
      <c r="J2046">
        <v>63.84</v>
      </c>
      <c r="K2046">
        <v>91</v>
      </c>
      <c r="L2046">
        <v>-8.77</v>
      </c>
      <c r="M2046">
        <v>76</v>
      </c>
      <c r="N2046">
        <v>31.41</v>
      </c>
      <c r="O2046">
        <v>60</v>
      </c>
      <c r="P2046">
        <v>-16.739999999999998</v>
      </c>
      <c r="Q2046">
        <v>55</v>
      </c>
      <c r="R2046">
        <v>-3.2</v>
      </c>
      <c r="S2046">
        <v>72</v>
      </c>
      <c r="T2046">
        <v>1.02</v>
      </c>
      <c r="U2046">
        <v>52</v>
      </c>
      <c r="V2046">
        <v>0.69</v>
      </c>
      <c r="W2046">
        <v>62</v>
      </c>
      <c r="X2046" t="s">
        <v>276</v>
      </c>
      <c r="Y2046" t="s">
        <v>282</v>
      </c>
      <c r="Z2046" t="s">
        <v>96</v>
      </c>
      <c r="AA2046" t="s">
        <v>4363</v>
      </c>
      <c r="AB2046" t="s">
        <v>1739</v>
      </c>
      <c r="AC2046">
        <v>0</v>
      </c>
      <c r="AD2046">
        <v>0</v>
      </c>
      <c r="AE2046">
        <v>91</v>
      </c>
      <c r="AF2046">
        <v>378.49</v>
      </c>
      <c r="AG2046">
        <v>6.22</v>
      </c>
      <c r="AH2046">
        <v>14.45</v>
      </c>
      <c r="AI2046">
        <v>-0.14000000000000001</v>
      </c>
      <c r="AJ2046">
        <v>0.03</v>
      </c>
      <c r="AK2046">
        <v>76</v>
      </c>
      <c r="AL2046">
        <v>0</v>
      </c>
      <c r="AM2046">
        <v>0</v>
      </c>
      <c r="AN2046">
        <v>1.22</v>
      </c>
      <c r="AO2046">
        <v>0.53</v>
      </c>
      <c r="AP2046">
        <v>7</v>
      </c>
      <c r="AQ2046">
        <v>0</v>
      </c>
      <c r="AR2046">
        <v>8.2899999999999991</v>
      </c>
      <c r="AS2046">
        <v>53</v>
      </c>
      <c r="AT2046">
        <v>3.46</v>
      </c>
      <c r="AU2046">
        <v>72</v>
      </c>
      <c r="AV2046">
        <v>-4.0599999999999996</v>
      </c>
      <c r="AW2046">
        <v>62</v>
      </c>
      <c r="AX2046">
        <v>-0.84</v>
      </c>
      <c r="AY2046">
        <v>48</v>
      </c>
      <c r="AZ2046">
        <v>5.42</v>
      </c>
      <c r="BA2046">
        <v>45</v>
      </c>
      <c r="BB2046">
        <v>4.9000000000000004</v>
      </c>
      <c r="BC2046">
        <v>46</v>
      </c>
      <c r="BD2046">
        <v>0.01</v>
      </c>
      <c r="BE2046">
        <v>0.03</v>
      </c>
      <c r="BF2046">
        <v>0</v>
      </c>
      <c r="BG2046">
        <v>85</v>
      </c>
      <c r="BH2046">
        <v>-0.09</v>
      </c>
      <c r="BI2046">
        <v>-12.63</v>
      </c>
      <c r="BJ2046">
        <v>0</v>
      </c>
      <c r="BK2046">
        <v>0</v>
      </c>
      <c r="BL2046">
        <v>-0.99</v>
      </c>
      <c r="BM2046">
        <v>0</v>
      </c>
      <c r="BN2046">
        <v>-1.1200000000000001</v>
      </c>
      <c r="BO2046">
        <v>-0.56000000000000005</v>
      </c>
      <c r="BP2046">
        <v>-0.59</v>
      </c>
      <c r="BQ2046">
        <v>-1.44</v>
      </c>
      <c r="BR2046">
        <v>1.08</v>
      </c>
      <c r="BS2046">
        <v>-2.12</v>
      </c>
      <c r="BT2046">
        <v>-0.4</v>
      </c>
      <c r="BU2046">
        <v>0.32</v>
      </c>
      <c r="BV2046">
        <v>0.99</v>
      </c>
      <c r="BW2046">
        <v>-0.54</v>
      </c>
      <c r="BX2046">
        <v>0.19</v>
      </c>
      <c r="BY2046">
        <v>1.01</v>
      </c>
      <c r="BZ2046">
        <v>-1.58</v>
      </c>
      <c r="CA2046">
        <v>-7.0000000000000007E-2</v>
      </c>
      <c r="CB2046">
        <v>0.53</v>
      </c>
      <c r="CC2046">
        <v>-0.79</v>
      </c>
      <c r="CD2046">
        <v>-0.19</v>
      </c>
      <c r="CE2046">
        <v>0.39</v>
      </c>
      <c r="CF2046">
        <v>0.11</v>
      </c>
      <c r="CG2046">
        <v>0</v>
      </c>
      <c r="CH2046">
        <v>0.92</v>
      </c>
      <c r="CI2046">
        <v>0</v>
      </c>
      <c r="CJ2046">
        <v>-5.5</v>
      </c>
      <c r="CK2046">
        <v>56</v>
      </c>
      <c r="CL2046">
        <v>-0.94</v>
      </c>
      <c r="CM2046">
        <v>54</v>
      </c>
      <c r="CN2046">
        <v>-7.0000000000000007E-2</v>
      </c>
      <c r="CO2046">
        <v>53</v>
      </c>
      <c r="CP2046">
        <v>-1.8</v>
      </c>
      <c r="CQ2046">
        <v>52</v>
      </c>
      <c r="CR2046">
        <v>0</v>
      </c>
      <c r="CS2046">
        <v>0</v>
      </c>
      <c r="CT2046">
        <v>12.4</v>
      </c>
      <c r="CU2046">
        <v>52</v>
      </c>
      <c r="CV2046">
        <v>0.11</v>
      </c>
      <c r="CW2046">
        <v>37</v>
      </c>
      <c r="CX2046" t="s">
        <v>1257</v>
      </c>
    </row>
    <row r="2047" spans="1:102" x14ac:dyDescent="0.3">
      <c r="A2047" t="str">
        <f>HYPERLINK("https://webapp.icbf.com/v2/app/bull-search/view/1121698161","S2000")</f>
        <v>S2000</v>
      </c>
      <c r="B2047" t="s">
        <v>13289</v>
      </c>
      <c r="C2047" t="s">
        <v>13290</v>
      </c>
      <c r="D2047" s="1">
        <v>40838</v>
      </c>
      <c r="E2047" t="s">
        <v>92</v>
      </c>
      <c r="F2047">
        <v>100</v>
      </c>
      <c r="G2047" t="s">
        <v>109</v>
      </c>
      <c r="H2047">
        <v>68.209999999999994</v>
      </c>
      <c r="I2047">
        <v>55</v>
      </c>
      <c r="J2047">
        <v>55.02</v>
      </c>
      <c r="K2047">
        <v>69</v>
      </c>
      <c r="L2047">
        <v>-25.99</v>
      </c>
      <c r="M2047">
        <v>45</v>
      </c>
      <c r="N2047">
        <v>38.17</v>
      </c>
      <c r="O2047">
        <v>57</v>
      </c>
      <c r="P2047">
        <v>3.76</v>
      </c>
      <c r="Q2047">
        <v>57</v>
      </c>
      <c r="R2047">
        <v>0.35</v>
      </c>
      <c r="S2047">
        <v>44</v>
      </c>
      <c r="T2047">
        <v>-2.75</v>
      </c>
      <c r="U2047">
        <v>48</v>
      </c>
      <c r="V2047">
        <v>-0.35</v>
      </c>
      <c r="W2047">
        <v>28</v>
      </c>
      <c r="X2047" t="s">
        <v>276</v>
      </c>
      <c r="Y2047" t="s">
        <v>362</v>
      </c>
      <c r="Z2047" t="s">
        <v>96</v>
      </c>
      <c r="AA2047" t="s">
        <v>6946</v>
      </c>
      <c r="AB2047" t="s">
        <v>13291</v>
      </c>
      <c r="AC2047">
        <v>0</v>
      </c>
      <c r="AD2047">
        <v>0</v>
      </c>
      <c r="AE2047">
        <v>69</v>
      </c>
      <c r="AF2047">
        <v>156.34</v>
      </c>
      <c r="AG2047">
        <v>10.77</v>
      </c>
      <c r="AH2047">
        <v>7.94</v>
      </c>
      <c r="AI2047">
        <v>0.08</v>
      </c>
      <c r="AJ2047">
        <v>0.04</v>
      </c>
      <c r="AK2047">
        <v>45</v>
      </c>
      <c r="AL2047">
        <v>0</v>
      </c>
      <c r="AM2047">
        <v>0</v>
      </c>
      <c r="AN2047">
        <v>2.42</v>
      </c>
      <c r="AO2047">
        <v>0.36</v>
      </c>
      <c r="AP2047">
        <v>15</v>
      </c>
      <c r="AQ2047">
        <v>0</v>
      </c>
      <c r="AR2047">
        <v>6.88</v>
      </c>
      <c r="AS2047">
        <v>48</v>
      </c>
      <c r="AT2047">
        <v>3.05</v>
      </c>
      <c r="AU2047">
        <v>46</v>
      </c>
      <c r="AV2047">
        <v>-3.87</v>
      </c>
      <c r="AW2047">
        <v>81</v>
      </c>
      <c r="AX2047">
        <v>-0.35</v>
      </c>
      <c r="AY2047">
        <v>52</v>
      </c>
      <c r="AZ2047">
        <v>5.3</v>
      </c>
      <c r="BA2047">
        <v>30</v>
      </c>
      <c r="BB2047">
        <v>4.4800000000000004</v>
      </c>
      <c r="BC2047">
        <v>21</v>
      </c>
      <c r="BD2047">
        <v>0</v>
      </c>
      <c r="BE2047">
        <v>-0.02</v>
      </c>
      <c r="BF2047">
        <v>0.03</v>
      </c>
      <c r="BG2047">
        <v>56</v>
      </c>
      <c r="BH2047">
        <v>0.02</v>
      </c>
      <c r="BI2047">
        <v>3.44</v>
      </c>
      <c r="BJ2047">
        <v>10</v>
      </c>
      <c r="BK2047">
        <v>2</v>
      </c>
      <c r="BL2047">
        <v>1.21</v>
      </c>
      <c r="BM2047">
        <v>0.7</v>
      </c>
      <c r="BN2047">
        <v>1.8</v>
      </c>
      <c r="BO2047">
        <v>1.23</v>
      </c>
      <c r="BP2047">
        <v>2.87</v>
      </c>
      <c r="BQ2047">
        <v>3.16</v>
      </c>
      <c r="BR2047">
        <v>0.93</v>
      </c>
      <c r="BS2047">
        <v>3.59</v>
      </c>
      <c r="BT2047">
        <v>0.09</v>
      </c>
      <c r="BU2047">
        <v>3.39</v>
      </c>
      <c r="BV2047">
        <v>3.3</v>
      </c>
      <c r="BW2047">
        <v>3.02</v>
      </c>
      <c r="BX2047">
        <v>2.59</v>
      </c>
      <c r="BY2047">
        <v>2.41</v>
      </c>
      <c r="BZ2047">
        <v>-3.26</v>
      </c>
      <c r="CA2047">
        <v>3.08</v>
      </c>
      <c r="CB2047">
        <v>2.66</v>
      </c>
      <c r="CC2047">
        <v>2.9</v>
      </c>
      <c r="CD2047">
        <v>-0.38</v>
      </c>
      <c r="CE2047">
        <v>1.29</v>
      </c>
      <c r="CF2047">
        <v>2.11</v>
      </c>
      <c r="CG2047">
        <v>0</v>
      </c>
      <c r="CH2047">
        <v>3.08</v>
      </c>
      <c r="CI2047">
        <v>0</v>
      </c>
      <c r="CJ2047">
        <v>3.9</v>
      </c>
      <c r="CK2047">
        <v>60</v>
      </c>
      <c r="CL2047">
        <v>-0.89</v>
      </c>
      <c r="CM2047">
        <v>55</v>
      </c>
      <c r="CN2047">
        <v>-0.55000000000000004</v>
      </c>
      <c r="CO2047">
        <v>52</v>
      </c>
      <c r="CP2047">
        <v>7.5</v>
      </c>
      <c r="CQ2047">
        <v>51</v>
      </c>
      <c r="CR2047">
        <v>0</v>
      </c>
      <c r="CS2047">
        <v>0</v>
      </c>
      <c r="CT2047">
        <v>17.5</v>
      </c>
      <c r="CU2047">
        <v>48</v>
      </c>
      <c r="CV2047">
        <v>0.34</v>
      </c>
      <c r="CW2047">
        <v>16</v>
      </c>
      <c r="CX2047" t="s">
        <v>3073</v>
      </c>
    </row>
    <row r="2048" spans="1:102" x14ac:dyDescent="0.3">
      <c r="A2048" t="str">
        <f>HYPERLINK("https://webapp.icbf.com/v2/app/bull-search/view/381913013","FOI")</f>
        <v>FOI</v>
      </c>
      <c r="B2048" t="s">
        <v>12540</v>
      </c>
      <c r="C2048" t="s">
        <v>12541</v>
      </c>
      <c r="D2048" s="1">
        <v>35775</v>
      </c>
      <c r="E2048" t="s">
        <v>92</v>
      </c>
      <c r="F2048">
        <v>100</v>
      </c>
      <c r="G2048" t="s">
        <v>93</v>
      </c>
      <c r="H2048">
        <v>67.599999999999994</v>
      </c>
      <c r="I2048">
        <v>96</v>
      </c>
      <c r="J2048">
        <v>1.38</v>
      </c>
      <c r="K2048">
        <v>99</v>
      </c>
      <c r="L2048">
        <v>23.15</v>
      </c>
      <c r="M2048">
        <v>94</v>
      </c>
      <c r="N2048">
        <v>23.59</v>
      </c>
      <c r="O2048">
        <v>96</v>
      </c>
      <c r="P2048">
        <v>0.53</v>
      </c>
      <c r="Q2048">
        <v>99</v>
      </c>
      <c r="R2048">
        <v>4.26</v>
      </c>
      <c r="S2048">
        <v>93</v>
      </c>
      <c r="T2048">
        <v>11.01</v>
      </c>
      <c r="U2048">
        <v>97</v>
      </c>
      <c r="V2048">
        <v>3.68</v>
      </c>
      <c r="W2048">
        <v>94</v>
      </c>
      <c r="X2048" t="s">
        <v>102</v>
      </c>
      <c r="Y2048" t="s">
        <v>95</v>
      </c>
      <c r="Z2048" t="s">
        <v>96</v>
      </c>
      <c r="AA2048" t="s">
        <v>596</v>
      </c>
      <c r="AB2048" t="s">
        <v>12542</v>
      </c>
      <c r="AC2048">
        <v>561</v>
      </c>
      <c r="AD2048">
        <v>175</v>
      </c>
      <c r="AE2048">
        <v>99</v>
      </c>
      <c r="AF2048">
        <v>136.94</v>
      </c>
      <c r="AG2048">
        <v>-0.93</v>
      </c>
      <c r="AH2048">
        <v>2.66</v>
      </c>
      <c r="AI2048">
        <v>-0.11</v>
      </c>
      <c r="AJ2048">
        <v>-0.03</v>
      </c>
      <c r="AK2048">
        <v>94</v>
      </c>
      <c r="AL2048">
        <v>635</v>
      </c>
      <c r="AM2048">
        <v>231</v>
      </c>
      <c r="AN2048">
        <v>-1.75</v>
      </c>
      <c r="AO2048">
        <v>0.09</v>
      </c>
      <c r="AP2048">
        <v>1080</v>
      </c>
      <c r="AQ2048">
        <v>5</v>
      </c>
      <c r="AR2048">
        <v>5.98</v>
      </c>
      <c r="AS2048">
        <v>96</v>
      </c>
      <c r="AT2048">
        <v>2.39</v>
      </c>
      <c r="AU2048">
        <v>96</v>
      </c>
      <c r="AV2048">
        <v>-1.81</v>
      </c>
      <c r="AW2048">
        <v>99</v>
      </c>
      <c r="AX2048">
        <v>-0.89</v>
      </c>
      <c r="AY2048">
        <v>96</v>
      </c>
      <c r="AZ2048">
        <v>5.81</v>
      </c>
      <c r="BA2048">
        <v>88</v>
      </c>
      <c r="BB2048">
        <v>5.73</v>
      </c>
      <c r="BC2048">
        <v>90</v>
      </c>
      <c r="BD2048">
        <v>0</v>
      </c>
      <c r="BE2048">
        <v>-0.02</v>
      </c>
      <c r="BF2048">
        <v>-0.06</v>
      </c>
      <c r="BG2048">
        <v>97</v>
      </c>
      <c r="BH2048">
        <v>0.08</v>
      </c>
      <c r="BI2048">
        <v>-2.62</v>
      </c>
      <c r="BJ2048">
        <v>52</v>
      </c>
      <c r="BK2048">
        <v>21</v>
      </c>
      <c r="BL2048">
        <v>0.93</v>
      </c>
      <c r="BM2048">
        <v>-1.29</v>
      </c>
      <c r="BN2048">
        <v>-1</v>
      </c>
      <c r="BO2048">
        <v>-0.08</v>
      </c>
      <c r="BP2048">
        <v>-0.42</v>
      </c>
      <c r="BQ2048">
        <v>-0.99</v>
      </c>
      <c r="BR2048">
        <v>0.73</v>
      </c>
      <c r="BS2048">
        <v>-0.9</v>
      </c>
      <c r="BT2048">
        <v>0.28999999999999998</v>
      </c>
      <c r="BU2048">
        <v>1.19</v>
      </c>
      <c r="BV2048">
        <v>1.38</v>
      </c>
      <c r="BW2048">
        <v>0.36</v>
      </c>
      <c r="BX2048">
        <v>1.61</v>
      </c>
      <c r="BY2048">
        <v>1.37</v>
      </c>
      <c r="BZ2048">
        <v>1.77</v>
      </c>
      <c r="CA2048">
        <v>0.6</v>
      </c>
      <c r="CB2048">
        <v>0.56000000000000005</v>
      </c>
      <c r="CC2048">
        <v>0.13</v>
      </c>
      <c r="CD2048">
        <v>0.18</v>
      </c>
      <c r="CE2048">
        <v>0.02</v>
      </c>
      <c r="CF2048">
        <v>-0.79</v>
      </c>
      <c r="CG2048">
        <v>0</v>
      </c>
      <c r="CH2048">
        <v>1.35</v>
      </c>
      <c r="CI2048">
        <v>0</v>
      </c>
      <c r="CJ2048">
        <v>2.2000000000000002</v>
      </c>
      <c r="CK2048">
        <v>99</v>
      </c>
      <c r="CL2048">
        <v>-0.82</v>
      </c>
      <c r="CM2048">
        <v>98</v>
      </c>
      <c r="CN2048">
        <v>-0.56999999999999995</v>
      </c>
      <c r="CO2048">
        <v>98</v>
      </c>
      <c r="CP2048">
        <v>-4.8</v>
      </c>
      <c r="CQ2048">
        <v>98</v>
      </c>
      <c r="CR2048">
        <v>0</v>
      </c>
      <c r="CS2048">
        <v>0</v>
      </c>
      <c r="CT2048">
        <v>-1.1000000000000001</v>
      </c>
      <c r="CU2048">
        <v>97</v>
      </c>
      <c r="CV2048">
        <v>0.18</v>
      </c>
      <c r="CW2048">
        <v>46</v>
      </c>
      <c r="CX2048" t="s">
        <v>1463</v>
      </c>
    </row>
    <row r="2049" spans="1:102" x14ac:dyDescent="0.3">
      <c r="A2049" t="str">
        <f>HYPERLINK("https://webapp.icbf.com/v2/app/bull-search/view/566826311","SHQ")</f>
        <v>SHQ</v>
      </c>
      <c r="B2049" t="s">
        <v>14452</v>
      </c>
      <c r="C2049" t="s">
        <v>14453</v>
      </c>
      <c r="D2049" s="1">
        <v>39505</v>
      </c>
      <c r="E2049" t="s">
        <v>92</v>
      </c>
      <c r="F2049">
        <v>88</v>
      </c>
      <c r="G2049" t="s">
        <v>93</v>
      </c>
      <c r="H2049">
        <v>67.48</v>
      </c>
      <c r="I2049">
        <v>90</v>
      </c>
      <c r="J2049">
        <v>57.86</v>
      </c>
      <c r="K2049">
        <v>98</v>
      </c>
      <c r="L2049">
        <v>0.05</v>
      </c>
      <c r="M2049">
        <v>81</v>
      </c>
      <c r="N2049">
        <v>7.61</v>
      </c>
      <c r="O2049">
        <v>89</v>
      </c>
      <c r="P2049">
        <v>-5.35</v>
      </c>
      <c r="Q2049">
        <v>93</v>
      </c>
      <c r="R2049">
        <v>-6.97</v>
      </c>
      <c r="S2049">
        <v>85</v>
      </c>
      <c r="T2049">
        <v>10.87</v>
      </c>
      <c r="U2049">
        <v>92</v>
      </c>
      <c r="V2049">
        <v>3.41</v>
      </c>
      <c r="W2049">
        <v>87</v>
      </c>
      <c r="X2049" t="s">
        <v>94</v>
      </c>
      <c r="Y2049" t="s">
        <v>4217</v>
      </c>
      <c r="Z2049" t="s">
        <v>96</v>
      </c>
      <c r="AA2049" t="s">
        <v>6487</v>
      </c>
      <c r="AB2049" t="s">
        <v>14454</v>
      </c>
      <c r="AC2049">
        <v>141</v>
      </c>
      <c r="AD2049">
        <v>96</v>
      </c>
      <c r="AE2049">
        <v>98</v>
      </c>
      <c r="AF2049">
        <v>149.97</v>
      </c>
      <c r="AG2049">
        <v>9.74</v>
      </c>
      <c r="AH2049">
        <v>8.69</v>
      </c>
      <c r="AI2049">
        <v>7.0000000000000007E-2</v>
      </c>
      <c r="AJ2049">
        <v>0.06</v>
      </c>
      <c r="AK2049">
        <v>81</v>
      </c>
      <c r="AL2049">
        <v>140</v>
      </c>
      <c r="AM2049">
        <v>93</v>
      </c>
      <c r="AN2049">
        <v>-1.0900000000000001</v>
      </c>
      <c r="AO2049">
        <v>-1.1000000000000001</v>
      </c>
      <c r="AP2049">
        <v>311</v>
      </c>
      <c r="AQ2049">
        <v>0</v>
      </c>
      <c r="AR2049">
        <v>10.82</v>
      </c>
      <c r="AS2049">
        <v>75</v>
      </c>
      <c r="AT2049">
        <v>3.8</v>
      </c>
      <c r="AU2049">
        <v>91</v>
      </c>
      <c r="AV2049">
        <v>-3.21</v>
      </c>
      <c r="AW2049">
        <v>97</v>
      </c>
      <c r="AX2049">
        <v>-0.93</v>
      </c>
      <c r="AY2049">
        <v>86</v>
      </c>
      <c r="AZ2049">
        <v>7.57</v>
      </c>
      <c r="BA2049">
        <v>72</v>
      </c>
      <c r="BB2049">
        <v>5.46</v>
      </c>
      <c r="BC2049">
        <v>74</v>
      </c>
      <c r="BD2049">
        <v>-0.01</v>
      </c>
      <c r="BE2049">
        <v>0.03</v>
      </c>
      <c r="BF2049">
        <v>0.12</v>
      </c>
      <c r="BG2049">
        <v>91</v>
      </c>
      <c r="BH2049">
        <v>0.01</v>
      </c>
      <c r="BI2049">
        <v>-9.84</v>
      </c>
      <c r="BJ2049">
        <v>31</v>
      </c>
      <c r="BK2049">
        <v>18</v>
      </c>
      <c r="BL2049">
        <v>0.35</v>
      </c>
      <c r="BM2049">
        <v>-1.58</v>
      </c>
      <c r="BN2049">
        <v>-1.2</v>
      </c>
      <c r="BO2049">
        <v>0.16</v>
      </c>
      <c r="BP2049">
        <v>-2.36</v>
      </c>
      <c r="BQ2049">
        <v>-1.34</v>
      </c>
      <c r="BR2049">
        <v>1.77</v>
      </c>
      <c r="BS2049">
        <v>-2.66</v>
      </c>
      <c r="BT2049">
        <v>-1.55</v>
      </c>
      <c r="BU2049">
        <v>-1.28</v>
      </c>
      <c r="BV2049">
        <v>-1.23</v>
      </c>
      <c r="BW2049">
        <v>-0.68</v>
      </c>
      <c r="BX2049">
        <v>-0.96</v>
      </c>
      <c r="BY2049">
        <v>-1.0900000000000001</v>
      </c>
      <c r="BZ2049">
        <v>-0.98</v>
      </c>
      <c r="CA2049">
        <v>-1.51</v>
      </c>
      <c r="CB2049">
        <v>-0.76</v>
      </c>
      <c r="CC2049">
        <v>-2.35</v>
      </c>
      <c r="CD2049">
        <v>-0.89</v>
      </c>
      <c r="CE2049">
        <v>0.02</v>
      </c>
      <c r="CF2049">
        <v>-1.3</v>
      </c>
      <c r="CG2049">
        <v>0</v>
      </c>
      <c r="CH2049">
        <v>-0.13</v>
      </c>
      <c r="CI2049">
        <v>0</v>
      </c>
      <c r="CJ2049">
        <v>0</v>
      </c>
      <c r="CK2049">
        <v>94</v>
      </c>
      <c r="CL2049">
        <v>-0.62</v>
      </c>
      <c r="CM2049">
        <v>93</v>
      </c>
      <c r="CN2049">
        <v>-0.15</v>
      </c>
      <c r="CO2049">
        <v>92</v>
      </c>
      <c r="CP2049">
        <v>-4.7</v>
      </c>
      <c r="CQ2049">
        <v>91</v>
      </c>
      <c r="CR2049">
        <v>0</v>
      </c>
      <c r="CS2049">
        <v>0</v>
      </c>
      <c r="CT2049">
        <v>-0.9</v>
      </c>
      <c r="CU2049">
        <v>92</v>
      </c>
      <c r="CV2049">
        <v>0.15</v>
      </c>
      <c r="CW2049">
        <v>45</v>
      </c>
      <c r="CX2049" t="s">
        <v>2932</v>
      </c>
    </row>
    <row r="2050" spans="1:102" x14ac:dyDescent="0.3">
      <c r="A2050" t="str">
        <f>HYPERLINK("https://webapp.icbf.com/v2/app/bull-search/view/586150316","S959")</f>
        <v>S959</v>
      </c>
      <c r="B2050" t="s">
        <v>5280</v>
      </c>
      <c r="C2050" t="s">
        <v>5281</v>
      </c>
      <c r="D2050" s="1">
        <v>38724</v>
      </c>
      <c r="E2050" t="s">
        <v>92</v>
      </c>
      <c r="F2050">
        <v>100</v>
      </c>
      <c r="G2050" t="s">
        <v>93</v>
      </c>
      <c r="H2050">
        <v>67.39</v>
      </c>
      <c r="I2050">
        <v>91</v>
      </c>
      <c r="J2050">
        <v>10.71</v>
      </c>
      <c r="K2050">
        <v>97</v>
      </c>
      <c r="L2050">
        <v>16.260000000000002</v>
      </c>
      <c r="M2050">
        <v>91</v>
      </c>
      <c r="N2050">
        <v>32.1</v>
      </c>
      <c r="O2050">
        <v>88</v>
      </c>
      <c r="P2050">
        <v>-7.09</v>
      </c>
      <c r="Q2050">
        <v>93</v>
      </c>
      <c r="R2050">
        <v>7.49</v>
      </c>
      <c r="S2050">
        <v>81</v>
      </c>
      <c r="T2050">
        <v>-1.42</v>
      </c>
      <c r="U2050">
        <v>82</v>
      </c>
      <c r="V2050">
        <v>9.34</v>
      </c>
      <c r="W2050">
        <v>64</v>
      </c>
      <c r="X2050" t="s">
        <v>251</v>
      </c>
      <c r="Y2050" t="s">
        <v>303</v>
      </c>
      <c r="Z2050" t="s">
        <v>96</v>
      </c>
      <c r="AA2050" t="s">
        <v>309</v>
      </c>
      <c r="AB2050" t="s">
        <v>5282</v>
      </c>
      <c r="AC2050">
        <v>124</v>
      </c>
      <c r="AD2050">
        <v>38</v>
      </c>
      <c r="AE2050">
        <v>97</v>
      </c>
      <c r="AF2050">
        <v>316.11</v>
      </c>
      <c r="AG2050">
        <v>6.16</v>
      </c>
      <c r="AH2050">
        <v>4.4800000000000004</v>
      </c>
      <c r="AI2050">
        <v>-0.1</v>
      </c>
      <c r="AJ2050">
        <v>-0.1</v>
      </c>
      <c r="AK2050">
        <v>91</v>
      </c>
      <c r="AL2050">
        <v>114</v>
      </c>
      <c r="AM2050">
        <v>27</v>
      </c>
      <c r="AN2050">
        <v>0.16</v>
      </c>
      <c r="AO2050">
        <v>1.47</v>
      </c>
      <c r="AP2050">
        <v>268</v>
      </c>
      <c r="AQ2050">
        <v>0</v>
      </c>
      <c r="AR2050">
        <v>5.44</v>
      </c>
      <c r="AS2050">
        <v>90</v>
      </c>
      <c r="AT2050">
        <v>2.3199999999999998</v>
      </c>
      <c r="AU2050">
        <v>90</v>
      </c>
      <c r="AV2050">
        <v>-3.09</v>
      </c>
      <c r="AW2050">
        <v>96</v>
      </c>
      <c r="AX2050">
        <v>0.99</v>
      </c>
      <c r="AY2050">
        <v>84</v>
      </c>
      <c r="AZ2050">
        <v>6.85</v>
      </c>
      <c r="BA2050">
        <v>71</v>
      </c>
      <c r="BB2050">
        <v>5.12</v>
      </c>
      <c r="BC2050">
        <v>68</v>
      </c>
      <c r="BD2050">
        <v>-0.02</v>
      </c>
      <c r="BE2050">
        <v>-0.01</v>
      </c>
      <c r="BF2050">
        <v>-0.12</v>
      </c>
      <c r="BG2050">
        <v>93</v>
      </c>
      <c r="BH2050">
        <v>0.24</v>
      </c>
      <c r="BI2050">
        <v>-2.38</v>
      </c>
      <c r="BJ2050">
        <v>33</v>
      </c>
      <c r="BK2050">
        <v>17</v>
      </c>
      <c r="BL2050">
        <v>1.81</v>
      </c>
      <c r="BM2050">
        <v>-1.1000000000000001</v>
      </c>
      <c r="BN2050">
        <v>1.05</v>
      </c>
      <c r="BO2050">
        <v>1.37</v>
      </c>
      <c r="BP2050">
        <v>0.11</v>
      </c>
      <c r="BQ2050">
        <v>0.42</v>
      </c>
      <c r="BR2050">
        <v>0.52</v>
      </c>
      <c r="BS2050">
        <v>1.41</v>
      </c>
      <c r="BT2050">
        <v>0.51</v>
      </c>
      <c r="BU2050">
        <v>1.7</v>
      </c>
      <c r="BV2050">
        <v>2.16</v>
      </c>
      <c r="BW2050">
        <v>2.14</v>
      </c>
      <c r="BX2050">
        <v>1.1299999999999999</v>
      </c>
      <c r="BY2050">
        <v>0.44</v>
      </c>
      <c r="BZ2050">
        <v>0.6</v>
      </c>
      <c r="CA2050">
        <v>1.82</v>
      </c>
      <c r="CB2050">
        <v>1.6</v>
      </c>
      <c r="CC2050">
        <v>1.22</v>
      </c>
      <c r="CD2050">
        <v>-0.99</v>
      </c>
      <c r="CE2050">
        <v>1.44</v>
      </c>
      <c r="CF2050">
        <v>1.25</v>
      </c>
      <c r="CG2050">
        <v>0</v>
      </c>
      <c r="CH2050">
        <v>0.45</v>
      </c>
      <c r="CI2050">
        <v>0</v>
      </c>
      <c r="CJ2050">
        <v>-1.1000000000000001</v>
      </c>
      <c r="CK2050">
        <v>94</v>
      </c>
      <c r="CL2050">
        <v>-1.26</v>
      </c>
      <c r="CM2050">
        <v>93</v>
      </c>
      <c r="CN2050">
        <v>-0.59</v>
      </c>
      <c r="CO2050">
        <v>92</v>
      </c>
      <c r="CP2050">
        <v>3.5</v>
      </c>
      <c r="CQ2050">
        <v>87</v>
      </c>
      <c r="CR2050">
        <v>0</v>
      </c>
      <c r="CS2050">
        <v>0</v>
      </c>
      <c r="CT2050">
        <v>15.7</v>
      </c>
      <c r="CU2050">
        <v>82</v>
      </c>
      <c r="CV2050">
        <v>0.24</v>
      </c>
      <c r="CW2050">
        <v>44</v>
      </c>
      <c r="CX2050" t="s">
        <v>4248</v>
      </c>
    </row>
    <row r="2051" spans="1:102" x14ac:dyDescent="0.3">
      <c r="A2051" t="str">
        <f>HYPERLINK("https://webapp.icbf.com/v2/app/bull-search/view/69091720","FYD")</f>
        <v>FYD</v>
      </c>
      <c r="B2051" t="s">
        <v>2762</v>
      </c>
      <c r="C2051" t="s">
        <v>2763</v>
      </c>
      <c r="D2051" s="1">
        <v>33620</v>
      </c>
      <c r="E2051" t="s">
        <v>227</v>
      </c>
      <c r="F2051">
        <v>0</v>
      </c>
      <c r="G2051" t="s">
        <v>109</v>
      </c>
      <c r="H2051">
        <v>67.36</v>
      </c>
      <c r="I2051">
        <v>46</v>
      </c>
      <c r="J2051">
        <v>-5.01</v>
      </c>
      <c r="K2051">
        <v>67</v>
      </c>
      <c r="L2051">
        <v>45.71</v>
      </c>
      <c r="M2051">
        <v>60</v>
      </c>
      <c r="N2051">
        <v>2.11</v>
      </c>
      <c r="O2051">
        <v>12</v>
      </c>
      <c r="P2051">
        <v>-47.19</v>
      </c>
      <c r="Q2051">
        <v>21</v>
      </c>
      <c r="R2051">
        <v>10.84</v>
      </c>
      <c r="S2051">
        <v>8</v>
      </c>
      <c r="T2051">
        <v>56.97</v>
      </c>
      <c r="U2051">
        <v>14</v>
      </c>
      <c r="V2051">
        <v>3.93</v>
      </c>
      <c r="W2051">
        <v>4</v>
      </c>
      <c r="X2051" t="s">
        <v>110</v>
      </c>
      <c r="Y2051" t="s">
        <v>95</v>
      </c>
      <c r="Z2051">
        <v>0</v>
      </c>
      <c r="AA2051" t="s">
        <v>2764</v>
      </c>
      <c r="AB2051" t="s">
        <v>144</v>
      </c>
      <c r="AC2051">
        <v>0</v>
      </c>
      <c r="AD2051">
        <v>0</v>
      </c>
      <c r="AE2051">
        <v>67</v>
      </c>
      <c r="AF2051">
        <v>-605.29</v>
      </c>
      <c r="AG2051">
        <v>3.57</v>
      </c>
      <c r="AH2051">
        <v>-11.38</v>
      </c>
      <c r="AI2051">
        <v>0.5</v>
      </c>
      <c r="AJ2051">
        <v>0.17</v>
      </c>
      <c r="AK2051">
        <v>60</v>
      </c>
      <c r="AL2051">
        <v>0</v>
      </c>
      <c r="AM2051">
        <v>0</v>
      </c>
      <c r="AN2051">
        <v>-1.38</v>
      </c>
      <c r="AO2051">
        <v>2.2799999999999998</v>
      </c>
      <c r="AP2051">
        <v>1</v>
      </c>
      <c r="AQ2051">
        <v>2</v>
      </c>
      <c r="AR2051">
        <v>5.35</v>
      </c>
      <c r="AS2051">
        <v>5</v>
      </c>
      <c r="AT2051">
        <v>2.64</v>
      </c>
      <c r="AU2051">
        <v>8</v>
      </c>
      <c r="AV2051">
        <v>0.54</v>
      </c>
      <c r="AW2051">
        <v>14</v>
      </c>
      <c r="AX2051">
        <v>1.03</v>
      </c>
      <c r="AY2051">
        <v>25</v>
      </c>
      <c r="AZ2051">
        <v>6.6</v>
      </c>
      <c r="BA2051">
        <v>4</v>
      </c>
      <c r="BB2051">
        <v>5.0199999999999996</v>
      </c>
      <c r="BC2051">
        <v>6</v>
      </c>
      <c r="BD2051">
        <v>-0.05</v>
      </c>
      <c r="BE2051">
        <v>-0.04</v>
      </c>
      <c r="BF2051">
        <v>-0.09</v>
      </c>
      <c r="BG2051">
        <v>10</v>
      </c>
      <c r="BH2051">
        <v>7.0000000000000007E-2</v>
      </c>
      <c r="BI2051">
        <v>-4.58</v>
      </c>
      <c r="BJ2051">
        <v>0</v>
      </c>
      <c r="BK2051">
        <v>0</v>
      </c>
      <c r="BL2051">
        <v>-1.46</v>
      </c>
      <c r="BM2051">
        <v>-1.77</v>
      </c>
      <c r="BN2051">
        <v>-0.27</v>
      </c>
      <c r="BO2051">
        <v>1.42</v>
      </c>
      <c r="BP2051">
        <v>-0.32</v>
      </c>
      <c r="BQ2051">
        <v>-5.31</v>
      </c>
      <c r="BR2051">
        <v>2.02</v>
      </c>
      <c r="BS2051">
        <v>6.65</v>
      </c>
      <c r="BT2051">
        <v>-1.02</v>
      </c>
      <c r="BU2051">
        <v>0.56000000000000005</v>
      </c>
      <c r="BV2051">
        <v>0.61</v>
      </c>
      <c r="BW2051">
        <v>-1.55</v>
      </c>
      <c r="BX2051">
        <v>-2.33</v>
      </c>
      <c r="BY2051">
        <v>0.03</v>
      </c>
      <c r="BZ2051">
        <v>-0.18</v>
      </c>
      <c r="CA2051">
        <v>2.16</v>
      </c>
      <c r="CB2051">
        <v>0.65</v>
      </c>
      <c r="CC2051">
        <v>4.2300000000000004</v>
      </c>
      <c r="CD2051">
        <v>-2.2599999999999998</v>
      </c>
      <c r="CE2051">
        <v>1.24</v>
      </c>
      <c r="CF2051">
        <v>-1.39</v>
      </c>
      <c r="CG2051">
        <v>0</v>
      </c>
      <c r="CH2051">
        <v>-0.62</v>
      </c>
      <c r="CI2051">
        <v>0</v>
      </c>
      <c r="CJ2051">
        <v>-26.5</v>
      </c>
      <c r="CK2051">
        <v>23</v>
      </c>
      <c r="CL2051">
        <v>-0.46</v>
      </c>
      <c r="CM2051">
        <v>19</v>
      </c>
      <c r="CN2051">
        <v>-0.03</v>
      </c>
      <c r="CO2051">
        <v>16</v>
      </c>
      <c r="CP2051">
        <v>-41.5</v>
      </c>
      <c r="CQ2051">
        <v>16</v>
      </c>
      <c r="CR2051">
        <v>0</v>
      </c>
      <c r="CS2051">
        <v>0</v>
      </c>
      <c r="CT2051">
        <v>-63.2</v>
      </c>
      <c r="CU2051">
        <v>14</v>
      </c>
      <c r="CV2051">
        <v>-0.42</v>
      </c>
      <c r="CW2051">
        <v>6</v>
      </c>
      <c r="CX2051" t="s">
        <v>555</v>
      </c>
    </row>
    <row r="2052" spans="1:102" x14ac:dyDescent="0.3">
      <c r="A2052" t="str">
        <f>HYPERLINK("https://webapp.icbf.com/v2/app/bull-search/view/448662613","BWG")</f>
        <v>BWG</v>
      </c>
      <c r="B2052" t="s">
        <v>12215</v>
      </c>
      <c r="C2052" t="s">
        <v>12216</v>
      </c>
      <c r="D2052" s="1">
        <v>38771</v>
      </c>
      <c r="E2052" t="s">
        <v>92</v>
      </c>
      <c r="F2052">
        <v>100</v>
      </c>
      <c r="G2052" t="s">
        <v>93</v>
      </c>
      <c r="H2052">
        <v>67.34</v>
      </c>
      <c r="I2052">
        <v>89</v>
      </c>
      <c r="J2052">
        <v>46.03</v>
      </c>
      <c r="K2052">
        <v>97</v>
      </c>
      <c r="L2052">
        <v>-18.87</v>
      </c>
      <c r="M2052">
        <v>83</v>
      </c>
      <c r="N2052">
        <v>44.98</v>
      </c>
      <c r="O2052">
        <v>87</v>
      </c>
      <c r="P2052">
        <v>-10.33</v>
      </c>
      <c r="Q2052">
        <v>93</v>
      </c>
      <c r="R2052">
        <v>2.57</v>
      </c>
      <c r="S2052">
        <v>84</v>
      </c>
      <c r="T2052">
        <v>1.84</v>
      </c>
      <c r="U2052">
        <v>89</v>
      </c>
      <c r="V2052">
        <v>1.1200000000000001</v>
      </c>
      <c r="W2052">
        <v>84</v>
      </c>
      <c r="X2052" t="s">
        <v>94</v>
      </c>
      <c r="Y2052" t="s">
        <v>1251</v>
      </c>
      <c r="Z2052" t="s">
        <v>96</v>
      </c>
      <c r="AA2052" t="s">
        <v>316</v>
      </c>
      <c r="AB2052" t="s">
        <v>4819</v>
      </c>
      <c r="AC2052">
        <v>83</v>
      </c>
      <c r="AD2052">
        <v>62</v>
      </c>
      <c r="AE2052">
        <v>97</v>
      </c>
      <c r="AF2052">
        <v>411.46</v>
      </c>
      <c r="AG2052">
        <v>5.53</v>
      </c>
      <c r="AH2052">
        <v>12.17</v>
      </c>
      <c r="AI2052">
        <v>-0.17</v>
      </c>
      <c r="AJ2052">
        <v>-0.03</v>
      </c>
      <c r="AK2052">
        <v>83</v>
      </c>
      <c r="AL2052">
        <v>88</v>
      </c>
      <c r="AM2052">
        <v>63</v>
      </c>
      <c r="AN2052">
        <v>1.4</v>
      </c>
      <c r="AO2052">
        <v>-0.1</v>
      </c>
      <c r="AP2052">
        <v>219</v>
      </c>
      <c r="AQ2052">
        <v>3</v>
      </c>
      <c r="AR2052">
        <v>3.76</v>
      </c>
      <c r="AS2052">
        <v>73</v>
      </c>
      <c r="AT2052">
        <v>1.89</v>
      </c>
      <c r="AU2052">
        <v>90</v>
      </c>
      <c r="AV2052">
        <v>-3.21</v>
      </c>
      <c r="AW2052">
        <v>96</v>
      </c>
      <c r="AX2052">
        <v>-0.84</v>
      </c>
      <c r="AY2052">
        <v>82</v>
      </c>
      <c r="AZ2052">
        <v>6.25</v>
      </c>
      <c r="BA2052">
        <v>68</v>
      </c>
      <c r="BB2052">
        <v>5.04</v>
      </c>
      <c r="BC2052">
        <v>72</v>
      </c>
      <c r="BD2052">
        <v>0</v>
      </c>
      <c r="BE2052">
        <v>-0.01</v>
      </c>
      <c r="BF2052">
        <v>-0.04</v>
      </c>
      <c r="BG2052">
        <v>90</v>
      </c>
      <c r="BH2052">
        <v>0.13</v>
      </c>
      <c r="BI2052">
        <v>11.41</v>
      </c>
      <c r="BJ2052">
        <v>5</v>
      </c>
      <c r="BK2052">
        <v>4</v>
      </c>
      <c r="BL2052">
        <v>0.77</v>
      </c>
      <c r="BM2052">
        <v>0.6</v>
      </c>
      <c r="BN2052">
        <v>-0.16</v>
      </c>
      <c r="BO2052">
        <v>-0.45</v>
      </c>
      <c r="BP2052">
        <v>2.64</v>
      </c>
      <c r="BQ2052">
        <v>-0.21</v>
      </c>
      <c r="BR2052">
        <v>-1.6</v>
      </c>
      <c r="BS2052">
        <v>-0.73</v>
      </c>
      <c r="BT2052">
        <v>0.3</v>
      </c>
      <c r="BU2052">
        <v>0.66</v>
      </c>
      <c r="BV2052">
        <v>7.0000000000000007E-2</v>
      </c>
      <c r="BW2052">
        <v>-0.68</v>
      </c>
      <c r="BX2052">
        <v>0.61</v>
      </c>
      <c r="BY2052">
        <v>-1.31</v>
      </c>
      <c r="BZ2052">
        <v>1.77</v>
      </c>
      <c r="CA2052">
        <v>0.3</v>
      </c>
      <c r="CB2052">
        <v>0.71</v>
      </c>
      <c r="CC2052">
        <v>-0.31</v>
      </c>
      <c r="CD2052">
        <v>1.21</v>
      </c>
      <c r="CE2052">
        <v>-0.21</v>
      </c>
      <c r="CF2052">
        <v>0.75</v>
      </c>
      <c r="CG2052">
        <v>0</v>
      </c>
      <c r="CH2052">
        <v>-0.21</v>
      </c>
      <c r="CI2052">
        <v>0</v>
      </c>
      <c r="CJ2052">
        <v>-1.9</v>
      </c>
      <c r="CK2052">
        <v>94</v>
      </c>
      <c r="CL2052">
        <v>-0.96</v>
      </c>
      <c r="CM2052">
        <v>92</v>
      </c>
      <c r="CN2052">
        <v>-0.22</v>
      </c>
      <c r="CO2052">
        <v>91</v>
      </c>
      <c r="CP2052">
        <v>-2.5</v>
      </c>
      <c r="CQ2052">
        <v>90</v>
      </c>
      <c r="CR2052">
        <v>0</v>
      </c>
      <c r="CS2052">
        <v>0</v>
      </c>
      <c r="CT2052">
        <v>11.3</v>
      </c>
      <c r="CU2052">
        <v>89</v>
      </c>
      <c r="CV2052">
        <v>0.25</v>
      </c>
      <c r="CW2052">
        <v>47</v>
      </c>
      <c r="CX2052" t="s">
        <v>273</v>
      </c>
    </row>
    <row r="2053" spans="1:102" x14ac:dyDescent="0.3">
      <c r="A2053" t="str">
        <f>HYPERLINK("https://webapp.icbf.com/v2/app/bull-search/view/720504532","S1066")</f>
        <v>S1066</v>
      </c>
      <c r="B2053" t="s">
        <v>12946</v>
      </c>
      <c r="C2053" t="s">
        <v>12947</v>
      </c>
      <c r="D2053" s="1">
        <v>38336</v>
      </c>
      <c r="E2053" t="s">
        <v>227</v>
      </c>
      <c r="F2053">
        <v>0</v>
      </c>
      <c r="G2053" t="s">
        <v>109</v>
      </c>
      <c r="H2053">
        <v>67.31</v>
      </c>
      <c r="I2053">
        <v>72</v>
      </c>
      <c r="J2053">
        <v>4.5599999999999996</v>
      </c>
      <c r="K2053">
        <v>88</v>
      </c>
      <c r="L2053">
        <v>25.05</v>
      </c>
      <c r="M2053">
        <v>83</v>
      </c>
      <c r="N2053">
        <v>23.96</v>
      </c>
      <c r="O2053">
        <v>45</v>
      </c>
      <c r="P2053">
        <v>-68.569999999999993</v>
      </c>
      <c r="Q2053">
        <v>45</v>
      </c>
      <c r="R2053">
        <v>13.12</v>
      </c>
      <c r="S2053">
        <v>60</v>
      </c>
      <c r="T2053">
        <v>65.92</v>
      </c>
      <c r="U2053">
        <v>41</v>
      </c>
      <c r="V2053">
        <v>3.27</v>
      </c>
      <c r="W2053">
        <v>56</v>
      </c>
      <c r="X2053" t="s">
        <v>288</v>
      </c>
      <c r="Y2053" t="s">
        <v>336</v>
      </c>
      <c r="Z2053">
        <v>0</v>
      </c>
      <c r="AA2053" t="s">
        <v>1718</v>
      </c>
      <c r="AB2053" t="s">
        <v>1719</v>
      </c>
      <c r="AC2053">
        <v>0</v>
      </c>
      <c r="AD2053">
        <v>0</v>
      </c>
      <c r="AE2053">
        <v>88</v>
      </c>
      <c r="AF2053">
        <v>-423.05</v>
      </c>
      <c r="AG2053">
        <v>5.43</v>
      </c>
      <c r="AH2053">
        <v>-7.62</v>
      </c>
      <c r="AI2053">
        <v>0.41</v>
      </c>
      <c r="AJ2053">
        <v>0.13</v>
      </c>
      <c r="AK2053">
        <v>83</v>
      </c>
      <c r="AL2053">
        <v>0</v>
      </c>
      <c r="AM2053">
        <v>0</v>
      </c>
      <c r="AN2053">
        <v>-0.43</v>
      </c>
      <c r="AO2053">
        <v>1.58</v>
      </c>
      <c r="AP2053">
        <v>4</v>
      </c>
      <c r="AQ2053">
        <v>1</v>
      </c>
      <c r="AR2053">
        <v>3.13</v>
      </c>
      <c r="AS2053">
        <v>45</v>
      </c>
      <c r="AT2053">
        <v>2.12</v>
      </c>
      <c r="AU2053">
        <v>51</v>
      </c>
      <c r="AV2053">
        <v>-2.59</v>
      </c>
      <c r="AW2053">
        <v>45</v>
      </c>
      <c r="AX2053">
        <v>2.5299999999999998</v>
      </c>
      <c r="AY2053">
        <v>41</v>
      </c>
      <c r="AZ2053">
        <v>7.98</v>
      </c>
      <c r="BA2053">
        <v>39</v>
      </c>
      <c r="BB2053">
        <v>5.86</v>
      </c>
      <c r="BC2053">
        <v>37</v>
      </c>
      <c r="BD2053">
        <v>-0.13</v>
      </c>
      <c r="BE2053">
        <v>-0.05</v>
      </c>
      <c r="BF2053">
        <v>0.01</v>
      </c>
      <c r="BG2053">
        <v>67</v>
      </c>
      <c r="BH2053">
        <v>0.05</v>
      </c>
      <c r="BI2053">
        <v>-4.7699999999999996</v>
      </c>
      <c r="BJ2053">
        <v>1</v>
      </c>
      <c r="BK2053">
        <v>1</v>
      </c>
      <c r="BL2053">
        <v>0.18</v>
      </c>
      <c r="BM2053">
        <v>-1.01</v>
      </c>
      <c r="BN2053">
        <v>1.0900000000000001</v>
      </c>
      <c r="BO2053">
        <v>2.2400000000000002</v>
      </c>
      <c r="BP2053">
        <v>-0.68</v>
      </c>
      <c r="BQ2053">
        <v>-2.54</v>
      </c>
      <c r="BR2053">
        <v>1.1499999999999999</v>
      </c>
      <c r="BS2053">
        <v>7.84</v>
      </c>
      <c r="BT2053">
        <v>-0.11</v>
      </c>
      <c r="BU2053">
        <v>2.31</v>
      </c>
      <c r="BV2053">
        <v>2.09</v>
      </c>
      <c r="BW2053">
        <v>-0.82</v>
      </c>
      <c r="BX2053">
        <v>-0.73</v>
      </c>
      <c r="BY2053">
        <v>0.83</v>
      </c>
      <c r="BZ2053">
        <v>0.93</v>
      </c>
      <c r="CA2053">
        <v>3.67</v>
      </c>
      <c r="CB2053">
        <v>2.27</v>
      </c>
      <c r="CC2053">
        <v>4.97</v>
      </c>
      <c r="CD2053">
        <v>-2.31</v>
      </c>
      <c r="CE2053">
        <v>2.35</v>
      </c>
      <c r="CF2053">
        <v>1.31</v>
      </c>
      <c r="CG2053">
        <v>0</v>
      </c>
      <c r="CH2053">
        <v>-0.22</v>
      </c>
      <c r="CI2053">
        <v>0</v>
      </c>
      <c r="CJ2053">
        <v>-39</v>
      </c>
      <c r="CK2053">
        <v>46</v>
      </c>
      <c r="CL2053">
        <v>-1.33</v>
      </c>
      <c r="CM2053">
        <v>44</v>
      </c>
      <c r="CN2053">
        <v>-0.64</v>
      </c>
      <c r="CO2053">
        <v>43</v>
      </c>
      <c r="CP2053">
        <v>-56.8</v>
      </c>
      <c r="CQ2053">
        <v>43</v>
      </c>
      <c r="CR2053">
        <v>0</v>
      </c>
      <c r="CS2053">
        <v>0</v>
      </c>
      <c r="CT2053">
        <v>-75.3</v>
      </c>
      <c r="CU2053">
        <v>41</v>
      </c>
      <c r="CV2053">
        <v>-0.38</v>
      </c>
      <c r="CW2053">
        <v>34</v>
      </c>
      <c r="CX2053" t="s">
        <v>1720</v>
      </c>
    </row>
    <row r="2054" spans="1:102" x14ac:dyDescent="0.3">
      <c r="A2054" t="str">
        <f>HYPERLINK("https://webapp.icbf.com/v2/app/bull-search/view/358462838","QZI")</f>
        <v>QZI</v>
      </c>
      <c r="B2054" t="s">
        <v>9600</v>
      </c>
      <c r="C2054" t="s">
        <v>1781</v>
      </c>
      <c r="D2054" s="1">
        <v>36004</v>
      </c>
      <c r="E2054" t="s">
        <v>227</v>
      </c>
      <c r="F2054">
        <v>0</v>
      </c>
      <c r="G2054" t="s">
        <v>93</v>
      </c>
      <c r="H2054">
        <v>67.290000000000006</v>
      </c>
      <c r="I2054">
        <v>89</v>
      </c>
      <c r="J2054">
        <v>-4.95</v>
      </c>
      <c r="K2054">
        <v>96</v>
      </c>
      <c r="L2054">
        <v>61.52</v>
      </c>
      <c r="M2054">
        <v>89</v>
      </c>
      <c r="N2054">
        <v>-0.65</v>
      </c>
      <c r="O2054">
        <v>84</v>
      </c>
      <c r="P2054">
        <v>-80.989999999999995</v>
      </c>
      <c r="Q2054">
        <v>85</v>
      </c>
      <c r="R2054">
        <v>7.51</v>
      </c>
      <c r="S2054">
        <v>78</v>
      </c>
      <c r="T2054">
        <v>79.09</v>
      </c>
      <c r="U2054">
        <v>88</v>
      </c>
      <c r="V2054">
        <v>5.76</v>
      </c>
      <c r="W2054">
        <v>77</v>
      </c>
      <c r="X2054" t="s">
        <v>94</v>
      </c>
      <c r="Y2054" t="s">
        <v>95</v>
      </c>
      <c r="Z2054">
        <v>0</v>
      </c>
      <c r="AA2054" t="s">
        <v>244</v>
      </c>
      <c r="AB2054" t="s">
        <v>6749</v>
      </c>
      <c r="AC2054">
        <v>104</v>
      </c>
      <c r="AD2054">
        <v>25</v>
      </c>
      <c r="AE2054">
        <v>96</v>
      </c>
      <c r="AF2054">
        <v>-693.01</v>
      </c>
      <c r="AG2054">
        <v>1.53</v>
      </c>
      <c r="AH2054">
        <v>-11.99</v>
      </c>
      <c r="AI2054">
        <v>0.53</v>
      </c>
      <c r="AJ2054">
        <v>0.22</v>
      </c>
      <c r="AK2054">
        <v>89</v>
      </c>
      <c r="AL2054">
        <v>94</v>
      </c>
      <c r="AM2054">
        <v>20</v>
      </c>
      <c r="AN2054">
        <v>-0.72</v>
      </c>
      <c r="AO2054">
        <v>4.22</v>
      </c>
      <c r="AP2054">
        <v>89</v>
      </c>
      <c r="AQ2054">
        <v>0</v>
      </c>
      <c r="AR2054">
        <v>4.08</v>
      </c>
      <c r="AS2054">
        <v>77</v>
      </c>
      <c r="AT2054">
        <v>2.0299999999999998</v>
      </c>
      <c r="AU2054">
        <v>81</v>
      </c>
      <c r="AV2054">
        <v>0.38</v>
      </c>
      <c r="AW2054">
        <v>94</v>
      </c>
      <c r="AX2054">
        <v>6.06</v>
      </c>
      <c r="AY2054">
        <v>83</v>
      </c>
      <c r="AZ2054">
        <v>5.76</v>
      </c>
      <c r="BA2054">
        <v>67</v>
      </c>
      <c r="BB2054">
        <v>4.7699999999999996</v>
      </c>
      <c r="BC2054">
        <v>71</v>
      </c>
      <c r="BD2054">
        <v>-0.04</v>
      </c>
      <c r="BE2054">
        <v>-0.04</v>
      </c>
      <c r="BF2054">
        <v>-0.03</v>
      </c>
      <c r="BG2054">
        <v>89</v>
      </c>
      <c r="BH2054">
        <v>0.12</v>
      </c>
      <c r="BI2054">
        <v>-4.6900000000000004</v>
      </c>
      <c r="BJ2054">
        <v>2</v>
      </c>
      <c r="BK2054">
        <v>2</v>
      </c>
      <c r="BL2054">
        <v>-1.86</v>
      </c>
      <c r="BM2054">
        <v>-2.63</v>
      </c>
      <c r="BN2054">
        <v>-1.1499999999999999</v>
      </c>
      <c r="BO2054">
        <v>1.1299999999999999</v>
      </c>
      <c r="BP2054">
        <v>-0.8</v>
      </c>
      <c r="BQ2054">
        <v>-5.71</v>
      </c>
      <c r="BR2054">
        <v>3.28</v>
      </c>
      <c r="BS2054">
        <v>7.51</v>
      </c>
      <c r="BT2054">
        <v>-1.63</v>
      </c>
      <c r="BU2054">
        <v>0.28999999999999998</v>
      </c>
      <c r="BV2054">
        <v>0.85</v>
      </c>
      <c r="BW2054">
        <v>-0.56000000000000005</v>
      </c>
      <c r="BX2054">
        <v>-2.54</v>
      </c>
      <c r="BY2054">
        <v>-0.1</v>
      </c>
      <c r="BZ2054">
        <v>-2.0099999999999998</v>
      </c>
      <c r="CA2054">
        <v>2.73</v>
      </c>
      <c r="CB2054">
        <v>0.89</v>
      </c>
      <c r="CC2054">
        <v>5.0999999999999996</v>
      </c>
      <c r="CD2054">
        <v>-2.42</v>
      </c>
      <c r="CE2054">
        <v>1.37</v>
      </c>
      <c r="CF2054">
        <v>-1.9</v>
      </c>
      <c r="CG2054">
        <v>0</v>
      </c>
      <c r="CH2054">
        <v>0.32</v>
      </c>
      <c r="CI2054">
        <v>0</v>
      </c>
      <c r="CJ2054">
        <v>-45.2</v>
      </c>
      <c r="CK2054">
        <v>86</v>
      </c>
      <c r="CL2054">
        <v>-1.4</v>
      </c>
      <c r="CM2054">
        <v>84</v>
      </c>
      <c r="CN2054">
        <v>-0.52</v>
      </c>
      <c r="CO2054">
        <v>82</v>
      </c>
      <c r="CP2054">
        <v>-68.400000000000006</v>
      </c>
      <c r="CQ2054">
        <v>90</v>
      </c>
      <c r="CR2054">
        <v>0</v>
      </c>
      <c r="CS2054">
        <v>0</v>
      </c>
      <c r="CT2054">
        <v>-93.1</v>
      </c>
      <c r="CU2054">
        <v>88</v>
      </c>
      <c r="CV2054">
        <v>-0.55000000000000004</v>
      </c>
      <c r="CW2054">
        <v>24</v>
      </c>
      <c r="CX2054" t="s">
        <v>9601</v>
      </c>
    </row>
    <row r="2055" spans="1:102" x14ac:dyDescent="0.3">
      <c r="A2055" t="str">
        <f>HYPERLINK("https://webapp.icbf.com/v2/app/bull-search/view/586144260","WWY")</f>
        <v>WWY</v>
      </c>
      <c r="B2055" t="s">
        <v>5045</v>
      </c>
      <c r="C2055" t="s">
        <v>5046</v>
      </c>
      <c r="D2055" s="1">
        <v>38133</v>
      </c>
      <c r="E2055" t="s">
        <v>92</v>
      </c>
      <c r="F2055">
        <v>100</v>
      </c>
      <c r="G2055" t="s">
        <v>109</v>
      </c>
      <c r="H2055">
        <v>67.23</v>
      </c>
      <c r="I2055">
        <v>80</v>
      </c>
      <c r="J2055">
        <v>36.869999999999997</v>
      </c>
      <c r="K2055">
        <v>93</v>
      </c>
      <c r="L2055">
        <v>-7.14</v>
      </c>
      <c r="M2055">
        <v>83</v>
      </c>
      <c r="N2055">
        <v>33.43</v>
      </c>
      <c r="O2055">
        <v>67</v>
      </c>
      <c r="P2055">
        <v>-7.77</v>
      </c>
      <c r="Q2055">
        <v>64</v>
      </c>
      <c r="R2055">
        <v>1.45</v>
      </c>
      <c r="S2055">
        <v>76</v>
      </c>
      <c r="T2055">
        <v>2.2799999999999998</v>
      </c>
      <c r="U2055">
        <v>57</v>
      </c>
      <c r="V2055">
        <v>8.11</v>
      </c>
      <c r="W2055">
        <v>66</v>
      </c>
      <c r="X2055" t="s">
        <v>251</v>
      </c>
      <c r="Y2055" t="s">
        <v>235</v>
      </c>
      <c r="Z2055" t="s">
        <v>96</v>
      </c>
      <c r="AA2055" t="s">
        <v>316</v>
      </c>
      <c r="AB2055" t="s">
        <v>5047</v>
      </c>
      <c r="AC2055">
        <v>0</v>
      </c>
      <c r="AD2055">
        <v>0</v>
      </c>
      <c r="AE2055">
        <v>93</v>
      </c>
      <c r="AF2055">
        <v>431.24</v>
      </c>
      <c r="AG2055">
        <v>10.38</v>
      </c>
      <c r="AH2055">
        <v>9.1999999999999993</v>
      </c>
      <c r="AI2055">
        <v>-0.1</v>
      </c>
      <c r="AJ2055">
        <v>-0.09</v>
      </c>
      <c r="AK2055">
        <v>83</v>
      </c>
      <c r="AL2055">
        <v>0</v>
      </c>
      <c r="AM2055">
        <v>0</v>
      </c>
      <c r="AN2055">
        <v>-0.46</v>
      </c>
      <c r="AO2055">
        <v>-1.04</v>
      </c>
      <c r="AP2055">
        <v>13</v>
      </c>
      <c r="AQ2055">
        <v>0</v>
      </c>
      <c r="AR2055">
        <v>5.48</v>
      </c>
      <c r="AS2055">
        <v>60</v>
      </c>
      <c r="AT2055">
        <v>2.04</v>
      </c>
      <c r="AU2055">
        <v>85</v>
      </c>
      <c r="AV2055">
        <v>-3.17</v>
      </c>
      <c r="AW2055">
        <v>67</v>
      </c>
      <c r="AX2055">
        <v>-0.64</v>
      </c>
      <c r="AY2055">
        <v>56</v>
      </c>
      <c r="AZ2055">
        <v>7.13</v>
      </c>
      <c r="BA2055">
        <v>49</v>
      </c>
      <c r="BB2055">
        <v>6.02</v>
      </c>
      <c r="BC2055">
        <v>51</v>
      </c>
      <c r="BD2055">
        <v>0.04</v>
      </c>
      <c r="BE2055">
        <v>0</v>
      </c>
      <c r="BF2055">
        <v>-0.1</v>
      </c>
      <c r="BG2055">
        <v>88</v>
      </c>
      <c r="BH2055">
        <v>0.17</v>
      </c>
      <c r="BI2055">
        <v>-6.48</v>
      </c>
      <c r="BJ2055">
        <v>0</v>
      </c>
      <c r="BK2055">
        <v>0</v>
      </c>
      <c r="BL2055">
        <v>0.57999999999999996</v>
      </c>
      <c r="BM2055">
        <v>-0.33</v>
      </c>
      <c r="BN2055">
        <v>7.0000000000000007E-2</v>
      </c>
      <c r="BO2055">
        <v>0.33</v>
      </c>
      <c r="BP2055">
        <v>-0.5</v>
      </c>
      <c r="BQ2055">
        <v>-0.96</v>
      </c>
      <c r="BR2055">
        <v>-0.33</v>
      </c>
      <c r="BS2055">
        <v>-2.02</v>
      </c>
      <c r="BT2055">
        <v>0.01</v>
      </c>
      <c r="BU2055">
        <v>0.02</v>
      </c>
      <c r="BV2055">
        <v>0.28000000000000003</v>
      </c>
      <c r="BW2055">
        <v>-0.56000000000000005</v>
      </c>
      <c r="BX2055">
        <v>0.85</v>
      </c>
      <c r="BY2055">
        <v>0.17</v>
      </c>
      <c r="BZ2055">
        <v>0.44</v>
      </c>
      <c r="CA2055">
        <v>-0.01</v>
      </c>
      <c r="CB2055">
        <v>0.21</v>
      </c>
      <c r="CC2055">
        <v>-1.03</v>
      </c>
      <c r="CD2055">
        <v>0</v>
      </c>
      <c r="CE2055">
        <v>0</v>
      </c>
      <c r="CF2055">
        <v>-0.6</v>
      </c>
      <c r="CG2055">
        <v>0</v>
      </c>
      <c r="CH2055">
        <v>0.11</v>
      </c>
      <c r="CI2055">
        <v>0</v>
      </c>
      <c r="CJ2055">
        <v>-1.5</v>
      </c>
      <c r="CK2055">
        <v>65</v>
      </c>
      <c r="CL2055">
        <v>-0.9</v>
      </c>
      <c r="CM2055">
        <v>62</v>
      </c>
      <c r="CN2055">
        <v>-0.28999999999999998</v>
      </c>
      <c r="CO2055">
        <v>59</v>
      </c>
      <c r="CP2055">
        <v>1.3</v>
      </c>
      <c r="CQ2055">
        <v>66</v>
      </c>
      <c r="CR2055">
        <v>0</v>
      </c>
      <c r="CS2055">
        <v>0</v>
      </c>
      <c r="CT2055">
        <v>10.7</v>
      </c>
      <c r="CU2055">
        <v>57</v>
      </c>
      <c r="CV2055">
        <v>0.19</v>
      </c>
      <c r="CW2055">
        <v>41</v>
      </c>
      <c r="CX2055" t="s">
        <v>596</v>
      </c>
    </row>
    <row r="2056" spans="1:102" x14ac:dyDescent="0.3">
      <c r="A2056" t="str">
        <f>HYPERLINK("https://webapp.icbf.com/v2/app/bull-search/view/146293512","KTX")</f>
        <v>KTX</v>
      </c>
      <c r="B2056" t="s">
        <v>4709</v>
      </c>
      <c r="C2056" t="s">
        <v>4710</v>
      </c>
      <c r="D2056" s="1">
        <v>37671</v>
      </c>
      <c r="E2056" t="s">
        <v>92</v>
      </c>
      <c r="F2056">
        <v>66</v>
      </c>
      <c r="G2056" t="s">
        <v>93</v>
      </c>
      <c r="H2056">
        <v>67.22</v>
      </c>
      <c r="I2056">
        <v>91</v>
      </c>
      <c r="J2056">
        <v>7.06</v>
      </c>
      <c r="K2056">
        <v>98</v>
      </c>
      <c r="L2056">
        <v>71.41</v>
      </c>
      <c r="M2056">
        <v>83</v>
      </c>
      <c r="N2056">
        <v>-0.87</v>
      </c>
      <c r="O2056">
        <v>90</v>
      </c>
      <c r="P2056">
        <v>-10.32</v>
      </c>
      <c r="Q2056">
        <v>95</v>
      </c>
      <c r="R2056">
        <v>-8.2799999999999994</v>
      </c>
      <c r="S2056">
        <v>86</v>
      </c>
      <c r="T2056">
        <v>13.68</v>
      </c>
      <c r="U2056">
        <v>93</v>
      </c>
      <c r="V2056">
        <v>-5.46</v>
      </c>
      <c r="W2056">
        <v>86</v>
      </c>
      <c r="X2056" t="s">
        <v>94</v>
      </c>
      <c r="Y2056" t="s">
        <v>228</v>
      </c>
      <c r="Z2056" t="s">
        <v>96</v>
      </c>
      <c r="AA2056" t="s">
        <v>1035</v>
      </c>
      <c r="AB2056" t="s">
        <v>4711</v>
      </c>
      <c r="AC2056">
        <v>169</v>
      </c>
      <c r="AD2056">
        <v>131</v>
      </c>
      <c r="AE2056">
        <v>98</v>
      </c>
      <c r="AF2056">
        <v>-54.2</v>
      </c>
      <c r="AG2056">
        <v>4.3</v>
      </c>
      <c r="AH2056">
        <v>-1.1499999999999999</v>
      </c>
      <c r="AI2056">
        <v>0.11</v>
      </c>
      <c r="AJ2056">
        <v>0.01</v>
      </c>
      <c r="AK2056">
        <v>83</v>
      </c>
      <c r="AL2056">
        <v>166</v>
      </c>
      <c r="AM2056">
        <v>122</v>
      </c>
      <c r="AN2056">
        <v>-5.8</v>
      </c>
      <c r="AO2056">
        <v>-0.13</v>
      </c>
      <c r="AP2056">
        <v>325</v>
      </c>
      <c r="AQ2056">
        <v>6</v>
      </c>
      <c r="AR2056">
        <v>9.31</v>
      </c>
      <c r="AS2056">
        <v>75</v>
      </c>
      <c r="AT2056">
        <v>3.69</v>
      </c>
      <c r="AU2056">
        <v>92</v>
      </c>
      <c r="AV2056">
        <v>-1.43</v>
      </c>
      <c r="AW2056">
        <v>98</v>
      </c>
      <c r="AX2056">
        <v>1.1200000000000001</v>
      </c>
      <c r="AY2056">
        <v>88</v>
      </c>
      <c r="AZ2056">
        <v>5.52</v>
      </c>
      <c r="BA2056">
        <v>74</v>
      </c>
      <c r="BB2056">
        <v>5.1100000000000003</v>
      </c>
      <c r="BC2056">
        <v>77</v>
      </c>
      <c r="BD2056">
        <v>0.02</v>
      </c>
      <c r="BE2056">
        <v>0.03</v>
      </c>
      <c r="BF2056">
        <v>0.1</v>
      </c>
      <c r="BG2056">
        <v>92</v>
      </c>
      <c r="BH2056">
        <v>-0.25</v>
      </c>
      <c r="BI2056">
        <v>-11.31</v>
      </c>
      <c r="BJ2056">
        <v>49</v>
      </c>
      <c r="BK2056">
        <v>34</v>
      </c>
      <c r="BL2056">
        <v>-0.76</v>
      </c>
      <c r="BM2056">
        <v>0.62</v>
      </c>
      <c r="BN2056">
        <v>-0.88</v>
      </c>
      <c r="BO2056">
        <v>-0.94</v>
      </c>
      <c r="BP2056">
        <v>-0.93</v>
      </c>
      <c r="BQ2056">
        <v>-1.03</v>
      </c>
      <c r="BR2056">
        <v>1.46</v>
      </c>
      <c r="BS2056">
        <v>-0.94</v>
      </c>
      <c r="BT2056">
        <v>-0.92</v>
      </c>
      <c r="BU2056">
        <v>-0.47</v>
      </c>
      <c r="BV2056">
        <v>-1.45</v>
      </c>
      <c r="BW2056">
        <v>-0.53</v>
      </c>
      <c r="BX2056">
        <v>0.36</v>
      </c>
      <c r="BY2056">
        <v>-0.74</v>
      </c>
      <c r="BZ2056">
        <v>-1.72</v>
      </c>
      <c r="CA2056">
        <v>-1.27</v>
      </c>
      <c r="CB2056">
        <v>-1.24</v>
      </c>
      <c r="CC2056">
        <v>-1.04</v>
      </c>
      <c r="CD2056">
        <v>1.07</v>
      </c>
      <c r="CE2056">
        <v>-1.19</v>
      </c>
      <c r="CF2056">
        <v>-1.07</v>
      </c>
      <c r="CG2056">
        <v>0</v>
      </c>
      <c r="CH2056">
        <v>-0.38</v>
      </c>
      <c r="CI2056">
        <v>0</v>
      </c>
      <c r="CJ2056">
        <v>-3.3</v>
      </c>
      <c r="CK2056">
        <v>96</v>
      </c>
      <c r="CL2056">
        <v>-0.62</v>
      </c>
      <c r="CM2056">
        <v>95</v>
      </c>
      <c r="CN2056">
        <v>-0.15</v>
      </c>
      <c r="CO2056">
        <v>94</v>
      </c>
      <c r="CP2056">
        <v>-7.5</v>
      </c>
      <c r="CQ2056">
        <v>94</v>
      </c>
      <c r="CR2056">
        <v>0</v>
      </c>
      <c r="CS2056">
        <v>0</v>
      </c>
      <c r="CT2056">
        <v>-4.7</v>
      </c>
      <c r="CU2056">
        <v>93</v>
      </c>
      <c r="CV2056">
        <v>0.13</v>
      </c>
      <c r="CW2056">
        <v>45</v>
      </c>
      <c r="CX2056" t="s">
        <v>1252</v>
      </c>
    </row>
    <row r="2057" spans="1:102" x14ac:dyDescent="0.3">
      <c r="A2057" t="str">
        <f>HYPERLINK("https://webapp.icbf.com/v2/app/bull-search/view/933798787","S2306")</f>
        <v>S2306</v>
      </c>
      <c r="B2057" t="s">
        <v>6059</v>
      </c>
      <c r="C2057" t="s">
        <v>6060</v>
      </c>
      <c r="D2057" s="1">
        <v>40246</v>
      </c>
      <c r="E2057" t="s">
        <v>92</v>
      </c>
      <c r="F2057">
        <v>100</v>
      </c>
      <c r="G2057" t="s">
        <v>93</v>
      </c>
      <c r="H2057">
        <v>67.16</v>
      </c>
      <c r="I2057">
        <v>87</v>
      </c>
      <c r="J2057">
        <v>102.88</v>
      </c>
      <c r="K2057">
        <v>95</v>
      </c>
      <c r="L2057">
        <v>-40.880000000000003</v>
      </c>
      <c r="M2057">
        <v>88</v>
      </c>
      <c r="N2057">
        <v>19.54</v>
      </c>
      <c r="O2057">
        <v>85</v>
      </c>
      <c r="P2057">
        <v>-8.65</v>
      </c>
      <c r="Q2057">
        <v>85</v>
      </c>
      <c r="R2057">
        <v>1.59</v>
      </c>
      <c r="S2057">
        <v>78</v>
      </c>
      <c r="T2057">
        <v>-10.45</v>
      </c>
      <c r="U2057">
        <v>65</v>
      </c>
      <c r="V2057">
        <v>3.13</v>
      </c>
      <c r="W2057">
        <v>67</v>
      </c>
      <c r="X2057" t="s">
        <v>428</v>
      </c>
      <c r="Y2057" t="s">
        <v>411</v>
      </c>
      <c r="Z2057" t="s">
        <v>96</v>
      </c>
      <c r="AA2057" t="s">
        <v>1572</v>
      </c>
      <c r="AB2057" t="s">
        <v>6061</v>
      </c>
      <c r="AC2057">
        <v>93</v>
      </c>
      <c r="AD2057">
        <v>34</v>
      </c>
      <c r="AE2057">
        <v>95</v>
      </c>
      <c r="AF2057">
        <v>423.13</v>
      </c>
      <c r="AG2057">
        <v>17</v>
      </c>
      <c r="AH2057">
        <v>17.96</v>
      </c>
      <c r="AI2057">
        <v>0.01</v>
      </c>
      <c r="AJ2057">
        <v>0.06</v>
      </c>
      <c r="AK2057">
        <v>88</v>
      </c>
      <c r="AL2057">
        <v>36</v>
      </c>
      <c r="AM2057">
        <v>15</v>
      </c>
      <c r="AN2057">
        <v>2.21</v>
      </c>
      <c r="AO2057">
        <v>-1.05</v>
      </c>
      <c r="AP2057">
        <v>388</v>
      </c>
      <c r="AQ2057">
        <v>1</v>
      </c>
      <c r="AR2057">
        <v>8.4499999999999993</v>
      </c>
      <c r="AS2057">
        <v>77</v>
      </c>
      <c r="AT2057">
        <v>2.97</v>
      </c>
      <c r="AU2057">
        <v>93</v>
      </c>
      <c r="AV2057">
        <v>-2.5499999999999998</v>
      </c>
      <c r="AW2057">
        <v>94</v>
      </c>
      <c r="AX2057">
        <v>-0.39</v>
      </c>
      <c r="AY2057">
        <v>85</v>
      </c>
      <c r="AZ2057">
        <v>6.47</v>
      </c>
      <c r="BA2057">
        <v>65</v>
      </c>
      <c r="BB2057">
        <v>5.16</v>
      </c>
      <c r="BC2057">
        <v>49</v>
      </c>
      <c r="BD2057">
        <v>0.02</v>
      </c>
      <c r="BE2057">
        <v>0</v>
      </c>
      <c r="BF2057">
        <v>-7.0000000000000007E-2</v>
      </c>
      <c r="BG2057">
        <v>92</v>
      </c>
      <c r="BH2057">
        <v>0.06</v>
      </c>
      <c r="BI2057">
        <v>-3.14</v>
      </c>
      <c r="BJ2057">
        <v>4</v>
      </c>
      <c r="BK2057">
        <v>3</v>
      </c>
      <c r="BL2057">
        <v>2.36</v>
      </c>
      <c r="BM2057">
        <v>0.97</v>
      </c>
      <c r="BN2057">
        <v>2.46</v>
      </c>
      <c r="BO2057">
        <v>1.59</v>
      </c>
      <c r="BP2057">
        <v>1.02</v>
      </c>
      <c r="BQ2057">
        <v>1.2</v>
      </c>
      <c r="BR2057">
        <v>-1.74</v>
      </c>
      <c r="BS2057">
        <v>0.67</v>
      </c>
      <c r="BT2057">
        <v>2.08</v>
      </c>
      <c r="BU2057">
        <v>1.92</v>
      </c>
      <c r="BV2057">
        <v>3.31</v>
      </c>
      <c r="BW2057">
        <v>1.79</v>
      </c>
      <c r="BX2057">
        <v>1.41</v>
      </c>
      <c r="BY2057">
        <v>1.01</v>
      </c>
      <c r="BZ2057">
        <v>-0.48</v>
      </c>
      <c r="CA2057">
        <v>1.52</v>
      </c>
      <c r="CB2057">
        <v>1.82</v>
      </c>
      <c r="CC2057">
        <v>0.98</v>
      </c>
      <c r="CD2057">
        <v>-0.81</v>
      </c>
      <c r="CE2057">
        <v>0.87</v>
      </c>
      <c r="CF2057">
        <v>1.36</v>
      </c>
      <c r="CG2057">
        <v>0</v>
      </c>
      <c r="CH2057">
        <v>0.7</v>
      </c>
      <c r="CI2057">
        <v>0</v>
      </c>
      <c r="CJ2057">
        <v>-1.5</v>
      </c>
      <c r="CK2057">
        <v>88</v>
      </c>
      <c r="CL2057">
        <v>-1.43</v>
      </c>
      <c r="CM2057">
        <v>85</v>
      </c>
      <c r="CN2057">
        <v>-0.6</v>
      </c>
      <c r="CO2057">
        <v>83</v>
      </c>
      <c r="CP2057">
        <v>7.7</v>
      </c>
      <c r="CQ2057">
        <v>70</v>
      </c>
      <c r="CR2057">
        <v>0</v>
      </c>
      <c r="CS2057">
        <v>0</v>
      </c>
      <c r="CT2057">
        <v>27.9</v>
      </c>
      <c r="CU2057">
        <v>65</v>
      </c>
      <c r="CV2057">
        <v>0.35</v>
      </c>
      <c r="CW2057">
        <v>44</v>
      </c>
      <c r="CX2057" t="s">
        <v>350</v>
      </c>
    </row>
    <row r="2058" spans="1:102" x14ac:dyDescent="0.3">
      <c r="A2058" t="str">
        <f>HYPERLINK("https://webapp.icbf.com/v2/app/bull-search/view/760402897","KTR")</f>
        <v>KTR</v>
      </c>
      <c r="B2058" t="s">
        <v>8264</v>
      </c>
      <c r="C2058" t="s">
        <v>8265</v>
      </c>
      <c r="D2058" s="1">
        <v>40023</v>
      </c>
      <c r="E2058" t="s">
        <v>227</v>
      </c>
      <c r="F2058">
        <v>0</v>
      </c>
      <c r="G2058" t="s">
        <v>93</v>
      </c>
      <c r="H2058">
        <v>67.06</v>
      </c>
      <c r="I2058">
        <v>85</v>
      </c>
      <c r="J2058">
        <v>42.21</v>
      </c>
      <c r="K2058">
        <v>96</v>
      </c>
      <c r="L2058">
        <v>16.760000000000002</v>
      </c>
      <c r="M2058">
        <v>80</v>
      </c>
      <c r="N2058">
        <v>9.61</v>
      </c>
      <c r="O2058">
        <v>81</v>
      </c>
      <c r="P2058">
        <v>-52.94</v>
      </c>
      <c r="Q2058">
        <v>84</v>
      </c>
      <c r="R2058">
        <v>-2.13</v>
      </c>
      <c r="S2058">
        <v>77</v>
      </c>
      <c r="T2058">
        <v>50.01</v>
      </c>
      <c r="U2058">
        <v>81</v>
      </c>
      <c r="V2058">
        <v>3.54</v>
      </c>
      <c r="W2058">
        <v>74</v>
      </c>
      <c r="X2058" t="s">
        <v>276</v>
      </c>
      <c r="Y2058" t="s">
        <v>329</v>
      </c>
      <c r="Z2058">
        <v>0</v>
      </c>
      <c r="AA2058" t="s">
        <v>5513</v>
      </c>
      <c r="AB2058" t="s">
        <v>8266</v>
      </c>
      <c r="AC2058">
        <v>66</v>
      </c>
      <c r="AD2058">
        <v>21</v>
      </c>
      <c r="AE2058">
        <v>96</v>
      </c>
      <c r="AF2058">
        <v>-245.86</v>
      </c>
      <c r="AG2058">
        <v>9.26</v>
      </c>
      <c r="AH2058">
        <v>0.14000000000000001</v>
      </c>
      <c r="AI2058">
        <v>0.34</v>
      </c>
      <c r="AJ2058">
        <v>0.15</v>
      </c>
      <c r="AK2058">
        <v>80</v>
      </c>
      <c r="AL2058">
        <v>66</v>
      </c>
      <c r="AM2058">
        <v>19</v>
      </c>
      <c r="AN2058">
        <v>-0.63</v>
      </c>
      <c r="AO2058">
        <v>0.71</v>
      </c>
      <c r="AP2058">
        <v>87</v>
      </c>
      <c r="AQ2058">
        <v>0</v>
      </c>
      <c r="AR2058">
        <v>3.78</v>
      </c>
      <c r="AS2058">
        <v>78</v>
      </c>
      <c r="AT2058">
        <v>1.83</v>
      </c>
      <c r="AU2058">
        <v>77</v>
      </c>
      <c r="AV2058">
        <v>0.68</v>
      </c>
      <c r="AW2058">
        <v>93</v>
      </c>
      <c r="AX2058">
        <v>0.8</v>
      </c>
      <c r="AY2058">
        <v>74</v>
      </c>
      <c r="AZ2058">
        <v>6.5</v>
      </c>
      <c r="BA2058">
        <v>64</v>
      </c>
      <c r="BB2058">
        <v>5.08</v>
      </c>
      <c r="BC2058">
        <v>60</v>
      </c>
      <c r="BD2058">
        <v>-0.03</v>
      </c>
      <c r="BE2058">
        <v>0.01</v>
      </c>
      <c r="BF2058">
        <v>0.08</v>
      </c>
      <c r="BG2058">
        <v>86</v>
      </c>
      <c r="BH2058">
        <v>0.14000000000000001</v>
      </c>
      <c r="BI2058">
        <v>4.78</v>
      </c>
      <c r="BJ2058">
        <v>0</v>
      </c>
      <c r="BK2058">
        <v>0</v>
      </c>
      <c r="BL2058">
        <v>-3</v>
      </c>
      <c r="BM2058">
        <v>-1.69</v>
      </c>
      <c r="BN2058">
        <v>-0.5</v>
      </c>
      <c r="BO2058">
        <v>0.92</v>
      </c>
      <c r="BP2058">
        <v>-1.31</v>
      </c>
      <c r="BQ2058">
        <v>-5.61</v>
      </c>
      <c r="BR2058">
        <v>2.58</v>
      </c>
      <c r="BS2058">
        <v>6.19</v>
      </c>
      <c r="BT2058">
        <v>-1.01</v>
      </c>
      <c r="BU2058">
        <v>-1.59</v>
      </c>
      <c r="BV2058">
        <v>-0.87</v>
      </c>
      <c r="BW2058">
        <v>-2.99</v>
      </c>
      <c r="BX2058">
        <v>-4.1900000000000004</v>
      </c>
      <c r="BY2058">
        <v>-0.34</v>
      </c>
      <c r="BZ2058">
        <v>-0.32</v>
      </c>
      <c r="CA2058">
        <v>0.31</v>
      </c>
      <c r="CB2058">
        <v>-1.3</v>
      </c>
      <c r="CC2058">
        <v>3.6</v>
      </c>
      <c r="CD2058">
        <v>-2.0699999999999998</v>
      </c>
      <c r="CE2058">
        <v>0.44</v>
      </c>
      <c r="CF2058">
        <v>-3.47</v>
      </c>
      <c r="CG2058">
        <v>0</v>
      </c>
      <c r="CH2058">
        <v>-1.45</v>
      </c>
      <c r="CI2058">
        <v>0</v>
      </c>
      <c r="CJ2058">
        <v>-27.2</v>
      </c>
      <c r="CK2058">
        <v>86</v>
      </c>
      <c r="CL2058">
        <v>-1.07</v>
      </c>
      <c r="CM2058">
        <v>83</v>
      </c>
      <c r="CN2058">
        <v>-0.15</v>
      </c>
      <c r="CO2058">
        <v>81</v>
      </c>
      <c r="CP2058">
        <v>-40.799999999999997</v>
      </c>
      <c r="CQ2058">
        <v>81</v>
      </c>
      <c r="CR2058">
        <v>0</v>
      </c>
      <c r="CS2058">
        <v>0</v>
      </c>
      <c r="CT2058">
        <v>-53.8</v>
      </c>
      <c r="CU2058">
        <v>81</v>
      </c>
      <c r="CV2058">
        <v>-0.21</v>
      </c>
      <c r="CW2058">
        <v>43</v>
      </c>
      <c r="CX2058" t="s">
        <v>1837</v>
      </c>
    </row>
    <row r="2059" spans="1:102" x14ac:dyDescent="0.3">
      <c r="A2059" t="str">
        <f>HYPERLINK("https://webapp.icbf.com/v2/app/bull-search/view/69091651","FCY")</f>
        <v>FCY</v>
      </c>
      <c r="B2059" t="s">
        <v>3258</v>
      </c>
      <c r="C2059" t="s">
        <v>3259</v>
      </c>
      <c r="D2059" s="1">
        <v>32930</v>
      </c>
      <c r="E2059" t="s">
        <v>140</v>
      </c>
      <c r="F2059">
        <v>0</v>
      </c>
      <c r="G2059" t="s">
        <v>93</v>
      </c>
      <c r="H2059">
        <v>66.98</v>
      </c>
      <c r="I2059">
        <v>85</v>
      </c>
      <c r="J2059">
        <v>-14.33</v>
      </c>
      <c r="K2059">
        <v>97</v>
      </c>
      <c r="L2059">
        <v>87.06</v>
      </c>
      <c r="M2059">
        <v>74</v>
      </c>
      <c r="N2059">
        <v>-16.8</v>
      </c>
      <c r="O2059">
        <v>82</v>
      </c>
      <c r="P2059">
        <v>24.2</v>
      </c>
      <c r="Q2059">
        <v>93</v>
      </c>
      <c r="R2059">
        <v>1.74</v>
      </c>
      <c r="S2059">
        <v>75</v>
      </c>
      <c r="T2059">
        <v>-0.53</v>
      </c>
      <c r="U2059">
        <v>91</v>
      </c>
      <c r="V2059">
        <v>-14.36</v>
      </c>
      <c r="W2059">
        <v>65</v>
      </c>
      <c r="X2059" t="s">
        <v>94</v>
      </c>
      <c r="Y2059" t="s">
        <v>95</v>
      </c>
      <c r="Z2059">
        <v>0</v>
      </c>
      <c r="AA2059" t="s">
        <v>2464</v>
      </c>
      <c r="AB2059" t="s">
        <v>3260</v>
      </c>
      <c r="AC2059">
        <v>148</v>
      </c>
      <c r="AD2059">
        <v>83</v>
      </c>
      <c r="AE2059">
        <v>97</v>
      </c>
      <c r="AF2059">
        <v>-45.05</v>
      </c>
      <c r="AG2059">
        <v>-2.96</v>
      </c>
      <c r="AH2059">
        <v>-2.08</v>
      </c>
      <c r="AI2059">
        <v>-0.02</v>
      </c>
      <c r="AJ2059">
        <v>-0.01</v>
      </c>
      <c r="AK2059">
        <v>74</v>
      </c>
      <c r="AL2059">
        <v>168</v>
      </c>
      <c r="AM2059">
        <v>98</v>
      </c>
      <c r="AN2059">
        <v>-5.72</v>
      </c>
      <c r="AO2059">
        <v>1.21</v>
      </c>
      <c r="AP2059">
        <v>11</v>
      </c>
      <c r="AQ2059">
        <v>1</v>
      </c>
      <c r="AR2059">
        <v>6.56</v>
      </c>
      <c r="AS2059">
        <v>58</v>
      </c>
      <c r="AT2059">
        <v>3.63</v>
      </c>
      <c r="AU2059">
        <v>76</v>
      </c>
      <c r="AV2059">
        <v>1.89</v>
      </c>
      <c r="AW2059">
        <v>93</v>
      </c>
      <c r="AX2059">
        <v>0.36</v>
      </c>
      <c r="AY2059">
        <v>87</v>
      </c>
      <c r="AZ2059">
        <v>6.53</v>
      </c>
      <c r="BA2059">
        <v>59</v>
      </c>
      <c r="BB2059">
        <v>4.82</v>
      </c>
      <c r="BC2059">
        <v>74</v>
      </c>
      <c r="BD2059">
        <v>0.06</v>
      </c>
      <c r="BE2059">
        <v>0</v>
      </c>
      <c r="BF2059">
        <v>-0.14000000000000001</v>
      </c>
      <c r="BG2059">
        <v>88</v>
      </c>
      <c r="BH2059">
        <v>-0.28000000000000003</v>
      </c>
      <c r="BI2059">
        <v>13.94</v>
      </c>
      <c r="BJ2059">
        <v>0</v>
      </c>
      <c r="BK2059">
        <v>0</v>
      </c>
      <c r="BL2059">
        <v>-1.01</v>
      </c>
      <c r="BM2059">
        <v>3.3</v>
      </c>
      <c r="BN2059">
        <v>-1.86</v>
      </c>
      <c r="BO2059">
        <v>-3.09</v>
      </c>
      <c r="BP2059">
        <v>4.09</v>
      </c>
      <c r="BQ2059">
        <v>-2.09</v>
      </c>
      <c r="BR2059">
        <v>-2.58</v>
      </c>
      <c r="BS2059">
        <v>-0.2</v>
      </c>
      <c r="BT2059">
        <v>2.39</v>
      </c>
      <c r="BU2059">
        <v>-3.44</v>
      </c>
      <c r="BV2059">
        <v>-3.8</v>
      </c>
      <c r="BW2059">
        <v>-2.94</v>
      </c>
      <c r="BX2059">
        <v>-3.03</v>
      </c>
      <c r="BY2059">
        <v>-2.13</v>
      </c>
      <c r="BZ2059">
        <v>1.1100000000000001</v>
      </c>
      <c r="CA2059">
        <v>-2.39</v>
      </c>
      <c r="CB2059">
        <v>-3.08</v>
      </c>
      <c r="CC2059">
        <v>-0.38</v>
      </c>
      <c r="CD2059">
        <v>3.62</v>
      </c>
      <c r="CE2059">
        <v>-2.96</v>
      </c>
      <c r="CF2059">
        <v>-1.32</v>
      </c>
      <c r="CG2059">
        <v>0</v>
      </c>
      <c r="CH2059">
        <v>-2.61</v>
      </c>
      <c r="CI2059">
        <v>0</v>
      </c>
      <c r="CJ2059">
        <v>11.5</v>
      </c>
      <c r="CK2059">
        <v>94</v>
      </c>
      <c r="CL2059">
        <v>0.49</v>
      </c>
      <c r="CM2059">
        <v>92</v>
      </c>
      <c r="CN2059">
        <v>-0.19</v>
      </c>
      <c r="CO2059">
        <v>92</v>
      </c>
      <c r="CP2059">
        <v>7</v>
      </c>
      <c r="CQ2059">
        <v>94</v>
      </c>
      <c r="CR2059">
        <v>0</v>
      </c>
      <c r="CS2059">
        <v>0</v>
      </c>
      <c r="CT2059">
        <v>14.5</v>
      </c>
      <c r="CU2059">
        <v>91</v>
      </c>
      <c r="CV2059">
        <v>-0.02</v>
      </c>
      <c r="CW2059">
        <v>27</v>
      </c>
      <c r="CX2059" t="s">
        <v>698</v>
      </c>
    </row>
    <row r="2060" spans="1:102" x14ac:dyDescent="0.3">
      <c r="A2060" t="str">
        <f>HYPERLINK("https://webapp.icbf.com/v2/app/bull-search/view/586049894","S712")</f>
        <v>S712</v>
      </c>
      <c r="B2060" t="s">
        <v>8924</v>
      </c>
      <c r="C2060" t="s">
        <v>8925</v>
      </c>
      <c r="D2060" s="1">
        <v>38930</v>
      </c>
      <c r="E2060" t="s">
        <v>92</v>
      </c>
      <c r="F2060">
        <v>100</v>
      </c>
      <c r="G2060" t="s">
        <v>109</v>
      </c>
      <c r="H2060">
        <v>66.98</v>
      </c>
      <c r="I2060">
        <v>77</v>
      </c>
      <c r="J2060">
        <v>115.15</v>
      </c>
      <c r="K2060">
        <v>89</v>
      </c>
      <c r="L2060">
        <v>-67.63</v>
      </c>
      <c r="M2060">
        <v>73</v>
      </c>
      <c r="N2060">
        <v>23.57</v>
      </c>
      <c r="O2060">
        <v>72</v>
      </c>
      <c r="P2060">
        <v>-13.44</v>
      </c>
      <c r="Q2060">
        <v>73</v>
      </c>
      <c r="R2060">
        <v>-4.9000000000000004</v>
      </c>
      <c r="S2060">
        <v>71</v>
      </c>
      <c r="T2060">
        <v>8.5</v>
      </c>
      <c r="U2060">
        <v>60</v>
      </c>
      <c r="V2060">
        <v>5.73</v>
      </c>
      <c r="W2060">
        <v>64</v>
      </c>
      <c r="X2060" t="s">
        <v>94</v>
      </c>
      <c r="Y2060" t="s">
        <v>1494</v>
      </c>
      <c r="Z2060">
        <v>0</v>
      </c>
      <c r="AA2060" t="s">
        <v>8926</v>
      </c>
      <c r="AB2060" t="s">
        <v>8927</v>
      </c>
      <c r="AC2060">
        <v>0</v>
      </c>
      <c r="AD2060">
        <v>0</v>
      </c>
      <c r="AE2060">
        <v>89</v>
      </c>
      <c r="AF2060">
        <v>249.39</v>
      </c>
      <c r="AG2060">
        <v>18.77</v>
      </c>
      <c r="AH2060">
        <v>16.760000000000002</v>
      </c>
      <c r="AI2060">
        <v>0.15</v>
      </c>
      <c r="AJ2060">
        <v>0.14000000000000001</v>
      </c>
      <c r="AK2060">
        <v>73</v>
      </c>
      <c r="AL2060">
        <v>0</v>
      </c>
      <c r="AM2060">
        <v>0</v>
      </c>
      <c r="AN2060">
        <v>5.51</v>
      </c>
      <c r="AO2060">
        <v>0.14000000000000001</v>
      </c>
      <c r="AP2060">
        <v>48</v>
      </c>
      <c r="AQ2060">
        <v>0</v>
      </c>
      <c r="AR2060">
        <v>5.92</v>
      </c>
      <c r="AS2060">
        <v>62</v>
      </c>
      <c r="AT2060">
        <v>2.35</v>
      </c>
      <c r="AU2060">
        <v>77</v>
      </c>
      <c r="AV2060">
        <v>-2.19</v>
      </c>
      <c r="AW2060">
        <v>86</v>
      </c>
      <c r="AX2060">
        <v>1.48</v>
      </c>
      <c r="AY2060">
        <v>57</v>
      </c>
      <c r="AZ2060">
        <v>6.58</v>
      </c>
      <c r="BA2060">
        <v>38</v>
      </c>
      <c r="BB2060">
        <v>5</v>
      </c>
      <c r="BC2060">
        <v>43</v>
      </c>
      <c r="BD2060">
        <v>0.01</v>
      </c>
      <c r="BE2060">
        <v>0.04</v>
      </c>
      <c r="BF2060">
        <v>0.02</v>
      </c>
      <c r="BG2060">
        <v>88</v>
      </c>
      <c r="BH2060">
        <v>0.1</v>
      </c>
      <c r="BI2060">
        <v>-6.91</v>
      </c>
      <c r="BJ2060">
        <v>0</v>
      </c>
      <c r="BK2060">
        <v>0</v>
      </c>
      <c r="BL2060">
        <v>-0.39</v>
      </c>
      <c r="BM2060">
        <v>0.86</v>
      </c>
      <c r="BN2060">
        <v>-0.26</v>
      </c>
      <c r="BO2060">
        <v>-0.38</v>
      </c>
      <c r="BP2060">
        <v>0.35</v>
      </c>
      <c r="BQ2060">
        <v>1.76</v>
      </c>
      <c r="BR2060">
        <v>1.42</v>
      </c>
      <c r="BS2060">
        <v>-2.65</v>
      </c>
      <c r="BT2060">
        <v>-0.92</v>
      </c>
      <c r="BU2060">
        <v>0.43</v>
      </c>
      <c r="BV2060">
        <v>-0.1</v>
      </c>
      <c r="BW2060">
        <v>-0.2</v>
      </c>
      <c r="BX2060">
        <v>0</v>
      </c>
      <c r="BY2060">
        <v>-0.9</v>
      </c>
      <c r="BZ2060">
        <v>-2</v>
      </c>
      <c r="CA2060">
        <v>0.09</v>
      </c>
      <c r="CB2060">
        <v>0.37</v>
      </c>
      <c r="CC2060">
        <v>-2.08</v>
      </c>
      <c r="CD2060">
        <v>0.04</v>
      </c>
      <c r="CE2060">
        <v>0.18</v>
      </c>
      <c r="CF2060">
        <v>-0.02</v>
      </c>
      <c r="CG2060">
        <v>0</v>
      </c>
      <c r="CH2060">
        <v>-0.62</v>
      </c>
      <c r="CI2060">
        <v>0</v>
      </c>
      <c r="CJ2060">
        <v>-5.0999999999999996</v>
      </c>
      <c r="CK2060">
        <v>76</v>
      </c>
      <c r="CL2060">
        <v>-0.88</v>
      </c>
      <c r="CM2060">
        <v>71</v>
      </c>
      <c r="CN2060">
        <v>-0.42</v>
      </c>
      <c r="CO2060">
        <v>69</v>
      </c>
      <c r="CP2060">
        <v>-14.9</v>
      </c>
      <c r="CQ2060">
        <v>60</v>
      </c>
      <c r="CR2060">
        <v>0</v>
      </c>
      <c r="CS2060">
        <v>0</v>
      </c>
      <c r="CT2060">
        <v>2.2999999999999998</v>
      </c>
      <c r="CU2060">
        <v>60</v>
      </c>
      <c r="CV2060">
        <v>0.11</v>
      </c>
      <c r="CW2060">
        <v>41</v>
      </c>
      <c r="CX2060" t="s">
        <v>1360</v>
      </c>
    </row>
    <row r="2061" spans="1:102" x14ac:dyDescent="0.3">
      <c r="A2061" t="str">
        <f>HYPERLINK("https://webapp.icbf.com/v2/app/bull-search/view/77857876","FGE")</f>
        <v>FGE</v>
      </c>
      <c r="B2061" t="s">
        <v>14949</v>
      </c>
      <c r="C2061" t="s">
        <v>14950</v>
      </c>
      <c r="D2061" s="1">
        <v>33818</v>
      </c>
      <c r="E2061" t="s">
        <v>108</v>
      </c>
      <c r="F2061">
        <v>25</v>
      </c>
      <c r="G2061" t="s">
        <v>93</v>
      </c>
      <c r="H2061">
        <v>66.94</v>
      </c>
      <c r="I2061">
        <v>90</v>
      </c>
      <c r="J2061">
        <v>30.63</v>
      </c>
      <c r="K2061">
        <v>97</v>
      </c>
      <c r="L2061">
        <v>24.67</v>
      </c>
      <c r="M2061">
        <v>87</v>
      </c>
      <c r="N2061">
        <v>6.72</v>
      </c>
      <c r="O2061">
        <v>83</v>
      </c>
      <c r="P2061">
        <v>-20.77</v>
      </c>
      <c r="Q2061">
        <v>91</v>
      </c>
      <c r="R2061">
        <v>-5.63</v>
      </c>
      <c r="S2061">
        <v>82</v>
      </c>
      <c r="T2061">
        <v>22.93</v>
      </c>
      <c r="U2061">
        <v>92</v>
      </c>
      <c r="V2061">
        <v>8.39</v>
      </c>
      <c r="W2061">
        <v>78</v>
      </c>
      <c r="X2061" t="s">
        <v>302</v>
      </c>
      <c r="Y2061" t="s">
        <v>95</v>
      </c>
      <c r="Z2061" t="s">
        <v>96</v>
      </c>
      <c r="AA2061" t="s">
        <v>4293</v>
      </c>
      <c r="AB2061" t="s">
        <v>144</v>
      </c>
      <c r="AC2061">
        <v>136</v>
      </c>
      <c r="AD2061">
        <v>61</v>
      </c>
      <c r="AE2061">
        <v>97</v>
      </c>
      <c r="AF2061">
        <v>-101.09</v>
      </c>
      <c r="AG2061">
        <v>9.2799999999999994</v>
      </c>
      <c r="AH2061">
        <v>0.38</v>
      </c>
      <c r="AI2061">
        <v>0.23</v>
      </c>
      <c r="AJ2061">
        <v>7.0000000000000007E-2</v>
      </c>
      <c r="AK2061">
        <v>87</v>
      </c>
      <c r="AL2061">
        <v>160</v>
      </c>
      <c r="AM2061">
        <v>73</v>
      </c>
      <c r="AN2061">
        <v>-0.37</v>
      </c>
      <c r="AO2061">
        <v>1.61</v>
      </c>
      <c r="AP2061">
        <v>5</v>
      </c>
      <c r="AQ2061">
        <v>0</v>
      </c>
      <c r="AR2061">
        <v>5.15</v>
      </c>
      <c r="AS2061">
        <v>69</v>
      </c>
      <c r="AT2061">
        <v>2</v>
      </c>
      <c r="AU2061">
        <v>83</v>
      </c>
      <c r="AV2061">
        <v>0.45</v>
      </c>
      <c r="AW2061">
        <v>87</v>
      </c>
      <c r="AX2061">
        <v>0.81</v>
      </c>
      <c r="AY2061">
        <v>85</v>
      </c>
      <c r="AZ2061">
        <v>5.62</v>
      </c>
      <c r="BA2061">
        <v>68</v>
      </c>
      <c r="BB2061">
        <v>5.59</v>
      </c>
      <c r="BC2061">
        <v>78</v>
      </c>
      <c r="BD2061">
        <v>0.02</v>
      </c>
      <c r="BE2061">
        <v>0.04</v>
      </c>
      <c r="BF2061">
        <v>0.02</v>
      </c>
      <c r="BG2061">
        <v>89</v>
      </c>
      <c r="BH2061">
        <v>0.17</v>
      </c>
      <c r="BI2061">
        <v>-7.4</v>
      </c>
      <c r="BJ2061">
        <v>1</v>
      </c>
      <c r="BK2061">
        <v>1</v>
      </c>
      <c r="BL2061">
        <v>-2.33</v>
      </c>
      <c r="BM2061">
        <v>1.73</v>
      </c>
      <c r="BN2061">
        <v>-0.44</v>
      </c>
      <c r="BO2061">
        <v>-1.52</v>
      </c>
      <c r="BP2061">
        <v>-2.46</v>
      </c>
      <c r="BQ2061">
        <v>-1.87</v>
      </c>
      <c r="BR2061">
        <v>1.22</v>
      </c>
      <c r="BS2061">
        <v>-1.73</v>
      </c>
      <c r="BT2061">
        <v>-3.31</v>
      </c>
      <c r="BU2061">
        <v>-0.21</v>
      </c>
      <c r="BV2061">
        <v>-1.71</v>
      </c>
      <c r="BW2061">
        <v>-2.36</v>
      </c>
      <c r="BX2061">
        <v>-3.02</v>
      </c>
      <c r="BY2061">
        <v>-1.91</v>
      </c>
      <c r="BZ2061">
        <v>1.46</v>
      </c>
      <c r="CA2061">
        <v>-1.52</v>
      </c>
      <c r="CB2061">
        <v>-1.57</v>
      </c>
      <c r="CC2061">
        <v>-2.0299999999999998</v>
      </c>
      <c r="CD2061">
        <v>0.83</v>
      </c>
      <c r="CE2061">
        <v>-1.96</v>
      </c>
      <c r="CF2061">
        <v>-1.93</v>
      </c>
      <c r="CG2061">
        <v>0</v>
      </c>
      <c r="CH2061">
        <v>-2.16</v>
      </c>
      <c r="CI2061">
        <v>0</v>
      </c>
      <c r="CJ2061">
        <v>-10.6</v>
      </c>
      <c r="CK2061">
        <v>91</v>
      </c>
      <c r="CL2061">
        <v>-0.5</v>
      </c>
      <c r="CM2061">
        <v>90</v>
      </c>
      <c r="CN2061">
        <v>-0.22</v>
      </c>
      <c r="CO2061">
        <v>88</v>
      </c>
      <c r="CP2061">
        <v>-23.7</v>
      </c>
      <c r="CQ2061">
        <v>94</v>
      </c>
      <c r="CR2061">
        <v>0</v>
      </c>
      <c r="CS2061">
        <v>0</v>
      </c>
      <c r="CT2061">
        <v>-17.2</v>
      </c>
      <c r="CU2061">
        <v>92</v>
      </c>
      <c r="CV2061">
        <v>7.0000000000000007E-2</v>
      </c>
      <c r="CW2061">
        <v>44</v>
      </c>
      <c r="CX2061" t="s">
        <v>2844</v>
      </c>
    </row>
    <row r="2062" spans="1:102" x14ac:dyDescent="0.3">
      <c r="A2062" t="str">
        <f>HYPERLINK("https://webapp.icbf.com/v2/app/bull-search/view/327709799","KWO")</f>
        <v>KWO</v>
      </c>
      <c r="B2062" t="s">
        <v>11660</v>
      </c>
      <c r="C2062" t="s">
        <v>11661</v>
      </c>
      <c r="D2062" s="1">
        <v>38021</v>
      </c>
      <c r="E2062" t="s">
        <v>92</v>
      </c>
      <c r="F2062">
        <v>88</v>
      </c>
      <c r="G2062" t="s">
        <v>93</v>
      </c>
      <c r="H2062">
        <v>66.930000000000007</v>
      </c>
      <c r="I2062">
        <v>85</v>
      </c>
      <c r="J2062">
        <v>22.54</v>
      </c>
      <c r="K2062">
        <v>95</v>
      </c>
      <c r="L2062">
        <v>42.95</v>
      </c>
      <c r="M2062">
        <v>77</v>
      </c>
      <c r="N2062">
        <v>6.91</v>
      </c>
      <c r="O2062">
        <v>82</v>
      </c>
      <c r="P2062">
        <v>-6.16</v>
      </c>
      <c r="Q2062">
        <v>87</v>
      </c>
      <c r="R2062">
        <v>-10.25</v>
      </c>
      <c r="S2062">
        <v>79</v>
      </c>
      <c r="T2062">
        <v>8.35</v>
      </c>
      <c r="U2062">
        <v>87</v>
      </c>
      <c r="V2062">
        <v>2.59</v>
      </c>
      <c r="W2062">
        <v>76</v>
      </c>
      <c r="X2062" t="s">
        <v>11294</v>
      </c>
      <c r="Y2062" t="s">
        <v>1153</v>
      </c>
      <c r="Z2062" t="s">
        <v>96</v>
      </c>
      <c r="AA2062" t="s">
        <v>1109</v>
      </c>
      <c r="AB2062" t="s">
        <v>11662</v>
      </c>
      <c r="AC2062">
        <v>55</v>
      </c>
      <c r="AD2062">
        <v>45</v>
      </c>
      <c r="AE2062">
        <v>95</v>
      </c>
      <c r="AF2062">
        <v>-114.14</v>
      </c>
      <c r="AG2062">
        <v>2.4500000000000002</v>
      </c>
      <c r="AH2062">
        <v>1.22</v>
      </c>
      <c r="AI2062">
        <v>0.12</v>
      </c>
      <c r="AJ2062">
        <v>0.09</v>
      </c>
      <c r="AK2062">
        <v>77</v>
      </c>
      <c r="AL2062">
        <v>51</v>
      </c>
      <c r="AM2062">
        <v>38</v>
      </c>
      <c r="AN2062">
        <v>-1.19</v>
      </c>
      <c r="AO2062">
        <v>2.25</v>
      </c>
      <c r="AP2062">
        <v>108</v>
      </c>
      <c r="AQ2062">
        <v>1</v>
      </c>
      <c r="AR2062">
        <v>7.31</v>
      </c>
      <c r="AS2062">
        <v>67</v>
      </c>
      <c r="AT2062">
        <v>3.08</v>
      </c>
      <c r="AU2062">
        <v>84</v>
      </c>
      <c r="AV2062">
        <v>-0.33</v>
      </c>
      <c r="AW2062">
        <v>93</v>
      </c>
      <c r="AX2062">
        <v>0.01</v>
      </c>
      <c r="AY2062">
        <v>74</v>
      </c>
      <c r="AZ2062">
        <v>6</v>
      </c>
      <c r="BA2062">
        <v>62</v>
      </c>
      <c r="BB2062">
        <v>4.4800000000000004</v>
      </c>
      <c r="BC2062">
        <v>65</v>
      </c>
      <c r="BD2062">
        <v>0.04</v>
      </c>
      <c r="BE2062">
        <v>0.01</v>
      </c>
      <c r="BF2062">
        <v>0.15</v>
      </c>
      <c r="BG2062">
        <v>87</v>
      </c>
      <c r="BH2062">
        <v>0.11</v>
      </c>
      <c r="BI2062">
        <v>4.3600000000000003</v>
      </c>
      <c r="BJ2062">
        <v>33</v>
      </c>
      <c r="BK2062">
        <v>21</v>
      </c>
      <c r="BL2062">
        <v>0.12</v>
      </c>
      <c r="BM2062">
        <v>1.81</v>
      </c>
      <c r="BN2062">
        <v>0.57999999999999996</v>
      </c>
      <c r="BO2062">
        <v>-0.63</v>
      </c>
      <c r="BP2062">
        <v>3.6</v>
      </c>
      <c r="BQ2062">
        <v>-0.31</v>
      </c>
      <c r="BR2062">
        <v>-3.05</v>
      </c>
      <c r="BS2062">
        <v>2.39</v>
      </c>
      <c r="BT2062">
        <v>3</v>
      </c>
      <c r="BU2062">
        <v>-0.33</v>
      </c>
      <c r="BV2062">
        <v>-0.2</v>
      </c>
      <c r="BW2062">
        <v>0.28999999999999998</v>
      </c>
      <c r="BX2062">
        <v>-1.19</v>
      </c>
      <c r="BY2062">
        <v>-0.25</v>
      </c>
      <c r="BZ2062">
        <v>0.62</v>
      </c>
      <c r="CA2062">
        <v>0.35</v>
      </c>
      <c r="CB2062">
        <v>-0.2</v>
      </c>
      <c r="CC2062">
        <v>1.32</v>
      </c>
      <c r="CD2062">
        <v>1.0900000000000001</v>
      </c>
      <c r="CE2062">
        <v>-0.56000000000000005</v>
      </c>
      <c r="CF2062">
        <v>0.36</v>
      </c>
      <c r="CG2062">
        <v>0</v>
      </c>
      <c r="CH2062">
        <v>0.63</v>
      </c>
      <c r="CI2062">
        <v>0</v>
      </c>
      <c r="CJ2062">
        <v>-0.2</v>
      </c>
      <c r="CK2062">
        <v>88</v>
      </c>
      <c r="CL2062">
        <v>-0.49</v>
      </c>
      <c r="CM2062">
        <v>85</v>
      </c>
      <c r="CN2062">
        <v>-0.01</v>
      </c>
      <c r="CO2062">
        <v>83</v>
      </c>
      <c r="CP2062">
        <v>-6.3</v>
      </c>
      <c r="CQ2062">
        <v>86</v>
      </c>
      <c r="CR2062">
        <v>0</v>
      </c>
      <c r="CS2062">
        <v>0</v>
      </c>
      <c r="CT2062">
        <v>2.5</v>
      </c>
      <c r="CU2062">
        <v>87</v>
      </c>
      <c r="CV2062">
        <v>0.13</v>
      </c>
      <c r="CW2062">
        <v>43</v>
      </c>
      <c r="CX2062" t="s">
        <v>753</v>
      </c>
    </row>
    <row r="2063" spans="1:102" x14ac:dyDescent="0.3">
      <c r="A2063" t="str">
        <f>HYPERLINK("https://webapp.icbf.com/v2/app/bull-search/view/1150886840","FR2293")</f>
        <v>FR2293</v>
      </c>
      <c r="B2063" t="s">
        <v>6018</v>
      </c>
      <c r="C2063" t="s">
        <v>6019</v>
      </c>
      <c r="D2063" s="1">
        <v>40672</v>
      </c>
      <c r="E2063" t="s">
        <v>92</v>
      </c>
      <c r="F2063">
        <v>100</v>
      </c>
      <c r="G2063" t="s">
        <v>109</v>
      </c>
      <c r="H2063">
        <v>66.92</v>
      </c>
      <c r="I2063">
        <v>74</v>
      </c>
      <c r="J2063">
        <v>75.12</v>
      </c>
      <c r="K2063">
        <v>89</v>
      </c>
      <c r="L2063">
        <v>-29.17</v>
      </c>
      <c r="M2063">
        <v>74</v>
      </c>
      <c r="N2063">
        <v>24.3</v>
      </c>
      <c r="O2063">
        <v>68</v>
      </c>
      <c r="P2063">
        <v>-14.69</v>
      </c>
      <c r="Q2063">
        <v>57</v>
      </c>
      <c r="R2063">
        <v>1.78</v>
      </c>
      <c r="S2063">
        <v>67</v>
      </c>
      <c r="T2063">
        <v>15.9</v>
      </c>
      <c r="U2063">
        <v>46</v>
      </c>
      <c r="V2063">
        <v>-6.32</v>
      </c>
      <c r="W2063">
        <v>51</v>
      </c>
      <c r="X2063" t="s">
        <v>102</v>
      </c>
      <c r="Y2063" t="s">
        <v>1923</v>
      </c>
      <c r="Z2063" t="s">
        <v>96</v>
      </c>
      <c r="AA2063" t="s">
        <v>6020</v>
      </c>
      <c r="AB2063" t="s">
        <v>6021</v>
      </c>
      <c r="AC2063">
        <v>0</v>
      </c>
      <c r="AD2063">
        <v>0</v>
      </c>
      <c r="AE2063">
        <v>89</v>
      </c>
      <c r="AF2063">
        <v>431.66</v>
      </c>
      <c r="AG2063">
        <v>13.69</v>
      </c>
      <c r="AH2063">
        <v>14.54</v>
      </c>
      <c r="AI2063">
        <v>-0.05</v>
      </c>
      <c r="AJ2063">
        <v>0</v>
      </c>
      <c r="AK2063">
        <v>74</v>
      </c>
      <c r="AL2063">
        <v>0</v>
      </c>
      <c r="AM2063">
        <v>0</v>
      </c>
      <c r="AN2063">
        <v>2.83</v>
      </c>
      <c r="AO2063">
        <v>0.52</v>
      </c>
      <c r="AP2063">
        <v>33</v>
      </c>
      <c r="AQ2063">
        <v>0</v>
      </c>
      <c r="AR2063">
        <v>7.3</v>
      </c>
      <c r="AS2063">
        <v>55</v>
      </c>
      <c r="AT2063">
        <v>3.28</v>
      </c>
      <c r="AU2063">
        <v>81</v>
      </c>
      <c r="AV2063">
        <v>-3.34</v>
      </c>
      <c r="AW2063">
        <v>78</v>
      </c>
      <c r="AX2063">
        <v>-0.27</v>
      </c>
      <c r="AY2063">
        <v>58</v>
      </c>
      <c r="AZ2063">
        <v>6.63</v>
      </c>
      <c r="BA2063">
        <v>43</v>
      </c>
      <c r="BB2063">
        <v>5.41</v>
      </c>
      <c r="BC2063">
        <v>36</v>
      </c>
      <c r="BD2063">
        <v>0</v>
      </c>
      <c r="BE2063">
        <v>0.01</v>
      </c>
      <c r="BF2063">
        <v>-0.06</v>
      </c>
      <c r="BG2063">
        <v>85</v>
      </c>
      <c r="BH2063">
        <v>-0.19</v>
      </c>
      <c r="BI2063">
        <v>-1.6</v>
      </c>
      <c r="BJ2063">
        <v>1</v>
      </c>
      <c r="BK2063">
        <v>1</v>
      </c>
      <c r="BL2063">
        <v>-1.02</v>
      </c>
      <c r="BM2063">
        <v>-1.1599999999999999</v>
      </c>
      <c r="BN2063">
        <v>-0.6</v>
      </c>
      <c r="BO2063">
        <v>-0.27</v>
      </c>
      <c r="BP2063">
        <v>-0.06</v>
      </c>
      <c r="BQ2063">
        <v>-1.53</v>
      </c>
      <c r="BR2063">
        <v>0.21</v>
      </c>
      <c r="BS2063">
        <v>1</v>
      </c>
      <c r="BT2063">
        <v>-0.76</v>
      </c>
      <c r="BU2063">
        <v>-0.26</v>
      </c>
      <c r="BV2063">
        <v>-0.22</v>
      </c>
      <c r="BW2063">
        <v>-0.97</v>
      </c>
      <c r="BX2063">
        <v>-1.1499999999999999</v>
      </c>
      <c r="BY2063">
        <v>-0.02</v>
      </c>
      <c r="BZ2063">
        <v>0.48</v>
      </c>
      <c r="CA2063">
        <v>0.1</v>
      </c>
      <c r="CB2063">
        <v>0.1</v>
      </c>
      <c r="CC2063">
        <v>0.48</v>
      </c>
      <c r="CD2063">
        <v>0.02</v>
      </c>
      <c r="CE2063">
        <v>0.72</v>
      </c>
      <c r="CF2063">
        <v>-0.52</v>
      </c>
      <c r="CG2063">
        <v>0</v>
      </c>
      <c r="CH2063">
        <v>0.75</v>
      </c>
      <c r="CI2063">
        <v>0</v>
      </c>
      <c r="CJ2063">
        <v>-5.5</v>
      </c>
      <c r="CK2063">
        <v>59</v>
      </c>
      <c r="CL2063">
        <v>-0.72</v>
      </c>
      <c r="CM2063">
        <v>56</v>
      </c>
      <c r="CN2063">
        <v>-0.17</v>
      </c>
      <c r="CO2063">
        <v>55</v>
      </c>
      <c r="CP2063">
        <v>-11.1</v>
      </c>
      <c r="CQ2063">
        <v>48</v>
      </c>
      <c r="CR2063">
        <v>0</v>
      </c>
      <c r="CS2063">
        <v>0</v>
      </c>
      <c r="CT2063">
        <v>-7.7</v>
      </c>
      <c r="CU2063">
        <v>46</v>
      </c>
      <c r="CV2063">
        <v>0.17</v>
      </c>
      <c r="CW2063">
        <v>37</v>
      </c>
      <c r="CX2063" t="s">
        <v>6022</v>
      </c>
    </row>
    <row r="2064" spans="1:102" x14ac:dyDescent="0.3">
      <c r="A2064" t="str">
        <f>HYPERLINK("https://webapp.icbf.com/v2/app/bull-search/view/69092050","JWH")</f>
        <v>JWH</v>
      </c>
      <c r="B2064" t="s">
        <v>10537</v>
      </c>
      <c r="C2064" t="s">
        <v>10538</v>
      </c>
      <c r="D2064" s="1">
        <v>34920</v>
      </c>
      <c r="E2064" t="s">
        <v>108</v>
      </c>
      <c r="F2064">
        <v>47</v>
      </c>
      <c r="G2064" t="s">
        <v>93</v>
      </c>
      <c r="H2064">
        <v>66.790000000000006</v>
      </c>
      <c r="I2064">
        <v>93</v>
      </c>
      <c r="J2064">
        <v>36.200000000000003</v>
      </c>
      <c r="K2064">
        <v>98</v>
      </c>
      <c r="L2064">
        <v>29.44</v>
      </c>
      <c r="M2064">
        <v>90</v>
      </c>
      <c r="N2064">
        <v>22.04</v>
      </c>
      <c r="O2064">
        <v>90</v>
      </c>
      <c r="P2064">
        <v>-28.75</v>
      </c>
      <c r="Q2064">
        <v>97</v>
      </c>
      <c r="R2064">
        <v>-16.66</v>
      </c>
      <c r="S2064">
        <v>89</v>
      </c>
      <c r="T2064">
        <v>30.85</v>
      </c>
      <c r="U2064">
        <v>94</v>
      </c>
      <c r="V2064">
        <v>-6.33</v>
      </c>
      <c r="W2064">
        <v>88</v>
      </c>
      <c r="X2064" t="s">
        <v>302</v>
      </c>
      <c r="Y2064" t="s">
        <v>95</v>
      </c>
      <c r="Z2064" t="s">
        <v>96</v>
      </c>
      <c r="AA2064" t="s">
        <v>1089</v>
      </c>
      <c r="AB2064" t="s">
        <v>10539</v>
      </c>
      <c r="AC2064">
        <v>253</v>
      </c>
      <c r="AD2064">
        <v>107</v>
      </c>
      <c r="AE2064">
        <v>98</v>
      </c>
      <c r="AF2064">
        <v>-79.5</v>
      </c>
      <c r="AG2064">
        <v>10.29</v>
      </c>
      <c r="AH2064">
        <v>1.3</v>
      </c>
      <c r="AI2064">
        <v>0.24</v>
      </c>
      <c r="AJ2064">
        <v>7.0000000000000007E-2</v>
      </c>
      <c r="AK2064">
        <v>90</v>
      </c>
      <c r="AL2064">
        <v>278</v>
      </c>
      <c r="AM2064">
        <v>100</v>
      </c>
      <c r="AN2064">
        <v>-1.44</v>
      </c>
      <c r="AO2064">
        <v>0.91</v>
      </c>
      <c r="AP2064">
        <v>245</v>
      </c>
      <c r="AQ2064">
        <v>0</v>
      </c>
      <c r="AR2064">
        <v>5.19</v>
      </c>
      <c r="AS2064">
        <v>77</v>
      </c>
      <c r="AT2064">
        <v>1.76</v>
      </c>
      <c r="AU2064">
        <v>92</v>
      </c>
      <c r="AV2064">
        <v>-1.35</v>
      </c>
      <c r="AW2064">
        <v>94</v>
      </c>
      <c r="AX2064">
        <v>0.62</v>
      </c>
      <c r="AY2064">
        <v>91</v>
      </c>
      <c r="AZ2064">
        <v>5.81</v>
      </c>
      <c r="BA2064">
        <v>77</v>
      </c>
      <c r="BB2064">
        <v>5.69</v>
      </c>
      <c r="BC2064">
        <v>83</v>
      </c>
      <c r="BD2064">
        <v>0</v>
      </c>
      <c r="BE2064">
        <v>7.0000000000000007E-2</v>
      </c>
      <c r="BF2064">
        <v>0.25</v>
      </c>
      <c r="BG2064">
        <v>95</v>
      </c>
      <c r="BH2064">
        <v>0.01</v>
      </c>
      <c r="BI2064">
        <v>21.59</v>
      </c>
      <c r="BJ2064">
        <v>3</v>
      </c>
      <c r="BK2064">
        <v>2</v>
      </c>
      <c r="BL2064">
        <v>-0.97</v>
      </c>
      <c r="BM2064">
        <v>-0.68</v>
      </c>
      <c r="BN2064">
        <v>-2.21</v>
      </c>
      <c r="BO2064">
        <v>-1.1599999999999999</v>
      </c>
      <c r="BP2064">
        <v>-0.27</v>
      </c>
      <c r="BQ2064">
        <v>-2.5</v>
      </c>
      <c r="BR2064">
        <v>0.27</v>
      </c>
      <c r="BS2064">
        <v>-2.98</v>
      </c>
      <c r="BT2064">
        <v>-1.03</v>
      </c>
      <c r="BU2064">
        <v>-2.64</v>
      </c>
      <c r="BV2064">
        <v>-1.54</v>
      </c>
      <c r="BW2064">
        <v>-1.9</v>
      </c>
      <c r="BX2064">
        <v>0.01</v>
      </c>
      <c r="BY2064">
        <v>-1.28</v>
      </c>
      <c r="BZ2064">
        <v>2.44</v>
      </c>
      <c r="CA2064">
        <v>-1.99</v>
      </c>
      <c r="CB2064">
        <v>-1.99</v>
      </c>
      <c r="CC2064">
        <v>-2.48</v>
      </c>
      <c r="CD2064">
        <v>0.5</v>
      </c>
      <c r="CE2064">
        <v>-1.1599999999999999</v>
      </c>
      <c r="CF2064">
        <v>-1.43</v>
      </c>
      <c r="CG2064">
        <v>0</v>
      </c>
      <c r="CH2064">
        <v>-1.32</v>
      </c>
      <c r="CI2064">
        <v>0</v>
      </c>
      <c r="CJ2064">
        <v>-12.8</v>
      </c>
      <c r="CK2064">
        <v>97</v>
      </c>
      <c r="CL2064">
        <v>-0.78</v>
      </c>
      <c r="CM2064">
        <v>96</v>
      </c>
      <c r="CN2064">
        <v>-0.03</v>
      </c>
      <c r="CO2064">
        <v>96</v>
      </c>
      <c r="CP2064">
        <v>-22.6</v>
      </c>
      <c r="CQ2064">
        <v>96</v>
      </c>
      <c r="CR2064">
        <v>0</v>
      </c>
      <c r="CS2064">
        <v>0</v>
      </c>
      <c r="CT2064">
        <v>-27.9</v>
      </c>
      <c r="CU2064">
        <v>94</v>
      </c>
      <c r="CV2064">
        <v>7.0000000000000007E-2</v>
      </c>
      <c r="CW2064">
        <v>45</v>
      </c>
      <c r="CX2064" t="s">
        <v>4295</v>
      </c>
    </row>
    <row r="2065" spans="1:102" x14ac:dyDescent="0.3">
      <c r="A2065" t="str">
        <f>HYPERLINK("https://webapp.icbf.com/v2/app/bull-search/view/495513677","URP")</f>
        <v>URP</v>
      </c>
      <c r="B2065" t="s">
        <v>9611</v>
      </c>
      <c r="C2065" t="s">
        <v>9612</v>
      </c>
      <c r="D2065" s="1">
        <v>37425</v>
      </c>
      <c r="E2065" t="s">
        <v>92</v>
      </c>
      <c r="F2065">
        <v>100</v>
      </c>
      <c r="G2065" t="s">
        <v>109</v>
      </c>
      <c r="H2065">
        <v>66.75</v>
      </c>
      <c r="I2065">
        <v>88</v>
      </c>
      <c r="J2065">
        <v>33.200000000000003</v>
      </c>
      <c r="K2065">
        <v>95</v>
      </c>
      <c r="L2065">
        <v>-9.16</v>
      </c>
      <c r="M2065">
        <v>88</v>
      </c>
      <c r="N2065">
        <v>36.64</v>
      </c>
      <c r="O2065">
        <v>83</v>
      </c>
      <c r="P2065">
        <v>-0.77</v>
      </c>
      <c r="Q2065">
        <v>89</v>
      </c>
      <c r="R2065">
        <v>6.09</v>
      </c>
      <c r="S2065">
        <v>79</v>
      </c>
      <c r="T2065">
        <v>4.43</v>
      </c>
      <c r="U2065">
        <v>76</v>
      </c>
      <c r="V2065">
        <v>-3.68</v>
      </c>
      <c r="W2065">
        <v>68</v>
      </c>
      <c r="X2065" t="s">
        <v>94</v>
      </c>
      <c r="Y2065" t="s">
        <v>270</v>
      </c>
      <c r="Z2065" t="s">
        <v>96</v>
      </c>
      <c r="AA2065" t="s">
        <v>2441</v>
      </c>
      <c r="AB2065" t="s">
        <v>9613</v>
      </c>
      <c r="AC2065">
        <v>31</v>
      </c>
      <c r="AD2065">
        <v>15</v>
      </c>
      <c r="AE2065">
        <v>95</v>
      </c>
      <c r="AF2065">
        <v>151.76</v>
      </c>
      <c r="AG2065">
        <v>4.38</v>
      </c>
      <c r="AH2065">
        <v>6.42</v>
      </c>
      <c r="AI2065">
        <v>-0.03</v>
      </c>
      <c r="AJ2065">
        <v>0.02</v>
      </c>
      <c r="AK2065">
        <v>88</v>
      </c>
      <c r="AL2065">
        <v>43</v>
      </c>
      <c r="AM2065">
        <v>23</v>
      </c>
      <c r="AN2065">
        <v>1.3</v>
      </c>
      <c r="AO2065">
        <v>0.57999999999999996</v>
      </c>
      <c r="AP2065">
        <v>94</v>
      </c>
      <c r="AQ2065">
        <v>1</v>
      </c>
      <c r="AR2065">
        <v>6.6</v>
      </c>
      <c r="AS2065">
        <v>79</v>
      </c>
      <c r="AT2065">
        <v>2.73</v>
      </c>
      <c r="AU2065">
        <v>90</v>
      </c>
      <c r="AV2065">
        <v>-3.73</v>
      </c>
      <c r="AW2065">
        <v>92</v>
      </c>
      <c r="AX2065">
        <v>-0.01</v>
      </c>
      <c r="AY2065">
        <v>73</v>
      </c>
      <c r="AZ2065">
        <v>6.09</v>
      </c>
      <c r="BA2065">
        <v>56</v>
      </c>
      <c r="BB2065">
        <v>4.8600000000000003</v>
      </c>
      <c r="BC2065">
        <v>61</v>
      </c>
      <c r="BD2065">
        <v>-0.03</v>
      </c>
      <c r="BE2065">
        <v>0</v>
      </c>
      <c r="BF2065">
        <v>-0.09</v>
      </c>
      <c r="BG2065">
        <v>92</v>
      </c>
      <c r="BH2065">
        <v>-0.08</v>
      </c>
      <c r="BI2065">
        <v>2.63</v>
      </c>
      <c r="BJ2065">
        <v>4</v>
      </c>
      <c r="BK2065">
        <v>3</v>
      </c>
      <c r="BL2065">
        <v>-0.01</v>
      </c>
      <c r="BM2065">
        <v>-1.1100000000000001</v>
      </c>
      <c r="BN2065">
        <v>-1.1499999999999999</v>
      </c>
      <c r="BO2065">
        <v>-0.11</v>
      </c>
      <c r="BP2065">
        <v>-1.32</v>
      </c>
      <c r="BQ2065">
        <v>-0.19</v>
      </c>
      <c r="BR2065">
        <v>-1.25</v>
      </c>
      <c r="BS2065">
        <v>1.26</v>
      </c>
      <c r="BT2065">
        <v>1.49</v>
      </c>
      <c r="BU2065">
        <v>-0.45</v>
      </c>
      <c r="BV2065">
        <v>0.13</v>
      </c>
      <c r="BW2065">
        <v>-0.28999999999999998</v>
      </c>
      <c r="BX2065">
        <v>0.64</v>
      </c>
      <c r="BY2065">
        <v>-0.92</v>
      </c>
      <c r="BZ2065">
        <v>0.92</v>
      </c>
      <c r="CA2065">
        <v>0.33</v>
      </c>
      <c r="CB2065">
        <v>-0.14000000000000001</v>
      </c>
      <c r="CC2065">
        <v>0.96</v>
      </c>
      <c r="CD2065">
        <v>-0.19</v>
      </c>
      <c r="CE2065">
        <v>0.47</v>
      </c>
      <c r="CF2065">
        <v>-0.56000000000000005</v>
      </c>
      <c r="CG2065">
        <v>0</v>
      </c>
      <c r="CH2065">
        <v>-0.93</v>
      </c>
      <c r="CI2065">
        <v>0</v>
      </c>
      <c r="CJ2065">
        <v>0.5</v>
      </c>
      <c r="CK2065">
        <v>90</v>
      </c>
      <c r="CL2065">
        <v>-0.69</v>
      </c>
      <c r="CM2065">
        <v>88</v>
      </c>
      <c r="CN2065">
        <v>-0.49</v>
      </c>
      <c r="CO2065">
        <v>87</v>
      </c>
      <c r="CP2065">
        <v>-0.5</v>
      </c>
      <c r="CQ2065">
        <v>82</v>
      </c>
      <c r="CR2065">
        <v>0</v>
      </c>
      <c r="CS2065">
        <v>0</v>
      </c>
      <c r="CT2065">
        <v>7.8</v>
      </c>
      <c r="CU2065">
        <v>76</v>
      </c>
      <c r="CV2065">
        <v>0.11</v>
      </c>
      <c r="CW2065">
        <v>44</v>
      </c>
      <c r="CX2065" t="s">
        <v>1233</v>
      </c>
    </row>
    <row r="2066" spans="1:102" x14ac:dyDescent="0.3">
      <c r="A2066" t="str">
        <f>HYPERLINK("https://webapp.icbf.com/v2/app/bull-search/view/496044606","SYV")</f>
        <v>SYV</v>
      </c>
      <c r="B2066" t="s">
        <v>8201</v>
      </c>
      <c r="C2066" t="s">
        <v>8202</v>
      </c>
      <c r="D2066" s="1">
        <v>39114</v>
      </c>
      <c r="E2066" t="s">
        <v>92</v>
      </c>
      <c r="F2066">
        <v>94</v>
      </c>
      <c r="G2066" t="s">
        <v>116</v>
      </c>
      <c r="H2066">
        <v>66.709999999999994</v>
      </c>
      <c r="I2066">
        <v>38</v>
      </c>
      <c r="J2066">
        <v>12.44</v>
      </c>
      <c r="K2066">
        <v>46</v>
      </c>
      <c r="L2066">
        <v>44.47</v>
      </c>
      <c r="M2066">
        <v>35</v>
      </c>
      <c r="N2066">
        <v>3.53</v>
      </c>
      <c r="O2066">
        <v>30</v>
      </c>
      <c r="P2066">
        <v>-3.49</v>
      </c>
      <c r="Q2066">
        <v>37</v>
      </c>
      <c r="R2066">
        <v>-4.3600000000000003</v>
      </c>
      <c r="S2066">
        <v>37</v>
      </c>
      <c r="T2066">
        <v>12.01</v>
      </c>
      <c r="U2066">
        <v>36</v>
      </c>
      <c r="V2066">
        <v>2.11</v>
      </c>
      <c r="W2066">
        <v>33</v>
      </c>
      <c r="X2066" t="s">
        <v>94</v>
      </c>
      <c r="Y2066" t="s">
        <v>1374</v>
      </c>
      <c r="Z2066" t="s">
        <v>96</v>
      </c>
      <c r="AA2066" t="s">
        <v>1406</v>
      </c>
      <c r="AB2066" t="s">
        <v>8203</v>
      </c>
      <c r="AC2066">
        <v>0</v>
      </c>
      <c r="AD2066">
        <v>0</v>
      </c>
      <c r="AE2066">
        <v>46</v>
      </c>
      <c r="AF2066">
        <v>-1.96</v>
      </c>
      <c r="AG2066">
        <v>0.64</v>
      </c>
      <c r="AH2066">
        <v>1.86</v>
      </c>
      <c r="AI2066">
        <v>0.01</v>
      </c>
      <c r="AJ2066">
        <v>0.04</v>
      </c>
      <c r="AK2066">
        <v>35</v>
      </c>
      <c r="AL2066">
        <v>0</v>
      </c>
      <c r="AM2066">
        <v>0</v>
      </c>
      <c r="AN2066">
        <v>-2.14</v>
      </c>
      <c r="AO2066">
        <v>1.41</v>
      </c>
      <c r="AP2066">
        <v>0</v>
      </c>
      <c r="AQ2066">
        <v>3</v>
      </c>
      <c r="AR2066">
        <v>7.95</v>
      </c>
      <c r="AS2066">
        <v>29</v>
      </c>
      <c r="AT2066">
        <v>3.19</v>
      </c>
      <c r="AU2066">
        <v>30</v>
      </c>
      <c r="AV2066">
        <v>-1.05</v>
      </c>
      <c r="AW2066">
        <v>31</v>
      </c>
      <c r="AX2066">
        <v>-0.1</v>
      </c>
      <c r="AY2066">
        <v>32</v>
      </c>
      <c r="AZ2066">
        <v>7.06</v>
      </c>
      <c r="BA2066">
        <v>29</v>
      </c>
      <c r="BB2066">
        <v>5.51</v>
      </c>
      <c r="BC2066">
        <v>29</v>
      </c>
      <c r="BD2066">
        <v>0.02</v>
      </c>
      <c r="BE2066">
        <v>0.03</v>
      </c>
      <c r="BF2066">
        <v>0.01</v>
      </c>
      <c r="BG2066">
        <v>38</v>
      </c>
      <c r="BH2066">
        <v>7.0000000000000007E-2</v>
      </c>
      <c r="BI2066">
        <v>1.3</v>
      </c>
      <c r="BJ2066">
        <v>0</v>
      </c>
      <c r="BK2066">
        <v>0</v>
      </c>
      <c r="BL2066">
        <v>-0.2</v>
      </c>
      <c r="BM2066">
        <v>0.48</v>
      </c>
      <c r="BN2066">
        <v>-0.4</v>
      </c>
      <c r="BO2066">
        <v>-0.42</v>
      </c>
      <c r="BP2066">
        <v>1.06</v>
      </c>
      <c r="BQ2066">
        <v>0.23</v>
      </c>
      <c r="BR2066">
        <v>0.48</v>
      </c>
      <c r="BS2066">
        <v>-1.02</v>
      </c>
      <c r="BT2066">
        <v>-0.04</v>
      </c>
      <c r="BU2066">
        <v>-0.47</v>
      </c>
      <c r="BV2066">
        <v>-0.22</v>
      </c>
      <c r="BW2066">
        <v>-0.04</v>
      </c>
      <c r="BX2066">
        <v>-0.51</v>
      </c>
      <c r="BY2066">
        <v>0.83</v>
      </c>
      <c r="BZ2066">
        <v>-0.56999999999999995</v>
      </c>
      <c r="CA2066">
        <v>-0.49</v>
      </c>
      <c r="CB2066">
        <v>-0.1</v>
      </c>
      <c r="CC2066">
        <v>-1.08</v>
      </c>
      <c r="CD2066">
        <v>0.43</v>
      </c>
      <c r="CE2066">
        <v>-0.33</v>
      </c>
      <c r="CF2066">
        <v>-0.19</v>
      </c>
      <c r="CG2066">
        <v>0</v>
      </c>
      <c r="CH2066">
        <v>0.87</v>
      </c>
      <c r="CI2066">
        <v>0</v>
      </c>
      <c r="CJ2066">
        <v>0.3</v>
      </c>
      <c r="CK2066">
        <v>37</v>
      </c>
      <c r="CL2066">
        <v>-0.52</v>
      </c>
      <c r="CM2066">
        <v>37</v>
      </c>
      <c r="CN2066">
        <v>-0.23</v>
      </c>
      <c r="CO2066">
        <v>35</v>
      </c>
      <c r="CP2066">
        <v>-8.1999999999999993</v>
      </c>
      <c r="CQ2066">
        <v>39</v>
      </c>
      <c r="CR2066">
        <v>0</v>
      </c>
      <c r="CS2066">
        <v>0</v>
      </c>
      <c r="CT2066">
        <v>-2.4500000000000002</v>
      </c>
      <c r="CU2066">
        <v>36</v>
      </c>
      <c r="CV2066">
        <v>0.13</v>
      </c>
      <c r="CW2066">
        <v>15</v>
      </c>
      <c r="CX2066" t="s">
        <v>2775</v>
      </c>
    </row>
    <row r="2067" spans="1:102" x14ac:dyDescent="0.3">
      <c r="A2067" t="str">
        <f>HYPERLINK("https://webapp.icbf.com/v2/app/bull-search/view/77853763","SEJ")</f>
        <v>SEJ</v>
      </c>
      <c r="B2067" t="s">
        <v>3560</v>
      </c>
      <c r="C2067" t="s">
        <v>3561</v>
      </c>
      <c r="D2067" s="1">
        <v>32922</v>
      </c>
      <c r="E2067" t="s">
        <v>108</v>
      </c>
      <c r="F2067">
        <v>0</v>
      </c>
      <c r="G2067" t="s">
        <v>93</v>
      </c>
      <c r="H2067">
        <v>66.67</v>
      </c>
      <c r="I2067">
        <v>91</v>
      </c>
      <c r="J2067">
        <v>-47.38</v>
      </c>
      <c r="K2067">
        <v>98</v>
      </c>
      <c r="L2067">
        <v>75.989999999999995</v>
      </c>
      <c r="M2067">
        <v>86</v>
      </c>
      <c r="N2067">
        <v>27.42</v>
      </c>
      <c r="O2067">
        <v>86</v>
      </c>
      <c r="P2067">
        <v>-6.35</v>
      </c>
      <c r="Q2067">
        <v>96</v>
      </c>
      <c r="R2067">
        <v>-9.2899999999999991</v>
      </c>
      <c r="S2067">
        <v>87</v>
      </c>
      <c r="T2067">
        <v>21.23</v>
      </c>
      <c r="U2067">
        <v>89</v>
      </c>
      <c r="V2067">
        <v>5.05</v>
      </c>
      <c r="W2067">
        <v>84</v>
      </c>
      <c r="X2067" t="s">
        <v>94</v>
      </c>
      <c r="Y2067" t="s">
        <v>95</v>
      </c>
      <c r="Z2067" t="s">
        <v>96</v>
      </c>
      <c r="AA2067" t="s">
        <v>3562</v>
      </c>
      <c r="AB2067" t="s">
        <v>3563</v>
      </c>
      <c r="AC2067">
        <v>188</v>
      </c>
      <c r="AD2067">
        <v>85</v>
      </c>
      <c r="AE2067">
        <v>98</v>
      </c>
      <c r="AF2067">
        <v>-259.62</v>
      </c>
      <c r="AG2067">
        <v>-9.2200000000000006</v>
      </c>
      <c r="AH2067">
        <v>-8.77</v>
      </c>
      <c r="AI2067">
        <v>0.02</v>
      </c>
      <c r="AJ2067">
        <v>0</v>
      </c>
      <c r="AK2067">
        <v>86</v>
      </c>
      <c r="AL2067">
        <v>302</v>
      </c>
      <c r="AM2067">
        <v>154</v>
      </c>
      <c r="AN2067">
        <v>-4.95</v>
      </c>
      <c r="AO2067">
        <v>1.1000000000000001</v>
      </c>
      <c r="AP2067">
        <v>60</v>
      </c>
      <c r="AQ2067">
        <v>1</v>
      </c>
      <c r="AR2067">
        <v>4.33</v>
      </c>
      <c r="AS2067">
        <v>72</v>
      </c>
      <c r="AT2067">
        <v>1.85</v>
      </c>
      <c r="AU2067">
        <v>84</v>
      </c>
      <c r="AV2067">
        <v>-2.64</v>
      </c>
      <c r="AW2067">
        <v>93</v>
      </c>
      <c r="AX2067">
        <v>0.19</v>
      </c>
      <c r="AY2067">
        <v>90</v>
      </c>
      <c r="AZ2067">
        <v>7.71</v>
      </c>
      <c r="BA2067">
        <v>68</v>
      </c>
      <c r="BB2067">
        <v>6.36</v>
      </c>
      <c r="BC2067">
        <v>79</v>
      </c>
      <c r="BD2067">
        <v>0.04</v>
      </c>
      <c r="BE2067">
        <v>0.03</v>
      </c>
      <c r="BF2067">
        <v>0.09</v>
      </c>
      <c r="BG2067">
        <v>94</v>
      </c>
      <c r="BH2067">
        <v>0.19</v>
      </c>
      <c r="BI2067">
        <v>5.68</v>
      </c>
      <c r="BJ2067">
        <v>9</v>
      </c>
      <c r="BK2067">
        <v>8</v>
      </c>
      <c r="BL2067">
        <v>-3.44</v>
      </c>
      <c r="BM2067">
        <v>0.9</v>
      </c>
      <c r="BN2067">
        <v>-3.04</v>
      </c>
      <c r="BO2067">
        <v>-2.84</v>
      </c>
      <c r="BP2067">
        <v>-0.8</v>
      </c>
      <c r="BQ2067">
        <v>1.92</v>
      </c>
      <c r="BR2067">
        <v>-2.0099999999999998</v>
      </c>
      <c r="BS2067">
        <v>-1.79</v>
      </c>
      <c r="BT2067">
        <v>0.47</v>
      </c>
      <c r="BU2067">
        <v>-3.72</v>
      </c>
      <c r="BV2067">
        <v>-3.16</v>
      </c>
      <c r="BW2067">
        <v>-2.66</v>
      </c>
      <c r="BX2067">
        <v>-1.79</v>
      </c>
      <c r="BY2067">
        <v>-1.94</v>
      </c>
      <c r="BZ2067">
        <v>-1.23</v>
      </c>
      <c r="CA2067">
        <v>-2.77</v>
      </c>
      <c r="CB2067">
        <v>-3.33</v>
      </c>
      <c r="CC2067">
        <v>-1.61</v>
      </c>
      <c r="CD2067">
        <v>1.98</v>
      </c>
      <c r="CE2067">
        <v>-2.64</v>
      </c>
      <c r="CF2067">
        <v>-2.4500000000000002</v>
      </c>
      <c r="CG2067">
        <v>0</v>
      </c>
      <c r="CH2067">
        <v>-1.47</v>
      </c>
      <c r="CI2067">
        <v>0</v>
      </c>
      <c r="CJ2067">
        <v>-3.5</v>
      </c>
      <c r="CK2067">
        <v>97</v>
      </c>
      <c r="CL2067">
        <v>0.1</v>
      </c>
      <c r="CM2067">
        <v>96</v>
      </c>
      <c r="CN2067">
        <v>0.03</v>
      </c>
      <c r="CO2067">
        <v>95</v>
      </c>
      <c r="CP2067">
        <v>-14.7</v>
      </c>
      <c r="CQ2067">
        <v>96</v>
      </c>
      <c r="CR2067">
        <v>0</v>
      </c>
      <c r="CS2067">
        <v>0</v>
      </c>
      <c r="CT2067">
        <v>-14.9</v>
      </c>
      <c r="CU2067">
        <v>89</v>
      </c>
      <c r="CV2067">
        <v>-0.06</v>
      </c>
      <c r="CW2067">
        <v>46</v>
      </c>
      <c r="CX2067" t="s">
        <v>1631</v>
      </c>
    </row>
    <row r="2068" spans="1:102" x14ac:dyDescent="0.3">
      <c r="A2068" t="str">
        <f>HYPERLINK("https://webapp.icbf.com/v2/app/bull-search/view/146682250","HZI")</f>
        <v>HZI</v>
      </c>
      <c r="B2068" t="s">
        <v>11563</v>
      </c>
      <c r="C2068" t="s">
        <v>11564</v>
      </c>
      <c r="D2068" s="1">
        <v>37186</v>
      </c>
      <c r="E2068" t="s">
        <v>92</v>
      </c>
      <c r="F2068">
        <v>100</v>
      </c>
      <c r="G2068" t="s">
        <v>93</v>
      </c>
      <c r="H2068">
        <v>66.61</v>
      </c>
      <c r="I2068">
        <v>80</v>
      </c>
      <c r="J2068">
        <v>28.01</v>
      </c>
      <c r="K2068">
        <v>95</v>
      </c>
      <c r="L2068">
        <v>29.98</v>
      </c>
      <c r="M2068">
        <v>66</v>
      </c>
      <c r="N2068">
        <v>13.8</v>
      </c>
      <c r="O2068">
        <v>81</v>
      </c>
      <c r="P2068">
        <v>7.62</v>
      </c>
      <c r="Q2068">
        <v>93</v>
      </c>
      <c r="R2068">
        <v>-16.47</v>
      </c>
      <c r="S2068">
        <v>70</v>
      </c>
      <c r="T2068">
        <v>4.43</v>
      </c>
      <c r="U2068">
        <v>86</v>
      </c>
      <c r="V2068">
        <v>-0.76</v>
      </c>
      <c r="W2068">
        <v>53</v>
      </c>
      <c r="X2068" t="s">
        <v>94</v>
      </c>
      <c r="Y2068" t="s">
        <v>95</v>
      </c>
      <c r="Z2068" t="s">
        <v>96</v>
      </c>
      <c r="AA2068" t="s">
        <v>5682</v>
      </c>
      <c r="AB2068" t="s">
        <v>11565</v>
      </c>
      <c r="AC2068">
        <v>75</v>
      </c>
      <c r="AD2068">
        <v>63</v>
      </c>
      <c r="AE2068">
        <v>95</v>
      </c>
      <c r="AF2068">
        <v>294.19</v>
      </c>
      <c r="AG2068">
        <v>4.74</v>
      </c>
      <c r="AH2068">
        <v>7.59</v>
      </c>
      <c r="AI2068">
        <v>-0.11</v>
      </c>
      <c r="AJ2068">
        <v>-0.04</v>
      </c>
      <c r="AK2068">
        <v>66</v>
      </c>
      <c r="AL2068">
        <v>84</v>
      </c>
      <c r="AM2068">
        <v>62</v>
      </c>
      <c r="AN2068">
        <v>-0.94</v>
      </c>
      <c r="AO2068">
        <v>1.46</v>
      </c>
      <c r="AP2068">
        <v>148</v>
      </c>
      <c r="AQ2068">
        <v>2</v>
      </c>
      <c r="AR2068">
        <v>6.44</v>
      </c>
      <c r="AS2068">
        <v>55</v>
      </c>
      <c r="AT2068">
        <v>2.88</v>
      </c>
      <c r="AU2068">
        <v>82</v>
      </c>
      <c r="AV2068">
        <v>-1.64</v>
      </c>
      <c r="AW2068">
        <v>94</v>
      </c>
      <c r="AX2068">
        <v>0.38</v>
      </c>
      <c r="AY2068">
        <v>79</v>
      </c>
      <c r="AZ2068">
        <v>7.29</v>
      </c>
      <c r="BA2068">
        <v>54</v>
      </c>
      <c r="BB2068">
        <v>5.37</v>
      </c>
      <c r="BC2068">
        <v>61</v>
      </c>
      <c r="BD2068">
        <v>0.01</v>
      </c>
      <c r="BE2068">
        <v>0.08</v>
      </c>
      <c r="BF2068">
        <v>0.21</v>
      </c>
      <c r="BG2068">
        <v>82</v>
      </c>
      <c r="BH2068">
        <v>0.05</v>
      </c>
      <c r="BI2068">
        <v>8.23</v>
      </c>
      <c r="BJ2068">
        <v>36</v>
      </c>
      <c r="BK2068">
        <v>19</v>
      </c>
      <c r="BL2068">
        <v>-0.26</v>
      </c>
      <c r="BM2068">
        <v>-0.9</v>
      </c>
      <c r="BN2068">
        <v>-1.44</v>
      </c>
      <c r="BO2068">
        <v>-0.17</v>
      </c>
      <c r="BP2068">
        <v>2.96</v>
      </c>
      <c r="BQ2068">
        <v>-2.37</v>
      </c>
      <c r="BR2068">
        <v>-1.18</v>
      </c>
      <c r="BS2068">
        <v>0.95</v>
      </c>
      <c r="BT2068">
        <v>-0.15</v>
      </c>
      <c r="BU2068">
        <v>0.13</v>
      </c>
      <c r="BV2068">
        <v>0.65</v>
      </c>
      <c r="BW2068">
        <v>-0.4</v>
      </c>
      <c r="BX2068">
        <v>-1.21</v>
      </c>
      <c r="BY2068">
        <v>0.17</v>
      </c>
      <c r="BZ2068">
        <v>1.94</v>
      </c>
      <c r="CA2068">
        <v>-0.15</v>
      </c>
      <c r="CB2068">
        <v>-0.33</v>
      </c>
      <c r="CC2068">
        <v>7.0000000000000007E-2</v>
      </c>
      <c r="CD2068">
        <v>-0.06</v>
      </c>
      <c r="CE2068">
        <v>-0.3</v>
      </c>
      <c r="CF2068">
        <v>-0.6</v>
      </c>
      <c r="CG2068">
        <v>0</v>
      </c>
      <c r="CH2068">
        <v>0.04</v>
      </c>
      <c r="CI2068">
        <v>0</v>
      </c>
      <c r="CJ2068">
        <v>8.1999999999999993</v>
      </c>
      <c r="CK2068">
        <v>94</v>
      </c>
      <c r="CL2068">
        <v>-0.35</v>
      </c>
      <c r="CM2068">
        <v>93</v>
      </c>
      <c r="CN2068">
        <v>-0.04</v>
      </c>
      <c r="CO2068">
        <v>92</v>
      </c>
      <c r="CP2068">
        <v>-3.7</v>
      </c>
      <c r="CQ2068">
        <v>89</v>
      </c>
      <c r="CR2068">
        <v>0</v>
      </c>
      <c r="CS2068">
        <v>0</v>
      </c>
      <c r="CT2068">
        <v>7.8</v>
      </c>
      <c r="CU2068">
        <v>86</v>
      </c>
      <c r="CV2068">
        <v>0.36</v>
      </c>
      <c r="CW2068">
        <v>27</v>
      </c>
      <c r="CX2068" t="s">
        <v>643</v>
      </c>
    </row>
    <row r="2069" spans="1:102" x14ac:dyDescent="0.3">
      <c r="A2069" t="str">
        <f>HYPERLINK("https://webapp.icbf.com/v2/app/bull-search/view/676420918","S702")</f>
        <v>S702</v>
      </c>
      <c r="B2069" t="s">
        <v>2950</v>
      </c>
      <c r="C2069" t="s">
        <v>2951</v>
      </c>
      <c r="D2069" s="1">
        <v>38950</v>
      </c>
      <c r="E2069" t="s">
        <v>108</v>
      </c>
      <c r="F2069">
        <v>0</v>
      </c>
      <c r="G2069" t="s">
        <v>109</v>
      </c>
      <c r="H2069">
        <v>66.55</v>
      </c>
      <c r="I2069">
        <v>51</v>
      </c>
      <c r="J2069">
        <v>-53.35</v>
      </c>
      <c r="K2069">
        <v>66</v>
      </c>
      <c r="L2069">
        <v>74.41</v>
      </c>
      <c r="M2069">
        <v>43</v>
      </c>
      <c r="N2069">
        <v>26.85</v>
      </c>
      <c r="O2069">
        <v>45</v>
      </c>
      <c r="P2069">
        <v>-16.38</v>
      </c>
      <c r="Q2069">
        <v>48</v>
      </c>
      <c r="R2069">
        <v>7.74</v>
      </c>
      <c r="S2069">
        <v>52</v>
      </c>
      <c r="T2069">
        <v>26.7</v>
      </c>
      <c r="U2069">
        <v>42</v>
      </c>
      <c r="V2069">
        <v>0.57999999999999996</v>
      </c>
      <c r="W2069">
        <v>30</v>
      </c>
      <c r="X2069" t="s">
        <v>251</v>
      </c>
      <c r="Y2069" t="s">
        <v>1494</v>
      </c>
      <c r="Z2069" t="s">
        <v>96</v>
      </c>
      <c r="AA2069" t="s">
        <v>2952</v>
      </c>
      <c r="AB2069" t="s">
        <v>2953</v>
      </c>
      <c r="AC2069">
        <v>0</v>
      </c>
      <c r="AD2069">
        <v>0</v>
      </c>
      <c r="AE2069">
        <v>66</v>
      </c>
      <c r="AF2069">
        <v>-304.42</v>
      </c>
      <c r="AG2069">
        <v>-8.32</v>
      </c>
      <c r="AH2069">
        <v>-10.79</v>
      </c>
      <c r="AI2069">
        <v>0.06</v>
      </c>
      <c r="AJ2069">
        <v>-0.01</v>
      </c>
      <c r="AK2069">
        <v>43</v>
      </c>
      <c r="AL2069">
        <v>0</v>
      </c>
      <c r="AM2069">
        <v>0</v>
      </c>
      <c r="AN2069">
        <v>-3.57</v>
      </c>
      <c r="AO2069">
        <v>2.37</v>
      </c>
      <c r="AP2069">
        <v>12</v>
      </c>
      <c r="AQ2069">
        <v>0</v>
      </c>
      <c r="AR2069">
        <v>4.8099999999999996</v>
      </c>
      <c r="AS2069">
        <v>43</v>
      </c>
      <c r="AT2069">
        <v>2.02</v>
      </c>
      <c r="AU2069">
        <v>36</v>
      </c>
      <c r="AV2069">
        <v>-1.17</v>
      </c>
      <c r="AW2069">
        <v>58</v>
      </c>
      <c r="AX2069">
        <v>-0.14000000000000001</v>
      </c>
      <c r="AY2069">
        <v>46</v>
      </c>
      <c r="AZ2069">
        <v>5.71</v>
      </c>
      <c r="BA2069">
        <v>26</v>
      </c>
      <c r="BB2069">
        <v>4.68</v>
      </c>
      <c r="BC2069">
        <v>28</v>
      </c>
      <c r="BD2069">
        <v>0</v>
      </c>
      <c r="BE2069">
        <v>-0.02</v>
      </c>
      <c r="BF2069">
        <v>-0.14000000000000001</v>
      </c>
      <c r="BG2069">
        <v>72</v>
      </c>
      <c r="BH2069">
        <v>-0.06</v>
      </c>
      <c r="BI2069">
        <v>-8.82</v>
      </c>
      <c r="BJ2069">
        <v>0</v>
      </c>
      <c r="BK2069">
        <v>0</v>
      </c>
      <c r="BL2069">
        <v>-3.13</v>
      </c>
      <c r="BM2069">
        <v>0.9</v>
      </c>
      <c r="BN2069">
        <v>-1.67</v>
      </c>
      <c r="BO2069">
        <v>-2.0499999999999998</v>
      </c>
      <c r="BP2069">
        <v>-0.23</v>
      </c>
      <c r="BQ2069">
        <v>-0.41</v>
      </c>
      <c r="BR2069">
        <v>0.18</v>
      </c>
      <c r="BS2069">
        <v>0.68</v>
      </c>
      <c r="BT2069">
        <v>-0.15</v>
      </c>
      <c r="BU2069">
        <v>-0.98</v>
      </c>
      <c r="BV2069">
        <v>-2.12</v>
      </c>
      <c r="BW2069">
        <v>-1.82</v>
      </c>
      <c r="BX2069">
        <v>-1.92</v>
      </c>
      <c r="BY2069">
        <v>0.19</v>
      </c>
      <c r="BZ2069">
        <v>-0.4</v>
      </c>
      <c r="CA2069">
        <v>-1.27</v>
      </c>
      <c r="CB2069">
        <v>-1.66</v>
      </c>
      <c r="CC2069">
        <v>0.09</v>
      </c>
      <c r="CD2069">
        <v>1.44</v>
      </c>
      <c r="CE2069">
        <v>-2.35</v>
      </c>
      <c r="CF2069">
        <v>-2.8</v>
      </c>
      <c r="CG2069">
        <v>0</v>
      </c>
      <c r="CH2069">
        <v>-1.46</v>
      </c>
      <c r="CI2069">
        <v>0</v>
      </c>
      <c r="CJ2069">
        <v>-8.9</v>
      </c>
      <c r="CK2069">
        <v>50</v>
      </c>
      <c r="CL2069">
        <v>-0.11</v>
      </c>
      <c r="CM2069">
        <v>47</v>
      </c>
      <c r="CN2069">
        <v>0.08</v>
      </c>
      <c r="CO2069">
        <v>45</v>
      </c>
      <c r="CP2069">
        <v>-13.5</v>
      </c>
      <c r="CQ2069">
        <v>42</v>
      </c>
      <c r="CR2069">
        <v>0</v>
      </c>
      <c r="CS2069">
        <v>0</v>
      </c>
      <c r="CT2069">
        <v>-22.3</v>
      </c>
      <c r="CU2069">
        <v>42</v>
      </c>
      <c r="CV2069">
        <v>-0.16</v>
      </c>
      <c r="CW2069">
        <v>14</v>
      </c>
      <c r="CX2069" t="s">
        <v>2954</v>
      </c>
    </row>
    <row r="2070" spans="1:102" x14ac:dyDescent="0.3">
      <c r="A2070" t="str">
        <f>HYPERLINK("https://webapp.icbf.com/v2/app/bull-search/view/77854993","NEL")</f>
        <v>NEL</v>
      </c>
      <c r="B2070" t="s">
        <v>11039</v>
      </c>
      <c r="C2070" t="s">
        <v>7797</v>
      </c>
      <c r="D2070" s="1">
        <v>35443</v>
      </c>
      <c r="E2070" t="s">
        <v>92</v>
      </c>
      <c r="F2070">
        <v>100</v>
      </c>
      <c r="G2070" t="s">
        <v>93</v>
      </c>
      <c r="H2070">
        <v>66.55</v>
      </c>
      <c r="I2070">
        <v>96</v>
      </c>
      <c r="J2070">
        <v>59.42</v>
      </c>
      <c r="K2070">
        <v>99</v>
      </c>
      <c r="L2070">
        <v>-39.83</v>
      </c>
      <c r="M2070">
        <v>92</v>
      </c>
      <c r="N2070">
        <v>29.46</v>
      </c>
      <c r="O2070">
        <v>97</v>
      </c>
      <c r="P2070">
        <v>-6.3</v>
      </c>
      <c r="Q2070">
        <v>99</v>
      </c>
      <c r="R2070">
        <v>5.47</v>
      </c>
      <c r="S2070">
        <v>94</v>
      </c>
      <c r="T2070">
        <v>9.02</v>
      </c>
      <c r="U2070">
        <v>98</v>
      </c>
      <c r="V2070">
        <v>9.31</v>
      </c>
      <c r="W2070">
        <v>93</v>
      </c>
      <c r="X2070" t="s">
        <v>94</v>
      </c>
      <c r="Y2070" t="s">
        <v>95</v>
      </c>
      <c r="Z2070" t="s">
        <v>96</v>
      </c>
      <c r="AA2070" t="s">
        <v>731</v>
      </c>
      <c r="AB2070" t="s">
        <v>9963</v>
      </c>
      <c r="AC2070">
        <v>679</v>
      </c>
      <c r="AD2070">
        <v>419</v>
      </c>
      <c r="AE2070">
        <v>99</v>
      </c>
      <c r="AF2070">
        <v>160.32</v>
      </c>
      <c r="AG2070">
        <v>9.89</v>
      </c>
      <c r="AH2070">
        <v>9.06</v>
      </c>
      <c r="AI2070">
        <v>0.06</v>
      </c>
      <c r="AJ2070">
        <v>0.06</v>
      </c>
      <c r="AK2070">
        <v>92</v>
      </c>
      <c r="AL2070">
        <v>752</v>
      </c>
      <c r="AM2070">
        <v>482</v>
      </c>
      <c r="AN2070">
        <v>1.89</v>
      </c>
      <c r="AO2070">
        <v>-1.29</v>
      </c>
      <c r="AP2070">
        <v>804</v>
      </c>
      <c r="AQ2070">
        <v>5</v>
      </c>
      <c r="AR2070">
        <v>6.8</v>
      </c>
      <c r="AS2070">
        <v>94</v>
      </c>
      <c r="AT2070">
        <v>2.13</v>
      </c>
      <c r="AU2070">
        <v>96</v>
      </c>
      <c r="AV2070">
        <v>-2.98</v>
      </c>
      <c r="AW2070">
        <v>99</v>
      </c>
      <c r="AX2070">
        <v>-0.09</v>
      </c>
      <c r="AY2070">
        <v>97</v>
      </c>
      <c r="AZ2070">
        <v>7.93</v>
      </c>
      <c r="BA2070">
        <v>91</v>
      </c>
      <c r="BB2070">
        <v>5.39</v>
      </c>
      <c r="BC2070">
        <v>93</v>
      </c>
      <c r="BD2070">
        <v>-0.01</v>
      </c>
      <c r="BE2070">
        <v>-0.01</v>
      </c>
      <c r="BF2070">
        <v>-0.09</v>
      </c>
      <c r="BG2070">
        <v>98</v>
      </c>
      <c r="BH2070">
        <v>0.16</v>
      </c>
      <c r="BI2070">
        <v>-11.51</v>
      </c>
      <c r="BJ2070">
        <v>81</v>
      </c>
      <c r="BK2070">
        <v>54</v>
      </c>
      <c r="BL2070">
        <v>0.53</v>
      </c>
      <c r="BM2070">
        <v>-1.2</v>
      </c>
      <c r="BN2070">
        <v>0.46</v>
      </c>
      <c r="BO2070">
        <v>1.21</v>
      </c>
      <c r="BP2070">
        <v>0.74</v>
      </c>
      <c r="BQ2070">
        <v>-0.18</v>
      </c>
      <c r="BR2070">
        <v>2.04</v>
      </c>
      <c r="BS2070">
        <v>-1.9</v>
      </c>
      <c r="BT2070">
        <v>-2.56</v>
      </c>
      <c r="BU2070">
        <v>-0.28000000000000003</v>
      </c>
      <c r="BV2070">
        <v>0.24</v>
      </c>
      <c r="BW2070">
        <v>-0.2</v>
      </c>
      <c r="BX2070">
        <v>-0.01</v>
      </c>
      <c r="BY2070">
        <v>-0.3</v>
      </c>
      <c r="BZ2070">
        <v>0.56000000000000005</v>
      </c>
      <c r="CA2070">
        <v>-0.46</v>
      </c>
      <c r="CB2070">
        <v>0.18</v>
      </c>
      <c r="CC2070">
        <v>-1.54</v>
      </c>
      <c r="CD2070">
        <v>-1.77</v>
      </c>
      <c r="CE2070">
        <v>1.06</v>
      </c>
      <c r="CF2070">
        <v>0.53</v>
      </c>
      <c r="CG2070">
        <v>0</v>
      </c>
      <c r="CH2070">
        <v>-0.5</v>
      </c>
      <c r="CI2070">
        <v>0</v>
      </c>
      <c r="CJ2070">
        <v>1.4</v>
      </c>
      <c r="CK2070">
        <v>99</v>
      </c>
      <c r="CL2070">
        <v>-0.81</v>
      </c>
      <c r="CM2070">
        <v>99</v>
      </c>
      <c r="CN2070">
        <v>-7.0000000000000007E-2</v>
      </c>
      <c r="CO2070">
        <v>99</v>
      </c>
      <c r="CP2070">
        <v>-4.5999999999999996</v>
      </c>
      <c r="CQ2070">
        <v>98</v>
      </c>
      <c r="CR2070">
        <v>0</v>
      </c>
      <c r="CS2070">
        <v>0</v>
      </c>
      <c r="CT2070">
        <v>1.6</v>
      </c>
      <c r="CU2070">
        <v>98</v>
      </c>
      <c r="CV2070">
        <v>0.15</v>
      </c>
      <c r="CW2070">
        <v>46</v>
      </c>
      <c r="CX2070" t="s">
        <v>531</v>
      </c>
    </row>
    <row r="2071" spans="1:102" x14ac:dyDescent="0.3">
      <c r="A2071" t="str">
        <f>HYPERLINK("https://webapp.icbf.com/v2/app/bull-search/view/69092386","PIT")</f>
        <v>PIT</v>
      </c>
      <c r="B2071" t="s">
        <v>10547</v>
      </c>
      <c r="C2071" t="s">
        <v>4601</v>
      </c>
      <c r="D2071" s="1">
        <v>33045</v>
      </c>
      <c r="E2071" t="s">
        <v>146</v>
      </c>
      <c r="F2071">
        <v>0</v>
      </c>
      <c r="G2071" t="s">
        <v>109</v>
      </c>
      <c r="H2071">
        <v>66.47</v>
      </c>
      <c r="I2071">
        <v>68</v>
      </c>
      <c r="J2071">
        <v>-48.07</v>
      </c>
      <c r="K2071">
        <v>77</v>
      </c>
      <c r="L2071">
        <v>70.069999999999993</v>
      </c>
      <c r="M2071">
        <v>65</v>
      </c>
      <c r="N2071">
        <v>28.93</v>
      </c>
      <c r="O2071">
        <v>62</v>
      </c>
      <c r="P2071">
        <v>8.93</v>
      </c>
      <c r="Q2071">
        <v>72</v>
      </c>
      <c r="R2071">
        <v>9.92</v>
      </c>
      <c r="S2071">
        <v>62</v>
      </c>
      <c r="T2071">
        <v>8.2799999999999994</v>
      </c>
      <c r="U2071">
        <v>60</v>
      </c>
      <c r="V2071">
        <v>-11.59</v>
      </c>
      <c r="W2071">
        <v>35</v>
      </c>
      <c r="X2071" t="s">
        <v>102</v>
      </c>
      <c r="Y2071" t="s">
        <v>95</v>
      </c>
      <c r="Z2071">
        <v>0</v>
      </c>
      <c r="AA2071" t="s">
        <v>10548</v>
      </c>
      <c r="AB2071" t="s">
        <v>10549</v>
      </c>
      <c r="AC2071">
        <v>0</v>
      </c>
      <c r="AD2071">
        <v>0</v>
      </c>
      <c r="AE2071">
        <v>77</v>
      </c>
      <c r="AF2071">
        <v>-343.02</v>
      </c>
      <c r="AG2071">
        <v>-15.28</v>
      </c>
      <c r="AH2071">
        <v>-8.02</v>
      </c>
      <c r="AI2071">
        <v>-0.03</v>
      </c>
      <c r="AJ2071">
        <v>7.0000000000000007E-2</v>
      </c>
      <c r="AK2071">
        <v>65</v>
      </c>
      <c r="AL2071">
        <v>0</v>
      </c>
      <c r="AM2071">
        <v>0</v>
      </c>
      <c r="AN2071">
        <v>-5.23</v>
      </c>
      <c r="AO2071">
        <v>0.34</v>
      </c>
      <c r="AP2071">
        <v>6</v>
      </c>
      <c r="AQ2071">
        <v>1</v>
      </c>
      <c r="AR2071">
        <v>4.71</v>
      </c>
      <c r="AS2071">
        <v>35</v>
      </c>
      <c r="AT2071">
        <v>1.96</v>
      </c>
      <c r="AU2071">
        <v>83</v>
      </c>
      <c r="AV2071">
        <v>-1.8</v>
      </c>
      <c r="AW2071">
        <v>66</v>
      </c>
      <c r="AX2071">
        <v>0.66</v>
      </c>
      <c r="AY2071">
        <v>61</v>
      </c>
      <c r="AZ2071">
        <v>6.2</v>
      </c>
      <c r="BA2071">
        <v>30</v>
      </c>
      <c r="BB2071">
        <v>4.83</v>
      </c>
      <c r="BC2071">
        <v>38</v>
      </c>
      <c r="BD2071">
        <v>-0.03</v>
      </c>
      <c r="BE2071">
        <v>-0.02</v>
      </c>
      <c r="BF2071">
        <v>-0.14000000000000001</v>
      </c>
      <c r="BG2071">
        <v>83</v>
      </c>
      <c r="BH2071">
        <v>-0.28000000000000003</v>
      </c>
      <c r="BI2071">
        <v>5.01</v>
      </c>
      <c r="BJ2071">
        <v>0</v>
      </c>
      <c r="BK2071">
        <v>0</v>
      </c>
      <c r="BL2071">
        <v>-1.31</v>
      </c>
      <c r="BM2071">
        <v>1.0900000000000001</v>
      </c>
      <c r="BN2071">
        <v>-1.58</v>
      </c>
      <c r="BO2071">
        <v>-2.37</v>
      </c>
      <c r="BP2071">
        <v>3.22</v>
      </c>
      <c r="BQ2071">
        <v>-0.22</v>
      </c>
      <c r="BR2071">
        <v>-0.4</v>
      </c>
      <c r="BS2071">
        <v>0.51</v>
      </c>
      <c r="BT2071">
        <v>0.87</v>
      </c>
      <c r="BU2071">
        <v>-1.99</v>
      </c>
      <c r="BV2071">
        <v>-3.24</v>
      </c>
      <c r="BW2071">
        <v>-2.4900000000000002</v>
      </c>
      <c r="BX2071">
        <v>-1.1100000000000001</v>
      </c>
      <c r="BY2071">
        <v>-1.05</v>
      </c>
      <c r="BZ2071">
        <v>0.68</v>
      </c>
      <c r="CA2071">
        <v>-2.0499999999999998</v>
      </c>
      <c r="CB2071">
        <v>-2.17</v>
      </c>
      <c r="CC2071">
        <v>0.34</v>
      </c>
      <c r="CD2071">
        <v>3.15</v>
      </c>
      <c r="CE2071">
        <v>-2.33</v>
      </c>
      <c r="CF2071">
        <v>-0.76</v>
      </c>
      <c r="CG2071">
        <v>0</v>
      </c>
      <c r="CH2071">
        <v>-0.7</v>
      </c>
      <c r="CI2071">
        <v>0</v>
      </c>
      <c r="CJ2071">
        <v>-0.7</v>
      </c>
      <c r="CK2071">
        <v>74</v>
      </c>
      <c r="CL2071">
        <v>0.31</v>
      </c>
      <c r="CM2071">
        <v>71</v>
      </c>
      <c r="CN2071">
        <v>-0.55000000000000004</v>
      </c>
      <c r="CO2071">
        <v>69</v>
      </c>
      <c r="CP2071">
        <v>1.7</v>
      </c>
      <c r="CQ2071">
        <v>70</v>
      </c>
      <c r="CR2071">
        <v>0</v>
      </c>
      <c r="CS2071">
        <v>0</v>
      </c>
      <c r="CT2071">
        <v>2.6</v>
      </c>
      <c r="CU2071">
        <v>60</v>
      </c>
      <c r="CV2071">
        <v>-0.25</v>
      </c>
      <c r="CW2071">
        <v>20</v>
      </c>
      <c r="CX2071" t="s">
        <v>1314</v>
      </c>
    </row>
    <row r="2072" spans="1:102" x14ac:dyDescent="0.3">
      <c r="A2072" t="str">
        <f>HYPERLINK("https://webapp.icbf.com/v2/app/bull-search/view/586065455","S1537")</f>
        <v>S1537</v>
      </c>
      <c r="B2072" t="s">
        <v>9282</v>
      </c>
      <c r="C2072" t="s">
        <v>9283</v>
      </c>
      <c r="D2072" s="1">
        <v>38343</v>
      </c>
      <c r="E2072" t="s">
        <v>146</v>
      </c>
      <c r="F2072">
        <v>6</v>
      </c>
      <c r="G2072" t="s">
        <v>109</v>
      </c>
      <c r="H2072">
        <v>66.319999999999993</v>
      </c>
      <c r="I2072">
        <v>65</v>
      </c>
      <c r="J2072">
        <v>3.87</v>
      </c>
      <c r="K2072">
        <v>76</v>
      </c>
      <c r="L2072">
        <v>41.99</v>
      </c>
      <c r="M2072">
        <v>60</v>
      </c>
      <c r="N2072">
        <v>17.190000000000001</v>
      </c>
      <c r="O2072">
        <v>76</v>
      </c>
      <c r="P2072">
        <v>0.52</v>
      </c>
      <c r="Q2072">
        <v>89</v>
      </c>
      <c r="R2072">
        <v>-6.02</v>
      </c>
      <c r="S2072">
        <v>54</v>
      </c>
      <c r="T2072">
        <v>15.23</v>
      </c>
      <c r="U2072">
        <v>36</v>
      </c>
      <c r="V2072">
        <v>-6.46</v>
      </c>
      <c r="W2072">
        <v>4</v>
      </c>
      <c r="X2072" t="s">
        <v>94</v>
      </c>
      <c r="Y2072" t="s">
        <v>362</v>
      </c>
      <c r="Z2072">
        <v>0</v>
      </c>
      <c r="AA2072" t="s">
        <v>9284</v>
      </c>
      <c r="AB2072" t="s">
        <v>9285</v>
      </c>
      <c r="AC2072">
        <v>0</v>
      </c>
      <c r="AD2072">
        <v>0</v>
      </c>
      <c r="AE2072">
        <v>76</v>
      </c>
      <c r="AF2072">
        <v>-123.73</v>
      </c>
      <c r="AG2072">
        <v>-4.2</v>
      </c>
      <c r="AH2072">
        <v>0.25</v>
      </c>
      <c r="AI2072">
        <v>0.01</v>
      </c>
      <c r="AJ2072">
        <v>0.08</v>
      </c>
      <c r="AK2072">
        <v>60</v>
      </c>
      <c r="AL2072">
        <v>0</v>
      </c>
      <c r="AM2072">
        <v>0</v>
      </c>
      <c r="AN2072">
        <v>-2.97</v>
      </c>
      <c r="AO2072">
        <v>0.37</v>
      </c>
      <c r="AP2072">
        <v>148</v>
      </c>
      <c r="AQ2072">
        <v>0</v>
      </c>
      <c r="AR2072">
        <v>6.11</v>
      </c>
      <c r="AS2072">
        <v>75</v>
      </c>
      <c r="AT2072">
        <v>2.89</v>
      </c>
      <c r="AU2072">
        <v>81</v>
      </c>
      <c r="AV2072">
        <v>-1.73</v>
      </c>
      <c r="AW2072">
        <v>94</v>
      </c>
      <c r="AX2072">
        <v>-0.08</v>
      </c>
      <c r="AY2072">
        <v>67</v>
      </c>
      <c r="AZ2072">
        <v>7.14</v>
      </c>
      <c r="BA2072">
        <v>41</v>
      </c>
      <c r="BB2072">
        <v>5.27</v>
      </c>
      <c r="BC2072">
        <v>26</v>
      </c>
      <c r="BD2072">
        <v>0.02</v>
      </c>
      <c r="BE2072">
        <v>0.05</v>
      </c>
      <c r="BF2072">
        <v>0.01</v>
      </c>
      <c r="BG2072">
        <v>81</v>
      </c>
      <c r="BH2072">
        <v>-0.19</v>
      </c>
      <c r="BI2072">
        <v>-1.1399999999999999</v>
      </c>
      <c r="BJ2072">
        <v>0</v>
      </c>
      <c r="BK2072">
        <v>0</v>
      </c>
      <c r="BL2072">
        <v>-1.59</v>
      </c>
      <c r="BM2072">
        <v>3.09</v>
      </c>
      <c r="BN2072">
        <v>-1.61</v>
      </c>
      <c r="BO2072">
        <v>-2.44</v>
      </c>
      <c r="BP2072">
        <v>6.24</v>
      </c>
      <c r="BQ2072">
        <v>0.18</v>
      </c>
      <c r="BR2072">
        <v>-2.2200000000000002</v>
      </c>
      <c r="BS2072">
        <v>0.82</v>
      </c>
      <c r="BT2072">
        <v>-0.01</v>
      </c>
      <c r="BU2072">
        <v>-2.21</v>
      </c>
      <c r="BV2072">
        <v>-2.9</v>
      </c>
      <c r="BW2072">
        <v>-2.78</v>
      </c>
      <c r="BX2072">
        <v>-2.27</v>
      </c>
      <c r="BY2072">
        <v>0.11</v>
      </c>
      <c r="BZ2072">
        <v>-2.15</v>
      </c>
      <c r="CA2072">
        <v>-2.12</v>
      </c>
      <c r="CB2072">
        <v>-2.5299999999999998</v>
      </c>
      <c r="CC2072">
        <v>-0.44</v>
      </c>
      <c r="CD2072">
        <v>2.81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-4.3</v>
      </c>
      <c r="CK2072">
        <v>92</v>
      </c>
      <c r="CL2072">
        <v>0.13</v>
      </c>
      <c r="CM2072">
        <v>90</v>
      </c>
      <c r="CN2072">
        <v>-0.52</v>
      </c>
      <c r="CO2072">
        <v>89</v>
      </c>
      <c r="CP2072">
        <v>-6.5</v>
      </c>
      <c r="CQ2072">
        <v>63</v>
      </c>
      <c r="CR2072">
        <v>0</v>
      </c>
      <c r="CS2072">
        <v>0</v>
      </c>
      <c r="CT2072">
        <v>-6.8</v>
      </c>
      <c r="CU2072">
        <v>36</v>
      </c>
      <c r="CV2072">
        <v>-0.34</v>
      </c>
      <c r="CW2072">
        <v>25</v>
      </c>
      <c r="CX2072" t="s">
        <v>9286</v>
      </c>
    </row>
    <row r="2073" spans="1:102" x14ac:dyDescent="0.3">
      <c r="A2073" t="str">
        <f>HYPERLINK("https://webapp.icbf.com/v2/app/bull-search/view/399742608","ATX")</f>
        <v>ATX</v>
      </c>
      <c r="B2073" t="s">
        <v>144</v>
      </c>
      <c r="C2073" t="s">
        <v>4400</v>
      </c>
      <c r="D2073" s="1">
        <v>35782</v>
      </c>
      <c r="E2073" t="s">
        <v>108</v>
      </c>
      <c r="F2073">
        <v>0</v>
      </c>
      <c r="G2073" t="s">
        <v>93</v>
      </c>
      <c r="H2073">
        <v>66.22</v>
      </c>
      <c r="I2073">
        <v>67</v>
      </c>
      <c r="J2073">
        <v>-112.39</v>
      </c>
      <c r="K2073">
        <v>87</v>
      </c>
      <c r="L2073">
        <v>128.63999999999999</v>
      </c>
      <c r="M2073">
        <v>48</v>
      </c>
      <c r="N2073">
        <v>31.53</v>
      </c>
      <c r="O2073">
        <v>63</v>
      </c>
      <c r="P2073">
        <v>-4.54</v>
      </c>
      <c r="Q2073">
        <v>81</v>
      </c>
      <c r="R2073">
        <v>9.84</v>
      </c>
      <c r="S2073">
        <v>54</v>
      </c>
      <c r="T2073">
        <v>16.93</v>
      </c>
      <c r="U2073">
        <v>62</v>
      </c>
      <c r="V2073">
        <v>-3.79</v>
      </c>
      <c r="W2073">
        <v>58</v>
      </c>
      <c r="X2073" t="s">
        <v>276</v>
      </c>
      <c r="Y2073" t="s">
        <v>95</v>
      </c>
      <c r="Z2073" t="s">
        <v>96</v>
      </c>
      <c r="AA2073" t="s">
        <v>4401</v>
      </c>
      <c r="AB2073" t="s">
        <v>4402</v>
      </c>
      <c r="AC2073">
        <v>30</v>
      </c>
      <c r="AD2073">
        <v>20</v>
      </c>
      <c r="AE2073">
        <v>87</v>
      </c>
      <c r="AF2073">
        <v>-610.16999999999996</v>
      </c>
      <c r="AG2073">
        <v>-30.74</v>
      </c>
      <c r="AH2073">
        <v>-17.579999999999998</v>
      </c>
      <c r="AI2073">
        <v>-0.13</v>
      </c>
      <c r="AJ2073">
        <v>0.06</v>
      </c>
      <c r="AK2073">
        <v>48</v>
      </c>
      <c r="AL2073">
        <v>35</v>
      </c>
      <c r="AM2073">
        <v>21</v>
      </c>
      <c r="AN2073">
        <v>-6.18</v>
      </c>
      <c r="AO2073">
        <v>4.09</v>
      </c>
      <c r="AP2073">
        <v>59</v>
      </c>
      <c r="AQ2073">
        <v>1</v>
      </c>
      <c r="AR2073">
        <v>4.8099999999999996</v>
      </c>
      <c r="AS2073">
        <v>36</v>
      </c>
      <c r="AT2073">
        <v>2.02</v>
      </c>
      <c r="AU2073">
        <v>63</v>
      </c>
      <c r="AV2073">
        <v>-2.4</v>
      </c>
      <c r="AW2073">
        <v>81</v>
      </c>
      <c r="AX2073">
        <v>1.78</v>
      </c>
      <c r="AY2073">
        <v>59</v>
      </c>
      <c r="AZ2073">
        <v>6.6</v>
      </c>
      <c r="BA2073">
        <v>28</v>
      </c>
      <c r="BB2073">
        <v>4.45</v>
      </c>
      <c r="BC2073">
        <v>39</v>
      </c>
      <c r="BD2073">
        <v>-0.05</v>
      </c>
      <c r="BE2073">
        <v>-7.0000000000000007E-2</v>
      </c>
      <c r="BF2073">
        <v>-0.01</v>
      </c>
      <c r="BG2073">
        <v>61</v>
      </c>
      <c r="BH2073">
        <v>-0.05</v>
      </c>
      <c r="BI2073">
        <v>6.43</v>
      </c>
      <c r="BJ2073">
        <v>3</v>
      </c>
      <c r="BK2073">
        <v>2</v>
      </c>
      <c r="BL2073">
        <v>-3.03</v>
      </c>
      <c r="BM2073">
        <v>2.31</v>
      </c>
      <c r="BN2073">
        <v>-2.25</v>
      </c>
      <c r="BO2073">
        <v>-3.28</v>
      </c>
      <c r="BP2073">
        <v>-0.14000000000000001</v>
      </c>
      <c r="BQ2073">
        <v>0.84</v>
      </c>
      <c r="BR2073">
        <v>-1.32</v>
      </c>
      <c r="BS2073">
        <v>-0.61</v>
      </c>
      <c r="BT2073">
        <v>0.35</v>
      </c>
      <c r="BU2073">
        <v>-3.26</v>
      </c>
      <c r="BV2073">
        <v>-3.64</v>
      </c>
      <c r="BW2073">
        <v>-3.41</v>
      </c>
      <c r="BX2073">
        <v>-2.77</v>
      </c>
      <c r="BY2073">
        <v>-2.34</v>
      </c>
      <c r="BZ2073">
        <v>-0.67</v>
      </c>
      <c r="CA2073">
        <v>-3.51</v>
      </c>
      <c r="CB2073">
        <v>-3.61</v>
      </c>
      <c r="CC2073">
        <v>-1.85</v>
      </c>
      <c r="CD2073">
        <v>2.88</v>
      </c>
      <c r="CE2073">
        <v>-3.68</v>
      </c>
      <c r="CF2073">
        <v>-2.6</v>
      </c>
      <c r="CG2073">
        <v>0</v>
      </c>
      <c r="CH2073">
        <v>-2.95</v>
      </c>
      <c r="CI2073">
        <v>0</v>
      </c>
      <c r="CJ2073">
        <v>-2.6</v>
      </c>
      <c r="CK2073">
        <v>83</v>
      </c>
      <c r="CL2073">
        <v>0.16</v>
      </c>
      <c r="CM2073">
        <v>80</v>
      </c>
      <c r="CN2073">
        <v>0.08</v>
      </c>
      <c r="CO2073">
        <v>78</v>
      </c>
      <c r="CP2073">
        <v>-11.1</v>
      </c>
      <c r="CQ2073">
        <v>74</v>
      </c>
      <c r="CR2073">
        <v>0</v>
      </c>
      <c r="CS2073">
        <v>0</v>
      </c>
      <c r="CT2073">
        <v>-9.1</v>
      </c>
      <c r="CU2073">
        <v>62</v>
      </c>
      <c r="CV2073">
        <v>-0.09</v>
      </c>
      <c r="CW2073">
        <v>23</v>
      </c>
      <c r="CX2073" t="s">
        <v>4403</v>
      </c>
    </row>
    <row r="2074" spans="1:102" x14ac:dyDescent="0.3">
      <c r="A2074" t="str">
        <f>HYPERLINK("https://webapp.icbf.com/v2/app/bull-search/view/918500476","S1405")</f>
        <v>S1405</v>
      </c>
      <c r="B2074" t="s">
        <v>14770</v>
      </c>
      <c r="C2074" t="s">
        <v>14771</v>
      </c>
      <c r="D2074" s="1">
        <v>40448</v>
      </c>
      <c r="E2074" t="s">
        <v>92</v>
      </c>
      <c r="F2074">
        <v>100</v>
      </c>
      <c r="G2074" t="s">
        <v>93</v>
      </c>
      <c r="H2074">
        <v>66.2</v>
      </c>
      <c r="I2074">
        <v>87</v>
      </c>
      <c r="J2074">
        <v>40.94</v>
      </c>
      <c r="K2074">
        <v>97</v>
      </c>
      <c r="L2074">
        <v>12.94</v>
      </c>
      <c r="M2074">
        <v>85</v>
      </c>
      <c r="N2074">
        <v>19.36</v>
      </c>
      <c r="O2074">
        <v>84</v>
      </c>
      <c r="P2074">
        <v>-6.72</v>
      </c>
      <c r="Q2074">
        <v>89</v>
      </c>
      <c r="R2074">
        <v>4.9400000000000004</v>
      </c>
      <c r="S2074">
        <v>80</v>
      </c>
      <c r="T2074">
        <v>-11.26</v>
      </c>
      <c r="U2074">
        <v>71</v>
      </c>
      <c r="V2074">
        <v>6</v>
      </c>
      <c r="W2074">
        <v>63</v>
      </c>
      <c r="X2074" t="s">
        <v>276</v>
      </c>
      <c r="Y2074" t="s">
        <v>342</v>
      </c>
      <c r="Z2074" t="s">
        <v>96</v>
      </c>
      <c r="AA2074" t="s">
        <v>1924</v>
      </c>
      <c r="AB2074" t="s">
        <v>14772</v>
      </c>
      <c r="AC2074">
        <v>92</v>
      </c>
      <c r="AD2074">
        <v>45</v>
      </c>
      <c r="AE2074">
        <v>97</v>
      </c>
      <c r="AF2074">
        <v>102.74</v>
      </c>
      <c r="AG2074">
        <v>7.93</v>
      </c>
      <c r="AH2074">
        <v>5.73</v>
      </c>
      <c r="AI2074">
        <v>7.0000000000000007E-2</v>
      </c>
      <c r="AJ2074">
        <v>0.04</v>
      </c>
      <c r="AK2074">
        <v>85</v>
      </c>
      <c r="AL2074">
        <v>97</v>
      </c>
      <c r="AM2074">
        <v>46</v>
      </c>
      <c r="AN2074">
        <v>0.69</v>
      </c>
      <c r="AO2074">
        <v>1.74</v>
      </c>
      <c r="AP2074">
        <v>190</v>
      </c>
      <c r="AQ2074">
        <v>4</v>
      </c>
      <c r="AR2074">
        <v>6.37</v>
      </c>
      <c r="AS2074">
        <v>79</v>
      </c>
      <c r="AT2074">
        <v>2.9</v>
      </c>
      <c r="AU2074">
        <v>87</v>
      </c>
      <c r="AV2074">
        <v>-2.84</v>
      </c>
      <c r="AW2074">
        <v>94</v>
      </c>
      <c r="AX2074">
        <v>0.92</v>
      </c>
      <c r="AY2074">
        <v>80</v>
      </c>
      <c r="AZ2074">
        <v>7.22</v>
      </c>
      <c r="BA2074">
        <v>63</v>
      </c>
      <c r="BB2074">
        <v>5.86</v>
      </c>
      <c r="BC2074">
        <v>56</v>
      </c>
      <c r="BD2074">
        <v>-0.01</v>
      </c>
      <c r="BE2074">
        <v>-0.03</v>
      </c>
      <c r="BF2074">
        <v>-0.04</v>
      </c>
      <c r="BG2074">
        <v>93</v>
      </c>
      <c r="BH2074">
        <v>-0.05</v>
      </c>
      <c r="BI2074">
        <v>-25.13</v>
      </c>
      <c r="BJ2074">
        <v>26</v>
      </c>
      <c r="BK2074">
        <v>15</v>
      </c>
      <c r="BL2074">
        <v>0.75</v>
      </c>
      <c r="BM2074">
        <v>-0.71</v>
      </c>
      <c r="BN2074">
        <v>-0.49</v>
      </c>
      <c r="BO2074">
        <v>0.28999999999999998</v>
      </c>
      <c r="BP2074">
        <v>2.1</v>
      </c>
      <c r="BQ2074">
        <v>-0.23</v>
      </c>
      <c r="BR2074">
        <v>-0.95</v>
      </c>
      <c r="BS2074">
        <v>1.1499999999999999</v>
      </c>
      <c r="BT2074">
        <v>0.56000000000000005</v>
      </c>
      <c r="BU2074">
        <v>2.89</v>
      </c>
      <c r="BV2074">
        <v>1.41</v>
      </c>
      <c r="BW2074">
        <v>1.87</v>
      </c>
      <c r="BX2074">
        <v>2.93</v>
      </c>
      <c r="BY2074">
        <v>2.39</v>
      </c>
      <c r="BZ2074">
        <v>-1.58</v>
      </c>
      <c r="CA2074">
        <v>1.93</v>
      </c>
      <c r="CB2074">
        <v>1.89</v>
      </c>
      <c r="CC2074">
        <v>1.1000000000000001</v>
      </c>
      <c r="CD2074">
        <v>-0.18</v>
      </c>
      <c r="CE2074">
        <v>0.7</v>
      </c>
      <c r="CF2074">
        <v>0.66</v>
      </c>
      <c r="CG2074">
        <v>0</v>
      </c>
      <c r="CH2074">
        <v>2.52</v>
      </c>
      <c r="CI2074">
        <v>0</v>
      </c>
      <c r="CJ2074">
        <v>-2</v>
      </c>
      <c r="CK2074">
        <v>91</v>
      </c>
      <c r="CL2074">
        <v>-1.1200000000000001</v>
      </c>
      <c r="CM2074">
        <v>89</v>
      </c>
      <c r="CN2074">
        <v>-0.55000000000000004</v>
      </c>
      <c r="CO2074">
        <v>88</v>
      </c>
      <c r="CP2074">
        <v>7.7</v>
      </c>
      <c r="CQ2074">
        <v>78</v>
      </c>
      <c r="CR2074">
        <v>0</v>
      </c>
      <c r="CS2074">
        <v>0</v>
      </c>
      <c r="CT2074">
        <v>29</v>
      </c>
      <c r="CU2074">
        <v>71</v>
      </c>
      <c r="CV2074">
        <v>0.25</v>
      </c>
      <c r="CW2074">
        <v>44</v>
      </c>
      <c r="CX2074" t="s">
        <v>309</v>
      </c>
    </row>
    <row r="2075" spans="1:102" x14ac:dyDescent="0.3">
      <c r="A2075" t="str">
        <f>HYPERLINK("https://webapp.icbf.com/v2/app/bull-search/view/495513234","X102")</f>
        <v>X102</v>
      </c>
      <c r="B2075" t="s">
        <v>1107</v>
      </c>
      <c r="C2075" t="s">
        <v>1108</v>
      </c>
      <c r="D2075" s="1">
        <v>37095</v>
      </c>
      <c r="E2075" t="s">
        <v>92</v>
      </c>
      <c r="F2075">
        <v>100</v>
      </c>
      <c r="G2075" t="s">
        <v>109</v>
      </c>
      <c r="H2075">
        <v>66.099999999999994</v>
      </c>
      <c r="I2075">
        <v>86</v>
      </c>
      <c r="J2075">
        <v>28.66</v>
      </c>
      <c r="K2075">
        <v>95</v>
      </c>
      <c r="L2075">
        <v>9.39</v>
      </c>
      <c r="M2075">
        <v>86</v>
      </c>
      <c r="N2075">
        <v>24.3</v>
      </c>
      <c r="O2075">
        <v>76</v>
      </c>
      <c r="P2075">
        <v>-2.92</v>
      </c>
      <c r="Q2075">
        <v>80</v>
      </c>
      <c r="R2075">
        <v>3.77</v>
      </c>
      <c r="S2075">
        <v>79</v>
      </c>
      <c r="T2075">
        <v>11.61</v>
      </c>
      <c r="U2075">
        <v>78</v>
      </c>
      <c r="V2075">
        <v>-8.7100000000000009</v>
      </c>
      <c r="W2075">
        <v>72</v>
      </c>
      <c r="X2075" t="s">
        <v>234</v>
      </c>
      <c r="Y2075" t="s">
        <v>95</v>
      </c>
      <c r="Z2075" t="s">
        <v>96</v>
      </c>
      <c r="AA2075" t="s">
        <v>1109</v>
      </c>
      <c r="AB2075" t="s">
        <v>1110</v>
      </c>
      <c r="AC2075">
        <v>29</v>
      </c>
      <c r="AD2075">
        <v>15</v>
      </c>
      <c r="AE2075">
        <v>95</v>
      </c>
      <c r="AF2075">
        <v>163.94</v>
      </c>
      <c r="AG2075">
        <v>1.45</v>
      </c>
      <c r="AH2075">
        <v>6.87</v>
      </c>
      <c r="AI2075">
        <v>-0.08</v>
      </c>
      <c r="AJ2075">
        <v>0.02</v>
      </c>
      <c r="AK2075">
        <v>86</v>
      </c>
      <c r="AL2075">
        <v>33</v>
      </c>
      <c r="AM2075">
        <v>19</v>
      </c>
      <c r="AN2075">
        <v>-0.43</v>
      </c>
      <c r="AO2075">
        <v>0.32</v>
      </c>
      <c r="AP2075">
        <v>50</v>
      </c>
      <c r="AQ2075">
        <v>0</v>
      </c>
      <c r="AR2075">
        <v>3.86</v>
      </c>
      <c r="AS2075">
        <v>63</v>
      </c>
      <c r="AT2075">
        <v>2.12</v>
      </c>
      <c r="AU2075">
        <v>90</v>
      </c>
      <c r="AV2075">
        <v>-1.93</v>
      </c>
      <c r="AW2075">
        <v>81</v>
      </c>
      <c r="AX2075">
        <v>-0.84</v>
      </c>
      <c r="AY2075">
        <v>68</v>
      </c>
      <c r="AZ2075">
        <v>7.42</v>
      </c>
      <c r="BA2075">
        <v>55</v>
      </c>
      <c r="BB2075">
        <v>6.34</v>
      </c>
      <c r="BC2075">
        <v>56</v>
      </c>
      <c r="BD2075">
        <v>-0.01</v>
      </c>
      <c r="BE2075">
        <v>0</v>
      </c>
      <c r="BF2075">
        <v>-7.0000000000000007E-2</v>
      </c>
      <c r="BG2075">
        <v>92</v>
      </c>
      <c r="BH2075">
        <v>-0.18</v>
      </c>
      <c r="BI2075">
        <v>7.26</v>
      </c>
      <c r="BJ2075">
        <v>5</v>
      </c>
      <c r="BK2075">
        <v>3</v>
      </c>
      <c r="BL2075">
        <v>0.34</v>
      </c>
      <c r="BM2075">
        <v>0.67</v>
      </c>
      <c r="BN2075">
        <v>0.76</v>
      </c>
      <c r="BO2075">
        <v>-0.43</v>
      </c>
      <c r="BP2075">
        <v>0.69</v>
      </c>
      <c r="BQ2075">
        <v>-0.85</v>
      </c>
      <c r="BR2075">
        <v>0.9</v>
      </c>
      <c r="BS2075">
        <v>-1.7</v>
      </c>
      <c r="BT2075">
        <v>0.02</v>
      </c>
      <c r="BU2075">
        <v>0.45</v>
      </c>
      <c r="BV2075">
        <v>-0.28999999999999998</v>
      </c>
      <c r="BW2075">
        <v>-0.12</v>
      </c>
      <c r="BX2075">
        <v>0.13</v>
      </c>
      <c r="BY2075">
        <v>-1.1200000000000001</v>
      </c>
      <c r="BZ2075">
        <v>1.96</v>
      </c>
      <c r="CA2075">
        <v>-0.08</v>
      </c>
      <c r="CB2075">
        <v>0.08</v>
      </c>
      <c r="CC2075">
        <v>-0.38</v>
      </c>
      <c r="CD2075">
        <v>0.71</v>
      </c>
      <c r="CE2075">
        <v>0.5</v>
      </c>
      <c r="CF2075">
        <v>0.78</v>
      </c>
      <c r="CG2075">
        <v>0</v>
      </c>
      <c r="CH2075">
        <v>-1.24</v>
      </c>
      <c r="CI2075">
        <v>0</v>
      </c>
      <c r="CJ2075">
        <v>2.2999999999999998</v>
      </c>
      <c r="CK2075">
        <v>82</v>
      </c>
      <c r="CL2075">
        <v>-0.69</v>
      </c>
      <c r="CM2075">
        <v>79</v>
      </c>
      <c r="CN2075">
        <v>-0.12</v>
      </c>
      <c r="CO2075">
        <v>76</v>
      </c>
      <c r="CP2075">
        <v>-2.5</v>
      </c>
      <c r="CQ2075">
        <v>79</v>
      </c>
      <c r="CR2075">
        <v>0</v>
      </c>
      <c r="CS2075">
        <v>0</v>
      </c>
      <c r="CT2075">
        <v>-1.9</v>
      </c>
      <c r="CU2075">
        <v>78</v>
      </c>
      <c r="CV2075">
        <v>0.27</v>
      </c>
      <c r="CW2075">
        <v>42</v>
      </c>
      <c r="CX2075" t="s">
        <v>193</v>
      </c>
    </row>
    <row r="2076" spans="1:102" x14ac:dyDescent="0.3">
      <c r="A2076" t="str">
        <f>HYPERLINK("https://webapp.icbf.com/v2/app/bull-search/view/586036799","MWH")</f>
        <v>MWH</v>
      </c>
      <c r="B2076" t="s">
        <v>5283</v>
      </c>
      <c r="C2076" t="s">
        <v>2727</v>
      </c>
      <c r="D2076" s="1">
        <v>39275</v>
      </c>
      <c r="E2076" t="s">
        <v>92</v>
      </c>
      <c r="F2076">
        <v>69</v>
      </c>
      <c r="G2076" t="s">
        <v>93</v>
      </c>
      <c r="H2076">
        <v>66.069999999999993</v>
      </c>
      <c r="I2076">
        <v>96</v>
      </c>
      <c r="J2076">
        <v>65.05</v>
      </c>
      <c r="K2076">
        <v>99</v>
      </c>
      <c r="L2076">
        <v>-60.77</v>
      </c>
      <c r="M2076">
        <v>93</v>
      </c>
      <c r="N2076">
        <v>49.06</v>
      </c>
      <c r="O2076">
        <v>97</v>
      </c>
      <c r="P2076">
        <v>-24.76</v>
      </c>
      <c r="Q2076">
        <v>99</v>
      </c>
      <c r="R2076">
        <v>2.81</v>
      </c>
      <c r="S2076">
        <v>93</v>
      </c>
      <c r="T2076">
        <v>29.14</v>
      </c>
      <c r="U2076">
        <v>99</v>
      </c>
      <c r="V2076">
        <v>5.54</v>
      </c>
      <c r="W2076">
        <v>93</v>
      </c>
      <c r="X2076" t="s">
        <v>276</v>
      </c>
      <c r="Y2076" t="s">
        <v>329</v>
      </c>
      <c r="Z2076" t="s">
        <v>330</v>
      </c>
      <c r="AA2076" t="s">
        <v>2339</v>
      </c>
      <c r="AB2076" t="s">
        <v>5284</v>
      </c>
      <c r="AC2076">
        <v>917</v>
      </c>
      <c r="AD2076">
        <v>293</v>
      </c>
      <c r="AE2076">
        <v>99</v>
      </c>
      <c r="AF2076">
        <v>75.040000000000006</v>
      </c>
      <c r="AG2076">
        <v>12.5</v>
      </c>
      <c r="AH2076">
        <v>7.79</v>
      </c>
      <c r="AI2076">
        <v>0.17</v>
      </c>
      <c r="AJ2076">
        <v>0.09</v>
      </c>
      <c r="AK2076">
        <v>93</v>
      </c>
      <c r="AL2076">
        <v>965</v>
      </c>
      <c r="AM2076">
        <v>295</v>
      </c>
      <c r="AN2076">
        <v>3.81</v>
      </c>
      <c r="AO2076">
        <v>-1.03</v>
      </c>
      <c r="AP2076">
        <v>2004</v>
      </c>
      <c r="AQ2076">
        <v>18</v>
      </c>
      <c r="AR2076">
        <v>6.53</v>
      </c>
      <c r="AS2076">
        <v>95</v>
      </c>
      <c r="AT2076">
        <v>2.35</v>
      </c>
      <c r="AU2076">
        <v>98</v>
      </c>
      <c r="AV2076">
        <v>-5.41</v>
      </c>
      <c r="AW2076">
        <v>99</v>
      </c>
      <c r="AX2076">
        <v>-0.16</v>
      </c>
      <c r="AY2076">
        <v>98</v>
      </c>
      <c r="AZ2076">
        <v>7.76</v>
      </c>
      <c r="BA2076">
        <v>93</v>
      </c>
      <c r="BB2076">
        <v>5.22</v>
      </c>
      <c r="BC2076">
        <v>94</v>
      </c>
      <c r="BD2076">
        <v>-0.04</v>
      </c>
      <c r="BE2076">
        <v>-0.02</v>
      </c>
      <c r="BF2076">
        <v>0.04</v>
      </c>
      <c r="BG2076">
        <v>98</v>
      </c>
      <c r="BH2076">
        <v>0.02</v>
      </c>
      <c r="BI2076">
        <v>-15.55</v>
      </c>
      <c r="BJ2076">
        <v>27</v>
      </c>
      <c r="BK2076">
        <v>11</v>
      </c>
      <c r="BL2076">
        <v>-2.11</v>
      </c>
      <c r="BM2076">
        <v>-0.96</v>
      </c>
      <c r="BN2076">
        <v>-1.05</v>
      </c>
      <c r="BO2076">
        <v>-0.8</v>
      </c>
      <c r="BP2076">
        <v>-0.72</v>
      </c>
      <c r="BQ2076">
        <v>-1.95</v>
      </c>
      <c r="BR2076">
        <v>2.73</v>
      </c>
      <c r="BS2076">
        <v>-2.02</v>
      </c>
      <c r="BT2076">
        <v>-3.34</v>
      </c>
      <c r="BU2076">
        <v>0.2</v>
      </c>
      <c r="BV2076">
        <v>0.85</v>
      </c>
      <c r="BW2076">
        <v>0.88</v>
      </c>
      <c r="BX2076">
        <v>-2.02</v>
      </c>
      <c r="BY2076">
        <v>0.49</v>
      </c>
      <c r="BZ2076">
        <v>-0.55000000000000004</v>
      </c>
      <c r="CA2076">
        <v>0.06</v>
      </c>
      <c r="CB2076">
        <v>0.83</v>
      </c>
      <c r="CC2076">
        <v>-1.35</v>
      </c>
      <c r="CD2076">
        <v>-0.14000000000000001</v>
      </c>
      <c r="CE2076">
        <v>-0.31</v>
      </c>
      <c r="CF2076">
        <v>-1.97</v>
      </c>
      <c r="CG2076">
        <v>0</v>
      </c>
      <c r="CH2076">
        <v>0.99</v>
      </c>
      <c r="CI2076">
        <v>0</v>
      </c>
      <c r="CJ2076">
        <v>-13.4</v>
      </c>
      <c r="CK2076">
        <v>99</v>
      </c>
      <c r="CL2076">
        <v>-0.64</v>
      </c>
      <c r="CM2076">
        <v>99</v>
      </c>
      <c r="CN2076">
        <v>-0.28000000000000003</v>
      </c>
      <c r="CO2076">
        <v>99</v>
      </c>
      <c r="CP2076">
        <v>-19.600000000000001</v>
      </c>
      <c r="CQ2076">
        <v>98</v>
      </c>
      <c r="CR2076">
        <v>0</v>
      </c>
      <c r="CS2076">
        <v>0</v>
      </c>
      <c r="CT2076">
        <v>-25.6</v>
      </c>
      <c r="CU2076">
        <v>99</v>
      </c>
      <c r="CV2076">
        <v>-0.01</v>
      </c>
      <c r="CW2076">
        <v>48</v>
      </c>
      <c r="CX2076" t="s">
        <v>1360</v>
      </c>
    </row>
    <row r="2077" spans="1:102" x14ac:dyDescent="0.3">
      <c r="A2077" t="str">
        <f>HYPERLINK("https://webapp.icbf.com/v2/app/bull-search/view/394001364","LPZ")</f>
        <v>LPZ</v>
      </c>
      <c r="B2077" t="s">
        <v>11852</v>
      </c>
      <c r="C2077" t="s">
        <v>11853</v>
      </c>
      <c r="D2077" s="1">
        <v>36729</v>
      </c>
      <c r="E2077" t="s">
        <v>92</v>
      </c>
      <c r="F2077">
        <v>100</v>
      </c>
      <c r="G2077" t="s">
        <v>109</v>
      </c>
      <c r="H2077">
        <v>66.03</v>
      </c>
      <c r="I2077">
        <v>82</v>
      </c>
      <c r="J2077">
        <v>31.96</v>
      </c>
      <c r="K2077">
        <v>93</v>
      </c>
      <c r="L2077">
        <v>9.51</v>
      </c>
      <c r="M2077">
        <v>79</v>
      </c>
      <c r="N2077">
        <v>21.36</v>
      </c>
      <c r="O2077">
        <v>70</v>
      </c>
      <c r="P2077">
        <v>-20.91</v>
      </c>
      <c r="Q2077">
        <v>79</v>
      </c>
      <c r="R2077">
        <v>-5.28</v>
      </c>
      <c r="S2077">
        <v>77</v>
      </c>
      <c r="T2077">
        <v>24.63</v>
      </c>
      <c r="U2077">
        <v>74</v>
      </c>
      <c r="V2077">
        <v>4.76</v>
      </c>
      <c r="W2077">
        <v>68</v>
      </c>
      <c r="X2077" t="s">
        <v>302</v>
      </c>
      <c r="Y2077" t="s">
        <v>95</v>
      </c>
      <c r="Z2077" t="s">
        <v>96</v>
      </c>
      <c r="AA2077" t="s">
        <v>4806</v>
      </c>
      <c r="AB2077" t="s">
        <v>7444</v>
      </c>
      <c r="AC2077">
        <v>0</v>
      </c>
      <c r="AD2077">
        <v>0</v>
      </c>
      <c r="AE2077">
        <v>93</v>
      </c>
      <c r="AF2077">
        <v>121.84</v>
      </c>
      <c r="AG2077">
        <v>0.2</v>
      </c>
      <c r="AH2077">
        <v>7.23</v>
      </c>
      <c r="AI2077">
        <v>-0.08</v>
      </c>
      <c r="AJ2077">
        <v>0.05</v>
      </c>
      <c r="AK2077">
        <v>79</v>
      </c>
      <c r="AL2077">
        <v>0</v>
      </c>
      <c r="AM2077">
        <v>0</v>
      </c>
      <c r="AN2077">
        <v>-1.2</v>
      </c>
      <c r="AO2077">
        <v>-0.45</v>
      </c>
      <c r="AP2077">
        <v>44</v>
      </c>
      <c r="AQ2077">
        <v>0</v>
      </c>
      <c r="AR2077">
        <v>7.95</v>
      </c>
      <c r="AS2077">
        <v>58</v>
      </c>
      <c r="AT2077">
        <v>3.64</v>
      </c>
      <c r="AU2077">
        <v>76</v>
      </c>
      <c r="AV2077">
        <v>-2.84</v>
      </c>
      <c r="AW2077">
        <v>76</v>
      </c>
      <c r="AX2077">
        <v>-0.84</v>
      </c>
      <c r="AY2077">
        <v>65</v>
      </c>
      <c r="AZ2077">
        <v>5.67</v>
      </c>
      <c r="BA2077">
        <v>51</v>
      </c>
      <c r="BB2077">
        <v>4.75</v>
      </c>
      <c r="BC2077">
        <v>54</v>
      </c>
      <c r="BD2077">
        <v>-0.01</v>
      </c>
      <c r="BE2077">
        <v>0.02</v>
      </c>
      <c r="BF2077">
        <v>0.1</v>
      </c>
      <c r="BG2077">
        <v>89</v>
      </c>
      <c r="BH2077">
        <v>-0.03</v>
      </c>
      <c r="BI2077">
        <v>-18.809999999999999</v>
      </c>
      <c r="BJ2077">
        <v>0</v>
      </c>
      <c r="BK2077">
        <v>0</v>
      </c>
      <c r="BL2077">
        <v>-0.09</v>
      </c>
      <c r="BM2077">
        <v>-0.06</v>
      </c>
      <c r="BN2077">
        <v>-0.32</v>
      </c>
      <c r="BO2077">
        <v>-0.2</v>
      </c>
      <c r="BP2077">
        <v>-1.03</v>
      </c>
      <c r="BQ2077">
        <v>0.46</v>
      </c>
      <c r="BR2077">
        <v>3.14</v>
      </c>
      <c r="BS2077">
        <v>-3.35</v>
      </c>
      <c r="BT2077">
        <v>-3.27</v>
      </c>
      <c r="BU2077">
        <v>-0.42</v>
      </c>
      <c r="BV2077">
        <v>-0.12</v>
      </c>
      <c r="BW2077">
        <v>-0.23</v>
      </c>
      <c r="BX2077">
        <v>-1.22</v>
      </c>
      <c r="BY2077">
        <v>0.55000000000000004</v>
      </c>
      <c r="BZ2077">
        <v>0.61</v>
      </c>
      <c r="CA2077">
        <v>-1.22</v>
      </c>
      <c r="CB2077">
        <v>-0.49</v>
      </c>
      <c r="CC2077">
        <v>-2.92</v>
      </c>
      <c r="CD2077">
        <v>-0.5</v>
      </c>
      <c r="CE2077">
        <v>-0.47</v>
      </c>
      <c r="CF2077">
        <v>-1.01</v>
      </c>
      <c r="CG2077">
        <v>0</v>
      </c>
      <c r="CH2077">
        <v>0.26</v>
      </c>
      <c r="CI2077">
        <v>0</v>
      </c>
      <c r="CJ2077">
        <v>-9.4</v>
      </c>
      <c r="CK2077">
        <v>81</v>
      </c>
      <c r="CL2077">
        <v>-0.82</v>
      </c>
      <c r="CM2077">
        <v>78</v>
      </c>
      <c r="CN2077">
        <v>-0.26</v>
      </c>
      <c r="CO2077">
        <v>76</v>
      </c>
      <c r="CP2077">
        <v>-16.8</v>
      </c>
      <c r="CQ2077">
        <v>78</v>
      </c>
      <c r="CR2077">
        <v>0</v>
      </c>
      <c r="CS2077">
        <v>0</v>
      </c>
      <c r="CT2077">
        <v>-19.5</v>
      </c>
      <c r="CU2077">
        <v>74</v>
      </c>
      <c r="CV2077">
        <v>0.02</v>
      </c>
      <c r="CW2077">
        <v>42</v>
      </c>
      <c r="CX2077" t="s">
        <v>1161</v>
      </c>
    </row>
    <row r="2078" spans="1:102" x14ac:dyDescent="0.3">
      <c r="A2078" t="str">
        <f>HYPERLINK("https://webapp.icbf.com/v2/app/bull-search/view/120444524","BKX")</f>
        <v>BKX</v>
      </c>
      <c r="B2078" t="s">
        <v>14819</v>
      </c>
      <c r="C2078" t="s">
        <v>14820</v>
      </c>
      <c r="D2078" s="1">
        <v>35285</v>
      </c>
      <c r="E2078" t="s">
        <v>92</v>
      </c>
      <c r="F2078">
        <v>75</v>
      </c>
      <c r="G2078" t="s">
        <v>109</v>
      </c>
      <c r="H2078">
        <v>66.02</v>
      </c>
      <c r="I2078">
        <v>62</v>
      </c>
      <c r="J2078">
        <v>59.44</v>
      </c>
      <c r="K2078">
        <v>73</v>
      </c>
      <c r="L2078">
        <v>0.14000000000000001</v>
      </c>
      <c r="M2078">
        <v>61</v>
      </c>
      <c r="N2078">
        <v>14.18</v>
      </c>
      <c r="O2078">
        <v>54</v>
      </c>
      <c r="P2078">
        <v>-16.05</v>
      </c>
      <c r="Q2078">
        <v>54</v>
      </c>
      <c r="R2078">
        <v>-1.26</v>
      </c>
      <c r="S2078">
        <v>62</v>
      </c>
      <c r="T2078">
        <v>13.75</v>
      </c>
      <c r="U2078">
        <v>48</v>
      </c>
      <c r="V2078">
        <v>-4.18</v>
      </c>
      <c r="W2078">
        <v>37</v>
      </c>
      <c r="X2078" t="s">
        <v>94</v>
      </c>
      <c r="Y2078" t="s">
        <v>95</v>
      </c>
      <c r="Z2078" t="s">
        <v>96</v>
      </c>
      <c r="AA2078" t="s">
        <v>529</v>
      </c>
      <c r="AB2078" t="s">
        <v>14821</v>
      </c>
      <c r="AC2078">
        <v>0</v>
      </c>
      <c r="AD2078">
        <v>0</v>
      </c>
      <c r="AE2078">
        <v>73</v>
      </c>
      <c r="AF2078">
        <v>204.08</v>
      </c>
      <c r="AG2078">
        <v>14.03</v>
      </c>
      <c r="AH2078">
        <v>8.27</v>
      </c>
      <c r="AI2078">
        <v>0.1</v>
      </c>
      <c r="AJ2078">
        <v>0.02</v>
      </c>
      <c r="AK2078">
        <v>61</v>
      </c>
      <c r="AL2078">
        <v>0</v>
      </c>
      <c r="AM2078">
        <v>0</v>
      </c>
      <c r="AN2078">
        <v>-0.08</v>
      </c>
      <c r="AO2078">
        <v>-7.0000000000000007E-2</v>
      </c>
      <c r="AP2078">
        <v>7</v>
      </c>
      <c r="AQ2078">
        <v>0</v>
      </c>
      <c r="AR2078">
        <v>7.96</v>
      </c>
      <c r="AS2078">
        <v>30</v>
      </c>
      <c r="AT2078">
        <v>3.37</v>
      </c>
      <c r="AU2078">
        <v>69</v>
      </c>
      <c r="AV2078">
        <v>-2.16</v>
      </c>
      <c r="AW2078">
        <v>62</v>
      </c>
      <c r="AX2078">
        <v>-0.84</v>
      </c>
      <c r="AY2078">
        <v>39</v>
      </c>
      <c r="AZ2078">
        <v>6.71</v>
      </c>
      <c r="BA2078">
        <v>30</v>
      </c>
      <c r="BB2078">
        <v>5.3</v>
      </c>
      <c r="BC2078">
        <v>32</v>
      </c>
      <c r="BD2078">
        <v>-0.03</v>
      </c>
      <c r="BE2078">
        <v>0.01</v>
      </c>
      <c r="BF2078">
        <v>0.06</v>
      </c>
      <c r="BG2078">
        <v>83</v>
      </c>
      <c r="BH2078">
        <v>-0.13</v>
      </c>
      <c r="BI2078">
        <v>-1.57</v>
      </c>
      <c r="BJ2078">
        <v>0</v>
      </c>
      <c r="BK2078">
        <v>0</v>
      </c>
      <c r="BL2078">
        <v>-0.3</v>
      </c>
      <c r="BM2078">
        <v>0.12</v>
      </c>
      <c r="BN2078">
        <v>0.03</v>
      </c>
      <c r="BO2078">
        <v>-0.28000000000000003</v>
      </c>
      <c r="BP2078">
        <v>-1.6</v>
      </c>
      <c r="BQ2078">
        <v>-0.36</v>
      </c>
      <c r="BR2078">
        <v>-0.03</v>
      </c>
      <c r="BS2078">
        <v>-1</v>
      </c>
      <c r="BT2078">
        <v>-0.27</v>
      </c>
      <c r="BU2078">
        <v>-1.5</v>
      </c>
      <c r="BV2078">
        <v>-0.53</v>
      </c>
      <c r="BW2078">
        <v>-1.24</v>
      </c>
      <c r="BX2078">
        <v>-1.43</v>
      </c>
      <c r="BY2078">
        <v>-1.63</v>
      </c>
      <c r="BZ2078">
        <v>-0.49</v>
      </c>
      <c r="CA2078">
        <v>-1.04</v>
      </c>
      <c r="CB2078">
        <v>-1.33</v>
      </c>
      <c r="CC2078">
        <v>-0.66</v>
      </c>
      <c r="CD2078">
        <v>0.06</v>
      </c>
      <c r="CE2078">
        <v>-0.16</v>
      </c>
      <c r="CF2078">
        <v>-0.53</v>
      </c>
      <c r="CG2078">
        <v>0</v>
      </c>
      <c r="CH2078">
        <v>-0.98</v>
      </c>
      <c r="CI2078">
        <v>0</v>
      </c>
      <c r="CJ2078">
        <v>-6.1</v>
      </c>
      <c r="CK2078">
        <v>56</v>
      </c>
      <c r="CL2078">
        <v>-0.57999999999999996</v>
      </c>
      <c r="CM2078">
        <v>51</v>
      </c>
      <c r="CN2078">
        <v>0</v>
      </c>
      <c r="CO2078">
        <v>46</v>
      </c>
      <c r="CP2078">
        <v>-11</v>
      </c>
      <c r="CQ2078">
        <v>59</v>
      </c>
      <c r="CR2078">
        <v>0</v>
      </c>
      <c r="CS2078">
        <v>0</v>
      </c>
      <c r="CT2078">
        <v>-4.8</v>
      </c>
      <c r="CU2078">
        <v>48</v>
      </c>
      <c r="CV2078">
        <v>0.04</v>
      </c>
      <c r="CW2078">
        <v>16</v>
      </c>
      <c r="CX2078" t="s">
        <v>14822</v>
      </c>
    </row>
    <row r="2079" spans="1:102" x14ac:dyDescent="0.3">
      <c r="A2079" t="str">
        <f>HYPERLINK("https://webapp.icbf.com/v2/app/bull-search/view/659984400","S2119")</f>
        <v>S2119</v>
      </c>
      <c r="B2079" t="s">
        <v>2694</v>
      </c>
      <c r="C2079" t="s">
        <v>2695</v>
      </c>
      <c r="D2079" s="1">
        <v>39243</v>
      </c>
      <c r="E2079" t="s">
        <v>92</v>
      </c>
      <c r="F2079">
        <v>100</v>
      </c>
      <c r="G2079" t="s">
        <v>109</v>
      </c>
      <c r="H2079">
        <v>65.98</v>
      </c>
      <c r="I2079">
        <v>68</v>
      </c>
      <c r="J2079">
        <v>19.98</v>
      </c>
      <c r="K2079">
        <v>78</v>
      </c>
      <c r="L2079">
        <v>12.08</v>
      </c>
      <c r="M2079">
        <v>79</v>
      </c>
      <c r="N2079">
        <v>26.91</v>
      </c>
      <c r="O2079">
        <v>60</v>
      </c>
      <c r="P2079">
        <v>-15.32</v>
      </c>
      <c r="Q2079">
        <v>46</v>
      </c>
      <c r="R2079">
        <v>6.62</v>
      </c>
      <c r="S2079">
        <v>64</v>
      </c>
      <c r="T2079">
        <v>12.57</v>
      </c>
      <c r="U2079">
        <v>37</v>
      </c>
      <c r="V2079">
        <v>3.14</v>
      </c>
      <c r="W2079">
        <v>26</v>
      </c>
      <c r="X2079" t="s">
        <v>251</v>
      </c>
      <c r="Y2079" t="s">
        <v>367</v>
      </c>
      <c r="Z2079" t="s">
        <v>96</v>
      </c>
      <c r="AA2079" t="s">
        <v>277</v>
      </c>
      <c r="AB2079" t="s">
        <v>2696</v>
      </c>
      <c r="AC2079">
        <v>0</v>
      </c>
      <c r="AD2079">
        <v>0</v>
      </c>
      <c r="AE2079">
        <v>78</v>
      </c>
      <c r="AF2079">
        <v>301.22000000000003</v>
      </c>
      <c r="AG2079">
        <v>4.83</v>
      </c>
      <c r="AH2079">
        <v>6.3</v>
      </c>
      <c r="AI2079">
        <v>-0.11</v>
      </c>
      <c r="AJ2079">
        <v>-0.06</v>
      </c>
      <c r="AK2079">
        <v>79</v>
      </c>
      <c r="AL2079">
        <v>0</v>
      </c>
      <c r="AM2079">
        <v>0</v>
      </c>
      <c r="AN2079">
        <v>0.66</v>
      </c>
      <c r="AO2079">
        <v>1.64</v>
      </c>
      <c r="AP2079">
        <v>4</v>
      </c>
      <c r="AQ2079">
        <v>1</v>
      </c>
      <c r="AR2079">
        <v>7.51</v>
      </c>
      <c r="AS2079">
        <v>27</v>
      </c>
      <c r="AT2079">
        <v>3.1</v>
      </c>
      <c r="AU2079">
        <v>82</v>
      </c>
      <c r="AV2079">
        <v>-2.94</v>
      </c>
      <c r="AW2079">
        <v>73</v>
      </c>
      <c r="AX2079">
        <v>-0.84</v>
      </c>
      <c r="AY2079">
        <v>39</v>
      </c>
      <c r="AZ2079">
        <v>6.14</v>
      </c>
      <c r="BA2079">
        <v>27</v>
      </c>
      <c r="BB2079">
        <v>4.91</v>
      </c>
      <c r="BC2079">
        <v>26</v>
      </c>
      <c r="BD2079">
        <v>-0.02</v>
      </c>
      <c r="BE2079">
        <v>-0.01</v>
      </c>
      <c r="BF2079">
        <v>-0.1</v>
      </c>
      <c r="BG2079">
        <v>87</v>
      </c>
      <c r="BH2079">
        <v>0.03</v>
      </c>
      <c r="BI2079">
        <v>-6.66</v>
      </c>
      <c r="BJ2079">
        <v>0</v>
      </c>
      <c r="BK2079">
        <v>0</v>
      </c>
      <c r="BL2079">
        <v>0.82</v>
      </c>
      <c r="BM2079">
        <v>-0.89</v>
      </c>
      <c r="BN2079">
        <v>-0.82</v>
      </c>
      <c r="BO2079">
        <v>0.19</v>
      </c>
      <c r="BP2079">
        <v>0.59</v>
      </c>
      <c r="BQ2079">
        <v>-0.61</v>
      </c>
      <c r="BR2079">
        <v>0.3</v>
      </c>
      <c r="BS2079">
        <v>2.34</v>
      </c>
      <c r="BT2079">
        <v>-0.66</v>
      </c>
      <c r="BU2079">
        <v>1.0900000000000001</v>
      </c>
      <c r="BV2079">
        <v>1.25</v>
      </c>
      <c r="BW2079">
        <v>0.43</v>
      </c>
      <c r="BX2079">
        <v>1.02</v>
      </c>
      <c r="BY2079">
        <v>0.08</v>
      </c>
      <c r="BZ2079">
        <v>0.79</v>
      </c>
      <c r="CA2079">
        <v>1.76</v>
      </c>
      <c r="CB2079">
        <v>1.28</v>
      </c>
      <c r="CC2079">
        <v>1.68</v>
      </c>
      <c r="CD2079">
        <v>-0.25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-5.0999999999999996</v>
      </c>
      <c r="CK2079">
        <v>48</v>
      </c>
      <c r="CL2079">
        <v>-1.04</v>
      </c>
      <c r="CM2079">
        <v>43</v>
      </c>
      <c r="CN2079">
        <v>-0.25</v>
      </c>
      <c r="CO2079">
        <v>39</v>
      </c>
      <c r="CP2079">
        <v>-3.2</v>
      </c>
      <c r="CQ2079">
        <v>47</v>
      </c>
      <c r="CR2079">
        <v>0</v>
      </c>
      <c r="CS2079">
        <v>0</v>
      </c>
      <c r="CT2079">
        <v>-3.2</v>
      </c>
      <c r="CU2079">
        <v>37</v>
      </c>
      <c r="CV2079">
        <v>0.19</v>
      </c>
      <c r="CW2079">
        <v>12</v>
      </c>
      <c r="CX2079" t="s">
        <v>842</v>
      </c>
    </row>
    <row r="2080" spans="1:102" x14ac:dyDescent="0.3">
      <c r="A2080" t="str">
        <f>HYPERLINK("https://webapp.icbf.com/v2/app/bull-search/view/108367868","OII")</f>
        <v>OII</v>
      </c>
      <c r="B2080" t="s">
        <v>11123</v>
      </c>
      <c r="C2080" t="s">
        <v>11124</v>
      </c>
      <c r="D2080" s="1">
        <v>34941</v>
      </c>
      <c r="E2080" t="s">
        <v>92</v>
      </c>
      <c r="F2080">
        <v>100</v>
      </c>
      <c r="G2080" t="s">
        <v>93</v>
      </c>
      <c r="H2080">
        <v>65.97</v>
      </c>
      <c r="I2080">
        <v>91</v>
      </c>
      <c r="J2080">
        <v>22.03</v>
      </c>
      <c r="K2080">
        <v>97</v>
      </c>
      <c r="L2080">
        <v>37</v>
      </c>
      <c r="M2080">
        <v>89</v>
      </c>
      <c r="N2080">
        <v>4.28</v>
      </c>
      <c r="O2080">
        <v>87</v>
      </c>
      <c r="P2080">
        <v>0.91</v>
      </c>
      <c r="Q2080">
        <v>93</v>
      </c>
      <c r="R2080">
        <v>3.39</v>
      </c>
      <c r="S2080">
        <v>82</v>
      </c>
      <c r="T2080">
        <v>-0.68</v>
      </c>
      <c r="U2080">
        <v>88</v>
      </c>
      <c r="V2080">
        <v>-0.96</v>
      </c>
      <c r="W2080">
        <v>77</v>
      </c>
      <c r="X2080" t="s">
        <v>102</v>
      </c>
      <c r="Y2080" t="s">
        <v>95</v>
      </c>
      <c r="Z2080" t="s">
        <v>96</v>
      </c>
      <c r="AA2080" t="s">
        <v>11125</v>
      </c>
      <c r="AB2080" t="s">
        <v>5999</v>
      </c>
      <c r="AC2080">
        <v>102</v>
      </c>
      <c r="AD2080">
        <v>52</v>
      </c>
      <c r="AE2080">
        <v>97</v>
      </c>
      <c r="AF2080">
        <v>-56.35</v>
      </c>
      <c r="AG2080">
        <v>6.71</v>
      </c>
      <c r="AH2080">
        <v>0.51</v>
      </c>
      <c r="AI2080">
        <v>0.16</v>
      </c>
      <c r="AJ2080">
        <v>0.04</v>
      </c>
      <c r="AK2080">
        <v>89</v>
      </c>
      <c r="AL2080">
        <v>126</v>
      </c>
      <c r="AM2080">
        <v>62</v>
      </c>
      <c r="AN2080">
        <v>-2.09</v>
      </c>
      <c r="AO2080">
        <v>0.86</v>
      </c>
      <c r="AP2080">
        <v>213</v>
      </c>
      <c r="AQ2080">
        <v>2</v>
      </c>
      <c r="AR2080">
        <v>6.31</v>
      </c>
      <c r="AS2080">
        <v>78</v>
      </c>
      <c r="AT2080">
        <v>2.93</v>
      </c>
      <c r="AU2080">
        <v>93</v>
      </c>
      <c r="AV2080">
        <v>-0.17</v>
      </c>
      <c r="AW2080">
        <v>94</v>
      </c>
      <c r="AX2080">
        <v>-0.06</v>
      </c>
      <c r="AY2080">
        <v>85</v>
      </c>
      <c r="AZ2080">
        <v>7.01</v>
      </c>
      <c r="BA2080">
        <v>65</v>
      </c>
      <c r="BB2080">
        <v>5.25</v>
      </c>
      <c r="BC2080">
        <v>68</v>
      </c>
      <c r="BD2080">
        <v>0</v>
      </c>
      <c r="BE2080">
        <v>-0.02</v>
      </c>
      <c r="BF2080">
        <v>-0.04</v>
      </c>
      <c r="BG2080">
        <v>94</v>
      </c>
      <c r="BH2080">
        <v>0.04</v>
      </c>
      <c r="BI2080">
        <v>7.71</v>
      </c>
      <c r="BJ2080">
        <v>25</v>
      </c>
      <c r="BK2080">
        <v>13</v>
      </c>
      <c r="BL2080">
        <v>0.56999999999999995</v>
      </c>
      <c r="BM2080">
        <v>0.74</v>
      </c>
      <c r="BN2080">
        <v>0.51</v>
      </c>
      <c r="BO2080">
        <v>-0.27</v>
      </c>
      <c r="BP2080">
        <v>1.38</v>
      </c>
      <c r="BQ2080">
        <v>-1.64</v>
      </c>
      <c r="BR2080">
        <v>0.4</v>
      </c>
      <c r="BS2080">
        <v>-0.13</v>
      </c>
      <c r="BT2080">
        <v>0.68</v>
      </c>
      <c r="BU2080">
        <v>0.25</v>
      </c>
      <c r="BV2080">
        <v>0</v>
      </c>
      <c r="BW2080">
        <v>0.56000000000000005</v>
      </c>
      <c r="BX2080">
        <v>1.57</v>
      </c>
      <c r="BY2080">
        <v>-0.61</v>
      </c>
      <c r="BZ2080">
        <v>7.0000000000000007E-2</v>
      </c>
      <c r="CA2080">
        <v>0.43</v>
      </c>
      <c r="CB2080">
        <v>0.43</v>
      </c>
      <c r="CC2080">
        <v>0.18</v>
      </c>
      <c r="CD2080">
        <v>0.57999999999999996</v>
      </c>
      <c r="CE2080">
        <v>0.25</v>
      </c>
      <c r="CF2080">
        <v>0.84</v>
      </c>
      <c r="CG2080">
        <v>0</v>
      </c>
      <c r="CH2080">
        <v>-0.63</v>
      </c>
      <c r="CI2080">
        <v>0</v>
      </c>
      <c r="CJ2080">
        <v>1.9</v>
      </c>
      <c r="CK2080">
        <v>94</v>
      </c>
      <c r="CL2080">
        <v>-0.69</v>
      </c>
      <c r="CM2080">
        <v>93</v>
      </c>
      <c r="CN2080">
        <v>-0.42</v>
      </c>
      <c r="CO2080">
        <v>92</v>
      </c>
      <c r="CP2080">
        <v>3.3</v>
      </c>
      <c r="CQ2080">
        <v>92</v>
      </c>
      <c r="CR2080">
        <v>0</v>
      </c>
      <c r="CS2080">
        <v>0</v>
      </c>
      <c r="CT2080">
        <v>14.7</v>
      </c>
      <c r="CU2080">
        <v>88</v>
      </c>
      <c r="CV2080">
        <v>0.08</v>
      </c>
      <c r="CW2080">
        <v>44</v>
      </c>
      <c r="CX2080" t="s">
        <v>11126</v>
      </c>
    </row>
    <row r="2081" spans="1:102" x14ac:dyDescent="0.3">
      <c r="A2081" t="str">
        <f>HYPERLINK("https://webapp.icbf.com/v2/app/bull-search/view/69092320","OAH")</f>
        <v>OAH</v>
      </c>
      <c r="B2081" t="s">
        <v>575</v>
      </c>
      <c r="C2081" t="s">
        <v>576</v>
      </c>
      <c r="D2081" s="1">
        <v>32230</v>
      </c>
      <c r="E2081" t="s">
        <v>227</v>
      </c>
      <c r="F2081">
        <v>0</v>
      </c>
      <c r="G2081" t="s">
        <v>109</v>
      </c>
      <c r="H2081">
        <v>65.94</v>
      </c>
      <c r="I2081">
        <v>48</v>
      </c>
      <c r="J2081">
        <v>8.01</v>
      </c>
      <c r="K2081">
        <v>66</v>
      </c>
      <c r="L2081">
        <v>46.22</v>
      </c>
      <c r="M2081">
        <v>56</v>
      </c>
      <c r="N2081">
        <v>10.44</v>
      </c>
      <c r="O2081">
        <v>25</v>
      </c>
      <c r="P2081">
        <v>-70.67</v>
      </c>
      <c r="Q2081">
        <v>30</v>
      </c>
      <c r="R2081">
        <v>-0.57999999999999996</v>
      </c>
      <c r="S2081">
        <v>27</v>
      </c>
      <c r="T2081">
        <v>68.59</v>
      </c>
      <c r="U2081">
        <v>21</v>
      </c>
      <c r="V2081">
        <v>3.93</v>
      </c>
      <c r="W2081">
        <v>10</v>
      </c>
      <c r="X2081" t="s">
        <v>94</v>
      </c>
      <c r="Y2081" t="s">
        <v>95</v>
      </c>
      <c r="Z2081">
        <v>0</v>
      </c>
      <c r="AA2081" t="s">
        <v>577</v>
      </c>
      <c r="AB2081" t="s">
        <v>144</v>
      </c>
      <c r="AC2081">
        <v>0</v>
      </c>
      <c r="AD2081">
        <v>0</v>
      </c>
      <c r="AE2081">
        <v>66</v>
      </c>
      <c r="AF2081">
        <v>-736.72</v>
      </c>
      <c r="AG2081">
        <v>7.99</v>
      </c>
      <c r="AH2081">
        <v>-12.74</v>
      </c>
      <c r="AI2081">
        <v>0.69</v>
      </c>
      <c r="AJ2081">
        <v>0.24</v>
      </c>
      <c r="AK2081">
        <v>56</v>
      </c>
      <c r="AL2081">
        <v>0</v>
      </c>
      <c r="AM2081">
        <v>0</v>
      </c>
      <c r="AN2081">
        <v>-0.67</v>
      </c>
      <c r="AO2081">
        <v>3.04</v>
      </c>
      <c r="AP2081">
        <v>4</v>
      </c>
      <c r="AQ2081">
        <v>0</v>
      </c>
      <c r="AR2081">
        <v>3.29</v>
      </c>
      <c r="AS2081">
        <v>12</v>
      </c>
      <c r="AT2081">
        <v>1.86</v>
      </c>
      <c r="AU2081">
        <v>21</v>
      </c>
      <c r="AV2081">
        <v>0.27</v>
      </c>
      <c r="AW2081">
        <v>34</v>
      </c>
      <c r="AX2081">
        <v>3.02</v>
      </c>
      <c r="AY2081">
        <v>28</v>
      </c>
      <c r="AZ2081">
        <v>6.31</v>
      </c>
      <c r="BA2081">
        <v>10</v>
      </c>
      <c r="BB2081">
        <v>4.5999999999999996</v>
      </c>
      <c r="BC2081">
        <v>14</v>
      </c>
      <c r="BD2081">
        <v>-0.01</v>
      </c>
      <c r="BE2081">
        <v>0</v>
      </c>
      <c r="BF2081">
        <v>0.03</v>
      </c>
      <c r="BG2081">
        <v>36</v>
      </c>
      <c r="BH2081">
        <v>0.15</v>
      </c>
      <c r="BI2081">
        <v>4.68</v>
      </c>
      <c r="BJ2081">
        <v>0</v>
      </c>
      <c r="BK2081">
        <v>0</v>
      </c>
      <c r="BL2081">
        <v>-1.61</v>
      </c>
      <c r="BM2081">
        <v>-1.91</v>
      </c>
      <c r="BN2081">
        <v>-0.49</v>
      </c>
      <c r="BO2081">
        <v>1.28</v>
      </c>
      <c r="BP2081">
        <v>-0.16</v>
      </c>
      <c r="BQ2081">
        <v>-5.6</v>
      </c>
      <c r="BR2081">
        <v>2.13</v>
      </c>
      <c r="BS2081">
        <v>6.58</v>
      </c>
      <c r="BT2081">
        <v>-1.07</v>
      </c>
      <c r="BU2081">
        <v>0.1</v>
      </c>
      <c r="BV2081">
        <v>0.34</v>
      </c>
      <c r="BW2081">
        <v>-1.7</v>
      </c>
      <c r="BX2081">
        <v>-2.63</v>
      </c>
      <c r="BY2081">
        <v>0.03</v>
      </c>
      <c r="BZ2081">
        <v>0.26</v>
      </c>
      <c r="CA2081">
        <v>1.91</v>
      </c>
      <c r="CB2081">
        <v>0.38</v>
      </c>
      <c r="CC2081">
        <v>4.1100000000000003</v>
      </c>
      <c r="CD2081">
        <v>-2.34</v>
      </c>
      <c r="CE2081">
        <v>1.1000000000000001</v>
      </c>
      <c r="CF2081">
        <v>-1.52</v>
      </c>
      <c r="CG2081">
        <v>0</v>
      </c>
      <c r="CH2081">
        <v>-0.76</v>
      </c>
      <c r="CI2081">
        <v>0</v>
      </c>
      <c r="CJ2081">
        <v>-38</v>
      </c>
      <c r="CK2081">
        <v>32</v>
      </c>
      <c r="CL2081">
        <v>-1.1499999999999999</v>
      </c>
      <c r="CM2081">
        <v>29</v>
      </c>
      <c r="CN2081">
        <v>-0.17</v>
      </c>
      <c r="CO2081">
        <v>26</v>
      </c>
      <c r="CP2081">
        <v>-55.7</v>
      </c>
      <c r="CQ2081">
        <v>31</v>
      </c>
      <c r="CR2081">
        <v>0</v>
      </c>
      <c r="CS2081">
        <v>0</v>
      </c>
      <c r="CT2081">
        <v>-78.900000000000006</v>
      </c>
      <c r="CU2081">
        <v>21</v>
      </c>
      <c r="CV2081">
        <v>-0.43</v>
      </c>
      <c r="CW2081">
        <v>8</v>
      </c>
      <c r="CX2081" t="s">
        <v>578</v>
      </c>
    </row>
    <row r="2082" spans="1:102" x14ac:dyDescent="0.3">
      <c r="A2082" t="str">
        <f>HYPERLINK("https://webapp.icbf.com/v2/app/bull-search/view/152142608","S305")</f>
        <v>S305</v>
      </c>
      <c r="B2082" t="s">
        <v>8100</v>
      </c>
      <c r="C2082" t="s">
        <v>8101</v>
      </c>
      <c r="D2082" s="1">
        <v>34957</v>
      </c>
      <c r="E2082" t="s">
        <v>395</v>
      </c>
      <c r="F2082">
        <v>0</v>
      </c>
      <c r="G2082" t="s">
        <v>93</v>
      </c>
      <c r="H2082">
        <v>65.760000000000005</v>
      </c>
      <c r="I2082">
        <v>85</v>
      </c>
      <c r="J2082">
        <v>-33.69</v>
      </c>
      <c r="K2082">
        <v>95</v>
      </c>
      <c r="L2082">
        <v>61.25</v>
      </c>
      <c r="M2082">
        <v>79</v>
      </c>
      <c r="N2082">
        <v>29.15</v>
      </c>
      <c r="O2082">
        <v>78</v>
      </c>
      <c r="P2082">
        <v>2.12</v>
      </c>
      <c r="Q2082">
        <v>91</v>
      </c>
      <c r="R2082">
        <v>11.38</v>
      </c>
      <c r="S2082">
        <v>70</v>
      </c>
      <c r="T2082">
        <v>8.7200000000000006</v>
      </c>
      <c r="U2082">
        <v>95</v>
      </c>
      <c r="V2082">
        <v>-13.17</v>
      </c>
      <c r="W2082">
        <v>59</v>
      </c>
      <c r="X2082" t="s">
        <v>110</v>
      </c>
      <c r="Y2082" t="s">
        <v>95</v>
      </c>
      <c r="Z2082">
        <v>0</v>
      </c>
      <c r="AA2082" t="s">
        <v>4516</v>
      </c>
      <c r="AB2082" t="s">
        <v>8102</v>
      </c>
      <c r="AC2082">
        <v>76</v>
      </c>
      <c r="AD2082">
        <v>51</v>
      </c>
      <c r="AE2082">
        <v>95</v>
      </c>
      <c r="AF2082">
        <v>-249.68</v>
      </c>
      <c r="AG2082">
        <v>-12.78</v>
      </c>
      <c r="AH2082">
        <v>-5.03</v>
      </c>
      <c r="AI2082">
        <v>-0.05</v>
      </c>
      <c r="AJ2082">
        <v>0.06</v>
      </c>
      <c r="AK2082">
        <v>79</v>
      </c>
      <c r="AL2082">
        <v>67</v>
      </c>
      <c r="AM2082">
        <v>46</v>
      </c>
      <c r="AN2082">
        <v>-2.9</v>
      </c>
      <c r="AO2082">
        <v>1.99</v>
      </c>
      <c r="AP2082">
        <v>97</v>
      </c>
      <c r="AQ2082">
        <v>0</v>
      </c>
      <c r="AR2082">
        <v>4.49</v>
      </c>
      <c r="AS2082">
        <v>70</v>
      </c>
      <c r="AT2082">
        <v>1.88</v>
      </c>
      <c r="AU2082">
        <v>76</v>
      </c>
      <c r="AV2082">
        <v>-2.2200000000000002</v>
      </c>
      <c r="AW2082">
        <v>90</v>
      </c>
      <c r="AX2082">
        <v>-0.01</v>
      </c>
      <c r="AY2082">
        <v>76</v>
      </c>
      <c r="AZ2082">
        <v>7.54</v>
      </c>
      <c r="BA2082">
        <v>53</v>
      </c>
      <c r="BB2082">
        <v>5.54</v>
      </c>
      <c r="BC2082">
        <v>58</v>
      </c>
      <c r="BD2082">
        <v>-7.0000000000000007E-2</v>
      </c>
      <c r="BE2082">
        <v>-0.05</v>
      </c>
      <c r="BF2082">
        <v>-0.05</v>
      </c>
      <c r="BG2082">
        <v>82</v>
      </c>
      <c r="BH2082">
        <v>-0.35</v>
      </c>
      <c r="BI2082">
        <v>2</v>
      </c>
      <c r="BJ2082">
        <v>21</v>
      </c>
      <c r="BK2082">
        <v>17</v>
      </c>
      <c r="BL2082">
        <v>-1.93</v>
      </c>
      <c r="BM2082">
        <v>1.39</v>
      </c>
      <c r="BN2082">
        <v>-2.15</v>
      </c>
      <c r="BO2082">
        <v>-2.35</v>
      </c>
      <c r="BP2082">
        <v>0.1</v>
      </c>
      <c r="BQ2082">
        <v>-1.9</v>
      </c>
      <c r="BR2082">
        <v>-1.1200000000000001</v>
      </c>
      <c r="BS2082">
        <v>0.44</v>
      </c>
      <c r="BT2082">
        <v>1.55</v>
      </c>
      <c r="BU2082">
        <v>-0.23</v>
      </c>
      <c r="BV2082">
        <v>-2.58</v>
      </c>
      <c r="BW2082">
        <v>-2.21</v>
      </c>
      <c r="BX2082">
        <v>-1.36</v>
      </c>
      <c r="BY2082">
        <v>-2.62</v>
      </c>
      <c r="BZ2082">
        <v>-1.02</v>
      </c>
      <c r="CA2082">
        <v>-1.25</v>
      </c>
      <c r="CB2082">
        <v>-1.78</v>
      </c>
      <c r="CC2082">
        <v>0.03</v>
      </c>
      <c r="CD2082">
        <v>1.88</v>
      </c>
      <c r="CE2082">
        <v>-2.04</v>
      </c>
      <c r="CF2082">
        <v>-2.2799999999999998</v>
      </c>
      <c r="CG2082">
        <v>0</v>
      </c>
      <c r="CH2082">
        <v>-2.25</v>
      </c>
      <c r="CI2082">
        <v>0</v>
      </c>
      <c r="CJ2082">
        <v>-0.7</v>
      </c>
      <c r="CK2082">
        <v>92</v>
      </c>
      <c r="CL2082">
        <v>-0.04</v>
      </c>
      <c r="CM2082">
        <v>90</v>
      </c>
      <c r="CN2082">
        <v>-0.36</v>
      </c>
      <c r="CO2082">
        <v>89</v>
      </c>
      <c r="CP2082">
        <v>-4.8</v>
      </c>
      <c r="CQ2082">
        <v>87</v>
      </c>
      <c r="CR2082">
        <v>0</v>
      </c>
      <c r="CS2082">
        <v>0</v>
      </c>
      <c r="CT2082">
        <v>2</v>
      </c>
      <c r="CU2082">
        <v>95</v>
      </c>
      <c r="CV2082">
        <v>-0.13</v>
      </c>
      <c r="CW2082">
        <v>27</v>
      </c>
      <c r="CX2082" t="s">
        <v>8103</v>
      </c>
    </row>
    <row r="2083" spans="1:102" x14ac:dyDescent="0.3">
      <c r="A2083" t="str">
        <f>HYPERLINK("https://webapp.icbf.com/v2/app/bull-search/view/563602438","DWA")</f>
        <v>DWA</v>
      </c>
      <c r="B2083" t="s">
        <v>7826</v>
      </c>
      <c r="C2083" t="s">
        <v>7827</v>
      </c>
      <c r="D2083" s="1">
        <v>39482</v>
      </c>
      <c r="E2083" t="s">
        <v>92</v>
      </c>
      <c r="F2083">
        <v>59</v>
      </c>
      <c r="G2083" t="s">
        <v>93</v>
      </c>
      <c r="H2083">
        <v>65.7</v>
      </c>
      <c r="I2083">
        <v>86</v>
      </c>
      <c r="J2083">
        <v>60.34</v>
      </c>
      <c r="K2083">
        <v>96</v>
      </c>
      <c r="L2083">
        <v>-32.369999999999997</v>
      </c>
      <c r="M2083">
        <v>77</v>
      </c>
      <c r="N2083">
        <v>46.24</v>
      </c>
      <c r="O2083">
        <v>85</v>
      </c>
      <c r="P2083">
        <v>-10.62</v>
      </c>
      <c r="Q2083">
        <v>92</v>
      </c>
      <c r="R2083">
        <v>-2.3199999999999998</v>
      </c>
      <c r="S2083">
        <v>78</v>
      </c>
      <c r="T2083">
        <v>11.68</v>
      </c>
      <c r="U2083">
        <v>87</v>
      </c>
      <c r="V2083">
        <v>-7.25</v>
      </c>
      <c r="W2083">
        <v>78</v>
      </c>
      <c r="X2083" t="s">
        <v>94</v>
      </c>
      <c r="Y2083" t="s">
        <v>1405</v>
      </c>
      <c r="Z2083" t="s">
        <v>96</v>
      </c>
      <c r="AA2083" t="s">
        <v>7828</v>
      </c>
      <c r="AB2083" t="s">
        <v>7829</v>
      </c>
      <c r="AC2083">
        <v>84</v>
      </c>
      <c r="AD2083">
        <v>67</v>
      </c>
      <c r="AE2083">
        <v>96</v>
      </c>
      <c r="AF2083">
        <v>18.399999999999999</v>
      </c>
      <c r="AG2083">
        <v>14.91</v>
      </c>
      <c r="AH2083">
        <v>5.27</v>
      </c>
      <c r="AI2083">
        <v>0.25</v>
      </c>
      <c r="AJ2083">
        <v>0.08</v>
      </c>
      <c r="AK2083">
        <v>77</v>
      </c>
      <c r="AL2083">
        <v>81</v>
      </c>
      <c r="AM2083">
        <v>60</v>
      </c>
      <c r="AN2083">
        <v>1.0900000000000001</v>
      </c>
      <c r="AO2083">
        <v>-1.5</v>
      </c>
      <c r="AP2083">
        <v>185</v>
      </c>
      <c r="AQ2083">
        <v>3</v>
      </c>
      <c r="AR2083">
        <v>7.19</v>
      </c>
      <c r="AS2083">
        <v>71</v>
      </c>
      <c r="AT2083">
        <v>2.61</v>
      </c>
      <c r="AU2083">
        <v>87</v>
      </c>
      <c r="AV2083">
        <v>-4.5599999999999996</v>
      </c>
      <c r="AW2083">
        <v>96</v>
      </c>
      <c r="AX2083">
        <v>-0.84</v>
      </c>
      <c r="AY2083">
        <v>80</v>
      </c>
      <c r="AZ2083">
        <v>5.44</v>
      </c>
      <c r="BA2083">
        <v>66</v>
      </c>
      <c r="BB2083">
        <v>4.78</v>
      </c>
      <c r="BC2083">
        <v>65</v>
      </c>
      <c r="BD2083">
        <v>0.05</v>
      </c>
      <c r="BE2083">
        <v>0</v>
      </c>
      <c r="BF2083">
        <v>-0.03</v>
      </c>
      <c r="BG2083">
        <v>87</v>
      </c>
      <c r="BH2083">
        <v>-0.16</v>
      </c>
      <c r="BI2083">
        <v>4.87</v>
      </c>
      <c r="BJ2083">
        <v>16</v>
      </c>
      <c r="BK2083">
        <v>11</v>
      </c>
      <c r="BL2083">
        <v>-0.85</v>
      </c>
      <c r="BM2083">
        <v>3.29</v>
      </c>
      <c r="BN2083">
        <v>0.93</v>
      </c>
      <c r="BO2083">
        <v>-1.1200000000000001</v>
      </c>
      <c r="BP2083">
        <v>-1.8</v>
      </c>
      <c r="BQ2083">
        <v>3.32</v>
      </c>
      <c r="BR2083">
        <v>-2.41</v>
      </c>
      <c r="BS2083">
        <v>-0.08</v>
      </c>
      <c r="BT2083">
        <v>0.78</v>
      </c>
      <c r="BU2083">
        <v>-1.1399999999999999</v>
      </c>
      <c r="BV2083">
        <v>-1.27</v>
      </c>
      <c r="BW2083">
        <v>-1.44</v>
      </c>
      <c r="BX2083">
        <v>-1.5</v>
      </c>
      <c r="BY2083">
        <v>-0.98</v>
      </c>
      <c r="BZ2083">
        <v>-2.0499999999999998</v>
      </c>
      <c r="CA2083">
        <v>-1.21</v>
      </c>
      <c r="CB2083">
        <v>-1.4</v>
      </c>
      <c r="CC2083">
        <v>-0.06</v>
      </c>
      <c r="CD2083">
        <v>1.62</v>
      </c>
      <c r="CE2083">
        <v>-1.25</v>
      </c>
      <c r="CF2083">
        <v>0.12</v>
      </c>
      <c r="CG2083">
        <v>0</v>
      </c>
      <c r="CH2083">
        <v>-0.97</v>
      </c>
      <c r="CI2083">
        <v>0</v>
      </c>
      <c r="CJ2083">
        <v>-3.1</v>
      </c>
      <c r="CK2083">
        <v>93</v>
      </c>
      <c r="CL2083">
        <v>-0.41</v>
      </c>
      <c r="CM2083">
        <v>91</v>
      </c>
      <c r="CN2083">
        <v>0.06</v>
      </c>
      <c r="CO2083">
        <v>90</v>
      </c>
      <c r="CP2083">
        <v>-9.4</v>
      </c>
      <c r="CQ2083">
        <v>89</v>
      </c>
      <c r="CR2083">
        <v>0</v>
      </c>
      <c r="CS2083">
        <v>0</v>
      </c>
      <c r="CT2083">
        <v>-2</v>
      </c>
      <c r="CU2083">
        <v>87</v>
      </c>
      <c r="CV2083">
        <v>-0.06</v>
      </c>
      <c r="CW2083">
        <v>46</v>
      </c>
      <c r="CX2083" t="s">
        <v>5324</v>
      </c>
    </row>
    <row r="2084" spans="1:102" x14ac:dyDescent="0.3">
      <c r="A2084" t="str">
        <f>HYPERLINK("https://webapp.icbf.com/v2/app/bull-search/view/108378559","WIV")</f>
        <v>WIV</v>
      </c>
      <c r="B2084" t="s">
        <v>786</v>
      </c>
      <c r="C2084" t="s">
        <v>787</v>
      </c>
      <c r="D2084" s="1">
        <v>34445</v>
      </c>
      <c r="E2084" t="s">
        <v>227</v>
      </c>
      <c r="F2084">
        <v>0</v>
      </c>
      <c r="G2084" t="s">
        <v>109</v>
      </c>
      <c r="H2084">
        <v>65.69</v>
      </c>
      <c r="I2084">
        <v>82</v>
      </c>
      <c r="J2084">
        <v>15.63</v>
      </c>
      <c r="K2084">
        <v>93</v>
      </c>
      <c r="L2084">
        <v>23.77</v>
      </c>
      <c r="M2084">
        <v>82</v>
      </c>
      <c r="N2084">
        <v>30.98</v>
      </c>
      <c r="O2084">
        <v>70</v>
      </c>
      <c r="P2084">
        <v>-57</v>
      </c>
      <c r="Q2084">
        <v>81</v>
      </c>
      <c r="R2084">
        <v>-9.93</v>
      </c>
      <c r="S2084">
        <v>62</v>
      </c>
      <c r="T2084">
        <v>64.150000000000006</v>
      </c>
      <c r="U2084">
        <v>80</v>
      </c>
      <c r="V2084">
        <v>-1.91</v>
      </c>
      <c r="W2084">
        <v>51</v>
      </c>
      <c r="X2084" t="s">
        <v>276</v>
      </c>
      <c r="Y2084" t="s">
        <v>95</v>
      </c>
      <c r="Z2084">
        <v>0</v>
      </c>
      <c r="AA2084" t="s">
        <v>788</v>
      </c>
      <c r="AB2084" t="s">
        <v>789</v>
      </c>
      <c r="AC2084">
        <v>37</v>
      </c>
      <c r="AD2084">
        <v>20</v>
      </c>
      <c r="AE2084">
        <v>93</v>
      </c>
      <c r="AF2084">
        <v>-358.64</v>
      </c>
      <c r="AG2084">
        <v>1.86</v>
      </c>
      <c r="AH2084">
        <v>-3.49</v>
      </c>
      <c r="AI2084">
        <v>0.28000000000000003</v>
      </c>
      <c r="AJ2084">
        <v>0.16</v>
      </c>
      <c r="AK2084">
        <v>82</v>
      </c>
      <c r="AL2084">
        <v>39</v>
      </c>
      <c r="AM2084">
        <v>22</v>
      </c>
      <c r="AN2084">
        <v>-1.75</v>
      </c>
      <c r="AO2084">
        <v>0.14000000000000001</v>
      </c>
      <c r="AP2084">
        <v>36</v>
      </c>
      <c r="AQ2084">
        <v>2</v>
      </c>
      <c r="AR2084">
        <v>2.72</v>
      </c>
      <c r="AS2084">
        <v>54</v>
      </c>
      <c r="AT2084">
        <v>1.72</v>
      </c>
      <c r="AU2084">
        <v>63</v>
      </c>
      <c r="AV2084">
        <v>-2.6</v>
      </c>
      <c r="AW2084">
        <v>86</v>
      </c>
      <c r="AX2084">
        <v>0.93</v>
      </c>
      <c r="AY2084">
        <v>67</v>
      </c>
      <c r="AZ2084">
        <v>8.07</v>
      </c>
      <c r="BA2084">
        <v>42</v>
      </c>
      <c r="BB2084">
        <v>5.83</v>
      </c>
      <c r="BC2084">
        <v>52</v>
      </c>
      <c r="BD2084">
        <v>-0.01</v>
      </c>
      <c r="BE2084">
        <v>0.05</v>
      </c>
      <c r="BF2084">
        <v>0.15</v>
      </c>
      <c r="BG2084">
        <v>72</v>
      </c>
      <c r="BH2084">
        <v>-0.04</v>
      </c>
      <c r="BI2084">
        <v>1.53</v>
      </c>
      <c r="BJ2084">
        <v>2</v>
      </c>
      <c r="BK2084">
        <v>2</v>
      </c>
      <c r="BL2084">
        <v>-1.19</v>
      </c>
      <c r="BM2084">
        <v>-1.99</v>
      </c>
      <c r="BN2084">
        <v>-0.53</v>
      </c>
      <c r="BO2084">
        <v>1.55</v>
      </c>
      <c r="BP2084">
        <v>-0.95</v>
      </c>
      <c r="BQ2084">
        <v>-5.28</v>
      </c>
      <c r="BR2084">
        <v>2.37</v>
      </c>
      <c r="BS2084">
        <v>6.15</v>
      </c>
      <c r="BT2084">
        <v>-1.96</v>
      </c>
      <c r="BU2084">
        <v>0.02</v>
      </c>
      <c r="BV2084">
        <v>0.51</v>
      </c>
      <c r="BW2084">
        <v>-1.58</v>
      </c>
      <c r="BX2084">
        <v>-3.04</v>
      </c>
      <c r="BY2084">
        <v>-0.02</v>
      </c>
      <c r="BZ2084">
        <v>1.2</v>
      </c>
      <c r="CA2084">
        <v>2.1</v>
      </c>
      <c r="CB2084">
        <v>0.72</v>
      </c>
      <c r="CC2084">
        <v>3.88</v>
      </c>
      <c r="CD2084">
        <v>-1.89</v>
      </c>
      <c r="CE2084">
        <v>1.5</v>
      </c>
      <c r="CF2084">
        <v>-0.89</v>
      </c>
      <c r="CG2084">
        <v>0</v>
      </c>
      <c r="CH2084">
        <v>-0.79</v>
      </c>
      <c r="CI2084">
        <v>0</v>
      </c>
      <c r="CJ2084">
        <v>-29.5</v>
      </c>
      <c r="CK2084">
        <v>82</v>
      </c>
      <c r="CL2084">
        <v>-1.19</v>
      </c>
      <c r="CM2084">
        <v>79</v>
      </c>
      <c r="CN2084">
        <v>-0.32</v>
      </c>
      <c r="CO2084">
        <v>76</v>
      </c>
      <c r="CP2084">
        <v>-51.7</v>
      </c>
      <c r="CQ2084">
        <v>82</v>
      </c>
      <c r="CR2084">
        <v>0</v>
      </c>
      <c r="CS2084">
        <v>0</v>
      </c>
      <c r="CT2084">
        <v>-72.900000000000006</v>
      </c>
      <c r="CU2084">
        <v>80</v>
      </c>
      <c r="CV2084">
        <v>-0.34</v>
      </c>
      <c r="CW2084">
        <v>22</v>
      </c>
      <c r="CX2084" t="s">
        <v>790</v>
      </c>
    </row>
    <row r="2085" spans="1:102" x14ac:dyDescent="0.3">
      <c r="A2085" t="str">
        <f>HYPERLINK("https://webapp.icbf.com/v2/app/bull-search/view/903868770","S1152")</f>
        <v>S1152</v>
      </c>
      <c r="B2085" t="s">
        <v>5469</v>
      </c>
      <c r="C2085" t="s">
        <v>5470</v>
      </c>
      <c r="D2085" s="1">
        <v>38854</v>
      </c>
      <c r="E2085" t="s">
        <v>92</v>
      </c>
      <c r="F2085">
        <v>72</v>
      </c>
      <c r="G2085" t="s">
        <v>116</v>
      </c>
      <c r="H2085">
        <v>65.36</v>
      </c>
      <c r="I2085">
        <v>53</v>
      </c>
      <c r="J2085">
        <v>69.510000000000005</v>
      </c>
      <c r="K2085">
        <v>69</v>
      </c>
      <c r="L2085">
        <v>-26</v>
      </c>
      <c r="M2085">
        <v>35</v>
      </c>
      <c r="N2085">
        <v>35.56</v>
      </c>
      <c r="O2085">
        <v>57</v>
      </c>
      <c r="P2085">
        <v>-19.29</v>
      </c>
      <c r="Q2085">
        <v>68</v>
      </c>
      <c r="R2085">
        <v>-5.77</v>
      </c>
      <c r="S2085">
        <v>39</v>
      </c>
      <c r="T2085">
        <v>12.2</v>
      </c>
      <c r="U2085">
        <v>54</v>
      </c>
      <c r="V2085">
        <v>-0.85</v>
      </c>
      <c r="W2085">
        <v>29</v>
      </c>
      <c r="X2085" t="s">
        <v>1645</v>
      </c>
      <c r="Y2085" t="s">
        <v>336</v>
      </c>
      <c r="Z2085" t="s">
        <v>330</v>
      </c>
      <c r="AA2085" t="s">
        <v>283</v>
      </c>
      <c r="AB2085" t="s">
        <v>5471</v>
      </c>
      <c r="AC2085">
        <v>10</v>
      </c>
      <c r="AD2085">
        <v>4</v>
      </c>
      <c r="AE2085">
        <v>69</v>
      </c>
      <c r="AF2085">
        <v>128.84</v>
      </c>
      <c r="AG2085">
        <v>7.67</v>
      </c>
      <c r="AH2085">
        <v>11.08</v>
      </c>
      <c r="AI2085">
        <v>0.04</v>
      </c>
      <c r="AJ2085">
        <v>0.11</v>
      </c>
      <c r="AK2085">
        <v>35</v>
      </c>
      <c r="AL2085">
        <v>9</v>
      </c>
      <c r="AM2085">
        <v>3</v>
      </c>
      <c r="AN2085">
        <v>1.68</v>
      </c>
      <c r="AO2085">
        <v>-0.39</v>
      </c>
      <c r="AP2085">
        <v>37</v>
      </c>
      <c r="AQ2085">
        <v>0</v>
      </c>
      <c r="AR2085">
        <v>4.17</v>
      </c>
      <c r="AS2085">
        <v>30</v>
      </c>
      <c r="AT2085">
        <v>2.06</v>
      </c>
      <c r="AU2085">
        <v>56</v>
      </c>
      <c r="AV2085">
        <v>-1.89</v>
      </c>
      <c r="AW2085">
        <v>76</v>
      </c>
      <c r="AX2085">
        <v>-0.5</v>
      </c>
      <c r="AY2085">
        <v>47</v>
      </c>
      <c r="AZ2085">
        <v>5.27</v>
      </c>
      <c r="BA2085">
        <v>30</v>
      </c>
      <c r="BB2085">
        <v>4.5599999999999996</v>
      </c>
      <c r="BC2085">
        <v>30</v>
      </c>
      <c r="BD2085">
        <v>-0.02</v>
      </c>
      <c r="BE2085">
        <v>0.04</v>
      </c>
      <c r="BF2085">
        <v>0.09</v>
      </c>
      <c r="BG2085">
        <v>44</v>
      </c>
      <c r="BH2085">
        <v>0.02</v>
      </c>
      <c r="BI2085">
        <v>5.04</v>
      </c>
      <c r="BJ2085">
        <v>0</v>
      </c>
      <c r="BK2085">
        <v>0</v>
      </c>
      <c r="BL2085">
        <v>0.34</v>
      </c>
      <c r="BM2085">
        <v>-0.81</v>
      </c>
      <c r="BN2085">
        <v>-0.01</v>
      </c>
      <c r="BO2085">
        <v>0.37</v>
      </c>
      <c r="BP2085">
        <v>1.87</v>
      </c>
      <c r="BQ2085">
        <v>0.01</v>
      </c>
      <c r="BR2085">
        <v>0.31</v>
      </c>
      <c r="BS2085">
        <v>-1.23</v>
      </c>
      <c r="BT2085">
        <v>-0.13</v>
      </c>
      <c r="BU2085">
        <v>-0.48</v>
      </c>
      <c r="BV2085">
        <v>0.84</v>
      </c>
      <c r="BW2085">
        <v>0.44</v>
      </c>
      <c r="BX2085">
        <v>-0.93</v>
      </c>
      <c r="BY2085">
        <v>-0.69</v>
      </c>
      <c r="BZ2085">
        <v>0.57999999999999996</v>
      </c>
      <c r="CA2085">
        <v>-0.2</v>
      </c>
      <c r="CB2085">
        <v>0.08</v>
      </c>
      <c r="CC2085">
        <v>-0.56000000000000005</v>
      </c>
      <c r="CD2085">
        <v>-0.98</v>
      </c>
      <c r="CE2085">
        <v>0.55000000000000004</v>
      </c>
      <c r="CF2085">
        <v>0.27</v>
      </c>
      <c r="CG2085">
        <v>0</v>
      </c>
      <c r="CH2085">
        <v>-0.48</v>
      </c>
      <c r="CI2085">
        <v>0</v>
      </c>
      <c r="CJ2085">
        <v>-8.1999999999999993</v>
      </c>
      <c r="CK2085">
        <v>72</v>
      </c>
      <c r="CL2085">
        <v>-1.01</v>
      </c>
      <c r="CM2085">
        <v>66</v>
      </c>
      <c r="CN2085">
        <v>-0.31</v>
      </c>
      <c r="CO2085">
        <v>64</v>
      </c>
      <c r="CP2085">
        <v>-7.9</v>
      </c>
      <c r="CQ2085">
        <v>52</v>
      </c>
      <c r="CR2085">
        <v>0</v>
      </c>
      <c r="CS2085">
        <v>0</v>
      </c>
      <c r="CT2085">
        <v>-2.7</v>
      </c>
      <c r="CU2085">
        <v>54</v>
      </c>
      <c r="CV2085">
        <v>0.11</v>
      </c>
      <c r="CW2085">
        <v>19</v>
      </c>
      <c r="CX2085" t="s">
        <v>5472</v>
      </c>
    </row>
    <row r="2086" spans="1:102" x14ac:dyDescent="0.3">
      <c r="A2086" t="str">
        <f>HYPERLINK("https://webapp.icbf.com/v2/app/bull-search/view/1267398742","MO2284")</f>
        <v>MO2284</v>
      </c>
      <c r="B2086" t="s">
        <v>6043</v>
      </c>
      <c r="C2086" t="s">
        <v>3130</v>
      </c>
      <c r="D2086" s="1">
        <v>39863</v>
      </c>
      <c r="E2086" t="s">
        <v>140</v>
      </c>
      <c r="F2086">
        <v>0</v>
      </c>
      <c r="G2086" t="s">
        <v>109</v>
      </c>
      <c r="H2086">
        <v>65.33</v>
      </c>
      <c r="I2086">
        <v>72</v>
      </c>
      <c r="J2086">
        <v>42.27</v>
      </c>
      <c r="K2086">
        <v>86</v>
      </c>
      <c r="L2086">
        <v>34.380000000000003</v>
      </c>
      <c r="M2086">
        <v>62</v>
      </c>
      <c r="N2086">
        <v>-22.84</v>
      </c>
      <c r="O2086">
        <v>82</v>
      </c>
      <c r="P2086">
        <v>18.03</v>
      </c>
      <c r="Q2086">
        <v>83</v>
      </c>
      <c r="R2086">
        <v>0.91</v>
      </c>
      <c r="S2086">
        <v>59</v>
      </c>
      <c r="T2086">
        <v>0.65</v>
      </c>
      <c r="U2086">
        <v>46</v>
      </c>
      <c r="V2086">
        <v>-8.07</v>
      </c>
      <c r="W2086">
        <v>59</v>
      </c>
      <c r="X2086" t="s">
        <v>102</v>
      </c>
      <c r="Y2086" t="s">
        <v>422</v>
      </c>
      <c r="Z2086">
        <v>0</v>
      </c>
      <c r="AA2086" t="s">
        <v>6044</v>
      </c>
      <c r="AB2086" t="s">
        <v>6045</v>
      </c>
      <c r="AC2086">
        <v>0</v>
      </c>
      <c r="AD2086">
        <v>0</v>
      </c>
      <c r="AE2086">
        <v>86</v>
      </c>
      <c r="AF2086">
        <v>145.71</v>
      </c>
      <c r="AG2086">
        <v>6.5</v>
      </c>
      <c r="AH2086">
        <v>7.12</v>
      </c>
      <c r="AI2086">
        <v>0.01</v>
      </c>
      <c r="AJ2086">
        <v>0.04</v>
      </c>
      <c r="AK2086">
        <v>62</v>
      </c>
      <c r="AL2086">
        <v>19</v>
      </c>
      <c r="AM2086">
        <v>3</v>
      </c>
      <c r="AN2086">
        <v>-1.99</v>
      </c>
      <c r="AO2086">
        <v>0.75</v>
      </c>
      <c r="AP2086">
        <v>408</v>
      </c>
      <c r="AQ2086">
        <v>0</v>
      </c>
      <c r="AR2086">
        <v>10.32</v>
      </c>
      <c r="AS2086">
        <v>75</v>
      </c>
      <c r="AT2086">
        <v>5.12</v>
      </c>
      <c r="AU2086">
        <v>91</v>
      </c>
      <c r="AV2086">
        <v>0.04</v>
      </c>
      <c r="AW2086">
        <v>97</v>
      </c>
      <c r="AX2086">
        <v>-0.57999999999999996</v>
      </c>
      <c r="AY2086">
        <v>85</v>
      </c>
      <c r="AZ2086">
        <v>5.87</v>
      </c>
      <c r="BA2086">
        <v>49</v>
      </c>
      <c r="BB2086">
        <v>3.9</v>
      </c>
      <c r="BC2086">
        <v>34</v>
      </c>
      <c r="BD2086">
        <v>0</v>
      </c>
      <c r="BE2086">
        <v>0.01</v>
      </c>
      <c r="BF2086">
        <v>-0.04</v>
      </c>
      <c r="BG2086">
        <v>66</v>
      </c>
      <c r="BH2086">
        <v>-0.35</v>
      </c>
      <c r="BI2086">
        <v>-14.46</v>
      </c>
      <c r="BJ2086">
        <v>0</v>
      </c>
      <c r="BK2086">
        <v>0</v>
      </c>
      <c r="BL2086">
        <v>-0.68</v>
      </c>
      <c r="BM2086">
        <v>3.7</v>
      </c>
      <c r="BN2086">
        <v>-1.72</v>
      </c>
      <c r="BO2086">
        <v>-3.12</v>
      </c>
      <c r="BP2086">
        <v>4.34</v>
      </c>
      <c r="BQ2086">
        <v>-1.77</v>
      </c>
      <c r="BR2086">
        <v>-2.78</v>
      </c>
      <c r="BS2086">
        <v>-0.41</v>
      </c>
      <c r="BT2086">
        <v>2.64</v>
      </c>
      <c r="BU2086">
        <v>-3.52</v>
      </c>
      <c r="BV2086">
        <v>-4.07</v>
      </c>
      <c r="BW2086">
        <v>-3.07</v>
      </c>
      <c r="BX2086">
        <v>-2.71</v>
      </c>
      <c r="BY2086">
        <v>-2.09</v>
      </c>
      <c r="BZ2086">
        <v>1.51</v>
      </c>
      <c r="CA2086">
        <v>-2.64</v>
      </c>
      <c r="CB2086">
        <v>-3.34</v>
      </c>
      <c r="CC2086">
        <v>-0.51</v>
      </c>
      <c r="CD2086">
        <v>3.98</v>
      </c>
      <c r="CE2086">
        <v>-2.98</v>
      </c>
      <c r="CF2086">
        <v>-1</v>
      </c>
      <c r="CG2086">
        <v>0</v>
      </c>
      <c r="CH2086">
        <v>-2.5</v>
      </c>
      <c r="CI2086">
        <v>0</v>
      </c>
      <c r="CJ2086">
        <v>7.8</v>
      </c>
      <c r="CK2086">
        <v>87</v>
      </c>
      <c r="CL2086">
        <v>0.34</v>
      </c>
      <c r="CM2086">
        <v>84</v>
      </c>
      <c r="CN2086">
        <v>-0.25</v>
      </c>
      <c r="CO2086">
        <v>83</v>
      </c>
      <c r="CP2086">
        <v>5.5</v>
      </c>
      <c r="CQ2086">
        <v>51</v>
      </c>
      <c r="CR2086">
        <v>0</v>
      </c>
      <c r="CS2086">
        <v>0</v>
      </c>
      <c r="CT2086">
        <v>12.9</v>
      </c>
      <c r="CU2086">
        <v>46</v>
      </c>
      <c r="CV2086">
        <v>0.14000000000000001</v>
      </c>
      <c r="CW2086">
        <v>43</v>
      </c>
      <c r="CX2086" t="s">
        <v>1995</v>
      </c>
    </row>
    <row r="2087" spans="1:102" x14ac:dyDescent="0.3">
      <c r="A2087" t="str">
        <f>HYPERLINK("https://webapp.icbf.com/v2/app/bull-search/view/119079260","BUW")</f>
        <v>BUW</v>
      </c>
      <c r="B2087" t="s">
        <v>2817</v>
      </c>
      <c r="C2087" t="s">
        <v>2818</v>
      </c>
      <c r="D2087" s="1">
        <v>36705</v>
      </c>
      <c r="E2087" t="s">
        <v>108</v>
      </c>
      <c r="F2087">
        <v>0</v>
      </c>
      <c r="G2087" t="s">
        <v>93</v>
      </c>
      <c r="H2087">
        <v>65.3</v>
      </c>
      <c r="I2087">
        <v>80</v>
      </c>
      <c r="J2087">
        <v>-48.14</v>
      </c>
      <c r="K2087">
        <v>92</v>
      </c>
      <c r="L2087">
        <v>113.56</v>
      </c>
      <c r="M2087">
        <v>72</v>
      </c>
      <c r="N2087">
        <v>-9.16</v>
      </c>
      <c r="O2087">
        <v>66</v>
      </c>
      <c r="P2087">
        <v>-29.61</v>
      </c>
      <c r="Q2087">
        <v>93</v>
      </c>
      <c r="R2087">
        <v>3.7</v>
      </c>
      <c r="S2087">
        <v>64</v>
      </c>
      <c r="T2087">
        <v>30.77</v>
      </c>
      <c r="U2087">
        <v>82</v>
      </c>
      <c r="V2087">
        <v>4.18</v>
      </c>
      <c r="W2087">
        <v>57</v>
      </c>
      <c r="X2087" t="s">
        <v>102</v>
      </c>
      <c r="Y2087" t="s">
        <v>974</v>
      </c>
      <c r="Z2087" t="s">
        <v>96</v>
      </c>
      <c r="AA2087" t="s">
        <v>2819</v>
      </c>
      <c r="AB2087" t="s">
        <v>2820</v>
      </c>
      <c r="AC2087">
        <v>58</v>
      </c>
      <c r="AD2087">
        <v>2</v>
      </c>
      <c r="AE2087">
        <v>92</v>
      </c>
      <c r="AF2087">
        <v>-310.25</v>
      </c>
      <c r="AG2087">
        <v>-10.56</v>
      </c>
      <c r="AH2087">
        <v>-9.1999999999999993</v>
      </c>
      <c r="AI2087">
        <v>0.03</v>
      </c>
      <c r="AJ2087">
        <v>0.02</v>
      </c>
      <c r="AK2087">
        <v>72</v>
      </c>
      <c r="AL2087">
        <v>78</v>
      </c>
      <c r="AM2087">
        <v>6</v>
      </c>
      <c r="AN2087">
        <v>-6.67</v>
      </c>
      <c r="AO2087">
        <v>2.38</v>
      </c>
      <c r="AP2087">
        <v>178</v>
      </c>
      <c r="AQ2087">
        <v>11</v>
      </c>
      <c r="AR2087">
        <v>8.3699999999999992</v>
      </c>
      <c r="AS2087">
        <v>66</v>
      </c>
      <c r="AT2087">
        <v>3.82</v>
      </c>
      <c r="AU2087">
        <v>87</v>
      </c>
      <c r="AV2087">
        <v>-0.51</v>
      </c>
      <c r="AW2087">
        <v>48</v>
      </c>
      <c r="AX2087">
        <v>0.36</v>
      </c>
      <c r="AY2087">
        <v>79</v>
      </c>
      <c r="AZ2087">
        <v>5.37</v>
      </c>
      <c r="BA2087">
        <v>66</v>
      </c>
      <c r="BB2087">
        <v>6.01</v>
      </c>
      <c r="BC2087">
        <v>71</v>
      </c>
      <c r="BD2087">
        <v>0.03</v>
      </c>
      <c r="BE2087">
        <v>-0.05</v>
      </c>
      <c r="BF2087">
        <v>-0.04</v>
      </c>
      <c r="BG2087">
        <v>70</v>
      </c>
      <c r="BH2087">
        <v>0.15</v>
      </c>
      <c r="BI2087">
        <v>3.87</v>
      </c>
      <c r="BJ2087">
        <v>0</v>
      </c>
      <c r="BK2087">
        <v>0</v>
      </c>
      <c r="BL2087">
        <v>-3.63</v>
      </c>
      <c r="BM2087">
        <v>2.0099999999999998</v>
      </c>
      <c r="BN2087">
        <v>-2.87</v>
      </c>
      <c r="BO2087">
        <v>-3.46</v>
      </c>
      <c r="BP2087">
        <v>-1.33</v>
      </c>
      <c r="BQ2087">
        <v>2.74</v>
      </c>
      <c r="BR2087">
        <v>-2.31</v>
      </c>
      <c r="BS2087">
        <v>-0.24</v>
      </c>
      <c r="BT2087">
        <v>1.17</v>
      </c>
      <c r="BU2087">
        <v>-3.03</v>
      </c>
      <c r="BV2087">
        <v>-3.73</v>
      </c>
      <c r="BW2087">
        <v>-1.88</v>
      </c>
      <c r="BX2087">
        <v>-1.62</v>
      </c>
      <c r="BY2087">
        <v>-0.96</v>
      </c>
      <c r="BZ2087">
        <v>1.35</v>
      </c>
      <c r="CA2087">
        <v>-2.5299999999999998</v>
      </c>
      <c r="CB2087">
        <v>-2.85</v>
      </c>
      <c r="CC2087">
        <v>-1.07</v>
      </c>
      <c r="CD2087">
        <v>2.99</v>
      </c>
      <c r="CE2087">
        <v>-2.9</v>
      </c>
      <c r="CF2087">
        <v>-1.77</v>
      </c>
      <c r="CG2087">
        <v>0</v>
      </c>
      <c r="CH2087">
        <v>-1.1299999999999999</v>
      </c>
      <c r="CI2087">
        <v>0</v>
      </c>
      <c r="CJ2087">
        <v>-16.100000000000001</v>
      </c>
      <c r="CK2087">
        <v>94</v>
      </c>
      <c r="CL2087">
        <v>-0.38</v>
      </c>
      <c r="CM2087">
        <v>92</v>
      </c>
      <c r="CN2087">
        <v>0.02</v>
      </c>
      <c r="CO2087">
        <v>92</v>
      </c>
      <c r="CP2087">
        <v>-21.6</v>
      </c>
      <c r="CQ2087">
        <v>90</v>
      </c>
      <c r="CR2087">
        <v>0</v>
      </c>
      <c r="CS2087">
        <v>0</v>
      </c>
      <c r="CT2087">
        <v>-27.8</v>
      </c>
      <c r="CU2087">
        <v>82</v>
      </c>
      <c r="CV2087">
        <v>-0.09</v>
      </c>
      <c r="CW2087">
        <v>44</v>
      </c>
      <c r="CX2087" t="s">
        <v>2821</v>
      </c>
    </row>
    <row r="2088" spans="1:102" x14ac:dyDescent="0.3">
      <c r="A2088" t="str">
        <f>HYPERLINK("https://webapp.icbf.com/v2/app/bull-search/view/77855890","LPL")</f>
        <v>LPL</v>
      </c>
      <c r="B2088" t="s">
        <v>8625</v>
      </c>
      <c r="C2088" t="s">
        <v>4581</v>
      </c>
      <c r="D2088" s="1">
        <v>32881</v>
      </c>
      <c r="E2088" t="s">
        <v>92</v>
      </c>
      <c r="F2088">
        <v>100</v>
      </c>
      <c r="G2088" t="s">
        <v>109</v>
      </c>
      <c r="H2088">
        <v>65.14</v>
      </c>
      <c r="I2088">
        <v>89</v>
      </c>
      <c r="J2088">
        <v>21.8</v>
      </c>
      <c r="K2088">
        <v>96</v>
      </c>
      <c r="L2088">
        <v>15.96</v>
      </c>
      <c r="M2088">
        <v>92</v>
      </c>
      <c r="N2088">
        <v>24.38</v>
      </c>
      <c r="O2088">
        <v>77</v>
      </c>
      <c r="P2088">
        <v>-14.16</v>
      </c>
      <c r="Q2088">
        <v>78</v>
      </c>
      <c r="R2088">
        <v>9.1300000000000008</v>
      </c>
      <c r="S2088">
        <v>86</v>
      </c>
      <c r="T2088">
        <v>14.64</v>
      </c>
      <c r="U2088">
        <v>75</v>
      </c>
      <c r="V2088">
        <v>-6.61</v>
      </c>
      <c r="W2088">
        <v>80</v>
      </c>
      <c r="X2088" t="s">
        <v>558</v>
      </c>
      <c r="Y2088" t="s">
        <v>95</v>
      </c>
      <c r="Z2088" t="s">
        <v>96</v>
      </c>
      <c r="AA2088" t="s">
        <v>3622</v>
      </c>
      <c r="AB2088" t="s">
        <v>8626</v>
      </c>
      <c r="AC2088">
        <v>30</v>
      </c>
      <c r="AD2088">
        <v>20</v>
      </c>
      <c r="AE2088">
        <v>96</v>
      </c>
      <c r="AF2088">
        <v>42.63</v>
      </c>
      <c r="AG2088">
        <v>10.15</v>
      </c>
      <c r="AH2088">
        <v>0.77</v>
      </c>
      <c r="AI2088">
        <v>0.15</v>
      </c>
      <c r="AJ2088">
        <v>-0.01</v>
      </c>
      <c r="AK2088">
        <v>92</v>
      </c>
      <c r="AL2088">
        <v>38</v>
      </c>
      <c r="AM2088">
        <v>21</v>
      </c>
      <c r="AN2088">
        <v>-0.28999999999999998</v>
      </c>
      <c r="AO2088">
        <v>0.99</v>
      </c>
      <c r="AP2088">
        <v>2</v>
      </c>
      <c r="AQ2088">
        <v>0</v>
      </c>
      <c r="AR2088">
        <v>6.75</v>
      </c>
      <c r="AS2088">
        <v>74</v>
      </c>
      <c r="AT2088">
        <v>2.33</v>
      </c>
      <c r="AU2088">
        <v>90</v>
      </c>
      <c r="AV2088">
        <v>-2.0099999999999998</v>
      </c>
      <c r="AW2088">
        <v>73</v>
      </c>
      <c r="AX2088">
        <v>-0.43</v>
      </c>
      <c r="AY2088">
        <v>75</v>
      </c>
      <c r="AZ2088">
        <v>6.58</v>
      </c>
      <c r="BA2088">
        <v>69</v>
      </c>
      <c r="BB2088">
        <v>5.19</v>
      </c>
      <c r="BC2088">
        <v>73</v>
      </c>
      <c r="BD2088">
        <v>-0.06</v>
      </c>
      <c r="BE2088">
        <v>0</v>
      </c>
      <c r="BF2088">
        <v>-0.11</v>
      </c>
      <c r="BG2088">
        <v>94</v>
      </c>
      <c r="BH2088">
        <v>-0.11</v>
      </c>
      <c r="BI2088">
        <v>8.61</v>
      </c>
      <c r="BJ2088">
        <v>0</v>
      </c>
      <c r="BK2088">
        <v>0</v>
      </c>
      <c r="BL2088">
        <v>-0.72</v>
      </c>
      <c r="BM2088">
        <v>-1.9</v>
      </c>
      <c r="BN2088">
        <v>-1.32</v>
      </c>
      <c r="BO2088">
        <v>-0.06</v>
      </c>
      <c r="BP2088">
        <v>-0.36</v>
      </c>
      <c r="BQ2088">
        <v>-1.22</v>
      </c>
      <c r="BR2088">
        <v>0.79</v>
      </c>
      <c r="BS2088">
        <v>-0.82</v>
      </c>
      <c r="BT2088">
        <v>-2.2599999999999998</v>
      </c>
      <c r="BU2088">
        <v>0.6</v>
      </c>
      <c r="BV2088">
        <v>0.05</v>
      </c>
      <c r="BW2088">
        <v>-0.14000000000000001</v>
      </c>
      <c r="BX2088">
        <v>0.18</v>
      </c>
      <c r="BY2088">
        <v>-0.08</v>
      </c>
      <c r="BZ2088">
        <v>-1.89</v>
      </c>
      <c r="CA2088">
        <v>-0.34</v>
      </c>
      <c r="CB2088">
        <v>-0.16</v>
      </c>
      <c r="CC2088">
        <v>-0.8</v>
      </c>
      <c r="CD2088">
        <v>-0.51</v>
      </c>
      <c r="CE2088">
        <v>0.35</v>
      </c>
      <c r="CF2088">
        <v>-0.6</v>
      </c>
      <c r="CG2088">
        <v>0</v>
      </c>
      <c r="CH2088">
        <v>0.17</v>
      </c>
      <c r="CI2088">
        <v>0</v>
      </c>
      <c r="CJ2088">
        <v>-4.5</v>
      </c>
      <c r="CK2088">
        <v>79</v>
      </c>
      <c r="CL2088">
        <v>-0.76</v>
      </c>
      <c r="CM2088">
        <v>78</v>
      </c>
      <c r="CN2088">
        <v>-0.1</v>
      </c>
      <c r="CO2088">
        <v>76</v>
      </c>
      <c r="CP2088">
        <v>-8.5</v>
      </c>
      <c r="CQ2088">
        <v>80</v>
      </c>
      <c r="CR2088">
        <v>0</v>
      </c>
      <c r="CS2088">
        <v>0</v>
      </c>
      <c r="CT2088">
        <v>-6</v>
      </c>
      <c r="CU2088">
        <v>75</v>
      </c>
      <c r="CV2088">
        <v>0.08</v>
      </c>
      <c r="CW2088">
        <v>42</v>
      </c>
      <c r="CX2088" t="s">
        <v>543</v>
      </c>
    </row>
    <row r="2089" spans="1:102" x14ac:dyDescent="0.3">
      <c r="A2089" t="str">
        <f>HYPERLINK("https://webapp.icbf.com/v2/app/bull-search/view/586155373","NRB")</f>
        <v>NRB</v>
      </c>
      <c r="B2089" t="s">
        <v>1516</v>
      </c>
      <c r="C2089" t="s">
        <v>1517</v>
      </c>
      <c r="D2089" s="1">
        <v>39012</v>
      </c>
      <c r="E2089" t="s">
        <v>92</v>
      </c>
      <c r="F2089">
        <v>100</v>
      </c>
      <c r="G2089" t="s">
        <v>93</v>
      </c>
      <c r="H2089">
        <v>65.06</v>
      </c>
      <c r="I2089">
        <v>93</v>
      </c>
      <c r="J2089">
        <v>36.69</v>
      </c>
      <c r="K2089">
        <v>98</v>
      </c>
      <c r="L2089">
        <v>-35.03</v>
      </c>
      <c r="M2089">
        <v>90</v>
      </c>
      <c r="N2089">
        <v>49.2</v>
      </c>
      <c r="O2089">
        <v>92</v>
      </c>
      <c r="P2089">
        <v>-8.6</v>
      </c>
      <c r="Q2089">
        <v>96</v>
      </c>
      <c r="R2089">
        <v>5.71</v>
      </c>
      <c r="S2089">
        <v>88</v>
      </c>
      <c r="T2089">
        <v>10.64</v>
      </c>
      <c r="U2089">
        <v>94</v>
      </c>
      <c r="V2089">
        <v>6.45</v>
      </c>
      <c r="W2089">
        <v>88</v>
      </c>
      <c r="X2089" t="s">
        <v>276</v>
      </c>
      <c r="Y2089" t="s">
        <v>228</v>
      </c>
      <c r="Z2089" t="s">
        <v>96</v>
      </c>
      <c r="AA2089" t="s">
        <v>277</v>
      </c>
      <c r="AB2089" t="s">
        <v>1518</v>
      </c>
      <c r="AC2089">
        <v>239</v>
      </c>
      <c r="AD2089">
        <v>125</v>
      </c>
      <c r="AE2089">
        <v>98</v>
      </c>
      <c r="AF2089">
        <v>239.49</v>
      </c>
      <c r="AG2089">
        <v>6.49</v>
      </c>
      <c r="AH2089">
        <v>7.61</v>
      </c>
      <c r="AI2089">
        <v>-0.05</v>
      </c>
      <c r="AJ2089">
        <v>-0.01</v>
      </c>
      <c r="AK2089">
        <v>90</v>
      </c>
      <c r="AL2089">
        <v>264</v>
      </c>
      <c r="AM2089">
        <v>124</v>
      </c>
      <c r="AN2089">
        <v>2.2200000000000002</v>
      </c>
      <c r="AO2089">
        <v>-0.56999999999999995</v>
      </c>
      <c r="AP2089">
        <v>434</v>
      </c>
      <c r="AQ2089">
        <v>0</v>
      </c>
      <c r="AR2089">
        <v>4.96</v>
      </c>
      <c r="AS2089">
        <v>86</v>
      </c>
      <c r="AT2089">
        <v>1.77</v>
      </c>
      <c r="AU2089">
        <v>93</v>
      </c>
      <c r="AV2089">
        <v>-4.51</v>
      </c>
      <c r="AW2089">
        <v>98</v>
      </c>
      <c r="AX2089">
        <v>-7.0000000000000007E-2</v>
      </c>
      <c r="AY2089">
        <v>91</v>
      </c>
      <c r="AZ2089">
        <v>6.63</v>
      </c>
      <c r="BA2089">
        <v>81</v>
      </c>
      <c r="BB2089">
        <v>5.46</v>
      </c>
      <c r="BC2089">
        <v>80</v>
      </c>
      <c r="BD2089">
        <v>-0.02</v>
      </c>
      <c r="BE2089">
        <v>-0.02</v>
      </c>
      <c r="BF2089">
        <v>-0.06</v>
      </c>
      <c r="BG2089">
        <v>94</v>
      </c>
      <c r="BH2089">
        <v>-0.15</v>
      </c>
      <c r="BI2089">
        <v>-38.159999999999997</v>
      </c>
      <c r="BJ2089">
        <v>25</v>
      </c>
      <c r="BK2089">
        <v>14</v>
      </c>
      <c r="BL2089">
        <v>0.63</v>
      </c>
      <c r="BM2089">
        <v>-1.72</v>
      </c>
      <c r="BN2089">
        <v>-0.41</v>
      </c>
      <c r="BO2089">
        <v>0.57999999999999996</v>
      </c>
      <c r="BP2089">
        <v>2.1800000000000002</v>
      </c>
      <c r="BQ2089">
        <v>-1.24</v>
      </c>
      <c r="BR2089">
        <v>0.09</v>
      </c>
      <c r="BS2089">
        <v>-0.24</v>
      </c>
      <c r="BT2089">
        <v>-0.98</v>
      </c>
      <c r="BU2089">
        <v>-0.02</v>
      </c>
      <c r="BV2089">
        <v>0.59</v>
      </c>
      <c r="BW2089">
        <v>0.03</v>
      </c>
      <c r="BX2089">
        <v>0.36</v>
      </c>
      <c r="BY2089">
        <v>0.52</v>
      </c>
      <c r="BZ2089">
        <v>-1.41</v>
      </c>
      <c r="CA2089">
        <v>0.41</v>
      </c>
      <c r="CB2089">
        <v>0.37</v>
      </c>
      <c r="CC2089">
        <v>0.14000000000000001</v>
      </c>
      <c r="CD2089">
        <v>-0.96</v>
      </c>
      <c r="CE2089">
        <v>0.5</v>
      </c>
      <c r="CF2089">
        <v>0.41</v>
      </c>
      <c r="CG2089">
        <v>0</v>
      </c>
      <c r="CH2089">
        <v>0.73</v>
      </c>
      <c r="CI2089">
        <v>0</v>
      </c>
      <c r="CJ2089">
        <v>-1</v>
      </c>
      <c r="CK2089">
        <v>97</v>
      </c>
      <c r="CL2089">
        <v>-1</v>
      </c>
      <c r="CM2089">
        <v>96</v>
      </c>
      <c r="CN2089">
        <v>-0.28999999999999998</v>
      </c>
      <c r="CO2089">
        <v>96</v>
      </c>
      <c r="CP2089">
        <v>-2</v>
      </c>
      <c r="CQ2089">
        <v>95</v>
      </c>
      <c r="CR2089">
        <v>0</v>
      </c>
      <c r="CS2089">
        <v>0</v>
      </c>
      <c r="CT2089">
        <v>-0.6</v>
      </c>
      <c r="CU2089">
        <v>94</v>
      </c>
      <c r="CV2089">
        <v>0.25</v>
      </c>
      <c r="CW2089">
        <v>47</v>
      </c>
      <c r="CX2089" t="s">
        <v>316</v>
      </c>
    </row>
    <row r="2090" spans="1:102" x14ac:dyDescent="0.3">
      <c r="A2090" t="str">
        <f>HYPERLINK("https://webapp.icbf.com/v2/app/bull-search/view/1547627438","AY4860")</f>
        <v>AY4860</v>
      </c>
      <c r="B2090" t="s">
        <v>15516</v>
      </c>
      <c r="C2090" t="s">
        <v>15517</v>
      </c>
      <c r="D2090" s="1">
        <v>41117</v>
      </c>
      <c r="E2090" t="s">
        <v>1061</v>
      </c>
      <c r="F2090">
        <v>0</v>
      </c>
      <c r="G2090" t="s">
        <v>109</v>
      </c>
      <c r="H2090">
        <v>64.98</v>
      </c>
      <c r="I2090">
        <v>44</v>
      </c>
      <c r="J2090">
        <v>20.52</v>
      </c>
      <c r="K2090">
        <v>53</v>
      </c>
      <c r="L2090">
        <v>59.84</v>
      </c>
      <c r="M2090">
        <v>54</v>
      </c>
      <c r="N2090">
        <v>-7.48</v>
      </c>
      <c r="O2090">
        <v>33</v>
      </c>
      <c r="P2090">
        <v>-20.93</v>
      </c>
      <c r="Q2090">
        <v>27</v>
      </c>
      <c r="R2090">
        <v>-0.62</v>
      </c>
      <c r="S2090">
        <v>6</v>
      </c>
      <c r="T2090">
        <v>21.25</v>
      </c>
      <c r="U2090">
        <v>24</v>
      </c>
      <c r="V2090">
        <v>-7.6</v>
      </c>
      <c r="W2090">
        <v>18</v>
      </c>
      <c r="X2090" t="s">
        <v>94</v>
      </c>
      <c r="Y2090" t="s">
        <v>9537</v>
      </c>
      <c r="Z2090">
        <v>0</v>
      </c>
      <c r="AA2090" t="s">
        <v>12816</v>
      </c>
      <c r="AB2090" t="s">
        <v>13250</v>
      </c>
      <c r="AC2090">
        <v>0</v>
      </c>
      <c r="AD2090">
        <v>0</v>
      </c>
      <c r="AE2090">
        <v>53</v>
      </c>
      <c r="AF2090">
        <v>-79.260000000000005</v>
      </c>
      <c r="AG2090">
        <v>8.1300000000000008</v>
      </c>
      <c r="AH2090">
        <v>-0.6</v>
      </c>
      <c r="AI2090">
        <v>0.19</v>
      </c>
      <c r="AJ2090">
        <v>0.04</v>
      </c>
      <c r="AK2090">
        <v>54</v>
      </c>
      <c r="AL2090">
        <v>0</v>
      </c>
      <c r="AM2090">
        <v>0</v>
      </c>
      <c r="AN2090">
        <v>-2.64</v>
      </c>
      <c r="AO2090">
        <v>2.14</v>
      </c>
      <c r="AP2090">
        <v>5</v>
      </c>
      <c r="AQ2090">
        <v>0</v>
      </c>
      <c r="AR2090">
        <v>8.2100000000000009</v>
      </c>
      <c r="AS2090">
        <v>22</v>
      </c>
      <c r="AT2090">
        <v>3.41</v>
      </c>
      <c r="AU2090">
        <v>30</v>
      </c>
      <c r="AV2090">
        <v>0.21</v>
      </c>
      <c r="AW2090">
        <v>46</v>
      </c>
      <c r="AX2090">
        <v>0.05</v>
      </c>
      <c r="AY2090">
        <v>25</v>
      </c>
      <c r="AZ2090">
        <v>6.76</v>
      </c>
      <c r="BA2090">
        <v>16</v>
      </c>
      <c r="BB2090">
        <v>5.2</v>
      </c>
      <c r="BC2090">
        <v>16</v>
      </c>
      <c r="BD2090">
        <v>0.02</v>
      </c>
      <c r="BE2090">
        <v>-0.01</v>
      </c>
      <c r="BF2090">
        <v>0</v>
      </c>
      <c r="BG2090">
        <v>0</v>
      </c>
      <c r="BH2090">
        <v>-0.11</v>
      </c>
      <c r="BI2090">
        <v>11.79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-10.199999999999999</v>
      </c>
      <c r="CK2090">
        <v>27</v>
      </c>
      <c r="CL2090">
        <v>-0.68</v>
      </c>
      <c r="CM2090">
        <v>27</v>
      </c>
      <c r="CN2090">
        <v>-0.2</v>
      </c>
      <c r="CO2090">
        <v>26</v>
      </c>
      <c r="CP2090">
        <v>-14.5</v>
      </c>
      <c r="CQ2090">
        <v>24</v>
      </c>
      <c r="CR2090">
        <v>0</v>
      </c>
      <c r="CS2090">
        <v>0</v>
      </c>
      <c r="CT2090">
        <v>-14.93</v>
      </c>
      <c r="CU2090">
        <v>24</v>
      </c>
      <c r="CV2090">
        <v>-0.08</v>
      </c>
      <c r="CW2090">
        <v>8</v>
      </c>
      <c r="CX2090" t="s">
        <v>5265</v>
      </c>
    </row>
    <row r="2091" spans="1:102" x14ac:dyDescent="0.3">
      <c r="A2091" t="str">
        <f>HYPERLINK("https://webapp.icbf.com/v2/app/bull-search/view/1492480360","FR4431")</f>
        <v>FR4431</v>
      </c>
      <c r="B2091" t="s">
        <v>8436</v>
      </c>
      <c r="C2091" t="s">
        <v>8437</v>
      </c>
      <c r="D2091" s="1">
        <v>42309</v>
      </c>
      <c r="E2091" t="s">
        <v>92</v>
      </c>
      <c r="F2091">
        <v>100</v>
      </c>
      <c r="G2091" t="s">
        <v>435</v>
      </c>
      <c r="H2091">
        <v>64.95</v>
      </c>
      <c r="I2091">
        <v>71</v>
      </c>
      <c r="J2091">
        <v>80.22</v>
      </c>
      <c r="K2091">
        <v>89</v>
      </c>
      <c r="L2091">
        <v>-33.99</v>
      </c>
      <c r="M2091">
        <v>68</v>
      </c>
      <c r="N2091">
        <v>21.86</v>
      </c>
      <c r="O2091">
        <v>78</v>
      </c>
      <c r="P2091">
        <v>4.05</v>
      </c>
      <c r="Q2091">
        <v>42</v>
      </c>
      <c r="R2091">
        <v>10.26</v>
      </c>
      <c r="S2091">
        <v>63</v>
      </c>
      <c r="T2091">
        <v>-21.4</v>
      </c>
      <c r="U2091">
        <v>39</v>
      </c>
      <c r="V2091">
        <v>3.95</v>
      </c>
      <c r="W2091">
        <v>54</v>
      </c>
      <c r="X2091" t="s">
        <v>428</v>
      </c>
      <c r="Y2091" t="s">
        <v>442</v>
      </c>
      <c r="Z2091" t="s">
        <v>96</v>
      </c>
      <c r="AA2091" t="s">
        <v>2311</v>
      </c>
      <c r="AB2091" t="s">
        <v>8438</v>
      </c>
      <c r="AC2091">
        <v>0</v>
      </c>
      <c r="AD2091">
        <v>0</v>
      </c>
      <c r="AE2091">
        <v>89</v>
      </c>
      <c r="AF2091">
        <v>568.41</v>
      </c>
      <c r="AG2091">
        <v>16.52</v>
      </c>
      <c r="AH2091">
        <v>16.5</v>
      </c>
      <c r="AI2091">
        <v>-0.09</v>
      </c>
      <c r="AJ2091">
        <v>-0.04</v>
      </c>
      <c r="AK2091">
        <v>68</v>
      </c>
      <c r="AL2091">
        <v>0</v>
      </c>
      <c r="AM2091">
        <v>0</v>
      </c>
      <c r="AN2091">
        <v>3.47</v>
      </c>
      <c r="AO2091">
        <v>0.78</v>
      </c>
      <c r="AP2091">
        <v>93</v>
      </c>
      <c r="AQ2091">
        <v>0</v>
      </c>
      <c r="AR2091">
        <v>5.96</v>
      </c>
      <c r="AS2091">
        <v>67</v>
      </c>
      <c r="AT2091">
        <v>3.24</v>
      </c>
      <c r="AU2091">
        <v>91</v>
      </c>
      <c r="AV2091">
        <v>-2.27</v>
      </c>
      <c r="AW2091">
        <v>92</v>
      </c>
      <c r="AX2091">
        <v>-0.11</v>
      </c>
      <c r="AY2091">
        <v>73</v>
      </c>
      <c r="AZ2091">
        <v>6.01</v>
      </c>
      <c r="BA2091">
        <v>38</v>
      </c>
      <c r="BB2091">
        <v>5.05</v>
      </c>
      <c r="BC2091">
        <v>35</v>
      </c>
      <c r="BD2091">
        <v>-0.06</v>
      </c>
      <c r="BE2091">
        <v>-0.04</v>
      </c>
      <c r="BF2091">
        <v>-0.06</v>
      </c>
      <c r="BG2091">
        <v>76</v>
      </c>
      <c r="BH2091">
        <v>7.0000000000000007E-2</v>
      </c>
      <c r="BI2091">
        <v>-4.63</v>
      </c>
      <c r="BJ2091">
        <v>0</v>
      </c>
      <c r="BK2091">
        <v>0</v>
      </c>
      <c r="BL2091">
        <v>2.89</v>
      </c>
      <c r="BM2091">
        <v>0.28999999999999998</v>
      </c>
      <c r="BN2091">
        <v>1.3</v>
      </c>
      <c r="BO2091">
        <v>1.96</v>
      </c>
      <c r="BP2091">
        <v>0.45</v>
      </c>
      <c r="BQ2091">
        <v>4.2</v>
      </c>
      <c r="BR2091">
        <v>0.01</v>
      </c>
      <c r="BS2091">
        <v>1.52</v>
      </c>
      <c r="BT2091">
        <v>1.62</v>
      </c>
      <c r="BU2091">
        <v>3.8</v>
      </c>
      <c r="BV2091">
        <v>3.48</v>
      </c>
      <c r="BW2091">
        <v>3.06</v>
      </c>
      <c r="BX2091">
        <v>3</v>
      </c>
      <c r="BY2091">
        <v>2.99</v>
      </c>
      <c r="BZ2091">
        <v>-0.84</v>
      </c>
      <c r="CA2091">
        <v>2.83</v>
      </c>
      <c r="CB2091">
        <v>2.82</v>
      </c>
      <c r="CC2091">
        <v>1.27</v>
      </c>
      <c r="CD2091">
        <v>-1.1499999999999999</v>
      </c>
      <c r="CE2091">
        <v>1.59</v>
      </c>
      <c r="CF2091">
        <v>2.65</v>
      </c>
      <c r="CG2091">
        <v>0</v>
      </c>
      <c r="CH2091">
        <v>3.31</v>
      </c>
      <c r="CI2091">
        <v>0</v>
      </c>
      <c r="CJ2091">
        <v>7.2</v>
      </c>
      <c r="CK2091">
        <v>43</v>
      </c>
      <c r="CL2091">
        <v>-1.55</v>
      </c>
      <c r="CM2091">
        <v>42</v>
      </c>
      <c r="CN2091">
        <v>-0.71</v>
      </c>
      <c r="CO2091">
        <v>41</v>
      </c>
      <c r="CP2091">
        <v>12</v>
      </c>
      <c r="CQ2091">
        <v>40</v>
      </c>
      <c r="CR2091">
        <v>0</v>
      </c>
      <c r="CS2091">
        <v>0</v>
      </c>
      <c r="CT2091">
        <v>42.7</v>
      </c>
      <c r="CU2091">
        <v>39</v>
      </c>
      <c r="CV2091">
        <v>0.27</v>
      </c>
      <c r="CW2091">
        <v>34</v>
      </c>
      <c r="CX2091" t="s">
        <v>5745</v>
      </c>
    </row>
    <row r="2092" spans="1:102" x14ac:dyDescent="0.3">
      <c r="A2092" t="str">
        <f>HYPERLINK("https://webapp.icbf.com/v2/app/bull-search/view/69091408","CYF")</f>
        <v>CYF</v>
      </c>
      <c r="B2092" t="s">
        <v>14257</v>
      </c>
      <c r="C2092" t="s">
        <v>1051</v>
      </c>
      <c r="D2092" s="1">
        <v>32428</v>
      </c>
      <c r="E2092" t="s">
        <v>227</v>
      </c>
      <c r="F2092">
        <v>0</v>
      </c>
      <c r="G2092" t="s">
        <v>93</v>
      </c>
      <c r="H2092">
        <v>64.95</v>
      </c>
      <c r="I2092">
        <v>87</v>
      </c>
      <c r="J2092">
        <v>24.21</v>
      </c>
      <c r="K2092">
        <v>95</v>
      </c>
      <c r="L2092">
        <v>7.22</v>
      </c>
      <c r="M2092">
        <v>90</v>
      </c>
      <c r="N2092">
        <v>34.19</v>
      </c>
      <c r="O2092">
        <v>75</v>
      </c>
      <c r="P2092">
        <v>-63.94</v>
      </c>
      <c r="Q2092">
        <v>81</v>
      </c>
      <c r="R2092">
        <v>-3.35</v>
      </c>
      <c r="S2092">
        <v>80</v>
      </c>
      <c r="T2092">
        <v>79.239999999999995</v>
      </c>
      <c r="U2092">
        <v>73</v>
      </c>
      <c r="V2092">
        <v>-12.62</v>
      </c>
      <c r="W2092">
        <v>82</v>
      </c>
      <c r="X2092" t="s">
        <v>276</v>
      </c>
      <c r="Y2092" t="s">
        <v>95</v>
      </c>
      <c r="Z2092">
        <v>0</v>
      </c>
      <c r="AA2092" t="s">
        <v>790</v>
      </c>
      <c r="AB2092" t="s">
        <v>14258</v>
      </c>
      <c r="AC2092">
        <v>48</v>
      </c>
      <c r="AD2092">
        <v>7</v>
      </c>
      <c r="AE2092">
        <v>95</v>
      </c>
      <c r="AF2092">
        <v>-232.88</v>
      </c>
      <c r="AG2092">
        <v>3.4</v>
      </c>
      <c r="AH2092">
        <v>-0.65</v>
      </c>
      <c r="AI2092">
        <v>0.23</v>
      </c>
      <c r="AJ2092">
        <v>0.13</v>
      </c>
      <c r="AK2092">
        <v>90</v>
      </c>
      <c r="AL2092">
        <v>0</v>
      </c>
      <c r="AM2092">
        <v>0</v>
      </c>
      <c r="AN2092">
        <v>-0.06</v>
      </c>
      <c r="AO2092">
        <v>0.52</v>
      </c>
      <c r="AP2092">
        <v>16</v>
      </c>
      <c r="AQ2092">
        <v>0</v>
      </c>
      <c r="AR2092">
        <v>2.97</v>
      </c>
      <c r="AS2092">
        <v>71</v>
      </c>
      <c r="AT2092">
        <v>1.7</v>
      </c>
      <c r="AU2092">
        <v>75</v>
      </c>
      <c r="AV2092">
        <v>-1.67</v>
      </c>
      <c r="AW2092">
        <v>81</v>
      </c>
      <c r="AX2092">
        <v>-0.72</v>
      </c>
      <c r="AY2092">
        <v>73</v>
      </c>
      <c r="AZ2092">
        <v>6.86</v>
      </c>
      <c r="BA2092">
        <v>61</v>
      </c>
      <c r="BB2092">
        <v>4.9800000000000004</v>
      </c>
      <c r="BC2092">
        <v>68</v>
      </c>
      <c r="BD2092">
        <v>-0.06</v>
      </c>
      <c r="BE2092">
        <v>0.03</v>
      </c>
      <c r="BF2092">
        <v>0.12</v>
      </c>
      <c r="BG2092">
        <v>86</v>
      </c>
      <c r="BH2092">
        <v>-0.16</v>
      </c>
      <c r="BI2092">
        <v>22.2</v>
      </c>
      <c r="BJ2092">
        <v>0</v>
      </c>
      <c r="BK2092">
        <v>0</v>
      </c>
      <c r="BL2092">
        <v>-2.95</v>
      </c>
      <c r="BM2092">
        <v>-2.88</v>
      </c>
      <c r="BN2092">
        <v>-1.19</v>
      </c>
      <c r="BO2092">
        <v>1.26</v>
      </c>
      <c r="BP2092">
        <v>-0.27</v>
      </c>
      <c r="BQ2092">
        <v>-6.57</v>
      </c>
      <c r="BR2092">
        <v>2.63</v>
      </c>
      <c r="BS2092">
        <v>6.01</v>
      </c>
      <c r="BT2092">
        <v>-1.78</v>
      </c>
      <c r="BU2092">
        <v>-0.4</v>
      </c>
      <c r="BV2092">
        <v>0.08</v>
      </c>
      <c r="BW2092">
        <v>-1.88</v>
      </c>
      <c r="BX2092">
        <v>-3.71</v>
      </c>
      <c r="BY2092">
        <v>-0.06</v>
      </c>
      <c r="BZ2092">
        <v>-0.67</v>
      </c>
      <c r="CA2092">
        <v>1.59</v>
      </c>
      <c r="CB2092">
        <v>0.13</v>
      </c>
      <c r="CC2092">
        <v>3.86</v>
      </c>
      <c r="CD2092">
        <v>-2.33</v>
      </c>
      <c r="CE2092">
        <v>1.06</v>
      </c>
      <c r="CF2092">
        <v>-2.97</v>
      </c>
      <c r="CG2092">
        <v>0</v>
      </c>
      <c r="CH2092">
        <v>-0.78</v>
      </c>
      <c r="CI2092">
        <v>0</v>
      </c>
      <c r="CJ2092">
        <v>-31.8</v>
      </c>
      <c r="CK2092">
        <v>82</v>
      </c>
      <c r="CL2092">
        <v>-1.17</v>
      </c>
      <c r="CM2092">
        <v>79</v>
      </c>
      <c r="CN2092">
        <v>-7.0000000000000007E-2</v>
      </c>
      <c r="CO2092">
        <v>77</v>
      </c>
      <c r="CP2092">
        <v>-58.7</v>
      </c>
      <c r="CQ2092">
        <v>84</v>
      </c>
      <c r="CR2092">
        <v>0</v>
      </c>
      <c r="CS2092">
        <v>0</v>
      </c>
      <c r="CT2092">
        <v>-93.3</v>
      </c>
      <c r="CU2092">
        <v>73</v>
      </c>
      <c r="CV2092">
        <v>-0.17</v>
      </c>
      <c r="CW2092">
        <v>42</v>
      </c>
      <c r="CX2092" t="s">
        <v>14259</v>
      </c>
    </row>
    <row r="2093" spans="1:102" x14ac:dyDescent="0.3">
      <c r="A2093" t="str">
        <f>HYPERLINK("https://webapp.icbf.com/v2/app/bull-search/view/910795390","S1456")</f>
        <v>S1456</v>
      </c>
      <c r="B2093" t="s">
        <v>14681</v>
      </c>
      <c r="C2093" t="s">
        <v>6066</v>
      </c>
      <c r="D2093" s="1">
        <v>40096</v>
      </c>
      <c r="E2093" t="s">
        <v>92</v>
      </c>
      <c r="F2093">
        <v>100</v>
      </c>
      <c r="G2093" t="s">
        <v>93</v>
      </c>
      <c r="H2093">
        <v>64.930000000000007</v>
      </c>
      <c r="I2093">
        <v>88</v>
      </c>
      <c r="J2093">
        <v>71.42</v>
      </c>
      <c r="K2093">
        <v>97</v>
      </c>
      <c r="L2093">
        <v>-38.130000000000003</v>
      </c>
      <c r="M2093">
        <v>88</v>
      </c>
      <c r="N2093">
        <v>15.36</v>
      </c>
      <c r="O2093">
        <v>88</v>
      </c>
      <c r="P2093">
        <v>-5.71</v>
      </c>
      <c r="Q2093">
        <v>90</v>
      </c>
      <c r="R2093">
        <v>10.55</v>
      </c>
      <c r="S2093">
        <v>79</v>
      </c>
      <c r="T2093">
        <v>3.69</v>
      </c>
      <c r="U2093">
        <v>70</v>
      </c>
      <c r="V2093">
        <v>7.75</v>
      </c>
      <c r="W2093">
        <v>67</v>
      </c>
      <c r="X2093" t="s">
        <v>94</v>
      </c>
      <c r="Y2093" t="s">
        <v>342</v>
      </c>
      <c r="Z2093" t="s">
        <v>96</v>
      </c>
      <c r="AA2093" t="s">
        <v>1924</v>
      </c>
      <c r="AB2093" t="s">
        <v>14682</v>
      </c>
      <c r="AC2093">
        <v>147</v>
      </c>
      <c r="AD2093">
        <v>50</v>
      </c>
      <c r="AE2093">
        <v>97</v>
      </c>
      <c r="AF2093">
        <v>297.33</v>
      </c>
      <c r="AG2093">
        <v>17.010000000000002</v>
      </c>
      <c r="AH2093">
        <v>10.68</v>
      </c>
      <c r="AI2093">
        <v>0.09</v>
      </c>
      <c r="AJ2093">
        <v>0.01</v>
      </c>
      <c r="AK2093">
        <v>88</v>
      </c>
      <c r="AL2093">
        <v>63</v>
      </c>
      <c r="AM2093">
        <v>29</v>
      </c>
      <c r="AN2093">
        <v>3.72</v>
      </c>
      <c r="AO2093">
        <v>0.7</v>
      </c>
      <c r="AP2093">
        <v>455</v>
      </c>
      <c r="AQ2093">
        <v>3</v>
      </c>
      <c r="AR2093">
        <v>7.95</v>
      </c>
      <c r="AS2093">
        <v>91</v>
      </c>
      <c r="AT2093">
        <v>3.17</v>
      </c>
      <c r="AU2093">
        <v>94</v>
      </c>
      <c r="AV2093">
        <v>-2.56</v>
      </c>
      <c r="AW2093">
        <v>98</v>
      </c>
      <c r="AX2093">
        <v>0.27</v>
      </c>
      <c r="AY2093">
        <v>90</v>
      </c>
      <c r="AZ2093">
        <v>6.99</v>
      </c>
      <c r="BA2093">
        <v>70</v>
      </c>
      <c r="BB2093">
        <v>5.4</v>
      </c>
      <c r="BC2093">
        <v>52</v>
      </c>
      <c r="BD2093">
        <v>-0.04</v>
      </c>
      <c r="BE2093">
        <v>-0.04</v>
      </c>
      <c r="BF2093">
        <v>-0.1</v>
      </c>
      <c r="BG2093">
        <v>94</v>
      </c>
      <c r="BH2093">
        <v>-0.14000000000000001</v>
      </c>
      <c r="BI2093">
        <v>-41.19</v>
      </c>
      <c r="BJ2093">
        <v>30</v>
      </c>
      <c r="BK2093">
        <v>19</v>
      </c>
      <c r="BL2093">
        <v>0.42</v>
      </c>
      <c r="BM2093">
        <v>-0.6</v>
      </c>
      <c r="BN2093">
        <v>-0.91</v>
      </c>
      <c r="BO2093">
        <v>0.46</v>
      </c>
      <c r="BP2093">
        <v>0.77</v>
      </c>
      <c r="BQ2093">
        <v>1.27</v>
      </c>
      <c r="BR2093">
        <v>-0.62</v>
      </c>
      <c r="BS2093">
        <v>2.39</v>
      </c>
      <c r="BT2093">
        <v>0.41</v>
      </c>
      <c r="BU2093">
        <v>3.5</v>
      </c>
      <c r="BV2093">
        <v>2.69</v>
      </c>
      <c r="BW2093">
        <v>2.19</v>
      </c>
      <c r="BX2093">
        <v>2.52</v>
      </c>
      <c r="BY2093">
        <v>1.73</v>
      </c>
      <c r="BZ2093">
        <v>0.09</v>
      </c>
      <c r="CA2093">
        <v>2.97</v>
      </c>
      <c r="CB2093">
        <v>2.62</v>
      </c>
      <c r="CC2093">
        <v>1.84</v>
      </c>
      <c r="CD2093">
        <v>0</v>
      </c>
      <c r="CE2093">
        <v>1.0900000000000001</v>
      </c>
      <c r="CF2093">
        <v>0.68</v>
      </c>
      <c r="CG2093">
        <v>0</v>
      </c>
      <c r="CH2093">
        <v>1.63</v>
      </c>
      <c r="CI2093">
        <v>0</v>
      </c>
      <c r="CJ2093">
        <v>-1.7</v>
      </c>
      <c r="CK2093">
        <v>93</v>
      </c>
      <c r="CL2093">
        <v>-0.98</v>
      </c>
      <c r="CM2093">
        <v>91</v>
      </c>
      <c r="CN2093">
        <v>-0.61</v>
      </c>
      <c r="CO2093">
        <v>90</v>
      </c>
      <c r="CP2093">
        <v>-2.6</v>
      </c>
      <c r="CQ2093">
        <v>72</v>
      </c>
      <c r="CR2093">
        <v>0</v>
      </c>
      <c r="CS2093">
        <v>0</v>
      </c>
      <c r="CT2093">
        <v>8.8000000000000007</v>
      </c>
      <c r="CU2093">
        <v>70</v>
      </c>
      <c r="CV2093">
        <v>0.2</v>
      </c>
      <c r="CW2093">
        <v>45</v>
      </c>
      <c r="CX2093" t="s">
        <v>309</v>
      </c>
    </row>
    <row r="2094" spans="1:102" x14ac:dyDescent="0.3">
      <c r="A2094" t="str">
        <f>HYPERLINK("https://webapp.icbf.com/v2/app/bull-search/view/427830244","VCO")</f>
        <v>VCO</v>
      </c>
      <c r="B2094" t="s">
        <v>14415</v>
      </c>
      <c r="C2094" t="s">
        <v>14416</v>
      </c>
      <c r="D2094" s="1">
        <v>35080</v>
      </c>
      <c r="E2094" t="s">
        <v>92</v>
      </c>
      <c r="F2094">
        <v>100</v>
      </c>
      <c r="G2094" t="s">
        <v>93</v>
      </c>
      <c r="H2094">
        <v>64.91</v>
      </c>
      <c r="I2094">
        <v>95</v>
      </c>
      <c r="J2094">
        <v>5.31</v>
      </c>
      <c r="K2094">
        <v>99</v>
      </c>
      <c r="L2094">
        <v>18.77</v>
      </c>
      <c r="M2094">
        <v>91</v>
      </c>
      <c r="N2094">
        <v>21.55</v>
      </c>
      <c r="O2094">
        <v>95</v>
      </c>
      <c r="P2094">
        <v>-4.08</v>
      </c>
      <c r="Q2094">
        <v>98</v>
      </c>
      <c r="R2094">
        <v>11.28</v>
      </c>
      <c r="S2094">
        <v>92</v>
      </c>
      <c r="T2094">
        <v>14.64</v>
      </c>
      <c r="U2094">
        <v>96</v>
      </c>
      <c r="V2094">
        <v>-2.56</v>
      </c>
      <c r="W2094">
        <v>94</v>
      </c>
      <c r="X2094" t="s">
        <v>276</v>
      </c>
      <c r="Y2094" t="s">
        <v>95</v>
      </c>
      <c r="Z2094" t="s">
        <v>96</v>
      </c>
      <c r="AA2094" t="s">
        <v>839</v>
      </c>
      <c r="AB2094" t="s">
        <v>144</v>
      </c>
      <c r="AC2094">
        <v>386</v>
      </c>
      <c r="AD2094">
        <v>159</v>
      </c>
      <c r="AE2094">
        <v>99</v>
      </c>
      <c r="AF2094">
        <v>17.98</v>
      </c>
      <c r="AG2094">
        <v>5.99</v>
      </c>
      <c r="AH2094">
        <v>-0.94</v>
      </c>
      <c r="AI2094">
        <v>0.09</v>
      </c>
      <c r="AJ2094">
        <v>-0.03</v>
      </c>
      <c r="AK2094">
        <v>91</v>
      </c>
      <c r="AL2094">
        <v>411</v>
      </c>
      <c r="AM2094">
        <v>158</v>
      </c>
      <c r="AN2094">
        <v>0.02</v>
      </c>
      <c r="AO2094">
        <v>1.53</v>
      </c>
      <c r="AP2094">
        <v>737</v>
      </c>
      <c r="AQ2094">
        <v>5</v>
      </c>
      <c r="AR2094">
        <v>7.43</v>
      </c>
      <c r="AS2094">
        <v>94</v>
      </c>
      <c r="AT2094">
        <v>3.46</v>
      </c>
      <c r="AU2094">
        <v>96</v>
      </c>
      <c r="AV2094">
        <v>-2.25</v>
      </c>
      <c r="AW2094">
        <v>98</v>
      </c>
      <c r="AX2094">
        <v>-0.7</v>
      </c>
      <c r="AY2094">
        <v>94</v>
      </c>
      <c r="AZ2094">
        <v>5.31</v>
      </c>
      <c r="BA2094">
        <v>86</v>
      </c>
      <c r="BB2094">
        <v>4.4000000000000004</v>
      </c>
      <c r="BC2094">
        <v>87</v>
      </c>
      <c r="BD2094">
        <v>-0.08</v>
      </c>
      <c r="BE2094">
        <v>-0.04</v>
      </c>
      <c r="BF2094">
        <v>-0.05</v>
      </c>
      <c r="BG2094">
        <v>96</v>
      </c>
      <c r="BH2094">
        <v>-0.06</v>
      </c>
      <c r="BI2094">
        <v>1.31</v>
      </c>
      <c r="BJ2094">
        <v>57</v>
      </c>
      <c r="BK2094">
        <v>23</v>
      </c>
      <c r="BL2094">
        <v>1.21</v>
      </c>
      <c r="BM2094">
        <v>-0.46</v>
      </c>
      <c r="BN2094">
        <v>0.26</v>
      </c>
      <c r="BO2094">
        <v>0.83</v>
      </c>
      <c r="BP2094">
        <v>1.1399999999999999</v>
      </c>
      <c r="BQ2094">
        <v>-0.03</v>
      </c>
      <c r="BR2094">
        <v>0.36</v>
      </c>
      <c r="BS2094">
        <v>-0.27</v>
      </c>
      <c r="BT2094">
        <v>-1.1200000000000001</v>
      </c>
      <c r="BU2094">
        <v>1.64</v>
      </c>
      <c r="BV2094">
        <v>1.2</v>
      </c>
      <c r="BW2094">
        <v>1.72</v>
      </c>
      <c r="BX2094">
        <v>1.81</v>
      </c>
      <c r="BY2094">
        <v>1.94</v>
      </c>
      <c r="BZ2094">
        <v>-0.44</v>
      </c>
      <c r="CA2094">
        <v>1.87</v>
      </c>
      <c r="CB2094">
        <v>1.68</v>
      </c>
      <c r="CC2094">
        <v>0.86</v>
      </c>
      <c r="CD2094">
        <v>-0.85</v>
      </c>
      <c r="CE2094">
        <v>0.1</v>
      </c>
      <c r="CF2094">
        <v>0.84</v>
      </c>
      <c r="CG2094">
        <v>0</v>
      </c>
      <c r="CH2094">
        <v>2.2599999999999998</v>
      </c>
      <c r="CI2094">
        <v>0</v>
      </c>
      <c r="CJ2094">
        <v>1.2</v>
      </c>
      <c r="CK2094">
        <v>98</v>
      </c>
      <c r="CL2094">
        <v>-1.01</v>
      </c>
      <c r="CM2094">
        <v>97</v>
      </c>
      <c r="CN2094">
        <v>-0.39</v>
      </c>
      <c r="CO2094">
        <v>97</v>
      </c>
      <c r="CP2094">
        <v>0.8</v>
      </c>
      <c r="CQ2094">
        <v>97</v>
      </c>
      <c r="CR2094">
        <v>0</v>
      </c>
      <c r="CS2094">
        <v>0</v>
      </c>
      <c r="CT2094">
        <v>-6</v>
      </c>
      <c r="CU2094">
        <v>96</v>
      </c>
      <c r="CV2094">
        <v>0.25</v>
      </c>
      <c r="CW2094">
        <v>46</v>
      </c>
      <c r="CX2094" t="s">
        <v>166</v>
      </c>
    </row>
    <row r="2095" spans="1:102" x14ac:dyDescent="0.3">
      <c r="A2095" t="str">
        <f>HYPERLINK("https://webapp.icbf.com/v2/app/bull-search/view/1707105014","MO4739")</f>
        <v>MO4739</v>
      </c>
      <c r="B2095" t="s">
        <v>10341</v>
      </c>
      <c r="C2095" t="s">
        <v>10342</v>
      </c>
      <c r="D2095" s="1">
        <v>42317</v>
      </c>
      <c r="E2095" t="s">
        <v>140</v>
      </c>
      <c r="F2095">
        <v>0</v>
      </c>
      <c r="G2095" t="s">
        <v>435</v>
      </c>
      <c r="H2095">
        <v>64.8</v>
      </c>
      <c r="I2095">
        <v>62</v>
      </c>
      <c r="J2095">
        <v>26.75</v>
      </c>
      <c r="K2095">
        <v>78</v>
      </c>
      <c r="L2095">
        <v>25</v>
      </c>
      <c r="M2095">
        <v>59</v>
      </c>
      <c r="N2095">
        <v>1.54</v>
      </c>
      <c r="O2095">
        <v>48</v>
      </c>
      <c r="P2095">
        <v>16.309999999999999</v>
      </c>
      <c r="Q2095">
        <v>45</v>
      </c>
      <c r="R2095">
        <v>4.51</v>
      </c>
      <c r="S2095">
        <v>59</v>
      </c>
      <c r="T2095">
        <v>-0.31</v>
      </c>
      <c r="U2095">
        <v>43</v>
      </c>
      <c r="V2095">
        <v>-9</v>
      </c>
      <c r="W2095">
        <v>55</v>
      </c>
      <c r="X2095" t="s">
        <v>102</v>
      </c>
      <c r="Y2095" t="s">
        <v>442</v>
      </c>
      <c r="Z2095">
        <v>0</v>
      </c>
      <c r="AA2095" t="s">
        <v>2351</v>
      </c>
      <c r="AB2095" t="s">
        <v>10343</v>
      </c>
      <c r="AC2095">
        <v>0</v>
      </c>
      <c r="AD2095">
        <v>0</v>
      </c>
      <c r="AE2095">
        <v>78</v>
      </c>
      <c r="AF2095">
        <v>185.42</v>
      </c>
      <c r="AG2095">
        <v>4.74</v>
      </c>
      <c r="AH2095">
        <v>5.71</v>
      </c>
      <c r="AI2095">
        <v>-0.05</v>
      </c>
      <c r="AJ2095">
        <v>-0.01</v>
      </c>
      <c r="AK2095">
        <v>59</v>
      </c>
      <c r="AL2095">
        <v>0</v>
      </c>
      <c r="AM2095">
        <v>0</v>
      </c>
      <c r="AN2095">
        <v>-1.66</v>
      </c>
      <c r="AO2095">
        <v>0.33</v>
      </c>
      <c r="AP2095">
        <v>1</v>
      </c>
      <c r="AQ2095">
        <v>0</v>
      </c>
      <c r="AR2095">
        <v>7.98</v>
      </c>
      <c r="AS2095">
        <v>50</v>
      </c>
      <c r="AT2095">
        <v>4.03</v>
      </c>
      <c r="AU2095">
        <v>56</v>
      </c>
      <c r="AV2095">
        <v>-0.8</v>
      </c>
      <c r="AW2095">
        <v>46</v>
      </c>
      <c r="AX2095">
        <v>0.25</v>
      </c>
      <c r="AY2095">
        <v>47</v>
      </c>
      <c r="AZ2095">
        <v>6.01</v>
      </c>
      <c r="BA2095">
        <v>45</v>
      </c>
      <c r="BB2095">
        <v>3.95</v>
      </c>
      <c r="BC2095">
        <v>42</v>
      </c>
      <c r="BD2095">
        <v>0.05</v>
      </c>
      <c r="BE2095">
        <v>-0.03</v>
      </c>
      <c r="BF2095">
        <v>-0.13</v>
      </c>
      <c r="BG2095">
        <v>66</v>
      </c>
      <c r="BH2095">
        <v>-0.35</v>
      </c>
      <c r="BI2095">
        <v>-11.46</v>
      </c>
      <c r="BJ2095">
        <v>0</v>
      </c>
      <c r="BK2095">
        <v>0</v>
      </c>
      <c r="BL2095">
        <v>-0.64</v>
      </c>
      <c r="BM2095">
        <v>3.29</v>
      </c>
      <c r="BN2095">
        <v>-1.4</v>
      </c>
      <c r="BO2095">
        <v>-2.71</v>
      </c>
      <c r="BP2095">
        <v>3.86</v>
      </c>
      <c r="BQ2095">
        <v>-1.58</v>
      </c>
      <c r="BR2095">
        <v>-2.2599999999999998</v>
      </c>
      <c r="BS2095">
        <v>-0.36</v>
      </c>
      <c r="BT2095">
        <v>2.2200000000000002</v>
      </c>
      <c r="BU2095">
        <v>-3.01</v>
      </c>
      <c r="BV2095">
        <v>-3.38</v>
      </c>
      <c r="BW2095">
        <v>-2.56</v>
      </c>
      <c r="BX2095">
        <v>-2.36</v>
      </c>
      <c r="BY2095">
        <v>-1.87</v>
      </c>
      <c r="BZ2095">
        <v>1.25</v>
      </c>
      <c r="CA2095">
        <v>-2.25</v>
      </c>
      <c r="CB2095">
        <v>-2.87</v>
      </c>
      <c r="CC2095">
        <v>-0.4</v>
      </c>
      <c r="CD2095">
        <v>3.52</v>
      </c>
      <c r="CE2095">
        <v>-2.66</v>
      </c>
      <c r="CF2095">
        <v>-0.9</v>
      </c>
      <c r="CG2095">
        <v>0</v>
      </c>
      <c r="CH2095">
        <v>-2.2400000000000002</v>
      </c>
      <c r="CI2095">
        <v>0</v>
      </c>
      <c r="CJ2095">
        <v>8.1</v>
      </c>
      <c r="CK2095">
        <v>45</v>
      </c>
      <c r="CL2095">
        <v>0.06</v>
      </c>
      <c r="CM2095">
        <v>45</v>
      </c>
      <c r="CN2095">
        <v>-0.27</v>
      </c>
      <c r="CO2095">
        <v>45</v>
      </c>
      <c r="CP2095">
        <v>9</v>
      </c>
      <c r="CQ2095">
        <v>44</v>
      </c>
      <c r="CR2095">
        <v>0</v>
      </c>
      <c r="CS2095">
        <v>0</v>
      </c>
      <c r="CT2095">
        <v>14.2</v>
      </c>
      <c r="CU2095">
        <v>43</v>
      </c>
      <c r="CV2095">
        <v>0.21</v>
      </c>
      <c r="CW2095">
        <v>35</v>
      </c>
      <c r="CX2095" t="s">
        <v>7147</v>
      </c>
    </row>
    <row r="2096" spans="1:102" x14ac:dyDescent="0.3">
      <c r="A2096" t="str">
        <f>HYPERLINK("https://webapp.icbf.com/v2/app/bull-search/view/586052850","S912")</f>
        <v>S912</v>
      </c>
      <c r="B2096" t="s">
        <v>12891</v>
      </c>
      <c r="C2096" t="s">
        <v>12892</v>
      </c>
      <c r="D2096" s="1">
        <v>37347</v>
      </c>
      <c r="E2096" t="s">
        <v>2634</v>
      </c>
      <c r="F2096">
        <v>0</v>
      </c>
      <c r="G2096" t="s">
        <v>109</v>
      </c>
      <c r="H2096">
        <v>64.790000000000006</v>
      </c>
      <c r="I2096">
        <v>67</v>
      </c>
      <c r="J2096">
        <v>-9.73</v>
      </c>
      <c r="K2096">
        <v>71</v>
      </c>
      <c r="L2096">
        <v>30.34</v>
      </c>
      <c r="M2096">
        <v>66</v>
      </c>
      <c r="N2096">
        <v>27.39</v>
      </c>
      <c r="O2096">
        <v>69</v>
      </c>
      <c r="P2096">
        <v>18.38</v>
      </c>
      <c r="Q2096">
        <v>86</v>
      </c>
      <c r="R2096">
        <v>-1.74</v>
      </c>
      <c r="S2096">
        <v>59</v>
      </c>
      <c r="T2096">
        <v>6.94</v>
      </c>
      <c r="U2096">
        <v>55</v>
      </c>
      <c r="V2096">
        <v>-6.79</v>
      </c>
      <c r="W2096">
        <v>31</v>
      </c>
      <c r="X2096" t="s">
        <v>276</v>
      </c>
      <c r="Y2096" t="s">
        <v>303</v>
      </c>
      <c r="Z2096">
        <v>0</v>
      </c>
      <c r="AA2096" t="s">
        <v>4150</v>
      </c>
      <c r="AB2096" t="s">
        <v>12893</v>
      </c>
      <c r="AC2096">
        <v>0</v>
      </c>
      <c r="AD2096">
        <v>0</v>
      </c>
      <c r="AE2096">
        <v>71</v>
      </c>
      <c r="AF2096">
        <v>-92.4</v>
      </c>
      <c r="AG2096">
        <v>-5.96</v>
      </c>
      <c r="AH2096">
        <v>-0.96</v>
      </c>
      <c r="AI2096">
        <v>-0.04</v>
      </c>
      <c r="AJ2096">
        <v>0.04</v>
      </c>
      <c r="AK2096">
        <v>66</v>
      </c>
      <c r="AL2096">
        <v>0</v>
      </c>
      <c r="AM2096">
        <v>0</v>
      </c>
      <c r="AN2096">
        <v>-1.59</v>
      </c>
      <c r="AO2096">
        <v>0.83</v>
      </c>
      <c r="AP2096">
        <v>52</v>
      </c>
      <c r="AQ2096">
        <v>0</v>
      </c>
      <c r="AR2096">
        <v>5.67</v>
      </c>
      <c r="AS2096">
        <v>42</v>
      </c>
      <c r="AT2096">
        <v>3</v>
      </c>
      <c r="AU2096">
        <v>77</v>
      </c>
      <c r="AV2096">
        <v>-2.4900000000000002</v>
      </c>
      <c r="AW2096">
        <v>84</v>
      </c>
      <c r="AX2096">
        <v>-0.69</v>
      </c>
      <c r="AY2096">
        <v>66</v>
      </c>
      <c r="AZ2096">
        <v>6.73</v>
      </c>
      <c r="BA2096">
        <v>33</v>
      </c>
      <c r="BB2096">
        <v>4.93</v>
      </c>
      <c r="BC2096">
        <v>35</v>
      </c>
      <c r="BD2096">
        <v>0</v>
      </c>
      <c r="BE2096">
        <v>0</v>
      </c>
      <c r="BF2096">
        <v>0.04</v>
      </c>
      <c r="BG2096">
        <v>85</v>
      </c>
      <c r="BH2096">
        <v>-0.21</v>
      </c>
      <c r="BI2096">
        <v>-2.39</v>
      </c>
      <c r="BJ2096">
        <v>0</v>
      </c>
      <c r="BK2096">
        <v>0</v>
      </c>
      <c r="BL2096">
        <v>-1.07</v>
      </c>
      <c r="BM2096">
        <v>2.61</v>
      </c>
      <c r="BN2096">
        <v>-0.35</v>
      </c>
      <c r="BO2096">
        <v>-1.27</v>
      </c>
      <c r="BP2096">
        <v>3.48</v>
      </c>
      <c r="BQ2096">
        <v>1.27</v>
      </c>
      <c r="BR2096">
        <v>-0.87</v>
      </c>
      <c r="BS2096">
        <v>0.92</v>
      </c>
      <c r="BT2096">
        <v>0.62</v>
      </c>
      <c r="BU2096">
        <v>-1.88</v>
      </c>
      <c r="BV2096">
        <v>-2.9</v>
      </c>
      <c r="BW2096">
        <v>-2.2000000000000002</v>
      </c>
      <c r="BX2096">
        <v>-2.48</v>
      </c>
      <c r="BY2096">
        <v>-1.1299999999999999</v>
      </c>
      <c r="BZ2096">
        <v>0.67</v>
      </c>
      <c r="CA2096">
        <v>-1.47</v>
      </c>
      <c r="CB2096">
        <v>-2.0299999999999998</v>
      </c>
      <c r="CC2096">
        <v>0.42</v>
      </c>
      <c r="CD2096">
        <v>2.0699999999999998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8.9</v>
      </c>
      <c r="CK2096">
        <v>89</v>
      </c>
      <c r="CL2096">
        <v>0.14000000000000001</v>
      </c>
      <c r="CM2096">
        <v>87</v>
      </c>
      <c r="CN2096">
        <v>-0.35</v>
      </c>
      <c r="CO2096">
        <v>86</v>
      </c>
      <c r="CP2096">
        <v>3.7</v>
      </c>
      <c r="CQ2096">
        <v>65</v>
      </c>
      <c r="CR2096">
        <v>0</v>
      </c>
      <c r="CS2096">
        <v>0</v>
      </c>
      <c r="CT2096">
        <v>4.4000000000000004</v>
      </c>
      <c r="CU2096">
        <v>55</v>
      </c>
      <c r="CV2096">
        <v>7.0000000000000007E-2</v>
      </c>
      <c r="CW2096">
        <v>43</v>
      </c>
      <c r="CX2096" t="s">
        <v>2863</v>
      </c>
    </row>
    <row r="2097" spans="1:102" x14ac:dyDescent="0.3">
      <c r="A2097" t="str">
        <f>HYPERLINK("https://webapp.icbf.com/v2/app/bull-search/view/124415100","SVD")</f>
        <v>SVD</v>
      </c>
      <c r="B2097" t="s">
        <v>8162</v>
      </c>
      <c r="C2097" t="s">
        <v>7622</v>
      </c>
      <c r="D2097" s="1">
        <v>35828</v>
      </c>
      <c r="E2097" t="s">
        <v>108</v>
      </c>
      <c r="F2097">
        <v>3</v>
      </c>
      <c r="G2097" t="s">
        <v>93</v>
      </c>
      <c r="H2097">
        <v>64.77</v>
      </c>
      <c r="I2097">
        <v>98</v>
      </c>
      <c r="J2097">
        <v>18.350000000000001</v>
      </c>
      <c r="K2097">
        <v>99</v>
      </c>
      <c r="L2097">
        <v>46.64</v>
      </c>
      <c r="M2097">
        <v>97</v>
      </c>
      <c r="N2097">
        <v>-5.62</v>
      </c>
      <c r="O2097">
        <v>99</v>
      </c>
      <c r="P2097">
        <v>-9.6199999999999992</v>
      </c>
      <c r="Q2097">
        <v>99</v>
      </c>
      <c r="R2097">
        <v>6.84</v>
      </c>
      <c r="S2097">
        <v>98</v>
      </c>
      <c r="T2097">
        <v>7.83</v>
      </c>
      <c r="U2097">
        <v>99</v>
      </c>
      <c r="V2097">
        <v>0.35</v>
      </c>
      <c r="W2097">
        <v>99</v>
      </c>
      <c r="X2097" t="s">
        <v>102</v>
      </c>
      <c r="Y2097" t="s">
        <v>95</v>
      </c>
      <c r="Z2097" t="s">
        <v>96</v>
      </c>
      <c r="AA2097" t="s">
        <v>4220</v>
      </c>
      <c r="AB2097" t="s">
        <v>1317</v>
      </c>
      <c r="AC2097">
        <v>2580</v>
      </c>
      <c r="AD2097">
        <v>715</v>
      </c>
      <c r="AE2097">
        <v>99</v>
      </c>
      <c r="AF2097">
        <v>244.67</v>
      </c>
      <c r="AG2097">
        <v>4.03</v>
      </c>
      <c r="AH2097">
        <v>5.44</v>
      </c>
      <c r="AI2097">
        <v>-0.09</v>
      </c>
      <c r="AJ2097">
        <v>-0.05</v>
      </c>
      <c r="AK2097">
        <v>97</v>
      </c>
      <c r="AL2097">
        <v>4340</v>
      </c>
      <c r="AM2097">
        <v>1293</v>
      </c>
      <c r="AN2097">
        <v>-2.5299999999999998</v>
      </c>
      <c r="AO2097">
        <v>1.19</v>
      </c>
      <c r="AP2097">
        <v>5325</v>
      </c>
      <c r="AQ2097">
        <v>50</v>
      </c>
      <c r="AR2097">
        <v>5.96</v>
      </c>
      <c r="AS2097">
        <v>98</v>
      </c>
      <c r="AT2097">
        <v>2.78</v>
      </c>
      <c r="AU2097">
        <v>99</v>
      </c>
      <c r="AV2097">
        <v>0.3</v>
      </c>
      <c r="AW2097">
        <v>99</v>
      </c>
      <c r="AX2097">
        <v>-0.47</v>
      </c>
      <c r="AY2097">
        <v>99</v>
      </c>
      <c r="AZ2097">
        <v>8.7799999999999994</v>
      </c>
      <c r="BA2097">
        <v>98</v>
      </c>
      <c r="BB2097">
        <v>6.34</v>
      </c>
      <c r="BC2097">
        <v>98</v>
      </c>
      <c r="BD2097">
        <v>0.01</v>
      </c>
      <c r="BE2097">
        <v>-0.06</v>
      </c>
      <c r="BF2097">
        <v>-0.06</v>
      </c>
      <c r="BG2097">
        <v>99</v>
      </c>
      <c r="BH2097">
        <v>-0.14000000000000001</v>
      </c>
      <c r="BI2097">
        <v>-17.309999999999999</v>
      </c>
      <c r="BJ2097">
        <v>100</v>
      </c>
      <c r="BK2097">
        <v>59</v>
      </c>
      <c r="BL2097">
        <v>-2.34</v>
      </c>
      <c r="BM2097">
        <v>2.89</v>
      </c>
      <c r="BN2097">
        <v>-1.1000000000000001</v>
      </c>
      <c r="BO2097">
        <v>-2.65</v>
      </c>
      <c r="BP2097">
        <v>-3.75</v>
      </c>
      <c r="BQ2097">
        <v>2.1800000000000002</v>
      </c>
      <c r="BR2097">
        <v>0.56999999999999995</v>
      </c>
      <c r="BS2097">
        <v>-2.69</v>
      </c>
      <c r="BT2097">
        <v>-1.63</v>
      </c>
      <c r="BU2097">
        <v>-1.29</v>
      </c>
      <c r="BV2097">
        <v>-2.17</v>
      </c>
      <c r="BW2097">
        <v>-0.98</v>
      </c>
      <c r="BX2097">
        <v>-1.52</v>
      </c>
      <c r="BY2097">
        <v>-1.32</v>
      </c>
      <c r="BZ2097">
        <v>-2.7</v>
      </c>
      <c r="CA2097">
        <v>-3.07</v>
      </c>
      <c r="CB2097">
        <v>-2.0099999999999998</v>
      </c>
      <c r="CC2097">
        <v>-3.9</v>
      </c>
      <c r="CD2097">
        <v>2.98</v>
      </c>
      <c r="CE2097">
        <v>-2.57</v>
      </c>
      <c r="CF2097">
        <v>-1.58</v>
      </c>
      <c r="CG2097">
        <v>0</v>
      </c>
      <c r="CH2097">
        <v>-1.33</v>
      </c>
      <c r="CI2097">
        <v>0</v>
      </c>
      <c r="CJ2097">
        <v>-4.5</v>
      </c>
      <c r="CK2097">
        <v>99</v>
      </c>
      <c r="CL2097">
        <v>-0.25</v>
      </c>
      <c r="CM2097">
        <v>99</v>
      </c>
      <c r="CN2097">
        <v>0</v>
      </c>
      <c r="CO2097">
        <v>99</v>
      </c>
      <c r="CP2097">
        <v>-5.5</v>
      </c>
      <c r="CQ2097">
        <v>99</v>
      </c>
      <c r="CR2097">
        <v>0</v>
      </c>
      <c r="CS2097">
        <v>0</v>
      </c>
      <c r="CT2097">
        <v>3.2</v>
      </c>
      <c r="CU2097">
        <v>99</v>
      </c>
      <c r="CV2097">
        <v>0.08</v>
      </c>
      <c r="CW2097">
        <v>48</v>
      </c>
      <c r="CX2097" t="s">
        <v>1318</v>
      </c>
    </row>
    <row r="2098" spans="1:102" x14ac:dyDescent="0.3">
      <c r="A2098" t="str">
        <f>HYPERLINK("https://webapp.icbf.com/v2/app/bull-search/view/69091495","DNG")</f>
        <v>DNG</v>
      </c>
      <c r="B2098" t="s">
        <v>14291</v>
      </c>
      <c r="C2098" t="s">
        <v>1257</v>
      </c>
      <c r="D2098" s="1">
        <v>34574</v>
      </c>
      <c r="E2098" t="s">
        <v>92</v>
      </c>
      <c r="F2098">
        <v>100</v>
      </c>
      <c r="G2098" t="s">
        <v>109</v>
      </c>
      <c r="H2098">
        <v>64.66</v>
      </c>
      <c r="I2098">
        <v>90</v>
      </c>
      <c r="J2098">
        <v>50.54</v>
      </c>
      <c r="K2098">
        <v>97</v>
      </c>
      <c r="L2098">
        <v>-7.79</v>
      </c>
      <c r="M2098">
        <v>92</v>
      </c>
      <c r="N2098">
        <v>19.22</v>
      </c>
      <c r="O2098">
        <v>81</v>
      </c>
      <c r="P2098">
        <v>-17.510000000000002</v>
      </c>
      <c r="Q2098">
        <v>80</v>
      </c>
      <c r="R2098">
        <v>0.67</v>
      </c>
      <c r="S2098">
        <v>87</v>
      </c>
      <c r="T2098">
        <v>14.2</v>
      </c>
      <c r="U2098">
        <v>76</v>
      </c>
      <c r="V2098">
        <v>5.33</v>
      </c>
      <c r="W2098">
        <v>82</v>
      </c>
      <c r="X2098" t="s">
        <v>94</v>
      </c>
      <c r="Y2098" t="s">
        <v>95</v>
      </c>
      <c r="Z2098" t="s">
        <v>96</v>
      </c>
      <c r="AA2098" t="s">
        <v>999</v>
      </c>
      <c r="AB2098" t="s">
        <v>14292</v>
      </c>
      <c r="AC2098">
        <v>0</v>
      </c>
      <c r="AD2098">
        <v>0</v>
      </c>
      <c r="AE2098">
        <v>97</v>
      </c>
      <c r="AF2098">
        <v>394.55</v>
      </c>
      <c r="AG2098">
        <v>10.33</v>
      </c>
      <c r="AH2098">
        <v>10.98</v>
      </c>
      <c r="AI2098">
        <v>-0.08</v>
      </c>
      <c r="AJ2098">
        <v>-0.04</v>
      </c>
      <c r="AK2098">
        <v>92</v>
      </c>
      <c r="AL2098">
        <v>0</v>
      </c>
      <c r="AM2098">
        <v>0</v>
      </c>
      <c r="AN2098">
        <v>2.08</v>
      </c>
      <c r="AO2098">
        <v>1.48</v>
      </c>
      <c r="AP2098">
        <v>6</v>
      </c>
      <c r="AQ2098">
        <v>1</v>
      </c>
      <c r="AR2098">
        <v>6.66</v>
      </c>
      <c r="AS2098">
        <v>78</v>
      </c>
      <c r="AT2098">
        <v>3.13</v>
      </c>
      <c r="AU2098">
        <v>95</v>
      </c>
      <c r="AV2098">
        <v>-1.72</v>
      </c>
      <c r="AW2098">
        <v>78</v>
      </c>
      <c r="AX2098">
        <v>-0.51</v>
      </c>
      <c r="AY2098">
        <v>77</v>
      </c>
      <c r="AZ2098">
        <v>6.06</v>
      </c>
      <c r="BA2098">
        <v>72</v>
      </c>
      <c r="BB2098">
        <v>4.74</v>
      </c>
      <c r="BC2098">
        <v>75</v>
      </c>
      <c r="BD2098">
        <v>-0.05</v>
      </c>
      <c r="BE2098">
        <v>0.02</v>
      </c>
      <c r="BF2098">
        <v>0.03</v>
      </c>
      <c r="BG2098">
        <v>96</v>
      </c>
      <c r="BH2098">
        <v>0.1</v>
      </c>
      <c r="BI2098">
        <v>-5.63</v>
      </c>
      <c r="BJ2098">
        <v>0</v>
      </c>
      <c r="BK2098">
        <v>0</v>
      </c>
      <c r="BL2098">
        <v>-0.6</v>
      </c>
      <c r="BM2098">
        <v>-0.02</v>
      </c>
      <c r="BN2098">
        <v>-0.25</v>
      </c>
      <c r="BO2098">
        <v>0.01</v>
      </c>
      <c r="BP2098">
        <v>-0.53</v>
      </c>
      <c r="BQ2098">
        <v>-1.17</v>
      </c>
      <c r="BR2098">
        <v>1.98</v>
      </c>
      <c r="BS2098">
        <v>-1.07</v>
      </c>
      <c r="BT2098">
        <v>-2.83</v>
      </c>
      <c r="BU2098">
        <v>-0.81</v>
      </c>
      <c r="BV2098">
        <v>-1.07</v>
      </c>
      <c r="BW2098">
        <v>-1.49</v>
      </c>
      <c r="BX2098">
        <v>-1.53</v>
      </c>
      <c r="BY2098">
        <v>-0.81</v>
      </c>
      <c r="BZ2098">
        <v>-0.3</v>
      </c>
      <c r="CA2098">
        <v>-0.9</v>
      </c>
      <c r="CB2098">
        <v>-0.84</v>
      </c>
      <c r="CC2098">
        <v>-1.61</v>
      </c>
      <c r="CD2098">
        <v>0.02</v>
      </c>
      <c r="CE2098">
        <v>-0.13</v>
      </c>
      <c r="CF2098">
        <v>-1.38</v>
      </c>
      <c r="CG2098">
        <v>0</v>
      </c>
      <c r="CH2098">
        <v>-0.77</v>
      </c>
      <c r="CI2098">
        <v>0</v>
      </c>
      <c r="CJ2098">
        <v>-6.6</v>
      </c>
      <c r="CK2098">
        <v>81</v>
      </c>
      <c r="CL2098">
        <v>-0.73</v>
      </c>
      <c r="CM2098">
        <v>80</v>
      </c>
      <c r="CN2098">
        <v>-0.05</v>
      </c>
      <c r="CO2098">
        <v>79</v>
      </c>
      <c r="CP2098">
        <v>-9.6999999999999993</v>
      </c>
      <c r="CQ2098">
        <v>78</v>
      </c>
      <c r="CR2098">
        <v>0</v>
      </c>
      <c r="CS2098">
        <v>0</v>
      </c>
      <c r="CT2098">
        <v>-5.4</v>
      </c>
      <c r="CU2098">
        <v>76</v>
      </c>
      <c r="CV2098">
        <v>0.14000000000000001</v>
      </c>
      <c r="CW2098">
        <v>43</v>
      </c>
      <c r="CX2098" t="s">
        <v>166</v>
      </c>
    </row>
    <row r="2099" spans="1:102" x14ac:dyDescent="0.3">
      <c r="A2099" t="str">
        <f>HYPERLINK("https://webapp.icbf.com/v2/app/bull-search/view/368266979","MNY")</f>
        <v>MNY</v>
      </c>
      <c r="B2099" t="s">
        <v>15048</v>
      </c>
      <c r="C2099" t="s">
        <v>4435</v>
      </c>
      <c r="D2099" s="1">
        <v>35316</v>
      </c>
      <c r="E2099" t="s">
        <v>146</v>
      </c>
      <c r="F2099">
        <v>0</v>
      </c>
      <c r="G2099" t="s">
        <v>109</v>
      </c>
      <c r="H2099">
        <v>64.48</v>
      </c>
      <c r="I2099">
        <v>71</v>
      </c>
      <c r="J2099">
        <v>-20.3</v>
      </c>
      <c r="K2099">
        <v>77</v>
      </c>
      <c r="L2099">
        <v>63.81</v>
      </c>
      <c r="M2099">
        <v>65</v>
      </c>
      <c r="N2099">
        <v>22.55</v>
      </c>
      <c r="O2099">
        <v>73</v>
      </c>
      <c r="P2099">
        <v>6.79</v>
      </c>
      <c r="Q2099">
        <v>85</v>
      </c>
      <c r="R2099">
        <v>1.51</v>
      </c>
      <c r="S2099">
        <v>64</v>
      </c>
      <c r="T2099">
        <v>0.57999999999999996</v>
      </c>
      <c r="U2099">
        <v>70</v>
      </c>
      <c r="V2099">
        <v>-10.46</v>
      </c>
      <c r="W2099">
        <v>57</v>
      </c>
      <c r="X2099" t="s">
        <v>102</v>
      </c>
      <c r="Y2099" t="s">
        <v>95</v>
      </c>
      <c r="Z2099">
        <v>0</v>
      </c>
      <c r="AA2099" t="s">
        <v>4601</v>
      </c>
      <c r="AB2099" t="s">
        <v>1204</v>
      </c>
      <c r="AC2099">
        <v>0</v>
      </c>
      <c r="AD2099">
        <v>0</v>
      </c>
      <c r="AE2099">
        <v>77</v>
      </c>
      <c r="AF2099">
        <v>-271.33999999999997</v>
      </c>
      <c r="AG2099">
        <v>-12.71</v>
      </c>
      <c r="AH2099">
        <v>-3.11</v>
      </c>
      <c r="AI2099">
        <v>-0.04</v>
      </c>
      <c r="AJ2099">
        <v>0.11</v>
      </c>
      <c r="AK2099">
        <v>65</v>
      </c>
      <c r="AL2099">
        <v>0</v>
      </c>
      <c r="AM2099">
        <v>0</v>
      </c>
      <c r="AN2099">
        <v>-4.95</v>
      </c>
      <c r="AO2099">
        <v>0.12</v>
      </c>
      <c r="AP2099">
        <v>41</v>
      </c>
      <c r="AQ2099">
        <v>1</v>
      </c>
      <c r="AR2099">
        <v>6.71</v>
      </c>
      <c r="AS2099">
        <v>50</v>
      </c>
      <c r="AT2099">
        <v>2.59</v>
      </c>
      <c r="AU2099">
        <v>82</v>
      </c>
      <c r="AV2099">
        <v>-2.94</v>
      </c>
      <c r="AW2099">
        <v>85</v>
      </c>
      <c r="AX2099">
        <v>1.02</v>
      </c>
      <c r="AY2099">
        <v>67</v>
      </c>
      <c r="AZ2099">
        <v>7.72</v>
      </c>
      <c r="BA2099">
        <v>39</v>
      </c>
      <c r="BB2099">
        <v>5.52</v>
      </c>
      <c r="BC2099">
        <v>41</v>
      </c>
      <c r="BD2099">
        <v>-0.04</v>
      </c>
      <c r="BE2099">
        <v>-0.02</v>
      </c>
      <c r="BF2099">
        <v>7.0000000000000007E-2</v>
      </c>
      <c r="BG2099">
        <v>83</v>
      </c>
      <c r="BH2099">
        <v>-0.18</v>
      </c>
      <c r="BI2099">
        <v>12.92</v>
      </c>
      <c r="BJ2099">
        <v>0</v>
      </c>
      <c r="BK2099">
        <v>0</v>
      </c>
      <c r="BL2099">
        <v>-1.93</v>
      </c>
      <c r="BM2099">
        <v>2.39</v>
      </c>
      <c r="BN2099">
        <v>-1.99</v>
      </c>
      <c r="BO2099">
        <v>-2.1</v>
      </c>
      <c r="BP2099">
        <v>-0.8</v>
      </c>
      <c r="BQ2099">
        <v>-0.1</v>
      </c>
      <c r="BR2099">
        <v>-1.47</v>
      </c>
      <c r="BS2099">
        <v>1.86</v>
      </c>
      <c r="BT2099">
        <v>2.2599999999999998</v>
      </c>
      <c r="BU2099">
        <v>-2.15</v>
      </c>
      <c r="BV2099">
        <v>-1.82</v>
      </c>
      <c r="BW2099">
        <v>-0.51</v>
      </c>
      <c r="BX2099">
        <v>-2.6</v>
      </c>
      <c r="BY2099">
        <v>0.49</v>
      </c>
      <c r="BZ2099">
        <v>1.76</v>
      </c>
      <c r="CA2099">
        <v>-0.8</v>
      </c>
      <c r="CB2099">
        <v>-1.8</v>
      </c>
      <c r="CC2099">
        <v>1.29</v>
      </c>
      <c r="CD2099">
        <v>2.86</v>
      </c>
      <c r="CE2099">
        <v>-2.73</v>
      </c>
      <c r="CF2099">
        <v>-0.67</v>
      </c>
      <c r="CG2099">
        <v>0</v>
      </c>
      <c r="CH2099">
        <v>-0.38</v>
      </c>
      <c r="CI2099">
        <v>0</v>
      </c>
      <c r="CJ2099">
        <v>-0.4</v>
      </c>
      <c r="CK2099">
        <v>87</v>
      </c>
      <c r="CL2099">
        <v>0.28999999999999998</v>
      </c>
      <c r="CM2099">
        <v>85</v>
      </c>
      <c r="CN2099">
        <v>-0.35</v>
      </c>
      <c r="CO2099">
        <v>84</v>
      </c>
      <c r="CP2099">
        <v>1.7</v>
      </c>
      <c r="CQ2099">
        <v>78</v>
      </c>
      <c r="CR2099">
        <v>0</v>
      </c>
      <c r="CS2099">
        <v>0</v>
      </c>
      <c r="CT2099">
        <v>13</v>
      </c>
      <c r="CU2099">
        <v>70</v>
      </c>
      <c r="CV2099">
        <v>-0.22</v>
      </c>
      <c r="CW2099">
        <v>24</v>
      </c>
      <c r="CX2099" t="s">
        <v>1205</v>
      </c>
    </row>
    <row r="2100" spans="1:102" x14ac:dyDescent="0.3">
      <c r="A2100" t="str">
        <f>HYPERLINK("https://webapp.icbf.com/v2/app/bull-search/view/910793461","RBG")</f>
        <v>RBG</v>
      </c>
      <c r="B2100" t="s">
        <v>9153</v>
      </c>
      <c r="C2100" t="s">
        <v>9154</v>
      </c>
      <c r="D2100" s="1">
        <v>40237</v>
      </c>
      <c r="E2100" t="s">
        <v>92</v>
      </c>
      <c r="F2100">
        <v>100</v>
      </c>
      <c r="G2100" t="s">
        <v>93</v>
      </c>
      <c r="H2100">
        <v>64.41</v>
      </c>
      <c r="I2100">
        <v>89</v>
      </c>
      <c r="J2100">
        <v>64.22</v>
      </c>
      <c r="K2100">
        <v>97</v>
      </c>
      <c r="L2100">
        <v>-28.08</v>
      </c>
      <c r="M2100">
        <v>89</v>
      </c>
      <c r="N2100">
        <v>32.1</v>
      </c>
      <c r="O2100">
        <v>86</v>
      </c>
      <c r="P2100">
        <v>-15.73</v>
      </c>
      <c r="Q2100">
        <v>90</v>
      </c>
      <c r="R2100">
        <v>9.2100000000000009</v>
      </c>
      <c r="S2100">
        <v>81</v>
      </c>
      <c r="T2100">
        <v>-3.79</v>
      </c>
      <c r="U2100">
        <v>75</v>
      </c>
      <c r="V2100">
        <v>6.48</v>
      </c>
      <c r="W2100">
        <v>68</v>
      </c>
      <c r="X2100" t="s">
        <v>251</v>
      </c>
      <c r="Y2100" t="s">
        <v>329</v>
      </c>
      <c r="Z2100" t="s">
        <v>96</v>
      </c>
      <c r="AA2100" t="s">
        <v>1572</v>
      </c>
      <c r="AB2100" t="s">
        <v>9155</v>
      </c>
      <c r="AC2100">
        <v>122</v>
      </c>
      <c r="AD2100">
        <v>47</v>
      </c>
      <c r="AE2100">
        <v>97</v>
      </c>
      <c r="AF2100">
        <v>391.95</v>
      </c>
      <c r="AG2100">
        <v>12.33</v>
      </c>
      <c r="AH2100">
        <v>12.56</v>
      </c>
      <c r="AI2100">
        <v>-0.05</v>
      </c>
      <c r="AJ2100">
        <v>-0.01</v>
      </c>
      <c r="AK2100">
        <v>89</v>
      </c>
      <c r="AL2100">
        <v>103</v>
      </c>
      <c r="AM2100">
        <v>44</v>
      </c>
      <c r="AN2100">
        <v>1.5</v>
      </c>
      <c r="AO2100">
        <v>-0.74</v>
      </c>
      <c r="AP2100">
        <v>177</v>
      </c>
      <c r="AQ2100">
        <v>0</v>
      </c>
      <c r="AR2100">
        <v>6.29</v>
      </c>
      <c r="AS2100">
        <v>85</v>
      </c>
      <c r="AT2100">
        <v>2.17</v>
      </c>
      <c r="AU2100">
        <v>92</v>
      </c>
      <c r="AV2100">
        <v>-2.93</v>
      </c>
      <c r="AW2100">
        <v>93</v>
      </c>
      <c r="AX2100">
        <v>0.8</v>
      </c>
      <c r="AY2100">
        <v>83</v>
      </c>
      <c r="AZ2100">
        <v>6.18</v>
      </c>
      <c r="BA2100">
        <v>68</v>
      </c>
      <c r="BB2100">
        <v>5.0199999999999996</v>
      </c>
      <c r="BC2100">
        <v>59</v>
      </c>
      <c r="BD2100">
        <v>-0.01</v>
      </c>
      <c r="BE2100">
        <v>-0.05</v>
      </c>
      <c r="BF2100">
        <v>-0.1</v>
      </c>
      <c r="BG2100">
        <v>94</v>
      </c>
      <c r="BH2100">
        <v>0.06</v>
      </c>
      <c r="BI2100">
        <v>-13.96</v>
      </c>
      <c r="BJ2100">
        <v>38</v>
      </c>
      <c r="BK2100">
        <v>22</v>
      </c>
      <c r="BL2100">
        <v>1.42</v>
      </c>
      <c r="BM2100">
        <v>-2.87</v>
      </c>
      <c r="BN2100">
        <v>-1.63</v>
      </c>
      <c r="BO2100">
        <v>0.72</v>
      </c>
      <c r="BP2100">
        <v>2.12</v>
      </c>
      <c r="BQ2100">
        <v>-3.1</v>
      </c>
      <c r="BR2100">
        <v>-2.11</v>
      </c>
      <c r="BS2100">
        <v>1.62</v>
      </c>
      <c r="BT2100">
        <v>2.54</v>
      </c>
      <c r="BU2100">
        <v>1.29</v>
      </c>
      <c r="BV2100">
        <v>2.48</v>
      </c>
      <c r="BW2100">
        <v>2.92</v>
      </c>
      <c r="BX2100">
        <v>2.4900000000000002</v>
      </c>
      <c r="BY2100">
        <v>1.28</v>
      </c>
      <c r="BZ2100">
        <v>0.24</v>
      </c>
      <c r="CA2100">
        <v>1.93</v>
      </c>
      <c r="CB2100">
        <v>1.38</v>
      </c>
      <c r="CC2100">
        <v>1.89</v>
      </c>
      <c r="CD2100">
        <v>-0.76</v>
      </c>
      <c r="CE2100">
        <v>1.01</v>
      </c>
      <c r="CF2100">
        <v>0.01</v>
      </c>
      <c r="CG2100">
        <v>0</v>
      </c>
      <c r="CH2100">
        <v>1.42</v>
      </c>
      <c r="CI2100">
        <v>0</v>
      </c>
      <c r="CJ2100">
        <v>-5.7</v>
      </c>
      <c r="CK2100">
        <v>92</v>
      </c>
      <c r="CL2100">
        <v>-1.4</v>
      </c>
      <c r="CM2100">
        <v>90</v>
      </c>
      <c r="CN2100">
        <v>-0.53</v>
      </c>
      <c r="CO2100">
        <v>89</v>
      </c>
      <c r="CP2100">
        <v>2.5</v>
      </c>
      <c r="CQ2100">
        <v>83</v>
      </c>
      <c r="CR2100">
        <v>0</v>
      </c>
      <c r="CS2100">
        <v>0</v>
      </c>
      <c r="CT2100">
        <v>18.899999999999999</v>
      </c>
      <c r="CU2100">
        <v>75</v>
      </c>
      <c r="CV2100">
        <v>0.25</v>
      </c>
      <c r="CW2100">
        <v>45</v>
      </c>
      <c r="CX2100" t="s">
        <v>309</v>
      </c>
    </row>
    <row r="2101" spans="1:102" x14ac:dyDescent="0.3">
      <c r="A2101" t="str">
        <f>HYPERLINK("https://webapp.icbf.com/v2/app/bull-search/view/720494644","TUG")</f>
        <v>TUG</v>
      </c>
      <c r="B2101" t="s">
        <v>5352</v>
      </c>
      <c r="C2101" t="s">
        <v>5353</v>
      </c>
      <c r="D2101" s="1">
        <v>39272</v>
      </c>
      <c r="E2101" t="s">
        <v>227</v>
      </c>
      <c r="F2101">
        <v>0</v>
      </c>
      <c r="G2101" t="s">
        <v>109</v>
      </c>
      <c r="H2101">
        <v>64.3</v>
      </c>
      <c r="I2101">
        <v>84</v>
      </c>
      <c r="J2101">
        <v>64.13</v>
      </c>
      <c r="K2101">
        <v>94</v>
      </c>
      <c r="L2101">
        <v>-41.02</v>
      </c>
      <c r="M2101">
        <v>79</v>
      </c>
      <c r="N2101">
        <v>28.46</v>
      </c>
      <c r="O2101">
        <v>81</v>
      </c>
      <c r="P2101">
        <v>-52.35</v>
      </c>
      <c r="Q2101">
        <v>83</v>
      </c>
      <c r="R2101">
        <v>3.29</v>
      </c>
      <c r="S2101">
        <v>76</v>
      </c>
      <c r="T2101">
        <v>54.67</v>
      </c>
      <c r="U2101">
        <v>81</v>
      </c>
      <c r="V2101">
        <v>7.12</v>
      </c>
      <c r="W2101">
        <v>77</v>
      </c>
      <c r="X2101" t="s">
        <v>276</v>
      </c>
      <c r="Y2101" t="s">
        <v>319</v>
      </c>
      <c r="Z2101">
        <v>0</v>
      </c>
      <c r="AA2101" t="s">
        <v>229</v>
      </c>
      <c r="AB2101" t="s">
        <v>5354</v>
      </c>
      <c r="AC2101">
        <v>39</v>
      </c>
      <c r="AD2101">
        <v>30</v>
      </c>
      <c r="AE2101">
        <v>94</v>
      </c>
      <c r="AF2101">
        <v>-220.47</v>
      </c>
      <c r="AG2101">
        <v>16.600000000000001</v>
      </c>
      <c r="AH2101">
        <v>1.66</v>
      </c>
      <c r="AI2101">
        <v>0.46</v>
      </c>
      <c r="AJ2101">
        <v>0.17</v>
      </c>
      <c r="AK2101">
        <v>79</v>
      </c>
      <c r="AL2101">
        <v>38</v>
      </c>
      <c r="AM2101">
        <v>22</v>
      </c>
      <c r="AN2101">
        <v>3.91</v>
      </c>
      <c r="AO2101">
        <v>0.66</v>
      </c>
      <c r="AP2101">
        <v>112</v>
      </c>
      <c r="AQ2101">
        <v>1</v>
      </c>
      <c r="AR2101">
        <v>3.27</v>
      </c>
      <c r="AS2101">
        <v>69</v>
      </c>
      <c r="AT2101">
        <v>1.28</v>
      </c>
      <c r="AU2101">
        <v>81</v>
      </c>
      <c r="AV2101">
        <v>-1.89</v>
      </c>
      <c r="AW2101">
        <v>94</v>
      </c>
      <c r="AX2101">
        <v>1.48</v>
      </c>
      <c r="AY2101">
        <v>72</v>
      </c>
      <c r="AZ2101">
        <v>7.8</v>
      </c>
      <c r="BA2101">
        <v>61</v>
      </c>
      <c r="BB2101">
        <v>5.34</v>
      </c>
      <c r="BC2101">
        <v>60</v>
      </c>
      <c r="BD2101">
        <v>-7.0000000000000007E-2</v>
      </c>
      <c r="BE2101">
        <v>-0.01</v>
      </c>
      <c r="BF2101">
        <v>0.06</v>
      </c>
      <c r="BG2101">
        <v>82</v>
      </c>
      <c r="BH2101">
        <v>0.28000000000000003</v>
      </c>
      <c r="BI2101">
        <v>9.42</v>
      </c>
      <c r="BJ2101">
        <v>12</v>
      </c>
      <c r="BK2101">
        <v>6</v>
      </c>
      <c r="BL2101">
        <v>-3.3</v>
      </c>
      <c r="BM2101">
        <v>-2.57</v>
      </c>
      <c r="BN2101">
        <v>-0.53</v>
      </c>
      <c r="BO2101">
        <v>1.37</v>
      </c>
      <c r="BP2101">
        <v>0.72</v>
      </c>
      <c r="BQ2101">
        <v>-6.71</v>
      </c>
      <c r="BR2101">
        <v>3.35</v>
      </c>
      <c r="BS2101">
        <v>6.37</v>
      </c>
      <c r="BT2101">
        <v>-1.2</v>
      </c>
      <c r="BU2101">
        <v>-0.92</v>
      </c>
      <c r="BV2101">
        <v>-0.28000000000000003</v>
      </c>
      <c r="BW2101">
        <v>-3.12</v>
      </c>
      <c r="BX2101">
        <v>-4.24</v>
      </c>
      <c r="BY2101">
        <v>-0.12</v>
      </c>
      <c r="BZ2101">
        <v>-1.82</v>
      </c>
      <c r="CA2101">
        <v>0.26</v>
      </c>
      <c r="CB2101">
        <v>-1.17</v>
      </c>
      <c r="CC2101">
        <v>3.31</v>
      </c>
      <c r="CD2101">
        <v>-3.4</v>
      </c>
      <c r="CE2101">
        <v>0.31</v>
      </c>
      <c r="CF2101">
        <v>-3.77</v>
      </c>
      <c r="CG2101">
        <v>0</v>
      </c>
      <c r="CH2101">
        <v>-1.04</v>
      </c>
      <c r="CI2101">
        <v>0</v>
      </c>
      <c r="CJ2101">
        <v>-26.3</v>
      </c>
      <c r="CK2101">
        <v>86</v>
      </c>
      <c r="CL2101">
        <v>-0.98</v>
      </c>
      <c r="CM2101">
        <v>81</v>
      </c>
      <c r="CN2101">
        <v>-0.02</v>
      </c>
      <c r="CO2101">
        <v>79</v>
      </c>
      <c r="CP2101">
        <v>-41.2</v>
      </c>
      <c r="CQ2101">
        <v>78</v>
      </c>
      <c r="CR2101">
        <v>0</v>
      </c>
      <c r="CS2101">
        <v>0</v>
      </c>
      <c r="CT2101">
        <v>-60.1</v>
      </c>
      <c r="CU2101">
        <v>81</v>
      </c>
      <c r="CV2101">
        <v>-0.17</v>
      </c>
      <c r="CW2101">
        <v>43</v>
      </c>
      <c r="CX2101" t="s">
        <v>5355</v>
      </c>
    </row>
    <row r="2102" spans="1:102" x14ac:dyDescent="0.3">
      <c r="A2102" t="str">
        <f>HYPERLINK("https://webapp.icbf.com/v2/app/bull-search/view/1376534358","S3188")</f>
        <v>S3188</v>
      </c>
      <c r="B2102" t="s">
        <v>6235</v>
      </c>
      <c r="C2102" t="s">
        <v>6236</v>
      </c>
      <c r="D2102" s="1">
        <v>42049</v>
      </c>
      <c r="E2102" t="s">
        <v>108</v>
      </c>
      <c r="F2102">
        <v>0</v>
      </c>
      <c r="G2102" t="s">
        <v>435</v>
      </c>
      <c r="H2102">
        <v>64.22</v>
      </c>
      <c r="I2102">
        <v>58</v>
      </c>
      <c r="J2102">
        <v>-30.12</v>
      </c>
      <c r="K2102">
        <v>78</v>
      </c>
      <c r="L2102">
        <v>69.239999999999995</v>
      </c>
      <c r="M2102">
        <v>51</v>
      </c>
      <c r="N2102">
        <v>16.59</v>
      </c>
      <c r="O2102">
        <v>48</v>
      </c>
      <c r="P2102">
        <v>-2.25</v>
      </c>
      <c r="Q2102">
        <v>47</v>
      </c>
      <c r="R2102">
        <v>6.35</v>
      </c>
      <c r="S2102">
        <v>50</v>
      </c>
      <c r="T2102">
        <v>5.46</v>
      </c>
      <c r="U2102">
        <v>44</v>
      </c>
      <c r="V2102">
        <v>-1.05</v>
      </c>
      <c r="W2102">
        <v>46</v>
      </c>
      <c r="X2102" t="s">
        <v>110</v>
      </c>
      <c r="Y2102" t="s">
        <v>453</v>
      </c>
      <c r="Z2102" t="s">
        <v>96</v>
      </c>
      <c r="AA2102" t="s">
        <v>6237</v>
      </c>
      <c r="AB2102" t="s">
        <v>6238</v>
      </c>
      <c r="AC2102">
        <v>0</v>
      </c>
      <c r="AD2102">
        <v>0</v>
      </c>
      <c r="AE2102">
        <v>78</v>
      </c>
      <c r="AF2102">
        <v>-109.15</v>
      </c>
      <c r="AG2102">
        <v>-6.68</v>
      </c>
      <c r="AH2102">
        <v>-4.43</v>
      </c>
      <c r="AI2102">
        <v>-0.05</v>
      </c>
      <c r="AJ2102">
        <v>-0.01</v>
      </c>
      <c r="AK2102">
        <v>51</v>
      </c>
      <c r="AL2102">
        <v>0</v>
      </c>
      <c r="AM2102">
        <v>0</v>
      </c>
      <c r="AN2102">
        <v>-4.67</v>
      </c>
      <c r="AO2102">
        <v>0.84</v>
      </c>
      <c r="AP2102">
        <v>3</v>
      </c>
      <c r="AQ2102">
        <v>0</v>
      </c>
      <c r="AR2102">
        <v>5.62</v>
      </c>
      <c r="AS2102">
        <v>45</v>
      </c>
      <c r="AT2102">
        <v>2.91</v>
      </c>
      <c r="AU2102">
        <v>53</v>
      </c>
      <c r="AV2102">
        <v>-1.87</v>
      </c>
      <c r="AW2102">
        <v>53</v>
      </c>
      <c r="AX2102">
        <v>-0.03</v>
      </c>
      <c r="AY2102">
        <v>46</v>
      </c>
      <c r="AZ2102">
        <v>7.29</v>
      </c>
      <c r="BA2102">
        <v>33</v>
      </c>
      <c r="BB2102">
        <v>5.7</v>
      </c>
      <c r="BC2102">
        <v>32</v>
      </c>
      <c r="BD2102">
        <v>0.03</v>
      </c>
      <c r="BE2102">
        <v>-0.04</v>
      </c>
      <c r="BF2102">
        <v>-0.12</v>
      </c>
      <c r="BG2102">
        <v>59</v>
      </c>
      <c r="BH2102">
        <v>0.03</v>
      </c>
      <c r="BI2102">
        <v>6.85</v>
      </c>
      <c r="BJ2102">
        <v>0</v>
      </c>
      <c r="BK2102">
        <v>0</v>
      </c>
      <c r="BL2102">
        <v>-2.67</v>
      </c>
      <c r="BM2102">
        <v>1.61</v>
      </c>
      <c r="BN2102">
        <v>-1.32</v>
      </c>
      <c r="BO2102">
        <v>-2.14</v>
      </c>
      <c r="BP2102">
        <v>-0.73</v>
      </c>
      <c r="BQ2102">
        <v>1.1000000000000001</v>
      </c>
      <c r="BR2102">
        <v>-1.1000000000000001</v>
      </c>
      <c r="BS2102">
        <v>0.68</v>
      </c>
      <c r="BT2102">
        <v>-0.2</v>
      </c>
      <c r="BU2102">
        <v>-1.32</v>
      </c>
      <c r="BV2102">
        <v>-1.56</v>
      </c>
      <c r="BW2102">
        <v>-0.46</v>
      </c>
      <c r="BX2102">
        <v>-2.06</v>
      </c>
      <c r="BY2102">
        <v>-0.17</v>
      </c>
      <c r="BZ2102">
        <v>0.15</v>
      </c>
      <c r="CA2102">
        <v>-0.74</v>
      </c>
      <c r="CB2102">
        <v>-0.91</v>
      </c>
      <c r="CC2102">
        <v>-0.57999999999999996</v>
      </c>
      <c r="CD2102">
        <v>2.16</v>
      </c>
      <c r="CE2102">
        <v>-2.23</v>
      </c>
      <c r="CF2102">
        <v>-1.57</v>
      </c>
      <c r="CG2102">
        <v>0</v>
      </c>
      <c r="CH2102">
        <v>1.17</v>
      </c>
      <c r="CI2102">
        <v>0</v>
      </c>
      <c r="CJ2102">
        <v>1.1000000000000001</v>
      </c>
      <c r="CK2102">
        <v>49</v>
      </c>
      <c r="CL2102">
        <v>-0.32</v>
      </c>
      <c r="CM2102">
        <v>44</v>
      </c>
      <c r="CN2102">
        <v>-0.01</v>
      </c>
      <c r="CO2102">
        <v>44</v>
      </c>
      <c r="CP2102">
        <v>-3.9</v>
      </c>
      <c r="CQ2102">
        <v>44</v>
      </c>
      <c r="CR2102">
        <v>0</v>
      </c>
      <c r="CS2102">
        <v>0</v>
      </c>
      <c r="CT2102">
        <v>6.4</v>
      </c>
      <c r="CU2102">
        <v>44</v>
      </c>
      <c r="CV2102">
        <v>0.08</v>
      </c>
      <c r="CW2102">
        <v>36</v>
      </c>
      <c r="CX2102" t="s">
        <v>2418</v>
      </c>
    </row>
    <row r="2103" spans="1:102" x14ac:dyDescent="0.3">
      <c r="A2103" t="str">
        <f>HYPERLINK("https://webapp.icbf.com/v2/app/bull-search/view/1532799428","S3236")</f>
        <v>S3236</v>
      </c>
      <c r="B2103" t="s">
        <v>9454</v>
      </c>
      <c r="C2103" t="s">
        <v>9455</v>
      </c>
      <c r="D2103" s="1">
        <v>42469</v>
      </c>
      <c r="E2103" t="s">
        <v>92</v>
      </c>
      <c r="F2103">
        <v>100</v>
      </c>
      <c r="G2103" t="s">
        <v>435</v>
      </c>
      <c r="H2103">
        <v>64.19</v>
      </c>
      <c r="I2103">
        <v>68</v>
      </c>
      <c r="J2103">
        <v>89.49</v>
      </c>
      <c r="K2103">
        <v>88</v>
      </c>
      <c r="L2103">
        <v>-30.69</v>
      </c>
      <c r="M2103">
        <v>67</v>
      </c>
      <c r="N2103">
        <v>1.23</v>
      </c>
      <c r="O2103">
        <v>63</v>
      </c>
      <c r="P2103">
        <v>-9.6</v>
      </c>
      <c r="Q2103">
        <v>36</v>
      </c>
      <c r="R2103">
        <v>23.54</v>
      </c>
      <c r="S2103">
        <v>62</v>
      </c>
      <c r="T2103">
        <v>-12.59</v>
      </c>
      <c r="U2103">
        <v>35</v>
      </c>
      <c r="V2103">
        <v>2.81</v>
      </c>
      <c r="W2103">
        <v>55</v>
      </c>
      <c r="X2103" t="s">
        <v>110</v>
      </c>
      <c r="Y2103" t="s">
        <v>453</v>
      </c>
      <c r="Z2103" t="s">
        <v>96</v>
      </c>
      <c r="AA2103" t="s">
        <v>9456</v>
      </c>
      <c r="AB2103" t="s">
        <v>9457</v>
      </c>
      <c r="AC2103">
        <v>0</v>
      </c>
      <c r="AD2103">
        <v>0</v>
      </c>
      <c r="AE2103">
        <v>88</v>
      </c>
      <c r="AF2103">
        <v>544.29</v>
      </c>
      <c r="AG2103">
        <v>16.2</v>
      </c>
      <c r="AH2103">
        <v>17.82</v>
      </c>
      <c r="AI2103">
        <v>-0.08</v>
      </c>
      <c r="AJ2103">
        <v>-0.01</v>
      </c>
      <c r="AK2103">
        <v>67</v>
      </c>
      <c r="AL2103">
        <v>0</v>
      </c>
      <c r="AM2103">
        <v>0</v>
      </c>
      <c r="AN2103">
        <v>2.25</v>
      </c>
      <c r="AO2103">
        <v>-0.19</v>
      </c>
      <c r="AP2103">
        <v>9</v>
      </c>
      <c r="AQ2103">
        <v>0</v>
      </c>
      <c r="AR2103">
        <v>9.56</v>
      </c>
      <c r="AS2103">
        <v>50</v>
      </c>
      <c r="AT2103">
        <v>3.81</v>
      </c>
      <c r="AU2103">
        <v>90</v>
      </c>
      <c r="AV2103">
        <v>-2.02</v>
      </c>
      <c r="AW2103">
        <v>66</v>
      </c>
      <c r="AX2103">
        <v>0.25</v>
      </c>
      <c r="AY2103">
        <v>40</v>
      </c>
      <c r="AZ2103">
        <v>6.32</v>
      </c>
      <c r="BA2103">
        <v>34</v>
      </c>
      <c r="BB2103">
        <v>5.43</v>
      </c>
      <c r="BC2103">
        <v>34</v>
      </c>
      <c r="BD2103">
        <v>-0.08</v>
      </c>
      <c r="BE2103">
        <v>-0.12</v>
      </c>
      <c r="BF2103">
        <v>-0.18</v>
      </c>
      <c r="BG2103">
        <v>75</v>
      </c>
      <c r="BH2103">
        <v>-0.03</v>
      </c>
      <c r="BI2103">
        <v>-12.55</v>
      </c>
      <c r="BJ2103">
        <v>0</v>
      </c>
      <c r="BK2103">
        <v>0</v>
      </c>
      <c r="BL2103">
        <v>2.98</v>
      </c>
      <c r="BM2103">
        <v>-0.6</v>
      </c>
      <c r="BN2103">
        <v>0.71</v>
      </c>
      <c r="BO2103">
        <v>1.1599999999999999</v>
      </c>
      <c r="BP2103">
        <v>0.95</v>
      </c>
      <c r="BQ2103">
        <v>1.54</v>
      </c>
      <c r="BR2103">
        <v>0.1</v>
      </c>
      <c r="BS2103">
        <v>2.8</v>
      </c>
      <c r="BT2103">
        <v>1.06</v>
      </c>
      <c r="BU2103">
        <v>3.45</v>
      </c>
      <c r="BV2103">
        <v>3.81</v>
      </c>
      <c r="BW2103">
        <v>2.84</v>
      </c>
      <c r="BX2103">
        <v>4.62</v>
      </c>
      <c r="BY2103">
        <v>1.72</v>
      </c>
      <c r="BZ2103">
        <v>1.75</v>
      </c>
      <c r="CA2103">
        <v>3.51</v>
      </c>
      <c r="CB2103">
        <v>2.76</v>
      </c>
      <c r="CC2103">
        <v>2.0299999999999998</v>
      </c>
      <c r="CD2103">
        <v>-0.37</v>
      </c>
      <c r="CE2103">
        <v>1.21</v>
      </c>
      <c r="CF2103">
        <v>2.3199999999999998</v>
      </c>
      <c r="CG2103">
        <v>0</v>
      </c>
      <c r="CH2103">
        <v>1.58</v>
      </c>
      <c r="CI2103">
        <v>0</v>
      </c>
      <c r="CJ2103">
        <v>-1.1000000000000001</v>
      </c>
      <c r="CK2103">
        <v>36</v>
      </c>
      <c r="CL2103">
        <v>-1.91</v>
      </c>
      <c r="CM2103">
        <v>36</v>
      </c>
      <c r="CN2103">
        <v>-0.88</v>
      </c>
      <c r="CO2103">
        <v>36</v>
      </c>
      <c r="CP2103">
        <v>8.8000000000000007</v>
      </c>
      <c r="CQ2103">
        <v>35</v>
      </c>
      <c r="CR2103">
        <v>0</v>
      </c>
      <c r="CS2103">
        <v>0</v>
      </c>
      <c r="CT2103">
        <v>30.8</v>
      </c>
      <c r="CU2103">
        <v>35</v>
      </c>
      <c r="CV2103">
        <v>0.27</v>
      </c>
      <c r="CW2103">
        <v>32</v>
      </c>
      <c r="CX2103" t="s">
        <v>6064</v>
      </c>
    </row>
    <row r="2104" spans="1:102" x14ac:dyDescent="0.3">
      <c r="A2104" t="str">
        <f>HYPERLINK("https://webapp.icbf.com/v2/app/bull-search/view/586214274","S910")</f>
        <v>S910</v>
      </c>
      <c r="B2104" t="s">
        <v>12880</v>
      </c>
      <c r="C2104" t="s">
        <v>12881</v>
      </c>
      <c r="D2104" s="1">
        <v>38087</v>
      </c>
      <c r="E2104" t="s">
        <v>92</v>
      </c>
      <c r="F2104">
        <v>100</v>
      </c>
      <c r="G2104" t="s">
        <v>109</v>
      </c>
      <c r="H2104">
        <v>64.150000000000006</v>
      </c>
      <c r="I2104">
        <v>83</v>
      </c>
      <c r="J2104">
        <v>53.08</v>
      </c>
      <c r="K2104">
        <v>96</v>
      </c>
      <c r="L2104">
        <v>-18.04</v>
      </c>
      <c r="M2104">
        <v>88</v>
      </c>
      <c r="N2104">
        <v>36.799999999999997</v>
      </c>
      <c r="O2104">
        <v>70</v>
      </c>
      <c r="P2104">
        <v>-8.1999999999999993</v>
      </c>
      <c r="Q2104">
        <v>60</v>
      </c>
      <c r="R2104">
        <v>4.16</v>
      </c>
      <c r="S2104">
        <v>81</v>
      </c>
      <c r="T2104">
        <v>-5.64</v>
      </c>
      <c r="U2104">
        <v>54</v>
      </c>
      <c r="V2104">
        <v>1.99</v>
      </c>
      <c r="W2104">
        <v>69</v>
      </c>
      <c r="X2104" t="s">
        <v>747</v>
      </c>
      <c r="Y2104" t="s">
        <v>303</v>
      </c>
      <c r="Z2104" t="s">
        <v>96</v>
      </c>
      <c r="AA2104" t="s">
        <v>316</v>
      </c>
      <c r="AB2104" t="s">
        <v>12882</v>
      </c>
      <c r="AC2104">
        <v>0</v>
      </c>
      <c r="AD2104">
        <v>0</v>
      </c>
      <c r="AE2104">
        <v>96</v>
      </c>
      <c r="AF2104">
        <v>443.73</v>
      </c>
      <c r="AG2104">
        <v>12.01</v>
      </c>
      <c r="AH2104">
        <v>11.57</v>
      </c>
      <c r="AI2104">
        <v>-0.09</v>
      </c>
      <c r="AJ2104">
        <v>-0.06</v>
      </c>
      <c r="AK2104">
        <v>88</v>
      </c>
      <c r="AL2104">
        <v>0</v>
      </c>
      <c r="AM2104">
        <v>0</v>
      </c>
      <c r="AN2104">
        <v>1.64</v>
      </c>
      <c r="AO2104">
        <v>0.21</v>
      </c>
      <c r="AP2104">
        <v>13</v>
      </c>
      <c r="AQ2104">
        <v>0</v>
      </c>
      <c r="AR2104">
        <v>5.29</v>
      </c>
      <c r="AS2104">
        <v>65</v>
      </c>
      <c r="AT2104">
        <v>2.0299999999999998</v>
      </c>
      <c r="AU2104">
        <v>93</v>
      </c>
      <c r="AV2104">
        <v>-3.36</v>
      </c>
      <c r="AW2104">
        <v>68</v>
      </c>
      <c r="AX2104">
        <v>0.77</v>
      </c>
      <c r="AY2104">
        <v>52</v>
      </c>
      <c r="AZ2104">
        <v>6.24</v>
      </c>
      <c r="BA2104">
        <v>53</v>
      </c>
      <c r="BB2104">
        <v>5.36</v>
      </c>
      <c r="BC2104">
        <v>55</v>
      </c>
      <c r="BD2104">
        <v>-0.04</v>
      </c>
      <c r="BE2104">
        <v>-0.01</v>
      </c>
      <c r="BF2104">
        <v>-0.01</v>
      </c>
      <c r="BG2104">
        <v>94</v>
      </c>
      <c r="BH2104">
        <v>-0.11</v>
      </c>
      <c r="BI2104">
        <v>-19.13</v>
      </c>
      <c r="BJ2104">
        <v>2</v>
      </c>
      <c r="BK2104">
        <v>2</v>
      </c>
      <c r="BL2104">
        <v>0.37</v>
      </c>
      <c r="BM2104">
        <v>0.63</v>
      </c>
      <c r="BN2104">
        <v>0.92</v>
      </c>
      <c r="BO2104">
        <v>0.08</v>
      </c>
      <c r="BP2104">
        <v>-0.48</v>
      </c>
      <c r="BQ2104">
        <v>-2.2200000000000002</v>
      </c>
      <c r="BR2104">
        <v>-1.21</v>
      </c>
      <c r="BS2104">
        <v>-0.66</v>
      </c>
      <c r="BT2104">
        <v>-0.39</v>
      </c>
      <c r="BU2104">
        <v>0.95</v>
      </c>
      <c r="BV2104">
        <v>0.63</v>
      </c>
      <c r="BW2104">
        <v>0.28000000000000003</v>
      </c>
      <c r="BX2104">
        <v>0.86</v>
      </c>
      <c r="BY2104">
        <v>1.81</v>
      </c>
      <c r="BZ2104">
        <v>1.02</v>
      </c>
      <c r="CA2104">
        <v>0.46</v>
      </c>
      <c r="CB2104">
        <v>0.99</v>
      </c>
      <c r="CC2104">
        <v>-0.22</v>
      </c>
      <c r="CD2104">
        <v>0.33</v>
      </c>
      <c r="CE2104">
        <v>0.01</v>
      </c>
      <c r="CF2104">
        <v>0.46</v>
      </c>
      <c r="CG2104">
        <v>0</v>
      </c>
      <c r="CH2104">
        <v>1.49</v>
      </c>
      <c r="CI2104">
        <v>0</v>
      </c>
      <c r="CJ2104">
        <v>-0.6</v>
      </c>
      <c r="CK2104">
        <v>61</v>
      </c>
      <c r="CL2104">
        <v>-1.1000000000000001</v>
      </c>
      <c r="CM2104">
        <v>59</v>
      </c>
      <c r="CN2104">
        <v>-0.3</v>
      </c>
      <c r="CO2104">
        <v>57</v>
      </c>
      <c r="CP2104">
        <v>3.1</v>
      </c>
      <c r="CQ2104">
        <v>56</v>
      </c>
      <c r="CR2104">
        <v>0</v>
      </c>
      <c r="CS2104">
        <v>0</v>
      </c>
      <c r="CT2104">
        <v>21.4</v>
      </c>
      <c r="CU2104">
        <v>54</v>
      </c>
      <c r="CV2104">
        <v>0.3</v>
      </c>
      <c r="CW2104">
        <v>40</v>
      </c>
      <c r="CX2104" t="s">
        <v>289</v>
      </c>
    </row>
    <row r="2105" spans="1:102" x14ac:dyDescent="0.3">
      <c r="A2105" t="str">
        <f>HYPERLINK("https://webapp.icbf.com/v2/app/bull-search/view/69091300","BVC")</f>
        <v>BVC</v>
      </c>
      <c r="B2105" t="s">
        <v>3491</v>
      </c>
      <c r="C2105" t="s">
        <v>3492</v>
      </c>
      <c r="D2105" s="1">
        <v>34915</v>
      </c>
      <c r="E2105" t="s">
        <v>1061</v>
      </c>
      <c r="F2105">
        <v>0</v>
      </c>
      <c r="G2105" t="s">
        <v>93</v>
      </c>
      <c r="H2105">
        <v>64.069999999999993</v>
      </c>
      <c r="I2105">
        <v>84</v>
      </c>
      <c r="J2105">
        <v>-18.87</v>
      </c>
      <c r="K2105">
        <v>94</v>
      </c>
      <c r="L2105">
        <v>52.01</v>
      </c>
      <c r="M2105">
        <v>81</v>
      </c>
      <c r="N2105">
        <v>14.72</v>
      </c>
      <c r="O2105">
        <v>72</v>
      </c>
      <c r="P2105">
        <v>-39.79</v>
      </c>
      <c r="Q2105">
        <v>88</v>
      </c>
      <c r="R2105">
        <v>1.22</v>
      </c>
      <c r="S2105">
        <v>69</v>
      </c>
      <c r="T2105">
        <v>54.75</v>
      </c>
      <c r="U2105">
        <v>81</v>
      </c>
      <c r="V2105">
        <v>0.03</v>
      </c>
      <c r="W2105">
        <v>57</v>
      </c>
      <c r="X2105" t="s">
        <v>302</v>
      </c>
      <c r="Y2105" t="s">
        <v>95</v>
      </c>
      <c r="Z2105" t="s">
        <v>96</v>
      </c>
      <c r="AA2105" t="s">
        <v>3493</v>
      </c>
      <c r="AB2105" t="s">
        <v>3494</v>
      </c>
      <c r="AC2105">
        <v>54</v>
      </c>
      <c r="AD2105">
        <v>27</v>
      </c>
      <c r="AE2105">
        <v>94</v>
      </c>
      <c r="AF2105">
        <v>-293.19</v>
      </c>
      <c r="AG2105">
        <v>0.83</v>
      </c>
      <c r="AH2105">
        <v>-7.99</v>
      </c>
      <c r="AI2105">
        <v>0.23</v>
      </c>
      <c r="AJ2105">
        <v>0.04</v>
      </c>
      <c r="AK2105">
        <v>81</v>
      </c>
      <c r="AL2105">
        <v>71</v>
      </c>
      <c r="AM2105">
        <v>31</v>
      </c>
      <c r="AN2105">
        <v>-3.41</v>
      </c>
      <c r="AO2105">
        <v>0.73</v>
      </c>
      <c r="AP2105">
        <v>38</v>
      </c>
      <c r="AQ2105">
        <v>3</v>
      </c>
      <c r="AR2105">
        <v>5.09</v>
      </c>
      <c r="AS2105">
        <v>50</v>
      </c>
      <c r="AT2105">
        <v>1.94</v>
      </c>
      <c r="AU2105">
        <v>74</v>
      </c>
      <c r="AV2105">
        <v>-0.36</v>
      </c>
      <c r="AW2105">
        <v>83</v>
      </c>
      <c r="AX2105">
        <v>-0.33</v>
      </c>
      <c r="AY2105">
        <v>77</v>
      </c>
      <c r="AZ2105">
        <v>6.91</v>
      </c>
      <c r="BA2105">
        <v>43</v>
      </c>
      <c r="BB2105">
        <v>5.56</v>
      </c>
      <c r="BC2105">
        <v>52</v>
      </c>
      <c r="BD2105">
        <v>0</v>
      </c>
      <c r="BE2105">
        <v>-0.02</v>
      </c>
      <c r="BF2105">
        <v>0.01</v>
      </c>
      <c r="BG2105">
        <v>81</v>
      </c>
      <c r="BH2105">
        <v>0.2</v>
      </c>
      <c r="BI2105">
        <v>23.05</v>
      </c>
      <c r="BJ2105">
        <v>0</v>
      </c>
      <c r="BK2105">
        <v>0</v>
      </c>
      <c r="BL2105">
        <v>-1.1399999999999999</v>
      </c>
      <c r="BM2105">
        <v>1.1599999999999999</v>
      </c>
      <c r="BN2105">
        <v>-1.18</v>
      </c>
      <c r="BO2105">
        <v>-1.58</v>
      </c>
      <c r="BP2105">
        <v>0.49</v>
      </c>
      <c r="BQ2105">
        <v>-0.09</v>
      </c>
      <c r="BR2105">
        <v>-0.55000000000000004</v>
      </c>
      <c r="BS2105">
        <v>0.34</v>
      </c>
      <c r="BT2105">
        <v>0.14000000000000001</v>
      </c>
      <c r="BU2105">
        <v>-0.8</v>
      </c>
      <c r="BV2105">
        <v>-1.42</v>
      </c>
      <c r="BW2105">
        <v>-1.25</v>
      </c>
      <c r="BX2105">
        <v>-0.32</v>
      </c>
      <c r="BY2105">
        <v>-1.34</v>
      </c>
      <c r="BZ2105">
        <v>-0.67</v>
      </c>
      <c r="CA2105">
        <v>-1.29</v>
      </c>
      <c r="CB2105">
        <v>-1.4</v>
      </c>
      <c r="CC2105">
        <v>-0.61</v>
      </c>
      <c r="CD2105">
        <v>1.46</v>
      </c>
      <c r="CE2105">
        <v>-1.58</v>
      </c>
      <c r="CF2105">
        <v>-1.1000000000000001</v>
      </c>
      <c r="CG2105">
        <v>0</v>
      </c>
      <c r="CH2105">
        <v>-0.94</v>
      </c>
      <c r="CI2105">
        <v>0</v>
      </c>
      <c r="CJ2105">
        <v>-20.9</v>
      </c>
      <c r="CK2105">
        <v>89</v>
      </c>
      <c r="CL2105">
        <v>-0.43</v>
      </c>
      <c r="CM2105">
        <v>87</v>
      </c>
      <c r="CN2105">
        <v>0.1</v>
      </c>
      <c r="CO2105">
        <v>85</v>
      </c>
      <c r="CP2105">
        <v>-35.6</v>
      </c>
      <c r="CQ2105">
        <v>86</v>
      </c>
      <c r="CR2105">
        <v>0</v>
      </c>
      <c r="CS2105">
        <v>0</v>
      </c>
      <c r="CT2105">
        <v>-60.2</v>
      </c>
      <c r="CU2105">
        <v>81</v>
      </c>
      <c r="CV2105">
        <v>-0.28000000000000003</v>
      </c>
      <c r="CW2105">
        <v>43</v>
      </c>
      <c r="CX2105" t="s">
        <v>3495</v>
      </c>
    </row>
    <row r="2106" spans="1:102" x14ac:dyDescent="0.3">
      <c r="A2106" t="str">
        <f>HYPERLINK("https://webapp.icbf.com/v2/app/bull-search/view/69091450","DEG")</f>
        <v>DEG</v>
      </c>
      <c r="B2106" t="s">
        <v>689</v>
      </c>
      <c r="C2106" t="s">
        <v>690</v>
      </c>
      <c r="D2106" s="1">
        <v>32425</v>
      </c>
      <c r="E2106" t="s">
        <v>197</v>
      </c>
      <c r="F2106">
        <v>0</v>
      </c>
      <c r="G2106" t="s">
        <v>116</v>
      </c>
      <c r="H2106">
        <v>64.06</v>
      </c>
      <c r="I2106">
        <v>27</v>
      </c>
      <c r="J2106">
        <v>-29.75</v>
      </c>
      <c r="K2106">
        <v>43</v>
      </c>
      <c r="L2106">
        <v>73.13</v>
      </c>
      <c r="M2106">
        <v>19</v>
      </c>
      <c r="N2106">
        <v>2.56</v>
      </c>
      <c r="O2106">
        <v>18</v>
      </c>
      <c r="P2106">
        <v>-4.34</v>
      </c>
      <c r="Q2106">
        <v>25</v>
      </c>
      <c r="R2106">
        <v>5.28</v>
      </c>
      <c r="S2106">
        <v>23</v>
      </c>
      <c r="T2106">
        <v>22.56</v>
      </c>
      <c r="U2106">
        <v>24</v>
      </c>
      <c r="V2106">
        <v>-5.38</v>
      </c>
      <c r="W2106">
        <v>8</v>
      </c>
      <c r="X2106" t="s">
        <v>94</v>
      </c>
      <c r="Y2106" t="s">
        <v>95</v>
      </c>
      <c r="Z2106">
        <v>0</v>
      </c>
      <c r="AA2106" t="s">
        <v>691</v>
      </c>
      <c r="AB2106" t="s">
        <v>692</v>
      </c>
      <c r="AC2106">
        <v>4</v>
      </c>
      <c r="AD2106">
        <v>4</v>
      </c>
      <c r="AE2106">
        <v>43</v>
      </c>
      <c r="AF2106">
        <v>-344.02</v>
      </c>
      <c r="AG2106">
        <v>-5.67</v>
      </c>
      <c r="AH2106">
        <v>-8.32</v>
      </c>
      <c r="AI2106">
        <v>0.14000000000000001</v>
      </c>
      <c r="AJ2106">
        <v>0.06</v>
      </c>
      <c r="AK2106">
        <v>19</v>
      </c>
      <c r="AL2106">
        <v>8</v>
      </c>
      <c r="AM2106">
        <v>6</v>
      </c>
      <c r="AN2106">
        <v>-4.9400000000000004</v>
      </c>
      <c r="AO2106">
        <v>0.88</v>
      </c>
      <c r="AP2106">
        <v>3</v>
      </c>
      <c r="AQ2106">
        <v>4</v>
      </c>
      <c r="AR2106">
        <v>4.0999999999999996</v>
      </c>
      <c r="AS2106">
        <v>5</v>
      </c>
      <c r="AT2106">
        <v>4.6500000000000004</v>
      </c>
      <c r="AU2106">
        <v>15</v>
      </c>
      <c r="AV2106">
        <v>0.3</v>
      </c>
      <c r="AW2106">
        <v>25</v>
      </c>
      <c r="AX2106">
        <v>-0.15</v>
      </c>
      <c r="AY2106">
        <v>26</v>
      </c>
      <c r="AZ2106">
        <v>5.76</v>
      </c>
      <c r="BA2106">
        <v>3</v>
      </c>
      <c r="BB2106">
        <v>3.18</v>
      </c>
      <c r="BC2106">
        <v>10</v>
      </c>
      <c r="BD2106">
        <v>-0.02</v>
      </c>
      <c r="BE2106">
        <v>-0.02</v>
      </c>
      <c r="BF2106">
        <v>-0.05</v>
      </c>
      <c r="BG2106">
        <v>31</v>
      </c>
      <c r="BH2106">
        <v>-0.2</v>
      </c>
      <c r="BI2106">
        <v>-5.78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0.1</v>
      </c>
      <c r="CK2106">
        <v>27</v>
      </c>
      <c r="CL2106">
        <v>-0.33</v>
      </c>
      <c r="CM2106">
        <v>23</v>
      </c>
      <c r="CN2106">
        <v>-0.01</v>
      </c>
      <c r="CO2106">
        <v>19</v>
      </c>
      <c r="CP2106">
        <v>-7.9</v>
      </c>
      <c r="CQ2106">
        <v>30</v>
      </c>
      <c r="CR2106">
        <v>0</v>
      </c>
      <c r="CS2106">
        <v>0</v>
      </c>
      <c r="CT2106">
        <v>-16.7</v>
      </c>
      <c r="CU2106">
        <v>24</v>
      </c>
      <c r="CV2106">
        <v>0.02</v>
      </c>
      <c r="CW2106">
        <v>6</v>
      </c>
      <c r="CX2106" t="s">
        <v>693</v>
      </c>
    </row>
    <row r="2107" spans="1:102" x14ac:dyDescent="0.3">
      <c r="A2107" t="str">
        <f>HYPERLINK("https://webapp.icbf.com/v2/app/bull-search/view/586035155","UDI")</f>
        <v>UDI</v>
      </c>
      <c r="B2107" t="s">
        <v>12616</v>
      </c>
      <c r="C2107" t="s">
        <v>12617</v>
      </c>
      <c r="D2107" s="1">
        <v>37656</v>
      </c>
      <c r="E2107" t="s">
        <v>92</v>
      </c>
      <c r="F2107">
        <v>100</v>
      </c>
      <c r="G2107" t="s">
        <v>93</v>
      </c>
      <c r="H2107">
        <v>63.99</v>
      </c>
      <c r="I2107">
        <v>87</v>
      </c>
      <c r="J2107">
        <v>39.950000000000003</v>
      </c>
      <c r="K2107">
        <v>96</v>
      </c>
      <c r="L2107">
        <v>8.23</v>
      </c>
      <c r="M2107">
        <v>83</v>
      </c>
      <c r="N2107">
        <v>12.91</v>
      </c>
      <c r="O2107">
        <v>82</v>
      </c>
      <c r="P2107">
        <v>-15.03</v>
      </c>
      <c r="Q2107">
        <v>89</v>
      </c>
      <c r="R2107">
        <v>5.42</v>
      </c>
      <c r="S2107">
        <v>77</v>
      </c>
      <c r="T2107">
        <v>13.83</v>
      </c>
      <c r="U2107">
        <v>83</v>
      </c>
      <c r="V2107">
        <v>-1.32</v>
      </c>
      <c r="W2107">
        <v>71</v>
      </c>
      <c r="X2107" t="s">
        <v>94</v>
      </c>
      <c r="Y2107" t="s">
        <v>270</v>
      </c>
      <c r="Z2107" t="s">
        <v>96</v>
      </c>
      <c r="AA2107" t="s">
        <v>271</v>
      </c>
      <c r="AB2107">
        <v>6803</v>
      </c>
      <c r="AC2107">
        <v>66</v>
      </c>
      <c r="AD2107">
        <v>23</v>
      </c>
      <c r="AE2107">
        <v>96</v>
      </c>
      <c r="AF2107">
        <v>392.32</v>
      </c>
      <c r="AG2107">
        <v>4.24</v>
      </c>
      <c r="AH2107">
        <v>11.3</v>
      </c>
      <c r="AI2107">
        <v>-0.18</v>
      </c>
      <c r="AJ2107">
        <v>-0.03</v>
      </c>
      <c r="AK2107">
        <v>83</v>
      </c>
      <c r="AL2107">
        <v>61</v>
      </c>
      <c r="AM2107">
        <v>25</v>
      </c>
      <c r="AN2107">
        <v>-0.17</v>
      </c>
      <c r="AO2107">
        <v>0.49</v>
      </c>
      <c r="AP2107">
        <v>108</v>
      </c>
      <c r="AQ2107">
        <v>4</v>
      </c>
      <c r="AR2107">
        <v>6.7</v>
      </c>
      <c r="AS2107">
        <v>64</v>
      </c>
      <c r="AT2107">
        <v>3.51</v>
      </c>
      <c r="AU2107">
        <v>91</v>
      </c>
      <c r="AV2107">
        <v>-2.04</v>
      </c>
      <c r="AW2107">
        <v>91</v>
      </c>
      <c r="AX2107">
        <v>-0.84</v>
      </c>
      <c r="AY2107">
        <v>78</v>
      </c>
      <c r="AZ2107">
        <v>6.98</v>
      </c>
      <c r="BA2107">
        <v>55</v>
      </c>
      <c r="BB2107">
        <v>5.69</v>
      </c>
      <c r="BC2107">
        <v>56</v>
      </c>
      <c r="BD2107">
        <v>-0.01</v>
      </c>
      <c r="BE2107">
        <v>-0.02</v>
      </c>
      <c r="BF2107">
        <v>-7.0000000000000007E-2</v>
      </c>
      <c r="BG2107">
        <v>89</v>
      </c>
      <c r="BH2107">
        <v>0.03</v>
      </c>
      <c r="BI2107">
        <v>7.72</v>
      </c>
      <c r="BJ2107">
        <v>11</v>
      </c>
      <c r="BK2107">
        <v>6</v>
      </c>
      <c r="BL2107">
        <v>0.16</v>
      </c>
      <c r="BM2107">
        <v>-0.76</v>
      </c>
      <c r="BN2107">
        <v>-0.02</v>
      </c>
      <c r="BO2107">
        <v>0.48</v>
      </c>
      <c r="BP2107">
        <v>-3.06</v>
      </c>
      <c r="BQ2107">
        <v>-0.82</v>
      </c>
      <c r="BR2107">
        <v>-1.64</v>
      </c>
      <c r="BS2107">
        <v>0.87</v>
      </c>
      <c r="BT2107">
        <v>0.67</v>
      </c>
      <c r="BU2107">
        <v>1.53</v>
      </c>
      <c r="BV2107">
        <v>1.79</v>
      </c>
      <c r="BW2107">
        <v>1.68</v>
      </c>
      <c r="BX2107">
        <v>1.2</v>
      </c>
      <c r="BY2107">
        <v>0.65</v>
      </c>
      <c r="BZ2107">
        <v>-0.9</v>
      </c>
      <c r="CA2107">
        <v>1.37</v>
      </c>
      <c r="CB2107">
        <v>1.6</v>
      </c>
      <c r="CC2107">
        <v>0.65</v>
      </c>
      <c r="CD2107">
        <v>-0.11</v>
      </c>
      <c r="CE2107">
        <v>0.22</v>
      </c>
      <c r="CF2107">
        <v>0.6</v>
      </c>
      <c r="CG2107">
        <v>0</v>
      </c>
      <c r="CH2107">
        <v>0.8</v>
      </c>
      <c r="CI2107">
        <v>0</v>
      </c>
      <c r="CJ2107">
        <v>-5.5</v>
      </c>
      <c r="CK2107">
        <v>90</v>
      </c>
      <c r="CL2107">
        <v>-0.94</v>
      </c>
      <c r="CM2107">
        <v>88</v>
      </c>
      <c r="CN2107">
        <v>-0.31</v>
      </c>
      <c r="CO2107">
        <v>86</v>
      </c>
      <c r="CP2107">
        <v>-9.1</v>
      </c>
      <c r="CQ2107">
        <v>85</v>
      </c>
      <c r="CR2107">
        <v>0</v>
      </c>
      <c r="CS2107">
        <v>0</v>
      </c>
      <c r="CT2107">
        <v>-4.9000000000000004</v>
      </c>
      <c r="CU2107">
        <v>83</v>
      </c>
      <c r="CV2107">
        <v>0.09</v>
      </c>
      <c r="CW2107">
        <v>43</v>
      </c>
      <c r="CX2107" t="s">
        <v>273</v>
      </c>
    </row>
    <row r="2108" spans="1:102" x14ac:dyDescent="0.3">
      <c r="A2108" t="str">
        <f>HYPERLINK("https://webapp.icbf.com/v2/app/bull-search/view/444505644","CZO")</f>
        <v>CZO</v>
      </c>
      <c r="B2108" t="s">
        <v>6550</v>
      </c>
      <c r="C2108" t="s">
        <v>6551</v>
      </c>
      <c r="D2108" s="1">
        <v>36704</v>
      </c>
      <c r="E2108" t="s">
        <v>92</v>
      </c>
      <c r="F2108">
        <v>100</v>
      </c>
      <c r="G2108" t="s">
        <v>93</v>
      </c>
      <c r="H2108">
        <v>63.98</v>
      </c>
      <c r="I2108">
        <v>94</v>
      </c>
      <c r="J2108">
        <v>71.2</v>
      </c>
      <c r="K2108">
        <v>98</v>
      </c>
      <c r="L2108">
        <v>-32.01</v>
      </c>
      <c r="M2108">
        <v>90</v>
      </c>
      <c r="N2108">
        <v>11.86</v>
      </c>
      <c r="O2108">
        <v>93</v>
      </c>
      <c r="P2108">
        <v>-8.1999999999999993</v>
      </c>
      <c r="Q2108">
        <v>97</v>
      </c>
      <c r="R2108">
        <v>3.15</v>
      </c>
      <c r="S2108">
        <v>90</v>
      </c>
      <c r="T2108">
        <v>17.899999999999999</v>
      </c>
      <c r="U2108">
        <v>94</v>
      </c>
      <c r="V2108">
        <v>0.08</v>
      </c>
      <c r="W2108">
        <v>91</v>
      </c>
      <c r="X2108" t="s">
        <v>288</v>
      </c>
      <c r="Y2108" t="s">
        <v>270</v>
      </c>
      <c r="Z2108" t="s">
        <v>96</v>
      </c>
      <c r="AA2108" t="s">
        <v>174</v>
      </c>
      <c r="AB2108" t="s">
        <v>6552</v>
      </c>
      <c r="AC2108">
        <v>251</v>
      </c>
      <c r="AD2108">
        <v>116</v>
      </c>
      <c r="AE2108">
        <v>98</v>
      </c>
      <c r="AF2108">
        <v>340.95</v>
      </c>
      <c r="AG2108">
        <v>9.69</v>
      </c>
      <c r="AH2108">
        <v>13.9</v>
      </c>
      <c r="AI2108">
        <v>-0.06</v>
      </c>
      <c r="AJ2108">
        <v>0.04</v>
      </c>
      <c r="AK2108">
        <v>90</v>
      </c>
      <c r="AL2108">
        <v>273</v>
      </c>
      <c r="AM2108">
        <v>121</v>
      </c>
      <c r="AN2108">
        <v>1.19</v>
      </c>
      <c r="AO2108">
        <v>-1.37</v>
      </c>
      <c r="AP2108">
        <v>503</v>
      </c>
      <c r="AQ2108">
        <v>12</v>
      </c>
      <c r="AR2108">
        <v>7.81</v>
      </c>
      <c r="AS2108">
        <v>90</v>
      </c>
      <c r="AT2108">
        <v>2.96</v>
      </c>
      <c r="AU2108">
        <v>94</v>
      </c>
      <c r="AV2108">
        <v>-1.65</v>
      </c>
      <c r="AW2108">
        <v>98</v>
      </c>
      <c r="AX2108">
        <v>-0.65</v>
      </c>
      <c r="AY2108">
        <v>92</v>
      </c>
      <c r="AZ2108">
        <v>7.69</v>
      </c>
      <c r="BA2108">
        <v>81</v>
      </c>
      <c r="BB2108">
        <v>5.35</v>
      </c>
      <c r="BC2108">
        <v>83</v>
      </c>
      <c r="BD2108">
        <v>-0.05</v>
      </c>
      <c r="BE2108">
        <v>-0.01</v>
      </c>
      <c r="BF2108">
        <v>0.03</v>
      </c>
      <c r="BG2108">
        <v>95</v>
      </c>
      <c r="BH2108">
        <v>0.02</v>
      </c>
      <c r="BI2108">
        <v>2.0699999999999998</v>
      </c>
      <c r="BJ2108">
        <v>22</v>
      </c>
      <c r="BK2108">
        <v>11</v>
      </c>
      <c r="BL2108">
        <v>-0.71</v>
      </c>
      <c r="BM2108">
        <v>0.11</v>
      </c>
      <c r="BN2108">
        <v>-0.92</v>
      </c>
      <c r="BO2108">
        <v>-0.62</v>
      </c>
      <c r="BP2108">
        <v>1.68</v>
      </c>
      <c r="BQ2108">
        <v>-0.19</v>
      </c>
      <c r="BR2108">
        <v>-1.67</v>
      </c>
      <c r="BS2108">
        <v>-0.62</v>
      </c>
      <c r="BT2108">
        <v>0.63</v>
      </c>
      <c r="BU2108">
        <v>-0.47</v>
      </c>
      <c r="BV2108">
        <v>0.13</v>
      </c>
      <c r="BW2108">
        <v>0.78</v>
      </c>
      <c r="BX2108">
        <v>-0.91</v>
      </c>
      <c r="BY2108">
        <v>1.26</v>
      </c>
      <c r="BZ2108">
        <v>-2.62</v>
      </c>
      <c r="CA2108">
        <v>-0.38</v>
      </c>
      <c r="CB2108">
        <v>-0.09</v>
      </c>
      <c r="CC2108">
        <v>-0.73</v>
      </c>
      <c r="CD2108">
        <v>1.0900000000000001</v>
      </c>
      <c r="CE2108">
        <v>0.02</v>
      </c>
      <c r="CF2108">
        <v>-0.6</v>
      </c>
      <c r="CG2108">
        <v>0</v>
      </c>
      <c r="CH2108">
        <v>1.18</v>
      </c>
      <c r="CI2108">
        <v>0</v>
      </c>
      <c r="CJ2108">
        <v>-1.9</v>
      </c>
      <c r="CK2108">
        <v>97</v>
      </c>
      <c r="CL2108">
        <v>-0.49</v>
      </c>
      <c r="CM2108">
        <v>97</v>
      </c>
      <c r="CN2108">
        <v>-0.05</v>
      </c>
      <c r="CO2108">
        <v>96</v>
      </c>
      <c r="CP2108">
        <v>-7.4</v>
      </c>
      <c r="CQ2108">
        <v>95</v>
      </c>
      <c r="CR2108">
        <v>0</v>
      </c>
      <c r="CS2108">
        <v>0</v>
      </c>
      <c r="CT2108">
        <v>-10.4</v>
      </c>
      <c r="CU2108">
        <v>94</v>
      </c>
      <c r="CV2108">
        <v>-0.02</v>
      </c>
      <c r="CW2108">
        <v>46</v>
      </c>
      <c r="CX2108" t="s">
        <v>529</v>
      </c>
    </row>
    <row r="2109" spans="1:102" x14ac:dyDescent="0.3">
      <c r="A2109" t="str">
        <f>HYPERLINK("https://webapp.icbf.com/v2/app/bull-search/view/586041809","XOR")</f>
        <v>XOR</v>
      </c>
      <c r="B2109" t="s">
        <v>13086</v>
      </c>
      <c r="C2109" t="s">
        <v>13087</v>
      </c>
      <c r="D2109" s="1">
        <v>38907</v>
      </c>
      <c r="E2109" t="s">
        <v>92</v>
      </c>
      <c r="F2109">
        <v>100</v>
      </c>
      <c r="G2109" t="s">
        <v>93</v>
      </c>
      <c r="H2109">
        <v>63.91</v>
      </c>
      <c r="I2109">
        <v>90</v>
      </c>
      <c r="J2109">
        <v>63.68</v>
      </c>
      <c r="K2109">
        <v>98</v>
      </c>
      <c r="L2109">
        <v>-36.28</v>
      </c>
      <c r="M2109">
        <v>88</v>
      </c>
      <c r="N2109">
        <v>26.55</v>
      </c>
      <c r="O2109">
        <v>88</v>
      </c>
      <c r="P2109">
        <v>-0.92</v>
      </c>
      <c r="Q2109">
        <v>92</v>
      </c>
      <c r="R2109">
        <v>-1.26</v>
      </c>
      <c r="S2109">
        <v>83</v>
      </c>
      <c r="T2109">
        <v>9.39</v>
      </c>
      <c r="U2109">
        <v>78</v>
      </c>
      <c r="V2109">
        <v>2.75</v>
      </c>
      <c r="W2109">
        <v>74</v>
      </c>
      <c r="X2109" t="s">
        <v>276</v>
      </c>
      <c r="Y2109" t="s">
        <v>1128</v>
      </c>
      <c r="Z2109" t="s">
        <v>96</v>
      </c>
      <c r="AA2109" t="s">
        <v>358</v>
      </c>
      <c r="AB2109" t="s">
        <v>13088</v>
      </c>
      <c r="AC2109">
        <v>135</v>
      </c>
      <c r="AD2109">
        <v>58</v>
      </c>
      <c r="AE2109">
        <v>98</v>
      </c>
      <c r="AF2109">
        <v>387.05</v>
      </c>
      <c r="AG2109">
        <v>6.54</v>
      </c>
      <c r="AH2109">
        <v>14.44</v>
      </c>
      <c r="AI2109">
        <v>-0.14000000000000001</v>
      </c>
      <c r="AJ2109">
        <v>0.02</v>
      </c>
      <c r="AK2109">
        <v>88</v>
      </c>
      <c r="AL2109">
        <v>149</v>
      </c>
      <c r="AM2109">
        <v>64</v>
      </c>
      <c r="AN2109">
        <v>2.98</v>
      </c>
      <c r="AO2109">
        <v>0.1</v>
      </c>
      <c r="AP2109">
        <v>276</v>
      </c>
      <c r="AQ2109">
        <v>0</v>
      </c>
      <c r="AR2109">
        <v>5.35</v>
      </c>
      <c r="AS2109">
        <v>90</v>
      </c>
      <c r="AT2109">
        <v>2.59</v>
      </c>
      <c r="AU2109">
        <v>87</v>
      </c>
      <c r="AV2109">
        <v>-2.92</v>
      </c>
      <c r="AW2109">
        <v>96</v>
      </c>
      <c r="AX2109">
        <v>1.51</v>
      </c>
      <c r="AY2109">
        <v>85</v>
      </c>
      <c r="AZ2109">
        <v>6.67</v>
      </c>
      <c r="BA2109">
        <v>67</v>
      </c>
      <c r="BB2109">
        <v>5.41</v>
      </c>
      <c r="BC2109">
        <v>68</v>
      </c>
      <c r="BD2109">
        <v>0</v>
      </c>
      <c r="BE2109">
        <v>0.01</v>
      </c>
      <c r="BF2109">
        <v>0.01</v>
      </c>
      <c r="BG2109">
        <v>94</v>
      </c>
      <c r="BH2109">
        <v>-0.11</v>
      </c>
      <c r="BI2109">
        <v>-21.58</v>
      </c>
      <c r="BJ2109">
        <v>19</v>
      </c>
      <c r="BK2109">
        <v>8</v>
      </c>
      <c r="BL2109">
        <v>0.59</v>
      </c>
      <c r="BM2109">
        <v>-1.55</v>
      </c>
      <c r="BN2109">
        <v>-0.41</v>
      </c>
      <c r="BO2109">
        <v>1.39</v>
      </c>
      <c r="BP2109">
        <v>0.62</v>
      </c>
      <c r="BQ2109">
        <v>1.19</v>
      </c>
      <c r="BR2109">
        <v>2.2599999999999998</v>
      </c>
      <c r="BS2109">
        <v>0.97</v>
      </c>
      <c r="BT2109">
        <v>-0.97</v>
      </c>
      <c r="BU2109">
        <v>7.0000000000000007E-2</v>
      </c>
      <c r="BV2109">
        <v>0.95</v>
      </c>
      <c r="BW2109">
        <v>0.11</v>
      </c>
      <c r="BX2109">
        <v>0.12</v>
      </c>
      <c r="BY2109">
        <v>2.14</v>
      </c>
      <c r="BZ2109">
        <v>-0.67</v>
      </c>
      <c r="CA2109">
        <v>1.29</v>
      </c>
      <c r="CB2109">
        <v>1.07</v>
      </c>
      <c r="CC2109">
        <v>0.87</v>
      </c>
      <c r="CD2109">
        <v>-1.75</v>
      </c>
      <c r="CE2109">
        <v>0.9</v>
      </c>
      <c r="CF2109">
        <v>-0.01</v>
      </c>
      <c r="CG2109">
        <v>0</v>
      </c>
      <c r="CH2109">
        <v>2.25</v>
      </c>
      <c r="CI2109">
        <v>0</v>
      </c>
      <c r="CJ2109">
        <v>1.3</v>
      </c>
      <c r="CK2109">
        <v>94</v>
      </c>
      <c r="CL2109">
        <v>-0.72</v>
      </c>
      <c r="CM2109">
        <v>92</v>
      </c>
      <c r="CN2109">
        <v>-0.44</v>
      </c>
      <c r="CO2109">
        <v>91</v>
      </c>
      <c r="CP2109">
        <v>-2.9</v>
      </c>
      <c r="CQ2109">
        <v>85</v>
      </c>
      <c r="CR2109">
        <v>0</v>
      </c>
      <c r="CS2109">
        <v>0</v>
      </c>
      <c r="CT2109">
        <v>1.1000000000000001</v>
      </c>
      <c r="CU2109">
        <v>78</v>
      </c>
      <c r="CV2109">
        <v>0.09</v>
      </c>
      <c r="CW2109">
        <v>44</v>
      </c>
      <c r="CX2109" t="s">
        <v>283</v>
      </c>
    </row>
    <row r="2110" spans="1:102" x14ac:dyDescent="0.3">
      <c r="A2110" t="str">
        <f>HYPERLINK("https://webapp.icbf.com/v2/app/bull-search/view/956532376","S1301")</f>
        <v>S1301</v>
      </c>
      <c r="B2110" t="s">
        <v>6784</v>
      </c>
      <c r="C2110" t="s">
        <v>6785</v>
      </c>
      <c r="D2110" s="1">
        <v>40392</v>
      </c>
      <c r="E2110" t="s">
        <v>92</v>
      </c>
      <c r="F2110">
        <v>100</v>
      </c>
      <c r="G2110" t="s">
        <v>109</v>
      </c>
      <c r="H2110">
        <v>63.87</v>
      </c>
      <c r="I2110">
        <v>76</v>
      </c>
      <c r="J2110">
        <v>23.55</v>
      </c>
      <c r="K2110">
        <v>92</v>
      </c>
      <c r="L2110">
        <v>3.5</v>
      </c>
      <c r="M2110">
        <v>84</v>
      </c>
      <c r="N2110">
        <v>35.39</v>
      </c>
      <c r="O2110">
        <v>57</v>
      </c>
      <c r="P2110">
        <v>-3.5</v>
      </c>
      <c r="Q2110">
        <v>45</v>
      </c>
      <c r="R2110">
        <v>9.6300000000000008</v>
      </c>
      <c r="S2110">
        <v>73</v>
      </c>
      <c r="T2110">
        <v>-9.41</v>
      </c>
      <c r="U2110">
        <v>43</v>
      </c>
      <c r="V2110">
        <v>4.71</v>
      </c>
      <c r="W2110">
        <v>58</v>
      </c>
      <c r="X2110" t="s">
        <v>288</v>
      </c>
      <c r="Y2110" t="s">
        <v>342</v>
      </c>
      <c r="Z2110" t="s">
        <v>96</v>
      </c>
      <c r="AA2110" t="s">
        <v>1848</v>
      </c>
      <c r="AB2110" t="s">
        <v>6786</v>
      </c>
      <c r="AC2110">
        <v>0</v>
      </c>
      <c r="AD2110">
        <v>0</v>
      </c>
      <c r="AE2110">
        <v>92</v>
      </c>
      <c r="AF2110">
        <v>432.81</v>
      </c>
      <c r="AG2110">
        <v>6.84</v>
      </c>
      <c r="AH2110">
        <v>8.2100000000000009</v>
      </c>
      <c r="AI2110">
        <v>-0.17</v>
      </c>
      <c r="AJ2110">
        <v>-0.1</v>
      </c>
      <c r="AK2110">
        <v>84</v>
      </c>
      <c r="AL2110">
        <v>0</v>
      </c>
      <c r="AM2110">
        <v>0</v>
      </c>
      <c r="AN2110">
        <v>2.1800000000000002</v>
      </c>
      <c r="AO2110">
        <v>2.4900000000000002</v>
      </c>
      <c r="AP2110">
        <v>1</v>
      </c>
      <c r="AQ2110">
        <v>0</v>
      </c>
      <c r="AR2110">
        <v>7.31</v>
      </c>
      <c r="AS2110">
        <v>55</v>
      </c>
      <c r="AT2110">
        <v>2.78</v>
      </c>
      <c r="AU2110">
        <v>88</v>
      </c>
      <c r="AV2110">
        <v>-3.82</v>
      </c>
      <c r="AW2110">
        <v>48</v>
      </c>
      <c r="AX2110">
        <v>0.9</v>
      </c>
      <c r="AY2110">
        <v>45</v>
      </c>
      <c r="AZ2110">
        <v>5.63</v>
      </c>
      <c r="BA2110">
        <v>42</v>
      </c>
      <c r="BB2110">
        <v>4.46</v>
      </c>
      <c r="BC2110">
        <v>42</v>
      </c>
      <c r="BD2110">
        <v>-0.02</v>
      </c>
      <c r="BE2110">
        <v>-0.02</v>
      </c>
      <c r="BF2110">
        <v>-0.15</v>
      </c>
      <c r="BG2110">
        <v>91</v>
      </c>
      <c r="BH2110">
        <v>0.02</v>
      </c>
      <c r="BI2110">
        <v>-12.88</v>
      </c>
      <c r="BJ2110">
        <v>0</v>
      </c>
      <c r="BK2110">
        <v>0</v>
      </c>
      <c r="BL2110">
        <v>1.08</v>
      </c>
      <c r="BM2110">
        <v>-1.18</v>
      </c>
      <c r="BN2110">
        <v>0.45</v>
      </c>
      <c r="BO2110">
        <v>1.22</v>
      </c>
      <c r="BP2110">
        <v>0.33</v>
      </c>
      <c r="BQ2110">
        <v>-1.77</v>
      </c>
      <c r="BR2110">
        <v>0.45</v>
      </c>
      <c r="BS2110">
        <v>2.27</v>
      </c>
      <c r="BT2110">
        <v>0.64</v>
      </c>
      <c r="BU2110">
        <v>1.87</v>
      </c>
      <c r="BV2110">
        <v>1.49</v>
      </c>
      <c r="BW2110">
        <v>0.91</v>
      </c>
      <c r="BX2110">
        <v>1.54</v>
      </c>
      <c r="BY2110">
        <v>1.02</v>
      </c>
      <c r="BZ2110">
        <v>-0.56000000000000005</v>
      </c>
      <c r="CA2110">
        <v>1.79</v>
      </c>
      <c r="CB2110">
        <v>1.48</v>
      </c>
      <c r="CC2110">
        <v>2.16</v>
      </c>
      <c r="CD2110">
        <v>-0.81</v>
      </c>
      <c r="CE2110">
        <v>0.39</v>
      </c>
      <c r="CF2110">
        <v>0.37</v>
      </c>
      <c r="CG2110">
        <v>0</v>
      </c>
      <c r="CH2110">
        <v>1.24</v>
      </c>
      <c r="CI2110">
        <v>0</v>
      </c>
      <c r="CJ2110">
        <v>-0.5</v>
      </c>
      <c r="CK2110">
        <v>45</v>
      </c>
      <c r="CL2110">
        <v>-1.28</v>
      </c>
      <c r="CM2110">
        <v>45</v>
      </c>
      <c r="CN2110">
        <v>-0.77</v>
      </c>
      <c r="CO2110">
        <v>45</v>
      </c>
      <c r="CP2110">
        <v>9.1999999999999993</v>
      </c>
      <c r="CQ2110">
        <v>44</v>
      </c>
      <c r="CR2110">
        <v>0</v>
      </c>
      <c r="CS2110">
        <v>0</v>
      </c>
      <c r="CT2110">
        <v>26.5</v>
      </c>
      <c r="CU2110">
        <v>43</v>
      </c>
      <c r="CV2110">
        <v>0.23</v>
      </c>
      <c r="CW2110">
        <v>35</v>
      </c>
      <c r="CX2110" t="s">
        <v>350</v>
      </c>
    </row>
    <row r="2111" spans="1:102" x14ac:dyDescent="0.3">
      <c r="A2111" t="str">
        <f>HYPERLINK("https://webapp.icbf.com/v2/app/bull-search/view/666761467","MFP")</f>
        <v>MFP</v>
      </c>
      <c r="B2111" t="s">
        <v>12650</v>
      </c>
      <c r="C2111" t="s">
        <v>12651</v>
      </c>
      <c r="D2111" s="1">
        <v>39837</v>
      </c>
      <c r="E2111" t="s">
        <v>92</v>
      </c>
      <c r="F2111">
        <v>97</v>
      </c>
      <c r="G2111" t="s">
        <v>93</v>
      </c>
      <c r="H2111">
        <v>63.86</v>
      </c>
      <c r="I2111">
        <v>86</v>
      </c>
      <c r="J2111">
        <v>23.32</v>
      </c>
      <c r="K2111">
        <v>97</v>
      </c>
      <c r="L2111">
        <v>1.97</v>
      </c>
      <c r="M2111">
        <v>77</v>
      </c>
      <c r="N2111">
        <v>27.2</v>
      </c>
      <c r="O2111">
        <v>84</v>
      </c>
      <c r="P2111">
        <v>-26.21</v>
      </c>
      <c r="Q2111">
        <v>91</v>
      </c>
      <c r="R2111">
        <v>4.18</v>
      </c>
      <c r="S2111">
        <v>77</v>
      </c>
      <c r="T2111">
        <v>31.44</v>
      </c>
      <c r="U2111">
        <v>84</v>
      </c>
      <c r="V2111">
        <v>1.96</v>
      </c>
      <c r="W2111">
        <v>72</v>
      </c>
      <c r="X2111" t="s">
        <v>94</v>
      </c>
      <c r="Y2111" t="s">
        <v>1727</v>
      </c>
      <c r="Z2111" t="s">
        <v>96</v>
      </c>
      <c r="AA2111" t="s">
        <v>1641</v>
      </c>
      <c r="AB2111" t="s">
        <v>12652</v>
      </c>
      <c r="AC2111">
        <v>72</v>
      </c>
      <c r="AD2111">
        <v>56</v>
      </c>
      <c r="AE2111">
        <v>97</v>
      </c>
      <c r="AF2111">
        <v>-83.84</v>
      </c>
      <c r="AG2111">
        <v>5.38</v>
      </c>
      <c r="AH2111">
        <v>0.78</v>
      </c>
      <c r="AI2111">
        <v>0.15</v>
      </c>
      <c r="AJ2111">
        <v>0.06</v>
      </c>
      <c r="AK2111">
        <v>77</v>
      </c>
      <c r="AL2111">
        <v>78</v>
      </c>
      <c r="AM2111">
        <v>54</v>
      </c>
      <c r="AN2111">
        <v>0.1</v>
      </c>
      <c r="AO2111">
        <v>0.26</v>
      </c>
      <c r="AP2111">
        <v>160</v>
      </c>
      <c r="AQ2111">
        <v>0</v>
      </c>
      <c r="AR2111">
        <v>7.61</v>
      </c>
      <c r="AS2111">
        <v>68</v>
      </c>
      <c r="AT2111">
        <v>3.16</v>
      </c>
      <c r="AU2111">
        <v>86</v>
      </c>
      <c r="AV2111">
        <v>-3.64</v>
      </c>
      <c r="AW2111">
        <v>96</v>
      </c>
      <c r="AX2111">
        <v>0.89</v>
      </c>
      <c r="AY2111">
        <v>78</v>
      </c>
      <c r="AZ2111">
        <v>5.88</v>
      </c>
      <c r="BA2111">
        <v>61</v>
      </c>
      <c r="BB2111">
        <v>4.9800000000000004</v>
      </c>
      <c r="BC2111">
        <v>65</v>
      </c>
      <c r="BD2111">
        <v>-0.06</v>
      </c>
      <c r="BE2111">
        <v>-0.04</v>
      </c>
      <c r="BF2111">
        <v>0.08</v>
      </c>
      <c r="BG2111">
        <v>87</v>
      </c>
      <c r="BH2111">
        <v>-0.1</v>
      </c>
      <c r="BI2111">
        <v>-17.88</v>
      </c>
      <c r="BJ2111">
        <v>5</v>
      </c>
      <c r="BK2111">
        <v>4</v>
      </c>
      <c r="BL2111">
        <v>-1.69</v>
      </c>
      <c r="BM2111">
        <v>-0.21</v>
      </c>
      <c r="BN2111">
        <v>-1.96</v>
      </c>
      <c r="BO2111">
        <v>-1.59</v>
      </c>
      <c r="BP2111">
        <v>-1.32</v>
      </c>
      <c r="BQ2111">
        <v>-2.0699999999999998</v>
      </c>
      <c r="BR2111">
        <v>1.04</v>
      </c>
      <c r="BS2111">
        <v>-1.18</v>
      </c>
      <c r="BT2111">
        <v>-1.54</v>
      </c>
      <c r="BU2111">
        <v>-2.44</v>
      </c>
      <c r="BV2111">
        <v>-2.65</v>
      </c>
      <c r="BW2111">
        <v>-2.67</v>
      </c>
      <c r="BX2111">
        <v>-2.86</v>
      </c>
      <c r="BY2111">
        <v>-2.12</v>
      </c>
      <c r="BZ2111">
        <v>2.0699999999999998</v>
      </c>
      <c r="CA2111">
        <v>-2.23</v>
      </c>
      <c r="CB2111">
        <v>-2.54</v>
      </c>
      <c r="CC2111">
        <v>-0.79</v>
      </c>
      <c r="CD2111">
        <v>0.85</v>
      </c>
      <c r="CE2111">
        <v>-0.93</v>
      </c>
      <c r="CF2111">
        <v>-1.4</v>
      </c>
      <c r="CG2111">
        <v>0</v>
      </c>
      <c r="CH2111">
        <v>-1.57</v>
      </c>
      <c r="CI2111">
        <v>0</v>
      </c>
      <c r="CJ2111">
        <v>-14.4</v>
      </c>
      <c r="CK2111">
        <v>93</v>
      </c>
      <c r="CL2111">
        <v>-0.65</v>
      </c>
      <c r="CM2111">
        <v>91</v>
      </c>
      <c r="CN2111">
        <v>-0.28000000000000003</v>
      </c>
      <c r="CO2111">
        <v>90</v>
      </c>
      <c r="CP2111">
        <v>-19.399999999999999</v>
      </c>
      <c r="CQ2111">
        <v>83</v>
      </c>
      <c r="CR2111">
        <v>0</v>
      </c>
      <c r="CS2111">
        <v>0</v>
      </c>
      <c r="CT2111">
        <v>-28.7</v>
      </c>
      <c r="CU2111">
        <v>84</v>
      </c>
      <c r="CV2111">
        <v>-0.06</v>
      </c>
      <c r="CW2111">
        <v>45</v>
      </c>
      <c r="CX2111" t="s">
        <v>1883</v>
      </c>
    </row>
    <row r="2112" spans="1:102" x14ac:dyDescent="0.3">
      <c r="A2112" t="str">
        <f>HYPERLINK("https://webapp.icbf.com/v2/app/bull-search/view/1276138328","S3152")</f>
        <v>S3152</v>
      </c>
      <c r="B2112" t="s">
        <v>7022</v>
      </c>
      <c r="C2112" t="s">
        <v>7023</v>
      </c>
      <c r="D2112" s="1">
        <v>41694</v>
      </c>
      <c r="E2112" t="s">
        <v>92</v>
      </c>
      <c r="F2112">
        <v>100</v>
      </c>
      <c r="G2112" t="s">
        <v>109</v>
      </c>
      <c r="H2112">
        <v>63.6</v>
      </c>
      <c r="I2112">
        <v>72</v>
      </c>
      <c r="J2112">
        <v>19.760000000000002</v>
      </c>
      <c r="K2112">
        <v>91</v>
      </c>
      <c r="L2112">
        <v>21.36</v>
      </c>
      <c r="M2112">
        <v>76</v>
      </c>
      <c r="N2112">
        <v>4.8600000000000003</v>
      </c>
      <c r="O2112">
        <v>61</v>
      </c>
      <c r="P2112">
        <v>-0.15</v>
      </c>
      <c r="Q2112">
        <v>39</v>
      </c>
      <c r="R2112">
        <v>28.1</v>
      </c>
      <c r="S2112">
        <v>70</v>
      </c>
      <c r="T2112">
        <v>-13.85</v>
      </c>
      <c r="U2112">
        <v>37</v>
      </c>
      <c r="V2112">
        <v>3.52</v>
      </c>
      <c r="W2112">
        <v>59</v>
      </c>
      <c r="X2112" t="s">
        <v>110</v>
      </c>
      <c r="Y2112" t="s">
        <v>457</v>
      </c>
      <c r="Z2112" t="s">
        <v>96</v>
      </c>
      <c r="AA2112" t="s">
        <v>3137</v>
      </c>
      <c r="AB2112" t="s">
        <v>7024</v>
      </c>
      <c r="AC2112">
        <v>0</v>
      </c>
      <c r="AD2112">
        <v>0</v>
      </c>
      <c r="AE2112">
        <v>91</v>
      </c>
      <c r="AF2112">
        <v>170.91</v>
      </c>
      <c r="AG2112">
        <v>2.08</v>
      </c>
      <c r="AH2112">
        <v>5.24</v>
      </c>
      <c r="AI2112">
        <v>-0.08</v>
      </c>
      <c r="AJ2112">
        <v>-0.01</v>
      </c>
      <c r="AK2112">
        <v>76</v>
      </c>
      <c r="AL2112">
        <v>0</v>
      </c>
      <c r="AM2112">
        <v>0</v>
      </c>
      <c r="AN2112">
        <v>-1.44</v>
      </c>
      <c r="AO2112">
        <v>0.26</v>
      </c>
      <c r="AP2112">
        <v>5</v>
      </c>
      <c r="AQ2112">
        <v>0</v>
      </c>
      <c r="AR2112">
        <v>9</v>
      </c>
      <c r="AS2112">
        <v>53</v>
      </c>
      <c r="AT2112">
        <v>3.72</v>
      </c>
      <c r="AU2112">
        <v>85</v>
      </c>
      <c r="AV2112">
        <v>-1.42</v>
      </c>
      <c r="AW2112">
        <v>61</v>
      </c>
      <c r="AX2112">
        <v>0.21</v>
      </c>
      <c r="AY2112">
        <v>44</v>
      </c>
      <c r="AZ2112">
        <v>5.01</v>
      </c>
      <c r="BA2112">
        <v>40</v>
      </c>
      <c r="BB2112">
        <v>4.66</v>
      </c>
      <c r="BC2112">
        <v>39</v>
      </c>
      <c r="BD2112">
        <v>-0.09</v>
      </c>
      <c r="BE2112">
        <v>-0.14000000000000001</v>
      </c>
      <c r="BF2112">
        <v>-0.23</v>
      </c>
      <c r="BG2112">
        <v>85</v>
      </c>
      <c r="BH2112">
        <v>0.03</v>
      </c>
      <c r="BI2112">
        <v>-7.88</v>
      </c>
      <c r="BJ2112">
        <v>0</v>
      </c>
      <c r="BK2112">
        <v>0</v>
      </c>
      <c r="BL2112">
        <v>2.75</v>
      </c>
      <c r="BM2112">
        <v>-1.24</v>
      </c>
      <c r="BN2112">
        <v>0.16</v>
      </c>
      <c r="BO2112">
        <v>1.44</v>
      </c>
      <c r="BP2112">
        <v>1.42</v>
      </c>
      <c r="BQ2112">
        <v>0.93</v>
      </c>
      <c r="BR2112">
        <v>0.47</v>
      </c>
      <c r="BS2112">
        <v>0.78</v>
      </c>
      <c r="BT2112">
        <v>1.55</v>
      </c>
      <c r="BU2112">
        <v>2.27</v>
      </c>
      <c r="BV2112">
        <v>2.61</v>
      </c>
      <c r="BW2112">
        <v>4.3099999999999996</v>
      </c>
      <c r="BX2112">
        <v>2.76</v>
      </c>
      <c r="BY2112">
        <v>3.17</v>
      </c>
      <c r="BZ2112">
        <v>-0.09</v>
      </c>
      <c r="CA2112">
        <v>2.89</v>
      </c>
      <c r="CB2112">
        <v>2.75</v>
      </c>
      <c r="CC2112">
        <v>1.86</v>
      </c>
      <c r="CD2112">
        <v>-1.23</v>
      </c>
      <c r="CE2112">
        <v>1.03</v>
      </c>
      <c r="CF2112">
        <v>1.76</v>
      </c>
      <c r="CG2112">
        <v>0</v>
      </c>
      <c r="CH2112">
        <v>3.28</v>
      </c>
      <c r="CI2112">
        <v>0</v>
      </c>
      <c r="CJ2112">
        <v>2.5</v>
      </c>
      <c r="CK2112">
        <v>40</v>
      </c>
      <c r="CL2112">
        <v>-1.58</v>
      </c>
      <c r="CM2112">
        <v>39</v>
      </c>
      <c r="CN2112">
        <v>-0.89</v>
      </c>
      <c r="CO2112">
        <v>39</v>
      </c>
      <c r="CP2112">
        <v>15.2</v>
      </c>
      <c r="CQ2112">
        <v>38</v>
      </c>
      <c r="CR2112">
        <v>0</v>
      </c>
      <c r="CS2112">
        <v>0</v>
      </c>
      <c r="CT2112">
        <v>32.5</v>
      </c>
      <c r="CU2112">
        <v>37</v>
      </c>
      <c r="CV2112">
        <v>0.27</v>
      </c>
      <c r="CW2112">
        <v>33</v>
      </c>
      <c r="CX2112" t="s">
        <v>401</v>
      </c>
    </row>
    <row r="2113" spans="1:102" x14ac:dyDescent="0.3">
      <c r="A2113" t="str">
        <f>HYPERLINK("https://webapp.icbf.com/v2/app/bull-search/view/458689370","BXS")</f>
        <v>BXS</v>
      </c>
      <c r="B2113" t="s">
        <v>11898</v>
      </c>
      <c r="C2113" t="s">
        <v>11899</v>
      </c>
      <c r="D2113" s="1">
        <v>36220</v>
      </c>
      <c r="E2113" t="s">
        <v>146</v>
      </c>
      <c r="F2113">
        <v>6</v>
      </c>
      <c r="G2113" t="s">
        <v>109</v>
      </c>
      <c r="H2113">
        <v>63.51</v>
      </c>
      <c r="I2113">
        <v>67</v>
      </c>
      <c r="J2113">
        <v>-19.91</v>
      </c>
      <c r="K2113">
        <v>72</v>
      </c>
      <c r="L2113">
        <v>43.97</v>
      </c>
      <c r="M2113">
        <v>67</v>
      </c>
      <c r="N2113">
        <v>27.12</v>
      </c>
      <c r="O2113">
        <v>61</v>
      </c>
      <c r="P2113">
        <v>0.12</v>
      </c>
      <c r="Q2113">
        <v>77</v>
      </c>
      <c r="R2113">
        <v>-3.44</v>
      </c>
      <c r="S2113">
        <v>65</v>
      </c>
      <c r="T2113">
        <v>24.19</v>
      </c>
      <c r="U2113">
        <v>55</v>
      </c>
      <c r="V2113">
        <v>-8.5399999999999991</v>
      </c>
      <c r="W2113">
        <v>58</v>
      </c>
      <c r="X2113" t="s">
        <v>102</v>
      </c>
      <c r="Y2113" t="s">
        <v>1208</v>
      </c>
      <c r="Z2113">
        <v>0</v>
      </c>
      <c r="AA2113" t="s">
        <v>11900</v>
      </c>
      <c r="AB2113" t="s">
        <v>11901</v>
      </c>
      <c r="AC2113">
        <v>0</v>
      </c>
      <c r="AD2113">
        <v>0</v>
      </c>
      <c r="AE2113">
        <v>72</v>
      </c>
      <c r="AF2113">
        <v>-100.81</v>
      </c>
      <c r="AG2113">
        <v>-4.04</v>
      </c>
      <c r="AH2113">
        <v>-3.5</v>
      </c>
      <c r="AI2113">
        <v>0</v>
      </c>
      <c r="AJ2113">
        <v>0</v>
      </c>
      <c r="AK2113">
        <v>67</v>
      </c>
      <c r="AL2113">
        <v>0</v>
      </c>
      <c r="AM2113">
        <v>0</v>
      </c>
      <c r="AN2113">
        <v>-2.16</v>
      </c>
      <c r="AO2113">
        <v>1.35</v>
      </c>
      <c r="AP2113">
        <v>36</v>
      </c>
      <c r="AQ2113">
        <v>0</v>
      </c>
      <c r="AR2113">
        <v>6.25</v>
      </c>
      <c r="AS2113">
        <v>30</v>
      </c>
      <c r="AT2113">
        <v>2.46</v>
      </c>
      <c r="AU2113">
        <v>64</v>
      </c>
      <c r="AV2113">
        <v>-2.12</v>
      </c>
      <c r="AW2113">
        <v>80</v>
      </c>
      <c r="AX2113">
        <v>0.57999999999999996</v>
      </c>
      <c r="AY2113">
        <v>53</v>
      </c>
      <c r="AZ2113">
        <v>5.82</v>
      </c>
      <c r="BA2113">
        <v>27</v>
      </c>
      <c r="BB2113">
        <v>4.54</v>
      </c>
      <c r="BC2113">
        <v>29</v>
      </c>
      <c r="BD2113">
        <v>0</v>
      </c>
      <c r="BE2113">
        <v>0.01</v>
      </c>
      <c r="BF2113">
        <v>0.06</v>
      </c>
      <c r="BG2113">
        <v>86</v>
      </c>
      <c r="BH2113">
        <v>-0.15</v>
      </c>
      <c r="BI2113">
        <v>10.199999999999999</v>
      </c>
      <c r="BJ2113">
        <v>0</v>
      </c>
      <c r="BK2113">
        <v>0</v>
      </c>
      <c r="BL2113">
        <v>-1.63</v>
      </c>
      <c r="BM2113">
        <v>1.95</v>
      </c>
      <c r="BN2113">
        <v>-0.56999999999999995</v>
      </c>
      <c r="BO2113">
        <v>-1.65</v>
      </c>
      <c r="BP2113">
        <v>4.9800000000000004</v>
      </c>
      <c r="BQ2113">
        <v>0.95</v>
      </c>
      <c r="BR2113">
        <v>-1.1299999999999999</v>
      </c>
      <c r="BS2113">
        <v>-0.74</v>
      </c>
      <c r="BT2113">
        <v>0.44</v>
      </c>
      <c r="BU2113">
        <v>-2.1</v>
      </c>
      <c r="BV2113">
        <v>-2.89</v>
      </c>
      <c r="BW2113">
        <v>-3.12</v>
      </c>
      <c r="BX2113">
        <v>-2.57</v>
      </c>
      <c r="BY2113">
        <v>-0.48</v>
      </c>
      <c r="BZ2113">
        <v>1.23</v>
      </c>
      <c r="CA2113">
        <v>-2.1800000000000002</v>
      </c>
      <c r="CB2113">
        <v>-2.2599999999999998</v>
      </c>
      <c r="CC2113">
        <v>-0.85</v>
      </c>
      <c r="CD2113">
        <v>2.16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-3.5</v>
      </c>
      <c r="CK2113">
        <v>80</v>
      </c>
      <c r="CL2113">
        <v>0.25</v>
      </c>
      <c r="CM2113">
        <v>76</v>
      </c>
      <c r="CN2113">
        <v>-0.4</v>
      </c>
      <c r="CO2113">
        <v>74</v>
      </c>
      <c r="CP2113">
        <v>-15.4</v>
      </c>
      <c r="CQ2113">
        <v>65</v>
      </c>
      <c r="CR2113">
        <v>0</v>
      </c>
      <c r="CS2113">
        <v>0</v>
      </c>
      <c r="CT2113">
        <v>-18.899999999999999</v>
      </c>
      <c r="CU2113">
        <v>55</v>
      </c>
      <c r="CV2113">
        <v>-0.24</v>
      </c>
      <c r="CW2113">
        <v>22</v>
      </c>
      <c r="CX2113" t="s">
        <v>11902</v>
      </c>
    </row>
    <row r="2114" spans="1:102" x14ac:dyDescent="0.3">
      <c r="A2114" t="str">
        <f>HYPERLINK("https://webapp.icbf.com/v2/app/bull-search/view/535085564","WFZ")</f>
        <v>WFZ</v>
      </c>
      <c r="B2114" t="s">
        <v>4827</v>
      </c>
      <c r="C2114" t="s">
        <v>3029</v>
      </c>
      <c r="D2114" s="1">
        <v>36879</v>
      </c>
      <c r="E2114" t="s">
        <v>108</v>
      </c>
      <c r="F2114">
        <v>9</v>
      </c>
      <c r="G2114" t="s">
        <v>109</v>
      </c>
      <c r="H2114">
        <v>63.41</v>
      </c>
      <c r="I2114">
        <v>79</v>
      </c>
      <c r="J2114">
        <v>-33.090000000000003</v>
      </c>
      <c r="K2114">
        <v>89</v>
      </c>
      <c r="L2114">
        <v>43.41</v>
      </c>
      <c r="M2114">
        <v>81</v>
      </c>
      <c r="N2114">
        <v>30.41</v>
      </c>
      <c r="O2114">
        <v>66</v>
      </c>
      <c r="P2114">
        <v>-9.26</v>
      </c>
      <c r="Q2114">
        <v>73</v>
      </c>
      <c r="R2114">
        <v>11.44</v>
      </c>
      <c r="S2114">
        <v>73</v>
      </c>
      <c r="T2114">
        <v>10.050000000000001</v>
      </c>
      <c r="U2114">
        <v>63</v>
      </c>
      <c r="V2114">
        <v>10.45</v>
      </c>
      <c r="W2114">
        <v>61</v>
      </c>
      <c r="X2114" t="s">
        <v>251</v>
      </c>
      <c r="Y2114" t="s">
        <v>221</v>
      </c>
      <c r="Z2114" t="s">
        <v>96</v>
      </c>
      <c r="AA2114" t="s">
        <v>4828</v>
      </c>
      <c r="AB2114" t="s">
        <v>4829</v>
      </c>
      <c r="AC2114">
        <v>0</v>
      </c>
      <c r="AD2114">
        <v>0</v>
      </c>
      <c r="AE2114">
        <v>89</v>
      </c>
      <c r="AF2114">
        <v>-302.83</v>
      </c>
      <c r="AG2114">
        <v>-3.74</v>
      </c>
      <c r="AH2114">
        <v>-8.94</v>
      </c>
      <c r="AI2114">
        <v>0.15</v>
      </c>
      <c r="AJ2114">
        <v>0.02</v>
      </c>
      <c r="AK2114">
        <v>81</v>
      </c>
      <c r="AL2114">
        <v>0</v>
      </c>
      <c r="AM2114">
        <v>0</v>
      </c>
      <c r="AN2114">
        <v>-2.5</v>
      </c>
      <c r="AO2114">
        <v>0.96</v>
      </c>
      <c r="AP2114">
        <v>6</v>
      </c>
      <c r="AQ2114">
        <v>0</v>
      </c>
      <c r="AR2114">
        <v>6.9</v>
      </c>
      <c r="AS2114">
        <v>58</v>
      </c>
      <c r="AT2114">
        <v>3.24</v>
      </c>
      <c r="AU2114">
        <v>75</v>
      </c>
      <c r="AV2114">
        <v>-3.71</v>
      </c>
      <c r="AW2114">
        <v>70</v>
      </c>
      <c r="AX2114">
        <v>-0.5</v>
      </c>
      <c r="AY2114">
        <v>65</v>
      </c>
      <c r="AZ2114">
        <v>6.92</v>
      </c>
      <c r="BA2114">
        <v>50</v>
      </c>
      <c r="BB2114">
        <v>5.09</v>
      </c>
      <c r="BC2114">
        <v>49</v>
      </c>
      <c r="BD2114">
        <v>0.03</v>
      </c>
      <c r="BE2114">
        <v>-7.0000000000000007E-2</v>
      </c>
      <c r="BF2114">
        <v>-0.18</v>
      </c>
      <c r="BG2114">
        <v>90</v>
      </c>
      <c r="BH2114">
        <v>0.15</v>
      </c>
      <c r="BI2114">
        <v>-16.350000000000001</v>
      </c>
      <c r="BJ2114">
        <v>1</v>
      </c>
      <c r="BK2114">
        <v>1</v>
      </c>
      <c r="BL2114">
        <v>-3.38</v>
      </c>
      <c r="BM2114">
        <v>2.0499999999999998</v>
      </c>
      <c r="BN2114">
        <v>-1.22</v>
      </c>
      <c r="BO2114">
        <v>-2.0499999999999998</v>
      </c>
      <c r="BP2114">
        <v>-2.59</v>
      </c>
      <c r="BQ2114">
        <v>-0.95</v>
      </c>
      <c r="BR2114">
        <v>-2.02</v>
      </c>
      <c r="BS2114">
        <v>0.49</v>
      </c>
      <c r="BT2114">
        <v>0.7</v>
      </c>
      <c r="BU2114">
        <v>-0.47</v>
      </c>
      <c r="BV2114">
        <v>-1.49</v>
      </c>
      <c r="BW2114">
        <v>-1.58</v>
      </c>
      <c r="BX2114">
        <v>-1.48</v>
      </c>
      <c r="BY2114">
        <v>0.56000000000000005</v>
      </c>
      <c r="BZ2114">
        <v>-1.41</v>
      </c>
      <c r="CA2114">
        <v>-0.73</v>
      </c>
      <c r="CB2114">
        <v>-0.95</v>
      </c>
      <c r="CC2114">
        <v>-0.15</v>
      </c>
      <c r="CD2114">
        <v>3</v>
      </c>
      <c r="CE2114">
        <v>-2.2799999999999998</v>
      </c>
      <c r="CF2114">
        <v>-2.14</v>
      </c>
      <c r="CG2114">
        <v>0</v>
      </c>
      <c r="CH2114">
        <v>0.45</v>
      </c>
      <c r="CI2114">
        <v>0</v>
      </c>
      <c r="CJ2114">
        <v>-5</v>
      </c>
      <c r="CK2114">
        <v>75</v>
      </c>
      <c r="CL2114">
        <v>-0.39</v>
      </c>
      <c r="CM2114">
        <v>72</v>
      </c>
      <c r="CN2114">
        <v>-0.22</v>
      </c>
      <c r="CO2114">
        <v>71</v>
      </c>
      <c r="CP2114">
        <v>-6.1</v>
      </c>
      <c r="CQ2114">
        <v>66</v>
      </c>
      <c r="CR2114">
        <v>0</v>
      </c>
      <c r="CS2114">
        <v>0</v>
      </c>
      <c r="CT2114">
        <v>0.2</v>
      </c>
      <c r="CU2114">
        <v>63</v>
      </c>
      <c r="CV2114">
        <v>7.0000000000000007E-2</v>
      </c>
      <c r="CW2114">
        <v>41</v>
      </c>
      <c r="CX2114" t="s">
        <v>740</v>
      </c>
    </row>
    <row r="2115" spans="1:102" x14ac:dyDescent="0.3">
      <c r="A2115" t="str">
        <f>HYPERLINK("https://webapp.icbf.com/v2/app/bull-search/view/910546168","S1178")</f>
        <v>S1178</v>
      </c>
      <c r="B2115" t="s">
        <v>9093</v>
      </c>
      <c r="C2115" t="s">
        <v>9094</v>
      </c>
      <c r="D2115" s="1">
        <v>40119</v>
      </c>
      <c r="E2115" t="s">
        <v>92</v>
      </c>
      <c r="F2115">
        <v>100</v>
      </c>
      <c r="G2115" t="s">
        <v>93</v>
      </c>
      <c r="H2115">
        <v>63.4</v>
      </c>
      <c r="I2115">
        <v>88</v>
      </c>
      <c r="J2115">
        <v>61.43</v>
      </c>
      <c r="K2115">
        <v>97</v>
      </c>
      <c r="L2115">
        <v>-4.91</v>
      </c>
      <c r="M2115">
        <v>85</v>
      </c>
      <c r="N2115">
        <v>-2.36</v>
      </c>
      <c r="O2115">
        <v>85</v>
      </c>
      <c r="P2115">
        <v>-6.9</v>
      </c>
      <c r="Q2115">
        <v>87</v>
      </c>
      <c r="R2115">
        <v>13.72</v>
      </c>
      <c r="S2115">
        <v>77</v>
      </c>
      <c r="T2115">
        <v>6.87</v>
      </c>
      <c r="U2115">
        <v>81</v>
      </c>
      <c r="V2115">
        <v>-4.45</v>
      </c>
      <c r="W2115">
        <v>61</v>
      </c>
      <c r="X2115" t="s">
        <v>94</v>
      </c>
      <c r="Y2115" t="s">
        <v>336</v>
      </c>
      <c r="Z2115" t="s">
        <v>96</v>
      </c>
      <c r="AA2115" t="s">
        <v>9095</v>
      </c>
      <c r="AB2115" t="s">
        <v>9096</v>
      </c>
      <c r="AC2115">
        <v>88</v>
      </c>
      <c r="AD2115">
        <v>27</v>
      </c>
      <c r="AE2115">
        <v>97</v>
      </c>
      <c r="AF2115">
        <v>278.2</v>
      </c>
      <c r="AG2115">
        <v>12.37</v>
      </c>
      <c r="AH2115">
        <v>10.33</v>
      </c>
      <c r="AI2115">
        <v>0.03</v>
      </c>
      <c r="AJ2115">
        <v>0.02</v>
      </c>
      <c r="AK2115">
        <v>85</v>
      </c>
      <c r="AL2115">
        <v>87</v>
      </c>
      <c r="AM2115">
        <v>26</v>
      </c>
      <c r="AN2115">
        <v>1.17</v>
      </c>
      <c r="AO2115">
        <v>0.79</v>
      </c>
      <c r="AP2115">
        <v>192</v>
      </c>
      <c r="AQ2115">
        <v>1</v>
      </c>
      <c r="AR2115">
        <v>8.42</v>
      </c>
      <c r="AS2115">
        <v>82</v>
      </c>
      <c r="AT2115">
        <v>4.58</v>
      </c>
      <c r="AU2115">
        <v>89</v>
      </c>
      <c r="AV2115">
        <v>-2.85</v>
      </c>
      <c r="AW2115">
        <v>95</v>
      </c>
      <c r="AX2115">
        <v>-0.62</v>
      </c>
      <c r="AY2115">
        <v>82</v>
      </c>
      <c r="AZ2115">
        <v>8.61</v>
      </c>
      <c r="BA2115">
        <v>64</v>
      </c>
      <c r="BB2115">
        <v>6.13</v>
      </c>
      <c r="BC2115">
        <v>58</v>
      </c>
      <c r="BD2115">
        <v>0.01</v>
      </c>
      <c r="BE2115">
        <v>-0.08</v>
      </c>
      <c r="BF2115">
        <v>-0.18</v>
      </c>
      <c r="BG2115">
        <v>92</v>
      </c>
      <c r="BH2115">
        <v>-0.11</v>
      </c>
      <c r="BI2115">
        <v>1.62</v>
      </c>
      <c r="BJ2115">
        <v>23</v>
      </c>
      <c r="BK2115">
        <v>15</v>
      </c>
      <c r="BL2115">
        <v>1.3</v>
      </c>
      <c r="BM2115">
        <v>-0.77</v>
      </c>
      <c r="BN2115">
        <v>-0.3</v>
      </c>
      <c r="BO2115">
        <v>0.65</v>
      </c>
      <c r="BP2115">
        <v>-2.1</v>
      </c>
      <c r="BQ2115">
        <v>1.48</v>
      </c>
      <c r="BR2115">
        <v>-1.29</v>
      </c>
      <c r="BS2115">
        <v>1.1200000000000001</v>
      </c>
      <c r="BT2115">
        <v>1.69</v>
      </c>
      <c r="BU2115">
        <v>2</v>
      </c>
      <c r="BV2115">
        <v>2.64</v>
      </c>
      <c r="BW2115">
        <v>1.86</v>
      </c>
      <c r="BX2115">
        <v>2.4700000000000002</v>
      </c>
      <c r="BY2115">
        <v>-2.78</v>
      </c>
      <c r="BZ2115">
        <v>1.17</v>
      </c>
      <c r="CA2115">
        <v>1.66</v>
      </c>
      <c r="CB2115">
        <v>1.48</v>
      </c>
      <c r="CC2115">
        <v>0.7</v>
      </c>
      <c r="CD2115">
        <v>-0.65</v>
      </c>
      <c r="CE2115">
        <v>1</v>
      </c>
      <c r="CF2115">
        <v>0.62</v>
      </c>
      <c r="CG2115">
        <v>0</v>
      </c>
      <c r="CH2115">
        <v>-2.89</v>
      </c>
      <c r="CI2115">
        <v>0</v>
      </c>
      <c r="CJ2115">
        <v>-0.9</v>
      </c>
      <c r="CK2115">
        <v>89</v>
      </c>
      <c r="CL2115">
        <v>-1.18</v>
      </c>
      <c r="CM2115">
        <v>87</v>
      </c>
      <c r="CN2115">
        <v>-0.6</v>
      </c>
      <c r="CO2115">
        <v>85</v>
      </c>
      <c r="CP2115">
        <v>-3.4</v>
      </c>
      <c r="CQ2115">
        <v>81</v>
      </c>
      <c r="CR2115">
        <v>0</v>
      </c>
      <c r="CS2115">
        <v>0</v>
      </c>
      <c r="CT2115">
        <v>4.5</v>
      </c>
      <c r="CU2115">
        <v>81</v>
      </c>
      <c r="CV2115">
        <v>0.21</v>
      </c>
      <c r="CW2115">
        <v>43</v>
      </c>
      <c r="CX2115" t="s">
        <v>5289</v>
      </c>
    </row>
    <row r="2116" spans="1:102" x14ac:dyDescent="0.3">
      <c r="A2116" t="str">
        <f>HYPERLINK("https://webapp.icbf.com/v2/app/bull-search/view/740350143","ZSS")</f>
        <v>ZSS</v>
      </c>
      <c r="B2116" t="s">
        <v>1904</v>
      </c>
      <c r="C2116" t="s">
        <v>1905</v>
      </c>
      <c r="D2116" s="1">
        <v>39001</v>
      </c>
      <c r="E2116" t="s">
        <v>92</v>
      </c>
      <c r="F2116">
        <v>100</v>
      </c>
      <c r="G2116" t="s">
        <v>93</v>
      </c>
      <c r="H2116">
        <v>63.32</v>
      </c>
      <c r="I2116">
        <v>85</v>
      </c>
      <c r="J2116">
        <v>47.84</v>
      </c>
      <c r="K2116">
        <v>95</v>
      </c>
      <c r="L2116">
        <v>-2.79</v>
      </c>
      <c r="M2116">
        <v>83</v>
      </c>
      <c r="N2116">
        <v>23.18</v>
      </c>
      <c r="O2116">
        <v>80</v>
      </c>
      <c r="P2116">
        <v>-14</v>
      </c>
      <c r="Q2116">
        <v>87</v>
      </c>
      <c r="R2116">
        <v>-8.18</v>
      </c>
      <c r="S2116">
        <v>74</v>
      </c>
      <c r="T2116">
        <v>12.49</v>
      </c>
      <c r="U2116">
        <v>72</v>
      </c>
      <c r="V2116">
        <v>4.78</v>
      </c>
      <c r="W2116">
        <v>63</v>
      </c>
      <c r="X2116" t="s">
        <v>94</v>
      </c>
      <c r="Y2116" t="s">
        <v>1128</v>
      </c>
      <c r="Z2116" t="s">
        <v>96</v>
      </c>
      <c r="AA2116" t="s">
        <v>1784</v>
      </c>
      <c r="AB2116" t="s">
        <v>1906</v>
      </c>
      <c r="AC2116">
        <v>65</v>
      </c>
      <c r="AD2116">
        <v>23</v>
      </c>
      <c r="AE2116">
        <v>95</v>
      </c>
      <c r="AF2116">
        <v>316.19</v>
      </c>
      <c r="AG2116">
        <v>9.26</v>
      </c>
      <c r="AH2116">
        <v>9.6999999999999993</v>
      </c>
      <c r="AI2116">
        <v>-0.05</v>
      </c>
      <c r="AJ2116">
        <v>-0.02</v>
      </c>
      <c r="AK2116">
        <v>83</v>
      </c>
      <c r="AL2116">
        <v>57</v>
      </c>
      <c r="AM2116">
        <v>22</v>
      </c>
      <c r="AN2116">
        <v>0.33</v>
      </c>
      <c r="AO2116">
        <v>0.11</v>
      </c>
      <c r="AP2116">
        <v>148</v>
      </c>
      <c r="AQ2116">
        <v>0</v>
      </c>
      <c r="AR2116">
        <v>8.51</v>
      </c>
      <c r="AS2116">
        <v>81</v>
      </c>
      <c r="AT2116">
        <v>3.41</v>
      </c>
      <c r="AU2116">
        <v>82</v>
      </c>
      <c r="AV2116">
        <v>-4.4800000000000004</v>
      </c>
      <c r="AW2116">
        <v>90</v>
      </c>
      <c r="AX2116">
        <v>-0.6</v>
      </c>
      <c r="AY2116">
        <v>77</v>
      </c>
      <c r="AZ2116">
        <v>8.35</v>
      </c>
      <c r="BA2116">
        <v>57</v>
      </c>
      <c r="BB2116">
        <v>6.05</v>
      </c>
      <c r="BC2116">
        <v>54</v>
      </c>
      <c r="BD2116">
        <v>0.03</v>
      </c>
      <c r="BE2116">
        <v>0.02</v>
      </c>
      <c r="BF2116">
        <v>0.1</v>
      </c>
      <c r="BG2116">
        <v>85</v>
      </c>
      <c r="BH2116">
        <v>0.08</v>
      </c>
      <c r="BI2116">
        <v>-6.17</v>
      </c>
      <c r="BJ2116">
        <v>9</v>
      </c>
      <c r="BK2116">
        <v>6</v>
      </c>
      <c r="BL2116">
        <v>1.84</v>
      </c>
      <c r="BM2116">
        <v>-1.58</v>
      </c>
      <c r="BN2116">
        <v>0.14000000000000001</v>
      </c>
      <c r="BO2116">
        <v>1.9</v>
      </c>
      <c r="BP2116">
        <v>1.47</v>
      </c>
      <c r="BQ2116">
        <v>0.68</v>
      </c>
      <c r="BR2116">
        <v>0.08</v>
      </c>
      <c r="BS2116">
        <v>1.17</v>
      </c>
      <c r="BT2116">
        <v>0.1</v>
      </c>
      <c r="BU2116">
        <v>-0.18</v>
      </c>
      <c r="BV2116">
        <v>1.25</v>
      </c>
      <c r="BW2116">
        <v>1.63</v>
      </c>
      <c r="BX2116">
        <v>-0.05</v>
      </c>
      <c r="BY2116">
        <v>-0.14000000000000001</v>
      </c>
      <c r="BZ2116">
        <v>-0.19</v>
      </c>
      <c r="CA2116">
        <v>1.04</v>
      </c>
      <c r="CB2116">
        <v>0.48</v>
      </c>
      <c r="CC2116">
        <v>2.0099999999999998</v>
      </c>
      <c r="CD2116">
        <v>-1.88</v>
      </c>
      <c r="CE2116">
        <v>0.86</v>
      </c>
      <c r="CF2116">
        <v>0.03</v>
      </c>
      <c r="CG2116">
        <v>0</v>
      </c>
      <c r="CH2116">
        <v>-0.02</v>
      </c>
      <c r="CI2116">
        <v>0</v>
      </c>
      <c r="CJ2116">
        <v>-2.6</v>
      </c>
      <c r="CK2116">
        <v>89</v>
      </c>
      <c r="CL2116">
        <v>-1.37</v>
      </c>
      <c r="CM2116">
        <v>86</v>
      </c>
      <c r="CN2116">
        <v>-0.38</v>
      </c>
      <c r="CO2116">
        <v>85</v>
      </c>
      <c r="CP2116">
        <v>-4.8</v>
      </c>
      <c r="CQ2116">
        <v>73</v>
      </c>
      <c r="CR2116">
        <v>0</v>
      </c>
      <c r="CS2116">
        <v>0</v>
      </c>
      <c r="CT2116">
        <v>-3.1</v>
      </c>
      <c r="CU2116">
        <v>72</v>
      </c>
      <c r="CV2116">
        <v>0.32</v>
      </c>
      <c r="CW2116">
        <v>43</v>
      </c>
      <c r="CX2116" t="s">
        <v>596</v>
      </c>
    </row>
    <row r="2117" spans="1:102" x14ac:dyDescent="0.3">
      <c r="A2117" t="str">
        <f>HYPERLINK("https://webapp.icbf.com/v2/app/bull-search/view/823684186","MSK")</f>
        <v>MSK</v>
      </c>
      <c r="B2117" t="s">
        <v>12692</v>
      </c>
      <c r="C2117" t="s">
        <v>12693</v>
      </c>
      <c r="D2117" s="1">
        <v>40385</v>
      </c>
      <c r="E2117" t="s">
        <v>92</v>
      </c>
      <c r="F2117">
        <v>100</v>
      </c>
      <c r="G2117" t="s">
        <v>93</v>
      </c>
      <c r="H2117">
        <v>63.31</v>
      </c>
      <c r="I2117">
        <v>68</v>
      </c>
      <c r="J2117">
        <v>23.3</v>
      </c>
      <c r="K2117">
        <v>88</v>
      </c>
      <c r="L2117">
        <v>-4.6500000000000004</v>
      </c>
      <c r="M2117">
        <v>51</v>
      </c>
      <c r="N2117">
        <v>37.6</v>
      </c>
      <c r="O2117">
        <v>65</v>
      </c>
      <c r="P2117">
        <v>2.11</v>
      </c>
      <c r="Q2117">
        <v>80</v>
      </c>
      <c r="R2117">
        <v>3.39</v>
      </c>
      <c r="S2117">
        <v>57</v>
      </c>
      <c r="T2117">
        <v>-4.08</v>
      </c>
      <c r="U2117">
        <v>62</v>
      </c>
      <c r="V2117">
        <v>5.64</v>
      </c>
      <c r="W2117">
        <v>49</v>
      </c>
      <c r="X2117" t="s">
        <v>251</v>
      </c>
      <c r="Y2117" t="s">
        <v>1775</v>
      </c>
      <c r="Z2117" t="s">
        <v>96</v>
      </c>
      <c r="AA2117" t="s">
        <v>1376</v>
      </c>
      <c r="AB2117" t="s">
        <v>12694</v>
      </c>
      <c r="AC2117">
        <v>35</v>
      </c>
      <c r="AD2117">
        <v>19</v>
      </c>
      <c r="AE2117">
        <v>88</v>
      </c>
      <c r="AF2117">
        <v>326.76</v>
      </c>
      <c r="AG2117">
        <v>1.37</v>
      </c>
      <c r="AH2117">
        <v>8.48</v>
      </c>
      <c r="AI2117">
        <v>-0.18</v>
      </c>
      <c r="AJ2117">
        <v>-0.04</v>
      </c>
      <c r="AK2117">
        <v>51</v>
      </c>
      <c r="AL2117">
        <v>33</v>
      </c>
      <c r="AM2117">
        <v>17</v>
      </c>
      <c r="AN2117">
        <v>1.1200000000000001</v>
      </c>
      <c r="AO2117">
        <v>0.76</v>
      </c>
      <c r="AP2117">
        <v>68</v>
      </c>
      <c r="AQ2117">
        <v>0</v>
      </c>
      <c r="AR2117">
        <v>4.01</v>
      </c>
      <c r="AS2117">
        <v>54</v>
      </c>
      <c r="AT2117">
        <v>2.0699999999999998</v>
      </c>
      <c r="AU2117">
        <v>66</v>
      </c>
      <c r="AV2117">
        <v>-2.25</v>
      </c>
      <c r="AW2117">
        <v>78</v>
      </c>
      <c r="AX2117">
        <v>-0.67</v>
      </c>
      <c r="AY2117">
        <v>59</v>
      </c>
      <c r="AZ2117">
        <v>5.47</v>
      </c>
      <c r="BA2117">
        <v>44</v>
      </c>
      <c r="BB2117">
        <v>4.82</v>
      </c>
      <c r="BC2117">
        <v>41</v>
      </c>
      <c r="BD2117">
        <v>-0.03</v>
      </c>
      <c r="BE2117">
        <v>-0.02</v>
      </c>
      <c r="BF2117">
        <v>0.01</v>
      </c>
      <c r="BG2117">
        <v>66</v>
      </c>
      <c r="BH2117">
        <v>0</v>
      </c>
      <c r="BI2117">
        <v>-18.2</v>
      </c>
      <c r="BJ2117">
        <v>7</v>
      </c>
      <c r="BK2117">
        <v>4</v>
      </c>
      <c r="BL2117">
        <v>1.22</v>
      </c>
      <c r="BM2117">
        <v>-0.64</v>
      </c>
      <c r="BN2117">
        <v>-0.27</v>
      </c>
      <c r="BO2117">
        <v>0.46</v>
      </c>
      <c r="BP2117">
        <v>0.56000000000000005</v>
      </c>
      <c r="BQ2117">
        <v>0.37</v>
      </c>
      <c r="BR2117">
        <v>-0.98</v>
      </c>
      <c r="BS2117">
        <v>1.26</v>
      </c>
      <c r="BT2117">
        <v>0.59</v>
      </c>
      <c r="BU2117">
        <v>0.97</v>
      </c>
      <c r="BV2117">
        <v>0.85</v>
      </c>
      <c r="BW2117">
        <v>1.0900000000000001</v>
      </c>
      <c r="BX2117">
        <v>1.29</v>
      </c>
      <c r="BY2117">
        <v>0.6</v>
      </c>
      <c r="BZ2117">
        <v>-0.99</v>
      </c>
      <c r="CA2117">
        <v>0.94</v>
      </c>
      <c r="CB2117">
        <v>0.71</v>
      </c>
      <c r="CC2117">
        <v>0.82</v>
      </c>
      <c r="CD2117">
        <v>-0.32</v>
      </c>
      <c r="CE2117">
        <v>0.94</v>
      </c>
      <c r="CF2117">
        <v>0.4</v>
      </c>
      <c r="CG2117">
        <v>0</v>
      </c>
      <c r="CH2117">
        <v>0.64</v>
      </c>
      <c r="CI2117">
        <v>0</v>
      </c>
      <c r="CJ2117">
        <v>5.3</v>
      </c>
      <c r="CK2117">
        <v>83</v>
      </c>
      <c r="CL2117">
        <v>-1.03</v>
      </c>
      <c r="CM2117">
        <v>80</v>
      </c>
      <c r="CN2117">
        <v>-0.37</v>
      </c>
      <c r="CO2117">
        <v>78</v>
      </c>
      <c r="CP2117">
        <v>7.3</v>
      </c>
      <c r="CQ2117">
        <v>67</v>
      </c>
      <c r="CR2117">
        <v>0</v>
      </c>
      <c r="CS2117">
        <v>0</v>
      </c>
      <c r="CT2117">
        <v>19.3</v>
      </c>
      <c r="CU2117">
        <v>62</v>
      </c>
      <c r="CV2117">
        <v>0.45</v>
      </c>
      <c r="CW2117">
        <v>24</v>
      </c>
      <c r="CX2117" t="s">
        <v>350</v>
      </c>
    </row>
    <row r="2118" spans="1:102" x14ac:dyDescent="0.3">
      <c r="A2118" t="str">
        <f>HYPERLINK("https://webapp.icbf.com/v2/app/bull-search/view/1124045427","FR2049")</f>
        <v>FR2049</v>
      </c>
      <c r="B2118" t="s">
        <v>14209</v>
      </c>
      <c r="C2118" t="s">
        <v>14210</v>
      </c>
      <c r="D2118" s="1">
        <v>41590</v>
      </c>
      <c r="E2118" t="s">
        <v>92</v>
      </c>
      <c r="F2118">
        <v>81</v>
      </c>
      <c r="G2118" t="s">
        <v>93</v>
      </c>
      <c r="H2118">
        <v>63.3</v>
      </c>
      <c r="I2118">
        <v>84</v>
      </c>
      <c r="J2118">
        <v>11.22</v>
      </c>
      <c r="K2118">
        <v>96</v>
      </c>
      <c r="L2118">
        <v>26.33</v>
      </c>
      <c r="M2118">
        <v>76</v>
      </c>
      <c r="N2118">
        <v>29.14</v>
      </c>
      <c r="O2118">
        <v>86</v>
      </c>
      <c r="P2118">
        <v>-23.01</v>
      </c>
      <c r="Q2118">
        <v>91</v>
      </c>
      <c r="R2118">
        <v>6.09</v>
      </c>
      <c r="S2118">
        <v>76</v>
      </c>
      <c r="T2118">
        <v>16.71</v>
      </c>
      <c r="U2118">
        <v>69</v>
      </c>
      <c r="V2118">
        <v>-3.18</v>
      </c>
      <c r="W2118">
        <v>70</v>
      </c>
      <c r="X2118" t="s">
        <v>276</v>
      </c>
      <c r="Y2118" t="s">
        <v>416</v>
      </c>
      <c r="Z2118" t="s">
        <v>96</v>
      </c>
      <c r="AA2118" t="s">
        <v>9180</v>
      </c>
      <c r="AB2118" t="s">
        <v>14211</v>
      </c>
      <c r="AC2118">
        <v>95</v>
      </c>
      <c r="AD2118">
        <v>63</v>
      </c>
      <c r="AE2118">
        <v>96</v>
      </c>
      <c r="AF2118">
        <v>315.79000000000002</v>
      </c>
      <c r="AG2118">
        <v>2.38</v>
      </c>
      <c r="AH2118">
        <v>5.9</v>
      </c>
      <c r="AI2118">
        <v>-0.16</v>
      </c>
      <c r="AJ2118">
        <v>-0.08</v>
      </c>
      <c r="AK2118">
        <v>76</v>
      </c>
      <c r="AL2118">
        <v>67</v>
      </c>
      <c r="AM2118">
        <v>50</v>
      </c>
      <c r="AN2118">
        <v>-2.2000000000000002</v>
      </c>
      <c r="AO2118">
        <v>-0.11</v>
      </c>
      <c r="AP2118">
        <v>325</v>
      </c>
      <c r="AQ2118">
        <v>2</v>
      </c>
      <c r="AR2118">
        <v>6.44</v>
      </c>
      <c r="AS2118">
        <v>76</v>
      </c>
      <c r="AT2118">
        <v>2.5499999999999998</v>
      </c>
      <c r="AU2118">
        <v>90</v>
      </c>
      <c r="AV2118">
        <v>-2.97</v>
      </c>
      <c r="AW2118">
        <v>97</v>
      </c>
      <c r="AX2118">
        <v>-0.08</v>
      </c>
      <c r="AY2118">
        <v>83</v>
      </c>
      <c r="AZ2118">
        <v>7.09</v>
      </c>
      <c r="BA2118">
        <v>67</v>
      </c>
      <c r="BB2118">
        <v>5.24</v>
      </c>
      <c r="BC2118">
        <v>55</v>
      </c>
      <c r="BD2118">
        <v>-0.03</v>
      </c>
      <c r="BE2118">
        <v>0</v>
      </c>
      <c r="BF2118">
        <v>-0.09</v>
      </c>
      <c r="BG2118">
        <v>86</v>
      </c>
      <c r="BH2118">
        <v>-0.02</v>
      </c>
      <c r="BI2118">
        <v>7.93</v>
      </c>
      <c r="BJ2118">
        <v>0</v>
      </c>
      <c r="BK2118">
        <v>0</v>
      </c>
      <c r="BL2118">
        <v>-0.78</v>
      </c>
      <c r="BM2118">
        <v>0</v>
      </c>
      <c r="BN2118">
        <v>-0.54</v>
      </c>
      <c r="BO2118">
        <v>-0.59</v>
      </c>
      <c r="BP2118">
        <v>-0.28999999999999998</v>
      </c>
      <c r="BQ2118">
        <v>-0.46</v>
      </c>
      <c r="BR2118">
        <v>-0.95</v>
      </c>
      <c r="BS2118">
        <v>-0.19</v>
      </c>
      <c r="BT2118">
        <v>-0.86</v>
      </c>
      <c r="BU2118">
        <v>0.35</v>
      </c>
      <c r="BV2118">
        <v>0.56999999999999995</v>
      </c>
      <c r="BW2118">
        <v>0.08</v>
      </c>
      <c r="BX2118">
        <v>0.19</v>
      </c>
      <c r="BY2118">
        <v>-0.27</v>
      </c>
      <c r="BZ2118">
        <v>-0.53</v>
      </c>
      <c r="CA2118">
        <v>0.15</v>
      </c>
      <c r="CB2118">
        <v>0.12</v>
      </c>
      <c r="CC2118">
        <v>0.11</v>
      </c>
      <c r="CD2118">
        <v>-0.09</v>
      </c>
      <c r="CE2118">
        <v>-0.51</v>
      </c>
      <c r="CF2118">
        <v>-1.1100000000000001</v>
      </c>
      <c r="CG2118">
        <v>0</v>
      </c>
      <c r="CH2118">
        <v>1.83</v>
      </c>
      <c r="CI2118">
        <v>0</v>
      </c>
      <c r="CJ2118">
        <v>-10.3</v>
      </c>
      <c r="CK2118">
        <v>93</v>
      </c>
      <c r="CL2118">
        <v>-0.92</v>
      </c>
      <c r="CM2118">
        <v>91</v>
      </c>
      <c r="CN2118">
        <v>-0.14000000000000001</v>
      </c>
      <c r="CO2118">
        <v>90</v>
      </c>
      <c r="CP2118">
        <v>-6.3</v>
      </c>
      <c r="CQ2118">
        <v>73</v>
      </c>
      <c r="CR2118">
        <v>0</v>
      </c>
      <c r="CS2118">
        <v>0</v>
      </c>
      <c r="CT2118">
        <v>-8.8000000000000007</v>
      </c>
      <c r="CU2118">
        <v>69</v>
      </c>
      <c r="CV2118">
        <v>0.03</v>
      </c>
      <c r="CW2118">
        <v>46</v>
      </c>
      <c r="CX2118" t="s">
        <v>316</v>
      </c>
    </row>
    <row r="2119" spans="1:102" x14ac:dyDescent="0.3">
      <c r="A2119" t="str">
        <f>HYPERLINK("https://webapp.icbf.com/v2/app/bull-search/view/445072893","WRI")</f>
        <v>WRI</v>
      </c>
      <c r="B2119" t="s">
        <v>11952</v>
      </c>
      <c r="C2119" t="s">
        <v>11953</v>
      </c>
      <c r="D2119" s="1">
        <v>38767</v>
      </c>
      <c r="E2119" t="s">
        <v>92</v>
      </c>
      <c r="F2119">
        <v>81</v>
      </c>
      <c r="G2119" t="s">
        <v>93</v>
      </c>
      <c r="H2119">
        <v>63.24</v>
      </c>
      <c r="I2119">
        <v>87</v>
      </c>
      <c r="J2119">
        <v>35.01</v>
      </c>
      <c r="K2119">
        <v>96</v>
      </c>
      <c r="L2119">
        <v>30.04</v>
      </c>
      <c r="M2119">
        <v>78</v>
      </c>
      <c r="N2119">
        <v>-24.61</v>
      </c>
      <c r="O2119">
        <v>85</v>
      </c>
      <c r="P2119">
        <v>7</v>
      </c>
      <c r="Q2119">
        <v>91</v>
      </c>
      <c r="R2119">
        <v>-2.86</v>
      </c>
      <c r="S2119">
        <v>82</v>
      </c>
      <c r="T2119">
        <v>12.35</v>
      </c>
      <c r="U2119">
        <v>86</v>
      </c>
      <c r="V2119">
        <v>6.31</v>
      </c>
      <c r="W2119">
        <v>81</v>
      </c>
      <c r="X2119" t="s">
        <v>94</v>
      </c>
      <c r="Y2119" t="s">
        <v>1251</v>
      </c>
      <c r="Z2119" t="s">
        <v>96</v>
      </c>
      <c r="AA2119" t="s">
        <v>3831</v>
      </c>
      <c r="AB2119" t="s">
        <v>11954</v>
      </c>
      <c r="AC2119">
        <v>77</v>
      </c>
      <c r="AD2119">
        <v>55</v>
      </c>
      <c r="AE2119">
        <v>96</v>
      </c>
      <c r="AF2119">
        <v>-172.19</v>
      </c>
      <c r="AG2119">
        <v>6.47</v>
      </c>
      <c r="AH2119">
        <v>1.03</v>
      </c>
      <c r="AI2119">
        <v>0.24</v>
      </c>
      <c r="AJ2119">
        <v>0.12</v>
      </c>
      <c r="AK2119">
        <v>78</v>
      </c>
      <c r="AL2119">
        <v>69</v>
      </c>
      <c r="AM2119">
        <v>49</v>
      </c>
      <c r="AN2119">
        <v>-3.61</v>
      </c>
      <c r="AO2119">
        <v>-1.24</v>
      </c>
      <c r="AP2119">
        <v>180</v>
      </c>
      <c r="AQ2119">
        <v>2</v>
      </c>
      <c r="AR2119">
        <v>13.15</v>
      </c>
      <c r="AS2119">
        <v>67</v>
      </c>
      <c r="AT2119">
        <v>5.86</v>
      </c>
      <c r="AU2119">
        <v>87</v>
      </c>
      <c r="AV2119">
        <v>-2.5499999999999998</v>
      </c>
      <c r="AW2119">
        <v>96</v>
      </c>
      <c r="AX2119">
        <v>-0.81</v>
      </c>
      <c r="AY2119">
        <v>79</v>
      </c>
      <c r="AZ2119">
        <v>5.31</v>
      </c>
      <c r="BA2119">
        <v>64</v>
      </c>
      <c r="BB2119">
        <v>4.41</v>
      </c>
      <c r="BC2119">
        <v>65</v>
      </c>
      <c r="BD2119">
        <v>0.01</v>
      </c>
      <c r="BE2119">
        <v>0.01</v>
      </c>
      <c r="BF2119">
        <v>0.03</v>
      </c>
      <c r="BG2119">
        <v>87</v>
      </c>
      <c r="BH2119">
        <v>-0.02</v>
      </c>
      <c r="BI2119">
        <v>-22.67</v>
      </c>
      <c r="BJ2119">
        <v>9</v>
      </c>
      <c r="BK2119">
        <v>6</v>
      </c>
      <c r="BL2119">
        <v>-0.46</v>
      </c>
      <c r="BM2119">
        <v>-0.47</v>
      </c>
      <c r="BN2119">
        <v>-0.69</v>
      </c>
      <c r="BO2119">
        <v>-0.4</v>
      </c>
      <c r="BP2119">
        <v>1.63</v>
      </c>
      <c r="BQ2119">
        <v>0.1</v>
      </c>
      <c r="BR2119">
        <v>0.82</v>
      </c>
      <c r="BS2119">
        <v>-1.83</v>
      </c>
      <c r="BT2119">
        <v>-1.45</v>
      </c>
      <c r="BU2119">
        <v>-1.93</v>
      </c>
      <c r="BV2119">
        <v>-1.36</v>
      </c>
      <c r="BW2119">
        <v>-1.95</v>
      </c>
      <c r="BX2119">
        <v>-2.31</v>
      </c>
      <c r="BY2119">
        <v>-1.25</v>
      </c>
      <c r="BZ2119">
        <v>-1.32</v>
      </c>
      <c r="CA2119">
        <v>-1.95</v>
      </c>
      <c r="CB2119">
        <v>-1.68</v>
      </c>
      <c r="CC2119">
        <v>-1.83</v>
      </c>
      <c r="CD2119">
        <v>0.37</v>
      </c>
      <c r="CE2119">
        <v>-0.5</v>
      </c>
      <c r="CF2119">
        <v>-0.25</v>
      </c>
      <c r="CG2119">
        <v>0</v>
      </c>
      <c r="CH2119">
        <v>-2.16</v>
      </c>
      <c r="CI2119">
        <v>0</v>
      </c>
      <c r="CJ2119">
        <v>4.7</v>
      </c>
      <c r="CK2119">
        <v>92</v>
      </c>
      <c r="CL2119">
        <v>-0.21</v>
      </c>
      <c r="CM2119">
        <v>91</v>
      </c>
      <c r="CN2119">
        <v>-0.28000000000000003</v>
      </c>
      <c r="CO2119">
        <v>90</v>
      </c>
      <c r="CP2119">
        <v>-4</v>
      </c>
      <c r="CQ2119">
        <v>88</v>
      </c>
      <c r="CR2119">
        <v>0</v>
      </c>
      <c r="CS2119">
        <v>0</v>
      </c>
      <c r="CT2119">
        <v>-2.9</v>
      </c>
      <c r="CU2119">
        <v>86</v>
      </c>
      <c r="CV2119">
        <v>0.06</v>
      </c>
      <c r="CW2119">
        <v>45</v>
      </c>
      <c r="CX2119" t="s">
        <v>1037</v>
      </c>
    </row>
    <row r="2120" spans="1:102" x14ac:dyDescent="0.3">
      <c r="A2120" t="str">
        <f>HYPERLINK("https://webapp.icbf.com/v2/app/bull-search/view/121493966","MVI")</f>
        <v>MVI</v>
      </c>
      <c r="B2120" t="s">
        <v>11380</v>
      </c>
      <c r="C2120" t="s">
        <v>11381</v>
      </c>
      <c r="D2120" s="1">
        <v>36457</v>
      </c>
      <c r="E2120" t="s">
        <v>92</v>
      </c>
      <c r="F2120">
        <v>100</v>
      </c>
      <c r="G2120" t="s">
        <v>93</v>
      </c>
      <c r="H2120">
        <v>63.21</v>
      </c>
      <c r="I2120">
        <v>79</v>
      </c>
      <c r="J2120">
        <v>11.98</v>
      </c>
      <c r="K2120">
        <v>95</v>
      </c>
      <c r="L2120">
        <v>3.33</v>
      </c>
      <c r="M2120">
        <v>65</v>
      </c>
      <c r="N2120">
        <v>30.42</v>
      </c>
      <c r="O2120">
        <v>74</v>
      </c>
      <c r="P2120">
        <v>-6.65</v>
      </c>
      <c r="Q2120">
        <v>92</v>
      </c>
      <c r="R2120">
        <v>8.2200000000000006</v>
      </c>
      <c r="S2120">
        <v>68</v>
      </c>
      <c r="T2120">
        <v>11.9</v>
      </c>
      <c r="U2120">
        <v>78</v>
      </c>
      <c r="V2120">
        <v>4.01</v>
      </c>
      <c r="W2120">
        <v>57</v>
      </c>
      <c r="X2120" t="s">
        <v>102</v>
      </c>
      <c r="Y2120" t="s">
        <v>95</v>
      </c>
      <c r="Z2120" t="s">
        <v>96</v>
      </c>
      <c r="AA2120" t="s">
        <v>3035</v>
      </c>
      <c r="AB2120" t="s">
        <v>11382</v>
      </c>
      <c r="AC2120">
        <v>70</v>
      </c>
      <c r="AD2120">
        <v>41</v>
      </c>
      <c r="AE2120">
        <v>95</v>
      </c>
      <c r="AF2120">
        <v>308</v>
      </c>
      <c r="AG2120">
        <v>6.62</v>
      </c>
      <c r="AH2120">
        <v>4.41</v>
      </c>
      <c r="AI2120">
        <v>-0.09</v>
      </c>
      <c r="AJ2120">
        <v>-0.1</v>
      </c>
      <c r="AK2120">
        <v>65</v>
      </c>
      <c r="AL2120">
        <v>78</v>
      </c>
      <c r="AM2120">
        <v>48</v>
      </c>
      <c r="AN2120">
        <v>3.24</v>
      </c>
      <c r="AO2120">
        <v>3.55</v>
      </c>
      <c r="AP2120">
        <v>103</v>
      </c>
      <c r="AQ2120">
        <v>15</v>
      </c>
      <c r="AR2120">
        <v>5.41</v>
      </c>
      <c r="AS2120">
        <v>56</v>
      </c>
      <c r="AT2120">
        <v>2.5299999999999998</v>
      </c>
      <c r="AU2120">
        <v>76</v>
      </c>
      <c r="AV2120">
        <v>-2.61</v>
      </c>
      <c r="AW2120">
        <v>84</v>
      </c>
      <c r="AX2120">
        <v>-0.81</v>
      </c>
      <c r="AY2120">
        <v>77</v>
      </c>
      <c r="AZ2120">
        <v>7.08</v>
      </c>
      <c r="BA2120">
        <v>51</v>
      </c>
      <c r="BB2120">
        <v>5.27</v>
      </c>
      <c r="BC2120">
        <v>55</v>
      </c>
      <c r="BD2120">
        <v>0</v>
      </c>
      <c r="BE2120">
        <v>-0.01</v>
      </c>
      <c r="BF2120">
        <v>-0.17</v>
      </c>
      <c r="BG2120">
        <v>81</v>
      </c>
      <c r="BH2120">
        <v>0.1</v>
      </c>
      <c r="BI2120">
        <v>-1.36</v>
      </c>
      <c r="BJ2120">
        <v>10</v>
      </c>
      <c r="BK2120">
        <v>9</v>
      </c>
      <c r="BL2120">
        <v>0.39</v>
      </c>
      <c r="BM2120">
        <v>0.26</v>
      </c>
      <c r="BN2120">
        <v>0.98</v>
      </c>
      <c r="BO2120">
        <v>0.75</v>
      </c>
      <c r="BP2120">
        <v>0.43</v>
      </c>
      <c r="BQ2120">
        <v>-0.01</v>
      </c>
      <c r="BR2120">
        <v>-1.81</v>
      </c>
      <c r="BS2120">
        <v>2.69</v>
      </c>
      <c r="BT2120">
        <v>0.67</v>
      </c>
      <c r="BU2120">
        <v>0.75</v>
      </c>
      <c r="BV2120">
        <v>1.36</v>
      </c>
      <c r="BW2120">
        <v>0.9</v>
      </c>
      <c r="BX2120">
        <v>0.47</v>
      </c>
      <c r="BY2120">
        <v>0.22</v>
      </c>
      <c r="BZ2120">
        <v>-1.1499999999999999</v>
      </c>
      <c r="CA2120">
        <v>1.77</v>
      </c>
      <c r="CB2120">
        <v>1.1299999999999999</v>
      </c>
      <c r="CC2120">
        <v>2.38</v>
      </c>
      <c r="CD2120">
        <v>-0.35</v>
      </c>
      <c r="CE2120">
        <v>0.99</v>
      </c>
      <c r="CF2120">
        <v>1.8</v>
      </c>
      <c r="CG2120">
        <v>0</v>
      </c>
      <c r="CH2120">
        <v>1.61</v>
      </c>
      <c r="CI2120">
        <v>0</v>
      </c>
      <c r="CJ2120">
        <v>-1.8</v>
      </c>
      <c r="CK2120">
        <v>93</v>
      </c>
      <c r="CL2120">
        <v>-0.6</v>
      </c>
      <c r="CM2120">
        <v>91</v>
      </c>
      <c r="CN2120">
        <v>-0.28999999999999998</v>
      </c>
      <c r="CO2120">
        <v>90</v>
      </c>
      <c r="CP2120">
        <v>-9.1</v>
      </c>
      <c r="CQ2120">
        <v>89</v>
      </c>
      <c r="CR2120">
        <v>0</v>
      </c>
      <c r="CS2120">
        <v>0</v>
      </c>
      <c r="CT2120">
        <v>-2.2999999999999998</v>
      </c>
      <c r="CU2120">
        <v>78</v>
      </c>
      <c r="CV2120">
        <v>0.14000000000000001</v>
      </c>
      <c r="CW2120">
        <v>26</v>
      </c>
      <c r="CX2120" t="s">
        <v>3915</v>
      </c>
    </row>
    <row r="2121" spans="1:102" x14ac:dyDescent="0.3">
      <c r="A2121" t="str">
        <f>HYPERLINK("https://webapp.icbf.com/v2/app/bull-search/view/660303406","S1230")</f>
        <v>S1230</v>
      </c>
      <c r="B2121" t="s">
        <v>1850</v>
      </c>
      <c r="C2121" t="s">
        <v>1851</v>
      </c>
      <c r="D2121" s="1">
        <v>38778</v>
      </c>
      <c r="E2121" t="s">
        <v>92</v>
      </c>
      <c r="F2121">
        <v>100</v>
      </c>
      <c r="G2121" t="s">
        <v>109</v>
      </c>
      <c r="H2121">
        <v>63.15</v>
      </c>
      <c r="I2121">
        <v>83</v>
      </c>
      <c r="J2121">
        <v>44.23</v>
      </c>
      <c r="K2121">
        <v>93</v>
      </c>
      <c r="L2121">
        <v>-16.46</v>
      </c>
      <c r="M2121">
        <v>84</v>
      </c>
      <c r="N2121">
        <v>29.55</v>
      </c>
      <c r="O2121">
        <v>78</v>
      </c>
      <c r="P2121">
        <v>-10.47</v>
      </c>
      <c r="Q2121">
        <v>68</v>
      </c>
      <c r="R2121">
        <v>17.53</v>
      </c>
      <c r="S2121">
        <v>78</v>
      </c>
      <c r="T2121">
        <v>2.06</v>
      </c>
      <c r="U2121">
        <v>71</v>
      </c>
      <c r="V2121">
        <v>-3.29</v>
      </c>
      <c r="W2121">
        <v>65</v>
      </c>
      <c r="X2121" t="s">
        <v>234</v>
      </c>
      <c r="Y2121" t="s">
        <v>336</v>
      </c>
      <c r="Z2121" t="s">
        <v>96</v>
      </c>
      <c r="AA2121" t="s">
        <v>309</v>
      </c>
      <c r="AB2121" t="s">
        <v>1852</v>
      </c>
      <c r="AC2121">
        <v>0</v>
      </c>
      <c r="AD2121">
        <v>0</v>
      </c>
      <c r="AE2121">
        <v>93</v>
      </c>
      <c r="AF2121">
        <v>205.15</v>
      </c>
      <c r="AG2121">
        <v>7.16</v>
      </c>
      <c r="AH2121">
        <v>8.1300000000000008</v>
      </c>
      <c r="AI2121">
        <v>-0.01</v>
      </c>
      <c r="AJ2121">
        <v>0.02</v>
      </c>
      <c r="AK2121">
        <v>84</v>
      </c>
      <c r="AL2121">
        <v>0</v>
      </c>
      <c r="AM2121">
        <v>0</v>
      </c>
      <c r="AN2121">
        <v>1.1200000000000001</v>
      </c>
      <c r="AO2121">
        <v>-0.19</v>
      </c>
      <c r="AP2121">
        <v>68</v>
      </c>
      <c r="AQ2121">
        <v>0</v>
      </c>
      <c r="AR2121">
        <v>5.33</v>
      </c>
      <c r="AS2121">
        <v>71</v>
      </c>
      <c r="AT2121">
        <v>2.66</v>
      </c>
      <c r="AU2121">
        <v>90</v>
      </c>
      <c r="AV2121">
        <v>-2.31</v>
      </c>
      <c r="AW2121">
        <v>84</v>
      </c>
      <c r="AX2121">
        <v>-0.41</v>
      </c>
      <c r="AY2121">
        <v>65</v>
      </c>
      <c r="AZ2121">
        <v>5.81</v>
      </c>
      <c r="BA2121">
        <v>57</v>
      </c>
      <c r="BB2121">
        <v>5.01</v>
      </c>
      <c r="BC2121">
        <v>54</v>
      </c>
      <c r="BD2121">
        <v>-0.06</v>
      </c>
      <c r="BE2121">
        <v>-7.0000000000000007E-2</v>
      </c>
      <c r="BF2121">
        <v>-0.17</v>
      </c>
      <c r="BG2121">
        <v>91</v>
      </c>
      <c r="BH2121">
        <v>-0.14000000000000001</v>
      </c>
      <c r="BI2121">
        <v>-5.57</v>
      </c>
      <c r="BJ2121">
        <v>6</v>
      </c>
      <c r="BK2121">
        <v>4</v>
      </c>
      <c r="BL2121">
        <v>1.5</v>
      </c>
      <c r="BM2121">
        <v>-1.21</v>
      </c>
      <c r="BN2121">
        <v>1.1499999999999999</v>
      </c>
      <c r="BO2121">
        <v>1.32</v>
      </c>
      <c r="BP2121">
        <v>0.23</v>
      </c>
      <c r="BQ2121">
        <v>1.27</v>
      </c>
      <c r="BR2121">
        <v>1.65</v>
      </c>
      <c r="BS2121">
        <v>0.98</v>
      </c>
      <c r="BT2121">
        <v>-0.81</v>
      </c>
      <c r="BU2121">
        <v>0.94</v>
      </c>
      <c r="BV2121">
        <v>0.97</v>
      </c>
      <c r="BW2121">
        <v>1.04</v>
      </c>
      <c r="BX2121">
        <v>0.23</v>
      </c>
      <c r="BY2121">
        <v>-0.5</v>
      </c>
      <c r="BZ2121">
        <v>-1.0900000000000001</v>
      </c>
      <c r="CA2121">
        <v>0.39</v>
      </c>
      <c r="CB2121">
        <v>0.28000000000000003</v>
      </c>
      <c r="CC2121">
        <v>0.5</v>
      </c>
      <c r="CD2121">
        <v>-1.24</v>
      </c>
      <c r="CE2121">
        <v>1.1299999999999999</v>
      </c>
      <c r="CF2121">
        <v>0.78</v>
      </c>
      <c r="CG2121">
        <v>0</v>
      </c>
      <c r="CH2121">
        <v>-0.28999999999999998</v>
      </c>
      <c r="CI2121">
        <v>0</v>
      </c>
      <c r="CJ2121">
        <v>-2.1</v>
      </c>
      <c r="CK2121">
        <v>71</v>
      </c>
      <c r="CL2121">
        <v>-1.46</v>
      </c>
      <c r="CM2121">
        <v>65</v>
      </c>
      <c r="CN2121">
        <v>-0.64</v>
      </c>
      <c r="CO2121">
        <v>63</v>
      </c>
      <c r="CP2121">
        <v>0</v>
      </c>
      <c r="CQ2121">
        <v>67</v>
      </c>
      <c r="CR2121">
        <v>0</v>
      </c>
      <c r="CS2121">
        <v>0</v>
      </c>
      <c r="CT2121">
        <v>11</v>
      </c>
      <c r="CU2121">
        <v>71</v>
      </c>
      <c r="CV2121">
        <v>0.24</v>
      </c>
      <c r="CW2121">
        <v>40</v>
      </c>
      <c r="CX2121" t="s">
        <v>311</v>
      </c>
    </row>
    <row r="2122" spans="1:102" x14ac:dyDescent="0.3">
      <c r="A2122" t="str">
        <f>HYPERLINK("https://webapp.icbf.com/v2/app/bull-search/view/1130792763","S2313")</f>
        <v>S2313</v>
      </c>
      <c r="B2122" t="s">
        <v>9384</v>
      </c>
      <c r="C2122" t="s">
        <v>9385</v>
      </c>
      <c r="D2122" s="1">
        <v>41172</v>
      </c>
      <c r="E2122" t="s">
        <v>92</v>
      </c>
      <c r="F2122">
        <v>100</v>
      </c>
      <c r="G2122" t="s">
        <v>109</v>
      </c>
      <c r="H2122">
        <v>63</v>
      </c>
      <c r="I2122">
        <v>77</v>
      </c>
      <c r="J2122">
        <v>67.75</v>
      </c>
      <c r="K2122">
        <v>93</v>
      </c>
      <c r="L2122">
        <v>-16.68</v>
      </c>
      <c r="M2122">
        <v>73</v>
      </c>
      <c r="N2122">
        <v>15.55</v>
      </c>
      <c r="O2122">
        <v>74</v>
      </c>
      <c r="P2122">
        <v>-17.149999999999999</v>
      </c>
      <c r="Q2122">
        <v>74</v>
      </c>
      <c r="R2122">
        <v>5.38</v>
      </c>
      <c r="S2122">
        <v>72</v>
      </c>
      <c r="T2122">
        <v>8.1300000000000008</v>
      </c>
      <c r="U2122">
        <v>51</v>
      </c>
      <c r="V2122">
        <v>0.02</v>
      </c>
      <c r="W2122">
        <v>60</v>
      </c>
      <c r="X2122" t="s">
        <v>251</v>
      </c>
      <c r="Y2122" t="s">
        <v>411</v>
      </c>
      <c r="Z2122" t="s">
        <v>96</v>
      </c>
      <c r="AA2122" t="s">
        <v>1783</v>
      </c>
      <c r="AB2122" t="s">
        <v>9386</v>
      </c>
      <c r="AC2122">
        <v>27</v>
      </c>
      <c r="AD2122">
        <v>10</v>
      </c>
      <c r="AE2122">
        <v>93</v>
      </c>
      <c r="AF2122">
        <v>147.93</v>
      </c>
      <c r="AG2122">
        <v>9.4600000000000009</v>
      </c>
      <c r="AH2122">
        <v>10.44</v>
      </c>
      <c r="AI2122">
        <v>0.06</v>
      </c>
      <c r="AJ2122">
        <v>0.09</v>
      </c>
      <c r="AK2122">
        <v>73</v>
      </c>
      <c r="AL2122">
        <v>0</v>
      </c>
      <c r="AM2122">
        <v>0</v>
      </c>
      <c r="AN2122">
        <v>1.73</v>
      </c>
      <c r="AO2122">
        <v>0.41</v>
      </c>
      <c r="AP2122">
        <v>48</v>
      </c>
      <c r="AQ2122">
        <v>0</v>
      </c>
      <c r="AR2122">
        <v>10.3</v>
      </c>
      <c r="AS2122">
        <v>68</v>
      </c>
      <c r="AT2122">
        <v>3.63</v>
      </c>
      <c r="AU2122">
        <v>75</v>
      </c>
      <c r="AV2122">
        <v>-3.16</v>
      </c>
      <c r="AW2122">
        <v>87</v>
      </c>
      <c r="AX2122">
        <v>-0.84</v>
      </c>
      <c r="AY2122">
        <v>65</v>
      </c>
      <c r="AZ2122">
        <v>5.53</v>
      </c>
      <c r="BA2122">
        <v>50</v>
      </c>
      <c r="BB2122">
        <v>5.09</v>
      </c>
      <c r="BC2122">
        <v>48</v>
      </c>
      <c r="BD2122">
        <v>-0.04</v>
      </c>
      <c r="BE2122">
        <v>-0.03</v>
      </c>
      <c r="BF2122">
        <v>0</v>
      </c>
      <c r="BG2122">
        <v>84</v>
      </c>
      <c r="BH2122">
        <v>-0.17</v>
      </c>
      <c r="BI2122">
        <v>-19.73</v>
      </c>
      <c r="BJ2122">
        <v>3</v>
      </c>
      <c r="BK2122">
        <v>2</v>
      </c>
      <c r="BL2122">
        <v>0.41</v>
      </c>
      <c r="BM2122">
        <v>-1.52</v>
      </c>
      <c r="BN2122">
        <v>-0.48</v>
      </c>
      <c r="BO2122">
        <v>0.83</v>
      </c>
      <c r="BP2122">
        <v>2.38</v>
      </c>
      <c r="BQ2122">
        <v>-2.67</v>
      </c>
      <c r="BR2122">
        <v>-1.1499999999999999</v>
      </c>
      <c r="BS2122">
        <v>1.71</v>
      </c>
      <c r="BT2122">
        <v>1.07</v>
      </c>
      <c r="BU2122">
        <v>1.38</v>
      </c>
      <c r="BV2122">
        <v>0.66</v>
      </c>
      <c r="BW2122">
        <v>-1.2</v>
      </c>
      <c r="BX2122">
        <v>1.27</v>
      </c>
      <c r="BY2122">
        <v>-0.23</v>
      </c>
      <c r="BZ2122">
        <v>-3.23</v>
      </c>
      <c r="CA2122">
        <v>1.29</v>
      </c>
      <c r="CB2122">
        <v>0.71</v>
      </c>
      <c r="CC2122">
        <v>1.23</v>
      </c>
      <c r="CD2122">
        <v>-0.98</v>
      </c>
      <c r="CE2122">
        <v>0.75</v>
      </c>
      <c r="CF2122">
        <v>-0.74</v>
      </c>
      <c r="CG2122">
        <v>0</v>
      </c>
      <c r="CH2122">
        <v>0.42</v>
      </c>
      <c r="CI2122">
        <v>0</v>
      </c>
      <c r="CJ2122">
        <v>-8.6</v>
      </c>
      <c r="CK2122">
        <v>77</v>
      </c>
      <c r="CL2122">
        <v>-1.21</v>
      </c>
      <c r="CM2122">
        <v>74</v>
      </c>
      <c r="CN2122">
        <v>-0.72</v>
      </c>
      <c r="CO2122">
        <v>72</v>
      </c>
      <c r="CP2122">
        <v>-8.1999999999999993</v>
      </c>
      <c r="CQ2122">
        <v>55</v>
      </c>
      <c r="CR2122">
        <v>0</v>
      </c>
      <c r="CS2122">
        <v>0</v>
      </c>
      <c r="CT2122">
        <v>2.8</v>
      </c>
      <c r="CU2122">
        <v>51</v>
      </c>
      <c r="CV2122">
        <v>0.14000000000000001</v>
      </c>
      <c r="CW2122">
        <v>41</v>
      </c>
      <c r="CX2122" t="s">
        <v>314</v>
      </c>
    </row>
    <row r="2123" spans="1:102" x14ac:dyDescent="0.3">
      <c r="A2123" t="str">
        <f>HYPERLINK("https://webapp.icbf.com/v2/app/bull-search/view/856771656","S1042")</f>
        <v>S1042</v>
      </c>
      <c r="B2123" t="s">
        <v>7013</v>
      </c>
      <c r="C2123" t="s">
        <v>7014</v>
      </c>
      <c r="D2123" s="1">
        <v>36607</v>
      </c>
      <c r="E2123" t="s">
        <v>1061</v>
      </c>
      <c r="F2123">
        <v>0</v>
      </c>
      <c r="G2123" t="s">
        <v>435</v>
      </c>
      <c r="H2123">
        <v>62.78</v>
      </c>
      <c r="I2123">
        <v>34</v>
      </c>
      <c r="J2123">
        <v>-28.84</v>
      </c>
      <c r="K2123">
        <v>48</v>
      </c>
      <c r="L2123">
        <v>56.06</v>
      </c>
      <c r="M2123">
        <v>17</v>
      </c>
      <c r="N2123">
        <v>36.17</v>
      </c>
      <c r="O2123">
        <v>38</v>
      </c>
      <c r="P2123">
        <v>-17.09</v>
      </c>
      <c r="Q2123">
        <v>47</v>
      </c>
      <c r="R2123">
        <v>-9.2100000000000009</v>
      </c>
      <c r="S2123">
        <v>15</v>
      </c>
      <c r="T2123">
        <v>30.25</v>
      </c>
      <c r="U2123">
        <v>38</v>
      </c>
      <c r="V2123">
        <v>-4.5599999999999996</v>
      </c>
      <c r="W2123">
        <v>25</v>
      </c>
      <c r="X2123" t="s">
        <v>251</v>
      </c>
      <c r="Y2123" t="s">
        <v>336</v>
      </c>
      <c r="Z2123">
        <v>0</v>
      </c>
      <c r="AA2123" t="s">
        <v>7015</v>
      </c>
      <c r="AB2123" t="s">
        <v>7016</v>
      </c>
      <c r="AC2123">
        <v>4</v>
      </c>
      <c r="AD2123">
        <v>2</v>
      </c>
      <c r="AE2123">
        <v>48</v>
      </c>
      <c r="AF2123">
        <v>-65.22</v>
      </c>
      <c r="AG2123">
        <v>-6</v>
      </c>
      <c r="AH2123">
        <v>-3.78</v>
      </c>
      <c r="AI2123">
        <v>-0.06</v>
      </c>
      <c r="AJ2123">
        <v>-0.03</v>
      </c>
      <c r="AK2123">
        <v>17</v>
      </c>
      <c r="AL2123">
        <v>6</v>
      </c>
      <c r="AM2123">
        <v>3</v>
      </c>
      <c r="AN2123">
        <v>-2.3199999999999998</v>
      </c>
      <c r="AO2123">
        <v>2.16</v>
      </c>
      <c r="AP2123">
        <v>1</v>
      </c>
      <c r="AQ2123">
        <v>0</v>
      </c>
      <c r="AR2123">
        <v>3.65</v>
      </c>
      <c r="AS2123">
        <v>30</v>
      </c>
      <c r="AT2123">
        <v>1.54</v>
      </c>
      <c r="AU2123">
        <v>34</v>
      </c>
      <c r="AV2123">
        <v>-2.2799999999999998</v>
      </c>
      <c r="AW2123">
        <v>49</v>
      </c>
      <c r="AX2123">
        <v>-0.39</v>
      </c>
      <c r="AY2123">
        <v>40</v>
      </c>
      <c r="AZ2123">
        <v>6.59</v>
      </c>
      <c r="BA2123">
        <v>18</v>
      </c>
      <c r="BB2123">
        <v>5.4</v>
      </c>
      <c r="BC2123">
        <v>19</v>
      </c>
      <c r="BD2123">
        <v>7.0000000000000007E-2</v>
      </c>
      <c r="BE2123">
        <v>0.05</v>
      </c>
      <c r="BF2123">
        <v>0</v>
      </c>
      <c r="BG2123">
        <v>20</v>
      </c>
      <c r="BH2123">
        <v>-0.08</v>
      </c>
      <c r="BI2123">
        <v>5.46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-8.1999999999999993</v>
      </c>
      <c r="CK2123">
        <v>49</v>
      </c>
      <c r="CL2123">
        <v>-0.42</v>
      </c>
      <c r="CM2123">
        <v>47</v>
      </c>
      <c r="CN2123">
        <v>-0.09</v>
      </c>
      <c r="CO2123">
        <v>44</v>
      </c>
      <c r="CP2123">
        <v>-16.600000000000001</v>
      </c>
      <c r="CQ2123">
        <v>44</v>
      </c>
      <c r="CR2123">
        <v>0</v>
      </c>
      <c r="CS2123">
        <v>0</v>
      </c>
      <c r="CT2123">
        <v>-27.1</v>
      </c>
      <c r="CU2123">
        <v>38</v>
      </c>
      <c r="CV2123">
        <v>-0.16</v>
      </c>
      <c r="CW2123">
        <v>34</v>
      </c>
      <c r="CX2123" t="s">
        <v>7017</v>
      </c>
    </row>
    <row r="2124" spans="1:102" x14ac:dyDescent="0.3">
      <c r="A2124" t="str">
        <f>HYPERLINK("https://webapp.icbf.com/v2/app/bull-search/view/476719333","WDY")</f>
        <v>WDY</v>
      </c>
      <c r="B2124" t="s">
        <v>12254</v>
      </c>
      <c r="C2124" t="s">
        <v>12255</v>
      </c>
      <c r="D2124" s="1">
        <v>38500</v>
      </c>
      <c r="E2124" t="s">
        <v>92</v>
      </c>
      <c r="F2124">
        <v>100</v>
      </c>
      <c r="G2124" t="s">
        <v>93</v>
      </c>
      <c r="H2124">
        <v>62.68</v>
      </c>
      <c r="I2124">
        <v>85</v>
      </c>
      <c r="J2124">
        <v>-3.21</v>
      </c>
      <c r="K2124">
        <v>95</v>
      </c>
      <c r="L2124">
        <v>45.95</v>
      </c>
      <c r="M2124">
        <v>80</v>
      </c>
      <c r="N2124">
        <v>18.3</v>
      </c>
      <c r="O2124">
        <v>81</v>
      </c>
      <c r="P2124">
        <v>0.53</v>
      </c>
      <c r="Q2124">
        <v>90</v>
      </c>
      <c r="R2124">
        <v>4.84</v>
      </c>
      <c r="S2124">
        <v>75</v>
      </c>
      <c r="T2124">
        <v>-9.11</v>
      </c>
      <c r="U2124">
        <v>81</v>
      </c>
      <c r="V2124">
        <v>5.38</v>
      </c>
      <c r="W2124">
        <v>61</v>
      </c>
      <c r="X2124" t="s">
        <v>251</v>
      </c>
      <c r="Y2124" t="s">
        <v>1128</v>
      </c>
      <c r="Z2124" t="s">
        <v>96</v>
      </c>
      <c r="AA2124" t="s">
        <v>350</v>
      </c>
      <c r="AB2124" t="s">
        <v>12256</v>
      </c>
      <c r="AC2124">
        <v>72</v>
      </c>
      <c r="AD2124">
        <v>44</v>
      </c>
      <c r="AE2124">
        <v>95</v>
      </c>
      <c r="AF2124">
        <v>256.29000000000002</v>
      </c>
      <c r="AG2124">
        <v>5.08</v>
      </c>
      <c r="AH2124">
        <v>1.58</v>
      </c>
      <c r="AI2124">
        <v>-0.08</v>
      </c>
      <c r="AJ2124">
        <v>-0.11</v>
      </c>
      <c r="AK2124">
        <v>80</v>
      </c>
      <c r="AL2124">
        <v>86</v>
      </c>
      <c r="AM2124">
        <v>51</v>
      </c>
      <c r="AN2124">
        <v>-2.85</v>
      </c>
      <c r="AO2124">
        <v>0.81</v>
      </c>
      <c r="AP2124">
        <v>161</v>
      </c>
      <c r="AQ2124">
        <v>0</v>
      </c>
      <c r="AR2124">
        <v>7.21</v>
      </c>
      <c r="AS2124">
        <v>64</v>
      </c>
      <c r="AT2124">
        <v>3.31</v>
      </c>
      <c r="AU2124">
        <v>81</v>
      </c>
      <c r="AV2124">
        <v>-1.85</v>
      </c>
      <c r="AW2124">
        <v>93</v>
      </c>
      <c r="AX2124">
        <v>-0.44</v>
      </c>
      <c r="AY2124">
        <v>79</v>
      </c>
      <c r="AZ2124">
        <v>6.12</v>
      </c>
      <c r="BA2124">
        <v>58</v>
      </c>
      <c r="BB2124">
        <v>4.45</v>
      </c>
      <c r="BC2124">
        <v>59</v>
      </c>
      <c r="BD2124">
        <v>0.01</v>
      </c>
      <c r="BE2124">
        <v>-0.02</v>
      </c>
      <c r="BF2124">
        <v>-0.09</v>
      </c>
      <c r="BG2124">
        <v>89</v>
      </c>
      <c r="BH2124">
        <v>0.19</v>
      </c>
      <c r="BI2124">
        <v>4.6399999999999997</v>
      </c>
      <c r="BJ2124">
        <v>32</v>
      </c>
      <c r="BK2124">
        <v>21</v>
      </c>
      <c r="BL2124">
        <v>0.99</v>
      </c>
      <c r="BM2124">
        <v>-0.27</v>
      </c>
      <c r="BN2124">
        <v>0.02</v>
      </c>
      <c r="BO2124">
        <v>0.35</v>
      </c>
      <c r="BP2124">
        <v>0.94</v>
      </c>
      <c r="BQ2124">
        <v>1.67</v>
      </c>
      <c r="BR2124">
        <v>-1.1299999999999999</v>
      </c>
      <c r="BS2124">
        <v>1.2</v>
      </c>
      <c r="BT2124">
        <v>1.57</v>
      </c>
      <c r="BU2124">
        <v>1.75</v>
      </c>
      <c r="BV2124">
        <v>1.19</v>
      </c>
      <c r="BW2124">
        <v>1.49</v>
      </c>
      <c r="BX2124">
        <v>1.86</v>
      </c>
      <c r="BY2124">
        <v>1.53</v>
      </c>
      <c r="BZ2124">
        <v>0.21</v>
      </c>
      <c r="CA2124">
        <v>1.56</v>
      </c>
      <c r="CB2124">
        <v>1.3</v>
      </c>
      <c r="CC2124">
        <v>1.37</v>
      </c>
      <c r="CD2124">
        <v>0.54</v>
      </c>
      <c r="CE2124">
        <v>0.42</v>
      </c>
      <c r="CF2124">
        <v>1.36</v>
      </c>
      <c r="CG2124">
        <v>0</v>
      </c>
      <c r="CH2124">
        <v>1.84</v>
      </c>
      <c r="CI2124">
        <v>0</v>
      </c>
      <c r="CJ2124">
        <v>2</v>
      </c>
      <c r="CK2124">
        <v>91</v>
      </c>
      <c r="CL2124">
        <v>-1.06</v>
      </c>
      <c r="CM2124">
        <v>89</v>
      </c>
      <c r="CN2124">
        <v>-0.64</v>
      </c>
      <c r="CO2124">
        <v>88</v>
      </c>
      <c r="CP2124">
        <v>8.1</v>
      </c>
      <c r="CQ2124">
        <v>87</v>
      </c>
      <c r="CR2124">
        <v>0</v>
      </c>
      <c r="CS2124">
        <v>0</v>
      </c>
      <c r="CT2124">
        <v>26.1</v>
      </c>
      <c r="CU2124">
        <v>81</v>
      </c>
      <c r="CV2124">
        <v>0.3</v>
      </c>
      <c r="CW2124">
        <v>26</v>
      </c>
      <c r="CX2124" t="s">
        <v>596</v>
      </c>
    </row>
    <row r="2125" spans="1:102" x14ac:dyDescent="0.3">
      <c r="A2125" t="str">
        <f>HYPERLINK("https://webapp.icbf.com/v2/app/bull-search/view/676407560","JUH")</f>
        <v>JUH</v>
      </c>
      <c r="B2125" t="s">
        <v>144</v>
      </c>
      <c r="C2125" t="s">
        <v>2942</v>
      </c>
      <c r="D2125" s="1">
        <v>37871</v>
      </c>
      <c r="E2125" t="s">
        <v>895</v>
      </c>
      <c r="F2125">
        <v>0</v>
      </c>
      <c r="G2125" t="s">
        <v>93</v>
      </c>
      <c r="H2125">
        <v>62.53</v>
      </c>
      <c r="I2125">
        <v>68</v>
      </c>
      <c r="J2125">
        <v>65.98</v>
      </c>
      <c r="K2125">
        <v>89</v>
      </c>
      <c r="L2125">
        <v>-0.66</v>
      </c>
      <c r="M2125">
        <v>48</v>
      </c>
      <c r="N2125">
        <v>-24.56</v>
      </c>
      <c r="O2125">
        <v>67</v>
      </c>
      <c r="P2125">
        <v>0.7</v>
      </c>
      <c r="Q2125">
        <v>82</v>
      </c>
      <c r="R2125">
        <v>19.329999999999998</v>
      </c>
      <c r="S2125">
        <v>52</v>
      </c>
      <c r="T2125">
        <v>7.31</v>
      </c>
      <c r="U2125">
        <v>74</v>
      </c>
      <c r="V2125">
        <v>-5.57</v>
      </c>
      <c r="W2125">
        <v>45</v>
      </c>
      <c r="X2125" t="s">
        <v>234</v>
      </c>
      <c r="Y2125" t="s">
        <v>235</v>
      </c>
      <c r="Z2125">
        <v>0</v>
      </c>
      <c r="AA2125" t="s">
        <v>2943</v>
      </c>
      <c r="AB2125" t="s">
        <v>2944</v>
      </c>
      <c r="AC2125">
        <v>34</v>
      </c>
      <c r="AD2125">
        <v>9</v>
      </c>
      <c r="AE2125">
        <v>89</v>
      </c>
      <c r="AF2125">
        <v>5.63</v>
      </c>
      <c r="AG2125">
        <v>8.98</v>
      </c>
      <c r="AH2125">
        <v>8.1300000000000008</v>
      </c>
      <c r="AI2125">
        <v>0.14000000000000001</v>
      </c>
      <c r="AJ2125">
        <v>0.13</v>
      </c>
      <c r="AK2125">
        <v>48</v>
      </c>
      <c r="AL2125">
        <v>38</v>
      </c>
      <c r="AM2125">
        <v>11</v>
      </c>
      <c r="AN2125">
        <v>0.99</v>
      </c>
      <c r="AO2125">
        <v>0.95</v>
      </c>
      <c r="AP2125">
        <v>69</v>
      </c>
      <c r="AQ2125">
        <v>1</v>
      </c>
      <c r="AR2125">
        <v>8.58</v>
      </c>
      <c r="AS2125">
        <v>30</v>
      </c>
      <c r="AT2125">
        <v>3.82</v>
      </c>
      <c r="AU2125">
        <v>68</v>
      </c>
      <c r="AV2125">
        <v>3.34</v>
      </c>
      <c r="AW2125">
        <v>87</v>
      </c>
      <c r="AX2125">
        <v>-0.99</v>
      </c>
      <c r="AY2125">
        <v>61</v>
      </c>
      <c r="AZ2125">
        <v>4.43</v>
      </c>
      <c r="BA2125">
        <v>36</v>
      </c>
      <c r="BB2125">
        <v>3.64</v>
      </c>
      <c r="BC2125">
        <v>37</v>
      </c>
      <c r="BD2125">
        <v>-0.05</v>
      </c>
      <c r="BE2125">
        <v>-0.09</v>
      </c>
      <c r="BF2125">
        <v>-0.19</v>
      </c>
      <c r="BG2125">
        <v>64</v>
      </c>
      <c r="BH2125">
        <v>-0.3</v>
      </c>
      <c r="BI2125">
        <v>-16.75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-0.2</v>
      </c>
      <c r="CK2125">
        <v>84</v>
      </c>
      <c r="CL2125">
        <v>-0.45</v>
      </c>
      <c r="CM2125">
        <v>81</v>
      </c>
      <c r="CN2125">
        <v>-0.48</v>
      </c>
      <c r="CO2125">
        <v>78</v>
      </c>
      <c r="CP2125">
        <v>0</v>
      </c>
      <c r="CQ2125">
        <v>75</v>
      </c>
      <c r="CR2125">
        <v>0</v>
      </c>
      <c r="CS2125">
        <v>0</v>
      </c>
      <c r="CT2125">
        <v>3.9</v>
      </c>
      <c r="CU2125">
        <v>74</v>
      </c>
      <c r="CV2125">
        <v>-0.03</v>
      </c>
      <c r="CW2125">
        <v>24</v>
      </c>
      <c r="CX2125" t="s">
        <v>2945</v>
      </c>
    </row>
    <row r="2126" spans="1:102" x14ac:dyDescent="0.3">
      <c r="A2126" t="str">
        <f>HYPERLINK("https://webapp.icbf.com/v2/app/bull-search/view/62162013","EVU")</f>
        <v>EVU</v>
      </c>
      <c r="B2126" t="s">
        <v>10440</v>
      </c>
      <c r="C2126" t="s">
        <v>10441</v>
      </c>
      <c r="D2126" s="1">
        <v>36952</v>
      </c>
      <c r="E2126" t="s">
        <v>92</v>
      </c>
      <c r="F2126">
        <v>100</v>
      </c>
      <c r="G2126" t="s">
        <v>93</v>
      </c>
      <c r="H2126">
        <v>62.48</v>
      </c>
      <c r="I2126">
        <v>84</v>
      </c>
      <c r="J2126">
        <v>-24.05</v>
      </c>
      <c r="K2126">
        <v>96</v>
      </c>
      <c r="L2126">
        <v>32.74</v>
      </c>
      <c r="M2126">
        <v>72</v>
      </c>
      <c r="N2126">
        <v>33.67</v>
      </c>
      <c r="O2126">
        <v>84</v>
      </c>
      <c r="P2126">
        <v>-11.57</v>
      </c>
      <c r="Q2126">
        <v>93</v>
      </c>
      <c r="R2126">
        <v>16.850000000000001</v>
      </c>
      <c r="S2126">
        <v>77</v>
      </c>
      <c r="T2126">
        <v>12.57</v>
      </c>
      <c r="U2126">
        <v>87</v>
      </c>
      <c r="V2126">
        <v>2.27</v>
      </c>
      <c r="W2126">
        <v>71</v>
      </c>
      <c r="X2126" t="s">
        <v>94</v>
      </c>
      <c r="Y2126" t="s">
        <v>95</v>
      </c>
      <c r="Z2126" t="s">
        <v>96</v>
      </c>
      <c r="AA2126" t="s">
        <v>755</v>
      </c>
      <c r="AB2126" t="s">
        <v>10442</v>
      </c>
      <c r="AC2126">
        <v>111</v>
      </c>
      <c r="AD2126">
        <v>65</v>
      </c>
      <c r="AE2126">
        <v>96</v>
      </c>
      <c r="AF2126">
        <v>-0.67</v>
      </c>
      <c r="AG2126">
        <v>-5.54</v>
      </c>
      <c r="AH2126">
        <v>-2.14</v>
      </c>
      <c r="AI2126">
        <v>-0.09</v>
      </c>
      <c r="AJ2126">
        <v>-0.04</v>
      </c>
      <c r="AK2126">
        <v>72</v>
      </c>
      <c r="AL2126">
        <v>106</v>
      </c>
      <c r="AM2126">
        <v>52</v>
      </c>
      <c r="AN2126">
        <v>-1.89</v>
      </c>
      <c r="AO2126">
        <v>0.72</v>
      </c>
      <c r="AP2126">
        <v>166</v>
      </c>
      <c r="AQ2126">
        <v>1</v>
      </c>
      <c r="AR2126">
        <v>4.66</v>
      </c>
      <c r="AS2126">
        <v>74</v>
      </c>
      <c r="AT2126">
        <v>2.34</v>
      </c>
      <c r="AU2126">
        <v>83</v>
      </c>
      <c r="AV2126">
        <v>-2.33</v>
      </c>
      <c r="AW2126">
        <v>94</v>
      </c>
      <c r="AX2126">
        <v>0.03</v>
      </c>
      <c r="AY2126">
        <v>82</v>
      </c>
      <c r="AZ2126">
        <v>5.74</v>
      </c>
      <c r="BA2126">
        <v>61</v>
      </c>
      <c r="BB2126">
        <v>4.71</v>
      </c>
      <c r="BC2126">
        <v>68</v>
      </c>
      <c r="BD2126">
        <v>-0.08</v>
      </c>
      <c r="BE2126">
        <v>-0.06</v>
      </c>
      <c r="BF2126">
        <v>-0.14000000000000001</v>
      </c>
      <c r="BG2126">
        <v>87</v>
      </c>
      <c r="BH2126">
        <v>0.03</v>
      </c>
      <c r="BI2126">
        <v>-3.84</v>
      </c>
      <c r="BJ2126">
        <v>27</v>
      </c>
      <c r="BK2126">
        <v>16</v>
      </c>
      <c r="BL2126">
        <v>0.64</v>
      </c>
      <c r="BM2126">
        <v>-1.27</v>
      </c>
      <c r="BN2126">
        <v>-0.24</v>
      </c>
      <c r="BO2126">
        <v>0.79</v>
      </c>
      <c r="BP2126">
        <v>1.87</v>
      </c>
      <c r="BQ2126">
        <v>-0.69</v>
      </c>
      <c r="BR2126">
        <v>-0.42</v>
      </c>
      <c r="BS2126">
        <v>1.61</v>
      </c>
      <c r="BT2126">
        <v>0.59</v>
      </c>
      <c r="BU2126">
        <v>2.35</v>
      </c>
      <c r="BV2126">
        <v>1.87</v>
      </c>
      <c r="BW2126">
        <v>2.2799999999999998</v>
      </c>
      <c r="BX2126">
        <v>2.81</v>
      </c>
      <c r="BY2126">
        <v>1.38</v>
      </c>
      <c r="BZ2126">
        <v>-1.04</v>
      </c>
      <c r="CA2126">
        <v>2.21</v>
      </c>
      <c r="CB2126">
        <v>1.91</v>
      </c>
      <c r="CC2126">
        <v>1.76</v>
      </c>
      <c r="CD2126">
        <v>-0.85</v>
      </c>
      <c r="CE2126">
        <v>0.52</v>
      </c>
      <c r="CF2126">
        <v>0.15</v>
      </c>
      <c r="CG2126">
        <v>0</v>
      </c>
      <c r="CH2126">
        <v>2.2400000000000002</v>
      </c>
      <c r="CI2126">
        <v>0</v>
      </c>
      <c r="CJ2126">
        <v>-4.3</v>
      </c>
      <c r="CK2126">
        <v>94</v>
      </c>
      <c r="CL2126">
        <v>-0.88</v>
      </c>
      <c r="CM2126">
        <v>92</v>
      </c>
      <c r="CN2126">
        <v>-0.36</v>
      </c>
      <c r="CO2126">
        <v>91</v>
      </c>
      <c r="CP2126">
        <v>-5.0999999999999996</v>
      </c>
      <c r="CQ2126">
        <v>92</v>
      </c>
      <c r="CR2126">
        <v>0</v>
      </c>
      <c r="CS2126">
        <v>0</v>
      </c>
      <c r="CT2126">
        <v>-3.2</v>
      </c>
      <c r="CU2126">
        <v>87</v>
      </c>
      <c r="CV2126">
        <v>0.19</v>
      </c>
      <c r="CW2126">
        <v>27</v>
      </c>
      <c r="CX2126" t="s">
        <v>596</v>
      </c>
    </row>
    <row r="2127" spans="1:102" x14ac:dyDescent="0.3">
      <c r="A2127" t="str">
        <f>HYPERLINK("https://webapp.icbf.com/v2/app/bull-search/view/442821913","KKU")</f>
        <v>KKU</v>
      </c>
      <c r="B2127" t="s">
        <v>12048</v>
      </c>
      <c r="C2127" t="s">
        <v>12049</v>
      </c>
      <c r="D2127" s="1">
        <v>38758</v>
      </c>
      <c r="E2127" t="s">
        <v>92</v>
      </c>
      <c r="F2127">
        <v>94</v>
      </c>
      <c r="G2127" t="s">
        <v>93</v>
      </c>
      <c r="H2127">
        <v>62.46</v>
      </c>
      <c r="I2127">
        <v>85</v>
      </c>
      <c r="J2127">
        <v>85.51</v>
      </c>
      <c r="K2127">
        <v>96</v>
      </c>
      <c r="L2127">
        <v>-39.67</v>
      </c>
      <c r="M2127">
        <v>76</v>
      </c>
      <c r="N2127">
        <v>-0.25</v>
      </c>
      <c r="O2127">
        <v>84</v>
      </c>
      <c r="P2127">
        <v>-14.25</v>
      </c>
      <c r="Q2127">
        <v>91</v>
      </c>
      <c r="R2127">
        <v>11.96</v>
      </c>
      <c r="S2127">
        <v>79</v>
      </c>
      <c r="T2127">
        <v>21.08</v>
      </c>
      <c r="U2127">
        <v>84</v>
      </c>
      <c r="V2127">
        <v>-1.92</v>
      </c>
      <c r="W2127">
        <v>76</v>
      </c>
      <c r="X2127" t="s">
        <v>94</v>
      </c>
      <c r="Y2127" t="s">
        <v>1251</v>
      </c>
      <c r="Z2127" t="s">
        <v>96</v>
      </c>
      <c r="AA2127" t="s">
        <v>1266</v>
      </c>
      <c r="AB2127" t="s">
        <v>12050</v>
      </c>
      <c r="AC2127">
        <v>65</v>
      </c>
      <c r="AD2127">
        <v>46</v>
      </c>
      <c r="AE2127">
        <v>96</v>
      </c>
      <c r="AF2127">
        <v>-45.41</v>
      </c>
      <c r="AG2127">
        <v>16.670000000000002</v>
      </c>
      <c r="AH2127">
        <v>7.95</v>
      </c>
      <c r="AI2127">
        <v>0.32</v>
      </c>
      <c r="AJ2127">
        <v>0.17</v>
      </c>
      <c r="AK2127">
        <v>76</v>
      </c>
      <c r="AL2127">
        <v>68</v>
      </c>
      <c r="AM2127">
        <v>49</v>
      </c>
      <c r="AN2127">
        <v>2.4500000000000002</v>
      </c>
      <c r="AO2127">
        <v>-0.71</v>
      </c>
      <c r="AP2127">
        <v>173</v>
      </c>
      <c r="AQ2127">
        <v>1</v>
      </c>
      <c r="AR2127">
        <v>7.17</v>
      </c>
      <c r="AS2127">
        <v>65</v>
      </c>
      <c r="AT2127">
        <v>3.66</v>
      </c>
      <c r="AU2127">
        <v>86</v>
      </c>
      <c r="AV2127">
        <v>0.23</v>
      </c>
      <c r="AW2127">
        <v>96</v>
      </c>
      <c r="AX2127">
        <v>-0.47</v>
      </c>
      <c r="AY2127">
        <v>78</v>
      </c>
      <c r="AZ2127">
        <v>5.35</v>
      </c>
      <c r="BA2127">
        <v>61</v>
      </c>
      <c r="BB2127">
        <v>4.47</v>
      </c>
      <c r="BC2127">
        <v>62</v>
      </c>
      <c r="BD2127">
        <v>0</v>
      </c>
      <c r="BE2127">
        <v>-0.05</v>
      </c>
      <c r="BF2127">
        <v>-0.18</v>
      </c>
      <c r="BG2127">
        <v>86</v>
      </c>
      <c r="BH2127">
        <v>-7.0000000000000007E-2</v>
      </c>
      <c r="BI2127">
        <v>-1.9</v>
      </c>
      <c r="BJ2127">
        <v>30</v>
      </c>
      <c r="BK2127">
        <v>18</v>
      </c>
      <c r="BL2127">
        <v>0.27</v>
      </c>
      <c r="BM2127">
        <v>0.23</v>
      </c>
      <c r="BN2127">
        <v>-0.16</v>
      </c>
      <c r="BO2127">
        <v>0</v>
      </c>
      <c r="BP2127">
        <v>1.54</v>
      </c>
      <c r="BQ2127">
        <v>0.23</v>
      </c>
      <c r="BR2127">
        <v>0.68</v>
      </c>
      <c r="BS2127">
        <v>0.79</v>
      </c>
      <c r="BT2127">
        <v>-1.78</v>
      </c>
      <c r="BU2127">
        <v>0.82</v>
      </c>
      <c r="BV2127">
        <v>0.37</v>
      </c>
      <c r="BW2127">
        <v>-0.45</v>
      </c>
      <c r="BX2127">
        <v>0.69</v>
      </c>
      <c r="BY2127">
        <v>0.04</v>
      </c>
      <c r="BZ2127">
        <v>-1.32</v>
      </c>
      <c r="CA2127">
        <v>0.19</v>
      </c>
      <c r="CB2127">
        <v>0.21</v>
      </c>
      <c r="CC2127">
        <v>7.0000000000000007E-2</v>
      </c>
      <c r="CD2127">
        <v>-0.23</v>
      </c>
      <c r="CE2127">
        <v>-0.14000000000000001</v>
      </c>
      <c r="CF2127">
        <v>0.1</v>
      </c>
      <c r="CG2127">
        <v>0</v>
      </c>
      <c r="CH2127">
        <v>0.31</v>
      </c>
      <c r="CI2127">
        <v>0</v>
      </c>
      <c r="CJ2127">
        <v>-7.1</v>
      </c>
      <c r="CK2127">
        <v>92</v>
      </c>
      <c r="CL2127">
        <v>-0.92</v>
      </c>
      <c r="CM2127">
        <v>90</v>
      </c>
      <c r="CN2127">
        <v>-0.55000000000000004</v>
      </c>
      <c r="CO2127">
        <v>89</v>
      </c>
      <c r="CP2127">
        <v>-9.3000000000000007</v>
      </c>
      <c r="CQ2127">
        <v>87</v>
      </c>
      <c r="CR2127">
        <v>0</v>
      </c>
      <c r="CS2127">
        <v>0</v>
      </c>
      <c r="CT2127">
        <v>-14.7</v>
      </c>
      <c r="CU2127">
        <v>84</v>
      </c>
      <c r="CV2127">
        <v>0.1</v>
      </c>
      <c r="CW2127">
        <v>44</v>
      </c>
      <c r="CX2127" t="s">
        <v>1420</v>
      </c>
    </row>
    <row r="2128" spans="1:102" x14ac:dyDescent="0.3">
      <c r="A2128" t="str">
        <f>HYPERLINK("https://webapp.icbf.com/v2/app/bull-search/view/1196691138","S2284")</f>
        <v>S2284</v>
      </c>
      <c r="B2128" t="s">
        <v>9274</v>
      </c>
      <c r="C2128" t="s">
        <v>9275</v>
      </c>
      <c r="D2128" s="1">
        <v>39853</v>
      </c>
      <c r="E2128" t="s">
        <v>140</v>
      </c>
      <c r="F2128">
        <v>0</v>
      </c>
      <c r="G2128" t="s">
        <v>109</v>
      </c>
      <c r="H2128">
        <v>62.43</v>
      </c>
      <c r="I2128">
        <v>62</v>
      </c>
      <c r="J2128">
        <v>9.02</v>
      </c>
      <c r="K2128">
        <v>75</v>
      </c>
      <c r="L2128">
        <v>50.09</v>
      </c>
      <c r="M2128">
        <v>48</v>
      </c>
      <c r="N2128">
        <v>-13.48</v>
      </c>
      <c r="O2128">
        <v>73</v>
      </c>
      <c r="P2128">
        <v>17.899999999999999</v>
      </c>
      <c r="Q2128">
        <v>86</v>
      </c>
      <c r="R2128">
        <v>10.45</v>
      </c>
      <c r="S2128">
        <v>51</v>
      </c>
      <c r="T2128">
        <v>-0.38</v>
      </c>
      <c r="U2128">
        <v>56</v>
      </c>
      <c r="V2128">
        <v>-11.17</v>
      </c>
      <c r="W2128">
        <v>25</v>
      </c>
      <c r="X2128" t="s">
        <v>102</v>
      </c>
      <c r="Y2128" t="s">
        <v>367</v>
      </c>
      <c r="Z2128">
        <v>0</v>
      </c>
      <c r="AA2128" t="s">
        <v>297</v>
      </c>
      <c r="AB2128" t="s">
        <v>9276</v>
      </c>
      <c r="AC2128">
        <v>0</v>
      </c>
      <c r="AD2128">
        <v>0</v>
      </c>
      <c r="AE2128">
        <v>75</v>
      </c>
      <c r="AF2128">
        <v>143.30000000000001</v>
      </c>
      <c r="AG2128">
        <v>2.4500000000000002</v>
      </c>
      <c r="AH2128">
        <v>2.86</v>
      </c>
      <c r="AI2128">
        <v>-0.05</v>
      </c>
      <c r="AJ2128">
        <v>-0.03</v>
      </c>
      <c r="AK2128">
        <v>48</v>
      </c>
      <c r="AL2128">
        <v>44</v>
      </c>
      <c r="AM2128">
        <v>19</v>
      </c>
      <c r="AN2128">
        <v>-2.31</v>
      </c>
      <c r="AO2128">
        <v>1.69</v>
      </c>
      <c r="AP2128">
        <v>127</v>
      </c>
      <c r="AQ2128">
        <v>1</v>
      </c>
      <c r="AR2128">
        <v>6.83</v>
      </c>
      <c r="AS2128">
        <v>58</v>
      </c>
      <c r="AT2128">
        <v>3.78</v>
      </c>
      <c r="AU2128">
        <v>74</v>
      </c>
      <c r="AV2128">
        <v>1.53</v>
      </c>
      <c r="AW2128">
        <v>92</v>
      </c>
      <c r="AX2128">
        <v>-0.41</v>
      </c>
      <c r="AY2128">
        <v>68</v>
      </c>
      <c r="AZ2128">
        <v>6.26</v>
      </c>
      <c r="BA2128">
        <v>45</v>
      </c>
      <c r="BB2128">
        <v>4.76</v>
      </c>
      <c r="BC2128">
        <v>31</v>
      </c>
      <c r="BD2128">
        <v>0.01</v>
      </c>
      <c r="BE2128">
        <v>-0.03</v>
      </c>
      <c r="BF2128">
        <v>-0.2</v>
      </c>
      <c r="BG2128">
        <v>65</v>
      </c>
      <c r="BH2128">
        <v>-0.31</v>
      </c>
      <c r="BI2128">
        <v>0.16</v>
      </c>
      <c r="BJ2128">
        <v>0</v>
      </c>
      <c r="BK2128">
        <v>0</v>
      </c>
      <c r="BL2128">
        <v>-0.68</v>
      </c>
      <c r="BM2128">
        <v>3.57</v>
      </c>
      <c r="BN2128">
        <v>-1.54</v>
      </c>
      <c r="BO2128">
        <v>-2.92</v>
      </c>
      <c r="BP2128">
        <v>4.21</v>
      </c>
      <c r="BQ2128">
        <v>-1.76</v>
      </c>
      <c r="BR2128">
        <v>-2.58</v>
      </c>
      <c r="BS2128">
        <v>-0.42</v>
      </c>
      <c r="BT2128">
        <v>2.4500000000000002</v>
      </c>
      <c r="BU2128">
        <v>-3.22</v>
      </c>
      <c r="BV2128">
        <v>-3.66</v>
      </c>
      <c r="BW2128">
        <v>-2.78</v>
      </c>
      <c r="BX2128">
        <v>-2.5</v>
      </c>
      <c r="BY2128">
        <v>-1.89</v>
      </c>
      <c r="BZ2128">
        <v>1.1100000000000001</v>
      </c>
      <c r="CA2128">
        <v>-2.31</v>
      </c>
      <c r="CB2128">
        <v>-2.98</v>
      </c>
      <c r="CC2128">
        <v>-0.36</v>
      </c>
      <c r="CD2128">
        <v>3.84</v>
      </c>
      <c r="CE2128">
        <v>-2.82</v>
      </c>
      <c r="CF2128">
        <v>-0.89</v>
      </c>
      <c r="CG2128">
        <v>0</v>
      </c>
      <c r="CH2128">
        <v>-2.38</v>
      </c>
      <c r="CI2128">
        <v>0</v>
      </c>
      <c r="CJ2128">
        <v>9.6</v>
      </c>
      <c r="CK2128">
        <v>90</v>
      </c>
      <c r="CL2128">
        <v>-0.18</v>
      </c>
      <c r="CM2128">
        <v>88</v>
      </c>
      <c r="CN2128">
        <v>-0.42</v>
      </c>
      <c r="CO2128">
        <v>86</v>
      </c>
      <c r="CP2128">
        <v>10.6</v>
      </c>
      <c r="CQ2128">
        <v>57</v>
      </c>
      <c r="CR2128">
        <v>0</v>
      </c>
      <c r="CS2128">
        <v>0</v>
      </c>
      <c r="CT2128">
        <v>14.3</v>
      </c>
      <c r="CU2128">
        <v>56</v>
      </c>
      <c r="CV2128">
        <v>0.18</v>
      </c>
      <c r="CW2128">
        <v>25</v>
      </c>
      <c r="CX2128" t="s">
        <v>2101</v>
      </c>
    </row>
    <row r="2129" spans="1:102" x14ac:dyDescent="0.3">
      <c r="A2129" t="str">
        <f>HYPERLINK("https://webapp.icbf.com/v2/app/bull-search/view/588960005","S714")</f>
        <v>S714</v>
      </c>
      <c r="B2129" t="s">
        <v>7004</v>
      </c>
      <c r="C2129" t="s">
        <v>1718</v>
      </c>
      <c r="D2129" s="1">
        <v>35947</v>
      </c>
      <c r="E2129" t="s">
        <v>227</v>
      </c>
      <c r="F2129">
        <v>0</v>
      </c>
      <c r="G2129" t="s">
        <v>109</v>
      </c>
      <c r="H2129">
        <v>62.34</v>
      </c>
      <c r="I2129">
        <v>69</v>
      </c>
      <c r="J2129">
        <v>3.69</v>
      </c>
      <c r="K2129">
        <v>87</v>
      </c>
      <c r="L2129">
        <v>21.19</v>
      </c>
      <c r="M2129">
        <v>82</v>
      </c>
      <c r="N2129">
        <v>35.479999999999997</v>
      </c>
      <c r="O2129">
        <v>38</v>
      </c>
      <c r="P2129">
        <v>-73.900000000000006</v>
      </c>
      <c r="Q2129">
        <v>48</v>
      </c>
      <c r="R2129">
        <v>0.68</v>
      </c>
      <c r="S2129">
        <v>31</v>
      </c>
      <c r="T2129">
        <v>81.61</v>
      </c>
      <c r="U2129">
        <v>45</v>
      </c>
      <c r="V2129">
        <v>-6.41</v>
      </c>
      <c r="W2129">
        <v>25</v>
      </c>
      <c r="X2129" t="s">
        <v>94</v>
      </c>
      <c r="Y2129" t="s">
        <v>1494</v>
      </c>
      <c r="Z2129">
        <v>0</v>
      </c>
      <c r="AA2129" t="s">
        <v>7005</v>
      </c>
      <c r="AB2129" t="s">
        <v>7006</v>
      </c>
      <c r="AC2129">
        <v>0</v>
      </c>
      <c r="AD2129">
        <v>0</v>
      </c>
      <c r="AE2129">
        <v>87</v>
      </c>
      <c r="AF2129">
        <v>-342.27</v>
      </c>
      <c r="AG2129">
        <v>5.79</v>
      </c>
      <c r="AH2129">
        <v>-6.66</v>
      </c>
      <c r="AI2129">
        <v>0.34</v>
      </c>
      <c r="AJ2129">
        <v>0.09</v>
      </c>
      <c r="AK2129">
        <v>82</v>
      </c>
      <c r="AL2129">
        <v>0</v>
      </c>
      <c r="AM2129">
        <v>0</v>
      </c>
      <c r="AN2129">
        <v>0.41</v>
      </c>
      <c r="AO2129">
        <v>2.12</v>
      </c>
      <c r="AP2129">
        <v>1</v>
      </c>
      <c r="AQ2129">
        <v>0</v>
      </c>
      <c r="AR2129">
        <v>2.72</v>
      </c>
      <c r="AS2129">
        <v>27</v>
      </c>
      <c r="AT2129">
        <v>1.77</v>
      </c>
      <c r="AU2129">
        <v>30</v>
      </c>
      <c r="AV2129">
        <v>-3.13</v>
      </c>
      <c r="AW2129">
        <v>53</v>
      </c>
      <c r="AX2129">
        <v>0.39</v>
      </c>
      <c r="AY2129">
        <v>40</v>
      </c>
      <c r="AZ2129">
        <v>8.11</v>
      </c>
      <c r="BA2129">
        <v>18</v>
      </c>
      <c r="BB2129">
        <v>5.97</v>
      </c>
      <c r="BC2129">
        <v>17</v>
      </c>
      <c r="BD2129">
        <v>-0.04</v>
      </c>
      <c r="BE2129">
        <v>-0.01</v>
      </c>
      <c r="BF2129">
        <v>7.0000000000000007E-2</v>
      </c>
      <c r="BG2129">
        <v>41</v>
      </c>
      <c r="BH2129">
        <v>-0.14000000000000001</v>
      </c>
      <c r="BI2129">
        <v>4.47</v>
      </c>
      <c r="BJ2129">
        <v>1</v>
      </c>
      <c r="BK2129">
        <v>1</v>
      </c>
      <c r="BL2129">
        <v>0.34</v>
      </c>
      <c r="BM2129">
        <v>-1.18</v>
      </c>
      <c r="BN2129">
        <v>1.18</v>
      </c>
      <c r="BO2129">
        <v>2.44</v>
      </c>
      <c r="BP2129">
        <v>-0.63</v>
      </c>
      <c r="BQ2129">
        <v>-2.7</v>
      </c>
      <c r="BR2129">
        <v>1.56</v>
      </c>
      <c r="BS2129">
        <v>7.86</v>
      </c>
      <c r="BT2129">
        <v>-0.18</v>
      </c>
      <c r="BU2129">
        <v>2.0699999999999998</v>
      </c>
      <c r="BV2129">
        <v>2.0299999999999998</v>
      </c>
      <c r="BW2129">
        <v>-0.97</v>
      </c>
      <c r="BX2129">
        <v>-1.1200000000000001</v>
      </c>
      <c r="BY2129">
        <v>0.48</v>
      </c>
      <c r="BZ2129">
        <v>0.85</v>
      </c>
      <c r="CA2129">
        <v>3.33</v>
      </c>
      <c r="CB2129">
        <v>1.98</v>
      </c>
      <c r="CC2129">
        <v>4.71</v>
      </c>
      <c r="CD2129">
        <v>-2.4500000000000002</v>
      </c>
      <c r="CE2129">
        <v>2.46</v>
      </c>
      <c r="CF2129">
        <v>1.35</v>
      </c>
      <c r="CG2129">
        <v>0</v>
      </c>
      <c r="CH2129">
        <v>-0.22</v>
      </c>
      <c r="CI2129">
        <v>0</v>
      </c>
      <c r="CJ2129">
        <v>-40.1</v>
      </c>
      <c r="CK2129">
        <v>50</v>
      </c>
      <c r="CL2129">
        <v>-1.63</v>
      </c>
      <c r="CM2129">
        <v>46</v>
      </c>
      <c r="CN2129">
        <v>-0.62</v>
      </c>
      <c r="CO2129">
        <v>43</v>
      </c>
      <c r="CP2129">
        <v>-60</v>
      </c>
      <c r="CQ2129">
        <v>46</v>
      </c>
      <c r="CR2129">
        <v>0</v>
      </c>
      <c r="CS2129">
        <v>0</v>
      </c>
      <c r="CT2129">
        <v>-96.5</v>
      </c>
      <c r="CU2129">
        <v>45</v>
      </c>
      <c r="CV2129">
        <v>-0.42</v>
      </c>
      <c r="CW2129">
        <v>13</v>
      </c>
      <c r="CX2129" t="s">
        <v>2623</v>
      </c>
    </row>
    <row r="2130" spans="1:102" x14ac:dyDescent="0.3">
      <c r="A2130" t="str">
        <f>HYPERLINK("https://webapp.icbf.com/v2/app/bull-search/view/564794140","SZN")</f>
        <v>SZN</v>
      </c>
      <c r="B2130" t="s">
        <v>11747</v>
      </c>
      <c r="C2130" t="s">
        <v>11748</v>
      </c>
      <c r="D2130" s="1">
        <v>37187</v>
      </c>
      <c r="E2130" t="s">
        <v>227</v>
      </c>
      <c r="F2130">
        <v>0</v>
      </c>
      <c r="G2130" t="s">
        <v>109</v>
      </c>
      <c r="H2130">
        <v>62.34</v>
      </c>
      <c r="I2130">
        <v>86</v>
      </c>
      <c r="J2130">
        <v>0.56999999999999995</v>
      </c>
      <c r="K2130">
        <v>94</v>
      </c>
      <c r="L2130">
        <v>12.95</v>
      </c>
      <c r="M2130">
        <v>87</v>
      </c>
      <c r="N2130">
        <v>16.989999999999998</v>
      </c>
      <c r="O2130">
        <v>76</v>
      </c>
      <c r="P2130">
        <v>-58.5</v>
      </c>
      <c r="Q2130">
        <v>86</v>
      </c>
      <c r="R2130">
        <v>6.38</v>
      </c>
      <c r="S2130">
        <v>73</v>
      </c>
      <c r="T2130">
        <v>84.42</v>
      </c>
      <c r="U2130">
        <v>76</v>
      </c>
      <c r="V2130">
        <v>-0.47</v>
      </c>
      <c r="W2130">
        <v>73</v>
      </c>
      <c r="X2130" t="s">
        <v>102</v>
      </c>
      <c r="Y2130" t="s">
        <v>95</v>
      </c>
      <c r="Z2130">
        <v>0</v>
      </c>
      <c r="AA2130" t="s">
        <v>2169</v>
      </c>
      <c r="AB2130" t="s">
        <v>11749</v>
      </c>
      <c r="AC2130">
        <v>35</v>
      </c>
      <c r="AD2130">
        <v>17</v>
      </c>
      <c r="AE2130">
        <v>94</v>
      </c>
      <c r="AF2130">
        <v>-120.71</v>
      </c>
      <c r="AG2130">
        <v>5.23</v>
      </c>
      <c r="AH2130">
        <v>-3.6</v>
      </c>
      <c r="AI2130">
        <v>0.18</v>
      </c>
      <c r="AJ2130">
        <v>0.01</v>
      </c>
      <c r="AK2130">
        <v>87</v>
      </c>
      <c r="AL2130">
        <v>52</v>
      </c>
      <c r="AM2130">
        <v>27</v>
      </c>
      <c r="AN2130">
        <v>0.64</v>
      </c>
      <c r="AO2130">
        <v>1.69</v>
      </c>
      <c r="AP2130">
        <v>53</v>
      </c>
      <c r="AQ2130">
        <v>2</v>
      </c>
      <c r="AR2130">
        <v>2.5099999999999998</v>
      </c>
      <c r="AS2130">
        <v>68</v>
      </c>
      <c r="AT2130">
        <v>1.6</v>
      </c>
      <c r="AU2130">
        <v>71</v>
      </c>
      <c r="AV2130">
        <v>0</v>
      </c>
      <c r="AW2130">
        <v>91</v>
      </c>
      <c r="AX2130">
        <v>0.46</v>
      </c>
      <c r="AY2130">
        <v>71</v>
      </c>
      <c r="AZ2130">
        <v>7.21</v>
      </c>
      <c r="BA2130">
        <v>52</v>
      </c>
      <c r="BB2130">
        <v>5.27</v>
      </c>
      <c r="BC2130">
        <v>57</v>
      </c>
      <c r="BD2130">
        <v>-0.1</v>
      </c>
      <c r="BE2130">
        <v>0</v>
      </c>
      <c r="BF2130">
        <v>0.02</v>
      </c>
      <c r="BG2130">
        <v>81</v>
      </c>
      <c r="BH2130">
        <v>-0.05</v>
      </c>
      <c r="BI2130">
        <v>-4.2699999999999996</v>
      </c>
      <c r="BJ2130">
        <v>2</v>
      </c>
      <c r="BK2130">
        <v>2</v>
      </c>
      <c r="BL2130">
        <v>0.02</v>
      </c>
      <c r="BM2130">
        <v>-1.51</v>
      </c>
      <c r="BN2130">
        <v>0.63</v>
      </c>
      <c r="BO2130">
        <v>2.15</v>
      </c>
      <c r="BP2130">
        <v>-0.52</v>
      </c>
      <c r="BQ2130">
        <v>-3.24</v>
      </c>
      <c r="BR2130">
        <v>1.65</v>
      </c>
      <c r="BS2130">
        <v>6.82</v>
      </c>
      <c r="BT2130">
        <v>-0.66</v>
      </c>
      <c r="BU2130">
        <v>2.27</v>
      </c>
      <c r="BV2130">
        <v>2.11</v>
      </c>
      <c r="BW2130">
        <v>-0.49</v>
      </c>
      <c r="BX2130">
        <v>-0.96</v>
      </c>
      <c r="BY2130">
        <v>0.71</v>
      </c>
      <c r="BZ2130">
        <v>1.71</v>
      </c>
      <c r="CA2130">
        <v>3.14</v>
      </c>
      <c r="CB2130">
        <v>1.72</v>
      </c>
      <c r="CC2130">
        <v>4.66</v>
      </c>
      <c r="CD2130">
        <v>-2.41</v>
      </c>
      <c r="CE2130">
        <v>1.73</v>
      </c>
      <c r="CF2130">
        <v>1.05</v>
      </c>
      <c r="CG2130">
        <v>0</v>
      </c>
      <c r="CH2130">
        <v>0.46</v>
      </c>
      <c r="CI2130">
        <v>0</v>
      </c>
      <c r="CJ2130">
        <v>-30.8</v>
      </c>
      <c r="CK2130">
        <v>88</v>
      </c>
      <c r="CL2130">
        <v>-1.1399999999999999</v>
      </c>
      <c r="CM2130">
        <v>85</v>
      </c>
      <c r="CN2130">
        <v>-0.38</v>
      </c>
      <c r="CO2130">
        <v>83</v>
      </c>
      <c r="CP2130">
        <v>-57.9</v>
      </c>
      <c r="CQ2130">
        <v>81</v>
      </c>
      <c r="CR2130">
        <v>0</v>
      </c>
      <c r="CS2130">
        <v>0</v>
      </c>
      <c r="CT2130">
        <v>-100.3</v>
      </c>
      <c r="CU2130">
        <v>76</v>
      </c>
      <c r="CV2130">
        <v>-0.26</v>
      </c>
      <c r="CW2130">
        <v>43</v>
      </c>
      <c r="CX2130" t="s">
        <v>2941</v>
      </c>
    </row>
    <row r="2131" spans="1:102" x14ac:dyDescent="0.3">
      <c r="A2131" t="str">
        <f>HYPERLINK("https://webapp.icbf.com/v2/app/bull-search/view/146046879","BMW")</f>
        <v>BMW</v>
      </c>
      <c r="B2131" t="s">
        <v>11545</v>
      </c>
      <c r="C2131" t="s">
        <v>11546</v>
      </c>
      <c r="D2131" s="1">
        <v>37662</v>
      </c>
      <c r="E2131" t="s">
        <v>108</v>
      </c>
      <c r="F2131">
        <v>0</v>
      </c>
      <c r="G2131" t="s">
        <v>93</v>
      </c>
      <c r="H2131">
        <v>62.2</v>
      </c>
      <c r="I2131">
        <v>71</v>
      </c>
      <c r="J2131">
        <v>10.8</v>
      </c>
      <c r="K2131">
        <v>86</v>
      </c>
      <c r="L2131">
        <v>36.840000000000003</v>
      </c>
      <c r="M2131">
        <v>58</v>
      </c>
      <c r="N2131">
        <v>18.62</v>
      </c>
      <c r="O2131">
        <v>63</v>
      </c>
      <c r="P2131">
        <v>-15.13</v>
      </c>
      <c r="Q2131">
        <v>80</v>
      </c>
      <c r="R2131">
        <v>-0.43</v>
      </c>
      <c r="S2131">
        <v>59</v>
      </c>
      <c r="T2131">
        <v>12.49</v>
      </c>
      <c r="U2131">
        <v>79</v>
      </c>
      <c r="V2131">
        <v>-0.99</v>
      </c>
      <c r="W2131">
        <v>40</v>
      </c>
      <c r="X2131" t="s">
        <v>11547</v>
      </c>
      <c r="Y2131" t="s">
        <v>2565</v>
      </c>
      <c r="Z2131" t="s">
        <v>96</v>
      </c>
      <c r="AA2131" t="s">
        <v>975</v>
      </c>
      <c r="AB2131" t="s">
        <v>5525</v>
      </c>
      <c r="AC2131">
        <v>35</v>
      </c>
      <c r="AD2131">
        <v>12</v>
      </c>
      <c r="AE2131">
        <v>86</v>
      </c>
      <c r="AF2131">
        <v>-137.77000000000001</v>
      </c>
      <c r="AG2131">
        <v>0.73</v>
      </c>
      <c r="AH2131">
        <v>-0.53</v>
      </c>
      <c r="AI2131">
        <v>0.1</v>
      </c>
      <c r="AJ2131">
        <v>7.0000000000000007E-2</v>
      </c>
      <c r="AK2131">
        <v>58</v>
      </c>
      <c r="AL2131">
        <v>52</v>
      </c>
      <c r="AM2131">
        <v>14</v>
      </c>
      <c r="AN2131">
        <v>-2.61</v>
      </c>
      <c r="AO2131">
        <v>0.32</v>
      </c>
      <c r="AP2131">
        <v>47</v>
      </c>
      <c r="AQ2131">
        <v>0</v>
      </c>
      <c r="AR2131">
        <v>6.2</v>
      </c>
      <c r="AS2131">
        <v>45</v>
      </c>
      <c r="AT2131">
        <v>2.74</v>
      </c>
      <c r="AU2131">
        <v>61</v>
      </c>
      <c r="AV2131">
        <v>-1.48</v>
      </c>
      <c r="AW2131">
        <v>76</v>
      </c>
      <c r="AX2131">
        <v>-0.17</v>
      </c>
      <c r="AY2131">
        <v>67</v>
      </c>
      <c r="AZ2131">
        <v>6.08</v>
      </c>
      <c r="BA2131">
        <v>37</v>
      </c>
      <c r="BB2131">
        <v>5.14</v>
      </c>
      <c r="BC2131">
        <v>40</v>
      </c>
      <c r="BD2131">
        <v>0.03</v>
      </c>
      <c r="BE2131">
        <v>0</v>
      </c>
      <c r="BF2131">
        <v>-0.04</v>
      </c>
      <c r="BG2131">
        <v>67</v>
      </c>
      <c r="BH2131">
        <v>0.02</v>
      </c>
      <c r="BI2131">
        <v>5.52</v>
      </c>
      <c r="BJ2131">
        <v>0</v>
      </c>
      <c r="BK2131">
        <v>0</v>
      </c>
      <c r="BL2131">
        <v>-2.4500000000000002</v>
      </c>
      <c r="BM2131">
        <v>2.19</v>
      </c>
      <c r="BN2131">
        <v>-0.77</v>
      </c>
      <c r="BO2131">
        <v>-2.1</v>
      </c>
      <c r="BP2131">
        <v>0.72</v>
      </c>
      <c r="BQ2131">
        <v>2.31</v>
      </c>
      <c r="BR2131">
        <v>-1.38</v>
      </c>
      <c r="BS2131">
        <v>1.18</v>
      </c>
      <c r="BT2131">
        <v>1.04</v>
      </c>
      <c r="BU2131">
        <v>-1.1299999999999999</v>
      </c>
      <c r="BV2131">
        <v>-1.94</v>
      </c>
      <c r="BW2131">
        <v>-2.17</v>
      </c>
      <c r="BX2131">
        <v>-1.22</v>
      </c>
      <c r="BY2131">
        <v>-1.94</v>
      </c>
      <c r="BZ2131">
        <v>0.03</v>
      </c>
      <c r="CA2131">
        <v>-1.0900000000000001</v>
      </c>
      <c r="CB2131">
        <v>-1.67</v>
      </c>
      <c r="CC2131">
        <v>0.6</v>
      </c>
      <c r="CD2131">
        <v>2.83</v>
      </c>
      <c r="CE2131">
        <v>-2.19</v>
      </c>
      <c r="CF2131">
        <v>-0.94</v>
      </c>
      <c r="CG2131">
        <v>0</v>
      </c>
      <c r="CH2131">
        <v>-1.47</v>
      </c>
      <c r="CI2131">
        <v>0</v>
      </c>
      <c r="CJ2131">
        <v>-8.1999999999999993</v>
      </c>
      <c r="CK2131">
        <v>81</v>
      </c>
      <c r="CL2131">
        <v>-0.27</v>
      </c>
      <c r="CM2131">
        <v>78</v>
      </c>
      <c r="CN2131">
        <v>-0.08</v>
      </c>
      <c r="CO2131">
        <v>74</v>
      </c>
      <c r="CP2131">
        <v>-13.1</v>
      </c>
      <c r="CQ2131">
        <v>83</v>
      </c>
      <c r="CR2131">
        <v>0</v>
      </c>
      <c r="CS2131">
        <v>0</v>
      </c>
      <c r="CT2131">
        <v>-3.1</v>
      </c>
      <c r="CU2131">
        <v>79</v>
      </c>
      <c r="CV2131">
        <v>-0.13</v>
      </c>
      <c r="CW2131">
        <v>23</v>
      </c>
      <c r="CX2131" t="s">
        <v>863</v>
      </c>
    </row>
    <row r="2132" spans="1:102" x14ac:dyDescent="0.3">
      <c r="A2132" t="str">
        <f>HYPERLINK("https://webapp.icbf.com/v2/app/bull-search/view/851128115","S1018")</f>
        <v>S1018</v>
      </c>
      <c r="B2132" t="s">
        <v>7958</v>
      </c>
      <c r="C2132" t="s">
        <v>7959</v>
      </c>
      <c r="D2132" s="1">
        <v>39950</v>
      </c>
      <c r="E2132" t="s">
        <v>140</v>
      </c>
      <c r="F2132">
        <v>0</v>
      </c>
      <c r="G2132" t="s">
        <v>109</v>
      </c>
      <c r="H2132">
        <v>62.17</v>
      </c>
      <c r="I2132">
        <v>54</v>
      </c>
      <c r="J2132">
        <v>18.670000000000002</v>
      </c>
      <c r="K2132">
        <v>74</v>
      </c>
      <c r="L2132">
        <v>39.869999999999997</v>
      </c>
      <c r="M2132">
        <v>39</v>
      </c>
      <c r="N2132">
        <v>-7.93</v>
      </c>
      <c r="O2132">
        <v>53</v>
      </c>
      <c r="P2132">
        <v>21.45</v>
      </c>
      <c r="Q2132">
        <v>63</v>
      </c>
      <c r="R2132">
        <v>6.25</v>
      </c>
      <c r="S2132">
        <v>40</v>
      </c>
      <c r="T2132">
        <v>-5.41</v>
      </c>
      <c r="U2132">
        <v>48</v>
      </c>
      <c r="V2132">
        <v>-10.73</v>
      </c>
      <c r="W2132">
        <v>26</v>
      </c>
      <c r="X2132" t="s">
        <v>102</v>
      </c>
      <c r="Y2132" t="s">
        <v>303</v>
      </c>
      <c r="Z2132">
        <v>0</v>
      </c>
      <c r="AA2132" t="s">
        <v>297</v>
      </c>
      <c r="AB2132" t="s">
        <v>7960</v>
      </c>
      <c r="AC2132">
        <v>0</v>
      </c>
      <c r="AD2132">
        <v>0</v>
      </c>
      <c r="AE2132">
        <v>74</v>
      </c>
      <c r="AF2132">
        <v>137.74</v>
      </c>
      <c r="AG2132">
        <v>0.66</v>
      </c>
      <c r="AH2132">
        <v>5.05</v>
      </c>
      <c r="AI2132">
        <v>-0.08</v>
      </c>
      <c r="AJ2132">
        <v>0.01</v>
      </c>
      <c r="AK2132">
        <v>39</v>
      </c>
      <c r="AL2132">
        <v>11</v>
      </c>
      <c r="AM2132">
        <v>8</v>
      </c>
      <c r="AN2132">
        <v>-1.34</v>
      </c>
      <c r="AO2132">
        <v>1.85</v>
      </c>
      <c r="AP2132">
        <v>13</v>
      </c>
      <c r="AQ2132">
        <v>0</v>
      </c>
      <c r="AR2132">
        <v>5.92</v>
      </c>
      <c r="AS2132">
        <v>31</v>
      </c>
      <c r="AT2132">
        <v>3.42</v>
      </c>
      <c r="AU2132">
        <v>49</v>
      </c>
      <c r="AV2132">
        <v>1.76</v>
      </c>
      <c r="AW2132">
        <v>71</v>
      </c>
      <c r="AX2132">
        <v>0.38</v>
      </c>
      <c r="AY2132">
        <v>46</v>
      </c>
      <c r="AZ2132">
        <v>5.22</v>
      </c>
      <c r="BA2132">
        <v>30</v>
      </c>
      <c r="BB2132">
        <v>4.2300000000000004</v>
      </c>
      <c r="BC2132">
        <v>31</v>
      </c>
      <c r="BD2132">
        <v>0.02</v>
      </c>
      <c r="BE2132">
        <v>-0.03</v>
      </c>
      <c r="BF2132">
        <v>-0.12</v>
      </c>
      <c r="BG2132">
        <v>48</v>
      </c>
      <c r="BH2132">
        <v>-0.3</v>
      </c>
      <c r="BI2132">
        <v>-0.1</v>
      </c>
      <c r="BJ2132">
        <v>0</v>
      </c>
      <c r="BK2132">
        <v>0</v>
      </c>
      <c r="BL2132">
        <v>-0.64</v>
      </c>
      <c r="BM2132">
        <v>3.54</v>
      </c>
      <c r="BN2132">
        <v>-1.59</v>
      </c>
      <c r="BO2132">
        <v>-2.93</v>
      </c>
      <c r="BP2132">
        <v>4.28</v>
      </c>
      <c r="BQ2132">
        <v>-1.8</v>
      </c>
      <c r="BR2132">
        <v>-2.54</v>
      </c>
      <c r="BS2132">
        <v>-0.51</v>
      </c>
      <c r="BT2132">
        <v>2.39</v>
      </c>
      <c r="BU2132">
        <v>-3.31</v>
      </c>
      <c r="BV2132">
        <v>-3.72</v>
      </c>
      <c r="BW2132">
        <v>-2.81</v>
      </c>
      <c r="BX2132">
        <v>-2.5</v>
      </c>
      <c r="BY2132">
        <v>-1.96</v>
      </c>
      <c r="BZ2132">
        <v>1.1200000000000001</v>
      </c>
      <c r="CA2132">
        <v>-2.37</v>
      </c>
      <c r="CB2132">
        <v>-3.03</v>
      </c>
      <c r="CC2132">
        <v>-0.43</v>
      </c>
      <c r="CD2132">
        <v>3.85</v>
      </c>
      <c r="CE2132">
        <v>-2.78</v>
      </c>
      <c r="CF2132">
        <v>-0.88</v>
      </c>
      <c r="CG2132">
        <v>0</v>
      </c>
      <c r="CH2132">
        <v>-2.27</v>
      </c>
      <c r="CI2132">
        <v>0</v>
      </c>
      <c r="CJ2132">
        <v>9.6</v>
      </c>
      <c r="CK2132">
        <v>66</v>
      </c>
      <c r="CL2132">
        <v>0.31</v>
      </c>
      <c r="CM2132">
        <v>61</v>
      </c>
      <c r="CN2132">
        <v>-0.27</v>
      </c>
      <c r="CO2132">
        <v>58</v>
      </c>
      <c r="CP2132">
        <v>12.3</v>
      </c>
      <c r="CQ2132">
        <v>54</v>
      </c>
      <c r="CR2132">
        <v>0</v>
      </c>
      <c r="CS2132">
        <v>0</v>
      </c>
      <c r="CT2132">
        <v>21.1</v>
      </c>
      <c r="CU2132">
        <v>48</v>
      </c>
      <c r="CV2132">
        <v>0</v>
      </c>
      <c r="CW2132">
        <v>18</v>
      </c>
      <c r="CX2132" t="s">
        <v>2101</v>
      </c>
    </row>
    <row r="2133" spans="1:102" x14ac:dyDescent="0.3">
      <c r="A2133" t="str">
        <f>HYPERLINK("https://webapp.icbf.com/v2/app/bull-search/view/678704348","LSQ")</f>
        <v>LSQ</v>
      </c>
      <c r="B2133" t="s">
        <v>8247</v>
      </c>
      <c r="C2133" t="s">
        <v>8248</v>
      </c>
      <c r="D2133" s="1">
        <v>39307</v>
      </c>
      <c r="E2133" t="s">
        <v>92</v>
      </c>
      <c r="F2133">
        <v>100</v>
      </c>
      <c r="G2133" t="s">
        <v>93</v>
      </c>
      <c r="H2133">
        <v>61.95</v>
      </c>
      <c r="I2133">
        <v>88</v>
      </c>
      <c r="J2133">
        <v>38.369999999999997</v>
      </c>
      <c r="K2133">
        <v>96</v>
      </c>
      <c r="L2133">
        <v>-2.12</v>
      </c>
      <c r="M2133">
        <v>87</v>
      </c>
      <c r="N2133">
        <v>9.16</v>
      </c>
      <c r="O2133">
        <v>82</v>
      </c>
      <c r="P2133">
        <v>-10.93</v>
      </c>
      <c r="Q2133">
        <v>88</v>
      </c>
      <c r="R2133">
        <v>11.67</v>
      </c>
      <c r="S2133">
        <v>79</v>
      </c>
      <c r="T2133">
        <v>10.57</v>
      </c>
      <c r="U2133">
        <v>76</v>
      </c>
      <c r="V2133">
        <v>5.23</v>
      </c>
      <c r="W2133">
        <v>74</v>
      </c>
      <c r="X2133" t="s">
        <v>276</v>
      </c>
      <c r="Y2133" t="s">
        <v>8249</v>
      </c>
      <c r="Z2133" t="s">
        <v>96</v>
      </c>
      <c r="AA2133" t="s">
        <v>277</v>
      </c>
      <c r="AB2133" t="s">
        <v>5663</v>
      </c>
      <c r="AC2133">
        <v>59</v>
      </c>
      <c r="AD2133">
        <v>26</v>
      </c>
      <c r="AE2133">
        <v>96</v>
      </c>
      <c r="AF2133">
        <v>102.12</v>
      </c>
      <c r="AG2133">
        <v>14.27</v>
      </c>
      <c r="AH2133">
        <v>3.04</v>
      </c>
      <c r="AI2133">
        <v>0.18</v>
      </c>
      <c r="AJ2133">
        <v>-0.01</v>
      </c>
      <c r="AK2133">
        <v>87</v>
      </c>
      <c r="AL2133">
        <v>54</v>
      </c>
      <c r="AM2133">
        <v>28</v>
      </c>
      <c r="AN2133">
        <v>0.79</v>
      </c>
      <c r="AO2133">
        <v>0.63</v>
      </c>
      <c r="AP2133">
        <v>133</v>
      </c>
      <c r="AQ2133">
        <v>2</v>
      </c>
      <c r="AR2133">
        <v>8.9499999999999993</v>
      </c>
      <c r="AS2133">
        <v>76</v>
      </c>
      <c r="AT2133">
        <v>3.59</v>
      </c>
      <c r="AU2133">
        <v>88</v>
      </c>
      <c r="AV2133">
        <v>-1.81</v>
      </c>
      <c r="AW2133">
        <v>92</v>
      </c>
      <c r="AX2133">
        <v>-0.4</v>
      </c>
      <c r="AY2133">
        <v>75</v>
      </c>
      <c r="AZ2133">
        <v>6.03</v>
      </c>
      <c r="BA2133">
        <v>60</v>
      </c>
      <c r="BB2133">
        <v>4.74</v>
      </c>
      <c r="BC2133">
        <v>59</v>
      </c>
      <c r="BD2133">
        <v>-0.05</v>
      </c>
      <c r="BE2133">
        <v>-0.05</v>
      </c>
      <c r="BF2133">
        <v>-0.09</v>
      </c>
      <c r="BG2133">
        <v>89</v>
      </c>
      <c r="BH2133">
        <v>0.23</v>
      </c>
      <c r="BI2133">
        <v>9.75</v>
      </c>
      <c r="BJ2133">
        <v>11</v>
      </c>
      <c r="BK2133">
        <v>9</v>
      </c>
      <c r="BL2133">
        <v>0.32</v>
      </c>
      <c r="BM2133">
        <v>-1.0900000000000001</v>
      </c>
      <c r="BN2133">
        <v>-0.5</v>
      </c>
      <c r="BO2133">
        <v>0.16</v>
      </c>
      <c r="BP2133">
        <v>0.9</v>
      </c>
      <c r="BQ2133">
        <v>-1.38</v>
      </c>
      <c r="BR2133">
        <v>-0.18</v>
      </c>
      <c r="BS2133">
        <v>-0.54</v>
      </c>
      <c r="BT2133">
        <v>-0.09</v>
      </c>
      <c r="BU2133">
        <v>2.0699999999999998</v>
      </c>
      <c r="BV2133">
        <v>1.23</v>
      </c>
      <c r="BW2133">
        <v>1.06</v>
      </c>
      <c r="BX2133">
        <v>2.0699999999999998</v>
      </c>
      <c r="BY2133">
        <v>1.28</v>
      </c>
      <c r="BZ2133">
        <v>0.34</v>
      </c>
      <c r="CA2133">
        <v>1.5</v>
      </c>
      <c r="CB2133">
        <v>1.65</v>
      </c>
      <c r="CC2133">
        <v>0.14000000000000001</v>
      </c>
      <c r="CD2133">
        <v>0</v>
      </c>
      <c r="CE2133">
        <v>0.56999999999999995</v>
      </c>
      <c r="CF2133">
        <v>1.02</v>
      </c>
      <c r="CG2133">
        <v>0</v>
      </c>
      <c r="CH2133">
        <v>1.31</v>
      </c>
      <c r="CI2133">
        <v>0</v>
      </c>
      <c r="CJ2133">
        <v>-1.3</v>
      </c>
      <c r="CK2133">
        <v>90</v>
      </c>
      <c r="CL2133">
        <v>-1.08</v>
      </c>
      <c r="CM2133">
        <v>88</v>
      </c>
      <c r="CN2133">
        <v>-0.21</v>
      </c>
      <c r="CO2133">
        <v>86</v>
      </c>
      <c r="CP2133">
        <v>-3</v>
      </c>
      <c r="CQ2133">
        <v>77</v>
      </c>
      <c r="CR2133">
        <v>0</v>
      </c>
      <c r="CS2133">
        <v>0</v>
      </c>
      <c r="CT2133">
        <v>-0.5</v>
      </c>
      <c r="CU2133">
        <v>76</v>
      </c>
      <c r="CV2133">
        <v>0.23</v>
      </c>
      <c r="CW2133">
        <v>44</v>
      </c>
      <c r="CX2133" t="s">
        <v>350</v>
      </c>
    </row>
    <row r="2134" spans="1:102" x14ac:dyDescent="0.3">
      <c r="A2134" t="str">
        <f>HYPERLINK("https://webapp.icbf.com/v2/app/bull-search/view/744515530","UKJ")</f>
        <v>UKJ</v>
      </c>
      <c r="B2134" t="s">
        <v>14499</v>
      </c>
      <c r="C2134" t="s">
        <v>14500</v>
      </c>
      <c r="D2134" s="1">
        <v>39680</v>
      </c>
      <c r="E2134" t="s">
        <v>92</v>
      </c>
      <c r="F2134">
        <v>100</v>
      </c>
      <c r="G2134" t="s">
        <v>93</v>
      </c>
      <c r="H2134">
        <v>61.82</v>
      </c>
      <c r="I2134">
        <v>92</v>
      </c>
      <c r="J2134">
        <v>8.93</v>
      </c>
      <c r="K2134">
        <v>98</v>
      </c>
      <c r="L2134">
        <v>0.06</v>
      </c>
      <c r="M2134">
        <v>88</v>
      </c>
      <c r="N2134">
        <v>34.93</v>
      </c>
      <c r="O2134">
        <v>89</v>
      </c>
      <c r="P2134">
        <v>-13.05</v>
      </c>
      <c r="Q2134">
        <v>95</v>
      </c>
      <c r="R2134">
        <v>8.86</v>
      </c>
      <c r="S2134">
        <v>83</v>
      </c>
      <c r="T2134">
        <v>10.94</v>
      </c>
      <c r="U2134">
        <v>92</v>
      </c>
      <c r="V2134">
        <v>11.15</v>
      </c>
      <c r="W2134">
        <v>82</v>
      </c>
      <c r="X2134" t="s">
        <v>276</v>
      </c>
      <c r="Y2134" t="s">
        <v>329</v>
      </c>
      <c r="Z2134" t="s">
        <v>96</v>
      </c>
      <c r="AA2134" t="s">
        <v>277</v>
      </c>
      <c r="AB2134" t="s">
        <v>1845</v>
      </c>
      <c r="AC2134">
        <v>154</v>
      </c>
      <c r="AD2134">
        <v>80</v>
      </c>
      <c r="AE2134">
        <v>98</v>
      </c>
      <c r="AF2134">
        <v>96.48</v>
      </c>
      <c r="AG2134">
        <v>1.57</v>
      </c>
      <c r="AH2134">
        <v>2.44</v>
      </c>
      <c r="AI2134">
        <v>-0.04</v>
      </c>
      <c r="AJ2134">
        <v>-0.01</v>
      </c>
      <c r="AK2134">
        <v>88</v>
      </c>
      <c r="AL2134">
        <v>164</v>
      </c>
      <c r="AM2134">
        <v>88</v>
      </c>
      <c r="AN2134">
        <v>1.1599999999999999</v>
      </c>
      <c r="AO2134">
        <v>1.18</v>
      </c>
      <c r="AP2134">
        <v>267</v>
      </c>
      <c r="AQ2134">
        <v>2</v>
      </c>
      <c r="AR2134">
        <v>5.19</v>
      </c>
      <c r="AS2134">
        <v>76</v>
      </c>
      <c r="AT2134">
        <v>2.4</v>
      </c>
      <c r="AU2134">
        <v>91</v>
      </c>
      <c r="AV2134">
        <v>-2.73</v>
      </c>
      <c r="AW2134">
        <v>97</v>
      </c>
      <c r="AX2134">
        <v>-0.63</v>
      </c>
      <c r="AY2134">
        <v>87</v>
      </c>
      <c r="AZ2134">
        <v>6.36</v>
      </c>
      <c r="BA2134">
        <v>71</v>
      </c>
      <c r="BB2134">
        <v>4.97</v>
      </c>
      <c r="BC2134">
        <v>76</v>
      </c>
      <c r="BD2134">
        <v>-0.04</v>
      </c>
      <c r="BE2134">
        <v>-0.03</v>
      </c>
      <c r="BF2134">
        <v>-0.08</v>
      </c>
      <c r="BG2134">
        <v>92</v>
      </c>
      <c r="BH2134">
        <v>0.11</v>
      </c>
      <c r="BI2134">
        <v>-23.25</v>
      </c>
      <c r="BJ2134">
        <v>12</v>
      </c>
      <c r="BK2134">
        <v>7</v>
      </c>
      <c r="BL2134">
        <v>0.23</v>
      </c>
      <c r="BM2134">
        <v>-0.88</v>
      </c>
      <c r="BN2134">
        <v>-1.07</v>
      </c>
      <c r="BO2134">
        <v>-0.04</v>
      </c>
      <c r="BP2134">
        <v>-0.7</v>
      </c>
      <c r="BQ2134">
        <v>-2.52</v>
      </c>
      <c r="BR2134">
        <v>-2.0699999999999998</v>
      </c>
      <c r="BS2134">
        <v>-0.48</v>
      </c>
      <c r="BT2134">
        <v>1.1200000000000001</v>
      </c>
      <c r="BU2134">
        <v>1.48</v>
      </c>
      <c r="BV2134">
        <v>1.7</v>
      </c>
      <c r="BW2134">
        <v>0.01</v>
      </c>
      <c r="BX2134">
        <v>1.24</v>
      </c>
      <c r="BY2134">
        <v>0.26</v>
      </c>
      <c r="BZ2134">
        <v>-2.97</v>
      </c>
      <c r="CA2134">
        <v>0.99</v>
      </c>
      <c r="CB2134">
        <v>1.1100000000000001</v>
      </c>
      <c r="CC2134">
        <v>-0.36</v>
      </c>
      <c r="CD2134">
        <v>-0.15</v>
      </c>
      <c r="CE2134">
        <v>-0.19</v>
      </c>
      <c r="CF2134">
        <v>-0.64</v>
      </c>
      <c r="CG2134">
        <v>0</v>
      </c>
      <c r="CH2134">
        <v>-0.17</v>
      </c>
      <c r="CI2134">
        <v>0</v>
      </c>
      <c r="CJ2134">
        <v>-5.4</v>
      </c>
      <c r="CK2134">
        <v>96</v>
      </c>
      <c r="CL2134">
        <v>-0.89</v>
      </c>
      <c r="CM2134">
        <v>95</v>
      </c>
      <c r="CN2134">
        <v>-0.37</v>
      </c>
      <c r="CO2134">
        <v>94</v>
      </c>
      <c r="CP2134">
        <v>-5</v>
      </c>
      <c r="CQ2134">
        <v>91</v>
      </c>
      <c r="CR2134">
        <v>0</v>
      </c>
      <c r="CS2134">
        <v>0</v>
      </c>
      <c r="CT2134">
        <v>-1</v>
      </c>
      <c r="CU2134">
        <v>92</v>
      </c>
      <c r="CV2134">
        <v>0.11</v>
      </c>
      <c r="CW2134">
        <v>46</v>
      </c>
      <c r="CX2134" t="s">
        <v>316</v>
      </c>
    </row>
    <row r="2135" spans="1:102" x14ac:dyDescent="0.3">
      <c r="A2135" t="str">
        <f>HYPERLINK("https://webapp.icbf.com/v2/app/bull-search/view/152141136","S304")</f>
        <v>S304</v>
      </c>
      <c r="B2135" t="s">
        <v>9920</v>
      </c>
      <c r="C2135" t="s">
        <v>9921</v>
      </c>
      <c r="D2135" s="1">
        <v>34947</v>
      </c>
      <c r="E2135" t="s">
        <v>395</v>
      </c>
      <c r="F2135">
        <v>0</v>
      </c>
      <c r="G2135" t="s">
        <v>93</v>
      </c>
      <c r="H2135">
        <v>61.8</v>
      </c>
      <c r="I2135">
        <v>91</v>
      </c>
      <c r="J2135">
        <v>-51.81</v>
      </c>
      <c r="K2135">
        <v>97</v>
      </c>
      <c r="L2135">
        <v>74.88</v>
      </c>
      <c r="M2135">
        <v>85</v>
      </c>
      <c r="N2135">
        <v>16.64</v>
      </c>
      <c r="O2135">
        <v>88</v>
      </c>
      <c r="P2135">
        <v>-3.88</v>
      </c>
      <c r="Q2135">
        <v>94</v>
      </c>
      <c r="R2135">
        <v>19.37</v>
      </c>
      <c r="S2135">
        <v>81</v>
      </c>
      <c r="T2135">
        <v>15.08</v>
      </c>
      <c r="U2135">
        <v>97</v>
      </c>
      <c r="V2135">
        <v>-8.48</v>
      </c>
      <c r="W2135">
        <v>83</v>
      </c>
      <c r="X2135" t="s">
        <v>110</v>
      </c>
      <c r="Y2135" t="s">
        <v>95</v>
      </c>
      <c r="Z2135">
        <v>0</v>
      </c>
      <c r="AA2135" t="s">
        <v>4516</v>
      </c>
      <c r="AB2135" t="s">
        <v>9922</v>
      </c>
      <c r="AC2135">
        <v>160</v>
      </c>
      <c r="AD2135">
        <v>80</v>
      </c>
      <c r="AE2135">
        <v>97</v>
      </c>
      <c r="AF2135">
        <v>-405.97</v>
      </c>
      <c r="AG2135">
        <v>-14.32</v>
      </c>
      <c r="AH2135">
        <v>-9.9600000000000009</v>
      </c>
      <c r="AI2135">
        <v>0.03</v>
      </c>
      <c r="AJ2135">
        <v>7.0000000000000007E-2</v>
      </c>
      <c r="AK2135">
        <v>85</v>
      </c>
      <c r="AL2135">
        <v>154</v>
      </c>
      <c r="AM2135">
        <v>91</v>
      </c>
      <c r="AN2135">
        <v>-2.65</v>
      </c>
      <c r="AO2135">
        <v>3.34</v>
      </c>
      <c r="AP2135">
        <v>199</v>
      </c>
      <c r="AQ2135">
        <v>1</v>
      </c>
      <c r="AR2135">
        <v>5.07</v>
      </c>
      <c r="AS2135">
        <v>79</v>
      </c>
      <c r="AT2135">
        <v>2.13</v>
      </c>
      <c r="AU2135">
        <v>87</v>
      </c>
      <c r="AV2135">
        <v>-0.52</v>
      </c>
      <c r="AW2135">
        <v>96</v>
      </c>
      <c r="AX2135">
        <v>-0.69</v>
      </c>
      <c r="AY2135">
        <v>86</v>
      </c>
      <c r="AZ2135">
        <v>7.24</v>
      </c>
      <c r="BA2135">
        <v>69</v>
      </c>
      <c r="BB2135">
        <v>5.28</v>
      </c>
      <c r="BC2135">
        <v>76</v>
      </c>
      <c r="BD2135">
        <v>-0.08</v>
      </c>
      <c r="BE2135">
        <v>-0.08</v>
      </c>
      <c r="BF2135">
        <v>-0.16</v>
      </c>
      <c r="BG2135">
        <v>90</v>
      </c>
      <c r="BH2135">
        <v>-0.21</v>
      </c>
      <c r="BI2135">
        <v>3.06</v>
      </c>
      <c r="BJ2135">
        <v>29</v>
      </c>
      <c r="BK2135">
        <v>22</v>
      </c>
      <c r="BL2135">
        <v>-2.5</v>
      </c>
      <c r="BM2135">
        <v>1.1299999999999999</v>
      </c>
      <c r="BN2135">
        <v>-2.99</v>
      </c>
      <c r="BO2135">
        <v>-2.73</v>
      </c>
      <c r="BP2135">
        <v>0.87</v>
      </c>
      <c r="BQ2135">
        <v>-1.23</v>
      </c>
      <c r="BR2135">
        <v>-0.35</v>
      </c>
      <c r="BS2135">
        <v>0.3</v>
      </c>
      <c r="BT2135">
        <v>-0.41</v>
      </c>
      <c r="BU2135">
        <v>-1.41</v>
      </c>
      <c r="BV2135">
        <v>-4.26</v>
      </c>
      <c r="BW2135">
        <v>-3.32</v>
      </c>
      <c r="BX2135">
        <v>0.21</v>
      </c>
      <c r="BY2135">
        <v>-2</v>
      </c>
      <c r="BZ2135">
        <v>0.62</v>
      </c>
      <c r="CA2135">
        <v>-1.6</v>
      </c>
      <c r="CB2135">
        <v>-2.68</v>
      </c>
      <c r="CC2135">
        <v>0.93</v>
      </c>
      <c r="CD2135">
        <v>1.9</v>
      </c>
      <c r="CE2135">
        <v>-2.4700000000000002</v>
      </c>
      <c r="CF2135">
        <v>-2.82</v>
      </c>
      <c r="CG2135">
        <v>0</v>
      </c>
      <c r="CH2135">
        <v>-3.6</v>
      </c>
      <c r="CI2135">
        <v>0</v>
      </c>
      <c r="CJ2135">
        <v>-2.6</v>
      </c>
      <c r="CK2135">
        <v>95</v>
      </c>
      <c r="CL2135">
        <v>0.32</v>
      </c>
      <c r="CM2135">
        <v>94</v>
      </c>
      <c r="CN2135">
        <v>0.24</v>
      </c>
      <c r="CO2135">
        <v>93</v>
      </c>
      <c r="CP2135">
        <v>-5.2</v>
      </c>
      <c r="CQ2135">
        <v>93</v>
      </c>
      <c r="CR2135">
        <v>0</v>
      </c>
      <c r="CS2135">
        <v>0</v>
      </c>
      <c r="CT2135">
        <v>-6.6</v>
      </c>
      <c r="CU2135">
        <v>97</v>
      </c>
      <c r="CV2135">
        <v>-0.21</v>
      </c>
      <c r="CW2135">
        <v>28</v>
      </c>
      <c r="CX2135" t="s">
        <v>9923</v>
      </c>
    </row>
    <row r="2136" spans="1:102" x14ac:dyDescent="0.3">
      <c r="A2136" t="str">
        <f>HYPERLINK("https://webapp.icbf.com/v2/app/bull-search/view/918500464","ZMK")</f>
        <v>ZMK</v>
      </c>
      <c r="B2136" t="s">
        <v>13079</v>
      </c>
      <c r="C2136" t="s">
        <v>13080</v>
      </c>
      <c r="D2136" s="1">
        <v>40400</v>
      </c>
      <c r="E2136" t="s">
        <v>92</v>
      </c>
      <c r="F2136">
        <v>100</v>
      </c>
      <c r="G2136" t="s">
        <v>93</v>
      </c>
      <c r="H2136">
        <v>61.79</v>
      </c>
      <c r="I2136">
        <v>88</v>
      </c>
      <c r="J2136">
        <v>78.66</v>
      </c>
      <c r="K2136">
        <v>97</v>
      </c>
      <c r="L2136">
        <v>-48.52</v>
      </c>
      <c r="M2136">
        <v>86</v>
      </c>
      <c r="N2136">
        <v>49.17</v>
      </c>
      <c r="O2136">
        <v>83</v>
      </c>
      <c r="P2136">
        <v>-11.46</v>
      </c>
      <c r="Q2136">
        <v>88</v>
      </c>
      <c r="R2136">
        <v>-0.43</v>
      </c>
      <c r="S2136">
        <v>79</v>
      </c>
      <c r="T2136">
        <v>-5.78</v>
      </c>
      <c r="U2136">
        <v>82</v>
      </c>
      <c r="V2136">
        <v>0.15</v>
      </c>
      <c r="W2136">
        <v>68</v>
      </c>
      <c r="X2136" t="s">
        <v>276</v>
      </c>
      <c r="Y2136" t="s">
        <v>1775</v>
      </c>
      <c r="Z2136" t="s">
        <v>96</v>
      </c>
      <c r="AA2136" t="s">
        <v>1572</v>
      </c>
      <c r="AB2136" t="s">
        <v>9748</v>
      </c>
      <c r="AC2136">
        <v>110</v>
      </c>
      <c r="AD2136">
        <v>39</v>
      </c>
      <c r="AE2136">
        <v>97</v>
      </c>
      <c r="AF2136">
        <v>421.4</v>
      </c>
      <c r="AG2136">
        <v>12.49</v>
      </c>
      <c r="AH2136">
        <v>15.41</v>
      </c>
      <c r="AI2136">
        <v>-0.06</v>
      </c>
      <c r="AJ2136">
        <v>0.02</v>
      </c>
      <c r="AK2136">
        <v>86</v>
      </c>
      <c r="AL2136">
        <v>105</v>
      </c>
      <c r="AM2136">
        <v>41</v>
      </c>
      <c r="AN2136">
        <v>3.37</v>
      </c>
      <c r="AO2136">
        <v>-0.49</v>
      </c>
      <c r="AP2136">
        <v>183</v>
      </c>
      <c r="AQ2136">
        <v>0</v>
      </c>
      <c r="AR2136">
        <v>5.59</v>
      </c>
      <c r="AS2136">
        <v>79</v>
      </c>
      <c r="AT2136">
        <v>2.3199999999999998</v>
      </c>
      <c r="AU2136">
        <v>88</v>
      </c>
      <c r="AV2136">
        <v>-4.29</v>
      </c>
      <c r="AW2136">
        <v>91</v>
      </c>
      <c r="AX2136">
        <v>-0.73</v>
      </c>
      <c r="AY2136">
        <v>82</v>
      </c>
      <c r="AZ2136">
        <v>5.43</v>
      </c>
      <c r="BA2136">
        <v>64</v>
      </c>
      <c r="BB2136">
        <v>4.8600000000000003</v>
      </c>
      <c r="BC2136">
        <v>55</v>
      </c>
      <c r="BD2136">
        <v>0</v>
      </c>
      <c r="BE2136">
        <v>0</v>
      </c>
      <c r="BF2136">
        <v>0.01</v>
      </c>
      <c r="BG2136">
        <v>93</v>
      </c>
      <c r="BH2136">
        <v>-0.16</v>
      </c>
      <c r="BI2136">
        <v>-19</v>
      </c>
      <c r="BJ2136">
        <v>39</v>
      </c>
      <c r="BK2136">
        <v>16</v>
      </c>
      <c r="BL2136">
        <v>1.6</v>
      </c>
      <c r="BM2136">
        <v>-1.1200000000000001</v>
      </c>
      <c r="BN2136">
        <v>0.81</v>
      </c>
      <c r="BO2136">
        <v>1.33</v>
      </c>
      <c r="BP2136">
        <v>7.0000000000000007E-2</v>
      </c>
      <c r="BQ2136">
        <v>1.49</v>
      </c>
      <c r="BR2136">
        <v>0.86</v>
      </c>
      <c r="BS2136">
        <v>1.29</v>
      </c>
      <c r="BT2136">
        <v>-0.01</v>
      </c>
      <c r="BU2136">
        <v>2.23</v>
      </c>
      <c r="BV2136">
        <v>2.68</v>
      </c>
      <c r="BW2136">
        <v>3.01</v>
      </c>
      <c r="BX2136">
        <v>1.99</v>
      </c>
      <c r="BY2136">
        <v>2.0699999999999998</v>
      </c>
      <c r="BZ2136">
        <v>-0.83</v>
      </c>
      <c r="CA2136">
        <v>1.82</v>
      </c>
      <c r="CB2136">
        <v>1.88</v>
      </c>
      <c r="CC2136">
        <v>0.7</v>
      </c>
      <c r="CD2136">
        <v>-1.04</v>
      </c>
      <c r="CE2136">
        <v>1.45</v>
      </c>
      <c r="CF2136">
        <v>1.47</v>
      </c>
      <c r="CG2136">
        <v>0</v>
      </c>
      <c r="CH2136">
        <v>2.08</v>
      </c>
      <c r="CI2136">
        <v>0</v>
      </c>
      <c r="CJ2136">
        <v>-3.8</v>
      </c>
      <c r="CK2136">
        <v>90</v>
      </c>
      <c r="CL2136">
        <v>-1.39</v>
      </c>
      <c r="CM2136">
        <v>88</v>
      </c>
      <c r="CN2136">
        <v>-0.67</v>
      </c>
      <c r="CO2136">
        <v>86</v>
      </c>
      <c r="CP2136">
        <v>1.9</v>
      </c>
      <c r="CQ2136">
        <v>82</v>
      </c>
      <c r="CR2136">
        <v>0</v>
      </c>
      <c r="CS2136">
        <v>0</v>
      </c>
      <c r="CT2136">
        <v>21.6</v>
      </c>
      <c r="CU2136">
        <v>82</v>
      </c>
      <c r="CV2136">
        <v>0.26</v>
      </c>
      <c r="CW2136">
        <v>44</v>
      </c>
      <c r="CX2136" t="s">
        <v>309</v>
      </c>
    </row>
    <row r="2137" spans="1:102" x14ac:dyDescent="0.3">
      <c r="A2137" t="str">
        <f>HYPERLINK("https://webapp.icbf.com/v2/app/bull-search/view/707737119","KWE")</f>
        <v>KWE</v>
      </c>
      <c r="B2137" t="s">
        <v>12927</v>
      </c>
      <c r="C2137" t="s">
        <v>12928</v>
      </c>
      <c r="D2137" s="1">
        <v>40018</v>
      </c>
      <c r="E2137" t="s">
        <v>146</v>
      </c>
      <c r="F2137">
        <v>41</v>
      </c>
      <c r="G2137" t="s">
        <v>93</v>
      </c>
      <c r="H2137">
        <v>61.72</v>
      </c>
      <c r="I2137">
        <v>90</v>
      </c>
      <c r="J2137">
        <v>82.72</v>
      </c>
      <c r="K2137">
        <v>98</v>
      </c>
      <c r="L2137">
        <v>-29.68</v>
      </c>
      <c r="M2137">
        <v>81</v>
      </c>
      <c r="N2137">
        <v>9.7200000000000006</v>
      </c>
      <c r="O2137">
        <v>92</v>
      </c>
      <c r="P2137">
        <v>2.2000000000000002</v>
      </c>
      <c r="Q2137">
        <v>98</v>
      </c>
      <c r="R2137">
        <v>2.57</v>
      </c>
      <c r="S2137">
        <v>80</v>
      </c>
      <c r="T2137">
        <v>-4.9000000000000004</v>
      </c>
      <c r="U2137">
        <v>93</v>
      </c>
      <c r="V2137">
        <v>-0.91</v>
      </c>
      <c r="W2137">
        <v>73</v>
      </c>
      <c r="X2137" t="s">
        <v>276</v>
      </c>
      <c r="Y2137" t="s">
        <v>329</v>
      </c>
      <c r="Z2137">
        <v>0</v>
      </c>
      <c r="AA2137" t="s">
        <v>1874</v>
      </c>
      <c r="AB2137" t="s">
        <v>144</v>
      </c>
      <c r="AC2137">
        <v>307</v>
      </c>
      <c r="AD2137">
        <v>96</v>
      </c>
      <c r="AE2137">
        <v>98</v>
      </c>
      <c r="AF2137">
        <v>274.27</v>
      </c>
      <c r="AG2137">
        <v>11.72</v>
      </c>
      <c r="AH2137">
        <v>14.12</v>
      </c>
      <c r="AI2137">
        <v>0.02</v>
      </c>
      <c r="AJ2137">
        <v>7.0000000000000007E-2</v>
      </c>
      <c r="AK2137">
        <v>81</v>
      </c>
      <c r="AL2137">
        <v>392</v>
      </c>
      <c r="AM2137">
        <v>119</v>
      </c>
      <c r="AN2137">
        <v>0.6</v>
      </c>
      <c r="AO2137">
        <v>-1.78</v>
      </c>
      <c r="AP2137">
        <v>783</v>
      </c>
      <c r="AQ2137">
        <v>14</v>
      </c>
      <c r="AR2137">
        <v>7.58</v>
      </c>
      <c r="AS2137">
        <v>80</v>
      </c>
      <c r="AT2137">
        <v>3.02</v>
      </c>
      <c r="AU2137">
        <v>95</v>
      </c>
      <c r="AV2137">
        <v>-1.37</v>
      </c>
      <c r="AW2137">
        <v>99</v>
      </c>
      <c r="AX2137">
        <v>0.03</v>
      </c>
      <c r="AY2137">
        <v>95</v>
      </c>
      <c r="AZ2137">
        <v>6.33</v>
      </c>
      <c r="BA2137">
        <v>78</v>
      </c>
      <c r="BB2137">
        <v>5.43</v>
      </c>
      <c r="BC2137">
        <v>74</v>
      </c>
      <c r="BD2137">
        <v>-0.06</v>
      </c>
      <c r="BE2137">
        <v>-0.01</v>
      </c>
      <c r="BF2137">
        <v>0.06</v>
      </c>
      <c r="BG2137">
        <v>92</v>
      </c>
      <c r="BH2137">
        <v>-0.04</v>
      </c>
      <c r="BI2137">
        <v>-1.69</v>
      </c>
      <c r="BJ2137">
        <v>4</v>
      </c>
      <c r="BK2137">
        <v>2</v>
      </c>
      <c r="BL2137">
        <v>-0.35</v>
      </c>
      <c r="BM2137">
        <v>2.99</v>
      </c>
      <c r="BN2137">
        <v>0.92</v>
      </c>
      <c r="BO2137">
        <v>-1.03</v>
      </c>
      <c r="BP2137">
        <v>1.45</v>
      </c>
      <c r="BQ2137">
        <v>1.75</v>
      </c>
      <c r="BR2137">
        <v>0.38</v>
      </c>
      <c r="BS2137">
        <v>0.14000000000000001</v>
      </c>
      <c r="BT2137">
        <v>-0.71</v>
      </c>
      <c r="BU2137">
        <v>-0.98</v>
      </c>
      <c r="BV2137">
        <v>-1.28</v>
      </c>
      <c r="BW2137">
        <v>-0.93</v>
      </c>
      <c r="BX2137">
        <v>-0.46</v>
      </c>
      <c r="BY2137">
        <v>-1.39</v>
      </c>
      <c r="BZ2137">
        <v>-0.8</v>
      </c>
      <c r="CA2137">
        <v>-0.85</v>
      </c>
      <c r="CB2137">
        <v>-1.21</v>
      </c>
      <c r="CC2137">
        <v>0.41</v>
      </c>
      <c r="CD2137">
        <v>1.3</v>
      </c>
      <c r="CE2137">
        <v>-0.94</v>
      </c>
      <c r="CF2137">
        <v>0.82</v>
      </c>
      <c r="CG2137">
        <v>0</v>
      </c>
      <c r="CH2137">
        <v>-1.06</v>
      </c>
      <c r="CI2137">
        <v>0</v>
      </c>
      <c r="CJ2137">
        <v>2.1</v>
      </c>
      <c r="CK2137">
        <v>99</v>
      </c>
      <c r="CL2137">
        <v>-0.45</v>
      </c>
      <c r="CM2137">
        <v>99</v>
      </c>
      <c r="CN2137">
        <v>-0.21</v>
      </c>
      <c r="CO2137">
        <v>98</v>
      </c>
      <c r="CP2137">
        <v>9.9</v>
      </c>
      <c r="CQ2137">
        <v>94</v>
      </c>
      <c r="CR2137">
        <v>0</v>
      </c>
      <c r="CS2137">
        <v>0</v>
      </c>
      <c r="CT2137">
        <v>20.399999999999999</v>
      </c>
      <c r="CU2137">
        <v>93</v>
      </c>
      <c r="CV2137">
        <v>0.21</v>
      </c>
      <c r="CW2137">
        <v>29</v>
      </c>
      <c r="CX2137" t="s">
        <v>5337</v>
      </c>
    </row>
    <row r="2138" spans="1:102" x14ac:dyDescent="0.3">
      <c r="A2138" t="str">
        <f>HYPERLINK("https://webapp.icbf.com/v2/app/bull-search/view/437602417","VLO")</f>
        <v>VLO</v>
      </c>
      <c r="B2138" t="s">
        <v>6699</v>
      </c>
      <c r="C2138" t="s">
        <v>6700</v>
      </c>
      <c r="D2138" s="1">
        <v>38717</v>
      </c>
      <c r="E2138" t="s">
        <v>92</v>
      </c>
      <c r="F2138">
        <v>97</v>
      </c>
      <c r="G2138" t="s">
        <v>93</v>
      </c>
      <c r="H2138">
        <v>61.7</v>
      </c>
      <c r="I2138">
        <v>89</v>
      </c>
      <c r="J2138">
        <v>44.24</v>
      </c>
      <c r="K2138">
        <v>97</v>
      </c>
      <c r="L2138">
        <v>-42.75</v>
      </c>
      <c r="M2138">
        <v>83</v>
      </c>
      <c r="N2138">
        <v>40.5</v>
      </c>
      <c r="O2138">
        <v>88</v>
      </c>
      <c r="P2138">
        <v>-10.55</v>
      </c>
      <c r="Q2138">
        <v>93</v>
      </c>
      <c r="R2138">
        <v>5.81</v>
      </c>
      <c r="S2138">
        <v>85</v>
      </c>
      <c r="T2138">
        <v>21.3</v>
      </c>
      <c r="U2138">
        <v>84</v>
      </c>
      <c r="V2138">
        <v>3.15</v>
      </c>
      <c r="W2138">
        <v>85</v>
      </c>
      <c r="X2138" t="s">
        <v>94</v>
      </c>
      <c r="Y2138" t="s">
        <v>228</v>
      </c>
      <c r="Z2138" t="s">
        <v>96</v>
      </c>
      <c r="AA2138" t="s">
        <v>1165</v>
      </c>
      <c r="AB2138" t="s">
        <v>6701</v>
      </c>
      <c r="AC2138">
        <v>97</v>
      </c>
      <c r="AD2138">
        <v>70</v>
      </c>
      <c r="AE2138">
        <v>97</v>
      </c>
      <c r="AF2138">
        <v>40.86</v>
      </c>
      <c r="AG2138">
        <v>11.19</v>
      </c>
      <c r="AH2138">
        <v>4.1900000000000004</v>
      </c>
      <c r="AI2138">
        <v>0.17</v>
      </c>
      <c r="AJ2138">
        <v>0.05</v>
      </c>
      <c r="AK2138">
        <v>83</v>
      </c>
      <c r="AL2138">
        <v>89</v>
      </c>
      <c r="AM2138">
        <v>60</v>
      </c>
      <c r="AN2138">
        <v>3.8</v>
      </c>
      <c r="AO2138">
        <v>0.41</v>
      </c>
      <c r="AP2138">
        <v>227</v>
      </c>
      <c r="AQ2138">
        <v>0</v>
      </c>
      <c r="AR2138">
        <v>5.9</v>
      </c>
      <c r="AS2138">
        <v>75</v>
      </c>
      <c r="AT2138">
        <v>1.85</v>
      </c>
      <c r="AU2138">
        <v>90</v>
      </c>
      <c r="AV2138">
        <v>-3.29</v>
      </c>
      <c r="AW2138">
        <v>96</v>
      </c>
      <c r="AX2138">
        <v>-0.52</v>
      </c>
      <c r="AY2138">
        <v>82</v>
      </c>
      <c r="AZ2138">
        <v>6.13</v>
      </c>
      <c r="BA2138">
        <v>70</v>
      </c>
      <c r="BB2138">
        <v>5.21</v>
      </c>
      <c r="BC2138">
        <v>72</v>
      </c>
      <c r="BD2138">
        <v>-0.01</v>
      </c>
      <c r="BE2138">
        <v>-0.03</v>
      </c>
      <c r="BF2138">
        <v>-0.06</v>
      </c>
      <c r="BG2138">
        <v>91</v>
      </c>
      <c r="BH2138">
        <v>0.08</v>
      </c>
      <c r="BI2138">
        <v>-0.9</v>
      </c>
      <c r="BJ2138">
        <v>10</v>
      </c>
      <c r="BK2138">
        <v>9</v>
      </c>
      <c r="BL2138">
        <v>-0.27</v>
      </c>
      <c r="BM2138">
        <v>-0.12</v>
      </c>
      <c r="BN2138">
        <v>0.54</v>
      </c>
      <c r="BO2138">
        <v>0.35</v>
      </c>
      <c r="BP2138">
        <v>1.8</v>
      </c>
      <c r="BQ2138">
        <v>-1.43</v>
      </c>
      <c r="BR2138">
        <v>2.31</v>
      </c>
      <c r="BS2138">
        <v>-0.22</v>
      </c>
      <c r="BT2138">
        <v>-1.75</v>
      </c>
      <c r="BU2138">
        <v>-1.42</v>
      </c>
      <c r="BV2138">
        <v>-0.32</v>
      </c>
      <c r="BW2138">
        <v>-0.88</v>
      </c>
      <c r="BX2138">
        <v>-1.01</v>
      </c>
      <c r="BY2138">
        <v>7.0000000000000007E-2</v>
      </c>
      <c r="BZ2138">
        <v>-1.22</v>
      </c>
      <c r="CA2138">
        <v>-0.41</v>
      </c>
      <c r="CB2138">
        <v>-0.47</v>
      </c>
      <c r="CC2138">
        <v>-0.38</v>
      </c>
      <c r="CD2138">
        <v>-0.03</v>
      </c>
      <c r="CE2138">
        <v>0.27</v>
      </c>
      <c r="CF2138">
        <v>-0.2</v>
      </c>
      <c r="CG2138">
        <v>0</v>
      </c>
      <c r="CH2138">
        <v>-1.53</v>
      </c>
      <c r="CI2138">
        <v>0</v>
      </c>
      <c r="CJ2138">
        <v>-1.8</v>
      </c>
      <c r="CK2138">
        <v>94</v>
      </c>
      <c r="CL2138">
        <v>-0.83</v>
      </c>
      <c r="CM2138">
        <v>92</v>
      </c>
      <c r="CN2138">
        <v>-0.13</v>
      </c>
      <c r="CO2138">
        <v>92</v>
      </c>
      <c r="CP2138">
        <v>-6.8</v>
      </c>
      <c r="CQ2138">
        <v>90</v>
      </c>
      <c r="CR2138">
        <v>0</v>
      </c>
      <c r="CS2138">
        <v>0</v>
      </c>
      <c r="CT2138">
        <v>-15</v>
      </c>
      <c r="CU2138">
        <v>84</v>
      </c>
      <c r="CV2138">
        <v>0.23</v>
      </c>
      <c r="CW2138">
        <v>46</v>
      </c>
      <c r="CX2138" t="s">
        <v>1420</v>
      </c>
    </row>
    <row r="2139" spans="1:102" x14ac:dyDescent="0.3">
      <c r="A2139" t="str">
        <f>HYPERLINK("https://webapp.icbf.com/v2/app/bull-search/view/666129298","MJL")</f>
        <v>MJL</v>
      </c>
      <c r="B2139" t="s">
        <v>11772</v>
      </c>
      <c r="C2139" t="s">
        <v>6237</v>
      </c>
      <c r="D2139" s="1">
        <v>38804</v>
      </c>
      <c r="E2139" t="s">
        <v>108</v>
      </c>
      <c r="F2139">
        <v>0</v>
      </c>
      <c r="G2139" t="s">
        <v>93</v>
      </c>
      <c r="H2139">
        <v>61.68</v>
      </c>
      <c r="I2139">
        <v>87</v>
      </c>
      <c r="J2139">
        <v>-8.9700000000000006</v>
      </c>
      <c r="K2139">
        <v>98</v>
      </c>
      <c r="L2139">
        <v>60.54</v>
      </c>
      <c r="M2139">
        <v>77</v>
      </c>
      <c r="N2139">
        <v>19.04</v>
      </c>
      <c r="O2139">
        <v>89</v>
      </c>
      <c r="P2139">
        <v>-11.57</v>
      </c>
      <c r="Q2139">
        <v>97</v>
      </c>
      <c r="R2139">
        <v>4.3600000000000003</v>
      </c>
      <c r="S2139">
        <v>80</v>
      </c>
      <c r="T2139">
        <v>-0.09</v>
      </c>
      <c r="U2139">
        <v>86</v>
      </c>
      <c r="V2139">
        <v>-1.63</v>
      </c>
      <c r="W2139">
        <v>71</v>
      </c>
      <c r="X2139" t="s">
        <v>251</v>
      </c>
      <c r="Y2139" t="s">
        <v>1923</v>
      </c>
      <c r="Z2139" t="s">
        <v>96</v>
      </c>
      <c r="AA2139" t="s">
        <v>5174</v>
      </c>
      <c r="AB2139" t="s">
        <v>11773</v>
      </c>
      <c r="AC2139">
        <v>274</v>
      </c>
      <c r="AD2139">
        <v>72</v>
      </c>
      <c r="AE2139">
        <v>98</v>
      </c>
      <c r="AF2139">
        <v>-141.26</v>
      </c>
      <c r="AG2139">
        <v>-1.66</v>
      </c>
      <c r="AH2139">
        <v>-3.1</v>
      </c>
      <c r="AI2139">
        <v>7.0000000000000007E-2</v>
      </c>
      <c r="AJ2139">
        <v>0.03</v>
      </c>
      <c r="AK2139">
        <v>77</v>
      </c>
      <c r="AL2139">
        <v>292</v>
      </c>
      <c r="AM2139">
        <v>84</v>
      </c>
      <c r="AN2139">
        <v>-3.91</v>
      </c>
      <c r="AO2139">
        <v>0.91</v>
      </c>
      <c r="AP2139">
        <v>359</v>
      </c>
      <c r="AQ2139">
        <v>3</v>
      </c>
      <c r="AR2139">
        <v>5.78</v>
      </c>
      <c r="AS2139">
        <v>84</v>
      </c>
      <c r="AT2139">
        <v>2.48</v>
      </c>
      <c r="AU2139">
        <v>90</v>
      </c>
      <c r="AV2139">
        <v>-2.2000000000000002</v>
      </c>
      <c r="AW2139">
        <v>97</v>
      </c>
      <c r="AX2139">
        <v>-0.38</v>
      </c>
      <c r="AY2139">
        <v>92</v>
      </c>
      <c r="AZ2139">
        <v>8.3800000000000008</v>
      </c>
      <c r="BA2139">
        <v>73</v>
      </c>
      <c r="BB2139">
        <v>6.05</v>
      </c>
      <c r="BC2139">
        <v>67</v>
      </c>
      <c r="BD2139">
        <v>0.01</v>
      </c>
      <c r="BE2139">
        <v>-0.03</v>
      </c>
      <c r="BF2139">
        <v>-0.06</v>
      </c>
      <c r="BG2139">
        <v>90</v>
      </c>
      <c r="BH2139">
        <v>-0.01</v>
      </c>
      <c r="BI2139">
        <v>4.1100000000000003</v>
      </c>
      <c r="BJ2139">
        <v>17</v>
      </c>
      <c r="BK2139">
        <v>9</v>
      </c>
      <c r="BL2139">
        <v>-2.4500000000000002</v>
      </c>
      <c r="BM2139">
        <v>1.63</v>
      </c>
      <c r="BN2139">
        <v>-1.28</v>
      </c>
      <c r="BO2139">
        <v>-1.95</v>
      </c>
      <c r="BP2139">
        <v>-1.46</v>
      </c>
      <c r="BQ2139">
        <v>1.1200000000000001</v>
      </c>
      <c r="BR2139">
        <v>-1.75</v>
      </c>
      <c r="BS2139">
        <v>0.79</v>
      </c>
      <c r="BT2139">
        <v>-0.2</v>
      </c>
      <c r="BU2139">
        <v>-2.04</v>
      </c>
      <c r="BV2139">
        <v>-1.2</v>
      </c>
      <c r="BW2139">
        <v>-0.6</v>
      </c>
      <c r="BX2139">
        <v>-2.09</v>
      </c>
      <c r="BY2139">
        <v>0.66</v>
      </c>
      <c r="BZ2139">
        <v>1.01</v>
      </c>
      <c r="CA2139">
        <v>-0.61</v>
      </c>
      <c r="CB2139">
        <v>-0.86</v>
      </c>
      <c r="CC2139">
        <v>0.16</v>
      </c>
      <c r="CD2139">
        <v>1.94</v>
      </c>
      <c r="CE2139">
        <v>-1.75</v>
      </c>
      <c r="CF2139">
        <v>-1.36</v>
      </c>
      <c r="CG2139">
        <v>0</v>
      </c>
      <c r="CH2139">
        <v>0.46</v>
      </c>
      <c r="CI2139">
        <v>0</v>
      </c>
      <c r="CJ2139">
        <v>-5.5</v>
      </c>
      <c r="CK2139">
        <v>98</v>
      </c>
      <c r="CL2139">
        <v>-0.3</v>
      </c>
      <c r="CM2139">
        <v>97</v>
      </c>
      <c r="CN2139">
        <v>0.02</v>
      </c>
      <c r="CO2139">
        <v>97</v>
      </c>
      <c r="CP2139">
        <v>-4.3</v>
      </c>
      <c r="CQ2139">
        <v>88</v>
      </c>
      <c r="CR2139">
        <v>0</v>
      </c>
      <c r="CS2139">
        <v>0</v>
      </c>
      <c r="CT2139">
        <v>13.9</v>
      </c>
      <c r="CU2139">
        <v>86</v>
      </c>
      <c r="CV2139">
        <v>0.05</v>
      </c>
      <c r="CW2139">
        <v>31</v>
      </c>
      <c r="CX2139" t="s">
        <v>11774</v>
      </c>
    </row>
    <row r="2140" spans="1:102" x14ac:dyDescent="0.3">
      <c r="A2140" t="str">
        <f>HYPERLINK("https://webapp.icbf.com/v2/app/bull-search/view/69091786","GRI")</f>
        <v>GRI</v>
      </c>
      <c r="B2140" t="s">
        <v>6450</v>
      </c>
      <c r="C2140" t="s">
        <v>247</v>
      </c>
      <c r="D2140" s="1">
        <v>33274</v>
      </c>
      <c r="E2140" t="s">
        <v>140</v>
      </c>
      <c r="F2140">
        <v>0</v>
      </c>
      <c r="G2140" t="s">
        <v>93</v>
      </c>
      <c r="H2140">
        <v>61.66</v>
      </c>
      <c r="I2140">
        <v>95</v>
      </c>
      <c r="J2140">
        <v>3.48</v>
      </c>
      <c r="K2140">
        <v>99</v>
      </c>
      <c r="L2140">
        <v>75.650000000000006</v>
      </c>
      <c r="M2140">
        <v>91</v>
      </c>
      <c r="N2140">
        <v>-56.78</v>
      </c>
      <c r="O2140">
        <v>96</v>
      </c>
      <c r="P2140">
        <v>16.899999999999999</v>
      </c>
      <c r="Q2140">
        <v>99</v>
      </c>
      <c r="R2140">
        <v>12.4</v>
      </c>
      <c r="S2140">
        <v>92</v>
      </c>
      <c r="T2140">
        <v>14.42</v>
      </c>
      <c r="U2140">
        <v>98</v>
      </c>
      <c r="V2140">
        <v>-4.41</v>
      </c>
      <c r="W2140">
        <v>92</v>
      </c>
      <c r="X2140" t="s">
        <v>94</v>
      </c>
      <c r="Y2140" t="s">
        <v>95</v>
      </c>
      <c r="Z2140">
        <v>0</v>
      </c>
      <c r="AA2140" t="s">
        <v>2464</v>
      </c>
      <c r="AB2140" t="s">
        <v>6451</v>
      </c>
      <c r="AC2140">
        <v>467</v>
      </c>
      <c r="AD2140">
        <v>188</v>
      </c>
      <c r="AE2140">
        <v>99</v>
      </c>
      <c r="AF2140">
        <v>-43.72</v>
      </c>
      <c r="AG2140">
        <v>-3.64</v>
      </c>
      <c r="AH2140">
        <v>1.21</v>
      </c>
      <c r="AI2140">
        <v>-0.03</v>
      </c>
      <c r="AJ2140">
        <v>0.05</v>
      </c>
      <c r="AK2140">
        <v>91</v>
      </c>
      <c r="AL2140">
        <v>529</v>
      </c>
      <c r="AM2140">
        <v>221</v>
      </c>
      <c r="AN2140">
        <v>-3.56</v>
      </c>
      <c r="AO2140">
        <v>2.48</v>
      </c>
      <c r="AP2140">
        <v>414</v>
      </c>
      <c r="AQ2140">
        <v>6</v>
      </c>
      <c r="AR2140">
        <v>12.11</v>
      </c>
      <c r="AS2140">
        <v>91</v>
      </c>
      <c r="AT2140">
        <v>5.57</v>
      </c>
      <c r="AU2140">
        <v>96</v>
      </c>
      <c r="AV2140">
        <v>1.23</v>
      </c>
      <c r="AW2140">
        <v>99</v>
      </c>
      <c r="AX2140">
        <v>-0.03</v>
      </c>
      <c r="AY2140">
        <v>97</v>
      </c>
      <c r="AZ2140">
        <v>8.09</v>
      </c>
      <c r="BA2140">
        <v>89</v>
      </c>
      <c r="BB2140">
        <v>5.36</v>
      </c>
      <c r="BC2140">
        <v>93</v>
      </c>
      <c r="BD2140">
        <v>-0.03</v>
      </c>
      <c r="BE2140">
        <v>-0.05</v>
      </c>
      <c r="BF2140">
        <v>-0.14000000000000001</v>
      </c>
      <c r="BG2140">
        <v>97</v>
      </c>
      <c r="BH2140">
        <v>-0.22</v>
      </c>
      <c r="BI2140">
        <v>-11.21</v>
      </c>
      <c r="BJ2140">
        <v>3</v>
      </c>
      <c r="BK2140">
        <v>2</v>
      </c>
      <c r="BL2140">
        <v>-0.63</v>
      </c>
      <c r="BM2140">
        <v>4.26</v>
      </c>
      <c r="BN2140">
        <v>-2.2599999999999998</v>
      </c>
      <c r="BO2140">
        <v>-3.78</v>
      </c>
      <c r="BP2140">
        <v>4.79</v>
      </c>
      <c r="BQ2140">
        <v>-1.27</v>
      </c>
      <c r="BR2140">
        <v>-2.77</v>
      </c>
      <c r="BS2140">
        <v>-0.52</v>
      </c>
      <c r="BT2140">
        <v>2.74</v>
      </c>
      <c r="BU2140">
        <v>-4.1900000000000004</v>
      </c>
      <c r="BV2140">
        <v>-4.67</v>
      </c>
      <c r="BW2140">
        <v>-3.33</v>
      </c>
      <c r="BX2140">
        <v>-3.07</v>
      </c>
      <c r="BY2140">
        <v>-1.98</v>
      </c>
      <c r="BZ2140">
        <v>2.17</v>
      </c>
      <c r="CA2140">
        <v>-3.22</v>
      </c>
      <c r="CB2140">
        <v>-3.88</v>
      </c>
      <c r="CC2140">
        <v>-1.01</v>
      </c>
      <c r="CD2140">
        <v>4.3600000000000003</v>
      </c>
      <c r="CE2140">
        <v>-3.36</v>
      </c>
      <c r="CF2140">
        <v>-1.41</v>
      </c>
      <c r="CG2140">
        <v>0</v>
      </c>
      <c r="CH2140">
        <v>-2.27</v>
      </c>
      <c r="CI2140">
        <v>0</v>
      </c>
      <c r="CJ2140">
        <v>8.1</v>
      </c>
      <c r="CK2140">
        <v>99</v>
      </c>
      <c r="CL2140">
        <v>0.53</v>
      </c>
      <c r="CM2140">
        <v>99</v>
      </c>
      <c r="CN2140">
        <v>-0.05</v>
      </c>
      <c r="CO2140">
        <v>99</v>
      </c>
      <c r="CP2140">
        <v>-2.2000000000000002</v>
      </c>
      <c r="CQ2140">
        <v>98</v>
      </c>
      <c r="CR2140">
        <v>0</v>
      </c>
      <c r="CS2140">
        <v>0</v>
      </c>
      <c r="CT2140">
        <v>-5.7</v>
      </c>
      <c r="CU2140">
        <v>98</v>
      </c>
      <c r="CV2140">
        <v>-7.0000000000000007E-2</v>
      </c>
      <c r="CW2140">
        <v>31</v>
      </c>
      <c r="CX2140" t="s">
        <v>698</v>
      </c>
    </row>
    <row r="2141" spans="1:102" x14ac:dyDescent="0.3">
      <c r="A2141" t="str">
        <f>HYPERLINK("https://webapp.icbf.com/v2/app/bull-search/view/77853175","TPD")</f>
        <v>TPD</v>
      </c>
      <c r="B2141" t="s">
        <v>749</v>
      </c>
      <c r="C2141" t="s">
        <v>750</v>
      </c>
      <c r="D2141" s="1">
        <v>35651</v>
      </c>
      <c r="E2141" t="s">
        <v>92</v>
      </c>
      <c r="F2141">
        <v>100</v>
      </c>
      <c r="G2141" t="s">
        <v>93</v>
      </c>
      <c r="H2141">
        <v>61.61</v>
      </c>
      <c r="I2141">
        <v>84</v>
      </c>
      <c r="J2141">
        <v>18.93</v>
      </c>
      <c r="K2141">
        <v>95</v>
      </c>
      <c r="L2141">
        <v>2.5</v>
      </c>
      <c r="M2141">
        <v>78</v>
      </c>
      <c r="N2141">
        <v>42.47</v>
      </c>
      <c r="O2141">
        <v>76</v>
      </c>
      <c r="P2141">
        <v>-9.94</v>
      </c>
      <c r="Q2141">
        <v>86</v>
      </c>
      <c r="R2141">
        <v>-0.39</v>
      </c>
      <c r="S2141">
        <v>76</v>
      </c>
      <c r="T2141">
        <v>2.87</v>
      </c>
      <c r="U2141">
        <v>81</v>
      </c>
      <c r="V2141">
        <v>5.17</v>
      </c>
      <c r="W2141">
        <v>67</v>
      </c>
      <c r="X2141" t="s">
        <v>94</v>
      </c>
      <c r="Y2141" t="s">
        <v>95</v>
      </c>
      <c r="Z2141" t="s">
        <v>96</v>
      </c>
      <c r="AA2141" t="s">
        <v>751</v>
      </c>
      <c r="AB2141" t="s">
        <v>752</v>
      </c>
      <c r="AC2141">
        <v>57</v>
      </c>
      <c r="AD2141">
        <v>54</v>
      </c>
      <c r="AE2141">
        <v>95</v>
      </c>
      <c r="AF2141">
        <v>-5.86</v>
      </c>
      <c r="AG2141">
        <v>2.8</v>
      </c>
      <c r="AH2141">
        <v>2.14</v>
      </c>
      <c r="AI2141">
        <v>0.05</v>
      </c>
      <c r="AJ2141">
        <v>0.04</v>
      </c>
      <c r="AK2141">
        <v>78</v>
      </c>
      <c r="AL2141">
        <v>72</v>
      </c>
      <c r="AM2141">
        <v>63</v>
      </c>
      <c r="AN2141">
        <v>-0.88</v>
      </c>
      <c r="AO2141">
        <v>-0.69</v>
      </c>
      <c r="AP2141">
        <v>18</v>
      </c>
      <c r="AQ2141">
        <v>0</v>
      </c>
      <c r="AR2141">
        <v>6.37</v>
      </c>
      <c r="AS2141">
        <v>66</v>
      </c>
      <c r="AT2141">
        <v>2.68</v>
      </c>
      <c r="AU2141">
        <v>77</v>
      </c>
      <c r="AV2141">
        <v>-3.68</v>
      </c>
      <c r="AW2141">
        <v>84</v>
      </c>
      <c r="AX2141">
        <v>-0.84</v>
      </c>
      <c r="AY2141">
        <v>76</v>
      </c>
      <c r="AZ2141">
        <v>6.07</v>
      </c>
      <c r="BA2141">
        <v>60</v>
      </c>
      <c r="BB2141">
        <v>4.18</v>
      </c>
      <c r="BC2141">
        <v>64</v>
      </c>
      <c r="BD2141">
        <v>0.03</v>
      </c>
      <c r="BE2141">
        <v>0.01</v>
      </c>
      <c r="BF2141">
        <v>-0.06</v>
      </c>
      <c r="BG2141">
        <v>86</v>
      </c>
      <c r="BH2141">
        <v>0.19</v>
      </c>
      <c r="BI2141">
        <v>5.3</v>
      </c>
      <c r="BJ2141">
        <v>16</v>
      </c>
      <c r="BK2141">
        <v>15</v>
      </c>
      <c r="BL2141">
        <v>-0.27</v>
      </c>
      <c r="BM2141">
        <v>-1</v>
      </c>
      <c r="BN2141">
        <v>-1.24</v>
      </c>
      <c r="BO2141">
        <v>-7.0000000000000007E-2</v>
      </c>
      <c r="BP2141">
        <v>1.5</v>
      </c>
      <c r="BQ2141">
        <v>-0.03</v>
      </c>
      <c r="BR2141">
        <v>0.03</v>
      </c>
      <c r="BS2141">
        <v>0.39</v>
      </c>
      <c r="BT2141">
        <v>-0.42</v>
      </c>
      <c r="BU2141">
        <v>-0.96</v>
      </c>
      <c r="BV2141">
        <v>0.02</v>
      </c>
      <c r="BW2141">
        <v>0</v>
      </c>
      <c r="BX2141">
        <v>-0.24</v>
      </c>
      <c r="BY2141">
        <v>-0.76</v>
      </c>
      <c r="BZ2141">
        <v>-1.63</v>
      </c>
      <c r="CA2141">
        <v>-7.0000000000000007E-2</v>
      </c>
      <c r="CB2141">
        <v>-0.52</v>
      </c>
      <c r="CC2141">
        <v>0.63</v>
      </c>
      <c r="CD2141">
        <v>-0.48</v>
      </c>
      <c r="CE2141">
        <v>0.18</v>
      </c>
      <c r="CF2141">
        <v>-0.56000000000000005</v>
      </c>
      <c r="CG2141">
        <v>0</v>
      </c>
      <c r="CH2141">
        <v>-0.54</v>
      </c>
      <c r="CI2141">
        <v>0</v>
      </c>
      <c r="CJ2141">
        <v>-2.8</v>
      </c>
      <c r="CK2141">
        <v>87</v>
      </c>
      <c r="CL2141">
        <v>-0.8</v>
      </c>
      <c r="CM2141">
        <v>86</v>
      </c>
      <c r="CN2141">
        <v>-0.23</v>
      </c>
      <c r="CO2141">
        <v>84</v>
      </c>
      <c r="CP2141">
        <v>-3.4</v>
      </c>
      <c r="CQ2141">
        <v>87</v>
      </c>
      <c r="CR2141">
        <v>0</v>
      </c>
      <c r="CS2141">
        <v>0</v>
      </c>
      <c r="CT2141">
        <v>9.9</v>
      </c>
      <c r="CU2141">
        <v>81</v>
      </c>
      <c r="CV2141">
        <v>0.14000000000000001</v>
      </c>
      <c r="CW2141">
        <v>43</v>
      </c>
      <c r="CX2141" t="s">
        <v>753</v>
      </c>
    </row>
    <row r="2142" spans="1:102" x14ac:dyDescent="0.3">
      <c r="A2142" t="str">
        <f>HYPERLINK("https://webapp.icbf.com/v2/app/bull-search/view/496404643","YRH")</f>
        <v>YRH</v>
      </c>
      <c r="B2142" t="s">
        <v>4871</v>
      </c>
      <c r="C2142" t="s">
        <v>4872</v>
      </c>
      <c r="D2142" s="1">
        <v>39106</v>
      </c>
      <c r="E2142" t="s">
        <v>92</v>
      </c>
      <c r="F2142">
        <v>94</v>
      </c>
      <c r="G2142" t="s">
        <v>435</v>
      </c>
      <c r="H2142">
        <v>61.61</v>
      </c>
      <c r="I2142">
        <v>69</v>
      </c>
      <c r="J2142">
        <v>-0.11</v>
      </c>
      <c r="K2142">
        <v>85</v>
      </c>
      <c r="L2142">
        <v>37.479999999999997</v>
      </c>
      <c r="M2142">
        <v>65</v>
      </c>
      <c r="N2142">
        <v>11.51</v>
      </c>
      <c r="O2142">
        <v>53</v>
      </c>
      <c r="P2142">
        <v>6.46</v>
      </c>
      <c r="Q2142">
        <v>61</v>
      </c>
      <c r="R2142">
        <v>-8.3800000000000008</v>
      </c>
      <c r="S2142">
        <v>65</v>
      </c>
      <c r="T2142">
        <v>8.5</v>
      </c>
      <c r="U2142">
        <v>50</v>
      </c>
      <c r="V2142">
        <v>6.15</v>
      </c>
      <c r="W2142">
        <v>61</v>
      </c>
      <c r="X2142" t="s">
        <v>94</v>
      </c>
      <c r="Y2142" t="s">
        <v>1374</v>
      </c>
      <c r="Z2142" t="s">
        <v>96</v>
      </c>
      <c r="AA2142" t="s">
        <v>1406</v>
      </c>
      <c r="AB2142" t="s">
        <v>4873</v>
      </c>
      <c r="AC2142">
        <v>1</v>
      </c>
      <c r="AD2142">
        <v>1</v>
      </c>
      <c r="AE2142">
        <v>85</v>
      </c>
      <c r="AF2142">
        <v>38.57</v>
      </c>
      <c r="AG2142">
        <v>-5.82</v>
      </c>
      <c r="AH2142">
        <v>2.63</v>
      </c>
      <c r="AI2142">
        <v>-0.13</v>
      </c>
      <c r="AJ2142">
        <v>0.03</v>
      </c>
      <c r="AK2142">
        <v>65</v>
      </c>
      <c r="AL2142">
        <v>1</v>
      </c>
      <c r="AM2142">
        <v>1</v>
      </c>
      <c r="AN2142">
        <v>-1.21</v>
      </c>
      <c r="AO2142">
        <v>1.79</v>
      </c>
      <c r="AP2142">
        <v>1</v>
      </c>
      <c r="AQ2142">
        <v>0</v>
      </c>
      <c r="AR2142">
        <v>6.34</v>
      </c>
      <c r="AS2142">
        <v>55</v>
      </c>
      <c r="AT2142">
        <v>2.6</v>
      </c>
      <c r="AU2142">
        <v>62</v>
      </c>
      <c r="AV2142">
        <v>-0.93</v>
      </c>
      <c r="AW2142">
        <v>52</v>
      </c>
      <c r="AX2142">
        <v>-0.46</v>
      </c>
      <c r="AY2142">
        <v>47</v>
      </c>
      <c r="AZ2142">
        <v>7.57</v>
      </c>
      <c r="BA2142">
        <v>46</v>
      </c>
      <c r="BB2142">
        <v>5.52</v>
      </c>
      <c r="BC2142">
        <v>47</v>
      </c>
      <c r="BD2142">
        <v>0.01</v>
      </c>
      <c r="BE2142">
        <v>0.04</v>
      </c>
      <c r="BF2142">
        <v>0.1</v>
      </c>
      <c r="BG2142">
        <v>73</v>
      </c>
      <c r="BH2142">
        <v>0.09</v>
      </c>
      <c r="BI2142">
        <v>-9.43</v>
      </c>
      <c r="BJ2142">
        <v>0</v>
      </c>
      <c r="BK2142">
        <v>0</v>
      </c>
      <c r="BL2142">
        <v>-0.28999999999999998</v>
      </c>
      <c r="BM2142">
        <v>-0.57999999999999996</v>
      </c>
      <c r="BN2142">
        <v>-1.67</v>
      </c>
      <c r="BO2142">
        <v>-1.07</v>
      </c>
      <c r="BP2142">
        <v>3.19</v>
      </c>
      <c r="BQ2142">
        <v>-1.17</v>
      </c>
      <c r="BR2142">
        <v>-0.56999999999999995</v>
      </c>
      <c r="BS2142">
        <v>-0.64</v>
      </c>
      <c r="BT2142">
        <v>0.02</v>
      </c>
      <c r="BU2142">
        <v>-1.1000000000000001</v>
      </c>
      <c r="BV2142">
        <v>-0.41</v>
      </c>
      <c r="BW2142">
        <v>-0.83</v>
      </c>
      <c r="BX2142">
        <v>-0.48</v>
      </c>
      <c r="BY2142">
        <v>0.26</v>
      </c>
      <c r="BZ2142">
        <v>-0.44</v>
      </c>
      <c r="CA2142">
        <v>-0.49</v>
      </c>
      <c r="CB2142">
        <v>-0.55000000000000004</v>
      </c>
      <c r="CC2142">
        <v>-0.91</v>
      </c>
      <c r="CD2142">
        <v>0.13</v>
      </c>
      <c r="CE2142">
        <v>-0.51</v>
      </c>
      <c r="CF2142">
        <v>-1.1599999999999999</v>
      </c>
      <c r="CG2142">
        <v>0</v>
      </c>
      <c r="CH2142">
        <v>-0.98</v>
      </c>
      <c r="CI2142">
        <v>0</v>
      </c>
      <c r="CJ2142">
        <v>2.8</v>
      </c>
      <c r="CK2142">
        <v>63</v>
      </c>
      <c r="CL2142">
        <v>-0.09</v>
      </c>
      <c r="CM2142">
        <v>59</v>
      </c>
      <c r="CN2142">
        <v>-0.38</v>
      </c>
      <c r="CO2142">
        <v>58</v>
      </c>
      <c r="CP2142">
        <v>-6.2</v>
      </c>
      <c r="CQ2142">
        <v>54</v>
      </c>
      <c r="CR2142">
        <v>0</v>
      </c>
      <c r="CS2142">
        <v>0</v>
      </c>
      <c r="CT2142">
        <v>2.2999999999999998</v>
      </c>
      <c r="CU2142">
        <v>50</v>
      </c>
      <c r="CV2142">
        <v>0.03</v>
      </c>
      <c r="CW2142">
        <v>38</v>
      </c>
      <c r="CX2142" t="s">
        <v>4342</v>
      </c>
    </row>
    <row r="2143" spans="1:102" x14ac:dyDescent="0.3">
      <c r="A2143" t="str">
        <f>HYPERLINK("https://webapp.icbf.com/v2/app/bull-search/view/327708182","VML")</f>
        <v>VML</v>
      </c>
      <c r="B2143" t="s">
        <v>14400</v>
      </c>
      <c r="C2143" t="s">
        <v>2016</v>
      </c>
      <c r="D2143" s="1">
        <v>38020</v>
      </c>
      <c r="E2143" t="s">
        <v>108</v>
      </c>
      <c r="F2143">
        <v>0</v>
      </c>
      <c r="G2143" t="s">
        <v>93</v>
      </c>
      <c r="H2143">
        <v>61.41</v>
      </c>
      <c r="I2143">
        <v>99</v>
      </c>
      <c r="J2143">
        <v>21.72</v>
      </c>
      <c r="K2143">
        <v>99</v>
      </c>
      <c r="L2143">
        <v>28.06</v>
      </c>
      <c r="M2143">
        <v>98</v>
      </c>
      <c r="N2143">
        <v>23.63</v>
      </c>
      <c r="O2143">
        <v>99</v>
      </c>
      <c r="P2143">
        <v>-3.86</v>
      </c>
      <c r="Q2143">
        <v>99</v>
      </c>
      <c r="R2143">
        <v>-5.12</v>
      </c>
      <c r="S2143">
        <v>98</v>
      </c>
      <c r="T2143">
        <v>-0.9</v>
      </c>
      <c r="U2143">
        <v>99</v>
      </c>
      <c r="V2143">
        <v>-2.12</v>
      </c>
      <c r="W2143">
        <v>97</v>
      </c>
      <c r="X2143" t="s">
        <v>94</v>
      </c>
      <c r="Y2143" t="s">
        <v>1153</v>
      </c>
      <c r="Z2143" t="s">
        <v>96</v>
      </c>
      <c r="AA2143" t="s">
        <v>975</v>
      </c>
      <c r="AB2143" t="s">
        <v>5525</v>
      </c>
      <c r="AC2143">
        <v>4570</v>
      </c>
      <c r="AD2143">
        <v>1380</v>
      </c>
      <c r="AE2143">
        <v>99</v>
      </c>
      <c r="AF2143">
        <v>-198.19</v>
      </c>
      <c r="AG2143">
        <v>2.6</v>
      </c>
      <c r="AH2143">
        <v>-0.26</v>
      </c>
      <c r="AI2143">
        <v>0.19</v>
      </c>
      <c r="AJ2143">
        <v>0.12</v>
      </c>
      <c r="AK2143">
        <v>98</v>
      </c>
      <c r="AL2143">
        <v>7447</v>
      </c>
      <c r="AM2143">
        <v>2411</v>
      </c>
      <c r="AN2143">
        <v>-2.12</v>
      </c>
      <c r="AO2143">
        <v>0.11</v>
      </c>
      <c r="AP2143">
        <v>9957</v>
      </c>
      <c r="AQ2143">
        <v>94</v>
      </c>
      <c r="AR2143">
        <v>7.8</v>
      </c>
      <c r="AS2143">
        <v>99</v>
      </c>
      <c r="AT2143">
        <v>3.37</v>
      </c>
      <c r="AU2143">
        <v>99</v>
      </c>
      <c r="AV2143">
        <v>-2.83</v>
      </c>
      <c r="AW2143">
        <v>99</v>
      </c>
      <c r="AX2143">
        <v>-0.36</v>
      </c>
      <c r="AY2143">
        <v>99</v>
      </c>
      <c r="AZ2143">
        <v>5.25</v>
      </c>
      <c r="BA2143">
        <v>99</v>
      </c>
      <c r="BB2143">
        <v>4.7300000000000004</v>
      </c>
      <c r="BC2143">
        <v>99</v>
      </c>
      <c r="BD2143">
        <v>0.01</v>
      </c>
      <c r="BE2143">
        <v>-0.01</v>
      </c>
      <c r="BF2143">
        <v>0.12</v>
      </c>
      <c r="BG2143">
        <v>99</v>
      </c>
      <c r="BH2143">
        <v>-0.06</v>
      </c>
      <c r="BI2143">
        <v>-0.09</v>
      </c>
      <c r="BJ2143">
        <v>278</v>
      </c>
      <c r="BK2143">
        <v>104</v>
      </c>
      <c r="BL2143">
        <v>-1.35</v>
      </c>
      <c r="BM2143">
        <v>3.1</v>
      </c>
      <c r="BN2143">
        <v>1.8</v>
      </c>
      <c r="BO2143">
        <v>-0.56999999999999995</v>
      </c>
      <c r="BP2143">
        <v>0.93</v>
      </c>
      <c r="BQ2143">
        <v>4.3600000000000003</v>
      </c>
      <c r="BR2143">
        <v>-0.89</v>
      </c>
      <c r="BS2143">
        <v>1.84</v>
      </c>
      <c r="BT2143">
        <v>1.79</v>
      </c>
      <c r="BU2143">
        <v>-2.0099999999999998</v>
      </c>
      <c r="BV2143">
        <v>-1.72</v>
      </c>
      <c r="BW2143">
        <v>-2.2000000000000002</v>
      </c>
      <c r="BX2143">
        <v>-2.92</v>
      </c>
      <c r="BY2143">
        <v>-2.4300000000000002</v>
      </c>
      <c r="BZ2143">
        <v>1.37</v>
      </c>
      <c r="CA2143">
        <v>-0.87</v>
      </c>
      <c r="CB2143">
        <v>-1.66</v>
      </c>
      <c r="CC2143">
        <v>1.7</v>
      </c>
      <c r="CD2143">
        <v>2.58</v>
      </c>
      <c r="CE2143">
        <v>-0.75</v>
      </c>
      <c r="CF2143">
        <v>1.62</v>
      </c>
      <c r="CG2143">
        <v>0</v>
      </c>
      <c r="CH2143">
        <v>-2.4500000000000002</v>
      </c>
      <c r="CI2143">
        <v>0</v>
      </c>
      <c r="CJ2143">
        <v>-2.5</v>
      </c>
      <c r="CK2143">
        <v>99</v>
      </c>
      <c r="CL2143">
        <v>-0.41</v>
      </c>
      <c r="CM2143">
        <v>99</v>
      </c>
      <c r="CN2143">
        <v>-0.36</v>
      </c>
      <c r="CO2143">
        <v>99</v>
      </c>
      <c r="CP2143">
        <v>-2.6</v>
      </c>
      <c r="CQ2143">
        <v>99</v>
      </c>
      <c r="CR2143">
        <v>0</v>
      </c>
      <c r="CS2143">
        <v>0</v>
      </c>
      <c r="CT2143">
        <v>15</v>
      </c>
      <c r="CU2143">
        <v>99</v>
      </c>
      <c r="CV2143">
        <v>0.1</v>
      </c>
      <c r="CW2143">
        <v>48</v>
      </c>
      <c r="CX2143" t="s">
        <v>863</v>
      </c>
    </row>
    <row r="2144" spans="1:102" x14ac:dyDescent="0.3">
      <c r="A2144" t="str">
        <f>HYPERLINK("https://webapp.icbf.com/v2/app/bull-search/view/77858713","CXL")</f>
        <v>CXL</v>
      </c>
      <c r="B2144" t="s">
        <v>14100</v>
      </c>
      <c r="C2144" t="s">
        <v>14101</v>
      </c>
      <c r="D2144" s="1">
        <v>35547</v>
      </c>
      <c r="E2144" t="s">
        <v>92</v>
      </c>
      <c r="F2144">
        <v>97</v>
      </c>
      <c r="G2144" t="s">
        <v>93</v>
      </c>
      <c r="H2144">
        <v>61.34</v>
      </c>
      <c r="I2144">
        <v>86</v>
      </c>
      <c r="J2144">
        <v>35.950000000000003</v>
      </c>
      <c r="K2144">
        <v>97</v>
      </c>
      <c r="L2144">
        <v>-5.8</v>
      </c>
      <c r="M2144">
        <v>82</v>
      </c>
      <c r="N2144">
        <v>30.1</v>
      </c>
      <c r="O2144">
        <v>78</v>
      </c>
      <c r="P2144">
        <v>-0.68</v>
      </c>
      <c r="Q2144">
        <v>83</v>
      </c>
      <c r="R2144">
        <v>2.5099999999999998</v>
      </c>
      <c r="S2144">
        <v>82</v>
      </c>
      <c r="T2144">
        <v>-2.08</v>
      </c>
      <c r="U2144">
        <v>79</v>
      </c>
      <c r="V2144">
        <v>1.34</v>
      </c>
      <c r="W2144">
        <v>73</v>
      </c>
      <c r="X2144" t="s">
        <v>94</v>
      </c>
      <c r="Y2144" t="s">
        <v>95</v>
      </c>
      <c r="Z2144" t="s">
        <v>96</v>
      </c>
      <c r="AA2144" t="s">
        <v>753</v>
      </c>
      <c r="AB2144" t="s">
        <v>8721</v>
      </c>
      <c r="AC2144">
        <v>85</v>
      </c>
      <c r="AD2144">
        <v>70</v>
      </c>
      <c r="AE2144">
        <v>97</v>
      </c>
      <c r="AF2144">
        <v>13.87</v>
      </c>
      <c r="AG2144">
        <v>10.96</v>
      </c>
      <c r="AH2144">
        <v>2.4500000000000002</v>
      </c>
      <c r="AI2144">
        <v>0.18</v>
      </c>
      <c r="AJ2144">
        <v>0.03</v>
      </c>
      <c r="AK2144">
        <v>82</v>
      </c>
      <c r="AL2144">
        <v>87</v>
      </c>
      <c r="AM2144">
        <v>64</v>
      </c>
      <c r="AN2144">
        <v>-0.26</v>
      </c>
      <c r="AO2144">
        <v>-0.73</v>
      </c>
      <c r="AP2144">
        <v>6</v>
      </c>
      <c r="AQ2144">
        <v>1</v>
      </c>
      <c r="AR2144">
        <v>6.19</v>
      </c>
      <c r="AS2144">
        <v>67</v>
      </c>
      <c r="AT2144">
        <v>2.2000000000000002</v>
      </c>
      <c r="AU2144">
        <v>80</v>
      </c>
      <c r="AV2144">
        <v>-2.2999999999999998</v>
      </c>
      <c r="AW2144">
        <v>83</v>
      </c>
      <c r="AX2144">
        <v>-0.84</v>
      </c>
      <c r="AY2144">
        <v>77</v>
      </c>
      <c r="AZ2144">
        <v>7.09</v>
      </c>
      <c r="BA2144">
        <v>62</v>
      </c>
      <c r="BB2144">
        <v>5</v>
      </c>
      <c r="BC2144">
        <v>72</v>
      </c>
      <c r="BD2144">
        <v>-0.04</v>
      </c>
      <c r="BE2144">
        <v>0.01</v>
      </c>
      <c r="BF2144">
        <v>-0.01</v>
      </c>
      <c r="BG2144">
        <v>90</v>
      </c>
      <c r="BH2144">
        <v>0.06</v>
      </c>
      <c r="BI2144">
        <v>2.61</v>
      </c>
      <c r="BJ2144">
        <v>4</v>
      </c>
      <c r="BK2144">
        <v>4</v>
      </c>
      <c r="BL2144">
        <v>0.33</v>
      </c>
      <c r="BM2144">
        <v>-0.93</v>
      </c>
      <c r="BN2144">
        <v>-0.01</v>
      </c>
      <c r="BO2144">
        <v>0.16</v>
      </c>
      <c r="BP2144">
        <v>-0.31</v>
      </c>
      <c r="BQ2144">
        <v>-2.79</v>
      </c>
      <c r="BR2144">
        <v>-0.45</v>
      </c>
      <c r="BS2144">
        <v>0.84</v>
      </c>
      <c r="BT2144">
        <v>-0.24</v>
      </c>
      <c r="BU2144">
        <v>1.75</v>
      </c>
      <c r="BV2144">
        <v>0.31</v>
      </c>
      <c r="BW2144">
        <v>0.78</v>
      </c>
      <c r="BX2144">
        <v>2.78</v>
      </c>
      <c r="BY2144">
        <v>0.13</v>
      </c>
      <c r="BZ2144">
        <v>-7.0000000000000007E-2</v>
      </c>
      <c r="CA2144">
        <v>0.93</v>
      </c>
      <c r="CB2144">
        <v>0.61</v>
      </c>
      <c r="CC2144">
        <v>0.91</v>
      </c>
      <c r="CD2144">
        <v>-0.75</v>
      </c>
      <c r="CE2144">
        <v>0.48</v>
      </c>
      <c r="CF2144">
        <v>0.35</v>
      </c>
      <c r="CG2144">
        <v>0</v>
      </c>
      <c r="CH2144">
        <v>-0.21</v>
      </c>
      <c r="CI2144">
        <v>0</v>
      </c>
      <c r="CJ2144">
        <v>1.8</v>
      </c>
      <c r="CK2144">
        <v>84</v>
      </c>
      <c r="CL2144">
        <v>-0.65</v>
      </c>
      <c r="CM2144">
        <v>82</v>
      </c>
      <c r="CN2144">
        <v>-0.24</v>
      </c>
      <c r="CO2144">
        <v>80</v>
      </c>
      <c r="CP2144">
        <v>4.9000000000000004</v>
      </c>
      <c r="CQ2144">
        <v>88</v>
      </c>
      <c r="CR2144">
        <v>0</v>
      </c>
      <c r="CS2144">
        <v>0</v>
      </c>
      <c r="CT2144">
        <v>16.600000000000001</v>
      </c>
      <c r="CU2144">
        <v>79</v>
      </c>
      <c r="CV2144">
        <v>0.17</v>
      </c>
      <c r="CW2144">
        <v>43</v>
      </c>
      <c r="CX2144" t="s">
        <v>1506</v>
      </c>
    </row>
    <row r="2145" spans="1:102" x14ac:dyDescent="0.3">
      <c r="A2145" t="str">
        <f>HYPERLINK("https://webapp.icbf.com/v2/app/bull-search/view/440200796","AIS")</f>
        <v>AIS</v>
      </c>
      <c r="B2145" t="s">
        <v>4574</v>
      </c>
      <c r="C2145" t="s">
        <v>4575</v>
      </c>
      <c r="D2145" s="1">
        <v>38202</v>
      </c>
      <c r="E2145" t="s">
        <v>108</v>
      </c>
      <c r="F2145">
        <v>0</v>
      </c>
      <c r="G2145" t="s">
        <v>93</v>
      </c>
      <c r="H2145">
        <v>61</v>
      </c>
      <c r="I2145">
        <v>72</v>
      </c>
      <c r="J2145">
        <v>-2.77</v>
      </c>
      <c r="K2145">
        <v>88</v>
      </c>
      <c r="L2145">
        <v>48.92</v>
      </c>
      <c r="M2145">
        <v>64</v>
      </c>
      <c r="N2145">
        <v>4.33</v>
      </c>
      <c r="O2145">
        <v>61</v>
      </c>
      <c r="P2145">
        <v>-32.31</v>
      </c>
      <c r="Q2145">
        <v>77</v>
      </c>
      <c r="R2145">
        <v>2.39</v>
      </c>
      <c r="S2145">
        <v>64</v>
      </c>
      <c r="T2145">
        <v>33.36</v>
      </c>
      <c r="U2145">
        <v>64</v>
      </c>
      <c r="V2145">
        <v>7.08</v>
      </c>
      <c r="W2145">
        <v>59</v>
      </c>
      <c r="X2145" t="s">
        <v>102</v>
      </c>
      <c r="Y2145" t="s">
        <v>1164</v>
      </c>
      <c r="Z2145" t="s">
        <v>96</v>
      </c>
      <c r="AA2145" t="s">
        <v>4576</v>
      </c>
      <c r="AB2145" t="s">
        <v>4577</v>
      </c>
      <c r="AC2145">
        <v>14</v>
      </c>
      <c r="AD2145">
        <v>8</v>
      </c>
      <c r="AE2145">
        <v>88</v>
      </c>
      <c r="AF2145">
        <v>-118.32</v>
      </c>
      <c r="AG2145">
        <v>0.19</v>
      </c>
      <c r="AH2145">
        <v>-2.35</v>
      </c>
      <c r="AI2145">
        <v>0.09</v>
      </c>
      <c r="AJ2145">
        <v>0.03</v>
      </c>
      <c r="AK2145">
        <v>64</v>
      </c>
      <c r="AL2145">
        <v>18</v>
      </c>
      <c r="AM2145">
        <v>13</v>
      </c>
      <c r="AN2145">
        <v>-4.3</v>
      </c>
      <c r="AO2145">
        <v>-0.42</v>
      </c>
      <c r="AP2145">
        <v>14</v>
      </c>
      <c r="AQ2145">
        <v>0</v>
      </c>
      <c r="AR2145">
        <v>5.98</v>
      </c>
      <c r="AS2145">
        <v>48</v>
      </c>
      <c r="AT2145">
        <v>2.2799999999999998</v>
      </c>
      <c r="AU2145">
        <v>61</v>
      </c>
      <c r="AV2145">
        <v>-0.61</v>
      </c>
      <c r="AW2145">
        <v>70</v>
      </c>
      <c r="AX2145">
        <v>-0.75</v>
      </c>
      <c r="AY2145">
        <v>58</v>
      </c>
      <c r="AZ2145">
        <v>8.1199999999999992</v>
      </c>
      <c r="BA2145">
        <v>43</v>
      </c>
      <c r="BB2145">
        <v>6.8</v>
      </c>
      <c r="BC2145">
        <v>45</v>
      </c>
      <c r="BD2145">
        <v>0.03</v>
      </c>
      <c r="BE2145">
        <v>-0.05</v>
      </c>
      <c r="BF2145">
        <v>-0.01</v>
      </c>
      <c r="BG2145">
        <v>70</v>
      </c>
      <c r="BH2145">
        <v>0.18</v>
      </c>
      <c r="BI2145">
        <v>-2.0299999999999998</v>
      </c>
      <c r="BJ2145">
        <v>0</v>
      </c>
      <c r="BK2145">
        <v>0</v>
      </c>
      <c r="BL2145">
        <v>-3.34</v>
      </c>
      <c r="BM2145">
        <v>0.6</v>
      </c>
      <c r="BN2145">
        <v>-3.98</v>
      </c>
      <c r="BO2145">
        <v>-3.59</v>
      </c>
      <c r="BP2145">
        <v>-2.17</v>
      </c>
      <c r="BQ2145">
        <v>2.52</v>
      </c>
      <c r="BR2145">
        <v>-2.09</v>
      </c>
      <c r="BS2145">
        <v>0.27</v>
      </c>
      <c r="BT2145">
        <v>0.48</v>
      </c>
      <c r="BU2145">
        <v>-2.81</v>
      </c>
      <c r="BV2145">
        <v>-4.5999999999999996</v>
      </c>
      <c r="BW2145">
        <v>-3.32</v>
      </c>
      <c r="BX2145">
        <v>-0.53</v>
      </c>
      <c r="BY2145">
        <v>-1.88</v>
      </c>
      <c r="BZ2145">
        <v>-0.85</v>
      </c>
      <c r="CA2145">
        <v>-2.62</v>
      </c>
      <c r="CB2145">
        <v>-3.45</v>
      </c>
      <c r="CC2145">
        <v>-0.86</v>
      </c>
      <c r="CD2145">
        <v>2.95</v>
      </c>
      <c r="CE2145">
        <v>-3.7</v>
      </c>
      <c r="CF2145">
        <v>-2.2400000000000002</v>
      </c>
      <c r="CG2145">
        <v>0</v>
      </c>
      <c r="CH2145">
        <v>-1.32</v>
      </c>
      <c r="CI2145">
        <v>0</v>
      </c>
      <c r="CJ2145">
        <v>-18.5</v>
      </c>
      <c r="CK2145">
        <v>79</v>
      </c>
      <c r="CL2145">
        <v>-0.53</v>
      </c>
      <c r="CM2145">
        <v>76</v>
      </c>
      <c r="CN2145">
        <v>-0.23</v>
      </c>
      <c r="CO2145">
        <v>73</v>
      </c>
      <c r="CP2145">
        <v>-26.7</v>
      </c>
      <c r="CQ2145">
        <v>75</v>
      </c>
      <c r="CR2145">
        <v>0</v>
      </c>
      <c r="CS2145">
        <v>0</v>
      </c>
      <c r="CT2145">
        <v>-31.3</v>
      </c>
      <c r="CU2145">
        <v>64</v>
      </c>
      <c r="CV2145">
        <v>-0.08</v>
      </c>
      <c r="CW2145">
        <v>41</v>
      </c>
      <c r="CX2145" t="s">
        <v>4578</v>
      </c>
    </row>
    <row r="2146" spans="1:102" x14ac:dyDescent="0.3">
      <c r="A2146" t="str">
        <f>HYPERLINK("https://webapp.icbf.com/v2/app/bull-search/view/1059936424","S1533")</f>
        <v>S1533</v>
      </c>
      <c r="B2146" t="s">
        <v>1944</v>
      </c>
      <c r="C2146" t="s">
        <v>1945</v>
      </c>
      <c r="D2146" s="1">
        <v>38597</v>
      </c>
      <c r="E2146" t="s">
        <v>197</v>
      </c>
      <c r="F2146">
        <v>0</v>
      </c>
      <c r="G2146" t="s">
        <v>435</v>
      </c>
      <c r="H2146">
        <v>60.99</v>
      </c>
      <c r="I2146">
        <v>43</v>
      </c>
      <c r="J2146">
        <v>5.52</v>
      </c>
      <c r="K2146">
        <v>63</v>
      </c>
      <c r="L2146">
        <v>54.03</v>
      </c>
      <c r="M2146">
        <v>18</v>
      </c>
      <c r="N2146">
        <v>-28</v>
      </c>
      <c r="O2146">
        <v>56</v>
      </c>
      <c r="P2146">
        <v>21.33</v>
      </c>
      <c r="Q2146">
        <v>71</v>
      </c>
      <c r="R2146">
        <v>2.71</v>
      </c>
      <c r="S2146">
        <v>20</v>
      </c>
      <c r="T2146">
        <v>9.98</v>
      </c>
      <c r="U2146">
        <v>53</v>
      </c>
      <c r="V2146">
        <v>-4.58</v>
      </c>
      <c r="W2146">
        <v>1</v>
      </c>
      <c r="X2146" t="s">
        <v>198</v>
      </c>
      <c r="Y2146" t="s">
        <v>362</v>
      </c>
      <c r="Z2146">
        <v>0</v>
      </c>
      <c r="AA2146" t="s">
        <v>1946</v>
      </c>
      <c r="AB2146" t="s">
        <v>1947</v>
      </c>
      <c r="AC2146">
        <v>8</v>
      </c>
      <c r="AD2146">
        <v>2</v>
      </c>
      <c r="AE2146">
        <v>63</v>
      </c>
      <c r="AF2146">
        <v>-13.91</v>
      </c>
      <c r="AG2146">
        <v>2.59</v>
      </c>
      <c r="AH2146">
        <v>-0.19</v>
      </c>
      <c r="AI2146">
        <v>0.05</v>
      </c>
      <c r="AJ2146">
        <v>0</v>
      </c>
      <c r="AK2146">
        <v>18</v>
      </c>
      <c r="AL2146">
        <v>7</v>
      </c>
      <c r="AM2146">
        <v>2</v>
      </c>
      <c r="AN2146">
        <v>-4.3899999999999997</v>
      </c>
      <c r="AO2146">
        <v>-0.1</v>
      </c>
      <c r="AP2146">
        <v>35</v>
      </c>
      <c r="AQ2146">
        <v>0</v>
      </c>
      <c r="AR2146">
        <v>6.85</v>
      </c>
      <c r="AS2146">
        <v>59</v>
      </c>
      <c r="AT2146">
        <v>6.79</v>
      </c>
      <c r="AU2146">
        <v>43</v>
      </c>
      <c r="AV2146">
        <v>-0.64</v>
      </c>
      <c r="AW2146">
        <v>80</v>
      </c>
      <c r="AX2146">
        <v>0.63</v>
      </c>
      <c r="AY2146">
        <v>47</v>
      </c>
      <c r="AZ2146">
        <v>7.57</v>
      </c>
      <c r="BA2146">
        <v>20</v>
      </c>
      <c r="BB2146">
        <v>3.24</v>
      </c>
      <c r="BC2146">
        <v>20</v>
      </c>
      <c r="BD2146">
        <v>0.01</v>
      </c>
      <c r="BE2146">
        <v>-0.01</v>
      </c>
      <c r="BF2146">
        <v>-0.06</v>
      </c>
      <c r="BG2146">
        <v>24</v>
      </c>
      <c r="BH2146">
        <v>-0.13</v>
      </c>
      <c r="BI2146">
        <v>-0.25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0</v>
      </c>
      <c r="CJ2146">
        <v>12.5</v>
      </c>
      <c r="CK2146">
        <v>74</v>
      </c>
      <c r="CL2146">
        <v>0.23</v>
      </c>
      <c r="CM2146">
        <v>69</v>
      </c>
      <c r="CN2146">
        <v>-0.06</v>
      </c>
      <c r="CO2146">
        <v>67</v>
      </c>
      <c r="CP2146">
        <v>6.7</v>
      </c>
      <c r="CQ2146">
        <v>56</v>
      </c>
      <c r="CR2146">
        <v>0</v>
      </c>
      <c r="CS2146">
        <v>0</v>
      </c>
      <c r="CT2146">
        <v>0.3</v>
      </c>
      <c r="CU2146">
        <v>53</v>
      </c>
      <c r="CV2146">
        <v>0.04</v>
      </c>
      <c r="CW2146">
        <v>40</v>
      </c>
      <c r="CX2146" t="s">
        <v>1672</v>
      </c>
    </row>
    <row r="2147" spans="1:102" x14ac:dyDescent="0.3">
      <c r="A2147" t="str">
        <f>HYPERLINK("https://webapp.icbf.com/v2/app/bull-search/view/345357096","BCY")</f>
        <v>BCY</v>
      </c>
      <c r="B2147" t="s">
        <v>11817</v>
      </c>
      <c r="C2147" t="s">
        <v>11818</v>
      </c>
      <c r="D2147" s="1">
        <v>38035</v>
      </c>
      <c r="E2147" t="s">
        <v>92</v>
      </c>
      <c r="F2147">
        <v>94</v>
      </c>
      <c r="G2147" t="s">
        <v>93</v>
      </c>
      <c r="H2147">
        <v>60.96</v>
      </c>
      <c r="I2147">
        <v>86</v>
      </c>
      <c r="J2147">
        <v>38.26</v>
      </c>
      <c r="K2147">
        <v>96</v>
      </c>
      <c r="L2147">
        <v>29.63</v>
      </c>
      <c r="M2147">
        <v>77</v>
      </c>
      <c r="N2147">
        <v>-13.53</v>
      </c>
      <c r="O2147">
        <v>84</v>
      </c>
      <c r="P2147">
        <v>-12</v>
      </c>
      <c r="Q2147">
        <v>90</v>
      </c>
      <c r="R2147">
        <v>-6.29</v>
      </c>
      <c r="S2147">
        <v>79</v>
      </c>
      <c r="T2147">
        <v>18.93</v>
      </c>
      <c r="U2147">
        <v>87</v>
      </c>
      <c r="V2147">
        <v>5.96</v>
      </c>
      <c r="W2147">
        <v>74</v>
      </c>
      <c r="X2147" t="s">
        <v>94</v>
      </c>
      <c r="Y2147" t="s">
        <v>95</v>
      </c>
      <c r="Z2147" t="s">
        <v>96</v>
      </c>
      <c r="AA2147" t="s">
        <v>1037</v>
      </c>
      <c r="AB2147" t="s">
        <v>11819</v>
      </c>
      <c r="AC2147">
        <v>61</v>
      </c>
      <c r="AD2147">
        <v>55</v>
      </c>
      <c r="AE2147">
        <v>96</v>
      </c>
      <c r="AF2147">
        <v>-63.77</v>
      </c>
      <c r="AG2147">
        <v>0.54</v>
      </c>
      <c r="AH2147">
        <v>5.34</v>
      </c>
      <c r="AI2147">
        <v>0.05</v>
      </c>
      <c r="AJ2147">
        <v>0.13</v>
      </c>
      <c r="AK2147">
        <v>77</v>
      </c>
      <c r="AL2147">
        <v>64</v>
      </c>
      <c r="AM2147">
        <v>52</v>
      </c>
      <c r="AN2147">
        <v>-2.65</v>
      </c>
      <c r="AO2147">
        <v>-0.3</v>
      </c>
      <c r="AP2147">
        <v>153</v>
      </c>
      <c r="AQ2147">
        <v>1</v>
      </c>
      <c r="AR2147">
        <v>9.8699999999999992</v>
      </c>
      <c r="AS2147">
        <v>67</v>
      </c>
      <c r="AT2147">
        <v>4.09</v>
      </c>
      <c r="AU2147">
        <v>86</v>
      </c>
      <c r="AV2147">
        <v>-1.47</v>
      </c>
      <c r="AW2147">
        <v>95</v>
      </c>
      <c r="AX2147">
        <v>0.73</v>
      </c>
      <c r="AY2147">
        <v>78</v>
      </c>
      <c r="AZ2147">
        <v>8.17</v>
      </c>
      <c r="BA2147">
        <v>61</v>
      </c>
      <c r="BB2147">
        <v>5.81</v>
      </c>
      <c r="BC2147">
        <v>64</v>
      </c>
      <c r="BD2147">
        <v>0.04</v>
      </c>
      <c r="BE2147">
        <v>0.02</v>
      </c>
      <c r="BF2147">
        <v>0.04</v>
      </c>
      <c r="BG2147">
        <v>86</v>
      </c>
      <c r="BH2147">
        <v>0.16</v>
      </c>
      <c r="BI2147">
        <v>-0.72</v>
      </c>
      <c r="BJ2147">
        <v>39</v>
      </c>
      <c r="BK2147">
        <v>31</v>
      </c>
      <c r="BL2147">
        <v>-0.41</v>
      </c>
      <c r="BM2147">
        <v>-0.24</v>
      </c>
      <c r="BN2147">
        <v>-0.01</v>
      </c>
      <c r="BO2147">
        <v>-0.14000000000000001</v>
      </c>
      <c r="BP2147">
        <v>-1.37</v>
      </c>
      <c r="BQ2147">
        <v>-1.1599999999999999</v>
      </c>
      <c r="BR2147">
        <v>2.0299999999999998</v>
      </c>
      <c r="BS2147">
        <v>-0.81</v>
      </c>
      <c r="BT2147">
        <v>-1.8</v>
      </c>
      <c r="BU2147">
        <v>0.89</v>
      </c>
      <c r="BV2147">
        <v>0.68</v>
      </c>
      <c r="BW2147">
        <v>0.41</v>
      </c>
      <c r="BX2147">
        <v>-0.7</v>
      </c>
      <c r="BY2147">
        <v>0.08</v>
      </c>
      <c r="BZ2147">
        <v>-0.44</v>
      </c>
      <c r="CA2147">
        <v>0.4</v>
      </c>
      <c r="CB2147">
        <v>1.4</v>
      </c>
      <c r="CC2147">
        <v>-1.91</v>
      </c>
      <c r="CD2147">
        <v>-0.03</v>
      </c>
      <c r="CE2147">
        <v>-0.35</v>
      </c>
      <c r="CF2147">
        <v>-0.39</v>
      </c>
      <c r="CG2147">
        <v>0</v>
      </c>
      <c r="CH2147">
        <v>0.59</v>
      </c>
      <c r="CI2147">
        <v>0</v>
      </c>
      <c r="CJ2147">
        <v>-4.5</v>
      </c>
      <c r="CK2147">
        <v>91</v>
      </c>
      <c r="CL2147">
        <v>-0.5</v>
      </c>
      <c r="CM2147">
        <v>89</v>
      </c>
      <c r="CN2147">
        <v>-0.1</v>
      </c>
      <c r="CO2147">
        <v>88</v>
      </c>
      <c r="CP2147">
        <v>-12</v>
      </c>
      <c r="CQ2147">
        <v>87</v>
      </c>
      <c r="CR2147">
        <v>0</v>
      </c>
      <c r="CS2147">
        <v>0</v>
      </c>
      <c r="CT2147">
        <v>-11.8</v>
      </c>
      <c r="CU2147">
        <v>87</v>
      </c>
      <c r="CV2147">
        <v>0.01</v>
      </c>
      <c r="CW2147">
        <v>45</v>
      </c>
      <c r="CX2147" t="s">
        <v>1100</v>
      </c>
    </row>
    <row r="2148" spans="1:102" x14ac:dyDescent="0.3">
      <c r="A2148" t="str">
        <f>HYPERLINK("https://webapp.icbf.com/v2/app/bull-search/view/804576060","S1410")</f>
        <v>S1410</v>
      </c>
      <c r="B2148" t="s">
        <v>5602</v>
      </c>
      <c r="C2148" t="s">
        <v>5603</v>
      </c>
      <c r="D2148" s="1">
        <v>39353</v>
      </c>
      <c r="E2148" t="s">
        <v>92</v>
      </c>
      <c r="F2148">
        <v>100</v>
      </c>
      <c r="G2148" t="s">
        <v>109</v>
      </c>
      <c r="H2148">
        <v>60.95</v>
      </c>
      <c r="I2148">
        <v>63</v>
      </c>
      <c r="J2148">
        <v>67.709999999999994</v>
      </c>
      <c r="K2148">
        <v>73</v>
      </c>
      <c r="L2148">
        <v>-55.8</v>
      </c>
      <c r="M2148">
        <v>66</v>
      </c>
      <c r="N2148">
        <v>31.49</v>
      </c>
      <c r="O2148">
        <v>55</v>
      </c>
      <c r="P2148">
        <v>8.27</v>
      </c>
      <c r="Q2148">
        <v>53</v>
      </c>
      <c r="R2148">
        <v>3.64</v>
      </c>
      <c r="S2148">
        <v>61</v>
      </c>
      <c r="T2148">
        <v>1.39</v>
      </c>
      <c r="U2148">
        <v>46</v>
      </c>
      <c r="V2148">
        <v>4.25</v>
      </c>
      <c r="W2148">
        <v>29</v>
      </c>
      <c r="X2148" t="s">
        <v>234</v>
      </c>
      <c r="Y2148" t="s">
        <v>342</v>
      </c>
      <c r="Z2148" t="s">
        <v>96</v>
      </c>
      <c r="AA2148" t="s">
        <v>358</v>
      </c>
      <c r="AB2148" t="s">
        <v>5604</v>
      </c>
      <c r="AC2148">
        <v>0</v>
      </c>
      <c r="AD2148">
        <v>0</v>
      </c>
      <c r="AE2148">
        <v>73</v>
      </c>
      <c r="AF2148">
        <v>389.7</v>
      </c>
      <c r="AG2148">
        <v>11.08</v>
      </c>
      <c r="AH2148">
        <v>13.56</v>
      </c>
      <c r="AI2148">
        <v>-0.06</v>
      </c>
      <c r="AJ2148">
        <v>0</v>
      </c>
      <c r="AK2148">
        <v>66</v>
      </c>
      <c r="AL2148">
        <v>0</v>
      </c>
      <c r="AM2148">
        <v>0</v>
      </c>
      <c r="AN2148">
        <v>4.58</v>
      </c>
      <c r="AO2148">
        <v>0.15</v>
      </c>
      <c r="AP2148">
        <v>14</v>
      </c>
      <c r="AQ2148">
        <v>0</v>
      </c>
      <c r="AR2148">
        <v>3.88</v>
      </c>
      <c r="AS2148">
        <v>31</v>
      </c>
      <c r="AT2148">
        <v>1.71</v>
      </c>
      <c r="AU2148">
        <v>71</v>
      </c>
      <c r="AV2148">
        <v>-1.86</v>
      </c>
      <c r="AW2148">
        <v>64</v>
      </c>
      <c r="AX2148">
        <v>-0.22</v>
      </c>
      <c r="AY2148">
        <v>40</v>
      </c>
      <c r="AZ2148">
        <v>6.55</v>
      </c>
      <c r="BA2148">
        <v>31</v>
      </c>
      <c r="BB2148">
        <v>5.34</v>
      </c>
      <c r="BC2148">
        <v>30</v>
      </c>
      <c r="BD2148">
        <v>-0.01</v>
      </c>
      <c r="BE2148">
        <v>-0.03</v>
      </c>
      <c r="BF2148">
        <v>-0.01</v>
      </c>
      <c r="BG2148">
        <v>84</v>
      </c>
      <c r="BH2148">
        <v>-0.03</v>
      </c>
      <c r="BI2148">
        <v>-17.18</v>
      </c>
      <c r="BJ2148">
        <v>2</v>
      </c>
      <c r="BK2148">
        <v>2</v>
      </c>
      <c r="BL2148">
        <v>0.4</v>
      </c>
      <c r="BM2148">
        <v>-0.25</v>
      </c>
      <c r="BN2148">
        <v>-0.2</v>
      </c>
      <c r="BO2148">
        <v>0.6</v>
      </c>
      <c r="BP2148">
        <v>0.06</v>
      </c>
      <c r="BQ2148">
        <v>1.07</v>
      </c>
      <c r="BR2148">
        <v>0.26</v>
      </c>
      <c r="BS2148">
        <v>1.52</v>
      </c>
      <c r="BT2148">
        <v>-0.26</v>
      </c>
      <c r="BU2148">
        <v>-0.66</v>
      </c>
      <c r="BV2148">
        <v>0.67</v>
      </c>
      <c r="BW2148">
        <v>-0.52</v>
      </c>
      <c r="BX2148">
        <v>-0.62</v>
      </c>
      <c r="BY2148">
        <v>0.12</v>
      </c>
      <c r="BZ2148">
        <v>1.34</v>
      </c>
      <c r="CA2148">
        <v>0.77</v>
      </c>
      <c r="CB2148">
        <v>0.19</v>
      </c>
      <c r="CC2148">
        <v>1.61</v>
      </c>
      <c r="CD2148">
        <v>-0.69</v>
      </c>
      <c r="CE2148">
        <v>0.53</v>
      </c>
      <c r="CF2148">
        <v>0.66</v>
      </c>
      <c r="CG2148">
        <v>0</v>
      </c>
      <c r="CH2148">
        <v>0.94</v>
      </c>
      <c r="CI2148">
        <v>0</v>
      </c>
      <c r="CJ2148">
        <v>6.3</v>
      </c>
      <c r="CK2148">
        <v>56</v>
      </c>
      <c r="CL2148">
        <v>-0.57999999999999996</v>
      </c>
      <c r="CM2148">
        <v>50</v>
      </c>
      <c r="CN2148">
        <v>-0.42</v>
      </c>
      <c r="CO2148">
        <v>48</v>
      </c>
      <c r="CP2148">
        <v>4.3</v>
      </c>
      <c r="CQ2148">
        <v>47</v>
      </c>
      <c r="CR2148">
        <v>0</v>
      </c>
      <c r="CS2148">
        <v>0</v>
      </c>
      <c r="CT2148">
        <v>11.9</v>
      </c>
      <c r="CU2148">
        <v>46</v>
      </c>
      <c r="CV2148">
        <v>0.28000000000000003</v>
      </c>
      <c r="CW2148">
        <v>17</v>
      </c>
      <c r="CX2148" t="s">
        <v>316</v>
      </c>
    </row>
    <row r="2149" spans="1:102" x14ac:dyDescent="0.3">
      <c r="A2149" t="str">
        <f>HYPERLINK("https://webapp.icbf.com/v2/app/bull-search/view/77855098","MFK")</f>
        <v>MFK</v>
      </c>
      <c r="B2149" t="s">
        <v>3961</v>
      </c>
      <c r="C2149" t="s">
        <v>3962</v>
      </c>
      <c r="D2149" s="1">
        <v>32509</v>
      </c>
      <c r="E2149" t="s">
        <v>92</v>
      </c>
      <c r="F2149">
        <v>50</v>
      </c>
      <c r="G2149" t="s">
        <v>93</v>
      </c>
      <c r="H2149">
        <v>60.94</v>
      </c>
      <c r="I2149">
        <v>66</v>
      </c>
      <c r="J2149">
        <v>30.35</v>
      </c>
      <c r="K2149">
        <v>79</v>
      </c>
      <c r="L2149">
        <v>9.27</v>
      </c>
      <c r="M2149">
        <v>61</v>
      </c>
      <c r="N2149">
        <v>10.8</v>
      </c>
      <c r="O2149">
        <v>48</v>
      </c>
      <c r="P2149">
        <v>2.69</v>
      </c>
      <c r="Q2149">
        <v>72</v>
      </c>
      <c r="R2149">
        <v>6.36</v>
      </c>
      <c r="S2149">
        <v>60</v>
      </c>
      <c r="T2149">
        <v>3.69</v>
      </c>
      <c r="U2149">
        <v>67</v>
      </c>
      <c r="V2149">
        <v>-2.2200000000000002</v>
      </c>
      <c r="W2149">
        <v>29</v>
      </c>
      <c r="X2149" t="s">
        <v>94</v>
      </c>
      <c r="Y2149" t="s">
        <v>95</v>
      </c>
      <c r="Z2149" t="s">
        <v>96</v>
      </c>
      <c r="AA2149" t="s">
        <v>260</v>
      </c>
      <c r="AB2149" t="s">
        <v>3963</v>
      </c>
      <c r="AC2149">
        <v>20</v>
      </c>
      <c r="AD2149">
        <v>22</v>
      </c>
      <c r="AE2149">
        <v>79</v>
      </c>
      <c r="AF2149">
        <v>24.66</v>
      </c>
      <c r="AG2149">
        <v>9.44</v>
      </c>
      <c r="AH2149">
        <v>2.2000000000000002</v>
      </c>
      <c r="AI2149">
        <v>0.14000000000000001</v>
      </c>
      <c r="AJ2149">
        <v>0.02</v>
      </c>
      <c r="AK2149">
        <v>61</v>
      </c>
      <c r="AL2149">
        <v>82</v>
      </c>
      <c r="AM2149">
        <v>64</v>
      </c>
      <c r="AN2149">
        <v>-1.21</v>
      </c>
      <c r="AO2149">
        <v>-0.48</v>
      </c>
      <c r="AP2149">
        <v>4</v>
      </c>
      <c r="AQ2149">
        <v>0</v>
      </c>
      <c r="AR2149">
        <v>7.17</v>
      </c>
      <c r="AS2149">
        <v>26</v>
      </c>
      <c r="AT2149">
        <v>3.17</v>
      </c>
      <c r="AU2149">
        <v>44</v>
      </c>
      <c r="AV2149">
        <v>-0.79</v>
      </c>
      <c r="AW2149">
        <v>56</v>
      </c>
      <c r="AX2149">
        <v>-0.54</v>
      </c>
      <c r="AY2149">
        <v>62</v>
      </c>
      <c r="AZ2149">
        <v>5.87</v>
      </c>
      <c r="BA2149">
        <v>27</v>
      </c>
      <c r="BB2149">
        <v>4.67</v>
      </c>
      <c r="BC2149">
        <v>39</v>
      </c>
      <c r="BD2149">
        <v>0.01</v>
      </c>
      <c r="BE2149">
        <v>0.03</v>
      </c>
      <c r="BF2149">
        <v>-0.22</v>
      </c>
      <c r="BG2149">
        <v>81</v>
      </c>
      <c r="BH2149">
        <v>0.01</v>
      </c>
      <c r="BI2149">
        <v>8.31</v>
      </c>
      <c r="BJ2149">
        <v>22</v>
      </c>
      <c r="BK2149">
        <v>16</v>
      </c>
      <c r="BL2149">
        <v>-0.71</v>
      </c>
      <c r="BM2149">
        <v>0.94</v>
      </c>
      <c r="BN2149">
        <v>-0.19</v>
      </c>
      <c r="BO2149">
        <v>-1.1000000000000001</v>
      </c>
      <c r="BP2149">
        <v>-0.74</v>
      </c>
      <c r="BQ2149">
        <v>0.46</v>
      </c>
      <c r="BR2149">
        <v>0.6</v>
      </c>
      <c r="BS2149">
        <v>-0.17</v>
      </c>
      <c r="BT2149">
        <v>-0.17</v>
      </c>
      <c r="BU2149">
        <v>-0.33</v>
      </c>
      <c r="BV2149">
        <v>-1.41</v>
      </c>
      <c r="BW2149">
        <v>-1.53</v>
      </c>
      <c r="BX2149">
        <v>0.06</v>
      </c>
      <c r="BY2149">
        <v>-0.61</v>
      </c>
      <c r="BZ2149">
        <v>-1.03</v>
      </c>
      <c r="CA2149">
        <v>-1.29</v>
      </c>
      <c r="CB2149">
        <v>-1.33</v>
      </c>
      <c r="CC2149">
        <v>-0.91</v>
      </c>
      <c r="CD2149">
        <v>1.44</v>
      </c>
      <c r="CE2149">
        <v>-1.31</v>
      </c>
      <c r="CF2149">
        <v>-0.34</v>
      </c>
      <c r="CG2149">
        <v>0</v>
      </c>
      <c r="CH2149">
        <v>-2.0299999999999998</v>
      </c>
      <c r="CI2149">
        <v>0</v>
      </c>
      <c r="CJ2149">
        <v>5.8</v>
      </c>
      <c r="CK2149">
        <v>74</v>
      </c>
      <c r="CL2149">
        <v>-0.39</v>
      </c>
      <c r="CM2149">
        <v>69</v>
      </c>
      <c r="CN2149">
        <v>0.15</v>
      </c>
      <c r="CO2149">
        <v>66</v>
      </c>
      <c r="CP2149">
        <v>3.1</v>
      </c>
      <c r="CQ2149">
        <v>75</v>
      </c>
      <c r="CR2149">
        <v>0</v>
      </c>
      <c r="CS2149">
        <v>0</v>
      </c>
      <c r="CT2149">
        <v>8.8000000000000007</v>
      </c>
      <c r="CU2149">
        <v>67</v>
      </c>
      <c r="CV2149">
        <v>0.28000000000000003</v>
      </c>
      <c r="CW2149">
        <v>20</v>
      </c>
      <c r="CX2149" t="s">
        <v>3964</v>
      </c>
    </row>
    <row r="2150" spans="1:102" x14ac:dyDescent="0.3">
      <c r="A2150" t="str">
        <f>HYPERLINK("https://webapp.icbf.com/v2/app/bull-search/view/77856247","JAB")</f>
        <v>JAB</v>
      </c>
      <c r="B2150" t="s">
        <v>8972</v>
      </c>
      <c r="C2150" t="s">
        <v>8973</v>
      </c>
      <c r="D2150" s="1">
        <v>35894</v>
      </c>
      <c r="E2150" t="s">
        <v>108</v>
      </c>
      <c r="F2150">
        <v>0</v>
      </c>
      <c r="G2150" t="s">
        <v>93</v>
      </c>
      <c r="H2150">
        <v>60.93</v>
      </c>
      <c r="I2150">
        <v>91</v>
      </c>
      <c r="J2150">
        <v>-25.66</v>
      </c>
      <c r="K2150">
        <v>98</v>
      </c>
      <c r="L2150">
        <v>68.06</v>
      </c>
      <c r="M2150">
        <v>85</v>
      </c>
      <c r="N2150">
        <v>21.95</v>
      </c>
      <c r="O2150">
        <v>86</v>
      </c>
      <c r="P2150">
        <v>-13.07</v>
      </c>
      <c r="Q2150">
        <v>96</v>
      </c>
      <c r="R2150">
        <v>-15.34</v>
      </c>
      <c r="S2150">
        <v>85</v>
      </c>
      <c r="T2150">
        <v>27.96</v>
      </c>
      <c r="U2150">
        <v>91</v>
      </c>
      <c r="V2150">
        <v>-2.97</v>
      </c>
      <c r="W2150">
        <v>82</v>
      </c>
      <c r="X2150" t="s">
        <v>102</v>
      </c>
      <c r="Y2150" t="s">
        <v>95</v>
      </c>
      <c r="Z2150" t="s">
        <v>96</v>
      </c>
      <c r="AA2150" t="s">
        <v>478</v>
      </c>
      <c r="AB2150" t="s">
        <v>8974</v>
      </c>
      <c r="AC2150">
        <v>179</v>
      </c>
      <c r="AD2150">
        <v>111</v>
      </c>
      <c r="AE2150">
        <v>98</v>
      </c>
      <c r="AF2150">
        <v>-511.42</v>
      </c>
      <c r="AG2150">
        <v>-6.79</v>
      </c>
      <c r="AH2150">
        <v>-9.7899999999999991</v>
      </c>
      <c r="AI2150">
        <v>0.25</v>
      </c>
      <c r="AJ2150">
        <v>0.14000000000000001</v>
      </c>
      <c r="AK2150">
        <v>85</v>
      </c>
      <c r="AL2150">
        <v>219</v>
      </c>
      <c r="AM2150">
        <v>140</v>
      </c>
      <c r="AN2150">
        <v>-5.0599999999999996</v>
      </c>
      <c r="AO2150">
        <v>0.35</v>
      </c>
      <c r="AP2150">
        <v>61</v>
      </c>
      <c r="AQ2150">
        <v>0</v>
      </c>
      <c r="AR2150">
        <v>6.91</v>
      </c>
      <c r="AS2150">
        <v>80</v>
      </c>
      <c r="AT2150">
        <v>2.7</v>
      </c>
      <c r="AU2150">
        <v>84</v>
      </c>
      <c r="AV2150">
        <v>-3.22</v>
      </c>
      <c r="AW2150">
        <v>91</v>
      </c>
      <c r="AX2150">
        <v>0.01</v>
      </c>
      <c r="AY2150">
        <v>90</v>
      </c>
      <c r="AZ2150">
        <v>6.82</v>
      </c>
      <c r="BA2150">
        <v>73</v>
      </c>
      <c r="BB2150">
        <v>6.51</v>
      </c>
      <c r="BC2150">
        <v>79</v>
      </c>
      <c r="BD2150">
        <v>7.0000000000000007E-2</v>
      </c>
      <c r="BE2150">
        <v>0.04</v>
      </c>
      <c r="BF2150">
        <v>0.16</v>
      </c>
      <c r="BG2150">
        <v>93</v>
      </c>
      <c r="BH2150">
        <v>0.01</v>
      </c>
      <c r="BI2150">
        <v>10.73</v>
      </c>
      <c r="BJ2150">
        <v>34</v>
      </c>
      <c r="BK2150">
        <v>27</v>
      </c>
      <c r="BL2150">
        <v>-3.59</v>
      </c>
      <c r="BM2150">
        <v>1</v>
      </c>
      <c r="BN2150">
        <v>-2.62</v>
      </c>
      <c r="BO2150">
        <v>-2.67</v>
      </c>
      <c r="BP2150">
        <v>0</v>
      </c>
      <c r="BQ2150">
        <v>0.5</v>
      </c>
      <c r="BR2150">
        <v>-1.03</v>
      </c>
      <c r="BS2150">
        <v>-1.96</v>
      </c>
      <c r="BT2150">
        <v>-0.96</v>
      </c>
      <c r="BU2150">
        <v>-3.07</v>
      </c>
      <c r="BV2150">
        <v>-2.0499999999999998</v>
      </c>
      <c r="BW2150">
        <v>-2.0099999999999998</v>
      </c>
      <c r="BX2150">
        <v>-2.29</v>
      </c>
      <c r="BY2150">
        <v>-1.18</v>
      </c>
      <c r="BZ2150">
        <v>-0.81</v>
      </c>
      <c r="CA2150">
        <v>-2.67</v>
      </c>
      <c r="CB2150">
        <v>-2.4900000000000002</v>
      </c>
      <c r="CC2150">
        <v>-2.35</v>
      </c>
      <c r="CD2150">
        <v>2.25</v>
      </c>
      <c r="CE2150">
        <v>-2.73</v>
      </c>
      <c r="CF2150">
        <v>-2.82</v>
      </c>
      <c r="CG2150">
        <v>0</v>
      </c>
      <c r="CH2150">
        <v>-1.49</v>
      </c>
      <c r="CI2150">
        <v>0</v>
      </c>
      <c r="CJ2150">
        <v>-6.9</v>
      </c>
      <c r="CK2150">
        <v>96</v>
      </c>
      <c r="CL2150">
        <v>0.08</v>
      </c>
      <c r="CM2150">
        <v>96</v>
      </c>
      <c r="CN2150">
        <v>0.11</v>
      </c>
      <c r="CO2150">
        <v>95</v>
      </c>
      <c r="CP2150">
        <v>-20.6</v>
      </c>
      <c r="CQ2150">
        <v>95</v>
      </c>
      <c r="CR2150">
        <v>0</v>
      </c>
      <c r="CS2150">
        <v>0</v>
      </c>
      <c r="CT2150">
        <v>-24</v>
      </c>
      <c r="CU2150">
        <v>91</v>
      </c>
      <c r="CV2150">
        <v>0.01</v>
      </c>
      <c r="CW2150">
        <v>46</v>
      </c>
      <c r="CX2150" t="s">
        <v>8975</v>
      </c>
    </row>
    <row r="2151" spans="1:102" x14ac:dyDescent="0.3">
      <c r="A2151" t="str">
        <f>HYPERLINK("https://webapp.icbf.com/v2/app/bull-search/view/69091621","EWD")</f>
        <v>EWD</v>
      </c>
      <c r="B2151" t="s">
        <v>7448</v>
      </c>
      <c r="C2151" t="s">
        <v>7449</v>
      </c>
      <c r="D2151" s="1">
        <v>32842</v>
      </c>
      <c r="E2151" t="s">
        <v>140</v>
      </c>
      <c r="F2151">
        <v>0</v>
      </c>
      <c r="G2151" t="s">
        <v>93</v>
      </c>
      <c r="H2151">
        <v>60.59</v>
      </c>
      <c r="I2151">
        <v>75</v>
      </c>
      <c r="J2151">
        <v>-25.33</v>
      </c>
      <c r="K2151">
        <v>90</v>
      </c>
      <c r="L2151">
        <v>55.82</v>
      </c>
      <c r="M2151">
        <v>61</v>
      </c>
      <c r="N2151">
        <v>6.43</v>
      </c>
      <c r="O2151">
        <v>67</v>
      </c>
      <c r="P2151">
        <v>5.71</v>
      </c>
      <c r="Q2151">
        <v>86</v>
      </c>
      <c r="R2151">
        <v>8.9600000000000009</v>
      </c>
      <c r="S2151">
        <v>63</v>
      </c>
      <c r="T2151">
        <v>11.83</v>
      </c>
      <c r="U2151">
        <v>82</v>
      </c>
      <c r="V2151">
        <v>-2.83</v>
      </c>
      <c r="W2151">
        <v>57</v>
      </c>
      <c r="X2151" t="s">
        <v>102</v>
      </c>
      <c r="Y2151" t="s">
        <v>95</v>
      </c>
      <c r="Z2151">
        <v>0</v>
      </c>
      <c r="AA2151" t="s">
        <v>1179</v>
      </c>
      <c r="AB2151" t="s">
        <v>7450</v>
      </c>
      <c r="AC2151">
        <v>42</v>
      </c>
      <c r="AD2151">
        <v>29</v>
      </c>
      <c r="AE2151">
        <v>90</v>
      </c>
      <c r="AF2151">
        <v>-41.33</v>
      </c>
      <c r="AG2151">
        <v>-6.05</v>
      </c>
      <c r="AH2151">
        <v>-2.8</v>
      </c>
      <c r="AI2151">
        <v>-7.0000000000000007E-2</v>
      </c>
      <c r="AJ2151">
        <v>-0.02</v>
      </c>
      <c r="AK2151">
        <v>61</v>
      </c>
      <c r="AL2151">
        <v>64</v>
      </c>
      <c r="AM2151">
        <v>42</v>
      </c>
      <c r="AN2151">
        <v>-2.41</v>
      </c>
      <c r="AO2151">
        <v>2.0499999999999998</v>
      </c>
      <c r="AP2151">
        <v>14</v>
      </c>
      <c r="AQ2151">
        <v>0</v>
      </c>
      <c r="AR2151">
        <v>6.12</v>
      </c>
      <c r="AS2151">
        <v>38</v>
      </c>
      <c r="AT2151">
        <v>3.45</v>
      </c>
      <c r="AU2151">
        <v>62</v>
      </c>
      <c r="AV2151">
        <v>0.06</v>
      </c>
      <c r="AW2151">
        <v>79</v>
      </c>
      <c r="AX2151">
        <v>-0.22</v>
      </c>
      <c r="AY2151">
        <v>74</v>
      </c>
      <c r="AZ2151">
        <v>5.84</v>
      </c>
      <c r="BA2151">
        <v>39</v>
      </c>
      <c r="BB2151">
        <v>4.05</v>
      </c>
      <c r="BC2151">
        <v>56</v>
      </c>
      <c r="BD2151">
        <v>-0.03</v>
      </c>
      <c r="BE2151">
        <v>-0.04</v>
      </c>
      <c r="BF2151">
        <v>-0.08</v>
      </c>
      <c r="BG2151">
        <v>73</v>
      </c>
      <c r="BH2151">
        <v>0</v>
      </c>
      <c r="BI2151">
        <v>9.14</v>
      </c>
      <c r="BJ2151">
        <v>0</v>
      </c>
      <c r="BK2151">
        <v>0</v>
      </c>
      <c r="BL2151">
        <v>-0.83</v>
      </c>
      <c r="BM2151">
        <v>3.76</v>
      </c>
      <c r="BN2151">
        <v>-1.37</v>
      </c>
      <c r="BO2151">
        <v>-2.97</v>
      </c>
      <c r="BP2151">
        <v>4.07</v>
      </c>
      <c r="BQ2151">
        <v>-1.53</v>
      </c>
      <c r="BR2151">
        <v>-2.4300000000000002</v>
      </c>
      <c r="BS2151">
        <v>-0.1</v>
      </c>
      <c r="BT2151">
        <v>2.19</v>
      </c>
      <c r="BU2151">
        <v>-3.33</v>
      </c>
      <c r="BV2151">
        <v>-3.82</v>
      </c>
      <c r="BW2151">
        <v>-3.17</v>
      </c>
      <c r="BX2151">
        <v>-2.97</v>
      </c>
      <c r="BY2151">
        <v>-1.68</v>
      </c>
      <c r="BZ2151">
        <v>1.54</v>
      </c>
      <c r="CA2151">
        <v>-2.5099999999999998</v>
      </c>
      <c r="CB2151">
        <v>-3.24</v>
      </c>
      <c r="CC2151">
        <v>-0.25</v>
      </c>
      <c r="CD2151">
        <v>3.94</v>
      </c>
      <c r="CE2151">
        <v>-2.94</v>
      </c>
      <c r="CF2151">
        <v>-0.97</v>
      </c>
      <c r="CG2151">
        <v>0</v>
      </c>
      <c r="CH2151">
        <v>-2.61</v>
      </c>
      <c r="CI2151">
        <v>0</v>
      </c>
      <c r="CJ2151">
        <v>-1.2</v>
      </c>
      <c r="CK2151">
        <v>87</v>
      </c>
      <c r="CL2151">
        <v>0.22</v>
      </c>
      <c r="CM2151">
        <v>84</v>
      </c>
      <c r="CN2151">
        <v>-0.44</v>
      </c>
      <c r="CO2151">
        <v>82</v>
      </c>
      <c r="CP2151">
        <v>-0.4</v>
      </c>
      <c r="CQ2151">
        <v>87</v>
      </c>
      <c r="CR2151">
        <v>0</v>
      </c>
      <c r="CS2151">
        <v>0</v>
      </c>
      <c r="CT2151">
        <v>-2.2000000000000002</v>
      </c>
      <c r="CU2151">
        <v>82</v>
      </c>
      <c r="CV2151">
        <v>-0.25</v>
      </c>
      <c r="CW2151">
        <v>24</v>
      </c>
      <c r="CX2151" t="s">
        <v>698</v>
      </c>
    </row>
    <row r="2152" spans="1:102" x14ac:dyDescent="0.3">
      <c r="A2152" t="str">
        <f>HYPERLINK("https://webapp.icbf.com/v2/app/bull-search/view/914986382","FMT")</f>
        <v>FMT</v>
      </c>
      <c r="B2152" t="s">
        <v>10118</v>
      </c>
      <c r="C2152" t="s">
        <v>10119</v>
      </c>
      <c r="D2152" s="1">
        <v>40256</v>
      </c>
      <c r="E2152" t="s">
        <v>92</v>
      </c>
      <c r="F2152">
        <v>100</v>
      </c>
      <c r="G2152" t="s">
        <v>93</v>
      </c>
      <c r="H2152">
        <v>60.51</v>
      </c>
      <c r="I2152">
        <v>74</v>
      </c>
      <c r="J2152">
        <v>59.31</v>
      </c>
      <c r="K2152">
        <v>90</v>
      </c>
      <c r="L2152">
        <v>-20.07</v>
      </c>
      <c r="M2152">
        <v>69</v>
      </c>
      <c r="N2152">
        <v>6.49</v>
      </c>
      <c r="O2152">
        <v>62</v>
      </c>
      <c r="P2152">
        <v>-10.96</v>
      </c>
      <c r="Q2152">
        <v>70</v>
      </c>
      <c r="R2152">
        <v>16.41</v>
      </c>
      <c r="S2152">
        <v>65</v>
      </c>
      <c r="T2152">
        <v>8.65</v>
      </c>
      <c r="U2152">
        <v>62</v>
      </c>
      <c r="V2152">
        <v>0.68</v>
      </c>
      <c r="W2152">
        <v>60</v>
      </c>
      <c r="X2152" t="s">
        <v>251</v>
      </c>
      <c r="Y2152" t="s">
        <v>1685</v>
      </c>
      <c r="Z2152" t="s">
        <v>96</v>
      </c>
      <c r="AA2152" t="s">
        <v>1438</v>
      </c>
      <c r="AB2152" t="s">
        <v>10120</v>
      </c>
      <c r="AC2152">
        <v>14</v>
      </c>
      <c r="AD2152">
        <v>5</v>
      </c>
      <c r="AE2152">
        <v>90</v>
      </c>
      <c r="AF2152">
        <v>409.1</v>
      </c>
      <c r="AG2152">
        <v>10.23</v>
      </c>
      <c r="AH2152">
        <v>12.73</v>
      </c>
      <c r="AI2152">
        <v>-0.09</v>
      </c>
      <c r="AJ2152">
        <v>-0.02</v>
      </c>
      <c r="AK2152">
        <v>69</v>
      </c>
      <c r="AL2152">
        <v>20</v>
      </c>
      <c r="AM2152">
        <v>10</v>
      </c>
      <c r="AN2152">
        <v>1.92</v>
      </c>
      <c r="AO2152">
        <v>0.33</v>
      </c>
      <c r="AP2152">
        <v>67</v>
      </c>
      <c r="AQ2152">
        <v>0</v>
      </c>
      <c r="AR2152">
        <v>7.88</v>
      </c>
      <c r="AS2152">
        <v>65</v>
      </c>
      <c r="AT2152">
        <v>3.04</v>
      </c>
      <c r="AU2152">
        <v>76</v>
      </c>
      <c r="AV2152">
        <v>-1.63</v>
      </c>
      <c r="AW2152">
        <v>61</v>
      </c>
      <c r="AX2152">
        <v>1.2</v>
      </c>
      <c r="AY2152">
        <v>60</v>
      </c>
      <c r="AZ2152">
        <v>7.1</v>
      </c>
      <c r="BA2152">
        <v>45</v>
      </c>
      <c r="BB2152">
        <v>5.47</v>
      </c>
      <c r="BC2152">
        <v>41</v>
      </c>
      <c r="BD2152">
        <v>-0.05</v>
      </c>
      <c r="BE2152">
        <v>-0.06</v>
      </c>
      <c r="BF2152">
        <v>-0.18</v>
      </c>
      <c r="BG2152">
        <v>77</v>
      </c>
      <c r="BH2152">
        <v>-0.14000000000000001</v>
      </c>
      <c r="BI2152">
        <v>-18.38</v>
      </c>
      <c r="BJ2152">
        <v>0</v>
      </c>
      <c r="BK2152">
        <v>0</v>
      </c>
      <c r="BL2152">
        <v>0.9</v>
      </c>
      <c r="BM2152">
        <v>-0.7</v>
      </c>
      <c r="BN2152">
        <v>1.1299999999999999</v>
      </c>
      <c r="BO2152">
        <v>1.06</v>
      </c>
      <c r="BP2152">
        <v>0.85</v>
      </c>
      <c r="BQ2152">
        <v>0.83</v>
      </c>
      <c r="BR2152">
        <v>-0.86</v>
      </c>
      <c r="BS2152">
        <v>0.45</v>
      </c>
      <c r="BT2152">
        <v>1.97</v>
      </c>
      <c r="BU2152">
        <v>0.68</v>
      </c>
      <c r="BV2152">
        <v>1.51</v>
      </c>
      <c r="BW2152">
        <v>1.76</v>
      </c>
      <c r="BX2152">
        <v>1.51</v>
      </c>
      <c r="BY2152">
        <v>1.21</v>
      </c>
      <c r="BZ2152">
        <v>-0.61</v>
      </c>
      <c r="CA2152">
        <v>2.17</v>
      </c>
      <c r="CB2152">
        <v>1.93</v>
      </c>
      <c r="CC2152">
        <v>1.63</v>
      </c>
      <c r="CD2152">
        <v>-0.85</v>
      </c>
      <c r="CE2152">
        <v>0.87</v>
      </c>
      <c r="CF2152">
        <v>0.44</v>
      </c>
      <c r="CG2152">
        <v>0</v>
      </c>
      <c r="CH2152">
        <v>1.51</v>
      </c>
      <c r="CI2152">
        <v>0</v>
      </c>
      <c r="CJ2152">
        <v>-3.5</v>
      </c>
      <c r="CK2152">
        <v>72</v>
      </c>
      <c r="CL2152">
        <v>-1.31</v>
      </c>
      <c r="CM2152">
        <v>68</v>
      </c>
      <c r="CN2152">
        <v>-0.68</v>
      </c>
      <c r="CO2152">
        <v>65</v>
      </c>
      <c r="CP2152">
        <v>-3.8</v>
      </c>
      <c r="CQ2152">
        <v>68</v>
      </c>
      <c r="CR2152">
        <v>0</v>
      </c>
      <c r="CS2152">
        <v>0</v>
      </c>
      <c r="CT2152">
        <v>2.1</v>
      </c>
      <c r="CU2152">
        <v>62</v>
      </c>
      <c r="CV2152">
        <v>0.22</v>
      </c>
      <c r="CW2152">
        <v>39</v>
      </c>
      <c r="CX2152" t="s">
        <v>476</v>
      </c>
    </row>
    <row r="2153" spans="1:102" x14ac:dyDescent="0.3">
      <c r="A2153" t="str">
        <f>HYPERLINK("https://webapp.icbf.com/v2/app/bull-search/view/586066642","LNR")</f>
        <v>LNR</v>
      </c>
      <c r="B2153" t="s">
        <v>5081</v>
      </c>
      <c r="C2153" t="s">
        <v>5082</v>
      </c>
      <c r="D2153" s="1">
        <v>37484</v>
      </c>
      <c r="E2153" t="s">
        <v>108</v>
      </c>
      <c r="F2153">
        <v>0</v>
      </c>
      <c r="G2153" t="s">
        <v>93</v>
      </c>
      <c r="H2153">
        <v>60.45</v>
      </c>
      <c r="I2153">
        <v>96</v>
      </c>
      <c r="J2153">
        <v>2.94</v>
      </c>
      <c r="K2153">
        <v>99</v>
      </c>
      <c r="L2153">
        <v>31.36</v>
      </c>
      <c r="M2153">
        <v>93</v>
      </c>
      <c r="N2153">
        <v>19.25</v>
      </c>
      <c r="O2153">
        <v>96</v>
      </c>
      <c r="P2153">
        <v>-8.6</v>
      </c>
      <c r="Q2153">
        <v>99</v>
      </c>
      <c r="R2153">
        <v>-1.93</v>
      </c>
      <c r="S2153">
        <v>92</v>
      </c>
      <c r="T2153">
        <v>17.010000000000002</v>
      </c>
      <c r="U2153">
        <v>97</v>
      </c>
      <c r="V2153">
        <v>0.42</v>
      </c>
      <c r="W2153">
        <v>91</v>
      </c>
      <c r="X2153" t="s">
        <v>251</v>
      </c>
      <c r="Y2153" t="s">
        <v>235</v>
      </c>
      <c r="Z2153" t="s">
        <v>96</v>
      </c>
      <c r="AA2153" t="s">
        <v>4265</v>
      </c>
      <c r="AB2153" t="s">
        <v>5083</v>
      </c>
      <c r="AC2153">
        <v>671</v>
      </c>
      <c r="AD2153">
        <v>163</v>
      </c>
      <c r="AE2153">
        <v>99</v>
      </c>
      <c r="AF2153">
        <v>5.93</v>
      </c>
      <c r="AG2153">
        <v>-1.72</v>
      </c>
      <c r="AH2153">
        <v>1.2</v>
      </c>
      <c r="AI2153">
        <v>-0.03</v>
      </c>
      <c r="AJ2153">
        <v>0.02</v>
      </c>
      <c r="AK2153">
        <v>93</v>
      </c>
      <c r="AL2153">
        <v>754</v>
      </c>
      <c r="AM2153">
        <v>210</v>
      </c>
      <c r="AN2153">
        <v>-1.75</v>
      </c>
      <c r="AO2153">
        <v>0.75</v>
      </c>
      <c r="AP2153">
        <v>1124</v>
      </c>
      <c r="AQ2153">
        <v>5</v>
      </c>
      <c r="AR2153">
        <v>6.12</v>
      </c>
      <c r="AS2153">
        <v>94</v>
      </c>
      <c r="AT2153">
        <v>2.2799999999999998</v>
      </c>
      <c r="AU2153">
        <v>97</v>
      </c>
      <c r="AV2153">
        <v>-2.06</v>
      </c>
      <c r="AW2153">
        <v>99</v>
      </c>
      <c r="AX2153">
        <v>-0.72</v>
      </c>
      <c r="AY2153">
        <v>97</v>
      </c>
      <c r="AZ2153">
        <v>8.0500000000000007</v>
      </c>
      <c r="BA2153">
        <v>91</v>
      </c>
      <c r="BB2153">
        <v>6.21</v>
      </c>
      <c r="BC2153">
        <v>90</v>
      </c>
      <c r="BD2153">
        <v>-0.01</v>
      </c>
      <c r="BE2153">
        <v>-0.01</v>
      </c>
      <c r="BF2153">
        <v>0.08</v>
      </c>
      <c r="BG2153">
        <v>98</v>
      </c>
      <c r="BH2153">
        <v>0</v>
      </c>
      <c r="BI2153">
        <v>-1.34</v>
      </c>
      <c r="BJ2153">
        <v>45</v>
      </c>
      <c r="BK2153">
        <v>21</v>
      </c>
      <c r="BL2153">
        <v>-2.25</v>
      </c>
      <c r="BM2153">
        <v>1.41</v>
      </c>
      <c r="BN2153">
        <v>-1.27</v>
      </c>
      <c r="BO2153">
        <v>-1.71</v>
      </c>
      <c r="BP2153">
        <v>-1.64</v>
      </c>
      <c r="BQ2153">
        <v>1.89</v>
      </c>
      <c r="BR2153">
        <v>-1.56</v>
      </c>
      <c r="BS2153">
        <v>-0.08</v>
      </c>
      <c r="BT2153">
        <v>0.2</v>
      </c>
      <c r="BU2153">
        <v>-3.54</v>
      </c>
      <c r="BV2153">
        <v>-1.63</v>
      </c>
      <c r="BW2153">
        <v>-1.32</v>
      </c>
      <c r="BX2153">
        <v>-2.34</v>
      </c>
      <c r="BY2153">
        <v>-1.04</v>
      </c>
      <c r="BZ2153">
        <v>2.46</v>
      </c>
      <c r="CA2153">
        <v>-1.56</v>
      </c>
      <c r="CB2153">
        <v>-1.89</v>
      </c>
      <c r="CC2153">
        <v>-0.06</v>
      </c>
      <c r="CD2153">
        <v>1.83</v>
      </c>
      <c r="CE2153">
        <v>-1.84</v>
      </c>
      <c r="CF2153">
        <v>-0.75</v>
      </c>
      <c r="CG2153">
        <v>0</v>
      </c>
      <c r="CH2153">
        <v>-1.22</v>
      </c>
      <c r="CI2153">
        <v>0</v>
      </c>
      <c r="CJ2153">
        <v>-2.7</v>
      </c>
      <c r="CK2153">
        <v>99</v>
      </c>
      <c r="CL2153">
        <v>-0.31</v>
      </c>
      <c r="CM2153">
        <v>99</v>
      </c>
      <c r="CN2153">
        <v>0.03</v>
      </c>
      <c r="CO2153">
        <v>99</v>
      </c>
      <c r="CP2153">
        <v>-8.8000000000000007</v>
      </c>
      <c r="CQ2153">
        <v>98</v>
      </c>
      <c r="CR2153">
        <v>0</v>
      </c>
      <c r="CS2153">
        <v>0</v>
      </c>
      <c r="CT2153">
        <v>-9.1999999999999993</v>
      </c>
      <c r="CU2153">
        <v>97</v>
      </c>
      <c r="CV2153">
        <v>0.11</v>
      </c>
      <c r="CW2153">
        <v>46</v>
      </c>
      <c r="CX2153" t="s">
        <v>607</v>
      </c>
    </row>
    <row r="2154" spans="1:102" x14ac:dyDescent="0.3">
      <c r="A2154" t="str">
        <f>HYPERLINK("https://webapp.icbf.com/v2/app/bull-search/view/403237817","CZM")</f>
        <v>CZM</v>
      </c>
      <c r="B2154" t="s">
        <v>11895</v>
      </c>
      <c r="C2154" t="s">
        <v>11896</v>
      </c>
      <c r="D2154" s="1">
        <v>35398</v>
      </c>
      <c r="E2154" t="s">
        <v>92</v>
      </c>
      <c r="F2154">
        <v>97</v>
      </c>
      <c r="G2154" t="s">
        <v>93</v>
      </c>
      <c r="H2154">
        <v>60.43</v>
      </c>
      <c r="I2154">
        <v>90</v>
      </c>
      <c r="J2154">
        <v>4.78</v>
      </c>
      <c r="K2154">
        <v>96</v>
      </c>
      <c r="L2154">
        <v>26.98</v>
      </c>
      <c r="M2154">
        <v>89</v>
      </c>
      <c r="N2154">
        <v>32.89</v>
      </c>
      <c r="O2154">
        <v>83</v>
      </c>
      <c r="P2154">
        <v>-14.87</v>
      </c>
      <c r="Q2154">
        <v>90</v>
      </c>
      <c r="R2154">
        <v>-6.31</v>
      </c>
      <c r="S2154">
        <v>83</v>
      </c>
      <c r="T2154">
        <v>18.86</v>
      </c>
      <c r="U2154">
        <v>91</v>
      </c>
      <c r="V2154">
        <v>-1.9</v>
      </c>
      <c r="W2154">
        <v>81</v>
      </c>
      <c r="X2154" t="s">
        <v>234</v>
      </c>
      <c r="Y2154" t="s">
        <v>95</v>
      </c>
      <c r="Z2154" t="s">
        <v>96</v>
      </c>
      <c r="AA2154" t="s">
        <v>753</v>
      </c>
      <c r="AB2154" t="s">
        <v>11897</v>
      </c>
      <c r="AC2154">
        <v>66</v>
      </c>
      <c r="AD2154">
        <v>33</v>
      </c>
      <c r="AE2154">
        <v>96</v>
      </c>
      <c r="AF2154">
        <v>95.21</v>
      </c>
      <c r="AG2154">
        <v>0.2</v>
      </c>
      <c r="AH2154">
        <v>2.2000000000000002</v>
      </c>
      <c r="AI2154">
        <v>-0.06</v>
      </c>
      <c r="AJ2154">
        <v>-0.02</v>
      </c>
      <c r="AK2154">
        <v>89</v>
      </c>
      <c r="AL2154">
        <v>91</v>
      </c>
      <c r="AM2154">
        <v>45</v>
      </c>
      <c r="AN2154">
        <v>-1.58</v>
      </c>
      <c r="AO2154">
        <v>0.56999999999999995</v>
      </c>
      <c r="AP2154">
        <v>121</v>
      </c>
      <c r="AQ2154">
        <v>0</v>
      </c>
      <c r="AR2154">
        <v>7.3</v>
      </c>
      <c r="AS2154">
        <v>82</v>
      </c>
      <c r="AT2154">
        <v>2.69</v>
      </c>
      <c r="AU2154">
        <v>88</v>
      </c>
      <c r="AV2154">
        <v>-4.03</v>
      </c>
      <c r="AW2154">
        <v>88</v>
      </c>
      <c r="AX2154">
        <v>-0.84</v>
      </c>
      <c r="AY2154">
        <v>80</v>
      </c>
      <c r="AZ2154">
        <v>7.86</v>
      </c>
      <c r="BA2154">
        <v>66</v>
      </c>
      <c r="BB2154">
        <v>5.65</v>
      </c>
      <c r="BC2154">
        <v>68</v>
      </c>
      <c r="BD2154">
        <v>0</v>
      </c>
      <c r="BE2154">
        <v>0.05</v>
      </c>
      <c r="BF2154">
        <v>0.05</v>
      </c>
      <c r="BG2154">
        <v>92</v>
      </c>
      <c r="BH2154">
        <v>0.01</v>
      </c>
      <c r="BI2154">
        <v>7.27</v>
      </c>
      <c r="BJ2154">
        <v>0</v>
      </c>
      <c r="BK2154">
        <v>0</v>
      </c>
      <c r="BL2154">
        <v>-0.06</v>
      </c>
      <c r="BM2154">
        <v>-0.13</v>
      </c>
      <c r="BN2154">
        <v>-0.91</v>
      </c>
      <c r="BO2154">
        <v>-0.59</v>
      </c>
      <c r="BP2154">
        <v>1.99</v>
      </c>
      <c r="BQ2154">
        <v>-1.91</v>
      </c>
      <c r="BR2154">
        <v>-1.34</v>
      </c>
      <c r="BS2154">
        <v>1.1399999999999999</v>
      </c>
      <c r="BT2154">
        <v>1.67</v>
      </c>
      <c r="BU2154">
        <v>0.66</v>
      </c>
      <c r="BV2154">
        <v>0.88</v>
      </c>
      <c r="BW2154">
        <v>0.13</v>
      </c>
      <c r="BX2154">
        <v>0.52</v>
      </c>
      <c r="BY2154">
        <v>0.87</v>
      </c>
      <c r="BZ2154">
        <v>0.48</v>
      </c>
      <c r="CA2154">
        <v>0.81</v>
      </c>
      <c r="CB2154">
        <v>0.71</v>
      </c>
      <c r="CC2154">
        <v>0.76</v>
      </c>
      <c r="CD2154">
        <v>1.17</v>
      </c>
      <c r="CE2154">
        <v>0.28999999999999998</v>
      </c>
      <c r="CF2154">
        <v>-0.44</v>
      </c>
      <c r="CG2154">
        <v>0</v>
      </c>
      <c r="CH2154">
        <v>0.53</v>
      </c>
      <c r="CI2154">
        <v>0</v>
      </c>
      <c r="CJ2154">
        <v>-5.9</v>
      </c>
      <c r="CK2154">
        <v>91</v>
      </c>
      <c r="CL2154">
        <v>-0.7</v>
      </c>
      <c r="CM2154">
        <v>90</v>
      </c>
      <c r="CN2154">
        <v>-0.22</v>
      </c>
      <c r="CO2154">
        <v>88</v>
      </c>
      <c r="CP2154">
        <v>-13.9</v>
      </c>
      <c r="CQ2154">
        <v>90</v>
      </c>
      <c r="CR2154">
        <v>0</v>
      </c>
      <c r="CS2154">
        <v>0</v>
      </c>
      <c r="CT2154">
        <v>-11.7</v>
      </c>
      <c r="CU2154">
        <v>91</v>
      </c>
      <c r="CV2154">
        <v>0.06</v>
      </c>
      <c r="CW2154">
        <v>44</v>
      </c>
      <c r="CX2154" t="s">
        <v>132</v>
      </c>
    </row>
    <row r="2155" spans="1:102" x14ac:dyDescent="0.3">
      <c r="A2155" t="str">
        <f>HYPERLINK("https://webapp.icbf.com/v2/app/bull-search/view/1345428676","JE2310")</f>
        <v>JE2310</v>
      </c>
      <c r="B2155" t="s">
        <v>6088</v>
      </c>
      <c r="C2155" t="s">
        <v>6089</v>
      </c>
      <c r="D2155" s="1">
        <v>41731</v>
      </c>
      <c r="E2155" t="s">
        <v>227</v>
      </c>
      <c r="F2155">
        <v>0</v>
      </c>
      <c r="G2155" t="s">
        <v>109</v>
      </c>
      <c r="H2155">
        <v>60.42</v>
      </c>
      <c r="I2155">
        <v>64</v>
      </c>
      <c r="J2155">
        <v>-29.88</v>
      </c>
      <c r="K2155">
        <v>82</v>
      </c>
      <c r="L2155">
        <v>42.33</v>
      </c>
      <c r="M2155">
        <v>57</v>
      </c>
      <c r="N2155">
        <v>30.05</v>
      </c>
      <c r="O2155">
        <v>67</v>
      </c>
      <c r="P2155">
        <v>-47</v>
      </c>
      <c r="Q2155">
        <v>56</v>
      </c>
      <c r="R2155">
        <v>3.48</v>
      </c>
      <c r="S2155">
        <v>57</v>
      </c>
      <c r="T2155">
        <v>58.45</v>
      </c>
      <c r="U2155">
        <v>36</v>
      </c>
      <c r="V2155">
        <v>2.99</v>
      </c>
      <c r="W2155">
        <v>56</v>
      </c>
      <c r="X2155" t="s">
        <v>276</v>
      </c>
      <c r="Y2155" t="s">
        <v>429</v>
      </c>
      <c r="Z2155">
        <v>0</v>
      </c>
      <c r="AA2155" t="s">
        <v>5805</v>
      </c>
      <c r="AB2155" t="s">
        <v>6090</v>
      </c>
      <c r="AC2155">
        <v>0</v>
      </c>
      <c r="AD2155">
        <v>0</v>
      </c>
      <c r="AE2155">
        <v>82</v>
      </c>
      <c r="AF2155">
        <v>-618.42999999999995</v>
      </c>
      <c r="AG2155">
        <v>-0.22</v>
      </c>
      <c r="AH2155">
        <v>-14.47</v>
      </c>
      <c r="AI2155">
        <v>0.47</v>
      </c>
      <c r="AJ2155">
        <v>0.13</v>
      </c>
      <c r="AK2155">
        <v>57</v>
      </c>
      <c r="AL2155">
        <v>0</v>
      </c>
      <c r="AM2155">
        <v>0</v>
      </c>
      <c r="AN2155">
        <v>-0.43</v>
      </c>
      <c r="AO2155">
        <v>2.97</v>
      </c>
      <c r="AP2155">
        <v>50</v>
      </c>
      <c r="AQ2155">
        <v>0</v>
      </c>
      <c r="AR2155">
        <v>4.5599999999999996</v>
      </c>
      <c r="AS2155">
        <v>66</v>
      </c>
      <c r="AT2155">
        <v>2.2799999999999998</v>
      </c>
      <c r="AU2155">
        <v>59</v>
      </c>
      <c r="AV2155">
        <v>-2.34</v>
      </c>
      <c r="AW2155">
        <v>87</v>
      </c>
      <c r="AX2155">
        <v>1.34</v>
      </c>
      <c r="AY2155">
        <v>62</v>
      </c>
      <c r="AZ2155">
        <v>6.73</v>
      </c>
      <c r="BA2155">
        <v>38</v>
      </c>
      <c r="BB2155">
        <v>4.6100000000000003</v>
      </c>
      <c r="BC2155">
        <v>30</v>
      </c>
      <c r="BD2155">
        <v>-0.09</v>
      </c>
      <c r="BE2155">
        <v>0</v>
      </c>
      <c r="BF2155">
        <v>7.0000000000000007E-2</v>
      </c>
      <c r="BG2155">
        <v>65</v>
      </c>
      <c r="BH2155">
        <v>0</v>
      </c>
      <c r="BI2155">
        <v>-9.65</v>
      </c>
      <c r="BJ2155">
        <v>0</v>
      </c>
      <c r="BK2155">
        <v>0</v>
      </c>
      <c r="BL2155">
        <v>0</v>
      </c>
      <c r="BM2155">
        <v>0.16</v>
      </c>
      <c r="BN2155">
        <v>0.55000000000000004</v>
      </c>
      <c r="BO2155">
        <v>0.7</v>
      </c>
      <c r="BP2155">
        <v>-0.7</v>
      </c>
      <c r="BQ2155">
        <v>-1.58</v>
      </c>
      <c r="BR2155">
        <v>0.62</v>
      </c>
      <c r="BS2155">
        <v>4.62</v>
      </c>
      <c r="BT2155">
        <v>-0.27</v>
      </c>
      <c r="BU2155">
        <v>1.05</v>
      </c>
      <c r="BV2155">
        <v>1.1399999999999999</v>
      </c>
      <c r="BW2155">
        <v>-0.47</v>
      </c>
      <c r="BX2155">
        <v>-0.95</v>
      </c>
      <c r="BY2155">
        <v>0.02</v>
      </c>
      <c r="BZ2155">
        <v>1.19</v>
      </c>
      <c r="CA2155">
        <v>1.73</v>
      </c>
      <c r="CB2155">
        <v>0.82</v>
      </c>
      <c r="CC2155">
        <v>2.78</v>
      </c>
      <c r="CD2155">
        <v>-0.56000000000000005</v>
      </c>
      <c r="CE2155">
        <v>0.98</v>
      </c>
      <c r="CF2155">
        <v>0.59</v>
      </c>
      <c r="CG2155">
        <v>0</v>
      </c>
      <c r="CH2155">
        <v>-0.21</v>
      </c>
      <c r="CI2155">
        <v>0</v>
      </c>
      <c r="CJ2155">
        <v>-28</v>
      </c>
      <c r="CK2155">
        <v>59</v>
      </c>
      <c r="CL2155">
        <v>-0.67</v>
      </c>
      <c r="CM2155">
        <v>56</v>
      </c>
      <c r="CN2155">
        <v>-0.33</v>
      </c>
      <c r="CO2155">
        <v>54</v>
      </c>
      <c r="CP2155">
        <v>-35.4</v>
      </c>
      <c r="CQ2155">
        <v>40</v>
      </c>
      <c r="CR2155">
        <v>0</v>
      </c>
      <c r="CS2155">
        <v>0</v>
      </c>
      <c r="CT2155">
        <v>-65.2</v>
      </c>
      <c r="CU2155">
        <v>36</v>
      </c>
      <c r="CV2155">
        <v>-0.36</v>
      </c>
      <c r="CW2155">
        <v>37</v>
      </c>
      <c r="CX2155" t="s">
        <v>2076</v>
      </c>
    </row>
    <row r="2156" spans="1:102" x14ac:dyDescent="0.3">
      <c r="A2156" t="str">
        <f>HYPERLINK("https://webapp.icbf.com/v2/app/bull-search/view/576074870","GHD")</f>
        <v>GHD</v>
      </c>
      <c r="B2156" t="s">
        <v>12469</v>
      </c>
      <c r="C2156" t="s">
        <v>12470</v>
      </c>
      <c r="D2156" s="1">
        <v>39507</v>
      </c>
      <c r="E2156" t="s">
        <v>92</v>
      </c>
      <c r="F2156">
        <v>100</v>
      </c>
      <c r="G2156" t="s">
        <v>435</v>
      </c>
      <c r="H2156">
        <v>60.39</v>
      </c>
      <c r="I2156">
        <v>76</v>
      </c>
      <c r="J2156">
        <v>27.53</v>
      </c>
      <c r="K2156">
        <v>92</v>
      </c>
      <c r="L2156">
        <v>27.4</v>
      </c>
      <c r="M2156">
        <v>73</v>
      </c>
      <c r="N2156">
        <v>15.92</v>
      </c>
      <c r="O2156">
        <v>66</v>
      </c>
      <c r="P2156">
        <v>-7.15</v>
      </c>
      <c r="Q2156">
        <v>67</v>
      </c>
      <c r="R2156">
        <v>-15.11</v>
      </c>
      <c r="S2156">
        <v>73</v>
      </c>
      <c r="T2156">
        <v>12.86</v>
      </c>
      <c r="U2156">
        <v>53</v>
      </c>
      <c r="V2156">
        <v>-1.06</v>
      </c>
      <c r="W2156">
        <v>69</v>
      </c>
      <c r="X2156" t="s">
        <v>94</v>
      </c>
      <c r="Y2156" t="s">
        <v>228</v>
      </c>
      <c r="Z2156" t="s">
        <v>96</v>
      </c>
      <c r="AA2156" t="s">
        <v>2775</v>
      </c>
      <c r="AB2156" t="s">
        <v>12471</v>
      </c>
      <c r="AC2156">
        <v>4</v>
      </c>
      <c r="AD2156">
        <v>5</v>
      </c>
      <c r="AE2156">
        <v>92</v>
      </c>
      <c r="AF2156">
        <v>1.54</v>
      </c>
      <c r="AG2156">
        <v>3.38</v>
      </c>
      <c r="AH2156">
        <v>3.51</v>
      </c>
      <c r="AI2156">
        <v>0.06</v>
      </c>
      <c r="AJ2156">
        <v>0.06</v>
      </c>
      <c r="AK2156">
        <v>73</v>
      </c>
      <c r="AL2156">
        <v>3</v>
      </c>
      <c r="AM2156">
        <v>3</v>
      </c>
      <c r="AN2156">
        <v>-1.88</v>
      </c>
      <c r="AO2156">
        <v>0.3</v>
      </c>
      <c r="AP2156">
        <v>2</v>
      </c>
      <c r="AQ2156">
        <v>0</v>
      </c>
      <c r="AR2156">
        <v>5.31</v>
      </c>
      <c r="AS2156">
        <v>60</v>
      </c>
      <c r="AT2156">
        <v>2.84</v>
      </c>
      <c r="AU2156">
        <v>70</v>
      </c>
      <c r="AV2156">
        <v>-1.98</v>
      </c>
      <c r="AW2156">
        <v>73</v>
      </c>
      <c r="AX2156">
        <v>-0.84</v>
      </c>
      <c r="AY2156">
        <v>52</v>
      </c>
      <c r="AZ2156">
        <v>7.76</v>
      </c>
      <c r="BA2156">
        <v>51</v>
      </c>
      <c r="BB2156">
        <v>6.39</v>
      </c>
      <c r="BC2156">
        <v>53</v>
      </c>
      <c r="BD2156">
        <v>0.05</v>
      </c>
      <c r="BE2156">
        <v>0.06</v>
      </c>
      <c r="BF2156">
        <v>0.15</v>
      </c>
      <c r="BG2156">
        <v>81</v>
      </c>
      <c r="BH2156">
        <v>-0.02</v>
      </c>
      <c r="BI2156">
        <v>1.1200000000000001</v>
      </c>
      <c r="BJ2156">
        <v>0</v>
      </c>
      <c r="BK2156">
        <v>0</v>
      </c>
      <c r="BL2156">
        <v>0.36</v>
      </c>
      <c r="BM2156">
        <v>0.56999999999999995</v>
      </c>
      <c r="BN2156">
        <v>0.53</v>
      </c>
      <c r="BO2156">
        <v>0.41</v>
      </c>
      <c r="BP2156">
        <v>1.58</v>
      </c>
      <c r="BQ2156">
        <v>1.33</v>
      </c>
      <c r="BR2156">
        <v>0.34</v>
      </c>
      <c r="BS2156">
        <v>-0.22</v>
      </c>
      <c r="BT2156">
        <v>-0.18</v>
      </c>
      <c r="BU2156">
        <v>-1.49</v>
      </c>
      <c r="BV2156">
        <v>-0.54</v>
      </c>
      <c r="BW2156">
        <v>-0.28000000000000003</v>
      </c>
      <c r="BX2156">
        <v>-1.56</v>
      </c>
      <c r="BY2156">
        <v>0.68</v>
      </c>
      <c r="BZ2156">
        <v>7.0000000000000007E-2</v>
      </c>
      <c r="CA2156">
        <v>-0.8</v>
      </c>
      <c r="CB2156">
        <v>-0.71</v>
      </c>
      <c r="CC2156">
        <v>-0.84</v>
      </c>
      <c r="CD2156">
        <v>-0.18</v>
      </c>
      <c r="CE2156">
        <v>0.59</v>
      </c>
      <c r="CF2156">
        <v>0.27</v>
      </c>
      <c r="CG2156">
        <v>0</v>
      </c>
      <c r="CH2156">
        <v>0.75</v>
      </c>
      <c r="CI2156">
        <v>0</v>
      </c>
      <c r="CJ2156">
        <v>-1.6</v>
      </c>
      <c r="CK2156">
        <v>69</v>
      </c>
      <c r="CL2156">
        <v>-0.57999999999999996</v>
      </c>
      <c r="CM2156">
        <v>65</v>
      </c>
      <c r="CN2156">
        <v>-0.27</v>
      </c>
      <c r="CO2156">
        <v>64</v>
      </c>
      <c r="CP2156">
        <v>-14.1</v>
      </c>
      <c r="CQ2156">
        <v>58</v>
      </c>
      <c r="CR2156">
        <v>0</v>
      </c>
      <c r="CS2156">
        <v>0</v>
      </c>
      <c r="CT2156">
        <v>-3.6</v>
      </c>
      <c r="CU2156">
        <v>53</v>
      </c>
      <c r="CV2156">
        <v>0.08</v>
      </c>
      <c r="CW2156">
        <v>40</v>
      </c>
      <c r="CX2156" t="s">
        <v>1406</v>
      </c>
    </row>
    <row r="2157" spans="1:102" x14ac:dyDescent="0.3">
      <c r="A2157" t="str">
        <f>HYPERLINK("https://webapp.icbf.com/v2/app/bull-search/view/586147856","S1331")</f>
        <v>S1331</v>
      </c>
      <c r="B2157" t="s">
        <v>13052</v>
      </c>
      <c r="C2157" t="s">
        <v>9382</v>
      </c>
      <c r="D2157" s="1">
        <v>38026</v>
      </c>
      <c r="E2157" t="s">
        <v>92</v>
      </c>
      <c r="F2157">
        <v>97</v>
      </c>
      <c r="G2157" t="s">
        <v>93</v>
      </c>
      <c r="H2157">
        <v>60.34</v>
      </c>
      <c r="I2157">
        <v>88</v>
      </c>
      <c r="J2157">
        <v>68.33</v>
      </c>
      <c r="K2157">
        <v>97</v>
      </c>
      <c r="L2157">
        <v>-5.88</v>
      </c>
      <c r="M2157">
        <v>86</v>
      </c>
      <c r="N2157">
        <v>6.22</v>
      </c>
      <c r="O2157">
        <v>86</v>
      </c>
      <c r="P2157">
        <v>-13.45</v>
      </c>
      <c r="Q2157">
        <v>92</v>
      </c>
      <c r="R2157">
        <v>3.54</v>
      </c>
      <c r="S2157">
        <v>77</v>
      </c>
      <c r="T2157">
        <v>6.35</v>
      </c>
      <c r="U2157">
        <v>75</v>
      </c>
      <c r="V2157">
        <v>-4.7699999999999996</v>
      </c>
      <c r="W2157">
        <v>65</v>
      </c>
      <c r="X2157" t="s">
        <v>102</v>
      </c>
      <c r="Y2157" t="s">
        <v>342</v>
      </c>
      <c r="Z2157" t="s">
        <v>96</v>
      </c>
      <c r="AA2157" t="s">
        <v>5868</v>
      </c>
      <c r="AB2157" t="s">
        <v>13053</v>
      </c>
      <c r="AC2157">
        <v>123</v>
      </c>
      <c r="AD2157">
        <v>58</v>
      </c>
      <c r="AE2157">
        <v>97</v>
      </c>
      <c r="AF2157">
        <v>223.87</v>
      </c>
      <c r="AG2157">
        <v>13.59</v>
      </c>
      <c r="AH2157">
        <v>10.24</v>
      </c>
      <c r="AI2157">
        <v>0.08</v>
      </c>
      <c r="AJ2157">
        <v>0.04</v>
      </c>
      <c r="AK2157">
        <v>86</v>
      </c>
      <c r="AL2157">
        <v>149</v>
      </c>
      <c r="AM2157">
        <v>68</v>
      </c>
      <c r="AN2157">
        <v>0.22</v>
      </c>
      <c r="AO2157">
        <v>-0.25</v>
      </c>
      <c r="AP2157">
        <v>255</v>
      </c>
      <c r="AQ2157">
        <v>3</v>
      </c>
      <c r="AR2157">
        <v>6.46</v>
      </c>
      <c r="AS2157">
        <v>82</v>
      </c>
      <c r="AT2157">
        <v>3.1</v>
      </c>
      <c r="AU2157">
        <v>89</v>
      </c>
      <c r="AV2157">
        <v>0.42</v>
      </c>
      <c r="AW2157">
        <v>96</v>
      </c>
      <c r="AX2157">
        <v>-0.81</v>
      </c>
      <c r="AY2157">
        <v>86</v>
      </c>
      <c r="AZ2157">
        <v>5.35</v>
      </c>
      <c r="BA2157">
        <v>68</v>
      </c>
      <c r="BB2157">
        <v>4.42</v>
      </c>
      <c r="BC2157">
        <v>55</v>
      </c>
      <c r="BD2157">
        <v>-0.02</v>
      </c>
      <c r="BE2157">
        <v>-0.02</v>
      </c>
      <c r="BF2157">
        <v>-0.01</v>
      </c>
      <c r="BG2157">
        <v>93</v>
      </c>
      <c r="BH2157">
        <v>-7.0000000000000007E-2</v>
      </c>
      <c r="BI2157">
        <v>7.29</v>
      </c>
      <c r="BJ2157">
        <v>33</v>
      </c>
      <c r="BK2157">
        <v>18</v>
      </c>
      <c r="BL2157">
        <v>0.79</v>
      </c>
      <c r="BM2157">
        <v>-0.19</v>
      </c>
      <c r="BN2157">
        <v>1.24</v>
      </c>
      <c r="BO2157">
        <v>0.56000000000000005</v>
      </c>
      <c r="BP2157">
        <v>0.36</v>
      </c>
      <c r="BQ2157">
        <v>1.36</v>
      </c>
      <c r="BR2157">
        <v>-0.52</v>
      </c>
      <c r="BS2157">
        <v>1.17</v>
      </c>
      <c r="BT2157">
        <v>-0.27</v>
      </c>
      <c r="BU2157">
        <v>0.41</v>
      </c>
      <c r="BV2157">
        <v>1.38</v>
      </c>
      <c r="BW2157">
        <v>1.1499999999999999</v>
      </c>
      <c r="BX2157">
        <v>-0.78</v>
      </c>
      <c r="BY2157">
        <v>1.85</v>
      </c>
      <c r="BZ2157">
        <v>0.55000000000000004</v>
      </c>
      <c r="CA2157">
        <v>1.1499999999999999</v>
      </c>
      <c r="CB2157">
        <v>1.08</v>
      </c>
      <c r="CC2157">
        <v>0.85</v>
      </c>
      <c r="CD2157">
        <v>-0.66</v>
      </c>
      <c r="CE2157">
        <v>0.85</v>
      </c>
      <c r="CF2157">
        <v>1.38</v>
      </c>
      <c r="CG2157">
        <v>0</v>
      </c>
      <c r="CH2157">
        <v>2.2000000000000002</v>
      </c>
      <c r="CI2157">
        <v>0</v>
      </c>
      <c r="CJ2157">
        <v>-4</v>
      </c>
      <c r="CK2157">
        <v>94</v>
      </c>
      <c r="CL2157">
        <v>-1.1299999999999999</v>
      </c>
      <c r="CM2157">
        <v>93</v>
      </c>
      <c r="CN2157">
        <v>-0.36</v>
      </c>
      <c r="CO2157">
        <v>92</v>
      </c>
      <c r="CP2157">
        <v>-3.2</v>
      </c>
      <c r="CQ2157">
        <v>80</v>
      </c>
      <c r="CR2157">
        <v>0</v>
      </c>
      <c r="CS2157">
        <v>0</v>
      </c>
      <c r="CT2157">
        <v>5.2</v>
      </c>
      <c r="CU2157">
        <v>75</v>
      </c>
      <c r="CV2157">
        <v>0.27</v>
      </c>
      <c r="CW2157">
        <v>45</v>
      </c>
      <c r="CX2157" t="s">
        <v>1191</v>
      </c>
    </row>
    <row r="2158" spans="1:102" x14ac:dyDescent="0.3">
      <c r="A2158" t="str">
        <f>HYPERLINK("https://webapp.icbf.com/v2/app/bull-search/view/69092026","JSH")</f>
        <v>JSH</v>
      </c>
      <c r="B2158" t="s">
        <v>10504</v>
      </c>
      <c r="C2158" t="s">
        <v>6509</v>
      </c>
      <c r="D2158" s="1">
        <v>33660</v>
      </c>
      <c r="E2158" t="s">
        <v>227</v>
      </c>
      <c r="F2158">
        <v>0</v>
      </c>
      <c r="G2158" t="s">
        <v>109</v>
      </c>
      <c r="H2158">
        <v>60.21</v>
      </c>
      <c r="I2158">
        <v>86</v>
      </c>
      <c r="J2158">
        <v>-8.31</v>
      </c>
      <c r="K2158">
        <v>95</v>
      </c>
      <c r="L2158">
        <v>58.24</v>
      </c>
      <c r="M2158">
        <v>89</v>
      </c>
      <c r="N2158">
        <v>-1.32</v>
      </c>
      <c r="O2158">
        <v>75</v>
      </c>
      <c r="P2158">
        <v>-88.22</v>
      </c>
      <c r="Q2158">
        <v>80</v>
      </c>
      <c r="R2158">
        <v>11.96</v>
      </c>
      <c r="S2158">
        <v>76</v>
      </c>
      <c r="T2158">
        <v>85.75</v>
      </c>
      <c r="U2158">
        <v>74</v>
      </c>
      <c r="V2158">
        <v>2.11</v>
      </c>
      <c r="W2158">
        <v>67</v>
      </c>
      <c r="X2158" t="s">
        <v>94</v>
      </c>
      <c r="Y2158" t="s">
        <v>95</v>
      </c>
      <c r="Z2158">
        <v>0</v>
      </c>
      <c r="AA2158" t="s">
        <v>555</v>
      </c>
      <c r="AB2158" t="s">
        <v>144</v>
      </c>
      <c r="AC2158">
        <v>33</v>
      </c>
      <c r="AD2158">
        <v>16</v>
      </c>
      <c r="AE2158">
        <v>95</v>
      </c>
      <c r="AF2158">
        <v>-713.73</v>
      </c>
      <c r="AG2158">
        <v>6.48</v>
      </c>
      <c r="AH2158">
        <v>-14.63</v>
      </c>
      <c r="AI2158">
        <v>0.68</v>
      </c>
      <c r="AJ2158">
        <v>0.19</v>
      </c>
      <c r="AK2158">
        <v>89</v>
      </c>
      <c r="AL2158">
        <v>41</v>
      </c>
      <c r="AM2158">
        <v>16</v>
      </c>
      <c r="AN2158">
        <v>-0.44</v>
      </c>
      <c r="AO2158">
        <v>4.24</v>
      </c>
      <c r="AP2158">
        <v>23</v>
      </c>
      <c r="AQ2158">
        <v>1</v>
      </c>
      <c r="AR2158">
        <v>3.98</v>
      </c>
      <c r="AS2158">
        <v>61</v>
      </c>
      <c r="AT2158">
        <v>1.9</v>
      </c>
      <c r="AU2158">
        <v>72</v>
      </c>
      <c r="AV2158">
        <v>1.36</v>
      </c>
      <c r="AW2158">
        <v>85</v>
      </c>
      <c r="AX2158">
        <v>2.0099999999999998</v>
      </c>
      <c r="AY2158">
        <v>74</v>
      </c>
      <c r="AZ2158">
        <v>7.23</v>
      </c>
      <c r="BA2158">
        <v>56</v>
      </c>
      <c r="BB2158">
        <v>5.19</v>
      </c>
      <c r="BC2158">
        <v>63</v>
      </c>
      <c r="BD2158">
        <v>-0.09</v>
      </c>
      <c r="BE2158">
        <v>-0.05</v>
      </c>
      <c r="BF2158">
        <v>-0.03</v>
      </c>
      <c r="BG2158">
        <v>84</v>
      </c>
      <c r="BH2158">
        <v>-0.01</v>
      </c>
      <c r="BI2158">
        <v>-7.96</v>
      </c>
      <c r="BJ2158">
        <v>0</v>
      </c>
      <c r="BK2158">
        <v>0</v>
      </c>
      <c r="BL2158">
        <v>-1.34</v>
      </c>
      <c r="BM2158">
        <v>-1.76</v>
      </c>
      <c r="BN2158">
        <v>-0.46</v>
      </c>
      <c r="BO2158">
        <v>1.34</v>
      </c>
      <c r="BP2158">
        <v>-0.05</v>
      </c>
      <c r="BQ2158">
        <v>-5.45</v>
      </c>
      <c r="BR2158">
        <v>1.78</v>
      </c>
      <c r="BS2158">
        <v>7.24</v>
      </c>
      <c r="BT2158">
        <v>-1.1100000000000001</v>
      </c>
      <c r="BU2158">
        <v>1.1100000000000001</v>
      </c>
      <c r="BV2158">
        <v>0.95</v>
      </c>
      <c r="BW2158">
        <v>-1.21</v>
      </c>
      <c r="BX2158">
        <v>-2.21</v>
      </c>
      <c r="BY2158">
        <v>-0.08</v>
      </c>
      <c r="BZ2158">
        <v>0.9</v>
      </c>
      <c r="CA2158">
        <v>2.35</v>
      </c>
      <c r="CB2158">
        <v>0.88</v>
      </c>
      <c r="CC2158">
        <v>4.2</v>
      </c>
      <c r="CD2158">
        <v>-2.23</v>
      </c>
      <c r="CE2158">
        <v>0.94</v>
      </c>
      <c r="CF2158">
        <v>-1.18</v>
      </c>
      <c r="CG2158">
        <v>0</v>
      </c>
      <c r="CH2158">
        <v>-0.48</v>
      </c>
      <c r="CI2158">
        <v>0</v>
      </c>
      <c r="CJ2158">
        <v>-45.4</v>
      </c>
      <c r="CK2158">
        <v>81</v>
      </c>
      <c r="CL2158">
        <v>-1.49</v>
      </c>
      <c r="CM2158">
        <v>78</v>
      </c>
      <c r="CN2158">
        <v>0.04</v>
      </c>
      <c r="CO2158">
        <v>75</v>
      </c>
      <c r="CP2158">
        <v>-64.8</v>
      </c>
      <c r="CQ2158">
        <v>82</v>
      </c>
      <c r="CR2158">
        <v>0</v>
      </c>
      <c r="CS2158">
        <v>0</v>
      </c>
      <c r="CT2158">
        <v>-102.1</v>
      </c>
      <c r="CU2158">
        <v>74</v>
      </c>
      <c r="CV2158">
        <v>-0.35</v>
      </c>
      <c r="CW2158">
        <v>41</v>
      </c>
      <c r="CX2158" t="s">
        <v>534</v>
      </c>
    </row>
    <row r="2159" spans="1:102" x14ac:dyDescent="0.3">
      <c r="A2159" t="str">
        <f>HYPERLINK("https://webapp.icbf.com/v2/app/bull-search/view/399818440","MPZ")</f>
        <v>MPZ</v>
      </c>
      <c r="B2159" t="s">
        <v>11860</v>
      </c>
      <c r="C2159" t="s">
        <v>11861</v>
      </c>
      <c r="D2159" s="1">
        <v>38418</v>
      </c>
      <c r="E2159" t="s">
        <v>108</v>
      </c>
      <c r="F2159">
        <v>47</v>
      </c>
      <c r="G2159" t="s">
        <v>93</v>
      </c>
      <c r="H2159">
        <v>60.17</v>
      </c>
      <c r="I2159">
        <v>87</v>
      </c>
      <c r="J2159">
        <v>36.14</v>
      </c>
      <c r="K2159">
        <v>97</v>
      </c>
      <c r="L2159">
        <v>46.15</v>
      </c>
      <c r="M2159">
        <v>79</v>
      </c>
      <c r="N2159">
        <v>-6.51</v>
      </c>
      <c r="O2159">
        <v>84</v>
      </c>
      <c r="P2159">
        <v>-21.68</v>
      </c>
      <c r="Q2159">
        <v>89</v>
      </c>
      <c r="R2159">
        <v>-8.1300000000000008</v>
      </c>
      <c r="S2159">
        <v>83</v>
      </c>
      <c r="T2159">
        <v>21.23</v>
      </c>
      <c r="U2159">
        <v>87</v>
      </c>
      <c r="V2159">
        <v>-7.03</v>
      </c>
      <c r="W2159">
        <v>80</v>
      </c>
      <c r="X2159" t="s">
        <v>94</v>
      </c>
      <c r="Y2159" t="s">
        <v>95</v>
      </c>
      <c r="Z2159" t="s">
        <v>96</v>
      </c>
      <c r="AA2159" t="s">
        <v>792</v>
      </c>
      <c r="AB2159" t="s">
        <v>11862</v>
      </c>
      <c r="AC2159">
        <v>73</v>
      </c>
      <c r="AD2159">
        <v>58</v>
      </c>
      <c r="AE2159">
        <v>97</v>
      </c>
      <c r="AF2159">
        <v>1.86</v>
      </c>
      <c r="AG2159">
        <v>10.87</v>
      </c>
      <c r="AH2159">
        <v>2.33</v>
      </c>
      <c r="AI2159">
        <v>0.19</v>
      </c>
      <c r="AJ2159">
        <v>0.04</v>
      </c>
      <c r="AK2159">
        <v>79</v>
      </c>
      <c r="AL2159">
        <v>73</v>
      </c>
      <c r="AM2159">
        <v>52</v>
      </c>
      <c r="AN2159">
        <v>-2.54</v>
      </c>
      <c r="AO2159">
        <v>1.1399999999999999</v>
      </c>
      <c r="AP2159">
        <v>140</v>
      </c>
      <c r="AQ2159">
        <v>1</v>
      </c>
      <c r="AR2159">
        <v>9.99</v>
      </c>
      <c r="AS2159">
        <v>69</v>
      </c>
      <c r="AT2159">
        <v>3.89</v>
      </c>
      <c r="AU2159">
        <v>86</v>
      </c>
      <c r="AV2159">
        <v>-1.07</v>
      </c>
      <c r="AW2159">
        <v>93</v>
      </c>
      <c r="AX2159">
        <v>0.47</v>
      </c>
      <c r="AY2159">
        <v>78</v>
      </c>
      <c r="AZ2159">
        <v>6.21</v>
      </c>
      <c r="BA2159">
        <v>66</v>
      </c>
      <c r="BB2159">
        <v>4.95</v>
      </c>
      <c r="BC2159">
        <v>69</v>
      </c>
      <c r="BD2159">
        <v>0.03</v>
      </c>
      <c r="BE2159">
        <v>0.03</v>
      </c>
      <c r="BF2159">
        <v>0.08</v>
      </c>
      <c r="BG2159">
        <v>89</v>
      </c>
      <c r="BH2159">
        <v>-0.24</v>
      </c>
      <c r="BI2159">
        <v>-5.08</v>
      </c>
      <c r="BJ2159">
        <v>34</v>
      </c>
      <c r="BK2159">
        <v>25</v>
      </c>
      <c r="BL2159">
        <v>-1.29</v>
      </c>
      <c r="BM2159">
        <v>0.1</v>
      </c>
      <c r="BN2159">
        <v>-0.69</v>
      </c>
      <c r="BO2159">
        <v>-1.05</v>
      </c>
      <c r="BP2159">
        <v>0.02</v>
      </c>
      <c r="BQ2159">
        <v>-1.98</v>
      </c>
      <c r="BR2159">
        <v>2.1</v>
      </c>
      <c r="BS2159">
        <v>-0.77</v>
      </c>
      <c r="BT2159">
        <v>-3.02</v>
      </c>
      <c r="BU2159">
        <v>-0.97</v>
      </c>
      <c r="BV2159">
        <v>-1.52</v>
      </c>
      <c r="BW2159">
        <v>-2.08</v>
      </c>
      <c r="BX2159">
        <v>-1.07</v>
      </c>
      <c r="BY2159">
        <v>-2.67</v>
      </c>
      <c r="BZ2159">
        <v>2.93</v>
      </c>
      <c r="CA2159">
        <v>-1.6</v>
      </c>
      <c r="CB2159">
        <v>-1.48</v>
      </c>
      <c r="CC2159">
        <v>-1.05</v>
      </c>
      <c r="CD2159">
        <v>0.65</v>
      </c>
      <c r="CE2159">
        <v>-1.28</v>
      </c>
      <c r="CF2159">
        <v>-1.49</v>
      </c>
      <c r="CG2159">
        <v>0</v>
      </c>
      <c r="CH2159">
        <v>-2.35</v>
      </c>
      <c r="CI2159">
        <v>0</v>
      </c>
      <c r="CJ2159">
        <v>-11</v>
      </c>
      <c r="CK2159">
        <v>90</v>
      </c>
      <c r="CL2159">
        <v>-0.73</v>
      </c>
      <c r="CM2159">
        <v>88</v>
      </c>
      <c r="CN2159">
        <v>-0.32</v>
      </c>
      <c r="CO2159">
        <v>87</v>
      </c>
      <c r="CP2159">
        <v>-18.100000000000001</v>
      </c>
      <c r="CQ2159">
        <v>88</v>
      </c>
      <c r="CR2159">
        <v>0</v>
      </c>
      <c r="CS2159">
        <v>0</v>
      </c>
      <c r="CT2159">
        <v>-14.9</v>
      </c>
      <c r="CU2159">
        <v>87</v>
      </c>
      <c r="CV2159">
        <v>0.08</v>
      </c>
      <c r="CW2159">
        <v>45</v>
      </c>
      <c r="CX2159" t="s">
        <v>4480</v>
      </c>
    </row>
    <row r="2160" spans="1:102" x14ac:dyDescent="0.3">
      <c r="A2160" t="str">
        <f>HYPERLINK("https://webapp.icbf.com/v2/app/bull-search/view/935808897","S1220")</f>
        <v>S1220</v>
      </c>
      <c r="B2160" t="s">
        <v>12968</v>
      </c>
      <c r="C2160" t="s">
        <v>12969</v>
      </c>
      <c r="D2160" s="1">
        <v>40393</v>
      </c>
      <c r="E2160" t="s">
        <v>140</v>
      </c>
      <c r="F2160">
        <v>0</v>
      </c>
      <c r="G2160" t="s">
        <v>109</v>
      </c>
      <c r="H2160">
        <v>60.14</v>
      </c>
      <c r="I2160">
        <v>47</v>
      </c>
      <c r="J2160">
        <v>40.799999999999997</v>
      </c>
      <c r="K2160">
        <v>75</v>
      </c>
      <c r="L2160">
        <v>9.19</v>
      </c>
      <c r="M2160">
        <v>26</v>
      </c>
      <c r="N2160">
        <v>-8.6999999999999993</v>
      </c>
      <c r="O2160">
        <v>44</v>
      </c>
      <c r="P2160">
        <v>14.43</v>
      </c>
      <c r="Q2160">
        <v>56</v>
      </c>
      <c r="R2160">
        <v>4.7</v>
      </c>
      <c r="S2160">
        <v>28</v>
      </c>
      <c r="T2160">
        <v>7.17</v>
      </c>
      <c r="U2160">
        <v>33</v>
      </c>
      <c r="V2160">
        <v>-7.45</v>
      </c>
      <c r="W2160">
        <v>25</v>
      </c>
      <c r="X2160" t="s">
        <v>94</v>
      </c>
      <c r="Y2160" t="s">
        <v>336</v>
      </c>
      <c r="Z2160">
        <v>0</v>
      </c>
      <c r="AA2160" t="s">
        <v>7918</v>
      </c>
      <c r="AB2160" t="s">
        <v>12970</v>
      </c>
      <c r="AC2160">
        <v>0</v>
      </c>
      <c r="AD2160">
        <v>0</v>
      </c>
      <c r="AE2160">
        <v>75</v>
      </c>
      <c r="AF2160">
        <v>164.03</v>
      </c>
      <c r="AG2160">
        <v>-0.03</v>
      </c>
      <c r="AH2160">
        <v>9.4600000000000009</v>
      </c>
      <c r="AI2160">
        <v>-0.1</v>
      </c>
      <c r="AJ2160">
        <v>0.06</v>
      </c>
      <c r="AK2160">
        <v>26</v>
      </c>
      <c r="AL2160">
        <v>4</v>
      </c>
      <c r="AM2160">
        <v>3</v>
      </c>
      <c r="AN2160">
        <v>-0.7</v>
      </c>
      <c r="AO2160">
        <v>0.03</v>
      </c>
      <c r="AP2160">
        <v>16</v>
      </c>
      <c r="AQ2160">
        <v>0</v>
      </c>
      <c r="AR2160">
        <v>6.66</v>
      </c>
      <c r="AS2160">
        <v>29</v>
      </c>
      <c r="AT2160">
        <v>3.87</v>
      </c>
      <c r="AU2160">
        <v>41</v>
      </c>
      <c r="AV2160">
        <v>0.95</v>
      </c>
      <c r="AW2160">
        <v>59</v>
      </c>
      <c r="AX2160">
        <v>1.06</v>
      </c>
      <c r="AY2160">
        <v>40</v>
      </c>
      <c r="AZ2160">
        <v>5.6</v>
      </c>
      <c r="BA2160">
        <v>25</v>
      </c>
      <c r="BB2160">
        <v>4</v>
      </c>
      <c r="BC2160">
        <v>24</v>
      </c>
      <c r="BD2160">
        <v>0</v>
      </c>
      <c r="BE2160">
        <v>-0.02</v>
      </c>
      <c r="BF2160">
        <v>-7.0000000000000007E-2</v>
      </c>
      <c r="BG2160">
        <v>32</v>
      </c>
      <c r="BH2160">
        <v>-0.26</v>
      </c>
      <c r="BI2160">
        <v>-6.04</v>
      </c>
      <c r="BJ2160">
        <v>0</v>
      </c>
      <c r="BK2160">
        <v>0</v>
      </c>
      <c r="BL2160">
        <v>-0.79</v>
      </c>
      <c r="BM2160">
        <v>3.55</v>
      </c>
      <c r="BN2160">
        <v>-1.74</v>
      </c>
      <c r="BO2160">
        <v>-3.07</v>
      </c>
      <c r="BP2160">
        <v>4.3</v>
      </c>
      <c r="BQ2160">
        <v>-1.99</v>
      </c>
      <c r="BR2160">
        <v>-2.68</v>
      </c>
      <c r="BS2160">
        <v>-0.38</v>
      </c>
      <c r="BT2160">
        <v>2.58</v>
      </c>
      <c r="BU2160">
        <v>-3.53</v>
      </c>
      <c r="BV2160">
        <v>-4.0199999999999996</v>
      </c>
      <c r="BW2160">
        <v>-3.02</v>
      </c>
      <c r="BX2160">
        <v>-2.8</v>
      </c>
      <c r="BY2160">
        <v>-2.0499999999999998</v>
      </c>
      <c r="BZ2160">
        <v>1.27</v>
      </c>
      <c r="CA2160">
        <v>-2.61</v>
      </c>
      <c r="CB2160">
        <v>-3.28</v>
      </c>
      <c r="CC2160">
        <v>-0.53</v>
      </c>
      <c r="CD2160">
        <v>3.94</v>
      </c>
      <c r="CE2160">
        <v>-2.99</v>
      </c>
      <c r="CF2160">
        <v>-1.07</v>
      </c>
      <c r="CG2160">
        <v>0</v>
      </c>
      <c r="CH2160">
        <v>-2.73</v>
      </c>
      <c r="CI2160">
        <v>0</v>
      </c>
      <c r="CJ2160">
        <v>5.2</v>
      </c>
      <c r="CK2160">
        <v>60</v>
      </c>
      <c r="CL2160">
        <v>0.38</v>
      </c>
      <c r="CM2160">
        <v>55</v>
      </c>
      <c r="CN2160">
        <v>-0.24</v>
      </c>
      <c r="CO2160">
        <v>53</v>
      </c>
      <c r="CP2160">
        <v>3.5</v>
      </c>
      <c r="CQ2160">
        <v>37</v>
      </c>
      <c r="CR2160">
        <v>0</v>
      </c>
      <c r="CS2160">
        <v>0</v>
      </c>
      <c r="CT2160">
        <v>4.0999999999999996</v>
      </c>
      <c r="CU2160">
        <v>33</v>
      </c>
      <c r="CV2160">
        <v>-0.14000000000000001</v>
      </c>
      <c r="CW2160">
        <v>17</v>
      </c>
      <c r="CX2160" t="s">
        <v>139</v>
      </c>
    </row>
    <row r="2161" spans="1:102" x14ac:dyDescent="0.3">
      <c r="A2161" t="str">
        <f>HYPERLINK("https://webapp.icbf.com/v2/app/bull-search/view/69091831","HAI")</f>
        <v>HAI</v>
      </c>
      <c r="B2161" t="s">
        <v>144</v>
      </c>
      <c r="C2161" t="s">
        <v>10456</v>
      </c>
      <c r="D2161" s="1">
        <v>32874</v>
      </c>
      <c r="E2161" t="s">
        <v>146</v>
      </c>
      <c r="F2161">
        <v>0</v>
      </c>
      <c r="G2161" t="s">
        <v>116</v>
      </c>
      <c r="H2161">
        <v>60.13</v>
      </c>
      <c r="I2161">
        <v>29</v>
      </c>
      <c r="J2161">
        <v>-58.57</v>
      </c>
      <c r="K2161">
        <v>47</v>
      </c>
      <c r="L2161">
        <v>89.02</v>
      </c>
      <c r="M2161">
        <v>18</v>
      </c>
      <c r="N2161">
        <v>16.350000000000001</v>
      </c>
      <c r="O2161">
        <v>19</v>
      </c>
      <c r="P2161">
        <v>9.34</v>
      </c>
      <c r="Q2161">
        <v>34</v>
      </c>
      <c r="R2161">
        <v>-3.83</v>
      </c>
      <c r="S2161">
        <v>22</v>
      </c>
      <c r="T2161">
        <v>14.27</v>
      </c>
      <c r="U2161">
        <v>24</v>
      </c>
      <c r="V2161">
        <v>-6.45</v>
      </c>
      <c r="W2161">
        <v>2</v>
      </c>
      <c r="X2161" t="s">
        <v>94</v>
      </c>
      <c r="Y2161" t="s">
        <v>95</v>
      </c>
      <c r="Z2161">
        <v>0</v>
      </c>
      <c r="AA2161" t="s">
        <v>10457</v>
      </c>
      <c r="AB2161" t="s">
        <v>10458</v>
      </c>
      <c r="AC2161">
        <v>5</v>
      </c>
      <c r="AD2161">
        <v>4</v>
      </c>
      <c r="AE2161">
        <v>47</v>
      </c>
      <c r="AF2161">
        <v>-587.49</v>
      </c>
      <c r="AG2161">
        <v>-15.02</v>
      </c>
      <c r="AH2161">
        <v>-13.64</v>
      </c>
      <c r="AI2161">
        <v>0.15</v>
      </c>
      <c r="AJ2161">
        <v>0.12</v>
      </c>
      <c r="AK2161">
        <v>18</v>
      </c>
      <c r="AL2161">
        <v>6</v>
      </c>
      <c r="AM2161">
        <v>6</v>
      </c>
      <c r="AN2161">
        <v>-5.57</v>
      </c>
      <c r="AO2161">
        <v>1.52</v>
      </c>
      <c r="AP2161">
        <v>1</v>
      </c>
      <c r="AQ2161">
        <v>0</v>
      </c>
      <c r="AR2161">
        <v>7.96</v>
      </c>
      <c r="AS2161">
        <v>3</v>
      </c>
      <c r="AT2161">
        <v>3.2</v>
      </c>
      <c r="AU2161">
        <v>21</v>
      </c>
      <c r="AV2161">
        <v>-1.7</v>
      </c>
      <c r="AW2161">
        <v>24</v>
      </c>
      <c r="AX2161">
        <v>-0.05</v>
      </c>
      <c r="AY2161">
        <v>24</v>
      </c>
      <c r="AZ2161">
        <v>5.55</v>
      </c>
      <c r="BA2161">
        <v>2</v>
      </c>
      <c r="BB2161">
        <v>4.3600000000000003</v>
      </c>
      <c r="BC2161">
        <v>6</v>
      </c>
      <c r="BD2161">
        <v>0</v>
      </c>
      <c r="BE2161">
        <v>0.02</v>
      </c>
      <c r="BF2161">
        <v>0.05</v>
      </c>
      <c r="BG2161">
        <v>30</v>
      </c>
      <c r="BH2161">
        <v>-0.15</v>
      </c>
      <c r="BI2161">
        <v>3.47</v>
      </c>
      <c r="BJ2161">
        <v>0</v>
      </c>
      <c r="BK2161">
        <v>0</v>
      </c>
      <c r="BL2161">
        <v>-0.71</v>
      </c>
      <c r="BM2161">
        <v>0.69</v>
      </c>
      <c r="BN2161">
        <v>-0.8</v>
      </c>
      <c r="BO2161">
        <v>-1.05</v>
      </c>
      <c r="BP2161">
        <v>0.85</v>
      </c>
      <c r="BQ2161">
        <v>0.31</v>
      </c>
      <c r="BR2161">
        <v>0.11</v>
      </c>
      <c r="BS2161">
        <v>-0.13</v>
      </c>
      <c r="BT2161">
        <v>-0.55000000000000004</v>
      </c>
      <c r="BU2161">
        <v>-0.78</v>
      </c>
      <c r="BV2161">
        <v>-1.37</v>
      </c>
      <c r="BW2161">
        <v>-0.98</v>
      </c>
      <c r="BX2161">
        <v>-0.2</v>
      </c>
      <c r="BY2161">
        <v>-0.67</v>
      </c>
      <c r="BZ2161">
        <v>-0.28000000000000003</v>
      </c>
      <c r="CA2161">
        <v>-1.19</v>
      </c>
      <c r="CB2161">
        <v>-1.1599999999999999</v>
      </c>
      <c r="CC2161">
        <v>-0.79</v>
      </c>
      <c r="CD2161">
        <v>1.07</v>
      </c>
      <c r="CE2161">
        <v>-1.1200000000000001</v>
      </c>
      <c r="CF2161">
        <v>-0.63</v>
      </c>
      <c r="CG2161">
        <v>0</v>
      </c>
      <c r="CH2161">
        <v>-0.41</v>
      </c>
      <c r="CI2161">
        <v>0</v>
      </c>
      <c r="CJ2161">
        <v>3.1</v>
      </c>
      <c r="CK2161">
        <v>37</v>
      </c>
      <c r="CL2161">
        <v>0.4</v>
      </c>
      <c r="CM2161">
        <v>31</v>
      </c>
      <c r="CN2161">
        <v>-0.1</v>
      </c>
      <c r="CO2161">
        <v>27</v>
      </c>
      <c r="CP2161">
        <v>-1.6</v>
      </c>
      <c r="CQ2161">
        <v>35</v>
      </c>
      <c r="CR2161">
        <v>0</v>
      </c>
      <c r="CS2161">
        <v>0</v>
      </c>
      <c r="CT2161">
        <v>-5.5</v>
      </c>
      <c r="CU2161">
        <v>24</v>
      </c>
      <c r="CV2161">
        <v>-0.15</v>
      </c>
      <c r="CW2161">
        <v>9</v>
      </c>
      <c r="CX2161" t="s">
        <v>10459</v>
      </c>
    </row>
    <row r="2162" spans="1:102" x14ac:dyDescent="0.3">
      <c r="A2162" t="str">
        <f>HYPERLINK("https://webapp.icbf.com/v2/app/bull-search/view/77855179","MII")</f>
        <v>MII</v>
      </c>
      <c r="B2162" t="s">
        <v>10867</v>
      </c>
      <c r="C2162" t="s">
        <v>10868</v>
      </c>
      <c r="D2162" s="1">
        <v>32753</v>
      </c>
      <c r="E2162" t="s">
        <v>108</v>
      </c>
      <c r="F2162">
        <v>25</v>
      </c>
      <c r="G2162" t="s">
        <v>116</v>
      </c>
      <c r="H2162">
        <v>59.99</v>
      </c>
      <c r="I2162">
        <v>42</v>
      </c>
      <c r="J2162">
        <v>-27.41</v>
      </c>
      <c r="K2162">
        <v>57</v>
      </c>
      <c r="L2162">
        <v>86.9</v>
      </c>
      <c r="M2162">
        <v>40</v>
      </c>
      <c r="N2162">
        <v>4.82</v>
      </c>
      <c r="O2162">
        <v>24</v>
      </c>
      <c r="P2162">
        <v>-11.27</v>
      </c>
      <c r="Q2162">
        <v>37</v>
      </c>
      <c r="R2162">
        <v>-1.61</v>
      </c>
      <c r="S2162">
        <v>40</v>
      </c>
      <c r="T2162">
        <v>11.38</v>
      </c>
      <c r="U2162">
        <v>34</v>
      </c>
      <c r="V2162">
        <v>-2.82</v>
      </c>
      <c r="W2162">
        <v>11</v>
      </c>
      <c r="X2162" t="s">
        <v>94</v>
      </c>
      <c r="Y2162" t="s">
        <v>95</v>
      </c>
      <c r="Z2162" t="s">
        <v>96</v>
      </c>
      <c r="AA2162" t="s">
        <v>10869</v>
      </c>
      <c r="AB2162" t="s">
        <v>10870</v>
      </c>
      <c r="AC2162">
        <v>6</v>
      </c>
      <c r="AD2162">
        <v>6</v>
      </c>
      <c r="AE2162">
        <v>57</v>
      </c>
      <c r="AF2162">
        <v>-64.599999999999994</v>
      </c>
      <c r="AG2162">
        <v>-3.62</v>
      </c>
      <c r="AH2162">
        <v>-4.37</v>
      </c>
      <c r="AI2162">
        <v>-0.02</v>
      </c>
      <c r="AJ2162">
        <v>-0.04</v>
      </c>
      <c r="AK2162">
        <v>40</v>
      </c>
      <c r="AL2162">
        <v>21</v>
      </c>
      <c r="AM2162">
        <v>16</v>
      </c>
      <c r="AN2162">
        <v>-5.54</v>
      </c>
      <c r="AO2162">
        <v>1.38</v>
      </c>
      <c r="AP2162">
        <v>1</v>
      </c>
      <c r="AQ2162">
        <v>0</v>
      </c>
      <c r="AR2162">
        <v>7.54</v>
      </c>
      <c r="AS2162">
        <v>13</v>
      </c>
      <c r="AT2162">
        <v>2.96</v>
      </c>
      <c r="AU2162">
        <v>22</v>
      </c>
      <c r="AV2162">
        <v>-0.91</v>
      </c>
      <c r="AW2162">
        <v>27</v>
      </c>
      <c r="AX2162">
        <v>-0.11</v>
      </c>
      <c r="AY2162">
        <v>34</v>
      </c>
      <c r="AZ2162">
        <v>7.65</v>
      </c>
      <c r="BA2162">
        <v>13</v>
      </c>
      <c r="BB2162">
        <v>5.47</v>
      </c>
      <c r="BC2162">
        <v>17</v>
      </c>
      <c r="BD2162">
        <v>0.03</v>
      </c>
      <c r="BE2162">
        <v>0.03</v>
      </c>
      <c r="BF2162">
        <v>-7.0000000000000007E-2</v>
      </c>
      <c r="BG2162">
        <v>57</v>
      </c>
      <c r="BH2162">
        <v>-0.04</v>
      </c>
      <c r="BI2162">
        <v>4.4800000000000004</v>
      </c>
      <c r="BJ2162">
        <v>4</v>
      </c>
      <c r="BK2162">
        <v>4</v>
      </c>
      <c r="BL2162">
        <v>-2.0699999999999998</v>
      </c>
      <c r="BM2162">
        <v>1.7</v>
      </c>
      <c r="BN2162">
        <v>-0.43</v>
      </c>
      <c r="BO2162">
        <v>-1.7</v>
      </c>
      <c r="BP2162">
        <v>-0.44</v>
      </c>
      <c r="BQ2162">
        <v>0.26</v>
      </c>
      <c r="BR2162">
        <v>0.49</v>
      </c>
      <c r="BS2162">
        <v>-1.48</v>
      </c>
      <c r="BT2162">
        <v>-1.06</v>
      </c>
      <c r="BU2162">
        <v>-0.51</v>
      </c>
      <c r="BV2162">
        <v>-1.31</v>
      </c>
      <c r="BW2162">
        <v>-1.82</v>
      </c>
      <c r="BX2162">
        <v>-0.15</v>
      </c>
      <c r="BY2162">
        <v>-1.76</v>
      </c>
      <c r="BZ2162">
        <v>-0.13</v>
      </c>
      <c r="CA2162">
        <v>-1.77</v>
      </c>
      <c r="CB2162">
        <v>-1.29</v>
      </c>
      <c r="CC2162">
        <v>-1.84</v>
      </c>
      <c r="CD2162">
        <v>1.56</v>
      </c>
      <c r="CE2162">
        <v>-1.56</v>
      </c>
      <c r="CF2162">
        <v>-1.17</v>
      </c>
      <c r="CG2162">
        <v>0</v>
      </c>
      <c r="CH2162">
        <v>-1.56</v>
      </c>
      <c r="CI2162">
        <v>0</v>
      </c>
      <c r="CJ2162">
        <v>-5.0999999999999996</v>
      </c>
      <c r="CK2162">
        <v>38</v>
      </c>
      <c r="CL2162">
        <v>-0.28999999999999998</v>
      </c>
      <c r="CM2162">
        <v>35</v>
      </c>
      <c r="CN2162">
        <v>0.01</v>
      </c>
      <c r="CO2162">
        <v>32</v>
      </c>
      <c r="CP2162">
        <v>-7.5</v>
      </c>
      <c r="CQ2162">
        <v>42</v>
      </c>
      <c r="CR2162">
        <v>0</v>
      </c>
      <c r="CS2162">
        <v>0</v>
      </c>
      <c r="CT2162">
        <v>-1.6</v>
      </c>
      <c r="CU2162">
        <v>34</v>
      </c>
      <c r="CV2162">
        <v>-0.04</v>
      </c>
      <c r="CW2162">
        <v>10</v>
      </c>
      <c r="CX2162" t="s">
        <v>967</v>
      </c>
    </row>
    <row r="2163" spans="1:102" x14ac:dyDescent="0.3">
      <c r="A2163" t="str">
        <f>HYPERLINK("https://webapp.icbf.com/v2/app/bull-search/view/77854903","MVN")</f>
        <v>MVN</v>
      </c>
      <c r="B2163" t="s">
        <v>8968</v>
      </c>
      <c r="C2163" t="s">
        <v>8969</v>
      </c>
      <c r="D2163" s="1">
        <v>33104</v>
      </c>
      <c r="E2163" t="s">
        <v>92</v>
      </c>
      <c r="F2163">
        <v>50</v>
      </c>
      <c r="G2163" t="s">
        <v>93</v>
      </c>
      <c r="H2163">
        <v>59.97</v>
      </c>
      <c r="I2163">
        <v>69</v>
      </c>
      <c r="J2163">
        <v>-50.21</v>
      </c>
      <c r="K2163">
        <v>89</v>
      </c>
      <c r="L2163">
        <v>72.58</v>
      </c>
      <c r="M2163">
        <v>63</v>
      </c>
      <c r="N2163">
        <v>24.5</v>
      </c>
      <c r="O2163">
        <v>50</v>
      </c>
      <c r="P2163">
        <v>-12.31</v>
      </c>
      <c r="Q2163">
        <v>68</v>
      </c>
      <c r="R2163">
        <v>-2.73</v>
      </c>
      <c r="S2163">
        <v>65</v>
      </c>
      <c r="T2163">
        <v>33.21</v>
      </c>
      <c r="U2163">
        <v>58</v>
      </c>
      <c r="V2163">
        <v>-5.07</v>
      </c>
      <c r="W2163">
        <v>29</v>
      </c>
      <c r="X2163" t="s">
        <v>94</v>
      </c>
      <c r="Y2163" t="s">
        <v>95</v>
      </c>
      <c r="Z2163" t="s">
        <v>96</v>
      </c>
      <c r="AA2163" t="s">
        <v>537</v>
      </c>
      <c r="AB2163" t="s">
        <v>8970</v>
      </c>
      <c r="AC2163">
        <v>51</v>
      </c>
      <c r="AD2163">
        <v>46</v>
      </c>
      <c r="AE2163">
        <v>89</v>
      </c>
      <c r="AF2163">
        <v>-429.49</v>
      </c>
      <c r="AG2163">
        <v>-7.36</v>
      </c>
      <c r="AH2163">
        <v>-12.51</v>
      </c>
      <c r="AI2163">
        <v>0.17</v>
      </c>
      <c r="AJ2163">
        <v>0.04</v>
      </c>
      <c r="AK2163">
        <v>63</v>
      </c>
      <c r="AL2163">
        <v>78</v>
      </c>
      <c r="AM2163">
        <v>55</v>
      </c>
      <c r="AN2163">
        <v>-4.5599999999999996</v>
      </c>
      <c r="AO2163">
        <v>1.22</v>
      </c>
      <c r="AP2163">
        <v>3</v>
      </c>
      <c r="AQ2163">
        <v>0</v>
      </c>
      <c r="AR2163">
        <v>4.33</v>
      </c>
      <c r="AS2163">
        <v>33</v>
      </c>
      <c r="AT2163">
        <v>2.2200000000000002</v>
      </c>
      <c r="AU2163">
        <v>46</v>
      </c>
      <c r="AV2163">
        <v>-1.1599999999999999</v>
      </c>
      <c r="AW2163">
        <v>56</v>
      </c>
      <c r="AX2163">
        <v>-0.31</v>
      </c>
      <c r="AY2163">
        <v>62</v>
      </c>
      <c r="AZ2163">
        <v>6.7</v>
      </c>
      <c r="BA2163">
        <v>30</v>
      </c>
      <c r="BB2163">
        <v>4.87</v>
      </c>
      <c r="BC2163">
        <v>44</v>
      </c>
      <c r="BD2163">
        <v>0.01</v>
      </c>
      <c r="BE2163">
        <v>0.04</v>
      </c>
      <c r="BF2163">
        <v>-0.03</v>
      </c>
      <c r="BG2163">
        <v>84</v>
      </c>
      <c r="BH2163">
        <v>-0.11</v>
      </c>
      <c r="BI2163">
        <v>3.62</v>
      </c>
      <c r="BJ2163">
        <v>15</v>
      </c>
      <c r="BK2163">
        <v>12</v>
      </c>
      <c r="BL2163">
        <v>-1.82</v>
      </c>
      <c r="BM2163">
        <v>-0.3</v>
      </c>
      <c r="BN2163">
        <v>-2.2599999999999998</v>
      </c>
      <c r="BO2163">
        <v>-1.62</v>
      </c>
      <c r="BP2163">
        <v>0.23</v>
      </c>
      <c r="BQ2163">
        <v>-1.79</v>
      </c>
      <c r="BR2163">
        <v>0.47</v>
      </c>
      <c r="BS2163">
        <v>-0.66</v>
      </c>
      <c r="BT2163">
        <v>-1.33</v>
      </c>
      <c r="BU2163">
        <v>-1.8</v>
      </c>
      <c r="BV2163">
        <v>-1.98</v>
      </c>
      <c r="BW2163">
        <v>-2.1</v>
      </c>
      <c r="BX2163">
        <v>-1.71</v>
      </c>
      <c r="BY2163">
        <v>-1.39</v>
      </c>
      <c r="BZ2163">
        <v>-1.69</v>
      </c>
      <c r="CA2163">
        <v>-2.11</v>
      </c>
      <c r="CB2163">
        <v>-2.15</v>
      </c>
      <c r="CC2163">
        <v>-0.9</v>
      </c>
      <c r="CD2163">
        <v>1.1599999999999999</v>
      </c>
      <c r="CE2163">
        <v>-1.59</v>
      </c>
      <c r="CF2163">
        <v>-2.66</v>
      </c>
      <c r="CG2163">
        <v>0</v>
      </c>
      <c r="CH2163">
        <v>-1.98</v>
      </c>
      <c r="CI2163">
        <v>0</v>
      </c>
      <c r="CJ2163">
        <v>-5</v>
      </c>
      <c r="CK2163">
        <v>69</v>
      </c>
      <c r="CL2163">
        <v>-0.31</v>
      </c>
      <c r="CM2163">
        <v>66</v>
      </c>
      <c r="CN2163">
        <v>-0.06</v>
      </c>
      <c r="CO2163">
        <v>62</v>
      </c>
      <c r="CP2163">
        <v>-19.399999999999999</v>
      </c>
      <c r="CQ2163">
        <v>72</v>
      </c>
      <c r="CR2163">
        <v>0</v>
      </c>
      <c r="CS2163">
        <v>0</v>
      </c>
      <c r="CT2163">
        <v>-31.1</v>
      </c>
      <c r="CU2163">
        <v>58</v>
      </c>
      <c r="CV2163">
        <v>-0.02</v>
      </c>
      <c r="CW2163">
        <v>19</v>
      </c>
      <c r="CX2163" t="s">
        <v>8971</v>
      </c>
    </row>
    <row r="2164" spans="1:102" x14ac:dyDescent="0.3">
      <c r="A2164" t="str">
        <f>HYPERLINK("https://webapp.icbf.com/v2/app/bull-search/view/69092653","SFD")</f>
        <v>SFD</v>
      </c>
      <c r="B2164" t="s">
        <v>10575</v>
      </c>
      <c r="C2164" t="s">
        <v>10576</v>
      </c>
      <c r="D2164" s="1">
        <v>33427</v>
      </c>
      <c r="E2164" t="s">
        <v>227</v>
      </c>
      <c r="F2164">
        <v>0</v>
      </c>
      <c r="G2164" t="s">
        <v>109</v>
      </c>
      <c r="H2164">
        <v>59.97</v>
      </c>
      <c r="I2164">
        <v>46</v>
      </c>
      <c r="J2164">
        <v>-18.07</v>
      </c>
      <c r="K2164">
        <v>64</v>
      </c>
      <c r="L2164">
        <v>47.08</v>
      </c>
      <c r="M2164">
        <v>44</v>
      </c>
      <c r="N2164">
        <v>18.89</v>
      </c>
      <c r="O2164">
        <v>23</v>
      </c>
      <c r="P2164">
        <v>-17.77</v>
      </c>
      <c r="Q2164">
        <v>37</v>
      </c>
      <c r="R2164">
        <v>-8.0500000000000007</v>
      </c>
      <c r="S2164">
        <v>29</v>
      </c>
      <c r="T2164">
        <v>33.29</v>
      </c>
      <c r="U2164">
        <v>41</v>
      </c>
      <c r="V2164">
        <v>4.5999999999999996</v>
      </c>
      <c r="W2164">
        <v>8</v>
      </c>
      <c r="X2164" t="s">
        <v>110</v>
      </c>
      <c r="Y2164" t="s">
        <v>95</v>
      </c>
      <c r="Z2164">
        <v>0</v>
      </c>
      <c r="AA2164" t="s">
        <v>10577</v>
      </c>
      <c r="AB2164" t="s">
        <v>144</v>
      </c>
      <c r="AC2164">
        <v>0</v>
      </c>
      <c r="AD2164">
        <v>0</v>
      </c>
      <c r="AE2164">
        <v>64</v>
      </c>
      <c r="AF2164">
        <v>-949.96</v>
      </c>
      <c r="AG2164">
        <v>-0.97</v>
      </c>
      <c r="AH2164">
        <v>-17.27</v>
      </c>
      <c r="AI2164">
        <v>0.71</v>
      </c>
      <c r="AJ2164">
        <v>0.3</v>
      </c>
      <c r="AK2164">
        <v>44</v>
      </c>
      <c r="AL2164">
        <v>0</v>
      </c>
      <c r="AM2164">
        <v>0</v>
      </c>
      <c r="AN2164">
        <v>-3.7</v>
      </c>
      <c r="AO2164">
        <v>0.04</v>
      </c>
      <c r="AP2164">
        <v>1</v>
      </c>
      <c r="AQ2164">
        <v>0</v>
      </c>
      <c r="AR2164">
        <v>3.9</v>
      </c>
      <c r="AS2164">
        <v>4</v>
      </c>
      <c r="AT2164">
        <v>2.17</v>
      </c>
      <c r="AU2164">
        <v>14</v>
      </c>
      <c r="AV2164">
        <v>-0.74</v>
      </c>
      <c r="AW2164">
        <v>35</v>
      </c>
      <c r="AX2164">
        <v>1.01</v>
      </c>
      <c r="AY2164">
        <v>35</v>
      </c>
      <c r="AZ2164">
        <v>6.57</v>
      </c>
      <c r="BA2164">
        <v>4</v>
      </c>
      <c r="BB2164">
        <v>4.91</v>
      </c>
      <c r="BC2164">
        <v>12</v>
      </c>
      <c r="BD2164">
        <v>0</v>
      </c>
      <c r="BE2164">
        <v>0.05</v>
      </c>
      <c r="BF2164">
        <v>0.09</v>
      </c>
      <c r="BG2164">
        <v>37</v>
      </c>
      <c r="BH2164">
        <v>0.17</v>
      </c>
      <c r="BI2164">
        <v>4.82</v>
      </c>
      <c r="BJ2164">
        <v>0</v>
      </c>
      <c r="BK2164">
        <v>0</v>
      </c>
      <c r="BL2164">
        <v>-1.59</v>
      </c>
      <c r="BM2164">
        <v>-1.65</v>
      </c>
      <c r="BN2164">
        <v>-0.49</v>
      </c>
      <c r="BO2164">
        <v>1.0900000000000001</v>
      </c>
      <c r="BP2164">
        <v>-1</v>
      </c>
      <c r="BQ2164">
        <v>-5.36</v>
      </c>
      <c r="BR2164">
        <v>2.36</v>
      </c>
      <c r="BS2164">
        <v>6.45</v>
      </c>
      <c r="BT2164">
        <v>-1.22</v>
      </c>
      <c r="BU2164">
        <v>0.23</v>
      </c>
      <c r="BV2164">
        <v>0.33</v>
      </c>
      <c r="BW2164">
        <v>-1.63</v>
      </c>
      <c r="BX2164">
        <v>-2.2400000000000002</v>
      </c>
      <c r="BY2164">
        <v>-0.04</v>
      </c>
      <c r="BZ2164">
        <v>-0.48</v>
      </c>
      <c r="CA2164">
        <v>1.77</v>
      </c>
      <c r="CB2164">
        <v>0.26</v>
      </c>
      <c r="CC2164">
        <v>3.97</v>
      </c>
      <c r="CD2164">
        <v>-2.16</v>
      </c>
      <c r="CE2164">
        <v>0.97</v>
      </c>
      <c r="CF2164">
        <v>-1.74</v>
      </c>
      <c r="CG2164">
        <v>0</v>
      </c>
      <c r="CH2164">
        <v>-0.5</v>
      </c>
      <c r="CI2164">
        <v>0</v>
      </c>
      <c r="CJ2164">
        <v>-8.6999999999999993</v>
      </c>
      <c r="CK2164">
        <v>41</v>
      </c>
      <c r="CL2164">
        <v>-0.22</v>
      </c>
      <c r="CM2164">
        <v>32</v>
      </c>
      <c r="CN2164">
        <v>0.02</v>
      </c>
      <c r="CO2164">
        <v>26</v>
      </c>
      <c r="CP2164">
        <v>-21.7</v>
      </c>
      <c r="CQ2164">
        <v>42</v>
      </c>
      <c r="CR2164">
        <v>0</v>
      </c>
      <c r="CS2164">
        <v>0</v>
      </c>
      <c r="CT2164">
        <v>-31.2</v>
      </c>
      <c r="CU2164">
        <v>41</v>
      </c>
      <c r="CV2164">
        <v>-0.24</v>
      </c>
      <c r="CW2164">
        <v>10</v>
      </c>
      <c r="CX2164" t="s">
        <v>10578</v>
      </c>
    </row>
    <row r="2165" spans="1:102" x14ac:dyDescent="0.3">
      <c r="A2165" t="str">
        <f>HYPERLINK("https://webapp.icbf.com/v2/app/bull-search/view/1599957677","FR4887")</f>
        <v>FR4887</v>
      </c>
      <c r="B2165" t="s">
        <v>9539</v>
      </c>
      <c r="C2165" t="s">
        <v>9540</v>
      </c>
      <c r="D2165" s="1">
        <v>42640</v>
      </c>
      <c r="E2165" t="s">
        <v>92</v>
      </c>
      <c r="F2165">
        <v>100</v>
      </c>
      <c r="G2165" t="s">
        <v>435</v>
      </c>
      <c r="H2165">
        <v>59.91</v>
      </c>
      <c r="I2165">
        <v>66</v>
      </c>
      <c r="J2165">
        <v>61.49</v>
      </c>
      <c r="K2165">
        <v>87</v>
      </c>
      <c r="L2165">
        <v>-18.96</v>
      </c>
      <c r="M2165">
        <v>67</v>
      </c>
      <c r="N2165">
        <v>26.52</v>
      </c>
      <c r="O2165">
        <v>46</v>
      </c>
      <c r="P2165">
        <v>2.57</v>
      </c>
      <c r="Q2165">
        <v>36</v>
      </c>
      <c r="R2165">
        <v>8.2799999999999994</v>
      </c>
      <c r="S2165">
        <v>62</v>
      </c>
      <c r="T2165">
        <v>-32.049999999999997</v>
      </c>
      <c r="U2165">
        <v>35</v>
      </c>
      <c r="V2165">
        <v>12.06</v>
      </c>
      <c r="W2165">
        <v>53</v>
      </c>
      <c r="X2165" t="s">
        <v>234</v>
      </c>
      <c r="Y2165" t="s">
        <v>9537</v>
      </c>
      <c r="Z2165" t="s">
        <v>96</v>
      </c>
      <c r="AA2165" t="s">
        <v>2223</v>
      </c>
      <c r="AB2165" t="s">
        <v>9541</v>
      </c>
      <c r="AC2165">
        <v>0</v>
      </c>
      <c r="AD2165">
        <v>0</v>
      </c>
      <c r="AE2165">
        <v>87</v>
      </c>
      <c r="AF2165">
        <v>577.28</v>
      </c>
      <c r="AG2165">
        <v>11.29</v>
      </c>
      <c r="AH2165">
        <v>15.3</v>
      </c>
      <c r="AI2165">
        <v>-0.18</v>
      </c>
      <c r="AJ2165">
        <v>-0.06</v>
      </c>
      <c r="AK2165">
        <v>67</v>
      </c>
      <c r="AL2165">
        <v>0</v>
      </c>
      <c r="AM2165">
        <v>0</v>
      </c>
      <c r="AN2165">
        <v>0.4</v>
      </c>
      <c r="AO2165">
        <v>-1.1200000000000001</v>
      </c>
      <c r="AP2165">
        <v>8</v>
      </c>
      <c r="AQ2165">
        <v>0</v>
      </c>
      <c r="AR2165">
        <v>6.52</v>
      </c>
      <c r="AS2165">
        <v>54</v>
      </c>
      <c r="AT2165">
        <v>2.97</v>
      </c>
      <c r="AU2165">
        <v>66</v>
      </c>
      <c r="AV2165">
        <v>-2.82</v>
      </c>
      <c r="AW2165">
        <v>38</v>
      </c>
      <c r="AX2165">
        <v>0.56999999999999995</v>
      </c>
      <c r="AY2165">
        <v>42</v>
      </c>
      <c r="AZ2165">
        <v>5.88</v>
      </c>
      <c r="BA2165">
        <v>34</v>
      </c>
      <c r="BB2165">
        <v>4.84</v>
      </c>
      <c r="BC2165">
        <v>33</v>
      </c>
      <c r="BD2165">
        <v>-0.05</v>
      </c>
      <c r="BE2165">
        <v>-0.03</v>
      </c>
      <c r="BF2165">
        <v>-0.05</v>
      </c>
      <c r="BG2165">
        <v>74</v>
      </c>
      <c r="BH2165">
        <v>0.17</v>
      </c>
      <c r="BI2165">
        <v>-19.23</v>
      </c>
      <c r="BJ2165">
        <v>0</v>
      </c>
      <c r="BK2165">
        <v>0</v>
      </c>
      <c r="BL2165">
        <v>3.64</v>
      </c>
      <c r="BM2165">
        <v>-0.59</v>
      </c>
      <c r="BN2165">
        <v>2.2799999999999998</v>
      </c>
      <c r="BO2165">
        <v>2.14</v>
      </c>
      <c r="BP2165">
        <v>-1.45</v>
      </c>
      <c r="BQ2165">
        <v>1.56</v>
      </c>
      <c r="BR2165">
        <v>-0.76</v>
      </c>
      <c r="BS2165">
        <v>2.2599999999999998</v>
      </c>
      <c r="BT2165">
        <v>0.88</v>
      </c>
      <c r="BU2165">
        <v>4.24</v>
      </c>
      <c r="BV2165">
        <v>4.04</v>
      </c>
      <c r="BW2165">
        <v>4</v>
      </c>
      <c r="BX2165">
        <v>3.3</v>
      </c>
      <c r="BY2165">
        <v>1.8</v>
      </c>
      <c r="BZ2165">
        <v>-0.47</v>
      </c>
      <c r="CA2165">
        <v>3.18</v>
      </c>
      <c r="CB2165">
        <v>3.13</v>
      </c>
      <c r="CC2165">
        <v>1.71</v>
      </c>
      <c r="CD2165">
        <v>-1.19</v>
      </c>
      <c r="CE2165">
        <v>1.26</v>
      </c>
      <c r="CF2165">
        <v>1.64</v>
      </c>
      <c r="CG2165">
        <v>0</v>
      </c>
      <c r="CH2165">
        <v>2.0699999999999998</v>
      </c>
      <c r="CI2165">
        <v>0</v>
      </c>
      <c r="CJ2165">
        <v>4.5999999999999996</v>
      </c>
      <c r="CK2165">
        <v>36</v>
      </c>
      <c r="CL2165">
        <v>-1.89</v>
      </c>
      <c r="CM2165">
        <v>36</v>
      </c>
      <c r="CN2165">
        <v>-1.07</v>
      </c>
      <c r="CO2165">
        <v>35</v>
      </c>
      <c r="CP2165">
        <v>21.3</v>
      </c>
      <c r="CQ2165">
        <v>35</v>
      </c>
      <c r="CR2165">
        <v>0</v>
      </c>
      <c r="CS2165">
        <v>0</v>
      </c>
      <c r="CT2165">
        <v>57.1</v>
      </c>
      <c r="CU2165">
        <v>35</v>
      </c>
      <c r="CV2165">
        <v>0.27</v>
      </c>
      <c r="CW2165">
        <v>32</v>
      </c>
      <c r="CX2165" t="s">
        <v>412</v>
      </c>
    </row>
    <row r="2166" spans="1:102" x14ac:dyDescent="0.3">
      <c r="A2166" t="str">
        <f>HYPERLINK("https://webapp.icbf.com/v2/app/bull-search/view/1001198367","YBE")</f>
        <v>YBE</v>
      </c>
      <c r="B2166" t="s">
        <v>5585</v>
      </c>
      <c r="C2166" t="s">
        <v>5586</v>
      </c>
      <c r="D2166" s="1">
        <v>40524</v>
      </c>
      <c r="E2166" t="s">
        <v>92</v>
      </c>
      <c r="F2166">
        <v>100</v>
      </c>
      <c r="G2166" t="s">
        <v>109</v>
      </c>
      <c r="H2166">
        <v>59.85</v>
      </c>
      <c r="I2166">
        <v>81</v>
      </c>
      <c r="J2166">
        <v>39.6</v>
      </c>
      <c r="K2166">
        <v>93</v>
      </c>
      <c r="L2166">
        <v>5.73</v>
      </c>
      <c r="M2166">
        <v>78</v>
      </c>
      <c r="N2166">
        <v>17.11</v>
      </c>
      <c r="O2166">
        <v>77</v>
      </c>
      <c r="P2166">
        <v>-14.42</v>
      </c>
      <c r="Q2166">
        <v>85</v>
      </c>
      <c r="R2166">
        <v>4.9400000000000004</v>
      </c>
      <c r="S2166">
        <v>71</v>
      </c>
      <c r="T2166">
        <v>1.84</v>
      </c>
      <c r="U2166">
        <v>67</v>
      </c>
      <c r="V2166">
        <v>5.05</v>
      </c>
      <c r="W2166">
        <v>56</v>
      </c>
      <c r="X2166" t="s">
        <v>251</v>
      </c>
      <c r="Y2166" t="s">
        <v>5587</v>
      </c>
      <c r="Z2166" t="s">
        <v>96</v>
      </c>
      <c r="AA2166" t="s">
        <v>5588</v>
      </c>
      <c r="AB2166" t="s">
        <v>5589</v>
      </c>
      <c r="AC2166">
        <v>34</v>
      </c>
      <c r="AD2166">
        <v>18</v>
      </c>
      <c r="AE2166">
        <v>93</v>
      </c>
      <c r="AF2166">
        <v>20.63</v>
      </c>
      <c r="AG2166">
        <v>6.39</v>
      </c>
      <c r="AH2166">
        <v>4.79</v>
      </c>
      <c r="AI2166">
        <v>0.1</v>
      </c>
      <c r="AJ2166">
        <v>7.0000000000000007E-2</v>
      </c>
      <c r="AK2166">
        <v>78</v>
      </c>
      <c r="AL2166">
        <v>35</v>
      </c>
      <c r="AM2166">
        <v>15</v>
      </c>
      <c r="AN2166">
        <v>-0.88</v>
      </c>
      <c r="AO2166">
        <v>-0.43</v>
      </c>
      <c r="AP2166">
        <v>87</v>
      </c>
      <c r="AQ2166">
        <v>1</v>
      </c>
      <c r="AR2166">
        <v>6.82</v>
      </c>
      <c r="AS2166">
        <v>64</v>
      </c>
      <c r="AT2166">
        <v>2.63</v>
      </c>
      <c r="AU2166">
        <v>83</v>
      </c>
      <c r="AV2166">
        <v>-1.88</v>
      </c>
      <c r="AW2166">
        <v>90</v>
      </c>
      <c r="AX2166">
        <v>0.25</v>
      </c>
      <c r="AY2166">
        <v>71</v>
      </c>
      <c r="AZ2166">
        <v>6.65</v>
      </c>
      <c r="BA2166">
        <v>51</v>
      </c>
      <c r="BB2166">
        <v>5.57</v>
      </c>
      <c r="BC2166">
        <v>45</v>
      </c>
      <c r="BD2166">
        <v>-0.04</v>
      </c>
      <c r="BE2166">
        <v>-0.03</v>
      </c>
      <c r="BF2166">
        <v>0.01</v>
      </c>
      <c r="BG2166">
        <v>86</v>
      </c>
      <c r="BH2166">
        <v>0.01</v>
      </c>
      <c r="BI2166">
        <v>-15.14</v>
      </c>
      <c r="BJ2166">
        <v>16</v>
      </c>
      <c r="BK2166">
        <v>6</v>
      </c>
      <c r="BL2166">
        <v>-0.27</v>
      </c>
      <c r="BM2166">
        <v>0.27</v>
      </c>
      <c r="BN2166">
        <v>0.52</v>
      </c>
      <c r="BO2166">
        <v>-0.19</v>
      </c>
      <c r="BP2166">
        <v>-2.77</v>
      </c>
      <c r="BQ2166">
        <v>-0.56000000000000005</v>
      </c>
      <c r="BR2166">
        <v>-2.2400000000000002</v>
      </c>
      <c r="BS2166">
        <v>0.95</v>
      </c>
      <c r="BT2166">
        <v>2.21</v>
      </c>
      <c r="BU2166">
        <v>0.02</v>
      </c>
      <c r="BV2166">
        <v>0.24</v>
      </c>
      <c r="BW2166">
        <v>-1.61</v>
      </c>
      <c r="BX2166">
        <v>-1.18</v>
      </c>
      <c r="BY2166">
        <v>0.3</v>
      </c>
      <c r="BZ2166">
        <v>-0.03</v>
      </c>
      <c r="CA2166">
        <v>0.11</v>
      </c>
      <c r="CB2166">
        <v>-0.23</v>
      </c>
      <c r="CC2166">
        <v>0.78</v>
      </c>
      <c r="CD2166">
        <v>-0.05</v>
      </c>
      <c r="CE2166">
        <v>-0.03</v>
      </c>
      <c r="CF2166">
        <v>-0.51</v>
      </c>
      <c r="CG2166">
        <v>0</v>
      </c>
      <c r="CH2166">
        <v>0.63</v>
      </c>
      <c r="CI2166">
        <v>0</v>
      </c>
      <c r="CJ2166">
        <v>-7.2</v>
      </c>
      <c r="CK2166">
        <v>87</v>
      </c>
      <c r="CL2166">
        <v>-0.77</v>
      </c>
      <c r="CM2166">
        <v>84</v>
      </c>
      <c r="CN2166">
        <v>-0.38</v>
      </c>
      <c r="CO2166">
        <v>82</v>
      </c>
      <c r="CP2166">
        <v>-6.6</v>
      </c>
      <c r="CQ2166">
        <v>73</v>
      </c>
      <c r="CR2166">
        <v>0</v>
      </c>
      <c r="CS2166">
        <v>0</v>
      </c>
      <c r="CT2166">
        <v>11.3</v>
      </c>
      <c r="CU2166">
        <v>67</v>
      </c>
      <c r="CV2166">
        <v>-0.06</v>
      </c>
      <c r="CW2166">
        <v>43</v>
      </c>
      <c r="CX2166" t="s">
        <v>316</v>
      </c>
    </row>
    <row r="2167" spans="1:102" x14ac:dyDescent="0.3">
      <c r="A2167" t="str">
        <f>HYPERLINK("https://webapp.icbf.com/v2/app/bull-search/view/1017312806","FR4524")</f>
        <v>FR4524</v>
      </c>
      <c r="B2167" t="s">
        <v>13865</v>
      </c>
      <c r="C2167" t="s">
        <v>13866</v>
      </c>
      <c r="D2167" s="1">
        <v>40984</v>
      </c>
      <c r="E2167" t="s">
        <v>92</v>
      </c>
      <c r="F2167">
        <v>69</v>
      </c>
      <c r="G2167" t="s">
        <v>109</v>
      </c>
      <c r="H2167">
        <v>59.77</v>
      </c>
      <c r="I2167">
        <v>68</v>
      </c>
      <c r="J2167">
        <v>89.58</v>
      </c>
      <c r="K2167">
        <v>88</v>
      </c>
      <c r="L2167">
        <v>-34.409999999999997</v>
      </c>
      <c r="M2167">
        <v>67</v>
      </c>
      <c r="N2167">
        <v>1.1599999999999999</v>
      </c>
      <c r="O2167">
        <v>74</v>
      </c>
      <c r="P2167">
        <v>-21.88</v>
      </c>
      <c r="Q2167">
        <v>33</v>
      </c>
      <c r="R2167">
        <v>2.94</v>
      </c>
      <c r="S2167">
        <v>63</v>
      </c>
      <c r="T2167">
        <v>10.64</v>
      </c>
      <c r="U2167">
        <v>33</v>
      </c>
      <c r="V2167">
        <v>11.74</v>
      </c>
      <c r="W2167">
        <v>49</v>
      </c>
      <c r="X2167" t="s">
        <v>276</v>
      </c>
      <c r="Y2167" t="s">
        <v>442</v>
      </c>
      <c r="Z2167" t="s">
        <v>330</v>
      </c>
      <c r="AA2167" t="s">
        <v>13867</v>
      </c>
      <c r="AB2167" t="s">
        <v>13868</v>
      </c>
      <c r="AC2167">
        <v>0</v>
      </c>
      <c r="AD2167">
        <v>0</v>
      </c>
      <c r="AE2167">
        <v>88</v>
      </c>
      <c r="AF2167">
        <v>431.21</v>
      </c>
      <c r="AG2167">
        <v>13.92</v>
      </c>
      <c r="AH2167">
        <v>16.91</v>
      </c>
      <c r="AI2167">
        <v>-0.05</v>
      </c>
      <c r="AJ2167">
        <v>0.04</v>
      </c>
      <c r="AK2167">
        <v>67</v>
      </c>
      <c r="AL2167">
        <v>0</v>
      </c>
      <c r="AM2167">
        <v>0</v>
      </c>
      <c r="AN2167">
        <v>2.99</v>
      </c>
      <c r="AO2167">
        <v>0.26</v>
      </c>
      <c r="AP2167">
        <v>155</v>
      </c>
      <c r="AQ2167">
        <v>0</v>
      </c>
      <c r="AR2167">
        <v>10.44</v>
      </c>
      <c r="AS2167">
        <v>41</v>
      </c>
      <c r="AT2167">
        <v>3.72</v>
      </c>
      <c r="AU2167">
        <v>87</v>
      </c>
      <c r="AV2167">
        <v>-2.09</v>
      </c>
      <c r="AW2167">
        <v>93</v>
      </c>
      <c r="AX2167">
        <v>-0.84</v>
      </c>
      <c r="AY2167">
        <v>67</v>
      </c>
      <c r="AZ2167">
        <v>7.43</v>
      </c>
      <c r="BA2167">
        <v>26</v>
      </c>
      <c r="BB2167">
        <v>5.38</v>
      </c>
      <c r="BC2167">
        <v>28</v>
      </c>
      <c r="BD2167">
        <v>-0.04</v>
      </c>
      <c r="BE2167">
        <v>0.01</v>
      </c>
      <c r="BF2167">
        <v>-0.02</v>
      </c>
      <c r="BG2167">
        <v>83</v>
      </c>
      <c r="BH2167">
        <v>0.03</v>
      </c>
      <c r="BI2167">
        <v>-34.409999999999997</v>
      </c>
      <c r="BJ2167">
        <v>0</v>
      </c>
      <c r="BK2167">
        <v>0</v>
      </c>
      <c r="BL2167">
        <v>-0.93</v>
      </c>
      <c r="BM2167">
        <v>3.33</v>
      </c>
      <c r="BN2167">
        <v>2.25</v>
      </c>
      <c r="BO2167">
        <v>0.31</v>
      </c>
      <c r="BP2167">
        <v>-0.73</v>
      </c>
      <c r="BQ2167">
        <v>0.23</v>
      </c>
      <c r="BR2167">
        <v>1.2</v>
      </c>
      <c r="BS2167">
        <v>-0.94</v>
      </c>
      <c r="BT2167">
        <v>-2.16</v>
      </c>
      <c r="BU2167">
        <v>1.24</v>
      </c>
      <c r="BV2167">
        <v>0.54</v>
      </c>
      <c r="BW2167">
        <v>0.06</v>
      </c>
      <c r="BX2167">
        <v>-0.97</v>
      </c>
      <c r="BY2167">
        <v>1.1100000000000001</v>
      </c>
      <c r="BZ2167">
        <v>0.67</v>
      </c>
      <c r="CA2167">
        <v>0.55000000000000004</v>
      </c>
      <c r="CB2167">
        <v>0.6</v>
      </c>
      <c r="CC2167">
        <v>-1.33</v>
      </c>
      <c r="CD2167">
        <v>-0.68</v>
      </c>
      <c r="CE2167">
        <v>0.42</v>
      </c>
      <c r="CF2167">
        <v>-0.96</v>
      </c>
      <c r="CG2167">
        <v>0</v>
      </c>
      <c r="CH2167">
        <v>1.05</v>
      </c>
      <c r="CI2167">
        <v>0</v>
      </c>
      <c r="CJ2167">
        <v>-10.6</v>
      </c>
      <c r="CK2167">
        <v>33</v>
      </c>
      <c r="CL2167">
        <v>-0.83</v>
      </c>
      <c r="CM2167">
        <v>33</v>
      </c>
      <c r="CN2167">
        <v>-0.22</v>
      </c>
      <c r="CO2167">
        <v>33</v>
      </c>
      <c r="CP2167">
        <v>-8.4</v>
      </c>
      <c r="CQ2167">
        <v>33</v>
      </c>
      <c r="CR2167">
        <v>0</v>
      </c>
      <c r="CS2167">
        <v>0</v>
      </c>
      <c r="CT2167">
        <v>-0.6</v>
      </c>
      <c r="CU2167">
        <v>33</v>
      </c>
      <c r="CV2167">
        <v>0.11</v>
      </c>
      <c r="CW2167">
        <v>31</v>
      </c>
      <c r="CX2167" t="s">
        <v>2027</v>
      </c>
    </row>
    <row r="2168" spans="1:102" x14ac:dyDescent="0.3">
      <c r="A2168" t="str">
        <f>HYPERLINK("https://webapp.icbf.com/v2/app/bull-search/view/137158385","DUT")</f>
        <v>DUT</v>
      </c>
      <c r="B2168" t="s">
        <v>8710</v>
      </c>
      <c r="C2168" t="s">
        <v>7593</v>
      </c>
      <c r="D2168" s="1">
        <v>35444</v>
      </c>
      <c r="E2168" t="s">
        <v>92</v>
      </c>
      <c r="F2168">
        <v>100</v>
      </c>
      <c r="G2168" t="s">
        <v>93</v>
      </c>
      <c r="H2168">
        <v>59.75</v>
      </c>
      <c r="I2168">
        <v>96</v>
      </c>
      <c r="J2168">
        <v>41.4</v>
      </c>
      <c r="K2168">
        <v>99</v>
      </c>
      <c r="L2168">
        <v>10.54</v>
      </c>
      <c r="M2168">
        <v>93</v>
      </c>
      <c r="N2168">
        <v>9.64</v>
      </c>
      <c r="O2168">
        <v>97</v>
      </c>
      <c r="P2168">
        <v>-6.95</v>
      </c>
      <c r="Q2168">
        <v>99</v>
      </c>
      <c r="R2168">
        <v>-1.64</v>
      </c>
      <c r="S2168">
        <v>95</v>
      </c>
      <c r="T2168">
        <v>16.27</v>
      </c>
      <c r="U2168">
        <v>98</v>
      </c>
      <c r="V2168">
        <v>-9.51</v>
      </c>
      <c r="W2168">
        <v>96</v>
      </c>
      <c r="X2168" t="s">
        <v>102</v>
      </c>
      <c r="Y2168" t="s">
        <v>95</v>
      </c>
      <c r="Z2168" t="s">
        <v>96</v>
      </c>
      <c r="AA2168" t="s">
        <v>1109</v>
      </c>
      <c r="AB2168" t="s">
        <v>8711</v>
      </c>
      <c r="AC2168">
        <v>868</v>
      </c>
      <c r="AD2168">
        <v>280</v>
      </c>
      <c r="AE2168">
        <v>99</v>
      </c>
      <c r="AF2168">
        <v>54.23</v>
      </c>
      <c r="AG2168">
        <v>3.45</v>
      </c>
      <c r="AH2168">
        <v>6.65</v>
      </c>
      <c r="AI2168">
        <v>0.02</v>
      </c>
      <c r="AJ2168">
        <v>0.08</v>
      </c>
      <c r="AK2168">
        <v>93</v>
      </c>
      <c r="AL2168">
        <v>979</v>
      </c>
      <c r="AM2168">
        <v>310</v>
      </c>
      <c r="AN2168">
        <v>-1.39</v>
      </c>
      <c r="AO2168">
        <v>-0.56000000000000005</v>
      </c>
      <c r="AP2168">
        <v>1390</v>
      </c>
      <c r="AQ2168">
        <v>9</v>
      </c>
      <c r="AR2168">
        <v>7.7</v>
      </c>
      <c r="AS2168">
        <v>94</v>
      </c>
      <c r="AT2168">
        <v>3.15</v>
      </c>
      <c r="AU2168">
        <v>98</v>
      </c>
      <c r="AV2168">
        <v>-1.45</v>
      </c>
      <c r="AW2168">
        <v>99</v>
      </c>
      <c r="AX2168">
        <v>-0.53</v>
      </c>
      <c r="AY2168">
        <v>97</v>
      </c>
      <c r="AZ2168">
        <v>7.64</v>
      </c>
      <c r="BA2168">
        <v>92</v>
      </c>
      <c r="BB2168">
        <v>5.17</v>
      </c>
      <c r="BC2168">
        <v>94</v>
      </c>
      <c r="BD2168">
        <v>0.01</v>
      </c>
      <c r="BE2168">
        <v>-0.01</v>
      </c>
      <c r="BF2168">
        <v>0.04</v>
      </c>
      <c r="BG2168">
        <v>98</v>
      </c>
      <c r="BH2168">
        <v>-0.25</v>
      </c>
      <c r="BI2168">
        <v>1.75</v>
      </c>
      <c r="BJ2168">
        <v>88</v>
      </c>
      <c r="BK2168">
        <v>34</v>
      </c>
      <c r="BL2168">
        <v>0.23</v>
      </c>
      <c r="BM2168">
        <v>-1.06</v>
      </c>
      <c r="BN2168">
        <v>-0.98</v>
      </c>
      <c r="BO2168">
        <v>0</v>
      </c>
      <c r="BP2168">
        <v>4.21</v>
      </c>
      <c r="BQ2168">
        <v>-0.6</v>
      </c>
      <c r="BR2168">
        <v>-2.97</v>
      </c>
      <c r="BS2168">
        <v>1.43</v>
      </c>
      <c r="BT2168">
        <v>3.5</v>
      </c>
      <c r="BU2168">
        <v>-0.93</v>
      </c>
      <c r="BV2168">
        <v>-0.62</v>
      </c>
      <c r="BW2168">
        <v>-0.71</v>
      </c>
      <c r="BX2168">
        <v>-0.78</v>
      </c>
      <c r="BY2168">
        <v>-0.76</v>
      </c>
      <c r="BZ2168">
        <v>-0.22</v>
      </c>
      <c r="CA2168">
        <v>-0.27</v>
      </c>
      <c r="CB2168">
        <v>-0.79</v>
      </c>
      <c r="CC2168">
        <v>1.0900000000000001</v>
      </c>
      <c r="CD2168">
        <v>0.28000000000000003</v>
      </c>
      <c r="CE2168">
        <v>-0.35</v>
      </c>
      <c r="CF2168">
        <v>-0.32</v>
      </c>
      <c r="CG2168">
        <v>0</v>
      </c>
      <c r="CH2168">
        <v>-0.84</v>
      </c>
      <c r="CI2168">
        <v>0</v>
      </c>
      <c r="CJ2168">
        <v>-2.2000000000000002</v>
      </c>
      <c r="CK2168">
        <v>99</v>
      </c>
      <c r="CL2168">
        <v>-0.49</v>
      </c>
      <c r="CM2168">
        <v>99</v>
      </c>
      <c r="CN2168">
        <v>-0.16</v>
      </c>
      <c r="CO2168">
        <v>99</v>
      </c>
      <c r="CP2168">
        <v>-4.9000000000000004</v>
      </c>
      <c r="CQ2168">
        <v>99</v>
      </c>
      <c r="CR2168">
        <v>0</v>
      </c>
      <c r="CS2168">
        <v>0</v>
      </c>
      <c r="CT2168">
        <v>-8.1999999999999993</v>
      </c>
      <c r="CU2168">
        <v>98</v>
      </c>
      <c r="CV2168">
        <v>0.04</v>
      </c>
      <c r="CW2168">
        <v>47</v>
      </c>
      <c r="CX2168" t="s">
        <v>485</v>
      </c>
    </row>
    <row r="2169" spans="1:102" x14ac:dyDescent="0.3">
      <c r="A2169" t="str">
        <f>HYPERLINK("https://webapp.icbf.com/v2/app/bull-search/view/122808860","LSU")</f>
        <v>LSU</v>
      </c>
      <c r="B2169" t="s">
        <v>8941</v>
      </c>
      <c r="C2169" t="s">
        <v>8942</v>
      </c>
      <c r="D2169" s="1">
        <v>35227</v>
      </c>
      <c r="E2169" t="s">
        <v>108</v>
      </c>
      <c r="F2169">
        <v>0</v>
      </c>
      <c r="G2169" t="s">
        <v>93</v>
      </c>
      <c r="H2169">
        <v>59.72</v>
      </c>
      <c r="I2169">
        <v>85</v>
      </c>
      <c r="J2169">
        <v>-85.55</v>
      </c>
      <c r="K2169">
        <v>94</v>
      </c>
      <c r="L2169">
        <v>121.96</v>
      </c>
      <c r="M2169">
        <v>83</v>
      </c>
      <c r="N2169">
        <v>18.72</v>
      </c>
      <c r="O2169">
        <v>78</v>
      </c>
      <c r="P2169">
        <v>-3.43</v>
      </c>
      <c r="Q2169">
        <v>91</v>
      </c>
      <c r="R2169">
        <v>0.73</v>
      </c>
      <c r="S2169">
        <v>72</v>
      </c>
      <c r="T2169">
        <v>19.38</v>
      </c>
      <c r="U2169">
        <v>79</v>
      </c>
      <c r="V2169">
        <v>-12.09</v>
      </c>
      <c r="W2169">
        <v>58</v>
      </c>
      <c r="X2169" t="s">
        <v>251</v>
      </c>
      <c r="Y2169" t="s">
        <v>95</v>
      </c>
      <c r="Z2169" t="s">
        <v>96</v>
      </c>
      <c r="AA2169" t="s">
        <v>8943</v>
      </c>
      <c r="AB2169" t="s">
        <v>8944</v>
      </c>
      <c r="AC2169">
        <v>44</v>
      </c>
      <c r="AD2169">
        <v>19</v>
      </c>
      <c r="AE2169">
        <v>94</v>
      </c>
      <c r="AF2169">
        <v>-322.51</v>
      </c>
      <c r="AG2169">
        <v>-18.05</v>
      </c>
      <c r="AH2169">
        <v>-13.1</v>
      </c>
      <c r="AI2169">
        <v>-0.1</v>
      </c>
      <c r="AJ2169">
        <v>-0.04</v>
      </c>
      <c r="AK2169">
        <v>83</v>
      </c>
      <c r="AL2169">
        <v>44</v>
      </c>
      <c r="AM2169">
        <v>18</v>
      </c>
      <c r="AN2169">
        <v>-7.91</v>
      </c>
      <c r="AO2169">
        <v>1.8</v>
      </c>
      <c r="AP2169">
        <v>80</v>
      </c>
      <c r="AQ2169">
        <v>0</v>
      </c>
      <c r="AR2169">
        <v>6.47</v>
      </c>
      <c r="AS2169">
        <v>71</v>
      </c>
      <c r="AT2169">
        <v>2.37</v>
      </c>
      <c r="AU2169">
        <v>80</v>
      </c>
      <c r="AV2169">
        <v>-1.03</v>
      </c>
      <c r="AW2169">
        <v>87</v>
      </c>
      <c r="AX2169">
        <v>0.42</v>
      </c>
      <c r="AY2169">
        <v>80</v>
      </c>
      <c r="AZ2169">
        <v>6.22</v>
      </c>
      <c r="BA2169">
        <v>56</v>
      </c>
      <c r="BB2169">
        <v>4.49</v>
      </c>
      <c r="BC2169">
        <v>57</v>
      </c>
      <c r="BD2169">
        <v>0.08</v>
      </c>
      <c r="BE2169">
        <v>0</v>
      </c>
      <c r="BF2169">
        <v>-0.15</v>
      </c>
      <c r="BG2169">
        <v>88</v>
      </c>
      <c r="BH2169">
        <v>-0.35</v>
      </c>
      <c r="BI2169">
        <v>-1.49</v>
      </c>
      <c r="BJ2169">
        <v>8</v>
      </c>
      <c r="BK2169">
        <v>2</v>
      </c>
      <c r="BL2169">
        <v>-3.57</v>
      </c>
      <c r="BM2169">
        <v>2.65</v>
      </c>
      <c r="BN2169">
        <v>-2.88</v>
      </c>
      <c r="BO2169">
        <v>-4.12</v>
      </c>
      <c r="BP2169">
        <v>0.95</v>
      </c>
      <c r="BQ2169">
        <v>-1.21</v>
      </c>
      <c r="BR2169">
        <v>-2.08</v>
      </c>
      <c r="BS2169">
        <v>1.18</v>
      </c>
      <c r="BT2169">
        <v>1.63</v>
      </c>
      <c r="BU2169">
        <v>-2.94</v>
      </c>
      <c r="BV2169">
        <v>-3.66</v>
      </c>
      <c r="BW2169">
        <v>-1.88</v>
      </c>
      <c r="BX2169">
        <v>-2.0499999999999998</v>
      </c>
      <c r="BY2169">
        <v>-2.44</v>
      </c>
      <c r="BZ2169">
        <v>0.82</v>
      </c>
      <c r="CA2169">
        <v>-2.88</v>
      </c>
      <c r="CB2169">
        <v>-3.55</v>
      </c>
      <c r="CC2169">
        <v>-0.12</v>
      </c>
      <c r="CD2169">
        <v>4.9400000000000004</v>
      </c>
      <c r="CE2169">
        <v>-3.43</v>
      </c>
      <c r="CF2169">
        <v>-3.13</v>
      </c>
      <c r="CG2169">
        <v>0</v>
      </c>
      <c r="CH2169">
        <v>-2.66</v>
      </c>
      <c r="CI2169">
        <v>0</v>
      </c>
      <c r="CJ2169">
        <v>-2.2000000000000002</v>
      </c>
      <c r="CK2169">
        <v>92</v>
      </c>
      <c r="CL2169">
        <v>0.01</v>
      </c>
      <c r="CM2169">
        <v>90</v>
      </c>
      <c r="CN2169">
        <v>-0.01</v>
      </c>
      <c r="CO2169">
        <v>89</v>
      </c>
      <c r="CP2169">
        <v>-4.0999999999999996</v>
      </c>
      <c r="CQ2169">
        <v>84</v>
      </c>
      <c r="CR2169">
        <v>0</v>
      </c>
      <c r="CS2169">
        <v>0</v>
      </c>
      <c r="CT2169">
        <v>-12.4</v>
      </c>
      <c r="CU2169">
        <v>79</v>
      </c>
      <c r="CV2169">
        <v>-0.03</v>
      </c>
      <c r="CW2169">
        <v>44</v>
      </c>
      <c r="CX2169" t="s">
        <v>2908</v>
      </c>
    </row>
    <row r="2170" spans="1:102" x14ac:dyDescent="0.3">
      <c r="A2170" t="str">
        <f>HYPERLINK("https://webapp.icbf.com/v2/app/bull-search/view/77852989","WEL")</f>
        <v>WEL</v>
      </c>
      <c r="B2170" t="s">
        <v>10589</v>
      </c>
      <c r="C2170" t="s">
        <v>10590</v>
      </c>
      <c r="D2170" s="1">
        <v>32526</v>
      </c>
      <c r="E2170" t="s">
        <v>108</v>
      </c>
      <c r="F2170">
        <v>25</v>
      </c>
      <c r="G2170" t="s">
        <v>116</v>
      </c>
      <c r="H2170">
        <v>59.62</v>
      </c>
      <c r="I2170">
        <v>56</v>
      </c>
      <c r="J2170">
        <v>-3.74</v>
      </c>
      <c r="K2170">
        <v>68</v>
      </c>
      <c r="L2170">
        <v>69.180000000000007</v>
      </c>
      <c r="M2170">
        <v>50</v>
      </c>
      <c r="N2170">
        <v>1.1000000000000001</v>
      </c>
      <c r="O2170">
        <v>38</v>
      </c>
      <c r="P2170">
        <v>-22.37</v>
      </c>
      <c r="Q2170">
        <v>75</v>
      </c>
      <c r="R2170">
        <v>3.61</v>
      </c>
      <c r="S2170">
        <v>53</v>
      </c>
      <c r="T2170">
        <v>14.2</v>
      </c>
      <c r="U2170">
        <v>56</v>
      </c>
      <c r="V2170">
        <v>-2.36</v>
      </c>
      <c r="W2170">
        <v>26</v>
      </c>
      <c r="X2170" t="s">
        <v>102</v>
      </c>
      <c r="Y2170" t="s">
        <v>95</v>
      </c>
      <c r="Z2170" t="s">
        <v>96</v>
      </c>
      <c r="AA2170" t="s">
        <v>607</v>
      </c>
      <c r="AB2170" t="s">
        <v>608</v>
      </c>
      <c r="AC2170">
        <v>10</v>
      </c>
      <c r="AD2170">
        <v>8</v>
      </c>
      <c r="AE2170">
        <v>68</v>
      </c>
      <c r="AF2170">
        <v>-100.92</v>
      </c>
      <c r="AG2170">
        <v>-1.19</v>
      </c>
      <c r="AH2170">
        <v>-1.76</v>
      </c>
      <c r="AI2170">
        <v>0.05</v>
      </c>
      <c r="AJ2170">
        <v>0.03</v>
      </c>
      <c r="AK2170">
        <v>50</v>
      </c>
      <c r="AL2170">
        <v>39</v>
      </c>
      <c r="AM2170">
        <v>27</v>
      </c>
      <c r="AN2170">
        <v>-4.32</v>
      </c>
      <c r="AO2170">
        <v>1.19</v>
      </c>
      <c r="AP2170">
        <v>2</v>
      </c>
      <c r="AQ2170">
        <v>0</v>
      </c>
      <c r="AR2170">
        <v>9.3000000000000007</v>
      </c>
      <c r="AS2170">
        <v>23</v>
      </c>
      <c r="AT2170">
        <v>3.55</v>
      </c>
      <c r="AU2170">
        <v>34</v>
      </c>
      <c r="AV2170">
        <v>-1.4</v>
      </c>
      <c r="AW2170">
        <v>45</v>
      </c>
      <c r="AX2170">
        <v>7.0000000000000007E-2</v>
      </c>
      <c r="AY2170">
        <v>50</v>
      </c>
      <c r="AZ2170">
        <v>6.67</v>
      </c>
      <c r="BA2170">
        <v>22</v>
      </c>
      <c r="BB2170">
        <v>5.15</v>
      </c>
      <c r="BC2170">
        <v>31</v>
      </c>
      <c r="BD2170">
        <v>0.03</v>
      </c>
      <c r="BE2170">
        <v>0.03</v>
      </c>
      <c r="BF2170">
        <v>-0.19</v>
      </c>
      <c r="BG2170">
        <v>70</v>
      </c>
      <c r="BH2170">
        <v>-0.05</v>
      </c>
      <c r="BI2170">
        <v>1.84</v>
      </c>
      <c r="BJ2170">
        <v>5</v>
      </c>
      <c r="BK2170">
        <v>5</v>
      </c>
      <c r="BL2170">
        <v>-3.45</v>
      </c>
      <c r="BM2170">
        <v>-0.26</v>
      </c>
      <c r="BN2170">
        <v>-2.37</v>
      </c>
      <c r="BO2170">
        <v>-2.06</v>
      </c>
      <c r="BP2170">
        <v>7.0000000000000007E-2</v>
      </c>
      <c r="BQ2170">
        <v>-1.21</v>
      </c>
      <c r="BR2170">
        <v>-1.02</v>
      </c>
      <c r="BS2170">
        <v>0.14000000000000001</v>
      </c>
      <c r="BT2170">
        <v>0.63</v>
      </c>
      <c r="BU2170">
        <v>-1.2</v>
      </c>
      <c r="BV2170">
        <v>-1.1599999999999999</v>
      </c>
      <c r="BW2170">
        <v>-0.95</v>
      </c>
      <c r="BX2170">
        <v>-1.53</v>
      </c>
      <c r="BY2170">
        <v>-0.95</v>
      </c>
      <c r="BZ2170">
        <v>-0.21</v>
      </c>
      <c r="CA2170">
        <v>-1.1200000000000001</v>
      </c>
      <c r="CB2170">
        <v>-1.23</v>
      </c>
      <c r="CC2170">
        <v>-0.45</v>
      </c>
      <c r="CD2170">
        <v>1.55</v>
      </c>
      <c r="CE2170">
        <v>-2.08</v>
      </c>
      <c r="CF2170">
        <v>-3.69</v>
      </c>
      <c r="CG2170">
        <v>0</v>
      </c>
      <c r="CH2170">
        <v>-0.59</v>
      </c>
      <c r="CI2170">
        <v>0</v>
      </c>
      <c r="CJ2170">
        <v>-11.7</v>
      </c>
      <c r="CK2170">
        <v>78</v>
      </c>
      <c r="CL2170">
        <v>-0.39</v>
      </c>
      <c r="CM2170">
        <v>73</v>
      </c>
      <c r="CN2170">
        <v>0.06</v>
      </c>
      <c r="CO2170">
        <v>70</v>
      </c>
      <c r="CP2170">
        <v>-10</v>
      </c>
      <c r="CQ2170">
        <v>67</v>
      </c>
      <c r="CR2170">
        <v>0</v>
      </c>
      <c r="CS2170">
        <v>0</v>
      </c>
      <c r="CT2170">
        <v>-5.4</v>
      </c>
      <c r="CU2170">
        <v>56</v>
      </c>
      <c r="CV2170">
        <v>-0.08</v>
      </c>
      <c r="CW2170">
        <v>22</v>
      </c>
      <c r="CX2170" t="s">
        <v>609</v>
      </c>
    </row>
    <row r="2171" spans="1:102" x14ac:dyDescent="0.3">
      <c r="A2171" t="str">
        <f>HYPERLINK("https://webapp.icbf.com/v2/app/bull-search/view/587380877","WUI")</f>
        <v>WUI</v>
      </c>
      <c r="B2171" t="s">
        <v>12613</v>
      </c>
      <c r="C2171" t="s">
        <v>12614</v>
      </c>
      <c r="D2171" s="1">
        <v>38615</v>
      </c>
      <c r="E2171" t="s">
        <v>108</v>
      </c>
      <c r="F2171">
        <v>0</v>
      </c>
      <c r="G2171" t="s">
        <v>93</v>
      </c>
      <c r="H2171">
        <v>59.59</v>
      </c>
      <c r="I2171">
        <v>89</v>
      </c>
      <c r="J2171">
        <v>-37.78</v>
      </c>
      <c r="K2171">
        <v>97</v>
      </c>
      <c r="L2171">
        <v>53.53</v>
      </c>
      <c r="M2171">
        <v>86</v>
      </c>
      <c r="N2171">
        <v>19.18</v>
      </c>
      <c r="O2171">
        <v>86</v>
      </c>
      <c r="P2171">
        <v>-11.18</v>
      </c>
      <c r="Q2171">
        <v>94</v>
      </c>
      <c r="R2171">
        <v>5.05</v>
      </c>
      <c r="S2171">
        <v>79</v>
      </c>
      <c r="T2171">
        <v>17.670000000000002</v>
      </c>
      <c r="U2171">
        <v>82</v>
      </c>
      <c r="V2171">
        <v>13.12</v>
      </c>
      <c r="W2171">
        <v>75</v>
      </c>
      <c r="X2171" t="s">
        <v>94</v>
      </c>
      <c r="Y2171" t="s">
        <v>2581</v>
      </c>
      <c r="Z2171" t="s">
        <v>96</v>
      </c>
      <c r="AA2171" t="s">
        <v>12615</v>
      </c>
      <c r="AB2171" t="s">
        <v>4829</v>
      </c>
      <c r="AC2171">
        <v>117</v>
      </c>
      <c r="AD2171">
        <v>24</v>
      </c>
      <c r="AE2171">
        <v>97</v>
      </c>
      <c r="AF2171">
        <v>14.91</v>
      </c>
      <c r="AG2171">
        <v>1.17</v>
      </c>
      <c r="AH2171">
        <v>-6.61</v>
      </c>
      <c r="AI2171">
        <v>0.01</v>
      </c>
      <c r="AJ2171">
        <v>-0.12</v>
      </c>
      <c r="AK2171">
        <v>86</v>
      </c>
      <c r="AL2171">
        <v>77</v>
      </c>
      <c r="AM2171">
        <v>27</v>
      </c>
      <c r="AN2171">
        <v>-2.85</v>
      </c>
      <c r="AO2171">
        <v>1.42</v>
      </c>
      <c r="AP2171">
        <v>127</v>
      </c>
      <c r="AQ2171">
        <v>0</v>
      </c>
      <c r="AR2171">
        <v>5.65</v>
      </c>
      <c r="AS2171">
        <v>72</v>
      </c>
      <c r="AT2171">
        <v>2.65</v>
      </c>
      <c r="AU2171">
        <v>86</v>
      </c>
      <c r="AV2171">
        <v>-1.6</v>
      </c>
      <c r="AW2171">
        <v>96</v>
      </c>
      <c r="AX2171">
        <v>-0.67</v>
      </c>
      <c r="AY2171">
        <v>88</v>
      </c>
      <c r="AZ2171">
        <v>7.07</v>
      </c>
      <c r="BA2171">
        <v>65</v>
      </c>
      <c r="BB2171">
        <v>5.55</v>
      </c>
      <c r="BC2171">
        <v>64</v>
      </c>
      <c r="BD2171">
        <v>0.03</v>
      </c>
      <c r="BE2171">
        <v>-0.04</v>
      </c>
      <c r="BF2171">
        <v>-0.09</v>
      </c>
      <c r="BG2171">
        <v>92</v>
      </c>
      <c r="BH2171">
        <v>0.15</v>
      </c>
      <c r="BI2171">
        <v>-24.98</v>
      </c>
      <c r="BJ2171">
        <v>17</v>
      </c>
      <c r="BK2171">
        <v>6</v>
      </c>
      <c r="BL2171">
        <v>-3.14</v>
      </c>
      <c r="BM2171">
        <v>0.56000000000000005</v>
      </c>
      <c r="BN2171">
        <v>-2.59</v>
      </c>
      <c r="BO2171">
        <v>-1.85</v>
      </c>
      <c r="BP2171">
        <v>-1.6</v>
      </c>
      <c r="BQ2171">
        <v>0.3</v>
      </c>
      <c r="BR2171">
        <v>-1.97</v>
      </c>
      <c r="BS2171">
        <v>0.11</v>
      </c>
      <c r="BT2171">
        <v>0.71</v>
      </c>
      <c r="BU2171">
        <v>-1.5</v>
      </c>
      <c r="BV2171">
        <v>-1.31</v>
      </c>
      <c r="BW2171">
        <v>-0.48</v>
      </c>
      <c r="BX2171">
        <v>-0.55000000000000004</v>
      </c>
      <c r="BY2171">
        <v>0.85</v>
      </c>
      <c r="BZ2171">
        <v>-3.21</v>
      </c>
      <c r="CA2171">
        <v>-0.83</v>
      </c>
      <c r="CB2171">
        <v>-0.56000000000000005</v>
      </c>
      <c r="CC2171">
        <v>-0.66</v>
      </c>
      <c r="CD2171">
        <v>1.8</v>
      </c>
      <c r="CE2171">
        <v>-2.72</v>
      </c>
      <c r="CF2171">
        <v>-2.71</v>
      </c>
      <c r="CG2171">
        <v>0</v>
      </c>
      <c r="CH2171">
        <v>0.92</v>
      </c>
      <c r="CI2171">
        <v>0</v>
      </c>
      <c r="CJ2171">
        <v>-7.7</v>
      </c>
      <c r="CK2171">
        <v>95</v>
      </c>
      <c r="CL2171">
        <v>-0.06</v>
      </c>
      <c r="CM2171">
        <v>94</v>
      </c>
      <c r="CN2171">
        <v>-0.12</v>
      </c>
      <c r="CO2171">
        <v>94</v>
      </c>
      <c r="CP2171">
        <v>-8.9</v>
      </c>
      <c r="CQ2171">
        <v>87</v>
      </c>
      <c r="CR2171">
        <v>0</v>
      </c>
      <c r="CS2171">
        <v>0</v>
      </c>
      <c r="CT2171">
        <v>-10.1</v>
      </c>
      <c r="CU2171">
        <v>82</v>
      </c>
      <c r="CV2171">
        <v>-0.16</v>
      </c>
      <c r="CW2171">
        <v>45</v>
      </c>
      <c r="CX2171" t="s">
        <v>740</v>
      </c>
    </row>
    <row r="2172" spans="1:102" x14ac:dyDescent="0.3">
      <c r="A2172" t="str">
        <f>HYPERLINK("https://webapp.icbf.com/v2/app/bull-search/view/669825300","DHF")</f>
        <v>DHF</v>
      </c>
      <c r="B2172" t="s">
        <v>7961</v>
      </c>
      <c r="C2172" t="s">
        <v>7962</v>
      </c>
      <c r="D2172" s="1">
        <v>39863</v>
      </c>
      <c r="E2172" t="s">
        <v>92</v>
      </c>
      <c r="F2172">
        <v>69</v>
      </c>
      <c r="G2172" t="s">
        <v>93</v>
      </c>
      <c r="H2172">
        <v>59.53</v>
      </c>
      <c r="I2172">
        <v>93</v>
      </c>
      <c r="J2172">
        <v>19.690000000000001</v>
      </c>
      <c r="K2172">
        <v>99</v>
      </c>
      <c r="L2172">
        <v>72.52</v>
      </c>
      <c r="M2172">
        <v>88</v>
      </c>
      <c r="N2172">
        <v>-42.25</v>
      </c>
      <c r="O2172">
        <v>94</v>
      </c>
      <c r="P2172">
        <v>-15.28</v>
      </c>
      <c r="Q2172">
        <v>98</v>
      </c>
      <c r="R2172">
        <v>3.78</v>
      </c>
      <c r="S2172">
        <v>87</v>
      </c>
      <c r="T2172">
        <v>9.31</v>
      </c>
      <c r="U2172">
        <v>95</v>
      </c>
      <c r="V2172">
        <v>11.76</v>
      </c>
      <c r="W2172">
        <v>81</v>
      </c>
      <c r="X2172" t="s">
        <v>94</v>
      </c>
      <c r="Y2172" t="s">
        <v>1727</v>
      </c>
      <c r="Z2172" t="s">
        <v>330</v>
      </c>
      <c r="AA2172" t="s">
        <v>4475</v>
      </c>
      <c r="AB2172" t="s">
        <v>7963</v>
      </c>
      <c r="AC2172">
        <v>414</v>
      </c>
      <c r="AD2172">
        <v>220</v>
      </c>
      <c r="AE2172">
        <v>99</v>
      </c>
      <c r="AF2172">
        <v>-14.97</v>
      </c>
      <c r="AG2172">
        <v>7.46</v>
      </c>
      <c r="AH2172">
        <v>0.48</v>
      </c>
      <c r="AI2172">
        <v>0.14000000000000001</v>
      </c>
      <c r="AJ2172">
        <v>0.02</v>
      </c>
      <c r="AK2172">
        <v>88</v>
      </c>
      <c r="AL2172">
        <v>521</v>
      </c>
      <c r="AM2172">
        <v>293</v>
      </c>
      <c r="AN2172">
        <v>-3.41</v>
      </c>
      <c r="AO2172">
        <v>2.38</v>
      </c>
      <c r="AP2172">
        <v>900</v>
      </c>
      <c r="AQ2172">
        <v>4</v>
      </c>
      <c r="AR2172">
        <v>13.29</v>
      </c>
      <c r="AS2172">
        <v>85</v>
      </c>
      <c r="AT2172">
        <v>4.8600000000000003</v>
      </c>
      <c r="AU2172">
        <v>96</v>
      </c>
      <c r="AV2172">
        <v>0.85</v>
      </c>
      <c r="AW2172">
        <v>99</v>
      </c>
      <c r="AX2172">
        <v>1.02</v>
      </c>
      <c r="AY2172">
        <v>95</v>
      </c>
      <c r="AZ2172">
        <v>5.18</v>
      </c>
      <c r="BA2172">
        <v>84</v>
      </c>
      <c r="BB2172">
        <v>4.3</v>
      </c>
      <c r="BC2172">
        <v>85</v>
      </c>
      <c r="BD2172">
        <v>0</v>
      </c>
      <c r="BE2172">
        <v>-0.03</v>
      </c>
      <c r="BF2172">
        <v>-0.03</v>
      </c>
      <c r="BG2172">
        <v>96</v>
      </c>
      <c r="BH2172">
        <v>0.27</v>
      </c>
      <c r="BI2172">
        <v>-6.71</v>
      </c>
      <c r="BJ2172">
        <v>15</v>
      </c>
      <c r="BK2172">
        <v>12</v>
      </c>
      <c r="BL2172">
        <v>-1.31</v>
      </c>
      <c r="BM2172">
        <v>0.63</v>
      </c>
      <c r="BN2172">
        <v>-0.26</v>
      </c>
      <c r="BO2172">
        <v>-0.78</v>
      </c>
      <c r="BP2172">
        <v>-2.2999999999999998</v>
      </c>
      <c r="BQ2172">
        <v>-0.86</v>
      </c>
      <c r="BR2172">
        <v>-0.84</v>
      </c>
      <c r="BS2172">
        <v>-0.56999999999999995</v>
      </c>
      <c r="BT2172">
        <v>0.06</v>
      </c>
      <c r="BU2172">
        <v>-0.55000000000000004</v>
      </c>
      <c r="BV2172">
        <v>-0.81</v>
      </c>
      <c r="BW2172">
        <v>-1.31</v>
      </c>
      <c r="BX2172">
        <v>-1.61</v>
      </c>
      <c r="BY2172">
        <v>-0.77</v>
      </c>
      <c r="BZ2172">
        <v>-0.19</v>
      </c>
      <c r="CA2172">
        <v>-0.73</v>
      </c>
      <c r="CB2172">
        <v>-0.52</v>
      </c>
      <c r="CC2172">
        <v>-0.47</v>
      </c>
      <c r="CD2172">
        <v>0.83</v>
      </c>
      <c r="CE2172">
        <v>-0.81</v>
      </c>
      <c r="CF2172">
        <v>-1.36</v>
      </c>
      <c r="CG2172">
        <v>0</v>
      </c>
      <c r="CH2172">
        <v>-0.56000000000000005</v>
      </c>
      <c r="CI2172">
        <v>0</v>
      </c>
      <c r="CJ2172">
        <v>-6.1</v>
      </c>
      <c r="CK2172">
        <v>98</v>
      </c>
      <c r="CL2172">
        <v>-0.83</v>
      </c>
      <c r="CM2172">
        <v>98</v>
      </c>
      <c r="CN2172">
        <v>-0.22</v>
      </c>
      <c r="CO2172">
        <v>98</v>
      </c>
      <c r="CP2172">
        <v>-5.8</v>
      </c>
      <c r="CQ2172">
        <v>96</v>
      </c>
      <c r="CR2172">
        <v>0</v>
      </c>
      <c r="CS2172">
        <v>0</v>
      </c>
      <c r="CT2172">
        <v>1.2</v>
      </c>
      <c r="CU2172">
        <v>95</v>
      </c>
      <c r="CV2172">
        <v>0.14000000000000001</v>
      </c>
      <c r="CW2172">
        <v>46</v>
      </c>
      <c r="CX2172" t="s">
        <v>1406</v>
      </c>
    </row>
    <row r="2173" spans="1:102" x14ac:dyDescent="0.3">
      <c r="A2173" t="str">
        <f>HYPERLINK("https://webapp.icbf.com/v2/app/bull-search/view/69092929","WVZ")</f>
        <v>WVZ</v>
      </c>
      <c r="B2173" t="s">
        <v>3308</v>
      </c>
      <c r="C2173" t="s">
        <v>3309</v>
      </c>
      <c r="D2173" s="1">
        <v>34948</v>
      </c>
      <c r="E2173" t="s">
        <v>92</v>
      </c>
      <c r="F2173">
        <v>100</v>
      </c>
      <c r="G2173" t="s">
        <v>93</v>
      </c>
      <c r="H2173">
        <v>59.45</v>
      </c>
      <c r="I2173">
        <v>95</v>
      </c>
      <c r="J2173">
        <v>25.61</v>
      </c>
      <c r="K2173">
        <v>99</v>
      </c>
      <c r="L2173">
        <v>3.6</v>
      </c>
      <c r="M2173">
        <v>93</v>
      </c>
      <c r="N2173">
        <v>26.54</v>
      </c>
      <c r="O2173">
        <v>93</v>
      </c>
      <c r="P2173">
        <v>-1.62</v>
      </c>
      <c r="Q2173">
        <v>98</v>
      </c>
      <c r="R2173">
        <v>7.02</v>
      </c>
      <c r="S2173">
        <v>89</v>
      </c>
      <c r="T2173">
        <v>-3.86</v>
      </c>
      <c r="U2173">
        <v>95</v>
      </c>
      <c r="V2173">
        <v>2.16</v>
      </c>
      <c r="W2173">
        <v>90</v>
      </c>
      <c r="X2173" t="s">
        <v>251</v>
      </c>
      <c r="Y2173" t="s">
        <v>95</v>
      </c>
      <c r="Z2173" t="s">
        <v>96</v>
      </c>
      <c r="AA2173" t="s">
        <v>3310</v>
      </c>
      <c r="AB2173" t="s">
        <v>3311</v>
      </c>
      <c r="AC2173">
        <v>333</v>
      </c>
      <c r="AD2173">
        <v>139</v>
      </c>
      <c r="AE2173">
        <v>99</v>
      </c>
      <c r="AF2173">
        <v>174.92</v>
      </c>
      <c r="AG2173">
        <v>6.68</v>
      </c>
      <c r="AH2173">
        <v>4.67</v>
      </c>
      <c r="AI2173">
        <v>0</v>
      </c>
      <c r="AJ2173">
        <v>-0.02</v>
      </c>
      <c r="AK2173">
        <v>93</v>
      </c>
      <c r="AL2173">
        <v>410</v>
      </c>
      <c r="AM2173">
        <v>202</v>
      </c>
      <c r="AN2173">
        <v>0.05</v>
      </c>
      <c r="AO2173">
        <v>0.34</v>
      </c>
      <c r="AP2173">
        <v>506</v>
      </c>
      <c r="AQ2173">
        <v>0</v>
      </c>
      <c r="AR2173">
        <v>6.65</v>
      </c>
      <c r="AS2173">
        <v>84</v>
      </c>
      <c r="AT2173">
        <v>2.86</v>
      </c>
      <c r="AU2173">
        <v>95</v>
      </c>
      <c r="AV2173">
        <v>-2.33</v>
      </c>
      <c r="AW2173">
        <v>98</v>
      </c>
      <c r="AX2173">
        <v>-0.99</v>
      </c>
      <c r="AY2173">
        <v>94</v>
      </c>
      <c r="AZ2173">
        <v>5.99</v>
      </c>
      <c r="BA2173">
        <v>81</v>
      </c>
      <c r="BB2173">
        <v>4.96</v>
      </c>
      <c r="BC2173">
        <v>85</v>
      </c>
      <c r="BD2173">
        <v>-0.02</v>
      </c>
      <c r="BE2173">
        <v>-0.02</v>
      </c>
      <c r="BF2173">
        <v>-0.09</v>
      </c>
      <c r="BG2173">
        <v>95</v>
      </c>
      <c r="BH2173">
        <v>-0.01</v>
      </c>
      <c r="BI2173">
        <v>-8.1300000000000008</v>
      </c>
      <c r="BJ2173">
        <v>15</v>
      </c>
      <c r="BK2173">
        <v>10</v>
      </c>
      <c r="BL2173">
        <v>-0.03</v>
      </c>
      <c r="BM2173">
        <v>2.84</v>
      </c>
      <c r="BN2173">
        <v>0.56000000000000005</v>
      </c>
      <c r="BO2173">
        <v>-1.36</v>
      </c>
      <c r="BP2173">
        <v>-1.34</v>
      </c>
      <c r="BQ2173">
        <v>-0.08</v>
      </c>
      <c r="BR2173">
        <v>-0.09</v>
      </c>
      <c r="BS2173">
        <v>0.17</v>
      </c>
      <c r="BT2173">
        <v>0.87</v>
      </c>
      <c r="BU2173">
        <v>0.71</v>
      </c>
      <c r="BV2173">
        <v>-0.56000000000000005</v>
      </c>
      <c r="BW2173">
        <v>-0.3</v>
      </c>
      <c r="BX2173">
        <v>0.09</v>
      </c>
      <c r="BY2173">
        <v>0.02</v>
      </c>
      <c r="BZ2173">
        <v>-1.83</v>
      </c>
      <c r="CA2173">
        <v>-7.0000000000000007E-2</v>
      </c>
      <c r="CB2173">
        <v>-0.15</v>
      </c>
      <c r="CC2173">
        <v>-0.59</v>
      </c>
      <c r="CD2173">
        <v>2.2000000000000002</v>
      </c>
      <c r="CE2173">
        <v>-1.44</v>
      </c>
      <c r="CF2173">
        <v>-0.88</v>
      </c>
      <c r="CG2173">
        <v>0</v>
      </c>
      <c r="CH2173">
        <v>0.31</v>
      </c>
      <c r="CI2173">
        <v>0</v>
      </c>
      <c r="CJ2173">
        <v>-0.5</v>
      </c>
      <c r="CK2173">
        <v>98</v>
      </c>
      <c r="CL2173">
        <v>-0.6</v>
      </c>
      <c r="CM2173">
        <v>98</v>
      </c>
      <c r="CN2173">
        <v>-0.37</v>
      </c>
      <c r="CO2173">
        <v>97</v>
      </c>
      <c r="CP2173">
        <v>6.2</v>
      </c>
      <c r="CQ2173">
        <v>97</v>
      </c>
      <c r="CR2173">
        <v>0</v>
      </c>
      <c r="CS2173">
        <v>0</v>
      </c>
      <c r="CT2173">
        <v>19</v>
      </c>
      <c r="CU2173">
        <v>95</v>
      </c>
      <c r="CV2173">
        <v>0.12</v>
      </c>
      <c r="CW2173">
        <v>46</v>
      </c>
      <c r="CX2173" t="s">
        <v>2850</v>
      </c>
    </row>
    <row r="2174" spans="1:102" x14ac:dyDescent="0.3">
      <c r="A2174" t="str">
        <f>HYPERLINK("https://webapp.icbf.com/v2/app/bull-search/view/77859202","AEX")</f>
        <v>AEX</v>
      </c>
      <c r="B2174" t="s">
        <v>8621</v>
      </c>
      <c r="C2174" t="s">
        <v>8622</v>
      </c>
      <c r="D2174" s="1">
        <v>34645</v>
      </c>
      <c r="E2174" t="s">
        <v>92</v>
      </c>
      <c r="F2174">
        <v>100</v>
      </c>
      <c r="G2174" t="s">
        <v>93</v>
      </c>
      <c r="H2174">
        <v>59.41</v>
      </c>
      <c r="I2174">
        <v>78</v>
      </c>
      <c r="J2174">
        <v>11.18</v>
      </c>
      <c r="K2174">
        <v>92</v>
      </c>
      <c r="L2174">
        <v>37.11</v>
      </c>
      <c r="M2174">
        <v>74</v>
      </c>
      <c r="N2174">
        <v>11.88</v>
      </c>
      <c r="O2174">
        <v>62</v>
      </c>
      <c r="P2174">
        <v>-11.54</v>
      </c>
      <c r="Q2174">
        <v>80</v>
      </c>
      <c r="R2174">
        <v>-16.14</v>
      </c>
      <c r="S2174">
        <v>72</v>
      </c>
      <c r="T2174">
        <v>26.33</v>
      </c>
      <c r="U2174">
        <v>71</v>
      </c>
      <c r="V2174">
        <v>0.59</v>
      </c>
      <c r="W2174">
        <v>60</v>
      </c>
      <c r="X2174" t="s">
        <v>102</v>
      </c>
      <c r="Y2174" t="s">
        <v>95</v>
      </c>
      <c r="Z2174" t="s">
        <v>96</v>
      </c>
      <c r="AA2174" t="s">
        <v>3737</v>
      </c>
      <c r="AB2174" t="s">
        <v>6617</v>
      </c>
      <c r="AC2174">
        <v>30</v>
      </c>
      <c r="AD2174">
        <v>25</v>
      </c>
      <c r="AE2174">
        <v>92</v>
      </c>
      <c r="AF2174">
        <v>-177.66</v>
      </c>
      <c r="AG2174">
        <v>0.6</v>
      </c>
      <c r="AH2174">
        <v>-1.03</v>
      </c>
      <c r="AI2174">
        <v>0.14000000000000001</v>
      </c>
      <c r="AJ2174">
        <v>0.09</v>
      </c>
      <c r="AK2174">
        <v>74</v>
      </c>
      <c r="AL2174">
        <v>50</v>
      </c>
      <c r="AM2174">
        <v>39</v>
      </c>
      <c r="AN2174">
        <v>-1.23</v>
      </c>
      <c r="AO2174">
        <v>1.74</v>
      </c>
      <c r="AP2174">
        <v>1</v>
      </c>
      <c r="AQ2174">
        <v>1</v>
      </c>
      <c r="AR2174">
        <v>5.15</v>
      </c>
      <c r="AS2174">
        <v>54</v>
      </c>
      <c r="AT2174">
        <v>2.13</v>
      </c>
      <c r="AU2174">
        <v>69</v>
      </c>
      <c r="AV2174">
        <v>-0.04</v>
      </c>
      <c r="AW2174">
        <v>60</v>
      </c>
      <c r="AX2174">
        <v>-0.62</v>
      </c>
      <c r="AY2174">
        <v>73</v>
      </c>
      <c r="AZ2174">
        <v>6.85</v>
      </c>
      <c r="BA2174">
        <v>46</v>
      </c>
      <c r="BB2174">
        <v>5.53</v>
      </c>
      <c r="BC2174">
        <v>58</v>
      </c>
      <c r="BD2174">
        <v>0.06</v>
      </c>
      <c r="BE2174">
        <v>0.09</v>
      </c>
      <c r="BF2174">
        <v>0.1</v>
      </c>
      <c r="BG2174">
        <v>83</v>
      </c>
      <c r="BH2174">
        <v>0.1</v>
      </c>
      <c r="BI2174">
        <v>9.66</v>
      </c>
      <c r="BJ2174">
        <v>15</v>
      </c>
      <c r="BK2174">
        <v>12</v>
      </c>
      <c r="BL2174">
        <v>-1.23</v>
      </c>
      <c r="BM2174">
        <v>-0.67</v>
      </c>
      <c r="BN2174">
        <v>-1.07</v>
      </c>
      <c r="BO2174">
        <v>-0.76</v>
      </c>
      <c r="BP2174">
        <v>-0.94</v>
      </c>
      <c r="BQ2174">
        <v>-4.1399999999999997</v>
      </c>
      <c r="BR2174">
        <v>0.53</v>
      </c>
      <c r="BS2174">
        <v>-2.3199999999999998</v>
      </c>
      <c r="BT2174">
        <v>-0.18</v>
      </c>
      <c r="BU2174">
        <v>-1.56</v>
      </c>
      <c r="BV2174">
        <v>-0.99</v>
      </c>
      <c r="BW2174">
        <v>-1.1000000000000001</v>
      </c>
      <c r="BX2174">
        <v>-2.06</v>
      </c>
      <c r="BY2174">
        <v>-1.86</v>
      </c>
      <c r="BZ2174">
        <v>-0.44</v>
      </c>
      <c r="CA2174">
        <v>-0.84</v>
      </c>
      <c r="CB2174">
        <v>-0.75</v>
      </c>
      <c r="CC2174">
        <v>-1.05</v>
      </c>
      <c r="CD2174">
        <v>-0.03</v>
      </c>
      <c r="CE2174">
        <v>-0.89</v>
      </c>
      <c r="CF2174">
        <v>-2.48</v>
      </c>
      <c r="CG2174">
        <v>0</v>
      </c>
      <c r="CH2174">
        <v>-1.68</v>
      </c>
      <c r="CI2174">
        <v>0</v>
      </c>
      <c r="CJ2174">
        <v>-4.7</v>
      </c>
      <c r="CK2174">
        <v>81</v>
      </c>
      <c r="CL2174">
        <v>-0.21</v>
      </c>
      <c r="CM2174">
        <v>78</v>
      </c>
      <c r="CN2174">
        <v>7.0000000000000007E-2</v>
      </c>
      <c r="CO2174">
        <v>75</v>
      </c>
      <c r="CP2174">
        <v>-13.8</v>
      </c>
      <c r="CQ2174">
        <v>83</v>
      </c>
      <c r="CR2174">
        <v>0</v>
      </c>
      <c r="CS2174">
        <v>0</v>
      </c>
      <c r="CT2174">
        <v>-21.8</v>
      </c>
      <c r="CU2174">
        <v>71</v>
      </c>
      <c r="CV2174">
        <v>-0.04</v>
      </c>
      <c r="CW2174">
        <v>42</v>
      </c>
      <c r="CX2174" t="s">
        <v>3720</v>
      </c>
    </row>
    <row r="2175" spans="1:102" x14ac:dyDescent="0.3">
      <c r="A2175" t="str">
        <f>HYPERLINK("https://webapp.icbf.com/v2/app/bull-search/view/514791259","S506")</f>
        <v>S506</v>
      </c>
      <c r="B2175" t="s">
        <v>12302</v>
      </c>
      <c r="C2175" t="s">
        <v>12303</v>
      </c>
      <c r="D2175" s="1">
        <v>36620</v>
      </c>
      <c r="E2175" t="s">
        <v>197</v>
      </c>
      <c r="F2175">
        <v>0</v>
      </c>
      <c r="G2175" t="s">
        <v>93</v>
      </c>
      <c r="H2175">
        <v>59.37</v>
      </c>
      <c r="I2175">
        <v>64</v>
      </c>
      <c r="J2175">
        <v>12.77</v>
      </c>
      <c r="K2175">
        <v>85</v>
      </c>
      <c r="L2175">
        <v>46.68</v>
      </c>
      <c r="M2175">
        <v>45</v>
      </c>
      <c r="N2175">
        <v>-12.75</v>
      </c>
      <c r="O2175">
        <v>71</v>
      </c>
      <c r="P2175">
        <v>20.190000000000001</v>
      </c>
      <c r="Q2175">
        <v>85</v>
      </c>
      <c r="R2175">
        <v>-2.57</v>
      </c>
      <c r="S2175">
        <v>44</v>
      </c>
      <c r="T2175">
        <v>-0.09</v>
      </c>
      <c r="U2175">
        <v>60</v>
      </c>
      <c r="V2175">
        <v>-4.8600000000000003</v>
      </c>
      <c r="W2175">
        <v>23</v>
      </c>
      <c r="X2175" t="s">
        <v>102</v>
      </c>
      <c r="Y2175" t="s">
        <v>199</v>
      </c>
      <c r="Z2175">
        <v>0</v>
      </c>
      <c r="AA2175" t="s">
        <v>1672</v>
      </c>
      <c r="AB2175" t="s">
        <v>12304</v>
      </c>
      <c r="AC2175">
        <v>29</v>
      </c>
      <c r="AD2175">
        <v>8</v>
      </c>
      <c r="AE2175">
        <v>85</v>
      </c>
      <c r="AF2175">
        <v>-209.23</v>
      </c>
      <c r="AG2175">
        <v>-2.52</v>
      </c>
      <c r="AH2175">
        <v>-0.14000000000000001</v>
      </c>
      <c r="AI2175">
        <v>0.1</v>
      </c>
      <c r="AJ2175">
        <v>0.12</v>
      </c>
      <c r="AK2175">
        <v>45</v>
      </c>
      <c r="AL2175">
        <v>41</v>
      </c>
      <c r="AM2175">
        <v>16</v>
      </c>
      <c r="AN2175">
        <v>-3.56</v>
      </c>
      <c r="AO2175">
        <v>0.15</v>
      </c>
      <c r="AP2175">
        <v>112</v>
      </c>
      <c r="AQ2175">
        <v>3</v>
      </c>
      <c r="AR2175">
        <v>6.28</v>
      </c>
      <c r="AS2175">
        <v>59</v>
      </c>
      <c r="AT2175">
        <v>5.62</v>
      </c>
      <c r="AU2175">
        <v>70</v>
      </c>
      <c r="AV2175">
        <v>0.06</v>
      </c>
      <c r="AW2175">
        <v>92</v>
      </c>
      <c r="AX2175">
        <v>0.08</v>
      </c>
      <c r="AY2175">
        <v>66</v>
      </c>
      <c r="AZ2175">
        <v>5.44</v>
      </c>
      <c r="BA2175">
        <v>34</v>
      </c>
      <c r="BB2175">
        <v>3.17</v>
      </c>
      <c r="BC2175">
        <v>31</v>
      </c>
      <c r="BD2175">
        <v>0.03</v>
      </c>
      <c r="BE2175">
        <v>0.01</v>
      </c>
      <c r="BF2175">
        <v>-0.01</v>
      </c>
      <c r="BG2175">
        <v>53</v>
      </c>
      <c r="BH2175">
        <v>-0.2</v>
      </c>
      <c r="BI2175">
        <v>-7.47</v>
      </c>
      <c r="BJ2175">
        <v>0</v>
      </c>
      <c r="BK2175">
        <v>0</v>
      </c>
      <c r="BL2175">
        <v>-0.53</v>
      </c>
      <c r="BM2175">
        <v>0.66</v>
      </c>
      <c r="BN2175">
        <v>-0.38</v>
      </c>
      <c r="BO2175">
        <v>-0.83</v>
      </c>
      <c r="BP2175">
        <v>0.15</v>
      </c>
      <c r="BQ2175">
        <v>0.18</v>
      </c>
      <c r="BR2175">
        <v>0.14000000000000001</v>
      </c>
      <c r="BS2175">
        <v>0.11</v>
      </c>
      <c r="BT2175">
        <v>-0.18</v>
      </c>
      <c r="BU2175">
        <v>-0.47</v>
      </c>
      <c r="BV2175">
        <v>-0.9</v>
      </c>
      <c r="BW2175">
        <v>-0.91</v>
      </c>
      <c r="BX2175">
        <v>-0.28000000000000003</v>
      </c>
      <c r="BY2175">
        <v>-0.76</v>
      </c>
      <c r="BZ2175">
        <v>0.03</v>
      </c>
      <c r="CA2175">
        <v>-0.79</v>
      </c>
      <c r="CB2175">
        <v>-0.77</v>
      </c>
      <c r="CC2175">
        <v>-0.5</v>
      </c>
      <c r="CD2175">
        <v>0.81</v>
      </c>
      <c r="CE2175">
        <v>-0.77</v>
      </c>
      <c r="CF2175">
        <v>-0.4</v>
      </c>
      <c r="CG2175">
        <v>0</v>
      </c>
      <c r="CH2175">
        <v>-0.66</v>
      </c>
      <c r="CI2175">
        <v>0</v>
      </c>
      <c r="CJ2175">
        <v>12.9</v>
      </c>
      <c r="CK2175">
        <v>88</v>
      </c>
      <c r="CL2175">
        <v>0.17</v>
      </c>
      <c r="CM2175">
        <v>85</v>
      </c>
      <c r="CN2175">
        <v>0.05</v>
      </c>
      <c r="CO2175">
        <v>83</v>
      </c>
      <c r="CP2175">
        <v>8.1</v>
      </c>
      <c r="CQ2175">
        <v>69</v>
      </c>
      <c r="CR2175">
        <v>0</v>
      </c>
      <c r="CS2175">
        <v>0</v>
      </c>
      <c r="CT2175">
        <v>13.9</v>
      </c>
      <c r="CU2175">
        <v>60</v>
      </c>
      <c r="CV2175">
        <v>0.14000000000000001</v>
      </c>
      <c r="CW2175">
        <v>25</v>
      </c>
      <c r="CX2175" t="s">
        <v>202</v>
      </c>
    </row>
    <row r="2176" spans="1:102" x14ac:dyDescent="0.3">
      <c r="A2176" t="str">
        <f>HYPERLINK("https://webapp.icbf.com/v2/app/bull-search/view/1306332479","AY4306")</f>
        <v>AY4306</v>
      </c>
      <c r="B2176" t="s">
        <v>13901</v>
      </c>
      <c r="C2176" t="s">
        <v>13902</v>
      </c>
      <c r="D2176" s="1">
        <v>41277</v>
      </c>
      <c r="E2176" t="s">
        <v>1061</v>
      </c>
      <c r="F2176">
        <v>0</v>
      </c>
      <c r="G2176" t="s">
        <v>109</v>
      </c>
      <c r="H2176">
        <v>59.35</v>
      </c>
      <c r="I2176">
        <v>62</v>
      </c>
      <c r="J2176">
        <v>-19.73</v>
      </c>
      <c r="K2176">
        <v>81</v>
      </c>
      <c r="L2176">
        <v>49.98</v>
      </c>
      <c r="M2176">
        <v>68</v>
      </c>
      <c r="N2176">
        <v>11.4</v>
      </c>
      <c r="O2176">
        <v>50</v>
      </c>
      <c r="P2176">
        <v>-16.39</v>
      </c>
      <c r="Q2176">
        <v>33</v>
      </c>
      <c r="R2176">
        <v>11.19</v>
      </c>
      <c r="S2176">
        <v>34</v>
      </c>
      <c r="T2176">
        <v>28.03</v>
      </c>
      <c r="U2176">
        <v>32</v>
      </c>
      <c r="V2176">
        <v>-5.13</v>
      </c>
      <c r="W2176">
        <v>33</v>
      </c>
      <c r="X2176" t="s">
        <v>94</v>
      </c>
      <c r="Y2176" t="s">
        <v>2261</v>
      </c>
      <c r="Z2176">
        <v>0</v>
      </c>
      <c r="AA2176" t="s">
        <v>13903</v>
      </c>
      <c r="AB2176" t="s">
        <v>6868</v>
      </c>
      <c r="AC2176">
        <v>0</v>
      </c>
      <c r="AD2176">
        <v>0</v>
      </c>
      <c r="AE2176">
        <v>81</v>
      </c>
      <c r="AF2176">
        <v>-25.24</v>
      </c>
      <c r="AG2176">
        <v>-3.34</v>
      </c>
      <c r="AH2176">
        <v>-2.56</v>
      </c>
      <c r="AI2176">
        <v>-0.05</v>
      </c>
      <c r="AJ2176">
        <v>-0.03</v>
      </c>
      <c r="AK2176">
        <v>68</v>
      </c>
      <c r="AL2176">
        <v>0</v>
      </c>
      <c r="AM2176">
        <v>0</v>
      </c>
      <c r="AN2176">
        <v>-0.86</v>
      </c>
      <c r="AO2176">
        <v>3.15</v>
      </c>
      <c r="AP2176">
        <v>3</v>
      </c>
      <c r="AQ2176">
        <v>0</v>
      </c>
      <c r="AR2176">
        <v>7.62</v>
      </c>
      <c r="AS2176">
        <v>33</v>
      </c>
      <c r="AT2176">
        <v>2.88</v>
      </c>
      <c r="AU2176">
        <v>85</v>
      </c>
      <c r="AV2176">
        <v>-1.89</v>
      </c>
      <c r="AW2176">
        <v>48</v>
      </c>
      <c r="AX2176">
        <v>0.77</v>
      </c>
      <c r="AY2176">
        <v>35</v>
      </c>
      <c r="AZ2176">
        <v>6.7</v>
      </c>
      <c r="BA2176">
        <v>22</v>
      </c>
      <c r="BB2176">
        <v>5.64</v>
      </c>
      <c r="BC2176">
        <v>22</v>
      </c>
      <c r="BD2176">
        <v>-0.05</v>
      </c>
      <c r="BE2176">
        <v>-0.06</v>
      </c>
      <c r="BF2176">
        <v>-0.06</v>
      </c>
      <c r="BG2176">
        <v>40</v>
      </c>
      <c r="BH2176">
        <v>-0.08</v>
      </c>
      <c r="BI2176">
        <v>7.29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0</v>
      </c>
      <c r="CJ2176">
        <v>-5.9</v>
      </c>
      <c r="CK2176">
        <v>33</v>
      </c>
      <c r="CL2176">
        <v>-0.72</v>
      </c>
      <c r="CM2176">
        <v>33</v>
      </c>
      <c r="CN2176">
        <v>-0.17</v>
      </c>
      <c r="CO2176">
        <v>33</v>
      </c>
      <c r="CP2176">
        <v>-18.7</v>
      </c>
      <c r="CQ2176">
        <v>32</v>
      </c>
      <c r="CR2176">
        <v>0</v>
      </c>
      <c r="CS2176">
        <v>0</v>
      </c>
      <c r="CT2176">
        <v>-24.1</v>
      </c>
      <c r="CU2176">
        <v>32</v>
      </c>
      <c r="CV2176">
        <v>-0.02</v>
      </c>
      <c r="CW2176">
        <v>31</v>
      </c>
      <c r="CX2176" t="s">
        <v>6869</v>
      </c>
    </row>
    <row r="2177" spans="1:102" x14ac:dyDescent="0.3">
      <c r="A2177" t="str">
        <f>HYPERLINK("https://webapp.icbf.com/v2/app/bull-search/view/1246768035","FR2135")</f>
        <v>FR2135</v>
      </c>
      <c r="B2177" t="s">
        <v>10256</v>
      </c>
      <c r="C2177" t="s">
        <v>10257</v>
      </c>
      <c r="D2177" s="1">
        <v>41254</v>
      </c>
      <c r="E2177" t="s">
        <v>92</v>
      </c>
      <c r="F2177">
        <v>100</v>
      </c>
      <c r="G2177" t="s">
        <v>109</v>
      </c>
      <c r="H2177">
        <v>59.19</v>
      </c>
      <c r="I2177">
        <v>55</v>
      </c>
      <c r="J2177">
        <v>40.01</v>
      </c>
      <c r="K2177">
        <v>76</v>
      </c>
      <c r="L2177">
        <v>-6.62</v>
      </c>
      <c r="M2177">
        <v>61</v>
      </c>
      <c r="N2177">
        <v>20.190000000000001</v>
      </c>
      <c r="O2177">
        <v>40</v>
      </c>
      <c r="P2177">
        <v>-2.0299999999999998</v>
      </c>
      <c r="Q2177">
        <v>24</v>
      </c>
      <c r="R2177">
        <v>-0.39</v>
      </c>
      <c r="S2177">
        <v>51</v>
      </c>
      <c r="T2177">
        <v>9.9</v>
      </c>
      <c r="U2177">
        <v>16</v>
      </c>
      <c r="V2177">
        <v>-1.87</v>
      </c>
      <c r="W2177">
        <v>14</v>
      </c>
      <c r="X2177" t="s">
        <v>102</v>
      </c>
      <c r="Y2177" t="s">
        <v>405</v>
      </c>
      <c r="Z2177" t="s">
        <v>96</v>
      </c>
      <c r="AA2177" t="s">
        <v>2699</v>
      </c>
      <c r="AB2177" t="s">
        <v>10258</v>
      </c>
      <c r="AC2177">
        <v>0</v>
      </c>
      <c r="AD2177">
        <v>0</v>
      </c>
      <c r="AE2177">
        <v>76</v>
      </c>
      <c r="AF2177">
        <v>232.83</v>
      </c>
      <c r="AG2177">
        <v>4.5199999999999996</v>
      </c>
      <c r="AH2177">
        <v>8.77</v>
      </c>
      <c r="AI2177">
        <v>-7.0000000000000007E-2</v>
      </c>
      <c r="AJ2177">
        <v>0.01</v>
      </c>
      <c r="AK2177">
        <v>61</v>
      </c>
      <c r="AL2177">
        <v>0</v>
      </c>
      <c r="AM2177">
        <v>0</v>
      </c>
      <c r="AN2177">
        <v>0.97</v>
      </c>
      <c r="AO2177">
        <v>0.45</v>
      </c>
      <c r="AP2177">
        <v>5</v>
      </c>
      <c r="AQ2177">
        <v>1</v>
      </c>
      <c r="AR2177">
        <v>5.82</v>
      </c>
      <c r="AS2177">
        <v>30</v>
      </c>
      <c r="AT2177">
        <v>2.65</v>
      </c>
      <c r="AU2177">
        <v>81</v>
      </c>
      <c r="AV2177">
        <v>-1.52</v>
      </c>
      <c r="AW2177">
        <v>31</v>
      </c>
      <c r="AX2177">
        <v>0.18</v>
      </c>
      <c r="AY2177">
        <v>22</v>
      </c>
      <c r="AZ2177">
        <v>6.25</v>
      </c>
      <c r="BA2177">
        <v>17</v>
      </c>
      <c r="BB2177">
        <v>4.9800000000000004</v>
      </c>
      <c r="BC2177">
        <v>15</v>
      </c>
      <c r="BD2177">
        <v>0</v>
      </c>
      <c r="BE2177">
        <v>0.01</v>
      </c>
      <c r="BF2177">
        <v>-0.01</v>
      </c>
      <c r="BG2177">
        <v>80</v>
      </c>
      <c r="BH2177">
        <v>-0.04</v>
      </c>
      <c r="BI2177">
        <v>1.39</v>
      </c>
      <c r="BJ2177">
        <v>0</v>
      </c>
      <c r="BK2177">
        <v>0</v>
      </c>
      <c r="BL2177">
        <v>0.48</v>
      </c>
      <c r="BM2177">
        <v>1.52</v>
      </c>
      <c r="BN2177">
        <v>0.06</v>
      </c>
      <c r="BO2177">
        <v>0.36</v>
      </c>
      <c r="BP2177">
        <v>0.53</v>
      </c>
      <c r="BQ2177">
        <v>0.74</v>
      </c>
      <c r="BR2177">
        <v>-0.84</v>
      </c>
      <c r="BS2177">
        <v>1.99</v>
      </c>
      <c r="BT2177">
        <v>1.04</v>
      </c>
      <c r="BU2177">
        <v>0.45</v>
      </c>
      <c r="BV2177">
        <v>1.08</v>
      </c>
      <c r="BW2177">
        <v>7.0000000000000007E-2</v>
      </c>
      <c r="BX2177">
        <v>-0.13</v>
      </c>
      <c r="BY2177">
        <v>-0.55000000000000004</v>
      </c>
      <c r="BZ2177">
        <v>2.16</v>
      </c>
      <c r="CA2177">
        <v>1.26</v>
      </c>
      <c r="CB2177">
        <v>0.64</v>
      </c>
      <c r="CC2177">
        <v>1.89</v>
      </c>
      <c r="CD2177">
        <v>0.55000000000000004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-0.2</v>
      </c>
      <c r="CK2177">
        <v>25</v>
      </c>
      <c r="CL2177">
        <v>-0.57999999999999996</v>
      </c>
      <c r="CM2177">
        <v>23</v>
      </c>
      <c r="CN2177">
        <v>-0.4</v>
      </c>
      <c r="CO2177">
        <v>22</v>
      </c>
      <c r="CP2177">
        <v>-3</v>
      </c>
      <c r="CQ2177">
        <v>18</v>
      </c>
      <c r="CR2177">
        <v>0</v>
      </c>
      <c r="CS2177">
        <v>0</v>
      </c>
      <c r="CT2177">
        <v>0.4</v>
      </c>
      <c r="CU2177">
        <v>16</v>
      </c>
      <c r="CV2177">
        <v>0.15</v>
      </c>
      <c r="CW2177">
        <v>7</v>
      </c>
      <c r="CX2177" t="s">
        <v>755</v>
      </c>
    </row>
    <row r="2178" spans="1:102" x14ac:dyDescent="0.3">
      <c r="A2178" t="str">
        <f>HYPERLINK("https://webapp.icbf.com/v2/app/bull-search/view/986613081","S1444")</f>
        <v>S1444</v>
      </c>
      <c r="B2178" t="s">
        <v>1907</v>
      </c>
      <c r="C2178" t="s">
        <v>1908</v>
      </c>
      <c r="D2178" s="1">
        <v>40765</v>
      </c>
      <c r="E2178" t="s">
        <v>108</v>
      </c>
      <c r="F2178">
        <v>3</v>
      </c>
      <c r="G2178" t="s">
        <v>109</v>
      </c>
      <c r="H2178">
        <v>59.13</v>
      </c>
      <c r="I2178">
        <v>69</v>
      </c>
      <c r="J2178">
        <v>-18.350000000000001</v>
      </c>
      <c r="K2178">
        <v>86</v>
      </c>
      <c r="L2178">
        <v>67.44</v>
      </c>
      <c r="M2178">
        <v>69</v>
      </c>
      <c r="N2178">
        <v>-1.51</v>
      </c>
      <c r="O2178">
        <v>49</v>
      </c>
      <c r="P2178">
        <v>-15.81</v>
      </c>
      <c r="Q2178">
        <v>55</v>
      </c>
      <c r="R2178">
        <v>14.92</v>
      </c>
      <c r="S2178">
        <v>58</v>
      </c>
      <c r="T2178">
        <v>11.24</v>
      </c>
      <c r="U2178">
        <v>48</v>
      </c>
      <c r="V2178">
        <v>1.2</v>
      </c>
      <c r="W2178">
        <v>59</v>
      </c>
      <c r="X2178" t="s">
        <v>251</v>
      </c>
      <c r="Y2178" t="s">
        <v>342</v>
      </c>
      <c r="Z2178" t="s">
        <v>96</v>
      </c>
      <c r="AA2178" t="s">
        <v>1909</v>
      </c>
      <c r="AB2178" t="s">
        <v>1910</v>
      </c>
      <c r="AC2178">
        <v>0</v>
      </c>
      <c r="AD2178">
        <v>0</v>
      </c>
      <c r="AE2178">
        <v>86</v>
      </c>
      <c r="AF2178">
        <v>-93.21</v>
      </c>
      <c r="AG2178">
        <v>-0.7</v>
      </c>
      <c r="AH2178">
        <v>-4.3</v>
      </c>
      <c r="AI2178">
        <v>0.05</v>
      </c>
      <c r="AJ2178">
        <v>-0.02</v>
      </c>
      <c r="AK2178">
        <v>69</v>
      </c>
      <c r="AL2178">
        <v>0</v>
      </c>
      <c r="AM2178">
        <v>0</v>
      </c>
      <c r="AN2178">
        <v>-4.33</v>
      </c>
      <c r="AO2178">
        <v>1.04</v>
      </c>
      <c r="AP2178">
        <v>8</v>
      </c>
      <c r="AQ2178">
        <v>0</v>
      </c>
      <c r="AR2178">
        <v>9.19</v>
      </c>
      <c r="AS2178">
        <v>46</v>
      </c>
      <c r="AT2178">
        <v>3.71</v>
      </c>
      <c r="AU2178">
        <v>60</v>
      </c>
      <c r="AV2178">
        <v>-0.62</v>
      </c>
      <c r="AW2178">
        <v>46</v>
      </c>
      <c r="AX2178">
        <v>-0.05</v>
      </c>
      <c r="AY2178">
        <v>51</v>
      </c>
      <c r="AZ2178">
        <v>5.46</v>
      </c>
      <c r="BA2178">
        <v>39</v>
      </c>
      <c r="BB2178">
        <v>4.57</v>
      </c>
      <c r="BC2178">
        <v>40</v>
      </c>
      <c r="BD2178">
        <v>-0.03</v>
      </c>
      <c r="BE2178">
        <v>-7.0000000000000007E-2</v>
      </c>
      <c r="BF2178">
        <v>-0.16</v>
      </c>
      <c r="BG2178">
        <v>66</v>
      </c>
      <c r="BH2178">
        <v>-0.05</v>
      </c>
      <c r="BI2178">
        <v>-9.65</v>
      </c>
      <c r="BJ2178">
        <v>0</v>
      </c>
      <c r="BK2178">
        <v>0</v>
      </c>
      <c r="BL2178">
        <v>-3.17</v>
      </c>
      <c r="BM2178">
        <v>2.2000000000000002</v>
      </c>
      <c r="BN2178">
        <v>-1.46</v>
      </c>
      <c r="BO2178">
        <v>-2.61</v>
      </c>
      <c r="BP2178">
        <v>-0.93</v>
      </c>
      <c r="BQ2178">
        <v>0.18</v>
      </c>
      <c r="BR2178">
        <v>0.4</v>
      </c>
      <c r="BS2178">
        <v>-0.64</v>
      </c>
      <c r="BT2178">
        <v>-0.15</v>
      </c>
      <c r="BU2178">
        <v>-0.09</v>
      </c>
      <c r="BV2178">
        <v>-1.54</v>
      </c>
      <c r="BW2178">
        <v>-1.1499999999999999</v>
      </c>
      <c r="BX2178">
        <v>-0.59</v>
      </c>
      <c r="BY2178">
        <v>-0.44</v>
      </c>
      <c r="BZ2178">
        <v>-2.76</v>
      </c>
      <c r="CA2178">
        <v>-1.1000000000000001</v>
      </c>
      <c r="CB2178">
        <v>-0.86</v>
      </c>
      <c r="CC2178">
        <v>-0.99</v>
      </c>
      <c r="CD2178">
        <v>2.64</v>
      </c>
      <c r="CE2178">
        <v>-1.65</v>
      </c>
      <c r="CF2178">
        <v>-1.1100000000000001</v>
      </c>
      <c r="CG2178">
        <v>0</v>
      </c>
      <c r="CH2178">
        <v>-0.48</v>
      </c>
      <c r="CI2178">
        <v>0</v>
      </c>
      <c r="CJ2178">
        <v>-6.2</v>
      </c>
      <c r="CK2178">
        <v>56</v>
      </c>
      <c r="CL2178">
        <v>-0.55000000000000004</v>
      </c>
      <c r="CM2178">
        <v>55</v>
      </c>
      <c r="CN2178">
        <v>0.04</v>
      </c>
      <c r="CO2178">
        <v>54</v>
      </c>
      <c r="CP2178">
        <v>-7.4</v>
      </c>
      <c r="CQ2178">
        <v>49</v>
      </c>
      <c r="CR2178">
        <v>0</v>
      </c>
      <c r="CS2178">
        <v>0</v>
      </c>
      <c r="CT2178">
        <v>-1.4</v>
      </c>
      <c r="CU2178">
        <v>48</v>
      </c>
      <c r="CV2178">
        <v>0.08</v>
      </c>
      <c r="CW2178">
        <v>37</v>
      </c>
      <c r="CX2178" t="s">
        <v>1911</v>
      </c>
    </row>
    <row r="2179" spans="1:102" x14ac:dyDescent="0.3">
      <c r="A2179" t="str">
        <f>HYPERLINK("https://webapp.icbf.com/v2/app/bull-search/view/446705659","DXR")</f>
        <v>DXR</v>
      </c>
      <c r="B2179" t="s">
        <v>11958</v>
      </c>
      <c r="C2179" t="s">
        <v>11959</v>
      </c>
      <c r="D2179" s="1">
        <v>38767</v>
      </c>
      <c r="E2179" t="s">
        <v>92</v>
      </c>
      <c r="F2179">
        <v>56</v>
      </c>
      <c r="G2179" t="s">
        <v>93</v>
      </c>
      <c r="H2179">
        <v>58.86</v>
      </c>
      <c r="I2179">
        <v>91</v>
      </c>
      <c r="J2179">
        <v>37.36</v>
      </c>
      <c r="K2179">
        <v>98</v>
      </c>
      <c r="L2179">
        <v>21.75</v>
      </c>
      <c r="M2179">
        <v>84</v>
      </c>
      <c r="N2179">
        <v>-26.27</v>
      </c>
      <c r="O2179">
        <v>92</v>
      </c>
      <c r="P2179">
        <v>-3.28</v>
      </c>
      <c r="Q2179">
        <v>96</v>
      </c>
      <c r="R2179">
        <v>8.67</v>
      </c>
      <c r="S2179">
        <v>87</v>
      </c>
      <c r="T2179">
        <v>13.75</v>
      </c>
      <c r="U2179">
        <v>91</v>
      </c>
      <c r="V2179">
        <v>6.88</v>
      </c>
      <c r="W2179">
        <v>88</v>
      </c>
      <c r="X2179" t="s">
        <v>94</v>
      </c>
      <c r="Y2179" t="s">
        <v>1251</v>
      </c>
      <c r="Z2179" t="s">
        <v>96</v>
      </c>
      <c r="AA2179" t="s">
        <v>4088</v>
      </c>
      <c r="AB2179" t="s">
        <v>11960</v>
      </c>
      <c r="AC2179">
        <v>220</v>
      </c>
      <c r="AD2179">
        <v>108</v>
      </c>
      <c r="AE2179">
        <v>98</v>
      </c>
      <c r="AF2179">
        <v>241.32</v>
      </c>
      <c r="AG2179">
        <v>5.62</v>
      </c>
      <c r="AH2179">
        <v>8.06</v>
      </c>
      <c r="AI2179">
        <v>-0.06</v>
      </c>
      <c r="AJ2179">
        <v>0</v>
      </c>
      <c r="AK2179">
        <v>84</v>
      </c>
      <c r="AL2179">
        <v>213</v>
      </c>
      <c r="AM2179">
        <v>115</v>
      </c>
      <c r="AN2179">
        <v>0.02</v>
      </c>
      <c r="AO2179">
        <v>1.77</v>
      </c>
      <c r="AP2179">
        <v>518</v>
      </c>
      <c r="AQ2179">
        <v>2</v>
      </c>
      <c r="AR2179">
        <v>13.35</v>
      </c>
      <c r="AS2179">
        <v>81</v>
      </c>
      <c r="AT2179">
        <v>5.12</v>
      </c>
      <c r="AU2179">
        <v>94</v>
      </c>
      <c r="AV2179">
        <v>-2.3199999999999998</v>
      </c>
      <c r="AW2179">
        <v>98</v>
      </c>
      <c r="AX2179">
        <v>0.54</v>
      </c>
      <c r="AY2179">
        <v>91</v>
      </c>
      <c r="AZ2179">
        <v>7.51</v>
      </c>
      <c r="BA2179">
        <v>78</v>
      </c>
      <c r="BB2179">
        <v>5.0199999999999996</v>
      </c>
      <c r="BC2179">
        <v>79</v>
      </c>
      <c r="BD2179">
        <v>-0.05</v>
      </c>
      <c r="BE2179">
        <v>-0.04</v>
      </c>
      <c r="BF2179">
        <v>-0.04</v>
      </c>
      <c r="BG2179">
        <v>94</v>
      </c>
      <c r="BH2179">
        <v>0.1</v>
      </c>
      <c r="BI2179">
        <v>-10.61</v>
      </c>
      <c r="BJ2179">
        <v>11</v>
      </c>
      <c r="BK2179">
        <v>7</v>
      </c>
      <c r="BL2179">
        <v>-1.58</v>
      </c>
      <c r="BM2179">
        <v>0.57999999999999996</v>
      </c>
      <c r="BN2179">
        <v>-1.1200000000000001</v>
      </c>
      <c r="BO2179">
        <v>-1.18</v>
      </c>
      <c r="BP2179">
        <v>-0.06</v>
      </c>
      <c r="BQ2179">
        <v>-1.99</v>
      </c>
      <c r="BR2179">
        <v>-0.77</v>
      </c>
      <c r="BS2179">
        <v>0.22</v>
      </c>
      <c r="BT2179">
        <v>-0.1</v>
      </c>
      <c r="BU2179">
        <v>-0.11</v>
      </c>
      <c r="BV2179">
        <v>-0.82</v>
      </c>
      <c r="BW2179">
        <v>-1.1200000000000001</v>
      </c>
      <c r="BX2179">
        <v>-1.08</v>
      </c>
      <c r="BY2179">
        <v>-1.84</v>
      </c>
      <c r="BZ2179">
        <v>-0.53</v>
      </c>
      <c r="CA2179">
        <v>-0.36</v>
      </c>
      <c r="CB2179">
        <v>-0.72</v>
      </c>
      <c r="CC2179">
        <v>0.35</v>
      </c>
      <c r="CD2179">
        <v>0.62</v>
      </c>
      <c r="CE2179">
        <v>-0.43</v>
      </c>
      <c r="CF2179">
        <v>-1.58</v>
      </c>
      <c r="CG2179">
        <v>0</v>
      </c>
      <c r="CH2179">
        <v>-1.04</v>
      </c>
      <c r="CI2179">
        <v>0</v>
      </c>
      <c r="CJ2179">
        <v>0.1</v>
      </c>
      <c r="CK2179">
        <v>97</v>
      </c>
      <c r="CL2179">
        <v>-0.56000000000000005</v>
      </c>
      <c r="CM2179">
        <v>96</v>
      </c>
      <c r="CN2179">
        <v>-0.28000000000000003</v>
      </c>
      <c r="CO2179">
        <v>96</v>
      </c>
      <c r="CP2179">
        <v>-6.1</v>
      </c>
      <c r="CQ2179">
        <v>94</v>
      </c>
      <c r="CR2179">
        <v>0</v>
      </c>
      <c r="CS2179">
        <v>0</v>
      </c>
      <c r="CT2179">
        <v>-4.8</v>
      </c>
      <c r="CU2179">
        <v>91</v>
      </c>
      <c r="CV2179">
        <v>0.15</v>
      </c>
      <c r="CW2179">
        <v>46</v>
      </c>
      <c r="CX2179" t="s">
        <v>1037</v>
      </c>
    </row>
    <row r="2180" spans="1:102" x14ac:dyDescent="0.3">
      <c r="A2180" t="str">
        <f>HYPERLINK("https://webapp.icbf.com/v2/app/bull-search/view/77853748","SDJ")</f>
        <v>SDJ</v>
      </c>
      <c r="B2180" t="s">
        <v>11073</v>
      </c>
      <c r="C2180" t="s">
        <v>11074</v>
      </c>
      <c r="D2180" s="1">
        <v>34169</v>
      </c>
      <c r="E2180" t="s">
        <v>92</v>
      </c>
      <c r="F2180">
        <v>94</v>
      </c>
      <c r="G2180" t="s">
        <v>93</v>
      </c>
      <c r="H2180">
        <v>58.84</v>
      </c>
      <c r="I2180">
        <v>88</v>
      </c>
      <c r="J2180">
        <v>8.15</v>
      </c>
      <c r="K2180">
        <v>97</v>
      </c>
      <c r="L2180">
        <v>30.08</v>
      </c>
      <c r="M2180">
        <v>85</v>
      </c>
      <c r="N2180">
        <v>25.09</v>
      </c>
      <c r="O2180">
        <v>82</v>
      </c>
      <c r="P2180">
        <v>0.01</v>
      </c>
      <c r="Q2180">
        <v>94</v>
      </c>
      <c r="R2180">
        <v>-5.44</v>
      </c>
      <c r="S2180">
        <v>78</v>
      </c>
      <c r="T2180">
        <v>0.8</v>
      </c>
      <c r="U2180">
        <v>86</v>
      </c>
      <c r="V2180">
        <v>0.15</v>
      </c>
      <c r="W2180">
        <v>67</v>
      </c>
      <c r="X2180" t="s">
        <v>102</v>
      </c>
      <c r="Y2180" t="s">
        <v>95</v>
      </c>
      <c r="Z2180" t="s">
        <v>96</v>
      </c>
      <c r="AA2180" t="s">
        <v>999</v>
      </c>
      <c r="AB2180" t="s">
        <v>11075</v>
      </c>
      <c r="AC2180">
        <v>164</v>
      </c>
      <c r="AD2180">
        <v>76</v>
      </c>
      <c r="AE2180">
        <v>97</v>
      </c>
      <c r="AF2180">
        <v>50.41</v>
      </c>
      <c r="AG2180">
        <v>-0.56999999999999995</v>
      </c>
      <c r="AH2180">
        <v>2.36</v>
      </c>
      <c r="AI2180">
        <v>-0.04</v>
      </c>
      <c r="AJ2180">
        <v>0.01</v>
      </c>
      <c r="AK2180">
        <v>85</v>
      </c>
      <c r="AL2180">
        <v>216</v>
      </c>
      <c r="AM2180">
        <v>92</v>
      </c>
      <c r="AN2180">
        <v>-0.79</v>
      </c>
      <c r="AO2180">
        <v>1.62</v>
      </c>
      <c r="AP2180">
        <v>30</v>
      </c>
      <c r="AQ2180">
        <v>2</v>
      </c>
      <c r="AR2180">
        <v>7.47</v>
      </c>
      <c r="AS2180">
        <v>64</v>
      </c>
      <c r="AT2180">
        <v>2.81</v>
      </c>
      <c r="AU2180">
        <v>80</v>
      </c>
      <c r="AV2180">
        <v>-1.94</v>
      </c>
      <c r="AW2180">
        <v>88</v>
      </c>
      <c r="AX2180">
        <v>-1</v>
      </c>
      <c r="AY2180">
        <v>86</v>
      </c>
      <c r="AZ2180">
        <v>5.22</v>
      </c>
      <c r="BA2180">
        <v>67</v>
      </c>
      <c r="BB2180">
        <v>4.51</v>
      </c>
      <c r="BC2180">
        <v>76</v>
      </c>
      <c r="BD2180">
        <v>0.03</v>
      </c>
      <c r="BE2180">
        <v>0.05</v>
      </c>
      <c r="BF2180">
        <v>-0.02</v>
      </c>
      <c r="BG2180">
        <v>91</v>
      </c>
      <c r="BH2180">
        <v>0.21</v>
      </c>
      <c r="BI2180">
        <v>23.82</v>
      </c>
      <c r="BJ2180">
        <v>8</v>
      </c>
      <c r="BK2180">
        <v>7</v>
      </c>
      <c r="BL2180">
        <v>0.13</v>
      </c>
      <c r="BM2180">
        <v>1.04</v>
      </c>
      <c r="BN2180">
        <v>-1.03</v>
      </c>
      <c r="BO2180">
        <v>-0.17</v>
      </c>
      <c r="BP2180">
        <v>0.56000000000000005</v>
      </c>
      <c r="BQ2180">
        <v>-0.63</v>
      </c>
      <c r="BR2180">
        <v>-1.26</v>
      </c>
      <c r="BS2180">
        <v>-0.89</v>
      </c>
      <c r="BT2180">
        <v>1.27</v>
      </c>
      <c r="BU2180">
        <v>-1.1399999999999999</v>
      </c>
      <c r="BV2180">
        <v>-0.92</v>
      </c>
      <c r="BW2180">
        <v>-0.92</v>
      </c>
      <c r="BX2180">
        <v>-0.5</v>
      </c>
      <c r="BY2180">
        <v>-0.4</v>
      </c>
      <c r="BZ2180">
        <v>2.13</v>
      </c>
      <c r="CA2180">
        <v>-1.22</v>
      </c>
      <c r="CB2180">
        <v>-0.95</v>
      </c>
      <c r="CC2180">
        <v>-1.3</v>
      </c>
      <c r="CD2180">
        <v>0.63</v>
      </c>
      <c r="CE2180">
        <v>0.31</v>
      </c>
      <c r="CF2180">
        <v>0.27</v>
      </c>
      <c r="CG2180">
        <v>0</v>
      </c>
      <c r="CH2180">
        <v>-0.81</v>
      </c>
      <c r="CI2180">
        <v>0</v>
      </c>
      <c r="CJ2180">
        <v>2.4</v>
      </c>
      <c r="CK2180">
        <v>94</v>
      </c>
      <c r="CL2180">
        <v>-0.47</v>
      </c>
      <c r="CM2180">
        <v>93</v>
      </c>
      <c r="CN2180">
        <v>-0.16</v>
      </c>
      <c r="CO2180">
        <v>92</v>
      </c>
      <c r="CP2180">
        <v>-2.2000000000000002</v>
      </c>
      <c r="CQ2180">
        <v>95</v>
      </c>
      <c r="CR2180">
        <v>0</v>
      </c>
      <c r="CS2180">
        <v>0</v>
      </c>
      <c r="CT2180">
        <v>12.7</v>
      </c>
      <c r="CU2180">
        <v>86</v>
      </c>
      <c r="CV2180">
        <v>0.25</v>
      </c>
      <c r="CW2180">
        <v>27</v>
      </c>
      <c r="CX2180" t="s">
        <v>193</v>
      </c>
    </row>
    <row r="2181" spans="1:102" x14ac:dyDescent="0.3">
      <c r="A2181" t="str">
        <f>HYPERLINK("https://webapp.icbf.com/v2/app/bull-search/view/409024988","ORK")</f>
        <v>ORK</v>
      </c>
      <c r="B2181" t="s">
        <v>1198</v>
      </c>
      <c r="C2181" t="s">
        <v>1199</v>
      </c>
      <c r="D2181" s="1">
        <v>36153</v>
      </c>
      <c r="E2181" t="s">
        <v>197</v>
      </c>
      <c r="F2181">
        <v>0</v>
      </c>
      <c r="G2181" t="s">
        <v>93</v>
      </c>
      <c r="H2181">
        <v>58.74</v>
      </c>
      <c r="I2181">
        <v>54</v>
      </c>
      <c r="J2181">
        <v>-28.81</v>
      </c>
      <c r="K2181">
        <v>78</v>
      </c>
      <c r="L2181">
        <v>81.25</v>
      </c>
      <c r="M2181">
        <v>31</v>
      </c>
      <c r="N2181">
        <v>-19.850000000000001</v>
      </c>
      <c r="O2181">
        <v>56</v>
      </c>
      <c r="P2181">
        <v>13.92</v>
      </c>
      <c r="Q2181">
        <v>78</v>
      </c>
      <c r="R2181">
        <v>5.42</v>
      </c>
      <c r="S2181">
        <v>35</v>
      </c>
      <c r="T2181">
        <v>9.76</v>
      </c>
      <c r="U2181">
        <v>55</v>
      </c>
      <c r="V2181">
        <v>-2.95</v>
      </c>
      <c r="W2181">
        <v>2</v>
      </c>
      <c r="X2181" t="s">
        <v>94</v>
      </c>
      <c r="Y2181" t="s">
        <v>95</v>
      </c>
      <c r="Z2181">
        <v>0</v>
      </c>
      <c r="AA2181" t="s">
        <v>1200</v>
      </c>
      <c r="AB2181" t="s">
        <v>1201</v>
      </c>
      <c r="AC2181">
        <v>12</v>
      </c>
      <c r="AD2181">
        <v>3</v>
      </c>
      <c r="AE2181">
        <v>78</v>
      </c>
      <c r="AF2181">
        <v>-231.69</v>
      </c>
      <c r="AG2181">
        <v>-13.36</v>
      </c>
      <c r="AH2181">
        <v>-3.72</v>
      </c>
      <c r="AI2181">
        <v>-7.0000000000000007E-2</v>
      </c>
      <c r="AJ2181">
        <v>7.0000000000000007E-2</v>
      </c>
      <c r="AK2181">
        <v>31</v>
      </c>
      <c r="AL2181">
        <v>11</v>
      </c>
      <c r="AM2181">
        <v>3</v>
      </c>
      <c r="AN2181">
        <v>-5.2</v>
      </c>
      <c r="AO2181">
        <v>1.27</v>
      </c>
      <c r="AP2181">
        <v>38</v>
      </c>
      <c r="AQ2181">
        <v>0</v>
      </c>
      <c r="AR2181">
        <v>6.29</v>
      </c>
      <c r="AS2181">
        <v>35</v>
      </c>
      <c r="AT2181">
        <v>5.59</v>
      </c>
      <c r="AU2181">
        <v>48</v>
      </c>
      <c r="AV2181">
        <v>0.51</v>
      </c>
      <c r="AW2181">
        <v>82</v>
      </c>
      <c r="AX2181">
        <v>-7.0000000000000007E-2</v>
      </c>
      <c r="AY2181">
        <v>44</v>
      </c>
      <c r="AZ2181">
        <v>6.88</v>
      </c>
      <c r="BA2181">
        <v>19</v>
      </c>
      <c r="BB2181">
        <v>3.79</v>
      </c>
      <c r="BC2181">
        <v>24</v>
      </c>
      <c r="BD2181">
        <v>-0.01</v>
      </c>
      <c r="BE2181">
        <v>-0.02</v>
      </c>
      <c r="BF2181">
        <v>-7.0000000000000007E-2</v>
      </c>
      <c r="BG2181">
        <v>44</v>
      </c>
      <c r="BH2181">
        <v>-0.08</v>
      </c>
      <c r="BI2181">
        <v>0.25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5.9</v>
      </c>
      <c r="CK2181">
        <v>81</v>
      </c>
      <c r="CL2181">
        <v>0.17</v>
      </c>
      <c r="CM2181">
        <v>77</v>
      </c>
      <c r="CN2181">
        <v>-0.24</v>
      </c>
      <c r="CO2181">
        <v>74</v>
      </c>
      <c r="CP2181">
        <v>8.1</v>
      </c>
      <c r="CQ2181">
        <v>64</v>
      </c>
      <c r="CR2181">
        <v>0</v>
      </c>
      <c r="CS2181">
        <v>0</v>
      </c>
      <c r="CT2181">
        <v>0.6</v>
      </c>
      <c r="CU2181">
        <v>55</v>
      </c>
      <c r="CV2181">
        <v>-0.05</v>
      </c>
      <c r="CW2181">
        <v>22</v>
      </c>
      <c r="CX2181" t="s">
        <v>202</v>
      </c>
    </row>
    <row r="2182" spans="1:102" x14ac:dyDescent="0.3">
      <c r="A2182" t="str">
        <f>HYPERLINK("https://webapp.icbf.com/v2/app/bull-search/view/77858488","DNV")</f>
        <v>DNV</v>
      </c>
      <c r="B2182" t="s">
        <v>3995</v>
      </c>
      <c r="C2182" t="s">
        <v>1380</v>
      </c>
      <c r="D2182" s="1">
        <v>33827</v>
      </c>
      <c r="E2182" t="s">
        <v>92</v>
      </c>
      <c r="F2182">
        <v>100</v>
      </c>
      <c r="G2182" t="s">
        <v>93</v>
      </c>
      <c r="H2182">
        <v>58.72</v>
      </c>
      <c r="I2182">
        <v>92</v>
      </c>
      <c r="J2182">
        <v>44</v>
      </c>
      <c r="K2182">
        <v>98</v>
      </c>
      <c r="L2182">
        <v>-27.43</v>
      </c>
      <c r="M2182">
        <v>91</v>
      </c>
      <c r="N2182">
        <v>27.74</v>
      </c>
      <c r="O2182">
        <v>89</v>
      </c>
      <c r="P2182">
        <v>-6.38</v>
      </c>
      <c r="Q2182">
        <v>94</v>
      </c>
      <c r="R2182">
        <v>3.19</v>
      </c>
      <c r="S2182">
        <v>84</v>
      </c>
      <c r="T2182">
        <v>19.97</v>
      </c>
      <c r="U2182">
        <v>89</v>
      </c>
      <c r="V2182">
        <v>-2.37</v>
      </c>
      <c r="W2182">
        <v>73</v>
      </c>
      <c r="X2182" t="s">
        <v>94</v>
      </c>
      <c r="Y2182" t="s">
        <v>95</v>
      </c>
      <c r="Z2182" t="s">
        <v>96</v>
      </c>
      <c r="AA2182" t="s">
        <v>137</v>
      </c>
      <c r="AB2182" t="s">
        <v>1460</v>
      </c>
      <c r="AC2182">
        <v>176</v>
      </c>
      <c r="AD2182">
        <v>82</v>
      </c>
      <c r="AE2182">
        <v>98</v>
      </c>
      <c r="AF2182">
        <v>235.01</v>
      </c>
      <c r="AG2182">
        <v>5.68</v>
      </c>
      <c r="AH2182">
        <v>9.07</v>
      </c>
      <c r="AI2182">
        <v>-0.06</v>
      </c>
      <c r="AJ2182">
        <v>0.02</v>
      </c>
      <c r="AK2182">
        <v>91</v>
      </c>
      <c r="AL2182">
        <v>157</v>
      </c>
      <c r="AM2182">
        <v>83</v>
      </c>
      <c r="AN2182">
        <v>2.08</v>
      </c>
      <c r="AO2182">
        <v>-0.1</v>
      </c>
      <c r="AP2182">
        <v>86</v>
      </c>
      <c r="AQ2182">
        <v>0</v>
      </c>
      <c r="AR2182">
        <v>5.53</v>
      </c>
      <c r="AS2182">
        <v>77</v>
      </c>
      <c r="AT2182">
        <v>2.73</v>
      </c>
      <c r="AU2182">
        <v>97</v>
      </c>
      <c r="AV2182">
        <v>-2.02</v>
      </c>
      <c r="AW2182">
        <v>92</v>
      </c>
      <c r="AX2182">
        <v>-0.42</v>
      </c>
      <c r="AY2182">
        <v>89</v>
      </c>
      <c r="AZ2182">
        <v>5.23</v>
      </c>
      <c r="BA2182">
        <v>74</v>
      </c>
      <c r="BB2182">
        <v>4.88</v>
      </c>
      <c r="BC2182">
        <v>80</v>
      </c>
      <c r="BD2182">
        <v>-0.02</v>
      </c>
      <c r="BE2182">
        <v>0</v>
      </c>
      <c r="BF2182">
        <v>-0.04</v>
      </c>
      <c r="BG2182">
        <v>92</v>
      </c>
      <c r="BH2182">
        <v>-0.06</v>
      </c>
      <c r="BI2182">
        <v>0.69</v>
      </c>
      <c r="BJ2182">
        <v>30</v>
      </c>
      <c r="BK2182">
        <v>7</v>
      </c>
      <c r="BL2182">
        <v>-0.08</v>
      </c>
      <c r="BM2182">
        <v>-1.84</v>
      </c>
      <c r="BN2182">
        <v>-1.78</v>
      </c>
      <c r="BO2182">
        <v>0.03</v>
      </c>
      <c r="BP2182">
        <v>-0.75</v>
      </c>
      <c r="BQ2182">
        <v>-0.31</v>
      </c>
      <c r="BR2182">
        <v>-0.45</v>
      </c>
      <c r="BS2182">
        <v>-0.93</v>
      </c>
      <c r="BT2182">
        <v>-0.12</v>
      </c>
      <c r="BU2182">
        <v>0.13</v>
      </c>
      <c r="BV2182">
        <v>0.78</v>
      </c>
      <c r="BW2182">
        <v>0.19</v>
      </c>
      <c r="BX2182">
        <v>0.81</v>
      </c>
      <c r="BY2182">
        <v>-0.98</v>
      </c>
      <c r="BZ2182">
        <v>-0.22</v>
      </c>
      <c r="CA2182">
        <v>-0.53</v>
      </c>
      <c r="CB2182">
        <v>-0.23</v>
      </c>
      <c r="CC2182">
        <v>-1.1399999999999999</v>
      </c>
      <c r="CD2182">
        <v>-1.24</v>
      </c>
      <c r="CE2182">
        <v>0.67</v>
      </c>
      <c r="CF2182">
        <v>-0.87</v>
      </c>
      <c r="CG2182">
        <v>0</v>
      </c>
      <c r="CH2182">
        <v>0.54</v>
      </c>
      <c r="CI2182">
        <v>0</v>
      </c>
      <c r="CJ2182">
        <v>-2.2999999999999998</v>
      </c>
      <c r="CK2182">
        <v>94</v>
      </c>
      <c r="CL2182">
        <v>-0.67</v>
      </c>
      <c r="CM2182">
        <v>93</v>
      </c>
      <c r="CN2182">
        <v>-0.34</v>
      </c>
      <c r="CO2182">
        <v>92</v>
      </c>
      <c r="CP2182">
        <v>-1.8</v>
      </c>
      <c r="CQ2182">
        <v>95</v>
      </c>
      <c r="CR2182">
        <v>0</v>
      </c>
      <c r="CS2182">
        <v>0</v>
      </c>
      <c r="CT2182">
        <v>-13.2</v>
      </c>
      <c r="CU2182">
        <v>89</v>
      </c>
      <c r="CV2182">
        <v>0.17</v>
      </c>
      <c r="CW2182">
        <v>28</v>
      </c>
      <c r="CX2182" t="s">
        <v>166</v>
      </c>
    </row>
    <row r="2183" spans="1:102" x14ac:dyDescent="0.3">
      <c r="A2183" t="str">
        <f>HYPERLINK("https://webapp.icbf.com/v2/app/bull-search/view/586139075","GWC")</f>
        <v>GWC</v>
      </c>
      <c r="B2183" t="s">
        <v>1754</v>
      </c>
      <c r="C2183" t="s">
        <v>1755</v>
      </c>
      <c r="D2183" s="1">
        <v>38734</v>
      </c>
      <c r="E2183" t="s">
        <v>92</v>
      </c>
      <c r="F2183">
        <v>100</v>
      </c>
      <c r="G2183" t="s">
        <v>93</v>
      </c>
      <c r="H2183">
        <v>58.6</v>
      </c>
      <c r="I2183">
        <v>94</v>
      </c>
      <c r="J2183">
        <v>46.79</v>
      </c>
      <c r="K2183">
        <v>98</v>
      </c>
      <c r="L2183">
        <v>-6.78</v>
      </c>
      <c r="M2183">
        <v>93</v>
      </c>
      <c r="N2183">
        <v>25.89</v>
      </c>
      <c r="O2183">
        <v>93</v>
      </c>
      <c r="P2183">
        <v>-5.71</v>
      </c>
      <c r="Q2183">
        <v>96</v>
      </c>
      <c r="R2183">
        <v>2.9</v>
      </c>
      <c r="S2183">
        <v>86</v>
      </c>
      <c r="T2183">
        <v>-13.78</v>
      </c>
      <c r="U2183">
        <v>90</v>
      </c>
      <c r="V2183">
        <v>9.2899999999999991</v>
      </c>
      <c r="W2183">
        <v>79</v>
      </c>
      <c r="X2183" t="s">
        <v>276</v>
      </c>
      <c r="Y2183" t="s">
        <v>1756</v>
      </c>
      <c r="Z2183" t="s">
        <v>96</v>
      </c>
      <c r="AA2183" t="s">
        <v>309</v>
      </c>
      <c r="AB2183" t="s">
        <v>1757</v>
      </c>
      <c r="AC2183">
        <v>311</v>
      </c>
      <c r="AD2183">
        <v>120</v>
      </c>
      <c r="AE2183">
        <v>98</v>
      </c>
      <c r="AF2183">
        <v>326.20999999999998</v>
      </c>
      <c r="AG2183">
        <v>10.29</v>
      </c>
      <c r="AH2183">
        <v>9.31</v>
      </c>
      <c r="AI2183">
        <v>-0.04</v>
      </c>
      <c r="AJ2183">
        <v>-0.03</v>
      </c>
      <c r="AK2183">
        <v>93</v>
      </c>
      <c r="AL2183">
        <v>278</v>
      </c>
      <c r="AM2183">
        <v>108</v>
      </c>
      <c r="AN2183">
        <v>1.19</v>
      </c>
      <c r="AO2183">
        <v>0.66</v>
      </c>
      <c r="AP2183">
        <v>652</v>
      </c>
      <c r="AQ2183">
        <v>3</v>
      </c>
      <c r="AR2183">
        <v>4.9000000000000004</v>
      </c>
      <c r="AS2183">
        <v>94</v>
      </c>
      <c r="AT2183">
        <v>2.27</v>
      </c>
      <c r="AU2183">
        <v>94</v>
      </c>
      <c r="AV2183">
        <v>-1.95</v>
      </c>
      <c r="AW2183">
        <v>98</v>
      </c>
      <c r="AX2183">
        <v>-0.28999999999999998</v>
      </c>
      <c r="AY2183">
        <v>92</v>
      </c>
      <c r="AZ2183">
        <v>7.27</v>
      </c>
      <c r="BA2183">
        <v>81</v>
      </c>
      <c r="BB2183">
        <v>5.38</v>
      </c>
      <c r="BC2183">
        <v>77</v>
      </c>
      <c r="BD2183">
        <v>-0.01</v>
      </c>
      <c r="BE2183">
        <v>0</v>
      </c>
      <c r="BF2183">
        <v>-0.05</v>
      </c>
      <c r="BG2183">
        <v>95</v>
      </c>
      <c r="BH2183">
        <v>-0.02</v>
      </c>
      <c r="BI2183">
        <v>-32.29</v>
      </c>
      <c r="BJ2183">
        <v>122</v>
      </c>
      <c r="BK2183">
        <v>48</v>
      </c>
      <c r="BL2183">
        <v>1.7</v>
      </c>
      <c r="BM2183">
        <v>-0.45</v>
      </c>
      <c r="BN2183">
        <v>0.01</v>
      </c>
      <c r="BO2183">
        <v>0.49</v>
      </c>
      <c r="BP2183">
        <v>0.13</v>
      </c>
      <c r="BQ2183">
        <v>0.61</v>
      </c>
      <c r="BR2183">
        <v>-1.52</v>
      </c>
      <c r="BS2183">
        <v>0.66</v>
      </c>
      <c r="BT2183">
        <v>2.0699999999999998</v>
      </c>
      <c r="BU2183">
        <v>1.33</v>
      </c>
      <c r="BV2183">
        <v>0.87</v>
      </c>
      <c r="BW2183">
        <v>0.83</v>
      </c>
      <c r="BX2183">
        <v>1.63</v>
      </c>
      <c r="BY2183">
        <v>-0.09</v>
      </c>
      <c r="BZ2183">
        <v>0.5</v>
      </c>
      <c r="CA2183">
        <v>1.03</v>
      </c>
      <c r="CB2183">
        <v>0.95</v>
      </c>
      <c r="CC2183">
        <v>0.75</v>
      </c>
      <c r="CD2183">
        <v>0.06</v>
      </c>
      <c r="CE2183">
        <v>0.46</v>
      </c>
      <c r="CF2183">
        <v>0.74</v>
      </c>
      <c r="CG2183">
        <v>0</v>
      </c>
      <c r="CH2183">
        <v>-0.05</v>
      </c>
      <c r="CI2183">
        <v>0</v>
      </c>
      <c r="CJ2183">
        <v>-0.5</v>
      </c>
      <c r="CK2183">
        <v>96</v>
      </c>
      <c r="CL2183">
        <v>-1.1499999999999999</v>
      </c>
      <c r="CM2183">
        <v>96</v>
      </c>
      <c r="CN2183">
        <v>-0.53</v>
      </c>
      <c r="CO2183">
        <v>95</v>
      </c>
      <c r="CP2183">
        <v>4.3</v>
      </c>
      <c r="CQ2183">
        <v>92</v>
      </c>
      <c r="CR2183">
        <v>0</v>
      </c>
      <c r="CS2183">
        <v>0</v>
      </c>
      <c r="CT2183">
        <v>32.4</v>
      </c>
      <c r="CU2183">
        <v>90</v>
      </c>
      <c r="CV2183">
        <v>0.27</v>
      </c>
      <c r="CW2183">
        <v>46</v>
      </c>
      <c r="CX2183" t="s">
        <v>316</v>
      </c>
    </row>
    <row r="2184" spans="1:102" x14ac:dyDescent="0.3">
      <c r="A2184" t="str">
        <f>HYPERLINK("https://webapp.icbf.com/v2/app/bull-search/view/910799792","S2194")</f>
        <v>S2194</v>
      </c>
      <c r="B2184" t="s">
        <v>2106</v>
      </c>
      <c r="C2184" t="s">
        <v>2107</v>
      </c>
      <c r="D2184" s="1">
        <v>38899</v>
      </c>
      <c r="E2184" t="s">
        <v>92</v>
      </c>
      <c r="F2184">
        <v>100</v>
      </c>
      <c r="G2184" t="s">
        <v>109</v>
      </c>
      <c r="H2184">
        <v>58.49</v>
      </c>
      <c r="I2184">
        <v>69</v>
      </c>
      <c r="J2184">
        <v>5.08</v>
      </c>
      <c r="K2184">
        <v>86</v>
      </c>
      <c r="L2184">
        <v>26.98</v>
      </c>
      <c r="M2184">
        <v>81</v>
      </c>
      <c r="N2184">
        <v>21.03</v>
      </c>
      <c r="O2184">
        <v>46</v>
      </c>
      <c r="P2184">
        <v>-3.7</v>
      </c>
      <c r="Q2184">
        <v>35</v>
      </c>
      <c r="R2184">
        <v>6.39</v>
      </c>
      <c r="S2184">
        <v>63</v>
      </c>
      <c r="T2184">
        <v>-2.4500000000000002</v>
      </c>
      <c r="U2184">
        <v>31</v>
      </c>
      <c r="V2184">
        <v>5.16</v>
      </c>
      <c r="W2184">
        <v>32</v>
      </c>
      <c r="X2184" t="s">
        <v>276</v>
      </c>
      <c r="Y2184" t="s">
        <v>367</v>
      </c>
      <c r="Z2184" t="s">
        <v>96</v>
      </c>
      <c r="AA2184" t="s">
        <v>350</v>
      </c>
      <c r="AB2184" t="s">
        <v>2108</v>
      </c>
      <c r="AC2184">
        <v>0</v>
      </c>
      <c r="AD2184">
        <v>0</v>
      </c>
      <c r="AE2184">
        <v>86</v>
      </c>
      <c r="AF2184">
        <v>299.27999999999997</v>
      </c>
      <c r="AG2184">
        <v>-5.0199999999999996</v>
      </c>
      <c r="AH2184">
        <v>7.22</v>
      </c>
      <c r="AI2184">
        <v>-0.26</v>
      </c>
      <c r="AJ2184">
        <v>-0.05</v>
      </c>
      <c r="AK2184">
        <v>81</v>
      </c>
      <c r="AL2184">
        <v>0</v>
      </c>
      <c r="AM2184">
        <v>0</v>
      </c>
      <c r="AN2184">
        <v>-1.59</v>
      </c>
      <c r="AO2184">
        <v>0.56000000000000005</v>
      </c>
      <c r="AP2184">
        <v>1</v>
      </c>
      <c r="AQ2184">
        <v>0</v>
      </c>
      <c r="AR2184">
        <v>6.02</v>
      </c>
      <c r="AS2184">
        <v>29</v>
      </c>
      <c r="AT2184">
        <v>2.92</v>
      </c>
      <c r="AU2184">
        <v>87</v>
      </c>
      <c r="AV2184">
        <v>-1.52</v>
      </c>
      <c r="AW2184">
        <v>34</v>
      </c>
      <c r="AX2184">
        <v>0.37</v>
      </c>
      <c r="AY2184">
        <v>30</v>
      </c>
      <c r="AZ2184">
        <v>5.52</v>
      </c>
      <c r="BA2184">
        <v>29</v>
      </c>
      <c r="BB2184">
        <v>4.38</v>
      </c>
      <c r="BC2184">
        <v>29</v>
      </c>
      <c r="BD2184">
        <v>-0.03</v>
      </c>
      <c r="BE2184">
        <v>-0.03</v>
      </c>
      <c r="BF2184">
        <v>-0.04</v>
      </c>
      <c r="BG2184">
        <v>89</v>
      </c>
      <c r="BH2184">
        <v>0.13</v>
      </c>
      <c r="BI2184">
        <v>-1.62</v>
      </c>
      <c r="BJ2184">
        <v>0</v>
      </c>
      <c r="BK2184">
        <v>0</v>
      </c>
      <c r="BL2184">
        <v>1.31</v>
      </c>
      <c r="BM2184">
        <v>-0.47</v>
      </c>
      <c r="BN2184">
        <v>0.69</v>
      </c>
      <c r="BO2184">
        <v>0.97</v>
      </c>
      <c r="BP2184">
        <v>0.67</v>
      </c>
      <c r="BQ2184">
        <v>2.44</v>
      </c>
      <c r="BR2184">
        <v>-0.35</v>
      </c>
      <c r="BS2184">
        <v>2.3199999999999998</v>
      </c>
      <c r="BT2184">
        <v>1.34</v>
      </c>
      <c r="BU2184">
        <v>1.93</v>
      </c>
      <c r="BV2184">
        <v>1.88</v>
      </c>
      <c r="BW2184">
        <v>2.5099999999999998</v>
      </c>
      <c r="BX2184">
        <v>1.81</v>
      </c>
      <c r="BY2184">
        <v>1.37</v>
      </c>
      <c r="BZ2184">
        <v>-1.67</v>
      </c>
      <c r="CA2184">
        <v>1.77</v>
      </c>
      <c r="CB2184">
        <v>1.71</v>
      </c>
      <c r="CC2184">
        <v>1.21</v>
      </c>
      <c r="CD2184">
        <v>-0.44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-0.2</v>
      </c>
      <c r="CK2184">
        <v>36</v>
      </c>
      <c r="CL2184">
        <v>-1.1599999999999999</v>
      </c>
      <c r="CM2184">
        <v>34</v>
      </c>
      <c r="CN2184">
        <v>-0.68</v>
      </c>
      <c r="CO2184">
        <v>34</v>
      </c>
      <c r="CP2184">
        <v>3.9</v>
      </c>
      <c r="CQ2184">
        <v>32</v>
      </c>
      <c r="CR2184">
        <v>0</v>
      </c>
      <c r="CS2184">
        <v>0</v>
      </c>
      <c r="CT2184">
        <v>17.100000000000001</v>
      </c>
      <c r="CU2184">
        <v>31</v>
      </c>
      <c r="CV2184">
        <v>0.31</v>
      </c>
      <c r="CW2184">
        <v>10</v>
      </c>
      <c r="CX2184" t="s">
        <v>311</v>
      </c>
    </row>
    <row r="2185" spans="1:102" x14ac:dyDescent="0.3">
      <c r="A2185" t="str">
        <f>HYPERLINK("https://webapp.icbf.com/v2/app/bull-search/view/913845463","SSP")</f>
        <v>SSP</v>
      </c>
      <c r="B2185" t="s">
        <v>14509</v>
      </c>
      <c r="C2185" t="s">
        <v>14510</v>
      </c>
      <c r="D2185" s="1">
        <v>40177</v>
      </c>
      <c r="E2185" t="s">
        <v>92</v>
      </c>
      <c r="F2185">
        <v>84</v>
      </c>
      <c r="G2185" t="s">
        <v>109</v>
      </c>
      <c r="H2185">
        <v>58.47</v>
      </c>
      <c r="I2185">
        <v>55</v>
      </c>
      <c r="J2185">
        <v>64.39</v>
      </c>
      <c r="K2185">
        <v>77</v>
      </c>
      <c r="L2185">
        <v>-17.75</v>
      </c>
      <c r="M2185">
        <v>61</v>
      </c>
      <c r="N2185">
        <v>13.75</v>
      </c>
      <c r="O2185">
        <v>30</v>
      </c>
      <c r="P2185">
        <v>-8.0399999999999991</v>
      </c>
      <c r="Q2185">
        <v>28</v>
      </c>
      <c r="R2185">
        <v>4.03</v>
      </c>
      <c r="S2185">
        <v>48</v>
      </c>
      <c r="T2185">
        <v>3.39</v>
      </c>
      <c r="U2185">
        <v>18</v>
      </c>
      <c r="V2185">
        <v>-1.3</v>
      </c>
      <c r="W2185">
        <v>13</v>
      </c>
      <c r="X2185" t="s">
        <v>251</v>
      </c>
      <c r="Y2185" t="s">
        <v>1923</v>
      </c>
      <c r="Z2185" t="s">
        <v>330</v>
      </c>
      <c r="AA2185" t="s">
        <v>13072</v>
      </c>
      <c r="AB2185" t="s">
        <v>14511</v>
      </c>
      <c r="AC2185">
        <v>0</v>
      </c>
      <c r="AD2185">
        <v>0</v>
      </c>
      <c r="AE2185">
        <v>77</v>
      </c>
      <c r="AF2185">
        <v>284.08</v>
      </c>
      <c r="AG2185">
        <v>8.7899999999999991</v>
      </c>
      <c r="AH2185">
        <v>12.19</v>
      </c>
      <c r="AI2185">
        <v>-0.04</v>
      </c>
      <c r="AJ2185">
        <v>0.04</v>
      </c>
      <c r="AK2185">
        <v>61</v>
      </c>
      <c r="AL2185">
        <v>0</v>
      </c>
      <c r="AM2185">
        <v>0</v>
      </c>
      <c r="AN2185">
        <v>2.16</v>
      </c>
      <c r="AO2185">
        <v>0.76</v>
      </c>
      <c r="AP2185">
        <v>1</v>
      </c>
      <c r="AQ2185">
        <v>0</v>
      </c>
      <c r="AR2185">
        <v>6.96</v>
      </c>
      <c r="AS2185">
        <v>13</v>
      </c>
      <c r="AT2185">
        <v>2.89</v>
      </c>
      <c r="AU2185">
        <v>71</v>
      </c>
      <c r="AV2185">
        <v>-1.53</v>
      </c>
      <c r="AW2185">
        <v>19</v>
      </c>
      <c r="AX2185">
        <v>0.19</v>
      </c>
      <c r="AY2185">
        <v>15</v>
      </c>
      <c r="AZ2185">
        <v>6.65</v>
      </c>
      <c r="BA2185">
        <v>11</v>
      </c>
      <c r="BB2185">
        <v>5.24</v>
      </c>
      <c r="BC2185">
        <v>11</v>
      </c>
      <c r="BD2185">
        <v>-0.04</v>
      </c>
      <c r="BE2185">
        <v>-0.04</v>
      </c>
      <c r="BF2185">
        <v>0.05</v>
      </c>
      <c r="BG2185">
        <v>77</v>
      </c>
      <c r="BH2185">
        <v>0</v>
      </c>
      <c r="BI2185">
        <v>4.18</v>
      </c>
      <c r="BJ2185">
        <v>0</v>
      </c>
      <c r="BK2185">
        <v>0</v>
      </c>
      <c r="BL2185">
        <v>-0.08</v>
      </c>
      <c r="BM2185">
        <v>0.23</v>
      </c>
      <c r="BN2185">
        <v>-0.32</v>
      </c>
      <c r="BO2185">
        <v>-0.35</v>
      </c>
      <c r="BP2185">
        <v>-0.28999999999999998</v>
      </c>
      <c r="BQ2185">
        <v>-0.19</v>
      </c>
      <c r="BR2185">
        <v>-2.44</v>
      </c>
      <c r="BS2185">
        <v>1.7</v>
      </c>
      <c r="BT2185">
        <v>1.34</v>
      </c>
      <c r="BU2185">
        <v>0.13</v>
      </c>
      <c r="BV2185">
        <v>0.89</v>
      </c>
      <c r="BW2185">
        <v>0.46</v>
      </c>
      <c r="BX2185">
        <v>-0.1</v>
      </c>
      <c r="BY2185">
        <v>0.51</v>
      </c>
      <c r="BZ2185">
        <v>0.04</v>
      </c>
      <c r="CA2185">
        <v>0.85</v>
      </c>
      <c r="CB2185">
        <v>0.52</v>
      </c>
      <c r="CC2185">
        <v>1.01</v>
      </c>
      <c r="CD2185">
        <v>0.67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-2.8</v>
      </c>
      <c r="CK2185">
        <v>30</v>
      </c>
      <c r="CL2185">
        <v>-0.86</v>
      </c>
      <c r="CM2185">
        <v>26</v>
      </c>
      <c r="CN2185">
        <v>-0.4</v>
      </c>
      <c r="CO2185">
        <v>25</v>
      </c>
      <c r="CP2185">
        <v>0.1</v>
      </c>
      <c r="CQ2185">
        <v>19</v>
      </c>
      <c r="CR2185">
        <v>0</v>
      </c>
      <c r="CS2185">
        <v>0</v>
      </c>
      <c r="CT2185">
        <v>9.1999999999999993</v>
      </c>
      <c r="CU2185">
        <v>18</v>
      </c>
      <c r="CV2185">
        <v>0.18</v>
      </c>
      <c r="CW2185">
        <v>8</v>
      </c>
      <c r="CX2185" t="s">
        <v>3073</v>
      </c>
    </row>
    <row r="2186" spans="1:102" x14ac:dyDescent="0.3">
      <c r="A2186" t="str">
        <f>HYPERLINK("https://webapp.icbf.com/v2/app/bull-search/view/586204092","WLH")</f>
        <v>WLH</v>
      </c>
      <c r="B2186" t="s">
        <v>12463</v>
      </c>
      <c r="C2186" t="s">
        <v>12464</v>
      </c>
      <c r="D2186" s="1">
        <v>38056</v>
      </c>
      <c r="E2186" t="s">
        <v>92</v>
      </c>
      <c r="F2186">
        <v>100</v>
      </c>
      <c r="G2186" t="s">
        <v>93</v>
      </c>
      <c r="H2186">
        <v>58.46</v>
      </c>
      <c r="I2186">
        <v>92</v>
      </c>
      <c r="J2186">
        <v>36.770000000000003</v>
      </c>
      <c r="K2186">
        <v>97</v>
      </c>
      <c r="L2186">
        <v>-24.98</v>
      </c>
      <c r="M2186">
        <v>90</v>
      </c>
      <c r="N2186">
        <v>28.25</v>
      </c>
      <c r="O2186">
        <v>89</v>
      </c>
      <c r="P2186">
        <v>-9.48</v>
      </c>
      <c r="Q2186">
        <v>95</v>
      </c>
      <c r="R2186">
        <v>12.69</v>
      </c>
      <c r="S2186">
        <v>82</v>
      </c>
      <c r="T2186">
        <v>9.39</v>
      </c>
      <c r="U2186">
        <v>89</v>
      </c>
      <c r="V2186">
        <v>5.82</v>
      </c>
      <c r="W2186">
        <v>73</v>
      </c>
      <c r="X2186" t="s">
        <v>251</v>
      </c>
      <c r="Y2186" t="s">
        <v>270</v>
      </c>
      <c r="Z2186" t="s">
        <v>96</v>
      </c>
      <c r="AA2186" t="s">
        <v>316</v>
      </c>
      <c r="AB2186" t="s">
        <v>12465</v>
      </c>
      <c r="AC2186">
        <v>160</v>
      </c>
      <c r="AD2186">
        <v>61</v>
      </c>
      <c r="AE2186">
        <v>97</v>
      </c>
      <c r="AF2186">
        <v>433.89</v>
      </c>
      <c r="AG2186">
        <v>13.75</v>
      </c>
      <c r="AH2186">
        <v>8.0299999999999994</v>
      </c>
      <c r="AI2186">
        <v>-0.05</v>
      </c>
      <c r="AJ2186">
        <v>-0.11</v>
      </c>
      <c r="AK2186">
        <v>90</v>
      </c>
      <c r="AL2186">
        <v>222</v>
      </c>
      <c r="AM2186">
        <v>59</v>
      </c>
      <c r="AN2186">
        <v>2.29</v>
      </c>
      <c r="AO2186">
        <v>0.31</v>
      </c>
      <c r="AP2186">
        <v>354</v>
      </c>
      <c r="AQ2186">
        <v>1</v>
      </c>
      <c r="AR2186">
        <v>7.49</v>
      </c>
      <c r="AS2186">
        <v>85</v>
      </c>
      <c r="AT2186">
        <v>3.21</v>
      </c>
      <c r="AU2186">
        <v>93</v>
      </c>
      <c r="AV2186">
        <v>-3.29</v>
      </c>
      <c r="AW2186">
        <v>97</v>
      </c>
      <c r="AX2186">
        <v>-0.13</v>
      </c>
      <c r="AY2186">
        <v>89</v>
      </c>
      <c r="AZ2186">
        <v>5.67</v>
      </c>
      <c r="BA2186">
        <v>68</v>
      </c>
      <c r="BB2186">
        <v>4.7699999999999996</v>
      </c>
      <c r="BC2186">
        <v>68</v>
      </c>
      <c r="BD2186">
        <v>-0.01</v>
      </c>
      <c r="BE2186">
        <v>-0.05</v>
      </c>
      <c r="BF2186">
        <v>-0.18</v>
      </c>
      <c r="BG2186">
        <v>94</v>
      </c>
      <c r="BH2186">
        <v>0.24</v>
      </c>
      <c r="BI2186">
        <v>9</v>
      </c>
      <c r="BJ2186">
        <v>37</v>
      </c>
      <c r="BK2186">
        <v>15</v>
      </c>
      <c r="BL2186">
        <v>0.53</v>
      </c>
      <c r="BM2186">
        <v>1.72</v>
      </c>
      <c r="BN2186">
        <v>0.85</v>
      </c>
      <c r="BO2186">
        <v>0.12</v>
      </c>
      <c r="BP2186">
        <v>-0.17</v>
      </c>
      <c r="BQ2186">
        <v>-0.05</v>
      </c>
      <c r="BR2186">
        <v>-3.26</v>
      </c>
      <c r="BS2186">
        <v>2.11</v>
      </c>
      <c r="BT2186">
        <v>3.27</v>
      </c>
      <c r="BU2186">
        <v>1.04</v>
      </c>
      <c r="BV2186">
        <v>1.54</v>
      </c>
      <c r="BW2186">
        <v>1.89</v>
      </c>
      <c r="BX2186">
        <v>1.64</v>
      </c>
      <c r="BY2186">
        <v>2.1800000000000002</v>
      </c>
      <c r="BZ2186">
        <v>-0.79</v>
      </c>
      <c r="CA2186">
        <v>2.2000000000000002</v>
      </c>
      <c r="CB2186">
        <v>1.81</v>
      </c>
      <c r="CC2186">
        <v>1.97</v>
      </c>
      <c r="CD2186">
        <v>1.05</v>
      </c>
      <c r="CE2186">
        <v>0.25</v>
      </c>
      <c r="CF2186">
        <v>0.53</v>
      </c>
      <c r="CG2186">
        <v>0</v>
      </c>
      <c r="CH2186">
        <v>1.17</v>
      </c>
      <c r="CI2186">
        <v>0</v>
      </c>
      <c r="CJ2186">
        <v>-3.2</v>
      </c>
      <c r="CK2186">
        <v>95</v>
      </c>
      <c r="CL2186">
        <v>-0.84</v>
      </c>
      <c r="CM2186">
        <v>94</v>
      </c>
      <c r="CN2186">
        <v>-0.33</v>
      </c>
      <c r="CO2186">
        <v>94</v>
      </c>
      <c r="CP2186">
        <v>-1.7</v>
      </c>
      <c r="CQ2186">
        <v>94</v>
      </c>
      <c r="CR2186">
        <v>0</v>
      </c>
      <c r="CS2186">
        <v>0</v>
      </c>
      <c r="CT2186">
        <v>1.1000000000000001</v>
      </c>
      <c r="CU2186">
        <v>89</v>
      </c>
      <c r="CV2186">
        <v>0.17</v>
      </c>
      <c r="CW2186">
        <v>32</v>
      </c>
      <c r="CX2186" t="s">
        <v>3035</v>
      </c>
    </row>
    <row r="2187" spans="1:102" x14ac:dyDescent="0.3">
      <c r="A2187" t="str">
        <f>HYPERLINK("https://webapp.icbf.com/v2/app/bull-search/view/560119401","CLK")</f>
        <v>CLK</v>
      </c>
      <c r="B2187" t="s">
        <v>4261</v>
      </c>
      <c r="C2187" t="s">
        <v>4262</v>
      </c>
      <c r="D2187" s="1">
        <v>39489</v>
      </c>
      <c r="E2187" t="s">
        <v>108</v>
      </c>
      <c r="F2187">
        <v>3</v>
      </c>
      <c r="G2187" t="s">
        <v>93</v>
      </c>
      <c r="H2187">
        <v>58.43</v>
      </c>
      <c r="I2187">
        <v>85</v>
      </c>
      <c r="J2187">
        <v>1.99</v>
      </c>
      <c r="K2187">
        <v>96</v>
      </c>
      <c r="L2187">
        <v>73.400000000000006</v>
      </c>
      <c r="M2187">
        <v>73</v>
      </c>
      <c r="N2187">
        <v>-1.03</v>
      </c>
      <c r="O2187">
        <v>87</v>
      </c>
      <c r="P2187">
        <v>-4.43</v>
      </c>
      <c r="Q2187">
        <v>94</v>
      </c>
      <c r="R2187">
        <v>-14.32</v>
      </c>
      <c r="S2187">
        <v>76</v>
      </c>
      <c r="T2187">
        <v>5.54</v>
      </c>
      <c r="U2187">
        <v>87</v>
      </c>
      <c r="V2187">
        <v>-2.72</v>
      </c>
      <c r="W2187">
        <v>80</v>
      </c>
      <c r="X2187" t="s">
        <v>102</v>
      </c>
      <c r="Y2187" t="s">
        <v>4217</v>
      </c>
      <c r="Z2187" t="s">
        <v>96</v>
      </c>
      <c r="AA2187" t="s">
        <v>4263</v>
      </c>
      <c r="AB2187" t="s">
        <v>4264</v>
      </c>
      <c r="AC2187">
        <v>96</v>
      </c>
      <c r="AD2187">
        <v>72</v>
      </c>
      <c r="AE2187">
        <v>96</v>
      </c>
      <c r="AF2187">
        <v>-71.63</v>
      </c>
      <c r="AG2187">
        <v>-0.59</v>
      </c>
      <c r="AH2187">
        <v>-0.55000000000000004</v>
      </c>
      <c r="AI2187">
        <v>0.04</v>
      </c>
      <c r="AJ2187">
        <v>0.03</v>
      </c>
      <c r="AK2187">
        <v>73</v>
      </c>
      <c r="AL2187">
        <v>109</v>
      </c>
      <c r="AM2187">
        <v>80</v>
      </c>
      <c r="AN2187">
        <v>-5.0599999999999996</v>
      </c>
      <c r="AO2187">
        <v>0.78</v>
      </c>
      <c r="AP2187">
        <v>235</v>
      </c>
      <c r="AQ2187">
        <v>3</v>
      </c>
      <c r="AR2187">
        <v>11.45</v>
      </c>
      <c r="AS2187">
        <v>71</v>
      </c>
      <c r="AT2187">
        <v>4.57</v>
      </c>
      <c r="AU2187">
        <v>88</v>
      </c>
      <c r="AV2187">
        <v>-2.41</v>
      </c>
      <c r="AW2187">
        <v>97</v>
      </c>
      <c r="AX2187">
        <v>-0.62</v>
      </c>
      <c r="AY2187">
        <v>84</v>
      </c>
      <c r="AZ2187">
        <v>5.18</v>
      </c>
      <c r="BA2187">
        <v>67</v>
      </c>
      <c r="BB2187">
        <v>4.21</v>
      </c>
      <c r="BC2187">
        <v>70</v>
      </c>
      <c r="BD2187">
        <v>0.05</v>
      </c>
      <c r="BE2187">
        <v>0.04</v>
      </c>
      <c r="BF2187">
        <v>0.17</v>
      </c>
      <c r="BG2187">
        <v>84</v>
      </c>
      <c r="BH2187">
        <v>-0.11</v>
      </c>
      <c r="BI2187">
        <v>-3.95</v>
      </c>
      <c r="BJ2187">
        <v>28</v>
      </c>
      <c r="BK2187">
        <v>20</v>
      </c>
      <c r="BL2187">
        <v>-1.33</v>
      </c>
      <c r="BM2187">
        <v>2.57</v>
      </c>
      <c r="BN2187">
        <v>-1.71</v>
      </c>
      <c r="BO2187">
        <v>-2.5499999999999998</v>
      </c>
      <c r="BP2187">
        <v>0.26</v>
      </c>
      <c r="BQ2187">
        <v>2.34</v>
      </c>
      <c r="BR2187">
        <v>-2.37</v>
      </c>
      <c r="BS2187">
        <v>0.8</v>
      </c>
      <c r="BT2187">
        <v>2.8</v>
      </c>
      <c r="BU2187">
        <v>-2.37</v>
      </c>
      <c r="BV2187">
        <v>-2.0499999999999998</v>
      </c>
      <c r="BW2187">
        <v>-1.76</v>
      </c>
      <c r="BX2187">
        <v>-1.33</v>
      </c>
      <c r="BY2187">
        <v>-2.62</v>
      </c>
      <c r="BZ2187">
        <v>0.28999999999999998</v>
      </c>
      <c r="CA2187">
        <v>-1.76</v>
      </c>
      <c r="CB2187">
        <v>-2.4300000000000002</v>
      </c>
      <c r="CC2187">
        <v>0.19</v>
      </c>
      <c r="CD2187">
        <v>2.2999999999999998</v>
      </c>
      <c r="CE2187">
        <v>-1.89</v>
      </c>
      <c r="CF2187">
        <v>0.17</v>
      </c>
      <c r="CG2187">
        <v>0</v>
      </c>
      <c r="CH2187">
        <v>-2.25</v>
      </c>
      <c r="CI2187">
        <v>0</v>
      </c>
      <c r="CJ2187">
        <v>1.3</v>
      </c>
      <c r="CK2187">
        <v>95</v>
      </c>
      <c r="CL2187">
        <v>-0.28000000000000003</v>
      </c>
      <c r="CM2187">
        <v>93</v>
      </c>
      <c r="CN2187">
        <v>0.25</v>
      </c>
      <c r="CO2187">
        <v>93</v>
      </c>
      <c r="CP2187">
        <v>-2.7</v>
      </c>
      <c r="CQ2187">
        <v>90</v>
      </c>
      <c r="CR2187">
        <v>0</v>
      </c>
      <c r="CS2187">
        <v>0</v>
      </c>
      <c r="CT2187">
        <v>6.3</v>
      </c>
      <c r="CU2187">
        <v>87</v>
      </c>
      <c r="CV2187">
        <v>0.12</v>
      </c>
      <c r="CW2187">
        <v>28</v>
      </c>
      <c r="CX2187" t="s">
        <v>4265</v>
      </c>
    </row>
    <row r="2188" spans="1:102" x14ac:dyDescent="0.3">
      <c r="A2188" t="str">
        <f>HYPERLINK("https://webapp.icbf.com/v2/app/bull-search/view/124414929","MVA")</f>
        <v>MVA</v>
      </c>
      <c r="B2188" t="s">
        <v>1001</v>
      </c>
      <c r="C2188" t="s">
        <v>1002</v>
      </c>
      <c r="D2188" s="1">
        <v>36320</v>
      </c>
      <c r="E2188" t="s">
        <v>92</v>
      </c>
      <c r="F2188">
        <v>100</v>
      </c>
      <c r="G2188" t="s">
        <v>93</v>
      </c>
      <c r="H2188">
        <v>58.31</v>
      </c>
      <c r="I2188">
        <v>94</v>
      </c>
      <c r="J2188">
        <v>55.05</v>
      </c>
      <c r="K2188">
        <v>99</v>
      </c>
      <c r="L2188">
        <v>-36.51</v>
      </c>
      <c r="M2188">
        <v>89</v>
      </c>
      <c r="N2188">
        <v>27.31</v>
      </c>
      <c r="O2188">
        <v>94</v>
      </c>
      <c r="P2188">
        <v>-17.73</v>
      </c>
      <c r="Q2188">
        <v>98</v>
      </c>
      <c r="R2188">
        <v>-3.2</v>
      </c>
      <c r="S2188">
        <v>90</v>
      </c>
      <c r="T2188">
        <v>25.07</v>
      </c>
      <c r="U2188">
        <v>97</v>
      </c>
      <c r="V2188">
        <v>8.32</v>
      </c>
      <c r="W2188">
        <v>90</v>
      </c>
      <c r="X2188" t="s">
        <v>94</v>
      </c>
      <c r="Y2188" t="s">
        <v>95</v>
      </c>
      <c r="Z2188" t="s">
        <v>96</v>
      </c>
      <c r="AA2188" t="s">
        <v>985</v>
      </c>
      <c r="AB2188" t="s">
        <v>1003</v>
      </c>
      <c r="AC2188">
        <v>379</v>
      </c>
      <c r="AD2188">
        <v>262</v>
      </c>
      <c r="AE2188">
        <v>99</v>
      </c>
      <c r="AF2188">
        <v>124.82</v>
      </c>
      <c r="AG2188">
        <v>11.6</v>
      </c>
      <c r="AH2188">
        <v>7.17</v>
      </c>
      <c r="AI2188">
        <v>0.12</v>
      </c>
      <c r="AJ2188">
        <v>0.05</v>
      </c>
      <c r="AK2188">
        <v>89</v>
      </c>
      <c r="AL2188">
        <v>450</v>
      </c>
      <c r="AM2188">
        <v>295</v>
      </c>
      <c r="AN2188">
        <v>2.13</v>
      </c>
      <c r="AO2188">
        <v>-0.78</v>
      </c>
      <c r="AP2188">
        <v>676</v>
      </c>
      <c r="AQ2188">
        <v>5</v>
      </c>
      <c r="AR2188">
        <v>5.66</v>
      </c>
      <c r="AS2188">
        <v>92</v>
      </c>
      <c r="AT2188">
        <v>2.3199999999999998</v>
      </c>
      <c r="AU2188">
        <v>95</v>
      </c>
      <c r="AV2188">
        <v>-2.37</v>
      </c>
      <c r="AW2188">
        <v>98</v>
      </c>
      <c r="AX2188">
        <v>-0.01</v>
      </c>
      <c r="AY2188">
        <v>95</v>
      </c>
      <c r="AZ2188">
        <v>6.7</v>
      </c>
      <c r="BA2188">
        <v>84</v>
      </c>
      <c r="BB2188">
        <v>5.4</v>
      </c>
      <c r="BC2188">
        <v>87</v>
      </c>
      <c r="BD2188">
        <v>0.01</v>
      </c>
      <c r="BE2188">
        <v>0.03</v>
      </c>
      <c r="BF2188">
        <v>0</v>
      </c>
      <c r="BG2188">
        <v>96</v>
      </c>
      <c r="BH2188">
        <v>0.16</v>
      </c>
      <c r="BI2188">
        <v>-8.33</v>
      </c>
      <c r="BJ2188">
        <v>59</v>
      </c>
      <c r="BK2188">
        <v>39</v>
      </c>
      <c r="BL2188">
        <v>-1.28</v>
      </c>
      <c r="BM2188">
        <v>-1.65</v>
      </c>
      <c r="BN2188">
        <v>-1.18</v>
      </c>
      <c r="BO2188">
        <v>-0.33</v>
      </c>
      <c r="BP2188">
        <v>0</v>
      </c>
      <c r="BQ2188">
        <v>-2.29</v>
      </c>
      <c r="BR2188">
        <v>0.73</v>
      </c>
      <c r="BS2188">
        <v>-0.5</v>
      </c>
      <c r="BT2188">
        <v>-1.27</v>
      </c>
      <c r="BU2188">
        <v>-0.68</v>
      </c>
      <c r="BV2188">
        <v>-0.15</v>
      </c>
      <c r="BW2188">
        <v>-0.93</v>
      </c>
      <c r="BX2188">
        <v>-1.42</v>
      </c>
      <c r="BY2188">
        <v>0.04</v>
      </c>
      <c r="BZ2188">
        <v>-0.62</v>
      </c>
      <c r="CA2188">
        <v>-0.82</v>
      </c>
      <c r="CB2188">
        <v>-0.7</v>
      </c>
      <c r="CC2188">
        <v>-0.53</v>
      </c>
      <c r="CD2188">
        <v>-0.74</v>
      </c>
      <c r="CE2188">
        <v>-0.5</v>
      </c>
      <c r="CF2188">
        <v>-1.51</v>
      </c>
      <c r="CG2188">
        <v>0</v>
      </c>
      <c r="CH2188">
        <v>-0.15</v>
      </c>
      <c r="CI2188">
        <v>0</v>
      </c>
      <c r="CJ2188">
        <v>-7.5</v>
      </c>
      <c r="CK2188">
        <v>98</v>
      </c>
      <c r="CL2188">
        <v>-0.79</v>
      </c>
      <c r="CM2188">
        <v>98</v>
      </c>
      <c r="CN2188">
        <v>-0.27</v>
      </c>
      <c r="CO2188">
        <v>98</v>
      </c>
      <c r="CP2188">
        <v>-15.9</v>
      </c>
      <c r="CQ2188">
        <v>98</v>
      </c>
      <c r="CR2188">
        <v>0</v>
      </c>
      <c r="CS2188">
        <v>0</v>
      </c>
      <c r="CT2188">
        <v>-20.100000000000001</v>
      </c>
      <c r="CU2188">
        <v>97</v>
      </c>
      <c r="CV2188">
        <v>7.0000000000000007E-2</v>
      </c>
      <c r="CW2188">
        <v>46</v>
      </c>
      <c r="CX2188" t="s">
        <v>188</v>
      </c>
    </row>
    <row r="2189" spans="1:102" x14ac:dyDescent="0.3">
      <c r="A2189" t="str">
        <f>HYPERLINK("https://webapp.icbf.com/v2/app/bull-search/view/586163516","S1013")</f>
        <v>S1013</v>
      </c>
      <c r="B2189" t="s">
        <v>15590</v>
      </c>
      <c r="C2189" t="s">
        <v>10189</v>
      </c>
      <c r="D2189" s="1">
        <v>38343</v>
      </c>
      <c r="E2189" t="s">
        <v>146</v>
      </c>
      <c r="F2189">
        <v>9</v>
      </c>
      <c r="G2189" t="s">
        <v>109</v>
      </c>
      <c r="H2189">
        <v>58.27</v>
      </c>
      <c r="I2189">
        <v>67</v>
      </c>
      <c r="J2189">
        <v>22.57</v>
      </c>
      <c r="K2189">
        <v>74</v>
      </c>
      <c r="L2189">
        <v>3.53</v>
      </c>
      <c r="M2189">
        <v>58</v>
      </c>
      <c r="N2189">
        <v>19.27</v>
      </c>
      <c r="O2189">
        <v>74</v>
      </c>
      <c r="P2189">
        <v>-16.05</v>
      </c>
      <c r="Q2189">
        <v>87</v>
      </c>
      <c r="R2189">
        <v>6.68</v>
      </c>
      <c r="S2189">
        <v>60</v>
      </c>
      <c r="T2189">
        <v>26.18</v>
      </c>
      <c r="U2189">
        <v>55</v>
      </c>
      <c r="V2189">
        <v>-3.91</v>
      </c>
      <c r="W2189">
        <v>54</v>
      </c>
      <c r="X2189" t="s">
        <v>94</v>
      </c>
      <c r="Y2189" t="s">
        <v>303</v>
      </c>
      <c r="Z2189">
        <v>0</v>
      </c>
      <c r="AA2189" t="s">
        <v>306</v>
      </c>
      <c r="AB2189" t="s">
        <v>15591</v>
      </c>
      <c r="AC2189">
        <v>0</v>
      </c>
      <c r="AD2189">
        <v>0</v>
      </c>
      <c r="AE2189">
        <v>74</v>
      </c>
      <c r="AF2189">
        <v>-56.9</v>
      </c>
      <c r="AG2189">
        <v>0.53</v>
      </c>
      <c r="AH2189">
        <v>2.78</v>
      </c>
      <c r="AI2189">
        <v>0.05</v>
      </c>
      <c r="AJ2189">
        <v>0.08</v>
      </c>
      <c r="AK2189">
        <v>58</v>
      </c>
      <c r="AL2189">
        <v>0</v>
      </c>
      <c r="AM2189">
        <v>0</v>
      </c>
      <c r="AN2189">
        <v>0.47</v>
      </c>
      <c r="AO2189">
        <v>0.76</v>
      </c>
      <c r="AP2189">
        <v>77</v>
      </c>
      <c r="AQ2189">
        <v>1</v>
      </c>
      <c r="AR2189">
        <v>6.7</v>
      </c>
      <c r="AS2189">
        <v>54</v>
      </c>
      <c r="AT2189">
        <v>2.67</v>
      </c>
      <c r="AU2189">
        <v>71</v>
      </c>
      <c r="AV2189">
        <v>-1.83</v>
      </c>
      <c r="AW2189">
        <v>92</v>
      </c>
      <c r="AX2189">
        <v>0.19</v>
      </c>
      <c r="AY2189">
        <v>67</v>
      </c>
      <c r="AZ2189">
        <v>7.15</v>
      </c>
      <c r="BA2189">
        <v>47</v>
      </c>
      <c r="BB2189">
        <v>4.9400000000000004</v>
      </c>
      <c r="BC2189">
        <v>44</v>
      </c>
      <c r="BD2189">
        <v>-0.01</v>
      </c>
      <c r="BE2189">
        <v>-0.03</v>
      </c>
      <c r="BF2189">
        <v>-0.08</v>
      </c>
      <c r="BG2189">
        <v>77</v>
      </c>
      <c r="BH2189">
        <v>-0.3</v>
      </c>
      <c r="BI2189">
        <v>-22.1</v>
      </c>
      <c r="BJ2189">
        <v>0</v>
      </c>
      <c r="BK2189">
        <v>0</v>
      </c>
      <c r="BL2189">
        <v>-1.8</v>
      </c>
      <c r="BM2189">
        <v>0.59</v>
      </c>
      <c r="BN2189">
        <v>-1.91</v>
      </c>
      <c r="BO2189">
        <v>-2.2400000000000002</v>
      </c>
      <c r="BP2189">
        <v>4.12</v>
      </c>
      <c r="BQ2189">
        <v>-0.36</v>
      </c>
      <c r="BR2189">
        <v>-0.57999999999999996</v>
      </c>
      <c r="BS2189">
        <v>0.16</v>
      </c>
      <c r="BT2189">
        <v>-0.4</v>
      </c>
      <c r="BU2189">
        <v>-1</v>
      </c>
      <c r="BV2189">
        <v>-2.19</v>
      </c>
      <c r="BW2189">
        <v>-2.0699999999999998</v>
      </c>
      <c r="BX2189">
        <v>-1.01</v>
      </c>
      <c r="BY2189">
        <v>-0.34</v>
      </c>
      <c r="BZ2189">
        <v>-1.6</v>
      </c>
      <c r="CA2189">
        <v>-1.31</v>
      </c>
      <c r="CB2189">
        <v>-1.54</v>
      </c>
      <c r="CC2189">
        <v>-0.38</v>
      </c>
      <c r="CD2189">
        <v>1.41</v>
      </c>
      <c r="CE2189">
        <v>-1.97</v>
      </c>
      <c r="CF2189">
        <v>-1.31</v>
      </c>
      <c r="CG2189">
        <v>0</v>
      </c>
      <c r="CH2189">
        <v>-0.55000000000000004</v>
      </c>
      <c r="CI2189">
        <v>0</v>
      </c>
      <c r="CJ2189">
        <v>-11.2</v>
      </c>
      <c r="CK2189">
        <v>89</v>
      </c>
      <c r="CL2189">
        <v>-0.28000000000000003</v>
      </c>
      <c r="CM2189">
        <v>87</v>
      </c>
      <c r="CN2189">
        <v>-0.36</v>
      </c>
      <c r="CO2189">
        <v>86</v>
      </c>
      <c r="CP2189">
        <v>-12.8</v>
      </c>
      <c r="CQ2189">
        <v>72</v>
      </c>
      <c r="CR2189">
        <v>0</v>
      </c>
      <c r="CS2189">
        <v>0</v>
      </c>
      <c r="CT2189">
        <v>-21.6</v>
      </c>
      <c r="CU2189">
        <v>55</v>
      </c>
      <c r="CV2189">
        <v>-0.24</v>
      </c>
      <c r="CW2189">
        <v>25</v>
      </c>
      <c r="CX2189" t="s">
        <v>12335</v>
      </c>
    </row>
    <row r="2190" spans="1:102" x14ac:dyDescent="0.3">
      <c r="A2190" t="str">
        <f>HYPERLINK("https://webapp.icbf.com/v2/app/bull-search/view/714740527","S1356")</f>
        <v>S1356</v>
      </c>
      <c r="B2190" t="s">
        <v>3059</v>
      </c>
      <c r="C2190" t="s">
        <v>3060</v>
      </c>
      <c r="D2190" s="1">
        <v>38431</v>
      </c>
      <c r="E2190" t="s">
        <v>146</v>
      </c>
      <c r="F2190">
        <v>0</v>
      </c>
      <c r="G2190" t="s">
        <v>109</v>
      </c>
      <c r="H2190">
        <v>58.08</v>
      </c>
      <c r="I2190">
        <v>61</v>
      </c>
      <c r="J2190">
        <v>10.61</v>
      </c>
      <c r="K2190">
        <v>75</v>
      </c>
      <c r="L2190">
        <v>46.88</v>
      </c>
      <c r="M2190">
        <v>65</v>
      </c>
      <c r="N2190">
        <v>-27.47</v>
      </c>
      <c r="O2190">
        <v>53</v>
      </c>
      <c r="P2190">
        <v>18.39</v>
      </c>
      <c r="Q2190">
        <v>65</v>
      </c>
      <c r="R2190">
        <v>6.25</v>
      </c>
      <c r="S2190">
        <v>55</v>
      </c>
      <c r="T2190">
        <v>10.72</v>
      </c>
      <c r="U2190">
        <v>24</v>
      </c>
      <c r="V2190">
        <v>-7.3</v>
      </c>
      <c r="W2190">
        <v>7</v>
      </c>
      <c r="X2190" t="s">
        <v>102</v>
      </c>
      <c r="Y2190" t="s">
        <v>342</v>
      </c>
      <c r="Z2190">
        <v>0</v>
      </c>
      <c r="AA2190" t="s">
        <v>3061</v>
      </c>
      <c r="AB2190" t="s">
        <v>3062</v>
      </c>
      <c r="AC2190">
        <v>0</v>
      </c>
      <c r="AD2190">
        <v>0</v>
      </c>
      <c r="AE2190">
        <v>75</v>
      </c>
      <c r="AF2190">
        <v>-53.66</v>
      </c>
      <c r="AG2190">
        <v>-1.94</v>
      </c>
      <c r="AH2190">
        <v>1.67</v>
      </c>
      <c r="AI2190">
        <v>0</v>
      </c>
      <c r="AJ2190">
        <v>0.06</v>
      </c>
      <c r="AK2190">
        <v>65</v>
      </c>
      <c r="AL2190">
        <v>0</v>
      </c>
      <c r="AM2190">
        <v>0</v>
      </c>
      <c r="AN2190">
        <v>-3.22</v>
      </c>
      <c r="AO2190">
        <v>0.51</v>
      </c>
      <c r="AP2190">
        <v>18</v>
      </c>
      <c r="AQ2190">
        <v>0</v>
      </c>
      <c r="AR2190">
        <v>13.6</v>
      </c>
      <c r="AS2190">
        <v>34</v>
      </c>
      <c r="AT2190">
        <v>5.01</v>
      </c>
      <c r="AU2190">
        <v>72</v>
      </c>
      <c r="AV2190">
        <v>-1.41</v>
      </c>
      <c r="AW2190">
        <v>67</v>
      </c>
      <c r="AX2190">
        <v>0.26</v>
      </c>
      <c r="AY2190">
        <v>41</v>
      </c>
      <c r="AZ2190">
        <v>5.76</v>
      </c>
      <c r="BA2190">
        <v>6</v>
      </c>
      <c r="BB2190">
        <v>4.5199999999999996</v>
      </c>
      <c r="BC2190">
        <v>11</v>
      </c>
      <c r="BD2190">
        <v>-0.01</v>
      </c>
      <c r="BE2190">
        <v>-0.03</v>
      </c>
      <c r="BF2190">
        <v>-7.0000000000000007E-2</v>
      </c>
      <c r="BG2190">
        <v>84</v>
      </c>
      <c r="BH2190">
        <v>-0.13</v>
      </c>
      <c r="BI2190">
        <v>8.51</v>
      </c>
      <c r="BJ2190">
        <v>0</v>
      </c>
      <c r="BK2190">
        <v>0</v>
      </c>
      <c r="BL2190">
        <v>-1.53</v>
      </c>
      <c r="BM2190">
        <v>3.39</v>
      </c>
      <c r="BN2190">
        <v>-0.82</v>
      </c>
      <c r="BO2190">
        <v>-1.61</v>
      </c>
      <c r="BP2190">
        <v>2.52</v>
      </c>
      <c r="BQ2190">
        <v>0.76</v>
      </c>
      <c r="BR2190">
        <v>-2.46</v>
      </c>
      <c r="BS2190">
        <v>0.37</v>
      </c>
      <c r="BT2190">
        <v>1.18</v>
      </c>
      <c r="BU2190">
        <v>-1.5</v>
      </c>
      <c r="BV2190">
        <v>-2.21</v>
      </c>
      <c r="BW2190">
        <v>-2.72</v>
      </c>
      <c r="BX2190">
        <v>-1.6</v>
      </c>
      <c r="BY2190">
        <v>-1.38</v>
      </c>
      <c r="BZ2190">
        <v>0.72</v>
      </c>
      <c r="CA2190">
        <v>-1.55</v>
      </c>
      <c r="CB2190">
        <v>-1.74</v>
      </c>
      <c r="CC2190">
        <v>-0.46</v>
      </c>
      <c r="CD2190">
        <v>3.59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5.8</v>
      </c>
      <c r="CK2190">
        <v>69</v>
      </c>
      <c r="CL2190">
        <v>0.63</v>
      </c>
      <c r="CM2190">
        <v>66</v>
      </c>
      <c r="CN2190">
        <v>-0.35</v>
      </c>
      <c r="CO2190">
        <v>64</v>
      </c>
      <c r="CP2190">
        <v>-1.4</v>
      </c>
      <c r="CQ2190">
        <v>37</v>
      </c>
      <c r="CR2190">
        <v>0</v>
      </c>
      <c r="CS2190">
        <v>0</v>
      </c>
      <c r="CT2190">
        <v>-0.7</v>
      </c>
      <c r="CU2190">
        <v>24</v>
      </c>
      <c r="CV2190">
        <v>-0.22</v>
      </c>
      <c r="CW2190">
        <v>18</v>
      </c>
      <c r="CX2190" t="s">
        <v>942</v>
      </c>
    </row>
    <row r="2191" spans="1:102" x14ac:dyDescent="0.3">
      <c r="A2191" t="str">
        <f>HYPERLINK("https://webapp.icbf.com/v2/app/bull-search/view/587643407","SZH")</f>
        <v>SZH</v>
      </c>
      <c r="B2191" t="s">
        <v>10066</v>
      </c>
      <c r="C2191" t="s">
        <v>10067</v>
      </c>
      <c r="D2191" s="1">
        <v>38877</v>
      </c>
      <c r="E2191" t="s">
        <v>227</v>
      </c>
      <c r="F2191">
        <v>0</v>
      </c>
      <c r="G2191" t="s">
        <v>93</v>
      </c>
      <c r="H2191">
        <v>57.83</v>
      </c>
      <c r="I2191">
        <v>63</v>
      </c>
      <c r="J2191">
        <v>-2.56</v>
      </c>
      <c r="K2191">
        <v>86</v>
      </c>
      <c r="L2191">
        <v>22.21</v>
      </c>
      <c r="M2191">
        <v>42</v>
      </c>
      <c r="N2191">
        <v>42.32</v>
      </c>
      <c r="O2191">
        <v>60</v>
      </c>
      <c r="P2191">
        <v>-56.49</v>
      </c>
      <c r="Q2191">
        <v>72</v>
      </c>
      <c r="R2191">
        <v>-3</v>
      </c>
      <c r="S2191">
        <v>46</v>
      </c>
      <c r="T2191">
        <v>68.88</v>
      </c>
      <c r="U2191">
        <v>66</v>
      </c>
      <c r="V2191">
        <v>-13.53</v>
      </c>
      <c r="W2191">
        <v>43</v>
      </c>
      <c r="X2191" t="s">
        <v>251</v>
      </c>
      <c r="Y2191" t="s">
        <v>1923</v>
      </c>
      <c r="Z2191">
        <v>0</v>
      </c>
      <c r="AA2191" t="s">
        <v>1718</v>
      </c>
      <c r="AB2191" t="s">
        <v>10068</v>
      </c>
      <c r="AC2191">
        <v>25</v>
      </c>
      <c r="AD2191">
        <v>16</v>
      </c>
      <c r="AE2191">
        <v>86</v>
      </c>
      <c r="AF2191">
        <v>-554.95000000000005</v>
      </c>
      <c r="AG2191">
        <v>6.53</v>
      </c>
      <c r="AH2191">
        <v>-11.24</v>
      </c>
      <c r="AI2191">
        <v>0.51</v>
      </c>
      <c r="AJ2191">
        <v>0.14000000000000001</v>
      </c>
      <c r="AK2191">
        <v>42</v>
      </c>
      <c r="AL2191">
        <v>34</v>
      </c>
      <c r="AM2191">
        <v>18</v>
      </c>
      <c r="AN2191">
        <v>0.26</v>
      </c>
      <c r="AO2191">
        <v>2.0499999999999998</v>
      </c>
      <c r="AP2191">
        <v>33</v>
      </c>
      <c r="AQ2191">
        <v>0</v>
      </c>
      <c r="AR2191">
        <v>2.12</v>
      </c>
      <c r="AS2191">
        <v>43</v>
      </c>
      <c r="AT2191">
        <v>1.45</v>
      </c>
      <c r="AU2191">
        <v>46</v>
      </c>
      <c r="AV2191">
        <v>-3.19</v>
      </c>
      <c r="AW2191">
        <v>88</v>
      </c>
      <c r="AX2191">
        <v>-0.87</v>
      </c>
      <c r="AY2191">
        <v>59</v>
      </c>
      <c r="AZ2191">
        <v>7.64</v>
      </c>
      <c r="BA2191">
        <v>24</v>
      </c>
      <c r="BB2191">
        <v>5.99</v>
      </c>
      <c r="BC2191">
        <v>22</v>
      </c>
      <c r="BD2191">
        <v>-0.03</v>
      </c>
      <c r="BE2191">
        <v>0.01</v>
      </c>
      <c r="BF2191">
        <v>0.1</v>
      </c>
      <c r="BG2191">
        <v>58</v>
      </c>
      <c r="BH2191">
        <v>-0.32</v>
      </c>
      <c r="BI2191">
        <v>6.63</v>
      </c>
      <c r="BJ2191">
        <v>1</v>
      </c>
      <c r="BK2191">
        <v>1</v>
      </c>
      <c r="BL2191">
        <v>0.11</v>
      </c>
      <c r="BM2191">
        <v>-0.45</v>
      </c>
      <c r="BN2191">
        <v>0.45</v>
      </c>
      <c r="BO2191">
        <v>1.3</v>
      </c>
      <c r="BP2191">
        <v>-0.52</v>
      </c>
      <c r="BQ2191">
        <v>-1.92</v>
      </c>
      <c r="BR2191">
        <v>1.1299999999999999</v>
      </c>
      <c r="BS2191">
        <v>5.89</v>
      </c>
      <c r="BT2191">
        <v>-0.01</v>
      </c>
      <c r="BU2191">
        <v>1</v>
      </c>
      <c r="BV2191">
        <v>1.02</v>
      </c>
      <c r="BW2191">
        <v>-1.1599999999999999</v>
      </c>
      <c r="BX2191">
        <v>-1.42</v>
      </c>
      <c r="BY2191">
        <v>-0.3</v>
      </c>
      <c r="BZ2191">
        <v>1.31</v>
      </c>
      <c r="CA2191">
        <v>2.08</v>
      </c>
      <c r="CB2191">
        <v>0.99</v>
      </c>
      <c r="CC2191">
        <v>3.36</v>
      </c>
      <c r="CD2191">
        <v>-1.33</v>
      </c>
      <c r="CE2191">
        <v>1.45</v>
      </c>
      <c r="CF2191">
        <v>0.78</v>
      </c>
      <c r="CG2191">
        <v>0</v>
      </c>
      <c r="CH2191">
        <v>-0.77</v>
      </c>
      <c r="CI2191">
        <v>0</v>
      </c>
      <c r="CJ2191">
        <v>-32.299999999999997</v>
      </c>
      <c r="CK2191">
        <v>75</v>
      </c>
      <c r="CL2191">
        <v>-1.22</v>
      </c>
      <c r="CM2191">
        <v>70</v>
      </c>
      <c r="CN2191">
        <v>-0.67</v>
      </c>
      <c r="CO2191">
        <v>66</v>
      </c>
      <c r="CP2191">
        <v>-47.8</v>
      </c>
      <c r="CQ2191">
        <v>72</v>
      </c>
      <c r="CR2191">
        <v>0</v>
      </c>
      <c r="CS2191">
        <v>0</v>
      </c>
      <c r="CT2191">
        <v>-79.3</v>
      </c>
      <c r="CU2191">
        <v>66</v>
      </c>
      <c r="CV2191">
        <v>-0.43</v>
      </c>
      <c r="CW2191">
        <v>20</v>
      </c>
      <c r="CX2191" t="s">
        <v>3058</v>
      </c>
    </row>
    <row r="2192" spans="1:102" x14ac:dyDescent="0.3">
      <c r="A2192" t="str">
        <f>HYPERLINK("https://webapp.icbf.com/v2/app/bull-search/view/77853901","SLH")</f>
        <v>SLH</v>
      </c>
      <c r="B2192" t="s">
        <v>7415</v>
      </c>
      <c r="C2192" t="s">
        <v>7416</v>
      </c>
      <c r="D2192" s="1">
        <v>32568</v>
      </c>
      <c r="E2192" t="s">
        <v>92</v>
      </c>
      <c r="F2192">
        <v>100</v>
      </c>
      <c r="G2192" t="s">
        <v>109</v>
      </c>
      <c r="H2192">
        <v>57.62</v>
      </c>
      <c r="I2192">
        <v>73</v>
      </c>
      <c r="J2192">
        <v>-18.989999999999998</v>
      </c>
      <c r="K2192">
        <v>89</v>
      </c>
      <c r="L2192">
        <v>61.41</v>
      </c>
      <c r="M2192">
        <v>68</v>
      </c>
      <c r="N2192">
        <v>11.38</v>
      </c>
      <c r="O2192">
        <v>58</v>
      </c>
      <c r="P2192">
        <v>-13.22</v>
      </c>
      <c r="Q2192">
        <v>62</v>
      </c>
      <c r="R2192">
        <v>-14.09</v>
      </c>
      <c r="S2192">
        <v>68</v>
      </c>
      <c r="T2192">
        <v>36.25</v>
      </c>
      <c r="U2192">
        <v>62</v>
      </c>
      <c r="V2192">
        <v>-5.12</v>
      </c>
      <c r="W2192">
        <v>58</v>
      </c>
      <c r="X2192" t="s">
        <v>110</v>
      </c>
      <c r="Y2192" t="s">
        <v>95</v>
      </c>
      <c r="Z2192" t="s">
        <v>96</v>
      </c>
      <c r="AA2192" t="s">
        <v>638</v>
      </c>
      <c r="AB2192" t="s">
        <v>7417</v>
      </c>
      <c r="AC2192">
        <v>0</v>
      </c>
      <c r="AD2192">
        <v>0</v>
      </c>
      <c r="AE2192">
        <v>89</v>
      </c>
      <c r="AF2192">
        <v>-162.4</v>
      </c>
      <c r="AG2192">
        <v>-1.23</v>
      </c>
      <c r="AH2192">
        <v>-5.28</v>
      </c>
      <c r="AI2192">
        <v>0.09</v>
      </c>
      <c r="AJ2192">
        <v>0</v>
      </c>
      <c r="AK2192">
        <v>68</v>
      </c>
      <c r="AL2192">
        <v>0</v>
      </c>
      <c r="AM2192">
        <v>0</v>
      </c>
      <c r="AN2192">
        <v>-3.95</v>
      </c>
      <c r="AO2192">
        <v>0.94</v>
      </c>
      <c r="AP2192">
        <v>8</v>
      </c>
      <c r="AQ2192">
        <v>0</v>
      </c>
      <c r="AR2192">
        <v>7.13</v>
      </c>
      <c r="AS2192">
        <v>50</v>
      </c>
      <c r="AT2192">
        <v>3.05</v>
      </c>
      <c r="AU2192">
        <v>65</v>
      </c>
      <c r="AV2192">
        <v>-1.23</v>
      </c>
      <c r="AW2192">
        <v>61</v>
      </c>
      <c r="AX2192">
        <v>-0.36</v>
      </c>
      <c r="AY2192">
        <v>52</v>
      </c>
      <c r="AZ2192">
        <v>5.55</v>
      </c>
      <c r="BA2192">
        <v>42</v>
      </c>
      <c r="BB2192">
        <v>5.5</v>
      </c>
      <c r="BC2192">
        <v>48</v>
      </c>
      <c r="BD2192">
        <v>0.06</v>
      </c>
      <c r="BE2192">
        <v>0.06</v>
      </c>
      <c r="BF2192">
        <v>0.11</v>
      </c>
      <c r="BG2192">
        <v>79</v>
      </c>
      <c r="BH2192">
        <v>-0.06</v>
      </c>
      <c r="BI2192">
        <v>9.57</v>
      </c>
      <c r="BJ2192">
        <v>1</v>
      </c>
      <c r="BK2192">
        <v>1</v>
      </c>
      <c r="BL2192">
        <v>0.12</v>
      </c>
      <c r="BM2192">
        <v>-0.88</v>
      </c>
      <c r="BN2192">
        <v>0</v>
      </c>
      <c r="BO2192">
        <v>0.25</v>
      </c>
      <c r="BP2192">
        <v>0.24</v>
      </c>
      <c r="BQ2192">
        <v>-2.2599999999999998</v>
      </c>
      <c r="BR2192">
        <v>1.1299999999999999</v>
      </c>
      <c r="BS2192">
        <v>-1.44</v>
      </c>
      <c r="BT2192">
        <v>-0.49</v>
      </c>
      <c r="BU2192">
        <v>-1.0900000000000001</v>
      </c>
      <c r="BV2192">
        <v>-1.55</v>
      </c>
      <c r="BW2192">
        <v>-1.22</v>
      </c>
      <c r="BX2192">
        <v>0.03</v>
      </c>
      <c r="BY2192">
        <v>-2.02</v>
      </c>
      <c r="BZ2192">
        <v>2.12</v>
      </c>
      <c r="CA2192">
        <v>-1.03</v>
      </c>
      <c r="CB2192">
        <v>-1</v>
      </c>
      <c r="CC2192">
        <v>-0.64</v>
      </c>
      <c r="CD2192">
        <v>-0.53</v>
      </c>
      <c r="CE2192">
        <v>0.3</v>
      </c>
      <c r="CF2192">
        <v>-0.14000000000000001</v>
      </c>
      <c r="CG2192">
        <v>0</v>
      </c>
      <c r="CH2192">
        <v>-2.08</v>
      </c>
      <c r="CI2192">
        <v>0</v>
      </c>
      <c r="CJ2192">
        <v>-7.2</v>
      </c>
      <c r="CK2192">
        <v>63</v>
      </c>
      <c r="CL2192">
        <v>-0.35</v>
      </c>
      <c r="CM2192">
        <v>60</v>
      </c>
      <c r="CN2192">
        <v>-0.22</v>
      </c>
      <c r="CO2192">
        <v>58</v>
      </c>
      <c r="CP2192">
        <v>-15</v>
      </c>
      <c r="CQ2192">
        <v>62</v>
      </c>
      <c r="CR2192">
        <v>0</v>
      </c>
      <c r="CS2192">
        <v>0</v>
      </c>
      <c r="CT2192">
        <v>-35.200000000000003</v>
      </c>
      <c r="CU2192">
        <v>62</v>
      </c>
      <c r="CV2192">
        <v>-0.13</v>
      </c>
      <c r="CW2192">
        <v>38</v>
      </c>
      <c r="CX2192" t="s">
        <v>617</v>
      </c>
    </row>
    <row r="2193" spans="1:102" x14ac:dyDescent="0.3">
      <c r="A2193" t="str">
        <f>HYPERLINK("https://webapp.icbf.com/v2/app/bull-search/view/1250554000","FR4002")</f>
        <v>FR4002</v>
      </c>
      <c r="B2193" t="s">
        <v>10265</v>
      </c>
      <c r="C2193" t="s">
        <v>10266</v>
      </c>
      <c r="D2193" s="1">
        <v>42048</v>
      </c>
      <c r="E2193" t="s">
        <v>108</v>
      </c>
      <c r="F2193">
        <v>3</v>
      </c>
      <c r="G2193" t="s">
        <v>435</v>
      </c>
      <c r="H2193">
        <v>57.49</v>
      </c>
      <c r="I2193">
        <v>64</v>
      </c>
      <c r="J2193">
        <v>18.309999999999999</v>
      </c>
      <c r="K2193">
        <v>81</v>
      </c>
      <c r="L2193">
        <v>37.03</v>
      </c>
      <c r="M2193">
        <v>57</v>
      </c>
      <c r="N2193">
        <v>10.050000000000001</v>
      </c>
      <c r="O2193">
        <v>59</v>
      </c>
      <c r="P2193">
        <v>-9</v>
      </c>
      <c r="Q2193">
        <v>50</v>
      </c>
      <c r="R2193">
        <v>-4.54</v>
      </c>
      <c r="S2193">
        <v>57</v>
      </c>
      <c r="T2193">
        <v>9.24</v>
      </c>
      <c r="U2193">
        <v>47</v>
      </c>
      <c r="V2193">
        <v>-3.6</v>
      </c>
      <c r="W2193">
        <v>52</v>
      </c>
      <c r="X2193" t="s">
        <v>6363</v>
      </c>
      <c r="Y2193" t="s">
        <v>436</v>
      </c>
      <c r="Z2193" t="s">
        <v>96</v>
      </c>
      <c r="AA2193" t="s">
        <v>10267</v>
      </c>
      <c r="AB2193" t="s">
        <v>10268</v>
      </c>
      <c r="AC2193">
        <v>0</v>
      </c>
      <c r="AD2193">
        <v>0</v>
      </c>
      <c r="AE2193">
        <v>81</v>
      </c>
      <c r="AF2193">
        <v>-71.31</v>
      </c>
      <c r="AG2193">
        <v>4.67</v>
      </c>
      <c r="AH2193">
        <v>0.37</v>
      </c>
      <c r="AI2193">
        <v>0.13</v>
      </c>
      <c r="AJ2193">
        <v>0.05</v>
      </c>
      <c r="AK2193">
        <v>57</v>
      </c>
      <c r="AL2193">
        <v>0</v>
      </c>
      <c r="AM2193">
        <v>0</v>
      </c>
      <c r="AN2193">
        <v>-2.2599999999999998</v>
      </c>
      <c r="AO2193">
        <v>0.69</v>
      </c>
      <c r="AP2193">
        <v>20</v>
      </c>
      <c r="AQ2193">
        <v>0</v>
      </c>
      <c r="AR2193">
        <v>8.2200000000000006</v>
      </c>
      <c r="AS2193">
        <v>50</v>
      </c>
      <c r="AT2193">
        <v>3.03</v>
      </c>
      <c r="AU2193">
        <v>62</v>
      </c>
      <c r="AV2193">
        <v>-0.86</v>
      </c>
      <c r="AW2193">
        <v>68</v>
      </c>
      <c r="AX2193">
        <v>-0.61</v>
      </c>
      <c r="AY2193">
        <v>56</v>
      </c>
      <c r="AZ2193">
        <v>6.27</v>
      </c>
      <c r="BA2193">
        <v>40</v>
      </c>
      <c r="BB2193">
        <v>4.55</v>
      </c>
      <c r="BC2193">
        <v>40</v>
      </c>
      <c r="BD2193">
        <v>0.02</v>
      </c>
      <c r="BE2193">
        <v>-0.01</v>
      </c>
      <c r="BF2193">
        <v>0.09</v>
      </c>
      <c r="BG2193">
        <v>64</v>
      </c>
      <c r="BH2193">
        <v>-0.12</v>
      </c>
      <c r="BI2193">
        <v>-2.2799999999999998</v>
      </c>
      <c r="BJ2193">
        <v>0</v>
      </c>
      <c r="BK2193">
        <v>0</v>
      </c>
      <c r="BL2193">
        <v>-3.26</v>
      </c>
      <c r="BM2193">
        <v>2.37</v>
      </c>
      <c r="BN2193">
        <v>-1.29</v>
      </c>
      <c r="BO2193">
        <v>-2.59</v>
      </c>
      <c r="BP2193">
        <v>1.54</v>
      </c>
      <c r="BQ2193">
        <v>2.36</v>
      </c>
      <c r="BR2193">
        <v>-1.73</v>
      </c>
      <c r="BS2193">
        <v>1.19</v>
      </c>
      <c r="BT2193">
        <v>0.51</v>
      </c>
      <c r="BU2193">
        <v>-1.53</v>
      </c>
      <c r="BV2193">
        <v>-2.46</v>
      </c>
      <c r="BW2193">
        <v>-2.08</v>
      </c>
      <c r="BX2193">
        <v>-0.94</v>
      </c>
      <c r="BY2193">
        <v>-1.02</v>
      </c>
      <c r="BZ2193">
        <v>-2.02</v>
      </c>
      <c r="CA2193">
        <v>-1.46</v>
      </c>
      <c r="CB2193">
        <v>-1.4</v>
      </c>
      <c r="CC2193">
        <v>-0.74</v>
      </c>
      <c r="CD2193">
        <v>2.59</v>
      </c>
      <c r="CE2193">
        <v>-2.57</v>
      </c>
      <c r="CF2193">
        <v>-1.3</v>
      </c>
      <c r="CG2193">
        <v>0</v>
      </c>
      <c r="CH2193">
        <v>-0.55000000000000004</v>
      </c>
      <c r="CI2193">
        <v>0</v>
      </c>
      <c r="CJ2193">
        <v>-3.8</v>
      </c>
      <c r="CK2193">
        <v>51</v>
      </c>
      <c r="CL2193">
        <v>-0.28999999999999998</v>
      </c>
      <c r="CM2193">
        <v>51</v>
      </c>
      <c r="CN2193">
        <v>0.01</v>
      </c>
      <c r="CO2193">
        <v>49</v>
      </c>
      <c r="CP2193">
        <v>-4.3</v>
      </c>
      <c r="CQ2193">
        <v>48</v>
      </c>
      <c r="CR2193">
        <v>0</v>
      </c>
      <c r="CS2193">
        <v>0</v>
      </c>
      <c r="CT2193">
        <v>1.3</v>
      </c>
      <c r="CU2193">
        <v>47</v>
      </c>
      <c r="CV2193">
        <v>7.0000000000000007E-2</v>
      </c>
      <c r="CW2193">
        <v>36</v>
      </c>
      <c r="CX2193" t="s">
        <v>4792</v>
      </c>
    </row>
    <row r="2194" spans="1:102" x14ac:dyDescent="0.3">
      <c r="A2194" t="str">
        <f>HYPERLINK("https://webapp.icbf.com/v2/app/bull-search/view/451042073","TZP")</f>
        <v>TZP</v>
      </c>
      <c r="B2194" t="s">
        <v>8802</v>
      </c>
      <c r="C2194" t="s">
        <v>8803</v>
      </c>
      <c r="D2194" s="1">
        <v>38777</v>
      </c>
      <c r="E2194" t="s">
        <v>92</v>
      </c>
      <c r="F2194">
        <v>94</v>
      </c>
      <c r="G2194" t="s">
        <v>116</v>
      </c>
      <c r="H2194">
        <v>57.47</v>
      </c>
      <c r="I2194">
        <v>41</v>
      </c>
      <c r="J2194">
        <v>45.27</v>
      </c>
      <c r="K2194">
        <v>46</v>
      </c>
      <c r="L2194">
        <v>6.19</v>
      </c>
      <c r="M2194">
        <v>32</v>
      </c>
      <c r="N2194">
        <v>4.5199999999999996</v>
      </c>
      <c r="O2194">
        <v>44</v>
      </c>
      <c r="P2194">
        <v>-6.69</v>
      </c>
      <c r="Q2194">
        <v>61</v>
      </c>
      <c r="R2194">
        <v>1.45</v>
      </c>
      <c r="S2194">
        <v>35</v>
      </c>
      <c r="T2194">
        <v>12.64</v>
      </c>
      <c r="U2194">
        <v>38</v>
      </c>
      <c r="V2194">
        <v>-5.91</v>
      </c>
      <c r="W2194">
        <v>32</v>
      </c>
      <c r="X2194" t="s">
        <v>94</v>
      </c>
      <c r="Y2194" t="s">
        <v>1251</v>
      </c>
      <c r="Z2194" t="s">
        <v>96</v>
      </c>
      <c r="AA2194" t="s">
        <v>3445</v>
      </c>
      <c r="AB2194" t="s">
        <v>8804</v>
      </c>
      <c r="AC2194">
        <v>0</v>
      </c>
      <c r="AD2194">
        <v>0</v>
      </c>
      <c r="AE2194">
        <v>46</v>
      </c>
      <c r="AF2194">
        <v>-48.48</v>
      </c>
      <c r="AG2194">
        <v>12.26</v>
      </c>
      <c r="AH2194">
        <v>2.62</v>
      </c>
      <c r="AI2194">
        <v>0.25</v>
      </c>
      <c r="AJ2194">
        <v>0.08</v>
      </c>
      <c r="AK2194">
        <v>32</v>
      </c>
      <c r="AL2194">
        <v>0</v>
      </c>
      <c r="AM2194">
        <v>0</v>
      </c>
      <c r="AN2194">
        <v>0.13</v>
      </c>
      <c r="AO2194">
        <v>0.63</v>
      </c>
      <c r="AP2194">
        <v>12</v>
      </c>
      <c r="AQ2194">
        <v>0</v>
      </c>
      <c r="AR2194">
        <v>7.21</v>
      </c>
      <c r="AS2194">
        <v>32</v>
      </c>
      <c r="AT2194">
        <v>3.01</v>
      </c>
      <c r="AU2194">
        <v>42</v>
      </c>
      <c r="AV2194">
        <v>-0.71</v>
      </c>
      <c r="AW2194">
        <v>55</v>
      </c>
      <c r="AX2194">
        <v>-0.18</v>
      </c>
      <c r="AY2194">
        <v>40</v>
      </c>
      <c r="AZ2194">
        <v>7.31</v>
      </c>
      <c r="BA2194">
        <v>31</v>
      </c>
      <c r="BB2194">
        <v>5.43</v>
      </c>
      <c r="BC2194">
        <v>30</v>
      </c>
      <c r="BD2194">
        <v>-0.02</v>
      </c>
      <c r="BE2194">
        <v>0</v>
      </c>
      <c r="BF2194">
        <v>0</v>
      </c>
      <c r="BG2194">
        <v>37</v>
      </c>
      <c r="BH2194">
        <v>-0.1</v>
      </c>
      <c r="BI2194">
        <v>7.51</v>
      </c>
      <c r="BJ2194">
        <v>0</v>
      </c>
      <c r="BK2194">
        <v>0</v>
      </c>
      <c r="BL2194">
        <v>-0.04</v>
      </c>
      <c r="BM2194">
        <v>-0.26</v>
      </c>
      <c r="BN2194">
        <v>-0.53</v>
      </c>
      <c r="BO2194">
        <v>-0.25</v>
      </c>
      <c r="BP2194">
        <v>-0.39</v>
      </c>
      <c r="BQ2194">
        <v>-1</v>
      </c>
      <c r="BR2194">
        <v>0.72</v>
      </c>
      <c r="BS2194">
        <v>-0.68</v>
      </c>
      <c r="BT2194">
        <v>-1.06</v>
      </c>
      <c r="BU2194">
        <v>-0.57999999999999996</v>
      </c>
      <c r="BV2194">
        <v>-0.55000000000000004</v>
      </c>
      <c r="BW2194">
        <v>-0.63</v>
      </c>
      <c r="BX2194">
        <v>-0.33</v>
      </c>
      <c r="BY2194">
        <v>-0.08</v>
      </c>
      <c r="BZ2194">
        <v>-0.71</v>
      </c>
      <c r="CA2194">
        <v>-0.52</v>
      </c>
      <c r="CB2194">
        <v>-0.57999999999999996</v>
      </c>
      <c r="CC2194">
        <v>-0.23</v>
      </c>
      <c r="CD2194">
        <v>-0.17</v>
      </c>
      <c r="CE2194">
        <v>-0.33</v>
      </c>
      <c r="CF2194">
        <v>-0.61</v>
      </c>
      <c r="CG2194">
        <v>0</v>
      </c>
      <c r="CH2194">
        <v>-0.15</v>
      </c>
      <c r="CI2194">
        <v>0</v>
      </c>
      <c r="CJ2194">
        <v>1.6</v>
      </c>
      <c r="CK2194">
        <v>65</v>
      </c>
      <c r="CL2194">
        <v>-0.77</v>
      </c>
      <c r="CM2194">
        <v>60</v>
      </c>
      <c r="CN2194">
        <v>0.03</v>
      </c>
      <c r="CO2194">
        <v>58</v>
      </c>
      <c r="CP2194">
        <v>-4</v>
      </c>
      <c r="CQ2194">
        <v>43</v>
      </c>
      <c r="CR2194">
        <v>0</v>
      </c>
      <c r="CS2194">
        <v>0</v>
      </c>
      <c r="CT2194">
        <v>-3.3</v>
      </c>
      <c r="CU2194">
        <v>38</v>
      </c>
      <c r="CV2194">
        <v>0.28000000000000003</v>
      </c>
      <c r="CW2194">
        <v>18</v>
      </c>
      <c r="CX2194" t="s">
        <v>1254</v>
      </c>
    </row>
    <row r="2195" spans="1:102" x14ac:dyDescent="0.3">
      <c r="A2195" t="str">
        <f>HYPERLINK("https://webapp.icbf.com/v2/app/bull-search/view/586163624","LBQ")</f>
        <v>LBQ</v>
      </c>
      <c r="B2195" t="s">
        <v>14767</v>
      </c>
      <c r="C2195" t="s">
        <v>14768</v>
      </c>
      <c r="D2195" s="1">
        <v>37950</v>
      </c>
      <c r="E2195" t="s">
        <v>92</v>
      </c>
      <c r="F2195">
        <v>100</v>
      </c>
      <c r="G2195" t="s">
        <v>93</v>
      </c>
      <c r="H2195">
        <v>57.43</v>
      </c>
      <c r="I2195">
        <v>96</v>
      </c>
      <c r="J2195">
        <v>39.11</v>
      </c>
      <c r="K2195">
        <v>99</v>
      </c>
      <c r="L2195">
        <v>-25.9</v>
      </c>
      <c r="M2195">
        <v>93</v>
      </c>
      <c r="N2195">
        <v>36.08</v>
      </c>
      <c r="O2195">
        <v>97</v>
      </c>
      <c r="P2195">
        <v>1.01</v>
      </c>
      <c r="Q2195">
        <v>99</v>
      </c>
      <c r="R2195">
        <v>3.73</v>
      </c>
      <c r="S2195">
        <v>92</v>
      </c>
      <c r="T2195">
        <v>6.72</v>
      </c>
      <c r="U2195">
        <v>98</v>
      </c>
      <c r="V2195">
        <v>-3.32</v>
      </c>
      <c r="W2195">
        <v>92</v>
      </c>
      <c r="X2195" t="s">
        <v>276</v>
      </c>
      <c r="Y2195" t="s">
        <v>235</v>
      </c>
      <c r="Z2195" t="s">
        <v>96</v>
      </c>
      <c r="AA2195" t="s">
        <v>283</v>
      </c>
      <c r="AB2195" t="s">
        <v>14769</v>
      </c>
      <c r="AC2195">
        <v>819</v>
      </c>
      <c r="AD2195">
        <v>301</v>
      </c>
      <c r="AE2195">
        <v>99</v>
      </c>
      <c r="AF2195">
        <v>120.52</v>
      </c>
      <c r="AG2195">
        <v>12.71</v>
      </c>
      <c r="AH2195">
        <v>4</v>
      </c>
      <c r="AI2195">
        <v>0.14000000000000001</v>
      </c>
      <c r="AJ2195">
        <v>0</v>
      </c>
      <c r="AK2195">
        <v>93</v>
      </c>
      <c r="AL2195">
        <v>877</v>
      </c>
      <c r="AM2195">
        <v>355</v>
      </c>
      <c r="AN2195">
        <v>1.0900000000000001</v>
      </c>
      <c r="AO2195">
        <v>-0.98</v>
      </c>
      <c r="AP2195">
        <v>1245</v>
      </c>
      <c r="AQ2195">
        <v>3</v>
      </c>
      <c r="AR2195">
        <v>6.8</v>
      </c>
      <c r="AS2195">
        <v>95</v>
      </c>
      <c r="AT2195">
        <v>3.19</v>
      </c>
      <c r="AU2195">
        <v>97</v>
      </c>
      <c r="AV2195">
        <v>-4.05</v>
      </c>
      <c r="AW2195">
        <v>99</v>
      </c>
      <c r="AX2195">
        <v>-0.42</v>
      </c>
      <c r="AY2195">
        <v>97</v>
      </c>
      <c r="AZ2195">
        <v>6.01</v>
      </c>
      <c r="BA2195">
        <v>90</v>
      </c>
      <c r="BB2195">
        <v>4.8499999999999996</v>
      </c>
      <c r="BC2195">
        <v>91</v>
      </c>
      <c r="BD2195">
        <v>-0.04</v>
      </c>
      <c r="BE2195">
        <v>-0.01</v>
      </c>
      <c r="BF2195">
        <v>0</v>
      </c>
      <c r="BG2195">
        <v>98</v>
      </c>
      <c r="BH2195">
        <v>-0.27</v>
      </c>
      <c r="BI2195">
        <v>-20.52</v>
      </c>
      <c r="BJ2195">
        <v>55</v>
      </c>
      <c r="BK2195">
        <v>24</v>
      </c>
      <c r="BL2195">
        <v>0.18</v>
      </c>
      <c r="BM2195">
        <v>-0.52</v>
      </c>
      <c r="BN2195">
        <v>-0.76</v>
      </c>
      <c r="BO2195">
        <v>-0.04</v>
      </c>
      <c r="BP2195">
        <v>1.55</v>
      </c>
      <c r="BQ2195">
        <v>0.65</v>
      </c>
      <c r="BR2195">
        <v>0</v>
      </c>
      <c r="BS2195">
        <v>-1.08</v>
      </c>
      <c r="BT2195">
        <v>-0.01</v>
      </c>
      <c r="BU2195">
        <v>-0.37</v>
      </c>
      <c r="BV2195">
        <v>-0.62</v>
      </c>
      <c r="BW2195">
        <v>-0.14000000000000001</v>
      </c>
      <c r="BX2195">
        <v>-0.28999999999999998</v>
      </c>
      <c r="BY2195">
        <v>-0.11</v>
      </c>
      <c r="BZ2195">
        <v>0.78</v>
      </c>
      <c r="CA2195">
        <v>-0.45</v>
      </c>
      <c r="CB2195">
        <v>-0.16</v>
      </c>
      <c r="CC2195">
        <v>-0.74</v>
      </c>
      <c r="CD2195">
        <v>-0.37</v>
      </c>
      <c r="CE2195">
        <v>0.51</v>
      </c>
      <c r="CF2195">
        <v>0.02</v>
      </c>
      <c r="CG2195">
        <v>0</v>
      </c>
      <c r="CH2195">
        <v>-0.01</v>
      </c>
      <c r="CI2195">
        <v>0</v>
      </c>
      <c r="CJ2195">
        <v>0.7</v>
      </c>
      <c r="CK2195">
        <v>99</v>
      </c>
      <c r="CL2195">
        <v>-0.75</v>
      </c>
      <c r="CM2195">
        <v>99</v>
      </c>
      <c r="CN2195">
        <v>-0.67</v>
      </c>
      <c r="CO2195">
        <v>99</v>
      </c>
      <c r="CP2195">
        <v>-0.4</v>
      </c>
      <c r="CQ2195">
        <v>98</v>
      </c>
      <c r="CR2195">
        <v>0</v>
      </c>
      <c r="CS2195">
        <v>0</v>
      </c>
      <c r="CT2195">
        <v>4.7</v>
      </c>
      <c r="CU2195">
        <v>98</v>
      </c>
      <c r="CV2195">
        <v>0.13</v>
      </c>
      <c r="CW2195">
        <v>47</v>
      </c>
      <c r="CX2195" t="s">
        <v>3310</v>
      </c>
    </row>
    <row r="2196" spans="1:102" x14ac:dyDescent="0.3">
      <c r="A2196" t="str">
        <f>HYPERLINK("https://webapp.icbf.com/v2/app/bull-search/view/1097414038","S1669")</f>
        <v>S1669</v>
      </c>
      <c r="B2196" t="s">
        <v>5938</v>
      </c>
      <c r="C2196" t="s">
        <v>5939</v>
      </c>
      <c r="D2196" s="1">
        <v>40731</v>
      </c>
      <c r="E2196" t="s">
        <v>92</v>
      </c>
      <c r="F2196">
        <v>100</v>
      </c>
      <c r="G2196" t="s">
        <v>109</v>
      </c>
      <c r="H2196">
        <v>57.42</v>
      </c>
      <c r="I2196">
        <v>71</v>
      </c>
      <c r="J2196">
        <v>79.08</v>
      </c>
      <c r="K2196">
        <v>85</v>
      </c>
      <c r="L2196">
        <v>-46.75</v>
      </c>
      <c r="M2196">
        <v>81</v>
      </c>
      <c r="N2196">
        <v>11.42</v>
      </c>
      <c r="O2196">
        <v>55</v>
      </c>
      <c r="P2196">
        <v>2.19</v>
      </c>
      <c r="Q2196">
        <v>53</v>
      </c>
      <c r="R2196">
        <v>10.02</v>
      </c>
      <c r="S2196">
        <v>60</v>
      </c>
      <c r="T2196">
        <v>-0.31</v>
      </c>
      <c r="U2196">
        <v>37</v>
      </c>
      <c r="V2196">
        <v>1.77</v>
      </c>
      <c r="W2196">
        <v>20</v>
      </c>
      <c r="X2196" t="s">
        <v>234</v>
      </c>
      <c r="Y2196" t="s">
        <v>362</v>
      </c>
      <c r="Z2196" t="s">
        <v>96</v>
      </c>
      <c r="AA2196" t="s">
        <v>5940</v>
      </c>
      <c r="AB2196" t="s">
        <v>5941</v>
      </c>
      <c r="AC2196">
        <v>0</v>
      </c>
      <c r="AD2196">
        <v>0</v>
      </c>
      <c r="AE2196">
        <v>85</v>
      </c>
      <c r="AF2196">
        <v>674.38</v>
      </c>
      <c r="AG2196">
        <v>14.9</v>
      </c>
      <c r="AH2196">
        <v>18.5</v>
      </c>
      <c r="AI2196">
        <v>-0.17</v>
      </c>
      <c r="AJ2196">
        <v>-7.0000000000000007E-2</v>
      </c>
      <c r="AK2196">
        <v>81</v>
      </c>
      <c r="AL2196">
        <v>0</v>
      </c>
      <c r="AM2196">
        <v>0</v>
      </c>
      <c r="AN2196">
        <v>3.99</v>
      </c>
      <c r="AO2196">
        <v>0.28000000000000003</v>
      </c>
      <c r="AP2196">
        <v>7</v>
      </c>
      <c r="AQ2196">
        <v>0</v>
      </c>
      <c r="AR2196">
        <v>8.52</v>
      </c>
      <c r="AS2196">
        <v>34</v>
      </c>
      <c r="AT2196">
        <v>3.9</v>
      </c>
      <c r="AU2196">
        <v>94</v>
      </c>
      <c r="AV2196">
        <v>-2.13</v>
      </c>
      <c r="AW2196">
        <v>54</v>
      </c>
      <c r="AX2196">
        <v>-0.01</v>
      </c>
      <c r="AY2196">
        <v>44</v>
      </c>
      <c r="AZ2196">
        <v>5.41</v>
      </c>
      <c r="BA2196">
        <v>21</v>
      </c>
      <c r="BB2196">
        <v>4.37</v>
      </c>
      <c r="BC2196">
        <v>18</v>
      </c>
      <c r="BD2196">
        <v>-0.02</v>
      </c>
      <c r="BE2196">
        <v>-0.03</v>
      </c>
      <c r="BF2196">
        <v>-0.14000000000000001</v>
      </c>
      <c r="BG2196">
        <v>90</v>
      </c>
      <c r="BH2196">
        <v>-7.0000000000000007E-2</v>
      </c>
      <c r="BI2196">
        <v>-13.81</v>
      </c>
      <c r="BJ2196">
        <v>6</v>
      </c>
      <c r="BK2196">
        <v>3</v>
      </c>
      <c r="BL2196">
        <v>1.71</v>
      </c>
      <c r="BM2196">
        <v>1.0900000000000001</v>
      </c>
      <c r="BN2196">
        <v>1.28</v>
      </c>
      <c r="BO2196">
        <v>0.68</v>
      </c>
      <c r="BP2196">
        <v>-1.75</v>
      </c>
      <c r="BQ2196">
        <v>0.96</v>
      </c>
      <c r="BR2196">
        <v>-0.01</v>
      </c>
      <c r="BS2196">
        <v>0.75</v>
      </c>
      <c r="BT2196">
        <v>0.8</v>
      </c>
      <c r="BU2196">
        <v>2.46</v>
      </c>
      <c r="BV2196">
        <v>2.02</v>
      </c>
      <c r="BW2196">
        <v>1.24</v>
      </c>
      <c r="BX2196">
        <v>1.93</v>
      </c>
      <c r="BY2196">
        <v>1.1200000000000001</v>
      </c>
      <c r="BZ2196">
        <v>1.36</v>
      </c>
      <c r="CA2196">
        <v>1.83</v>
      </c>
      <c r="CB2196">
        <v>1.66</v>
      </c>
      <c r="CC2196">
        <v>1.3</v>
      </c>
      <c r="CD2196">
        <v>0.27</v>
      </c>
      <c r="CE2196">
        <v>0.59</v>
      </c>
      <c r="CF2196">
        <v>1.21</v>
      </c>
      <c r="CG2196">
        <v>0</v>
      </c>
      <c r="CH2196">
        <v>1.43</v>
      </c>
      <c r="CI2196">
        <v>0</v>
      </c>
      <c r="CJ2196">
        <v>3.9</v>
      </c>
      <c r="CK2196">
        <v>56</v>
      </c>
      <c r="CL2196">
        <v>-1.1599999999999999</v>
      </c>
      <c r="CM2196">
        <v>51</v>
      </c>
      <c r="CN2196">
        <v>-0.67</v>
      </c>
      <c r="CO2196">
        <v>49</v>
      </c>
      <c r="CP2196">
        <v>6.2</v>
      </c>
      <c r="CQ2196">
        <v>43</v>
      </c>
      <c r="CR2196">
        <v>0</v>
      </c>
      <c r="CS2196">
        <v>0</v>
      </c>
      <c r="CT2196">
        <v>14.2</v>
      </c>
      <c r="CU2196">
        <v>37</v>
      </c>
      <c r="CV2196">
        <v>0.38</v>
      </c>
      <c r="CW2196">
        <v>15</v>
      </c>
      <c r="CX2196" t="s">
        <v>5942</v>
      </c>
    </row>
    <row r="2197" spans="1:102" x14ac:dyDescent="0.3">
      <c r="A2197" t="str">
        <f>HYPERLINK("https://webapp.icbf.com/v2/app/bull-search/view/720504345","S1214")</f>
        <v>S1214</v>
      </c>
      <c r="B2197" t="s">
        <v>12997</v>
      </c>
      <c r="C2197" t="s">
        <v>12998</v>
      </c>
      <c r="D2197" s="1">
        <v>38616</v>
      </c>
      <c r="E2197" t="s">
        <v>227</v>
      </c>
      <c r="F2197">
        <v>0</v>
      </c>
      <c r="G2197" t="s">
        <v>109</v>
      </c>
      <c r="H2197">
        <v>57.34</v>
      </c>
      <c r="I2197">
        <v>80</v>
      </c>
      <c r="J2197">
        <v>32.700000000000003</v>
      </c>
      <c r="K2197">
        <v>94</v>
      </c>
      <c r="L2197">
        <v>-20.76</v>
      </c>
      <c r="M2197">
        <v>87</v>
      </c>
      <c r="N2197">
        <v>29.89</v>
      </c>
      <c r="O2197">
        <v>67</v>
      </c>
      <c r="P2197">
        <v>-49.69</v>
      </c>
      <c r="Q2197">
        <v>58</v>
      </c>
      <c r="R2197">
        <v>-2.13</v>
      </c>
      <c r="S2197">
        <v>68</v>
      </c>
      <c r="T2197">
        <v>60.59</v>
      </c>
      <c r="U2197">
        <v>45</v>
      </c>
      <c r="V2197">
        <v>6.74</v>
      </c>
      <c r="W2197">
        <v>62</v>
      </c>
      <c r="X2197" t="s">
        <v>276</v>
      </c>
      <c r="Y2197" t="s">
        <v>336</v>
      </c>
      <c r="Z2197">
        <v>0</v>
      </c>
      <c r="AA2197" t="s">
        <v>7289</v>
      </c>
      <c r="AB2197" t="s">
        <v>12999</v>
      </c>
      <c r="AC2197">
        <v>0</v>
      </c>
      <c r="AD2197">
        <v>0</v>
      </c>
      <c r="AE2197">
        <v>94</v>
      </c>
      <c r="AF2197">
        <v>-289.3</v>
      </c>
      <c r="AG2197">
        <v>13.24</v>
      </c>
      <c r="AH2197">
        <v>-3.55</v>
      </c>
      <c r="AI2197">
        <v>0.45</v>
      </c>
      <c r="AJ2197">
        <v>0.12</v>
      </c>
      <c r="AK2197">
        <v>87</v>
      </c>
      <c r="AL2197">
        <v>0</v>
      </c>
      <c r="AM2197">
        <v>0</v>
      </c>
      <c r="AN2197">
        <v>3.11</v>
      </c>
      <c r="AO2197">
        <v>1.48</v>
      </c>
      <c r="AP2197">
        <v>24</v>
      </c>
      <c r="AQ2197">
        <v>3</v>
      </c>
      <c r="AR2197">
        <v>2.4300000000000002</v>
      </c>
      <c r="AS2197">
        <v>59</v>
      </c>
      <c r="AT2197">
        <v>1.31</v>
      </c>
      <c r="AU2197">
        <v>63</v>
      </c>
      <c r="AV2197">
        <v>-1.29</v>
      </c>
      <c r="AW2197">
        <v>83</v>
      </c>
      <c r="AX2197">
        <v>-0.31</v>
      </c>
      <c r="AY2197">
        <v>56</v>
      </c>
      <c r="AZ2197">
        <v>6.91</v>
      </c>
      <c r="BA2197">
        <v>45</v>
      </c>
      <c r="BB2197">
        <v>5.51</v>
      </c>
      <c r="BC2197">
        <v>44</v>
      </c>
      <c r="BD2197">
        <v>-0.06</v>
      </c>
      <c r="BE2197">
        <v>0.01</v>
      </c>
      <c r="BF2197">
        <v>0.13</v>
      </c>
      <c r="BG2197">
        <v>76</v>
      </c>
      <c r="BH2197">
        <v>0.1</v>
      </c>
      <c r="BI2197">
        <v>-10.16</v>
      </c>
      <c r="BJ2197">
        <v>10</v>
      </c>
      <c r="BK2197">
        <v>3</v>
      </c>
      <c r="BL2197">
        <v>0.13</v>
      </c>
      <c r="BM2197">
        <v>-0.02</v>
      </c>
      <c r="BN2197">
        <v>1.76</v>
      </c>
      <c r="BO2197">
        <v>1.92</v>
      </c>
      <c r="BP2197">
        <v>-1.19</v>
      </c>
      <c r="BQ2197">
        <v>-3.63</v>
      </c>
      <c r="BR2197">
        <v>2.37</v>
      </c>
      <c r="BS2197">
        <v>6.1</v>
      </c>
      <c r="BT2197">
        <v>-0.97</v>
      </c>
      <c r="BU2197">
        <v>2.09</v>
      </c>
      <c r="BV2197">
        <v>2.14</v>
      </c>
      <c r="BW2197">
        <v>-0.08</v>
      </c>
      <c r="BX2197">
        <v>-1.1200000000000001</v>
      </c>
      <c r="BY2197">
        <v>0.01</v>
      </c>
      <c r="BZ2197">
        <v>1.0900000000000001</v>
      </c>
      <c r="CA2197">
        <v>2.86</v>
      </c>
      <c r="CB2197">
        <v>1.9</v>
      </c>
      <c r="CC2197">
        <v>3.63</v>
      </c>
      <c r="CD2197">
        <v>-1.7</v>
      </c>
      <c r="CE2197">
        <v>2.14</v>
      </c>
      <c r="CF2197">
        <v>0.35</v>
      </c>
      <c r="CG2197">
        <v>0</v>
      </c>
      <c r="CH2197">
        <v>0.38</v>
      </c>
      <c r="CI2197">
        <v>0</v>
      </c>
      <c r="CJ2197">
        <v>-25.3</v>
      </c>
      <c r="CK2197">
        <v>61</v>
      </c>
      <c r="CL2197">
        <v>-1.26</v>
      </c>
      <c r="CM2197">
        <v>57</v>
      </c>
      <c r="CN2197">
        <v>-0.46</v>
      </c>
      <c r="CO2197">
        <v>54</v>
      </c>
      <c r="CP2197">
        <v>-47.7</v>
      </c>
      <c r="CQ2197">
        <v>52</v>
      </c>
      <c r="CR2197">
        <v>0</v>
      </c>
      <c r="CS2197">
        <v>0</v>
      </c>
      <c r="CT2197">
        <v>-68.099999999999994</v>
      </c>
      <c r="CU2197">
        <v>45</v>
      </c>
      <c r="CV2197">
        <v>-0.25</v>
      </c>
      <c r="CW2197">
        <v>37</v>
      </c>
      <c r="CX2197" t="s">
        <v>13000</v>
      </c>
    </row>
    <row r="2198" spans="1:102" x14ac:dyDescent="0.3">
      <c r="A2198" t="str">
        <f>HYPERLINK("https://webapp.icbf.com/v2/app/bull-search/view/1231265127","FR2094")</f>
        <v>FR2094</v>
      </c>
      <c r="B2198" t="s">
        <v>7886</v>
      </c>
      <c r="C2198" t="s">
        <v>7887</v>
      </c>
      <c r="D2198" s="1">
        <v>41497</v>
      </c>
      <c r="E2198" t="s">
        <v>92</v>
      </c>
      <c r="F2198">
        <v>100</v>
      </c>
      <c r="G2198" t="s">
        <v>93</v>
      </c>
      <c r="H2198">
        <v>57.32</v>
      </c>
      <c r="I2198">
        <v>84</v>
      </c>
      <c r="J2198">
        <v>50.44</v>
      </c>
      <c r="K2198">
        <v>95</v>
      </c>
      <c r="L2198">
        <v>-8.2100000000000009</v>
      </c>
      <c r="M2198">
        <v>86</v>
      </c>
      <c r="N2198">
        <v>10.72</v>
      </c>
      <c r="O2198">
        <v>85</v>
      </c>
      <c r="P2198">
        <v>2.2999999999999998</v>
      </c>
      <c r="Q2198">
        <v>78</v>
      </c>
      <c r="R2198">
        <v>12.12</v>
      </c>
      <c r="S2198">
        <v>77</v>
      </c>
      <c r="T2198">
        <v>-14.74</v>
      </c>
      <c r="U2198">
        <v>49</v>
      </c>
      <c r="V2198">
        <v>4.6900000000000004</v>
      </c>
      <c r="W2198">
        <v>59</v>
      </c>
      <c r="X2198" t="s">
        <v>94</v>
      </c>
      <c r="Y2198" t="s">
        <v>405</v>
      </c>
      <c r="Z2198" t="s">
        <v>96</v>
      </c>
      <c r="AA2198" t="s">
        <v>2216</v>
      </c>
      <c r="AB2198" t="s">
        <v>6306</v>
      </c>
      <c r="AC2198">
        <v>106</v>
      </c>
      <c r="AD2198">
        <v>31</v>
      </c>
      <c r="AE2198">
        <v>95</v>
      </c>
      <c r="AF2198">
        <v>330.15</v>
      </c>
      <c r="AG2198">
        <v>10.55</v>
      </c>
      <c r="AH2198">
        <v>9.9</v>
      </c>
      <c r="AI2198">
        <v>-0.04</v>
      </c>
      <c r="AJ2198">
        <v>-0.02</v>
      </c>
      <c r="AK2198">
        <v>86</v>
      </c>
      <c r="AL2198">
        <v>0</v>
      </c>
      <c r="AM2198">
        <v>0</v>
      </c>
      <c r="AN2198">
        <v>0.01</v>
      </c>
      <c r="AO2198">
        <v>-0.65</v>
      </c>
      <c r="AP2198">
        <v>312</v>
      </c>
      <c r="AQ2198">
        <v>0</v>
      </c>
      <c r="AR2198">
        <v>7.28</v>
      </c>
      <c r="AS2198">
        <v>86</v>
      </c>
      <c r="AT2198">
        <v>3.61</v>
      </c>
      <c r="AU2198">
        <v>94</v>
      </c>
      <c r="AV2198">
        <v>-2.21</v>
      </c>
      <c r="AW2198">
        <v>96</v>
      </c>
      <c r="AX2198">
        <v>0.51</v>
      </c>
      <c r="AY2198">
        <v>86</v>
      </c>
      <c r="AZ2198">
        <v>6.32</v>
      </c>
      <c r="BA2198">
        <v>63</v>
      </c>
      <c r="BB2198">
        <v>5.44</v>
      </c>
      <c r="BC2198">
        <v>42</v>
      </c>
      <c r="BD2198">
        <v>-0.04</v>
      </c>
      <c r="BE2198">
        <v>-0.08</v>
      </c>
      <c r="BF2198">
        <v>-0.06</v>
      </c>
      <c r="BG2198">
        <v>93</v>
      </c>
      <c r="BH2198">
        <v>0.14000000000000001</v>
      </c>
      <c r="BI2198">
        <v>1.06</v>
      </c>
      <c r="BJ2198">
        <v>39</v>
      </c>
      <c r="BK2198">
        <v>18</v>
      </c>
      <c r="BL2198">
        <v>3.28</v>
      </c>
      <c r="BM2198">
        <v>-0.46</v>
      </c>
      <c r="BN2198">
        <v>2.38</v>
      </c>
      <c r="BO2198">
        <v>2.14</v>
      </c>
      <c r="BP2198">
        <v>1.37</v>
      </c>
      <c r="BQ2198">
        <v>3.08</v>
      </c>
      <c r="BR2198">
        <v>-1.52</v>
      </c>
      <c r="BS2198">
        <v>3.44</v>
      </c>
      <c r="BT2198">
        <v>2.75</v>
      </c>
      <c r="BU2198">
        <v>4.82</v>
      </c>
      <c r="BV2198">
        <v>3.47</v>
      </c>
      <c r="BW2198">
        <v>3.15</v>
      </c>
      <c r="BX2198">
        <v>3.36</v>
      </c>
      <c r="BY2198">
        <v>3.67</v>
      </c>
      <c r="BZ2198">
        <v>-0.5</v>
      </c>
      <c r="CA2198">
        <v>3.69</v>
      </c>
      <c r="CB2198">
        <v>3.35</v>
      </c>
      <c r="CC2198">
        <v>2.59</v>
      </c>
      <c r="CD2198">
        <v>-1.23</v>
      </c>
      <c r="CE2198">
        <v>1.78</v>
      </c>
      <c r="CF2198">
        <v>2.9</v>
      </c>
      <c r="CG2198">
        <v>0</v>
      </c>
      <c r="CH2198">
        <v>3.69</v>
      </c>
      <c r="CI2198">
        <v>0</v>
      </c>
      <c r="CJ2198">
        <v>5.7</v>
      </c>
      <c r="CK2198">
        <v>82</v>
      </c>
      <c r="CL2198">
        <v>-1.4</v>
      </c>
      <c r="CM2198">
        <v>77</v>
      </c>
      <c r="CN2198">
        <v>-0.66</v>
      </c>
      <c r="CO2198">
        <v>76</v>
      </c>
      <c r="CP2198">
        <v>7.7</v>
      </c>
      <c r="CQ2198">
        <v>56</v>
      </c>
      <c r="CR2198">
        <v>0</v>
      </c>
      <c r="CS2198">
        <v>0</v>
      </c>
      <c r="CT2198">
        <v>33.700000000000003</v>
      </c>
      <c r="CU2198">
        <v>49</v>
      </c>
      <c r="CV2198">
        <v>0.33</v>
      </c>
      <c r="CW2198">
        <v>42</v>
      </c>
      <c r="CX2198" t="s">
        <v>6307</v>
      </c>
    </row>
    <row r="2199" spans="1:102" x14ac:dyDescent="0.3">
      <c r="A2199" t="str">
        <f>HYPERLINK("https://webapp.icbf.com/v2/app/bull-search/view/77855578","MCY")</f>
        <v>MCY</v>
      </c>
      <c r="B2199" t="s">
        <v>3932</v>
      </c>
      <c r="C2199" t="s">
        <v>3933</v>
      </c>
      <c r="D2199" s="1">
        <v>34069</v>
      </c>
      <c r="E2199" t="s">
        <v>108</v>
      </c>
      <c r="F2199">
        <v>0</v>
      </c>
      <c r="G2199" t="s">
        <v>93</v>
      </c>
      <c r="H2199">
        <v>57.3</v>
      </c>
      <c r="I2199">
        <v>97</v>
      </c>
      <c r="J2199">
        <v>-47.59</v>
      </c>
      <c r="K2199">
        <v>99</v>
      </c>
      <c r="L2199">
        <v>67.31</v>
      </c>
      <c r="M2199">
        <v>94</v>
      </c>
      <c r="N2199">
        <v>34.93</v>
      </c>
      <c r="O2199">
        <v>97</v>
      </c>
      <c r="P2199">
        <v>-11.1</v>
      </c>
      <c r="Q2199">
        <v>99</v>
      </c>
      <c r="R2199">
        <v>-1.59</v>
      </c>
      <c r="S2199">
        <v>94</v>
      </c>
      <c r="T2199">
        <v>10.35</v>
      </c>
      <c r="U2199">
        <v>99</v>
      </c>
      <c r="V2199">
        <v>4.99</v>
      </c>
      <c r="W2199">
        <v>95</v>
      </c>
      <c r="X2199" t="s">
        <v>94</v>
      </c>
      <c r="Y2199" t="s">
        <v>95</v>
      </c>
      <c r="Z2199" t="s">
        <v>96</v>
      </c>
      <c r="AA2199" t="s">
        <v>3934</v>
      </c>
      <c r="AB2199" t="s">
        <v>3673</v>
      </c>
      <c r="AC2199">
        <v>765</v>
      </c>
      <c r="AD2199">
        <v>423</v>
      </c>
      <c r="AE2199">
        <v>99</v>
      </c>
      <c r="AF2199">
        <v>-127.13</v>
      </c>
      <c r="AG2199">
        <v>-6.87</v>
      </c>
      <c r="AH2199">
        <v>-7.61</v>
      </c>
      <c r="AI2199">
        <v>-0.03</v>
      </c>
      <c r="AJ2199">
        <v>-0.06</v>
      </c>
      <c r="AK2199">
        <v>94</v>
      </c>
      <c r="AL2199">
        <v>1467</v>
      </c>
      <c r="AM2199">
        <v>796</v>
      </c>
      <c r="AN2199">
        <v>-4.29</v>
      </c>
      <c r="AO2199">
        <v>1.07</v>
      </c>
      <c r="AP2199">
        <v>613</v>
      </c>
      <c r="AQ2199">
        <v>4</v>
      </c>
      <c r="AR2199">
        <v>5.96</v>
      </c>
      <c r="AS2199">
        <v>92</v>
      </c>
      <c r="AT2199">
        <v>2.0699999999999998</v>
      </c>
      <c r="AU2199">
        <v>97</v>
      </c>
      <c r="AV2199">
        <v>-3.05</v>
      </c>
      <c r="AW2199">
        <v>99</v>
      </c>
      <c r="AX2199">
        <v>-0.61</v>
      </c>
      <c r="AY2199">
        <v>98</v>
      </c>
      <c r="AZ2199">
        <v>6.52</v>
      </c>
      <c r="BA2199">
        <v>89</v>
      </c>
      <c r="BB2199">
        <v>5.54</v>
      </c>
      <c r="BC2199">
        <v>95</v>
      </c>
      <c r="BD2199">
        <v>0.04</v>
      </c>
      <c r="BE2199">
        <v>0</v>
      </c>
      <c r="BF2199">
        <v>-0.03</v>
      </c>
      <c r="BG2199">
        <v>98</v>
      </c>
      <c r="BH2199">
        <v>0.08</v>
      </c>
      <c r="BI2199">
        <v>-6.84</v>
      </c>
      <c r="BJ2199">
        <v>24</v>
      </c>
      <c r="BK2199">
        <v>20</v>
      </c>
      <c r="BL2199">
        <v>-2.8</v>
      </c>
      <c r="BM2199">
        <v>2.4</v>
      </c>
      <c r="BN2199">
        <v>-2.1</v>
      </c>
      <c r="BO2199">
        <v>-2.77</v>
      </c>
      <c r="BP2199">
        <v>1.04</v>
      </c>
      <c r="BQ2199">
        <v>0.05</v>
      </c>
      <c r="BR2199">
        <v>-1.03</v>
      </c>
      <c r="BS2199">
        <v>-0.53</v>
      </c>
      <c r="BT2199">
        <v>1.52</v>
      </c>
      <c r="BU2199">
        <v>-1.84</v>
      </c>
      <c r="BV2199">
        <v>-2.56</v>
      </c>
      <c r="BW2199">
        <v>-1.64</v>
      </c>
      <c r="BX2199">
        <v>-1.85</v>
      </c>
      <c r="BY2199">
        <v>-0.97</v>
      </c>
      <c r="BZ2199">
        <v>-2.86</v>
      </c>
      <c r="CA2199">
        <v>-2.4700000000000002</v>
      </c>
      <c r="CB2199">
        <v>-2.1800000000000002</v>
      </c>
      <c r="CC2199">
        <v>-2.4300000000000002</v>
      </c>
      <c r="CD2199">
        <v>2.78</v>
      </c>
      <c r="CE2199">
        <v>-2.91</v>
      </c>
      <c r="CF2199">
        <v>-2.1</v>
      </c>
      <c r="CG2199">
        <v>0</v>
      </c>
      <c r="CH2199">
        <v>-1.03</v>
      </c>
      <c r="CI2199">
        <v>0</v>
      </c>
      <c r="CJ2199">
        <v>-4.4000000000000004</v>
      </c>
      <c r="CK2199">
        <v>99</v>
      </c>
      <c r="CL2199">
        <v>-0.1</v>
      </c>
      <c r="CM2199">
        <v>99</v>
      </c>
      <c r="CN2199">
        <v>0.25</v>
      </c>
      <c r="CO2199">
        <v>99</v>
      </c>
      <c r="CP2199">
        <v>-7.1</v>
      </c>
      <c r="CQ2199">
        <v>99</v>
      </c>
      <c r="CR2199">
        <v>0</v>
      </c>
      <c r="CS2199">
        <v>0</v>
      </c>
      <c r="CT2199">
        <v>-0.2</v>
      </c>
      <c r="CU2199">
        <v>99</v>
      </c>
      <c r="CV2199">
        <v>0.1</v>
      </c>
      <c r="CW2199">
        <v>46</v>
      </c>
      <c r="CX2199" t="s">
        <v>262</v>
      </c>
    </row>
    <row r="2200" spans="1:102" x14ac:dyDescent="0.3">
      <c r="A2200" t="str">
        <f>HYPERLINK("https://webapp.icbf.com/v2/app/bull-search/view/77858737","CYP")</f>
        <v>CYP</v>
      </c>
      <c r="B2200" t="s">
        <v>14280</v>
      </c>
      <c r="C2200" t="s">
        <v>14281</v>
      </c>
      <c r="D2200" s="1">
        <v>32899</v>
      </c>
      <c r="E2200" t="s">
        <v>92</v>
      </c>
      <c r="F2200">
        <v>56</v>
      </c>
      <c r="G2200" t="s">
        <v>93</v>
      </c>
      <c r="H2200">
        <v>57.24</v>
      </c>
      <c r="I2200">
        <v>67</v>
      </c>
      <c r="J2200">
        <v>-37.26</v>
      </c>
      <c r="K2200">
        <v>86</v>
      </c>
      <c r="L2200">
        <v>72.75</v>
      </c>
      <c r="M2200">
        <v>61</v>
      </c>
      <c r="N2200">
        <v>19.88</v>
      </c>
      <c r="O2200">
        <v>46</v>
      </c>
      <c r="P2200">
        <v>-6.16</v>
      </c>
      <c r="Q2200">
        <v>64</v>
      </c>
      <c r="R2200">
        <v>-2.1</v>
      </c>
      <c r="S2200">
        <v>63</v>
      </c>
      <c r="T2200">
        <v>12.57</v>
      </c>
      <c r="U2200">
        <v>62</v>
      </c>
      <c r="V2200">
        <v>-2.44</v>
      </c>
      <c r="W2200">
        <v>21</v>
      </c>
      <c r="X2200" t="s">
        <v>94</v>
      </c>
      <c r="Y2200" t="s">
        <v>95</v>
      </c>
      <c r="Z2200" t="s">
        <v>96</v>
      </c>
      <c r="AA2200" t="s">
        <v>14282</v>
      </c>
      <c r="AB2200" t="s">
        <v>14283</v>
      </c>
      <c r="AC2200">
        <v>37</v>
      </c>
      <c r="AD2200">
        <v>37</v>
      </c>
      <c r="AE2200">
        <v>86</v>
      </c>
      <c r="AF2200">
        <v>-212.92</v>
      </c>
      <c r="AG2200">
        <v>-5.64</v>
      </c>
      <c r="AH2200">
        <v>-7.6</v>
      </c>
      <c r="AI2200">
        <v>0.05</v>
      </c>
      <c r="AJ2200">
        <v>-0.01</v>
      </c>
      <c r="AK2200">
        <v>61</v>
      </c>
      <c r="AL2200">
        <v>83</v>
      </c>
      <c r="AM2200">
        <v>65</v>
      </c>
      <c r="AN2200">
        <v>-3.32</v>
      </c>
      <c r="AO2200">
        <v>2.4900000000000002</v>
      </c>
      <c r="AP2200">
        <v>1</v>
      </c>
      <c r="AQ2200">
        <v>0</v>
      </c>
      <c r="AR2200">
        <v>4.83</v>
      </c>
      <c r="AS2200">
        <v>23</v>
      </c>
      <c r="AT2200">
        <v>2.2599999999999998</v>
      </c>
      <c r="AU2200">
        <v>40</v>
      </c>
      <c r="AV2200">
        <v>-0.61</v>
      </c>
      <c r="AW2200">
        <v>55</v>
      </c>
      <c r="AX2200">
        <v>-0.01</v>
      </c>
      <c r="AY2200">
        <v>63</v>
      </c>
      <c r="AZ2200">
        <v>6.01</v>
      </c>
      <c r="BA2200">
        <v>22</v>
      </c>
      <c r="BB2200">
        <v>4.7300000000000004</v>
      </c>
      <c r="BC2200">
        <v>38</v>
      </c>
      <c r="BD2200">
        <v>0.02</v>
      </c>
      <c r="BE2200">
        <v>0.05</v>
      </c>
      <c r="BF2200">
        <v>-0.08</v>
      </c>
      <c r="BG2200">
        <v>85</v>
      </c>
      <c r="BH2200">
        <v>-0.04</v>
      </c>
      <c r="BI2200">
        <v>3.23</v>
      </c>
      <c r="BJ2200">
        <v>13</v>
      </c>
      <c r="BK2200">
        <v>9</v>
      </c>
      <c r="BL2200">
        <v>-1.58</v>
      </c>
      <c r="BM2200">
        <v>-0.21</v>
      </c>
      <c r="BN2200">
        <v>-1.75</v>
      </c>
      <c r="BO2200">
        <v>-1.34</v>
      </c>
      <c r="BP2200">
        <v>0</v>
      </c>
      <c r="BQ2200">
        <v>-0.11</v>
      </c>
      <c r="BR2200">
        <v>-0.56000000000000005</v>
      </c>
      <c r="BS2200">
        <v>0.28999999999999998</v>
      </c>
      <c r="BT2200">
        <v>0.99</v>
      </c>
      <c r="BU2200">
        <v>-0.85</v>
      </c>
      <c r="BV2200">
        <v>-0.96</v>
      </c>
      <c r="BW2200">
        <v>-0.54</v>
      </c>
      <c r="BX2200">
        <v>-0.14000000000000001</v>
      </c>
      <c r="BY2200">
        <v>-1.48</v>
      </c>
      <c r="BZ2200">
        <v>-0.12</v>
      </c>
      <c r="CA2200">
        <v>-1.17</v>
      </c>
      <c r="CB2200">
        <v>-1.28</v>
      </c>
      <c r="CC2200">
        <v>-0.56000000000000005</v>
      </c>
      <c r="CD2200">
        <v>0.62</v>
      </c>
      <c r="CE2200">
        <v>-1.5</v>
      </c>
      <c r="CF2200">
        <v>-2.0699999999999998</v>
      </c>
      <c r="CG2200">
        <v>0</v>
      </c>
      <c r="CH2200">
        <v>-1.04</v>
      </c>
      <c r="CI2200">
        <v>0</v>
      </c>
      <c r="CJ2200">
        <v>-3.7</v>
      </c>
      <c r="CK2200">
        <v>66</v>
      </c>
      <c r="CL2200">
        <v>-0.17</v>
      </c>
      <c r="CM2200">
        <v>62</v>
      </c>
      <c r="CN2200">
        <v>-0.08</v>
      </c>
      <c r="CO2200">
        <v>58</v>
      </c>
      <c r="CP2200">
        <v>-1.6</v>
      </c>
      <c r="CQ2200">
        <v>71</v>
      </c>
      <c r="CR2200">
        <v>0</v>
      </c>
      <c r="CS2200">
        <v>0</v>
      </c>
      <c r="CT2200">
        <v>-3.2</v>
      </c>
      <c r="CU2200">
        <v>62</v>
      </c>
      <c r="CV2200">
        <v>-0.06</v>
      </c>
      <c r="CW2200">
        <v>17</v>
      </c>
      <c r="CX2200" t="s">
        <v>262</v>
      </c>
    </row>
    <row r="2201" spans="1:102" x14ac:dyDescent="0.3">
      <c r="A2201" t="str">
        <f>HYPERLINK("https://webapp.icbf.com/v2/app/bull-search/view/804576048","S3093")</f>
        <v>S3093</v>
      </c>
      <c r="B2201" t="s">
        <v>10279</v>
      </c>
      <c r="C2201" t="s">
        <v>10280</v>
      </c>
      <c r="D2201" s="1">
        <v>39777</v>
      </c>
      <c r="E2201" t="s">
        <v>92</v>
      </c>
      <c r="F2201">
        <v>100</v>
      </c>
      <c r="G2201" t="s">
        <v>109</v>
      </c>
      <c r="H2201">
        <v>57.06</v>
      </c>
      <c r="I2201">
        <v>77</v>
      </c>
      <c r="J2201">
        <v>46.8</v>
      </c>
      <c r="K2201">
        <v>93</v>
      </c>
      <c r="L2201">
        <v>-37.71</v>
      </c>
      <c r="M2201">
        <v>83</v>
      </c>
      <c r="N2201">
        <v>31.71</v>
      </c>
      <c r="O2201">
        <v>55</v>
      </c>
      <c r="P2201">
        <v>-1.23</v>
      </c>
      <c r="Q2201">
        <v>48</v>
      </c>
      <c r="R2201">
        <v>7.74</v>
      </c>
      <c r="S2201">
        <v>74</v>
      </c>
      <c r="T2201">
        <v>2.8</v>
      </c>
      <c r="U2201">
        <v>45</v>
      </c>
      <c r="V2201">
        <v>6.95</v>
      </c>
      <c r="W2201">
        <v>63</v>
      </c>
      <c r="X2201" t="s">
        <v>94</v>
      </c>
      <c r="Y2201" t="s">
        <v>457</v>
      </c>
      <c r="Z2201" t="s">
        <v>96</v>
      </c>
      <c r="AA2201" t="s">
        <v>2131</v>
      </c>
      <c r="AB2201" t="s">
        <v>10281</v>
      </c>
      <c r="AC2201">
        <v>0</v>
      </c>
      <c r="AD2201">
        <v>0</v>
      </c>
      <c r="AE2201">
        <v>93</v>
      </c>
      <c r="AF2201">
        <v>289.51</v>
      </c>
      <c r="AG2201">
        <v>3.59</v>
      </c>
      <c r="AH2201">
        <v>11.12</v>
      </c>
      <c r="AI2201">
        <v>-0.13</v>
      </c>
      <c r="AJ2201">
        <v>0.02</v>
      </c>
      <c r="AK2201">
        <v>83</v>
      </c>
      <c r="AL2201">
        <v>0</v>
      </c>
      <c r="AM2201">
        <v>0</v>
      </c>
      <c r="AN2201">
        <v>1.86</v>
      </c>
      <c r="AO2201">
        <v>-1.1499999999999999</v>
      </c>
      <c r="AP2201">
        <v>5</v>
      </c>
      <c r="AQ2201">
        <v>0</v>
      </c>
      <c r="AR2201">
        <v>7.24</v>
      </c>
      <c r="AS2201">
        <v>55</v>
      </c>
      <c r="AT2201">
        <v>2.44</v>
      </c>
      <c r="AU2201">
        <v>84</v>
      </c>
      <c r="AV2201">
        <v>-3.5</v>
      </c>
      <c r="AW2201">
        <v>45</v>
      </c>
      <c r="AX2201">
        <v>0.14000000000000001</v>
      </c>
      <c r="AY2201">
        <v>46</v>
      </c>
      <c r="AZ2201">
        <v>5.99</v>
      </c>
      <c r="BA2201">
        <v>43</v>
      </c>
      <c r="BB2201">
        <v>5.59</v>
      </c>
      <c r="BC2201">
        <v>44</v>
      </c>
      <c r="BD2201">
        <v>-0.03</v>
      </c>
      <c r="BE2201">
        <v>-0.02</v>
      </c>
      <c r="BF2201">
        <v>-0.09</v>
      </c>
      <c r="BG2201">
        <v>91</v>
      </c>
      <c r="BH2201">
        <v>0.1</v>
      </c>
      <c r="BI2201">
        <v>-10.86</v>
      </c>
      <c r="BJ2201">
        <v>0</v>
      </c>
      <c r="BK2201">
        <v>0</v>
      </c>
      <c r="BL2201">
        <v>0.39</v>
      </c>
      <c r="BM2201">
        <v>-0.47</v>
      </c>
      <c r="BN2201">
        <v>0.2</v>
      </c>
      <c r="BO2201">
        <v>0.72</v>
      </c>
      <c r="BP2201">
        <v>1.41</v>
      </c>
      <c r="BQ2201">
        <v>-0.27</v>
      </c>
      <c r="BR2201">
        <v>0.31</v>
      </c>
      <c r="BS2201">
        <v>1.51</v>
      </c>
      <c r="BT2201">
        <v>-0.32</v>
      </c>
      <c r="BU2201">
        <v>1.01</v>
      </c>
      <c r="BV2201">
        <v>1.86</v>
      </c>
      <c r="BW2201">
        <v>1.33</v>
      </c>
      <c r="BX2201">
        <v>1.56</v>
      </c>
      <c r="BY2201">
        <v>0.59</v>
      </c>
      <c r="BZ2201">
        <v>-0.4</v>
      </c>
      <c r="CA2201">
        <v>1.9</v>
      </c>
      <c r="CB2201">
        <v>1.75</v>
      </c>
      <c r="CC2201">
        <v>1.21</v>
      </c>
      <c r="CD2201">
        <v>-0.66</v>
      </c>
      <c r="CE2201">
        <v>0.66</v>
      </c>
      <c r="CF2201">
        <v>0.42</v>
      </c>
      <c r="CG2201">
        <v>0</v>
      </c>
      <c r="CH2201">
        <v>0.26</v>
      </c>
      <c r="CI2201">
        <v>0</v>
      </c>
      <c r="CJ2201">
        <v>2.4</v>
      </c>
      <c r="CK2201">
        <v>48</v>
      </c>
      <c r="CL2201">
        <v>-1.02</v>
      </c>
      <c r="CM2201">
        <v>48</v>
      </c>
      <c r="CN2201">
        <v>-0.43</v>
      </c>
      <c r="CO2201">
        <v>47</v>
      </c>
      <c r="CP2201">
        <v>6.3</v>
      </c>
      <c r="CQ2201">
        <v>46</v>
      </c>
      <c r="CR2201">
        <v>0</v>
      </c>
      <c r="CS2201">
        <v>0</v>
      </c>
      <c r="CT2201">
        <v>10</v>
      </c>
      <c r="CU2201">
        <v>45</v>
      </c>
      <c r="CV2201">
        <v>0.25</v>
      </c>
      <c r="CW2201">
        <v>35</v>
      </c>
      <c r="CX2201" t="s">
        <v>277</v>
      </c>
    </row>
    <row r="2202" spans="1:102" x14ac:dyDescent="0.3">
      <c r="A2202" t="str">
        <f>HYPERLINK("https://webapp.icbf.com/v2/app/bull-search/view/77854861","MTI")</f>
        <v>MTI</v>
      </c>
      <c r="B2202" t="s">
        <v>8062</v>
      </c>
      <c r="C2202" t="s">
        <v>8063</v>
      </c>
      <c r="D2202" s="1">
        <v>33737</v>
      </c>
      <c r="E2202" t="s">
        <v>108</v>
      </c>
      <c r="F2202">
        <v>0</v>
      </c>
      <c r="G2202" t="s">
        <v>93</v>
      </c>
      <c r="H2202">
        <v>57.05</v>
      </c>
      <c r="I2202">
        <v>75</v>
      </c>
      <c r="J2202">
        <v>-100.5</v>
      </c>
      <c r="K2202">
        <v>92</v>
      </c>
      <c r="L2202">
        <v>128.47999999999999</v>
      </c>
      <c r="M2202">
        <v>63</v>
      </c>
      <c r="N2202">
        <v>21.47</v>
      </c>
      <c r="O2202">
        <v>64</v>
      </c>
      <c r="P2202">
        <v>-8.69</v>
      </c>
      <c r="Q2202">
        <v>87</v>
      </c>
      <c r="R2202">
        <v>2.86</v>
      </c>
      <c r="S2202">
        <v>64</v>
      </c>
      <c r="T2202">
        <v>12.12</v>
      </c>
      <c r="U2202">
        <v>80</v>
      </c>
      <c r="V2202">
        <v>1.31</v>
      </c>
      <c r="W2202">
        <v>47</v>
      </c>
      <c r="X2202" t="s">
        <v>102</v>
      </c>
      <c r="Y2202" t="s">
        <v>95</v>
      </c>
      <c r="Z2202" t="s">
        <v>96</v>
      </c>
      <c r="AA2202" t="s">
        <v>3945</v>
      </c>
      <c r="AB2202" t="s">
        <v>8064</v>
      </c>
      <c r="AC2202">
        <v>65</v>
      </c>
      <c r="AD2202">
        <v>52</v>
      </c>
      <c r="AE2202">
        <v>92</v>
      </c>
      <c r="AF2202">
        <v>-539.30999999999995</v>
      </c>
      <c r="AG2202">
        <v>-18.309999999999999</v>
      </c>
      <c r="AH2202">
        <v>-18.87</v>
      </c>
      <c r="AI2202">
        <v>0.05</v>
      </c>
      <c r="AJ2202">
        <v>-0.01</v>
      </c>
      <c r="AK2202">
        <v>63</v>
      </c>
      <c r="AL2202">
        <v>92</v>
      </c>
      <c r="AM2202">
        <v>63</v>
      </c>
      <c r="AN2202">
        <v>-7.51</v>
      </c>
      <c r="AO2202">
        <v>2.73</v>
      </c>
      <c r="AP2202">
        <v>29</v>
      </c>
      <c r="AQ2202">
        <v>0</v>
      </c>
      <c r="AR2202">
        <v>5.07</v>
      </c>
      <c r="AS2202">
        <v>27</v>
      </c>
      <c r="AT2202">
        <v>2.08</v>
      </c>
      <c r="AU2202">
        <v>59</v>
      </c>
      <c r="AV2202">
        <v>-0.91</v>
      </c>
      <c r="AW2202">
        <v>80</v>
      </c>
      <c r="AX2202">
        <v>-0.2</v>
      </c>
      <c r="AY2202">
        <v>71</v>
      </c>
      <c r="AZ2202">
        <v>5.95</v>
      </c>
      <c r="BA2202">
        <v>27</v>
      </c>
      <c r="BB2202">
        <v>5.15</v>
      </c>
      <c r="BC2202">
        <v>49</v>
      </c>
      <c r="BD2202">
        <v>0.05</v>
      </c>
      <c r="BE2202">
        <v>-0.01</v>
      </c>
      <c r="BF2202">
        <v>-0.13</v>
      </c>
      <c r="BG2202">
        <v>85</v>
      </c>
      <c r="BH2202">
        <v>0.13</v>
      </c>
      <c r="BI2202">
        <v>10.8</v>
      </c>
      <c r="BJ2202">
        <v>15</v>
      </c>
      <c r="BK2202">
        <v>11</v>
      </c>
      <c r="BL2202">
        <v>-2.74</v>
      </c>
      <c r="BM2202">
        <v>1.64</v>
      </c>
      <c r="BN2202">
        <v>-2.83</v>
      </c>
      <c r="BO2202">
        <v>-3.16</v>
      </c>
      <c r="BP2202">
        <v>0.34</v>
      </c>
      <c r="BQ2202">
        <v>0.93</v>
      </c>
      <c r="BR2202">
        <v>-2.2999999999999998</v>
      </c>
      <c r="BS2202">
        <v>0.16</v>
      </c>
      <c r="BT2202">
        <v>-0.09</v>
      </c>
      <c r="BU2202">
        <v>-1.67</v>
      </c>
      <c r="BV2202">
        <v>-2.46</v>
      </c>
      <c r="BW2202">
        <v>-1.92</v>
      </c>
      <c r="BX2202">
        <v>-0.53</v>
      </c>
      <c r="BY2202">
        <v>-1.06</v>
      </c>
      <c r="BZ2202">
        <v>0.51</v>
      </c>
      <c r="CA2202">
        <v>-1.76</v>
      </c>
      <c r="CB2202">
        <v>-1.83</v>
      </c>
      <c r="CC2202">
        <v>-0.51</v>
      </c>
      <c r="CD2202">
        <v>2.69</v>
      </c>
      <c r="CE2202">
        <v>-2.89</v>
      </c>
      <c r="CF2202">
        <v>-2.52</v>
      </c>
      <c r="CG2202">
        <v>0</v>
      </c>
      <c r="CH2202">
        <v>-1.27</v>
      </c>
      <c r="CI2202">
        <v>0</v>
      </c>
      <c r="CJ2202">
        <v>-1.4</v>
      </c>
      <c r="CK2202">
        <v>88</v>
      </c>
      <c r="CL2202">
        <v>-0.03</v>
      </c>
      <c r="CM2202">
        <v>86</v>
      </c>
      <c r="CN2202">
        <v>0.46</v>
      </c>
      <c r="CO2202">
        <v>84</v>
      </c>
      <c r="CP2202">
        <v>-7.1</v>
      </c>
      <c r="CQ2202">
        <v>83</v>
      </c>
      <c r="CR2202">
        <v>0</v>
      </c>
      <c r="CS2202">
        <v>0</v>
      </c>
      <c r="CT2202">
        <v>-2.6</v>
      </c>
      <c r="CU2202">
        <v>80</v>
      </c>
      <c r="CV2202">
        <v>0.01</v>
      </c>
      <c r="CW2202">
        <v>26</v>
      </c>
      <c r="CX2202" t="s">
        <v>8065</v>
      </c>
    </row>
    <row r="2203" spans="1:102" x14ac:dyDescent="0.3">
      <c r="A2203" t="str">
        <f>HYPERLINK("https://webapp.icbf.com/v2/app/bull-search/view/480852427","GMZ")</f>
        <v>GMZ</v>
      </c>
      <c r="B2203" t="s">
        <v>4780</v>
      </c>
      <c r="C2203" t="s">
        <v>4781</v>
      </c>
      <c r="D2203" s="1">
        <v>38657</v>
      </c>
      <c r="E2203" t="s">
        <v>92</v>
      </c>
      <c r="F2203">
        <v>100</v>
      </c>
      <c r="G2203" t="s">
        <v>93</v>
      </c>
      <c r="H2203">
        <v>56.95</v>
      </c>
      <c r="I2203">
        <v>98</v>
      </c>
      <c r="J2203">
        <v>71.66</v>
      </c>
      <c r="K2203">
        <v>99</v>
      </c>
      <c r="L2203">
        <v>-23.5</v>
      </c>
      <c r="M2203">
        <v>97</v>
      </c>
      <c r="N2203">
        <v>25.28</v>
      </c>
      <c r="O2203">
        <v>99</v>
      </c>
      <c r="P2203">
        <v>-9.82</v>
      </c>
      <c r="Q2203">
        <v>99</v>
      </c>
      <c r="R2203">
        <v>-3.52</v>
      </c>
      <c r="S2203">
        <v>97</v>
      </c>
      <c r="T2203">
        <v>-9.6300000000000008</v>
      </c>
      <c r="U2203">
        <v>99</v>
      </c>
      <c r="V2203">
        <v>6.48</v>
      </c>
      <c r="W2203">
        <v>96</v>
      </c>
      <c r="X2203" t="s">
        <v>94</v>
      </c>
      <c r="Y2203" t="s">
        <v>1423</v>
      </c>
      <c r="Z2203" t="s">
        <v>96</v>
      </c>
      <c r="AA2203" t="s">
        <v>316</v>
      </c>
      <c r="AB2203" t="s">
        <v>4782</v>
      </c>
      <c r="AC2203">
        <v>5576</v>
      </c>
      <c r="AD2203">
        <v>1656</v>
      </c>
      <c r="AE2203">
        <v>99</v>
      </c>
      <c r="AF2203">
        <v>312.95</v>
      </c>
      <c r="AG2203">
        <v>7.74</v>
      </c>
      <c r="AH2203">
        <v>14.24</v>
      </c>
      <c r="AI2203">
        <v>-7.0000000000000007E-2</v>
      </c>
      <c r="AJ2203">
        <v>0.06</v>
      </c>
      <c r="AK2203">
        <v>97</v>
      </c>
      <c r="AL2203">
        <v>5993</v>
      </c>
      <c r="AM2203">
        <v>2048</v>
      </c>
      <c r="AN2203">
        <v>0.06</v>
      </c>
      <c r="AO2203">
        <v>-1.83</v>
      </c>
      <c r="AP2203">
        <v>10996</v>
      </c>
      <c r="AQ2203">
        <v>62</v>
      </c>
      <c r="AR2203">
        <v>7.48</v>
      </c>
      <c r="AS2203">
        <v>99</v>
      </c>
      <c r="AT2203">
        <v>3.3</v>
      </c>
      <c r="AU2203">
        <v>99</v>
      </c>
      <c r="AV2203">
        <v>-2.95</v>
      </c>
      <c r="AW2203">
        <v>99</v>
      </c>
      <c r="AX2203">
        <v>0.15</v>
      </c>
      <c r="AY2203">
        <v>99</v>
      </c>
      <c r="AZ2203">
        <v>5.26</v>
      </c>
      <c r="BA2203">
        <v>98</v>
      </c>
      <c r="BB2203">
        <v>4.62</v>
      </c>
      <c r="BC2203">
        <v>98</v>
      </c>
      <c r="BD2203">
        <v>0.06</v>
      </c>
      <c r="BE2203">
        <v>-0.01</v>
      </c>
      <c r="BF2203">
        <v>0</v>
      </c>
      <c r="BG2203">
        <v>99</v>
      </c>
      <c r="BH2203">
        <v>0.04</v>
      </c>
      <c r="BI2203">
        <v>-16.28</v>
      </c>
      <c r="BJ2203">
        <v>597</v>
      </c>
      <c r="BK2203">
        <v>197</v>
      </c>
      <c r="BL2203">
        <v>1.52</v>
      </c>
      <c r="BM2203">
        <v>1.65</v>
      </c>
      <c r="BN2203">
        <v>1.85</v>
      </c>
      <c r="BO2203">
        <v>0.56999999999999995</v>
      </c>
      <c r="BP2203">
        <v>0.35</v>
      </c>
      <c r="BQ2203">
        <v>2.7</v>
      </c>
      <c r="BR2203">
        <v>1.55</v>
      </c>
      <c r="BS2203">
        <v>-2.4300000000000002</v>
      </c>
      <c r="BT2203">
        <v>-1.32</v>
      </c>
      <c r="BU2203">
        <v>1.59</v>
      </c>
      <c r="BV2203">
        <v>2.06</v>
      </c>
      <c r="BW2203">
        <v>1.65</v>
      </c>
      <c r="BX2203">
        <v>0.75</v>
      </c>
      <c r="BY2203">
        <v>1.65</v>
      </c>
      <c r="BZ2203">
        <v>0.69</v>
      </c>
      <c r="CA2203">
        <v>0.47</v>
      </c>
      <c r="CB2203">
        <v>1.32</v>
      </c>
      <c r="CC2203">
        <v>-1.27</v>
      </c>
      <c r="CD2203">
        <v>0.5</v>
      </c>
      <c r="CE2203">
        <v>0.55000000000000004</v>
      </c>
      <c r="CF2203">
        <v>2.11</v>
      </c>
      <c r="CG2203">
        <v>0</v>
      </c>
      <c r="CH2203">
        <v>1.58</v>
      </c>
      <c r="CI2203">
        <v>0</v>
      </c>
      <c r="CJ2203">
        <v>-1.2</v>
      </c>
      <c r="CK2203">
        <v>99</v>
      </c>
      <c r="CL2203">
        <v>-1.22</v>
      </c>
      <c r="CM2203">
        <v>99</v>
      </c>
      <c r="CN2203">
        <v>-0.3</v>
      </c>
      <c r="CO2203">
        <v>99</v>
      </c>
      <c r="CP2203">
        <v>6.1</v>
      </c>
      <c r="CQ2203">
        <v>99</v>
      </c>
      <c r="CR2203">
        <v>0</v>
      </c>
      <c r="CS2203">
        <v>0</v>
      </c>
      <c r="CT2203">
        <v>26.8</v>
      </c>
      <c r="CU2203">
        <v>99</v>
      </c>
      <c r="CV2203">
        <v>0.48</v>
      </c>
      <c r="CW2203">
        <v>52</v>
      </c>
      <c r="CX2203" t="s">
        <v>311</v>
      </c>
    </row>
    <row r="2204" spans="1:102" x14ac:dyDescent="0.3">
      <c r="A2204" t="str">
        <f>HYPERLINK("https://webapp.icbf.com/v2/app/bull-search/view/457906632","RXR")</f>
        <v>RXR</v>
      </c>
      <c r="B2204" t="s">
        <v>6719</v>
      </c>
      <c r="C2204" t="s">
        <v>6720</v>
      </c>
      <c r="D2204" s="1">
        <v>38824</v>
      </c>
      <c r="E2204" t="s">
        <v>92</v>
      </c>
      <c r="F2204">
        <v>100</v>
      </c>
      <c r="G2204" t="s">
        <v>93</v>
      </c>
      <c r="H2204">
        <v>56.87</v>
      </c>
      <c r="I2204">
        <v>99</v>
      </c>
      <c r="J2204">
        <v>36.090000000000003</v>
      </c>
      <c r="K2204">
        <v>99</v>
      </c>
      <c r="L2204">
        <v>-15.61</v>
      </c>
      <c r="M2204">
        <v>98</v>
      </c>
      <c r="N2204">
        <v>27.77</v>
      </c>
      <c r="O2204">
        <v>99</v>
      </c>
      <c r="P2204">
        <v>-3.53</v>
      </c>
      <c r="Q2204">
        <v>99</v>
      </c>
      <c r="R2204">
        <v>5.28</v>
      </c>
      <c r="S2204">
        <v>99</v>
      </c>
      <c r="T2204">
        <v>5.39</v>
      </c>
      <c r="U2204">
        <v>99</v>
      </c>
      <c r="V2204">
        <v>1.48</v>
      </c>
      <c r="W2204">
        <v>99</v>
      </c>
      <c r="X2204" t="s">
        <v>94</v>
      </c>
      <c r="Y2204" t="s">
        <v>1405</v>
      </c>
      <c r="Z2204" t="s">
        <v>96</v>
      </c>
      <c r="AA2204" t="s">
        <v>316</v>
      </c>
      <c r="AB2204" t="s">
        <v>6721</v>
      </c>
      <c r="AC2204">
        <v>10387</v>
      </c>
      <c r="AD2204">
        <v>2750</v>
      </c>
      <c r="AE2204">
        <v>99</v>
      </c>
      <c r="AF2204">
        <v>356.82</v>
      </c>
      <c r="AG2204">
        <v>8.4499999999999993</v>
      </c>
      <c r="AH2204">
        <v>8.61</v>
      </c>
      <c r="AI2204">
        <v>-0.09</v>
      </c>
      <c r="AJ2204">
        <v>-0.06</v>
      </c>
      <c r="AK2204">
        <v>98</v>
      </c>
      <c r="AL2204">
        <v>12120</v>
      </c>
      <c r="AM2204">
        <v>3825</v>
      </c>
      <c r="AN2204">
        <v>0.43</v>
      </c>
      <c r="AO2204">
        <v>-0.82</v>
      </c>
      <c r="AP2204">
        <v>19403</v>
      </c>
      <c r="AQ2204">
        <v>140</v>
      </c>
      <c r="AR2204">
        <v>4.67</v>
      </c>
      <c r="AS2204">
        <v>99</v>
      </c>
      <c r="AT2204">
        <v>2.15</v>
      </c>
      <c r="AU2204">
        <v>99</v>
      </c>
      <c r="AV2204">
        <v>-2.23</v>
      </c>
      <c r="AW2204">
        <v>99</v>
      </c>
      <c r="AX2204">
        <v>-0.11</v>
      </c>
      <c r="AY2204">
        <v>99</v>
      </c>
      <c r="AZ2204">
        <v>7.39</v>
      </c>
      <c r="BA2204">
        <v>99</v>
      </c>
      <c r="BB2204">
        <v>5.53</v>
      </c>
      <c r="BC2204">
        <v>99</v>
      </c>
      <c r="BD2204">
        <v>-0.02</v>
      </c>
      <c r="BE2204">
        <v>-0.02</v>
      </c>
      <c r="BF2204">
        <v>-0.05</v>
      </c>
      <c r="BG2204">
        <v>99</v>
      </c>
      <c r="BH2204">
        <v>-0.02</v>
      </c>
      <c r="BI2204">
        <v>-7.09</v>
      </c>
      <c r="BJ2204">
        <v>1230</v>
      </c>
      <c r="BK2204">
        <v>362</v>
      </c>
      <c r="BL2204">
        <v>0.87</v>
      </c>
      <c r="BM2204">
        <v>0.55000000000000004</v>
      </c>
      <c r="BN2204">
        <v>0.54</v>
      </c>
      <c r="BO2204">
        <v>-0.1</v>
      </c>
      <c r="BP2204">
        <v>-0.51</v>
      </c>
      <c r="BQ2204">
        <v>0.84</v>
      </c>
      <c r="BR2204">
        <v>-0.71</v>
      </c>
      <c r="BS2204">
        <v>0.5</v>
      </c>
      <c r="BT2204">
        <v>1.1399999999999999</v>
      </c>
      <c r="BU2204">
        <v>0.94</v>
      </c>
      <c r="BV2204">
        <v>1.04</v>
      </c>
      <c r="BW2204">
        <v>1.85</v>
      </c>
      <c r="BX2204">
        <v>1.29</v>
      </c>
      <c r="BY2204">
        <v>1.66</v>
      </c>
      <c r="BZ2204">
        <v>-1.01</v>
      </c>
      <c r="CA2204">
        <v>1.21</v>
      </c>
      <c r="CB2204">
        <v>1.1499999999999999</v>
      </c>
      <c r="CC2204">
        <v>0.75</v>
      </c>
      <c r="CD2204">
        <v>0.56999999999999995</v>
      </c>
      <c r="CE2204">
        <v>-0.05</v>
      </c>
      <c r="CF2204">
        <v>0.81</v>
      </c>
      <c r="CG2204">
        <v>0</v>
      </c>
      <c r="CH2204">
        <v>1.63</v>
      </c>
      <c r="CI2204">
        <v>0</v>
      </c>
      <c r="CJ2204">
        <v>0.3</v>
      </c>
      <c r="CK2204">
        <v>99</v>
      </c>
      <c r="CL2204">
        <v>-0.98</v>
      </c>
      <c r="CM2204">
        <v>99</v>
      </c>
      <c r="CN2204">
        <v>-0.56000000000000005</v>
      </c>
      <c r="CO2204">
        <v>99</v>
      </c>
      <c r="CP2204">
        <v>-2.6</v>
      </c>
      <c r="CQ2204">
        <v>99</v>
      </c>
      <c r="CR2204">
        <v>0</v>
      </c>
      <c r="CS2204">
        <v>0</v>
      </c>
      <c r="CT2204">
        <v>6.5</v>
      </c>
      <c r="CU2204">
        <v>99</v>
      </c>
      <c r="CV2204">
        <v>0.24</v>
      </c>
      <c r="CW2204">
        <v>51</v>
      </c>
      <c r="CX2204" t="s">
        <v>311</v>
      </c>
    </row>
    <row r="2205" spans="1:102" x14ac:dyDescent="0.3">
      <c r="A2205" t="str">
        <f>HYPERLINK("https://webapp.icbf.com/v2/app/bull-search/view/1276119509","JE2461")</f>
        <v>JE2461</v>
      </c>
      <c r="B2205" t="s">
        <v>14931</v>
      </c>
      <c r="C2205" t="s">
        <v>13822</v>
      </c>
      <c r="D2205" s="1">
        <v>41559</v>
      </c>
      <c r="E2205" t="s">
        <v>227</v>
      </c>
      <c r="F2205">
        <v>0</v>
      </c>
      <c r="G2205" t="s">
        <v>109</v>
      </c>
      <c r="H2205">
        <v>56.77</v>
      </c>
      <c r="I2205">
        <v>53</v>
      </c>
      <c r="J2205">
        <v>36.4</v>
      </c>
      <c r="K2205">
        <v>77</v>
      </c>
      <c r="L2205">
        <v>14.45</v>
      </c>
      <c r="M2205">
        <v>64</v>
      </c>
      <c r="N2205">
        <v>-5.51</v>
      </c>
      <c r="O2205">
        <v>45</v>
      </c>
      <c r="P2205">
        <v>-67.400000000000006</v>
      </c>
      <c r="Q2205">
        <v>12</v>
      </c>
      <c r="R2205">
        <v>3.83</v>
      </c>
      <c r="S2205">
        <v>4</v>
      </c>
      <c r="T2205">
        <v>69.989999999999995</v>
      </c>
      <c r="U2205">
        <v>11</v>
      </c>
      <c r="V2205">
        <v>5.01</v>
      </c>
      <c r="W2205">
        <v>11</v>
      </c>
      <c r="X2205" t="s">
        <v>94</v>
      </c>
      <c r="Y2205" t="s">
        <v>429</v>
      </c>
      <c r="Z2205">
        <v>0</v>
      </c>
      <c r="AA2205" t="s">
        <v>14932</v>
      </c>
      <c r="AB2205" t="s">
        <v>144</v>
      </c>
      <c r="AC2205">
        <v>0</v>
      </c>
      <c r="AD2205">
        <v>0</v>
      </c>
      <c r="AE2205">
        <v>77</v>
      </c>
      <c r="AF2205">
        <v>-475.57</v>
      </c>
      <c r="AG2205">
        <v>9.39</v>
      </c>
      <c r="AH2205">
        <v>-4.41</v>
      </c>
      <c r="AI2205">
        <v>0.5</v>
      </c>
      <c r="AJ2205">
        <v>0.21</v>
      </c>
      <c r="AK2205">
        <v>64</v>
      </c>
      <c r="AL2205">
        <v>0</v>
      </c>
      <c r="AM2205">
        <v>0</v>
      </c>
      <c r="AN2205">
        <v>1.35</v>
      </c>
      <c r="AO2205">
        <v>2.5299999999999998</v>
      </c>
      <c r="AP2205">
        <v>16</v>
      </c>
      <c r="AQ2205">
        <v>0</v>
      </c>
      <c r="AR2205">
        <v>3.59</v>
      </c>
      <c r="AS2205">
        <v>40</v>
      </c>
      <c r="AT2205">
        <v>1.93</v>
      </c>
      <c r="AU2205">
        <v>34</v>
      </c>
      <c r="AV2205">
        <v>1.04</v>
      </c>
      <c r="AW2205">
        <v>69</v>
      </c>
      <c r="AX2205">
        <v>5.34</v>
      </c>
      <c r="AY2205">
        <v>37</v>
      </c>
      <c r="AZ2205">
        <v>6.77</v>
      </c>
      <c r="BA2205">
        <v>10</v>
      </c>
      <c r="BB2205">
        <v>5.07</v>
      </c>
      <c r="BC2205">
        <v>9</v>
      </c>
      <c r="BD2205">
        <v>-0.03</v>
      </c>
      <c r="BE2205">
        <v>-0.02</v>
      </c>
      <c r="BF2205">
        <v>0</v>
      </c>
      <c r="BG2205">
        <v>0</v>
      </c>
      <c r="BH2205">
        <v>7.0000000000000007E-2</v>
      </c>
      <c r="BI2205">
        <v>-8.07</v>
      </c>
      <c r="BJ2205">
        <v>0</v>
      </c>
      <c r="BK2205">
        <v>0</v>
      </c>
      <c r="BL2205">
        <v>-1.18</v>
      </c>
      <c r="BM2205">
        <v>-1.39</v>
      </c>
      <c r="BN2205">
        <v>-0.15</v>
      </c>
      <c r="BO2205">
        <v>1.35</v>
      </c>
      <c r="BP2205">
        <v>-0.01</v>
      </c>
      <c r="BQ2205">
        <v>-5.1100000000000003</v>
      </c>
      <c r="BR2205">
        <v>2.37</v>
      </c>
      <c r="BS2205">
        <v>6.15</v>
      </c>
      <c r="BT2205">
        <v>-1.21</v>
      </c>
      <c r="BU2205">
        <v>0.86</v>
      </c>
      <c r="BV2205">
        <v>0.83</v>
      </c>
      <c r="BW2205">
        <v>-1.28</v>
      </c>
      <c r="BX2205">
        <v>-1.83</v>
      </c>
      <c r="BY2205">
        <v>0.28999999999999998</v>
      </c>
      <c r="BZ2205">
        <v>0.25</v>
      </c>
      <c r="CA2205">
        <v>2.04</v>
      </c>
      <c r="CB2205">
        <v>0.72</v>
      </c>
      <c r="CC2205">
        <v>3.76</v>
      </c>
      <c r="CD2205">
        <v>-2.09</v>
      </c>
      <c r="CE2205">
        <v>1.32</v>
      </c>
      <c r="CF2205">
        <v>-1.29</v>
      </c>
      <c r="CG2205">
        <v>0</v>
      </c>
      <c r="CH2205">
        <v>-0.66</v>
      </c>
      <c r="CI2205">
        <v>0</v>
      </c>
      <c r="CJ2205">
        <v>-35.9</v>
      </c>
      <c r="CK2205">
        <v>12</v>
      </c>
      <c r="CL2205">
        <v>-1.21</v>
      </c>
      <c r="CM2205">
        <v>12</v>
      </c>
      <c r="CN2205">
        <v>-0.26</v>
      </c>
      <c r="CO2205">
        <v>11</v>
      </c>
      <c r="CP2205">
        <v>-56.1</v>
      </c>
      <c r="CQ2205">
        <v>12</v>
      </c>
      <c r="CR2205">
        <v>0</v>
      </c>
      <c r="CS2205">
        <v>0</v>
      </c>
      <c r="CT2205">
        <v>-80.8</v>
      </c>
      <c r="CU2205">
        <v>11</v>
      </c>
      <c r="CV2205">
        <v>-0.4</v>
      </c>
      <c r="CW2205">
        <v>4</v>
      </c>
      <c r="CX2205" t="s">
        <v>2023</v>
      </c>
    </row>
    <row r="2206" spans="1:102" x14ac:dyDescent="0.3">
      <c r="A2206" t="str">
        <f>HYPERLINK("https://webapp.icbf.com/v2/app/bull-search/view/532639484","DMF")</f>
        <v>DMF</v>
      </c>
      <c r="B2206" t="s">
        <v>7495</v>
      </c>
      <c r="C2206" t="s">
        <v>7496</v>
      </c>
      <c r="D2206" s="1">
        <v>39327</v>
      </c>
      <c r="E2206" t="s">
        <v>92</v>
      </c>
      <c r="F2206">
        <v>100</v>
      </c>
      <c r="G2206" t="s">
        <v>435</v>
      </c>
      <c r="H2206">
        <v>56.71</v>
      </c>
      <c r="I2206">
        <v>76</v>
      </c>
      <c r="J2206">
        <v>-12.05</v>
      </c>
      <c r="K2206">
        <v>93</v>
      </c>
      <c r="L2206">
        <v>22.11</v>
      </c>
      <c r="M2206">
        <v>75</v>
      </c>
      <c r="N2206">
        <v>20.76</v>
      </c>
      <c r="O2206">
        <v>57</v>
      </c>
      <c r="P2206">
        <v>-1.54</v>
      </c>
      <c r="Q2206">
        <v>61</v>
      </c>
      <c r="R2206">
        <v>13.7</v>
      </c>
      <c r="S2206">
        <v>74</v>
      </c>
      <c r="T2206">
        <v>8.7899999999999991</v>
      </c>
      <c r="U2206">
        <v>51</v>
      </c>
      <c r="V2206">
        <v>4.9400000000000004</v>
      </c>
      <c r="W2206">
        <v>71</v>
      </c>
      <c r="X2206" t="s">
        <v>94</v>
      </c>
      <c r="Y2206" t="s">
        <v>241</v>
      </c>
      <c r="Z2206" t="s">
        <v>96</v>
      </c>
      <c r="AA2206" t="s">
        <v>358</v>
      </c>
      <c r="AB2206" t="s">
        <v>7497</v>
      </c>
      <c r="AC2206">
        <v>0</v>
      </c>
      <c r="AD2206">
        <v>0</v>
      </c>
      <c r="AE2206">
        <v>93</v>
      </c>
      <c r="AF2206">
        <v>11.91</v>
      </c>
      <c r="AG2206">
        <v>-2.34</v>
      </c>
      <c r="AH2206">
        <v>-1.04</v>
      </c>
      <c r="AI2206">
        <v>-0.05</v>
      </c>
      <c r="AJ2206">
        <v>-0.02</v>
      </c>
      <c r="AK2206">
        <v>75</v>
      </c>
      <c r="AL2206">
        <v>1</v>
      </c>
      <c r="AM2206">
        <v>1</v>
      </c>
      <c r="AN2206">
        <v>0.12</v>
      </c>
      <c r="AO2206">
        <v>1.9</v>
      </c>
      <c r="AP2206">
        <v>1</v>
      </c>
      <c r="AQ2206">
        <v>0</v>
      </c>
      <c r="AR2206">
        <v>6.86</v>
      </c>
      <c r="AS2206">
        <v>61</v>
      </c>
      <c r="AT2206">
        <v>3</v>
      </c>
      <c r="AU2206">
        <v>70</v>
      </c>
      <c r="AV2206">
        <v>-2.2999999999999998</v>
      </c>
      <c r="AW2206">
        <v>52</v>
      </c>
      <c r="AX2206">
        <v>-0.05</v>
      </c>
      <c r="AY2206">
        <v>48</v>
      </c>
      <c r="AZ2206">
        <v>5.87</v>
      </c>
      <c r="BA2206">
        <v>53</v>
      </c>
      <c r="BB2206">
        <v>5.28</v>
      </c>
      <c r="BC2206">
        <v>54</v>
      </c>
      <c r="BD2206">
        <v>-0.03</v>
      </c>
      <c r="BE2206">
        <v>-0.05</v>
      </c>
      <c r="BF2206">
        <v>-0.17</v>
      </c>
      <c r="BG2206">
        <v>82</v>
      </c>
      <c r="BH2206">
        <v>-0.02</v>
      </c>
      <c r="BI2206">
        <v>-18.260000000000002</v>
      </c>
      <c r="BJ2206">
        <v>0</v>
      </c>
      <c r="BK2206">
        <v>0</v>
      </c>
      <c r="BL2206">
        <v>0.36</v>
      </c>
      <c r="BM2206">
        <v>-1.2</v>
      </c>
      <c r="BN2206">
        <v>-0.22</v>
      </c>
      <c r="BO2206">
        <v>0.53</v>
      </c>
      <c r="BP2206">
        <v>-0.45</v>
      </c>
      <c r="BQ2206">
        <v>-0.28999999999999998</v>
      </c>
      <c r="BR2206">
        <v>1.97</v>
      </c>
      <c r="BS2206">
        <v>1.1200000000000001</v>
      </c>
      <c r="BT2206">
        <v>-0.16</v>
      </c>
      <c r="BU2206">
        <v>0.35</v>
      </c>
      <c r="BV2206">
        <v>0.38</v>
      </c>
      <c r="BW2206">
        <v>-0.18</v>
      </c>
      <c r="BX2206">
        <v>0.72</v>
      </c>
      <c r="BY2206">
        <v>1.33</v>
      </c>
      <c r="BZ2206">
        <v>-1.34</v>
      </c>
      <c r="CA2206">
        <v>0.96</v>
      </c>
      <c r="CB2206">
        <v>0.45</v>
      </c>
      <c r="CC2206">
        <v>1.63</v>
      </c>
      <c r="CD2206">
        <v>-0.78</v>
      </c>
      <c r="CE2206">
        <v>0.35</v>
      </c>
      <c r="CF2206">
        <v>-0.01</v>
      </c>
      <c r="CG2206">
        <v>0</v>
      </c>
      <c r="CH2206">
        <v>-1.28</v>
      </c>
      <c r="CI2206">
        <v>0</v>
      </c>
      <c r="CJ2206">
        <v>-0.3</v>
      </c>
      <c r="CK2206">
        <v>63</v>
      </c>
      <c r="CL2206">
        <v>-0.8</v>
      </c>
      <c r="CM2206">
        <v>60</v>
      </c>
      <c r="CN2206">
        <v>-0.64</v>
      </c>
      <c r="CO2206">
        <v>59</v>
      </c>
      <c r="CP2206">
        <v>-2.4</v>
      </c>
      <c r="CQ2206">
        <v>53</v>
      </c>
      <c r="CR2206">
        <v>0</v>
      </c>
      <c r="CS2206">
        <v>0</v>
      </c>
      <c r="CT2206">
        <v>1.9</v>
      </c>
      <c r="CU2206">
        <v>51</v>
      </c>
      <c r="CV2206">
        <v>0.02</v>
      </c>
      <c r="CW2206">
        <v>39</v>
      </c>
      <c r="CX2206" t="s">
        <v>1037</v>
      </c>
    </row>
    <row r="2207" spans="1:102" x14ac:dyDescent="0.3">
      <c r="A2207" t="str">
        <f>HYPERLINK("https://webapp.icbf.com/v2/app/bull-search/view/77855248","MLU")</f>
        <v>MLU</v>
      </c>
      <c r="B2207" t="s">
        <v>4155</v>
      </c>
      <c r="C2207" t="s">
        <v>4156</v>
      </c>
      <c r="D2207" s="1">
        <v>31787</v>
      </c>
      <c r="E2207" t="s">
        <v>92</v>
      </c>
      <c r="F2207">
        <v>50</v>
      </c>
      <c r="G2207" t="s">
        <v>93</v>
      </c>
      <c r="H2207">
        <v>56.69</v>
      </c>
      <c r="I2207">
        <v>65</v>
      </c>
      <c r="J2207">
        <v>-45.94</v>
      </c>
      <c r="K2207">
        <v>78</v>
      </c>
      <c r="L2207">
        <v>57.17</v>
      </c>
      <c r="M2207">
        <v>60</v>
      </c>
      <c r="N2207">
        <v>30.62</v>
      </c>
      <c r="O2207">
        <v>52</v>
      </c>
      <c r="P2207">
        <v>12.28</v>
      </c>
      <c r="Q2207">
        <v>70</v>
      </c>
      <c r="R2207">
        <v>-5.34</v>
      </c>
      <c r="S2207">
        <v>59</v>
      </c>
      <c r="T2207">
        <v>5.09</v>
      </c>
      <c r="U2207">
        <v>70</v>
      </c>
      <c r="V2207">
        <v>2.81</v>
      </c>
      <c r="W2207">
        <v>27</v>
      </c>
      <c r="X2207" t="s">
        <v>94</v>
      </c>
      <c r="Y2207" t="s">
        <v>95</v>
      </c>
      <c r="Z2207" t="s">
        <v>96</v>
      </c>
      <c r="AA2207" t="s">
        <v>4157</v>
      </c>
      <c r="AB2207" t="s">
        <v>4158</v>
      </c>
      <c r="AC2207">
        <v>20</v>
      </c>
      <c r="AD2207">
        <v>17</v>
      </c>
      <c r="AE2207">
        <v>78</v>
      </c>
      <c r="AF2207">
        <v>-237.34</v>
      </c>
      <c r="AG2207">
        <v>-8.1</v>
      </c>
      <c r="AH2207">
        <v>-8.58</v>
      </c>
      <c r="AI2207">
        <v>0.02</v>
      </c>
      <c r="AJ2207">
        <v>-0.01</v>
      </c>
      <c r="AK2207">
        <v>60</v>
      </c>
      <c r="AL2207">
        <v>90</v>
      </c>
      <c r="AM2207">
        <v>60</v>
      </c>
      <c r="AN2207">
        <v>-3.82</v>
      </c>
      <c r="AO2207">
        <v>0.73</v>
      </c>
      <c r="AP2207">
        <v>17</v>
      </c>
      <c r="AQ2207">
        <v>3</v>
      </c>
      <c r="AR2207">
        <v>5.56</v>
      </c>
      <c r="AS2207">
        <v>25</v>
      </c>
      <c r="AT2207">
        <v>2.67</v>
      </c>
      <c r="AU2207">
        <v>43</v>
      </c>
      <c r="AV2207">
        <v>-1.98</v>
      </c>
      <c r="AW2207">
        <v>71</v>
      </c>
      <c r="AX2207">
        <v>-0.91</v>
      </c>
      <c r="AY2207">
        <v>60</v>
      </c>
      <c r="AZ2207">
        <v>5.29</v>
      </c>
      <c r="BA2207">
        <v>21</v>
      </c>
      <c r="BB2207">
        <v>4.5199999999999996</v>
      </c>
      <c r="BC2207">
        <v>30</v>
      </c>
      <c r="BD2207">
        <v>0.04</v>
      </c>
      <c r="BE2207">
        <v>0.04</v>
      </c>
      <c r="BF2207">
        <v>-0.02</v>
      </c>
      <c r="BG2207">
        <v>80</v>
      </c>
      <c r="BH2207">
        <v>-0.01</v>
      </c>
      <c r="BI2207">
        <v>-10.220000000000001</v>
      </c>
      <c r="BJ2207">
        <v>16</v>
      </c>
      <c r="BK2207">
        <v>9</v>
      </c>
      <c r="BL2207">
        <v>-0.89</v>
      </c>
      <c r="BM2207">
        <v>0.79</v>
      </c>
      <c r="BN2207">
        <v>-1.41</v>
      </c>
      <c r="BO2207">
        <v>-1.66</v>
      </c>
      <c r="BP2207">
        <v>-0.69</v>
      </c>
      <c r="BQ2207">
        <v>-1.1100000000000001</v>
      </c>
      <c r="BR2207">
        <v>-0.16</v>
      </c>
      <c r="BS2207">
        <v>0.12</v>
      </c>
      <c r="BT2207">
        <v>0.57999999999999996</v>
      </c>
      <c r="BU2207">
        <v>-0.34</v>
      </c>
      <c r="BV2207">
        <v>-1.45</v>
      </c>
      <c r="BW2207">
        <v>-1.91</v>
      </c>
      <c r="BX2207">
        <v>0.3</v>
      </c>
      <c r="BY2207">
        <v>-1.47</v>
      </c>
      <c r="BZ2207">
        <v>-0.8</v>
      </c>
      <c r="CA2207">
        <v>-1.36</v>
      </c>
      <c r="CB2207">
        <v>-1.47</v>
      </c>
      <c r="CC2207">
        <v>-0.8</v>
      </c>
      <c r="CD2207">
        <v>1.62</v>
      </c>
      <c r="CE2207">
        <v>-1.97</v>
      </c>
      <c r="CF2207">
        <v>-1.45</v>
      </c>
      <c r="CG2207">
        <v>0</v>
      </c>
      <c r="CH2207">
        <v>-1.43</v>
      </c>
      <c r="CI2207">
        <v>0</v>
      </c>
      <c r="CJ2207">
        <v>4</v>
      </c>
      <c r="CK2207">
        <v>72</v>
      </c>
      <c r="CL2207">
        <v>0.33</v>
      </c>
      <c r="CM2207">
        <v>68</v>
      </c>
      <c r="CN2207">
        <v>-0.27</v>
      </c>
      <c r="CO2207">
        <v>64</v>
      </c>
      <c r="CP2207">
        <v>1.3</v>
      </c>
      <c r="CQ2207">
        <v>71</v>
      </c>
      <c r="CR2207">
        <v>0</v>
      </c>
      <c r="CS2207">
        <v>0</v>
      </c>
      <c r="CT2207">
        <v>6.9</v>
      </c>
      <c r="CU2207">
        <v>70</v>
      </c>
      <c r="CV2207">
        <v>-0.1</v>
      </c>
      <c r="CW2207">
        <v>19</v>
      </c>
      <c r="CX2207" t="s">
        <v>4159</v>
      </c>
    </row>
    <row r="2208" spans="1:102" x14ac:dyDescent="0.3">
      <c r="A2208" t="str">
        <f>HYPERLINK("https://webapp.icbf.com/v2/app/bull-search/view/1193949407","S3244")</f>
        <v>S3244</v>
      </c>
      <c r="B2208" t="s">
        <v>9504</v>
      </c>
      <c r="C2208" t="s">
        <v>9505</v>
      </c>
      <c r="D2208" s="1">
        <v>41248</v>
      </c>
      <c r="E2208" t="s">
        <v>92</v>
      </c>
      <c r="F2208">
        <v>100</v>
      </c>
      <c r="G2208" t="s">
        <v>109</v>
      </c>
      <c r="H2208">
        <v>56.69</v>
      </c>
      <c r="I2208">
        <v>78</v>
      </c>
      <c r="J2208">
        <v>16.91</v>
      </c>
      <c r="K2208">
        <v>93</v>
      </c>
      <c r="L2208">
        <v>-10.47</v>
      </c>
      <c r="M2208">
        <v>85</v>
      </c>
      <c r="N2208">
        <v>30.07</v>
      </c>
      <c r="O2208">
        <v>66</v>
      </c>
      <c r="P2208">
        <v>-1.68</v>
      </c>
      <c r="Q2208">
        <v>45</v>
      </c>
      <c r="R2208">
        <v>13.08</v>
      </c>
      <c r="S2208">
        <v>73</v>
      </c>
      <c r="T2208">
        <v>-2.23</v>
      </c>
      <c r="U2208">
        <v>42</v>
      </c>
      <c r="V2208">
        <v>11.01</v>
      </c>
      <c r="W2208">
        <v>58</v>
      </c>
      <c r="X2208" t="s">
        <v>110</v>
      </c>
      <c r="Y2208" t="s">
        <v>2394</v>
      </c>
      <c r="Z2208" t="s">
        <v>96</v>
      </c>
      <c r="AA2208" t="s">
        <v>1894</v>
      </c>
      <c r="AB2208" t="s">
        <v>9506</v>
      </c>
      <c r="AC2208">
        <v>0</v>
      </c>
      <c r="AD2208">
        <v>0</v>
      </c>
      <c r="AE2208">
        <v>93</v>
      </c>
      <c r="AF2208">
        <v>385.9</v>
      </c>
      <c r="AG2208">
        <v>6.34</v>
      </c>
      <c r="AH2208">
        <v>6.54</v>
      </c>
      <c r="AI2208">
        <v>-0.15</v>
      </c>
      <c r="AJ2208">
        <v>-0.1</v>
      </c>
      <c r="AK2208">
        <v>85</v>
      </c>
      <c r="AL2208">
        <v>0</v>
      </c>
      <c r="AM2208">
        <v>0</v>
      </c>
      <c r="AN2208">
        <v>0.97</v>
      </c>
      <c r="AO2208">
        <v>0.14000000000000001</v>
      </c>
      <c r="AP2208">
        <v>7</v>
      </c>
      <c r="AQ2208">
        <v>0</v>
      </c>
      <c r="AR2208">
        <v>7.15</v>
      </c>
      <c r="AS2208">
        <v>58</v>
      </c>
      <c r="AT2208">
        <v>3.15</v>
      </c>
      <c r="AU2208">
        <v>91</v>
      </c>
      <c r="AV2208">
        <v>-3.67</v>
      </c>
      <c r="AW2208">
        <v>66</v>
      </c>
      <c r="AX2208">
        <v>-0.84</v>
      </c>
      <c r="AY2208">
        <v>49</v>
      </c>
      <c r="AZ2208">
        <v>7.23</v>
      </c>
      <c r="BA2208">
        <v>45</v>
      </c>
      <c r="BB2208">
        <v>5.19</v>
      </c>
      <c r="BC2208">
        <v>42</v>
      </c>
      <c r="BD2208">
        <v>-0.04</v>
      </c>
      <c r="BE2208">
        <v>-0.06</v>
      </c>
      <c r="BF2208">
        <v>-0.12</v>
      </c>
      <c r="BG2208">
        <v>90</v>
      </c>
      <c r="BH2208">
        <v>0.02</v>
      </c>
      <c r="BI2208">
        <v>-33.200000000000003</v>
      </c>
      <c r="BJ2208">
        <v>0</v>
      </c>
      <c r="BK2208">
        <v>0</v>
      </c>
      <c r="BL2208">
        <v>1.83</v>
      </c>
      <c r="BM2208">
        <v>-0.45</v>
      </c>
      <c r="BN2208">
        <v>0.54</v>
      </c>
      <c r="BO2208">
        <v>1.02</v>
      </c>
      <c r="BP2208">
        <v>1.23</v>
      </c>
      <c r="BQ2208">
        <v>2.1800000000000002</v>
      </c>
      <c r="BR2208">
        <v>-2.42</v>
      </c>
      <c r="BS2208">
        <v>4.0199999999999996</v>
      </c>
      <c r="BT2208">
        <v>2.04</v>
      </c>
      <c r="BU2208">
        <v>3.93</v>
      </c>
      <c r="BV2208">
        <v>4.17</v>
      </c>
      <c r="BW2208">
        <v>3.49</v>
      </c>
      <c r="BX2208">
        <v>3.66</v>
      </c>
      <c r="BY2208">
        <v>3.83</v>
      </c>
      <c r="BZ2208">
        <v>-1.61</v>
      </c>
      <c r="CA2208">
        <v>3.71</v>
      </c>
      <c r="CB2208">
        <v>3.37</v>
      </c>
      <c r="CC2208">
        <v>2.85</v>
      </c>
      <c r="CD2208">
        <v>-0.6</v>
      </c>
      <c r="CE2208">
        <v>0.82</v>
      </c>
      <c r="CF2208">
        <v>1.4</v>
      </c>
      <c r="CG2208">
        <v>0</v>
      </c>
      <c r="CH2208">
        <v>3.99</v>
      </c>
      <c r="CI2208">
        <v>0</v>
      </c>
      <c r="CJ2208">
        <v>0.4</v>
      </c>
      <c r="CK2208">
        <v>45</v>
      </c>
      <c r="CL2208">
        <v>-1.25</v>
      </c>
      <c r="CM2208">
        <v>45</v>
      </c>
      <c r="CN2208">
        <v>-0.86</v>
      </c>
      <c r="CO2208">
        <v>45</v>
      </c>
      <c r="CP2208">
        <v>4</v>
      </c>
      <c r="CQ2208">
        <v>43</v>
      </c>
      <c r="CR2208">
        <v>0</v>
      </c>
      <c r="CS2208">
        <v>0</v>
      </c>
      <c r="CT2208">
        <v>16.8</v>
      </c>
      <c r="CU2208">
        <v>42</v>
      </c>
      <c r="CV2208">
        <v>0.26</v>
      </c>
      <c r="CW2208">
        <v>35</v>
      </c>
      <c r="CX2208" t="s">
        <v>5274</v>
      </c>
    </row>
    <row r="2209" spans="1:102" x14ac:dyDescent="0.3">
      <c r="A2209" t="str">
        <f>HYPERLINK("https://webapp.icbf.com/v2/app/bull-search/view/556901900","CFV")</f>
        <v>CFV</v>
      </c>
      <c r="B2209" t="s">
        <v>12118</v>
      </c>
      <c r="C2209" t="s">
        <v>12119</v>
      </c>
      <c r="D2209" s="1">
        <v>39489</v>
      </c>
      <c r="E2209" t="s">
        <v>92</v>
      </c>
      <c r="F2209">
        <v>97</v>
      </c>
      <c r="G2209" t="s">
        <v>435</v>
      </c>
      <c r="H2209">
        <v>56.44</v>
      </c>
      <c r="I2209">
        <v>72</v>
      </c>
      <c r="J2209">
        <v>38.54</v>
      </c>
      <c r="K2209">
        <v>90</v>
      </c>
      <c r="L2209">
        <v>-26.88</v>
      </c>
      <c r="M2209">
        <v>69</v>
      </c>
      <c r="N2209">
        <v>42.28</v>
      </c>
      <c r="O2209">
        <v>56</v>
      </c>
      <c r="P2209">
        <v>-15.09</v>
      </c>
      <c r="Q2209">
        <v>61</v>
      </c>
      <c r="R2209">
        <v>4.0599999999999996</v>
      </c>
      <c r="S2209">
        <v>68</v>
      </c>
      <c r="T2209">
        <v>15.31</v>
      </c>
      <c r="U2209">
        <v>49</v>
      </c>
      <c r="V2209">
        <v>-1.78</v>
      </c>
      <c r="W2209">
        <v>62</v>
      </c>
      <c r="X2209" t="s">
        <v>94</v>
      </c>
      <c r="Y2209" t="s">
        <v>241</v>
      </c>
      <c r="Z2209" t="s">
        <v>96</v>
      </c>
      <c r="AA2209" t="s">
        <v>11485</v>
      </c>
      <c r="AB2209" t="s">
        <v>12120</v>
      </c>
      <c r="AC2209">
        <v>2</v>
      </c>
      <c r="AD2209">
        <v>1</v>
      </c>
      <c r="AE2209">
        <v>90</v>
      </c>
      <c r="AF2209">
        <v>178.16</v>
      </c>
      <c r="AG2209">
        <v>4.84</v>
      </c>
      <c r="AH2209">
        <v>7.57</v>
      </c>
      <c r="AI2209">
        <v>-0.04</v>
      </c>
      <c r="AJ2209">
        <v>0.03</v>
      </c>
      <c r="AK2209">
        <v>69</v>
      </c>
      <c r="AL2209">
        <v>2</v>
      </c>
      <c r="AM2209">
        <v>1</v>
      </c>
      <c r="AN2209">
        <v>0.95</v>
      </c>
      <c r="AO2209">
        <v>-1.2</v>
      </c>
      <c r="AP2209">
        <v>0</v>
      </c>
      <c r="AQ2209">
        <v>1</v>
      </c>
      <c r="AR2209">
        <v>4.84</v>
      </c>
      <c r="AS2209">
        <v>53</v>
      </c>
      <c r="AT2209">
        <v>2.62</v>
      </c>
      <c r="AU2209">
        <v>65</v>
      </c>
      <c r="AV2209">
        <v>-4.29</v>
      </c>
      <c r="AW2209">
        <v>58</v>
      </c>
      <c r="AX2209">
        <v>-0.84</v>
      </c>
      <c r="AY2209">
        <v>48</v>
      </c>
      <c r="AZ2209">
        <v>6.81</v>
      </c>
      <c r="BA2209">
        <v>43</v>
      </c>
      <c r="BB2209">
        <v>5.75</v>
      </c>
      <c r="BC2209">
        <v>46</v>
      </c>
      <c r="BD2209">
        <v>0.01</v>
      </c>
      <c r="BE2209">
        <v>0</v>
      </c>
      <c r="BF2209">
        <v>-0.11</v>
      </c>
      <c r="BG2209">
        <v>77</v>
      </c>
      <c r="BH2209">
        <v>0.19</v>
      </c>
      <c r="BI2209">
        <v>27.73</v>
      </c>
      <c r="BJ2209">
        <v>0</v>
      </c>
      <c r="BK2209">
        <v>0</v>
      </c>
      <c r="BL2209">
        <v>0.32</v>
      </c>
      <c r="BM2209">
        <v>-2.4</v>
      </c>
      <c r="BN2209">
        <v>-0.93</v>
      </c>
      <c r="BO2209">
        <v>0.94</v>
      </c>
      <c r="BP2209">
        <v>0.44</v>
      </c>
      <c r="BQ2209">
        <v>-1.06</v>
      </c>
      <c r="BR2209">
        <v>1.41</v>
      </c>
      <c r="BS2209">
        <v>-0.2</v>
      </c>
      <c r="BT2209">
        <v>-2.58</v>
      </c>
      <c r="BU2209">
        <v>-0.68</v>
      </c>
      <c r="BV2209">
        <v>-0.7</v>
      </c>
      <c r="BW2209">
        <v>0.34</v>
      </c>
      <c r="BX2209">
        <v>0.01</v>
      </c>
      <c r="BY2209">
        <v>0.1</v>
      </c>
      <c r="BZ2209">
        <v>0.23</v>
      </c>
      <c r="CA2209">
        <v>-0.16</v>
      </c>
      <c r="CB2209">
        <v>0.06</v>
      </c>
      <c r="CC2209">
        <v>-1.23</v>
      </c>
      <c r="CD2209">
        <v>-2.04</v>
      </c>
      <c r="CE2209">
        <v>0.42</v>
      </c>
      <c r="CF2209">
        <v>-0.19</v>
      </c>
      <c r="CG2209">
        <v>0</v>
      </c>
      <c r="CH2209">
        <v>1</v>
      </c>
      <c r="CI2209">
        <v>0</v>
      </c>
      <c r="CJ2209">
        <v>-4.9000000000000004</v>
      </c>
      <c r="CK2209">
        <v>63</v>
      </c>
      <c r="CL2209">
        <v>-0.94</v>
      </c>
      <c r="CM2209">
        <v>60</v>
      </c>
      <c r="CN2209">
        <v>-0.22</v>
      </c>
      <c r="CO2209">
        <v>58</v>
      </c>
      <c r="CP2209">
        <v>-8</v>
      </c>
      <c r="CQ2209">
        <v>52</v>
      </c>
      <c r="CR2209">
        <v>0</v>
      </c>
      <c r="CS2209">
        <v>0</v>
      </c>
      <c r="CT2209">
        <v>-6.9</v>
      </c>
      <c r="CU2209">
        <v>49</v>
      </c>
      <c r="CV2209">
        <v>0.21</v>
      </c>
      <c r="CW2209">
        <v>39</v>
      </c>
      <c r="CX2209" t="s">
        <v>1165</v>
      </c>
    </row>
    <row r="2210" spans="1:102" x14ac:dyDescent="0.3">
      <c r="A2210" t="str">
        <f>HYPERLINK("https://webapp.icbf.com/v2/app/bull-search/view/550982571","FGI")</f>
        <v>FGI</v>
      </c>
      <c r="B2210" t="s">
        <v>2938</v>
      </c>
      <c r="C2210" t="s">
        <v>2939</v>
      </c>
      <c r="D2210" s="1">
        <v>36590</v>
      </c>
      <c r="E2210" t="s">
        <v>227</v>
      </c>
      <c r="F2210">
        <v>0</v>
      </c>
      <c r="G2210" t="s">
        <v>93</v>
      </c>
      <c r="H2210">
        <v>56.35</v>
      </c>
      <c r="I2210">
        <v>86</v>
      </c>
      <c r="J2210">
        <v>36.85</v>
      </c>
      <c r="K2210">
        <v>96</v>
      </c>
      <c r="L2210">
        <v>-7.71</v>
      </c>
      <c r="M2210">
        <v>79</v>
      </c>
      <c r="N2210">
        <v>14.36</v>
      </c>
      <c r="O2210">
        <v>78</v>
      </c>
      <c r="P2210">
        <v>-53.76</v>
      </c>
      <c r="Q2210">
        <v>85</v>
      </c>
      <c r="R2210">
        <v>-8.3800000000000008</v>
      </c>
      <c r="S2210">
        <v>80</v>
      </c>
      <c r="T2210">
        <v>71.400000000000006</v>
      </c>
      <c r="U2210">
        <v>85</v>
      </c>
      <c r="V2210">
        <v>3.59</v>
      </c>
      <c r="W2210">
        <v>80</v>
      </c>
      <c r="X2210" t="s">
        <v>251</v>
      </c>
      <c r="Y2210" t="s">
        <v>329</v>
      </c>
      <c r="Z2210">
        <v>0</v>
      </c>
      <c r="AA2210" t="s">
        <v>554</v>
      </c>
      <c r="AB2210" t="s">
        <v>2940</v>
      </c>
      <c r="AC2210">
        <v>77</v>
      </c>
      <c r="AD2210">
        <v>31</v>
      </c>
      <c r="AE2210">
        <v>96</v>
      </c>
      <c r="AF2210">
        <v>-226.68</v>
      </c>
      <c r="AG2210">
        <v>15.88</v>
      </c>
      <c r="AH2210">
        <v>-2.82</v>
      </c>
      <c r="AI2210">
        <v>0.45</v>
      </c>
      <c r="AJ2210">
        <v>0.09</v>
      </c>
      <c r="AK2210">
        <v>79</v>
      </c>
      <c r="AL2210">
        <v>80</v>
      </c>
      <c r="AM2210">
        <v>32</v>
      </c>
      <c r="AN2210">
        <v>1.59</v>
      </c>
      <c r="AO2210">
        <v>0.99</v>
      </c>
      <c r="AP2210">
        <v>63</v>
      </c>
      <c r="AQ2210">
        <v>0</v>
      </c>
      <c r="AR2210">
        <v>2.12</v>
      </c>
      <c r="AS2210">
        <v>78</v>
      </c>
      <c r="AT2210">
        <v>1.66</v>
      </c>
      <c r="AU2210">
        <v>72</v>
      </c>
      <c r="AV2210">
        <v>0.12</v>
      </c>
      <c r="AW2210">
        <v>89</v>
      </c>
      <c r="AX2210">
        <v>-0.37</v>
      </c>
      <c r="AY2210">
        <v>74</v>
      </c>
      <c r="AZ2210">
        <v>7.58</v>
      </c>
      <c r="BA2210">
        <v>62</v>
      </c>
      <c r="BB2210">
        <v>5.9</v>
      </c>
      <c r="BC2210">
        <v>63</v>
      </c>
      <c r="BD2210">
        <v>-0.05</v>
      </c>
      <c r="BE2210">
        <v>0.04</v>
      </c>
      <c r="BF2210">
        <v>0.2</v>
      </c>
      <c r="BG2210">
        <v>88</v>
      </c>
      <c r="BH2210">
        <v>-0.01</v>
      </c>
      <c r="BI2210">
        <v>-12.73</v>
      </c>
      <c r="BJ2210">
        <v>1</v>
      </c>
      <c r="BK2210">
        <v>1</v>
      </c>
      <c r="BL2210">
        <v>-1.05</v>
      </c>
      <c r="BM2210">
        <v>-1.83</v>
      </c>
      <c r="BN2210">
        <v>0.06</v>
      </c>
      <c r="BO2210">
        <v>1.78</v>
      </c>
      <c r="BP2210">
        <v>0.4</v>
      </c>
      <c r="BQ2210">
        <v>-5.04</v>
      </c>
      <c r="BR2210">
        <v>2.7</v>
      </c>
      <c r="BS2210">
        <v>5.63</v>
      </c>
      <c r="BT2210">
        <v>-1.29</v>
      </c>
      <c r="BU2210">
        <v>1.26</v>
      </c>
      <c r="BV2210">
        <v>1.02</v>
      </c>
      <c r="BW2210">
        <v>-1.17</v>
      </c>
      <c r="BX2210">
        <v>-1.67</v>
      </c>
      <c r="BY2210">
        <v>0.92</v>
      </c>
      <c r="BZ2210">
        <v>0.43</v>
      </c>
      <c r="CA2210">
        <v>2.4500000000000002</v>
      </c>
      <c r="CB2210">
        <v>1.33</v>
      </c>
      <c r="CC2210">
        <v>3.67</v>
      </c>
      <c r="CD2210">
        <v>-2.5299999999999998</v>
      </c>
      <c r="CE2210">
        <v>1.79</v>
      </c>
      <c r="CF2210">
        <v>-1.08</v>
      </c>
      <c r="CG2210">
        <v>0</v>
      </c>
      <c r="CH2210">
        <v>0.13</v>
      </c>
      <c r="CI2210">
        <v>0</v>
      </c>
      <c r="CJ2210">
        <v>-27.5</v>
      </c>
      <c r="CK2210">
        <v>86</v>
      </c>
      <c r="CL2210">
        <v>-1.23</v>
      </c>
      <c r="CM2210">
        <v>83</v>
      </c>
      <c r="CN2210">
        <v>-0.39</v>
      </c>
      <c r="CO2210">
        <v>81</v>
      </c>
      <c r="CP2210">
        <v>-51.2</v>
      </c>
      <c r="CQ2210">
        <v>87</v>
      </c>
      <c r="CR2210">
        <v>0</v>
      </c>
      <c r="CS2210">
        <v>0</v>
      </c>
      <c r="CT2210">
        <v>-82.7</v>
      </c>
      <c r="CU2210">
        <v>85</v>
      </c>
      <c r="CV2210">
        <v>-0.17</v>
      </c>
      <c r="CW2210">
        <v>43</v>
      </c>
      <c r="CX2210" t="s">
        <v>2941</v>
      </c>
    </row>
    <row r="2211" spans="1:102" x14ac:dyDescent="0.3">
      <c r="A2211" t="str">
        <f>HYPERLINK("https://webapp.icbf.com/v2/app/bull-search/view/1028746995","S1494")</f>
        <v>S1494</v>
      </c>
      <c r="B2211" t="s">
        <v>9193</v>
      </c>
      <c r="C2211" t="s">
        <v>9194</v>
      </c>
      <c r="D2211" s="1">
        <v>40560</v>
      </c>
      <c r="E2211" t="s">
        <v>92</v>
      </c>
      <c r="F2211">
        <v>100</v>
      </c>
      <c r="G2211" t="s">
        <v>109</v>
      </c>
      <c r="H2211">
        <v>56.34</v>
      </c>
      <c r="I2211">
        <v>79</v>
      </c>
      <c r="J2211">
        <v>44.53</v>
      </c>
      <c r="K2211">
        <v>93</v>
      </c>
      <c r="L2211">
        <v>-0.43</v>
      </c>
      <c r="M2211">
        <v>76</v>
      </c>
      <c r="N2211">
        <v>4.17</v>
      </c>
      <c r="O2211">
        <v>68</v>
      </c>
      <c r="P2211">
        <v>-7.91</v>
      </c>
      <c r="Q2211">
        <v>72</v>
      </c>
      <c r="R2211">
        <v>13.8</v>
      </c>
      <c r="S2211">
        <v>74</v>
      </c>
      <c r="T2211">
        <v>-10.37</v>
      </c>
      <c r="U2211">
        <v>62</v>
      </c>
      <c r="V2211">
        <v>12.55</v>
      </c>
      <c r="W2211">
        <v>63</v>
      </c>
      <c r="X2211" t="s">
        <v>102</v>
      </c>
      <c r="Y2211" t="s">
        <v>362</v>
      </c>
      <c r="Z2211" t="s">
        <v>96</v>
      </c>
      <c r="AA2211" t="s">
        <v>9195</v>
      </c>
      <c r="AB2211" t="s">
        <v>9196</v>
      </c>
      <c r="AC2211">
        <v>0</v>
      </c>
      <c r="AD2211">
        <v>0</v>
      </c>
      <c r="AE2211">
        <v>93</v>
      </c>
      <c r="AF2211">
        <v>140.66</v>
      </c>
      <c r="AG2211">
        <v>3.1</v>
      </c>
      <c r="AH2211">
        <v>8.6300000000000008</v>
      </c>
      <c r="AI2211">
        <v>-0.04</v>
      </c>
      <c r="AJ2211">
        <v>7.0000000000000007E-2</v>
      </c>
      <c r="AK2211">
        <v>76</v>
      </c>
      <c r="AL2211">
        <v>0</v>
      </c>
      <c r="AM2211">
        <v>0</v>
      </c>
      <c r="AN2211">
        <v>0.37</v>
      </c>
      <c r="AO2211">
        <v>0.34</v>
      </c>
      <c r="AP2211">
        <v>31</v>
      </c>
      <c r="AQ2211">
        <v>0</v>
      </c>
      <c r="AR2211">
        <v>10.95</v>
      </c>
      <c r="AS2211">
        <v>60</v>
      </c>
      <c r="AT2211">
        <v>4.32</v>
      </c>
      <c r="AU2211">
        <v>75</v>
      </c>
      <c r="AV2211">
        <v>-2.61</v>
      </c>
      <c r="AW2211">
        <v>77</v>
      </c>
      <c r="AX2211">
        <v>-0.51</v>
      </c>
      <c r="AY2211">
        <v>60</v>
      </c>
      <c r="AZ2211">
        <v>5.85</v>
      </c>
      <c r="BA2211">
        <v>48</v>
      </c>
      <c r="BB2211">
        <v>4.21</v>
      </c>
      <c r="BC2211">
        <v>46</v>
      </c>
      <c r="BD2211">
        <v>-0.08</v>
      </c>
      <c r="BE2211">
        <v>-0.06</v>
      </c>
      <c r="BF2211">
        <v>-7.0000000000000007E-2</v>
      </c>
      <c r="BG2211">
        <v>87</v>
      </c>
      <c r="BH2211">
        <v>0.19</v>
      </c>
      <c r="BI2211">
        <v>-18.5</v>
      </c>
      <c r="BJ2211">
        <v>2</v>
      </c>
      <c r="BK2211">
        <v>2</v>
      </c>
      <c r="BL2211">
        <v>1.18</v>
      </c>
      <c r="BM2211">
        <v>-0.66</v>
      </c>
      <c r="BN2211">
        <v>-0.88</v>
      </c>
      <c r="BO2211">
        <v>-0.1</v>
      </c>
      <c r="BP2211">
        <v>1.41</v>
      </c>
      <c r="BQ2211">
        <v>-0.28999999999999998</v>
      </c>
      <c r="BR2211">
        <v>-0.38</v>
      </c>
      <c r="BS2211">
        <v>-0.6</v>
      </c>
      <c r="BT2211">
        <v>1.31</v>
      </c>
      <c r="BU2211">
        <v>1.9</v>
      </c>
      <c r="BV2211">
        <v>1.2</v>
      </c>
      <c r="BW2211">
        <v>0.95</v>
      </c>
      <c r="BX2211">
        <v>2.2799999999999998</v>
      </c>
      <c r="BY2211">
        <v>1.18</v>
      </c>
      <c r="BZ2211">
        <v>-0.68</v>
      </c>
      <c r="CA2211">
        <v>0.91</v>
      </c>
      <c r="CB2211">
        <v>1.29</v>
      </c>
      <c r="CC2211">
        <v>-0.32</v>
      </c>
      <c r="CD2211">
        <v>0.46</v>
      </c>
      <c r="CE2211">
        <v>0.01</v>
      </c>
      <c r="CF2211">
        <v>1.27</v>
      </c>
      <c r="CG2211">
        <v>0</v>
      </c>
      <c r="CH2211">
        <v>1.31</v>
      </c>
      <c r="CI2211">
        <v>0</v>
      </c>
      <c r="CJ2211">
        <v>-0.4</v>
      </c>
      <c r="CK2211">
        <v>75</v>
      </c>
      <c r="CL2211">
        <v>-1.27</v>
      </c>
      <c r="CM2211">
        <v>71</v>
      </c>
      <c r="CN2211">
        <v>-0.34</v>
      </c>
      <c r="CO2211">
        <v>69</v>
      </c>
      <c r="CP2211">
        <v>11.8</v>
      </c>
      <c r="CQ2211">
        <v>63</v>
      </c>
      <c r="CR2211">
        <v>0</v>
      </c>
      <c r="CS2211">
        <v>0</v>
      </c>
      <c r="CT2211">
        <v>27.8</v>
      </c>
      <c r="CU2211">
        <v>62</v>
      </c>
      <c r="CV2211">
        <v>0.31</v>
      </c>
      <c r="CW2211">
        <v>41</v>
      </c>
      <c r="CX2211" t="s">
        <v>316</v>
      </c>
    </row>
    <row r="2212" spans="1:102" x14ac:dyDescent="0.3">
      <c r="A2212" t="str">
        <f>HYPERLINK("https://webapp.icbf.com/v2/app/bull-search/view/970789154","S1342")</f>
        <v>S1342</v>
      </c>
      <c r="B2212" t="s">
        <v>15124</v>
      </c>
      <c r="C2212" t="s">
        <v>15125</v>
      </c>
      <c r="D2212" s="1">
        <v>40092</v>
      </c>
      <c r="E2212" t="s">
        <v>92</v>
      </c>
      <c r="F2212">
        <v>100</v>
      </c>
      <c r="G2212" t="s">
        <v>109</v>
      </c>
      <c r="H2212">
        <v>56.31</v>
      </c>
      <c r="I2212">
        <v>82</v>
      </c>
      <c r="J2212">
        <v>61.19</v>
      </c>
      <c r="K2212">
        <v>94</v>
      </c>
      <c r="L2212">
        <v>-24.94</v>
      </c>
      <c r="M2212">
        <v>83</v>
      </c>
      <c r="N2212">
        <v>27.25</v>
      </c>
      <c r="O2212">
        <v>74</v>
      </c>
      <c r="P2212">
        <v>-27.08</v>
      </c>
      <c r="Q2212">
        <v>79</v>
      </c>
      <c r="R2212">
        <v>11.82</v>
      </c>
      <c r="S2212">
        <v>76</v>
      </c>
      <c r="T2212">
        <v>-1.2</v>
      </c>
      <c r="U2212">
        <v>60</v>
      </c>
      <c r="V2212">
        <v>9.27</v>
      </c>
      <c r="W2212">
        <v>60</v>
      </c>
      <c r="X2212" t="s">
        <v>234</v>
      </c>
      <c r="Y2212" t="s">
        <v>342</v>
      </c>
      <c r="Z2212" t="s">
        <v>96</v>
      </c>
      <c r="AA2212" t="s">
        <v>1962</v>
      </c>
      <c r="AB2212" t="s">
        <v>5612</v>
      </c>
      <c r="AC2212">
        <v>0</v>
      </c>
      <c r="AD2212">
        <v>0</v>
      </c>
      <c r="AE2212">
        <v>94</v>
      </c>
      <c r="AF2212">
        <v>381.78</v>
      </c>
      <c r="AG2212">
        <v>10.8</v>
      </c>
      <c r="AH2212">
        <v>12.43</v>
      </c>
      <c r="AI2212">
        <v>-7.0000000000000007E-2</v>
      </c>
      <c r="AJ2212">
        <v>-0.01</v>
      </c>
      <c r="AK2212">
        <v>83</v>
      </c>
      <c r="AL2212">
        <v>0</v>
      </c>
      <c r="AM2212">
        <v>0</v>
      </c>
      <c r="AN2212">
        <v>3.59</v>
      </c>
      <c r="AO2212">
        <v>1.63</v>
      </c>
      <c r="AP2212">
        <v>44</v>
      </c>
      <c r="AQ2212">
        <v>1</v>
      </c>
      <c r="AR2212">
        <v>6.82</v>
      </c>
      <c r="AS2212">
        <v>68</v>
      </c>
      <c r="AT2212">
        <v>2.71</v>
      </c>
      <c r="AU2212">
        <v>88</v>
      </c>
      <c r="AV2212">
        <v>-2.5499999999999998</v>
      </c>
      <c r="AW2212">
        <v>79</v>
      </c>
      <c r="AX2212">
        <v>-0.06</v>
      </c>
      <c r="AY2212">
        <v>66</v>
      </c>
      <c r="AZ2212">
        <v>6.55</v>
      </c>
      <c r="BA2212">
        <v>56</v>
      </c>
      <c r="BB2212">
        <v>4.67</v>
      </c>
      <c r="BC2212">
        <v>50</v>
      </c>
      <c r="BD2212">
        <v>-0.04</v>
      </c>
      <c r="BE2212">
        <v>-0.05</v>
      </c>
      <c r="BF2212">
        <v>-0.11</v>
      </c>
      <c r="BG2212">
        <v>90</v>
      </c>
      <c r="BH2212">
        <v>-0.02</v>
      </c>
      <c r="BI2212">
        <v>-32.22</v>
      </c>
      <c r="BJ2212">
        <v>12</v>
      </c>
      <c r="BK2212">
        <v>8</v>
      </c>
      <c r="BL2212">
        <v>0.93</v>
      </c>
      <c r="BM2212">
        <v>-1.1499999999999999</v>
      </c>
      <c r="BN2212">
        <v>0.84</v>
      </c>
      <c r="BO2212">
        <v>1.27</v>
      </c>
      <c r="BP2212">
        <v>-2.66</v>
      </c>
      <c r="BQ2212">
        <v>-0.35</v>
      </c>
      <c r="BR2212">
        <v>1.67</v>
      </c>
      <c r="BS2212">
        <v>1.5</v>
      </c>
      <c r="BT2212">
        <v>-0.01</v>
      </c>
      <c r="BU2212">
        <v>3.86</v>
      </c>
      <c r="BV2212">
        <v>3.23</v>
      </c>
      <c r="BW2212">
        <v>3.2</v>
      </c>
      <c r="BX2212">
        <v>2.83</v>
      </c>
      <c r="BY2212">
        <v>1.71</v>
      </c>
      <c r="BZ2212">
        <v>-0.47</v>
      </c>
      <c r="CA2212">
        <v>2.87</v>
      </c>
      <c r="CB2212">
        <v>3.4</v>
      </c>
      <c r="CC2212">
        <v>1.17</v>
      </c>
      <c r="CD2212">
        <v>-1.35</v>
      </c>
      <c r="CE2212">
        <v>1.34</v>
      </c>
      <c r="CF2212">
        <v>0.56000000000000005</v>
      </c>
      <c r="CG2212">
        <v>0</v>
      </c>
      <c r="CH2212">
        <v>1.98</v>
      </c>
      <c r="CI2212">
        <v>0</v>
      </c>
      <c r="CJ2212">
        <v>-12.7</v>
      </c>
      <c r="CK2212">
        <v>82</v>
      </c>
      <c r="CL2212">
        <v>-1.63</v>
      </c>
      <c r="CM2212">
        <v>79</v>
      </c>
      <c r="CN2212">
        <v>-0.7</v>
      </c>
      <c r="CO2212">
        <v>77</v>
      </c>
      <c r="CP2212">
        <v>-6.2</v>
      </c>
      <c r="CQ2212">
        <v>67</v>
      </c>
      <c r="CR2212">
        <v>0</v>
      </c>
      <c r="CS2212">
        <v>0</v>
      </c>
      <c r="CT2212">
        <v>15.4</v>
      </c>
      <c r="CU2212">
        <v>60</v>
      </c>
      <c r="CV2212">
        <v>0.08</v>
      </c>
      <c r="CW2212">
        <v>42</v>
      </c>
      <c r="CX2212" t="s">
        <v>309</v>
      </c>
    </row>
    <row r="2213" spans="1:102" x14ac:dyDescent="0.3">
      <c r="A2213" t="str">
        <f>HYPERLINK("https://webapp.icbf.com/v2/app/bull-search/view/344213250","MYN")</f>
        <v>MYN</v>
      </c>
      <c r="B2213" t="s">
        <v>14403</v>
      </c>
      <c r="C2213" t="s">
        <v>14404</v>
      </c>
      <c r="D2213" s="1">
        <v>38026</v>
      </c>
      <c r="E2213" t="s">
        <v>108</v>
      </c>
      <c r="F2213">
        <v>9</v>
      </c>
      <c r="G2213" t="s">
        <v>435</v>
      </c>
      <c r="H2213">
        <v>56.18</v>
      </c>
      <c r="I2213">
        <v>70</v>
      </c>
      <c r="J2213">
        <v>7.34</v>
      </c>
      <c r="K2213">
        <v>85</v>
      </c>
      <c r="L2213">
        <v>26.58</v>
      </c>
      <c r="M2213">
        <v>63</v>
      </c>
      <c r="N2213">
        <v>17.52</v>
      </c>
      <c r="O2213">
        <v>62</v>
      </c>
      <c r="P2213">
        <v>-12.3</v>
      </c>
      <c r="Q2213">
        <v>65</v>
      </c>
      <c r="R2213">
        <v>-8.51</v>
      </c>
      <c r="S2213">
        <v>65</v>
      </c>
      <c r="T2213">
        <v>25.89</v>
      </c>
      <c r="U2213">
        <v>54</v>
      </c>
      <c r="V2213">
        <v>-0.34</v>
      </c>
      <c r="W2213">
        <v>61</v>
      </c>
      <c r="X2213" t="s">
        <v>94</v>
      </c>
      <c r="Y2213" t="s">
        <v>1153</v>
      </c>
      <c r="Z2213" t="s">
        <v>96</v>
      </c>
      <c r="AA2213" t="s">
        <v>478</v>
      </c>
      <c r="AB2213" t="s">
        <v>14405</v>
      </c>
      <c r="AC2213">
        <v>5</v>
      </c>
      <c r="AD2213">
        <v>4</v>
      </c>
      <c r="AE2213">
        <v>85</v>
      </c>
      <c r="AF2213">
        <v>-143.54</v>
      </c>
      <c r="AG2213">
        <v>1.67</v>
      </c>
      <c r="AH2213">
        <v>-1.54</v>
      </c>
      <c r="AI2213">
        <v>0.13</v>
      </c>
      <c r="AJ2213">
        <v>0.06</v>
      </c>
      <c r="AK2213">
        <v>63</v>
      </c>
      <c r="AL2213">
        <v>5</v>
      </c>
      <c r="AM2213">
        <v>4</v>
      </c>
      <c r="AN2213">
        <v>-1.41</v>
      </c>
      <c r="AO2213">
        <v>0.71</v>
      </c>
      <c r="AP2213">
        <v>11</v>
      </c>
      <c r="AQ2213">
        <v>0</v>
      </c>
      <c r="AR2213">
        <v>6.69</v>
      </c>
      <c r="AS2213">
        <v>52</v>
      </c>
      <c r="AT2213">
        <v>2.31</v>
      </c>
      <c r="AU2213">
        <v>64</v>
      </c>
      <c r="AV2213">
        <v>-3.77</v>
      </c>
      <c r="AW2213">
        <v>72</v>
      </c>
      <c r="AX2213">
        <v>0.23</v>
      </c>
      <c r="AY2213">
        <v>54</v>
      </c>
      <c r="AZ2213">
        <v>9.58</v>
      </c>
      <c r="BA2213">
        <v>46</v>
      </c>
      <c r="BB2213">
        <v>7.49</v>
      </c>
      <c r="BC2213">
        <v>47</v>
      </c>
      <c r="BD2213">
        <v>0.1</v>
      </c>
      <c r="BE2213">
        <v>0.01</v>
      </c>
      <c r="BF2213">
        <v>0.01</v>
      </c>
      <c r="BG2213">
        <v>71</v>
      </c>
      <c r="BH2213">
        <v>0.03</v>
      </c>
      <c r="BI2213">
        <v>4.57</v>
      </c>
      <c r="BJ2213">
        <v>0</v>
      </c>
      <c r="BK2213">
        <v>0</v>
      </c>
      <c r="BL2213">
        <v>-2.95</v>
      </c>
      <c r="BM2213">
        <v>1.53</v>
      </c>
      <c r="BN2213">
        <v>-1.91</v>
      </c>
      <c r="BO2213">
        <v>-2.14</v>
      </c>
      <c r="BP2213">
        <v>-1.71</v>
      </c>
      <c r="BQ2213">
        <v>1.0900000000000001</v>
      </c>
      <c r="BR2213">
        <v>-0.79</v>
      </c>
      <c r="BS2213">
        <v>-1.35</v>
      </c>
      <c r="BT2213">
        <v>-0.1</v>
      </c>
      <c r="BU2213">
        <v>-2.94</v>
      </c>
      <c r="BV2213">
        <v>-1.38</v>
      </c>
      <c r="BW2213">
        <v>-2.06</v>
      </c>
      <c r="BX2213">
        <v>-2.69</v>
      </c>
      <c r="BY2213">
        <v>-1.51</v>
      </c>
      <c r="BZ2213">
        <v>1.08</v>
      </c>
      <c r="CA2213">
        <v>-2.4700000000000002</v>
      </c>
      <c r="CB2213">
        <v>-2.33</v>
      </c>
      <c r="CC2213">
        <v>-1.77</v>
      </c>
      <c r="CD2213">
        <v>1.44</v>
      </c>
      <c r="CE2213">
        <v>-2.09</v>
      </c>
      <c r="CF2213">
        <v>-2.23</v>
      </c>
      <c r="CG2213">
        <v>0</v>
      </c>
      <c r="CH2213">
        <v>-0.7</v>
      </c>
      <c r="CI2213">
        <v>0</v>
      </c>
      <c r="CJ2213">
        <v>-7.4</v>
      </c>
      <c r="CK2213">
        <v>66</v>
      </c>
      <c r="CL2213">
        <v>-0.15</v>
      </c>
      <c r="CM2213">
        <v>64</v>
      </c>
      <c r="CN2213">
        <v>-0.17</v>
      </c>
      <c r="CO2213">
        <v>62</v>
      </c>
      <c r="CP2213">
        <v>-16.899999999999999</v>
      </c>
      <c r="CQ2213">
        <v>61</v>
      </c>
      <c r="CR2213">
        <v>0</v>
      </c>
      <c r="CS2213">
        <v>0</v>
      </c>
      <c r="CT2213">
        <v>-21.2</v>
      </c>
      <c r="CU2213">
        <v>54</v>
      </c>
      <c r="CV2213">
        <v>-0.02</v>
      </c>
      <c r="CW2213">
        <v>39</v>
      </c>
      <c r="CX2213" t="s">
        <v>738</v>
      </c>
    </row>
    <row r="2214" spans="1:102" x14ac:dyDescent="0.3">
      <c r="A2214" t="str">
        <f>HYPERLINK("https://webapp.icbf.com/v2/app/bull-search/view/108367881","LOO")</f>
        <v>LOO</v>
      </c>
      <c r="B2214" t="s">
        <v>14087</v>
      </c>
      <c r="C2214" t="s">
        <v>7828</v>
      </c>
      <c r="D2214" s="1">
        <v>34966</v>
      </c>
      <c r="E2214" t="s">
        <v>92</v>
      </c>
      <c r="F2214">
        <v>100</v>
      </c>
      <c r="G2214" t="s">
        <v>93</v>
      </c>
      <c r="H2214">
        <v>56.13</v>
      </c>
      <c r="I2214">
        <v>98</v>
      </c>
      <c r="J2214">
        <v>75.260000000000005</v>
      </c>
      <c r="K2214">
        <v>99</v>
      </c>
      <c r="L2214">
        <v>-50.49</v>
      </c>
      <c r="M2214">
        <v>97</v>
      </c>
      <c r="N2214">
        <v>31.72</v>
      </c>
      <c r="O2214">
        <v>99</v>
      </c>
      <c r="P2214">
        <v>-17.5</v>
      </c>
      <c r="Q2214">
        <v>99</v>
      </c>
      <c r="R2214">
        <v>1.84</v>
      </c>
      <c r="S2214">
        <v>99</v>
      </c>
      <c r="T2214">
        <v>15.45</v>
      </c>
      <c r="U2214">
        <v>99</v>
      </c>
      <c r="V2214">
        <v>-0.15</v>
      </c>
      <c r="W2214">
        <v>99</v>
      </c>
      <c r="X2214" t="s">
        <v>276</v>
      </c>
      <c r="Y2214" t="s">
        <v>95</v>
      </c>
      <c r="Z2214" t="s">
        <v>96</v>
      </c>
      <c r="AA2214" t="s">
        <v>529</v>
      </c>
      <c r="AB2214" t="s">
        <v>14088</v>
      </c>
      <c r="AC2214">
        <v>5410</v>
      </c>
      <c r="AD2214">
        <v>1394</v>
      </c>
      <c r="AE2214">
        <v>99</v>
      </c>
      <c r="AF2214">
        <v>36.22</v>
      </c>
      <c r="AG2214">
        <v>16.32</v>
      </c>
      <c r="AH2214">
        <v>7.58</v>
      </c>
      <c r="AI2214">
        <v>0.26</v>
      </c>
      <c r="AJ2214">
        <v>0.11</v>
      </c>
      <c r="AK2214">
        <v>97</v>
      </c>
      <c r="AL2214">
        <v>5932</v>
      </c>
      <c r="AM2214">
        <v>1705</v>
      </c>
      <c r="AN2214">
        <v>2.46</v>
      </c>
      <c r="AO2214">
        <v>-1.57</v>
      </c>
      <c r="AP2214">
        <v>9712</v>
      </c>
      <c r="AQ2214">
        <v>46</v>
      </c>
      <c r="AR2214">
        <v>7.03</v>
      </c>
      <c r="AS2214">
        <v>99</v>
      </c>
      <c r="AT2214">
        <v>2.62</v>
      </c>
      <c r="AU2214">
        <v>99</v>
      </c>
      <c r="AV2214">
        <v>-3.05</v>
      </c>
      <c r="AW2214">
        <v>99</v>
      </c>
      <c r="AX2214">
        <v>-0.26</v>
      </c>
      <c r="AY2214">
        <v>99</v>
      </c>
      <c r="AZ2214">
        <v>5.71</v>
      </c>
      <c r="BA2214">
        <v>99</v>
      </c>
      <c r="BB2214">
        <v>4.9800000000000004</v>
      </c>
      <c r="BC2214">
        <v>99</v>
      </c>
      <c r="BD2214">
        <v>-0.02</v>
      </c>
      <c r="BE2214">
        <v>-0.01</v>
      </c>
      <c r="BF2214">
        <v>0.01</v>
      </c>
      <c r="BG2214">
        <v>99</v>
      </c>
      <c r="BH2214">
        <v>-0.02</v>
      </c>
      <c r="BI2214">
        <v>-1.83</v>
      </c>
      <c r="BJ2214">
        <v>315</v>
      </c>
      <c r="BK2214">
        <v>130</v>
      </c>
      <c r="BL2214">
        <v>-0.34</v>
      </c>
      <c r="BM2214">
        <v>0.96</v>
      </c>
      <c r="BN2214">
        <v>0.35</v>
      </c>
      <c r="BO2214">
        <v>-0.25</v>
      </c>
      <c r="BP2214">
        <v>-0.83</v>
      </c>
      <c r="BQ2214">
        <v>0.02</v>
      </c>
      <c r="BR2214">
        <v>-0.76</v>
      </c>
      <c r="BS2214">
        <v>-0.49</v>
      </c>
      <c r="BT2214">
        <v>-0.6</v>
      </c>
      <c r="BU2214">
        <v>-0.4</v>
      </c>
      <c r="BV2214">
        <v>7.0000000000000007E-2</v>
      </c>
      <c r="BW2214">
        <v>-0.98</v>
      </c>
      <c r="BX2214">
        <v>-1.29</v>
      </c>
      <c r="BY2214">
        <v>-0.57999999999999996</v>
      </c>
      <c r="BZ2214">
        <v>-1.01</v>
      </c>
      <c r="CA2214">
        <v>-0.83</v>
      </c>
      <c r="CB2214">
        <v>-0.6</v>
      </c>
      <c r="CC2214">
        <v>-0.77</v>
      </c>
      <c r="CD2214">
        <v>0.75</v>
      </c>
      <c r="CE2214">
        <v>-0.38</v>
      </c>
      <c r="CF2214">
        <v>0.06</v>
      </c>
      <c r="CG2214">
        <v>0</v>
      </c>
      <c r="CH2214">
        <v>-0.65</v>
      </c>
      <c r="CI2214">
        <v>0</v>
      </c>
      <c r="CJ2214">
        <v>-6.8</v>
      </c>
      <c r="CK2214">
        <v>99</v>
      </c>
      <c r="CL2214">
        <v>-0.73</v>
      </c>
      <c r="CM2214">
        <v>99</v>
      </c>
      <c r="CN2214">
        <v>-0.11</v>
      </c>
      <c r="CO2214">
        <v>99</v>
      </c>
      <c r="CP2214">
        <v>-12.5</v>
      </c>
      <c r="CQ2214">
        <v>99</v>
      </c>
      <c r="CR2214">
        <v>0</v>
      </c>
      <c r="CS2214">
        <v>0</v>
      </c>
      <c r="CT2214">
        <v>-7.1</v>
      </c>
      <c r="CU2214">
        <v>99</v>
      </c>
      <c r="CV2214">
        <v>-0.09</v>
      </c>
      <c r="CW2214">
        <v>49</v>
      </c>
      <c r="CX2214" t="s">
        <v>132</v>
      </c>
    </row>
    <row r="2215" spans="1:102" x14ac:dyDescent="0.3">
      <c r="A2215" t="str">
        <f>HYPERLINK("https://webapp.icbf.com/v2/app/bull-search/view/993176335","AY2374")</f>
        <v>AY2374</v>
      </c>
      <c r="B2215" t="s">
        <v>8368</v>
      </c>
      <c r="C2215" t="s">
        <v>8369</v>
      </c>
      <c r="D2215" s="1">
        <v>39758</v>
      </c>
      <c r="E2215" t="s">
        <v>1061</v>
      </c>
      <c r="F2215">
        <v>0</v>
      </c>
      <c r="G2215" t="s">
        <v>109</v>
      </c>
      <c r="H2215">
        <v>56.12</v>
      </c>
      <c r="I2215">
        <v>70</v>
      </c>
      <c r="J2215">
        <v>-14.63</v>
      </c>
      <c r="K2215">
        <v>86</v>
      </c>
      <c r="L2215">
        <v>59.49</v>
      </c>
      <c r="M2215">
        <v>75</v>
      </c>
      <c r="N2215">
        <v>9.75</v>
      </c>
      <c r="O2215">
        <v>71</v>
      </c>
      <c r="P2215">
        <v>-18.489999999999998</v>
      </c>
      <c r="Q2215">
        <v>46</v>
      </c>
      <c r="R2215">
        <v>6.58</v>
      </c>
      <c r="S2215">
        <v>37</v>
      </c>
      <c r="T2215">
        <v>18.78</v>
      </c>
      <c r="U2215">
        <v>39</v>
      </c>
      <c r="V2215">
        <v>-5.36</v>
      </c>
      <c r="W2215">
        <v>38</v>
      </c>
      <c r="X2215" t="s">
        <v>94</v>
      </c>
      <c r="Y2215" t="s">
        <v>1775</v>
      </c>
      <c r="Z2215">
        <v>0</v>
      </c>
      <c r="AA2215" t="s">
        <v>6869</v>
      </c>
      <c r="AB2215" t="s">
        <v>7182</v>
      </c>
      <c r="AC2215">
        <v>0</v>
      </c>
      <c r="AD2215">
        <v>0</v>
      </c>
      <c r="AE2215">
        <v>86</v>
      </c>
      <c r="AF2215">
        <v>-33.58</v>
      </c>
      <c r="AG2215">
        <v>-1.76</v>
      </c>
      <c r="AH2215">
        <v>-2.38</v>
      </c>
      <c r="AI2215">
        <v>-0.01</v>
      </c>
      <c r="AJ2215">
        <v>-0.02</v>
      </c>
      <c r="AK2215">
        <v>75</v>
      </c>
      <c r="AL2215">
        <v>0</v>
      </c>
      <c r="AM2215">
        <v>0</v>
      </c>
      <c r="AN2215">
        <v>-2.0099999999999998</v>
      </c>
      <c r="AO2215">
        <v>2.75</v>
      </c>
      <c r="AP2215">
        <v>74</v>
      </c>
      <c r="AQ2215">
        <v>0</v>
      </c>
      <c r="AR2215">
        <v>8.08</v>
      </c>
      <c r="AS2215">
        <v>56</v>
      </c>
      <c r="AT2215">
        <v>3.36</v>
      </c>
      <c r="AU2215">
        <v>86</v>
      </c>
      <c r="AV2215">
        <v>-1.9</v>
      </c>
      <c r="AW2215">
        <v>84</v>
      </c>
      <c r="AX2215">
        <v>-0.6</v>
      </c>
      <c r="AY2215">
        <v>59</v>
      </c>
      <c r="AZ2215">
        <v>6.82</v>
      </c>
      <c r="BA2215">
        <v>31</v>
      </c>
      <c r="BB2215">
        <v>5.55</v>
      </c>
      <c r="BC2215">
        <v>31</v>
      </c>
      <c r="BD2215">
        <v>-0.05</v>
      </c>
      <c r="BE2215">
        <v>-0.02</v>
      </c>
      <c r="BF2215">
        <v>-0.03</v>
      </c>
      <c r="BG2215">
        <v>41</v>
      </c>
      <c r="BH2215">
        <v>-0.01</v>
      </c>
      <c r="BI2215">
        <v>16.12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-6</v>
      </c>
      <c r="CK2215">
        <v>48</v>
      </c>
      <c r="CL2215">
        <v>-0.98</v>
      </c>
      <c r="CM2215">
        <v>44</v>
      </c>
      <c r="CN2215">
        <v>-0.17</v>
      </c>
      <c r="CO2215">
        <v>43</v>
      </c>
      <c r="CP2215">
        <v>-13.9</v>
      </c>
      <c r="CQ2215">
        <v>40</v>
      </c>
      <c r="CR2215">
        <v>0</v>
      </c>
      <c r="CS2215">
        <v>0</v>
      </c>
      <c r="CT2215">
        <v>-11.6</v>
      </c>
      <c r="CU2215">
        <v>39</v>
      </c>
      <c r="CV2215">
        <v>-0.06</v>
      </c>
      <c r="CW2215">
        <v>35</v>
      </c>
      <c r="CX2215" t="s">
        <v>1983</v>
      </c>
    </row>
    <row r="2216" spans="1:102" x14ac:dyDescent="0.3">
      <c r="A2216" t="str">
        <f>HYPERLINK("https://webapp.icbf.com/v2/app/bull-search/view/720496275","S1373")</f>
        <v>S1373</v>
      </c>
      <c r="B2216" t="s">
        <v>1898</v>
      </c>
      <c r="C2216" t="s">
        <v>1899</v>
      </c>
      <c r="D2216" s="1">
        <v>38409</v>
      </c>
      <c r="E2216" t="s">
        <v>227</v>
      </c>
      <c r="F2216">
        <v>0</v>
      </c>
      <c r="G2216" t="s">
        <v>109</v>
      </c>
      <c r="H2216">
        <v>55.99</v>
      </c>
      <c r="I2216">
        <v>72</v>
      </c>
      <c r="J2216">
        <v>17.34</v>
      </c>
      <c r="K2216">
        <v>88</v>
      </c>
      <c r="L2216">
        <v>12.48</v>
      </c>
      <c r="M2216">
        <v>80</v>
      </c>
      <c r="N2216">
        <v>17.32</v>
      </c>
      <c r="O2216">
        <v>50</v>
      </c>
      <c r="P2216">
        <v>-75.599999999999994</v>
      </c>
      <c r="Q2216">
        <v>47</v>
      </c>
      <c r="R2216">
        <v>3.33</v>
      </c>
      <c r="S2216">
        <v>58</v>
      </c>
      <c r="T2216">
        <v>70.95</v>
      </c>
      <c r="U2216">
        <v>37</v>
      </c>
      <c r="V2216">
        <v>10.17</v>
      </c>
      <c r="W2216">
        <v>54</v>
      </c>
      <c r="X2216" t="s">
        <v>94</v>
      </c>
      <c r="Y2216" t="s">
        <v>342</v>
      </c>
      <c r="Z2216">
        <v>0</v>
      </c>
      <c r="AA2216" t="s">
        <v>1900</v>
      </c>
      <c r="AB2216" t="s">
        <v>1719</v>
      </c>
      <c r="AC2216">
        <v>0</v>
      </c>
      <c r="AD2216">
        <v>0</v>
      </c>
      <c r="AE2216">
        <v>88</v>
      </c>
      <c r="AF2216">
        <v>-426.51</v>
      </c>
      <c r="AG2216">
        <v>2.63</v>
      </c>
      <c r="AH2216">
        <v>-4.51</v>
      </c>
      <c r="AI2216">
        <v>0.36</v>
      </c>
      <c r="AJ2216">
        <v>0.19</v>
      </c>
      <c r="AK2216">
        <v>80</v>
      </c>
      <c r="AL2216">
        <v>0</v>
      </c>
      <c r="AM2216">
        <v>0</v>
      </c>
      <c r="AN2216">
        <v>0.47</v>
      </c>
      <c r="AO2216">
        <v>1.48</v>
      </c>
      <c r="AP2216">
        <v>10</v>
      </c>
      <c r="AQ2216">
        <v>0</v>
      </c>
      <c r="AR2216">
        <v>3.42</v>
      </c>
      <c r="AS2216">
        <v>47</v>
      </c>
      <c r="AT2216">
        <v>1.3</v>
      </c>
      <c r="AU2216">
        <v>50</v>
      </c>
      <c r="AV2216">
        <v>-1.82</v>
      </c>
      <c r="AW2216">
        <v>59</v>
      </c>
      <c r="AX2216">
        <v>3.81</v>
      </c>
      <c r="AY2216">
        <v>40</v>
      </c>
      <c r="AZ2216">
        <v>8.7200000000000006</v>
      </c>
      <c r="BA2216">
        <v>36</v>
      </c>
      <c r="BB2216">
        <v>5.83</v>
      </c>
      <c r="BC2216">
        <v>35</v>
      </c>
      <c r="BD2216">
        <v>-7.0000000000000007E-2</v>
      </c>
      <c r="BE2216">
        <v>0</v>
      </c>
      <c r="BF2216">
        <v>0.04</v>
      </c>
      <c r="BG2216">
        <v>64</v>
      </c>
      <c r="BH2216">
        <v>0.15</v>
      </c>
      <c r="BI2216">
        <v>-15.46</v>
      </c>
      <c r="BJ2216">
        <v>2</v>
      </c>
      <c r="BK2216">
        <v>1</v>
      </c>
      <c r="BL2216">
        <v>-0.1</v>
      </c>
      <c r="BM2216">
        <v>-0.53</v>
      </c>
      <c r="BN2216">
        <v>1.01</v>
      </c>
      <c r="BO2216">
        <v>1.78</v>
      </c>
      <c r="BP2216">
        <v>-0.53</v>
      </c>
      <c r="BQ2216">
        <v>-3.09</v>
      </c>
      <c r="BR2216">
        <v>1.58</v>
      </c>
      <c r="BS2216">
        <v>7.22</v>
      </c>
      <c r="BT2216">
        <v>-0.26</v>
      </c>
      <c r="BU2216">
        <v>1.91</v>
      </c>
      <c r="BV2216">
        <v>1.84</v>
      </c>
      <c r="BW2216">
        <v>-0.71</v>
      </c>
      <c r="BX2216">
        <v>-1.1000000000000001</v>
      </c>
      <c r="BY2216">
        <v>0.98</v>
      </c>
      <c r="BZ2216">
        <v>0.25</v>
      </c>
      <c r="CA2216">
        <v>3.07</v>
      </c>
      <c r="CB2216">
        <v>1.71</v>
      </c>
      <c r="CC2216">
        <v>4.5199999999999996</v>
      </c>
      <c r="CD2216">
        <v>-1.84</v>
      </c>
      <c r="CE2216">
        <v>2.02</v>
      </c>
      <c r="CF2216">
        <v>0.81</v>
      </c>
      <c r="CG2216">
        <v>0</v>
      </c>
      <c r="CH2216">
        <v>-0.05</v>
      </c>
      <c r="CI2216">
        <v>0</v>
      </c>
      <c r="CJ2216">
        <v>-41.5</v>
      </c>
      <c r="CK2216">
        <v>50</v>
      </c>
      <c r="CL2216">
        <v>-1.38</v>
      </c>
      <c r="CM2216">
        <v>45</v>
      </c>
      <c r="CN2216">
        <v>-0.38</v>
      </c>
      <c r="CO2216">
        <v>44</v>
      </c>
      <c r="CP2216">
        <v>-56.9</v>
      </c>
      <c r="CQ2216">
        <v>40</v>
      </c>
      <c r="CR2216">
        <v>0</v>
      </c>
      <c r="CS2216">
        <v>0</v>
      </c>
      <c r="CT2216">
        <v>-82.1</v>
      </c>
      <c r="CU2216">
        <v>37</v>
      </c>
      <c r="CV2216">
        <v>-0.36</v>
      </c>
      <c r="CW2216">
        <v>35</v>
      </c>
      <c r="CX2216" t="s">
        <v>1720</v>
      </c>
    </row>
    <row r="2217" spans="1:102" x14ac:dyDescent="0.3">
      <c r="A2217" t="str">
        <f>HYPERLINK("https://webapp.icbf.com/v2/app/bull-search/view/146114028","KIX")</f>
        <v>KIX</v>
      </c>
      <c r="B2217" t="s">
        <v>6473</v>
      </c>
      <c r="C2217" t="s">
        <v>1874</v>
      </c>
      <c r="D2217" s="1">
        <v>35592</v>
      </c>
      <c r="E2217" t="s">
        <v>92</v>
      </c>
      <c r="F2217">
        <v>78</v>
      </c>
      <c r="G2217" t="s">
        <v>93</v>
      </c>
      <c r="H2217">
        <v>55.91</v>
      </c>
      <c r="I2217">
        <v>97</v>
      </c>
      <c r="J2217">
        <v>55.96</v>
      </c>
      <c r="K2217">
        <v>99</v>
      </c>
      <c r="L2217">
        <v>-9.3000000000000007</v>
      </c>
      <c r="M2217">
        <v>94</v>
      </c>
      <c r="N2217">
        <v>1.32</v>
      </c>
      <c r="O2217">
        <v>97</v>
      </c>
      <c r="P2217">
        <v>-7.46</v>
      </c>
      <c r="Q2217">
        <v>99</v>
      </c>
      <c r="R2217">
        <v>11.76</v>
      </c>
      <c r="S2217">
        <v>93</v>
      </c>
      <c r="T2217">
        <v>4.13</v>
      </c>
      <c r="U2217">
        <v>98</v>
      </c>
      <c r="V2217">
        <v>-0.5</v>
      </c>
      <c r="W2217">
        <v>95</v>
      </c>
      <c r="X2217" t="s">
        <v>94</v>
      </c>
      <c r="Y2217" t="s">
        <v>95</v>
      </c>
      <c r="Z2217" t="s">
        <v>330</v>
      </c>
      <c r="AA2217" t="s">
        <v>6474</v>
      </c>
      <c r="AB2217" t="s">
        <v>6475</v>
      </c>
      <c r="AC2217">
        <v>529</v>
      </c>
      <c r="AD2217">
        <v>198</v>
      </c>
      <c r="AE2217">
        <v>99</v>
      </c>
      <c r="AF2217">
        <v>-16.05</v>
      </c>
      <c r="AG2217">
        <v>8.57</v>
      </c>
      <c r="AH2217">
        <v>6.24</v>
      </c>
      <c r="AI2217">
        <v>0.16</v>
      </c>
      <c r="AJ2217">
        <v>0.12</v>
      </c>
      <c r="AK2217">
        <v>94</v>
      </c>
      <c r="AL2217">
        <v>557</v>
      </c>
      <c r="AM2217">
        <v>234</v>
      </c>
      <c r="AN2217">
        <v>0.65</v>
      </c>
      <c r="AO2217">
        <v>-0.09</v>
      </c>
      <c r="AP2217">
        <v>1332</v>
      </c>
      <c r="AQ2217">
        <v>25</v>
      </c>
      <c r="AR2217">
        <v>5.57</v>
      </c>
      <c r="AS2217">
        <v>96</v>
      </c>
      <c r="AT2217">
        <v>2.08</v>
      </c>
      <c r="AU2217">
        <v>98</v>
      </c>
      <c r="AV2217">
        <v>-0.44</v>
      </c>
      <c r="AW2217">
        <v>99</v>
      </c>
      <c r="AX2217">
        <v>0.01</v>
      </c>
      <c r="AY2217">
        <v>97</v>
      </c>
      <c r="AZ2217">
        <v>9.2200000000000006</v>
      </c>
      <c r="BA2217">
        <v>88</v>
      </c>
      <c r="BB2217">
        <v>6.77</v>
      </c>
      <c r="BC2217">
        <v>90</v>
      </c>
      <c r="BD2217">
        <v>-0.08</v>
      </c>
      <c r="BE2217">
        <v>-0.03</v>
      </c>
      <c r="BF2217">
        <v>-0.08</v>
      </c>
      <c r="BG2217">
        <v>97</v>
      </c>
      <c r="BH2217">
        <v>-0.01</v>
      </c>
      <c r="BI2217">
        <v>0.44</v>
      </c>
      <c r="BJ2217">
        <v>40</v>
      </c>
      <c r="BK2217">
        <v>15</v>
      </c>
      <c r="BL2217">
        <v>-0.31</v>
      </c>
      <c r="BM2217">
        <v>2.48</v>
      </c>
      <c r="BN2217">
        <v>1.34</v>
      </c>
      <c r="BO2217">
        <v>-0.62</v>
      </c>
      <c r="BP2217">
        <v>1.33</v>
      </c>
      <c r="BQ2217">
        <v>-0.26</v>
      </c>
      <c r="BR2217">
        <v>-1.28</v>
      </c>
      <c r="BS2217">
        <v>1.34</v>
      </c>
      <c r="BT2217">
        <v>-0.09</v>
      </c>
      <c r="BU2217">
        <v>-0.51</v>
      </c>
      <c r="BV2217">
        <v>-0.61</v>
      </c>
      <c r="BW2217">
        <v>-0.17</v>
      </c>
      <c r="BX2217">
        <v>-0.39</v>
      </c>
      <c r="BY2217">
        <v>0.99</v>
      </c>
      <c r="BZ2217">
        <v>-1.77</v>
      </c>
      <c r="CA2217">
        <v>0.23</v>
      </c>
      <c r="CB2217">
        <v>-7.0000000000000007E-2</v>
      </c>
      <c r="CC2217">
        <v>0.88</v>
      </c>
      <c r="CD2217">
        <v>1.56</v>
      </c>
      <c r="CE2217">
        <v>-0.32</v>
      </c>
      <c r="CF2217">
        <v>0.62</v>
      </c>
      <c r="CG2217">
        <v>0</v>
      </c>
      <c r="CH2217">
        <v>-0.08</v>
      </c>
      <c r="CI2217">
        <v>0</v>
      </c>
      <c r="CJ2217">
        <v>-1.7</v>
      </c>
      <c r="CK2217">
        <v>99</v>
      </c>
      <c r="CL2217">
        <v>-0.55000000000000004</v>
      </c>
      <c r="CM2217">
        <v>99</v>
      </c>
      <c r="CN2217">
        <v>-0.04</v>
      </c>
      <c r="CO2217">
        <v>98</v>
      </c>
      <c r="CP2217">
        <v>0.6</v>
      </c>
      <c r="CQ2217">
        <v>98</v>
      </c>
      <c r="CR2217">
        <v>0</v>
      </c>
      <c r="CS2217">
        <v>0</v>
      </c>
      <c r="CT2217">
        <v>8.1999999999999993</v>
      </c>
      <c r="CU2217">
        <v>98</v>
      </c>
      <c r="CV2217">
        <v>0.08</v>
      </c>
      <c r="CW2217">
        <v>46</v>
      </c>
      <c r="CX2217" t="s">
        <v>193</v>
      </c>
    </row>
    <row r="2218" spans="1:102" x14ac:dyDescent="0.3">
      <c r="A2218" t="str">
        <f>HYPERLINK("https://webapp.icbf.com/v2/app/bull-search/view/444584924","WUZ")</f>
        <v>WUZ</v>
      </c>
      <c r="B2218" t="s">
        <v>6717</v>
      </c>
      <c r="C2218" t="s">
        <v>6718</v>
      </c>
      <c r="D2218" s="1">
        <v>37071</v>
      </c>
      <c r="E2218" t="s">
        <v>92</v>
      </c>
      <c r="F2218">
        <v>100</v>
      </c>
      <c r="G2218" t="s">
        <v>93</v>
      </c>
      <c r="H2218">
        <v>55.7</v>
      </c>
      <c r="I2218">
        <v>98</v>
      </c>
      <c r="J2218">
        <v>24.96</v>
      </c>
      <c r="K2218">
        <v>99</v>
      </c>
      <c r="L2218">
        <v>7.39</v>
      </c>
      <c r="M2218">
        <v>97</v>
      </c>
      <c r="N2218">
        <v>11.88</v>
      </c>
      <c r="O2218">
        <v>99</v>
      </c>
      <c r="P2218">
        <v>-19.21</v>
      </c>
      <c r="Q2218">
        <v>99</v>
      </c>
      <c r="R2218">
        <v>6.39</v>
      </c>
      <c r="S2218">
        <v>99</v>
      </c>
      <c r="T2218">
        <v>15.01</v>
      </c>
      <c r="U2218">
        <v>99</v>
      </c>
      <c r="V2218">
        <v>9.2799999999999994</v>
      </c>
      <c r="W2218">
        <v>99</v>
      </c>
      <c r="X2218" t="s">
        <v>94</v>
      </c>
      <c r="Y2218" t="s">
        <v>221</v>
      </c>
      <c r="Z2218" t="s">
        <v>96</v>
      </c>
      <c r="AA2218" t="s">
        <v>311</v>
      </c>
      <c r="AB2218" t="s">
        <v>5128</v>
      </c>
      <c r="AC2218">
        <v>5818</v>
      </c>
      <c r="AD2218">
        <v>1609</v>
      </c>
      <c r="AE2218">
        <v>99</v>
      </c>
      <c r="AF2218">
        <v>257.27999999999997</v>
      </c>
      <c r="AG2218">
        <v>1.42</v>
      </c>
      <c r="AH2218">
        <v>7.68</v>
      </c>
      <c r="AI2218">
        <v>-0.14000000000000001</v>
      </c>
      <c r="AJ2218">
        <v>-0.02</v>
      </c>
      <c r="AK2218">
        <v>97</v>
      </c>
      <c r="AL2218">
        <v>6298</v>
      </c>
      <c r="AM2218">
        <v>1970</v>
      </c>
      <c r="AN2218">
        <v>0.4</v>
      </c>
      <c r="AO2218">
        <v>1</v>
      </c>
      <c r="AP2218">
        <v>10612</v>
      </c>
      <c r="AQ2218">
        <v>40</v>
      </c>
      <c r="AR2218">
        <v>7.92</v>
      </c>
      <c r="AS2218">
        <v>99</v>
      </c>
      <c r="AT2218">
        <v>3.4</v>
      </c>
      <c r="AU2218">
        <v>99</v>
      </c>
      <c r="AV2218">
        <v>-1.69</v>
      </c>
      <c r="AW2218">
        <v>99</v>
      </c>
      <c r="AX2218">
        <v>0.18</v>
      </c>
      <c r="AY2218">
        <v>99</v>
      </c>
      <c r="AZ2218">
        <v>5.39</v>
      </c>
      <c r="BA2218">
        <v>98</v>
      </c>
      <c r="BB2218">
        <v>4.8499999999999996</v>
      </c>
      <c r="BC2218">
        <v>99</v>
      </c>
      <c r="BD2218">
        <v>-0.06</v>
      </c>
      <c r="BE2218">
        <v>-0.03</v>
      </c>
      <c r="BF2218">
        <v>0.01</v>
      </c>
      <c r="BG2218">
        <v>99</v>
      </c>
      <c r="BH2218">
        <v>0.01</v>
      </c>
      <c r="BI2218">
        <v>-28.78</v>
      </c>
      <c r="BJ2218">
        <v>556</v>
      </c>
      <c r="BK2218">
        <v>180</v>
      </c>
      <c r="BL2218">
        <v>0.39</v>
      </c>
      <c r="BM2218">
        <v>-1.64</v>
      </c>
      <c r="BN2218">
        <v>-0.28999999999999998</v>
      </c>
      <c r="BO2218">
        <v>0.84</v>
      </c>
      <c r="BP2218">
        <v>-1.18</v>
      </c>
      <c r="BQ2218">
        <v>1.06</v>
      </c>
      <c r="BR2218">
        <v>2.88</v>
      </c>
      <c r="BS2218">
        <v>-1.52</v>
      </c>
      <c r="BT2218">
        <v>-2.4</v>
      </c>
      <c r="BU2218">
        <v>0.93</v>
      </c>
      <c r="BV2218">
        <v>1.93</v>
      </c>
      <c r="BW2218">
        <v>1.22</v>
      </c>
      <c r="BX2218">
        <v>0.78</v>
      </c>
      <c r="BY2218">
        <v>-0.5</v>
      </c>
      <c r="BZ2218">
        <v>-0.72</v>
      </c>
      <c r="CA2218">
        <v>0.49</v>
      </c>
      <c r="CB2218">
        <v>1.18</v>
      </c>
      <c r="CC2218">
        <v>-1.05</v>
      </c>
      <c r="CD2218">
        <v>-1.1599999999999999</v>
      </c>
      <c r="CE2218">
        <v>0.87</v>
      </c>
      <c r="CF2218">
        <v>0.36</v>
      </c>
      <c r="CG2218">
        <v>0</v>
      </c>
      <c r="CH2218">
        <v>-0.5</v>
      </c>
      <c r="CI2218">
        <v>0</v>
      </c>
      <c r="CJ2218">
        <v>-8.4</v>
      </c>
      <c r="CK2218">
        <v>99</v>
      </c>
      <c r="CL2218">
        <v>-1.24</v>
      </c>
      <c r="CM2218">
        <v>99</v>
      </c>
      <c r="CN2218">
        <v>-0.56000000000000005</v>
      </c>
      <c r="CO2218">
        <v>99</v>
      </c>
      <c r="CP2218">
        <v>-9.1999999999999993</v>
      </c>
      <c r="CQ2218">
        <v>99</v>
      </c>
      <c r="CR2218">
        <v>0</v>
      </c>
      <c r="CS2218">
        <v>0</v>
      </c>
      <c r="CT2218">
        <v>-6.5</v>
      </c>
      <c r="CU2218">
        <v>99</v>
      </c>
      <c r="CV2218">
        <v>0.23</v>
      </c>
      <c r="CW2218">
        <v>49</v>
      </c>
      <c r="CX2218" t="s">
        <v>596</v>
      </c>
    </row>
    <row r="2219" spans="1:102" x14ac:dyDescent="0.3">
      <c r="A2219" t="str">
        <f>HYPERLINK("https://webapp.icbf.com/v2/app/bull-search/view/69091849","HEU")</f>
        <v>HEU</v>
      </c>
      <c r="B2219" t="s">
        <v>9966</v>
      </c>
      <c r="C2219" t="s">
        <v>9967</v>
      </c>
      <c r="D2219" s="1">
        <v>33720</v>
      </c>
      <c r="E2219" t="s">
        <v>227</v>
      </c>
      <c r="F2219">
        <v>0</v>
      </c>
      <c r="G2219" t="s">
        <v>109</v>
      </c>
      <c r="H2219">
        <v>55.7</v>
      </c>
      <c r="I2219">
        <v>63</v>
      </c>
      <c r="J2219">
        <v>-10.79</v>
      </c>
      <c r="K2219">
        <v>72</v>
      </c>
      <c r="L2219">
        <v>60.82</v>
      </c>
      <c r="M2219">
        <v>68</v>
      </c>
      <c r="N2219">
        <v>-0.9</v>
      </c>
      <c r="O2219">
        <v>48</v>
      </c>
      <c r="P2219">
        <v>-83.79</v>
      </c>
      <c r="Q2219">
        <v>63</v>
      </c>
      <c r="R2219">
        <v>-1.74</v>
      </c>
      <c r="S2219">
        <v>43</v>
      </c>
      <c r="T2219">
        <v>89.08</v>
      </c>
      <c r="U2219">
        <v>56</v>
      </c>
      <c r="V2219">
        <v>3.02</v>
      </c>
      <c r="W2219">
        <v>27</v>
      </c>
      <c r="X2219" t="s">
        <v>94</v>
      </c>
      <c r="Y2219" t="s">
        <v>95</v>
      </c>
      <c r="Z2219">
        <v>0</v>
      </c>
      <c r="AA2219" t="s">
        <v>555</v>
      </c>
      <c r="AB2219" t="s">
        <v>144</v>
      </c>
      <c r="AC2219">
        <v>0</v>
      </c>
      <c r="AD2219">
        <v>0</v>
      </c>
      <c r="AE2219">
        <v>72</v>
      </c>
      <c r="AF2219">
        <v>-583.96</v>
      </c>
      <c r="AG2219">
        <v>4.57</v>
      </c>
      <c r="AH2219">
        <v>-12.39</v>
      </c>
      <c r="AI2219">
        <v>0.5</v>
      </c>
      <c r="AJ2219">
        <v>0.14000000000000001</v>
      </c>
      <c r="AK2219">
        <v>68</v>
      </c>
      <c r="AL2219">
        <v>0</v>
      </c>
      <c r="AM2219">
        <v>0</v>
      </c>
      <c r="AN2219">
        <v>-3.36</v>
      </c>
      <c r="AO2219">
        <v>1.49</v>
      </c>
      <c r="AP2219">
        <v>3</v>
      </c>
      <c r="AQ2219">
        <v>7</v>
      </c>
      <c r="AR2219">
        <v>3.7</v>
      </c>
      <c r="AS2219">
        <v>30</v>
      </c>
      <c r="AT2219">
        <v>1.8</v>
      </c>
      <c r="AU2219">
        <v>36</v>
      </c>
      <c r="AV2219">
        <v>1</v>
      </c>
      <c r="AW2219">
        <v>63</v>
      </c>
      <c r="AX2219">
        <v>3.9</v>
      </c>
      <c r="AY2219">
        <v>57</v>
      </c>
      <c r="AZ2219">
        <v>6.54</v>
      </c>
      <c r="BA2219">
        <v>21</v>
      </c>
      <c r="BB2219">
        <v>5.13</v>
      </c>
      <c r="BC2219">
        <v>33</v>
      </c>
      <c r="BD2219">
        <v>-0.03</v>
      </c>
      <c r="BE2219">
        <v>0</v>
      </c>
      <c r="BF2219">
        <v>0.09</v>
      </c>
      <c r="BG2219">
        <v>52</v>
      </c>
      <c r="BH2219">
        <v>0.12</v>
      </c>
      <c r="BI2219">
        <v>4.13</v>
      </c>
      <c r="BJ2219">
        <v>0</v>
      </c>
      <c r="BK2219">
        <v>0</v>
      </c>
      <c r="BL2219">
        <v>-1.93</v>
      </c>
      <c r="BM2219">
        <v>-1.74</v>
      </c>
      <c r="BN2219">
        <v>-0.46</v>
      </c>
      <c r="BO2219">
        <v>1.21</v>
      </c>
      <c r="BP2219">
        <v>-0.23</v>
      </c>
      <c r="BQ2219">
        <v>-5.6</v>
      </c>
      <c r="BR2219">
        <v>1.59</v>
      </c>
      <c r="BS2219">
        <v>7.03</v>
      </c>
      <c r="BT2219">
        <v>-0.99</v>
      </c>
      <c r="BU2219">
        <v>-0.01</v>
      </c>
      <c r="BV2219">
        <v>0.26</v>
      </c>
      <c r="BW2219">
        <v>-1.75</v>
      </c>
      <c r="BX2219">
        <v>-3.17</v>
      </c>
      <c r="BY2219">
        <v>-0.26</v>
      </c>
      <c r="BZ2219">
        <v>0.3</v>
      </c>
      <c r="CA2219">
        <v>2.0099999999999998</v>
      </c>
      <c r="CB2219">
        <v>0.4</v>
      </c>
      <c r="CC2219">
        <v>4.38</v>
      </c>
      <c r="CD2219">
        <v>-2.02</v>
      </c>
      <c r="CE2219">
        <v>1.1200000000000001</v>
      </c>
      <c r="CF2219">
        <v>-1.77</v>
      </c>
      <c r="CG2219">
        <v>0</v>
      </c>
      <c r="CH2219">
        <v>-0.56999999999999995</v>
      </c>
      <c r="CI2219">
        <v>0</v>
      </c>
      <c r="CJ2219">
        <v>-46.1</v>
      </c>
      <c r="CK2219">
        <v>65</v>
      </c>
      <c r="CL2219">
        <v>-1.06</v>
      </c>
      <c r="CM2219">
        <v>60</v>
      </c>
      <c r="CN2219">
        <v>-0.14000000000000001</v>
      </c>
      <c r="CO2219">
        <v>54</v>
      </c>
      <c r="CP2219">
        <v>-72.5</v>
      </c>
      <c r="CQ2219">
        <v>73</v>
      </c>
      <c r="CR2219">
        <v>0</v>
      </c>
      <c r="CS2219">
        <v>0</v>
      </c>
      <c r="CT2219">
        <v>-106.6</v>
      </c>
      <c r="CU2219">
        <v>56</v>
      </c>
      <c r="CV2219">
        <v>-0.63</v>
      </c>
      <c r="CW2219">
        <v>17</v>
      </c>
      <c r="CX2219" t="s">
        <v>790</v>
      </c>
    </row>
    <row r="2220" spans="1:102" x14ac:dyDescent="0.3">
      <c r="A2220" t="str">
        <f>HYPERLINK("https://webapp.icbf.com/v2/app/bull-search/view/550980091","VMM")</f>
        <v>VMM</v>
      </c>
      <c r="B2220" t="s">
        <v>15377</v>
      </c>
      <c r="C2220" t="s">
        <v>15378</v>
      </c>
      <c r="D2220" s="1">
        <v>38598</v>
      </c>
      <c r="E2220" t="s">
        <v>227</v>
      </c>
      <c r="F2220">
        <v>0</v>
      </c>
      <c r="G2220" t="s">
        <v>93</v>
      </c>
      <c r="H2220">
        <v>55.68</v>
      </c>
      <c r="I2220">
        <v>87</v>
      </c>
      <c r="J2220">
        <v>82.48</v>
      </c>
      <c r="K2220">
        <v>96</v>
      </c>
      <c r="L2220">
        <v>-62.84</v>
      </c>
      <c r="M2220">
        <v>80</v>
      </c>
      <c r="N2220">
        <v>34.979999999999997</v>
      </c>
      <c r="O2220">
        <v>84</v>
      </c>
      <c r="P2220">
        <v>-57.59</v>
      </c>
      <c r="Q2220">
        <v>87</v>
      </c>
      <c r="R2220">
        <v>1.06</v>
      </c>
      <c r="S2220">
        <v>82</v>
      </c>
      <c r="T2220">
        <v>54.67</v>
      </c>
      <c r="U2220">
        <v>89</v>
      </c>
      <c r="V2220">
        <v>2.92</v>
      </c>
      <c r="W2220">
        <v>85</v>
      </c>
      <c r="X2220" t="s">
        <v>276</v>
      </c>
      <c r="Y2220" t="s">
        <v>1128</v>
      </c>
      <c r="Z2220">
        <v>0</v>
      </c>
      <c r="AA2220" t="s">
        <v>1525</v>
      </c>
      <c r="AB2220" t="s">
        <v>15379</v>
      </c>
      <c r="AC2220">
        <v>69</v>
      </c>
      <c r="AD2220">
        <v>29</v>
      </c>
      <c r="AE2220">
        <v>96</v>
      </c>
      <c r="AF2220">
        <v>-106.15</v>
      </c>
      <c r="AG2220">
        <v>11.43</v>
      </c>
      <c r="AH2220">
        <v>8.36</v>
      </c>
      <c r="AI2220">
        <v>0.28000000000000003</v>
      </c>
      <c r="AJ2220">
        <v>0.21</v>
      </c>
      <c r="AK2220">
        <v>80</v>
      </c>
      <c r="AL2220">
        <v>73</v>
      </c>
      <c r="AM2220">
        <v>33</v>
      </c>
      <c r="AN2220">
        <v>3.54</v>
      </c>
      <c r="AO2220">
        <v>-1.47</v>
      </c>
      <c r="AP2220">
        <v>125</v>
      </c>
      <c r="AQ2220">
        <v>0</v>
      </c>
      <c r="AR2220">
        <v>1.97</v>
      </c>
      <c r="AS2220">
        <v>83</v>
      </c>
      <c r="AT2220">
        <v>1.28</v>
      </c>
      <c r="AU2220">
        <v>81</v>
      </c>
      <c r="AV2220">
        <v>-2.65</v>
      </c>
      <c r="AW2220">
        <v>95</v>
      </c>
      <c r="AX2220">
        <v>1.77</v>
      </c>
      <c r="AY2220">
        <v>79</v>
      </c>
      <c r="AZ2220">
        <v>6.61</v>
      </c>
      <c r="BA2220">
        <v>68</v>
      </c>
      <c r="BB2220">
        <v>5.79</v>
      </c>
      <c r="BC2220">
        <v>68</v>
      </c>
      <c r="BD2220">
        <v>-0.08</v>
      </c>
      <c r="BE2220">
        <v>0.01</v>
      </c>
      <c r="BF2220">
        <v>0.09</v>
      </c>
      <c r="BG2220">
        <v>87</v>
      </c>
      <c r="BH2220">
        <v>0.09</v>
      </c>
      <c r="BI2220">
        <v>0.98</v>
      </c>
      <c r="BJ2220">
        <v>4</v>
      </c>
      <c r="BK2220">
        <v>4</v>
      </c>
      <c r="BL2220">
        <v>-2.94</v>
      </c>
      <c r="BM2220">
        <v>-2.5299999999999998</v>
      </c>
      <c r="BN2220">
        <v>-0.87</v>
      </c>
      <c r="BO2220">
        <v>1.34</v>
      </c>
      <c r="BP2220">
        <v>0.46</v>
      </c>
      <c r="BQ2220">
        <v>-6.72</v>
      </c>
      <c r="BR2220">
        <v>3.36</v>
      </c>
      <c r="BS2220">
        <v>5.61</v>
      </c>
      <c r="BT2220">
        <v>-1.96</v>
      </c>
      <c r="BU2220">
        <v>-0.76</v>
      </c>
      <c r="BV2220">
        <v>-0.36</v>
      </c>
      <c r="BW2220">
        <v>-2.08</v>
      </c>
      <c r="BX2220">
        <v>-4.09</v>
      </c>
      <c r="BY2220">
        <v>0</v>
      </c>
      <c r="BZ2220">
        <v>-2.71</v>
      </c>
      <c r="CA2220">
        <v>1.22</v>
      </c>
      <c r="CB2220">
        <v>-0.15</v>
      </c>
      <c r="CC2220">
        <v>3.56</v>
      </c>
      <c r="CD2220">
        <v>-2.59</v>
      </c>
      <c r="CE2220">
        <v>1.1200000000000001</v>
      </c>
      <c r="CF2220">
        <v>-3.08</v>
      </c>
      <c r="CG2220">
        <v>0</v>
      </c>
      <c r="CH2220">
        <v>-1.07</v>
      </c>
      <c r="CI2220">
        <v>0</v>
      </c>
      <c r="CJ2220">
        <v>-32.1</v>
      </c>
      <c r="CK2220">
        <v>88</v>
      </c>
      <c r="CL2220">
        <v>-1.06</v>
      </c>
      <c r="CM2220">
        <v>86</v>
      </c>
      <c r="CN2220">
        <v>-0.39</v>
      </c>
      <c r="CO2220">
        <v>84</v>
      </c>
      <c r="CP2220">
        <v>-46.1</v>
      </c>
      <c r="CQ2220">
        <v>87</v>
      </c>
      <c r="CR2220">
        <v>0</v>
      </c>
      <c r="CS2220">
        <v>0</v>
      </c>
      <c r="CT2220">
        <v>-60.1</v>
      </c>
      <c r="CU2220">
        <v>89</v>
      </c>
      <c r="CV2220">
        <v>-0.34</v>
      </c>
      <c r="CW2220">
        <v>44</v>
      </c>
      <c r="CX2220" t="s">
        <v>14463</v>
      </c>
    </row>
    <row r="2221" spans="1:102" x14ac:dyDescent="0.3">
      <c r="A2221" t="str">
        <f>HYPERLINK("https://webapp.icbf.com/v2/app/bull-search/view/474731701","VDI")</f>
        <v>VDI</v>
      </c>
      <c r="B2221" t="s">
        <v>6739</v>
      </c>
      <c r="C2221" t="s">
        <v>6740</v>
      </c>
      <c r="D2221" s="1">
        <v>37352</v>
      </c>
      <c r="E2221" t="s">
        <v>92</v>
      </c>
      <c r="F2221">
        <v>100</v>
      </c>
      <c r="G2221" t="s">
        <v>93</v>
      </c>
      <c r="H2221">
        <v>55.62</v>
      </c>
      <c r="I2221">
        <v>88</v>
      </c>
      <c r="J2221">
        <v>60.36</v>
      </c>
      <c r="K2221">
        <v>95</v>
      </c>
      <c r="L2221">
        <v>-27.47</v>
      </c>
      <c r="M2221">
        <v>86</v>
      </c>
      <c r="N2221">
        <v>17.350000000000001</v>
      </c>
      <c r="O2221">
        <v>84</v>
      </c>
      <c r="P2221">
        <v>-9.4</v>
      </c>
      <c r="Q2221">
        <v>91</v>
      </c>
      <c r="R2221">
        <v>1.49</v>
      </c>
      <c r="S2221">
        <v>78</v>
      </c>
      <c r="T2221">
        <v>11.9</v>
      </c>
      <c r="U2221">
        <v>83</v>
      </c>
      <c r="V2221">
        <v>1.39</v>
      </c>
      <c r="W2221">
        <v>74</v>
      </c>
      <c r="X2221" t="s">
        <v>102</v>
      </c>
      <c r="Y2221" t="s">
        <v>221</v>
      </c>
      <c r="Z2221" t="s">
        <v>96</v>
      </c>
      <c r="AA2221" t="s">
        <v>172</v>
      </c>
      <c r="AB2221" t="s">
        <v>6741</v>
      </c>
      <c r="AC2221">
        <v>61</v>
      </c>
      <c r="AD2221">
        <v>22</v>
      </c>
      <c r="AE2221">
        <v>95</v>
      </c>
      <c r="AF2221">
        <v>284.73</v>
      </c>
      <c r="AG2221">
        <v>9.31</v>
      </c>
      <c r="AH2221">
        <v>11.33</v>
      </c>
      <c r="AI2221">
        <v>-0.03</v>
      </c>
      <c r="AJ2221">
        <v>0.03</v>
      </c>
      <c r="AK2221">
        <v>86</v>
      </c>
      <c r="AL2221">
        <v>70</v>
      </c>
      <c r="AM2221">
        <v>29</v>
      </c>
      <c r="AN2221">
        <v>1.58</v>
      </c>
      <c r="AO2221">
        <v>-0.61</v>
      </c>
      <c r="AP2221">
        <v>153</v>
      </c>
      <c r="AQ2221">
        <v>2</v>
      </c>
      <c r="AR2221">
        <v>7.85</v>
      </c>
      <c r="AS2221">
        <v>74</v>
      </c>
      <c r="AT2221">
        <v>3.01</v>
      </c>
      <c r="AU2221">
        <v>88</v>
      </c>
      <c r="AV2221">
        <v>-3.53</v>
      </c>
      <c r="AW2221">
        <v>94</v>
      </c>
      <c r="AX2221">
        <v>1.06</v>
      </c>
      <c r="AY2221">
        <v>79</v>
      </c>
      <c r="AZ2221">
        <v>8.56</v>
      </c>
      <c r="BA2221">
        <v>60</v>
      </c>
      <c r="BB2221">
        <v>5.9</v>
      </c>
      <c r="BC2221">
        <v>60</v>
      </c>
      <c r="BD2221">
        <v>-0.02</v>
      </c>
      <c r="BE2221">
        <v>0.01</v>
      </c>
      <c r="BF2221">
        <v>-0.02</v>
      </c>
      <c r="BG2221">
        <v>89</v>
      </c>
      <c r="BH2221">
        <v>0.13</v>
      </c>
      <c r="BI2221">
        <v>10.56</v>
      </c>
      <c r="BJ2221">
        <v>13</v>
      </c>
      <c r="BK2221">
        <v>6</v>
      </c>
      <c r="BL2221">
        <v>0.28000000000000003</v>
      </c>
      <c r="BM2221">
        <v>-1.0900000000000001</v>
      </c>
      <c r="BN2221">
        <v>-0.48</v>
      </c>
      <c r="BO2221">
        <v>0.28000000000000003</v>
      </c>
      <c r="BP2221">
        <v>2.2200000000000002</v>
      </c>
      <c r="BQ2221">
        <v>-1</v>
      </c>
      <c r="BR2221">
        <v>1.56</v>
      </c>
      <c r="BS2221">
        <v>-3.08</v>
      </c>
      <c r="BT2221">
        <v>-1.63</v>
      </c>
      <c r="BU2221">
        <v>1.1000000000000001</v>
      </c>
      <c r="BV2221">
        <v>0.8</v>
      </c>
      <c r="BW2221">
        <v>0.08</v>
      </c>
      <c r="BX2221">
        <v>1.73</v>
      </c>
      <c r="BY2221">
        <v>-0.56000000000000005</v>
      </c>
      <c r="BZ2221">
        <v>1.02</v>
      </c>
      <c r="CA2221">
        <v>-0.33</v>
      </c>
      <c r="CB2221">
        <v>0.54</v>
      </c>
      <c r="CC2221">
        <v>-2.29</v>
      </c>
      <c r="CD2221">
        <v>-0.18</v>
      </c>
      <c r="CE2221">
        <v>0.27</v>
      </c>
      <c r="CF2221">
        <v>0.1</v>
      </c>
      <c r="CG2221">
        <v>0</v>
      </c>
      <c r="CH2221">
        <v>-0.71</v>
      </c>
      <c r="CI2221">
        <v>0</v>
      </c>
      <c r="CJ2221">
        <v>-1.2</v>
      </c>
      <c r="CK2221">
        <v>92</v>
      </c>
      <c r="CL2221">
        <v>-0.84</v>
      </c>
      <c r="CM2221">
        <v>90</v>
      </c>
      <c r="CN2221">
        <v>-0.17</v>
      </c>
      <c r="CO2221">
        <v>89</v>
      </c>
      <c r="CP2221">
        <v>-7.1</v>
      </c>
      <c r="CQ2221">
        <v>86</v>
      </c>
      <c r="CR2221">
        <v>0</v>
      </c>
      <c r="CS2221">
        <v>0</v>
      </c>
      <c r="CT2221">
        <v>-2.2999999999999998</v>
      </c>
      <c r="CU2221">
        <v>83</v>
      </c>
      <c r="CV2221">
        <v>0.2</v>
      </c>
      <c r="CW2221">
        <v>44</v>
      </c>
      <c r="CX2221" t="s">
        <v>216</v>
      </c>
    </row>
    <row r="2222" spans="1:102" x14ac:dyDescent="0.3">
      <c r="A2222" t="str">
        <f>HYPERLINK("https://webapp.icbf.com/v2/app/bull-search/view/430012955","TZB")</f>
        <v>TZB</v>
      </c>
      <c r="B2222" t="s">
        <v>12008</v>
      </c>
      <c r="C2222" t="s">
        <v>12009</v>
      </c>
      <c r="D2222" s="1">
        <v>38653</v>
      </c>
      <c r="E2222" t="s">
        <v>108</v>
      </c>
      <c r="F2222">
        <v>25</v>
      </c>
      <c r="G2222" t="s">
        <v>93</v>
      </c>
      <c r="H2222">
        <v>55.59</v>
      </c>
      <c r="I2222">
        <v>80</v>
      </c>
      <c r="J2222">
        <v>-18.41</v>
      </c>
      <c r="K2222">
        <v>93</v>
      </c>
      <c r="L2222">
        <v>70.319999999999993</v>
      </c>
      <c r="M2222">
        <v>71</v>
      </c>
      <c r="N2222">
        <v>-6.4</v>
      </c>
      <c r="O2222">
        <v>77</v>
      </c>
      <c r="P2222">
        <v>-9.65</v>
      </c>
      <c r="Q2222">
        <v>81</v>
      </c>
      <c r="R2222">
        <v>4.22</v>
      </c>
      <c r="S2222">
        <v>74</v>
      </c>
      <c r="T2222">
        <v>16.489999999999998</v>
      </c>
      <c r="U2222">
        <v>76</v>
      </c>
      <c r="V2222">
        <v>-0.98</v>
      </c>
      <c r="W2222">
        <v>71</v>
      </c>
      <c r="X2222" t="s">
        <v>94</v>
      </c>
      <c r="Y2222" t="s">
        <v>1251</v>
      </c>
      <c r="Z2222" t="s">
        <v>96</v>
      </c>
      <c r="AA2222" t="s">
        <v>5174</v>
      </c>
      <c r="AB2222" t="s">
        <v>12010</v>
      </c>
      <c r="AC2222">
        <v>29</v>
      </c>
      <c r="AD2222">
        <v>24</v>
      </c>
      <c r="AE2222">
        <v>93</v>
      </c>
      <c r="AF2222">
        <v>-347.32</v>
      </c>
      <c r="AG2222">
        <v>-2.76</v>
      </c>
      <c r="AH2222">
        <v>-7.47</v>
      </c>
      <c r="AI2222">
        <v>0.2</v>
      </c>
      <c r="AJ2222">
        <v>0.08</v>
      </c>
      <c r="AK2222">
        <v>71</v>
      </c>
      <c r="AL2222">
        <v>27</v>
      </c>
      <c r="AM2222">
        <v>21</v>
      </c>
      <c r="AN2222">
        <v>-4.46</v>
      </c>
      <c r="AO2222">
        <v>1.1399999999999999</v>
      </c>
      <c r="AP2222">
        <v>65</v>
      </c>
      <c r="AQ2222">
        <v>0</v>
      </c>
      <c r="AR2222">
        <v>9.11</v>
      </c>
      <c r="AS2222">
        <v>58</v>
      </c>
      <c r="AT2222">
        <v>3.08</v>
      </c>
      <c r="AU2222">
        <v>78</v>
      </c>
      <c r="AV2222">
        <v>-1.45</v>
      </c>
      <c r="AW2222">
        <v>90</v>
      </c>
      <c r="AX2222">
        <v>0.78</v>
      </c>
      <c r="AY2222">
        <v>67</v>
      </c>
      <c r="AZ2222">
        <v>8.08</v>
      </c>
      <c r="BA2222">
        <v>52</v>
      </c>
      <c r="BB2222">
        <v>6.68</v>
      </c>
      <c r="BC2222">
        <v>58</v>
      </c>
      <c r="BD2222">
        <v>0</v>
      </c>
      <c r="BE2222">
        <v>-0.03</v>
      </c>
      <c r="BF2222">
        <v>-0.04</v>
      </c>
      <c r="BG2222">
        <v>80</v>
      </c>
      <c r="BH2222">
        <v>0.02</v>
      </c>
      <c r="BI2222">
        <v>5.49</v>
      </c>
      <c r="BJ2222">
        <v>5</v>
      </c>
      <c r="BK2222">
        <v>5</v>
      </c>
      <c r="BL2222">
        <v>-2.02</v>
      </c>
      <c r="BM2222">
        <v>1.1499999999999999</v>
      </c>
      <c r="BN2222">
        <v>-2.34</v>
      </c>
      <c r="BO2222">
        <v>-2.42</v>
      </c>
      <c r="BP2222">
        <v>-1.48</v>
      </c>
      <c r="BQ2222">
        <v>0.64</v>
      </c>
      <c r="BR2222">
        <v>-2.14</v>
      </c>
      <c r="BS2222">
        <v>0.25</v>
      </c>
      <c r="BT2222">
        <v>0.38</v>
      </c>
      <c r="BU2222">
        <v>-1.62</v>
      </c>
      <c r="BV2222">
        <v>-1.57</v>
      </c>
      <c r="BW2222">
        <v>-1.19</v>
      </c>
      <c r="BX2222">
        <v>0.18</v>
      </c>
      <c r="BY2222">
        <v>-1.32</v>
      </c>
      <c r="BZ2222">
        <v>0.28999999999999998</v>
      </c>
      <c r="CA2222">
        <v>-1.36</v>
      </c>
      <c r="CB2222">
        <v>-1.58</v>
      </c>
      <c r="CC2222">
        <v>-0.42</v>
      </c>
      <c r="CD2222">
        <v>2.2400000000000002</v>
      </c>
      <c r="CE2222">
        <v>-2.54</v>
      </c>
      <c r="CF2222">
        <v>-1.45</v>
      </c>
      <c r="CG2222">
        <v>0</v>
      </c>
      <c r="CH2222">
        <v>-0.71</v>
      </c>
      <c r="CI2222">
        <v>0</v>
      </c>
      <c r="CJ2222">
        <v>-5.5</v>
      </c>
      <c r="CK2222">
        <v>82</v>
      </c>
      <c r="CL2222">
        <v>-0.23</v>
      </c>
      <c r="CM2222">
        <v>79</v>
      </c>
      <c r="CN2222">
        <v>-0.1</v>
      </c>
      <c r="CO2222">
        <v>77</v>
      </c>
      <c r="CP2222">
        <v>-5.7</v>
      </c>
      <c r="CQ2222">
        <v>80</v>
      </c>
      <c r="CR2222">
        <v>0</v>
      </c>
      <c r="CS2222">
        <v>0</v>
      </c>
      <c r="CT2222">
        <v>-8.5</v>
      </c>
      <c r="CU2222">
        <v>76</v>
      </c>
      <c r="CV2222">
        <v>7.0000000000000007E-2</v>
      </c>
      <c r="CW2222">
        <v>43</v>
      </c>
      <c r="CX2222" t="s">
        <v>4308</v>
      </c>
    </row>
    <row r="2223" spans="1:102" x14ac:dyDescent="0.3">
      <c r="A2223" t="str">
        <f>HYPERLINK("https://webapp.icbf.com/v2/app/bull-search/view/1417505537","S3283")</f>
        <v>S3283</v>
      </c>
      <c r="B2223" t="s">
        <v>10326</v>
      </c>
      <c r="C2223" t="s">
        <v>10327</v>
      </c>
      <c r="D2223" s="1">
        <v>41963</v>
      </c>
      <c r="E2223" t="s">
        <v>92</v>
      </c>
      <c r="F2223">
        <v>100</v>
      </c>
      <c r="G2223" t="s">
        <v>435</v>
      </c>
      <c r="H2223">
        <v>55.48</v>
      </c>
      <c r="I2223">
        <v>68</v>
      </c>
      <c r="J2223">
        <v>39.21</v>
      </c>
      <c r="K2223">
        <v>87</v>
      </c>
      <c r="L2223">
        <v>-18.86</v>
      </c>
      <c r="M2223">
        <v>66</v>
      </c>
      <c r="N2223">
        <v>33.29</v>
      </c>
      <c r="O2223">
        <v>68</v>
      </c>
      <c r="P2223">
        <v>-5.53</v>
      </c>
      <c r="Q2223">
        <v>41</v>
      </c>
      <c r="R2223">
        <v>5.67</v>
      </c>
      <c r="S2223">
        <v>62</v>
      </c>
      <c r="T2223">
        <v>1.25</v>
      </c>
      <c r="U2223">
        <v>37</v>
      </c>
      <c r="V2223">
        <v>0.45</v>
      </c>
      <c r="W2223">
        <v>52</v>
      </c>
      <c r="X2223" t="s">
        <v>110</v>
      </c>
      <c r="Y2223" t="s">
        <v>2394</v>
      </c>
      <c r="Z2223" t="s">
        <v>96</v>
      </c>
      <c r="AA2223" t="s">
        <v>2189</v>
      </c>
      <c r="AB2223" t="s">
        <v>10328</v>
      </c>
      <c r="AC2223">
        <v>0</v>
      </c>
      <c r="AD2223">
        <v>0</v>
      </c>
      <c r="AE2223">
        <v>87</v>
      </c>
      <c r="AF2223">
        <v>629.94000000000005</v>
      </c>
      <c r="AG2223">
        <v>14.73</v>
      </c>
      <c r="AH2223">
        <v>11.1</v>
      </c>
      <c r="AI2223">
        <v>-0.16</v>
      </c>
      <c r="AJ2223">
        <v>-0.16</v>
      </c>
      <c r="AK2223">
        <v>66</v>
      </c>
      <c r="AL2223">
        <v>0</v>
      </c>
      <c r="AM2223">
        <v>0</v>
      </c>
      <c r="AN2223">
        <v>2.89</v>
      </c>
      <c r="AO2223">
        <v>1.41</v>
      </c>
      <c r="AP2223">
        <v>28</v>
      </c>
      <c r="AQ2223">
        <v>0</v>
      </c>
      <c r="AR2223">
        <v>6.01</v>
      </c>
      <c r="AS2223">
        <v>54</v>
      </c>
      <c r="AT2223">
        <v>3.07</v>
      </c>
      <c r="AU2223">
        <v>83</v>
      </c>
      <c r="AV2223">
        <v>-3.34</v>
      </c>
      <c r="AW2223">
        <v>80</v>
      </c>
      <c r="AX2223">
        <v>-0.83</v>
      </c>
      <c r="AY2223">
        <v>52</v>
      </c>
      <c r="AZ2223">
        <v>5.98</v>
      </c>
      <c r="BA2223">
        <v>37</v>
      </c>
      <c r="BB2223">
        <v>5.0999999999999996</v>
      </c>
      <c r="BC2223">
        <v>34</v>
      </c>
      <c r="BD2223">
        <v>-0.02</v>
      </c>
      <c r="BE2223">
        <v>-0.03</v>
      </c>
      <c r="BF2223">
        <v>-0.04</v>
      </c>
      <c r="BG2223">
        <v>75</v>
      </c>
      <c r="BH2223">
        <v>-0.12</v>
      </c>
      <c r="BI2223">
        <v>-15.33</v>
      </c>
      <c r="BJ2223">
        <v>0</v>
      </c>
      <c r="BK2223">
        <v>0</v>
      </c>
      <c r="BL2223">
        <v>1.51</v>
      </c>
      <c r="BM2223">
        <v>-1.42</v>
      </c>
      <c r="BN2223">
        <v>0.26</v>
      </c>
      <c r="BO2223">
        <v>1.84</v>
      </c>
      <c r="BP2223">
        <v>0.52</v>
      </c>
      <c r="BQ2223">
        <v>1.44</v>
      </c>
      <c r="BR2223">
        <v>-1.52</v>
      </c>
      <c r="BS2223">
        <v>2.23</v>
      </c>
      <c r="BT2223">
        <v>0.77</v>
      </c>
      <c r="BU2223">
        <v>2.98</v>
      </c>
      <c r="BV2223">
        <v>4.58</v>
      </c>
      <c r="BW2223">
        <v>3.24</v>
      </c>
      <c r="BX2223">
        <v>2.31</v>
      </c>
      <c r="BY2223">
        <v>2.94</v>
      </c>
      <c r="BZ2223">
        <v>-2.08</v>
      </c>
      <c r="CA2223">
        <v>3.28</v>
      </c>
      <c r="CB2223">
        <v>3.29</v>
      </c>
      <c r="CC2223">
        <v>1.55</v>
      </c>
      <c r="CD2223">
        <v>-1.26</v>
      </c>
      <c r="CE2223">
        <v>1.56</v>
      </c>
      <c r="CF2223">
        <v>0.98</v>
      </c>
      <c r="CG2223">
        <v>0</v>
      </c>
      <c r="CH2223">
        <v>3.62</v>
      </c>
      <c r="CI2223">
        <v>0</v>
      </c>
      <c r="CJ2223">
        <v>-1</v>
      </c>
      <c r="CK2223">
        <v>41</v>
      </c>
      <c r="CL2223">
        <v>-1.35</v>
      </c>
      <c r="CM2223">
        <v>41</v>
      </c>
      <c r="CN2223">
        <v>-0.81</v>
      </c>
      <c r="CO2223">
        <v>40</v>
      </c>
      <c r="CP2223">
        <v>2</v>
      </c>
      <c r="CQ2223">
        <v>38</v>
      </c>
      <c r="CR2223">
        <v>0</v>
      </c>
      <c r="CS2223">
        <v>0</v>
      </c>
      <c r="CT2223">
        <v>12.1</v>
      </c>
      <c r="CU2223">
        <v>37</v>
      </c>
      <c r="CV2223">
        <v>0.24</v>
      </c>
      <c r="CW2223">
        <v>33</v>
      </c>
      <c r="CX2223" t="s">
        <v>401</v>
      </c>
    </row>
    <row r="2224" spans="1:102" x14ac:dyDescent="0.3">
      <c r="A2224" t="str">
        <f>HYPERLINK("https://webapp.icbf.com/v2/app/bull-search/view/586034446","SNI")</f>
        <v>SNI</v>
      </c>
      <c r="B2224" t="s">
        <v>8967</v>
      </c>
      <c r="C2224" t="s">
        <v>1791</v>
      </c>
      <c r="D2224" s="1">
        <v>39074</v>
      </c>
      <c r="E2224" t="s">
        <v>92</v>
      </c>
      <c r="F2224">
        <v>100</v>
      </c>
      <c r="G2224" t="s">
        <v>93</v>
      </c>
      <c r="H2224">
        <v>55.4</v>
      </c>
      <c r="I2224">
        <v>93</v>
      </c>
      <c r="J2224">
        <v>38.18</v>
      </c>
      <c r="K2224">
        <v>99</v>
      </c>
      <c r="L2224">
        <v>19.5</v>
      </c>
      <c r="M2224">
        <v>91</v>
      </c>
      <c r="N2224">
        <v>-3.22</v>
      </c>
      <c r="O2224">
        <v>94</v>
      </c>
      <c r="P2224">
        <v>-16.600000000000001</v>
      </c>
      <c r="Q2224">
        <v>97</v>
      </c>
      <c r="R2224">
        <v>16.61</v>
      </c>
      <c r="S2224">
        <v>79</v>
      </c>
      <c r="T2224">
        <v>-1.42</v>
      </c>
      <c r="U2224">
        <v>90</v>
      </c>
      <c r="V2224">
        <v>2.35</v>
      </c>
      <c r="W2224">
        <v>64</v>
      </c>
      <c r="X2224" t="s">
        <v>251</v>
      </c>
      <c r="Y2224" t="s">
        <v>1128</v>
      </c>
      <c r="Z2224" t="s">
        <v>96</v>
      </c>
      <c r="AA2224" t="s">
        <v>309</v>
      </c>
      <c r="AB2224" t="s">
        <v>2640</v>
      </c>
      <c r="AC2224">
        <v>328</v>
      </c>
      <c r="AD2224">
        <v>126</v>
      </c>
      <c r="AE2224">
        <v>99</v>
      </c>
      <c r="AF2224">
        <v>215.84</v>
      </c>
      <c r="AG2224">
        <v>4.26</v>
      </c>
      <c r="AH2224">
        <v>8.2899999999999991</v>
      </c>
      <c r="AI2224">
        <v>-7.0000000000000007E-2</v>
      </c>
      <c r="AJ2224">
        <v>0.01</v>
      </c>
      <c r="AK2224">
        <v>91</v>
      </c>
      <c r="AL2224">
        <v>288</v>
      </c>
      <c r="AM2224">
        <v>115</v>
      </c>
      <c r="AN2224">
        <v>-0.67</v>
      </c>
      <c r="AO2224">
        <v>0.89</v>
      </c>
      <c r="AP2224">
        <v>588</v>
      </c>
      <c r="AQ2224">
        <v>0</v>
      </c>
      <c r="AR2224">
        <v>8.1300000000000008</v>
      </c>
      <c r="AS2224">
        <v>91</v>
      </c>
      <c r="AT2224">
        <v>3.96</v>
      </c>
      <c r="AU2224">
        <v>97</v>
      </c>
      <c r="AV2224">
        <v>-0.28000000000000003</v>
      </c>
      <c r="AW2224">
        <v>98</v>
      </c>
      <c r="AX2224">
        <v>0.27</v>
      </c>
      <c r="AY2224">
        <v>94</v>
      </c>
      <c r="AZ2224">
        <v>5.23</v>
      </c>
      <c r="BA2224">
        <v>82</v>
      </c>
      <c r="BB2224">
        <v>4.37</v>
      </c>
      <c r="BC2224">
        <v>77</v>
      </c>
      <c r="BD2224">
        <v>-0.06</v>
      </c>
      <c r="BE2224">
        <v>-0.08</v>
      </c>
      <c r="BF2224">
        <v>-0.13</v>
      </c>
      <c r="BG2224">
        <v>94</v>
      </c>
      <c r="BH2224">
        <v>-0.09</v>
      </c>
      <c r="BI2224">
        <v>-17.989999999999998</v>
      </c>
      <c r="BJ2224">
        <v>178</v>
      </c>
      <c r="BK2224">
        <v>100</v>
      </c>
      <c r="BL2224">
        <v>2.34</v>
      </c>
      <c r="BM2224">
        <v>-2.96</v>
      </c>
      <c r="BN2224">
        <v>-0.63</v>
      </c>
      <c r="BO2224">
        <v>1.45</v>
      </c>
      <c r="BP2224">
        <v>-1.78</v>
      </c>
      <c r="BQ2224">
        <v>1.44</v>
      </c>
      <c r="BR2224">
        <v>1.57</v>
      </c>
      <c r="BS2224">
        <v>0.97</v>
      </c>
      <c r="BT2224">
        <v>-1.1100000000000001</v>
      </c>
      <c r="BU2224">
        <v>2.5</v>
      </c>
      <c r="BV2224">
        <v>3.32</v>
      </c>
      <c r="BW2224">
        <v>2.95</v>
      </c>
      <c r="BX2224">
        <v>2.8</v>
      </c>
      <c r="BY2224">
        <v>2.83</v>
      </c>
      <c r="BZ2224">
        <v>0.05</v>
      </c>
      <c r="CA2224">
        <v>2.35</v>
      </c>
      <c r="CB2224">
        <v>2.4300000000000002</v>
      </c>
      <c r="CC2224">
        <v>0.87</v>
      </c>
      <c r="CD2224">
        <v>-1.68</v>
      </c>
      <c r="CE2224">
        <v>1.26</v>
      </c>
      <c r="CF2224">
        <v>0.73</v>
      </c>
      <c r="CG2224">
        <v>0</v>
      </c>
      <c r="CH2224">
        <v>3.01</v>
      </c>
      <c r="CI2224">
        <v>0</v>
      </c>
      <c r="CJ2224">
        <v>-6</v>
      </c>
      <c r="CK2224">
        <v>97</v>
      </c>
      <c r="CL2224">
        <v>-1.69</v>
      </c>
      <c r="CM2224">
        <v>97</v>
      </c>
      <c r="CN2224">
        <v>-0.79</v>
      </c>
      <c r="CO2224">
        <v>96</v>
      </c>
      <c r="CP2224">
        <v>-0.9</v>
      </c>
      <c r="CQ2224">
        <v>93</v>
      </c>
      <c r="CR2224">
        <v>0</v>
      </c>
      <c r="CS2224">
        <v>0</v>
      </c>
      <c r="CT2224">
        <v>15.7</v>
      </c>
      <c r="CU2224">
        <v>90</v>
      </c>
      <c r="CV2224">
        <v>0.4</v>
      </c>
      <c r="CW2224">
        <v>28</v>
      </c>
      <c r="CX2224" t="s">
        <v>311</v>
      </c>
    </row>
    <row r="2225" spans="1:102" x14ac:dyDescent="0.3">
      <c r="A2225" t="str">
        <f>HYPERLINK("https://webapp.icbf.com/v2/app/bull-search/view/69091681","FOO")</f>
        <v>FOO</v>
      </c>
      <c r="B2225" t="s">
        <v>144</v>
      </c>
      <c r="C2225" t="s">
        <v>3186</v>
      </c>
      <c r="D2225" s="1">
        <v>32446</v>
      </c>
      <c r="E2225" t="s">
        <v>146</v>
      </c>
      <c r="F2225">
        <v>0</v>
      </c>
      <c r="G2225" t="s">
        <v>93</v>
      </c>
      <c r="H2225">
        <v>55.38</v>
      </c>
      <c r="I2225">
        <v>57</v>
      </c>
      <c r="J2225">
        <v>-130.24</v>
      </c>
      <c r="K2225">
        <v>85</v>
      </c>
      <c r="L2225">
        <v>147.9</v>
      </c>
      <c r="M2225">
        <v>41</v>
      </c>
      <c r="N2225">
        <v>26.47</v>
      </c>
      <c r="O2225">
        <v>41</v>
      </c>
      <c r="P2225">
        <v>0.85</v>
      </c>
      <c r="Q2225">
        <v>63</v>
      </c>
      <c r="R2225">
        <v>-4.0599999999999996</v>
      </c>
      <c r="S2225">
        <v>47</v>
      </c>
      <c r="T2225">
        <v>21.52</v>
      </c>
      <c r="U2225">
        <v>44</v>
      </c>
      <c r="V2225">
        <v>-7.06</v>
      </c>
      <c r="W2225">
        <v>15</v>
      </c>
      <c r="X2225" t="s">
        <v>110</v>
      </c>
      <c r="Y2225" t="s">
        <v>95</v>
      </c>
      <c r="Z2225" t="s">
        <v>96</v>
      </c>
      <c r="AA2225" t="s">
        <v>3187</v>
      </c>
      <c r="AB2225" t="s">
        <v>3188</v>
      </c>
      <c r="AC2225">
        <v>30</v>
      </c>
      <c r="AD2225">
        <v>16</v>
      </c>
      <c r="AE2225">
        <v>85</v>
      </c>
      <c r="AF2225">
        <v>-818.66</v>
      </c>
      <c r="AG2225">
        <v>-23.89</v>
      </c>
      <c r="AH2225">
        <v>-26.23</v>
      </c>
      <c r="AI2225">
        <v>0.16</v>
      </c>
      <c r="AJ2225">
        <v>0.04</v>
      </c>
      <c r="AK2225">
        <v>41</v>
      </c>
      <c r="AL2225">
        <v>32</v>
      </c>
      <c r="AM2225">
        <v>17</v>
      </c>
      <c r="AN2225">
        <v>-7.68</v>
      </c>
      <c r="AO2225">
        <v>4.12</v>
      </c>
      <c r="AP2225">
        <v>2</v>
      </c>
      <c r="AQ2225">
        <v>0</v>
      </c>
      <c r="AR2225">
        <v>5.31</v>
      </c>
      <c r="AS2225">
        <v>13</v>
      </c>
      <c r="AT2225">
        <v>2.2000000000000002</v>
      </c>
      <c r="AU2225">
        <v>30</v>
      </c>
      <c r="AV2225">
        <v>-1.24</v>
      </c>
      <c r="AW2225">
        <v>56</v>
      </c>
      <c r="AX2225">
        <v>0.28000000000000003</v>
      </c>
      <c r="AY2225">
        <v>51</v>
      </c>
      <c r="AZ2225">
        <v>5.31</v>
      </c>
      <c r="BA2225">
        <v>10</v>
      </c>
      <c r="BB2225">
        <v>4.28</v>
      </c>
      <c r="BC2225">
        <v>29</v>
      </c>
      <c r="BD2225">
        <v>-0.01</v>
      </c>
      <c r="BE2225">
        <v>0</v>
      </c>
      <c r="BF2225">
        <v>0.11</v>
      </c>
      <c r="BG2225">
        <v>63</v>
      </c>
      <c r="BH2225">
        <v>-0.23</v>
      </c>
      <c r="BI2225">
        <v>-3.83</v>
      </c>
      <c r="BJ2225">
        <v>0</v>
      </c>
      <c r="BK2225">
        <v>0</v>
      </c>
      <c r="BL2225">
        <v>-1.48</v>
      </c>
      <c r="BM2225">
        <v>1.1299999999999999</v>
      </c>
      <c r="BN2225">
        <v>-1.46</v>
      </c>
      <c r="BO2225">
        <v>-1.78</v>
      </c>
      <c r="BP2225">
        <v>0.61</v>
      </c>
      <c r="BQ2225">
        <v>-0.01</v>
      </c>
      <c r="BR2225">
        <v>-0.68</v>
      </c>
      <c r="BS2225">
        <v>0.38</v>
      </c>
      <c r="BT2225">
        <v>0.15</v>
      </c>
      <c r="BU2225">
        <v>-1.65</v>
      </c>
      <c r="BV2225">
        <v>-1.67</v>
      </c>
      <c r="BW2225">
        <v>-1.64</v>
      </c>
      <c r="BX2225">
        <v>-1.21</v>
      </c>
      <c r="BY2225">
        <v>-1.43</v>
      </c>
      <c r="BZ2225">
        <v>0.25</v>
      </c>
      <c r="CA2225">
        <v>-1.67</v>
      </c>
      <c r="CB2225">
        <v>-1.8</v>
      </c>
      <c r="CC2225">
        <v>-0.8</v>
      </c>
      <c r="CD2225">
        <v>1.6</v>
      </c>
      <c r="CE2225">
        <v>-1.75</v>
      </c>
      <c r="CF2225">
        <v>-1.4</v>
      </c>
      <c r="CG2225">
        <v>0</v>
      </c>
      <c r="CH2225">
        <v>-1.69</v>
      </c>
      <c r="CI2225">
        <v>0</v>
      </c>
      <c r="CJ2225">
        <v>-4.4000000000000004</v>
      </c>
      <c r="CK2225">
        <v>65</v>
      </c>
      <c r="CL2225">
        <v>0.46</v>
      </c>
      <c r="CM2225">
        <v>61</v>
      </c>
      <c r="CN2225">
        <v>-0.3</v>
      </c>
      <c r="CO2225">
        <v>57</v>
      </c>
      <c r="CP2225">
        <v>-8.9</v>
      </c>
      <c r="CQ2225">
        <v>67</v>
      </c>
      <c r="CR2225">
        <v>0</v>
      </c>
      <c r="CS2225">
        <v>0</v>
      </c>
      <c r="CT2225">
        <v>-15.3</v>
      </c>
      <c r="CU2225">
        <v>44</v>
      </c>
      <c r="CV2225">
        <v>-0.34</v>
      </c>
      <c r="CW2225">
        <v>17</v>
      </c>
      <c r="CX2225">
        <v>0</v>
      </c>
    </row>
    <row r="2226" spans="1:102" x14ac:dyDescent="0.3">
      <c r="A2226" t="str">
        <f>HYPERLINK("https://webapp.icbf.com/v2/app/bull-search/view/660029886","S1249")</f>
        <v>S1249</v>
      </c>
      <c r="B2226" t="s">
        <v>10152</v>
      </c>
      <c r="C2226" t="s">
        <v>10153</v>
      </c>
      <c r="D2226" s="1">
        <v>38635</v>
      </c>
      <c r="E2226" t="s">
        <v>140</v>
      </c>
      <c r="F2226">
        <v>0</v>
      </c>
      <c r="G2226" t="s">
        <v>109</v>
      </c>
      <c r="H2226">
        <v>55.36</v>
      </c>
      <c r="I2226">
        <v>78</v>
      </c>
      <c r="J2226">
        <v>-13</v>
      </c>
      <c r="K2226">
        <v>91</v>
      </c>
      <c r="L2226">
        <v>52.4</v>
      </c>
      <c r="M2226">
        <v>69</v>
      </c>
      <c r="N2226">
        <v>-10.119999999999999</v>
      </c>
      <c r="O2226">
        <v>76</v>
      </c>
      <c r="P2226">
        <v>28.9</v>
      </c>
      <c r="Q2226">
        <v>81</v>
      </c>
      <c r="R2226">
        <v>4.41</v>
      </c>
      <c r="S2226">
        <v>69</v>
      </c>
      <c r="T2226">
        <v>-3.49</v>
      </c>
      <c r="U2226">
        <v>76</v>
      </c>
      <c r="V2226">
        <v>-3.74</v>
      </c>
      <c r="W2226">
        <v>65</v>
      </c>
      <c r="X2226" t="s">
        <v>102</v>
      </c>
      <c r="Y2226" t="s">
        <v>342</v>
      </c>
      <c r="Z2226">
        <v>0</v>
      </c>
      <c r="AA2226" t="s">
        <v>9953</v>
      </c>
      <c r="AB2226" t="s">
        <v>10154</v>
      </c>
      <c r="AC2226">
        <v>0</v>
      </c>
      <c r="AD2226">
        <v>0</v>
      </c>
      <c r="AE2226">
        <v>91</v>
      </c>
      <c r="AF2226">
        <v>-84.71</v>
      </c>
      <c r="AG2226">
        <v>-2.48</v>
      </c>
      <c r="AH2226">
        <v>-2.63</v>
      </c>
      <c r="AI2226">
        <v>0.02</v>
      </c>
      <c r="AJ2226">
        <v>0</v>
      </c>
      <c r="AK2226">
        <v>69</v>
      </c>
      <c r="AL2226">
        <v>39</v>
      </c>
      <c r="AM2226">
        <v>16</v>
      </c>
      <c r="AN2226">
        <v>-3.57</v>
      </c>
      <c r="AO2226">
        <v>0.6</v>
      </c>
      <c r="AP2226">
        <v>81</v>
      </c>
      <c r="AQ2226">
        <v>1</v>
      </c>
      <c r="AR2226">
        <v>7.4</v>
      </c>
      <c r="AS2226">
        <v>66</v>
      </c>
      <c r="AT2226">
        <v>4.08</v>
      </c>
      <c r="AU2226">
        <v>77</v>
      </c>
      <c r="AV2226">
        <v>0.36</v>
      </c>
      <c r="AW2226">
        <v>89</v>
      </c>
      <c r="AX2226">
        <v>0.75</v>
      </c>
      <c r="AY2226">
        <v>63</v>
      </c>
      <c r="AZ2226">
        <v>6.1</v>
      </c>
      <c r="BA2226">
        <v>56</v>
      </c>
      <c r="BB2226">
        <v>4.4800000000000004</v>
      </c>
      <c r="BC2226">
        <v>57</v>
      </c>
      <c r="BD2226">
        <v>0.04</v>
      </c>
      <c r="BE2226">
        <v>-0.02</v>
      </c>
      <c r="BF2226">
        <v>-0.13</v>
      </c>
      <c r="BG2226">
        <v>77</v>
      </c>
      <c r="BH2226">
        <v>-0.28000000000000003</v>
      </c>
      <c r="BI2226">
        <v>-20.32</v>
      </c>
      <c r="BJ2226">
        <v>0</v>
      </c>
      <c r="BK2226">
        <v>0</v>
      </c>
      <c r="BL2226">
        <v>-0.62</v>
      </c>
      <c r="BM2226">
        <v>3.81</v>
      </c>
      <c r="BN2226">
        <v>-1.58</v>
      </c>
      <c r="BO2226">
        <v>-3.09</v>
      </c>
      <c r="BP2226">
        <v>4.28</v>
      </c>
      <c r="BQ2226">
        <v>-1.54</v>
      </c>
      <c r="BR2226">
        <v>-2.5499999999999998</v>
      </c>
      <c r="BS2226">
        <v>-0.28000000000000003</v>
      </c>
      <c r="BT2226">
        <v>2.48</v>
      </c>
      <c r="BU2226">
        <v>-3.42</v>
      </c>
      <c r="BV2226">
        <v>-3.86</v>
      </c>
      <c r="BW2226">
        <v>-2.88</v>
      </c>
      <c r="BX2226">
        <v>-2.74</v>
      </c>
      <c r="BY2226">
        <v>-1.79</v>
      </c>
      <c r="BZ2226">
        <v>1.3</v>
      </c>
      <c r="CA2226">
        <v>-2.54</v>
      </c>
      <c r="CB2226">
        <v>-3.23</v>
      </c>
      <c r="CC2226">
        <v>-0.46</v>
      </c>
      <c r="CD2226">
        <v>3.96</v>
      </c>
      <c r="CE2226">
        <v>-2.99</v>
      </c>
      <c r="CF2226">
        <v>-0.94</v>
      </c>
      <c r="CG2226">
        <v>0</v>
      </c>
      <c r="CH2226">
        <v>-2.54</v>
      </c>
      <c r="CI2226">
        <v>0</v>
      </c>
      <c r="CJ2226">
        <v>15</v>
      </c>
      <c r="CK2226">
        <v>84</v>
      </c>
      <c r="CL2226">
        <v>0.28999999999999998</v>
      </c>
      <c r="CM2226">
        <v>80</v>
      </c>
      <c r="CN2226">
        <v>-0.25</v>
      </c>
      <c r="CO2226">
        <v>78</v>
      </c>
      <c r="CP2226">
        <v>15.2</v>
      </c>
      <c r="CQ2226">
        <v>72</v>
      </c>
      <c r="CR2226">
        <v>0</v>
      </c>
      <c r="CS2226">
        <v>0</v>
      </c>
      <c r="CT2226">
        <v>18.5</v>
      </c>
      <c r="CU2226">
        <v>76</v>
      </c>
      <c r="CV2226">
        <v>0.22</v>
      </c>
      <c r="CW2226">
        <v>42</v>
      </c>
      <c r="CX2226" t="s">
        <v>247</v>
      </c>
    </row>
    <row r="2227" spans="1:102" x14ac:dyDescent="0.3">
      <c r="A2227" t="str">
        <f>HYPERLINK("https://webapp.icbf.com/v2/app/bull-search/view/69092899","WES")</f>
        <v>WES</v>
      </c>
      <c r="B2227" t="s">
        <v>7934</v>
      </c>
      <c r="C2227" t="s">
        <v>7935</v>
      </c>
      <c r="D2227" s="1">
        <v>32440</v>
      </c>
      <c r="E2227" t="s">
        <v>108</v>
      </c>
      <c r="F2227">
        <v>13</v>
      </c>
      <c r="G2227" t="s">
        <v>93</v>
      </c>
      <c r="H2227">
        <v>55.3</v>
      </c>
      <c r="I2227">
        <v>96</v>
      </c>
      <c r="J2227">
        <v>-42.44</v>
      </c>
      <c r="K2227">
        <v>99</v>
      </c>
      <c r="L2227">
        <v>88.94</v>
      </c>
      <c r="M2227">
        <v>93</v>
      </c>
      <c r="N2227">
        <v>-8.92</v>
      </c>
      <c r="O2227">
        <v>97</v>
      </c>
      <c r="P2227">
        <v>-10.58</v>
      </c>
      <c r="Q2227">
        <v>99</v>
      </c>
      <c r="R2227">
        <v>8.81</v>
      </c>
      <c r="S2227">
        <v>94</v>
      </c>
      <c r="T2227">
        <v>17.079999999999998</v>
      </c>
      <c r="U2227">
        <v>98</v>
      </c>
      <c r="V2227">
        <v>2.41</v>
      </c>
      <c r="W2227">
        <v>95</v>
      </c>
      <c r="X2227" t="s">
        <v>94</v>
      </c>
      <c r="Y2227" t="s">
        <v>95</v>
      </c>
      <c r="Z2227" t="s">
        <v>96</v>
      </c>
      <c r="AA2227" t="s">
        <v>823</v>
      </c>
      <c r="AB2227" t="s">
        <v>7936</v>
      </c>
      <c r="AC2227">
        <v>728</v>
      </c>
      <c r="AD2227">
        <v>294</v>
      </c>
      <c r="AE2227">
        <v>99</v>
      </c>
      <c r="AF2227">
        <v>-319.64999999999998</v>
      </c>
      <c r="AG2227">
        <v>-5.6</v>
      </c>
      <c r="AH2227">
        <v>-10.130000000000001</v>
      </c>
      <c r="AI2227">
        <v>0.13</v>
      </c>
      <c r="AJ2227">
        <v>0.01</v>
      </c>
      <c r="AK2227">
        <v>93</v>
      </c>
      <c r="AL2227">
        <v>1053</v>
      </c>
      <c r="AM2227">
        <v>429</v>
      </c>
      <c r="AN2227">
        <v>-5.09</v>
      </c>
      <c r="AO2227">
        <v>2</v>
      </c>
      <c r="AP2227">
        <v>681</v>
      </c>
      <c r="AQ2227">
        <v>5</v>
      </c>
      <c r="AR2227">
        <v>9.85</v>
      </c>
      <c r="AS2227">
        <v>91</v>
      </c>
      <c r="AT2227">
        <v>4.1399999999999997</v>
      </c>
      <c r="AU2227">
        <v>97</v>
      </c>
      <c r="AV2227">
        <v>-0.28000000000000003</v>
      </c>
      <c r="AW2227">
        <v>99</v>
      </c>
      <c r="AX2227">
        <v>-0.2</v>
      </c>
      <c r="AY2227">
        <v>98</v>
      </c>
      <c r="AZ2227">
        <v>5.2</v>
      </c>
      <c r="BA2227">
        <v>90</v>
      </c>
      <c r="BB2227">
        <v>4.3099999999999996</v>
      </c>
      <c r="BC2227">
        <v>94</v>
      </c>
      <c r="BD2227">
        <v>-0.01</v>
      </c>
      <c r="BE2227">
        <v>-0.04</v>
      </c>
      <c r="BF2227">
        <v>-0.11</v>
      </c>
      <c r="BG2227">
        <v>98</v>
      </c>
      <c r="BH2227">
        <v>0.1</v>
      </c>
      <c r="BI2227">
        <v>3.8</v>
      </c>
      <c r="BJ2227">
        <v>25</v>
      </c>
      <c r="BK2227">
        <v>13</v>
      </c>
      <c r="BL2227">
        <v>-2.23</v>
      </c>
      <c r="BM2227">
        <v>-0.31</v>
      </c>
      <c r="BN2227">
        <v>-3.14</v>
      </c>
      <c r="BO2227">
        <v>-2.2599999999999998</v>
      </c>
      <c r="BP2227">
        <v>-0.06</v>
      </c>
      <c r="BQ2227">
        <v>-0.33</v>
      </c>
      <c r="BR2227">
        <v>-1.66</v>
      </c>
      <c r="BS2227">
        <v>1.54</v>
      </c>
      <c r="BT2227">
        <v>0.49</v>
      </c>
      <c r="BU2227">
        <v>0.12</v>
      </c>
      <c r="BV2227">
        <v>-1.46</v>
      </c>
      <c r="BW2227">
        <v>-0.83</v>
      </c>
      <c r="BX2227">
        <v>1.5</v>
      </c>
      <c r="BY2227">
        <v>1.3</v>
      </c>
      <c r="BZ2227">
        <v>-2.54</v>
      </c>
      <c r="CA2227">
        <v>-0.25</v>
      </c>
      <c r="CB2227">
        <v>-0.83</v>
      </c>
      <c r="CC2227">
        <v>0.56999999999999995</v>
      </c>
      <c r="CD2227">
        <v>1.28</v>
      </c>
      <c r="CE2227">
        <v>-1.97</v>
      </c>
      <c r="CF2227">
        <v>-1.84</v>
      </c>
      <c r="CG2227">
        <v>0</v>
      </c>
      <c r="CH2227">
        <v>1.18</v>
      </c>
      <c r="CI2227">
        <v>0</v>
      </c>
      <c r="CJ2227">
        <v>-6</v>
      </c>
      <c r="CK2227">
        <v>99</v>
      </c>
      <c r="CL2227">
        <v>-0.27</v>
      </c>
      <c r="CM2227">
        <v>99</v>
      </c>
      <c r="CN2227">
        <v>-0.19</v>
      </c>
      <c r="CO2227">
        <v>99</v>
      </c>
      <c r="CP2227">
        <v>-11.6</v>
      </c>
      <c r="CQ2227">
        <v>99</v>
      </c>
      <c r="CR2227">
        <v>0</v>
      </c>
      <c r="CS2227">
        <v>0</v>
      </c>
      <c r="CT2227">
        <v>-9.3000000000000007</v>
      </c>
      <c r="CU2227">
        <v>98</v>
      </c>
      <c r="CV2227">
        <v>0</v>
      </c>
      <c r="CW2227">
        <v>46</v>
      </c>
      <c r="CX2227" t="s">
        <v>3686</v>
      </c>
    </row>
    <row r="2228" spans="1:102" x14ac:dyDescent="0.3">
      <c r="A2228" t="str">
        <f>HYPERLINK("https://webapp.icbf.com/v2/app/bull-search/view/550979967","S1105")</f>
        <v>S1105</v>
      </c>
      <c r="B2228" t="s">
        <v>2665</v>
      </c>
      <c r="C2228" t="s">
        <v>2666</v>
      </c>
      <c r="D2228" s="1">
        <v>37877</v>
      </c>
      <c r="E2228" t="s">
        <v>227</v>
      </c>
      <c r="F2228">
        <v>0</v>
      </c>
      <c r="G2228" t="s">
        <v>109</v>
      </c>
      <c r="H2228">
        <v>55.2</v>
      </c>
      <c r="I2228">
        <v>78</v>
      </c>
      <c r="J2228">
        <v>31</v>
      </c>
      <c r="K2228">
        <v>93</v>
      </c>
      <c r="L2228">
        <v>0.65</v>
      </c>
      <c r="M2228">
        <v>88</v>
      </c>
      <c r="N2228">
        <v>16.78</v>
      </c>
      <c r="O2228">
        <v>56</v>
      </c>
      <c r="P2228">
        <v>-64.02</v>
      </c>
      <c r="Q2228">
        <v>54</v>
      </c>
      <c r="R2228">
        <v>2.71</v>
      </c>
      <c r="S2228">
        <v>65</v>
      </c>
      <c r="T2228">
        <v>70.36</v>
      </c>
      <c r="U2228">
        <v>46</v>
      </c>
      <c r="V2228">
        <v>-2.2799999999999998</v>
      </c>
      <c r="W2228">
        <v>57</v>
      </c>
      <c r="X2228" t="s">
        <v>94</v>
      </c>
      <c r="Y2228" t="s">
        <v>336</v>
      </c>
      <c r="Z2228">
        <v>0</v>
      </c>
      <c r="AA2228" t="s">
        <v>2667</v>
      </c>
      <c r="AB2228" t="s">
        <v>1719</v>
      </c>
      <c r="AC2228">
        <v>0</v>
      </c>
      <c r="AD2228">
        <v>0</v>
      </c>
      <c r="AE2228">
        <v>93</v>
      </c>
      <c r="AF2228">
        <v>-258.85000000000002</v>
      </c>
      <c r="AG2228">
        <v>5.88</v>
      </c>
      <c r="AH2228">
        <v>-0.77</v>
      </c>
      <c r="AI2228">
        <v>0.28999999999999998</v>
      </c>
      <c r="AJ2228">
        <v>0.15</v>
      </c>
      <c r="AK2228">
        <v>88</v>
      </c>
      <c r="AL2228">
        <v>0</v>
      </c>
      <c r="AM2228">
        <v>0</v>
      </c>
      <c r="AN2228">
        <v>0.63</v>
      </c>
      <c r="AO2228">
        <v>0.69</v>
      </c>
      <c r="AP2228">
        <v>3</v>
      </c>
      <c r="AQ2228">
        <v>0</v>
      </c>
      <c r="AR2228">
        <v>2.78</v>
      </c>
      <c r="AS2228">
        <v>48</v>
      </c>
      <c r="AT2228">
        <v>1.52</v>
      </c>
      <c r="AU2228">
        <v>50</v>
      </c>
      <c r="AV2228">
        <v>-1.37</v>
      </c>
      <c r="AW2228">
        <v>72</v>
      </c>
      <c r="AX2228">
        <v>3.63</v>
      </c>
      <c r="AY2228">
        <v>41</v>
      </c>
      <c r="AZ2228">
        <v>7.94</v>
      </c>
      <c r="BA2228">
        <v>38</v>
      </c>
      <c r="BB2228">
        <v>5.59</v>
      </c>
      <c r="BC2228">
        <v>38</v>
      </c>
      <c r="BD2228">
        <v>-0.08</v>
      </c>
      <c r="BE2228">
        <v>-0.01</v>
      </c>
      <c r="BF2228">
        <v>0.09</v>
      </c>
      <c r="BG2228">
        <v>72</v>
      </c>
      <c r="BH2228">
        <v>-0.03</v>
      </c>
      <c r="BI2228">
        <v>3.89</v>
      </c>
      <c r="BJ2228">
        <v>0</v>
      </c>
      <c r="BK2228">
        <v>0</v>
      </c>
      <c r="BL2228">
        <v>-1.1100000000000001</v>
      </c>
      <c r="BM2228">
        <v>-1.68</v>
      </c>
      <c r="BN2228">
        <v>-0.1</v>
      </c>
      <c r="BO2228">
        <v>1.59</v>
      </c>
      <c r="BP2228">
        <v>-0.39</v>
      </c>
      <c r="BQ2228">
        <v>-4.1900000000000004</v>
      </c>
      <c r="BR2228">
        <v>1.77</v>
      </c>
      <c r="BS2228">
        <v>6.84</v>
      </c>
      <c r="BT2228">
        <v>-0.91</v>
      </c>
      <c r="BU2228">
        <v>1.32</v>
      </c>
      <c r="BV2228">
        <v>1.1000000000000001</v>
      </c>
      <c r="BW2228">
        <v>-1.25</v>
      </c>
      <c r="BX2228">
        <v>-1.28</v>
      </c>
      <c r="BY2228">
        <v>0.42</v>
      </c>
      <c r="BZ2228">
        <v>7.0000000000000007E-2</v>
      </c>
      <c r="CA2228">
        <v>2.7</v>
      </c>
      <c r="CB2228">
        <v>1.38</v>
      </c>
      <c r="CC2228">
        <v>4.18</v>
      </c>
      <c r="CD2228">
        <v>-2.1800000000000002</v>
      </c>
      <c r="CE2228">
        <v>1.68</v>
      </c>
      <c r="CF2228">
        <v>-0.44</v>
      </c>
      <c r="CG2228">
        <v>0</v>
      </c>
      <c r="CH2228">
        <v>-0.37</v>
      </c>
      <c r="CI2228">
        <v>0</v>
      </c>
      <c r="CJ2228">
        <v>-35.200000000000003</v>
      </c>
      <c r="CK2228">
        <v>55</v>
      </c>
      <c r="CL2228">
        <v>-1.1599999999999999</v>
      </c>
      <c r="CM2228">
        <v>52</v>
      </c>
      <c r="CN2228">
        <v>-0.39</v>
      </c>
      <c r="CO2228">
        <v>48</v>
      </c>
      <c r="CP2228">
        <v>-53.6</v>
      </c>
      <c r="CQ2228">
        <v>57</v>
      </c>
      <c r="CR2228">
        <v>0</v>
      </c>
      <c r="CS2228">
        <v>0</v>
      </c>
      <c r="CT2228">
        <v>-81.3</v>
      </c>
      <c r="CU2228">
        <v>46</v>
      </c>
      <c r="CV2228">
        <v>-0.31</v>
      </c>
      <c r="CW2228">
        <v>35</v>
      </c>
      <c r="CX2228" t="s">
        <v>1720</v>
      </c>
    </row>
    <row r="2229" spans="1:102" x14ac:dyDescent="0.3">
      <c r="A2229" t="str">
        <f>HYPERLINK("https://webapp.icbf.com/v2/app/bull-search/view/812469497","S2201")</f>
        <v>S2201</v>
      </c>
      <c r="B2229" t="s">
        <v>14776</v>
      </c>
      <c r="C2229" t="s">
        <v>14777</v>
      </c>
      <c r="D2229" s="1">
        <v>39772</v>
      </c>
      <c r="E2229" t="s">
        <v>227</v>
      </c>
      <c r="F2229">
        <v>0</v>
      </c>
      <c r="G2229" t="s">
        <v>109</v>
      </c>
      <c r="H2229">
        <v>55.11</v>
      </c>
      <c r="I2229">
        <v>53</v>
      </c>
      <c r="J2229">
        <v>60.73</v>
      </c>
      <c r="K2229">
        <v>75</v>
      </c>
      <c r="L2229">
        <v>-16.97</v>
      </c>
      <c r="M2229">
        <v>67</v>
      </c>
      <c r="N2229">
        <v>2.44</v>
      </c>
      <c r="O2229">
        <v>23</v>
      </c>
      <c r="P2229">
        <v>-64.39</v>
      </c>
      <c r="Q2229">
        <v>18</v>
      </c>
      <c r="R2229">
        <v>3.15</v>
      </c>
      <c r="S2229">
        <v>21</v>
      </c>
      <c r="T2229">
        <v>72.260000000000005</v>
      </c>
      <c r="U2229">
        <v>15</v>
      </c>
      <c r="V2229">
        <v>-2.11</v>
      </c>
      <c r="W2229">
        <v>4</v>
      </c>
      <c r="X2229" t="s">
        <v>428</v>
      </c>
      <c r="Y2229" t="s">
        <v>367</v>
      </c>
      <c r="Z2229">
        <v>0</v>
      </c>
      <c r="AA2229" t="s">
        <v>2666</v>
      </c>
      <c r="AB2229" t="s">
        <v>14778</v>
      </c>
      <c r="AC2229">
        <v>0</v>
      </c>
      <c r="AD2229">
        <v>0</v>
      </c>
      <c r="AE2229">
        <v>75</v>
      </c>
      <c r="AF2229">
        <v>-265.13</v>
      </c>
      <c r="AG2229">
        <v>11.79</v>
      </c>
      <c r="AH2229">
        <v>2.1</v>
      </c>
      <c r="AI2229">
        <v>0.38</v>
      </c>
      <c r="AJ2229">
        <v>0.19</v>
      </c>
      <c r="AK2229">
        <v>67</v>
      </c>
      <c r="AL2229">
        <v>0</v>
      </c>
      <c r="AM2229">
        <v>0</v>
      </c>
      <c r="AN2229">
        <v>1.99</v>
      </c>
      <c r="AO2229">
        <v>0.65</v>
      </c>
      <c r="AP2229">
        <v>10</v>
      </c>
      <c r="AQ2229">
        <v>0</v>
      </c>
      <c r="AR2229">
        <v>2.82</v>
      </c>
      <c r="AS2229">
        <v>22</v>
      </c>
      <c r="AT2229">
        <v>1.69</v>
      </c>
      <c r="AU2229">
        <v>14</v>
      </c>
      <c r="AV2229">
        <v>0.47</v>
      </c>
      <c r="AW2229">
        <v>37</v>
      </c>
      <c r="AX2229">
        <v>3.74</v>
      </c>
      <c r="AY2229">
        <v>20</v>
      </c>
      <c r="AZ2229">
        <v>7.73</v>
      </c>
      <c r="BA2229">
        <v>6</v>
      </c>
      <c r="BB2229">
        <v>5.39</v>
      </c>
      <c r="BC2229">
        <v>5</v>
      </c>
      <c r="BD2229">
        <v>-0.05</v>
      </c>
      <c r="BE2229">
        <v>-0.01</v>
      </c>
      <c r="BF2229">
        <v>0.03</v>
      </c>
      <c r="BG2229">
        <v>27</v>
      </c>
      <c r="BH2229">
        <v>-0.05</v>
      </c>
      <c r="BI2229">
        <v>1.03</v>
      </c>
      <c r="BJ2229">
        <v>3</v>
      </c>
      <c r="BK2229">
        <v>3</v>
      </c>
      <c r="BL2229">
        <v>-0.94</v>
      </c>
      <c r="BM2229">
        <v>-1.24</v>
      </c>
      <c r="BN2229">
        <v>0.45</v>
      </c>
      <c r="BO2229">
        <v>1.66</v>
      </c>
      <c r="BP2229">
        <v>-0.16</v>
      </c>
      <c r="BQ2229">
        <v>-3.78</v>
      </c>
      <c r="BR2229">
        <v>1.98</v>
      </c>
      <c r="BS2229">
        <v>7.08</v>
      </c>
      <c r="BT2229">
        <v>-0.9</v>
      </c>
      <c r="BU2229">
        <v>1.46</v>
      </c>
      <c r="BV2229">
        <v>1.08</v>
      </c>
      <c r="BW2229">
        <v>-1.1299999999999999</v>
      </c>
      <c r="BX2229">
        <v>-0.84</v>
      </c>
      <c r="BY2229">
        <v>0.24</v>
      </c>
      <c r="BZ2229">
        <v>-0.14000000000000001</v>
      </c>
      <c r="CA2229">
        <v>2.6</v>
      </c>
      <c r="CB2229">
        <v>1.39</v>
      </c>
      <c r="CC2229">
        <v>3.99</v>
      </c>
      <c r="CD2229">
        <v>-2.11</v>
      </c>
      <c r="CE2229">
        <v>1.89</v>
      </c>
      <c r="CF2229">
        <v>0.13</v>
      </c>
      <c r="CG2229">
        <v>0</v>
      </c>
      <c r="CH2229">
        <v>-0.11</v>
      </c>
      <c r="CI2229">
        <v>0</v>
      </c>
      <c r="CJ2229">
        <v>-34.53</v>
      </c>
      <c r="CK2229">
        <v>18</v>
      </c>
      <c r="CL2229">
        <v>-1.26</v>
      </c>
      <c r="CM2229">
        <v>17</v>
      </c>
      <c r="CN2229">
        <v>-0.38</v>
      </c>
      <c r="CO2229">
        <v>16</v>
      </c>
      <c r="CP2229">
        <v>-54.57</v>
      </c>
      <c r="CQ2229">
        <v>18</v>
      </c>
      <c r="CR2229">
        <v>0</v>
      </c>
      <c r="CS2229">
        <v>0</v>
      </c>
      <c r="CT2229">
        <v>-83.86</v>
      </c>
      <c r="CU2229">
        <v>15</v>
      </c>
      <c r="CV2229">
        <v>-0.32</v>
      </c>
      <c r="CW2229">
        <v>10</v>
      </c>
      <c r="CX2229" t="s">
        <v>3046</v>
      </c>
    </row>
    <row r="2230" spans="1:102" x14ac:dyDescent="0.3">
      <c r="A2230" t="str">
        <f>HYPERLINK("https://webapp.icbf.com/v2/app/bull-search/view/607516009","LKZ")</f>
        <v>LKZ</v>
      </c>
      <c r="B2230" t="s">
        <v>5122</v>
      </c>
      <c r="C2230" t="s">
        <v>5123</v>
      </c>
      <c r="D2230" s="1">
        <v>39689</v>
      </c>
      <c r="E2230" t="s">
        <v>92</v>
      </c>
      <c r="F2230">
        <v>100</v>
      </c>
      <c r="G2230" t="s">
        <v>93</v>
      </c>
      <c r="H2230">
        <v>55.04</v>
      </c>
      <c r="I2230">
        <v>94</v>
      </c>
      <c r="J2230">
        <v>38.89</v>
      </c>
      <c r="K2230">
        <v>99</v>
      </c>
      <c r="L2230">
        <v>-4.75</v>
      </c>
      <c r="M2230">
        <v>88</v>
      </c>
      <c r="N2230">
        <v>25.81</v>
      </c>
      <c r="O2230">
        <v>95</v>
      </c>
      <c r="P2230">
        <v>-3.72</v>
      </c>
      <c r="Q2230">
        <v>98</v>
      </c>
      <c r="R2230">
        <v>5.81</v>
      </c>
      <c r="S2230">
        <v>88</v>
      </c>
      <c r="T2230">
        <v>-3.05</v>
      </c>
      <c r="U2230">
        <v>96</v>
      </c>
      <c r="V2230">
        <v>-3.95</v>
      </c>
      <c r="W2230">
        <v>87</v>
      </c>
      <c r="X2230" t="s">
        <v>102</v>
      </c>
      <c r="Y2230" t="s">
        <v>329</v>
      </c>
      <c r="Z2230" t="s">
        <v>96</v>
      </c>
      <c r="AA2230" t="s">
        <v>5124</v>
      </c>
      <c r="AB2230" t="s">
        <v>5125</v>
      </c>
      <c r="AC2230">
        <v>399</v>
      </c>
      <c r="AD2230">
        <v>169</v>
      </c>
      <c r="AE2230">
        <v>99</v>
      </c>
      <c r="AF2230">
        <v>337.37</v>
      </c>
      <c r="AG2230">
        <v>3.67</v>
      </c>
      <c r="AH2230">
        <v>10.48</v>
      </c>
      <c r="AI2230">
        <v>-0.16</v>
      </c>
      <c r="AJ2230">
        <v>-0.02</v>
      </c>
      <c r="AK2230">
        <v>88</v>
      </c>
      <c r="AL2230">
        <v>495</v>
      </c>
      <c r="AM2230">
        <v>212</v>
      </c>
      <c r="AN2230">
        <v>0.16</v>
      </c>
      <c r="AO2230">
        <v>-0.22</v>
      </c>
      <c r="AP2230">
        <v>877</v>
      </c>
      <c r="AQ2230">
        <v>9</v>
      </c>
      <c r="AR2230">
        <v>7.73</v>
      </c>
      <c r="AS2230">
        <v>90</v>
      </c>
      <c r="AT2230">
        <v>2.9</v>
      </c>
      <c r="AU2230">
        <v>96</v>
      </c>
      <c r="AV2230">
        <v>-3.71</v>
      </c>
      <c r="AW2230">
        <v>99</v>
      </c>
      <c r="AX2230">
        <v>0.74</v>
      </c>
      <c r="AY2230">
        <v>95</v>
      </c>
      <c r="AZ2230">
        <v>7.75</v>
      </c>
      <c r="BA2230">
        <v>86</v>
      </c>
      <c r="BB2230">
        <v>5.26</v>
      </c>
      <c r="BC2230">
        <v>85</v>
      </c>
      <c r="BD2230">
        <v>-0.01</v>
      </c>
      <c r="BE2230">
        <v>-0.03</v>
      </c>
      <c r="BF2230">
        <v>-0.06</v>
      </c>
      <c r="BG2230">
        <v>96</v>
      </c>
      <c r="BH2230">
        <v>-0.11</v>
      </c>
      <c r="BI2230">
        <v>0.02</v>
      </c>
      <c r="BJ2230">
        <v>56</v>
      </c>
      <c r="BK2230">
        <v>27</v>
      </c>
      <c r="BL2230">
        <v>0.52</v>
      </c>
      <c r="BM2230">
        <v>1.35</v>
      </c>
      <c r="BN2230">
        <v>1</v>
      </c>
      <c r="BO2230">
        <v>-0.46</v>
      </c>
      <c r="BP2230">
        <v>-2.75</v>
      </c>
      <c r="BQ2230">
        <v>1.08</v>
      </c>
      <c r="BR2230">
        <v>-1.07</v>
      </c>
      <c r="BS2230">
        <v>-0.56999999999999995</v>
      </c>
      <c r="BT2230">
        <v>0.42</v>
      </c>
      <c r="BU2230">
        <v>0.16</v>
      </c>
      <c r="BV2230">
        <v>1.1200000000000001</v>
      </c>
      <c r="BW2230">
        <v>2.0499999999999998</v>
      </c>
      <c r="BX2230">
        <v>0.06</v>
      </c>
      <c r="BY2230">
        <v>0.27</v>
      </c>
      <c r="BZ2230">
        <v>-0.69</v>
      </c>
      <c r="CA2230">
        <v>0.52</v>
      </c>
      <c r="CB2230">
        <v>0.6</v>
      </c>
      <c r="CC2230">
        <v>0.23</v>
      </c>
      <c r="CD2230">
        <v>0.62</v>
      </c>
      <c r="CE2230">
        <v>-0.05</v>
      </c>
      <c r="CF2230">
        <v>0.61</v>
      </c>
      <c r="CG2230">
        <v>0</v>
      </c>
      <c r="CH2230">
        <v>0.34</v>
      </c>
      <c r="CI2230">
        <v>0</v>
      </c>
      <c r="CJ2230">
        <v>-0.3</v>
      </c>
      <c r="CK2230">
        <v>98</v>
      </c>
      <c r="CL2230">
        <v>-0.98</v>
      </c>
      <c r="CM2230">
        <v>98</v>
      </c>
      <c r="CN2230">
        <v>-0.51</v>
      </c>
      <c r="CO2230">
        <v>98</v>
      </c>
      <c r="CP2230">
        <v>5.6</v>
      </c>
      <c r="CQ2230">
        <v>96</v>
      </c>
      <c r="CR2230">
        <v>0</v>
      </c>
      <c r="CS2230">
        <v>0</v>
      </c>
      <c r="CT2230">
        <v>17.899999999999999</v>
      </c>
      <c r="CU2230">
        <v>96</v>
      </c>
      <c r="CV2230">
        <v>0.22</v>
      </c>
      <c r="CW2230">
        <v>46</v>
      </c>
      <c r="CX2230" t="s">
        <v>1376</v>
      </c>
    </row>
    <row r="2231" spans="1:102" x14ac:dyDescent="0.3">
      <c r="A2231" t="str">
        <f>HYPERLINK("https://webapp.icbf.com/v2/app/bull-search/view/69092362","PAE")</f>
        <v>PAE</v>
      </c>
      <c r="B2231" t="s">
        <v>3519</v>
      </c>
      <c r="C2231" t="s">
        <v>236</v>
      </c>
      <c r="D2231" s="1">
        <v>33122</v>
      </c>
      <c r="E2231" t="s">
        <v>146</v>
      </c>
      <c r="F2231">
        <v>0</v>
      </c>
      <c r="G2231" t="s">
        <v>93</v>
      </c>
      <c r="H2231">
        <v>54.95</v>
      </c>
      <c r="I2231">
        <v>88</v>
      </c>
      <c r="J2231">
        <v>-1.28</v>
      </c>
      <c r="K2231">
        <v>99</v>
      </c>
      <c r="L2231">
        <v>21.44</v>
      </c>
      <c r="M2231">
        <v>71</v>
      </c>
      <c r="N2231">
        <v>34.97</v>
      </c>
      <c r="O2231">
        <v>93</v>
      </c>
      <c r="P2231">
        <v>16.36</v>
      </c>
      <c r="Q2231">
        <v>97</v>
      </c>
      <c r="R2231">
        <v>-10.99</v>
      </c>
      <c r="S2231">
        <v>89</v>
      </c>
      <c r="T2231">
        <v>6.57</v>
      </c>
      <c r="U2231">
        <v>95</v>
      </c>
      <c r="V2231">
        <v>-12.12</v>
      </c>
      <c r="W2231">
        <v>87</v>
      </c>
      <c r="X2231" t="s">
        <v>276</v>
      </c>
      <c r="Y2231" t="s">
        <v>95</v>
      </c>
      <c r="Z2231">
        <v>0</v>
      </c>
      <c r="AA2231" t="s">
        <v>580</v>
      </c>
      <c r="AB2231" t="s">
        <v>3520</v>
      </c>
      <c r="AC2231">
        <v>389</v>
      </c>
      <c r="AD2231">
        <v>102</v>
      </c>
      <c r="AE2231">
        <v>99</v>
      </c>
      <c r="AF2231">
        <v>-288.94</v>
      </c>
      <c r="AG2231">
        <v>-10.119999999999999</v>
      </c>
      <c r="AH2231">
        <v>-1.06</v>
      </c>
      <c r="AI2231">
        <v>0.02</v>
      </c>
      <c r="AJ2231">
        <v>0.15</v>
      </c>
      <c r="AK2231">
        <v>71</v>
      </c>
      <c r="AL2231">
        <v>0</v>
      </c>
      <c r="AM2231">
        <v>0</v>
      </c>
      <c r="AN2231">
        <v>-1.92</v>
      </c>
      <c r="AO2231">
        <v>-0.22</v>
      </c>
      <c r="AP2231">
        <v>46</v>
      </c>
      <c r="AQ2231">
        <v>3</v>
      </c>
      <c r="AR2231">
        <v>4.9000000000000004</v>
      </c>
      <c r="AS2231">
        <v>87</v>
      </c>
      <c r="AT2231">
        <v>2.21</v>
      </c>
      <c r="AU2231">
        <v>94</v>
      </c>
      <c r="AV2231">
        <v>-1.79</v>
      </c>
      <c r="AW2231">
        <v>95</v>
      </c>
      <c r="AX2231">
        <v>-0.51</v>
      </c>
      <c r="AY2231">
        <v>95</v>
      </c>
      <c r="AZ2231">
        <v>4.76</v>
      </c>
      <c r="BA2231">
        <v>85</v>
      </c>
      <c r="BB2231">
        <v>4.1399999999999997</v>
      </c>
      <c r="BC2231">
        <v>90</v>
      </c>
      <c r="BD2231">
        <v>-0.02</v>
      </c>
      <c r="BE2231">
        <v>0.04</v>
      </c>
      <c r="BF2231">
        <v>0.21</v>
      </c>
      <c r="BG2231">
        <v>96</v>
      </c>
      <c r="BH2231">
        <v>-0.24</v>
      </c>
      <c r="BI2231">
        <v>11.33</v>
      </c>
      <c r="BJ2231">
        <v>3</v>
      </c>
      <c r="BK2231">
        <v>3</v>
      </c>
      <c r="BL2231">
        <v>-1.89</v>
      </c>
      <c r="BM2231">
        <v>3.99</v>
      </c>
      <c r="BN2231">
        <v>0.36</v>
      </c>
      <c r="BO2231">
        <v>-1.4</v>
      </c>
      <c r="BP2231">
        <v>4.67</v>
      </c>
      <c r="BQ2231">
        <v>0.3</v>
      </c>
      <c r="BR2231">
        <v>-1.43</v>
      </c>
      <c r="BS2231">
        <v>-1.45</v>
      </c>
      <c r="BT2231">
        <v>-0.35</v>
      </c>
      <c r="BU2231">
        <v>-2.35</v>
      </c>
      <c r="BV2231">
        <v>-3.37</v>
      </c>
      <c r="BW2231">
        <v>-3.53</v>
      </c>
      <c r="BX2231">
        <v>-2.8</v>
      </c>
      <c r="BY2231">
        <v>-4.28</v>
      </c>
      <c r="BZ2231">
        <v>2.21</v>
      </c>
      <c r="CA2231">
        <v>-3.15</v>
      </c>
      <c r="CB2231">
        <v>-2.98</v>
      </c>
      <c r="CC2231">
        <v>-1.78</v>
      </c>
      <c r="CD2231">
        <v>2.5499999999999998</v>
      </c>
      <c r="CE2231">
        <v>-2.88</v>
      </c>
      <c r="CF2231">
        <v>-0.55000000000000004</v>
      </c>
      <c r="CG2231">
        <v>0</v>
      </c>
      <c r="CH2231">
        <v>-2.78</v>
      </c>
      <c r="CI2231">
        <v>0</v>
      </c>
      <c r="CJ2231">
        <v>7.5</v>
      </c>
      <c r="CK2231">
        <v>97</v>
      </c>
      <c r="CL2231">
        <v>0.28999999999999998</v>
      </c>
      <c r="CM2231">
        <v>97</v>
      </c>
      <c r="CN2231">
        <v>-0.26</v>
      </c>
      <c r="CO2231">
        <v>97</v>
      </c>
      <c r="CP2231">
        <v>-0.2</v>
      </c>
      <c r="CQ2231">
        <v>97</v>
      </c>
      <c r="CR2231">
        <v>0</v>
      </c>
      <c r="CS2231">
        <v>0</v>
      </c>
      <c r="CT2231">
        <v>4.9000000000000004</v>
      </c>
      <c r="CU2231">
        <v>95</v>
      </c>
      <c r="CV2231">
        <v>-0.1</v>
      </c>
      <c r="CW2231">
        <v>29</v>
      </c>
      <c r="CX2231" t="s">
        <v>1314</v>
      </c>
    </row>
    <row r="2232" spans="1:102" x14ac:dyDescent="0.3">
      <c r="A2232" t="str">
        <f>HYPERLINK("https://webapp.icbf.com/v2/app/bull-search/view/440199619","ALZ")</f>
        <v>ALZ</v>
      </c>
      <c r="B2232" t="s">
        <v>15392</v>
      </c>
      <c r="C2232" t="s">
        <v>15393</v>
      </c>
      <c r="D2232" s="1">
        <v>37654</v>
      </c>
      <c r="E2232" t="s">
        <v>108</v>
      </c>
      <c r="F2232">
        <v>0</v>
      </c>
      <c r="G2232" t="s">
        <v>93</v>
      </c>
      <c r="H2232">
        <v>54.86</v>
      </c>
      <c r="I2232">
        <v>92</v>
      </c>
      <c r="J2232">
        <v>-23.52</v>
      </c>
      <c r="K2232">
        <v>98</v>
      </c>
      <c r="L2232">
        <v>41.3</v>
      </c>
      <c r="M2232">
        <v>85</v>
      </c>
      <c r="N2232">
        <v>31.28</v>
      </c>
      <c r="O2232">
        <v>92</v>
      </c>
      <c r="P2232">
        <v>-10.27</v>
      </c>
      <c r="Q2232">
        <v>98</v>
      </c>
      <c r="R2232">
        <v>5.73</v>
      </c>
      <c r="S2232">
        <v>86</v>
      </c>
      <c r="T2232">
        <v>24.19</v>
      </c>
      <c r="U2232">
        <v>94</v>
      </c>
      <c r="V2232">
        <v>-13.85</v>
      </c>
      <c r="W2232">
        <v>88</v>
      </c>
      <c r="X2232" t="s">
        <v>102</v>
      </c>
      <c r="Y2232" t="s">
        <v>1164</v>
      </c>
      <c r="Z2232" t="s">
        <v>96</v>
      </c>
      <c r="AA2232" t="s">
        <v>15394</v>
      </c>
      <c r="AB2232" t="s">
        <v>15395</v>
      </c>
      <c r="AC2232">
        <v>184</v>
      </c>
      <c r="AD2232">
        <v>105</v>
      </c>
      <c r="AE2232">
        <v>98</v>
      </c>
      <c r="AF2232">
        <v>-321.51</v>
      </c>
      <c r="AG2232">
        <v>-9.84</v>
      </c>
      <c r="AH2232">
        <v>-5.44</v>
      </c>
      <c r="AI2232">
        <v>0.05</v>
      </c>
      <c r="AJ2232">
        <v>0.1</v>
      </c>
      <c r="AK2232">
        <v>85</v>
      </c>
      <c r="AL2232">
        <v>264</v>
      </c>
      <c r="AM2232">
        <v>155</v>
      </c>
      <c r="AN2232">
        <v>-3.33</v>
      </c>
      <c r="AO2232">
        <v>-0.05</v>
      </c>
      <c r="AP2232">
        <v>447</v>
      </c>
      <c r="AQ2232">
        <v>14</v>
      </c>
      <c r="AR2232">
        <v>4.9000000000000004</v>
      </c>
      <c r="AS2232">
        <v>84</v>
      </c>
      <c r="AT2232">
        <v>1.98</v>
      </c>
      <c r="AU2232">
        <v>94</v>
      </c>
      <c r="AV2232">
        <v>-3.28</v>
      </c>
      <c r="AW2232">
        <v>98</v>
      </c>
      <c r="AX2232">
        <v>0.5</v>
      </c>
      <c r="AY2232">
        <v>93</v>
      </c>
      <c r="AZ2232">
        <v>7.93</v>
      </c>
      <c r="BA2232">
        <v>77</v>
      </c>
      <c r="BB2232">
        <v>6.06</v>
      </c>
      <c r="BC2232">
        <v>80</v>
      </c>
      <c r="BD2232">
        <v>0.08</v>
      </c>
      <c r="BE2232">
        <v>-0.05</v>
      </c>
      <c r="BF2232">
        <v>-0.17</v>
      </c>
      <c r="BG2232">
        <v>93</v>
      </c>
      <c r="BH2232">
        <v>-0.33</v>
      </c>
      <c r="BI2232">
        <v>6.49</v>
      </c>
      <c r="BJ2232">
        <v>22</v>
      </c>
      <c r="BK2232">
        <v>15</v>
      </c>
      <c r="BL2232">
        <v>-3.97</v>
      </c>
      <c r="BM2232">
        <v>0.86</v>
      </c>
      <c r="BN2232">
        <v>-4.84</v>
      </c>
      <c r="BO2232">
        <v>-3.9</v>
      </c>
      <c r="BP2232">
        <v>0.35</v>
      </c>
      <c r="BQ2232">
        <v>0.38</v>
      </c>
      <c r="BR2232">
        <v>-2.48</v>
      </c>
      <c r="BS2232">
        <v>-2.42</v>
      </c>
      <c r="BT2232">
        <v>-1.1200000000000001</v>
      </c>
      <c r="BU2232">
        <v>-2.91</v>
      </c>
      <c r="BV2232">
        <v>-3.84</v>
      </c>
      <c r="BW2232">
        <v>-3.53</v>
      </c>
      <c r="BX2232">
        <v>-0.89</v>
      </c>
      <c r="BY2232">
        <v>-2.13</v>
      </c>
      <c r="BZ2232">
        <v>1.98</v>
      </c>
      <c r="CA2232">
        <v>-3.27</v>
      </c>
      <c r="CB2232">
        <v>-2.84</v>
      </c>
      <c r="CC2232">
        <v>-3.52</v>
      </c>
      <c r="CD2232">
        <v>3.05</v>
      </c>
      <c r="CE2232">
        <v>-3.02</v>
      </c>
      <c r="CF2232">
        <v>-3.58</v>
      </c>
      <c r="CG2232">
        <v>0</v>
      </c>
      <c r="CH2232">
        <v>-2.79</v>
      </c>
      <c r="CI2232">
        <v>0</v>
      </c>
      <c r="CJ2232">
        <v>-6</v>
      </c>
      <c r="CK2232">
        <v>98</v>
      </c>
      <c r="CL2232">
        <v>0.03</v>
      </c>
      <c r="CM2232">
        <v>98</v>
      </c>
      <c r="CN2232">
        <v>0.04</v>
      </c>
      <c r="CO2232">
        <v>98</v>
      </c>
      <c r="CP2232">
        <v>-12.2</v>
      </c>
      <c r="CQ2232">
        <v>95</v>
      </c>
      <c r="CR2232">
        <v>0</v>
      </c>
      <c r="CS2232">
        <v>0</v>
      </c>
      <c r="CT2232">
        <v>-18.899999999999999</v>
      </c>
      <c r="CU2232">
        <v>94</v>
      </c>
      <c r="CV2232">
        <v>-0.05</v>
      </c>
      <c r="CW2232">
        <v>45</v>
      </c>
      <c r="CX2232" t="s">
        <v>15396</v>
      </c>
    </row>
    <row r="2233" spans="1:102" x14ac:dyDescent="0.3">
      <c r="A2233" t="str">
        <f>HYPERLINK("https://webapp.icbf.com/v2/app/bull-search/view/108372554","SAV")</f>
        <v>SAV</v>
      </c>
      <c r="B2233" t="s">
        <v>11120</v>
      </c>
      <c r="C2233" t="s">
        <v>11121</v>
      </c>
      <c r="D2233" s="1">
        <v>35270</v>
      </c>
      <c r="E2233" t="s">
        <v>92</v>
      </c>
      <c r="F2233">
        <v>100</v>
      </c>
      <c r="G2233" t="s">
        <v>93</v>
      </c>
      <c r="H2233">
        <v>54.85</v>
      </c>
      <c r="I2233">
        <v>90</v>
      </c>
      <c r="J2233">
        <v>19.53</v>
      </c>
      <c r="K2233">
        <v>98</v>
      </c>
      <c r="L2233">
        <v>6.99</v>
      </c>
      <c r="M2233">
        <v>84</v>
      </c>
      <c r="N2233">
        <v>10.01</v>
      </c>
      <c r="O2233">
        <v>89</v>
      </c>
      <c r="P2233">
        <v>-6.03</v>
      </c>
      <c r="Q2233">
        <v>96</v>
      </c>
      <c r="R2233">
        <v>3.68</v>
      </c>
      <c r="S2233">
        <v>83</v>
      </c>
      <c r="T2233">
        <v>23.45</v>
      </c>
      <c r="U2233">
        <v>91</v>
      </c>
      <c r="V2233">
        <v>-2.78</v>
      </c>
      <c r="W2233">
        <v>78</v>
      </c>
      <c r="X2233" t="s">
        <v>558</v>
      </c>
      <c r="Y2233" t="s">
        <v>95</v>
      </c>
      <c r="Z2233" t="s">
        <v>96</v>
      </c>
      <c r="AA2233" t="s">
        <v>856</v>
      </c>
      <c r="AB2233" t="s">
        <v>11122</v>
      </c>
      <c r="AC2233">
        <v>196</v>
      </c>
      <c r="AD2233">
        <v>74</v>
      </c>
      <c r="AE2233">
        <v>98</v>
      </c>
      <c r="AF2233">
        <v>68.87</v>
      </c>
      <c r="AG2233">
        <v>0.57999999999999996</v>
      </c>
      <c r="AH2233">
        <v>4.17</v>
      </c>
      <c r="AI2233">
        <v>-0.03</v>
      </c>
      <c r="AJ2233">
        <v>0.03</v>
      </c>
      <c r="AK2233">
        <v>84</v>
      </c>
      <c r="AL2233">
        <v>197</v>
      </c>
      <c r="AM2233">
        <v>64</v>
      </c>
      <c r="AN2233">
        <v>0.62</v>
      </c>
      <c r="AO2233">
        <v>1.19</v>
      </c>
      <c r="AP2233">
        <v>290</v>
      </c>
      <c r="AQ2233">
        <v>3</v>
      </c>
      <c r="AR2233">
        <v>7.13</v>
      </c>
      <c r="AS2233">
        <v>71</v>
      </c>
      <c r="AT2233">
        <v>3.42</v>
      </c>
      <c r="AU2233">
        <v>90</v>
      </c>
      <c r="AV2233">
        <v>-0.9</v>
      </c>
      <c r="AW2233">
        <v>96</v>
      </c>
      <c r="AX2233">
        <v>-0.44</v>
      </c>
      <c r="AY2233">
        <v>89</v>
      </c>
      <c r="AZ2233">
        <v>5.23</v>
      </c>
      <c r="BA2233">
        <v>72</v>
      </c>
      <c r="BB2233">
        <v>4.72</v>
      </c>
      <c r="BC2233">
        <v>78</v>
      </c>
      <c r="BD2233">
        <v>-0.04</v>
      </c>
      <c r="BE2233">
        <v>-0.02</v>
      </c>
      <c r="BF2233">
        <v>0.02</v>
      </c>
      <c r="BG2233">
        <v>92</v>
      </c>
      <c r="BH2233">
        <v>-0.06</v>
      </c>
      <c r="BI2233">
        <v>2.04</v>
      </c>
      <c r="BJ2233">
        <v>16</v>
      </c>
      <c r="BK2233">
        <v>9</v>
      </c>
      <c r="BL2233">
        <v>-0.08</v>
      </c>
      <c r="BM2233">
        <v>0.24</v>
      </c>
      <c r="BN2233">
        <v>0.03</v>
      </c>
      <c r="BO2233">
        <v>-0.57999999999999996</v>
      </c>
      <c r="BP2233">
        <v>0.53</v>
      </c>
      <c r="BQ2233">
        <v>-0.92</v>
      </c>
      <c r="BR2233">
        <v>0.62</v>
      </c>
      <c r="BS2233">
        <v>0.01</v>
      </c>
      <c r="BT2233">
        <v>-0.31</v>
      </c>
      <c r="BU2233">
        <v>0.45</v>
      </c>
      <c r="BV2233">
        <v>0.44</v>
      </c>
      <c r="BW2233">
        <v>0.51</v>
      </c>
      <c r="BX2233">
        <v>0.69</v>
      </c>
      <c r="BY2233">
        <v>0.62</v>
      </c>
      <c r="BZ2233">
        <v>-0.51</v>
      </c>
      <c r="CA2233">
        <v>0.63</v>
      </c>
      <c r="CB2233">
        <v>0.74</v>
      </c>
      <c r="CC2233">
        <v>0.06</v>
      </c>
      <c r="CD2233">
        <v>0.51</v>
      </c>
      <c r="CE2233">
        <v>-0.16</v>
      </c>
      <c r="CF2233">
        <v>-0.37</v>
      </c>
      <c r="CG2233">
        <v>0</v>
      </c>
      <c r="CH2233">
        <v>0.39</v>
      </c>
      <c r="CI2233">
        <v>0</v>
      </c>
      <c r="CJ2233">
        <v>-0.6</v>
      </c>
      <c r="CK2233">
        <v>97</v>
      </c>
      <c r="CL2233">
        <v>-0.57999999999999996</v>
      </c>
      <c r="CM2233">
        <v>96</v>
      </c>
      <c r="CN2233">
        <v>-0.2</v>
      </c>
      <c r="CO2233">
        <v>96</v>
      </c>
      <c r="CP2233">
        <v>-10.4</v>
      </c>
      <c r="CQ2233">
        <v>95</v>
      </c>
      <c r="CR2233">
        <v>0</v>
      </c>
      <c r="CS2233">
        <v>0</v>
      </c>
      <c r="CT2233">
        <v>-17.899999999999999</v>
      </c>
      <c r="CU2233">
        <v>91</v>
      </c>
      <c r="CV2233">
        <v>0.21</v>
      </c>
      <c r="CW2233">
        <v>28</v>
      </c>
      <c r="CX2233" t="s">
        <v>531</v>
      </c>
    </row>
    <row r="2234" spans="1:102" x14ac:dyDescent="0.3">
      <c r="A2234" t="str">
        <f>HYPERLINK("https://webapp.icbf.com/v2/app/bull-search/view/586063213","S1513")</f>
        <v>S1513</v>
      </c>
      <c r="B2234" t="s">
        <v>14690</v>
      </c>
      <c r="C2234" t="s">
        <v>13980</v>
      </c>
      <c r="D2234" s="1">
        <v>37868</v>
      </c>
      <c r="E2234" t="s">
        <v>92</v>
      </c>
      <c r="F2234">
        <v>100</v>
      </c>
      <c r="G2234" t="s">
        <v>93</v>
      </c>
      <c r="H2234">
        <v>54.83</v>
      </c>
      <c r="I2234">
        <v>84</v>
      </c>
      <c r="J2234">
        <v>7.32</v>
      </c>
      <c r="K2234">
        <v>96</v>
      </c>
      <c r="L2234">
        <v>15.45</v>
      </c>
      <c r="M2234">
        <v>85</v>
      </c>
      <c r="N2234">
        <v>14.71</v>
      </c>
      <c r="O2234">
        <v>82</v>
      </c>
      <c r="P2234">
        <v>-7.67</v>
      </c>
      <c r="Q2234">
        <v>74</v>
      </c>
      <c r="R2234">
        <v>14.28</v>
      </c>
      <c r="S2234">
        <v>68</v>
      </c>
      <c r="T2234">
        <v>14.64</v>
      </c>
      <c r="U2234">
        <v>60</v>
      </c>
      <c r="V2234">
        <v>-3.9</v>
      </c>
      <c r="W2234">
        <v>54</v>
      </c>
      <c r="X2234" t="s">
        <v>234</v>
      </c>
      <c r="Y2234" t="s">
        <v>362</v>
      </c>
      <c r="Z2234" t="s">
        <v>96</v>
      </c>
      <c r="AA2234" t="s">
        <v>14691</v>
      </c>
      <c r="AB2234" t="s">
        <v>14692</v>
      </c>
      <c r="AC2234">
        <v>112</v>
      </c>
      <c r="AD2234">
        <v>36</v>
      </c>
      <c r="AE2234">
        <v>96</v>
      </c>
      <c r="AF2234">
        <v>202.64</v>
      </c>
      <c r="AG2234">
        <v>3.72</v>
      </c>
      <c r="AH2234">
        <v>3.03</v>
      </c>
      <c r="AI2234">
        <v>-7.0000000000000007E-2</v>
      </c>
      <c r="AJ2234">
        <v>-0.06</v>
      </c>
      <c r="AK2234">
        <v>85</v>
      </c>
      <c r="AL2234">
        <v>108</v>
      </c>
      <c r="AM2234">
        <v>39</v>
      </c>
      <c r="AN2234">
        <v>0.55000000000000004</v>
      </c>
      <c r="AO2234">
        <v>1.8</v>
      </c>
      <c r="AP2234">
        <v>170</v>
      </c>
      <c r="AQ2234">
        <v>0</v>
      </c>
      <c r="AR2234">
        <v>5.87</v>
      </c>
      <c r="AS2234">
        <v>81</v>
      </c>
      <c r="AT2234">
        <v>2.4500000000000002</v>
      </c>
      <c r="AU2234">
        <v>92</v>
      </c>
      <c r="AV2234">
        <v>-2.0699999999999998</v>
      </c>
      <c r="AW2234">
        <v>93</v>
      </c>
      <c r="AX2234">
        <v>0.84</v>
      </c>
      <c r="AY2234">
        <v>77</v>
      </c>
      <c r="AZ2234">
        <v>8.49</v>
      </c>
      <c r="BA2234">
        <v>52</v>
      </c>
      <c r="BB2234">
        <v>6.05</v>
      </c>
      <c r="BC2234">
        <v>43</v>
      </c>
      <c r="BD2234">
        <v>-0.02</v>
      </c>
      <c r="BE2234">
        <v>-0.05</v>
      </c>
      <c r="BF2234">
        <v>-0.2</v>
      </c>
      <c r="BG2234">
        <v>92</v>
      </c>
      <c r="BH2234">
        <v>0.04</v>
      </c>
      <c r="BI2234">
        <v>17.22</v>
      </c>
      <c r="BJ2234">
        <v>44</v>
      </c>
      <c r="BK2234">
        <v>15</v>
      </c>
      <c r="BL2234">
        <v>0.34</v>
      </c>
      <c r="BM2234">
        <v>-0.68</v>
      </c>
      <c r="BN2234">
        <v>0.18</v>
      </c>
      <c r="BO2234">
        <v>0.74</v>
      </c>
      <c r="BP2234">
        <v>0.56000000000000005</v>
      </c>
      <c r="BQ2234">
        <v>1.74</v>
      </c>
      <c r="BR2234">
        <v>-0.57999999999999996</v>
      </c>
      <c r="BS2234">
        <v>3.73</v>
      </c>
      <c r="BT2234">
        <v>2.1</v>
      </c>
      <c r="BU2234">
        <v>0.39</v>
      </c>
      <c r="BV2234">
        <v>1.1299999999999999</v>
      </c>
      <c r="BW2234">
        <v>1.2</v>
      </c>
      <c r="BX2234">
        <v>0.2</v>
      </c>
      <c r="BY2234">
        <v>0.33</v>
      </c>
      <c r="BZ2234">
        <v>-0.16</v>
      </c>
      <c r="CA2234">
        <v>1.6</v>
      </c>
      <c r="CB2234">
        <v>0.65</v>
      </c>
      <c r="CC2234">
        <v>2.92</v>
      </c>
      <c r="CD2234">
        <v>-0.94</v>
      </c>
      <c r="CE2234">
        <v>0.56000000000000005</v>
      </c>
      <c r="CF2234">
        <v>-0.28999999999999998</v>
      </c>
      <c r="CG2234">
        <v>0</v>
      </c>
      <c r="CH2234">
        <v>0.25</v>
      </c>
      <c r="CI2234">
        <v>0</v>
      </c>
      <c r="CJ2234">
        <v>-3.1</v>
      </c>
      <c r="CK2234">
        <v>78</v>
      </c>
      <c r="CL2234">
        <v>-0.78</v>
      </c>
      <c r="CM2234">
        <v>71</v>
      </c>
      <c r="CN2234">
        <v>-0.5</v>
      </c>
      <c r="CO2234">
        <v>68</v>
      </c>
      <c r="CP2234">
        <v>-8</v>
      </c>
      <c r="CQ2234">
        <v>63</v>
      </c>
      <c r="CR2234">
        <v>0</v>
      </c>
      <c r="CS2234">
        <v>0</v>
      </c>
      <c r="CT2234">
        <v>-6</v>
      </c>
      <c r="CU2234">
        <v>60</v>
      </c>
      <c r="CV2234">
        <v>0.15</v>
      </c>
      <c r="CW2234">
        <v>22</v>
      </c>
      <c r="CX2234" t="s">
        <v>3035</v>
      </c>
    </row>
    <row r="2235" spans="1:102" x14ac:dyDescent="0.3">
      <c r="A2235" t="str">
        <f>HYPERLINK("https://webapp.icbf.com/v2/app/bull-search/view/69091690","FPY")</f>
        <v>FPY</v>
      </c>
      <c r="B2235" t="s">
        <v>4382</v>
      </c>
      <c r="C2235" t="s">
        <v>4383</v>
      </c>
      <c r="D2235" s="1">
        <v>33170</v>
      </c>
      <c r="E2235" t="s">
        <v>140</v>
      </c>
      <c r="F2235">
        <v>0</v>
      </c>
      <c r="G2235" t="s">
        <v>93</v>
      </c>
      <c r="H2235">
        <v>54.82</v>
      </c>
      <c r="I2235">
        <v>74</v>
      </c>
      <c r="J2235">
        <v>-61.63</v>
      </c>
      <c r="K2235">
        <v>93</v>
      </c>
      <c r="L2235">
        <v>96.87</v>
      </c>
      <c r="M2235">
        <v>60</v>
      </c>
      <c r="N2235">
        <v>-1.82</v>
      </c>
      <c r="O2235">
        <v>65</v>
      </c>
      <c r="P2235">
        <v>23.6</v>
      </c>
      <c r="Q2235">
        <v>85</v>
      </c>
      <c r="R2235">
        <v>3.44</v>
      </c>
      <c r="S2235">
        <v>62</v>
      </c>
      <c r="T2235">
        <v>6.65</v>
      </c>
      <c r="U2235">
        <v>79</v>
      </c>
      <c r="V2235">
        <v>-12.29</v>
      </c>
      <c r="W2235">
        <v>37</v>
      </c>
      <c r="X2235" t="s">
        <v>94</v>
      </c>
      <c r="Y2235" t="s">
        <v>95</v>
      </c>
      <c r="Z2235">
        <v>0</v>
      </c>
      <c r="AA2235" t="s">
        <v>1179</v>
      </c>
      <c r="AB2235" t="s">
        <v>4384</v>
      </c>
      <c r="AC2235">
        <v>62</v>
      </c>
      <c r="AD2235">
        <v>34</v>
      </c>
      <c r="AE2235">
        <v>93</v>
      </c>
      <c r="AF2235">
        <v>-403.38</v>
      </c>
      <c r="AG2235">
        <v>-11.86</v>
      </c>
      <c r="AH2235">
        <v>-12.46</v>
      </c>
      <c r="AI2235">
        <v>7.0000000000000007E-2</v>
      </c>
      <c r="AJ2235">
        <v>0.02</v>
      </c>
      <c r="AK2235">
        <v>60</v>
      </c>
      <c r="AL2235">
        <v>61</v>
      </c>
      <c r="AM2235">
        <v>43</v>
      </c>
      <c r="AN2235">
        <v>-6.44</v>
      </c>
      <c r="AO2235">
        <v>1.27</v>
      </c>
      <c r="AP2235">
        <v>5</v>
      </c>
      <c r="AQ2235">
        <v>1</v>
      </c>
      <c r="AR2235">
        <v>7.03</v>
      </c>
      <c r="AS2235">
        <v>36</v>
      </c>
      <c r="AT2235">
        <v>3.88</v>
      </c>
      <c r="AU2235">
        <v>51</v>
      </c>
      <c r="AV2235">
        <v>0.98</v>
      </c>
      <c r="AW2235">
        <v>85</v>
      </c>
      <c r="AX2235">
        <v>-0.7</v>
      </c>
      <c r="AY2235">
        <v>73</v>
      </c>
      <c r="AZ2235">
        <v>4.04</v>
      </c>
      <c r="BA2235">
        <v>32</v>
      </c>
      <c r="BB2235">
        <v>3.53</v>
      </c>
      <c r="BC2235">
        <v>49</v>
      </c>
      <c r="BD2235">
        <v>0</v>
      </c>
      <c r="BE2235">
        <v>-0.01</v>
      </c>
      <c r="BF2235">
        <v>-0.06</v>
      </c>
      <c r="BG2235">
        <v>77</v>
      </c>
      <c r="BH2235">
        <v>-0.3</v>
      </c>
      <c r="BI2235">
        <v>4.93</v>
      </c>
      <c r="BJ2235">
        <v>0</v>
      </c>
      <c r="BK2235">
        <v>0</v>
      </c>
      <c r="BL2235">
        <v>-0.77</v>
      </c>
      <c r="BM2235">
        <v>3.21</v>
      </c>
      <c r="BN2235">
        <v>-1.71</v>
      </c>
      <c r="BO2235">
        <v>-2.79</v>
      </c>
      <c r="BP2235">
        <v>4.8600000000000003</v>
      </c>
      <c r="BQ2235">
        <v>-2.34</v>
      </c>
      <c r="BR2235">
        <v>-2.7</v>
      </c>
      <c r="BS2235">
        <v>-0.28000000000000003</v>
      </c>
      <c r="BT2235">
        <v>2.54</v>
      </c>
      <c r="BU2235">
        <v>-3.35</v>
      </c>
      <c r="BV2235">
        <v>-3.75</v>
      </c>
      <c r="BW2235">
        <v>-3.06</v>
      </c>
      <c r="BX2235">
        <v>-3.04</v>
      </c>
      <c r="BY2235">
        <v>-1.89</v>
      </c>
      <c r="BZ2235">
        <v>1.35</v>
      </c>
      <c r="CA2235">
        <v>-2.36</v>
      </c>
      <c r="CB2235">
        <v>-3.12</v>
      </c>
      <c r="CC2235">
        <v>-0.19</v>
      </c>
      <c r="CD2235">
        <v>3.81</v>
      </c>
      <c r="CE2235">
        <v>-2.82</v>
      </c>
      <c r="CF2235">
        <v>-1.08</v>
      </c>
      <c r="CG2235">
        <v>0</v>
      </c>
      <c r="CH2235">
        <v>-2.25</v>
      </c>
      <c r="CI2235">
        <v>0</v>
      </c>
      <c r="CJ2235">
        <v>8.6999999999999993</v>
      </c>
      <c r="CK2235">
        <v>86</v>
      </c>
      <c r="CL2235">
        <v>0.46</v>
      </c>
      <c r="CM2235">
        <v>84</v>
      </c>
      <c r="CN2235">
        <v>-0.53</v>
      </c>
      <c r="CO2235">
        <v>82</v>
      </c>
      <c r="CP2235">
        <v>4.3</v>
      </c>
      <c r="CQ2235">
        <v>87</v>
      </c>
      <c r="CR2235">
        <v>0</v>
      </c>
      <c r="CS2235">
        <v>0</v>
      </c>
      <c r="CT2235">
        <v>4.8</v>
      </c>
      <c r="CU2235">
        <v>79</v>
      </c>
      <c r="CV2235">
        <v>-0.15</v>
      </c>
      <c r="CW2235">
        <v>24</v>
      </c>
      <c r="CX2235" t="s">
        <v>763</v>
      </c>
    </row>
    <row r="2236" spans="1:102" x14ac:dyDescent="0.3">
      <c r="A2236" t="str">
        <f>HYPERLINK("https://webapp.icbf.com/v2/app/bull-search/view/69092683","SLT")</f>
        <v>SLT</v>
      </c>
      <c r="B2236" t="s">
        <v>4329</v>
      </c>
      <c r="C2236" t="s">
        <v>4330</v>
      </c>
      <c r="D2236" s="1">
        <v>33177</v>
      </c>
      <c r="E2236" t="s">
        <v>227</v>
      </c>
      <c r="F2236">
        <v>0</v>
      </c>
      <c r="G2236" t="s">
        <v>109</v>
      </c>
      <c r="H2236">
        <v>54.75</v>
      </c>
      <c r="I2236">
        <v>68</v>
      </c>
      <c r="J2236">
        <v>-7.3</v>
      </c>
      <c r="K2236">
        <v>86</v>
      </c>
      <c r="L2236">
        <v>52.31</v>
      </c>
      <c r="M2236">
        <v>77</v>
      </c>
      <c r="N2236">
        <v>2.42</v>
      </c>
      <c r="O2236">
        <v>35</v>
      </c>
      <c r="P2236">
        <v>-92.46</v>
      </c>
      <c r="Q2236">
        <v>49</v>
      </c>
      <c r="R2236">
        <v>0.96</v>
      </c>
      <c r="S2236">
        <v>38</v>
      </c>
      <c r="T2236">
        <v>100.33</v>
      </c>
      <c r="U2236">
        <v>54</v>
      </c>
      <c r="V2236">
        <v>-1.51</v>
      </c>
      <c r="W2236">
        <v>19</v>
      </c>
      <c r="X2236" t="s">
        <v>558</v>
      </c>
      <c r="Y2236" t="s">
        <v>95</v>
      </c>
      <c r="Z2236">
        <v>0</v>
      </c>
      <c r="AA2236" t="s">
        <v>3288</v>
      </c>
      <c r="AB2236" t="s">
        <v>4331</v>
      </c>
      <c r="AC2236">
        <v>0</v>
      </c>
      <c r="AD2236">
        <v>0</v>
      </c>
      <c r="AE2236">
        <v>86</v>
      </c>
      <c r="AF2236">
        <v>-214.09</v>
      </c>
      <c r="AG2236">
        <v>-4.29</v>
      </c>
      <c r="AH2236">
        <v>-3</v>
      </c>
      <c r="AI2236">
        <v>7.0000000000000007E-2</v>
      </c>
      <c r="AJ2236">
        <v>7.0000000000000007E-2</v>
      </c>
      <c r="AK2236">
        <v>77</v>
      </c>
      <c r="AL2236">
        <v>0</v>
      </c>
      <c r="AM2236">
        <v>0</v>
      </c>
      <c r="AN2236">
        <v>-3.01</v>
      </c>
      <c r="AO2236">
        <v>1.1599999999999999</v>
      </c>
      <c r="AP2236">
        <v>0</v>
      </c>
      <c r="AQ2236">
        <v>1</v>
      </c>
      <c r="AR2236">
        <v>4.09</v>
      </c>
      <c r="AS2236">
        <v>25</v>
      </c>
      <c r="AT2236">
        <v>2.4300000000000002</v>
      </c>
      <c r="AU2236">
        <v>29</v>
      </c>
      <c r="AV2236">
        <v>-0.34</v>
      </c>
      <c r="AW2236">
        <v>41</v>
      </c>
      <c r="AX2236">
        <v>1.23</v>
      </c>
      <c r="AY2236">
        <v>51</v>
      </c>
      <c r="AZ2236">
        <v>8.35</v>
      </c>
      <c r="BA2236">
        <v>19</v>
      </c>
      <c r="BB2236">
        <v>6.32</v>
      </c>
      <c r="BC2236">
        <v>27</v>
      </c>
      <c r="BD2236">
        <v>-0.03</v>
      </c>
      <c r="BE2236">
        <v>0.02</v>
      </c>
      <c r="BF2236">
        <v>-0.01</v>
      </c>
      <c r="BG2236">
        <v>48</v>
      </c>
      <c r="BH2236">
        <v>-0.1</v>
      </c>
      <c r="BI2236">
        <v>-6.71</v>
      </c>
      <c r="BJ2236">
        <v>0</v>
      </c>
      <c r="BK2236">
        <v>0</v>
      </c>
      <c r="BL2236">
        <v>-0.4</v>
      </c>
      <c r="BM2236">
        <v>-1.2</v>
      </c>
      <c r="BN2236">
        <v>0.21</v>
      </c>
      <c r="BO2236">
        <v>1.66</v>
      </c>
      <c r="BP2236">
        <v>-0.14000000000000001</v>
      </c>
      <c r="BQ2236">
        <v>-3.69</v>
      </c>
      <c r="BR2236">
        <v>2.0699999999999998</v>
      </c>
      <c r="BS2236">
        <v>6.96</v>
      </c>
      <c r="BT2236">
        <v>-0.87</v>
      </c>
      <c r="BU2236">
        <v>1.57</v>
      </c>
      <c r="BV2236">
        <v>1.52</v>
      </c>
      <c r="BW2236">
        <v>-0.95</v>
      </c>
      <c r="BX2236">
        <v>-1.1299999999999999</v>
      </c>
      <c r="BY2236">
        <v>0.56000000000000005</v>
      </c>
      <c r="BZ2236">
        <v>0.93</v>
      </c>
      <c r="CA2236">
        <v>3.02</v>
      </c>
      <c r="CB2236">
        <v>1.62</v>
      </c>
      <c r="CC2236">
        <v>4.5</v>
      </c>
      <c r="CD2236">
        <v>-2.06</v>
      </c>
      <c r="CE2236">
        <v>1.81</v>
      </c>
      <c r="CF2236">
        <v>0.26</v>
      </c>
      <c r="CG2236">
        <v>0</v>
      </c>
      <c r="CH2236">
        <v>-0.36</v>
      </c>
      <c r="CI2236">
        <v>0</v>
      </c>
      <c r="CJ2236">
        <v>-49.5</v>
      </c>
      <c r="CK2236">
        <v>51</v>
      </c>
      <c r="CL2236">
        <v>-1.82</v>
      </c>
      <c r="CM2236">
        <v>46</v>
      </c>
      <c r="CN2236">
        <v>-0.52</v>
      </c>
      <c r="CO2236">
        <v>41</v>
      </c>
      <c r="CP2236">
        <v>-76.400000000000006</v>
      </c>
      <c r="CQ2236">
        <v>58</v>
      </c>
      <c r="CR2236">
        <v>0</v>
      </c>
      <c r="CS2236">
        <v>0</v>
      </c>
      <c r="CT2236">
        <v>-121.8</v>
      </c>
      <c r="CU2236">
        <v>54</v>
      </c>
      <c r="CV2236">
        <v>-0.49</v>
      </c>
      <c r="CW2236">
        <v>12</v>
      </c>
      <c r="CX2236" t="s">
        <v>4332</v>
      </c>
    </row>
    <row r="2237" spans="1:102" x14ac:dyDescent="0.3">
      <c r="A2237" t="str">
        <f>HYPERLINK("https://webapp.icbf.com/v2/app/bull-search/view/1196712353","S2317")</f>
        <v>S2317</v>
      </c>
      <c r="B2237" t="s">
        <v>7888</v>
      </c>
      <c r="C2237" t="s">
        <v>7889</v>
      </c>
      <c r="D2237" s="1">
        <v>41304</v>
      </c>
      <c r="E2237" t="s">
        <v>92</v>
      </c>
      <c r="F2237">
        <v>100</v>
      </c>
      <c r="G2237" t="s">
        <v>109</v>
      </c>
      <c r="H2237">
        <v>54.72</v>
      </c>
      <c r="I2237">
        <v>63</v>
      </c>
      <c r="J2237">
        <v>112.7</v>
      </c>
      <c r="K2237">
        <v>78</v>
      </c>
      <c r="L2237">
        <v>-75.540000000000006</v>
      </c>
      <c r="M2237">
        <v>74</v>
      </c>
      <c r="N2237">
        <v>6.91</v>
      </c>
      <c r="O2237">
        <v>58</v>
      </c>
      <c r="P2237">
        <v>-5.92</v>
      </c>
      <c r="Q2237">
        <v>32</v>
      </c>
      <c r="R2237">
        <v>6.06</v>
      </c>
      <c r="S2237">
        <v>56</v>
      </c>
      <c r="T2237">
        <v>9.4600000000000009</v>
      </c>
      <c r="U2237">
        <v>21</v>
      </c>
      <c r="V2237">
        <v>1.05</v>
      </c>
      <c r="W2237">
        <v>16</v>
      </c>
      <c r="X2237" t="s">
        <v>234</v>
      </c>
      <c r="Y2237" t="s">
        <v>411</v>
      </c>
      <c r="Z2237" t="s">
        <v>96</v>
      </c>
      <c r="AA2237" t="s">
        <v>1894</v>
      </c>
      <c r="AB2237" t="s">
        <v>7890</v>
      </c>
      <c r="AC2237">
        <v>0</v>
      </c>
      <c r="AD2237">
        <v>0</v>
      </c>
      <c r="AE2237">
        <v>78</v>
      </c>
      <c r="AF2237">
        <v>897.19</v>
      </c>
      <c r="AG2237">
        <v>27.42</v>
      </c>
      <c r="AH2237">
        <v>23.2</v>
      </c>
      <c r="AI2237">
        <v>-0.11</v>
      </c>
      <c r="AJ2237">
        <v>-0.11</v>
      </c>
      <c r="AK2237">
        <v>74</v>
      </c>
      <c r="AL2237">
        <v>0</v>
      </c>
      <c r="AM2237">
        <v>0</v>
      </c>
      <c r="AN2237">
        <v>5.24</v>
      </c>
      <c r="AO2237">
        <v>-0.77</v>
      </c>
      <c r="AP2237">
        <v>29</v>
      </c>
      <c r="AQ2237">
        <v>0</v>
      </c>
      <c r="AR2237">
        <v>11.05</v>
      </c>
      <c r="AS2237">
        <v>52</v>
      </c>
      <c r="AT2237">
        <v>4.72</v>
      </c>
      <c r="AU2237">
        <v>84</v>
      </c>
      <c r="AV2237">
        <v>-3.66</v>
      </c>
      <c r="AW2237">
        <v>60</v>
      </c>
      <c r="AX2237">
        <v>-0.39</v>
      </c>
      <c r="AY2237">
        <v>53</v>
      </c>
      <c r="AZ2237">
        <v>5.23</v>
      </c>
      <c r="BA2237">
        <v>38</v>
      </c>
      <c r="BB2237">
        <v>4.4000000000000004</v>
      </c>
      <c r="BC2237">
        <v>18</v>
      </c>
      <c r="BD2237">
        <v>-0.02</v>
      </c>
      <c r="BE2237">
        <v>-0.04</v>
      </c>
      <c r="BF2237">
        <v>-0.03</v>
      </c>
      <c r="BG2237">
        <v>84</v>
      </c>
      <c r="BH2237">
        <v>-0.1</v>
      </c>
      <c r="BI2237">
        <v>-14.95</v>
      </c>
      <c r="BJ2237">
        <v>6</v>
      </c>
      <c r="BK2237">
        <v>3</v>
      </c>
      <c r="BL2237">
        <v>1.43</v>
      </c>
      <c r="BM2237">
        <v>-0.15</v>
      </c>
      <c r="BN2237">
        <v>0.48</v>
      </c>
      <c r="BO2237">
        <v>1.54</v>
      </c>
      <c r="BP2237">
        <v>1.05</v>
      </c>
      <c r="BQ2237">
        <v>1.56</v>
      </c>
      <c r="BR2237">
        <v>-1.5</v>
      </c>
      <c r="BS2237">
        <v>2.87</v>
      </c>
      <c r="BT2237">
        <v>1.79</v>
      </c>
      <c r="BU2237">
        <v>2.59</v>
      </c>
      <c r="BV2237">
        <v>4.2699999999999996</v>
      </c>
      <c r="BW2237">
        <v>3.14</v>
      </c>
      <c r="BX2237">
        <v>1.99</v>
      </c>
      <c r="BY2237">
        <v>2.31</v>
      </c>
      <c r="BZ2237">
        <v>-0.6</v>
      </c>
      <c r="CA2237">
        <v>2.98</v>
      </c>
      <c r="CB2237">
        <v>2.98</v>
      </c>
      <c r="CC2237">
        <v>1.67</v>
      </c>
      <c r="CD2237">
        <v>-0.7</v>
      </c>
      <c r="CE2237">
        <v>1.27</v>
      </c>
      <c r="CF2237">
        <v>1.48</v>
      </c>
      <c r="CG2237">
        <v>0</v>
      </c>
      <c r="CH2237">
        <v>2.35</v>
      </c>
      <c r="CI2237">
        <v>0</v>
      </c>
      <c r="CJ2237">
        <v>-2.1</v>
      </c>
      <c r="CK2237">
        <v>33</v>
      </c>
      <c r="CL2237">
        <v>-0.96</v>
      </c>
      <c r="CM2237">
        <v>31</v>
      </c>
      <c r="CN2237">
        <v>-0.66</v>
      </c>
      <c r="CO2237">
        <v>31</v>
      </c>
      <c r="CP2237">
        <v>-5.6</v>
      </c>
      <c r="CQ2237">
        <v>24</v>
      </c>
      <c r="CR2237">
        <v>0</v>
      </c>
      <c r="CS2237">
        <v>0</v>
      </c>
      <c r="CT2237">
        <v>1</v>
      </c>
      <c r="CU2237">
        <v>21</v>
      </c>
      <c r="CV2237">
        <v>0.26</v>
      </c>
      <c r="CW2237">
        <v>9</v>
      </c>
      <c r="CX2237" t="s">
        <v>2423</v>
      </c>
    </row>
    <row r="2238" spans="1:102" x14ac:dyDescent="0.3">
      <c r="A2238" t="str">
        <f>HYPERLINK("https://webapp.icbf.com/v2/app/bull-search/view/547761114","TZY")</f>
        <v>TZY</v>
      </c>
      <c r="B2238" t="s">
        <v>4842</v>
      </c>
      <c r="C2238" t="s">
        <v>4843</v>
      </c>
      <c r="D2238" s="1">
        <v>37641</v>
      </c>
      <c r="E2238" t="s">
        <v>92</v>
      </c>
      <c r="F2238">
        <v>100</v>
      </c>
      <c r="G2238" t="s">
        <v>93</v>
      </c>
      <c r="H2238">
        <v>54.6</v>
      </c>
      <c r="I2238">
        <v>97</v>
      </c>
      <c r="J2238">
        <v>55.88</v>
      </c>
      <c r="K2238">
        <v>99</v>
      </c>
      <c r="L2238">
        <v>-48.11</v>
      </c>
      <c r="M2238">
        <v>95</v>
      </c>
      <c r="N2238">
        <v>25.6</v>
      </c>
      <c r="O2238">
        <v>97</v>
      </c>
      <c r="P2238">
        <v>-4.51</v>
      </c>
      <c r="Q2238">
        <v>99</v>
      </c>
      <c r="R2238">
        <v>9.15</v>
      </c>
      <c r="S2238">
        <v>91</v>
      </c>
      <c r="T2238">
        <v>11.16</v>
      </c>
      <c r="U2238">
        <v>97</v>
      </c>
      <c r="V2238">
        <v>5.43</v>
      </c>
      <c r="W2238">
        <v>91</v>
      </c>
      <c r="X2238" t="s">
        <v>251</v>
      </c>
      <c r="Y2238" t="s">
        <v>270</v>
      </c>
      <c r="Z2238" t="s">
        <v>96</v>
      </c>
      <c r="AA2238" t="s">
        <v>4844</v>
      </c>
      <c r="AB2238" t="s">
        <v>4845</v>
      </c>
      <c r="AC2238">
        <v>721</v>
      </c>
      <c r="AD2238">
        <v>199</v>
      </c>
      <c r="AE2238">
        <v>99</v>
      </c>
      <c r="AF2238">
        <v>536.41999999999996</v>
      </c>
      <c r="AG2238">
        <v>13.75</v>
      </c>
      <c r="AH2238">
        <v>12.85</v>
      </c>
      <c r="AI2238">
        <v>-0.11</v>
      </c>
      <c r="AJ2238">
        <v>-0.09</v>
      </c>
      <c r="AK2238">
        <v>95</v>
      </c>
      <c r="AL2238">
        <v>796</v>
      </c>
      <c r="AM2238">
        <v>221</v>
      </c>
      <c r="AN2238">
        <v>3.94</v>
      </c>
      <c r="AO2238">
        <v>0.12</v>
      </c>
      <c r="AP2238">
        <v>1239</v>
      </c>
      <c r="AQ2238">
        <v>0</v>
      </c>
      <c r="AR2238">
        <v>7.94</v>
      </c>
      <c r="AS2238">
        <v>95</v>
      </c>
      <c r="AT2238">
        <v>3.41</v>
      </c>
      <c r="AU2238">
        <v>97</v>
      </c>
      <c r="AV2238">
        <v>-3.23</v>
      </c>
      <c r="AW2238">
        <v>99</v>
      </c>
      <c r="AX2238">
        <v>-0.56999999999999995</v>
      </c>
      <c r="AY2238">
        <v>97</v>
      </c>
      <c r="AZ2238">
        <v>5.91</v>
      </c>
      <c r="BA2238">
        <v>90</v>
      </c>
      <c r="BB2238">
        <v>4.75</v>
      </c>
      <c r="BC2238">
        <v>90</v>
      </c>
      <c r="BD2238">
        <v>-0.02</v>
      </c>
      <c r="BE2238">
        <v>-0.03</v>
      </c>
      <c r="BF2238">
        <v>-0.12</v>
      </c>
      <c r="BG2238">
        <v>98</v>
      </c>
      <c r="BH2238">
        <v>0.18</v>
      </c>
      <c r="BI2238">
        <v>3.32</v>
      </c>
      <c r="BJ2238">
        <v>270</v>
      </c>
      <c r="BK2238">
        <v>90</v>
      </c>
      <c r="BL2238">
        <v>1.1599999999999999</v>
      </c>
      <c r="BM2238">
        <v>-0.02</v>
      </c>
      <c r="BN2238">
        <v>0.64</v>
      </c>
      <c r="BO2238">
        <v>1.01</v>
      </c>
      <c r="BP2238">
        <v>1.1000000000000001</v>
      </c>
      <c r="BQ2238">
        <v>2.3199999999999998</v>
      </c>
      <c r="BR2238">
        <v>0.27</v>
      </c>
      <c r="BS2238">
        <v>0.13</v>
      </c>
      <c r="BT2238">
        <v>-0.15</v>
      </c>
      <c r="BU2238">
        <v>1.38</v>
      </c>
      <c r="BV2238">
        <v>1.82</v>
      </c>
      <c r="BW2238">
        <v>1.26</v>
      </c>
      <c r="BX2238">
        <v>0.6</v>
      </c>
      <c r="BY2238">
        <v>-0.41</v>
      </c>
      <c r="BZ2238">
        <v>1.36</v>
      </c>
      <c r="CA2238">
        <v>1.3</v>
      </c>
      <c r="CB2238">
        <v>1.41</v>
      </c>
      <c r="CC2238">
        <v>0.6</v>
      </c>
      <c r="CD2238">
        <v>-0.82</v>
      </c>
      <c r="CE2238">
        <v>1.32</v>
      </c>
      <c r="CF2238">
        <v>1.38</v>
      </c>
      <c r="CG2238">
        <v>0</v>
      </c>
      <c r="CH2238">
        <v>-0.44</v>
      </c>
      <c r="CI2238">
        <v>0</v>
      </c>
      <c r="CJ2238">
        <v>0.2</v>
      </c>
      <c r="CK2238">
        <v>99</v>
      </c>
      <c r="CL2238">
        <v>-1.1200000000000001</v>
      </c>
      <c r="CM2238">
        <v>98</v>
      </c>
      <c r="CN2238">
        <v>-0.61</v>
      </c>
      <c r="CO2238">
        <v>98</v>
      </c>
      <c r="CP2238">
        <v>-2.5</v>
      </c>
      <c r="CQ2238">
        <v>98</v>
      </c>
      <c r="CR2238">
        <v>0</v>
      </c>
      <c r="CS2238">
        <v>0</v>
      </c>
      <c r="CT2238">
        <v>-1.3</v>
      </c>
      <c r="CU2238">
        <v>97</v>
      </c>
      <c r="CV2238">
        <v>0.25</v>
      </c>
      <c r="CW2238">
        <v>46</v>
      </c>
      <c r="CX2238" t="s">
        <v>3035</v>
      </c>
    </row>
    <row r="2239" spans="1:102" x14ac:dyDescent="0.3">
      <c r="A2239" t="str">
        <f>HYPERLINK("https://webapp.icbf.com/v2/app/bull-search/view/77860054","BWN")</f>
        <v>BWN</v>
      </c>
      <c r="B2239" t="s">
        <v>3703</v>
      </c>
      <c r="C2239" t="s">
        <v>3704</v>
      </c>
      <c r="D2239" s="1">
        <v>32081</v>
      </c>
      <c r="E2239" t="s">
        <v>92</v>
      </c>
      <c r="F2239">
        <v>50</v>
      </c>
      <c r="G2239" t="s">
        <v>93</v>
      </c>
      <c r="H2239">
        <v>54.42</v>
      </c>
      <c r="I2239">
        <v>71</v>
      </c>
      <c r="J2239">
        <v>-5.21</v>
      </c>
      <c r="K2239">
        <v>87</v>
      </c>
      <c r="L2239">
        <v>24.03</v>
      </c>
      <c r="M2239">
        <v>60</v>
      </c>
      <c r="N2239">
        <v>6.23</v>
      </c>
      <c r="O2239">
        <v>62</v>
      </c>
      <c r="P2239">
        <v>2.1800000000000002</v>
      </c>
      <c r="Q2239">
        <v>84</v>
      </c>
      <c r="R2239">
        <v>6.09</v>
      </c>
      <c r="S2239">
        <v>61</v>
      </c>
      <c r="T2239">
        <v>16.05</v>
      </c>
      <c r="U2239">
        <v>68</v>
      </c>
      <c r="V2239">
        <v>5.05</v>
      </c>
      <c r="W2239">
        <v>40</v>
      </c>
      <c r="X2239" t="s">
        <v>94</v>
      </c>
      <c r="Y2239" t="s">
        <v>95</v>
      </c>
      <c r="Z2239" t="s">
        <v>96</v>
      </c>
      <c r="AA2239" t="s">
        <v>3180</v>
      </c>
      <c r="AB2239" t="s">
        <v>3705</v>
      </c>
      <c r="AC2239">
        <v>32</v>
      </c>
      <c r="AD2239">
        <v>26</v>
      </c>
      <c r="AE2239">
        <v>87</v>
      </c>
      <c r="AF2239">
        <v>-79.11</v>
      </c>
      <c r="AG2239">
        <v>-0.33</v>
      </c>
      <c r="AH2239">
        <v>-1.98</v>
      </c>
      <c r="AI2239">
        <v>0.05</v>
      </c>
      <c r="AJ2239">
        <v>0.01</v>
      </c>
      <c r="AK2239">
        <v>60</v>
      </c>
      <c r="AL2239">
        <v>68</v>
      </c>
      <c r="AM2239">
        <v>51</v>
      </c>
      <c r="AN2239">
        <v>-1</v>
      </c>
      <c r="AO2239">
        <v>0.92</v>
      </c>
      <c r="AP2239">
        <v>22</v>
      </c>
      <c r="AQ2239">
        <v>0</v>
      </c>
      <c r="AR2239">
        <v>8.25</v>
      </c>
      <c r="AS2239">
        <v>27</v>
      </c>
      <c r="AT2239">
        <v>3.23</v>
      </c>
      <c r="AU2239">
        <v>53</v>
      </c>
      <c r="AV2239">
        <v>-0.78</v>
      </c>
      <c r="AW2239">
        <v>81</v>
      </c>
      <c r="AX2239">
        <v>-1</v>
      </c>
      <c r="AY2239">
        <v>68</v>
      </c>
      <c r="AZ2239">
        <v>6.29</v>
      </c>
      <c r="BA2239">
        <v>30</v>
      </c>
      <c r="BB2239">
        <v>5.03</v>
      </c>
      <c r="BC2239">
        <v>42</v>
      </c>
      <c r="BD2239">
        <v>0</v>
      </c>
      <c r="BE2239">
        <v>0</v>
      </c>
      <c r="BF2239">
        <v>-0.14000000000000001</v>
      </c>
      <c r="BG2239">
        <v>76</v>
      </c>
      <c r="BH2239">
        <v>0.11</v>
      </c>
      <c r="BI2239">
        <v>-3.58</v>
      </c>
      <c r="BJ2239">
        <v>4</v>
      </c>
      <c r="BK2239">
        <v>4</v>
      </c>
      <c r="BL2239">
        <v>-2.2200000000000002</v>
      </c>
      <c r="BM2239">
        <v>0.09</v>
      </c>
      <c r="BN2239">
        <v>-2.1</v>
      </c>
      <c r="BO2239">
        <v>-1.74</v>
      </c>
      <c r="BP2239">
        <v>0.43</v>
      </c>
      <c r="BQ2239">
        <v>-0.27</v>
      </c>
      <c r="BR2239">
        <v>0.43</v>
      </c>
      <c r="BS2239">
        <v>-1.1299999999999999</v>
      </c>
      <c r="BT2239">
        <v>-0.8</v>
      </c>
      <c r="BU2239">
        <v>-1.51</v>
      </c>
      <c r="BV2239">
        <v>-1.78</v>
      </c>
      <c r="BW2239">
        <v>-1.81</v>
      </c>
      <c r="BX2239">
        <v>-1.56</v>
      </c>
      <c r="BY2239">
        <v>-1.47</v>
      </c>
      <c r="BZ2239">
        <v>0</v>
      </c>
      <c r="CA2239">
        <v>-1.96</v>
      </c>
      <c r="CB2239">
        <v>-1.54</v>
      </c>
      <c r="CC2239">
        <v>-2.0299999999999998</v>
      </c>
      <c r="CD2239">
        <v>1.35</v>
      </c>
      <c r="CE2239">
        <v>-1.84</v>
      </c>
      <c r="CF2239">
        <v>-2.2999999999999998</v>
      </c>
      <c r="CG2239">
        <v>0</v>
      </c>
      <c r="CH2239">
        <v>-1.06</v>
      </c>
      <c r="CI2239">
        <v>0</v>
      </c>
      <c r="CJ2239">
        <v>3.2</v>
      </c>
      <c r="CK2239">
        <v>86</v>
      </c>
      <c r="CL2239">
        <v>0.01</v>
      </c>
      <c r="CM2239">
        <v>83</v>
      </c>
      <c r="CN2239">
        <v>0.09</v>
      </c>
      <c r="CO2239">
        <v>81</v>
      </c>
      <c r="CP2239">
        <v>-8.6</v>
      </c>
      <c r="CQ2239">
        <v>81</v>
      </c>
      <c r="CR2239">
        <v>0</v>
      </c>
      <c r="CS2239">
        <v>0</v>
      </c>
      <c r="CT2239">
        <v>-7.9</v>
      </c>
      <c r="CU2239">
        <v>68</v>
      </c>
      <c r="CV2239">
        <v>0.05</v>
      </c>
      <c r="CW2239">
        <v>24</v>
      </c>
      <c r="CX2239" t="s">
        <v>3706</v>
      </c>
    </row>
    <row r="2240" spans="1:102" x14ac:dyDescent="0.3">
      <c r="A2240" t="str">
        <f>HYPERLINK("https://webapp.icbf.com/v2/app/bull-search/view/444584834","WUH")</f>
        <v>WUH</v>
      </c>
      <c r="B2240" t="s">
        <v>8861</v>
      </c>
      <c r="C2240" t="s">
        <v>8862</v>
      </c>
      <c r="D2240" s="1">
        <v>36988</v>
      </c>
      <c r="E2240" t="s">
        <v>92</v>
      </c>
      <c r="F2240">
        <v>100</v>
      </c>
      <c r="G2240" t="s">
        <v>93</v>
      </c>
      <c r="H2240">
        <v>54.42</v>
      </c>
      <c r="I2240">
        <v>98</v>
      </c>
      <c r="J2240">
        <v>0.51</v>
      </c>
      <c r="K2240">
        <v>99</v>
      </c>
      <c r="L2240">
        <v>18.14</v>
      </c>
      <c r="M2240">
        <v>97</v>
      </c>
      <c r="N2240">
        <v>33.36</v>
      </c>
      <c r="O2240">
        <v>99</v>
      </c>
      <c r="P2240">
        <v>-4.0999999999999996</v>
      </c>
      <c r="Q2240">
        <v>99</v>
      </c>
      <c r="R2240">
        <v>8.1300000000000008</v>
      </c>
      <c r="S2240">
        <v>99</v>
      </c>
      <c r="T2240">
        <v>-1.05</v>
      </c>
      <c r="U2240">
        <v>99</v>
      </c>
      <c r="V2240">
        <v>-0.56999999999999995</v>
      </c>
      <c r="W2240">
        <v>99</v>
      </c>
      <c r="X2240" t="s">
        <v>94</v>
      </c>
      <c r="Y2240" t="s">
        <v>270</v>
      </c>
      <c r="Z2240" t="s">
        <v>96</v>
      </c>
      <c r="AA2240" t="s">
        <v>311</v>
      </c>
      <c r="AB2240" t="s">
        <v>1032</v>
      </c>
      <c r="AC2240">
        <v>4532</v>
      </c>
      <c r="AD2240">
        <v>1535</v>
      </c>
      <c r="AE2240">
        <v>99</v>
      </c>
      <c r="AF2240">
        <v>85.76</v>
      </c>
      <c r="AG2240">
        <v>-3</v>
      </c>
      <c r="AH2240">
        <v>2.46</v>
      </c>
      <c r="AI2240">
        <v>-0.11</v>
      </c>
      <c r="AJ2240">
        <v>-0.01</v>
      </c>
      <c r="AK2240">
        <v>97</v>
      </c>
      <c r="AL2240">
        <v>5064</v>
      </c>
      <c r="AM2240">
        <v>1886</v>
      </c>
      <c r="AN2240">
        <v>-1.53</v>
      </c>
      <c r="AO2240">
        <v>-0.09</v>
      </c>
      <c r="AP2240">
        <v>8060</v>
      </c>
      <c r="AQ2240">
        <v>24</v>
      </c>
      <c r="AR2240">
        <v>4.79</v>
      </c>
      <c r="AS2240">
        <v>99</v>
      </c>
      <c r="AT2240">
        <v>2.25</v>
      </c>
      <c r="AU2240">
        <v>99</v>
      </c>
      <c r="AV2240">
        <v>-2.11</v>
      </c>
      <c r="AW2240">
        <v>99</v>
      </c>
      <c r="AX2240">
        <v>-0.44</v>
      </c>
      <c r="AY2240">
        <v>99</v>
      </c>
      <c r="AZ2240">
        <v>5.76</v>
      </c>
      <c r="BA2240">
        <v>98</v>
      </c>
      <c r="BB2240">
        <v>4.7300000000000004</v>
      </c>
      <c r="BC2240">
        <v>98</v>
      </c>
      <c r="BD2240">
        <v>-0.06</v>
      </c>
      <c r="BE2240">
        <v>-0.03</v>
      </c>
      <c r="BF2240">
        <v>-0.03</v>
      </c>
      <c r="BG2240">
        <v>99</v>
      </c>
      <c r="BH2240">
        <v>0.04</v>
      </c>
      <c r="BI2240">
        <v>6.46</v>
      </c>
      <c r="BJ2240">
        <v>400</v>
      </c>
      <c r="BK2240">
        <v>149</v>
      </c>
      <c r="BL2240">
        <v>1.61</v>
      </c>
      <c r="BM2240">
        <v>-1.24</v>
      </c>
      <c r="BN2240">
        <v>0.08</v>
      </c>
      <c r="BO2240">
        <v>0.77</v>
      </c>
      <c r="BP2240">
        <v>1.2</v>
      </c>
      <c r="BQ2240">
        <v>2.13</v>
      </c>
      <c r="BR2240">
        <v>1.44</v>
      </c>
      <c r="BS2240">
        <v>-0.15</v>
      </c>
      <c r="BT2240">
        <v>-1.32</v>
      </c>
      <c r="BU2240">
        <v>1.38</v>
      </c>
      <c r="BV2240">
        <v>1.62</v>
      </c>
      <c r="BW2240">
        <v>3.59</v>
      </c>
      <c r="BX2240">
        <v>2.23</v>
      </c>
      <c r="BY2240">
        <v>2.12</v>
      </c>
      <c r="BZ2240">
        <v>0.39</v>
      </c>
      <c r="CA2240">
        <v>1.1000000000000001</v>
      </c>
      <c r="CB2240">
        <v>1.37</v>
      </c>
      <c r="CC2240">
        <v>0.11</v>
      </c>
      <c r="CD2240">
        <v>-1.04</v>
      </c>
      <c r="CE2240">
        <v>0.39</v>
      </c>
      <c r="CF2240">
        <v>0.84</v>
      </c>
      <c r="CG2240">
        <v>0</v>
      </c>
      <c r="CH2240">
        <v>2.04</v>
      </c>
      <c r="CI2240">
        <v>0</v>
      </c>
      <c r="CJ2240">
        <v>0.4</v>
      </c>
      <c r="CK2240">
        <v>99</v>
      </c>
      <c r="CL2240">
        <v>-1.18</v>
      </c>
      <c r="CM2240">
        <v>99</v>
      </c>
      <c r="CN2240">
        <v>-0.6</v>
      </c>
      <c r="CO2240">
        <v>99</v>
      </c>
      <c r="CP2240">
        <v>3.3</v>
      </c>
      <c r="CQ2240">
        <v>99</v>
      </c>
      <c r="CR2240">
        <v>0</v>
      </c>
      <c r="CS2240">
        <v>0</v>
      </c>
      <c r="CT2240">
        <v>15.2</v>
      </c>
      <c r="CU2240">
        <v>99</v>
      </c>
      <c r="CV2240">
        <v>0.2</v>
      </c>
      <c r="CW2240">
        <v>50</v>
      </c>
      <c r="CX2240" t="s">
        <v>111</v>
      </c>
    </row>
    <row r="2241" spans="1:102" x14ac:dyDescent="0.3">
      <c r="A2241" t="str">
        <f>HYPERLINK("https://webapp.icbf.com/v2/app/bull-search/view/494057153","KUI")</f>
        <v>KUI</v>
      </c>
      <c r="B2241" t="s">
        <v>4810</v>
      </c>
      <c r="C2241" t="s">
        <v>4811</v>
      </c>
      <c r="D2241" s="1">
        <v>39108</v>
      </c>
      <c r="E2241" t="s">
        <v>92</v>
      </c>
      <c r="F2241">
        <v>78</v>
      </c>
      <c r="G2241" t="s">
        <v>93</v>
      </c>
      <c r="H2241">
        <v>54.34</v>
      </c>
      <c r="I2241">
        <v>85</v>
      </c>
      <c r="J2241">
        <v>39.58</v>
      </c>
      <c r="K2241">
        <v>96</v>
      </c>
      <c r="L2241">
        <v>-23.39</v>
      </c>
      <c r="M2241">
        <v>76</v>
      </c>
      <c r="N2241">
        <v>37.19</v>
      </c>
      <c r="O2241">
        <v>82</v>
      </c>
      <c r="P2241">
        <v>-9.91</v>
      </c>
      <c r="Q2241">
        <v>86</v>
      </c>
      <c r="R2241">
        <v>-10.7</v>
      </c>
      <c r="S2241">
        <v>80</v>
      </c>
      <c r="T2241">
        <v>18.86</v>
      </c>
      <c r="U2241">
        <v>85</v>
      </c>
      <c r="V2241">
        <v>2.71</v>
      </c>
      <c r="W2241">
        <v>82</v>
      </c>
      <c r="X2241" t="s">
        <v>94</v>
      </c>
      <c r="Y2241" t="s">
        <v>228</v>
      </c>
      <c r="Z2241" t="s">
        <v>96</v>
      </c>
      <c r="AA2241" t="s">
        <v>1252</v>
      </c>
      <c r="AB2241" t="s">
        <v>4812</v>
      </c>
      <c r="AC2241">
        <v>54</v>
      </c>
      <c r="AD2241">
        <v>42</v>
      </c>
      <c r="AE2241">
        <v>96</v>
      </c>
      <c r="AF2241">
        <v>-2.66</v>
      </c>
      <c r="AG2241">
        <v>3.82</v>
      </c>
      <c r="AH2241">
        <v>5.34</v>
      </c>
      <c r="AI2241">
        <v>7.0000000000000007E-2</v>
      </c>
      <c r="AJ2241">
        <v>0.1</v>
      </c>
      <c r="AK2241">
        <v>76</v>
      </c>
      <c r="AL2241">
        <v>56</v>
      </c>
      <c r="AM2241">
        <v>41</v>
      </c>
      <c r="AN2241">
        <v>1.67</v>
      </c>
      <c r="AO2241">
        <v>-0.19</v>
      </c>
      <c r="AP2241">
        <v>102</v>
      </c>
      <c r="AQ2241">
        <v>4</v>
      </c>
      <c r="AR2241">
        <v>4.3</v>
      </c>
      <c r="AS2241">
        <v>64</v>
      </c>
      <c r="AT2241">
        <v>2.29</v>
      </c>
      <c r="AU2241">
        <v>83</v>
      </c>
      <c r="AV2241">
        <v>-2.34</v>
      </c>
      <c r="AW2241">
        <v>94</v>
      </c>
      <c r="AX2241">
        <v>-0.02</v>
      </c>
      <c r="AY2241">
        <v>74</v>
      </c>
      <c r="AZ2241">
        <v>5.41</v>
      </c>
      <c r="BA2241">
        <v>60</v>
      </c>
      <c r="BB2241">
        <v>4.3099999999999996</v>
      </c>
      <c r="BC2241">
        <v>64</v>
      </c>
      <c r="BD2241">
        <v>0</v>
      </c>
      <c r="BE2241">
        <v>0.04</v>
      </c>
      <c r="BF2241">
        <v>0.17</v>
      </c>
      <c r="BG2241">
        <v>86</v>
      </c>
      <c r="BH2241">
        <v>0.02</v>
      </c>
      <c r="BI2241">
        <v>-6.42</v>
      </c>
      <c r="BJ2241">
        <v>6</v>
      </c>
      <c r="BK2241">
        <v>6</v>
      </c>
      <c r="BL2241">
        <v>0.17</v>
      </c>
      <c r="BM2241">
        <v>0.66</v>
      </c>
      <c r="BN2241">
        <v>1.07</v>
      </c>
      <c r="BO2241">
        <v>0.02</v>
      </c>
      <c r="BP2241">
        <v>2.6</v>
      </c>
      <c r="BQ2241">
        <v>-0.23</v>
      </c>
      <c r="BR2241">
        <v>0.81</v>
      </c>
      <c r="BS2241">
        <v>-0.55000000000000004</v>
      </c>
      <c r="BT2241">
        <v>-1.67</v>
      </c>
      <c r="BU2241">
        <v>-1.68</v>
      </c>
      <c r="BV2241">
        <v>-1.42</v>
      </c>
      <c r="BW2241">
        <v>-0.09</v>
      </c>
      <c r="BX2241">
        <v>-2.19</v>
      </c>
      <c r="BY2241">
        <v>-0.08</v>
      </c>
      <c r="BZ2241">
        <v>-0.21</v>
      </c>
      <c r="CA2241">
        <v>-1.32</v>
      </c>
      <c r="CB2241">
        <v>-0.98</v>
      </c>
      <c r="CC2241">
        <v>-1.46</v>
      </c>
      <c r="CD2241">
        <v>-0.52</v>
      </c>
      <c r="CE2241">
        <v>0.02</v>
      </c>
      <c r="CF2241">
        <v>0.19</v>
      </c>
      <c r="CG2241">
        <v>0</v>
      </c>
      <c r="CH2241">
        <v>-0.23</v>
      </c>
      <c r="CI2241">
        <v>0</v>
      </c>
      <c r="CJ2241">
        <v>-3.6</v>
      </c>
      <c r="CK2241">
        <v>87</v>
      </c>
      <c r="CL2241">
        <v>-0.65</v>
      </c>
      <c r="CM2241">
        <v>85</v>
      </c>
      <c r="CN2241">
        <v>-0.32</v>
      </c>
      <c r="CO2241">
        <v>83</v>
      </c>
      <c r="CP2241">
        <v>-13.2</v>
      </c>
      <c r="CQ2241">
        <v>84</v>
      </c>
      <c r="CR2241">
        <v>0</v>
      </c>
      <c r="CS2241">
        <v>0</v>
      </c>
      <c r="CT2241">
        <v>-11.7</v>
      </c>
      <c r="CU2241">
        <v>85</v>
      </c>
      <c r="CV2241">
        <v>0.13</v>
      </c>
      <c r="CW2241">
        <v>44</v>
      </c>
      <c r="CX2241" t="s">
        <v>771</v>
      </c>
    </row>
    <row r="2242" spans="1:102" x14ac:dyDescent="0.3">
      <c r="A2242" t="str">
        <f>HYPERLINK("https://webapp.icbf.com/v2/app/bull-search/view/108378452","ALF")</f>
        <v>ALF</v>
      </c>
      <c r="B2242" t="s">
        <v>10956</v>
      </c>
      <c r="C2242" t="s">
        <v>10957</v>
      </c>
      <c r="D2242" s="1">
        <v>34886</v>
      </c>
      <c r="E2242" t="s">
        <v>227</v>
      </c>
      <c r="F2242">
        <v>0</v>
      </c>
      <c r="G2242" t="s">
        <v>109</v>
      </c>
      <c r="H2242">
        <v>54.06</v>
      </c>
      <c r="I2242">
        <v>83</v>
      </c>
      <c r="J2242">
        <v>4.83</v>
      </c>
      <c r="K2242">
        <v>92</v>
      </c>
      <c r="L2242">
        <v>30.68</v>
      </c>
      <c r="M2242">
        <v>86</v>
      </c>
      <c r="N2242">
        <v>13.35</v>
      </c>
      <c r="O2242">
        <v>71</v>
      </c>
      <c r="P2242">
        <v>-69.650000000000006</v>
      </c>
      <c r="Q2242">
        <v>76</v>
      </c>
      <c r="R2242">
        <v>5.28</v>
      </c>
      <c r="S2242">
        <v>74</v>
      </c>
      <c r="T2242">
        <v>76.36</v>
      </c>
      <c r="U2242">
        <v>70</v>
      </c>
      <c r="V2242">
        <v>-6.79</v>
      </c>
      <c r="W2242">
        <v>67</v>
      </c>
      <c r="X2242" t="s">
        <v>94</v>
      </c>
      <c r="Y2242" t="s">
        <v>95</v>
      </c>
      <c r="Z2242">
        <v>0</v>
      </c>
      <c r="AA2242" t="s">
        <v>1051</v>
      </c>
      <c r="AB2242" t="s">
        <v>10958</v>
      </c>
      <c r="AC2242">
        <v>0</v>
      </c>
      <c r="AD2242">
        <v>0</v>
      </c>
      <c r="AE2242">
        <v>92</v>
      </c>
      <c r="AF2242">
        <v>-318.64</v>
      </c>
      <c r="AG2242">
        <v>2.84</v>
      </c>
      <c r="AH2242">
        <v>-5.0599999999999996</v>
      </c>
      <c r="AI2242">
        <v>0.28000000000000003</v>
      </c>
      <c r="AJ2242">
        <v>0.11</v>
      </c>
      <c r="AK2242">
        <v>86</v>
      </c>
      <c r="AL2242">
        <v>0</v>
      </c>
      <c r="AM2242">
        <v>0</v>
      </c>
      <c r="AN2242">
        <v>-0.61</v>
      </c>
      <c r="AO2242">
        <v>1.85</v>
      </c>
      <c r="AP2242">
        <v>52</v>
      </c>
      <c r="AQ2242">
        <v>4</v>
      </c>
      <c r="AR2242">
        <v>3.35</v>
      </c>
      <c r="AS2242">
        <v>64</v>
      </c>
      <c r="AT2242">
        <v>2.04</v>
      </c>
      <c r="AU2242">
        <v>73</v>
      </c>
      <c r="AV2242">
        <v>0.17</v>
      </c>
      <c r="AW2242">
        <v>79</v>
      </c>
      <c r="AX2242">
        <v>-0.3</v>
      </c>
      <c r="AY2242">
        <v>69</v>
      </c>
      <c r="AZ2242">
        <v>7.34</v>
      </c>
      <c r="BA2242">
        <v>50</v>
      </c>
      <c r="BB2242">
        <v>5.35</v>
      </c>
      <c r="BC2242">
        <v>55</v>
      </c>
      <c r="BD2242">
        <v>-0.08</v>
      </c>
      <c r="BE2242">
        <v>-0.02</v>
      </c>
      <c r="BF2242">
        <v>0.05</v>
      </c>
      <c r="BG2242">
        <v>80</v>
      </c>
      <c r="BH2242">
        <v>-0.19</v>
      </c>
      <c r="BI2242">
        <v>-0.09</v>
      </c>
      <c r="BJ2242">
        <v>7</v>
      </c>
      <c r="BK2242">
        <v>3</v>
      </c>
      <c r="BL2242">
        <v>-1.91</v>
      </c>
      <c r="BM2242">
        <v>-2.29</v>
      </c>
      <c r="BN2242">
        <v>-0.73</v>
      </c>
      <c r="BO2242">
        <v>1.47</v>
      </c>
      <c r="BP2242">
        <v>0.23</v>
      </c>
      <c r="BQ2242">
        <v>-4.9000000000000004</v>
      </c>
      <c r="BR2242">
        <v>2.61</v>
      </c>
      <c r="BS2242">
        <v>6.3</v>
      </c>
      <c r="BT2242">
        <v>-1.64</v>
      </c>
      <c r="BU2242">
        <v>0.57999999999999996</v>
      </c>
      <c r="BV2242">
        <v>0.91</v>
      </c>
      <c r="BW2242">
        <v>-1.1399999999999999</v>
      </c>
      <c r="BX2242">
        <v>-2.13</v>
      </c>
      <c r="BY2242">
        <v>0.71</v>
      </c>
      <c r="BZ2242">
        <v>-1.28</v>
      </c>
      <c r="CA2242">
        <v>2.4300000000000002</v>
      </c>
      <c r="CB2242">
        <v>1.02</v>
      </c>
      <c r="CC2242">
        <v>4.22</v>
      </c>
      <c r="CD2242">
        <v>-2.37</v>
      </c>
      <c r="CE2242">
        <v>1.53</v>
      </c>
      <c r="CF2242">
        <v>-1.06</v>
      </c>
      <c r="CG2242">
        <v>0</v>
      </c>
      <c r="CH2242">
        <v>7.0000000000000007E-2</v>
      </c>
      <c r="CI2242">
        <v>0</v>
      </c>
      <c r="CJ2242">
        <v>-38.6</v>
      </c>
      <c r="CK2242">
        <v>78</v>
      </c>
      <c r="CL2242">
        <v>-1.06</v>
      </c>
      <c r="CM2242">
        <v>74</v>
      </c>
      <c r="CN2242">
        <v>-0.31</v>
      </c>
      <c r="CO2242">
        <v>72</v>
      </c>
      <c r="CP2242">
        <v>-60.5</v>
      </c>
      <c r="CQ2242">
        <v>76</v>
      </c>
      <c r="CR2242">
        <v>0</v>
      </c>
      <c r="CS2242">
        <v>0</v>
      </c>
      <c r="CT2242">
        <v>-89.4</v>
      </c>
      <c r="CU2242">
        <v>70</v>
      </c>
      <c r="CV2242">
        <v>-0.38</v>
      </c>
      <c r="CW2242">
        <v>41</v>
      </c>
      <c r="CX2242" t="s">
        <v>4966</v>
      </c>
    </row>
    <row r="2243" spans="1:102" x14ac:dyDescent="0.3">
      <c r="A2243" t="str">
        <f>HYPERLINK("https://webapp.icbf.com/v2/app/bull-search/view/586065109","S1100")</f>
        <v>S1100</v>
      </c>
      <c r="B2243" t="s">
        <v>10130</v>
      </c>
      <c r="C2243" t="s">
        <v>10131</v>
      </c>
      <c r="D2243" s="1">
        <v>38222</v>
      </c>
      <c r="E2243" t="s">
        <v>146</v>
      </c>
      <c r="F2243">
        <v>22</v>
      </c>
      <c r="G2243" t="s">
        <v>109</v>
      </c>
      <c r="H2243">
        <v>54.02</v>
      </c>
      <c r="I2243">
        <v>69</v>
      </c>
      <c r="J2243">
        <v>-7.31</v>
      </c>
      <c r="K2243">
        <v>75</v>
      </c>
      <c r="L2243">
        <v>33.700000000000003</v>
      </c>
      <c r="M2243">
        <v>69</v>
      </c>
      <c r="N2243">
        <v>24.6</v>
      </c>
      <c r="O2243">
        <v>67</v>
      </c>
      <c r="P2243">
        <v>19.52</v>
      </c>
      <c r="Q2243">
        <v>79</v>
      </c>
      <c r="R2243">
        <v>1.1599999999999999</v>
      </c>
      <c r="S2243">
        <v>62</v>
      </c>
      <c r="T2243">
        <v>-11.26</v>
      </c>
      <c r="U2243">
        <v>49</v>
      </c>
      <c r="V2243">
        <v>-6.39</v>
      </c>
      <c r="W2243">
        <v>39</v>
      </c>
      <c r="X2243" t="s">
        <v>102</v>
      </c>
      <c r="Y2243" t="s">
        <v>336</v>
      </c>
      <c r="Z2243">
        <v>0</v>
      </c>
      <c r="AA2243" t="s">
        <v>10132</v>
      </c>
      <c r="AB2243" t="s">
        <v>10133</v>
      </c>
      <c r="AC2243">
        <v>0</v>
      </c>
      <c r="AD2243">
        <v>0</v>
      </c>
      <c r="AE2243">
        <v>75</v>
      </c>
      <c r="AF2243">
        <v>-165.18</v>
      </c>
      <c r="AG2243">
        <v>-2.66</v>
      </c>
      <c r="AH2243">
        <v>-2.83</v>
      </c>
      <c r="AI2243">
        <v>0.06</v>
      </c>
      <c r="AJ2243">
        <v>0.05</v>
      </c>
      <c r="AK2243">
        <v>69</v>
      </c>
      <c r="AL2243">
        <v>0</v>
      </c>
      <c r="AM2243">
        <v>0</v>
      </c>
      <c r="AN2243">
        <v>-1.63</v>
      </c>
      <c r="AO2243">
        <v>1.06</v>
      </c>
      <c r="AP2243">
        <v>34</v>
      </c>
      <c r="AQ2243">
        <v>0</v>
      </c>
      <c r="AR2243">
        <v>6.11</v>
      </c>
      <c r="AS2243">
        <v>39</v>
      </c>
      <c r="AT2243">
        <v>2.79</v>
      </c>
      <c r="AU2243">
        <v>77</v>
      </c>
      <c r="AV2243">
        <v>-2.02</v>
      </c>
      <c r="AW2243">
        <v>82</v>
      </c>
      <c r="AX2243">
        <v>0.41</v>
      </c>
      <c r="AY2243">
        <v>60</v>
      </c>
      <c r="AZ2243">
        <v>5.35</v>
      </c>
      <c r="BA2243">
        <v>33</v>
      </c>
      <c r="BB2243">
        <v>4.67</v>
      </c>
      <c r="BC2243">
        <v>31</v>
      </c>
      <c r="BD2243">
        <v>-0.01</v>
      </c>
      <c r="BE2243">
        <v>0</v>
      </c>
      <c r="BF2243">
        <v>-0.01</v>
      </c>
      <c r="BG2243">
        <v>86</v>
      </c>
      <c r="BH2243">
        <v>-0.1</v>
      </c>
      <c r="BI2243">
        <v>9.06</v>
      </c>
      <c r="BJ2243">
        <v>0</v>
      </c>
      <c r="BK2243">
        <v>0</v>
      </c>
      <c r="BL2243">
        <v>-1.52</v>
      </c>
      <c r="BM2243">
        <v>3.51</v>
      </c>
      <c r="BN2243">
        <v>-0.15</v>
      </c>
      <c r="BO2243">
        <v>-1.05</v>
      </c>
      <c r="BP2243">
        <v>4</v>
      </c>
      <c r="BQ2243">
        <v>0.87</v>
      </c>
      <c r="BR2243">
        <v>-0.63</v>
      </c>
      <c r="BS2243">
        <v>-0.19</v>
      </c>
      <c r="BT2243">
        <v>-0.24</v>
      </c>
      <c r="BU2243">
        <v>-0.6</v>
      </c>
      <c r="BV2243">
        <v>-3.72</v>
      </c>
      <c r="BW2243">
        <v>-3.53</v>
      </c>
      <c r="BX2243">
        <v>-1.0900000000000001</v>
      </c>
      <c r="BY2243">
        <v>-0.96</v>
      </c>
      <c r="BZ2243">
        <v>1.62</v>
      </c>
      <c r="CA2243">
        <v>-1.38</v>
      </c>
      <c r="CB2243">
        <v>-1.51</v>
      </c>
      <c r="CC2243">
        <v>-0.31</v>
      </c>
      <c r="CD2243">
        <v>3.16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8</v>
      </c>
      <c r="CK2243">
        <v>83</v>
      </c>
      <c r="CL2243">
        <v>0.28000000000000003</v>
      </c>
      <c r="CM2243">
        <v>80</v>
      </c>
      <c r="CN2243">
        <v>-0.34</v>
      </c>
      <c r="CO2243">
        <v>78</v>
      </c>
      <c r="CP2243">
        <v>10.7</v>
      </c>
      <c r="CQ2243">
        <v>54</v>
      </c>
      <c r="CR2243">
        <v>0</v>
      </c>
      <c r="CS2243">
        <v>0</v>
      </c>
      <c r="CT2243">
        <v>29</v>
      </c>
      <c r="CU2243">
        <v>49</v>
      </c>
      <c r="CV2243">
        <v>-0.04</v>
      </c>
      <c r="CW2243">
        <v>23</v>
      </c>
      <c r="CX2243" t="s">
        <v>236</v>
      </c>
    </row>
    <row r="2244" spans="1:102" x14ac:dyDescent="0.3">
      <c r="A2244" t="str">
        <f>HYPERLINK("https://webapp.icbf.com/v2/app/bull-search/view/68437249","CPV")</f>
        <v>CPV</v>
      </c>
      <c r="B2244" t="s">
        <v>4703</v>
      </c>
      <c r="C2244" t="s">
        <v>4704</v>
      </c>
      <c r="D2244" s="1">
        <v>36090</v>
      </c>
      <c r="E2244" t="s">
        <v>108</v>
      </c>
      <c r="F2244">
        <v>6</v>
      </c>
      <c r="G2244" t="s">
        <v>93</v>
      </c>
      <c r="H2244">
        <v>53.97</v>
      </c>
      <c r="I2244">
        <v>95</v>
      </c>
      <c r="J2244">
        <v>-42.88</v>
      </c>
      <c r="K2244">
        <v>99</v>
      </c>
      <c r="L2244">
        <v>97.45</v>
      </c>
      <c r="M2244">
        <v>90</v>
      </c>
      <c r="N2244">
        <v>-23.16</v>
      </c>
      <c r="O2244">
        <v>95</v>
      </c>
      <c r="P2244">
        <v>-15.64</v>
      </c>
      <c r="Q2244">
        <v>98</v>
      </c>
      <c r="R2244">
        <v>10.9</v>
      </c>
      <c r="S2244">
        <v>91</v>
      </c>
      <c r="T2244">
        <v>23.82</v>
      </c>
      <c r="U2244">
        <v>97</v>
      </c>
      <c r="V2244">
        <v>3.48</v>
      </c>
      <c r="W2244">
        <v>92</v>
      </c>
      <c r="X2244" t="s">
        <v>251</v>
      </c>
      <c r="Y2244" t="s">
        <v>95</v>
      </c>
      <c r="Z2244" t="s">
        <v>96</v>
      </c>
      <c r="AA2244" t="s">
        <v>4705</v>
      </c>
      <c r="AB2244" t="s">
        <v>1019</v>
      </c>
      <c r="AC2244">
        <v>336</v>
      </c>
      <c r="AD2244">
        <v>139</v>
      </c>
      <c r="AE2244">
        <v>99</v>
      </c>
      <c r="AF2244">
        <v>-206.96</v>
      </c>
      <c r="AG2244">
        <v>-5.71</v>
      </c>
      <c r="AH2244">
        <v>-8.44</v>
      </c>
      <c r="AI2244">
        <v>0.04</v>
      </c>
      <c r="AJ2244">
        <v>-0.03</v>
      </c>
      <c r="AK2244">
        <v>90</v>
      </c>
      <c r="AL2244">
        <v>379</v>
      </c>
      <c r="AM2244">
        <v>154</v>
      </c>
      <c r="AN2244">
        <v>-5.41</v>
      </c>
      <c r="AO2244">
        <v>2.36</v>
      </c>
      <c r="AP2244">
        <v>482</v>
      </c>
      <c r="AQ2244">
        <v>1</v>
      </c>
      <c r="AR2244">
        <v>9.49</v>
      </c>
      <c r="AS2244">
        <v>90</v>
      </c>
      <c r="AT2244">
        <v>4.12</v>
      </c>
      <c r="AU2244">
        <v>95</v>
      </c>
      <c r="AV2244">
        <v>0.71</v>
      </c>
      <c r="AW2244">
        <v>98</v>
      </c>
      <c r="AX2244">
        <v>0.16</v>
      </c>
      <c r="AY2244">
        <v>95</v>
      </c>
      <c r="AZ2244">
        <v>6.96</v>
      </c>
      <c r="BA2244">
        <v>87</v>
      </c>
      <c r="BB2244">
        <v>5.2</v>
      </c>
      <c r="BC2244">
        <v>89</v>
      </c>
      <c r="BD2244">
        <v>0.05</v>
      </c>
      <c r="BE2244">
        <v>-0.06</v>
      </c>
      <c r="BF2244">
        <v>-0.22</v>
      </c>
      <c r="BG2244">
        <v>97</v>
      </c>
      <c r="BH2244">
        <v>7.0000000000000007E-2</v>
      </c>
      <c r="BI2244">
        <v>-3.14</v>
      </c>
      <c r="BJ2244">
        <v>34</v>
      </c>
      <c r="BK2244">
        <v>17</v>
      </c>
      <c r="BL2244">
        <v>-2.79</v>
      </c>
      <c r="BM2244">
        <v>2.4900000000000002</v>
      </c>
      <c r="BN2244">
        <v>-1.47</v>
      </c>
      <c r="BO2244">
        <v>-2.84</v>
      </c>
      <c r="BP2244">
        <v>0.73</v>
      </c>
      <c r="BQ2244">
        <v>0.18</v>
      </c>
      <c r="BR2244">
        <v>-1.07</v>
      </c>
      <c r="BS2244">
        <v>0.61</v>
      </c>
      <c r="BT2244">
        <v>-0.01</v>
      </c>
      <c r="BU2244">
        <v>-0.65</v>
      </c>
      <c r="BV2244">
        <v>-1.99</v>
      </c>
      <c r="BW2244">
        <v>-2.12</v>
      </c>
      <c r="BX2244">
        <v>0.11</v>
      </c>
      <c r="BY2244">
        <v>-2.69</v>
      </c>
      <c r="BZ2244">
        <v>-1.33</v>
      </c>
      <c r="CA2244">
        <v>-1.56</v>
      </c>
      <c r="CB2244">
        <v>-1.93</v>
      </c>
      <c r="CC2244">
        <v>-0.1</v>
      </c>
      <c r="CD2244">
        <v>2.74</v>
      </c>
      <c r="CE2244">
        <v>-2.92</v>
      </c>
      <c r="CF2244">
        <v>-1.69</v>
      </c>
      <c r="CG2244">
        <v>0</v>
      </c>
      <c r="CH2244">
        <v>-2.4900000000000002</v>
      </c>
      <c r="CI2244">
        <v>0</v>
      </c>
      <c r="CJ2244">
        <v>-9.9</v>
      </c>
      <c r="CK2244">
        <v>98</v>
      </c>
      <c r="CL2244">
        <v>-0.19</v>
      </c>
      <c r="CM2244">
        <v>98</v>
      </c>
      <c r="CN2244">
        <v>-0.15</v>
      </c>
      <c r="CO2244">
        <v>98</v>
      </c>
      <c r="CP2244">
        <v>-11.8</v>
      </c>
      <c r="CQ2244">
        <v>98</v>
      </c>
      <c r="CR2244">
        <v>0</v>
      </c>
      <c r="CS2244">
        <v>0</v>
      </c>
      <c r="CT2244">
        <v>-18.399999999999999</v>
      </c>
      <c r="CU2244">
        <v>97</v>
      </c>
      <c r="CV2244">
        <v>-0.12</v>
      </c>
      <c r="CW2244">
        <v>46</v>
      </c>
      <c r="CX2244" t="s">
        <v>607</v>
      </c>
    </row>
    <row r="2245" spans="1:102" x14ac:dyDescent="0.3">
      <c r="A2245" t="str">
        <f>HYPERLINK("https://webapp.icbf.com/v2/app/bull-search/view/77496144","HNN")</f>
        <v>HNN</v>
      </c>
      <c r="B2245" t="s">
        <v>1486</v>
      </c>
      <c r="C2245" t="s">
        <v>1487</v>
      </c>
      <c r="D2245" s="1">
        <v>33781</v>
      </c>
      <c r="E2245" t="s">
        <v>92</v>
      </c>
      <c r="F2245">
        <v>100</v>
      </c>
      <c r="G2245" t="s">
        <v>93</v>
      </c>
      <c r="H2245">
        <v>53.94</v>
      </c>
      <c r="I2245">
        <v>97</v>
      </c>
      <c r="J2245">
        <v>49.38</v>
      </c>
      <c r="K2245">
        <v>99</v>
      </c>
      <c r="L2245">
        <v>16.75</v>
      </c>
      <c r="M2245">
        <v>93</v>
      </c>
      <c r="N2245">
        <v>-5.95</v>
      </c>
      <c r="O2245">
        <v>98</v>
      </c>
      <c r="P2245">
        <v>-3.74</v>
      </c>
      <c r="Q2245">
        <v>99</v>
      </c>
      <c r="R2245">
        <v>-2.75</v>
      </c>
      <c r="S2245">
        <v>96</v>
      </c>
      <c r="T2245">
        <v>6.43</v>
      </c>
      <c r="U2245">
        <v>98</v>
      </c>
      <c r="V2245">
        <v>-6.18</v>
      </c>
      <c r="W2245">
        <v>97</v>
      </c>
      <c r="X2245" t="s">
        <v>94</v>
      </c>
      <c r="Y2245" t="s">
        <v>95</v>
      </c>
      <c r="Z2245" t="s">
        <v>96</v>
      </c>
      <c r="AA2245" t="s">
        <v>1488</v>
      </c>
      <c r="AB2245" t="s">
        <v>1489</v>
      </c>
      <c r="AC2245">
        <v>1013</v>
      </c>
      <c r="AD2245">
        <v>367</v>
      </c>
      <c r="AE2245">
        <v>99</v>
      </c>
      <c r="AF2245">
        <v>57.99</v>
      </c>
      <c r="AG2245">
        <v>7.11</v>
      </c>
      <c r="AH2245">
        <v>6.77</v>
      </c>
      <c r="AI2245">
        <v>0.08</v>
      </c>
      <c r="AJ2245">
        <v>0.08</v>
      </c>
      <c r="AK2245">
        <v>93</v>
      </c>
      <c r="AL2245">
        <v>1027</v>
      </c>
      <c r="AM2245">
        <v>392</v>
      </c>
      <c r="AN2245">
        <v>0.17</v>
      </c>
      <c r="AO2245">
        <v>1.52</v>
      </c>
      <c r="AP2245">
        <v>1845</v>
      </c>
      <c r="AQ2245">
        <v>13</v>
      </c>
      <c r="AR2245">
        <v>8.6999999999999993</v>
      </c>
      <c r="AS2245">
        <v>94</v>
      </c>
      <c r="AT2245">
        <v>4.0199999999999996</v>
      </c>
      <c r="AU2245">
        <v>98</v>
      </c>
      <c r="AV2245">
        <v>-1.1499999999999999</v>
      </c>
      <c r="AW2245">
        <v>99</v>
      </c>
      <c r="AX2245">
        <v>0.49</v>
      </c>
      <c r="AY2245">
        <v>98</v>
      </c>
      <c r="AZ2245">
        <v>6.62</v>
      </c>
      <c r="BA2245">
        <v>93</v>
      </c>
      <c r="BB2245">
        <v>5.35</v>
      </c>
      <c r="BC2245">
        <v>95</v>
      </c>
      <c r="BD2245">
        <v>0.05</v>
      </c>
      <c r="BE2245">
        <v>0</v>
      </c>
      <c r="BF2245">
        <v>-0.02</v>
      </c>
      <c r="BG2245">
        <v>98</v>
      </c>
      <c r="BH2245">
        <v>0.01</v>
      </c>
      <c r="BI2245">
        <v>21.1</v>
      </c>
      <c r="BJ2245">
        <v>43</v>
      </c>
      <c r="BK2245">
        <v>31</v>
      </c>
      <c r="BL2245">
        <v>0</v>
      </c>
      <c r="BM2245">
        <v>-0.46</v>
      </c>
      <c r="BN2245">
        <v>-0.65</v>
      </c>
      <c r="BO2245">
        <v>-0.16</v>
      </c>
      <c r="BP2245">
        <v>-1.89</v>
      </c>
      <c r="BQ2245">
        <v>-0.84</v>
      </c>
      <c r="BR2245">
        <v>1.54</v>
      </c>
      <c r="BS2245">
        <v>-1.87</v>
      </c>
      <c r="BT2245">
        <v>-0.88</v>
      </c>
      <c r="BU2245">
        <v>-1.32</v>
      </c>
      <c r="BV2245">
        <v>-2.4</v>
      </c>
      <c r="BW2245">
        <v>-0.04</v>
      </c>
      <c r="BX2245">
        <v>-0.34</v>
      </c>
      <c r="BY2245">
        <v>-0.26</v>
      </c>
      <c r="BZ2245">
        <v>1.07</v>
      </c>
      <c r="CA2245">
        <v>-1.74</v>
      </c>
      <c r="CB2245">
        <v>-1.41</v>
      </c>
      <c r="CC2245">
        <v>-1.56</v>
      </c>
      <c r="CD2245">
        <v>-0.73</v>
      </c>
      <c r="CE2245">
        <v>0.01</v>
      </c>
      <c r="CF2245">
        <v>-0.65</v>
      </c>
      <c r="CG2245">
        <v>0</v>
      </c>
      <c r="CH2245">
        <v>-0.21</v>
      </c>
      <c r="CI2245">
        <v>0</v>
      </c>
      <c r="CJ2245">
        <v>1.2</v>
      </c>
      <c r="CK2245">
        <v>99</v>
      </c>
      <c r="CL2245">
        <v>-0.8</v>
      </c>
      <c r="CM2245">
        <v>99</v>
      </c>
      <c r="CN2245">
        <v>-0.26</v>
      </c>
      <c r="CO2245">
        <v>99</v>
      </c>
      <c r="CP2245">
        <v>-1.2</v>
      </c>
      <c r="CQ2245">
        <v>99</v>
      </c>
      <c r="CR2245">
        <v>0</v>
      </c>
      <c r="CS2245">
        <v>0</v>
      </c>
      <c r="CT2245">
        <v>5.0999999999999996</v>
      </c>
      <c r="CU2245">
        <v>98</v>
      </c>
      <c r="CV2245">
        <v>0.26</v>
      </c>
      <c r="CW2245">
        <v>46</v>
      </c>
      <c r="CX2245" t="s">
        <v>724</v>
      </c>
    </row>
    <row r="2246" spans="1:102" x14ac:dyDescent="0.3">
      <c r="A2246" t="str">
        <f>HYPERLINK("https://webapp.icbf.com/v2/app/bull-search/view/445002983","GHR")</f>
        <v>GHR</v>
      </c>
      <c r="B2246" t="s">
        <v>8230</v>
      </c>
      <c r="C2246" t="s">
        <v>8231</v>
      </c>
      <c r="D2246" s="1">
        <v>38760</v>
      </c>
      <c r="E2246" t="s">
        <v>92</v>
      </c>
      <c r="F2246">
        <v>91</v>
      </c>
      <c r="G2246" t="s">
        <v>93</v>
      </c>
      <c r="H2246">
        <v>53.9</v>
      </c>
      <c r="I2246">
        <v>89</v>
      </c>
      <c r="J2246">
        <v>4.0599999999999996</v>
      </c>
      <c r="K2246">
        <v>97</v>
      </c>
      <c r="L2246">
        <v>24.11</v>
      </c>
      <c r="M2246">
        <v>82</v>
      </c>
      <c r="N2246">
        <v>24.67</v>
      </c>
      <c r="O2246">
        <v>88</v>
      </c>
      <c r="P2246">
        <v>-5.24</v>
      </c>
      <c r="Q2246">
        <v>93</v>
      </c>
      <c r="R2246">
        <v>-2.2200000000000002</v>
      </c>
      <c r="S2246">
        <v>85</v>
      </c>
      <c r="T2246">
        <v>1.99</v>
      </c>
      <c r="U2246">
        <v>91</v>
      </c>
      <c r="V2246">
        <v>6.53</v>
      </c>
      <c r="W2246">
        <v>86</v>
      </c>
      <c r="X2246" t="s">
        <v>94</v>
      </c>
      <c r="Y2246" t="s">
        <v>1251</v>
      </c>
      <c r="Z2246" t="s">
        <v>96</v>
      </c>
      <c r="AA2246" t="s">
        <v>1165</v>
      </c>
      <c r="AB2246" t="s">
        <v>8232</v>
      </c>
      <c r="AC2246">
        <v>112</v>
      </c>
      <c r="AD2246">
        <v>81</v>
      </c>
      <c r="AE2246">
        <v>97</v>
      </c>
      <c r="AF2246">
        <v>-100.82</v>
      </c>
      <c r="AG2246">
        <v>1.21</v>
      </c>
      <c r="AH2246">
        <v>-1.28</v>
      </c>
      <c r="AI2246">
        <v>0.09</v>
      </c>
      <c r="AJ2246">
        <v>0.04</v>
      </c>
      <c r="AK2246">
        <v>82</v>
      </c>
      <c r="AL2246">
        <v>110</v>
      </c>
      <c r="AM2246">
        <v>67</v>
      </c>
      <c r="AN2246">
        <v>-1.53</v>
      </c>
      <c r="AO2246">
        <v>0.39</v>
      </c>
      <c r="AP2246">
        <v>242</v>
      </c>
      <c r="AQ2246">
        <v>3</v>
      </c>
      <c r="AR2246">
        <v>7.26</v>
      </c>
      <c r="AS2246">
        <v>74</v>
      </c>
      <c r="AT2246">
        <v>2.78</v>
      </c>
      <c r="AU2246">
        <v>90</v>
      </c>
      <c r="AV2246">
        <v>-2.56</v>
      </c>
      <c r="AW2246">
        <v>97</v>
      </c>
      <c r="AX2246">
        <v>-0.13</v>
      </c>
      <c r="AY2246">
        <v>84</v>
      </c>
      <c r="AZ2246">
        <v>5.76</v>
      </c>
      <c r="BA2246">
        <v>71</v>
      </c>
      <c r="BB2246">
        <v>5.16</v>
      </c>
      <c r="BC2246">
        <v>74</v>
      </c>
      <c r="BD2246">
        <v>0</v>
      </c>
      <c r="BE2246">
        <v>-0.01</v>
      </c>
      <c r="BF2246">
        <v>7.0000000000000007E-2</v>
      </c>
      <c r="BG2246">
        <v>91</v>
      </c>
      <c r="BH2246">
        <v>0.12</v>
      </c>
      <c r="BI2246">
        <v>-7.18</v>
      </c>
      <c r="BJ2246">
        <v>8</v>
      </c>
      <c r="BK2246">
        <v>7</v>
      </c>
      <c r="BL2246">
        <v>0.28999999999999998</v>
      </c>
      <c r="BM2246">
        <v>0.25</v>
      </c>
      <c r="BN2246">
        <v>-0.74</v>
      </c>
      <c r="BO2246">
        <v>-0.57999999999999996</v>
      </c>
      <c r="BP2246">
        <v>2.94</v>
      </c>
      <c r="BQ2246">
        <v>-1.61</v>
      </c>
      <c r="BR2246">
        <v>-0.62</v>
      </c>
      <c r="BS2246">
        <v>-1.76</v>
      </c>
      <c r="BT2246">
        <v>-0.28000000000000003</v>
      </c>
      <c r="BU2246">
        <v>-1.1100000000000001</v>
      </c>
      <c r="BV2246">
        <v>-1.2</v>
      </c>
      <c r="BW2246">
        <v>-0.93</v>
      </c>
      <c r="BX2246">
        <v>-0.3</v>
      </c>
      <c r="BY2246">
        <v>-0.79</v>
      </c>
      <c r="BZ2246">
        <v>-1.56</v>
      </c>
      <c r="CA2246">
        <v>-0.72</v>
      </c>
      <c r="CB2246">
        <v>-0.56999999999999995</v>
      </c>
      <c r="CC2246">
        <v>-0.7</v>
      </c>
      <c r="CD2246">
        <v>0.24</v>
      </c>
      <c r="CE2246">
        <v>-0.64</v>
      </c>
      <c r="CF2246">
        <v>0.03</v>
      </c>
      <c r="CG2246">
        <v>0</v>
      </c>
      <c r="CH2246">
        <v>0.47</v>
      </c>
      <c r="CI2246">
        <v>0</v>
      </c>
      <c r="CJ2246">
        <v>1</v>
      </c>
      <c r="CK2246">
        <v>94</v>
      </c>
      <c r="CL2246">
        <v>-0.61</v>
      </c>
      <c r="CM2246">
        <v>93</v>
      </c>
      <c r="CN2246">
        <v>0.02</v>
      </c>
      <c r="CO2246">
        <v>92</v>
      </c>
      <c r="CP2246">
        <v>-0.6</v>
      </c>
      <c r="CQ2246">
        <v>91</v>
      </c>
      <c r="CR2246">
        <v>0</v>
      </c>
      <c r="CS2246">
        <v>0</v>
      </c>
      <c r="CT2246">
        <v>11.1</v>
      </c>
      <c r="CU2246">
        <v>91</v>
      </c>
      <c r="CV2246">
        <v>0.24</v>
      </c>
      <c r="CW2246">
        <v>47</v>
      </c>
      <c r="CX2246" t="s">
        <v>1254</v>
      </c>
    </row>
    <row r="2247" spans="1:102" x14ac:dyDescent="0.3">
      <c r="A2247" t="str">
        <f>HYPERLINK("https://webapp.icbf.com/v2/app/bull-search/view/487000799","VJT")</f>
        <v>VJT</v>
      </c>
      <c r="B2247" t="s">
        <v>2651</v>
      </c>
      <c r="C2247" t="s">
        <v>2652</v>
      </c>
      <c r="D2247" s="1">
        <v>38555</v>
      </c>
      <c r="E2247" t="s">
        <v>108</v>
      </c>
      <c r="F2247">
        <v>44</v>
      </c>
      <c r="G2247" t="s">
        <v>109</v>
      </c>
      <c r="H2247">
        <v>53.79</v>
      </c>
      <c r="I2247">
        <v>75</v>
      </c>
      <c r="J2247">
        <v>53.26</v>
      </c>
      <c r="K2247">
        <v>90</v>
      </c>
      <c r="L2247">
        <v>-30.88</v>
      </c>
      <c r="M2247">
        <v>66</v>
      </c>
      <c r="N2247">
        <v>27.07</v>
      </c>
      <c r="O2247">
        <v>68</v>
      </c>
      <c r="P2247">
        <v>-31.54</v>
      </c>
      <c r="Q2247">
        <v>77</v>
      </c>
      <c r="R2247">
        <v>-3.06</v>
      </c>
      <c r="S2247">
        <v>67</v>
      </c>
      <c r="T2247">
        <v>31.59</v>
      </c>
      <c r="U2247">
        <v>66</v>
      </c>
      <c r="V2247">
        <v>7.35</v>
      </c>
      <c r="W2247">
        <v>63</v>
      </c>
      <c r="X2247" t="s">
        <v>276</v>
      </c>
      <c r="Y2247" t="s">
        <v>282</v>
      </c>
      <c r="Z2247" t="s">
        <v>330</v>
      </c>
      <c r="AA2247" t="s">
        <v>2653</v>
      </c>
      <c r="AB2247" t="s">
        <v>2654</v>
      </c>
      <c r="AC2247">
        <v>0</v>
      </c>
      <c r="AD2247">
        <v>0</v>
      </c>
      <c r="AE2247">
        <v>90</v>
      </c>
      <c r="AF2247">
        <v>-12.8</v>
      </c>
      <c r="AG2247">
        <v>9.73</v>
      </c>
      <c r="AH2247">
        <v>5.42</v>
      </c>
      <c r="AI2247">
        <v>0.18</v>
      </c>
      <c r="AJ2247">
        <v>0.1</v>
      </c>
      <c r="AK2247">
        <v>66</v>
      </c>
      <c r="AL2247">
        <v>0</v>
      </c>
      <c r="AM2247">
        <v>0</v>
      </c>
      <c r="AN2247">
        <v>1.91</v>
      </c>
      <c r="AO2247">
        <v>-0.55000000000000004</v>
      </c>
      <c r="AP2247">
        <v>33</v>
      </c>
      <c r="AQ2247">
        <v>1</v>
      </c>
      <c r="AR2247">
        <v>5.41</v>
      </c>
      <c r="AS2247">
        <v>41</v>
      </c>
      <c r="AT2247">
        <v>1.75</v>
      </c>
      <c r="AU2247">
        <v>68</v>
      </c>
      <c r="AV2247">
        <v>-2.13</v>
      </c>
      <c r="AW2247">
        <v>87</v>
      </c>
      <c r="AX2247">
        <v>0.56999999999999995</v>
      </c>
      <c r="AY2247">
        <v>61</v>
      </c>
      <c r="AZ2247">
        <v>6.41</v>
      </c>
      <c r="BA2247">
        <v>35</v>
      </c>
      <c r="BB2247">
        <v>5.7</v>
      </c>
      <c r="BC2247">
        <v>42</v>
      </c>
      <c r="BD2247">
        <v>-0.01</v>
      </c>
      <c r="BE2247">
        <v>0.03</v>
      </c>
      <c r="BF2247">
        <v>0.03</v>
      </c>
      <c r="BG2247">
        <v>82</v>
      </c>
      <c r="BH2247">
        <v>0.05</v>
      </c>
      <c r="BI2247">
        <v>-17.920000000000002</v>
      </c>
      <c r="BJ2247">
        <v>0</v>
      </c>
      <c r="BK2247">
        <v>0</v>
      </c>
      <c r="BL2247">
        <v>-2.48</v>
      </c>
      <c r="BM2247">
        <v>-0.43</v>
      </c>
      <c r="BN2247">
        <v>-1.79</v>
      </c>
      <c r="BO2247">
        <v>-0.84</v>
      </c>
      <c r="BP2247">
        <v>-7.0000000000000007E-2</v>
      </c>
      <c r="BQ2247">
        <v>-0.41</v>
      </c>
      <c r="BR2247">
        <v>1.56</v>
      </c>
      <c r="BS2247">
        <v>-1.36</v>
      </c>
      <c r="BT2247">
        <v>-0.71</v>
      </c>
      <c r="BU2247">
        <v>-0.86</v>
      </c>
      <c r="BV2247">
        <v>-1.87</v>
      </c>
      <c r="BW2247">
        <v>-1.88</v>
      </c>
      <c r="BX2247">
        <v>-1.47</v>
      </c>
      <c r="BY2247">
        <v>-1.17</v>
      </c>
      <c r="BZ2247">
        <v>0.71</v>
      </c>
      <c r="CA2247">
        <v>-2.58</v>
      </c>
      <c r="CB2247">
        <v>-1.57</v>
      </c>
      <c r="CC2247">
        <v>-1.88</v>
      </c>
      <c r="CD2247">
        <v>0.64</v>
      </c>
      <c r="CE2247">
        <v>-0.12</v>
      </c>
      <c r="CF2247">
        <v>-0.25</v>
      </c>
      <c r="CG2247">
        <v>0</v>
      </c>
      <c r="CH2247">
        <v>-1.31</v>
      </c>
      <c r="CI2247">
        <v>0</v>
      </c>
      <c r="CJ2247">
        <v>-13.3</v>
      </c>
      <c r="CK2247">
        <v>80</v>
      </c>
      <c r="CL2247">
        <v>-0.59</v>
      </c>
      <c r="CM2247">
        <v>76</v>
      </c>
      <c r="CN2247">
        <v>0.34</v>
      </c>
      <c r="CO2247">
        <v>73</v>
      </c>
      <c r="CP2247">
        <v>-20.8</v>
      </c>
      <c r="CQ2247">
        <v>65</v>
      </c>
      <c r="CR2247">
        <v>0</v>
      </c>
      <c r="CS2247">
        <v>0</v>
      </c>
      <c r="CT2247">
        <v>-28.9</v>
      </c>
      <c r="CU2247">
        <v>66</v>
      </c>
      <c r="CV2247">
        <v>0</v>
      </c>
      <c r="CW2247">
        <v>41</v>
      </c>
      <c r="CX2247" t="s">
        <v>1436</v>
      </c>
    </row>
    <row r="2248" spans="1:102" x14ac:dyDescent="0.3">
      <c r="A2248" t="str">
        <f>HYPERLINK("https://webapp.icbf.com/v2/app/bull-search/view/77858101","EAT")</f>
        <v>EAT</v>
      </c>
      <c r="B2248" t="s">
        <v>6750</v>
      </c>
      <c r="C2248" t="s">
        <v>743</v>
      </c>
      <c r="D2248" s="1">
        <v>32322</v>
      </c>
      <c r="E2248" t="s">
        <v>92</v>
      </c>
      <c r="F2248">
        <v>100</v>
      </c>
      <c r="G2248" t="s">
        <v>93</v>
      </c>
      <c r="H2248">
        <v>53.71</v>
      </c>
      <c r="I2248">
        <v>97</v>
      </c>
      <c r="J2248">
        <v>14.93</v>
      </c>
      <c r="K2248">
        <v>99</v>
      </c>
      <c r="L2248">
        <v>35.85</v>
      </c>
      <c r="M2248">
        <v>95</v>
      </c>
      <c r="N2248">
        <v>8.42</v>
      </c>
      <c r="O2248">
        <v>98</v>
      </c>
      <c r="P2248">
        <v>-3.52</v>
      </c>
      <c r="Q2248">
        <v>99</v>
      </c>
      <c r="R2248">
        <v>-10.37</v>
      </c>
      <c r="S2248">
        <v>95</v>
      </c>
      <c r="T2248">
        <v>6.28</v>
      </c>
      <c r="U2248">
        <v>99</v>
      </c>
      <c r="V2248">
        <v>2.12</v>
      </c>
      <c r="W2248">
        <v>95</v>
      </c>
      <c r="X2248" t="s">
        <v>276</v>
      </c>
      <c r="Y2248" t="s">
        <v>95</v>
      </c>
      <c r="Z2248" t="s">
        <v>96</v>
      </c>
      <c r="AA2248" t="s">
        <v>166</v>
      </c>
      <c r="AB2248" t="s">
        <v>6751</v>
      </c>
      <c r="AC2248">
        <v>1732</v>
      </c>
      <c r="AD2248">
        <v>691</v>
      </c>
      <c r="AE2248">
        <v>99</v>
      </c>
      <c r="AF2248">
        <v>-7.96</v>
      </c>
      <c r="AG2248">
        <v>-0.91</v>
      </c>
      <c r="AH2248">
        <v>2.74</v>
      </c>
      <c r="AI2248">
        <v>-0.01</v>
      </c>
      <c r="AJ2248">
        <v>0.05</v>
      </c>
      <c r="AK2248">
        <v>95</v>
      </c>
      <c r="AL2248">
        <v>1831</v>
      </c>
      <c r="AM2248">
        <v>760</v>
      </c>
      <c r="AN2248">
        <v>-1.1100000000000001</v>
      </c>
      <c r="AO2248">
        <v>1.76</v>
      </c>
      <c r="AP2248">
        <v>348</v>
      </c>
      <c r="AQ2248">
        <v>3</v>
      </c>
      <c r="AR2248">
        <v>7.74</v>
      </c>
      <c r="AS2248">
        <v>94</v>
      </c>
      <c r="AT2248">
        <v>3.37</v>
      </c>
      <c r="AU2248">
        <v>98</v>
      </c>
      <c r="AV2248">
        <v>-0.86</v>
      </c>
      <c r="AW2248">
        <v>99</v>
      </c>
      <c r="AX2248">
        <v>0.14000000000000001</v>
      </c>
      <c r="AY2248">
        <v>98</v>
      </c>
      <c r="AZ2248">
        <v>5.26</v>
      </c>
      <c r="BA2248">
        <v>94</v>
      </c>
      <c r="BB2248">
        <v>4.38</v>
      </c>
      <c r="BC2248">
        <v>97</v>
      </c>
      <c r="BD2248">
        <v>0.05</v>
      </c>
      <c r="BE2248">
        <v>0.05</v>
      </c>
      <c r="BF2248">
        <v>0.06</v>
      </c>
      <c r="BG2248">
        <v>99</v>
      </c>
      <c r="BH2248">
        <v>0.11</v>
      </c>
      <c r="BI2248">
        <v>5.87</v>
      </c>
      <c r="BJ2248">
        <v>101</v>
      </c>
      <c r="BK2248">
        <v>59</v>
      </c>
      <c r="BL2248">
        <v>0.08</v>
      </c>
      <c r="BM2248">
        <v>0.06</v>
      </c>
      <c r="BN2248">
        <v>-0.9</v>
      </c>
      <c r="BO2248">
        <v>-0.39</v>
      </c>
      <c r="BP2248">
        <v>-0.41</v>
      </c>
      <c r="BQ2248">
        <v>-0.06</v>
      </c>
      <c r="BR2248">
        <v>0.06</v>
      </c>
      <c r="BS2248">
        <v>0.47</v>
      </c>
      <c r="BT2248">
        <v>-0.22</v>
      </c>
      <c r="BU2248">
        <v>0.01</v>
      </c>
      <c r="BV2248">
        <v>-0.86</v>
      </c>
      <c r="BW2248">
        <v>-0.67</v>
      </c>
      <c r="BX2248">
        <v>0.84</v>
      </c>
      <c r="BY2248">
        <v>-2.0099999999999998</v>
      </c>
      <c r="BZ2248">
        <v>1.84</v>
      </c>
      <c r="CA2248">
        <v>-0.75</v>
      </c>
      <c r="CB2248">
        <v>-1.1000000000000001</v>
      </c>
      <c r="CC2248">
        <v>0.24</v>
      </c>
      <c r="CD2248">
        <v>0.34</v>
      </c>
      <c r="CE2248">
        <v>-0.46</v>
      </c>
      <c r="CF2248">
        <v>0.14000000000000001</v>
      </c>
      <c r="CG2248">
        <v>0</v>
      </c>
      <c r="CH2248">
        <v>-2</v>
      </c>
      <c r="CI2248">
        <v>0</v>
      </c>
      <c r="CJ2248">
        <v>0.5</v>
      </c>
      <c r="CK2248">
        <v>99</v>
      </c>
      <c r="CL2248">
        <v>-0.6</v>
      </c>
      <c r="CM2248">
        <v>99</v>
      </c>
      <c r="CN2248">
        <v>-0.21</v>
      </c>
      <c r="CO2248">
        <v>99</v>
      </c>
      <c r="CP2248">
        <v>-3.2</v>
      </c>
      <c r="CQ2248">
        <v>99</v>
      </c>
      <c r="CR2248">
        <v>0</v>
      </c>
      <c r="CS2248">
        <v>0</v>
      </c>
      <c r="CT2248">
        <v>5.3</v>
      </c>
      <c r="CU2248">
        <v>99</v>
      </c>
      <c r="CV2248">
        <v>0.08</v>
      </c>
      <c r="CW2248">
        <v>46</v>
      </c>
      <c r="CX2248" t="s">
        <v>707</v>
      </c>
    </row>
    <row r="2249" spans="1:102" x14ac:dyDescent="0.3">
      <c r="A2249" t="str">
        <f>HYPERLINK("https://webapp.icbf.com/v2/app/bull-search/view/1034602861","S3334")</f>
        <v>S3334</v>
      </c>
      <c r="B2249" t="s">
        <v>14017</v>
      </c>
      <c r="C2249" t="s">
        <v>14018</v>
      </c>
      <c r="D2249" s="1">
        <v>39402</v>
      </c>
      <c r="E2249" t="s">
        <v>108</v>
      </c>
      <c r="F2249">
        <v>3</v>
      </c>
      <c r="G2249" t="s">
        <v>109</v>
      </c>
      <c r="H2249">
        <v>53.5</v>
      </c>
      <c r="I2249">
        <v>69</v>
      </c>
      <c r="J2249">
        <v>-63.34</v>
      </c>
      <c r="K2249">
        <v>85</v>
      </c>
      <c r="L2249">
        <v>93.68</v>
      </c>
      <c r="M2249">
        <v>74</v>
      </c>
      <c r="N2249">
        <v>11.13</v>
      </c>
      <c r="O2249">
        <v>54</v>
      </c>
      <c r="P2249">
        <v>-15.71</v>
      </c>
      <c r="Q2249">
        <v>43</v>
      </c>
      <c r="R2249">
        <v>8.2799999999999994</v>
      </c>
      <c r="S2249">
        <v>68</v>
      </c>
      <c r="T2249">
        <v>17.38</v>
      </c>
      <c r="U2249">
        <v>42</v>
      </c>
      <c r="V2249">
        <v>2.08</v>
      </c>
      <c r="W2249">
        <v>51</v>
      </c>
      <c r="X2249" t="s">
        <v>110</v>
      </c>
      <c r="Y2249" t="s">
        <v>2394</v>
      </c>
      <c r="Z2249" t="s">
        <v>96</v>
      </c>
      <c r="AA2249" t="s">
        <v>1129</v>
      </c>
      <c r="AB2249" t="s">
        <v>14019</v>
      </c>
      <c r="AC2249">
        <v>0</v>
      </c>
      <c r="AD2249">
        <v>0</v>
      </c>
      <c r="AE2249">
        <v>85</v>
      </c>
      <c r="AF2249">
        <v>-206.49</v>
      </c>
      <c r="AG2249">
        <v>-7.5</v>
      </c>
      <c r="AH2249">
        <v>-11.28</v>
      </c>
      <c r="AI2249">
        <v>0.01</v>
      </c>
      <c r="AJ2249">
        <v>-7.0000000000000007E-2</v>
      </c>
      <c r="AK2249">
        <v>74</v>
      </c>
      <c r="AL2249">
        <v>0</v>
      </c>
      <c r="AM2249">
        <v>0</v>
      </c>
      <c r="AN2249">
        <v>-4.41</v>
      </c>
      <c r="AO2249">
        <v>3.07</v>
      </c>
      <c r="AP2249">
        <v>6</v>
      </c>
      <c r="AQ2249">
        <v>0</v>
      </c>
      <c r="AR2249">
        <v>9.8000000000000007</v>
      </c>
      <c r="AS2249">
        <v>44</v>
      </c>
      <c r="AT2249">
        <v>2.85</v>
      </c>
      <c r="AU2249">
        <v>68</v>
      </c>
      <c r="AV2249">
        <v>-2.14</v>
      </c>
      <c r="AW2249">
        <v>57</v>
      </c>
      <c r="AX2249">
        <v>-0.37</v>
      </c>
      <c r="AY2249">
        <v>46</v>
      </c>
      <c r="AZ2249">
        <v>7.2</v>
      </c>
      <c r="BA2249">
        <v>37</v>
      </c>
      <c r="BB2249">
        <v>5.42</v>
      </c>
      <c r="BC2249">
        <v>38</v>
      </c>
      <c r="BD2249">
        <v>-0.02</v>
      </c>
      <c r="BE2249">
        <v>-0.03</v>
      </c>
      <c r="BF2249">
        <v>-0.1</v>
      </c>
      <c r="BG2249">
        <v>85</v>
      </c>
      <c r="BH2249">
        <v>-0.02</v>
      </c>
      <c r="BI2249">
        <v>-9.01</v>
      </c>
      <c r="BJ2249">
        <v>0</v>
      </c>
      <c r="BK2249">
        <v>0</v>
      </c>
      <c r="BL2249">
        <v>-2.82</v>
      </c>
      <c r="BM2249">
        <v>0.73</v>
      </c>
      <c r="BN2249">
        <v>-2.97</v>
      </c>
      <c r="BO2249">
        <v>-2.91</v>
      </c>
      <c r="BP2249">
        <v>1.52</v>
      </c>
      <c r="BQ2249">
        <v>-0.36</v>
      </c>
      <c r="BR2249">
        <v>-3.15</v>
      </c>
      <c r="BS2249">
        <v>1.02</v>
      </c>
      <c r="BT2249">
        <v>3.44</v>
      </c>
      <c r="BU2249">
        <v>1.48</v>
      </c>
      <c r="BV2249">
        <v>-1.34</v>
      </c>
      <c r="BW2249">
        <v>-0.79</v>
      </c>
      <c r="BX2249">
        <v>2.06</v>
      </c>
      <c r="BY2249">
        <v>0.82</v>
      </c>
      <c r="BZ2249">
        <v>-3.35</v>
      </c>
      <c r="CA2249">
        <v>-0.19</v>
      </c>
      <c r="CB2249">
        <v>-0.46</v>
      </c>
      <c r="CC2249">
        <v>0.39</v>
      </c>
      <c r="CD2249">
        <v>2.67</v>
      </c>
      <c r="CE2249">
        <v>-1.3</v>
      </c>
      <c r="CF2249">
        <v>-0.77</v>
      </c>
      <c r="CG2249">
        <v>0</v>
      </c>
      <c r="CH2249">
        <v>0.98</v>
      </c>
      <c r="CI2249">
        <v>0</v>
      </c>
      <c r="CJ2249">
        <v>-7.2</v>
      </c>
      <c r="CK2249">
        <v>43</v>
      </c>
      <c r="CL2249">
        <v>-0.3</v>
      </c>
      <c r="CM2249">
        <v>43</v>
      </c>
      <c r="CN2249">
        <v>0.12</v>
      </c>
      <c r="CO2249">
        <v>43</v>
      </c>
      <c r="CP2249">
        <v>-8.5</v>
      </c>
      <c r="CQ2249">
        <v>43</v>
      </c>
      <c r="CR2249">
        <v>0</v>
      </c>
      <c r="CS2249">
        <v>0</v>
      </c>
      <c r="CT2249">
        <v>-9.6999999999999993</v>
      </c>
      <c r="CU2249">
        <v>42</v>
      </c>
      <c r="CV2249">
        <v>-0.01</v>
      </c>
      <c r="CW2249">
        <v>34</v>
      </c>
      <c r="CX2249" t="s">
        <v>14020</v>
      </c>
    </row>
    <row r="2250" spans="1:102" x14ac:dyDescent="0.3">
      <c r="A2250" t="str">
        <f>HYPERLINK("https://webapp.icbf.com/v2/app/bull-search/view/355564554","WCI")</f>
        <v>WCI</v>
      </c>
      <c r="B2250" t="s">
        <v>5210</v>
      </c>
      <c r="C2250" t="s">
        <v>5211</v>
      </c>
      <c r="D2250" s="1">
        <v>37517</v>
      </c>
      <c r="E2250" t="s">
        <v>92</v>
      </c>
      <c r="F2250">
        <v>69</v>
      </c>
      <c r="G2250" t="s">
        <v>109</v>
      </c>
      <c r="H2250">
        <v>53.49</v>
      </c>
      <c r="I2250">
        <v>67</v>
      </c>
      <c r="J2250">
        <v>67.7</v>
      </c>
      <c r="K2250">
        <v>83</v>
      </c>
      <c r="L2250">
        <v>-43.39</v>
      </c>
      <c r="M2250">
        <v>63</v>
      </c>
      <c r="N2250">
        <v>19.09</v>
      </c>
      <c r="O2250">
        <v>54</v>
      </c>
      <c r="P2250">
        <v>-12.6</v>
      </c>
      <c r="Q2250">
        <v>69</v>
      </c>
      <c r="R2250">
        <v>-3.39</v>
      </c>
      <c r="S2250">
        <v>59</v>
      </c>
      <c r="T2250">
        <v>23.82</v>
      </c>
      <c r="U2250">
        <v>54</v>
      </c>
      <c r="V2250">
        <v>2.2599999999999998</v>
      </c>
      <c r="W2250">
        <v>38</v>
      </c>
      <c r="X2250" t="s">
        <v>94</v>
      </c>
      <c r="Y2250" t="s">
        <v>171</v>
      </c>
      <c r="Z2250" t="s">
        <v>528</v>
      </c>
      <c r="AA2250" t="s">
        <v>1436</v>
      </c>
      <c r="AB2250" t="s">
        <v>5212</v>
      </c>
      <c r="AC2250">
        <v>14</v>
      </c>
      <c r="AD2250">
        <v>12</v>
      </c>
      <c r="AE2250">
        <v>83</v>
      </c>
      <c r="AF2250">
        <v>110.43</v>
      </c>
      <c r="AG2250">
        <v>14.26</v>
      </c>
      <c r="AH2250">
        <v>8.16</v>
      </c>
      <c r="AI2250">
        <v>0.16</v>
      </c>
      <c r="AJ2250">
        <v>7.0000000000000007E-2</v>
      </c>
      <c r="AK2250">
        <v>63</v>
      </c>
      <c r="AL2250">
        <v>16</v>
      </c>
      <c r="AM2250">
        <v>14</v>
      </c>
      <c r="AN2250">
        <v>1.64</v>
      </c>
      <c r="AO2250">
        <v>-1.83</v>
      </c>
      <c r="AP2250">
        <v>17</v>
      </c>
      <c r="AQ2250">
        <v>0</v>
      </c>
      <c r="AR2250">
        <v>5.64</v>
      </c>
      <c r="AS2250">
        <v>29</v>
      </c>
      <c r="AT2250">
        <v>2.0699999999999998</v>
      </c>
      <c r="AU2250">
        <v>49</v>
      </c>
      <c r="AV2250">
        <v>-1.28</v>
      </c>
      <c r="AW2250">
        <v>74</v>
      </c>
      <c r="AX2250">
        <v>-0.33</v>
      </c>
      <c r="AY2250">
        <v>46</v>
      </c>
      <c r="AZ2250">
        <v>6.72</v>
      </c>
      <c r="BA2250">
        <v>30</v>
      </c>
      <c r="BB2250">
        <v>5.8</v>
      </c>
      <c r="BC2250">
        <v>33</v>
      </c>
      <c r="BD2250">
        <v>0</v>
      </c>
      <c r="BE2250">
        <v>0.02</v>
      </c>
      <c r="BF2250">
        <v>0.04</v>
      </c>
      <c r="BG2250">
        <v>77</v>
      </c>
      <c r="BH2250">
        <v>-0.01</v>
      </c>
      <c r="BI2250">
        <v>-8.4499999999999993</v>
      </c>
      <c r="BJ2250">
        <v>6</v>
      </c>
      <c r="BK2250">
        <v>4</v>
      </c>
      <c r="BL2250">
        <v>-0.38</v>
      </c>
      <c r="BM2250">
        <v>-1.55</v>
      </c>
      <c r="BN2250">
        <v>-1.8</v>
      </c>
      <c r="BO2250">
        <v>-0.67</v>
      </c>
      <c r="BP2250">
        <v>-0.56999999999999995</v>
      </c>
      <c r="BQ2250">
        <v>-2.39</v>
      </c>
      <c r="BR2250">
        <v>1.52</v>
      </c>
      <c r="BS2250">
        <v>-1.02</v>
      </c>
      <c r="BT2250">
        <v>0.15</v>
      </c>
      <c r="BU2250">
        <v>0.37</v>
      </c>
      <c r="BV2250">
        <v>-0.79</v>
      </c>
      <c r="BW2250">
        <v>-0.45</v>
      </c>
      <c r="BX2250">
        <v>-0.18</v>
      </c>
      <c r="BY2250">
        <v>0.2</v>
      </c>
      <c r="BZ2250">
        <v>-0.1</v>
      </c>
      <c r="CA2250">
        <v>-1.04</v>
      </c>
      <c r="CB2250">
        <v>-0.08</v>
      </c>
      <c r="CC2250">
        <v>-0.9</v>
      </c>
      <c r="CD2250">
        <v>-0.45</v>
      </c>
      <c r="CE2250">
        <v>-0.8</v>
      </c>
      <c r="CF2250">
        <v>-1.23</v>
      </c>
      <c r="CG2250">
        <v>0</v>
      </c>
      <c r="CH2250">
        <v>-0.28000000000000003</v>
      </c>
      <c r="CI2250">
        <v>0</v>
      </c>
      <c r="CJ2250">
        <v>-3.6</v>
      </c>
      <c r="CK2250">
        <v>71</v>
      </c>
      <c r="CL2250">
        <v>-0.59</v>
      </c>
      <c r="CM2250">
        <v>67</v>
      </c>
      <c r="CN2250">
        <v>-0.04</v>
      </c>
      <c r="CO2250">
        <v>63</v>
      </c>
      <c r="CP2250">
        <v>-13.4</v>
      </c>
      <c r="CQ2250">
        <v>66</v>
      </c>
      <c r="CR2250">
        <v>0</v>
      </c>
      <c r="CS2250">
        <v>0</v>
      </c>
      <c r="CT2250">
        <v>-18.399999999999999</v>
      </c>
      <c r="CU2250">
        <v>54</v>
      </c>
      <c r="CV2250">
        <v>0.16</v>
      </c>
      <c r="CW2250">
        <v>19</v>
      </c>
      <c r="CX2250" t="s">
        <v>5213</v>
      </c>
    </row>
    <row r="2251" spans="1:102" x14ac:dyDescent="0.3">
      <c r="A2251" t="str">
        <f>HYPERLINK("https://webapp.icbf.com/v2/app/bull-search/view/487000216","SDG")</f>
        <v>SDG</v>
      </c>
      <c r="B2251" t="s">
        <v>4840</v>
      </c>
      <c r="C2251" t="s">
        <v>4841</v>
      </c>
      <c r="D2251" s="1">
        <v>38566</v>
      </c>
      <c r="E2251" t="s">
        <v>92</v>
      </c>
      <c r="F2251">
        <v>75</v>
      </c>
      <c r="G2251" t="s">
        <v>93</v>
      </c>
      <c r="H2251">
        <v>53.46</v>
      </c>
      <c r="I2251">
        <v>90</v>
      </c>
      <c r="J2251">
        <v>80.239999999999995</v>
      </c>
      <c r="K2251">
        <v>96</v>
      </c>
      <c r="L2251">
        <v>-57.17</v>
      </c>
      <c r="M2251">
        <v>87</v>
      </c>
      <c r="N2251">
        <v>26.42</v>
      </c>
      <c r="O2251">
        <v>85</v>
      </c>
      <c r="P2251">
        <v>-16.23</v>
      </c>
      <c r="Q2251">
        <v>91</v>
      </c>
      <c r="R2251">
        <v>-6.68</v>
      </c>
      <c r="S2251">
        <v>82</v>
      </c>
      <c r="T2251">
        <v>15.38</v>
      </c>
      <c r="U2251">
        <v>87</v>
      </c>
      <c r="V2251">
        <v>11.5</v>
      </c>
      <c r="W2251">
        <v>82</v>
      </c>
      <c r="X2251" t="s">
        <v>276</v>
      </c>
      <c r="Y2251" t="s">
        <v>435</v>
      </c>
      <c r="Z2251" t="s">
        <v>330</v>
      </c>
      <c r="AA2251" t="s">
        <v>1662</v>
      </c>
      <c r="AB2251" t="s">
        <v>1397</v>
      </c>
      <c r="AC2251">
        <v>68</v>
      </c>
      <c r="AD2251">
        <v>35</v>
      </c>
      <c r="AE2251">
        <v>96</v>
      </c>
      <c r="AF2251">
        <v>279.16000000000003</v>
      </c>
      <c r="AG2251">
        <v>10.119999999999999</v>
      </c>
      <c r="AH2251">
        <v>14.34</v>
      </c>
      <c r="AI2251">
        <v>-0.01</v>
      </c>
      <c r="AJ2251">
        <v>0.08</v>
      </c>
      <c r="AK2251">
        <v>87</v>
      </c>
      <c r="AL2251">
        <v>98</v>
      </c>
      <c r="AM2251">
        <v>42</v>
      </c>
      <c r="AN2251">
        <v>3.03</v>
      </c>
      <c r="AO2251">
        <v>-1.53</v>
      </c>
      <c r="AP2251">
        <v>197</v>
      </c>
      <c r="AQ2251">
        <v>4</v>
      </c>
      <c r="AR2251">
        <v>7.45</v>
      </c>
      <c r="AS2251">
        <v>69</v>
      </c>
      <c r="AT2251">
        <v>2.66</v>
      </c>
      <c r="AU2251">
        <v>88</v>
      </c>
      <c r="AV2251">
        <v>-2.4900000000000002</v>
      </c>
      <c r="AW2251">
        <v>96</v>
      </c>
      <c r="AX2251">
        <v>-0.16</v>
      </c>
      <c r="AY2251">
        <v>83</v>
      </c>
      <c r="AZ2251">
        <v>6.14</v>
      </c>
      <c r="BA2251">
        <v>64</v>
      </c>
      <c r="BB2251">
        <v>4.7</v>
      </c>
      <c r="BC2251">
        <v>64</v>
      </c>
      <c r="BD2251">
        <v>-0.02</v>
      </c>
      <c r="BE2251">
        <v>0.03</v>
      </c>
      <c r="BF2251">
        <v>0.13</v>
      </c>
      <c r="BG2251">
        <v>91</v>
      </c>
      <c r="BH2251">
        <v>0.19</v>
      </c>
      <c r="BI2251">
        <v>-15.12</v>
      </c>
      <c r="BJ2251">
        <v>2</v>
      </c>
      <c r="BK2251">
        <v>2</v>
      </c>
      <c r="BL2251">
        <v>-0.92</v>
      </c>
      <c r="BM2251">
        <v>0.94</v>
      </c>
      <c r="BN2251">
        <v>0.63</v>
      </c>
      <c r="BO2251">
        <v>-0.01</v>
      </c>
      <c r="BP2251">
        <v>-2.2400000000000002</v>
      </c>
      <c r="BQ2251">
        <v>0.51</v>
      </c>
      <c r="BR2251">
        <v>2.1800000000000002</v>
      </c>
      <c r="BS2251">
        <v>-1.51</v>
      </c>
      <c r="BT2251">
        <v>-2.48</v>
      </c>
      <c r="BU2251">
        <v>0.64</v>
      </c>
      <c r="BV2251">
        <v>0.19</v>
      </c>
      <c r="BW2251">
        <v>-0.49</v>
      </c>
      <c r="BX2251">
        <v>-1.26</v>
      </c>
      <c r="BY2251">
        <v>0.91</v>
      </c>
      <c r="BZ2251">
        <v>-1.33</v>
      </c>
      <c r="CA2251">
        <v>0.09</v>
      </c>
      <c r="CB2251">
        <v>0.56000000000000005</v>
      </c>
      <c r="CC2251">
        <v>-1.89</v>
      </c>
      <c r="CD2251">
        <v>0.16</v>
      </c>
      <c r="CE2251">
        <v>-0.21</v>
      </c>
      <c r="CF2251">
        <v>-1.2</v>
      </c>
      <c r="CG2251">
        <v>0</v>
      </c>
      <c r="CH2251">
        <v>0.6</v>
      </c>
      <c r="CI2251">
        <v>0</v>
      </c>
      <c r="CJ2251">
        <v>-6.2</v>
      </c>
      <c r="CK2251">
        <v>92</v>
      </c>
      <c r="CL2251">
        <v>-0.77</v>
      </c>
      <c r="CM2251">
        <v>90</v>
      </c>
      <c r="CN2251">
        <v>-0.21</v>
      </c>
      <c r="CO2251">
        <v>89</v>
      </c>
      <c r="CP2251">
        <v>-14.6</v>
      </c>
      <c r="CQ2251">
        <v>87</v>
      </c>
      <c r="CR2251">
        <v>0</v>
      </c>
      <c r="CS2251">
        <v>0</v>
      </c>
      <c r="CT2251">
        <v>-7</v>
      </c>
      <c r="CU2251">
        <v>87</v>
      </c>
      <c r="CV2251">
        <v>0.13</v>
      </c>
      <c r="CW2251">
        <v>44</v>
      </c>
      <c r="CX2251" t="s">
        <v>792</v>
      </c>
    </row>
    <row r="2252" spans="1:102" x14ac:dyDescent="0.3">
      <c r="A2252" t="str">
        <f>HYPERLINK("https://webapp.icbf.com/v2/app/bull-search/view/77853436","SRH")</f>
        <v>SRH</v>
      </c>
      <c r="B2252" t="s">
        <v>10347</v>
      </c>
      <c r="C2252" t="s">
        <v>596</v>
      </c>
      <c r="D2252" s="1">
        <v>33436</v>
      </c>
      <c r="E2252" t="s">
        <v>92</v>
      </c>
      <c r="F2252">
        <v>100</v>
      </c>
      <c r="G2252" t="s">
        <v>93</v>
      </c>
      <c r="H2252">
        <v>53.41</v>
      </c>
      <c r="I2252">
        <v>98</v>
      </c>
      <c r="J2252">
        <v>-31.58</v>
      </c>
      <c r="K2252">
        <v>99</v>
      </c>
      <c r="L2252">
        <v>31.19</v>
      </c>
      <c r="M2252">
        <v>97</v>
      </c>
      <c r="N2252">
        <v>37.35</v>
      </c>
      <c r="O2252">
        <v>99</v>
      </c>
      <c r="P2252">
        <v>-5.14</v>
      </c>
      <c r="Q2252">
        <v>99</v>
      </c>
      <c r="R2252">
        <v>4.2</v>
      </c>
      <c r="S2252">
        <v>97</v>
      </c>
      <c r="T2252">
        <v>14.49</v>
      </c>
      <c r="U2252">
        <v>99</v>
      </c>
      <c r="V2252">
        <v>2.9</v>
      </c>
      <c r="W2252">
        <v>96</v>
      </c>
      <c r="X2252" t="s">
        <v>131</v>
      </c>
      <c r="Y2252" t="s">
        <v>95</v>
      </c>
      <c r="Z2252" t="s">
        <v>96</v>
      </c>
      <c r="AA2252" t="s">
        <v>132</v>
      </c>
      <c r="AB2252" t="s">
        <v>10348</v>
      </c>
      <c r="AC2252">
        <v>1314</v>
      </c>
      <c r="AD2252">
        <v>492</v>
      </c>
      <c r="AE2252">
        <v>99</v>
      </c>
      <c r="AF2252">
        <v>133.29</v>
      </c>
      <c r="AG2252">
        <v>-4.3</v>
      </c>
      <c r="AH2252">
        <v>-1.81</v>
      </c>
      <c r="AI2252">
        <v>-0.16</v>
      </c>
      <c r="AJ2252">
        <v>-0.11</v>
      </c>
      <c r="AK2252">
        <v>97</v>
      </c>
      <c r="AL2252">
        <v>1244</v>
      </c>
      <c r="AM2252">
        <v>407</v>
      </c>
      <c r="AN2252">
        <v>-2.2999999999999998</v>
      </c>
      <c r="AO2252">
        <v>0.18</v>
      </c>
      <c r="AP2252">
        <v>857</v>
      </c>
      <c r="AQ2252">
        <v>0</v>
      </c>
      <c r="AR2252">
        <v>4.41</v>
      </c>
      <c r="AS2252">
        <v>98</v>
      </c>
      <c r="AT2252">
        <v>1.71</v>
      </c>
      <c r="AU2252">
        <v>99</v>
      </c>
      <c r="AV2252">
        <v>-2.86</v>
      </c>
      <c r="AW2252">
        <v>99</v>
      </c>
      <c r="AX2252">
        <v>-0.34</v>
      </c>
      <c r="AY2252">
        <v>98</v>
      </c>
      <c r="AZ2252">
        <v>6.31</v>
      </c>
      <c r="BA2252">
        <v>96</v>
      </c>
      <c r="BB2252">
        <v>5.7</v>
      </c>
      <c r="BC2252">
        <v>97</v>
      </c>
      <c r="BD2252">
        <v>-0.01</v>
      </c>
      <c r="BE2252">
        <v>0</v>
      </c>
      <c r="BF2252">
        <v>-0.08</v>
      </c>
      <c r="BG2252">
        <v>99</v>
      </c>
      <c r="BH2252">
        <v>0.01</v>
      </c>
      <c r="BI2252">
        <v>-8.2100000000000009</v>
      </c>
      <c r="BJ2252">
        <v>468</v>
      </c>
      <c r="BK2252">
        <v>155</v>
      </c>
      <c r="BL2252">
        <v>1.07</v>
      </c>
      <c r="BM2252">
        <v>-2.02</v>
      </c>
      <c r="BN2252">
        <v>-0.7</v>
      </c>
      <c r="BO2252">
        <v>0.69</v>
      </c>
      <c r="BP2252">
        <v>0.06</v>
      </c>
      <c r="BQ2252">
        <v>-1.22</v>
      </c>
      <c r="BR2252">
        <v>2.5499999999999998</v>
      </c>
      <c r="BS2252">
        <v>-1.4</v>
      </c>
      <c r="BT2252">
        <v>-2.56</v>
      </c>
      <c r="BU2252">
        <v>0.8</v>
      </c>
      <c r="BV2252">
        <v>0.43</v>
      </c>
      <c r="BW2252">
        <v>-0.55000000000000004</v>
      </c>
      <c r="BX2252">
        <v>1.42</v>
      </c>
      <c r="BY2252">
        <v>-0.22</v>
      </c>
      <c r="BZ2252">
        <v>0.52</v>
      </c>
      <c r="CA2252">
        <v>0.02</v>
      </c>
      <c r="CB2252">
        <v>0.45</v>
      </c>
      <c r="CC2252">
        <v>-0.67</v>
      </c>
      <c r="CD2252">
        <v>-1.01</v>
      </c>
      <c r="CE2252">
        <v>0.57999999999999996</v>
      </c>
      <c r="CF2252">
        <v>0.32</v>
      </c>
      <c r="CG2252">
        <v>0</v>
      </c>
      <c r="CH2252">
        <v>-0.28000000000000003</v>
      </c>
      <c r="CI2252">
        <v>0</v>
      </c>
      <c r="CJ2252">
        <v>0.9</v>
      </c>
      <c r="CK2252">
        <v>99</v>
      </c>
      <c r="CL2252">
        <v>-1.02</v>
      </c>
      <c r="CM2252">
        <v>99</v>
      </c>
      <c r="CN2252">
        <v>-0.41</v>
      </c>
      <c r="CO2252">
        <v>99</v>
      </c>
      <c r="CP2252">
        <v>-4.4000000000000004</v>
      </c>
      <c r="CQ2252">
        <v>99</v>
      </c>
      <c r="CR2252">
        <v>0</v>
      </c>
      <c r="CS2252">
        <v>0</v>
      </c>
      <c r="CT2252">
        <v>-5.8</v>
      </c>
      <c r="CU2252">
        <v>99</v>
      </c>
      <c r="CV2252">
        <v>0.19</v>
      </c>
      <c r="CW2252">
        <v>47</v>
      </c>
      <c r="CX2252" t="s">
        <v>4347</v>
      </c>
    </row>
    <row r="2253" spans="1:102" x14ac:dyDescent="0.3">
      <c r="A2253" t="str">
        <f>HYPERLINK("https://webapp.icbf.com/v2/app/bull-search/view/586060047","S846")</f>
        <v>S846</v>
      </c>
      <c r="B2253" t="s">
        <v>9044</v>
      </c>
      <c r="C2253" t="s">
        <v>9045</v>
      </c>
      <c r="D2253" s="1">
        <v>38243</v>
      </c>
      <c r="E2253" t="s">
        <v>92</v>
      </c>
      <c r="F2253">
        <v>100</v>
      </c>
      <c r="G2253" t="s">
        <v>109</v>
      </c>
      <c r="H2253">
        <v>53.4</v>
      </c>
      <c r="I2253">
        <v>84</v>
      </c>
      <c r="J2253">
        <v>5.95</v>
      </c>
      <c r="K2253">
        <v>94</v>
      </c>
      <c r="L2253">
        <v>26.11</v>
      </c>
      <c r="M2253">
        <v>82</v>
      </c>
      <c r="N2253">
        <v>18.13</v>
      </c>
      <c r="O2253">
        <v>80</v>
      </c>
      <c r="P2253">
        <v>-5.72</v>
      </c>
      <c r="Q2253">
        <v>82</v>
      </c>
      <c r="R2253">
        <v>3.15</v>
      </c>
      <c r="S2253">
        <v>74</v>
      </c>
      <c r="T2253">
        <v>5.0199999999999996</v>
      </c>
      <c r="U2253">
        <v>74</v>
      </c>
      <c r="V2253">
        <v>0.76</v>
      </c>
      <c r="W2253">
        <v>63</v>
      </c>
      <c r="X2253" t="s">
        <v>102</v>
      </c>
      <c r="Y2253" t="s">
        <v>303</v>
      </c>
      <c r="Z2253" t="s">
        <v>96</v>
      </c>
      <c r="AA2253" t="s">
        <v>2479</v>
      </c>
      <c r="AB2253" t="s">
        <v>9046</v>
      </c>
      <c r="AC2253">
        <v>0</v>
      </c>
      <c r="AD2253">
        <v>0</v>
      </c>
      <c r="AE2253">
        <v>94</v>
      </c>
      <c r="AF2253">
        <v>281.63</v>
      </c>
      <c r="AG2253">
        <v>-0.05</v>
      </c>
      <c r="AH2253">
        <v>5.34</v>
      </c>
      <c r="AI2253">
        <v>-0.18</v>
      </c>
      <c r="AJ2253">
        <v>-7.0000000000000007E-2</v>
      </c>
      <c r="AK2253">
        <v>82</v>
      </c>
      <c r="AL2253">
        <v>0</v>
      </c>
      <c r="AM2253">
        <v>0</v>
      </c>
      <c r="AN2253">
        <v>-0.81</v>
      </c>
      <c r="AO2253">
        <v>1.28</v>
      </c>
      <c r="AP2253">
        <v>112</v>
      </c>
      <c r="AQ2253">
        <v>0</v>
      </c>
      <c r="AR2253">
        <v>6.16</v>
      </c>
      <c r="AS2253">
        <v>76</v>
      </c>
      <c r="AT2253">
        <v>2.4500000000000002</v>
      </c>
      <c r="AU2253">
        <v>88</v>
      </c>
      <c r="AV2253">
        <v>-1.52</v>
      </c>
      <c r="AW2253">
        <v>89</v>
      </c>
      <c r="AX2253">
        <v>-0.2</v>
      </c>
      <c r="AY2253">
        <v>70</v>
      </c>
      <c r="AZ2253">
        <v>6.88</v>
      </c>
      <c r="BA2253">
        <v>54</v>
      </c>
      <c r="BB2253">
        <v>5.53</v>
      </c>
      <c r="BC2253">
        <v>51</v>
      </c>
      <c r="BD2253">
        <v>0.01</v>
      </c>
      <c r="BE2253">
        <v>-0.01</v>
      </c>
      <c r="BF2253">
        <v>-7.0000000000000007E-2</v>
      </c>
      <c r="BG2253">
        <v>88</v>
      </c>
      <c r="BH2253">
        <v>0.02</v>
      </c>
      <c r="BI2253">
        <v>-0.15</v>
      </c>
      <c r="BJ2253">
        <v>18</v>
      </c>
      <c r="BK2253">
        <v>12</v>
      </c>
      <c r="BL2253">
        <v>0.18</v>
      </c>
      <c r="BM2253">
        <v>0.34</v>
      </c>
      <c r="BN2253">
        <v>0.59</v>
      </c>
      <c r="BO2253">
        <v>0.33</v>
      </c>
      <c r="BP2253">
        <v>0.39</v>
      </c>
      <c r="BQ2253">
        <v>1.6</v>
      </c>
      <c r="BR2253">
        <v>-0.46</v>
      </c>
      <c r="BS2253">
        <v>-0.42</v>
      </c>
      <c r="BT2253">
        <v>1.08</v>
      </c>
      <c r="BU2253">
        <v>2.95</v>
      </c>
      <c r="BV2253">
        <v>1.72</v>
      </c>
      <c r="BW2253">
        <v>0.97</v>
      </c>
      <c r="BX2253">
        <v>2.31</v>
      </c>
      <c r="BY2253">
        <v>2.56</v>
      </c>
      <c r="BZ2253">
        <v>-1.01</v>
      </c>
      <c r="CA2253">
        <v>1.28</v>
      </c>
      <c r="CB2253">
        <v>1.72</v>
      </c>
      <c r="CC2253">
        <v>-0.53</v>
      </c>
      <c r="CD2253">
        <v>0.14000000000000001</v>
      </c>
      <c r="CE2253">
        <v>0.35</v>
      </c>
      <c r="CF2253">
        <v>0.56999999999999995</v>
      </c>
      <c r="CG2253">
        <v>0</v>
      </c>
      <c r="CH2253">
        <v>2.54</v>
      </c>
      <c r="CI2253">
        <v>0</v>
      </c>
      <c r="CJ2253">
        <v>-1.6</v>
      </c>
      <c r="CK2253">
        <v>84</v>
      </c>
      <c r="CL2253">
        <v>-0.77</v>
      </c>
      <c r="CM2253">
        <v>80</v>
      </c>
      <c r="CN2253">
        <v>-0.37</v>
      </c>
      <c r="CO2253">
        <v>77</v>
      </c>
      <c r="CP2253">
        <v>0.7</v>
      </c>
      <c r="CQ2253">
        <v>77</v>
      </c>
      <c r="CR2253">
        <v>0</v>
      </c>
      <c r="CS2253">
        <v>0</v>
      </c>
      <c r="CT2253">
        <v>7</v>
      </c>
      <c r="CU2253">
        <v>74</v>
      </c>
      <c r="CV2253">
        <v>0.14000000000000001</v>
      </c>
      <c r="CW2253">
        <v>43</v>
      </c>
      <c r="CX2253" t="s">
        <v>216</v>
      </c>
    </row>
    <row r="2254" spans="1:102" x14ac:dyDescent="0.3">
      <c r="A2254" t="str">
        <f>HYPERLINK("https://webapp.icbf.com/v2/app/bull-search/view/448302305","WTU")</f>
        <v>WTU</v>
      </c>
      <c r="B2254" t="s">
        <v>11972</v>
      </c>
      <c r="C2254" t="s">
        <v>11973</v>
      </c>
      <c r="D2254" s="1">
        <v>38231</v>
      </c>
      <c r="E2254" t="s">
        <v>92</v>
      </c>
      <c r="F2254">
        <v>50</v>
      </c>
      <c r="G2254" t="s">
        <v>93</v>
      </c>
      <c r="H2254">
        <v>53.38</v>
      </c>
      <c r="I2254">
        <v>75</v>
      </c>
      <c r="J2254">
        <v>10</v>
      </c>
      <c r="K2254">
        <v>91</v>
      </c>
      <c r="L2254">
        <v>28.96</v>
      </c>
      <c r="M2254">
        <v>58</v>
      </c>
      <c r="N2254">
        <v>12.86</v>
      </c>
      <c r="O2254">
        <v>73</v>
      </c>
      <c r="P2254">
        <v>-27.19</v>
      </c>
      <c r="Q2254">
        <v>82</v>
      </c>
      <c r="R2254">
        <v>4.12</v>
      </c>
      <c r="S2254">
        <v>66</v>
      </c>
      <c r="T2254">
        <v>25.52</v>
      </c>
      <c r="U2254">
        <v>79</v>
      </c>
      <c r="V2254">
        <v>-0.89</v>
      </c>
      <c r="W2254">
        <v>68</v>
      </c>
      <c r="X2254" t="s">
        <v>251</v>
      </c>
      <c r="Y2254" t="s">
        <v>282</v>
      </c>
      <c r="Z2254" t="s">
        <v>96</v>
      </c>
      <c r="AA2254" t="s">
        <v>847</v>
      </c>
      <c r="AB2254" t="s">
        <v>11974</v>
      </c>
      <c r="AC2254">
        <v>41</v>
      </c>
      <c r="AD2254">
        <v>29</v>
      </c>
      <c r="AE2254">
        <v>91</v>
      </c>
      <c r="AF2254">
        <v>-53.39</v>
      </c>
      <c r="AG2254">
        <v>6.2</v>
      </c>
      <c r="AH2254">
        <v>-1.31</v>
      </c>
      <c r="AI2254">
        <v>0.14000000000000001</v>
      </c>
      <c r="AJ2254">
        <v>0.01</v>
      </c>
      <c r="AK2254">
        <v>58</v>
      </c>
      <c r="AL2254">
        <v>41</v>
      </c>
      <c r="AM2254">
        <v>28</v>
      </c>
      <c r="AN2254">
        <v>-2.29</v>
      </c>
      <c r="AO2254">
        <v>0.01</v>
      </c>
      <c r="AP2254">
        <v>76</v>
      </c>
      <c r="AQ2254">
        <v>0</v>
      </c>
      <c r="AR2254">
        <v>7.26</v>
      </c>
      <c r="AS2254">
        <v>49</v>
      </c>
      <c r="AT2254">
        <v>2.9</v>
      </c>
      <c r="AU2254">
        <v>72</v>
      </c>
      <c r="AV2254">
        <v>-1.34</v>
      </c>
      <c r="AW2254">
        <v>88</v>
      </c>
      <c r="AX2254">
        <v>-1.03</v>
      </c>
      <c r="AY2254">
        <v>66</v>
      </c>
      <c r="AZ2254">
        <v>7.04</v>
      </c>
      <c r="BA2254">
        <v>49</v>
      </c>
      <c r="BB2254">
        <v>5.45</v>
      </c>
      <c r="BC2254">
        <v>53</v>
      </c>
      <c r="BD2254">
        <v>0.02</v>
      </c>
      <c r="BE2254">
        <v>-0.02</v>
      </c>
      <c r="BF2254">
        <v>-0.09</v>
      </c>
      <c r="BG2254">
        <v>72</v>
      </c>
      <c r="BH2254">
        <v>7.0000000000000007E-2</v>
      </c>
      <c r="BI2254">
        <v>10.98</v>
      </c>
      <c r="BJ2254">
        <v>4</v>
      </c>
      <c r="BK2254">
        <v>3</v>
      </c>
      <c r="BL2254">
        <v>-1.55</v>
      </c>
      <c r="BM2254">
        <v>-0.02</v>
      </c>
      <c r="BN2254">
        <v>-1.03</v>
      </c>
      <c r="BO2254">
        <v>-0.72</v>
      </c>
      <c r="BP2254">
        <v>0.56999999999999995</v>
      </c>
      <c r="BQ2254">
        <v>0.53</v>
      </c>
      <c r="BR2254">
        <v>-0.97</v>
      </c>
      <c r="BS2254">
        <v>0.12</v>
      </c>
      <c r="BT2254">
        <v>-0.11</v>
      </c>
      <c r="BU2254">
        <v>-1.1599999999999999</v>
      </c>
      <c r="BV2254">
        <v>-0.25</v>
      </c>
      <c r="BW2254">
        <v>-0.12</v>
      </c>
      <c r="BX2254">
        <v>-1.1599999999999999</v>
      </c>
      <c r="BY2254">
        <v>-0.49</v>
      </c>
      <c r="BZ2254">
        <v>0.3</v>
      </c>
      <c r="CA2254">
        <v>-0.18</v>
      </c>
      <c r="CB2254">
        <v>-0.5</v>
      </c>
      <c r="CC2254">
        <v>0.61</v>
      </c>
      <c r="CD2254">
        <v>0.92</v>
      </c>
      <c r="CE2254">
        <v>-0.89</v>
      </c>
      <c r="CF2254">
        <v>-0.51</v>
      </c>
      <c r="CG2254">
        <v>0</v>
      </c>
      <c r="CH2254">
        <v>-0.62</v>
      </c>
      <c r="CI2254">
        <v>0</v>
      </c>
      <c r="CJ2254">
        <v>-15.6</v>
      </c>
      <c r="CK2254">
        <v>84</v>
      </c>
      <c r="CL2254">
        <v>-0.65</v>
      </c>
      <c r="CM2254">
        <v>81</v>
      </c>
      <c r="CN2254">
        <v>-0.39</v>
      </c>
      <c r="CO2254">
        <v>79</v>
      </c>
      <c r="CP2254">
        <v>-23.5</v>
      </c>
      <c r="CQ2254">
        <v>81</v>
      </c>
      <c r="CR2254">
        <v>0</v>
      </c>
      <c r="CS2254">
        <v>0</v>
      </c>
      <c r="CT2254">
        <v>-20.7</v>
      </c>
      <c r="CU2254">
        <v>79</v>
      </c>
      <c r="CV2254">
        <v>-0.09</v>
      </c>
      <c r="CW2254">
        <v>24</v>
      </c>
      <c r="CX2254" t="s">
        <v>218</v>
      </c>
    </row>
    <row r="2255" spans="1:102" x14ac:dyDescent="0.3">
      <c r="A2255" t="str">
        <f>HYPERLINK("https://webapp.icbf.com/v2/app/bull-search/view/660040328","S1028")</f>
        <v>S1028</v>
      </c>
      <c r="B2255" t="s">
        <v>15272</v>
      </c>
      <c r="C2255" t="s">
        <v>15273</v>
      </c>
      <c r="D2255" s="1">
        <v>38582</v>
      </c>
      <c r="E2255" t="s">
        <v>92</v>
      </c>
      <c r="F2255">
        <v>100</v>
      </c>
      <c r="G2255" t="s">
        <v>93</v>
      </c>
      <c r="H2255">
        <v>53.38</v>
      </c>
      <c r="I2255">
        <v>89</v>
      </c>
      <c r="J2255">
        <v>69.61</v>
      </c>
      <c r="K2255">
        <v>98</v>
      </c>
      <c r="L2255">
        <v>-47.27</v>
      </c>
      <c r="M2255">
        <v>88</v>
      </c>
      <c r="N2255">
        <v>23.55</v>
      </c>
      <c r="O2255">
        <v>88</v>
      </c>
      <c r="P2255">
        <v>-13.33</v>
      </c>
      <c r="Q2255">
        <v>92</v>
      </c>
      <c r="R2255">
        <v>4.78</v>
      </c>
      <c r="S2255">
        <v>81</v>
      </c>
      <c r="T2255">
        <v>11.31</v>
      </c>
      <c r="U2255">
        <v>67</v>
      </c>
      <c r="V2255">
        <v>4.7300000000000004</v>
      </c>
      <c r="W2255">
        <v>73</v>
      </c>
      <c r="X2255" t="s">
        <v>102</v>
      </c>
      <c r="Y2255" t="s">
        <v>336</v>
      </c>
      <c r="Z2255" t="s">
        <v>96</v>
      </c>
      <c r="AA2255" t="s">
        <v>476</v>
      </c>
      <c r="AB2255" t="s">
        <v>15274</v>
      </c>
      <c r="AC2255">
        <v>154</v>
      </c>
      <c r="AD2255">
        <v>46</v>
      </c>
      <c r="AE2255">
        <v>98</v>
      </c>
      <c r="AF2255">
        <v>591.09</v>
      </c>
      <c r="AG2255">
        <v>10.42</v>
      </c>
      <c r="AH2255">
        <v>17.2</v>
      </c>
      <c r="AI2255">
        <v>-0.2</v>
      </c>
      <c r="AJ2255">
        <v>-0.05</v>
      </c>
      <c r="AK2255">
        <v>88</v>
      </c>
      <c r="AL2255">
        <v>117</v>
      </c>
      <c r="AM2255">
        <v>32</v>
      </c>
      <c r="AN2255">
        <v>4.1399999999999997</v>
      </c>
      <c r="AO2255">
        <v>0.39</v>
      </c>
      <c r="AP2255">
        <v>364</v>
      </c>
      <c r="AQ2255">
        <v>5</v>
      </c>
      <c r="AR2255">
        <v>6.93</v>
      </c>
      <c r="AS2255">
        <v>87</v>
      </c>
      <c r="AT2255">
        <v>2.96</v>
      </c>
      <c r="AU2255">
        <v>92</v>
      </c>
      <c r="AV2255">
        <v>-2.83</v>
      </c>
      <c r="AW2255">
        <v>96</v>
      </c>
      <c r="AX2255">
        <v>0.53</v>
      </c>
      <c r="AY2255">
        <v>87</v>
      </c>
      <c r="AZ2255">
        <v>6.9</v>
      </c>
      <c r="BA2255">
        <v>70</v>
      </c>
      <c r="BB2255">
        <v>5.01</v>
      </c>
      <c r="BC2255">
        <v>60</v>
      </c>
      <c r="BD2255">
        <v>0</v>
      </c>
      <c r="BE2255">
        <v>0</v>
      </c>
      <c r="BF2255">
        <v>-0.11</v>
      </c>
      <c r="BG2255">
        <v>94</v>
      </c>
      <c r="BH2255">
        <v>0.08</v>
      </c>
      <c r="BI2255">
        <v>-5.99</v>
      </c>
      <c r="BJ2255">
        <v>45</v>
      </c>
      <c r="BK2255">
        <v>15</v>
      </c>
      <c r="BL2255">
        <v>0.56999999999999995</v>
      </c>
      <c r="BM2255">
        <v>0.52</v>
      </c>
      <c r="BN2255">
        <v>1.05</v>
      </c>
      <c r="BO2255">
        <v>0.87</v>
      </c>
      <c r="BP2255">
        <v>-1.99</v>
      </c>
      <c r="BQ2255">
        <v>0.03</v>
      </c>
      <c r="BR2255">
        <v>-0.79</v>
      </c>
      <c r="BS2255">
        <v>3.08</v>
      </c>
      <c r="BT2255">
        <v>1.89</v>
      </c>
      <c r="BU2255">
        <v>0.25</v>
      </c>
      <c r="BV2255">
        <v>0.86</v>
      </c>
      <c r="BW2255">
        <v>1.5</v>
      </c>
      <c r="BX2255">
        <v>0.15</v>
      </c>
      <c r="BY2255">
        <v>0.11</v>
      </c>
      <c r="BZ2255">
        <v>-0.48</v>
      </c>
      <c r="CA2255">
        <v>1.44</v>
      </c>
      <c r="CB2255">
        <v>0.82</v>
      </c>
      <c r="CC2255">
        <v>2.27</v>
      </c>
      <c r="CD2255">
        <v>0.24</v>
      </c>
      <c r="CE2255">
        <v>1.4</v>
      </c>
      <c r="CF2255">
        <v>0.62</v>
      </c>
      <c r="CG2255">
        <v>0</v>
      </c>
      <c r="CH2255">
        <v>-0.35</v>
      </c>
      <c r="CI2255">
        <v>0</v>
      </c>
      <c r="CJ2255">
        <v>-4.2</v>
      </c>
      <c r="CK2255">
        <v>94</v>
      </c>
      <c r="CL2255">
        <v>-1.1100000000000001</v>
      </c>
      <c r="CM2255">
        <v>93</v>
      </c>
      <c r="CN2255">
        <v>-0.38</v>
      </c>
      <c r="CO2255">
        <v>92</v>
      </c>
      <c r="CP2255">
        <v>-3.5</v>
      </c>
      <c r="CQ2255">
        <v>80</v>
      </c>
      <c r="CR2255">
        <v>0</v>
      </c>
      <c r="CS2255">
        <v>0</v>
      </c>
      <c r="CT2255">
        <v>-1.5</v>
      </c>
      <c r="CU2255">
        <v>67</v>
      </c>
      <c r="CV2255">
        <v>0.23</v>
      </c>
      <c r="CW2255">
        <v>45</v>
      </c>
      <c r="CX2255" t="s">
        <v>273</v>
      </c>
    </row>
    <row r="2256" spans="1:102" x14ac:dyDescent="0.3">
      <c r="A2256" t="str">
        <f>HYPERLINK("https://webapp.icbf.com/v2/app/bull-search/view/552734294","KUN")</f>
        <v>KUN</v>
      </c>
      <c r="B2256" t="s">
        <v>12310</v>
      </c>
      <c r="C2256" t="s">
        <v>12311</v>
      </c>
      <c r="D2256" s="1">
        <v>39473</v>
      </c>
      <c r="E2256" t="s">
        <v>92</v>
      </c>
      <c r="F2256">
        <v>94</v>
      </c>
      <c r="G2256" t="s">
        <v>93</v>
      </c>
      <c r="H2256">
        <v>53.27</v>
      </c>
      <c r="I2256">
        <v>88</v>
      </c>
      <c r="J2256">
        <v>74.56</v>
      </c>
      <c r="K2256">
        <v>97</v>
      </c>
      <c r="L2256">
        <v>-49.2</v>
      </c>
      <c r="M2256">
        <v>79</v>
      </c>
      <c r="N2256">
        <v>31.55</v>
      </c>
      <c r="O2256">
        <v>87</v>
      </c>
      <c r="P2256">
        <v>-14.35</v>
      </c>
      <c r="Q2256">
        <v>91</v>
      </c>
      <c r="R2256">
        <v>0.14000000000000001</v>
      </c>
      <c r="S2256">
        <v>82</v>
      </c>
      <c r="T2256">
        <v>19.89</v>
      </c>
      <c r="U2256">
        <v>90</v>
      </c>
      <c r="V2256">
        <v>-9.32</v>
      </c>
      <c r="W2256">
        <v>82</v>
      </c>
      <c r="X2256" t="s">
        <v>94</v>
      </c>
      <c r="Y2256" t="s">
        <v>1113</v>
      </c>
      <c r="Z2256" t="s">
        <v>96</v>
      </c>
      <c r="AA2256" t="s">
        <v>1252</v>
      </c>
      <c r="AB2256" t="s">
        <v>12312</v>
      </c>
      <c r="AC2256">
        <v>96</v>
      </c>
      <c r="AD2256">
        <v>72</v>
      </c>
      <c r="AE2256">
        <v>97</v>
      </c>
      <c r="AF2256">
        <v>3.4</v>
      </c>
      <c r="AG2256">
        <v>11.91</v>
      </c>
      <c r="AH2256">
        <v>8.52</v>
      </c>
      <c r="AI2256">
        <v>0.21</v>
      </c>
      <c r="AJ2256">
        <v>0.15</v>
      </c>
      <c r="AK2256">
        <v>79</v>
      </c>
      <c r="AL2256">
        <v>91</v>
      </c>
      <c r="AM2256">
        <v>71</v>
      </c>
      <c r="AN2256">
        <v>1.41</v>
      </c>
      <c r="AO2256">
        <v>-2.5299999999999998</v>
      </c>
      <c r="AP2256">
        <v>256</v>
      </c>
      <c r="AQ2256">
        <v>2</v>
      </c>
      <c r="AR2256">
        <v>4.9800000000000004</v>
      </c>
      <c r="AS2256">
        <v>71</v>
      </c>
      <c r="AT2256">
        <v>2.5</v>
      </c>
      <c r="AU2256">
        <v>89</v>
      </c>
      <c r="AV2256">
        <v>-2.0699999999999998</v>
      </c>
      <c r="AW2256">
        <v>97</v>
      </c>
      <c r="AX2256">
        <v>-0.19</v>
      </c>
      <c r="AY2256">
        <v>82</v>
      </c>
      <c r="AZ2256">
        <v>5.41</v>
      </c>
      <c r="BA2256">
        <v>66</v>
      </c>
      <c r="BB2256">
        <v>4.57</v>
      </c>
      <c r="BC2256">
        <v>68</v>
      </c>
      <c r="BD2256">
        <v>-0.05</v>
      </c>
      <c r="BE2256">
        <v>0</v>
      </c>
      <c r="BF2256">
        <v>0.08</v>
      </c>
      <c r="BG2256">
        <v>88</v>
      </c>
      <c r="BH2256">
        <v>-0.47</v>
      </c>
      <c r="BI2256">
        <v>-24.32</v>
      </c>
      <c r="BJ2256">
        <v>19</v>
      </c>
      <c r="BK2256">
        <v>15</v>
      </c>
      <c r="BL2256">
        <v>-0.39</v>
      </c>
      <c r="BM2256">
        <v>1.34</v>
      </c>
      <c r="BN2256">
        <v>0.51</v>
      </c>
      <c r="BO2256">
        <v>-0.35</v>
      </c>
      <c r="BP2256">
        <v>1.2</v>
      </c>
      <c r="BQ2256">
        <v>-0.16</v>
      </c>
      <c r="BR2256">
        <v>1.29</v>
      </c>
      <c r="BS2256">
        <v>-0.4</v>
      </c>
      <c r="BT2256">
        <v>-1.72</v>
      </c>
      <c r="BU2256">
        <v>0.49</v>
      </c>
      <c r="BV2256">
        <v>0.44</v>
      </c>
      <c r="BW2256">
        <v>1.31</v>
      </c>
      <c r="BX2256">
        <v>-0.25</v>
      </c>
      <c r="BY2256">
        <v>0.81</v>
      </c>
      <c r="BZ2256">
        <v>-0.8</v>
      </c>
      <c r="CA2256">
        <v>0.08</v>
      </c>
      <c r="CB2256">
        <v>0.48</v>
      </c>
      <c r="CC2256">
        <v>-0.8</v>
      </c>
      <c r="CD2256">
        <v>0.91</v>
      </c>
      <c r="CE2256">
        <v>0.14000000000000001</v>
      </c>
      <c r="CF2256">
        <v>0.42</v>
      </c>
      <c r="CG2256">
        <v>0</v>
      </c>
      <c r="CH2256">
        <v>1</v>
      </c>
      <c r="CI2256">
        <v>0</v>
      </c>
      <c r="CJ2256">
        <v>-5</v>
      </c>
      <c r="CK2256">
        <v>92</v>
      </c>
      <c r="CL2256">
        <v>-0.7</v>
      </c>
      <c r="CM2256">
        <v>91</v>
      </c>
      <c r="CN2256">
        <v>-0.1</v>
      </c>
      <c r="CO2256">
        <v>89</v>
      </c>
      <c r="CP2256">
        <v>-9.3000000000000007</v>
      </c>
      <c r="CQ2256">
        <v>90</v>
      </c>
      <c r="CR2256">
        <v>0</v>
      </c>
      <c r="CS2256">
        <v>0</v>
      </c>
      <c r="CT2256">
        <v>-13.1</v>
      </c>
      <c r="CU2256">
        <v>90</v>
      </c>
      <c r="CV2256">
        <v>0.01</v>
      </c>
      <c r="CW2256">
        <v>45</v>
      </c>
      <c r="CX2256" t="s">
        <v>4756</v>
      </c>
    </row>
    <row r="2257" spans="1:102" x14ac:dyDescent="0.3">
      <c r="A2257" t="str">
        <f>HYPERLINK("https://webapp.icbf.com/v2/app/bull-search/view/122357919","BCI")</f>
        <v>BCI</v>
      </c>
      <c r="B2257" t="s">
        <v>7048</v>
      </c>
      <c r="C2257" t="s">
        <v>7049</v>
      </c>
      <c r="D2257" s="1">
        <v>35285</v>
      </c>
      <c r="E2257" t="s">
        <v>92</v>
      </c>
      <c r="F2257">
        <v>100</v>
      </c>
      <c r="G2257" t="s">
        <v>93</v>
      </c>
      <c r="H2257">
        <v>53.16</v>
      </c>
      <c r="I2257">
        <v>94</v>
      </c>
      <c r="J2257">
        <v>35.11</v>
      </c>
      <c r="K2257">
        <v>99</v>
      </c>
      <c r="L2257">
        <v>5.23</v>
      </c>
      <c r="M2257">
        <v>88</v>
      </c>
      <c r="N2257">
        <v>-1.07</v>
      </c>
      <c r="O2257">
        <v>93</v>
      </c>
      <c r="P2257">
        <v>-12.52</v>
      </c>
      <c r="Q2257">
        <v>98</v>
      </c>
      <c r="R2257">
        <v>7.31</v>
      </c>
      <c r="S2257">
        <v>89</v>
      </c>
      <c r="T2257">
        <v>23.22</v>
      </c>
      <c r="U2257">
        <v>96</v>
      </c>
      <c r="V2257">
        <v>-4.12</v>
      </c>
      <c r="W2257">
        <v>91</v>
      </c>
      <c r="X2257" t="s">
        <v>94</v>
      </c>
      <c r="Y2257" t="s">
        <v>95</v>
      </c>
      <c r="Z2257" t="s">
        <v>96</v>
      </c>
      <c r="AA2257" t="s">
        <v>4581</v>
      </c>
      <c r="AB2257" t="s">
        <v>7050</v>
      </c>
      <c r="AC2257">
        <v>301</v>
      </c>
      <c r="AD2257">
        <v>154</v>
      </c>
      <c r="AE2257">
        <v>99</v>
      </c>
      <c r="AF2257">
        <v>40.659999999999997</v>
      </c>
      <c r="AG2257">
        <v>7.39</v>
      </c>
      <c r="AH2257">
        <v>3.98</v>
      </c>
      <c r="AI2257">
        <v>0.1</v>
      </c>
      <c r="AJ2257">
        <v>0.05</v>
      </c>
      <c r="AK2257">
        <v>88</v>
      </c>
      <c r="AL2257">
        <v>311</v>
      </c>
      <c r="AM2257">
        <v>158</v>
      </c>
      <c r="AN2257">
        <v>0.72</v>
      </c>
      <c r="AO2257">
        <v>1.1499999999999999</v>
      </c>
      <c r="AP2257">
        <v>528</v>
      </c>
      <c r="AQ2257">
        <v>0</v>
      </c>
      <c r="AR2257">
        <v>8.74</v>
      </c>
      <c r="AS2257">
        <v>86</v>
      </c>
      <c r="AT2257">
        <v>3.3</v>
      </c>
      <c r="AU2257">
        <v>94</v>
      </c>
      <c r="AV2257">
        <v>0.15</v>
      </c>
      <c r="AW2257">
        <v>98</v>
      </c>
      <c r="AX2257">
        <v>-0.04</v>
      </c>
      <c r="AY2257">
        <v>93</v>
      </c>
      <c r="AZ2257">
        <v>5.21</v>
      </c>
      <c r="BA2257">
        <v>81</v>
      </c>
      <c r="BB2257">
        <v>4.37</v>
      </c>
      <c r="BC2257">
        <v>84</v>
      </c>
      <c r="BD2257">
        <v>-0.03</v>
      </c>
      <c r="BE2257">
        <v>-0.02</v>
      </c>
      <c r="BF2257">
        <v>-0.08</v>
      </c>
      <c r="BG2257">
        <v>95</v>
      </c>
      <c r="BH2257">
        <v>0.08</v>
      </c>
      <c r="BI2257">
        <v>22.56</v>
      </c>
      <c r="BJ2257">
        <v>10</v>
      </c>
      <c r="BK2257">
        <v>9</v>
      </c>
      <c r="BL2257">
        <v>-1.78</v>
      </c>
      <c r="BM2257">
        <v>-0.11</v>
      </c>
      <c r="BN2257">
        <v>-0.97</v>
      </c>
      <c r="BO2257">
        <v>-1.1299999999999999</v>
      </c>
      <c r="BP2257">
        <v>-1.3</v>
      </c>
      <c r="BQ2257">
        <v>-0.3</v>
      </c>
      <c r="BR2257">
        <v>1.52</v>
      </c>
      <c r="BS2257">
        <v>-1.85</v>
      </c>
      <c r="BT2257">
        <v>-2.17</v>
      </c>
      <c r="BU2257">
        <v>-1.04</v>
      </c>
      <c r="BV2257">
        <v>-0.69</v>
      </c>
      <c r="BW2257">
        <v>-1.5</v>
      </c>
      <c r="BX2257">
        <v>-2.36</v>
      </c>
      <c r="BY2257">
        <v>-1.19</v>
      </c>
      <c r="BZ2257">
        <v>2.04</v>
      </c>
      <c r="CA2257">
        <v>-1.85</v>
      </c>
      <c r="CB2257">
        <v>-1.19</v>
      </c>
      <c r="CC2257">
        <v>-1.99</v>
      </c>
      <c r="CD2257">
        <v>0.16</v>
      </c>
      <c r="CE2257">
        <v>-1.62</v>
      </c>
      <c r="CF2257">
        <v>-3.17</v>
      </c>
      <c r="CG2257">
        <v>0</v>
      </c>
      <c r="CH2257">
        <v>-1.52</v>
      </c>
      <c r="CI2257">
        <v>0</v>
      </c>
      <c r="CJ2257">
        <v>-3.8</v>
      </c>
      <c r="CK2257">
        <v>98</v>
      </c>
      <c r="CL2257">
        <v>-0.4</v>
      </c>
      <c r="CM2257">
        <v>98</v>
      </c>
      <c r="CN2257">
        <v>0.06</v>
      </c>
      <c r="CO2257">
        <v>97</v>
      </c>
      <c r="CP2257">
        <v>-16.3</v>
      </c>
      <c r="CQ2257">
        <v>97</v>
      </c>
      <c r="CR2257">
        <v>0</v>
      </c>
      <c r="CS2257">
        <v>0</v>
      </c>
      <c r="CT2257">
        <v>-17.600000000000001</v>
      </c>
      <c r="CU2257">
        <v>96</v>
      </c>
      <c r="CV2257">
        <v>0.03</v>
      </c>
      <c r="CW2257">
        <v>46</v>
      </c>
      <c r="CX2257" t="s">
        <v>531</v>
      </c>
    </row>
    <row r="2258" spans="1:102" x14ac:dyDescent="0.3">
      <c r="A2258" t="str">
        <f>HYPERLINK("https://webapp.icbf.com/v2/app/bull-search/view/77859967","BTE")</f>
        <v>BTE</v>
      </c>
      <c r="B2258" t="s">
        <v>8676</v>
      </c>
      <c r="C2258" t="s">
        <v>8677</v>
      </c>
      <c r="D2258" s="1">
        <v>32872</v>
      </c>
      <c r="E2258" t="s">
        <v>108</v>
      </c>
      <c r="F2258">
        <v>38</v>
      </c>
      <c r="G2258" t="s">
        <v>93</v>
      </c>
      <c r="H2258">
        <v>53.13</v>
      </c>
      <c r="I2258">
        <v>64</v>
      </c>
      <c r="J2258">
        <v>-16.510000000000002</v>
      </c>
      <c r="K2258">
        <v>82</v>
      </c>
      <c r="L2258">
        <v>70.97</v>
      </c>
      <c r="M2258">
        <v>55</v>
      </c>
      <c r="N2258">
        <v>1.8</v>
      </c>
      <c r="O2258">
        <v>51</v>
      </c>
      <c r="P2258">
        <v>-9.7899999999999991</v>
      </c>
      <c r="Q2258">
        <v>73</v>
      </c>
      <c r="R2258">
        <v>-2.44</v>
      </c>
      <c r="S2258">
        <v>61</v>
      </c>
      <c r="T2258">
        <v>13.53</v>
      </c>
      <c r="U2258">
        <v>56</v>
      </c>
      <c r="V2258">
        <v>-4.43</v>
      </c>
      <c r="W2258">
        <v>29</v>
      </c>
      <c r="X2258" t="s">
        <v>102</v>
      </c>
      <c r="Y2258" t="s">
        <v>95</v>
      </c>
      <c r="Z2258" t="s">
        <v>96</v>
      </c>
      <c r="AA2258" t="s">
        <v>607</v>
      </c>
      <c r="AB2258" t="s">
        <v>2557</v>
      </c>
      <c r="AC2258">
        <v>23</v>
      </c>
      <c r="AD2258">
        <v>19</v>
      </c>
      <c r="AE2258">
        <v>82</v>
      </c>
      <c r="AF2258">
        <v>-69.400000000000006</v>
      </c>
      <c r="AG2258">
        <v>-1.95</v>
      </c>
      <c r="AH2258">
        <v>-3.18</v>
      </c>
      <c r="AI2258">
        <v>0.01</v>
      </c>
      <c r="AJ2258">
        <v>-0.01</v>
      </c>
      <c r="AK2258">
        <v>55</v>
      </c>
      <c r="AL2258">
        <v>51</v>
      </c>
      <c r="AM2258">
        <v>35</v>
      </c>
      <c r="AN2258">
        <v>-5.43</v>
      </c>
      <c r="AO2258">
        <v>0.21</v>
      </c>
      <c r="AP2258">
        <v>3</v>
      </c>
      <c r="AQ2258">
        <v>6</v>
      </c>
      <c r="AR2258">
        <v>7.72</v>
      </c>
      <c r="AS2258">
        <v>25</v>
      </c>
      <c r="AT2258">
        <v>3.16</v>
      </c>
      <c r="AU2258">
        <v>41</v>
      </c>
      <c r="AV2258">
        <v>-0.56000000000000005</v>
      </c>
      <c r="AW2258">
        <v>68</v>
      </c>
      <c r="AX2258">
        <v>1.33</v>
      </c>
      <c r="AY2258">
        <v>57</v>
      </c>
      <c r="AZ2258">
        <v>5.73</v>
      </c>
      <c r="BA2258">
        <v>26</v>
      </c>
      <c r="BB2258">
        <v>4.93</v>
      </c>
      <c r="BC2258">
        <v>38</v>
      </c>
      <c r="BD2258">
        <v>0.03</v>
      </c>
      <c r="BE2258">
        <v>0.04</v>
      </c>
      <c r="BF2258">
        <v>-7.0000000000000007E-2</v>
      </c>
      <c r="BG2258">
        <v>79</v>
      </c>
      <c r="BH2258">
        <v>7.0000000000000007E-2</v>
      </c>
      <c r="BI2258">
        <v>22.38</v>
      </c>
      <c r="BJ2258">
        <v>13</v>
      </c>
      <c r="BK2258">
        <v>11</v>
      </c>
      <c r="BL2258">
        <v>-2.42</v>
      </c>
      <c r="BM2258">
        <v>-0.04</v>
      </c>
      <c r="BN2258">
        <v>-1.95</v>
      </c>
      <c r="BO2258">
        <v>-1.73</v>
      </c>
      <c r="BP2258">
        <v>0.77</v>
      </c>
      <c r="BQ2258">
        <v>-0.27</v>
      </c>
      <c r="BR2258">
        <v>-0.81</v>
      </c>
      <c r="BS2258">
        <v>0.28000000000000003</v>
      </c>
      <c r="BT2258">
        <v>0.94</v>
      </c>
      <c r="BU2258">
        <v>-1.31</v>
      </c>
      <c r="BV2258">
        <v>-1.34</v>
      </c>
      <c r="BW2258">
        <v>-1.1399999999999999</v>
      </c>
      <c r="BX2258">
        <v>-1.32</v>
      </c>
      <c r="BY2258">
        <v>-0.78</v>
      </c>
      <c r="BZ2258">
        <v>0.74</v>
      </c>
      <c r="CA2258">
        <v>-1.1499999999999999</v>
      </c>
      <c r="CB2258">
        <v>-1.31</v>
      </c>
      <c r="CC2258">
        <v>-0.37</v>
      </c>
      <c r="CD2258">
        <v>1.51</v>
      </c>
      <c r="CE2258">
        <v>-1.96</v>
      </c>
      <c r="CF2258">
        <v>-2.8</v>
      </c>
      <c r="CG2258">
        <v>0</v>
      </c>
      <c r="CH2258">
        <v>-0.66</v>
      </c>
      <c r="CI2258">
        <v>0</v>
      </c>
      <c r="CJ2258">
        <v>-2.8</v>
      </c>
      <c r="CK2258">
        <v>75</v>
      </c>
      <c r="CL2258">
        <v>0.01</v>
      </c>
      <c r="CM2258">
        <v>71</v>
      </c>
      <c r="CN2258">
        <v>0.35</v>
      </c>
      <c r="CO2258">
        <v>68</v>
      </c>
      <c r="CP2258">
        <v>-12.9</v>
      </c>
      <c r="CQ2258">
        <v>70</v>
      </c>
      <c r="CR2258">
        <v>0</v>
      </c>
      <c r="CS2258">
        <v>0</v>
      </c>
      <c r="CT2258">
        <v>-4.5</v>
      </c>
      <c r="CU2258">
        <v>56</v>
      </c>
      <c r="CV2258">
        <v>-0.03</v>
      </c>
      <c r="CW2258">
        <v>20</v>
      </c>
      <c r="CX2258" t="s">
        <v>2558</v>
      </c>
    </row>
    <row r="2259" spans="1:102" x14ac:dyDescent="0.3">
      <c r="A2259" t="str">
        <f>HYPERLINK("https://webapp.icbf.com/v2/app/bull-search/view/77857879","FGL")</f>
        <v>FGL</v>
      </c>
      <c r="B2259" t="s">
        <v>15024</v>
      </c>
      <c r="C2259" t="s">
        <v>15025</v>
      </c>
      <c r="D2259" s="1">
        <v>33106</v>
      </c>
      <c r="E2259" t="s">
        <v>92</v>
      </c>
      <c r="F2259">
        <v>100</v>
      </c>
      <c r="G2259" t="s">
        <v>93</v>
      </c>
      <c r="H2259">
        <v>52.96</v>
      </c>
      <c r="I2259">
        <v>77</v>
      </c>
      <c r="J2259">
        <v>-8.35</v>
      </c>
      <c r="K2259">
        <v>91</v>
      </c>
      <c r="L2259">
        <v>68.77</v>
      </c>
      <c r="M2259">
        <v>81</v>
      </c>
      <c r="N2259">
        <v>-15.12</v>
      </c>
      <c r="O2259">
        <v>57</v>
      </c>
      <c r="P2259">
        <v>1.05</v>
      </c>
      <c r="Q2259">
        <v>71</v>
      </c>
      <c r="R2259">
        <v>0.38</v>
      </c>
      <c r="S2259">
        <v>67</v>
      </c>
      <c r="T2259">
        <v>9.61</v>
      </c>
      <c r="U2259">
        <v>64</v>
      </c>
      <c r="V2259">
        <v>-3.38</v>
      </c>
      <c r="W2259">
        <v>29</v>
      </c>
      <c r="X2259" t="s">
        <v>110</v>
      </c>
      <c r="Y2259" t="s">
        <v>95</v>
      </c>
      <c r="Z2259" t="s">
        <v>96</v>
      </c>
      <c r="AA2259" t="s">
        <v>99</v>
      </c>
      <c r="AB2259" t="s">
        <v>15026</v>
      </c>
      <c r="AC2259">
        <v>46</v>
      </c>
      <c r="AD2259">
        <v>14</v>
      </c>
      <c r="AE2259">
        <v>91</v>
      </c>
      <c r="AF2259">
        <v>-126.93</v>
      </c>
      <c r="AG2259">
        <v>-1.08</v>
      </c>
      <c r="AH2259">
        <v>-2.98</v>
      </c>
      <c r="AI2259">
        <v>7.0000000000000007E-2</v>
      </c>
      <c r="AJ2259">
        <v>0.02</v>
      </c>
      <c r="AK2259">
        <v>81</v>
      </c>
      <c r="AL2259">
        <v>44</v>
      </c>
      <c r="AM2259">
        <v>17</v>
      </c>
      <c r="AN2259">
        <v>-3.32</v>
      </c>
      <c r="AO2259">
        <v>2.17</v>
      </c>
      <c r="AP2259">
        <v>5</v>
      </c>
      <c r="AQ2259">
        <v>0</v>
      </c>
      <c r="AR2259">
        <v>9.9700000000000006</v>
      </c>
      <c r="AS2259">
        <v>36</v>
      </c>
      <c r="AT2259">
        <v>4.42</v>
      </c>
      <c r="AU2259">
        <v>53</v>
      </c>
      <c r="AV2259">
        <v>-0.22</v>
      </c>
      <c r="AW2259">
        <v>67</v>
      </c>
      <c r="AX2259">
        <v>0.32</v>
      </c>
      <c r="AY2259">
        <v>61</v>
      </c>
      <c r="AZ2259">
        <v>5.31</v>
      </c>
      <c r="BA2259">
        <v>38</v>
      </c>
      <c r="BB2259">
        <v>4.4400000000000004</v>
      </c>
      <c r="BC2259">
        <v>49</v>
      </c>
      <c r="BD2259">
        <v>-0.01</v>
      </c>
      <c r="BE2259">
        <v>0.02</v>
      </c>
      <c r="BF2259">
        <v>-0.03</v>
      </c>
      <c r="BG2259">
        <v>87</v>
      </c>
      <c r="BH2259">
        <v>-0.05</v>
      </c>
      <c r="BI2259">
        <v>5.12</v>
      </c>
      <c r="BJ2259">
        <v>0</v>
      </c>
      <c r="BK2259">
        <v>0</v>
      </c>
      <c r="BL2259">
        <v>0.02</v>
      </c>
      <c r="BM2259">
        <v>-1.1299999999999999</v>
      </c>
      <c r="BN2259">
        <v>-1.28</v>
      </c>
      <c r="BO2259">
        <v>-0.23</v>
      </c>
      <c r="BP2259">
        <v>0.51</v>
      </c>
      <c r="BQ2259">
        <v>-1.36</v>
      </c>
      <c r="BR2259">
        <v>0.36</v>
      </c>
      <c r="BS2259">
        <v>0.5</v>
      </c>
      <c r="BT2259">
        <v>-0.05</v>
      </c>
      <c r="BU2259">
        <v>1.45</v>
      </c>
      <c r="BV2259">
        <v>0.46</v>
      </c>
      <c r="BW2259">
        <v>0.09</v>
      </c>
      <c r="BX2259">
        <v>1.71</v>
      </c>
      <c r="BY2259">
        <v>1.64</v>
      </c>
      <c r="BZ2259">
        <v>-1.88</v>
      </c>
      <c r="CA2259">
        <v>0.76</v>
      </c>
      <c r="CB2259">
        <v>0.56000000000000005</v>
      </c>
      <c r="CC2259">
        <v>0.56999999999999995</v>
      </c>
      <c r="CD2259">
        <v>0.45</v>
      </c>
      <c r="CE2259">
        <v>-0.38</v>
      </c>
      <c r="CF2259">
        <v>-0.22</v>
      </c>
      <c r="CG2259">
        <v>0</v>
      </c>
      <c r="CH2259">
        <v>0.59</v>
      </c>
      <c r="CI2259">
        <v>0</v>
      </c>
      <c r="CJ2259">
        <v>0.6</v>
      </c>
      <c r="CK2259">
        <v>72</v>
      </c>
      <c r="CL2259">
        <v>-0.28999999999999998</v>
      </c>
      <c r="CM2259">
        <v>69</v>
      </c>
      <c r="CN2259">
        <v>-0.28999999999999998</v>
      </c>
      <c r="CO2259">
        <v>65</v>
      </c>
      <c r="CP2259">
        <v>-1.2</v>
      </c>
      <c r="CQ2259">
        <v>76</v>
      </c>
      <c r="CR2259">
        <v>0</v>
      </c>
      <c r="CS2259">
        <v>0</v>
      </c>
      <c r="CT2259">
        <v>0.8</v>
      </c>
      <c r="CU2259">
        <v>64</v>
      </c>
      <c r="CV2259">
        <v>0.1</v>
      </c>
      <c r="CW2259">
        <v>20</v>
      </c>
      <c r="CX2259" t="s">
        <v>15027</v>
      </c>
    </row>
    <row r="2260" spans="1:102" x14ac:dyDescent="0.3">
      <c r="A2260" t="str">
        <f>HYPERLINK("https://webapp.icbf.com/v2/app/bull-search/view/77860087","BYY")</f>
        <v>BYY</v>
      </c>
      <c r="B2260" t="s">
        <v>3591</v>
      </c>
      <c r="C2260" t="s">
        <v>3592</v>
      </c>
      <c r="D2260" s="1">
        <v>32105</v>
      </c>
      <c r="E2260" t="s">
        <v>108</v>
      </c>
      <c r="F2260">
        <v>16</v>
      </c>
      <c r="G2260" t="s">
        <v>93</v>
      </c>
      <c r="H2260">
        <v>52.91</v>
      </c>
      <c r="I2260">
        <v>84</v>
      </c>
      <c r="J2260">
        <v>-57.53</v>
      </c>
      <c r="K2260">
        <v>95</v>
      </c>
      <c r="L2260">
        <v>74.290000000000006</v>
      </c>
      <c r="M2260">
        <v>76</v>
      </c>
      <c r="N2260">
        <v>26.09</v>
      </c>
      <c r="O2260">
        <v>73</v>
      </c>
      <c r="P2260">
        <v>-14.3</v>
      </c>
      <c r="Q2260">
        <v>90</v>
      </c>
      <c r="R2260">
        <v>0.71</v>
      </c>
      <c r="S2260">
        <v>76</v>
      </c>
      <c r="T2260">
        <v>25.89</v>
      </c>
      <c r="U2260">
        <v>91</v>
      </c>
      <c r="V2260">
        <v>-2.2400000000000002</v>
      </c>
      <c r="W2260">
        <v>63</v>
      </c>
      <c r="X2260" t="s">
        <v>94</v>
      </c>
      <c r="Y2260" t="s">
        <v>95</v>
      </c>
      <c r="Z2260" t="s">
        <v>96</v>
      </c>
      <c r="AA2260" t="s">
        <v>3248</v>
      </c>
      <c r="AB2260" t="s">
        <v>3593</v>
      </c>
      <c r="AC2260">
        <v>70</v>
      </c>
      <c r="AD2260">
        <v>47</v>
      </c>
      <c r="AE2260">
        <v>95</v>
      </c>
      <c r="AF2260">
        <v>-115.51</v>
      </c>
      <c r="AG2260">
        <v>-12.16</v>
      </c>
      <c r="AH2260">
        <v>-7.25</v>
      </c>
      <c r="AI2260">
        <v>-0.14000000000000001</v>
      </c>
      <c r="AJ2260">
        <v>-0.06</v>
      </c>
      <c r="AK2260">
        <v>76</v>
      </c>
      <c r="AL2260">
        <v>106</v>
      </c>
      <c r="AM2260">
        <v>78</v>
      </c>
      <c r="AN2260">
        <v>-5.18</v>
      </c>
      <c r="AO2260">
        <v>0.73</v>
      </c>
      <c r="AP2260">
        <v>9</v>
      </c>
      <c r="AQ2260">
        <v>1</v>
      </c>
      <c r="AR2260">
        <v>4.38</v>
      </c>
      <c r="AS2260">
        <v>52</v>
      </c>
      <c r="AT2260">
        <v>1.88</v>
      </c>
      <c r="AU2260">
        <v>71</v>
      </c>
      <c r="AV2260">
        <v>-0.47</v>
      </c>
      <c r="AW2260">
        <v>80</v>
      </c>
      <c r="AX2260">
        <v>-0.24</v>
      </c>
      <c r="AY2260">
        <v>83</v>
      </c>
      <c r="AZ2260">
        <v>5.0199999999999996</v>
      </c>
      <c r="BA2260">
        <v>46</v>
      </c>
      <c r="BB2260">
        <v>4.2300000000000004</v>
      </c>
      <c r="BC2260">
        <v>65</v>
      </c>
      <c r="BD2260">
        <v>7.0000000000000007E-2</v>
      </c>
      <c r="BE2260">
        <v>0.03</v>
      </c>
      <c r="BF2260">
        <v>-0.19</v>
      </c>
      <c r="BG2260">
        <v>88</v>
      </c>
      <c r="BH2260">
        <v>0</v>
      </c>
      <c r="BI2260">
        <v>7.22</v>
      </c>
      <c r="BJ2260">
        <v>9</v>
      </c>
      <c r="BK2260">
        <v>7</v>
      </c>
      <c r="BL2260">
        <v>-2.39</v>
      </c>
      <c r="BM2260">
        <v>2.04</v>
      </c>
      <c r="BN2260">
        <v>-1.86</v>
      </c>
      <c r="BO2260">
        <v>-2.91</v>
      </c>
      <c r="BP2260">
        <v>-1.07</v>
      </c>
      <c r="BQ2260">
        <v>1.63</v>
      </c>
      <c r="BR2260">
        <v>-1.06</v>
      </c>
      <c r="BS2260">
        <v>-0.09</v>
      </c>
      <c r="BT2260">
        <v>-0.23</v>
      </c>
      <c r="BU2260">
        <v>-2.85</v>
      </c>
      <c r="BV2260">
        <v>-2.3199999999999998</v>
      </c>
      <c r="BW2260">
        <v>-2.0099999999999998</v>
      </c>
      <c r="BX2260">
        <v>-2.29</v>
      </c>
      <c r="BY2260">
        <v>-1.73</v>
      </c>
      <c r="BZ2260">
        <v>-0.45</v>
      </c>
      <c r="CA2260">
        <v>-2.4</v>
      </c>
      <c r="CB2260">
        <v>-2.66</v>
      </c>
      <c r="CC2260">
        <v>-1.28</v>
      </c>
      <c r="CD2260">
        <v>3.26</v>
      </c>
      <c r="CE2260">
        <v>-2.57</v>
      </c>
      <c r="CF2260">
        <v>-1.73</v>
      </c>
      <c r="CG2260">
        <v>0</v>
      </c>
      <c r="CH2260">
        <v>-1.58</v>
      </c>
      <c r="CI2260">
        <v>0</v>
      </c>
      <c r="CJ2260">
        <v>-6.9</v>
      </c>
      <c r="CK2260">
        <v>91</v>
      </c>
      <c r="CL2260">
        <v>0.02</v>
      </c>
      <c r="CM2260">
        <v>89</v>
      </c>
      <c r="CN2260">
        <v>0.23</v>
      </c>
      <c r="CO2260">
        <v>88</v>
      </c>
      <c r="CP2260">
        <v>-15.3</v>
      </c>
      <c r="CQ2260">
        <v>92</v>
      </c>
      <c r="CR2260">
        <v>0</v>
      </c>
      <c r="CS2260">
        <v>0</v>
      </c>
      <c r="CT2260">
        <v>-21.2</v>
      </c>
      <c r="CU2260">
        <v>91</v>
      </c>
      <c r="CV2260">
        <v>-0.17</v>
      </c>
      <c r="CW2260">
        <v>44</v>
      </c>
      <c r="CX2260" t="s">
        <v>3594</v>
      </c>
    </row>
    <row r="2261" spans="1:102" x14ac:dyDescent="0.3">
      <c r="A2261" t="str">
        <f>HYPERLINK("https://webapp.icbf.com/v2/app/bull-search/view/377731328","RGI")</f>
        <v>RGI</v>
      </c>
      <c r="B2261" t="s">
        <v>14652</v>
      </c>
      <c r="C2261" t="s">
        <v>13483</v>
      </c>
      <c r="D2261" s="1">
        <v>36440</v>
      </c>
      <c r="E2261" t="s">
        <v>92</v>
      </c>
      <c r="F2261">
        <v>100</v>
      </c>
      <c r="G2261" t="s">
        <v>93</v>
      </c>
      <c r="H2261">
        <v>52.89</v>
      </c>
      <c r="I2261">
        <v>87</v>
      </c>
      <c r="J2261">
        <v>4.26</v>
      </c>
      <c r="K2261">
        <v>95</v>
      </c>
      <c r="L2261">
        <v>33.71</v>
      </c>
      <c r="M2261">
        <v>86</v>
      </c>
      <c r="N2261">
        <v>17.260000000000002</v>
      </c>
      <c r="O2261">
        <v>80</v>
      </c>
      <c r="P2261">
        <v>-10.43</v>
      </c>
      <c r="Q2261">
        <v>84</v>
      </c>
      <c r="R2261">
        <v>7.65</v>
      </c>
      <c r="S2261">
        <v>80</v>
      </c>
      <c r="T2261">
        <v>11.16</v>
      </c>
      <c r="U2261">
        <v>83</v>
      </c>
      <c r="V2261">
        <v>-10.72</v>
      </c>
      <c r="W2261">
        <v>72</v>
      </c>
      <c r="X2261" t="s">
        <v>276</v>
      </c>
      <c r="Y2261" t="s">
        <v>95</v>
      </c>
      <c r="Z2261" t="s">
        <v>96</v>
      </c>
      <c r="AA2261" t="s">
        <v>6632</v>
      </c>
      <c r="AB2261" t="s">
        <v>144</v>
      </c>
      <c r="AC2261">
        <v>53</v>
      </c>
      <c r="AD2261">
        <v>29</v>
      </c>
      <c r="AE2261">
        <v>95</v>
      </c>
      <c r="AF2261">
        <v>-40.26</v>
      </c>
      <c r="AG2261">
        <v>2.65</v>
      </c>
      <c r="AH2261">
        <v>-0.83</v>
      </c>
      <c r="AI2261">
        <v>7.0000000000000007E-2</v>
      </c>
      <c r="AJ2261">
        <v>0.01</v>
      </c>
      <c r="AK2261">
        <v>86</v>
      </c>
      <c r="AL2261">
        <v>57</v>
      </c>
      <c r="AM2261">
        <v>32</v>
      </c>
      <c r="AN2261">
        <v>-1.69</v>
      </c>
      <c r="AO2261">
        <v>1</v>
      </c>
      <c r="AP2261">
        <v>76</v>
      </c>
      <c r="AQ2261">
        <v>0</v>
      </c>
      <c r="AR2261">
        <v>6.82</v>
      </c>
      <c r="AS2261">
        <v>77</v>
      </c>
      <c r="AT2261">
        <v>3.12</v>
      </c>
      <c r="AU2261">
        <v>84</v>
      </c>
      <c r="AV2261">
        <v>-1.53</v>
      </c>
      <c r="AW2261">
        <v>87</v>
      </c>
      <c r="AX2261">
        <v>0.26</v>
      </c>
      <c r="AY2261">
        <v>73</v>
      </c>
      <c r="AZ2261">
        <v>5.31</v>
      </c>
      <c r="BA2261">
        <v>57</v>
      </c>
      <c r="BB2261">
        <v>4.5599999999999996</v>
      </c>
      <c r="BC2261">
        <v>62</v>
      </c>
      <c r="BD2261">
        <v>-0.06</v>
      </c>
      <c r="BE2261">
        <v>-0.04</v>
      </c>
      <c r="BF2261">
        <v>0</v>
      </c>
      <c r="BG2261">
        <v>90</v>
      </c>
      <c r="BH2261">
        <v>-0.3</v>
      </c>
      <c r="BI2261">
        <v>-0.13</v>
      </c>
      <c r="BJ2261">
        <v>5</v>
      </c>
      <c r="BK2261">
        <v>5</v>
      </c>
      <c r="BL2261">
        <v>0.65</v>
      </c>
      <c r="BM2261">
        <v>-0.52</v>
      </c>
      <c r="BN2261">
        <v>0.11</v>
      </c>
      <c r="BO2261">
        <v>0.38</v>
      </c>
      <c r="BP2261">
        <v>-0.95</v>
      </c>
      <c r="BQ2261">
        <v>-1.64</v>
      </c>
      <c r="BR2261">
        <v>-0.27</v>
      </c>
      <c r="BS2261">
        <v>1.25</v>
      </c>
      <c r="BT2261">
        <v>1.55</v>
      </c>
      <c r="BU2261">
        <v>0.88</v>
      </c>
      <c r="BV2261">
        <v>1.26</v>
      </c>
      <c r="BW2261">
        <v>0.22</v>
      </c>
      <c r="BX2261">
        <v>1.41</v>
      </c>
      <c r="BY2261">
        <v>-0.31</v>
      </c>
      <c r="BZ2261">
        <v>-0.06</v>
      </c>
      <c r="CA2261">
        <v>1.31</v>
      </c>
      <c r="CB2261">
        <v>0.75</v>
      </c>
      <c r="CC2261">
        <v>1.4</v>
      </c>
      <c r="CD2261">
        <v>0.28999999999999998</v>
      </c>
      <c r="CE2261">
        <v>0.64</v>
      </c>
      <c r="CF2261">
        <v>0.84</v>
      </c>
      <c r="CG2261">
        <v>0</v>
      </c>
      <c r="CH2261">
        <v>-0.27</v>
      </c>
      <c r="CI2261">
        <v>0</v>
      </c>
      <c r="CJ2261">
        <v>-1.9</v>
      </c>
      <c r="CK2261">
        <v>85</v>
      </c>
      <c r="CL2261">
        <v>-0.98</v>
      </c>
      <c r="CM2261">
        <v>83</v>
      </c>
      <c r="CN2261">
        <v>-0.22</v>
      </c>
      <c r="CO2261">
        <v>80</v>
      </c>
      <c r="CP2261">
        <v>-1.8</v>
      </c>
      <c r="CQ2261">
        <v>87</v>
      </c>
      <c r="CR2261">
        <v>0</v>
      </c>
      <c r="CS2261">
        <v>0</v>
      </c>
      <c r="CT2261">
        <v>-1.3</v>
      </c>
      <c r="CU2261">
        <v>83</v>
      </c>
      <c r="CV2261">
        <v>0.16</v>
      </c>
      <c r="CW2261">
        <v>42</v>
      </c>
      <c r="CX2261" t="s">
        <v>731</v>
      </c>
    </row>
    <row r="2262" spans="1:102" x14ac:dyDescent="0.3">
      <c r="A2262" t="str">
        <f>HYPERLINK("https://webapp.icbf.com/v2/app/bull-search/view/1240327397","FR2080")</f>
        <v>FR2080</v>
      </c>
      <c r="B2262" t="s">
        <v>13623</v>
      </c>
      <c r="C2262" t="s">
        <v>13624</v>
      </c>
      <c r="D2262" s="1">
        <v>41362</v>
      </c>
      <c r="E2262" t="s">
        <v>92</v>
      </c>
      <c r="F2262">
        <v>100</v>
      </c>
      <c r="G2262" t="s">
        <v>109</v>
      </c>
      <c r="H2262">
        <v>52.87</v>
      </c>
      <c r="I2262">
        <v>77</v>
      </c>
      <c r="J2262">
        <v>73.400000000000006</v>
      </c>
      <c r="K2262">
        <v>93</v>
      </c>
      <c r="L2262">
        <v>-53.75</v>
      </c>
      <c r="M2262">
        <v>81</v>
      </c>
      <c r="N2262">
        <v>28.47</v>
      </c>
      <c r="O2262">
        <v>64</v>
      </c>
      <c r="P2262">
        <v>1.58</v>
      </c>
      <c r="Q2262">
        <v>53</v>
      </c>
      <c r="R2262">
        <v>10.41</v>
      </c>
      <c r="S2262">
        <v>73</v>
      </c>
      <c r="T2262">
        <v>-7.86</v>
      </c>
      <c r="U2262">
        <v>44</v>
      </c>
      <c r="V2262">
        <v>0.62</v>
      </c>
      <c r="W2262">
        <v>60</v>
      </c>
      <c r="X2262" t="s">
        <v>251</v>
      </c>
      <c r="Y2262" t="s">
        <v>405</v>
      </c>
      <c r="Z2262" t="s">
        <v>96</v>
      </c>
      <c r="AA2262" t="s">
        <v>1894</v>
      </c>
      <c r="AB2262" t="s">
        <v>13625</v>
      </c>
      <c r="AC2262">
        <v>0</v>
      </c>
      <c r="AD2262">
        <v>0</v>
      </c>
      <c r="AE2262">
        <v>93</v>
      </c>
      <c r="AF2262">
        <v>236.94</v>
      </c>
      <c r="AG2262">
        <v>16.28</v>
      </c>
      <c r="AH2262">
        <v>10.35</v>
      </c>
      <c r="AI2262">
        <v>0.12</v>
      </c>
      <c r="AJ2262">
        <v>0.04</v>
      </c>
      <c r="AK2262">
        <v>81</v>
      </c>
      <c r="AL2262">
        <v>0</v>
      </c>
      <c r="AM2262">
        <v>0</v>
      </c>
      <c r="AN2262">
        <v>3.45</v>
      </c>
      <c r="AO2262">
        <v>-0.83</v>
      </c>
      <c r="AP2262">
        <v>19</v>
      </c>
      <c r="AQ2262">
        <v>0</v>
      </c>
      <c r="AR2262">
        <v>6.9</v>
      </c>
      <c r="AS2262">
        <v>61</v>
      </c>
      <c r="AT2262">
        <v>2.48</v>
      </c>
      <c r="AU2262">
        <v>75</v>
      </c>
      <c r="AV2262">
        <v>-2.96</v>
      </c>
      <c r="AW2262">
        <v>68</v>
      </c>
      <c r="AX2262">
        <v>0.79</v>
      </c>
      <c r="AY2262">
        <v>51</v>
      </c>
      <c r="AZ2262">
        <v>5.91</v>
      </c>
      <c r="BA2262">
        <v>49</v>
      </c>
      <c r="BB2262">
        <v>5.16</v>
      </c>
      <c r="BC2262">
        <v>44</v>
      </c>
      <c r="BD2262">
        <v>-0.05</v>
      </c>
      <c r="BE2262">
        <v>-0.04</v>
      </c>
      <c r="BF2262">
        <v>-0.08</v>
      </c>
      <c r="BG2262">
        <v>89</v>
      </c>
      <c r="BH2262">
        <v>-0.08</v>
      </c>
      <c r="BI2262">
        <v>-11.25</v>
      </c>
      <c r="BJ2262">
        <v>1</v>
      </c>
      <c r="BK2262">
        <v>1</v>
      </c>
      <c r="BL2262">
        <v>2.34</v>
      </c>
      <c r="BM2262">
        <v>2.13</v>
      </c>
      <c r="BN2262">
        <v>1.75</v>
      </c>
      <c r="BO2262">
        <v>0.32</v>
      </c>
      <c r="BP2262">
        <v>-1.0900000000000001</v>
      </c>
      <c r="BQ2262">
        <v>1.1399999999999999</v>
      </c>
      <c r="BR2262">
        <v>-3.13</v>
      </c>
      <c r="BS2262">
        <v>1.57</v>
      </c>
      <c r="BT2262">
        <v>3.07</v>
      </c>
      <c r="BU2262">
        <v>2.88</v>
      </c>
      <c r="BV2262">
        <v>2.15</v>
      </c>
      <c r="BW2262">
        <v>0.93</v>
      </c>
      <c r="BX2262">
        <v>3.69</v>
      </c>
      <c r="BY2262">
        <v>0.47</v>
      </c>
      <c r="BZ2262">
        <v>2.13</v>
      </c>
      <c r="CA2262">
        <v>1.1599999999999999</v>
      </c>
      <c r="CB2262">
        <v>1.38</v>
      </c>
      <c r="CC2262">
        <v>0.04</v>
      </c>
      <c r="CD2262">
        <v>1.55</v>
      </c>
      <c r="CE2262">
        <v>0.78</v>
      </c>
      <c r="CF2262">
        <v>1.1000000000000001</v>
      </c>
      <c r="CG2262">
        <v>0</v>
      </c>
      <c r="CH2262">
        <v>0.25</v>
      </c>
      <c r="CI2262">
        <v>0</v>
      </c>
      <c r="CJ2262">
        <v>2.5</v>
      </c>
      <c r="CK2262">
        <v>54</v>
      </c>
      <c r="CL2262">
        <v>-1.19</v>
      </c>
      <c r="CM2262">
        <v>52</v>
      </c>
      <c r="CN2262">
        <v>-0.83</v>
      </c>
      <c r="CO2262">
        <v>52</v>
      </c>
      <c r="CP2262">
        <v>4.5999999999999996</v>
      </c>
      <c r="CQ2262">
        <v>46</v>
      </c>
      <c r="CR2262">
        <v>0</v>
      </c>
      <c r="CS2262">
        <v>0</v>
      </c>
      <c r="CT2262">
        <v>24.4</v>
      </c>
      <c r="CU2262">
        <v>44</v>
      </c>
      <c r="CV2262">
        <v>0.26</v>
      </c>
      <c r="CW2262">
        <v>36</v>
      </c>
      <c r="CX2262" t="s">
        <v>1572</v>
      </c>
    </row>
    <row r="2263" spans="1:102" x14ac:dyDescent="0.3">
      <c r="A2263" t="str">
        <f>HYPERLINK("https://webapp.icbf.com/v2/app/bull-search/view/451039249","CQT")</f>
        <v>CQT</v>
      </c>
      <c r="B2263" t="s">
        <v>11983</v>
      </c>
      <c r="C2263" t="s">
        <v>11984</v>
      </c>
      <c r="D2263" s="1">
        <v>38776</v>
      </c>
      <c r="E2263" t="s">
        <v>92</v>
      </c>
      <c r="F2263">
        <v>75</v>
      </c>
      <c r="G2263" t="s">
        <v>93</v>
      </c>
      <c r="H2263">
        <v>52.79</v>
      </c>
      <c r="I2263">
        <v>88</v>
      </c>
      <c r="J2263">
        <v>32.590000000000003</v>
      </c>
      <c r="K2263">
        <v>97</v>
      </c>
      <c r="L2263">
        <v>37.619999999999997</v>
      </c>
      <c r="M2263">
        <v>78</v>
      </c>
      <c r="N2263">
        <v>-17.98</v>
      </c>
      <c r="O2263">
        <v>86</v>
      </c>
      <c r="P2263">
        <v>1.35</v>
      </c>
      <c r="Q2263">
        <v>92</v>
      </c>
      <c r="R2263">
        <v>0</v>
      </c>
      <c r="S2263">
        <v>83</v>
      </c>
      <c r="T2263">
        <v>-0.16</v>
      </c>
      <c r="U2263">
        <v>90</v>
      </c>
      <c r="V2263">
        <v>-0.63</v>
      </c>
      <c r="W2263">
        <v>82</v>
      </c>
      <c r="X2263" t="s">
        <v>94</v>
      </c>
      <c r="Y2263" t="s">
        <v>1251</v>
      </c>
      <c r="Z2263" t="s">
        <v>96</v>
      </c>
      <c r="AA2263" t="s">
        <v>10413</v>
      </c>
      <c r="AB2263" t="s">
        <v>11985</v>
      </c>
      <c r="AC2263">
        <v>98</v>
      </c>
      <c r="AD2263">
        <v>62</v>
      </c>
      <c r="AE2263">
        <v>97</v>
      </c>
      <c r="AF2263">
        <v>-47.55</v>
      </c>
      <c r="AG2263">
        <v>4.96</v>
      </c>
      <c r="AH2263">
        <v>3.06</v>
      </c>
      <c r="AI2263">
        <v>0.12</v>
      </c>
      <c r="AJ2263">
        <v>0.08</v>
      </c>
      <c r="AK2263">
        <v>78</v>
      </c>
      <c r="AL2263">
        <v>104</v>
      </c>
      <c r="AM2263">
        <v>63</v>
      </c>
      <c r="AN2263">
        <v>-2.06</v>
      </c>
      <c r="AO2263">
        <v>0.94</v>
      </c>
      <c r="AP2263">
        <v>213</v>
      </c>
      <c r="AQ2263">
        <v>0</v>
      </c>
      <c r="AR2263">
        <v>10.71</v>
      </c>
      <c r="AS2263">
        <v>70</v>
      </c>
      <c r="AT2263">
        <v>4.3899999999999997</v>
      </c>
      <c r="AU2263">
        <v>88</v>
      </c>
      <c r="AV2263">
        <v>-0.15</v>
      </c>
      <c r="AW2263">
        <v>96</v>
      </c>
      <c r="AX2263">
        <v>0.22</v>
      </c>
      <c r="AY2263">
        <v>82</v>
      </c>
      <c r="AZ2263">
        <v>5.27</v>
      </c>
      <c r="BA2263">
        <v>67</v>
      </c>
      <c r="BB2263">
        <v>4.5599999999999996</v>
      </c>
      <c r="BC2263">
        <v>69</v>
      </c>
      <c r="BD2263">
        <v>0</v>
      </c>
      <c r="BE2263">
        <v>0</v>
      </c>
      <c r="BF2263">
        <v>0</v>
      </c>
      <c r="BG2263">
        <v>89</v>
      </c>
      <c r="BH2263">
        <v>-0.18</v>
      </c>
      <c r="BI2263">
        <v>-18.79</v>
      </c>
      <c r="BJ2263">
        <v>14</v>
      </c>
      <c r="BK2263">
        <v>8</v>
      </c>
      <c r="BL2263">
        <v>0.88</v>
      </c>
      <c r="BM2263">
        <v>1.17</v>
      </c>
      <c r="BN2263">
        <v>-0.18</v>
      </c>
      <c r="BO2263">
        <v>-0.74</v>
      </c>
      <c r="BP2263">
        <v>-0.28999999999999998</v>
      </c>
      <c r="BQ2263">
        <v>0.81</v>
      </c>
      <c r="BR2263">
        <v>-0.04</v>
      </c>
      <c r="BS2263">
        <v>-1.08</v>
      </c>
      <c r="BT2263">
        <v>-0.35</v>
      </c>
      <c r="BU2263">
        <v>1.05</v>
      </c>
      <c r="BV2263">
        <v>-0.31</v>
      </c>
      <c r="BW2263">
        <v>-0.91</v>
      </c>
      <c r="BX2263">
        <v>2.0299999999999998</v>
      </c>
      <c r="BY2263">
        <v>-0.39</v>
      </c>
      <c r="BZ2263">
        <v>0.76</v>
      </c>
      <c r="CA2263">
        <v>-0.48</v>
      </c>
      <c r="CB2263">
        <v>-0.26</v>
      </c>
      <c r="CC2263">
        <v>-0.86</v>
      </c>
      <c r="CD2263">
        <v>0.7</v>
      </c>
      <c r="CE2263">
        <v>-0.74</v>
      </c>
      <c r="CF2263">
        <v>0.62</v>
      </c>
      <c r="CG2263">
        <v>0</v>
      </c>
      <c r="CH2263">
        <v>0.3</v>
      </c>
      <c r="CI2263">
        <v>0</v>
      </c>
      <c r="CJ2263">
        <v>3.1</v>
      </c>
      <c r="CK2263">
        <v>93</v>
      </c>
      <c r="CL2263">
        <v>-0.71</v>
      </c>
      <c r="CM2263">
        <v>92</v>
      </c>
      <c r="CN2263">
        <v>-0.34</v>
      </c>
      <c r="CO2263">
        <v>91</v>
      </c>
      <c r="CP2263">
        <v>2.8</v>
      </c>
      <c r="CQ2263">
        <v>90</v>
      </c>
      <c r="CR2263">
        <v>0</v>
      </c>
      <c r="CS2263">
        <v>0</v>
      </c>
      <c r="CT2263">
        <v>14</v>
      </c>
      <c r="CU2263">
        <v>90</v>
      </c>
      <c r="CV2263">
        <v>0.26</v>
      </c>
      <c r="CW2263">
        <v>44</v>
      </c>
      <c r="CX2263" t="s">
        <v>1035</v>
      </c>
    </row>
    <row r="2264" spans="1:102" x14ac:dyDescent="0.3">
      <c r="A2264" t="str">
        <f>HYPERLINK("https://webapp.icbf.com/v2/app/bull-search/view/596280560","AY2076")</f>
        <v>AY2076</v>
      </c>
      <c r="B2264" t="s">
        <v>15645</v>
      </c>
      <c r="C2264" t="s">
        <v>6017</v>
      </c>
      <c r="D2264" s="1">
        <v>38378</v>
      </c>
      <c r="E2264" t="s">
        <v>1061</v>
      </c>
      <c r="F2264">
        <v>0</v>
      </c>
      <c r="G2264" t="s">
        <v>109</v>
      </c>
      <c r="H2264">
        <v>52.75</v>
      </c>
      <c r="I2264">
        <v>63</v>
      </c>
      <c r="J2264">
        <v>-15</v>
      </c>
      <c r="K2264">
        <v>84</v>
      </c>
      <c r="L2264">
        <v>54.36</v>
      </c>
      <c r="M2264">
        <v>80</v>
      </c>
      <c r="N2264">
        <v>10.64</v>
      </c>
      <c r="O2264">
        <v>48</v>
      </c>
      <c r="P2264">
        <v>-24.2</v>
      </c>
      <c r="Q2264">
        <v>30</v>
      </c>
      <c r="R2264">
        <v>0.91</v>
      </c>
      <c r="S2264">
        <v>14</v>
      </c>
      <c r="T2264">
        <v>30.77</v>
      </c>
      <c r="U2264">
        <v>9</v>
      </c>
      <c r="V2264">
        <v>-4.7300000000000004</v>
      </c>
      <c r="W2264">
        <v>19</v>
      </c>
      <c r="X2264" t="s">
        <v>428</v>
      </c>
      <c r="Y2264" t="s">
        <v>422</v>
      </c>
      <c r="Z2264">
        <v>0</v>
      </c>
      <c r="AA2264" t="s">
        <v>15646</v>
      </c>
      <c r="AB2264" t="s">
        <v>15647</v>
      </c>
      <c r="AC2264">
        <v>0</v>
      </c>
      <c r="AD2264">
        <v>0</v>
      </c>
      <c r="AE2264">
        <v>84</v>
      </c>
      <c r="AF2264">
        <v>-60.22</v>
      </c>
      <c r="AG2264">
        <v>-2.44</v>
      </c>
      <c r="AH2264">
        <v>-2.61</v>
      </c>
      <c r="AI2264">
        <v>0</v>
      </c>
      <c r="AJ2264">
        <v>-0.01</v>
      </c>
      <c r="AK2264">
        <v>80</v>
      </c>
      <c r="AL2264">
        <v>0</v>
      </c>
      <c r="AM2264">
        <v>0</v>
      </c>
      <c r="AN2264">
        <v>-1.06</v>
      </c>
      <c r="AO2264">
        <v>3.3</v>
      </c>
      <c r="AP2264">
        <v>32</v>
      </c>
      <c r="AQ2264">
        <v>0</v>
      </c>
      <c r="AR2264">
        <v>5.66</v>
      </c>
      <c r="AS2264">
        <v>22</v>
      </c>
      <c r="AT2264">
        <v>2.54</v>
      </c>
      <c r="AU2264">
        <v>85</v>
      </c>
      <c r="AV2264">
        <v>0.14000000000000001</v>
      </c>
      <c r="AW2264">
        <v>52</v>
      </c>
      <c r="AX2264">
        <v>-0.14000000000000001</v>
      </c>
      <c r="AY2264">
        <v>29</v>
      </c>
      <c r="AZ2264">
        <v>5.67</v>
      </c>
      <c r="BA2264">
        <v>11</v>
      </c>
      <c r="BB2264">
        <v>4.8099999999999996</v>
      </c>
      <c r="BC2264">
        <v>2</v>
      </c>
      <c r="BD2264">
        <v>0</v>
      </c>
      <c r="BE2264">
        <v>0.01</v>
      </c>
      <c r="BF2264">
        <v>-0.04</v>
      </c>
      <c r="BG2264">
        <v>18</v>
      </c>
      <c r="BH2264">
        <v>-0.09</v>
      </c>
      <c r="BI2264">
        <v>4.8499999999999996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-10.1</v>
      </c>
      <c r="CK2264">
        <v>34</v>
      </c>
      <c r="CL2264">
        <v>-0.74</v>
      </c>
      <c r="CM2264">
        <v>29</v>
      </c>
      <c r="CN2264">
        <v>0</v>
      </c>
      <c r="CO2264">
        <v>27</v>
      </c>
      <c r="CP2264">
        <v>-17.5</v>
      </c>
      <c r="CQ2264">
        <v>14</v>
      </c>
      <c r="CR2264">
        <v>0</v>
      </c>
      <c r="CS2264">
        <v>0</v>
      </c>
      <c r="CT2264">
        <v>-27.8</v>
      </c>
      <c r="CU2264">
        <v>9</v>
      </c>
      <c r="CV2264">
        <v>-0.04</v>
      </c>
      <c r="CW2264">
        <v>9</v>
      </c>
      <c r="CX2264" t="s">
        <v>15648</v>
      </c>
    </row>
    <row r="2265" spans="1:102" x14ac:dyDescent="0.3">
      <c r="A2265" t="str">
        <f>HYPERLINK("https://webapp.icbf.com/v2/app/bull-search/view/1547628947","FR4419")</f>
        <v>FR4419</v>
      </c>
      <c r="B2265" t="s">
        <v>9458</v>
      </c>
      <c r="C2265" t="s">
        <v>9459</v>
      </c>
      <c r="D2265" s="1">
        <v>42565</v>
      </c>
      <c r="E2265" t="s">
        <v>92</v>
      </c>
      <c r="F2265">
        <v>100</v>
      </c>
      <c r="G2265" t="s">
        <v>435</v>
      </c>
      <c r="H2265">
        <v>52.71</v>
      </c>
      <c r="I2265">
        <v>67</v>
      </c>
      <c r="J2265">
        <v>50.68</v>
      </c>
      <c r="K2265">
        <v>87</v>
      </c>
      <c r="L2265">
        <v>-38.9</v>
      </c>
      <c r="M2265">
        <v>65</v>
      </c>
      <c r="N2265">
        <v>44.47</v>
      </c>
      <c r="O2265">
        <v>70</v>
      </c>
      <c r="P2265">
        <v>-5.38</v>
      </c>
      <c r="Q2265">
        <v>35</v>
      </c>
      <c r="R2265">
        <v>15.41</v>
      </c>
      <c r="S2265">
        <v>60</v>
      </c>
      <c r="T2265">
        <v>-20.36</v>
      </c>
      <c r="U2265">
        <v>34</v>
      </c>
      <c r="V2265">
        <v>6.79</v>
      </c>
      <c r="W2265">
        <v>52</v>
      </c>
      <c r="X2265" t="s">
        <v>94</v>
      </c>
      <c r="Y2265" t="s">
        <v>2261</v>
      </c>
      <c r="Z2265" t="s">
        <v>96</v>
      </c>
      <c r="AA2265" t="s">
        <v>9460</v>
      </c>
      <c r="AB2265" t="s">
        <v>9461</v>
      </c>
      <c r="AC2265">
        <v>0</v>
      </c>
      <c r="AD2265">
        <v>0</v>
      </c>
      <c r="AE2265">
        <v>87</v>
      </c>
      <c r="AF2265">
        <v>289.85000000000002</v>
      </c>
      <c r="AG2265">
        <v>13.53</v>
      </c>
      <c r="AH2265">
        <v>8.27</v>
      </c>
      <c r="AI2265">
        <v>0.03</v>
      </c>
      <c r="AJ2265">
        <v>-0.02</v>
      </c>
      <c r="AK2265">
        <v>65</v>
      </c>
      <c r="AL2265">
        <v>0</v>
      </c>
      <c r="AM2265">
        <v>0</v>
      </c>
      <c r="AN2265">
        <v>2.2999999999999998</v>
      </c>
      <c r="AO2265">
        <v>-0.8</v>
      </c>
      <c r="AP2265">
        <v>52</v>
      </c>
      <c r="AQ2265">
        <v>0</v>
      </c>
      <c r="AR2265">
        <v>4.29</v>
      </c>
      <c r="AS2265">
        <v>61</v>
      </c>
      <c r="AT2265">
        <v>1.95</v>
      </c>
      <c r="AU2265">
        <v>90</v>
      </c>
      <c r="AV2265">
        <v>-3.46</v>
      </c>
      <c r="AW2265">
        <v>79</v>
      </c>
      <c r="AX2265">
        <v>0.26</v>
      </c>
      <c r="AY2265">
        <v>54</v>
      </c>
      <c r="AZ2265">
        <v>5.33</v>
      </c>
      <c r="BA2265">
        <v>33</v>
      </c>
      <c r="BB2265">
        <v>4.9800000000000004</v>
      </c>
      <c r="BC2265">
        <v>32</v>
      </c>
      <c r="BD2265">
        <v>-0.08</v>
      </c>
      <c r="BE2265">
        <v>-0.09</v>
      </c>
      <c r="BF2265">
        <v>-0.05</v>
      </c>
      <c r="BG2265">
        <v>73</v>
      </c>
      <c r="BH2265">
        <v>0.09</v>
      </c>
      <c r="BI2265">
        <v>-11.5</v>
      </c>
      <c r="BJ2265">
        <v>0</v>
      </c>
      <c r="BK2265">
        <v>0</v>
      </c>
      <c r="BL2265">
        <v>2.95</v>
      </c>
      <c r="BM2265">
        <v>0.44</v>
      </c>
      <c r="BN2265">
        <v>2.25</v>
      </c>
      <c r="BO2265">
        <v>1.98</v>
      </c>
      <c r="BP2265">
        <v>-1.31</v>
      </c>
      <c r="BQ2265">
        <v>3.02</v>
      </c>
      <c r="BR2265">
        <v>-0.04</v>
      </c>
      <c r="BS2265">
        <v>4.13</v>
      </c>
      <c r="BT2265">
        <v>2.15</v>
      </c>
      <c r="BU2265">
        <v>6.49</v>
      </c>
      <c r="BV2265">
        <v>4.5199999999999996</v>
      </c>
      <c r="BW2265">
        <v>3.56</v>
      </c>
      <c r="BX2265">
        <v>4.7699999999999996</v>
      </c>
      <c r="BY2265">
        <v>1.5</v>
      </c>
      <c r="BZ2265">
        <v>-1.08</v>
      </c>
      <c r="CA2265">
        <v>4.72</v>
      </c>
      <c r="CB2265">
        <v>4.3600000000000003</v>
      </c>
      <c r="CC2265">
        <v>2.89</v>
      </c>
      <c r="CD2265">
        <v>-0.47</v>
      </c>
      <c r="CE2265">
        <v>1.5</v>
      </c>
      <c r="CF2265">
        <v>2.59</v>
      </c>
      <c r="CG2265">
        <v>0</v>
      </c>
      <c r="CH2265">
        <v>2.63</v>
      </c>
      <c r="CI2265">
        <v>0</v>
      </c>
      <c r="CJ2265">
        <v>0.2</v>
      </c>
      <c r="CK2265">
        <v>35</v>
      </c>
      <c r="CL2265">
        <v>-1.89</v>
      </c>
      <c r="CM2265">
        <v>35</v>
      </c>
      <c r="CN2265">
        <v>-1.06</v>
      </c>
      <c r="CO2265">
        <v>35</v>
      </c>
      <c r="CP2265">
        <v>9.6</v>
      </c>
      <c r="CQ2265">
        <v>35</v>
      </c>
      <c r="CR2265">
        <v>0</v>
      </c>
      <c r="CS2265">
        <v>0</v>
      </c>
      <c r="CT2265">
        <v>41.3</v>
      </c>
      <c r="CU2265">
        <v>34</v>
      </c>
      <c r="CV2265">
        <v>0.24</v>
      </c>
      <c r="CW2265">
        <v>32</v>
      </c>
      <c r="CX2265" t="s">
        <v>412</v>
      </c>
    </row>
    <row r="2266" spans="1:102" x14ac:dyDescent="0.3">
      <c r="A2266" t="str">
        <f>HYPERLINK("https://webapp.icbf.com/v2/app/bull-search/view/1119998951","S1655")</f>
        <v>S1655</v>
      </c>
      <c r="B2266" t="s">
        <v>13193</v>
      </c>
      <c r="C2266" t="s">
        <v>8378</v>
      </c>
      <c r="D2266" s="1">
        <v>41043</v>
      </c>
      <c r="E2266" t="s">
        <v>92</v>
      </c>
      <c r="F2266">
        <v>100</v>
      </c>
      <c r="G2266" t="s">
        <v>109</v>
      </c>
      <c r="H2266">
        <v>52.58</v>
      </c>
      <c r="I2266">
        <v>85</v>
      </c>
      <c r="J2266">
        <v>40.090000000000003</v>
      </c>
      <c r="K2266">
        <v>96</v>
      </c>
      <c r="L2266">
        <v>-40.869999999999997</v>
      </c>
      <c r="M2266">
        <v>86</v>
      </c>
      <c r="N2266">
        <v>39</v>
      </c>
      <c r="O2266">
        <v>86</v>
      </c>
      <c r="P2266">
        <v>3.84</v>
      </c>
      <c r="Q2266">
        <v>84</v>
      </c>
      <c r="R2266">
        <v>11.19</v>
      </c>
      <c r="S2266">
        <v>78</v>
      </c>
      <c r="T2266">
        <v>-8.23</v>
      </c>
      <c r="U2266">
        <v>57</v>
      </c>
      <c r="V2266">
        <v>7.56</v>
      </c>
      <c r="W2266">
        <v>60</v>
      </c>
      <c r="X2266" t="s">
        <v>428</v>
      </c>
      <c r="Y2266" t="s">
        <v>362</v>
      </c>
      <c r="Z2266" t="s">
        <v>96</v>
      </c>
      <c r="AA2266" t="s">
        <v>1894</v>
      </c>
      <c r="AB2266" t="s">
        <v>13194</v>
      </c>
      <c r="AC2266">
        <v>99</v>
      </c>
      <c r="AD2266">
        <v>40</v>
      </c>
      <c r="AE2266">
        <v>96</v>
      </c>
      <c r="AF2266">
        <v>396.71</v>
      </c>
      <c r="AG2266">
        <v>8.5399999999999991</v>
      </c>
      <c r="AH2266">
        <v>9.8699999999999992</v>
      </c>
      <c r="AI2266">
        <v>-0.11</v>
      </c>
      <c r="AJ2266">
        <v>-0.06</v>
      </c>
      <c r="AK2266">
        <v>86</v>
      </c>
      <c r="AL2266">
        <v>0</v>
      </c>
      <c r="AM2266">
        <v>0</v>
      </c>
      <c r="AN2266">
        <v>2.19</v>
      </c>
      <c r="AO2266">
        <v>-1.07</v>
      </c>
      <c r="AP2266">
        <v>215</v>
      </c>
      <c r="AQ2266">
        <v>1</v>
      </c>
      <c r="AR2266">
        <v>7.18</v>
      </c>
      <c r="AS2266">
        <v>89</v>
      </c>
      <c r="AT2266">
        <v>2.75</v>
      </c>
      <c r="AU2266">
        <v>95</v>
      </c>
      <c r="AV2266">
        <v>-4.55</v>
      </c>
      <c r="AW2266">
        <v>95</v>
      </c>
      <c r="AX2266">
        <v>0.62</v>
      </c>
      <c r="AY2266">
        <v>83</v>
      </c>
      <c r="AZ2266">
        <v>5.57</v>
      </c>
      <c r="BA2266">
        <v>65</v>
      </c>
      <c r="BB2266">
        <v>5.2</v>
      </c>
      <c r="BC2266">
        <v>45</v>
      </c>
      <c r="BD2266">
        <v>-0.05</v>
      </c>
      <c r="BE2266">
        <v>-0.06</v>
      </c>
      <c r="BF2266">
        <v>-0.06</v>
      </c>
      <c r="BG2266">
        <v>93</v>
      </c>
      <c r="BH2266">
        <v>-0.02</v>
      </c>
      <c r="BI2266">
        <v>-26.7</v>
      </c>
      <c r="BJ2266">
        <v>15</v>
      </c>
      <c r="BK2266">
        <v>7</v>
      </c>
      <c r="BL2266">
        <v>1.74</v>
      </c>
      <c r="BM2266">
        <v>0.02</v>
      </c>
      <c r="BN2266">
        <v>0.08</v>
      </c>
      <c r="BO2266">
        <v>0.6</v>
      </c>
      <c r="BP2266">
        <v>-0.47</v>
      </c>
      <c r="BQ2266">
        <v>1.32</v>
      </c>
      <c r="BR2266">
        <v>-2.36</v>
      </c>
      <c r="BS2266">
        <v>2.4</v>
      </c>
      <c r="BT2266">
        <v>2.48</v>
      </c>
      <c r="BU2266">
        <v>4.0599999999999996</v>
      </c>
      <c r="BV2266">
        <v>3.77</v>
      </c>
      <c r="BW2266">
        <v>1.97</v>
      </c>
      <c r="BX2266">
        <v>3.83</v>
      </c>
      <c r="BY2266">
        <v>0.94</v>
      </c>
      <c r="BZ2266">
        <v>-0.23</v>
      </c>
      <c r="CA2266">
        <v>2.5</v>
      </c>
      <c r="CB2266">
        <v>2.41</v>
      </c>
      <c r="CC2266">
        <v>1.56</v>
      </c>
      <c r="CD2266">
        <v>0.01</v>
      </c>
      <c r="CE2266">
        <v>0.55000000000000004</v>
      </c>
      <c r="CF2266">
        <v>1.1000000000000001</v>
      </c>
      <c r="CG2266">
        <v>0</v>
      </c>
      <c r="CH2266">
        <v>0.56999999999999995</v>
      </c>
      <c r="CI2266">
        <v>0</v>
      </c>
      <c r="CJ2266">
        <v>4.4000000000000004</v>
      </c>
      <c r="CK2266">
        <v>87</v>
      </c>
      <c r="CL2266">
        <v>-0.99</v>
      </c>
      <c r="CM2266">
        <v>84</v>
      </c>
      <c r="CN2266">
        <v>-0.61</v>
      </c>
      <c r="CO2266">
        <v>82</v>
      </c>
      <c r="CP2266">
        <v>5.6</v>
      </c>
      <c r="CQ2266">
        <v>66</v>
      </c>
      <c r="CR2266">
        <v>0</v>
      </c>
      <c r="CS2266">
        <v>0</v>
      </c>
      <c r="CT2266">
        <v>24.9</v>
      </c>
      <c r="CU2266">
        <v>57</v>
      </c>
      <c r="CV2266">
        <v>0.28999999999999998</v>
      </c>
      <c r="CW2266">
        <v>43</v>
      </c>
      <c r="CX2266" t="s">
        <v>1572</v>
      </c>
    </row>
    <row r="2267" spans="1:102" x14ac:dyDescent="0.3">
      <c r="A2267" t="str">
        <f>HYPERLINK("https://webapp.icbf.com/v2/app/bull-search/view/495065067","VLN")</f>
        <v>VLN</v>
      </c>
      <c r="B2267" t="s">
        <v>12349</v>
      </c>
      <c r="C2267" t="s">
        <v>12350</v>
      </c>
      <c r="D2267" s="1">
        <v>38407</v>
      </c>
      <c r="E2267" t="s">
        <v>108</v>
      </c>
      <c r="F2267">
        <v>0</v>
      </c>
      <c r="G2267" t="s">
        <v>93</v>
      </c>
      <c r="H2267">
        <v>52.49</v>
      </c>
      <c r="I2267">
        <v>91</v>
      </c>
      <c r="J2267">
        <v>-37.17</v>
      </c>
      <c r="K2267">
        <v>98</v>
      </c>
      <c r="L2267">
        <v>66.95</v>
      </c>
      <c r="M2267">
        <v>83</v>
      </c>
      <c r="N2267">
        <v>12.09</v>
      </c>
      <c r="O2267">
        <v>90</v>
      </c>
      <c r="P2267">
        <v>-5.14</v>
      </c>
      <c r="Q2267">
        <v>96</v>
      </c>
      <c r="R2267">
        <v>2.77</v>
      </c>
      <c r="S2267">
        <v>86</v>
      </c>
      <c r="T2267">
        <v>18.41</v>
      </c>
      <c r="U2267">
        <v>93</v>
      </c>
      <c r="V2267">
        <v>-5.42</v>
      </c>
      <c r="W2267">
        <v>89</v>
      </c>
      <c r="X2267" t="s">
        <v>102</v>
      </c>
      <c r="Y2267" t="s">
        <v>1251</v>
      </c>
      <c r="Z2267" t="s">
        <v>96</v>
      </c>
      <c r="AA2267" t="s">
        <v>12351</v>
      </c>
      <c r="AB2267" t="s">
        <v>12352</v>
      </c>
      <c r="AC2267">
        <v>131</v>
      </c>
      <c r="AD2267">
        <v>89</v>
      </c>
      <c r="AE2267">
        <v>98</v>
      </c>
      <c r="AF2267">
        <v>-298.37</v>
      </c>
      <c r="AG2267">
        <v>-5.14</v>
      </c>
      <c r="AH2267">
        <v>-9.07</v>
      </c>
      <c r="AI2267">
        <v>0.12</v>
      </c>
      <c r="AJ2267">
        <v>0.02</v>
      </c>
      <c r="AK2267">
        <v>83</v>
      </c>
      <c r="AL2267">
        <v>177</v>
      </c>
      <c r="AM2267">
        <v>109</v>
      </c>
      <c r="AN2267">
        <v>-3.57</v>
      </c>
      <c r="AO2267">
        <v>1.77</v>
      </c>
      <c r="AP2267">
        <v>332</v>
      </c>
      <c r="AQ2267">
        <v>5</v>
      </c>
      <c r="AR2267">
        <v>8.2799999999999994</v>
      </c>
      <c r="AS2267">
        <v>77</v>
      </c>
      <c r="AT2267">
        <v>3.26</v>
      </c>
      <c r="AU2267">
        <v>92</v>
      </c>
      <c r="AV2267">
        <v>-2.35</v>
      </c>
      <c r="AW2267">
        <v>97</v>
      </c>
      <c r="AX2267">
        <v>-0.21</v>
      </c>
      <c r="AY2267">
        <v>88</v>
      </c>
      <c r="AZ2267">
        <v>7.5</v>
      </c>
      <c r="BA2267">
        <v>71</v>
      </c>
      <c r="BB2267">
        <v>5.48</v>
      </c>
      <c r="BC2267">
        <v>77</v>
      </c>
      <c r="BD2267">
        <v>0.02</v>
      </c>
      <c r="BE2267">
        <v>-0.03</v>
      </c>
      <c r="BF2267">
        <v>-0.04</v>
      </c>
      <c r="BG2267">
        <v>91</v>
      </c>
      <c r="BH2267">
        <v>-0.1</v>
      </c>
      <c r="BI2267">
        <v>5.9</v>
      </c>
      <c r="BJ2267">
        <v>28</v>
      </c>
      <c r="BK2267">
        <v>16</v>
      </c>
      <c r="BL2267">
        <v>-3.93</v>
      </c>
      <c r="BM2267">
        <v>2.31</v>
      </c>
      <c r="BN2267">
        <v>-2.93</v>
      </c>
      <c r="BO2267">
        <v>-3.87</v>
      </c>
      <c r="BP2267">
        <v>0.41</v>
      </c>
      <c r="BQ2267">
        <v>1.28</v>
      </c>
      <c r="BR2267">
        <v>-1.27</v>
      </c>
      <c r="BS2267">
        <v>0.6</v>
      </c>
      <c r="BT2267">
        <v>7.0000000000000007E-2</v>
      </c>
      <c r="BU2267">
        <v>-3.28</v>
      </c>
      <c r="BV2267">
        <v>-5.13</v>
      </c>
      <c r="BW2267">
        <v>-3.96</v>
      </c>
      <c r="BX2267">
        <v>-2.69</v>
      </c>
      <c r="BY2267">
        <v>-3.32</v>
      </c>
      <c r="BZ2267">
        <v>1.05</v>
      </c>
      <c r="CA2267">
        <v>-3.33</v>
      </c>
      <c r="CB2267">
        <v>-3.77</v>
      </c>
      <c r="CC2267">
        <v>-1.33</v>
      </c>
      <c r="CD2267">
        <v>3.92</v>
      </c>
      <c r="CE2267">
        <v>-2.95</v>
      </c>
      <c r="CF2267">
        <v>-2.79</v>
      </c>
      <c r="CG2267">
        <v>0</v>
      </c>
      <c r="CH2267">
        <v>-2.0499999999999998</v>
      </c>
      <c r="CI2267">
        <v>0</v>
      </c>
      <c r="CJ2267">
        <v>-5.4</v>
      </c>
      <c r="CK2267">
        <v>97</v>
      </c>
      <c r="CL2267">
        <v>0.32</v>
      </c>
      <c r="CM2267">
        <v>96</v>
      </c>
      <c r="CN2267">
        <v>-0.04</v>
      </c>
      <c r="CO2267">
        <v>96</v>
      </c>
      <c r="CP2267">
        <v>-9.6999999999999993</v>
      </c>
      <c r="CQ2267">
        <v>93</v>
      </c>
      <c r="CR2267">
        <v>0</v>
      </c>
      <c r="CS2267">
        <v>0</v>
      </c>
      <c r="CT2267">
        <v>-11.1</v>
      </c>
      <c r="CU2267">
        <v>93</v>
      </c>
      <c r="CV2267">
        <v>-0.13</v>
      </c>
      <c r="CW2267">
        <v>45</v>
      </c>
      <c r="CX2267" t="s">
        <v>12353</v>
      </c>
    </row>
    <row r="2268" spans="1:102" x14ac:dyDescent="0.3">
      <c r="A2268" t="str">
        <f>HYPERLINK("https://webapp.icbf.com/v2/app/bull-search/view/1028739021","FR4348")</f>
        <v>FR4348</v>
      </c>
      <c r="B2268" t="s">
        <v>10320</v>
      </c>
      <c r="C2268" t="s">
        <v>10321</v>
      </c>
      <c r="D2268" s="1">
        <v>41106</v>
      </c>
      <c r="E2268" t="s">
        <v>92</v>
      </c>
      <c r="F2268">
        <v>100</v>
      </c>
      <c r="G2268" t="s">
        <v>109</v>
      </c>
      <c r="H2268">
        <v>52.1</v>
      </c>
      <c r="I2268">
        <v>76</v>
      </c>
      <c r="J2268">
        <v>50.3</v>
      </c>
      <c r="K2268">
        <v>90</v>
      </c>
      <c r="L2268">
        <v>-18.11</v>
      </c>
      <c r="M2268">
        <v>79</v>
      </c>
      <c r="N2268">
        <v>18.93</v>
      </c>
      <c r="O2268">
        <v>82</v>
      </c>
      <c r="P2268">
        <v>-11.91</v>
      </c>
      <c r="Q2268">
        <v>46</v>
      </c>
      <c r="R2268">
        <v>9.15</v>
      </c>
      <c r="S2268">
        <v>71</v>
      </c>
      <c r="T2268">
        <v>-4.01</v>
      </c>
      <c r="U2268">
        <v>43</v>
      </c>
      <c r="V2268">
        <v>7.75</v>
      </c>
      <c r="W2268">
        <v>58</v>
      </c>
      <c r="X2268" t="s">
        <v>102</v>
      </c>
      <c r="Y2268" t="s">
        <v>453</v>
      </c>
      <c r="Z2268" t="s">
        <v>96</v>
      </c>
      <c r="AA2268" t="s">
        <v>401</v>
      </c>
      <c r="AB2268" t="s">
        <v>10322</v>
      </c>
      <c r="AC2268">
        <v>0</v>
      </c>
      <c r="AD2268">
        <v>0</v>
      </c>
      <c r="AE2268">
        <v>90</v>
      </c>
      <c r="AF2268">
        <v>550.98</v>
      </c>
      <c r="AG2268">
        <v>11.33</v>
      </c>
      <c r="AH2268">
        <v>12.98</v>
      </c>
      <c r="AI2268">
        <v>-0.16</v>
      </c>
      <c r="AJ2268">
        <v>-0.09</v>
      </c>
      <c r="AK2268">
        <v>79</v>
      </c>
      <c r="AL2268">
        <v>0</v>
      </c>
      <c r="AM2268">
        <v>0</v>
      </c>
      <c r="AN2268">
        <v>2.1</v>
      </c>
      <c r="AO2268">
        <v>0.67</v>
      </c>
      <c r="AP2268">
        <v>222</v>
      </c>
      <c r="AQ2268">
        <v>0</v>
      </c>
      <c r="AR2268">
        <v>7.81</v>
      </c>
      <c r="AS2268">
        <v>83</v>
      </c>
      <c r="AT2268">
        <v>3.56</v>
      </c>
      <c r="AU2268">
        <v>89</v>
      </c>
      <c r="AV2268">
        <v>-2.42</v>
      </c>
      <c r="AW2268">
        <v>93</v>
      </c>
      <c r="AX2268">
        <v>-0.5</v>
      </c>
      <c r="AY2268">
        <v>79</v>
      </c>
      <c r="AZ2268">
        <v>5.34</v>
      </c>
      <c r="BA2268">
        <v>44</v>
      </c>
      <c r="BB2268">
        <v>4.7</v>
      </c>
      <c r="BC2268">
        <v>43</v>
      </c>
      <c r="BD2268">
        <v>-0.02</v>
      </c>
      <c r="BE2268">
        <v>-0.03</v>
      </c>
      <c r="BF2268">
        <v>-0.12</v>
      </c>
      <c r="BG2268">
        <v>87</v>
      </c>
      <c r="BH2268">
        <v>0.01</v>
      </c>
      <c r="BI2268">
        <v>-23.83</v>
      </c>
      <c r="BJ2268">
        <v>0</v>
      </c>
      <c r="BK2268">
        <v>0</v>
      </c>
      <c r="BL2268">
        <v>1.84</v>
      </c>
      <c r="BM2268">
        <v>-1.26</v>
      </c>
      <c r="BN2268">
        <v>0.49</v>
      </c>
      <c r="BO2268">
        <v>1.48</v>
      </c>
      <c r="BP2268">
        <v>0.82</v>
      </c>
      <c r="BQ2268">
        <v>3.98</v>
      </c>
      <c r="BR2268">
        <v>-0.75</v>
      </c>
      <c r="BS2268">
        <v>3.19</v>
      </c>
      <c r="BT2268">
        <v>0.87</v>
      </c>
      <c r="BU2268">
        <v>3.48</v>
      </c>
      <c r="BV2268">
        <v>4.76</v>
      </c>
      <c r="BW2268">
        <v>4.28</v>
      </c>
      <c r="BX2268">
        <v>2.78</v>
      </c>
      <c r="BY2268">
        <v>1.26</v>
      </c>
      <c r="BZ2268">
        <v>1.93</v>
      </c>
      <c r="CA2268">
        <v>3.34</v>
      </c>
      <c r="CB2268">
        <v>3.16</v>
      </c>
      <c r="CC2268">
        <v>1.93</v>
      </c>
      <c r="CD2268">
        <v>-1.1399999999999999</v>
      </c>
      <c r="CE2268">
        <v>0.54</v>
      </c>
      <c r="CF2268">
        <v>0.52</v>
      </c>
      <c r="CG2268">
        <v>0</v>
      </c>
      <c r="CH2268">
        <v>1.27</v>
      </c>
      <c r="CI2268">
        <v>0</v>
      </c>
      <c r="CJ2268">
        <v>-5.2</v>
      </c>
      <c r="CK2268">
        <v>47</v>
      </c>
      <c r="CL2268">
        <v>-1.49</v>
      </c>
      <c r="CM2268">
        <v>45</v>
      </c>
      <c r="CN2268">
        <v>-0.84</v>
      </c>
      <c r="CO2268">
        <v>45</v>
      </c>
      <c r="CP2268">
        <v>5.4</v>
      </c>
      <c r="CQ2268">
        <v>44</v>
      </c>
      <c r="CR2268">
        <v>0</v>
      </c>
      <c r="CS2268">
        <v>0</v>
      </c>
      <c r="CT2268">
        <v>19.2</v>
      </c>
      <c r="CU2268">
        <v>43</v>
      </c>
      <c r="CV2268">
        <v>0.28000000000000003</v>
      </c>
      <c r="CW2268">
        <v>35</v>
      </c>
      <c r="CX2268" t="s">
        <v>348</v>
      </c>
    </row>
    <row r="2269" spans="1:102" x14ac:dyDescent="0.3">
      <c r="A2269" t="str">
        <f>HYPERLINK("https://webapp.icbf.com/v2/app/bull-search/view/135416336","SAO")</f>
        <v>SAO</v>
      </c>
      <c r="B2269" t="s">
        <v>11484</v>
      </c>
      <c r="C2269" t="s">
        <v>11485</v>
      </c>
      <c r="D2269" s="1">
        <v>36910</v>
      </c>
      <c r="E2269" t="s">
        <v>92</v>
      </c>
      <c r="F2269">
        <v>97</v>
      </c>
      <c r="G2269" t="s">
        <v>93</v>
      </c>
      <c r="H2269">
        <v>52.08</v>
      </c>
      <c r="I2269">
        <v>91</v>
      </c>
      <c r="J2269">
        <v>50.32</v>
      </c>
      <c r="K2269">
        <v>98</v>
      </c>
      <c r="L2269">
        <v>-42.05</v>
      </c>
      <c r="M2269">
        <v>84</v>
      </c>
      <c r="N2269">
        <v>29.88</v>
      </c>
      <c r="O2269">
        <v>89</v>
      </c>
      <c r="P2269">
        <v>-14.67</v>
      </c>
      <c r="Q2269">
        <v>95</v>
      </c>
      <c r="R2269">
        <v>10.41</v>
      </c>
      <c r="S2269">
        <v>86</v>
      </c>
      <c r="T2269">
        <v>14.79</v>
      </c>
      <c r="U2269">
        <v>91</v>
      </c>
      <c r="V2269">
        <v>3.4</v>
      </c>
      <c r="W2269">
        <v>82</v>
      </c>
      <c r="X2269" t="s">
        <v>94</v>
      </c>
      <c r="Y2269" t="s">
        <v>95</v>
      </c>
      <c r="Z2269" t="s">
        <v>96</v>
      </c>
      <c r="AA2269" t="s">
        <v>273</v>
      </c>
      <c r="AB2269" t="s">
        <v>11486</v>
      </c>
      <c r="AC2269">
        <v>127</v>
      </c>
      <c r="AD2269">
        <v>91</v>
      </c>
      <c r="AE2269">
        <v>98</v>
      </c>
      <c r="AF2269">
        <v>80.48</v>
      </c>
      <c r="AG2269">
        <v>6.81</v>
      </c>
      <c r="AH2269">
        <v>7.38</v>
      </c>
      <c r="AI2269">
        <v>0.06</v>
      </c>
      <c r="AJ2269">
        <v>0.08</v>
      </c>
      <c r="AK2269">
        <v>84</v>
      </c>
      <c r="AL2269">
        <v>130</v>
      </c>
      <c r="AM2269">
        <v>86</v>
      </c>
      <c r="AN2269">
        <v>1.8</v>
      </c>
      <c r="AO2269">
        <v>-1.56</v>
      </c>
      <c r="AP2269">
        <v>253</v>
      </c>
      <c r="AQ2269">
        <v>11</v>
      </c>
      <c r="AR2269">
        <v>4.53</v>
      </c>
      <c r="AS2269">
        <v>78</v>
      </c>
      <c r="AT2269">
        <v>2.52</v>
      </c>
      <c r="AU2269">
        <v>91</v>
      </c>
      <c r="AV2269">
        <v>-1.98</v>
      </c>
      <c r="AW2269">
        <v>96</v>
      </c>
      <c r="AX2269">
        <v>-0.67</v>
      </c>
      <c r="AY2269">
        <v>87</v>
      </c>
      <c r="AZ2269">
        <v>6.3</v>
      </c>
      <c r="BA2269">
        <v>73</v>
      </c>
      <c r="BB2269">
        <v>4.93</v>
      </c>
      <c r="BC2269">
        <v>76</v>
      </c>
      <c r="BD2269">
        <v>-0.05</v>
      </c>
      <c r="BE2269">
        <v>-0.04</v>
      </c>
      <c r="BF2269">
        <v>-0.08</v>
      </c>
      <c r="BG2269">
        <v>93</v>
      </c>
      <c r="BH2269">
        <v>0.28000000000000003</v>
      </c>
      <c r="BI2269">
        <v>21.43</v>
      </c>
      <c r="BJ2269">
        <v>34</v>
      </c>
      <c r="BK2269">
        <v>19</v>
      </c>
      <c r="BL2269">
        <v>1.17</v>
      </c>
      <c r="BM2269">
        <v>-2.1800000000000002</v>
      </c>
      <c r="BN2269">
        <v>-0.49</v>
      </c>
      <c r="BO2269">
        <v>1.1399999999999999</v>
      </c>
      <c r="BP2269">
        <v>-0.08</v>
      </c>
      <c r="BQ2269">
        <v>-0.54</v>
      </c>
      <c r="BR2269">
        <v>0.42</v>
      </c>
      <c r="BS2269">
        <v>0.22</v>
      </c>
      <c r="BT2269">
        <v>-1.1599999999999999</v>
      </c>
      <c r="BU2269">
        <v>0.86</v>
      </c>
      <c r="BV2269">
        <v>0.99</v>
      </c>
      <c r="BW2269">
        <v>0.77</v>
      </c>
      <c r="BX2269">
        <v>1.21</v>
      </c>
      <c r="BY2269">
        <v>0.89</v>
      </c>
      <c r="BZ2269">
        <v>1.61</v>
      </c>
      <c r="CA2269">
        <v>1.01</v>
      </c>
      <c r="CB2269">
        <v>1.0900000000000001</v>
      </c>
      <c r="CC2269">
        <v>0.06</v>
      </c>
      <c r="CD2269">
        <v>-2.14</v>
      </c>
      <c r="CE2269">
        <v>0.93</v>
      </c>
      <c r="CF2269">
        <v>-0.43</v>
      </c>
      <c r="CG2269">
        <v>0</v>
      </c>
      <c r="CH2269">
        <v>1.28</v>
      </c>
      <c r="CI2269">
        <v>0</v>
      </c>
      <c r="CJ2269">
        <v>-2.4</v>
      </c>
      <c r="CK2269">
        <v>96</v>
      </c>
      <c r="CL2269">
        <v>-1.17</v>
      </c>
      <c r="CM2269">
        <v>95</v>
      </c>
      <c r="CN2269">
        <v>-0.18</v>
      </c>
      <c r="CO2269">
        <v>95</v>
      </c>
      <c r="CP2269">
        <v>-9.3000000000000007</v>
      </c>
      <c r="CQ2269">
        <v>93</v>
      </c>
      <c r="CR2269">
        <v>0</v>
      </c>
      <c r="CS2269">
        <v>0</v>
      </c>
      <c r="CT2269">
        <v>-6.2</v>
      </c>
      <c r="CU2269">
        <v>91</v>
      </c>
      <c r="CV2269">
        <v>0.35</v>
      </c>
      <c r="CW2269">
        <v>45</v>
      </c>
      <c r="CX2269" t="s">
        <v>753</v>
      </c>
    </row>
    <row r="2270" spans="1:102" x14ac:dyDescent="0.3">
      <c r="A2270" t="str">
        <f>HYPERLINK("https://webapp.icbf.com/v2/app/bull-search/view/408750241","BZG")</f>
        <v>BZG</v>
      </c>
      <c r="B2270" t="s">
        <v>9968</v>
      </c>
      <c r="C2270" t="s">
        <v>9969</v>
      </c>
      <c r="D2270" s="1">
        <v>36392</v>
      </c>
      <c r="E2270" t="s">
        <v>395</v>
      </c>
      <c r="F2270">
        <v>0</v>
      </c>
      <c r="G2270" t="s">
        <v>93</v>
      </c>
      <c r="H2270">
        <v>51.68</v>
      </c>
      <c r="I2270">
        <v>85</v>
      </c>
      <c r="J2270">
        <v>-13.86</v>
      </c>
      <c r="K2270">
        <v>94</v>
      </c>
      <c r="L2270">
        <v>34.06</v>
      </c>
      <c r="M2270">
        <v>78</v>
      </c>
      <c r="N2270">
        <v>7.97</v>
      </c>
      <c r="O2270">
        <v>81</v>
      </c>
      <c r="P2270">
        <v>-1.1100000000000001</v>
      </c>
      <c r="Q2270">
        <v>90</v>
      </c>
      <c r="R2270">
        <v>11.67</v>
      </c>
      <c r="S2270">
        <v>69</v>
      </c>
      <c r="T2270">
        <v>11.53</v>
      </c>
      <c r="U2270">
        <v>92</v>
      </c>
      <c r="V2270">
        <v>1.42</v>
      </c>
      <c r="W2270">
        <v>69</v>
      </c>
      <c r="X2270" t="s">
        <v>131</v>
      </c>
      <c r="Y2270" t="s">
        <v>95</v>
      </c>
      <c r="Z2270">
        <v>0</v>
      </c>
      <c r="AA2270" t="s">
        <v>9970</v>
      </c>
      <c r="AB2270" t="s">
        <v>9971</v>
      </c>
      <c r="AC2270">
        <v>70</v>
      </c>
      <c r="AD2270">
        <v>50</v>
      </c>
      <c r="AE2270">
        <v>94</v>
      </c>
      <c r="AF2270">
        <v>-115.4</v>
      </c>
      <c r="AG2270">
        <v>-5.21</v>
      </c>
      <c r="AH2270">
        <v>-2.2799999999999998</v>
      </c>
      <c r="AI2270">
        <v>-0.01</v>
      </c>
      <c r="AJ2270">
        <v>0.03</v>
      </c>
      <c r="AK2270">
        <v>78</v>
      </c>
      <c r="AL2270">
        <v>76</v>
      </c>
      <c r="AM2270">
        <v>45</v>
      </c>
      <c r="AN2270">
        <v>-3.89</v>
      </c>
      <c r="AO2270">
        <v>-1.2</v>
      </c>
      <c r="AP2270">
        <v>156</v>
      </c>
      <c r="AQ2270">
        <v>1</v>
      </c>
      <c r="AR2270">
        <v>8.23</v>
      </c>
      <c r="AS2270">
        <v>79</v>
      </c>
      <c r="AT2270">
        <v>2.81</v>
      </c>
      <c r="AU2270">
        <v>78</v>
      </c>
      <c r="AV2270">
        <v>-1.66</v>
      </c>
      <c r="AW2270">
        <v>93</v>
      </c>
      <c r="AX2270">
        <v>0.7</v>
      </c>
      <c r="AY2270">
        <v>79</v>
      </c>
      <c r="AZ2270">
        <v>7.6</v>
      </c>
      <c r="BA2270">
        <v>51</v>
      </c>
      <c r="BB2270">
        <v>5.51</v>
      </c>
      <c r="BC2270">
        <v>57</v>
      </c>
      <c r="BD2270">
        <v>-0.02</v>
      </c>
      <c r="BE2270">
        <v>-0.05</v>
      </c>
      <c r="BF2270">
        <v>-0.14000000000000001</v>
      </c>
      <c r="BG2270">
        <v>79</v>
      </c>
      <c r="BH2270">
        <v>0.09</v>
      </c>
      <c r="BI2270">
        <v>5.83</v>
      </c>
      <c r="BJ2270">
        <v>2</v>
      </c>
      <c r="BK2270">
        <v>2</v>
      </c>
      <c r="BL2270">
        <v>-1.23</v>
      </c>
      <c r="BM2270">
        <v>0.51</v>
      </c>
      <c r="BN2270">
        <v>-1.28</v>
      </c>
      <c r="BO2270">
        <v>-1.17</v>
      </c>
      <c r="BP2270">
        <v>0.56999999999999995</v>
      </c>
      <c r="BQ2270">
        <v>-0.23</v>
      </c>
      <c r="BR2270">
        <v>-0.34</v>
      </c>
      <c r="BS2270">
        <v>0.75</v>
      </c>
      <c r="BT2270">
        <v>0.44</v>
      </c>
      <c r="BU2270">
        <v>-0.69</v>
      </c>
      <c r="BV2270">
        <v>-2.14</v>
      </c>
      <c r="BW2270">
        <v>-2.0099999999999998</v>
      </c>
      <c r="BX2270">
        <v>-0.75</v>
      </c>
      <c r="BY2270">
        <v>-1.57</v>
      </c>
      <c r="BZ2270">
        <v>-1.47</v>
      </c>
      <c r="CA2270">
        <v>-0.93</v>
      </c>
      <c r="CB2270">
        <v>-1.52</v>
      </c>
      <c r="CC2270">
        <v>0.55000000000000004</v>
      </c>
      <c r="CD2270">
        <v>1.32</v>
      </c>
      <c r="CE2270">
        <v>-1</v>
      </c>
      <c r="CF2270">
        <v>-1.37</v>
      </c>
      <c r="CG2270">
        <v>0</v>
      </c>
      <c r="CH2270">
        <v>-1.4</v>
      </c>
      <c r="CI2270">
        <v>0</v>
      </c>
      <c r="CJ2270">
        <v>-0.6</v>
      </c>
      <c r="CK2270">
        <v>91</v>
      </c>
      <c r="CL2270">
        <v>-0.23</v>
      </c>
      <c r="CM2270">
        <v>89</v>
      </c>
      <c r="CN2270">
        <v>-0.18</v>
      </c>
      <c r="CO2270">
        <v>87</v>
      </c>
      <c r="CP2270">
        <v>-0.1</v>
      </c>
      <c r="CQ2270">
        <v>86</v>
      </c>
      <c r="CR2270">
        <v>0</v>
      </c>
      <c r="CS2270">
        <v>0</v>
      </c>
      <c r="CT2270">
        <v>-1.8</v>
      </c>
      <c r="CU2270">
        <v>92</v>
      </c>
      <c r="CV2270">
        <v>-0.04</v>
      </c>
      <c r="CW2270">
        <v>26</v>
      </c>
      <c r="CX2270" t="s">
        <v>2406</v>
      </c>
    </row>
    <row r="2271" spans="1:102" x14ac:dyDescent="0.3">
      <c r="A2271" t="str">
        <f>HYPERLINK("https://webapp.icbf.com/v2/app/bull-search/view/743131655","DVX")</f>
        <v>DVX</v>
      </c>
      <c r="B2271" t="s">
        <v>15452</v>
      </c>
      <c r="C2271" t="s">
        <v>15453</v>
      </c>
      <c r="D2271" s="1">
        <v>39511</v>
      </c>
      <c r="E2271" t="s">
        <v>108</v>
      </c>
      <c r="F2271">
        <v>0</v>
      </c>
      <c r="G2271" t="s">
        <v>93</v>
      </c>
      <c r="H2271">
        <v>51.51</v>
      </c>
      <c r="I2271">
        <v>89</v>
      </c>
      <c r="J2271">
        <v>8.57</v>
      </c>
      <c r="K2271">
        <v>97</v>
      </c>
      <c r="L2271">
        <v>19.5</v>
      </c>
      <c r="M2271">
        <v>81</v>
      </c>
      <c r="N2271">
        <v>21.8</v>
      </c>
      <c r="O2271">
        <v>87</v>
      </c>
      <c r="P2271">
        <v>-17.149999999999999</v>
      </c>
      <c r="Q2271">
        <v>95</v>
      </c>
      <c r="R2271">
        <v>-5.03</v>
      </c>
      <c r="S2271">
        <v>80</v>
      </c>
      <c r="T2271">
        <v>20.41</v>
      </c>
      <c r="U2271">
        <v>90</v>
      </c>
      <c r="V2271">
        <v>3.41</v>
      </c>
      <c r="W2271">
        <v>81</v>
      </c>
      <c r="X2271" t="s">
        <v>102</v>
      </c>
      <c r="Y2271" t="s">
        <v>1727</v>
      </c>
      <c r="Z2271" t="s">
        <v>96</v>
      </c>
      <c r="AA2271" t="s">
        <v>5993</v>
      </c>
      <c r="AB2271" t="s">
        <v>15454</v>
      </c>
      <c r="AC2271">
        <v>91</v>
      </c>
      <c r="AD2271">
        <v>72</v>
      </c>
      <c r="AE2271">
        <v>97</v>
      </c>
      <c r="AF2271">
        <v>-106.09</v>
      </c>
      <c r="AG2271">
        <v>-3.21</v>
      </c>
      <c r="AH2271">
        <v>0.97</v>
      </c>
      <c r="AI2271">
        <v>0.02</v>
      </c>
      <c r="AJ2271">
        <v>0.08</v>
      </c>
      <c r="AK2271">
        <v>81</v>
      </c>
      <c r="AL2271">
        <v>120</v>
      </c>
      <c r="AM2271">
        <v>87</v>
      </c>
      <c r="AN2271">
        <v>-1.46</v>
      </c>
      <c r="AO2271">
        <v>0.09</v>
      </c>
      <c r="AP2271">
        <v>277</v>
      </c>
      <c r="AQ2271">
        <v>3</v>
      </c>
      <c r="AR2271">
        <v>7.99</v>
      </c>
      <c r="AS2271">
        <v>74</v>
      </c>
      <c r="AT2271">
        <v>3.41</v>
      </c>
      <c r="AU2271">
        <v>90</v>
      </c>
      <c r="AV2271">
        <v>-3.18</v>
      </c>
      <c r="AW2271">
        <v>96</v>
      </c>
      <c r="AX2271">
        <v>0.24</v>
      </c>
      <c r="AY2271">
        <v>85</v>
      </c>
      <c r="AZ2271">
        <v>5.84</v>
      </c>
      <c r="BA2271">
        <v>71</v>
      </c>
      <c r="BB2271">
        <v>5.0199999999999996</v>
      </c>
      <c r="BC2271">
        <v>71</v>
      </c>
      <c r="BD2271">
        <v>0.04</v>
      </c>
      <c r="BE2271">
        <v>0.01</v>
      </c>
      <c r="BF2271">
        <v>0.03</v>
      </c>
      <c r="BG2271">
        <v>88</v>
      </c>
      <c r="BH2271">
        <v>0.15</v>
      </c>
      <c r="BI2271">
        <v>6.36</v>
      </c>
      <c r="BJ2271">
        <v>22</v>
      </c>
      <c r="BK2271">
        <v>11</v>
      </c>
      <c r="BL2271">
        <v>-2.79</v>
      </c>
      <c r="BM2271">
        <v>0.25</v>
      </c>
      <c r="BN2271">
        <v>-3.21</v>
      </c>
      <c r="BO2271">
        <v>-2.34</v>
      </c>
      <c r="BP2271">
        <v>-1.89</v>
      </c>
      <c r="BQ2271">
        <v>1.28</v>
      </c>
      <c r="BR2271">
        <v>-2.5299999999999998</v>
      </c>
      <c r="BS2271">
        <v>-0.23</v>
      </c>
      <c r="BT2271">
        <v>1.18</v>
      </c>
      <c r="BU2271">
        <v>-2.84</v>
      </c>
      <c r="BV2271">
        <v>-2.3199999999999998</v>
      </c>
      <c r="BW2271">
        <v>-1.1200000000000001</v>
      </c>
      <c r="BX2271">
        <v>-1.54</v>
      </c>
      <c r="BY2271">
        <v>-1.08</v>
      </c>
      <c r="BZ2271">
        <v>-1.34</v>
      </c>
      <c r="CA2271">
        <v>-1.47</v>
      </c>
      <c r="CB2271">
        <v>-1.65</v>
      </c>
      <c r="CC2271">
        <v>-0.42</v>
      </c>
      <c r="CD2271">
        <v>0.89</v>
      </c>
      <c r="CE2271">
        <v>-1.53</v>
      </c>
      <c r="CF2271">
        <v>-2.75</v>
      </c>
      <c r="CG2271">
        <v>0</v>
      </c>
      <c r="CH2271">
        <v>-0.5</v>
      </c>
      <c r="CI2271">
        <v>0</v>
      </c>
      <c r="CJ2271">
        <v>-9.6</v>
      </c>
      <c r="CK2271">
        <v>96</v>
      </c>
      <c r="CL2271">
        <v>-0.47</v>
      </c>
      <c r="CM2271">
        <v>95</v>
      </c>
      <c r="CN2271">
        <v>-0.26</v>
      </c>
      <c r="CO2271">
        <v>94</v>
      </c>
      <c r="CP2271">
        <v>-14</v>
      </c>
      <c r="CQ2271">
        <v>91</v>
      </c>
      <c r="CR2271">
        <v>0</v>
      </c>
      <c r="CS2271">
        <v>0</v>
      </c>
      <c r="CT2271">
        <v>-13.8</v>
      </c>
      <c r="CU2271">
        <v>90</v>
      </c>
      <c r="CV2271">
        <v>0.03</v>
      </c>
      <c r="CW2271">
        <v>45</v>
      </c>
      <c r="CX2271" t="s">
        <v>4745</v>
      </c>
    </row>
    <row r="2272" spans="1:102" x14ac:dyDescent="0.3">
      <c r="A2272" t="str">
        <f>HYPERLINK("https://webapp.icbf.com/v2/app/bull-search/view/108379866","NIO")</f>
        <v>NIO</v>
      </c>
      <c r="B2272" t="s">
        <v>11367</v>
      </c>
      <c r="C2272" t="s">
        <v>11368</v>
      </c>
      <c r="D2272" s="1">
        <v>35503</v>
      </c>
      <c r="E2272" t="s">
        <v>146</v>
      </c>
      <c r="F2272">
        <v>6</v>
      </c>
      <c r="G2272" t="s">
        <v>93</v>
      </c>
      <c r="H2272">
        <v>51.41</v>
      </c>
      <c r="I2272">
        <v>78</v>
      </c>
      <c r="J2272">
        <v>-62.23</v>
      </c>
      <c r="K2272">
        <v>94</v>
      </c>
      <c r="L2272">
        <v>94.25</v>
      </c>
      <c r="M2272">
        <v>62</v>
      </c>
      <c r="N2272">
        <v>10.01</v>
      </c>
      <c r="O2272">
        <v>76</v>
      </c>
      <c r="P2272">
        <v>-1.06</v>
      </c>
      <c r="Q2272">
        <v>92</v>
      </c>
      <c r="R2272">
        <v>2.38</v>
      </c>
      <c r="S2272">
        <v>70</v>
      </c>
      <c r="T2272">
        <v>14.12</v>
      </c>
      <c r="U2272">
        <v>81</v>
      </c>
      <c r="V2272">
        <v>-6.06</v>
      </c>
      <c r="W2272">
        <v>66</v>
      </c>
      <c r="X2272" t="s">
        <v>276</v>
      </c>
      <c r="Y2272" t="s">
        <v>95</v>
      </c>
      <c r="Z2272">
        <v>0</v>
      </c>
      <c r="AA2272" t="s">
        <v>2863</v>
      </c>
      <c r="AB2272" t="s">
        <v>11369</v>
      </c>
      <c r="AC2272">
        <v>72</v>
      </c>
      <c r="AD2272">
        <v>27</v>
      </c>
      <c r="AE2272">
        <v>94</v>
      </c>
      <c r="AF2272">
        <v>-539.29</v>
      </c>
      <c r="AG2272">
        <v>-12.15</v>
      </c>
      <c r="AH2272">
        <v>-14.54</v>
      </c>
      <c r="AI2272">
        <v>0.16</v>
      </c>
      <c r="AJ2272">
        <v>7.0000000000000007E-2</v>
      </c>
      <c r="AK2272">
        <v>62</v>
      </c>
      <c r="AL2272">
        <v>80</v>
      </c>
      <c r="AM2272">
        <v>36</v>
      </c>
      <c r="AN2272">
        <v>-5.61</v>
      </c>
      <c r="AO2272">
        <v>1.9</v>
      </c>
      <c r="AP2272">
        <v>96</v>
      </c>
      <c r="AQ2272">
        <v>5</v>
      </c>
      <c r="AR2272">
        <v>8.15</v>
      </c>
      <c r="AS2272">
        <v>58</v>
      </c>
      <c r="AT2272">
        <v>3.44</v>
      </c>
      <c r="AU2272">
        <v>74</v>
      </c>
      <c r="AV2272">
        <v>-1.79</v>
      </c>
      <c r="AW2272">
        <v>89</v>
      </c>
      <c r="AX2272">
        <v>0.11</v>
      </c>
      <c r="AY2272">
        <v>77</v>
      </c>
      <c r="AZ2272">
        <v>5.86</v>
      </c>
      <c r="BA2272">
        <v>45</v>
      </c>
      <c r="BB2272">
        <v>5.09</v>
      </c>
      <c r="BC2272">
        <v>56</v>
      </c>
      <c r="BD2272">
        <v>0.02</v>
      </c>
      <c r="BE2272">
        <v>-0.02</v>
      </c>
      <c r="BF2272">
        <v>-0.05</v>
      </c>
      <c r="BG2272">
        <v>79</v>
      </c>
      <c r="BH2272">
        <v>-0.16</v>
      </c>
      <c r="BI2272">
        <v>1.05</v>
      </c>
      <c r="BJ2272">
        <v>0</v>
      </c>
      <c r="BK2272">
        <v>0</v>
      </c>
      <c r="BL2272">
        <v>-1.46</v>
      </c>
      <c r="BM2272">
        <v>0.78</v>
      </c>
      <c r="BN2272">
        <v>-1.53</v>
      </c>
      <c r="BO2272">
        <v>-1.66</v>
      </c>
      <c r="BP2272">
        <v>1.32</v>
      </c>
      <c r="BQ2272">
        <v>-0.38</v>
      </c>
      <c r="BR2272">
        <v>0.21</v>
      </c>
      <c r="BS2272">
        <v>0.64</v>
      </c>
      <c r="BT2272">
        <v>-0.31</v>
      </c>
      <c r="BU2272">
        <v>-1.42</v>
      </c>
      <c r="BV2272">
        <v>-2.16</v>
      </c>
      <c r="BW2272">
        <v>-1.9</v>
      </c>
      <c r="BX2272">
        <v>-1.1299999999999999</v>
      </c>
      <c r="BY2272">
        <v>-1.95</v>
      </c>
      <c r="BZ2272">
        <v>0.4</v>
      </c>
      <c r="CA2272">
        <v>-1.28</v>
      </c>
      <c r="CB2272">
        <v>-1.67</v>
      </c>
      <c r="CC2272">
        <v>-0.05</v>
      </c>
      <c r="CD2272">
        <v>1.22</v>
      </c>
      <c r="CE2272">
        <v>-1.51</v>
      </c>
      <c r="CF2272">
        <v>-1.4</v>
      </c>
      <c r="CG2272">
        <v>0</v>
      </c>
      <c r="CH2272">
        <v>-1.06</v>
      </c>
      <c r="CI2272">
        <v>0</v>
      </c>
      <c r="CJ2272">
        <v>-2.9</v>
      </c>
      <c r="CK2272">
        <v>93</v>
      </c>
      <c r="CL2272">
        <v>0.03</v>
      </c>
      <c r="CM2272">
        <v>92</v>
      </c>
      <c r="CN2272">
        <v>-0.28999999999999998</v>
      </c>
      <c r="CO2272">
        <v>91</v>
      </c>
      <c r="CP2272">
        <v>-5.0999999999999996</v>
      </c>
      <c r="CQ2272">
        <v>89</v>
      </c>
      <c r="CR2272">
        <v>0</v>
      </c>
      <c r="CS2272">
        <v>0</v>
      </c>
      <c r="CT2272">
        <v>-5.3</v>
      </c>
      <c r="CU2272">
        <v>81</v>
      </c>
      <c r="CV2272">
        <v>-0.09</v>
      </c>
      <c r="CW2272">
        <v>26</v>
      </c>
      <c r="CX2272" t="s">
        <v>11370</v>
      </c>
    </row>
    <row r="2273" spans="1:102" x14ac:dyDescent="0.3">
      <c r="A2273" t="str">
        <f>HYPERLINK("https://webapp.icbf.com/v2/app/bull-search/view/77855953","KLL")</f>
        <v>KLL</v>
      </c>
      <c r="B2273" t="s">
        <v>3448</v>
      </c>
      <c r="C2273" t="s">
        <v>3449</v>
      </c>
      <c r="D2273" s="1">
        <v>35454</v>
      </c>
      <c r="E2273" t="s">
        <v>92</v>
      </c>
      <c r="F2273">
        <v>100</v>
      </c>
      <c r="G2273" t="s">
        <v>93</v>
      </c>
      <c r="H2273">
        <v>51.37</v>
      </c>
      <c r="I2273">
        <v>74</v>
      </c>
      <c r="J2273">
        <v>87.28</v>
      </c>
      <c r="K2273">
        <v>92</v>
      </c>
      <c r="L2273">
        <v>-49.97</v>
      </c>
      <c r="M2273">
        <v>59</v>
      </c>
      <c r="N2273">
        <v>23.05</v>
      </c>
      <c r="O2273">
        <v>66</v>
      </c>
      <c r="P2273">
        <v>-6.66</v>
      </c>
      <c r="Q2273">
        <v>78</v>
      </c>
      <c r="R2273">
        <v>-6.89</v>
      </c>
      <c r="S2273">
        <v>65</v>
      </c>
      <c r="T2273">
        <v>11.38</v>
      </c>
      <c r="U2273">
        <v>80</v>
      </c>
      <c r="V2273">
        <v>-6.82</v>
      </c>
      <c r="W2273">
        <v>51</v>
      </c>
      <c r="X2273" t="s">
        <v>94</v>
      </c>
      <c r="Y2273" t="s">
        <v>95</v>
      </c>
      <c r="Z2273" t="s">
        <v>96</v>
      </c>
      <c r="AA2273" t="s">
        <v>188</v>
      </c>
      <c r="AB2273" t="s">
        <v>3450</v>
      </c>
      <c r="AC2273">
        <v>44</v>
      </c>
      <c r="AD2273">
        <v>11</v>
      </c>
      <c r="AE2273">
        <v>92</v>
      </c>
      <c r="AF2273">
        <v>297.48</v>
      </c>
      <c r="AG2273">
        <v>21.28</v>
      </c>
      <c r="AH2273">
        <v>11.87</v>
      </c>
      <c r="AI2273">
        <v>0.15</v>
      </c>
      <c r="AJ2273">
        <v>0.03</v>
      </c>
      <c r="AK2273">
        <v>59</v>
      </c>
      <c r="AL2273">
        <v>46</v>
      </c>
      <c r="AM2273">
        <v>9</v>
      </c>
      <c r="AN2273">
        <v>4.7</v>
      </c>
      <c r="AO2273">
        <v>0.74</v>
      </c>
      <c r="AP2273">
        <v>49</v>
      </c>
      <c r="AQ2273">
        <v>0</v>
      </c>
      <c r="AR2273">
        <v>5.83</v>
      </c>
      <c r="AS2273">
        <v>52</v>
      </c>
      <c r="AT2273">
        <v>2.71</v>
      </c>
      <c r="AU2273">
        <v>66</v>
      </c>
      <c r="AV2273">
        <v>-1.46</v>
      </c>
      <c r="AW2273">
        <v>74</v>
      </c>
      <c r="AX2273">
        <v>-0.27</v>
      </c>
      <c r="AY2273">
        <v>65</v>
      </c>
      <c r="AZ2273">
        <v>5.35</v>
      </c>
      <c r="BA2273">
        <v>48</v>
      </c>
      <c r="BB2273">
        <v>4.6900000000000004</v>
      </c>
      <c r="BC2273">
        <v>53</v>
      </c>
      <c r="BD2273">
        <v>0.02</v>
      </c>
      <c r="BE2273">
        <v>0.05</v>
      </c>
      <c r="BF2273">
        <v>0.03</v>
      </c>
      <c r="BG2273">
        <v>74</v>
      </c>
      <c r="BH2273">
        <v>-0.13</v>
      </c>
      <c r="BI2273">
        <v>6.97</v>
      </c>
      <c r="BJ2273">
        <v>1</v>
      </c>
      <c r="BK2273">
        <v>1</v>
      </c>
      <c r="BL2273">
        <v>0.26</v>
      </c>
      <c r="BM2273">
        <v>-0.34</v>
      </c>
      <c r="BN2273">
        <v>-0.44</v>
      </c>
      <c r="BO2273">
        <v>0.17</v>
      </c>
      <c r="BP2273">
        <v>1.6</v>
      </c>
      <c r="BQ2273">
        <v>-0.82</v>
      </c>
      <c r="BR2273">
        <v>0.95</v>
      </c>
      <c r="BS2273">
        <v>-0.63</v>
      </c>
      <c r="BT2273">
        <v>-0.67</v>
      </c>
      <c r="BU2273">
        <v>-0.23</v>
      </c>
      <c r="BV2273">
        <v>-0.14000000000000001</v>
      </c>
      <c r="BW2273">
        <v>-0.71</v>
      </c>
      <c r="BX2273">
        <v>-0.73</v>
      </c>
      <c r="BY2273">
        <v>-0.15</v>
      </c>
      <c r="BZ2273">
        <v>0.59</v>
      </c>
      <c r="CA2273">
        <v>-0.44</v>
      </c>
      <c r="CB2273">
        <v>-0.16</v>
      </c>
      <c r="CC2273">
        <v>-0.87</v>
      </c>
      <c r="CD2273">
        <v>-0.23</v>
      </c>
      <c r="CE2273">
        <v>0.16</v>
      </c>
      <c r="CF2273">
        <v>-0.43</v>
      </c>
      <c r="CG2273">
        <v>0</v>
      </c>
      <c r="CH2273">
        <v>-0.02</v>
      </c>
      <c r="CI2273">
        <v>0</v>
      </c>
      <c r="CJ2273">
        <v>-1.7</v>
      </c>
      <c r="CK2273">
        <v>79</v>
      </c>
      <c r="CL2273">
        <v>-0.59</v>
      </c>
      <c r="CM2273">
        <v>76</v>
      </c>
      <c r="CN2273">
        <v>-0.18</v>
      </c>
      <c r="CO2273">
        <v>72</v>
      </c>
      <c r="CP2273">
        <v>-2.2000000000000002</v>
      </c>
      <c r="CQ2273">
        <v>82</v>
      </c>
      <c r="CR2273">
        <v>0</v>
      </c>
      <c r="CS2273">
        <v>0</v>
      </c>
      <c r="CT2273">
        <v>-1.6</v>
      </c>
      <c r="CU2273">
        <v>80</v>
      </c>
      <c r="CV2273">
        <v>0.08</v>
      </c>
      <c r="CW2273">
        <v>22</v>
      </c>
      <c r="CX2273" t="s">
        <v>612</v>
      </c>
    </row>
    <row r="2274" spans="1:102" x14ac:dyDescent="0.3">
      <c r="A2274" t="str">
        <f>HYPERLINK("https://webapp.icbf.com/v2/app/bull-search/view/495058859","NZB")</f>
        <v>NZB</v>
      </c>
      <c r="B2274" t="s">
        <v>12592</v>
      </c>
      <c r="C2274" t="s">
        <v>12593</v>
      </c>
      <c r="D2274" s="1">
        <v>38403</v>
      </c>
      <c r="E2274" t="s">
        <v>108</v>
      </c>
      <c r="F2274">
        <v>0</v>
      </c>
      <c r="G2274" t="s">
        <v>93</v>
      </c>
      <c r="H2274">
        <v>51.36</v>
      </c>
      <c r="I2274">
        <v>88</v>
      </c>
      <c r="J2274">
        <v>-14.35</v>
      </c>
      <c r="K2274">
        <v>97</v>
      </c>
      <c r="L2274">
        <v>44.1</v>
      </c>
      <c r="M2274">
        <v>79</v>
      </c>
      <c r="N2274">
        <v>27.96</v>
      </c>
      <c r="O2274">
        <v>87</v>
      </c>
      <c r="P2274">
        <v>-12.31</v>
      </c>
      <c r="Q2274">
        <v>94</v>
      </c>
      <c r="R2274">
        <v>-4.49</v>
      </c>
      <c r="S2274">
        <v>83</v>
      </c>
      <c r="T2274">
        <v>12.72</v>
      </c>
      <c r="U2274">
        <v>88</v>
      </c>
      <c r="V2274">
        <v>-2.27</v>
      </c>
      <c r="W2274">
        <v>85</v>
      </c>
      <c r="X2274" t="s">
        <v>102</v>
      </c>
      <c r="Y2274" t="s">
        <v>1251</v>
      </c>
      <c r="Z2274" t="s">
        <v>96</v>
      </c>
      <c r="AA2274" t="s">
        <v>10251</v>
      </c>
      <c r="AB2274" t="s">
        <v>12594</v>
      </c>
      <c r="AC2274">
        <v>105</v>
      </c>
      <c r="AD2274">
        <v>70</v>
      </c>
      <c r="AE2274">
        <v>97</v>
      </c>
      <c r="AF2274">
        <v>-171.13</v>
      </c>
      <c r="AG2274">
        <v>-2.91</v>
      </c>
      <c r="AH2274">
        <v>-4.03</v>
      </c>
      <c r="AI2274">
        <v>7.0000000000000007E-2</v>
      </c>
      <c r="AJ2274">
        <v>0.03</v>
      </c>
      <c r="AK2274">
        <v>79</v>
      </c>
      <c r="AL2274">
        <v>116</v>
      </c>
      <c r="AM2274">
        <v>74</v>
      </c>
      <c r="AN2274">
        <v>-2.96</v>
      </c>
      <c r="AO2274">
        <v>0.55000000000000004</v>
      </c>
      <c r="AP2274">
        <v>223</v>
      </c>
      <c r="AQ2274">
        <v>3</v>
      </c>
      <c r="AR2274">
        <v>5.45</v>
      </c>
      <c r="AS2274">
        <v>73</v>
      </c>
      <c r="AT2274">
        <v>2.71</v>
      </c>
      <c r="AU2274">
        <v>89</v>
      </c>
      <c r="AV2274">
        <v>-2.5299999999999998</v>
      </c>
      <c r="AW2274">
        <v>96</v>
      </c>
      <c r="AX2274">
        <v>-0.89</v>
      </c>
      <c r="AY2274">
        <v>84</v>
      </c>
      <c r="AZ2274">
        <v>6.28</v>
      </c>
      <c r="BA2274">
        <v>67</v>
      </c>
      <c r="BB2274">
        <v>5.63</v>
      </c>
      <c r="BC2274">
        <v>71</v>
      </c>
      <c r="BD2274">
        <v>0.02</v>
      </c>
      <c r="BE2274">
        <v>0</v>
      </c>
      <c r="BF2274">
        <v>7.0000000000000007E-2</v>
      </c>
      <c r="BG2274">
        <v>89</v>
      </c>
      <c r="BH2274">
        <v>-0.15</v>
      </c>
      <c r="BI2274">
        <v>-10.029999999999999</v>
      </c>
      <c r="BJ2274">
        <v>11</v>
      </c>
      <c r="BK2274">
        <v>10</v>
      </c>
      <c r="BL2274">
        <v>-4.2</v>
      </c>
      <c r="BM2274">
        <v>0.26</v>
      </c>
      <c r="BN2274">
        <v>-3.64</v>
      </c>
      <c r="BO2274">
        <v>-3.23</v>
      </c>
      <c r="BP2274">
        <v>-1.79</v>
      </c>
      <c r="BQ2274">
        <v>0.67</v>
      </c>
      <c r="BR2274">
        <v>-2.11</v>
      </c>
      <c r="BS2274">
        <v>-0.16</v>
      </c>
      <c r="BT2274">
        <v>0.18</v>
      </c>
      <c r="BU2274">
        <v>-4.22</v>
      </c>
      <c r="BV2274">
        <v>-4.95</v>
      </c>
      <c r="BW2274">
        <v>-3.15</v>
      </c>
      <c r="BX2274">
        <v>-2.0299999999999998</v>
      </c>
      <c r="BY2274">
        <v>-1.71</v>
      </c>
      <c r="BZ2274">
        <v>0.31</v>
      </c>
      <c r="CA2274">
        <v>-3.52</v>
      </c>
      <c r="CB2274">
        <v>-3.89</v>
      </c>
      <c r="CC2274">
        <v>-1.59</v>
      </c>
      <c r="CD2274">
        <v>1.6</v>
      </c>
      <c r="CE2274">
        <v>-2.2599999999999998</v>
      </c>
      <c r="CF2274">
        <v>-3.62</v>
      </c>
      <c r="CG2274">
        <v>0</v>
      </c>
      <c r="CH2274">
        <v>-2.14</v>
      </c>
      <c r="CI2274">
        <v>0</v>
      </c>
      <c r="CJ2274">
        <v>-8.1999999999999993</v>
      </c>
      <c r="CK2274">
        <v>95</v>
      </c>
      <c r="CL2274">
        <v>-0.23</v>
      </c>
      <c r="CM2274">
        <v>94</v>
      </c>
      <c r="CN2274">
        <v>-0.26</v>
      </c>
      <c r="CO2274">
        <v>93</v>
      </c>
      <c r="CP2274">
        <v>-11.1</v>
      </c>
      <c r="CQ2274">
        <v>90</v>
      </c>
      <c r="CR2274">
        <v>0</v>
      </c>
      <c r="CS2274">
        <v>0</v>
      </c>
      <c r="CT2274">
        <v>-3.4</v>
      </c>
      <c r="CU2274">
        <v>88</v>
      </c>
      <c r="CV2274">
        <v>0.02</v>
      </c>
      <c r="CW2274">
        <v>44</v>
      </c>
      <c r="CX2274" t="s">
        <v>2821</v>
      </c>
    </row>
    <row r="2275" spans="1:102" x14ac:dyDescent="0.3">
      <c r="A2275" t="str">
        <f>HYPERLINK("https://webapp.icbf.com/v2/app/bull-search/view/529826928","EMM")</f>
        <v>EMM</v>
      </c>
      <c r="B2275" t="s">
        <v>15264</v>
      </c>
      <c r="C2275" t="s">
        <v>474</v>
      </c>
      <c r="D2275" s="1">
        <v>37607</v>
      </c>
      <c r="E2275" t="s">
        <v>92</v>
      </c>
      <c r="F2275">
        <v>100</v>
      </c>
      <c r="G2275" t="s">
        <v>93</v>
      </c>
      <c r="H2275">
        <v>51.34</v>
      </c>
      <c r="I2275">
        <v>97</v>
      </c>
      <c r="J2275">
        <v>58.82</v>
      </c>
      <c r="K2275">
        <v>99</v>
      </c>
      <c r="L2275">
        <v>-18.010000000000002</v>
      </c>
      <c r="M2275">
        <v>94</v>
      </c>
      <c r="N2275">
        <v>-1.28</v>
      </c>
      <c r="O2275">
        <v>97</v>
      </c>
      <c r="P2275">
        <v>-6.75</v>
      </c>
      <c r="Q2275">
        <v>99</v>
      </c>
      <c r="R2275">
        <v>3.25</v>
      </c>
      <c r="S2275">
        <v>93</v>
      </c>
      <c r="T2275">
        <v>10.64</v>
      </c>
      <c r="U2275">
        <v>98</v>
      </c>
      <c r="V2275">
        <v>4.67</v>
      </c>
      <c r="W2275">
        <v>95</v>
      </c>
      <c r="X2275" t="s">
        <v>102</v>
      </c>
      <c r="Y2275" t="s">
        <v>270</v>
      </c>
      <c r="Z2275" t="s">
        <v>96</v>
      </c>
      <c r="AA2275" t="s">
        <v>4470</v>
      </c>
      <c r="AB2275" t="s">
        <v>15265</v>
      </c>
      <c r="AC2275">
        <v>758</v>
      </c>
      <c r="AD2275">
        <v>295</v>
      </c>
      <c r="AE2275">
        <v>99</v>
      </c>
      <c r="AF2275">
        <v>199.03</v>
      </c>
      <c r="AG2275">
        <v>8.48</v>
      </c>
      <c r="AH2275">
        <v>10.050000000000001</v>
      </c>
      <c r="AI2275">
        <v>0.01</v>
      </c>
      <c r="AJ2275">
        <v>0.06</v>
      </c>
      <c r="AK2275">
        <v>94</v>
      </c>
      <c r="AL2275">
        <v>817</v>
      </c>
      <c r="AM2275">
        <v>332</v>
      </c>
      <c r="AN2275">
        <v>2.23</v>
      </c>
      <c r="AO2275">
        <v>0.81</v>
      </c>
      <c r="AP2275">
        <v>1285</v>
      </c>
      <c r="AQ2275">
        <v>7</v>
      </c>
      <c r="AR2275">
        <v>10.86</v>
      </c>
      <c r="AS2275">
        <v>96</v>
      </c>
      <c r="AT2275">
        <v>3.77</v>
      </c>
      <c r="AU2275">
        <v>97</v>
      </c>
      <c r="AV2275">
        <v>-1.42</v>
      </c>
      <c r="AW2275">
        <v>99</v>
      </c>
      <c r="AX2275">
        <v>0.44</v>
      </c>
      <c r="AY2275">
        <v>97</v>
      </c>
      <c r="AZ2275">
        <v>5.24</v>
      </c>
      <c r="BA2275">
        <v>90</v>
      </c>
      <c r="BB2275">
        <v>4.3899999999999997</v>
      </c>
      <c r="BC2275">
        <v>91</v>
      </c>
      <c r="BD2275">
        <v>-0.04</v>
      </c>
      <c r="BE2275">
        <v>-0.02</v>
      </c>
      <c r="BF2275">
        <v>0.03</v>
      </c>
      <c r="BG2275">
        <v>97</v>
      </c>
      <c r="BH2275">
        <v>-0.1</v>
      </c>
      <c r="BI2275">
        <v>-26.62</v>
      </c>
      <c r="BJ2275">
        <v>83</v>
      </c>
      <c r="BK2275">
        <v>42</v>
      </c>
      <c r="BL2275">
        <v>0.37</v>
      </c>
      <c r="BM2275">
        <v>-1.75</v>
      </c>
      <c r="BN2275">
        <v>-1.18</v>
      </c>
      <c r="BO2275">
        <v>0.47</v>
      </c>
      <c r="BP2275">
        <v>0.26</v>
      </c>
      <c r="BQ2275">
        <v>-1.93</v>
      </c>
      <c r="BR2275">
        <v>0.6</v>
      </c>
      <c r="BS2275">
        <v>0</v>
      </c>
      <c r="BT2275">
        <v>-0.1</v>
      </c>
      <c r="BU2275">
        <v>0.39</v>
      </c>
      <c r="BV2275">
        <v>0.68</v>
      </c>
      <c r="BW2275">
        <v>0.7</v>
      </c>
      <c r="BX2275">
        <v>1.62</v>
      </c>
      <c r="BY2275">
        <v>0.34</v>
      </c>
      <c r="BZ2275">
        <v>-2.48</v>
      </c>
      <c r="CA2275">
        <v>1.2</v>
      </c>
      <c r="CB2275">
        <v>1.06</v>
      </c>
      <c r="CC2275">
        <v>0.69</v>
      </c>
      <c r="CD2275">
        <v>-0.83</v>
      </c>
      <c r="CE2275">
        <v>0.26</v>
      </c>
      <c r="CF2275">
        <v>-0.15</v>
      </c>
      <c r="CG2275">
        <v>0</v>
      </c>
      <c r="CH2275">
        <v>0.41</v>
      </c>
      <c r="CI2275">
        <v>0</v>
      </c>
      <c r="CJ2275">
        <v>-0.1</v>
      </c>
      <c r="CK2275">
        <v>99</v>
      </c>
      <c r="CL2275">
        <v>-0.98</v>
      </c>
      <c r="CM2275">
        <v>99</v>
      </c>
      <c r="CN2275">
        <v>-0.33</v>
      </c>
      <c r="CO2275">
        <v>99</v>
      </c>
      <c r="CP2275">
        <v>-2.4</v>
      </c>
      <c r="CQ2275">
        <v>98</v>
      </c>
      <c r="CR2275">
        <v>0</v>
      </c>
      <c r="CS2275">
        <v>0</v>
      </c>
      <c r="CT2275">
        <v>-0.6</v>
      </c>
      <c r="CU2275">
        <v>98</v>
      </c>
      <c r="CV2275">
        <v>0.24</v>
      </c>
      <c r="CW2275">
        <v>46</v>
      </c>
      <c r="CX2275" t="s">
        <v>11676</v>
      </c>
    </row>
    <row r="2276" spans="1:102" x14ac:dyDescent="0.3">
      <c r="A2276" t="str">
        <f>HYPERLINK("https://webapp.icbf.com/v2/app/bull-search/view/1337278535","FR4127")</f>
        <v>FR4127</v>
      </c>
      <c r="B2276" t="s">
        <v>9770</v>
      </c>
      <c r="C2276" t="s">
        <v>9771</v>
      </c>
      <c r="D2276" s="1">
        <v>41762</v>
      </c>
      <c r="E2276" t="s">
        <v>92</v>
      </c>
      <c r="F2276">
        <v>100</v>
      </c>
      <c r="G2276" t="s">
        <v>109</v>
      </c>
      <c r="H2276">
        <v>51.25</v>
      </c>
      <c r="I2276">
        <v>53</v>
      </c>
      <c r="J2276">
        <v>49.6</v>
      </c>
      <c r="K2276">
        <v>69</v>
      </c>
      <c r="L2276">
        <v>19.21</v>
      </c>
      <c r="M2276">
        <v>50</v>
      </c>
      <c r="N2276">
        <v>-11.38</v>
      </c>
      <c r="O2276">
        <v>67</v>
      </c>
      <c r="P2276">
        <v>-18.57</v>
      </c>
      <c r="Q2276">
        <v>41</v>
      </c>
      <c r="R2276">
        <v>8.92</v>
      </c>
      <c r="S2276">
        <v>43</v>
      </c>
      <c r="T2276">
        <v>4.21</v>
      </c>
      <c r="U2276">
        <v>18</v>
      </c>
      <c r="V2276">
        <v>-0.74</v>
      </c>
      <c r="W2276">
        <v>9</v>
      </c>
      <c r="X2276" t="s">
        <v>428</v>
      </c>
      <c r="Y2276" t="s">
        <v>429</v>
      </c>
      <c r="Z2276" t="s">
        <v>96</v>
      </c>
      <c r="AA2276" t="s">
        <v>2395</v>
      </c>
      <c r="AB2276" t="s">
        <v>9772</v>
      </c>
      <c r="AC2276">
        <v>0</v>
      </c>
      <c r="AD2276">
        <v>0</v>
      </c>
      <c r="AE2276">
        <v>69</v>
      </c>
      <c r="AF2276">
        <v>338.89</v>
      </c>
      <c r="AG2276">
        <v>9.56</v>
      </c>
      <c r="AH2276">
        <v>10.24</v>
      </c>
      <c r="AI2276">
        <v>-0.06</v>
      </c>
      <c r="AJ2276">
        <v>-0.02</v>
      </c>
      <c r="AK2276">
        <v>50</v>
      </c>
      <c r="AL2276">
        <v>0</v>
      </c>
      <c r="AM2276">
        <v>0</v>
      </c>
      <c r="AN2276">
        <v>-0.45</v>
      </c>
      <c r="AO2276">
        <v>1.0900000000000001</v>
      </c>
      <c r="AP2276">
        <v>95</v>
      </c>
      <c r="AQ2276">
        <v>0</v>
      </c>
      <c r="AR2276">
        <v>8.9600000000000009</v>
      </c>
      <c r="AS2276">
        <v>47</v>
      </c>
      <c r="AT2276">
        <v>4.17</v>
      </c>
      <c r="AU2276">
        <v>79</v>
      </c>
      <c r="AV2276">
        <v>0.21</v>
      </c>
      <c r="AW2276">
        <v>89</v>
      </c>
      <c r="AX2276">
        <v>-0.84</v>
      </c>
      <c r="AY2276">
        <v>64</v>
      </c>
      <c r="AZ2276">
        <v>6.24</v>
      </c>
      <c r="BA2276">
        <v>11</v>
      </c>
      <c r="BB2276">
        <v>4.6100000000000003</v>
      </c>
      <c r="BC2276">
        <v>7</v>
      </c>
      <c r="BD2276">
        <v>-0.03</v>
      </c>
      <c r="BE2276">
        <v>-0.05</v>
      </c>
      <c r="BF2276">
        <v>-0.06</v>
      </c>
      <c r="BG2276">
        <v>71</v>
      </c>
      <c r="BH2276">
        <v>-0.08</v>
      </c>
      <c r="BI2276">
        <v>-6.86</v>
      </c>
      <c r="BJ2276">
        <v>0</v>
      </c>
      <c r="BK2276">
        <v>0</v>
      </c>
      <c r="BL2276">
        <v>0.88</v>
      </c>
      <c r="BM2276">
        <v>-1.36</v>
      </c>
      <c r="BN2276">
        <v>-0.76</v>
      </c>
      <c r="BO2276">
        <v>0.8</v>
      </c>
      <c r="BP2276">
        <v>-0.31</v>
      </c>
      <c r="BQ2276">
        <v>0.04</v>
      </c>
      <c r="BR2276">
        <v>-0.02</v>
      </c>
      <c r="BS2276">
        <v>2.06</v>
      </c>
      <c r="BT2276">
        <v>0.37</v>
      </c>
      <c r="BU2276">
        <v>2.4300000000000002</v>
      </c>
      <c r="BV2276">
        <v>2.63</v>
      </c>
      <c r="BW2276">
        <v>1.79</v>
      </c>
      <c r="BX2276">
        <v>2.0099999999999998</v>
      </c>
      <c r="BY2276">
        <v>2.15</v>
      </c>
      <c r="BZ2276">
        <v>-2.3199999999999998</v>
      </c>
      <c r="CA2276">
        <v>2.64</v>
      </c>
      <c r="CB2276">
        <v>2.39</v>
      </c>
      <c r="CC2276">
        <v>1.75</v>
      </c>
      <c r="CD2276">
        <v>-0.23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-8.3000000000000007</v>
      </c>
      <c r="CK2276">
        <v>48</v>
      </c>
      <c r="CL2276">
        <v>-1.2</v>
      </c>
      <c r="CM2276">
        <v>33</v>
      </c>
      <c r="CN2276">
        <v>-0.52</v>
      </c>
      <c r="CO2276">
        <v>32</v>
      </c>
      <c r="CP2276">
        <v>-5.5</v>
      </c>
      <c r="CQ2276">
        <v>22</v>
      </c>
      <c r="CR2276">
        <v>0</v>
      </c>
      <c r="CS2276">
        <v>0</v>
      </c>
      <c r="CT2276">
        <v>8.1</v>
      </c>
      <c r="CU2276">
        <v>18</v>
      </c>
      <c r="CV2276">
        <v>0.24</v>
      </c>
      <c r="CW2276">
        <v>14</v>
      </c>
      <c r="CX2276" t="s">
        <v>2004</v>
      </c>
    </row>
    <row r="2277" spans="1:102" x14ac:dyDescent="0.3">
      <c r="A2277" t="str">
        <f>HYPERLINK("https://webapp.icbf.com/v2/app/bull-search/view/394633972","TRZ")</f>
        <v>TRZ</v>
      </c>
      <c r="B2277" t="s">
        <v>4323</v>
      </c>
      <c r="C2277" t="s">
        <v>4324</v>
      </c>
      <c r="D2277" s="1">
        <v>38384</v>
      </c>
      <c r="E2277" t="s">
        <v>92</v>
      </c>
      <c r="F2277">
        <v>97</v>
      </c>
      <c r="G2277" t="s">
        <v>93</v>
      </c>
      <c r="H2277">
        <v>51.18</v>
      </c>
      <c r="I2277">
        <v>86</v>
      </c>
      <c r="J2277">
        <v>3.72</v>
      </c>
      <c r="K2277">
        <v>96</v>
      </c>
      <c r="L2277">
        <v>11.26</v>
      </c>
      <c r="M2277">
        <v>79</v>
      </c>
      <c r="N2277">
        <v>34.29</v>
      </c>
      <c r="O2277">
        <v>82</v>
      </c>
      <c r="P2277">
        <v>-5.39</v>
      </c>
      <c r="Q2277">
        <v>90</v>
      </c>
      <c r="R2277">
        <v>2.17</v>
      </c>
      <c r="S2277">
        <v>80</v>
      </c>
      <c r="T2277">
        <v>6.43</v>
      </c>
      <c r="U2277">
        <v>83</v>
      </c>
      <c r="V2277">
        <v>-1.3</v>
      </c>
      <c r="W2277">
        <v>77</v>
      </c>
      <c r="X2277" t="s">
        <v>94</v>
      </c>
      <c r="Y2277" t="s">
        <v>228</v>
      </c>
      <c r="Z2277" t="s">
        <v>96</v>
      </c>
      <c r="AA2277" t="s">
        <v>1165</v>
      </c>
      <c r="AB2277" t="s">
        <v>4325</v>
      </c>
      <c r="AC2277">
        <v>55</v>
      </c>
      <c r="AD2277">
        <v>44</v>
      </c>
      <c r="AE2277">
        <v>96</v>
      </c>
      <c r="AF2277">
        <v>175.31</v>
      </c>
      <c r="AG2277">
        <v>0.61</v>
      </c>
      <c r="AH2277">
        <v>3.1</v>
      </c>
      <c r="AI2277">
        <v>-0.11</v>
      </c>
      <c r="AJ2277">
        <v>-0.05</v>
      </c>
      <c r="AK2277">
        <v>79</v>
      </c>
      <c r="AL2277">
        <v>60</v>
      </c>
      <c r="AM2277">
        <v>51</v>
      </c>
      <c r="AN2277">
        <v>0.32</v>
      </c>
      <c r="AO2277">
        <v>1.23</v>
      </c>
      <c r="AP2277">
        <v>121</v>
      </c>
      <c r="AQ2277">
        <v>1</v>
      </c>
      <c r="AR2277">
        <v>4.0599999999999996</v>
      </c>
      <c r="AS2277">
        <v>68</v>
      </c>
      <c r="AT2277">
        <v>2.4700000000000002</v>
      </c>
      <c r="AU2277">
        <v>84</v>
      </c>
      <c r="AV2277">
        <v>-2.15</v>
      </c>
      <c r="AW2277">
        <v>93</v>
      </c>
      <c r="AX2277">
        <v>-0.71</v>
      </c>
      <c r="AY2277">
        <v>77</v>
      </c>
      <c r="AZ2277">
        <v>5.63</v>
      </c>
      <c r="BA2277">
        <v>60</v>
      </c>
      <c r="BB2277">
        <v>4.7699999999999996</v>
      </c>
      <c r="BC2277">
        <v>64</v>
      </c>
      <c r="BD2277">
        <v>0</v>
      </c>
      <c r="BE2277">
        <v>0</v>
      </c>
      <c r="BF2277">
        <v>-0.05</v>
      </c>
      <c r="BG2277">
        <v>87</v>
      </c>
      <c r="BH2277">
        <v>-0.15</v>
      </c>
      <c r="BI2277">
        <v>-13.17</v>
      </c>
      <c r="BJ2277">
        <v>5</v>
      </c>
      <c r="BK2277">
        <v>5</v>
      </c>
      <c r="BL2277">
        <v>0.54</v>
      </c>
      <c r="BM2277">
        <v>-1.07</v>
      </c>
      <c r="BN2277">
        <v>-0.92</v>
      </c>
      <c r="BO2277">
        <v>-0.28000000000000003</v>
      </c>
      <c r="BP2277">
        <v>3.04</v>
      </c>
      <c r="BQ2277">
        <v>-0.21</v>
      </c>
      <c r="BR2277">
        <v>-0.59</v>
      </c>
      <c r="BS2277">
        <v>-2.25</v>
      </c>
      <c r="BT2277">
        <v>-1.45</v>
      </c>
      <c r="BU2277">
        <v>-1.03</v>
      </c>
      <c r="BV2277">
        <v>-0.55000000000000004</v>
      </c>
      <c r="BW2277">
        <v>-0.41</v>
      </c>
      <c r="BX2277">
        <v>0.09</v>
      </c>
      <c r="BY2277">
        <v>-0.94</v>
      </c>
      <c r="BZ2277">
        <v>-1.18</v>
      </c>
      <c r="CA2277">
        <v>-0.42</v>
      </c>
      <c r="CB2277">
        <v>-0.19</v>
      </c>
      <c r="CC2277">
        <v>-1.26</v>
      </c>
      <c r="CD2277">
        <v>-0.3</v>
      </c>
      <c r="CE2277">
        <v>0.42</v>
      </c>
      <c r="CF2277">
        <v>0.17</v>
      </c>
      <c r="CG2277">
        <v>0</v>
      </c>
      <c r="CH2277">
        <v>0.27</v>
      </c>
      <c r="CI2277">
        <v>0</v>
      </c>
      <c r="CJ2277">
        <v>-0.4</v>
      </c>
      <c r="CK2277">
        <v>91</v>
      </c>
      <c r="CL2277">
        <v>-0.67</v>
      </c>
      <c r="CM2277">
        <v>89</v>
      </c>
      <c r="CN2277">
        <v>-0.17</v>
      </c>
      <c r="CO2277">
        <v>87</v>
      </c>
      <c r="CP2277">
        <v>0.6</v>
      </c>
      <c r="CQ2277">
        <v>86</v>
      </c>
      <c r="CR2277">
        <v>0</v>
      </c>
      <c r="CS2277">
        <v>0</v>
      </c>
      <c r="CT2277">
        <v>5.0999999999999996</v>
      </c>
      <c r="CU2277">
        <v>83</v>
      </c>
      <c r="CV2277">
        <v>0.15</v>
      </c>
      <c r="CW2277">
        <v>45</v>
      </c>
      <c r="CX2277" t="s">
        <v>1109</v>
      </c>
    </row>
    <row r="2278" spans="1:102" x14ac:dyDescent="0.3">
      <c r="A2278" t="str">
        <f>HYPERLINK("https://webapp.icbf.com/v2/app/bull-search/view/1027068724","S1657")</f>
        <v>S1657</v>
      </c>
      <c r="B2278" t="s">
        <v>5935</v>
      </c>
      <c r="C2278" t="s">
        <v>5936</v>
      </c>
      <c r="D2278" s="1">
        <v>40392</v>
      </c>
      <c r="E2278" t="s">
        <v>92</v>
      </c>
      <c r="F2278">
        <v>100</v>
      </c>
      <c r="G2278" t="s">
        <v>109</v>
      </c>
      <c r="H2278">
        <v>51.17</v>
      </c>
      <c r="I2278">
        <v>67</v>
      </c>
      <c r="J2278">
        <v>16.79</v>
      </c>
      <c r="K2278">
        <v>86</v>
      </c>
      <c r="L2278">
        <v>-15.14</v>
      </c>
      <c r="M2278">
        <v>82</v>
      </c>
      <c r="N2278">
        <v>48.43</v>
      </c>
      <c r="O2278">
        <v>43</v>
      </c>
      <c r="P2278">
        <v>-0.45</v>
      </c>
      <c r="Q2278">
        <v>33</v>
      </c>
      <c r="R2278">
        <v>3.25</v>
      </c>
      <c r="S2278">
        <v>57</v>
      </c>
      <c r="T2278">
        <v>-4.97</v>
      </c>
      <c r="U2278">
        <v>22</v>
      </c>
      <c r="V2278">
        <v>3.26</v>
      </c>
      <c r="W2278">
        <v>16</v>
      </c>
      <c r="X2278" t="s">
        <v>276</v>
      </c>
      <c r="Y2278" t="s">
        <v>362</v>
      </c>
      <c r="Z2278" t="s">
        <v>96</v>
      </c>
      <c r="AA2278" t="s">
        <v>5937</v>
      </c>
      <c r="AB2278" t="s">
        <v>5510</v>
      </c>
      <c r="AC2278">
        <v>0</v>
      </c>
      <c r="AD2278">
        <v>0</v>
      </c>
      <c r="AE2278">
        <v>86</v>
      </c>
      <c r="AF2278">
        <v>563.35</v>
      </c>
      <c r="AG2278">
        <v>6.75</v>
      </c>
      <c r="AH2278">
        <v>9.09</v>
      </c>
      <c r="AI2278">
        <v>-0.23</v>
      </c>
      <c r="AJ2278">
        <v>-0.16</v>
      </c>
      <c r="AK2278">
        <v>82</v>
      </c>
      <c r="AL2278">
        <v>0</v>
      </c>
      <c r="AM2278">
        <v>0</v>
      </c>
      <c r="AN2278">
        <v>1.39</v>
      </c>
      <c r="AO2278">
        <v>0.19</v>
      </c>
      <c r="AP2278">
        <v>5</v>
      </c>
      <c r="AQ2278">
        <v>0</v>
      </c>
      <c r="AR2278">
        <v>3.88</v>
      </c>
      <c r="AS2278">
        <v>33</v>
      </c>
      <c r="AT2278">
        <v>1.71</v>
      </c>
      <c r="AU2278">
        <v>89</v>
      </c>
      <c r="AV2278">
        <v>-3.41</v>
      </c>
      <c r="AW2278">
        <v>31</v>
      </c>
      <c r="AX2278">
        <v>-0.64</v>
      </c>
      <c r="AY2278">
        <v>26</v>
      </c>
      <c r="AZ2278">
        <v>6.03</v>
      </c>
      <c r="BA2278">
        <v>20</v>
      </c>
      <c r="BB2278">
        <v>4.78</v>
      </c>
      <c r="BC2278">
        <v>17</v>
      </c>
      <c r="BD2278">
        <v>-0.01</v>
      </c>
      <c r="BE2278">
        <v>-0.02</v>
      </c>
      <c r="BF2278">
        <v>-0.02</v>
      </c>
      <c r="BG2278">
        <v>89</v>
      </c>
      <c r="BH2278">
        <v>0.08</v>
      </c>
      <c r="BI2278">
        <v>-1.26</v>
      </c>
      <c r="BJ2278">
        <v>2</v>
      </c>
      <c r="BK2278">
        <v>2</v>
      </c>
      <c r="BL2278">
        <v>1.6</v>
      </c>
      <c r="BM2278">
        <v>-0.9</v>
      </c>
      <c r="BN2278">
        <v>1.1200000000000001</v>
      </c>
      <c r="BO2278">
        <v>1.03</v>
      </c>
      <c r="BP2278">
        <v>0.49</v>
      </c>
      <c r="BQ2278">
        <v>1.38</v>
      </c>
      <c r="BR2278">
        <v>0.88</v>
      </c>
      <c r="BS2278">
        <v>1.23</v>
      </c>
      <c r="BT2278">
        <v>-0.88</v>
      </c>
      <c r="BU2278">
        <v>2.15</v>
      </c>
      <c r="BV2278">
        <v>2.35</v>
      </c>
      <c r="BW2278">
        <v>2.23</v>
      </c>
      <c r="BX2278">
        <v>2.0499999999999998</v>
      </c>
      <c r="BY2278">
        <v>3.01</v>
      </c>
      <c r="BZ2278">
        <v>-0.35</v>
      </c>
      <c r="CA2278">
        <v>1.85</v>
      </c>
      <c r="CB2278">
        <v>2.11</v>
      </c>
      <c r="CC2278">
        <v>0.57999999999999996</v>
      </c>
      <c r="CD2278">
        <v>-0.83</v>
      </c>
      <c r="CE2278">
        <v>1.39</v>
      </c>
      <c r="CF2278">
        <v>1.91</v>
      </c>
      <c r="CG2278">
        <v>0</v>
      </c>
      <c r="CH2278">
        <v>1.66</v>
      </c>
      <c r="CI2278">
        <v>0</v>
      </c>
      <c r="CJ2278">
        <v>4.7</v>
      </c>
      <c r="CK2278">
        <v>35</v>
      </c>
      <c r="CL2278">
        <v>-1.3</v>
      </c>
      <c r="CM2278">
        <v>32</v>
      </c>
      <c r="CN2278">
        <v>-0.45</v>
      </c>
      <c r="CO2278">
        <v>30</v>
      </c>
      <c r="CP2278">
        <v>8.1</v>
      </c>
      <c r="CQ2278">
        <v>27</v>
      </c>
      <c r="CR2278">
        <v>0</v>
      </c>
      <c r="CS2278">
        <v>0</v>
      </c>
      <c r="CT2278">
        <v>20.5</v>
      </c>
      <c r="CU2278">
        <v>22</v>
      </c>
      <c r="CV2278">
        <v>0.51</v>
      </c>
      <c r="CW2278">
        <v>9</v>
      </c>
      <c r="CX2278" t="s">
        <v>350</v>
      </c>
    </row>
    <row r="2279" spans="1:102" x14ac:dyDescent="0.3">
      <c r="A2279" t="str">
        <f>HYPERLINK("https://webapp.icbf.com/v2/app/bull-search/view/586202393","AUP")</f>
        <v>AUP</v>
      </c>
      <c r="B2279" t="s">
        <v>1721</v>
      </c>
      <c r="C2279" t="s">
        <v>1722</v>
      </c>
      <c r="D2279" s="1">
        <v>39304</v>
      </c>
      <c r="E2279" t="s">
        <v>92</v>
      </c>
      <c r="F2279">
        <v>50</v>
      </c>
      <c r="G2279" t="s">
        <v>109</v>
      </c>
      <c r="H2279">
        <v>50.99</v>
      </c>
      <c r="I2279">
        <v>77</v>
      </c>
      <c r="J2279">
        <v>48.74</v>
      </c>
      <c r="K2279">
        <v>92</v>
      </c>
      <c r="L2279">
        <v>-15.56</v>
      </c>
      <c r="M2279">
        <v>67</v>
      </c>
      <c r="N2279">
        <v>37.25</v>
      </c>
      <c r="O2279">
        <v>70</v>
      </c>
      <c r="P2279">
        <v>-24.32</v>
      </c>
      <c r="Q2279">
        <v>79</v>
      </c>
      <c r="R2279">
        <v>-18.010000000000002</v>
      </c>
      <c r="S2279">
        <v>69</v>
      </c>
      <c r="T2279">
        <v>20.63</v>
      </c>
      <c r="U2279">
        <v>73</v>
      </c>
      <c r="V2279">
        <v>2.2599999999999998</v>
      </c>
      <c r="W2279">
        <v>63</v>
      </c>
      <c r="X2279" t="s">
        <v>276</v>
      </c>
      <c r="Y2279" t="s">
        <v>1534</v>
      </c>
      <c r="Z2279" t="s">
        <v>330</v>
      </c>
      <c r="AA2279" t="s">
        <v>1723</v>
      </c>
      <c r="AB2279" t="s">
        <v>144</v>
      </c>
      <c r="AC2279">
        <v>0</v>
      </c>
      <c r="AD2279">
        <v>0</v>
      </c>
      <c r="AE2279">
        <v>92</v>
      </c>
      <c r="AF2279">
        <v>162.44</v>
      </c>
      <c r="AG2279">
        <v>8.4700000000000006</v>
      </c>
      <c r="AH2279">
        <v>7.78</v>
      </c>
      <c r="AI2279">
        <v>0.04</v>
      </c>
      <c r="AJ2279">
        <v>0.04</v>
      </c>
      <c r="AK2279">
        <v>67</v>
      </c>
      <c r="AL2279">
        <v>0</v>
      </c>
      <c r="AM2279">
        <v>0</v>
      </c>
      <c r="AN2279">
        <v>0.13</v>
      </c>
      <c r="AO2279">
        <v>-1.1200000000000001</v>
      </c>
      <c r="AP2279">
        <v>31</v>
      </c>
      <c r="AQ2279">
        <v>0</v>
      </c>
      <c r="AR2279">
        <v>6.19</v>
      </c>
      <c r="AS2279">
        <v>44</v>
      </c>
      <c r="AT2279">
        <v>1.81</v>
      </c>
      <c r="AU2279">
        <v>71</v>
      </c>
      <c r="AV2279">
        <v>-3.15</v>
      </c>
      <c r="AW2279">
        <v>87</v>
      </c>
      <c r="AX2279">
        <v>-1.03</v>
      </c>
      <c r="AY2279">
        <v>68</v>
      </c>
      <c r="AZ2279">
        <v>7.16</v>
      </c>
      <c r="BA2279">
        <v>36</v>
      </c>
      <c r="BB2279">
        <v>5.5</v>
      </c>
      <c r="BC2279">
        <v>44</v>
      </c>
      <c r="BD2279">
        <v>0.03</v>
      </c>
      <c r="BE2279">
        <v>0.06</v>
      </c>
      <c r="BF2279">
        <v>0.25</v>
      </c>
      <c r="BG2279">
        <v>82</v>
      </c>
      <c r="BH2279">
        <v>0.01</v>
      </c>
      <c r="BI2279">
        <v>-6.13</v>
      </c>
      <c r="BJ2279">
        <v>0</v>
      </c>
      <c r="BK2279">
        <v>0</v>
      </c>
      <c r="BL2279">
        <v>-1.01</v>
      </c>
      <c r="BM2279">
        <v>1.32</v>
      </c>
      <c r="BN2279">
        <v>0.76</v>
      </c>
      <c r="BO2279">
        <v>-0.36</v>
      </c>
      <c r="BP2279">
        <v>-0.56000000000000005</v>
      </c>
      <c r="BQ2279">
        <v>-1.05</v>
      </c>
      <c r="BR2279">
        <v>0.91</v>
      </c>
      <c r="BS2279">
        <v>-0.3</v>
      </c>
      <c r="BT2279">
        <v>-0.95</v>
      </c>
      <c r="BU2279">
        <v>0.09</v>
      </c>
      <c r="BV2279">
        <v>-0.11</v>
      </c>
      <c r="BW2279">
        <v>0.45</v>
      </c>
      <c r="BX2279">
        <v>-1.1100000000000001</v>
      </c>
      <c r="BY2279">
        <v>-0.72</v>
      </c>
      <c r="BZ2279">
        <v>-0.32</v>
      </c>
      <c r="CA2279">
        <v>-0.15</v>
      </c>
      <c r="CB2279">
        <v>-7.0000000000000007E-2</v>
      </c>
      <c r="CC2279">
        <v>0.06</v>
      </c>
      <c r="CD2279">
        <v>0.17</v>
      </c>
      <c r="CE2279">
        <v>0.02</v>
      </c>
      <c r="CF2279">
        <v>-0.18</v>
      </c>
      <c r="CG2279">
        <v>0</v>
      </c>
      <c r="CH2279">
        <v>-0.79</v>
      </c>
      <c r="CI2279">
        <v>0</v>
      </c>
      <c r="CJ2279">
        <v>-9.6999999999999993</v>
      </c>
      <c r="CK2279">
        <v>82</v>
      </c>
      <c r="CL2279">
        <v>-0.77</v>
      </c>
      <c r="CM2279">
        <v>77</v>
      </c>
      <c r="CN2279">
        <v>0.03</v>
      </c>
      <c r="CO2279">
        <v>75</v>
      </c>
      <c r="CP2279">
        <v>-17.600000000000001</v>
      </c>
      <c r="CQ2279">
        <v>71</v>
      </c>
      <c r="CR2279">
        <v>0</v>
      </c>
      <c r="CS2279">
        <v>0</v>
      </c>
      <c r="CT2279">
        <v>-14.1</v>
      </c>
      <c r="CU2279">
        <v>73</v>
      </c>
      <c r="CV2279">
        <v>0.16</v>
      </c>
      <c r="CW2279">
        <v>42</v>
      </c>
      <c r="CX2279" t="s">
        <v>1724</v>
      </c>
    </row>
    <row r="2280" spans="1:102" x14ac:dyDescent="0.3">
      <c r="A2280" t="str">
        <f>HYPERLINK("https://webapp.icbf.com/v2/app/bull-search/view/77855389","LSO")</f>
        <v>LSO</v>
      </c>
      <c r="B2280" t="s">
        <v>5228</v>
      </c>
      <c r="C2280" t="s">
        <v>5229</v>
      </c>
      <c r="D2280" s="1">
        <v>34227</v>
      </c>
      <c r="E2280" t="s">
        <v>92</v>
      </c>
      <c r="F2280">
        <v>100</v>
      </c>
      <c r="G2280" t="s">
        <v>93</v>
      </c>
      <c r="H2280">
        <v>50.96</v>
      </c>
      <c r="I2280">
        <v>69</v>
      </c>
      <c r="J2280">
        <v>-8.93</v>
      </c>
      <c r="K2280">
        <v>90</v>
      </c>
      <c r="L2280">
        <v>38.47</v>
      </c>
      <c r="M2280">
        <v>56</v>
      </c>
      <c r="N2280">
        <v>22.17</v>
      </c>
      <c r="O2280">
        <v>61</v>
      </c>
      <c r="P2280">
        <v>-11.48</v>
      </c>
      <c r="Q2280">
        <v>74</v>
      </c>
      <c r="R2280">
        <v>2.12</v>
      </c>
      <c r="S2280">
        <v>62</v>
      </c>
      <c r="T2280">
        <v>11.38</v>
      </c>
      <c r="U2280">
        <v>69</v>
      </c>
      <c r="V2280">
        <v>-2.77</v>
      </c>
      <c r="W2280">
        <v>27</v>
      </c>
      <c r="X2280" t="s">
        <v>94</v>
      </c>
      <c r="Y2280" t="s">
        <v>95</v>
      </c>
      <c r="Z2280" t="s">
        <v>96</v>
      </c>
      <c r="AA2280" t="s">
        <v>180</v>
      </c>
      <c r="AB2280" t="s">
        <v>5230</v>
      </c>
      <c r="AC2280">
        <v>45</v>
      </c>
      <c r="AD2280">
        <v>42</v>
      </c>
      <c r="AE2280">
        <v>90</v>
      </c>
      <c r="AF2280">
        <v>28.34</v>
      </c>
      <c r="AG2280">
        <v>0.78</v>
      </c>
      <c r="AH2280">
        <v>-1.36</v>
      </c>
      <c r="AI2280">
        <v>-0.01</v>
      </c>
      <c r="AJ2280">
        <v>-0.04</v>
      </c>
      <c r="AK2280">
        <v>56</v>
      </c>
      <c r="AL2280">
        <v>53</v>
      </c>
      <c r="AM2280">
        <v>44</v>
      </c>
      <c r="AN2280">
        <v>-1.19</v>
      </c>
      <c r="AO2280">
        <v>1.89</v>
      </c>
      <c r="AP2280">
        <v>15</v>
      </c>
      <c r="AQ2280">
        <v>0</v>
      </c>
      <c r="AR2280">
        <v>7.03</v>
      </c>
      <c r="AS2280">
        <v>37</v>
      </c>
      <c r="AT2280">
        <v>3.27</v>
      </c>
      <c r="AU2280">
        <v>55</v>
      </c>
      <c r="AV2280">
        <v>-2.21</v>
      </c>
      <c r="AW2280">
        <v>77</v>
      </c>
      <c r="AX2280">
        <v>0.11</v>
      </c>
      <c r="AY2280">
        <v>66</v>
      </c>
      <c r="AZ2280">
        <v>5.23</v>
      </c>
      <c r="BA2280">
        <v>27</v>
      </c>
      <c r="BB2280">
        <v>4.37</v>
      </c>
      <c r="BC2280">
        <v>45</v>
      </c>
      <c r="BD2280">
        <v>0.02</v>
      </c>
      <c r="BE2280">
        <v>0.02</v>
      </c>
      <c r="BF2280">
        <v>-0.12</v>
      </c>
      <c r="BG2280">
        <v>78</v>
      </c>
      <c r="BH2280">
        <v>0.04</v>
      </c>
      <c r="BI2280">
        <v>13.57</v>
      </c>
      <c r="BJ2280">
        <v>21</v>
      </c>
      <c r="BK2280">
        <v>17</v>
      </c>
      <c r="BL2280">
        <v>0.55000000000000004</v>
      </c>
      <c r="BM2280">
        <v>0.89</v>
      </c>
      <c r="BN2280">
        <v>1.01</v>
      </c>
      <c r="BO2280">
        <v>0.05</v>
      </c>
      <c r="BP2280">
        <v>0.18</v>
      </c>
      <c r="BQ2280">
        <v>-0.33</v>
      </c>
      <c r="BR2280">
        <v>0.93</v>
      </c>
      <c r="BS2280">
        <v>-0.18</v>
      </c>
      <c r="BT2280">
        <v>-0.66</v>
      </c>
      <c r="BU2280">
        <v>0.23</v>
      </c>
      <c r="BV2280">
        <v>0.24</v>
      </c>
      <c r="BW2280">
        <v>0.11</v>
      </c>
      <c r="BX2280">
        <v>-0.06</v>
      </c>
      <c r="BY2280">
        <v>0.06</v>
      </c>
      <c r="BZ2280">
        <v>-0.44</v>
      </c>
      <c r="CA2280">
        <v>0.19</v>
      </c>
      <c r="CB2280">
        <v>0.01</v>
      </c>
      <c r="CC2280">
        <v>0.35</v>
      </c>
      <c r="CD2280">
        <v>0.35</v>
      </c>
      <c r="CE2280">
        <v>0.25</v>
      </c>
      <c r="CF2280">
        <v>0.68</v>
      </c>
      <c r="CG2280">
        <v>0</v>
      </c>
      <c r="CH2280">
        <v>-0.23</v>
      </c>
      <c r="CI2280">
        <v>0</v>
      </c>
      <c r="CJ2280">
        <v>-5.0999999999999996</v>
      </c>
      <c r="CK2280">
        <v>76</v>
      </c>
      <c r="CL2280">
        <v>-0.56000000000000005</v>
      </c>
      <c r="CM2280">
        <v>72</v>
      </c>
      <c r="CN2280">
        <v>-0.2</v>
      </c>
      <c r="CO2280">
        <v>69</v>
      </c>
      <c r="CP2280">
        <v>-6.7</v>
      </c>
      <c r="CQ2280">
        <v>79</v>
      </c>
      <c r="CR2280">
        <v>0</v>
      </c>
      <c r="CS2280">
        <v>0</v>
      </c>
      <c r="CT2280">
        <v>-1.6</v>
      </c>
      <c r="CU2280">
        <v>69</v>
      </c>
      <c r="CV2280">
        <v>0.04</v>
      </c>
      <c r="CW2280">
        <v>21</v>
      </c>
      <c r="CX2280" t="s">
        <v>111</v>
      </c>
    </row>
    <row r="2281" spans="1:102" x14ac:dyDescent="0.3">
      <c r="A2281" t="str">
        <f>HYPERLINK("https://webapp.icbf.com/v2/app/bull-search/view/734380233","S828")</f>
        <v>S828</v>
      </c>
      <c r="B2281" t="s">
        <v>144</v>
      </c>
      <c r="C2281" t="s">
        <v>5265</v>
      </c>
      <c r="D2281" s="1">
        <v>35594</v>
      </c>
      <c r="E2281" t="s">
        <v>1061</v>
      </c>
      <c r="F2281">
        <v>0</v>
      </c>
      <c r="G2281" t="s">
        <v>116</v>
      </c>
      <c r="H2281">
        <v>50.86</v>
      </c>
      <c r="I2281">
        <v>36</v>
      </c>
      <c r="J2281">
        <v>30.52</v>
      </c>
      <c r="K2281">
        <v>57</v>
      </c>
      <c r="L2281">
        <v>40.24</v>
      </c>
      <c r="M2281">
        <v>20</v>
      </c>
      <c r="N2281">
        <v>-19.63</v>
      </c>
      <c r="O2281">
        <v>41</v>
      </c>
      <c r="P2281">
        <v>-11.22</v>
      </c>
      <c r="Q2281">
        <v>43</v>
      </c>
      <c r="R2281">
        <v>0.04</v>
      </c>
      <c r="S2281">
        <v>21</v>
      </c>
      <c r="T2281">
        <v>13.46</v>
      </c>
      <c r="U2281">
        <v>32</v>
      </c>
      <c r="V2281">
        <v>-2.5499999999999998</v>
      </c>
      <c r="W2281">
        <v>3</v>
      </c>
      <c r="X2281" t="s">
        <v>110</v>
      </c>
      <c r="Y2281" t="s">
        <v>1494</v>
      </c>
      <c r="Z2281">
        <v>0</v>
      </c>
      <c r="AA2281" t="s">
        <v>5266</v>
      </c>
      <c r="AB2281" t="s">
        <v>5267</v>
      </c>
      <c r="AC2281">
        <v>7</v>
      </c>
      <c r="AD2281">
        <v>5</v>
      </c>
      <c r="AE2281">
        <v>57</v>
      </c>
      <c r="AF2281">
        <v>87.13</v>
      </c>
      <c r="AG2281">
        <v>9.51</v>
      </c>
      <c r="AH2281">
        <v>3.16</v>
      </c>
      <c r="AI2281">
        <v>0.1</v>
      </c>
      <c r="AJ2281">
        <v>0</v>
      </c>
      <c r="AK2281">
        <v>20</v>
      </c>
      <c r="AL2281">
        <v>9</v>
      </c>
      <c r="AM2281">
        <v>6</v>
      </c>
      <c r="AN2281">
        <v>-1.37</v>
      </c>
      <c r="AO2281">
        <v>1.85</v>
      </c>
      <c r="AP2281">
        <v>13</v>
      </c>
      <c r="AQ2281">
        <v>0</v>
      </c>
      <c r="AR2281">
        <v>9.2200000000000006</v>
      </c>
      <c r="AS2281">
        <v>14</v>
      </c>
      <c r="AT2281">
        <v>3.63</v>
      </c>
      <c r="AU2281">
        <v>40</v>
      </c>
      <c r="AV2281">
        <v>1.02</v>
      </c>
      <c r="AW2281">
        <v>63</v>
      </c>
      <c r="AX2281">
        <v>-0.4</v>
      </c>
      <c r="AY2281">
        <v>26</v>
      </c>
      <c r="AZ2281">
        <v>7.03</v>
      </c>
      <c r="BA2281">
        <v>12</v>
      </c>
      <c r="BB2281">
        <v>5.44</v>
      </c>
      <c r="BC2281">
        <v>12</v>
      </c>
      <c r="BD2281">
        <v>0.03</v>
      </c>
      <c r="BE2281">
        <v>0.01</v>
      </c>
      <c r="BF2281">
        <v>-7.0000000000000007E-2</v>
      </c>
      <c r="BG2281">
        <v>26</v>
      </c>
      <c r="BH2281">
        <v>-0.01</v>
      </c>
      <c r="BI2281">
        <v>7.06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0</v>
      </c>
      <c r="CJ2281">
        <v>-4.0999999999999996</v>
      </c>
      <c r="CK2281">
        <v>47</v>
      </c>
      <c r="CL2281">
        <v>-0.5</v>
      </c>
      <c r="CM2281">
        <v>40</v>
      </c>
      <c r="CN2281">
        <v>-0.09</v>
      </c>
      <c r="CO2281">
        <v>34</v>
      </c>
      <c r="CP2281">
        <v>-9.6999999999999993</v>
      </c>
      <c r="CQ2281">
        <v>40</v>
      </c>
      <c r="CR2281">
        <v>0</v>
      </c>
      <c r="CS2281">
        <v>0</v>
      </c>
      <c r="CT2281">
        <v>-4.4000000000000004</v>
      </c>
      <c r="CU2281">
        <v>32</v>
      </c>
      <c r="CV2281">
        <v>-0.03</v>
      </c>
      <c r="CW2281">
        <v>11</v>
      </c>
      <c r="CX2281" t="s">
        <v>3734</v>
      </c>
    </row>
    <row r="2282" spans="1:102" x14ac:dyDescent="0.3">
      <c r="A2282" t="str">
        <f>HYPERLINK("https://webapp.icbf.com/v2/app/bull-search/view/804575236","S1064")</f>
        <v>S1064</v>
      </c>
      <c r="B2282" t="s">
        <v>12984</v>
      </c>
      <c r="C2282" t="s">
        <v>12985</v>
      </c>
      <c r="D2282" s="1">
        <v>39855</v>
      </c>
      <c r="E2282" t="s">
        <v>92</v>
      </c>
      <c r="F2282">
        <v>100</v>
      </c>
      <c r="G2282" t="s">
        <v>109</v>
      </c>
      <c r="H2282">
        <v>50.63</v>
      </c>
      <c r="I2282">
        <v>82</v>
      </c>
      <c r="J2282">
        <v>40.96</v>
      </c>
      <c r="K2282">
        <v>94</v>
      </c>
      <c r="L2282">
        <v>-8.15</v>
      </c>
      <c r="M2282">
        <v>88</v>
      </c>
      <c r="N2282">
        <v>32.69</v>
      </c>
      <c r="O2282">
        <v>66</v>
      </c>
      <c r="P2282">
        <v>-14.17</v>
      </c>
      <c r="Q2282">
        <v>65</v>
      </c>
      <c r="R2282">
        <v>6</v>
      </c>
      <c r="S2282">
        <v>80</v>
      </c>
      <c r="T2282">
        <v>-13.92</v>
      </c>
      <c r="U2282">
        <v>52</v>
      </c>
      <c r="V2282">
        <v>7.22</v>
      </c>
      <c r="W2282">
        <v>70</v>
      </c>
      <c r="X2282" t="s">
        <v>288</v>
      </c>
      <c r="Y2282" t="s">
        <v>336</v>
      </c>
      <c r="Z2282" t="s">
        <v>96</v>
      </c>
      <c r="AA2282" t="s">
        <v>309</v>
      </c>
      <c r="AB2282" t="s">
        <v>1757</v>
      </c>
      <c r="AC2282">
        <v>0</v>
      </c>
      <c r="AD2282">
        <v>0</v>
      </c>
      <c r="AE2282">
        <v>94</v>
      </c>
      <c r="AF2282">
        <v>299.83</v>
      </c>
      <c r="AG2282">
        <v>6.63</v>
      </c>
      <c r="AH2282">
        <v>9.2100000000000009</v>
      </c>
      <c r="AI2282">
        <v>-0.08</v>
      </c>
      <c r="AJ2282">
        <v>-0.02</v>
      </c>
      <c r="AK2282">
        <v>88</v>
      </c>
      <c r="AL2282">
        <v>0</v>
      </c>
      <c r="AM2282">
        <v>0</v>
      </c>
      <c r="AN2282">
        <v>1.22</v>
      </c>
      <c r="AO2282">
        <v>0.57999999999999996</v>
      </c>
      <c r="AP2282">
        <v>20</v>
      </c>
      <c r="AQ2282">
        <v>0</v>
      </c>
      <c r="AR2282">
        <v>5.6</v>
      </c>
      <c r="AS2282">
        <v>65</v>
      </c>
      <c r="AT2282">
        <v>2.2799999999999998</v>
      </c>
      <c r="AU2282">
        <v>91</v>
      </c>
      <c r="AV2282">
        <v>-3.17</v>
      </c>
      <c r="AW2282">
        <v>59</v>
      </c>
      <c r="AX2282">
        <v>0.08</v>
      </c>
      <c r="AY2282">
        <v>53</v>
      </c>
      <c r="AZ2282">
        <v>6.99</v>
      </c>
      <c r="BA2282">
        <v>55</v>
      </c>
      <c r="BB2282">
        <v>5.54</v>
      </c>
      <c r="BC2282">
        <v>56</v>
      </c>
      <c r="BD2282">
        <v>-0.03</v>
      </c>
      <c r="BE2282">
        <v>-0.02</v>
      </c>
      <c r="BF2282">
        <v>-0.05</v>
      </c>
      <c r="BG2282">
        <v>92</v>
      </c>
      <c r="BH2282">
        <v>0.01</v>
      </c>
      <c r="BI2282">
        <v>-22.13</v>
      </c>
      <c r="BJ2282">
        <v>1</v>
      </c>
      <c r="BK2282">
        <v>1</v>
      </c>
      <c r="BL2282">
        <v>1.56</v>
      </c>
      <c r="BM2282">
        <v>-0.34</v>
      </c>
      <c r="BN2282">
        <v>1.1499999999999999</v>
      </c>
      <c r="BO2282">
        <v>0.9</v>
      </c>
      <c r="BP2282">
        <v>-0.12</v>
      </c>
      <c r="BQ2282">
        <v>1.37</v>
      </c>
      <c r="BR2282">
        <v>-1.51</v>
      </c>
      <c r="BS2282">
        <v>1.33</v>
      </c>
      <c r="BT2282">
        <v>1.74</v>
      </c>
      <c r="BU2282">
        <v>2.83</v>
      </c>
      <c r="BV2282">
        <v>2.13</v>
      </c>
      <c r="BW2282">
        <v>1.87</v>
      </c>
      <c r="BX2282">
        <v>2.61</v>
      </c>
      <c r="BY2282">
        <v>0.74</v>
      </c>
      <c r="BZ2282">
        <v>0.74</v>
      </c>
      <c r="CA2282">
        <v>1.85</v>
      </c>
      <c r="CB2282">
        <v>1.86</v>
      </c>
      <c r="CC2282">
        <v>0.88</v>
      </c>
      <c r="CD2282">
        <v>-0.4</v>
      </c>
      <c r="CE2282">
        <v>0.82</v>
      </c>
      <c r="CF2282">
        <v>1.91</v>
      </c>
      <c r="CG2282">
        <v>0</v>
      </c>
      <c r="CH2282">
        <v>0.8</v>
      </c>
      <c r="CI2282">
        <v>0</v>
      </c>
      <c r="CJ2282">
        <v>-4.9000000000000004</v>
      </c>
      <c r="CK2282">
        <v>67</v>
      </c>
      <c r="CL2282">
        <v>-1.34</v>
      </c>
      <c r="CM2282">
        <v>64</v>
      </c>
      <c r="CN2282">
        <v>-0.47</v>
      </c>
      <c r="CO2282">
        <v>63</v>
      </c>
      <c r="CP2282">
        <v>6.1</v>
      </c>
      <c r="CQ2282">
        <v>56</v>
      </c>
      <c r="CR2282">
        <v>0</v>
      </c>
      <c r="CS2282">
        <v>0</v>
      </c>
      <c r="CT2282">
        <v>32.6</v>
      </c>
      <c r="CU2282">
        <v>52</v>
      </c>
      <c r="CV2282">
        <v>0.23</v>
      </c>
      <c r="CW2282">
        <v>40</v>
      </c>
      <c r="CX2282" t="s">
        <v>316</v>
      </c>
    </row>
    <row r="2283" spans="1:102" x14ac:dyDescent="0.3">
      <c r="A2283" t="str">
        <f>HYPERLINK("https://webapp.icbf.com/v2/app/bull-search/view/1196690803","S2238")</f>
        <v>S2238</v>
      </c>
      <c r="B2283" t="s">
        <v>9261</v>
      </c>
      <c r="C2283" t="s">
        <v>9262</v>
      </c>
      <c r="D2283" s="1">
        <v>41318</v>
      </c>
      <c r="E2283" t="s">
        <v>92</v>
      </c>
      <c r="F2283">
        <v>100</v>
      </c>
      <c r="G2283" t="s">
        <v>109</v>
      </c>
      <c r="H2283">
        <v>50.42</v>
      </c>
      <c r="I2283">
        <v>79</v>
      </c>
      <c r="J2283">
        <v>68.61</v>
      </c>
      <c r="K2283">
        <v>93</v>
      </c>
      <c r="L2283">
        <v>-30.69</v>
      </c>
      <c r="M2283">
        <v>83</v>
      </c>
      <c r="N2283">
        <v>21.52</v>
      </c>
      <c r="O2283">
        <v>70</v>
      </c>
      <c r="P2283">
        <v>-18.309999999999999</v>
      </c>
      <c r="Q2283">
        <v>69</v>
      </c>
      <c r="R2283">
        <v>20.76</v>
      </c>
      <c r="S2283">
        <v>73</v>
      </c>
      <c r="T2283">
        <v>-8.74</v>
      </c>
      <c r="U2283">
        <v>44</v>
      </c>
      <c r="V2283">
        <v>-2.73</v>
      </c>
      <c r="W2283">
        <v>56</v>
      </c>
      <c r="X2283" t="s">
        <v>94</v>
      </c>
      <c r="Y2283" t="s">
        <v>367</v>
      </c>
      <c r="Z2283" t="s">
        <v>96</v>
      </c>
      <c r="AA2283" t="s">
        <v>8291</v>
      </c>
      <c r="AB2283" t="s">
        <v>9263</v>
      </c>
      <c r="AC2283">
        <v>18</v>
      </c>
      <c r="AD2283">
        <v>10</v>
      </c>
      <c r="AE2283">
        <v>93</v>
      </c>
      <c r="AF2283">
        <v>341.48</v>
      </c>
      <c r="AG2283">
        <v>13.02</v>
      </c>
      <c r="AH2283">
        <v>12.29</v>
      </c>
      <c r="AI2283">
        <v>-0.01</v>
      </c>
      <c r="AJ2283">
        <v>0.01</v>
      </c>
      <c r="AK2283">
        <v>83</v>
      </c>
      <c r="AL2283">
        <v>0</v>
      </c>
      <c r="AM2283">
        <v>0</v>
      </c>
      <c r="AN2283">
        <v>2.25</v>
      </c>
      <c r="AO2283">
        <v>-0.19</v>
      </c>
      <c r="AP2283">
        <v>36</v>
      </c>
      <c r="AQ2283">
        <v>0</v>
      </c>
      <c r="AR2283">
        <v>9.34</v>
      </c>
      <c r="AS2283">
        <v>64</v>
      </c>
      <c r="AT2283">
        <v>3.67</v>
      </c>
      <c r="AU2283">
        <v>90</v>
      </c>
      <c r="AV2283">
        <v>-3.58</v>
      </c>
      <c r="AW2283">
        <v>75</v>
      </c>
      <c r="AX2283">
        <v>-0.18</v>
      </c>
      <c r="AY2283">
        <v>56</v>
      </c>
      <c r="AZ2283">
        <v>6.63</v>
      </c>
      <c r="BA2283">
        <v>43</v>
      </c>
      <c r="BB2283">
        <v>4.38</v>
      </c>
      <c r="BC2283">
        <v>38</v>
      </c>
      <c r="BD2283">
        <v>-0.11</v>
      </c>
      <c r="BE2283">
        <v>-0.06</v>
      </c>
      <c r="BF2283">
        <v>-0.18</v>
      </c>
      <c r="BG2283">
        <v>90</v>
      </c>
      <c r="BH2283">
        <v>-0.15</v>
      </c>
      <c r="BI2283">
        <v>-8.5399999999999991</v>
      </c>
      <c r="BJ2283">
        <v>9</v>
      </c>
      <c r="BK2283">
        <v>6</v>
      </c>
      <c r="BL2283">
        <v>2.5299999999999998</v>
      </c>
      <c r="BM2283">
        <v>-1.56</v>
      </c>
      <c r="BN2283">
        <v>0.08</v>
      </c>
      <c r="BO2283">
        <v>1.35</v>
      </c>
      <c r="BP2283">
        <v>-0.09</v>
      </c>
      <c r="BQ2283">
        <v>-0.24</v>
      </c>
      <c r="BR2283">
        <v>-1.35</v>
      </c>
      <c r="BS2283">
        <v>1.83</v>
      </c>
      <c r="BT2283">
        <v>1.52</v>
      </c>
      <c r="BU2283">
        <v>4.7</v>
      </c>
      <c r="BV2283">
        <v>3.85</v>
      </c>
      <c r="BW2283">
        <v>3.2</v>
      </c>
      <c r="BX2283">
        <v>4.32</v>
      </c>
      <c r="BY2283">
        <v>3.13</v>
      </c>
      <c r="BZ2283">
        <v>0.16</v>
      </c>
      <c r="CA2283">
        <v>4.05</v>
      </c>
      <c r="CB2283">
        <v>3.51</v>
      </c>
      <c r="CC2283">
        <v>2.0099999999999998</v>
      </c>
      <c r="CD2283">
        <v>-0.64</v>
      </c>
      <c r="CE2283">
        <v>1.88</v>
      </c>
      <c r="CF2283">
        <v>1.71</v>
      </c>
      <c r="CG2283">
        <v>0</v>
      </c>
      <c r="CH2283">
        <v>3.51</v>
      </c>
      <c r="CI2283">
        <v>0</v>
      </c>
      <c r="CJ2283">
        <v>-5.8</v>
      </c>
      <c r="CK2283">
        <v>72</v>
      </c>
      <c r="CL2283">
        <v>-1.82</v>
      </c>
      <c r="CM2283">
        <v>68</v>
      </c>
      <c r="CN2283">
        <v>-0.71</v>
      </c>
      <c r="CO2283">
        <v>66</v>
      </c>
      <c r="CP2283">
        <v>1.1000000000000001</v>
      </c>
      <c r="CQ2283">
        <v>50</v>
      </c>
      <c r="CR2283">
        <v>0</v>
      </c>
      <c r="CS2283">
        <v>0</v>
      </c>
      <c r="CT2283">
        <v>25.6</v>
      </c>
      <c r="CU2283">
        <v>44</v>
      </c>
      <c r="CV2283">
        <v>0.27</v>
      </c>
      <c r="CW2283">
        <v>40</v>
      </c>
      <c r="CX2283" t="s">
        <v>2220</v>
      </c>
    </row>
    <row r="2284" spans="1:102" x14ac:dyDescent="0.3">
      <c r="A2284" t="str">
        <f>HYPERLINK("https://webapp.icbf.com/v2/app/bull-search/view/586044490","S1130")</f>
        <v>S1130</v>
      </c>
      <c r="B2284" t="s">
        <v>5487</v>
      </c>
      <c r="C2284" t="s">
        <v>353</v>
      </c>
      <c r="D2284" s="1">
        <v>38366</v>
      </c>
      <c r="E2284" t="s">
        <v>92</v>
      </c>
      <c r="F2284">
        <v>100</v>
      </c>
      <c r="G2284" t="s">
        <v>109</v>
      </c>
      <c r="H2284">
        <v>50</v>
      </c>
      <c r="I2284">
        <v>78</v>
      </c>
      <c r="J2284">
        <v>78.64</v>
      </c>
      <c r="K2284">
        <v>87</v>
      </c>
      <c r="L2284">
        <v>-77.89</v>
      </c>
      <c r="M2284">
        <v>83</v>
      </c>
      <c r="N2284">
        <v>44.77</v>
      </c>
      <c r="O2284">
        <v>75</v>
      </c>
      <c r="P2284">
        <v>6.61</v>
      </c>
      <c r="Q2284">
        <v>71</v>
      </c>
      <c r="R2284">
        <v>3.77</v>
      </c>
      <c r="S2284">
        <v>71</v>
      </c>
      <c r="T2284">
        <v>-5.49</v>
      </c>
      <c r="U2284">
        <v>54</v>
      </c>
      <c r="V2284">
        <v>-0.41</v>
      </c>
      <c r="W2284">
        <v>42</v>
      </c>
      <c r="X2284" t="s">
        <v>110</v>
      </c>
      <c r="Y2284" t="s">
        <v>336</v>
      </c>
      <c r="Z2284" t="s">
        <v>96</v>
      </c>
      <c r="AA2284" t="s">
        <v>316</v>
      </c>
      <c r="AB2284" t="s">
        <v>5488</v>
      </c>
      <c r="AC2284">
        <v>0</v>
      </c>
      <c r="AD2284">
        <v>0</v>
      </c>
      <c r="AE2284">
        <v>87</v>
      </c>
      <c r="AF2284">
        <v>800.82</v>
      </c>
      <c r="AG2284">
        <v>17.22</v>
      </c>
      <c r="AH2284">
        <v>19.54</v>
      </c>
      <c r="AI2284">
        <v>-0.21</v>
      </c>
      <c r="AJ2284">
        <v>-0.12</v>
      </c>
      <c r="AK2284">
        <v>83</v>
      </c>
      <c r="AL2284">
        <v>0</v>
      </c>
      <c r="AM2284">
        <v>0</v>
      </c>
      <c r="AN2284">
        <v>5.91</v>
      </c>
      <c r="AO2284">
        <v>-0.28000000000000003</v>
      </c>
      <c r="AP2284">
        <v>1</v>
      </c>
      <c r="AQ2284">
        <v>0</v>
      </c>
      <c r="AR2284">
        <v>5.61</v>
      </c>
      <c r="AS2284">
        <v>66</v>
      </c>
      <c r="AT2284">
        <v>2.56</v>
      </c>
      <c r="AU2284">
        <v>99</v>
      </c>
      <c r="AV2284">
        <v>-4.2699999999999996</v>
      </c>
      <c r="AW2284">
        <v>77</v>
      </c>
      <c r="AX2284">
        <v>-0.25</v>
      </c>
      <c r="AY2284">
        <v>67</v>
      </c>
      <c r="AZ2284">
        <v>6.39</v>
      </c>
      <c r="BA2284">
        <v>49</v>
      </c>
      <c r="BB2284">
        <v>4.83</v>
      </c>
      <c r="BC2284">
        <v>41</v>
      </c>
      <c r="BD2284">
        <v>-0.01</v>
      </c>
      <c r="BE2284">
        <v>0</v>
      </c>
      <c r="BF2284">
        <v>-7.0000000000000007E-2</v>
      </c>
      <c r="BG2284">
        <v>91</v>
      </c>
      <c r="BH2284">
        <v>-0.08</v>
      </c>
      <c r="BI2284">
        <v>-7.93</v>
      </c>
      <c r="BJ2284">
        <v>8</v>
      </c>
      <c r="BK2284">
        <v>6</v>
      </c>
      <c r="BL2284">
        <v>1.86</v>
      </c>
      <c r="BM2284">
        <v>0.06</v>
      </c>
      <c r="BN2284">
        <v>1.47</v>
      </c>
      <c r="BO2284">
        <v>1.37</v>
      </c>
      <c r="BP2284">
        <v>1.48</v>
      </c>
      <c r="BQ2284">
        <v>0.96</v>
      </c>
      <c r="BR2284">
        <v>-1.83</v>
      </c>
      <c r="BS2284">
        <v>1.29</v>
      </c>
      <c r="BT2284">
        <v>3.12</v>
      </c>
      <c r="BU2284">
        <v>2.2599999999999998</v>
      </c>
      <c r="BV2284">
        <v>2.92</v>
      </c>
      <c r="BW2284">
        <v>1.5</v>
      </c>
      <c r="BX2284">
        <v>1.26</v>
      </c>
      <c r="BY2284">
        <v>1.77</v>
      </c>
      <c r="BZ2284">
        <v>1.81</v>
      </c>
      <c r="CA2284">
        <v>2.64</v>
      </c>
      <c r="CB2284">
        <v>2.39</v>
      </c>
      <c r="CC2284">
        <v>2.0499999999999998</v>
      </c>
      <c r="CD2284">
        <v>-0.9</v>
      </c>
      <c r="CE2284">
        <v>0.91</v>
      </c>
      <c r="CF2284">
        <v>1.37</v>
      </c>
      <c r="CG2284">
        <v>0</v>
      </c>
      <c r="CH2284">
        <v>0.99</v>
      </c>
      <c r="CI2284">
        <v>0</v>
      </c>
      <c r="CJ2284">
        <v>6.1</v>
      </c>
      <c r="CK2284">
        <v>73</v>
      </c>
      <c r="CL2284">
        <v>-0.78</v>
      </c>
      <c r="CM2284">
        <v>70</v>
      </c>
      <c r="CN2284">
        <v>-0.47</v>
      </c>
      <c r="CO2284">
        <v>68</v>
      </c>
      <c r="CP2284">
        <v>4.9000000000000004</v>
      </c>
      <c r="CQ2284">
        <v>60</v>
      </c>
      <c r="CR2284">
        <v>0</v>
      </c>
      <c r="CS2284">
        <v>0</v>
      </c>
      <c r="CT2284">
        <v>21.2</v>
      </c>
      <c r="CU2284">
        <v>54</v>
      </c>
      <c r="CV2284">
        <v>0.37</v>
      </c>
      <c r="CW2284">
        <v>26</v>
      </c>
      <c r="CX2284" t="s">
        <v>289</v>
      </c>
    </row>
    <row r="2285" spans="1:102" x14ac:dyDescent="0.3">
      <c r="A2285" t="str">
        <f>HYPERLINK("https://webapp.icbf.com/v2/app/bull-search/view/398423583","CJI")</f>
        <v>CJI</v>
      </c>
      <c r="B2285" t="s">
        <v>15434</v>
      </c>
      <c r="C2285" t="s">
        <v>15435</v>
      </c>
      <c r="D2285" s="1">
        <v>38418</v>
      </c>
      <c r="E2285" t="s">
        <v>92</v>
      </c>
      <c r="F2285">
        <v>53</v>
      </c>
      <c r="G2285" t="s">
        <v>93</v>
      </c>
      <c r="H2285">
        <v>49.92</v>
      </c>
      <c r="I2285">
        <v>85</v>
      </c>
      <c r="J2285">
        <v>27.19</v>
      </c>
      <c r="K2285">
        <v>95</v>
      </c>
      <c r="L2285">
        <v>9.67</v>
      </c>
      <c r="M2285">
        <v>76</v>
      </c>
      <c r="N2285">
        <v>33.53</v>
      </c>
      <c r="O2285">
        <v>83</v>
      </c>
      <c r="P2285">
        <v>-27.01</v>
      </c>
      <c r="Q2285">
        <v>87</v>
      </c>
      <c r="R2285">
        <v>-15.31</v>
      </c>
      <c r="S2285">
        <v>80</v>
      </c>
      <c r="T2285">
        <v>26.92</v>
      </c>
      <c r="U2285">
        <v>84</v>
      </c>
      <c r="V2285">
        <v>-5.07</v>
      </c>
      <c r="W2285">
        <v>81</v>
      </c>
      <c r="X2285" t="s">
        <v>94</v>
      </c>
      <c r="Y2285" t="s">
        <v>1164</v>
      </c>
      <c r="Z2285" t="s">
        <v>96</v>
      </c>
      <c r="AA2285" t="s">
        <v>4059</v>
      </c>
      <c r="AB2285" t="s">
        <v>15436</v>
      </c>
      <c r="AC2285">
        <v>52</v>
      </c>
      <c r="AD2285">
        <v>40</v>
      </c>
      <c r="AE2285">
        <v>95</v>
      </c>
      <c r="AF2285">
        <v>35.69</v>
      </c>
      <c r="AG2285">
        <v>6.84</v>
      </c>
      <c r="AH2285">
        <v>2.75</v>
      </c>
      <c r="AI2285">
        <v>0.09</v>
      </c>
      <c r="AJ2285">
        <v>0.03</v>
      </c>
      <c r="AK2285">
        <v>76</v>
      </c>
      <c r="AL2285">
        <v>54</v>
      </c>
      <c r="AM2285">
        <v>41</v>
      </c>
      <c r="AN2285">
        <v>0.92</v>
      </c>
      <c r="AO2285">
        <v>1.71</v>
      </c>
      <c r="AP2285">
        <v>106</v>
      </c>
      <c r="AQ2285">
        <v>1</v>
      </c>
      <c r="AR2285">
        <v>3.83</v>
      </c>
      <c r="AS2285">
        <v>68</v>
      </c>
      <c r="AT2285">
        <v>1.57</v>
      </c>
      <c r="AU2285">
        <v>84</v>
      </c>
      <c r="AV2285">
        <v>-2.41</v>
      </c>
      <c r="AW2285">
        <v>93</v>
      </c>
      <c r="AX2285">
        <v>0.04</v>
      </c>
      <c r="AY2285">
        <v>76</v>
      </c>
      <c r="AZ2285">
        <v>7.85</v>
      </c>
      <c r="BA2285">
        <v>63</v>
      </c>
      <c r="BB2285">
        <v>5.42</v>
      </c>
      <c r="BC2285">
        <v>68</v>
      </c>
      <c r="BD2285">
        <v>0</v>
      </c>
      <c r="BE2285">
        <v>0.08</v>
      </c>
      <c r="BF2285">
        <v>0.2</v>
      </c>
      <c r="BG2285">
        <v>86</v>
      </c>
      <c r="BH2285">
        <v>-0.12</v>
      </c>
      <c r="BI2285">
        <v>2.4700000000000002</v>
      </c>
      <c r="BJ2285">
        <v>15</v>
      </c>
      <c r="BK2285">
        <v>11</v>
      </c>
      <c r="BL2285">
        <v>-1.76</v>
      </c>
      <c r="BM2285">
        <v>-0.87</v>
      </c>
      <c r="BN2285">
        <v>-1.9</v>
      </c>
      <c r="BO2285">
        <v>-0.86</v>
      </c>
      <c r="BP2285">
        <v>3.42</v>
      </c>
      <c r="BQ2285">
        <v>-3.02</v>
      </c>
      <c r="BR2285">
        <v>0.19</v>
      </c>
      <c r="BS2285">
        <v>0.02</v>
      </c>
      <c r="BT2285">
        <v>-0.55000000000000004</v>
      </c>
      <c r="BU2285">
        <v>-2.82</v>
      </c>
      <c r="BV2285">
        <v>-2.4500000000000002</v>
      </c>
      <c r="BW2285">
        <v>-2.15</v>
      </c>
      <c r="BX2285">
        <v>-2.2400000000000002</v>
      </c>
      <c r="BY2285">
        <v>-1.41</v>
      </c>
      <c r="BZ2285">
        <v>-0.51</v>
      </c>
      <c r="CA2285">
        <v>-1.94</v>
      </c>
      <c r="CB2285">
        <v>-2.21</v>
      </c>
      <c r="CC2285">
        <v>-1.0900000000000001</v>
      </c>
      <c r="CD2285">
        <v>-0.14000000000000001</v>
      </c>
      <c r="CE2285">
        <v>-0.9</v>
      </c>
      <c r="CF2285">
        <v>-2.27</v>
      </c>
      <c r="CG2285">
        <v>0</v>
      </c>
      <c r="CH2285">
        <v>-1.69</v>
      </c>
      <c r="CI2285">
        <v>0</v>
      </c>
      <c r="CJ2285">
        <v>-11.2</v>
      </c>
      <c r="CK2285">
        <v>88</v>
      </c>
      <c r="CL2285">
        <v>-0.7</v>
      </c>
      <c r="CM2285">
        <v>86</v>
      </c>
      <c r="CN2285">
        <v>0.08</v>
      </c>
      <c r="CO2285">
        <v>84</v>
      </c>
      <c r="CP2285">
        <v>-22.6</v>
      </c>
      <c r="CQ2285">
        <v>86</v>
      </c>
      <c r="CR2285">
        <v>0</v>
      </c>
      <c r="CS2285">
        <v>0</v>
      </c>
      <c r="CT2285">
        <v>-22.6</v>
      </c>
      <c r="CU2285">
        <v>84</v>
      </c>
      <c r="CV2285">
        <v>0.04</v>
      </c>
      <c r="CW2285">
        <v>44</v>
      </c>
      <c r="CX2285" t="s">
        <v>792</v>
      </c>
    </row>
    <row r="2286" spans="1:102" x14ac:dyDescent="0.3">
      <c r="A2286" t="str">
        <f>HYPERLINK("https://webapp.icbf.com/v2/app/bull-search/view/529828176","S805")</f>
        <v>S805</v>
      </c>
      <c r="B2286" t="s">
        <v>5252</v>
      </c>
      <c r="C2286" t="s">
        <v>1962</v>
      </c>
      <c r="D2286" s="1">
        <v>37683</v>
      </c>
      <c r="E2286" t="s">
        <v>92</v>
      </c>
      <c r="F2286">
        <v>100</v>
      </c>
      <c r="G2286" t="s">
        <v>93</v>
      </c>
      <c r="H2286">
        <v>49.91</v>
      </c>
      <c r="I2286">
        <v>92</v>
      </c>
      <c r="J2286">
        <v>60.11</v>
      </c>
      <c r="K2286">
        <v>97</v>
      </c>
      <c r="L2286">
        <v>-40.93</v>
      </c>
      <c r="M2286">
        <v>94</v>
      </c>
      <c r="N2286">
        <v>27.88</v>
      </c>
      <c r="O2286">
        <v>90</v>
      </c>
      <c r="P2286">
        <v>-12.86</v>
      </c>
      <c r="Q2286">
        <v>90</v>
      </c>
      <c r="R2286">
        <v>7.84</v>
      </c>
      <c r="S2286">
        <v>82</v>
      </c>
      <c r="T2286">
        <v>6.43</v>
      </c>
      <c r="U2286">
        <v>78</v>
      </c>
      <c r="V2286">
        <v>1.44</v>
      </c>
      <c r="W2286">
        <v>70</v>
      </c>
      <c r="X2286" t="s">
        <v>276</v>
      </c>
      <c r="Y2286" t="s">
        <v>1494</v>
      </c>
      <c r="Z2286" t="s">
        <v>96</v>
      </c>
      <c r="AA2286" t="s">
        <v>4590</v>
      </c>
      <c r="AB2286" t="s">
        <v>5253</v>
      </c>
      <c r="AC2286">
        <v>59</v>
      </c>
      <c r="AD2286">
        <v>31</v>
      </c>
      <c r="AE2286">
        <v>97</v>
      </c>
      <c r="AF2286">
        <v>556.79999999999995</v>
      </c>
      <c r="AG2286">
        <v>10.050000000000001</v>
      </c>
      <c r="AH2286">
        <v>15.19</v>
      </c>
      <c r="AI2286">
        <v>-0.19</v>
      </c>
      <c r="AJ2286">
        <v>-0.06</v>
      </c>
      <c r="AK2286">
        <v>94</v>
      </c>
      <c r="AL2286">
        <v>47</v>
      </c>
      <c r="AM2286">
        <v>23</v>
      </c>
      <c r="AN2286">
        <v>4.08</v>
      </c>
      <c r="AO2286">
        <v>0.84</v>
      </c>
      <c r="AP2286">
        <v>60</v>
      </c>
      <c r="AQ2286">
        <v>0</v>
      </c>
      <c r="AR2286">
        <v>7.74</v>
      </c>
      <c r="AS2286">
        <v>88</v>
      </c>
      <c r="AT2286">
        <v>2.81</v>
      </c>
      <c r="AU2286">
        <v>99</v>
      </c>
      <c r="AV2286">
        <v>-2.83</v>
      </c>
      <c r="AW2286">
        <v>92</v>
      </c>
      <c r="AX2286">
        <v>-0.08</v>
      </c>
      <c r="AY2286">
        <v>87</v>
      </c>
      <c r="AZ2286">
        <v>5.74</v>
      </c>
      <c r="BA2286">
        <v>78</v>
      </c>
      <c r="BB2286">
        <v>4.62</v>
      </c>
      <c r="BC2286">
        <v>71</v>
      </c>
      <c r="BD2286">
        <v>-0.05</v>
      </c>
      <c r="BE2286">
        <v>-0.03</v>
      </c>
      <c r="BF2286">
        <v>-0.04</v>
      </c>
      <c r="BG2286">
        <v>96</v>
      </c>
      <c r="BH2286">
        <v>-0.03</v>
      </c>
      <c r="BI2286">
        <v>-8.1</v>
      </c>
      <c r="BJ2286">
        <v>30</v>
      </c>
      <c r="BK2286">
        <v>17</v>
      </c>
      <c r="BL2286">
        <v>0.11</v>
      </c>
      <c r="BM2286">
        <v>-0.34</v>
      </c>
      <c r="BN2286">
        <v>0.37</v>
      </c>
      <c r="BO2286">
        <v>1.06</v>
      </c>
      <c r="BP2286">
        <v>-0.04</v>
      </c>
      <c r="BQ2286">
        <v>1.42</v>
      </c>
      <c r="BR2286">
        <v>4.67</v>
      </c>
      <c r="BS2286">
        <v>-0.34</v>
      </c>
      <c r="BT2286">
        <v>-4.34</v>
      </c>
      <c r="BU2286">
        <v>0.76</v>
      </c>
      <c r="BV2286">
        <v>1.1599999999999999</v>
      </c>
      <c r="BW2286">
        <v>1.32</v>
      </c>
      <c r="BX2286">
        <v>0.15</v>
      </c>
      <c r="BY2286">
        <v>2.67</v>
      </c>
      <c r="BZ2286">
        <v>-2.68</v>
      </c>
      <c r="CA2286">
        <v>0.04</v>
      </c>
      <c r="CB2286">
        <v>1.3</v>
      </c>
      <c r="CC2286">
        <v>-0.93</v>
      </c>
      <c r="CD2286">
        <v>-0.99</v>
      </c>
      <c r="CE2286">
        <v>1.36</v>
      </c>
      <c r="CF2286">
        <v>1.4</v>
      </c>
      <c r="CG2286">
        <v>0</v>
      </c>
      <c r="CH2286">
        <v>1.95</v>
      </c>
      <c r="CI2286">
        <v>0</v>
      </c>
      <c r="CJ2286">
        <v>-4.2</v>
      </c>
      <c r="CK2286">
        <v>91</v>
      </c>
      <c r="CL2286">
        <v>-0.97</v>
      </c>
      <c r="CM2286">
        <v>89</v>
      </c>
      <c r="CN2286">
        <v>-0.33</v>
      </c>
      <c r="CO2286">
        <v>89</v>
      </c>
      <c r="CP2286">
        <v>-6.1</v>
      </c>
      <c r="CQ2286">
        <v>85</v>
      </c>
      <c r="CR2286">
        <v>0</v>
      </c>
      <c r="CS2286">
        <v>0</v>
      </c>
      <c r="CT2286">
        <v>5.0999999999999996</v>
      </c>
      <c r="CU2286">
        <v>78</v>
      </c>
      <c r="CV2286">
        <v>0.15</v>
      </c>
      <c r="CW2286">
        <v>44</v>
      </c>
      <c r="CX2286" t="s">
        <v>1620</v>
      </c>
    </row>
    <row r="2287" spans="1:102" x14ac:dyDescent="0.3">
      <c r="A2287" t="str">
        <f>HYPERLINK("https://webapp.icbf.com/v2/app/bull-search/view/678698854","S1313")</f>
        <v>S1313</v>
      </c>
      <c r="B2287" t="s">
        <v>13039</v>
      </c>
      <c r="C2287" t="s">
        <v>13040</v>
      </c>
      <c r="D2287" s="1">
        <v>38730</v>
      </c>
      <c r="E2287" t="s">
        <v>140</v>
      </c>
      <c r="F2287">
        <v>0</v>
      </c>
      <c r="G2287" t="s">
        <v>109</v>
      </c>
      <c r="H2287">
        <v>49.87</v>
      </c>
      <c r="I2287">
        <v>80</v>
      </c>
      <c r="J2287">
        <v>-10.25</v>
      </c>
      <c r="K2287">
        <v>93</v>
      </c>
      <c r="L2287">
        <v>34.950000000000003</v>
      </c>
      <c r="M2287">
        <v>70</v>
      </c>
      <c r="N2287">
        <v>3.94</v>
      </c>
      <c r="O2287">
        <v>78</v>
      </c>
      <c r="P2287">
        <v>22.81</v>
      </c>
      <c r="Q2287">
        <v>89</v>
      </c>
      <c r="R2287">
        <v>4.12</v>
      </c>
      <c r="S2287">
        <v>72</v>
      </c>
      <c r="T2287">
        <v>4.72</v>
      </c>
      <c r="U2287">
        <v>66</v>
      </c>
      <c r="V2287">
        <v>-10.42</v>
      </c>
      <c r="W2287">
        <v>69</v>
      </c>
      <c r="X2287" t="s">
        <v>102</v>
      </c>
      <c r="Y2287" t="s">
        <v>342</v>
      </c>
      <c r="Z2287">
        <v>0</v>
      </c>
      <c r="AA2287" t="s">
        <v>7463</v>
      </c>
      <c r="AB2287" t="s">
        <v>13041</v>
      </c>
      <c r="AC2287">
        <v>0</v>
      </c>
      <c r="AD2287">
        <v>0</v>
      </c>
      <c r="AE2287">
        <v>93</v>
      </c>
      <c r="AF2287">
        <v>-122.05</v>
      </c>
      <c r="AG2287">
        <v>-6.9</v>
      </c>
      <c r="AH2287">
        <v>-1.17</v>
      </c>
      <c r="AI2287">
        <v>-0.04</v>
      </c>
      <c r="AJ2287">
        <v>0.05</v>
      </c>
      <c r="AK2287">
        <v>70</v>
      </c>
      <c r="AL2287">
        <v>50</v>
      </c>
      <c r="AM2287">
        <v>17</v>
      </c>
      <c r="AN2287">
        <v>-1.69</v>
      </c>
      <c r="AO2287">
        <v>1.1000000000000001</v>
      </c>
      <c r="AP2287">
        <v>122</v>
      </c>
      <c r="AQ2287">
        <v>0</v>
      </c>
      <c r="AR2287">
        <v>7.29</v>
      </c>
      <c r="AS2287">
        <v>65</v>
      </c>
      <c r="AT2287">
        <v>3.95</v>
      </c>
      <c r="AU2287">
        <v>81</v>
      </c>
      <c r="AV2287">
        <v>-0.21</v>
      </c>
      <c r="AW2287">
        <v>91</v>
      </c>
      <c r="AX2287">
        <v>-0.39</v>
      </c>
      <c r="AY2287">
        <v>71</v>
      </c>
      <c r="AZ2287">
        <v>4.49</v>
      </c>
      <c r="BA2287">
        <v>50</v>
      </c>
      <c r="BB2287">
        <v>3.76</v>
      </c>
      <c r="BC2287">
        <v>52</v>
      </c>
      <c r="BD2287">
        <v>0.02</v>
      </c>
      <c r="BE2287">
        <v>-0.02</v>
      </c>
      <c r="BF2287">
        <v>-0.09</v>
      </c>
      <c r="BG2287">
        <v>80</v>
      </c>
      <c r="BH2287">
        <v>-0.38</v>
      </c>
      <c r="BI2287">
        <v>-10.36</v>
      </c>
      <c r="BJ2287">
        <v>0</v>
      </c>
      <c r="BK2287">
        <v>0</v>
      </c>
      <c r="BL2287">
        <v>-0.68</v>
      </c>
      <c r="BM2287">
        <v>3.54</v>
      </c>
      <c r="BN2287">
        <v>-1.67</v>
      </c>
      <c r="BO2287">
        <v>-2.99</v>
      </c>
      <c r="BP2287">
        <v>4.53</v>
      </c>
      <c r="BQ2287">
        <v>-1.95</v>
      </c>
      <c r="BR2287">
        <v>-2.74</v>
      </c>
      <c r="BS2287">
        <v>-0.49</v>
      </c>
      <c r="BT2287">
        <v>2.67</v>
      </c>
      <c r="BU2287">
        <v>-3.35</v>
      </c>
      <c r="BV2287">
        <v>-3.87</v>
      </c>
      <c r="BW2287">
        <v>-2.92</v>
      </c>
      <c r="BX2287">
        <v>-2.5299999999999998</v>
      </c>
      <c r="BY2287">
        <v>-2.12</v>
      </c>
      <c r="BZ2287">
        <v>1.35</v>
      </c>
      <c r="CA2287">
        <v>-2.4700000000000002</v>
      </c>
      <c r="CB2287">
        <v>-3.17</v>
      </c>
      <c r="CC2287">
        <v>-0.4</v>
      </c>
      <c r="CD2287">
        <v>3.91</v>
      </c>
      <c r="CE2287">
        <v>-2.9</v>
      </c>
      <c r="CF2287">
        <v>-1.01</v>
      </c>
      <c r="CG2287">
        <v>0</v>
      </c>
      <c r="CH2287">
        <v>-2.44</v>
      </c>
      <c r="CI2287">
        <v>0</v>
      </c>
      <c r="CJ2287">
        <v>10.4</v>
      </c>
      <c r="CK2287">
        <v>91</v>
      </c>
      <c r="CL2287">
        <v>0.22</v>
      </c>
      <c r="CM2287">
        <v>89</v>
      </c>
      <c r="CN2287">
        <v>-0.39</v>
      </c>
      <c r="CO2287">
        <v>88</v>
      </c>
      <c r="CP2287">
        <v>10.8</v>
      </c>
      <c r="CQ2287">
        <v>73</v>
      </c>
      <c r="CR2287">
        <v>0</v>
      </c>
      <c r="CS2287">
        <v>0</v>
      </c>
      <c r="CT2287">
        <v>7.4</v>
      </c>
      <c r="CU2287">
        <v>66</v>
      </c>
      <c r="CV2287">
        <v>0.26</v>
      </c>
      <c r="CW2287">
        <v>44</v>
      </c>
      <c r="CX2287" t="s">
        <v>1808</v>
      </c>
    </row>
    <row r="2288" spans="1:102" x14ac:dyDescent="0.3">
      <c r="A2288" t="str">
        <f>HYPERLINK("https://webapp.icbf.com/v2/app/bull-search/view/69091126","AKI")</f>
        <v>AKI</v>
      </c>
      <c r="B2288" t="s">
        <v>8525</v>
      </c>
      <c r="C2288" t="s">
        <v>8526</v>
      </c>
      <c r="D2288" s="1">
        <v>34507</v>
      </c>
      <c r="E2288" t="s">
        <v>92</v>
      </c>
      <c r="F2288">
        <v>100</v>
      </c>
      <c r="G2288" t="s">
        <v>93</v>
      </c>
      <c r="H2288">
        <v>49.84</v>
      </c>
      <c r="I2288">
        <v>61</v>
      </c>
      <c r="J2288">
        <v>-9.17</v>
      </c>
      <c r="K2288">
        <v>82</v>
      </c>
      <c r="L2288">
        <v>47.03</v>
      </c>
      <c r="M2288">
        <v>41</v>
      </c>
      <c r="N2288">
        <v>8.93</v>
      </c>
      <c r="O2288">
        <v>49</v>
      </c>
      <c r="P2288">
        <v>-2.94</v>
      </c>
      <c r="Q2288">
        <v>84</v>
      </c>
      <c r="R2288">
        <v>-5.67</v>
      </c>
      <c r="S2288">
        <v>42</v>
      </c>
      <c r="T2288">
        <v>13.6</v>
      </c>
      <c r="U2288">
        <v>71</v>
      </c>
      <c r="V2288">
        <v>-1.94</v>
      </c>
      <c r="W2288">
        <v>30</v>
      </c>
      <c r="X2288" t="s">
        <v>276</v>
      </c>
      <c r="Y2288" t="s">
        <v>545</v>
      </c>
      <c r="Z2288" t="s">
        <v>96</v>
      </c>
      <c r="AA2288" t="s">
        <v>8527</v>
      </c>
      <c r="AB2288" t="s">
        <v>8528</v>
      </c>
      <c r="AC2288">
        <v>24</v>
      </c>
      <c r="AD2288">
        <v>12</v>
      </c>
      <c r="AE2288">
        <v>82</v>
      </c>
      <c r="AF2288">
        <v>-135.87</v>
      </c>
      <c r="AG2288">
        <v>-0.79</v>
      </c>
      <c r="AH2288">
        <v>-3.36</v>
      </c>
      <c r="AI2288">
        <v>0.08</v>
      </c>
      <c r="AJ2288">
        <v>0.02</v>
      </c>
      <c r="AK2288">
        <v>41</v>
      </c>
      <c r="AL2288">
        <v>31</v>
      </c>
      <c r="AM2288">
        <v>15</v>
      </c>
      <c r="AN2288">
        <v>-2.58</v>
      </c>
      <c r="AO2288">
        <v>1.17</v>
      </c>
      <c r="AP2288">
        <v>30</v>
      </c>
      <c r="AQ2288">
        <v>1</v>
      </c>
      <c r="AR2288">
        <v>7</v>
      </c>
      <c r="AS2288">
        <v>24</v>
      </c>
      <c r="AT2288">
        <v>3.04</v>
      </c>
      <c r="AU2288">
        <v>54</v>
      </c>
      <c r="AV2288">
        <v>-0.92</v>
      </c>
      <c r="AW2288">
        <v>55</v>
      </c>
      <c r="AX2288">
        <v>0.34</v>
      </c>
      <c r="AY2288">
        <v>58</v>
      </c>
      <c r="AZ2288">
        <v>5.78</v>
      </c>
      <c r="BA2288">
        <v>28</v>
      </c>
      <c r="BB2288">
        <v>5.16</v>
      </c>
      <c r="BC2288">
        <v>34</v>
      </c>
      <c r="BD2288">
        <v>0.05</v>
      </c>
      <c r="BE2288">
        <v>0.03</v>
      </c>
      <c r="BF2288">
        <v>-0.01</v>
      </c>
      <c r="BG2288">
        <v>52</v>
      </c>
      <c r="BH2288">
        <v>0.06</v>
      </c>
      <c r="BI2288">
        <v>13.21</v>
      </c>
      <c r="BJ2288">
        <v>1</v>
      </c>
      <c r="BK2288">
        <v>1</v>
      </c>
      <c r="BL2288">
        <v>-0.72</v>
      </c>
      <c r="BM2288">
        <v>-0.3</v>
      </c>
      <c r="BN2288">
        <v>-1.56</v>
      </c>
      <c r="BO2288">
        <v>-0.73</v>
      </c>
      <c r="BP2288">
        <v>-0.43</v>
      </c>
      <c r="BQ2288">
        <v>-0.32</v>
      </c>
      <c r="BR2288">
        <v>0.22</v>
      </c>
      <c r="BS2288">
        <v>-0.73</v>
      </c>
      <c r="BT2288">
        <v>-0.36</v>
      </c>
      <c r="BU2288">
        <v>-0.49</v>
      </c>
      <c r="BV2288">
        <v>-0.96</v>
      </c>
      <c r="BW2288">
        <v>-2.2999999999999998</v>
      </c>
      <c r="BX2288">
        <v>0.33</v>
      </c>
      <c r="BY2288">
        <v>-1.49</v>
      </c>
      <c r="BZ2288">
        <v>-0.92</v>
      </c>
      <c r="CA2288">
        <v>-1.18</v>
      </c>
      <c r="CB2288">
        <v>-1.1299999999999999</v>
      </c>
      <c r="CC2288">
        <v>-0.94</v>
      </c>
      <c r="CD2288">
        <v>0.24</v>
      </c>
      <c r="CE2288">
        <v>-0.21</v>
      </c>
      <c r="CF2288">
        <v>0.09</v>
      </c>
      <c r="CG2288">
        <v>0</v>
      </c>
      <c r="CH2288">
        <v>-0.36</v>
      </c>
      <c r="CI2288">
        <v>0</v>
      </c>
      <c r="CJ2288">
        <v>-1.7</v>
      </c>
      <c r="CK2288">
        <v>86</v>
      </c>
      <c r="CL2288">
        <v>-0.38</v>
      </c>
      <c r="CM2288">
        <v>83</v>
      </c>
      <c r="CN2288">
        <v>-0.38</v>
      </c>
      <c r="CO2288">
        <v>80</v>
      </c>
      <c r="CP2288">
        <v>-7.5</v>
      </c>
      <c r="CQ2288">
        <v>77</v>
      </c>
      <c r="CR2288">
        <v>0</v>
      </c>
      <c r="CS2288">
        <v>0</v>
      </c>
      <c r="CT2288">
        <v>-4.5999999999999996</v>
      </c>
      <c r="CU2288">
        <v>71</v>
      </c>
      <c r="CV2288">
        <v>0.05</v>
      </c>
      <c r="CW2288">
        <v>25</v>
      </c>
      <c r="CX2288" t="s">
        <v>8529</v>
      </c>
    </row>
    <row r="2289" spans="1:102" x14ac:dyDescent="0.3">
      <c r="A2289" t="str">
        <f>HYPERLINK("https://webapp.icbf.com/v2/app/bull-search/view/1276121119","S3154")</f>
        <v>S3154</v>
      </c>
      <c r="B2289" t="s">
        <v>13804</v>
      </c>
      <c r="C2289" t="s">
        <v>13805</v>
      </c>
      <c r="D2289" s="1">
        <v>41612</v>
      </c>
      <c r="E2289" t="s">
        <v>92</v>
      </c>
      <c r="F2289">
        <v>100</v>
      </c>
      <c r="G2289" t="s">
        <v>109</v>
      </c>
      <c r="H2289">
        <v>49.83</v>
      </c>
      <c r="I2289">
        <v>72</v>
      </c>
      <c r="J2289">
        <v>64.09</v>
      </c>
      <c r="K2289">
        <v>91</v>
      </c>
      <c r="L2289">
        <v>-18.809999999999999</v>
      </c>
      <c r="M2289">
        <v>75</v>
      </c>
      <c r="N2289">
        <v>18.73</v>
      </c>
      <c r="O2289">
        <v>59</v>
      </c>
      <c r="P2289">
        <v>-6.19</v>
      </c>
      <c r="Q2289">
        <v>39</v>
      </c>
      <c r="R2289">
        <v>9.2100000000000009</v>
      </c>
      <c r="S2289">
        <v>69</v>
      </c>
      <c r="T2289">
        <v>-16.510000000000002</v>
      </c>
      <c r="U2289">
        <v>35</v>
      </c>
      <c r="V2289">
        <v>-0.69</v>
      </c>
      <c r="W2289">
        <v>57</v>
      </c>
      <c r="X2289" t="s">
        <v>110</v>
      </c>
      <c r="Y2289" t="s">
        <v>457</v>
      </c>
      <c r="Z2289" t="s">
        <v>96</v>
      </c>
      <c r="AA2289" t="s">
        <v>13414</v>
      </c>
      <c r="AB2289" t="s">
        <v>13806</v>
      </c>
      <c r="AC2289">
        <v>0</v>
      </c>
      <c r="AD2289">
        <v>0</v>
      </c>
      <c r="AE2289">
        <v>91</v>
      </c>
      <c r="AF2289">
        <v>761.59</v>
      </c>
      <c r="AG2289">
        <v>8.02</v>
      </c>
      <c r="AH2289">
        <v>19.72</v>
      </c>
      <c r="AI2289">
        <v>-0.34</v>
      </c>
      <c r="AJ2289">
        <v>-0.09</v>
      </c>
      <c r="AK2289">
        <v>75</v>
      </c>
      <c r="AL2289">
        <v>0</v>
      </c>
      <c r="AM2289">
        <v>0</v>
      </c>
      <c r="AN2289">
        <v>3.39</v>
      </c>
      <c r="AO2289">
        <v>1.92</v>
      </c>
      <c r="AP2289">
        <v>7</v>
      </c>
      <c r="AQ2289">
        <v>0</v>
      </c>
      <c r="AR2289">
        <v>7.05</v>
      </c>
      <c r="AS2289">
        <v>55</v>
      </c>
      <c r="AT2289">
        <v>2.99</v>
      </c>
      <c r="AU2289">
        <v>86</v>
      </c>
      <c r="AV2289">
        <v>-2.52</v>
      </c>
      <c r="AW2289">
        <v>57</v>
      </c>
      <c r="AX2289">
        <v>0.85</v>
      </c>
      <c r="AY2289">
        <v>42</v>
      </c>
      <c r="AZ2289">
        <v>7.02</v>
      </c>
      <c r="BA2289">
        <v>35</v>
      </c>
      <c r="BB2289">
        <v>5.16</v>
      </c>
      <c r="BC2289">
        <v>36</v>
      </c>
      <c r="BD2289">
        <v>-0.04</v>
      </c>
      <c r="BE2289">
        <v>-0.05</v>
      </c>
      <c r="BF2289">
        <v>-0.05</v>
      </c>
      <c r="BG2289">
        <v>85</v>
      </c>
      <c r="BH2289">
        <v>0.05</v>
      </c>
      <c r="BI2289">
        <v>8.01</v>
      </c>
      <c r="BJ2289">
        <v>0</v>
      </c>
      <c r="BK2289">
        <v>0</v>
      </c>
      <c r="BL2289">
        <v>2.68</v>
      </c>
      <c r="BM2289">
        <v>1.31</v>
      </c>
      <c r="BN2289">
        <v>1.36</v>
      </c>
      <c r="BO2289">
        <v>1.04</v>
      </c>
      <c r="BP2289">
        <v>0.44</v>
      </c>
      <c r="BQ2289">
        <v>2.98</v>
      </c>
      <c r="BR2289">
        <v>0.91</v>
      </c>
      <c r="BS2289">
        <v>0.5</v>
      </c>
      <c r="BT2289">
        <v>0.76</v>
      </c>
      <c r="BU2289">
        <v>2.06</v>
      </c>
      <c r="BV2289">
        <v>2.82</v>
      </c>
      <c r="BW2289">
        <v>2.2799999999999998</v>
      </c>
      <c r="BX2289">
        <v>2.42</v>
      </c>
      <c r="BY2289">
        <v>1.49</v>
      </c>
      <c r="BZ2289">
        <v>-1.37</v>
      </c>
      <c r="CA2289">
        <v>2.2000000000000002</v>
      </c>
      <c r="CB2289">
        <v>2.5</v>
      </c>
      <c r="CC2289">
        <v>0.6</v>
      </c>
      <c r="CD2289">
        <v>0.47</v>
      </c>
      <c r="CE2289">
        <v>0.66</v>
      </c>
      <c r="CF2289">
        <v>1.79</v>
      </c>
      <c r="CG2289">
        <v>0</v>
      </c>
      <c r="CH2289">
        <v>1.73</v>
      </c>
      <c r="CI2289">
        <v>0</v>
      </c>
      <c r="CJ2289">
        <v>-0.3</v>
      </c>
      <c r="CK2289">
        <v>40</v>
      </c>
      <c r="CL2289">
        <v>-1.58</v>
      </c>
      <c r="CM2289">
        <v>39</v>
      </c>
      <c r="CN2289">
        <v>-0.73</v>
      </c>
      <c r="CO2289">
        <v>39</v>
      </c>
      <c r="CP2289">
        <v>13.2</v>
      </c>
      <c r="CQ2289">
        <v>36</v>
      </c>
      <c r="CR2289">
        <v>0</v>
      </c>
      <c r="CS2289">
        <v>0</v>
      </c>
      <c r="CT2289">
        <v>36.1</v>
      </c>
      <c r="CU2289">
        <v>35</v>
      </c>
      <c r="CV2289">
        <v>0.3</v>
      </c>
      <c r="CW2289">
        <v>33</v>
      </c>
      <c r="CX2289" t="s">
        <v>13807</v>
      </c>
    </row>
    <row r="2290" spans="1:102" x14ac:dyDescent="0.3">
      <c r="A2290" t="str">
        <f>HYPERLINK("https://webapp.icbf.com/v2/app/bull-search/view/108367292","ROS")</f>
        <v>ROS</v>
      </c>
      <c r="B2290" t="s">
        <v>144</v>
      </c>
      <c r="C2290" t="s">
        <v>145</v>
      </c>
      <c r="D2290" s="1">
        <v>34568</v>
      </c>
      <c r="E2290" t="s">
        <v>146</v>
      </c>
      <c r="F2290">
        <v>25</v>
      </c>
      <c r="G2290" t="s">
        <v>93</v>
      </c>
      <c r="H2290">
        <v>49.8</v>
      </c>
      <c r="I2290">
        <v>76</v>
      </c>
      <c r="J2290">
        <v>-2.67</v>
      </c>
      <c r="K2290">
        <v>93</v>
      </c>
      <c r="L2290">
        <v>49.6</v>
      </c>
      <c r="M2290">
        <v>59</v>
      </c>
      <c r="N2290">
        <v>13.13</v>
      </c>
      <c r="O2290">
        <v>70</v>
      </c>
      <c r="P2290">
        <v>12.76</v>
      </c>
      <c r="Q2290">
        <v>92</v>
      </c>
      <c r="R2290">
        <v>-6.97</v>
      </c>
      <c r="S2290">
        <v>62</v>
      </c>
      <c r="T2290">
        <v>-7.12</v>
      </c>
      <c r="U2290">
        <v>85</v>
      </c>
      <c r="V2290">
        <v>-8.93</v>
      </c>
      <c r="W2290">
        <v>61</v>
      </c>
      <c r="X2290" t="s">
        <v>102</v>
      </c>
      <c r="Y2290" t="s">
        <v>95</v>
      </c>
      <c r="Z2290">
        <v>0</v>
      </c>
      <c r="AA2290" t="s">
        <v>147</v>
      </c>
      <c r="AB2290" t="s">
        <v>148</v>
      </c>
      <c r="AC2290">
        <v>62</v>
      </c>
      <c r="AD2290">
        <v>24</v>
      </c>
      <c r="AE2290">
        <v>93</v>
      </c>
      <c r="AF2290">
        <v>-95.24</v>
      </c>
      <c r="AG2290">
        <v>1.04</v>
      </c>
      <c r="AH2290">
        <v>-2.2799999999999998</v>
      </c>
      <c r="AI2290">
        <v>0.08</v>
      </c>
      <c r="AJ2290">
        <v>0.02</v>
      </c>
      <c r="AK2290">
        <v>59</v>
      </c>
      <c r="AL2290">
        <v>70</v>
      </c>
      <c r="AM2290">
        <v>29</v>
      </c>
      <c r="AN2290">
        <v>-3.94</v>
      </c>
      <c r="AO2290">
        <v>0</v>
      </c>
      <c r="AP2290">
        <v>52</v>
      </c>
      <c r="AQ2290">
        <v>9</v>
      </c>
      <c r="AR2290">
        <v>6.48</v>
      </c>
      <c r="AS2290">
        <v>53</v>
      </c>
      <c r="AT2290">
        <v>2.84</v>
      </c>
      <c r="AU2290">
        <v>67</v>
      </c>
      <c r="AV2290">
        <v>-0.16</v>
      </c>
      <c r="AW2290">
        <v>82</v>
      </c>
      <c r="AX2290">
        <v>-0.4</v>
      </c>
      <c r="AY2290">
        <v>79</v>
      </c>
      <c r="AZ2290">
        <v>5.01</v>
      </c>
      <c r="BA2290">
        <v>34</v>
      </c>
      <c r="BB2290">
        <v>4.2</v>
      </c>
      <c r="BC2290">
        <v>50</v>
      </c>
      <c r="BD2290">
        <v>0.02</v>
      </c>
      <c r="BE2290">
        <v>0.03</v>
      </c>
      <c r="BF2290">
        <v>7.0000000000000007E-2</v>
      </c>
      <c r="BG2290">
        <v>74</v>
      </c>
      <c r="BH2290">
        <v>7.0000000000000007E-2</v>
      </c>
      <c r="BI2290">
        <v>36.89</v>
      </c>
      <c r="BJ2290">
        <v>1</v>
      </c>
      <c r="BK2290">
        <v>1</v>
      </c>
      <c r="BL2290">
        <v>-1.06</v>
      </c>
      <c r="BM2290">
        <v>2.06</v>
      </c>
      <c r="BN2290">
        <v>-0.7</v>
      </c>
      <c r="BO2290">
        <v>-1.85</v>
      </c>
      <c r="BP2290">
        <v>1.68</v>
      </c>
      <c r="BQ2290">
        <v>0.11</v>
      </c>
      <c r="BR2290">
        <v>0.62</v>
      </c>
      <c r="BS2290">
        <v>-0.33</v>
      </c>
      <c r="BT2290">
        <v>-0.81</v>
      </c>
      <c r="BU2290">
        <v>-0.41</v>
      </c>
      <c r="BV2290">
        <v>-1.49</v>
      </c>
      <c r="BW2290">
        <v>-1.58</v>
      </c>
      <c r="BX2290">
        <v>-0.4</v>
      </c>
      <c r="BY2290">
        <v>-1.22</v>
      </c>
      <c r="BZ2290">
        <v>0.56999999999999995</v>
      </c>
      <c r="CA2290">
        <v>-1.9</v>
      </c>
      <c r="CB2290">
        <v>-1.79</v>
      </c>
      <c r="CC2290">
        <v>-1.34</v>
      </c>
      <c r="CD2290">
        <v>1.96</v>
      </c>
      <c r="CE2290">
        <v>-2.0699999999999998</v>
      </c>
      <c r="CF2290">
        <v>-0.86</v>
      </c>
      <c r="CG2290">
        <v>0</v>
      </c>
      <c r="CH2290">
        <v>-0.84</v>
      </c>
      <c r="CI2290">
        <v>0</v>
      </c>
      <c r="CJ2290">
        <v>4.9000000000000004</v>
      </c>
      <c r="CK2290">
        <v>93</v>
      </c>
      <c r="CL2290">
        <v>0.1</v>
      </c>
      <c r="CM2290">
        <v>91</v>
      </c>
      <c r="CN2290">
        <v>-0.3</v>
      </c>
      <c r="CO2290">
        <v>90</v>
      </c>
      <c r="CP2290">
        <v>9.6999999999999993</v>
      </c>
      <c r="CQ2290">
        <v>88</v>
      </c>
      <c r="CR2290">
        <v>0</v>
      </c>
      <c r="CS2290">
        <v>0</v>
      </c>
      <c r="CT2290">
        <v>23.4</v>
      </c>
      <c r="CU2290">
        <v>85</v>
      </c>
      <c r="CV2290">
        <v>-0.06</v>
      </c>
      <c r="CW2290">
        <v>26</v>
      </c>
      <c r="CX2290" t="s">
        <v>149</v>
      </c>
    </row>
    <row r="2291" spans="1:102" x14ac:dyDescent="0.3">
      <c r="A2291" t="str">
        <f>HYPERLINK("https://webapp.icbf.com/v2/app/bull-search/view/69091246","BIE")</f>
        <v>BIE</v>
      </c>
      <c r="B2291" t="s">
        <v>3315</v>
      </c>
      <c r="C2291" t="s">
        <v>3316</v>
      </c>
      <c r="D2291" s="1">
        <v>32871</v>
      </c>
      <c r="E2291" t="s">
        <v>108</v>
      </c>
      <c r="F2291">
        <v>38</v>
      </c>
      <c r="G2291" t="s">
        <v>116</v>
      </c>
      <c r="H2291">
        <v>49.77</v>
      </c>
      <c r="I2291">
        <v>48</v>
      </c>
      <c r="J2291">
        <v>-33.1</v>
      </c>
      <c r="K2291">
        <v>62</v>
      </c>
      <c r="L2291">
        <v>69.790000000000006</v>
      </c>
      <c r="M2291">
        <v>34</v>
      </c>
      <c r="N2291">
        <v>15.08</v>
      </c>
      <c r="O2291">
        <v>49</v>
      </c>
      <c r="P2291">
        <v>-9.9</v>
      </c>
      <c r="Q2291">
        <v>64</v>
      </c>
      <c r="R2291">
        <v>2.5099999999999998</v>
      </c>
      <c r="S2291">
        <v>39</v>
      </c>
      <c r="T2291">
        <v>10.57</v>
      </c>
      <c r="U2291">
        <v>52</v>
      </c>
      <c r="V2291">
        <v>-5.18</v>
      </c>
      <c r="W2291">
        <v>24</v>
      </c>
      <c r="X2291" t="s">
        <v>94</v>
      </c>
      <c r="Y2291" t="s">
        <v>117</v>
      </c>
      <c r="Z2291" t="s">
        <v>96</v>
      </c>
      <c r="AA2291" t="s">
        <v>607</v>
      </c>
      <c r="AB2291" t="s">
        <v>2557</v>
      </c>
      <c r="AC2291">
        <v>6</v>
      </c>
      <c r="AD2291">
        <v>4</v>
      </c>
      <c r="AE2291">
        <v>62</v>
      </c>
      <c r="AF2291">
        <v>-159.15</v>
      </c>
      <c r="AG2291">
        <v>-6.32</v>
      </c>
      <c r="AH2291">
        <v>-5.83</v>
      </c>
      <c r="AI2291">
        <v>0</v>
      </c>
      <c r="AJ2291">
        <v>-0.01</v>
      </c>
      <c r="AK2291">
        <v>34</v>
      </c>
      <c r="AL2291">
        <v>7</v>
      </c>
      <c r="AM2291">
        <v>5</v>
      </c>
      <c r="AN2291">
        <v>-4.25</v>
      </c>
      <c r="AO2291">
        <v>1.31</v>
      </c>
      <c r="AP2291">
        <v>21</v>
      </c>
      <c r="AQ2291">
        <v>1</v>
      </c>
      <c r="AR2291">
        <v>6.63</v>
      </c>
      <c r="AS2291">
        <v>29</v>
      </c>
      <c r="AT2291">
        <v>2.63</v>
      </c>
      <c r="AU2291">
        <v>42</v>
      </c>
      <c r="AV2291">
        <v>-0.61</v>
      </c>
      <c r="AW2291">
        <v>68</v>
      </c>
      <c r="AX2291">
        <v>-0.19</v>
      </c>
      <c r="AY2291">
        <v>42</v>
      </c>
      <c r="AZ2291">
        <v>5.44</v>
      </c>
      <c r="BA2291">
        <v>22</v>
      </c>
      <c r="BB2291">
        <v>4.62</v>
      </c>
      <c r="BC2291">
        <v>27</v>
      </c>
      <c r="BD2291">
        <v>0.02</v>
      </c>
      <c r="BE2291">
        <v>0.01</v>
      </c>
      <c r="BF2291">
        <v>-0.11</v>
      </c>
      <c r="BG2291">
        <v>46</v>
      </c>
      <c r="BH2291">
        <v>-0.03</v>
      </c>
      <c r="BI2291">
        <v>13.25</v>
      </c>
      <c r="BJ2291">
        <v>1</v>
      </c>
      <c r="BK2291">
        <v>1</v>
      </c>
      <c r="BL2291">
        <v>-2.5499999999999998</v>
      </c>
      <c r="BM2291">
        <v>-0.21</v>
      </c>
      <c r="BN2291">
        <v>-2.02</v>
      </c>
      <c r="BO2291">
        <v>-1.71</v>
      </c>
      <c r="BP2291">
        <v>1.06</v>
      </c>
      <c r="BQ2291">
        <v>-0.62</v>
      </c>
      <c r="BR2291">
        <v>-0.53</v>
      </c>
      <c r="BS2291">
        <v>0.11</v>
      </c>
      <c r="BT2291">
        <v>0.41</v>
      </c>
      <c r="BU2291">
        <v>-1.78</v>
      </c>
      <c r="BV2291">
        <v>-1.73</v>
      </c>
      <c r="BW2291">
        <v>-1.63</v>
      </c>
      <c r="BX2291">
        <v>-1.61</v>
      </c>
      <c r="BY2291">
        <v>-1.1499999999999999</v>
      </c>
      <c r="BZ2291">
        <v>-0.25</v>
      </c>
      <c r="CA2291">
        <v>-1.57</v>
      </c>
      <c r="CB2291">
        <v>-1.72</v>
      </c>
      <c r="CC2291">
        <v>-0.6</v>
      </c>
      <c r="CD2291">
        <v>1.31</v>
      </c>
      <c r="CE2291">
        <v>-2.2799999999999998</v>
      </c>
      <c r="CF2291">
        <v>-3.07</v>
      </c>
      <c r="CG2291">
        <v>0</v>
      </c>
      <c r="CH2291">
        <v>-1.3</v>
      </c>
      <c r="CI2291">
        <v>0</v>
      </c>
      <c r="CJ2291">
        <v>-5</v>
      </c>
      <c r="CK2291">
        <v>67</v>
      </c>
      <c r="CL2291">
        <v>-0.06</v>
      </c>
      <c r="CM2291">
        <v>63</v>
      </c>
      <c r="CN2291">
        <v>7.0000000000000007E-2</v>
      </c>
      <c r="CO2291">
        <v>60</v>
      </c>
      <c r="CP2291">
        <v>-10.4</v>
      </c>
      <c r="CQ2291">
        <v>53</v>
      </c>
      <c r="CR2291">
        <v>0</v>
      </c>
      <c r="CS2291">
        <v>0</v>
      </c>
      <c r="CT2291">
        <v>-0.5</v>
      </c>
      <c r="CU2291">
        <v>52</v>
      </c>
      <c r="CV2291">
        <v>-0.09</v>
      </c>
      <c r="CW2291">
        <v>18</v>
      </c>
      <c r="CX2291" t="s">
        <v>2558</v>
      </c>
    </row>
    <row r="2292" spans="1:102" x14ac:dyDescent="0.3">
      <c r="A2292" t="str">
        <f>HYPERLINK("https://webapp.icbf.com/v2/app/bull-search/view/124414801","JIN")</f>
        <v>JIN</v>
      </c>
      <c r="B2292" t="s">
        <v>968</v>
      </c>
      <c r="C2292" t="s">
        <v>969</v>
      </c>
      <c r="D2292" s="1">
        <v>34811</v>
      </c>
      <c r="E2292" t="s">
        <v>92</v>
      </c>
      <c r="F2292">
        <v>100</v>
      </c>
      <c r="G2292" t="s">
        <v>93</v>
      </c>
      <c r="H2292">
        <v>49.72</v>
      </c>
      <c r="I2292">
        <v>81</v>
      </c>
      <c r="J2292">
        <v>3.14</v>
      </c>
      <c r="K2292">
        <v>92</v>
      </c>
      <c r="L2292">
        <v>31.47</v>
      </c>
      <c r="M2292">
        <v>79</v>
      </c>
      <c r="N2292">
        <v>7.05</v>
      </c>
      <c r="O2292">
        <v>72</v>
      </c>
      <c r="P2292">
        <v>-5.17</v>
      </c>
      <c r="Q2292">
        <v>85</v>
      </c>
      <c r="R2292">
        <v>5.8</v>
      </c>
      <c r="S2292">
        <v>69</v>
      </c>
      <c r="T2292">
        <v>8.65</v>
      </c>
      <c r="U2292">
        <v>67</v>
      </c>
      <c r="V2292">
        <v>-1.22</v>
      </c>
      <c r="W2292">
        <v>60</v>
      </c>
      <c r="X2292" t="s">
        <v>970</v>
      </c>
      <c r="Y2292" t="s">
        <v>95</v>
      </c>
      <c r="Z2292" t="s">
        <v>96</v>
      </c>
      <c r="AA2292" t="s">
        <v>207</v>
      </c>
      <c r="AB2292" t="s">
        <v>971</v>
      </c>
      <c r="AC2292">
        <v>47</v>
      </c>
      <c r="AD2292">
        <v>29</v>
      </c>
      <c r="AE2292">
        <v>92</v>
      </c>
      <c r="AF2292">
        <v>161.46</v>
      </c>
      <c r="AG2292">
        <v>-5.75</v>
      </c>
      <c r="AH2292">
        <v>5.04</v>
      </c>
      <c r="AI2292">
        <v>-0.19</v>
      </c>
      <c r="AJ2292">
        <v>-0.01</v>
      </c>
      <c r="AK2292">
        <v>79</v>
      </c>
      <c r="AL2292">
        <v>48</v>
      </c>
      <c r="AM2292">
        <v>27</v>
      </c>
      <c r="AN2292">
        <v>-0.9</v>
      </c>
      <c r="AO2292">
        <v>1.62</v>
      </c>
      <c r="AP2292">
        <v>58</v>
      </c>
      <c r="AQ2292">
        <v>0</v>
      </c>
      <c r="AR2292">
        <v>7.58</v>
      </c>
      <c r="AS2292">
        <v>44</v>
      </c>
      <c r="AT2292">
        <v>3.19</v>
      </c>
      <c r="AU2292">
        <v>70</v>
      </c>
      <c r="AV2292">
        <v>-0.65</v>
      </c>
      <c r="AW2292">
        <v>89</v>
      </c>
      <c r="AX2292">
        <v>-0.12</v>
      </c>
      <c r="AY2292">
        <v>66</v>
      </c>
      <c r="AZ2292">
        <v>6.74</v>
      </c>
      <c r="BA2292">
        <v>47</v>
      </c>
      <c r="BB2292">
        <v>4.4800000000000004</v>
      </c>
      <c r="BC2292">
        <v>53</v>
      </c>
      <c r="BD2292">
        <v>-0.05</v>
      </c>
      <c r="BE2292">
        <v>0</v>
      </c>
      <c r="BF2292">
        <v>-0.05</v>
      </c>
      <c r="BG2292">
        <v>84</v>
      </c>
      <c r="BH2292">
        <v>0.04</v>
      </c>
      <c r="BI2292">
        <v>8.56</v>
      </c>
      <c r="BJ2292">
        <v>2</v>
      </c>
      <c r="BK2292">
        <v>2</v>
      </c>
      <c r="BL2292">
        <v>0.08</v>
      </c>
      <c r="BM2292">
        <v>-0.42</v>
      </c>
      <c r="BN2292">
        <v>-2.19</v>
      </c>
      <c r="BO2292">
        <v>-1.17</v>
      </c>
      <c r="BP2292">
        <v>3</v>
      </c>
      <c r="BQ2292">
        <v>-1.42</v>
      </c>
      <c r="BR2292">
        <v>-0.84</v>
      </c>
      <c r="BS2292">
        <v>-0.12</v>
      </c>
      <c r="BT2292">
        <v>0.7</v>
      </c>
      <c r="BU2292">
        <v>0.38</v>
      </c>
      <c r="BV2292">
        <v>-0.19</v>
      </c>
      <c r="BW2292">
        <v>-1.1299999999999999</v>
      </c>
      <c r="BX2292">
        <v>0.78</v>
      </c>
      <c r="BY2292">
        <v>-1.23</v>
      </c>
      <c r="BZ2292">
        <v>-0.64</v>
      </c>
      <c r="CA2292">
        <v>-0.13</v>
      </c>
      <c r="CB2292">
        <v>-0.28999999999999998</v>
      </c>
      <c r="CC2292">
        <v>-0.2</v>
      </c>
      <c r="CD2292">
        <v>1.0900000000000001</v>
      </c>
      <c r="CE2292">
        <v>-0.23</v>
      </c>
      <c r="CF2292">
        <v>-0.14000000000000001</v>
      </c>
      <c r="CG2292">
        <v>0</v>
      </c>
      <c r="CH2292">
        <v>0.12</v>
      </c>
      <c r="CI2292">
        <v>0</v>
      </c>
      <c r="CJ2292">
        <v>0.3</v>
      </c>
      <c r="CK2292">
        <v>87</v>
      </c>
      <c r="CL2292">
        <v>-0.68</v>
      </c>
      <c r="CM2292">
        <v>85</v>
      </c>
      <c r="CN2292">
        <v>-0.14000000000000001</v>
      </c>
      <c r="CO2292">
        <v>83</v>
      </c>
      <c r="CP2292">
        <v>-1.4</v>
      </c>
      <c r="CQ2292">
        <v>79</v>
      </c>
      <c r="CR2292">
        <v>0</v>
      </c>
      <c r="CS2292">
        <v>0</v>
      </c>
      <c r="CT2292">
        <v>2.1</v>
      </c>
      <c r="CU2292">
        <v>67</v>
      </c>
      <c r="CV2292">
        <v>0.17</v>
      </c>
      <c r="CW2292">
        <v>26</v>
      </c>
      <c r="CX2292" t="s">
        <v>485</v>
      </c>
    </row>
    <row r="2293" spans="1:102" x14ac:dyDescent="0.3">
      <c r="A2293" t="str">
        <f>HYPERLINK("https://webapp.icbf.com/v2/app/bull-search/view/1150880283","S2170")</f>
        <v>S2170</v>
      </c>
      <c r="B2293" t="s">
        <v>15481</v>
      </c>
      <c r="C2293" t="s">
        <v>15482</v>
      </c>
      <c r="D2293" s="1">
        <v>40696</v>
      </c>
      <c r="E2293" t="s">
        <v>92</v>
      </c>
      <c r="F2293">
        <v>97</v>
      </c>
      <c r="G2293" t="s">
        <v>109</v>
      </c>
      <c r="H2293">
        <v>49.68</v>
      </c>
      <c r="I2293">
        <v>73</v>
      </c>
      <c r="J2293">
        <v>41.48</v>
      </c>
      <c r="K2293">
        <v>89</v>
      </c>
      <c r="L2293">
        <v>-19.63</v>
      </c>
      <c r="M2293">
        <v>76</v>
      </c>
      <c r="N2293">
        <v>27.93</v>
      </c>
      <c r="O2293">
        <v>66</v>
      </c>
      <c r="P2293">
        <v>6.63</v>
      </c>
      <c r="Q2293">
        <v>50</v>
      </c>
      <c r="R2293">
        <v>1.55</v>
      </c>
      <c r="S2293">
        <v>68</v>
      </c>
      <c r="T2293">
        <v>-2.23</v>
      </c>
      <c r="U2293">
        <v>42</v>
      </c>
      <c r="V2293">
        <v>-6.05</v>
      </c>
      <c r="W2293">
        <v>50</v>
      </c>
      <c r="X2293" t="s">
        <v>1645</v>
      </c>
      <c r="Y2293" t="s">
        <v>367</v>
      </c>
      <c r="Z2293" t="s">
        <v>96</v>
      </c>
      <c r="AA2293" t="s">
        <v>2008</v>
      </c>
      <c r="AB2293" t="s">
        <v>15483</v>
      </c>
      <c r="AC2293">
        <v>0</v>
      </c>
      <c r="AD2293">
        <v>0</v>
      </c>
      <c r="AE2293">
        <v>89</v>
      </c>
      <c r="AF2293">
        <v>235.08</v>
      </c>
      <c r="AG2293">
        <v>9.2799999999999994</v>
      </c>
      <c r="AH2293">
        <v>7.37</v>
      </c>
      <c r="AI2293">
        <v>0</v>
      </c>
      <c r="AJ2293">
        <v>-0.01</v>
      </c>
      <c r="AK2293">
        <v>76</v>
      </c>
      <c r="AL2293">
        <v>0</v>
      </c>
      <c r="AM2293">
        <v>0</v>
      </c>
      <c r="AN2293">
        <v>2.2999999999999998</v>
      </c>
      <c r="AO2293">
        <v>0.75</v>
      </c>
      <c r="AP2293">
        <v>11</v>
      </c>
      <c r="AQ2293">
        <v>1</v>
      </c>
      <c r="AR2293">
        <v>6.04</v>
      </c>
      <c r="AS2293">
        <v>46</v>
      </c>
      <c r="AT2293">
        <v>2.5</v>
      </c>
      <c r="AU2293">
        <v>86</v>
      </c>
      <c r="AV2293">
        <v>-2.76</v>
      </c>
      <c r="AW2293">
        <v>75</v>
      </c>
      <c r="AX2293">
        <v>-0.06</v>
      </c>
      <c r="AY2293">
        <v>49</v>
      </c>
      <c r="AZ2293">
        <v>6.57</v>
      </c>
      <c r="BA2293">
        <v>34</v>
      </c>
      <c r="BB2293">
        <v>5.55</v>
      </c>
      <c r="BC2293">
        <v>32</v>
      </c>
      <c r="BD2293">
        <v>-0.01</v>
      </c>
      <c r="BE2293">
        <v>-0.01</v>
      </c>
      <c r="BF2293">
        <v>0</v>
      </c>
      <c r="BG2293">
        <v>87</v>
      </c>
      <c r="BH2293">
        <v>-0.04</v>
      </c>
      <c r="BI2293">
        <v>14.88</v>
      </c>
      <c r="BJ2293">
        <v>4</v>
      </c>
      <c r="BK2293">
        <v>2</v>
      </c>
      <c r="BL2293">
        <v>-0.66</v>
      </c>
      <c r="BM2293">
        <v>-0.19</v>
      </c>
      <c r="BN2293">
        <v>-0.9</v>
      </c>
      <c r="BO2293">
        <v>-0.13</v>
      </c>
      <c r="BP2293">
        <v>0.15</v>
      </c>
      <c r="BQ2293">
        <v>1.36</v>
      </c>
      <c r="BR2293">
        <v>-1.85</v>
      </c>
      <c r="BS2293">
        <v>1.95</v>
      </c>
      <c r="BT2293">
        <v>0.18</v>
      </c>
      <c r="BU2293">
        <v>-0.24</v>
      </c>
      <c r="BV2293">
        <v>1</v>
      </c>
      <c r="BW2293">
        <v>-0.75</v>
      </c>
      <c r="BX2293">
        <v>0.18</v>
      </c>
      <c r="BY2293">
        <v>-2.3199999999999998</v>
      </c>
      <c r="BZ2293">
        <v>-2.65</v>
      </c>
      <c r="CA2293">
        <v>0.67</v>
      </c>
      <c r="CB2293">
        <v>0.01</v>
      </c>
      <c r="CC2293">
        <v>1.1399999999999999</v>
      </c>
      <c r="CD2293">
        <v>-0.01</v>
      </c>
      <c r="CE2293">
        <v>0.81</v>
      </c>
      <c r="CF2293">
        <v>-0.09</v>
      </c>
      <c r="CG2293">
        <v>0</v>
      </c>
      <c r="CH2293">
        <v>-2.33</v>
      </c>
      <c r="CI2293">
        <v>0</v>
      </c>
      <c r="CJ2293">
        <v>2.8</v>
      </c>
      <c r="CK2293">
        <v>53</v>
      </c>
      <c r="CL2293">
        <v>-0.45</v>
      </c>
      <c r="CM2293">
        <v>47</v>
      </c>
      <c r="CN2293">
        <v>-0.57999999999999996</v>
      </c>
      <c r="CO2293">
        <v>46</v>
      </c>
      <c r="CP2293">
        <v>4.0999999999999996</v>
      </c>
      <c r="CQ2293">
        <v>47</v>
      </c>
      <c r="CR2293">
        <v>0</v>
      </c>
      <c r="CS2293">
        <v>0</v>
      </c>
      <c r="CT2293">
        <v>16.8</v>
      </c>
      <c r="CU2293">
        <v>42</v>
      </c>
      <c r="CV2293">
        <v>0.1</v>
      </c>
      <c r="CW2293">
        <v>36</v>
      </c>
      <c r="CX2293" t="s">
        <v>316</v>
      </c>
    </row>
    <row r="2294" spans="1:102" x14ac:dyDescent="0.3">
      <c r="A2294" t="str">
        <f>HYPERLINK("https://webapp.icbf.com/v2/app/bull-search/view/1001186120","S1400")</f>
        <v>S1400</v>
      </c>
      <c r="B2294" t="s">
        <v>14589</v>
      </c>
      <c r="C2294" t="s">
        <v>14590</v>
      </c>
      <c r="D2294" s="1">
        <v>40453</v>
      </c>
      <c r="E2294" t="s">
        <v>92</v>
      </c>
      <c r="F2294">
        <v>100</v>
      </c>
      <c r="G2294" t="s">
        <v>109</v>
      </c>
      <c r="H2294">
        <v>49.52</v>
      </c>
      <c r="I2294">
        <v>80</v>
      </c>
      <c r="J2294">
        <v>46.26</v>
      </c>
      <c r="K2294">
        <v>92</v>
      </c>
      <c r="L2294">
        <v>-3.4</v>
      </c>
      <c r="M2294">
        <v>84</v>
      </c>
      <c r="N2294">
        <v>7.15</v>
      </c>
      <c r="O2294">
        <v>70</v>
      </c>
      <c r="P2294">
        <v>-16.68</v>
      </c>
      <c r="Q2294">
        <v>62</v>
      </c>
      <c r="R2294">
        <v>8.8699999999999992</v>
      </c>
      <c r="S2294">
        <v>74</v>
      </c>
      <c r="T2294">
        <v>7.61</v>
      </c>
      <c r="U2294">
        <v>61</v>
      </c>
      <c r="V2294">
        <v>-0.28999999999999998</v>
      </c>
      <c r="W2294">
        <v>58</v>
      </c>
      <c r="X2294" t="s">
        <v>251</v>
      </c>
      <c r="Y2294" t="s">
        <v>342</v>
      </c>
      <c r="Z2294" t="s">
        <v>96</v>
      </c>
      <c r="AA2294" t="s">
        <v>1791</v>
      </c>
      <c r="AB2294" t="s">
        <v>14591</v>
      </c>
      <c r="AC2294">
        <v>0</v>
      </c>
      <c r="AD2294">
        <v>0</v>
      </c>
      <c r="AE2294">
        <v>92</v>
      </c>
      <c r="AF2294">
        <v>198.57</v>
      </c>
      <c r="AG2294">
        <v>5.73</v>
      </c>
      <c r="AH2294">
        <v>8.8800000000000008</v>
      </c>
      <c r="AI2294">
        <v>-0.03</v>
      </c>
      <c r="AJ2294">
        <v>0.04</v>
      </c>
      <c r="AK2294">
        <v>84</v>
      </c>
      <c r="AL2294">
        <v>0</v>
      </c>
      <c r="AM2294">
        <v>0</v>
      </c>
      <c r="AN2294">
        <v>1.04</v>
      </c>
      <c r="AO2294">
        <v>0.78</v>
      </c>
      <c r="AP2294">
        <v>36</v>
      </c>
      <c r="AQ2294">
        <v>0</v>
      </c>
      <c r="AR2294">
        <v>10.17</v>
      </c>
      <c r="AS2294">
        <v>63</v>
      </c>
      <c r="AT2294">
        <v>4.2699999999999996</v>
      </c>
      <c r="AU2294">
        <v>87</v>
      </c>
      <c r="AV2294">
        <v>-2.4</v>
      </c>
      <c r="AW2294">
        <v>75</v>
      </c>
      <c r="AX2294">
        <v>-0.37</v>
      </c>
      <c r="AY2294">
        <v>57</v>
      </c>
      <c r="AZ2294">
        <v>4.67</v>
      </c>
      <c r="BA2294">
        <v>48</v>
      </c>
      <c r="BB2294">
        <v>4.13</v>
      </c>
      <c r="BC2294">
        <v>47</v>
      </c>
      <c r="BD2294">
        <v>-0.03</v>
      </c>
      <c r="BE2294">
        <v>-0.06</v>
      </c>
      <c r="BF2294">
        <v>-0.04</v>
      </c>
      <c r="BG2294">
        <v>90</v>
      </c>
      <c r="BH2294">
        <v>-0.13</v>
      </c>
      <c r="BI2294">
        <v>-14.11</v>
      </c>
      <c r="BJ2294">
        <v>8</v>
      </c>
      <c r="BK2294">
        <v>3</v>
      </c>
      <c r="BL2294">
        <v>2.4</v>
      </c>
      <c r="BM2294">
        <v>-2.2000000000000002</v>
      </c>
      <c r="BN2294">
        <v>0.18</v>
      </c>
      <c r="BO2294">
        <v>1.68</v>
      </c>
      <c r="BP2294">
        <v>-0.66</v>
      </c>
      <c r="BQ2294">
        <v>1.46</v>
      </c>
      <c r="BR2294">
        <v>-0.42</v>
      </c>
      <c r="BS2294">
        <v>2.1</v>
      </c>
      <c r="BT2294">
        <v>0.62</v>
      </c>
      <c r="BU2294">
        <v>2.78</v>
      </c>
      <c r="BV2294">
        <v>2.95</v>
      </c>
      <c r="BW2294">
        <v>2.91</v>
      </c>
      <c r="BX2294">
        <v>2.92</v>
      </c>
      <c r="BY2294">
        <v>1.65</v>
      </c>
      <c r="BZ2294">
        <v>-0.75</v>
      </c>
      <c r="CA2294">
        <v>3.09</v>
      </c>
      <c r="CB2294">
        <v>2.4700000000000002</v>
      </c>
      <c r="CC2294">
        <v>2.41</v>
      </c>
      <c r="CD2294">
        <v>-2.17</v>
      </c>
      <c r="CE2294">
        <v>1.36</v>
      </c>
      <c r="CF2294">
        <v>1.83</v>
      </c>
      <c r="CG2294">
        <v>0</v>
      </c>
      <c r="CH2294">
        <v>1.88</v>
      </c>
      <c r="CI2294">
        <v>0</v>
      </c>
      <c r="CJ2294">
        <v>-5.9</v>
      </c>
      <c r="CK2294">
        <v>64</v>
      </c>
      <c r="CL2294">
        <v>-1.81</v>
      </c>
      <c r="CM2294">
        <v>60</v>
      </c>
      <c r="CN2294">
        <v>-0.93</v>
      </c>
      <c r="CO2294">
        <v>58</v>
      </c>
      <c r="CP2294">
        <v>-5</v>
      </c>
      <c r="CQ2294">
        <v>62</v>
      </c>
      <c r="CR2294">
        <v>0</v>
      </c>
      <c r="CS2294">
        <v>0</v>
      </c>
      <c r="CT2294">
        <v>3.5</v>
      </c>
      <c r="CU2294">
        <v>61</v>
      </c>
      <c r="CV2294">
        <v>0.23</v>
      </c>
      <c r="CW2294">
        <v>38</v>
      </c>
      <c r="CX2294" t="s">
        <v>4673</v>
      </c>
    </row>
    <row r="2295" spans="1:102" x14ac:dyDescent="0.3">
      <c r="A2295" t="str">
        <f>HYPERLINK("https://webapp.icbf.com/v2/app/bull-search/view/77855284","MNM")</f>
        <v>MNM</v>
      </c>
      <c r="B2295" t="s">
        <v>3886</v>
      </c>
      <c r="C2295" t="s">
        <v>3887</v>
      </c>
      <c r="D2295" s="1">
        <v>33655</v>
      </c>
      <c r="E2295" t="s">
        <v>92</v>
      </c>
      <c r="F2295">
        <v>100</v>
      </c>
      <c r="G2295" t="s">
        <v>93</v>
      </c>
      <c r="H2295">
        <v>49.51</v>
      </c>
      <c r="I2295">
        <v>81</v>
      </c>
      <c r="J2295">
        <v>29.65</v>
      </c>
      <c r="K2295">
        <v>94</v>
      </c>
      <c r="L2295">
        <v>5.18</v>
      </c>
      <c r="M2295">
        <v>79</v>
      </c>
      <c r="N2295">
        <v>30.53</v>
      </c>
      <c r="O2295">
        <v>66</v>
      </c>
      <c r="P2295">
        <v>-9.1</v>
      </c>
      <c r="Q2295">
        <v>80</v>
      </c>
      <c r="R2295">
        <v>-10.41</v>
      </c>
      <c r="S2295">
        <v>67</v>
      </c>
      <c r="T2295">
        <v>6.35</v>
      </c>
      <c r="U2295">
        <v>78</v>
      </c>
      <c r="V2295">
        <v>-2.69</v>
      </c>
      <c r="W2295">
        <v>55</v>
      </c>
      <c r="X2295" t="s">
        <v>234</v>
      </c>
      <c r="Y2295" t="s">
        <v>95</v>
      </c>
      <c r="Z2295" t="s">
        <v>96</v>
      </c>
      <c r="AA2295" t="s">
        <v>1488</v>
      </c>
      <c r="AB2295" t="s">
        <v>3888</v>
      </c>
      <c r="AC2295">
        <v>72</v>
      </c>
      <c r="AD2295">
        <v>32</v>
      </c>
      <c r="AE2295">
        <v>94</v>
      </c>
      <c r="AF2295">
        <v>-56.3</v>
      </c>
      <c r="AG2295">
        <v>5.63</v>
      </c>
      <c r="AH2295">
        <v>2.19</v>
      </c>
      <c r="AI2295">
        <v>0.13</v>
      </c>
      <c r="AJ2295">
        <v>7.0000000000000007E-2</v>
      </c>
      <c r="AK2295">
        <v>79</v>
      </c>
      <c r="AL2295">
        <v>64</v>
      </c>
      <c r="AM2295">
        <v>31</v>
      </c>
      <c r="AN2295">
        <v>0.27</v>
      </c>
      <c r="AO2295">
        <v>0.69</v>
      </c>
      <c r="AP2295">
        <v>32</v>
      </c>
      <c r="AQ2295">
        <v>0</v>
      </c>
      <c r="AR2295">
        <v>6.74</v>
      </c>
      <c r="AS2295">
        <v>37</v>
      </c>
      <c r="AT2295">
        <v>2.87</v>
      </c>
      <c r="AU2295">
        <v>66</v>
      </c>
      <c r="AV2295">
        <v>-3.03</v>
      </c>
      <c r="AW2295">
        <v>78</v>
      </c>
      <c r="AX2295">
        <v>-0.19</v>
      </c>
      <c r="AY2295">
        <v>69</v>
      </c>
      <c r="AZ2295">
        <v>5.62</v>
      </c>
      <c r="BA2295">
        <v>39</v>
      </c>
      <c r="BB2295">
        <v>4.91</v>
      </c>
      <c r="BC2295">
        <v>53</v>
      </c>
      <c r="BD2295">
        <v>0.02</v>
      </c>
      <c r="BE2295">
        <v>0.04</v>
      </c>
      <c r="BF2295">
        <v>0.13</v>
      </c>
      <c r="BG2295">
        <v>84</v>
      </c>
      <c r="BH2295">
        <v>0</v>
      </c>
      <c r="BI2295">
        <v>8.67</v>
      </c>
      <c r="BJ2295">
        <v>4</v>
      </c>
      <c r="BK2295">
        <v>2</v>
      </c>
      <c r="BL2295">
        <v>0.17</v>
      </c>
      <c r="BM2295">
        <v>-0.61</v>
      </c>
      <c r="BN2295">
        <v>0.01</v>
      </c>
      <c r="BO2295">
        <v>0.15</v>
      </c>
      <c r="BP2295">
        <v>-0.72</v>
      </c>
      <c r="BQ2295">
        <v>-0.99</v>
      </c>
      <c r="BR2295">
        <v>0.28000000000000003</v>
      </c>
      <c r="BS2295">
        <v>-1.56</v>
      </c>
      <c r="BT2295">
        <v>-0.26</v>
      </c>
      <c r="BU2295">
        <v>-0.69</v>
      </c>
      <c r="BV2295">
        <v>-0.92</v>
      </c>
      <c r="BW2295">
        <v>-0.21</v>
      </c>
      <c r="BX2295">
        <v>-0.5</v>
      </c>
      <c r="BY2295">
        <v>0.57999999999999996</v>
      </c>
      <c r="BZ2295">
        <v>2.15</v>
      </c>
      <c r="CA2295">
        <v>-0.66</v>
      </c>
      <c r="CB2295">
        <v>-0.39</v>
      </c>
      <c r="CC2295">
        <v>-0.95</v>
      </c>
      <c r="CD2295">
        <v>-0.1</v>
      </c>
      <c r="CE2295">
        <v>-7.0000000000000007E-2</v>
      </c>
      <c r="CF2295">
        <v>-0.23</v>
      </c>
      <c r="CG2295">
        <v>0</v>
      </c>
      <c r="CH2295">
        <v>-1.54</v>
      </c>
      <c r="CI2295">
        <v>0</v>
      </c>
      <c r="CJ2295">
        <v>-1.3</v>
      </c>
      <c r="CK2295">
        <v>82</v>
      </c>
      <c r="CL2295">
        <v>-0.74</v>
      </c>
      <c r="CM2295">
        <v>78</v>
      </c>
      <c r="CN2295">
        <v>-0.09</v>
      </c>
      <c r="CO2295">
        <v>75</v>
      </c>
      <c r="CP2295">
        <v>-4.8</v>
      </c>
      <c r="CQ2295">
        <v>84</v>
      </c>
      <c r="CR2295">
        <v>0</v>
      </c>
      <c r="CS2295">
        <v>0</v>
      </c>
      <c r="CT2295">
        <v>5.2</v>
      </c>
      <c r="CU2295">
        <v>78</v>
      </c>
      <c r="CV2295">
        <v>0.23</v>
      </c>
      <c r="CW2295">
        <v>23</v>
      </c>
      <c r="CX2295" t="s">
        <v>3889</v>
      </c>
    </row>
    <row r="2296" spans="1:102" x14ac:dyDescent="0.3">
      <c r="A2296" t="str">
        <f>HYPERLINK("https://webapp.icbf.com/v2/app/bull-search/view/1456848427","S3354")</f>
        <v>S3354</v>
      </c>
      <c r="B2296" t="s">
        <v>14790</v>
      </c>
      <c r="C2296" t="s">
        <v>14791</v>
      </c>
      <c r="D2296" s="1">
        <v>42156</v>
      </c>
      <c r="E2296" t="s">
        <v>92</v>
      </c>
      <c r="F2296">
        <v>100</v>
      </c>
      <c r="G2296" t="s">
        <v>435</v>
      </c>
      <c r="H2296">
        <v>49.43</v>
      </c>
      <c r="I2296">
        <v>69</v>
      </c>
      <c r="J2296">
        <v>84.94</v>
      </c>
      <c r="K2296">
        <v>89</v>
      </c>
      <c r="L2296">
        <v>-50.27</v>
      </c>
      <c r="M2296">
        <v>70</v>
      </c>
      <c r="N2296">
        <v>27.65</v>
      </c>
      <c r="O2296">
        <v>55</v>
      </c>
      <c r="P2296">
        <v>-4.95</v>
      </c>
      <c r="Q2296">
        <v>43</v>
      </c>
      <c r="R2296">
        <v>1.01</v>
      </c>
      <c r="S2296">
        <v>64</v>
      </c>
      <c r="T2296">
        <v>-10.89</v>
      </c>
      <c r="U2296">
        <v>36</v>
      </c>
      <c r="V2296">
        <v>1.94</v>
      </c>
      <c r="W2296">
        <v>53</v>
      </c>
      <c r="X2296" t="s">
        <v>110</v>
      </c>
      <c r="Y2296" t="s">
        <v>2394</v>
      </c>
      <c r="Z2296" t="s">
        <v>96</v>
      </c>
      <c r="AA2296" t="s">
        <v>2293</v>
      </c>
      <c r="AB2296" t="s">
        <v>14792</v>
      </c>
      <c r="AC2296">
        <v>0</v>
      </c>
      <c r="AD2296">
        <v>0</v>
      </c>
      <c r="AE2296">
        <v>89</v>
      </c>
      <c r="AF2296">
        <v>476.67</v>
      </c>
      <c r="AG2296">
        <v>19.37</v>
      </c>
      <c r="AH2296">
        <v>14.89</v>
      </c>
      <c r="AI2296">
        <v>0.01</v>
      </c>
      <c r="AJ2296">
        <v>-0.02</v>
      </c>
      <c r="AK2296">
        <v>70</v>
      </c>
      <c r="AL2296">
        <v>0</v>
      </c>
      <c r="AM2296">
        <v>0</v>
      </c>
      <c r="AN2296">
        <v>4.24</v>
      </c>
      <c r="AO2296">
        <v>0.25</v>
      </c>
      <c r="AP2296">
        <v>2</v>
      </c>
      <c r="AQ2296">
        <v>0</v>
      </c>
      <c r="AR2296">
        <v>10.38</v>
      </c>
      <c r="AS2296">
        <v>54</v>
      </c>
      <c r="AT2296">
        <v>3.51</v>
      </c>
      <c r="AU2296">
        <v>82</v>
      </c>
      <c r="AV2296">
        <v>-4.82</v>
      </c>
      <c r="AW2296">
        <v>50</v>
      </c>
      <c r="AX2296">
        <v>-0.38</v>
      </c>
      <c r="AY2296">
        <v>43</v>
      </c>
      <c r="AZ2296">
        <v>6</v>
      </c>
      <c r="BA2296">
        <v>38</v>
      </c>
      <c r="BB2296">
        <v>5.12</v>
      </c>
      <c r="BC2296">
        <v>34</v>
      </c>
      <c r="BD2296">
        <v>0.01</v>
      </c>
      <c r="BE2296">
        <v>0</v>
      </c>
      <c r="BF2296">
        <v>-0.04</v>
      </c>
      <c r="BG2296">
        <v>77</v>
      </c>
      <c r="BH2296">
        <v>0.14000000000000001</v>
      </c>
      <c r="BI2296">
        <v>9.93</v>
      </c>
      <c r="BJ2296">
        <v>0</v>
      </c>
      <c r="BK2296">
        <v>0</v>
      </c>
      <c r="BL2296">
        <v>1.85</v>
      </c>
      <c r="BM2296">
        <v>-0.47</v>
      </c>
      <c r="BN2296">
        <v>0.86</v>
      </c>
      <c r="BO2296">
        <v>1.47</v>
      </c>
      <c r="BP2296">
        <v>-1.78</v>
      </c>
      <c r="BQ2296">
        <v>2.58</v>
      </c>
      <c r="BR2296">
        <v>-1.1299999999999999</v>
      </c>
      <c r="BS2296">
        <v>1.87</v>
      </c>
      <c r="BT2296">
        <v>1.34</v>
      </c>
      <c r="BU2296">
        <v>2.19</v>
      </c>
      <c r="BV2296">
        <v>3.34</v>
      </c>
      <c r="BW2296">
        <v>2.84</v>
      </c>
      <c r="BX2296">
        <v>1.54</v>
      </c>
      <c r="BY2296">
        <v>3.03</v>
      </c>
      <c r="BZ2296">
        <v>1.81</v>
      </c>
      <c r="CA2296">
        <v>2.15</v>
      </c>
      <c r="CB2296">
        <v>2.29</v>
      </c>
      <c r="CC2296">
        <v>1.1599999999999999</v>
      </c>
      <c r="CD2296">
        <v>-0.82</v>
      </c>
      <c r="CE2296">
        <v>1.74</v>
      </c>
      <c r="CF2296">
        <v>2.7</v>
      </c>
      <c r="CG2296">
        <v>0</v>
      </c>
      <c r="CH2296">
        <v>0.69</v>
      </c>
      <c r="CI2296">
        <v>0</v>
      </c>
      <c r="CJ2296">
        <v>-0.1</v>
      </c>
      <c r="CK2296">
        <v>44</v>
      </c>
      <c r="CL2296">
        <v>-1.45</v>
      </c>
      <c r="CM2296">
        <v>43</v>
      </c>
      <c r="CN2296">
        <v>-0.79</v>
      </c>
      <c r="CO2296">
        <v>43</v>
      </c>
      <c r="CP2296">
        <v>6</v>
      </c>
      <c r="CQ2296">
        <v>37</v>
      </c>
      <c r="CR2296">
        <v>0</v>
      </c>
      <c r="CS2296">
        <v>0</v>
      </c>
      <c r="CT2296">
        <v>28.5</v>
      </c>
      <c r="CU2296">
        <v>36</v>
      </c>
      <c r="CV2296">
        <v>0.31</v>
      </c>
      <c r="CW2296">
        <v>34</v>
      </c>
      <c r="CX2296" t="s">
        <v>465</v>
      </c>
    </row>
    <row r="2297" spans="1:102" x14ac:dyDescent="0.3">
      <c r="A2297" t="str">
        <f>HYPERLINK("https://webapp.icbf.com/v2/app/bull-search/view/716223761","LKW")</f>
        <v>LKW</v>
      </c>
      <c r="B2297" t="s">
        <v>3027</v>
      </c>
      <c r="C2297" t="s">
        <v>3028</v>
      </c>
      <c r="D2297" s="1">
        <v>39674</v>
      </c>
      <c r="E2297" t="s">
        <v>108</v>
      </c>
      <c r="F2297">
        <v>6</v>
      </c>
      <c r="G2297" t="s">
        <v>93</v>
      </c>
      <c r="H2297">
        <v>49.39</v>
      </c>
      <c r="I2297">
        <v>89</v>
      </c>
      <c r="J2297">
        <v>-31.88</v>
      </c>
      <c r="K2297">
        <v>98</v>
      </c>
      <c r="L2297">
        <v>58.71</v>
      </c>
      <c r="M2297">
        <v>80</v>
      </c>
      <c r="N2297">
        <v>15.66</v>
      </c>
      <c r="O2297">
        <v>90</v>
      </c>
      <c r="P2297">
        <v>-18.57</v>
      </c>
      <c r="Q2297">
        <v>97</v>
      </c>
      <c r="R2297">
        <v>3.35</v>
      </c>
      <c r="S2297">
        <v>79</v>
      </c>
      <c r="T2297">
        <v>20.41</v>
      </c>
      <c r="U2297">
        <v>88</v>
      </c>
      <c r="V2297">
        <v>1.71</v>
      </c>
      <c r="W2297">
        <v>72</v>
      </c>
      <c r="X2297" t="s">
        <v>234</v>
      </c>
      <c r="Y2297" t="s">
        <v>1727</v>
      </c>
      <c r="Z2297" t="s">
        <v>96</v>
      </c>
      <c r="AA2297" t="s">
        <v>3029</v>
      </c>
      <c r="AB2297" t="s">
        <v>3030</v>
      </c>
      <c r="AC2297">
        <v>191</v>
      </c>
      <c r="AD2297">
        <v>63</v>
      </c>
      <c r="AE2297">
        <v>98</v>
      </c>
      <c r="AF2297">
        <v>-266.39999999999998</v>
      </c>
      <c r="AG2297">
        <v>-6.95</v>
      </c>
      <c r="AH2297">
        <v>-7.04</v>
      </c>
      <c r="AI2297">
        <v>0.06</v>
      </c>
      <c r="AJ2297">
        <v>0.04</v>
      </c>
      <c r="AK2297">
        <v>80</v>
      </c>
      <c r="AL2297">
        <v>248</v>
      </c>
      <c r="AM2297">
        <v>86</v>
      </c>
      <c r="AN2297">
        <v>-3.39</v>
      </c>
      <c r="AO2297">
        <v>1.29</v>
      </c>
      <c r="AP2297">
        <v>509</v>
      </c>
      <c r="AQ2297">
        <v>3</v>
      </c>
      <c r="AR2297">
        <v>7.15</v>
      </c>
      <c r="AS2297">
        <v>80</v>
      </c>
      <c r="AT2297">
        <v>2.84</v>
      </c>
      <c r="AU2297">
        <v>93</v>
      </c>
      <c r="AV2297">
        <v>-1.8</v>
      </c>
      <c r="AW2297">
        <v>97</v>
      </c>
      <c r="AX2297">
        <v>-1.1499999999999999</v>
      </c>
      <c r="AY2297">
        <v>92</v>
      </c>
      <c r="AZ2297">
        <v>8.2899999999999991</v>
      </c>
      <c r="BA2297">
        <v>72</v>
      </c>
      <c r="BB2297">
        <v>5.43</v>
      </c>
      <c r="BC2297">
        <v>70</v>
      </c>
      <c r="BD2297">
        <v>0.06</v>
      </c>
      <c r="BE2297">
        <v>-0.03</v>
      </c>
      <c r="BF2297">
        <v>-0.12</v>
      </c>
      <c r="BG2297">
        <v>92</v>
      </c>
      <c r="BH2297">
        <v>-0.05</v>
      </c>
      <c r="BI2297">
        <v>-11.3</v>
      </c>
      <c r="BJ2297">
        <v>6</v>
      </c>
      <c r="BK2297">
        <v>5</v>
      </c>
      <c r="BL2297">
        <v>-3.94</v>
      </c>
      <c r="BM2297">
        <v>0.79</v>
      </c>
      <c r="BN2297">
        <v>-2.72</v>
      </c>
      <c r="BO2297">
        <v>-3</v>
      </c>
      <c r="BP2297">
        <v>0.87</v>
      </c>
      <c r="BQ2297">
        <v>-0.56999999999999995</v>
      </c>
      <c r="BR2297">
        <v>-1.73</v>
      </c>
      <c r="BS2297">
        <v>1.56</v>
      </c>
      <c r="BT2297">
        <v>-0.45</v>
      </c>
      <c r="BU2297">
        <v>-1.8</v>
      </c>
      <c r="BV2297">
        <v>-2.39</v>
      </c>
      <c r="BW2297">
        <v>-2.4700000000000002</v>
      </c>
      <c r="BX2297">
        <v>-1.55</v>
      </c>
      <c r="BY2297">
        <v>-1.5</v>
      </c>
      <c r="BZ2297">
        <v>-1.81</v>
      </c>
      <c r="CA2297">
        <v>-1.78</v>
      </c>
      <c r="CB2297">
        <v>-2.34</v>
      </c>
      <c r="CC2297">
        <v>-0.33</v>
      </c>
      <c r="CD2297">
        <v>2.62</v>
      </c>
      <c r="CE2297">
        <v>-2.81</v>
      </c>
      <c r="CF2297">
        <v>-2.5</v>
      </c>
      <c r="CG2297">
        <v>0</v>
      </c>
      <c r="CH2297">
        <v>-1.52</v>
      </c>
      <c r="CI2297">
        <v>0</v>
      </c>
      <c r="CJ2297">
        <v>-12.1</v>
      </c>
      <c r="CK2297">
        <v>98</v>
      </c>
      <c r="CL2297">
        <v>-0.09</v>
      </c>
      <c r="CM2297">
        <v>97</v>
      </c>
      <c r="CN2297">
        <v>-0.08</v>
      </c>
      <c r="CO2297">
        <v>97</v>
      </c>
      <c r="CP2297">
        <v>-12.5</v>
      </c>
      <c r="CQ2297">
        <v>91</v>
      </c>
      <c r="CR2297">
        <v>0</v>
      </c>
      <c r="CS2297">
        <v>0</v>
      </c>
      <c r="CT2297">
        <v>-13.8</v>
      </c>
      <c r="CU2297">
        <v>88</v>
      </c>
      <c r="CV2297">
        <v>-0.11</v>
      </c>
      <c r="CW2297">
        <v>45</v>
      </c>
      <c r="CX2297" t="s">
        <v>3031</v>
      </c>
    </row>
    <row r="2298" spans="1:102" x14ac:dyDescent="0.3">
      <c r="A2298" t="str">
        <f>HYPERLINK("https://webapp.icbf.com/v2/app/bull-search/view/381922972","KYC")</f>
        <v>KYC</v>
      </c>
      <c r="B2298" t="s">
        <v>6492</v>
      </c>
      <c r="C2298" t="s">
        <v>1797</v>
      </c>
      <c r="D2298" s="1">
        <v>34644</v>
      </c>
      <c r="E2298" t="s">
        <v>92</v>
      </c>
      <c r="F2298">
        <v>100</v>
      </c>
      <c r="G2298" t="s">
        <v>93</v>
      </c>
      <c r="H2298">
        <v>49.39</v>
      </c>
      <c r="I2298">
        <v>98</v>
      </c>
      <c r="J2298">
        <v>35.85</v>
      </c>
      <c r="K2298">
        <v>99</v>
      </c>
      <c r="L2298">
        <v>-23.77</v>
      </c>
      <c r="M2298">
        <v>95</v>
      </c>
      <c r="N2298">
        <v>32.08</v>
      </c>
      <c r="O2298">
        <v>99</v>
      </c>
      <c r="P2298">
        <v>-3.26</v>
      </c>
      <c r="Q2298">
        <v>99</v>
      </c>
      <c r="R2298">
        <v>1.88</v>
      </c>
      <c r="S2298">
        <v>97</v>
      </c>
      <c r="T2298">
        <v>6.06</v>
      </c>
      <c r="U2298">
        <v>99</v>
      </c>
      <c r="V2298">
        <v>0.55000000000000004</v>
      </c>
      <c r="W2298">
        <v>99</v>
      </c>
      <c r="X2298" t="s">
        <v>102</v>
      </c>
      <c r="Y2298" t="s">
        <v>95</v>
      </c>
      <c r="Z2298" t="s">
        <v>96</v>
      </c>
      <c r="AA2298" t="s">
        <v>3814</v>
      </c>
      <c r="AB2298" t="s">
        <v>6493</v>
      </c>
      <c r="AC2298">
        <v>2118</v>
      </c>
      <c r="AD2298">
        <v>578</v>
      </c>
      <c r="AE2298">
        <v>99</v>
      </c>
      <c r="AF2298">
        <v>209.81</v>
      </c>
      <c r="AG2298">
        <v>9.24</v>
      </c>
      <c r="AH2298">
        <v>6.04</v>
      </c>
      <c r="AI2298">
        <v>0.02</v>
      </c>
      <c r="AJ2298">
        <v>-0.02</v>
      </c>
      <c r="AK2298">
        <v>95</v>
      </c>
      <c r="AL2298">
        <v>2343</v>
      </c>
      <c r="AM2298">
        <v>662</v>
      </c>
      <c r="AN2298">
        <v>1.71</v>
      </c>
      <c r="AO2298">
        <v>-0.18</v>
      </c>
      <c r="AP2298">
        <v>3899</v>
      </c>
      <c r="AQ2298">
        <v>22</v>
      </c>
      <c r="AR2298">
        <v>6.59</v>
      </c>
      <c r="AS2298">
        <v>99</v>
      </c>
      <c r="AT2298">
        <v>2.87</v>
      </c>
      <c r="AU2298">
        <v>99</v>
      </c>
      <c r="AV2298">
        <v>-4</v>
      </c>
      <c r="AW2298">
        <v>99</v>
      </c>
      <c r="AX2298">
        <v>0.02</v>
      </c>
      <c r="AY2298">
        <v>99</v>
      </c>
      <c r="AZ2298">
        <v>7.18</v>
      </c>
      <c r="BA2298">
        <v>96</v>
      </c>
      <c r="BB2298">
        <v>5.6</v>
      </c>
      <c r="BC2298">
        <v>97</v>
      </c>
      <c r="BD2298">
        <v>-0.02</v>
      </c>
      <c r="BE2298">
        <v>0</v>
      </c>
      <c r="BF2298">
        <v>-0.01</v>
      </c>
      <c r="BG2298">
        <v>99</v>
      </c>
      <c r="BH2298">
        <v>0.06</v>
      </c>
      <c r="BI2298">
        <v>5.16</v>
      </c>
      <c r="BJ2298">
        <v>196</v>
      </c>
      <c r="BK2298">
        <v>79</v>
      </c>
      <c r="BL2298">
        <v>0.31</v>
      </c>
      <c r="BM2298">
        <v>0.15</v>
      </c>
      <c r="BN2298">
        <v>-0.02</v>
      </c>
      <c r="BO2298">
        <v>0.02</v>
      </c>
      <c r="BP2298">
        <v>-3.33</v>
      </c>
      <c r="BQ2298">
        <v>0.27</v>
      </c>
      <c r="BR2298">
        <v>-1.1200000000000001</v>
      </c>
      <c r="BS2298">
        <v>-0.57999999999999996</v>
      </c>
      <c r="BT2298">
        <v>1.66</v>
      </c>
      <c r="BU2298">
        <v>0.48</v>
      </c>
      <c r="BV2298">
        <v>0.35</v>
      </c>
      <c r="BW2298">
        <v>0.37</v>
      </c>
      <c r="BX2298">
        <v>0.43</v>
      </c>
      <c r="BY2298">
        <v>0.02</v>
      </c>
      <c r="BZ2298">
        <v>-0.36</v>
      </c>
      <c r="CA2298">
        <v>-0.1</v>
      </c>
      <c r="CB2298">
        <v>0.45</v>
      </c>
      <c r="CC2298">
        <v>-1.28</v>
      </c>
      <c r="CD2298">
        <v>-0.26</v>
      </c>
      <c r="CE2298">
        <v>0</v>
      </c>
      <c r="CF2298">
        <v>-0.47</v>
      </c>
      <c r="CG2298">
        <v>0</v>
      </c>
      <c r="CH2298">
        <v>0.14000000000000001</v>
      </c>
      <c r="CI2298">
        <v>0</v>
      </c>
      <c r="CJ2298">
        <v>-1.1000000000000001</v>
      </c>
      <c r="CK2298">
        <v>99</v>
      </c>
      <c r="CL2298">
        <v>-0.65</v>
      </c>
      <c r="CM2298">
        <v>99</v>
      </c>
      <c r="CN2298">
        <v>-0.45</v>
      </c>
      <c r="CO2298">
        <v>99</v>
      </c>
      <c r="CP2298">
        <v>-2</v>
      </c>
      <c r="CQ2298">
        <v>99</v>
      </c>
      <c r="CR2298">
        <v>0</v>
      </c>
      <c r="CS2298">
        <v>0</v>
      </c>
      <c r="CT2298">
        <v>5.6</v>
      </c>
      <c r="CU2298">
        <v>99</v>
      </c>
      <c r="CV2298">
        <v>0.12</v>
      </c>
      <c r="CW2298">
        <v>46</v>
      </c>
      <c r="CX2298" t="s">
        <v>137</v>
      </c>
    </row>
    <row r="2299" spans="1:102" x14ac:dyDescent="0.3">
      <c r="A2299" t="str">
        <f>HYPERLINK("https://webapp.icbf.com/v2/app/bull-search/view/586144397","WPY")</f>
        <v>WPY</v>
      </c>
      <c r="B2299" t="s">
        <v>7128</v>
      </c>
      <c r="C2299" t="s">
        <v>7129</v>
      </c>
      <c r="D2299" s="1">
        <v>38277</v>
      </c>
      <c r="E2299" t="s">
        <v>92</v>
      </c>
      <c r="F2299">
        <v>100</v>
      </c>
      <c r="G2299" t="s">
        <v>109</v>
      </c>
      <c r="H2299">
        <v>49.39</v>
      </c>
      <c r="I2299">
        <v>75</v>
      </c>
      <c r="J2299">
        <v>45.14</v>
      </c>
      <c r="K2299">
        <v>85</v>
      </c>
      <c r="L2299">
        <v>-10.29</v>
      </c>
      <c r="M2299">
        <v>82</v>
      </c>
      <c r="N2299">
        <v>13.79</v>
      </c>
      <c r="O2299">
        <v>65</v>
      </c>
      <c r="P2299">
        <v>-11.79</v>
      </c>
      <c r="Q2299">
        <v>69</v>
      </c>
      <c r="R2299">
        <v>4.16</v>
      </c>
      <c r="S2299">
        <v>66</v>
      </c>
      <c r="T2299">
        <v>10.050000000000001</v>
      </c>
      <c r="U2299">
        <v>48</v>
      </c>
      <c r="V2299">
        <v>-1.67</v>
      </c>
      <c r="W2299">
        <v>37</v>
      </c>
      <c r="X2299" t="s">
        <v>251</v>
      </c>
      <c r="Y2299" t="s">
        <v>282</v>
      </c>
      <c r="Z2299" t="s">
        <v>96</v>
      </c>
      <c r="AA2299" t="s">
        <v>283</v>
      </c>
      <c r="AB2299" t="s">
        <v>7130</v>
      </c>
      <c r="AC2299">
        <v>0</v>
      </c>
      <c r="AD2299">
        <v>0</v>
      </c>
      <c r="AE2299">
        <v>85</v>
      </c>
      <c r="AF2299">
        <v>266.75</v>
      </c>
      <c r="AG2299">
        <v>5.74</v>
      </c>
      <c r="AH2299">
        <v>9.73</v>
      </c>
      <c r="AI2299">
        <v>-7.0000000000000007E-2</v>
      </c>
      <c r="AJ2299">
        <v>0.01</v>
      </c>
      <c r="AK2299">
        <v>82</v>
      </c>
      <c r="AL2299">
        <v>0</v>
      </c>
      <c r="AM2299">
        <v>0</v>
      </c>
      <c r="AN2299">
        <v>0.6</v>
      </c>
      <c r="AO2299">
        <v>-0.22</v>
      </c>
      <c r="AP2299">
        <v>22</v>
      </c>
      <c r="AQ2299">
        <v>0</v>
      </c>
      <c r="AR2299">
        <v>7.37</v>
      </c>
      <c r="AS2299">
        <v>47</v>
      </c>
      <c r="AT2299">
        <v>3.29</v>
      </c>
      <c r="AU2299">
        <v>88</v>
      </c>
      <c r="AV2299">
        <v>-1.33</v>
      </c>
      <c r="AW2299">
        <v>72</v>
      </c>
      <c r="AX2299">
        <v>-0.38</v>
      </c>
      <c r="AY2299">
        <v>48</v>
      </c>
      <c r="AZ2299">
        <v>5.71</v>
      </c>
      <c r="BA2299">
        <v>33</v>
      </c>
      <c r="BB2299">
        <v>4.57</v>
      </c>
      <c r="BC2299">
        <v>32</v>
      </c>
      <c r="BD2299">
        <v>-0.01</v>
      </c>
      <c r="BE2299">
        <v>-0.01</v>
      </c>
      <c r="BF2299">
        <v>-0.06</v>
      </c>
      <c r="BG2299">
        <v>89</v>
      </c>
      <c r="BH2299">
        <v>-0.01</v>
      </c>
      <c r="BI2299">
        <v>4.24</v>
      </c>
      <c r="BJ2299">
        <v>1</v>
      </c>
      <c r="BK2299">
        <v>1</v>
      </c>
      <c r="BL2299">
        <v>0.35</v>
      </c>
      <c r="BM2299">
        <v>-1.25</v>
      </c>
      <c r="BN2299">
        <v>-0.21</v>
      </c>
      <c r="BO2299">
        <v>0.8</v>
      </c>
      <c r="BP2299">
        <v>0.04</v>
      </c>
      <c r="BQ2299">
        <v>-0.64</v>
      </c>
      <c r="BR2299">
        <v>-0.41</v>
      </c>
      <c r="BS2299">
        <v>-0.82</v>
      </c>
      <c r="BT2299">
        <v>1.88</v>
      </c>
      <c r="BU2299">
        <v>1.7</v>
      </c>
      <c r="BV2299">
        <v>2.67</v>
      </c>
      <c r="BW2299">
        <v>2.65</v>
      </c>
      <c r="BX2299">
        <v>1.22</v>
      </c>
      <c r="BY2299">
        <v>2.56</v>
      </c>
      <c r="BZ2299">
        <v>1.3</v>
      </c>
      <c r="CA2299">
        <v>1.31</v>
      </c>
      <c r="CB2299">
        <v>1.63</v>
      </c>
      <c r="CC2299">
        <v>0.03</v>
      </c>
      <c r="CD2299">
        <v>-1.24</v>
      </c>
      <c r="CE2299">
        <v>0.87</v>
      </c>
      <c r="CF2299">
        <v>0.05</v>
      </c>
      <c r="CG2299">
        <v>0</v>
      </c>
      <c r="CH2299">
        <v>1.58</v>
      </c>
      <c r="CI2299">
        <v>0</v>
      </c>
      <c r="CJ2299">
        <v>-4.5</v>
      </c>
      <c r="CK2299">
        <v>72</v>
      </c>
      <c r="CL2299">
        <v>-1.04</v>
      </c>
      <c r="CM2299">
        <v>68</v>
      </c>
      <c r="CN2299">
        <v>-0.5</v>
      </c>
      <c r="CO2299">
        <v>65</v>
      </c>
      <c r="CP2299">
        <v>-4.7</v>
      </c>
      <c r="CQ2299">
        <v>56</v>
      </c>
      <c r="CR2299">
        <v>0</v>
      </c>
      <c r="CS2299">
        <v>0</v>
      </c>
      <c r="CT2299">
        <v>0.2</v>
      </c>
      <c r="CU2299">
        <v>48</v>
      </c>
      <c r="CV2299">
        <v>0.21</v>
      </c>
      <c r="CW2299">
        <v>20</v>
      </c>
      <c r="CX2299" t="s">
        <v>1574</v>
      </c>
    </row>
    <row r="2300" spans="1:102" x14ac:dyDescent="0.3">
      <c r="A2300" t="str">
        <f>HYPERLINK("https://webapp.icbf.com/v2/app/bull-search/view/939092256","GMJ")</f>
        <v>GMJ</v>
      </c>
      <c r="B2300" t="s">
        <v>13117</v>
      </c>
      <c r="C2300" t="s">
        <v>13118</v>
      </c>
      <c r="D2300" s="1">
        <v>40492</v>
      </c>
      <c r="E2300" t="s">
        <v>108</v>
      </c>
      <c r="F2300">
        <v>0</v>
      </c>
      <c r="G2300" t="s">
        <v>93</v>
      </c>
      <c r="H2300">
        <v>49.29</v>
      </c>
      <c r="I2300">
        <v>84</v>
      </c>
      <c r="J2300">
        <v>-20.91</v>
      </c>
      <c r="K2300">
        <v>97</v>
      </c>
      <c r="L2300">
        <v>51.71</v>
      </c>
      <c r="M2300">
        <v>75</v>
      </c>
      <c r="N2300">
        <v>22.15</v>
      </c>
      <c r="O2300">
        <v>83</v>
      </c>
      <c r="P2300">
        <v>-10.76</v>
      </c>
      <c r="Q2300">
        <v>91</v>
      </c>
      <c r="R2300">
        <v>-9.92</v>
      </c>
      <c r="S2300">
        <v>76</v>
      </c>
      <c r="T2300">
        <v>8.7200000000000006</v>
      </c>
      <c r="U2300">
        <v>69</v>
      </c>
      <c r="V2300">
        <v>8.3000000000000007</v>
      </c>
      <c r="W2300">
        <v>72</v>
      </c>
      <c r="X2300" t="s">
        <v>102</v>
      </c>
      <c r="Y2300" t="s">
        <v>1923</v>
      </c>
      <c r="Z2300" t="s">
        <v>96</v>
      </c>
      <c r="AA2300" t="s">
        <v>13119</v>
      </c>
      <c r="AB2300" t="s">
        <v>13120</v>
      </c>
      <c r="AC2300">
        <v>80</v>
      </c>
      <c r="AD2300">
        <v>40</v>
      </c>
      <c r="AE2300">
        <v>97</v>
      </c>
      <c r="AF2300">
        <v>43.57</v>
      </c>
      <c r="AG2300">
        <v>-3.08</v>
      </c>
      <c r="AH2300">
        <v>-1.8</v>
      </c>
      <c r="AI2300">
        <v>-0.08</v>
      </c>
      <c r="AJ2300">
        <v>-0.06</v>
      </c>
      <c r="AK2300">
        <v>75</v>
      </c>
      <c r="AL2300">
        <v>101</v>
      </c>
      <c r="AM2300">
        <v>57</v>
      </c>
      <c r="AN2300">
        <v>-3.13</v>
      </c>
      <c r="AO2300">
        <v>0.99</v>
      </c>
      <c r="AP2300">
        <v>197</v>
      </c>
      <c r="AQ2300">
        <v>0</v>
      </c>
      <c r="AR2300">
        <v>4.9400000000000004</v>
      </c>
      <c r="AS2300">
        <v>66</v>
      </c>
      <c r="AT2300">
        <v>2.38</v>
      </c>
      <c r="AU2300">
        <v>86</v>
      </c>
      <c r="AV2300">
        <v>-1.92</v>
      </c>
      <c r="AW2300">
        <v>95</v>
      </c>
      <c r="AX2300">
        <v>-0.21</v>
      </c>
      <c r="AY2300">
        <v>79</v>
      </c>
      <c r="AZ2300">
        <v>6.67</v>
      </c>
      <c r="BA2300">
        <v>62</v>
      </c>
      <c r="BB2300">
        <v>6</v>
      </c>
      <c r="BC2300">
        <v>60</v>
      </c>
      <c r="BD2300">
        <v>0.03</v>
      </c>
      <c r="BE2300">
        <v>0.02</v>
      </c>
      <c r="BF2300">
        <v>0.14000000000000001</v>
      </c>
      <c r="BG2300">
        <v>85</v>
      </c>
      <c r="BH2300">
        <v>0.16</v>
      </c>
      <c r="BI2300">
        <v>-8.26</v>
      </c>
      <c r="BJ2300">
        <v>8</v>
      </c>
      <c r="BK2300">
        <v>8</v>
      </c>
      <c r="BL2300">
        <v>-2.93</v>
      </c>
      <c r="BM2300">
        <v>2.13</v>
      </c>
      <c r="BN2300">
        <v>-2.67</v>
      </c>
      <c r="BO2300">
        <v>-3.22</v>
      </c>
      <c r="BP2300">
        <v>-0.7</v>
      </c>
      <c r="BQ2300">
        <v>2.13</v>
      </c>
      <c r="BR2300">
        <v>-0.95</v>
      </c>
      <c r="BS2300">
        <v>0.17</v>
      </c>
      <c r="BT2300">
        <v>-0.65</v>
      </c>
      <c r="BU2300">
        <v>-1.77</v>
      </c>
      <c r="BV2300">
        <v>-2.4300000000000002</v>
      </c>
      <c r="BW2300">
        <v>-1.59</v>
      </c>
      <c r="BX2300">
        <v>-1.78</v>
      </c>
      <c r="BY2300">
        <v>-1.74</v>
      </c>
      <c r="BZ2300">
        <v>2.4</v>
      </c>
      <c r="CA2300">
        <v>-2.0699999999999998</v>
      </c>
      <c r="CB2300">
        <v>-2.2999999999999998</v>
      </c>
      <c r="CC2300">
        <v>-1.17</v>
      </c>
      <c r="CD2300">
        <v>3.01</v>
      </c>
      <c r="CE2300">
        <v>-2.58</v>
      </c>
      <c r="CF2300">
        <v>-1.59</v>
      </c>
      <c r="CG2300">
        <v>0</v>
      </c>
      <c r="CH2300">
        <v>-0.73</v>
      </c>
      <c r="CI2300">
        <v>0</v>
      </c>
      <c r="CJ2300">
        <v>-6.5</v>
      </c>
      <c r="CK2300">
        <v>93</v>
      </c>
      <c r="CL2300">
        <v>-0.19</v>
      </c>
      <c r="CM2300">
        <v>92</v>
      </c>
      <c r="CN2300">
        <v>-0.13</v>
      </c>
      <c r="CO2300">
        <v>91</v>
      </c>
      <c r="CP2300">
        <v>-9</v>
      </c>
      <c r="CQ2300">
        <v>78</v>
      </c>
      <c r="CR2300">
        <v>0</v>
      </c>
      <c r="CS2300">
        <v>0</v>
      </c>
      <c r="CT2300">
        <v>2</v>
      </c>
      <c r="CU2300">
        <v>69</v>
      </c>
      <c r="CV2300">
        <v>0.02</v>
      </c>
      <c r="CW2300">
        <v>44</v>
      </c>
      <c r="CX2300" t="s">
        <v>13121</v>
      </c>
    </row>
    <row r="2301" spans="1:102" x14ac:dyDescent="0.3">
      <c r="A2301" t="str">
        <f>HYPERLINK("https://webapp.icbf.com/v2/app/bull-search/view/444599013","S1376")</f>
        <v>S1376</v>
      </c>
      <c r="B2301" t="s">
        <v>5582</v>
      </c>
      <c r="C2301" t="s">
        <v>5583</v>
      </c>
      <c r="D2301" s="1">
        <v>36522</v>
      </c>
      <c r="E2301" t="s">
        <v>140</v>
      </c>
      <c r="F2301">
        <v>0</v>
      </c>
      <c r="G2301" t="s">
        <v>109</v>
      </c>
      <c r="H2301">
        <v>49.24</v>
      </c>
      <c r="I2301">
        <v>75</v>
      </c>
      <c r="J2301">
        <v>-10.29</v>
      </c>
      <c r="K2301">
        <v>89</v>
      </c>
      <c r="L2301">
        <v>63.29</v>
      </c>
      <c r="M2301">
        <v>68</v>
      </c>
      <c r="N2301">
        <v>-22.98</v>
      </c>
      <c r="O2301">
        <v>70</v>
      </c>
      <c r="P2301">
        <v>2.3199999999999998</v>
      </c>
      <c r="Q2301">
        <v>73</v>
      </c>
      <c r="R2301">
        <v>1.51</v>
      </c>
      <c r="S2301">
        <v>70</v>
      </c>
      <c r="T2301">
        <v>19.079999999999998</v>
      </c>
      <c r="U2301">
        <v>61</v>
      </c>
      <c r="V2301">
        <v>-3.69</v>
      </c>
      <c r="W2301">
        <v>69</v>
      </c>
      <c r="X2301" t="s">
        <v>102</v>
      </c>
      <c r="Y2301" t="s">
        <v>342</v>
      </c>
      <c r="Z2301">
        <v>0</v>
      </c>
      <c r="AA2301" t="s">
        <v>247</v>
      </c>
      <c r="AB2301" t="s">
        <v>5584</v>
      </c>
      <c r="AC2301">
        <v>0</v>
      </c>
      <c r="AD2301">
        <v>0</v>
      </c>
      <c r="AE2301">
        <v>89</v>
      </c>
      <c r="AF2301">
        <v>-15.84</v>
      </c>
      <c r="AG2301">
        <v>-4.53</v>
      </c>
      <c r="AH2301">
        <v>-0.39</v>
      </c>
      <c r="AI2301">
        <v>-7.0000000000000007E-2</v>
      </c>
      <c r="AJ2301">
        <v>0</v>
      </c>
      <c r="AK2301">
        <v>68</v>
      </c>
      <c r="AL2301">
        <v>10</v>
      </c>
      <c r="AM2301">
        <v>7</v>
      </c>
      <c r="AN2301">
        <v>-3.21</v>
      </c>
      <c r="AO2301">
        <v>1.84</v>
      </c>
      <c r="AP2301">
        <v>22</v>
      </c>
      <c r="AQ2301">
        <v>0</v>
      </c>
      <c r="AR2301">
        <v>11.22</v>
      </c>
      <c r="AS2301">
        <v>63</v>
      </c>
      <c r="AT2301">
        <v>5.27</v>
      </c>
      <c r="AU2301">
        <v>70</v>
      </c>
      <c r="AV2301">
        <v>-1.2</v>
      </c>
      <c r="AW2301">
        <v>79</v>
      </c>
      <c r="AX2301">
        <v>0.17</v>
      </c>
      <c r="AY2301">
        <v>61</v>
      </c>
      <c r="AZ2301">
        <v>6.35</v>
      </c>
      <c r="BA2301">
        <v>57</v>
      </c>
      <c r="BB2301">
        <v>4.38</v>
      </c>
      <c r="BC2301">
        <v>56</v>
      </c>
      <c r="BD2301">
        <v>-0.01</v>
      </c>
      <c r="BE2301">
        <v>-0.02</v>
      </c>
      <c r="BF2301">
        <v>0.02</v>
      </c>
      <c r="BG2301">
        <v>75</v>
      </c>
      <c r="BH2301">
        <v>-0.22</v>
      </c>
      <c r="BI2301">
        <v>-13.54</v>
      </c>
      <c r="BJ2301">
        <v>0</v>
      </c>
      <c r="BK2301">
        <v>0</v>
      </c>
      <c r="BL2301">
        <v>-0.66</v>
      </c>
      <c r="BM2301">
        <v>4.05</v>
      </c>
      <c r="BN2301">
        <v>-1.75</v>
      </c>
      <c r="BO2301">
        <v>-3.35</v>
      </c>
      <c r="BP2301">
        <v>4.63</v>
      </c>
      <c r="BQ2301">
        <v>-1.47</v>
      </c>
      <c r="BR2301">
        <v>-2.59</v>
      </c>
      <c r="BS2301">
        <v>-0.36</v>
      </c>
      <c r="BT2301">
        <v>2.6</v>
      </c>
      <c r="BU2301">
        <v>-3.62</v>
      </c>
      <c r="BV2301">
        <v>-4.05</v>
      </c>
      <c r="BW2301">
        <v>-3.02</v>
      </c>
      <c r="BX2301">
        <v>-2.83</v>
      </c>
      <c r="BY2301">
        <v>-1.84</v>
      </c>
      <c r="BZ2301">
        <v>1.61</v>
      </c>
      <c r="CA2301">
        <v>-2.73</v>
      </c>
      <c r="CB2301">
        <v>-3.43</v>
      </c>
      <c r="CC2301">
        <v>-0.56000000000000005</v>
      </c>
      <c r="CD2301">
        <v>4.17</v>
      </c>
      <c r="CE2301">
        <v>-3.19</v>
      </c>
      <c r="CF2301">
        <v>-1.19</v>
      </c>
      <c r="CG2301">
        <v>0</v>
      </c>
      <c r="CH2301">
        <v>-2.4900000000000002</v>
      </c>
      <c r="CI2301">
        <v>0</v>
      </c>
      <c r="CJ2301">
        <v>2.6</v>
      </c>
      <c r="CK2301">
        <v>75</v>
      </c>
      <c r="CL2301">
        <v>0.03</v>
      </c>
      <c r="CM2301">
        <v>72</v>
      </c>
      <c r="CN2301">
        <v>0.08</v>
      </c>
      <c r="CO2301">
        <v>70</v>
      </c>
      <c r="CP2301">
        <v>-4.3</v>
      </c>
      <c r="CQ2301">
        <v>62</v>
      </c>
      <c r="CR2301">
        <v>0</v>
      </c>
      <c r="CS2301">
        <v>0</v>
      </c>
      <c r="CT2301">
        <v>-12</v>
      </c>
      <c r="CU2301">
        <v>61</v>
      </c>
      <c r="CV2301">
        <v>0.12</v>
      </c>
      <c r="CW2301">
        <v>41</v>
      </c>
      <c r="CX2301" t="s">
        <v>224</v>
      </c>
    </row>
    <row r="2302" spans="1:102" x14ac:dyDescent="0.3">
      <c r="A2302" t="str">
        <f>HYPERLINK("https://webapp.icbf.com/v2/app/bull-search/view/77856961","HLA")</f>
        <v>HLA</v>
      </c>
      <c r="B2302" t="s">
        <v>2977</v>
      </c>
      <c r="C2302" t="s">
        <v>2978</v>
      </c>
      <c r="D2302" s="1">
        <v>32816</v>
      </c>
      <c r="E2302" t="s">
        <v>108</v>
      </c>
      <c r="F2302">
        <v>0</v>
      </c>
      <c r="G2302" t="s">
        <v>93</v>
      </c>
      <c r="H2302">
        <v>49.18</v>
      </c>
      <c r="I2302">
        <v>94</v>
      </c>
      <c r="J2302">
        <v>-27.47</v>
      </c>
      <c r="K2302">
        <v>99</v>
      </c>
      <c r="L2302">
        <v>73.14</v>
      </c>
      <c r="M2302">
        <v>90</v>
      </c>
      <c r="N2302">
        <v>4.83</v>
      </c>
      <c r="O2302">
        <v>93</v>
      </c>
      <c r="P2302">
        <v>-15</v>
      </c>
      <c r="Q2302">
        <v>99</v>
      </c>
      <c r="R2302">
        <v>-5.86</v>
      </c>
      <c r="S2302">
        <v>90</v>
      </c>
      <c r="T2302">
        <v>21.67</v>
      </c>
      <c r="U2302">
        <v>96</v>
      </c>
      <c r="V2302">
        <v>-2.13</v>
      </c>
      <c r="W2302">
        <v>89</v>
      </c>
      <c r="X2302" t="s">
        <v>94</v>
      </c>
      <c r="Y2302" t="s">
        <v>95</v>
      </c>
      <c r="Z2302" t="s">
        <v>96</v>
      </c>
      <c r="AA2302" t="s">
        <v>2781</v>
      </c>
      <c r="AB2302" t="s">
        <v>2979</v>
      </c>
      <c r="AC2302">
        <v>345</v>
      </c>
      <c r="AD2302">
        <v>179</v>
      </c>
      <c r="AE2302">
        <v>99</v>
      </c>
      <c r="AF2302">
        <v>-308.43</v>
      </c>
      <c r="AG2302">
        <v>-4.67</v>
      </c>
      <c r="AH2302">
        <v>-7.74</v>
      </c>
      <c r="AI2302">
        <v>0.14000000000000001</v>
      </c>
      <c r="AJ2302">
        <v>0.05</v>
      </c>
      <c r="AK2302">
        <v>90</v>
      </c>
      <c r="AL2302">
        <v>628</v>
      </c>
      <c r="AM2302">
        <v>333</v>
      </c>
      <c r="AN2302">
        <v>-5</v>
      </c>
      <c r="AO2302">
        <v>0.82</v>
      </c>
      <c r="AP2302">
        <v>179</v>
      </c>
      <c r="AQ2302">
        <v>2</v>
      </c>
      <c r="AR2302">
        <v>5.47</v>
      </c>
      <c r="AS2302">
        <v>83</v>
      </c>
      <c r="AT2302">
        <v>2.15</v>
      </c>
      <c r="AU2302">
        <v>92</v>
      </c>
      <c r="AV2302">
        <v>-0.06</v>
      </c>
      <c r="AW2302">
        <v>97</v>
      </c>
      <c r="AX2302">
        <v>-0.35</v>
      </c>
      <c r="AY2302">
        <v>96</v>
      </c>
      <c r="AZ2302">
        <v>7.42</v>
      </c>
      <c r="BA2302">
        <v>78</v>
      </c>
      <c r="BB2302">
        <v>6.37</v>
      </c>
      <c r="BC2302">
        <v>88</v>
      </c>
      <c r="BD2302">
        <v>0.1</v>
      </c>
      <c r="BE2302">
        <v>0.02</v>
      </c>
      <c r="BF2302">
        <v>-7.0000000000000007E-2</v>
      </c>
      <c r="BG2302">
        <v>96</v>
      </c>
      <c r="BH2302">
        <v>-0.01</v>
      </c>
      <c r="BI2302">
        <v>5.72</v>
      </c>
      <c r="BJ2302">
        <v>14</v>
      </c>
      <c r="BK2302">
        <v>14</v>
      </c>
      <c r="BL2302">
        <v>-3.75</v>
      </c>
      <c r="BM2302">
        <v>1.81</v>
      </c>
      <c r="BN2302">
        <v>-3.78</v>
      </c>
      <c r="BO2302">
        <v>-3.73</v>
      </c>
      <c r="BP2302">
        <v>-1.59</v>
      </c>
      <c r="BQ2302">
        <v>1.46</v>
      </c>
      <c r="BR2302">
        <v>-3.11</v>
      </c>
      <c r="BS2302">
        <v>0.98</v>
      </c>
      <c r="BT2302">
        <v>1.39</v>
      </c>
      <c r="BU2302">
        <v>-3.68</v>
      </c>
      <c r="BV2302">
        <v>-4.07</v>
      </c>
      <c r="BW2302">
        <v>-3.45</v>
      </c>
      <c r="BX2302">
        <v>-3.01</v>
      </c>
      <c r="BY2302">
        <v>-3.16</v>
      </c>
      <c r="BZ2302">
        <v>0.01</v>
      </c>
      <c r="CA2302">
        <v>-2.5099999999999998</v>
      </c>
      <c r="CB2302">
        <v>-3.55</v>
      </c>
      <c r="CC2302">
        <v>-0.11</v>
      </c>
      <c r="CD2302">
        <v>2.97</v>
      </c>
      <c r="CE2302">
        <v>-2.84</v>
      </c>
      <c r="CF2302">
        <v>-2.52</v>
      </c>
      <c r="CG2302">
        <v>0</v>
      </c>
      <c r="CH2302">
        <v>-1.36</v>
      </c>
      <c r="CI2302">
        <v>0</v>
      </c>
      <c r="CJ2302">
        <v>-7.2</v>
      </c>
      <c r="CK2302">
        <v>99</v>
      </c>
      <c r="CL2302">
        <v>-0.04</v>
      </c>
      <c r="CM2302">
        <v>98</v>
      </c>
      <c r="CN2302">
        <v>0.22</v>
      </c>
      <c r="CO2302">
        <v>98</v>
      </c>
      <c r="CP2302">
        <v>-13.8</v>
      </c>
      <c r="CQ2302">
        <v>98</v>
      </c>
      <c r="CR2302">
        <v>0</v>
      </c>
      <c r="CS2302">
        <v>0</v>
      </c>
      <c r="CT2302">
        <v>-15.5</v>
      </c>
      <c r="CU2302">
        <v>96</v>
      </c>
      <c r="CV2302">
        <v>0.05</v>
      </c>
      <c r="CW2302">
        <v>46</v>
      </c>
      <c r="CX2302" t="s">
        <v>2980</v>
      </c>
    </row>
    <row r="2303" spans="1:102" x14ac:dyDescent="0.3">
      <c r="A2303" t="str">
        <f>HYPERLINK("https://webapp.icbf.com/v2/app/bull-search/view/660029501","VAY")</f>
        <v>VAY</v>
      </c>
      <c r="B2303" t="s">
        <v>10098</v>
      </c>
      <c r="C2303" t="s">
        <v>10099</v>
      </c>
      <c r="D2303" s="1">
        <v>38196</v>
      </c>
      <c r="E2303" t="s">
        <v>140</v>
      </c>
      <c r="F2303">
        <v>0</v>
      </c>
      <c r="G2303" t="s">
        <v>93</v>
      </c>
      <c r="H2303">
        <v>49.18</v>
      </c>
      <c r="I2303">
        <v>92</v>
      </c>
      <c r="J2303">
        <v>-1.1100000000000001</v>
      </c>
      <c r="K2303">
        <v>98</v>
      </c>
      <c r="L2303">
        <v>25.73</v>
      </c>
      <c r="M2303">
        <v>86</v>
      </c>
      <c r="N2303">
        <v>-8.57</v>
      </c>
      <c r="O2303">
        <v>94</v>
      </c>
      <c r="P2303">
        <v>21.57</v>
      </c>
      <c r="Q2303">
        <v>98</v>
      </c>
      <c r="R2303">
        <v>10.9</v>
      </c>
      <c r="S2303">
        <v>84</v>
      </c>
      <c r="T2303">
        <v>5.39</v>
      </c>
      <c r="U2303">
        <v>94</v>
      </c>
      <c r="V2303">
        <v>-4.7300000000000004</v>
      </c>
      <c r="W2303">
        <v>82</v>
      </c>
      <c r="X2303" t="s">
        <v>102</v>
      </c>
      <c r="Y2303" t="s">
        <v>282</v>
      </c>
      <c r="Z2303">
        <v>0</v>
      </c>
      <c r="AA2303" t="s">
        <v>1997</v>
      </c>
      <c r="AB2303" t="s">
        <v>2902</v>
      </c>
      <c r="AC2303">
        <v>205</v>
      </c>
      <c r="AD2303">
        <v>56</v>
      </c>
      <c r="AE2303">
        <v>98</v>
      </c>
      <c r="AF2303">
        <v>76.77</v>
      </c>
      <c r="AG2303">
        <v>-3.97</v>
      </c>
      <c r="AH2303">
        <v>2.39</v>
      </c>
      <c r="AI2303">
        <v>-0.12</v>
      </c>
      <c r="AJ2303">
        <v>0</v>
      </c>
      <c r="AK2303">
        <v>86</v>
      </c>
      <c r="AL2303">
        <v>349</v>
      </c>
      <c r="AM2303">
        <v>112</v>
      </c>
      <c r="AN2303">
        <v>-2.31</v>
      </c>
      <c r="AO2303">
        <v>-0.27</v>
      </c>
      <c r="AP2303">
        <v>586</v>
      </c>
      <c r="AQ2303">
        <v>16</v>
      </c>
      <c r="AR2303">
        <v>6.22</v>
      </c>
      <c r="AS2303">
        <v>90</v>
      </c>
      <c r="AT2303">
        <v>3.29</v>
      </c>
      <c r="AU2303">
        <v>94</v>
      </c>
      <c r="AV2303">
        <v>1.28</v>
      </c>
      <c r="AW2303">
        <v>98</v>
      </c>
      <c r="AX2303">
        <v>-0.92</v>
      </c>
      <c r="AY2303">
        <v>93</v>
      </c>
      <c r="AZ2303">
        <v>8.07</v>
      </c>
      <c r="BA2303">
        <v>82</v>
      </c>
      <c r="BB2303">
        <v>5.09</v>
      </c>
      <c r="BC2303">
        <v>84</v>
      </c>
      <c r="BD2303">
        <v>-0.01</v>
      </c>
      <c r="BE2303">
        <v>-0.06</v>
      </c>
      <c r="BF2303">
        <v>-0.12</v>
      </c>
      <c r="BG2303">
        <v>93</v>
      </c>
      <c r="BH2303">
        <v>-0.37</v>
      </c>
      <c r="BI2303">
        <v>-27.53</v>
      </c>
      <c r="BJ2303">
        <v>0</v>
      </c>
      <c r="BK2303">
        <v>0</v>
      </c>
      <c r="BL2303">
        <v>-0.6</v>
      </c>
      <c r="BM2303">
        <v>3.27</v>
      </c>
      <c r="BN2303">
        <v>-1.82</v>
      </c>
      <c r="BO2303">
        <v>-2.91</v>
      </c>
      <c r="BP2303">
        <v>4.37</v>
      </c>
      <c r="BQ2303">
        <v>-2.2000000000000002</v>
      </c>
      <c r="BR2303">
        <v>-2.4900000000000002</v>
      </c>
      <c r="BS2303">
        <v>-0.71</v>
      </c>
      <c r="BT2303">
        <v>2.2999999999999998</v>
      </c>
      <c r="BU2303">
        <v>-3.6</v>
      </c>
      <c r="BV2303">
        <v>-4.01</v>
      </c>
      <c r="BW2303">
        <v>-2.91</v>
      </c>
      <c r="BX2303">
        <v>-2.56</v>
      </c>
      <c r="BY2303">
        <v>-2.25</v>
      </c>
      <c r="BZ2303">
        <v>1.05</v>
      </c>
      <c r="CA2303">
        <v>-2.68</v>
      </c>
      <c r="CB2303">
        <v>-3.29</v>
      </c>
      <c r="CC2303">
        <v>-0.72</v>
      </c>
      <c r="CD2303">
        <v>3.75</v>
      </c>
      <c r="CE2303">
        <v>-2.78</v>
      </c>
      <c r="CF2303">
        <v>-0.96</v>
      </c>
      <c r="CG2303">
        <v>0</v>
      </c>
      <c r="CH2303">
        <v>-2.2400000000000002</v>
      </c>
      <c r="CI2303">
        <v>0</v>
      </c>
      <c r="CJ2303">
        <v>9.8000000000000007</v>
      </c>
      <c r="CK2303">
        <v>98</v>
      </c>
      <c r="CL2303">
        <v>0.51</v>
      </c>
      <c r="CM2303">
        <v>98</v>
      </c>
      <c r="CN2303">
        <v>-0.17</v>
      </c>
      <c r="CO2303">
        <v>98</v>
      </c>
      <c r="CP2303">
        <v>5.3</v>
      </c>
      <c r="CQ2303">
        <v>94</v>
      </c>
      <c r="CR2303">
        <v>0</v>
      </c>
      <c r="CS2303">
        <v>0</v>
      </c>
      <c r="CT2303">
        <v>6.5</v>
      </c>
      <c r="CU2303">
        <v>94</v>
      </c>
      <c r="CV2303">
        <v>0.16</v>
      </c>
      <c r="CW2303">
        <v>46</v>
      </c>
      <c r="CX2303" t="s">
        <v>247</v>
      </c>
    </row>
    <row r="2304" spans="1:102" x14ac:dyDescent="0.3">
      <c r="A2304" t="str">
        <f>HYPERLINK("https://webapp.icbf.com/v2/app/bull-search/view/1105939415","S2175")</f>
        <v>S2175</v>
      </c>
      <c r="B2304" t="s">
        <v>5840</v>
      </c>
      <c r="C2304" t="s">
        <v>5841</v>
      </c>
      <c r="D2304" s="1">
        <v>41047</v>
      </c>
      <c r="E2304" t="s">
        <v>92</v>
      </c>
      <c r="F2304">
        <v>100</v>
      </c>
      <c r="G2304" t="s">
        <v>116</v>
      </c>
      <c r="H2304">
        <v>49.15</v>
      </c>
      <c r="I2304">
        <v>43</v>
      </c>
      <c r="J2304">
        <v>18.86</v>
      </c>
      <c r="K2304">
        <v>49</v>
      </c>
      <c r="L2304">
        <v>8.24</v>
      </c>
      <c r="M2304">
        <v>31</v>
      </c>
      <c r="N2304">
        <v>20.23</v>
      </c>
      <c r="O2304">
        <v>61</v>
      </c>
      <c r="P2304">
        <v>-5.25</v>
      </c>
      <c r="Q2304">
        <v>64</v>
      </c>
      <c r="R2304">
        <v>6</v>
      </c>
      <c r="S2304">
        <v>33</v>
      </c>
      <c r="T2304">
        <v>-1.86</v>
      </c>
      <c r="U2304">
        <v>33</v>
      </c>
      <c r="V2304">
        <v>2.93</v>
      </c>
      <c r="W2304">
        <v>23</v>
      </c>
      <c r="X2304" t="s">
        <v>234</v>
      </c>
      <c r="Y2304" t="s">
        <v>367</v>
      </c>
      <c r="Z2304" t="s">
        <v>96</v>
      </c>
      <c r="AA2304" t="s">
        <v>2397</v>
      </c>
      <c r="AB2304" t="s">
        <v>5842</v>
      </c>
      <c r="AC2304">
        <v>9</v>
      </c>
      <c r="AD2304">
        <v>6</v>
      </c>
      <c r="AE2304">
        <v>49</v>
      </c>
      <c r="AF2304">
        <v>209.76</v>
      </c>
      <c r="AG2304">
        <v>6.58</v>
      </c>
      <c r="AH2304">
        <v>4.09</v>
      </c>
      <c r="AI2304">
        <v>-0.03</v>
      </c>
      <c r="AJ2304">
        <v>-0.05</v>
      </c>
      <c r="AK2304">
        <v>31</v>
      </c>
      <c r="AL2304">
        <v>7</v>
      </c>
      <c r="AM2304">
        <v>6</v>
      </c>
      <c r="AN2304">
        <v>0.57999999999999996</v>
      </c>
      <c r="AO2304">
        <v>1.25</v>
      </c>
      <c r="AP2304">
        <v>49</v>
      </c>
      <c r="AQ2304">
        <v>0</v>
      </c>
      <c r="AR2304">
        <v>6.33</v>
      </c>
      <c r="AS2304">
        <v>24</v>
      </c>
      <c r="AT2304">
        <v>2.72</v>
      </c>
      <c r="AU2304">
        <v>60</v>
      </c>
      <c r="AV2304">
        <v>-2.31</v>
      </c>
      <c r="AW2304">
        <v>86</v>
      </c>
      <c r="AX2304">
        <v>1.64</v>
      </c>
      <c r="AY2304">
        <v>51</v>
      </c>
      <c r="AZ2304">
        <v>6.74</v>
      </c>
      <c r="BA2304">
        <v>23</v>
      </c>
      <c r="BB2304">
        <v>4.99</v>
      </c>
      <c r="BC2304">
        <v>20</v>
      </c>
      <c r="BD2304">
        <v>0</v>
      </c>
      <c r="BE2304">
        <v>-0.02</v>
      </c>
      <c r="BF2304">
        <v>-0.1</v>
      </c>
      <c r="BG2304">
        <v>38</v>
      </c>
      <c r="BH2304">
        <v>0.03</v>
      </c>
      <c r="BI2304">
        <v>-5.97</v>
      </c>
      <c r="BJ2304">
        <v>2</v>
      </c>
      <c r="BK2304">
        <v>1</v>
      </c>
      <c r="BL2304">
        <v>1.81</v>
      </c>
      <c r="BM2304">
        <v>0.31</v>
      </c>
      <c r="BN2304">
        <v>1.88</v>
      </c>
      <c r="BO2304">
        <v>1.19</v>
      </c>
      <c r="BP2304">
        <v>0.28000000000000003</v>
      </c>
      <c r="BQ2304">
        <v>1.7</v>
      </c>
      <c r="BR2304">
        <v>1.5</v>
      </c>
      <c r="BS2304">
        <v>1.41</v>
      </c>
      <c r="BT2304">
        <v>-0.5</v>
      </c>
      <c r="BU2304">
        <v>1.61</v>
      </c>
      <c r="BV2304">
        <v>1.55</v>
      </c>
      <c r="BW2304">
        <v>1.35</v>
      </c>
      <c r="BX2304">
        <v>1.8</v>
      </c>
      <c r="BY2304">
        <v>1.35</v>
      </c>
      <c r="BZ2304">
        <v>1.3</v>
      </c>
      <c r="CA2304">
        <v>1.29</v>
      </c>
      <c r="CB2304">
        <v>1.34</v>
      </c>
      <c r="CC2304">
        <v>0.78</v>
      </c>
      <c r="CD2304">
        <v>-0.99</v>
      </c>
      <c r="CE2304">
        <v>1.01</v>
      </c>
      <c r="CF2304">
        <v>1.57</v>
      </c>
      <c r="CG2304">
        <v>0</v>
      </c>
      <c r="CH2304">
        <v>0.79</v>
      </c>
      <c r="CI2304">
        <v>0</v>
      </c>
      <c r="CJ2304">
        <v>0.2</v>
      </c>
      <c r="CK2304">
        <v>69</v>
      </c>
      <c r="CL2304">
        <v>-1.33</v>
      </c>
      <c r="CM2304">
        <v>61</v>
      </c>
      <c r="CN2304">
        <v>-0.65</v>
      </c>
      <c r="CO2304">
        <v>59</v>
      </c>
      <c r="CP2304">
        <v>3.9</v>
      </c>
      <c r="CQ2304">
        <v>43</v>
      </c>
      <c r="CR2304">
        <v>0</v>
      </c>
      <c r="CS2304">
        <v>0</v>
      </c>
      <c r="CT2304">
        <v>16.3</v>
      </c>
      <c r="CU2304">
        <v>33</v>
      </c>
      <c r="CV2304">
        <v>0.35</v>
      </c>
      <c r="CW2304">
        <v>19</v>
      </c>
      <c r="CX2304" t="s">
        <v>277</v>
      </c>
    </row>
    <row r="2305" spans="1:102" x14ac:dyDescent="0.3">
      <c r="A2305" t="str">
        <f>HYPERLINK("https://webapp.icbf.com/v2/app/bull-search/view/122824329","BBZ")</f>
        <v>BBZ</v>
      </c>
      <c r="B2305" t="s">
        <v>14391</v>
      </c>
      <c r="C2305" t="s">
        <v>1312</v>
      </c>
      <c r="D2305" s="1">
        <v>31907</v>
      </c>
      <c r="E2305" t="s">
        <v>146</v>
      </c>
      <c r="F2305">
        <v>0</v>
      </c>
      <c r="G2305" t="s">
        <v>109</v>
      </c>
      <c r="H2305">
        <v>49.15</v>
      </c>
      <c r="I2305">
        <v>66</v>
      </c>
      <c r="J2305">
        <v>-36.159999999999997</v>
      </c>
      <c r="K2305">
        <v>76</v>
      </c>
      <c r="L2305">
        <v>26.05</v>
      </c>
      <c r="M2305">
        <v>64</v>
      </c>
      <c r="N2305">
        <v>35.270000000000003</v>
      </c>
      <c r="O2305">
        <v>58</v>
      </c>
      <c r="P2305">
        <v>6.54</v>
      </c>
      <c r="Q2305">
        <v>65</v>
      </c>
      <c r="R2305">
        <v>5.13</v>
      </c>
      <c r="S2305">
        <v>60</v>
      </c>
      <c r="T2305">
        <v>17.600000000000001</v>
      </c>
      <c r="U2305">
        <v>63</v>
      </c>
      <c r="V2305">
        <v>-5.28</v>
      </c>
      <c r="W2305">
        <v>33</v>
      </c>
      <c r="X2305" t="s">
        <v>94</v>
      </c>
      <c r="Y2305" t="s">
        <v>95</v>
      </c>
      <c r="Z2305" t="s">
        <v>96</v>
      </c>
      <c r="AA2305" t="s">
        <v>4603</v>
      </c>
      <c r="AB2305" t="s">
        <v>8539</v>
      </c>
      <c r="AC2305">
        <v>0</v>
      </c>
      <c r="AD2305">
        <v>0</v>
      </c>
      <c r="AE2305">
        <v>76</v>
      </c>
      <c r="AF2305">
        <v>-355.79</v>
      </c>
      <c r="AG2305">
        <v>-12.68</v>
      </c>
      <c r="AH2305">
        <v>-7.11</v>
      </c>
      <c r="AI2305">
        <v>0.02</v>
      </c>
      <c r="AJ2305">
        <v>0.09</v>
      </c>
      <c r="AK2305">
        <v>64</v>
      </c>
      <c r="AL2305">
        <v>0</v>
      </c>
      <c r="AM2305">
        <v>0</v>
      </c>
      <c r="AN2305">
        <v>-1.98</v>
      </c>
      <c r="AO2305">
        <v>0.09</v>
      </c>
      <c r="AP2305">
        <v>4</v>
      </c>
      <c r="AQ2305">
        <v>2</v>
      </c>
      <c r="AR2305">
        <v>4.5199999999999996</v>
      </c>
      <c r="AS2305">
        <v>35</v>
      </c>
      <c r="AT2305">
        <v>1.57</v>
      </c>
      <c r="AU2305">
        <v>80</v>
      </c>
      <c r="AV2305">
        <v>-2.0099999999999998</v>
      </c>
      <c r="AW2305">
        <v>61</v>
      </c>
      <c r="AX2305">
        <v>-0.15</v>
      </c>
      <c r="AY2305">
        <v>58</v>
      </c>
      <c r="AZ2305">
        <v>6.23</v>
      </c>
      <c r="BA2305">
        <v>23</v>
      </c>
      <c r="BB2305">
        <v>4.83</v>
      </c>
      <c r="BC2305">
        <v>32</v>
      </c>
      <c r="BD2305">
        <v>0</v>
      </c>
      <c r="BE2305">
        <v>-0.02</v>
      </c>
      <c r="BF2305">
        <v>-0.08</v>
      </c>
      <c r="BG2305">
        <v>83</v>
      </c>
      <c r="BH2305">
        <v>-0.13</v>
      </c>
      <c r="BI2305">
        <v>2</v>
      </c>
      <c r="BJ2305">
        <v>0</v>
      </c>
      <c r="BK2305">
        <v>0</v>
      </c>
      <c r="BL2305">
        <v>-2.15</v>
      </c>
      <c r="BM2305">
        <v>1.77</v>
      </c>
      <c r="BN2305">
        <v>-2.4900000000000002</v>
      </c>
      <c r="BO2305">
        <v>-1.57</v>
      </c>
      <c r="BP2305">
        <v>2.19</v>
      </c>
      <c r="BQ2305">
        <v>-1.19</v>
      </c>
      <c r="BR2305">
        <v>-1.63</v>
      </c>
      <c r="BS2305">
        <v>-0.9</v>
      </c>
      <c r="BT2305">
        <v>0.66</v>
      </c>
      <c r="BU2305">
        <v>-0.92</v>
      </c>
      <c r="BV2305">
        <v>-3.43</v>
      </c>
      <c r="BW2305">
        <v>-3.33</v>
      </c>
      <c r="BX2305">
        <v>-0.98</v>
      </c>
      <c r="BY2305">
        <v>-1.74</v>
      </c>
      <c r="BZ2305">
        <v>0.56999999999999995</v>
      </c>
      <c r="CA2305">
        <v>-2.35</v>
      </c>
      <c r="CB2305">
        <v>-2.12</v>
      </c>
      <c r="CC2305">
        <v>-1.2</v>
      </c>
      <c r="CD2305">
        <v>3</v>
      </c>
      <c r="CE2305">
        <v>-1.41</v>
      </c>
      <c r="CF2305">
        <v>-0.8</v>
      </c>
      <c r="CG2305">
        <v>0</v>
      </c>
      <c r="CH2305">
        <v>-1.27</v>
      </c>
      <c r="CI2305">
        <v>0</v>
      </c>
      <c r="CJ2305">
        <v>-2.9</v>
      </c>
      <c r="CK2305">
        <v>67</v>
      </c>
      <c r="CL2305">
        <v>0.52</v>
      </c>
      <c r="CM2305">
        <v>63</v>
      </c>
      <c r="CN2305">
        <v>-0.47</v>
      </c>
      <c r="CO2305">
        <v>60</v>
      </c>
      <c r="CP2305">
        <v>-2.2000000000000002</v>
      </c>
      <c r="CQ2305">
        <v>68</v>
      </c>
      <c r="CR2305">
        <v>0</v>
      </c>
      <c r="CS2305">
        <v>0</v>
      </c>
      <c r="CT2305">
        <v>-10</v>
      </c>
      <c r="CU2305">
        <v>63</v>
      </c>
      <c r="CV2305">
        <v>-0.42</v>
      </c>
      <c r="CW2305">
        <v>18</v>
      </c>
      <c r="CX2305" t="s">
        <v>14392</v>
      </c>
    </row>
    <row r="2306" spans="1:102" x14ac:dyDescent="0.3">
      <c r="A2306" t="str">
        <f>HYPERLINK("https://webapp.icbf.com/v2/app/bull-search/view/147063214","KVI")</f>
        <v>KVI</v>
      </c>
      <c r="B2306" t="s">
        <v>8104</v>
      </c>
      <c r="C2306" t="s">
        <v>8105</v>
      </c>
      <c r="D2306" s="1">
        <v>35293</v>
      </c>
      <c r="E2306" t="s">
        <v>227</v>
      </c>
      <c r="F2306">
        <v>0</v>
      </c>
      <c r="G2306" t="s">
        <v>93</v>
      </c>
      <c r="H2306">
        <v>49.09</v>
      </c>
      <c r="I2306">
        <v>89</v>
      </c>
      <c r="J2306">
        <v>18.489999999999998</v>
      </c>
      <c r="K2306">
        <v>96</v>
      </c>
      <c r="L2306">
        <v>-3.91</v>
      </c>
      <c r="M2306">
        <v>88</v>
      </c>
      <c r="N2306">
        <v>27.51</v>
      </c>
      <c r="O2306">
        <v>77</v>
      </c>
      <c r="P2306">
        <v>-48.21</v>
      </c>
      <c r="Q2306">
        <v>87</v>
      </c>
      <c r="R2306">
        <v>1.06</v>
      </c>
      <c r="S2306">
        <v>80</v>
      </c>
      <c r="T2306">
        <v>58.37</v>
      </c>
      <c r="U2306">
        <v>85</v>
      </c>
      <c r="V2306">
        <v>-4.22</v>
      </c>
      <c r="W2306">
        <v>82</v>
      </c>
      <c r="X2306" t="s">
        <v>102</v>
      </c>
      <c r="Y2306" t="s">
        <v>95</v>
      </c>
      <c r="Z2306">
        <v>0</v>
      </c>
      <c r="AA2306" t="s">
        <v>8106</v>
      </c>
      <c r="AB2306" t="s">
        <v>8107</v>
      </c>
      <c r="AC2306">
        <v>60</v>
      </c>
      <c r="AD2306">
        <v>27</v>
      </c>
      <c r="AE2306">
        <v>96</v>
      </c>
      <c r="AF2306">
        <v>-199.41</v>
      </c>
      <c r="AG2306">
        <v>2.0699999999999998</v>
      </c>
      <c r="AH2306">
        <v>-0.64</v>
      </c>
      <c r="AI2306">
        <v>0.18</v>
      </c>
      <c r="AJ2306">
        <v>0.11</v>
      </c>
      <c r="AK2306">
        <v>88</v>
      </c>
      <c r="AL2306">
        <v>66</v>
      </c>
      <c r="AM2306">
        <v>33</v>
      </c>
      <c r="AN2306">
        <v>-0.43</v>
      </c>
      <c r="AO2306">
        <v>-0.75</v>
      </c>
      <c r="AP2306">
        <v>45</v>
      </c>
      <c r="AQ2306">
        <v>0</v>
      </c>
      <c r="AR2306">
        <v>3.53</v>
      </c>
      <c r="AS2306">
        <v>69</v>
      </c>
      <c r="AT2306">
        <v>1.9</v>
      </c>
      <c r="AU2306">
        <v>72</v>
      </c>
      <c r="AV2306">
        <v>-1.26</v>
      </c>
      <c r="AW2306">
        <v>90</v>
      </c>
      <c r="AX2306">
        <v>-0.25</v>
      </c>
      <c r="AY2306">
        <v>75</v>
      </c>
      <c r="AZ2306">
        <v>7.32</v>
      </c>
      <c r="BA2306">
        <v>52</v>
      </c>
      <c r="BB2306">
        <v>4.8899999999999997</v>
      </c>
      <c r="BC2306">
        <v>62</v>
      </c>
      <c r="BD2306">
        <v>-0.05</v>
      </c>
      <c r="BE2306">
        <v>0.01</v>
      </c>
      <c r="BF2306">
        <v>0.04</v>
      </c>
      <c r="BG2306">
        <v>86</v>
      </c>
      <c r="BH2306">
        <v>0.02</v>
      </c>
      <c r="BI2306">
        <v>15.94</v>
      </c>
      <c r="BJ2306">
        <v>2</v>
      </c>
      <c r="BK2306">
        <v>2</v>
      </c>
      <c r="BL2306">
        <v>-2.33</v>
      </c>
      <c r="BM2306">
        <v>-0.84</v>
      </c>
      <c r="BN2306">
        <v>-0.81</v>
      </c>
      <c r="BO2306">
        <v>0.45</v>
      </c>
      <c r="BP2306">
        <v>-0.19</v>
      </c>
      <c r="BQ2306">
        <v>-5.19</v>
      </c>
      <c r="BR2306">
        <v>2.0099999999999998</v>
      </c>
      <c r="BS2306">
        <v>6.51</v>
      </c>
      <c r="BT2306">
        <v>-0.91</v>
      </c>
      <c r="BU2306">
        <v>-0.24</v>
      </c>
      <c r="BV2306">
        <v>0.3</v>
      </c>
      <c r="BW2306">
        <v>-1.72</v>
      </c>
      <c r="BX2306">
        <v>-2.74</v>
      </c>
      <c r="BY2306">
        <v>-1.22</v>
      </c>
      <c r="BZ2306">
        <v>-0.22</v>
      </c>
      <c r="CA2306">
        <v>1.78</v>
      </c>
      <c r="CB2306">
        <v>0.28000000000000003</v>
      </c>
      <c r="CC2306">
        <v>3.96</v>
      </c>
      <c r="CD2306">
        <v>-0.95</v>
      </c>
      <c r="CE2306">
        <v>0.25</v>
      </c>
      <c r="CF2306">
        <v>-2.19</v>
      </c>
      <c r="CG2306">
        <v>0</v>
      </c>
      <c r="CH2306">
        <v>-0.38</v>
      </c>
      <c r="CI2306">
        <v>0</v>
      </c>
      <c r="CJ2306">
        <v>-25.5</v>
      </c>
      <c r="CK2306">
        <v>88</v>
      </c>
      <c r="CL2306">
        <v>-0.78</v>
      </c>
      <c r="CM2306">
        <v>85</v>
      </c>
      <c r="CN2306">
        <v>-0.12</v>
      </c>
      <c r="CO2306">
        <v>84</v>
      </c>
      <c r="CP2306">
        <v>-42.5</v>
      </c>
      <c r="CQ2306">
        <v>85</v>
      </c>
      <c r="CR2306">
        <v>0</v>
      </c>
      <c r="CS2306">
        <v>0</v>
      </c>
      <c r="CT2306">
        <v>-65.099999999999994</v>
      </c>
      <c r="CU2306">
        <v>85</v>
      </c>
      <c r="CV2306">
        <v>-0.32</v>
      </c>
      <c r="CW2306">
        <v>43</v>
      </c>
      <c r="CX2306" t="s">
        <v>8108</v>
      </c>
    </row>
    <row r="2307" spans="1:102" x14ac:dyDescent="0.3">
      <c r="A2307" t="str">
        <f>HYPERLINK("https://webapp.icbf.com/v2/app/bull-search/view/1130792328","S2120")</f>
        <v>S2120</v>
      </c>
      <c r="B2307" t="s">
        <v>5837</v>
      </c>
      <c r="C2307" t="s">
        <v>5838</v>
      </c>
      <c r="D2307" s="1">
        <v>40857</v>
      </c>
      <c r="E2307" t="s">
        <v>92</v>
      </c>
      <c r="F2307">
        <v>100</v>
      </c>
      <c r="G2307" t="s">
        <v>109</v>
      </c>
      <c r="H2307">
        <v>48.87</v>
      </c>
      <c r="I2307">
        <v>76</v>
      </c>
      <c r="J2307">
        <v>109.58</v>
      </c>
      <c r="K2307">
        <v>92</v>
      </c>
      <c r="L2307">
        <v>-65.87</v>
      </c>
      <c r="M2307">
        <v>83</v>
      </c>
      <c r="N2307">
        <v>23.97</v>
      </c>
      <c r="O2307">
        <v>57</v>
      </c>
      <c r="P2307">
        <v>-12.73</v>
      </c>
      <c r="Q2307">
        <v>45</v>
      </c>
      <c r="R2307">
        <v>5.81</v>
      </c>
      <c r="S2307">
        <v>72</v>
      </c>
      <c r="T2307">
        <v>-9.48</v>
      </c>
      <c r="U2307">
        <v>43</v>
      </c>
      <c r="V2307">
        <v>-2.41</v>
      </c>
      <c r="W2307">
        <v>58</v>
      </c>
      <c r="X2307" t="s">
        <v>94</v>
      </c>
      <c r="Y2307" t="s">
        <v>367</v>
      </c>
      <c r="Z2307" t="s">
        <v>96</v>
      </c>
      <c r="AA2307" t="s">
        <v>5415</v>
      </c>
      <c r="AB2307" t="s">
        <v>5839</v>
      </c>
      <c r="AC2307">
        <v>0</v>
      </c>
      <c r="AD2307">
        <v>0</v>
      </c>
      <c r="AE2307">
        <v>92</v>
      </c>
      <c r="AF2307">
        <v>506.97</v>
      </c>
      <c r="AG2307">
        <v>20.399999999999999</v>
      </c>
      <c r="AH2307">
        <v>19.18</v>
      </c>
      <c r="AI2307">
        <v>0.01</v>
      </c>
      <c r="AJ2307">
        <v>0.03</v>
      </c>
      <c r="AK2307">
        <v>83</v>
      </c>
      <c r="AL2307">
        <v>0</v>
      </c>
      <c r="AM2307">
        <v>0</v>
      </c>
      <c r="AN2307">
        <v>5.39</v>
      </c>
      <c r="AO2307">
        <v>0.16</v>
      </c>
      <c r="AP2307">
        <v>1</v>
      </c>
      <c r="AQ2307">
        <v>0</v>
      </c>
      <c r="AR2307">
        <v>9.1300000000000008</v>
      </c>
      <c r="AS2307">
        <v>57</v>
      </c>
      <c r="AT2307">
        <v>2.78</v>
      </c>
      <c r="AU2307">
        <v>89</v>
      </c>
      <c r="AV2307">
        <v>-3.15</v>
      </c>
      <c r="AW2307">
        <v>46</v>
      </c>
      <c r="AX2307">
        <v>0.12</v>
      </c>
      <c r="AY2307">
        <v>45</v>
      </c>
      <c r="AZ2307">
        <v>6.34</v>
      </c>
      <c r="BA2307">
        <v>43</v>
      </c>
      <c r="BB2307">
        <v>4.97</v>
      </c>
      <c r="BC2307">
        <v>42</v>
      </c>
      <c r="BD2307">
        <v>-0.01</v>
      </c>
      <c r="BE2307">
        <v>-0.03</v>
      </c>
      <c r="BF2307">
        <v>-0.06</v>
      </c>
      <c r="BG2307">
        <v>90</v>
      </c>
      <c r="BH2307">
        <v>-0.2</v>
      </c>
      <c r="BI2307">
        <v>-15.35</v>
      </c>
      <c r="BJ2307">
        <v>0</v>
      </c>
      <c r="BK2307">
        <v>0</v>
      </c>
      <c r="BL2307">
        <v>1.92</v>
      </c>
      <c r="BM2307">
        <v>-1.45</v>
      </c>
      <c r="BN2307">
        <v>0.95</v>
      </c>
      <c r="BO2307">
        <v>2.02</v>
      </c>
      <c r="BP2307">
        <v>0.23</v>
      </c>
      <c r="BQ2307">
        <v>0.25</v>
      </c>
      <c r="BR2307">
        <v>-0.03</v>
      </c>
      <c r="BS2307">
        <v>3.62</v>
      </c>
      <c r="BT2307">
        <v>0.8</v>
      </c>
      <c r="BU2307">
        <v>1.42</v>
      </c>
      <c r="BV2307">
        <v>2.83</v>
      </c>
      <c r="BW2307">
        <v>3.46</v>
      </c>
      <c r="BX2307">
        <v>1.18</v>
      </c>
      <c r="BY2307">
        <v>0.56000000000000005</v>
      </c>
      <c r="BZ2307">
        <v>-1.58</v>
      </c>
      <c r="CA2307">
        <v>2.61</v>
      </c>
      <c r="CB2307">
        <v>2.31</v>
      </c>
      <c r="CC2307">
        <v>2.79</v>
      </c>
      <c r="CD2307">
        <v>-1.68</v>
      </c>
      <c r="CE2307">
        <v>0.62</v>
      </c>
      <c r="CF2307">
        <v>1.3</v>
      </c>
      <c r="CG2307">
        <v>0</v>
      </c>
      <c r="CH2307">
        <v>1.1100000000000001</v>
      </c>
      <c r="CI2307">
        <v>0</v>
      </c>
      <c r="CJ2307">
        <v>-4.7</v>
      </c>
      <c r="CK2307">
        <v>46</v>
      </c>
      <c r="CL2307">
        <v>-1.51</v>
      </c>
      <c r="CM2307">
        <v>45</v>
      </c>
      <c r="CN2307">
        <v>-0.78</v>
      </c>
      <c r="CO2307">
        <v>45</v>
      </c>
      <c r="CP2307">
        <v>1.4</v>
      </c>
      <c r="CQ2307">
        <v>44</v>
      </c>
      <c r="CR2307">
        <v>0</v>
      </c>
      <c r="CS2307">
        <v>0</v>
      </c>
      <c r="CT2307">
        <v>26.6</v>
      </c>
      <c r="CU2307">
        <v>43</v>
      </c>
      <c r="CV2307">
        <v>0.17</v>
      </c>
      <c r="CW2307">
        <v>35</v>
      </c>
      <c r="CX2307" t="s">
        <v>1962</v>
      </c>
    </row>
    <row r="2308" spans="1:102" x14ac:dyDescent="0.3">
      <c r="A2308" t="str">
        <f>HYPERLINK("https://webapp.icbf.com/v2/app/bull-search/view/1121669541","S1667")</f>
        <v>S1667</v>
      </c>
      <c r="B2308" t="s">
        <v>13317</v>
      </c>
      <c r="C2308" t="s">
        <v>13318</v>
      </c>
      <c r="D2308" s="1">
        <v>40996</v>
      </c>
      <c r="E2308" t="s">
        <v>92</v>
      </c>
      <c r="F2308">
        <v>100</v>
      </c>
      <c r="G2308" t="s">
        <v>109</v>
      </c>
      <c r="H2308">
        <v>48.85</v>
      </c>
      <c r="I2308">
        <v>77</v>
      </c>
      <c r="J2308">
        <v>53.76</v>
      </c>
      <c r="K2308">
        <v>93</v>
      </c>
      <c r="L2308">
        <v>-12.39</v>
      </c>
      <c r="M2308">
        <v>85</v>
      </c>
      <c r="N2308">
        <v>15.86</v>
      </c>
      <c r="O2308">
        <v>57</v>
      </c>
      <c r="P2308">
        <v>-9.36</v>
      </c>
      <c r="Q2308">
        <v>52</v>
      </c>
      <c r="R2308">
        <v>16.739999999999998</v>
      </c>
      <c r="S2308">
        <v>72</v>
      </c>
      <c r="T2308">
        <v>-10.59</v>
      </c>
      <c r="U2308">
        <v>40</v>
      </c>
      <c r="V2308">
        <v>-5.17</v>
      </c>
      <c r="W2308">
        <v>55</v>
      </c>
      <c r="X2308" t="s">
        <v>234</v>
      </c>
      <c r="Y2308" t="s">
        <v>362</v>
      </c>
      <c r="Z2308" t="s">
        <v>96</v>
      </c>
      <c r="AA2308" t="s">
        <v>13319</v>
      </c>
      <c r="AB2308" t="s">
        <v>9263</v>
      </c>
      <c r="AC2308">
        <v>0</v>
      </c>
      <c r="AD2308">
        <v>0</v>
      </c>
      <c r="AE2308">
        <v>93</v>
      </c>
      <c r="AF2308">
        <v>283.69</v>
      </c>
      <c r="AG2308">
        <v>8.75</v>
      </c>
      <c r="AH2308">
        <v>10.39</v>
      </c>
      <c r="AI2308">
        <v>-0.04</v>
      </c>
      <c r="AJ2308">
        <v>0.01</v>
      </c>
      <c r="AK2308">
        <v>85</v>
      </c>
      <c r="AL2308">
        <v>0</v>
      </c>
      <c r="AM2308">
        <v>0</v>
      </c>
      <c r="AN2308">
        <v>0.52</v>
      </c>
      <c r="AO2308">
        <v>-0.47</v>
      </c>
      <c r="AP2308">
        <v>3</v>
      </c>
      <c r="AQ2308">
        <v>0</v>
      </c>
      <c r="AR2308">
        <v>9.9</v>
      </c>
      <c r="AS2308">
        <v>53</v>
      </c>
      <c r="AT2308">
        <v>3.23</v>
      </c>
      <c r="AU2308">
        <v>91</v>
      </c>
      <c r="AV2308">
        <v>-3.19</v>
      </c>
      <c r="AW2308">
        <v>49</v>
      </c>
      <c r="AX2308">
        <v>0.35</v>
      </c>
      <c r="AY2308">
        <v>44</v>
      </c>
      <c r="AZ2308">
        <v>6.59</v>
      </c>
      <c r="BA2308">
        <v>36</v>
      </c>
      <c r="BB2308">
        <v>5.2</v>
      </c>
      <c r="BC2308">
        <v>36</v>
      </c>
      <c r="BD2308">
        <v>-0.03</v>
      </c>
      <c r="BE2308">
        <v>-0.05</v>
      </c>
      <c r="BF2308">
        <v>-0.24</v>
      </c>
      <c r="BG2308">
        <v>92</v>
      </c>
      <c r="BH2308">
        <v>-0.28999999999999998</v>
      </c>
      <c r="BI2308">
        <v>-16.87</v>
      </c>
      <c r="BJ2308">
        <v>0</v>
      </c>
      <c r="BK2308">
        <v>0</v>
      </c>
      <c r="BL2308">
        <v>2.87</v>
      </c>
      <c r="BM2308">
        <v>-2.13</v>
      </c>
      <c r="BN2308">
        <v>-0.56999999999999995</v>
      </c>
      <c r="BO2308">
        <v>1.18</v>
      </c>
      <c r="BP2308">
        <v>-2.02</v>
      </c>
      <c r="BQ2308">
        <v>0.55000000000000004</v>
      </c>
      <c r="BR2308">
        <v>-0.21</v>
      </c>
      <c r="BS2308">
        <v>0.67</v>
      </c>
      <c r="BT2308">
        <v>1.21</v>
      </c>
      <c r="BU2308">
        <v>4.5599999999999996</v>
      </c>
      <c r="BV2308">
        <v>3.62</v>
      </c>
      <c r="BW2308">
        <v>3.68</v>
      </c>
      <c r="BX2308">
        <v>4.9800000000000004</v>
      </c>
      <c r="BY2308">
        <v>2.74</v>
      </c>
      <c r="BZ2308">
        <v>-0.97</v>
      </c>
      <c r="CA2308">
        <v>3.13</v>
      </c>
      <c r="CB2308">
        <v>3.31</v>
      </c>
      <c r="CC2308">
        <v>0.44</v>
      </c>
      <c r="CD2308">
        <v>-0.95</v>
      </c>
      <c r="CE2308">
        <v>0.82</v>
      </c>
      <c r="CF2308">
        <v>0.83</v>
      </c>
      <c r="CG2308">
        <v>0</v>
      </c>
      <c r="CH2308">
        <v>2.86</v>
      </c>
      <c r="CI2308">
        <v>0</v>
      </c>
      <c r="CJ2308">
        <v>-3.3</v>
      </c>
      <c r="CK2308">
        <v>54</v>
      </c>
      <c r="CL2308">
        <v>-1.6</v>
      </c>
      <c r="CM2308">
        <v>52</v>
      </c>
      <c r="CN2308">
        <v>-0.9</v>
      </c>
      <c r="CO2308">
        <v>51</v>
      </c>
      <c r="CP2308">
        <v>7.8</v>
      </c>
      <c r="CQ2308">
        <v>42</v>
      </c>
      <c r="CR2308">
        <v>0</v>
      </c>
      <c r="CS2308">
        <v>0</v>
      </c>
      <c r="CT2308">
        <v>28.1</v>
      </c>
      <c r="CU2308">
        <v>40</v>
      </c>
      <c r="CV2308">
        <v>0.3</v>
      </c>
      <c r="CW2308">
        <v>36</v>
      </c>
      <c r="CX2308" t="s">
        <v>2220</v>
      </c>
    </row>
    <row r="2309" spans="1:102" x14ac:dyDescent="0.3">
      <c r="A2309" t="str">
        <f>HYPERLINK("https://webapp.icbf.com/v2/app/bull-search/view/77860222","CDN")</f>
        <v>CDN</v>
      </c>
      <c r="B2309" t="s">
        <v>741</v>
      </c>
      <c r="C2309" t="s">
        <v>742</v>
      </c>
      <c r="D2309" s="1">
        <v>34645</v>
      </c>
      <c r="E2309" t="s">
        <v>92</v>
      </c>
      <c r="F2309">
        <v>100</v>
      </c>
      <c r="G2309" t="s">
        <v>93</v>
      </c>
      <c r="H2309">
        <v>48.77</v>
      </c>
      <c r="I2309">
        <v>81</v>
      </c>
      <c r="J2309">
        <v>-12.22</v>
      </c>
      <c r="K2309">
        <v>95</v>
      </c>
      <c r="L2309">
        <v>49.15</v>
      </c>
      <c r="M2309">
        <v>71</v>
      </c>
      <c r="N2309">
        <v>4.3899999999999997</v>
      </c>
      <c r="O2309">
        <v>71</v>
      </c>
      <c r="P2309">
        <v>-14.52</v>
      </c>
      <c r="Q2309">
        <v>86</v>
      </c>
      <c r="R2309">
        <v>2.94</v>
      </c>
      <c r="S2309">
        <v>73</v>
      </c>
      <c r="T2309">
        <v>19.670000000000002</v>
      </c>
      <c r="U2309">
        <v>90</v>
      </c>
      <c r="V2309">
        <v>-0.64</v>
      </c>
      <c r="W2309">
        <v>43</v>
      </c>
      <c r="X2309" t="s">
        <v>94</v>
      </c>
      <c r="Y2309" t="s">
        <v>95</v>
      </c>
      <c r="Z2309" t="s">
        <v>96</v>
      </c>
      <c r="AA2309" t="s">
        <v>743</v>
      </c>
      <c r="AB2309" t="s">
        <v>744</v>
      </c>
      <c r="AC2309">
        <v>106</v>
      </c>
      <c r="AD2309">
        <v>81</v>
      </c>
      <c r="AE2309">
        <v>95</v>
      </c>
      <c r="AF2309">
        <v>-45.48</v>
      </c>
      <c r="AG2309">
        <v>1.43</v>
      </c>
      <c r="AH2309">
        <v>-3.28</v>
      </c>
      <c r="AI2309">
        <v>0.05</v>
      </c>
      <c r="AJ2309">
        <v>-0.03</v>
      </c>
      <c r="AK2309">
        <v>71</v>
      </c>
      <c r="AL2309">
        <v>124</v>
      </c>
      <c r="AM2309">
        <v>89</v>
      </c>
      <c r="AN2309">
        <v>-1.1100000000000001</v>
      </c>
      <c r="AO2309">
        <v>2.83</v>
      </c>
      <c r="AP2309">
        <v>19</v>
      </c>
      <c r="AQ2309">
        <v>0</v>
      </c>
      <c r="AR2309">
        <v>7.29</v>
      </c>
      <c r="AS2309">
        <v>42</v>
      </c>
      <c r="AT2309">
        <v>3.22</v>
      </c>
      <c r="AU2309">
        <v>70</v>
      </c>
      <c r="AV2309">
        <v>-0.04</v>
      </c>
      <c r="AW2309">
        <v>78</v>
      </c>
      <c r="AX2309">
        <v>0.2</v>
      </c>
      <c r="AY2309">
        <v>82</v>
      </c>
      <c r="AZ2309">
        <v>5.23</v>
      </c>
      <c r="BA2309">
        <v>44</v>
      </c>
      <c r="BB2309">
        <v>4.37</v>
      </c>
      <c r="BC2309">
        <v>65</v>
      </c>
      <c r="BD2309">
        <v>-0.01</v>
      </c>
      <c r="BE2309">
        <v>0.01</v>
      </c>
      <c r="BF2309">
        <v>-7.0000000000000007E-2</v>
      </c>
      <c r="BG2309">
        <v>88</v>
      </c>
      <c r="BH2309">
        <v>0.08</v>
      </c>
      <c r="BI2309">
        <v>11.32</v>
      </c>
      <c r="BJ2309">
        <v>16</v>
      </c>
      <c r="BK2309">
        <v>12</v>
      </c>
      <c r="BL2309">
        <v>0.08</v>
      </c>
      <c r="BM2309">
        <v>-0.83</v>
      </c>
      <c r="BN2309">
        <v>-1.41</v>
      </c>
      <c r="BO2309">
        <v>-0.6</v>
      </c>
      <c r="BP2309">
        <v>-0.46</v>
      </c>
      <c r="BQ2309">
        <v>-1.98</v>
      </c>
      <c r="BR2309">
        <v>-0.08</v>
      </c>
      <c r="BS2309">
        <v>0.62</v>
      </c>
      <c r="BT2309">
        <v>0.35</v>
      </c>
      <c r="BU2309">
        <v>1.72</v>
      </c>
      <c r="BV2309">
        <v>-0.99</v>
      </c>
      <c r="BW2309">
        <v>-0.65</v>
      </c>
      <c r="BX2309">
        <v>2.21</v>
      </c>
      <c r="BY2309">
        <v>-1.2</v>
      </c>
      <c r="BZ2309">
        <v>-0.73</v>
      </c>
      <c r="CA2309">
        <v>-0.56000000000000005</v>
      </c>
      <c r="CB2309">
        <v>-0.95</v>
      </c>
      <c r="CC2309">
        <v>0.14000000000000001</v>
      </c>
      <c r="CD2309">
        <v>0.24</v>
      </c>
      <c r="CE2309">
        <v>-1.01</v>
      </c>
      <c r="CF2309">
        <v>-0.78</v>
      </c>
      <c r="CG2309">
        <v>0</v>
      </c>
      <c r="CH2309">
        <v>-0.45</v>
      </c>
      <c r="CI2309">
        <v>0</v>
      </c>
      <c r="CJ2309">
        <v>-5.4</v>
      </c>
      <c r="CK2309">
        <v>87</v>
      </c>
      <c r="CL2309">
        <v>-0.7</v>
      </c>
      <c r="CM2309">
        <v>85</v>
      </c>
      <c r="CN2309">
        <v>-0.17</v>
      </c>
      <c r="CO2309">
        <v>83</v>
      </c>
      <c r="CP2309">
        <v>-12.2</v>
      </c>
      <c r="CQ2309">
        <v>89</v>
      </c>
      <c r="CR2309">
        <v>0</v>
      </c>
      <c r="CS2309">
        <v>0</v>
      </c>
      <c r="CT2309">
        <v>-12.8</v>
      </c>
      <c r="CU2309">
        <v>90</v>
      </c>
      <c r="CV2309">
        <v>0.11</v>
      </c>
      <c r="CW2309">
        <v>25</v>
      </c>
      <c r="CX2309" t="s">
        <v>111</v>
      </c>
    </row>
    <row r="2310" spans="1:102" x14ac:dyDescent="0.3">
      <c r="A2310" t="str">
        <f>HYPERLINK("https://webapp.icbf.com/v2/app/bull-search/view/68503648","TMM")</f>
        <v>TMM</v>
      </c>
      <c r="B2310" t="s">
        <v>144</v>
      </c>
      <c r="C2310" t="s">
        <v>10496</v>
      </c>
      <c r="D2310" s="1">
        <v>32779</v>
      </c>
      <c r="E2310" t="s">
        <v>146</v>
      </c>
      <c r="F2310">
        <v>0</v>
      </c>
      <c r="G2310" t="s">
        <v>93</v>
      </c>
      <c r="H2310">
        <v>48.77</v>
      </c>
      <c r="I2310">
        <v>85</v>
      </c>
      <c r="J2310">
        <v>-67.790000000000006</v>
      </c>
      <c r="K2310">
        <v>97</v>
      </c>
      <c r="L2310">
        <v>93.29</v>
      </c>
      <c r="M2310">
        <v>80</v>
      </c>
      <c r="N2310">
        <v>19.89</v>
      </c>
      <c r="O2310">
        <v>77</v>
      </c>
      <c r="P2310">
        <v>9.52</v>
      </c>
      <c r="Q2310">
        <v>93</v>
      </c>
      <c r="R2310">
        <v>-9.7899999999999991</v>
      </c>
      <c r="S2310">
        <v>74</v>
      </c>
      <c r="T2310">
        <v>16.93</v>
      </c>
      <c r="U2310">
        <v>83</v>
      </c>
      <c r="V2310">
        <v>-13.28</v>
      </c>
      <c r="W2310">
        <v>42</v>
      </c>
      <c r="X2310" t="s">
        <v>94</v>
      </c>
      <c r="Y2310" t="s">
        <v>95</v>
      </c>
      <c r="Z2310" t="s">
        <v>96</v>
      </c>
      <c r="AA2310" t="s">
        <v>10497</v>
      </c>
      <c r="AB2310" t="s">
        <v>10498</v>
      </c>
      <c r="AC2310">
        <v>173</v>
      </c>
      <c r="AD2310">
        <v>82</v>
      </c>
      <c r="AE2310">
        <v>97</v>
      </c>
      <c r="AF2310">
        <v>-354.66</v>
      </c>
      <c r="AG2310">
        <v>-15.23</v>
      </c>
      <c r="AH2310">
        <v>-11.57</v>
      </c>
      <c r="AI2310">
        <v>-0.02</v>
      </c>
      <c r="AJ2310">
        <v>0.01</v>
      </c>
      <c r="AK2310">
        <v>80</v>
      </c>
      <c r="AL2310">
        <v>373</v>
      </c>
      <c r="AM2310">
        <v>172</v>
      </c>
      <c r="AN2310">
        <v>-6.6</v>
      </c>
      <c r="AO2310">
        <v>0.82</v>
      </c>
      <c r="AP2310">
        <v>8</v>
      </c>
      <c r="AQ2310">
        <v>0</v>
      </c>
      <c r="AR2310">
        <v>6.17</v>
      </c>
      <c r="AS2310">
        <v>43</v>
      </c>
      <c r="AT2310">
        <v>2.44</v>
      </c>
      <c r="AU2310">
        <v>73</v>
      </c>
      <c r="AV2310">
        <v>-1.0900000000000001</v>
      </c>
      <c r="AW2310">
        <v>88</v>
      </c>
      <c r="AX2310">
        <v>0.57999999999999996</v>
      </c>
      <c r="AY2310">
        <v>88</v>
      </c>
      <c r="AZ2310">
        <v>5.96</v>
      </c>
      <c r="BA2310">
        <v>43</v>
      </c>
      <c r="BB2310">
        <v>4.3499999999999996</v>
      </c>
      <c r="BC2310">
        <v>71</v>
      </c>
      <c r="BD2310">
        <v>-0.03</v>
      </c>
      <c r="BE2310">
        <v>0.05</v>
      </c>
      <c r="BF2310">
        <v>0.18</v>
      </c>
      <c r="BG2310">
        <v>94</v>
      </c>
      <c r="BH2310">
        <v>-0.31</v>
      </c>
      <c r="BI2310">
        <v>6.97</v>
      </c>
      <c r="BJ2310">
        <v>0</v>
      </c>
      <c r="BK2310">
        <v>0</v>
      </c>
      <c r="BL2310">
        <v>-0.83</v>
      </c>
      <c r="BM2310">
        <v>2.19</v>
      </c>
      <c r="BN2310">
        <v>-0.73</v>
      </c>
      <c r="BO2310">
        <v>-1.79</v>
      </c>
      <c r="BP2310">
        <v>1.75</v>
      </c>
      <c r="BQ2310">
        <v>0.49</v>
      </c>
      <c r="BR2310">
        <v>-0.12</v>
      </c>
      <c r="BS2310">
        <v>0.04</v>
      </c>
      <c r="BT2310">
        <v>-0.47</v>
      </c>
      <c r="BU2310">
        <v>-1.96</v>
      </c>
      <c r="BV2310">
        <v>-2.77</v>
      </c>
      <c r="BW2310">
        <v>-1.92</v>
      </c>
      <c r="BX2310">
        <v>-1.33</v>
      </c>
      <c r="BY2310">
        <v>-1.04</v>
      </c>
      <c r="BZ2310">
        <v>-1.33</v>
      </c>
      <c r="CA2310">
        <v>-1.89</v>
      </c>
      <c r="CB2310">
        <v>-2.13</v>
      </c>
      <c r="CC2310">
        <v>-0.65</v>
      </c>
      <c r="CD2310">
        <v>2.06</v>
      </c>
      <c r="CE2310">
        <v>-1.7</v>
      </c>
      <c r="CF2310">
        <v>-0.39</v>
      </c>
      <c r="CG2310">
        <v>0</v>
      </c>
      <c r="CH2310">
        <v>-0.89</v>
      </c>
      <c r="CI2310">
        <v>0</v>
      </c>
      <c r="CJ2310">
        <v>4.0999999999999996</v>
      </c>
      <c r="CK2310">
        <v>93</v>
      </c>
      <c r="CL2310">
        <v>0.34</v>
      </c>
      <c r="CM2310">
        <v>92</v>
      </c>
      <c r="CN2310">
        <v>-0.06</v>
      </c>
      <c r="CO2310">
        <v>91</v>
      </c>
      <c r="CP2310">
        <v>-2.2999999999999998</v>
      </c>
      <c r="CQ2310">
        <v>93</v>
      </c>
      <c r="CR2310">
        <v>0</v>
      </c>
      <c r="CS2310">
        <v>0</v>
      </c>
      <c r="CT2310">
        <v>-9.1</v>
      </c>
      <c r="CU2310">
        <v>83</v>
      </c>
      <c r="CV2310">
        <v>-0.1</v>
      </c>
      <c r="CW2310">
        <v>27</v>
      </c>
      <c r="CX2310" t="s">
        <v>3232</v>
      </c>
    </row>
    <row r="2311" spans="1:102" x14ac:dyDescent="0.3">
      <c r="A2311" t="str">
        <f>HYPERLINK("https://webapp.icbf.com/v2/app/bull-search/view/77854657","OYE")</f>
        <v>OYE</v>
      </c>
      <c r="B2311" t="s">
        <v>15565</v>
      </c>
      <c r="C2311" t="s">
        <v>4480</v>
      </c>
      <c r="D2311" s="1">
        <v>33828</v>
      </c>
      <c r="E2311" t="s">
        <v>92</v>
      </c>
      <c r="F2311">
        <v>66</v>
      </c>
      <c r="G2311" t="s">
        <v>93</v>
      </c>
      <c r="H2311">
        <v>48.77</v>
      </c>
      <c r="I2311">
        <v>96</v>
      </c>
      <c r="J2311">
        <v>16.36</v>
      </c>
      <c r="K2311">
        <v>99</v>
      </c>
      <c r="L2311">
        <v>21.91</v>
      </c>
      <c r="M2311">
        <v>94</v>
      </c>
      <c r="N2311">
        <v>12.11</v>
      </c>
      <c r="O2311">
        <v>96</v>
      </c>
      <c r="P2311">
        <v>-21.01</v>
      </c>
      <c r="Q2311">
        <v>98</v>
      </c>
      <c r="R2311">
        <v>-10.220000000000001</v>
      </c>
      <c r="S2311">
        <v>94</v>
      </c>
      <c r="T2311">
        <v>27.66</v>
      </c>
      <c r="U2311">
        <v>98</v>
      </c>
      <c r="V2311">
        <v>1.96</v>
      </c>
      <c r="W2311">
        <v>94</v>
      </c>
      <c r="X2311" t="s">
        <v>302</v>
      </c>
      <c r="Y2311" t="s">
        <v>95</v>
      </c>
      <c r="Z2311" t="s">
        <v>96</v>
      </c>
      <c r="AA2311" t="s">
        <v>4293</v>
      </c>
      <c r="AB2311" t="s">
        <v>15566</v>
      </c>
      <c r="AC2311">
        <v>1042</v>
      </c>
      <c r="AD2311">
        <v>234</v>
      </c>
      <c r="AE2311">
        <v>99</v>
      </c>
      <c r="AF2311">
        <v>-92.85</v>
      </c>
      <c r="AG2311">
        <v>2.38</v>
      </c>
      <c r="AH2311">
        <v>0.52</v>
      </c>
      <c r="AI2311">
        <v>0.11</v>
      </c>
      <c r="AJ2311">
        <v>7.0000000000000007E-2</v>
      </c>
      <c r="AK2311">
        <v>94</v>
      </c>
      <c r="AL2311">
        <v>1087</v>
      </c>
      <c r="AM2311">
        <v>264</v>
      </c>
      <c r="AN2311">
        <v>-0.23</v>
      </c>
      <c r="AO2311">
        <v>1.53</v>
      </c>
      <c r="AP2311">
        <v>66</v>
      </c>
      <c r="AQ2311">
        <v>1</v>
      </c>
      <c r="AR2311">
        <v>6.53</v>
      </c>
      <c r="AS2311">
        <v>93</v>
      </c>
      <c r="AT2311">
        <v>2.27</v>
      </c>
      <c r="AU2311">
        <v>96</v>
      </c>
      <c r="AV2311">
        <v>-0.76</v>
      </c>
      <c r="AW2311">
        <v>98</v>
      </c>
      <c r="AX2311">
        <v>0.7</v>
      </c>
      <c r="AY2311">
        <v>97</v>
      </c>
      <c r="AZ2311">
        <v>6.03</v>
      </c>
      <c r="BA2311">
        <v>93</v>
      </c>
      <c r="BB2311">
        <v>5.43</v>
      </c>
      <c r="BC2311">
        <v>96</v>
      </c>
      <c r="BD2311">
        <v>0.03</v>
      </c>
      <c r="BE2311">
        <v>0.05</v>
      </c>
      <c r="BF2311">
        <v>0.09</v>
      </c>
      <c r="BG2311">
        <v>98</v>
      </c>
      <c r="BH2311">
        <v>0.08</v>
      </c>
      <c r="BI2311">
        <v>2.93</v>
      </c>
      <c r="BJ2311">
        <v>16</v>
      </c>
      <c r="BK2311">
        <v>8</v>
      </c>
      <c r="BL2311">
        <v>-2.27</v>
      </c>
      <c r="BM2311">
        <v>0.5</v>
      </c>
      <c r="BN2311">
        <v>-1.55</v>
      </c>
      <c r="BO2311">
        <v>-1.55</v>
      </c>
      <c r="BP2311">
        <v>-1.74</v>
      </c>
      <c r="BQ2311">
        <v>-0.87</v>
      </c>
      <c r="BR2311">
        <v>2.61</v>
      </c>
      <c r="BS2311">
        <v>-3.03</v>
      </c>
      <c r="BT2311">
        <v>-4.5599999999999996</v>
      </c>
      <c r="BU2311">
        <v>-1.55</v>
      </c>
      <c r="BV2311">
        <v>-2.98</v>
      </c>
      <c r="BW2311">
        <v>-3.55</v>
      </c>
      <c r="BX2311">
        <v>-4.0599999999999996</v>
      </c>
      <c r="BY2311">
        <v>-2.76</v>
      </c>
      <c r="BZ2311">
        <v>1.7</v>
      </c>
      <c r="CA2311">
        <v>-2.94</v>
      </c>
      <c r="CB2311">
        <v>-2.85</v>
      </c>
      <c r="CC2311">
        <v>-2.54</v>
      </c>
      <c r="CD2311">
        <v>1.49</v>
      </c>
      <c r="CE2311">
        <v>-1.51</v>
      </c>
      <c r="CF2311">
        <v>-1.57</v>
      </c>
      <c r="CG2311">
        <v>0</v>
      </c>
      <c r="CH2311">
        <v>-2.85</v>
      </c>
      <c r="CI2311">
        <v>0</v>
      </c>
      <c r="CJ2311">
        <v>-12.9</v>
      </c>
      <c r="CK2311">
        <v>98</v>
      </c>
      <c r="CL2311">
        <v>-0.33</v>
      </c>
      <c r="CM2311">
        <v>98</v>
      </c>
      <c r="CN2311">
        <v>-0.31</v>
      </c>
      <c r="CO2311">
        <v>98</v>
      </c>
      <c r="CP2311">
        <v>-22.9</v>
      </c>
      <c r="CQ2311">
        <v>99</v>
      </c>
      <c r="CR2311">
        <v>0</v>
      </c>
      <c r="CS2311">
        <v>0</v>
      </c>
      <c r="CT2311">
        <v>-23.6</v>
      </c>
      <c r="CU2311">
        <v>98</v>
      </c>
      <c r="CV2311">
        <v>-0.09</v>
      </c>
      <c r="CW2311">
        <v>46</v>
      </c>
      <c r="CX2311" t="s">
        <v>3200</v>
      </c>
    </row>
    <row r="2312" spans="1:102" x14ac:dyDescent="0.3">
      <c r="A2312" t="str">
        <f>HYPERLINK("https://webapp.icbf.com/v2/app/bull-search/view/108368017","SOX")</f>
        <v>SOX</v>
      </c>
      <c r="B2312" t="s">
        <v>2424</v>
      </c>
      <c r="C2312" t="s">
        <v>2425</v>
      </c>
      <c r="D2312" s="1">
        <v>34449</v>
      </c>
      <c r="E2312" t="s">
        <v>210</v>
      </c>
      <c r="F2312">
        <v>0</v>
      </c>
      <c r="G2312" t="s">
        <v>93</v>
      </c>
      <c r="H2312">
        <v>48.28</v>
      </c>
      <c r="I2312">
        <v>67</v>
      </c>
      <c r="J2312">
        <v>-22.09</v>
      </c>
      <c r="K2312">
        <v>87</v>
      </c>
      <c r="L2312">
        <v>32.659999999999997</v>
      </c>
      <c r="M2312">
        <v>47</v>
      </c>
      <c r="N2312">
        <v>16.91</v>
      </c>
      <c r="O2312">
        <v>61</v>
      </c>
      <c r="P2312">
        <v>-2.41</v>
      </c>
      <c r="Q2312">
        <v>79</v>
      </c>
      <c r="R2312">
        <v>9.64</v>
      </c>
      <c r="S2312">
        <v>51</v>
      </c>
      <c r="T2312">
        <v>10.64</v>
      </c>
      <c r="U2312">
        <v>77</v>
      </c>
      <c r="V2312">
        <v>2.93</v>
      </c>
      <c r="W2312">
        <v>50</v>
      </c>
      <c r="X2312" t="s">
        <v>94</v>
      </c>
      <c r="Y2312" t="s">
        <v>95</v>
      </c>
      <c r="Z2312">
        <v>0</v>
      </c>
      <c r="AA2312" t="s">
        <v>2426</v>
      </c>
      <c r="AB2312" t="s">
        <v>2427</v>
      </c>
      <c r="AC2312">
        <v>34</v>
      </c>
      <c r="AD2312">
        <v>14</v>
      </c>
      <c r="AE2312">
        <v>87</v>
      </c>
      <c r="AF2312">
        <v>-119.16</v>
      </c>
      <c r="AG2312">
        <v>-6.25</v>
      </c>
      <c r="AH2312">
        <v>-3.37</v>
      </c>
      <c r="AI2312">
        <v>-0.03</v>
      </c>
      <c r="AJ2312">
        <v>0.01</v>
      </c>
      <c r="AK2312">
        <v>47</v>
      </c>
      <c r="AL2312">
        <v>34</v>
      </c>
      <c r="AM2312">
        <v>14</v>
      </c>
      <c r="AN2312">
        <v>-2.94</v>
      </c>
      <c r="AO2312">
        <v>-0.35</v>
      </c>
      <c r="AP2312">
        <v>24</v>
      </c>
      <c r="AQ2312">
        <v>3</v>
      </c>
      <c r="AR2312">
        <v>7.23</v>
      </c>
      <c r="AS2312">
        <v>29</v>
      </c>
      <c r="AT2312">
        <v>2.84</v>
      </c>
      <c r="AU2312">
        <v>55</v>
      </c>
      <c r="AV2312">
        <v>-1.52</v>
      </c>
      <c r="AW2312">
        <v>83</v>
      </c>
      <c r="AX2312">
        <v>-0.14000000000000001</v>
      </c>
      <c r="AY2312">
        <v>60</v>
      </c>
      <c r="AZ2312">
        <v>6.72</v>
      </c>
      <c r="BA2312">
        <v>27</v>
      </c>
      <c r="BB2312">
        <v>4.6900000000000004</v>
      </c>
      <c r="BC2312">
        <v>32</v>
      </c>
      <c r="BD2312">
        <v>-7.0000000000000007E-2</v>
      </c>
      <c r="BE2312">
        <v>-0.05</v>
      </c>
      <c r="BF2312">
        <v>-0.01</v>
      </c>
      <c r="BG2312">
        <v>61</v>
      </c>
      <c r="BH2312">
        <v>0.06</v>
      </c>
      <c r="BI2312">
        <v>-2.52</v>
      </c>
      <c r="BJ2312">
        <v>0</v>
      </c>
      <c r="BK2312">
        <v>0</v>
      </c>
      <c r="BL2312">
        <v>-1.6</v>
      </c>
      <c r="BM2312">
        <v>0.46</v>
      </c>
      <c r="BN2312">
        <v>-1.68</v>
      </c>
      <c r="BO2312">
        <v>-1.7</v>
      </c>
      <c r="BP2312">
        <v>1.06</v>
      </c>
      <c r="BQ2312">
        <v>-0.92</v>
      </c>
      <c r="BR2312">
        <v>0.48</v>
      </c>
      <c r="BS2312">
        <v>0.12</v>
      </c>
      <c r="BT2312">
        <v>-0.59</v>
      </c>
      <c r="BU2312">
        <v>-1.06</v>
      </c>
      <c r="BV2312">
        <v>-2.1</v>
      </c>
      <c r="BW2312">
        <v>-1.81</v>
      </c>
      <c r="BX2312">
        <v>-0.82</v>
      </c>
      <c r="BY2312">
        <v>-0.56000000000000005</v>
      </c>
      <c r="BZ2312">
        <v>-1.06</v>
      </c>
      <c r="CA2312">
        <v>-1.41</v>
      </c>
      <c r="CB2312">
        <v>-1.63</v>
      </c>
      <c r="CC2312">
        <v>-0.47</v>
      </c>
      <c r="CD2312">
        <v>1.1299999999999999</v>
      </c>
      <c r="CE2312">
        <v>-1.59</v>
      </c>
      <c r="CF2312">
        <v>-1.81</v>
      </c>
      <c r="CG2312">
        <v>0</v>
      </c>
      <c r="CH2312">
        <v>-0.69</v>
      </c>
      <c r="CI2312">
        <v>0</v>
      </c>
      <c r="CJ2312">
        <v>-1.7</v>
      </c>
      <c r="CK2312">
        <v>81</v>
      </c>
      <c r="CL2312">
        <v>-0.34</v>
      </c>
      <c r="CM2312">
        <v>78</v>
      </c>
      <c r="CN2312">
        <v>-0.33</v>
      </c>
      <c r="CO2312">
        <v>75</v>
      </c>
      <c r="CP2312">
        <v>-2.8</v>
      </c>
      <c r="CQ2312">
        <v>76</v>
      </c>
      <c r="CR2312">
        <v>0</v>
      </c>
      <c r="CS2312">
        <v>0</v>
      </c>
      <c r="CT2312">
        <v>-0.6</v>
      </c>
      <c r="CU2312">
        <v>77</v>
      </c>
      <c r="CV2312">
        <v>-0.05</v>
      </c>
      <c r="CW2312">
        <v>22</v>
      </c>
      <c r="CX2312" t="s">
        <v>2428</v>
      </c>
    </row>
    <row r="2313" spans="1:102" x14ac:dyDescent="0.3">
      <c r="A2313" t="str">
        <f>HYPERLINK("https://webapp.icbf.com/v2/app/bull-search/view/487001860","UDE")</f>
        <v>UDE</v>
      </c>
      <c r="B2313" t="s">
        <v>15069</v>
      </c>
      <c r="C2313" t="s">
        <v>15070</v>
      </c>
      <c r="D2313" s="1">
        <v>38575</v>
      </c>
      <c r="E2313" t="s">
        <v>108</v>
      </c>
      <c r="F2313">
        <v>38</v>
      </c>
      <c r="G2313" t="s">
        <v>93</v>
      </c>
      <c r="H2313">
        <v>48.26</v>
      </c>
      <c r="I2313">
        <v>96</v>
      </c>
      <c r="J2313">
        <v>38.43</v>
      </c>
      <c r="K2313">
        <v>99</v>
      </c>
      <c r="L2313">
        <v>40.270000000000003</v>
      </c>
      <c r="M2313">
        <v>93</v>
      </c>
      <c r="N2313">
        <v>-39.22</v>
      </c>
      <c r="O2313">
        <v>96</v>
      </c>
      <c r="P2313">
        <v>-8.14</v>
      </c>
      <c r="Q2313">
        <v>98</v>
      </c>
      <c r="R2313">
        <v>1.41</v>
      </c>
      <c r="S2313">
        <v>92</v>
      </c>
      <c r="T2313">
        <v>5.83</v>
      </c>
      <c r="U2313">
        <v>97</v>
      </c>
      <c r="V2313">
        <v>9.68</v>
      </c>
      <c r="W2313">
        <v>93</v>
      </c>
      <c r="X2313" t="s">
        <v>276</v>
      </c>
      <c r="Y2313" t="s">
        <v>435</v>
      </c>
      <c r="Z2313" t="s">
        <v>330</v>
      </c>
      <c r="AA2313" t="s">
        <v>1229</v>
      </c>
      <c r="AB2313" t="s">
        <v>144</v>
      </c>
      <c r="AC2313">
        <v>525</v>
      </c>
      <c r="AD2313">
        <v>206</v>
      </c>
      <c r="AE2313">
        <v>99</v>
      </c>
      <c r="AF2313">
        <v>134.05000000000001</v>
      </c>
      <c r="AG2313">
        <v>1.49</v>
      </c>
      <c r="AH2313">
        <v>8.06</v>
      </c>
      <c r="AI2313">
        <v>-0.06</v>
      </c>
      <c r="AJ2313">
        <v>0.06</v>
      </c>
      <c r="AK2313">
        <v>93</v>
      </c>
      <c r="AL2313">
        <v>596</v>
      </c>
      <c r="AM2313">
        <v>245</v>
      </c>
      <c r="AN2313">
        <v>-2.2999999999999998</v>
      </c>
      <c r="AO2313">
        <v>0.91</v>
      </c>
      <c r="AP2313">
        <v>941</v>
      </c>
      <c r="AQ2313">
        <v>13</v>
      </c>
      <c r="AR2313">
        <v>12.71</v>
      </c>
      <c r="AS2313">
        <v>88</v>
      </c>
      <c r="AT2313">
        <v>5.09</v>
      </c>
      <c r="AU2313">
        <v>97</v>
      </c>
      <c r="AV2313">
        <v>0.55000000000000004</v>
      </c>
      <c r="AW2313">
        <v>99</v>
      </c>
      <c r="AX2313">
        <v>0.48</v>
      </c>
      <c r="AY2313">
        <v>96</v>
      </c>
      <c r="AZ2313">
        <v>5.21</v>
      </c>
      <c r="BA2313">
        <v>87</v>
      </c>
      <c r="BB2313">
        <v>4.3</v>
      </c>
      <c r="BC2313">
        <v>90</v>
      </c>
      <c r="BD2313">
        <v>-0.05</v>
      </c>
      <c r="BE2313">
        <v>-0.01</v>
      </c>
      <c r="BF2313">
        <v>7.0000000000000007E-2</v>
      </c>
      <c r="BG2313">
        <v>97</v>
      </c>
      <c r="BH2313">
        <v>0.15</v>
      </c>
      <c r="BI2313">
        <v>-13.89</v>
      </c>
      <c r="BJ2313">
        <v>7</v>
      </c>
      <c r="BK2313">
        <v>6</v>
      </c>
      <c r="BL2313">
        <v>-1.1499999999999999</v>
      </c>
      <c r="BM2313">
        <v>0</v>
      </c>
      <c r="BN2313">
        <v>-1.49</v>
      </c>
      <c r="BO2313">
        <v>-1.51</v>
      </c>
      <c r="BP2313">
        <v>0.87</v>
      </c>
      <c r="BQ2313">
        <v>-0.41</v>
      </c>
      <c r="BR2313">
        <v>0.56999999999999995</v>
      </c>
      <c r="BS2313">
        <v>-0.34</v>
      </c>
      <c r="BT2313">
        <v>-2.09</v>
      </c>
      <c r="BU2313">
        <v>-1.46</v>
      </c>
      <c r="BV2313">
        <v>-2.2599999999999998</v>
      </c>
      <c r="BW2313">
        <v>-2.4500000000000002</v>
      </c>
      <c r="BX2313">
        <v>-0.68</v>
      </c>
      <c r="BY2313">
        <v>-2.02</v>
      </c>
      <c r="BZ2313">
        <v>0.77</v>
      </c>
      <c r="CA2313">
        <v>-1.57</v>
      </c>
      <c r="CB2313">
        <v>-1.93</v>
      </c>
      <c r="CC2313">
        <v>-0.52</v>
      </c>
      <c r="CD2313">
        <v>0.93</v>
      </c>
      <c r="CE2313">
        <v>-0.98</v>
      </c>
      <c r="CF2313">
        <v>-0.84</v>
      </c>
      <c r="CG2313">
        <v>0</v>
      </c>
      <c r="CH2313">
        <v>-1.95</v>
      </c>
      <c r="CI2313">
        <v>0</v>
      </c>
      <c r="CJ2313">
        <v>-3.7</v>
      </c>
      <c r="CK2313">
        <v>99</v>
      </c>
      <c r="CL2313">
        <v>-0.53</v>
      </c>
      <c r="CM2313">
        <v>98</v>
      </c>
      <c r="CN2313">
        <v>-0.28000000000000003</v>
      </c>
      <c r="CO2313">
        <v>98</v>
      </c>
      <c r="CP2313">
        <v>-5.6</v>
      </c>
      <c r="CQ2313">
        <v>97</v>
      </c>
      <c r="CR2313">
        <v>0</v>
      </c>
      <c r="CS2313">
        <v>0</v>
      </c>
      <c r="CT2313">
        <v>5.9</v>
      </c>
      <c r="CU2313">
        <v>97</v>
      </c>
      <c r="CV2313">
        <v>0.14000000000000001</v>
      </c>
      <c r="CW2313">
        <v>47</v>
      </c>
      <c r="CX2313" t="s">
        <v>792</v>
      </c>
    </row>
    <row r="2314" spans="1:102" x14ac:dyDescent="0.3">
      <c r="A2314" t="str">
        <f>HYPERLINK("https://webapp.icbf.com/v2/app/bull-search/view/833110462","S996")</f>
        <v>S996</v>
      </c>
      <c r="B2314" t="s">
        <v>12734</v>
      </c>
      <c r="C2314" t="s">
        <v>12735</v>
      </c>
      <c r="D2314" s="1">
        <v>39763</v>
      </c>
      <c r="E2314" t="s">
        <v>92</v>
      </c>
      <c r="F2314">
        <v>100</v>
      </c>
      <c r="G2314" t="s">
        <v>109</v>
      </c>
      <c r="H2314">
        <v>48.15</v>
      </c>
      <c r="I2314">
        <v>71</v>
      </c>
      <c r="J2314">
        <v>9.3699999999999992</v>
      </c>
      <c r="K2314">
        <v>82</v>
      </c>
      <c r="L2314">
        <v>28.61</v>
      </c>
      <c r="M2314">
        <v>76</v>
      </c>
      <c r="N2314">
        <v>8.08</v>
      </c>
      <c r="O2314">
        <v>66</v>
      </c>
      <c r="P2314">
        <v>-4.51</v>
      </c>
      <c r="Q2314">
        <v>47</v>
      </c>
      <c r="R2314">
        <v>8.81</v>
      </c>
      <c r="S2314">
        <v>63</v>
      </c>
      <c r="T2314">
        <v>-5.56</v>
      </c>
      <c r="U2314">
        <v>60</v>
      </c>
      <c r="V2314">
        <v>3.35</v>
      </c>
      <c r="W2314">
        <v>26</v>
      </c>
      <c r="X2314" t="s">
        <v>276</v>
      </c>
      <c r="Y2314" t="s">
        <v>303</v>
      </c>
      <c r="Z2314" t="s">
        <v>96</v>
      </c>
      <c r="AA2314" t="s">
        <v>2358</v>
      </c>
      <c r="AB2314" t="s">
        <v>12736</v>
      </c>
      <c r="AC2314">
        <v>0</v>
      </c>
      <c r="AD2314">
        <v>0</v>
      </c>
      <c r="AE2314">
        <v>82</v>
      </c>
      <c r="AF2314">
        <v>274.58</v>
      </c>
      <c r="AG2314">
        <v>-1.99</v>
      </c>
      <c r="AH2314">
        <v>6.5</v>
      </c>
      <c r="AI2314">
        <v>-0.2</v>
      </c>
      <c r="AJ2314">
        <v>-0.05</v>
      </c>
      <c r="AK2314">
        <v>76</v>
      </c>
      <c r="AL2314">
        <v>0</v>
      </c>
      <c r="AM2314">
        <v>0</v>
      </c>
      <c r="AN2314">
        <v>-1.7</v>
      </c>
      <c r="AO2314">
        <v>0.57999999999999996</v>
      </c>
      <c r="AP2314">
        <v>14</v>
      </c>
      <c r="AQ2314">
        <v>0</v>
      </c>
      <c r="AR2314">
        <v>8.19</v>
      </c>
      <c r="AS2314">
        <v>50</v>
      </c>
      <c r="AT2314">
        <v>3.94</v>
      </c>
      <c r="AU2314">
        <v>84</v>
      </c>
      <c r="AV2314">
        <v>-2.27</v>
      </c>
      <c r="AW2314">
        <v>75</v>
      </c>
      <c r="AX2314">
        <v>-0.84</v>
      </c>
      <c r="AY2314">
        <v>49</v>
      </c>
      <c r="AZ2314">
        <v>6.26</v>
      </c>
      <c r="BA2314">
        <v>37</v>
      </c>
      <c r="BB2314">
        <v>5.58</v>
      </c>
      <c r="BC2314">
        <v>36</v>
      </c>
      <c r="BD2314">
        <v>-0.04</v>
      </c>
      <c r="BE2314">
        <v>-0.04</v>
      </c>
      <c r="BF2314">
        <v>-0.06</v>
      </c>
      <c r="BG2314">
        <v>86</v>
      </c>
      <c r="BH2314">
        <v>0.15</v>
      </c>
      <c r="BI2314">
        <v>6.55</v>
      </c>
      <c r="BJ2314">
        <v>3</v>
      </c>
      <c r="BK2314">
        <v>3</v>
      </c>
      <c r="BL2314">
        <v>1.17</v>
      </c>
      <c r="BM2314">
        <v>0.4</v>
      </c>
      <c r="BN2314">
        <v>0.49</v>
      </c>
      <c r="BO2314">
        <v>0.44</v>
      </c>
      <c r="BP2314">
        <v>0.4</v>
      </c>
      <c r="BQ2314">
        <v>0.21</v>
      </c>
      <c r="BR2314">
        <v>-1.05</v>
      </c>
      <c r="BS2314">
        <v>0.39</v>
      </c>
      <c r="BT2314">
        <v>0.9</v>
      </c>
      <c r="BU2314">
        <v>2.5499999999999998</v>
      </c>
      <c r="BV2314">
        <v>2.66</v>
      </c>
      <c r="BW2314">
        <v>1.31</v>
      </c>
      <c r="BX2314">
        <v>2.06</v>
      </c>
      <c r="BY2314">
        <v>0.82</v>
      </c>
      <c r="BZ2314">
        <v>-0.12</v>
      </c>
      <c r="CA2314">
        <v>1.63</v>
      </c>
      <c r="CB2314">
        <v>1.79</v>
      </c>
      <c r="CC2314">
        <v>0.5</v>
      </c>
      <c r="CD2314">
        <v>0.77</v>
      </c>
      <c r="CE2314">
        <v>0.86</v>
      </c>
      <c r="CF2314">
        <v>0.72</v>
      </c>
      <c r="CG2314">
        <v>0</v>
      </c>
      <c r="CH2314">
        <v>0.94</v>
      </c>
      <c r="CI2314">
        <v>0</v>
      </c>
      <c r="CJ2314">
        <v>-1.4</v>
      </c>
      <c r="CK2314">
        <v>48</v>
      </c>
      <c r="CL2314">
        <v>-0.89</v>
      </c>
      <c r="CM2314">
        <v>43</v>
      </c>
      <c r="CN2314">
        <v>-0.59</v>
      </c>
      <c r="CO2314">
        <v>35</v>
      </c>
      <c r="CP2314">
        <v>-2</v>
      </c>
      <c r="CQ2314">
        <v>66</v>
      </c>
      <c r="CR2314">
        <v>0</v>
      </c>
      <c r="CS2314">
        <v>0</v>
      </c>
      <c r="CT2314">
        <v>21.3</v>
      </c>
      <c r="CU2314">
        <v>60</v>
      </c>
      <c r="CV2314">
        <v>0.21</v>
      </c>
      <c r="CW2314">
        <v>11</v>
      </c>
      <c r="CX2314" t="s">
        <v>1752</v>
      </c>
    </row>
    <row r="2315" spans="1:102" x14ac:dyDescent="0.3">
      <c r="A2315" t="str">
        <f>HYPERLINK("https://webapp.icbf.com/v2/app/bull-search/view/77858854","CHI")</f>
        <v>CHI</v>
      </c>
      <c r="B2315" t="s">
        <v>1471</v>
      </c>
      <c r="C2315" t="s">
        <v>1472</v>
      </c>
      <c r="D2315" s="1">
        <v>33658</v>
      </c>
      <c r="E2315" t="s">
        <v>92</v>
      </c>
      <c r="F2315">
        <v>100</v>
      </c>
      <c r="G2315" t="s">
        <v>93</v>
      </c>
      <c r="H2315">
        <v>48.03</v>
      </c>
      <c r="I2315">
        <v>72</v>
      </c>
      <c r="J2315">
        <v>-4.6500000000000004</v>
      </c>
      <c r="K2315">
        <v>89</v>
      </c>
      <c r="L2315">
        <v>14.01</v>
      </c>
      <c r="M2315">
        <v>63</v>
      </c>
      <c r="N2315">
        <v>8.82</v>
      </c>
      <c r="O2315">
        <v>61</v>
      </c>
      <c r="P2315">
        <v>8.89</v>
      </c>
      <c r="Q2315">
        <v>83</v>
      </c>
      <c r="R2315">
        <v>2.16</v>
      </c>
      <c r="S2315">
        <v>65</v>
      </c>
      <c r="T2315">
        <v>24.63</v>
      </c>
      <c r="U2315">
        <v>69</v>
      </c>
      <c r="V2315">
        <v>-5.83</v>
      </c>
      <c r="W2315">
        <v>34</v>
      </c>
      <c r="X2315" t="s">
        <v>94</v>
      </c>
      <c r="Y2315" t="s">
        <v>95</v>
      </c>
      <c r="Z2315" t="s">
        <v>96</v>
      </c>
      <c r="AA2315" t="s">
        <v>1473</v>
      </c>
      <c r="AB2315" t="s">
        <v>1474</v>
      </c>
      <c r="AC2315">
        <v>42</v>
      </c>
      <c r="AD2315">
        <v>37</v>
      </c>
      <c r="AE2315">
        <v>89</v>
      </c>
      <c r="AF2315">
        <v>19.27</v>
      </c>
      <c r="AG2315">
        <v>0.04</v>
      </c>
      <c r="AH2315">
        <v>-0.51</v>
      </c>
      <c r="AI2315">
        <v>-0.01</v>
      </c>
      <c r="AJ2315">
        <v>-0.02</v>
      </c>
      <c r="AK2315">
        <v>63</v>
      </c>
      <c r="AL2315">
        <v>81</v>
      </c>
      <c r="AM2315">
        <v>59</v>
      </c>
      <c r="AN2315">
        <v>-0.53</v>
      </c>
      <c r="AO2315">
        <v>0.59</v>
      </c>
      <c r="AP2315">
        <v>39</v>
      </c>
      <c r="AQ2315">
        <v>56</v>
      </c>
      <c r="AR2315">
        <v>7.16</v>
      </c>
      <c r="AS2315">
        <v>32</v>
      </c>
      <c r="AT2315">
        <v>3.11</v>
      </c>
      <c r="AU2315">
        <v>63</v>
      </c>
      <c r="AV2315">
        <v>-1.21</v>
      </c>
      <c r="AW2315">
        <v>68</v>
      </c>
      <c r="AX2315">
        <v>0.99</v>
      </c>
      <c r="AY2315">
        <v>77</v>
      </c>
      <c r="AZ2315">
        <v>6.45</v>
      </c>
      <c r="BA2315">
        <v>32</v>
      </c>
      <c r="BB2315">
        <v>4.91</v>
      </c>
      <c r="BC2315">
        <v>46</v>
      </c>
      <c r="BD2315">
        <v>0.02</v>
      </c>
      <c r="BE2315">
        <v>0.03</v>
      </c>
      <c r="BF2315">
        <v>-0.14000000000000001</v>
      </c>
      <c r="BG2315">
        <v>84</v>
      </c>
      <c r="BH2315">
        <v>-0.06</v>
      </c>
      <c r="BI2315">
        <v>11.86</v>
      </c>
      <c r="BJ2315">
        <v>23</v>
      </c>
      <c r="BK2315">
        <v>18</v>
      </c>
      <c r="BL2315">
        <v>0.06</v>
      </c>
      <c r="BM2315">
        <v>-2.81</v>
      </c>
      <c r="BN2315">
        <v>-0.92</v>
      </c>
      <c r="BO2315">
        <v>0.84</v>
      </c>
      <c r="BP2315">
        <v>0.21</v>
      </c>
      <c r="BQ2315">
        <v>-1.35</v>
      </c>
      <c r="BR2315">
        <v>0.84</v>
      </c>
      <c r="BS2315">
        <v>-0.88</v>
      </c>
      <c r="BT2315">
        <v>-0.25</v>
      </c>
      <c r="BU2315">
        <v>0.15</v>
      </c>
      <c r="BV2315">
        <v>0.1</v>
      </c>
      <c r="BW2315">
        <v>0.54</v>
      </c>
      <c r="BX2315">
        <v>-0.19</v>
      </c>
      <c r="BY2315">
        <v>-0.15</v>
      </c>
      <c r="BZ2315">
        <v>0.54</v>
      </c>
      <c r="CA2315">
        <v>-0.28000000000000003</v>
      </c>
      <c r="CB2315">
        <v>0.15</v>
      </c>
      <c r="CC2315">
        <v>-0.93</v>
      </c>
      <c r="CD2315">
        <v>-1.1299999999999999</v>
      </c>
      <c r="CE2315">
        <v>0.79</v>
      </c>
      <c r="CF2315">
        <v>-0.4</v>
      </c>
      <c r="CG2315">
        <v>0</v>
      </c>
      <c r="CH2315">
        <v>0.43</v>
      </c>
      <c r="CI2315">
        <v>0</v>
      </c>
      <c r="CJ2315">
        <v>2.7</v>
      </c>
      <c r="CK2315">
        <v>85</v>
      </c>
      <c r="CL2315">
        <v>0.38</v>
      </c>
      <c r="CM2315">
        <v>82</v>
      </c>
      <c r="CN2315">
        <v>-0.18</v>
      </c>
      <c r="CO2315">
        <v>80</v>
      </c>
      <c r="CP2315">
        <v>-5.8</v>
      </c>
      <c r="CQ2315">
        <v>76</v>
      </c>
      <c r="CR2315">
        <v>0</v>
      </c>
      <c r="CS2315">
        <v>0</v>
      </c>
      <c r="CT2315">
        <v>-19.5</v>
      </c>
      <c r="CU2315">
        <v>69</v>
      </c>
      <c r="CV2315">
        <v>-0.12</v>
      </c>
      <c r="CW2315">
        <v>24</v>
      </c>
      <c r="CX2315" t="s">
        <v>126</v>
      </c>
    </row>
    <row r="2316" spans="1:102" x14ac:dyDescent="0.3">
      <c r="A2316" t="str">
        <f>HYPERLINK("https://webapp.icbf.com/v2/app/bull-search/view/556716548","LWU")</f>
        <v>LWU</v>
      </c>
      <c r="B2316" t="s">
        <v>12490</v>
      </c>
      <c r="C2316" t="s">
        <v>12491</v>
      </c>
      <c r="D2316" s="1">
        <v>39487</v>
      </c>
      <c r="E2316" t="s">
        <v>92</v>
      </c>
      <c r="F2316">
        <v>100</v>
      </c>
      <c r="G2316" t="s">
        <v>93</v>
      </c>
      <c r="H2316">
        <v>47.87</v>
      </c>
      <c r="I2316">
        <v>88</v>
      </c>
      <c r="J2316">
        <v>33.950000000000003</v>
      </c>
      <c r="K2316">
        <v>97</v>
      </c>
      <c r="L2316">
        <v>-41.72</v>
      </c>
      <c r="M2316">
        <v>81</v>
      </c>
      <c r="N2316">
        <v>40.54</v>
      </c>
      <c r="O2316">
        <v>87</v>
      </c>
      <c r="P2316">
        <v>-18.03</v>
      </c>
      <c r="Q2316">
        <v>92</v>
      </c>
      <c r="R2316">
        <v>5.42</v>
      </c>
      <c r="S2316">
        <v>83</v>
      </c>
      <c r="T2316">
        <v>24.41</v>
      </c>
      <c r="U2316">
        <v>88</v>
      </c>
      <c r="V2316">
        <v>3.3</v>
      </c>
      <c r="W2316">
        <v>83</v>
      </c>
      <c r="X2316" t="s">
        <v>94</v>
      </c>
      <c r="Y2316" t="s">
        <v>1113</v>
      </c>
      <c r="Z2316" t="s">
        <v>96</v>
      </c>
      <c r="AA2316" t="s">
        <v>7828</v>
      </c>
      <c r="AB2316" t="s">
        <v>12492</v>
      </c>
      <c r="AC2316">
        <v>91</v>
      </c>
      <c r="AD2316">
        <v>66</v>
      </c>
      <c r="AE2316">
        <v>97</v>
      </c>
      <c r="AF2316">
        <v>269.39</v>
      </c>
      <c r="AG2316">
        <v>5.7</v>
      </c>
      <c r="AH2316">
        <v>7.88</v>
      </c>
      <c r="AI2316">
        <v>-0.08</v>
      </c>
      <c r="AJ2316">
        <v>-0.02</v>
      </c>
      <c r="AK2316">
        <v>81</v>
      </c>
      <c r="AL2316">
        <v>96</v>
      </c>
      <c r="AM2316">
        <v>69</v>
      </c>
      <c r="AN2316">
        <v>2.81</v>
      </c>
      <c r="AO2316">
        <v>-0.51</v>
      </c>
      <c r="AP2316">
        <v>211</v>
      </c>
      <c r="AQ2316">
        <v>2</v>
      </c>
      <c r="AR2316">
        <v>6.96</v>
      </c>
      <c r="AS2316">
        <v>73</v>
      </c>
      <c r="AT2316">
        <v>2.56</v>
      </c>
      <c r="AU2316">
        <v>89</v>
      </c>
      <c r="AV2316">
        <v>-4.6100000000000003</v>
      </c>
      <c r="AW2316">
        <v>96</v>
      </c>
      <c r="AX2316">
        <v>0.17</v>
      </c>
      <c r="AY2316">
        <v>81</v>
      </c>
      <c r="AZ2316">
        <v>7.21</v>
      </c>
      <c r="BA2316">
        <v>69</v>
      </c>
      <c r="BB2316">
        <v>5.14</v>
      </c>
      <c r="BC2316">
        <v>71</v>
      </c>
      <c r="BD2316">
        <v>-0.04</v>
      </c>
      <c r="BE2316">
        <v>-0.02</v>
      </c>
      <c r="BF2316">
        <v>-0.02</v>
      </c>
      <c r="BG2316">
        <v>90</v>
      </c>
      <c r="BH2316">
        <v>0.04</v>
      </c>
      <c r="BI2316">
        <v>-6.03</v>
      </c>
      <c r="BJ2316">
        <v>24</v>
      </c>
      <c r="BK2316">
        <v>15</v>
      </c>
      <c r="BL2316">
        <v>-0.4</v>
      </c>
      <c r="BM2316">
        <v>-0.17</v>
      </c>
      <c r="BN2316">
        <v>0.13</v>
      </c>
      <c r="BO2316">
        <v>0.28999999999999998</v>
      </c>
      <c r="BP2316">
        <v>-0.52</v>
      </c>
      <c r="BQ2316">
        <v>-1.25</v>
      </c>
      <c r="BR2316">
        <v>1.23</v>
      </c>
      <c r="BS2316">
        <v>-2.1</v>
      </c>
      <c r="BT2316">
        <v>-2.48</v>
      </c>
      <c r="BU2316">
        <v>0.08</v>
      </c>
      <c r="BV2316">
        <v>1.31</v>
      </c>
      <c r="BW2316">
        <v>0.32</v>
      </c>
      <c r="BX2316">
        <v>-1.18</v>
      </c>
      <c r="BY2316">
        <v>-2.02</v>
      </c>
      <c r="BZ2316">
        <v>0.59</v>
      </c>
      <c r="CA2316">
        <v>-0.44</v>
      </c>
      <c r="CB2316">
        <v>0.36</v>
      </c>
      <c r="CC2316">
        <v>-1.82</v>
      </c>
      <c r="CD2316">
        <v>-0.49</v>
      </c>
      <c r="CE2316">
        <v>0.27</v>
      </c>
      <c r="CF2316">
        <v>-0.33</v>
      </c>
      <c r="CG2316">
        <v>0</v>
      </c>
      <c r="CH2316">
        <v>-1.64</v>
      </c>
      <c r="CI2316">
        <v>0</v>
      </c>
      <c r="CJ2316">
        <v>-7.8</v>
      </c>
      <c r="CK2316">
        <v>93</v>
      </c>
      <c r="CL2316">
        <v>-0.84</v>
      </c>
      <c r="CM2316">
        <v>91</v>
      </c>
      <c r="CN2316">
        <v>-0.34</v>
      </c>
      <c r="CO2316">
        <v>90</v>
      </c>
      <c r="CP2316">
        <v>-17.2</v>
      </c>
      <c r="CQ2316">
        <v>88</v>
      </c>
      <c r="CR2316">
        <v>0</v>
      </c>
      <c r="CS2316">
        <v>0</v>
      </c>
      <c r="CT2316">
        <v>-19.2</v>
      </c>
      <c r="CU2316">
        <v>88</v>
      </c>
      <c r="CV2316">
        <v>-0.09</v>
      </c>
      <c r="CW2316">
        <v>45</v>
      </c>
      <c r="CX2316" t="s">
        <v>1420</v>
      </c>
    </row>
    <row r="2317" spans="1:102" x14ac:dyDescent="0.3">
      <c r="A2317" t="str">
        <f>HYPERLINK("https://webapp.icbf.com/v2/app/bull-search/view/69092137","LLO")</f>
        <v>LLO</v>
      </c>
      <c r="B2317" t="s">
        <v>15004</v>
      </c>
      <c r="C2317" t="s">
        <v>1406</v>
      </c>
      <c r="D2317" s="1">
        <v>34799</v>
      </c>
      <c r="E2317" t="s">
        <v>92</v>
      </c>
      <c r="F2317">
        <v>100</v>
      </c>
      <c r="G2317" t="s">
        <v>93</v>
      </c>
      <c r="H2317">
        <v>47.85</v>
      </c>
      <c r="I2317">
        <v>99</v>
      </c>
      <c r="J2317">
        <v>24.51</v>
      </c>
      <c r="K2317">
        <v>99</v>
      </c>
      <c r="L2317">
        <v>17.989999999999998</v>
      </c>
      <c r="M2317">
        <v>98</v>
      </c>
      <c r="N2317">
        <v>-6.46</v>
      </c>
      <c r="O2317">
        <v>99</v>
      </c>
      <c r="P2317">
        <v>-3.6</v>
      </c>
      <c r="Q2317">
        <v>99</v>
      </c>
      <c r="R2317">
        <v>-0.68</v>
      </c>
      <c r="S2317">
        <v>99</v>
      </c>
      <c r="T2317">
        <v>5.61</v>
      </c>
      <c r="U2317">
        <v>99</v>
      </c>
      <c r="V2317">
        <v>10.48</v>
      </c>
      <c r="W2317">
        <v>99</v>
      </c>
      <c r="X2317" t="s">
        <v>94</v>
      </c>
      <c r="Y2317" t="s">
        <v>95</v>
      </c>
      <c r="Z2317" t="s">
        <v>96</v>
      </c>
      <c r="AA2317" t="s">
        <v>207</v>
      </c>
      <c r="AB2317" t="s">
        <v>15005</v>
      </c>
      <c r="AC2317">
        <v>5075</v>
      </c>
      <c r="AD2317">
        <v>1659</v>
      </c>
      <c r="AE2317">
        <v>99</v>
      </c>
      <c r="AF2317">
        <v>81.8</v>
      </c>
      <c r="AG2317">
        <v>-0.28000000000000003</v>
      </c>
      <c r="AH2317">
        <v>5.52</v>
      </c>
      <c r="AI2317">
        <v>-0.06</v>
      </c>
      <c r="AJ2317">
        <v>0.05</v>
      </c>
      <c r="AK2317">
        <v>98</v>
      </c>
      <c r="AL2317">
        <v>5381</v>
      </c>
      <c r="AM2317">
        <v>1845</v>
      </c>
      <c r="AN2317">
        <v>-0.56999999999999995</v>
      </c>
      <c r="AO2317">
        <v>0.87</v>
      </c>
      <c r="AP2317">
        <v>8164</v>
      </c>
      <c r="AQ2317">
        <v>30</v>
      </c>
      <c r="AR2317">
        <v>8.43</v>
      </c>
      <c r="AS2317">
        <v>99</v>
      </c>
      <c r="AT2317">
        <v>3.37</v>
      </c>
      <c r="AU2317">
        <v>99</v>
      </c>
      <c r="AV2317">
        <v>-0.41</v>
      </c>
      <c r="AW2317">
        <v>99</v>
      </c>
      <c r="AX2317">
        <v>-0.16</v>
      </c>
      <c r="AY2317">
        <v>99</v>
      </c>
      <c r="AZ2317">
        <v>7.99</v>
      </c>
      <c r="BA2317">
        <v>99</v>
      </c>
      <c r="BB2317">
        <v>5.61</v>
      </c>
      <c r="BC2317">
        <v>99</v>
      </c>
      <c r="BD2317">
        <v>-0.02</v>
      </c>
      <c r="BE2317">
        <v>0.01</v>
      </c>
      <c r="BF2317">
        <v>0.03</v>
      </c>
      <c r="BG2317">
        <v>99</v>
      </c>
      <c r="BH2317">
        <v>0.22</v>
      </c>
      <c r="BI2317">
        <v>-8.35</v>
      </c>
      <c r="BJ2317">
        <v>411</v>
      </c>
      <c r="BK2317">
        <v>147</v>
      </c>
      <c r="BL2317">
        <v>-0.16</v>
      </c>
      <c r="BM2317">
        <v>0.73</v>
      </c>
      <c r="BN2317">
        <v>-0.62</v>
      </c>
      <c r="BO2317">
        <v>-0.65</v>
      </c>
      <c r="BP2317">
        <v>1.03</v>
      </c>
      <c r="BQ2317">
        <v>0.24</v>
      </c>
      <c r="BR2317">
        <v>0.68</v>
      </c>
      <c r="BS2317">
        <v>-2.2799999999999998</v>
      </c>
      <c r="BT2317">
        <v>0</v>
      </c>
      <c r="BU2317">
        <v>0.12</v>
      </c>
      <c r="BV2317">
        <v>0.48</v>
      </c>
      <c r="BW2317">
        <v>0.41</v>
      </c>
      <c r="BX2317">
        <v>-0.12</v>
      </c>
      <c r="BY2317">
        <v>1.61</v>
      </c>
      <c r="BZ2317">
        <v>-0.79</v>
      </c>
      <c r="CA2317">
        <v>-0.25</v>
      </c>
      <c r="CB2317">
        <v>0.7</v>
      </c>
      <c r="CC2317">
        <v>-2.16</v>
      </c>
      <c r="CD2317">
        <v>0.63</v>
      </c>
      <c r="CE2317">
        <v>-0.45</v>
      </c>
      <c r="CF2317">
        <v>-0.31</v>
      </c>
      <c r="CG2317">
        <v>0</v>
      </c>
      <c r="CH2317">
        <v>1.62</v>
      </c>
      <c r="CI2317">
        <v>0</v>
      </c>
      <c r="CJ2317">
        <v>1.5</v>
      </c>
      <c r="CK2317">
        <v>99</v>
      </c>
      <c r="CL2317">
        <v>-0.65</v>
      </c>
      <c r="CM2317">
        <v>99</v>
      </c>
      <c r="CN2317">
        <v>-0.14000000000000001</v>
      </c>
      <c r="CO2317">
        <v>99</v>
      </c>
      <c r="CP2317">
        <v>-4</v>
      </c>
      <c r="CQ2317">
        <v>99</v>
      </c>
      <c r="CR2317">
        <v>0</v>
      </c>
      <c r="CS2317">
        <v>0</v>
      </c>
      <c r="CT2317">
        <v>6.2</v>
      </c>
      <c r="CU2317">
        <v>99</v>
      </c>
      <c r="CV2317">
        <v>0.15</v>
      </c>
      <c r="CW2317">
        <v>47</v>
      </c>
      <c r="CX2317" t="s">
        <v>485</v>
      </c>
    </row>
    <row r="2318" spans="1:102" x14ac:dyDescent="0.3">
      <c r="A2318" t="str">
        <f>HYPERLINK("https://webapp.icbf.com/v2/app/bull-search/view/961727204","S1319")</f>
        <v>S1319</v>
      </c>
      <c r="B2318" t="s">
        <v>5572</v>
      </c>
      <c r="C2318" t="s">
        <v>5573</v>
      </c>
      <c r="D2318" s="1">
        <v>40047</v>
      </c>
      <c r="E2318" t="s">
        <v>59</v>
      </c>
      <c r="F2318">
        <v>0</v>
      </c>
      <c r="G2318" t="s">
        <v>109</v>
      </c>
      <c r="H2318">
        <v>47.78</v>
      </c>
      <c r="I2318">
        <v>55</v>
      </c>
      <c r="J2318">
        <v>-8.2899999999999991</v>
      </c>
      <c r="K2318">
        <v>67</v>
      </c>
      <c r="L2318">
        <v>85.42</v>
      </c>
      <c r="M2318">
        <v>60</v>
      </c>
      <c r="N2318">
        <v>-39.659999999999997</v>
      </c>
      <c r="O2318">
        <v>53</v>
      </c>
      <c r="P2318">
        <v>-6.88</v>
      </c>
      <c r="Q2318">
        <v>37</v>
      </c>
      <c r="R2318">
        <v>9.06</v>
      </c>
      <c r="S2318">
        <v>33</v>
      </c>
      <c r="T2318">
        <v>13.46</v>
      </c>
      <c r="U2318">
        <v>28</v>
      </c>
      <c r="V2318">
        <v>-5.33</v>
      </c>
      <c r="W2318">
        <v>30</v>
      </c>
      <c r="X2318" t="s">
        <v>1645</v>
      </c>
      <c r="Y2318" t="s">
        <v>342</v>
      </c>
      <c r="Z2318">
        <v>0</v>
      </c>
      <c r="AA2318" t="s">
        <v>5570</v>
      </c>
      <c r="AB2318" t="s">
        <v>5574</v>
      </c>
      <c r="AC2318">
        <v>0</v>
      </c>
      <c r="AD2318">
        <v>0</v>
      </c>
      <c r="AE2318">
        <v>67</v>
      </c>
      <c r="AF2318">
        <v>-175.17</v>
      </c>
      <c r="AG2318">
        <v>4.3499999999999996</v>
      </c>
      <c r="AH2318">
        <v>-5.63</v>
      </c>
      <c r="AI2318">
        <v>0.19</v>
      </c>
      <c r="AJ2318">
        <v>0.01</v>
      </c>
      <c r="AK2318">
        <v>60</v>
      </c>
      <c r="AL2318">
        <v>0</v>
      </c>
      <c r="AM2318">
        <v>0</v>
      </c>
      <c r="AN2318">
        <v>-4.82</v>
      </c>
      <c r="AO2318">
        <v>1.99</v>
      </c>
      <c r="AP2318">
        <v>34</v>
      </c>
      <c r="AQ2318">
        <v>1</v>
      </c>
      <c r="AR2318">
        <v>12.4</v>
      </c>
      <c r="AS2318">
        <v>33</v>
      </c>
      <c r="AT2318">
        <v>4.58</v>
      </c>
      <c r="AU2318">
        <v>50</v>
      </c>
      <c r="AV2318">
        <v>0.76</v>
      </c>
      <c r="AW2318">
        <v>76</v>
      </c>
      <c r="AX2318">
        <v>0.21</v>
      </c>
      <c r="AY2318">
        <v>42</v>
      </c>
      <c r="AZ2318">
        <v>6.46</v>
      </c>
      <c r="BA2318">
        <v>24</v>
      </c>
      <c r="BB2318">
        <v>5.43</v>
      </c>
      <c r="BC2318">
        <v>19</v>
      </c>
      <c r="BD2318">
        <v>-0.02</v>
      </c>
      <c r="BE2318">
        <v>-0.05</v>
      </c>
      <c r="BF2318">
        <v>-0.08</v>
      </c>
      <c r="BG2318">
        <v>42</v>
      </c>
      <c r="BH2318">
        <v>-7.0000000000000007E-2</v>
      </c>
      <c r="BI2318">
        <v>9.08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-3.6</v>
      </c>
      <c r="CK2318">
        <v>40</v>
      </c>
      <c r="CL2318">
        <v>-0.36</v>
      </c>
      <c r="CM2318">
        <v>34</v>
      </c>
      <c r="CN2318">
        <v>-0.24</v>
      </c>
      <c r="CO2318">
        <v>31</v>
      </c>
      <c r="CP2318">
        <v>-6.7</v>
      </c>
      <c r="CQ2318">
        <v>29</v>
      </c>
      <c r="CR2318">
        <v>0</v>
      </c>
      <c r="CS2318">
        <v>0</v>
      </c>
      <c r="CT2318">
        <v>-4.4000000000000004</v>
      </c>
      <c r="CU2318">
        <v>28</v>
      </c>
      <c r="CV2318">
        <v>-0.08</v>
      </c>
      <c r="CW2318">
        <v>9</v>
      </c>
      <c r="CX2318" t="s">
        <v>1644</v>
      </c>
    </row>
    <row r="2319" spans="1:102" x14ac:dyDescent="0.3">
      <c r="A2319" t="str">
        <f>HYPERLINK("https://webapp.icbf.com/v2/app/bull-search/view/1025669277","S1454")</f>
        <v>S1454</v>
      </c>
      <c r="B2319" t="s">
        <v>5643</v>
      </c>
      <c r="C2319" t="s">
        <v>2290</v>
      </c>
      <c r="D2319" s="1">
        <v>40546</v>
      </c>
      <c r="E2319" t="s">
        <v>92</v>
      </c>
      <c r="F2319">
        <v>100</v>
      </c>
      <c r="G2319" t="s">
        <v>109</v>
      </c>
      <c r="H2319">
        <v>47.73</v>
      </c>
      <c r="I2319">
        <v>83</v>
      </c>
      <c r="J2319">
        <v>112.03</v>
      </c>
      <c r="K2319">
        <v>94</v>
      </c>
      <c r="L2319">
        <v>-95.88</v>
      </c>
      <c r="M2319">
        <v>85</v>
      </c>
      <c r="N2319">
        <v>30.02</v>
      </c>
      <c r="O2319">
        <v>79</v>
      </c>
      <c r="P2319">
        <v>7.83</v>
      </c>
      <c r="Q2319">
        <v>83</v>
      </c>
      <c r="R2319">
        <v>-2.96</v>
      </c>
      <c r="S2319">
        <v>75</v>
      </c>
      <c r="T2319">
        <v>-5.27</v>
      </c>
      <c r="U2319">
        <v>52</v>
      </c>
      <c r="V2319">
        <v>1.96</v>
      </c>
      <c r="W2319">
        <v>57</v>
      </c>
      <c r="X2319" t="s">
        <v>94</v>
      </c>
      <c r="Y2319" t="s">
        <v>342</v>
      </c>
      <c r="Z2319" t="s">
        <v>96</v>
      </c>
      <c r="AA2319" t="s">
        <v>2423</v>
      </c>
      <c r="AB2319" t="s">
        <v>5644</v>
      </c>
      <c r="AC2319">
        <v>0</v>
      </c>
      <c r="AD2319">
        <v>0</v>
      </c>
      <c r="AE2319">
        <v>94</v>
      </c>
      <c r="AF2319">
        <v>713.76</v>
      </c>
      <c r="AG2319">
        <v>22.89</v>
      </c>
      <c r="AH2319">
        <v>21.88</v>
      </c>
      <c r="AI2319">
        <v>-0.08</v>
      </c>
      <c r="AJ2319">
        <v>-0.04</v>
      </c>
      <c r="AK2319">
        <v>85</v>
      </c>
      <c r="AL2319">
        <v>0</v>
      </c>
      <c r="AM2319">
        <v>0</v>
      </c>
      <c r="AN2319">
        <v>5.74</v>
      </c>
      <c r="AO2319">
        <v>-1.9</v>
      </c>
      <c r="AP2319">
        <v>84</v>
      </c>
      <c r="AQ2319">
        <v>0</v>
      </c>
      <c r="AR2319">
        <v>7.45</v>
      </c>
      <c r="AS2319">
        <v>74</v>
      </c>
      <c r="AT2319">
        <v>3.51</v>
      </c>
      <c r="AU2319">
        <v>93</v>
      </c>
      <c r="AV2319">
        <v>-3.72</v>
      </c>
      <c r="AW2319">
        <v>87</v>
      </c>
      <c r="AX2319">
        <v>-0.52</v>
      </c>
      <c r="AY2319">
        <v>70</v>
      </c>
      <c r="AZ2319">
        <v>5.76</v>
      </c>
      <c r="BA2319">
        <v>57</v>
      </c>
      <c r="BB2319">
        <v>4.74</v>
      </c>
      <c r="BC2319">
        <v>40</v>
      </c>
      <c r="BD2319">
        <v>0</v>
      </c>
      <c r="BE2319">
        <v>0.02</v>
      </c>
      <c r="BF2319">
        <v>0.03</v>
      </c>
      <c r="BG2319">
        <v>92</v>
      </c>
      <c r="BH2319">
        <v>0.02</v>
      </c>
      <c r="BI2319">
        <v>-4.01</v>
      </c>
      <c r="BJ2319">
        <v>23</v>
      </c>
      <c r="BK2319">
        <v>12</v>
      </c>
      <c r="BL2319">
        <v>1.55</v>
      </c>
      <c r="BM2319">
        <v>1.39</v>
      </c>
      <c r="BN2319">
        <v>1.74</v>
      </c>
      <c r="BO2319">
        <v>1.42</v>
      </c>
      <c r="BP2319">
        <v>-3.14</v>
      </c>
      <c r="BQ2319">
        <v>1.76</v>
      </c>
      <c r="BR2319">
        <v>-0.16</v>
      </c>
      <c r="BS2319">
        <v>1.61</v>
      </c>
      <c r="BT2319">
        <v>1.64</v>
      </c>
      <c r="BU2319">
        <v>1.8</v>
      </c>
      <c r="BV2319">
        <v>2.83</v>
      </c>
      <c r="BW2319">
        <v>1.72</v>
      </c>
      <c r="BX2319">
        <v>1.4</v>
      </c>
      <c r="BY2319">
        <v>1.76</v>
      </c>
      <c r="BZ2319">
        <v>-1.78</v>
      </c>
      <c r="CA2319">
        <v>2.54</v>
      </c>
      <c r="CB2319">
        <v>2.34</v>
      </c>
      <c r="CC2319">
        <v>2.14</v>
      </c>
      <c r="CD2319">
        <v>-0.53</v>
      </c>
      <c r="CE2319">
        <v>1.45</v>
      </c>
      <c r="CF2319">
        <v>1.63</v>
      </c>
      <c r="CG2319">
        <v>0</v>
      </c>
      <c r="CH2319">
        <v>1.46</v>
      </c>
      <c r="CI2319">
        <v>0</v>
      </c>
      <c r="CJ2319">
        <v>6.4</v>
      </c>
      <c r="CK2319">
        <v>86</v>
      </c>
      <c r="CL2319">
        <v>-0.9</v>
      </c>
      <c r="CM2319">
        <v>83</v>
      </c>
      <c r="CN2319">
        <v>-0.65</v>
      </c>
      <c r="CO2319">
        <v>82</v>
      </c>
      <c r="CP2319">
        <v>4.5</v>
      </c>
      <c r="CQ2319">
        <v>60</v>
      </c>
      <c r="CR2319">
        <v>0</v>
      </c>
      <c r="CS2319">
        <v>0</v>
      </c>
      <c r="CT2319">
        <v>20.9</v>
      </c>
      <c r="CU2319">
        <v>52</v>
      </c>
      <c r="CV2319">
        <v>0.31</v>
      </c>
      <c r="CW2319">
        <v>43</v>
      </c>
      <c r="CX2319" t="s">
        <v>1962</v>
      </c>
    </row>
    <row r="2320" spans="1:102" x14ac:dyDescent="0.3">
      <c r="A2320" t="str">
        <f>HYPERLINK("https://webapp.icbf.com/v2/app/bull-search/view/392544414","CSJ")</f>
        <v>CSJ</v>
      </c>
      <c r="B2320" t="s">
        <v>7807</v>
      </c>
      <c r="C2320" t="s">
        <v>7808</v>
      </c>
      <c r="D2320" s="1">
        <v>38386</v>
      </c>
      <c r="E2320" t="s">
        <v>92</v>
      </c>
      <c r="F2320">
        <v>94</v>
      </c>
      <c r="G2320" t="s">
        <v>93</v>
      </c>
      <c r="H2320">
        <v>47.63</v>
      </c>
      <c r="I2320">
        <v>88</v>
      </c>
      <c r="J2320">
        <v>52.68</v>
      </c>
      <c r="K2320">
        <v>97</v>
      </c>
      <c r="L2320">
        <v>-22.04</v>
      </c>
      <c r="M2320">
        <v>80</v>
      </c>
      <c r="N2320">
        <v>24.59</v>
      </c>
      <c r="O2320">
        <v>87</v>
      </c>
      <c r="P2320">
        <v>-13.67</v>
      </c>
      <c r="Q2320">
        <v>91</v>
      </c>
      <c r="R2320">
        <v>-5.18</v>
      </c>
      <c r="S2320">
        <v>82</v>
      </c>
      <c r="T2320">
        <v>17.3</v>
      </c>
      <c r="U2320">
        <v>87</v>
      </c>
      <c r="V2320">
        <v>-6.05</v>
      </c>
      <c r="W2320">
        <v>82</v>
      </c>
      <c r="X2320" t="s">
        <v>94</v>
      </c>
      <c r="Y2320" t="s">
        <v>95</v>
      </c>
      <c r="Z2320" t="s">
        <v>96</v>
      </c>
      <c r="AA2320" t="s">
        <v>771</v>
      </c>
      <c r="AB2320" t="s">
        <v>7809</v>
      </c>
      <c r="AC2320">
        <v>85</v>
      </c>
      <c r="AD2320">
        <v>63</v>
      </c>
      <c r="AE2320">
        <v>97</v>
      </c>
      <c r="AF2320">
        <v>134.49</v>
      </c>
      <c r="AG2320">
        <v>4.91</v>
      </c>
      <c r="AH2320">
        <v>9.2799999999999994</v>
      </c>
      <c r="AI2320">
        <v>-0.01</v>
      </c>
      <c r="AJ2320">
        <v>0.08</v>
      </c>
      <c r="AK2320">
        <v>80</v>
      </c>
      <c r="AL2320">
        <v>86</v>
      </c>
      <c r="AM2320">
        <v>64</v>
      </c>
      <c r="AN2320">
        <v>0.27</v>
      </c>
      <c r="AO2320">
        <v>-1.5</v>
      </c>
      <c r="AP2320">
        <v>193</v>
      </c>
      <c r="AQ2320">
        <v>0</v>
      </c>
      <c r="AR2320">
        <v>7.34</v>
      </c>
      <c r="AS2320">
        <v>70</v>
      </c>
      <c r="AT2320">
        <v>2.89</v>
      </c>
      <c r="AU2320">
        <v>89</v>
      </c>
      <c r="AV2320">
        <v>-2.76</v>
      </c>
      <c r="AW2320">
        <v>96</v>
      </c>
      <c r="AX2320">
        <v>0.12</v>
      </c>
      <c r="AY2320">
        <v>81</v>
      </c>
      <c r="AZ2320">
        <v>6.48</v>
      </c>
      <c r="BA2320">
        <v>68</v>
      </c>
      <c r="BB2320">
        <v>4.9400000000000004</v>
      </c>
      <c r="BC2320">
        <v>71</v>
      </c>
      <c r="BD2320">
        <v>-0.03</v>
      </c>
      <c r="BE2320">
        <v>0.01</v>
      </c>
      <c r="BF2320">
        <v>0.15</v>
      </c>
      <c r="BG2320">
        <v>89</v>
      </c>
      <c r="BH2320">
        <v>-0.06</v>
      </c>
      <c r="BI2320">
        <v>12.58</v>
      </c>
      <c r="BJ2320">
        <v>23</v>
      </c>
      <c r="BK2320">
        <v>18</v>
      </c>
      <c r="BL2320">
        <v>-0.01</v>
      </c>
      <c r="BM2320">
        <v>-0.25</v>
      </c>
      <c r="BN2320">
        <v>0.56000000000000005</v>
      </c>
      <c r="BO2320">
        <v>0.37</v>
      </c>
      <c r="BP2320">
        <v>2.4500000000000002</v>
      </c>
      <c r="BQ2320">
        <v>-0.62</v>
      </c>
      <c r="BR2320">
        <v>-0.88</v>
      </c>
      <c r="BS2320">
        <v>-0.28999999999999998</v>
      </c>
      <c r="BT2320">
        <v>0.6</v>
      </c>
      <c r="BU2320">
        <v>-0.32</v>
      </c>
      <c r="BV2320">
        <v>-0.38</v>
      </c>
      <c r="BW2320">
        <v>-0.15</v>
      </c>
      <c r="BX2320">
        <v>-0.66</v>
      </c>
      <c r="BY2320">
        <v>0.21</v>
      </c>
      <c r="BZ2320">
        <v>0.91</v>
      </c>
      <c r="CA2320">
        <v>-0.25</v>
      </c>
      <c r="CB2320">
        <v>0.03</v>
      </c>
      <c r="CC2320">
        <v>-0.56999999999999995</v>
      </c>
      <c r="CD2320">
        <v>-0.67</v>
      </c>
      <c r="CE2320">
        <v>0.11</v>
      </c>
      <c r="CF2320">
        <v>-0.08</v>
      </c>
      <c r="CG2320">
        <v>0</v>
      </c>
      <c r="CH2320">
        <v>0.92</v>
      </c>
      <c r="CI2320">
        <v>0</v>
      </c>
      <c r="CJ2320">
        <v>-4.4000000000000004</v>
      </c>
      <c r="CK2320">
        <v>92</v>
      </c>
      <c r="CL2320">
        <v>-0.72</v>
      </c>
      <c r="CM2320">
        <v>90</v>
      </c>
      <c r="CN2320">
        <v>-0.1</v>
      </c>
      <c r="CO2320">
        <v>89</v>
      </c>
      <c r="CP2320">
        <v>-8.9</v>
      </c>
      <c r="CQ2320">
        <v>90</v>
      </c>
      <c r="CR2320">
        <v>0</v>
      </c>
      <c r="CS2320">
        <v>0</v>
      </c>
      <c r="CT2320">
        <v>-9.6</v>
      </c>
      <c r="CU2320">
        <v>87</v>
      </c>
      <c r="CV2320">
        <v>0.15</v>
      </c>
      <c r="CW2320">
        <v>46</v>
      </c>
      <c r="CX2320" t="s">
        <v>1037</v>
      </c>
    </row>
    <row r="2321" spans="1:102" x14ac:dyDescent="0.3">
      <c r="A2321" t="str">
        <f>HYPERLINK("https://webapp.icbf.com/v2/app/bull-search/view/474732969","AVO")</f>
        <v>AVO</v>
      </c>
      <c r="B2321" t="s">
        <v>14859</v>
      </c>
      <c r="C2321" t="s">
        <v>2358</v>
      </c>
      <c r="D2321" s="1">
        <v>37349</v>
      </c>
      <c r="E2321" t="s">
        <v>92</v>
      </c>
      <c r="F2321">
        <v>100</v>
      </c>
      <c r="G2321" t="s">
        <v>93</v>
      </c>
      <c r="H2321">
        <v>47.61</v>
      </c>
      <c r="I2321">
        <v>91</v>
      </c>
      <c r="J2321">
        <v>14.79</v>
      </c>
      <c r="K2321">
        <v>97</v>
      </c>
      <c r="L2321">
        <v>10.199999999999999</v>
      </c>
      <c r="M2321">
        <v>91</v>
      </c>
      <c r="N2321">
        <v>27.63</v>
      </c>
      <c r="O2321">
        <v>88</v>
      </c>
      <c r="P2321">
        <v>-12.5</v>
      </c>
      <c r="Q2321">
        <v>90</v>
      </c>
      <c r="R2321">
        <v>1.22</v>
      </c>
      <c r="S2321">
        <v>82</v>
      </c>
      <c r="T2321">
        <v>7.02</v>
      </c>
      <c r="U2321">
        <v>84</v>
      </c>
      <c r="V2321">
        <v>-0.75</v>
      </c>
      <c r="W2321">
        <v>72</v>
      </c>
      <c r="X2321" t="s">
        <v>276</v>
      </c>
      <c r="Y2321" t="s">
        <v>221</v>
      </c>
      <c r="Z2321" t="s">
        <v>96</v>
      </c>
      <c r="AA2321" t="s">
        <v>14860</v>
      </c>
      <c r="AB2321" t="s">
        <v>14861</v>
      </c>
      <c r="AC2321">
        <v>65</v>
      </c>
      <c r="AD2321">
        <v>38</v>
      </c>
      <c r="AE2321">
        <v>97</v>
      </c>
      <c r="AF2321">
        <v>350.42</v>
      </c>
      <c r="AG2321">
        <v>-1.05</v>
      </c>
      <c r="AH2321">
        <v>8.25</v>
      </c>
      <c r="AI2321">
        <v>-0.24</v>
      </c>
      <c r="AJ2321">
        <v>-0.06</v>
      </c>
      <c r="AK2321">
        <v>91</v>
      </c>
      <c r="AL2321">
        <v>67</v>
      </c>
      <c r="AM2321">
        <v>36</v>
      </c>
      <c r="AN2321">
        <v>-0.04</v>
      </c>
      <c r="AO2321">
        <v>0.78</v>
      </c>
      <c r="AP2321">
        <v>125</v>
      </c>
      <c r="AQ2321">
        <v>4</v>
      </c>
      <c r="AR2321">
        <v>5.93</v>
      </c>
      <c r="AS2321">
        <v>85</v>
      </c>
      <c r="AT2321">
        <v>2.74</v>
      </c>
      <c r="AU2321">
        <v>98</v>
      </c>
      <c r="AV2321">
        <v>-3</v>
      </c>
      <c r="AW2321">
        <v>93</v>
      </c>
      <c r="AX2321">
        <v>-0.69</v>
      </c>
      <c r="AY2321">
        <v>82</v>
      </c>
      <c r="AZ2321">
        <v>6.54</v>
      </c>
      <c r="BA2321">
        <v>70</v>
      </c>
      <c r="BB2321">
        <v>5.97</v>
      </c>
      <c r="BC2321">
        <v>67</v>
      </c>
      <c r="BD2321">
        <v>-0.03</v>
      </c>
      <c r="BE2321">
        <v>-0.02</v>
      </c>
      <c r="BF2321">
        <v>0.06</v>
      </c>
      <c r="BG2321">
        <v>94</v>
      </c>
      <c r="BH2321">
        <v>0.12</v>
      </c>
      <c r="BI2321">
        <v>16.3</v>
      </c>
      <c r="BJ2321">
        <v>36</v>
      </c>
      <c r="BK2321">
        <v>21</v>
      </c>
      <c r="BL2321">
        <v>0.35</v>
      </c>
      <c r="BM2321">
        <v>-1.36</v>
      </c>
      <c r="BN2321">
        <v>-1.64</v>
      </c>
      <c r="BO2321">
        <v>-0.01</v>
      </c>
      <c r="BP2321">
        <v>-2.0499999999999998</v>
      </c>
      <c r="BQ2321">
        <v>-1.17</v>
      </c>
      <c r="BR2321">
        <v>0.52</v>
      </c>
      <c r="BS2321">
        <v>0.21</v>
      </c>
      <c r="BT2321">
        <v>-0.52</v>
      </c>
      <c r="BU2321">
        <v>1.53</v>
      </c>
      <c r="BV2321">
        <v>2.29</v>
      </c>
      <c r="BW2321">
        <v>0.82</v>
      </c>
      <c r="BX2321">
        <v>1.47</v>
      </c>
      <c r="BY2321">
        <v>0.06</v>
      </c>
      <c r="BZ2321">
        <v>1.56</v>
      </c>
      <c r="CA2321">
        <v>1.05</v>
      </c>
      <c r="CB2321">
        <v>0.97</v>
      </c>
      <c r="CC2321">
        <v>0.65</v>
      </c>
      <c r="CD2321">
        <v>-0.31</v>
      </c>
      <c r="CE2321">
        <v>0.39</v>
      </c>
      <c r="CF2321">
        <v>-0.56999999999999995</v>
      </c>
      <c r="CG2321">
        <v>0</v>
      </c>
      <c r="CH2321">
        <v>-0.34</v>
      </c>
      <c r="CI2321">
        <v>0</v>
      </c>
      <c r="CJ2321">
        <v>-6.9</v>
      </c>
      <c r="CK2321">
        <v>91</v>
      </c>
      <c r="CL2321">
        <v>-0.83</v>
      </c>
      <c r="CM2321">
        <v>89</v>
      </c>
      <c r="CN2321">
        <v>-0.59</v>
      </c>
      <c r="CO2321">
        <v>88</v>
      </c>
      <c r="CP2321">
        <v>-8.8000000000000007</v>
      </c>
      <c r="CQ2321">
        <v>86</v>
      </c>
      <c r="CR2321">
        <v>0</v>
      </c>
      <c r="CS2321">
        <v>0</v>
      </c>
      <c r="CT2321">
        <v>4.3</v>
      </c>
      <c r="CU2321">
        <v>84</v>
      </c>
      <c r="CV2321">
        <v>0.06</v>
      </c>
      <c r="CW2321">
        <v>44</v>
      </c>
      <c r="CX2321" t="s">
        <v>216</v>
      </c>
    </row>
    <row r="2322" spans="1:102" x14ac:dyDescent="0.3">
      <c r="A2322" t="str">
        <f>HYPERLINK("https://webapp.icbf.com/v2/app/bull-search/view/82543462","GMI")</f>
        <v>GMI</v>
      </c>
      <c r="B2322" t="s">
        <v>8735</v>
      </c>
      <c r="C2322" t="s">
        <v>1037</v>
      </c>
      <c r="D2322" s="1">
        <v>33848</v>
      </c>
      <c r="E2322" t="s">
        <v>92</v>
      </c>
      <c r="F2322">
        <v>100</v>
      </c>
      <c r="G2322" t="s">
        <v>93</v>
      </c>
      <c r="H2322">
        <v>47.49</v>
      </c>
      <c r="I2322">
        <v>99</v>
      </c>
      <c r="J2322">
        <v>39.89</v>
      </c>
      <c r="K2322">
        <v>99</v>
      </c>
      <c r="L2322">
        <v>-16.239999999999998</v>
      </c>
      <c r="M2322">
        <v>99</v>
      </c>
      <c r="N2322">
        <v>14.83</v>
      </c>
      <c r="O2322">
        <v>99</v>
      </c>
      <c r="P2322">
        <v>-8.5500000000000007</v>
      </c>
      <c r="Q2322">
        <v>99</v>
      </c>
      <c r="R2322">
        <v>-2.17</v>
      </c>
      <c r="S2322">
        <v>99</v>
      </c>
      <c r="T2322">
        <v>9.09</v>
      </c>
      <c r="U2322">
        <v>99</v>
      </c>
      <c r="V2322">
        <v>10.64</v>
      </c>
      <c r="W2322">
        <v>99</v>
      </c>
      <c r="X2322" t="s">
        <v>94</v>
      </c>
      <c r="Y2322" t="s">
        <v>95</v>
      </c>
      <c r="Z2322" t="s">
        <v>96</v>
      </c>
      <c r="AA2322" t="s">
        <v>485</v>
      </c>
      <c r="AB2322" t="s">
        <v>8736</v>
      </c>
      <c r="AC2322">
        <v>53219</v>
      </c>
      <c r="AD2322">
        <v>6798</v>
      </c>
      <c r="AE2322">
        <v>99</v>
      </c>
      <c r="AF2322">
        <v>87.75</v>
      </c>
      <c r="AG2322">
        <v>6.58</v>
      </c>
      <c r="AH2322">
        <v>5.8</v>
      </c>
      <c r="AI2322">
        <v>0.05</v>
      </c>
      <c r="AJ2322">
        <v>0.05</v>
      </c>
      <c r="AK2322">
        <v>99</v>
      </c>
      <c r="AL2322">
        <v>61116</v>
      </c>
      <c r="AM2322">
        <v>11965</v>
      </c>
      <c r="AN2322">
        <v>1.29</v>
      </c>
      <c r="AO2322">
        <v>0</v>
      </c>
      <c r="AP2322">
        <v>51595</v>
      </c>
      <c r="AQ2322">
        <v>177</v>
      </c>
      <c r="AR2322">
        <v>8.23</v>
      </c>
      <c r="AS2322">
        <v>99</v>
      </c>
      <c r="AT2322">
        <v>3.48</v>
      </c>
      <c r="AU2322">
        <v>99</v>
      </c>
      <c r="AV2322">
        <v>-2.63</v>
      </c>
      <c r="AW2322">
        <v>99</v>
      </c>
      <c r="AX2322">
        <v>-0.23</v>
      </c>
      <c r="AY2322">
        <v>99</v>
      </c>
      <c r="AZ2322">
        <v>7.47</v>
      </c>
      <c r="BA2322">
        <v>99</v>
      </c>
      <c r="BB2322">
        <v>5.03</v>
      </c>
      <c r="BC2322">
        <v>99</v>
      </c>
      <c r="BD2322">
        <v>0.03</v>
      </c>
      <c r="BE2322">
        <v>0</v>
      </c>
      <c r="BF2322">
        <v>0</v>
      </c>
      <c r="BG2322">
        <v>99</v>
      </c>
      <c r="BH2322">
        <v>0.23</v>
      </c>
      <c r="BI2322">
        <v>-7.72</v>
      </c>
      <c r="BJ2322">
        <v>2205</v>
      </c>
      <c r="BK2322">
        <v>849</v>
      </c>
      <c r="BL2322">
        <v>-0.33</v>
      </c>
      <c r="BM2322">
        <v>0</v>
      </c>
      <c r="BN2322">
        <v>0.26</v>
      </c>
      <c r="BO2322">
        <v>0.25</v>
      </c>
      <c r="BP2322">
        <v>0.46</v>
      </c>
      <c r="BQ2322">
        <v>-1.28</v>
      </c>
      <c r="BR2322">
        <v>0.34</v>
      </c>
      <c r="BS2322">
        <v>-1.18</v>
      </c>
      <c r="BT2322">
        <v>-0.85</v>
      </c>
      <c r="BU2322">
        <v>1.1200000000000001</v>
      </c>
      <c r="BV2322">
        <v>0.48</v>
      </c>
      <c r="BW2322">
        <v>0.38</v>
      </c>
      <c r="BX2322">
        <v>-0.15</v>
      </c>
      <c r="BY2322">
        <v>1.63</v>
      </c>
      <c r="BZ2322">
        <v>-1.99</v>
      </c>
      <c r="CA2322">
        <v>0.53</v>
      </c>
      <c r="CB2322">
        <v>1.24</v>
      </c>
      <c r="CC2322">
        <v>-1.1100000000000001</v>
      </c>
      <c r="CD2322">
        <v>-0.13</v>
      </c>
      <c r="CE2322">
        <v>0.23</v>
      </c>
      <c r="CF2322">
        <v>-0.22</v>
      </c>
      <c r="CG2322">
        <v>0</v>
      </c>
      <c r="CH2322">
        <v>1.61</v>
      </c>
      <c r="CI2322">
        <v>0</v>
      </c>
      <c r="CJ2322">
        <v>-1.4</v>
      </c>
      <c r="CK2322">
        <v>99</v>
      </c>
      <c r="CL2322">
        <v>-0.59</v>
      </c>
      <c r="CM2322">
        <v>99</v>
      </c>
      <c r="CN2322">
        <v>-0.03</v>
      </c>
      <c r="CO2322">
        <v>99</v>
      </c>
      <c r="CP2322">
        <v>-5.9</v>
      </c>
      <c r="CQ2322">
        <v>99</v>
      </c>
      <c r="CR2322">
        <v>0</v>
      </c>
      <c r="CS2322">
        <v>0</v>
      </c>
      <c r="CT2322">
        <v>1.5</v>
      </c>
      <c r="CU2322">
        <v>99</v>
      </c>
      <c r="CV2322">
        <v>0.08</v>
      </c>
      <c r="CW2322">
        <v>54</v>
      </c>
      <c r="CX2322" t="s">
        <v>3680</v>
      </c>
    </row>
    <row r="2323" spans="1:102" x14ac:dyDescent="0.3">
      <c r="A2323" t="str">
        <f>HYPERLINK("https://webapp.icbf.com/v2/app/bull-search/view/804577265","S1451")</f>
        <v>S1451</v>
      </c>
      <c r="B2323" t="s">
        <v>7583</v>
      </c>
      <c r="C2323" t="s">
        <v>7584</v>
      </c>
      <c r="D2323" s="1">
        <v>39868</v>
      </c>
      <c r="E2323" t="s">
        <v>92</v>
      </c>
      <c r="F2323">
        <v>100</v>
      </c>
      <c r="G2323" t="s">
        <v>109</v>
      </c>
      <c r="H2323">
        <v>47.46</v>
      </c>
      <c r="I2323">
        <v>73</v>
      </c>
      <c r="J2323">
        <v>32.94</v>
      </c>
      <c r="K2323">
        <v>86</v>
      </c>
      <c r="L2323">
        <v>-27.35</v>
      </c>
      <c r="M2323">
        <v>82</v>
      </c>
      <c r="N2323">
        <v>42.68</v>
      </c>
      <c r="O2323">
        <v>66</v>
      </c>
      <c r="P2323">
        <v>-7.94</v>
      </c>
      <c r="Q2323">
        <v>61</v>
      </c>
      <c r="R2323">
        <v>12.35</v>
      </c>
      <c r="S2323">
        <v>63</v>
      </c>
      <c r="T2323">
        <v>-6.6</v>
      </c>
      <c r="U2323">
        <v>34</v>
      </c>
      <c r="V2323">
        <v>1.38</v>
      </c>
      <c r="W2323">
        <v>23</v>
      </c>
      <c r="X2323" t="s">
        <v>276</v>
      </c>
      <c r="Y2323" t="s">
        <v>342</v>
      </c>
      <c r="Z2323" t="s">
        <v>96</v>
      </c>
      <c r="AA2323" t="s">
        <v>1962</v>
      </c>
      <c r="AB2323" t="s">
        <v>7585</v>
      </c>
      <c r="AC2323">
        <v>0</v>
      </c>
      <c r="AD2323">
        <v>0</v>
      </c>
      <c r="AE2323">
        <v>86</v>
      </c>
      <c r="AF2323">
        <v>690.94</v>
      </c>
      <c r="AG2323">
        <v>8.02</v>
      </c>
      <c r="AH2323">
        <v>13.34</v>
      </c>
      <c r="AI2323">
        <v>-0.28000000000000003</v>
      </c>
      <c r="AJ2323">
        <v>-0.15</v>
      </c>
      <c r="AK2323">
        <v>82</v>
      </c>
      <c r="AL2323">
        <v>0</v>
      </c>
      <c r="AM2323">
        <v>0</v>
      </c>
      <c r="AN2323">
        <v>3.15</v>
      </c>
      <c r="AO2323">
        <v>0.99</v>
      </c>
      <c r="AP2323">
        <v>23</v>
      </c>
      <c r="AQ2323">
        <v>0</v>
      </c>
      <c r="AR2323">
        <v>4.21</v>
      </c>
      <c r="AS2323">
        <v>42</v>
      </c>
      <c r="AT2323">
        <v>1.97</v>
      </c>
      <c r="AU2323">
        <v>90</v>
      </c>
      <c r="AV2323">
        <v>-3.14</v>
      </c>
      <c r="AW2323">
        <v>75</v>
      </c>
      <c r="AX2323">
        <v>0.65</v>
      </c>
      <c r="AY2323">
        <v>47</v>
      </c>
      <c r="AZ2323">
        <v>6.09</v>
      </c>
      <c r="BA2323">
        <v>32</v>
      </c>
      <c r="BB2323">
        <v>4.37</v>
      </c>
      <c r="BC2323">
        <v>29</v>
      </c>
      <c r="BD2323">
        <v>-0.03</v>
      </c>
      <c r="BE2323">
        <v>-0.06</v>
      </c>
      <c r="BF2323">
        <v>-0.12</v>
      </c>
      <c r="BG2323">
        <v>90</v>
      </c>
      <c r="BH2323">
        <v>-0.05</v>
      </c>
      <c r="BI2323">
        <v>-10.25</v>
      </c>
      <c r="BJ2323">
        <v>8</v>
      </c>
      <c r="BK2323">
        <v>4</v>
      </c>
      <c r="BL2323">
        <v>1.88</v>
      </c>
      <c r="BM2323">
        <v>1.9</v>
      </c>
      <c r="BN2323">
        <v>1.33</v>
      </c>
      <c r="BO2323">
        <v>0.53</v>
      </c>
      <c r="BP2323">
        <v>-0.64</v>
      </c>
      <c r="BQ2323">
        <v>3.36</v>
      </c>
      <c r="BR2323">
        <v>-0.52</v>
      </c>
      <c r="BS2323">
        <v>1.51</v>
      </c>
      <c r="BT2323">
        <v>0.24</v>
      </c>
      <c r="BU2323">
        <v>3.47</v>
      </c>
      <c r="BV2323">
        <v>2.68</v>
      </c>
      <c r="BW2323">
        <v>1.31</v>
      </c>
      <c r="BX2323">
        <v>3.1</v>
      </c>
      <c r="BY2323">
        <v>2.04</v>
      </c>
      <c r="BZ2323">
        <v>-1.03</v>
      </c>
      <c r="CA2323">
        <v>3.07</v>
      </c>
      <c r="CB2323">
        <v>2.95</v>
      </c>
      <c r="CC2323">
        <v>1.93</v>
      </c>
      <c r="CD2323">
        <v>0.79</v>
      </c>
      <c r="CE2323">
        <v>1.1599999999999999</v>
      </c>
      <c r="CF2323">
        <v>2.14</v>
      </c>
      <c r="CG2323">
        <v>0</v>
      </c>
      <c r="CH2323">
        <v>2.36</v>
      </c>
      <c r="CI2323">
        <v>0</v>
      </c>
      <c r="CJ2323">
        <v>-1</v>
      </c>
      <c r="CK2323">
        <v>65</v>
      </c>
      <c r="CL2323">
        <v>-1.32</v>
      </c>
      <c r="CM2323">
        <v>60</v>
      </c>
      <c r="CN2323">
        <v>-0.53</v>
      </c>
      <c r="CO2323">
        <v>58</v>
      </c>
      <c r="CP2323">
        <v>5.7</v>
      </c>
      <c r="CQ2323">
        <v>44</v>
      </c>
      <c r="CR2323">
        <v>0</v>
      </c>
      <c r="CS2323">
        <v>0</v>
      </c>
      <c r="CT2323">
        <v>22.7</v>
      </c>
      <c r="CU2323">
        <v>34</v>
      </c>
      <c r="CV2323">
        <v>0.33</v>
      </c>
      <c r="CW2323">
        <v>18</v>
      </c>
      <c r="CX2323" t="s">
        <v>350</v>
      </c>
    </row>
    <row r="2324" spans="1:102" x14ac:dyDescent="0.3">
      <c r="A2324" t="str">
        <f>HYPERLINK("https://webapp.icbf.com/v2/app/bull-search/view/757223268","S889")</f>
        <v>S889</v>
      </c>
      <c r="B2324" t="s">
        <v>6516</v>
      </c>
      <c r="C2324" t="s">
        <v>6517</v>
      </c>
      <c r="D2324" s="1">
        <v>37826</v>
      </c>
      <c r="E2324" t="s">
        <v>197</v>
      </c>
      <c r="F2324">
        <v>0</v>
      </c>
      <c r="G2324" t="s">
        <v>116</v>
      </c>
      <c r="H2324">
        <v>47.41</v>
      </c>
      <c r="I2324">
        <v>43</v>
      </c>
      <c r="J2324">
        <v>-17.399999999999999</v>
      </c>
      <c r="K2324">
        <v>68</v>
      </c>
      <c r="L2324">
        <v>52.7</v>
      </c>
      <c r="M2324">
        <v>22</v>
      </c>
      <c r="N2324">
        <v>-11.33</v>
      </c>
      <c r="O2324">
        <v>45</v>
      </c>
      <c r="P2324">
        <v>9.2799999999999994</v>
      </c>
      <c r="Q2324">
        <v>62</v>
      </c>
      <c r="R2324">
        <v>-0.62</v>
      </c>
      <c r="S2324">
        <v>23</v>
      </c>
      <c r="T2324">
        <v>19.52</v>
      </c>
      <c r="U2324">
        <v>39</v>
      </c>
      <c r="V2324">
        <v>-4.74</v>
      </c>
      <c r="W2324">
        <v>3</v>
      </c>
      <c r="X2324" t="s">
        <v>198</v>
      </c>
      <c r="Y2324" t="s">
        <v>303</v>
      </c>
      <c r="Z2324">
        <v>0</v>
      </c>
      <c r="AA2324" t="s">
        <v>6518</v>
      </c>
      <c r="AB2324" t="s">
        <v>6519</v>
      </c>
      <c r="AC2324">
        <v>9</v>
      </c>
      <c r="AD2324">
        <v>3</v>
      </c>
      <c r="AE2324">
        <v>68</v>
      </c>
      <c r="AF2324">
        <v>-309.17</v>
      </c>
      <c r="AG2324">
        <v>-6.93</v>
      </c>
      <c r="AH2324">
        <v>-5.24</v>
      </c>
      <c r="AI2324">
        <v>0.09</v>
      </c>
      <c r="AJ2324">
        <v>0.09</v>
      </c>
      <c r="AK2324">
        <v>22</v>
      </c>
      <c r="AL2324">
        <v>11</v>
      </c>
      <c r="AM2324">
        <v>5</v>
      </c>
      <c r="AN2324">
        <v>-4.67</v>
      </c>
      <c r="AO2324">
        <v>-0.49</v>
      </c>
      <c r="AP2324">
        <v>20</v>
      </c>
      <c r="AQ2324">
        <v>0</v>
      </c>
      <c r="AR2324">
        <v>5.59</v>
      </c>
      <c r="AS2324">
        <v>14</v>
      </c>
      <c r="AT2324">
        <v>5.57</v>
      </c>
      <c r="AU2324">
        <v>37</v>
      </c>
      <c r="AV2324">
        <v>-0.41</v>
      </c>
      <c r="AW2324">
        <v>71</v>
      </c>
      <c r="AX2324">
        <v>1.1200000000000001</v>
      </c>
      <c r="AY2324">
        <v>32</v>
      </c>
      <c r="AZ2324">
        <v>5.99</v>
      </c>
      <c r="BA2324">
        <v>12</v>
      </c>
      <c r="BB2324">
        <v>3.67</v>
      </c>
      <c r="BC2324">
        <v>16</v>
      </c>
      <c r="BD2324">
        <v>-0.01</v>
      </c>
      <c r="BE2324">
        <v>-0.01</v>
      </c>
      <c r="BF2324">
        <v>0.05</v>
      </c>
      <c r="BG2324">
        <v>27</v>
      </c>
      <c r="BH2324">
        <v>-0.11</v>
      </c>
      <c r="BI2324">
        <v>2.56</v>
      </c>
      <c r="BJ2324">
        <v>0</v>
      </c>
      <c r="BK2324">
        <v>0</v>
      </c>
      <c r="BL2324">
        <v>-0.93</v>
      </c>
      <c r="BM2324">
        <v>0.78</v>
      </c>
      <c r="BN2324">
        <v>-0.93</v>
      </c>
      <c r="BO2324">
        <v>-1.28</v>
      </c>
      <c r="BP2324">
        <v>0.55000000000000004</v>
      </c>
      <c r="BQ2324">
        <v>0.11</v>
      </c>
      <c r="BR2324">
        <v>-0.28000000000000003</v>
      </c>
      <c r="BS2324">
        <v>0.24</v>
      </c>
      <c r="BT2324">
        <v>-0.03</v>
      </c>
      <c r="BU2324">
        <v>-0.95</v>
      </c>
      <c r="BV2324">
        <v>-1.28</v>
      </c>
      <c r="BW2324">
        <v>-1.31</v>
      </c>
      <c r="BX2324">
        <v>-0.48</v>
      </c>
      <c r="BY2324">
        <v>-1.26</v>
      </c>
      <c r="BZ2324">
        <v>-0.08</v>
      </c>
      <c r="CA2324">
        <v>-1.26</v>
      </c>
      <c r="CB2324">
        <v>-1.33</v>
      </c>
      <c r="CC2324">
        <v>-0.65</v>
      </c>
      <c r="CD2324">
        <v>1.22</v>
      </c>
      <c r="CE2324">
        <v>-1.32</v>
      </c>
      <c r="CF2324">
        <v>-0.88</v>
      </c>
      <c r="CG2324">
        <v>0</v>
      </c>
      <c r="CH2324">
        <v>-1.1299999999999999</v>
      </c>
      <c r="CI2324">
        <v>0</v>
      </c>
      <c r="CJ2324">
        <v>5.0999999999999996</v>
      </c>
      <c r="CK2324">
        <v>67</v>
      </c>
      <c r="CL2324">
        <v>0.22</v>
      </c>
      <c r="CM2324">
        <v>60</v>
      </c>
      <c r="CN2324">
        <v>-0.04</v>
      </c>
      <c r="CO2324">
        <v>57</v>
      </c>
      <c r="CP2324">
        <v>-3.3</v>
      </c>
      <c r="CQ2324">
        <v>40</v>
      </c>
      <c r="CR2324">
        <v>0</v>
      </c>
      <c r="CS2324">
        <v>0</v>
      </c>
      <c r="CT2324">
        <v>-12.6</v>
      </c>
      <c r="CU2324">
        <v>39</v>
      </c>
      <c r="CV2324">
        <v>-0.05</v>
      </c>
      <c r="CW2324">
        <v>18</v>
      </c>
      <c r="CX2324" t="s">
        <v>3505</v>
      </c>
    </row>
    <row r="2325" spans="1:102" x14ac:dyDescent="0.3">
      <c r="A2325" t="str">
        <f>HYPERLINK("https://webapp.icbf.com/v2/app/bull-search/view/397273536","KIU")</f>
        <v>KIU</v>
      </c>
      <c r="B2325" t="s">
        <v>5163</v>
      </c>
      <c r="C2325" t="s">
        <v>5164</v>
      </c>
      <c r="D2325" s="1">
        <v>38398</v>
      </c>
      <c r="E2325" t="s">
        <v>92</v>
      </c>
      <c r="F2325">
        <v>56</v>
      </c>
      <c r="G2325" t="s">
        <v>116</v>
      </c>
      <c r="H2325">
        <v>47.35</v>
      </c>
      <c r="I2325">
        <v>40</v>
      </c>
      <c r="J2325">
        <v>48.64</v>
      </c>
      <c r="K2325">
        <v>42</v>
      </c>
      <c r="L2325">
        <v>-11.02</v>
      </c>
      <c r="M2325">
        <v>35</v>
      </c>
      <c r="N2325">
        <v>18.559999999999999</v>
      </c>
      <c r="O2325">
        <v>46</v>
      </c>
      <c r="P2325">
        <v>-26.38</v>
      </c>
      <c r="Q2325">
        <v>48</v>
      </c>
      <c r="R2325">
        <v>-2.81</v>
      </c>
      <c r="S2325">
        <v>38</v>
      </c>
      <c r="T2325">
        <v>22.26</v>
      </c>
      <c r="U2325">
        <v>40</v>
      </c>
      <c r="V2325">
        <v>-1.9</v>
      </c>
      <c r="W2325">
        <v>36</v>
      </c>
      <c r="X2325" t="s">
        <v>94</v>
      </c>
      <c r="Y2325" t="s">
        <v>1164</v>
      </c>
      <c r="Z2325" t="s">
        <v>96</v>
      </c>
      <c r="AA2325" t="s">
        <v>792</v>
      </c>
      <c r="AB2325" t="s">
        <v>5165</v>
      </c>
      <c r="AC2325">
        <v>3</v>
      </c>
      <c r="AD2325">
        <v>2</v>
      </c>
      <c r="AE2325">
        <v>42</v>
      </c>
      <c r="AF2325">
        <v>27.5</v>
      </c>
      <c r="AG2325">
        <v>5.18</v>
      </c>
      <c r="AH2325">
        <v>6.86</v>
      </c>
      <c r="AI2325">
        <v>7.0000000000000007E-2</v>
      </c>
      <c r="AJ2325">
        <v>0.1</v>
      </c>
      <c r="AK2325">
        <v>35</v>
      </c>
      <c r="AL2325">
        <v>2</v>
      </c>
      <c r="AM2325">
        <v>2</v>
      </c>
      <c r="AN2325">
        <v>1.31</v>
      </c>
      <c r="AO2325">
        <v>0.44</v>
      </c>
      <c r="AP2325">
        <v>7</v>
      </c>
      <c r="AQ2325">
        <v>0</v>
      </c>
      <c r="AR2325">
        <v>5.71</v>
      </c>
      <c r="AS2325">
        <v>31</v>
      </c>
      <c r="AT2325">
        <v>2.4300000000000002</v>
      </c>
      <c r="AU2325">
        <v>41</v>
      </c>
      <c r="AV2325">
        <v>-1.1399999999999999</v>
      </c>
      <c r="AW2325">
        <v>60</v>
      </c>
      <c r="AX2325">
        <v>-0.59</v>
      </c>
      <c r="AY2325">
        <v>37</v>
      </c>
      <c r="AZ2325">
        <v>6.95</v>
      </c>
      <c r="BA2325">
        <v>32</v>
      </c>
      <c r="BB2325">
        <v>5.26</v>
      </c>
      <c r="BC2325">
        <v>31</v>
      </c>
      <c r="BD2325">
        <v>0.01</v>
      </c>
      <c r="BE2325">
        <v>0.02</v>
      </c>
      <c r="BF2325">
        <v>0.01</v>
      </c>
      <c r="BG2325">
        <v>42</v>
      </c>
      <c r="BH2325">
        <v>0.08</v>
      </c>
      <c r="BI2325">
        <v>15.37</v>
      </c>
      <c r="BJ2325">
        <v>1</v>
      </c>
      <c r="BK2325">
        <v>1</v>
      </c>
      <c r="BL2325">
        <v>-1.03</v>
      </c>
      <c r="BM2325">
        <v>-0.1</v>
      </c>
      <c r="BN2325">
        <v>-0.3</v>
      </c>
      <c r="BO2325">
        <v>-0.41</v>
      </c>
      <c r="BP2325">
        <v>0.66</v>
      </c>
      <c r="BQ2325">
        <v>-2.09</v>
      </c>
      <c r="BR2325">
        <v>1.1599999999999999</v>
      </c>
      <c r="BS2325">
        <v>0.25</v>
      </c>
      <c r="BT2325">
        <v>-1.49</v>
      </c>
      <c r="BU2325">
        <v>-1.1599999999999999</v>
      </c>
      <c r="BV2325">
        <v>-0.97</v>
      </c>
      <c r="BW2325">
        <v>-1.18</v>
      </c>
      <c r="BX2325">
        <v>-1.45</v>
      </c>
      <c r="BY2325">
        <v>-1.82</v>
      </c>
      <c r="BZ2325">
        <v>1.08</v>
      </c>
      <c r="CA2325">
        <v>-0.97</v>
      </c>
      <c r="CB2325">
        <v>-1.1200000000000001</v>
      </c>
      <c r="CC2325">
        <v>-0.22</v>
      </c>
      <c r="CD2325">
        <v>0.06</v>
      </c>
      <c r="CE2325">
        <v>-0.55000000000000004</v>
      </c>
      <c r="CF2325">
        <v>-1.2</v>
      </c>
      <c r="CG2325">
        <v>0</v>
      </c>
      <c r="CH2325">
        <v>-1.25</v>
      </c>
      <c r="CI2325">
        <v>0</v>
      </c>
      <c r="CJ2325">
        <v>-12.9</v>
      </c>
      <c r="CK2325">
        <v>50</v>
      </c>
      <c r="CL2325">
        <v>-0.69</v>
      </c>
      <c r="CM2325">
        <v>47</v>
      </c>
      <c r="CN2325">
        <v>-0.1</v>
      </c>
      <c r="CO2325">
        <v>44</v>
      </c>
      <c r="CP2325">
        <v>-17.5</v>
      </c>
      <c r="CQ2325">
        <v>47</v>
      </c>
      <c r="CR2325">
        <v>0</v>
      </c>
      <c r="CS2325">
        <v>0</v>
      </c>
      <c r="CT2325">
        <v>-16.3</v>
      </c>
      <c r="CU2325">
        <v>40</v>
      </c>
      <c r="CV2325">
        <v>-0.02</v>
      </c>
      <c r="CW2325">
        <v>16</v>
      </c>
      <c r="CX2325" t="s">
        <v>1254</v>
      </c>
    </row>
    <row r="2326" spans="1:102" x14ac:dyDescent="0.3">
      <c r="A2326" t="str">
        <f>HYPERLINK("https://webapp.icbf.com/v2/app/bull-search/view/910808123","S1198")</f>
        <v>S1198</v>
      </c>
      <c r="B2326" t="s">
        <v>2468</v>
      </c>
      <c r="C2326" t="s">
        <v>2469</v>
      </c>
      <c r="D2326" s="1">
        <v>40124</v>
      </c>
      <c r="E2326" t="s">
        <v>146</v>
      </c>
      <c r="F2326">
        <v>0</v>
      </c>
      <c r="G2326" t="s">
        <v>109</v>
      </c>
      <c r="H2326">
        <v>47.24</v>
      </c>
      <c r="I2326">
        <v>61</v>
      </c>
      <c r="J2326">
        <v>-4.7699999999999996</v>
      </c>
      <c r="K2326">
        <v>67</v>
      </c>
      <c r="L2326">
        <v>3.03</v>
      </c>
      <c r="M2326">
        <v>47</v>
      </c>
      <c r="N2326">
        <v>44.9</v>
      </c>
      <c r="O2326">
        <v>81</v>
      </c>
      <c r="P2326">
        <v>9.27</v>
      </c>
      <c r="Q2326">
        <v>94</v>
      </c>
      <c r="R2326">
        <v>4.3499999999999996</v>
      </c>
      <c r="S2326">
        <v>48</v>
      </c>
      <c r="T2326">
        <v>0.14000000000000001</v>
      </c>
      <c r="U2326">
        <v>54</v>
      </c>
      <c r="V2326">
        <v>-9.68</v>
      </c>
      <c r="W2326">
        <v>44</v>
      </c>
      <c r="X2326" t="s">
        <v>94</v>
      </c>
      <c r="Y2326" t="s">
        <v>336</v>
      </c>
      <c r="Z2326">
        <v>0</v>
      </c>
      <c r="AA2326" t="s">
        <v>2470</v>
      </c>
      <c r="AB2326" t="s">
        <v>2471</v>
      </c>
      <c r="AC2326">
        <v>0</v>
      </c>
      <c r="AD2326">
        <v>0</v>
      </c>
      <c r="AE2326">
        <v>67</v>
      </c>
      <c r="AF2326">
        <v>-154.63</v>
      </c>
      <c r="AG2326">
        <v>-6.3</v>
      </c>
      <c r="AH2326">
        <v>-0.95</v>
      </c>
      <c r="AI2326">
        <v>0</v>
      </c>
      <c r="AJ2326">
        <v>7.0000000000000007E-2</v>
      </c>
      <c r="AK2326">
        <v>47</v>
      </c>
      <c r="AL2326">
        <v>0</v>
      </c>
      <c r="AM2326">
        <v>0</v>
      </c>
      <c r="AN2326">
        <v>0.46</v>
      </c>
      <c r="AO2326">
        <v>0.71</v>
      </c>
      <c r="AP2326">
        <v>224</v>
      </c>
      <c r="AQ2326">
        <v>1</v>
      </c>
      <c r="AR2326">
        <v>4.8899999999999997</v>
      </c>
      <c r="AS2326">
        <v>75</v>
      </c>
      <c r="AT2326">
        <v>1.97</v>
      </c>
      <c r="AU2326">
        <v>82</v>
      </c>
      <c r="AV2326">
        <v>-2.97</v>
      </c>
      <c r="AW2326">
        <v>96</v>
      </c>
      <c r="AX2326">
        <v>-0.59</v>
      </c>
      <c r="AY2326">
        <v>78</v>
      </c>
      <c r="AZ2326">
        <v>5.54</v>
      </c>
      <c r="BA2326">
        <v>54</v>
      </c>
      <c r="BB2326">
        <v>4.1900000000000004</v>
      </c>
      <c r="BC2326">
        <v>48</v>
      </c>
      <c r="BD2326">
        <v>0</v>
      </c>
      <c r="BE2326">
        <v>0</v>
      </c>
      <c r="BF2326">
        <v>-0.1</v>
      </c>
      <c r="BG2326">
        <v>66</v>
      </c>
      <c r="BH2326">
        <v>-0.23</v>
      </c>
      <c r="BI2326">
        <v>4.62</v>
      </c>
      <c r="BJ2326">
        <v>0</v>
      </c>
      <c r="BK2326">
        <v>0</v>
      </c>
      <c r="BL2326">
        <v>-1.36</v>
      </c>
      <c r="BM2326">
        <v>1.67</v>
      </c>
      <c r="BN2326">
        <v>-1.04</v>
      </c>
      <c r="BO2326">
        <v>-1.69</v>
      </c>
      <c r="BP2326">
        <v>3.71</v>
      </c>
      <c r="BQ2326">
        <v>-0.47</v>
      </c>
      <c r="BR2326">
        <v>-0.81</v>
      </c>
      <c r="BS2326">
        <v>0.2</v>
      </c>
      <c r="BT2326">
        <v>1.05</v>
      </c>
      <c r="BU2326">
        <v>-1.44</v>
      </c>
      <c r="BV2326">
        <v>-2.33</v>
      </c>
      <c r="BW2326">
        <v>-1.86</v>
      </c>
      <c r="BX2326">
        <v>-0.74</v>
      </c>
      <c r="BY2326">
        <v>-1.02</v>
      </c>
      <c r="BZ2326">
        <v>-0.21</v>
      </c>
      <c r="CA2326">
        <v>-1.36</v>
      </c>
      <c r="CB2326">
        <v>-1.67</v>
      </c>
      <c r="CC2326">
        <v>-0.11</v>
      </c>
      <c r="CD2326">
        <v>2.1</v>
      </c>
      <c r="CE2326">
        <v>-0.24</v>
      </c>
      <c r="CF2326">
        <v>-0.1</v>
      </c>
      <c r="CG2326">
        <v>0</v>
      </c>
      <c r="CH2326">
        <v>-0.09</v>
      </c>
      <c r="CI2326">
        <v>0</v>
      </c>
      <c r="CJ2326">
        <v>2</v>
      </c>
      <c r="CK2326">
        <v>96</v>
      </c>
      <c r="CL2326">
        <v>0.25</v>
      </c>
      <c r="CM2326">
        <v>95</v>
      </c>
      <c r="CN2326">
        <v>-0.32</v>
      </c>
      <c r="CO2326">
        <v>94</v>
      </c>
      <c r="CP2326">
        <v>1.2</v>
      </c>
      <c r="CQ2326">
        <v>78</v>
      </c>
      <c r="CR2326">
        <v>0</v>
      </c>
      <c r="CS2326">
        <v>0</v>
      </c>
      <c r="CT2326">
        <v>13.6</v>
      </c>
      <c r="CU2326">
        <v>54</v>
      </c>
      <c r="CV2326">
        <v>-0.19</v>
      </c>
      <c r="CW2326">
        <v>27</v>
      </c>
      <c r="CX2326" t="s">
        <v>2472</v>
      </c>
    </row>
    <row r="2327" spans="1:102" x14ac:dyDescent="0.3">
      <c r="A2327" t="str">
        <f>HYPERLINK("https://webapp.icbf.com/v2/app/bull-search/view/943592515","S1283")</f>
        <v>S1283</v>
      </c>
      <c r="B2327" t="s">
        <v>144</v>
      </c>
      <c r="C2327" t="s">
        <v>13094</v>
      </c>
      <c r="D2327" s="1">
        <v>39151</v>
      </c>
      <c r="E2327" t="s">
        <v>92</v>
      </c>
      <c r="F2327">
        <v>50</v>
      </c>
      <c r="G2327" t="s">
        <v>116</v>
      </c>
      <c r="H2327">
        <v>47.22</v>
      </c>
      <c r="I2327">
        <v>35</v>
      </c>
      <c r="J2327">
        <v>-6.49</v>
      </c>
      <c r="K2327">
        <v>61</v>
      </c>
      <c r="L2327">
        <v>41.59</v>
      </c>
      <c r="M2327">
        <v>16</v>
      </c>
      <c r="N2327">
        <v>14.14</v>
      </c>
      <c r="O2327">
        <v>32</v>
      </c>
      <c r="P2327">
        <v>-1.27</v>
      </c>
      <c r="Q2327">
        <v>42</v>
      </c>
      <c r="R2327">
        <v>-2.13</v>
      </c>
      <c r="S2327">
        <v>22</v>
      </c>
      <c r="T2327">
        <v>6.2</v>
      </c>
      <c r="U2327">
        <v>29</v>
      </c>
      <c r="V2327">
        <v>-4.82</v>
      </c>
      <c r="W2327">
        <v>8</v>
      </c>
      <c r="X2327" t="s">
        <v>94</v>
      </c>
      <c r="Y2327" t="s">
        <v>342</v>
      </c>
      <c r="Z2327">
        <v>0</v>
      </c>
      <c r="AA2327" t="s">
        <v>13095</v>
      </c>
      <c r="AB2327" t="s">
        <v>13096</v>
      </c>
      <c r="AC2327">
        <v>8</v>
      </c>
      <c r="AD2327">
        <v>5</v>
      </c>
      <c r="AE2327">
        <v>61</v>
      </c>
      <c r="AF2327">
        <v>-45.99</v>
      </c>
      <c r="AG2327">
        <v>4.5599999999999996</v>
      </c>
      <c r="AH2327">
        <v>-3.42</v>
      </c>
      <c r="AI2327">
        <v>0.11</v>
      </c>
      <c r="AJ2327">
        <v>-0.03</v>
      </c>
      <c r="AK2327">
        <v>16</v>
      </c>
      <c r="AL2327">
        <v>4</v>
      </c>
      <c r="AM2327">
        <v>2</v>
      </c>
      <c r="AN2327">
        <v>-2</v>
      </c>
      <c r="AO2327">
        <v>1.32</v>
      </c>
      <c r="AP2327">
        <v>10</v>
      </c>
      <c r="AQ2327">
        <v>4</v>
      </c>
      <c r="AR2327">
        <v>5.84</v>
      </c>
      <c r="AS2327">
        <v>25</v>
      </c>
      <c r="AT2327">
        <v>2.66</v>
      </c>
      <c r="AU2327">
        <v>33</v>
      </c>
      <c r="AV2327">
        <v>-0.14000000000000001</v>
      </c>
      <c r="AW2327">
        <v>42</v>
      </c>
      <c r="AX2327">
        <v>-0.84</v>
      </c>
      <c r="AY2327">
        <v>38</v>
      </c>
      <c r="AZ2327">
        <v>5.78</v>
      </c>
      <c r="BA2327">
        <v>6</v>
      </c>
      <c r="BB2327">
        <v>4.63</v>
      </c>
      <c r="BC2327">
        <v>6</v>
      </c>
      <c r="BD2327">
        <v>0.03</v>
      </c>
      <c r="BE2327">
        <v>0.01</v>
      </c>
      <c r="BF2327">
        <v>-0.02</v>
      </c>
      <c r="BG2327">
        <v>29</v>
      </c>
      <c r="BH2327">
        <v>-0.11</v>
      </c>
      <c r="BI2327">
        <v>2.82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2.2000000000000002</v>
      </c>
      <c r="CK2327">
        <v>46</v>
      </c>
      <c r="CL2327">
        <v>-0.51</v>
      </c>
      <c r="CM2327">
        <v>39</v>
      </c>
      <c r="CN2327">
        <v>-0.06</v>
      </c>
      <c r="CO2327">
        <v>36</v>
      </c>
      <c r="CP2327">
        <v>1.7</v>
      </c>
      <c r="CQ2327">
        <v>32</v>
      </c>
      <c r="CR2327">
        <v>0</v>
      </c>
      <c r="CS2327">
        <v>0</v>
      </c>
      <c r="CT2327">
        <v>5.4</v>
      </c>
      <c r="CU2327">
        <v>29</v>
      </c>
      <c r="CV2327">
        <v>0.28999999999999998</v>
      </c>
      <c r="CW2327">
        <v>11</v>
      </c>
      <c r="CX2327" t="s">
        <v>13097</v>
      </c>
    </row>
    <row r="2328" spans="1:102" x14ac:dyDescent="0.3">
      <c r="A2328" t="str">
        <f>HYPERLINK("https://webapp.icbf.com/v2/app/bull-search/view/442109310","RVH")</f>
        <v>RVH</v>
      </c>
      <c r="B2328" t="s">
        <v>2915</v>
      </c>
      <c r="C2328" t="s">
        <v>2916</v>
      </c>
      <c r="D2328" s="1">
        <v>38753</v>
      </c>
      <c r="E2328" t="s">
        <v>92</v>
      </c>
      <c r="F2328">
        <v>94</v>
      </c>
      <c r="G2328" t="s">
        <v>93</v>
      </c>
      <c r="H2328">
        <v>47.13</v>
      </c>
      <c r="I2328">
        <v>86</v>
      </c>
      <c r="J2328">
        <v>84.94</v>
      </c>
      <c r="K2328">
        <v>96</v>
      </c>
      <c r="L2328">
        <v>-55.08</v>
      </c>
      <c r="M2328">
        <v>77</v>
      </c>
      <c r="N2328">
        <v>-0.66</v>
      </c>
      <c r="O2328">
        <v>84</v>
      </c>
      <c r="P2328">
        <v>1.39</v>
      </c>
      <c r="Q2328">
        <v>91</v>
      </c>
      <c r="R2328">
        <v>9.83</v>
      </c>
      <c r="S2328">
        <v>81</v>
      </c>
      <c r="T2328">
        <v>9.9</v>
      </c>
      <c r="U2328">
        <v>84</v>
      </c>
      <c r="V2328">
        <v>-3.19</v>
      </c>
      <c r="W2328">
        <v>80</v>
      </c>
      <c r="X2328" t="s">
        <v>94</v>
      </c>
      <c r="Y2328" t="s">
        <v>228</v>
      </c>
      <c r="Z2328" t="s">
        <v>96</v>
      </c>
      <c r="AA2328" t="s">
        <v>2917</v>
      </c>
      <c r="AB2328" t="s">
        <v>2918</v>
      </c>
      <c r="AC2328">
        <v>80</v>
      </c>
      <c r="AD2328">
        <v>53</v>
      </c>
      <c r="AE2328">
        <v>96</v>
      </c>
      <c r="AF2328">
        <v>105.16</v>
      </c>
      <c r="AG2328">
        <v>19.010000000000002</v>
      </c>
      <c r="AH2328">
        <v>9.33</v>
      </c>
      <c r="AI2328">
        <v>0.26</v>
      </c>
      <c r="AJ2328">
        <v>0.1</v>
      </c>
      <c r="AK2328">
        <v>77</v>
      </c>
      <c r="AL2328">
        <v>78</v>
      </c>
      <c r="AM2328">
        <v>52</v>
      </c>
      <c r="AN2328">
        <v>2.44</v>
      </c>
      <c r="AO2328">
        <v>-1.96</v>
      </c>
      <c r="AP2328">
        <v>164</v>
      </c>
      <c r="AQ2328">
        <v>1</v>
      </c>
      <c r="AR2328">
        <v>10.54</v>
      </c>
      <c r="AS2328">
        <v>68</v>
      </c>
      <c r="AT2328">
        <v>4.26</v>
      </c>
      <c r="AU2328">
        <v>86</v>
      </c>
      <c r="AV2328">
        <v>-2.23</v>
      </c>
      <c r="AW2328">
        <v>95</v>
      </c>
      <c r="AX2328">
        <v>-0.84</v>
      </c>
      <c r="AY2328">
        <v>78</v>
      </c>
      <c r="AZ2328">
        <v>6.76</v>
      </c>
      <c r="BA2328">
        <v>63</v>
      </c>
      <c r="BB2328">
        <v>4.95</v>
      </c>
      <c r="BC2328">
        <v>65</v>
      </c>
      <c r="BD2328">
        <v>-0.03</v>
      </c>
      <c r="BE2328">
        <v>-0.04</v>
      </c>
      <c r="BF2328">
        <v>-0.1</v>
      </c>
      <c r="BG2328">
        <v>88</v>
      </c>
      <c r="BH2328">
        <v>-0.05</v>
      </c>
      <c r="BI2328">
        <v>4.51</v>
      </c>
      <c r="BJ2328">
        <v>12</v>
      </c>
      <c r="BK2328">
        <v>11</v>
      </c>
      <c r="BL2328">
        <v>0.17</v>
      </c>
      <c r="BM2328">
        <v>0.76</v>
      </c>
      <c r="BN2328">
        <v>0.86</v>
      </c>
      <c r="BO2328">
        <v>7.0000000000000007E-2</v>
      </c>
      <c r="BP2328">
        <v>2.4500000000000002</v>
      </c>
      <c r="BQ2328">
        <v>0.64</v>
      </c>
      <c r="BR2328">
        <v>0.05</v>
      </c>
      <c r="BS2328">
        <v>-0.32</v>
      </c>
      <c r="BT2328">
        <v>1.19</v>
      </c>
      <c r="BU2328">
        <v>-0.52</v>
      </c>
      <c r="BV2328">
        <v>-0.1</v>
      </c>
      <c r="BW2328">
        <v>-0.36</v>
      </c>
      <c r="BX2328">
        <v>-0.74</v>
      </c>
      <c r="BY2328">
        <v>0.14000000000000001</v>
      </c>
      <c r="BZ2328">
        <v>-1.1499999999999999</v>
      </c>
      <c r="CA2328">
        <v>-0.63</v>
      </c>
      <c r="CB2328">
        <v>-0.2</v>
      </c>
      <c r="CC2328">
        <v>-0.1</v>
      </c>
      <c r="CD2328">
        <v>0.16</v>
      </c>
      <c r="CE2328">
        <v>-0.46</v>
      </c>
      <c r="CF2328">
        <v>-0.26</v>
      </c>
      <c r="CG2328">
        <v>0</v>
      </c>
      <c r="CH2328">
        <v>-0.13</v>
      </c>
      <c r="CI2328">
        <v>0</v>
      </c>
      <c r="CJ2328">
        <v>3.1</v>
      </c>
      <c r="CK2328">
        <v>92</v>
      </c>
      <c r="CL2328">
        <v>-0.61</v>
      </c>
      <c r="CM2328">
        <v>90</v>
      </c>
      <c r="CN2328">
        <v>-0.34</v>
      </c>
      <c r="CO2328">
        <v>89</v>
      </c>
      <c r="CP2328">
        <v>-3.8</v>
      </c>
      <c r="CQ2328">
        <v>88</v>
      </c>
      <c r="CR2328">
        <v>0</v>
      </c>
      <c r="CS2328">
        <v>0</v>
      </c>
      <c r="CT2328">
        <v>0.4</v>
      </c>
      <c r="CU2328">
        <v>84</v>
      </c>
      <c r="CV2328">
        <v>0.32</v>
      </c>
      <c r="CW2328">
        <v>44</v>
      </c>
      <c r="CX2328" t="s">
        <v>771</v>
      </c>
    </row>
    <row r="2329" spans="1:102" x14ac:dyDescent="0.3">
      <c r="A2329" t="str">
        <f>HYPERLINK("https://webapp.icbf.com/v2/app/bull-search/view/147114470","LOG")</f>
        <v>LOG</v>
      </c>
      <c r="B2329" t="s">
        <v>10008</v>
      </c>
      <c r="C2329" t="s">
        <v>10009</v>
      </c>
      <c r="D2329" s="1">
        <v>35018</v>
      </c>
      <c r="E2329" t="s">
        <v>140</v>
      </c>
      <c r="F2329">
        <v>0</v>
      </c>
      <c r="G2329" t="s">
        <v>93</v>
      </c>
      <c r="H2329">
        <v>47.12</v>
      </c>
      <c r="I2329">
        <v>79</v>
      </c>
      <c r="J2329">
        <v>-8.01</v>
      </c>
      <c r="K2329">
        <v>93</v>
      </c>
      <c r="L2329">
        <v>56.47</v>
      </c>
      <c r="M2329">
        <v>64</v>
      </c>
      <c r="N2329">
        <v>-2.59</v>
      </c>
      <c r="O2329">
        <v>78</v>
      </c>
      <c r="P2329">
        <v>20.72</v>
      </c>
      <c r="Q2329">
        <v>90</v>
      </c>
      <c r="R2329">
        <v>-2.9</v>
      </c>
      <c r="S2329">
        <v>69</v>
      </c>
      <c r="T2329">
        <v>-3.79</v>
      </c>
      <c r="U2329">
        <v>87</v>
      </c>
      <c r="V2329">
        <v>-12.78</v>
      </c>
      <c r="W2329">
        <v>59</v>
      </c>
      <c r="X2329" t="s">
        <v>276</v>
      </c>
      <c r="Y2329" t="s">
        <v>95</v>
      </c>
      <c r="Z2329">
        <v>0</v>
      </c>
      <c r="AA2329" t="s">
        <v>1177</v>
      </c>
      <c r="AB2329" t="s">
        <v>10010</v>
      </c>
      <c r="AC2329">
        <v>51</v>
      </c>
      <c r="AD2329">
        <v>19</v>
      </c>
      <c r="AE2329">
        <v>93</v>
      </c>
      <c r="AF2329">
        <v>-162.33000000000001</v>
      </c>
      <c r="AG2329">
        <v>-9.01</v>
      </c>
      <c r="AH2329">
        <v>-0.66</v>
      </c>
      <c r="AI2329">
        <v>-0.05</v>
      </c>
      <c r="AJ2329">
        <v>0.08</v>
      </c>
      <c r="AK2329">
        <v>64</v>
      </c>
      <c r="AL2329">
        <v>54</v>
      </c>
      <c r="AM2329">
        <v>25</v>
      </c>
      <c r="AN2329">
        <v>-4.1500000000000004</v>
      </c>
      <c r="AO2329">
        <v>0.34</v>
      </c>
      <c r="AP2329">
        <v>99</v>
      </c>
      <c r="AQ2329">
        <v>0</v>
      </c>
      <c r="AR2329">
        <v>7.87</v>
      </c>
      <c r="AS2329">
        <v>65</v>
      </c>
      <c r="AT2329">
        <v>3.66</v>
      </c>
      <c r="AU2329">
        <v>79</v>
      </c>
      <c r="AV2329">
        <v>0.57999999999999996</v>
      </c>
      <c r="AW2329">
        <v>88</v>
      </c>
      <c r="AX2329">
        <v>-0.35</v>
      </c>
      <c r="AY2329">
        <v>77</v>
      </c>
      <c r="AZ2329">
        <v>5.84</v>
      </c>
      <c r="BA2329">
        <v>55</v>
      </c>
      <c r="BB2329">
        <v>3.69</v>
      </c>
      <c r="BC2329">
        <v>63</v>
      </c>
      <c r="BD2329">
        <v>7.0000000000000007E-2</v>
      </c>
      <c r="BE2329">
        <v>0</v>
      </c>
      <c r="BF2329">
        <v>-0.05</v>
      </c>
      <c r="BG2329">
        <v>78</v>
      </c>
      <c r="BH2329">
        <v>-0.2</v>
      </c>
      <c r="BI2329">
        <v>18.09</v>
      </c>
      <c r="BJ2329">
        <v>0</v>
      </c>
      <c r="BK2329">
        <v>0</v>
      </c>
      <c r="BL2329">
        <v>-1.02</v>
      </c>
      <c r="BM2329">
        <v>3.39</v>
      </c>
      <c r="BN2329">
        <v>-1.78</v>
      </c>
      <c r="BO2329">
        <v>-3.06</v>
      </c>
      <c r="BP2329">
        <v>4.45</v>
      </c>
      <c r="BQ2329">
        <v>-2.2200000000000002</v>
      </c>
      <c r="BR2329">
        <v>-2.64</v>
      </c>
      <c r="BS2329">
        <v>-0.45</v>
      </c>
      <c r="BT2329">
        <v>2.4900000000000002</v>
      </c>
      <c r="BU2329">
        <v>-3.51</v>
      </c>
      <c r="BV2329">
        <v>-3.85</v>
      </c>
      <c r="BW2329">
        <v>-2.87</v>
      </c>
      <c r="BX2329">
        <v>-2.95</v>
      </c>
      <c r="BY2329">
        <v>-2.19</v>
      </c>
      <c r="BZ2329">
        <v>1.1399999999999999</v>
      </c>
      <c r="CA2329">
        <v>-2.4300000000000002</v>
      </c>
      <c r="CB2329">
        <v>-3.09</v>
      </c>
      <c r="CC2329">
        <v>-0.42</v>
      </c>
      <c r="CD2329">
        <v>3.78</v>
      </c>
      <c r="CE2329">
        <v>-2.92</v>
      </c>
      <c r="CF2329">
        <v>-1.28</v>
      </c>
      <c r="CG2329">
        <v>0</v>
      </c>
      <c r="CH2329">
        <v>-2.4500000000000002</v>
      </c>
      <c r="CI2329">
        <v>0</v>
      </c>
      <c r="CJ2329">
        <v>8.9</v>
      </c>
      <c r="CK2329">
        <v>91</v>
      </c>
      <c r="CL2329">
        <v>0.51</v>
      </c>
      <c r="CM2329">
        <v>90</v>
      </c>
      <c r="CN2329">
        <v>-0.13</v>
      </c>
      <c r="CO2329">
        <v>89</v>
      </c>
      <c r="CP2329">
        <v>11</v>
      </c>
      <c r="CQ2329">
        <v>88</v>
      </c>
      <c r="CR2329">
        <v>0</v>
      </c>
      <c r="CS2329">
        <v>0</v>
      </c>
      <c r="CT2329">
        <v>18.899999999999999</v>
      </c>
      <c r="CU2329">
        <v>87</v>
      </c>
      <c r="CV2329">
        <v>-7.0000000000000007E-2</v>
      </c>
      <c r="CW2329">
        <v>26</v>
      </c>
      <c r="CX2329" t="s">
        <v>2464</v>
      </c>
    </row>
    <row r="2330" spans="1:102" x14ac:dyDescent="0.3">
      <c r="A2330" t="str">
        <f>HYPERLINK("https://webapp.icbf.com/v2/app/bull-search/view/77855002","NET")</f>
        <v>NET</v>
      </c>
      <c r="B2330" t="s">
        <v>3638</v>
      </c>
      <c r="C2330" t="s">
        <v>3639</v>
      </c>
      <c r="D2330" s="1">
        <v>34877</v>
      </c>
      <c r="E2330" t="s">
        <v>92</v>
      </c>
      <c r="F2330">
        <v>100</v>
      </c>
      <c r="G2330" t="s">
        <v>93</v>
      </c>
      <c r="H2330">
        <v>46.89</v>
      </c>
      <c r="I2330">
        <v>96</v>
      </c>
      <c r="J2330">
        <v>38.49</v>
      </c>
      <c r="K2330">
        <v>99</v>
      </c>
      <c r="L2330">
        <v>7.62</v>
      </c>
      <c r="M2330">
        <v>92</v>
      </c>
      <c r="N2330">
        <v>8.42</v>
      </c>
      <c r="O2330">
        <v>96</v>
      </c>
      <c r="P2330">
        <v>5.25</v>
      </c>
      <c r="Q2330">
        <v>99</v>
      </c>
      <c r="R2330">
        <v>-9.44</v>
      </c>
      <c r="S2330">
        <v>94</v>
      </c>
      <c r="T2330">
        <v>11.09</v>
      </c>
      <c r="U2330">
        <v>97</v>
      </c>
      <c r="V2330">
        <v>-14.54</v>
      </c>
      <c r="W2330">
        <v>95</v>
      </c>
      <c r="X2330" t="s">
        <v>102</v>
      </c>
      <c r="Y2330" t="s">
        <v>95</v>
      </c>
      <c r="Z2330" t="s">
        <v>96</v>
      </c>
      <c r="AA2330" t="s">
        <v>924</v>
      </c>
      <c r="AB2330" t="s">
        <v>772</v>
      </c>
      <c r="AC2330">
        <v>667</v>
      </c>
      <c r="AD2330">
        <v>259</v>
      </c>
      <c r="AE2330">
        <v>99</v>
      </c>
      <c r="AF2330">
        <v>-41.69</v>
      </c>
      <c r="AG2330">
        <v>4.12</v>
      </c>
      <c r="AH2330">
        <v>4.45</v>
      </c>
      <c r="AI2330">
        <v>0.1</v>
      </c>
      <c r="AJ2330">
        <v>0.1</v>
      </c>
      <c r="AK2330">
        <v>92</v>
      </c>
      <c r="AL2330">
        <v>865</v>
      </c>
      <c r="AM2330">
        <v>335</v>
      </c>
      <c r="AN2330">
        <v>-0.24</v>
      </c>
      <c r="AO2330">
        <v>0.37</v>
      </c>
      <c r="AP2330">
        <v>839</v>
      </c>
      <c r="AQ2330">
        <v>10</v>
      </c>
      <c r="AR2330">
        <v>6.5</v>
      </c>
      <c r="AS2330">
        <v>91</v>
      </c>
      <c r="AT2330">
        <v>3.05</v>
      </c>
      <c r="AU2330">
        <v>97</v>
      </c>
      <c r="AV2330">
        <v>-0.74</v>
      </c>
      <c r="AW2330">
        <v>98</v>
      </c>
      <c r="AX2330">
        <v>-0.28999999999999998</v>
      </c>
      <c r="AY2330">
        <v>97</v>
      </c>
      <c r="AZ2330">
        <v>6.61</v>
      </c>
      <c r="BA2330">
        <v>90</v>
      </c>
      <c r="BB2330">
        <v>5.29</v>
      </c>
      <c r="BC2330">
        <v>93</v>
      </c>
      <c r="BD2330">
        <v>0.03</v>
      </c>
      <c r="BE2330">
        <v>0.03</v>
      </c>
      <c r="BF2330">
        <v>0.11</v>
      </c>
      <c r="BG2330">
        <v>97</v>
      </c>
      <c r="BH2330">
        <v>-0.21</v>
      </c>
      <c r="BI2330">
        <v>22.61</v>
      </c>
      <c r="BJ2330">
        <v>42</v>
      </c>
      <c r="BK2330">
        <v>26</v>
      </c>
      <c r="BL2330">
        <v>0.66</v>
      </c>
      <c r="BM2330">
        <v>0.34</v>
      </c>
      <c r="BN2330">
        <v>0.44</v>
      </c>
      <c r="BO2330">
        <v>0.18</v>
      </c>
      <c r="BP2330">
        <v>2.61</v>
      </c>
      <c r="BQ2330">
        <v>-1.34</v>
      </c>
      <c r="BR2330">
        <v>0.71</v>
      </c>
      <c r="BS2330">
        <v>-0.33</v>
      </c>
      <c r="BT2330">
        <v>-0.03</v>
      </c>
      <c r="BU2330">
        <v>-0.68</v>
      </c>
      <c r="BV2330">
        <v>-1.39</v>
      </c>
      <c r="BW2330">
        <v>-1.03</v>
      </c>
      <c r="BX2330">
        <v>-0.11</v>
      </c>
      <c r="BY2330">
        <v>-0.31</v>
      </c>
      <c r="BZ2330">
        <v>-0.24</v>
      </c>
      <c r="CA2330">
        <v>-0.51</v>
      </c>
      <c r="CB2330">
        <v>-0.71</v>
      </c>
      <c r="CC2330">
        <v>-0.01</v>
      </c>
      <c r="CD2330">
        <v>-0.56000000000000005</v>
      </c>
      <c r="CE2330">
        <v>0.1</v>
      </c>
      <c r="CF2330">
        <v>0.64</v>
      </c>
      <c r="CG2330">
        <v>0</v>
      </c>
      <c r="CH2330">
        <v>-0.34</v>
      </c>
      <c r="CI2330">
        <v>0</v>
      </c>
      <c r="CJ2330">
        <v>2.6</v>
      </c>
      <c r="CK2330">
        <v>99</v>
      </c>
      <c r="CL2330">
        <v>-0.53</v>
      </c>
      <c r="CM2330">
        <v>99</v>
      </c>
      <c r="CN2330">
        <v>-0.61</v>
      </c>
      <c r="CO2330">
        <v>99</v>
      </c>
      <c r="CP2330">
        <v>-0.1</v>
      </c>
      <c r="CQ2330">
        <v>99</v>
      </c>
      <c r="CR2330">
        <v>0</v>
      </c>
      <c r="CS2330">
        <v>0</v>
      </c>
      <c r="CT2330">
        <v>-1.2</v>
      </c>
      <c r="CU2330">
        <v>97</v>
      </c>
      <c r="CV2330">
        <v>0.02</v>
      </c>
      <c r="CW2330">
        <v>47</v>
      </c>
      <c r="CX2330" t="s">
        <v>724</v>
      </c>
    </row>
    <row r="2331" spans="1:102" x14ac:dyDescent="0.3">
      <c r="A2331" t="str">
        <f>HYPERLINK("https://webapp.icbf.com/v2/app/bull-search/view/137158664","SKY")</f>
        <v>SKY</v>
      </c>
      <c r="B2331" t="s">
        <v>4734</v>
      </c>
      <c r="C2331" t="s">
        <v>4735</v>
      </c>
      <c r="D2331" s="1">
        <v>34912</v>
      </c>
      <c r="E2331" t="s">
        <v>92</v>
      </c>
      <c r="F2331">
        <v>81</v>
      </c>
      <c r="G2331" t="s">
        <v>93</v>
      </c>
      <c r="H2331">
        <v>46.89</v>
      </c>
      <c r="I2331">
        <v>87</v>
      </c>
      <c r="J2331">
        <v>46.71</v>
      </c>
      <c r="K2331">
        <v>96</v>
      </c>
      <c r="L2331">
        <v>-11.88</v>
      </c>
      <c r="M2331">
        <v>81</v>
      </c>
      <c r="N2331">
        <v>-0.61</v>
      </c>
      <c r="O2331">
        <v>85</v>
      </c>
      <c r="P2331">
        <v>-8.86</v>
      </c>
      <c r="Q2331">
        <v>94</v>
      </c>
      <c r="R2331">
        <v>-1.99</v>
      </c>
      <c r="S2331">
        <v>75</v>
      </c>
      <c r="T2331">
        <v>17.16</v>
      </c>
      <c r="U2331">
        <v>87</v>
      </c>
      <c r="V2331">
        <v>6.36</v>
      </c>
      <c r="W2331">
        <v>73</v>
      </c>
      <c r="X2331" t="s">
        <v>251</v>
      </c>
      <c r="Y2331" t="s">
        <v>95</v>
      </c>
      <c r="Z2331" t="s">
        <v>96</v>
      </c>
      <c r="AA2331" t="s">
        <v>207</v>
      </c>
      <c r="AB2331" t="s">
        <v>4736</v>
      </c>
      <c r="AC2331">
        <v>108</v>
      </c>
      <c r="AD2331">
        <v>45</v>
      </c>
      <c r="AE2331">
        <v>96</v>
      </c>
      <c r="AF2331">
        <v>91.62</v>
      </c>
      <c r="AG2331">
        <v>11.89</v>
      </c>
      <c r="AH2331">
        <v>5.14</v>
      </c>
      <c r="AI2331">
        <v>0.14000000000000001</v>
      </c>
      <c r="AJ2331">
        <v>0.03</v>
      </c>
      <c r="AK2331">
        <v>81</v>
      </c>
      <c r="AL2331">
        <v>115</v>
      </c>
      <c r="AM2331">
        <v>49</v>
      </c>
      <c r="AN2331">
        <v>1.24</v>
      </c>
      <c r="AO2331">
        <v>0.3</v>
      </c>
      <c r="AP2331">
        <v>199</v>
      </c>
      <c r="AQ2331">
        <v>23</v>
      </c>
      <c r="AR2331">
        <v>10.78</v>
      </c>
      <c r="AS2331">
        <v>70</v>
      </c>
      <c r="AT2331">
        <v>3.3</v>
      </c>
      <c r="AU2331">
        <v>85</v>
      </c>
      <c r="AV2331">
        <v>-1.1000000000000001</v>
      </c>
      <c r="AW2331">
        <v>95</v>
      </c>
      <c r="AX2331">
        <v>-0.3</v>
      </c>
      <c r="AY2331">
        <v>85</v>
      </c>
      <c r="AZ2331">
        <v>7.04</v>
      </c>
      <c r="BA2331">
        <v>63</v>
      </c>
      <c r="BB2331">
        <v>4.7</v>
      </c>
      <c r="BC2331">
        <v>68</v>
      </c>
      <c r="BD2331">
        <v>-0.05</v>
      </c>
      <c r="BE2331">
        <v>0.01</v>
      </c>
      <c r="BF2331">
        <v>0.11</v>
      </c>
      <c r="BG2331">
        <v>83</v>
      </c>
      <c r="BH2331">
        <v>0.15</v>
      </c>
      <c r="BI2331">
        <v>-3.18</v>
      </c>
      <c r="BJ2331">
        <v>3</v>
      </c>
      <c r="BK2331">
        <v>3</v>
      </c>
      <c r="BL2331">
        <v>-1.04</v>
      </c>
      <c r="BM2331">
        <v>-0.3</v>
      </c>
      <c r="BN2331">
        <v>-1.3</v>
      </c>
      <c r="BO2331">
        <v>-0.31</v>
      </c>
      <c r="BP2331">
        <v>0.66</v>
      </c>
      <c r="BQ2331">
        <v>-1.06</v>
      </c>
      <c r="BR2331">
        <v>1.31</v>
      </c>
      <c r="BS2331">
        <v>-0.86</v>
      </c>
      <c r="BT2331">
        <v>0.32</v>
      </c>
      <c r="BU2331">
        <v>-1.35</v>
      </c>
      <c r="BV2331">
        <v>-1.05</v>
      </c>
      <c r="BW2331">
        <v>-0.87</v>
      </c>
      <c r="BX2331">
        <v>-0.82</v>
      </c>
      <c r="BY2331">
        <v>0.9</v>
      </c>
      <c r="BZ2331">
        <v>0.76</v>
      </c>
      <c r="CA2331">
        <v>-1.34</v>
      </c>
      <c r="CB2331">
        <v>-1.01</v>
      </c>
      <c r="CC2331">
        <v>-0.72</v>
      </c>
      <c r="CD2331">
        <v>0.22</v>
      </c>
      <c r="CE2331">
        <v>-0.8</v>
      </c>
      <c r="CF2331">
        <v>-0.5</v>
      </c>
      <c r="CG2331">
        <v>0</v>
      </c>
      <c r="CH2331">
        <v>-0.2</v>
      </c>
      <c r="CI2331">
        <v>0</v>
      </c>
      <c r="CJ2331">
        <v>-2.1</v>
      </c>
      <c r="CK2331">
        <v>95</v>
      </c>
      <c r="CL2331">
        <v>-0.39</v>
      </c>
      <c r="CM2331">
        <v>94</v>
      </c>
      <c r="CN2331">
        <v>0.04</v>
      </c>
      <c r="CO2331">
        <v>93</v>
      </c>
      <c r="CP2331">
        <v>-9.8000000000000007</v>
      </c>
      <c r="CQ2331">
        <v>91</v>
      </c>
      <c r="CR2331">
        <v>0</v>
      </c>
      <c r="CS2331">
        <v>0</v>
      </c>
      <c r="CT2331">
        <v>-9.4</v>
      </c>
      <c r="CU2331">
        <v>87</v>
      </c>
      <c r="CV2331">
        <v>0.06</v>
      </c>
      <c r="CW2331">
        <v>28</v>
      </c>
      <c r="CX2331" t="s">
        <v>1625</v>
      </c>
    </row>
    <row r="2332" spans="1:102" x14ac:dyDescent="0.3">
      <c r="A2332" t="str">
        <f>HYPERLINK("https://webapp.icbf.com/v2/app/bull-search/view/349442036","DKX")</f>
        <v>DKX</v>
      </c>
      <c r="B2332" t="s">
        <v>8135</v>
      </c>
      <c r="C2332" t="s">
        <v>8136</v>
      </c>
      <c r="D2332" s="1">
        <v>37245</v>
      </c>
      <c r="E2332" t="s">
        <v>108</v>
      </c>
      <c r="F2332">
        <v>0</v>
      </c>
      <c r="G2332" t="s">
        <v>93</v>
      </c>
      <c r="H2332">
        <v>46.89</v>
      </c>
      <c r="I2332">
        <v>89</v>
      </c>
      <c r="J2332">
        <v>-20.86</v>
      </c>
      <c r="K2332">
        <v>97</v>
      </c>
      <c r="L2332">
        <v>73.38</v>
      </c>
      <c r="M2332">
        <v>81</v>
      </c>
      <c r="N2332">
        <v>-15.96</v>
      </c>
      <c r="O2332">
        <v>86</v>
      </c>
      <c r="P2332">
        <v>-14.58</v>
      </c>
      <c r="Q2332">
        <v>95</v>
      </c>
      <c r="R2332">
        <v>-2.36</v>
      </c>
      <c r="S2332">
        <v>83</v>
      </c>
      <c r="T2332">
        <v>27</v>
      </c>
      <c r="U2332">
        <v>87</v>
      </c>
      <c r="V2332">
        <v>0.27</v>
      </c>
      <c r="W2332">
        <v>83</v>
      </c>
      <c r="X2332" t="s">
        <v>102</v>
      </c>
      <c r="Y2332" t="s">
        <v>2565</v>
      </c>
      <c r="Z2332" t="s">
        <v>96</v>
      </c>
      <c r="AA2332" t="s">
        <v>8137</v>
      </c>
      <c r="AB2332" t="s">
        <v>8138</v>
      </c>
      <c r="AC2332">
        <v>94</v>
      </c>
      <c r="AD2332">
        <v>59</v>
      </c>
      <c r="AE2332">
        <v>97</v>
      </c>
      <c r="AF2332">
        <v>-91.63</v>
      </c>
      <c r="AG2332">
        <v>-1.47</v>
      </c>
      <c r="AH2332">
        <v>-4.43</v>
      </c>
      <c r="AI2332">
        <v>0.04</v>
      </c>
      <c r="AJ2332">
        <v>-0.02</v>
      </c>
      <c r="AK2332">
        <v>81</v>
      </c>
      <c r="AL2332">
        <v>121</v>
      </c>
      <c r="AM2332">
        <v>81</v>
      </c>
      <c r="AN2332">
        <v>-6.48</v>
      </c>
      <c r="AO2332">
        <v>-0.66</v>
      </c>
      <c r="AP2332">
        <v>205</v>
      </c>
      <c r="AQ2332">
        <v>2</v>
      </c>
      <c r="AR2332">
        <v>8.25</v>
      </c>
      <c r="AS2332">
        <v>70</v>
      </c>
      <c r="AT2332">
        <v>3.51</v>
      </c>
      <c r="AU2332">
        <v>89</v>
      </c>
      <c r="AV2332">
        <v>-0.52</v>
      </c>
      <c r="AW2332">
        <v>93</v>
      </c>
      <c r="AX2332">
        <v>-0.22</v>
      </c>
      <c r="AY2332">
        <v>86</v>
      </c>
      <c r="AZ2332">
        <v>7.65</v>
      </c>
      <c r="BA2332">
        <v>68</v>
      </c>
      <c r="BB2332">
        <v>7.3</v>
      </c>
      <c r="BC2332">
        <v>74</v>
      </c>
      <c r="BD2332">
        <v>0.05</v>
      </c>
      <c r="BE2332">
        <v>-0.01</v>
      </c>
      <c r="BF2332">
        <v>-0.01</v>
      </c>
      <c r="BG2332">
        <v>89</v>
      </c>
      <c r="BH2332">
        <v>7.0000000000000007E-2</v>
      </c>
      <c r="BI2332">
        <v>7.22</v>
      </c>
      <c r="BJ2332">
        <v>38</v>
      </c>
      <c r="BK2332">
        <v>19</v>
      </c>
      <c r="BL2332">
        <v>-3.12</v>
      </c>
      <c r="BM2332">
        <v>0.28999999999999998</v>
      </c>
      <c r="BN2332">
        <v>-4.0999999999999996</v>
      </c>
      <c r="BO2332">
        <v>-3.13</v>
      </c>
      <c r="BP2332">
        <v>0.81</v>
      </c>
      <c r="BQ2332">
        <v>1.08</v>
      </c>
      <c r="BR2332">
        <v>-2.92</v>
      </c>
      <c r="BS2332">
        <v>-0.39</v>
      </c>
      <c r="BT2332">
        <v>1.27</v>
      </c>
      <c r="BU2332">
        <v>-2.93</v>
      </c>
      <c r="BV2332">
        <v>-3.67</v>
      </c>
      <c r="BW2332">
        <v>-2.82</v>
      </c>
      <c r="BX2332">
        <v>-0.1</v>
      </c>
      <c r="BY2332">
        <v>-1.79</v>
      </c>
      <c r="BZ2332">
        <v>-0.23</v>
      </c>
      <c r="CA2332">
        <v>-3.43</v>
      </c>
      <c r="CB2332">
        <v>-3.83</v>
      </c>
      <c r="CC2332">
        <v>-1.62</v>
      </c>
      <c r="CD2332">
        <v>2.74</v>
      </c>
      <c r="CE2332">
        <v>-3.23</v>
      </c>
      <c r="CF2332">
        <v>-2.42</v>
      </c>
      <c r="CG2332">
        <v>0</v>
      </c>
      <c r="CH2332">
        <v>-1.89</v>
      </c>
      <c r="CI2332">
        <v>0</v>
      </c>
      <c r="CJ2332">
        <v>-6.5</v>
      </c>
      <c r="CK2332">
        <v>96</v>
      </c>
      <c r="CL2332">
        <v>-0.16</v>
      </c>
      <c r="CM2332">
        <v>95</v>
      </c>
      <c r="CN2332">
        <v>0.11</v>
      </c>
      <c r="CO2332">
        <v>95</v>
      </c>
      <c r="CP2332">
        <v>-17.8</v>
      </c>
      <c r="CQ2332">
        <v>93</v>
      </c>
      <c r="CR2332">
        <v>0</v>
      </c>
      <c r="CS2332">
        <v>0</v>
      </c>
      <c r="CT2332">
        <v>-22.7</v>
      </c>
      <c r="CU2332">
        <v>87</v>
      </c>
      <c r="CV2332">
        <v>0.02</v>
      </c>
      <c r="CW2332">
        <v>45</v>
      </c>
      <c r="CX2332" t="s">
        <v>2821</v>
      </c>
    </row>
    <row r="2333" spans="1:102" x14ac:dyDescent="0.3">
      <c r="A2333" t="str">
        <f>HYPERLINK("https://webapp.icbf.com/v2/app/bull-search/view/373207679","MDT")</f>
        <v>MDT</v>
      </c>
      <c r="B2333" t="s">
        <v>4276</v>
      </c>
      <c r="C2333" t="s">
        <v>4277</v>
      </c>
      <c r="D2333" s="1">
        <v>38225</v>
      </c>
      <c r="E2333" t="s">
        <v>92</v>
      </c>
      <c r="F2333">
        <v>100</v>
      </c>
      <c r="G2333" t="s">
        <v>93</v>
      </c>
      <c r="H2333">
        <v>46.78</v>
      </c>
      <c r="I2333">
        <v>88</v>
      </c>
      <c r="J2333">
        <v>21.4</v>
      </c>
      <c r="K2333">
        <v>97</v>
      </c>
      <c r="L2333">
        <v>-17.059999999999999</v>
      </c>
      <c r="M2333">
        <v>80</v>
      </c>
      <c r="N2333">
        <v>31.62</v>
      </c>
      <c r="O2333">
        <v>85</v>
      </c>
      <c r="P2333">
        <v>-4.4800000000000004</v>
      </c>
      <c r="Q2333">
        <v>91</v>
      </c>
      <c r="R2333">
        <v>5.86</v>
      </c>
      <c r="S2333">
        <v>83</v>
      </c>
      <c r="T2333">
        <v>6.87</v>
      </c>
      <c r="U2333">
        <v>88</v>
      </c>
      <c r="V2333">
        <v>2.57</v>
      </c>
      <c r="W2333">
        <v>82</v>
      </c>
      <c r="X2333" t="s">
        <v>94</v>
      </c>
      <c r="Y2333" t="s">
        <v>228</v>
      </c>
      <c r="Z2333" t="s">
        <v>96</v>
      </c>
      <c r="AA2333" t="s">
        <v>283</v>
      </c>
      <c r="AB2333" t="s">
        <v>4278</v>
      </c>
      <c r="AC2333">
        <v>90</v>
      </c>
      <c r="AD2333">
        <v>70</v>
      </c>
      <c r="AE2333">
        <v>97</v>
      </c>
      <c r="AF2333">
        <v>76</v>
      </c>
      <c r="AG2333">
        <v>-1.52</v>
      </c>
      <c r="AH2333">
        <v>5.34</v>
      </c>
      <c r="AI2333">
        <v>-0.08</v>
      </c>
      <c r="AJ2333">
        <v>0.05</v>
      </c>
      <c r="AK2333">
        <v>80</v>
      </c>
      <c r="AL2333">
        <v>89</v>
      </c>
      <c r="AM2333">
        <v>64</v>
      </c>
      <c r="AN2333">
        <v>0.98</v>
      </c>
      <c r="AO2333">
        <v>-0.38</v>
      </c>
      <c r="AP2333">
        <v>167</v>
      </c>
      <c r="AQ2333">
        <v>0</v>
      </c>
      <c r="AR2333">
        <v>5.7</v>
      </c>
      <c r="AS2333">
        <v>71</v>
      </c>
      <c r="AT2333">
        <v>2.4700000000000002</v>
      </c>
      <c r="AU2333">
        <v>88</v>
      </c>
      <c r="AV2333">
        <v>-2.15</v>
      </c>
      <c r="AW2333">
        <v>94</v>
      </c>
      <c r="AX2333">
        <v>-0.84</v>
      </c>
      <c r="AY2333">
        <v>81</v>
      </c>
      <c r="AZ2333">
        <v>5.56</v>
      </c>
      <c r="BA2333">
        <v>68</v>
      </c>
      <c r="BB2333">
        <v>4.7300000000000004</v>
      </c>
      <c r="BC2333">
        <v>70</v>
      </c>
      <c r="BD2333">
        <v>-0.04</v>
      </c>
      <c r="BE2333">
        <v>-0.02</v>
      </c>
      <c r="BF2333">
        <v>-0.03</v>
      </c>
      <c r="BG2333">
        <v>89</v>
      </c>
      <c r="BH2333">
        <v>-7.0000000000000007E-2</v>
      </c>
      <c r="BI2333">
        <v>-16.399999999999999</v>
      </c>
      <c r="BJ2333">
        <v>36</v>
      </c>
      <c r="BK2333">
        <v>28</v>
      </c>
      <c r="BL2333">
        <v>0.28000000000000003</v>
      </c>
      <c r="BM2333">
        <v>-0.5</v>
      </c>
      <c r="BN2333">
        <v>0.18</v>
      </c>
      <c r="BO2333">
        <v>0.54</v>
      </c>
      <c r="BP2333">
        <v>-0.33</v>
      </c>
      <c r="BQ2333">
        <v>-0.7</v>
      </c>
      <c r="BR2333">
        <v>0.87</v>
      </c>
      <c r="BS2333">
        <v>-3.2</v>
      </c>
      <c r="BT2333">
        <v>-0.13</v>
      </c>
      <c r="BU2333">
        <v>1.21</v>
      </c>
      <c r="BV2333">
        <v>0.93</v>
      </c>
      <c r="BW2333">
        <v>0.06</v>
      </c>
      <c r="BX2333">
        <v>1.01</v>
      </c>
      <c r="BY2333">
        <v>1.4</v>
      </c>
      <c r="BZ2333">
        <v>-0.74</v>
      </c>
      <c r="CA2333">
        <v>0.21</v>
      </c>
      <c r="CB2333">
        <v>0.88</v>
      </c>
      <c r="CC2333">
        <v>-1.34</v>
      </c>
      <c r="CD2333">
        <v>-0.78</v>
      </c>
      <c r="CE2333">
        <v>0.32</v>
      </c>
      <c r="CF2333">
        <v>0.34</v>
      </c>
      <c r="CG2333">
        <v>0</v>
      </c>
      <c r="CH2333">
        <v>0.95</v>
      </c>
      <c r="CI2333">
        <v>0</v>
      </c>
      <c r="CJ2333">
        <v>1</v>
      </c>
      <c r="CK2333">
        <v>92</v>
      </c>
      <c r="CL2333">
        <v>-1.04</v>
      </c>
      <c r="CM2333">
        <v>90</v>
      </c>
      <c r="CN2333">
        <v>-0.41</v>
      </c>
      <c r="CO2333">
        <v>89</v>
      </c>
      <c r="CP2333">
        <v>0.5</v>
      </c>
      <c r="CQ2333">
        <v>90</v>
      </c>
      <c r="CR2333">
        <v>0</v>
      </c>
      <c r="CS2333">
        <v>0</v>
      </c>
      <c r="CT2333">
        <v>4.5</v>
      </c>
      <c r="CU2333">
        <v>88</v>
      </c>
      <c r="CV2333">
        <v>0.21</v>
      </c>
      <c r="CW2333">
        <v>44</v>
      </c>
      <c r="CX2333" t="s">
        <v>596</v>
      </c>
    </row>
    <row r="2334" spans="1:102" x14ac:dyDescent="0.3">
      <c r="A2334" t="str">
        <f>HYPERLINK("https://webapp.icbf.com/v2/app/bull-search/view/77856367","JVH")</f>
        <v>JVH</v>
      </c>
      <c r="B2334" t="s">
        <v>10687</v>
      </c>
      <c r="C2334" t="s">
        <v>10688</v>
      </c>
      <c r="D2334" s="1">
        <v>33968</v>
      </c>
      <c r="E2334" t="s">
        <v>92</v>
      </c>
      <c r="F2334">
        <v>100</v>
      </c>
      <c r="G2334" t="s">
        <v>93</v>
      </c>
      <c r="H2334">
        <v>46.75</v>
      </c>
      <c r="I2334">
        <v>93</v>
      </c>
      <c r="J2334">
        <v>27.72</v>
      </c>
      <c r="K2334">
        <v>99</v>
      </c>
      <c r="L2334">
        <v>11.53</v>
      </c>
      <c r="M2334">
        <v>89</v>
      </c>
      <c r="N2334">
        <v>4.3499999999999996</v>
      </c>
      <c r="O2334">
        <v>89</v>
      </c>
      <c r="P2334">
        <v>10.16</v>
      </c>
      <c r="Q2334">
        <v>97</v>
      </c>
      <c r="R2334">
        <v>-1.32</v>
      </c>
      <c r="S2334">
        <v>85</v>
      </c>
      <c r="T2334">
        <v>-6.01</v>
      </c>
      <c r="U2334">
        <v>94</v>
      </c>
      <c r="V2334">
        <v>0.32</v>
      </c>
      <c r="W2334">
        <v>80</v>
      </c>
      <c r="X2334" t="s">
        <v>94</v>
      </c>
      <c r="Y2334" t="s">
        <v>95</v>
      </c>
      <c r="Z2334" t="s">
        <v>96</v>
      </c>
      <c r="AA2334" t="s">
        <v>3163</v>
      </c>
      <c r="AB2334" t="s">
        <v>10689</v>
      </c>
      <c r="AC2334">
        <v>288</v>
      </c>
      <c r="AD2334">
        <v>99</v>
      </c>
      <c r="AE2334">
        <v>99</v>
      </c>
      <c r="AF2334">
        <v>42.78</v>
      </c>
      <c r="AG2334">
        <v>4.21</v>
      </c>
      <c r="AH2334">
        <v>3.88</v>
      </c>
      <c r="AI2334">
        <v>0.04</v>
      </c>
      <c r="AJ2334">
        <v>0.04</v>
      </c>
      <c r="AK2334">
        <v>89</v>
      </c>
      <c r="AL2334">
        <v>331</v>
      </c>
      <c r="AM2334">
        <v>120</v>
      </c>
      <c r="AN2334">
        <v>-0.56999999999999995</v>
      </c>
      <c r="AO2334">
        <v>0.35</v>
      </c>
      <c r="AP2334">
        <v>48</v>
      </c>
      <c r="AQ2334">
        <v>0</v>
      </c>
      <c r="AR2334">
        <v>7.92</v>
      </c>
      <c r="AS2334">
        <v>72</v>
      </c>
      <c r="AT2334">
        <v>3.03</v>
      </c>
      <c r="AU2334">
        <v>87</v>
      </c>
      <c r="AV2334">
        <v>-0.22</v>
      </c>
      <c r="AW2334">
        <v>96</v>
      </c>
      <c r="AX2334">
        <v>0.11</v>
      </c>
      <c r="AY2334">
        <v>92</v>
      </c>
      <c r="AZ2334">
        <v>5.74</v>
      </c>
      <c r="BA2334">
        <v>72</v>
      </c>
      <c r="BB2334">
        <v>4.62</v>
      </c>
      <c r="BC2334">
        <v>83</v>
      </c>
      <c r="BD2334">
        <v>0.02</v>
      </c>
      <c r="BE2334">
        <v>0.03</v>
      </c>
      <c r="BF2334">
        <v>-0.06</v>
      </c>
      <c r="BG2334">
        <v>94</v>
      </c>
      <c r="BH2334">
        <v>-0.04</v>
      </c>
      <c r="BI2334">
        <v>-5.65</v>
      </c>
      <c r="BJ2334">
        <v>3</v>
      </c>
      <c r="BK2334">
        <v>2</v>
      </c>
      <c r="BL2334">
        <v>0.44</v>
      </c>
      <c r="BM2334">
        <v>2.0099999999999998</v>
      </c>
      <c r="BN2334">
        <v>0.34</v>
      </c>
      <c r="BO2334">
        <v>0.43</v>
      </c>
      <c r="BP2334">
        <v>-0.31</v>
      </c>
      <c r="BQ2334">
        <v>-0.01</v>
      </c>
      <c r="BR2334">
        <v>0.78</v>
      </c>
      <c r="BS2334">
        <v>0.28999999999999998</v>
      </c>
      <c r="BT2334">
        <v>0.64</v>
      </c>
      <c r="BU2334">
        <v>-1.74</v>
      </c>
      <c r="BV2334">
        <v>-2.2200000000000002</v>
      </c>
      <c r="BW2334">
        <v>-0.84</v>
      </c>
      <c r="BX2334">
        <v>-1.19</v>
      </c>
      <c r="BY2334">
        <v>1</v>
      </c>
      <c r="BZ2334">
        <v>-0.77</v>
      </c>
      <c r="CA2334">
        <v>-1.26</v>
      </c>
      <c r="CB2334">
        <v>-1.4</v>
      </c>
      <c r="CC2334">
        <v>-0.04</v>
      </c>
      <c r="CD2334">
        <v>1.04</v>
      </c>
      <c r="CE2334">
        <v>0.82</v>
      </c>
      <c r="CF2334">
        <v>0.28000000000000003</v>
      </c>
      <c r="CG2334">
        <v>0</v>
      </c>
      <c r="CH2334">
        <v>0.96</v>
      </c>
      <c r="CI2334">
        <v>0</v>
      </c>
      <c r="CJ2334">
        <v>5.7</v>
      </c>
      <c r="CK2334">
        <v>97</v>
      </c>
      <c r="CL2334">
        <v>-0.41</v>
      </c>
      <c r="CM2334">
        <v>96</v>
      </c>
      <c r="CN2334">
        <v>-0.47</v>
      </c>
      <c r="CO2334">
        <v>96</v>
      </c>
      <c r="CP2334">
        <v>6.8</v>
      </c>
      <c r="CQ2334">
        <v>97</v>
      </c>
      <c r="CR2334">
        <v>0</v>
      </c>
      <c r="CS2334">
        <v>0</v>
      </c>
      <c r="CT2334">
        <v>21.9</v>
      </c>
      <c r="CU2334">
        <v>94</v>
      </c>
      <c r="CV2334">
        <v>0.1</v>
      </c>
      <c r="CW2334">
        <v>45</v>
      </c>
      <c r="CX2334" t="s">
        <v>3720</v>
      </c>
    </row>
    <row r="2335" spans="1:102" x14ac:dyDescent="0.3">
      <c r="A2335" t="str">
        <f>HYPERLINK("https://webapp.icbf.com/v2/app/bull-search/view/543645544","S568")</f>
        <v>S568</v>
      </c>
      <c r="B2335" t="s">
        <v>7433</v>
      </c>
      <c r="C2335" t="s">
        <v>7434</v>
      </c>
      <c r="D2335" s="1">
        <v>37000</v>
      </c>
      <c r="E2335" t="s">
        <v>227</v>
      </c>
      <c r="F2335">
        <v>0</v>
      </c>
      <c r="G2335" t="s">
        <v>109</v>
      </c>
      <c r="H2335">
        <v>46.72</v>
      </c>
      <c r="I2335">
        <v>86</v>
      </c>
      <c r="J2335">
        <v>29.95</v>
      </c>
      <c r="K2335">
        <v>94</v>
      </c>
      <c r="L2335">
        <v>-2.11</v>
      </c>
      <c r="M2335">
        <v>88</v>
      </c>
      <c r="N2335">
        <v>7.11</v>
      </c>
      <c r="O2335">
        <v>76</v>
      </c>
      <c r="P2335">
        <v>-73.709999999999994</v>
      </c>
      <c r="Q2335">
        <v>79</v>
      </c>
      <c r="R2335">
        <v>-1.7</v>
      </c>
      <c r="S2335">
        <v>76</v>
      </c>
      <c r="T2335">
        <v>85.46</v>
      </c>
      <c r="U2335">
        <v>69</v>
      </c>
      <c r="V2335">
        <v>1.72</v>
      </c>
      <c r="W2335">
        <v>74</v>
      </c>
      <c r="X2335" t="s">
        <v>251</v>
      </c>
      <c r="Y2335" t="s">
        <v>545</v>
      </c>
      <c r="Z2335">
        <v>0</v>
      </c>
      <c r="AA2335" t="s">
        <v>7435</v>
      </c>
      <c r="AB2335" t="s">
        <v>7436</v>
      </c>
      <c r="AC2335">
        <v>0</v>
      </c>
      <c r="AD2335">
        <v>0</v>
      </c>
      <c r="AE2335">
        <v>94</v>
      </c>
      <c r="AF2335">
        <v>-380.36</v>
      </c>
      <c r="AG2335">
        <v>8.94</v>
      </c>
      <c r="AH2335">
        <v>-3.89</v>
      </c>
      <c r="AI2335">
        <v>0.44</v>
      </c>
      <c r="AJ2335">
        <v>0.17</v>
      </c>
      <c r="AK2335">
        <v>88</v>
      </c>
      <c r="AL2335">
        <v>0</v>
      </c>
      <c r="AM2335">
        <v>0</v>
      </c>
      <c r="AN2335">
        <v>-0.03</v>
      </c>
      <c r="AO2335">
        <v>-0.2</v>
      </c>
      <c r="AP2335">
        <v>54</v>
      </c>
      <c r="AQ2335">
        <v>0</v>
      </c>
      <c r="AR2335">
        <v>2.4700000000000002</v>
      </c>
      <c r="AS2335">
        <v>70</v>
      </c>
      <c r="AT2335">
        <v>1.4</v>
      </c>
      <c r="AU2335">
        <v>72</v>
      </c>
      <c r="AV2335">
        <v>0.99</v>
      </c>
      <c r="AW2335">
        <v>89</v>
      </c>
      <c r="AX2335">
        <v>1.03</v>
      </c>
      <c r="AY2335">
        <v>70</v>
      </c>
      <c r="AZ2335">
        <v>7.43</v>
      </c>
      <c r="BA2335">
        <v>55</v>
      </c>
      <c r="BB2335">
        <v>5.49</v>
      </c>
      <c r="BC2335">
        <v>56</v>
      </c>
      <c r="BD2335">
        <v>-0.06</v>
      </c>
      <c r="BE2335">
        <v>0.01</v>
      </c>
      <c r="BF2335">
        <v>0.12</v>
      </c>
      <c r="BG2335">
        <v>84</v>
      </c>
      <c r="BH2335">
        <v>0.02</v>
      </c>
      <c r="BI2335">
        <v>-3.25</v>
      </c>
      <c r="BJ2335">
        <v>11</v>
      </c>
      <c r="BK2335">
        <v>7</v>
      </c>
      <c r="BL2335">
        <v>-0.87</v>
      </c>
      <c r="BM2335">
        <v>-2.4700000000000002</v>
      </c>
      <c r="BN2335">
        <v>-0.31</v>
      </c>
      <c r="BO2335">
        <v>1.93</v>
      </c>
      <c r="BP2335">
        <v>0.55000000000000004</v>
      </c>
      <c r="BQ2335">
        <v>-5.44</v>
      </c>
      <c r="BR2335">
        <v>1.1599999999999999</v>
      </c>
      <c r="BS2335">
        <v>7.55</v>
      </c>
      <c r="BT2335">
        <v>7.0000000000000007E-2</v>
      </c>
      <c r="BU2335">
        <v>0.76</v>
      </c>
      <c r="BV2335">
        <v>0.28000000000000003</v>
      </c>
      <c r="BW2335">
        <v>-1.63</v>
      </c>
      <c r="BX2335">
        <v>-1.72</v>
      </c>
      <c r="BY2335">
        <v>0.1</v>
      </c>
      <c r="BZ2335">
        <v>0.21</v>
      </c>
      <c r="CA2335">
        <v>2.82</v>
      </c>
      <c r="CB2335">
        <v>0.92</v>
      </c>
      <c r="CC2335">
        <v>5.36</v>
      </c>
      <c r="CD2335">
        <v>-2.6</v>
      </c>
      <c r="CE2335">
        <v>1.99</v>
      </c>
      <c r="CF2335">
        <v>-0.12</v>
      </c>
      <c r="CG2335">
        <v>0</v>
      </c>
      <c r="CH2335">
        <v>-1.02</v>
      </c>
      <c r="CI2335">
        <v>0</v>
      </c>
      <c r="CJ2335">
        <v>-40</v>
      </c>
      <c r="CK2335">
        <v>81</v>
      </c>
      <c r="CL2335">
        <v>-1.21</v>
      </c>
      <c r="CM2335">
        <v>78</v>
      </c>
      <c r="CN2335">
        <v>-0.28999999999999998</v>
      </c>
      <c r="CO2335">
        <v>75</v>
      </c>
      <c r="CP2335">
        <v>-62.8</v>
      </c>
      <c r="CQ2335">
        <v>79</v>
      </c>
      <c r="CR2335">
        <v>0</v>
      </c>
      <c r="CS2335">
        <v>0</v>
      </c>
      <c r="CT2335">
        <v>-101.7</v>
      </c>
      <c r="CU2335">
        <v>69</v>
      </c>
      <c r="CV2335">
        <v>-0.38</v>
      </c>
      <c r="CW2335">
        <v>42</v>
      </c>
      <c r="CX2335" t="s">
        <v>1051</v>
      </c>
    </row>
    <row r="2336" spans="1:102" x14ac:dyDescent="0.3">
      <c r="A2336" t="str">
        <f>HYPERLINK("https://webapp.icbf.com/v2/app/bull-search/view/720497765","S1245")</f>
        <v>S1245</v>
      </c>
      <c r="B2336" t="s">
        <v>14672</v>
      </c>
      <c r="C2336" t="s">
        <v>14673</v>
      </c>
      <c r="D2336" s="1">
        <v>38277</v>
      </c>
      <c r="E2336" t="s">
        <v>227</v>
      </c>
      <c r="F2336">
        <v>0</v>
      </c>
      <c r="G2336" t="s">
        <v>109</v>
      </c>
      <c r="H2336">
        <v>46.66</v>
      </c>
      <c r="I2336">
        <v>78</v>
      </c>
      <c r="J2336">
        <v>44.91</v>
      </c>
      <c r="K2336">
        <v>91</v>
      </c>
      <c r="L2336">
        <v>-16.420000000000002</v>
      </c>
      <c r="M2336">
        <v>80</v>
      </c>
      <c r="N2336">
        <v>4.6100000000000003</v>
      </c>
      <c r="O2336">
        <v>68</v>
      </c>
      <c r="P2336">
        <v>-68.37</v>
      </c>
      <c r="Q2336">
        <v>59</v>
      </c>
      <c r="R2336">
        <v>4.41</v>
      </c>
      <c r="S2336">
        <v>69</v>
      </c>
      <c r="T2336">
        <v>69.25</v>
      </c>
      <c r="U2336">
        <v>62</v>
      </c>
      <c r="V2336">
        <v>8.27</v>
      </c>
      <c r="W2336">
        <v>68</v>
      </c>
      <c r="X2336" t="s">
        <v>102</v>
      </c>
      <c r="Y2336" t="s">
        <v>342</v>
      </c>
      <c r="Z2336">
        <v>0</v>
      </c>
      <c r="AA2336" t="s">
        <v>2659</v>
      </c>
      <c r="AB2336" t="s">
        <v>14674</v>
      </c>
      <c r="AC2336">
        <v>0</v>
      </c>
      <c r="AD2336">
        <v>0</v>
      </c>
      <c r="AE2336">
        <v>91</v>
      </c>
      <c r="AF2336">
        <v>-352.99</v>
      </c>
      <c r="AG2336">
        <v>9.57</v>
      </c>
      <c r="AH2336">
        <v>-1.1499999999999999</v>
      </c>
      <c r="AI2336">
        <v>0.43</v>
      </c>
      <c r="AJ2336">
        <v>0.2</v>
      </c>
      <c r="AK2336">
        <v>80</v>
      </c>
      <c r="AL2336">
        <v>0</v>
      </c>
      <c r="AM2336">
        <v>0</v>
      </c>
      <c r="AN2336">
        <v>1.62</v>
      </c>
      <c r="AO2336">
        <v>0.32</v>
      </c>
      <c r="AP2336">
        <v>17</v>
      </c>
      <c r="AQ2336">
        <v>0</v>
      </c>
      <c r="AR2336">
        <v>2.97</v>
      </c>
      <c r="AS2336">
        <v>60</v>
      </c>
      <c r="AT2336">
        <v>1.31</v>
      </c>
      <c r="AU2336">
        <v>62</v>
      </c>
      <c r="AV2336">
        <v>0.59</v>
      </c>
      <c r="AW2336">
        <v>82</v>
      </c>
      <c r="AX2336">
        <v>1.92</v>
      </c>
      <c r="AY2336">
        <v>57</v>
      </c>
      <c r="AZ2336">
        <v>8.33</v>
      </c>
      <c r="BA2336">
        <v>52</v>
      </c>
      <c r="BB2336">
        <v>5.79</v>
      </c>
      <c r="BC2336">
        <v>50</v>
      </c>
      <c r="BD2336">
        <v>-0.08</v>
      </c>
      <c r="BE2336">
        <v>-0.02</v>
      </c>
      <c r="BF2336">
        <v>7.0000000000000007E-2</v>
      </c>
      <c r="BG2336">
        <v>77</v>
      </c>
      <c r="BH2336">
        <v>0.14000000000000001</v>
      </c>
      <c r="BI2336">
        <v>-10.49</v>
      </c>
      <c r="BJ2336">
        <v>0</v>
      </c>
      <c r="BK2336">
        <v>0</v>
      </c>
      <c r="BL2336">
        <v>-0.85</v>
      </c>
      <c r="BM2336">
        <v>-1.45</v>
      </c>
      <c r="BN2336">
        <v>0.11</v>
      </c>
      <c r="BO2336">
        <v>1.64</v>
      </c>
      <c r="BP2336">
        <v>-0.37</v>
      </c>
      <c r="BQ2336">
        <v>-4.51</v>
      </c>
      <c r="BR2336">
        <v>1.22</v>
      </c>
      <c r="BS2336">
        <v>7.44</v>
      </c>
      <c r="BT2336">
        <v>7.0000000000000007E-2</v>
      </c>
      <c r="BU2336">
        <v>1.24</v>
      </c>
      <c r="BV2336">
        <v>1.35</v>
      </c>
      <c r="BW2336">
        <v>-0.53</v>
      </c>
      <c r="BX2336">
        <v>-1.42</v>
      </c>
      <c r="BY2336">
        <v>0.4</v>
      </c>
      <c r="BZ2336">
        <v>0.44</v>
      </c>
      <c r="CA2336">
        <v>2.4900000000000002</v>
      </c>
      <c r="CB2336">
        <v>0.94</v>
      </c>
      <c r="CC2336">
        <v>4.53</v>
      </c>
      <c r="CD2336">
        <v>-2.21</v>
      </c>
      <c r="CE2336">
        <v>1.52</v>
      </c>
      <c r="CF2336">
        <v>-0.3</v>
      </c>
      <c r="CG2336">
        <v>0</v>
      </c>
      <c r="CH2336">
        <v>-0.22</v>
      </c>
      <c r="CI2336">
        <v>0</v>
      </c>
      <c r="CJ2336">
        <v>-36.4</v>
      </c>
      <c r="CK2336">
        <v>61</v>
      </c>
      <c r="CL2336">
        <v>-1.53</v>
      </c>
      <c r="CM2336">
        <v>55</v>
      </c>
      <c r="CN2336">
        <v>-0.53</v>
      </c>
      <c r="CO2336">
        <v>53</v>
      </c>
      <c r="CP2336">
        <v>-57</v>
      </c>
      <c r="CQ2336">
        <v>60</v>
      </c>
      <c r="CR2336">
        <v>0</v>
      </c>
      <c r="CS2336">
        <v>0</v>
      </c>
      <c r="CT2336">
        <v>-79.8</v>
      </c>
      <c r="CU2336">
        <v>62</v>
      </c>
      <c r="CV2336">
        <v>-0.26</v>
      </c>
      <c r="CW2336">
        <v>37</v>
      </c>
      <c r="CX2336" t="s">
        <v>7435</v>
      </c>
    </row>
    <row r="2337" spans="1:102" x14ac:dyDescent="0.3">
      <c r="A2337" t="str">
        <f>HYPERLINK("https://webapp.icbf.com/v2/app/bull-search/view/325394692","LHY")</f>
        <v>LHY</v>
      </c>
      <c r="B2337" t="s">
        <v>2587</v>
      </c>
      <c r="C2337" t="s">
        <v>2588</v>
      </c>
      <c r="D2337" s="1">
        <v>38011</v>
      </c>
      <c r="E2337" t="s">
        <v>92</v>
      </c>
      <c r="F2337">
        <v>100</v>
      </c>
      <c r="G2337" t="s">
        <v>93</v>
      </c>
      <c r="H2337">
        <v>46.63</v>
      </c>
      <c r="I2337">
        <v>84</v>
      </c>
      <c r="J2337">
        <v>35.22</v>
      </c>
      <c r="K2337">
        <v>96</v>
      </c>
      <c r="L2337">
        <v>-7.09</v>
      </c>
      <c r="M2337">
        <v>77</v>
      </c>
      <c r="N2337">
        <v>19.43</v>
      </c>
      <c r="O2337">
        <v>80</v>
      </c>
      <c r="P2337">
        <v>-1.91</v>
      </c>
      <c r="Q2337">
        <v>87</v>
      </c>
      <c r="R2337">
        <v>-5.94</v>
      </c>
      <c r="S2337">
        <v>78</v>
      </c>
      <c r="T2337">
        <v>17.899999999999999</v>
      </c>
      <c r="U2337">
        <v>77</v>
      </c>
      <c r="V2337">
        <v>-10.98</v>
      </c>
      <c r="W2337">
        <v>73</v>
      </c>
      <c r="X2337" t="s">
        <v>94</v>
      </c>
      <c r="Y2337" t="s">
        <v>95</v>
      </c>
      <c r="Z2337" t="s">
        <v>96</v>
      </c>
      <c r="AA2337" t="s">
        <v>2589</v>
      </c>
      <c r="AB2337" t="s">
        <v>2590</v>
      </c>
      <c r="AC2337">
        <v>51</v>
      </c>
      <c r="AD2337">
        <v>42</v>
      </c>
      <c r="AE2337">
        <v>96</v>
      </c>
      <c r="AF2337">
        <v>-72.28</v>
      </c>
      <c r="AG2337">
        <v>5.69</v>
      </c>
      <c r="AH2337">
        <v>2.87</v>
      </c>
      <c r="AI2337">
        <v>0.15</v>
      </c>
      <c r="AJ2337">
        <v>0.09</v>
      </c>
      <c r="AK2337">
        <v>77</v>
      </c>
      <c r="AL2337">
        <v>43</v>
      </c>
      <c r="AM2337">
        <v>38</v>
      </c>
      <c r="AN2337">
        <v>0.03</v>
      </c>
      <c r="AO2337">
        <v>-0.54</v>
      </c>
      <c r="AP2337">
        <v>93</v>
      </c>
      <c r="AQ2337">
        <v>0</v>
      </c>
      <c r="AR2337">
        <v>4.29</v>
      </c>
      <c r="AS2337">
        <v>67</v>
      </c>
      <c r="AT2337">
        <v>2.0499999999999998</v>
      </c>
      <c r="AU2337">
        <v>83</v>
      </c>
      <c r="AV2337">
        <v>-1.57</v>
      </c>
      <c r="AW2337">
        <v>91</v>
      </c>
      <c r="AX2337">
        <v>0.26</v>
      </c>
      <c r="AY2337">
        <v>73</v>
      </c>
      <c r="AZ2337">
        <v>7.78</v>
      </c>
      <c r="BA2337">
        <v>61</v>
      </c>
      <c r="BB2337">
        <v>6.03</v>
      </c>
      <c r="BC2337">
        <v>60</v>
      </c>
      <c r="BD2337">
        <v>0.01</v>
      </c>
      <c r="BE2337">
        <v>0</v>
      </c>
      <c r="BF2337">
        <v>0.12</v>
      </c>
      <c r="BG2337">
        <v>86</v>
      </c>
      <c r="BH2337">
        <v>-0.24</v>
      </c>
      <c r="BI2337">
        <v>7.65</v>
      </c>
      <c r="BJ2337">
        <v>13</v>
      </c>
      <c r="BK2337">
        <v>11</v>
      </c>
      <c r="BL2337">
        <v>-0.2</v>
      </c>
      <c r="BM2337">
        <v>-1.56</v>
      </c>
      <c r="BN2337">
        <v>-0.54</v>
      </c>
      <c r="BO2337">
        <v>0.56000000000000005</v>
      </c>
      <c r="BP2337">
        <v>1.49</v>
      </c>
      <c r="BQ2337">
        <v>-2.73</v>
      </c>
      <c r="BR2337">
        <v>-0.14000000000000001</v>
      </c>
      <c r="BS2337">
        <v>1.62</v>
      </c>
      <c r="BT2337">
        <v>0.4</v>
      </c>
      <c r="BU2337">
        <v>-1.38</v>
      </c>
      <c r="BV2337">
        <v>-1.06</v>
      </c>
      <c r="BW2337">
        <v>-1.19</v>
      </c>
      <c r="BX2337">
        <v>-2.0699999999999998</v>
      </c>
      <c r="BY2337">
        <v>-1.23</v>
      </c>
      <c r="BZ2337">
        <v>2.5</v>
      </c>
      <c r="CA2337">
        <v>-0.78</v>
      </c>
      <c r="CB2337">
        <v>-1.31</v>
      </c>
      <c r="CC2337">
        <v>0.59</v>
      </c>
      <c r="CD2337">
        <v>-0.77</v>
      </c>
      <c r="CE2337">
        <v>0.47</v>
      </c>
      <c r="CF2337">
        <v>-0.76</v>
      </c>
      <c r="CG2337">
        <v>0</v>
      </c>
      <c r="CH2337">
        <v>-1.58</v>
      </c>
      <c r="CI2337">
        <v>0</v>
      </c>
      <c r="CJ2337">
        <v>0.6</v>
      </c>
      <c r="CK2337">
        <v>88</v>
      </c>
      <c r="CL2337">
        <v>-0.47</v>
      </c>
      <c r="CM2337">
        <v>86</v>
      </c>
      <c r="CN2337">
        <v>-0.32</v>
      </c>
      <c r="CO2337">
        <v>84</v>
      </c>
      <c r="CP2337">
        <v>-10.9</v>
      </c>
      <c r="CQ2337">
        <v>83</v>
      </c>
      <c r="CR2337">
        <v>0</v>
      </c>
      <c r="CS2337">
        <v>0</v>
      </c>
      <c r="CT2337">
        <v>-10.4</v>
      </c>
      <c r="CU2337">
        <v>77</v>
      </c>
      <c r="CV2337">
        <v>0.13</v>
      </c>
      <c r="CW2337">
        <v>43</v>
      </c>
      <c r="CX2337" t="s">
        <v>753</v>
      </c>
    </row>
    <row r="2338" spans="1:102" x14ac:dyDescent="0.3">
      <c r="A2338" t="str">
        <f>HYPERLINK("https://webapp.icbf.com/v2/app/bull-search/view/938270307","S1224")</f>
        <v>S1224</v>
      </c>
      <c r="B2338" t="s">
        <v>8267</v>
      </c>
      <c r="C2338" t="s">
        <v>8268</v>
      </c>
      <c r="D2338" s="1">
        <v>40368</v>
      </c>
      <c r="E2338" t="s">
        <v>92</v>
      </c>
      <c r="F2338">
        <v>100</v>
      </c>
      <c r="G2338" t="s">
        <v>109</v>
      </c>
      <c r="H2338">
        <v>46.6</v>
      </c>
      <c r="I2338">
        <v>83</v>
      </c>
      <c r="J2338">
        <v>83.83</v>
      </c>
      <c r="K2338">
        <v>95</v>
      </c>
      <c r="L2338">
        <v>-50.88</v>
      </c>
      <c r="M2338">
        <v>87</v>
      </c>
      <c r="N2338">
        <v>35.22</v>
      </c>
      <c r="O2338">
        <v>72</v>
      </c>
      <c r="P2338">
        <v>-25.19</v>
      </c>
      <c r="Q2338">
        <v>72</v>
      </c>
      <c r="R2338">
        <v>1.55</v>
      </c>
      <c r="S2338">
        <v>78</v>
      </c>
      <c r="T2338">
        <v>-1.34</v>
      </c>
      <c r="U2338">
        <v>56</v>
      </c>
      <c r="V2338">
        <v>3.41</v>
      </c>
      <c r="W2338">
        <v>62</v>
      </c>
      <c r="X2338" t="s">
        <v>234</v>
      </c>
      <c r="Y2338" t="s">
        <v>336</v>
      </c>
      <c r="Z2338" t="s">
        <v>96</v>
      </c>
      <c r="AA2338" t="s">
        <v>1572</v>
      </c>
      <c r="AB2338" t="s">
        <v>5612</v>
      </c>
      <c r="AC2338">
        <v>0</v>
      </c>
      <c r="AD2338">
        <v>0</v>
      </c>
      <c r="AE2338">
        <v>95</v>
      </c>
      <c r="AF2338">
        <v>414.48</v>
      </c>
      <c r="AG2338">
        <v>17.02</v>
      </c>
      <c r="AH2338">
        <v>14.58</v>
      </c>
      <c r="AI2338">
        <v>0.01</v>
      </c>
      <c r="AJ2338">
        <v>0.01</v>
      </c>
      <c r="AK2338">
        <v>87</v>
      </c>
      <c r="AL2338">
        <v>0</v>
      </c>
      <c r="AM2338">
        <v>0</v>
      </c>
      <c r="AN2338">
        <v>3.39</v>
      </c>
      <c r="AO2338">
        <v>-0.66</v>
      </c>
      <c r="AP2338">
        <v>47</v>
      </c>
      <c r="AQ2338">
        <v>0</v>
      </c>
      <c r="AR2338">
        <v>4.87</v>
      </c>
      <c r="AS2338">
        <v>67</v>
      </c>
      <c r="AT2338">
        <v>1.83</v>
      </c>
      <c r="AU2338">
        <v>95</v>
      </c>
      <c r="AV2338">
        <v>-2.5499999999999998</v>
      </c>
      <c r="AW2338">
        <v>69</v>
      </c>
      <c r="AX2338">
        <v>0.04</v>
      </c>
      <c r="AY2338">
        <v>64</v>
      </c>
      <c r="AZ2338">
        <v>5.92</v>
      </c>
      <c r="BA2338">
        <v>57</v>
      </c>
      <c r="BB2338">
        <v>5.27</v>
      </c>
      <c r="BC2338">
        <v>50</v>
      </c>
      <c r="BD2338">
        <v>0.02</v>
      </c>
      <c r="BE2338">
        <v>-0.01</v>
      </c>
      <c r="BF2338">
        <v>-0.05</v>
      </c>
      <c r="BG2338">
        <v>93</v>
      </c>
      <c r="BH2338">
        <v>-0.05</v>
      </c>
      <c r="BI2338">
        <v>-16.79</v>
      </c>
      <c r="BJ2338">
        <v>8</v>
      </c>
      <c r="BK2338">
        <v>6</v>
      </c>
      <c r="BL2338">
        <v>1.95</v>
      </c>
      <c r="BM2338">
        <v>-1</v>
      </c>
      <c r="BN2338">
        <v>1.42</v>
      </c>
      <c r="BO2338">
        <v>1.1299999999999999</v>
      </c>
      <c r="BP2338">
        <v>0.27</v>
      </c>
      <c r="BQ2338">
        <v>0.12</v>
      </c>
      <c r="BR2338">
        <v>-0.65</v>
      </c>
      <c r="BS2338">
        <v>1.74</v>
      </c>
      <c r="BT2338">
        <v>1.28</v>
      </c>
      <c r="BU2338">
        <v>0.46</v>
      </c>
      <c r="BV2338">
        <v>1.89</v>
      </c>
      <c r="BW2338">
        <v>3.9</v>
      </c>
      <c r="BX2338">
        <v>0</v>
      </c>
      <c r="BY2338">
        <v>2.15</v>
      </c>
      <c r="BZ2338">
        <v>1.52</v>
      </c>
      <c r="CA2338">
        <v>1.43</v>
      </c>
      <c r="CB2338">
        <v>1.27</v>
      </c>
      <c r="CC2338">
        <v>1.44</v>
      </c>
      <c r="CD2338">
        <v>-1.02</v>
      </c>
      <c r="CE2338">
        <v>0.99</v>
      </c>
      <c r="CF2338">
        <v>0.72</v>
      </c>
      <c r="CG2338">
        <v>0</v>
      </c>
      <c r="CH2338">
        <v>1.96</v>
      </c>
      <c r="CI2338">
        <v>0</v>
      </c>
      <c r="CJ2338">
        <v>-11.6</v>
      </c>
      <c r="CK2338">
        <v>75</v>
      </c>
      <c r="CL2338">
        <v>-1.48</v>
      </c>
      <c r="CM2338">
        <v>70</v>
      </c>
      <c r="CN2338">
        <v>-0.56999999999999995</v>
      </c>
      <c r="CO2338">
        <v>68</v>
      </c>
      <c r="CP2338">
        <v>-3.9</v>
      </c>
      <c r="CQ2338">
        <v>59</v>
      </c>
      <c r="CR2338">
        <v>0</v>
      </c>
      <c r="CS2338">
        <v>0</v>
      </c>
      <c r="CT2338">
        <v>15.6</v>
      </c>
      <c r="CU2338">
        <v>56</v>
      </c>
      <c r="CV2338">
        <v>0.24</v>
      </c>
      <c r="CW2338">
        <v>41</v>
      </c>
      <c r="CX2338" t="s">
        <v>309</v>
      </c>
    </row>
    <row r="2339" spans="1:102" x14ac:dyDescent="0.3">
      <c r="A2339" t="str">
        <f>HYPERLINK("https://webapp.icbf.com/v2/app/bull-search/view/804576136","S2255")</f>
        <v>S2255</v>
      </c>
      <c r="B2339" t="s">
        <v>2702</v>
      </c>
      <c r="C2339" t="s">
        <v>2703</v>
      </c>
      <c r="D2339" s="1">
        <v>39543</v>
      </c>
      <c r="E2339" t="s">
        <v>92</v>
      </c>
      <c r="F2339">
        <v>100</v>
      </c>
      <c r="G2339" t="s">
        <v>109</v>
      </c>
      <c r="H2339">
        <v>46.37</v>
      </c>
      <c r="I2339">
        <v>82</v>
      </c>
      <c r="J2339">
        <v>40.26</v>
      </c>
      <c r="K2339">
        <v>94</v>
      </c>
      <c r="L2339">
        <v>33.53</v>
      </c>
      <c r="M2339">
        <v>85</v>
      </c>
      <c r="N2339">
        <v>-30.54</v>
      </c>
      <c r="O2339">
        <v>70</v>
      </c>
      <c r="P2339">
        <v>-21.24</v>
      </c>
      <c r="Q2339">
        <v>80</v>
      </c>
      <c r="R2339">
        <v>13.18</v>
      </c>
      <c r="S2339">
        <v>77</v>
      </c>
      <c r="T2339">
        <v>7.68</v>
      </c>
      <c r="U2339">
        <v>53</v>
      </c>
      <c r="V2339">
        <v>3.5</v>
      </c>
      <c r="W2339">
        <v>62</v>
      </c>
      <c r="X2339" t="s">
        <v>102</v>
      </c>
      <c r="Y2339" t="s">
        <v>367</v>
      </c>
      <c r="Z2339" t="s">
        <v>96</v>
      </c>
      <c r="AA2339" t="s">
        <v>2358</v>
      </c>
      <c r="AB2339" t="s">
        <v>2704</v>
      </c>
      <c r="AC2339">
        <v>0</v>
      </c>
      <c r="AD2339">
        <v>0</v>
      </c>
      <c r="AE2339">
        <v>94</v>
      </c>
      <c r="AF2339">
        <v>243.82</v>
      </c>
      <c r="AG2339">
        <v>9.1</v>
      </c>
      <c r="AH2339">
        <v>7.36</v>
      </c>
      <c r="AI2339">
        <v>-0.01</v>
      </c>
      <c r="AJ2339">
        <v>-0.02</v>
      </c>
      <c r="AK2339">
        <v>85</v>
      </c>
      <c r="AL2339">
        <v>0</v>
      </c>
      <c r="AM2339">
        <v>0</v>
      </c>
      <c r="AN2339">
        <v>-0.6</v>
      </c>
      <c r="AO2339">
        <v>2.09</v>
      </c>
      <c r="AP2339">
        <v>69</v>
      </c>
      <c r="AQ2339">
        <v>1</v>
      </c>
      <c r="AR2339">
        <v>10.78</v>
      </c>
      <c r="AS2339">
        <v>66</v>
      </c>
      <c r="AT2339">
        <v>5.08</v>
      </c>
      <c r="AU2339">
        <v>92</v>
      </c>
      <c r="AV2339">
        <v>-0.25</v>
      </c>
      <c r="AW2339">
        <v>67</v>
      </c>
      <c r="AX2339">
        <v>-0.39</v>
      </c>
      <c r="AY2339">
        <v>68</v>
      </c>
      <c r="AZ2339">
        <v>6.72</v>
      </c>
      <c r="BA2339">
        <v>57</v>
      </c>
      <c r="BB2339">
        <v>5.41</v>
      </c>
      <c r="BC2339">
        <v>47</v>
      </c>
      <c r="BD2339">
        <v>-0.03</v>
      </c>
      <c r="BE2339">
        <v>-7.0000000000000007E-2</v>
      </c>
      <c r="BF2339">
        <v>-0.12</v>
      </c>
      <c r="BG2339">
        <v>92</v>
      </c>
      <c r="BH2339">
        <v>0.13</v>
      </c>
      <c r="BI2339">
        <v>3.76</v>
      </c>
      <c r="BJ2339">
        <v>3</v>
      </c>
      <c r="BK2339">
        <v>2</v>
      </c>
      <c r="BL2339">
        <v>0.85</v>
      </c>
      <c r="BM2339">
        <v>-0.6</v>
      </c>
      <c r="BN2339">
        <v>-0.05</v>
      </c>
      <c r="BO2339">
        <v>0.41</v>
      </c>
      <c r="BP2339">
        <v>-2.27</v>
      </c>
      <c r="BQ2339">
        <v>0.18</v>
      </c>
      <c r="BR2339">
        <v>-0.94</v>
      </c>
      <c r="BS2339">
        <v>1.71</v>
      </c>
      <c r="BT2339">
        <v>0.86</v>
      </c>
      <c r="BU2339">
        <v>2.79</v>
      </c>
      <c r="BV2339">
        <v>2.04</v>
      </c>
      <c r="BW2339">
        <v>1.02</v>
      </c>
      <c r="BX2339">
        <v>3.03</v>
      </c>
      <c r="BY2339">
        <v>-0.28000000000000003</v>
      </c>
      <c r="BZ2339">
        <v>-0.1</v>
      </c>
      <c r="CA2339">
        <v>1.95</v>
      </c>
      <c r="CB2339">
        <v>1.6</v>
      </c>
      <c r="CC2339">
        <v>1.73</v>
      </c>
      <c r="CD2339">
        <v>-0.16</v>
      </c>
      <c r="CE2339">
        <v>0.74</v>
      </c>
      <c r="CF2339">
        <v>1.1000000000000001</v>
      </c>
      <c r="CG2339">
        <v>0</v>
      </c>
      <c r="CH2339">
        <v>-0.31</v>
      </c>
      <c r="CI2339">
        <v>0</v>
      </c>
      <c r="CJ2339">
        <v>-10.9</v>
      </c>
      <c r="CK2339">
        <v>83</v>
      </c>
      <c r="CL2339">
        <v>-1.24</v>
      </c>
      <c r="CM2339">
        <v>80</v>
      </c>
      <c r="CN2339">
        <v>-0.66</v>
      </c>
      <c r="CO2339">
        <v>78</v>
      </c>
      <c r="CP2339">
        <v>-7.5</v>
      </c>
      <c r="CQ2339">
        <v>61</v>
      </c>
      <c r="CR2339">
        <v>0</v>
      </c>
      <c r="CS2339">
        <v>0</v>
      </c>
      <c r="CT2339">
        <v>3.4</v>
      </c>
      <c r="CU2339">
        <v>53</v>
      </c>
      <c r="CV2339">
        <v>0.02</v>
      </c>
      <c r="CW2339">
        <v>42</v>
      </c>
      <c r="CX2339" t="s">
        <v>350</v>
      </c>
    </row>
    <row r="2340" spans="1:102" x14ac:dyDescent="0.3">
      <c r="A2340" t="str">
        <f>HYPERLINK("https://webapp.icbf.com/v2/app/bull-search/view/714744368","S2226")</f>
        <v>S2226</v>
      </c>
      <c r="B2340" t="s">
        <v>8346</v>
      </c>
      <c r="C2340" t="s">
        <v>8347</v>
      </c>
      <c r="D2340" s="1">
        <v>39373</v>
      </c>
      <c r="E2340" t="s">
        <v>92</v>
      </c>
      <c r="F2340">
        <v>100</v>
      </c>
      <c r="G2340" t="s">
        <v>109</v>
      </c>
      <c r="H2340">
        <v>46.27</v>
      </c>
      <c r="I2340">
        <v>81</v>
      </c>
      <c r="J2340">
        <v>18.63</v>
      </c>
      <c r="K2340">
        <v>92</v>
      </c>
      <c r="L2340">
        <v>6.14</v>
      </c>
      <c r="M2340">
        <v>83</v>
      </c>
      <c r="N2340">
        <v>15.52</v>
      </c>
      <c r="O2340">
        <v>75</v>
      </c>
      <c r="P2340">
        <v>-3.34</v>
      </c>
      <c r="Q2340">
        <v>75</v>
      </c>
      <c r="R2340">
        <v>5.51</v>
      </c>
      <c r="S2340">
        <v>74</v>
      </c>
      <c r="T2340">
        <v>-0.6</v>
      </c>
      <c r="U2340">
        <v>53</v>
      </c>
      <c r="V2340">
        <v>4.41</v>
      </c>
      <c r="W2340">
        <v>61</v>
      </c>
      <c r="X2340" t="s">
        <v>428</v>
      </c>
      <c r="Y2340" t="s">
        <v>367</v>
      </c>
      <c r="Z2340" t="s">
        <v>96</v>
      </c>
      <c r="AA2340" t="s">
        <v>5747</v>
      </c>
      <c r="AB2340" t="s">
        <v>8348</v>
      </c>
      <c r="AC2340">
        <v>0</v>
      </c>
      <c r="AD2340">
        <v>0</v>
      </c>
      <c r="AE2340">
        <v>92</v>
      </c>
      <c r="AF2340">
        <v>268.14</v>
      </c>
      <c r="AG2340">
        <v>5.49</v>
      </c>
      <c r="AH2340">
        <v>5.33</v>
      </c>
      <c r="AI2340">
        <v>-0.08</v>
      </c>
      <c r="AJ2340">
        <v>-0.06</v>
      </c>
      <c r="AK2340">
        <v>83</v>
      </c>
      <c r="AL2340">
        <v>0</v>
      </c>
      <c r="AM2340">
        <v>0</v>
      </c>
      <c r="AN2340">
        <v>0.44</v>
      </c>
      <c r="AO2340">
        <v>0.94</v>
      </c>
      <c r="AP2340">
        <v>67</v>
      </c>
      <c r="AQ2340">
        <v>0</v>
      </c>
      <c r="AR2340">
        <v>7.46</v>
      </c>
      <c r="AS2340">
        <v>61</v>
      </c>
      <c r="AT2340">
        <v>4.53</v>
      </c>
      <c r="AU2340">
        <v>88</v>
      </c>
      <c r="AV2340">
        <v>-3.63</v>
      </c>
      <c r="AW2340">
        <v>87</v>
      </c>
      <c r="AX2340">
        <v>0.72</v>
      </c>
      <c r="AY2340">
        <v>61</v>
      </c>
      <c r="AZ2340">
        <v>5.5</v>
      </c>
      <c r="BA2340">
        <v>49</v>
      </c>
      <c r="BB2340">
        <v>4.93</v>
      </c>
      <c r="BC2340">
        <v>42</v>
      </c>
      <c r="BD2340">
        <v>-0.01</v>
      </c>
      <c r="BE2340">
        <v>0</v>
      </c>
      <c r="BF2340">
        <v>-0.11</v>
      </c>
      <c r="BG2340">
        <v>90</v>
      </c>
      <c r="BH2340">
        <v>7.0000000000000007E-2</v>
      </c>
      <c r="BI2340">
        <v>-6.13</v>
      </c>
      <c r="BJ2340">
        <v>1</v>
      </c>
      <c r="BK2340">
        <v>1</v>
      </c>
      <c r="BL2340">
        <v>2.76</v>
      </c>
      <c r="BM2340">
        <v>-0.34</v>
      </c>
      <c r="BN2340">
        <v>1.02</v>
      </c>
      <c r="BO2340">
        <v>1.29</v>
      </c>
      <c r="BP2340">
        <v>-0.54</v>
      </c>
      <c r="BQ2340">
        <v>1.42</v>
      </c>
      <c r="BR2340">
        <v>-0.66</v>
      </c>
      <c r="BS2340">
        <v>2.95</v>
      </c>
      <c r="BT2340">
        <v>0.73</v>
      </c>
      <c r="BU2340">
        <v>1.89</v>
      </c>
      <c r="BV2340">
        <v>1.19</v>
      </c>
      <c r="BW2340">
        <v>1.75</v>
      </c>
      <c r="BX2340">
        <v>3.5</v>
      </c>
      <c r="BY2340">
        <v>2.02</v>
      </c>
      <c r="BZ2340">
        <v>-1.35</v>
      </c>
      <c r="CA2340">
        <v>2.74</v>
      </c>
      <c r="CB2340">
        <v>2.0299999999999998</v>
      </c>
      <c r="CC2340">
        <v>2.19</v>
      </c>
      <c r="CD2340">
        <v>-0.71</v>
      </c>
      <c r="CE2340">
        <v>1.63</v>
      </c>
      <c r="CF2340">
        <v>1.82</v>
      </c>
      <c r="CG2340">
        <v>0</v>
      </c>
      <c r="CH2340">
        <v>2.35</v>
      </c>
      <c r="CI2340">
        <v>0</v>
      </c>
      <c r="CJ2340">
        <v>2.1</v>
      </c>
      <c r="CK2340">
        <v>78</v>
      </c>
      <c r="CL2340">
        <v>-1.42</v>
      </c>
      <c r="CM2340">
        <v>74</v>
      </c>
      <c r="CN2340">
        <v>-0.57999999999999996</v>
      </c>
      <c r="CO2340">
        <v>72</v>
      </c>
      <c r="CP2340">
        <v>10.8</v>
      </c>
      <c r="CQ2340">
        <v>59</v>
      </c>
      <c r="CR2340">
        <v>0</v>
      </c>
      <c r="CS2340">
        <v>0</v>
      </c>
      <c r="CT2340">
        <v>14.6</v>
      </c>
      <c r="CU2340">
        <v>53</v>
      </c>
      <c r="CV2340">
        <v>0.36</v>
      </c>
      <c r="CW2340">
        <v>41</v>
      </c>
      <c r="CX2340" t="s">
        <v>4248</v>
      </c>
    </row>
    <row r="2341" spans="1:102" x14ac:dyDescent="0.3">
      <c r="A2341" t="str">
        <f>HYPERLINK("https://webapp.icbf.com/v2/app/bull-search/view/69091723","FYN")</f>
        <v>FYN</v>
      </c>
      <c r="B2341" t="s">
        <v>14260</v>
      </c>
      <c r="C2341" t="s">
        <v>4311</v>
      </c>
      <c r="D2341" s="1">
        <v>32070</v>
      </c>
      <c r="E2341" t="s">
        <v>227</v>
      </c>
      <c r="F2341">
        <v>0</v>
      </c>
      <c r="G2341" t="s">
        <v>93</v>
      </c>
      <c r="H2341">
        <v>46.25</v>
      </c>
      <c r="I2341">
        <v>79</v>
      </c>
      <c r="J2341">
        <v>-18.739999999999998</v>
      </c>
      <c r="K2341">
        <v>91</v>
      </c>
      <c r="L2341">
        <v>48.27</v>
      </c>
      <c r="M2341">
        <v>81</v>
      </c>
      <c r="N2341">
        <v>7.09</v>
      </c>
      <c r="O2341">
        <v>63</v>
      </c>
      <c r="P2341">
        <v>-69.400000000000006</v>
      </c>
      <c r="Q2341">
        <v>71</v>
      </c>
      <c r="R2341">
        <v>2.13</v>
      </c>
      <c r="S2341">
        <v>64</v>
      </c>
      <c r="T2341">
        <v>74.95</v>
      </c>
      <c r="U2341">
        <v>66</v>
      </c>
      <c r="V2341">
        <v>1.95</v>
      </c>
      <c r="W2341">
        <v>50</v>
      </c>
      <c r="X2341" t="s">
        <v>94</v>
      </c>
      <c r="Y2341" t="s">
        <v>95</v>
      </c>
      <c r="Z2341">
        <v>0</v>
      </c>
      <c r="AA2341" t="s">
        <v>14261</v>
      </c>
      <c r="AB2341" t="s">
        <v>144</v>
      </c>
      <c r="AC2341">
        <v>50</v>
      </c>
      <c r="AD2341">
        <v>18</v>
      </c>
      <c r="AE2341">
        <v>91</v>
      </c>
      <c r="AF2341">
        <v>-491.75</v>
      </c>
      <c r="AG2341">
        <v>3.89</v>
      </c>
      <c r="AH2341">
        <v>-12.09</v>
      </c>
      <c r="AI2341">
        <v>0.42</v>
      </c>
      <c r="AJ2341">
        <v>0.09</v>
      </c>
      <c r="AK2341">
        <v>81</v>
      </c>
      <c r="AL2341">
        <v>56</v>
      </c>
      <c r="AM2341">
        <v>21</v>
      </c>
      <c r="AN2341">
        <v>-1.03</v>
      </c>
      <c r="AO2341">
        <v>2.84</v>
      </c>
      <c r="AP2341">
        <v>9</v>
      </c>
      <c r="AQ2341">
        <v>0</v>
      </c>
      <c r="AR2341">
        <v>5.1100000000000003</v>
      </c>
      <c r="AS2341">
        <v>45</v>
      </c>
      <c r="AT2341">
        <v>2.38</v>
      </c>
      <c r="AU2341">
        <v>58</v>
      </c>
      <c r="AV2341">
        <v>0.32</v>
      </c>
      <c r="AW2341">
        <v>73</v>
      </c>
      <c r="AX2341">
        <v>1.38</v>
      </c>
      <c r="AY2341">
        <v>73</v>
      </c>
      <c r="AZ2341">
        <v>6.33</v>
      </c>
      <c r="BA2341">
        <v>39</v>
      </c>
      <c r="BB2341">
        <v>4.72</v>
      </c>
      <c r="BC2341">
        <v>53</v>
      </c>
      <c r="BD2341">
        <v>-0.03</v>
      </c>
      <c r="BE2341">
        <v>-0.01</v>
      </c>
      <c r="BF2341">
        <v>0.02</v>
      </c>
      <c r="BG2341">
        <v>79</v>
      </c>
      <c r="BH2341">
        <v>-0.08</v>
      </c>
      <c r="BI2341">
        <v>-15.53</v>
      </c>
      <c r="BJ2341">
        <v>0</v>
      </c>
      <c r="BK2341">
        <v>0</v>
      </c>
      <c r="BL2341">
        <v>-1.23</v>
      </c>
      <c r="BM2341">
        <v>-1.54</v>
      </c>
      <c r="BN2341">
        <v>-0.56999999999999995</v>
      </c>
      <c r="BO2341">
        <v>1.0900000000000001</v>
      </c>
      <c r="BP2341">
        <v>-0.03</v>
      </c>
      <c r="BQ2341">
        <v>-5.2</v>
      </c>
      <c r="BR2341">
        <v>2.85</v>
      </c>
      <c r="BS2341">
        <v>6.29</v>
      </c>
      <c r="BT2341">
        <v>-2.09</v>
      </c>
      <c r="BU2341">
        <v>0.76</v>
      </c>
      <c r="BV2341">
        <v>0.49</v>
      </c>
      <c r="BW2341">
        <v>-1.97</v>
      </c>
      <c r="BX2341">
        <v>-1.1499999999999999</v>
      </c>
      <c r="BY2341">
        <v>-0.66</v>
      </c>
      <c r="BZ2341">
        <v>-0.11</v>
      </c>
      <c r="CA2341">
        <v>1.92</v>
      </c>
      <c r="CB2341">
        <v>0.64</v>
      </c>
      <c r="CC2341">
        <v>3.55</v>
      </c>
      <c r="CD2341">
        <v>-2.2799999999999998</v>
      </c>
      <c r="CE2341">
        <v>1.17</v>
      </c>
      <c r="CF2341">
        <v>-1.18</v>
      </c>
      <c r="CG2341">
        <v>0</v>
      </c>
      <c r="CH2341">
        <v>-1.1100000000000001</v>
      </c>
      <c r="CI2341">
        <v>0</v>
      </c>
      <c r="CJ2341">
        <v>-36</v>
      </c>
      <c r="CK2341">
        <v>72</v>
      </c>
      <c r="CL2341">
        <v>-0.96</v>
      </c>
      <c r="CM2341">
        <v>69</v>
      </c>
      <c r="CN2341">
        <v>0.11</v>
      </c>
      <c r="CO2341">
        <v>64</v>
      </c>
      <c r="CP2341">
        <v>-56.8</v>
      </c>
      <c r="CQ2341">
        <v>78</v>
      </c>
      <c r="CR2341">
        <v>0</v>
      </c>
      <c r="CS2341">
        <v>0</v>
      </c>
      <c r="CT2341">
        <v>-87.5</v>
      </c>
      <c r="CU2341">
        <v>66</v>
      </c>
      <c r="CV2341">
        <v>-0.44</v>
      </c>
      <c r="CW2341">
        <v>19</v>
      </c>
      <c r="CX2341" t="s">
        <v>10488</v>
      </c>
    </row>
    <row r="2342" spans="1:102" x14ac:dyDescent="0.3">
      <c r="A2342" t="str">
        <f>HYPERLINK("https://webapp.icbf.com/v2/app/bull-search/view/69092725","STU")</f>
        <v>STU</v>
      </c>
      <c r="B2342" t="s">
        <v>144</v>
      </c>
      <c r="C2342" t="s">
        <v>11793</v>
      </c>
      <c r="D2342" s="1">
        <v>33949</v>
      </c>
      <c r="E2342" t="s">
        <v>146</v>
      </c>
      <c r="F2342">
        <v>0</v>
      </c>
      <c r="G2342" t="s">
        <v>93</v>
      </c>
      <c r="H2342">
        <v>46.23</v>
      </c>
      <c r="I2342">
        <v>53</v>
      </c>
      <c r="J2342">
        <v>-61.02</v>
      </c>
      <c r="K2342">
        <v>81</v>
      </c>
      <c r="L2342">
        <v>64.87</v>
      </c>
      <c r="M2342">
        <v>33</v>
      </c>
      <c r="N2342">
        <v>32.28</v>
      </c>
      <c r="O2342">
        <v>38</v>
      </c>
      <c r="P2342">
        <v>11.95</v>
      </c>
      <c r="Q2342">
        <v>59</v>
      </c>
      <c r="R2342">
        <v>-6.34</v>
      </c>
      <c r="S2342">
        <v>40</v>
      </c>
      <c r="T2342">
        <v>5.0199999999999996</v>
      </c>
      <c r="U2342">
        <v>57</v>
      </c>
      <c r="V2342">
        <v>-0.53</v>
      </c>
      <c r="W2342">
        <v>20</v>
      </c>
      <c r="X2342" t="s">
        <v>276</v>
      </c>
      <c r="Y2342" t="s">
        <v>95</v>
      </c>
      <c r="Z2342">
        <v>0</v>
      </c>
      <c r="AA2342" t="s">
        <v>546</v>
      </c>
      <c r="AB2342" t="s">
        <v>11794</v>
      </c>
      <c r="AC2342">
        <v>18</v>
      </c>
      <c r="AD2342">
        <v>17</v>
      </c>
      <c r="AE2342">
        <v>81</v>
      </c>
      <c r="AF2342">
        <v>-465.41</v>
      </c>
      <c r="AG2342">
        <v>-13.77</v>
      </c>
      <c r="AH2342">
        <v>-12.63</v>
      </c>
      <c r="AI2342">
        <v>0.08</v>
      </c>
      <c r="AJ2342">
        <v>0.06</v>
      </c>
      <c r="AK2342">
        <v>33</v>
      </c>
      <c r="AL2342">
        <v>18</v>
      </c>
      <c r="AM2342">
        <v>13</v>
      </c>
      <c r="AN2342">
        <v>-3.02</v>
      </c>
      <c r="AO2342">
        <v>2.16</v>
      </c>
      <c r="AP2342">
        <v>10</v>
      </c>
      <c r="AQ2342">
        <v>2</v>
      </c>
      <c r="AR2342">
        <v>6.27</v>
      </c>
      <c r="AS2342">
        <v>15</v>
      </c>
      <c r="AT2342">
        <v>2.63</v>
      </c>
      <c r="AU2342">
        <v>34</v>
      </c>
      <c r="AV2342">
        <v>-2.79</v>
      </c>
      <c r="AW2342">
        <v>51</v>
      </c>
      <c r="AX2342">
        <v>-0.24</v>
      </c>
      <c r="AY2342">
        <v>41</v>
      </c>
      <c r="AZ2342">
        <v>5.85</v>
      </c>
      <c r="BA2342">
        <v>16</v>
      </c>
      <c r="BB2342">
        <v>4.72</v>
      </c>
      <c r="BC2342">
        <v>23</v>
      </c>
      <c r="BD2342">
        <v>-0.02</v>
      </c>
      <c r="BE2342">
        <v>0.01</v>
      </c>
      <c r="BF2342">
        <v>0.16</v>
      </c>
      <c r="BG2342">
        <v>51</v>
      </c>
      <c r="BH2342">
        <v>-0.1</v>
      </c>
      <c r="BI2342">
        <v>-9.85</v>
      </c>
      <c r="BJ2342">
        <v>0</v>
      </c>
      <c r="BK2342">
        <v>0</v>
      </c>
      <c r="BL2342">
        <v>-1.02</v>
      </c>
      <c r="BM2342">
        <v>1.26</v>
      </c>
      <c r="BN2342">
        <v>-0.7</v>
      </c>
      <c r="BO2342">
        <v>-1.38</v>
      </c>
      <c r="BP2342">
        <v>0.83</v>
      </c>
      <c r="BQ2342">
        <v>0.56000000000000005</v>
      </c>
      <c r="BR2342">
        <v>0.01</v>
      </c>
      <c r="BS2342">
        <v>0.05</v>
      </c>
      <c r="BT2342">
        <v>-0.28999999999999998</v>
      </c>
      <c r="BU2342">
        <v>-1.03</v>
      </c>
      <c r="BV2342">
        <v>-1.64</v>
      </c>
      <c r="BW2342">
        <v>-1.24</v>
      </c>
      <c r="BX2342">
        <v>-0.56000000000000005</v>
      </c>
      <c r="BY2342">
        <v>-1.19</v>
      </c>
      <c r="BZ2342">
        <v>0.11</v>
      </c>
      <c r="CA2342">
        <v>-1.38</v>
      </c>
      <c r="CB2342">
        <v>-1.39</v>
      </c>
      <c r="CC2342">
        <v>-0.78</v>
      </c>
      <c r="CD2342">
        <v>1.48</v>
      </c>
      <c r="CE2342">
        <v>-1.39</v>
      </c>
      <c r="CF2342">
        <v>-0.72</v>
      </c>
      <c r="CG2342">
        <v>0</v>
      </c>
      <c r="CH2342">
        <v>-1.1000000000000001</v>
      </c>
      <c r="CI2342">
        <v>0</v>
      </c>
      <c r="CJ2342">
        <v>5</v>
      </c>
      <c r="CK2342">
        <v>62</v>
      </c>
      <c r="CL2342">
        <v>0.38</v>
      </c>
      <c r="CM2342">
        <v>56</v>
      </c>
      <c r="CN2342">
        <v>-0.08</v>
      </c>
      <c r="CO2342">
        <v>51</v>
      </c>
      <c r="CP2342">
        <v>1.3</v>
      </c>
      <c r="CQ2342">
        <v>61</v>
      </c>
      <c r="CR2342">
        <v>0</v>
      </c>
      <c r="CS2342">
        <v>0</v>
      </c>
      <c r="CT2342">
        <v>7</v>
      </c>
      <c r="CU2342">
        <v>57</v>
      </c>
      <c r="CV2342">
        <v>-0.15</v>
      </c>
      <c r="CW2342">
        <v>16</v>
      </c>
      <c r="CX2342" t="s">
        <v>580</v>
      </c>
    </row>
    <row r="2343" spans="1:102" x14ac:dyDescent="0.3">
      <c r="A2343" t="str">
        <f>HYPERLINK("https://webapp.icbf.com/v2/app/bull-search/view/441672836","TLR")</f>
        <v>TLR</v>
      </c>
      <c r="B2343" t="s">
        <v>4849</v>
      </c>
      <c r="C2343" t="s">
        <v>4850</v>
      </c>
      <c r="D2343" s="1">
        <v>38743</v>
      </c>
      <c r="E2343" t="s">
        <v>92</v>
      </c>
      <c r="F2343">
        <v>94</v>
      </c>
      <c r="G2343" t="s">
        <v>93</v>
      </c>
      <c r="H2343">
        <v>46.19</v>
      </c>
      <c r="I2343">
        <v>89</v>
      </c>
      <c r="J2343">
        <v>16.88</v>
      </c>
      <c r="K2343">
        <v>97</v>
      </c>
      <c r="L2343">
        <v>8.7100000000000009</v>
      </c>
      <c r="M2343">
        <v>82</v>
      </c>
      <c r="N2343">
        <v>18.079999999999998</v>
      </c>
      <c r="O2343">
        <v>87</v>
      </c>
      <c r="P2343">
        <v>-7.58</v>
      </c>
      <c r="Q2343">
        <v>92</v>
      </c>
      <c r="R2343">
        <v>-5.96</v>
      </c>
      <c r="S2343">
        <v>83</v>
      </c>
      <c r="T2343">
        <v>13.01</v>
      </c>
      <c r="U2343">
        <v>86</v>
      </c>
      <c r="V2343">
        <v>3.05</v>
      </c>
      <c r="W2343">
        <v>83</v>
      </c>
      <c r="X2343" t="s">
        <v>94</v>
      </c>
      <c r="Y2343" t="s">
        <v>1251</v>
      </c>
      <c r="Z2343" t="s">
        <v>96</v>
      </c>
      <c r="AA2343" t="s">
        <v>1165</v>
      </c>
      <c r="AB2343" t="s">
        <v>4851</v>
      </c>
      <c r="AC2343">
        <v>91</v>
      </c>
      <c r="AD2343">
        <v>65</v>
      </c>
      <c r="AE2343">
        <v>97</v>
      </c>
      <c r="AF2343">
        <v>119.17</v>
      </c>
      <c r="AG2343">
        <v>6.26</v>
      </c>
      <c r="AH2343">
        <v>2.48</v>
      </c>
      <c r="AI2343">
        <v>0.03</v>
      </c>
      <c r="AJ2343">
        <v>-0.03</v>
      </c>
      <c r="AK2343">
        <v>82</v>
      </c>
      <c r="AL2343">
        <v>89</v>
      </c>
      <c r="AM2343">
        <v>60</v>
      </c>
      <c r="AN2343">
        <v>-0.03</v>
      </c>
      <c r="AO2343">
        <v>0.67</v>
      </c>
      <c r="AP2343">
        <v>226</v>
      </c>
      <c r="AQ2343">
        <v>2</v>
      </c>
      <c r="AR2343">
        <v>8.76</v>
      </c>
      <c r="AS2343">
        <v>74</v>
      </c>
      <c r="AT2343">
        <v>3.24</v>
      </c>
      <c r="AU2343">
        <v>89</v>
      </c>
      <c r="AV2343">
        <v>-2.46</v>
      </c>
      <c r="AW2343">
        <v>96</v>
      </c>
      <c r="AX2343">
        <v>-0.84</v>
      </c>
      <c r="AY2343">
        <v>82</v>
      </c>
      <c r="AZ2343">
        <v>6.22</v>
      </c>
      <c r="BA2343">
        <v>68</v>
      </c>
      <c r="BB2343">
        <v>4.95</v>
      </c>
      <c r="BC2343">
        <v>70</v>
      </c>
      <c r="BD2343">
        <v>0</v>
      </c>
      <c r="BE2343">
        <v>0.03</v>
      </c>
      <c r="BF2343">
        <v>0.08</v>
      </c>
      <c r="BG2343">
        <v>89</v>
      </c>
      <c r="BH2343">
        <v>-0.01</v>
      </c>
      <c r="BI2343">
        <v>-10.98</v>
      </c>
      <c r="BJ2343">
        <v>6</v>
      </c>
      <c r="BK2343">
        <v>6</v>
      </c>
      <c r="BL2343">
        <v>0.25</v>
      </c>
      <c r="BM2343">
        <v>-1.45</v>
      </c>
      <c r="BN2343">
        <v>-1.46</v>
      </c>
      <c r="BO2343">
        <v>-0.33</v>
      </c>
      <c r="BP2343">
        <v>2.82</v>
      </c>
      <c r="BQ2343">
        <v>-1.34</v>
      </c>
      <c r="BR2343">
        <v>0.33</v>
      </c>
      <c r="BS2343">
        <v>-2.66</v>
      </c>
      <c r="BT2343">
        <v>-2.08</v>
      </c>
      <c r="BU2343">
        <v>-0.65</v>
      </c>
      <c r="BV2343">
        <v>-0.94</v>
      </c>
      <c r="BW2343">
        <v>-0.53</v>
      </c>
      <c r="BX2343">
        <v>1.04</v>
      </c>
      <c r="BY2343">
        <v>0.42</v>
      </c>
      <c r="BZ2343">
        <v>-1.38</v>
      </c>
      <c r="CA2343">
        <v>-0.69</v>
      </c>
      <c r="CB2343">
        <v>-0.66</v>
      </c>
      <c r="CC2343">
        <v>-1.69</v>
      </c>
      <c r="CD2343">
        <v>-0.2</v>
      </c>
      <c r="CE2343">
        <v>0.56999999999999995</v>
      </c>
      <c r="CF2343">
        <v>0.08</v>
      </c>
      <c r="CG2343">
        <v>0</v>
      </c>
      <c r="CH2343">
        <v>-0.26</v>
      </c>
      <c r="CI2343">
        <v>0</v>
      </c>
      <c r="CJ2343">
        <v>-1.6</v>
      </c>
      <c r="CK2343">
        <v>93</v>
      </c>
      <c r="CL2343">
        <v>-0.68</v>
      </c>
      <c r="CM2343">
        <v>92</v>
      </c>
      <c r="CN2343">
        <v>-0.21</v>
      </c>
      <c r="CO2343">
        <v>91</v>
      </c>
      <c r="CP2343">
        <v>-5.4</v>
      </c>
      <c r="CQ2343">
        <v>90</v>
      </c>
      <c r="CR2343">
        <v>0</v>
      </c>
      <c r="CS2343">
        <v>0</v>
      </c>
      <c r="CT2343">
        <v>-3.8</v>
      </c>
      <c r="CU2343">
        <v>86</v>
      </c>
      <c r="CV2343">
        <v>0.15</v>
      </c>
      <c r="CW2343">
        <v>46</v>
      </c>
      <c r="CX2343" t="s">
        <v>1252</v>
      </c>
    </row>
    <row r="2344" spans="1:102" x14ac:dyDescent="0.3">
      <c r="A2344" t="str">
        <f>HYPERLINK("https://webapp.icbf.com/v2/app/bull-search/view/169958125","TDI")</f>
        <v>TDI</v>
      </c>
      <c r="B2344" t="s">
        <v>1359</v>
      </c>
      <c r="C2344" t="s">
        <v>1360</v>
      </c>
      <c r="D2344" s="1">
        <v>36013</v>
      </c>
      <c r="E2344" t="s">
        <v>92</v>
      </c>
      <c r="F2344">
        <v>88</v>
      </c>
      <c r="G2344" t="s">
        <v>93</v>
      </c>
      <c r="H2344">
        <v>46.18</v>
      </c>
      <c r="I2344">
        <v>92</v>
      </c>
      <c r="J2344">
        <v>82.01</v>
      </c>
      <c r="K2344">
        <v>98</v>
      </c>
      <c r="L2344">
        <v>-68.819999999999993</v>
      </c>
      <c r="M2344">
        <v>91</v>
      </c>
      <c r="N2344">
        <v>33.21</v>
      </c>
      <c r="O2344">
        <v>90</v>
      </c>
      <c r="P2344">
        <v>-18.98</v>
      </c>
      <c r="Q2344">
        <v>94</v>
      </c>
      <c r="R2344">
        <v>-6.97</v>
      </c>
      <c r="S2344">
        <v>84</v>
      </c>
      <c r="T2344">
        <v>19.079999999999998</v>
      </c>
      <c r="U2344">
        <v>88</v>
      </c>
      <c r="V2344">
        <v>6.65</v>
      </c>
      <c r="W2344">
        <v>80</v>
      </c>
      <c r="X2344" t="s">
        <v>94</v>
      </c>
      <c r="Y2344" t="s">
        <v>95</v>
      </c>
      <c r="Z2344" t="s">
        <v>96</v>
      </c>
      <c r="AA2344" t="s">
        <v>1361</v>
      </c>
      <c r="AB2344" t="s">
        <v>1362</v>
      </c>
      <c r="AC2344">
        <v>115</v>
      </c>
      <c r="AD2344">
        <v>50</v>
      </c>
      <c r="AE2344">
        <v>98</v>
      </c>
      <c r="AF2344">
        <v>218.3</v>
      </c>
      <c r="AG2344">
        <v>13.79</v>
      </c>
      <c r="AH2344">
        <v>12.41</v>
      </c>
      <c r="AI2344">
        <v>0.09</v>
      </c>
      <c r="AJ2344">
        <v>0.08</v>
      </c>
      <c r="AK2344">
        <v>91</v>
      </c>
      <c r="AL2344">
        <v>137</v>
      </c>
      <c r="AM2344">
        <v>62</v>
      </c>
      <c r="AN2344">
        <v>3.59</v>
      </c>
      <c r="AO2344">
        <v>-1.9</v>
      </c>
      <c r="AP2344">
        <v>216</v>
      </c>
      <c r="AQ2344">
        <v>1</v>
      </c>
      <c r="AR2344">
        <v>6.56</v>
      </c>
      <c r="AS2344">
        <v>78</v>
      </c>
      <c r="AT2344">
        <v>2.5499999999999998</v>
      </c>
      <c r="AU2344">
        <v>96</v>
      </c>
      <c r="AV2344">
        <v>-3.63</v>
      </c>
      <c r="AW2344">
        <v>95</v>
      </c>
      <c r="AX2344">
        <v>-0.28000000000000003</v>
      </c>
      <c r="AY2344">
        <v>87</v>
      </c>
      <c r="AZ2344">
        <v>7.28</v>
      </c>
      <c r="BA2344">
        <v>72</v>
      </c>
      <c r="BB2344">
        <v>5.45</v>
      </c>
      <c r="BC2344">
        <v>74</v>
      </c>
      <c r="BD2344">
        <v>-0.04</v>
      </c>
      <c r="BE2344">
        <v>0.03</v>
      </c>
      <c r="BF2344">
        <v>0.17</v>
      </c>
      <c r="BG2344">
        <v>94</v>
      </c>
      <c r="BH2344">
        <v>0.14000000000000001</v>
      </c>
      <c r="BI2344">
        <v>-5.25</v>
      </c>
      <c r="BJ2344">
        <v>5</v>
      </c>
      <c r="BK2344">
        <v>4</v>
      </c>
      <c r="BL2344">
        <v>-0.51</v>
      </c>
      <c r="BM2344">
        <v>-0.62</v>
      </c>
      <c r="BN2344">
        <v>-0.51</v>
      </c>
      <c r="BO2344">
        <v>7.0000000000000007E-2</v>
      </c>
      <c r="BP2344">
        <v>0.16</v>
      </c>
      <c r="BQ2344">
        <v>-0.56999999999999995</v>
      </c>
      <c r="BR2344">
        <v>3.37</v>
      </c>
      <c r="BS2344">
        <v>-2.0299999999999998</v>
      </c>
      <c r="BT2344">
        <v>-3.61</v>
      </c>
      <c r="BU2344">
        <v>0.44</v>
      </c>
      <c r="BV2344">
        <v>0.83</v>
      </c>
      <c r="BW2344">
        <v>-0.11</v>
      </c>
      <c r="BX2344">
        <v>-0.16</v>
      </c>
      <c r="BY2344">
        <v>-0.15</v>
      </c>
      <c r="BZ2344">
        <v>-0.62</v>
      </c>
      <c r="CA2344">
        <v>-0.13</v>
      </c>
      <c r="CB2344">
        <v>0.47</v>
      </c>
      <c r="CC2344">
        <v>-2.16</v>
      </c>
      <c r="CD2344">
        <v>-0.68</v>
      </c>
      <c r="CE2344">
        <v>0.17</v>
      </c>
      <c r="CF2344">
        <v>-0.91</v>
      </c>
      <c r="CG2344">
        <v>0</v>
      </c>
      <c r="CH2344">
        <v>0.43</v>
      </c>
      <c r="CI2344">
        <v>0</v>
      </c>
      <c r="CJ2344">
        <v>-8</v>
      </c>
      <c r="CK2344">
        <v>95</v>
      </c>
      <c r="CL2344">
        <v>-0.87</v>
      </c>
      <c r="CM2344">
        <v>94</v>
      </c>
      <c r="CN2344">
        <v>-0.3</v>
      </c>
      <c r="CO2344">
        <v>93</v>
      </c>
      <c r="CP2344">
        <v>-16.5</v>
      </c>
      <c r="CQ2344">
        <v>93</v>
      </c>
      <c r="CR2344">
        <v>0</v>
      </c>
      <c r="CS2344">
        <v>0</v>
      </c>
      <c r="CT2344">
        <v>-12</v>
      </c>
      <c r="CU2344">
        <v>88</v>
      </c>
      <c r="CV2344">
        <v>0.16</v>
      </c>
      <c r="CW2344">
        <v>45</v>
      </c>
      <c r="CX2344" t="s">
        <v>1363</v>
      </c>
    </row>
    <row r="2345" spans="1:102" x14ac:dyDescent="0.3">
      <c r="A2345" t="str">
        <f>HYPERLINK("https://webapp.icbf.com/v2/app/bull-search/view/499665589","FVE")</f>
        <v>FVE</v>
      </c>
      <c r="B2345" t="s">
        <v>15374</v>
      </c>
      <c r="C2345" t="s">
        <v>15375</v>
      </c>
      <c r="D2345" s="1">
        <v>39140</v>
      </c>
      <c r="E2345" t="s">
        <v>227</v>
      </c>
      <c r="F2345">
        <v>0</v>
      </c>
      <c r="G2345" t="s">
        <v>93</v>
      </c>
      <c r="H2345">
        <v>46.05</v>
      </c>
      <c r="I2345">
        <v>92</v>
      </c>
      <c r="J2345">
        <v>28.34</v>
      </c>
      <c r="K2345">
        <v>98</v>
      </c>
      <c r="L2345">
        <v>-3.35</v>
      </c>
      <c r="M2345">
        <v>86</v>
      </c>
      <c r="N2345">
        <v>-0.2</v>
      </c>
      <c r="O2345">
        <v>92</v>
      </c>
      <c r="P2345">
        <v>-57.24</v>
      </c>
      <c r="Q2345">
        <v>94</v>
      </c>
      <c r="R2345">
        <v>2.13</v>
      </c>
      <c r="S2345">
        <v>90</v>
      </c>
      <c r="T2345">
        <v>67.48</v>
      </c>
      <c r="U2345">
        <v>94</v>
      </c>
      <c r="V2345">
        <v>8.89</v>
      </c>
      <c r="W2345">
        <v>93</v>
      </c>
      <c r="X2345" t="s">
        <v>94</v>
      </c>
      <c r="Y2345" t="s">
        <v>1128</v>
      </c>
      <c r="Z2345">
        <v>0</v>
      </c>
      <c r="AA2345" t="s">
        <v>4189</v>
      </c>
      <c r="AB2345" t="s">
        <v>15376</v>
      </c>
      <c r="AC2345">
        <v>180</v>
      </c>
      <c r="AD2345">
        <v>96</v>
      </c>
      <c r="AE2345">
        <v>98</v>
      </c>
      <c r="AF2345">
        <v>-415.76</v>
      </c>
      <c r="AG2345">
        <v>8.75</v>
      </c>
      <c r="AH2345">
        <v>-4.6399999999999997</v>
      </c>
      <c r="AI2345">
        <v>0.47</v>
      </c>
      <c r="AJ2345">
        <v>0.18</v>
      </c>
      <c r="AK2345">
        <v>86</v>
      </c>
      <c r="AL2345">
        <v>185</v>
      </c>
      <c r="AM2345">
        <v>92</v>
      </c>
      <c r="AN2345">
        <v>0.73</v>
      </c>
      <c r="AO2345">
        <v>0.47</v>
      </c>
      <c r="AP2345">
        <v>280</v>
      </c>
      <c r="AQ2345">
        <v>4</v>
      </c>
      <c r="AR2345">
        <v>3.29</v>
      </c>
      <c r="AS2345">
        <v>88</v>
      </c>
      <c r="AT2345">
        <v>1.65</v>
      </c>
      <c r="AU2345">
        <v>90</v>
      </c>
      <c r="AV2345">
        <v>1.18</v>
      </c>
      <c r="AW2345">
        <v>98</v>
      </c>
      <c r="AX2345">
        <v>0.78</v>
      </c>
      <c r="AY2345">
        <v>88</v>
      </c>
      <c r="AZ2345">
        <v>8.41</v>
      </c>
      <c r="BA2345">
        <v>79</v>
      </c>
      <c r="BB2345">
        <v>5.91</v>
      </c>
      <c r="BC2345">
        <v>81</v>
      </c>
      <c r="BD2345">
        <v>-0.06</v>
      </c>
      <c r="BE2345">
        <v>-0.01</v>
      </c>
      <c r="BF2345">
        <v>7.0000000000000007E-2</v>
      </c>
      <c r="BG2345">
        <v>94</v>
      </c>
      <c r="BH2345">
        <v>0.16</v>
      </c>
      <c r="BI2345">
        <v>-10.17</v>
      </c>
      <c r="BJ2345">
        <v>44</v>
      </c>
      <c r="BK2345">
        <v>26</v>
      </c>
      <c r="BL2345">
        <v>-3.63</v>
      </c>
      <c r="BM2345">
        <v>-3.33</v>
      </c>
      <c r="BN2345">
        <v>-1.85</v>
      </c>
      <c r="BO2345">
        <v>0.56000000000000005</v>
      </c>
      <c r="BP2345">
        <v>-0.93</v>
      </c>
      <c r="BQ2345">
        <v>-8.3699999999999992</v>
      </c>
      <c r="BR2345">
        <v>3.37</v>
      </c>
      <c r="BS2345">
        <v>4.6100000000000003</v>
      </c>
      <c r="BT2345">
        <v>-2.92</v>
      </c>
      <c r="BU2345">
        <v>-0.68</v>
      </c>
      <c r="BV2345">
        <v>-0.57999999999999996</v>
      </c>
      <c r="BW2345">
        <v>-2.21</v>
      </c>
      <c r="BX2345">
        <v>-2.95</v>
      </c>
      <c r="BY2345">
        <v>-0.14000000000000001</v>
      </c>
      <c r="BZ2345">
        <v>-0.53</v>
      </c>
      <c r="CA2345">
        <v>0.92</v>
      </c>
      <c r="CB2345">
        <v>-0.18</v>
      </c>
      <c r="CC2345">
        <v>2.65</v>
      </c>
      <c r="CD2345">
        <v>-2.2400000000000002</v>
      </c>
      <c r="CE2345">
        <v>0.7</v>
      </c>
      <c r="CF2345">
        <v>-4.4400000000000004</v>
      </c>
      <c r="CG2345">
        <v>0</v>
      </c>
      <c r="CH2345">
        <v>-1.96</v>
      </c>
      <c r="CI2345">
        <v>0</v>
      </c>
      <c r="CJ2345">
        <v>-29</v>
      </c>
      <c r="CK2345">
        <v>95</v>
      </c>
      <c r="CL2345">
        <v>-0.99</v>
      </c>
      <c r="CM2345">
        <v>94</v>
      </c>
      <c r="CN2345">
        <v>-0.08</v>
      </c>
      <c r="CO2345">
        <v>93</v>
      </c>
      <c r="CP2345">
        <v>-52.9</v>
      </c>
      <c r="CQ2345">
        <v>94</v>
      </c>
      <c r="CR2345">
        <v>0</v>
      </c>
      <c r="CS2345">
        <v>0</v>
      </c>
      <c r="CT2345">
        <v>-77.400000000000006</v>
      </c>
      <c r="CU2345">
        <v>94</v>
      </c>
      <c r="CV2345">
        <v>-0.22</v>
      </c>
      <c r="CW2345">
        <v>45</v>
      </c>
      <c r="CX2345" t="s">
        <v>321</v>
      </c>
    </row>
    <row r="2346" spans="1:102" x14ac:dyDescent="0.3">
      <c r="A2346" t="str">
        <f>HYPERLINK("https://webapp.icbf.com/v2/app/bull-search/view/453211525","RZO")</f>
        <v>RZO</v>
      </c>
      <c r="B2346" t="s">
        <v>12028</v>
      </c>
      <c r="C2346" t="s">
        <v>12029</v>
      </c>
      <c r="D2346" s="1">
        <v>38783</v>
      </c>
      <c r="E2346" t="s">
        <v>92</v>
      </c>
      <c r="F2346">
        <v>81</v>
      </c>
      <c r="G2346" t="s">
        <v>116</v>
      </c>
      <c r="H2346">
        <v>45.9</v>
      </c>
      <c r="I2346">
        <v>40</v>
      </c>
      <c r="J2346">
        <v>50.63</v>
      </c>
      <c r="K2346">
        <v>46</v>
      </c>
      <c r="L2346">
        <v>-9.5299999999999994</v>
      </c>
      <c r="M2346">
        <v>31</v>
      </c>
      <c r="N2346">
        <v>3.43</v>
      </c>
      <c r="O2346">
        <v>44</v>
      </c>
      <c r="P2346">
        <v>-3.48</v>
      </c>
      <c r="Q2346">
        <v>59</v>
      </c>
      <c r="R2346">
        <v>-5.86</v>
      </c>
      <c r="S2346">
        <v>35</v>
      </c>
      <c r="T2346">
        <v>10.87</v>
      </c>
      <c r="U2346">
        <v>38</v>
      </c>
      <c r="V2346">
        <v>-0.16</v>
      </c>
      <c r="W2346">
        <v>32</v>
      </c>
      <c r="X2346" t="s">
        <v>94</v>
      </c>
      <c r="Y2346" t="s">
        <v>1251</v>
      </c>
      <c r="Z2346" t="s">
        <v>96</v>
      </c>
      <c r="AA2346" t="s">
        <v>3831</v>
      </c>
      <c r="AB2346" t="s">
        <v>12030</v>
      </c>
      <c r="AC2346">
        <v>0</v>
      </c>
      <c r="AD2346">
        <v>0</v>
      </c>
      <c r="AE2346">
        <v>46</v>
      </c>
      <c r="AF2346">
        <v>14.05</v>
      </c>
      <c r="AG2346">
        <v>10.53</v>
      </c>
      <c r="AH2346">
        <v>5.0999999999999996</v>
      </c>
      <c r="AI2346">
        <v>0.17</v>
      </c>
      <c r="AJ2346">
        <v>0.08</v>
      </c>
      <c r="AK2346">
        <v>31</v>
      </c>
      <c r="AL2346">
        <v>0</v>
      </c>
      <c r="AM2346">
        <v>0</v>
      </c>
      <c r="AN2346">
        <v>-0.24</v>
      </c>
      <c r="AO2346">
        <v>-1.01</v>
      </c>
      <c r="AP2346">
        <v>9</v>
      </c>
      <c r="AQ2346">
        <v>0</v>
      </c>
      <c r="AR2346">
        <v>7.87</v>
      </c>
      <c r="AS2346">
        <v>32</v>
      </c>
      <c r="AT2346">
        <v>3.54</v>
      </c>
      <c r="AU2346">
        <v>40</v>
      </c>
      <c r="AV2346">
        <v>-0.3</v>
      </c>
      <c r="AW2346">
        <v>57</v>
      </c>
      <c r="AX2346">
        <v>-0.31</v>
      </c>
      <c r="AY2346">
        <v>37</v>
      </c>
      <c r="AZ2346">
        <v>5.19</v>
      </c>
      <c r="BA2346">
        <v>29</v>
      </c>
      <c r="BB2346">
        <v>4.34</v>
      </c>
      <c r="BC2346">
        <v>29</v>
      </c>
      <c r="BD2346">
        <v>0.01</v>
      </c>
      <c r="BE2346">
        <v>0.02</v>
      </c>
      <c r="BF2346">
        <v>0.08</v>
      </c>
      <c r="BG2346">
        <v>37</v>
      </c>
      <c r="BH2346">
        <v>0.01</v>
      </c>
      <c r="BI2346">
        <v>1.67</v>
      </c>
      <c r="BJ2346">
        <v>0</v>
      </c>
      <c r="BK2346">
        <v>0</v>
      </c>
      <c r="BL2346">
        <v>-0.24</v>
      </c>
      <c r="BM2346">
        <v>-0.65</v>
      </c>
      <c r="BN2346">
        <v>-0.19</v>
      </c>
      <c r="BO2346">
        <v>0.19</v>
      </c>
      <c r="BP2346">
        <v>0.26</v>
      </c>
      <c r="BQ2346">
        <v>0.34</v>
      </c>
      <c r="BR2346">
        <v>1.78</v>
      </c>
      <c r="BS2346">
        <v>-1.64</v>
      </c>
      <c r="BT2346">
        <v>-0.78</v>
      </c>
      <c r="BU2346">
        <v>-1.85</v>
      </c>
      <c r="BV2346">
        <v>-0.77</v>
      </c>
      <c r="BW2346">
        <v>-1.66</v>
      </c>
      <c r="BX2346">
        <v>-1.88</v>
      </c>
      <c r="BY2346">
        <v>-1.53</v>
      </c>
      <c r="BZ2346">
        <v>0.35</v>
      </c>
      <c r="CA2346">
        <v>-1.57</v>
      </c>
      <c r="CB2346">
        <v>-1.1200000000000001</v>
      </c>
      <c r="CC2346">
        <v>-1.69</v>
      </c>
      <c r="CD2346">
        <v>-0.47</v>
      </c>
      <c r="CE2346">
        <v>-0.03</v>
      </c>
      <c r="CF2346">
        <v>-0.19</v>
      </c>
      <c r="CG2346">
        <v>0</v>
      </c>
      <c r="CH2346">
        <v>-0.92</v>
      </c>
      <c r="CI2346">
        <v>0</v>
      </c>
      <c r="CJ2346">
        <v>0.3</v>
      </c>
      <c r="CK2346">
        <v>62</v>
      </c>
      <c r="CL2346">
        <v>-0.42</v>
      </c>
      <c r="CM2346">
        <v>57</v>
      </c>
      <c r="CN2346">
        <v>-0.13</v>
      </c>
      <c r="CO2346">
        <v>55</v>
      </c>
      <c r="CP2346">
        <v>-7.2</v>
      </c>
      <c r="CQ2346">
        <v>45</v>
      </c>
      <c r="CR2346">
        <v>0</v>
      </c>
      <c r="CS2346">
        <v>0</v>
      </c>
      <c r="CT2346">
        <v>-0.9</v>
      </c>
      <c r="CU2346">
        <v>38</v>
      </c>
      <c r="CV2346">
        <v>0.13</v>
      </c>
      <c r="CW2346">
        <v>17</v>
      </c>
      <c r="CX2346" t="s">
        <v>2774</v>
      </c>
    </row>
    <row r="2347" spans="1:102" x14ac:dyDescent="0.3">
      <c r="A2347" t="str">
        <f>HYPERLINK("https://webapp.icbf.com/v2/app/bull-search/view/119870544","SIA")</f>
        <v>SIA</v>
      </c>
      <c r="B2347" t="s">
        <v>3906</v>
      </c>
      <c r="C2347" t="s">
        <v>3907</v>
      </c>
      <c r="D2347" s="1">
        <v>35287</v>
      </c>
      <c r="E2347" t="s">
        <v>92</v>
      </c>
      <c r="F2347">
        <v>44</v>
      </c>
      <c r="G2347" t="s">
        <v>93</v>
      </c>
      <c r="H2347">
        <v>45.84</v>
      </c>
      <c r="I2347">
        <v>96</v>
      </c>
      <c r="J2347">
        <v>16.190000000000001</v>
      </c>
      <c r="K2347">
        <v>99</v>
      </c>
      <c r="L2347">
        <v>50.73</v>
      </c>
      <c r="M2347">
        <v>92</v>
      </c>
      <c r="N2347">
        <v>4.18</v>
      </c>
      <c r="O2347">
        <v>97</v>
      </c>
      <c r="P2347">
        <v>-25.03</v>
      </c>
      <c r="Q2347">
        <v>99</v>
      </c>
      <c r="R2347">
        <v>-16.850000000000001</v>
      </c>
      <c r="S2347">
        <v>94</v>
      </c>
      <c r="T2347">
        <v>31.51</v>
      </c>
      <c r="U2347">
        <v>98</v>
      </c>
      <c r="V2347">
        <v>-14.89</v>
      </c>
      <c r="W2347">
        <v>95</v>
      </c>
      <c r="X2347" t="s">
        <v>302</v>
      </c>
      <c r="Y2347" t="s">
        <v>95</v>
      </c>
      <c r="Z2347" t="s">
        <v>96</v>
      </c>
      <c r="AA2347" t="s">
        <v>3908</v>
      </c>
      <c r="AB2347" t="s">
        <v>3909</v>
      </c>
      <c r="AC2347">
        <v>880</v>
      </c>
      <c r="AD2347">
        <v>279</v>
      </c>
      <c r="AE2347">
        <v>99</v>
      </c>
      <c r="AF2347">
        <v>-87.16</v>
      </c>
      <c r="AG2347">
        <v>-4.13</v>
      </c>
      <c r="AH2347">
        <v>2.88</v>
      </c>
      <c r="AI2347">
        <v>-0.01</v>
      </c>
      <c r="AJ2347">
        <v>0.1</v>
      </c>
      <c r="AK2347">
        <v>92</v>
      </c>
      <c r="AL2347">
        <v>890</v>
      </c>
      <c r="AM2347">
        <v>263</v>
      </c>
      <c r="AN2347">
        <v>-2.4500000000000002</v>
      </c>
      <c r="AO2347">
        <v>1.6</v>
      </c>
      <c r="AP2347">
        <v>1098</v>
      </c>
      <c r="AQ2347">
        <v>5</v>
      </c>
      <c r="AR2347">
        <v>5.83</v>
      </c>
      <c r="AS2347">
        <v>92</v>
      </c>
      <c r="AT2347">
        <v>2.78</v>
      </c>
      <c r="AU2347">
        <v>98</v>
      </c>
      <c r="AV2347">
        <v>0.43</v>
      </c>
      <c r="AW2347">
        <v>99</v>
      </c>
      <c r="AX2347">
        <v>0.21</v>
      </c>
      <c r="AY2347">
        <v>97</v>
      </c>
      <c r="AZ2347">
        <v>6.52</v>
      </c>
      <c r="BA2347">
        <v>91</v>
      </c>
      <c r="BB2347">
        <v>4.79</v>
      </c>
      <c r="BC2347">
        <v>94</v>
      </c>
      <c r="BD2347">
        <v>0.02</v>
      </c>
      <c r="BE2347">
        <v>0.06</v>
      </c>
      <c r="BF2347">
        <v>0.24</v>
      </c>
      <c r="BG2347">
        <v>98</v>
      </c>
      <c r="BH2347">
        <v>-0.31</v>
      </c>
      <c r="BI2347">
        <v>12.17</v>
      </c>
      <c r="BJ2347">
        <v>45</v>
      </c>
      <c r="BK2347">
        <v>16</v>
      </c>
      <c r="BL2347">
        <v>-1.53</v>
      </c>
      <c r="BM2347">
        <v>0.76</v>
      </c>
      <c r="BN2347">
        <v>-1.06</v>
      </c>
      <c r="BO2347">
        <v>-1.53</v>
      </c>
      <c r="BP2347">
        <v>1.01</v>
      </c>
      <c r="BQ2347">
        <v>-1.83</v>
      </c>
      <c r="BR2347">
        <v>1.62</v>
      </c>
      <c r="BS2347">
        <v>-0.74</v>
      </c>
      <c r="BT2347">
        <v>-1.32</v>
      </c>
      <c r="BU2347">
        <v>-1.85</v>
      </c>
      <c r="BV2347">
        <v>-2.19</v>
      </c>
      <c r="BW2347">
        <v>-2.31</v>
      </c>
      <c r="BX2347">
        <v>-0.92</v>
      </c>
      <c r="BY2347">
        <v>-1.91</v>
      </c>
      <c r="BZ2347">
        <v>0.68</v>
      </c>
      <c r="CA2347">
        <v>-1.83</v>
      </c>
      <c r="CB2347">
        <v>-1.91</v>
      </c>
      <c r="CC2347">
        <v>-1.03</v>
      </c>
      <c r="CD2347">
        <v>0.56999999999999995</v>
      </c>
      <c r="CE2347">
        <v>-1.54</v>
      </c>
      <c r="CF2347">
        <v>-1.4</v>
      </c>
      <c r="CG2347">
        <v>0</v>
      </c>
      <c r="CH2347">
        <v>-2.61</v>
      </c>
      <c r="CI2347">
        <v>0</v>
      </c>
      <c r="CJ2347">
        <v>-13.1</v>
      </c>
      <c r="CK2347">
        <v>99</v>
      </c>
      <c r="CL2347">
        <v>-0.74</v>
      </c>
      <c r="CM2347">
        <v>99</v>
      </c>
      <c r="CN2347">
        <v>-0.33</v>
      </c>
      <c r="CO2347">
        <v>99</v>
      </c>
      <c r="CP2347">
        <v>-21.2</v>
      </c>
      <c r="CQ2347">
        <v>99</v>
      </c>
      <c r="CR2347">
        <v>0</v>
      </c>
      <c r="CS2347">
        <v>0</v>
      </c>
      <c r="CT2347">
        <v>-28.8</v>
      </c>
      <c r="CU2347">
        <v>98</v>
      </c>
      <c r="CV2347">
        <v>0</v>
      </c>
      <c r="CW2347">
        <v>46</v>
      </c>
      <c r="CX2347" t="s">
        <v>795</v>
      </c>
    </row>
    <row r="2348" spans="1:102" x14ac:dyDescent="0.3">
      <c r="A2348" t="str">
        <f>HYPERLINK("https://webapp.icbf.com/v2/app/bull-search/view/1268719301","S3017")</f>
        <v>S3017</v>
      </c>
      <c r="B2348" t="s">
        <v>13607</v>
      </c>
      <c r="C2348" t="s">
        <v>13608</v>
      </c>
      <c r="D2348" s="1">
        <v>38248</v>
      </c>
      <c r="E2348" t="s">
        <v>108</v>
      </c>
      <c r="F2348">
        <v>0</v>
      </c>
      <c r="G2348" t="s">
        <v>109</v>
      </c>
      <c r="H2348">
        <v>45.79</v>
      </c>
      <c r="I2348">
        <v>53</v>
      </c>
      <c r="J2348">
        <v>-66.48</v>
      </c>
      <c r="K2348">
        <v>69</v>
      </c>
      <c r="L2348">
        <v>53.77</v>
      </c>
      <c r="M2348">
        <v>46</v>
      </c>
      <c r="N2348">
        <v>33.31</v>
      </c>
      <c r="O2348">
        <v>49</v>
      </c>
      <c r="P2348">
        <v>-9</v>
      </c>
      <c r="Q2348">
        <v>56</v>
      </c>
      <c r="R2348">
        <v>13.02</v>
      </c>
      <c r="S2348">
        <v>40</v>
      </c>
      <c r="T2348">
        <v>19.97</v>
      </c>
      <c r="U2348">
        <v>32</v>
      </c>
      <c r="V2348">
        <v>1.2</v>
      </c>
      <c r="W2348">
        <v>36</v>
      </c>
      <c r="X2348" t="s">
        <v>110</v>
      </c>
      <c r="Y2348" t="s">
        <v>411</v>
      </c>
      <c r="Z2348" t="s">
        <v>96</v>
      </c>
      <c r="AA2348" t="s">
        <v>823</v>
      </c>
      <c r="AB2348" t="s">
        <v>13609</v>
      </c>
      <c r="AC2348">
        <v>0</v>
      </c>
      <c r="AD2348">
        <v>0</v>
      </c>
      <c r="AE2348">
        <v>69</v>
      </c>
      <c r="AF2348">
        <v>-240.04</v>
      </c>
      <c r="AG2348">
        <v>-10.83</v>
      </c>
      <c r="AH2348">
        <v>-11.15</v>
      </c>
      <c r="AI2348">
        <v>-0.02</v>
      </c>
      <c r="AJ2348">
        <v>-0.05</v>
      </c>
      <c r="AK2348">
        <v>46</v>
      </c>
      <c r="AL2348">
        <v>0</v>
      </c>
      <c r="AM2348">
        <v>0</v>
      </c>
      <c r="AN2348">
        <v>-2.81</v>
      </c>
      <c r="AO2348">
        <v>1.48</v>
      </c>
      <c r="AP2348">
        <v>8</v>
      </c>
      <c r="AQ2348">
        <v>0</v>
      </c>
      <c r="AR2348">
        <v>5.46</v>
      </c>
      <c r="AS2348">
        <v>35</v>
      </c>
      <c r="AT2348">
        <v>2.27</v>
      </c>
      <c r="AU2348">
        <v>33</v>
      </c>
      <c r="AV2348">
        <v>-2.56</v>
      </c>
      <c r="AW2348">
        <v>73</v>
      </c>
      <c r="AX2348">
        <v>-0.61</v>
      </c>
      <c r="AY2348">
        <v>49</v>
      </c>
      <c r="AZ2348">
        <v>6.33</v>
      </c>
      <c r="BA2348">
        <v>22</v>
      </c>
      <c r="BB2348">
        <v>5.09</v>
      </c>
      <c r="BC2348">
        <v>23</v>
      </c>
      <c r="BD2348">
        <v>0.01</v>
      </c>
      <c r="BE2348">
        <v>-0.04</v>
      </c>
      <c r="BF2348">
        <v>-0.24</v>
      </c>
      <c r="BG2348">
        <v>48</v>
      </c>
      <c r="BH2348">
        <v>-0.02</v>
      </c>
      <c r="BI2348">
        <v>-6.19</v>
      </c>
      <c r="BJ2348">
        <v>1</v>
      </c>
      <c r="BK2348">
        <v>1</v>
      </c>
      <c r="BL2348">
        <v>-2.78</v>
      </c>
      <c r="BM2348">
        <v>1.64</v>
      </c>
      <c r="BN2348">
        <v>-1.74</v>
      </c>
      <c r="BO2348">
        <v>-2.58</v>
      </c>
      <c r="BP2348">
        <v>0.21</v>
      </c>
      <c r="BQ2348">
        <v>1.36</v>
      </c>
      <c r="BR2348">
        <v>-0.95</v>
      </c>
      <c r="BS2348">
        <v>0.8</v>
      </c>
      <c r="BT2348">
        <v>1.06</v>
      </c>
      <c r="BU2348">
        <v>-0.54</v>
      </c>
      <c r="BV2348">
        <v>-1.33</v>
      </c>
      <c r="BW2348">
        <v>-0.56000000000000005</v>
      </c>
      <c r="BX2348">
        <v>-0.14000000000000001</v>
      </c>
      <c r="BY2348">
        <v>0</v>
      </c>
      <c r="BZ2348">
        <v>-1.77</v>
      </c>
      <c r="CA2348">
        <v>-1.1200000000000001</v>
      </c>
      <c r="CB2348">
        <v>-1.04</v>
      </c>
      <c r="CC2348">
        <v>-0.81</v>
      </c>
      <c r="CD2348">
        <v>2.4500000000000002</v>
      </c>
      <c r="CE2348">
        <v>-2.77</v>
      </c>
      <c r="CF2348">
        <v>-1.92</v>
      </c>
      <c r="CG2348">
        <v>0</v>
      </c>
      <c r="CH2348">
        <v>0.34</v>
      </c>
      <c r="CI2348">
        <v>0</v>
      </c>
      <c r="CJ2348">
        <v>-7.3</v>
      </c>
      <c r="CK2348">
        <v>60</v>
      </c>
      <c r="CL2348">
        <v>-0.16</v>
      </c>
      <c r="CM2348">
        <v>55</v>
      </c>
      <c r="CN2348">
        <v>-0.39</v>
      </c>
      <c r="CO2348">
        <v>54</v>
      </c>
      <c r="CP2348">
        <v>-12.3</v>
      </c>
      <c r="CQ2348">
        <v>37</v>
      </c>
      <c r="CR2348">
        <v>0</v>
      </c>
      <c r="CS2348">
        <v>0</v>
      </c>
      <c r="CT2348">
        <v>-13.2</v>
      </c>
      <c r="CU2348">
        <v>32</v>
      </c>
      <c r="CV2348">
        <v>-0.16</v>
      </c>
      <c r="CW2348">
        <v>16</v>
      </c>
      <c r="CX2348" t="s">
        <v>262</v>
      </c>
    </row>
    <row r="2349" spans="1:102" x14ac:dyDescent="0.3">
      <c r="A2349" t="str">
        <f>HYPERLINK("https://webapp.icbf.com/v2/app/bull-search/view/740351220","S2082")</f>
        <v>S2082</v>
      </c>
      <c r="B2349" t="s">
        <v>2684</v>
      </c>
      <c r="C2349" t="s">
        <v>2685</v>
      </c>
      <c r="D2349" s="1">
        <v>39586</v>
      </c>
      <c r="E2349" t="s">
        <v>92</v>
      </c>
      <c r="F2349">
        <v>100</v>
      </c>
      <c r="G2349" t="s">
        <v>109</v>
      </c>
      <c r="H2349">
        <v>45.58</v>
      </c>
      <c r="I2349">
        <v>79</v>
      </c>
      <c r="J2349">
        <v>61.05</v>
      </c>
      <c r="K2349">
        <v>92</v>
      </c>
      <c r="L2349">
        <v>-33.770000000000003</v>
      </c>
      <c r="M2349">
        <v>80</v>
      </c>
      <c r="N2349">
        <v>20.84</v>
      </c>
      <c r="O2349">
        <v>73</v>
      </c>
      <c r="P2349">
        <v>4.55</v>
      </c>
      <c r="Q2349">
        <v>76</v>
      </c>
      <c r="R2349">
        <v>0.72</v>
      </c>
      <c r="S2349">
        <v>72</v>
      </c>
      <c r="T2349">
        <v>-9.0399999999999991</v>
      </c>
      <c r="U2349">
        <v>52</v>
      </c>
      <c r="V2349">
        <v>1.23</v>
      </c>
      <c r="W2349">
        <v>56</v>
      </c>
      <c r="X2349" t="s">
        <v>1645</v>
      </c>
      <c r="Y2349" t="s">
        <v>367</v>
      </c>
      <c r="Z2349" t="s">
        <v>96</v>
      </c>
      <c r="AA2349" t="s">
        <v>2686</v>
      </c>
      <c r="AB2349" t="s">
        <v>2687</v>
      </c>
      <c r="AC2349">
        <v>0</v>
      </c>
      <c r="AD2349">
        <v>0</v>
      </c>
      <c r="AE2349">
        <v>92</v>
      </c>
      <c r="AF2349">
        <v>125.34</v>
      </c>
      <c r="AG2349">
        <v>13.74</v>
      </c>
      <c r="AH2349">
        <v>7.44</v>
      </c>
      <c r="AI2349">
        <v>0.15</v>
      </c>
      <c r="AJ2349">
        <v>0.05</v>
      </c>
      <c r="AK2349">
        <v>80</v>
      </c>
      <c r="AL2349">
        <v>0</v>
      </c>
      <c r="AM2349">
        <v>0</v>
      </c>
      <c r="AN2349">
        <v>2.86</v>
      </c>
      <c r="AO2349">
        <v>0.18</v>
      </c>
      <c r="AP2349">
        <v>50</v>
      </c>
      <c r="AQ2349">
        <v>0</v>
      </c>
      <c r="AR2349">
        <v>5.8</v>
      </c>
      <c r="AS2349">
        <v>55</v>
      </c>
      <c r="AT2349">
        <v>2.09</v>
      </c>
      <c r="AU2349">
        <v>88</v>
      </c>
      <c r="AV2349">
        <v>-2.25</v>
      </c>
      <c r="AW2349">
        <v>86</v>
      </c>
      <c r="AX2349">
        <v>1.47</v>
      </c>
      <c r="AY2349">
        <v>59</v>
      </c>
      <c r="AZ2349">
        <v>7.33</v>
      </c>
      <c r="BA2349">
        <v>40</v>
      </c>
      <c r="BB2349">
        <v>5.77</v>
      </c>
      <c r="BC2349">
        <v>37</v>
      </c>
      <c r="BD2349">
        <v>-0.01</v>
      </c>
      <c r="BE2349">
        <v>0</v>
      </c>
      <c r="BF2349">
        <v>0</v>
      </c>
      <c r="BG2349">
        <v>91</v>
      </c>
      <c r="BH2349">
        <v>0</v>
      </c>
      <c r="BI2349">
        <v>-3.97</v>
      </c>
      <c r="BJ2349">
        <v>4</v>
      </c>
      <c r="BK2349">
        <v>4</v>
      </c>
      <c r="BL2349">
        <v>0.6</v>
      </c>
      <c r="BM2349">
        <v>-0.48</v>
      </c>
      <c r="BN2349">
        <v>-0.09</v>
      </c>
      <c r="BO2349">
        <v>-0.02</v>
      </c>
      <c r="BP2349">
        <v>2.19</v>
      </c>
      <c r="BQ2349">
        <v>0.37</v>
      </c>
      <c r="BR2349">
        <v>7.0000000000000007E-2</v>
      </c>
      <c r="BS2349">
        <v>-0.56000000000000005</v>
      </c>
      <c r="BT2349">
        <v>-0.56999999999999995</v>
      </c>
      <c r="BU2349">
        <v>-0.02</v>
      </c>
      <c r="BV2349">
        <v>0.34</v>
      </c>
      <c r="BW2349">
        <v>-0.14000000000000001</v>
      </c>
      <c r="BX2349">
        <v>-0.26</v>
      </c>
      <c r="BY2349">
        <v>-0.1</v>
      </c>
      <c r="BZ2349">
        <v>0.56000000000000005</v>
      </c>
      <c r="CA2349">
        <v>0.16</v>
      </c>
      <c r="CB2349">
        <v>0.3</v>
      </c>
      <c r="CC2349">
        <v>-0.44</v>
      </c>
      <c r="CD2349">
        <v>-0.23</v>
      </c>
      <c r="CE2349">
        <v>0.43</v>
      </c>
      <c r="CF2349">
        <v>0.49</v>
      </c>
      <c r="CG2349">
        <v>0</v>
      </c>
      <c r="CH2349">
        <v>-0.14000000000000001</v>
      </c>
      <c r="CI2349">
        <v>0</v>
      </c>
      <c r="CJ2349">
        <v>4.4000000000000004</v>
      </c>
      <c r="CK2349">
        <v>79</v>
      </c>
      <c r="CL2349">
        <v>-0.73</v>
      </c>
      <c r="CM2349">
        <v>76</v>
      </c>
      <c r="CN2349">
        <v>-0.44</v>
      </c>
      <c r="CO2349">
        <v>74</v>
      </c>
      <c r="CP2349">
        <v>5.7</v>
      </c>
      <c r="CQ2349">
        <v>57</v>
      </c>
      <c r="CR2349">
        <v>0</v>
      </c>
      <c r="CS2349">
        <v>0</v>
      </c>
      <c r="CT2349">
        <v>26</v>
      </c>
      <c r="CU2349">
        <v>52</v>
      </c>
      <c r="CV2349">
        <v>0.14000000000000001</v>
      </c>
      <c r="CW2349">
        <v>42</v>
      </c>
      <c r="CX2349" t="s">
        <v>1752</v>
      </c>
    </row>
    <row r="2350" spans="1:102" x14ac:dyDescent="0.3">
      <c r="A2350" t="str">
        <f>HYPERLINK("https://webapp.icbf.com/v2/app/bull-search/view/1306331028","AY4299")</f>
        <v>AY4299</v>
      </c>
      <c r="B2350" t="s">
        <v>2714</v>
      </c>
      <c r="C2350" t="s">
        <v>2715</v>
      </c>
      <c r="D2350" s="1">
        <v>41632</v>
      </c>
      <c r="E2350" t="s">
        <v>1061</v>
      </c>
      <c r="F2350">
        <v>0</v>
      </c>
      <c r="G2350" t="s">
        <v>109</v>
      </c>
      <c r="H2350">
        <v>45.52</v>
      </c>
      <c r="I2350">
        <v>59</v>
      </c>
      <c r="J2350">
        <v>-37.200000000000003</v>
      </c>
      <c r="K2350">
        <v>80</v>
      </c>
      <c r="L2350">
        <v>49.04</v>
      </c>
      <c r="M2350">
        <v>59</v>
      </c>
      <c r="N2350">
        <v>22.07</v>
      </c>
      <c r="O2350">
        <v>49</v>
      </c>
      <c r="P2350">
        <v>-13.3</v>
      </c>
      <c r="Q2350">
        <v>34</v>
      </c>
      <c r="R2350">
        <v>3.93</v>
      </c>
      <c r="S2350">
        <v>36</v>
      </c>
      <c r="T2350">
        <v>24.33</v>
      </c>
      <c r="U2350">
        <v>34</v>
      </c>
      <c r="V2350">
        <v>-3.35</v>
      </c>
      <c r="W2350">
        <v>34</v>
      </c>
      <c r="X2350" t="s">
        <v>94</v>
      </c>
      <c r="Y2350" t="s">
        <v>2261</v>
      </c>
      <c r="Z2350">
        <v>0</v>
      </c>
      <c r="AA2350" t="s">
        <v>2716</v>
      </c>
      <c r="AB2350" t="s">
        <v>2717</v>
      </c>
      <c r="AC2350">
        <v>0</v>
      </c>
      <c r="AD2350">
        <v>0</v>
      </c>
      <c r="AE2350">
        <v>80</v>
      </c>
      <c r="AF2350">
        <v>-15.93</v>
      </c>
      <c r="AG2350">
        <v>-3.62</v>
      </c>
      <c r="AH2350">
        <v>-5.29</v>
      </c>
      <c r="AI2350">
        <v>-0.06</v>
      </c>
      <c r="AJ2350">
        <v>-0.08</v>
      </c>
      <c r="AK2350">
        <v>59</v>
      </c>
      <c r="AL2350">
        <v>0</v>
      </c>
      <c r="AM2350">
        <v>0</v>
      </c>
      <c r="AN2350">
        <v>0.38</v>
      </c>
      <c r="AO2350">
        <v>4.33</v>
      </c>
      <c r="AP2350">
        <v>4</v>
      </c>
      <c r="AQ2350">
        <v>0</v>
      </c>
      <c r="AR2350">
        <v>5.88</v>
      </c>
      <c r="AS2350">
        <v>31</v>
      </c>
      <c r="AT2350">
        <v>2.4</v>
      </c>
      <c r="AU2350">
        <v>80</v>
      </c>
      <c r="AV2350">
        <v>-2.13</v>
      </c>
      <c r="AW2350">
        <v>49</v>
      </c>
      <c r="AX2350">
        <v>-0.09</v>
      </c>
      <c r="AY2350">
        <v>36</v>
      </c>
      <c r="AZ2350">
        <v>6.87</v>
      </c>
      <c r="BA2350">
        <v>21</v>
      </c>
      <c r="BB2350">
        <v>5.82</v>
      </c>
      <c r="BC2350">
        <v>21</v>
      </c>
      <c r="BD2350">
        <v>-0.02</v>
      </c>
      <c r="BE2350">
        <v>-0.03</v>
      </c>
      <c r="BF2350">
        <v>0</v>
      </c>
      <c r="BG2350">
        <v>43</v>
      </c>
      <c r="BH2350">
        <v>0.04</v>
      </c>
      <c r="BI2350">
        <v>15.44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-4.5999999999999996</v>
      </c>
      <c r="CK2350">
        <v>34</v>
      </c>
      <c r="CL2350">
        <v>-0.7</v>
      </c>
      <c r="CM2350">
        <v>34</v>
      </c>
      <c r="CN2350">
        <v>-0.28999999999999998</v>
      </c>
      <c r="CO2350">
        <v>34</v>
      </c>
      <c r="CP2350">
        <v>-20.8</v>
      </c>
      <c r="CQ2350">
        <v>34</v>
      </c>
      <c r="CR2350">
        <v>0</v>
      </c>
      <c r="CS2350">
        <v>0</v>
      </c>
      <c r="CT2350">
        <v>-19.100000000000001</v>
      </c>
      <c r="CU2350">
        <v>34</v>
      </c>
      <c r="CV2350">
        <v>-0.02</v>
      </c>
      <c r="CW2350">
        <v>31</v>
      </c>
      <c r="CX2350" t="s">
        <v>2718</v>
      </c>
    </row>
    <row r="2351" spans="1:102" x14ac:dyDescent="0.3">
      <c r="A2351" t="str">
        <f>HYPERLINK("https://webapp.icbf.com/v2/app/bull-search/view/1547629385","S3224")</f>
        <v>S3224</v>
      </c>
      <c r="B2351" t="s">
        <v>15305</v>
      </c>
      <c r="C2351" t="s">
        <v>15306</v>
      </c>
      <c r="D2351" s="1">
        <v>42483</v>
      </c>
      <c r="E2351" t="s">
        <v>92</v>
      </c>
      <c r="F2351">
        <v>100</v>
      </c>
      <c r="G2351" t="s">
        <v>435</v>
      </c>
      <c r="H2351">
        <v>45.51</v>
      </c>
      <c r="I2351">
        <v>69</v>
      </c>
      <c r="J2351">
        <v>21.28</v>
      </c>
      <c r="K2351">
        <v>88</v>
      </c>
      <c r="L2351">
        <v>13.88</v>
      </c>
      <c r="M2351">
        <v>70</v>
      </c>
      <c r="N2351">
        <v>7.43</v>
      </c>
      <c r="O2351">
        <v>56</v>
      </c>
      <c r="P2351">
        <v>-7.35</v>
      </c>
      <c r="Q2351">
        <v>40</v>
      </c>
      <c r="R2351">
        <v>14.63</v>
      </c>
      <c r="S2351">
        <v>63</v>
      </c>
      <c r="T2351">
        <v>-8.67</v>
      </c>
      <c r="U2351">
        <v>37</v>
      </c>
      <c r="V2351">
        <v>4.3099999999999996</v>
      </c>
      <c r="W2351">
        <v>56</v>
      </c>
      <c r="X2351" t="s">
        <v>110</v>
      </c>
      <c r="Y2351" t="s">
        <v>453</v>
      </c>
      <c r="Z2351" t="s">
        <v>96</v>
      </c>
      <c r="AA2351" t="s">
        <v>6211</v>
      </c>
      <c r="AB2351" t="s">
        <v>15193</v>
      </c>
      <c r="AC2351">
        <v>0</v>
      </c>
      <c r="AD2351">
        <v>0</v>
      </c>
      <c r="AE2351">
        <v>88</v>
      </c>
      <c r="AF2351">
        <v>382.85</v>
      </c>
      <c r="AG2351">
        <v>6.47</v>
      </c>
      <c r="AH2351">
        <v>7.19</v>
      </c>
      <c r="AI2351">
        <v>-0.14000000000000001</v>
      </c>
      <c r="AJ2351">
        <v>-0.09</v>
      </c>
      <c r="AK2351">
        <v>70</v>
      </c>
      <c r="AL2351">
        <v>0</v>
      </c>
      <c r="AM2351">
        <v>0</v>
      </c>
      <c r="AN2351">
        <v>1.01</v>
      </c>
      <c r="AO2351">
        <v>2.14</v>
      </c>
      <c r="AP2351">
        <v>1</v>
      </c>
      <c r="AQ2351">
        <v>0</v>
      </c>
      <c r="AR2351">
        <v>11.31</v>
      </c>
      <c r="AS2351">
        <v>53</v>
      </c>
      <c r="AT2351">
        <v>4.2699999999999996</v>
      </c>
      <c r="AU2351">
        <v>89</v>
      </c>
      <c r="AV2351">
        <v>-3.62</v>
      </c>
      <c r="AW2351">
        <v>48</v>
      </c>
      <c r="AX2351">
        <v>1.1000000000000001</v>
      </c>
      <c r="AY2351">
        <v>42</v>
      </c>
      <c r="AZ2351">
        <v>5.08</v>
      </c>
      <c r="BA2351">
        <v>37</v>
      </c>
      <c r="BB2351">
        <v>4.4000000000000004</v>
      </c>
      <c r="BC2351">
        <v>36</v>
      </c>
      <c r="BD2351">
        <v>-0.05</v>
      </c>
      <c r="BE2351">
        <v>-7.0000000000000007E-2</v>
      </c>
      <c r="BF2351">
        <v>-0.12</v>
      </c>
      <c r="BG2351">
        <v>76</v>
      </c>
      <c r="BH2351">
        <v>0.05</v>
      </c>
      <c r="BI2351">
        <v>-8.1199999999999992</v>
      </c>
      <c r="BJ2351">
        <v>0</v>
      </c>
      <c r="BK2351">
        <v>0</v>
      </c>
      <c r="BL2351">
        <v>2.2400000000000002</v>
      </c>
      <c r="BM2351">
        <v>-0.71</v>
      </c>
      <c r="BN2351">
        <v>0.47</v>
      </c>
      <c r="BO2351">
        <v>1.49</v>
      </c>
      <c r="BP2351">
        <v>1.87</v>
      </c>
      <c r="BQ2351">
        <v>2.85</v>
      </c>
      <c r="BR2351">
        <v>-0.61</v>
      </c>
      <c r="BS2351">
        <v>4.59</v>
      </c>
      <c r="BT2351">
        <v>1.81</v>
      </c>
      <c r="BU2351">
        <v>3.81</v>
      </c>
      <c r="BV2351">
        <v>3.88</v>
      </c>
      <c r="BW2351">
        <v>2.12</v>
      </c>
      <c r="BX2351">
        <v>4.1100000000000003</v>
      </c>
      <c r="BY2351">
        <v>2.68</v>
      </c>
      <c r="BZ2351">
        <v>-2.2000000000000002</v>
      </c>
      <c r="CA2351">
        <v>4.0999999999999996</v>
      </c>
      <c r="CB2351">
        <v>3.04</v>
      </c>
      <c r="CC2351">
        <v>3.57</v>
      </c>
      <c r="CD2351">
        <v>-0.32</v>
      </c>
      <c r="CE2351">
        <v>1.52</v>
      </c>
      <c r="CF2351">
        <v>2.3199999999999998</v>
      </c>
      <c r="CG2351">
        <v>0</v>
      </c>
      <c r="CH2351">
        <v>2.0299999999999998</v>
      </c>
      <c r="CI2351">
        <v>0</v>
      </c>
      <c r="CJ2351">
        <v>-0.9</v>
      </c>
      <c r="CK2351">
        <v>41</v>
      </c>
      <c r="CL2351">
        <v>-1.69</v>
      </c>
      <c r="CM2351">
        <v>40</v>
      </c>
      <c r="CN2351">
        <v>-0.91</v>
      </c>
      <c r="CO2351">
        <v>40</v>
      </c>
      <c r="CP2351">
        <v>4.5</v>
      </c>
      <c r="CQ2351">
        <v>37</v>
      </c>
      <c r="CR2351">
        <v>0</v>
      </c>
      <c r="CS2351">
        <v>0</v>
      </c>
      <c r="CT2351">
        <v>25.5</v>
      </c>
      <c r="CU2351">
        <v>37</v>
      </c>
      <c r="CV2351">
        <v>0.28999999999999998</v>
      </c>
      <c r="CW2351">
        <v>33</v>
      </c>
      <c r="CX2351" t="s">
        <v>1894</v>
      </c>
    </row>
    <row r="2352" spans="1:102" x14ac:dyDescent="0.3">
      <c r="A2352" t="str">
        <f>HYPERLINK("https://webapp.icbf.com/v2/app/bull-search/view/1314268019","FR2246")</f>
        <v>FR2246</v>
      </c>
      <c r="B2352" t="s">
        <v>9346</v>
      </c>
      <c r="C2352" t="s">
        <v>9347</v>
      </c>
      <c r="D2352" s="1">
        <v>41632</v>
      </c>
      <c r="E2352" t="s">
        <v>108</v>
      </c>
      <c r="F2352">
        <v>0</v>
      </c>
      <c r="G2352" t="s">
        <v>93</v>
      </c>
      <c r="H2352">
        <v>45.43</v>
      </c>
      <c r="I2352">
        <v>66</v>
      </c>
      <c r="J2352">
        <v>-33.119999999999997</v>
      </c>
      <c r="K2352">
        <v>83</v>
      </c>
      <c r="L2352">
        <v>46.76</v>
      </c>
      <c r="M2352">
        <v>53</v>
      </c>
      <c r="N2352">
        <v>19.420000000000002</v>
      </c>
      <c r="O2352">
        <v>68</v>
      </c>
      <c r="P2352">
        <v>-10.06</v>
      </c>
      <c r="Q2352">
        <v>77</v>
      </c>
      <c r="R2352">
        <v>-2.61</v>
      </c>
      <c r="S2352">
        <v>52</v>
      </c>
      <c r="T2352">
        <v>19.82</v>
      </c>
      <c r="U2352">
        <v>48</v>
      </c>
      <c r="V2352">
        <v>5.22</v>
      </c>
      <c r="W2352">
        <v>57</v>
      </c>
      <c r="X2352" t="s">
        <v>102</v>
      </c>
      <c r="Y2352" t="s">
        <v>405</v>
      </c>
      <c r="Z2352" t="s">
        <v>96</v>
      </c>
      <c r="AA2352" t="s">
        <v>9348</v>
      </c>
      <c r="AB2352" t="s">
        <v>9349</v>
      </c>
      <c r="AC2352">
        <v>21</v>
      </c>
      <c r="AD2352">
        <v>9</v>
      </c>
      <c r="AE2352">
        <v>83</v>
      </c>
      <c r="AF2352">
        <v>-213.95</v>
      </c>
      <c r="AG2352">
        <v>-9.52</v>
      </c>
      <c r="AH2352">
        <v>-5.54</v>
      </c>
      <c r="AI2352">
        <v>-0.02</v>
      </c>
      <c r="AJ2352">
        <v>0.03</v>
      </c>
      <c r="AK2352">
        <v>53</v>
      </c>
      <c r="AL2352">
        <v>0</v>
      </c>
      <c r="AM2352">
        <v>0</v>
      </c>
      <c r="AN2352">
        <v>-2.48</v>
      </c>
      <c r="AO2352">
        <v>1.25</v>
      </c>
      <c r="AP2352">
        <v>155</v>
      </c>
      <c r="AQ2352">
        <v>0</v>
      </c>
      <c r="AR2352">
        <v>5.59</v>
      </c>
      <c r="AS2352">
        <v>42</v>
      </c>
      <c r="AT2352">
        <v>2.2200000000000002</v>
      </c>
      <c r="AU2352">
        <v>81</v>
      </c>
      <c r="AV2352">
        <v>-1.86</v>
      </c>
      <c r="AW2352">
        <v>82</v>
      </c>
      <c r="AX2352">
        <v>0.7</v>
      </c>
      <c r="AY2352">
        <v>70</v>
      </c>
      <c r="AZ2352">
        <v>6.8</v>
      </c>
      <c r="BA2352">
        <v>38</v>
      </c>
      <c r="BB2352">
        <v>5.89</v>
      </c>
      <c r="BC2352">
        <v>25</v>
      </c>
      <c r="BD2352">
        <v>0.03</v>
      </c>
      <c r="BE2352">
        <v>0</v>
      </c>
      <c r="BF2352">
        <v>0.01</v>
      </c>
      <c r="BG2352">
        <v>61</v>
      </c>
      <c r="BH2352">
        <v>0.04</v>
      </c>
      <c r="BI2352">
        <v>-12.2</v>
      </c>
      <c r="BJ2352">
        <v>0</v>
      </c>
      <c r="BK2352">
        <v>0</v>
      </c>
      <c r="BL2352">
        <v>-1.76</v>
      </c>
      <c r="BM2352">
        <v>7.0000000000000007E-2</v>
      </c>
      <c r="BN2352">
        <v>-2.06</v>
      </c>
      <c r="BO2352">
        <v>-1.7</v>
      </c>
      <c r="BP2352">
        <v>1.1499999999999999</v>
      </c>
      <c r="BQ2352">
        <v>1.1599999999999999</v>
      </c>
      <c r="BR2352">
        <v>-0.86</v>
      </c>
      <c r="BS2352">
        <v>0.22</v>
      </c>
      <c r="BT2352">
        <v>0.72</v>
      </c>
      <c r="BU2352">
        <v>-2.57</v>
      </c>
      <c r="BV2352">
        <v>-2.4300000000000002</v>
      </c>
      <c r="BW2352">
        <v>-1.8</v>
      </c>
      <c r="BX2352">
        <v>-1.58</v>
      </c>
      <c r="BY2352">
        <v>-0.71</v>
      </c>
      <c r="BZ2352">
        <v>-0.68</v>
      </c>
      <c r="CA2352">
        <v>-1.54</v>
      </c>
      <c r="CB2352">
        <v>-1.93</v>
      </c>
      <c r="CC2352">
        <v>-0.61</v>
      </c>
      <c r="CD2352">
        <v>1.22</v>
      </c>
      <c r="CE2352">
        <v>-1.24</v>
      </c>
      <c r="CF2352">
        <v>-1.38</v>
      </c>
      <c r="CG2352">
        <v>0</v>
      </c>
      <c r="CH2352">
        <v>-0.2</v>
      </c>
      <c r="CI2352">
        <v>0</v>
      </c>
      <c r="CJ2352">
        <v>-6</v>
      </c>
      <c r="CK2352">
        <v>81</v>
      </c>
      <c r="CL2352">
        <v>-0.09</v>
      </c>
      <c r="CM2352">
        <v>78</v>
      </c>
      <c r="CN2352">
        <v>-0.05</v>
      </c>
      <c r="CO2352">
        <v>76</v>
      </c>
      <c r="CP2352">
        <v>-9.6</v>
      </c>
      <c r="CQ2352">
        <v>51</v>
      </c>
      <c r="CR2352">
        <v>0</v>
      </c>
      <c r="CS2352">
        <v>0</v>
      </c>
      <c r="CT2352">
        <v>-13</v>
      </c>
      <c r="CU2352">
        <v>48</v>
      </c>
      <c r="CV2352">
        <v>0.05</v>
      </c>
      <c r="CW2352">
        <v>41</v>
      </c>
      <c r="CX2352" t="s">
        <v>5256</v>
      </c>
    </row>
    <row r="2353" spans="1:102" x14ac:dyDescent="0.3">
      <c r="A2353" t="str">
        <f>HYPERLINK("https://webapp.icbf.com/v2/app/bull-search/view/449933937","SXI")</f>
        <v>SXI</v>
      </c>
      <c r="B2353" t="s">
        <v>2600</v>
      </c>
      <c r="C2353" t="s">
        <v>2601</v>
      </c>
      <c r="D2353" s="1">
        <v>38787</v>
      </c>
      <c r="E2353" t="s">
        <v>108</v>
      </c>
      <c r="F2353">
        <v>41</v>
      </c>
      <c r="G2353" t="s">
        <v>116</v>
      </c>
      <c r="H2353">
        <v>45.38</v>
      </c>
      <c r="I2353">
        <v>40</v>
      </c>
      <c r="J2353">
        <v>61.36</v>
      </c>
      <c r="K2353">
        <v>46</v>
      </c>
      <c r="L2353">
        <v>-14.55</v>
      </c>
      <c r="M2353">
        <v>36</v>
      </c>
      <c r="N2353">
        <v>2.2400000000000002</v>
      </c>
      <c r="O2353">
        <v>41</v>
      </c>
      <c r="P2353">
        <v>-19.88</v>
      </c>
      <c r="Q2353">
        <v>39</v>
      </c>
      <c r="R2353">
        <v>-6.21</v>
      </c>
      <c r="S2353">
        <v>36</v>
      </c>
      <c r="T2353">
        <v>23</v>
      </c>
      <c r="U2353">
        <v>38</v>
      </c>
      <c r="V2353">
        <v>-0.57999999999999996</v>
      </c>
      <c r="W2353">
        <v>34</v>
      </c>
      <c r="X2353" t="s">
        <v>94</v>
      </c>
      <c r="Y2353" t="s">
        <v>1251</v>
      </c>
      <c r="Z2353" t="s">
        <v>96</v>
      </c>
      <c r="AA2353" t="s">
        <v>792</v>
      </c>
      <c r="AB2353" t="s">
        <v>2602</v>
      </c>
      <c r="AC2353">
        <v>0</v>
      </c>
      <c r="AD2353">
        <v>0</v>
      </c>
      <c r="AE2353">
        <v>46</v>
      </c>
      <c r="AF2353">
        <v>116.88</v>
      </c>
      <c r="AG2353">
        <v>11.12</v>
      </c>
      <c r="AH2353">
        <v>8.2899999999999991</v>
      </c>
      <c r="AI2353">
        <v>0.11</v>
      </c>
      <c r="AJ2353">
        <v>0.08</v>
      </c>
      <c r="AK2353">
        <v>36</v>
      </c>
      <c r="AL2353">
        <v>0</v>
      </c>
      <c r="AM2353">
        <v>0</v>
      </c>
      <c r="AN2353">
        <v>1.61</v>
      </c>
      <c r="AO2353">
        <v>0.46</v>
      </c>
      <c r="AP2353">
        <v>0</v>
      </c>
      <c r="AQ2353">
        <v>1</v>
      </c>
      <c r="AR2353">
        <v>8.35</v>
      </c>
      <c r="AS2353">
        <v>30</v>
      </c>
      <c r="AT2353">
        <v>3.34</v>
      </c>
      <c r="AU2353">
        <v>35</v>
      </c>
      <c r="AV2353">
        <v>-1.1599999999999999</v>
      </c>
      <c r="AW2353">
        <v>52</v>
      </c>
      <c r="AX2353">
        <v>-0.26</v>
      </c>
      <c r="AY2353">
        <v>35</v>
      </c>
      <c r="AZ2353">
        <v>7.56</v>
      </c>
      <c r="BA2353">
        <v>30</v>
      </c>
      <c r="BB2353">
        <v>5.38</v>
      </c>
      <c r="BC2353">
        <v>30</v>
      </c>
      <c r="BD2353">
        <v>0.01</v>
      </c>
      <c r="BE2353">
        <v>0.04</v>
      </c>
      <c r="BF2353">
        <v>0.05</v>
      </c>
      <c r="BG2353">
        <v>38</v>
      </c>
      <c r="BH2353">
        <v>0</v>
      </c>
      <c r="BI2353">
        <v>1.87</v>
      </c>
      <c r="BJ2353">
        <v>0</v>
      </c>
      <c r="BK2353">
        <v>0</v>
      </c>
      <c r="BL2353">
        <v>-0.69</v>
      </c>
      <c r="BM2353">
        <v>-0.42</v>
      </c>
      <c r="BN2353">
        <v>-0.36</v>
      </c>
      <c r="BO2353">
        <v>-0.15</v>
      </c>
      <c r="BP2353">
        <v>0.35</v>
      </c>
      <c r="BQ2353">
        <v>-1.71</v>
      </c>
      <c r="BR2353">
        <v>0.56000000000000005</v>
      </c>
      <c r="BS2353">
        <v>-0.04</v>
      </c>
      <c r="BT2353">
        <v>-1.22</v>
      </c>
      <c r="BU2353">
        <v>-0.23</v>
      </c>
      <c r="BV2353">
        <v>-0.57999999999999996</v>
      </c>
      <c r="BW2353">
        <v>-0.59</v>
      </c>
      <c r="BX2353">
        <v>-0.56999999999999995</v>
      </c>
      <c r="BY2353">
        <v>-0.44</v>
      </c>
      <c r="BZ2353">
        <v>-0.55000000000000004</v>
      </c>
      <c r="CA2353">
        <v>-0.27</v>
      </c>
      <c r="CB2353">
        <v>-0.18</v>
      </c>
      <c r="CC2353">
        <v>-0.25</v>
      </c>
      <c r="CD2353">
        <v>-0.28999999999999998</v>
      </c>
      <c r="CE2353">
        <v>7.0000000000000007E-2</v>
      </c>
      <c r="CF2353">
        <v>-0.74</v>
      </c>
      <c r="CG2353">
        <v>0</v>
      </c>
      <c r="CH2353">
        <v>-0.44</v>
      </c>
      <c r="CI2353">
        <v>0</v>
      </c>
      <c r="CJ2353">
        <v>-9.5500000000000007</v>
      </c>
      <c r="CK2353">
        <v>39</v>
      </c>
      <c r="CL2353">
        <v>-0.57999999999999996</v>
      </c>
      <c r="CM2353">
        <v>38</v>
      </c>
      <c r="CN2353">
        <v>-0.15</v>
      </c>
      <c r="CO2353">
        <v>37</v>
      </c>
      <c r="CP2353">
        <v>-16.45</v>
      </c>
      <c r="CQ2353">
        <v>40</v>
      </c>
      <c r="CR2353">
        <v>0</v>
      </c>
      <c r="CS2353">
        <v>0</v>
      </c>
      <c r="CT2353">
        <v>-17.3</v>
      </c>
      <c r="CU2353">
        <v>38</v>
      </c>
      <c r="CV2353">
        <v>0.03</v>
      </c>
      <c r="CW2353">
        <v>18</v>
      </c>
      <c r="CX2353" t="s">
        <v>1037</v>
      </c>
    </row>
    <row r="2354" spans="1:102" x14ac:dyDescent="0.3">
      <c r="A2354" t="str">
        <f>HYPERLINK("https://webapp.icbf.com/v2/app/bull-search/view/586057363","S1292")</f>
        <v>S1292</v>
      </c>
      <c r="B2354" t="s">
        <v>5562</v>
      </c>
      <c r="C2354" t="s">
        <v>5563</v>
      </c>
      <c r="D2354" s="1">
        <v>38040</v>
      </c>
      <c r="E2354" t="s">
        <v>92</v>
      </c>
      <c r="F2354">
        <v>88</v>
      </c>
      <c r="G2354" t="s">
        <v>109</v>
      </c>
      <c r="H2354">
        <v>45.35</v>
      </c>
      <c r="I2354">
        <v>80</v>
      </c>
      <c r="J2354">
        <v>41.43</v>
      </c>
      <c r="K2354">
        <v>91</v>
      </c>
      <c r="L2354">
        <v>-10.71</v>
      </c>
      <c r="M2354">
        <v>82</v>
      </c>
      <c r="N2354">
        <v>12.18</v>
      </c>
      <c r="O2354">
        <v>72</v>
      </c>
      <c r="P2354">
        <v>-12.45</v>
      </c>
      <c r="Q2354">
        <v>71</v>
      </c>
      <c r="R2354">
        <v>10.210000000000001</v>
      </c>
      <c r="S2354">
        <v>76</v>
      </c>
      <c r="T2354">
        <v>8.1999999999999993</v>
      </c>
      <c r="U2354">
        <v>56</v>
      </c>
      <c r="V2354">
        <v>-3.51</v>
      </c>
      <c r="W2354">
        <v>63</v>
      </c>
      <c r="X2354" t="s">
        <v>102</v>
      </c>
      <c r="Y2354" t="s">
        <v>342</v>
      </c>
      <c r="Z2354" t="s">
        <v>330</v>
      </c>
      <c r="AA2354" t="s">
        <v>1874</v>
      </c>
      <c r="AB2354" t="s">
        <v>5564</v>
      </c>
      <c r="AC2354">
        <v>0</v>
      </c>
      <c r="AD2354">
        <v>0</v>
      </c>
      <c r="AE2354">
        <v>91</v>
      </c>
      <c r="AF2354">
        <v>129.85</v>
      </c>
      <c r="AG2354">
        <v>8.2100000000000009</v>
      </c>
      <c r="AH2354">
        <v>6.13</v>
      </c>
      <c r="AI2354">
        <v>0.05</v>
      </c>
      <c r="AJ2354">
        <v>0.03</v>
      </c>
      <c r="AK2354">
        <v>82</v>
      </c>
      <c r="AL2354">
        <v>0</v>
      </c>
      <c r="AM2354">
        <v>0</v>
      </c>
      <c r="AN2354">
        <v>0.9</v>
      </c>
      <c r="AO2354">
        <v>0.05</v>
      </c>
      <c r="AP2354">
        <v>38</v>
      </c>
      <c r="AQ2354">
        <v>0</v>
      </c>
      <c r="AR2354">
        <v>4.57</v>
      </c>
      <c r="AS2354">
        <v>58</v>
      </c>
      <c r="AT2354">
        <v>2.35</v>
      </c>
      <c r="AU2354">
        <v>88</v>
      </c>
      <c r="AV2354">
        <v>-2.21</v>
      </c>
      <c r="AW2354">
        <v>78</v>
      </c>
      <c r="AX2354">
        <v>1.44</v>
      </c>
      <c r="AY2354">
        <v>57</v>
      </c>
      <c r="AZ2354">
        <v>9.81</v>
      </c>
      <c r="BA2354">
        <v>48</v>
      </c>
      <c r="BB2354">
        <v>6.54</v>
      </c>
      <c r="BC2354">
        <v>49</v>
      </c>
      <c r="BD2354">
        <v>-7.0000000000000007E-2</v>
      </c>
      <c r="BE2354">
        <v>-0.02</v>
      </c>
      <c r="BF2354">
        <v>-0.08</v>
      </c>
      <c r="BG2354">
        <v>91</v>
      </c>
      <c r="BH2354">
        <v>0.11</v>
      </c>
      <c r="BI2354">
        <v>24.06</v>
      </c>
      <c r="BJ2354">
        <v>5</v>
      </c>
      <c r="BK2354">
        <v>2</v>
      </c>
      <c r="BL2354">
        <v>-1.1399999999999999</v>
      </c>
      <c r="BM2354">
        <v>0.69</v>
      </c>
      <c r="BN2354">
        <v>0.8</v>
      </c>
      <c r="BO2354">
        <v>-7.0000000000000007E-2</v>
      </c>
      <c r="BP2354">
        <v>-1.23</v>
      </c>
      <c r="BQ2354">
        <v>-1.56</v>
      </c>
      <c r="BR2354">
        <v>-3.11</v>
      </c>
      <c r="BS2354">
        <v>1.68</v>
      </c>
      <c r="BT2354">
        <v>0.77</v>
      </c>
      <c r="BU2354">
        <v>-0.15</v>
      </c>
      <c r="BV2354">
        <v>-0.02</v>
      </c>
      <c r="BW2354">
        <v>0.88</v>
      </c>
      <c r="BX2354">
        <v>-0.86</v>
      </c>
      <c r="BY2354">
        <v>1.1000000000000001</v>
      </c>
      <c r="BZ2354">
        <v>0.15</v>
      </c>
      <c r="CA2354">
        <v>0.74</v>
      </c>
      <c r="CB2354">
        <v>0.28999999999999998</v>
      </c>
      <c r="CC2354">
        <v>1.46</v>
      </c>
      <c r="CD2354">
        <v>0.95</v>
      </c>
      <c r="CE2354">
        <v>0.06</v>
      </c>
      <c r="CF2354">
        <v>0.14000000000000001</v>
      </c>
      <c r="CG2354">
        <v>0</v>
      </c>
      <c r="CH2354">
        <v>1.07</v>
      </c>
      <c r="CI2354">
        <v>0</v>
      </c>
      <c r="CJ2354">
        <v>-3.1</v>
      </c>
      <c r="CK2354">
        <v>74</v>
      </c>
      <c r="CL2354">
        <v>-0.93</v>
      </c>
      <c r="CM2354">
        <v>69</v>
      </c>
      <c r="CN2354">
        <v>-0.17</v>
      </c>
      <c r="CO2354">
        <v>67</v>
      </c>
      <c r="CP2354">
        <v>-3.8</v>
      </c>
      <c r="CQ2354">
        <v>59</v>
      </c>
      <c r="CR2354">
        <v>0</v>
      </c>
      <c r="CS2354">
        <v>0</v>
      </c>
      <c r="CT2354">
        <v>2.7</v>
      </c>
      <c r="CU2354">
        <v>56</v>
      </c>
      <c r="CV2354">
        <v>0.14000000000000001</v>
      </c>
      <c r="CW2354">
        <v>41</v>
      </c>
      <c r="CX2354" t="s">
        <v>643</v>
      </c>
    </row>
    <row r="2355" spans="1:102" x14ac:dyDescent="0.3">
      <c r="A2355" t="str">
        <f>HYPERLINK("https://webapp.icbf.com/v2/app/bull-search/view/69092512","ROO")</f>
        <v>ROO</v>
      </c>
      <c r="B2355" t="s">
        <v>8537</v>
      </c>
      <c r="C2355" t="s">
        <v>4111</v>
      </c>
      <c r="D2355" s="1">
        <v>31976</v>
      </c>
      <c r="E2355" t="s">
        <v>146</v>
      </c>
      <c r="F2355">
        <v>0</v>
      </c>
      <c r="G2355" t="s">
        <v>109</v>
      </c>
      <c r="H2355">
        <v>44.9</v>
      </c>
      <c r="I2355">
        <v>70</v>
      </c>
      <c r="J2355">
        <v>-14.55</v>
      </c>
      <c r="K2355">
        <v>73</v>
      </c>
      <c r="L2355">
        <v>44.51</v>
      </c>
      <c r="M2355">
        <v>69</v>
      </c>
      <c r="N2355">
        <v>22.71</v>
      </c>
      <c r="O2355">
        <v>66</v>
      </c>
      <c r="P2355">
        <v>15.61</v>
      </c>
      <c r="Q2355">
        <v>80</v>
      </c>
      <c r="R2355">
        <v>-16.09</v>
      </c>
      <c r="S2355">
        <v>68</v>
      </c>
      <c r="T2355">
        <v>4.13</v>
      </c>
      <c r="U2355">
        <v>70</v>
      </c>
      <c r="V2355">
        <v>-11.42</v>
      </c>
      <c r="W2355">
        <v>43</v>
      </c>
      <c r="X2355" t="s">
        <v>94</v>
      </c>
      <c r="Y2355" t="s">
        <v>95</v>
      </c>
      <c r="Z2355">
        <v>0</v>
      </c>
      <c r="AA2355" t="s">
        <v>8538</v>
      </c>
      <c r="AB2355" t="s">
        <v>8539</v>
      </c>
      <c r="AC2355">
        <v>0</v>
      </c>
      <c r="AD2355">
        <v>0</v>
      </c>
      <c r="AE2355">
        <v>73</v>
      </c>
      <c r="AF2355">
        <v>-253.72</v>
      </c>
      <c r="AG2355">
        <v>-8.36</v>
      </c>
      <c r="AH2355">
        <v>-3.4</v>
      </c>
      <c r="AI2355">
        <v>0.03</v>
      </c>
      <c r="AJ2355">
        <v>0.09</v>
      </c>
      <c r="AK2355">
        <v>69</v>
      </c>
      <c r="AL2355">
        <v>0</v>
      </c>
      <c r="AM2355">
        <v>0</v>
      </c>
      <c r="AN2355">
        <v>-3.95</v>
      </c>
      <c r="AO2355">
        <v>-0.42</v>
      </c>
      <c r="AP2355">
        <v>8</v>
      </c>
      <c r="AQ2355">
        <v>0</v>
      </c>
      <c r="AR2355">
        <v>5</v>
      </c>
      <c r="AS2355">
        <v>46</v>
      </c>
      <c r="AT2355">
        <v>2.27</v>
      </c>
      <c r="AU2355">
        <v>72</v>
      </c>
      <c r="AV2355">
        <v>-1.29</v>
      </c>
      <c r="AW2355">
        <v>73</v>
      </c>
      <c r="AX2355">
        <v>-0.5</v>
      </c>
      <c r="AY2355">
        <v>69</v>
      </c>
      <c r="AZ2355">
        <v>7.17</v>
      </c>
      <c r="BA2355">
        <v>43</v>
      </c>
      <c r="BB2355">
        <v>5.0599999999999996</v>
      </c>
      <c r="BC2355">
        <v>51</v>
      </c>
      <c r="BD2355">
        <v>0.03</v>
      </c>
      <c r="BE2355">
        <v>0.1</v>
      </c>
      <c r="BF2355">
        <v>0.13</v>
      </c>
      <c r="BG2355">
        <v>86</v>
      </c>
      <c r="BH2355">
        <v>-0.36</v>
      </c>
      <c r="BI2355">
        <v>-4.8</v>
      </c>
      <c r="BJ2355">
        <v>0</v>
      </c>
      <c r="BK2355">
        <v>0</v>
      </c>
      <c r="BL2355">
        <v>-2.15</v>
      </c>
      <c r="BM2355">
        <v>4.01</v>
      </c>
      <c r="BN2355">
        <v>-0.05</v>
      </c>
      <c r="BO2355">
        <v>-2.27</v>
      </c>
      <c r="BP2355">
        <v>3.19</v>
      </c>
      <c r="BQ2355">
        <v>0.22</v>
      </c>
      <c r="BR2355">
        <v>-2.13</v>
      </c>
      <c r="BS2355">
        <v>1.1399999999999999</v>
      </c>
      <c r="BT2355">
        <v>-1.44</v>
      </c>
      <c r="BU2355">
        <v>-2.42</v>
      </c>
      <c r="BV2355">
        <v>-3.01</v>
      </c>
      <c r="BW2355">
        <v>-2.92</v>
      </c>
      <c r="BX2355">
        <v>-2.6</v>
      </c>
      <c r="BY2355">
        <v>-2.0499999999999998</v>
      </c>
      <c r="BZ2355">
        <v>0.46</v>
      </c>
      <c r="CA2355">
        <v>-2.3199999999999998</v>
      </c>
      <c r="CB2355">
        <v>-2.83</v>
      </c>
      <c r="CC2355">
        <v>-0.08</v>
      </c>
      <c r="CD2355">
        <v>1.93</v>
      </c>
      <c r="CE2355">
        <v>-1.99</v>
      </c>
      <c r="CF2355">
        <v>-1.21</v>
      </c>
      <c r="CG2355">
        <v>0</v>
      </c>
      <c r="CH2355">
        <v>0.01</v>
      </c>
      <c r="CI2355">
        <v>0</v>
      </c>
      <c r="CJ2355">
        <v>4.9000000000000004</v>
      </c>
      <c r="CK2355">
        <v>81</v>
      </c>
      <c r="CL2355">
        <v>0.71</v>
      </c>
      <c r="CM2355">
        <v>79</v>
      </c>
      <c r="CN2355">
        <v>-0.09</v>
      </c>
      <c r="CO2355">
        <v>76</v>
      </c>
      <c r="CP2355">
        <v>3.1</v>
      </c>
      <c r="CQ2355">
        <v>83</v>
      </c>
      <c r="CR2355">
        <v>0</v>
      </c>
      <c r="CS2355">
        <v>0</v>
      </c>
      <c r="CT2355">
        <v>8.1999999999999993</v>
      </c>
      <c r="CU2355">
        <v>70</v>
      </c>
      <c r="CV2355">
        <v>-0.28999999999999998</v>
      </c>
      <c r="CW2355">
        <v>23</v>
      </c>
      <c r="CX2355" t="s">
        <v>1314</v>
      </c>
    </row>
    <row r="2356" spans="1:102" x14ac:dyDescent="0.3">
      <c r="A2356" t="str">
        <f>HYPERLINK("https://webapp.icbf.com/v2/app/bull-search/view/1418735474","S3219")</f>
        <v>S3219</v>
      </c>
      <c r="B2356" t="s">
        <v>15180</v>
      </c>
      <c r="C2356" t="s">
        <v>15181</v>
      </c>
      <c r="D2356" s="1">
        <v>42311</v>
      </c>
      <c r="E2356" t="s">
        <v>92</v>
      </c>
      <c r="F2356">
        <v>100</v>
      </c>
      <c r="G2356" t="s">
        <v>435</v>
      </c>
      <c r="H2356">
        <v>44.83</v>
      </c>
      <c r="I2356">
        <v>68</v>
      </c>
      <c r="J2356">
        <v>52.02</v>
      </c>
      <c r="K2356">
        <v>87</v>
      </c>
      <c r="L2356">
        <v>-13.11</v>
      </c>
      <c r="M2356">
        <v>68</v>
      </c>
      <c r="N2356">
        <v>2.54</v>
      </c>
      <c r="O2356">
        <v>68</v>
      </c>
      <c r="P2356">
        <v>-8.91</v>
      </c>
      <c r="Q2356">
        <v>36</v>
      </c>
      <c r="R2356">
        <v>8.42</v>
      </c>
      <c r="S2356">
        <v>62</v>
      </c>
      <c r="T2356">
        <v>1.99</v>
      </c>
      <c r="U2356">
        <v>35</v>
      </c>
      <c r="V2356">
        <v>1.88</v>
      </c>
      <c r="W2356">
        <v>54</v>
      </c>
      <c r="X2356" t="s">
        <v>110</v>
      </c>
      <c r="Y2356" t="s">
        <v>453</v>
      </c>
      <c r="Z2356" t="s">
        <v>96</v>
      </c>
      <c r="AA2356" t="s">
        <v>2721</v>
      </c>
      <c r="AB2356" t="s">
        <v>15182</v>
      </c>
      <c r="AC2356">
        <v>0</v>
      </c>
      <c r="AD2356">
        <v>0</v>
      </c>
      <c r="AE2356">
        <v>87</v>
      </c>
      <c r="AF2356">
        <v>386.06</v>
      </c>
      <c r="AG2356">
        <v>13.05</v>
      </c>
      <c r="AH2356">
        <v>10.14</v>
      </c>
      <c r="AI2356">
        <v>-0.04</v>
      </c>
      <c r="AJ2356">
        <v>-0.04</v>
      </c>
      <c r="AK2356">
        <v>68</v>
      </c>
      <c r="AL2356">
        <v>0</v>
      </c>
      <c r="AM2356">
        <v>0</v>
      </c>
      <c r="AN2356">
        <v>1.92</v>
      </c>
      <c r="AO2356">
        <v>0.89</v>
      </c>
      <c r="AP2356">
        <v>12</v>
      </c>
      <c r="AQ2356">
        <v>0</v>
      </c>
      <c r="AR2356">
        <v>10.77</v>
      </c>
      <c r="AS2356">
        <v>50</v>
      </c>
      <c r="AT2356">
        <v>3.97</v>
      </c>
      <c r="AU2356">
        <v>91</v>
      </c>
      <c r="AV2356">
        <v>-2.06</v>
      </c>
      <c r="AW2356">
        <v>77</v>
      </c>
      <c r="AX2356">
        <v>-0.52</v>
      </c>
      <c r="AY2356">
        <v>47</v>
      </c>
      <c r="AZ2356">
        <v>5.39</v>
      </c>
      <c r="BA2356">
        <v>35</v>
      </c>
      <c r="BB2356">
        <v>4.7699999999999996</v>
      </c>
      <c r="BC2356">
        <v>35</v>
      </c>
      <c r="BD2356">
        <v>-0.04</v>
      </c>
      <c r="BE2356">
        <v>-0.03</v>
      </c>
      <c r="BF2356">
        <v>-7.0000000000000007E-2</v>
      </c>
      <c r="BG2356">
        <v>75</v>
      </c>
      <c r="BH2356">
        <v>-0.1</v>
      </c>
      <c r="BI2356">
        <v>-17.63</v>
      </c>
      <c r="BJ2356">
        <v>0</v>
      </c>
      <c r="BK2356">
        <v>0</v>
      </c>
      <c r="BL2356">
        <v>2.08</v>
      </c>
      <c r="BM2356">
        <v>0.22</v>
      </c>
      <c r="BN2356">
        <v>0.46</v>
      </c>
      <c r="BO2356">
        <v>1.52</v>
      </c>
      <c r="BP2356">
        <v>1.7</v>
      </c>
      <c r="BQ2356">
        <v>4.41</v>
      </c>
      <c r="BR2356">
        <v>-1.35</v>
      </c>
      <c r="BS2356">
        <v>3.3</v>
      </c>
      <c r="BT2356">
        <v>2.33</v>
      </c>
      <c r="BU2356">
        <v>3.98</v>
      </c>
      <c r="BV2356">
        <v>5.37</v>
      </c>
      <c r="BW2356">
        <v>3.65</v>
      </c>
      <c r="BX2356">
        <v>3.82</v>
      </c>
      <c r="BY2356">
        <v>3.2</v>
      </c>
      <c r="BZ2356">
        <v>0.4</v>
      </c>
      <c r="CA2356">
        <v>4.17</v>
      </c>
      <c r="CB2356">
        <v>4.37</v>
      </c>
      <c r="CC2356">
        <v>2.44</v>
      </c>
      <c r="CD2356">
        <v>-0.77</v>
      </c>
      <c r="CE2356">
        <v>1.34</v>
      </c>
      <c r="CF2356">
        <v>0.64</v>
      </c>
      <c r="CG2356">
        <v>0</v>
      </c>
      <c r="CH2356">
        <v>3.42</v>
      </c>
      <c r="CI2356">
        <v>0</v>
      </c>
      <c r="CJ2356">
        <v>-2.1</v>
      </c>
      <c r="CK2356">
        <v>36</v>
      </c>
      <c r="CL2356">
        <v>-1.51</v>
      </c>
      <c r="CM2356">
        <v>36</v>
      </c>
      <c r="CN2356">
        <v>-0.82</v>
      </c>
      <c r="CO2356">
        <v>36</v>
      </c>
      <c r="CP2356">
        <v>-0.2</v>
      </c>
      <c r="CQ2356">
        <v>35</v>
      </c>
      <c r="CR2356">
        <v>0</v>
      </c>
      <c r="CS2356">
        <v>0</v>
      </c>
      <c r="CT2356">
        <v>11.1</v>
      </c>
      <c r="CU2356">
        <v>35</v>
      </c>
      <c r="CV2356">
        <v>0.27</v>
      </c>
      <c r="CW2356">
        <v>32</v>
      </c>
      <c r="CX2356" t="s">
        <v>5933</v>
      </c>
    </row>
    <row r="2357" spans="1:102" x14ac:dyDescent="0.3">
      <c r="A2357" t="str">
        <f>HYPERLINK("https://webapp.icbf.com/v2/app/bull-search/view/444148123","KJZ")</f>
        <v>KJZ</v>
      </c>
      <c r="B2357" t="s">
        <v>11944</v>
      </c>
      <c r="C2357" t="s">
        <v>11945</v>
      </c>
      <c r="D2357" s="1">
        <v>38757</v>
      </c>
      <c r="E2357" t="s">
        <v>92</v>
      </c>
      <c r="F2357">
        <v>69</v>
      </c>
      <c r="G2357" t="s">
        <v>93</v>
      </c>
      <c r="H2357">
        <v>44.78</v>
      </c>
      <c r="I2357">
        <v>88</v>
      </c>
      <c r="J2357">
        <v>44.26</v>
      </c>
      <c r="K2357">
        <v>97</v>
      </c>
      <c r="L2357">
        <v>-27.48</v>
      </c>
      <c r="M2357">
        <v>80</v>
      </c>
      <c r="N2357">
        <v>34.65</v>
      </c>
      <c r="O2357">
        <v>87</v>
      </c>
      <c r="P2357">
        <v>-18.23</v>
      </c>
      <c r="Q2357">
        <v>92</v>
      </c>
      <c r="R2357">
        <v>-4.45</v>
      </c>
      <c r="S2357">
        <v>84</v>
      </c>
      <c r="T2357">
        <v>21.67</v>
      </c>
      <c r="U2357">
        <v>88</v>
      </c>
      <c r="V2357">
        <v>-5.64</v>
      </c>
      <c r="W2357">
        <v>84</v>
      </c>
      <c r="X2357" t="s">
        <v>251</v>
      </c>
      <c r="Y2357" t="s">
        <v>228</v>
      </c>
      <c r="Z2357" t="s">
        <v>96</v>
      </c>
      <c r="AA2357" t="s">
        <v>771</v>
      </c>
      <c r="AB2357" t="s">
        <v>11946</v>
      </c>
      <c r="AC2357">
        <v>96</v>
      </c>
      <c r="AD2357">
        <v>71</v>
      </c>
      <c r="AE2357">
        <v>97</v>
      </c>
      <c r="AF2357">
        <v>49.1</v>
      </c>
      <c r="AG2357">
        <v>5.34</v>
      </c>
      <c r="AH2357">
        <v>6.39</v>
      </c>
      <c r="AI2357">
        <v>0.06</v>
      </c>
      <c r="AJ2357">
        <v>0.08</v>
      </c>
      <c r="AK2357">
        <v>80</v>
      </c>
      <c r="AL2357">
        <v>98</v>
      </c>
      <c r="AM2357">
        <v>71</v>
      </c>
      <c r="AN2357">
        <v>1.6</v>
      </c>
      <c r="AO2357">
        <v>-0.59</v>
      </c>
      <c r="AP2357">
        <v>227</v>
      </c>
      <c r="AQ2357">
        <v>0</v>
      </c>
      <c r="AR2357">
        <v>5.2</v>
      </c>
      <c r="AS2357">
        <v>72</v>
      </c>
      <c r="AT2357">
        <v>2.15</v>
      </c>
      <c r="AU2357">
        <v>89</v>
      </c>
      <c r="AV2357">
        <v>-2.56</v>
      </c>
      <c r="AW2357">
        <v>96</v>
      </c>
      <c r="AX2357">
        <v>0.4</v>
      </c>
      <c r="AY2357">
        <v>83</v>
      </c>
      <c r="AZ2357">
        <v>6.38</v>
      </c>
      <c r="BA2357">
        <v>70</v>
      </c>
      <c r="BB2357">
        <v>4.54</v>
      </c>
      <c r="BC2357">
        <v>72</v>
      </c>
      <c r="BD2357">
        <v>-0.01</v>
      </c>
      <c r="BE2357">
        <v>0.01</v>
      </c>
      <c r="BF2357">
        <v>0.1</v>
      </c>
      <c r="BG2357">
        <v>90</v>
      </c>
      <c r="BH2357">
        <v>-0.09</v>
      </c>
      <c r="BI2357">
        <v>7.77</v>
      </c>
      <c r="BJ2357">
        <v>13</v>
      </c>
      <c r="BK2357">
        <v>12</v>
      </c>
      <c r="BL2357">
        <v>-1.3</v>
      </c>
      <c r="BM2357">
        <v>0.28000000000000003</v>
      </c>
      <c r="BN2357">
        <v>-0.72</v>
      </c>
      <c r="BO2357">
        <v>-0.94</v>
      </c>
      <c r="BP2357">
        <v>-0.14000000000000001</v>
      </c>
      <c r="BQ2357">
        <v>-1.01</v>
      </c>
      <c r="BR2357">
        <v>-1.62</v>
      </c>
      <c r="BS2357">
        <v>1.0900000000000001</v>
      </c>
      <c r="BT2357">
        <v>0.49</v>
      </c>
      <c r="BU2357">
        <v>-0.75</v>
      </c>
      <c r="BV2357">
        <v>-0.32</v>
      </c>
      <c r="BW2357">
        <v>-0.26</v>
      </c>
      <c r="BX2357">
        <v>-1.49</v>
      </c>
      <c r="BY2357">
        <v>-0.78</v>
      </c>
      <c r="BZ2357">
        <v>0.69</v>
      </c>
      <c r="CA2357">
        <v>-0.17</v>
      </c>
      <c r="CB2357">
        <v>-0.44</v>
      </c>
      <c r="CC2357">
        <v>0.77</v>
      </c>
      <c r="CD2357">
        <v>0.75</v>
      </c>
      <c r="CE2357">
        <v>-1.23</v>
      </c>
      <c r="CF2357">
        <v>-1.04</v>
      </c>
      <c r="CG2357">
        <v>0</v>
      </c>
      <c r="CH2357">
        <v>-0.96</v>
      </c>
      <c r="CI2357">
        <v>0</v>
      </c>
      <c r="CJ2357">
        <v>-9.4</v>
      </c>
      <c r="CK2357">
        <v>93</v>
      </c>
      <c r="CL2357">
        <v>-0.63</v>
      </c>
      <c r="CM2357">
        <v>91</v>
      </c>
      <c r="CN2357">
        <v>-0.31</v>
      </c>
      <c r="CO2357">
        <v>90</v>
      </c>
      <c r="CP2357">
        <v>-15.9</v>
      </c>
      <c r="CQ2357">
        <v>90</v>
      </c>
      <c r="CR2357">
        <v>0</v>
      </c>
      <c r="CS2357">
        <v>0</v>
      </c>
      <c r="CT2357">
        <v>-15.5</v>
      </c>
      <c r="CU2357">
        <v>88</v>
      </c>
      <c r="CV2357">
        <v>7.0000000000000007E-2</v>
      </c>
      <c r="CW2357">
        <v>46</v>
      </c>
      <c r="CX2357" t="s">
        <v>792</v>
      </c>
    </row>
    <row r="2358" spans="1:102" x14ac:dyDescent="0.3">
      <c r="A2358" t="str">
        <f>HYPERLINK("https://webapp.icbf.com/v2/app/bull-search/view/138307628","CKX")</f>
        <v>CKX</v>
      </c>
      <c r="B2358" t="s">
        <v>1017</v>
      </c>
      <c r="C2358" t="s">
        <v>1018</v>
      </c>
      <c r="D2358" s="1">
        <v>35666</v>
      </c>
      <c r="E2358" t="s">
        <v>108</v>
      </c>
      <c r="F2358">
        <v>0</v>
      </c>
      <c r="G2358" t="s">
        <v>93</v>
      </c>
      <c r="H2358">
        <v>44.76</v>
      </c>
      <c r="I2358">
        <v>96</v>
      </c>
      <c r="J2358">
        <v>-42.2</v>
      </c>
      <c r="K2358">
        <v>99</v>
      </c>
      <c r="L2358">
        <v>123.23</v>
      </c>
      <c r="M2358">
        <v>93</v>
      </c>
      <c r="N2358">
        <v>-45.6</v>
      </c>
      <c r="O2358">
        <v>97</v>
      </c>
      <c r="P2358">
        <v>-2.0099999999999998</v>
      </c>
      <c r="Q2358">
        <v>99</v>
      </c>
      <c r="R2358">
        <v>0.06</v>
      </c>
      <c r="S2358">
        <v>95</v>
      </c>
      <c r="T2358">
        <v>15.16</v>
      </c>
      <c r="U2358">
        <v>97</v>
      </c>
      <c r="V2358">
        <v>-3.88</v>
      </c>
      <c r="W2358">
        <v>96</v>
      </c>
      <c r="X2358" t="s">
        <v>276</v>
      </c>
      <c r="Y2358" t="s">
        <v>95</v>
      </c>
      <c r="Z2358" t="s">
        <v>96</v>
      </c>
      <c r="AA2358" t="s">
        <v>590</v>
      </c>
      <c r="AB2358" t="s">
        <v>1019</v>
      </c>
      <c r="AC2358">
        <v>530</v>
      </c>
      <c r="AD2358">
        <v>199</v>
      </c>
      <c r="AE2358">
        <v>99</v>
      </c>
      <c r="AF2358">
        <v>-232.77</v>
      </c>
      <c r="AG2358">
        <v>-8.6199999999999992</v>
      </c>
      <c r="AH2358">
        <v>-7.69</v>
      </c>
      <c r="AI2358">
        <v>0.01</v>
      </c>
      <c r="AJ2358">
        <v>0</v>
      </c>
      <c r="AK2358">
        <v>93</v>
      </c>
      <c r="AL2358">
        <v>668</v>
      </c>
      <c r="AM2358">
        <v>276</v>
      </c>
      <c r="AN2358">
        <v>-6.54</v>
      </c>
      <c r="AO2358">
        <v>3.29</v>
      </c>
      <c r="AP2358">
        <v>1078</v>
      </c>
      <c r="AQ2358">
        <v>9</v>
      </c>
      <c r="AR2358">
        <v>14.64</v>
      </c>
      <c r="AS2358">
        <v>95</v>
      </c>
      <c r="AT2358">
        <v>5.69</v>
      </c>
      <c r="AU2358">
        <v>97</v>
      </c>
      <c r="AV2358">
        <v>-0.72</v>
      </c>
      <c r="AW2358">
        <v>99</v>
      </c>
      <c r="AX2358">
        <v>0.41</v>
      </c>
      <c r="AY2358">
        <v>97</v>
      </c>
      <c r="AZ2358">
        <v>5.31</v>
      </c>
      <c r="BA2358">
        <v>90</v>
      </c>
      <c r="BB2358">
        <v>4.26</v>
      </c>
      <c r="BC2358">
        <v>93</v>
      </c>
      <c r="BD2358">
        <v>-0.02</v>
      </c>
      <c r="BE2358">
        <v>-0.02</v>
      </c>
      <c r="BF2358">
        <v>7.0000000000000007E-2</v>
      </c>
      <c r="BG2358">
        <v>98</v>
      </c>
      <c r="BH2358">
        <v>-0.03</v>
      </c>
      <c r="BI2358">
        <v>9.0500000000000007</v>
      </c>
      <c r="BJ2358">
        <v>22</v>
      </c>
      <c r="BK2358">
        <v>15</v>
      </c>
      <c r="BL2358">
        <v>-3.54</v>
      </c>
      <c r="BM2358">
        <v>2.31</v>
      </c>
      <c r="BN2358">
        <v>-3.59</v>
      </c>
      <c r="BO2358">
        <v>-4.21</v>
      </c>
      <c r="BP2358">
        <v>2.0499999999999998</v>
      </c>
      <c r="BQ2358">
        <v>0.48</v>
      </c>
      <c r="BR2358">
        <v>-3.36</v>
      </c>
      <c r="BS2358">
        <v>0.41</v>
      </c>
      <c r="BT2358">
        <v>3</v>
      </c>
      <c r="BU2358">
        <v>-2.86</v>
      </c>
      <c r="BV2358">
        <v>-4.03</v>
      </c>
      <c r="BW2358">
        <v>-4.0999999999999996</v>
      </c>
      <c r="BX2358">
        <v>-1.7</v>
      </c>
      <c r="BY2358">
        <v>-2.58</v>
      </c>
      <c r="BZ2358">
        <v>1.05</v>
      </c>
      <c r="CA2358">
        <v>-2.5499999999999998</v>
      </c>
      <c r="CB2358">
        <v>-3.27</v>
      </c>
      <c r="CC2358">
        <v>-0.19</v>
      </c>
      <c r="CD2358">
        <v>3.64</v>
      </c>
      <c r="CE2358">
        <v>-3.9</v>
      </c>
      <c r="CF2358">
        <v>-2.2200000000000002</v>
      </c>
      <c r="CG2358">
        <v>0</v>
      </c>
      <c r="CH2358">
        <v>-2.5499999999999998</v>
      </c>
      <c r="CI2358">
        <v>0</v>
      </c>
      <c r="CJ2358">
        <v>-4.4000000000000004</v>
      </c>
      <c r="CK2358">
        <v>99</v>
      </c>
      <c r="CL2358">
        <v>0.1</v>
      </c>
      <c r="CM2358">
        <v>99</v>
      </c>
      <c r="CN2358">
        <v>-0.37</v>
      </c>
      <c r="CO2358">
        <v>99</v>
      </c>
      <c r="CP2358">
        <v>-8.6999999999999993</v>
      </c>
      <c r="CQ2358">
        <v>98</v>
      </c>
      <c r="CR2358">
        <v>0</v>
      </c>
      <c r="CS2358">
        <v>0</v>
      </c>
      <c r="CT2358">
        <v>-6.7</v>
      </c>
      <c r="CU2358">
        <v>97</v>
      </c>
      <c r="CV2358">
        <v>-7.0000000000000007E-2</v>
      </c>
      <c r="CW2358">
        <v>46</v>
      </c>
      <c r="CX2358" t="s">
        <v>607</v>
      </c>
    </row>
    <row r="2359" spans="1:102" x14ac:dyDescent="0.3">
      <c r="A2359" t="str">
        <f>HYPERLINK("https://webapp.icbf.com/v2/app/bull-search/view/740348775","S2149")</f>
        <v>S2149</v>
      </c>
      <c r="B2359" t="s">
        <v>8324</v>
      </c>
      <c r="C2359" t="s">
        <v>8325</v>
      </c>
      <c r="D2359" s="1">
        <v>39285</v>
      </c>
      <c r="E2359" t="s">
        <v>92</v>
      </c>
      <c r="F2359">
        <v>100</v>
      </c>
      <c r="G2359" t="s">
        <v>109</v>
      </c>
      <c r="H2359">
        <v>44.68</v>
      </c>
      <c r="I2359">
        <v>80</v>
      </c>
      <c r="J2359">
        <v>58.5</v>
      </c>
      <c r="K2359">
        <v>92</v>
      </c>
      <c r="L2359">
        <v>-37.549999999999997</v>
      </c>
      <c r="M2359">
        <v>81</v>
      </c>
      <c r="N2359">
        <v>27.23</v>
      </c>
      <c r="O2359">
        <v>77</v>
      </c>
      <c r="P2359">
        <v>-14.26</v>
      </c>
      <c r="Q2359">
        <v>67</v>
      </c>
      <c r="R2359">
        <v>-1.36</v>
      </c>
      <c r="S2359">
        <v>73</v>
      </c>
      <c r="T2359">
        <v>23.52</v>
      </c>
      <c r="U2359">
        <v>58</v>
      </c>
      <c r="V2359">
        <v>-11.4</v>
      </c>
      <c r="W2359">
        <v>61</v>
      </c>
      <c r="X2359" t="s">
        <v>102</v>
      </c>
      <c r="Y2359" t="s">
        <v>367</v>
      </c>
      <c r="Z2359" t="s">
        <v>96</v>
      </c>
      <c r="AA2359" t="s">
        <v>2048</v>
      </c>
      <c r="AB2359" t="s">
        <v>8326</v>
      </c>
      <c r="AC2359">
        <v>0</v>
      </c>
      <c r="AD2359">
        <v>0</v>
      </c>
      <c r="AE2359">
        <v>92</v>
      </c>
      <c r="AF2359">
        <v>202.4</v>
      </c>
      <c r="AG2359">
        <v>9.18</v>
      </c>
      <c r="AH2359">
        <v>9.8000000000000007</v>
      </c>
      <c r="AI2359">
        <v>0.02</v>
      </c>
      <c r="AJ2359">
        <v>0.05</v>
      </c>
      <c r="AK2359">
        <v>81</v>
      </c>
      <c r="AL2359">
        <v>0</v>
      </c>
      <c r="AM2359">
        <v>0</v>
      </c>
      <c r="AN2359">
        <v>2.42</v>
      </c>
      <c r="AO2359">
        <v>-0.56999999999999995</v>
      </c>
      <c r="AP2359">
        <v>117</v>
      </c>
      <c r="AQ2359">
        <v>0</v>
      </c>
      <c r="AR2359">
        <v>6.43</v>
      </c>
      <c r="AS2359">
        <v>57</v>
      </c>
      <c r="AT2359">
        <v>3.2</v>
      </c>
      <c r="AU2359">
        <v>89</v>
      </c>
      <c r="AV2359">
        <v>-3.34</v>
      </c>
      <c r="AW2359">
        <v>89</v>
      </c>
      <c r="AX2359">
        <v>-0.3</v>
      </c>
      <c r="AY2359">
        <v>69</v>
      </c>
      <c r="AZ2359">
        <v>6.29</v>
      </c>
      <c r="BA2359">
        <v>44</v>
      </c>
      <c r="BB2359">
        <v>5.53</v>
      </c>
      <c r="BC2359">
        <v>40</v>
      </c>
      <c r="BD2359">
        <v>0.02</v>
      </c>
      <c r="BE2359">
        <v>0.02</v>
      </c>
      <c r="BF2359">
        <v>-0.04</v>
      </c>
      <c r="BG2359">
        <v>90</v>
      </c>
      <c r="BH2359">
        <v>-0.12</v>
      </c>
      <c r="BI2359">
        <v>22.9</v>
      </c>
      <c r="BJ2359">
        <v>0</v>
      </c>
      <c r="BK2359">
        <v>0</v>
      </c>
      <c r="BL2359">
        <v>-0.17</v>
      </c>
      <c r="BM2359">
        <v>-2.84</v>
      </c>
      <c r="BN2359">
        <v>-1.74</v>
      </c>
      <c r="BO2359">
        <v>0.15</v>
      </c>
      <c r="BP2359">
        <v>1.1000000000000001</v>
      </c>
      <c r="BQ2359">
        <v>-2.0499999999999998</v>
      </c>
      <c r="BR2359">
        <v>-2.4900000000000002</v>
      </c>
      <c r="BS2359">
        <v>0.28999999999999998</v>
      </c>
      <c r="BT2359">
        <v>2.2400000000000002</v>
      </c>
      <c r="BU2359">
        <v>-2.65</v>
      </c>
      <c r="BV2359">
        <v>1.1599999999999999</v>
      </c>
      <c r="BW2359">
        <v>-0.66</v>
      </c>
      <c r="BX2359">
        <v>-2.46</v>
      </c>
      <c r="BY2359">
        <v>-1.28</v>
      </c>
      <c r="BZ2359">
        <v>-1.19</v>
      </c>
      <c r="CA2359">
        <v>-0.15</v>
      </c>
      <c r="CB2359">
        <v>-1.02</v>
      </c>
      <c r="CC2359">
        <v>1.64</v>
      </c>
      <c r="CD2359">
        <v>-1.72</v>
      </c>
      <c r="CE2359">
        <v>-0.14000000000000001</v>
      </c>
      <c r="CF2359">
        <v>-1.42</v>
      </c>
      <c r="CG2359">
        <v>0</v>
      </c>
      <c r="CH2359">
        <v>-1.51</v>
      </c>
      <c r="CI2359">
        <v>0</v>
      </c>
      <c r="CJ2359">
        <v>-8</v>
      </c>
      <c r="CK2359">
        <v>70</v>
      </c>
      <c r="CL2359">
        <v>-0.6</v>
      </c>
      <c r="CM2359">
        <v>64</v>
      </c>
      <c r="CN2359">
        <v>-0.46</v>
      </c>
      <c r="CO2359">
        <v>62</v>
      </c>
      <c r="CP2359">
        <v>-16.100000000000001</v>
      </c>
      <c r="CQ2359">
        <v>59</v>
      </c>
      <c r="CR2359">
        <v>0</v>
      </c>
      <c r="CS2359">
        <v>0</v>
      </c>
      <c r="CT2359">
        <v>-18</v>
      </c>
      <c r="CU2359">
        <v>58</v>
      </c>
      <c r="CV2359">
        <v>0.01</v>
      </c>
      <c r="CW2359">
        <v>40</v>
      </c>
      <c r="CX2359" t="s">
        <v>1109</v>
      </c>
    </row>
    <row r="2360" spans="1:102" x14ac:dyDescent="0.3">
      <c r="A2360" t="str">
        <f>HYPERLINK("https://webapp.icbf.com/v2/app/bull-search/view/69092485","RER")</f>
        <v>RER</v>
      </c>
      <c r="B2360" t="s">
        <v>144</v>
      </c>
      <c r="C2360" t="s">
        <v>4388</v>
      </c>
      <c r="D2360" s="1">
        <v>33148</v>
      </c>
      <c r="E2360" t="s">
        <v>146</v>
      </c>
      <c r="F2360">
        <v>0</v>
      </c>
      <c r="G2360" t="s">
        <v>435</v>
      </c>
      <c r="H2360">
        <v>44.55</v>
      </c>
      <c r="I2360">
        <v>40</v>
      </c>
      <c r="J2360">
        <v>-91.72</v>
      </c>
      <c r="K2360">
        <v>62</v>
      </c>
      <c r="L2360">
        <v>103.53</v>
      </c>
      <c r="M2360">
        <v>20</v>
      </c>
      <c r="N2360">
        <v>13.46</v>
      </c>
      <c r="O2360">
        <v>42</v>
      </c>
      <c r="P2360">
        <v>16.79</v>
      </c>
      <c r="Q2360">
        <v>53</v>
      </c>
      <c r="R2360">
        <v>-8.32</v>
      </c>
      <c r="S2360">
        <v>25</v>
      </c>
      <c r="T2360">
        <v>12.49</v>
      </c>
      <c r="U2360">
        <v>43</v>
      </c>
      <c r="V2360">
        <v>-1.68</v>
      </c>
      <c r="W2360">
        <v>7</v>
      </c>
      <c r="X2360" t="s">
        <v>276</v>
      </c>
      <c r="Y2360" t="s">
        <v>95</v>
      </c>
      <c r="Z2360">
        <v>0</v>
      </c>
      <c r="AA2360" t="s">
        <v>546</v>
      </c>
      <c r="AB2360" t="s">
        <v>4389</v>
      </c>
      <c r="AC2360">
        <v>8</v>
      </c>
      <c r="AD2360">
        <v>6</v>
      </c>
      <c r="AE2360">
        <v>62</v>
      </c>
      <c r="AF2360">
        <v>-539.29999999999995</v>
      </c>
      <c r="AG2360">
        <v>-18.98</v>
      </c>
      <c r="AH2360">
        <v>-17.14</v>
      </c>
      <c r="AI2360">
        <v>0.04</v>
      </c>
      <c r="AJ2360">
        <v>0.02</v>
      </c>
      <c r="AK2360">
        <v>20</v>
      </c>
      <c r="AL2360">
        <v>7</v>
      </c>
      <c r="AM2360">
        <v>4</v>
      </c>
      <c r="AN2360">
        <v>-5.35</v>
      </c>
      <c r="AO2360">
        <v>2.91</v>
      </c>
      <c r="AP2360">
        <v>1</v>
      </c>
      <c r="AQ2360">
        <v>0</v>
      </c>
      <c r="AR2360">
        <v>6.83</v>
      </c>
      <c r="AS2360">
        <v>27</v>
      </c>
      <c r="AT2360">
        <v>3.34</v>
      </c>
      <c r="AU2360">
        <v>41</v>
      </c>
      <c r="AV2360">
        <v>-1.71</v>
      </c>
      <c r="AW2360">
        <v>52</v>
      </c>
      <c r="AX2360">
        <v>0.09</v>
      </c>
      <c r="AY2360">
        <v>42</v>
      </c>
      <c r="AZ2360">
        <v>5.76</v>
      </c>
      <c r="BA2360">
        <v>19</v>
      </c>
      <c r="BB2360">
        <v>5.21</v>
      </c>
      <c r="BC2360">
        <v>26</v>
      </c>
      <c r="BD2360">
        <v>-0.01</v>
      </c>
      <c r="BE2360">
        <v>0.02</v>
      </c>
      <c r="BF2360">
        <v>0.17</v>
      </c>
      <c r="BG2360">
        <v>33</v>
      </c>
      <c r="BH2360">
        <v>-0.1</v>
      </c>
      <c r="BI2360">
        <v>-6.14</v>
      </c>
      <c r="BJ2360">
        <v>0</v>
      </c>
      <c r="BK2360">
        <v>0</v>
      </c>
      <c r="BL2360">
        <v>-0.76</v>
      </c>
      <c r="BM2360">
        <v>0.67</v>
      </c>
      <c r="BN2360">
        <v>-0.65</v>
      </c>
      <c r="BO2360">
        <v>-0.9</v>
      </c>
      <c r="BP2360">
        <v>0.25</v>
      </c>
      <c r="BQ2360">
        <v>0.19</v>
      </c>
      <c r="BR2360">
        <v>-0.02</v>
      </c>
      <c r="BS2360">
        <v>0</v>
      </c>
      <c r="BT2360">
        <v>-0.25</v>
      </c>
      <c r="BU2360">
        <v>-0.73</v>
      </c>
      <c r="BV2360">
        <v>-1.01</v>
      </c>
      <c r="BW2360">
        <v>-0.81</v>
      </c>
      <c r="BX2360">
        <v>-0.5</v>
      </c>
      <c r="BY2360">
        <v>-0.74</v>
      </c>
      <c r="BZ2360">
        <v>-0.14000000000000001</v>
      </c>
      <c r="CA2360">
        <v>-0.93</v>
      </c>
      <c r="CB2360">
        <v>-0.94</v>
      </c>
      <c r="CC2360">
        <v>-0.54</v>
      </c>
      <c r="CD2360">
        <v>0.86</v>
      </c>
      <c r="CE2360">
        <v>-0.94</v>
      </c>
      <c r="CF2360">
        <v>-0.66</v>
      </c>
      <c r="CG2360">
        <v>0</v>
      </c>
      <c r="CH2360">
        <v>-0.7</v>
      </c>
      <c r="CI2360">
        <v>0</v>
      </c>
      <c r="CJ2360">
        <v>10.7</v>
      </c>
      <c r="CK2360">
        <v>55</v>
      </c>
      <c r="CL2360">
        <v>0.18</v>
      </c>
      <c r="CM2360">
        <v>52</v>
      </c>
      <c r="CN2360">
        <v>-0.06</v>
      </c>
      <c r="CO2360">
        <v>50</v>
      </c>
      <c r="CP2360">
        <v>-3.6</v>
      </c>
      <c r="CQ2360">
        <v>49</v>
      </c>
      <c r="CR2360">
        <v>0</v>
      </c>
      <c r="CS2360">
        <v>0</v>
      </c>
      <c r="CT2360">
        <v>-3.1</v>
      </c>
      <c r="CU2360">
        <v>43</v>
      </c>
      <c r="CV2360">
        <v>-0.01</v>
      </c>
      <c r="CW2360">
        <v>36</v>
      </c>
      <c r="CX2360" t="s">
        <v>4390</v>
      </c>
    </row>
    <row r="2361" spans="1:102" x14ac:dyDescent="0.3">
      <c r="A2361" t="str">
        <f>HYPERLINK("https://webapp.icbf.com/v2/app/bull-search/view/596237705","S870")</f>
        <v>S870</v>
      </c>
      <c r="B2361" t="s">
        <v>9058</v>
      </c>
      <c r="C2361" t="s">
        <v>9059</v>
      </c>
      <c r="D2361" s="1">
        <v>36940</v>
      </c>
      <c r="E2361" t="s">
        <v>92</v>
      </c>
      <c r="F2361">
        <v>75</v>
      </c>
      <c r="G2361" t="s">
        <v>109</v>
      </c>
      <c r="H2361">
        <v>44.53</v>
      </c>
      <c r="I2361">
        <v>55</v>
      </c>
      <c r="J2361">
        <v>70.12</v>
      </c>
      <c r="K2361">
        <v>65</v>
      </c>
      <c r="L2361">
        <v>-13.89</v>
      </c>
      <c r="M2361">
        <v>51</v>
      </c>
      <c r="N2361">
        <v>-7.57</v>
      </c>
      <c r="O2361">
        <v>43</v>
      </c>
      <c r="P2361">
        <v>-13.64</v>
      </c>
      <c r="Q2361">
        <v>69</v>
      </c>
      <c r="R2361">
        <v>-1.45</v>
      </c>
      <c r="S2361">
        <v>39</v>
      </c>
      <c r="T2361">
        <v>12.27</v>
      </c>
      <c r="U2361">
        <v>56</v>
      </c>
      <c r="V2361">
        <v>-1.31</v>
      </c>
      <c r="W2361">
        <v>14</v>
      </c>
      <c r="X2361" t="s">
        <v>1645</v>
      </c>
      <c r="Y2361" t="s">
        <v>303</v>
      </c>
      <c r="Z2361">
        <v>0</v>
      </c>
      <c r="AA2361" t="s">
        <v>9060</v>
      </c>
      <c r="AB2361" t="s">
        <v>9061</v>
      </c>
      <c r="AC2361">
        <v>0</v>
      </c>
      <c r="AD2361">
        <v>0</v>
      </c>
      <c r="AE2361">
        <v>65</v>
      </c>
      <c r="AF2361">
        <v>178.82</v>
      </c>
      <c r="AG2361">
        <v>14.03</v>
      </c>
      <c r="AH2361">
        <v>9.6999999999999993</v>
      </c>
      <c r="AI2361">
        <v>0.11</v>
      </c>
      <c r="AJ2361">
        <v>0.06</v>
      </c>
      <c r="AK2361">
        <v>51</v>
      </c>
      <c r="AL2361">
        <v>0</v>
      </c>
      <c r="AM2361">
        <v>0</v>
      </c>
      <c r="AN2361">
        <v>1.37</v>
      </c>
      <c r="AO2361">
        <v>0.27</v>
      </c>
      <c r="AP2361">
        <v>14</v>
      </c>
      <c r="AQ2361">
        <v>4</v>
      </c>
      <c r="AR2361">
        <v>10.01</v>
      </c>
      <c r="AS2361">
        <v>29</v>
      </c>
      <c r="AT2361">
        <v>4.2</v>
      </c>
      <c r="AU2361">
        <v>36</v>
      </c>
      <c r="AV2361">
        <v>-1.23</v>
      </c>
      <c r="AW2361">
        <v>59</v>
      </c>
      <c r="AX2361">
        <v>-0.84</v>
      </c>
      <c r="AY2361">
        <v>44</v>
      </c>
      <c r="AZ2361">
        <v>6.63</v>
      </c>
      <c r="BA2361">
        <v>18</v>
      </c>
      <c r="BB2361">
        <v>5.25</v>
      </c>
      <c r="BC2361">
        <v>19</v>
      </c>
      <c r="BD2361">
        <v>0.02</v>
      </c>
      <c r="BE2361">
        <v>0</v>
      </c>
      <c r="BF2361">
        <v>0</v>
      </c>
      <c r="BG2361">
        <v>49</v>
      </c>
      <c r="BH2361">
        <v>0.08</v>
      </c>
      <c r="BI2361">
        <v>13.48</v>
      </c>
      <c r="BJ2361">
        <v>0</v>
      </c>
      <c r="BK2361">
        <v>0</v>
      </c>
      <c r="BL2361">
        <v>0.28999999999999998</v>
      </c>
      <c r="BM2361">
        <v>0.8</v>
      </c>
      <c r="BN2361">
        <v>1.18</v>
      </c>
      <c r="BO2361">
        <v>0.18</v>
      </c>
      <c r="BP2361">
        <v>-0.46</v>
      </c>
      <c r="BQ2361">
        <v>0.77</v>
      </c>
      <c r="BR2361">
        <v>-0.77</v>
      </c>
      <c r="BS2361">
        <v>-0.11</v>
      </c>
      <c r="BT2361">
        <v>0.99</v>
      </c>
      <c r="BU2361">
        <v>0.52</v>
      </c>
      <c r="BV2361">
        <v>0.46</v>
      </c>
      <c r="BW2361">
        <v>-0.56999999999999995</v>
      </c>
      <c r="BX2361">
        <v>-0.14000000000000001</v>
      </c>
      <c r="BY2361">
        <v>-0.04</v>
      </c>
      <c r="BZ2361">
        <v>-0.13</v>
      </c>
      <c r="CA2361">
        <v>0.36</v>
      </c>
      <c r="CB2361">
        <v>0.46</v>
      </c>
      <c r="CC2361">
        <v>0.14000000000000001</v>
      </c>
      <c r="CD2361">
        <v>0.28999999999999998</v>
      </c>
      <c r="CE2361">
        <v>0.41</v>
      </c>
      <c r="CF2361">
        <v>0.63</v>
      </c>
      <c r="CG2361">
        <v>0</v>
      </c>
      <c r="CH2361">
        <v>0</v>
      </c>
      <c r="CI2361">
        <v>0</v>
      </c>
      <c r="CJ2361">
        <v>-5.9</v>
      </c>
      <c r="CK2361">
        <v>73</v>
      </c>
      <c r="CL2361">
        <v>-0.83</v>
      </c>
      <c r="CM2361">
        <v>67</v>
      </c>
      <c r="CN2361">
        <v>-0.34</v>
      </c>
      <c r="CO2361">
        <v>64</v>
      </c>
      <c r="CP2361">
        <v>-6.1</v>
      </c>
      <c r="CQ2361">
        <v>56</v>
      </c>
      <c r="CR2361">
        <v>0</v>
      </c>
      <c r="CS2361">
        <v>0</v>
      </c>
      <c r="CT2361">
        <v>-2.8</v>
      </c>
      <c r="CU2361">
        <v>56</v>
      </c>
      <c r="CV2361">
        <v>0.09</v>
      </c>
      <c r="CW2361">
        <v>20</v>
      </c>
      <c r="CX2361" t="s">
        <v>914</v>
      </c>
    </row>
    <row r="2362" spans="1:102" x14ac:dyDescent="0.3">
      <c r="A2362" t="str">
        <f>HYPERLINK("https://webapp.icbf.com/v2/app/bull-search/view/348166957","STX")</f>
        <v>STX</v>
      </c>
      <c r="B2362" t="s">
        <v>4177</v>
      </c>
      <c r="C2362" t="s">
        <v>1114</v>
      </c>
      <c r="D2362" s="1">
        <v>36210</v>
      </c>
      <c r="E2362" t="s">
        <v>92</v>
      </c>
      <c r="F2362">
        <v>100</v>
      </c>
      <c r="G2362" t="s">
        <v>93</v>
      </c>
      <c r="H2362">
        <v>44.49</v>
      </c>
      <c r="I2362">
        <v>97</v>
      </c>
      <c r="J2362">
        <v>39.83</v>
      </c>
      <c r="K2362">
        <v>99</v>
      </c>
      <c r="L2362">
        <v>-44.28</v>
      </c>
      <c r="M2362">
        <v>94</v>
      </c>
      <c r="N2362">
        <v>30.63</v>
      </c>
      <c r="O2362">
        <v>98</v>
      </c>
      <c r="P2362">
        <v>-0.51</v>
      </c>
      <c r="Q2362">
        <v>99</v>
      </c>
      <c r="R2362">
        <v>6.48</v>
      </c>
      <c r="S2362">
        <v>96</v>
      </c>
      <c r="T2362">
        <v>16.71</v>
      </c>
      <c r="U2362">
        <v>99</v>
      </c>
      <c r="V2362">
        <v>-4.37</v>
      </c>
      <c r="W2362">
        <v>97</v>
      </c>
      <c r="X2362" t="s">
        <v>94</v>
      </c>
      <c r="Y2362" t="s">
        <v>95</v>
      </c>
      <c r="Z2362" t="s">
        <v>96</v>
      </c>
      <c r="AA2362" t="s">
        <v>1380</v>
      </c>
      <c r="AB2362" t="s">
        <v>4178</v>
      </c>
      <c r="AC2362">
        <v>1073</v>
      </c>
      <c r="AD2362">
        <v>374</v>
      </c>
      <c r="AE2362">
        <v>99</v>
      </c>
      <c r="AF2362">
        <v>144.54</v>
      </c>
      <c r="AG2362">
        <v>7.03</v>
      </c>
      <c r="AH2362">
        <v>6.5</v>
      </c>
      <c r="AI2362">
        <v>0.02</v>
      </c>
      <c r="AJ2362">
        <v>0.03</v>
      </c>
      <c r="AK2362">
        <v>94</v>
      </c>
      <c r="AL2362">
        <v>1123</v>
      </c>
      <c r="AM2362">
        <v>392</v>
      </c>
      <c r="AN2362">
        <v>2.52</v>
      </c>
      <c r="AO2362">
        <v>-1.01</v>
      </c>
      <c r="AP2362">
        <v>1907</v>
      </c>
      <c r="AQ2362">
        <v>24</v>
      </c>
      <c r="AR2362">
        <v>5.95</v>
      </c>
      <c r="AS2362">
        <v>98</v>
      </c>
      <c r="AT2362">
        <v>2.4500000000000002</v>
      </c>
      <c r="AU2362">
        <v>98</v>
      </c>
      <c r="AV2362">
        <v>-2.16</v>
      </c>
      <c r="AW2362">
        <v>99</v>
      </c>
      <c r="AX2362">
        <v>-0.56000000000000005</v>
      </c>
      <c r="AY2362">
        <v>98</v>
      </c>
      <c r="AZ2362">
        <v>5.28</v>
      </c>
      <c r="BA2362">
        <v>93</v>
      </c>
      <c r="BB2362">
        <v>4.79</v>
      </c>
      <c r="BC2362">
        <v>94</v>
      </c>
      <c r="BD2362">
        <v>-0.06</v>
      </c>
      <c r="BE2362">
        <v>-0.01</v>
      </c>
      <c r="BF2362">
        <v>-0.03</v>
      </c>
      <c r="BG2362">
        <v>98</v>
      </c>
      <c r="BH2362">
        <v>-7.0000000000000007E-2</v>
      </c>
      <c r="BI2362">
        <v>5.99</v>
      </c>
      <c r="BJ2362">
        <v>80</v>
      </c>
      <c r="BK2362">
        <v>43</v>
      </c>
      <c r="BL2362">
        <v>-0.16</v>
      </c>
      <c r="BM2362">
        <v>-0.13</v>
      </c>
      <c r="BN2362">
        <v>-0.52</v>
      </c>
      <c r="BO2362">
        <v>-0.09</v>
      </c>
      <c r="BP2362">
        <v>2.66</v>
      </c>
      <c r="BQ2362">
        <v>-0.76</v>
      </c>
      <c r="BR2362">
        <v>0.66</v>
      </c>
      <c r="BS2362">
        <v>-0.69</v>
      </c>
      <c r="BT2362">
        <v>-1.6</v>
      </c>
      <c r="BU2362">
        <v>0.12</v>
      </c>
      <c r="BV2362">
        <v>0.16</v>
      </c>
      <c r="BW2362">
        <v>-0.23</v>
      </c>
      <c r="BX2362">
        <v>-0.33</v>
      </c>
      <c r="BY2362">
        <v>0.32</v>
      </c>
      <c r="BZ2362">
        <v>0.41</v>
      </c>
      <c r="CA2362">
        <v>0.06</v>
      </c>
      <c r="CB2362">
        <v>0.33</v>
      </c>
      <c r="CC2362">
        <v>-0.5</v>
      </c>
      <c r="CD2362">
        <v>-7.0000000000000007E-2</v>
      </c>
      <c r="CE2362">
        <v>-0.2</v>
      </c>
      <c r="CF2362">
        <v>-0.67</v>
      </c>
      <c r="CG2362">
        <v>0</v>
      </c>
      <c r="CH2362">
        <v>0.52</v>
      </c>
      <c r="CI2362">
        <v>0</v>
      </c>
      <c r="CJ2362">
        <v>0.5</v>
      </c>
      <c r="CK2362">
        <v>99</v>
      </c>
      <c r="CL2362">
        <v>-0.57999999999999996</v>
      </c>
      <c r="CM2362">
        <v>99</v>
      </c>
      <c r="CN2362">
        <v>-0.48</v>
      </c>
      <c r="CO2362">
        <v>99</v>
      </c>
      <c r="CP2362">
        <v>-5.6</v>
      </c>
      <c r="CQ2362">
        <v>99</v>
      </c>
      <c r="CR2362">
        <v>0</v>
      </c>
      <c r="CS2362">
        <v>0</v>
      </c>
      <c r="CT2362">
        <v>-8.8000000000000007</v>
      </c>
      <c r="CU2362">
        <v>99</v>
      </c>
      <c r="CV2362">
        <v>0.12</v>
      </c>
      <c r="CW2362">
        <v>46</v>
      </c>
      <c r="CX2362" t="s">
        <v>753</v>
      </c>
    </row>
    <row r="2363" spans="1:102" x14ac:dyDescent="0.3">
      <c r="A2363" t="str">
        <f>HYPERLINK("https://webapp.icbf.com/v2/app/bull-search/view/142840813","SKN")</f>
        <v>SKN</v>
      </c>
      <c r="B2363" t="s">
        <v>4699</v>
      </c>
      <c r="C2363" t="s">
        <v>4700</v>
      </c>
      <c r="D2363" s="1">
        <v>37635</v>
      </c>
      <c r="E2363" t="s">
        <v>92</v>
      </c>
      <c r="F2363">
        <v>100</v>
      </c>
      <c r="G2363" t="s">
        <v>93</v>
      </c>
      <c r="H2363">
        <v>44.44</v>
      </c>
      <c r="I2363">
        <v>92</v>
      </c>
      <c r="J2363">
        <v>19.77</v>
      </c>
      <c r="K2363">
        <v>98</v>
      </c>
      <c r="L2363">
        <v>1.98</v>
      </c>
      <c r="M2363">
        <v>87</v>
      </c>
      <c r="N2363">
        <v>15.43</v>
      </c>
      <c r="O2363">
        <v>91</v>
      </c>
      <c r="P2363">
        <v>-10.99</v>
      </c>
      <c r="Q2363">
        <v>96</v>
      </c>
      <c r="R2363">
        <v>15.21</v>
      </c>
      <c r="S2363">
        <v>88</v>
      </c>
      <c r="T2363">
        <v>9.39</v>
      </c>
      <c r="U2363">
        <v>93</v>
      </c>
      <c r="V2363">
        <v>-6.35</v>
      </c>
      <c r="W2363">
        <v>88</v>
      </c>
      <c r="X2363" t="s">
        <v>94</v>
      </c>
      <c r="Y2363" t="s">
        <v>228</v>
      </c>
      <c r="Z2363" t="s">
        <v>96</v>
      </c>
      <c r="AA2363" t="s">
        <v>4023</v>
      </c>
      <c r="AB2363" t="s">
        <v>2590</v>
      </c>
      <c r="AC2363">
        <v>203</v>
      </c>
      <c r="AD2363">
        <v>141</v>
      </c>
      <c r="AE2363">
        <v>98</v>
      </c>
      <c r="AF2363">
        <v>-4.51</v>
      </c>
      <c r="AG2363">
        <v>-0.3</v>
      </c>
      <c r="AH2363">
        <v>3.4</v>
      </c>
      <c r="AI2363">
        <v>0</v>
      </c>
      <c r="AJ2363">
        <v>0.06</v>
      </c>
      <c r="AK2363">
        <v>87</v>
      </c>
      <c r="AL2363">
        <v>212</v>
      </c>
      <c r="AM2363">
        <v>144</v>
      </c>
      <c r="AN2363">
        <v>-0.7</v>
      </c>
      <c r="AO2363">
        <v>-0.55000000000000004</v>
      </c>
      <c r="AP2363">
        <v>331</v>
      </c>
      <c r="AQ2363">
        <v>1</v>
      </c>
      <c r="AR2363">
        <v>5.94</v>
      </c>
      <c r="AS2363">
        <v>82</v>
      </c>
      <c r="AT2363">
        <v>2.42</v>
      </c>
      <c r="AU2363">
        <v>93</v>
      </c>
      <c r="AV2363">
        <v>-1.38</v>
      </c>
      <c r="AW2363">
        <v>97</v>
      </c>
      <c r="AX2363">
        <v>0.7</v>
      </c>
      <c r="AY2363">
        <v>90</v>
      </c>
      <c r="AZ2363">
        <v>7.2</v>
      </c>
      <c r="BA2363">
        <v>77</v>
      </c>
      <c r="BB2363">
        <v>5.42</v>
      </c>
      <c r="BC2363">
        <v>80</v>
      </c>
      <c r="BD2363">
        <v>-0.04</v>
      </c>
      <c r="BE2363">
        <v>-7.0000000000000007E-2</v>
      </c>
      <c r="BF2363">
        <v>-0.15</v>
      </c>
      <c r="BG2363">
        <v>94</v>
      </c>
      <c r="BH2363">
        <v>-7.0000000000000007E-2</v>
      </c>
      <c r="BI2363">
        <v>12.4</v>
      </c>
      <c r="BJ2363">
        <v>42</v>
      </c>
      <c r="BK2363">
        <v>28</v>
      </c>
      <c r="BL2363">
        <v>0.08</v>
      </c>
      <c r="BM2363">
        <v>0.57999999999999996</v>
      </c>
      <c r="BN2363">
        <v>0.24</v>
      </c>
      <c r="BO2363">
        <v>0.17</v>
      </c>
      <c r="BP2363">
        <v>0.67</v>
      </c>
      <c r="BQ2363">
        <v>-0.22</v>
      </c>
      <c r="BR2363">
        <v>3.06</v>
      </c>
      <c r="BS2363">
        <v>-2.11</v>
      </c>
      <c r="BT2363">
        <v>-2.46</v>
      </c>
      <c r="BU2363">
        <v>0.48</v>
      </c>
      <c r="BV2363">
        <v>-0.46</v>
      </c>
      <c r="BW2363">
        <v>-1.68</v>
      </c>
      <c r="BX2363">
        <v>-0.41</v>
      </c>
      <c r="BY2363">
        <v>1</v>
      </c>
      <c r="BZ2363">
        <v>-0.62</v>
      </c>
      <c r="CA2363">
        <v>-0.56000000000000005</v>
      </c>
      <c r="CB2363">
        <v>0.04</v>
      </c>
      <c r="CC2363">
        <v>-1.55</v>
      </c>
      <c r="CD2363">
        <v>0.27</v>
      </c>
      <c r="CE2363">
        <v>-0.09</v>
      </c>
      <c r="CF2363">
        <v>-0.23</v>
      </c>
      <c r="CG2363">
        <v>0</v>
      </c>
      <c r="CH2363">
        <v>0.91</v>
      </c>
      <c r="CI2363">
        <v>0</v>
      </c>
      <c r="CJ2363">
        <v>-4.2</v>
      </c>
      <c r="CK2363">
        <v>96</v>
      </c>
      <c r="CL2363">
        <v>-0.75</v>
      </c>
      <c r="CM2363">
        <v>96</v>
      </c>
      <c r="CN2363">
        <v>-0.27</v>
      </c>
      <c r="CO2363">
        <v>95</v>
      </c>
      <c r="CP2363">
        <v>-4.0999999999999996</v>
      </c>
      <c r="CQ2363">
        <v>95</v>
      </c>
      <c r="CR2363">
        <v>0</v>
      </c>
      <c r="CS2363">
        <v>0</v>
      </c>
      <c r="CT2363">
        <v>1.1000000000000001</v>
      </c>
      <c r="CU2363">
        <v>93</v>
      </c>
      <c r="CV2363">
        <v>0.06</v>
      </c>
      <c r="CW2363">
        <v>46</v>
      </c>
      <c r="CX2363" t="s">
        <v>753</v>
      </c>
    </row>
    <row r="2364" spans="1:102" x14ac:dyDescent="0.3">
      <c r="A2364" t="str">
        <f>HYPERLINK("https://webapp.icbf.com/v2/app/bull-search/view/77858476","DMU")</f>
        <v>DMU</v>
      </c>
      <c r="B2364" t="s">
        <v>8205</v>
      </c>
      <c r="C2364" t="s">
        <v>8206</v>
      </c>
      <c r="D2364" s="1">
        <v>33533</v>
      </c>
      <c r="E2364" t="s">
        <v>92</v>
      </c>
      <c r="F2364">
        <v>100</v>
      </c>
      <c r="G2364" t="s">
        <v>93</v>
      </c>
      <c r="H2364">
        <v>44.43</v>
      </c>
      <c r="I2364">
        <v>94</v>
      </c>
      <c r="J2364">
        <v>56.35</v>
      </c>
      <c r="K2364">
        <v>99</v>
      </c>
      <c r="L2364">
        <v>-18.7</v>
      </c>
      <c r="M2364">
        <v>92</v>
      </c>
      <c r="N2364">
        <v>20.100000000000001</v>
      </c>
      <c r="O2364">
        <v>88</v>
      </c>
      <c r="P2364">
        <v>-7.96</v>
      </c>
      <c r="Q2364">
        <v>96</v>
      </c>
      <c r="R2364">
        <v>-6.7</v>
      </c>
      <c r="S2364">
        <v>88</v>
      </c>
      <c r="T2364">
        <v>12.86</v>
      </c>
      <c r="U2364">
        <v>92</v>
      </c>
      <c r="V2364">
        <v>-11.52</v>
      </c>
      <c r="W2364">
        <v>82</v>
      </c>
      <c r="X2364" t="s">
        <v>558</v>
      </c>
      <c r="Y2364" t="s">
        <v>95</v>
      </c>
      <c r="Z2364" t="s">
        <v>96</v>
      </c>
      <c r="AA2364" t="s">
        <v>193</v>
      </c>
      <c r="AB2364" t="s">
        <v>8207</v>
      </c>
      <c r="AC2364">
        <v>326</v>
      </c>
      <c r="AD2364">
        <v>137</v>
      </c>
      <c r="AE2364">
        <v>99</v>
      </c>
      <c r="AF2364">
        <v>85.05</v>
      </c>
      <c r="AG2364">
        <v>15.9</v>
      </c>
      <c r="AH2364">
        <v>5.26</v>
      </c>
      <c r="AI2364">
        <v>0.22</v>
      </c>
      <c r="AJ2364">
        <v>0.04</v>
      </c>
      <c r="AK2364">
        <v>92</v>
      </c>
      <c r="AL2364">
        <v>404</v>
      </c>
      <c r="AM2364">
        <v>167</v>
      </c>
      <c r="AN2364">
        <v>1.1200000000000001</v>
      </c>
      <c r="AO2364">
        <v>-0.37</v>
      </c>
      <c r="AP2364">
        <v>15</v>
      </c>
      <c r="AQ2364">
        <v>0</v>
      </c>
      <c r="AR2364">
        <v>5.29</v>
      </c>
      <c r="AS2364">
        <v>76</v>
      </c>
      <c r="AT2364">
        <v>1.9</v>
      </c>
      <c r="AU2364">
        <v>89</v>
      </c>
      <c r="AV2364">
        <v>-1</v>
      </c>
      <c r="AW2364">
        <v>92</v>
      </c>
      <c r="AX2364">
        <v>-0.54</v>
      </c>
      <c r="AY2364">
        <v>93</v>
      </c>
      <c r="AZ2364">
        <v>7.14</v>
      </c>
      <c r="BA2364">
        <v>73</v>
      </c>
      <c r="BB2364">
        <v>5.51</v>
      </c>
      <c r="BC2364">
        <v>85</v>
      </c>
      <c r="BD2364">
        <v>0.03</v>
      </c>
      <c r="BE2364">
        <v>0.06</v>
      </c>
      <c r="BF2364">
        <v>-0.01</v>
      </c>
      <c r="BG2364">
        <v>96</v>
      </c>
      <c r="BH2364">
        <v>-0.14000000000000001</v>
      </c>
      <c r="BI2364">
        <v>20.98</v>
      </c>
      <c r="BJ2364">
        <v>2</v>
      </c>
      <c r="BK2364">
        <v>2</v>
      </c>
      <c r="BL2364">
        <v>-0.27</v>
      </c>
      <c r="BM2364">
        <v>-1.1399999999999999</v>
      </c>
      <c r="BN2364">
        <v>-0.66</v>
      </c>
      <c r="BO2364">
        <v>-0.13</v>
      </c>
      <c r="BP2364">
        <v>-1.47</v>
      </c>
      <c r="BQ2364">
        <v>-2.08</v>
      </c>
      <c r="BR2364">
        <v>-0.28999999999999998</v>
      </c>
      <c r="BS2364">
        <v>-1.9</v>
      </c>
      <c r="BT2364">
        <v>0.12</v>
      </c>
      <c r="BU2364">
        <v>0.1</v>
      </c>
      <c r="BV2364">
        <v>-0.25</v>
      </c>
      <c r="BW2364">
        <v>-0.56000000000000005</v>
      </c>
      <c r="BX2364">
        <v>0.01</v>
      </c>
      <c r="BY2364">
        <v>-2.42</v>
      </c>
      <c r="BZ2364">
        <v>1.75</v>
      </c>
      <c r="CA2364">
        <v>-1</v>
      </c>
      <c r="CB2364">
        <v>-0.54</v>
      </c>
      <c r="CC2364">
        <v>-1.27</v>
      </c>
      <c r="CD2364">
        <v>-0.49</v>
      </c>
      <c r="CE2364">
        <v>0.52</v>
      </c>
      <c r="CF2364">
        <v>-0.13</v>
      </c>
      <c r="CG2364">
        <v>0</v>
      </c>
      <c r="CH2364">
        <v>-2.14</v>
      </c>
      <c r="CI2364">
        <v>0</v>
      </c>
      <c r="CJ2364">
        <v>-1.3</v>
      </c>
      <c r="CK2364">
        <v>96</v>
      </c>
      <c r="CL2364">
        <v>-0.64</v>
      </c>
      <c r="CM2364">
        <v>95</v>
      </c>
      <c r="CN2364">
        <v>-0.14000000000000001</v>
      </c>
      <c r="CO2364">
        <v>95</v>
      </c>
      <c r="CP2364">
        <v>-8</v>
      </c>
      <c r="CQ2364">
        <v>97</v>
      </c>
      <c r="CR2364">
        <v>0</v>
      </c>
      <c r="CS2364">
        <v>0</v>
      </c>
      <c r="CT2364">
        <v>-3.6</v>
      </c>
      <c r="CU2364">
        <v>92</v>
      </c>
      <c r="CV2364">
        <v>0.21</v>
      </c>
      <c r="CW2364">
        <v>46</v>
      </c>
      <c r="CX2364" t="s">
        <v>267</v>
      </c>
    </row>
    <row r="2365" spans="1:102" x14ac:dyDescent="0.3">
      <c r="A2365" t="str">
        <f>HYPERLINK("https://webapp.icbf.com/v2/app/bull-search/view/177962334","PNE")</f>
        <v>PNE</v>
      </c>
      <c r="B2365" t="s">
        <v>11568</v>
      </c>
      <c r="C2365" t="s">
        <v>11569</v>
      </c>
      <c r="D2365" s="1">
        <v>36520</v>
      </c>
      <c r="E2365" t="s">
        <v>140</v>
      </c>
      <c r="F2365">
        <v>0</v>
      </c>
      <c r="G2365" t="s">
        <v>93</v>
      </c>
      <c r="H2365">
        <v>44.19</v>
      </c>
      <c r="I2365">
        <v>65</v>
      </c>
      <c r="J2365">
        <v>-14.7</v>
      </c>
      <c r="K2365">
        <v>82</v>
      </c>
      <c r="L2365">
        <v>37.6</v>
      </c>
      <c r="M2365">
        <v>45</v>
      </c>
      <c r="N2365">
        <v>-1.88</v>
      </c>
      <c r="O2365">
        <v>51</v>
      </c>
      <c r="P2365">
        <v>22.6</v>
      </c>
      <c r="Q2365">
        <v>92</v>
      </c>
      <c r="R2365">
        <v>10.51</v>
      </c>
      <c r="S2365">
        <v>44</v>
      </c>
      <c r="T2365">
        <v>0.43</v>
      </c>
      <c r="U2365">
        <v>84</v>
      </c>
      <c r="V2365">
        <v>-10.37</v>
      </c>
      <c r="W2365">
        <v>56</v>
      </c>
      <c r="X2365" t="s">
        <v>94</v>
      </c>
      <c r="Y2365" t="s">
        <v>1128</v>
      </c>
      <c r="Z2365">
        <v>0</v>
      </c>
      <c r="AA2365" t="s">
        <v>9633</v>
      </c>
      <c r="AB2365" t="s">
        <v>11570</v>
      </c>
      <c r="AC2365">
        <v>21</v>
      </c>
      <c r="AD2365">
        <v>12</v>
      </c>
      <c r="AE2365">
        <v>82</v>
      </c>
      <c r="AF2365">
        <v>-218.5</v>
      </c>
      <c r="AG2365">
        <v>-6.91</v>
      </c>
      <c r="AH2365">
        <v>-3.4</v>
      </c>
      <c r="AI2365">
        <v>0.03</v>
      </c>
      <c r="AJ2365">
        <v>7.0000000000000007E-2</v>
      </c>
      <c r="AK2365">
        <v>45</v>
      </c>
      <c r="AL2365">
        <v>39</v>
      </c>
      <c r="AM2365">
        <v>25</v>
      </c>
      <c r="AN2365">
        <v>-2.74</v>
      </c>
      <c r="AO2365">
        <v>0.25</v>
      </c>
      <c r="AP2365">
        <v>27</v>
      </c>
      <c r="AQ2365">
        <v>9</v>
      </c>
      <c r="AR2365">
        <v>6.11</v>
      </c>
      <c r="AS2365">
        <v>22</v>
      </c>
      <c r="AT2365">
        <v>3.72</v>
      </c>
      <c r="AU2365">
        <v>50</v>
      </c>
      <c r="AV2365">
        <v>1.43</v>
      </c>
      <c r="AW2365">
        <v>60</v>
      </c>
      <c r="AX2365">
        <v>-0.8</v>
      </c>
      <c r="AY2365">
        <v>73</v>
      </c>
      <c r="AZ2365">
        <v>4.2300000000000004</v>
      </c>
      <c r="BA2365">
        <v>22</v>
      </c>
      <c r="BB2365">
        <v>3.67</v>
      </c>
      <c r="BC2365">
        <v>35</v>
      </c>
      <c r="BD2365">
        <v>-0.01</v>
      </c>
      <c r="BE2365">
        <v>-0.05</v>
      </c>
      <c r="BF2365">
        <v>-0.13</v>
      </c>
      <c r="BG2365">
        <v>50</v>
      </c>
      <c r="BH2365">
        <v>-0.2</v>
      </c>
      <c r="BI2365">
        <v>10.33</v>
      </c>
      <c r="BJ2365">
        <v>1</v>
      </c>
      <c r="BK2365">
        <v>1</v>
      </c>
      <c r="BL2365">
        <v>-1.07</v>
      </c>
      <c r="BM2365">
        <v>3.77</v>
      </c>
      <c r="BN2365">
        <v>-1.63</v>
      </c>
      <c r="BO2365">
        <v>-3.17</v>
      </c>
      <c r="BP2365">
        <v>3.98</v>
      </c>
      <c r="BQ2365">
        <v>-2.14</v>
      </c>
      <c r="BR2365">
        <v>-2.16</v>
      </c>
      <c r="BS2365">
        <v>-0.46</v>
      </c>
      <c r="BT2365">
        <v>1.56</v>
      </c>
      <c r="BU2365">
        <v>-3.27</v>
      </c>
      <c r="BV2365">
        <v>-4.05</v>
      </c>
      <c r="BW2365">
        <v>-3.09</v>
      </c>
      <c r="BX2365">
        <v>-2.52</v>
      </c>
      <c r="BY2365">
        <v>-1.46</v>
      </c>
      <c r="BZ2365">
        <v>1.54</v>
      </c>
      <c r="CA2365">
        <v>-2.82</v>
      </c>
      <c r="CB2365">
        <v>-3.31</v>
      </c>
      <c r="CC2365">
        <v>-0.96</v>
      </c>
      <c r="CD2365">
        <v>4.1100000000000003</v>
      </c>
      <c r="CE2365">
        <v>-3.56</v>
      </c>
      <c r="CF2365">
        <v>-1.21</v>
      </c>
      <c r="CG2365">
        <v>0</v>
      </c>
      <c r="CH2365">
        <v>-2.65</v>
      </c>
      <c r="CI2365">
        <v>0</v>
      </c>
      <c r="CJ2365">
        <v>10.4</v>
      </c>
      <c r="CK2365">
        <v>94</v>
      </c>
      <c r="CL2365">
        <v>0.24</v>
      </c>
      <c r="CM2365">
        <v>92</v>
      </c>
      <c r="CN2365">
        <v>-0.41</v>
      </c>
      <c r="CO2365">
        <v>91</v>
      </c>
      <c r="CP2365">
        <v>6.5</v>
      </c>
      <c r="CQ2365">
        <v>82</v>
      </c>
      <c r="CR2365">
        <v>0</v>
      </c>
      <c r="CS2365">
        <v>0</v>
      </c>
      <c r="CT2365">
        <v>13.2</v>
      </c>
      <c r="CU2365">
        <v>84</v>
      </c>
      <c r="CV2365">
        <v>-0.01</v>
      </c>
      <c r="CW2365">
        <v>27</v>
      </c>
      <c r="CX2365" t="s">
        <v>1179</v>
      </c>
    </row>
    <row r="2366" spans="1:102" x14ac:dyDescent="0.3">
      <c r="A2366" t="str">
        <f>HYPERLINK("https://webapp.icbf.com/v2/app/bull-search/view/69091942","ILZ")</f>
        <v>ILZ</v>
      </c>
      <c r="B2366" t="s">
        <v>2461</v>
      </c>
      <c r="C2366" t="s">
        <v>2462</v>
      </c>
      <c r="D2366" s="1">
        <v>34204</v>
      </c>
      <c r="E2366" t="s">
        <v>140</v>
      </c>
      <c r="F2366">
        <v>0</v>
      </c>
      <c r="G2366" t="s">
        <v>93</v>
      </c>
      <c r="H2366">
        <v>44.12</v>
      </c>
      <c r="I2366">
        <v>96</v>
      </c>
      <c r="J2366">
        <v>-27.28</v>
      </c>
      <c r="K2366">
        <v>99</v>
      </c>
      <c r="L2366">
        <v>70.540000000000006</v>
      </c>
      <c r="M2366">
        <v>93</v>
      </c>
      <c r="N2366">
        <v>-15.76</v>
      </c>
      <c r="O2366">
        <v>97</v>
      </c>
      <c r="P2366">
        <v>21.21</v>
      </c>
      <c r="Q2366">
        <v>99</v>
      </c>
      <c r="R2366">
        <v>6.1</v>
      </c>
      <c r="S2366">
        <v>95</v>
      </c>
      <c r="T2366">
        <v>0.28000000000000003</v>
      </c>
      <c r="U2366">
        <v>98</v>
      </c>
      <c r="V2366">
        <v>-10.97</v>
      </c>
      <c r="W2366">
        <v>96</v>
      </c>
      <c r="X2366" t="s">
        <v>102</v>
      </c>
      <c r="Y2366" t="s">
        <v>95</v>
      </c>
      <c r="Z2366">
        <v>0</v>
      </c>
      <c r="AA2366" t="s">
        <v>224</v>
      </c>
      <c r="AB2366" t="s">
        <v>2463</v>
      </c>
      <c r="AC2366">
        <v>656</v>
      </c>
      <c r="AD2366">
        <v>256</v>
      </c>
      <c r="AE2366">
        <v>99</v>
      </c>
      <c r="AF2366">
        <v>-51.02</v>
      </c>
      <c r="AG2366">
        <v>-6.08</v>
      </c>
      <c r="AH2366">
        <v>-3.27</v>
      </c>
      <c r="AI2366">
        <v>-7.0000000000000007E-2</v>
      </c>
      <c r="AJ2366">
        <v>-0.03</v>
      </c>
      <c r="AK2366">
        <v>93</v>
      </c>
      <c r="AL2366">
        <v>803</v>
      </c>
      <c r="AM2366">
        <v>335</v>
      </c>
      <c r="AN2366">
        <v>-3.51</v>
      </c>
      <c r="AO2366">
        <v>2.12</v>
      </c>
      <c r="AP2366">
        <v>1036</v>
      </c>
      <c r="AQ2366">
        <v>19</v>
      </c>
      <c r="AR2366">
        <v>7.34</v>
      </c>
      <c r="AS2366">
        <v>92</v>
      </c>
      <c r="AT2366">
        <v>3.93</v>
      </c>
      <c r="AU2366">
        <v>97</v>
      </c>
      <c r="AV2366">
        <v>2.1800000000000002</v>
      </c>
      <c r="AW2366">
        <v>99</v>
      </c>
      <c r="AX2366">
        <v>-0.28999999999999998</v>
      </c>
      <c r="AY2366">
        <v>97</v>
      </c>
      <c r="AZ2366">
        <v>4.46</v>
      </c>
      <c r="BA2366">
        <v>90</v>
      </c>
      <c r="BB2366">
        <v>3.93</v>
      </c>
      <c r="BC2366">
        <v>94</v>
      </c>
      <c r="BD2366">
        <v>-0.05</v>
      </c>
      <c r="BE2366">
        <v>-0.03</v>
      </c>
      <c r="BF2366">
        <v>0</v>
      </c>
      <c r="BG2366">
        <v>98</v>
      </c>
      <c r="BH2366">
        <v>-0.04</v>
      </c>
      <c r="BI2366">
        <v>30.77</v>
      </c>
      <c r="BJ2366">
        <v>3</v>
      </c>
      <c r="BK2366">
        <v>3</v>
      </c>
      <c r="BL2366">
        <v>-1.23</v>
      </c>
      <c r="BM2366">
        <v>4.51</v>
      </c>
      <c r="BN2366">
        <v>-2.29</v>
      </c>
      <c r="BO2366">
        <v>-4.1900000000000004</v>
      </c>
      <c r="BP2366">
        <v>5.33</v>
      </c>
      <c r="BQ2366">
        <v>-2.82</v>
      </c>
      <c r="BR2366">
        <v>-2.57</v>
      </c>
      <c r="BS2366">
        <v>0.04</v>
      </c>
      <c r="BT2366">
        <v>2.81</v>
      </c>
      <c r="BU2366">
        <v>-3.89</v>
      </c>
      <c r="BV2366">
        <v>-3.67</v>
      </c>
      <c r="BW2366">
        <v>-2.8</v>
      </c>
      <c r="BX2366">
        <v>-3.9</v>
      </c>
      <c r="BY2366">
        <v>-2.4700000000000002</v>
      </c>
      <c r="BZ2366">
        <v>-0.91</v>
      </c>
      <c r="CA2366">
        <v>-2.4</v>
      </c>
      <c r="CB2366">
        <v>-3.34</v>
      </c>
      <c r="CC2366">
        <v>-0.02</v>
      </c>
      <c r="CD2366">
        <v>5.17</v>
      </c>
      <c r="CE2366">
        <v>-4.34</v>
      </c>
      <c r="CF2366">
        <v>-1.75</v>
      </c>
      <c r="CG2366">
        <v>0</v>
      </c>
      <c r="CH2366">
        <v>-3.75</v>
      </c>
      <c r="CI2366">
        <v>0</v>
      </c>
      <c r="CJ2366">
        <v>11.7</v>
      </c>
      <c r="CK2366">
        <v>99</v>
      </c>
      <c r="CL2366">
        <v>0.45</v>
      </c>
      <c r="CM2366">
        <v>99</v>
      </c>
      <c r="CN2366">
        <v>0.06</v>
      </c>
      <c r="CO2366">
        <v>99</v>
      </c>
      <c r="CP2366">
        <v>7.5</v>
      </c>
      <c r="CQ2366">
        <v>99</v>
      </c>
      <c r="CR2366">
        <v>0</v>
      </c>
      <c r="CS2366">
        <v>0</v>
      </c>
      <c r="CT2366">
        <v>13.4</v>
      </c>
      <c r="CU2366">
        <v>98</v>
      </c>
      <c r="CV2366">
        <v>0.22</v>
      </c>
      <c r="CW2366">
        <v>47</v>
      </c>
      <c r="CX2366" t="s">
        <v>2464</v>
      </c>
    </row>
    <row r="2367" spans="1:102" x14ac:dyDescent="0.3">
      <c r="A2367" t="str">
        <f>HYPERLINK("https://webapp.icbf.com/v2/app/bull-search/view/1102530055","ZGT")</f>
        <v>ZGT</v>
      </c>
      <c r="B2367" t="s">
        <v>14201</v>
      </c>
      <c r="C2367" t="s">
        <v>14202</v>
      </c>
      <c r="D2367" s="1">
        <v>40951</v>
      </c>
      <c r="E2367" t="s">
        <v>92</v>
      </c>
      <c r="F2367">
        <v>100</v>
      </c>
      <c r="G2367" t="s">
        <v>93</v>
      </c>
      <c r="H2367">
        <v>43.99</v>
      </c>
      <c r="I2367">
        <v>87</v>
      </c>
      <c r="J2367">
        <v>50.43</v>
      </c>
      <c r="K2367">
        <v>96</v>
      </c>
      <c r="L2367">
        <v>-38.74</v>
      </c>
      <c r="M2367">
        <v>84</v>
      </c>
      <c r="N2367">
        <v>27.03</v>
      </c>
      <c r="O2367">
        <v>86</v>
      </c>
      <c r="P2367">
        <v>-2.77</v>
      </c>
      <c r="Q2367">
        <v>91</v>
      </c>
      <c r="R2367">
        <v>15.79</v>
      </c>
      <c r="S2367">
        <v>76</v>
      </c>
      <c r="T2367">
        <v>-7.19</v>
      </c>
      <c r="U2367">
        <v>70</v>
      </c>
      <c r="V2367">
        <v>-0.56000000000000005</v>
      </c>
      <c r="W2367">
        <v>67</v>
      </c>
      <c r="X2367" t="s">
        <v>276</v>
      </c>
      <c r="Y2367" t="s">
        <v>375</v>
      </c>
      <c r="Z2367" t="s">
        <v>96</v>
      </c>
      <c r="AA2367" t="s">
        <v>5274</v>
      </c>
      <c r="AB2367" t="s">
        <v>14203</v>
      </c>
      <c r="AC2367">
        <v>113</v>
      </c>
      <c r="AD2367">
        <v>39</v>
      </c>
      <c r="AE2367">
        <v>96</v>
      </c>
      <c r="AF2367">
        <v>252.72</v>
      </c>
      <c r="AG2367">
        <v>10.84</v>
      </c>
      <c r="AH2367">
        <v>8.61</v>
      </c>
      <c r="AI2367">
        <v>0.02</v>
      </c>
      <c r="AJ2367">
        <v>0</v>
      </c>
      <c r="AK2367">
        <v>84</v>
      </c>
      <c r="AL2367">
        <v>54</v>
      </c>
      <c r="AM2367">
        <v>27</v>
      </c>
      <c r="AN2367">
        <v>2.82</v>
      </c>
      <c r="AO2367">
        <v>-0.26</v>
      </c>
      <c r="AP2367">
        <v>353</v>
      </c>
      <c r="AQ2367">
        <v>1</v>
      </c>
      <c r="AR2367">
        <v>6.67</v>
      </c>
      <c r="AS2367">
        <v>87</v>
      </c>
      <c r="AT2367">
        <v>2.44</v>
      </c>
      <c r="AU2367">
        <v>89</v>
      </c>
      <c r="AV2367">
        <v>-2.5</v>
      </c>
      <c r="AW2367">
        <v>96</v>
      </c>
      <c r="AX2367">
        <v>-0.1</v>
      </c>
      <c r="AY2367">
        <v>85</v>
      </c>
      <c r="AZ2367">
        <v>6.52</v>
      </c>
      <c r="BA2367">
        <v>66</v>
      </c>
      <c r="BB2367">
        <v>5.17</v>
      </c>
      <c r="BC2367">
        <v>50</v>
      </c>
      <c r="BD2367">
        <v>-0.03</v>
      </c>
      <c r="BE2367">
        <v>-7.0000000000000007E-2</v>
      </c>
      <c r="BF2367">
        <v>-0.18</v>
      </c>
      <c r="BG2367">
        <v>90</v>
      </c>
      <c r="BH2367">
        <v>-0.17</v>
      </c>
      <c r="BI2367">
        <v>-17.850000000000001</v>
      </c>
      <c r="BJ2367">
        <v>17</v>
      </c>
      <c r="BK2367">
        <v>8</v>
      </c>
      <c r="BL2367">
        <v>1.21</v>
      </c>
      <c r="BM2367">
        <v>0.53</v>
      </c>
      <c r="BN2367">
        <v>0.45</v>
      </c>
      <c r="BO2367">
        <v>0.55000000000000004</v>
      </c>
      <c r="BP2367">
        <v>0.94</v>
      </c>
      <c r="BQ2367">
        <v>2.14</v>
      </c>
      <c r="BR2367">
        <v>-0.01</v>
      </c>
      <c r="BS2367">
        <v>1.38</v>
      </c>
      <c r="BT2367">
        <v>0.24</v>
      </c>
      <c r="BU2367">
        <v>2.91</v>
      </c>
      <c r="BV2367">
        <v>3.6</v>
      </c>
      <c r="BW2367">
        <v>1.74</v>
      </c>
      <c r="BX2367">
        <v>2.35</v>
      </c>
      <c r="BY2367">
        <v>3.11</v>
      </c>
      <c r="BZ2367">
        <v>-2.33</v>
      </c>
      <c r="CA2367">
        <v>2.65</v>
      </c>
      <c r="CB2367">
        <v>2.35</v>
      </c>
      <c r="CC2367">
        <v>1.73</v>
      </c>
      <c r="CD2367">
        <v>-0.08</v>
      </c>
      <c r="CE2367">
        <v>0.63</v>
      </c>
      <c r="CF2367">
        <v>1.52</v>
      </c>
      <c r="CG2367">
        <v>0</v>
      </c>
      <c r="CH2367">
        <v>2.57</v>
      </c>
      <c r="CI2367">
        <v>0</v>
      </c>
      <c r="CJ2367">
        <v>-1.4</v>
      </c>
      <c r="CK2367">
        <v>93</v>
      </c>
      <c r="CL2367">
        <v>-0.97</v>
      </c>
      <c r="CM2367">
        <v>91</v>
      </c>
      <c r="CN2367">
        <v>-0.7</v>
      </c>
      <c r="CO2367">
        <v>90</v>
      </c>
      <c r="CP2367">
        <v>6.5</v>
      </c>
      <c r="CQ2367">
        <v>74</v>
      </c>
      <c r="CR2367">
        <v>0</v>
      </c>
      <c r="CS2367">
        <v>0</v>
      </c>
      <c r="CT2367">
        <v>23.5</v>
      </c>
      <c r="CU2367">
        <v>70</v>
      </c>
      <c r="CV2367">
        <v>0.16</v>
      </c>
      <c r="CW2367">
        <v>45</v>
      </c>
      <c r="CX2367" t="s">
        <v>432</v>
      </c>
    </row>
    <row r="2368" spans="1:102" x14ac:dyDescent="0.3">
      <c r="A2368" t="str">
        <f>HYPERLINK("https://webapp.icbf.com/v2/app/bull-search/view/388953366","VJO")</f>
        <v>VJO</v>
      </c>
      <c r="B2368" t="s">
        <v>4457</v>
      </c>
      <c r="C2368" t="s">
        <v>4458</v>
      </c>
      <c r="D2368" s="1">
        <v>37378</v>
      </c>
      <c r="E2368" t="s">
        <v>108</v>
      </c>
      <c r="F2368">
        <v>0</v>
      </c>
      <c r="G2368" t="s">
        <v>93</v>
      </c>
      <c r="H2368">
        <v>43.89</v>
      </c>
      <c r="I2368">
        <v>97</v>
      </c>
      <c r="J2368">
        <v>-28.59</v>
      </c>
      <c r="K2368">
        <v>99</v>
      </c>
      <c r="L2368">
        <v>40.729999999999997</v>
      </c>
      <c r="M2368">
        <v>94</v>
      </c>
      <c r="N2368">
        <v>28.36</v>
      </c>
      <c r="O2368">
        <v>98</v>
      </c>
      <c r="P2368">
        <v>-19.3</v>
      </c>
      <c r="Q2368">
        <v>99</v>
      </c>
      <c r="R2368">
        <v>-10.58</v>
      </c>
      <c r="S2368">
        <v>96</v>
      </c>
      <c r="T2368">
        <v>28.33</v>
      </c>
      <c r="U2368">
        <v>98</v>
      </c>
      <c r="V2368">
        <v>4.9400000000000004</v>
      </c>
      <c r="W2368">
        <v>97</v>
      </c>
      <c r="X2368" t="s">
        <v>102</v>
      </c>
      <c r="Y2368" t="s">
        <v>1153</v>
      </c>
      <c r="Z2368" t="s">
        <v>96</v>
      </c>
      <c r="AA2368" t="s">
        <v>4459</v>
      </c>
      <c r="AB2368" t="s">
        <v>4460</v>
      </c>
      <c r="AC2368">
        <v>997</v>
      </c>
      <c r="AD2368">
        <v>339</v>
      </c>
      <c r="AE2368">
        <v>99</v>
      </c>
      <c r="AF2368">
        <v>-350.35</v>
      </c>
      <c r="AG2368">
        <v>-7.22</v>
      </c>
      <c r="AH2368">
        <v>-7.67</v>
      </c>
      <c r="AI2368">
        <v>0.12</v>
      </c>
      <c r="AJ2368">
        <v>0.08</v>
      </c>
      <c r="AK2368">
        <v>94</v>
      </c>
      <c r="AL2368">
        <v>1281</v>
      </c>
      <c r="AM2368">
        <v>477</v>
      </c>
      <c r="AN2368">
        <v>-2.08</v>
      </c>
      <c r="AO2368">
        <v>1.17</v>
      </c>
      <c r="AP2368">
        <v>1782</v>
      </c>
      <c r="AQ2368">
        <v>7</v>
      </c>
      <c r="AR2368">
        <v>6.5</v>
      </c>
      <c r="AS2368">
        <v>97</v>
      </c>
      <c r="AT2368">
        <v>2.44</v>
      </c>
      <c r="AU2368">
        <v>98</v>
      </c>
      <c r="AV2368">
        <v>-2.94</v>
      </c>
      <c r="AW2368">
        <v>99</v>
      </c>
      <c r="AX2368">
        <v>-0.14000000000000001</v>
      </c>
      <c r="AY2368">
        <v>98</v>
      </c>
      <c r="AZ2368">
        <v>6.32</v>
      </c>
      <c r="BA2368">
        <v>94</v>
      </c>
      <c r="BB2368">
        <v>5.73</v>
      </c>
      <c r="BC2368">
        <v>95</v>
      </c>
      <c r="BD2368">
        <v>0.02</v>
      </c>
      <c r="BE2368">
        <v>0</v>
      </c>
      <c r="BF2368">
        <v>0.21</v>
      </c>
      <c r="BG2368">
        <v>98</v>
      </c>
      <c r="BH2368">
        <v>0.19</v>
      </c>
      <c r="BI2368">
        <v>6.05</v>
      </c>
      <c r="BJ2368">
        <v>71</v>
      </c>
      <c r="BK2368">
        <v>41</v>
      </c>
      <c r="BL2368">
        <v>-2.93</v>
      </c>
      <c r="BM2368">
        <v>0.28000000000000003</v>
      </c>
      <c r="BN2368">
        <v>-3.57</v>
      </c>
      <c r="BO2368">
        <v>-3.14</v>
      </c>
      <c r="BP2368">
        <v>-2.19</v>
      </c>
      <c r="BQ2368">
        <v>0.49</v>
      </c>
      <c r="BR2368">
        <v>-2.6</v>
      </c>
      <c r="BS2368">
        <v>0.27</v>
      </c>
      <c r="BT2368">
        <v>0.78</v>
      </c>
      <c r="BU2368">
        <v>-2.5</v>
      </c>
      <c r="BV2368">
        <v>-3.3</v>
      </c>
      <c r="BW2368">
        <v>-2.62</v>
      </c>
      <c r="BX2368">
        <v>-0.61</v>
      </c>
      <c r="BY2368">
        <v>-0.48</v>
      </c>
      <c r="BZ2368">
        <v>-0.1</v>
      </c>
      <c r="CA2368">
        <v>-1.95</v>
      </c>
      <c r="CB2368">
        <v>-2.91</v>
      </c>
      <c r="CC2368">
        <v>0.17</v>
      </c>
      <c r="CD2368">
        <v>1.78</v>
      </c>
      <c r="CE2368">
        <v>-2.9</v>
      </c>
      <c r="CF2368">
        <v>-2.58</v>
      </c>
      <c r="CG2368">
        <v>0</v>
      </c>
      <c r="CH2368">
        <v>-0.65</v>
      </c>
      <c r="CI2368">
        <v>0</v>
      </c>
      <c r="CJ2368">
        <v>-10.3</v>
      </c>
      <c r="CK2368">
        <v>99</v>
      </c>
      <c r="CL2368">
        <v>-0.11</v>
      </c>
      <c r="CM2368">
        <v>99</v>
      </c>
      <c r="CN2368">
        <v>0.12</v>
      </c>
      <c r="CO2368">
        <v>99</v>
      </c>
      <c r="CP2368">
        <v>-17</v>
      </c>
      <c r="CQ2368">
        <v>99</v>
      </c>
      <c r="CR2368">
        <v>0</v>
      </c>
      <c r="CS2368">
        <v>0</v>
      </c>
      <c r="CT2368">
        <v>-24.5</v>
      </c>
      <c r="CU2368">
        <v>98</v>
      </c>
      <c r="CV2368">
        <v>-0.02</v>
      </c>
      <c r="CW2368">
        <v>46</v>
      </c>
      <c r="CX2368" t="s">
        <v>4461</v>
      </c>
    </row>
    <row r="2369" spans="1:102" x14ac:dyDescent="0.3">
      <c r="A2369" t="str">
        <f>HYPERLINK("https://webapp.icbf.com/v2/app/bull-search/view/69091873","HJG")</f>
        <v>HJG</v>
      </c>
      <c r="B2369" t="s">
        <v>10463</v>
      </c>
      <c r="C2369" t="s">
        <v>10464</v>
      </c>
      <c r="D2369" s="1">
        <v>32227</v>
      </c>
      <c r="E2369" t="s">
        <v>227</v>
      </c>
      <c r="F2369">
        <v>0</v>
      </c>
      <c r="G2369" t="s">
        <v>109</v>
      </c>
      <c r="H2369">
        <v>43.77</v>
      </c>
      <c r="I2369">
        <v>64</v>
      </c>
      <c r="J2369">
        <v>-22.3</v>
      </c>
      <c r="K2369">
        <v>82</v>
      </c>
      <c r="L2369">
        <v>32.35</v>
      </c>
      <c r="M2369">
        <v>75</v>
      </c>
      <c r="N2369">
        <v>19.46</v>
      </c>
      <c r="O2369">
        <v>30</v>
      </c>
      <c r="P2369">
        <v>-37.67</v>
      </c>
      <c r="Q2369">
        <v>58</v>
      </c>
      <c r="R2369">
        <v>-9.1</v>
      </c>
      <c r="S2369">
        <v>28</v>
      </c>
      <c r="T2369">
        <v>58.45</v>
      </c>
      <c r="U2369">
        <v>36</v>
      </c>
      <c r="V2369">
        <v>2.58</v>
      </c>
      <c r="W2369">
        <v>21</v>
      </c>
      <c r="X2369" t="s">
        <v>131</v>
      </c>
      <c r="Y2369" t="s">
        <v>95</v>
      </c>
      <c r="Z2369">
        <v>0</v>
      </c>
      <c r="AA2369" t="s">
        <v>10465</v>
      </c>
      <c r="AB2369" t="s">
        <v>10466</v>
      </c>
      <c r="AC2369">
        <v>0</v>
      </c>
      <c r="AD2369">
        <v>0</v>
      </c>
      <c r="AE2369">
        <v>82</v>
      </c>
      <c r="AF2369">
        <v>-542.09</v>
      </c>
      <c r="AG2369">
        <v>-3.25</v>
      </c>
      <c r="AH2369">
        <v>-10.94</v>
      </c>
      <c r="AI2369">
        <v>0.33</v>
      </c>
      <c r="AJ2369">
        <v>0.14000000000000001</v>
      </c>
      <c r="AK2369">
        <v>75</v>
      </c>
      <c r="AL2369">
        <v>0</v>
      </c>
      <c r="AM2369">
        <v>0</v>
      </c>
      <c r="AN2369">
        <v>-0.98</v>
      </c>
      <c r="AO2369">
        <v>1.61</v>
      </c>
      <c r="AP2369">
        <v>11</v>
      </c>
      <c r="AQ2369">
        <v>3</v>
      </c>
      <c r="AR2369">
        <v>2.12</v>
      </c>
      <c r="AS2369">
        <v>25</v>
      </c>
      <c r="AT2369">
        <v>1.4</v>
      </c>
      <c r="AU2369">
        <v>25</v>
      </c>
      <c r="AV2369">
        <v>0.16</v>
      </c>
      <c r="AW2369">
        <v>39</v>
      </c>
      <c r="AX2369">
        <v>0.8</v>
      </c>
      <c r="AY2369">
        <v>37</v>
      </c>
      <c r="AZ2369">
        <v>6.5</v>
      </c>
      <c r="BA2369">
        <v>12</v>
      </c>
      <c r="BB2369">
        <v>4.87</v>
      </c>
      <c r="BC2369">
        <v>15</v>
      </c>
      <c r="BD2369">
        <v>-0.01</v>
      </c>
      <c r="BE2369">
        <v>0.04</v>
      </c>
      <c r="BF2369">
        <v>0.15</v>
      </c>
      <c r="BG2369">
        <v>34</v>
      </c>
      <c r="BH2369">
        <v>0.09</v>
      </c>
      <c r="BI2369">
        <v>2.09</v>
      </c>
      <c r="BJ2369">
        <v>0</v>
      </c>
      <c r="BK2369">
        <v>0</v>
      </c>
      <c r="BL2369">
        <v>-0.56000000000000005</v>
      </c>
      <c r="BM2369">
        <v>-0.87</v>
      </c>
      <c r="BN2369">
        <v>0.96</v>
      </c>
      <c r="BO2369">
        <v>1.8</v>
      </c>
      <c r="BP2369">
        <v>-1.56</v>
      </c>
      <c r="BQ2369">
        <v>-3.9</v>
      </c>
      <c r="BR2369">
        <v>1.7</v>
      </c>
      <c r="BS2369">
        <v>7.4</v>
      </c>
      <c r="BT2369">
        <v>-0.56999999999999995</v>
      </c>
      <c r="BU2369">
        <v>1.24</v>
      </c>
      <c r="BV2369">
        <v>1.1200000000000001</v>
      </c>
      <c r="BW2369">
        <v>-1.22</v>
      </c>
      <c r="BX2369">
        <v>-1.64</v>
      </c>
      <c r="BY2369">
        <v>0.5</v>
      </c>
      <c r="BZ2369">
        <v>0.33</v>
      </c>
      <c r="CA2369">
        <v>2.83</v>
      </c>
      <c r="CB2369">
        <v>1.2</v>
      </c>
      <c r="CC2369">
        <v>4.95</v>
      </c>
      <c r="CD2369">
        <v>-2.11</v>
      </c>
      <c r="CE2369">
        <v>1.94</v>
      </c>
      <c r="CF2369">
        <v>0.15</v>
      </c>
      <c r="CG2369">
        <v>0</v>
      </c>
      <c r="CH2369">
        <v>-0.17</v>
      </c>
      <c r="CI2369">
        <v>0</v>
      </c>
      <c r="CJ2369">
        <v>-20.3</v>
      </c>
      <c r="CK2369">
        <v>62</v>
      </c>
      <c r="CL2369">
        <v>-0.5</v>
      </c>
      <c r="CM2369">
        <v>56</v>
      </c>
      <c r="CN2369">
        <v>-0.21</v>
      </c>
      <c r="CO2369">
        <v>53</v>
      </c>
      <c r="CP2369">
        <v>-46.4</v>
      </c>
      <c r="CQ2369">
        <v>42</v>
      </c>
      <c r="CR2369">
        <v>0</v>
      </c>
      <c r="CS2369">
        <v>0</v>
      </c>
      <c r="CT2369">
        <v>-65.2</v>
      </c>
      <c r="CU2369">
        <v>36</v>
      </c>
      <c r="CV2369">
        <v>-0.35</v>
      </c>
      <c r="CW2369">
        <v>16</v>
      </c>
      <c r="CX2369" t="s">
        <v>10467</v>
      </c>
    </row>
    <row r="2370" spans="1:102" x14ac:dyDescent="0.3">
      <c r="A2370" t="str">
        <f>HYPERLINK("https://webapp.icbf.com/v2/app/bull-search/view/82543949","DEV")</f>
        <v>DEV</v>
      </c>
      <c r="B2370" t="s">
        <v>946</v>
      </c>
      <c r="C2370" t="s">
        <v>947</v>
      </c>
      <c r="D2370" s="1">
        <v>32436</v>
      </c>
      <c r="E2370" t="s">
        <v>92</v>
      </c>
      <c r="F2370">
        <v>100</v>
      </c>
      <c r="G2370" t="s">
        <v>93</v>
      </c>
      <c r="H2370">
        <v>43.75</v>
      </c>
      <c r="I2370">
        <v>93</v>
      </c>
      <c r="J2370">
        <v>36.909999999999997</v>
      </c>
      <c r="K2370">
        <v>99</v>
      </c>
      <c r="L2370">
        <v>-10.58</v>
      </c>
      <c r="M2370">
        <v>88</v>
      </c>
      <c r="N2370">
        <v>23.18</v>
      </c>
      <c r="O2370">
        <v>91</v>
      </c>
      <c r="P2370">
        <v>-9.3800000000000008</v>
      </c>
      <c r="Q2370">
        <v>97</v>
      </c>
      <c r="R2370">
        <v>-2.04</v>
      </c>
      <c r="S2370">
        <v>86</v>
      </c>
      <c r="T2370">
        <v>6.35</v>
      </c>
      <c r="U2370">
        <v>96</v>
      </c>
      <c r="V2370">
        <v>-0.69</v>
      </c>
      <c r="W2370">
        <v>84</v>
      </c>
      <c r="X2370" t="s">
        <v>558</v>
      </c>
      <c r="Y2370" t="s">
        <v>95</v>
      </c>
      <c r="Z2370" t="s">
        <v>96</v>
      </c>
      <c r="AA2370" t="s">
        <v>166</v>
      </c>
      <c r="AB2370" t="s">
        <v>735</v>
      </c>
      <c r="AC2370">
        <v>321</v>
      </c>
      <c r="AD2370">
        <v>178</v>
      </c>
      <c r="AE2370">
        <v>99</v>
      </c>
      <c r="AF2370">
        <v>136.4</v>
      </c>
      <c r="AG2370">
        <v>8.61</v>
      </c>
      <c r="AH2370">
        <v>5.32</v>
      </c>
      <c r="AI2370">
        <v>0.05</v>
      </c>
      <c r="AJ2370">
        <v>0.01</v>
      </c>
      <c r="AK2370">
        <v>88</v>
      </c>
      <c r="AL2370">
        <v>413</v>
      </c>
      <c r="AM2370">
        <v>224</v>
      </c>
      <c r="AN2370">
        <v>1.65</v>
      </c>
      <c r="AO2370">
        <v>0.82</v>
      </c>
      <c r="AP2370">
        <v>227</v>
      </c>
      <c r="AQ2370">
        <v>3</v>
      </c>
      <c r="AR2370">
        <v>6.85</v>
      </c>
      <c r="AS2370">
        <v>72</v>
      </c>
      <c r="AT2370">
        <v>3.43</v>
      </c>
      <c r="AU2370">
        <v>91</v>
      </c>
      <c r="AV2370">
        <v>-2.2799999999999998</v>
      </c>
      <c r="AW2370">
        <v>97</v>
      </c>
      <c r="AX2370">
        <v>-0.6</v>
      </c>
      <c r="AY2370">
        <v>93</v>
      </c>
      <c r="AZ2370">
        <v>5.33</v>
      </c>
      <c r="BA2370">
        <v>73</v>
      </c>
      <c r="BB2370">
        <v>4.42</v>
      </c>
      <c r="BC2370">
        <v>83</v>
      </c>
      <c r="BD2370">
        <v>0</v>
      </c>
      <c r="BE2370">
        <v>0.03</v>
      </c>
      <c r="BF2370">
        <v>-0.01</v>
      </c>
      <c r="BG2370">
        <v>95</v>
      </c>
      <c r="BH2370">
        <v>0.04</v>
      </c>
      <c r="BI2370">
        <v>6.84</v>
      </c>
      <c r="BJ2370">
        <v>34</v>
      </c>
      <c r="BK2370">
        <v>20</v>
      </c>
      <c r="BL2370">
        <v>-0.71</v>
      </c>
      <c r="BM2370">
        <v>-0.8</v>
      </c>
      <c r="BN2370">
        <v>-1.93</v>
      </c>
      <c r="BO2370">
        <v>-0.64</v>
      </c>
      <c r="BP2370">
        <v>0.48</v>
      </c>
      <c r="BQ2370">
        <v>-0.88</v>
      </c>
      <c r="BR2370">
        <v>-0.14000000000000001</v>
      </c>
      <c r="BS2370">
        <v>-1</v>
      </c>
      <c r="BT2370">
        <v>-0.96</v>
      </c>
      <c r="BU2370">
        <v>0.11</v>
      </c>
      <c r="BV2370">
        <v>0.5</v>
      </c>
      <c r="BW2370">
        <v>0.48</v>
      </c>
      <c r="BX2370">
        <v>0.47</v>
      </c>
      <c r="BY2370">
        <v>-0.47</v>
      </c>
      <c r="BZ2370">
        <v>0.08</v>
      </c>
      <c r="CA2370">
        <v>0.15</v>
      </c>
      <c r="CB2370">
        <v>0.49</v>
      </c>
      <c r="CC2370">
        <v>-0.86</v>
      </c>
      <c r="CD2370">
        <v>0.18</v>
      </c>
      <c r="CE2370">
        <v>-0.06</v>
      </c>
      <c r="CF2370">
        <v>-0.89</v>
      </c>
      <c r="CG2370">
        <v>0</v>
      </c>
      <c r="CH2370">
        <v>1.46</v>
      </c>
      <c r="CI2370">
        <v>0</v>
      </c>
      <c r="CJ2370">
        <v>-2.7</v>
      </c>
      <c r="CK2370">
        <v>97</v>
      </c>
      <c r="CL2370">
        <v>-0.65</v>
      </c>
      <c r="CM2370">
        <v>97</v>
      </c>
      <c r="CN2370">
        <v>-0.15</v>
      </c>
      <c r="CO2370">
        <v>96</v>
      </c>
      <c r="CP2370">
        <v>-4.7</v>
      </c>
      <c r="CQ2370">
        <v>97</v>
      </c>
      <c r="CR2370">
        <v>0</v>
      </c>
      <c r="CS2370">
        <v>0</v>
      </c>
      <c r="CT2370">
        <v>5.2</v>
      </c>
      <c r="CU2370">
        <v>96</v>
      </c>
      <c r="CV2370">
        <v>0.17</v>
      </c>
      <c r="CW2370">
        <v>29</v>
      </c>
      <c r="CX2370" t="s">
        <v>707</v>
      </c>
    </row>
    <row r="2371" spans="1:102" x14ac:dyDescent="0.3">
      <c r="A2371" t="str">
        <f>HYPERLINK("https://webapp.icbf.com/v2/app/bull-search/view/300484623","BBJ")</f>
        <v>BBJ</v>
      </c>
      <c r="B2371" t="s">
        <v>14471</v>
      </c>
      <c r="C2371" t="s">
        <v>13288</v>
      </c>
      <c r="D2371" s="1">
        <v>35769</v>
      </c>
      <c r="E2371" t="s">
        <v>92</v>
      </c>
      <c r="F2371">
        <v>100</v>
      </c>
      <c r="G2371" t="s">
        <v>93</v>
      </c>
      <c r="H2371">
        <v>43.53</v>
      </c>
      <c r="I2371">
        <v>97</v>
      </c>
      <c r="J2371">
        <v>42.79</v>
      </c>
      <c r="K2371">
        <v>99</v>
      </c>
      <c r="L2371">
        <v>-16.78</v>
      </c>
      <c r="M2371">
        <v>95</v>
      </c>
      <c r="N2371">
        <v>16.489999999999998</v>
      </c>
      <c r="O2371">
        <v>98</v>
      </c>
      <c r="P2371">
        <v>-4.9400000000000004</v>
      </c>
      <c r="Q2371">
        <v>99</v>
      </c>
      <c r="R2371">
        <v>2.61</v>
      </c>
      <c r="S2371">
        <v>97</v>
      </c>
      <c r="T2371">
        <v>11.9</v>
      </c>
      <c r="U2371">
        <v>99</v>
      </c>
      <c r="V2371">
        <v>-8.5399999999999991</v>
      </c>
      <c r="W2371">
        <v>98</v>
      </c>
      <c r="X2371" t="s">
        <v>94</v>
      </c>
      <c r="Y2371" t="s">
        <v>95</v>
      </c>
      <c r="Z2371" t="s">
        <v>96</v>
      </c>
      <c r="AA2371" t="s">
        <v>3346</v>
      </c>
      <c r="AB2371" t="s">
        <v>14472</v>
      </c>
      <c r="AC2371">
        <v>2046</v>
      </c>
      <c r="AD2371">
        <v>528</v>
      </c>
      <c r="AE2371">
        <v>99</v>
      </c>
      <c r="AF2371">
        <v>236.7</v>
      </c>
      <c r="AG2371">
        <v>4.41</v>
      </c>
      <c r="AH2371">
        <v>9.34</v>
      </c>
      <c r="AI2371">
        <v>-0.08</v>
      </c>
      <c r="AJ2371">
        <v>0.02</v>
      </c>
      <c r="AK2371">
        <v>95</v>
      </c>
      <c r="AL2371">
        <v>2067</v>
      </c>
      <c r="AM2371">
        <v>623</v>
      </c>
      <c r="AN2371">
        <v>0.8</v>
      </c>
      <c r="AO2371">
        <v>-0.54</v>
      </c>
      <c r="AP2371">
        <v>3723</v>
      </c>
      <c r="AQ2371">
        <v>11</v>
      </c>
      <c r="AR2371">
        <v>7.16</v>
      </c>
      <c r="AS2371">
        <v>99</v>
      </c>
      <c r="AT2371">
        <v>2.83</v>
      </c>
      <c r="AU2371">
        <v>99</v>
      </c>
      <c r="AV2371">
        <v>-2.0699999999999998</v>
      </c>
      <c r="AW2371">
        <v>99</v>
      </c>
      <c r="AX2371">
        <v>0.28999999999999998</v>
      </c>
      <c r="AY2371">
        <v>99</v>
      </c>
      <c r="AZ2371">
        <v>7.54</v>
      </c>
      <c r="BA2371">
        <v>96</v>
      </c>
      <c r="BB2371">
        <v>5.21</v>
      </c>
      <c r="BC2371">
        <v>96</v>
      </c>
      <c r="BD2371">
        <v>-0.03</v>
      </c>
      <c r="BE2371">
        <v>0</v>
      </c>
      <c r="BF2371">
        <v>-0.01</v>
      </c>
      <c r="BG2371">
        <v>99</v>
      </c>
      <c r="BH2371">
        <v>-0.15</v>
      </c>
      <c r="BI2371">
        <v>10.19</v>
      </c>
      <c r="BJ2371">
        <v>372</v>
      </c>
      <c r="BK2371">
        <v>105</v>
      </c>
      <c r="BL2371">
        <v>0.4</v>
      </c>
      <c r="BM2371">
        <v>-1.95</v>
      </c>
      <c r="BN2371">
        <v>-0.85</v>
      </c>
      <c r="BO2371">
        <v>0.88</v>
      </c>
      <c r="BP2371">
        <v>1.3</v>
      </c>
      <c r="BQ2371">
        <v>-1.41</v>
      </c>
      <c r="BR2371">
        <v>-0.76</v>
      </c>
      <c r="BS2371">
        <v>1.1399999999999999</v>
      </c>
      <c r="BT2371">
        <v>1.69</v>
      </c>
      <c r="BU2371">
        <v>0.56999999999999995</v>
      </c>
      <c r="BV2371">
        <v>1.37</v>
      </c>
      <c r="BW2371">
        <v>1.66</v>
      </c>
      <c r="BX2371">
        <v>-0.31</v>
      </c>
      <c r="BY2371">
        <v>0.54</v>
      </c>
      <c r="BZ2371">
        <v>1.74</v>
      </c>
      <c r="CA2371">
        <v>1.1200000000000001</v>
      </c>
      <c r="CB2371">
        <v>0.89</v>
      </c>
      <c r="CC2371">
        <v>1.03</v>
      </c>
      <c r="CD2371">
        <v>-1.4</v>
      </c>
      <c r="CE2371">
        <v>1.01</v>
      </c>
      <c r="CF2371">
        <v>-0.54</v>
      </c>
      <c r="CG2371">
        <v>0</v>
      </c>
      <c r="CH2371">
        <v>0.51</v>
      </c>
      <c r="CI2371">
        <v>0</v>
      </c>
      <c r="CJ2371">
        <v>0.2</v>
      </c>
      <c r="CK2371">
        <v>99</v>
      </c>
      <c r="CL2371">
        <v>-0.79</v>
      </c>
      <c r="CM2371">
        <v>99</v>
      </c>
      <c r="CN2371">
        <v>-0.33</v>
      </c>
      <c r="CO2371">
        <v>99</v>
      </c>
      <c r="CP2371">
        <v>-6.2</v>
      </c>
      <c r="CQ2371">
        <v>99</v>
      </c>
      <c r="CR2371">
        <v>0</v>
      </c>
      <c r="CS2371">
        <v>0</v>
      </c>
      <c r="CT2371">
        <v>-2.2999999999999998</v>
      </c>
      <c r="CU2371">
        <v>99</v>
      </c>
      <c r="CV2371">
        <v>0.26</v>
      </c>
      <c r="CW2371">
        <v>47</v>
      </c>
      <c r="CX2371" t="s">
        <v>678</v>
      </c>
    </row>
    <row r="2372" spans="1:102" x14ac:dyDescent="0.3">
      <c r="A2372" t="str">
        <f>HYPERLINK("https://webapp.icbf.com/v2/app/bull-search/view/586046391","MNB")</f>
        <v>MNB</v>
      </c>
      <c r="B2372" t="s">
        <v>15428</v>
      </c>
      <c r="C2372" t="s">
        <v>15429</v>
      </c>
      <c r="D2372" s="1">
        <v>38208</v>
      </c>
      <c r="E2372" t="s">
        <v>92</v>
      </c>
      <c r="F2372">
        <v>100</v>
      </c>
      <c r="G2372" t="s">
        <v>93</v>
      </c>
      <c r="H2372">
        <v>43.51</v>
      </c>
      <c r="I2372">
        <v>90</v>
      </c>
      <c r="J2372">
        <v>70.66</v>
      </c>
      <c r="K2372">
        <v>97</v>
      </c>
      <c r="L2372">
        <v>-71.52</v>
      </c>
      <c r="M2372">
        <v>90</v>
      </c>
      <c r="N2372">
        <v>43.2</v>
      </c>
      <c r="O2372">
        <v>86</v>
      </c>
      <c r="P2372">
        <v>-0.8</v>
      </c>
      <c r="Q2372">
        <v>92</v>
      </c>
      <c r="R2372">
        <v>6.25</v>
      </c>
      <c r="S2372">
        <v>83</v>
      </c>
      <c r="T2372">
        <v>-2.75</v>
      </c>
      <c r="U2372">
        <v>77</v>
      </c>
      <c r="V2372">
        <v>-1.53</v>
      </c>
      <c r="W2372">
        <v>75</v>
      </c>
      <c r="X2372" t="s">
        <v>276</v>
      </c>
      <c r="Y2372" t="s">
        <v>235</v>
      </c>
      <c r="Z2372" t="s">
        <v>96</v>
      </c>
      <c r="AA2372" t="s">
        <v>316</v>
      </c>
      <c r="AB2372" t="s">
        <v>15430</v>
      </c>
      <c r="AC2372">
        <v>81</v>
      </c>
      <c r="AD2372">
        <v>36</v>
      </c>
      <c r="AE2372">
        <v>97</v>
      </c>
      <c r="AF2372">
        <v>338.74</v>
      </c>
      <c r="AG2372">
        <v>12.05</v>
      </c>
      <c r="AH2372">
        <v>12.94</v>
      </c>
      <c r="AI2372">
        <v>-0.02</v>
      </c>
      <c r="AJ2372">
        <v>0.02</v>
      </c>
      <c r="AK2372">
        <v>90</v>
      </c>
      <c r="AL2372">
        <v>80</v>
      </c>
      <c r="AM2372">
        <v>40</v>
      </c>
      <c r="AN2372">
        <v>4.1500000000000004</v>
      </c>
      <c r="AO2372">
        <v>-1.55</v>
      </c>
      <c r="AP2372">
        <v>167</v>
      </c>
      <c r="AQ2372">
        <v>2</v>
      </c>
      <c r="AR2372">
        <v>4.6500000000000004</v>
      </c>
      <c r="AS2372">
        <v>81</v>
      </c>
      <c r="AT2372">
        <v>1.72</v>
      </c>
      <c r="AU2372">
        <v>92</v>
      </c>
      <c r="AV2372">
        <v>-3.4</v>
      </c>
      <c r="AW2372">
        <v>93</v>
      </c>
      <c r="AX2372">
        <v>-0.59</v>
      </c>
      <c r="AY2372">
        <v>80</v>
      </c>
      <c r="AZ2372">
        <v>6.86</v>
      </c>
      <c r="BA2372">
        <v>68</v>
      </c>
      <c r="BB2372">
        <v>5.27</v>
      </c>
      <c r="BC2372">
        <v>65</v>
      </c>
      <c r="BD2372">
        <v>-0.04</v>
      </c>
      <c r="BE2372">
        <v>-0.03</v>
      </c>
      <c r="BF2372">
        <v>-0.02</v>
      </c>
      <c r="BG2372">
        <v>93</v>
      </c>
      <c r="BH2372">
        <v>-0.08</v>
      </c>
      <c r="BI2372">
        <v>-4.3099999999999996</v>
      </c>
      <c r="BJ2372">
        <v>12</v>
      </c>
      <c r="BK2372">
        <v>7</v>
      </c>
      <c r="BL2372">
        <v>-0.13</v>
      </c>
      <c r="BM2372">
        <v>-0.81</v>
      </c>
      <c r="BN2372">
        <v>-0.86</v>
      </c>
      <c r="BO2372">
        <v>0.02</v>
      </c>
      <c r="BP2372">
        <v>1.1000000000000001</v>
      </c>
      <c r="BQ2372">
        <v>0.37</v>
      </c>
      <c r="BR2372">
        <v>-0.52</v>
      </c>
      <c r="BS2372">
        <v>0.38</v>
      </c>
      <c r="BT2372">
        <v>0.45</v>
      </c>
      <c r="BU2372">
        <v>0.52</v>
      </c>
      <c r="BV2372">
        <v>1.32</v>
      </c>
      <c r="BW2372">
        <v>0.9</v>
      </c>
      <c r="BX2372">
        <v>0.69</v>
      </c>
      <c r="BY2372">
        <v>2.77</v>
      </c>
      <c r="BZ2372">
        <v>1.64</v>
      </c>
      <c r="CA2372">
        <v>0.81</v>
      </c>
      <c r="CB2372">
        <v>0.89</v>
      </c>
      <c r="CC2372">
        <v>0.59</v>
      </c>
      <c r="CD2372">
        <v>-0.26</v>
      </c>
      <c r="CE2372">
        <v>0.2</v>
      </c>
      <c r="CF2372">
        <v>0.31</v>
      </c>
      <c r="CG2372">
        <v>0</v>
      </c>
      <c r="CH2372">
        <v>2.91</v>
      </c>
      <c r="CI2372">
        <v>0</v>
      </c>
      <c r="CJ2372">
        <v>2.6</v>
      </c>
      <c r="CK2372">
        <v>93</v>
      </c>
      <c r="CL2372">
        <v>-0.73</v>
      </c>
      <c r="CM2372">
        <v>91</v>
      </c>
      <c r="CN2372">
        <v>-0.22</v>
      </c>
      <c r="CO2372">
        <v>90</v>
      </c>
      <c r="CP2372">
        <v>3.8</v>
      </c>
      <c r="CQ2372">
        <v>86</v>
      </c>
      <c r="CR2372">
        <v>0</v>
      </c>
      <c r="CS2372">
        <v>0</v>
      </c>
      <c r="CT2372">
        <v>17.5</v>
      </c>
      <c r="CU2372">
        <v>77</v>
      </c>
      <c r="CV2372">
        <v>0.23</v>
      </c>
      <c r="CW2372">
        <v>47</v>
      </c>
      <c r="CX2372" t="s">
        <v>289</v>
      </c>
    </row>
    <row r="2373" spans="1:102" x14ac:dyDescent="0.3">
      <c r="A2373" t="str">
        <f>HYPERLINK("https://webapp.icbf.com/v2/app/bull-search/view/586064877","LZV")</f>
        <v>LZV</v>
      </c>
      <c r="B2373" t="s">
        <v>1134</v>
      </c>
      <c r="C2373" t="s">
        <v>1135</v>
      </c>
      <c r="D2373" s="1">
        <v>38055</v>
      </c>
      <c r="E2373" t="s">
        <v>92</v>
      </c>
      <c r="F2373">
        <v>100</v>
      </c>
      <c r="G2373" t="s">
        <v>109</v>
      </c>
      <c r="H2373">
        <v>43.32</v>
      </c>
      <c r="I2373">
        <v>75</v>
      </c>
      <c r="J2373">
        <v>38.82</v>
      </c>
      <c r="K2373">
        <v>92</v>
      </c>
      <c r="L2373">
        <v>-23.06</v>
      </c>
      <c r="M2373">
        <v>78</v>
      </c>
      <c r="N2373">
        <v>27.91</v>
      </c>
      <c r="O2373">
        <v>58</v>
      </c>
      <c r="P2373">
        <v>-17.440000000000001</v>
      </c>
      <c r="Q2373">
        <v>48</v>
      </c>
      <c r="R2373">
        <v>8.2799999999999994</v>
      </c>
      <c r="S2373">
        <v>74</v>
      </c>
      <c r="T2373">
        <v>3.39</v>
      </c>
      <c r="U2373">
        <v>46</v>
      </c>
      <c r="V2373">
        <v>5.42</v>
      </c>
      <c r="W2373">
        <v>66</v>
      </c>
      <c r="X2373" t="s">
        <v>251</v>
      </c>
      <c r="Y2373" t="s">
        <v>235</v>
      </c>
      <c r="Z2373" t="s">
        <v>96</v>
      </c>
      <c r="AA2373" t="s">
        <v>316</v>
      </c>
      <c r="AB2373" t="s">
        <v>1136</v>
      </c>
      <c r="AC2373">
        <v>0</v>
      </c>
      <c r="AD2373">
        <v>0</v>
      </c>
      <c r="AE2373">
        <v>92</v>
      </c>
      <c r="AF2373">
        <v>316.72000000000003</v>
      </c>
      <c r="AG2373">
        <v>5.88</v>
      </c>
      <c r="AH2373">
        <v>9.3699999999999992</v>
      </c>
      <c r="AI2373">
        <v>-0.11</v>
      </c>
      <c r="AJ2373">
        <v>-0.02</v>
      </c>
      <c r="AK2373">
        <v>78</v>
      </c>
      <c r="AL2373">
        <v>0</v>
      </c>
      <c r="AM2373">
        <v>0</v>
      </c>
      <c r="AN2373">
        <v>1.2</v>
      </c>
      <c r="AO2373">
        <v>-0.64</v>
      </c>
      <c r="AP2373">
        <v>2</v>
      </c>
      <c r="AQ2373">
        <v>0</v>
      </c>
      <c r="AR2373">
        <v>5.0199999999999996</v>
      </c>
      <c r="AS2373">
        <v>57</v>
      </c>
      <c r="AT2373">
        <v>2.2200000000000002</v>
      </c>
      <c r="AU2373">
        <v>81</v>
      </c>
      <c r="AV2373">
        <v>-2.2599999999999998</v>
      </c>
      <c r="AW2373">
        <v>51</v>
      </c>
      <c r="AX2373">
        <v>0.52</v>
      </c>
      <c r="AY2373">
        <v>46</v>
      </c>
      <c r="AZ2373">
        <v>6.4</v>
      </c>
      <c r="BA2373">
        <v>48</v>
      </c>
      <c r="BB2373">
        <v>5.34</v>
      </c>
      <c r="BC2373">
        <v>50</v>
      </c>
      <c r="BD2373">
        <v>-0.05</v>
      </c>
      <c r="BE2373">
        <v>-0.03</v>
      </c>
      <c r="BF2373">
        <v>-0.05</v>
      </c>
      <c r="BG2373">
        <v>85</v>
      </c>
      <c r="BH2373">
        <v>0.13</v>
      </c>
      <c r="BI2373">
        <v>-2.44</v>
      </c>
      <c r="BJ2373">
        <v>0</v>
      </c>
      <c r="BK2373">
        <v>0</v>
      </c>
      <c r="BL2373">
        <v>0.42</v>
      </c>
      <c r="BM2373">
        <v>2.13</v>
      </c>
      <c r="BN2373">
        <v>1.27</v>
      </c>
      <c r="BO2373">
        <v>-0.37</v>
      </c>
      <c r="BP2373">
        <v>0.96</v>
      </c>
      <c r="BQ2373">
        <v>-1.03</v>
      </c>
      <c r="BR2373">
        <v>-0.1</v>
      </c>
      <c r="BS2373">
        <v>0.95</v>
      </c>
      <c r="BT2373">
        <v>-0.03</v>
      </c>
      <c r="BU2373">
        <v>0.6</v>
      </c>
      <c r="BV2373">
        <v>-0.65</v>
      </c>
      <c r="BW2373">
        <v>0.19</v>
      </c>
      <c r="BX2373">
        <v>0.51</v>
      </c>
      <c r="BY2373">
        <v>0.92</v>
      </c>
      <c r="BZ2373">
        <v>-0.03</v>
      </c>
      <c r="CA2373">
        <v>0.89</v>
      </c>
      <c r="CB2373">
        <v>0.56999999999999995</v>
      </c>
      <c r="CC2373">
        <v>0.92</v>
      </c>
      <c r="CD2373">
        <v>1.28</v>
      </c>
      <c r="CE2373">
        <v>-0.33</v>
      </c>
      <c r="CF2373">
        <v>0.31</v>
      </c>
      <c r="CG2373">
        <v>0</v>
      </c>
      <c r="CH2373">
        <v>1.2</v>
      </c>
      <c r="CI2373">
        <v>0</v>
      </c>
      <c r="CJ2373">
        <v>-6.5</v>
      </c>
      <c r="CK2373">
        <v>49</v>
      </c>
      <c r="CL2373">
        <v>-1.1200000000000001</v>
      </c>
      <c r="CM2373">
        <v>48</v>
      </c>
      <c r="CN2373">
        <v>-0.3</v>
      </c>
      <c r="CO2373">
        <v>48</v>
      </c>
      <c r="CP2373">
        <v>-2.8</v>
      </c>
      <c r="CQ2373">
        <v>47</v>
      </c>
      <c r="CR2373">
        <v>0</v>
      </c>
      <c r="CS2373">
        <v>0</v>
      </c>
      <c r="CT2373">
        <v>9.1999999999999993</v>
      </c>
      <c r="CU2373">
        <v>46</v>
      </c>
      <c r="CV2373">
        <v>0.19</v>
      </c>
      <c r="CW2373">
        <v>38</v>
      </c>
      <c r="CX2373" t="s">
        <v>856</v>
      </c>
    </row>
    <row r="2374" spans="1:102" x14ac:dyDescent="0.3">
      <c r="A2374" t="str">
        <f>HYPERLINK("https://webapp.icbf.com/v2/app/bull-search/view/182841428","RLX")</f>
        <v>RLX</v>
      </c>
      <c r="B2374" t="s">
        <v>144</v>
      </c>
      <c r="C2374" t="s">
        <v>4150</v>
      </c>
      <c r="D2374" s="1">
        <v>34678</v>
      </c>
      <c r="E2374" t="s">
        <v>146</v>
      </c>
      <c r="F2374">
        <v>0</v>
      </c>
      <c r="G2374" t="s">
        <v>93</v>
      </c>
      <c r="H2374">
        <v>43.25</v>
      </c>
      <c r="I2374">
        <v>62</v>
      </c>
      <c r="J2374">
        <v>-39.729999999999997</v>
      </c>
      <c r="K2374">
        <v>81</v>
      </c>
      <c r="L2374">
        <v>15.93</v>
      </c>
      <c r="M2374">
        <v>45</v>
      </c>
      <c r="N2374">
        <v>42.06</v>
      </c>
      <c r="O2374">
        <v>61</v>
      </c>
      <c r="P2374">
        <v>10.07</v>
      </c>
      <c r="Q2374">
        <v>75</v>
      </c>
      <c r="R2374">
        <v>2.42</v>
      </c>
      <c r="S2374">
        <v>45</v>
      </c>
      <c r="T2374">
        <v>21.74</v>
      </c>
      <c r="U2374">
        <v>67</v>
      </c>
      <c r="V2374">
        <v>-9.24</v>
      </c>
      <c r="W2374">
        <v>41</v>
      </c>
      <c r="X2374" t="s">
        <v>94</v>
      </c>
      <c r="Y2374" t="s">
        <v>95</v>
      </c>
      <c r="Z2374">
        <v>0</v>
      </c>
      <c r="AA2374" t="s">
        <v>147</v>
      </c>
      <c r="AB2374" t="s">
        <v>4151</v>
      </c>
      <c r="AC2374">
        <v>16</v>
      </c>
      <c r="AD2374">
        <v>6</v>
      </c>
      <c r="AE2374">
        <v>81</v>
      </c>
      <c r="AF2374">
        <v>-182.36</v>
      </c>
      <c r="AG2374">
        <v>-9.2100000000000009</v>
      </c>
      <c r="AH2374">
        <v>-6.29</v>
      </c>
      <c r="AI2374">
        <v>-0.04</v>
      </c>
      <c r="AJ2374">
        <v>0</v>
      </c>
      <c r="AK2374">
        <v>45</v>
      </c>
      <c r="AL2374">
        <v>24</v>
      </c>
      <c r="AM2374">
        <v>11</v>
      </c>
      <c r="AN2374">
        <v>1.41</v>
      </c>
      <c r="AO2374">
        <v>2.71</v>
      </c>
      <c r="AP2374">
        <v>25</v>
      </c>
      <c r="AQ2374">
        <v>1</v>
      </c>
      <c r="AR2374">
        <v>4.13</v>
      </c>
      <c r="AS2374">
        <v>32</v>
      </c>
      <c r="AT2374">
        <v>1.93</v>
      </c>
      <c r="AU2374">
        <v>56</v>
      </c>
      <c r="AV2374">
        <v>-2.2999999999999998</v>
      </c>
      <c r="AW2374">
        <v>83</v>
      </c>
      <c r="AX2374">
        <v>-0.66</v>
      </c>
      <c r="AY2374">
        <v>56</v>
      </c>
      <c r="AZ2374">
        <v>5.04</v>
      </c>
      <c r="BA2374">
        <v>29</v>
      </c>
      <c r="BB2374">
        <v>4.17</v>
      </c>
      <c r="BC2374">
        <v>34</v>
      </c>
      <c r="BD2374">
        <v>0.02</v>
      </c>
      <c r="BE2374">
        <v>-0.01</v>
      </c>
      <c r="BF2374">
        <v>-7.0000000000000007E-2</v>
      </c>
      <c r="BG2374">
        <v>55</v>
      </c>
      <c r="BH2374">
        <v>-0.23</v>
      </c>
      <c r="BI2374">
        <v>3.19</v>
      </c>
      <c r="BJ2374">
        <v>0</v>
      </c>
      <c r="BK2374">
        <v>0</v>
      </c>
      <c r="BL2374">
        <v>-1.33</v>
      </c>
      <c r="BM2374">
        <v>2.94</v>
      </c>
      <c r="BN2374">
        <v>-0.23</v>
      </c>
      <c r="BO2374">
        <v>-0.96</v>
      </c>
      <c r="BP2374">
        <v>2.88</v>
      </c>
      <c r="BQ2374">
        <v>1.19</v>
      </c>
      <c r="BR2374">
        <v>0.04</v>
      </c>
      <c r="BS2374">
        <v>0.33</v>
      </c>
      <c r="BT2374">
        <v>0.43</v>
      </c>
      <c r="BU2374">
        <v>-2.15</v>
      </c>
      <c r="BV2374">
        <v>-3.11</v>
      </c>
      <c r="BW2374">
        <v>-2.33</v>
      </c>
      <c r="BX2374">
        <v>-1.92</v>
      </c>
      <c r="BY2374">
        <v>-1.71</v>
      </c>
      <c r="BZ2374">
        <v>0.39</v>
      </c>
      <c r="CA2374">
        <v>-1.85</v>
      </c>
      <c r="CB2374">
        <v>-2.36</v>
      </c>
      <c r="CC2374">
        <v>-0.16</v>
      </c>
      <c r="CD2374">
        <v>1.47</v>
      </c>
      <c r="CE2374">
        <v>-1.1100000000000001</v>
      </c>
      <c r="CF2374">
        <v>-0.55000000000000004</v>
      </c>
      <c r="CG2374">
        <v>0</v>
      </c>
      <c r="CH2374">
        <v>-0.27</v>
      </c>
      <c r="CI2374">
        <v>0</v>
      </c>
      <c r="CJ2374">
        <v>4</v>
      </c>
      <c r="CK2374">
        <v>77</v>
      </c>
      <c r="CL2374">
        <v>0.27</v>
      </c>
      <c r="CM2374">
        <v>73</v>
      </c>
      <c r="CN2374">
        <v>-0.19</v>
      </c>
      <c r="CO2374">
        <v>70</v>
      </c>
      <c r="CP2374">
        <v>-3.1</v>
      </c>
      <c r="CQ2374">
        <v>70</v>
      </c>
      <c r="CR2374">
        <v>0</v>
      </c>
      <c r="CS2374">
        <v>0</v>
      </c>
      <c r="CT2374">
        <v>-15.6</v>
      </c>
      <c r="CU2374">
        <v>67</v>
      </c>
      <c r="CV2374">
        <v>-0.13</v>
      </c>
      <c r="CW2374">
        <v>21</v>
      </c>
      <c r="CX2374" t="s">
        <v>149</v>
      </c>
    </row>
    <row r="2375" spans="1:102" x14ac:dyDescent="0.3">
      <c r="A2375" t="str">
        <f>HYPERLINK("https://webapp.icbf.com/v2/app/bull-search/view/1418735555","S3352")</f>
        <v>S3352</v>
      </c>
      <c r="B2375" t="s">
        <v>7706</v>
      </c>
      <c r="C2375" t="s">
        <v>7707</v>
      </c>
      <c r="D2375" s="1">
        <v>42192</v>
      </c>
      <c r="E2375" t="s">
        <v>92</v>
      </c>
      <c r="F2375">
        <v>100</v>
      </c>
      <c r="G2375" t="s">
        <v>435</v>
      </c>
      <c r="H2375">
        <v>43.22</v>
      </c>
      <c r="I2375">
        <v>66</v>
      </c>
      <c r="J2375">
        <v>50.61</v>
      </c>
      <c r="K2375">
        <v>88</v>
      </c>
      <c r="L2375">
        <v>-59.4</v>
      </c>
      <c r="M2375">
        <v>67</v>
      </c>
      <c r="N2375">
        <v>40.03</v>
      </c>
      <c r="O2375">
        <v>51</v>
      </c>
      <c r="P2375">
        <v>-3.98</v>
      </c>
      <c r="Q2375">
        <v>36</v>
      </c>
      <c r="R2375">
        <v>13.8</v>
      </c>
      <c r="S2375">
        <v>63</v>
      </c>
      <c r="T2375">
        <v>-2.97</v>
      </c>
      <c r="U2375">
        <v>34</v>
      </c>
      <c r="V2375">
        <v>5.13</v>
      </c>
      <c r="W2375">
        <v>52</v>
      </c>
      <c r="X2375" t="s">
        <v>110</v>
      </c>
      <c r="Y2375" t="s">
        <v>2394</v>
      </c>
      <c r="Z2375" t="s">
        <v>96</v>
      </c>
      <c r="AA2375" t="s">
        <v>7708</v>
      </c>
      <c r="AB2375" t="s">
        <v>7709</v>
      </c>
      <c r="AC2375">
        <v>0</v>
      </c>
      <c r="AD2375">
        <v>0</v>
      </c>
      <c r="AE2375">
        <v>88</v>
      </c>
      <c r="AF2375">
        <v>408.74</v>
      </c>
      <c r="AG2375">
        <v>15.19</v>
      </c>
      <c r="AH2375">
        <v>9.49</v>
      </c>
      <c r="AI2375">
        <v>-0.02</v>
      </c>
      <c r="AJ2375">
        <v>-7.0000000000000007E-2</v>
      </c>
      <c r="AK2375">
        <v>67</v>
      </c>
      <c r="AL2375">
        <v>0</v>
      </c>
      <c r="AM2375">
        <v>0</v>
      </c>
      <c r="AN2375">
        <v>6.1</v>
      </c>
      <c r="AO2375">
        <v>1.4</v>
      </c>
      <c r="AP2375">
        <v>2</v>
      </c>
      <c r="AQ2375">
        <v>0</v>
      </c>
      <c r="AR2375">
        <v>7.54</v>
      </c>
      <c r="AS2375">
        <v>47</v>
      </c>
      <c r="AT2375">
        <v>2.5499999999999998</v>
      </c>
      <c r="AU2375">
        <v>84</v>
      </c>
      <c r="AV2375">
        <v>-3.99</v>
      </c>
      <c r="AW2375">
        <v>44</v>
      </c>
      <c r="AX2375">
        <v>0.25</v>
      </c>
      <c r="AY2375">
        <v>37</v>
      </c>
      <c r="AZ2375">
        <v>5.53</v>
      </c>
      <c r="BA2375">
        <v>33</v>
      </c>
      <c r="BB2375">
        <v>4.41</v>
      </c>
      <c r="BC2375">
        <v>32</v>
      </c>
      <c r="BD2375">
        <v>-0.05</v>
      </c>
      <c r="BE2375">
        <v>-0.06</v>
      </c>
      <c r="BF2375">
        <v>-0.12</v>
      </c>
      <c r="BG2375">
        <v>78</v>
      </c>
      <c r="BH2375">
        <v>-0.01</v>
      </c>
      <c r="BI2375">
        <v>-17.690000000000001</v>
      </c>
      <c r="BJ2375">
        <v>0</v>
      </c>
      <c r="BK2375">
        <v>0</v>
      </c>
      <c r="BL2375">
        <v>1.41</v>
      </c>
      <c r="BM2375">
        <v>0.15</v>
      </c>
      <c r="BN2375">
        <v>1.43</v>
      </c>
      <c r="BO2375">
        <v>1.57</v>
      </c>
      <c r="BP2375">
        <v>-1.21</v>
      </c>
      <c r="BQ2375">
        <v>2.85</v>
      </c>
      <c r="BR2375">
        <v>-1.62</v>
      </c>
      <c r="BS2375">
        <v>2.98</v>
      </c>
      <c r="BT2375">
        <v>0.62</v>
      </c>
      <c r="BU2375">
        <v>3.33</v>
      </c>
      <c r="BV2375">
        <v>3.71</v>
      </c>
      <c r="BW2375">
        <v>1.35</v>
      </c>
      <c r="BX2375">
        <v>2.37</v>
      </c>
      <c r="BY2375">
        <v>1.79</v>
      </c>
      <c r="BZ2375">
        <v>0.73</v>
      </c>
      <c r="CA2375">
        <v>3.07</v>
      </c>
      <c r="CB2375">
        <v>2.76</v>
      </c>
      <c r="CC2375">
        <v>1.79</v>
      </c>
      <c r="CD2375">
        <v>-0.71</v>
      </c>
      <c r="CE2375">
        <v>0.86</v>
      </c>
      <c r="CF2375">
        <v>1.1499999999999999</v>
      </c>
      <c r="CG2375">
        <v>0</v>
      </c>
      <c r="CH2375">
        <v>1.54</v>
      </c>
      <c r="CI2375">
        <v>0</v>
      </c>
      <c r="CJ2375">
        <v>-0.8</v>
      </c>
      <c r="CK2375">
        <v>36</v>
      </c>
      <c r="CL2375">
        <v>-1.45</v>
      </c>
      <c r="CM2375">
        <v>36</v>
      </c>
      <c r="CN2375">
        <v>-0.99</v>
      </c>
      <c r="CO2375">
        <v>36</v>
      </c>
      <c r="CP2375">
        <v>3.3</v>
      </c>
      <c r="CQ2375">
        <v>35</v>
      </c>
      <c r="CR2375">
        <v>0</v>
      </c>
      <c r="CS2375">
        <v>0</v>
      </c>
      <c r="CT2375">
        <v>17.8</v>
      </c>
      <c r="CU2375">
        <v>34</v>
      </c>
      <c r="CV2375">
        <v>0.18</v>
      </c>
      <c r="CW2375">
        <v>32</v>
      </c>
      <c r="CX2375" t="s">
        <v>1894</v>
      </c>
    </row>
    <row r="2376" spans="1:102" x14ac:dyDescent="0.3">
      <c r="A2376" t="str">
        <f>HYPERLINK("https://webapp.icbf.com/v2/app/bull-search/view/780111967","S921")</f>
        <v>S921</v>
      </c>
      <c r="B2376" t="s">
        <v>7964</v>
      </c>
      <c r="C2376" t="s">
        <v>7965</v>
      </c>
      <c r="D2376" s="1">
        <v>38147</v>
      </c>
      <c r="E2376" t="s">
        <v>895</v>
      </c>
      <c r="F2376">
        <v>0</v>
      </c>
      <c r="G2376" t="s">
        <v>93</v>
      </c>
      <c r="H2376">
        <v>43.19</v>
      </c>
      <c r="I2376">
        <v>69</v>
      </c>
      <c r="J2376">
        <v>72.27</v>
      </c>
      <c r="K2376">
        <v>91</v>
      </c>
      <c r="L2376">
        <v>32.97</v>
      </c>
      <c r="M2376">
        <v>51</v>
      </c>
      <c r="N2376">
        <v>-86.98</v>
      </c>
      <c r="O2376">
        <v>70</v>
      </c>
      <c r="P2376">
        <v>4.0199999999999996</v>
      </c>
      <c r="Q2376">
        <v>87</v>
      </c>
      <c r="R2376">
        <v>8.67</v>
      </c>
      <c r="S2376">
        <v>48</v>
      </c>
      <c r="T2376">
        <v>12.94</v>
      </c>
      <c r="U2376">
        <v>60</v>
      </c>
      <c r="V2376">
        <v>-0.7</v>
      </c>
      <c r="W2376">
        <v>40</v>
      </c>
      <c r="X2376" t="s">
        <v>234</v>
      </c>
      <c r="Y2376" t="s">
        <v>303</v>
      </c>
      <c r="Z2376">
        <v>0</v>
      </c>
      <c r="AA2376" t="s">
        <v>2947</v>
      </c>
      <c r="AB2376" t="s">
        <v>7966</v>
      </c>
      <c r="AC2376">
        <v>42</v>
      </c>
      <c r="AD2376">
        <v>17</v>
      </c>
      <c r="AE2376">
        <v>91</v>
      </c>
      <c r="AF2376">
        <v>154.56</v>
      </c>
      <c r="AG2376">
        <v>15.96</v>
      </c>
      <c r="AH2376">
        <v>9.01</v>
      </c>
      <c r="AI2376">
        <v>0.16</v>
      </c>
      <c r="AJ2376">
        <v>0.06</v>
      </c>
      <c r="AK2376">
        <v>51</v>
      </c>
      <c r="AL2376">
        <v>61</v>
      </c>
      <c r="AM2376">
        <v>27</v>
      </c>
      <c r="AN2376">
        <v>0.61</v>
      </c>
      <c r="AO2376">
        <v>3.27</v>
      </c>
      <c r="AP2376">
        <v>111</v>
      </c>
      <c r="AQ2376">
        <v>2</v>
      </c>
      <c r="AR2376">
        <v>14.67</v>
      </c>
      <c r="AS2376">
        <v>40</v>
      </c>
      <c r="AT2376">
        <v>6.46</v>
      </c>
      <c r="AU2376">
        <v>75</v>
      </c>
      <c r="AV2376">
        <v>2.94</v>
      </c>
      <c r="AW2376">
        <v>86</v>
      </c>
      <c r="AX2376">
        <v>1.75</v>
      </c>
      <c r="AY2376">
        <v>69</v>
      </c>
      <c r="AZ2376">
        <v>4.49</v>
      </c>
      <c r="BA2376">
        <v>38</v>
      </c>
      <c r="BB2376">
        <v>3.75</v>
      </c>
      <c r="BC2376">
        <v>41</v>
      </c>
      <c r="BD2376">
        <v>-0.02</v>
      </c>
      <c r="BE2376">
        <v>-0.04</v>
      </c>
      <c r="BF2376">
        <v>-0.09</v>
      </c>
      <c r="BG2376">
        <v>65</v>
      </c>
      <c r="BH2376">
        <v>-0.26</v>
      </c>
      <c r="BI2376">
        <v>-27.82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7.7</v>
      </c>
      <c r="CK2376">
        <v>90</v>
      </c>
      <c r="CL2376">
        <v>-0.13</v>
      </c>
      <c r="CM2376">
        <v>87</v>
      </c>
      <c r="CN2376">
        <v>0.46</v>
      </c>
      <c r="CO2376">
        <v>86</v>
      </c>
      <c r="CP2376">
        <v>0.8</v>
      </c>
      <c r="CQ2376">
        <v>62</v>
      </c>
      <c r="CR2376">
        <v>0</v>
      </c>
      <c r="CS2376">
        <v>0</v>
      </c>
      <c r="CT2376">
        <v>-3.7</v>
      </c>
      <c r="CU2376">
        <v>60</v>
      </c>
      <c r="CV2376">
        <v>0.17</v>
      </c>
      <c r="CW2376">
        <v>25</v>
      </c>
      <c r="CX2376" t="s">
        <v>2945</v>
      </c>
    </row>
    <row r="2377" spans="1:102" x14ac:dyDescent="0.3">
      <c r="A2377" t="str">
        <f>HYPERLINK("https://webapp.icbf.com/v2/app/bull-search/view/804581384","S1431")</f>
        <v>S1431</v>
      </c>
      <c r="B2377" t="s">
        <v>9170</v>
      </c>
      <c r="C2377" t="s">
        <v>9171</v>
      </c>
      <c r="D2377" s="1">
        <v>39053</v>
      </c>
      <c r="E2377" t="s">
        <v>92</v>
      </c>
      <c r="F2377">
        <v>100</v>
      </c>
      <c r="G2377" t="s">
        <v>93</v>
      </c>
      <c r="H2377">
        <v>43.14</v>
      </c>
      <c r="I2377">
        <v>92</v>
      </c>
      <c r="J2377">
        <v>37.590000000000003</v>
      </c>
      <c r="K2377">
        <v>98</v>
      </c>
      <c r="L2377">
        <v>-9.51</v>
      </c>
      <c r="M2377">
        <v>91</v>
      </c>
      <c r="N2377">
        <v>33.33</v>
      </c>
      <c r="O2377">
        <v>90</v>
      </c>
      <c r="P2377">
        <v>-10.85</v>
      </c>
      <c r="Q2377">
        <v>93</v>
      </c>
      <c r="R2377">
        <v>5.52</v>
      </c>
      <c r="S2377">
        <v>84</v>
      </c>
      <c r="T2377">
        <v>-14.07</v>
      </c>
      <c r="U2377">
        <v>80</v>
      </c>
      <c r="V2377">
        <v>1.1299999999999999</v>
      </c>
      <c r="W2377">
        <v>75</v>
      </c>
      <c r="X2377" t="s">
        <v>102</v>
      </c>
      <c r="Y2377" t="s">
        <v>342</v>
      </c>
      <c r="Z2377" t="s">
        <v>96</v>
      </c>
      <c r="AA2377" t="s">
        <v>309</v>
      </c>
      <c r="AB2377" t="s">
        <v>1749</v>
      </c>
      <c r="AC2377">
        <v>153</v>
      </c>
      <c r="AD2377">
        <v>45</v>
      </c>
      <c r="AE2377">
        <v>98</v>
      </c>
      <c r="AF2377">
        <v>347.54</v>
      </c>
      <c r="AG2377">
        <v>4.3899999999999997</v>
      </c>
      <c r="AH2377">
        <v>10.16</v>
      </c>
      <c r="AI2377">
        <v>-0.15</v>
      </c>
      <c r="AJ2377">
        <v>-0.03</v>
      </c>
      <c r="AK2377">
        <v>91</v>
      </c>
      <c r="AL2377">
        <v>138</v>
      </c>
      <c r="AM2377">
        <v>39</v>
      </c>
      <c r="AN2377">
        <v>1.18</v>
      </c>
      <c r="AO2377">
        <v>0.43</v>
      </c>
      <c r="AP2377">
        <v>299</v>
      </c>
      <c r="AQ2377">
        <v>4</v>
      </c>
      <c r="AR2377">
        <v>5.65</v>
      </c>
      <c r="AS2377">
        <v>86</v>
      </c>
      <c r="AT2377">
        <v>2.2799999999999998</v>
      </c>
      <c r="AU2377">
        <v>95</v>
      </c>
      <c r="AV2377">
        <v>-2.78</v>
      </c>
      <c r="AW2377">
        <v>97</v>
      </c>
      <c r="AX2377">
        <v>0.85</v>
      </c>
      <c r="AY2377">
        <v>87</v>
      </c>
      <c r="AZ2377">
        <v>5.94</v>
      </c>
      <c r="BA2377">
        <v>72</v>
      </c>
      <c r="BB2377">
        <v>4.68</v>
      </c>
      <c r="BC2377">
        <v>65</v>
      </c>
      <c r="BD2377">
        <v>-0.06</v>
      </c>
      <c r="BE2377">
        <v>-0.03</v>
      </c>
      <c r="BF2377">
        <v>0.03</v>
      </c>
      <c r="BG2377">
        <v>95</v>
      </c>
      <c r="BH2377">
        <v>-0.12</v>
      </c>
      <c r="BI2377">
        <v>-17.53</v>
      </c>
      <c r="BJ2377">
        <v>63</v>
      </c>
      <c r="BK2377">
        <v>26</v>
      </c>
      <c r="BL2377">
        <v>2.93</v>
      </c>
      <c r="BM2377">
        <v>-0.12</v>
      </c>
      <c r="BN2377">
        <v>1.4</v>
      </c>
      <c r="BO2377">
        <v>1.38</v>
      </c>
      <c r="BP2377">
        <v>0.01</v>
      </c>
      <c r="BQ2377">
        <v>1.53</v>
      </c>
      <c r="BR2377">
        <v>-2.79</v>
      </c>
      <c r="BS2377">
        <v>3.21</v>
      </c>
      <c r="BT2377">
        <v>2.6</v>
      </c>
      <c r="BU2377">
        <v>2.54</v>
      </c>
      <c r="BV2377">
        <v>3.59</v>
      </c>
      <c r="BW2377">
        <v>2.2599999999999998</v>
      </c>
      <c r="BX2377">
        <v>2.7</v>
      </c>
      <c r="BY2377">
        <v>-0.06</v>
      </c>
      <c r="BZ2377">
        <v>1.51</v>
      </c>
      <c r="CA2377">
        <v>2.76</v>
      </c>
      <c r="CB2377">
        <v>2.16</v>
      </c>
      <c r="CC2377">
        <v>2.9</v>
      </c>
      <c r="CD2377">
        <v>-0.35</v>
      </c>
      <c r="CE2377">
        <v>1.06</v>
      </c>
      <c r="CF2377">
        <v>2.1</v>
      </c>
      <c r="CG2377">
        <v>0</v>
      </c>
      <c r="CH2377">
        <v>-0.23</v>
      </c>
      <c r="CI2377">
        <v>0</v>
      </c>
      <c r="CJ2377">
        <v>-2.9</v>
      </c>
      <c r="CK2377">
        <v>95</v>
      </c>
      <c r="CL2377">
        <v>-1.52</v>
      </c>
      <c r="CM2377">
        <v>93</v>
      </c>
      <c r="CN2377">
        <v>-0.71</v>
      </c>
      <c r="CO2377">
        <v>92</v>
      </c>
      <c r="CP2377">
        <v>3.5</v>
      </c>
      <c r="CQ2377">
        <v>84</v>
      </c>
      <c r="CR2377">
        <v>0</v>
      </c>
      <c r="CS2377">
        <v>0</v>
      </c>
      <c r="CT2377">
        <v>32.799999999999997</v>
      </c>
      <c r="CU2377">
        <v>80</v>
      </c>
      <c r="CV2377">
        <v>0.31</v>
      </c>
      <c r="CW2377">
        <v>45</v>
      </c>
      <c r="CX2377" t="s">
        <v>316</v>
      </c>
    </row>
    <row r="2378" spans="1:102" x14ac:dyDescent="0.3">
      <c r="A2378" t="str">
        <f>HYPERLINK("https://webapp.icbf.com/v2/app/bull-search/view/152134420","S299")</f>
        <v>S299</v>
      </c>
      <c r="B2378" t="s">
        <v>11842</v>
      </c>
      <c r="C2378" t="s">
        <v>11843</v>
      </c>
      <c r="D2378" s="1">
        <v>35337</v>
      </c>
      <c r="E2378" t="s">
        <v>395</v>
      </c>
      <c r="F2378">
        <v>3</v>
      </c>
      <c r="G2378" t="s">
        <v>93</v>
      </c>
      <c r="H2378">
        <v>43.13</v>
      </c>
      <c r="I2378">
        <v>85</v>
      </c>
      <c r="J2378">
        <v>-50.72</v>
      </c>
      <c r="K2378">
        <v>94</v>
      </c>
      <c r="L2378">
        <v>47.03</v>
      </c>
      <c r="M2378">
        <v>78</v>
      </c>
      <c r="N2378">
        <v>43.01</v>
      </c>
      <c r="O2378">
        <v>80</v>
      </c>
      <c r="P2378">
        <v>-7.59</v>
      </c>
      <c r="Q2378">
        <v>90</v>
      </c>
      <c r="R2378">
        <v>3.49</v>
      </c>
      <c r="S2378">
        <v>70</v>
      </c>
      <c r="T2378">
        <v>17.75</v>
      </c>
      <c r="U2378">
        <v>95</v>
      </c>
      <c r="V2378">
        <v>-9.84</v>
      </c>
      <c r="W2378">
        <v>66</v>
      </c>
      <c r="X2378" t="s">
        <v>110</v>
      </c>
      <c r="Y2378" t="s">
        <v>95</v>
      </c>
      <c r="Z2378" t="s">
        <v>96</v>
      </c>
      <c r="AA2378" t="s">
        <v>8952</v>
      </c>
      <c r="AB2378" t="s">
        <v>11844</v>
      </c>
      <c r="AC2378">
        <v>66</v>
      </c>
      <c r="AD2378">
        <v>42</v>
      </c>
      <c r="AE2378">
        <v>94</v>
      </c>
      <c r="AF2378">
        <v>-516.5</v>
      </c>
      <c r="AG2378">
        <v>-13.6</v>
      </c>
      <c r="AH2378">
        <v>-11.72</v>
      </c>
      <c r="AI2378">
        <v>0.12</v>
      </c>
      <c r="AJ2378">
        <v>0.11</v>
      </c>
      <c r="AK2378">
        <v>78</v>
      </c>
      <c r="AL2378">
        <v>57</v>
      </c>
      <c r="AM2378">
        <v>46</v>
      </c>
      <c r="AN2378">
        <v>-2.58</v>
      </c>
      <c r="AO2378">
        <v>1.17</v>
      </c>
      <c r="AP2378">
        <v>88</v>
      </c>
      <c r="AQ2378">
        <v>0</v>
      </c>
      <c r="AR2378">
        <v>6.05</v>
      </c>
      <c r="AS2378">
        <v>68</v>
      </c>
      <c r="AT2378">
        <v>2.48</v>
      </c>
      <c r="AU2378">
        <v>77</v>
      </c>
      <c r="AV2378">
        <v>-3.79</v>
      </c>
      <c r="AW2378">
        <v>92</v>
      </c>
      <c r="AX2378">
        <v>-1.02</v>
      </c>
      <c r="AY2378">
        <v>76</v>
      </c>
      <c r="AZ2378">
        <v>6.4</v>
      </c>
      <c r="BA2378">
        <v>55</v>
      </c>
      <c r="BB2378">
        <v>4.74</v>
      </c>
      <c r="BC2378">
        <v>62</v>
      </c>
      <c r="BD2378">
        <v>-0.05</v>
      </c>
      <c r="BE2378">
        <v>-0.03</v>
      </c>
      <c r="BF2378">
        <v>0.06</v>
      </c>
      <c r="BG2378">
        <v>81</v>
      </c>
      <c r="BH2378">
        <v>-0.25</v>
      </c>
      <c r="BI2378">
        <v>2.83</v>
      </c>
      <c r="BJ2378">
        <v>28</v>
      </c>
      <c r="BK2378">
        <v>19</v>
      </c>
      <c r="BL2378">
        <v>-2.19</v>
      </c>
      <c r="BM2378">
        <v>-0.76</v>
      </c>
      <c r="BN2378">
        <v>-2.39</v>
      </c>
      <c r="BO2378">
        <v>-1.46</v>
      </c>
      <c r="BP2378">
        <v>0.81</v>
      </c>
      <c r="BQ2378">
        <v>-1.91</v>
      </c>
      <c r="BR2378">
        <v>1.48</v>
      </c>
      <c r="BS2378">
        <v>0.31</v>
      </c>
      <c r="BT2378">
        <v>-1.9</v>
      </c>
      <c r="BU2378">
        <v>-0.05</v>
      </c>
      <c r="BV2378">
        <v>-2.08</v>
      </c>
      <c r="BW2378">
        <v>-1.43</v>
      </c>
      <c r="BX2378">
        <v>0.11</v>
      </c>
      <c r="BY2378">
        <v>-0.47</v>
      </c>
      <c r="BZ2378">
        <v>-1.78</v>
      </c>
      <c r="CA2378">
        <v>-1.23</v>
      </c>
      <c r="CB2378">
        <v>-1.72</v>
      </c>
      <c r="CC2378">
        <v>0.1</v>
      </c>
      <c r="CD2378">
        <v>0.49</v>
      </c>
      <c r="CE2378">
        <v>-1.41</v>
      </c>
      <c r="CF2378">
        <v>-2.5099999999999998</v>
      </c>
      <c r="CG2378">
        <v>0</v>
      </c>
      <c r="CH2378">
        <v>-0.14000000000000001</v>
      </c>
      <c r="CI2378">
        <v>0</v>
      </c>
      <c r="CJ2378">
        <v>-7.5</v>
      </c>
      <c r="CK2378">
        <v>91</v>
      </c>
      <c r="CL2378">
        <v>-0.03</v>
      </c>
      <c r="CM2378">
        <v>89</v>
      </c>
      <c r="CN2378">
        <v>-0.43</v>
      </c>
      <c r="CO2378">
        <v>87</v>
      </c>
      <c r="CP2378">
        <v>-13.1</v>
      </c>
      <c r="CQ2378">
        <v>86</v>
      </c>
      <c r="CR2378">
        <v>0</v>
      </c>
      <c r="CS2378">
        <v>0</v>
      </c>
      <c r="CT2378">
        <v>-10.199999999999999</v>
      </c>
      <c r="CU2378">
        <v>95</v>
      </c>
      <c r="CV2378">
        <v>-0.26</v>
      </c>
      <c r="CW2378">
        <v>27</v>
      </c>
      <c r="CX2378" t="s">
        <v>11845</v>
      </c>
    </row>
    <row r="2379" spans="1:102" x14ac:dyDescent="0.3">
      <c r="A2379" t="str">
        <f>HYPERLINK("https://webapp.icbf.com/v2/app/bull-search/view/77858293","DEH")</f>
        <v>DEH</v>
      </c>
      <c r="B2379" t="s">
        <v>11440</v>
      </c>
      <c r="C2379" t="s">
        <v>836</v>
      </c>
      <c r="D2379" s="1">
        <v>34627</v>
      </c>
      <c r="E2379" t="s">
        <v>92</v>
      </c>
      <c r="F2379">
        <v>100</v>
      </c>
      <c r="G2379" t="s">
        <v>93</v>
      </c>
      <c r="H2379">
        <v>43.1</v>
      </c>
      <c r="I2379">
        <v>88</v>
      </c>
      <c r="J2379">
        <v>55.38</v>
      </c>
      <c r="K2379">
        <v>96</v>
      </c>
      <c r="L2379">
        <v>-48.47</v>
      </c>
      <c r="M2379">
        <v>89</v>
      </c>
      <c r="N2379">
        <v>31.93</v>
      </c>
      <c r="O2379">
        <v>77</v>
      </c>
      <c r="P2379">
        <v>-0.84</v>
      </c>
      <c r="Q2379">
        <v>84</v>
      </c>
      <c r="R2379">
        <v>-6.35</v>
      </c>
      <c r="S2379">
        <v>83</v>
      </c>
      <c r="T2379">
        <v>16.559999999999999</v>
      </c>
      <c r="U2379">
        <v>76</v>
      </c>
      <c r="V2379">
        <v>-5.1100000000000003</v>
      </c>
      <c r="W2379">
        <v>73</v>
      </c>
      <c r="X2379" t="s">
        <v>102</v>
      </c>
      <c r="Y2379" t="s">
        <v>95</v>
      </c>
      <c r="Z2379" t="s">
        <v>96</v>
      </c>
      <c r="AA2379" t="s">
        <v>529</v>
      </c>
      <c r="AB2379" t="s">
        <v>11441</v>
      </c>
      <c r="AC2379">
        <v>40</v>
      </c>
      <c r="AD2379">
        <v>22</v>
      </c>
      <c r="AE2379">
        <v>96</v>
      </c>
      <c r="AF2379">
        <v>243.76</v>
      </c>
      <c r="AG2379">
        <v>9.9499999999999993</v>
      </c>
      <c r="AH2379">
        <v>9.6300000000000008</v>
      </c>
      <c r="AI2379">
        <v>0.01</v>
      </c>
      <c r="AJ2379">
        <v>0.02</v>
      </c>
      <c r="AK2379">
        <v>89</v>
      </c>
      <c r="AL2379">
        <v>41</v>
      </c>
      <c r="AM2379">
        <v>21</v>
      </c>
      <c r="AN2379">
        <v>1.49</v>
      </c>
      <c r="AO2379">
        <v>-2.39</v>
      </c>
      <c r="AP2379">
        <v>20</v>
      </c>
      <c r="AQ2379">
        <v>0</v>
      </c>
      <c r="AR2379">
        <v>5.38</v>
      </c>
      <c r="AS2379">
        <v>69</v>
      </c>
      <c r="AT2379">
        <v>2.65</v>
      </c>
      <c r="AU2379">
        <v>93</v>
      </c>
      <c r="AV2379">
        <v>-2.48</v>
      </c>
      <c r="AW2379">
        <v>75</v>
      </c>
      <c r="AX2379">
        <v>-0.11</v>
      </c>
      <c r="AY2379">
        <v>72</v>
      </c>
      <c r="AZ2379">
        <v>5.87</v>
      </c>
      <c r="BA2379">
        <v>63</v>
      </c>
      <c r="BB2379">
        <v>4.59</v>
      </c>
      <c r="BC2379">
        <v>67</v>
      </c>
      <c r="BD2379">
        <v>-0.03</v>
      </c>
      <c r="BE2379">
        <v>0.04</v>
      </c>
      <c r="BF2379">
        <v>0.12</v>
      </c>
      <c r="BG2379">
        <v>93</v>
      </c>
      <c r="BH2379">
        <v>-0.11</v>
      </c>
      <c r="BI2379">
        <v>3.77</v>
      </c>
      <c r="BJ2379">
        <v>2</v>
      </c>
      <c r="BK2379">
        <v>2</v>
      </c>
      <c r="BL2379">
        <v>0.09</v>
      </c>
      <c r="BM2379">
        <v>-0.16</v>
      </c>
      <c r="BN2379">
        <v>0.02</v>
      </c>
      <c r="BO2379">
        <v>0.13</v>
      </c>
      <c r="BP2379">
        <v>1.64</v>
      </c>
      <c r="BQ2379">
        <v>-0.31</v>
      </c>
      <c r="BR2379">
        <v>0.14000000000000001</v>
      </c>
      <c r="BS2379">
        <v>-1.0900000000000001</v>
      </c>
      <c r="BT2379">
        <v>-2.42</v>
      </c>
      <c r="BU2379">
        <v>0.01</v>
      </c>
      <c r="BV2379">
        <v>0</v>
      </c>
      <c r="BW2379">
        <v>-0.46</v>
      </c>
      <c r="BX2379">
        <v>-0.9</v>
      </c>
      <c r="BY2379">
        <v>-0.2</v>
      </c>
      <c r="BZ2379">
        <v>0.7</v>
      </c>
      <c r="CA2379">
        <v>-0.35</v>
      </c>
      <c r="CB2379">
        <v>0.06</v>
      </c>
      <c r="CC2379">
        <v>-1.56</v>
      </c>
      <c r="CD2379">
        <v>-0.35</v>
      </c>
      <c r="CE2379">
        <v>0.26</v>
      </c>
      <c r="CF2379">
        <v>-0.03</v>
      </c>
      <c r="CG2379">
        <v>0</v>
      </c>
      <c r="CH2379">
        <v>-0.22</v>
      </c>
      <c r="CI2379">
        <v>0</v>
      </c>
      <c r="CJ2379">
        <v>5.3</v>
      </c>
      <c r="CK2379">
        <v>85</v>
      </c>
      <c r="CL2379">
        <v>-0.79</v>
      </c>
      <c r="CM2379">
        <v>82</v>
      </c>
      <c r="CN2379">
        <v>-7.0000000000000007E-2</v>
      </c>
      <c r="CO2379">
        <v>80</v>
      </c>
      <c r="CP2379">
        <v>-5.5</v>
      </c>
      <c r="CQ2379">
        <v>85</v>
      </c>
      <c r="CR2379">
        <v>0</v>
      </c>
      <c r="CS2379">
        <v>0</v>
      </c>
      <c r="CT2379">
        <v>-8.6</v>
      </c>
      <c r="CU2379">
        <v>76</v>
      </c>
      <c r="CV2379">
        <v>0.32</v>
      </c>
      <c r="CW2379">
        <v>43</v>
      </c>
      <c r="CX2379" t="s">
        <v>485</v>
      </c>
    </row>
    <row r="2380" spans="1:102" x14ac:dyDescent="0.3">
      <c r="A2380" t="str">
        <f>HYPERLINK("https://webapp.icbf.com/v2/app/bull-search/view/804575907","S2039")</f>
        <v>S2039</v>
      </c>
      <c r="B2380" t="s">
        <v>15334</v>
      </c>
      <c r="C2380" t="s">
        <v>15335</v>
      </c>
      <c r="D2380" s="1">
        <v>39818</v>
      </c>
      <c r="E2380" t="s">
        <v>92</v>
      </c>
      <c r="F2380">
        <v>100</v>
      </c>
      <c r="G2380" t="s">
        <v>109</v>
      </c>
      <c r="H2380">
        <v>43.1</v>
      </c>
      <c r="I2380">
        <v>78</v>
      </c>
      <c r="J2380">
        <v>9.0500000000000007</v>
      </c>
      <c r="K2380">
        <v>94</v>
      </c>
      <c r="L2380">
        <v>-4.8899999999999997</v>
      </c>
      <c r="M2380">
        <v>83</v>
      </c>
      <c r="N2380">
        <v>29.26</v>
      </c>
      <c r="O2380">
        <v>64</v>
      </c>
      <c r="P2380">
        <v>-1.06</v>
      </c>
      <c r="Q2380">
        <v>47</v>
      </c>
      <c r="R2380">
        <v>0.28999999999999998</v>
      </c>
      <c r="S2380">
        <v>77</v>
      </c>
      <c r="T2380">
        <v>10.72</v>
      </c>
      <c r="U2380">
        <v>45</v>
      </c>
      <c r="V2380">
        <v>-0.27</v>
      </c>
      <c r="W2380">
        <v>66</v>
      </c>
      <c r="X2380" t="s">
        <v>1645</v>
      </c>
      <c r="Y2380" t="s">
        <v>367</v>
      </c>
      <c r="Z2380" t="s">
        <v>96</v>
      </c>
      <c r="AA2380" t="s">
        <v>358</v>
      </c>
      <c r="AB2380" t="s">
        <v>15336</v>
      </c>
      <c r="AC2380">
        <v>0</v>
      </c>
      <c r="AD2380">
        <v>0</v>
      </c>
      <c r="AE2380">
        <v>94</v>
      </c>
      <c r="AF2380">
        <v>-18.97</v>
      </c>
      <c r="AG2380">
        <v>1.61</v>
      </c>
      <c r="AH2380">
        <v>0.68</v>
      </c>
      <c r="AI2380">
        <v>0.04</v>
      </c>
      <c r="AJ2380">
        <v>0.02</v>
      </c>
      <c r="AK2380">
        <v>83</v>
      </c>
      <c r="AL2380">
        <v>0</v>
      </c>
      <c r="AM2380">
        <v>0</v>
      </c>
      <c r="AN2380">
        <v>0.28999999999999998</v>
      </c>
      <c r="AO2380">
        <v>-0.1</v>
      </c>
      <c r="AP2380">
        <v>2</v>
      </c>
      <c r="AQ2380">
        <v>0</v>
      </c>
      <c r="AR2380">
        <v>4.2699999999999996</v>
      </c>
      <c r="AS2380">
        <v>58</v>
      </c>
      <c r="AT2380">
        <v>2.21</v>
      </c>
      <c r="AU2380">
        <v>88</v>
      </c>
      <c r="AV2380">
        <v>-1.57</v>
      </c>
      <c r="AW2380">
        <v>60</v>
      </c>
      <c r="AX2380">
        <v>-0.36</v>
      </c>
      <c r="AY2380">
        <v>48</v>
      </c>
      <c r="AZ2380">
        <v>6.03</v>
      </c>
      <c r="BA2380">
        <v>48</v>
      </c>
      <c r="BB2380">
        <v>4.83</v>
      </c>
      <c r="BC2380">
        <v>49</v>
      </c>
      <c r="BD2380">
        <v>0.02</v>
      </c>
      <c r="BE2380">
        <v>0</v>
      </c>
      <c r="BF2380">
        <v>-0.04</v>
      </c>
      <c r="BG2380">
        <v>91</v>
      </c>
      <c r="BH2380">
        <v>-0.08</v>
      </c>
      <c r="BI2380">
        <v>-8.3699999999999992</v>
      </c>
      <c r="BJ2380">
        <v>1</v>
      </c>
      <c r="BK2380">
        <v>1</v>
      </c>
      <c r="BL2380">
        <v>0.35</v>
      </c>
      <c r="BM2380">
        <v>-2.2000000000000002</v>
      </c>
      <c r="BN2380">
        <v>-1.44</v>
      </c>
      <c r="BO2380">
        <v>0.49</v>
      </c>
      <c r="BP2380">
        <v>1.83</v>
      </c>
      <c r="BQ2380">
        <v>0.06</v>
      </c>
      <c r="BR2380">
        <v>0.17</v>
      </c>
      <c r="BS2380">
        <v>3.04</v>
      </c>
      <c r="BT2380">
        <v>-0.88</v>
      </c>
      <c r="BU2380">
        <v>-0.37</v>
      </c>
      <c r="BV2380">
        <v>-0.11</v>
      </c>
      <c r="BW2380">
        <v>-0.51</v>
      </c>
      <c r="BX2380">
        <v>0.11</v>
      </c>
      <c r="BY2380">
        <v>-0.37</v>
      </c>
      <c r="BZ2380">
        <v>0.15</v>
      </c>
      <c r="CA2380">
        <v>1.26</v>
      </c>
      <c r="CB2380">
        <v>0.38</v>
      </c>
      <c r="CC2380">
        <v>1.58</v>
      </c>
      <c r="CD2380">
        <v>-1.57</v>
      </c>
      <c r="CE2380">
        <v>0.94</v>
      </c>
      <c r="CF2380">
        <v>-0.76</v>
      </c>
      <c r="CG2380">
        <v>0</v>
      </c>
      <c r="CH2380">
        <v>-0.13</v>
      </c>
      <c r="CI2380">
        <v>0</v>
      </c>
      <c r="CJ2380">
        <v>0.6</v>
      </c>
      <c r="CK2380">
        <v>48</v>
      </c>
      <c r="CL2380">
        <v>-0.73</v>
      </c>
      <c r="CM2380">
        <v>47</v>
      </c>
      <c r="CN2380">
        <v>-0.5</v>
      </c>
      <c r="CO2380">
        <v>47</v>
      </c>
      <c r="CP2380">
        <v>-1.4</v>
      </c>
      <c r="CQ2380">
        <v>46</v>
      </c>
      <c r="CR2380">
        <v>0</v>
      </c>
      <c r="CS2380">
        <v>0</v>
      </c>
      <c r="CT2380">
        <v>-0.7</v>
      </c>
      <c r="CU2380">
        <v>45</v>
      </c>
      <c r="CV2380">
        <v>0.09</v>
      </c>
      <c r="CW2380">
        <v>35</v>
      </c>
      <c r="CX2380" t="s">
        <v>12328</v>
      </c>
    </row>
    <row r="2381" spans="1:102" x14ac:dyDescent="0.3">
      <c r="A2381" t="str">
        <f>HYPERLINK("https://webapp.icbf.com/v2/app/bull-search/view/853022986","S1026")</f>
        <v>S1026</v>
      </c>
      <c r="B2381" t="s">
        <v>144</v>
      </c>
      <c r="C2381" t="s">
        <v>15440</v>
      </c>
      <c r="D2381" s="1">
        <v>39452</v>
      </c>
      <c r="E2381" t="s">
        <v>92</v>
      </c>
      <c r="F2381">
        <v>50</v>
      </c>
      <c r="G2381" t="s">
        <v>93</v>
      </c>
      <c r="H2381">
        <v>43.07</v>
      </c>
      <c r="I2381">
        <v>67</v>
      </c>
      <c r="J2381">
        <v>20.82</v>
      </c>
      <c r="K2381">
        <v>89</v>
      </c>
      <c r="L2381">
        <v>56.99</v>
      </c>
      <c r="M2381">
        <v>43</v>
      </c>
      <c r="N2381">
        <v>-36.020000000000003</v>
      </c>
      <c r="O2381">
        <v>70</v>
      </c>
      <c r="P2381">
        <v>-3.78</v>
      </c>
      <c r="Q2381">
        <v>84</v>
      </c>
      <c r="R2381">
        <v>3.33</v>
      </c>
      <c r="S2381">
        <v>48</v>
      </c>
      <c r="T2381">
        <v>3.84</v>
      </c>
      <c r="U2381">
        <v>81</v>
      </c>
      <c r="V2381">
        <v>-2.11</v>
      </c>
      <c r="W2381">
        <v>43</v>
      </c>
      <c r="X2381" t="s">
        <v>102</v>
      </c>
      <c r="Y2381" t="s">
        <v>336</v>
      </c>
      <c r="Z2381">
        <v>0</v>
      </c>
      <c r="AA2381" t="s">
        <v>13095</v>
      </c>
      <c r="AB2381" t="s">
        <v>15441</v>
      </c>
      <c r="AC2381">
        <v>36</v>
      </c>
      <c r="AD2381">
        <v>17</v>
      </c>
      <c r="AE2381">
        <v>89</v>
      </c>
      <c r="AF2381">
        <v>85.94</v>
      </c>
      <c r="AG2381">
        <v>4.03</v>
      </c>
      <c r="AH2381">
        <v>3.43</v>
      </c>
      <c r="AI2381">
        <v>0.01</v>
      </c>
      <c r="AJ2381">
        <v>0.01</v>
      </c>
      <c r="AK2381">
        <v>43</v>
      </c>
      <c r="AL2381">
        <v>42</v>
      </c>
      <c r="AM2381">
        <v>17</v>
      </c>
      <c r="AN2381">
        <v>-1.95</v>
      </c>
      <c r="AO2381">
        <v>2.61</v>
      </c>
      <c r="AP2381">
        <v>57</v>
      </c>
      <c r="AQ2381">
        <v>32</v>
      </c>
      <c r="AR2381">
        <v>11.58</v>
      </c>
      <c r="AS2381">
        <v>49</v>
      </c>
      <c r="AT2381">
        <v>5.26</v>
      </c>
      <c r="AU2381">
        <v>72</v>
      </c>
      <c r="AV2381">
        <v>0.41</v>
      </c>
      <c r="AW2381">
        <v>85</v>
      </c>
      <c r="AX2381">
        <v>-0.51</v>
      </c>
      <c r="AY2381">
        <v>67</v>
      </c>
      <c r="AZ2381">
        <v>5.37</v>
      </c>
      <c r="BA2381">
        <v>36</v>
      </c>
      <c r="BB2381">
        <v>4.8499999999999996</v>
      </c>
      <c r="BC2381">
        <v>40</v>
      </c>
      <c r="BD2381">
        <v>0.05</v>
      </c>
      <c r="BE2381">
        <v>0</v>
      </c>
      <c r="BF2381">
        <v>-0.16</v>
      </c>
      <c r="BG2381">
        <v>61</v>
      </c>
      <c r="BH2381">
        <v>-0.2</v>
      </c>
      <c r="BI2381">
        <v>-16.32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1.3</v>
      </c>
      <c r="CK2381">
        <v>87</v>
      </c>
      <c r="CL2381">
        <v>-0.81</v>
      </c>
      <c r="CM2381">
        <v>84</v>
      </c>
      <c r="CN2381">
        <v>-0.21</v>
      </c>
      <c r="CO2381">
        <v>83</v>
      </c>
      <c r="CP2381">
        <v>2.2000000000000002</v>
      </c>
      <c r="CQ2381">
        <v>70</v>
      </c>
      <c r="CR2381">
        <v>0</v>
      </c>
      <c r="CS2381">
        <v>0</v>
      </c>
      <c r="CT2381">
        <v>8.6</v>
      </c>
      <c r="CU2381">
        <v>81</v>
      </c>
      <c r="CV2381">
        <v>0.25</v>
      </c>
      <c r="CW2381">
        <v>43</v>
      </c>
      <c r="CX2381" t="s">
        <v>15442</v>
      </c>
    </row>
    <row r="2382" spans="1:102" x14ac:dyDescent="0.3">
      <c r="A2382" t="str">
        <f>HYPERLINK("https://webapp.icbf.com/v2/app/bull-search/view/441438092","WYP")</f>
        <v>WYP</v>
      </c>
      <c r="B2382" t="s">
        <v>12043</v>
      </c>
      <c r="C2382" t="s">
        <v>12044</v>
      </c>
      <c r="D2382" s="1">
        <v>38753</v>
      </c>
      <c r="E2382" t="s">
        <v>92</v>
      </c>
      <c r="F2382">
        <v>97</v>
      </c>
      <c r="G2382" t="s">
        <v>93</v>
      </c>
      <c r="H2382">
        <v>43.01</v>
      </c>
      <c r="I2382">
        <v>87</v>
      </c>
      <c r="J2382">
        <v>55.39</v>
      </c>
      <c r="K2382">
        <v>96</v>
      </c>
      <c r="L2382">
        <v>-46.51</v>
      </c>
      <c r="M2382">
        <v>79</v>
      </c>
      <c r="N2382">
        <v>31.73</v>
      </c>
      <c r="O2382">
        <v>86</v>
      </c>
      <c r="P2382">
        <v>-11.83</v>
      </c>
      <c r="Q2382">
        <v>92</v>
      </c>
      <c r="R2382">
        <v>-4.2</v>
      </c>
      <c r="S2382">
        <v>82</v>
      </c>
      <c r="T2382">
        <v>7.61</v>
      </c>
      <c r="U2382">
        <v>89</v>
      </c>
      <c r="V2382">
        <v>10.82</v>
      </c>
      <c r="W2382">
        <v>84</v>
      </c>
      <c r="X2382" t="s">
        <v>94</v>
      </c>
      <c r="Y2382" t="s">
        <v>1251</v>
      </c>
      <c r="Z2382" t="s">
        <v>96</v>
      </c>
      <c r="AA2382" t="s">
        <v>4796</v>
      </c>
      <c r="AB2382" t="s">
        <v>12045</v>
      </c>
      <c r="AC2382">
        <v>89</v>
      </c>
      <c r="AD2382">
        <v>55</v>
      </c>
      <c r="AE2382">
        <v>96</v>
      </c>
      <c r="AF2382">
        <v>166.72</v>
      </c>
      <c r="AG2382">
        <v>3.51</v>
      </c>
      <c r="AH2382">
        <v>10.73</v>
      </c>
      <c r="AI2382">
        <v>-0.05</v>
      </c>
      <c r="AJ2382">
        <v>0.09</v>
      </c>
      <c r="AK2382">
        <v>79</v>
      </c>
      <c r="AL2382">
        <v>94</v>
      </c>
      <c r="AM2382">
        <v>59</v>
      </c>
      <c r="AN2382">
        <v>2.46</v>
      </c>
      <c r="AO2382">
        <v>-1.25</v>
      </c>
      <c r="AP2382">
        <v>215</v>
      </c>
      <c r="AQ2382">
        <v>0</v>
      </c>
      <c r="AR2382">
        <v>5.73</v>
      </c>
      <c r="AS2382">
        <v>71</v>
      </c>
      <c r="AT2382">
        <v>2.4900000000000002</v>
      </c>
      <c r="AU2382">
        <v>88</v>
      </c>
      <c r="AV2382">
        <v>-2.2999999999999998</v>
      </c>
      <c r="AW2382">
        <v>96</v>
      </c>
      <c r="AX2382">
        <v>-0.84</v>
      </c>
      <c r="AY2382">
        <v>81</v>
      </c>
      <c r="AZ2382">
        <v>5.12</v>
      </c>
      <c r="BA2382">
        <v>67</v>
      </c>
      <c r="BB2382">
        <v>5.03</v>
      </c>
      <c r="BC2382">
        <v>70</v>
      </c>
      <c r="BD2382">
        <v>0.01</v>
      </c>
      <c r="BE2382">
        <v>0</v>
      </c>
      <c r="BF2382">
        <v>0.08</v>
      </c>
      <c r="BG2382">
        <v>88</v>
      </c>
      <c r="BH2382">
        <v>0.1</v>
      </c>
      <c r="BI2382">
        <v>-23.34</v>
      </c>
      <c r="BJ2382">
        <v>11</v>
      </c>
      <c r="BK2382">
        <v>10</v>
      </c>
      <c r="BL2382">
        <v>-7.0000000000000007E-2</v>
      </c>
      <c r="BM2382">
        <v>0.18</v>
      </c>
      <c r="BN2382">
        <v>-0.06</v>
      </c>
      <c r="BO2382">
        <v>-0.09</v>
      </c>
      <c r="BP2382">
        <v>0.32</v>
      </c>
      <c r="BQ2382">
        <v>-0.46</v>
      </c>
      <c r="BR2382">
        <v>1.42</v>
      </c>
      <c r="BS2382">
        <v>-1.74</v>
      </c>
      <c r="BT2382">
        <v>-1.29</v>
      </c>
      <c r="BU2382">
        <v>0.39</v>
      </c>
      <c r="BV2382">
        <v>-0.22</v>
      </c>
      <c r="BW2382">
        <v>-7.0000000000000007E-2</v>
      </c>
      <c r="BX2382">
        <v>0.28999999999999998</v>
      </c>
      <c r="BY2382">
        <v>-0.23</v>
      </c>
      <c r="BZ2382">
        <v>-3.74</v>
      </c>
      <c r="CA2382">
        <v>-0.04</v>
      </c>
      <c r="CB2382">
        <v>0.17</v>
      </c>
      <c r="CC2382">
        <v>-0.12</v>
      </c>
      <c r="CD2382">
        <v>-0.32</v>
      </c>
      <c r="CE2382">
        <v>-0.06</v>
      </c>
      <c r="CF2382">
        <v>-0.16</v>
      </c>
      <c r="CG2382">
        <v>0</v>
      </c>
      <c r="CH2382">
        <v>1.25</v>
      </c>
      <c r="CI2382">
        <v>0</v>
      </c>
      <c r="CJ2382">
        <v>-3.4</v>
      </c>
      <c r="CK2382">
        <v>93</v>
      </c>
      <c r="CL2382">
        <v>-0.79</v>
      </c>
      <c r="CM2382">
        <v>91</v>
      </c>
      <c r="CN2382">
        <v>-0.18</v>
      </c>
      <c r="CO2382">
        <v>90</v>
      </c>
      <c r="CP2382">
        <v>-7.3</v>
      </c>
      <c r="CQ2382">
        <v>90</v>
      </c>
      <c r="CR2382">
        <v>0</v>
      </c>
      <c r="CS2382">
        <v>0</v>
      </c>
      <c r="CT2382">
        <v>3.5</v>
      </c>
      <c r="CU2382">
        <v>89</v>
      </c>
      <c r="CV2382">
        <v>0.13</v>
      </c>
      <c r="CW2382">
        <v>45</v>
      </c>
      <c r="CX2382" t="s">
        <v>1254</v>
      </c>
    </row>
    <row r="2383" spans="1:102" x14ac:dyDescent="0.3">
      <c r="A2383" t="str">
        <f>HYPERLINK("https://webapp.icbf.com/v2/app/bull-search/view/77859739","BKF")</f>
        <v>BKF</v>
      </c>
      <c r="B2383" t="s">
        <v>10807</v>
      </c>
      <c r="C2383" t="s">
        <v>10808</v>
      </c>
      <c r="D2383" s="1">
        <v>31637</v>
      </c>
      <c r="E2383" t="s">
        <v>108</v>
      </c>
      <c r="F2383">
        <v>13</v>
      </c>
      <c r="G2383" t="s">
        <v>116</v>
      </c>
      <c r="H2383">
        <v>43</v>
      </c>
      <c r="I2383">
        <v>50</v>
      </c>
      <c r="J2383">
        <v>-22.9</v>
      </c>
      <c r="K2383">
        <v>53</v>
      </c>
      <c r="L2383">
        <v>24.42</v>
      </c>
      <c r="M2383">
        <v>54</v>
      </c>
      <c r="N2383">
        <v>25.32</v>
      </c>
      <c r="O2383">
        <v>37</v>
      </c>
      <c r="P2383">
        <v>5.27</v>
      </c>
      <c r="Q2383">
        <v>49</v>
      </c>
      <c r="R2383">
        <v>5.99</v>
      </c>
      <c r="S2383">
        <v>54</v>
      </c>
      <c r="T2383">
        <v>3.47</v>
      </c>
      <c r="U2383">
        <v>45</v>
      </c>
      <c r="V2383">
        <v>1.43</v>
      </c>
      <c r="W2383">
        <v>25</v>
      </c>
      <c r="X2383" t="s">
        <v>102</v>
      </c>
      <c r="Y2383" t="s">
        <v>95</v>
      </c>
      <c r="Z2383" t="s">
        <v>96</v>
      </c>
      <c r="AA2383" t="s">
        <v>2543</v>
      </c>
      <c r="AB2383" t="s">
        <v>10809</v>
      </c>
      <c r="AC2383">
        <v>7</v>
      </c>
      <c r="AD2383">
        <v>6</v>
      </c>
      <c r="AE2383">
        <v>53</v>
      </c>
      <c r="AF2383">
        <v>-60.2</v>
      </c>
      <c r="AG2383">
        <v>-4.74</v>
      </c>
      <c r="AH2383">
        <v>-3.14</v>
      </c>
      <c r="AI2383">
        <v>-0.04</v>
      </c>
      <c r="AJ2383">
        <v>-0.02</v>
      </c>
      <c r="AK2383">
        <v>54</v>
      </c>
      <c r="AL2383">
        <v>43</v>
      </c>
      <c r="AM2383">
        <v>32</v>
      </c>
      <c r="AN2383">
        <v>-1.9</v>
      </c>
      <c r="AO2383">
        <v>0.04</v>
      </c>
      <c r="AP2383">
        <v>2</v>
      </c>
      <c r="AQ2383">
        <v>0</v>
      </c>
      <c r="AR2383">
        <v>4.6900000000000004</v>
      </c>
      <c r="AS2383">
        <v>25</v>
      </c>
      <c r="AT2383">
        <v>1.98</v>
      </c>
      <c r="AU2383">
        <v>34</v>
      </c>
      <c r="AV2383">
        <v>-1.54</v>
      </c>
      <c r="AW2383">
        <v>40</v>
      </c>
      <c r="AX2383">
        <v>-0.17</v>
      </c>
      <c r="AY2383">
        <v>51</v>
      </c>
      <c r="AZ2383">
        <v>6.67</v>
      </c>
      <c r="BA2383">
        <v>25</v>
      </c>
      <c r="BB2383">
        <v>5.41</v>
      </c>
      <c r="BC2383">
        <v>31</v>
      </c>
      <c r="BD2383">
        <v>0.02</v>
      </c>
      <c r="BE2383">
        <v>0.01</v>
      </c>
      <c r="BF2383">
        <v>-0.19</v>
      </c>
      <c r="BG2383">
        <v>73</v>
      </c>
      <c r="BH2383">
        <v>0.03</v>
      </c>
      <c r="BI2383">
        <v>-1.1399999999999999</v>
      </c>
      <c r="BJ2383">
        <v>9</v>
      </c>
      <c r="BK2383">
        <v>8</v>
      </c>
      <c r="BL2383">
        <v>-1.67</v>
      </c>
      <c r="BM2383">
        <v>1.03</v>
      </c>
      <c r="BN2383">
        <v>-1.79</v>
      </c>
      <c r="BO2383">
        <v>-2.06</v>
      </c>
      <c r="BP2383">
        <v>0.3</v>
      </c>
      <c r="BQ2383">
        <v>-0.54</v>
      </c>
      <c r="BR2383">
        <v>-1.1100000000000001</v>
      </c>
      <c r="BS2383">
        <v>-1.18</v>
      </c>
      <c r="BT2383">
        <v>0.16</v>
      </c>
      <c r="BU2383">
        <v>-0.78</v>
      </c>
      <c r="BV2383">
        <v>-2.11</v>
      </c>
      <c r="BW2383">
        <v>-2.5</v>
      </c>
      <c r="BX2383">
        <v>-0.56000000000000005</v>
      </c>
      <c r="BY2383">
        <v>-1.51</v>
      </c>
      <c r="BZ2383">
        <v>-0.96</v>
      </c>
      <c r="CA2383">
        <v>-1.69</v>
      </c>
      <c r="CB2383">
        <v>-1.81</v>
      </c>
      <c r="CC2383">
        <v>-0.9</v>
      </c>
      <c r="CD2383">
        <v>1.8</v>
      </c>
      <c r="CE2383">
        <v>-1.75</v>
      </c>
      <c r="CF2383">
        <v>-1.39</v>
      </c>
      <c r="CG2383">
        <v>0</v>
      </c>
      <c r="CH2383">
        <v>-2.2200000000000002</v>
      </c>
      <c r="CI2383">
        <v>0</v>
      </c>
      <c r="CJ2383">
        <v>3.5</v>
      </c>
      <c r="CK2383">
        <v>50</v>
      </c>
      <c r="CL2383">
        <v>-0.04</v>
      </c>
      <c r="CM2383">
        <v>47</v>
      </c>
      <c r="CN2383">
        <v>-7.0000000000000007E-2</v>
      </c>
      <c r="CO2383">
        <v>43</v>
      </c>
      <c r="CP2383">
        <v>0.2</v>
      </c>
      <c r="CQ2383">
        <v>56</v>
      </c>
      <c r="CR2383">
        <v>0</v>
      </c>
      <c r="CS2383">
        <v>0</v>
      </c>
      <c r="CT2383">
        <v>9.1</v>
      </c>
      <c r="CU2383">
        <v>45</v>
      </c>
      <c r="CV2383">
        <v>0.03</v>
      </c>
      <c r="CW2383">
        <v>13</v>
      </c>
      <c r="CX2383" t="s">
        <v>10810</v>
      </c>
    </row>
    <row r="2384" spans="1:102" x14ac:dyDescent="0.3">
      <c r="A2384" t="str">
        <f>HYPERLINK("https://webapp.icbf.com/v2/app/bull-search/view/714742497","S2019")</f>
        <v>S2019</v>
      </c>
      <c r="B2384" t="s">
        <v>5756</v>
      </c>
      <c r="C2384" t="s">
        <v>5757</v>
      </c>
      <c r="D2384" s="1">
        <v>39435</v>
      </c>
      <c r="E2384" t="s">
        <v>92</v>
      </c>
      <c r="F2384">
        <v>100</v>
      </c>
      <c r="G2384" t="s">
        <v>93</v>
      </c>
      <c r="H2384">
        <v>42.8</v>
      </c>
      <c r="I2384">
        <v>87</v>
      </c>
      <c r="J2384">
        <v>44.63</v>
      </c>
      <c r="K2384">
        <v>97</v>
      </c>
      <c r="L2384">
        <v>-25.02</v>
      </c>
      <c r="M2384">
        <v>85</v>
      </c>
      <c r="N2384">
        <v>31.2</v>
      </c>
      <c r="O2384">
        <v>86</v>
      </c>
      <c r="P2384">
        <v>20.170000000000002</v>
      </c>
      <c r="Q2384">
        <v>93</v>
      </c>
      <c r="R2384">
        <v>8.23</v>
      </c>
      <c r="S2384">
        <v>75</v>
      </c>
      <c r="T2384">
        <v>-34.200000000000003</v>
      </c>
      <c r="U2384">
        <v>77</v>
      </c>
      <c r="V2384">
        <v>-2.21</v>
      </c>
      <c r="W2384">
        <v>54</v>
      </c>
      <c r="X2384" t="s">
        <v>102</v>
      </c>
      <c r="Y2384" t="s">
        <v>367</v>
      </c>
      <c r="Z2384" t="s">
        <v>96</v>
      </c>
      <c r="AA2384" t="s">
        <v>314</v>
      </c>
      <c r="AB2384" t="s">
        <v>5758</v>
      </c>
      <c r="AC2384">
        <v>195</v>
      </c>
      <c r="AD2384">
        <v>52</v>
      </c>
      <c r="AE2384">
        <v>97</v>
      </c>
      <c r="AF2384">
        <v>288.76</v>
      </c>
      <c r="AG2384">
        <v>6.53</v>
      </c>
      <c r="AH2384">
        <v>9.6999999999999993</v>
      </c>
      <c r="AI2384">
        <v>-0.08</v>
      </c>
      <c r="AJ2384">
        <v>0</v>
      </c>
      <c r="AK2384">
        <v>85</v>
      </c>
      <c r="AL2384">
        <v>131</v>
      </c>
      <c r="AM2384">
        <v>43</v>
      </c>
      <c r="AN2384">
        <v>2.5499999999999998</v>
      </c>
      <c r="AO2384">
        <v>0.56999999999999995</v>
      </c>
      <c r="AP2384">
        <v>424</v>
      </c>
      <c r="AQ2384">
        <v>2</v>
      </c>
      <c r="AR2384">
        <v>5.74</v>
      </c>
      <c r="AS2384">
        <v>89</v>
      </c>
      <c r="AT2384">
        <v>2.74</v>
      </c>
      <c r="AU2384">
        <v>88</v>
      </c>
      <c r="AV2384">
        <v>-2.33</v>
      </c>
      <c r="AW2384">
        <v>98</v>
      </c>
      <c r="AX2384">
        <v>-0.48</v>
      </c>
      <c r="AY2384">
        <v>90</v>
      </c>
      <c r="AZ2384">
        <v>5.91</v>
      </c>
      <c r="BA2384">
        <v>69</v>
      </c>
      <c r="BB2384">
        <v>4.37</v>
      </c>
      <c r="BC2384">
        <v>47</v>
      </c>
      <c r="BD2384">
        <v>-0.02</v>
      </c>
      <c r="BE2384">
        <v>-0.04</v>
      </c>
      <c r="BF2384">
        <v>-0.08</v>
      </c>
      <c r="BG2384">
        <v>92</v>
      </c>
      <c r="BH2384">
        <v>0.08</v>
      </c>
      <c r="BI2384">
        <v>16.38</v>
      </c>
      <c r="BJ2384">
        <v>62</v>
      </c>
      <c r="BK2384">
        <v>15</v>
      </c>
      <c r="BL2384">
        <v>1.66</v>
      </c>
      <c r="BM2384">
        <v>1.35</v>
      </c>
      <c r="BN2384">
        <v>0.68</v>
      </c>
      <c r="BO2384">
        <v>0.38</v>
      </c>
      <c r="BP2384">
        <v>-0.26</v>
      </c>
      <c r="BQ2384">
        <v>2.98</v>
      </c>
      <c r="BR2384">
        <v>-0.27</v>
      </c>
      <c r="BS2384">
        <v>-0.12</v>
      </c>
      <c r="BT2384">
        <v>1.0900000000000001</v>
      </c>
      <c r="BU2384">
        <v>2.2000000000000002</v>
      </c>
      <c r="BV2384">
        <v>1.31</v>
      </c>
      <c r="BW2384">
        <v>1.78</v>
      </c>
      <c r="BX2384">
        <v>1.85</v>
      </c>
      <c r="BY2384">
        <v>2.91</v>
      </c>
      <c r="BZ2384">
        <v>2.0099999999999998</v>
      </c>
      <c r="CA2384">
        <v>1.74</v>
      </c>
      <c r="CB2384">
        <v>2.04</v>
      </c>
      <c r="CC2384">
        <v>0.33</v>
      </c>
      <c r="CD2384">
        <v>-0.28000000000000003</v>
      </c>
      <c r="CE2384">
        <v>0.25</v>
      </c>
      <c r="CF2384">
        <v>0.78</v>
      </c>
      <c r="CG2384">
        <v>0</v>
      </c>
      <c r="CH2384">
        <v>1</v>
      </c>
      <c r="CI2384">
        <v>0</v>
      </c>
      <c r="CJ2384">
        <v>12.1</v>
      </c>
      <c r="CK2384">
        <v>95</v>
      </c>
      <c r="CL2384">
        <v>-0.68</v>
      </c>
      <c r="CM2384">
        <v>93</v>
      </c>
      <c r="CN2384">
        <v>-0.56999999999999995</v>
      </c>
      <c r="CO2384">
        <v>93</v>
      </c>
      <c r="CP2384">
        <v>25.4</v>
      </c>
      <c r="CQ2384">
        <v>81</v>
      </c>
      <c r="CR2384">
        <v>0</v>
      </c>
      <c r="CS2384">
        <v>0</v>
      </c>
      <c r="CT2384">
        <v>60</v>
      </c>
      <c r="CU2384">
        <v>77</v>
      </c>
      <c r="CV2384">
        <v>0.38</v>
      </c>
      <c r="CW2384">
        <v>28</v>
      </c>
      <c r="CX2384" t="s">
        <v>277</v>
      </c>
    </row>
    <row r="2385" spans="1:102" x14ac:dyDescent="0.3">
      <c r="A2385" t="str">
        <f>HYPERLINK("https://webapp.icbf.com/v2/app/bull-search/view/1492480641","FR4596")</f>
        <v>FR4596</v>
      </c>
      <c r="B2385" t="s">
        <v>10335</v>
      </c>
      <c r="C2385" t="s">
        <v>10336</v>
      </c>
      <c r="D2385" s="1">
        <v>42408</v>
      </c>
      <c r="E2385" t="s">
        <v>92</v>
      </c>
      <c r="F2385">
        <v>100</v>
      </c>
      <c r="G2385" t="s">
        <v>435</v>
      </c>
      <c r="H2385">
        <v>42.79</v>
      </c>
      <c r="I2385">
        <v>70</v>
      </c>
      <c r="J2385">
        <v>93.04</v>
      </c>
      <c r="K2385">
        <v>88</v>
      </c>
      <c r="L2385">
        <v>-84.2</v>
      </c>
      <c r="M2385">
        <v>68</v>
      </c>
      <c r="N2385">
        <v>45.36</v>
      </c>
      <c r="O2385">
        <v>76</v>
      </c>
      <c r="P2385">
        <v>-10.24</v>
      </c>
      <c r="Q2385">
        <v>40</v>
      </c>
      <c r="R2385">
        <v>12.34</v>
      </c>
      <c r="S2385">
        <v>63</v>
      </c>
      <c r="T2385">
        <v>-10</v>
      </c>
      <c r="U2385">
        <v>35</v>
      </c>
      <c r="V2385">
        <v>-3.51</v>
      </c>
      <c r="W2385">
        <v>53</v>
      </c>
      <c r="X2385" t="s">
        <v>428</v>
      </c>
      <c r="Y2385" t="s">
        <v>442</v>
      </c>
      <c r="Z2385" t="s">
        <v>96</v>
      </c>
      <c r="AA2385" t="s">
        <v>448</v>
      </c>
      <c r="AB2385" t="s">
        <v>10337</v>
      </c>
      <c r="AC2385">
        <v>0</v>
      </c>
      <c r="AD2385">
        <v>0</v>
      </c>
      <c r="AE2385">
        <v>88</v>
      </c>
      <c r="AF2385">
        <v>684.61</v>
      </c>
      <c r="AG2385">
        <v>18.21</v>
      </c>
      <c r="AH2385">
        <v>19.86</v>
      </c>
      <c r="AI2385">
        <v>-0.14000000000000001</v>
      </c>
      <c r="AJ2385">
        <v>-0.05</v>
      </c>
      <c r="AK2385">
        <v>68</v>
      </c>
      <c r="AL2385">
        <v>0</v>
      </c>
      <c r="AM2385">
        <v>0</v>
      </c>
      <c r="AN2385">
        <v>8.09</v>
      </c>
      <c r="AO2385">
        <v>1.42</v>
      </c>
      <c r="AP2385">
        <v>148</v>
      </c>
      <c r="AQ2385">
        <v>0</v>
      </c>
      <c r="AR2385">
        <v>6.54</v>
      </c>
      <c r="AS2385">
        <v>77</v>
      </c>
      <c r="AT2385">
        <v>2.4700000000000002</v>
      </c>
      <c r="AU2385">
        <v>91</v>
      </c>
      <c r="AV2385">
        <v>-4.68</v>
      </c>
      <c r="AW2385">
        <v>86</v>
      </c>
      <c r="AX2385">
        <v>0.1</v>
      </c>
      <c r="AY2385">
        <v>70</v>
      </c>
      <c r="AZ2385">
        <v>6.23</v>
      </c>
      <c r="BA2385">
        <v>36</v>
      </c>
      <c r="BB2385">
        <v>4.9400000000000004</v>
      </c>
      <c r="BC2385">
        <v>34</v>
      </c>
      <c r="BD2385">
        <v>-7.0000000000000007E-2</v>
      </c>
      <c r="BE2385">
        <v>-0.03</v>
      </c>
      <c r="BF2385">
        <v>-0.11</v>
      </c>
      <c r="BG2385">
        <v>76</v>
      </c>
      <c r="BH2385">
        <v>-0.02</v>
      </c>
      <c r="BI2385">
        <v>9</v>
      </c>
      <c r="BJ2385">
        <v>0</v>
      </c>
      <c r="BK2385">
        <v>0</v>
      </c>
      <c r="BL2385">
        <v>2.37</v>
      </c>
      <c r="BM2385">
        <v>0.37</v>
      </c>
      <c r="BN2385">
        <v>1.75</v>
      </c>
      <c r="BO2385">
        <v>2.0499999999999998</v>
      </c>
      <c r="BP2385">
        <v>-0.82</v>
      </c>
      <c r="BQ2385">
        <v>2.5499999999999998</v>
      </c>
      <c r="BR2385">
        <v>-1.08</v>
      </c>
      <c r="BS2385">
        <v>1.9</v>
      </c>
      <c r="BT2385">
        <v>1.91</v>
      </c>
      <c r="BU2385">
        <v>3.97</v>
      </c>
      <c r="BV2385">
        <v>3.55</v>
      </c>
      <c r="BW2385">
        <v>2.92</v>
      </c>
      <c r="BX2385">
        <v>3.48</v>
      </c>
      <c r="BY2385">
        <v>1.87</v>
      </c>
      <c r="BZ2385">
        <v>0.9</v>
      </c>
      <c r="CA2385">
        <v>3.38</v>
      </c>
      <c r="CB2385">
        <v>3.49</v>
      </c>
      <c r="CC2385">
        <v>1.64</v>
      </c>
      <c r="CD2385">
        <v>-0.62</v>
      </c>
      <c r="CE2385">
        <v>1.74</v>
      </c>
      <c r="CF2385">
        <v>2.2799999999999998</v>
      </c>
      <c r="CG2385">
        <v>0</v>
      </c>
      <c r="CH2385">
        <v>2.4900000000000002</v>
      </c>
      <c r="CI2385">
        <v>0</v>
      </c>
      <c r="CJ2385">
        <v>-0.2</v>
      </c>
      <c r="CK2385">
        <v>40</v>
      </c>
      <c r="CL2385">
        <v>-1.67</v>
      </c>
      <c r="CM2385">
        <v>40</v>
      </c>
      <c r="CN2385">
        <v>-0.54</v>
      </c>
      <c r="CO2385">
        <v>39</v>
      </c>
      <c r="CP2385">
        <v>6.3</v>
      </c>
      <c r="CQ2385">
        <v>36</v>
      </c>
      <c r="CR2385">
        <v>0</v>
      </c>
      <c r="CS2385">
        <v>0</v>
      </c>
      <c r="CT2385">
        <v>27.3</v>
      </c>
      <c r="CU2385">
        <v>35</v>
      </c>
      <c r="CV2385">
        <v>0.26</v>
      </c>
      <c r="CW2385">
        <v>33</v>
      </c>
      <c r="CX2385" t="s">
        <v>6247</v>
      </c>
    </row>
    <row r="2386" spans="1:102" x14ac:dyDescent="0.3">
      <c r="A2386" t="str">
        <f>HYPERLINK("https://webapp.icbf.com/v2/app/bull-search/view/1118606010","S1645")</f>
        <v>S1645</v>
      </c>
      <c r="B2386" t="s">
        <v>13281</v>
      </c>
      <c r="C2386" t="s">
        <v>6242</v>
      </c>
      <c r="D2386" s="1">
        <v>40774</v>
      </c>
      <c r="E2386" t="s">
        <v>92</v>
      </c>
      <c r="F2386">
        <v>100</v>
      </c>
      <c r="G2386" t="s">
        <v>109</v>
      </c>
      <c r="H2386">
        <v>42.73</v>
      </c>
      <c r="I2386">
        <v>64</v>
      </c>
      <c r="J2386">
        <v>42.52</v>
      </c>
      <c r="K2386">
        <v>78</v>
      </c>
      <c r="L2386">
        <v>-14.52</v>
      </c>
      <c r="M2386">
        <v>77</v>
      </c>
      <c r="N2386">
        <v>7.91</v>
      </c>
      <c r="O2386">
        <v>56</v>
      </c>
      <c r="P2386">
        <v>-2.0299999999999998</v>
      </c>
      <c r="Q2386">
        <v>36</v>
      </c>
      <c r="R2386">
        <v>3.25</v>
      </c>
      <c r="S2386">
        <v>56</v>
      </c>
      <c r="T2386">
        <v>3.17</v>
      </c>
      <c r="U2386">
        <v>16</v>
      </c>
      <c r="V2386">
        <v>2.4300000000000002</v>
      </c>
      <c r="W2386">
        <v>21</v>
      </c>
      <c r="X2386" t="s">
        <v>102</v>
      </c>
      <c r="Y2386" t="s">
        <v>362</v>
      </c>
      <c r="Z2386" t="s">
        <v>96</v>
      </c>
      <c r="AA2386" t="s">
        <v>13282</v>
      </c>
      <c r="AB2386" t="s">
        <v>13283</v>
      </c>
      <c r="AC2386">
        <v>0</v>
      </c>
      <c r="AD2386">
        <v>0</v>
      </c>
      <c r="AE2386">
        <v>78</v>
      </c>
      <c r="AF2386">
        <v>616.67999999999995</v>
      </c>
      <c r="AG2386">
        <v>9.98</v>
      </c>
      <c r="AH2386">
        <v>13.14</v>
      </c>
      <c r="AI2386">
        <v>-0.21</v>
      </c>
      <c r="AJ2386">
        <v>-0.12</v>
      </c>
      <c r="AK2386">
        <v>77</v>
      </c>
      <c r="AL2386">
        <v>0</v>
      </c>
      <c r="AM2386">
        <v>0</v>
      </c>
      <c r="AN2386">
        <v>0.66</v>
      </c>
      <c r="AO2386">
        <v>-0.5</v>
      </c>
      <c r="AP2386">
        <v>9</v>
      </c>
      <c r="AQ2386">
        <v>0</v>
      </c>
      <c r="AR2386">
        <v>7.74</v>
      </c>
      <c r="AS2386">
        <v>48</v>
      </c>
      <c r="AT2386">
        <v>3.6</v>
      </c>
      <c r="AU2386">
        <v>94</v>
      </c>
      <c r="AV2386">
        <v>-1.76</v>
      </c>
      <c r="AW2386">
        <v>57</v>
      </c>
      <c r="AX2386">
        <v>1.32</v>
      </c>
      <c r="AY2386">
        <v>38</v>
      </c>
      <c r="AZ2386">
        <v>5.98</v>
      </c>
      <c r="BA2386">
        <v>17</v>
      </c>
      <c r="BB2386">
        <v>4.72</v>
      </c>
      <c r="BC2386">
        <v>12</v>
      </c>
      <c r="BD2386">
        <v>-0.01</v>
      </c>
      <c r="BE2386">
        <v>-0.02</v>
      </c>
      <c r="BF2386">
        <v>-0.02</v>
      </c>
      <c r="BG2386">
        <v>85</v>
      </c>
      <c r="BH2386">
        <v>0.02</v>
      </c>
      <c r="BI2386">
        <v>-5.54</v>
      </c>
      <c r="BJ2386">
        <v>7</v>
      </c>
      <c r="BK2386">
        <v>5</v>
      </c>
      <c r="BL2386">
        <v>1.56</v>
      </c>
      <c r="BM2386">
        <v>-1.8</v>
      </c>
      <c r="BN2386">
        <v>-0.74</v>
      </c>
      <c r="BO2386">
        <v>1.32</v>
      </c>
      <c r="BP2386">
        <v>0.97</v>
      </c>
      <c r="BQ2386">
        <v>2.46</v>
      </c>
      <c r="BR2386">
        <v>-2.14</v>
      </c>
      <c r="BS2386">
        <v>1.88</v>
      </c>
      <c r="BT2386">
        <v>1.69</v>
      </c>
      <c r="BU2386">
        <v>3.4</v>
      </c>
      <c r="BV2386">
        <v>3.13</v>
      </c>
      <c r="BW2386">
        <v>0.35</v>
      </c>
      <c r="BX2386">
        <v>2.4300000000000002</v>
      </c>
      <c r="BY2386">
        <v>1</v>
      </c>
      <c r="BZ2386">
        <v>-2.81</v>
      </c>
      <c r="CA2386">
        <v>2.31</v>
      </c>
      <c r="CB2386">
        <v>2.12</v>
      </c>
      <c r="CC2386">
        <v>1.57</v>
      </c>
      <c r="CD2386">
        <v>-0.99</v>
      </c>
      <c r="CE2386">
        <v>0.63</v>
      </c>
      <c r="CF2386">
        <v>1.54</v>
      </c>
      <c r="CG2386">
        <v>0</v>
      </c>
      <c r="CH2386">
        <v>0.86</v>
      </c>
      <c r="CI2386">
        <v>0</v>
      </c>
      <c r="CJ2386">
        <v>-0.7</v>
      </c>
      <c r="CK2386">
        <v>39</v>
      </c>
      <c r="CL2386">
        <v>-0.96</v>
      </c>
      <c r="CM2386">
        <v>35</v>
      </c>
      <c r="CN2386">
        <v>-0.75</v>
      </c>
      <c r="CO2386">
        <v>34</v>
      </c>
      <c r="CP2386">
        <v>0.4</v>
      </c>
      <c r="CQ2386">
        <v>20</v>
      </c>
      <c r="CR2386">
        <v>0</v>
      </c>
      <c r="CS2386">
        <v>0</v>
      </c>
      <c r="CT2386">
        <v>9.5</v>
      </c>
      <c r="CU2386">
        <v>16</v>
      </c>
      <c r="CV2386">
        <v>0.23</v>
      </c>
      <c r="CW2386">
        <v>10</v>
      </c>
      <c r="CX2386" t="s">
        <v>13284</v>
      </c>
    </row>
    <row r="2387" spans="1:102" x14ac:dyDescent="0.3">
      <c r="A2387" t="str">
        <f>HYPERLINK("https://webapp.icbf.com/v2/app/bull-search/view/69092209","MCR")</f>
        <v>MCR</v>
      </c>
      <c r="B2387" t="s">
        <v>10445</v>
      </c>
      <c r="C2387" t="s">
        <v>5682</v>
      </c>
      <c r="D2387" s="1">
        <v>34994</v>
      </c>
      <c r="E2387" t="s">
        <v>92</v>
      </c>
      <c r="F2387">
        <v>100</v>
      </c>
      <c r="G2387" t="s">
        <v>93</v>
      </c>
      <c r="H2387">
        <v>42.71</v>
      </c>
      <c r="I2387">
        <v>92</v>
      </c>
      <c r="J2387">
        <v>47.43</v>
      </c>
      <c r="K2387">
        <v>97</v>
      </c>
      <c r="L2387">
        <v>-17.63</v>
      </c>
      <c r="M2387">
        <v>91</v>
      </c>
      <c r="N2387">
        <v>16.62</v>
      </c>
      <c r="O2387">
        <v>87</v>
      </c>
      <c r="P2387">
        <v>0.82</v>
      </c>
      <c r="Q2387">
        <v>93</v>
      </c>
      <c r="R2387">
        <v>-17.149999999999999</v>
      </c>
      <c r="S2387">
        <v>85</v>
      </c>
      <c r="T2387">
        <v>8.65</v>
      </c>
      <c r="U2387">
        <v>87</v>
      </c>
      <c r="V2387">
        <v>3.97</v>
      </c>
      <c r="W2387">
        <v>83</v>
      </c>
      <c r="X2387" t="s">
        <v>94</v>
      </c>
      <c r="Y2387" t="s">
        <v>95</v>
      </c>
      <c r="Z2387" t="s">
        <v>96</v>
      </c>
      <c r="AA2387" t="s">
        <v>265</v>
      </c>
      <c r="AB2387" t="s">
        <v>10446</v>
      </c>
      <c r="AC2387">
        <v>116</v>
      </c>
      <c r="AD2387">
        <v>54</v>
      </c>
      <c r="AE2387">
        <v>97</v>
      </c>
      <c r="AF2387">
        <v>154.41</v>
      </c>
      <c r="AG2387">
        <v>10.8</v>
      </c>
      <c r="AH2387">
        <v>6.61</v>
      </c>
      <c r="AI2387">
        <v>0.08</v>
      </c>
      <c r="AJ2387">
        <v>0.02</v>
      </c>
      <c r="AK2387">
        <v>91</v>
      </c>
      <c r="AL2387">
        <v>106</v>
      </c>
      <c r="AM2387">
        <v>48</v>
      </c>
      <c r="AN2387">
        <v>0.66</v>
      </c>
      <c r="AO2387">
        <v>-0.75</v>
      </c>
      <c r="AP2387">
        <v>155</v>
      </c>
      <c r="AQ2387">
        <v>1</v>
      </c>
      <c r="AR2387">
        <v>5.48</v>
      </c>
      <c r="AS2387">
        <v>82</v>
      </c>
      <c r="AT2387">
        <v>2.2200000000000002</v>
      </c>
      <c r="AU2387">
        <v>90</v>
      </c>
      <c r="AV2387">
        <v>-2.5</v>
      </c>
      <c r="AW2387">
        <v>94</v>
      </c>
      <c r="AX2387">
        <v>-0.09</v>
      </c>
      <c r="AY2387">
        <v>85</v>
      </c>
      <c r="AZ2387">
        <v>9.07</v>
      </c>
      <c r="BA2387">
        <v>67</v>
      </c>
      <c r="BB2387">
        <v>6.89</v>
      </c>
      <c r="BC2387">
        <v>73</v>
      </c>
      <c r="BD2387">
        <v>-0.01</v>
      </c>
      <c r="BE2387">
        <v>0.09</v>
      </c>
      <c r="BF2387">
        <v>0.24</v>
      </c>
      <c r="BG2387">
        <v>93</v>
      </c>
      <c r="BH2387">
        <v>0.14000000000000001</v>
      </c>
      <c r="BI2387">
        <v>3.4</v>
      </c>
      <c r="BJ2387">
        <v>6</v>
      </c>
      <c r="BK2387">
        <v>6</v>
      </c>
      <c r="BL2387">
        <v>-0.16</v>
      </c>
      <c r="BM2387">
        <v>-0.3</v>
      </c>
      <c r="BN2387">
        <v>-0.32</v>
      </c>
      <c r="BO2387">
        <v>0.05</v>
      </c>
      <c r="BP2387">
        <v>1.08</v>
      </c>
      <c r="BQ2387">
        <v>-1.1499999999999999</v>
      </c>
      <c r="BR2387">
        <v>-2.4</v>
      </c>
      <c r="BS2387">
        <v>1.2</v>
      </c>
      <c r="BT2387">
        <v>1.36</v>
      </c>
      <c r="BU2387">
        <v>0.6</v>
      </c>
      <c r="BV2387">
        <v>-0.17</v>
      </c>
      <c r="BW2387">
        <v>-1.1599999999999999</v>
      </c>
      <c r="BX2387">
        <v>-0.33</v>
      </c>
      <c r="BY2387">
        <v>-0.13</v>
      </c>
      <c r="BZ2387">
        <v>2.2799999999999998</v>
      </c>
      <c r="CA2387">
        <v>0.33</v>
      </c>
      <c r="CB2387">
        <v>0.12</v>
      </c>
      <c r="CC2387">
        <v>0.37</v>
      </c>
      <c r="CD2387">
        <v>-7.0000000000000007E-2</v>
      </c>
      <c r="CE2387">
        <v>0.57999999999999996</v>
      </c>
      <c r="CF2387">
        <v>-0.21</v>
      </c>
      <c r="CG2387">
        <v>0</v>
      </c>
      <c r="CH2387">
        <v>0.06</v>
      </c>
      <c r="CI2387">
        <v>0</v>
      </c>
      <c r="CJ2387">
        <v>3.1</v>
      </c>
      <c r="CK2387">
        <v>94</v>
      </c>
      <c r="CL2387">
        <v>-0.71</v>
      </c>
      <c r="CM2387">
        <v>93</v>
      </c>
      <c r="CN2387">
        <v>-0.37</v>
      </c>
      <c r="CO2387">
        <v>92</v>
      </c>
      <c r="CP2387">
        <v>-3.1</v>
      </c>
      <c r="CQ2387">
        <v>92</v>
      </c>
      <c r="CR2387">
        <v>0</v>
      </c>
      <c r="CS2387">
        <v>0</v>
      </c>
      <c r="CT2387">
        <v>2.1</v>
      </c>
      <c r="CU2387">
        <v>87</v>
      </c>
      <c r="CV2387">
        <v>0.27</v>
      </c>
      <c r="CW2387">
        <v>45</v>
      </c>
      <c r="CX2387" t="s">
        <v>193</v>
      </c>
    </row>
    <row r="2388" spans="1:102" x14ac:dyDescent="0.3">
      <c r="A2388" t="str">
        <f>HYPERLINK("https://webapp.icbf.com/v2/app/bull-search/view/660250672","VGH")</f>
        <v>VGH</v>
      </c>
      <c r="B2388" t="s">
        <v>10100</v>
      </c>
      <c r="C2388" t="s">
        <v>10101</v>
      </c>
      <c r="D2388" s="1">
        <v>38705</v>
      </c>
      <c r="E2388" t="s">
        <v>92</v>
      </c>
      <c r="F2388">
        <v>100</v>
      </c>
      <c r="G2388" t="s">
        <v>93</v>
      </c>
      <c r="H2388">
        <v>42.61</v>
      </c>
      <c r="I2388">
        <v>84</v>
      </c>
      <c r="J2388">
        <v>38.56</v>
      </c>
      <c r="K2388">
        <v>93</v>
      </c>
      <c r="L2388">
        <v>-36.15</v>
      </c>
      <c r="M2388">
        <v>85</v>
      </c>
      <c r="N2388">
        <v>38.24</v>
      </c>
      <c r="O2388">
        <v>81</v>
      </c>
      <c r="P2388">
        <v>-11.57</v>
      </c>
      <c r="Q2388">
        <v>87</v>
      </c>
      <c r="R2388">
        <v>4.74</v>
      </c>
      <c r="S2388">
        <v>69</v>
      </c>
      <c r="T2388">
        <v>7.91</v>
      </c>
      <c r="U2388">
        <v>74</v>
      </c>
      <c r="V2388">
        <v>0.88</v>
      </c>
      <c r="W2388">
        <v>48</v>
      </c>
      <c r="X2388" t="s">
        <v>102</v>
      </c>
      <c r="Y2388" t="s">
        <v>282</v>
      </c>
      <c r="Z2388" t="s">
        <v>96</v>
      </c>
      <c r="AA2388" t="s">
        <v>309</v>
      </c>
      <c r="AB2388" t="s">
        <v>10102</v>
      </c>
      <c r="AC2388">
        <v>57</v>
      </c>
      <c r="AD2388">
        <v>24</v>
      </c>
      <c r="AE2388">
        <v>93</v>
      </c>
      <c r="AF2388">
        <v>374.17</v>
      </c>
      <c r="AG2388">
        <v>4.68</v>
      </c>
      <c r="AH2388">
        <v>10.63</v>
      </c>
      <c r="AI2388">
        <v>-0.15</v>
      </c>
      <c r="AJ2388">
        <v>-0.03</v>
      </c>
      <c r="AK2388">
        <v>85</v>
      </c>
      <c r="AL2388">
        <v>53</v>
      </c>
      <c r="AM2388">
        <v>22</v>
      </c>
      <c r="AN2388">
        <v>2.21</v>
      </c>
      <c r="AO2388">
        <v>-0.67</v>
      </c>
      <c r="AP2388">
        <v>124</v>
      </c>
      <c r="AQ2388">
        <v>0</v>
      </c>
      <c r="AR2388">
        <v>3.95</v>
      </c>
      <c r="AS2388">
        <v>81</v>
      </c>
      <c r="AT2388">
        <v>1.89</v>
      </c>
      <c r="AU2388">
        <v>88</v>
      </c>
      <c r="AV2388">
        <v>-3.17</v>
      </c>
      <c r="AW2388">
        <v>92</v>
      </c>
      <c r="AX2388">
        <v>0.57999999999999996</v>
      </c>
      <c r="AY2388">
        <v>73</v>
      </c>
      <c r="AZ2388">
        <v>6.51</v>
      </c>
      <c r="BA2388">
        <v>55</v>
      </c>
      <c r="BB2388">
        <v>5.44</v>
      </c>
      <c r="BC2388">
        <v>48</v>
      </c>
      <c r="BD2388">
        <v>0</v>
      </c>
      <c r="BE2388">
        <v>-0.01</v>
      </c>
      <c r="BF2388">
        <v>-0.09</v>
      </c>
      <c r="BG2388">
        <v>88</v>
      </c>
      <c r="BH2388">
        <v>-0.03</v>
      </c>
      <c r="BI2388">
        <v>-6.31</v>
      </c>
      <c r="BJ2388">
        <v>35</v>
      </c>
      <c r="BK2388">
        <v>15</v>
      </c>
      <c r="BL2388">
        <v>2.34</v>
      </c>
      <c r="BM2388">
        <v>-3.27</v>
      </c>
      <c r="BN2388">
        <v>-0.94</v>
      </c>
      <c r="BO2388">
        <v>1.27</v>
      </c>
      <c r="BP2388">
        <v>0.33</v>
      </c>
      <c r="BQ2388">
        <v>-1.72</v>
      </c>
      <c r="BR2388">
        <v>-0.74</v>
      </c>
      <c r="BS2388">
        <v>0.36</v>
      </c>
      <c r="BT2388">
        <v>0.12</v>
      </c>
      <c r="BU2388">
        <v>2.2999999999999998</v>
      </c>
      <c r="BV2388">
        <v>2.19</v>
      </c>
      <c r="BW2388">
        <v>1.63</v>
      </c>
      <c r="BX2388">
        <v>2.97</v>
      </c>
      <c r="BY2388">
        <v>0.59</v>
      </c>
      <c r="BZ2388">
        <v>0.7</v>
      </c>
      <c r="CA2388">
        <v>1.3</v>
      </c>
      <c r="CB2388">
        <v>1.77</v>
      </c>
      <c r="CC2388">
        <v>-0.63</v>
      </c>
      <c r="CD2388">
        <v>-1.44</v>
      </c>
      <c r="CE2388">
        <v>1.18</v>
      </c>
      <c r="CF2388">
        <v>0.1</v>
      </c>
      <c r="CG2388">
        <v>0</v>
      </c>
      <c r="CH2388">
        <v>-0.34</v>
      </c>
      <c r="CI2388">
        <v>0</v>
      </c>
      <c r="CJ2388">
        <v>-5.6</v>
      </c>
      <c r="CK2388">
        <v>88</v>
      </c>
      <c r="CL2388">
        <v>-1.3</v>
      </c>
      <c r="CM2388">
        <v>86</v>
      </c>
      <c r="CN2388">
        <v>-0.85</v>
      </c>
      <c r="CO2388">
        <v>84</v>
      </c>
      <c r="CP2388">
        <v>-2.5</v>
      </c>
      <c r="CQ2388">
        <v>82</v>
      </c>
      <c r="CR2388">
        <v>0</v>
      </c>
      <c r="CS2388">
        <v>0</v>
      </c>
      <c r="CT2388">
        <v>3.1</v>
      </c>
      <c r="CU2388">
        <v>74</v>
      </c>
      <c r="CV2388">
        <v>0.22</v>
      </c>
      <c r="CW2388">
        <v>25</v>
      </c>
      <c r="CX2388" t="s">
        <v>596</v>
      </c>
    </row>
    <row r="2389" spans="1:102" x14ac:dyDescent="0.3">
      <c r="A2389" t="str">
        <f>HYPERLINK("https://webapp.icbf.com/v2/app/bull-search/view/491458929","RXE")</f>
        <v>RXE</v>
      </c>
      <c r="B2389" t="s">
        <v>12343</v>
      </c>
      <c r="C2389" t="s">
        <v>12344</v>
      </c>
      <c r="D2389" s="1">
        <v>36532</v>
      </c>
      <c r="E2389" t="s">
        <v>140</v>
      </c>
      <c r="F2389">
        <v>0</v>
      </c>
      <c r="G2389" t="s">
        <v>435</v>
      </c>
      <c r="H2389">
        <v>42.58</v>
      </c>
      <c r="I2389">
        <v>66</v>
      </c>
      <c r="J2389">
        <v>-25.08</v>
      </c>
      <c r="K2389">
        <v>76</v>
      </c>
      <c r="L2389">
        <v>77.38</v>
      </c>
      <c r="M2389">
        <v>60</v>
      </c>
      <c r="N2389">
        <v>-41.02</v>
      </c>
      <c r="O2389">
        <v>64</v>
      </c>
      <c r="P2389">
        <v>20.96</v>
      </c>
      <c r="Q2389">
        <v>81</v>
      </c>
      <c r="R2389">
        <v>16.37</v>
      </c>
      <c r="S2389">
        <v>58</v>
      </c>
      <c r="T2389">
        <v>8.7899999999999991</v>
      </c>
      <c r="U2389">
        <v>53</v>
      </c>
      <c r="V2389">
        <v>-14.82</v>
      </c>
      <c r="W2389">
        <v>51</v>
      </c>
      <c r="X2389" t="s">
        <v>276</v>
      </c>
      <c r="Y2389" t="s">
        <v>1251</v>
      </c>
      <c r="Z2389">
        <v>0</v>
      </c>
      <c r="AA2389" t="s">
        <v>4204</v>
      </c>
      <c r="AB2389" t="s">
        <v>12345</v>
      </c>
      <c r="AC2389">
        <v>6</v>
      </c>
      <c r="AD2389">
        <v>4</v>
      </c>
      <c r="AE2389">
        <v>76</v>
      </c>
      <c r="AF2389">
        <v>-281.79000000000002</v>
      </c>
      <c r="AG2389">
        <v>-12.04</v>
      </c>
      <c r="AH2389">
        <v>-4.32</v>
      </c>
      <c r="AI2389">
        <v>-0.02</v>
      </c>
      <c r="AJ2389">
        <v>0.1</v>
      </c>
      <c r="AK2389">
        <v>60</v>
      </c>
      <c r="AL2389">
        <v>21</v>
      </c>
      <c r="AM2389">
        <v>10</v>
      </c>
      <c r="AN2389">
        <v>-3.53</v>
      </c>
      <c r="AO2389">
        <v>2.65</v>
      </c>
      <c r="AP2389">
        <v>43</v>
      </c>
      <c r="AQ2389">
        <v>1</v>
      </c>
      <c r="AR2389">
        <v>11.34</v>
      </c>
      <c r="AS2389">
        <v>46</v>
      </c>
      <c r="AT2389">
        <v>5.64</v>
      </c>
      <c r="AU2389">
        <v>68</v>
      </c>
      <c r="AV2389">
        <v>1.36</v>
      </c>
      <c r="AW2389">
        <v>72</v>
      </c>
      <c r="AX2389">
        <v>-0.4</v>
      </c>
      <c r="AY2389">
        <v>62</v>
      </c>
      <c r="AZ2389">
        <v>4.9800000000000004</v>
      </c>
      <c r="BA2389">
        <v>42</v>
      </c>
      <c r="BB2389">
        <v>3.31</v>
      </c>
      <c r="BC2389">
        <v>47</v>
      </c>
      <c r="BD2389">
        <v>-0.05</v>
      </c>
      <c r="BE2389">
        <v>-7.0000000000000007E-2</v>
      </c>
      <c r="BF2389">
        <v>-0.16</v>
      </c>
      <c r="BG2389">
        <v>64</v>
      </c>
      <c r="BH2389">
        <v>-0.48</v>
      </c>
      <c r="BI2389">
        <v>-7.73</v>
      </c>
      <c r="BJ2389">
        <v>0</v>
      </c>
      <c r="BK2389">
        <v>0</v>
      </c>
      <c r="BL2389">
        <v>-0.83</v>
      </c>
      <c r="BM2389">
        <v>2.84</v>
      </c>
      <c r="BN2389">
        <v>-1.84</v>
      </c>
      <c r="BO2389">
        <v>-2.7</v>
      </c>
      <c r="BP2389">
        <v>4.29</v>
      </c>
      <c r="BQ2389">
        <v>-2.3199999999999998</v>
      </c>
      <c r="BR2389">
        <v>-2.72</v>
      </c>
      <c r="BS2389">
        <v>-0.36</v>
      </c>
      <c r="BT2389">
        <v>2.58</v>
      </c>
      <c r="BU2389">
        <v>-3.26</v>
      </c>
      <c r="BV2389">
        <v>-3.76</v>
      </c>
      <c r="BW2389">
        <v>-2.85</v>
      </c>
      <c r="BX2389">
        <v>-2.58</v>
      </c>
      <c r="BY2389">
        <v>-2.31</v>
      </c>
      <c r="BZ2389">
        <v>1.17</v>
      </c>
      <c r="CA2389">
        <v>-2.2999999999999998</v>
      </c>
      <c r="CB2389">
        <v>-2.98</v>
      </c>
      <c r="CC2389">
        <v>-0.33</v>
      </c>
      <c r="CD2389">
        <v>3.5</v>
      </c>
      <c r="CE2389">
        <v>-2.77</v>
      </c>
      <c r="CF2389">
        <v>-1.2</v>
      </c>
      <c r="CG2389">
        <v>0</v>
      </c>
      <c r="CH2389">
        <v>-2.37</v>
      </c>
      <c r="CI2389">
        <v>0</v>
      </c>
      <c r="CJ2389">
        <v>8.6</v>
      </c>
      <c r="CK2389">
        <v>84</v>
      </c>
      <c r="CL2389">
        <v>0.33</v>
      </c>
      <c r="CM2389">
        <v>81</v>
      </c>
      <c r="CN2389">
        <v>-0.42</v>
      </c>
      <c r="CO2389">
        <v>79</v>
      </c>
      <c r="CP2389">
        <v>5.0999999999999996</v>
      </c>
      <c r="CQ2389">
        <v>62</v>
      </c>
      <c r="CR2389">
        <v>0</v>
      </c>
      <c r="CS2389">
        <v>0</v>
      </c>
      <c r="CT2389">
        <v>1.9</v>
      </c>
      <c r="CU2389">
        <v>53</v>
      </c>
      <c r="CV2389">
        <v>0.22</v>
      </c>
      <c r="CW2389">
        <v>42</v>
      </c>
      <c r="CX2389" t="s">
        <v>141</v>
      </c>
    </row>
    <row r="2390" spans="1:102" x14ac:dyDescent="0.3">
      <c r="A2390" t="str">
        <f>HYPERLINK("https://webapp.icbf.com/v2/app/bull-search/view/444591693","HSZ")</f>
        <v>HSZ</v>
      </c>
      <c r="B2390" t="s">
        <v>7834</v>
      </c>
      <c r="C2390" t="s">
        <v>7835</v>
      </c>
      <c r="D2390" s="1">
        <v>36458</v>
      </c>
      <c r="E2390" t="s">
        <v>146</v>
      </c>
      <c r="F2390">
        <v>0</v>
      </c>
      <c r="G2390" t="s">
        <v>109</v>
      </c>
      <c r="H2390">
        <v>42.33</v>
      </c>
      <c r="I2390">
        <v>58</v>
      </c>
      <c r="J2390">
        <v>-29.21</v>
      </c>
      <c r="K2390">
        <v>70</v>
      </c>
      <c r="L2390">
        <v>31.76</v>
      </c>
      <c r="M2390">
        <v>54</v>
      </c>
      <c r="N2390">
        <v>28.85</v>
      </c>
      <c r="O2390">
        <v>53</v>
      </c>
      <c r="P2390">
        <v>15.97</v>
      </c>
      <c r="Q2390">
        <v>67</v>
      </c>
      <c r="R2390">
        <v>-2.2599999999999998</v>
      </c>
      <c r="S2390">
        <v>55</v>
      </c>
      <c r="T2390">
        <v>3.69</v>
      </c>
      <c r="U2390">
        <v>39</v>
      </c>
      <c r="V2390">
        <v>-6.47</v>
      </c>
      <c r="W2390">
        <v>24</v>
      </c>
      <c r="X2390" t="s">
        <v>276</v>
      </c>
      <c r="Y2390" t="s">
        <v>270</v>
      </c>
      <c r="Z2390">
        <v>0</v>
      </c>
      <c r="AA2390" t="s">
        <v>5781</v>
      </c>
      <c r="AB2390" t="s">
        <v>7836</v>
      </c>
      <c r="AC2390">
        <v>0</v>
      </c>
      <c r="AD2390">
        <v>0</v>
      </c>
      <c r="AE2390">
        <v>70</v>
      </c>
      <c r="AF2390">
        <v>-245.63</v>
      </c>
      <c r="AG2390">
        <v>-9.2100000000000009</v>
      </c>
      <c r="AH2390">
        <v>-5.47</v>
      </c>
      <c r="AI2390">
        <v>0.01</v>
      </c>
      <c r="AJ2390">
        <v>0.05</v>
      </c>
      <c r="AK2390">
        <v>54</v>
      </c>
      <c r="AL2390">
        <v>0</v>
      </c>
      <c r="AM2390">
        <v>0</v>
      </c>
      <c r="AN2390">
        <v>-1.97</v>
      </c>
      <c r="AO2390">
        <v>0.56000000000000005</v>
      </c>
      <c r="AP2390">
        <v>29</v>
      </c>
      <c r="AQ2390">
        <v>0</v>
      </c>
      <c r="AR2390">
        <v>8.57</v>
      </c>
      <c r="AS2390">
        <v>53</v>
      </c>
      <c r="AT2390">
        <v>3.27</v>
      </c>
      <c r="AU2390">
        <v>43</v>
      </c>
      <c r="AV2390">
        <v>-3.99</v>
      </c>
      <c r="AW2390">
        <v>75</v>
      </c>
      <c r="AX2390">
        <v>0.83</v>
      </c>
      <c r="AY2390">
        <v>42</v>
      </c>
      <c r="AZ2390">
        <v>6.01</v>
      </c>
      <c r="BA2390">
        <v>25</v>
      </c>
      <c r="BB2390">
        <v>4.4400000000000004</v>
      </c>
      <c r="BC2390">
        <v>24</v>
      </c>
      <c r="BD2390">
        <v>0</v>
      </c>
      <c r="BE2390">
        <v>-0.02</v>
      </c>
      <c r="BF2390">
        <v>0.09</v>
      </c>
      <c r="BG2390">
        <v>80</v>
      </c>
      <c r="BH2390">
        <v>-0.16</v>
      </c>
      <c r="BI2390">
        <v>2.36</v>
      </c>
      <c r="BJ2390">
        <v>1</v>
      </c>
      <c r="BK2390">
        <v>1</v>
      </c>
      <c r="BL2390">
        <v>-2.19</v>
      </c>
      <c r="BM2390">
        <v>2.25</v>
      </c>
      <c r="BN2390">
        <v>-0.71</v>
      </c>
      <c r="BO2390">
        <v>-2.09</v>
      </c>
      <c r="BP2390">
        <v>3.52</v>
      </c>
      <c r="BQ2390">
        <v>0.46</v>
      </c>
      <c r="BR2390">
        <v>0.39</v>
      </c>
      <c r="BS2390">
        <v>-0.6</v>
      </c>
      <c r="BT2390">
        <v>-0.99</v>
      </c>
      <c r="BU2390">
        <v>-2.57</v>
      </c>
      <c r="BV2390">
        <v>-3.2</v>
      </c>
      <c r="BW2390">
        <v>-2.15</v>
      </c>
      <c r="BX2390">
        <v>-2.66</v>
      </c>
      <c r="BY2390">
        <v>-0.4</v>
      </c>
      <c r="BZ2390">
        <v>-0.35</v>
      </c>
      <c r="CA2390">
        <v>-2.35</v>
      </c>
      <c r="CB2390">
        <v>-2.37</v>
      </c>
      <c r="CC2390">
        <v>-1.1200000000000001</v>
      </c>
      <c r="CD2390">
        <v>2.8</v>
      </c>
      <c r="CE2390">
        <v>-1.89</v>
      </c>
      <c r="CF2390">
        <v>-0.86</v>
      </c>
      <c r="CG2390">
        <v>0</v>
      </c>
      <c r="CH2390">
        <v>-1.23</v>
      </c>
      <c r="CI2390">
        <v>0</v>
      </c>
      <c r="CJ2390">
        <v>4.5999999999999996</v>
      </c>
      <c r="CK2390">
        <v>70</v>
      </c>
      <c r="CL2390">
        <v>0.28000000000000003</v>
      </c>
      <c r="CM2390">
        <v>65</v>
      </c>
      <c r="CN2390">
        <v>-0.48</v>
      </c>
      <c r="CO2390">
        <v>62</v>
      </c>
      <c r="CP2390">
        <v>7.4</v>
      </c>
      <c r="CQ2390">
        <v>57</v>
      </c>
      <c r="CR2390">
        <v>0</v>
      </c>
      <c r="CS2390">
        <v>0</v>
      </c>
      <c r="CT2390">
        <v>8.8000000000000007</v>
      </c>
      <c r="CU2390">
        <v>39</v>
      </c>
      <c r="CV2390">
        <v>-0.23</v>
      </c>
      <c r="CW2390">
        <v>20</v>
      </c>
      <c r="CX2390" t="s">
        <v>7837</v>
      </c>
    </row>
    <row r="2391" spans="1:102" x14ac:dyDescent="0.3">
      <c r="A2391" t="str">
        <f>HYPERLINK("https://webapp.icbf.com/v2/app/bull-search/view/1193949419","S3065")</f>
        <v>S3065</v>
      </c>
      <c r="B2391" t="s">
        <v>9353</v>
      </c>
      <c r="C2391" t="s">
        <v>9354</v>
      </c>
      <c r="D2391" s="1">
        <v>41191</v>
      </c>
      <c r="E2391" t="s">
        <v>92</v>
      </c>
      <c r="F2391">
        <v>100</v>
      </c>
      <c r="G2391" t="s">
        <v>109</v>
      </c>
      <c r="H2391">
        <v>42.25</v>
      </c>
      <c r="I2391">
        <v>78</v>
      </c>
      <c r="J2391">
        <v>44.81</v>
      </c>
      <c r="K2391">
        <v>93</v>
      </c>
      <c r="L2391">
        <v>-35.630000000000003</v>
      </c>
      <c r="M2391">
        <v>85</v>
      </c>
      <c r="N2391">
        <v>21.78</v>
      </c>
      <c r="O2391">
        <v>70</v>
      </c>
      <c r="P2391">
        <v>-15.27</v>
      </c>
      <c r="Q2391">
        <v>45</v>
      </c>
      <c r="R2391">
        <v>18.63</v>
      </c>
      <c r="S2391">
        <v>73</v>
      </c>
      <c r="T2391">
        <v>6.28</v>
      </c>
      <c r="U2391">
        <v>42</v>
      </c>
      <c r="V2391">
        <v>1.65</v>
      </c>
      <c r="W2391">
        <v>57</v>
      </c>
      <c r="X2391" t="s">
        <v>110</v>
      </c>
      <c r="Y2391" t="s">
        <v>411</v>
      </c>
      <c r="Z2391" t="s">
        <v>96</v>
      </c>
      <c r="AA2391" t="s">
        <v>1894</v>
      </c>
      <c r="AB2391" t="s">
        <v>9355</v>
      </c>
      <c r="AC2391">
        <v>0</v>
      </c>
      <c r="AD2391">
        <v>0</v>
      </c>
      <c r="AE2391">
        <v>93</v>
      </c>
      <c r="AF2391">
        <v>325.41000000000003</v>
      </c>
      <c r="AG2391">
        <v>12.02</v>
      </c>
      <c r="AH2391">
        <v>8.35</v>
      </c>
      <c r="AI2391">
        <v>-0.02</v>
      </c>
      <c r="AJ2391">
        <v>-0.04</v>
      </c>
      <c r="AK2391">
        <v>85</v>
      </c>
      <c r="AL2391">
        <v>0</v>
      </c>
      <c r="AM2391">
        <v>0</v>
      </c>
      <c r="AN2391">
        <v>3.58</v>
      </c>
      <c r="AO2391">
        <v>0.76</v>
      </c>
      <c r="AP2391">
        <v>22</v>
      </c>
      <c r="AQ2391">
        <v>0</v>
      </c>
      <c r="AR2391">
        <v>8.3000000000000007</v>
      </c>
      <c r="AS2391">
        <v>62</v>
      </c>
      <c r="AT2391">
        <v>2.94</v>
      </c>
      <c r="AU2391">
        <v>91</v>
      </c>
      <c r="AV2391">
        <v>-2.33</v>
      </c>
      <c r="AW2391">
        <v>74</v>
      </c>
      <c r="AX2391">
        <v>-0.51</v>
      </c>
      <c r="AY2391">
        <v>52</v>
      </c>
      <c r="AZ2391">
        <v>5.34</v>
      </c>
      <c r="BA2391">
        <v>46</v>
      </c>
      <c r="BB2391">
        <v>4.88</v>
      </c>
      <c r="BC2391">
        <v>42</v>
      </c>
      <c r="BD2391">
        <v>-0.08</v>
      </c>
      <c r="BE2391">
        <v>-0.05</v>
      </c>
      <c r="BF2391">
        <v>-0.2</v>
      </c>
      <c r="BG2391">
        <v>91</v>
      </c>
      <c r="BH2391">
        <v>-0.02</v>
      </c>
      <c r="BI2391">
        <v>-7.65</v>
      </c>
      <c r="BJ2391">
        <v>0</v>
      </c>
      <c r="BK2391">
        <v>0</v>
      </c>
      <c r="BL2391">
        <v>1.58</v>
      </c>
      <c r="BM2391">
        <v>-1.29</v>
      </c>
      <c r="BN2391">
        <v>0.44</v>
      </c>
      <c r="BO2391">
        <v>1.78</v>
      </c>
      <c r="BP2391">
        <v>-0.17</v>
      </c>
      <c r="BQ2391">
        <v>0.48</v>
      </c>
      <c r="BR2391">
        <v>-4.58</v>
      </c>
      <c r="BS2391">
        <v>2.86</v>
      </c>
      <c r="BT2391">
        <v>4.16</v>
      </c>
      <c r="BU2391">
        <v>4.66</v>
      </c>
      <c r="BV2391">
        <v>5.1100000000000003</v>
      </c>
      <c r="BW2391">
        <v>2.5</v>
      </c>
      <c r="BX2391">
        <v>3.47</v>
      </c>
      <c r="BY2391">
        <v>2.2999999999999998</v>
      </c>
      <c r="BZ2391">
        <v>-0.11</v>
      </c>
      <c r="CA2391">
        <v>3.46</v>
      </c>
      <c r="CB2391">
        <v>3.21</v>
      </c>
      <c r="CC2391">
        <v>2.06</v>
      </c>
      <c r="CD2391">
        <v>-0.79</v>
      </c>
      <c r="CE2391">
        <v>0.8</v>
      </c>
      <c r="CF2391">
        <v>0.45</v>
      </c>
      <c r="CG2391">
        <v>0</v>
      </c>
      <c r="CH2391">
        <v>2.16</v>
      </c>
      <c r="CI2391">
        <v>0</v>
      </c>
      <c r="CJ2391">
        <v>-6.9</v>
      </c>
      <c r="CK2391">
        <v>45</v>
      </c>
      <c r="CL2391">
        <v>-1.37</v>
      </c>
      <c r="CM2391">
        <v>45</v>
      </c>
      <c r="CN2391">
        <v>-0.77</v>
      </c>
      <c r="CO2391">
        <v>45</v>
      </c>
      <c r="CP2391">
        <v>-4.2</v>
      </c>
      <c r="CQ2391">
        <v>43</v>
      </c>
      <c r="CR2391">
        <v>0</v>
      </c>
      <c r="CS2391">
        <v>0</v>
      </c>
      <c r="CT2391">
        <v>5.3</v>
      </c>
      <c r="CU2391">
        <v>42</v>
      </c>
      <c r="CV2391">
        <v>0.23</v>
      </c>
      <c r="CW2391">
        <v>35</v>
      </c>
      <c r="CX2391" t="s">
        <v>1572</v>
      </c>
    </row>
    <row r="2392" spans="1:102" x14ac:dyDescent="0.3">
      <c r="A2392" t="str">
        <f>HYPERLINK("https://webapp.icbf.com/v2/app/bull-search/view/586192498","S2104")</f>
        <v>S2104</v>
      </c>
      <c r="B2392" t="s">
        <v>13242</v>
      </c>
      <c r="C2392" t="s">
        <v>13243</v>
      </c>
      <c r="D2392" s="1">
        <v>37945</v>
      </c>
      <c r="E2392" t="s">
        <v>92</v>
      </c>
      <c r="F2392">
        <v>100</v>
      </c>
      <c r="G2392" t="s">
        <v>109</v>
      </c>
      <c r="H2392">
        <v>42.12</v>
      </c>
      <c r="I2392">
        <v>64</v>
      </c>
      <c r="J2392">
        <v>8.43</v>
      </c>
      <c r="K2392">
        <v>79</v>
      </c>
      <c r="L2392">
        <v>-0.52</v>
      </c>
      <c r="M2392">
        <v>75</v>
      </c>
      <c r="N2392">
        <v>17.3</v>
      </c>
      <c r="O2392">
        <v>44</v>
      </c>
      <c r="P2392">
        <v>-8.56</v>
      </c>
      <c r="Q2392">
        <v>33</v>
      </c>
      <c r="R2392">
        <v>6.77</v>
      </c>
      <c r="S2392">
        <v>62</v>
      </c>
      <c r="T2392">
        <v>12.79</v>
      </c>
      <c r="U2392">
        <v>30</v>
      </c>
      <c r="V2392">
        <v>5.91</v>
      </c>
      <c r="W2392">
        <v>32</v>
      </c>
      <c r="X2392" t="s">
        <v>110</v>
      </c>
      <c r="Y2392" t="s">
        <v>367</v>
      </c>
      <c r="Z2392" t="s">
        <v>96</v>
      </c>
      <c r="AA2392" t="s">
        <v>277</v>
      </c>
      <c r="AB2392" t="s">
        <v>13244</v>
      </c>
      <c r="AC2392">
        <v>0</v>
      </c>
      <c r="AD2392">
        <v>0</v>
      </c>
      <c r="AE2392">
        <v>79</v>
      </c>
      <c r="AF2392">
        <v>228.67</v>
      </c>
      <c r="AG2392">
        <v>0.83</v>
      </c>
      <c r="AH2392">
        <v>4.6399999999999997</v>
      </c>
      <c r="AI2392">
        <v>-0.13</v>
      </c>
      <c r="AJ2392">
        <v>-0.05</v>
      </c>
      <c r="AK2392">
        <v>75</v>
      </c>
      <c r="AL2392">
        <v>0</v>
      </c>
      <c r="AM2392">
        <v>0</v>
      </c>
      <c r="AN2392">
        <v>0.16</v>
      </c>
      <c r="AO2392">
        <v>0.12</v>
      </c>
      <c r="AP2392">
        <v>2</v>
      </c>
      <c r="AQ2392">
        <v>0</v>
      </c>
      <c r="AR2392">
        <v>8.31</v>
      </c>
      <c r="AS2392">
        <v>30</v>
      </c>
      <c r="AT2392">
        <v>3.42</v>
      </c>
      <c r="AU2392">
        <v>86</v>
      </c>
      <c r="AV2392">
        <v>-2.72</v>
      </c>
      <c r="AW2392">
        <v>30</v>
      </c>
      <c r="AX2392">
        <v>-0.08</v>
      </c>
      <c r="AY2392">
        <v>35</v>
      </c>
      <c r="AZ2392">
        <v>6.1</v>
      </c>
      <c r="BA2392">
        <v>30</v>
      </c>
      <c r="BB2392">
        <v>5.09</v>
      </c>
      <c r="BC2392">
        <v>29</v>
      </c>
      <c r="BD2392">
        <v>-0.01</v>
      </c>
      <c r="BE2392">
        <v>-0.01</v>
      </c>
      <c r="BF2392">
        <v>-0.12</v>
      </c>
      <c r="BG2392">
        <v>87</v>
      </c>
      <c r="BH2392">
        <v>0.05</v>
      </c>
      <c r="BI2392">
        <v>-13.29</v>
      </c>
      <c r="BJ2392">
        <v>0</v>
      </c>
      <c r="BK2392">
        <v>0</v>
      </c>
      <c r="BL2392">
        <v>0.56999999999999995</v>
      </c>
      <c r="BM2392">
        <v>-0.19</v>
      </c>
      <c r="BN2392">
        <v>0.53</v>
      </c>
      <c r="BO2392">
        <v>0.28999999999999998</v>
      </c>
      <c r="BP2392">
        <v>1.3</v>
      </c>
      <c r="BQ2392">
        <v>0.04</v>
      </c>
      <c r="BR2392">
        <v>0.39</v>
      </c>
      <c r="BS2392">
        <v>2.2200000000000002</v>
      </c>
      <c r="BT2392">
        <v>-0.68</v>
      </c>
      <c r="BU2392">
        <v>0.35</v>
      </c>
      <c r="BV2392">
        <v>-0.15</v>
      </c>
      <c r="BW2392">
        <v>-0.4</v>
      </c>
      <c r="BX2392">
        <v>-0.34</v>
      </c>
      <c r="BY2392">
        <v>0.23</v>
      </c>
      <c r="BZ2392">
        <v>-1.44</v>
      </c>
      <c r="CA2392">
        <v>0.65</v>
      </c>
      <c r="CB2392">
        <v>0.1</v>
      </c>
      <c r="CC2392">
        <v>1.53</v>
      </c>
      <c r="CD2392">
        <v>-0.2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-2</v>
      </c>
      <c r="CK2392">
        <v>34</v>
      </c>
      <c r="CL2392">
        <v>-0.8</v>
      </c>
      <c r="CM2392">
        <v>33</v>
      </c>
      <c r="CN2392">
        <v>-0.26</v>
      </c>
      <c r="CO2392">
        <v>33</v>
      </c>
      <c r="CP2392">
        <v>-3.9</v>
      </c>
      <c r="CQ2392">
        <v>31</v>
      </c>
      <c r="CR2392">
        <v>0</v>
      </c>
      <c r="CS2392">
        <v>0</v>
      </c>
      <c r="CT2392">
        <v>-3.5</v>
      </c>
      <c r="CU2392">
        <v>30</v>
      </c>
      <c r="CV2392">
        <v>0.21</v>
      </c>
      <c r="CW2392">
        <v>11</v>
      </c>
      <c r="CX2392" t="s">
        <v>751</v>
      </c>
    </row>
    <row r="2393" spans="1:102" x14ac:dyDescent="0.3">
      <c r="A2393" t="str">
        <f>HYPERLINK("https://webapp.icbf.com/v2/app/bull-search/view/441411306","LLY")</f>
        <v>LLY</v>
      </c>
      <c r="B2393" t="s">
        <v>8824</v>
      </c>
      <c r="C2393" t="s">
        <v>8825</v>
      </c>
      <c r="D2393" s="1">
        <v>38747</v>
      </c>
      <c r="E2393" t="s">
        <v>92</v>
      </c>
      <c r="F2393">
        <v>50</v>
      </c>
      <c r="G2393" t="s">
        <v>93</v>
      </c>
      <c r="H2393">
        <v>41.91</v>
      </c>
      <c r="I2393">
        <v>90</v>
      </c>
      <c r="J2393">
        <v>5.01</v>
      </c>
      <c r="K2393">
        <v>98</v>
      </c>
      <c r="L2393">
        <v>19.3</v>
      </c>
      <c r="M2393">
        <v>81</v>
      </c>
      <c r="N2393">
        <v>23.92</v>
      </c>
      <c r="O2393">
        <v>89</v>
      </c>
      <c r="P2393">
        <v>-18.77</v>
      </c>
      <c r="Q2393">
        <v>93</v>
      </c>
      <c r="R2393">
        <v>-10.99</v>
      </c>
      <c r="S2393">
        <v>84</v>
      </c>
      <c r="T2393">
        <v>21.6</v>
      </c>
      <c r="U2393">
        <v>93</v>
      </c>
      <c r="V2393">
        <v>1.84</v>
      </c>
      <c r="W2393">
        <v>86</v>
      </c>
      <c r="X2393" t="s">
        <v>94</v>
      </c>
      <c r="Y2393" t="s">
        <v>1251</v>
      </c>
      <c r="Z2393" t="s">
        <v>96</v>
      </c>
      <c r="AA2393" t="s">
        <v>792</v>
      </c>
      <c r="AB2393" t="s">
        <v>8826</v>
      </c>
      <c r="AC2393">
        <v>132</v>
      </c>
      <c r="AD2393">
        <v>85</v>
      </c>
      <c r="AE2393">
        <v>98</v>
      </c>
      <c r="AF2393">
        <v>-148.15</v>
      </c>
      <c r="AG2393">
        <v>0.18</v>
      </c>
      <c r="AH2393">
        <v>-1.48</v>
      </c>
      <c r="AI2393">
        <v>0.11</v>
      </c>
      <c r="AJ2393">
        <v>0.06</v>
      </c>
      <c r="AK2393">
        <v>81</v>
      </c>
      <c r="AL2393">
        <v>120</v>
      </c>
      <c r="AM2393">
        <v>74</v>
      </c>
      <c r="AN2393">
        <v>-0.96</v>
      </c>
      <c r="AO2393">
        <v>0.57999999999999996</v>
      </c>
      <c r="AP2393">
        <v>263</v>
      </c>
      <c r="AQ2393">
        <v>22</v>
      </c>
      <c r="AR2393">
        <v>6.53</v>
      </c>
      <c r="AS2393">
        <v>75</v>
      </c>
      <c r="AT2393">
        <v>2.84</v>
      </c>
      <c r="AU2393">
        <v>90</v>
      </c>
      <c r="AV2393">
        <v>-2.12</v>
      </c>
      <c r="AW2393">
        <v>97</v>
      </c>
      <c r="AX2393">
        <v>-7.0000000000000007E-2</v>
      </c>
      <c r="AY2393">
        <v>86</v>
      </c>
      <c r="AZ2393">
        <v>5.85</v>
      </c>
      <c r="BA2393">
        <v>71</v>
      </c>
      <c r="BB2393">
        <v>4.8</v>
      </c>
      <c r="BC2393">
        <v>73</v>
      </c>
      <c r="BD2393">
        <v>0.01</v>
      </c>
      <c r="BE2393">
        <v>0.04</v>
      </c>
      <c r="BF2393">
        <v>0.16</v>
      </c>
      <c r="BG2393">
        <v>90</v>
      </c>
      <c r="BH2393">
        <v>-7.0000000000000007E-2</v>
      </c>
      <c r="BI2393">
        <v>-14.03</v>
      </c>
      <c r="BJ2393">
        <v>29</v>
      </c>
      <c r="BK2393">
        <v>18</v>
      </c>
      <c r="BL2393">
        <v>-0.75</v>
      </c>
      <c r="BM2393">
        <v>-0.5</v>
      </c>
      <c r="BN2393">
        <v>-0.79</v>
      </c>
      <c r="BO2393">
        <v>-0.54</v>
      </c>
      <c r="BP2393">
        <v>1.53</v>
      </c>
      <c r="BQ2393">
        <v>-2.64</v>
      </c>
      <c r="BR2393">
        <v>1.71</v>
      </c>
      <c r="BS2393">
        <v>-1.42</v>
      </c>
      <c r="BT2393">
        <v>-2.3199999999999998</v>
      </c>
      <c r="BU2393">
        <v>-0.75</v>
      </c>
      <c r="BV2393">
        <v>-1.5</v>
      </c>
      <c r="BW2393">
        <v>-1.21</v>
      </c>
      <c r="BX2393">
        <v>-0.69</v>
      </c>
      <c r="BY2393">
        <v>-0.42</v>
      </c>
      <c r="BZ2393">
        <v>0.16</v>
      </c>
      <c r="CA2393">
        <v>-1.5</v>
      </c>
      <c r="CB2393">
        <v>-1</v>
      </c>
      <c r="CC2393">
        <v>-2</v>
      </c>
      <c r="CD2393">
        <v>-0.33</v>
      </c>
      <c r="CE2393">
        <v>-0.56000000000000005</v>
      </c>
      <c r="CF2393">
        <v>-1.36</v>
      </c>
      <c r="CG2393">
        <v>0</v>
      </c>
      <c r="CH2393">
        <v>-0.3</v>
      </c>
      <c r="CI2393">
        <v>0</v>
      </c>
      <c r="CJ2393">
        <v>-9.8000000000000007</v>
      </c>
      <c r="CK2393">
        <v>94</v>
      </c>
      <c r="CL2393">
        <v>-0.68</v>
      </c>
      <c r="CM2393">
        <v>92</v>
      </c>
      <c r="CN2393">
        <v>-0.28999999999999998</v>
      </c>
      <c r="CO2393">
        <v>91</v>
      </c>
      <c r="CP2393">
        <v>-10.8</v>
      </c>
      <c r="CQ2393">
        <v>92</v>
      </c>
      <c r="CR2393">
        <v>0</v>
      </c>
      <c r="CS2393">
        <v>0</v>
      </c>
      <c r="CT2393">
        <v>-15.4</v>
      </c>
      <c r="CU2393">
        <v>93</v>
      </c>
      <c r="CV2393">
        <v>0.01</v>
      </c>
      <c r="CW2393">
        <v>46</v>
      </c>
      <c r="CX2393" t="s">
        <v>2932</v>
      </c>
    </row>
    <row r="2394" spans="1:102" x14ac:dyDescent="0.3">
      <c r="A2394" t="str">
        <f>HYPERLINK("https://webapp.icbf.com/v2/app/bull-search/view/307651058","NHI")</f>
        <v>NHI</v>
      </c>
      <c r="B2394" t="s">
        <v>11696</v>
      </c>
      <c r="C2394" t="s">
        <v>11697</v>
      </c>
      <c r="D2394" s="1">
        <v>37399</v>
      </c>
      <c r="E2394" t="s">
        <v>92</v>
      </c>
      <c r="F2394">
        <v>100</v>
      </c>
      <c r="G2394" t="s">
        <v>93</v>
      </c>
      <c r="H2394">
        <v>41.9</v>
      </c>
      <c r="I2394">
        <v>89</v>
      </c>
      <c r="J2394">
        <v>46.84</v>
      </c>
      <c r="K2394">
        <v>96</v>
      </c>
      <c r="L2394">
        <v>-34.42</v>
      </c>
      <c r="M2394">
        <v>85</v>
      </c>
      <c r="N2394">
        <v>18.95</v>
      </c>
      <c r="O2394">
        <v>84</v>
      </c>
      <c r="P2394">
        <v>-6.87</v>
      </c>
      <c r="Q2394">
        <v>92</v>
      </c>
      <c r="R2394">
        <v>2.94</v>
      </c>
      <c r="S2394">
        <v>81</v>
      </c>
      <c r="T2394">
        <v>24.26</v>
      </c>
      <c r="U2394">
        <v>87</v>
      </c>
      <c r="V2394">
        <v>-9.8000000000000007</v>
      </c>
      <c r="W2394">
        <v>76</v>
      </c>
      <c r="X2394" t="s">
        <v>94</v>
      </c>
      <c r="Y2394" t="s">
        <v>171</v>
      </c>
      <c r="Z2394" t="s">
        <v>96</v>
      </c>
      <c r="AA2394" t="s">
        <v>4181</v>
      </c>
      <c r="AB2394" t="s">
        <v>11698</v>
      </c>
      <c r="AC2394">
        <v>72</v>
      </c>
      <c r="AD2394">
        <v>53</v>
      </c>
      <c r="AE2394">
        <v>96</v>
      </c>
      <c r="AF2394">
        <v>361.87</v>
      </c>
      <c r="AG2394">
        <v>9.85</v>
      </c>
      <c r="AH2394">
        <v>10.02</v>
      </c>
      <c r="AI2394">
        <v>-7.0000000000000007E-2</v>
      </c>
      <c r="AJ2394">
        <v>-0.04</v>
      </c>
      <c r="AK2394">
        <v>85</v>
      </c>
      <c r="AL2394">
        <v>89</v>
      </c>
      <c r="AM2394">
        <v>64</v>
      </c>
      <c r="AN2394">
        <v>3.03</v>
      </c>
      <c r="AO2394">
        <v>0.3</v>
      </c>
      <c r="AP2394">
        <v>140</v>
      </c>
      <c r="AQ2394">
        <v>4</v>
      </c>
      <c r="AR2394">
        <v>3.99</v>
      </c>
      <c r="AS2394">
        <v>67</v>
      </c>
      <c r="AT2394">
        <v>1.85</v>
      </c>
      <c r="AU2394">
        <v>87</v>
      </c>
      <c r="AV2394">
        <v>-1.73</v>
      </c>
      <c r="AW2394">
        <v>93</v>
      </c>
      <c r="AX2394">
        <v>0.42</v>
      </c>
      <c r="AY2394">
        <v>81</v>
      </c>
      <c r="AZ2394">
        <v>8.5</v>
      </c>
      <c r="BA2394">
        <v>62</v>
      </c>
      <c r="BB2394">
        <v>6.33</v>
      </c>
      <c r="BC2394">
        <v>68</v>
      </c>
      <c r="BD2394">
        <v>0.02</v>
      </c>
      <c r="BE2394">
        <v>0.01</v>
      </c>
      <c r="BF2394">
        <v>-0.12</v>
      </c>
      <c r="BG2394">
        <v>91</v>
      </c>
      <c r="BH2394">
        <v>-0.2</v>
      </c>
      <c r="BI2394">
        <v>8.4700000000000006</v>
      </c>
      <c r="BJ2394">
        <v>35</v>
      </c>
      <c r="BK2394">
        <v>19</v>
      </c>
      <c r="BL2394">
        <v>-0.68</v>
      </c>
      <c r="BM2394">
        <v>-1.21</v>
      </c>
      <c r="BN2394">
        <v>-1.44</v>
      </c>
      <c r="BO2394">
        <v>0.03</v>
      </c>
      <c r="BP2394">
        <v>2.84</v>
      </c>
      <c r="BQ2394">
        <v>-3.84</v>
      </c>
      <c r="BR2394">
        <v>1.76</v>
      </c>
      <c r="BS2394">
        <v>1.08</v>
      </c>
      <c r="BT2394">
        <v>-2.0299999999999998</v>
      </c>
      <c r="BU2394">
        <v>-1.51</v>
      </c>
      <c r="BV2394">
        <v>-0.47</v>
      </c>
      <c r="BW2394">
        <v>0.65</v>
      </c>
      <c r="BX2394">
        <v>-1.3</v>
      </c>
      <c r="BY2394">
        <v>-0.77</v>
      </c>
      <c r="BZ2394">
        <v>0.35</v>
      </c>
      <c r="CA2394">
        <v>-0.2</v>
      </c>
      <c r="CB2394">
        <v>-0.53</v>
      </c>
      <c r="CC2394">
        <v>0.16</v>
      </c>
      <c r="CD2394">
        <v>-0.61</v>
      </c>
      <c r="CE2394">
        <v>0.09</v>
      </c>
      <c r="CF2394">
        <v>-0.67</v>
      </c>
      <c r="CG2394">
        <v>0</v>
      </c>
      <c r="CH2394">
        <v>-0.87</v>
      </c>
      <c r="CI2394">
        <v>0</v>
      </c>
      <c r="CJ2394">
        <v>-2.5</v>
      </c>
      <c r="CK2394">
        <v>93</v>
      </c>
      <c r="CL2394">
        <v>-0.42</v>
      </c>
      <c r="CM2394">
        <v>92</v>
      </c>
      <c r="CN2394">
        <v>-0.25</v>
      </c>
      <c r="CO2394">
        <v>91</v>
      </c>
      <c r="CP2394">
        <v>-13.4</v>
      </c>
      <c r="CQ2394">
        <v>89</v>
      </c>
      <c r="CR2394">
        <v>0</v>
      </c>
      <c r="CS2394">
        <v>0</v>
      </c>
      <c r="CT2394">
        <v>-19</v>
      </c>
      <c r="CU2394">
        <v>87</v>
      </c>
      <c r="CV2394">
        <v>0.02</v>
      </c>
      <c r="CW2394">
        <v>44</v>
      </c>
      <c r="CX2394" t="s">
        <v>1380</v>
      </c>
    </row>
    <row r="2395" spans="1:102" x14ac:dyDescent="0.3">
      <c r="A2395" t="str">
        <f>HYPERLINK("https://webapp.icbf.com/v2/app/bull-search/view/666356602","BDQ")</f>
        <v>BDQ</v>
      </c>
      <c r="B2395" t="s">
        <v>12794</v>
      </c>
      <c r="C2395" t="s">
        <v>12795</v>
      </c>
      <c r="D2395" s="1">
        <v>39836</v>
      </c>
      <c r="E2395" t="s">
        <v>92</v>
      </c>
      <c r="F2395">
        <v>97</v>
      </c>
      <c r="G2395" t="s">
        <v>435</v>
      </c>
      <c r="H2395">
        <v>41.88</v>
      </c>
      <c r="I2395">
        <v>74</v>
      </c>
      <c r="J2395">
        <v>7.41</v>
      </c>
      <c r="K2395">
        <v>91</v>
      </c>
      <c r="L2395">
        <v>0.08</v>
      </c>
      <c r="M2395">
        <v>72</v>
      </c>
      <c r="N2395">
        <v>20.67</v>
      </c>
      <c r="O2395">
        <v>60</v>
      </c>
      <c r="P2395">
        <v>-4.0999999999999996</v>
      </c>
      <c r="Q2395">
        <v>52</v>
      </c>
      <c r="R2395">
        <v>5.13</v>
      </c>
      <c r="S2395">
        <v>70</v>
      </c>
      <c r="T2395">
        <v>6.13</v>
      </c>
      <c r="U2395">
        <v>57</v>
      </c>
      <c r="V2395">
        <v>6.56</v>
      </c>
      <c r="W2395">
        <v>66</v>
      </c>
      <c r="X2395" t="s">
        <v>94</v>
      </c>
      <c r="Y2395" t="s">
        <v>303</v>
      </c>
      <c r="Z2395" t="s">
        <v>96</v>
      </c>
      <c r="AA2395" t="s">
        <v>277</v>
      </c>
      <c r="AB2395" t="s">
        <v>12796</v>
      </c>
      <c r="AC2395">
        <v>3</v>
      </c>
      <c r="AD2395">
        <v>3</v>
      </c>
      <c r="AE2395">
        <v>91</v>
      </c>
      <c r="AF2395">
        <v>118.75</v>
      </c>
      <c r="AG2395">
        <v>-3.03</v>
      </c>
      <c r="AH2395">
        <v>4.1500000000000004</v>
      </c>
      <c r="AI2395">
        <v>-0.13</v>
      </c>
      <c r="AJ2395">
        <v>0</v>
      </c>
      <c r="AK2395">
        <v>72</v>
      </c>
      <c r="AL2395">
        <v>1</v>
      </c>
      <c r="AM2395">
        <v>1</v>
      </c>
      <c r="AN2395">
        <v>-0.5</v>
      </c>
      <c r="AO2395">
        <v>-0.5</v>
      </c>
      <c r="AP2395">
        <v>2</v>
      </c>
      <c r="AQ2395">
        <v>0</v>
      </c>
      <c r="AR2395">
        <v>7.14</v>
      </c>
      <c r="AS2395">
        <v>61</v>
      </c>
      <c r="AT2395">
        <v>2.78</v>
      </c>
      <c r="AU2395">
        <v>68</v>
      </c>
      <c r="AV2395">
        <v>-2.25</v>
      </c>
      <c r="AW2395">
        <v>62</v>
      </c>
      <c r="AX2395">
        <v>0.54</v>
      </c>
      <c r="AY2395">
        <v>49</v>
      </c>
      <c r="AZ2395">
        <v>6.05</v>
      </c>
      <c r="BA2395">
        <v>48</v>
      </c>
      <c r="BB2395">
        <v>5.0999999999999996</v>
      </c>
      <c r="BC2395">
        <v>49</v>
      </c>
      <c r="BD2395">
        <v>0</v>
      </c>
      <c r="BE2395">
        <v>-0.02</v>
      </c>
      <c r="BF2395">
        <v>-0.08</v>
      </c>
      <c r="BG2395">
        <v>79</v>
      </c>
      <c r="BH2395">
        <v>0.03</v>
      </c>
      <c r="BI2395">
        <v>-17.7</v>
      </c>
      <c r="BJ2395">
        <v>0</v>
      </c>
      <c r="BK2395">
        <v>0</v>
      </c>
      <c r="BL2395">
        <v>0.57999999999999996</v>
      </c>
      <c r="BM2395">
        <v>-0.4</v>
      </c>
      <c r="BN2395">
        <v>-0.46</v>
      </c>
      <c r="BO2395">
        <v>-0.24</v>
      </c>
      <c r="BP2395">
        <v>0.94</v>
      </c>
      <c r="BQ2395">
        <v>-0.66</v>
      </c>
      <c r="BR2395">
        <v>-0.28999999999999998</v>
      </c>
      <c r="BS2395">
        <v>0.43</v>
      </c>
      <c r="BT2395">
        <v>1.1100000000000001</v>
      </c>
      <c r="BU2395">
        <v>0.5</v>
      </c>
      <c r="BV2395">
        <v>-0.41</v>
      </c>
      <c r="BW2395">
        <v>-0.97</v>
      </c>
      <c r="BX2395">
        <v>1.51</v>
      </c>
      <c r="BY2395">
        <v>-1.59</v>
      </c>
      <c r="BZ2395">
        <v>-1.69</v>
      </c>
      <c r="CA2395">
        <v>0.08</v>
      </c>
      <c r="CB2395">
        <v>-0.04</v>
      </c>
      <c r="CC2395">
        <v>0.19</v>
      </c>
      <c r="CD2395">
        <v>-0.25</v>
      </c>
      <c r="CE2395">
        <v>-0.11</v>
      </c>
      <c r="CF2395">
        <v>0.14000000000000001</v>
      </c>
      <c r="CG2395">
        <v>0</v>
      </c>
      <c r="CH2395">
        <v>-1.02</v>
      </c>
      <c r="CI2395">
        <v>0</v>
      </c>
      <c r="CJ2395">
        <v>1.9</v>
      </c>
      <c r="CK2395">
        <v>53</v>
      </c>
      <c r="CL2395">
        <v>-0.95</v>
      </c>
      <c r="CM2395">
        <v>51</v>
      </c>
      <c r="CN2395">
        <v>-0.22</v>
      </c>
      <c r="CO2395">
        <v>49</v>
      </c>
      <c r="CP2395">
        <v>3.4</v>
      </c>
      <c r="CQ2395">
        <v>56</v>
      </c>
      <c r="CR2395">
        <v>0</v>
      </c>
      <c r="CS2395">
        <v>0</v>
      </c>
      <c r="CT2395">
        <v>5.5</v>
      </c>
      <c r="CU2395">
        <v>57</v>
      </c>
      <c r="CV2395">
        <v>0.2</v>
      </c>
      <c r="CW2395">
        <v>37</v>
      </c>
      <c r="CX2395" t="s">
        <v>316</v>
      </c>
    </row>
    <row r="2396" spans="1:102" x14ac:dyDescent="0.3">
      <c r="A2396" t="str">
        <f>HYPERLINK("https://webapp.icbf.com/v2/app/bull-search/view/77855515","MAU")</f>
        <v>MAU</v>
      </c>
      <c r="B2396" t="s">
        <v>8612</v>
      </c>
      <c r="C2396" t="s">
        <v>1252</v>
      </c>
      <c r="D2396" s="1">
        <v>33198</v>
      </c>
      <c r="E2396" t="s">
        <v>92</v>
      </c>
      <c r="F2396">
        <v>100</v>
      </c>
      <c r="G2396" t="s">
        <v>93</v>
      </c>
      <c r="H2396">
        <v>41.83</v>
      </c>
      <c r="I2396">
        <v>99</v>
      </c>
      <c r="J2396">
        <v>39.76</v>
      </c>
      <c r="K2396">
        <v>99</v>
      </c>
      <c r="L2396">
        <v>1.96</v>
      </c>
      <c r="M2396">
        <v>99</v>
      </c>
      <c r="N2396">
        <v>18.12</v>
      </c>
      <c r="O2396">
        <v>99</v>
      </c>
      <c r="P2396">
        <v>-0.52</v>
      </c>
      <c r="Q2396">
        <v>99</v>
      </c>
      <c r="R2396">
        <v>-12.41</v>
      </c>
      <c r="S2396">
        <v>99</v>
      </c>
      <c r="T2396">
        <v>3.91</v>
      </c>
      <c r="U2396">
        <v>99</v>
      </c>
      <c r="V2396">
        <v>-8.99</v>
      </c>
      <c r="W2396">
        <v>99</v>
      </c>
      <c r="X2396" t="s">
        <v>94</v>
      </c>
      <c r="Y2396" t="s">
        <v>95</v>
      </c>
      <c r="Z2396" t="s">
        <v>96</v>
      </c>
      <c r="AA2396" t="s">
        <v>99</v>
      </c>
      <c r="AB2396" t="s">
        <v>8613</v>
      </c>
      <c r="AC2396">
        <v>15216</v>
      </c>
      <c r="AD2396">
        <v>4032</v>
      </c>
      <c r="AE2396">
        <v>99</v>
      </c>
      <c r="AF2396">
        <v>34.53</v>
      </c>
      <c r="AG2396">
        <v>5.6</v>
      </c>
      <c r="AH2396">
        <v>5.31</v>
      </c>
      <c r="AI2396">
        <v>7.0000000000000007E-2</v>
      </c>
      <c r="AJ2396">
        <v>7.0000000000000007E-2</v>
      </c>
      <c r="AK2396">
        <v>99</v>
      </c>
      <c r="AL2396">
        <v>17212</v>
      </c>
      <c r="AM2396">
        <v>5658</v>
      </c>
      <c r="AN2396">
        <v>0.17</v>
      </c>
      <c r="AO2396">
        <v>0.33</v>
      </c>
      <c r="AP2396">
        <v>1873</v>
      </c>
      <c r="AQ2396">
        <v>5</v>
      </c>
      <c r="AR2396">
        <v>7.54</v>
      </c>
      <c r="AS2396">
        <v>99</v>
      </c>
      <c r="AT2396">
        <v>3.12</v>
      </c>
      <c r="AU2396">
        <v>99</v>
      </c>
      <c r="AV2396">
        <v>-1.68</v>
      </c>
      <c r="AW2396">
        <v>99</v>
      </c>
      <c r="AX2396">
        <v>-0.04</v>
      </c>
      <c r="AY2396">
        <v>99</v>
      </c>
      <c r="AZ2396">
        <v>5.34</v>
      </c>
      <c r="BA2396">
        <v>99</v>
      </c>
      <c r="BB2396">
        <v>4.37</v>
      </c>
      <c r="BC2396">
        <v>99</v>
      </c>
      <c r="BD2396">
        <v>0.02</v>
      </c>
      <c r="BE2396">
        <v>0.08</v>
      </c>
      <c r="BF2396">
        <v>0.1</v>
      </c>
      <c r="BG2396">
        <v>99</v>
      </c>
      <c r="BH2396">
        <v>-0.32</v>
      </c>
      <c r="BI2396">
        <v>-8.0299999999999994</v>
      </c>
      <c r="BJ2396">
        <v>571</v>
      </c>
      <c r="BK2396">
        <v>298</v>
      </c>
      <c r="BL2396">
        <v>0.44</v>
      </c>
      <c r="BM2396">
        <v>0.86</v>
      </c>
      <c r="BN2396">
        <v>0.82</v>
      </c>
      <c r="BO2396">
        <v>0.18</v>
      </c>
      <c r="BP2396">
        <v>2.35</v>
      </c>
      <c r="BQ2396">
        <v>0.53</v>
      </c>
      <c r="BR2396">
        <v>1.1200000000000001</v>
      </c>
      <c r="BS2396">
        <v>-0.67</v>
      </c>
      <c r="BT2396">
        <v>-1.1599999999999999</v>
      </c>
      <c r="BU2396">
        <v>-0.87</v>
      </c>
      <c r="BV2396">
        <v>0.14000000000000001</v>
      </c>
      <c r="BW2396">
        <v>0.5</v>
      </c>
      <c r="BX2396">
        <v>-1.52</v>
      </c>
      <c r="BY2396">
        <v>-0.46</v>
      </c>
      <c r="BZ2396">
        <v>0.64</v>
      </c>
      <c r="CA2396">
        <v>-0.49</v>
      </c>
      <c r="CB2396">
        <v>-0.25</v>
      </c>
      <c r="CC2396">
        <v>-0.69</v>
      </c>
      <c r="CD2396">
        <v>0.15</v>
      </c>
      <c r="CE2396">
        <v>0.4</v>
      </c>
      <c r="CF2396">
        <v>0.8</v>
      </c>
      <c r="CG2396">
        <v>0</v>
      </c>
      <c r="CH2396">
        <v>-0.45</v>
      </c>
      <c r="CI2396">
        <v>0</v>
      </c>
      <c r="CJ2396">
        <v>0.8</v>
      </c>
      <c r="CK2396">
        <v>99</v>
      </c>
      <c r="CL2396">
        <v>-0.4</v>
      </c>
      <c r="CM2396">
        <v>99</v>
      </c>
      <c r="CN2396">
        <v>-0.26</v>
      </c>
      <c r="CO2396">
        <v>99</v>
      </c>
      <c r="CP2396">
        <v>-3.6</v>
      </c>
      <c r="CQ2396">
        <v>99</v>
      </c>
      <c r="CR2396">
        <v>0</v>
      </c>
      <c r="CS2396">
        <v>0</v>
      </c>
      <c r="CT2396">
        <v>8.5</v>
      </c>
      <c r="CU2396">
        <v>99</v>
      </c>
      <c r="CV2396">
        <v>0.04</v>
      </c>
      <c r="CW2396">
        <v>48</v>
      </c>
      <c r="CX2396" t="s">
        <v>3937</v>
      </c>
    </row>
    <row r="2397" spans="1:102" x14ac:dyDescent="0.3">
      <c r="A2397" t="str">
        <f>HYPERLINK("https://webapp.icbf.com/v2/app/bull-search/view/760392737","S2024")</f>
        <v>S2024</v>
      </c>
      <c r="B2397" t="s">
        <v>2099</v>
      </c>
      <c r="C2397" t="s">
        <v>2100</v>
      </c>
      <c r="D2397" s="1">
        <v>39253</v>
      </c>
      <c r="E2397" t="s">
        <v>140</v>
      </c>
      <c r="F2397">
        <v>0</v>
      </c>
      <c r="G2397" t="s">
        <v>109</v>
      </c>
      <c r="H2397">
        <v>41.75</v>
      </c>
      <c r="I2397">
        <v>64</v>
      </c>
      <c r="J2397">
        <v>33.24</v>
      </c>
      <c r="K2397">
        <v>76</v>
      </c>
      <c r="L2397">
        <v>-0.69</v>
      </c>
      <c r="M2397">
        <v>51</v>
      </c>
      <c r="N2397">
        <v>-7.72</v>
      </c>
      <c r="O2397">
        <v>73</v>
      </c>
      <c r="P2397">
        <v>25.37</v>
      </c>
      <c r="Q2397">
        <v>87</v>
      </c>
      <c r="R2397">
        <v>2.36</v>
      </c>
      <c r="S2397">
        <v>50</v>
      </c>
      <c r="T2397">
        <v>0.14000000000000001</v>
      </c>
      <c r="U2397">
        <v>56</v>
      </c>
      <c r="V2397">
        <v>-10.95</v>
      </c>
      <c r="W2397">
        <v>28</v>
      </c>
      <c r="X2397" t="s">
        <v>102</v>
      </c>
      <c r="Y2397" t="s">
        <v>367</v>
      </c>
      <c r="Z2397">
        <v>0</v>
      </c>
      <c r="AA2397" t="s">
        <v>2101</v>
      </c>
      <c r="AB2397" t="s">
        <v>2102</v>
      </c>
      <c r="AC2397">
        <v>0</v>
      </c>
      <c r="AD2397">
        <v>0</v>
      </c>
      <c r="AE2397">
        <v>76</v>
      </c>
      <c r="AF2397">
        <v>210.37</v>
      </c>
      <c r="AG2397">
        <v>3.29</v>
      </c>
      <c r="AH2397">
        <v>7.71</v>
      </c>
      <c r="AI2397">
        <v>-0.08</v>
      </c>
      <c r="AJ2397">
        <v>0.01</v>
      </c>
      <c r="AK2397">
        <v>51</v>
      </c>
      <c r="AL2397">
        <v>41</v>
      </c>
      <c r="AM2397">
        <v>17</v>
      </c>
      <c r="AN2397">
        <v>0.4</v>
      </c>
      <c r="AO2397">
        <v>0.35</v>
      </c>
      <c r="AP2397">
        <v>111</v>
      </c>
      <c r="AQ2397">
        <v>0</v>
      </c>
      <c r="AR2397">
        <v>7.69</v>
      </c>
      <c r="AS2397">
        <v>55</v>
      </c>
      <c r="AT2397">
        <v>4.33</v>
      </c>
      <c r="AU2397">
        <v>72</v>
      </c>
      <c r="AV2397">
        <v>-0.13</v>
      </c>
      <c r="AW2397">
        <v>92</v>
      </c>
      <c r="AX2397">
        <v>0.13</v>
      </c>
      <c r="AY2397">
        <v>64</v>
      </c>
      <c r="AZ2397">
        <v>5.98</v>
      </c>
      <c r="BA2397">
        <v>46</v>
      </c>
      <c r="BB2397">
        <v>4.4400000000000004</v>
      </c>
      <c r="BC2397">
        <v>37</v>
      </c>
      <c r="BD2397">
        <v>0.01</v>
      </c>
      <c r="BE2397">
        <v>0.01</v>
      </c>
      <c r="BF2397">
        <v>-0.09</v>
      </c>
      <c r="BG2397">
        <v>61</v>
      </c>
      <c r="BH2397">
        <v>-0.25</v>
      </c>
      <c r="BI2397">
        <v>6.39</v>
      </c>
      <c r="BJ2397">
        <v>0</v>
      </c>
      <c r="BK2397">
        <v>0</v>
      </c>
      <c r="BL2397">
        <v>-0.92</v>
      </c>
      <c r="BM2397">
        <v>3.63</v>
      </c>
      <c r="BN2397">
        <v>-1.71</v>
      </c>
      <c r="BO2397">
        <v>-3.15</v>
      </c>
      <c r="BP2397">
        <v>4.25</v>
      </c>
      <c r="BQ2397">
        <v>-1.92</v>
      </c>
      <c r="BR2397">
        <v>-2.5499999999999998</v>
      </c>
      <c r="BS2397">
        <v>-0.31</v>
      </c>
      <c r="BT2397">
        <v>2.4900000000000002</v>
      </c>
      <c r="BU2397">
        <v>-3.44</v>
      </c>
      <c r="BV2397">
        <v>-3.81</v>
      </c>
      <c r="BW2397">
        <v>-2.93</v>
      </c>
      <c r="BX2397">
        <v>-2.9</v>
      </c>
      <c r="BY2397">
        <v>-1.98</v>
      </c>
      <c r="BZ2397">
        <v>1.22</v>
      </c>
      <c r="CA2397">
        <v>-2.4700000000000002</v>
      </c>
      <c r="CB2397">
        <v>-3.15</v>
      </c>
      <c r="CC2397">
        <v>-0.43</v>
      </c>
      <c r="CD2397">
        <v>3.99</v>
      </c>
      <c r="CE2397">
        <v>-3.1</v>
      </c>
      <c r="CF2397">
        <v>-1.26</v>
      </c>
      <c r="CG2397">
        <v>0</v>
      </c>
      <c r="CH2397">
        <v>-2.66</v>
      </c>
      <c r="CI2397">
        <v>0</v>
      </c>
      <c r="CJ2397">
        <v>13.8</v>
      </c>
      <c r="CK2397">
        <v>90</v>
      </c>
      <c r="CL2397">
        <v>0.11</v>
      </c>
      <c r="CM2397">
        <v>87</v>
      </c>
      <c r="CN2397">
        <v>-0.32</v>
      </c>
      <c r="CO2397">
        <v>86</v>
      </c>
      <c r="CP2397">
        <v>9.6</v>
      </c>
      <c r="CQ2397">
        <v>65</v>
      </c>
      <c r="CR2397">
        <v>0</v>
      </c>
      <c r="CS2397">
        <v>0</v>
      </c>
      <c r="CT2397">
        <v>13.6</v>
      </c>
      <c r="CU2397">
        <v>56</v>
      </c>
      <c r="CV2397">
        <v>0.13</v>
      </c>
      <c r="CW2397">
        <v>26</v>
      </c>
      <c r="CX2397" t="s">
        <v>1021</v>
      </c>
    </row>
    <row r="2398" spans="1:102" x14ac:dyDescent="0.3">
      <c r="A2398" t="str">
        <f>HYPERLINK("https://webapp.icbf.com/v2/app/bull-search/view/558107279","CLJ")</f>
        <v>CLJ</v>
      </c>
      <c r="B2398" t="s">
        <v>4215</v>
      </c>
      <c r="C2398" t="s">
        <v>4216</v>
      </c>
      <c r="D2398" s="1">
        <v>39480</v>
      </c>
      <c r="E2398" t="s">
        <v>108</v>
      </c>
      <c r="F2398">
        <v>0</v>
      </c>
      <c r="G2398" t="s">
        <v>93</v>
      </c>
      <c r="H2398">
        <v>41.66</v>
      </c>
      <c r="I2398">
        <v>90</v>
      </c>
      <c r="J2398">
        <v>-5.98</v>
      </c>
      <c r="K2398">
        <v>97</v>
      </c>
      <c r="L2398">
        <v>57.32</v>
      </c>
      <c r="M2398">
        <v>83</v>
      </c>
      <c r="N2398">
        <v>-15.86</v>
      </c>
      <c r="O2398">
        <v>88</v>
      </c>
      <c r="P2398">
        <v>-10.01</v>
      </c>
      <c r="Q2398">
        <v>94</v>
      </c>
      <c r="R2398">
        <v>5.87</v>
      </c>
      <c r="S2398">
        <v>85</v>
      </c>
      <c r="T2398">
        <v>9.39</v>
      </c>
      <c r="U2398">
        <v>89</v>
      </c>
      <c r="V2398">
        <v>0.93</v>
      </c>
      <c r="W2398">
        <v>87</v>
      </c>
      <c r="X2398" t="s">
        <v>102</v>
      </c>
      <c r="Y2398" t="s">
        <v>4217</v>
      </c>
      <c r="Z2398" t="s">
        <v>96</v>
      </c>
      <c r="AA2398" t="s">
        <v>4218</v>
      </c>
      <c r="AB2398" t="s">
        <v>4219</v>
      </c>
      <c r="AC2398">
        <v>119</v>
      </c>
      <c r="AD2398">
        <v>85</v>
      </c>
      <c r="AE2398">
        <v>97</v>
      </c>
      <c r="AF2398">
        <v>-64.31</v>
      </c>
      <c r="AG2398">
        <v>-6.31</v>
      </c>
      <c r="AH2398">
        <v>0.23</v>
      </c>
      <c r="AI2398">
        <v>-7.0000000000000007E-2</v>
      </c>
      <c r="AJ2398">
        <v>0.04</v>
      </c>
      <c r="AK2398">
        <v>83</v>
      </c>
      <c r="AL2398">
        <v>133</v>
      </c>
      <c r="AM2398">
        <v>83</v>
      </c>
      <c r="AN2398">
        <v>-4.75</v>
      </c>
      <c r="AO2398">
        <v>-0.2</v>
      </c>
      <c r="AP2398">
        <v>227</v>
      </c>
      <c r="AQ2398">
        <v>1</v>
      </c>
      <c r="AR2398">
        <v>10.39</v>
      </c>
      <c r="AS2398">
        <v>73</v>
      </c>
      <c r="AT2398">
        <v>4.13</v>
      </c>
      <c r="AU2398">
        <v>90</v>
      </c>
      <c r="AV2398">
        <v>-0.69</v>
      </c>
      <c r="AW2398">
        <v>97</v>
      </c>
      <c r="AX2398">
        <v>0.02</v>
      </c>
      <c r="AY2398">
        <v>86</v>
      </c>
      <c r="AZ2398">
        <v>6.59</v>
      </c>
      <c r="BA2398">
        <v>72</v>
      </c>
      <c r="BB2398">
        <v>5.53</v>
      </c>
      <c r="BC2398">
        <v>75</v>
      </c>
      <c r="BD2398">
        <v>0.03</v>
      </c>
      <c r="BE2398">
        <v>-0.05</v>
      </c>
      <c r="BF2398">
        <v>-0.09</v>
      </c>
      <c r="BG2398">
        <v>91</v>
      </c>
      <c r="BH2398">
        <v>0.12</v>
      </c>
      <c r="BI2398">
        <v>10.88</v>
      </c>
      <c r="BJ2398">
        <v>34</v>
      </c>
      <c r="BK2398">
        <v>20</v>
      </c>
      <c r="BL2398">
        <v>-1.8</v>
      </c>
      <c r="BM2398">
        <v>1.71</v>
      </c>
      <c r="BN2398">
        <v>-2.59</v>
      </c>
      <c r="BO2398">
        <v>-2.64</v>
      </c>
      <c r="BP2398">
        <v>-2.59</v>
      </c>
      <c r="BQ2398">
        <v>3.63</v>
      </c>
      <c r="BR2398">
        <v>-1.1499999999999999</v>
      </c>
      <c r="BS2398">
        <v>-0.48</v>
      </c>
      <c r="BT2398">
        <v>-0.05</v>
      </c>
      <c r="BU2398">
        <v>-1.01</v>
      </c>
      <c r="BV2398">
        <v>-1.59</v>
      </c>
      <c r="BW2398">
        <v>-1.85</v>
      </c>
      <c r="BX2398">
        <v>1.08</v>
      </c>
      <c r="BY2398">
        <v>-0.66</v>
      </c>
      <c r="BZ2398">
        <v>1.52</v>
      </c>
      <c r="CA2398">
        <v>-1.69</v>
      </c>
      <c r="CB2398">
        <v>-2.0099999999999998</v>
      </c>
      <c r="CC2398">
        <v>-0.72</v>
      </c>
      <c r="CD2398">
        <v>1.33</v>
      </c>
      <c r="CE2398">
        <v>-2.4700000000000002</v>
      </c>
      <c r="CF2398">
        <v>-1.49</v>
      </c>
      <c r="CG2398">
        <v>0</v>
      </c>
      <c r="CH2398">
        <v>-0.88</v>
      </c>
      <c r="CI2398">
        <v>0</v>
      </c>
      <c r="CJ2398">
        <v>-4.9000000000000004</v>
      </c>
      <c r="CK2398">
        <v>95</v>
      </c>
      <c r="CL2398">
        <v>-0.32</v>
      </c>
      <c r="CM2398">
        <v>94</v>
      </c>
      <c r="CN2398">
        <v>-7.0000000000000007E-2</v>
      </c>
      <c r="CO2398">
        <v>93</v>
      </c>
      <c r="CP2398">
        <v>-5.0999999999999996</v>
      </c>
      <c r="CQ2398">
        <v>92</v>
      </c>
      <c r="CR2398">
        <v>0</v>
      </c>
      <c r="CS2398">
        <v>0</v>
      </c>
      <c r="CT2398">
        <v>1.1000000000000001</v>
      </c>
      <c r="CU2398">
        <v>89</v>
      </c>
      <c r="CV2398">
        <v>0.11</v>
      </c>
      <c r="CW2398">
        <v>45</v>
      </c>
      <c r="CX2398" t="s">
        <v>4220</v>
      </c>
    </row>
    <row r="2399" spans="1:102" x14ac:dyDescent="0.3">
      <c r="A2399" t="str">
        <f>HYPERLINK("https://webapp.icbf.com/v2/app/bull-search/view/678697543","S1434")</f>
        <v>S1434</v>
      </c>
      <c r="B2399" t="s">
        <v>14678</v>
      </c>
      <c r="C2399" t="s">
        <v>14679</v>
      </c>
      <c r="D2399" s="1">
        <v>39174</v>
      </c>
      <c r="E2399" t="s">
        <v>92</v>
      </c>
      <c r="F2399">
        <v>100</v>
      </c>
      <c r="G2399" t="s">
        <v>109</v>
      </c>
      <c r="H2399">
        <v>41.66</v>
      </c>
      <c r="I2399">
        <v>78</v>
      </c>
      <c r="J2399">
        <v>21.05</v>
      </c>
      <c r="K2399">
        <v>93</v>
      </c>
      <c r="L2399">
        <v>7.85</v>
      </c>
      <c r="M2399">
        <v>84</v>
      </c>
      <c r="N2399">
        <v>22.38</v>
      </c>
      <c r="O2399">
        <v>67</v>
      </c>
      <c r="P2399">
        <v>-8.64</v>
      </c>
      <c r="Q2399">
        <v>47</v>
      </c>
      <c r="R2399">
        <v>12.79</v>
      </c>
      <c r="S2399">
        <v>75</v>
      </c>
      <c r="T2399">
        <v>-9.93</v>
      </c>
      <c r="U2399">
        <v>49</v>
      </c>
      <c r="V2399">
        <v>-3.84</v>
      </c>
      <c r="W2399">
        <v>60</v>
      </c>
      <c r="X2399" t="s">
        <v>94</v>
      </c>
      <c r="Y2399" t="s">
        <v>342</v>
      </c>
      <c r="Z2399" t="s">
        <v>96</v>
      </c>
      <c r="AA2399" t="s">
        <v>4808</v>
      </c>
      <c r="AB2399" t="s">
        <v>14680</v>
      </c>
      <c r="AC2399">
        <v>0</v>
      </c>
      <c r="AD2399">
        <v>0</v>
      </c>
      <c r="AE2399">
        <v>93</v>
      </c>
      <c r="AF2399">
        <v>185.93</v>
      </c>
      <c r="AG2399">
        <v>3.35</v>
      </c>
      <c r="AH2399">
        <v>5.24</v>
      </c>
      <c r="AI2399">
        <v>-7.0000000000000007E-2</v>
      </c>
      <c r="AJ2399">
        <v>-0.02</v>
      </c>
      <c r="AK2399">
        <v>84</v>
      </c>
      <c r="AL2399">
        <v>0</v>
      </c>
      <c r="AM2399">
        <v>0</v>
      </c>
      <c r="AN2399">
        <v>-1.7</v>
      </c>
      <c r="AO2399">
        <v>-1.0900000000000001</v>
      </c>
      <c r="AP2399">
        <v>9</v>
      </c>
      <c r="AQ2399">
        <v>0</v>
      </c>
      <c r="AR2399">
        <v>4.6399999999999997</v>
      </c>
      <c r="AS2399">
        <v>57</v>
      </c>
      <c r="AT2399">
        <v>2.75</v>
      </c>
      <c r="AU2399">
        <v>91</v>
      </c>
      <c r="AV2399">
        <v>-1.38</v>
      </c>
      <c r="AW2399">
        <v>68</v>
      </c>
      <c r="AX2399">
        <v>-0.19</v>
      </c>
      <c r="AY2399">
        <v>48</v>
      </c>
      <c r="AZ2399">
        <v>6.42</v>
      </c>
      <c r="BA2399">
        <v>45</v>
      </c>
      <c r="BB2399">
        <v>4.84</v>
      </c>
      <c r="BC2399">
        <v>44</v>
      </c>
      <c r="BD2399">
        <v>-0.03</v>
      </c>
      <c r="BE2399">
        <v>-0.06</v>
      </c>
      <c r="BF2399">
        <v>-0.13</v>
      </c>
      <c r="BG2399">
        <v>91</v>
      </c>
      <c r="BH2399">
        <v>-0.16</v>
      </c>
      <c r="BI2399">
        <v>-6.11</v>
      </c>
      <c r="BJ2399">
        <v>2</v>
      </c>
      <c r="BK2399">
        <v>1</v>
      </c>
      <c r="BL2399">
        <v>1.66</v>
      </c>
      <c r="BM2399">
        <v>-0.77</v>
      </c>
      <c r="BN2399">
        <v>-0.57999999999999996</v>
      </c>
      <c r="BO2399">
        <v>0.38</v>
      </c>
      <c r="BP2399">
        <v>-0.02</v>
      </c>
      <c r="BQ2399">
        <v>1.61</v>
      </c>
      <c r="BR2399">
        <v>-0.91</v>
      </c>
      <c r="BS2399">
        <v>1.55</v>
      </c>
      <c r="BT2399">
        <v>1.55</v>
      </c>
      <c r="BU2399">
        <v>2.73</v>
      </c>
      <c r="BV2399">
        <v>1.75</v>
      </c>
      <c r="BW2399">
        <v>2.66</v>
      </c>
      <c r="BX2399">
        <v>2.76</v>
      </c>
      <c r="BY2399">
        <v>1.32</v>
      </c>
      <c r="BZ2399">
        <v>-0.67</v>
      </c>
      <c r="CA2399">
        <v>2.2200000000000002</v>
      </c>
      <c r="CB2399">
        <v>2.08</v>
      </c>
      <c r="CC2399">
        <v>1.3</v>
      </c>
      <c r="CD2399">
        <v>0.22</v>
      </c>
      <c r="CE2399">
        <v>1.47</v>
      </c>
      <c r="CF2399">
        <v>0.7</v>
      </c>
      <c r="CG2399">
        <v>0</v>
      </c>
      <c r="CH2399">
        <v>1.44</v>
      </c>
      <c r="CI2399">
        <v>0</v>
      </c>
      <c r="CJ2399">
        <v>-1.2</v>
      </c>
      <c r="CK2399">
        <v>48</v>
      </c>
      <c r="CL2399">
        <v>-1.8</v>
      </c>
      <c r="CM2399">
        <v>46</v>
      </c>
      <c r="CN2399">
        <v>-0.94</v>
      </c>
      <c r="CO2399">
        <v>45</v>
      </c>
      <c r="CP2399">
        <v>3.9</v>
      </c>
      <c r="CQ2399">
        <v>48</v>
      </c>
      <c r="CR2399">
        <v>0</v>
      </c>
      <c r="CS2399">
        <v>0</v>
      </c>
      <c r="CT2399">
        <v>27.2</v>
      </c>
      <c r="CU2399">
        <v>49</v>
      </c>
      <c r="CV2399">
        <v>0.3</v>
      </c>
      <c r="CW2399">
        <v>34</v>
      </c>
      <c r="CX2399" t="s">
        <v>309</v>
      </c>
    </row>
    <row r="2400" spans="1:102" x14ac:dyDescent="0.3">
      <c r="A2400" t="str">
        <f>HYPERLINK("https://webapp.icbf.com/v2/app/bull-search/view/626275347","ACA")</f>
        <v>ACA</v>
      </c>
      <c r="B2400" t="s">
        <v>12618</v>
      </c>
      <c r="C2400" t="s">
        <v>12619</v>
      </c>
      <c r="D2400" s="1">
        <v>39078</v>
      </c>
      <c r="E2400" t="s">
        <v>108</v>
      </c>
      <c r="F2400">
        <v>0</v>
      </c>
      <c r="G2400" t="s">
        <v>93</v>
      </c>
      <c r="H2400">
        <v>41.55</v>
      </c>
      <c r="I2400">
        <v>88</v>
      </c>
      <c r="J2400">
        <v>-71.209999999999994</v>
      </c>
      <c r="K2400">
        <v>98</v>
      </c>
      <c r="L2400">
        <v>82.24</v>
      </c>
      <c r="M2400">
        <v>77</v>
      </c>
      <c r="N2400">
        <v>32.49</v>
      </c>
      <c r="O2400">
        <v>87</v>
      </c>
      <c r="P2400">
        <v>-14.22</v>
      </c>
      <c r="Q2400">
        <v>95</v>
      </c>
      <c r="R2400">
        <v>-2.99</v>
      </c>
      <c r="S2400">
        <v>81</v>
      </c>
      <c r="T2400">
        <v>16.93</v>
      </c>
      <c r="U2400">
        <v>87</v>
      </c>
      <c r="V2400">
        <v>-1.69</v>
      </c>
      <c r="W2400">
        <v>82</v>
      </c>
      <c r="X2400" t="s">
        <v>102</v>
      </c>
      <c r="Y2400" t="s">
        <v>4217</v>
      </c>
      <c r="Z2400" t="s">
        <v>96</v>
      </c>
      <c r="AA2400" t="s">
        <v>3575</v>
      </c>
      <c r="AB2400" t="s">
        <v>12620</v>
      </c>
      <c r="AC2400">
        <v>111</v>
      </c>
      <c r="AD2400">
        <v>83</v>
      </c>
      <c r="AE2400">
        <v>98</v>
      </c>
      <c r="AF2400">
        <v>-207.95</v>
      </c>
      <c r="AG2400">
        <v>-10.61</v>
      </c>
      <c r="AH2400">
        <v>-11.54</v>
      </c>
      <c r="AI2400">
        <v>-0.05</v>
      </c>
      <c r="AJ2400">
        <v>-0.08</v>
      </c>
      <c r="AK2400">
        <v>77</v>
      </c>
      <c r="AL2400">
        <v>118</v>
      </c>
      <c r="AM2400">
        <v>80</v>
      </c>
      <c r="AN2400">
        <v>-4.37</v>
      </c>
      <c r="AO2400">
        <v>2.19</v>
      </c>
      <c r="AP2400">
        <v>259</v>
      </c>
      <c r="AQ2400">
        <v>0</v>
      </c>
      <c r="AR2400">
        <v>4.7300000000000004</v>
      </c>
      <c r="AS2400">
        <v>66</v>
      </c>
      <c r="AT2400">
        <v>2.09</v>
      </c>
      <c r="AU2400">
        <v>89</v>
      </c>
      <c r="AV2400">
        <v>-1.58</v>
      </c>
      <c r="AW2400">
        <v>97</v>
      </c>
      <c r="AX2400">
        <v>-1.03</v>
      </c>
      <c r="AY2400">
        <v>85</v>
      </c>
      <c r="AZ2400">
        <v>5.39</v>
      </c>
      <c r="BA2400">
        <v>66</v>
      </c>
      <c r="BB2400">
        <v>4.6900000000000004</v>
      </c>
      <c r="BC2400">
        <v>70</v>
      </c>
      <c r="BD2400">
        <v>0.04</v>
      </c>
      <c r="BE2400">
        <v>-0.02</v>
      </c>
      <c r="BF2400">
        <v>0.04</v>
      </c>
      <c r="BG2400">
        <v>89</v>
      </c>
      <c r="BH2400">
        <v>-0.05</v>
      </c>
      <c r="BI2400">
        <v>-0.32</v>
      </c>
      <c r="BJ2400">
        <v>32</v>
      </c>
      <c r="BK2400">
        <v>18</v>
      </c>
      <c r="BL2400">
        <v>-3.85</v>
      </c>
      <c r="BM2400">
        <v>3.65</v>
      </c>
      <c r="BN2400">
        <v>-3.13</v>
      </c>
      <c r="BO2400">
        <v>-4.74</v>
      </c>
      <c r="BP2400">
        <v>0.99</v>
      </c>
      <c r="BQ2400">
        <v>2</v>
      </c>
      <c r="BR2400">
        <v>-2.13</v>
      </c>
      <c r="BS2400">
        <v>7.0000000000000007E-2</v>
      </c>
      <c r="BT2400">
        <v>1</v>
      </c>
      <c r="BU2400">
        <v>-3.71</v>
      </c>
      <c r="BV2400">
        <v>-3.93</v>
      </c>
      <c r="BW2400">
        <v>-3.55</v>
      </c>
      <c r="BX2400">
        <v>-3.25</v>
      </c>
      <c r="BY2400">
        <v>-1.67</v>
      </c>
      <c r="BZ2400">
        <v>0.46</v>
      </c>
      <c r="CA2400">
        <v>-3.38</v>
      </c>
      <c r="CB2400">
        <v>-4.04</v>
      </c>
      <c r="CC2400">
        <v>-1.21</v>
      </c>
      <c r="CD2400">
        <v>4.9400000000000004</v>
      </c>
      <c r="CE2400">
        <v>-4.37</v>
      </c>
      <c r="CF2400">
        <v>-2.41</v>
      </c>
      <c r="CG2400">
        <v>0</v>
      </c>
      <c r="CH2400">
        <v>-2.2599999999999998</v>
      </c>
      <c r="CI2400">
        <v>0</v>
      </c>
      <c r="CJ2400">
        <v>-11.8</v>
      </c>
      <c r="CK2400">
        <v>96</v>
      </c>
      <c r="CL2400">
        <v>0.31</v>
      </c>
      <c r="CM2400">
        <v>95</v>
      </c>
      <c r="CN2400">
        <v>-0.05</v>
      </c>
      <c r="CO2400">
        <v>95</v>
      </c>
      <c r="CP2400">
        <v>-11.5</v>
      </c>
      <c r="CQ2400">
        <v>91</v>
      </c>
      <c r="CR2400">
        <v>0</v>
      </c>
      <c r="CS2400">
        <v>0</v>
      </c>
      <c r="CT2400">
        <v>-9.1</v>
      </c>
      <c r="CU2400">
        <v>87</v>
      </c>
      <c r="CV2400">
        <v>-0.18</v>
      </c>
      <c r="CW2400">
        <v>45</v>
      </c>
      <c r="CX2400" t="s">
        <v>5075</v>
      </c>
    </row>
    <row r="2401" spans="1:102" x14ac:dyDescent="0.3">
      <c r="A2401" t="str">
        <f>HYPERLINK("https://webapp.icbf.com/v2/app/bull-search/view/73543731","REA")</f>
        <v>REA</v>
      </c>
      <c r="B2401" t="s">
        <v>2433</v>
      </c>
      <c r="C2401" t="s">
        <v>2434</v>
      </c>
      <c r="D2401" s="1">
        <v>36182</v>
      </c>
      <c r="E2401" t="s">
        <v>108</v>
      </c>
      <c r="F2401">
        <v>3</v>
      </c>
      <c r="G2401" t="s">
        <v>93</v>
      </c>
      <c r="H2401">
        <v>41.54</v>
      </c>
      <c r="I2401">
        <v>80</v>
      </c>
      <c r="J2401">
        <v>-21.77</v>
      </c>
      <c r="K2401">
        <v>93</v>
      </c>
      <c r="L2401">
        <v>77.19</v>
      </c>
      <c r="M2401">
        <v>72</v>
      </c>
      <c r="N2401">
        <v>-10.35</v>
      </c>
      <c r="O2401">
        <v>71</v>
      </c>
      <c r="P2401">
        <v>-9.67</v>
      </c>
      <c r="Q2401">
        <v>84</v>
      </c>
      <c r="R2401">
        <v>-14.71</v>
      </c>
      <c r="S2401">
        <v>74</v>
      </c>
      <c r="T2401">
        <v>17.670000000000002</v>
      </c>
      <c r="U2401">
        <v>71</v>
      </c>
      <c r="V2401">
        <v>3.18</v>
      </c>
      <c r="W2401">
        <v>67</v>
      </c>
      <c r="X2401" t="s">
        <v>102</v>
      </c>
      <c r="Y2401" t="s">
        <v>95</v>
      </c>
      <c r="Z2401" t="s">
        <v>96</v>
      </c>
      <c r="AA2401" t="s">
        <v>847</v>
      </c>
      <c r="AB2401" t="s">
        <v>2435</v>
      </c>
      <c r="AC2401">
        <v>31</v>
      </c>
      <c r="AD2401">
        <v>13</v>
      </c>
      <c r="AE2401">
        <v>93</v>
      </c>
      <c r="AF2401">
        <v>-53.09</v>
      </c>
      <c r="AG2401">
        <v>-2.19</v>
      </c>
      <c r="AH2401">
        <v>-3.74</v>
      </c>
      <c r="AI2401">
        <v>0</v>
      </c>
      <c r="AJ2401">
        <v>-0.03</v>
      </c>
      <c r="AK2401">
        <v>72</v>
      </c>
      <c r="AL2401">
        <v>33</v>
      </c>
      <c r="AM2401">
        <v>16</v>
      </c>
      <c r="AN2401">
        <v>-4.66</v>
      </c>
      <c r="AO2401">
        <v>1.49</v>
      </c>
      <c r="AP2401">
        <v>22</v>
      </c>
      <c r="AQ2401">
        <v>4</v>
      </c>
      <c r="AR2401">
        <v>9.4600000000000009</v>
      </c>
      <c r="AS2401">
        <v>60</v>
      </c>
      <c r="AT2401">
        <v>3</v>
      </c>
      <c r="AU2401">
        <v>71</v>
      </c>
      <c r="AV2401">
        <v>0.98</v>
      </c>
      <c r="AW2401">
        <v>80</v>
      </c>
      <c r="AX2401">
        <v>-0.85</v>
      </c>
      <c r="AY2401">
        <v>69</v>
      </c>
      <c r="AZ2401">
        <v>6.82</v>
      </c>
      <c r="BA2401">
        <v>54</v>
      </c>
      <c r="BB2401">
        <v>5.0599999999999996</v>
      </c>
      <c r="BC2401">
        <v>59</v>
      </c>
      <c r="BD2401">
        <v>0.05</v>
      </c>
      <c r="BE2401">
        <v>0.05</v>
      </c>
      <c r="BF2401">
        <v>0.16</v>
      </c>
      <c r="BG2401">
        <v>82</v>
      </c>
      <c r="BH2401">
        <v>0.01</v>
      </c>
      <c r="BI2401">
        <v>-9.09</v>
      </c>
      <c r="BJ2401">
        <v>3</v>
      </c>
      <c r="BK2401">
        <v>3</v>
      </c>
      <c r="BL2401">
        <v>-2.33</v>
      </c>
      <c r="BM2401">
        <v>1.51</v>
      </c>
      <c r="BN2401">
        <v>-1.59</v>
      </c>
      <c r="BO2401">
        <v>-2.1800000000000002</v>
      </c>
      <c r="BP2401">
        <v>0.94</v>
      </c>
      <c r="BQ2401">
        <v>1.39</v>
      </c>
      <c r="BR2401">
        <v>-1.1100000000000001</v>
      </c>
      <c r="BS2401">
        <v>-1.35</v>
      </c>
      <c r="BT2401">
        <v>0.36</v>
      </c>
      <c r="BU2401">
        <v>-3.62</v>
      </c>
      <c r="BV2401">
        <v>-2.4700000000000002</v>
      </c>
      <c r="BW2401">
        <v>-2.5299999999999998</v>
      </c>
      <c r="BX2401">
        <v>-3.2</v>
      </c>
      <c r="BY2401">
        <v>-1.76</v>
      </c>
      <c r="BZ2401">
        <v>1.18</v>
      </c>
      <c r="CA2401">
        <v>-2.76</v>
      </c>
      <c r="CB2401">
        <v>-2.81</v>
      </c>
      <c r="CC2401">
        <v>-1.44</v>
      </c>
      <c r="CD2401">
        <v>2.29</v>
      </c>
      <c r="CE2401">
        <v>-2.64</v>
      </c>
      <c r="CF2401">
        <v>-1.66</v>
      </c>
      <c r="CG2401">
        <v>0</v>
      </c>
      <c r="CH2401">
        <v>-2.42</v>
      </c>
      <c r="CI2401">
        <v>0</v>
      </c>
      <c r="CJ2401">
        <v>-7.2</v>
      </c>
      <c r="CK2401">
        <v>85</v>
      </c>
      <c r="CL2401">
        <v>-0.04</v>
      </c>
      <c r="CM2401">
        <v>83</v>
      </c>
      <c r="CN2401">
        <v>-0.21</v>
      </c>
      <c r="CO2401">
        <v>81</v>
      </c>
      <c r="CP2401">
        <v>-11.9</v>
      </c>
      <c r="CQ2401">
        <v>83</v>
      </c>
      <c r="CR2401">
        <v>0</v>
      </c>
      <c r="CS2401">
        <v>0</v>
      </c>
      <c r="CT2401">
        <v>-10.1</v>
      </c>
      <c r="CU2401">
        <v>71</v>
      </c>
      <c r="CV2401">
        <v>-0.05</v>
      </c>
      <c r="CW2401">
        <v>43</v>
      </c>
      <c r="CX2401" t="s">
        <v>672</v>
      </c>
    </row>
    <row r="2402" spans="1:102" x14ac:dyDescent="0.3">
      <c r="A2402" t="str">
        <f>HYPERLINK("https://webapp.icbf.com/v2/app/bull-search/view/124443043","PAJ")</f>
        <v>PAJ</v>
      </c>
      <c r="B2402" t="s">
        <v>5245</v>
      </c>
      <c r="C2402" t="s">
        <v>5246</v>
      </c>
      <c r="D2402" s="1">
        <v>35751</v>
      </c>
      <c r="E2402" t="s">
        <v>227</v>
      </c>
      <c r="F2402">
        <v>0</v>
      </c>
      <c r="G2402" t="s">
        <v>93</v>
      </c>
      <c r="H2402">
        <v>41.47</v>
      </c>
      <c r="I2402">
        <v>89</v>
      </c>
      <c r="J2402">
        <v>-2.0299999999999998</v>
      </c>
      <c r="K2402">
        <v>97</v>
      </c>
      <c r="L2402">
        <v>33.06</v>
      </c>
      <c r="M2402">
        <v>82</v>
      </c>
      <c r="N2402">
        <v>28.01</v>
      </c>
      <c r="O2402">
        <v>86</v>
      </c>
      <c r="P2402">
        <v>-66.3</v>
      </c>
      <c r="Q2402">
        <v>92</v>
      </c>
      <c r="R2402">
        <v>-2.13</v>
      </c>
      <c r="S2402">
        <v>80</v>
      </c>
      <c r="T2402">
        <v>56.89</v>
      </c>
      <c r="U2402">
        <v>89</v>
      </c>
      <c r="V2402">
        <v>-6.03</v>
      </c>
      <c r="W2402">
        <v>80</v>
      </c>
      <c r="X2402" t="s">
        <v>276</v>
      </c>
      <c r="Y2402" t="s">
        <v>95</v>
      </c>
      <c r="Z2402">
        <v>0</v>
      </c>
      <c r="AA2402" t="s">
        <v>5247</v>
      </c>
      <c r="AB2402" t="s">
        <v>5248</v>
      </c>
      <c r="AC2402">
        <v>135</v>
      </c>
      <c r="AD2402">
        <v>59</v>
      </c>
      <c r="AE2402">
        <v>97</v>
      </c>
      <c r="AF2402">
        <v>-481.82</v>
      </c>
      <c r="AG2402">
        <v>0.17</v>
      </c>
      <c r="AH2402">
        <v>-7.78</v>
      </c>
      <c r="AI2402">
        <v>0.34</v>
      </c>
      <c r="AJ2402">
        <v>0.16</v>
      </c>
      <c r="AK2402">
        <v>82</v>
      </c>
      <c r="AL2402">
        <v>142</v>
      </c>
      <c r="AM2402">
        <v>69</v>
      </c>
      <c r="AN2402">
        <v>-1.56</v>
      </c>
      <c r="AO2402">
        <v>1.08</v>
      </c>
      <c r="AP2402">
        <v>195</v>
      </c>
      <c r="AQ2402">
        <v>4</v>
      </c>
      <c r="AR2402">
        <v>2.12</v>
      </c>
      <c r="AS2402">
        <v>83</v>
      </c>
      <c r="AT2402">
        <v>1.33</v>
      </c>
      <c r="AU2402">
        <v>83</v>
      </c>
      <c r="AV2402">
        <v>-2.0499999999999998</v>
      </c>
      <c r="AW2402">
        <v>96</v>
      </c>
      <c r="AX2402">
        <v>2.83</v>
      </c>
      <c r="AY2402">
        <v>85</v>
      </c>
      <c r="AZ2402">
        <v>7.13</v>
      </c>
      <c r="BA2402">
        <v>63</v>
      </c>
      <c r="BB2402">
        <v>5.47</v>
      </c>
      <c r="BC2402">
        <v>71</v>
      </c>
      <c r="BD2402">
        <v>0</v>
      </c>
      <c r="BE2402">
        <v>0.01</v>
      </c>
      <c r="BF2402">
        <v>0.03</v>
      </c>
      <c r="BG2402">
        <v>88</v>
      </c>
      <c r="BH2402">
        <v>-0.04</v>
      </c>
      <c r="BI2402">
        <v>14.84</v>
      </c>
      <c r="BJ2402">
        <v>5</v>
      </c>
      <c r="BK2402">
        <v>4</v>
      </c>
      <c r="BL2402">
        <v>0</v>
      </c>
      <c r="BM2402">
        <v>0.99</v>
      </c>
      <c r="BN2402">
        <v>1.94</v>
      </c>
      <c r="BO2402">
        <v>1.29</v>
      </c>
      <c r="BP2402">
        <v>-2.38</v>
      </c>
      <c r="BQ2402">
        <v>-3.06</v>
      </c>
      <c r="BR2402">
        <v>0.77</v>
      </c>
      <c r="BS2402">
        <v>8.11</v>
      </c>
      <c r="BT2402">
        <v>0.17</v>
      </c>
      <c r="BU2402">
        <v>1.26</v>
      </c>
      <c r="BV2402">
        <v>0.57999999999999996</v>
      </c>
      <c r="BW2402">
        <v>-1.86</v>
      </c>
      <c r="BX2402">
        <v>-1.38</v>
      </c>
      <c r="BY2402">
        <v>-0.2</v>
      </c>
      <c r="BZ2402">
        <v>1.79</v>
      </c>
      <c r="CA2402">
        <v>3.15</v>
      </c>
      <c r="CB2402">
        <v>1.1299999999999999</v>
      </c>
      <c r="CC2402">
        <v>5.91</v>
      </c>
      <c r="CD2402">
        <v>-1.08</v>
      </c>
      <c r="CE2402">
        <v>1.92</v>
      </c>
      <c r="CF2402">
        <v>1.32</v>
      </c>
      <c r="CG2402">
        <v>0</v>
      </c>
      <c r="CH2402">
        <v>0.19</v>
      </c>
      <c r="CI2402">
        <v>0</v>
      </c>
      <c r="CJ2402">
        <v>-33.200000000000003</v>
      </c>
      <c r="CK2402">
        <v>93</v>
      </c>
      <c r="CL2402">
        <v>-1.45</v>
      </c>
      <c r="CM2402">
        <v>91</v>
      </c>
      <c r="CN2402">
        <v>-0.17</v>
      </c>
      <c r="CO2402">
        <v>90</v>
      </c>
      <c r="CP2402">
        <v>-50.1</v>
      </c>
      <c r="CQ2402">
        <v>92</v>
      </c>
      <c r="CR2402">
        <v>0</v>
      </c>
      <c r="CS2402">
        <v>0</v>
      </c>
      <c r="CT2402">
        <v>-63.1</v>
      </c>
      <c r="CU2402">
        <v>89</v>
      </c>
      <c r="CV2402">
        <v>-0.26</v>
      </c>
      <c r="CW2402">
        <v>26</v>
      </c>
      <c r="CX2402" t="s">
        <v>5249</v>
      </c>
    </row>
    <row r="2403" spans="1:102" x14ac:dyDescent="0.3">
      <c r="A2403" t="str">
        <f>HYPERLINK("https://webapp.icbf.com/v2/app/bull-search/view/77855605","MEB")</f>
        <v>MEB</v>
      </c>
      <c r="B2403" t="s">
        <v>10795</v>
      </c>
      <c r="C2403" t="s">
        <v>4220</v>
      </c>
      <c r="D2403" s="1">
        <v>34796</v>
      </c>
      <c r="E2403" t="s">
        <v>108</v>
      </c>
      <c r="F2403">
        <v>0</v>
      </c>
      <c r="G2403" t="s">
        <v>93</v>
      </c>
      <c r="H2403">
        <v>41.36</v>
      </c>
      <c r="I2403">
        <v>98</v>
      </c>
      <c r="J2403">
        <v>-33.81</v>
      </c>
      <c r="K2403">
        <v>99</v>
      </c>
      <c r="L2403">
        <v>50.06</v>
      </c>
      <c r="M2403">
        <v>97</v>
      </c>
      <c r="N2403">
        <v>7.53</v>
      </c>
      <c r="O2403">
        <v>99</v>
      </c>
      <c r="P2403">
        <v>-10.61</v>
      </c>
      <c r="Q2403">
        <v>99</v>
      </c>
      <c r="R2403">
        <v>8</v>
      </c>
      <c r="S2403">
        <v>98</v>
      </c>
      <c r="T2403">
        <v>13.53</v>
      </c>
      <c r="U2403">
        <v>99</v>
      </c>
      <c r="V2403">
        <v>6.66</v>
      </c>
      <c r="W2403">
        <v>99</v>
      </c>
      <c r="X2403" t="s">
        <v>102</v>
      </c>
      <c r="Y2403" t="s">
        <v>95</v>
      </c>
      <c r="Z2403" t="s">
        <v>96</v>
      </c>
      <c r="AA2403" t="s">
        <v>4747</v>
      </c>
      <c r="AB2403" t="s">
        <v>10796</v>
      </c>
      <c r="AC2403">
        <v>2134</v>
      </c>
      <c r="AD2403">
        <v>640</v>
      </c>
      <c r="AE2403">
        <v>99</v>
      </c>
      <c r="AF2403">
        <v>-120.82</v>
      </c>
      <c r="AG2403">
        <v>-8.65</v>
      </c>
      <c r="AH2403">
        <v>-4.54</v>
      </c>
      <c r="AI2403">
        <v>-7.0000000000000007E-2</v>
      </c>
      <c r="AJ2403">
        <v>-0.01</v>
      </c>
      <c r="AK2403">
        <v>97</v>
      </c>
      <c r="AL2403">
        <v>2755</v>
      </c>
      <c r="AM2403">
        <v>891</v>
      </c>
      <c r="AN2403">
        <v>-2.89</v>
      </c>
      <c r="AO2403">
        <v>1.1000000000000001</v>
      </c>
      <c r="AP2403">
        <v>2933</v>
      </c>
      <c r="AQ2403">
        <v>16</v>
      </c>
      <c r="AR2403">
        <v>8.24</v>
      </c>
      <c r="AS2403">
        <v>99</v>
      </c>
      <c r="AT2403">
        <v>2.89</v>
      </c>
      <c r="AU2403">
        <v>99</v>
      </c>
      <c r="AV2403">
        <v>-2.04</v>
      </c>
      <c r="AW2403">
        <v>99</v>
      </c>
      <c r="AX2403">
        <v>0.08</v>
      </c>
      <c r="AY2403">
        <v>99</v>
      </c>
      <c r="AZ2403">
        <v>7.75</v>
      </c>
      <c r="BA2403">
        <v>97</v>
      </c>
      <c r="BB2403">
        <v>6.23</v>
      </c>
      <c r="BC2403">
        <v>98</v>
      </c>
      <c r="BD2403">
        <v>0.03</v>
      </c>
      <c r="BE2403">
        <v>-0.06</v>
      </c>
      <c r="BF2403">
        <v>-0.12</v>
      </c>
      <c r="BG2403">
        <v>99</v>
      </c>
      <c r="BH2403">
        <v>0.1</v>
      </c>
      <c r="BI2403">
        <v>-9.91</v>
      </c>
      <c r="BJ2403">
        <v>105</v>
      </c>
      <c r="BK2403">
        <v>55</v>
      </c>
      <c r="BL2403">
        <v>-2.79</v>
      </c>
      <c r="BM2403">
        <v>1.93</v>
      </c>
      <c r="BN2403">
        <v>-2.84</v>
      </c>
      <c r="BO2403">
        <v>-3.11</v>
      </c>
      <c r="BP2403">
        <v>-3.36</v>
      </c>
      <c r="BQ2403">
        <v>2.8</v>
      </c>
      <c r="BR2403">
        <v>-1.1100000000000001</v>
      </c>
      <c r="BS2403">
        <v>-1.8</v>
      </c>
      <c r="BT2403">
        <v>0.3</v>
      </c>
      <c r="BU2403">
        <v>-2.0499999999999998</v>
      </c>
      <c r="BV2403">
        <v>-3</v>
      </c>
      <c r="BW2403">
        <v>-0.9</v>
      </c>
      <c r="BX2403">
        <v>0.13</v>
      </c>
      <c r="BY2403">
        <v>-0.61</v>
      </c>
      <c r="BZ2403">
        <v>-0.53</v>
      </c>
      <c r="CA2403">
        <v>-2.87</v>
      </c>
      <c r="CB2403">
        <v>-2.38</v>
      </c>
      <c r="CC2403">
        <v>-2.71</v>
      </c>
      <c r="CD2403">
        <v>2.09</v>
      </c>
      <c r="CE2403">
        <v>-2.84</v>
      </c>
      <c r="CF2403">
        <v>-2.0499999999999998</v>
      </c>
      <c r="CG2403">
        <v>0</v>
      </c>
      <c r="CH2403">
        <v>-0.54</v>
      </c>
      <c r="CI2403">
        <v>0</v>
      </c>
      <c r="CJ2403">
        <v>-6.3</v>
      </c>
      <c r="CK2403">
        <v>99</v>
      </c>
      <c r="CL2403">
        <v>-0.13</v>
      </c>
      <c r="CM2403">
        <v>99</v>
      </c>
      <c r="CN2403">
        <v>-0.03</v>
      </c>
      <c r="CO2403">
        <v>99</v>
      </c>
      <c r="CP2403">
        <v>-6.2</v>
      </c>
      <c r="CQ2403">
        <v>99</v>
      </c>
      <c r="CR2403">
        <v>0</v>
      </c>
      <c r="CS2403">
        <v>0</v>
      </c>
      <c r="CT2403">
        <v>-4.5</v>
      </c>
      <c r="CU2403">
        <v>99</v>
      </c>
      <c r="CV2403">
        <v>0.04</v>
      </c>
      <c r="CW2403">
        <v>47</v>
      </c>
      <c r="CX2403" t="s">
        <v>8632</v>
      </c>
    </row>
    <row r="2404" spans="1:102" x14ac:dyDescent="0.3">
      <c r="A2404" t="str">
        <f>HYPERLINK("https://webapp.icbf.com/v2/app/bull-search/view/152161110","AEJ")</f>
        <v>AEJ</v>
      </c>
      <c r="B2404" t="s">
        <v>11554</v>
      </c>
      <c r="C2404" t="s">
        <v>7111</v>
      </c>
      <c r="D2404" s="1">
        <v>35329</v>
      </c>
      <c r="E2404" t="s">
        <v>146</v>
      </c>
      <c r="F2404">
        <v>0</v>
      </c>
      <c r="G2404" t="s">
        <v>109</v>
      </c>
      <c r="H2404">
        <v>41.3</v>
      </c>
      <c r="I2404">
        <v>61</v>
      </c>
      <c r="J2404">
        <v>-13.72</v>
      </c>
      <c r="K2404">
        <v>76</v>
      </c>
      <c r="L2404">
        <v>44.44</v>
      </c>
      <c r="M2404">
        <v>64</v>
      </c>
      <c r="N2404">
        <v>14.59</v>
      </c>
      <c r="O2404">
        <v>46</v>
      </c>
      <c r="P2404">
        <v>11.77</v>
      </c>
      <c r="Q2404">
        <v>52</v>
      </c>
      <c r="R2404">
        <v>-3.49</v>
      </c>
      <c r="S2404">
        <v>54</v>
      </c>
      <c r="T2404">
        <v>-0.31</v>
      </c>
      <c r="U2404">
        <v>33</v>
      </c>
      <c r="V2404">
        <v>-11.98</v>
      </c>
      <c r="W2404">
        <v>28</v>
      </c>
      <c r="X2404" t="s">
        <v>94</v>
      </c>
      <c r="Y2404" t="s">
        <v>95</v>
      </c>
      <c r="Z2404">
        <v>0</v>
      </c>
      <c r="AA2404" t="s">
        <v>11555</v>
      </c>
      <c r="AB2404" t="s">
        <v>11556</v>
      </c>
      <c r="AC2404">
        <v>0</v>
      </c>
      <c r="AD2404">
        <v>0</v>
      </c>
      <c r="AE2404">
        <v>76</v>
      </c>
      <c r="AF2404">
        <v>-164.27</v>
      </c>
      <c r="AG2404">
        <v>-8.73</v>
      </c>
      <c r="AH2404">
        <v>-1.76</v>
      </c>
      <c r="AI2404">
        <v>-0.04</v>
      </c>
      <c r="AJ2404">
        <v>7.0000000000000007E-2</v>
      </c>
      <c r="AK2404">
        <v>64</v>
      </c>
      <c r="AL2404">
        <v>0</v>
      </c>
      <c r="AM2404">
        <v>0</v>
      </c>
      <c r="AN2404">
        <v>-2.71</v>
      </c>
      <c r="AO2404">
        <v>0.83</v>
      </c>
      <c r="AP2404">
        <v>4</v>
      </c>
      <c r="AQ2404">
        <v>0</v>
      </c>
      <c r="AR2404">
        <v>8.77</v>
      </c>
      <c r="AS2404">
        <v>17</v>
      </c>
      <c r="AT2404">
        <v>3.43</v>
      </c>
      <c r="AU2404">
        <v>83</v>
      </c>
      <c r="AV2404">
        <v>-1.98</v>
      </c>
      <c r="AW2404">
        <v>44</v>
      </c>
      <c r="AX2404">
        <v>-0.54</v>
      </c>
      <c r="AY2404">
        <v>33</v>
      </c>
      <c r="AZ2404">
        <v>5.97</v>
      </c>
      <c r="BA2404">
        <v>15</v>
      </c>
      <c r="BB2404">
        <v>4.4000000000000004</v>
      </c>
      <c r="BC2404">
        <v>18</v>
      </c>
      <c r="BD2404">
        <v>0.02</v>
      </c>
      <c r="BE2404">
        <v>0.03</v>
      </c>
      <c r="BF2404">
        <v>-0.01</v>
      </c>
      <c r="BG2404">
        <v>82</v>
      </c>
      <c r="BH2404">
        <v>-0.2</v>
      </c>
      <c r="BI2404">
        <v>15.52</v>
      </c>
      <c r="BJ2404">
        <v>0</v>
      </c>
      <c r="BK2404">
        <v>0</v>
      </c>
      <c r="BL2404">
        <v>-1.21</v>
      </c>
      <c r="BM2404">
        <v>3.06</v>
      </c>
      <c r="BN2404">
        <v>0.24</v>
      </c>
      <c r="BO2404">
        <v>-1.2</v>
      </c>
      <c r="BP2404">
        <v>4.87</v>
      </c>
      <c r="BQ2404">
        <v>-0.69</v>
      </c>
      <c r="BR2404">
        <v>-0.3</v>
      </c>
      <c r="BS2404">
        <v>0.06</v>
      </c>
      <c r="BT2404">
        <v>1.51</v>
      </c>
      <c r="BU2404">
        <v>-2.4300000000000002</v>
      </c>
      <c r="BV2404">
        <v>-3.6</v>
      </c>
      <c r="BW2404">
        <v>-2.2799999999999998</v>
      </c>
      <c r="BX2404">
        <v>-1.75</v>
      </c>
      <c r="BY2404">
        <v>-2.27</v>
      </c>
      <c r="BZ2404">
        <v>1.22</v>
      </c>
      <c r="CA2404">
        <v>-2.25</v>
      </c>
      <c r="CB2404">
        <v>-2.65</v>
      </c>
      <c r="CC2404">
        <v>-0.27</v>
      </c>
      <c r="CD2404">
        <v>2.56</v>
      </c>
      <c r="CE2404">
        <v>-1.81</v>
      </c>
      <c r="CF2404">
        <v>-0.66</v>
      </c>
      <c r="CG2404">
        <v>0</v>
      </c>
      <c r="CH2404">
        <v>-0.7</v>
      </c>
      <c r="CI2404">
        <v>0</v>
      </c>
      <c r="CJ2404">
        <v>4.2</v>
      </c>
      <c r="CK2404">
        <v>54</v>
      </c>
      <c r="CL2404">
        <v>0.39</v>
      </c>
      <c r="CM2404">
        <v>51</v>
      </c>
      <c r="CN2404">
        <v>-0.1</v>
      </c>
      <c r="CO2404">
        <v>48</v>
      </c>
      <c r="CP2404">
        <v>5.2</v>
      </c>
      <c r="CQ2404">
        <v>50</v>
      </c>
      <c r="CR2404">
        <v>0</v>
      </c>
      <c r="CS2404">
        <v>0</v>
      </c>
      <c r="CT2404">
        <v>14.2</v>
      </c>
      <c r="CU2404">
        <v>33</v>
      </c>
      <c r="CV2404">
        <v>-0.19</v>
      </c>
      <c r="CW2404">
        <v>14</v>
      </c>
      <c r="CX2404" t="s">
        <v>10548</v>
      </c>
    </row>
    <row r="2405" spans="1:102" x14ac:dyDescent="0.3">
      <c r="A2405" t="str">
        <f>HYPERLINK("https://webapp.icbf.com/v2/app/bull-search/view/263926261","KYU")</f>
        <v>KYU</v>
      </c>
      <c r="B2405" t="s">
        <v>8111</v>
      </c>
      <c r="C2405" t="s">
        <v>8112</v>
      </c>
      <c r="D2405" s="1">
        <v>37936</v>
      </c>
      <c r="E2405" t="s">
        <v>108</v>
      </c>
      <c r="F2405">
        <v>9</v>
      </c>
      <c r="G2405" t="s">
        <v>93</v>
      </c>
      <c r="H2405">
        <v>41.27</v>
      </c>
      <c r="I2405">
        <v>77</v>
      </c>
      <c r="J2405">
        <v>-24.04</v>
      </c>
      <c r="K2405">
        <v>90</v>
      </c>
      <c r="L2405">
        <v>62.65</v>
      </c>
      <c r="M2405">
        <v>66</v>
      </c>
      <c r="N2405">
        <v>7.84</v>
      </c>
      <c r="O2405">
        <v>76</v>
      </c>
      <c r="P2405">
        <v>-14.46</v>
      </c>
      <c r="Q2405">
        <v>83</v>
      </c>
      <c r="R2405">
        <v>2.38</v>
      </c>
      <c r="S2405">
        <v>69</v>
      </c>
      <c r="T2405">
        <v>14.12</v>
      </c>
      <c r="U2405">
        <v>72</v>
      </c>
      <c r="V2405">
        <v>-7.22</v>
      </c>
      <c r="W2405">
        <v>66</v>
      </c>
      <c r="X2405" t="s">
        <v>94</v>
      </c>
      <c r="Y2405" t="s">
        <v>228</v>
      </c>
      <c r="Z2405" t="s">
        <v>96</v>
      </c>
      <c r="AA2405" t="s">
        <v>5324</v>
      </c>
      <c r="AB2405" t="s">
        <v>8113</v>
      </c>
      <c r="AC2405">
        <v>21</v>
      </c>
      <c r="AD2405">
        <v>18</v>
      </c>
      <c r="AE2405">
        <v>90</v>
      </c>
      <c r="AF2405">
        <v>-173.92</v>
      </c>
      <c r="AG2405">
        <v>-7.24</v>
      </c>
      <c r="AH2405">
        <v>-4.1900000000000004</v>
      </c>
      <c r="AI2405">
        <v>-0.01</v>
      </c>
      <c r="AJ2405">
        <v>0.03</v>
      </c>
      <c r="AK2405">
        <v>66</v>
      </c>
      <c r="AL2405">
        <v>19</v>
      </c>
      <c r="AM2405">
        <v>18</v>
      </c>
      <c r="AN2405">
        <v>-4.67</v>
      </c>
      <c r="AO2405">
        <v>0.31</v>
      </c>
      <c r="AP2405">
        <v>79</v>
      </c>
      <c r="AQ2405">
        <v>1</v>
      </c>
      <c r="AR2405">
        <v>5.24</v>
      </c>
      <c r="AS2405">
        <v>57</v>
      </c>
      <c r="AT2405">
        <v>2.0499999999999998</v>
      </c>
      <c r="AU2405">
        <v>77</v>
      </c>
      <c r="AV2405">
        <v>-0.37</v>
      </c>
      <c r="AW2405">
        <v>90</v>
      </c>
      <c r="AX2405">
        <v>0.4</v>
      </c>
      <c r="AY2405">
        <v>68</v>
      </c>
      <c r="AZ2405">
        <v>7.02</v>
      </c>
      <c r="BA2405">
        <v>50</v>
      </c>
      <c r="BB2405">
        <v>6.26</v>
      </c>
      <c r="BC2405">
        <v>52</v>
      </c>
      <c r="BD2405">
        <v>0.05</v>
      </c>
      <c r="BE2405">
        <v>-0.02</v>
      </c>
      <c r="BF2405">
        <v>-0.1</v>
      </c>
      <c r="BG2405">
        <v>77</v>
      </c>
      <c r="BH2405">
        <v>-0.2</v>
      </c>
      <c r="BI2405">
        <v>0.17</v>
      </c>
      <c r="BJ2405">
        <v>1</v>
      </c>
      <c r="BK2405">
        <v>1</v>
      </c>
      <c r="BL2405">
        <v>-2.11</v>
      </c>
      <c r="BM2405">
        <v>1.55</v>
      </c>
      <c r="BN2405">
        <v>-1.84</v>
      </c>
      <c r="BO2405">
        <v>-2.5</v>
      </c>
      <c r="BP2405">
        <v>-1.61</v>
      </c>
      <c r="BQ2405">
        <v>1.76</v>
      </c>
      <c r="BR2405">
        <v>-2.39</v>
      </c>
      <c r="BS2405">
        <v>-2.4</v>
      </c>
      <c r="BT2405">
        <v>1.36</v>
      </c>
      <c r="BU2405">
        <v>-2.25</v>
      </c>
      <c r="BV2405">
        <v>-2.94</v>
      </c>
      <c r="BW2405">
        <v>-2.57</v>
      </c>
      <c r="BX2405">
        <v>-1.8</v>
      </c>
      <c r="BY2405">
        <v>-1.96</v>
      </c>
      <c r="BZ2405">
        <v>-2.2999999999999998</v>
      </c>
      <c r="CA2405">
        <v>-2.62</v>
      </c>
      <c r="CB2405">
        <v>-2.67</v>
      </c>
      <c r="CC2405">
        <v>-1.94</v>
      </c>
      <c r="CD2405">
        <v>2.08</v>
      </c>
      <c r="CE2405">
        <v>-2.0699999999999998</v>
      </c>
      <c r="CF2405">
        <v>-1.33</v>
      </c>
      <c r="CG2405">
        <v>0</v>
      </c>
      <c r="CH2405">
        <v>-2.42</v>
      </c>
      <c r="CI2405">
        <v>0</v>
      </c>
      <c r="CJ2405">
        <v>-5.8</v>
      </c>
      <c r="CK2405">
        <v>85</v>
      </c>
      <c r="CL2405">
        <v>-0.42</v>
      </c>
      <c r="CM2405">
        <v>83</v>
      </c>
      <c r="CN2405">
        <v>0.04</v>
      </c>
      <c r="CO2405">
        <v>81</v>
      </c>
      <c r="CP2405">
        <v>-11</v>
      </c>
      <c r="CQ2405">
        <v>74</v>
      </c>
      <c r="CR2405">
        <v>0</v>
      </c>
      <c r="CS2405">
        <v>0</v>
      </c>
      <c r="CT2405">
        <v>-5.3</v>
      </c>
      <c r="CU2405">
        <v>72</v>
      </c>
      <c r="CV2405">
        <v>0.14000000000000001</v>
      </c>
      <c r="CW2405">
        <v>43</v>
      </c>
      <c r="CX2405" t="s">
        <v>4265</v>
      </c>
    </row>
    <row r="2406" spans="1:102" x14ac:dyDescent="0.3">
      <c r="A2406" t="str">
        <f>HYPERLINK("https://webapp.icbf.com/v2/app/bull-search/view/760394862","S1341")</f>
        <v>S1341</v>
      </c>
      <c r="B2406" t="s">
        <v>3055</v>
      </c>
      <c r="C2406" t="s">
        <v>3056</v>
      </c>
      <c r="D2406" s="1">
        <v>38739</v>
      </c>
      <c r="E2406" t="s">
        <v>227</v>
      </c>
      <c r="F2406">
        <v>0</v>
      </c>
      <c r="G2406" t="s">
        <v>109</v>
      </c>
      <c r="H2406">
        <v>41.24</v>
      </c>
      <c r="I2406">
        <v>52</v>
      </c>
      <c r="J2406">
        <v>-9.1199999999999992</v>
      </c>
      <c r="K2406">
        <v>69</v>
      </c>
      <c r="L2406">
        <v>11.95</v>
      </c>
      <c r="M2406">
        <v>63</v>
      </c>
      <c r="N2406">
        <v>36.479999999999997</v>
      </c>
      <c r="O2406">
        <v>32</v>
      </c>
      <c r="P2406">
        <v>-68.23</v>
      </c>
      <c r="Q2406">
        <v>31</v>
      </c>
      <c r="R2406">
        <v>2.23</v>
      </c>
      <c r="S2406">
        <v>19</v>
      </c>
      <c r="T2406">
        <v>70.44</v>
      </c>
      <c r="U2406">
        <v>21</v>
      </c>
      <c r="V2406">
        <v>-2.5099999999999998</v>
      </c>
      <c r="W2406">
        <v>7</v>
      </c>
      <c r="X2406" t="s">
        <v>94</v>
      </c>
      <c r="Y2406" t="s">
        <v>342</v>
      </c>
      <c r="Z2406">
        <v>0</v>
      </c>
      <c r="AA2406" t="s">
        <v>1718</v>
      </c>
      <c r="AB2406" t="s">
        <v>3057</v>
      </c>
      <c r="AC2406">
        <v>0</v>
      </c>
      <c r="AD2406">
        <v>0</v>
      </c>
      <c r="AE2406">
        <v>69</v>
      </c>
      <c r="AF2406">
        <v>-430.18</v>
      </c>
      <c r="AG2406">
        <v>8.41</v>
      </c>
      <c r="AH2406">
        <v>-11.11</v>
      </c>
      <c r="AI2406">
        <v>0.45</v>
      </c>
      <c r="AJ2406">
        <v>7.0000000000000007E-2</v>
      </c>
      <c r="AK2406">
        <v>63</v>
      </c>
      <c r="AL2406">
        <v>0</v>
      </c>
      <c r="AM2406">
        <v>0</v>
      </c>
      <c r="AN2406">
        <v>1.43</v>
      </c>
      <c r="AO2406">
        <v>2.41</v>
      </c>
      <c r="AP2406">
        <v>7</v>
      </c>
      <c r="AQ2406">
        <v>0</v>
      </c>
      <c r="AR2406">
        <v>3.34</v>
      </c>
      <c r="AS2406">
        <v>16</v>
      </c>
      <c r="AT2406">
        <v>1.93</v>
      </c>
      <c r="AU2406">
        <v>20</v>
      </c>
      <c r="AV2406">
        <v>-2.97</v>
      </c>
      <c r="AW2406">
        <v>54</v>
      </c>
      <c r="AX2406">
        <v>0.04</v>
      </c>
      <c r="AY2406">
        <v>21</v>
      </c>
      <c r="AZ2406">
        <v>7.66</v>
      </c>
      <c r="BA2406">
        <v>7</v>
      </c>
      <c r="BB2406">
        <v>5.54</v>
      </c>
      <c r="BC2406">
        <v>9</v>
      </c>
      <c r="BD2406">
        <v>-0.05</v>
      </c>
      <c r="BE2406">
        <v>-0.02</v>
      </c>
      <c r="BF2406">
        <v>7.0000000000000007E-2</v>
      </c>
      <c r="BG2406">
        <v>24</v>
      </c>
      <c r="BH2406">
        <v>-0.04</v>
      </c>
      <c r="BI2406">
        <v>3.48</v>
      </c>
      <c r="BJ2406">
        <v>0</v>
      </c>
      <c r="BK2406">
        <v>0</v>
      </c>
      <c r="BL2406">
        <v>0.32</v>
      </c>
      <c r="BM2406">
        <v>-0.3</v>
      </c>
      <c r="BN2406">
        <v>1.0900000000000001</v>
      </c>
      <c r="BO2406">
        <v>1.69</v>
      </c>
      <c r="BP2406">
        <v>-1.1599999999999999</v>
      </c>
      <c r="BQ2406">
        <v>-1.6</v>
      </c>
      <c r="BR2406">
        <v>1.06</v>
      </c>
      <c r="BS2406">
        <v>6.02</v>
      </c>
      <c r="BT2406">
        <v>-0.03</v>
      </c>
      <c r="BU2406">
        <v>1.49</v>
      </c>
      <c r="BV2406">
        <v>1.53</v>
      </c>
      <c r="BW2406">
        <v>-0.72</v>
      </c>
      <c r="BX2406">
        <v>-0.86</v>
      </c>
      <c r="BY2406">
        <v>0.71</v>
      </c>
      <c r="BZ2406">
        <v>0.38</v>
      </c>
      <c r="CA2406">
        <v>2.6</v>
      </c>
      <c r="CB2406">
        <v>1.49</v>
      </c>
      <c r="CC2406">
        <v>3.79</v>
      </c>
      <c r="CD2406">
        <v>-1.4</v>
      </c>
      <c r="CE2406">
        <v>1.77</v>
      </c>
      <c r="CF2406">
        <v>1.32</v>
      </c>
      <c r="CG2406">
        <v>0</v>
      </c>
      <c r="CH2406">
        <v>-0.04</v>
      </c>
      <c r="CI2406">
        <v>0</v>
      </c>
      <c r="CJ2406">
        <v>-36.799999999999997</v>
      </c>
      <c r="CK2406">
        <v>33</v>
      </c>
      <c r="CL2406">
        <v>-1.51</v>
      </c>
      <c r="CM2406">
        <v>29</v>
      </c>
      <c r="CN2406">
        <v>-0.52</v>
      </c>
      <c r="CO2406">
        <v>26</v>
      </c>
      <c r="CP2406">
        <v>-53</v>
      </c>
      <c r="CQ2406">
        <v>28</v>
      </c>
      <c r="CR2406">
        <v>0</v>
      </c>
      <c r="CS2406">
        <v>0</v>
      </c>
      <c r="CT2406">
        <v>-81.400000000000006</v>
      </c>
      <c r="CU2406">
        <v>21</v>
      </c>
      <c r="CV2406">
        <v>-0.37</v>
      </c>
      <c r="CW2406">
        <v>8</v>
      </c>
      <c r="CX2406" t="s">
        <v>3058</v>
      </c>
    </row>
    <row r="2407" spans="1:102" x14ac:dyDescent="0.3">
      <c r="A2407" t="str">
        <f>HYPERLINK("https://webapp.icbf.com/v2/app/bull-search/view/514792344","S507")</f>
        <v>S507</v>
      </c>
      <c r="B2407" t="s">
        <v>195</v>
      </c>
      <c r="C2407" t="s">
        <v>196</v>
      </c>
      <c r="D2407" s="1">
        <v>36559</v>
      </c>
      <c r="E2407" t="s">
        <v>197</v>
      </c>
      <c r="F2407">
        <v>0</v>
      </c>
      <c r="G2407" t="s">
        <v>116</v>
      </c>
      <c r="H2407">
        <v>41.13</v>
      </c>
      <c r="I2407">
        <v>48</v>
      </c>
      <c r="J2407">
        <v>-10.51</v>
      </c>
      <c r="K2407">
        <v>66</v>
      </c>
      <c r="L2407">
        <v>97.89</v>
      </c>
      <c r="M2407">
        <v>29</v>
      </c>
      <c r="N2407">
        <v>-71.03</v>
      </c>
      <c r="O2407">
        <v>39</v>
      </c>
      <c r="P2407">
        <v>27.91</v>
      </c>
      <c r="Q2407">
        <v>65</v>
      </c>
      <c r="R2407">
        <v>-4.55</v>
      </c>
      <c r="S2407">
        <v>35</v>
      </c>
      <c r="T2407">
        <v>1.32</v>
      </c>
      <c r="U2407">
        <v>54</v>
      </c>
      <c r="V2407">
        <v>0.1</v>
      </c>
      <c r="W2407">
        <v>42</v>
      </c>
      <c r="X2407" t="s">
        <v>198</v>
      </c>
      <c r="Y2407" t="s">
        <v>199</v>
      </c>
      <c r="Z2407">
        <v>0</v>
      </c>
      <c r="AA2407" t="s">
        <v>200</v>
      </c>
      <c r="AB2407" t="s">
        <v>201</v>
      </c>
      <c r="AC2407">
        <v>7</v>
      </c>
      <c r="AD2407">
        <v>1</v>
      </c>
      <c r="AE2407">
        <v>66</v>
      </c>
      <c r="AF2407">
        <v>-229.16</v>
      </c>
      <c r="AG2407">
        <v>-4.4800000000000004</v>
      </c>
      <c r="AH2407">
        <v>-3.71</v>
      </c>
      <c r="AI2407">
        <v>0.08</v>
      </c>
      <c r="AJ2407">
        <v>7.0000000000000007E-2</v>
      </c>
      <c r="AK2407">
        <v>29</v>
      </c>
      <c r="AL2407">
        <v>7</v>
      </c>
      <c r="AM2407">
        <v>1</v>
      </c>
      <c r="AN2407">
        <v>-6.64</v>
      </c>
      <c r="AO2407">
        <v>1.1499999999999999</v>
      </c>
      <c r="AP2407">
        <v>21</v>
      </c>
      <c r="AQ2407">
        <v>0</v>
      </c>
      <c r="AR2407">
        <v>9.25</v>
      </c>
      <c r="AS2407">
        <v>18</v>
      </c>
      <c r="AT2407">
        <v>7.5</v>
      </c>
      <c r="AU2407">
        <v>38</v>
      </c>
      <c r="AV2407">
        <v>2.04</v>
      </c>
      <c r="AW2407">
        <v>54</v>
      </c>
      <c r="AX2407">
        <v>1.75</v>
      </c>
      <c r="AY2407">
        <v>39</v>
      </c>
      <c r="AZ2407">
        <v>6.04</v>
      </c>
      <c r="BA2407">
        <v>12</v>
      </c>
      <c r="BB2407">
        <v>3.35</v>
      </c>
      <c r="BC2407">
        <v>15</v>
      </c>
      <c r="BD2407">
        <v>0.01</v>
      </c>
      <c r="BE2407">
        <v>0.02</v>
      </c>
      <c r="BF2407">
        <v>0.05</v>
      </c>
      <c r="BG2407">
        <v>38</v>
      </c>
      <c r="BH2407">
        <v>-0.06</v>
      </c>
      <c r="BI2407">
        <v>-7.25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14.8</v>
      </c>
      <c r="CK2407">
        <v>68</v>
      </c>
      <c r="CL2407">
        <v>0.31</v>
      </c>
      <c r="CM2407">
        <v>63</v>
      </c>
      <c r="CN2407">
        <v>-0.22</v>
      </c>
      <c r="CO2407">
        <v>59</v>
      </c>
      <c r="CP2407">
        <v>11.4</v>
      </c>
      <c r="CQ2407">
        <v>55</v>
      </c>
      <c r="CR2407">
        <v>0</v>
      </c>
      <c r="CS2407">
        <v>0</v>
      </c>
      <c r="CT2407">
        <v>12</v>
      </c>
      <c r="CU2407">
        <v>54</v>
      </c>
      <c r="CV2407">
        <v>0.09</v>
      </c>
      <c r="CW2407">
        <v>18</v>
      </c>
      <c r="CX2407" t="s">
        <v>202</v>
      </c>
    </row>
    <row r="2408" spans="1:102" x14ac:dyDescent="0.3">
      <c r="A2408" t="str">
        <f>HYPERLINK("https://webapp.icbf.com/v2/app/bull-search/view/159273912","DSX")</f>
        <v>DSX</v>
      </c>
      <c r="B2408" t="s">
        <v>144</v>
      </c>
      <c r="C2408" t="s">
        <v>182</v>
      </c>
      <c r="D2408" s="1">
        <v>34936</v>
      </c>
      <c r="E2408" t="s">
        <v>146</v>
      </c>
      <c r="F2408">
        <v>0</v>
      </c>
      <c r="G2408" t="s">
        <v>116</v>
      </c>
      <c r="H2408">
        <v>41.08</v>
      </c>
      <c r="I2408">
        <v>44</v>
      </c>
      <c r="J2408">
        <v>-22.68</v>
      </c>
      <c r="K2408">
        <v>59</v>
      </c>
      <c r="L2408">
        <v>24.57</v>
      </c>
      <c r="M2408">
        <v>26</v>
      </c>
      <c r="N2408">
        <v>45.15</v>
      </c>
      <c r="O2408">
        <v>41</v>
      </c>
      <c r="P2408">
        <v>18.100000000000001</v>
      </c>
      <c r="Q2408">
        <v>74</v>
      </c>
      <c r="R2408">
        <v>-7.12</v>
      </c>
      <c r="S2408">
        <v>27</v>
      </c>
      <c r="T2408">
        <v>-8</v>
      </c>
      <c r="U2408">
        <v>54</v>
      </c>
      <c r="V2408">
        <v>-8.94</v>
      </c>
      <c r="W2408">
        <v>16</v>
      </c>
      <c r="X2408" t="s">
        <v>94</v>
      </c>
      <c r="Y2408" t="s">
        <v>95</v>
      </c>
      <c r="Z2408">
        <v>0</v>
      </c>
      <c r="AA2408" t="s">
        <v>183</v>
      </c>
      <c r="AB2408" t="s">
        <v>184</v>
      </c>
      <c r="AC2408">
        <v>5</v>
      </c>
      <c r="AD2408">
        <v>2</v>
      </c>
      <c r="AE2408">
        <v>59</v>
      </c>
      <c r="AF2408">
        <v>-24.3</v>
      </c>
      <c r="AG2408">
        <v>-7.29</v>
      </c>
      <c r="AH2408">
        <v>-1.65</v>
      </c>
      <c r="AI2408">
        <v>-0.11</v>
      </c>
      <c r="AJ2408">
        <v>-0.01</v>
      </c>
      <c r="AK2408">
        <v>26</v>
      </c>
      <c r="AL2408">
        <v>9</v>
      </c>
      <c r="AM2408">
        <v>6</v>
      </c>
      <c r="AN2408">
        <v>-2.09</v>
      </c>
      <c r="AO2408">
        <v>-0.14000000000000001</v>
      </c>
      <c r="AP2408">
        <v>21</v>
      </c>
      <c r="AQ2408">
        <v>0</v>
      </c>
      <c r="AR2408">
        <v>5.74</v>
      </c>
      <c r="AS2408">
        <v>36</v>
      </c>
      <c r="AT2408">
        <v>2.44</v>
      </c>
      <c r="AU2408">
        <v>36</v>
      </c>
      <c r="AV2408">
        <v>-3.56</v>
      </c>
      <c r="AW2408">
        <v>57</v>
      </c>
      <c r="AX2408">
        <v>-0.56999999999999995</v>
      </c>
      <c r="AY2408">
        <v>40</v>
      </c>
      <c r="AZ2408">
        <v>4.83</v>
      </c>
      <c r="BA2408">
        <v>12</v>
      </c>
      <c r="BB2408">
        <v>4.29</v>
      </c>
      <c r="BC2408">
        <v>16</v>
      </c>
      <c r="BD2408">
        <v>0.01</v>
      </c>
      <c r="BE2408">
        <v>0.03</v>
      </c>
      <c r="BF2408">
        <v>0.09</v>
      </c>
      <c r="BG2408">
        <v>33</v>
      </c>
      <c r="BH2408">
        <v>-0.25</v>
      </c>
      <c r="BI2408">
        <v>-7.0000000000000007E-2</v>
      </c>
      <c r="BJ2408">
        <v>0</v>
      </c>
      <c r="BK2408">
        <v>0</v>
      </c>
      <c r="BL2408">
        <v>-1.28</v>
      </c>
      <c r="BM2408">
        <v>1.88</v>
      </c>
      <c r="BN2408">
        <v>-0.85</v>
      </c>
      <c r="BO2408">
        <v>-1.85</v>
      </c>
      <c r="BP2408">
        <v>0.97</v>
      </c>
      <c r="BQ2408">
        <v>0.5</v>
      </c>
      <c r="BR2408">
        <v>0.13</v>
      </c>
      <c r="BS2408">
        <v>-0.39</v>
      </c>
      <c r="BT2408">
        <v>-0.36</v>
      </c>
      <c r="BU2408">
        <v>-1.22</v>
      </c>
      <c r="BV2408">
        <v>-2.0099999999999998</v>
      </c>
      <c r="BW2408">
        <v>-1.69</v>
      </c>
      <c r="BX2408">
        <v>-0.86</v>
      </c>
      <c r="BY2408">
        <v>-1.01</v>
      </c>
      <c r="BZ2408">
        <v>0.03</v>
      </c>
      <c r="CA2408">
        <v>-1.58</v>
      </c>
      <c r="CB2408">
        <v>-1.73</v>
      </c>
      <c r="CC2408">
        <v>-0.62</v>
      </c>
      <c r="CD2408">
        <v>1.86</v>
      </c>
      <c r="CE2408">
        <v>-1.82</v>
      </c>
      <c r="CF2408">
        <v>-0.94</v>
      </c>
      <c r="CG2408">
        <v>0</v>
      </c>
      <c r="CH2408">
        <v>-0.81</v>
      </c>
      <c r="CI2408">
        <v>0</v>
      </c>
      <c r="CJ2408">
        <v>10.7</v>
      </c>
      <c r="CK2408">
        <v>77</v>
      </c>
      <c r="CL2408">
        <v>0.45</v>
      </c>
      <c r="CM2408">
        <v>73</v>
      </c>
      <c r="CN2408">
        <v>0.28999999999999998</v>
      </c>
      <c r="CO2408">
        <v>70</v>
      </c>
      <c r="CP2408">
        <v>13.9</v>
      </c>
      <c r="CQ2408">
        <v>59</v>
      </c>
      <c r="CR2408">
        <v>0</v>
      </c>
      <c r="CS2408">
        <v>0</v>
      </c>
      <c r="CT2408">
        <v>24.6</v>
      </c>
      <c r="CU2408">
        <v>54</v>
      </c>
      <c r="CV2408">
        <v>-0.04</v>
      </c>
      <c r="CW2408">
        <v>21</v>
      </c>
      <c r="CX2408" t="s">
        <v>185</v>
      </c>
    </row>
    <row r="2409" spans="1:102" x14ac:dyDescent="0.3">
      <c r="A2409" t="str">
        <f>HYPERLINK("https://webapp.icbf.com/v2/app/bull-search/view/77854663","PAS")</f>
        <v>PAS</v>
      </c>
      <c r="B2409" t="s">
        <v>9840</v>
      </c>
      <c r="C2409" t="s">
        <v>9841</v>
      </c>
      <c r="D2409" s="1">
        <v>32143</v>
      </c>
      <c r="E2409" t="s">
        <v>108</v>
      </c>
      <c r="F2409">
        <v>25</v>
      </c>
      <c r="G2409" t="s">
        <v>93</v>
      </c>
      <c r="H2409">
        <v>40.86</v>
      </c>
      <c r="I2409">
        <v>58</v>
      </c>
      <c r="J2409">
        <v>-64.28</v>
      </c>
      <c r="K2409">
        <v>79</v>
      </c>
      <c r="L2409">
        <v>95.26</v>
      </c>
      <c r="M2409">
        <v>51</v>
      </c>
      <c r="N2409">
        <v>1.75</v>
      </c>
      <c r="O2409">
        <v>35</v>
      </c>
      <c r="P2409">
        <v>5.09</v>
      </c>
      <c r="Q2409">
        <v>50</v>
      </c>
      <c r="R2409">
        <v>-5.25</v>
      </c>
      <c r="S2409">
        <v>54</v>
      </c>
      <c r="T2409">
        <v>12.05</v>
      </c>
      <c r="U2409">
        <v>48</v>
      </c>
      <c r="V2409">
        <v>-3.76</v>
      </c>
      <c r="W2409">
        <v>28</v>
      </c>
      <c r="X2409" t="s">
        <v>94</v>
      </c>
      <c r="Y2409" t="s">
        <v>95</v>
      </c>
      <c r="Z2409" t="s">
        <v>96</v>
      </c>
      <c r="AA2409" t="s">
        <v>9842</v>
      </c>
      <c r="AB2409" t="s">
        <v>9843</v>
      </c>
      <c r="AC2409">
        <v>19</v>
      </c>
      <c r="AD2409">
        <v>13</v>
      </c>
      <c r="AE2409">
        <v>79</v>
      </c>
      <c r="AF2409">
        <v>-469.6</v>
      </c>
      <c r="AG2409">
        <v>-7.21</v>
      </c>
      <c r="AH2409">
        <v>-15.57</v>
      </c>
      <c r="AI2409">
        <v>0.2</v>
      </c>
      <c r="AJ2409">
        <v>0.01</v>
      </c>
      <c r="AK2409">
        <v>51</v>
      </c>
      <c r="AL2409">
        <v>53</v>
      </c>
      <c r="AM2409">
        <v>39</v>
      </c>
      <c r="AN2409">
        <v>-4.97</v>
      </c>
      <c r="AO2409">
        <v>2.63</v>
      </c>
      <c r="AP2409">
        <v>0</v>
      </c>
      <c r="AQ2409">
        <v>1</v>
      </c>
      <c r="AR2409">
        <v>6.33</v>
      </c>
      <c r="AS2409">
        <v>12</v>
      </c>
      <c r="AT2409">
        <v>2.66</v>
      </c>
      <c r="AU2409">
        <v>25</v>
      </c>
      <c r="AV2409">
        <v>0.4</v>
      </c>
      <c r="AW2409">
        <v>48</v>
      </c>
      <c r="AX2409">
        <v>0</v>
      </c>
      <c r="AY2409">
        <v>52</v>
      </c>
      <c r="AZ2409">
        <v>6.66</v>
      </c>
      <c r="BA2409">
        <v>11</v>
      </c>
      <c r="BB2409">
        <v>5.35</v>
      </c>
      <c r="BC2409">
        <v>23</v>
      </c>
      <c r="BD2409">
        <v>0.04</v>
      </c>
      <c r="BE2409">
        <v>0.06</v>
      </c>
      <c r="BF2409">
        <v>-0.06</v>
      </c>
      <c r="BG2409">
        <v>74</v>
      </c>
      <c r="BH2409">
        <v>-0.08</v>
      </c>
      <c r="BI2409">
        <v>2.87</v>
      </c>
      <c r="BJ2409">
        <v>4</v>
      </c>
      <c r="BK2409">
        <v>4</v>
      </c>
      <c r="BL2409">
        <v>-2.02</v>
      </c>
      <c r="BM2409">
        <v>1.72</v>
      </c>
      <c r="BN2409">
        <v>-1.73</v>
      </c>
      <c r="BO2409">
        <v>-2.4700000000000002</v>
      </c>
      <c r="BP2409">
        <v>0.14000000000000001</v>
      </c>
      <c r="BQ2409">
        <v>0.4</v>
      </c>
      <c r="BR2409">
        <v>0.71</v>
      </c>
      <c r="BS2409">
        <v>-1.2</v>
      </c>
      <c r="BT2409">
        <v>-0.64</v>
      </c>
      <c r="BU2409">
        <v>-1.51</v>
      </c>
      <c r="BV2409">
        <v>-2.11</v>
      </c>
      <c r="BW2409">
        <v>-2.54</v>
      </c>
      <c r="BX2409">
        <v>-2.11</v>
      </c>
      <c r="BY2409">
        <v>-2.0099999999999998</v>
      </c>
      <c r="BZ2409">
        <v>-0.1</v>
      </c>
      <c r="CA2409">
        <v>-2.14</v>
      </c>
      <c r="CB2409">
        <v>-1.78</v>
      </c>
      <c r="CC2409">
        <v>-2.06</v>
      </c>
      <c r="CD2409">
        <v>2.06</v>
      </c>
      <c r="CE2409">
        <v>-2.64</v>
      </c>
      <c r="CF2409">
        <v>-2.04</v>
      </c>
      <c r="CG2409">
        <v>0</v>
      </c>
      <c r="CH2409">
        <v>-2.2000000000000002</v>
      </c>
      <c r="CI2409">
        <v>0</v>
      </c>
      <c r="CJ2409">
        <v>2.5</v>
      </c>
      <c r="CK2409">
        <v>52</v>
      </c>
      <c r="CL2409">
        <v>0.14000000000000001</v>
      </c>
      <c r="CM2409">
        <v>47</v>
      </c>
      <c r="CN2409">
        <v>-0.09</v>
      </c>
      <c r="CO2409">
        <v>42</v>
      </c>
      <c r="CP2409">
        <v>-5.7</v>
      </c>
      <c r="CQ2409">
        <v>60</v>
      </c>
      <c r="CR2409">
        <v>0</v>
      </c>
      <c r="CS2409">
        <v>0</v>
      </c>
      <c r="CT2409">
        <v>-2.5</v>
      </c>
      <c r="CU2409">
        <v>48</v>
      </c>
      <c r="CV2409">
        <v>-0.03</v>
      </c>
      <c r="CW2409">
        <v>12</v>
      </c>
      <c r="CX2409" t="s">
        <v>3678</v>
      </c>
    </row>
    <row r="2410" spans="1:102" x14ac:dyDescent="0.3">
      <c r="A2410" t="str">
        <f>HYPERLINK("https://webapp.icbf.com/v2/app/bull-search/view/77858359","DHN")</f>
        <v>DHN</v>
      </c>
      <c r="B2410" t="s">
        <v>10883</v>
      </c>
      <c r="C2410" t="s">
        <v>10884</v>
      </c>
      <c r="D2410" s="1">
        <v>33953</v>
      </c>
      <c r="E2410" t="s">
        <v>92</v>
      </c>
      <c r="F2410">
        <v>100</v>
      </c>
      <c r="G2410" t="s">
        <v>93</v>
      </c>
      <c r="H2410">
        <v>40.82</v>
      </c>
      <c r="I2410">
        <v>54</v>
      </c>
      <c r="J2410">
        <v>17.77</v>
      </c>
      <c r="K2410">
        <v>71</v>
      </c>
      <c r="L2410">
        <v>1.24</v>
      </c>
      <c r="M2410">
        <v>43</v>
      </c>
      <c r="N2410">
        <v>18.600000000000001</v>
      </c>
      <c r="O2410">
        <v>38</v>
      </c>
      <c r="P2410">
        <v>2.99</v>
      </c>
      <c r="Q2410">
        <v>59</v>
      </c>
      <c r="R2410">
        <v>-4.8</v>
      </c>
      <c r="S2410">
        <v>41</v>
      </c>
      <c r="T2410">
        <v>5.32</v>
      </c>
      <c r="U2410">
        <v>65</v>
      </c>
      <c r="V2410">
        <v>-0.3</v>
      </c>
      <c r="W2410">
        <v>18</v>
      </c>
      <c r="X2410" t="s">
        <v>94</v>
      </c>
      <c r="Y2410" t="s">
        <v>3298</v>
      </c>
      <c r="Z2410" t="s">
        <v>96</v>
      </c>
      <c r="AA2410" t="s">
        <v>1488</v>
      </c>
      <c r="AB2410" t="s">
        <v>10885</v>
      </c>
      <c r="AC2410">
        <v>14</v>
      </c>
      <c r="AD2410">
        <v>12</v>
      </c>
      <c r="AE2410">
        <v>71</v>
      </c>
      <c r="AF2410">
        <v>-16</v>
      </c>
      <c r="AG2410">
        <v>8.02</v>
      </c>
      <c r="AH2410">
        <v>-0.06</v>
      </c>
      <c r="AI2410">
        <v>0.14000000000000001</v>
      </c>
      <c r="AJ2410">
        <v>0.01</v>
      </c>
      <c r="AK2410">
        <v>43</v>
      </c>
      <c r="AL2410">
        <v>28</v>
      </c>
      <c r="AM2410">
        <v>23</v>
      </c>
      <c r="AN2410">
        <v>0.79</v>
      </c>
      <c r="AO2410">
        <v>0.9</v>
      </c>
      <c r="AP2410">
        <v>2</v>
      </c>
      <c r="AQ2410">
        <v>0</v>
      </c>
      <c r="AR2410">
        <v>7.02</v>
      </c>
      <c r="AS2410">
        <v>21</v>
      </c>
      <c r="AT2410">
        <v>2.99</v>
      </c>
      <c r="AU2410">
        <v>39</v>
      </c>
      <c r="AV2410">
        <v>-1.91</v>
      </c>
      <c r="AW2410">
        <v>40</v>
      </c>
      <c r="AX2410">
        <v>-0.36</v>
      </c>
      <c r="AY2410">
        <v>55</v>
      </c>
      <c r="AZ2410">
        <v>6.04</v>
      </c>
      <c r="BA2410">
        <v>22</v>
      </c>
      <c r="BB2410">
        <v>5.15</v>
      </c>
      <c r="BC2410">
        <v>33</v>
      </c>
      <c r="BD2410">
        <v>0.02</v>
      </c>
      <c r="BE2410">
        <v>0.03</v>
      </c>
      <c r="BF2410">
        <v>0.02</v>
      </c>
      <c r="BG2410">
        <v>51</v>
      </c>
      <c r="BH2410">
        <v>0.09</v>
      </c>
      <c r="BI2410">
        <v>11.37</v>
      </c>
      <c r="BJ2410">
        <v>0</v>
      </c>
      <c r="BK2410">
        <v>0</v>
      </c>
      <c r="BL2410">
        <v>-0.01</v>
      </c>
      <c r="BM2410">
        <v>0.69</v>
      </c>
      <c r="BN2410">
        <v>0.06</v>
      </c>
      <c r="BO2410">
        <v>-0.35</v>
      </c>
      <c r="BP2410">
        <v>-1.57</v>
      </c>
      <c r="BQ2410">
        <v>0.76</v>
      </c>
      <c r="BR2410">
        <v>-0.04</v>
      </c>
      <c r="BS2410">
        <v>0.37</v>
      </c>
      <c r="BT2410">
        <v>0.02</v>
      </c>
      <c r="BU2410">
        <v>-0.91</v>
      </c>
      <c r="BV2410">
        <v>-1.33</v>
      </c>
      <c r="BW2410">
        <v>-0.96</v>
      </c>
      <c r="BX2410">
        <v>-0.32</v>
      </c>
      <c r="BY2410">
        <v>-0.7</v>
      </c>
      <c r="BZ2410">
        <v>0.74</v>
      </c>
      <c r="CA2410">
        <v>-0.84</v>
      </c>
      <c r="CB2410">
        <v>-0.97</v>
      </c>
      <c r="CC2410">
        <v>-0.22</v>
      </c>
      <c r="CD2410">
        <v>0.53</v>
      </c>
      <c r="CE2410">
        <v>-0.33</v>
      </c>
      <c r="CF2410">
        <v>-0.03</v>
      </c>
      <c r="CG2410">
        <v>0</v>
      </c>
      <c r="CH2410">
        <v>-1.1200000000000001</v>
      </c>
      <c r="CI2410">
        <v>0</v>
      </c>
      <c r="CJ2410">
        <v>4.2</v>
      </c>
      <c r="CK2410">
        <v>61</v>
      </c>
      <c r="CL2410">
        <v>-0.38</v>
      </c>
      <c r="CM2410">
        <v>56</v>
      </c>
      <c r="CN2410">
        <v>-0.09</v>
      </c>
      <c r="CO2410">
        <v>50</v>
      </c>
      <c r="CP2410">
        <v>0.4</v>
      </c>
      <c r="CQ2410">
        <v>74</v>
      </c>
      <c r="CR2410">
        <v>0</v>
      </c>
      <c r="CS2410">
        <v>0</v>
      </c>
      <c r="CT2410">
        <v>6.6</v>
      </c>
      <c r="CU2410">
        <v>65</v>
      </c>
      <c r="CV2410">
        <v>0.22</v>
      </c>
      <c r="CW2410">
        <v>15</v>
      </c>
      <c r="CX2410" t="s">
        <v>10886</v>
      </c>
    </row>
    <row r="2411" spans="1:102" x14ac:dyDescent="0.3">
      <c r="A2411" t="str">
        <f>HYPERLINK("https://webapp.icbf.com/v2/app/bull-search/view/444405237","TPO")</f>
        <v>TPO</v>
      </c>
      <c r="B2411" t="s">
        <v>1594</v>
      </c>
      <c r="C2411" t="s">
        <v>1595</v>
      </c>
      <c r="D2411" s="1">
        <v>36730</v>
      </c>
      <c r="E2411" t="s">
        <v>92</v>
      </c>
      <c r="F2411">
        <v>100</v>
      </c>
      <c r="G2411" t="s">
        <v>93</v>
      </c>
      <c r="H2411">
        <v>40.700000000000003</v>
      </c>
      <c r="I2411">
        <v>94</v>
      </c>
      <c r="J2411">
        <v>114.55</v>
      </c>
      <c r="K2411">
        <v>98</v>
      </c>
      <c r="L2411">
        <v>-98.81</v>
      </c>
      <c r="M2411">
        <v>91</v>
      </c>
      <c r="N2411">
        <v>18.77</v>
      </c>
      <c r="O2411">
        <v>92</v>
      </c>
      <c r="P2411">
        <v>-10.19</v>
      </c>
      <c r="Q2411">
        <v>97</v>
      </c>
      <c r="R2411">
        <v>-0.64</v>
      </c>
      <c r="S2411">
        <v>89</v>
      </c>
      <c r="T2411">
        <v>7.76</v>
      </c>
      <c r="U2411">
        <v>95</v>
      </c>
      <c r="V2411">
        <v>9.26</v>
      </c>
      <c r="W2411">
        <v>91</v>
      </c>
      <c r="X2411" t="s">
        <v>102</v>
      </c>
      <c r="Y2411" t="s">
        <v>1208</v>
      </c>
      <c r="Z2411" t="s">
        <v>96</v>
      </c>
      <c r="AA2411" t="s">
        <v>285</v>
      </c>
      <c r="AB2411" t="s">
        <v>1596</v>
      </c>
      <c r="AC2411">
        <v>248</v>
      </c>
      <c r="AD2411">
        <v>102</v>
      </c>
      <c r="AE2411">
        <v>98</v>
      </c>
      <c r="AF2411">
        <v>419.63</v>
      </c>
      <c r="AG2411">
        <v>22.6</v>
      </c>
      <c r="AH2411">
        <v>17.91</v>
      </c>
      <c r="AI2411">
        <v>0.1</v>
      </c>
      <c r="AJ2411">
        <v>0.06</v>
      </c>
      <c r="AK2411">
        <v>91</v>
      </c>
      <c r="AL2411">
        <v>271</v>
      </c>
      <c r="AM2411">
        <v>115</v>
      </c>
      <c r="AN2411">
        <v>6.96</v>
      </c>
      <c r="AO2411">
        <v>-0.9</v>
      </c>
      <c r="AP2411">
        <v>450</v>
      </c>
      <c r="AQ2411">
        <v>3</v>
      </c>
      <c r="AR2411">
        <v>5.22</v>
      </c>
      <c r="AS2411">
        <v>81</v>
      </c>
      <c r="AT2411">
        <v>3.02</v>
      </c>
      <c r="AU2411">
        <v>94</v>
      </c>
      <c r="AV2411">
        <v>-1.03</v>
      </c>
      <c r="AW2411">
        <v>97</v>
      </c>
      <c r="AX2411">
        <v>-0.41</v>
      </c>
      <c r="AY2411">
        <v>91</v>
      </c>
      <c r="AZ2411">
        <v>5.37</v>
      </c>
      <c r="BA2411">
        <v>78</v>
      </c>
      <c r="BB2411">
        <v>4.74</v>
      </c>
      <c r="BC2411">
        <v>80</v>
      </c>
      <c r="BD2411">
        <v>-0.05</v>
      </c>
      <c r="BE2411">
        <v>0.02</v>
      </c>
      <c r="BF2411">
        <v>0.06</v>
      </c>
      <c r="BG2411">
        <v>94</v>
      </c>
      <c r="BH2411">
        <v>0.12</v>
      </c>
      <c r="BI2411">
        <v>-15.99</v>
      </c>
      <c r="BJ2411">
        <v>22</v>
      </c>
      <c r="BK2411">
        <v>14</v>
      </c>
      <c r="BL2411">
        <v>0.62</v>
      </c>
      <c r="BM2411">
        <v>-0.61</v>
      </c>
      <c r="BN2411">
        <v>0.35</v>
      </c>
      <c r="BO2411">
        <v>0.54</v>
      </c>
      <c r="BP2411">
        <v>2.1</v>
      </c>
      <c r="BQ2411">
        <v>-0.34</v>
      </c>
      <c r="BR2411">
        <v>-0.28000000000000003</v>
      </c>
      <c r="BS2411">
        <v>-3.13</v>
      </c>
      <c r="BT2411">
        <v>-0.62</v>
      </c>
      <c r="BU2411">
        <v>-1.29</v>
      </c>
      <c r="BV2411">
        <v>0.03</v>
      </c>
      <c r="BW2411">
        <v>-1.53</v>
      </c>
      <c r="BX2411">
        <v>-1.1000000000000001</v>
      </c>
      <c r="BY2411">
        <v>-2.14</v>
      </c>
      <c r="BZ2411">
        <v>-0.05</v>
      </c>
      <c r="CA2411">
        <v>-1.31</v>
      </c>
      <c r="CB2411">
        <v>-0.44</v>
      </c>
      <c r="CC2411">
        <v>-2.21</v>
      </c>
      <c r="CD2411">
        <v>-1.1399999999999999</v>
      </c>
      <c r="CE2411">
        <v>0.94</v>
      </c>
      <c r="CF2411">
        <v>0.65</v>
      </c>
      <c r="CG2411">
        <v>0</v>
      </c>
      <c r="CH2411">
        <v>-2.21</v>
      </c>
      <c r="CI2411">
        <v>0</v>
      </c>
      <c r="CJ2411">
        <v>-2.6</v>
      </c>
      <c r="CK2411">
        <v>97</v>
      </c>
      <c r="CL2411">
        <v>-0.99</v>
      </c>
      <c r="CM2411">
        <v>97</v>
      </c>
      <c r="CN2411">
        <v>-0.36</v>
      </c>
      <c r="CO2411">
        <v>97</v>
      </c>
      <c r="CP2411">
        <v>-4</v>
      </c>
      <c r="CQ2411">
        <v>96</v>
      </c>
      <c r="CR2411">
        <v>0</v>
      </c>
      <c r="CS2411">
        <v>0</v>
      </c>
      <c r="CT2411">
        <v>3.3</v>
      </c>
      <c r="CU2411">
        <v>95</v>
      </c>
      <c r="CV2411">
        <v>0.23</v>
      </c>
      <c r="CW2411">
        <v>46</v>
      </c>
      <c r="CX2411" t="s">
        <v>1104</v>
      </c>
    </row>
    <row r="2412" spans="1:102" x14ac:dyDescent="0.3">
      <c r="A2412" t="str">
        <f>HYPERLINK("https://webapp.icbf.com/v2/app/bull-search/view/393612038","RWO")</f>
        <v>RWO</v>
      </c>
      <c r="B2412" t="s">
        <v>5152</v>
      </c>
      <c r="C2412" t="s">
        <v>5153</v>
      </c>
      <c r="D2412" s="1">
        <v>38383</v>
      </c>
      <c r="E2412" t="s">
        <v>92</v>
      </c>
      <c r="F2412">
        <v>91</v>
      </c>
      <c r="G2412" t="s">
        <v>93</v>
      </c>
      <c r="H2412">
        <v>40.659999999999997</v>
      </c>
      <c r="I2412">
        <v>86</v>
      </c>
      <c r="J2412">
        <v>35</v>
      </c>
      <c r="K2412">
        <v>96</v>
      </c>
      <c r="L2412">
        <v>-4.16</v>
      </c>
      <c r="M2412">
        <v>79</v>
      </c>
      <c r="N2412">
        <v>17.54</v>
      </c>
      <c r="O2412">
        <v>84</v>
      </c>
      <c r="P2412">
        <v>-9.84</v>
      </c>
      <c r="Q2412">
        <v>88</v>
      </c>
      <c r="R2412">
        <v>-4.07</v>
      </c>
      <c r="S2412">
        <v>82</v>
      </c>
      <c r="T2412">
        <v>12.27</v>
      </c>
      <c r="U2412">
        <v>85</v>
      </c>
      <c r="V2412">
        <v>-6.08</v>
      </c>
      <c r="W2412">
        <v>80</v>
      </c>
      <c r="X2412" t="s">
        <v>94</v>
      </c>
      <c r="Y2412" t="s">
        <v>1164</v>
      </c>
      <c r="Z2412" t="s">
        <v>96</v>
      </c>
      <c r="AA2412" t="s">
        <v>4398</v>
      </c>
      <c r="AB2412" t="s">
        <v>5154</v>
      </c>
      <c r="AC2412">
        <v>70</v>
      </c>
      <c r="AD2412">
        <v>54</v>
      </c>
      <c r="AE2412">
        <v>96</v>
      </c>
      <c r="AF2412">
        <v>268.42</v>
      </c>
      <c r="AG2412">
        <v>5.43</v>
      </c>
      <c r="AH2412">
        <v>8.14</v>
      </c>
      <c r="AI2412">
        <v>-0.08</v>
      </c>
      <c r="AJ2412">
        <v>-0.02</v>
      </c>
      <c r="AK2412">
        <v>79</v>
      </c>
      <c r="AL2412">
        <v>65</v>
      </c>
      <c r="AM2412">
        <v>49</v>
      </c>
      <c r="AN2412">
        <v>1.1499999999999999</v>
      </c>
      <c r="AO2412">
        <v>0.83</v>
      </c>
      <c r="AP2412">
        <v>115</v>
      </c>
      <c r="AQ2412">
        <v>1</v>
      </c>
      <c r="AR2412">
        <v>3.88</v>
      </c>
      <c r="AS2412">
        <v>72</v>
      </c>
      <c r="AT2412">
        <v>2.0299999999999998</v>
      </c>
      <c r="AU2412">
        <v>86</v>
      </c>
      <c r="AV2412">
        <v>-1.56</v>
      </c>
      <c r="AW2412">
        <v>93</v>
      </c>
      <c r="AX2412">
        <v>-0.19</v>
      </c>
      <c r="AY2412">
        <v>77</v>
      </c>
      <c r="AZ2412">
        <v>8.18</v>
      </c>
      <c r="BA2412">
        <v>66</v>
      </c>
      <c r="BB2412">
        <v>6.55</v>
      </c>
      <c r="BC2412">
        <v>69</v>
      </c>
      <c r="BD2412">
        <v>0.01</v>
      </c>
      <c r="BE2412">
        <v>0.03</v>
      </c>
      <c r="BF2412">
        <v>0.02</v>
      </c>
      <c r="BG2412">
        <v>88</v>
      </c>
      <c r="BH2412">
        <v>-0.03</v>
      </c>
      <c r="BI2412">
        <v>16.13</v>
      </c>
      <c r="BJ2412">
        <v>34</v>
      </c>
      <c r="BK2412">
        <v>23</v>
      </c>
      <c r="BL2412">
        <v>-0.62</v>
      </c>
      <c r="BM2412">
        <v>0.14000000000000001</v>
      </c>
      <c r="BN2412">
        <v>-0.57999999999999996</v>
      </c>
      <c r="BO2412">
        <v>-0.55000000000000004</v>
      </c>
      <c r="BP2412">
        <v>0.27</v>
      </c>
      <c r="BQ2412">
        <v>-0.56999999999999995</v>
      </c>
      <c r="BR2412">
        <v>-1.28</v>
      </c>
      <c r="BS2412">
        <v>1.31</v>
      </c>
      <c r="BT2412">
        <v>0.96</v>
      </c>
      <c r="BU2412">
        <v>-1.18</v>
      </c>
      <c r="BV2412">
        <v>-1.27</v>
      </c>
      <c r="BW2412">
        <v>-0.96</v>
      </c>
      <c r="BX2412">
        <v>-1.62</v>
      </c>
      <c r="BY2412">
        <v>0.13</v>
      </c>
      <c r="BZ2412">
        <v>-1.28</v>
      </c>
      <c r="CA2412">
        <v>-0.5</v>
      </c>
      <c r="CB2412">
        <v>-1.22</v>
      </c>
      <c r="CC2412">
        <v>1</v>
      </c>
      <c r="CD2412">
        <v>0.49</v>
      </c>
      <c r="CE2412">
        <v>0</v>
      </c>
      <c r="CF2412">
        <v>-0.52</v>
      </c>
      <c r="CG2412">
        <v>0</v>
      </c>
      <c r="CH2412">
        <v>-0.28000000000000003</v>
      </c>
      <c r="CI2412">
        <v>0</v>
      </c>
      <c r="CJ2412">
        <v>-2.1</v>
      </c>
      <c r="CK2412">
        <v>89</v>
      </c>
      <c r="CL2412">
        <v>-0.72</v>
      </c>
      <c r="CM2412">
        <v>86</v>
      </c>
      <c r="CN2412">
        <v>-0.11</v>
      </c>
      <c r="CO2412">
        <v>85</v>
      </c>
      <c r="CP2412">
        <v>-5.3</v>
      </c>
      <c r="CQ2412">
        <v>88</v>
      </c>
      <c r="CR2412">
        <v>0</v>
      </c>
      <c r="CS2412">
        <v>0</v>
      </c>
      <c r="CT2412">
        <v>-2.8</v>
      </c>
      <c r="CU2412">
        <v>85</v>
      </c>
      <c r="CV2412">
        <v>0.24</v>
      </c>
      <c r="CW2412">
        <v>43</v>
      </c>
      <c r="CX2412" t="s">
        <v>2775</v>
      </c>
    </row>
    <row r="2413" spans="1:102" x14ac:dyDescent="0.3">
      <c r="A2413" t="str">
        <f>HYPERLINK("https://webapp.icbf.com/v2/app/bull-search/view/547759219","HSW")</f>
        <v>HSW</v>
      </c>
      <c r="B2413" t="s">
        <v>10061</v>
      </c>
      <c r="C2413" t="s">
        <v>10062</v>
      </c>
      <c r="D2413" s="1">
        <v>37665</v>
      </c>
      <c r="E2413" t="s">
        <v>92</v>
      </c>
      <c r="F2413">
        <v>88</v>
      </c>
      <c r="G2413" t="s">
        <v>109</v>
      </c>
      <c r="H2413">
        <v>40.6</v>
      </c>
      <c r="I2413">
        <v>77</v>
      </c>
      <c r="J2413">
        <v>-15.18</v>
      </c>
      <c r="K2413">
        <v>91</v>
      </c>
      <c r="L2413">
        <v>45.46</v>
      </c>
      <c r="M2413">
        <v>84</v>
      </c>
      <c r="N2413">
        <v>8.07</v>
      </c>
      <c r="O2413">
        <v>63</v>
      </c>
      <c r="P2413">
        <v>-13.15</v>
      </c>
      <c r="Q2413">
        <v>48</v>
      </c>
      <c r="R2413">
        <v>4.8</v>
      </c>
      <c r="S2413">
        <v>72</v>
      </c>
      <c r="T2413">
        <v>10.42</v>
      </c>
      <c r="U2413">
        <v>46</v>
      </c>
      <c r="V2413">
        <v>0.18</v>
      </c>
      <c r="W2413">
        <v>55</v>
      </c>
      <c r="X2413" t="s">
        <v>94</v>
      </c>
      <c r="Y2413" t="s">
        <v>235</v>
      </c>
      <c r="Z2413" t="s">
        <v>96</v>
      </c>
      <c r="AA2413" t="s">
        <v>2009</v>
      </c>
      <c r="AB2413" t="s">
        <v>10063</v>
      </c>
      <c r="AC2413">
        <v>0</v>
      </c>
      <c r="AD2413">
        <v>0</v>
      </c>
      <c r="AE2413">
        <v>91</v>
      </c>
      <c r="AF2413">
        <v>78.8</v>
      </c>
      <c r="AG2413">
        <v>-7.42</v>
      </c>
      <c r="AH2413">
        <v>1.25</v>
      </c>
      <c r="AI2413">
        <v>-0.18</v>
      </c>
      <c r="AJ2413">
        <v>-0.02</v>
      </c>
      <c r="AK2413">
        <v>84</v>
      </c>
      <c r="AL2413">
        <v>0</v>
      </c>
      <c r="AM2413">
        <v>0</v>
      </c>
      <c r="AN2413">
        <v>-2.87</v>
      </c>
      <c r="AO2413">
        <v>0.75</v>
      </c>
      <c r="AP2413">
        <v>2</v>
      </c>
      <c r="AQ2413">
        <v>0</v>
      </c>
      <c r="AR2413">
        <v>8.4700000000000006</v>
      </c>
      <c r="AS2413">
        <v>47</v>
      </c>
      <c r="AT2413">
        <v>3.55</v>
      </c>
      <c r="AU2413">
        <v>91</v>
      </c>
      <c r="AV2413">
        <v>-1.66</v>
      </c>
      <c r="AW2413">
        <v>63</v>
      </c>
      <c r="AX2413">
        <v>-0.26</v>
      </c>
      <c r="AY2413">
        <v>47</v>
      </c>
      <c r="AZ2413">
        <v>5.7</v>
      </c>
      <c r="BA2413">
        <v>37</v>
      </c>
      <c r="BB2413">
        <v>5.1100000000000003</v>
      </c>
      <c r="BC2413">
        <v>38</v>
      </c>
      <c r="BD2413">
        <v>-0.02</v>
      </c>
      <c r="BE2413">
        <v>-0.03</v>
      </c>
      <c r="BF2413">
        <v>-0.02</v>
      </c>
      <c r="BG2413">
        <v>91</v>
      </c>
      <c r="BH2413">
        <v>-7.0000000000000007E-2</v>
      </c>
      <c r="BI2413">
        <v>-8.67</v>
      </c>
      <c r="BJ2413">
        <v>1</v>
      </c>
      <c r="BK2413">
        <v>1</v>
      </c>
      <c r="BL2413">
        <v>1.1599999999999999</v>
      </c>
      <c r="BM2413">
        <v>1.31</v>
      </c>
      <c r="BN2413">
        <v>-0.28999999999999998</v>
      </c>
      <c r="BO2413">
        <v>-0.34</v>
      </c>
      <c r="BP2413">
        <v>1.1599999999999999</v>
      </c>
      <c r="BQ2413">
        <v>1.3</v>
      </c>
      <c r="BR2413">
        <v>-1.4</v>
      </c>
      <c r="BS2413">
        <v>2.23</v>
      </c>
      <c r="BT2413">
        <v>1.47</v>
      </c>
      <c r="BU2413">
        <v>-7.0000000000000007E-2</v>
      </c>
      <c r="BV2413">
        <v>-0.24</v>
      </c>
      <c r="BW2413">
        <v>0.18</v>
      </c>
      <c r="BX2413">
        <v>1.83</v>
      </c>
      <c r="BY2413">
        <v>0.44</v>
      </c>
      <c r="BZ2413">
        <v>-1.79</v>
      </c>
      <c r="CA2413">
        <v>1.36</v>
      </c>
      <c r="CB2413">
        <v>0.77</v>
      </c>
      <c r="CC2413">
        <v>1.39</v>
      </c>
      <c r="CD2413">
        <v>1.28</v>
      </c>
      <c r="CE2413">
        <v>0.22</v>
      </c>
      <c r="CF2413">
        <v>1.1200000000000001</v>
      </c>
      <c r="CG2413">
        <v>0</v>
      </c>
      <c r="CH2413">
        <v>0.53</v>
      </c>
      <c r="CI2413">
        <v>0</v>
      </c>
      <c r="CJ2413">
        <v>-6.3</v>
      </c>
      <c r="CK2413">
        <v>49</v>
      </c>
      <c r="CL2413">
        <v>-0.89</v>
      </c>
      <c r="CM2413">
        <v>48</v>
      </c>
      <c r="CN2413">
        <v>-0.46</v>
      </c>
      <c r="CO2413">
        <v>47</v>
      </c>
      <c r="CP2413">
        <v>-4.4000000000000004</v>
      </c>
      <c r="CQ2413">
        <v>48</v>
      </c>
      <c r="CR2413">
        <v>0</v>
      </c>
      <c r="CS2413">
        <v>0</v>
      </c>
      <c r="CT2413">
        <v>-0.3</v>
      </c>
      <c r="CU2413">
        <v>46</v>
      </c>
      <c r="CV2413">
        <v>0.06</v>
      </c>
      <c r="CW2413">
        <v>35</v>
      </c>
      <c r="CX2413" t="s">
        <v>2032</v>
      </c>
    </row>
    <row r="2414" spans="1:102" x14ac:dyDescent="0.3">
      <c r="A2414" t="str">
        <f>HYPERLINK("https://webapp.icbf.com/v2/app/bull-search/view/108379892","RIN")</f>
        <v>RIN</v>
      </c>
      <c r="B2414" t="s">
        <v>6652</v>
      </c>
      <c r="C2414" t="s">
        <v>6653</v>
      </c>
      <c r="D2414" s="1">
        <v>34596</v>
      </c>
      <c r="E2414" t="s">
        <v>146</v>
      </c>
      <c r="F2414">
        <v>0</v>
      </c>
      <c r="G2414" t="s">
        <v>109</v>
      </c>
      <c r="H2414">
        <v>40.549999999999997</v>
      </c>
      <c r="I2414">
        <v>63</v>
      </c>
      <c r="J2414">
        <v>-32.86</v>
      </c>
      <c r="K2414">
        <v>76</v>
      </c>
      <c r="L2414">
        <v>43.1</v>
      </c>
      <c r="M2414">
        <v>65</v>
      </c>
      <c r="N2414">
        <v>21.77</v>
      </c>
      <c r="O2414">
        <v>52</v>
      </c>
      <c r="P2414">
        <v>16.809999999999999</v>
      </c>
      <c r="Q2414">
        <v>64</v>
      </c>
      <c r="R2414">
        <v>0.62</v>
      </c>
      <c r="S2414">
        <v>54</v>
      </c>
      <c r="T2414">
        <v>1.76</v>
      </c>
      <c r="U2414">
        <v>37</v>
      </c>
      <c r="V2414">
        <v>-10.65</v>
      </c>
      <c r="W2414">
        <v>26</v>
      </c>
      <c r="X2414" t="s">
        <v>94</v>
      </c>
      <c r="Y2414" t="s">
        <v>95</v>
      </c>
      <c r="Z2414">
        <v>0</v>
      </c>
      <c r="AA2414" t="s">
        <v>147</v>
      </c>
      <c r="AB2414" t="s">
        <v>6654</v>
      </c>
      <c r="AC2414">
        <v>0</v>
      </c>
      <c r="AD2414">
        <v>0</v>
      </c>
      <c r="AE2414">
        <v>76</v>
      </c>
      <c r="AF2414">
        <v>-339.62</v>
      </c>
      <c r="AG2414">
        <v>-9.77</v>
      </c>
      <c r="AH2414">
        <v>-7.33</v>
      </c>
      <c r="AI2414">
        <v>0.06</v>
      </c>
      <c r="AJ2414">
        <v>0.08</v>
      </c>
      <c r="AK2414">
        <v>65</v>
      </c>
      <c r="AL2414">
        <v>0</v>
      </c>
      <c r="AM2414">
        <v>0</v>
      </c>
      <c r="AN2414">
        <v>-2.88</v>
      </c>
      <c r="AO2414">
        <v>0.55000000000000004</v>
      </c>
      <c r="AP2414">
        <v>1</v>
      </c>
      <c r="AQ2414">
        <v>3</v>
      </c>
      <c r="AR2414">
        <v>7.55</v>
      </c>
      <c r="AS2414">
        <v>17</v>
      </c>
      <c r="AT2414">
        <v>3.14</v>
      </c>
      <c r="AU2414">
        <v>78</v>
      </c>
      <c r="AV2414">
        <v>-2.34</v>
      </c>
      <c r="AW2414">
        <v>56</v>
      </c>
      <c r="AX2414">
        <v>0.64</v>
      </c>
      <c r="AY2414">
        <v>41</v>
      </c>
      <c r="AZ2414">
        <v>5.43</v>
      </c>
      <c r="BA2414">
        <v>16</v>
      </c>
      <c r="BB2414">
        <v>4.2699999999999996</v>
      </c>
      <c r="BC2414">
        <v>28</v>
      </c>
      <c r="BD2414">
        <v>0.01</v>
      </c>
      <c r="BE2414">
        <v>0.01</v>
      </c>
      <c r="BF2414">
        <v>-0.05</v>
      </c>
      <c r="BG2414">
        <v>83</v>
      </c>
      <c r="BH2414">
        <v>-0.09</v>
      </c>
      <c r="BI2414">
        <v>23.94</v>
      </c>
      <c r="BJ2414">
        <v>0</v>
      </c>
      <c r="BK2414">
        <v>0</v>
      </c>
      <c r="BL2414">
        <v>-1.35</v>
      </c>
      <c r="BM2414">
        <v>4.32</v>
      </c>
      <c r="BN2414">
        <v>-0.97</v>
      </c>
      <c r="BO2414">
        <v>-2</v>
      </c>
      <c r="BP2414">
        <v>3.42</v>
      </c>
      <c r="BQ2414">
        <v>1.36</v>
      </c>
      <c r="BR2414">
        <v>-0.09</v>
      </c>
      <c r="BS2414">
        <v>1.1200000000000001</v>
      </c>
      <c r="BT2414">
        <v>0.88</v>
      </c>
      <c r="BU2414">
        <v>-2.2000000000000002</v>
      </c>
      <c r="BV2414">
        <v>-3.35</v>
      </c>
      <c r="BW2414">
        <v>-1.88</v>
      </c>
      <c r="BX2414">
        <v>-1.32</v>
      </c>
      <c r="BY2414">
        <v>-1.49</v>
      </c>
      <c r="BZ2414">
        <v>0.31</v>
      </c>
      <c r="CA2414">
        <v>-1.49</v>
      </c>
      <c r="CB2414">
        <v>-2.14</v>
      </c>
      <c r="CC2414">
        <v>0.46</v>
      </c>
      <c r="CD2414">
        <v>3.86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7.4</v>
      </c>
      <c r="CK2414">
        <v>67</v>
      </c>
      <c r="CL2414">
        <v>0.34</v>
      </c>
      <c r="CM2414">
        <v>63</v>
      </c>
      <c r="CN2414">
        <v>-0.15</v>
      </c>
      <c r="CO2414">
        <v>60</v>
      </c>
      <c r="CP2414">
        <v>8.9</v>
      </c>
      <c r="CQ2414">
        <v>54</v>
      </c>
      <c r="CR2414">
        <v>0</v>
      </c>
      <c r="CS2414">
        <v>0</v>
      </c>
      <c r="CT2414">
        <v>11.4</v>
      </c>
      <c r="CU2414">
        <v>37</v>
      </c>
      <c r="CV2414">
        <v>-0.11</v>
      </c>
      <c r="CW2414">
        <v>18</v>
      </c>
      <c r="CX2414" t="s">
        <v>3232</v>
      </c>
    </row>
    <row r="2415" spans="1:102" x14ac:dyDescent="0.3">
      <c r="A2415" t="str">
        <f>HYPERLINK("https://webapp.icbf.com/v2/app/bull-search/view/332778769","BSG")</f>
        <v>BSG</v>
      </c>
      <c r="B2415" t="s">
        <v>7071</v>
      </c>
      <c r="C2415" t="s">
        <v>7072</v>
      </c>
      <c r="D2415" s="1">
        <v>37996</v>
      </c>
      <c r="E2415" t="s">
        <v>92</v>
      </c>
      <c r="F2415">
        <v>100</v>
      </c>
      <c r="G2415" t="s">
        <v>93</v>
      </c>
      <c r="H2415">
        <v>40.549999999999997</v>
      </c>
      <c r="I2415">
        <v>88</v>
      </c>
      <c r="J2415">
        <v>23.46</v>
      </c>
      <c r="K2415">
        <v>97</v>
      </c>
      <c r="L2415">
        <v>13.46</v>
      </c>
      <c r="M2415">
        <v>80</v>
      </c>
      <c r="N2415">
        <v>14.38</v>
      </c>
      <c r="O2415">
        <v>85</v>
      </c>
      <c r="P2415">
        <v>-12.4</v>
      </c>
      <c r="Q2415">
        <v>89</v>
      </c>
      <c r="R2415">
        <v>-0.28999999999999998</v>
      </c>
      <c r="S2415">
        <v>82</v>
      </c>
      <c r="T2415">
        <v>15.6</v>
      </c>
      <c r="U2415">
        <v>90</v>
      </c>
      <c r="V2415">
        <v>-13.66</v>
      </c>
      <c r="W2415">
        <v>80</v>
      </c>
      <c r="X2415" t="s">
        <v>94</v>
      </c>
      <c r="Y2415" t="s">
        <v>228</v>
      </c>
      <c r="Z2415" t="s">
        <v>96</v>
      </c>
      <c r="AA2415" t="s">
        <v>1109</v>
      </c>
      <c r="AB2415" t="s">
        <v>7073</v>
      </c>
      <c r="AC2415">
        <v>78</v>
      </c>
      <c r="AD2415">
        <v>64</v>
      </c>
      <c r="AE2415">
        <v>97</v>
      </c>
      <c r="AF2415">
        <v>-24.16</v>
      </c>
      <c r="AG2415">
        <v>5.68</v>
      </c>
      <c r="AH2415">
        <v>1.61</v>
      </c>
      <c r="AI2415">
        <v>0.12</v>
      </c>
      <c r="AJ2415">
        <v>0.04</v>
      </c>
      <c r="AK2415">
        <v>80</v>
      </c>
      <c r="AL2415">
        <v>82</v>
      </c>
      <c r="AM2415">
        <v>66</v>
      </c>
      <c r="AN2415">
        <v>0.56000000000000005</v>
      </c>
      <c r="AO2415">
        <v>1.65</v>
      </c>
      <c r="AP2415">
        <v>136</v>
      </c>
      <c r="AQ2415">
        <v>0</v>
      </c>
      <c r="AR2415">
        <v>4.16</v>
      </c>
      <c r="AS2415">
        <v>70</v>
      </c>
      <c r="AT2415">
        <v>2.2000000000000002</v>
      </c>
      <c r="AU2415">
        <v>86</v>
      </c>
      <c r="AV2415">
        <v>-0.35</v>
      </c>
      <c r="AW2415">
        <v>95</v>
      </c>
      <c r="AX2415">
        <v>-0.28000000000000003</v>
      </c>
      <c r="AY2415">
        <v>80</v>
      </c>
      <c r="AZ2415">
        <v>7.23</v>
      </c>
      <c r="BA2415">
        <v>65</v>
      </c>
      <c r="BB2415">
        <v>5.5</v>
      </c>
      <c r="BC2415">
        <v>70</v>
      </c>
      <c r="BD2415">
        <v>0.01</v>
      </c>
      <c r="BE2415">
        <v>0</v>
      </c>
      <c r="BF2415">
        <v>-0.01</v>
      </c>
      <c r="BG2415">
        <v>89</v>
      </c>
      <c r="BH2415">
        <v>-7.0000000000000007E-2</v>
      </c>
      <c r="BI2415">
        <v>35.96</v>
      </c>
      <c r="BJ2415">
        <v>35</v>
      </c>
      <c r="BK2415">
        <v>28</v>
      </c>
      <c r="BL2415">
        <v>0.09</v>
      </c>
      <c r="BM2415">
        <v>1.02</v>
      </c>
      <c r="BN2415">
        <v>0.53</v>
      </c>
      <c r="BO2415">
        <v>-0.38</v>
      </c>
      <c r="BP2415">
        <v>1.43</v>
      </c>
      <c r="BQ2415">
        <v>1.26</v>
      </c>
      <c r="BR2415">
        <v>-1.92</v>
      </c>
      <c r="BS2415">
        <v>0.27</v>
      </c>
      <c r="BT2415">
        <v>2.62</v>
      </c>
      <c r="BU2415">
        <v>0.61</v>
      </c>
      <c r="BV2415">
        <v>0.03</v>
      </c>
      <c r="BW2415">
        <v>-0.8</v>
      </c>
      <c r="BX2415">
        <v>-0.61</v>
      </c>
      <c r="BY2415">
        <v>-1.51</v>
      </c>
      <c r="BZ2415">
        <v>-1.02</v>
      </c>
      <c r="CA2415">
        <v>-0.13</v>
      </c>
      <c r="CB2415">
        <v>-0.44</v>
      </c>
      <c r="CC2415">
        <v>0.55000000000000004</v>
      </c>
      <c r="CD2415">
        <v>0.84</v>
      </c>
      <c r="CE2415">
        <v>-0.12</v>
      </c>
      <c r="CF2415">
        <v>0.65</v>
      </c>
      <c r="CG2415">
        <v>0</v>
      </c>
      <c r="CH2415">
        <v>-1.59</v>
      </c>
      <c r="CI2415">
        <v>0</v>
      </c>
      <c r="CJ2415">
        <v>-2.8</v>
      </c>
      <c r="CK2415">
        <v>90</v>
      </c>
      <c r="CL2415">
        <v>-0.68</v>
      </c>
      <c r="CM2415">
        <v>88</v>
      </c>
      <c r="CN2415">
        <v>0.03</v>
      </c>
      <c r="CO2415">
        <v>87</v>
      </c>
      <c r="CP2415">
        <v>-7.8</v>
      </c>
      <c r="CQ2415">
        <v>89</v>
      </c>
      <c r="CR2415">
        <v>0</v>
      </c>
      <c r="CS2415">
        <v>0</v>
      </c>
      <c r="CT2415">
        <v>-7.3</v>
      </c>
      <c r="CU2415">
        <v>90</v>
      </c>
      <c r="CV2415">
        <v>0.06</v>
      </c>
      <c r="CW2415">
        <v>44</v>
      </c>
      <c r="CX2415" t="s">
        <v>2898</v>
      </c>
    </row>
    <row r="2416" spans="1:102" x14ac:dyDescent="0.3">
      <c r="A2416" t="str">
        <f>HYPERLINK("https://webapp.icbf.com/v2/app/bull-search/view/77857720","ETC")</f>
        <v>ETC</v>
      </c>
      <c r="B2416" t="s">
        <v>8008</v>
      </c>
      <c r="C2416" t="s">
        <v>8009</v>
      </c>
      <c r="D2416" s="1">
        <v>35470</v>
      </c>
      <c r="E2416" t="s">
        <v>92</v>
      </c>
      <c r="F2416">
        <v>97</v>
      </c>
      <c r="G2416" t="s">
        <v>93</v>
      </c>
      <c r="H2416">
        <v>40.51</v>
      </c>
      <c r="I2416">
        <v>88</v>
      </c>
      <c r="J2416">
        <v>3.03</v>
      </c>
      <c r="K2416">
        <v>98</v>
      </c>
      <c r="L2416">
        <v>13.27</v>
      </c>
      <c r="M2416">
        <v>83</v>
      </c>
      <c r="N2416">
        <v>21.32</v>
      </c>
      <c r="O2416">
        <v>82</v>
      </c>
      <c r="P2416">
        <v>-5.71</v>
      </c>
      <c r="Q2416">
        <v>89</v>
      </c>
      <c r="R2416">
        <v>-11.09</v>
      </c>
      <c r="S2416">
        <v>82</v>
      </c>
      <c r="T2416">
        <v>15.82</v>
      </c>
      <c r="U2416">
        <v>89</v>
      </c>
      <c r="V2416">
        <v>3.87</v>
      </c>
      <c r="W2416">
        <v>73</v>
      </c>
      <c r="X2416" t="s">
        <v>94</v>
      </c>
      <c r="Y2416" t="s">
        <v>95</v>
      </c>
      <c r="Z2416" t="s">
        <v>96</v>
      </c>
      <c r="AA2416" t="s">
        <v>753</v>
      </c>
      <c r="AB2416" t="s">
        <v>8010</v>
      </c>
      <c r="AC2416">
        <v>132</v>
      </c>
      <c r="AD2416">
        <v>100</v>
      </c>
      <c r="AE2416">
        <v>98</v>
      </c>
      <c r="AF2416">
        <v>-206.88</v>
      </c>
      <c r="AG2416">
        <v>6.44</v>
      </c>
      <c r="AH2416">
        <v>-4.93</v>
      </c>
      <c r="AI2416">
        <v>0.26</v>
      </c>
      <c r="AJ2416">
        <v>0.04</v>
      </c>
      <c r="AK2416">
        <v>83</v>
      </c>
      <c r="AL2416">
        <v>125</v>
      </c>
      <c r="AM2416">
        <v>93</v>
      </c>
      <c r="AN2416">
        <v>-0.6</v>
      </c>
      <c r="AO2416">
        <v>0.46</v>
      </c>
      <c r="AP2416">
        <v>17</v>
      </c>
      <c r="AQ2416">
        <v>0</v>
      </c>
      <c r="AR2416">
        <v>6.18</v>
      </c>
      <c r="AS2416">
        <v>70</v>
      </c>
      <c r="AT2416">
        <v>2.4</v>
      </c>
      <c r="AU2416">
        <v>83</v>
      </c>
      <c r="AV2416">
        <v>-1.49</v>
      </c>
      <c r="AW2416">
        <v>86</v>
      </c>
      <c r="AX2416">
        <v>-0.39</v>
      </c>
      <c r="AY2416">
        <v>84</v>
      </c>
      <c r="AZ2416">
        <v>7.14</v>
      </c>
      <c r="BA2416">
        <v>65</v>
      </c>
      <c r="BB2416">
        <v>4.9400000000000004</v>
      </c>
      <c r="BC2416">
        <v>74</v>
      </c>
      <c r="BD2416">
        <v>0</v>
      </c>
      <c r="BE2416">
        <v>0.05</v>
      </c>
      <c r="BF2416">
        <v>0.16</v>
      </c>
      <c r="BG2416">
        <v>92</v>
      </c>
      <c r="BH2416">
        <v>0.12</v>
      </c>
      <c r="BI2416">
        <v>1.41</v>
      </c>
      <c r="BJ2416">
        <v>5</v>
      </c>
      <c r="BK2416">
        <v>5</v>
      </c>
      <c r="BL2416">
        <v>0.12</v>
      </c>
      <c r="BM2416">
        <v>0.62</v>
      </c>
      <c r="BN2416">
        <v>0.21</v>
      </c>
      <c r="BO2416">
        <v>-0.47</v>
      </c>
      <c r="BP2416">
        <v>-0.1</v>
      </c>
      <c r="BQ2416">
        <v>-1.72</v>
      </c>
      <c r="BR2416">
        <v>-1.37</v>
      </c>
      <c r="BS2416">
        <v>1.02</v>
      </c>
      <c r="BT2416">
        <v>-0.28999999999999998</v>
      </c>
      <c r="BU2416">
        <v>0.74</v>
      </c>
      <c r="BV2416">
        <v>7.0000000000000007E-2</v>
      </c>
      <c r="BW2416">
        <v>-0.4</v>
      </c>
      <c r="BX2416">
        <v>1.25</v>
      </c>
      <c r="BY2416">
        <v>-1.69</v>
      </c>
      <c r="BZ2416">
        <v>-0.74</v>
      </c>
      <c r="CA2416">
        <v>0.12</v>
      </c>
      <c r="CB2416">
        <v>-0.14000000000000001</v>
      </c>
      <c r="CC2416">
        <v>0.56999999999999995</v>
      </c>
      <c r="CD2416">
        <v>0.55000000000000004</v>
      </c>
      <c r="CE2416">
        <v>-0.66</v>
      </c>
      <c r="CF2416">
        <v>-0.56999999999999995</v>
      </c>
      <c r="CG2416">
        <v>0</v>
      </c>
      <c r="CH2416">
        <v>-1.02</v>
      </c>
      <c r="CI2416">
        <v>0</v>
      </c>
      <c r="CJ2416">
        <v>-1.7</v>
      </c>
      <c r="CK2416">
        <v>90</v>
      </c>
      <c r="CL2416">
        <v>-0.6</v>
      </c>
      <c r="CM2416">
        <v>88</v>
      </c>
      <c r="CN2416">
        <v>-0.28000000000000003</v>
      </c>
      <c r="CO2416">
        <v>87</v>
      </c>
      <c r="CP2416">
        <v>-3</v>
      </c>
      <c r="CQ2416">
        <v>93</v>
      </c>
      <c r="CR2416">
        <v>0</v>
      </c>
      <c r="CS2416">
        <v>0</v>
      </c>
      <c r="CT2416">
        <v>-7.6</v>
      </c>
      <c r="CU2416">
        <v>89</v>
      </c>
      <c r="CV2416">
        <v>0.13</v>
      </c>
      <c r="CW2416">
        <v>44</v>
      </c>
      <c r="CX2416" t="s">
        <v>118</v>
      </c>
    </row>
    <row r="2417" spans="1:102" x14ac:dyDescent="0.3">
      <c r="A2417" t="str">
        <f>HYPERLINK("https://webapp.icbf.com/v2/app/bull-search/view/678696286","CFY")</f>
        <v>CFY</v>
      </c>
      <c r="B2417" t="s">
        <v>8992</v>
      </c>
      <c r="C2417" t="s">
        <v>1895</v>
      </c>
      <c r="D2417" s="1">
        <v>39342</v>
      </c>
      <c r="E2417" t="s">
        <v>92</v>
      </c>
      <c r="F2417">
        <v>100</v>
      </c>
      <c r="G2417" t="s">
        <v>93</v>
      </c>
      <c r="H2417">
        <v>40.5</v>
      </c>
      <c r="I2417">
        <v>89</v>
      </c>
      <c r="J2417">
        <v>31.47</v>
      </c>
      <c r="K2417">
        <v>97</v>
      </c>
      <c r="L2417">
        <v>-19.690000000000001</v>
      </c>
      <c r="M2417">
        <v>90</v>
      </c>
      <c r="N2417">
        <v>-8.8699999999999992</v>
      </c>
      <c r="O2417">
        <v>85</v>
      </c>
      <c r="P2417">
        <v>1.42</v>
      </c>
      <c r="Q2417">
        <v>87</v>
      </c>
      <c r="R2417">
        <v>17.920000000000002</v>
      </c>
      <c r="S2417">
        <v>80</v>
      </c>
      <c r="T2417">
        <v>13.46</v>
      </c>
      <c r="U2417">
        <v>75</v>
      </c>
      <c r="V2417">
        <v>4.79</v>
      </c>
      <c r="W2417">
        <v>64</v>
      </c>
      <c r="X2417" t="s">
        <v>251</v>
      </c>
      <c r="Y2417" t="s">
        <v>228</v>
      </c>
      <c r="Z2417" t="s">
        <v>96</v>
      </c>
      <c r="AA2417" t="s">
        <v>4548</v>
      </c>
      <c r="AB2417" t="s">
        <v>8993</v>
      </c>
      <c r="AC2417">
        <v>102</v>
      </c>
      <c r="AD2417">
        <v>35</v>
      </c>
      <c r="AE2417">
        <v>97</v>
      </c>
      <c r="AF2417">
        <v>483.33</v>
      </c>
      <c r="AG2417">
        <v>8.48</v>
      </c>
      <c r="AH2417">
        <v>9.75</v>
      </c>
      <c r="AI2417">
        <v>-0.17</v>
      </c>
      <c r="AJ2417">
        <v>-0.11</v>
      </c>
      <c r="AK2417">
        <v>90</v>
      </c>
      <c r="AL2417">
        <v>79</v>
      </c>
      <c r="AM2417">
        <v>32</v>
      </c>
      <c r="AN2417">
        <v>2.64</v>
      </c>
      <c r="AO2417">
        <v>1.0900000000000001</v>
      </c>
      <c r="AP2417">
        <v>129</v>
      </c>
      <c r="AQ2417">
        <v>0</v>
      </c>
      <c r="AR2417">
        <v>10.01</v>
      </c>
      <c r="AS2417">
        <v>74</v>
      </c>
      <c r="AT2417">
        <v>5.43</v>
      </c>
      <c r="AU2417">
        <v>95</v>
      </c>
      <c r="AV2417">
        <v>-2.72</v>
      </c>
      <c r="AW2417">
        <v>92</v>
      </c>
      <c r="AX2417">
        <v>0.2</v>
      </c>
      <c r="AY2417">
        <v>82</v>
      </c>
      <c r="AZ2417">
        <v>6.1</v>
      </c>
      <c r="BA2417">
        <v>64</v>
      </c>
      <c r="BB2417">
        <v>4.57</v>
      </c>
      <c r="BC2417">
        <v>58</v>
      </c>
      <c r="BD2417">
        <v>-0.06</v>
      </c>
      <c r="BE2417">
        <v>-0.08</v>
      </c>
      <c r="BF2417">
        <v>-0.16</v>
      </c>
      <c r="BG2417">
        <v>94</v>
      </c>
      <c r="BH2417">
        <v>-0.01</v>
      </c>
      <c r="BI2417">
        <v>-16.61</v>
      </c>
      <c r="BJ2417">
        <v>41</v>
      </c>
      <c r="BK2417">
        <v>22</v>
      </c>
      <c r="BL2417">
        <v>0.9</v>
      </c>
      <c r="BM2417">
        <v>-0.12</v>
      </c>
      <c r="BN2417">
        <v>0.82</v>
      </c>
      <c r="BO2417">
        <v>1.1000000000000001</v>
      </c>
      <c r="BP2417">
        <v>0.83</v>
      </c>
      <c r="BQ2417">
        <v>0.62</v>
      </c>
      <c r="BR2417">
        <v>-2.54</v>
      </c>
      <c r="BS2417">
        <v>2.36</v>
      </c>
      <c r="BT2417">
        <v>2.48</v>
      </c>
      <c r="BU2417">
        <v>3.91</v>
      </c>
      <c r="BV2417">
        <v>3.62</v>
      </c>
      <c r="BW2417">
        <v>2.4500000000000002</v>
      </c>
      <c r="BX2417">
        <v>2.56</v>
      </c>
      <c r="BY2417">
        <v>2.67</v>
      </c>
      <c r="BZ2417">
        <v>1.17</v>
      </c>
      <c r="CA2417">
        <v>3.14</v>
      </c>
      <c r="CB2417">
        <v>2.97</v>
      </c>
      <c r="CC2417">
        <v>1.93</v>
      </c>
      <c r="CD2417">
        <v>-0.52</v>
      </c>
      <c r="CE2417">
        <v>1.1100000000000001</v>
      </c>
      <c r="CF2417">
        <v>1.4</v>
      </c>
      <c r="CG2417">
        <v>0</v>
      </c>
      <c r="CH2417">
        <v>2.69</v>
      </c>
      <c r="CI2417">
        <v>0</v>
      </c>
      <c r="CJ2417">
        <v>0.8</v>
      </c>
      <c r="CK2417">
        <v>89</v>
      </c>
      <c r="CL2417">
        <v>-0.73</v>
      </c>
      <c r="CM2417">
        <v>87</v>
      </c>
      <c r="CN2417">
        <v>-0.67</v>
      </c>
      <c r="CO2417">
        <v>85</v>
      </c>
      <c r="CP2417">
        <v>0</v>
      </c>
      <c r="CQ2417">
        <v>79</v>
      </c>
      <c r="CR2417">
        <v>0</v>
      </c>
      <c r="CS2417">
        <v>0</v>
      </c>
      <c r="CT2417">
        <v>-4.4000000000000004</v>
      </c>
      <c r="CU2417">
        <v>75</v>
      </c>
      <c r="CV2417">
        <v>0.21</v>
      </c>
      <c r="CW2417">
        <v>43</v>
      </c>
      <c r="CX2417" t="s">
        <v>2479</v>
      </c>
    </row>
    <row r="2418" spans="1:102" x14ac:dyDescent="0.3">
      <c r="A2418" t="str">
        <f>HYPERLINK("https://webapp.icbf.com/v2/app/bull-search/view/1605434514","FR4542")</f>
        <v>FR4542</v>
      </c>
      <c r="B2418" t="s">
        <v>13780</v>
      </c>
      <c r="C2418" t="s">
        <v>13781</v>
      </c>
      <c r="D2418" s="1">
        <v>42072</v>
      </c>
      <c r="E2418" t="s">
        <v>92</v>
      </c>
      <c r="F2418">
        <v>100</v>
      </c>
      <c r="G2418" t="s">
        <v>435</v>
      </c>
      <c r="H2418">
        <v>40.450000000000003</v>
      </c>
      <c r="I2418">
        <v>67</v>
      </c>
      <c r="J2418">
        <v>45.91</v>
      </c>
      <c r="K2418">
        <v>87</v>
      </c>
      <c r="L2418">
        <v>-31.63</v>
      </c>
      <c r="M2418">
        <v>64</v>
      </c>
      <c r="N2418">
        <v>30.48</v>
      </c>
      <c r="O2418">
        <v>74</v>
      </c>
      <c r="P2418">
        <v>-5</v>
      </c>
      <c r="Q2418">
        <v>35</v>
      </c>
      <c r="R2418">
        <v>13.22</v>
      </c>
      <c r="S2418">
        <v>61</v>
      </c>
      <c r="T2418">
        <v>-9.19</v>
      </c>
      <c r="U2418">
        <v>33</v>
      </c>
      <c r="V2418">
        <v>-3.34</v>
      </c>
      <c r="W2418">
        <v>51</v>
      </c>
      <c r="X2418" t="s">
        <v>102</v>
      </c>
      <c r="Y2418" t="s">
        <v>442</v>
      </c>
      <c r="Z2418" t="s">
        <v>96</v>
      </c>
      <c r="AA2418" t="s">
        <v>13782</v>
      </c>
      <c r="AB2418" t="s">
        <v>13783</v>
      </c>
      <c r="AC2418">
        <v>0</v>
      </c>
      <c r="AD2418">
        <v>0</v>
      </c>
      <c r="AE2418">
        <v>87</v>
      </c>
      <c r="AF2418">
        <v>387.98</v>
      </c>
      <c r="AG2418">
        <v>6.49</v>
      </c>
      <c r="AH2418">
        <v>11.45</v>
      </c>
      <c r="AI2418">
        <v>-0.14000000000000001</v>
      </c>
      <c r="AJ2418">
        <v>-0.02</v>
      </c>
      <c r="AK2418">
        <v>64</v>
      </c>
      <c r="AL2418">
        <v>0</v>
      </c>
      <c r="AM2418">
        <v>0</v>
      </c>
      <c r="AN2418">
        <v>3.48</v>
      </c>
      <c r="AO2418">
        <v>0.98</v>
      </c>
      <c r="AP2418">
        <v>121</v>
      </c>
      <c r="AQ2418">
        <v>0</v>
      </c>
      <c r="AR2418">
        <v>6.09</v>
      </c>
      <c r="AS2418">
        <v>57</v>
      </c>
      <c r="AT2418">
        <v>2.57</v>
      </c>
      <c r="AU2418">
        <v>88</v>
      </c>
      <c r="AV2418">
        <v>-3.49</v>
      </c>
      <c r="AW2418">
        <v>89</v>
      </c>
      <c r="AX2418">
        <v>-0.4</v>
      </c>
      <c r="AY2418">
        <v>66</v>
      </c>
      <c r="AZ2418">
        <v>7.18</v>
      </c>
      <c r="BA2418">
        <v>29</v>
      </c>
      <c r="BB2418">
        <v>5.98</v>
      </c>
      <c r="BC2418">
        <v>31</v>
      </c>
      <c r="BD2418">
        <v>-0.03</v>
      </c>
      <c r="BE2418">
        <v>-0.06</v>
      </c>
      <c r="BF2418">
        <v>-0.14000000000000001</v>
      </c>
      <c r="BG2418">
        <v>75</v>
      </c>
      <c r="BH2418">
        <v>-0.1</v>
      </c>
      <c r="BI2418">
        <v>-0.79</v>
      </c>
      <c r="BJ2418">
        <v>0</v>
      </c>
      <c r="BK2418">
        <v>0</v>
      </c>
      <c r="BL2418">
        <v>1.0900000000000001</v>
      </c>
      <c r="BM2418">
        <v>-0.89</v>
      </c>
      <c r="BN2418">
        <v>-0.47</v>
      </c>
      <c r="BO2418">
        <v>0.64</v>
      </c>
      <c r="BP2418">
        <v>0.9</v>
      </c>
      <c r="BQ2418">
        <v>1.48</v>
      </c>
      <c r="BR2418">
        <v>-2.16</v>
      </c>
      <c r="BS2418">
        <v>3.04</v>
      </c>
      <c r="BT2418">
        <v>2.21</v>
      </c>
      <c r="BU2418">
        <v>4.03</v>
      </c>
      <c r="BV2418">
        <v>3.12</v>
      </c>
      <c r="BW2418">
        <v>1.42</v>
      </c>
      <c r="BX2418">
        <v>2.92</v>
      </c>
      <c r="BY2418">
        <v>1.97</v>
      </c>
      <c r="BZ2418">
        <v>-2.19</v>
      </c>
      <c r="CA2418">
        <v>3.32</v>
      </c>
      <c r="CB2418">
        <v>2.89</v>
      </c>
      <c r="CC2418">
        <v>2.57</v>
      </c>
      <c r="CD2418">
        <v>0.16</v>
      </c>
      <c r="CE2418">
        <v>0.96</v>
      </c>
      <c r="CF2418">
        <v>1.01</v>
      </c>
      <c r="CG2418">
        <v>0</v>
      </c>
      <c r="CH2418">
        <v>2.71</v>
      </c>
      <c r="CI2418">
        <v>0</v>
      </c>
      <c r="CJ2418">
        <v>-1.3</v>
      </c>
      <c r="CK2418">
        <v>36</v>
      </c>
      <c r="CL2418">
        <v>-1.32</v>
      </c>
      <c r="CM2418">
        <v>34</v>
      </c>
      <c r="CN2418">
        <v>-0.85</v>
      </c>
      <c r="CO2418">
        <v>34</v>
      </c>
      <c r="CP2418">
        <v>3.1</v>
      </c>
      <c r="CQ2418">
        <v>34</v>
      </c>
      <c r="CR2418">
        <v>0</v>
      </c>
      <c r="CS2418">
        <v>0</v>
      </c>
      <c r="CT2418">
        <v>26.2</v>
      </c>
      <c r="CU2418">
        <v>33</v>
      </c>
      <c r="CV2418">
        <v>0.09</v>
      </c>
      <c r="CW2418">
        <v>31</v>
      </c>
      <c r="CX2418" t="s">
        <v>13784</v>
      </c>
    </row>
    <row r="2419" spans="1:102" x14ac:dyDescent="0.3">
      <c r="A2419" t="str">
        <f>HYPERLINK("https://webapp.icbf.com/v2/app/bull-search/view/77856838","HES")</f>
        <v>HES</v>
      </c>
      <c r="B2419" t="s">
        <v>3170</v>
      </c>
      <c r="C2419" t="s">
        <v>3171</v>
      </c>
      <c r="D2419" s="1">
        <v>33738</v>
      </c>
      <c r="E2419" t="s">
        <v>108</v>
      </c>
      <c r="F2419">
        <v>0</v>
      </c>
      <c r="G2419" t="s">
        <v>93</v>
      </c>
      <c r="H2419">
        <v>40.44</v>
      </c>
      <c r="I2419">
        <v>49</v>
      </c>
      <c r="J2419">
        <v>-11.03</v>
      </c>
      <c r="K2419">
        <v>75</v>
      </c>
      <c r="L2419">
        <v>33.15</v>
      </c>
      <c r="M2419">
        <v>38</v>
      </c>
      <c r="N2419">
        <v>19.170000000000002</v>
      </c>
      <c r="O2419">
        <v>24</v>
      </c>
      <c r="P2419">
        <v>-5.83</v>
      </c>
      <c r="Q2419">
        <v>48</v>
      </c>
      <c r="R2419">
        <v>-7.41</v>
      </c>
      <c r="S2419">
        <v>45</v>
      </c>
      <c r="T2419">
        <v>14.2</v>
      </c>
      <c r="U2419">
        <v>38</v>
      </c>
      <c r="V2419">
        <v>-1.81</v>
      </c>
      <c r="W2419">
        <v>11</v>
      </c>
      <c r="X2419" t="s">
        <v>102</v>
      </c>
      <c r="Y2419" t="s">
        <v>95</v>
      </c>
      <c r="Z2419" t="s">
        <v>96</v>
      </c>
      <c r="AA2419" t="s">
        <v>3172</v>
      </c>
      <c r="AB2419" t="s">
        <v>3173</v>
      </c>
      <c r="AC2419">
        <v>18</v>
      </c>
      <c r="AD2419">
        <v>17</v>
      </c>
      <c r="AE2419">
        <v>75</v>
      </c>
      <c r="AF2419">
        <v>-351.38</v>
      </c>
      <c r="AG2419">
        <v>-2.67</v>
      </c>
      <c r="AH2419">
        <v>-6.31</v>
      </c>
      <c r="AI2419">
        <v>0.19</v>
      </c>
      <c r="AJ2419">
        <v>0.1</v>
      </c>
      <c r="AK2419">
        <v>38</v>
      </c>
      <c r="AL2419">
        <v>31</v>
      </c>
      <c r="AM2419">
        <v>27</v>
      </c>
      <c r="AN2419">
        <v>-4.41</v>
      </c>
      <c r="AO2419">
        <v>-1.8</v>
      </c>
      <c r="AP2419">
        <v>4</v>
      </c>
      <c r="AQ2419">
        <v>0</v>
      </c>
      <c r="AR2419">
        <v>6.39</v>
      </c>
      <c r="AS2419">
        <v>15</v>
      </c>
      <c r="AT2419">
        <v>2.68</v>
      </c>
      <c r="AU2419">
        <v>22</v>
      </c>
      <c r="AV2419">
        <v>-1.77</v>
      </c>
      <c r="AW2419">
        <v>25</v>
      </c>
      <c r="AX2419">
        <v>-7.0000000000000007E-2</v>
      </c>
      <c r="AY2419">
        <v>40</v>
      </c>
      <c r="AZ2419">
        <v>6.09</v>
      </c>
      <c r="BA2419">
        <v>10</v>
      </c>
      <c r="BB2419">
        <v>5.45</v>
      </c>
      <c r="BC2419">
        <v>19</v>
      </c>
      <c r="BD2419">
        <v>0.05</v>
      </c>
      <c r="BE2419">
        <v>0.03</v>
      </c>
      <c r="BF2419">
        <v>0.03</v>
      </c>
      <c r="BG2419">
        <v>64</v>
      </c>
      <c r="BH2419">
        <v>-0.02</v>
      </c>
      <c r="BI2419">
        <v>3.54</v>
      </c>
      <c r="BJ2419">
        <v>8</v>
      </c>
      <c r="BK2419">
        <v>6</v>
      </c>
      <c r="BL2419">
        <v>-2.97</v>
      </c>
      <c r="BM2419">
        <v>1.54</v>
      </c>
      <c r="BN2419">
        <v>-3.17</v>
      </c>
      <c r="BO2419">
        <v>-3.28</v>
      </c>
      <c r="BP2419">
        <v>-1.24</v>
      </c>
      <c r="BQ2419">
        <v>0.53</v>
      </c>
      <c r="BR2419">
        <v>-2.08</v>
      </c>
      <c r="BS2419">
        <v>0.36</v>
      </c>
      <c r="BT2419">
        <v>0.09</v>
      </c>
      <c r="BU2419">
        <v>-2.16</v>
      </c>
      <c r="BV2419">
        <v>-2.74</v>
      </c>
      <c r="BW2419">
        <v>-2.64</v>
      </c>
      <c r="BX2419">
        <v>-1.25</v>
      </c>
      <c r="BY2419">
        <v>-2.68</v>
      </c>
      <c r="BZ2419">
        <v>0.51</v>
      </c>
      <c r="CA2419">
        <v>-2.0699999999999998</v>
      </c>
      <c r="CB2419">
        <v>-2.48</v>
      </c>
      <c r="CC2419">
        <v>-0.64</v>
      </c>
      <c r="CD2419">
        <v>2.68</v>
      </c>
      <c r="CE2419">
        <v>-2.97</v>
      </c>
      <c r="CF2419">
        <v>-2.84</v>
      </c>
      <c r="CG2419">
        <v>0</v>
      </c>
      <c r="CH2419">
        <v>-1.83</v>
      </c>
      <c r="CI2419">
        <v>0</v>
      </c>
      <c r="CJ2419">
        <v>-2.1</v>
      </c>
      <c r="CK2419">
        <v>50</v>
      </c>
      <c r="CL2419">
        <v>0.13</v>
      </c>
      <c r="CM2419">
        <v>45</v>
      </c>
      <c r="CN2419">
        <v>0.25</v>
      </c>
      <c r="CO2419">
        <v>40</v>
      </c>
      <c r="CP2419">
        <v>-9</v>
      </c>
      <c r="CQ2419">
        <v>53</v>
      </c>
      <c r="CR2419">
        <v>0</v>
      </c>
      <c r="CS2419">
        <v>0</v>
      </c>
      <c r="CT2419">
        <v>-5.4</v>
      </c>
      <c r="CU2419">
        <v>38</v>
      </c>
      <c r="CV2419">
        <v>-0.09</v>
      </c>
      <c r="CW2419">
        <v>12</v>
      </c>
      <c r="CX2419" t="s">
        <v>507</v>
      </c>
    </row>
    <row r="2420" spans="1:102" x14ac:dyDescent="0.3">
      <c r="A2420" t="str">
        <f>HYPERLINK("https://webapp.icbf.com/v2/app/bull-search/view/126223113","MYO")</f>
        <v>MYO</v>
      </c>
      <c r="B2420" t="s">
        <v>12194</v>
      </c>
      <c r="C2420" t="s">
        <v>11676</v>
      </c>
      <c r="D2420" s="1">
        <v>33851</v>
      </c>
      <c r="E2420" t="s">
        <v>92</v>
      </c>
      <c r="F2420">
        <v>100</v>
      </c>
      <c r="G2420" t="s">
        <v>93</v>
      </c>
      <c r="H2420">
        <v>40.43</v>
      </c>
      <c r="I2420">
        <v>96</v>
      </c>
      <c r="J2420">
        <v>32.47</v>
      </c>
      <c r="K2420">
        <v>99</v>
      </c>
      <c r="L2420">
        <v>-32.159999999999997</v>
      </c>
      <c r="M2420">
        <v>93</v>
      </c>
      <c r="N2420">
        <v>28.58</v>
      </c>
      <c r="O2420">
        <v>96</v>
      </c>
      <c r="P2420">
        <v>-5.39</v>
      </c>
      <c r="Q2420">
        <v>99</v>
      </c>
      <c r="R2420">
        <v>-7.16</v>
      </c>
      <c r="S2420">
        <v>94</v>
      </c>
      <c r="T2420">
        <v>14.57</v>
      </c>
      <c r="U2420">
        <v>97</v>
      </c>
      <c r="V2420">
        <v>9.52</v>
      </c>
      <c r="W2420">
        <v>94</v>
      </c>
      <c r="X2420" t="s">
        <v>102</v>
      </c>
      <c r="Y2420" t="s">
        <v>95</v>
      </c>
      <c r="Z2420" t="s">
        <v>96</v>
      </c>
      <c r="AA2420" t="s">
        <v>485</v>
      </c>
      <c r="AB2420" t="s">
        <v>8736</v>
      </c>
      <c r="AC2420">
        <v>947</v>
      </c>
      <c r="AD2420">
        <v>331</v>
      </c>
      <c r="AE2420">
        <v>99</v>
      </c>
      <c r="AF2420">
        <v>-79.28</v>
      </c>
      <c r="AG2420">
        <v>4.21</v>
      </c>
      <c r="AH2420">
        <v>2.82</v>
      </c>
      <c r="AI2420">
        <v>0.13</v>
      </c>
      <c r="AJ2420">
        <v>0.1</v>
      </c>
      <c r="AK2420">
        <v>93</v>
      </c>
      <c r="AL2420">
        <v>1023</v>
      </c>
      <c r="AM2420">
        <v>356</v>
      </c>
      <c r="AN2420">
        <v>1.33</v>
      </c>
      <c r="AO2420">
        <v>-1.24</v>
      </c>
      <c r="AP2420">
        <v>430</v>
      </c>
      <c r="AQ2420">
        <v>5</v>
      </c>
      <c r="AR2420">
        <v>6.36</v>
      </c>
      <c r="AS2420">
        <v>92</v>
      </c>
      <c r="AT2420">
        <v>2.73</v>
      </c>
      <c r="AU2420">
        <v>97</v>
      </c>
      <c r="AV2420">
        <v>-2.16</v>
      </c>
      <c r="AW2420">
        <v>98</v>
      </c>
      <c r="AX2420">
        <v>-0.31</v>
      </c>
      <c r="AY2420">
        <v>97</v>
      </c>
      <c r="AZ2420">
        <v>5.53</v>
      </c>
      <c r="BA2420">
        <v>91</v>
      </c>
      <c r="BB2420">
        <v>4.38</v>
      </c>
      <c r="BC2420">
        <v>94</v>
      </c>
      <c r="BD2420">
        <v>0.04</v>
      </c>
      <c r="BE2420">
        <v>0.02</v>
      </c>
      <c r="BF2420">
        <v>0.06</v>
      </c>
      <c r="BG2420">
        <v>98</v>
      </c>
      <c r="BH2420">
        <v>0.13</v>
      </c>
      <c r="BI2420">
        <v>-15.67</v>
      </c>
      <c r="BJ2420">
        <v>39</v>
      </c>
      <c r="BK2420">
        <v>21</v>
      </c>
      <c r="BL2420">
        <v>0.03</v>
      </c>
      <c r="BM2420">
        <v>-0.1</v>
      </c>
      <c r="BN2420">
        <v>0.27</v>
      </c>
      <c r="BO2420">
        <v>0.3</v>
      </c>
      <c r="BP2420">
        <v>-2.15</v>
      </c>
      <c r="BQ2420">
        <v>-0.06</v>
      </c>
      <c r="BR2420">
        <v>3.6</v>
      </c>
      <c r="BS2420">
        <v>-3.06</v>
      </c>
      <c r="BT2420">
        <v>-2.4300000000000002</v>
      </c>
      <c r="BU2420">
        <v>0.12</v>
      </c>
      <c r="BV2420">
        <v>0.5</v>
      </c>
      <c r="BW2420">
        <v>-0.21</v>
      </c>
      <c r="BX2420">
        <v>-0.64</v>
      </c>
      <c r="BY2420">
        <v>1.48</v>
      </c>
      <c r="BZ2420">
        <v>-0.75</v>
      </c>
      <c r="CA2420">
        <v>-0.96</v>
      </c>
      <c r="CB2420">
        <v>0.44</v>
      </c>
      <c r="CC2420">
        <v>-3.26</v>
      </c>
      <c r="CD2420">
        <v>-0.34</v>
      </c>
      <c r="CE2420">
        <v>0.22</v>
      </c>
      <c r="CF2420">
        <v>-0.15</v>
      </c>
      <c r="CG2420">
        <v>0</v>
      </c>
      <c r="CH2420">
        <v>1.5</v>
      </c>
      <c r="CI2420">
        <v>0</v>
      </c>
      <c r="CJ2420">
        <v>-0.5</v>
      </c>
      <c r="CK2420">
        <v>99</v>
      </c>
      <c r="CL2420">
        <v>-0.6</v>
      </c>
      <c r="CM2420">
        <v>99</v>
      </c>
      <c r="CN2420">
        <v>-0.25</v>
      </c>
      <c r="CO2420">
        <v>98</v>
      </c>
      <c r="CP2420">
        <v>-9.6</v>
      </c>
      <c r="CQ2420">
        <v>99</v>
      </c>
      <c r="CR2420">
        <v>0</v>
      </c>
      <c r="CS2420">
        <v>0</v>
      </c>
      <c r="CT2420">
        <v>-5.9</v>
      </c>
      <c r="CU2420">
        <v>97</v>
      </c>
      <c r="CV2420">
        <v>0.12</v>
      </c>
      <c r="CW2420">
        <v>47</v>
      </c>
      <c r="CX2420" t="s">
        <v>3680</v>
      </c>
    </row>
    <row r="2421" spans="1:102" x14ac:dyDescent="0.3">
      <c r="A2421" t="str">
        <f>HYPERLINK("https://webapp.icbf.com/v2/app/bull-search/view/388952350","OXB")</f>
        <v>OXB</v>
      </c>
      <c r="B2421" t="s">
        <v>7280</v>
      </c>
      <c r="C2421" t="s">
        <v>7281</v>
      </c>
      <c r="D2421" s="1">
        <v>35856</v>
      </c>
      <c r="E2421" t="s">
        <v>140</v>
      </c>
      <c r="F2421">
        <v>0</v>
      </c>
      <c r="G2421" t="s">
        <v>93</v>
      </c>
      <c r="H2421">
        <v>40.4</v>
      </c>
      <c r="I2421">
        <v>91</v>
      </c>
      <c r="J2421">
        <v>5.48</v>
      </c>
      <c r="K2421">
        <v>98</v>
      </c>
      <c r="L2421">
        <v>55.44</v>
      </c>
      <c r="M2421">
        <v>83</v>
      </c>
      <c r="N2421">
        <v>-33.56</v>
      </c>
      <c r="O2421">
        <v>93</v>
      </c>
      <c r="P2421">
        <v>11.85</v>
      </c>
      <c r="Q2421">
        <v>98</v>
      </c>
      <c r="R2421">
        <v>12.54</v>
      </c>
      <c r="S2421">
        <v>85</v>
      </c>
      <c r="T2421">
        <v>3.39</v>
      </c>
      <c r="U2421">
        <v>95</v>
      </c>
      <c r="V2421">
        <v>-14.74</v>
      </c>
      <c r="W2421">
        <v>88</v>
      </c>
      <c r="X2421" t="s">
        <v>102</v>
      </c>
      <c r="Y2421" t="s">
        <v>95</v>
      </c>
      <c r="Z2421">
        <v>0</v>
      </c>
      <c r="AA2421" t="s">
        <v>141</v>
      </c>
      <c r="AB2421" t="s">
        <v>7282</v>
      </c>
      <c r="AC2421">
        <v>225</v>
      </c>
      <c r="AD2421">
        <v>83</v>
      </c>
      <c r="AE2421">
        <v>98</v>
      </c>
      <c r="AF2421">
        <v>16.059999999999999</v>
      </c>
      <c r="AG2421">
        <v>-4.05</v>
      </c>
      <c r="AH2421">
        <v>2.61</v>
      </c>
      <c r="AI2421">
        <v>-0.08</v>
      </c>
      <c r="AJ2421">
        <v>0.03</v>
      </c>
      <c r="AK2421">
        <v>83</v>
      </c>
      <c r="AL2421">
        <v>297</v>
      </c>
      <c r="AM2421">
        <v>109</v>
      </c>
      <c r="AN2421">
        <v>-1.55</v>
      </c>
      <c r="AO2421">
        <v>2.89</v>
      </c>
      <c r="AP2421">
        <v>515</v>
      </c>
      <c r="AQ2421">
        <v>10</v>
      </c>
      <c r="AR2421">
        <v>9.7899999999999991</v>
      </c>
      <c r="AS2421">
        <v>87</v>
      </c>
      <c r="AT2421">
        <v>4.46</v>
      </c>
      <c r="AU2421">
        <v>93</v>
      </c>
      <c r="AV2421">
        <v>2.52</v>
      </c>
      <c r="AW2421">
        <v>98</v>
      </c>
      <c r="AX2421">
        <v>0.23</v>
      </c>
      <c r="AY2421">
        <v>93</v>
      </c>
      <c r="AZ2421">
        <v>4.62</v>
      </c>
      <c r="BA2421">
        <v>80</v>
      </c>
      <c r="BB2421">
        <v>3.96</v>
      </c>
      <c r="BC2421">
        <v>83</v>
      </c>
      <c r="BD2421">
        <v>-0.05</v>
      </c>
      <c r="BE2421">
        <v>-0.05</v>
      </c>
      <c r="BF2421">
        <v>-0.11</v>
      </c>
      <c r="BG2421">
        <v>92</v>
      </c>
      <c r="BH2421">
        <v>-0.37</v>
      </c>
      <c r="BI2421">
        <v>4.75</v>
      </c>
      <c r="BJ2421">
        <v>1</v>
      </c>
      <c r="BK2421">
        <v>1</v>
      </c>
      <c r="BL2421">
        <v>-0.93</v>
      </c>
      <c r="BM2421">
        <v>3.19</v>
      </c>
      <c r="BN2421">
        <v>-1.76</v>
      </c>
      <c r="BO2421">
        <v>-2.92</v>
      </c>
      <c r="BP2421">
        <v>4.41</v>
      </c>
      <c r="BQ2421">
        <v>-2.11</v>
      </c>
      <c r="BR2421">
        <v>-2.78</v>
      </c>
      <c r="BS2421">
        <v>-0.51</v>
      </c>
      <c r="BT2421">
        <v>2.89</v>
      </c>
      <c r="BU2421">
        <v>-3.46</v>
      </c>
      <c r="BV2421">
        <v>-4.12</v>
      </c>
      <c r="BW2421">
        <v>-3.1</v>
      </c>
      <c r="BX2421">
        <v>-2.4700000000000002</v>
      </c>
      <c r="BY2421">
        <v>-2.6</v>
      </c>
      <c r="BZ2421">
        <v>1.23</v>
      </c>
      <c r="CA2421">
        <v>-2.71</v>
      </c>
      <c r="CB2421">
        <v>-3.34</v>
      </c>
      <c r="CC2421">
        <v>-0.63</v>
      </c>
      <c r="CD2421">
        <v>3.7</v>
      </c>
      <c r="CE2421">
        <v>-2.95</v>
      </c>
      <c r="CF2421">
        <v>-1.3</v>
      </c>
      <c r="CG2421">
        <v>0</v>
      </c>
      <c r="CH2421">
        <v>-3.14</v>
      </c>
      <c r="CI2421">
        <v>0</v>
      </c>
      <c r="CJ2421">
        <v>3.6</v>
      </c>
      <c r="CK2421">
        <v>98</v>
      </c>
      <c r="CL2421">
        <v>0.23</v>
      </c>
      <c r="CM2421">
        <v>98</v>
      </c>
      <c r="CN2421">
        <v>-0.39</v>
      </c>
      <c r="CO2421">
        <v>98</v>
      </c>
      <c r="CP2421">
        <v>-0.4</v>
      </c>
      <c r="CQ2421">
        <v>96</v>
      </c>
      <c r="CR2421">
        <v>0</v>
      </c>
      <c r="CS2421">
        <v>0</v>
      </c>
      <c r="CT2421">
        <v>9.1999999999999993</v>
      </c>
      <c r="CU2421">
        <v>95</v>
      </c>
      <c r="CV2421">
        <v>-0.14000000000000001</v>
      </c>
      <c r="CW2421">
        <v>29</v>
      </c>
      <c r="CX2421" t="s">
        <v>224</v>
      </c>
    </row>
    <row r="2422" spans="1:102" x14ac:dyDescent="0.3">
      <c r="A2422" t="str">
        <f>HYPERLINK("https://webapp.icbf.com/v2/app/bull-search/view/1045325098","HGX")</f>
        <v>HGX</v>
      </c>
      <c r="B2422" t="s">
        <v>13173</v>
      </c>
      <c r="C2422" t="s">
        <v>13174</v>
      </c>
      <c r="D2422" s="1">
        <v>39455</v>
      </c>
      <c r="E2422" t="s">
        <v>895</v>
      </c>
      <c r="F2422">
        <v>0</v>
      </c>
      <c r="G2422" t="s">
        <v>93</v>
      </c>
      <c r="H2422">
        <v>40.380000000000003</v>
      </c>
      <c r="I2422">
        <v>39</v>
      </c>
      <c r="J2422">
        <v>56.82</v>
      </c>
      <c r="K2422">
        <v>66</v>
      </c>
      <c r="L2422">
        <v>-25</v>
      </c>
      <c r="M2422">
        <v>21</v>
      </c>
      <c r="N2422">
        <v>-18.66</v>
      </c>
      <c r="O2422">
        <v>39</v>
      </c>
      <c r="P2422">
        <v>4.72</v>
      </c>
      <c r="Q2422">
        <v>52</v>
      </c>
      <c r="R2422">
        <v>6.87</v>
      </c>
      <c r="S2422">
        <v>22</v>
      </c>
      <c r="T2422">
        <v>19.23</v>
      </c>
      <c r="U2422">
        <v>15</v>
      </c>
      <c r="V2422">
        <v>-3.6</v>
      </c>
      <c r="W2422">
        <v>11</v>
      </c>
      <c r="X2422" t="s">
        <v>234</v>
      </c>
      <c r="Y2422" t="s">
        <v>1976</v>
      </c>
      <c r="Z2422">
        <v>0</v>
      </c>
      <c r="AA2422" t="s">
        <v>13175</v>
      </c>
      <c r="AB2422" t="s">
        <v>13176</v>
      </c>
      <c r="AC2422">
        <v>13</v>
      </c>
      <c r="AD2422">
        <v>5</v>
      </c>
      <c r="AE2422">
        <v>66</v>
      </c>
      <c r="AF2422">
        <v>213.13</v>
      </c>
      <c r="AG2422">
        <v>12.54</v>
      </c>
      <c r="AH2422">
        <v>8.49</v>
      </c>
      <c r="AI2422">
        <v>7.0000000000000007E-2</v>
      </c>
      <c r="AJ2422">
        <v>0.02</v>
      </c>
      <c r="AK2422">
        <v>21</v>
      </c>
      <c r="AL2422">
        <v>13</v>
      </c>
      <c r="AM2422">
        <v>4</v>
      </c>
      <c r="AN2422">
        <v>3.21</v>
      </c>
      <c r="AO2422">
        <v>1.24</v>
      </c>
      <c r="AP2422">
        <v>37</v>
      </c>
      <c r="AQ2422">
        <v>1</v>
      </c>
      <c r="AR2422">
        <v>8.4700000000000006</v>
      </c>
      <c r="AS2422">
        <v>35</v>
      </c>
      <c r="AT2422">
        <v>3.86</v>
      </c>
      <c r="AU2422">
        <v>40</v>
      </c>
      <c r="AV2422">
        <v>1.84</v>
      </c>
      <c r="AW2422">
        <v>50</v>
      </c>
      <c r="AX2422">
        <v>0.65</v>
      </c>
      <c r="AY2422">
        <v>41</v>
      </c>
      <c r="AZ2422">
        <v>4.8899999999999997</v>
      </c>
      <c r="BA2422">
        <v>9</v>
      </c>
      <c r="BB2422">
        <v>3.91</v>
      </c>
      <c r="BC2422">
        <v>9</v>
      </c>
      <c r="BD2422">
        <v>0</v>
      </c>
      <c r="BE2422">
        <v>-0.02</v>
      </c>
      <c r="BF2422">
        <v>-0.12</v>
      </c>
      <c r="BG2422">
        <v>29</v>
      </c>
      <c r="BH2422">
        <v>-0.16</v>
      </c>
      <c r="BI2422">
        <v>-6.91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4.2</v>
      </c>
      <c r="CK2422">
        <v>58</v>
      </c>
      <c r="CL2422">
        <v>-0.03</v>
      </c>
      <c r="CM2422">
        <v>51</v>
      </c>
      <c r="CN2422">
        <v>0.01</v>
      </c>
      <c r="CO2422">
        <v>48</v>
      </c>
      <c r="CP2422">
        <v>-4.3</v>
      </c>
      <c r="CQ2422">
        <v>25</v>
      </c>
      <c r="CR2422">
        <v>0</v>
      </c>
      <c r="CS2422">
        <v>0</v>
      </c>
      <c r="CT2422">
        <v>-12.2</v>
      </c>
      <c r="CU2422">
        <v>15</v>
      </c>
      <c r="CV2422">
        <v>0</v>
      </c>
      <c r="CW2422">
        <v>15</v>
      </c>
      <c r="CX2422" t="s">
        <v>7881</v>
      </c>
    </row>
    <row r="2423" spans="1:102" x14ac:dyDescent="0.3">
      <c r="A2423" t="str">
        <f>HYPERLINK("https://webapp.icbf.com/v2/app/bull-search/view/660011041","S1023")</f>
        <v>S1023</v>
      </c>
      <c r="B2423" t="s">
        <v>12758</v>
      </c>
      <c r="C2423" t="s">
        <v>7975</v>
      </c>
      <c r="D2423" s="1">
        <v>37979</v>
      </c>
      <c r="E2423" t="s">
        <v>140</v>
      </c>
      <c r="F2423">
        <v>0</v>
      </c>
      <c r="G2423" t="s">
        <v>109</v>
      </c>
      <c r="H2423">
        <v>40.340000000000003</v>
      </c>
      <c r="I2423">
        <v>80</v>
      </c>
      <c r="J2423">
        <v>22.94</v>
      </c>
      <c r="K2423">
        <v>93</v>
      </c>
      <c r="L2423">
        <v>-1.52</v>
      </c>
      <c r="M2423">
        <v>71</v>
      </c>
      <c r="N2423">
        <v>-2.1800000000000002</v>
      </c>
      <c r="O2423">
        <v>78</v>
      </c>
      <c r="P2423">
        <v>19.02</v>
      </c>
      <c r="Q2423">
        <v>87</v>
      </c>
      <c r="R2423">
        <v>3.78</v>
      </c>
      <c r="S2423">
        <v>71</v>
      </c>
      <c r="T2423">
        <v>10.79</v>
      </c>
      <c r="U2423">
        <v>73</v>
      </c>
      <c r="V2423">
        <v>-12.49</v>
      </c>
      <c r="W2423">
        <v>69</v>
      </c>
      <c r="X2423" t="s">
        <v>102</v>
      </c>
      <c r="Y2423" t="s">
        <v>303</v>
      </c>
      <c r="Z2423">
        <v>0</v>
      </c>
      <c r="AA2423" t="s">
        <v>1808</v>
      </c>
      <c r="AB2423" t="s">
        <v>12759</v>
      </c>
      <c r="AC2423">
        <v>25</v>
      </c>
      <c r="AD2423">
        <v>11</v>
      </c>
      <c r="AE2423">
        <v>93</v>
      </c>
      <c r="AF2423">
        <v>68.41</v>
      </c>
      <c r="AG2423">
        <v>-1.56</v>
      </c>
      <c r="AH2423">
        <v>5.5</v>
      </c>
      <c r="AI2423">
        <v>-7.0000000000000007E-2</v>
      </c>
      <c r="AJ2423">
        <v>0.06</v>
      </c>
      <c r="AK2423">
        <v>71</v>
      </c>
      <c r="AL2423">
        <v>33</v>
      </c>
      <c r="AM2423">
        <v>17</v>
      </c>
      <c r="AN2423">
        <v>0.16</v>
      </c>
      <c r="AO2423">
        <v>0.04</v>
      </c>
      <c r="AP2423">
        <v>74</v>
      </c>
      <c r="AQ2423">
        <v>0</v>
      </c>
      <c r="AR2423">
        <v>8.92</v>
      </c>
      <c r="AS2423">
        <v>69</v>
      </c>
      <c r="AT2423">
        <v>4.6500000000000004</v>
      </c>
      <c r="AU2423">
        <v>77</v>
      </c>
      <c r="AV2423">
        <v>-1.07</v>
      </c>
      <c r="AW2423">
        <v>91</v>
      </c>
      <c r="AX2423">
        <v>-0.06</v>
      </c>
      <c r="AY2423">
        <v>70</v>
      </c>
      <c r="AZ2423">
        <v>5.05</v>
      </c>
      <c r="BA2423">
        <v>55</v>
      </c>
      <c r="BB2423">
        <v>3.5</v>
      </c>
      <c r="BC2423">
        <v>58</v>
      </c>
      <c r="BD2423">
        <v>0.03</v>
      </c>
      <c r="BE2423">
        <v>-0.03</v>
      </c>
      <c r="BF2423">
        <v>-0.08</v>
      </c>
      <c r="BG2423">
        <v>79</v>
      </c>
      <c r="BH2423">
        <v>-0.57999999999999996</v>
      </c>
      <c r="BI2423">
        <v>-26.81</v>
      </c>
      <c r="BJ2423">
        <v>0</v>
      </c>
      <c r="BK2423">
        <v>0</v>
      </c>
      <c r="BL2423">
        <v>-0.47</v>
      </c>
      <c r="BM2423">
        <v>3.62</v>
      </c>
      <c r="BN2423">
        <v>-1.53</v>
      </c>
      <c r="BO2423">
        <v>-2.89</v>
      </c>
      <c r="BP2423">
        <v>4.58</v>
      </c>
      <c r="BQ2423">
        <v>-1.79</v>
      </c>
      <c r="BR2423">
        <v>-2.82</v>
      </c>
      <c r="BS2423">
        <v>-0.4</v>
      </c>
      <c r="BT2423">
        <v>2.62</v>
      </c>
      <c r="BU2423">
        <v>-3.41</v>
      </c>
      <c r="BV2423">
        <v>-3.93</v>
      </c>
      <c r="BW2423">
        <v>-2.95</v>
      </c>
      <c r="BX2423">
        <v>-2.65</v>
      </c>
      <c r="BY2423">
        <v>-2.09</v>
      </c>
      <c r="BZ2423">
        <v>1.56</v>
      </c>
      <c r="CA2423">
        <v>-2.4</v>
      </c>
      <c r="CB2423">
        <v>-3.17</v>
      </c>
      <c r="CC2423">
        <v>-0.21</v>
      </c>
      <c r="CD2423">
        <v>3.97</v>
      </c>
      <c r="CE2423">
        <v>-2.76</v>
      </c>
      <c r="CF2423">
        <v>-0.64</v>
      </c>
      <c r="CG2423">
        <v>0</v>
      </c>
      <c r="CH2423">
        <v>-2.1</v>
      </c>
      <c r="CI2423">
        <v>0</v>
      </c>
      <c r="CJ2423">
        <v>8.1999999999999993</v>
      </c>
      <c r="CK2423">
        <v>90</v>
      </c>
      <c r="CL2423">
        <v>0.53</v>
      </c>
      <c r="CM2423">
        <v>87</v>
      </c>
      <c r="CN2423">
        <v>-0.17</v>
      </c>
      <c r="CO2423">
        <v>86</v>
      </c>
      <c r="CP2423">
        <v>1.6</v>
      </c>
      <c r="CQ2423">
        <v>73</v>
      </c>
      <c r="CR2423">
        <v>0</v>
      </c>
      <c r="CS2423">
        <v>0</v>
      </c>
      <c r="CT2423">
        <v>-0.8</v>
      </c>
      <c r="CU2423">
        <v>73</v>
      </c>
      <c r="CV2423">
        <v>0.11</v>
      </c>
      <c r="CW2423">
        <v>44</v>
      </c>
      <c r="CX2423" t="s">
        <v>247</v>
      </c>
    </row>
    <row r="2424" spans="1:102" x14ac:dyDescent="0.3">
      <c r="A2424" t="str">
        <f>HYPERLINK("https://webapp.icbf.com/v2/app/bull-search/view/1240677509","BS2020")</f>
        <v>BS2020</v>
      </c>
      <c r="B2424" t="s">
        <v>7877</v>
      </c>
      <c r="C2424" t="s">
        <v>7878</v>
      </c>
      <c r="D2424" s="1">
        <v>41004</v>
      </c>
      <c r="E2424" t="s">
        <v>895</v>
      </c>
      <c r="F2424">
        <v>0</v>
      </c>
      <c r="G2424" t="s">
        <v>93</v>
      </c>
      <c r="H2424">
        <v>40.14</v>
      </c>
      <c r="I2424">
        <v>36</v>
      </c>
      <c r="J2424">
        <v>53.3</v>
      </c>
      <c r="K2424">
        <v>63</v>
      </c>
      <c r="L2424">
        <v>-27.39</v>
      </c>
      <c r="M2424">
        <v>14</v>
      </c>
      <c r="N2424">
        <v>-12.28</v>
      </c>
      <c r="O2424">
        <v>53</v>
      </c>
      <c r="P2424">
        <v>-3.03</v>
      </c>
      <c r="Q2424">
        <v>35</v>
      </c>
      <c r="R2424">
        <v>11.42</v>
      </c>
      <c r="S2424">
        <v>20</v>
      </c>
      <c r="T2424">
        <v>23.96</v>
      </c>
      <c r="U2424">
        <v>12</v>
      </c>
      <c r="V2424">
        <v>-5.84</v>
      </c>
      <c r="W2424">
        <v>23</v>
      </c>
      <c r="X2424" t="s">
        <v>234</v>
      </c>
      <c r="Y2424" t="s">
        <v>405</v>
      </c>
      <c r="Z2424">
        <v>0</v>
      </c>
      <c r="AA2424" t="s">
        <v>7879</v>
      </c>
      <c r="AB2424" t="s">
        <v>7880</v>
      </c>
      <c r="AC2424">
        <v>11</v>
      </c>
      <c r="AD2424">
        <v>5</v>
      </c>
      <c r="AE2424">
        <v>63</v>
      </c>
      <c r="AF2424">
        <v>-5.25</v>
      </c>
      <c r="AG2424">
        <v>12.14</v>
      </c>
      <c r="AH2424">
        <v>4.6900000000000004</v>
      </c>
      <c r="AI2424">
        <v>0.2</v>
      </c>
      <c r="AJ2424">
        <v>0.08</v>
      </c>
      <c r="AK2424">
        <v>14</v>
      </c>
      <c r="AL2424">
        <v>5</v>
      </c>
      <c r="AM2424">
        <v>3</v>
      </c>
      <c r="AN2424">
        <v>3.37</v>
      </c>
      <c r="AO2424">
        <v>1.21</v>
      </c>
      <c r="AP2424">
        <v>61</v>
      </c>
      <c r="AQ2424">
        <v>2</v>
      </c>
      <c r="AR2424">
        <v>8.8699999999999992</v>
      </c>
      <c r="AS2424">
        <v>35</v>
      </c>
      <c r="AT2424">
        <v>4.1399999999999997</v>
      </c>
      <c r="AU2424">
        <v>55</v>
      </c>
      <c r="AV2424">
        <v>0.5</v>
      </c>
      <c r="AW2424">
        <v>76</v>
      </c>
      <c r="AX2424">
        <v>-0.21</v>
      </c>
      <c r="AY2424">
        <v>50</v>
      </c>
      <c r="AZ2424">
        <v>5.53</v>
      </c>
      <c r="BA2424">
        <v>10</v>
      </c>
      <c r="BB2424">
        <v>4.2699999999999996</v>
      </c>
      <c r="BC2424">
        <v>4</v>
      </c>
      <c r="BD2424">
        <v>-0.01</v>
      </c>
      <c r="BE2424">
        <v>-0.04</v>
      </c>
      <c r="BF2424">
        <v>-0.17</v>
      </c>
      <c r="BG2424">
        <v>26</v>
      </c>
      <c r="BH2424">
        <v>-0.12</v>
      </c>
      <c r="BI2424">
        <v>4.96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-1.1000000000000001</v>
      </c>
      <c r="CK2424">
        <v>42</v>
      </c>
      <c r="CL2424">
        <v>-0.22</v>
      </c>
      <c r="CM2424">
        <v>30</v>
      </c>
      <c r="CN2424">
        <v>-0.18</v>
      </c>
      <c r="CO2424">
        <v>27</v>
      </c>
      <c r="CP2424">
        <v>-9</v>
      </c>
      <c r="CQ2424">
        <v>16</v>
      </c>
      <c r="CR2424">
        <v>0</v>
      </c>
      <c r="CS2424">
        <v>0</v>
      </c>
      <c r="CT2424">
        <v>-18.600000000000001</v>
      </c>
      <c r="CU2424">
        <v>12</v>
      </c>
      <c r="CV2424">
        <v>0</v>
      </c>
      <c r="CW2424">
        <v>11</v>
      </c>
      <c r="CX2424" t="s">
        <v>7881</v>
      </c>
    </row>
    <row r="2425" spans="1:102" x14ac:dyDescent="0.3">
      <c r="A2425" t="str">
        <f>HYPERLINK("https://webapp.icbf.com/v2/app/bull-search/view/77856622","HTP")</f>
        <v>HTP</v>
      </c>
      <c r="B2425" t="s">
        <v>3444</v>
      </c>
      <c r="C2425" t="s">
        <v>3445</v>
      </c>
      <c r="D2425" s="1">
        <v>34236</v>
      </c>
      <c r="E2425" t="s">
        <v>92</v>
      </c>
      <c r="F2425">
        <v>100</v>
      </c>
      <c r="G2425" t="s">
        <v>93</v>
      </c>
      <c r="H2425">
        <v>40.1</v>
      </c>
      <c r="I2425">
        <v>97</v>
      </c>
      <c r="J2425">
        <v>34.869999999999997</v>
      </c>
      <c r="K2425">
        <v>99</v>
      </c>
      <c r="L2425">
        <v>-19.239999999999998</v>
      </c>
      <c r="M2425">
        <v>95</v>
      </c>
      <c r="N2425">
        <v>14.62</v>
      </c>
      <c r="O2425">
        <v>98</v>
      </c>
      <c r="P2425">
        <v>-4.72</v>
      </c>
      <c r="Q2425">
        <v>99</v>
      </c>
      <c r="R2425">
        <v>7.16</v>
      </c>
      <c r="S2425">
        <v>97</v>
      </c>
      <c r="T2425">
        <v>18.64</v>
      </c>
      <c r="U2425">
        <v>99</v>
      </c>
      <c r="V2425">
        <v>-11.23</v>
      </c>
      <c r="W2425">
        <v>98</v>
      </c>
      <c r="X2425" t="s">
        <v>94</v>
      </c>
      <c r="Y2425" t="s">
        <v>95</v>
      </c>
      <c r="Z2425" t="s">
        <v>96</v>
      </c>
      <c r="AA2425" t="s">
        <v>3446</v>
      </c>
      <c r="AB2425" t="s">
        <v>3447</v>
      </c>
      <c r="AC2425">
        <v>1918</v>
      </c>
      <c r="AD2425">
        <v>873</v>
      </c>
      <c r="AE2425">
        <v>99</v>
      </c>
      <c r="AF2425">
        <v>-54.79</v>
      </c>
      <c r="AG2425">
        <v>12.16</v>
      </c>
      <c r="AH2425">
        <v>0.79</v>
      </c>
      <c r="AI2425">
        <v>0.25</v>
      </c>
      <c r="AJ2425">
        <v>0.05</v>
      </c>
      <c r="AK2425">
        <v>95</v>
      </c>
      <c r="AL2425">
        <v>2249</v>
      </c>
      <c r="AM2425">
        <v>1046</v>
      </c>
      <c r="AN2425">
        <v>2.19</v>
      </c>
      <c r="AO2425">
        <v>0.67</v>
      </c>
      <c r="AP2425">
        <v>2999</v>
      </c>
      <c r="AQ2425">
        <v>28</v>
      </c>
      <c r="AR2425">
        <v>6.54</v>
      </c>
      <c r="AS2425">
        <v>96</v>
      </c>
      <c r="AT2425">
        <v>2.7</v>
      </c>
      <c r="AU2425">
        <v>99</v>
      </c>
      <c r="AV2425">
        <v>-1.36</v>
      </c>
      <c r="AW2425">
        <v>99</v>
      </c>
      <c r="AX2425">
        <v>-0.7</v>
      </c>
      <c r="AY2425">
        <v>99</v>
      </c>
      <c r="AZ2425">
        <v>7.67</v>
      </c>
      <c r="BA2425">
        <v>96</v>
      </c>
      <c r="BB2425">
        <v>5.44</v>
      </c>
      <c r="BC2425">
        <v>97</v>
      </c>
      <c r="BD2425">
        <v>-0.1</v>
      </c>
      <c r="BE2425">
        <v>-0.02</v>
      </c>
      <c r="BF2425">
        <v>0.04</v>
      </c>
      <c r="BG2425">
        <v>99</v>
      </c>
      <c r="BH2425">
        <v>-0.28000000000000003</v>
      </c>
      <c r="BI2425">
        <v>3.82</v>
      </c>
      <c r="BJ2425">
        <v>102</v>
      </c>
      <c r="BK2425">
        <v>60</v>
      </c>
      <c r="BL2425">
        <v>0</v>
      </c>
      <c r="BM2425">
        <v>-1.23</v>
      </c>
      <c r="BN2425">
        <v>-1.2</v>
      </c>
      <c r="BO2425">
        <v>-0.26</v>
      </c>
      <c r="BP2425">
        <v>-2.04</v>
      </c>
      <c r="BQ2425">
        <v>-1.74</v>
      </c>
      <c r="BR2425">
        <v>0.3</v>
      </c>
      <c r="BS2425">
        <v>-0.77</v>
      </c>
      <c r="BT2425">
        <v>-1.35</v>
      </c>
      <c r="BU2425">
        <v>-0.52</v>
      </c>
      <c r="BV2425">
        <v>-0.56999999999999995</v>
      </c>
      <c r="BW2425">
        <v>-0.56000000000000005</v>
      </c>
      <c r="BX2425">
        <v>0.44</v>
      </c>
      <c r="BY2425">
        <v>0.39</v>
      </c>
      <c r="BZ2425">
        <v>-1.2</v>
      </c>
      <c r="CA2425">
        <v>-0.46</v>
      </c>
      <c r="CB2425">
        <v>-0.66</v>
      </c>
      <c r="CC2425">
        <v>-0.02</v>
      </c>
      <c r="CD2425">
        <v>-0.57999999999999996</v>
      </c>
      <c r="CE2425">
        <v>-0.4</v>
      </c>
      <c r="CF2425">
        <v>-1.07</v>
      </c>
      <c r="CG2425">
        <v>0</v>
      </c>
      <c r="CH2425">
        <v>0.27</v>
      </c>
      <c r="CI2425">
        <v>0</v>
      </c>
      <c r="CJ2425">
        <v>1.7</v>
      </c>
      <c r="CK2425">
        <v>99</v>
      </c>
      <c r="CL2425">
        <v>-0.8</v>
      </c>
      <c r="CM2425">
        <v>99</v>
      </c>
      <c r="CN2425">
        <v>-0.19</v>
      </c>
      <c r="CO2425">
        <v>99</v>
      </c>
      <c r="CP2425">
        <v>-6.9</v>
      </c>
      <c r="CQ2425">
        <v>99</v>
      </c>
      <c r="CR2425">
        <v>0</v>
      </c>
      <c r="CS2425">
        <v>0</v>
      </c>
      <c r="CT2425">
        <v>-11.4</v>
      </c>
      <c r="CU2425">
        <v>99</v>
      </c>
      <c r="CV2425">
        <v>0.2</v>
      </c>
      <c r="CW2425">
        <v>46</v>
      </c>
      <c r="CX2425" t="s">
        <v>193</v>
      </c>
    </row>
    <row r="2426" spans="1:102" x14ac:dyDescent="0.3">
      <c r="A2426" t="str">
        <f>HYPERLINK("https://webapp.icbf.com/v2/app/bull-search/view/586065051","S800")</f>
        <v>S800</v>
      </c>
      <c r="B2426" t="s">
        <v>7838</v>
      </c>
      <c r="C2426" t="s">
        <v>7839</v>
      </c>
      <c r="D2426" s="1">
        <v>38346</v>
      </c>
      <c r="E2426" t="s">
        <v>92</v>
      </c>
      <c r="F2426">
        <v>100</v>
      </c>
      <c r="G2426" t="s">
        <v>93</v>
      </c>
      <c r="H2426">
        <v>40.03</v>
      </c>
      <c r="I2426">
        <v>87</v>
      </c>
      <c r="J2426">
        <v>-13.89</v>
      </c>
      <c r="K2426">
        <v>96</v>
      </c>
      <c r="L2426">
        <v>35.9</v>
      </c>
      <c r="M2426">
        <v>88</v>
      </c>
      <c r="N2426">
        <v>25.55</v>
      </c>
      <c r="O2426">
        <v>80</v>
      </c>
      <c r="P2426">
        <v>-20.190000000000001</v>
      </c>
      <c r="Q2426">
        <v>84</v>
      </c>
      <c r="R2426">
        <v>4.8</v>
      </c>
      <c r="S2426">
        <v>78</v>
      </c>
      <c r="T2426">
        <v>5.76</v>
      </c>
      <c r="U2426">
        <v>75</v>
      </c>
      <c r="V2426">
        <v>2.1</v>
      </c>
      <c r="W2426">
        <v>64</v>
      </c>
      <c r="X2426" t="s">
        <v>251</v>
      </c>
      <c r="Y2426" t="s">
        <v>1494</v>
      </c>
      <c r="Z2426" t="s">
        <v>96</v>
      </c>
      <c r="AA2426" t="s">
        <v>2030</v>
      </c>
      <c r="AB2426" t="s">
        <v>7840</v>
      </c>
      <c r="AC2426">
        <v>76</v>
      </c>
      <c r="AD2426">
        <v>47</v>
      </c>
      <c r="AE2426">
        <v>96</v>
      </c>
      <c r="AF2426">
        <v>-23.87</v>
      </c>
      <c r="AG2426">
        <v>3.26</v>
      </c>
      <c r="AH2426">
        <v>-3.88</v>
      </c>
      <c r="AI2426">
        <v>7.0000000000000007E-2</v>
      </c>
      <c r="AJ2426">
        <v>-0.05</v>
      </c>
      <c r="AK2426">
        <v>88</v>
      </c>
      <c r="AL2426">
        <v>63</v>
      </c>
      <c r="AM2426">
        <v>38</v>
      </c>
      <c r="AN2426">
        <v>-2.17</v>
      </c>
      <c r="AO2426">
        <v>0.69</v>
      </c>
      <c r="AP2426">
        <v>91</v>
      </c>
      <c r="AQ2426">
        <v>0</v>
      </c>
      <c r="AR2426">
        <v>5.41</v>
      </c>
      <c r="AS2426">
        <v>80</v>
      </c>
      <c r="AT2426">
        <v>2.4300000000000002</v>
      </c>
      <c r="AU2426">
        <v>88</v>
      </c>
      <c r="AV2426">
        <v>-2.81</v>
      </c>
      <c r="AW2426">
        <v>88</v>
      </c>
      <c r="AX2426">
        <v>0.23</v>
      </c>
      <c r="AY2426">
        <v>74</v>
      </c>
      <c r="AZ2426">
        <v>7.75</v>
      </c>
      <c r="BA2426">
        <v>59</v>
      </c>
      <c r="BB2426">
        <v>5.88</v>
      </c>
      <c r="BC2426">
        <v>54</v>
      </c>
      <c r="BD2426">
        <v>-0.02</v>
      </c>
      <c r="BE2426">
        <v>-0.03</v>
      </c>
      <c r="BF2426">
        <v>-0.02</v>
      </c>
      <c r="BG2426">
        <v>92</v>
      </c>
      <c r="BH2426">
        <v>7.0000000000000007E-2</v>
      </c>
      <c r="BI2426">
        <v>1.33</v>
      </c>
      <c r="BJ2426">
        <v>24</v>
      </c>
      <c r="BK2426">
        <v>19</v>
      </c>
      <c r="BL2426">
        <v>0.12</v>
      </c>
      <c r="BM2426">
        <v>-2.4500000000000002</v>
      </c>
      <c r="BN2426">
        <v>-1.72</v>
      </c>
      <c r="BO2426">
        <v>0.43</v>
      </c>
      <c r="BP2426">
        <v>0.63</v>
      </c>
      <c r="BQ2426">
        <v>-0.05</v>
      </c>
      <c r="BR2426">
        <v>-2.21</v>
      </c>
      <c r="BS2426">
        <v>3.44</v>
      </c>
      <c r="BT2426">
        <v>2.04</v>
      </c>
      <c r="BU2426">
        <v>2.2200000000000002</v>
      </c>
      <c r="BV2426">
        <v>2.14</v>
      </c>
      <c r="BW2426">
        <v>1.01</v>
      </c>
      <c r="BX2426">
        <v>2.5099999999999998</v>
      </c>
      <c r="BY2426">
        <v>2.44</v>
      </c>
      <c r="BZ2426">
        <v>-5.37</v>
      </c>
      <c r="CA2426">
        <v>2.09</v>
      </c>
      <c r="CB2426">
        <v>1.39</v>
      </c>
      <c r="CC2426">
        <v>2.1800000000000002</v>
      </c>
      <c r="CD2426">
        <v>-0.98</v>
      </c>
      <c r="CE2426">
        <v>0.66</v>
      </c>
      <c r="CF2426">
        <v>0.24</v>
      </c>
      <c r="CG2426">
        <v>0</v>
      </c>
      <c r="CH2426">
        <v>2.73</v>
      </c>
      <c r="CI2426">
        <v>0</v>
      </c>
      <c r="CJ2426">
        <v>-10.8</v>
      </c>
      <c r="CK2426">
        <v>86</v>
      </c>
      <c r="CL2426">
        <v>-1.1499999999999999</v>
      </c>
      <c r="CM2426">
        <v>83</v>
      </c>
      <c r="CN2426">
        <v>-0.64</v>
      </c>
      <c r="CO2426">
        <v>80</v>
      </c>
      <c r="CP2426">
        <v>-6.1</v>
      </c>
      <c r="CQ2426">
        <v>82</v>
      </c>
      <c r="CR2426">
        <v>0</v>
      </c>
      <c r="CS2426">
        <v>0</v>
      </c>
      <c r="CT2426">
        <v>6</v>
      </c>
      <c r="CU2426">
        <v>75</v>
      </c>
      <c r="CV2426">
        <v>0.03</v>
      </c>
      <c r="CW2426">
        <v>42</v>
      </c>
      <c r="CX2426" t="s">
        <v>1185</v>
      </c>
    </row>
    <row r="2427" spans="1:102" x14ac:dyDescent="0.3">
      <c r="A2427" t="str">
        <f>HYPERLINK("https://webapp.icbf.com/v2/app/bull-search/view/586139137","PEM")</f>
        <v>PEM</v>
      </c>
      <c r="B2427" t="s">
        <v>1131</v>
      </c>
      <c r="C2427" t="s">
        <v>1132</v>
      </c>
      <c r="D2427" s="1">
        <v>38718</v>
      </c>
      <c r="E2427" t="s">
        <v>92</v>
      </c>
      <c r="F2427">
        <v>100</v>
      </c>
      <c r="G2427" t="s">
        <v>93</v>
      </c>
      <c r="H2427">
        <v>40</v>
      </c>
      <c r="I2427">
        <v>95</v>
      </c>
      <c r="J2427">
        <v>64.45</v>
      </c>
      <c r="K2427">
        <v>99</v>
      </c>
      <c r="L2427">
        <v>-60</v>
      </c>
      <c r="M2427">
        <v>92</v>
      </c>
      <c r="N2427">
        <v>26.19</v>
      </c>
      <c r="O2427">
        <v>94</v>
      </c>
      <c r="P2427">
        <v>-7.56</v>
      </c>
      <c r="Q2427">
        <v>97</v>
      </c>
      <c r="R2427">
        <v>-1.1200000000000001</v>
      </c>
      <c r="S2427">
        <v>89</v>
      </c>
      <c r="T2427">
        <v>13.16</v>
      </c>
      <c r="U2427">
        <v>95</v>
      </c>
      <c r="V2427">
        <v>4.88</v>
      </c>
      <c r="W2427">
        <v>90</v>
      </c>
      <c r="X2427" t="s">
        <v>251</v>
      </c>
      <c r="Y2427" t="s">
        <v>228</v>
      </c>
      <c r="Z2427" t="s">
        <v>96</v>
      </c>
      <c r="AA2427" t="s">
        <v>350</v>
      </c>
      <c r="AB2427" t="s">
        <v>1133</v>
      </c>
      <c r="AC2427">
        <v>326</v>
      </c>
      <c r="AD2427">
        <v>121</v>
      </c>
      <c r="AE2427">
        <v>99</v>
      </c>
      <c r="AF2427">
        <v>503.61</v>
      </c>
      <c r="AG2427">
        <v>11.25</v>
      </c>
      <c r="AH2427">
        <v>14.69</v>
      </c>
      <c r="AI2427">
        <v>-0.13</v>
      </c>
      <c r="AJ2427">
        <v>-0.04</v>
      </c>
      <c r="AK2427">
        <v>92</v>
      </c>
      <c r="AL2427">
        <v>327</v>
      </c>
      <c r="AM2427">
        <v>130</v>
      </c>
      <c r="AN2427">
        <v>3.65</v>
      </c>
      <c r="AO2427">
        <v>-1.1299999999999999</v>
      </c>
      <c r="AP2427">
        <v>638</v>
      </c>
      <c r="AQ2427">
        <v>8</v>
      </c>
      <c r="AR2427">
        <v>5.25</v>
      </c>
      <c r="AS2427">
        <v>92</v>
      </c>
      <c r="AT2427">
        <v>2.5</v>
      </c>
      <c r="AU2427">
        <v>95</v>
      </c>
      <c r="AV2427">
        <v>-2.12</v>
      </c>
      <c r="AW2427">
        <v>98</v>
      </c>
      <c r="AX2427">
        <v>-0.38</v>
      </c>
      <c r="AY2427">
        <v>93</v>
      </c>
      <c r="AZ2427">
        <v>6.57</v>
      </c>
      <c r="BA2427">
        <v>84</v>
      </c>
      <c r="BB2427">
        <v>5.39</v>
      </c>
      <c r="BC2427">
        <v>82</v>
      </c>
      <c r="BD2427">
        <v>-0.02</v>
      </c>
      <c r="BE2427">
        <v>0.01</v>
      </c>
      <c r="BF2427">
        <v>0.04</v>
      </c>
      <c r="BG2427">
        <v>96</v>
      </c>
      <c r="BH2427">
        <v>0.17</v>
      </c>
      <c r="BI2427">
        <v>3.93</v>
      </c>
      <c r="BJ2427">
        <v>99</v>
      </c>
      <c r="BK2427">
        <v>43</v>
      </c>
      <c r="BL2427">
        <v>0.48</v>
      </c>
      <c r="BM2427">
        <v>-0.19</v>
      </c>
      <c r="BN2427">
        <v>0.71</v>
      </c>
      <c r="BO2427">
        <v>0.81</v>
      </c>
      <c r="BP2427">
        <v>-0.72</v>
      </c>
      <c r="BQ2427">
        <v>1.33</v>
      </c>
      <c r="BR2427">
        <v>1.27</v>
      </c>
      <c r="BS2427">
        <v>0.77</v>
      </c>
      <c r="BT2427">
        <v>-0.81</v>
      </c>
      <c r="BU2427">
        <v>0.93</v>
      </c>
      <c r="BV2427">
        <v>1.55</v>
      </c>
      <c r="BW2427">
        <v>0.97</v>
      </c>
      <c r="BX2427">
        <v>0</v>
      </c>
      <c r="BY2427">
        <v>0.8</v>
      </c>
      <c r="BZ2427">
        <v>3.31</v>
      </c>
      <c r="CA2427">
        <v>0.86</v>
      </c>
      <c r="CB2427">
        <v>1.07</v>
      </c>
      <c r="CC2427">
        <v>0.41</v>
      </c>
      <c r="CD2427">
        <v>-0.24</v>
      </c>
      <c r="CE2427">
        <v>0.79</v>
      </c>
      <c r="CF2427">
        <v>0.94</v>
      </c>
      <c r="CG2427">
        <v>0</v>
      </c>
      <c r="CH2427">
        <v>0.92</v>
      </c>
      <c r="CI2427">
        <v>0</v>
      </c>
      <c r="CJ2427">
        <v>-0.8</v>
      </c>
      <c r="CK2427">
        <v>97</v>
      </c>
      <c r="CL2427">
        <v>-0.94</v>
      </c>
      <c r="CM2427">
        <v>96</v>
      </c>
      <c r="CN2427">
        <v>-0.38</v>
      </c>
      <c r="CO2427">
        <v>96</v>
      </c>
      <c r="CP2427">
        <v>-8</v>
      </c>
      <c r="CQ2427">
        <v>96</v>
      </c>
      <c r="CR2427">
        <v>0</v>
      </c>
      <c r="CS2427">
        <v>0</v>
      </c>
      <c r="CT2427">
        <v>-4</v>
      </c>
      <c r="CU2427">
        <v>95</v>
      </c>
      <c r="CV2427">
        <v>0.15</v>
      </c>
      <c r="CW2427">
        <v>46</v>
      </c>
      <c r="CX2427" t="s">
        <v>316</v>
      </c>
    </row>
    <row r="2428" spans="1:102" x14ac:dyDescent="0.3">
      <c r="A2428" t="str">
        <f>HYPERLINK("https://webapp.icbf.com/v2/app/bull-search/view/108520899","DUA")</f>
        <v>DUA</v>
      </c>
      <c r="B2428" t="s">
        <v>736</v>
      </c>
      <c r="C2428" t="s">
        <v>737</v>
      </c>
      <c r="D2428" s="1">
        <v>37207</v>
      </c>
      <c r="E2428" t="s">
        <v>108</v>
      </c>
      <c r="F2428">
        <v>6</v>
      </c>
      <c r="G2428" t="s">
        <v>93</v>
      </c>
      <c r="H2428">
        <v>39.93</v>
      </c>
      <c r="I2428">
        <v>94</v>
      </c>
      <c r="J2428">
        <v>-62.37</v>
      </c>
      <c r="K2428">
        <v>99</v>
      </c>
      <c r="L2428">
        <v>79.17</v>
      </c>
      <c r="M2428">
        <v>89</v>
      </c>
      <c r="N2428">
        <v>8.36</v>
      </c>
      <c r="O2428">
        <v>94</v>
      </c>
      <c r="P2428">
        <v>-11.17</v>
      </c>
      <c r="Q2428">
        <v>98</v>
      </c>
      <c r="R2428">
        <v>-1.33</v>
      </c>
      <c r="S2428">
        <v>91</v>
      </c>
      <c r="T2428">
        <v>13.31</v>
      </c>
      <c r="U2428">
        <v>97</v>
      </c>
      <c r="V2428">
        <v>13.96</v>
      </c>
      <c r="W2428">
        <v>94</v>
      </c>
      <c r="X2428" t="s">
        <v>234</v>
      </c>
      <c r="Y2428" t="s">
        <v>95</v>
      </c>
      <c r="Z2428" t="s">
        <v>96</v>
      </c>
      <c r="AA2428" t="s">
        <v>738</v>
      </c>
      <c r="AB2428" t="s">
        <v>739</v>
      </c>
      <c r="AC2428">
        <v>340</v>
      </c>
      <c r="AD2428">
        <v>117</v>
      </c>
      <c r="AE2428">
        <v>99</v>
      </c>
      <c r="AF2428">
        <v>-189.01</v>
      </c>
      <c r="AG2428">
        <v>-14.9</v>
      </c>
      <c r="AH2428">
        <v>-8.23</v>
      </c>
      <c r="AI2428">
        <v>-0.14000000000000001</v>
      </c>
      <c r="AJ2428">
        <v>-0.03</v>
      </c>
      <c r="AK2428">
        <v>89</v>
      </c>
      <c r="AL2428">
        <v>473</v>
      </c>
      <c r="AM2428">
        <v>173</v>
      </c>
      <c r="AN2428">
        <v>-5.38</v>
      </c>
      <c r="AO2428">
        <v>0.92</v>
      </c>
      <c r="AP2428">
        <v>493</v>
      </c>
      <c r="AQ2428">
        <v>5</v>
      </c>
      <c r="AR2428">
        <v>6.62</v>
      </c>
      <c r="AS2428">
        <v>86</v>
      </c>
      <c r="AT2428">
        <v>2.52</v>
      </c>
      <c r="AU2428">
        <v>94</v>
      </c>
      <c r="AV2428">
        <v>-1.45</v>
      </c>
      <c r="AW2428">
        <v>97</v>
      </c>
      <c r="AX2428">
        <v>-0.98</v>
      </c>
      <c r="AY2428">
        <v>95</v>
      </c>
      <c r="AZ2428">
        <v>8.0299999999999994</v>
      </c>
      <c r="BA2428">
        <v>83</v>
      </c>
      <c r="BB2428">
        <v>6.83</v>
      </c>
      <c r="BC2428">
        <v>88</v>
      </c>
      <c r="BD2428">
        <v>0.01</v>
      </c>
      <c r="BE2428">
        <v>-0.04</v>
      </c>
      <c r="BF2428">
        <v>0.09</v>
      </c>
      <c r="BG2428">
        <v>95</v>
      </c>
      <c r="BH2428">
        <v>0.19</v>
      </c>
      <c r="BI2428">
        <v>-23.05</v>
      </c>
      <c r="BJ2428">
        <v>4</v>
      </c>
      <c r="BK2428">
        <v>4</v>
      </c>
      <c r="BL2428">
        <v>-2.3199999999999998</v>
      </c>
      <c r="BM2428">
        <v>1.46</v>
      </c>
      <c r="BN2428">
        <v>-2.2999999999999998</v>
      </c>
      <c r="BO2428">
        <v>-2.63</v>
      </c>
      <c r="BP2428">
        <v>-1.33</v>
      </c>
      <c r="BQ2428">
        <v>1.62</v>
      </c>
      <c r="BR2428">
        <v>-0.95</v>
      </c>
      <c r="BS2428">
        <v>-0.71</v>
      </c>
      <c r="BT2428">
        <v>0.76</v>
      </c>
      <c r="BU2428">
        <v>-1.3</v>
      </c>
      <c r="BV2428">
        <v>-2.0299999999999998</v>
      </c>
      <c r="BW2428">
        <v>-2.2200000000000002</v>
      </c>
      <c r="BX2428">
        <v>-0.82</v>
      </c>
      <c r="BY2428">
        <v>-1.96</v>
      </c>
      <c r="BZ2428">
        <v>0.19</v>
      </c>
      <c r="CA2428">
        <v>-1.57</v>
      </c>
      <c r="CB2428">
        <v>-1.75</v>
      </c>
      <c r="CC2428">
        <v>-1.28</v>
      </c>
      <c r="CD2428">
        <v>2.5099999999999998</v>
      </c>
      <c r="CE2428">
        <v>-2.4900000000000002</v>
      </c>
      <c r="CF2428">
        <v>-1.66</v>
      </c>
      <c r="CG2428">
        <v>0</v>
      </c>
      <c r="CH2428">
        <v>-1.42</v>
      </c>
      <c r="CI2428">
        <v>0</v>
      </c>
      <c r="CJ2428">
        <v>-5.3</v>
      </c>
      <c r="CK2428">
        <v>99</v>
      </c>
      <c r="CL2428">
        <v>-0.39</v>
      </c>
      <c r="CM2428">
        <v>98</v>
      </c>
      <c r="CN2428">
        <v>-0.1</v>
      </c>
      <c r="CO2428">
        <v>98</v>
      </c>
      <c r="CP2428">
        <v>-6.7</v>
      </c>
      <c r="CQ2428">
        <v>97</v>
      </c>
      <c r="CR2428">
        <v>0</v>
      </c>
      <c r="CS2428">
        <v>0</v>
      </c>
      <c r="CT2428">
        <v>-4.2</v>
      </c>
      <c r="CU2428">
        <v>97</v>
      </c>
      <c r="CV2428">
        <v>0.06</v>
      </c>
      <c r="CW2428">
        <v>46</v>
      </c>
      <c r="CX2428" t="s">
        <v>740</v>
      </c>
    </row>
    <row r="2429" spans="1:102" x14ac:dyDescent="0.3">
      <c r="A2429" t="str">
        <f>HYPERLINK("https://webapp.icbf.com/v2/app/bull-search/view/586139116","ZME")</f>
        <v>ZME</v>
      </c>
      <c r="B2429" t="s">
        <v>1793</v>
      </c>
      <c r="C2429" t="s">
        <v>1794</v>
      </c>
      <c r="D2429" s="1">
        <v>38901</v>
      </c>
      <c r="E2429" t="s">
        <v>92</v>
      </c>
      <c r="F2429">
        <v>100</v>
      </c>
      <c r="G2429" t="s">
        <v>93</v>
      </c>
      <c r="H2429">
        <v>39.92</v>
      </c>
      <c r="I2429">
        <v>94</v>
      </c>
      <c r="J2429">
        <v>120.37</v>
      </c>
      <c r="K2429">
        <v>99</v>
      </c>
      <c r="L2429">
        <v>-80.87</v>
      </c>
      <c r="M2429">
        <v>92</v>
      </c>
      <c r="N2429">
        <v>11.3</v>
      </c>
      <c r="O2429">
        <v>95</v>
      </c>
      <c r="P2429">
        <v>5.14</v>
      </c>
      <c r="Q2429">
        <v>98</v>
      </c>
      <c r="R2429">
        <v>4.84</v>
      </c>
      <c r="S2429">
        <v>85</v>
      </c>
      <c r="T2429">
        <v>-18.66</v>
      </c>
      <c r="U2429">
        <v>93</v>
      </c>
      <c r="V2429">
        <v>-2.2000000000000002</v>
      </c>
      <c r="W2429">
        <v>75</v>
      </c>
      <c r="X2429" t="s">
        <v>276</v>
      </c>
      <c r="Y2429" t="s">
        <v>1756</v>
      </c>
      <c r="Z2429" t="s">
        <v>96</v>
      </c>
      <c r="AA2429" t="s">
        <v>1795</v>
      </c>
      <c r="AB2429" t="s">
        <v>1796</v>
      </c>
      <c r="AC2429">
        <v>520</v>
      </c>
      <c r="AD2429">
        <v>163</v>
      </c>
      <c r="AE2429">
        <v>99</v>
      </c>
      <c r="AF2429">
        <v>472.09</v>
      </c>
      <c r="AG2429">
        <v>23.23</v>
      </c>
      <c r="AH2429">
        <v>19.48</v>
      </c>
      <c r="AI2429">
        <v>0.08</v>
      </c>
      <c r="AJ2429">
        <v>0.06</v>
      </c>
      <c r="AK2429">
        <v>92</v>
      </c>
      <c r="AL2429">
        <v>438</v>
      </c>
      <c r="AM2429">
        <v>169</v>
      </c>
      <c r="AN2429">
        <v>5.14</v>
      </c>
      <c r="AO2429">
        <v>-1.3</v>
      </c>
      <c r="AP2429">
        <v>962</v>
      </c>
      <c r="AQ2429">
        <v>4</v>
      </c>
      <c r="AR2429">
        <v>6.79</v>
      </c>
      <c r="AS2429">
        <v>94</v>
      </c>
      <c r="AT2429">
        <v>2.92</v>
      </c>
      <c r="AU2429">
        <v>96</v>
      </c>
      <c r="AV2429">
        <v>-2.93</v>
      </c>
      <c r="AW2429">
        <v>99</v>
      </c>
      <c r="AX2429">
        <v>-0.11</v>
      </c>
      <c r="AY2429">
        <v>95</v>
      </c>
      <c r="AZ2429">
        <v>10.74</v>
      </c>
      <c r="BA2429">
        <v>87</v>
      </c>
      <c r="BB2429">
        <v>6.48</v>
      </c>
      <c r="BC2429">
        <v>80</v>
      </c>
      <c r="BD2429">
        <v>0.01</v>
      </c>
      <c r="BE2429">
        <v>-0.02</v>
      </c>
      <c r="BF2429">
        <v>-0.09</v>
      </c>
      <c r="BG2429">
        <v>96</v>
      </c>
      <c r="BH2429">
        <v>0.02</v>
      </c>
      <c r="BI2429">
        <v>9.4</v>
      </c>
      <c r="BJ2429">
        <v>235</v>
      </c>
      <c r="BK2429">
        <v>97</v>
      </c>
      <c r="BL2429">
        <v>1.1299999999999999</v>
      </c>
      <c r="BM2429">
        <v>1.67</v>
      </c>
      <c r="BN2429">
        <v>1.78</v>
      </c>
      <c r="BO2429">
        <v>0.98</v>
      </c>
      <c r="BP2429">
        <v>2.0699999999999998</v>
      </c>
      <c r="BQ2429">
        <v>1.74</v>
      </c>
      <c r="BR2429">
        <v>-0.81</v>
      </c>
      <c r="BS2429">
        <v>1.95</v>
      </c>
      <c r="BT2429">
        <v>1.1599999999999999</v>
      </c>
      <c r="BU2429">
        <v>1.47</v>
      </c>
      <c r="BV2429">
        <v>2.31</v>
      </c>
      <c r="BW2429">
        <v>2.85</v>
      </c>
      <c r="BX2429">
        <v>0.77</v>
      </c>
      <c r="BY2429">
        <v>3.26</v>
      </c>
      <c r="BZ2429">
        <v>-0.93</v>
      </c>
      <c r="CA2429">
        <v>1.73</v>
      </c>
      <c r="CB2429">
        <v>1.63</v>
      </c>
      <c r="CC2429">
        <v>1.23</v>
      </c>
      <c r="CD2429">
        <v>0.37</v>
      </c>
      <c r="CE2429">
        <v>1.04</v>
      </c>
      <c r="CF2429">
        <v>1.66</v>
      </c>
      <c r="CG2429">
        <v>0</v>
      </c>
      <c r="CH2429">
        <v>3.09</v>
      </c>
      <c r="CI2429">
        <v>0</v>
      </c>
      <c r="CJ2429">
        <v>4.5999999999999996</v>
      </c>
      <c r="CK2429">
        <v>98</v>
      </c>
      <c r="CL2429">
        <v>-0.86</v>
      </c>
      <c r="CM2429">
        <v>98</v>
      </c>
      <c r="CN2429">
        <v>-0.42</v>
      </c>
      <c r="CO2429">
        <v>97</v>
      </c>
      <c r="CP2429">
        <v>18.3</v>
      </c>
      <c r="CQ2429">
        <v>94</v>
      </c>
      <c r="CR2429">
        <v>0</v>
      </c>
      <c r="CS2429">
        <v>0</v>
      </c>
      <c r="CT2429">
        <v>39</v>
      </c>
      <c r="CU2429">
        <v>93</v>
      </c>
      <c r="CV2429">
        <v>0.28000000000000003</v>
      </c>
      <c r="CW2429">
        <v>46</v>
      </c>
      <c r="CX2429" t="s">
        <v>1797</v>
      </c>
    </row>
    <row r="2430" spans="1:102" x14ac:dyDescent="0.3">
      <c r="A2430" t="str">
        <f>HYPERLINK("https://webapp.icbf.com/v2/app/bull-search/view/69092539","RUS")</f>
        <v>RUS</v>
      </c>
      <c r="B2430" t="s">
        <v>597</v>
      </c>
      <c r="C2430" t="s">
        <v>598</v>
      </c>
      <c r="D2430" s="1">
        <v>32427</v>
      </c>
      <c r="E2430" t="s">
        <v>146</v>
      </c>
      <c r="F2430">
        <v>0</v>
      </c>
      <c r="G2430" t="s">
        <v>109</v>
      </c>
      <c r="H2430">
        <v>39.869999999999997</v>
      </c>
      <c r="I2430">
        <v>54</v>
      </c>
      <c r="J2430">
        <v>-65.510000000000005</v>
      </c>
      <c r="K2430">
        <v>73</v>
      </c>
      <c r="L2430">
        <v>64.91</v>
      </c>
      <c r="M2430">
        <v>55</v>
      </c>
      <c r="N2430">
        <v>22.67</v>
      </c>
      <c r="O2430">
        <v>53</v>
      </c>
      <c r="P2430">
        <v>9.0500000000000007</v>
      </c>
      <c r="Q2430">
        <v>20</v>
      </c>
      <c r="R2430">
        <v>-4.99</v>
      </c>
      <c r="S2430">
        <v>57</v>
      </c>
      <c r="T2430">
        <v>19.600000000000001</v>
      </c>
      <c r="U2430">
        <v>15</v>
      </c>
      <c r="V2430">
        <v>-5.86</v>
      </c>
      <c r="W2430">
        <v>34</v>
      </c>
      <c r="X2430" t="s">
        <v>110</v>
      </c>
      <c r="Y2430" t="s">
        <v>95</v>
      </c>
      <c r="Z2430">
        <v>0</v>
      </c>
      <c r="AA2430" t="s">
        <v>599</v>
      </c>
      <c r="AB2430" t="s">
        <v>600</v>
      </c>
      <c r="AC2430">
        <v>0</v>
      </c>
      <c r="AD2430">
        <v>0</v>
      </c>
      <c r="AE2430">
        <v>73</v>
      </c>
      <c r="AF2430">
        <v>-402.83</v>
      </c>
      <c r="AG2430">
        <v>-17.04</v>
      </c>
      <c r="AH2430">
        <v>-11.28</v>
      </c>
      <c r="AI2430">
        <v>-0.02</v>
      </c>
      <c r="AJ2430">
        <v>0.05</v>
      </c>
      <c r="AK2430">
        <v>55</v>
      </c>
      <c r="AL2430">
        <v>0</v>
      </c>
      <c r="AM2430">
        <v>0</v>
      </c>
      <c r="AN2430">
        <v>-5.6</v>
      </c>
      <c r="AO2430">
        <v>-0.45</v>
      </c>
      <c r="AP2430">
        <v>31</v>
      </c>
      <c r="AQ2430">
        <v>4</v>
      </c>
      <c r="AR2430">
        <v>5.2</v>
      </c>
      <c r="AS2430">
        <v>21</v>
      </c>
      <c r="AT2430">
        <v>2.2400000000000002</v>
      </c>
      <c r="AU2430">
        <v>53</v>
      </c>
      <c r="AV2430">
        <v>-0.73</v>
      </c>
      <c r="AW2430">
        <v>71</v>
      </c>
      <c r="AX2430">
        <v>0.53</v>
      </c>
      <c r="AY2430">
        <v>46</v>
      </c>
      <c r="AZ2430">
        <v>4.83</v>
      </c>
      <c r="BA2430">
        <v>19</v>
      </c>
      <c r="BB2430">
        <v>4.22</v>
      </c>
      <c r="BC2430">
        <v>27</v>
      </c>
      <c r="BD2430">
        <v>0.01</v>
      </c>
      <c r="BE2430">
        <v>0.02</v>
      </c>
      <c r="BF2430">
        <v>0.06</v>
      </c>
      <c r="BG2430">
        <v>77</v>
      </c>
      <c r="BH2430">
        <v>-0.24</v>
      </c>
      <c r="BI2430">
        <v>-8.86</v>
      </c>
      <c r="BJ2430">
        <v>1</v>
      </c>
      <c r="BK2430">
        <v>1</v>
      </c>
      <c r="BL2430">
        <v>-2.94</v>
      </c>
      <c r="BM2430">
        <v>1.1599999999999999</v>
      </c>
      <c r="BN2430">
        <v>-0.99</v>
      </c>
      <c r="BO2430">
        <v>-1.52</v>
      </c>
      <c r="BP2430">
        <v>3.88</v>
      </c>
      <c r="BQ2430">
        <v>-0.95</v>
      </c>
      <c r="BR2430">
        <v>-0.54</v>
      </c>
      <c r="BS2430">
        <v>7.0000000000000007E-2</v>
      </c>
      <c r="BT2430">
        <v>-0.56000000000000005</v>
      </c>
      <c r="BU2430">
        <v>-0.99</v>
      </c>
      <c r="BV2430">
        <v>-1.84</v>
      </c>
      <c r="BW2430">
        <v>-2.75</v>
      </c>
      <c r="BX2430">
        <v>-4.0999999999999996</v>
      </c>
      <c r="BY2430">
        <v>-2.62</v>
      </c>
      <c r="BZ2430">
        <v>1.69</v>
      </c>
      <c r="CA2430">
        <v>-3.28</v>
      </c>
      <c r="CB2430">
        <v>-3.62</v>
      </c>
      <c r="CC2430">
        <v>-0.1</v>
      </c>
      <c r="CD2430">
        <v>1.36</v>
      </c>
      <c r="CE2430">
        <v>-1.52</v>
      </c>
      <c r="CF2430">
        <v>-0.87</v>
      </c>
      <c r="CG2430">
        <v>0</v>
      </c>
      <c r="CH2430">
        <v>-0.86</v>
      </c>
      <c r="CI2430">
        <v>0</v>
      </c>
      <c r="CJ2430">
        <v>1.9</v>
      </c>
      <c r="CK2430">
        <v>22</v>
      </c>
      <c r="CL2430">
        <v>0.52</v>
      </c>
      <c r="CM2430">
        <v>17</v>
      </c>
      <c r="CN2430">
        <v>-0.15</v>
      </c>
      <c r="CO2430">
        <v>13</v>
      </c>
      <c r="CP2430">
        <v>-4.5999999999999996</v>
      </c>
      <c r="CQ2430">
        <v>22</v>
      </c>
      <c r="CR2430">
        <v>0</v>
      </c>
      <c r="CS2430">
        <v>0</v>
      </c>
      <c r="CT2430">
        <v>-12.7</v>
      </c>
      <c r="CU2430">
        <v>15</v>
      </c>
      <c r="CV2430">
        <v>-0.2</v>
      </c>
      <c r="CW2430">
        <v>5</v>
      </c>
      <c r="CX2430" t="s">
        <v>601</v>
      </c>
    </row>
    <row r="2431" spans="1:102" x14ac:dyDescent="0.3">
      <c r="A2431" t="str">
        <f>HYPERLINK("https://webapp.icbf.com/v2/app/bull-search/view/375689755","MJZ")</f>
        <v>MJZ</v>
      </c>
      <c r="B2431" t="s">
        <v>4282</v>
      </c>
      <c r="C2431" t="s">
        <v>4283</v>
      </c>
      <c r="D2431" s="1">
        <v>38250</v>
      </c>
      <c r="E2431" t="s">
        <v>92</v>
      </c>
      <c r="F2431">
        <v>91</v>
      </c>
      <c r="G2431" t="s">
        <v>93</v>
      </c>
      <c r="H2431">
        <v>39.75</v>
      </c>
      <c r="I2431">
        <v>84</v>
      </c>
      <c r="J2431">
        <v>52.96</v>
      </c>
      <c r="K2431">
        <v>95</v>
      </c>
      <c r="L2431">
        <v>-1.38</v>
      </c>
      <c r="M2431">
        <v>77</v>
      </c>
      <c r="N2431">
        <v>-14.44</v>
      </c>
      <c r="O2431">
        <v>80</v>
      </c>
      <c r="P2431">
        <v>2.27</v>
      </c>
      <c r="Q2431">
        <v>85</v>
      </c>
      <c r="R2431">
        <v>-2.75</v>
      </c>
      <c r="S2431">
        <v>79</v>
      </c>
      <c r="T2431">
        <v>15.82</v>
      </c>
      <c r="U2431">
        <v>79</v>
      </c>
      <c r="V2431">
        <v>-12.73</v>
      </c>
      <c r="W2431">
        <v>76</v>
      </c>
      <c r="X2431" t="s">
        <v>94</v>
      </c>
      <c r="Y2431" t="s">
        <v>1164</v>
      </c>
      <c r="Z2431" t="s">
        <v>96</v>
      </c>
      <c r="AA2431" t="s">
        <v>771</v>
      </c>
      <c r="AB2431" t="s">
        <v>4284</v>
      </c>
      <c r="AC2431">
        <v>40</v>
      </c>
      <c r="AD2431">
        <v>34</v>
      </c>
      <c r="AE2431">
        <v>95</v>
      </c>
      <c r="AF2431">
        <v>-3.14</v>
      </c>
      <c r="AG2431">
        <v>7.32</v>
      </c>
      <c r="AH2431">
        <v>6.37</v>
      </c>
      <c r="AI2431">
        <v>0.13</v>
      </c>
      <c r="AJ2431">
        <v>0.11</v>
      </c>
      <c r="AK2431">
        <v>77</v>
      </c>
      <c r="AL2431">
        <v>39</v>
      </c>
      <c r="AM2431">
        <v>33</v>
      </c>
      <c r="AN2431">
        <v>0.11</v>
      </c>
      <c r="AO2431">
        <v>0</v>
      </c>
      <c r="AP2431">
        <v>91</v>
      </c>
      <c r="AQ2431">
        <v>0</v>
      </c>
      <c r="AR2431">
        <v>11.52</v>
      </c>
      <c r="AS2431">
        <v>65</v>
      </c>
      <c r="AT2431">
        <v>4.62</v>
      </c>
      <c r="AU2431">
        <v>83</v>
      </c>
      <c r="AV2431">
        <v>-1.24</v>
      </c>
      <c r="AW2431">
        <v>91</v>
      </c>
      <c r="AX2431">
        <v>-0.21</v>
      </c>
      <c r="AY2431">
        <v>72</v>
      </c>
      <c r="AZ2431">
        <v>5.21</v>
      </c>
      <c r="BA2431">
        <v>59</v>
      </c>
      <c r="BB2431">
        <v>4.68</v>
      </c>
      <c r="BC2431">
        <v>62</v>
      </c>
      <c r="BD2431">
        <v>-0.01</v>
      </c>
      <c r="BE2431">
        <v>0</v>
      </c>
      <c r="BF2431">
        <v>0.08</v>
      </c>
      <c r="BG2431">
        <v>85</v>
      </c>
      <c r="BH2431">
        <v>-0.22</v>
      </c>
      <c r="BI2431">
        <v>15.61</v>
      </c>
      <c r="BJ2431">
        <v>21</v>
      </c>
      <c r="BK2431">
        <v>15</v>
      </c>
      <c r="BL2431">
        <v>-1.1599999999999999</v>
      </c>
      <c r="BM2431">
        <v>1.17</v>
      </c>
      <c r="BN2431">
        <v>0.72</v>
      </c>
      <c r="BO2431">
        <v>-0.16</v>
      </c>
      <c r="BP2431">
        <v>1.34</v>
      </c>
      <c r="BQ2431">
        <v>-0.74</v>
      </c>
      <c r="BR2431">
        <v>-0.25</v>
      </c>
      <c r="BS2431">
        <v>1.03</v>
      </c>
      <c r="BT2431">
        <v>0.57999999999999996</v>
      </c>
      <c r="BU2431">
        <v>-1.98</v>
      </c>
      <c r="BV2431">
        <v>-1.9</v>
      </c>
      <c r="BW2431">
        <v>-1.23</v>
      </c>
      <c r="BX2431">
        <v>-3.44</v>
      </c>
      <c r="BY2431">
        <v>-0.55000000000000004</v>
      </c>
      <c r="BZ2431">
        <v>1.05</v>
      </c>
      <c r="CA2431">
        <v>-0.66</v>
      </c>
      <c r="CB2431">
        <v>-1.18</v>
      </c>
      <c r="CC2431">
        <v>0.99</v>
      </c>
      <c r="CD2431">
        <v>0.48</v>
      </c>
      <c r="CE2431">
        <v>0.03</v>
      </c>
      <c r="CF2431">
        <v>-0.28000000000000003</v>
      </c>
      <c r="CG2431">
        <v>0</v>
      </c>
      <c r="CH2431">
        <v>-0.32</v>
      </c>
      <c r="CI2431">
        <v>0</v>
      </c>
      <c r="CJ2431">
        <v>2.4</v>
      </c>
      <c r="CK2431">
        <v>86</v>
      </c>
      <c r="CL2431">
        <v>-0.28999999999999998</v>
      </c>
      <c r="CM2431">
        <v>84</v>
      </c>
      <c r="CN2431">
        <v>-0.26</v>
      </c>
      <c r="CO2431">
        <v>82</v>
      </c>
      <c r="CP2431">
        <v>-7.3</v>
      </c>
      <c r="CQ2431">
        <v>82</v>
      </c>
      <c r="CR2431">
        <v>0</v>
      </c>
      <c r="CS2431">
        <v>0</v>
      </c>
      <c r="CT2431">
        <v>-7.6</v>
      </c>
      <c r="CU2431">
        <v>79</v>
      </c>
      <c r="CV2431">
        <v>0.1</v>
      </c>
      <c r="CW2431">
        <v>44</v>
      </c>
      <c r="CX2431" t="s">
        <v>1252</v>
      </c>
    </row>
    <row r="2432" spans="1:102" x14ac:dyDescent="0.3">
      <c r="A2432" t="str">
        <f>HYPERLINK("https://webapp.icbf.com/v2/app/bull-search/view/1125373329","S2118")</f>
        <v>S2118</v>
      </c>
      <c r="B2432" t="s">
        <v>13251</v>
      </c>
      <c r="C2432" t="s">
        <v>13252</v>
      </c>
      <c r="D2432" s="1">
        <v>40792</v>
      </c>
      <c r="E2432" t="s">
        <v>92</v>
      </c>
      <c r="F2432">
        <v>100</v>
      </c>
      <c r="G2432" t="s">
        <v>109</v>
      </c>
      <c r="H2432">
        <v>39.74</v>
      </c>
      <c r="I2432">
        <v>62</v>
      </c>
      <c r="J2432">
        <v>43.41</v>
      </c>
      <c r="K2432">
        <v>78</v>
      </c>
      <c r="L2432">
        <v>-43.97</v>
      </c>
      <c r="M2432">
        <v>72</v>
      </c>
      <c r="N2432">
        <v>37.450000000000003</v>
      </c>
      <c r="O2432">
        <v>50</v>
      </c>
      <c r="P2432">
        <v>7.86</v>
      </c>
      <c r="Q2432">
        <v>34</v>
      </c>
      <c r="R2432">
        <v>2.75</v>
      </c>
      <c r="S2432">
        <v>57</v>
      </c>
      <c r="T2432">
        <v>-8.15</v>
      </c>
      <c r="U2432">
        <v>23</v>
      </c>
      <c r="V2432">
        <v>0.39</v>
      </c>
      <c r="W2432">
        <v>14</v>
      </c>
      <c r="X2432" t="s">
        <v>234</v>
      </c>
      <c r="Y2432" t="s">
        <v>367</v>
      </c>
      <c r="Z2432" t="s">
        <v>96</v>
      </c>
      <c r="AA2432" t="s">
        <v>353</v>
      </c>
      <c r="AB2432" t="s">
        <v>13253</v>
      </c>
      <c r="AC2432">
        <v>0</v>
      </c>
      <c r="AD2432">
        <v>0</v>
      </c>
      <c r="AE2432">
        <v>78</v>
      </c>
      <c r="AF2432">
        <v>626.79999999999995</v>
      </c>
      <c r="AG2432">
        <v>10.48</v>
      </c>
      <c r="AH2432">
        <v>13.27</v>
      </c>
      <c r="AI2432">
        <v>-0.21</v>
      </c>
      <c r="AJ2432">
        <v>-0.12</v>
      </c>
      <c r="AK2432">
        <v>72</v>
      </c>
      <c r="AL2432">
        <v>0</v>
      </c>
      <c r="AM2432">
        <v>0</v>
      </c>
      <c r="AN2432">
        <v>2.92</v>
      </c>
      <c r="AO2432">
        <v>-0.57999999999999996</v>
      </c>
      <c r="AP2432">
        <v>15</v>
      </c>
      <c r="AQ2432">
        <v>0</v>
      </c>
      <c r="AR2432">
        <v>7.43</v>
      </c>
      <c r="AS2432">
        <v>43</v>
      </c>
      <c r="AT2432">
        <v>3.51</v>
      </c>
      <c r="AU2432">
        <v>77</v>
      </c>
      <c r="AV2432">
        <v>-4.5999999999999996</v>
      </c>
      <c r="AW2432">
        <v>55</v>
      </c>
      <c r="AX2432">
        <v>-0.53</v>
      </c>
      <c r="AY2432">
        <v>31</v>
      </c>
      <c r="AZ2432">
        <v>5.84</v>
      </c>
      <c r="BA2432">
        <v>22</v>
      </c>
      <c r="BB2432">
        <v>4.6399999999999997</v>
      </c>
      <c r="BC2432">
        <v>14</v>
      </c>
      <c r="BD2432">
        <v>-0.02</v>
      </c>
      <c r="BE2432">
        <v>0</v>
      </c>
      <c r="BF2432">
        <v>-0.03</v>
      </c>
      <c r="BG2432">
        <v>86</v>
      </c>
      <c r="BH2432">
        <v>-0.05</v>
      </c>
      <c r="BI2432">
        <v>-7.05</v>
      </c>
      <c r="BJ2432">
        <v>2</v>
      </c>
      <c r="BK2432">
        <v>2</v>
      </c>
      <c r="BL2432">
        <v>2.48</v>
      </c>
      <c r="BM2432">
        <v>-1.24</v>
      </c>
      <c r="BN2432">
        <v>0.45</v>
      </c>
      <c r="BO2432">
        <v>1.81</v>
      </c>
      <c r="BP2432">
        <v>0.78</v>
      </c>
      <c r="BQ2432">
        <v>2.5499999999999998</v>
      </c>
      <c r="BR2432">
        <v>-1.59</v>
      </c>
      <c r="BS2432">
        <v>0.48</v>
      </c>
      <c r="BT2432">
        <v>1.8</v>
      </c>
      <c r="BU2432">
        <v>2.71</v>
      </c>
      <c r="BV2432">
        <v>3.26</v>
      </c>
      <c r="BW2432">
        <v>2.83</v>
      </c>
      <c r="BX2432">
        <v>2.31</v>
      </c>
      <c r="BY2432">
        <v>2.76</v>
      </c>
      <c r="BZ2432">
        <v>-0.05</v>
      </c>
      <c r="CA2432">
        <v>2.82</v>
      </c>
      <c r="CB2432">
        <v>2.89</v>
      </c>
      <c r="CC2432">
        <v>1.4</v>
      </c>
      <c r="CD2432">
        <v>-1.53</v>
      </c>
      <c r="CE2432">
        <v>0.93</v>
      </c>
      <c r="CF2432">
        <v>0.96</v>
      </c>
      <c r="CG2432">
        <v>0</v>
      </c>
      <c r="CH2432">
        <v>1.1000000000000001</v>
      </c>
      <c r="CI2432">
        <v>0</v>
      </c>
      <c r="CJ2432">
        <v>8</v>
      </c>
      <c r="CK2432">
        <v>37</v>
      </c>
      <c r="CL2432">
        <v>-1.04</v>
      </c>
      <c r="CM2432">
        <v>32</v>
      </c>
      <c r="CN2432">
        <v>-0.53</v>
      </c>
      <c r="CO2432">
        <v>30</v>
      </c>
      <c r="CP2432">
        <v>9</v>
      </c>
      <c r="CQ2432">
        <v>28</v>
      </c>
      <c r="CR2432">
        <v>0</v>
      </c>
      <c r="CS2432">
        <v>0</v>
      </c>
      <c r="CT2432">
        <v>24.8</v>
      </c>
      <c r="CU2432">
        <v>23</v>
      </c>
      <c r="CV2432">
        <v>0.49</v>
      </c>
      <c r="CW2432">
        <v>11</v>
      </c>
      <c r="CX2432" t="s">
        <v>9253</v>
      </c>
    </row>
    <row r="2433" spans="1:102" x14ac:dyDescent="0.3">
      <c r="A2433" t="str">
        <f>HYPERLINK("https://webapp.icbf.com/v2/app/bull-search/view/458685485","JZB")</f>
        <v>JZB</v>
      </c>
      <c r="B2433" t="s">
        <v>12245</v>
      </c>
      <c r="C2433" t="s">
        <v>7577</v>
      </c>
      <c r="D2433" s="1">
        <v>35438</v>
      </c>
      <c r="E2433" t="s">
        <v>895</v>
      </c>
      <c r="F2433">
        <v>0</v>
      </c>
      <c r="G2433" t="s">
        <v>93</v>
      </c>
      <c r="H2433">
        <v>39.700000000000003</v>
      </c>
      <c r="I2433">
        <v>64</v>
      </c>
      <c r="J2433">
        <v>2.46</v>
      </c>
      <c r="K2433">
        <v>84</v>
      </c>
      <c r="L2433">
        <v>21.89</v>
      </c>
      <c r="M2433">
        <v>43</v>
      </c>
      <c r="N2433">
        <v>-11.23</v>
      </c>
      <c r="O2433">
        <v>65</v>
      </c>
      <c r="P2433">
        <v>9.8800000000000008</v>
      </c>
      <c r="Q2433">
        <v>83</v>
      </c>
      <c r="R2433">
        <v>13.51</v>
      </c>
      <c r="S2433">
        <v>48</v>
      </c>
      <c r="T2433">
        <v>14.34</v>
      </c>
      <c r="U2433">
        <v>73</v>
      </c>
      <c r="V2433">
        <v>-11.15</v>
      </c>
      <c r="W2433">
        <v>38</v>
      </c>
      <c r="X2433" t="s">
        <v>234</v>
      </c>
      <c r="Y2433" t="s">
        <v>95</v>
      </c>
      <c r="Z2433">
        <v>0</v>
      </c>
      <c r="AA2433" t="s">
        <v>8975</v>
      </c>
      <c r="AB2433" t="s">
        <v>12246</v>
      </c>
      <c r="AC2433">
        <v>27</v>
      </c>
      <c r="AD2433">
        <v>14</v>
      </c>
      <c r="AE2433">
        <v>84</v>
      </c>
      <c r="AF2433">
        <v>-181.04</v>
      </c>
      <c r="AG2433">
        <v>-0.09</v>
      </c>
      <c r="AH2433">
        <v>-2.3199999999999998</v>
      </c>
      <c r="AI2433">
        <v>0.12</v>
      </c>
      <c r="AJ2433">
        <v>7.0000000000000007E-2</v>
      </c>
      <c r="AK2433">
        <v>43</v>
      </c>
      <c r="AL2433">
        <v>34</v>
      </c>
      <c r="AM2433">
        <v>17</v>
      </c>
      <c r="AN2433">
        <v>-0.85</v>
      </c>
      <c r="AO2433">
        <v>0.9</v>
      </c>
      <c r="AP2433">
        <v>45</v>
      </c>
      <c r="AQ2433">
        <v>1</v>
      </c>
      <c r="AR2433">
        <v>7.98</v>
      </c>
      <c r="AS2433">
        <v>46</v>
      </c>
      <c r="AT2433">
        <v>3.39</v>
      </c>
      <c r="AU2433">
        <v>69</v>
      </c>
      <c r="AV2433">
        <v>1.72</v>
      </c>
      <c r="AW2433">
        <v>76</v>
      </c>
      <c r="AX2433">
        <v>-0.5</v>
      </c>
      <c r="AY2433">
        <v>65</v>
      </c>
      <c r="AZ2433">
        <v>5.56</v>
      </c>
      <c r="BA2433">
        <v>36</v>
      </c>
      <c r="BB2433">
        <v>4.29</v>
      </c>
      <c r="BC2433">
        <v>42</v>
      </c>
      <c r="BD2433">
        <v>-0.01</v>
      </c>
      <c r="BE2433">
        <v>-0.06</v>
      </c>
      <c r="BF2433">
        <v>-0.18</v>
      </c>
      <c r="BG2433">
        <v>59</v>
      </c>
      <c r="BH2433">
        <v>-0.32</v>
      </c>
      <c r="BI2433">
        <v>-1.05</v>
      </c>
      <c r="BJ2433">
        <v>0</v>
      </c>
      <c r="BK2433">
        <v>0</v>
      </c>
      <c r="BL2433">
        <v>-0.84</v>
      </c>
      <c r="BM2433">
        <v>0.57999999999999996</v>
      </c>
      <c r="BN2433">
        <v>-0.72</v>
      </c>
      <c r="BO2433">
        <v>-0.91</v>
      </c>
      <c r="BP2433">
        <v>0.43</v>
      </c>
      <c r="BQ2433">
        <v>-0.2</v>
      </c>
      <c r="BR2433">
        <v>0.36</v>
      </c>
      <c r="BS2433">
        <v>-0.32</v>
      </c>
      <c r="BT2433">
        <v>-0.24</v>
      </c>
      <c r="BU2433">
        <v>-0.63</v>
      </c>
      <c r="BV2433">
        <v>-1.1599999999999999</v>
      </c>
      <c r="BW2433">
        <v>-1</v>
      </c>
      <c r="BX2433">
        <v>-0.42</v>
      </c>
      <c r="BY2433">
        <v>-0.65</v>
      </c>
      <c r="BZ2433">
        <v>-0.19</v>
      </c>
      <c r="CA2433">
        <v>-0.94</v>
      </c>
      <c r="CB2433">
        <v>-0.97</v>
      </c>
      <c r="CC2433">
        <v>-0.53</v>
      </c>
      <c r="CD2433">
        <v>0.75</v>
      </c>
      <c r="CE2433">
        <v>-0.95</v>
      </c>
      <c r="CF2433">
        <v>-0.94</v>
      </c>
      <c r="CG2433">
        <v>0</v>
      </c>
      <c r="CH2433">
        <v>-0.93</v>
      </c>
      <c r="CI2433">
        <v>0</v>
      </c>
      <c r="CJ2433">
        <v>6.4</v>
      </c>
      <c r="CK2433">
        <v>85</v>
      </c>
      <c r="CL2433">
        <v>0.04</v>
      </c>
      <c r="CM2433">
        <v>83</v>
      </c>
      <c r="CN2433">
        <v>-0.03</v>
      </c>
      <c r="CO2433">
        <v>80</v>
      </c>
      <c r="CP2433">
        <v>1.9</v>
      </c>
      <c r="CQ2433">
        <v>76</v>
      </c>
      <c r="CR2433">
        <v>0</v>
      </c>
      <c r="CS2433">
        <v>0</v>
      </c>
      <c r="CT2433">
        <v>-5.6</v>
      </c>
      <c r="CU2433">
        <v>73</v>
      </c>
      <c r="CV2433">
        <v>0.06</v>
      </c>
      <c r="CW2433">
        <v>42</v>
      </c>
      <c r="CX2433" t="s">
        <v>12247</v>
      </c>
    </row>
    <row r="2434" spans="1:102" x14ac:dyDescent="0.3">
      <c r="A2434" t="str">
        <f>HYPERLINK("https://webapp.icbf.com/v2/app/bull-search/view/1366179675","FR4180")</f>
        <v>FR4180</v>
      </c>
      <c r="B2434" t="s">
        <v>8401</v>
      </c>
      <c r="C2434" t="s">
        <v>8402</v>
      </c>
      <c r="D2434" s="1">
        <v>42433</v>
      </c>
      <c r="E2434" t="s">
        <v>92</v>
      </c>
      <c r="F2434">
        <v>91</v>
      </c>
      <c r="G2434" t="s">
        <v>435</v>
      </c>
      <c r="H2434">
        <v>39.549999999999997</v>
      </c>
      <c r="I2434">
        <v>63</v>
      </c>
      <c r="J2434">
        <v>-12.79</v>
      </c>
      <c r="K2434">
        <v>81</v>
      </c>
      <c r="L2434">
        <v>42.59</v>
      </c>
      <c r="M2434">
        <v>54</v>
      </c>
      <c r="N2434">
        <v>24.21</v>
      </c>
      <c r="O2434">
        <v>54</v>
      </c>
      <c r="P2434">
        <v>-27.96</v>
      </c>
      <c r="Q2434">
        <v>58</v>
      </c>
      <c r="R2434">
        <v>-3.54</v>
      </c>
      <c r="S2434">
        <v>54</v>
      </c>
      <c r="T2434">
        <v>17.82</v>
      </c>
      <c r="U2434">
        <v>47</v>
      </c>
      <c r="V2434">
        <v>-0.78</v>
      </c>
      <c r="W2434">
        <v>50</v>
      </c>
      <c r="X2434" t="s">
        <v>94</v>
      </c>
      <c r="Y2434" t="s">
        <v>2255</v>
      </c>
      <c r="Z2434" t="s">
        <v>330</v>
      </c>
      <c r="AA2434" t="s">
        <v>5996</v>
      </c>
      <c r="AB2434" t="s">
        <v>8403</v>
      </c>
      <c r="AC2434">
        <v>0</v>
      </c>
      <c r="AD2434">
        <v>0</v>
      </c>
      <c r="AE2434">
        <v>81</v>
      </c>
      <c r="AF2434">
        <v>118.91</v>
      </c>
      <c r="AG2434">
        <v>-7.28</v>
      </c>
      <c r="AH2434">
        <v>2.2200000000000002</v>
      </c>
      <c r="AI2434">
        <v>-0.21</v>
      </c>
      <c r="AJ2434">
        <v>-0.03</v>
      </c>
      <c r="AK2434">
        <v>54</v>
      </c>
      <c r="AL2434">
        <v>0</v>
      </c>
      <c r="AM2434">
        <v>0</v>
      </c>
      <c r="AN2434">
        <v>-2.81</v>
      </c>
      <c r="AO2434">
        <v>0.57999999999999996</v>
      </c>
      <c r="AP2434">
        <v>3</v>
      </c>
      <c r="AQ2434">
        <v>0</v>
      </c>
      <c r="AR2434">
        <v>6.91</v>
      </c>
      <c r="AS2434">
        <v>51</v>
      </c>
      <c r="AT2434">
        <v>2.0499999999999998</v>
      </c>
      <c r="AU2434">
        <v>55</v>
      </c>
      <c r="AV2434">
        <v>-1.62</v>
      </c>
      <c r="AW2434">
        <v>63</v>
      </c>
      <c r="AX2434">
        <v>-0.27</v>
      </c>
      <c r="AY2434">
        <v>47</v>
      </c>
      <c r="AZ2434">
        <v>6.61</v>
      </c>
      <c r="BA2434">
        <v>38</v>
      </c>
      <c r="BB2434">
        <v>4.8600000000000003</v>
      </c>
      <c r="BC2434">
        <v>38</v>
      </c>
      <c r="BD2434">
        <v>-0.01</v>
      </c>
      <c r="BE2434">
        <v>0.02</v>
      </c>
      <c r="BF2434">
        <v>0.06</v>
      </c>
      <c r="BG2434">
        <v>62</v>
      </c>
      <c r="BH2434">
        <v>0.04</v>
      </c>
      <c r="BI2434">
        <v>7.15</v>
      </c>
      <c r="BJ2434">
        <v>0</v>
      </c>
      <c r="BK2434">
        <v>0</v>
      </c>
      <c r="BL2434">
        <v>-1</v>
      </c>
      <c r="BM2434">
        <v>0.88</v>
      </c>
      <c r="BN2434">
        <v>-0.52</v>
      </c>
      <c r="BO2434">
        <v>-0.94</v>
      </c>
      <c r="BP2434">
        <v>0.91</v>
      </c>
      <c r="BQ2434">
        <v>-0.5</v>
      </c>
      <c r="BR2434">
        <v>1.34</v>
      </c>
      <c r="BS2434">
        <v>-0.46</v>
      </c>
      <c r="BT2434">
        <v>-1.3</v>
      </c>
      <c r="BU2434">
        <v>-0.99</v>
      </c>
      <c r="BV2434">
        <v>-0.51</v>
      </c>
      <c r="BW2434">
        <v>-1.1499999999999999</v>
      </c>
      <c r="BX2434">
        <v>-1.25</v>
      </c>
      <c r="BY2434">
        <v>-0.45</v>
      </c>
      <c r="BZ2434">
        <v>1.1599999999999999</v>
      </c>
      <c r="CA2434">
        <v>-1.22</v>
      </c>
      <c r="CB2434">
        <v>-0.83</v>
      </c>
      <c r="CC2434">
        <v>-1.24</v>
      </c>
      <c r="CD2434">
        <v>0.9</v>
      </c>
      <c r="CE2434">
        <v>-0.3</v>
      </c>
      <c r="CF2434">
        <v>-0.94</v>
      </c>
      <c r="CG2434">
        <v>0</v>
      </c>
      <c r="CH2434">
        <v>-0.39</v>
      </c>
      <c r="CI2434">
        <v>0</v>
      </c>
      <c r="CJ2434">
        <v>-15.1</v>
      </c>
      <c r="CK2434">
        <v>60</v>
      </c>
      <c r="CL2434">
        <v>-0.62</v>
      </c>
      <c r="CM2434">
        <v>57</v>
      </c>
      <c r="CN2434">
        <v>-0.12</v>
      </c>
      <c r="CO2434">
        <v>56</v>
      </c>
      <c r="CP2434">
        <v>-14.2</v>
      </c>
      <c r="CQ2434">
        <v>49</v>
      </c>
      <c r="CR2434">
        <v>0</v>
      </c>
      <c r="CS2434">
        <v>0</v>
      </c>
      <c r="CT2434">
        <v>-10.3</v>
      </c>
      <c r="CU2434">
        <v>47</v>
      </c>
      <c r="CV2434">
        <v>-0.08</v>
      </c>
      <c r="CW2434">
        <v>38</v>
      </c>
      <c r="CX2434">
        <v>0</v>
      </c>
    </row>
    <row r="2435" spans="1:102" x14ac:dyDescent="0.3">
      <c r="A2435" t="str">
        <f>HYPERLINK("https://webapp.icbf.com/v2/app/bull-search/view/444534609","X101")</f>
        <v>X101</v>
      </c>
      <c r="B2435" t="s">
        <v>10021</v>
      </c>
      <c r="C2435" t="s">
        <v>10022</v>
      </c>
      <c r="D2435" s="1">
        <v>35444</v>
      </c>
      <c r="E2435" t="s">
        <v>92</v>
      </c>
      <c r="F2435">
        <v>100</v>
      </c>
      <c r="G2435" t="s">
        <v>93</v>
      </c>
      <c r="H2435">
        <v>39.479999999999997</v>
      </c>
      <c r="I2435">
        <v>86</v>
      </c>
      <c r="J2435">
        <v>31.73</v>
      </c>
      <c r="K2435">
        <v>94</v>
      </c>
      <c r="L2435">
        <v>32.44</v>
      </c>
      <c r="M2435">
        <v>84</v>
      </c>
      <c r="N2435">
        <v>-8.0399999999999991</v>
      </c>
      <c r="O2435">
        <v>76</v>
      </c>
      <c r="P2435">
        <v>-8.51</v>
      </c>
      <c r="Q2435">
        <v>80</v>
      </c>
      <c r="R2435">
        <v>-1.88</v>
      </c>
      <c r="S2435">
        <v>79</v>
      </c>
      <c r="T2435">
        <v>7.39</v>
      </c>
      <c r="U2435">
        <v>83</v>
      </c>
      <c r="V2435">
        <v>-13.65</v>
      </c>
      <c r="W2435">
        <v>75</v>
      </c>
      <c r="X2435" t="s">
        <v>234</v>
      </c>
      <c r="Y2435" t="s">
        <v>221</v>
      </c>
      <c r="Z2435" t="s">
        <v>96</v>
      </c>
      <c r="AA2435" t="s">
        <v>1109</v>
      </c>
      <c r="AB2435" t="s">
        <v>10023</v>
      </c>
      <c r="AC2435">
        <v>42</v>
      </c>
      <c r="AD2435">
        <v>19</v>
      </c>
      <c r="AE2435">
        <v>94</v>
      </c>
      <c r="AF2435">
        <v>153.30000000000001</v>
      </c>
      <c r="AG2435">
        <v>6.17</v>
      </c>
      <c r="AH2435">
        <v>5.56</v>
      </c>
      <c r="AI2435">
        <v>0</v>
      </c>
      <c r="AJ2435">
        <v>0.01</v>
      </c>
      <c r="AK2435">
        <v>84</v>
      </c>
      <c r="AL2435">
        <v>43</v>
      </c>
      <c r="AM2435">
        <v>24</v>
      </c>
      <c r="AN2435">
        <v>-3.12</v>
      </c>
      <c r="AO2435">
        <v>-0.55000000000000004</v>
      </c>
      <c r="AP2435">
        <v>50</v>
      </c>
      <c r="AQ2435">
        <v>0</v>
      </c>
      <c r="AR2435">
        <v>10.47</v>
      </c>
      <c r="AS2435">
        <v>62</v>
      </c>
      <c r="AT2435">
        <v>3.74</v>
      </c>
      <c r="AU2435">
        <v>80</v>
      </c>
      <c r="AV2435">
        <v>-1.36</v>
      </c>
      <c r="AW2435">
        <v>84</v>
      </c>
      <c r="AX2435">
        <v>-0.09</v>
      </c>
      <c r="AY2435">
        <v>70</v>
      </c>
      <c r="AZ2435">
        <v>6.8</v>
      </c>
      <c r="BA2435">
        <v>58</v>
      </c>
      <c r="BB2435">
        <v>5.79</v>
      </c>
      <c r="BC2435">
        <v>61</v>
      </c>
      <c r="BD2435">
        <v>0.02</v>
      </c>
      <c r="BE2435">
        <v>0</v>
      </c>
      <c r="BF2435">
        <v>0.01</v>
      </c>
      <c r="BG2435">
        <v>89</v>
      </c>
      <c r="BH2435">
        <v>-0.41</v>
      </c>
      <c r="BI2435">
        <v>-3.39</v>
      </c>
      <c r="BJ2435">
        <v>4</v>
      </c>
      <c r="BK2435">
        <v>3</v>
      </c>
      <c r="BL2435">
        <v>0.64</v>
      </c>
      <c r="BM2435">
        <v>1.79</v>
      </c>
      <c r="BN2435">
        <v>-0.22</v>
      </c>
      <c r="BO2435">
        <v>-1.03</v>
      </c>
      <c r="BP2435">
        <v>0.96</v>
      </c>
      <c r="BQ2435">
        <v>1.41</v>
      </c>
      <c r="BR2435">
        <v>-2.48</v>
      </c>
      <c r="BS2435">
        <v>1.88</v>
      </c>
      <c r="BT2435">
        <v>3.46</v>
      </c>
      <c r="BU2435">
        <v>-0.85</v>
      </c>
      <c r="BV2435">
        <v>0.2</v>
      </c>
      <c r="BW2435">
        <v>0.32</v>
      </c>
      <c r="BX2435">
        <v>0.56000000000000005</v>
      </c>
      <c r="BY2435">
        <v>-0.94</v>
      </c>
      <c r="BZ2435">
        <v>0.57999999999999996</v>
      </c>
      <c r="CA2435">
        <v>0.05</v>
      </c>
      <c r="CB2435">
        <v>-0.47</v>
      </c>
      <c r="CC2435">
        <v>2.31</v>
      </c>
      <c r="CD2435">
        <v>1.67</v>
      </c>
      <c r="CE2435">
        <v>-0.82</v>
      </c>
      <c r="CF2435">
        <v>0.28999999999999998</v>
      </c>
      <c r="CG2435">
        <v>0</v>
      </c>
      <c r="CH2435">
        <v>-1.61</v>
      </c>
      <c r="CI2435">
        <v>0</v>
      </c>
      <c r="CJ2435">
        <v>-1.2</v>
      </c>
      <c r="CK2435">
        <v>81</v>
      </c>
      <c r="CL2435">
        <v>-0.72</v>
      </c>
      <c r="CM2435">
        <v>78</v>
      </c>
      <c r="CN2435">
        <v>-7.0000000000000007E-2</v>
      </c>
      <c r="CO2435">
        <v>75</v>
      </c>
      <c r="CP2435">
        <v>-1.6</v>
      </c>
      <c r="CQ2435">
        <v>82</v>
      </c>
      <c r="CR2435">
        <v>0</v>
      </c>
      <c r="CS2435">
        <v>0</v>
      </c>
      <c r="CT2435">
        <v>3.8</v>
      </c>
      <c r="CU2435">
        <v>83</v>
      </c>
      <c r="CV2435">
        <v>0.1</v>
      </c>
      <c r="CW2435">
        <v>41</v>
      </c>
      <c r="CX2435" t="s">
        <v>10024</v>
      </c>
    </row>
    <row r="2436" spans="1:102" x14ac:dyDescent="0.3">
      <c r="A2436" t="str">
        <f>HYPERLINK("https://webapp.icbf.com/v2/app/bull-search/view/660310999","GJK")</f>
        <v>GJK</v>
      </c>
      <c r="B2436" t="s">
        <v>307</v>
      </c>
      <c r="C2436" t="s">
        <v>308</v>
      </c>
      <c r="D2436" s="1">
        <v>38662</v>
      </c>
      <c r="E2436" t="s">
        <v>92</v>
      </c>
      <c r="F2436">
        <v>100</v>
      </c>
      <c r="G2436" t="s">
        <v>109</v>
      </c>
      <c r="H2436">
        <v>39.409999999999997</v>
      </c>
      <c r="I2436">
        <v>83</v>
      </c>
      <c r="J2436">
        <v>25.11</v>
      </c>
      <c r="K2436">
        <v>92</v>
      </c>
      <c r="L2436">
        <v>-21.69</v>
      </c>
      <c r="M2436">
        <v>86</v>
      </c>
      <c r="N2436">
        <v>33.479999999999997</v>
      </c>
      <c r="O2436">
        <v>74</v>
      </c>
      <c r="P2436">
        <v>-11.64</v>
      </c>
      <c r="Q2436">
        <v>79</v>
      </c>
      <c r="R2436">
        <v>11.13</v>
      </c>
      <c r="S2436">
        <v>69</v>
      </c>
      <c r="T2436">
        <v>2.73</v>
      </c>
      <c r="U2436">
        <v>66</v>
      </c>
      <c r="V2436">
        <v>0.28999999999999998</v>
      </c>
      <c r="W2436">
        <v>50</v>
      </c>
      <c r="X2436" t="s">
        <v>94</v>
      </c>
      <c r="Y2436" t="s">
        <v>282</v>
      </c>
      <c r="Z2436" t="s">
        <v>96</v>
      </c>
      <c r="AA2436" t="s">
        <v>309</v>
      </c>
      <c r="AB2436" t="s">
        <v>310</v>
      </c>
      <c r="AC2436">
        <v>37</v>
      </c>
      <c r="AD2436">
        <v>15</v>
      </c>
      <c r="AE2436">
        <v>92</v>
      </c>
      <c r="AF2436">
        <v>399.01</v>
      </c>
      <c r="AG2436">
        <v>7.2</v>
      </c>
      <c r="AH2436">
        <v>7.83</v>
      </c>
      <c r="AI2436">
        <v>-0.13</v>
      </c>
      <c r="AJ2436">
        <v>-0.09</v>
      </c>
      <c r="AK2436">
        <v>86</v>
      </c>
      <c r="AL2436">
        <v>35</v>
      </c>
      <c r="AM2436">
        <v>14</v>
      </c>
      <c r="AN2436">
        <v>1.95</v>
      </c>
      <c r="AO2436">
        <v>0.23</v>
      </c>
      <c r="AP2436">
        <v>49</v>
      </c>
      <c r="AQ2436">
        <v>0</v>
      </c>
      <c r="AR2436">
        <v>5.82</v>
      </c>
      <c r="AS2436">
        <v>67</v>
      </c>
      <c r="AT2436">
        <v>2.79</v>
      </c>
      <c r="AU2436">
        <v>90</v>
      </c>
      <c r="AV2436">
        <v>-3.09</v>
      </c>
      <c r="AW2436">
        <v>82</v>
      </c>
      <c r="AX2436">
        <v>-0.84</v>
      </c>
      <c r="AY2436">
        <v>67</v>
      </c>
      <c r="AZ2436">
        <v>6.43</v>
      </c>
      <c r="BA2436">
        <v>42</v>
      </c>
      <c r="BB2436">
        <v>5.07</v>
      </c>
      <c r="BC2436">
        <v>40</v>
      </c>
      <c r="BD2436">
        <v>-0.03</v>
      </c>
      <c r="BE2436">
        <v>-0.04</v>
      </c>
      <c r="BF2436">
        <v>-0.13</v>
      </c>
      <c r="BG2436">
        <v>90</v>
      </c>
      <c r="BH2436">
        <v>-0.08</v>
      </c>
      <c r="BI2436">
        <v>-10.199999999999999</v>
      </c>
      <c r="BJ2436">
        <v>22</v>
      </c>
      <c r="BK2436">
        <v>10</v>
      </c>
      <c r="BL2436">
        <v>1.0900000000000001</v>
      </c>
      <c r="BM2436">
        <v>-2.17</v>
      </c>
      <c r="BN2436">
        <v>-0.36</v>
      </c>
      <c r="BO2436">
        <v>1.17</v>
      </c>
      <c r="BP2436">
        <v>-0.18</v>
      </c>
      <c r="BQ2436">
        <v>0.21</v>
      </c>
      <c r="BR2436">
        <v>0.31</v>
      </c>
      <c r="BS2436">
        <v>2.02</v>
      </c>
      <c r="BT2436">
        <v>0.03</v>
      </c>
      <c r="BU2436">
        <v>1.8</v>
      </c>
      <c r="BV2436">
        <v>2.57</v>
      </c>
      <c r="BW2436">
        <v>2.84</v>
      </c>
      <c r="BX2436">
        <v>1.63</v>
      </c>
      <c r="BY2436">
        <v>1.39</v>
      </c>
      <c r="BZ2436">
        <v>0.01</v>
      </c>
      <c r="CA2436">
        <v>1.85</v>
      </c>
      <c r="CB2436">
        <v>1.65</v>
      </c>
      <c r="CC2436">
        <v>1.32</v>
      </c>
      <c r="CD2436">
        <v>-1.03</v>
      </c>
      <c r="CE2436">
        <v>1.31</v>
      </c>
      <c r="CF2436">
        <v>0.67</v>
      </c>
      <c r="CG2436">
        <v>0</v>
      </c>
      <c r="CH2436">
        <v>1.74</v>
      </c>
      <c r="CI2436">
        <v>0</v>
      </c>
      <c r="CJ2436">
        <v>-2.7</v>
      </c>
      <c r="CK2436">
        <v>81</v>
      </c>
      <c r="CL2436">
        <v>-1.34</v>
      </c>
      <c r="CM2436">
        <v>78</v>
      </c>
      <c r="CN2436">
        <v>-0.56000000000000005</v>
      </c>
      <c r="CO2436">
        <v>75</v>
      </c>
      <c r="CP2436">
        <v>-4.3</v>
      </c>
      <c r="CQ2436">
        <v>76</v>
      </c>
      <c r="CR2436">
        <v>0</v>
      </c>
      <c r="CS2436">
        <v>0</v>
      </c>
      <c r="CT2436">
        <v>10.1</v>
      </c>
      <c r="CU2436">
        <v>66</v>
      </c>
      <c r="CV2436">
        <v>0.42</v>
      </c>
      <c r="CW2436">
        <v>23</v>
      </c>
      <c r="CX2436" t="s">
        <v>311</v>
      </c>
    </row>
    <row r="2437" spans="1:102" x14ac:dyDescent="0.3">
      <c r="A2437" t="str">
        <f>HYPERLINK("https://webapp.icbf.com/v2/app/bull-search/view/495513275","S642")</f>
        <v>S642</v>
      </c>
      <c r="B2437" t="s">
        <v>5191</v>
      </c>
      <c r="C2437" t="s">
        <v>5192</v>
      </c>
      <c r="D2437" s="1">
        <v>37328</v>
      </c>
      <c r="E2437" t="s">
        <v>92</v>
      </c>
      <c r="F2437">
        <v>100</v>
      </c>
      <c r="G2437" t="s">
        <v>109</v>
      </c>
      <c r="H2437">
        <v>39.380000000000003</v>
      </c>
      <c r="I2437">
        <v>68</v>
      </c>
      <c r="J2437">
        <v>44.91</v>
      </c>
      <c r="K2437">
        <v>80</v>
      </c>
      <c r="L2437">
        <v>-5.54</v>
      </c>
      <c r="M2437">
        <v>77</v>
      </c>
      <c r="N2437">
        <v>10.72</v>
      </c>
      <c r="O2437">
        <v>43</v>
      </c>
      <c r="P2437">
        <v>-12.93</v>
      </c>
      <c r="Q2437">
        <v>74</v>
      </c>
      <c r="R2437">
        <v>-1.41</v>
      </c>
      <c r="S2437">
        <v>59</v>
      </c>
      <c r="T2437">
        <v>7.76</v>
      </c>
      <c r="U2437">
        <v>36</v>
      </c>
      <c r="V2437">
        <v>-4.13</v>
      </c>
      <c r="W2437">
        <v>25</v>
      </c>
      <c r="X2437" t="s">
        <v>110</v>
      </c>
      <c r="Y2437" t="s">
        <v>95</v>
      </c>
      <c r="Z2437" t="s">
        <v>96</v>
      </c>
      <c r="AA2437" t="s">
        <v>2032</v>
      </c>
      <c r="AB2437" t="s">
        <v>5193</v>
      </c>
      <c r="AC2437">
        <v>0</v>
      </c>
      <c r="AD2437">
        <v>0</v>
      </c>
      <c r="AE2437">
        <v>80</v>
      </c>
      <c r="AF2437">
        <v>235.01</v>
      </c>
      <c r="AG2437">
        <v>9.74</v>
      </c>
      <c r="AH2437">
        <v>7.79</v>
      </c>
      <c r="AI2437">
        <v>0.01</v>
      </c>
      <c r="AJ2437">
        <v>0</v>
      </c>
      <c r="AK2437">
        <v>77</v>
      </c>
      <c r="AL2437">
        <v>0</v>
      </c>
      <c r="AM2437">
        <v>0</v>
      </c>
      <c r="AN2437">
        <v>1.99</v>
      </c>
      <c r="AO2437">
        <v>1.57</v>
      </c>
      <c r="AP2437">
        <v>0</v>
      </c>
      <c r="AQ2437">
        <v>26</v>
      </c>
      <c r="AR2437">
        <v>7.29</v>
      </c>
      <c r="AS2437">
        <v>23</v>
      </c>
      <c r="AT2437">
        <v>3.32</v>
      </c>
      <c r="AU2437">
        <v>87</v>
      </c>
      <c r="AV2437">
        <v>-1.29</v>
      </c>
      <c r="AW2437">
        <v>29</v>
      </c>
      <c r="AX2437">
        <v>-0.12</v>
      </c>
      <c r="AY2437">
        <v>39</v>
      </c>
      <c r="AZ2437">
        <v>6.56</v>
      </c>
      <c r="BA2437">
        <v>22</v>
      </c>
      <c r="BB2437">
        <v>4.75</v>
      </c>
      <c r="BC2437">
        <v>23</v>
      </c>
      <c r="BD2437">
        <v>-0.01</v>
      </c>
      <c r="BE2437">
        <v>0.01</v>
      </c>
      <c r="BF2437">
        <v>0.03</v>
      </c>
      <c r="BG2437">
        <v>87</v>
      </c>
      <c r="BH2437">
        <v>-0.06</v>
      </c>
      <c r="BI2437">
        <v>6.38</v>
      </c>
      <c r="BJ2437">
        <v>0</v>
      </c>
      <c r="BK2437">
        <v>0</v>
      </c>
      <c r="BL2437">
        <v>0.41</v>
      </c>
      <c r="BM2437">
        <v>1.3</v>
      </c>
      <c r="BN2437">
        <v>1.74</v>
      </c>
      <c r="BO2437">
        <v>0.38</v>
      </c>
      <c r="BP2437">
        <v>2.41</v>
      </c>
      <c r="BQ2437">
        <v>1.55</v>
      </c>
      <c r="BR2437">
        <v>1.41</v>
      </c>
      <c r="BS2437">
        <v>-0.15</v>
      </c>
      <c r="BT2437">
        <v>-0.33</v>
      </c>
      <c r="BU2437">
        <v>-0.76</v>
      </c>
      <c r="BV2437">
        <v>-0.5</v>
      </c>
      <c r="BW2437">
        <v>0.45</v>
      </c>
      <c r="BX2437">
        <v>-1.17</v>
      </c>
      <c r="BY2437">
        <v>0.09</v>
      </c>
      <c r="BZ2437">
        <v>-2.48</v>
      </c>
      <c r="CA2437">
        <v>-0.61</v>
      </c>
      <c r="CB2437">
        <v>-0.59</v>
      </c>
      <c r="CC2437">
        <v>0</v>
      </c>
      <c r="CD2437">
        <v>0.09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-4.5999999999999996</v>
      </c>
      <c r="CK2437">
        <v>78</v>
      </c>
      <c r="CL2437">
        <v>-1.04</v>
      </c>
      <c r="CM2437">
        <v>74</v>
      </c>
      <c r="CN2437">
        <v>-0.38</v>
      </c>
      <c r="CO2437">
        <v>73</v>
      </c>
      <c r="CP2437">
        <v>-2</v>
      </c>
      <c r="CQ2437">
        <v>44</v>
      </c>
      <c r="CR2437">
        <v>0</v>
      </c>
      <c r="CS2437">
        <v>0</v>
      </c>
      <c r="CT2437">
        <v>3.3</v>
      </c>
      <c r="CU2437">
        <v>36</v>
      </c>
      <c r="CV2437">
        <v>0.28000000000000003</v>
      </c>
      <c r="CW2437">
        <v>21</v>
      </c>
      <c r="CX2437" t="s">
        <v>2594</v>
      </c>
    </row>
    <row r="2438" spans="1:102" x14ac:dyDescent="0.3">
      <c r="A2438" t="str">
        <f>HYPERLINK("https://webapp.icbf.com/v2/app/bull-search/view/948186247","JWE")</f>
        <v>JWE</v>
      </c>
      <c r="B2438" t="s">
        <v>10157</v>
      </c>
      <c r="C2438" t="s">
        <v>6058</v>
      </c>
      <c r="D2438" s="1">
        <v>37719</v>
      </c>
      <c r="E2438" t="s">
        <v>895</v>
      </c>
      <c r="F2438">
        <v>0</v>
      </c>
      <c r="G2438" t="s">
        <v>93</v>
      </c>
      <c r="H2438">
        <v>39.25</v>
      </c>
      <c r="I2438">
        <v>50</v>
      </c>
      <c r="J2438">
        <v>18.13</v>
      </c>
      <c r="K2438">
        <v>69</v>
      </c>
      <c r="L2438">
        <v>25.55</v>
      </c>
      <c r="M2438">
        <v>31</v>
      </c>
      <c r="N2438">
        <v>-31.29</v>
      </c>
      <c r="O2438">
        <v>46</v>
      </c>
      <c r="P2438">
        <v>9.4600000000000009</v>
      </c>
      <c r="Q2438">
        <v>70</v>
      </c>
      <c r="R2438">
        <v>10.8</v>
      </c>
      <c r="S2438">
        <v>28</v>
      </c>
      <c r="T2438">
        <v>14.2</v>
      </c>
      <c r="U2438">
        <v>60</v>
      </c>
      <c r="V2438">
        <v>-7.6</v>
      </c>
      <c r="W2438">
        <v>10</v>
      </c>
      <c r="X2438" t="s">
        <v>234</v>
      </c>
      <c r="Y2438" t="s">
        <v>1860</v>
      </c>
      <c r="Z2438">
        <v>0</v>
      </c>
      <c r="AA2438" t="s">
        <v>7577</v>
      </c>
      <c r="AB2438" t="s">
        <v>10158</v>
      </c>
      <c r="AC2438">
        <v>11</v>
      </c>
      <c r="AD2438">
        <v>4</v>
      </c>
      <c r="AE2438">
        <v>69</v>
      </c>
      <c r="AF2438">
        <v>-111.5</v>
      </c>
      <c r="AG2438">
        <v>5.7</v>
      </c>
      <c r="AH2438">
        <v>-0.64</v>
      </c>
      <c r="AI2438">
        <v>0.17</v>
      </c>
      <c r="AJ2438">
        <v>0.05</v>
      </c>
      <c r="AK2438">
        <v>31</v>
      </c>
      <c r="AL2438">
        <v>15</v>
      </c>
      <c r="AM2438">
        <v>7</v>
      </c>
      <c r="AN2438">
        <v>-0.4</v>
      </c>
      <c r="AO2438">
        <v>1.65</v>
      </c>
      <c r="AP2438">
        <v>46</v>
      </c>
      <c r="AQ2438">
        <v>3</v>
      </c>
      <c r="AR2438">
        <v>9.3800000000000008</v>
      </c>
      <c r="AS2438">
        <v>30</v>
      </c>
      <c r="AT2438">
        <v>4.08</v>
      </c>
      <c r="AU2438">
        <v>53</v>
      </c>
      <c r="AV2438">
        <v>2.62</v>
      </c>
      <c r="AW2438">
        <v>58</v>
      </c>
      <c r="AX2438">
        <v>0.31</v>
      </c>
      <c r="AY2438">
        <v>44</v>
      </c>
      <c r="AZ2438">
        <v>5.63</v>
      </c>
      <c r="BA2438">
        <v>19</v>
      </c>
      <c r="BB2438">
        <v>4.22</v>
      </c>
      <c r="BC2438">
        <v>17</v>
      </c>
      <c r="BD2438">
        <v>-0.02</v>
      </c>
      <c r="BE2438">
        <v>-0.05</v>
      </c>
      <c r="BF2438">
        <v>-0.12</v>
      </c>
      <c r="BG2438">
        <v>36</v>
      </c>
      <c r="BH2438">
        <v>-0.24</v>
      </c>
      <c r="BI2438">
        <v>-3.25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6</v>
      </c>
      <c r="CK2438">
        <v>73</v>
      </c>
      <c r="CL2438">
        <v>0.09</v>
      </c>
      <c r="CM2438">
        <v>68</v>
      </c>
      <c r="CN2438">
        <v>0.03</v>
      </c>
      <c r="CO2438">
        <v>65</v>
      </c>
      <c r="CP2438">
        <v>4</v>
      </c>
      <c r="CQ2438">
        <v>57</v>
      </c>
      <c r="CR2438">
        <v>0</v>
      </c>
      <c r="CS2438">
        <v>0</v>
      </c>
      <c r="CT2438">
        <v>-5.4</v>
      </c>
      <c r="CU2438">
        <v>60</v>
      </c>
      <c r="CV2438">
        <v>0.01</v>
      </c>
      <c r="CW2438">
        <v>19</v>
      </c>
      <c r="CX2438" t="s">
        <v>2945</v>
      </c>
    </row>
    <row r="2439" spans="1:102" x14ac:dyDescent="0.3">
      <c r="A2439" t="str">
        <f>HYPERLINK("https://webapp.icbf.com/v2/app/bull-search/view/1057110609","AY4429")</f>
        <v>AY4429</v>
      </c>
      <c r="B2439" t="s">
        <v>6865</v>
      </c>
      <c r="C2439" t="s">
        <v>6866</v>
      </c>
      <c r="D2439" s="1">
        <v>40483</v>
      </c>
      <c r="E2439" t="s">
        <v>1061</v>
      </c>
      <c r="F2439">
        <v>0</v>
      </c>
      <c r="G2439" t="s">
        <v>109</v>
      </c>
      <c r="H2439">
        <v>39.229999999999997</v>
      </c>
      <c r="I2439">
        <v>62</v>
      </c>
      <c r="J2439">
        <v>-10.14</v>
      </c>
      <c r="K2439">
        <v>81</v>
      </c>
      <c r="L2439">
        <v>44.48</v>
      </c>
      <c r="M2439">
        <v>65</v>
      </c>
      <c r="N2439">
        <v>-1.1599999999999999</v>
      </c>
      <c r="O2439">
        <v>55</v>
      </c>
      <c r="P2439">
        <v>-26.28</v>
      </c>
      <c r="Q2439">
        <v>34</v>
      </c>
      <c r="R2439">
        <v>9.5399999999999991</v>
      </c>
      <c r="S2439">
        <v>35</v>
      </c>
      <c r="T2439">
        <v>23.59</v>
      </c>
      <c r="U2439">
        <v>33</v>
      </c>
      <c r="V2439">
        <v>-0.8</v>
      </c>
      <c r="W2439">
        <v>32</v>
      </c>
      <c r="X2439" t="s">
        <v>94</v>
      </c>
      <c r="Y2439" t="s">
        <v>2389</v>
      </c>
      <c r="Z2439">
        <v>0</v>
      </c>
      <c r="AA2439" t="s">
        <v>6867</v>
      </c>
      <c r="AB2439" t="s">
        <v>6868</v>
      </c>
      <c r="AC2439">
        <v>0</v>
      </c>
      <c r="AD2439">
        <v>0</v>
      </c>
      <c r="AE2439">
        <v>81</v>
      </c>
      <c r="AF2439">
        <v>-190.38</v>
      </c>
      <c r="AG2439">
        <v>-1.86</v>
      </c>
      <c r="AH2439">
        <v>-3.98</v>
      </c>
      <c r="AI2439">
        <v>0.1</v>
      </c>
      <c r="AJ2439">
        <v>0.04</v>
      </c>
      <c r="AK2439">
        <v>65</v>
      </c>
      <c r="AL2439">
        <v>0</v>
      </c>
      <c r="AM2439">
        <v>0</v>
      </c>
      <c r="AN2439">
        <v>-1.41</v>
      </c>
      <c r="AO2439">
        <v>2.15</v>
      </c>
      <c r="AP2439">
        <v>21</v>
      </c>
      <c r="AQ2439">
        <v>0</v>
      </c>
      <c r="AR2439">
        <v>8.42</v>
      </c>
      <c r="AS2439">
        <v>35</v>
      </c>
      <c r="AT2439">
        <v>3.43</v>
      </c>
      <c r="AU2439">
        <v>74</v>
      </c>
      <c r="AV2439">
        <v>-1.1000000000000001</v>
      </c>
      <c r="AW2439">
        <v>64</v>
      </c>
      <c r="AX2439">
        <v>0.82</v>
      </c>
      <c r="AY2439">
        <v>42</v>
      </c>
      <c r="AZ2439">
        <v>6.42</v>
      </c>
      <c r="BA2439">
        <v>24</v>
      </c>
      <c r="BB2439">
        <v>5.54</v>
      </c>
      <c r="BC2439">
        <v>24</v>
      </c>
      <c r="BD2439">
        <v>-0.05</v>
      </c>
      <c r="BE2439">
        <v>-0.04</v>
      </c>
      <c r="BF2439">
        <v>-0.06</v>
      </c>
      <c r="BG2439">
        <v>42</v>
      </c>
      <c r="BH2439">
        <v>0.02</v>
      </c>
      <c r="BI2439">
        <v>4.88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-10</v>
      </c>
      <c r="CK2439">
        <v>34</v>
      </c>
      <c r="CL2439">
        <v>-0.91</v>
      </c>
      <c r="CM2439">
        <v>34</v>
      </c>
      <c r="CN2439">
        <v>0.02</v>
      </c>
      <c r="CO2439">
        <v>34</v>
      </c>
      <c r="CP2439">
        <v>-19</v>
      </c>
      <c r="CQ2439">
        <v>33</v>
      </c>
      <c r="CR2439">
        <v>0</v>
      </c>
      <c r="CS2439">
        <v>0</v>
      </c>
      <c r="CT2439">
        <v>-18.100000000000001</v>
      </c>
      <c r="CU2439">
        <v>33</v>
      </c>
      <c r="CV2439">
        <v>-0.03</v>
      </c>
      <c r="CW2439">
        <v>31</v>
      </c>
      <c r="CX2439" t="s">
        <v>6869</v>
      </c>
    </row>
    <row r="2440" spans="1:102" x14ac:dyDescent="0.3">
      <c r="A2440" t="str">
        <f>HYPERLINK("https://webapp.icbf.com/v2/app/bull-search/view/77854603","OPJ")</f>
        <v>OPJ</v>
      </c>
      <c r="B2440" t="s">
        <v>14725</v>
      </c>
      <c r="C2440" t="s">
        <v>14726</v>
      </c>
      <c r="D2440" s="1">
        <v>35843</v>
      </c>
      <c r="E2440" t="s">
        <v>92</v>
      </c>
      <c r="F2440">
        <v>97</v>
      </c>
      <c r="G2440" t="s">
        <v>93</v>
      </c>
      <c r="H2440">
        <v>39.200000000000003</v>
      </c>
      <c r="I2440">
        <v>94</v>
      </c>
      <c r="J2440">
        <v>8.07</v>
      </c>
      <c r="K2440">
        <v>99</v>
      </c>
      <c r="L2440">
        <v>9.2200000000000006</v>
      </c>
      <c r="M2440">
        <v>88</v>
      </c>
      <c r="N2440">
        <v>24.16</v>
      </c>
      <c r="O2440">
        <v>93</v>
      </c>
      <c r="P2440">
        <v>-8.11</v>
      </c>
      <c r="Q2440">
        <v>98</v>
      </c>
      <c r="R2440">
        <v>6.91</v>
      </c>
      <c r="S2440">
        <v>89</v>
      </c>
      <c r="T2440">
        <v>-1.49</v>
      </c>
      <c r="U2440">
        <v>95</v>
      </c>
      <c r="V2440">
        <v>0.44</v>
      </c>
      <c r="W2440">
        <v>90</v>
      </c>
      <c r="X2440" t="s">
        <v>94</v>
      </c>
      <c r="Y2440" t="s">
        <v>95</v>
      </c>
      <c r="Z2440" t="s">
        <v>96</v>
      </c>
      <c r="AA2440" t="s">
        <v>2903</v>
      </c>
      <c r="AB2440" t="s">
        <v>14727</v>
      </c>
      <c r="AC2440">
        <v>309</v>
      </c>
      <c r="AD2440">
        <v>180</v>
      </c>
      <c r="AE2440">
        <v>99</v>
      </c>
      <c r="AF2440">
        <v>415.64</v>
      </c>
      <c r="AG2440">
        <v>-1.43</v>
      </c>
      <c r="AH2440">
        <v>8.24</v>
      </c>
      <c r="AI2440">
        <v>-0.28999999999999998</v>
      </c>
      <c r="AJ2440">
        <v>-0.1</v>
      </c>
      <c r="AK2440">
        <v>88</v>
      </c>
      <c r="AL2440">
        <v>354</v>
      </c>
      <c r="AM2440">
        <v>212</v>
      </c>
      <c r="AN2440">
        <v>-0.11</v>
      </c>
      <c r="AO2440">
        <v>0.63</v>
      </c>
      <c r="AP2440">
        <v>403</v>
      </c>
      <c r="AQ2440">
        <v>8</v>
      </c>
      <c r="AR2440">
        <v>6.39</v>
      </c>
      <c r="AS2440">
        <v>87</v>
      </c>
      <c r="AT2440">
        <v>2.93</v>
      </c>
      <c r="AU2440">
        <v>94</v>
      </c>
      <c r="AV2440">
        <v>-2.13</v>
      </c>
      <c r="AW2440">
        <v>98</v>
      </c>
      <c r="AX2440">
        <v>-0.22</v>
      </c>
      <c r="AY2440">
        <v>93</v>
      </c>
      <c r="AZ2440">
        <v>6.07</v>
      </c>
      <c r="BA2440">
        <v>81</v>
      </c>
      <c r="BB2440">
        <v>4.6900000000000004</v>
      </c>
      <c r="BC2440">
        <v>86</v>
      </c>
      <c r="BD2440">
        <v>-0.03</v>
      </c>
      <c r="BE2440">
        <v>-0.01</v>
      </c>
      <c r="BF2440">
        <v>-0.09</v>
      </c>
      <c r="BG2440">
        <v>95</v>
      </c>
      <c r="BH2440">
        <v>0.15</v>
      </c>
      <c r="BI2440">
        <v>15.93</v>
      </c>
      <c r="BJ2440">
        <v>36</v>
      </c>
      <c r="BK2440">
        <v>27</v>
      </c>
      <c r="BL2440">
        <v>0.22</v>
      </c>
      <c r="BM2440">
        <v>-0.36</v>
      </c>
      <c r="BN2440">
        <v>-0.59</v>
      </c>
      <c r="BO2440">
        <v>-0.28000000000000003</v>
      </c>
      <c r="BP2440">
        <v>3.16</v>
      </c>
      <c r="BQ2440">
        <v>-1.21</v>
      </c>
      <c r="BR2440">
        <v>-1.57</v>
      </c>
      <c r="BS2440">
        <v>-0.61</v>
      </c>
      <c r="BT2440">
        <v>1.47</v>
      </c>
      <c r="BU2440">
        <v>-1</v>
      </c>
      <c r="BV2440">
        <v>-0.57999999999999996</v>
      </c>
      <c r="BW2440">
        <v>0.27</v>
      </c>
      <c r="BX2440">
        <v>-0.71</v>
      </c>
      <c r="BY2440">
        <v>0.71</v>
      </c>
      <c r="BZ2440">
        <v>0.46</v>
      </c>
      <c r="CA2440">
        <v>-0.48</v>
      </c>
      <c r="CB2440">
        <v>-0.47</v>
      </c>
      <c r="CC2440">
        <v>-0.12</v>
      </c>
      <c r="CD2440">
        <v>0.34</v>
      </c>
      <c r="CE2440">
        <v>-0.12</v>
      </c>
      <c r="CF2440">
        <v>-0.85</v>
      </c>
      <c r="CG2440">
        <v>0</v>
      </c>
      <c r="CH2440">
        <v>0.75</v>
      </c>
      <c r="CI2440">
        <v>0</v>
      </c>
      <c r="CJ2440">
        <v>0</v>
      </c>
      <c r="CK2440">
        <v>98</v>
      </c>
      <c r="CL2440">
        <v>-0.79</v>
      </c>
      <c r="CM2440">
        <v>97</v>
      </c>
      <c r="CN2440">
        <v>-0.01</v>
      </c>
      <c r="CO2440">
        <v>97</v>
      </c>
      <c r="CP2440">
        <v>-0.5</v>
      </c>
      <c r="CQ2440">
        <v>97</v>
      </c>
      <c r="CR2440">
        <v>0</v>
      </c>
      <c r="CS2440">
        <v>0</v>
      </c>
      <c r="CT2440">
        <v>15.8</v>
      </c>
      <c r="CU2440">
        <v>95</v>
      </c>
      <c r="CV2440">
        <v>0.23</v>
      </c>
      <c r="CW2440">
        <v>45</v>
      </c>
      <c r="CX2440" t="s">
        <v>207</v>
      </c>
    </row>
    <row r="2441" spans="1:102" x14ac:dyDescent="0.3">
      <c r="A2441" t="str">
        <f>HYPERLINK("https://webapp.icbf.com/v2/app/bull-search/view/391630822","SWU")</f>
        <v>SWU</v>
      </c>
      <c r="B2441" t="s">
        <v>4312</v>
      </c>
      <c r="C2441" t="s">
        <v>4313</v>
      </c>
      <c r="D2441" s="1">
        <v>36755</v>
      </c>
      <c r="E2441" t="s">
        <v>108</v>
      </c>
      <c r="F2441">
        <v>38</v>
      </c>
      <c r="G2441" t="s">
        <v>93</v>
      </c>
      <c r="H2441">
        <v>39.18</v>
      </c>
      <c r="I2441">
        <v>94</v>
      </c>
      <c r="J2441">
        <v>43.69</v>
      </c>
      <c r="K2441">
        <v>98</v>
      </c>
      <c r="L2441">
        <v>-17.29</v>
      </c>
      <c r="M2441">
        <v>89</v>
      </c>
      <c r="N2441">
        <v>16.39</v>
      </c>
      <c r="O2441">
        <v>92</v>
      </c>
      <c r="P2441">
        <v>-27.42</v>
      </c>
      <c r="Q2441">
        <v>96</v>
      </c>
      <c r="R2441">
        <v>-2.71</v>
      </c>
      <c r="S2441">
        <v>89</v>
      </c>
      <c r="T2441">
        <v>30.99</v>
      </c>
      <c r="U2441">
        <v>96</v>
      </c>
      <c r="V2441">
        <v>-4.47</v>
      </c>
      <c r="W2441">
        <v>92</v>
      </c>
      <c r="X2441" t="s">
        <v>302</v>
      </c>
      <c r="Y2441" t="s">
        <v>95</v>
      </c>
      <c r="Z2441" t="s">
        <v>330</v>
      </c>
      <c r="AA2441" t="s">
        <v>792</v>
      </c>
      <c r="AB2441" t="s">
        <v>4314</v>
      </c>
      <c r="AC2441">
        <v>255</v>
      </c>
      <c r="AD2441">
        <v>104</v>
      </c>
      <c r="AE2441">
        <v>98</v>
      </c>
      <c r="AF2441">
        <v>29.52</v>
      </c>
      <c r="AG2441">
        <v>12.16</v>
      </c>
      <c r="AH2441">
        <v>3.58</v>
      </c>
      <c r="AI2441">
        <v>0.19</v>
      </c>
      <c r="AJ2441">
        <v>0.05</v>
      </c>
      <c r="AK2441">
        <v>89</v>
      </c>
      <c r="AL2441">
        <v>264</v>
      </c>
      <c r="AM2441">
        <v>107</v>
      </c>
      <c r="AN2441">
        <v>1.63</v>
      </c>
      <c r="AO2441">
        <v>0.26</v>
      </c>
      <c r="AP2441">
        <v>448</v>
      </c>
      <c r="AQ2441">
        <v>3</v>
      </c>
      <c r="AR2441">
        <v>5.29</v>
      </c>
      <c r="AS2441">
        <v>81</v>
      </c>
      <c r="AT2441">
        <v>2.4700000000000002</v>
      </c>
      <c r="AU2441">
        <v>94</v>
      </c>
      <c r="AV2441">
        <v>-1.1000000000000001</v>
      </c>
      <c r="AW2441">
        <v>98</v>
      </c>
      <c r="AX2441">
        <v>-0.88</v>
      </c>
      <c r="AY2441">
        <v>92</v>
      </c>
      <c r="AZ2441">
        <v>7.35</v>
      </c>
      <c r="BA2441">
        <v>79</v>
      </c>
      <c r="BB2441">
        <v>5.73</v>
      </c>
      <c r="BC2441">
        <v>83</v>
      </c>
      <c r="BD2441">
        <v>0.02</v>
      </c>
      <c r="BE2441">
        <v>0.01</v>
      </c>
      <c r="BF2441">
        <v>0.01</v>
      </c>
      <c r="BG2441">
        <v>94</v>
      </c>
      <c r="BH2441">
        <v>7.0000000000000007E-2</v>
      </c>
      <c r="BI2441">
        <v>22.51</v>
      </c>
      <c r="BJ2441">
        <v>3</v>
      </c>
      <c r="BK2441">
        <v>2</v>
      </c>
      <c r="BL2441">
        <v>-1.75</v>
      </c>
      <c r="BM2441">
        <v>1.18</v>
      </c>
      <c r="BN2441">
        <v>0.96</v>
      </c>
      <c r="BO2441">
        <v>-0.59</v>
      </c>
      <c r="BP2441">
        <v>0.69</v>
      </c>
      <c r="BQ2441">
        <v>-1.33</v>
      </c>
      <c r="BR2441">
        <v>1.1499999999999999</v>
      </c>
      <c r="BS2441">
        <v>0.89</v>
      </c>
      <c r="BT2441">
        <v>-0.56000000000000005</v>
      </c>
      <c r="BU2441">
        <v>-1.1399999999999999</v>
      </c>
      <c r="BV2441">
        <v>-2.5099999999999998</v>
      </c>
      <c r="BW2441">
        <v>-2.0299999999999998</v>
      </c>
      <c r="BX2441">
        <v>-1.93</v>
      </c>
      <c r="BY2441">
        <v>-2.35</v>
      </c>
      <c r="BZ2441">
        <v>0.23</v>
      </c>
      <c r="CA2441">
        <v>-1.21</v>
      </c>
      <c r="CB2441">
        <v>-1.76</v>
      </c>
      <c r="CC2441">
        <v>-0.32</v>
      </c>
      <c r="CD2441">
        <v>0.76</v>
      </c>
      <c r="CE2441">
        <v>-0.68</v>
      </c>
      <c r="CF2441">
        <v>-0.75</v>
      </c>
      <c r="CG2441">
        <v>0</v>
      </c>
      <c r="CH2441">
        <v>-2.13</v>
      </c>
      <c r="CI2441">
        <v>0</v>
      </c>
      <c r="CJ2441">
        <v>-16</v>
      </c>
      <c r="CK2441">
        <v>97</v>
      </c>
      <c r="CL2441">
        <v>-0.56999999999999995</v>
      </c>
      <c r="CM2441">
        <v>96</v>
      </c>
      <c r="CN2441">
        <v>-0.34</v>
      </c>
      <c r="CO2441">
        <v>95</v>
      </c>
      <c r="CP2441">
        <v>-22.9</v>
      </c>
      <c r="CQ2441">
        <v>96</v>
      </c>
      <c r="CR2441">
        <v>0</v>
      </c>
      <c r="CS2441">
        <v>0</v>
      </c>
      <c r="CT2441">
        <v>-28.1</v>
      </c>
      <c r="CU2441">
        <v>96</v>
      </c>
      <c r="CV2441">
        <v>-0.02</v>
      </c>
      <c r="CW2441">
        <v>46</v>
      </c>
      <c r="CX2441" t="s">
        <v>1161</v>
      </c>
    </row>
    <row r="2442" spans="1:102" x14ac:dyDescent="0.3">
      <c r="A2442" t="str">
        <f>HYPERLINK("https://webapp.icbf.com/v2/app/bull-search/view/514791233","S505")</f>
        <v>S505</v>
      </c>
      <c r="B2442" t="s">
        <v>12585</v>
      </c>
      <c r="C2442" t="s">
        <v>12586</v>
      </c>
      <c r="D2442" s="1">
        <v>36639</v>
      </c>
      <c r="E2442" t="s">
        <v>197</v>
      </c>
      <c r="F2442">
        <v>0</v>
      </c>
      <c r="G2442" t="s">
        <v>116</v>
      </c>
      <c r="H2442">
        <v>38.96</v>
      </c>
      <c r="I2442">
        <v>47</v>
      </c>
      <c r="J2442">
        <v>-1.51</v>
      </c>
      <c r="K2442">
        <v>69</v>
      </c>
      <c r="L2442">
        <v>73.45</v>
      </c>
      <c r="M2442">
        <v>27</v>
      </c>
      <c r="N2442">
        <v>-47.38</v>
      </c>
      <c r="O2442">
        <v>53</v>
      </c>
      <c r="P2442">
        <v>7.48</v>
      </c>
      <c r="Q2442">
        <v>71</v>
      </c>
      <c r="R2442">
        <v>1.88</v>
      </c>
      <c r="S2442">
        <v>32</v>
      </c>
      <c r="T2442">
        <v>6.57</v>
      </c>
      <c r="U2442">
        <v>33</v>
      </c>
      <c r="V2442">
        <v>-1.53</v>
      </c>
      <c r="W2442">
        <v>17</v>
      </c>
      <c r="X2442" t="s">
        <v>198</v>
      </c>
      <c r="Y2442" t="s">
        <v>199</v>
      </c>
      <c r="Z2442">
        <v>0</v>
      </c>
      <c r="AA2442" t="s">
        <v>200</v>
      </c>
      <c r="AB2442" t="s">
        <v>12587</v>
      </c>
      <c r="AC2442">
        <v>9</v>
      </c>
      <c r="AD2442">
        <v>3</v>
      </c>
      <c r="AE2442">
        <v>69</v>
      </c>
      <c r="AF2442">
        <v>-169.35</v>
      </c>
      <c r="AG2442">
        <v>-6.64</v>
      </c>
      <c r="AH2442">
        <v>-0.5</v>
      </c>
      <c r="AI2442">
        <v>0</v>
      </c>
      <c r="AJ2442">
        <v>0.09</v>
      </c>
      <c r="AK2442">
        <v>27</v>
      </c>
      <c r="AL2442">
        <v>8</v>
      </c>
      <c r="AM2442">
        <v>3</v>
      </c>
      <c r="AN2442">
        <v>-6.16</v>
      </c>
      <c r="AO2442">
        <v>-0.33</v>
      </c>
      <c r="AP2442">
        <v>34</v>
      </c>
      <c r="AQ2442">
        <v>0</v>
      </c>
      <c r="AR2442">
        <v>7.92</v>
      </c>
      <c r="AS2442">
        <v>17</v>
      </c>
      <c r="AT2442">
        <v>6.73</v>
      </c>
      <c r="AU2442">
        <v>50</v>
      </c>
      <c r="AV2442">
        <v>1.32</v>
      </c>
      <c r="AW2442">
        <v>80</v>
      </c>
      <c r="AX2442">
        <v>1.1100000000000001</v>
      </c>
      <c r="AY2442">
        <v>39</v>
      </c>
      <c r="AZ2442">
        <v>6.16</v>
      </c>
      <c r="BA2442">
        <v>17</v>
      </c>
      <c r="BB2442">
        <v>3.44</v>
      </c>
      <c r="BC2442">
        <v>19</v>
      </c>
      <c r="BD2442">
        <v>-0.02</v>
      </c>
      <c r="BE2442">
        <v>0</v>
      </c>
      <c r="BF2442">
        <v>-0.01</v>
      </c>
      <c r="BG2442">
        <v>38</v>
      </c>
      <c r="BH2442">
        <v>-0.01</v>
      </c>
      <c r="BI2442">
        <v>3.77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6.5</v>
      </c>
      <c r="CK2442">
        <v>75</v>
      </c>
      <c r="CL2442">
        <v>-0.17</v>
      </c>
      <c r="CM2442">
        <v>71</v>
      </c>
      <c r="CN2442">
        <v>0.04</v>
      </c>
      <c r="CO2442">
        <v>68</v>
      </c>
      <c r="CP2442">
        <v>4.9000000000000004</v>
      </c>
      <c r="CQ2442">
        <v>50</v>
      </c>
      <c r="CR2442">
        <v>0</v>
      </c>
      <c r="CS2442">
        <v>0</v>
      </c>
      <c r="CT2442">
        <v>4.9000000000000004</v>
      </c>
      <c r="CU2442">
        <v>33</v>
      </c>
      <c r="CV2442">
        <v>0.1</v>
      </c>
      <c r="CW2442">
        <v>20</v>
      </c>
      <c r="CX2442" t="s">
        <v>11302</v>
      </c>
    </row>
    <row r="2443" spans="1:102" x14ac:dyDescent="0.3">
      <c r="A2443" t="str">
        <f>HYPERLINK("https://webapp.icbf.com/v2/app/bull-search/view/124414605","DOG")</f>
        <v>DOG</v>
      </c>
      <c r="B2443" t="s">
        <v>12079</v>
      </c>
      <c r="C2443" t="s">
        <v>12080</v>
      </c>
      <c r="D2443" s="1">
        <v>35439</v>
      </c>
      <c r="E2443" t="s">
        <v>92</v>
      </c>
      <c r="F2443">
        <v>81</v>
      </c>
      <c r="G2443" t="s">
        <v>93</v>
      </c>
      <c r="H2443">
        <v>38.799999999999997</v>
      </c>
      <c r="I2443">
        <v>80</v>
      </c>
      <c r="J2443">
        <v>13.55</v>
      </c>
      <c r="K2443">
        <v>93</v>
      </c>
      <c r="L2443">
        <v>15.61</v>
      </c>
      <c r="M2443">
        <v>74</v>
      </c>
      <c r="N2443">
        <v>17.53</v>
      </c>
      <c r="O2443">
        <v>69</v>
      </c>
      <c r="P2443">
        <v>-16.739999999999998</v>
      </c>
      <c r="Q2443">
        <v>83</v>
      </c>
      <c r="R2443">
        <v>-3.68</v>
      </c>
      <c r="S2443">
        <v>74</v>
      </c>
      <c r="T2443">
        <v>20.04</v>
      </c>
      <c r="U2443">
        <v>72</v>
      </c>
      <c r="V2443">
        <v>-7.51</v>
      </c>
      <c r="W2443">
        <v>66</v>
      </c>
      <c r="X2443" t="s">
        <v>102</v>
      </c>
      <c r="Y2443" t="s">
        <v>1480</v>
      </c>
      <c r="Z2443" t="s">
        <v>96</v>
      </c>
      <c r="AA2443" t="s">
        <v>529</v>
      </c>
      <c r="AB2443" t="s">
        <v>981</v>
      </c>
      <c r="AC2443">
        <v>41</v>
      </c>
      <c r="AD2443">
        <v>31</v>
      </c>
      <c r="AE2443">
        <v>93</v>
      </c>
      <c r="AF2443">
        <v>-35.08</v>
      </c>
      <c r="AG2443">
        <v>0.98</v>
      </c>
      <c r="AH2443">
        <v>1.42</v>
      </c>
      <c r="AI2443">
        <v>0.04</v>
      </c>
      <c r="AJ2443">
        <v>0.05</v>
      </c>
      <c r="AK2443">
        <v>74</v>
      </c>
      <c r="AL2443">
        <v>42</v>
      </c>
      <c r="AM2443">
        <v>32</v>
      </c>
      <c r="AN2443">
        <v>0.35</v>
      </c>
      <c r="AO2443">
        <v>1.61</v>
      </c>
      <c r="AP2443">
        <v>12</v>
      </c>
      <c r="AQ2443">
        <v>0</v>
      </c>
      <c r="AR2443">
        <v>6.61</v>
      </c>
      <c r="AS2443">
        <v>58</v>
      </c>
      <c r="AT2443">
        <v>2.33</v>
      </c>
      <c r="AU2443">
        <v>72</v>
      </c>
      <c r="AV2443">
        <v>-0.8</v>
      </c>
      <c r="AW2443">
        <v>72</v>
      </c>
      <c r="AX2443">
        <v>-0.25</v>
      </c>
      <c r="AY2443">
        <v>70</v>
      </c>
      <c r="AZ2443">
        <v>5.97</v>
      </c>
      <c r="BA2443">
        <v>53</v>
      </c>
      <c r="BB2443">
        <v>4.8</v>
      </c>
      <c r="BC2443">
        <v>62</v>
      </c>
      <c r="BD2443">
        <v>0.04</v>
      </c>
      <c r="BE2443">
        <v>0.02</v>
      </c>
      <c r="BF2443">
        <v>-0.02</v>
      </c>
      <c r="BG2443">
        <v>83</v>
      </c>
      <c r="BH2443">
        <v>-0.15</v>
      </c>
      <c r="BI2443">
        <v>6.87</v>
      </c>
      <c r="BJ2443">
        <v>2</v>
      </c>
      <c r="BK2443">
        <v>2</v>
      </c>
      <c r="BL2443">
        <v>-1.53</v>
      </c>
      <c r="BM2443">
        <v>-0.52</v>
      </c>
      <c r="BN2443">
        <v>-1.23</v>
      </c>
      <c r="BO2443">
        <v>-0.45</v>
      </c>
      <c r="BP2443">
        <v>0.98</v>
      </c>
      <c r="BQ2443">
        <v>-1.48</v>
      </c>
      <c r="BR2443">
        <v>-0.21</v>
      </c>
      <c r="BS2443">
        <v>-0.48</v>
      </c>
      <c r="BT2443">
        <v>-0.28000000000000003</v>
      </c>
      <c r="BU2443">
        <v>-1.1299999999999999</v>
      </c>
      <c r="BV2443">
        <v>-0.51</v>
      </c>
      <c r="BW2443">
        <v>-1.91</v>
      </c>
      <c r="BX2443">
        <v>-2.12</v>
      </c>
      <c r="BY2443">
        <v>-1.66</v>
      </c>
      <c r="BZ2443">
        <v>-1.91</v>
      </c>
      <c r="CA2443">
        <v>-1.39</v>
      </c>
      <c r="CB2443">
        <v>-1.24</v>
      </c>
      <c r="CC2443">
        <v>-0.96</v>
      </c>
      <c r="CD2443">
        <v>0.18</v>
      </c>
      <c r="CE2443">
        <v>-1.08</v>
      </c>
      <c r="CF2443">
        <v>-1.76</v>
      </c>
      <c r="CG2443">
        <v>0</v>
      </c>
      <c r="CH2443">
        <v>-0.33</v>
      </c>
      <c r="CI2443">
        <v>0</v>
      </c>
      <c r="CJ2443">
        <v>-5.8</v>
      </c>
      <c r="CK2443">
        <v>84</v>
      </c>
      <c r="CL2443">
        <v>-0.57999999999999996</v>
      </c>
      <c r="CM2443">
        <v>81</v>
      </c>
      <c r="CN2443">
        <v>0.1</v>
      </c>
      <c r="CO2443">
        <v>79</v>
      </c>
      <c r="CP2443">
        <v>-10.5</v>
      </c>
      <c r="CQ2443">
        <v>83</v>
      </c>
      <c r="CR2443">
        <v>0</v>
      </c>
      <c r="CS2443">
        <v>0</v>
      </c>
      <c r="CT2443">
        <v>-13.3</v>
      </c>
      <c r="CU2443">
        <v>72</v>
      </c>
      <c r="CV2443">
        <v>0.11</v>
      </c>
      <c r="CW2443">
        <v>43</v>
      </c>
      <c r="CX2443" t="s">
        <v>982</v>
      </c>
    </row>
    <row r="2444" spans="1:102" x14ac:dyDescent="0.3">
      <c r="A2444" t="str">
        <f>HYPERLINK("https://webapp.icbf.com/v2/app/bull-search/view/833277952","S1263")</f>
        <v>S1263</v>
      </c>
      <c r="B2444" t="s">
        <v>7589</v>
      </c>
      <c r="C2444" t="s">
        <v>7590</v>
      </c>
      <c r="D2444" s="1">
        <v>40447</v>
      </c>
      <c r="E2444" t="s">
        <v>92</v>
      </c>
      <c r="F2444">
        <v>100</v>
      </c>
      <c r="G2444" t="s">
        <v>93</v>
      </c>
      <c r="H2444">
        <v>38.79</v>
      </c>
      <c r="I2444">
        <v>86</v>
      </c>
      <c r="J2444">
        <v>2.37</v>
      </c>
      <c r="K2444">
        <v>97</v>
      </c>
      <c r="L2444">
        <v>-0.37</v>
      </c>
      <c r="M2444">
        <v>81</v>
      </c>
      <c r="N2444">
        <v>25.12</v>
      </c>
      <c r="O2444">
        <v>85</v>
      </c>
      <c r="P2444">
        <v>-6.28</v>
      </c>
      <c r="Q2444">
        <v>94</v>
      </c>
      <c r="R2444">
        <v>4.9000000000000004</v>
      </c>
      <c r="S2444">
        <v>72</v>
      </c>
      <c r="T2444">
        <v>13.31</v>
      </c>
      <c r="U2444">
        <v>81</v>
      </c>
      <c r="V2444">
        <v>-0.26</v>
      </c>
      <c r="W2444">
        <v>50</v>
      </c>
      <c r="X2444" t="s">
        <v>234</v>
      </c>
      <c r="Y2444" t="s">
        <v>342</v>
      </c>
      <c r="Z2444" t="s">
        <v>96</v>
      </c>
      <c r="AA2444" t="s">
        <v>1323</v>
      </c>
      <c r="AB2444" t="s">
        <v>5443</v>
      </c>
      <c r="AC2444">
        <v>181</v>
      </c>
      <c r="AD2444">
        <v>62</v>
      </c>
      <c r="AE2444">
        <v>97</v>
      </c>
      <c r="AF2444">
        <v>135.87</v>
      </c>
      <c r="AG2444">
        <v>6.37</v>
      </c>
      <c r="AH2444">
        <v>0.23</v>
      </c>
      <c r="AI2444">
        <v>0.02</v>
      </c>
      <c r="AJ2444">
        <v>-7.0000000000000007E-2</v>
      </c>
      <c r="AK2444">
        <v>81</v>
      </c>
      <c r="AL2444">
        <v>178</v>
      </c>
      <c r="AM2444">
        <v>66</v>
      </c>
      <c r="AN2444">
        <v>0.73</v>
      </c>
      <c r="AO2444">
        <v>0.71</v>
      </c>
      <c r="AP2444">
        <v>269</v>
      </c>
      <c r="AQ2444">
        <v>0</v>
      </c>
      <c r="AR2444">
        <v>6.34</v>
      </c>
      <c r="AS2444">
        <v>79</v>
      </c>
      <c r="AT2444">
        <v>2.94</v>
      </c>
      <c r="AU2444">
        <v>87</v>
      </c>
      <c r="AV2444">
        <v>-2.61</v>
      </c>
      <c r="AW2444">
        <v>95</v>
      </c>
      <c r="AX2444">
        <v>-0.55000000000000004</v>
      </c>
      <c r="AY2444">
        <v>87</v>
      </c>
      <c r="AZ2444">
        <v>6.28</v>
      </c>
      <c r="BA2444">
        <v>68</v>
      </c>
      <c r="BB2444">
        <v>5.4</v>
      </c>
      <c r="BC2444">
        <v>60</v>
      </c>
      <c r="BD2444">
        <v>-0.04</v>
      </c>
      <c r="BE2444">
        <v>-0.04</v>
      </c>
      <c r="BF2444">
        <v>0.03</v>
      </c>
      <c r="BG2444">
        <v>90</v>
      </c>
      <c r="BH2444">
        <v>0.01</v>
      </c>
      <c r="BI2444">
        <v>1.99</v>
      </c>
      <c r="BJ2444">
        <v>49</v>
      </c>
      <c r="BK2444">
        <v>24</v>
      </c>
      <c r="BL2444">
        <v>1.26</v>
      </c>
      <c r="BM2444">
        <v>-2.2400000000000002</v>
      </c>
      <c r="BN2444">
        <v>-0.98</v>
      </c>
      <c r="BO2444">
        <v>0.95</v>
      </c>
      <c r="BP2444">
        <v>2.1800000000000002</v>
      </c>
      <c r="BQ2444">
        <v>-1.58</v>
      </c>
      <c r="BR2444">
        <v>-0.46</v>
      </c>
      <c r="BS2444">
        <v>1.02</v>
      </c>
      <c r="BT2444">
        <v>1.79</v>
      </c>
      <c r="BU2444">
        <v>2.14</v>
      </c>
      <c r="BV2444">
        <v>2.2400000000000002</v>
      </c>
      <c r="BW2444">
        <v>2.12</v>
      </c>
      <c r="BX2444">
        <v>2.2599999999999998</v>
      </c>
      <c r="BY2444">
        <v>-0.09</v>
      </c>
      <c r="BZ2444">
        <v>0.84</v>
      </c>
      <c r="CA2444">
        <v>1.82</v>
      </c>
      <c r="CB2444">
        <v>1.82</v>
      </c>
      <c r="CC2444">
        <v>0.75</v>
      </c>
      <c r="CD2444">
        <v>-0.56000000000000005</v>
      </c>
      <c r="CE2444">
        <v>0.93</v>
      </c>
      <c r="CF2444">
        <v>0.47</v>
      </c>
      <c r="CG2444">
        <v>0</v>
      </c>
      <c r="CH2444">
        <v>1.5</v>
      </c>
      <c r="CI2444">
        <v>0</v>
      </c>
      <c r="CJ2444">
        <v>-0.8</v>
      </c>
      <c r="CK2444">
        <v>95</v>
      </c>
      <c r="CL2444">
        <v>-1.3</v>
      </c>
      <c r="CM2444">
        <v>93</v>
      </c>
      <c r="CN2444">
        <v>-0.81</v>
      </c>
      <c r="CO2444">
        <v>93</v>
      </c>
      <c r="CP2444">
        <v>-8.3000000000000007</v>
      </c>
      <c r="CQ2444">
        <v>87</v>
      </c>
      <c r="CR2444">
        <v>0</v>
      </c>
      <c r="CS2444">
        <v>0</v>
      </c>
      <c r="CT2444">
        <v>-4.2</v>
      </c>
      <c r="CU2444">
        <v>81</v>
      </c>
      <c r="CV2444">
        <v>0.35</v>
      </c>
      <c r="CW2444">
        <v>27</v>
      </c>
      <c r="CX2444" t="s">
        <v>309</v>
      </c>
    </row>
    <row r="2445" spans="1:102" x14ac:dyDescent="0.3">
      <c r="A2445" t="str">
        <f>HYPERLINK("https://webapp.icbf.com/v2/app/bull-search/view/77856244","IVO")</f>
        <v>IVO</v>
      </c>
      <c r="B2445" t="s">
        <v>935</v>
      </c>
      <c r="C2445" t="s">
        <v>936</v>
      </c>
      <c r="D2445" s="1">
        <v>34181</v>
      </c>
      <c r="E2445" t="s">
        <v>92</v>
      </c>
      <c r="F2445">
        <v>100</v>
      </c>
      <c r="G2445" t="s">
        <v>93</v>
      </c>
      <c r="H2445">
        <v>38.72</v>
      </c>
      <c r="I2445">
        <v>80</v>
      </c>
      <c r="J2445">
        <v>28.95</v>
      </c>
      <c r="K2445">
        <v>92</v>
      </c>
      <c r="L2445">
        <v>18.239999999999998</v>
      </c>
      <c r="M2445">
        <v>73</v>
      </c>
      <c r="N2445">
        <v>-3.37</v>
      </c>
      <c r="O2445">
        <v>71</v>
      </c>
      <c r="P2445">
        <v>-8.9700000000000006</v>
      </c>
      <c r="Q2445">
        <v>86</v>
      </c>
      <c r="R2445">
        <v>-0.97</v>
      </c>
      <c r="S2445">
        <v>66</v>
      </c>
      <c r="T2445">
        <v>10.130000000000001</v>
      </c>
      <c r="U2445">
        <v>79</v>
      </c>
      <c r="V2445">
        <v>-5.29</v>
      </c>
      <c r="W2445">
        <v>53</v>
      </c>
      <c r="X2445" t="s">
        <v>558</v>
      </c>
      <c r="Y2445" t="s">
        <v>95</v>
      </c>
      <c r="Z2445" t="s">
        <v>96</v>
      </c>
      <c r="AA2445" t="s">
        <v>937</v>
      </c>
      <c r="AB2445" t="s">
        <v>938</v>
      </c>
      <c r="AC2445">
        <v>51</v>
      </c>
      <c r="AD2445">
        <v>28</v>
      </c>
      <c r="AE2445">
        <v>92</v>
      </c>
      <c r="AF2445">
        <v>-80.39</v>
      </c>
      <c r="AG2445">
        <v>3.88</v>
      </c>
      <c r="AH2445">
        <v>2.3199999999999998</v>
      </c>
      <c r="AI2445">
        <v>0.12</v>
      </c>
      <c r="AJ2445">
        <v>0.09</v>
      </c>
      <c r="AK2445">
        <v>73</v>
      </c>
      <c r="AL2445">
        <v>50</v>
      </c>
      <c r="AM2445">
        <v>26</v>
      </c>
      <c r="AN2445">
        <v>-2.12</v>
      </c>
      <c r="AO2445">
        <v>-0.68</v>
      </c>
      <c r="AP2445">
        <v>43</v>
      </c>
      <c r="AQ2445">
        <v>0</v>
      </c>
      <c r="AR2445">
        <v>7.03</v>
      </c>
      <c r="AS2445">
        <v>43</v>
      </c>
      <c r="AT2445">
        <v>3.38</v>
      </c>
      <c r="AU2445">
        <v>84</v>
      </c>
      <c r="AV2445">
        <v>1.18</v>
      </c>
      <c r="AW2445">
        <v>77</v>
      </c>
      <c r="AX2445">
        <v>-0.81</v>
      </c>
      <c r="AY2445">
        <v>71</v>
      </c>
      <c r="AZ2445">
        <v>5.23</v>
      </c>
      <c r="BA2445">
        <v>43</v>
      </c>
      <c r="BB2445">
        <v>4.37</v>
      </c>
      <c r="BC2445">
        <v>53</v>
      </c>
      <c r="BD2445">
        <v>0.05</v>
      </c>
      <c r="BE2445">
        <v>0.01</v>
      </c>
      <c r="BF2445">
        <v>-0.08</v>
      </c>
      <c r="BG2445">
        <v>81</v>
      </c>
      <c r="BH2445">
        <v>-0.12</v>
      </c>
      <c r="BI2445">
        <v>3.18</v>
      </c>
      <c r="BJ2445">
        <v>4</v>
      </c>
      <c r="BK2445">
        <v>3</v>
      </c>
      <c r="BL2445">
        <v>0.51</v>
      </c>
      <c r="BM2445">
        <v>1.89</v>
      </c>
      <c r="BN2445">
        <v>-0.23</v>
      </c>
      <c r="BO2445">
        <v>-1.1599999999999999</v>
      </c>
      <c r="BP2445">
        <v>1.71</v>
      </c>
      <c r="BQ2445">
        <v>0.33</v>
      </c>
      <c r="BR2445">
        <v>0.28000000000000003</v>
      </c>
      <c r="BS2445">
        <v>-0.01</v>
      </c>
      <c r="BT2445">
        <v>0.47</v>
      </c>
      <c r="BU2445">
        <v>0.23</v>
      </c>
      <c r="BV2445">
        <v>-0.72</v>
      </c>
      <c r="BW2445">
        <v>-1.0900000000000001</v>
      </c>
      <c r="BX2445">
        <v>0.35</v>
      </c>
      <c r="BY2445">
        <v>-1.75</v>
      </c>
      <c r="BZ2445">
        <v>-0.16</v>
      </c>
      <c r="CA2445">
        <v>-0.63</v>
      </c>
      <c r="CB2445">
        <v>-0.54</v>
      </c>
      <c r="CC2445">
        <v>-0.7</v>
      </c>
      <c r="CD2445">
        <v>0.42</v>
      </c>
      <c r="CE2445">
        <v>-0.92</v>
      </c>
      <c r="CF2445">
        <v>-0.36</v>
      </c>
      <c r="CG2445">
        <v>0</v>
      </c>
      <c r="CH2445">
        <v>-0.62</v>
      </c>
      <c r="CI2445">
        <v>0</v>
      </c>
      <c r="CJ2445">
        <v>-5.4</v>
      </c>
      <c r="CK2445">
        <v>87</v>
      </c>
      <c r="CL2445">
        <v>-0.72</v>
      </c>
      <c r="CM2445">
        <v>85</v>
      </c>
      <c r="CN2445">
        <v>-0.55000000000000004</v>
      </c>
      <c r="CO2445">
        <v>83</v>
      </c>
      <c r="CP2445">
        <v>-3.5</v>
      </c>
      <c r="CQ2445">
        <v>84</v>
      </c>
      <c r="CR2445">
        <v>0</v>
      </c>
      <c r="CS2445">
        <v>0</v>
      </c>
      <c r="CT2445">
        <v>0.1</v>
      </c>
      <c r="CU2445">
        <v>79</v>
      </c>
      <c r="CV2445">
        <v>0.08</v>
      </c>
      <c r="CW2445">
        <v>24</v>
      </c>
      <c r="CX2445" t="s">
        <v>128</v>
      </c>
    </row>
    <row r="2446" spans="1:102" x14ac:dyDescent="0.3">
      <c r="A2446" t="str">
        <f>HYPERLINK("https://webapp.icbf.com/v2/app/bull-search/view/69092845","TYA")</f>
        <v>TYA</v>
      </c>
      <c r="B2446" t="s">
        <v>11839</v>
      </c>
      <c r="C2446" t="s">
        <v>11375</v>
      </c>
      <c r="D2446" s="1">
        <v>34002</v>
      </c>
      <c r="E2446" t="s">
        <v>146</v>
      </c>
      <c r="F2446">
        <v>0</v>
      </c>
      <c r="G2446" t="s">
        <v>93</v>
      </c>
      <c r="H2446">
        <v>38.69</v>
      </c>
      <c r="I2446">
        <v>80</v>
      </c>
      <c r="J2446">
        <v>-33.24</v>
      </c>
      <c r="K2446">
        <v>95</v>
      </c>
      <c r="L2446">
        <v>38.479999999999997</v>
      </c>
      <c r="M2446">
        <v>64</v>
      </c>
      <c r="N2446">
        <v>23.53</v>
      </c>
      <c r="O2446">
        <v>82</v>
      </c>
      <c r="P2446">
        <v>18.41</v>
      </c>
      <c r="Q2446">
        <v>94</v>
      </c>
      <c r="R2446">
        <v>-8.42</v>
      </c>
      <c r="S2446">
        <v>71</v>
      </c>
      <c r="T2446">
        <v>2.8</v>
      </c>
      <c r="U2446">
        <v>84</v>
      </c>
      <c r="V2446">
        <v>-2.87</v>
      </c>
      <c r="W2446">
        <v>66</v>
      </c>
      <c r="X2446" t="s">
        <v>94</v>
      </c>
      <c r="Y2446" t="s">
        <v>95</v>
      </c>
      <c r="Z2446">
        <v>0</v>
      </c>
      <c r="AA2446" t="s">
        <v>238</v>
      </c>
      <c r="AB2446" t="s">
        <v>11840</v>
      </c>
      <c r="AC2446">
        <v>79</v>
      </c>
      <c r="AD2446">
        <v>36</v>
      </c>
      <c r="AE2446">
        <v>95</v>
      </c>
      <c r="AF2446">
        <v>-513.30999999999995</v>
      </c>
      <c r="AG2446">
        <v>-13.26</v>
      </c>
      <c r="AH2446">
        <v>-8.82</v>
      </c>
      <c r="AI2446">
        <v>0.12</v>
      </c>
      <c r="AJ2446">
        <v>0.16</v>
      </c>
      <c r="AK2446">
        <v>64</v>
      </c>
      <c r="AL2446">
        <v>0</v>
      </c>
      <c r="AM2446">
        <v>0</v>
      </c>
      <c r="AN2446">
        <v>-3.57</v>
      </c>
      <c r="AO2446">
        <v>-0.52</v>
      </c>
      <c r="AP2446">
        <v>75</v>
      </c>
      <c r="AQ2446">
        <v>1</v>
      </c>
      <c r="AR2446">
        <v>6.94</v>
      </c>
      <c r="AS2446">
        <v>66</v>
      </c>
      <c r="AT2446">
        <v>2.2200000000000002</v>
      </c>
      <c r="AU2446">
        <v>87</v>
      </c>
      <c r="AV2446">
        <v>-1.79</v>
      </c>
      <c r="AW2446">
        <v>90</v>
      </c>
      <c r="AX2446">
        <v>0.2</v>
      </c>
      <c r="AY2446">
        <v>85</v>
      </c>
      <c r="AZ2446">
        <v>5.86</v>
      </c>
      <c r="BA2446">
        <v>54</v>
      </c>
      <c r="BB2446">
        <v>4.9800000000000004</v>
      </c>
      <c r="BC2446">
        <v>65</v>
      </c>
      <c r="BD2446">
        <v>0.01</v>
      </c>
      <c r="BE2446">
        <v>0.03</v>
      </c>
      <c r="BF2446">
        <v>0.12</v>
      </c>
      <c r="BG2446">
        <v>82</v>
      </c>
      <c r="BH2446">
        <v>0.03</v>
      </c>
      <c r="BI2446">
        <v>12.72</v>
      </c>
      <c r="BJ2446">
        <v>0</v>
      </c>
      <c r="BK2446">
        <v>0</v>
      </c>
      <c r="BL2446">
        <v>-1.64</v>
      </c>
      <c r="BM2446">
        <v>2.5099999999999998</v>
      </c>
      <c r="BN2446">
        <v>-0.97</v>
      </c>
      <c r="BO2446">
        <v>-1.53</v>
      </c>
      <c r="BP2446">
        <v>0.38</v>
      </c>
      <c r="BQ2446">
        <v>-1.91</v>
      </c>
      <c r="BR2446">
        <v>-0.17</v>
      </c>
      <c r="BS2446">
        <v>1.33</v>
      </c>
      <c r="BT2446">
        <v>0.81</v>
      </c>
      <c r="BU2446">
        <v>-2.12</v>
      </c>
      <c r="BV2446">
        <v>-2.67</v>
      </c>
      <c r="BW2446">
        <v>-1.53</v>
      </c>
      <c r="BX2446">
        <v>-2.11</v>
      </c>
      <c r="BY2446">
        <v>-1.8</v>
      </c>
      <c r="BZ2446">
        <v>1.43</v>
      </c>
      <c r="CA2446">
        <v>-1.83</v>
      </c>
      <c r="CB2446">
        <v>-2.0299999999999998</v>
      </c>
      <c r="CC2446">
        <v>0.87</v>
      </c>
      <c r="CD2446">
        <v>2.79</v>
      </c>
      <c r="CE2446">
        <v>-1.41</v>
      </c>
      <c r="CF2446">
        <v>-0.45</v>
      </c>
      <c r="CG2446">
        <v>0</v>
      </c>
      <c r="CH2446">
        <v>-1.42</v>
      </c>
      <c r="CI2446">
        <v>0</v>
      </c>
      <c r="CJ2446">
        <v>3.9</v>
      </c>
      <c r="CK2446">
        <v>95</v>
      </c>
      <c r="CL2446">
        <v>0.39</v>
      </c>
      <c r="CM2446">
        <v>94</v>
      </c>
      <c r="CN2446">
        <v>-0.72</v>
      </c>
      <c r="CO2446">
        <v>93</v>
      </c>
      <c r="CP2446">
        <v>3.8</v>
      </c>
      <c r="CQ2446">
        <v>93</v>
      </c>
      <c r="CR2446">
        <v>0</v>
      </c>
      <c r="CS2446">
        <v>0</v>
      </c>
      <c r="CT2446">
        <v>10</v>
      </c>
      <c r="CU2446">
        <v>84</v>
      </c>
      <c r="CV2446">
        <v>-0.25</v>
      </c>
      <c r="CW2446">
        <v>27</v>
      </c>
      <c r="CX2446" t="s">
        <v>11841</v>
      </c>
    </row>
    <row r="2447" spans="1:102" x14ac:dyDescent="0.3">
      <c r="A2447" t="str">
        <f>HYPERLINK("https://webapp.icbf.com/v2/app/bull-search/view/117830875","SSG")</f>
        <v>SSG</v>
      </c>
      <c r="B2447" t="s">
        <v>11360</v>
      </c>
      <c r="C2447" t="s">
        <v>11361</v>
      </c>
      <c r="D2447" s="1">
        <v>37318</v>
      </c>
      <c r="E2447" t="s">
        <v>92</v>
      </c>
      <c r="F2447">
        <v>91</v>
      </c>
      <c r="G2447" t="s">
        <v>93</v>
      </c>
      <c r="H2447">
        <v>38.630000000000003</v>
      </c>
      <c r="I2447">
        <v>93</v>
      </c>
      <c r="J2447">
        <v>38.549999999999997</v>
      </c>
      <c r="K2447">
        <v>99</v>
      </c>
      <c r="L2447">
        <v>-19.54</v>
      </c>
      <c r="M2447">
        <v>86</v>
      </c>
      <c r="N2447">
        <v>-4.88</v>
      </c>
      <c r="O2447">
        <v>92</v>
      </c>
      <c r="P2447">
        <v>-6.74</v>
      </c>
      <c r="Q2447">
        <v>97</v>
      </c>
      <c r="R2447">
        <v>14.03</v>
      </c>
      <c r="S2447">
        <v>88</v>
      </c>
      <c r="T2447">
        <v>15.97</v>
      </c>
      <c r="U2447">
        <v>95</v>
      </c>
      <c r="V2447">
        <v>1.24</v>
      </c>
      <c r="W2447">
        <v>86</v>
      </c>
      <c r="X2447" t="s">
        <v>94</v>
      </c>
      <c r="Y2447" t="s">
        <v>95</v>
      </c>
      <c r="Z2447" t="s">
        <v>96</v>
      </c>
      <c r="AA2447" t="s">
        <v>11362</v>
      </c>
      <c r="AB2447" t="s">
        <v>11363</v>
      </c>
      <c r="AC2447">
        <v>268</v>
      </c>
      <c r="AD2447">
        <v>196</v>
      </c>
      <c r="AE2447">
        <v>99</v>
      </c>
      <c r="AF2447">
        <v>80.86</v>
      </c>
      <c r="AG2447">
        <v>6.23</v>
      </c>
      <c r="AH2447">
        <v>5.59</v>
      </c>
      <c r="AI2447">
        <v>0.05</v>
      </c>
      <c r="AJ2447">
        <v>0.05</v>
      </c>
      <c r="AK2447">
        <v>86</v>
      </c>
      <c r="AL2447">
        <v>297</v>
      </c>
      <c r="AM2447">
        <v>212</v>
      </c>
      <c r="AN2447">
        <v>2.5</v>
      </c>
      <c r="AO2447">
        <v>0.96</v>
      </c>
      <c r="AP2447">
        <v>524</v>
      </c>
      <c r="AQ2447">
        <v>3</v>
      </c>
      <c r="AR2447">
        <v>7.4</v>
      </c>
      <c r="AS2447">
        <v>81</v>
      </c>
      <c r="AT2447">
        <v>3.07</v>
      </c>
      <c r="AU2447">
        <v>94</v>
      </c>
      <c r="AV2447">
        <v>0.24</v>
      </c>
      <c r="AW2447">
        <v>98</v>
      </c>
      <c r="AX2447">
        <v>0.21</v>
      </c>
      <c r="AY2447">
        <v>92</v>
      </c>
      <c r="AZ2447">
        <v>7.66</v>
      </c>
      <c r="BA2447">
        <v>80</v>
      </c>
      <c r="BB2447">
        <v>5.3</v>
      </c>
      <c r="BC2447">
        <v>83</v>
      </c>
      <c r="BD2447">
        <v>-0.1</v>
      </c>
      <c r="BE2447">
        <v>-0.04</v>
      </c>
      <c r="BF2447">
        <v>-0.08</v>
      </c>
      <c r="BG2447">
        <v>94</v>
      </c>
      <c r="BH2447">
        <v>0.19</v>
      </c>
      <c r="BI2447">
        <v>17.97</v>
      </c>
      <c r="BJ2447">
        <v>57</v>
      </c>
      <c r="BK2447">
        <v>51</v>
      </c>
      <c r="BL2447">
        <v>-0.51</v>
      </c>
      <c r="BM2447">
        <v>-0.48</v>
      </c>
      <c r="BN2447">
        <v>-1.52</v>
      </c>
      <c r="BO2447">
        <v>-0.48</v>
      </c>
      <c r="BP2447">
        <v>1.59</v>
      </c>
      <c r="BQ2447">
        <v>-2.2000000000000002</v>
      </c>
      <c r="BR2447">
        <v>-0.97</v>
      </c>
      <c r="BS2447">
        <v>-0.3</v>
      </c>
      <c r="BT2447">
        <v>0.55000000000000004</v>
      </c>
      <c r="BU2447">
        <v>-1.55</v>
      </c>
      <c r="BV2447">
        <v>-0.87</v>
      </c>
      <c r="BW2447">
        <v>-1.62</v>
      </c>
      <c r="BX2447">
        <v>-1.21</v>
      </c>
      <c r="BY2447">
        <v>-1.45</v>
      </c>
      <c r="BZ2447">
        <v>-0.4</v>
      </c>
      <c r="CA2447">
        <v>-1.61</v>
      </c>
      <c r="CB2447">
        <v>-1.62</v>
      </c>
      <c r="CC2447">
        <v>-1.1000000000000001</v>
      </c>
      <c r="CD2447">
        <v>-0.01</v>
      </c>
      <c r="CE2447">
        <v>-0.6</v>
      </c>
      <c r="CF2447">
        <v>-1.24</v>
      </c>
      <c r="CG2447">
        <v>0</v>
      </c>
      <c r="CH2447">
        <v>-1.1399999999999999</v>
      </c>
      <c r="CI2447">
        <v>0</v>
      </c>
      <c r="CJ2447">
        <v>0</v>
      </c>
      <c r="CK2447">
        <v>98</v>
      </c>
      <c r="CL2447">
        <v>-0.52</v>
      </c>
      <c r="CM2447">
        <v>97</v>
      </c>
      <c r="CN2447">
        <v>0.06</v>
      </c>
      <c r="CO2447">
        <v>97</v>
      </c>
      <c r="CP2447">
        <v>-4.5</v>
      </c>
      <c r="CQ2447">
        <v>96</v>
      </c>
      <c r="CR2447">
        <v>0</v>
      </c>
      <c r="CS2447">
        <v>0</v>
      </c>
      <c r="CT2447">
        <v>-7.8</v>
      </c>
      <c r="CU2447">
        <v>95</v>
      </c>
      <c r="CV2447">
        <v>0.11</v>
      </c>
      <c r="CW2447">
        <v>46</v>
      </c>
      <c r="CX2447" t="s">
        <v>612</v>
      </c>
    </row>
    <row r="2448" spans="1:102" x14ac:dyDescent="0.3">
      <c r="A2448" t="str">
        <f>HYPERLINK("https://webapp.icbf.com/v2/app/bull-search/view/334987784","RWI")</f>
        <v>RWI</v>
      </c>
      <c r="B2448" t="s">
        <v>11701</v>
      </c>
      <c r="C2448" t="s">
        <v>11702</v>
      </c>
      <c r="D2448" s="1">
        <v>38030</v>
      </c>
      <c r="E2448" t="s">
        <v>92</v>
      </c>
      <c r="F2448">
        <v>88</v>
      </c>
      <c r="G2448" t="s">
        <v>93</v>
      </c>
      <c r="H2448">
        <v>38.630000000000003</v>
      </c>
      <c r="I2448">
        <v>88</v>
      </c>
      <c r="J2448">
        <v>9.18</v>
      </c>
      <c r="K2448">
        <v>97</v>
      </c>
      <c r="L2448">
        <v>16.489999999999998</v>
      </c>
      <c r="M2448">
        <v>80</v>
      </c>
      <c r="N2448">
        <v>11.15</v>
      </c>
      <c r="O2448">
        <v>86</v>
      </c>
      <c r="P2448">
        <v>-5.96</v>
      </c>
      <c r="Q2448">
        <v>92</v>
      </c>
      <c r="R2448">
        <v>0.28999999999999998</v>
      </c>
      <c r="S2448">
        <v>82</v>
      </c>
      <c r="T2448">
        <v>4.58</v>
      </c>
      <c r="U2448">
        <v>89</v>
      </c>
      <c r="V2448">
        <v>2.9</v>
      </c>
      <c r="W2448">
        <v>79</v>
      </c>
      <c r="X2448" t="s">
        <v>94</v>
      </c>
      <c r="Y2448" t="s">
        <v>95</v>
      </c>
      <c r="Z2448" t="s">
        <v>96</v>
      </c>
      <c r="AA2448" t="s">
        <v>1037</v>
      </c>
      <c r="AB2448" t="s">
        <v>11703</v>
      </c>
      <c r="AC2448">
        <v>102</v>
      </c>
      <c r="AD2448">
        <v>79</v>
      </c>
      <c r="AE2448">
        <v>97</v>
      </c>
      <c r="AF2448">
        <v>-73.62</v>
      </c>
      <c r="AG2448">
        <v>-4</v>
      </c>
      <c r="AH2448">
        <v>1.85</v>
      </c>
      <c r="AI2448">
        <v>-0.02</v>
      </c>
      <c r="AJ2448">
        <v>0.08</v>
      </c>
      <c r="AK2448">
        <v>80</v>
      </c>
      <c r="AL2448">
        <v>96</v>
      </c>
      <c r="AM2448">
        <v>73</v>
      </c>
      <c r="AN2448">
        <v>-0.52</v>
      </c>
      <c r="AO2448">
        <v>0.8</v>
      </c>
      <c r="AP2448">
        <v>183</v>
      </c>
      <c r="AQ2448">
        <v>0</v>
      </c>
      <c r="AR2448">
        <v>9.02</v>
      </c>
      <c r="AS2448">
        <v>72</v>
      </c>
      <c r="AT2448">
        <v>3.37</v>
      </c>
      <c r="AU2448">
        <v>88</v>
      </c>
      <c r="AV2448">
        <v>-1.51</v>
      </c>
      <c r="AW2448">
        <v>95</v>
      </c>
      <c r="AX2448">
        <v>-0.23</v>
      </c>
      <c r="AY2448">
        <v>82</v>
      </c>
      <c r="AZ2448">
        <v>5.92</v>
      </c>
      <c r="BA2448">
        <v>68</v>
      </c>
      <c r="BB2448">
        <v>4.1399999999999997</v>
      </c>
      <c r="BC2448">
        <v>69</v>
      </c>
      <c r="BD2448">
        <v>-0.01</v>
      </c>
      <c r="BE2448">
        <v>0</v>
      </c>
      <c r="BF2448">
        <v>0.01</v>
      </c>
      <c r="BG2448">
        <v>90</v>
      </c>
      <c r="BH2448">
        <v>7.0000000000000007E-2</v>
      </c>
      <c r="BI2448">
        <v>-1.26</v>
      </c>
      <c r="BJ2448">
        <v>39</v>
      </c>
      <c r="BK2448">
        <v>31</v>
      </c>
      <c r="BL2448">
        <v>-0.76</v>
      </c>
      <c r="BM2448">
        <v>1.65</v>
      </c>
      <c r="BN2448">
        <v>-0.87</v>
      </c>
      <c r="BO2448">
        <v>-1.44</v>
      </c>
      <c r="BP2448">
        <v>-1.03</v>
      </c>
      <c r="BQ2448">
        <v>0.38</v>
      </c>
      <c r="BR2448">
        <v>-0.47</v>
      </c>
      <c r="BS2448">
        <v>-1.0900000000000001</v>
      </c>
      <c r="BT2448">
        <v>-0.64</v>
      </c>
      <c r="BU2448">
        <v>7.0000000000000007E-2</v>
      </c>
      <c r="BV2448">
        <v>-0.26</v>
      </c>
      <c r="BW2448">
        <v>-0.6</v>
      </c>
      <c r="BX2448">
        <v>0.11</v>
      </c>
      <c r="BY2448">
        <v>-1.84</v>
      </c>
      <c r="BZ2448">
        <v>-1.03</v>
      </c>
      <c r="CA2448">
        <v>-0.85</v>
      </c>
      <c r="CB2448">
        <v>-0.74</v>
      </c>
      <c r="CC2448">
        <v>-0.82</v>
      </c>
      <c r="CD2448">
        <v>1.7</v>
      </c>
      <c r="CE2448">
        <v>-1.33</v>
      </c>
      <c r="CF2448">
        <v>-0.56999999999999995</v>
      </c>
      <c r="CG2448">
        <v>0</v>
      </c>
      <c r="CH2448">
        <v>-1.1299999999999999</v>
      </c>
      <c r="CI2448">
        <v>0</v>
      </c>
      <c r="CJ2448">
        <v>-2.1</v>
      </c>
      <c r="CK2448">
        <v>93</v>
      </c>
      <c r="CL2448">
        <v>-0.37</v>
      </c>
      <c r="CM2448">
        <v>91</v>
      </c>
      <c r="CN2448">
        <v>-0.14000000000000001</v>
      </c>
      <c r="CO2448">
        <v>90</v>
      </c>
      <c r="CP2448">
        <v>-5.9</v>
      </c>
      <c r="CQ2448">
        <v>91</v>
      </c>
      <c r="CR2448">
        <v>0</v>
      </c>
      <c r="CS2448">
        <v>0</v>
      </c>
      <c r="CT2448">
        <v>7.6</v>
      </c>
      <c r="CU2448">
        <v>89</v>
      </c>
      <c r="CV2448">
        <v>-0.01</v>
      </c>
      <c r="CW2448">
        <v>46</v>
      </c>
      <c r="CX2448" t="s">
        <v>1252</v>
      </c>
    </row>
    <row r="2449" spans="1:102" x14ac:dyDescent="0.3">
      <c r="A2449" t="str">
        <f>HYPERLINK("https://webapp.icbf.com/v2/app/bull-search/view/999155287","S1411")</f>
        <v>S1411</v>
      </c>
      <c r="B2449" t="s">
        <v>351</v>
      </c>
      <c r="C2449" t="s">
        <v>352</v>
      </c>
      <c r="D2449" s="1">
        <v>40786</v>
      </c>
      <c r="E2449" t="s">
        <v>92</v>
      </c>
      <c r="F2449">
        <v>100</v>
      </c>
      <c r="G2449" t="s">
        <v>109</v>
      </c>
      <c r="H2449">
        <v>38.6</v>
      </c>
      <c r="I2449">
        <v>76</v>
      </c>
      <c r="J2449">
        <v>62</v>
      </c>
      <c r="K2449">
        <v>91</v>
      </c>
      <c r="L2449">
        <v>-65.42</v>
      </c>
      <c r="M2449">
        <v>75</v>
      </c>
      <c r="N2449">
        <v>45.67</v>
      </c>
      <c r="O2449">
        <v>64</v>
      </c>
      <c r="P2449">
        <v>1.87</v>
      </c>
      <c r="Q2449">
        <v>61</v>
      </c>
      <c r="R2449">
        <v>14.13</v>
      </c>
      <c r="S2449">
        <v>71</v>
      </c>
      <c r="T2449">
        <v>-20.81</v>
      </c>
      <c r="U2449">
        <v>58</v>
      </c>
      <c r="V2449">
        <v>1.1599999999999999</v>
      </c>
      <c r="W2449">
        <v>56</v>
      </c>
      <c r="X2449" t="s">
        <v>234</v>
      </c>
      <c r="Y2449" t="s">
        <v>342</v>
      </c>
      <c r="Z2449" t="s">
        <v>96</v>
      </c>
      <c r="AA2449" t="s">
        <v>353</v>
      </c>
      <c r="AB2449" t="s">
        <v>354</v>
      </c>
      <c r="AC2449">
        <v>0</v>
      </c>
      <c r="AD2449">
        <v>0</v>
      </c>
      <c r="AE2449">
        <v>91</v>
      </c>
      <c r="AF2449">
        <v>499.41</v>
      </c>
      <c r="AG2449">
        <v>14.75</v>
      </c>
      <c r="AH2449">
        <v>12.97</v>
      </c>
      <c r="AI2449">
        <v>-0.08</v>
      </c>
      <c r="AJ2449">
        <v>-0.06</v>
      </c>
      <c r="AK2449">
        <v>75</v>
      </c>
      <c r="AL2449">
        <v>0</v>
      </c>
      <c r="AM2449">
        <v>0</v>
      </c>
      <c r="AN2449">
        <v>4.1399999999999997</v>
      </c>
      <c r="AO2449">
        <v>-1.07</v>
      </c>
      <c r="AP2449">
        <v>30</v>
      </c>
      <c r="AQ2449">
        <v>0</v>
      </c>
      <c r="AR2449">
        <v>7.45</v>
      </c>
      <c r="AS2449">
        <v>59</v>
      </c>
      <c r="AT2449">
        <v>2.92</v>
      </c>
      <c r="AU2449">
        <v>77</v>
      </c>
      <c r="AV2449">
        <v>-5.29</v>
      </c>
      <c r="AW2449">
        <v>70</v>
      </c>
      <c r="AX2449">
        <v>-0.02</v>
      </c>
      <c r="AY2449">
        <v>52</v>
      </c>
      <c r="AZ2449">
        <v>6.72</v>
      </c>
      <c r="BA2449">
        <v>43</v>
      </c>
      <c r="BB2449">
        <v>4.62</v>
      </c>
      <c r="BC2449">
        <v>41</v>
      </c>
      <c r="BD2449">
        <v>-0.06</v>
      </c>
      <c r="BE2449">
        <v>-0.05</v>
      </c>
      <c r="BF2449">
        <v>-0.13</v>
      </c>
      <c r="BG2449">
        <v>85</v>
      </c>
      <c r="BH2449">
        <v>-0.15</v>
      </c>
      <c r="BI2449">
        <v>-21.09</v>
      </c>
      <c r="BJ2449">
        <v>7</v>
      </c>
      <c r="BK2449">
        <v>4</v>
      </c>
      <c r="BL2449">
        <v>0.86</v>
      </c>
      <c r="BM2449">
        <v>-0.8</v>
      </c>
      <c r="BN2449">
        <v>-0.03</v>
      </c>
      <c r="BO2449">
        <v>0.88</v>
      </c>
      <c r="BP2449">
        <v>4.03</v>
      </c>
      <c r="BQ2449">
        <v>0.28000000000000003</v>
      </c>
      <c r="BR2449">
        <v>-2.89</v>
      </c>
      <c r="BS2449">
        <v>2.54</v>
      </c>
      <c r="BT2449">
        <v>2.56</v>
      </c>
      <c r="BU2449">
        <v>3.44</v>
      </c>
      <c r="BV2449">
        <v>4.1900000000000004</v>
      </c>
      <c r="BW2449">
        <v>1.0900000000000001</v>
      </c>
      <c r="BX2449">
        <v>2.46</v>
      </c>
      <c r="BY2449">
        <v>0.81</v>
      </c>
      <c r="BZ2449">
        <v>2.2599999999999998</v>
      </c>
      <c r="CA2449">
        <v>3.37</v>
      </c>
      <c r="CB2449">
        <v>2.97</v>
      </c>
      <c r="CC2449">
        <v>2.4300000000000002</v>
      </c>
      <c r="CD2449">
        <v>-0.48</v>
      </c>
      <c r="CE2449">
        <v>0.92</v>
      </c>
      <c r="CF2449">
        <v>1.24</v>
      </c>
      <c r="CG2449">
        <v>0</v>
      </c>
      <c r="CH2449">
        <v>0.84</v>
      </c>
      <c r="CI2449">
        <v>0</v>
      </c>
      <c r="CJ2449">
        <v>2.6</v>
      </c>
      <c r="CK2449">
        <v>63</v>
      </c>
      <c r="CL2449">
        <v>-1.32</v>
      </c>
      <c r="CM2449">
        <v>59</v>
      </c>
      <c r="CN2449">
        <v>-0.8</v>
      </c>
      <c r="CO2449">
        <v>56</v>
      </c>
      <c r="CP2449">
        <v>16.899999999999999</v>
      </c>
      <c r="CQ2449">
        <v>57</v>
      </c>
      <c r="CR2449">
        <v>0</v>
      </c>
      <c r="CS2449">
        <v>0</v>
      </c>
      <c r="CT2449">
        <v>41.9</v>
      </c>
      <c r="CU2449">
        <v>58</v>
      </c>
      <c r="CV2449">
        <v>0.25</v>
      </c>
      <c r="CW2449">
        <v>38</v>
      </c>
      <c r="CX2449" t="s">
        <v>355</v>
      </c>
    </row>
    <row r="2450" spans="1:102" x14ac:dyDescent="0.3">
      <c r="A2450" t="str">
        <f>HYPERLINK("https://webapp.icbf.com/v2/app/bull-search/view/747929159","LPW")</f>
        <v>LPW</v>
      </c>
      <c r="B2450" t="s">
        <v>5483</v>
      </c>
      <c r="C2450" t="s">
        <v>5484</v>
      </c>
      <c r="D2450" s="1">
        <v>40204</v>
      </c>
      <c r="E2450" t="s">
        <v>108</v>
      </c>
      <c r="F2450">
        <v>6</v>
      </c>
      <c r="G2450" t="s">
        <v>93</v>
      </c>
      <c r="H2450">
        <v>38.58</v>
      </c>
      <c r="I2450">
        <v>96</v>
      </c>
      <c r="J2450">
        <v>1.78</v>
      </c>
      <c r="K2450">
        <v>99</v>
      </c>
      <c r="L2450">
        <v>14.2</v>
      </c>
      <c r="M2450">
        <v>93</v>
      </c>
      <c r="N2450">
        <v>30.88</v>
      </c>
      <c r="O2450">
        <v>97</v>
      </c>
      <c r="P2450">
        <v>-23.65</v>
      </c>
      <c r="Q2450">
        <v>99</v>
      </c>
      <c r="R2450">
        <v>-12.63</v>
      </c>
      <c r="S2450">
        <v>92</v>
      </c>
      <c r="T2450">
        <v>23.08</v>
      </c>
      <c r="U2450">
        <v>98</v>
      </c>
      <c r="V2450">
        <v>4.92</v>
      </c>
      <c r="W2450">
        <v>82</v>
      </c>
      <c r="X2450" t="s">
        <v>94</v>
      </c>
      <c r="Y2450" t="s">
        <v>1685</v>
      </c>
      <c r="Z2450" t="s">
        <v>96</v>
      </c>
      <c r="AA2450" t="s">
        <v>1223</v>
      </c>
      <c r="AB2450" t="s">
        <v>5485</v>
      </c>
      <c r="AC2450">
        <v>920</v>
      </c>
      <c r="AD2450">
        <v>380</v>
      </c>
      <c r="AE2450">
        <v>99</v>
      </c>
      <c r="AF2450">
        <v>-62.27</v>
      </c>
      <c r="AG2450">
        <v>4.07</v>
      </c>
      <c r="AH2450">
        <v>-2.09</v>
      </c>
      <c r="AI2450">
        <v>0.11</v>
      </c>
      <c r="AJ2450">
        <v>0</v>
      </c>
      <c r="AK2450">
        <v>93</v>
      </c>
      <c r="AL2450">
        <v>1656</v>
      </c>
      <c r="AM2450">
        <v>749</v>
      </c>
      <c r="AN2450">
        <v>-1.71</v>
      </c>
      <c r="AO2450">
        <v>-0.59</v>
      </c>
      <c r="AP2450">
        <v>2170</v>
      </c>
      <c r="AQ2450">
        <v>26</v>
      </c>
      <c r="AR2450">
        <v>7.56</v>
      </c>
      <c r="AS2450">
        <v>95</v>
      </c>
      <c r="AT2450">
        <v>2.85</v>
      </c>
      <c r="AU2450">
        <v>98</v>
      </c>
      <c r="AV2450">
        <v>-4.1399999999999997</v>
      </c>
      <c r="AW2450">
        <v>99</v>
      </c>
      <c r="AX2450">
        <v>-0.53</v>
      </c>
      <c r="AY2450">
        <v>98</v>
      </c>
      <c r="AZ2450">
        <v>7.49</v>
      </c>
      <c r="BA2450">
        <v>93</v>
      </c>
      <c r="BB2450">
        <v>5.79</v>
      </c>
      <c r="BC2450">
        <v>93</v>
      </c>
      <c r="BD2450">
        <v>0.02</v>
      </c>
      <c r="BE2450">
        <v>0.03</v>
      </c>
      <c r="BF2450">
        <v>0.2</v>
      </c>
      <c r="BG2450">
        <v>98</v>
      </c>
      <c r="BH2450">
        <v>0.03</v>
      </c>
      <c r="BI2450">
        <v>-12.41</v>
      </c>
      <c r="BJ2450">
        <v>53</v>
      </c>
      <c r="BK2450">
        <v>23</v>
      </c>
      <c r="BL2450">
        <v>-2.15</v>
      </c>
      <c r="BM2450">
        <v>0.36</v>
      </c>
      <c r="BN2450">
        <v>-1.19</v>
      </c>
      <c r="BO2450">
        <v>-1.33</v>
      </c>
      <c r="BP2450">
        <v>-1.71</v>
      </c>
      <c r="BQ2450">
        <v>0.83</v>
      </c>
      <c r="BR2450">
        <v>-1.26</v>
      </c>
      <c r="BS2450">
        <v>-1.36</v>
      </c>
      <c r="BT2450">
        <v>-0.57999999999999996</v>
      </c>
      <c r="BU2450">
        <v>-2.06</v>
      </c>
      <c r="BV2450">
        <v>-0.76</v>
      </c>
      <c r="BW2450">
        <v>-0.41</v>
      </c>
      <c r="BX2450">
        <v>-1.1499999999999999</v>
      </c>
      <c r="BY2450">
        <v>-0.69</v>
      </c>
      <c r="BZ2450">
        <v>0.77</v>
      </c>
      <c r="CA2450">
        <v>-1.99</v>
      </c>
      <c r="CB2450">
        <v>-1.29</v>
      </c>
      <c r="CC2450">
        <v>-2.4700000000000002</v>
      </c>
      <c r="CD2450">
        <v>0.37</v>
      </c>
      <c r="CE2450">
        <v>-1.18</v>
      </c>
      <c r="CF2450">
        <v>-1.55</v>
      </c>
      <c r="CG2450">
        <v>0</v>
      </c>
      <c r="CH2450">
        <v>-0.62</v>
      </c>
      <c r="CI2450">
        <v>0</v>
      </c>
      <c r="CJ2450">
        <v>-14.5</v>
      </c>
      <c r="CK2450">
        <v>99</v>
      </c>
      <c r="CL2450">
        <v>-0.55000000000000004</v>
      </c>
      <c r="CM2450">
        <v>99</v>
      </c>
      <c r="CN2450">
        <v>-0.37</v>
      </c>
      <c r="CO2450">
        <v>99</v>
      </c>
      <c r="CP2450">
        <v>-15.3</v>
      </c>
      <c r="CQ2450">
        <v>98</v>
      </c>
      <c r="CR2450">
        <v>0</v>
      </c>
      <c r="CS2450">
        <v>0</v>
      </c>
      <c r="CT2450">
        <v>-17.399999999999999</v>
      </c>
      <c r="CU2450">
        <v>98</v>
      </c>
      <c r="CV2450">
        <v>-0.03</v>
      </c>
      <c r="CW2450">
        <v>47</v>
      </c>
      <c r="CX2450" t="s">
        <v>5486</v>
      </c>
    </row>
    <row r="2451" spans="1:102" x14ac:dyDescent="0.3">
      <c r="A2451" t="str">
        <f>HYPERLINK("https://webapp.icbf.com/v2/app/bull-search/view/384125763","MPI")</f>
        <v>MPI</v>
      </c>
      <c r="B2451" t="s">
        <v>4315</v>
      </c>
      <c r="C2451" t="s">
        <v>4316</v>
      </c>
      <c r="D2451" s="1">
        <v>36239</v>
      </c>
      <c r="E2451" t="s">
        <v>108</v>
      </c>
      <c r="F2451">
        <v>0</v>
      </c>
      <c r="G2451" t="s">
        <v>109</v>
      </c>
      <c r="H2451">
        <v>38.53</v>
      </c>
      <c r="I2451">
        <v>84</v>
      </c>
      <c r="J2451">
        <v>12.54</v>
      </c>
      <c r="K2451">
        <v>95</v>
      </c>
      <c r="L2451">
        <v>10.02</v>
      </c>
      <c r="M2451">
        <v>80</v>
      </c>
      <c r="N2451">
        <v>16.350000000000001</v>
      </c>
      <c r="O2451">
        <v>79</v>
      </c>
      <c r="P2451">
        <v>-5.76</v>
      </c>
      <c r="Q2451">
        <v>85</v>
      </c>
      <c r="R2451">
        <v>-1.1599999999999999</v>
      </c>
      <c r="S2451">
        <v>78</v>
      </c>
      <c r="T2451">
        <v>7.24</v>
      </c>
      <c r="U2451">
        <v>72</v>
      </c>
      <c r="V2451">
        <v>-0.7</v>
      </c>
      <c r="W2451">
        <v>74</v>
      </c>
      <c r="X2451" t="s">
        <v>251</v>
      </c>
      <c r="Y2451" t="s">
        <v>95</v>
      </c>
      <c r="Z2451" t="s">
        <v>96</v>
      </c>
      <c r="AA2451" t="s">
        <v>2444</v>
      </c>
      <c r="AB2451" t="s">
        <v>4317</v>
      </c>
      <c r="AC2451">
        <v>30</v>
      </c>
      <c r="AD2451">
        <v>15</v>
      </c>
      <c r="AE2451">
        <v>95</v>
      </c>
      <c r="AF2451">
        <v>-51.54</v>
      </c>
      <c r="AG2451">
        <v>1.48</v>
      </c>
      <c r="AH2451">
        <v>0.82</v>
      </c>
      <c r="AI2451">
        <v>0.06</v>
      </c>
      <c r="AJ2451">
        <v>0.05</v>
      </c>
      <c r="AK2451">
        <v>80</v>
      </c>
      <c r="AL2451">
        <v>24</v>
      </c>
      <c r="AM2451">
        <v>14</v>
      </c>
      <c r="AN2451">
        <v>0.28000000000000003</v>
      </c>
      <c r="AO2451">
        <v>1.0900000000000001</v>
      </c>
      <c r="AP2451">
        <v>71</v>
      </c>
      <c r="AQ2451">
        <v>1</v>
      </c>
      <c r="AR2451">
        <v>4.5199999999999996</v>
      </c>
      <c r="AS2451">
        <v>64</v>
      </c>
      <c r="AT2451">
        <v>2.64</v>
      </c>
      <c r="AU2451">
        <v>82</v>
      </c>
      <c r="AV2451">
        <v>0.08</v>
      </c>
      <c r="AW2451">
        <v>89</v>
      </c>
      <c r="AX2451">
        <v>-0.93</v>
      </c>
      <c r="AY2451">
        <v>69</v>
      </c>
      <c r="AZ2451">
        <v>5.66</v>
      </c>
      <c r="BA2451">
        <v>58</v>
      </c>
      <c r="BB2451">
        <v>4.5</v>
      </c>
      <c r="BC2451">
        <v>60</v>
      </c>
      <c r="BD2451">
        <v>-0.02</v>
      </c>
      <c r="BE2451">
        <v>0</v>
      </c>
      <c r="BF2451">
        <v>0.06</v>
      </c>
      <c r="BG2451">
        <v>86</v>
      </c>
      <c r="BH2451">
        <v>-0.09</v>
      </c>
      <c r="BI2451">
        <v>-8.15</v>
      </c>
      <c r="BJ2451">
        <v>0</v>
      </c>
      <c r="BK2451">
        <v>0</v>
      </c>
      <c r="BL2451">
        <v>0.2</v>
      </c>
      <c r="BM2451">
        <v>0.32</v>
      </c>
      <c r="BN2451">
        <v>-0.17</v>
      </c>
      <c r="BO2451">
        <v>-0.56999999999999995</v>
      </c>
      <c r="BP2451">
        <v>-0.72</v>
      </c>
      <c r="BQ2451">
        <v>1.0900000000000001</v>
      </c>
      <c r="BR2451">
        <v>-0.17</v>
      </c>
      <c r="BS2451">
        <v>0.41</v>
      </c>
      <c r="BT2451">
        <v>1.1100000000000001</v>
      </c>
      <c r="BU2451">
        <v>1.35</v>
      </c>
      <c r="BV2451">
        <v>0</v>
      </c>
      <c r="BW2451">
        <v>-0.2</v>
      </c>
      <c r="BX2451">
        <v>1.67</v>
      </c>
      <c r="BY2451">
        <v>1.07</v>
      </c>
      <c r="BZ2451">
        <v>-3.46</v>
      </c>
      <c r="CA2451">
        <v>0.95</v>
      </c>
      <c r="CB2451">
        <v>1</v>
      </c>
      <c r="CC2451">
        <v>0.22</v>
      </c>
      <c r="CD2451">
        <v>0.65</v>
      </c>
      <c r="CE2451">
        <v>-0.31</v>
      </c>
      <c r="CF2451">
        <v>-0.55000000000000004</v>
      </c>
      <c r="CG2451">
        <v>0</v>
      </c>
      <c r="CH2451">
        <v>0.31</v>
      </c>
      <c r="CI2451">
        <v>0</v>
      </c>
      <c r="CJ2451">
        <v>-1</v>
      </c>
      <c r="CK2451">
        <v>87</v>
      </c>
      <c r="CL2451">
        <v>-0.75</v>
      </c>
      <c r="CM2451">
        <v>84</v>
      </c>
      <c r="CN2451">
        <v>-0.27</v>
      </c>
      <c r="CO2451">
        <v>83</v>
      </c>
      <c r="CP2451">
        <v>1.3</v>
      </c>
      <c r="CQ2451">
        <v>78</v>
      </c>
      <c r="CR2451">
        <v>0</v>
      </c>
      <c r="CS2451">
        <v>0</v>
      </c>
      <c r="CT2451">
        <v>4</v>
      </c>
      <c r="CU2451">
        <v>72</v>
      </c>
      <c r="CV2451">
        <v>0.38</v>
      </c>
      <c r="CW2451">
        <v>43</v>
      </c>
      <c r="CX2451" t="s">
        <v>485</v>
      </c>
    </row>
    <row r="2452" spans="1:102" x14ac:dyDescent="0.3">
      <c r="A2452" t="str">
        <f>HYPERLINK("https://webapp.icbf.com/v2/app/bull-search/view/77854558","ODR")</f>
        <v>ODR</v>
      </c>
      <c r="B2452" t="s">
        <v>477</v>
      </c>
      <c r="C2452" t="s">
        <v>478</v>
      </c>
      <c r="D2452" s="1">
        <v>34765</v>
      </c>
      <c r="E2452" t="s">
        <v>108</v>
      </c>
      <c r="F2452">
        <v>0</v>
      </c>
      <c r="G2452" t="s">
        <v>93</v>
      </c>
      <c r="H2452">
        <v>38.44</v>
      </c>
      <c r="I2452">
        <v>99</v>
      </c>
      <c r="J2452">
        <v>-0.43</v>
      </c>
      <c r="K2452">
        <v>99</v>
      </c>
      <c r="L2452">
        <v>-0.73</v>
      </c>
      <c r="M2452">
        <v>98</v>
      </c>
      <c r="N2452">
        <v>25.79</v>
      </c>
      <c r="O2452">
        <v>99</v>
      </c>
      <c r="P2452">
        <v>-12.65</v>
      </c>
      <c r="Q2452">
        <v>99</v>
      </c>
      <c r="R2452">
        <v>-6.48</v>
      </c>
      <c r="S2452">
        <v>99</v>
      </c>
      <c r="T2452">
        <v>25.67</v>
      </c>
      <c r="U2452">
        <v>99</v>
      </c>
      <c r="V2452">
        <v>7.27</v>
      </c>
      <c r="W2452">
        <v>99</v>
      </c>
      <c r="X2452" t="s">
        <v>102</v>
      </c>
      <c r="Y2452" t="s">
        <v>95</v>
      </c>
      <c r="Z2452" t="s">
        <v>96</v>
      </c>
      <c r="AA2452" t="s">
        <v>479</v>
      </c>
      <c r="AB2452" t="s">
        <v>480</v>
      </c>
      <c r="AC2452">
        <v>4941</v>
      </c>
      <c r="AD2452">
        <v>1167</v>
      </c>
      <c r="AE2452">
        <v>99</v>
      </c>
      <c r="AF2452">
        <v>-266.29000000000002</v>
      </c>
      <c r="AG2452">
        <v>-3.08</v>
      </c>
      <c r="AH2452">
        <v>-3.06</v>
      </c>
      <c r="AI2452">
        <v>0.13</v>
      </c>
      <c r="AJ2452">
        <v>0.11</v>
      </c>
      <c r="AK2452">
        <v>98</v>
      </c>
      <c r="AL2452">
        <v>7034</v>
      </c>
      <c r="AM2452">
        <v>1896</v>
      </c>
      <c r="AN2452">
        <v>-0.86</v>
      </c>
      <c r="AO2452">
        <v>-0.93</v>
      </c>
      <c r="AP2452">
        <v>7115</v>
      </c>
      <c r="AQ2452">
        <v>67</v>
      </c>
      <c r="AR2452">
        <v>6.18</v>
      </c>
      <c r="AS2452">
        <v>99</v>
      </c>
      <c r="AT2452">
        <v>2.16</v>
      </c>
      <c r="AU2452">
        <v>99</v>
      </c>
      <c r="AV2452">
        <v>-4.88</v>
      </c>
      <c r="AW2452">
        <v>99</v>
      </c>
      <c r="AX2452">
        <v>-0.33</v>
      </c>
      <c r="AY2452">
        <v>99</v>
      </c>
      <c r="AZ2452">
        <v>10.15</v>
      </c>
      <c r="BA2452">
        <v>99</v>
      </c>
      <c r="BB2452">
        <v>7.9</v>
      </c>
      <c r="BC2452">
        <v>99</v>
      </c>
      <c r="BD2452">
        <v>0.03</v>
      </c>
      <c r="BE2452">
        <v>0.01</v>
      </c>
      <c r="BF2452">
        <v>0.08</v>
      </c>
      <c r="BG2452">
        <v>99</v>
      </c>
      <c r="BH2452">
        <v>0.2</v>
      </c>
      <c r="BI2452">
        <v>-0.31</v>
      </c>
      <c r="BJ2452">
        <v>185</v>
      </c>
      <c r="BK2452">
        <v>108</v>
      </c>
      <c r="BL2452">
        <v>-3.01</v>
      </c>
      <c r="BM2452">
        <v>0.82</v>
      </c>
      <c r="BN2452">
        <v>-2.56</v>
      </c>
      <c r="BO2452">
        <v>-2.27</v>
      </c>
      <c r="BP2452">
        <v>-3.15</v>
      </c>
      <c r="BQ2452">
        <v>0.4</v>
      </c>
      <c r="BR2452">
        <v>-0.84</v>
      </c>
      <c r="BS2452">
        <v>-1.94</v>
      </c>
      <c r="BT2452">
        <v>-0.36</v>
      </c>
      <c r="BU2452">
        <v>-2.79</v>
      </c>
      <c r="BV2452">
        <v>-1.18</v>
      </c>
      <c r="BW2452">
        <v>-1.86</v>
      </c>
      <c r="BX2452">
        <v>-1.41</v>
      </c>
      <c r="BY2452">
        <v>-0.63</v>
      </c>
      <c r="BZ2452">
        <v>1.78</v>
      </c>
      <c r="CA2452">
        <v>-2.25</v>
      </c>
      <c r="CB2452">
        <v>-1.87</v>
      </c>
      <c r="CC2452">
        <v>-2.15</v>
      </c>
      <c r="CD2452">
        <v>1.91</v>
      </c>
      <c r="CE2452">
        <v>-2.42</v>
      </c>
      <c r="CF2452">
        <v>-2.87</v>
      </c>
      <c r="CG2452">
        <v>0</v>
      </c>
      <c r="CH2452">
        <v>-0.56999999999999995</v>
      </c>
      <c r="CI2452">
        <v>0</v>
      </c>
      <c r="CJ2452">
        <v>-7.5</v>
      </c>
      <c r="CK2452">
        <v>99</v>
      </c>
      <c r="CL2452">
        <v>-0.1</v>
      </c>
      <c r="CM2452">
        <v>99</v>
      </c>
      <c r="CN2452">
        <v>-0.14000000000000001</v>
      </c>
      <c r="CO2452">
        <v>99</v>
      </c>
      <c r="CP2452">
        <v>-19.399999999999999</v>
      </c>
      <c r="CQ2452">
        <v>99</v>
      </c>
      <c r="CR2452">
        <v>0</v>
      </c>
      <c r="CS2452">
        <v>0</v>
      </c>
      <c r="CT2452">
        <v>-20.9</v>
      </c>
      <c r="CU2452">
        <v>99</v>
      </c>
      <c r="CV2452">
        <v>0.03</v>
      </c>
      <c r="CW2452">
        <v>49</v>
      </c>
      <c r="CX2452" t="s">
        <v>481</v>
      </c>
    </row>
    <row r="2453" spans="1:102" x14ac:dyDescent="0.3">
      <c r="A2453" t="str">
        <f>HYPERLINK("https://webapp.icbf.com/v2/app/bull-search/view/751419730","MJF")</f>
        <v>MJF</v>
      </c>
      <c r="B2453" t="s">
        <v>5519</v>
      </c>
      <c r="C2453" t="s">
        <v>5520</v>
      </c>
      <c r="D2453" s="1">
        <v>40234</v>
      </c>
      <c r="E2453" t="s">
        <v>92</v>
      </c>
      <c r="F2453">
        <v>91</v>
      </c>
      <c r="G2453" t="s">
        <v>435</v>
      </c>
      <c r="H2453">
        <v>38.24</v>
      </c>
      <c r="I2453">
        <v>69</v>
      </c>
      <c r="J2453">
        <v>26.34</v>
      </c>
      <c r="K2453">
        <v>88</v>
      </c>
      <c r="L2453">
        <v>-6.06</v>
      </c>
      <c r="M2453">
        <v>65</v>
      </c>
      <c r="N2453">
        <v>25.35</v>
      </c>
      <c r="O2453">
        <v>58</v>
      </c>
      <c r="P2453">
        <v>-10.45</v>
      </c>
      <c r="Q2453">
        <v>50</v>
      </c>
      <c r="R2453">
        <v>-7.74</v>
      </c>
      <c r="S2453">
        <v>64</v>
      </c>
      <c r="T2453">
        <v>5.46</v>
      </c>
      <c r="U2453">
        <v>50</v>
      </c>
      <c r="V2453">
        <v>5.34</v>
      </c>
      <c r="W2453">
        <v>60</v>
      </c>
      <c r="X2453" t="s">
        <v>276</v>
      </c>
      <c r="Y2453" t="s">
        <v>1685</v>
      </c>
      <c r="Z2453" t="s">
        <v>96</v>
      </c>
      <c r="AA2453" t="s">
        <v>5521</v>
      </c>
      <c r="AB2453" t="s">
        <v>5522</v>
      </c>
      <c r="AC2453">
        <v>1</v>
      </c>
      <c r="AD2453">
        <v>1</v>
      </c>
      <c r="AE2453">
        <v>88</v>
      </c>
      <c r="AF2453">
        <v>-165.58</v>
      </c>
      <c r="AG2453">
        <v>-1.2</v>
      </c>
      <c r="AH2453">
        <v>2.37</v>
      </c>
      <c r="AI2453">
        <v>0.09</v>
      </c>
      <c r="AJ2453">
        <v>0.15</v>
      </c>
      <c r="AK2453">
        <v>65</v>
      </c>
      <c r="AL2453">
        <v>1</v>
      </c>
      <c r="AM2453">
        <v>1</v>
      </c>
      <c r="AN2453">
        <v>0.56999999999999995</v>
      </c>
      <c r="AO2453">
        <v>0.09</v>
      </c>
      <c r="AP2453">
        <v>2</v>
      </c>
      <c r="AQ2453">
        <v>0</v>
      </c>
      <c r="AR2453">
        <v>6.15</v>
      </c>
      <c r="AS2453">
        <v>53</v>
      </c>
      <c r="AT2453">
        <v>2.85</v>
      </c>
      <c r="AU2453">
        <v>61</v>
      </c>
      <c r="AV2453">
        <v>-3.76</v>
      </c>
      <c r="AW2453">
        <v>65</v>
      </c>
      <c r="AX2453">
        <v>0.74</v>
      </c>
      <c r="AY2453">
        <v>48</v>
      </c>
      <c r="AZ2453">
        <v>8.9</v>
      </c>
      <c r="BA2453">
        <v>42</v>
      </c>
      <c r="BB2453">
        <v>5.82</v>
      </c>
      <c r="BC2453">
        <v>43</v>
      </c>
      <c r="BD2453">
        <v>0</v>
      </c>
      <c r="BE2453">
        <v>0.02</v>
      </c>
      <c r="BF2453">
        <v>0.14000000000000001</v>
      </c>
      <c r="BG2453">
        <v>74</v>
      </c>
      <c r="BH2453">
        <v>0.1</v>
      </c>
      <c r="BI2453">
        <v>-5.66</v>
      </c>
      <c r="BJ2453">
        <v>0</v>
      </c>
      <c r="BK2453">
        <v>0</v>
      </c>
      <c r="BL2453">
        <v>-0.85</v>
      </c>
      <c r="BM2453">
        <v>-1.34</v>
      </c>
      <c r="BN2453">
        <v>-1.47</v>
      </c>
      <c r="BO2453">
        <v>-0.56999999999999995</v>
      </c>
      <c r="BP2453">
        <v>-1.94</v>
      </c>
      <c r="BQ2453">
        <v>-0.94</v>
      </c>
      <c r="BR2453">
        <v>0.61</v>
      </c>
      <c r="BS2453">
        <v>-1.26</v>
      </c>
      <c r="BT2453">
        <v>-0.28999999999999998</v>
      </c>
      <c r="BU2453">
        <v>0.63</v>
      </c>
      <c r="BV2453">
        <v>0.64</v>
      </c>
      <c r="BW2453">
        <v>0.4</v>
      </c>
      <c r="BX2453">
        <v>-0.28999999999999998</v>
      </c>
      <c r="BY2453">
        <v>-0.93</v>
      </c>
      <c r="BZ2453">
        <v>-0.56999999999999995</v>
      </c>
      <c r="CA2453">
        <v>-0.79</v>
      </c>
      <c r="CB2453">
        <v>0</v>
      </c>
      <c r="CC2453">
        <v>-1.89</v>
      </c>
      <c r="CD2453">
        <v>0.16</v>
      </c>
      <c r="CE2453">
        <v>-1.25</v>
      </c>
      <c r="CF2453">
        <v>-1.52</v>
      </c>
      <c r="CG2453">
        <v>0</v>
      </c>
      <c r="CH2453">
        <v>-1.01</v>
      </c>
      <c r="CI2453">
        <v>0</v>
      </c>
      <c r="CJ2453">
        <v>-4</v>
      </c>
      <c r="CK2453">
        <v>51</v>
      </c>
      <c r="CL2453">
        <v>-0.61</v>
      </c>
      <c r="CM2453">
        <v>50</v>
      </c>
      <c r="CN2453">
        <v>-0.22</v>
      </c>
      <c r="CO2453">
        <v>49</v>
      </c>
      <c r="CP2453">
        <v>-8.1</v>
      </c>
      <c r="CQ2453">
        <v>49</v>
      </c>
      <c r="CR2453">
        <v>0</v>
      </c>
      <c r="CS2453">
        <v>0</v>
      </c>
      <c r="CT2453">
        <v>6.4</v>
      </c>
      <c r="CU2453">
        <v>50</v>
      </c>
      <c r="CV2453">
        <v>0.08</v>
      </c>
      <c r="CW2453">
        <v>36</v>
      </c>
      <c r="CX2453" t="s">
        <v>4532</v>
      </c>
    </row>
    <row r="2454" spans="1:102" x14ac:dyDescent="0.3">
      <c r="A2454" t="str">
        <f>HYPERLINK("https://webapp.icbf.com/v2/app/bull-search/view/441438084","WGR")</f>
        <v>WGR</v>
      </c>
      <c r="B2454" t="s">
        <v>14168</v>
      </c>
      <c r="C2454" t="s">
        <v>14169</v>
      </c>
      <c r="D2454" s="1">
        <v>38753</v>
      </c>
      <c r="E2454" t="s">
        <v>92</v>
      </c>
      <c r="F2454">
        <v>94</v>
      </c>
      <c r="G2454" t="s">
        <v>93</v>
      </c>
      <c r="H2454">
        <v>38.19</v>
      </c>
      <c r="I2454">
        <v>88</v>
      </c>
      <c r="J2454">
        <v>57.99</v>
      </c>
      <c r="K2454">
        <v>97</v>
      </c>
      <c r="L2454">
        <v>-65.69</v>
      </c>
      <c r="M2454">
        <v>80</v>
      </c>
      <c r="N2454">
        <v>44.5</v>
      </c>
      <c r="O2454">
        <v>86</v>
      </c>
      <c r="P2454">
        <v>-13.78</v>
      </c>
      <c r="Q2454">
        <v>91</v>
      </c>
      <c r="R2454">
        <v>-2.9</v>
      </c>
      <c r="S2454">
        <v>82</v>
      </c>
      <c r="T2454">
        <v>9.68</v>
      </c>
      <c r="U2454">
        <v>86</v>
      </c>
      <c r="V2454">
        <v>8.39</v>
      </c>
      <c r="W2454">
        <v>80</v>
      </c>
      <c r="X2454" t="s">
        <v>94</v>
      </c>
      <c r="Y2454" t="s">
        <v>1251</v>
      </c>
      <c r="Z2454" t="s">
        <v>96</v>
      </c>
      <c r="AA2454" t="s">
        <v>4796</v>
      </c>
      <c r="AB2454" t="s">
        <v>14170</v>
      </c>
      <c r="AC2454">
        <v>85</v>
      </c>
      <c r="AD2454">
        <v>62</v>
      </c>
      <c r="AE2454">
        <v>97</v>
      </c>
      <c r="AF2454">
        <v>235.74</v>
      </c>
      <c r="AG2454">
        <v>7.89</v>
      </c>
      <c r="AH2454">
        <v>10.68</v>
      </c>
      <c r="AI2454">
        <v>-0.02</v>
      </c>
      <c r="AJ2454">
        <v>0.05</v>
      </c>
      <c r="AK2454">
        <v>80</v>
      </c>
      <c r="AL2454">
        <v>82</v>
      </c>
      <c r="AM2454">
        <v>57</v>
      </c>
      <c r="AN2454">
        <v>4.2300000000000004</v>
      </c>
      <c r="AO2454">
        <v>-1</v>
      </c>
      <c r="AP2454">
        <v>191</v>
      </c>
      <c r="AQ2454">
        <v>0</v>
      </c>
      <c r="AR2454">
        <v>4.66</v>
      </c>
      <c r="AS2454">
        <v>70</v>
      </c>
      <c r="AT2454">
        <v>2.17</v>
      </c>
      <c r="AU2454">
        <v>88</v>
      </c>
      <c r="AV2454">
        <v>-3.43</v>
      </c>
      <c r="AW2454">
        <v>96</v>
      </c>
      <c r="AX2454">
        <v>-0.84</v>
      </c>
      <c r="AY2454">
        <v>80</v>
      </c>
      <c r="AZ2454">
        <v>5.7</v>
      </c>
      <c r="BA2454">
        <v>65</v>
      </c>
      <c r="BB2454">
        <v>4.9800000000000004</v>
      </c>
      <c r="BC2454">
        <v>69</v>
      </c>
      <c r="BD2454">
        <v>-0.02</v>
      </c>
      <c r="BE2454">
        <v>0</v>
      </c>
      <c r="BF2454">
        <v>0.1</v>
      </c>
      <c r="BG2454">
        <v>89</v>
      </c>
      <c r="BH2454">
        <v>0.24</v>
      </c>
      <c r="BI2454">
        <v>0.7</v>
      </c>
      <c r="BJ2454">
        <v>14</v>
      </c>
      <c r="BK2454">
        <v>12</v>
      </c>
      <c r="BL2454">
        <v>-0.23</v>
      </c>
      <c r="BM2454">
        <v>1.1000000000000001</v>
      </c>
      <c r="BN2454">
        <v>0.91</v>
      </c>
      <c r="BO2454">
        <v>0.21</v>
      </c>
      <c r="BP2454">
        <v>2.4900000000000002</v>
      </c>
      <c r="BQ2454">
        <v>-0.33</v>
      </c>
      <c r="BR2454">
        <v>2.5</v>
      </c>
      <c r="BS2454">
        <v>-0.56999999999999995</v>
      </c>
      <c r="BT2454">
        <v>-2.12</v>
      </c>
      <c r="BU2454">
        <v>-1.1000000000000001</v>
      </c>
      <c r="BV2454">
        <v>-0.88</v>
      </c>
      <c r="BW2454">
        <v>-1.17</v>
      </c>
      <c r="BX2454">
        <v>-1.87</v>
      </c>
      <c r="BY2454">
        <v>0.25</v>
      </c>
      <c r="BZ2454">
        <v>-0.92</v>
      </c>
      <c r="CA2454">
        <v>-1.43</v>
      </c>
      <c r="CB2454">
        <v>-0.88</v>
      </c>
      <c r="CC2454">
        <v>-1.52</v>
      </c>
      <c r="CD2454">
        <v>-0.04</v>
      </c>
      <c r="CE2454">
        <v>-0.54</v>
      </c>
      <c r="CF2454">
        <v>-0.28999999999999998</v>
      </c>
      <c r="CG2454">
        <v>0</v>
      </c>
      <c r="CH2454">
        <v>0.23</v>
      </c>
      <c r="CI2454">
        <v>0</v>
      </c>
      <c r="CJ2454">
        <v>-3.7</v>
      </c>
      <c r="CK2454">
        <v>92</v>
      </c>
      <c r="CL2454">
        <v>-0.73</v>
      </c>
      <c r="CM2454">
        <v>91</v>
      </c>
      <c r="CN2454">
        <v>-0.01</v>
      </c>
      <c r="CO2454">
        <v>89</v>
      </c>
      <c r="CP2454">
        <v>-8.4</v>
      </c>
      <c r="CQ2454">
        <v>88</v>
      </c>
      <c r="CR2454">
        <v>0</v>
      </c>
      <c r="CS2454">
        <v>0</v>
      </c>
      <c r="CT2454">
        <v>0.7</v>
      </c>
      <c r="CU2454">
        <v>86</v>
      </c>
      <c r="CV2454">
        <v>0.13</v>
      </c>
      <c r="CW2454">
        <v>45</v>
      </c>
      <c r="CX2454" t="s">
        <v>1254</v>
      </c>
    </row>
    <row r="2455" spans="1:102" x14ac:dyDescent="0.3">
      <c r="A2455" t="str">
        <f>HYPERLINK("https://webapp.icbf.com/v2/app/bull-search/view/431969300","NNE")</f>
        <v>NNE</v>
      </c>
      <c r="B2455" t="s">
        <v>4523</v>
      </c>
      <c r="C2455" t="s">
        <v>1303</v>
      </c>
      <c r="D2455" s="1">
        <v>35667</v>
      </c>
      <c r="E2455" t="s">
        <v>895</v>
      </c>
      <c r="F2455">
        <v>0</v>
      </c>
      <c r="G2455" t="s">
        <v>93</v>
      </c>
      <c r="H2455">
        <v>38.03</v>
      </c>
      <c r="I2455">
        <v>61</v>
      </c>
      <c r="J2455">
        <v>13.93</v>
      </c>
      <c r="K2455">
        <v>79</v>
      </c>
      <c r="L2455">
        <v>-9.68</v>
      </c>
      <c r="M2455">
        <v>40</v>
      </c>
      <c r="N2455">
        <v>-14.79</v>
      </c>
      <c r="O2455">
        <v>59</v>
      </c>
      <c r="P2455">
        <v>-3.41</v>
      </c>
      <c r="Q2455">
        <v>84</v>
      </c>
      <c r="R2455">
        <v>3.44</v>
      </c>
      <c r="S2455">
        <v>40</v>
      </c>
      <c r="T2455">
        <v>42.09</v>
      </c>
      <c r="U2455">
        <v>74</v>
      </c>
      <c r="V2455">
        <v>6.45</v>
      </c>
      <c r="W2455">
        <v>38</v>
      </c>
      <c r="X2455" t="s">
        <v>94</v>
      </c>
      <c r="Y2455" t="s">
        <v>95</v>
      </c>
      <c r="Z2455">
        <v>0</v>
      </c>
      <c r="AA2455" t="s">
        <v>1284</v>
      </c>
      <c r="AB2455" t="s">
        <v>4524</v>
      </c>
      <c r="AC2455">
        <v>18</v>
      </c>
      <c r="AD2455">
        <v>15</v>
      </c>
      <c r="AE2455">
        <v>79</v>
      </c>
      <c r="AF2455">
        <v>-30.91</v>
      </c>
      <c r="AG2455">
        <v>1.6</v>
      </c>
      <c r="AH2455">
        <v>1.33</v>
      </c>
      <c r="AI2455">
        <v>0.05</v>
      </c>
      <c r="AJ2455">
        <v>0.04</v>
      </c>
      <c r="AK2455">
        <v>40</v>
      </c>
      <c r="AL2455">
        <v>32</v>
      </c>
      <c r="AM2455">
        <v>24</v>
      </c>
      <c r="AN2455">
        <v>1.46</v>
      </c>
      <c r="AO2455">
        <v>0.7</v>
      </c>
      <c r="AP2455">
        <v>27</v>
      </c>
      <c r="AQ2455">
        <v>0</v>
      </c>
      <c r="AR2455">
        <v>8.39</v>
      </c>
      <c r="AS2455">
        <v>33</v>
      </c>
      <c r="AT2455">
        <v>4.04</v>
      </c>
      <c r="AU2455">
        <v>47</v>
      </c>
      <c r="AV2455">
        <v>1.22</v>
      </c>
      <c r="AW2455">
        <v>85</v>
      </c>
      <c r="AX2455">
        <v>-0.74</v>
      </c>
      <c r="AY2455">
        <v>59</v>
      </c>
      <c r="AZ2455">
        <v>5.49</v>
      </c>
      <c r="BA2455">
        <v>22</v>
      </c>
      <c r="BB2455">
        <v>4.45</v>
      </c>
      <c r="BC2455">
        <v>29</v>
      </c>
      <c r="BD2455">
        <v>0</v>
      </c>
      <c r="BE2455">
        <v>-0.01</v>
      </c>
      <c r="BF2455">
        <v>-0.06</v>
      </c>
      <c r="BG2455">
        <v>46</v>
      </c>
      <c r="BH2455">
        <v>0.15</v>
      </c>
      <c r="BI2455">
        <v>-3.47</v>
      </c>
      <c r="BJ2455">
        <v>0</v>
      </c>
      <c r="BK2455">
        <v>0</v>
      </c>
      <c r="BL2455">
        <v>-0.69</v>
      </c>
      <c r="BM2455">
        <v>0.56000000000000005</v>
      </c>
      <c r="BN2455">
        <v>-0.63</v>
      </c>
      <c r="BO2455">
        <v>-0.82</v>
      </c>
      <c r="BP2455">
        <v>0.28000000000000003</v>
      </c>
      <c r="BQ2455">
        <v>-7.0000000000000007E-2</v>
      </c>
      <c r="BR2455">
        <v>-0.02</v>
      </c>
      <c r="BS2455">
        <v>-7.0000000000000007E-2</v>
      </c>
      <c r="BT2455">
        <v>-0.08</v>
      </c>
      <c r="BU2455">
        <v>-0.62</v>
      </c>
      <c r="BV2455">
        <v>-0.86</v>
      </c>
      <c r="BW2455">
        <v>-0.81</v>
      </c>
      <c r="BX2455">
        <v>-0.45</v>
      </c>
      <c r="BY2455">
        <v>-0.66</v>
      </c>
      <c r="BZ2455">
        <v>-0.08</v>
      </c>
      <c r="CA2455">
        <v>-0.8</v>
      </c>
      <c r="CB2455">
        <v>-0.83</v>
      </c>
      <c r="CC2455">
        <v>-0.44</v>
      </c>
      <c r="CD2455">
        <v>0.73</v>
      </c>
      <c r="CE2455">
        <v>-0.84</v>
      </c>
      <c r="CF2455">
        <v>-0.73</v>
      </c>
      <c r="CG2455">
        <v>0</v>
      </c>
      <c r="CH2455">
        <v>-0.81</v>
      </c>
      <c r="CI2455">
        <v>0</v>
      </c>
      <c r="CJ2455">
        <v>-2.2000000000000002</v>
      </c>
      <c r="CK2455">
        <v>86</v>
      </c>
      <c r="CL2455">
        <v>-0.06</v>
      </c>
      <c r="CM2455">
        <v>83</v>
      </c>
      <c r="CN2455">
        <v>-0.23</v>
      </c>
      <c r="CO2455">
        <v>81</v>
      </c>
      <c r="CP2455">
        <v>-16.3</v>
      </c>
      <c r="CQ2455">
        <v>74</v>
      </c>
      <c r="CR2455">
        <v>0</v>
      </c>
      <c r="CS2455">
        <v>0</v>
      </c>
      <c r="CT2455">
        <v>-43.1</v>
      </c>
      <c r="CU2455">
        <v>74</v>
      </c>
      <c r="CV2455">
        <v>-0.1</v>
      </c>
      <c r="CW2455">
        <v>24</v>
      </c>
      <c r="CX2455" t="s">
        <v>896</v>
      </c>
    </row>
    <row r="2456" spans="1:102" x14ac:dyDescent="0.3">
      <c r="A2456" t="str">
        <f>HYPERLINK("https://webapp.icbf.com/v2/app/bull-search/view/77854132","RSM")</f>
        <v>RSM</v>
      </c>
      <c r="B2456" t="s">
        <v>11413</v>
      </c>
      <c r="C2456" t="s">
        <v>11414</v>
      </c>
      <c r="D2456" s="1">
        <v>36262</v>
      </c>
      <c r="E2456" t="s">
        <v>108</v>
      </c>
      <c r="F2456">
        <v>3</v>
      </c>
      <c r="G2456" t="s">
        <v>93</v>
      </c>
      <c r="H2456">
        <v>37.909999999999997</v>
      </c>
      <c r="I2456">
        <v>98</v>
      </c>
      <c r="J2456">
        <v>-26.63</v>
      </c>
      <c r="K2456">
        <v>99</v>
      </c>
      <c r="L2456">
        <v>57.05</v>
      </c>
      <c r="M2456">
        <v>97</v>
      </c>
      <c r="N2456">
        <v>11.02</v>
      </c>
      <c r="O2456">
        <v>99</v>
      </c>
      <c r="P2456">
        <v>-9.9700000000000006</v>
      </c>
      <c r="Q2456">
        <v>99</v>
      </c>
      <c r="R2456">
        <v>-5.57</v>
      </c>
      <c r="S2456">
        <v>98</v>
      </c>
      <c r="T2456">
        <v>17.600000000000001</v>
      </c>
      <c r="U2456">
        <v>99</v>
      </c>
      <c r="V2456">
        <v>-5.59</v>
      </c>
      <c r="W2456">
        <v>99</v>
      </c>
      <c r="X2456" t="s">
        <v>94</v>
      </c>
      <c r="Y2456" t="s">
        <v>95</v>
      </c>
      <c r="Z2456" t="s">
        <v>96</v>
      </c>
      <c r="AA2456" t="s">
        <v>847</v>
      </c>
      <c r="AB2456" t="s">
        <v>3247</v>
      </c>
      <c r="AC2456">
        <v>1980</v>
      </c>
      <c r="AD2456">
        <v>845</v>
      </c>
      <c r="AE2456">
        <v>99</v>
      </c>
      <c r="AF2456">
        <v>-37.46</v>
      </c>
      <c r="AG2456">
        <v>-6.28</v>
      </c>
      <c r="AH2456">
        <v>-2.88</v>
      </c>
      <c r="AI2456">
        <v>-0.09</v>
      </c>
      <c r="AJ2456">
        <v>-0.03</v>
      </c>
      <c r="AK2456">
        <v>97</v>
      </c>
      <c r="AL2456">
        <v>3398</v>
      </c>
      <c r="AM2456">
        <v>1491</v>
      </c>
      <c r="AN2456">
        <v>-3.1</v>
      </c>
      <c r="AO2456">
        <v>1.45</v>
      </c>
      <c r="AP2456">
        <v>3440</v>
      </c>
      <c r="AQ2456">
        <v>32</v>
      </c>
      <c r="AR2456">
        <v>5.91</v>
      </c>
      <c r="AS2456">
        <v>98</v>
      </c>
      <c r="AT2456">
        <v>2.06</v>
      </c>
      <c r="AU2456">
        <v>99</v>
      </c>
      <c r="AV2456">
        <v>-0.18</v>
      </c>
      <c r="AW2456">
        <v>99</v>
      </c>
      <c r="AX2456">
        <v>-0.98</v>
      </c>
      <c r="AY2456">
        <v>99</v>
      </c>
      <c r="AZ2456">
        <v>7.3</v>
      </c>
      <c r="BA2456">
        <v>96</v>
      </c>
      <c r="BB2456">
        <v>5.72</v>
      </c>
      <c r="BC2456">
        <v>98</v>
      </c>
      <c r="BD2456">
        <v>0</v>
      </c>
      <c r="BE2456">
        <v>0.02</v>
      </c>
      <c r="BF2456">
        <v>0.09</v>
      </c>
      <c r="BG2456">
        <v>99</v>
      </c>
      <c r="BH2456">
        <v>-0.18</v>
      </c>
      <c r="BI2456">
        <v>-2.79</v>
      </c>
      <c r="BJ2456">
        <v>84</v>
      </c>
      <c r="BK2456">
        <v>53</v>
      </c>
      <c r="BL2456">
        <v>-2.41</v>
      </c>
      <c r="BM2456">
        <v>1.85</v>
      </c>
      <c r="BN2456">
        <v>-2.39</v>
      </c>
      <c r="BO2456">
        <v>-2.67</v>
      </c>
      <c r="BP2456">
        <v>0.76</v>
      </c>
      <c r="BQ2456">
        <v>1.26</v>
      </c>
      <c r="BR2456">
        <v>0.23</v>
      </c>
      <c r="BS2456">
        <v>-2.81</v>
      </c>
      <c r="BT2456">
        <v>-0.46</v>
      </c>
      <c r="BU2456">
        <v>-3.5</v>
      </c>
      <c r="BV2456">
        <v>-3.42</v>
      </c>
      <c r="BW2456">
        <v>-2.82</v>
      </c>
      <c r="BX2456">
        <v>-1.6</v>
      </c>
      <c r="BY2456">
        <v>-1.84</v>
      </c>
      <c r="BZ2456">
        <v>0.79</v>
      </c>
      <c r="CA2456">
        <v>-2.95</v>
      </c>
      <c r="CB2456">
        <v>-2.92</v>
      </c>
      <c r="CC2456">
        <v>-1.94</v>
      </c>
      <c r="CD2456">
        <v>2.3199999999999998</v>
      </c>
      <c r="CE2456">
        <v>-2.89</v>
      </c>
      <c r="CF2456">
        <v>-1.82</v>
      </c>
      <c r="CG2456">
        <v>0</v>
      </c>
      <c r="CH2456">
        <v>-1.87</v>
      </c>
      <c r="CI2456">
        <v>0</v>
      </c>
      <c r="CJ2456">
        <v>-5.7</v>
      </c>
      <c r="CK2456">
        <v>99</v>
      </c>
      <c r="CL2456">
        <v>-0.21</v>
      </c>
      <c r="CM2456">
        <v>99</v>
      </c>
      <c r="CN2456">
        <v>-0.13</v>
      </c>
      <c r="CO2456">
        <v>99</v>
      </c>
      <c r="CP2456">
        <v>-9.6999999999999993</v>
      </c>
      <c r="CQ2456">
        <v>99</v>
      </c>
      <c r="CR2456">
        <v>0</v>
      </c>
      <c r="CS2456">
        <v>0</v>
      </c>
      <c r="CT2456">
        <v>-10</v>
      </c>
      <c r="CU2456">
        <v>99</v>
      </c>
      <c r="CV2456">
        <v>-0.01</v>
      </c>
      <c r="CW2456">
        <v>47</v>
      </c>
      <c r="CX2456" t="s">
        <v>3248</v>
      </c>
    </row>
    <row r="2457" spans="1:102" x14ac:dyDescent="0.3">
      <c r="A2457" t="str">
        <f>HYPERLINK("https://webapp.icbf.com/v2/app/bull-search/view/77859637","BFT")</f>
        <v>BFT</v>
      </c>
      <c r="B2457" t="s">
        <v>3683</v>
      </c>
      <c r="C2457" t="s">
        <v>3684</v>
      </c>
      <c r="D2457" s="1">
        <v>31802</v>
      </c>
      <c r="E2457" t="s">
        <v>92</v>
      </c>
      <c r="F2457">
        <v>56</v>
      </c>
      <c r="G2457" t="s">
        <v>116</v>
      </c>
      <c r="H2457">
        <v>37.9</v>
      </c>
      <c r="I2457">
        <v>38</v>
      </c>
      <c r="J2457">
        <v>-29.83</v>
      </c>
      <c r="K2457">
        <v>41</v>
      </c>
      <c r="L2457">
        <v>48.2</v>
      </c>
      <c r="M2457">
        <v>40</v>
      </c>
      <c r="N2457">
        <v>23.45</v>
      </c>
      <c r="O2457">
        <v>33</v>
      </c>
      <c r="P2457">
        <v>-8.9499999999999993</v>
      </c>
      <c r="Q2457">
        <v>39</v>
      </c>
      <c r="R2457">
        <v>0.28000000000000003</v>
      </c>
      <c r="S2457">
        <v>39</v>
      </c>
      <c r="T2457">
        <v>6.35</v>
      </c>
      <c r="U2457">
        <v>35</v>
      </c>
      <c r="V2457">
        <v>-1.6</v>
      </c>
      <c r="W2457">
        <v>22</v>
      </c>
      <c r="X2457" t="s">
        <v>94</v>
      </c>
      <c r="Y2457" t="s">
        <v>95</v>
      </c>
      <c r="Z2457" t="s">
        <v>96</v>
      </c>
      <c r="AA2457" t="s">
        <v>2543</v>
      </c>
      <c r="AB2457" t="s">
        <v>3685</v>
      </c>
      <c r="AC2457">
        <v>3</v>
      </c>
      <c r="AD2457">
        <v>3</v>
      </c>
      <c r="AE2457">
        <v>41</v>
      </c>
      <c r="AF2457">
        <v>-189.53</v>
      </c>
      <c r="AG2457">
        <v>0.44</v>
      </c>
      <c r="AH2457">
        <v>-8.1300000000000008</v>
      </c>
      <c r="AI2457">
        <v>0.13</v>
      </c>
      <c r="AJ2457">
        <v>-0.03</v>
      </c>
      <c r="AK2457">
        <v>40</v>
      </c>
      <c r="AL2457">
        <v>10</v>
      </c>
      <c r="AM2457">
        <v>8</v>
      </c>
      <c r="AN2457">
        <v>-2.95</v>
      </c>
      <c r="AO2457">
        <v>0.89</v>
      </c>
      <c r="AP2457">
        <v>2</v>
      </c>
      <c r="AQ2457">
        <v>14</v>
      </c>
      <c r="AR2457">
        <v>5.24</v>
      </c>
      <c r="AS2457">
        <v>23</v>
      </c>
      <c r="AT2457">
        <v>2.0099999999999998</v>
      </c>
      <c r="AU2457">
        <v>29</v>
      </c>
      <c r="AV2457">
        <v>-2.14</v>
      </c>
      <c r="AW2457">
        <v>39</v>
      </c>
      <c r="AX2457">
        <v>-0.17</v>
      </c>
      <c r="AY2457">
        <v>42</v>
      </c>
      <c r="AZ2457">
        <v>7.8</v>
      </c>
      <c r="BA2457">
        <v>22</v>
      </c>
      <c r="BB2457">
        <v>6.05</v>
      </c>
      <c r="BC2457">
        <v>26</v>
      </c>
      <c r="BD2457">
        <v>0.01</v>
      </c>
      <c r="BE2457">
        <v>0.03</v>
      </c>
      <c r="BF2457">
        <v>-0.08</v>
      </c>
      <c r="BG2457">
        <v>51</v>
      </c>
      <c r="BH2457">
        <v>-0.05</v>
      </c>
      <c r="BI2457">
        <v>-0.61</v>
      </c>
      <c r="BJ2457">
        <v>1</v>
      </c>
      <c r="BK2457">
        <v>1</v>
      </c>
      <c r="BL2457">
        <v>-2.02</v>
      </c>
      <c r="BM2457">
        <v>0.76</v>
      </c>
      <c r="BN2457">
        <v>-1.64</v>
      </c>
      <c r="BO2457">
        <v>-1.8</v>
      </c>
      <c r="BP2457">
        <v>-1.06</v>
      </c>
      <c r="BQ2457">
        <v>-0.57999999999999996</v>
      </c>
      <c r="BR2457">
        <v>-0.6</v>
      </c>
      <c r="BS2457">
        <v>-1.29</v>
      </c>
      <c r="BT2457">
        <v>-0.25</v>
      </c>
      <c r="BU2457">
        <v>-0.56000000000000005</v>
      </c>
      <c r="BV2457">
        <v>-1.77</v>
      </c>
      <c r="BW2457">
        <v>-2.2799999999999998</v>
      </c>
      <c r="BX2457">
        <v>-0.77</v>
      </c>
      <c r="BY2457">
        <v>-1.71</v>
      </c>
      <c r="BZ2457">
        <v>-0.62</v>
      </c>
      <c r="CA2457">
        <v>-1.67</v>
      </c>
      <c r="CB2457">
        <v>-1.57</v>
      </c>
      <c r="CC2457">
        <v>-1.25</v>
      </c>
      <c r="CD2457">
        <v>1.1599999999999999</v>
      </c>
      <c r="CE2457">
        <v>-1.72</v>
      </c>
      <c r="CF2457">
        <v>-2.02</v>
      </c>
      <c r="CG2457">
        <v>0</v>
      </c>
      <c r="CH2457">
        <v>-1.72</v>
      </c>
      <c r="CI2457">
        <v>0</v>
      </c>
      <c r="CJ2457">
        <v>-2.8</v>
      </c>
      <c r="CK2457">
        <v>40</v>
      </c>
      <c r="CL2457">
        <v>-0.45</v>
      </c>
      <c r="CM2457">
        <v>37</v>
      </c>
      <c r="CN2457">
        <v>-0.06</v>
      </c>
      <c r="CO2457">
        <v>35</v>
      </c>
      <c r="CP2457">
        <v>-7.6</v>
      </c>
      <c r="CQ2457">
        <v>40</v>
      </c>
      <c r="CR2457">
        <v>0</v>
      </c>
      <c r="CS2457">
        <v>0</v>
      </c>
      <c r="CT2457">
        <v>5.2</v>
      </c>
      <c r="CU2457">
        <v>35</v>
      </c>
      <c r="CV2457">
        <v>0.06</v>
      </c>
      <c r="CW2457">
        <v>11</v>
      </c>
      <c r="CX2457" t="s">
        <v>3686</v>
      </c>
    </row>
    <row r="2458" spans="1:102" x14ac:dyDescent="0.3">
      <c r="A2458" t="str">
        <f>HYPERLINK("https://webapp.icbf.com/v2/app/bull-search/view/586049548","S2083")</f>
        <v>S2083</v>
      </c>
      <c r="B2458" t="s">
        <v>2125</v>
      </c>
      <c r="C2458" t="s">
        <v>2126</v>
      </c>
      <c r="D2458" s="1">
        <v>38702</v>
      </c>
      <c r="E2458" t="s">
        <v>92</v>
      </c>
      <c r="F2458">
        <v>100</v>
      </c>
      <c r="G2458" t="s">
        <v>109</v>
      </c>
      <c r="H2458">
        <v>37.86</v>
      </c>
      <c r="I2458">
        <v>80</v>
      </c>
      <c r="J2458">
        <v>49.36</v>
      </c>
      <c r="K2458">
        <v>94</v>
      </c>
      <c r="L2458">
        <v>-46.9</v>
      </c>
      <c r="M2458">
        <v>85</v>
      </c>
      <c r="N2458">
        <v>27.08</v>
      </c>
      <c r="O2458">
        <v>67</v>
      </c>
      <c r="P2458">
        <v>-2.4300000000000002</v>
      </c>
      <c r="Q2458">
        <v>56</v>
      </c>
      <c r="R2458">
        <v>5.9</v>
      </c>
      <c r="S2458">
        <v>77</v>
      </c>
      <c r="T2458">
        <v>0.43</v>
      </c>
      <c r="U2458">
        <v>49</v>
      </c>
      <c r="V2458">
        <v>4.42</v>
      </c>
      <c r="W2458">
        <v>65</v>
      </c>
      <c r="X2458" t="s">
        <v>1645</v>
      </c>
      <c r="Y2458" t="s">
        <v>367</v>
      </c>
      <c r="Z2458" t="s">
        <v>96</v>
      </c>
      <c r="AA2458" t="s">
        <v>309</v>
      </c>
      <c r="AB2458" t="s">
        <v>2127</v>
      </c>
      <c r="AC2458">
        <v>0</v>
      </c>
      <c r="AD2458">
        <v>0</v>
      </c>
      <c r="AE2458">
        <v>94</v>
      </c>
      <c r="AF2458">
        <v>188.88</v>
      </c>
      <c r="AG2458">
        <v>6.97</v>
      </c>
      <c r="AH2458">
        <v>8.82</v>
      </c>
      <c r="AI2458">
        <v>-0.01</v>
      </c>
      <c r="AJ2458">
        <v>0.04</v>
      </c>
      <c r="AK2458">
        <v>85</v>
      </c>
      <c r="AL2458">
        <v>0</v>
      </c>
      <c r="AM2458">
        <v>0</v>
      </c>
      <c r="AN2458">
        <v>3.33</v>
      </c>
      <c r="AO2458">
        <v>-0.4</v>
      </c>
      <c r="AP2458">
        <v>10</v>
      </c>
      <c r="AQ2458">
        <v>0</v>
      </c>
      <c r="AR2458">
        <v>5.19</v>
      </c>
      <c r="AS2458">
        <v>62</v>
      </c>
      <c r="AT2458">
        <v>2.57</v>
      </c>
      <c r="AU2458">
        <v>91</v>
      </c>
      <c r="AV2458">
        <v>-1.94</v>
      </c>
      <c r="AW2458">
        <v>64</v>
      </c>
      <c r="AX2458">
        <v>-0.35</v>
      </c>
      <c r="AY2458">
        <v>51</v>
      </c>
      <c r="AZ2458">
        <v>6.04</v>
      </c>
      <c r="BA2458">
        <v>52</v>
      </c>
      <c r="BB2458">
        <v>5</v>
      </c>
      <c r="BC2458">
        <v>51</v>
      </c>
      <c r="BD2458">
        <v>-0.01</v>
      </c>
      <c r="BE2458">
        <v>-0.01</v>
      </c>
      <c r="BF2458">
        <v>-0.1</v>
      </c>
      <c r="BG2458">
        <v>91</v>
      </c>
      <c r="BH2458">
        <v>-0.02</v>
      </c>
      <c r="BI2458">
        <v>-16.559999999999999</v>
      </c>
      <c r="BJ2458">
        <v>2</v>
      </c>
      <c r="BK2458">
        <v>1</v>
      </c>
      <c r="BL2458">
        <v>0.57999999999999996</v>
      </c>
      <c r="BM2458">
        <v>-1.33</v>
      </c>
      <c r="BN2458">
        <v>0.28999999999999998</v>
      </c>
      <c r="BO2458">
        <v>1.1299999999999999</v>
      </c>
      <c r="BP2458">
        <v>0.23</v>
      </c>
      <c r="BQ2458">
        <v>0.48</v>
      </c>
      <c r="BR2458">
        <v>0.33</v>
      </c>
      <c r="BS2458">
        <v>1.17</v>
      </c>
      <c r="BT2458">
        <v>1.1000000000000001</v>
      </c>
      <c r="BU2458">
        <v>2.58</v>
      </c>
      <c r="BV2458">
        <v>2.0299999999999998</v>
      </c>
      <c r="BW2458">
        <v>2.44</v>
      </c>
      <c r="BX2458">
        <v>1.39</v>
      </c>
      <c r="BY2458">
        <v>2.36</v>
      </c>
      <c r="BZ2458">
        <v>-1.26</v>
      </c>
      <c r="CA2458">
        <v>2.08</v>
      </c>
      <c r="CB2458">
        <v>2.09</v>
      </c>
      <c r="CC2458">
        <v>0.81</v>
      </c>
      <c r="CD2458">
        <v>-0.7</v>
      </c>
      <c r="CE2458">
        <v>0.97</v>
      </c>
      <c r="CF2458">
        <v>-0.1</v>
      </c>
      <c r="CG2458">
        <v>0</v>
      </c>
      <c r="CH2458">
        <v>2.65</v>
      </c>
      <c r="CI2458">
        <v>0</v>
      </c>
      <c r="CJ2458">
        <v>0</v>
      </c>
      <c r="CK2458">
        <v>57</v>
      </c>
      <c r="CL2458">
        <v>-0.99</v>
      </c>
      <c r="CM2458">
        <v>55</v>
      </c>
      <c r="CN2458">
        <v>-0.66</v>
      </c>
      <c r="CO2458">
        <v>54</v>
      </c>
      <c r="CP2458">
        <v>0.4</v>
      </c>
      <c r="CQ2458">
        <v>52</v>
      </c>
      <c r="CR2458">
        <v>0</v>
      </c>
      <c r="CS2458">
        <v>0</v>
      </c>
      <c r="CT2458">
        <v>13.2</v>
      </c>
      <c r="CU2458">
        <v>49</v>
      </c>
      <c r="CV2458">
        <v>0.18</v>
      </c>
      <c r="CW2458">
        <v>37</v>
      </c>
      <c r="CX2458" t="s">
        <v>188</v>
      </c>
    </row>
    <row r="2459" spans="1:102" x14ac:dyDescent="0.3">
      <c r="A2459" t="str">
        <f>HYPERLINK("https://webapp.icbf.com/v2/app/bull-search/view/77856748","ILU")</f>
        <v>ILU</v>
      </c>
      <c r="B2459" t="s">
        <v>796</v>
      </c>
      <c r="C2459" t="s">
        <v>797</v>
      </c>
      <c r="D2459" s="1">
        <v>34255</v>
      </c>
      <c r="E2459" t="s">
        <v>92</v>
      </c>
      <c r="F2459">
        <v>100</v>
      </c>
      <c r="G2459" t="s">
        <v>93</v>
      </c>
      <c r="H2459">
        <v>37.799999999999997</v>
      </c>
      <c r="I2459">
        <v>80</v>
      </c>
      <c r="J2459">
        <v>2.94</v>
      </c>
      <c r="K2459">
        <v>94</v>
      </c>
      <c r="L2459">
        <v>-3.63</v>
      </c>
      <c r="M2459">
        <v>82</v>
      </c>
      <c r="N2459">
        <v>31.36</v>
      </c>
      <c r="O2459">
        <v>65</v>
      </c>
      <c r="P2459">
        <v>-2.82</v>
      </c>
      <c r="Q2459">
        <v>73</v>
      </c>
      <c r="R2459">
        <v>1.48</v>
      </c>
      <c r="S2459">
        <v>69</v>
      </c>
      <c r="T2459">
        <v>7.31</v>
      </c>
      <c r="U2459">
        <v>70</v>
      </c>
      <c r="V2459">
        <v>1.1599999999999999</v>
      </c>
      <c r="W2459">
        <v>26</v>
      </c>
      <c r="X2459" t="s">
        <v>110</v>
      </c>
      <c r="Y2459" t="s">
        <v>95</v>
      </c>
      <c r="Z2459" t="s">
        <v>96</v>
      </c>
      <c r="AA2459" t="s">
        <v>798</v>
      </c>
      <c r="AB2459" t="s">
        <v>799</v>
      </c>
      <c r="AC2459">
        <v>58</v>
      </c>
      <c r="AD2459">
        <v>26</v>
      </c>
      <c r="AE2459">
        <v>94</v>
      </c>
      <c r="AF2459">
        <v>201.01</v>
      </c>
      <c r="AG2459">
        <v>-0.32</v>
      </c>
      <c r="AH2459">
        <v>3.69</v>
      </c>
      <c r="AI2459">
        <v>-0.13</v>
      </c>
      <c r="AJ2459">
        <v>-0.05</v>
      </c>
      <c r="AK2459">
        <v>82</v>
      </c>
      <c r="AL2459">
        <v>52</v>
      </c>
      <c r="AM2459">
        <v>23</v>
      </c>
      <c r="AN2459">
        <v>0.16</v>
      </c>
      <c r="AO2459">
        <v>-0.13</v>
      </c>
      <c r="AP2459">
        <v>5</v>
      </c>
      <c r="AQ2459">
        <v>0</v>
      </c>
      <c r="AR2459">
        <v>4.3899999999999997</v>
      </c>
      <c r="AS2459">
        <v>40</v>
      </c>
      <c r="AT2459">
        <v>2.0499999999999998</v>
      </c>
      <c r="AU2459">
        <v>84</v>
      </c>
      <c r="AV2459">
        <v>-1.26</v>
      </c>
      <c r="AW2459">
        <v>64</v>
      </c>
      <c r="AX2459">
        <v>-0.84</v>
      </c>
      <c r="AY2459">
        <v>64</v>
      </c>
      <c r="AZ2459">
        <v>5.23</v>
      </c>
      <c r="BA2459">
        <v>42</v>
      </c>
      <c r="BB2459">
        <v>4.51</v>
      </c>
      <c r="BC2459">
        <v>51</v>
      </c>
      <c r="BD2459">
        <v>0</v>
      </c>
      <c r="BE2459">
        <v>0.04</v>
      </c>
      <c r="BF2459">
        <v>-0.11</v>
      </c>
      <c r="BG2459">
        <v>88</v>
      </c>
      <c r="BH2459">
        <v>7.0000000000000007E-2</v>
      </c>
      <c r="BI2459">
        <v>4.34</v>
      </c>
      <c r="BJ2459">
        <v>1</v>
      </c>
      <c r="BK2459">
        <v>1</v>
      </c>
      <c r="BL2459">
        <v>0.61</v>
      </c>
      <c r="BM2459">
        <v>-0.02</v>
      </c>
      <c r="BN2459">
        <v>-0.39</v>
      </c>
      <c r="BO2459">
        <v>0.17</v>
      </c>
      <c r="BP2459">
        <v>-1.37</v>
      </c>
      <c r="BQ2459">
        <v>0.95</v>
      </c>
      <c r="BR2459">
        <v>-1.25</v>
      </c>
      <c r="BS2459">
        <v>2.4700000000000002</v>
      </c>
      <c r="BT2459">
        <v>1.36</v>
      </c>
      <c r="BU2459">
        <v>-0.68</v>
      </c>
      <c r="BV2459">
        <v>-0.06</v>
      </c>
      <c r="BW2459">
        <v>-0.35</v>
      </c>
      <c r="BX2459">
        <v>-0.32</v>
      </c>
      <c r="BY2459">
        <v>-0.15</v>
      </c>
      <c r="BZ2459">
        <v>0.54</v>
      </c>
      <c r="CA2459">
        <v>1.06</v>
      </c>
      <c r="CB2459">
        <v>-0.02</v>
      </c>
      <c r="CC2459">
        <v>2.62</v>
      </c>
      <c r="CD2459">
        <v>-0.23</v>
      </c>
      <c r="CE2459">
        <v>0.31</v>
      </c>
      <c r="CF2459">
        <v>-0.56999999999999995</v>
      </c>
      <c r="CG2459">
        <v>0</v>
      </c>
      <c r="CH2459">
        <v>-0.56000000000000005</v>
      </c>
      <c r="CI2459">
        <v>0</v>
      </c>
      <c r="CJ2459">
        <v>-2.5</v>
      </c>
      <c r="CK2459">
        <v>74</v>
      </c>
      <c r="CL2459">
        <v>-0.43</v>
      </c>
      <c r="CM2459">
        <v>70</v>
      </c>
      <c r="CN2459">
        <v>-0.43</v>
      </c>
      <c r="CO2459">
        <v>65</v>
      </c>
      <c r="CP2459">
        <v>0.2</v>
      </c>
      <c r="CQ2459">
        <v>83</v>
      </c>
      <c r="CR2459">
        <v>0</v>
      </c>
      <c r="CS2459">
        <v>0</v>
      </c>
      <c r="CT2459">
        <v>3.9</v>
      </c>
      <c r="CU2459">
        <v>70</v>
      </c>
      <c r="CV2459">
        <v>-0.01</v>
      </c>
      <c r="CW2459">
        <v>20</v>
      </c>
      <c r="CX2459" t="s">
        <v>132</v>
      </c>
    </row>
    <row r="2460" spans="1:102" x14ac:dyDescent="0.3">
      <c r="A2460" t="str">
        <f>HYPERLINK("https://webapp.icbf.com/v2/app/bull-search/view/77859373","ASB")</f>
        <v>ASB</v>
      </c>
      <c r="B2460" t="s">
        <v>10636</v>
      </c>
      <c r="C2460" t="s">
        <v>10637</v>
      </c>
      <c r="D2460" s="1">
        <v>31440</v>
      </c>
      <c r="E2460" t="s">
        <v>92</v>
      </c>
      <c r="F2460">
        <v>100</v>
      </c>
      <c r="G2460" t="s">
        <v>93</v>
      </c>
      <c r="H2460">
        <v>37.79</v>
      </c>
      <c r="I2460">
        <v>88</v>
      </c>
      <c r="J2460">
        <v>14.37</v>
      </c>
      <c r="K2460">
        <v>98</v>
      </c>
      <c r="L2460">
        <v>3</v>
      </c>
      <c r="M2460">
        <v>88</v>
      </c>
      <c r="N2460">
        <v>15.9</v>
      </c>
      <c r="O2460">
        <v>75</v>
      </c>
      <c r="P2460">
        <v>-3.68</v>
      </c>
      <c r="Q2460">
        <v>88</v>
      </c>
      <c r="R2460">
        <v>-4.28</v>
      </c>
      <c r="S2460">
        <v>78</v>
      </c>
      <c r="T2460">
        <v>13.6</v>
      </c>
      <c r="U2460">
        <v>87</v>
      </c>
      <c r="V2460">
        <v>-1.1200000000000001</v>
      </c>
      <c r="W2460">
        <v>43</v>
      </c>
      <c r="X2460" t="s">
        <v>110</v>
      </c>
      <c r="Y2460" t="s">
        <v>95</v>
      </c>
      <c r="Z2460" t="s">
        <v>96</v>
      </c>
      <c r="AA2460" t="s">
        <v>154</v>
      </c>
      <c r="AB2460" t="s">
        <v>10638</v>
      </c>
      <c r="AC2460">
        <v>201</v>
      </c>
      <c r="AD2460">
        <v>113</v>
      </c>
      <c r="AE2460">
        <v>98</v>
      </c>
      <c r="AF2460">
        <v>172.68</v>
      </c>
      <c r="AG2460">
        <v>-0.18</v>
      </c>
      <c r="AH2460">
        <v>5.15</v>
      </c>
      <c r="AI2460">
        <v>-0.11</v>
      </c>
      <c r="AJ2460">
        <v>-0.01</v>
      </c>
      <c r="AK2460">
        <v>88</v>
      </c>
      <c r="AL2460">
        <v>264</v>
      </c>
      <c r="AM2460">
        <v>127</v>
      </c>
      <c r="AN2460">
        <v>-0.12</v>
      </c>
      <c r="AO2460">
        <v>0.12</v>
      </c>
      <c r="AP2460">
        <v>3</v>
      </c>
      <c r="AQ2460">
        <v>0</v>
      </c>
      <c r="AR2460">
        <v>3.88</v>
      </c>
      <c r="AS2460">
        <v>47</v>
      </c>
      <c r="AT2460">
        <v>2.17</v>
      </c>
      <c r="AU2460">
        <v>73</v>
      </c>
      <c r="AV2460">
        <v>0.01</v>
      </c>
      <c r="AW2460">
        <v>81</v>
      </c>
      <c r="AX2460">
        <v>-0.03</v>
      </c>
      <c r="AY2460">
        <v>87</v>
      </c>
      <c r="AZ2460">
        <v>5.64</v>
      </c>
      <c r="BA2460">
        <v>48</v>
      </c>
      <c r="BB2460">
        <v>5.14</v>
      </c>
      <c r="BC2460">
        <v>72</v>
      </c>
      <c r="BD2460">
        <v>0.02</v>
      </c>
      <c r="BE2460">
        <v>0.05</v>
      </c>
      <c r="BF2460">
        <v>-0.03</v>
      </c>
      <c r="BG2460">
        <v>95</v>
      </c>
      <c r="BH2460">
        <v>0.06</v>
      </c>
      <c r="BI2460">
        <v>10.55</v>
      </c>
      <c r="BJ2460">
        <v>12</v>
      </c>
      <c r="BK2460">
        <v>11</v>
      </c>
      <c r="BL2460">
        <v>-0.87</v>
      </c>
      <c r="BM2460">
        <v>-0.6</v>
      </c>
      <c r="BN2460">
        <v>-0.9</v>
      </c>
      <c r="BO2460">
        <v>-0.61</v>
      </c>
      <c r="BP2460">
        <v>-2.06</v>
      </c>
      <c r="BQ2460">
        <v>-1.51</v>
      </c>
      <c r="BR2460">
        <v>-0.84</v>
      </c>
      <c r="BS2460">
        <v>0.36</v>
      </c>
      <c r="BT2460">
        <v>1.67</v>
      </c>
      <c r="BU2460">
        <v>-1.0900000000000001</v>
      </c>
      <c r="BV2460">
        <v>-0.56999999999999995</v>
      </c>
      <c r="BW2460">
        <v>-0.63</v>
      </c>
      <c r="BX2460">
        <v>-0.19</v>
      </c>
      <c r="BY2460">
        <v>-1.46</v>
      </c>
      <c r="BZ2460">
        <v>1.74</v>
      </c>
      <c r="CA2460">
        <v>-7.0000000000000007E-2</v>
      </c>
      <c r="CB2460">
        <v>-0.61</v>
      </c>
      <c r="CC2460">
        <v>0.88</v>
      </c>
      <c r="CD2460">
        <v>0.84</v>
      </c>
      <c r="CE2460">
        <v>-1.52</v>
      </c>
      <c r="CF2460">
        <v>-0.79</v>
      </c>
      <c r="CG2460">
        <v>0</v>
      </c>
      <c r="CH2460">
        <v>-2.08</v>
      </c>
      <c r="CI2460">
        <v>0</v>
      </c>
      <c r="CJ2460">
        <v>-2</v>
      </c>
      <c r="CK2460">
        <v>89</v>
      </c>
      <c r="CL2460">
        <v>-0.51</v>
      </c>
      <c r="CM2460">
        <v>87</v>
      </c>
      <c r="CN2460">
        <v>-0.44</v>
      </c>
      <c r="CO2460">
        <v>86</v>
      </c>
      <c r="CP2460">
        <v>-5.4</v>
      </c>
      <c r="CQ2460">
        <v>93</v>
      </c>
      <c r="CR2460">
        <v>0</v>
      </c>
      <c r="CS2460">
        <v>0</v>
      </c>
      <c r="CT2460">
        <v>-4.5999999999999996</v>
      </c>
      <c r="CU2460">
        <v>87</v>
      </c>
      <c r="CV2460">
        <v>0.1</v>
      </c>
      <c r="CW2460">
        <v>25</v>
      </c>
      <c r="CX2460" t="s">
        <v>3391</v>
      </c>
    </row>
    <row r="2461" spans="1:102" x14ac:dyDescent="0.3">
      <c r="A2461" t="str">
        <f>HYPERLINK("https://webapp.icbf.com/v2/app/bull-search/view/804576232","S1493")</f>
        <v>S1493</v>
      </c>
      <c r="B2461" t="s">
        <v>1971</v>
      </c>
      <c r="C2461" t="s">
        <v>1972</v>
      </c>
      <c r="D2461" s="1">
        <v>39176</v>
      </c>
      <c r="E2461" t="s">
        <v>92</v>
      </c>
      <c r="F2461">
        <v>100</v>
      </c>
      <c r="G2461" t="s">
        <v>109</v>
      </c>
      <c r="H2461">
        <v>37.770000000000003</v>
      </c>
      <c r="I2461">
        <v>85</v>
      </c>
      <c r="J2461">
        <v>29.45</v>
      </c>
      <c r="K2461">
        <v>94</v>
      </c>
      <c r="L2461">
        <v>-36.61</v>
      </c>
      <c r="M2461">
        <v>86</v>
      </c>
      <c r="N2461">
        <v>30.39</v>
      </c>
      <c r="O2461">
        <v>79</v>
      </c>
      <c r="P2461">
        <v>-17.5</v>
      </c>
      <c r="Q2461">
        <v>80</v>
      </c>
      <c r="R2461">
        <v>16.079999999999998</v>
      </c>
      <c r="S2461">
        <v>79</v>
      </c>
      <c r="T2461">
        <v>18.78</v>
      </c>
      <c r="U2461">
        <v>72</v>
      </c>
      <c r="V2461">
        <v>-2.82</v>
      </c>
      <c r="W2461">
        <v>68</v>
      </c>
      <c r="X2461" t="s">
        <v>102</v>
      </c>
      <c r="Y2461" t="s">
        <v>362</v>
      </c>
      <c r="Z2461" t="s">
        <v>96</v>
      </c>
      <c r="AA2461" t="s">
        <v>358</v>
      </c>
      <c r="AB2461" t="s">
        <v>1973</v>
      </c>
      <c r="AC2461">
        <v>0</v>
      </c>
      <c r="AD2461">
        <v>0</v>
      </c>
      <c r="AE2461">
        <v>94</v>
      </c>
      <c r="AF2461">
        <v>231.93</v>
      </c>
      <c r="AG2461">
        <v>0.73</v>
      </c>
      <c r="AH2461">
        <v>8.3000000000000007</v>
      </c>
      <c r="AI2461">
        <v>-0.14000000000000001</v>
      </c>
      <c r="AJ2461">
        <v>0.01</v>
      </c>
      <c r="AK2461">
        <v>86</v>
      </c>
      <c r="AL2461">
        <v>36</v>
      </c>
      <c r="AM2461">
        <v>17</v>
      </c>
      <c r="AN2461">
        <v>3.52</v>
      </c>
      <c r="AO2461">
        <v>0.62</v>
      </c>
      <c r="AP2461">
        <v>100</v>
      </c>
      <c r="AQ2461">
        <v>1</v>
      </c>
      <c r="AR2461">
        <v>5.91</v>
      </c>
      <c r="AS2461">
        <v>73</v>
      </c>
      <c r="AT2461">
        <v>2.71</v>
      </c>
      <c r="AU2461">
        <v>89</v>
      </c>
      <c r="AV2461">
        <v>-2.86</v>
      </c>
      <c r="AW2461">
        <v>87</v>
      </c>
      <c r="AX2461">
        <v>-0.81</v>
      </c>
      <c r="AY2461">
        <v>71</v>
      </c>
      <c r="AZ2461">
        <v>7.12</v>
      </c>
      <c r="BA2461">
        <v>54</v>
      </c>
      <c r="BB2461">
        <v>5.17</v>
      </c>
      <c r="BC2461">
        <v>54</v>
      </c>
      <c r="BD2461">
        <v>-0.01</v>
      </c>
      <c r="BE2461">
        <v>-7.0000000000000007E-2</v>
      </c>
      <c r="BF2461">
        <v>-0.22</v>
      </c>
      <c r="BG2461">
        <v>92</v>
      </c>
      <c r="BH2461">
        <v>-7.0000000000000007E-2</v>
      </c>
      <c r="BI2461">
        <v>1.01</v>
      </c>
      <c r="BJ2461">
        <v>12</v>
      </c>
      <c r="BK2461">
        <v>7</v>
      </c>
      <c r="BL2461">
        <v>0.94</v>
      </c>
      <c r="BM2461">
        <v>-1.49</v>
      </c>
      <c r="BN2461">
        <v>0.3</v>
      </c>
      <c r="BO2461">
        <v>1.28</v>
      </c>
      <c r="BP2461">
        <v>-1.35</v>
      </c>
      <c r="BQ2461">
        <v>0.03</v>
      </c>
      <c r="BR2461">
        <v>0.92</v>
      </c>
      <c r="BS2461">
        <v>3.37</v>
      </c>
      <c r="BT2461">
        <v>0.55000000000000004</v>
      </c>
      <c r="BU2461">
        <v>0.96</v>
      </c>
      <c r="BV2461">
        <v>0.78</v>
      </c>
      <c r="BW2461">
        <v>0.44</v>
      </c>
      <c r="BX2461">
        <v>0.52</v>
      </c>
      <c r="BY2461">
        <v>0.46</v>
      </c>
      <c r="BZ2461">
        <v>-1.44</v>
      </c>
      <c r="CA2461">
        <v>1.84</v>
      </c>
      <c r="CB2461">
        <v>0.91</v>
      </c>
      <c r="CC2461">
        <v>2.6</v>
      </c>
      <c r="CD2461">
        <v>-1.3</v>
      </c>
      <c r="CE2461">
        <v>0.56999999999999995</v>
      </c>
      <c r="CF2461">
        <v>-0.01</v>
      </c>
      <c r="CG2461">
        <v>0</v>
      </c>
      <c r="CH2461">
        <v>0.42</v>
      </c>
      <c r="CI2461">
        <v>0</v>
      </c>
      <c r="CJ2461">
        <v>-7.9</v>
      </c>
      <c r="CK2461">
        <v>82</v>
      </c>
      <c r="CL2461">
        <v>-1.1399999999999999</v>
      </c>
      <c r="CM2461">
        <v>79</v>
      </c>
      <c r="CN2461">
        <v>-0.55000000000000004</v>
      </c>
      <c r="CO2461">
        <v>77</v>
      </c>
      <c r="CP2461">
        <v>-8.5</v>
      </c>
      <c r="CQ2461">
        <v>70</v>
      </c>
      <c r="CR2461">
        <v>0</v>
      </c>
      <c r="CS2461">
        <v>0</v>
      </c>
      <c r="CT2461">
        <v>-11.6</v>
      </c>
      <c r="CU2461">
        <v>72</v>
      </c>
      <c r="CV2461">
        <v>0.04</v>
      </c>
      <c r="CW2461">
        <v>42</v>
      </c>
      <c r="CX2461" t="s">
        <v>476</v>
      </c>
    </row>
    <row r="2462" spans="1:102" x14ac:dyDescent="0.3">
      <c r="A2462" t="str">
        <f>HYPERLINK("https://webapp.icbf.com/v2/app/bull-search/view/77855092","NVR")</f>
        <v>NVR</v>
      </c>
      <c r="B2462" t="s">
        <v>15518</v>
      </c>
      <c r="C2462" t="s">
        <v>479</v>
      </c>
      <c r="D2462" s="1">
        <v>33553</v>
      </c>
      <c r="E2462" t="s">
        <v>108</v>
      </c>
      <c r="F2462">
        <v>0</v>
      </c>
      <c r="G2462" t="s">
        <v>93</v>
      </c>
      <c r="H2462">
        <v>37.76</v>
      </c>
      <c r="I2462">
        <v>90</v>
      </c>
      <c r="J2462">
        <v>-15.66</v>
      </c>
      <c r="K2462">
        <v>93</v>
      </c>
      <c r="L2462">
        <v>25.75</v>
      </c>
      <c r="M2462">
        <v>90</v>
      </c>
      <c r="N2462">
        <v>24.9</v>
      </c>
      <c r="O2462">
        <v>83</v>
      </c>
      <c r="P2462">
        <v>-19.739999999999998</v>
      </c>
      <c r="Q2462">
        <v>93</v>
      </c>
      <c r="R2462">
        <v>-11.61</v>
      </c>
      <c r="S2462">
        <v>82</v>
      </c>
      <c r="T2462">
        <v>32.25</v>
      </c>
      <c r="U2462">
        <v>86</v>
      </c>
      <c r="V2462">
        <v>1.87</v>
      </c>
      <c r="W2462">
        <v>83</v>
      </c>
      <c r="X2462" t="s">
        <v>94</v>
      </c>
      <c r="Y2462" t="s">
        <v>95</v>
      </c>
      <c r="Z2462" t="s">
        <v>96</v>
      </c>
      <c r="AA2462" t="s">
        <v>3562</v>
      </c>
      <c r="AB2462" t="s">
        <v>15519</v>
      </c>
      <c r="AC2462">
        <v>57</v>
      </c>
      <c r="AD2462">
        <v>11</v>
      </c>
      <c r="AE2462">
        <v>93</v>
      </c>
      <c r="AF2462">
        <v>-117.86</v>
      </c>
      <c r="AG2462">
        <v>-6.58</v>
      </c>
      <c r="AH2462">
        <v>-2.14</v>
      </c>
      <c r="AI2462">
        <v>-0.03</v>
      </c>
      <c r="AJ2462">
        <v>0.03</v>
      </c>
      <c r="AK2462">
        <v>90</v>
      </c>
      <c r="AL2462">
        <v>71</v>
      </c>
      <c r="AM2462">
        <v>21</v>
      </c>
      <c r="AN2462">
        <v>-1.65</v>
      </c>
      <c r="AO2462">
        <v>0.4</v>
      </c>
      <c r="AP2462">
        <v>1</v>
      </c>
      <c r="AQ2462">
        <v>0</v>
      </c>
      <c r="AR2462">
        <v>5.49</v>
      </c>
      <c r="AS2462">
        <v>74</v>
      </c>
      <c r="AT2462">
        <v>2.33</v>
      </c>
      <c r="AU2462">
        <v>81</v>
      </c>
      <c r="AV2462">
        <v>-3.84</v>
      </c>
      <c r="AW2462">
        <v>89</v>
      </c>
      <c r="AX2462">
        <v>-0.78</v>
      </c>
      <c r="AY2462">
        <v>86</v>
      </c>
      <c r="AZ2462">
        <v>8.6300000000000008</v>
      </c>
      <c r="BA2462">
        <v>73</v>
      </c>
      <c r="BB2462">
        <v>7.51</v>
      </c>
      <c r="BC2462">
        <v>78</v>
      </c>
      <c r="BD2462">
        <v>0.03</v>
      </c>
      <c r="BE2462">
        <v>0.03</v>
      </c>
      <c r="BF2462">
        <v>0.16</v>
      </c>
      <c r="BG2462">
        <v>87</v>
      </c>
      <c r="BH2462">
        <v>0.13</v>
      </c>
      <c r="BI2462">
        <v>9</v>
      </c>
      <c r="BJ2462">
        <v>0</v>
      </c>
      <c r="BK2462">
        <v>0</v>
      </c>
      <c r="BL2462">
        <v>-2.88</v>
      </c>
      <c r="BM2462">
        <v>0.47</v>
      </c>
      <c r="BN2462">
        <v>-2.69</v>
      </c>
      <c r="BO2462">
        <v>-2.68</v>
      </c>
      <c r="BP2462">
        <v>-2.29</v>
      </c>
      <c r="BQ2462">
        <v>0.67</v>
      </c>
      <c r="BR2462">
        <v>-2.09</v>
      </c>
      <c r="BS2462">
        <v>-1.32</v>
      </c>
      <c r="BT2462">
        <v>0.24</v>
      </c>
      <c r="BU2462">
        <v>-2.5299999999999998</v>
      </c>
      <c r="BV2462">
        <v>-1.27</v>
      </c>
      <c r="BW2462">
        <v>-1.21</v>
      </c>
      <c r="BX2462">
        <v>-1.1399999999999999</v>
      </c>
      <c r="BY2462">
        <v>0.28999999999999998</v>
      </c>
      <c r="BZ2462">
        <v>-0.43</v>
      </c>
      <c r="CA2462">
        <v>-1.94</v>
      </c>
      <c r="CB2462">
        <v>-1.91</v>
      </c>
      <c r="CC2462">
        <v>-2.09</v>
      </c>
      <c r="CD2462">
        <v>1.77</v>
      </c>
      <c r="CE2462">
        <v>-2.88</v>
      </c>
      <c r="CF2462">
        <v>-2.89</v>
      </c>
      <c r="CG2462">
        <v>0</v>
      </c>
      <c r="CH2462">
        <v>-0.45</v>
      </c>
      <c r="CI2462">
        <v>0</v>
      </c>
      <c r="CJ2462">
        <v>-12.5</v>
      </c>
      <c r="CK2462">
        <v>94</v>
      </c>
      <c r="CL2462">
        <v>-0.03</v>
      </c>
      <c r="CM2462">
        <v>93</v>
      </c>
      <c r="CN2462">
        <v>-0.11</v>
      </c>
      <c r="CO2462">
        <v>92</v>
      </c>
      <c r="CP2462">
        <v>-23.1</v>
      </c>
      <c r="CQ2462">
        <v>92</v>
      </c>
      <c r="CR2462">
        <v>0</v>
      </c>
      <c r="CS2462">
        <v>0</v>
      </c>
      <c r="CT2462">
        <v>-29.8</v>
      </c>
      <c r="CU2462">
        <v>86</v>
      </c>
      <c r="CV2462">
        <v>-0.24</v>
      </c>
      <c r="CW2462">
        <v>31</v>
      </c>
      <c r="CX2462" t="s">
        <v>15520</v>
      </c>
    </row>
    <row r="2463" spans="1:102" x14ac:dyDescent="0.3">
      <c r="A2463" t="str">
        <f>HYPERLINK("https://webapp.icbf.com/v2/app/bull-search/view/108367981","TOP")</f>
        <v>TOP</v>
      </c>
      <c r="B2463" t="s">
        <v>144</v>
      </c>
      <c r="C2463" t="s">
        <v>8097</v>
      </c>
      <c r="D2463" s="1">
        <v>34870</v>
      </c>
      <c r="E2463" t="s">
        <v>895</v>
      </c>
      <c r="F2463">
        <v>0</v>
      </c>
      <c r="G2463" t="s">
        <v>93</v>
      </c>
      <c r="H2463">
        <v>37.72</v>
      </c>
      <c r="I2463">
        <v>48</v>
      </c>
      <c r="J2463">
        <v>-27.89</v>
      </c>
      <c r="K2463">
        <v>68</v>
      </c>
      <c r="L2463">
        <v>14.02</v>
      </c>
      <c r="M2463">
        <v>29</v>
      </c>
      <c r="N2463">
        <v>15.73</v>
      </c>
      <c r="O2463">
        <v>48</v>
      </c>
      <c r="P2463">
        <v>13.69</v>
      </c>
      <c r="Q2463">
        <v>73</v>
      </c>
      <c r="R2463">
        <v>9.1</v>
      </c>
      <c r="S2463">
        <v>34</v>
      </c>
      <c r="T2463">
        <v>19.45</v>
      </c>
      <c r="U2463">
        <v>40</v>
      </c>
      <c r="V2463">
        <v>-6.38</v>
      </c>
      <c r="W2463">
        <v>10</v>
      </c>
      <c r="X2463" t="s">
        <v>94</v>
      </c>
      <c r="Y2463" t="s">
        <v>95</v>
      </c>
      <c r="Z2463">
        <v>0</v>
      </c>
      <c r="AA2463" t="s">
        <v>896</v>
      </c>
      <c r="AB2463" t="s">
        <v>8098</v>
      </c>
      <c r="AC2463">
        <v>11</v>
      </c>
      <c r="AD2463">
        <v>1</v>
      </c>
      <c r="AE2463">
        <v>68</v>
      </c>
      <c r="AF2463">
        <v>-172.55</v>
      </c>
      <c r="AG2463">
        <v>-6.77</v>
      </c>
      <c r="AH2463">
        <v>-4.99</v>
      </c>
      <c r="AI2463">
        <v>0</v>
      </c>
      <c r="AJ2463">
        <v>0.02</v>
      </c>
      <c r="AK2463">
        <v>29</v>
      </c>
      <c r="AL2463">
        <v>10</v>
      </c>
      <c r="AM2463">
        <v>1</v>
      </c>
      <c r="AN2463">
        <v>0.93</v>
      </c>
      <c r="AO2463">
        <v>2.0699999999999998</v>
      </c>
      <c r="AP2463">
        <v>35</v>
      </c>
      <c r="AQ2463">
        <v>9</v>
      </c>
      <c r="AR2463">
        <v>4.51</v>
      </c>
      <c r="AS2463">
        <v>22</v>
      </c>
      <c r="AT2463">
        <v>2.37</v>
      </c>
      <c r="AU2463">
        <v>53</v>
      </c>
      <c r="AV2463">
        <v>0.92</v>
      </c>
      <c r="AW2463">
        <v>60</v>
      </c>
      <c r="AX2463">
        <v>-0.57999999999999996</v>
      </c>
      <c r="AY2463">
        <v>44</v>
      </c>
      <c r="AZ2463">
        <v>4.43</v>
      </c>
      <c r="BA2463">
        <v>21</v>
      </c>
      <c r="BB2463">
        <v>3.65</v>
      </c>
      <c r="BC2463">
        <v>26</v>
      </c>
      <c r="BD2463">
        <v>-0.02</v>
      </c>
      <c r="BE2463">
        <v>-0.04</v>
      </c>
      <c r="BF2463">
        <v>-0.1</v>
      </c>
      <c r="BG2463">
        <v>43</v>
      </c>
      <c r="BH2463">
        <v>-0.14000000000000001</v>
      </c>
      <c r="BI2463">
        <v>4.4000000000000004</v>
      </c>
      <c r="BJ2463">
        <v>0</v>
      </c>
      <c r="BK2463">
        <v>0</v>
      </c>
      <c r="BL2463">
        <v>-1.34</v>
      </c>
      <c r="BM2463">
        <v>1.27</v>
      </c>
      <c r="BN2463">
        <v>-1.26</v>
      </c>
      <c r="BO2463">
        <v>-1.73</v>
      </c>
      <c r="BP2463">
        <v>0.39</v>
      </c>
      <c r="BQ2463">
        <v>0.16</v>
      </c>
      <c r="BR2463">
        <v>-0.74</v>
      </c>
      <c r="BS2463">
        <v>0.3</v>
      </c>
      <c r="BT2463">
        <v>0.09</v>
      </c>
      <c r="BU2463">
        <v>-1.45</v>
      </c>
      <c r="BV2463">
        <v>-1.51</v>
      </c>
      <c r="BW2463">
        <v>-1.51</v>
      </c>
      <c r="BX2463">
        <v>-1.06</v>
      </c>
      <c r="BY2463">
        <v>-1.53</v>
      </c>
      <c r="BZ2463">
        <v>-0.01</v>
      </c>
      <c r="CA2463">
        <v>-1.63</v>
      </c>
      <c r="CB2463">
        <v>-1.71</v>
      </c>
      <c r="CC2463">
        <v>-0.86</v>
      </c>
      <c r="CD2463">
        <v>1.68</v>
      </c>
      <c r="CE2463">
        <v>-1.72</v>
      </c>
      <c r="CF2463">
        <v>-1.25</v>
      </c>
      <c r="CG2463">
        <v>0</v>
      </c>
      <c r="CH2463">
        <v>-1.54</v>
      </c>
      <c r="CI2463">
        <v>0</v>
      </c>
      <c r="CJ2463">
        <v>9</v>
      </c>
      <c r="CK2463">
        <v>76</v>
      </c>
      <c r="CL2463">
        <v>0.2</v>
      </c>
      <c r="CM2463">
        <v>72</v>
      </c>
      <c r="CN2463">
        <v>0.04</v>
      </c>
      <c r="CO2463">
        <v>69</v>
      </c>
      <c r="CP2463">
        <v>-2.2000000000000002</v>
      </c>
      <c r="CQ2463">
        <v>59</v>
      </c>
      <c r="CR2463">
        <v>0</v>
      </c>
      <c r="CS2463">
        <v>0</v>
      </c>
      <c r="CT2463">
        <v>-12.5</v>
      </c>
      <c r="CU2463">
        <v>40</v>
      </c>
      <c r="CV2463">
        <v>0.03</v>
      </c>
      <c r="CW2463">
        <v>20</v>
      </c>
      <c r="CX2463" t="s">
        <v>8099</v>
      </c>
    </row>
    <row r="2464" spans="1:102" x14ac:dyDescent="0.3">
      <c r="A2464" t="str">
        <f>HYPERLINK("https://webapp.icbf.com/v2/app/bull-search/view/714741442","S2171")</f>
        <v>S2171</v>
      </c>
      <c r="B2464" t="s">
        <v>2046</v>
      </c>
      <c r="C2464" t="s">
        <v>2047</v>
      </c>
      <c r="D2464" s="1">
        <v>39507</v>
      </c>
      <c r="E2464" t="s">
        <v>92</v>
      </c>
      <c r="F2464">
        <v>100</v>
      </c>
      <c r="G2464" t="s">
        <v>109</v>
      </c>
      <c r="H2464">
        <v>37.69</v>
      </c>
      <c r="I2464">
        <v>74</v>
      </c>
      <c r="J2464">
        <v>27.08</v>
      </c>
      <c r="K2464">
        <v>91</v>
      </c>
      <c r="L2464">
        <v>-10.69</v>
      </c>
      <c r="M2464">
        <v>81</v>
      </c>
      <c r="N2464">
        <v>26.44</v>
      </c>
      <c r="O2464">
        <v>62</v>
      </c>
      <c r="P2464">
        <v>-8.5</v>
      </c>
      <c r="Q2464">
        <v>43</v>
      </c>
      <c r="R2464">
        <v>-12.31</v>
      </c>
      <c r="S2464">
        <v>70</v>
      </c>
      <c r="T2464">
        <v>14.05</v>
      </c>
      <c r="U2464">
        <v>41</v>
      </c>
      <c r="V2464">
        <v>1.62</v>
      </c>
      <c r="W2464">
        <v>49</v>
      </c>
      <c r="X2464" t="s">
        <v>102</v>
      </c>
      <c r="Y2464" t="s">
        <v>367</v>
      </c>
      <c r="Z2464" t="s">
        <v>96</v>
      </c>
      <c r="AA2464" t="s">
        <v>2048</v>
      </c>
      <c r="AB2464" t="s">
        <v>2049</v>
      </c>
      <c r="AC2464">
        <v>0</v>
      </c>
      <c r="AD2464">
        <v>0</v>
      </c>
      <c r="AE2464">
        <v>91</v>
      </c>
      <c r="AF2464">
        <v>149.59</v>
      </c>
      <c r="AG2464">
        <v>3.04</v>
      </c>
      <c r="AH2464">
        <v>5.82</v>
      </c>
      <c r="AI2464">
        <v>-0.05</v>
      </c>
      <c r="AJ2464">
        <v>0.01</v>
      </c>
      <c r="AK2464">
        <v>81</v>
      </c>
      <c r="AL2464">
        <v>0</v>
      </c>
      <c r="AM2464">
        <v>0</v>
      </c>
      <c r="AN2464">
        <v>1.53</v>
      </c>
      <c r="AO2464">
        <v>0.69</v>
      </c>
      <c r="AP2464">
        <v>84</v>
      </c>
      <c r="AQ2464">
        <v>0</v>
      </c>
      <c r="AR2464">
        <v>4.5999999999999996</v>
      </c>
      <c r="AS2464">
        <v>70</v>
      </c>
      <c r="AT2464">
        <v>2.35</v>
      </c>
      <c r="AU2464">
        <v>89</v>
      </c>
      <c r="AV2464">
        <v>-2.38</v>
      </c>
      <c r="AW2464">
        <v>56</v>
      </c>
      <c r="AX2464">
        <v>-0.84</v>
      </c>
      <c r="AY2464">
        <v>62</v>
      </c>
      <c r="AZ2464">
        <v>8.1</v>
      </c>
      <c r="BA2464">
        <v>32</v>
      </c>
      <c r="BB2464">
        <v>5.89</v>
      </c>
      <c r="BC2464">
        <v>33</v>
      </c>
      <c r="BD2464">
        <v>0.03</v>
      </c>
      <c r="BE2464">
        <v>7.0000000000000007E-2</v>
      </c>
      <c r="BF2464">
        <v>0.1</v>
      </c>
      <c r="BG2464">
        <v>92</v>
      </c>
      <c r="BH2464">
        <v>0.2</v>
      </c>
      <c r="BI2464">
        <v>17.899999999999999</v>
      </c>
      <c r="BJ2464">
        <v>4</v>
      </c>
      <c r="BK2464">
        <v>1</v>
      </c>
      <c r="BL2464">
        <v>-0.7</v>
      </c>
      <c r="BM2464">
        <v>-0.57999999999999996</v>
      </c>
      <c r="BN2464">
        <v>0.5</v>
      </c>
      <c r="BO2464">
        <v>0.21</v>
      </c>
      <c r="BP2464">
        <v>-1.32</v>
      </c>
      <c r="BQ2464">
        <v>-1.4</v>
      </c>
      <c r="BR2464">
        <v>-0.61</v>
      </c>
      <c r="BS2464">
        <v>2.81</v>
      </c>
      <c r="BT2464">
        <v>0.39</v>
      </c>
      <c r="BU2464">
        <v>-1.21</v>
      </c>
      <c r="BV2464">
        <v>-0.23</v>
      </c>
      <c r="BW2464">
        <v>-0.11</v>
      </c>
      <c r="BX2464">
        <v>-2.0699999999999998</v>
      </c>
      <c r="BY2464">
        <v>1.47</v>
      </c>
      <c r="BZ2464">
        <v>-0.05</v>
      </c>
      <c r="CA2464">
        <v>0.57999999999999996</v>
      </c>
      <c r="CB2464">
        <v>-0.28000000000000003</v>
      </c>
      <c r="CC2464">
        <v>2.3199999999999998</v>
      </c>
      <c r="CD2464">
        <v>-0.17</v>
      </c>
      <c r="CE2464">
        <v>0.53</v>
      </c>
      <c r="CF2464">
        <v>0.03</v>
      </c>
      <c r="CG2464">
        <v>0</v>
      </c>
      <c r="CH2464">
        <v>2.09</v>
      </c>
      <c r="CI2464">
        <v>0</v>
      </c>
      <c r="CJ2464">
        <v>-3.3</v>
      </c>
      <c r="CK2464">
        <v>44</v>
      </c>
      <c r="CL2464">
        <v>-0.7</v>
      </c>
      <c r="CM2464">
        <v>41</v>
      </c>
      <c r="CN2464">
        <v>-0.33</v>
      </c>
      <c r="CO2464">
        <v>41</v>
      </c>
      <c r="CP2464">
        <v>-3.9</v>
      </c>
      <c r="CQ2464">
        <v>42</v>
      </c>
      <c r="CR2464">
        <v>0</v>
      </c>
      <c r="CS2464">
        <v>0</v>
      </c>
      <c r="CT2464">
        <v>-5.2</v>
      </c>
      <c r="CU2464">
        <v>41</v>
      </c>
      <c r="CV2464">
        <v>0.12</v>
      </c>
      <c r="CW2464">
        <v>34</v>
      </c>
      <c r="CX2464" t="s">
        <v>2050</v>
      </c>
    </row>
    <row r="2465" spans="1:102" x14ac:dyDescent="0.3">
      <c r="A2465" t="str">
        <f>HYPERLINK("https://webapp.icbf.com/v2/app/bull-search/view/69091543","EBE")</f>
        <v>EBE</v>
      </c>
      <c r="B2465" t="s">
        <v>7025</v>
      </c>
      <c r="C2465" t="s">
        <v>7026</v>
      </c>
      <c r="D2465" s="1">
        <v>33148</v>
      </c>
      <c r="E2465" t="s">
        <v>146</v>
      </c>
      <c r="F2465">
        <v>13</v>
      </c>
      <c r="G2465" t="s">
        <v>109</v>
      </c>
      <c r="H2465">
        <v>37.630000000000003</v>
      </c>
      <c r="I2465">
        <v>60</v>
      </c>
      <c r="J2465">
        <v>13.84</v>
      </c>
      <c r="K2465">
        <v>71</v>
      </c>
      <c r="L2465">
        <v>-2.99</v>
      </c>
      <c r="M2465">
        <v>65</v>
      </c>
      <c r="N2465">
        <v>18.16</v>
      </c>
      <c r="O2465">
        <v>37</v>
      </c>
      <c r="P2465">
        <v>15.06</v>
      </c>
      <c r="Q2465">
        <v>54</v>
      </c>
      <c r="R2465">
        <v>-10.7</v>
      </c>
      <c r="S2465">
        <v>60</v>
      </c>
      <c r="T2465">
        <v>7.31</v>
      </c>
      <c r="U2465">
        <v>46</v>
      </c>
      <c r="V2465">
        <v>-3.05</v>
      </c>
      <c r="W2465">
        <v>30</v>
      </c>
      <c r="X2465" t="s">
        <v>276</v>
      </c>
      <c r="Y2465" t="s">
        <v>95</v>
      </c>
      <c r="Z2465" t="s">
        <v>96</v>
      </c>
      <c r="AA2465" t="s">
        <v>546</v>
      </c>
      <c r="AB2465" t="s">
        <v>7027</v>
      </c>
      <c r="AC2465">
        <v>0</v>
      </c>
      <c r="AD2465">
        <v>0</v>
      </c>
      <c r="AE2465">
        <v>71</v>
      </c>
      <c r="AF2465">
        <v>-95.62</v>
      </c>
      <c r="AG2465">
        <v>-4.0999999999999996</v>
      </c>
      <c r="AH2465">
        <v>2.34</v>
      </c>
      <c r="AI2465">
        <v>-0.01</v>
      </c>
      <c r="AJ2465">
        <v>0.09</v>
      </c>
      <c r="AK2465">
        <v>65</v>
      </c>
      <c r="AL2465">
        <v>0</v>
      </c>
      <c r="AM2465">
        <v>0</v>
      </c>
      <c r="AN2465">
        <v>-0.71</v>
      </c>
      <c r="AO2465">
        <v>-0.96</v>
      </c>
      <c r="AP2465">
        <v>1</v>
      </c>
      <c r="AQ2465">
        <v>0</v>
      </c>
      <c r="AR2465">
        <v>5.83</v>
      </c>
      <c r="AS2465">
        <v>25</v>
      </c>
      <c r="AT2465">
        <v>2.42</v>
      </c>
      <c r="AU2465">
        <v>41</v>
      </c>
      <c r="AV2465">
        <v>-0.87</v>
      </c>
      <c r="AW2465">
        <v>44</v>
      </c>
      <c r="AX2465">
        <v>-0.12</v>
      </c>
      <c r="AY2465">
        <v>40</v>
      </c>
      <c r="AZ2465">
        <v>6.23</v>
      </c>
      <c r="BA2465">
        <v>16</v>
      </c>
      <c r="BB2465">
        <v>4.8499999999999996</v>
      </c>
      <c r="BC2465">
        <v>21</v>
      </c>
      <c r="BD2465">
        <v>0</v>
      </c>
      <c r="BE2465">
        <v>0.04</v>
      </c>
      <c r="BF2465">
        <v>0.17</v>
      </c>
      <c r="BG2465">
        <v>86</v>
      </c>
      <c r="BH2465">
        <v>0.08</v>
      </c>
      <c r="BI2465">
        <v>19.079999999999998</v>
      </c>
      <c r="BJ2465">
        <v>1</v>
      </c>
      <c r="BK2465">
        <v>1</v>
      </c>
      <c r="BL2465">
        <v>-2.33</v>
      </c>
      <c r="BM2465">
        <v>2.99</v>
      </c>
      <c r="BN2465">
        <v>-1.22</v>
      </c>
      <c r="BO2465">
        <v>-1.82</v>
      </c>
      <c r="BP2465">
        <v>2.54</v>
      </c>
      <c r="BQ2465">
        <v>0.17</v>
      </c>
      <c r="BR2465">
        <v>0.09</v>
      </c>
      <c r="BS2465">
        <v>-0.44</v>
      </c>
      <c r="BT2465">
        <v>-0.88</v>
      </c>
      <c r="BU2465">
        <v>-3.07</v>
      </c>
      <c r="BV2465">
        <v>-4.07</v>
      </c>
      <c r="BW2465">
        <v>-3.18</v>
      </c>
      <c r="BX2465">
        <v>-2.99</v>
      </c>
      <c r="BY2465">
        <v>-3.2</v>
      </c>
      <c r="BZ2465">
        <v>1.48</v>
      </c>
      <c r="CA2465">
        <v>-3.58</v>
      </c>
      <c r="CB2465">
        <v>-3.57</v>
      </c>
      <c r="CC2465">
        <v>-1.92</v>
      </c>
      <c r="CD2465">
        <v>1.33</v>
      </c>
      <c r="CE2465">
        <v>-1.52</v>
      </c>
      <c r="CF2465">
        <v>-0.83</v>
      </c>
      <c r="CG2465">
        <v>0</v>
      </c>
      <c r="CH2465">
        <v>-1.22</v>
      </c>
      <c r="CI2465">
        <v>0</v>
      </c>
      <c r="CJ2465">
        <v>3.6</v>
      </c>
      <c r="CK2465">
        <v>55</v>
      </c>
      <c r="CL2465">
        <v>0.68</v>
      </c>
      <c r="CM2465">
        <v>52</v>
      </c>
      <c r="CN2465">
        <v>-0.27</v>
      </c>
      <c r="CO2465">
        <v>47</v>
      </c>
      <c r="CP2465">
        <v>-0.6</v>
      </c>
      <c r="CQ2465">
        <v>63</v>
      </c>
      <c r="CR2465">
        <v>0</v>
      </c>
      <c r="CS2465">
        <v>0</v>
      </c>
      <c r="CT2465">
        <v>3.9</v>
      </c>
      <c r="CU2465">
        <v>46</v>
      </c>
      <c r="CV2465">
        <v>-0.22</v>
      </c>
      <c r="CW2465">
        <v>14</v>
      </c>
      <c r="CX2465" t="s">
        <v>7028</v>
      </c>
    </row>
    <row r="2466" spans="1:102" x14ac:dyDescent="0.3">
      <c r="A2466" t="str">
        <f>HYPERLINK("https://webapp.icbf.com/v2/app/bull-search/view/739252877","S844")</f>
        <v>S844</v>
      </c>
      <c r="B2466" t="s">
        <v>144</v>
      </c>
      <c r="C2466" t="s">
        <v>15230</v>
      </c>
      <c r="D2466" s="1">
        <v>36557</v>
      </c>
      <c r="E2466" t="s">
        <v>1061</v>
      </c>
      <c r="F2466">
        <v>0</v>
      </c>
      <c r="G2466" t="s">
        <v>116</v>
      </c>
      <c r="H2466">
        <v>37.57</v>
      </c>
      <c r="I2466">
        <v>41</v>
      </c>
      <c r="J2466">
        <v>9.41</v>
      </c>
      <c r="K2466">
        <v>65</v>
      </c>
      <c r="L2466">
        <v>30.72</v>
      </c>
      <c r="M2466">
        <v>23</v>
      </c>
      <c r="N2466">
        <v>-0.03</v>
      </c>
      <c r="O2466">
        <v>33</v>
      </c>
      <c r="P2466">
        <v>-13.89</v>
      </c>
      <c r="Q2466">
        <v>41</v>
      </c>
      <c r="R2466">
        <v>-8.77</v>
      </c>
      <c r="S2466">
        <v>21</v>
      </c>
      <c r="T2466">
        <v>23.22</v>
      </c>
      <c r="U2466">
        <v>41</v>
      </c>
      <c r="V2466">
        <v>-3.09</v>
      </c>
      <c r="W2466">
        <v>23</v>
      </c>
      <c r="X2466" t="s">
        <v>94</v>
      </c>
      <c r="Y2466" t="s">
        <v>1494</v>
      </c>
      <c r="Z2466">
        <v>0</v>
      </c>
      <c r="AA2466" t="s">
        <v>15231</v>
      </c>
      <c r="AB2466" t="s">
        <v>15232</v>
      </c>
      <c r="AC2466">
        <v>9</v>
      </c>
      <c r="AD2466">
        <v>6</v>
      </c>
      <c r="AE2466">
        <v>65</v>
      </c>
      <c r="AF2466">
        <v>-24.52</v>
      </c>
      <c r="AG2466">
        <v>-0.72</v>
      </c>
      <c r="AH2466">
        <v>1.48</v>
      </c>
      <c r="AI2466">
        <v>0</v>
      </c>
      <c r="AJ2466">
        <v>0.04</v>
      </c>
      <c r="AK2466">
        <v>23</v>
      </c>
      <c r="AL2466">
        <v>14</v>
      </c>
      <c r="AM2466">
        <v>8</v>
      </c>
      <c r="AN2466">
        <v>-1.69</v>
      </c>
      <c r="AO2466">
        <v>0.76</v>
      </c>
      <c r="AP2466">
        <v>6</v>
      </c>
      <c r="AQ2466">
        <v>0</v>
      </c>
      <c r="AR2466">
        <v>8.86</v>
      </c>
      <c r="AS2466">
        <v>10</v>
      </c>
      <c r="AT2466">
        <v>3.55</v>
      </c>
      <c r="AU2466">
        <v>19</v>
      </c>
      <c r="AV2466">
        <v>-1.08</v>
      </c>
      <c r="AW2466">
        <v>58</v>
      </c>
      <c r="AX2466">
        <v>-0.9</v>
      </c>
      <c r="AY2466">
        <v>23</v>
      </c>
      <c r="AZ2466">
        <v>7.08</v>
      </c>
      <c r="BA2466">
        <v>8</v>
      </c>
      <c r="BB2466">
        <v>5.48</v>
      </c>
      <c r="BC2466">
        <v>11</v>
      </c>
      <c r="BD2466">
        <v>7.0000000000000007E-2</v>
      </c>
      <c r="BE2466">
        <v>0.05</v>
      </c>
      <c r="BF2466">
        <v>-0.01</v>
      </c>
      <c r="BG2466">
        <v>27</v>
      </c>
      <c r="BH2466">
        <v>-0.11</v>
      </c>
      <c r="BI2466">
        <v>-2.77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-5.7</v>
      </c>
      <c r="CK2466">
        <v>44</v>
      </c>
      <c r="CL2466">
        <v>-0.32</v>
      </c>
      <c r="CM2466">
        <v>38</v>
      </c>
      <c r="CN2466">
        <v>7.0000000000000007E-2</v>
      </c>
      <c r="CO2466">
        <v>31</v>
      </c>
      <c r="CP2466">
        <v>-12.7</v>
      </c>
      <c r="CQ2466">
        <v>51</v>
      </c>
      <c r="CR2466">
        <v>0</v>
      </c>
      <c r="CS2466">
        <v>0</v>
      </c>
      <c r="CT2466">
        <v>-17.600000000000001</v>
      </c>
      <c r="CU2466">
        <v>41</v>
      </c>
      <c r="CV2466">
        <v>-0.09</v>
      </c>
      <c r="CW2466">
        <v>10</v>
      </c>
      <c r="CX2466" t="s">
        <v>15233</v>
      </c>
    </row>
    <row r="2467" spans="1:102" x14ac:dyDescent="0.3">
      <c r="A2467" t="str">
        <f>HYPERLINK("https://webapp.icbf.com/v2/app/bull-search/view/77860201","CCV")</f>
        <v>CCV</v>
      </c>
      <c r="B2467" t="s">
        <v>12390</v>
      </c>
      <c r="C2467" t="s">
        <v>12391</v>
      </c>
      <c r="D2467" s="1">
        <v>33099</v>
      </c>
      <c r="E2467" t="s">
        <v>108</v>
      </c>
      <c r="F2467">
        <v>19</v>
      </c>
      <c r="G2467" t="s">
        <v>109</v>
      </c>
      <c r="H2467">
        <v>37.479999999999997</v>
      </c>
      <c r="I2467">
        <v>82</v>
      </c>
      <c r="J2467">
        <v>15.17</v>
      </c>
      <c r="K2467">
        <v>93</v>
      </c>
      <c r="L2467">
        <v>17.329999999999998</v>
      </c>
      <c r="M2467">
        <v>80</v>
      </c>
      <c r="N2467">
        <v>10.75</v>
      </c>
      <c r="O2467">
        <v>67</v>
      </c>
      <c r="P2467">
        <v>-27.05</v>
      </c>
      <c r="Q2467">
        <v>78</v>
      </c>
      <c r="R2467">
        <v>-6.79</v>
      </c>
      <c r="S2467">
        <v>74</v>
      </c>
      <c r="T2467">
        <v>27.89</v>
      </c>
      <c r="U2467">
        <v>81</v>
      </c>
      <c r="V2467">
        <v>0.18</v>
      </c>
      <c r="W2467">
        <v>59</v>
      </c>
      <c r="X2467" t="s">
        <v>302</v>
      </c>
      <c r="Y2467" t="s">
        <v>95</v>
      </c>
      <c r="Z2467" t="s">
        <v>96</v>
      </c>
      <c r="AA2467" t="s">
        <v>10631</v>
      </c>
      <c r="AB2467" t="s">
        <v>12392</v>
      </c>
      <c r="AC2467">
        <v>39</v>
      </c>
      <c r="AD2467">
        <v>26</v>
      </c>
      <c r="AE2467">
        <v>93</v>
      </c>
      <c r="AF2467">
        <v>-64.36</v>
      </c>
      <c r="AG2467">
        <v>6.97</v>
      </c>
      <c r="AH2467">
        <v>-0.87</v>
      </c>
      <c r="AI2467">
        <v>0.17</v>
      </c>
      <c r="AJ2467">
        <v>0.02</v>
      </c>
      <c r="AK2467">
        <v>80</v>
      </c>
      <c r="AL2467">
        <v>50</v>
      </c>
      <c r="AM2467">
        <v>32</v>
      </c>
      <c r="AN2467">
        <v>-1.08</v>
      </c>
      <c r="AO2467">
        <v>0.3</v>
      </c>
      <c r="AP2467">
        <v>6</v>
      </c>
      <c r="AQ2467">
        <v>0</v>
      </c>
      <c r="AR2467">
        <v>6.03</v>
      </c>
      <c r="AS2467">
        <v>47</v>
      </c>
      <c r="AT2467">
        <v>2.0699999999999998</v>
      </c>
      <c r="AU2467">
        <v>75</v>
      </c>
      <c r="AV2467">
        <v>-0.11</v>
      </c>
      <c r="AW2467">
        <v>72</v>
      </c>
      <c r="AX2467">
        <v>1.29</v>
      </c>
      <c r="AY2467">
        <v>70</v>
      </c>
      <c r="AZ2467">
        <v>5.98</v>
      </c>
      <c r="BA2467">
        <v>44</v>
      </c>
      <c r="BB2467">
        <v>4.87</v>
      </c>
      <c r="BC2467">
        <v>54</v>
      </c>
      <c r="BD2467">
        <v>0</v>
      </c>
      <c r="BE2467">
        <v>0.04</v>
      </c>
      <c r="BF2467">
        <v>0.08</v>
      </c>
      <c r="BG2467">
        <v>89</v>
      </c>
      <c r="BH2467">
        <v>0.03</v>
      </c>
      <c r="BI2467">
        <v>2.88</v>
      </c>
      <c r="BJ2467">
        <v>0</v>
      </c>
      <c r="BK2467">
        <v>0</v>
      </c>
      <c r="BL2467">
        <v>-2.08</v>
      </c>
      <c r="BM2467">
        <v>1.1599999999999999</v>
      </c>
      <c r="BN2467">
        <v>-0.28999999999999998</v>
      </c>
      <c r="BO2467">
        <v>-2.04</v>
      </c>
      <c r="BP2467">
        <v>-0.01</v>
      </c>
      <c r="BQ2467">
        <v>-2.34</v>
      </c>
      <c r="BR2467">
        <v>0.43</v>
      </c>
      <c r="BS2467">
        <v>-1.72</v>
      </c>
      <c r="BT2467">
        <v>-1.82</v>
      </c>
      <c r="BU2467">
        <v>-0.64</v>
      </c>
      <c r="BV2467">
        <v>-0.93</v>
      </c>
      <c r="BW2467">
        <v>-1.05</v>
      </c>
      <c r="BX2467">
        <v>-3.76</v>
      </c>
      <c r="BY2467">
        <v>-1.44</v>
      </c>
      <c r="BZ2467">
        <v>0.03</v>
      </c>
      <c r="CA2467">
        <v>-0.89</v>
      </c>
      <c r="CB2467">
        <v>-0.99</v>
      </c>
      <c r="CC2467">
        <v>-2.19</v>
      </c>
      <c r="CD2467">
        <v>1.66</v>
      </c>
      <c r="CE2467">
        <v>-1.95</v>
      </c>
      <c r="CF2467">
        <v>-2.5299999999999998</v>
      </c>
      <c r="CG2467">
        <v>0</v>
      </c>
      <c r="CH2467">
        <v>-1.27</v>
      </c>
      <c r="CI2467">
        <v>0</v>
      </c>
      <c r="CJ2467">
        <v>-12.7</v>
      </c>
      <c r="CK2467">
        <v>79</v>
      </c>
      <c r="CL2467">
        <v>-0.59</v>
      </c>
      <c r="CM2467">
        <v>76</v>
      </c>
      <c r="CN2467">
        <v>0.04</v>
      </c>
      <c r="CO2467">
        <v>73</v>
      </c>
      <c r="CP2467">
        <v>-19.8</v>
      </c>
      <c r="CQ2467">
        <v>84</v>
      </c>
      <c r="CR2467">
        <v>0</v>
      </c>
      <c r="CS2467">
        <v>0</v>
      </c>
      <c r="CT2467">
        <v>-23.9</v>
      </c>
      <c r="CU2467">
        <v>81</v>
      </c>
      <c r="CV2467">
        <v>0.09</v>
      </c>
      <c r="CW2467">
        <v>41</v>
      </c>
      <c r="CX2467" t="s">
        <v>2844</v>
      </c>
    </row>
    <row r="2468" spans="1:102" x14ac:dyDescent="0.3">
      <c r="A2468" t="str">
        <f>HYPERLINK("https://webapp.icbf.com/v2/app/bull-search/view/77853760","SED")</f>
        <v>SED</v>
      </c>
      <c r="B2468" t="s">
        <v>4880</v>
      </c>
      <c r="C2468" t="s">
        <v>4881</v>
      </c>
      <c r="D2468" s="1">
        <v>31683</v>
      </c>
      <c r="E2468" t="s">
        <v>92</v>
      </c>
      <c r="F2468">
        <v>100</v>
      </c>
      <c r="G2468" t="s">
        <v>93</v>
      </c>
      <c r="H2468">
        <v>37.44</v>
      </c>
      <c r="I2468">
        <v>76</v>
      </c>
      <c r="J2468">
        <v>-26.57</v>
      </c>
      <c r="K2468">
        <v>94</v>
      </c>
      <c r="L2468">
        <v>66.540000000000006</v>
      </c>
      <c r="M2468">
        <v>68</v>
      </c>
      <c r="N2468">
        <v>8.39</v>
      </c>
      <c r="O2468">
        <v>63</v>
      </c>
      <c r="P2468">
        <v>-2.09</v>
      </c>
      <c r="Q2468">
        <v>85</v>
      </c>
      <c r="R2468">
        <v>1.1000000000000001</v>
      </c>
      <c r="S2468">
        <v>68</v>
      </c>
      <c r="T2468">
        <v>-6.15</v>
      </c>
      <c r="U2468">
        <v>67</v>
      </c>
      <c r="V2468">
        <v>-3.78</v>
      </c>
      <c r="W2468">
        <v>26</v>
      </c>
      <c r="X2468" t="s">
        <v>276</v>
      </c>
      <c r="Y2468" t="s">
        <v>95</v>
      </c>
      <c r="Z2468" t="s">
        <v>96</v>
      </c>
      <c r="AA2468" t="s">
        <v>3747</v>
      </c>
      <c r="AB2468" t="s">
        <v>4882</v>
      </c>
      <c r="AC2468">
        <v>79</v>
      </c>
      <c r="AD2468">
        <v>55</v>
      </c>
      <c r="AE2468">
        <v>94</v>
      </c>
      <c r="AF2468">
        <v>-191.21</v>
      </c>
      <c r="AG2468">
        <v>-4.3099999999999996</v>
      </c>
      <c r="AH2468">
        <v>-5.92</v>
      </c>
      <c r="AI2468">
        <v>0.05</v>
      </c>
      <c r="AJ2468">
        <v>0.01</v>
      </c>
      <c r="AK2468">
        <v>68</v>
      </c>
      <c r="AL2468">
        <v>164</v>
      </c>
      <c r="AM2468">
        <v>69</v>
      </c>
      <c r="AN2468">
        <v>-4.1100000000000003</v>
      </c>
      <c r="AO2468">
        <v>1.19</v>
      </c>
      <c r="AP2468">
        <v>12</v>
      </c>
      <c r="AQ2468">
        <v>2</v>
      </c>
      <c r="AR2468">
        <v>7.39</v>
      </c>
      <c r="AS2468">
        <v>35</v>
      </c>
      <c r="AT2468">
        <v>3.27</v>
      </c>
      <c r="AU2468">
        <v>64</v>
      </c>
      <c r="AV2468">
        <v>-1.1200000000000001</v>
      </c>
      <c r="AW2468">
        <v>68</v>
      </c>
      <c r="AX2468">
        <v>-0.19</v>
      </c>
      <c r="AY2468">
        <v>80</v>
      </c>
      <c r="AZ2468">
        <v>7.06</v>
      </c>
      <c r="BA2468">
        <v>35</v>
      </c>
      <c r="BB2468">
        <v>4.87</v>
      </c>
      <c r="BC2468">
        <v>57</v>
      </c>
      <c r="BD2468">
        <v>0.01</v>
      </c>
      <c r="BE2468">
        <v>0.02</v>
      </c>
      <c r="BF2468">
        <v>-0.08</v>
      </c>
      <c r="BG2468">
        <v>90</v>
      </c>
      <c r="BH2468">
        <v>-0.16</v>
      </c>
      <c r="BI2468">
        <v>-6.31</v>
      </c>
      <c r="BJ2468">
        <v>15</v>
      </c>
      <c r="BK2468">
        <v>9</v>
      </c>
      <c r="BL2468">
        <v>0.18</v>
      </c>
      <c r="BM2468">
        <v>-0.88</v>
      </c>
      <c r="BN2468">
        <v>-1.39</v>
      </c>
      <c r="BO2468">
        <v>-0.44</v>
      </c>
      <c r="BP2468">
        <v>1.0900000000000001</v>
      </c>
      <c r="BQ2468">
        <v>-1.23</v>
      </c>
      <c r="BR2468">
        <v>0.44</v>
      </c>
      <c r="BS2468">
        <v>-0.16</v>
      </c>
      <c r="BT2468">
        <v>-0.02</v>
      </c>
      <c r="BU2468">
        <v>0.47</v>
      </c>
      <c r="BV2468">
        <v>-1.77</v>
      </c>
      <c r="BW2468">
        <v>-0.59</v>
      </c>
      <c r="BX2468">
        <v>2.04</v>
      </c>
      <c r="BY2468">
        <v>-0.15</v>
      </c>
      <c r="BZ2468">
        <v>-0.05</v>
      </c>
      <c r="CA2468">
        <v>-0.02</v>
      </c>
      <c r="CB2468">
        <v>-0.43</v>
      </c>
      <c r="CC2468">
        <v>0.53</v>
      </c>
      <c r="CD2468">
        <v>0.06</v>
      </c>
      <c r="CE2468">
        <v>-0.42</v>
      </c>
      <c r="CF2468">
        <v>-0.02</v>
      </c>
      <c r="CG2468">
        <v>0</v>
      </c>
      <c r="CH2468">
        <v>-1.7</v>
      </c>
      <c r="CI2468">
        <v>0</v>
      </c>
      <c r="CJ2468">
        <v>-0.5</v>
      </c>
      <c r="CK2468">
        <v>86</v>
      </c>
      <c r="CL2468">
        <v>-0.51</v>
      </c>
      <c r="CM2468">
        <v>84</v>
      </c>
      <c r="CN2468">
        <v>-0.27</v>
      </c>
      <c r="CO2468">
        <v>82</v>
      </c>
      <c r="CP2468">
        <v>4.7</v>
      </c>
      <c r="CQ2468">
        <v>87</v>
      </c>
      <c r="CR2468">
        <v>0</v>
      </c>
      <c r="CS2468">
        <v>0</v>
      </c>
      <c r="CT2468">
        <v>22.1</v>
      </c>
      <c r="CU2468">
        <v>67</v>
      </c>
      <c r="CV2468">
        <v>0.14000000000000001</v>
      </c>
      <c r="CW2468">
        <v>23</v>
      </c>
      <c r="CX2468" t="s">
        <v>4883</v>
      </c>
    </row>
    <row r="2469" spans="1:102" x14ac:dyDescent="0.3">
      <c r="A2469" t="str">
        <f>HYPERLINK("https://webapp.icbf.com/v2/app/bull-search/view/77856658","HWG")</f>
        <v>HWG</v>
      </c>
      <c r="B2469" t="s">
        <v>1627</v>
      </c>
      <c r="C2469" t="s">
        <v>1628</v>
      </c>
      <c r="D2469" s="1">
        <v>34378</v>
      </c>
      <c r="E2469" t="s">
        <v>108</v>
      </c>
      <c r="F2469">
        <v>0</v>
      </c>
      <c r="G2469" t="s">
        <v>93</v>
      </c>
      <c r="H2469">
        <v>37.409999999999997</v>
      </c>
      <c r="I2469">
        <v>93</v>
      </c>
      <c r="J2469">
        <v>-68.3</v>
      </c>
      <c r="K2469">
        <v>98</v>
      </c>
      <c r="L2469">
        <v>92.24</v>
      </c>
      <c r="M2469">
        <v>89</v>
      </c>
      <c r="N2469">
        <v>-8.49</v>
      </c>
      <c r="O2469">
        <v>91</v>
      </c>
      <c r="P2469">
        <v>-8.9499999999999993</v>
      </c>
      <c r="Q2469">
        <v>98</v>
      </c>
      <c r="R2469">
        <v>-7.99</v>
      </c>
      <c r="S2469">
        <v>89</v>
      </c>
      <c r="T2469">
        <v>25.07</v>
      </c>
      <c r="U2469">
        <v>93</v>
      </c>
      <c r="V2469">
        <v>13.83</v>
      </c>
      <c r="W2469">
        <v>88</v>
      </c>
      <c r="X2469" t="s">
        <v>102</v>
      </c>
      <c r="Y2469" t="s">
        <v>95</v>
      </c>
      <c r="Z2469" t="s">
        <v>96</v>
      </c>
      <c r="AA2469" t="s">
        <v>1629</v>
      </c>
      <c r="AB2469" t="s">
        <v>1630</v>
      </c>
      <c r="AC2469">
        <v>246</v>
      </c>
      <c r="AD2469">
        <v>157</v>
      </c>
      <c r="AE2469">
        <v>98</v>
      </c>
      <c r="AF2469">
        <v>-431.19</v>
      </c>
      <c r="AG2469">
        <v>-16.41</v>
      </c>
      <c r="AH2469">
        <v>-12.41</v>
      </c>
      <c r="AI2469">
        <v>0.01</v>
      </c>
      <c r="AJ2469">
        <v>0.04</v>
      </c>
      <c r="AK2469">
        <v>89</v>
      </c>
      <c r="AL2469">
        <v>392</v>
      </c>
      <c r="AM2469">
        <v>234</v>
      </c>
      <c r="AN2469">
        <v>-5.52</v>
      </c>
      <c r="AO2469">
        <v>1.83</v>
      </c>
      <c r="AP2469">
        <v>130</v>
      </c>
      <c r="AQ2469">
        <v>4</v>
      </c>
      <c r="AR2469">
        <v>8.25</v>
      </c>
      <c r="AS2469">
        <v>86</v>
      </c>
      <c r="AT2469">
        <v>3.72</v>
      </c>
      <c r="AU2469">
        <v>90</v>
      </c>
      <c r="AV2469">
        <v>-1.35</v>
      </c>
      <c r="AW2469">
        <v>95</v>
      </c>
      <c r="AX2469">
        <v>-0.37</v>
      </c>
      <c r="AY2469">
        <v>94</v>
      </c>
      <c r="AZ2469">
        <v>7.2</v>
      </c>
      <c r="BA2469">
        <v>76</v>
      </c>
      <c r="BB2469">
        <v>7.05</v>
      </c>
      <c r="BC2469">
        <v>86</v>
      </c>
      <c r="BD2469">
        <v>0.01</v>
      </c>
      <c r="BE2469">
        <v>0.03</v>
      </c>
      <c r="BF2469">
        <v>0.11</v>
      </c>
      <c r="BG2469">
        <v>96</v>
      </c>
      <c r="BH2469">
        <v>0.31</v>
      </c>
      <c r="BI2469">
        <v>-8.76</v>
      </c>
      <c r="BJ2469">
        <v>27</v>
      </c>
      <c r="BK2469">
        <v>20</v>
      </c>
      <c r="BL2469">
        <v>-3.01</v>
      </c>
      <c r="BM2469">
        <v>0.51</v>
      </c>
      <c r="BN2469">
        <v>-3.76</v>
      </c>
      <c r="BO2469">
        <v>-3.1</v>
      </c>
      <c r="BP2469">
        <v>-1.56</v>
      </c>
      <c r="BQ2469">
        <v>-0.23</v>
      </c>
      <c r="BR2469">
        <v>-1.18</v>
      </c>
      <c r="BS2469">
        <v>-0.8</v>
      </c>
      <c r="BT2469">
        <v>0.63</v>
      </c>
      <c r="BU2469">
        <v>-3.6</v>
      </c>
      <c r="BV2469">
        <v>-4.38</v>
      </c>
      <c r="BW2469">
        <v>-4.3899999999999997</v>
      </c>
      <c r="BX2469">
        <v>-2.2000000000000002</v>
      </c>
      <c r="BY2469">
        <v>-4.13</v>
      </c>
      <c r="BZ2469">
        <v>1.36</v>
      </c>
      <c r="CA2469">
        <v>-3.92</v>
      </c>
      <c r="CB2469">
        <v>-4.5199999999999996</v>
      </c>
      <c r="CC2469">
        <v>-1.37</v>
      </c>
      <c r="CD2469">
        <v>2.62</v>
      </c>
      <c r="CE2469">
        <v>-3.32</v>
      </c>
      <c r="CF2469">
        <v>-3.26</v>
      </c>
      <c r="CG2469">
        <v>0</v>
      </c>
      <c r="CH2469">
        <v>-4.1100000000000003</v>
      </c>
      <c r="CI2469">
        <v>0</v>
      </c>
      <c r="CJ2469">
        <v>-6.7</v>
      </c>
      <c r="CK2469">
        <v>98</v>
      </c>
      <c r="CL2469">
        <v>-0.04</v>
      </c>
      <c r="CM2469">
        <v>97</v>
      </c>
      <c r="CN2469">
        <v>-0.23</v>
      </c>
      <c r="CO2469">
        <v>97</v>
      </c>
      <c r="CP2469">
        <v>-13.2</v>
      </c>
      <c r="CQ2469">
        <v>97</v>
      </c>
      <c r="CR2469">
        <v>0</v>
      </c>
      <c r="CS2469">
        <v>0</v>
      </c>
      <c r="CT2469">
        <v>-20.100000000000001</v>
      </c>
      <c r="CU2469">
        <v>93</v>
      </c>
      <c r="CV2469">
        <v>-0.06</v>
      </c>
      <c r="CW2469">
        <v>45</v>
      </c>
      <c r="CX2469" t="s">
        <v>1631</v>
      </c>
    </row>
    <row r="2470" spans="1:102" x14ac:dyDescent="0.3">
      <c r="A2470" t="str">
        <f>HYPERLINK("https://webapp.icbf.com/v2/app/bull-search/view/572115301","PWI")</f>
        <v>PWI</v>
      </c>
      <c r="B2470" t="s">
        <v>11756</v>
      </c>
      <c r="C2470" t="s">
        <v>11757</v>
      </c>
      <c r="D2470" s="1">
        <v>39005</v>
      </c>
      <c r="E2470" t="s">
        <v>227</v>
      </c>
      <c r="F2470">
        <v>0</v>
      </c>
      <c r="G2470" t="s">
        <v>93</v>
      </c>
      <c r="H2470">
        <v>37.409999999999997</v>
      </c>
      <c r="I2470">
        <v>90</v>
      </c>
      <c r="J2470">
        <v>-2.4700000000000002</v>
      </c>
      <c r="K2470">
        <v>98</v>
      </c>
      <c r="L2470">
        <v>12.47</v>
      </c>
      <c r="M2470">
        <v>84</v>
      </c>
      <c r="N2470">
        <v>34.369999999999997</v>
      </c>
      <c r="O2470">
        <v>88</v>
      </c>
      <c r="P2470">
        <v>-65.900000000000006</v>
      </c>
      <c r="Q2470">
        <v>90</v>
      </c>
      <c r="R2470">
        <v>-1.31</v>
      </c>
      <c r="S2470">
        <v>85</v>
      </c>
      <c r="T2470">
        <v>60.74</v>
      </c>
      <c r="U2470">
        <v>88</v>
      </c>
      <c r="V2470">
        <v>-0.49</v>
      </c>
      <c r="W2470">
        <v>88</v>
      </c>
      <c r="X2470" t="s">
        <v>276</v>
      </c>
      <c r="Y2470" t="s">
        <v>1128</v>
      </c>
      <c r="Z2470">
        <v>0</v>
      </c>
      <c r="AA2470" t="s">
        <v>11758</v>
      </c>
      <c r="AB2470" t="s">
        <v>11759</v>
      </c>
      <c r="AC2470">
        <v>158</v>
      </c>
      <c r="AD2470">
        <v>58</v>
      </c>
      <c r="AE2470">
        <v>98</v>
      </c>
      <c r="AF2470">
        <v>-549.36</v>
      </c>
      <c r="AG2470">
        <v>8.3699999999999992</v>
      </c>
      <c r="AH2470">
        <v>-11.79</v>
      </c>
      <c r="AI2470">
        <v>0.56999999999999995</v>
      </c>
      <c r="AJ2470">
        <v>0.13</v>
      </c>
      <c r="AK2470">
        <v>84</v>
      </c>
      <c r="AL2470">
        <v>199</v>
      </c>
      <c r="AM2470">
        <v>74</v>
      </c>
      <c r="AN2470">
        <v>0.54</v>
      </c>
      <c r="AO2470">
        <v>1.55</v>
      </c>
      <c r="AP2470">
        <v>194</v>
      </c>
      <c r="AQ2470">
        <v>3</v>
      </c>
      <c r="AR2470">
        <v>3.41</v>
      </c>
      <c r="AS2470">
        <v>87</v>
      </c>
      <c r="AT2470">
        <v>1.99</v>
      </c>
      <c r="AU2470">
        <v>86</v>
      </c>
      <c r="AV2470">
        <v>-2.85</v>
      </c>
      <c r="AW2470">
        <v>96</v>
      </c>
      <c r="AX2470">
        <v>0.84</v>
      </c>
      <c r="AY2470">
        <v>85</v>
      </c>
      <c r="AZ2470">
        <v>7.84</v>
      </c>
      <c r="BA2470">
        <v>72</v>
      </c>
      <c r="BB2470">
        <v>5.23</v>
      </c>
      <c r="BC2470">
        <v>77</v>
      </c>
      <c r="BD2470">
        <v>-0.06</v>
      </c>
      <c r="BE2470">
        <v>0</v>
      </c>
      <c r="BF2470">
        <v>0.13</v>
      </c>
      <c r="BG2470">
        <v>93</v>
      </c>
      <c r="BH2470">
        <v>-0.02</v>
      </c>
      <c r="BI2470">
        <v>-0.74</v>
      </c>
      <c r="BJ2470">
        <v>26</v>
      </c>
      <c r="BK2470">
        <v>11</v>
      </c>
      <c r="BL2470">
        <v>0.78</v>
      </c>
      <c r="BM2470">
        <v>0.87</v>
      </c>
      <c r="BN2470">
        <v>2.25</v>
      </c>
      <c r="BO2470">
        <v>1.92</v>
      </c>
      <c r="BP2470">
        <v>-0.82</v>
      </c>
      <c r="BQ2470">
        <v>-0.28999999999999998</v>
      </c>
      <c r="BR2470">
        <v>0.14000000000000001</v>
      </c>
      <c r="BS2470">
        <v>5.94</v>
      </c>
      <c r="BT2470">
        <v>0.5</v>
      </c>
      <c r="BU2470">
        <v>1.78</v>
      </c>
      <c r="BV2470">
        <v>1.83</v>
      </c>
      <c r="BW2470">
        <v>0.1</v>
      </c>
      <c r="BX2470">
        <v>-1.56</v>
      </c>
      <c r="BY2470">
        <v>-0.2</v>
      </c>
      <c r="BZ2470">
        <v>-0.59</v>
      </c>
      <c r="CA2470">
        <v>3.17</v>
      </c>
      <c r="CB2470">
        <v>2.21</v>
      </c>
      <c r="CC2470">
        <v>3.95</v>
      </c>
      <c r="CD2470">
        <v>-0.87</v>
      </c>
      <c r="CE2470">
        <v>2.08</v>
      </c>
      <c r="CF2470">
        <v>1.96</v>
      </c>
      <c r="CG2470">
        <v>0</v>
      </c>
      <c r="CH2470">
        <v>-7.0000000000000007E-2</v>
      </c>
      <c r="CI2470">
        <v>0</v>
      </c>
      <c r="CJ2470">
        <v>-34.299999999999997</v>
      </c>
      <c r="CK2470">
        <v>91</v>
      </c>
      <c r="CL2470">
        <v>-1.27</v>
      </c>
      <c r="CM2470">
        <v>89</v>
      </c>
      <c r="CN2470">
        <v>-0.19</v>
      </c>
      <c r="CO2470">
        <v>88</v>
      </c>
      <c r="CP2470">
        <v>-51.2</v>
      </c>
      <c r="CQ2470">
        <v>92</v>
      </c>
      <c r="CR2470">
        <v>0</v>
      </c>
      <c r="CS2470">
        <v>0</v>
      </c>
      <c r="CT2470">
        <v>-68.3</v>
      </c>
      <c r="CU2470">
        <v>88</v>
      </c>
      <c r="CV2470">
        <v>-0.27</v>
      </c>
      <c r="CW2470">
        <v>44</v>
      </c>
      <c r="CX2470" t="s">
        <v>11760</v>
      </c>
    </row>
    <row r="2471" spans="1:102" x14ac:dyDescent="0.3">
      <c r="A2471" t="str">
        <f>HYPERLINK("https://webapp.icbf.com/v2/app/bull-search/view/77856697","IBR")</f>
        <v>IBR</v>
      </c>
      <c r="B2471" t="s">
        <v>3713</v>
      </c>
      <c r="C2471" t="s">
        <v>3714</v>
      </c>
      <c r="D2471" s="1">
        <v>32143</v>
      </c>
      <c r="E2471" t="s">
        <v>92</v>
      </c>
      <c r="F2471">
        <v>69</v>
      </c>
      <c r="G2471" t="s">
        <v>116</v>
      </c>
      <c r="H2471">
        <v>37.4</v>
      </c>
      <c r="I2471">
        <v>35</v>
      </c>
      <c r="J2471">
        <v>-52.71</v>
      </c>
      <c r="K2471">
        <v>45</v>
      </c>
      <c r="L2471">
        <v>73.459999999999994</v>
      </c>
      <c r="M2471">
        <v>28</v>
      </c>
      <c r="N2471">
        <v>18.22</v>
      </c>
      <c r="O2471">
        <v>28</v>
      </c>
      <c r="P2471">
        <v>-3.17</v>
      </c>
      <c r="Q2471">
        <v>39</v>
      </c>
      <c r="R2471">
        <v>-5.96</v>
      </c>
      <c r="S2471">
        <v>28</v>
      </c>
      <c r="T2471">
        <v>7.83</v>
      </c>
      <c r="U2471">
        <v>36</v>
      </c>
      <c r="V2471">
        <v>-0.27</v>
      </c>
      <c r="W2471">
        <v>18</v>
      </c>
      <c r="X2471" t="s">
        <v>94</v>
      </c>
      <c r="Y2471" t="s">
        <v>117</v>
      </c>
      <c r="Z2471" t="s">
        <v>96</v>
      </c>
      <c r="AA2471" t="s">
        <v>3715</v>
      </c>
      <c r="AB2471" t="s">
        <v>3716</v>
      </c>
      <c r="AC2471">
        <v>3</v>
      </c>
      <c r="AD2471">
        <v>5</v>
      </c>
      <c r="AE2471">
        <v>45</v>
      </c>
      <c r="AF2471">
        <v>-265.89</v>
      </c>
      <c r="AG2471">
        <v>-7.25</v>
      </c>
      <c r="AH2471">
        <v>-10.47</v>
      </c>
      <c r="AI2471">
        <v>0.05</v>
      </c>
      <c r="AJ2471">
        <v>-0.02</v>
      </c>
      <c r="AK2471">
        <v>28</v>
      </c>
      <c r="AL2471">
        <v>5</v>
      </c>
      <c r="AM2471">
        <v>5</v>
      </c>
      <c r="AN2471">
        <v>-3.88</v>
      </c>
      <c r="AO2471">
        <v>1.98</v>
      </c>
      <c r="AP2471">
        <v>4</v>
      </c>
      <c r="AQ2471">
        <v>1</v>
      </c>
      <c r="AR2471">
        <v>6.04</v>
      </c>
      <c r="AS2471">
        <v>12</v>
      </c>
      <c r="AT2471">
        <v>2.61</v>
      </c>
      <c r="AU2471">
        <v>21</v>
      </c>
      <c r="AV2471">
        <v>-1.23</v>
      </c>
      <c r="AW2471">
        <v>37</v>
      </c>
      <c r="AX2471">
        <v>-0.17</v>
      </c>
      <c r="AY2471">
        <v>37</v>
      </c>
      <c r="AZ2471">
        <v>6.23</v>
      </c>
      <c r="BA2471">
        <v>10</v>
      </c>
      <c r="BB2471">
        <v>5.0599999999999996</v>
      </c>
      <c r="BC2471">
        <v>17</v>
      </c>
      <c r="BD2471">
        <v>0.03</v>
      </c>
      <c r="BE2471">
        <v>0.03</v>
      </c>
      <c r="BF2471">
        <v>0.03</v>
      </c>
      <c r="BG2471">
        <v>34</v>
      </c>
      <c r="BH2471">
        <v>0.01</v>
      </c>
      <c r="BI2471">
        <v>2.04</v>
      </c>
      <c r="BJ2471">
        <v>0</v>
      </c>
      <c r="BK2471">
        <v>0</v>
      </c>
      <c r="BL2471">
        <v>-1.0900000000000001</v>
      </c>
      <c r="BM2471">
        <v>0.47</v>
      </c>
      <c r="BN2471">
        <v>-1.33</v>
      </c>
      <c r="BO2471">
        <v>-1.23</v>
      </c>
      <c r="BP2471">
        <v>0.76</v>
      </c>
      <c r="BQ2471">
        <v>-0.85</v>
      </c>
      <c r="BR2471">
        <v>-0.71</v>
      </c>
      <c r="BS2471">
        <v>-0.1</v>
      </c>
      <c r="BT2471">
        <v>0.64</v>
      </c>
      <c r="BU2471">
        <v>-1.01</v>
      </c>
      <c r="BV2471">
        <v>-0.91</v>
      </c>
      <c r="BW2471">
        <v>-1.17</v>
      </c>
      <c r="BX2471">
        <v>-0.28000000000000003</v>
      </c>
      <c r="BY2471">
        <v>-1.58</v>
      </c>
      <c r="BZ2471">
        <v>0.14000000000000001</v>
      </c>
      <c r="CA2471">
        <v>-1.06</v>
      </c>
      <c r="CB2471">
        <v>-1.0900000000000001</v>
      </c>
      <c r="CC2471">
        <v>-0.5</v>
      </c>
      <c r="CD2471">
        <v>1.07</v>
      </c>
      <c r="CE2471">
        <v>-1.53</v>
      </c>
      <c r="CF2471">
        <v>-1.0900000000000001</v>
      </c>
      <c r="CG2471">
        <v>0</v>
      </c>
      <c r="CH2471">
        <v>-1.39</v>
      </c>
      <c r="CI2471">
        <v>0</v>
      </c>
      <c r="CJ2471">
        <v>0.3</v>
      </c>
      <c r="CK2471">
        <v>41</v>
      </c>
      <c r="CL2471">
        <v>-0.22</v>
      </c>
      <c r="CM2471">
        <v>37</v>
      </c>
      <c r="CN2471">
        <v>0.08</v>
      </c>
      <c r="CO2471">
        <v>34</v>
      </c>
      <c r="CP2471">
        <v>-2.5</v>
      </c>
      <c r="CQ2471">
        <v>40</v>
      </c>
      <c r="CR2471">
        <v>0</v>
      </c>
      <c r="CS2471">
        <v>0</v>
      </c>
      <c r="CT2471">
        <v>3.2</v>
      </c>
      <c r="CU2471">
        <v>36</v>
      </c>
      <c r="CV2471">
        <v>0.06</v>
      </c>
      <c r="CW2471">
        <v>10</v>
      </c>
      <c r="CX2471" t="s">
        <v>3717</v>
      </c>
    </row>
    <row r="2472" spans="1:102" x14ac:dyDescent="0.3">
      <c r="A2472" t="str">
        <f>HYPERLINK("https://webapp.icbf.com/v2/app/bull-search/view/348477105","LPE")</f>
        <v>LPE</v>
      </c>
      <c r="B2472" t="s">
        <v>4365</v>
      </c>
      <c r="C2472" t="s">
        <v>4366</v>
      </c>
      <c r="D2472" s="1">
        <v>36455</v>
      </c>
      <c r="E2472" t="s">
        <v>108</v>
      </c>
      <c r="F2472">
        <v>0</v>
      </c>
      <c r="G2472" t="s">
        <v>109</v>
      </c>
      <c r="H2472">
        <v>37.369999999999997</v>
      </c>
      <c r="I2472">
        <v>84</v>
      </c>
      <c r="J2472">
        <v>-52.31</v>
      </c>
      <c r="K2472">
        <v>91</v>
      </c>
      <c r="L2472">
        <v>79.17</v>
      </c>
      <c r="M2472">
        <v>84</v>
      </c>
      <c r="N2472">
        <v>13.04</v>
      </c>
      <c r="O2472">
        <v>72</v>
      </c>
      <c r="P2472">
        <v>-22.7</v>
      </c>
      <c r="Q2472">
        <v>85</v>
      </c>
      <c r="R2472">
        <v>-3.39</v>
      </c>
      <c r="S2472">
        <v>76</v>
      </c>
      <c r="T2472">
        <v>23.37</v>
      </c>
      <c r="U2472">
        <v>78</v>
      </c>
      <c r="V2472">
        <v>0.19</v>
      </c>
      <c r="W2472">
        <v>65</v>
      </c>
      <c r="X2472" t="s">
        <v>251</v>
      </c>
      <c r="Y2472" t="s">
        <v>171</v>
      </c>
      <c r="Z2472" t="s">
        <v>96</v>
      </c>
      <c r="AA2472" t="s">
        <v>4367</v>
      </c>
      <c r="AB2472" t="s">
        <v>4368</v>
      </c>
      <c r="AC2472">
        <v>20</v>
      </c>
      <c r="AD2472">
        <v>16</v>
      </c>
      <c r="AE2472">
        <v>91</v>
      </c>
      <c r="AF2472">
        <v>-219.16</v>
      </c>
      <c r="AG2472">
        <v>-8.99</v>
      </c>
      <c r="AH2472">
        <v>-9.07</v>
      </c>
      <c r="AI2472">
        <v>-0.01</v>
      </c>
      <c r="AJ2472">
        <v>-0.03</v>
      </c>
      <c r="AK2472">
        <v>84</v>
      </c>
      <c r="AL2472">
        <v>38</v>
      </c>
      <c r="AM2472">
        <v>17</v>
      </c>
      <c r="AN2472">
        <v>-4.6100000000000003</v>
      </c>
      <c r="AO2472">
        <v>1.7</v>
      </c>
      <c r="AP2472">
        <v>39</v>
      </c>
      <c r="AQ2472">
        <v>0</v>
      </c>
      <c r="AR2472">
        <v>4.33</v>
      </c>
      <c r="AS2472">
        <v>66</v>
      </c>
      <c r="AT2472">
        <v>1.95</v>
      </c>
      <c r="AU2472">
        <v>74</v>
      </c>
      <c r="AV2472">
        <v>-0.39</v>
      </c>
      <c r="AW2472">
        <v>78</v>
      </c>
      <c r="AX2472">
        <v>-0.27</v>
      </c>
      <c r="AY2472">
        <v>76</v>
      </c>
      <c r="AZ2472">
        <v>8.2799999999999994</v>
      </c>
      <c r="BA2472">
        <v>55</v>
      </c>
      <c r="BB2472">
        <v>5.69</v>
      </c>
      <c r="BC2472">
        <v>56</v>
      </c>
      <c r="BD2472">
        <v>0</v>
      </c>
      <c r="BE2472">
        <v>0.02</v>
      </c>
      <c r="BF2472">
        <v>0.04</v>
      </c>
      <c r="BG2472">
        <v>89</v>
      </c>
      <c r="BH2472">
        <v>-0.08</v>
      </c>
      <c r="BI2472">
        <v>-9.8800000000000008</v>
      </c>
      <c r="BJ2472">
        <v>3</v>
      </c>
      <c r="BK2472">
        <v>2</v>
      </c>
      <c r="BL2472">
        <v>-2.92</v>
      </c>
      <c r="BM2472">
        <v>-7.0000000000000007E-2</v>
      </c>
      <c r="BN2472">
        <v>-2.2599999999999998</v>
      </c>
      <c r="BO2472">
        <v>-1.89</v>
      </c>
      <c r="BP2472">
        <v>-3.13</v>
      </c>
      <c r="BQ2472">
        <v>-1.05</v>
      </c>
      <c r="BR2472">
        <v>-0.3</v>
      </c>
      <c r="BS2472">
        <v>1.96</v>
      </c>
      <c r="BT2472">
        <v>0.16</v>
      </c>
      <c r="BU2472">
        <v>-0.65</v>
      </c>
      <c r="BV2472">
        <v>-2.59</v>
      </c>
      <c r="BW2472">
        <v>-1.2</v>
      </c>
      <c r="BX2472">
        <v>-0.61</v>
      </c>
      <c r="BY2472">
        <v>0.41</v>
      </c>
      <c r="BZ2472">
        <v>-1.61</v>
      </c>
      <c r="CA2472">
        <v>-0.42</v>
      </c>
      <c r="CB2472">
        <v>-1.04</v>
      </c>
      <c r="CC2472">
        <v>0.74</v>
      </c>
      <c r="CD2472">
        <v>1.22</v>
      </c>
      <c r="CE2472">
        <v>-2</v>
      </c>
      <c r="CF2472">
        <v>-3.04</v>
      </c>
      <c r="CG2472">
        <v>0</v>
      </c>
      <c r="CH2472">
        <v>0.41</v>
      </c>
      <c r="CI2472">
        <v>0</v>
      </c>
      <c r="CJ2472">
        <v>-11.4</v>
      </c>
      <c r="CK2472">
        <v>86</v>
      </c>
      <c r="CL2472">
        <v>-0.48</v>
      </c>
      <c r="CM2472">
        <v>85</v>
      </c>
      <c r="CN2472">
        <v>-0.05</v>
      </c>
      <c r="CO2472">
        <v>83</v>
      </c>
      <c r="CP2472">
        <v>-17.3</v>
      </c>
      <c r="CQ2472">
        <v>83</v>
      </c>
      <c r="CR2472">
        <v>0</v>
      </c>
      <c r="CS2472">
        <v>0</v>
      </c>
      <c r="CT2472">
        <v>-17.8</v>
      </c>
      <c r="CU2472">
        <v>78</v>
      </c>
      <c r="CV2472">
        <v>0.01</v>
      </c>
      <c r="CW2472">
        <v>43</v>
      </c>
      <c r="CX2472" t="s">
        <v>4369</v>
      </c>
    </row>
    <row r="2473" spans="1:102" x14ac:dyDescent="0.3">
      <c r="A2473" t="str">
        <f>HYPERLINK("https://webapp.icbf.com/v2/app/bull-search/view/77856106","LAUZ")</f>
        <v>LAUZ</v>
      </c>
      <c r="B2473" t="s">
        <v>1187</v>
      </c>
      <c r="C2473" t="s">
        <v>1188</v>
      </c>
      <c r="D2473" s="1">
        <v>32824</v>
      </c>
      <c r="E2473" t="s">
        <v>92</v>
      </c>
      <c r="F2473">
        <v>56</v>
      </c>
      <c r="G2473" t="s">
        <v>116</v>
      </c>
      <c r="H2473">
        <v>37.340000000000003</v>
      </c>
      <c r="I2473">
        <v>56</v>
      </c>
      <c r="J2473">
        <v>-40.06</v>
      </c>
      <c r="K2473">
        <v>63</v>
      </c>
      <c r="L2473">
        <v>88.65</v>
      </c>
      <c r="M2473">
        <v>54</v>
      </c>
      <c r="N2473">
        <v>-27.08</v>
      </c>
      <c r="O2473">
        <v>50</v>
      </c>
      <c r="P2473">
        <v>-4.1399999999999997</v>
      </c>
      <c r="Q2473">
        <v>60</v>
      </c>
      <c r="R2473">
        <v>-1.61</v>
      </c>
      <c r="S2473">
        <v>58</v>
      </c>
      <c r="T2473">
        <v>16.34</v>
      </c>
      <c r="U2473">
        <v>48</v>
      </c>
      <c r="V2473">
        <v>5.24</v>
      </c>
      <c r="W2473">
        <v>30</v>
      </c>
      <c r="X2473" t="s">
        <v>102</v>
      </c>
      <c r="Y2473" t="s">
        <v>95</v>
      </c>
      <c r="Z2473" t="s">
        <v>96</v>
      </c>
      <c r="AA2473" t="s">
        <v>982</v>
      </c>
      <c r="AB2473" t="s">
        <v>674</v>
      </c>
      <c r="AC2473">
        <v>9</v>
      </c>
      <c r="AD2473">
        <v>8</v>
      </c>
      <c r="AE2473">
        <v>63</v>
      </c>
      <c r="AF2473">
        <v>-142.04</v>
      </c>
      <c r="AG2473">
        <v>-7</v>
      </c>
      <c r="AH2473">
        <v>-6.51</v>
      </c>
      <c r="AI2473">
        <v>-0.02</v>
      </c>
      <c r="AJ2473">
        <v>-0.03</v>
      </c>
      <c r="AK2473">
        <v>54</v>
      </c>
      <c r="AL2473">
        <v>35</v>
      </c>
      <c r="AM2473">
        <v>26</v>
      </c>
      <c r="AN2473">
        <v>-6.34</v>
      </c>
      <c r="AO2473">
        <v>0.71</v>
      </c>
      <c r="AP2473">
        <v>8</v>
      </c>
      <c r="AQ2473">
        <v>0</v>
      </c>
      <c r="AR2473">
        <v>10.9</v>
      </c>
      <c r="AS2473">
        <v>42</v>
      </c>
      <c r="AT2473">
        <v>4.3499999999999996</v>
      </c>
      <c r="AU2473">
        <v>39</v>
      </c>
      <c r="AV2473">
        <v>0.03</v>
      </c>
      <c r="AW2473">
        <v>63</v>
      </c>
      <c r="AX2473">
        <v>0.54</v>
      </c>
      <c r="AY2473">
        <v>52</v>
      </c>
      <c r="AZ2473">
        <v>6.79</v>
      </c>
      <c r="BA2473">
        <v>31</v>
      </c>
      <c r="BB2473">
        <v>5.44</v>
      </c>
      <c r="BC2473">
        <v>38</v>
      </c>
      <c r="BD2473">
        <v>0.03</v>
      </c>
      <c r="BE2473">
        <v>0.03</v>
      </c>
      <c r="BF2473">
        <v>-7.0000000000000007E-2</v>
      </c>
      <c r="BG2473">
        <v>75</v>
      </c>
      <c r="BH2473">
        <v>0.03</v>
      </c>
      <c r="BI2473">
        <v>-13.43</v>
      </c>
      <c r="BJ2473">
        <v>4</v>
      </c>
      <c r="BK2473">
        <v>4</v>
      </c>
      <c r="BL2473">
        <v>-1.72</v>
      </c>
      <c r="BM2473">
        <v>0.02</v>
      </c>
      <c r="BN2473">
        <v>-2.19</v>
      </c>
      <c r="BO2473">
        <v>-1.45</v>
      </c>
      <c r="BP2473">
        <v>0.14000000000000001</v>
      </c>
      <c r="BQ2473">
        <v>0</v>
      </c>
      <c r="BR2473">
        <v>-0.26</v>
      </c>
      <c r="BS2473">
        <v>-0.1</v>
      </c>
      <c r="BT2473">
        <v>0.47</v>
      </c>
      <c r="BU2473">
        <v>-0.83</v>
      </c>
      <c r="BV2473">
        <v>-0.38</v>
      </c>
      <c r="BW2473">
        <v>-1.1100000000000001</v>
      </c>
      <c r="BX2473">
        <v>-0.05</v>
      </c>
      <c r="BY2473">
        <v>0.2</v>
      </c>
      <c r="BZ2473">
        <v>-1.51</v>
      </c>
      <c r="CA2473">
        <v>-0.71</v>
      </c>
      <c r="CB2473">
        <v>-0.67</v>
      </c>
      <c r="CC2473">
        <v>-0.66</v>
      </c>
      <c r="CD2473">
        <v>1.0900000000000001</v>
      </c>
      <c r="CE2473">
        <v>-1.49</v>
      </c>
      <c r="CF2473">
        <v>-1.81</v>
      </c>
      <c r="CG2473">
        <v>0</v>
      </c>
      <c r="CH2473">
        <v>-0.33</v>
      </c>
      <c r="CI2473">
        <v>0</v>
      </c>
      <c r="CJ2473">
        <v>0.7</v>
      </c>
      <c r="CK2473">
        <v>62</v>
      </c>
      <c r="CL2473">
        <v>-0.19</v>
      </c>
      <c r="CM2473">
        <v>59</v>
      </c>
      <c r="CN2473">
        <v>0.11</v>
      </c>
      <c r="CO2473">
        <v>55</v>
      </c>
      <c r="CP2473">
        <v>-12.4</v>
      </c>
      <c r="CQ2473">
        <v>61</v>
      </c>
      <c r="CR2473">
        <v>0</v>
      </c>
      <c r="CS2473">
        <v>0</v>
      </c>
      <c r="CT2473">
        <v>-8.3000000000000007</v>
      </c>
      <c r="CU2473">
        <v>48</v>
      </c>
      <c r="CV2473">
        <v>0.13</v>
      </c>
      <c r="CW2473">
        <v>17</v>
      </c>
      <c r="CX2473" t="s">
        <v>675</v>
      </c>
    </row>
    <row r="2474" spans="1:102" x14ac:dyDescent="0.3">
      <c r="A2474" t="str">
        <f>HYPERLINK("https://webapp.icbf.com/v2/app/bull-search/view/77859742","BKO")</f>
        <v>BKO</v>
      </c>
      <c r="B2474" t="s">
        <v>10908</v>
      </c>
      <c r="C2474" t="s">
        <v>10909</v>
      </c>
      <c r="D2474" s="1">
        <v>33663</v>
      </c>
      <c r="E2474" t="s">
        <v>108</v>
      </c>
      <c r="F2474">
        <v>0</v>
      </c>
      <c r="G2474" t="s">
        <v>116</v>
      </c>
      <c r="H2474">
        <v>37.25</v>
      </c>
      <c r="I2474">
        <v>38</v>
      </c>
      <c r="J2474">
        <v>2.5299999999999998</v>
      </c>
      <c r="K2474">
        <v>52</v>
      </c>
      <c r="L2474">
        <v>39.44</v>
      </c>
      <c r="M2474">
        <v>29</v>
      </c>
      <c r="N2474">
        <v>5.0599999999999996</v>
      </c>
      <c r="O2474">
        <v>24</v>
      </c>
      <c r="P2474">
        <v>-11.39</v>
      </c>
      <c r="Q2474">
        <v>50</v>
      </c>
      <c r="R2474">
        <v>-17.72</v>
      </c>
      <c r="S2474">
        <v>34</v>
      </c>
      <c r="T2474">
        <v>21</v>
      </c>
      <c r="U2474">
        <v>36</v>
      </c>
      <c r="V2474">
        <v>-1.67</v>
      </c>
      <c r="W2474">
        <v>13</v>
      </c>
      <c r="X2474" t="s">
        <v>110</v>
      </c>
      <c r="Y2474" t="s">
        <v>117</v>
      </c>
      <c r="Z2474" t="s">
        <v>96</v>
      </c>
      <c r="AA2474" t="s">
        <v>10910</v>
      </c>
      <c r="AB2474" t="s">
        <v>10911</v>
      </c>
      <c r="AC2474">
        <v>7</v>
      </c>
      <c r="AD2474">
        <v>6</v>
      </c>
      <c r="AE2474">
        <v>52</v>
      </c>
      <c r="AF2474">
        <v>-14.48</v>
      </c>
      <c r="AG2474">
        <v>4.04</v>
      </c>
      <c r="AH2474">
        <v>-1.22</v>
      </c>
      <c r="AI2474">
        <v>0.08</v>
      </c>
      <c r="AJ2474">
        <v>-0.01</v>
      </c>
      <c r="AK2474">
        <v>29</v>
      </c>
      <c r="AL2474">
        <v>13</v>
      </c>
      <c r="AM2474">
        <v>5</v>
      </c>
      <c r="AN2474">
        <v>-3.33</v>
      </c>
      <c r="AO2474">
        <v>-0.2</v>
      </c>
      <c r="AP2474">
        <v>0</v>
      </c>
      <c r="AQ2474">
        <v>2</v>
      </c>
      <c r="AR2474">
        <v>6.98</v>
      </c>
      <c r="AS2474">
        <v>11</v>
      </c>
      <c r="AT2474">
        <v>2.9</v>
      </c>
      <c r="AU2474">
        <v>21</v>
      </c>
      <c r="AV2474">
        <v>-1.42</v>
      </c>
      <c r="AW2474">
        <v>28</v>
      </c>
      <c r="AX2474">
        <v>0.39</v>
      </c>
      <c r="AY2474">
        <v>38</v>
      </c>
      <c r="AZ2474">
        <v>7.53</v>
      </c>
      <c r="BA2474">
        <v>11</v>
      </c>
      <c r="BB2474">
        <v>6.27</v>
      </c>
      <c r="BC2474">
        <v>18</v>
      </c>
      <c r="BD2474">
        <v>0.08</v>
      </c>
      <c r="BE2474">
        <v>0.06</v>
      </c>
      <c r="BF2474">
        <v>0.16</v>
      </c>
      <c r="BG2474">
        <v>47</v>
      </c>
      <c r="BH2474">
        <v>-0.03</v>
      </c>
      <c r="BI2474">
        <v>1.91</v>
      </c>
      <c r="BJ2474">
        <v>0</v>
      </c>
      <c r="BK2474">
        <v>0</v>
      </c>
      <c r="BL2474">
        <v>-2.0699999999999998</v>
      </c>
      <c r="BM2474">
        <v>0.84</v>
      </c>
      <c r="BN2474">
        <v>-1.93</v>
      </c>
      <c r="BO2474">
        <v>-1.97</v>
      </c>
      <c r="BP2474">
        <v>-0.47</v>
      </c>
      <c r="BQ2474">
        <v>1.49</v>
      </c>
      <c r="BR2474">
        <v>-1.4</v>
      </c>
      <c r="BS2474">
        <v>-0.19</v>
      </c>
      <c r="BT2474">
        <v>0.57999999999999996</v>
      </c>
      <c r="BU2474">
        <v>-1.98</v>
      </c>
      <c r="BV2474">
        <v>-2.12</v>
      </c>
      <c r="BW2474">
        <v>-1.46</v>
      </c>
      <c r="BX2474">
        <v>-1.1499999999999999</v>
      </c>
      <c r="BY2474">
        <v>-0.28000000000000003</v>
      </c>
      <c r="BZ2474">
        <v>0.22</v>
      </c>
      <c r="CA2474">
        <v>-1.39</v>
      </c>
      <c r="CB2474">
        <v>-1.63</v>
      </c>
      <c r="CC2474">
        <v>-0.38</v>
      </c>
      <c r="CD2474">
        <v>1.78</v>
      </c>
      <c r="CE2474">
        <v>-1.56</v>
      </c>
      <c r="CF2474">
        <v>-1.43</v>
      </c>
      <c r="CG2474">
        <v>0</v>
      </c>
      <c r="CH2474">
        <v>-1.05</v>
      </c>
      <c r="CI2474">
        <v>0</v>
      </c>
      <c r="CJ2474">
        <v>-4.7</v>
      </c>
      <c r="CK2474">
        <v>53</v>
      </c>
      <c r="CL2474">
        <v>-0.43</v>
      </c>
      <c r="CM2474">
        <v>48</v>
      </c>
      <c r="CN2474">
        <v>-0.12</v>
      </c>
      <c r="CO2474">
        <v>44</v>
      </c>
      <c r="CP2474">
        <v>-12.5</v>
      </c>
      <c r="CQ2474">
        <v>48</v>
      </c>
      <c r="CR2474">
        <v>0</v>
      </c>
      <c r="CS2474">
        <v>0</v>
      </c>
      <c r="CT2474">
        <v>-14.6</v>
      </c>
      <c r="CU2474">
        <v>36</v>
      </c>
      <c r="CV2474">
        <v>0.08</v>
      </c>
      <c r="CW2474">
        <v>13</v>
      </c>
      <c r="CX2474" t="s">
        <v>8022</v>
      </c>
    </row>
    <row r="2475" spans="1:102" x14ac:dyDescent="0.3">
      <c r="A2475" t="str">
        <f>HYPERLINK("https://webapp.icbf.com/v2/app/bull-search/view/667939067","BQF")</f>
        <v>BQF</v>
      </c>
      <c r="B2475" t="s">
        <v>12843</v>
      </c>
      <c r="C2475" t="s">
        <v>12844</v>
      </c>
      <c r="D2475" s="1">
        <v>39844</v>
      </c>
      <c r="E2475" t="s">
        <v>92</v>
      </c>
      <c r="F2475">
        <v>94</v>
      </c>
      <c r="G2475" t="s">
        <v>435</v>
      </c>
      <c r="H2475">
        <v>37.159999999999997</v>
      </c>
      <c r="I2475">
        <v>72</v>
      </c>
      <c r="J2475">
        <v>31.68</v>
      </c>
      <c r="K2475">
        <v>91</v>
      </c>
      <c r="L2475">
        <v>-44.18</v>
      </c>
      <c r="M2475">
        <v>68</v>
      </c>
      <c r="N2475">
        <v>37.43</v>
      </c>
      <c r="O2475">
        <v>59</v>
      </c>
      <c r="P2475">
        <v>-11.01</v>
      </c>
      <c r="Q2475">
        <v>59</v>
      </c>
      <c r="R2475">
        <v>0.77</v>
      </c>
      <c r="S2475">
        <v>67</v>
      </c>
      <c r="T2475">
        <v>14.42</v>
      </c>
      <c r="U2475">
        <v>50</v>
      </c>
      <c r="V2475">
        <v>8.0500000000000007</v>
      </c>
      <c r="W2475">
        <v>65</v>
      </c>
      <c r="X2475" t="s">
        <v>94</v>
      </c>
      <c r="Y2475" t="s">
        <v>1727</v>
      </c>
      <c r="Z2475" t="s">
        <v>96</v>
      </c>
      <c r="AA2475" t="s">
        <v>277</v>
      </c>
      <c r="AB2475" t="s">
        <v>12845</v>
      </c>
      <c r="AC2475">
        <v>1</v>
      </c>
      <c r="AD2475">
        <v>1</v>
      </c>
      <c r="AE2475">
        <v>91</v>
      </c>
      <c r="AF2475">
        <v>96.56</v>
      </c>
      <c r="AG2475">
        <v>7.62</v>
      </c>
      <c r="AH2475">
        <v>4.17</v>
      </c>
      <c r="AI2475">
        <v>0.06</v>
      </c>
      <c r="AJ2475">
        <v>0.02</v>
      </c>
      <c r="AK2475">
        <v>68</v>
      </c>
      <c r="AL2475">
        <v>0</v>
      </c>
      <c r="AM2475">
        <v>0</v>
      </c>
      <c r="AN2475">
        <v>5.01</v>
      </c>
      <c r="AO2475">
        <v>1.52</v>
      </c>
      <c r="AP2475">
        <v>1</v>
      </c>
      <c r="AQ2475">
        <v>0</v>
      </c>
      <c r="AR2475">
        <v>5.13</v>
      </c>
      <c r="AS2475">
        <v>56</v>
      </c>
      <c r="AT2475">
        <v>1.9</v>
      </c>
      <c r="AU2475">
        <v>66</v>
      </c>
      <c r="AV2475">
        <v>-3.32</v>
      </c>
      <c r="AW2475">
        <v>62</v>
      </c>
      <c r="AX2475">
        <v>0</v>
      </c>
      <c r="AY2475">
        <v>48</v>
      </c>
      <c r="AZ2475">
        <v>6.43</v>
      </c>
      <c r="BA2475">
        <v>45</v>
      </c>
      <c r="BB2475">
        <v>5.72</v>
      </c>
      <c r="BC2475">
        <v>46</v>
      </c>
      <c r="BD2475">
        <v>-0.04</v>
      </c>
      <c r="BE2475">
        <v>0.01</v>
      </c>
      <c r="BF2475">
        <v>0.03</v>
      </c>
      <c r="BG2475">
        <v>77</v>
      </c>
      <c r="BH2475">
        <v>0.19</v>
      </c>
      <c r="BI2475">
        <v>-3.99</v>
      </c>
      <c r="BJ2475">
        <v>0</v>
      </c>
      <c r="BK2475">
        <v>0</v>
      </c>
      <c r="BL2475">
        <v>-0.26</v>
      </c>
      <c r="BM2475">
        <v>-1.1299999999999999</v>
      </c>
      <c r="BN2475">
        <v>-0.59</v>
      </c>
      <c r="BO2475">
        <v>0.03</v>
      </c>
      <c r="BP2475">
        <v>-0.06</v>
      </c>
      <c r="BQ2475">
        <v>-0.93</v>
      </c>
      <c r="BR2475">
        <v>1.19</v>
      </c>
      <c r="BS2475">
        <v>-0.24</v>
      </c>
      <c r="BT2475">
        <v>-1.08</v>
      </c>
      <c r="BU2475">
        <v>-1</v>
      </c>
      <c r="BV2475">
        <v>-0.96</v>
      </c>
      <c r="BW2475">
        <v>-0.92</v>
      </c>
      <c r="BX2475">
        <v>-0.67</v>
      </c>
      <c r="BY2475">
        <v>-0.17</v>
      </c>
      <c r="BZ2475">
        <v>0.23</v>
      </c>
      <c r="CA2475">
        <v>-0.49</v>
      </c>
      <c r="CB2475">
        <v>-0.56999999999999995</v>
      </c>
      <c r="CC2475">
        <v>-0.02</v>
      </c>
      <c r="CD2475">
        <v>-0.92</v>
      </c>
      <c r="CE2475">
        <v>-0.08</v>
      </c>
      <c r="CF2475">
        <v>-0.69</v>
      </c>
      <c r="CG2475">
        <v>0</v>
      </c>
      <c r="CH2475">
        <v>0.4</v>
      </c>
      <c r="CI2475">
        <v>0</v>
      </c>
      <c r="CJ2475">
        <v>-2.5</v>
      </c>
      <c r="CK2475">
        <v>61</v>
      </c>
      <c r="CL2475">
        <v>-0.93</v>
      </c>
      <c r="CM2475">
        <v>58</v>
      </c>
      <c r="CN2475">
        <v>-0.27</v>
      </c>
      <c r="CO2475">
        <v>57</v>
      </c>
      <c r="CP2475">
        <v>-7.5</v>
      </c>
      <c r="CQ2475">
        <v>54</v>
      </c>
      <c r="CR2475">
        <v>0</v>
      </c>
      <c r="CS2475">
        <v>0</v>
      </c>
      <c r="CT2475">
        <v>-5.7</v>
      </c>
      <c r="CU2475">
        <v>50</v>
      </c>
      <c r="CV2475">
        <v>0.18</v>
      </c>
      <c r="CW2475">
        <v>39</v>
      </c>
      <c r="CX2475" t="s">
        <v>316</v>
      </c>
    </row>
    <row r="2476" spans="1:102" x14ac:dyDescent="0.3">
      <c r="A2476" t="str">
        <f>HYPERLINK("https://webapp.icbf.com/v2/app/bull-search/view/444130988","GMO")</f>
        <v>GMO</v>
      </c>
      <c r="B2476" t="s">
        <v>4494</v>
      </c>
      <c r="C2476" t="s">
        <v>4495</v>
      </c>
      <c r="D2476" s="1">
        <v>38752</v>
      </c>
      <c r="E2476" t="s">
        <v>92</v>
      </c>
      <c r="F2476">
        <v>88</v>
      </c>
      <c r="G2476" t="s">
        <v>93</v>
      </c>
      <c r="H2476">
        <v>37.119999999999997</v>
      </c>
      <c r="I2476">
        <v>88</v>
      </c>
      <c r="J2476">
        <v>6.49</v>
      </c>
      <c r="K2476">
        <v>97</v>
      </c>
      <c r="L2476">
        <v>48.53</v>
      </c>
      <c r="M2476">
        <v>79</v>
      </c>
      <c r="N2476">
        <v>-8.68</v>
      </c>
      <c r="O2476">
        <v>88</v>
      </c>
      <c r="P2476">
        <v>-11.26</v>
      </c>
      <c r="Q2476">
        <v>93</v>
      </c>
      <c r="R2476">
        <v>-3.58</v>
      </c>
      <c r="S2476">
        <v>84</v>
      </c>
      <c r="T2476">
        <v>10.35</v>
      </c>
      <c r="U2476">
        <v>90</v>
      </c>
      <c r="V2476">
        <v>-4.7300000000000004</v>
      </c>
      <c r="W2476">
        <v>85</v>
      </c>
      <c r="X2476" t="s">
        <v>94</v>
      </c>
      <c r="Y2476" t="s">
        <v>1251</v>
      </c>
      <c r="Z2476" t="s">
        <v>96</v>
      </c>
      <c r="AA2476" t="s">
        <v>1406</v>
      </c>
      <c r="AB2476" t="s">
        <v>4496</v>
      </c>
      <c r="AC2476">
        <v>115</v>
      </c>
      <c r="AD2476">
        <v>82</v>
      </c>
      <c r="AE2476">
        <v>97</v>
      </c>
      <c r="AF2476">
        <v>-178.42</v>
      </c>
      <c r="AG2476">
        <v>0.94</v>
      </c>
      <c r="AH2476">
        <v>-1.96</v>
      </c>
      <c r="AI2476">
        <v>0.14000000000000001</v>
      </c>
      <c r="AJ2476">
        <v>7.0000000000000007E-2</v>
      </c>
      <c r="AK2476">
        <v>79</v>
      </c>
      <c r="AL2476">
        <v>114</v>
      </c>
      <c r="AM2476">
        <v>82</v>
      </c>
      <c r="AN2476">
        <v>-2.68</v>
      </c>
      <c r="AO2476">
        <v>1.19</v>
      </c>
      <c r="AP2476">
        <v>257</v>
      </c>
      <c r="AQ2476">
        <v>2</v>
      </c>
      <c r="AR2476">
        <v>9.3000000000000007</v>
      </c>
      <c r="AS2476">
        <v>71</v>
      </c>
      <c r="AT2476">
        <v>3.86</v>
      </c>
      <c r="AU2476">
        <v>90</v>
      </c>
      <c r="AV2476">
        <v>-0.96</v>
      </c>
      <c r="AW2476">
        <v>97</v>
      </c>
      <c r="AX2476">
        <v>-0.17</v>
      </c>
      <c r="AY2476">
        <v>84</v>
      </c>
      <c r="AZ2476">
        <v>8.77</v>
      </c>
      <c r="BA2476">
        <v>67</v>
      </c>
      <c r="BB2476">
        <v>5.23</v>
      </c>
      <c r="BC2476">
        <v>71</v>
      </c>
      <c r="BD2476">
        <v>0.02</v>
      </c>
      <c r="BE2476">
        <v>0.01</v>
      </c>
      <c r="BF2476">
        <v>0.03</v>
      </c>
      <c r="BG2476">
        <v>90</v>
      </c>
      <c r="BH2476">
        <v>-0.04</v>
      </c>
      <c r="BI2476">
        <v>10.64</v>
      </c>
      <c r="BJ2476">
        <v>11</v>
      </c>
      <c r="BK2476">
        <v>11</v>
      </c>
      <c r="BL2476">
        <v>-0.4</v>
      </c>
      <c r="BM2476">
        <v>1.28</v>
      </c>
      <c r="BN2476">
        <v>0.26</v>
      </c>
      <c r="BO2476">
        <v>-0.71</v>
      </c>
      <c r="BP2476">
        <v>0.4</v>
      </c>
      <c r="BQ2476">
        <v>0.81</v>
      </c>
      <c r="BR2476">
        <v>-0.62</v>
      </c>
      <c r="BS2476">
        <v>-1.24</v>
      </c>
      <c r="BT2476">
        <v>1.02</v>
      </c>
      <c r="BU2476">
        <v>-0.33</v>
      </c>
      <c r="BV2476">
        <v>-0.03</v>
      </c>
      <c r="BW2476">
        <v>0.01</v>
      </c>
      <c r="BX2476">
        <v>-0.47</v>
      </c>
      <c r="BY2476">
        <v>-0.21</v>
      </c>
      <c r="BZ2476">
        <v>0.4</v>
      </c>
      <c r="CA2476">
        <v>-0.62</v>
      </c>
      <c r="CB2476">
        <v>0.03</v>
      </c>
      <c r="CC2476">
        <v>-1.2</v>
      </c>
      <c r="CD2476">
        <v>0.77</v>
      </c>
      <c r="CE2476">
        <v>-0.63</v>
      </c>
      <c r="CF2476">
        <v>-0.42</v>
      </c>
      <c r="CG2476">
        <v>0</v>
      </c>
      <c r="CH2476">
        <v>0.25</v>
      </c>
      <c r="CI2476">
        <v>0</v>
      </c>
      <c r="CJ2476">
        <v>-5.3</v>
      </c>
      <c r="CK2476">
        <v>94</v>
      </c>
      <c r="CL2476">
        <v>-0.59</v>
      </c>
      <c r="CM2476">
        <v>93</v>
      </c>
      <c r="CN2476">
        <v>-0.28000000000000003</v>
      </c>
      <c r="CO2476">
        <v>92</v>
      </c>
      <c r="CP2476">
        <v>-7.6</v>
      </c>
      <c r="CQ2476">
        <v>91</v>
      </c>
      <c r="CR2476">
        <v>0</v>
      </c>
      <c r="CS2476">
        <v>0</v>
      </c>
      <c r="CT2476">
        <v>-0.2</v>
      </c>
      <c r="CU2476">
        <v>90</v>
      </c>
      <c r="CV2476">
        <v>-0.01</v>
      </c>
      <c r="CW2476">
        <v>45</v>
      </c>
      <c r="CX2476" t="s">
        <v>4497</v>
      </c>
    </row>
    <row r="2477" spans="1:102" x14ac:dyDescent="0.3">
      <c r="A2477" t="str">
        <f>HYPERLINK("https://webapp.icbf.com/v2/app/bull-search/view/438238212","VTO")</f>
        <v>VTO</v>
      </c>
      <c r="B2477" t="s">
        <v>4571</v>
      </c>
      <c r="C2477" t="s">
        <v>4572</v>
      </c>
      <c r="D2477" s="1">
        <v>38729</v>
      </c>
      <c r="E2477" t="s">
        <v>92</v>
      </c>
      <c r="F2477">
        <v>94</v>
      </c>
      <c r="G2477" t="s">
        <v>93</v>
      </c>
      <c r="H2477">
        <v>37.06</v>
      </c>
      <c r="I2477">
        <v>87</v>
      </c>
      <c r="J2477">
        <v>54.27</v>
      </c>
      <c r="K2477">
        <v>96</v>
      </c>
      <c r="L2477">
        <v>-43.15</v>
      </c>
      <c r="M2477">
        <v>80</v>
      </c>
      <c r="N2477">
        <v>36.869999999999997</v>
      </c>
      <c r="O2477">
        <v>85</v>
      </c>
      <c r="P2477">
        <v>-8.82</v>
      </c>
      <c r="Q2477">
        <v>91</v>
      </c>
      <c r="R2477">
        <v>-2.52</v>
      </c>
      <c r="S2477">
        <v>81</v>
      </c>
      <c r="T2477">
        <v>-0.75</v>
      </c>
      <c r="U2477">
        <v>83</v>
      </c>
      <c r="V2477">
        <v>1.1599999999999999</v>
      </c>
      <c r="W2477">
        <v>77</v>
      </c>
      <c r="X2477" t="s">
        <v>94</v>
      </c>
      <c r="Y2477" t="s">
        <v>1251</v>
      </c>
      <c r="Z2477" t="s">
        <v>96</v>
      </c>
      <c r="AA2477" t="s">
        <v>316</v>
      </c>
      <c r="AB2477" t="s">
        <v>4573</v>
      </c>
      <c r="AC2477">
        <v>76</v>
      </c>
      <c r="AD2477">
        <v>57</v>
      </c>
      <c r="AE2477">
        <v>96</v>
      </c>
      <c r="AF2477">
        <v>619.22</v>
      </c>
      <c r="AG2477">
        <v>11.5</v>
      </c>
      <c r="AH2477">
        <v>14.64</v>
      </c>
      <c r="AI2477">
        <v>-0.2</v>
      </c>
      <c r="AJ2477">
        <v>-0.1</v>
      </c>
      <c r="AK2477">
        <v>80</v>
      </c>
      <c r="AL2477">
        <v>78</v>
      </c>
      <c r="AM2477">
        <v>53</v>
      </c>
      <c r="AN2477">
        <v>3.98</v>
      </c>
      <c r="AO2477">
        <v>0.56000000000000005</v>
      </c>
      <c r="AP2477">
        <v>172</v>
      </c>
      <c r="AQ2477">
        <v>1</v>
      </c>
      <c r="AR2477">
        <v>5.18</v>
      </c>
      <c r="AS2477">
        <v>71</v>
      </c>
      <c r="AT2477">
        <v>2.41</v>
      </c>
      <c r="AU2477">
        <v>87</v>
      </c>
      <c r="AV2477">
        <v>-2.93</v>
      </c>
      <c r="AW2477">
        <v>95</v>
      </c>
      <c r="AX2477">
        <v>-0.36</v>
      </c>
      <c r="AY2477">
        <v>80</v>
      </c>
      <c r="AZ2477">
        <v>5.83</v>
      </c>
      <c r="BA2477">
        <v>63</v>
      </c>
      <c r="BB2477">
        <v>4.9000000000000004</v>
      </c>
      <c r="BC2477">
        <v>65</v>
      </c>
      <c r="BD2477">
        <v>0.03</v>
      </c>
      <c r="BE2477">
        <v>0.02</v>
      </c>
      <c r="BF2477">
        <v>-0.03</v>
      </c>
      <c r="BG2477">
        <v>89</v>
      </c>
      <c r="BH2477">
        <v>0</v>
      </c>
      <c r="BI2477">
        <v>-3.74</v>
      </c>
      <c r="BJ2477">
        <v>13</v>
      </c>
      <c r="BK2477">
        <v>8</v>
      </c>
      <c r="BL2477">
        <v>1.01</v>
      </c>
      <c r="BM2477">
        <v>0.82</v>
      </c>
      <c r="BN2477">
        <v>0.37</v>
      </c>
      <c r="BO2477">
        <v>0.23</v>
      </c>
      <c r="BP2477">
        <v>3.08</v>
      </c>
      <c r="BQ2477">
        <v>-0.7</v>
      </c>
      <c r="BR2477">
        <v>-1.43</v>
      </c>
      <c r="BS2477">
        <v>0.04</v>
      </c>
      <c r="BT2477">
        <v>0.48</v>
      </c>
      <c r="BU2477">
        <v>0.14000000000000001</v>
      </c>
      <c r="BV2477">
        <v>0.62</v>
      </c>
      <c r="BW2477">
        <v>0.27</v>
      </c>
      <c r="BX2477">
        <v>1.45</v>
      </c>
      <c r="BY2477">
        <v>-1.02</v>
      </c>
      <c r="BZ2477">
        <v>0.82</v>
      </c>
      <c r="CA2477">
        <v>0.93</v>
      </c>
      <c r="CB2477">
        <v>0.67</v>
      </c>
      <c r="CC2477">
        <v>0.9</v>
      </c>
      <c r="CD2477">
        <v>0.14000000000000001</v>
      </c>
      <c r="CE2477">
        <v>0.14000000000000001</v>
      </c>
      <c r="CF2477">
        <v>0.57999999999999996</v>
      </c>
      <c r="CG2477">
        <v>0</v>
      </c>
      <c r="CH2477">
        <v>0.93</v>
      </c>
      <c r="CI2477">
        <v>0</v>
      </c>
      <c r="CJ2477">
        <v>-3.3</v>
      </c>
      <c r="CK2477">
        <v>92</v>
      </c>
      <c r="CL2477">
        <v>-0.86</v>
      </c>
      <c r="CM2477">
        <v>90</v>
      </c>
      <c r="CN2477">
        <v>-0.35</v>
      </c>
      <c r="CO2477">
        <v>89</v>
      </c>
      <c r="CP2477">
        <v>3.4</v>
      </c>
      <c r="CQ2477">
        <v>89</v>
      </c>
      <c r="CR2477">
        <v>0</v>
      </c>
      <c r="CS2477">
        <v>0</v>
      </c>
      <c r="CT2477">
        <v>14.8</v>
      </c>
      <c r="CU2477">
        <v>83</v>
      </c>
      <c r="CV2477">
        <v>0.17</v>
      </c>
      <c r="CW2477">
        <v>47</v>
      </c>
      <c r="CX2477" t="s">
        <v>751</v>
      </c>
    </row>
    <row r="2478" spans="1:102" x14ac:dyDescent="0.3">
      <c r="A2478" t="str">
        <f>HYPERLINK("https://webapp.icbf.com/v2/app/bull-search/view/910798874","S1300")</f>
        <v>S1300</v>
      </c>
      <c r="B2478" t="s">
        <v>13031</v>
      </c>
      <c r="C2478" t="s">
        <v>13032</v>
      </c>
      <c r="D2478" s="1">
        <v>40235</v>
      </c>
      <c r="E2478" t="s">
        <v>92</v>
      </c>
      <c r="F2478">
        <v>100</v>
      </c>
      <c r="G2478" t="s">
        <v>109</v>
      </c>
      <c r="H2478">
        <v>37.01</v>
      </c>
      <c r="I2478">
        <v>79</v>
      </c>
      <c r="J2478">
        <v>38.65</v>
      </c>
      <c r="K2478">
        <v>93</v>
      </c>
      <c r="L2478">
        <v>-18.61</v>
      </c>
      <c r="M2478">
        <v>85</v>
      </c>
      <c r="N2478">
        <v>19.489999999999998</v>
      </c>
      <c r="O2478">
        <v>66</v>
      </c>
      <c r="P2478">
        <v>-5.69</v>
      </c>
      <c r="Q2478">
        <v>53</v>
      </c>
      <c r="R2478">
        <v>7.8</v>
      </c>
      <c r="S2478">
        <v>75</v>
      </c>
      <c r="T2478">
        <v>-9.11</v>
      </c>
      <c r="U2478">
        <v>48</v>
      </c>
      <c r="V2478">
        <v>4.4800000000000004</v>
      </c>
      <c r="W2478">
        <v>61</v>
      </c>
      <c r="X2478" t="s">
        <v>288</v>
      </c>
      <c r="Y2478" t="s">
        <v>342</v>
      </c>
      <c r="Z2478" t="s">
        <v>96</v>
      </c>
      <c r="AA2478" t="s">
        <v>1572</v>
      </c>
      <c r="AB2478" t="s">
        <v>13033</v>
      </c>
      <c r="AC2478">
        <v>0</v>
      </c>
      <c r="AD2478">
        <v>0</v>
      </c>
      <c r="AE2478">
        <v>93</v>
      </c>
      <c r="AF2478">
        <v>383.37</v>
      </c>
      <c r="AG2478">
        <v>10.69</v>
      </c>
      <c r="AH2478">
        <v>8.66</v>
      </c>
      <c r="AI2478">
        <v>-7.0000000000000007E-2</v>
      </c>
      <c r="AJ2478">
        <v>-7.0000000000000007E-2</v>
      </c>
      <c r="AK2478">
        <v>85</v>
      </c>
      <c r="AL2478">
        <v>0</v>
      </c>
      <c r="AM2478">
        <v>0</v>
      </c>
      <c r="AN2478">
        <v>1.36</v>
      </c>
      <c r="AO2478">
        <v>-0.12</v>
      </c>
      <c r="AP2478">
        <v>3</v>
      </c>
      <c r="AQ2478">
        <v>0</v>
      </c>
      <c r="AR2478">
        <v>8.5299999999999994</v>
      </c>
      <c r="AS2478">
        <v>58</v>
      </c>
      <c r="AT2478">
        <v>2.98</v>
      </c>
      <c r="AU2478">
        <v>91</v>
      </c>
      <c r="AV2478">
        <v>-2.5499999999999998</v>
      </c>
      <c r="AW2478">
        <v>66</v>
      </c>
      <c r="AX2478">
        <v>0.63</v>
      </c>
      <c r="AY2478">
        <v>49</v>
      </c>
      <c r="AZ2478">
        <v>5.5</v>
      </c>
      <c r="BA2478">
        <v>48</v>
      </c>
      <c r="BB2478">
        <v>4.8499999999999996</v>
      </c>
      <c r="BC2478">
        <v>46</v>
      </c>
      <c r="BD2478">
        <v>0.01</v>
      </c>
      <c r="BE2478">
        <v>-0.04</v>
      </c>
      <c r="BF2478">
        <v>-0.12</v>
      </c>
      <c r="BG2478">
        <v>92</v>
      </c>
      <c r="BH2478">
        <v>-0.05</v>
      </c>
      <c r="BI2478">
        <v>-20.239999999999998</v>
      </c>
      <c r="BJ2478">
        <v>1</v>
      </c>
      <c r="BK2478">
        <v>1</v>
      </c>
      <c r="BL2478">
        <v>2.95</v>
      </c>
      <c r="BM2478">
        <v>-0.16</v>
      </c>
      <c r="BN2478">
        <v>1.18</v>
      </c>
      <c r="BO2478">
        <v>1.43</v>
      </c>
      <c r="BP2478">
        <v>-0.85</v>
      </c>
      <c r="BQ2478">
        <v>4.18</v>
      </c>
      <c r="BR2478">
        <v>-1.9</v>
      </c>
      <c r="BS2478">
        <v>1.28</v>
      </c>
      <c r="BT2478">
        <v>3.16</v>
      </c>
      <c r="BU2478">
        <v>1.74</v>
      </c>
      <c r="BV2478">
        <v>2.2999999999999998</v>
      </c>
      <c r="BW2478">
        <v>2.52</v>
      </c>
      <c r="BX2478">
        <v>2.88</v>
      </c>
      <c r="BY2478">
        <v>1.45</v>
      </c>
      <c r="BZ2478">
        <v>-0.12</v>
      </c>
      <c r="CA2478">
        <v>2.08</v>
      </c>
      <c r="CB2478">
        <v>2.06</v>
      </c>
      <c r="CC2478">
        <v>1.43</v>
      </c>
      <c r="CD2478">
        <v>-1.1599999999999999</v>
      </c>
      <c r="CE2478">
        <v>1.75</v>
      </c>
      <c r="CF2478">
        <v>2.1800000000000002</v>
      </c>
      <c r="CG2478">
        <v>0</v>
      </c>
      <c r="CH2478">
        <v>1.43</v>
      </c>
      <c r="CI2478">
        <v>0</v>
      </c>
      <c r="CJ2478">
        <v>0.7</v>
      </c>
      <c r="CK2478">
        <v>55</v>
      </c>
      <c r="CL2478">
        <v>-1.43</v>
      </c>
      <c r="CM2478">
        <v>50</v>
      </c>
      <c r="CN2478">
        <v>-0.62</v>
      </c>
      <c r="CO2478">
        <v>50</v>
      </c>
      <c r="CP2478">
        <v>5.6</v>
      </c>
      <c r="CQ2478">
        <v>49</v>
      </c>
      <c r="CR2478">
        <v>0</v>
      </c>
      <c r="CS2478">
        <v>0</v>
      </c>
      <c r="CT2478">
        <v>26.1</v>
      </c>
      <c r="CU2478">
        <v>48</v>
      </c>
      <c r="CV2478">
        <v>0.33</v>
      </c>
      <c r="CW2478">
        <v>38</v>
      </c>
      <c r="CX2478" t="s">
        <v>309</v>
      </c>
    </row>
    <row r="2479" spans="1:102" x14ac:dyDescent="0.3">
      <c r="A2479" t="str">
        <f>HYPERLINK("https://webapp.icbf.com/v2/app/bull-search/view/392606443","FAX")</f>
        <v>FAX</v>
      </c>
      <c r="B2479" t="s">
        <v>4481</v>
      </c>
      <c r="C2479" t="s">
        <v>4482</v>
      </c>
      <c r="D2479" s="1">
        <v>38371</v>
      </c>
      <c r="E2479" t="s">
        <v>92</v>
      </c>
      <c r="F2479">
        <v>88</v>
      </c>
      <c r="G2479" t="s">
        <v>93</v>
      </c>
      <c r="H2479">
        <v>37</v>
      </c>
      <c r="I2479">
        <v>87</v>
      </c>
      <c r="J2479">
        <v>31.12</v>
      </c>
      <c r="K2479">
        <v>97</v>
      </c>
      <c r="L2479">
        <v>-11.61</v>
      </c>
      <c r="M2479">
        <v>79</v>
      </c>
      <c r="N2479">
        <v>22.3</v>
      </c>
      <c r="O2479">
        <v>84</v>
      </c>
      <c r="P2479">
        <v>-9.6199999999999992</v>
      </c>
      <c r="Q2479">
        <v>89</v>
      </c>
      <c r="R2479">
        <v>-10.16</v>
      </c>
      <c r="S2479">
        <v>82</v>
      </c>
      <c r="T2479">
        <v>18.190000000000001</v>
      </c>
      <c r="U2479">
        <v>81</v>
      </c>
      <c r="V2479">
        <v>-3.22</v>
      </c>
      <c r="W2479">
        <v>81</v>
      </c>
      <c r="X2479" t="s">
        <v>94</v>
      </c>
      <c r="Y2479" t="s">
        <v>228</v>
      </c>
      <c r="Z2479" t="s">
        <v>96</v>
      </c>
      <c r="AA2479" t="s">
        <v>4398</v>
      </c>
      <c r="AB2479" t="s">
        <v>4483</v>
      </c>
      <c r="AC2479">
        <v>72</v>
      </c>
      <c r="AD2479">
        <v>57</v>
      </c>
      <c r="AE2479">
        <v>97</v>
      </c>
      <c r="AF2479">
        <v>9.98</v>
      </c>
      <c r="AG2479">
        <v>7.48</v>
      </c>
      <c r="AH2479">
        <v>2.8</v>
      </c>
      <c r="AI2479">
        <v>0.12</v>
      </c>
      <c r="AJ2479">
        <v>0.04</v>
      </c>
      <c r="AK2479">
        <v>79</v>
      </c>
      <c r="AL2479">
        <v>66</v>
      </c>
      <c r="AM2479">
        <v>52</v>
      </c>
      <c r="AN2479">
        <v>0.32</v>
      </c>
      <c r="AO2479">
        <v>-0.61</v>
      </c>
      <c r="AP2479">
        <v>136</v>
      </c>
      <c r="AQ2479">
        <v>1</v>
      </c>
      <c r="AR2479">
        <v>5.32</v>
      </c>
      <c r="AS2479">
        <v>70</v>
      </c>
      <c r="AT2479">
        <v>2.4700000000000002</v>
      </c>
      <c r="AU2479">
        <v>86</v>
      </c>
      <c r="AV2479">
        <v>-2.48</v>
      </c>
      <c r="AW2479">
        <v>94</v>
      </c>
      <c r="AX2479">
        <v>-0.84</v>
      </c>
      <c r="AY2479">
        <v>76</v>
      </c>
      <c r="AZ2479">
        <v>8.5</v>
      </c>
      <c r="BA2479">
        <v>67</v>
      </c>
      <c r="BB2479">
        <v>6.22</v>
      </c>
      <c r="BC2479">
        <v>69</v>
      </c>
      <c r="BD2479">
        <v>0.01</v>
      </c>
      <c r="BE2479">
        <v>0.03</v>
      </c>
      <c r="BF2479">
        <v>0.16</v>
      </c>
      <c r="BG2479">
        <v>88</v>
      </c>
      <c r="BH2479">
        <v>-0.05</v>
      </c>
      <c r="BI2479">
        <v>4.6100000000000003</v>
      </c>
      <c r="BJ2479">
        <v>19</v>
      </c>
      <c r="BK2479">
        <v>14</v>
      </c>
      <c r="BL2479">
        <v>-0.99</v>
      </c>
      <c r="BM2479">
        <v>-1.82</v>
      </c>
      <c r="BN2479">
        <v>-2.14</v>
      </c>
      <c r="BO2479">
        <v>-0.74</v>
      </c>
      <c r="BP2479">
        <v>1.83</v>
      </c>
      <c r="BQ2479">
        <v>-2.37</v>
      </c>
      <c r="BR2479">
        <v>-0.49</v>
      </c>
      <c r="BS2479">
        <v>0.37</v>
      </c>
      <c r="BT2479">
        <v>0.76</v>
      </c>
      <c r="BU2479">
        <v>-2.19</v>
      </c>
      <c r="BV2479">
        <v>-2.27</v>
      </c>
      <c r="BW2479">
        <v>-1.84</v>
      </c>
      <c r="BX2479">
        <v>-1.52</v>
      </c>
      <c r="BY2479">
        <v>-0.98</v>
      </c>
      <c r="BZ2479">
        <v>-3.24</v>
      </c>
      <c r="CA2479">
        <v>-1.23</v>
      </c>
      <c r="CB2479">
        <v>-1.58</v>
      </c>
      <c r="CC2479">
        <v>-0.33</v>
      </c>
      <c r="CD2479">
        <v>-0.08</v>
      </c>
      <c r="CE2479">
        <v>-0.54</v>
      </c>
      <c r="CF2479">
        <v>-1.86</v>
      </c>
      <c r="CG2479">
        <v>0</v>
      </c>
      <c r="CH2479">
        <v>-0.26</v>
      </c>
      <c r="CI2479">
        <v>0</v>
      </c>
      <c r="CJ2479">
        <v>-4.2</v>
      </c>
      <c r="CK2479">
        <v>90</v>
      </c>
      <c r="CL2479">
        <v>-0.48</v>
      </c>
      <c r="CM2479">
        <v>88</v>
      </c>
      <c r="CN2479">
        <v>-0.3</v>
      </c>
      <c r="CO2479">
        <v>87</v>
      </c>
      <c r="CP2479">
        <v>-15.9</v>
      </c>
      <c r="CQ2479">
        <v>87</v>
      </c>
      <c r="CR2479">
        <v>0</v>
      </c>
      <c r="CS2479">
        <v>0</v>
      </c>
      <c r="CT2479">
        <v>-10.8</v>
      </c>
      <c r="CU2479">
        <v>81</v>
      </c>
      <c r="CV2479">
        <v>7.0000000000000007E-2</v>
      </c>
      <c r="CW2479">
        <v>44</v>
      </c>
      <c r="CX2479" t="s">
        <v>2775</v>
      </c>
    </row>
    <row r="2480" spans="1:102" x14ac:dyDescent="0.3">
      <c r="A2480" t="str">
        <f>HYPERLINK("https://webapp.icbf.com/v2/app/bull-search/view/495059441","SZP")</f>
        <v>SZP</v>
      </c>
      <c r="B2480" t="s">
        <v>4860</v>
      </c>
      <c r="C2480" t="s">
        <v>4861</v>
      </c>
      <c r="D2480" s="1">
        <v>38399</v>
      </c>
      <c r="E2480" t="s">
        <v>108</v>
      </c>
      <c r="F2480">
        <v>0</v>
      </c>
      <c r="G2480" t="s">
        <v>93</v>
      </c>
      <c r="H2480">
        <v>36.86</v>
      </c>
      <c r="I2480">
        <v>89</v>
      </c>
      <c r="J2480">
        <v>-21.2</v>
      </c>
      <c r="K2480">
        <v>98</v>
      </c>
      <c r="L2480">
        <v>56.49</v>
      </c>
      <c r="M2480">
        <v>80</v>
      </c>
      <c r="N2480">
        <v>-7.15</v>
      </c>
      <c r="O2480">
        <v>89</v>
      </c>
      <c r="P2480">
        <v>-4.8</v>
      </c>
      <c r="Q2480">
        <v>97</v>
      </c>
      <c r="R2480">
        <v>-9.09</v>
      </c>
      <c r="S2480">
        <v>82</v>
      </c>
      <c r="T2480">
        <v>21.67</v>
      </c>
      <c r="U2480">
        <v>90</v>
      </c>
      <c r="V2480">
        <v>0.94</v>
      </c>
      <c r="W2480">
        <v>83</v>
      </c>
      <c r="X2480" t="s">
        <v>102</v>
      </c>
      <c r="Y2480" t="s">
        <v>228</v>
      </c>
      <c r="Z2480" t="s">
        <v>96</v>
      </c>
      <c r="AA2480" t="s">
        <v>4862</v>
      </c>
      <c r="AB2480" t="s">
        <v>4863</v>
      </c>
      <c r="AC2480">
        <v>155</v>
      </c>
      <c r="AD2480">
        <v>83</v>
      </c>
      <c r="AE2480">
        <v>98</v>
      </c>
      <c r="AF2480">
        <v>-93</v>
      </c>
      <c r="AG2480">
        <v>-5.03</v>
      </c>
      <c r="AH2480">
        <v>-3.25</v>
      </c>
      <c r="AI2480">
        <v>-0.03</v>
      </c>
      <c r="AJ2480">
        <v>0</v>
      </c>
      <c r="AK2480">
        <v>80</v>
      </c>
      <c r="AL2480">
        <v>230</v>
      </c>
      <c r="AM2480">
        <v>112</v>
      </c>
      <c r="AN2480">
        <v>-4.22</v>
      </c>
      <c r="AO2480">
        <v>0.27</v>
      </c>
      <c r="AP2480">
        <v>340</v>
      </c>
      <c r="AQ2480">
        <v>4</v>
      </c>
      <c r="AR2480">
        <v>8.8000000000000007</v>
      </c>
      <c r="AS2480">
        <v>79</v>
      </c>
      <c r="AT2480">
        <v>3.83</v>
      </c>
      <c r="AU2480">
        <v>91</v>
      </c>
      <c r="AV2480">
        <v>-0.11</v>
      </c>
      <c r="AW2480">
        <v>97</v>
      </c>
      <c r="AX2480">
        <v>-0.75</v>
      </c>
      <c r="AY2480">
        <v>91</v>
      </c>
      <c r="AZ2480">
        <v>6.77</v>
      </c>
      <c r="BA2480">
        <v>71</v>
      </c>
      <c r="BB2480">
        <v>4.8899999999999997</v>
      </c>
      <c r="BC2480">
        <v>73</v>
      </c>
      <c r="BD2480">
        <v>0.06</v>
      </c>
      <c r="BE2480">
        <v>0.01</v>
      </c>
      <c r="BF2480">
        <v>0.09</v>
      </c>
      <c r="BG2480">
        <v>91</v>
      </c>
      <c r="BH2480">
        <v>0.03</v>
      </c>
      <c r="BI2480">
        <v>0.43</v>
      </c>
      <c r="BJ2480">
        <v>21</v>
      </c>
      <c r="BK2480">
        <v>15</v>
      </c>
      <c r="BL2480">
        <v>-2.21</v>
      </c>
      <c r="BM2480">
        <v>3.82</v>
      </c>
      <c r="BN2480">
        <v>-1.02</v>
      </c>
      <c r="BO2480">
        <v>-3.04</v>
      </c>
      <c r="BP2480">
        <v>-0.05</v>
      </c>
      <c r="BQ2480">
        <v>2.08</v>
      </c>
      <c r="BR2480">
        <v>-0.55000000000000004</v>
      </c>
      <c r="BS2480">
        <v>-0.78</v>
      </c>
      <c r="BT2480">
        <v>-0.35</v>
      </c>
      <c r="BU2480">
        <v>-2.5499999999999998</v>
      </c>
      <c r="BV2480">
        <v>-2.85</v>
      </c>
      <c r="BW2480">
        <v>-3.1</v>
      </c>
      <c r="BX2480">
        <v>-2.42</v>
      </c>
      <c r="BY2480">
        <v>-1.47</v>
      </c>
      <c r="BZ2480">
        <v>1.86</v>
      </c>
      <c r="CA2480">
        <v>-2.35</v>
      </c>
      <c r="CB2480">
        <v>-2.72</v>
      </c>
      <c r="CC2480">
        <v>-0.96</v>
      </c>
      <c r="CD2480">
        <v>3.31</v>
      </c>
      <c r="CE2480">
        <v>-2.84</v>
      </c>
      <c r="CF2480">
        <v>-0.4</v>
      </c>
      <c r="CG2480">
        <v>0</v>
      </c>
      <c r="CH2480">
        <v>-1.75</v>
      </c>
      <c r="CI2480">
        <v>0</v>
      </c>
      <c r="CJ2480">
        <v>-5.2</v>
      </c>
      <c r="CK2480">
        <v>98</v>
      </c>
      <c r="CL2480">
        <v>0.09</v>
      </c>
      <c r="CM2480">
        <v>97</v>
      </c>
      <c r="CN2480">
        <v>-0.28999999999999998</v>
      </c>
      <c r="CO2480">
        <v>97</v>
      </c>
      <c r="CP2480">
        <v>-13</v>
      </c>
      <c r="CQ2480">
        <v>93</v>
      </c>
      <c r="CR2480">
        <v>0</v>
      </c>
      <c r="CS2480">
        <v>0</v>
      </c>
      <c r="CT2480">
        <v>-15.5</v>
      </c>
      <c r="CU2480">
        <v>90</v>
      </c>
      <c r="CV2480">
        <v>-0.04</v>
      </c>
      <c r="CW2480">
        <v>45</v>
      </c>
      <c r="CX2480" t="s">
        <v>4214</v>
      </c>
    </row>
    <row r="2481" spans="1:102" x14ac:dyDescent="0.3">
      <c r="A2481" t="str">
        <f>HYPERLINK("https://webapp.icbf.com/v2/app/bull-search/view/359547235","SWW")</f>
        <v>SWW</v>
      </c>
      <c r="B2481" t="s">
        <v>1615</v>
      </c>
      <c r="C2481" t="s">
        <v>1616</v>
      </c>
      <c r="D2481" s="1">
        <v>37458</v>
      </c>
      <c r="E2481" t="s">
        <v>92</v>
      </c>
      <c r="F2481">
        <v>100</v>
      </c>
      <c r="G2481" t="s">
        <v>93</v>
      </c>
      <c r="H2481">
        <v>36.81</v>
      </c>
      <c r="I2481">
        <v>78</v>
      </c>
      <c r="J2481">
        <v>71.989999999999995</v>
      </c>
      <c r="K2481">
        <v>91</v>
      </c>
      <c r="L2481">
        <v>-47.32</v>
      </c>
      <c r="M2481">
        <v>70</v>
      </c>
      <c r="N2481">
        <v>8.14</v>
      </c>
      <c r="O2481">
        <v>72</v>
      </c>
      <c r="P2481">
        <v>-5</v>
      </c>
      <c r="Q2481">
        <v>83</v>
      </c>
      <c r="R2481">
        <v>-11.82</v>
      </c>
      <c r="S2481">
        <v>67</v>
      </c>
      <c r="T2481">
        <v>18.71</v>
      </c>
      <c r="U2481">
        <v>77</v>
      </c>
      <c r="V2481">
        <v>2.11</v>
      </c>
      <c r="W2481">
        <v>48</v>
      </c>
      <c r="X2481" t="s">
        <v>302</v>
      </c>
      <c r="Y2481" t="s">
        <v>171</v>
      </c>
      <c r="Z2481" t="s">
        <v>96</v>
      </c>
      <c r="AA2481" t="s">
        <v>1436</v>
      </c>
      <c r="AB2481" t="s">
        <v>1617</v>
      </c>
      <c r="AC2481">
        <v>41</v>
      </c>
      <c r="AD2481">
        <v>25</v>
      </c>
      <c r="AE2481">
        <v>91</v>
      </c>
      <c r="AF2481">
        <v>333.22</v>
      </c>
      <c r="AG2481">
        <v>12.76</v>
      </c>
      <c r="AH2481">
        <v>12.83</v>
      </c>
      <c r="AI2481">
        <v>0</v>
      </c>
      <c r="AJ2481">
        <v>0.02</v>
      </c>
      <c r="AK2481">
        <v>70</v>
      </c>
      <c r="AL2481">
        <v>42</v>
      </c>
      <c r="AM2481">
        <v>27</v>
      </c>
      <c r="AN2481">
        <v>2.06</v>
      </c>
      <c r="AO2481">
        <v>-1.72</v>
      </c>
      <c r="AP2481">
        <v>95</v>
      </c>
      <c r="AQ2481">
        <v>0</v>
      </c>
      <c r="AR2481">
        <v>8.67</v>
      </c>
      <c r="AS2481">
        <v>52</v>
      </c>
      <c r="AT2481">
        <v>2.77</v>
      </c>
      <c r="AU2481">
        <v>73</v>
      </c>
      <c r="AV2481">
        <v>-2.75</v>
      </c>
      <c r="AW2481">
        <v>87</v>
      </c>
      <c r="AX2481">
        <v>3.09</v>
      </c>
      <c r="AY2481">
        <v>68</v>
      </c>
      <c r="AZ2481">
        <v>7.35</v>
      </c>
      <c r="BA2481">
        <v>44</v>
      </c>
      <c r="BB2481">
        <v>5.86</v>
      </c>
      <c r="BC2481">
        <v>48</v>
      </c>
      <c r="BD2481">
        <v>0.01</v>
      </c>
      <c r="BE2481">
        <v>0.05</v>
      </c>
      <c r="BF2481">
        <v>0.16</v>
      </c>
      <c r="BG2481">
        <v>82</v>
      </c>
      <c r="BH2481">
        <v>7.0000000000000007E-2</v>
      </c>
      <c r="BI2481">
        <v>1.3</v>
      </c>
      <c r="BJ2481">
        <v>6</v>
      </c>
      <c r="BK2481">
        <v>4</v>
      </c>
      <c r="BL2481">
        <v>-0.47</v>
      </c>
      <c r="BM2481">
        <v>-0.7</v>
      </c>
      <c r="BN2481">
        <v>-1.02</v>
      </c>
      <c r="BO2481">
        <v>-0.89</v>
      </c>
      <c r="BP2481">
        <v>1.1200000000000001</v>
      </c>
      <c r="BQ2481">
        <v>-1.1399999999999999</v>
      </c>
      <c r="BR2481">
        <v>1.34</v>
      </c>
      <c r="BS2481">
        <v>-1.38</v>
      </c>
      <c r="BT2481">
        <v>-0.39</v>
      </c>
      <c r="BU2481">
        <v>-1.7</v>
      </c>
      <c r="BV2481">
        <v>-1.24</v>
      </c>
      <c r="BW2481">
        <v>-1.64</v>
      </c>
      <c r="BX2481">
        <v>-0.57999999999999996</v>
      </c>
      <c r="BY2481">
        <v>-1.59</v>
      </c>
      <c r="BZ2481">
        <v>-0.01</v>
      </c>
      <c r="CA2481">
        <v>-1.54</v>
      </c>
      <c r="CB2481">
        <v>-1.49</v>
      </c>
      <c r="CC2481">
        <v>-1.8</v>
      </c>
      <c r="CD2481">
        <v>0.15</v>
      </c>
      <c r="CE2481">
        <v>-0.28999999999999998</v>
      </c>
      <c r="CF2481">
        <v>-0.21</v>
      </c>
      <c r="CG2481">
        <v>0</v>
      </c>
      <c r="CH2481">
        <v>-1.38</v>
      </c>
      <c r="CI2481">
        <v>0</v>
      </c>
      <c r="CJ2481">
        <v>0.6</v>
      </c>
      <c r="CK2481">
        <v>85</v>
      </c>
      <c r="CL2481">
        <v>-0.44</v>
      </c>
      <c r="CM2481">
        <v>82</v>
      </c>
      <c r="CN2481">
        <v>-0.04</v>
      </c>
      <c r="CO2481">
        <v>79</v>
      </c>
      <c r="CP2481">
        <v>-11.7</v>
      </c>
      <c r="CQ2481">
        <v>81</v>
      </c>
      <c r="CR2481">
        <v>0</v>
      </c>
      <c r="CS2481">
        <v>0</v>
      </c>
      <c r="CT2481">
        <v>-11.5</v>
      </c>
      <c r="CU2481">
        <v>77</v>
      </c>
      <c r="CV2481">
        <v>0.15</v>
      </c>
      <c r="CW2481">
        <v>24</v>
      </c>
      <c r="CX2481" t="s">
        <v>1618</v>
      </c>
    </row>
    <row r="2482" spans="1:102" x14ac:dyDescent="0.3">
      <c r="A2482" t="str">
        <f>HYPERLINK("https://webapp.icbf.com/v2/app/bull-search/view/462691382","SJY")</f>
        <v>SJY</v>
      </c>
      <c r="B2482" t="s">
        <v>12037</v>
      </c>
      <c r="C2482" t="s">
        <v>2048</v>
      </c>
      <c r="D2482" s="1">
        <v>36964</v>
      </c>
      <c r="E2482" t="s">
        <v>92</v>
      </c>
      <c r="F2482">
        <v>100</v>
      </c>
      <c r="G2482" t="s">
        <v>109</v>
      </c>
      <c r="H2482">
        <v>36.74</v>
      </c>
      <c r="I2482">
        <v>88</v>
      </c>
      <c r="J2482">
        <v>91.45</v>
      </c>
      <c r="K2482">
        <v>96</v>
      </c>
      <c r="L2482">
        <v>-92.23</v>
      </c>
      <c r="M2482">
        <v>89</v>
      </c>
      <c r="N2482">
        <v>34.630000000000003</v>
      </c>
      <c r="O2482">
        <v>80</v>
      </c>
      <c r="P2482">
        <v>-4.87</v>
      </c>
      <c r="Q2482">
        <v>84</v>
      </c>
      <c r="R2482">
        <v>-12.11</v>
      </c>
      <c r="S2482">
        <v>81</v>
      </c>
      <c r="T2482">
        <v>20.56</v>
      </c>
      <c r="U2482">
        <v>81</v>
      </c>
      <c r="V2482">
        <v>-0.69</v>
      </c>
      <c r="W2482">
        <v>72</v>
      </c>
      <c r="X2482" t="s">
        <v>234</v>
      </c>
      <c r="Y2482" t="s">
        <v>95</v>
      </c>
      <c r="Z2482" t="s">
        <v>96</v>
      </c>
      <c r="AA2482" t="s">
        <v>273</v>
      </c>
      <c r="AB2482" t="s">
        <v>12038</v>
      </c>
      <c r="AC2482">
        <v>29</v>
      </c>
      <c r="AD2482">
        <v>18</v>
      </c>
      <c r="AE2482">
        <v>96</v>
      </c>
      <c r="AF2482">
        <v>497.79</v>
      </c>
      <c r="AG2482">
        <v>14.14</v>
      </c>
      <c r="AH2482">
        <v>18.170000000000002</v>
      </c>
      <c r="AI2482">
        <v>-0.09</v>
      </c>
      <c r="AJ2482">
        <v>0.02</v>
      </c>
      <c r="AK2482">
        <v>89</v>
      </c>
      <c r="AL2482">
        <v>43</v>
      </c>
      <c r="AM2482">
        <v>22</v>
      </c>
      <c r="AN2482">
        <v>6.18</v>
      </c>
      <c r="AO2482">
        <v>-1.1599999999999999</v>
      </c>
      <c r="AP2482">
        <v>58</v>
      </c>
      <c r="AQ2482">
        <v>0</v>
      </c>
      <c r="AR2482">
        <v>4.55</v>
      </c>
      <c r="AS2482">
        <v>76</v>
      </c>
      <c r="AT2482">
        <v>2.8</v>
      </c>
      <c r="AU2482">
        <v>92</v>
      </c>
      <c r="AV2482">
        <v>-3.57</v>
      </c>
      <c r="AW2482">
        <v>84</v>
      </c>
      <c r="AX2482">
        <v>-0.56000000000000005</v>
      </c>
      <c r="AY2482">
        <v>73</v>
      </c>
      <c r="AZ2482">
        <v>6.78</v>
      </c>
      <c r="BA2482">
        <v>60</v>
      </c>
      <c r="BB2482">
        <v>5.86</v>
      </c>
      <c r="BC2482">
        <v>61</v>
      </c>
      <c r="BD2482">
        <v>0.02</v>
      </c>
      <c r="BE2482">
        <v>0.05</v>
      </c>
      <c r="BF2482">
        <v>0.15</v>
      </c>
      <c r="BG2482">
        <v>93</v>
      </c>
      <c r="BH2482">
        <v>0.12</v>
      </c>
      <c r="BI2482">
        <v>16.100000000000001</v>
      </c>
      <c r="BJ2482">
        <v>6</v>
      </c>
      <c r="BK2482">
        <v>3</v>
      </c>
      <c r="BL2482">
        <v>0.06</v>
      </c>
      <c r="BM2482">
        <v>-1.87</v>
      </c>
      <c r="BN2482">
        <v>0.03</v>
      </c>
      <c r="BO2482">
        <v>1.53</v>
      </c>
      <c r="BP2482">
        <v>0.53</v>
      </c>
      <c r="BQ2482">
        <v>-0.73</v>
      </c>
      <c r="BR2482">
        <v>-1.5</v>
      </c>
      <c r="BS2482">
        <v>2.75</v>
      </c>
      <c r="BT2482">
        <v>0.97</v>
      </c>
      <c r="BU2482">
        <v>-1.05</v>
      </c>
      <c r="BV2482">
        <v>1.27</v>
      </c>
      <c r="BW2482">
        <v>0.53</v>
      </c>
      <c r="BX2482">
        <v>-1.93</v>
      </c>
      <c r="BY2482">
        <v>0.28000000000000003</v>
      </c>
      <c r="BZ2482">
        <v>-0.09</v>
      </c>
      <c r="CA2482">
        <v>0.8</v>
      </c>
      <c r="CB2482">
        <v>0.01</v>
      </c>
      <c r="CC2482">
        <v>2.4500000000000002</v>
      </c>
      <c r="CD2482">
        <v>-2.3199999999999998</v>
      </c>
      <c r="CE2482">
        <v>1.1100000000000001</v>
      </c>
      <c r="CF2482">
        <v>-0.88</v>
      </c>
      <c r="CG2482">
        <v>0</v>
      </c>
      <c r="CH2482">
        <v>0.5</v>
      </c>
      <c r="CI2482">
        <v>0</v>
      </c>
      <c r="CJ2482">
        <v>0.3</v>
      </c>
      <c r="CK2482">
        <v>85</v>
      </c>
      <c r="CL2482">
        <v>-0.77</v>
      </c>
      <c r="CM2482">
        <v>82</v>
      </c>
      <c r="CN2482">
        <v>-0.34</v>
      </c>
      <c r="CO2482">
        <v>80</v>
      </c>
      <c r="CP2482">
        <v>-8.8000000000000007</v>
      </c>
      <c r="CQ2482">
        <v>83</v>
      </c>
      <c r="CR2482">
        <v>0</v>
      </c>
      <c r="CS2482">
        <v>0</v>
      </c>
      <c r="CT2482">
        <v>-14</v>
      </c>
      <c r="CU2482">
        <v>81</v>
      </c>
      <c r="CV2482">
        <v>0.26</v>
      </c>
      <c r="CW2482">
        <v>42</v>
      </c>
      <c r="CX2482" t="s">
        <v>265</v>
      </c>
    </row>
    <row r="2483" spans="1:102" x14ac:dyDescent="0.3">
      <c r="A2483" t="str">
        <f>HYPERLINK("https://webapp.icbf.com/v2/app/bull-search/view/108367995","WOK")</f>
        <v>WOK</v>
      </c>
      <c r="B2483" t="s">
        <v>2738</v>
      </c>
      <c r="C2483" t="s">
        <v>2739</v>
      </c>
      <c r="D2483" s="1">
        <v>35655</v>
      </c>
      <c r="E2483" t="s">
        <v>108</v>
      </c>
      <c r="F2483">
        <v>25</v>
      </c>
      <c r="G2483" t="s">
        <v>93</v>
      </c>
      <c r="H2483">
        <v>36.700000000000003</v>
      </c>
      <c r="I2483">
        <v>90</v>
      </c>
      <c r="J2483">
        <v>24.37</v>
      </c>
      <c r="K2483">
        <v>96</v>
      </c>
      <c r="L2483">
        <v>20.03</v>
      </c>
      <c r="M2483">
        <v>88</v>
      </c>
      <c r="N2483">
        <v>-11.76</v>
      </c>
      <c r="O2483">
        <v>85</v>
      </c>
      <c r="P2483">
        <v>-17.809999999999999</v>
      </c>
      <c r="Q2483">
        <v>93</v>
      </c>
      <c r="R2483">
        <v>-6.44</v>
      </c>
      <c r="S2483">
        <v>82</v>
      </c>
      <c r="T2483">
        <v>26.11</v>
      </c>
      <c r="U2483">
        <v>87</v>
      </c>
      <c r="V2483">
        <v>2.2000000000000002</v>
      </c>
      <c r="W2483">
        <v>79</v>
      </c>
      <c r="X2483" t="s">
        <v>302</v>
      </c>
      <c r="Y2483" t="s">
        <v>95</v>
      </c>
      <c r="Z2483" t="s">
        <v>528</v>
      </c>
      <c r="AA2483" t="s">
        <v>1035</v>
      </c>
      <c r="AB2483" t="s">
        <v>144</v>
      </c>
      <c r="AC2483">
        <v>86</v>
      </c>
      <c r="AD2483">
        <v>31</v>
      </c>
      <c r="AE2483">
        <v>96</v>
      </c>
      <c r="AF2483">
        <v>-0.93</v>
      </c>
      <c r="AG2483">
        <v>10.97</v>
      </c>
      <c r="AH2483">
        <v>0.25</v>
      </c>
      <c r="AI2483">
        <v>0.19</v>
      </c>
      <c r="AJ2483">
        <v>0.01</v>
      </c>
      <c r="AK2483">
        <v>88</v>
      </c>
      <c r="AL2483">
        <v>102</v>
      </c>
      <c r="AM2483">
        <v>42</v>
      </c>
      <c r="AN2483">
        <v>-1.64</v>
      </c>
      <c r="AO2483">
        <v>-0.05</v>
      </c>
      <c r="AP2483">
        <v>151</v>
      </c>
      <c r="AQ2483">
        <v>0</v>
      </c>
      <c r="AR2483">
        <v>10.58</v>
      </c>
      <c r="AS2483">
        <v>67</v>
      </c>
      <c r="AT2483">
        <v>3.82</v>
      </c>
      <c r="AU2483">
        <v>87</v>
      </c>
      <c r="AV2483">
        <v>-0.55000000000000004</v>
      </c>
      <c r="AW2483">
        <v>95</v>
      </c>
      <c r="AX2483">
        <v>0.84</v>
      </c>
      <c r="AY2483">
        <v>83</v>
      </c>
      <c r="AZ2483">
        <v>5.47</v>
      </c>
      <c r="BA2483">
        <v>65</v>
      </c>
      <c r="BB2483">
        <v>4.97</v>
      </c>
      <c r="BC2483">
        <v>71</v>
      </c>
      <c r="BD2483">
        <v>0.03</v>
      </c>
      <c r="BE2483">
        <v>0.02</v>
      </c>
      <c r="BF2483">
        <v>0.06</v>
      </c>
      <c r="BG2483">
        <v>90</v>
      </c>
      <c r="BH2483">
        <v>0.15</v>
      </c>
      <c r="BI2483">
        <v>10.27</v>
      </c>
      <c r="BJ2483">
        <v>2</v>
      </c>
      <c r="BK2483">
        <v>2</v>
      </c>
      <c r="BL2483">
        <v>-2.35</v>
      </c>
      <c r="BM2483">
        <v>2.2799999999999998</v>
      </c>
      <c r="BN2483">
        <v>-0.73</v>
      </c>
      <c r="BO2483">
        <v>-2.64</v>
      </c>
      <c r="BP2483">
        <v>-3.18</v>
      </c>
      <c r="BQ2483">
        <v>-1.19</v>
      </c>
      <c r="BR2483">
        <v>0.91</v>
      </c>
      <c r="BS2483">
        <v>-1.51</v>
      </c>
      <c r="BT2483">
        <v>-1.75</v>
      </c>
      <c r="BU2483">
        <v>-0.86</v>
      </c>
      <c r="BV2483">
        <v>-1.67</v>
      </c>
      <c r="BW2483">
        <v>-2.29</v>
      </c>
      <c r="BX2483">
        <v>-1.98</v>
      </c>
      <c r="BY2483">
        <v>-1.19</v>
      </c>
      <c r="BZ2483">
        <v>2.17</v>
      </c>
      <c r="CA2483">
        <v>-1.66</v>
      </c>
      <c r="CB2483">
        <v>-1.95</v>
      </c>
      <c r="CC2483">
        <v>-1.75</v>
      </c>
      <c r="CD2483">
        <v>1.5</v>
      </c>
      <c r="CE2483">
        <v>-2.66</v>
      </c>
      <c r="CF2483">
        <v>-2.79</v>
      </c>
      <c r="CG2483">
        <v>0</v>
      </c>
      <c r="CH2483">
        <v>-1.7</v>
      </c>
      <c r="CI2483">
        <v>0</v>
      </c>
      <c r="CJ2483">
        <v>-8.5</v>
      </c>
      <c r="CK2483">
        <v>94</v>
      </c>
      <c r="CL2483">
        <v>-0.53</v>
      </c>
      <c r="CM2483">
        <v>93</v>
      </c>
      <c r="CN2483">
        <v>-0.2</v>
      </c>
      <c r="CO2483">
        <v>92</v>
      </c>
      <c r="CP2483">
        <v>-19.7</v>
      </c>
      <c r="CQ2483">
        <v>91</v>
      </c>
      <c r="CR2483">
        <v>0</v>
      </c>
      <c r="CS2483">
        <v>0</v>
      </c>
      <c r="CT2483">
        <v>-21.5</v>
      </c>
      <c r="CU2483">
        <v>87</v>
      </c>
      <c r="CV2483">
        <v>0.1</v>
      </c>
      <c r="CW2483">
        <v>44</v>
      </c>
      <c r="CX2483" t="s">
        <v>2740</v>
      </c>
    </row>
    <row r="2484" spans="1:102" x14ac:dyDescent="0.3">
      <c r="A2484" t="str">
        <f>HYPERLINK("https://webapp.icbf.com/v2/app/bull-search/view/552285207","CKI")</f>
        <v>CKI</v>
      </c>
      <c r="B2484" t="s">
        <v>8981</v>
      </c>
      <c r="C2484" t="s">
        <v>8982</v>
      </c>
      <c r="D2484" s="1">
        <v>39470</v>
      </c>
      <c r="E2484" t="s">
        <v>92</v>
      </c>
      <c r="F2484">
        <v>78</v>
      </c>
      <c r="G2484" t="s">
        <v>435</v>
      </c>
      <c r="H2484">
        <v>36.65</v>
      </c>
      <c r="I2484">
        <v>74</v>
      </c>
      <c r="J2484">
        <v>17.309999999999999</v>
      </c>
      <c r="K2484">
        <v>90</v>
      </c>
      <c r="L2484">
        <v>-14.93</v>
      </c>
      <c r="M2484">
        <v>67</v>
      </c>
      <c r="N2484">
        <v>22.34</v>
      </c>
      <c r="O2484">
        <v>64</v>
      </c>
      <c r="P2484">
        <v>-10.83</v>
      </c>
      <c r="Q2484">
        <v>76</v>
      </c>
      <c r="R2484">
        <v>7.26</v>
      </c>
      <c r="S2484">
        <v>68</v>
      </c>
      <c r="T2484">
        <v>20.49</v>
      </c>
      <c r="U2484">
        <v>54</v>
      </c>
      <c r="V2484">
        <v>-4.99</v>
      </c>
      <c r="W2484">
        <v>65</v>
      </c>
      <c r="X2484" t="s">
        <v>94</v>
      </c>
      <c r="Y2484" t="s">
        <v>241</v>
      </c>
      <c r="Z2484" t="s">
        <v>96</v>
      </c>
      <c r="AA2484" t="s">
        <v>2774</v>
      </c>
      <c r="AB2484" t="s">
        <v>8983</v>
      </c>
      <c r="AC2484">
        <v>0</v>
      </c>
      <c r="AD2484">
        <v>0</v>
      </c>
      <c r="AE2484">
        <v>90</v>
      </c>
      <c r="AF2484">
        <v>-51</v>
      </c>
      <c r="AG2484">
        <v>4.76</v>
      </c>
      <c r="AH2484">
        <v>0.48</v>
      </c>
      <c r="AI2484">
        <v>0.11</v>
      </c>
      <c r="AJ2484">
        <v>0.04</v>
      </c>
      <c r="AK2484">
        <v>67</v>
      </c>
      <c r="AL2484">
        <v>7</v>
      </c>
      <c r="AM2484">
        <v>1</v>
      </c>
      <c r="AN2484">
        <v>2.4300000000000002</v>
      </c>
      <c r="AO2484">
        <v>1.26</v>
      </c>
      <c r="AP2484">
        <v>22</v>
      </c>
      <c r="AQ2484">
        <v>0</v>
      </c>
      <c r="AR2484">
        <v>5</v>
      </c>
      <c r="AS2484">
        <v>61</v>
      </c>
      <c r="AT2484">
        <v>2.72</v>
      </c>
      <c r="AU2484">
        <v>70</v>
      </c>
      <c r="AV2484">
        <v>-1.95</v>
      </c>
      <c r="AW2484">
        <v>69</v>
      </c>
      <c r="AX2484">
        <v>-0.26</v>
      </c>
      <c r="AY2484">
        <v>55</v>
      </c>
      <c r="AZ2484">
        <v>7.26</v>
      </c>
      <c r="BA2484">
        <v>48</v>
      </c>
      <c r="BB2484">
        <v>5.4</v>
      </c>
      <c r="BC2484">
        <v>49</v>
      </c>
      <c r="BD2484">
        <v>-0.03</v>
      </c>
      <c r="BE2484">
        <v>-0.03</v>
      </c>
      <c r="BF2484">
        <v>-0.06</v>
      </c>
      <c r="BG2484">
        <v>76</v>
      </c>
      <c r="BH2484">
        <v>0.02</v>
      </c>
      <c r="BI2484">
        <v>18.420000000000002</v>
      </c>
      <c r="BJ2484">
        <v>0</v>
      </c>
      <c r="BK2484">
        <v>0</v>
      </c>
      <c r="BL2484">
        <v>-0.71</v>
      </c>
      <c r="BM2484">
        <v>-0.49</v>
      </c>
      <c r="BN2484">
        <v>-0.56999999999999995</v>
      </c>
      <c r="BO2484">
        <v>-0.26</v>
      </c>
      <c r="BP2484">
        <v>-1.73</v>
      </c>
      <c r="BQ2484">
        <v>0.54</v>
      </c>
      <c r="BR2484">
        <v>-0.02</v>
      </c>
      <c r="BS2484">
        <v>0.18</v>
      </c>
      <c r="BT2484">
        <v>-1.27</v>
      </c>
      <c r="BU2484">
        <v>-1.8</v>
      </c>
      <c r="BV2484">
        <v>-0.56000000000000005</v>
      </c>
      <c r="BW2484">
        <v>-0.37</v>
      </c>
      <c r="BX2484">
        <v>-1.22</v>
      </c>
      <c r="BY2484">
        <v>-1.96</v>
      </c>
      <c r="BZ2484">
        <v>2.9</v>
      </c>
      <c r="CA2484">
        <v>-0.96</v>
      </c>
      <c r="CB2484">
        <v>-1.24</v>
      </c>
      <c r="CC2484">
        <v>0.06</v>
      </c>
      <c r="CD2484">
        <v>-0.52</v>
      </c>
      <c r="CE2484">
        <v>-0.18</v>
      </c>
      <c r="CF2484">
        <v>0.14000000000000001</v>
      </c>
      <c r="CG2484">
        <v>0</v>
      </c>
      <c r="CH2484">
        <v>-2.84</v>
      </c>
      <c r="CI2484">
        <v>0</v>
      </c>
      <c r="CJ2484">
        <v>-5.6</v>
      </c>
      <c r="CK2484">
        <v>79</v>
      </c>
      <c r="CL2484">
        <v>-0.59</v>
      </c>
      <c r="CM2484">
        <v>76</v>
      </c>
      <c r="CN2484">
        <v>-0.4</v>
      </c>
      <c r="CO2484">
        <v>74</v>
      </c>
      <c r="CP2484">
        <v>-11.3</v>
      </c>
      <c r="CQ2484">
        <v>61</v>
      </c>
      <c r="CR2484">
        <v>0</v>
      </c>
      <c r="CS2484">
        <v>0</v>
      </c>
      <c r="CT2484">
        <v>-13.9</v>
      </c>
      <c r="CU2484">
        <v>54</v>
      </c>
      <c r="CV2484">
        <v>0.05</v>
      </c>
      <c r="CW2484">
        <v>42</v>
      </c>
      <c r="CX2484" t="s">
        <v>792</v>
      </c>
    </row>
    <row r="2485" spans="1:102" x14ac:dyDescent="0.3">
      <c r="A2485" t="str">
        <f>HYPERLINK("https://webapp.icbf.com/v2/app/bull-search/view/1137944746","FR2073")</f>
        <v>FR2073</v>
      </c>
      <c r="B2485" t="s">
        <v>2690</v>
      </c>
      <c r="C2485" t="s">
        <v>2691</v>
      </c>
      <c r="D2485" s="1">
        <v>41318</v>
      </c>
      <c r="E2485" t="s">
        <v>92</v>
      </c>
      <c r="F2485">
        <v>100</v>
      </c>
      <c r="G2485" t="s">
        <v>109</v>
      </c>
      <c r="H2485">
        <v>36.590000000000003</v>
      </c>
      <c r="I2485">
        <v>73</v>
      </c>
      <c r="J2485">
        <v>66.69</v>
      </c>
      <c r="K2485">
        <v>84</v>
      </c>
      <c r="L2485">
        <v>-80.28</v>
      </c>
      <c r="M2485">
        <v>79</v>
      </c>
      <c r="N2485">
        <v>27.93</v>
      </c>
      <c r="O2485">
        <v>62</v>
      </c>
      <c r="P2485">
        <v>15.34</v>
      </c>
      <c r="Q2485">
        <v>78</v>
      </c>
      <c r="R2485">
        <v>14.77</v>
      </c>
      <c r="S2485">
        <v>58</v>
      </c>
      <c r="T2485">
        <v>-10.3</v>
      </c>
      <c r="U2485">
        <v>41</v>
      </c>
      <c r="V2485">
        <v>2.44</v>
      </c>
      <c r="W2485">
        <v>29</v>
      </c>
      <c r="X2485" t="s">
        <v>94</v>
      </c>
      <c r="Y2485" t="s">
        <v>367</v>
      </c>
      <c r="Z2485" t="s">
        <v>96</v>
      </c>
      <c r="AA2485" t="s">
        <v>412</v>
      </c>
      <c r="AB2485" t="s">
        <v>2692</v>
      </c>
      <c r="AC2485">
        <v>0</v>
      </c>
      <c r="AD2485">
        <v>0</v>
      </c>
      <c r="AE2485">
        <v>84</v>
      </c>
      <c r="AF2485">
        <v>774.54</v>
      </c>
      <c r="AG2485">
        <v>17.04</v>
      </c>
      <c r="AH2485">
        <v>17.170000000000002</v>
      </c>
      <c r="AI2485">
        <v>-0.19</v>
      </c>
      <c r="AJ2485">
        <v>-0.14000000000000001</v>
      </c>
      <c r="AK2485">
        <v>79</v>
      </c>
      <c r="AL2485">
        <v>0</v>
      </c>
      <c r="AM2485">
        <v>0</v>
      </c>
      <c r="AN2485">
        <v>5.33</v>
      </c>
      <c r="AO2485">
        <v>-1.06</v>
      </c>
      <c r="AP2485">
        <v>15</v>
      </c>
      <c r="AQ2485">
        <v>2</v>
      </c>
      <c r="AR2485">
        <v>7.34</v>
      </c>
      <c r="AS2485">
        <v>36</v>
      </c>
      <c r="AT2485">
        <v>3.12</v>
      </c>
      <c r="AU2485">
        <v>90</v>
      </c>
      <c r="AV2485">
        <v>-2.84</v>
      </c>
      <c r="AW2485">
        <v>67</v>
      </c>
      <c r="AX2485">
        <v>-0.01</v>
      </c>
      <c r="AY2485">
        <v>56</v>
      </c>
      <c r="AZ2485">
        <v>5.23</v>
      </c>
      <c r="BA2485">
        <v>27</v>
      </c>
      <c r="BB2485">
        <v>4.37</v>
      </c>
      <c r="BC2485">
        <v>20</v>
      </c>
      <c r="BD2485">
        <v>-0.04</v>
      </c>
      <c r="BE2485">
        <v>-7.0000000000000007E-2</v>
      </c>
      <c r="BF2485">
        <v>-0.14000000000000001</v>
      </c>
      <c r="BG2485">
        <v>87</v>
      </c>
      <c r="BH2485">
        <v>0.03</v>
      </c>
      <c r="BI2485">
        <v>-4.3899999999999997</v>
      </c>
      <c r="BJ2485">
        <v>6</v>
      </c>
      <c r="BK2485">
        <v>5</v>
      </c>
      <c r="BL2485">
        <v>3.07</v>
      </c>
      <c r="BM2485">
        <v>-0.11</v>
      </c>
      <c r="BN2485">
        <v>1.54</v>
      </c>
      <c r="BO2485">
        <v>2.25</v>
      </c>
      <c r="BP2485">
        <v>-1.52</v>
      </c>
      <c r="BQ2485">
        <v>2.5099999999999998</v>
      </c>
      <c r="BR2485">
        <v>-0.08</v>
      </c>
      <c r="BS2485">
        <v>1.42</v>
      </c>
      <c r="BT2485">
        <v>1.33</v>
      </c>
      <c r="BU2485">
        <v>2.4500000000000002</v>
      </c>
      <c r="BV2485">
        <v>3.26</v>
      </c>
      <c r="BW2485">
        <v>2.64</v>
      </c>
      <c r="BX2485">
        <v>1.88</v>
      </c>
      <c r="BY2485">
        <v>2.81</v>
      </c>
      <c r="BZ2485">
        <v>-2.52</v>
      </c>
      <c r="CA2485">
        <v>2.2400000000000002</v>
      </c>
      <c r="CB2485">
        <v>2.5299999999999998</v>
      </c>
      <c r="CC2485">
        <v>0.67</v>
      </c>
      <c r="CD2485">
        <v>-1.49</v>
      </c>
      <c r="CE2485">
        <v>1.21</v>
      </c>
      <c r="CF2485">
        <v>2.14</v>
      </c>
      <c r="CG2485">
        <v>0</v>
      </c>
      <c r="CH2485">
        <v>1.93</v>
      </c>
      <c r="CI2485">
        <v>0</v>
      </c>
      <c r="CJ2485">
        <v>14</v>
      </c>
      <c r="CK2485">
        <v>82</v>
      </c>
      <c r="CL2485">
        <v>-0.89</v>
      </c>
      <c r="CM2485">
        <v>78</v>
      </c>
      <c r="CN2485">
        <v>-0.27</v>
      </c>
      <c r="CO2485">
        <v>77</v>
      </c>
      <c r="CP2485">
        <v>13.6</v>
      </c>
      <c r="CQ2485">
        <v>45</v>
      </c>
      <c r="CR2485">
        <v>0</v>
      </c>
      <c r="CS2485">
        <v>0</v>
      </c>
      <c r="CT2485">
        <v>27.7</v>
      </c>
      <c r="CU2485">
        <v>41</v>
      </c>
      <c r="CV2485">
        <v>0.54</v>
      </c>
      <c r="CW2485">
        <v>23</v>
      </c>
      <c r="CX2485" t="s">
        <v>2693</v>
      </c>
    </row>
    <row r="2486" spans="1:102" x14ac:dyDescent="0.3">
      <c r="A2486" t="str">
        <f>HYPERLINK("https://webapp.icbf.com/v2/app/bull-search/view/804576663","S2071")</f>
        <v>S2071</v>
      </c>
      <c r="B2486" t="s">
        <v>13429</v>
      </c>
      <c r="C2486" t="s">
        <v>13430</v>
      </c>
      <c r="D2486" s="1">
        <v>39749</v>
      </c>
      <c r="E2486" t="s">
        <v>92</v>
      </c>
      <c r="F2486">
        <v>100</v>
      </c>
      <c r="G2486" t="s">
        <v>109</v>
      </c>
      <c r="H2486">
        <v>36.56</v>
      </c>
      <c r="I2486">
        <v>67</v>
      </c>
      <c r="J2486">
        <v>67.260000000000005</v>
      </c>
      <c r="K2486">
        <v>78</v>
      </c>
      <c r="L2486">
        <v>-52.09</v>
      </c>
      <c r="M2486">
        <v>77</v>
      </c>
      <c r="N2486">
        <v>36.1</v>
      </c>
      <c r="O2486">
        <v>58</v>
      </c>
      <c r="P2486">
        <v>-10.85</v>
      </c>
      <c r="Q2486">
        <v>54</v>
      </c>
      <c r="R2486">
        <v>-7.02</v>
      </c>
      <c r="S2486">
        <v>57</v>
      </c>
      <c r="T2486">
        <v>4.21</v>
      </c>
      <c r="U2486">
        <v>35</v>
      </c>
      <c r="V2486">
        <v>-1.05</v>
      </c>
      <c r="W2486">
        <v>19</v>
      </c>
      <c r="X2486" t="s">
        <v>94</v>
      </c>
      <c r="Y2486" t="s">
        <v>367</v>
      </c>
      <c r="Z2486" t="s">
        <v>96</v>
      </c>
      <c r="AA2486" t="s">
        <v>348</v>
      </c>
      <c r="AB2486" t="s">
        <v>13431</v>
      </c>
      <c r="AC2486">
        <v>0</v>
      </c>
      <c r="AD2486">
        <v>0</v>
      </c>
      <c r="AE2486">
        <v>78</v>
      </c>
      <c r="AF2486">
        <v>407.95</v>
      </c>
      <c r="AG2486">
        <v>15.02</v>
      </c>
      <c r="AH2486">
        <v>12.37</v>
      </c>
      <c r="AI2486">
        <v>-0.01</v>
      </c>
      <c r="AJ2486">
        <v>-0.03</v>
      </c>
      <c r="AK2486">
        <v>77</v>
      </c>
      <c r="AL2486">
        <v>0</v>
      </c>
      <c r="AM2486">
        <v>0</v>
      </c>
      <c r="AN2486">
        <v>4.71</v>
      </c>
      <c r="AO2486">
        <v>0.57999999999999996</v>
      </c>
      <c r="AP2486">
        <v>19</v>
      </c>
      <c r="AQ2486">
        <v>0</v>
      </c>
      <c r="AR2486">
        <v>4.45</v>
      </c>
      <c r="AS2486">
        <v>27</v>
      </c>
      <c r="AT2486">
        <v>2.09</v>
      </c>
      <c r="AU2486">
        <v>79</v>
      </c>
      <c r="AV2486">
        <v>-2.71</v>
      </c>
      <c r="AW2486">
        <v>71</v>
      </c>
      <c r="AX2486">
        <v>0.21</v>
      </c>
      <c r="AY2486">
        <v>39</v>
      </c>
      <c r="AZ2486">
        <v>6.11</v>
      </c>
      <c r="BA2486">
        <v>25</v>
      </c>
      <c r="BB2486">
        <v>5.04</v>
      </c>
      <c r="BC2486">
        <v>20</v>
      </c>
      <c r="BD2486">
        <v>0.02</v>
      </c>
      <c r="BE2486">
        <v>0.02</v>
      </c>
      <c r="BF2486">
        <v>0.09</v>
      </c>
      <c r="BG2486">
        <v>86</v>
      </c>
      <c r="BH2486">
        <v>0.03</v>
      </c>
      <c r="BI2486">
        <v>6.87</v>
      </c>
      <c r="BJ2486">
        <v>3</v>
      </c>
      <c r="BK2486">
        <v>2</v>
      </c>
      <c r="BL2486">
        <v>1.51</v>
      </c>
      <c r="BM2486">
        <v>-7.0000000000000007E-2</v>
      </c>
      <c r="BN2486">
        <v>1.3</v>
      </c>
      <c r="BO2486">
        <v>1.1399999999999999</v>
      </c>
      <c r="BP2486">
        <v>-1.55</v>
      </c>
      <c r="BQ2486">
        <v>0.8</v>
      </c>
      <c r="BR2486">
        <v>-1.8</v>
      </c>
      <c r="BS2486">
        <v>2.17</v>
      </c>
      <c r="BT2486">
        <v>1.72</v>
      </c>
      <c r="BU2486">
        <v>2.48</v>
      </c>
      <c r="BV2486">
        <v>2.88</v>
      </c>
      <c r="BW2486">
        <v>1.87</v>
      </c>
      <c r="BX2486">
        <v>1.32</v>
      </c>
      <c r="BY2486">
        <v>0.62</v>
      </c>
      <c r="BZ2486">
        <v>-2.1</v>
      </c>
      <c r="CA2486">
        <v>2.69</v>
      </c>
      <c r="CB2486">
        <v>2.2400000000000002</v>
      </c>
      <c r="CC2486">
        <v>2.41</v>
      </c>
      <c r="CD2486">
        <v>-0.44</v>
      </c>
      <c r="CE2486">
        <v>1.34</v>
      </c>
      <c r="CF2486">
        <v>1.27</v>
      </c>
      <c r="CG2486">
        <v>0</v>
      </c>
      <c r="CH2486">
        <v>1.1100000000000001</v>
      </c>
      <c r="CI2486">
        <v>0</v>
      </c>
      <c r="CJ2486">
        <v>-5.0999999999999996</v>
      </c>
      <c r="CK2486">
        <v>57</v>
      </c>
      <c r="CL2486">
        <v>-0.87</v>
      </c>
      <c r="CM2486">
        <v>53</v>
      </c>
      <c r="CN2486">
        <v>-0.45</v>
      </c>
      <c r="CO2486">
        <v>51</v>
      </c>
      <c r="CP2486">
        <v>-0.7</v>
      </c>
      <c r="CQ2486">
        <v>42</v>
      </c>
      <c r="CR2486">
        <v>0</v>
      </c>
      <c r="CS2486">
        <v>0</v>
      </c>
      <c r="CT2486">
        <v>8.1</v>
      </c>
      <c r="CU2486">
        <v>35</v>
      </c>
      <c r="CV2486">
        <v>0.15</v>
      </c>
      <c r="CW2486">
        <v>15</v>
      </c>
      <c r="CX2486" t="s">
        <v>1784</v>
      </c>
    </row>
    <row r="2487" spans="1:102" x14ac:dyDescent="0.3">
      <c r="A2487" t="str">
        <f>HYPERLINK("https://webapp.icbf.com/v2/app/bull-search/view/345394135","SZI")</f>
        <v>SZI</v>
      </c>
      <c r="B2487" t="s">
        <v>1098</v>
      </c>
      <c r="C2487" t="s">
        <v>1099</v>
      </c>
      <c r="D2487" s="1">
        <v>35654</v>
      </c>
      <c r="E2487" t="s">
        <v>92</v>
      </c>
      <c r="F2487">
        <v>94</v>
      </c>
      <c r="G2487" t="s">
        <v>93</v>
      </c>
      <c r="H2487">
        <v>36.53</v>
      </c>
      <c r="I2487">
        <v>92</v>
      </c>
      <c r="J2487">
        <v>57.78</v>
      </c>
      <c r="K2487">
        <v>98</v>
      </c>
      <c r="L2487">
        <v>5.26</v>
      </c>
      <c r="M2487">
        <v>87</v>
      </c>
      <c r="N2487">
        <v>-22.44</v>
      </c>
      <c r="O2487">
        <v>90</v>
      </c>
      <c r="P2487">
        <v>-8.65</v>
      </c>
      <c r="Q2487">
        <v>97</v>
      </c>
      <c r="R2487">
        <v>-4.55</v>
      </c>
      <c r="S2487">
        <v>87</v>
      </c>
      <c r="T2487">
        <v>12.2</v>
      </c>
      <c r="U2487">
        <v>91</v>
      </c>
      <c r="V2487">
        <v>-3.07</v>
      </c>
      <c r="W2487">
        <v>86</v>
      </c>
      <c r="X2487" t="s">
        <v>276</v>
      </c>
      <c r="Y2487" t="s">
        <v>95</v>
      </c>
      <c r="Z2487" t="s">
        <v>96</v>
      </c>
      <c r="AA2487" t="s">
        <v>1100</v>
      </c>
      <c r="AB2487" t="s">
        <v>1101</v>
      </c>
      <c r="AC2487">
        <v>227</v>
      </c>
      <c r="AD2487">
        <v>109</v>
      </c>
      <c r="AE2487">
        <v>98</v>
      </c>
      <c r="AF2487">
        <v>200.8</v>
      </c>
      <c r="AG2487">
        <v>6.05</v>
      </c>
      <c r="AH2487">
        <v>10.76</v>
      </c>
      <c r="AI2487">
        <v>-0.03</v>
      </c>
      <c r="AJ2487">
        <v>7.0000000000000007E-2</v>
      </c>
      <c r="AK2487">
        <v>87</v>
      </c>
      <c r="AL2487">
        <v>238</v>
      </c>
      <c r="AM2487">
        <v>121</v>
      </c>
      <c r="AN2487">
        <v>-1</v>
      </c>
      <c r="AO2487">
        <v>-0.59</v>
      </c>
      <c r="AP2487">
        <v>349</v>
      </c>
      <c r="AQ2487">
        <v>2</v>
      </c>
      <c r="AR2487">
        <v>10.6</v>
      </c>
      <c r="AS2487">
        <v>76</v>
      </c>
      <c r="AT2487">
        <v>4.33</v>
      </c>
      <c r="AU2487">
        <v>93</v>
      </c>
      <c r="AV2487">
        <v>-0.13</v>
      </c>
      <c r="AW2487">
        <v>96</v>
      </c>
      <c r="AX2487">
        <v>0.59</v>
      </c>
      <c r="AY2487">
        <v>90</v>
      </c>
      <c r="AZ2487">
        <v>6.72</v>
      </c>
      <c r="BA2487">
        <v>75</v>
      </c>
      <c r="BB2487">
        <v>5.04</v>
      </c>
      <c r="BC2487">
        <v>81</v>
      </c>
      <c r="BD2487">
        <v>0.01</v>
      </c>
      <c r="BE2487">
        <v>0.02</v>
      </c>
      <c r="BF2487">
        <v>0.05</v>
      </c>
      <c r="BG2487">
        <v>94</v>
      </c>
      <c r="BH2487">
        <v>-0.03</v>
      </c>
      <c r="BI2487">
        <v>6.43</v>
      </c>
      <c r="BJ2487">
        <v>9</v>
      </c>
      <c r="BK2487">
        <v>4</v>
      </c>
      <c r="BL2487">
        <v>-0.23</v>
      </c>
      <c r="BM2487">
        <v>1.21</v>
      </c>
      <c r="BN2487">
        <v>0.67</v>
      </c>
      <c r="BO2487">
        <v>-0.84</v>
      </c>
      <c r="BP2487">
        <v>-4.25</v>
      </c>
      <c r="BQ2487">
        <v>-0.13</v>
      </c>
      <c r="BR2487">
        <v>1.07</v>
      </c>
      <c r="BS2487">
        <v>-1.01</v>
      </c>
      <c r="BT2487">
        <v>-2.5299999999999998</v>
      </c>
      <c r="BU2487">
        <v>-0.45</v>
      </c>
      <c r="BV2487">
        <v>-0.19</v>
      </c>
      <c r="BW2487">
        <v>-0.19</v>
      </c>
      <c r="BX2487">
        <v>-0.78</v>
      </c>
      <c r="BY2487">
        <v>-1.34</v>
      </c>
      <c r="BZ2487">
        <v>0.04</v>
      </c>
      <c r="CA2487">
        <v>-1.22</v>
      </c>
      <c r="CB2487">
        <v>-0.67</v>
      </c>
      <c r="CC2487">
        <v>-2.0299999999999998</v>
      </c>
      <c r="CD2487">
        <v>0.8</v>
      </c>
      <c r="CE2487">
        <v>-0.31</v>
      </c>
      <c r="CF2487">
        <v>-0.74</v>
      </c>
      <c r="CG2487">
        <v>0</v>
      </c>
      <c r="CH2487">
        <v>-1.81</v>
      </c>
      <c r="CI2487">
        <v>0</v>
      </c>
      <c r="CJ2487">
        <v>-2.4</v>
      </c>
      <c r="CK2487">
        <v>97</v>
      </c>
      <c r="CL2487">
        <v>-0.77</v>
      </c>
      <c r="CM2487">
        <v>97</v>
      </c>
      <c r="CN2487">
        <v>-0.32</v>
      </c>
      <c r="CO2487">
        <v>97</v>
      </c>
      <c r="CP2487">
        <v>-7.6</v>
      </c>
      <c r="CQ2487">
        <v>95</v>
      </c>
      <c r="CR2487">
        <v>0</v>
      </c>
      <c r="CS2487">
        <v>0</v>
      </c>
      <c r="CT2487">
        <v>-2.7</v>
      </c>
      <c r="CU2487">
        <v>91</v>
      </c>
      <c r="CV2487">
        <v>0.16</v>
      </c>
      <c r="CW2487">
        <v>45</v>
      </c>
      <c r="CX2487" t="s">
        <v>531</v>
      </c>
    </row>
    <row r="2488" spans="1:102" x14ac:dyDescent="0.3">
      <c r="A2488" t="str">
        <f>HYPERLINK("https://webapp.icbf.com/v2/app/bull-search/view/502138694","OCH")</f>
        <v>OCH</v>
      </c>
      <c r="B2488" t="s">
        <v>2603</v>
      </c>
      <c r="C2488" t="s">
        <v>2604</v>
      </c>
      <c r="D2488" s="1">
        <v>39143</v>
      </c>
      <c r="E2488" t="s">
        <v>92</v>
      </c>
      <c r="F2488">
        <v>84</v>
      </c>
      <c r="G2488" t="s">
        <v>93</v>
      </c>
      <c r="H2488">
        <v>36.479999999999997</v>
      </c>
      <c r="I2488">
        <v>86</v>
      </c>
      <c r="J2488">
        <v>-7.84</v>
      </c>
      <c r="K2488">
        <v>96</v>
      </c>
      <c r="L2488">
        <v>25.15</v>
      </c>
      <c r="M2488">
        <v>77</v>
      </c>
      <c r="N2488">
        <v>14.08</v>
      </c>
      <c r="O2488">
        <v>86</v>
      </c>
      <c r="P2488">
        <v>-21.81</v>
      </c>
      <c r="Q2488">
        <v>90</v>
      </c>
      <c r="R2488">
        <v>-2.0699999999999998</v>
      </c>
      <c r="S2488">
        <v>81</v>
      </c>
      <c r="T2488">
        <v>26.55</v>
      </c>
      <c r="U2488">
        <v>89</v>
      </c>
      <c r="V2488">
        <v>2.42</v>
      </c>
      <c r="W2488">
        <v>80</v>
      </c>
      <c r="X2488" t="s">
        <v>94</v>
      </c>
      <c r="Y2488" t="s">
        <v>1513</v>
      </c>
      <c r="Z2488" t="s">
        <v>96</v>
      </c>
      <c r="AA2488" t="s">
        <v>1406</v>
      </c>
      <c r="AB2488" t="s">
        <v>2605</v>
      </c>
      <c r="AC2488">
        <v>79</v>
      </c>
      <c r="AD2488">
        <v>52</v>
      </c>
      <c r="AE2488">
        <v>96</v>
      </c>
      <c r="AF2488">
        <v>-174.89</v>
      </c>
      <c r="AG2488">
        <v>-2.91</v>
      </c>
      <c r="AH2488">
        <v>-2.98</v>
      </c>
      <c r="AI2488">
        <v>7.0000000000000007E-2</v>
      </c>
      <c r="AJ2488">
        <v>0.05</v>
      </c>
      <c r="AK2488">
        <v>77</v>
      </c>
      <c r="AL2488">
        <v>86</v>
      </c>
      <c r="AM2488">
        <v>57</v>
      </c>
      <c r="AN2488">
        <v>-1.83</v>
      </c>
      <c r="AO2488">
        <v>0.17</v>
      </c>
      <c r="AP2488">
        <v>214</v>
      </c>
      <c r="AQ2488">
        <v>1</v>
      </c>
      <c r="AR2488">
        <v>7.94</v>
      </c>
      <c r="AS2488">
        <v>69</v>
      </c>
      <c r="AT2488">
        <v>3.42</v>
      </c>
      <c r="AU2488">
        <v>88</v>
      </c>
      <c r="AV2488">
        <v>-2.08</v>
      </c>
      <c r="AW2488">
        <v>96</v>
      </c>
      <c r="AX2488">
        <v>-0.17</v>
      </c>
      <c r="AY2488">
        <v>81</v>
      </c>
      <c r="AZ2488">
        <v>6.2</v>
      </c>
      <c r="BA2488">
        <v>65</v>
      </c>
      <c r="BB2488">
        <v>4.93</v>
      </c>
      <c r="BC2488">
        <v>67</v>
      </c>
      <c r="BD2488">
        <v>-0.02</v>
      </c>
      <c r="BE2488">
        <v>-0.01</v>
      </c>
      <c r="BF2488">
        <v>0.1</v>
      </c>
      <c r="BG2488">
        <v>87</v>
      </c>
      <c r="BH2488">
        <v>-0.04</v>
      </c>
      <c r="BI2488">
        <v>-12.43</v>
      </c>
      <c r="BJ2488">
        <v>35</v>
      </c>
      <c r="BK2488">
        <v>22</v>
      </c>
      <c r="BL2488">
        <v>-1.01</v>
      </c>
      <c r="BM2488">
        <v>-1.1299999999999999</v>
      </c>
      <c r="BN2488">
        <v>-2.4300000000000002</v>
      </c>
      <c r="BO2488">
        <v>-1.25</v>
      </c>
      <c r="BP2488">
        <v>0.12</v>
      </c>
      <c r="BQ2488">
        <v>-1.29</v>
      </c>
      <c r="BR2488">
        <v>-0.21</v>
      </c>
      <c r="BS2488">
        <v>-3.03</v>
      </c>
      <c r="BT2488">
        <v>-0.82</v>
      </c>
      <c r="BU2488">
        <v>-1.28</v>
      </c>
      <c r="BV2488">
        <v>-1.08</v>
      </c>
      <c r="BW2488">
        <v>-1.08</v>
      </c>
      <c r="BX2488">
        <v>-0.47</v>
      </c>
      <c r="BY2488">
        <v>1.1000000000000001</v>
      </c>
      <c r="BZ2488">
        <v>-0.77</v>
      </c>
      <c r="CA2488">
        <v>-1.77</v>
      </c>
      <c r="CB2488">
        <v>-0.95</v>
      </c>
      <c r="CC2488">
        <v>-3.01</v>
      </c>
      <c r="CD2488">
        <v>-0.22</v>
      </c>
      <c r="CE2488">
        <v>-1.37</v>
      </c>
      <c r="CF2488">
        <v>-2.17</v>
      </c>
      <c r="CG2488">
        <v>0</v>
      </c>
      <c r="CH2488">
        <v>0.37</v>
      </c>
      <c r="CI2488">
        <v>0</v>
      </c>
      <c r="CJ2488">
        <v>-10.3</v>
      </c>
      <c r="CK2488">
        <v>91</v>
      </c>
      <c r="CL2488">
        <v>-0.63</v>
      </c>
      <c r="CM2488">
        <v>89</v>
      </c>
      <c r="CN2488">
        <v>-0.14000000000000001</v>
      </c>
      <c r="CO2488">
        <v>88</v>
      </c>
      <c r="CP2488">
        <v>-18.2</v>
      </c>
      <c r="CQ2488">
        <v>89</v>
      </c>
      <c r="CR2488">
        <v>0</v>
      </c>
      <c r="CS2488">
        <v>0</v>
      </c>
      <c r="CT2488">
        <v>-22.1</v>
      </c>
      <c r="CU2488">
        <v>89</v>
      </c>
      <c r="CV2488">
        <v>-0.01</v>
      </c>
      <c r="CW2488">
        <v>44</v>
      </c>
      <c r="CX2488" t="s">
        <v>1380</v>
      </c>
    </row>
    <row r="2489" spans="1:102" x14ac:dyDescent="0.3">
      <c r="A2489" t="str">
        <f>HYPERLINK("https://webapp.icbf.com/v2/app/bull-search/view/704184222","LBU")</f>
        <v>LBU</v>
      </c>
      <c r="B2489" t="s">
        <v>12710</v>
      </c>
      <c r="C2489" t="s">
        <v>12711</v>
      </c>
      <c r="D2489" s="1">
        <v>39984</v>
      </c>
      <c r="E2489" t="s">
        <v>92</v>
      </c>
      <c r="F2489">
        <v>100</v>
      </c>
      <c r="G2489" t="s">
        <v>93</v>
      </c>
      <c r="H2489">
        <v>36.479999999999997</v>
      </c>
      <c r="I2489">
        <v>88</v>
      </c>
      <c r="J2489">
        <v>34.01</v>
      </c>
      <c r="K2489">
        <v>98</v>
      </c>
      <c r="L2489">
        <v>-22.39</v>
      </c>
      <c r="M2489">
        <v>80</v>
      </c>
      <c r="N2489">
        <v>37.1</v>
      </c>
      <c r="O2489">
        <v>87</v>
      </c>
      <c r="P2489">
        <v>-4.51</v>
      </c>
      <c r="Q2489">
        <v>95</v>
      </c>
      <c r="R2489">
        <v>-1.8</v>
      </c>
      <c r="S2489">
        <v>78</v>
      </c>
      <c r="T2489">
        <v>1.39</v>
      </c>
      <c r="U2489">
        <v>88</v>
      </c>
      <c r="V2489">
        <v>-7.32</v>
      </c>
      <c r="W2489">
        <v>69</v>
      </c>
      <c r="X2489" t="s">
        <v>102</v>
      </c>
      <c r="Y2489" t="s">
        <v>329</v>
      </c>
      <c r="Z2489" t="s">
        <v>96</v>
      </c>
      <c r="AA2489" t="s">
        <v>12285</v>
      </c>
      <c r="AB2489" t="s">
        <v>5125</v>
      </c>
      <c r="AC2489">
        <v>147</v>
      </c>
      <c r="AD2489">
        <v>75</v>
      </c>
      <c r="AE2489">
        <v>98</v>
      </c>
      <c r="AF2489">
        <v>493.07</v>
      </c>
      <c r="AG2489">
        <v>5.94</v>
      </c>
      <c r="AH2489">
        <v>11.23</v>
      </c>
      <c r="AI2489">
        <v>-0.21</v>
      </c>
      <c r="AJ2489">
        <v>-0.09</v>
      </c>
      <c r="AK2489">
        <v>80</v>
      </c>
      <c r="AL2489">
        <v>165</v>
      </c>
      <c r="AM2489">
        <v>80</v>
      </c>
      <c r="AN2489">
        <v>0.12</v>
      </c>
      <c r="AO2489">
        <v>-1.68</v>
      </c>
      <c r="AP2489">
        <v>303</v>
      </c>
      <c r="AQ2489">
        <v>2</v>
      </c>
      <c r="AR2489">
        <v>4.6500000000000004</v>
      </c>
      <c r="AS2489">
        <v>77</v>
      </c>
      <c r="AT2489">
        <v>2.19</v>
      </c>
      <c r="AU2489">
        <v>90</v>
      </c>
      <c r="AV2489">
        <v>-3.23</v>
      </c>
      <c r="AW2489">
        <v>95</v>
      </c>
      <c r="AX2489">
        <v>-0.18</v>
      </c>
      <c r="AY2489">
        <v>88</v>
      </c>
      <c r="AZ2489">
        <v>6.95</v>
      </c>
      <c r="BA2489">
        <v>67</v>
      </c>
      <c r="BB2489">
        <v>5.39</v>
      </c>
      <c r="BC2489">
        <v>67</v>
      </c>
      <c r="BD2489">
        <v>0.02</v>
      </c>
      <c r="BE2489">
        <v>0.02</v>
      </c>
      <c r="BF2489">
        <v>-0.03</v>
      </c>
      <c r="BG2489">
        <v>91</v>
      </c>
      <c r="BH2489">
        <v>-0.11</v>
      </c>
      <c r="BI2489">
        <v>10.9</v>
      </c>
      <c r="BJ2489">
        <v>45</v>
      </c>
      <c r="BK2489">
        <v>25</v>
      </c>
      <c r="BL2489">
        <v>0.35</v>
      </c>
      <c r="BM2489">
        <v>1.46</v>
      </c>
      <c r="BN2489">
        <v>0.67</v>
      </c>
      <c r="BO2489">
        <v>-0.26</v>
      </c>
      <c r="BP2489">
        <v>-1.35</v>
      </c>
      <c r="BQ2489">
        <v>0.97</v>
      </c>
      <c r="BR2489">
        <v>-1.1499999999999999</v>
      </c>
      <c r="BS2489">
        <v>0.65</v>
      </c>
      <c r="BT2489">
        <v>0.78</v>
      </c>
      <c r="BU2489">
        <v>0.89</v>
      </c>
      <c r="BV2489">
        <v>1.18</v>
      </c>
      <c r="BW2489">
        <v>1.34</v>
      </c>
      <c r="BX2489">
        <v>0.46</v>
      </c>
      <c r="BY2489">
        <v>0.68</v>
      </c>
      <c r="BZ2489">
        <v>-0.54</v>
      </c>
      <c r="CA2489">
        <v>0.96</v>
      </c>
      <c r="CB2489">
        <v>1.1399999999999999</v>
      </c>
      <c r="CC2489">
        <v>0.46</v>
      </c>
      <c r="CD2489">
        <v>0.63</v>
      </c>
      <c r="CE2489">
        <v>0.14000000000000001</v>
      </c>
      <c r="CF2489">
        <v>0.4</v>
      </c>
      <c r="CG2489">
        <v>0</v>
      </c>
      <c r="CH2489">
        <v>0.78</v>
      </c>
      <c r="CI2489">
        <v>0</v>
      </c>
      <c r="CJ2489">
        <v>-0.1</v>
      </c>
      <c r="CK2489">
        <v>96</v>
      </c>
      <c r="CL2489">
        <v>-0.9</v>
      </c>
      <c r="CM2489">
        <v>95</v>
      </c>
      <c r="CN2489">
        <v>-0.36</v>
      </c>
      <c r="CO2489">
        <v>94</v>
      </c>
      <c r="CP2489">
        <v>4.7</v>
      </c>
      <c r="CQ2489">
        <v>90</v>
      </c>
      <c r="CR2489">
        <v>0</v>
      </c>
      <c r="CS2489">
        <v>0</v>
      </c>
      <c r="CT2489">
        <v>11.9</v>
      </c>
      <c r="CU2489">
        <v>88</v>
      </c>
      <c r="CV2489">
        <v>0.21</v>
      </c>
      <c r="CW2489">
        <v>45</v>
      </c>
      <c r="CX2489" t="s">
        <v>1376</v>
      </c>
    </row>
    <row r="2490" spans="1:102" x14ac:dyDescent="0.3">
      <c r="A2490" t="str">
        <f>HYPERLINK("https://webapp.icbf.com/v2/app/bull-search/view/586139100","S962")</f>
        <v>S962</v>
      </c>
      <c r="B2490" t="s">
        <v>1650</v>
      </c>
      <c r="C2490" t="s">
        <v>1651</v>
      </c>
      <c r="D2490" s="1">
        <v>38628</v>
      </c>
      <c r="E2490" t="s">
        <v>92</v>
      </c>
      <c r="F2490">
        <v>100</v>
      </c>
      <c r="G2490" t="s">
        <v>93</v>
      </c>
      <c r="H2490">
        <v>36.4</v>
      </c>
      <c r="I2490">
        <v>93</v>
      </c>
      <c r="J2490">
        <v>64.31</v>
      </c>
      <c r="K2490">
        <v>99</v>
      </c>
      <c r="L2490">
        <v>-53.83</v>
      </c>
      <c r="M2490">
        <v>92</v>
      </c>
      <c r="N2490">
        <v>12.22</v>
      </c>
      <c r="O2490">
        <v>93</v>
      </c>
      <c r="P2490">
        <v>-5.16</v>
      </c>
      <c r="Q2490">
        <v>96</v>
      </c>
      <c r="R2490">
        <v>7.8</v>
      </c>
      <c r="S2490">
        <v>84</v>
      </c>
      <c r="T2490">
        <v>12.05</v>
      </c>
      <c r="U2490">
        <v>87</v>
      </c>
      <c r="V2490">
        <v>-0.99</v>
      </c>
      <c r="W2490">
        <v>77</v>
      </c>
      <c r="X2490" t="s">
        <v>251</v>
      </c>
      <c r="Y2490" t="s">
        <v>303</v>
      </c>
      <c r="Z2490" t="s">
        <v>96</v>
      </c>
      <c r="AA2490" t="s">
        <v>350</v>
      </c>
      <c r="AB2490" t="s">
        <v>1652</v>
      </c>
      <c r="AC2490">
        <v>346</v>
      </c>
      <c r="AD2490">
        <v>109</v>
      </c>
      <c r="AE2490">
        <v>99</v>
      </c>
      <c r="AF2490">
        <v>372.33</v>
      </c>
      <c r="AG2490">
        <v>12.54</v>
      </c>
      <c r="AH2490">
        <v>12.2</v>
      </c>
      <c r="AI2490">
        <v>-0.03</v>
      </c>
      <c r="AJ2490">
        <v>-0.01</v>
      </c>
      <c r="AK2490">
        <v>92</v>
      </c>
      <c r="AL2490">
        <v>343</v>
      </c>
      <c r="AM2490">
        <v>115</v>
      </c>
      <c r="AN2490">
        <v>3.96</v>
      </c>
      <c r="AO2490">
        <v>-0.32</v>
      </c>
      <c r="AP2490">
        <v>620</v>
      </c>
      <c r="AQ2490">
        <v>9</v>
      </c>
      <c r="AR2490">
        <v>5.91</v>
      </c>
      <c r="AS2490">
        <v>94</v>
      </c>
      <c r="AT2490">
        <v>2.65</v>
      </c>
      <c r="AU2490">
        <v>95</v>
      </c>
      <c r="AV2490">
        <v>-1.08</v>
      </c>
      <c r="AW2490">
        <v>98</v>
      </c>
      <c r="AX2490">
        <v>0.12</v>
      </c>
      <c r="AY2490">
        <v>93</v>
      </c>
      <c r="AZ2490">
        <v>7.7</v>
      </c>
      <c r="BA2490">
        <v>83</v>
      </c>
      <c r="BB2490">
        <v>5.4</v>
      </c>
      <c r="BC2490">
        <v>78</v>
      </c>
      <c r="BD2490">
        <v>0.01</v>
      </c>
      <c r="BE2490">
        <v>-0.04</v>
      </c>
      <c r="BF2490">
        <v>-0.12</v>
      </c>
      <c r="BG2490">
        <v>95</v>
      </c>
      <c r="BH2490">
        <v>0.06</v>
      </c>
      <c r="BI2490">
        <v>10.130000000000001</v>
      </c>
      <c r="BJ2490">
        <v>128</v>
      </c>
      <c r="BK2490">
        <v>50</v>
      </c>
      <c r="BL2490">
        <v>1.08</v>
      </c>
      <c r="BM2490">
        <v>-1.97</v>
      </c>
      <c r="BN2490">
        <v>-0.43</v>
      </c>
      <c r="BO2490">
        <v>0.9</v>
      </c>
      <c r="BP2490">
        <v>-1.49</v>
      </c>
      <c r="BQ2490">
        <v>1.42</v>
      </c>
      <c r="BR2490">
        <v>-0.62</v>
      </c>
      <c r="BS2490">
        <v>1.01</v>
      </c>
      <c r="BT2490">
        <v>0.95</v>
      </c>
      <c r="BU2490">
        <v>1.26</v>
      </c>
      <c r="BV2490">
        <v>1.95</v>
      </c>
      <c r="BW2490">
        <v>2.2599999999999998</v>
      </c>
      <c r="BX2490">
        <v>1.19</v>
      </c>
      <c r="BY2490">
        <v>3.61</v>
      </c>
      <c r="BZ2490">
        <v>-1.75</v>
      </c>
      <c r="CA2490">
        <v>1.67</v>
      </c>
      <c r="CB2490">
        <v>1.47</v>
      </c>
      <c r="CC2490">
        <v>1.1499999999999999</v>
      </c>
      <c r="CD2490">
        <v>-1.65</v>
      </c>
      <c r="CE2490">
        <v>1.22</v>
      </c>
      <c r="CF2490">
        <v>0.37</v>
      </c>
      <c r="CG2490">
        <v>0</v>
      </c>
      <c r="CH2490">
        <v>3.4</v>
      </c>
      <c r="CI2490">
        <v>0</v>
      </c>
      <c r="CJ2490">
        <v>-0.8</v>
      </c>
      <c r="CK2490">
        <v>97</v>
      </c>
      <c r="CL2490">
        <v>-0.94</v>
      </c>
      <c r="CM2490">
        <v>96</v>
      </c>
      <c r="CN2490">
        <v>-0.49</v>
      </c>
      <c r="CO2490">
        <v>96</v>
      </c>
      <c r="CP2490">
        <v>-0.6</v>
      </c>
      <c r="CQ2490">
        <v>94</v>
      </c>
      <c r="CR2490">
        <v>0</v>
      </c>
      <c r="CS2490">
        <v>0</v>
      </c>
      <c r="CT2490">
        <v>-2.5</v>
      </c>
      <c r="CU2490">
        <v>87</v>
      </c>
      <c r="CV2490">
        <v>0.19</v>
      </c>
      <c r="CW2490">
        <v>45</v>
      </c>
      <c r="CX2490" t="s">
        <v>563</v>
      </c>
    </row>
    <row r="2491" spans="1:102" x14ac:dyDescent="0.3">
      <c r="A2491" t="str">
        <f>HYPERLINK("https://webapp.icbf.com/v2/app/bull-search/view/77859715","BJI")</f>
        <v>BJI</v>
      </c>
      <c r="B2491" t="s">
        <v>10944</v>
      </c>
      <c r="C2491" t="s">
        <v>10945</v>
      </c>
      <c r="D2491" s="1">
        <v>31733</v>
      </c>
      <c r="E2491" t="s">
        <v>92</v>
      </c>
      <c r="F2491">
        <v>88</v>
      </c>
      <c r="G2491" t="s">
        <v>93</v>
      </c>
      <c r="H2491">
        <v>36.4</v>
      </c>
      <c r="I2491">
        <v>94</v>
      </c>
      <c r="J2491">
        <v>20.02</v>
      </c>
      <c r="K2491">
        <v>99</v>
      </c>
      <c r="L2491">
        <v>3.08</v>
      </c>
      <c r="M2491">
        <v>93</v>
      </c>
      <c r="N2491">
        <v>11.2</v>
      </c>
      <c r="O2491">
        <v>88</v>
      </c>
      <c r="P2491">
        <v>1.97</v>
      </c>
      <c r="Q2491">
        <v>95</v>
      </c>
      <c r="R2491">
        <v>-8.73</v>
      </c>
      <c r="S2491">
        <v>87</v>
      </c>
      <c r="T2491">
        <v>5.09</v>
      </c>
      <c r="U2491">
        <v>91</v>
      </c>
      <c r="V2491">
        <v>3.77</v>
      </c>
      <c r="W2491">
        <v>77</v>
      </c>
      <c r="X2491" t="s">
        <v>110</v>
      </c>
      <c r="Y2491" t="s">
        <v>95</v>
      </c>
      <c r="Z2491" t="s">
        <v>96</v>
      </c>
      <c r="AA2491" t="s">
        <v>128</v>
      </c>
      <c r="AB2491" t="s">
        <v>10946</v>
      </c>
      <c r="AC2491">
        <v>481</v>
      </c>
      <c r="AD2491">
        <v>236</v>
      </c>
      <c r="AE2491">
        <v>99</v>
      </c>
      <c r="AF2491">
        <v>-225.93</v>
      </c>
      <c r="AG2491">
        <v>4.54</v>
      </c>
      <c r="AH2491">
        <v>-1.66</v>
      </c>
      <c r="AI2491">
        <v>0.24</v>
      </c>
      <c r="AJ2491">
        <v>0.11</v>
      </c>
      <c r="AK2491">
        <v>93</v>
      </c>
      <c r="AL2491">
        <v>809</v>
      </c>
      <c r="AM2491">
        <v>307</v>
      </c>
      <c r="AN2491">
        <v>0.17</v>
      </c>
      <c r="AO2491">
        <v>0.42</v>
      </c>
      <c r="AP2491">
        <v>23</v>
      </c>
      <c r="AQ2491">
        <v>0</v>
      </c>
      <c r="AR2491">
        <v>6.65</v>
      </c>
      <c r="AS2491">
        <v>72</v>
      </c>
      <c r="AT2491">
        <v>2.4500000000000002</v>
      </c>
      <c r="AU2491">
        <v>88</v>
      </c>
      <c r="AV2491">
        <v>0.01</v>
      </c>
      <c r="AW2491">
        <v>92</v>
      </c>
      <c r="AX2491">
        <v>-0.25</v>
      </c>
      <c r="AY2491">
        <v>93</v>
      </c>
      <c r="AZ2491">
        <v>5.96</v>
      </c>
      <c r="BA2491">
        <v>70</v>
      </c>
      <c r="BB2491">
        <v>4.5599999999999996</v>
      </c>
      <c r="BC2491">
        <v>84</v>
      </c>
      <c r="BD2491">
        <v>0.04</v>
      </c>
      <c r="BE2491">
        <v>0.06</v>
      </c>
      <c r="BF2491">
        <v>0.02</v>
      </c>
      <c r="BG2491">
        <v>98</v>
      </c>
      <c r="BH2491">
        <v>0.11</v>
      </c>
      <c r="BI2491">
        <v>0.56999999999999995</v>
      </c>
      <c r="BJ2491">
        <v>17</v>
      </c>
      <c r="BK2491">
        <v>14</v>
      </c>
      <c r="BL2491">
        <v>0.09</v>
      </c>
      <c r="BM2491">
        <v>0.9</v>
      </c>
      <c r="BN2491">
        <v>-0.45</v>
      </c>
      <c r="BO2491">
        <v>-0.62</v>
      </c>
      <c r="BP2491">
        <v>-0.88</v>
      </c>
      <c r="BQ2491">
        <v>0.52</v>
      </c>
      <c r="BR2491">
        <v>1.49</v>
      </c>
      <c r="BS2491">
        <v>-1.34</v>
      </c>
      <c r="BT2491">
        <v>-0.9</v>
      </c>
      <c r="BU2491">
        <v>-0.16</v>
      </c>
      <c r="BV2491">
        <v>-0.38</v>
      </c>
      <c r="BW2491">
        <v>-1.17</v>
      </c>
      <c r="BX2491">
        <v>0.97</v>
      </c>
      <c r="BY2491">
        <v>-1.96</v>
      </c>
      <c r="BZ2491">
        <v>-1.63</v>
      </c>
      <c r="CA2491">
        <v>-1.2</v>
      </c>
      <c r="CB2491">
        <v>-0.95</v>
      </c>
      <c r="CC2491">
        <v>-1.34</v>
      </c>
      <c r="CD2491">
        <v>0.66</v>
      </c>
      <c r="CE2491">
        <v>-0.7</v>
      </c>
      <c r="CF2491">
        <v>-0.38</v>
      </c>
      <c r="CG2491">
        <v>0</v>
      </c>
      <c r="CH2491">
        <v>-1.64</v>
      </c>
      <c r="CI2491">
        <v>0</v>
      </c>
      <c r="CJ2491">
        <v>2.6</v>
      </c>
      <c r="CK2491">
        <v>95</v>
      </c>
      <c r="CL2491">
        <v>-0.42</v>
      </c>
      <c r="CM2491">
        <v>94</v>
      </c>
      <c r="CN2491">
        <v>-0.21</v>
      </c>
      <c r="CO2491">
        <v>94</v>
      </c>
      <c r="CP2491">
        <v>1.7</v>
      </c>
      <c r="CQ2491">
        <v>97</v>
      </c>
      <c r="CR2491">
        <v>0</v>
      </c>
      <c r="CS2491">
        <v>0</v>
      </c>
      <c r="CT2491">
        <v>6.9</v>
      </c>
      <c r="CU2491">
        <v>91</v>
      </c>
      <c r="CV2491">
        <v>0.17</v>
      </c>
      <c r="CW2491">
        <v>45</v>
      </c>
      <c r="CX2491" t="s">
        <v>617</v>
      </c>
    </row>
    <row r="2492" spans="1:102" x14ac:dyDescent="0.3">
      <c r="A2492" t="str">
        <f>HYPERLINK("https://webapp.icbf.com/v2/app/bull-search/view/720518431","S972")</f>
        <v>S972</v>
      </c>
      <c r="B2492" t="s">
        <v>12670</v>
      </c>
      <c r="C2492" t="s">
        <v>12671</v>
      </c>
      <c r="D2492" s="1">
        <v>38600</v>
      </c>
      <c r="E2492" t="s">
        <v>227</v>
      </c>
      <c r="F2492">
        <v>0</v>
      </c>
      <c r="G2492" t="s">
        <v>109</v>
      </c>
      <c r="H2492">
        <v>36.1</v>
      </c>
      <c r="I2492">
        <v>72</v>
      </c>
      <c r="J2492">
        <v>31.15</v>
      </c>
      <c r="K2492">
        <v>87</v>
      </c>
      <c r="L2492">
        <v>-9.2100000000000009</v>
      </c>
      <c r="M2492">
        <v>80</v>
      </c>
      <c r="N2492">
        <v>2.5099999999999998</v>
      </c>
      <c r="O2492">
        <v>44</v>
      </c>
      <c r="P2492">
        <v>-72.42</v>
      </c>
      <c r="Q2492">
        <v>47</v>
      </c>
      <c r="R2492">
        <v>-2.9</v>
      </c>
      <c r="S2492">
        <v>60</v>
      </c>
      <c r="T2492">
        <v>87.68</v>
      </c>
      <c r="U2492">
        <v>55</v>
      </c>
      <c r="V2492">
        <v>-0.71</v>
      </c>
      <c r="W2492">
        <v>60</v>
      </c>
      <c r="X2492" t="s">
        <v>251</v>
      </c>
      <c r="Y2492" t="s">
        <v>303</v>
      </c>
      <c r="Z2492">
        <v>0</v>
      </c>
      <c r="AA2492" t="s">
        <v>12672</v>
      </c>
      <c r="AB2492" t="s">
        <v>12673</v>
      </c>
      <c r="AC2492">
        <v>0</v>
      </c>
      <c r="AD2492">
        <v>0</v>
      </c>
      <c r="AE2492">
        <v>87</v>
      </c>
      <c r="AF2492">
        <v>-56.16</v>
      </c>
      <c r="AG2492">
        <v>10.23</v>
      </c>
      <c r="AH2492">
        <v>0.82</v>
      </c>
      <c r="AI2492">
        <v>0.22</v>
      </c>
      <c r="AJ2492">
        <v>0.05</v>
      </c>
      <c r="AK2492">
        <v>80</v>
      </c>
      <c r="AL2492">
        <v>0</v>
      </c>
      <c r="AM2492">
        <v>0</v>
      </c>
      <c r="AN2492">
        <v>1.64</v>
      </c>
      <c r="AO2492">
        <v>0.92</v>
      </c>
      <c r="AP2492">
        <v>6</v>
      </c>
      <c r="AQ2492">
        <v>0</v>
      </c>
      <c r="AR2492">
        <v>2.33</v>
      </c>
      <c r="AS2492">
        <v>43</v>
      </c>
      <c r="AT2492">
        <v>1.64</v>
      </c>
      <c r="AU2492">
        <v>51</v>
      </c>
      <c r="AV2492">
        <v>1.1399999999999999</v>
      </c>
      <c r="AW2492">
        <v>44</v>
      </c>
      <c r="AX2492">
        <v>0.9</v>
      </c>
      <c r="AY2492">
        <v>41</v>
      </c>
      <c r="AZ2492">
        <v>7.95</v>
      </c>
      <c r="BA2492">
        <v>38</v>
      </c>
      <c r="BB2492">
        <v>5.85</v>
      </c>
      <c r="BC2492">
        <v>38</v>
      </c>
      <c r="BD2492">
        <v>-0.05</v>
      </c>
      <c r="BE2492">
        <v>0</v>
      </c>
      <c r="BF2492">
        <v>0.15</v>
      </c>
      <c r="BG2492">
        <v>65</v>
      </c>
      <c r="BH2492">
        <v>0.01</v>
      </c>
      <c r="BI2492">
        <v>3.46</v>
      </c>
      <c r="BJ2492">
        <v>0</v>
      </c>
      <c r="BK2492">
        <v>0</v>
      </c>
      <c r="BL2492">
        <v>-1.3</v>
      </c>
      <c r="BM2492">
        <v>-1.89</v>
      </c>
      <c r="BN2492">
        <v>-0.26</v>
      </c>
      <c r="BO2492">
        <v>1.57</v>
      </c>
      <c r="BP2492">
        <v>-0.28000000000000003</v>
      </c>
      <c r="BQ2492">
        <v>-4.93</v>
      </c>
      <c r="BR2492">
        <v>2.15</v>
      </c>
      <c r="BS2492">
        <v>6.58</v>
      </c>
      <c r="BT2492">
        <v>-1.1399999999999999</v>
      </c>
      <c r="BU2492">
        <v>0.82</v>
      </c>
      <c r="BV2492">
        <v>0.86</v>
      </c>
      <c r="BW2492">
        <v>-1.37</v>
      </c>
      <c r="BX2492">
        <v>-2.0699999999999998</v>
      </c>
      <c r="BY2492">
        <v>0.19</v>
      </c>
      <c r="BZ2492">
        <v>0.26</v>
      </c>
      <c r="CA2492">
        <v>2.44</v>
      </c>
      <c r="CB2492">
        <v>1.01</v>
      </c>
      <c r="CC2492">
        <v>4.2300000000000004</v>
      </c>
      <c r="CD2492">
        <v>-2.25</v>
      </c>
      <c r="CE2492">
        <v>1.5</v>
      </c>
      <c r="CF2492">
        <v>-0.85</v>
      </c>
      <c r="CG2492">
        <v>0</v>
      </c>
      <c r="CH2492">
        <v>-0.49</v>
      </c>
      <c r="CI2492">
        <v>0</v>
      </c>
      <c r="CJ2492">
        <v>-40.1</v>
      </c>
      <c r="CK2492">
        <v>49</v>
      </c>
      <c r="CL2492">
        <v>-1.34</v>
      </c>
      <c r="CM2492">
        <v>45</v>
      </c>
      <c r="CN2492">
        <v>-0.63</v>
      </c>
      <c r="CO2492">
        <v>43</v>
      </c>
      <c r="CP2492">
        <v>-70.900000000000006</v>
      </c>
      <c r="CQ2492">
        <v>50</v>
      </c>
      <c r="CR2492">
        <v>0</v>
      </c>
      <c r="CS2492">
        <v>0</v>
      </c>
      <c r="CT2492">
        <v>-104.7</v>
      </c>
      <c r="CU2492">
        <v>55</v>
      </c>
      <c r="CV2492">
        <v>-0.28000000000000003</v>
      </c>
      <c r="CW2492">
        <v>34</v>
      </c>
      <c r="CX2492" t="s">
        <v>7435</v>
      </c>
    </row>
    <row r="2493" spans="1:102" x14ac:dyDescent="0.3">
      <c r="A2493" t="str">
        <f>HYPERLINK("https://webapp.icbf.com/v2/app/bull-search/view/108379624","IDI")</f>
        <v>IDI</v>
      </c>
      <c r="B2493" t="s">
        <v>14758</v>
      </c>
      <c r="C2493" t="s">
        <v>200</v>
      </c>
      <c r="D2493" s="1">
        <v>34124</v>
      </c>
      <c r="E2493" t="s">
        <v>197</v>
      </c>
      <c r="F2493">
        <v>0</v>
      </c>
      <c r="G2493" t="s">
        <v>93</v>
      </c>
      <c r="H2493">
        <v>36.06</v>
      </c>
      <c r="I2493">
        <v>62</v>
      </c>
      <c r="J2493">
        <v>-27.31</v>
      </c>
      <c r="K2493">
        <v>86</v>
      </c>
      <c r="L2493">
        <v>90.64</v>
      </c>
      <c r="M2493">
        <v>42</v>
      </c>
      <c r="N2493">
        <v>-48.93</v>
      </c>
      <c r="O2493">
        <v>62</v>
      </c>
      <c r="P2493">
        <v>17.43</v>
      </c>
      <c r="Q2493">
        <v>80</v>
      </c>
      <c r="R2493">
        <v>1.84</v>
      </c>
      <c r="S2493">
        <v>47</v>
      </c>
      <c r="T2493">
        <v>1.91</v>
      </c>
      <c r="U2493">
        <v>53</v>
      </c>
      <c r="V2493">
        <v>0.48</v>
      </c>
      <c r="W2493">
        <v>23</v>
      </c>
      <c r="X2493" t="s">
        <v>102</v>
      </c>
      <c r="Y2493" t="s">
        <v>95</v>
      </c>
      <c r="Z2493">
        <v>0</v>
      </c>
      <c r="AA2493" t="s">
        <v>4406</v>
      </c>
      <c r="AB2493" t="s">
        <v>3260</v>
      </c>
      <c r="AC2493">
        <v>22</v>
      </c>
      <c r="AD2493">
        <v>3</v>
      </c>
      <c r="AE2493">
        <v>86</v>
      </c>
      <c r="AF2493">
        <v>-256.39999999999998</v>
      </c>
      <c r="AG2493">
        <v>-10.43</v>
      </c>
      <c r="AH2493">
        <v>-4.88</v>
      </c>
      <c r="AI2493">
        <v>-0.01</v>
      </c>
      <c r="AJ2493">
        <v>7.0000000000000007E-2</v>
      </c>
      <c r="AK2493">
        <v>42</v>
      </c>
      <c r="AL2493">
        <v>21</v>
      </c>
      <c r="AM2493">
        <v>4</v>
      </c>
      <c r="AN2493">
        <v>-7.15</v>
      </c>
      <c r="AO2493">
        <v>0.05</v>
      </c>
      <c r="AP2493">
        <v>43</v>
      </c>
      <c r="AQ2493">
        <v>0</v>
      </c>
      <c r="AR2493">
        <v>6.93</v>
      </c>
      <c r="AS2493">
        <v>39</v>
      </c>
      <c r="AT2493">
        <v>6.11</v>
      </c>
      <c r="AU2493">
        <v>58</v>
      </c>
      <c r="AV2493">
        <v>2.89</v>
      </c>
      <c r="AW2493">
        <v>84</v>
      </c>
      <c r="AX2493">
        <v>1.75</v>
      </c>
      <c r="AY2493">
        <v>53</v>
      </c>
      <c r="AZ2493">
        <v>6.29</v>
      </c>
      <c r="BA2493">
        <v>30</v>
      </c>
      <c r="BB2493">
        <v>3.23</v>
      </c>
      <c r="BC2493">
        <v>32</v>
      </c>
      <c r="BD2493">
        <v>-0.02</v>
      </c>
      <c r="BE2493">
        <v>-0.01</v>
      </c>
      <c r="BF2493">
        <v>0.01</v>
      </c>
      <c r="BG2493">
        <v>58</v>
      </c>
      <c r="BH2493">
        <v>0.04</v>
      </c>
      <c r="BI2493">
        <v>3.07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6.9</v>
      </c>
      <c r="CK2493">
        <v>82</v>
      </c>
      <c r="CL2493">
        <v>0.21</v>
      </c>
      <c r="CM2493">
        <v>79</v>
      </c>
      <c r="CN2493">
        <v>-0.38</v>
      </c>
      <c r="CO2493">
        <v>76</v>
      </c>
      <c r="CP2493">
        <v>8.6</v>
      </c>
      <c r="CQ2493">
        <v>70</v>
      </c>
      <c r="CR2493">
        <v>0</v>
      </c>
      <c r="CS2493">
        <v>0</v>
      </c>
      <c r="CT2493">
        <v>11.2</v>
      </c>
      <c r="CU2493">
        <v>53</v>
      </c>
      <c r="CV2493">
        <v>-0.09</v>
      </c>
      <c r="CW2493">
        <v>22</v>
      </c>
      <c r="CX2493" t="s">
        <v>14759</v>
      </c>
    </row>
    <row r="2494" spans="1:102" x14ac:dyDescent="0.3">
      <c r="A2494" t="str">
        <f>HYPERLINK("https://webapp.icbf.com/v2/app/bull-search/view/146312627","KIJ")</f>
        <v>KIJ</v>
      </c>
      <c r="B2494" t="s">
        <v>4143</v>
      </c>
      <c r="C2494" t="s">
        <v>4144</v>
      </c>
      <c r="D2494" s="1">
        <v>37677</v>
      </c>
      <c r="E2494" t="s">
        <v>92</v>
      </c>
      <c r="F2494">
        <v>88</v>
      </c>
      <c r="G2494" t="s">
        <v>93</v>
      </c>
      <c r="H2494">
        <v>36.01</v>
      </c>
      <c r="I2494">
        <v>87</v>
      </c>
      <c r="J2494">
        <v>5</v>
      </c>
      <c r="K2494">
        <v>97</v>
      </c>
      <c r="L2494">
        <v>7.97</v>
      </c>
      <c r="M2494">
        <v>75</v>
      </c>
      <c r="N2494">
        <v>6.05</v>
      </c>
      <c r="O2494">
        <v>87</v>
      </c>
      <c r="P2494">
        <v>-3.2</v>
      </c>
      <c r="Q2494">
        <v>93</v>
      </c>
      <c r="R2494">
        <v>4.41</v>
      </c>
      <c r="S2494">
        <v>80</v>
      </c>
      <c r="T2494">
        <v>11.09</v>
      </c>
      <c r="U2494">
        <v>92</v>
      </c>
      <c r="V2494">
        <v>4.6900000000000004</v>
      </c>
      <c r="W2494">
        <v>78</v>
      </c>
      <c r="X2494" t="s">
        <v>94</v>
      </c>
      <c r="Y2494" t="s">
        <v>95</v>
      </c>
      <c r="Z2494" t="s">
        <v>96</v>
      </c>
      <c r="AA2494" t="s">
        <v>2932</v>
      </c>
      <c r="AB2494" t="s">
        <v>4145</v>
      </c>
      <c r="AC2494">
        <v>135</v>
      </c>
      <c r="AD2494">
        <v>100</v>
      </c>
      <c r="AE2494">
        <v>97</v>
      </c>
      <c r="AF2494">
        <v>38.380000000000003</v>
      </c>
      <c r="AG2494">
        <v>2.14</v>
      </c>
      <c r="AH2494">
        <v>0.68</v>
      </c>
      <c r="AI2494">
        <v>0.01</v>
      </c>
      <c r="AJ2494">
        <v>-0.01</v>
      </c>
      <c r="AK2494">
        <v>75</v>
      </c>
      <c r="AL2494">
        <v>142</v>
      </c>
      <c r="AM2494">
        <v>102</v>
      </c>
      <c r="AN2494">
        <v>-0.09</v>
      </c>
      <c r="AO2494">
        <v>0.55000000000000004</v>
      </c>
      <c r="AP2494">
        <v>244</v>
      </c>
      <c r="AQ2494">
        <v>0</v>
      </c>
      <c r="AR2494">
        <v>6.88</v>
      </c>
      <c r="AS2494">
        <v>67</v>
      </c>
      <c r="AT2494">
        <v>2.67</v>
      </c>
      <c r="AU2494">
        <v>88</v>
      </c>
      <c r="AV2494">
        <v>-0.7</v>
      </c>
      <c r="AW2494">
        <v>96</v>
      </c>
      <c r="AX2494">
        <v>1.45</v>
      </c>
      <c r="AY2494">
        <v>85</v>
      </c>
      <c r="AZ2494">
        <v>5.97</v>
      </c>
      <c r="BA2494">
        <v>68</v>
      </c>
      <c r="BB2494">
        <v>5.41</v>
      </c>
      <c r="BC2494">
        <v>73</v>
      </c>
      <c r="BD2494">
        <v>-0.02</v>
      </c>
      <c r="BE2494">
        <v>-0.02</v>
      </c>
      <c r="BF2494">
        <v>-0.03</v>
      </c>
      <c r="BG2494">
        <v>88</v>
      </c>
      <c r="BH2494">
        <v>0.12</v>
      </c>
      <c r="BI2494">
        <v>-1.24</v>
      </c>
      <c r="BJ2494">
        <v>46</v>
      </c>
      <c r="BK2494">
        <v>31</v>
      </c>
      <c r="BL2494">
        <v>-0.21</v>
      </c>
      <c r="BM2494">
        <v>0.18</v>
      </c>
      <c r="BN2494">
        <v>-0.68</v>
      </c>
      <c r="BO2494">
        <v>-0.89</v>
      </c>
      <c r="BP2494">
        <v>-1.1000000000000001</v>
      </c>
      <c r="BQ2494">
        <v>-2.0099999999999998</v>
      </c>
      <c r="BR2494">
        <v>1</v>
      </c>
      <c r="BS2494">
        <v>-2.15</v>
      </c>
      <c r="BT2494">
        <v>-2.0499999999999998</v>
      </c>
      <c r="BU2494">
        <v>-1.03</v>
      </c>
      <c r="BV2494">
        <v>-0.43</v>
      </c>
      <c r="BW2494">
        <v>-0.03</v>
      </c>
      <c r="BX2494">
        <v>0.59</v>
      </c>
      <c r="BY2494">
        <v>0.21</v>
      </c>
      <c r="BZ2494">
        <v>-3.32</v>
      </c>
      <c r="CA2494">
        <v>-1.56</v>
      </c>
      <c r="CB2494">
        <v>-0.74</v>
      </c>
      <c r="CC2494">
        <v>-2.75</v>
      </c>
      <c r="CD2494">
        <v>-7.0000000000000007E-2</v>
      </c>
      <c r="CE2494">
        <v>-0.79</v>
      </c>
      <c r="CF2494">
        <v>-1.19</v>
      </c>
      <c r="CG2494">
        <v>0</v>
      </c>
      <c r="CH2494">
        <v>0.62</v>
      </c>
      <c r="CI2494">
        <v>0</v>
      </c>
      <c r="CJ2494">
        <v>3.1</v>
      </c>
      <c r="CK2494">
        <v>94</v>
      </c>
      <c r="CL2494">
        <v>-0.69</v>
      </c>
      <c r="CM2494">
        <v>93</v>
      </c>
      <c r="CN2494">
        <v>-0.04</v>
      </c>
      <c r="CO2494">
        <v>92</v>
      </c>
      <c r="CP2494">
        <v>-5.5</v>
      </c>
      <c r="CQ2494">
        <v>93</v>
      </c>
      <c r="CR2494">
        <v>0</v>
      </c>
      <c r="CS2494">
        <v>0</v>
      </c>
      <c r="CT2494">
        <v>-1.2</v>
      </c>
      <c r="CU2494">
        <v>92</v>
      </c>
      <c r="CV2494">
        <v>0.27</v>
      </c>
      <c r="CW2494">
        <v>27</v>
      </c>
      <c r="CX2494" t="s">
        <v>1089</v>
      </c>
    </row>
    <row r="2495" spans="1:102" x14ac:dyDescent="0.3">
      <c r="A2495" t="str">
        <f>HYPERLINK("https://webapp.icbf.com/v2/app/bull-search/view/586150219","NAZ")</f>
        <v>NAZ</v>
      </c>
      <c r="B2495" t="s">
        <v>5679</v>
      </c>
      <c r="C2495" t="s">
        <v>5680</v>
      </c>
      <c r="D2495" s="1">
        <v>38863</v>
      </c>
      <c r="E2495" t="s">
        <v>92</v>
      </c>
      <c r="F2495">
        <v>100</v>
      </c>
      <c r="G2495" t="s">
        <v>109</v>
      </c>
      <c r="H2495">
        <v>35.950000000000003</v>
      </c>
      <c r="I2495">
        <v>82</v>
      </c>
      <c r="J2495">
        <v>29.67</v>
      </c>
      <c r="K2495">
        <v>93</v>
      </c>
      <c r="L2495">
        <v>-34.159999999999997</v>
      </c>
      <c r="M2495">
        <v>85</v>
      </c>
      <c r="N2495">
        <v>33.6</v>
      </c>
      <c r="O2495">
        <v>72</v>
      </c>
      <c r="P2495">
        <v>-10.88</v>
      </c>
      <c r="Q2495">
        <v>68</v>
      </c>
      <c r="R2495">
        <v>-0.68</v>
      </c>
      <c r="S2495">
        <v>77</v>
      </c>
      <c r="T2495">
        <v>10.64</v>
      </c>
      <c r="U2495">
        <v>61</v>
      </c>
      <c r="V2495">
        <v>7.76</v>
      </c>
      <c r="W2495">
        <v>66</v>
      </c>
      <c r="X2495" t="s">
        <v>94</v>
      </c>
      <c r="Y2495" t="s">
        <v>1128</v>
      </c>
      <c r="Z2495" t="s">
        <v>96</v>
      </c>
      <c r="AA2495" t="s">
        <v>358</v>
      </c>
      <c r="AB2495" t="s">
        <v>5681</v>
      </c>
      <c r="AC2495">
        <v>0</v>
      </c>
      <c r="AD2495">
        <v>0</v>
      </c>
      <c r="AE2495">
        <v>93</v>
      </c>
      <c r="AF2495">
        <v>128.63</v>
      </c>
      <c r="AG2495">
        <v>-0.27</v>
      </c>
      <c r="AH2495">
        <v>7.11</v>
      </c>
      <c r="AI2495">
        <v>-0.09</v>
      </c>
      <c r="AJ2495">
        <v>0.05</v>
      </c>
      <c r="AK2495">
        <v>85</v>
      </c>
      <c r="AL2495">
        <v>0</v>
      </c>
      <c r="AM2495">
        <v>0</v>
      </c>
      <c r="AN2495">
        <v>2.97</v>
      </c>
      <c r="AO2495">
        <v>0.26</v>
      </c>
      <c r="AP2495">
        <v>26</v>
      </c>
      <c r="AQ2495">
        <v>0</v>
      </c>
      <c r="AR2495">
        <v>5.43</v>
      </c>
      <c r="AS2495">
        <v>67</v>
      </c>
      <c r="AT2495">
        <v>2</v>
      </c>
      <c r="AU2495">
        <v>91</v>
      </c>
      <c r="AV2495">
        <v>-3.9</v>
      </c>
      <c r="AW2495">
        <v>75</v>
      </c>
      <c r="AX2495">
        <v>0.09</v>
      </c>
      <c r="AY2495">
        <v>55</v>
      </c>
      <c r="AZ2495">
        <v>8</v>
      </c>
      <c r="BA2495">
        <v>47</v>
      </c>
      <c r="BB2495">
        <v>6.45</v>
      </c>
      <c r="BC2495">
        <v>50</v>
      </c>
      <c r="BD2495">
        <v>-0.02</v>
      </c>
      <c r="BE2495">
        <v>0.01</v>
      </c>
      <c r="BF2495">
        <v>0.03</v>
      </c>
      <c r="BG2495">
        <v>92</v>
      </c>
      <c r="BH2495">
        <v>0.1</v>
      </c>
      <c r="BI2495">
        <v>-13.46</v>
      </c>
      <c r="BJ2495">
        <v>6</v>
      </c>
      <c r="BK2495">
        <v>2</v>
      </c>
      <c r="BL2495">
        <v>0.01</v>
      </c>
      <c r="BM2495">
        <v>-2.36</v>
      </c>
      <c r="BN2495">
        <v>-1.42</v>
      </c>
      <c r="BO2495">
        <v>0.21</v>
      </c>
      <c r="BP2495">
        <v>-0.77</v>
      </c>
      <c r="BQ2495">
        <v>-0.89</v>
      </c>
      <c r="BR2495">
        <v>-1.4</v>
      </c>
      <c r="BS2495">
        <v>3.38</v>
      </c>
      <c r="BT2495">
        <v>1.68</v>
      </c>
      <c r="BU2495">
        <v>0.89</v>
      </c>
      <c r="BV2495">
        <v>1.64</v>
      </c>
      <c r="BW2495">
        <v>0.83</v>
      </c>
      <c r="BX2495">
        <v>1.3</v>
      </c>
      <c r="BY2495">
        <v>2.5</v>
      </c>
      <c r="BZ2495">
        <v>-0.12</v>
      </c>
      <c r="CA2495">
        <v>1.96</v>
      </c>
      <c r="CB2495">
        <v>1.1100000000000001</v>
      </c>
      <c r="CC2495">
        <v>2.34</v>
      </c>
      <c r="CD2495">
        <v>-1.32</v>
      </c>
      <c r="CE2495">
        <v>0.94</v>
      </c>
      <c r="CF2495">
        <v>-0.56000000000000005</v>
      </c>
      <c r="CG2495">
        <v>0</v>
      </c>
      <c r="CH2495">
        <v>2.36</v>
      </c>
      <c r="CI2495">
        <v>0</v>
      </c>
      <c r="CJ2495">
        <v>-5.2</v>
      </c>
      <c r="CK2495">
        <v>70</v>
      </c>
      <c r="CL2495">
        <v>-0.96</v>
      </c>
      <c r="CM2495">
        <v>66</v>
      </c>
      <c r="CN2495">
        <v>-0.6</v>
      </c>
      <c r="CO2495">
        <v>64</v>
      </c>
      <c r="CP2495">
        <v>-5.5</v>
      </c>
      <c r="CQ2495">
        <v>65</v>
      </c>
      <c r="CR2495">
        <v>0</v>
      </c>
      <c r="CS2495">
        <v>0</v>
      </c>
      <c r="CT2495">
        <v>-0.6</v>
      </c>
      <c r="CU2495">
        <v>61</v>
      </c>
      <c r="CV2495">
        <v>0.01</v>
      </c>
      <c r="CW2495">
        <v>40</v>
      </c>
      <c r="CX2495" t="s">
        <v>5682</v>
      </c>
    </row>
    <row r="2496" spans="1:102" x14ac:dyDescent="0.3">
      <c r="A2496" t="str">
        <f>HYPERLINK("https://webapp.icbf.com/v2/app/bull-search/view/1125361362","S2070")</f>
        <v>S2070</v>
      </c>
      <c r="B2496" t="s">
        <v>6986</v>
      </c>
      <c r="C2496" t="s">
        <v>6987</v>
      </c>
      <c r="D2496" s="1">
        <v>40792</v>
      </c>
      <c r="E2496" t="s">
        <v>92</v>
      </c>
      <c r="F2496">
        <v>100</v>
      </c>
      <c r="G2496" t="s">
        <v>109</v>
      </c>
      <c r="H2496">
        <v>35.79</v>
      </c>
      <c r="I2496">
        <v>64</v>
      </c>
      <c r="J2496">
        <v>65.790000000000006</v>
      </c>
      <c r="K2496">
        <v>78</v>
      </c>
      <c r="L2496">
        <v>-63.2</v>
      </c>
      <c r="M2496">
        <v>77</v>
      </c>
      <c r="N2496">
        <v>33.729999999999997</v>
      </c>
      <c r="O2496">
        <v>52</v>
      </c>
      <c r="P2496">
        <v>-0.66</v>
      </c>
      <c r="Q2496">
        <v>30</v>
      </c>
      <c r="R2496">
        <v>2.46</v>
      </c>
      <c r="S2496">
        <v>57</v>
      </c>
      <c r="T2496">
        <v>-2.16</v>
      </c>
      <c r="U2496">
        <v>22</v>
      </c>
      <c r="V2496">
        <v>-0.17</v>
      </c>
      <c r="W2496">
        <v>36</v>
      </c>
      <c r="X2496" t="s">
        <v>94</v>
      </c>
      <c r="Y2496" t="s">
        <v>367</v>
      </c>
      <c r="Z2496" t="s">
        <v>96</v>
      </c>
      <c r="AA2496" t="s">
        <v>353</v>
      </c>
      <c r="AB2496" t="s">
        <v>1834</v>
      </c>
      <c r="AC2496">
        <v>0</v>
      </c>
      <c r="AD2496">
        <v>0</v>
      </c>
      <c r="AE2496">
        <v>78</v>
      </c>
      <c r="AF2496">
        <v>897.34</v>
      </c>
      <c r="AG2496">
        <v>13.58</v>
      </c>
      <c r="AH2496">
        <v>20.12</v>
      </c>
      <c r="AI2496">
        <v>-0.31</v>
      </c>
      <c r="AJ2496">
        <v>-0.15</v>
      </c>
      <c r="AK2496">
        <v>77</v>
      </c>
      <c r="AL2496">
        <v>0</v>
      </c>
      <c r="AM2496">
        <v>0</v>
      </c>
      <c r="AN2496">
        <v>5.01</v>
      </c>
      <c r="AO2496">
        <v>-0.01</v>
      </c>
      <c r="AP2496">
        <v>8</v>
      </c>
      <c r="AQ2496">
        <v>0</v>
      </c>
      <c r="AR2496">
        <v>5.41</v>
      </c>
      <c r="AS2496">
        <v>25</v>
      </c>
      <c r="AT2496">
        <v>2.37</v>
      </c>
      <c r="AU2496">
        <v>85</v>
      </c>
      <c r="AV2496">
        <v>-2.85</v>
      </c>
      <c r="AW2496">
        <v>56</v>
      </c>
      <c r="AX2496">
        <v>-0.51</v>
      </c>
      <c r="AY2496">
        <v>30</v>
      </c>
      <c r="AZ2496">
        <v>6.62</v>
      </c>
      <c r="BA2496">
        <v>21</v>
      </c>
      <c r="BB2496">
        <v>5.2</v>
      </c>
      <c r="BC2496">
        <v>18</v>
      </c>
      <c r="BD2496">
        <v>-0.01</v>
      </c>
      <c r="BE2496">
        <v>0</v>
      </c>
      <c r="BF2496">
        <v>-0.04</v>
      </c>
      <c r="BG2496">
        <v>86</v>
      </c>
      <c r="BH2496">
        <v>-0.09</v>
      </c>
      <c r="BI2496">
        <v>-9.86</v>
      </c>
      <c r="BJ2496">
        <v>3</v>
      </c>
      <c r="BK2496">
        <v>1</v>
      </c>
      <c r="BL2496">
        <v>1.23</v>
      </c>
      <c r="BM2496">
        <v>-1.43</v>
      </c>
      <c r="BN2496">
        <v>-0.39</v>
      </c>
      <c r="BO2496">
        <v>0.98</v>
      </c>
      <c r="BP2496">
        <v>-0.84</v>
      </c>
      <c r="BQ2496">
        <v>0.25</v>
      </c>
      <c r="BR2496">
        <v>-1.81</v>
      </c>
      <c r="BS2496">
        <v>1.66</v>
      </c>
      <c r="BT2496">
        <v>1.77</v>
      </c>
      <c r="BU2496">
        <v>1.83</v>
      </c>
      <c r="BV2496">
        <v>2.0099999999999998</v>
      </c>
      <c r="BW2496">
        <v>0.61</v>
      </c>
      <c r="BX2496">
        <v>1.2</v>
      </c>
      <c r="BY2496">
        <v>0.3</v>
      </c>
      <c r="BZ2496">
        <v>-0.66</v>
      </c>
      <c r="CA2496">
        <v>2.0299999999999998</v>
      </c>
      <c r="CB2496">
        <v>1.53</v>
      </c>
      <c r="CC2496">
        <v>1.96</v>
      </c>
      <c r="CD2496">
        <v>-0.51</v>
      </c>
      <c r="CE2496">
        <v>1.1599999999999999</v>
      </c>
      <c r="CF2496">
        <v>1.34</v>
      </c>
      <c r="CG2496">
        <v>0</v>
      </c>
      <c r="CH2496">
        <v>1.27</v>
      </c>
      <c r="CI2496">
        <v>0</v>
      </c>
      <c r="CJ2496">
        <v>2.2999999999999998</v>
      </c>
      <c r="CK2496">
        <v>31</v>
      </c>
      <c r="CL2496">
        <v>-1.0900000000000001</v>
      </c>
      <c r="CM2496">
        <v>29</v>
      </c>
      <c r="CN2496">
        <v>-0.62</v>
      </c>
      <c r="CO2496">
        <v>28</v>
      </c>
      <c r="CP2496">
        <v>1</v>
      </c>
      <c r="CQ2496">
        <v>24</v>
      </c>
      <c r="CR2496">
        <v>0</v>
      </c>
      <c r="CS2496">
        <v>0</v>
      </c>
      <c r="CT2496">
        <v>16.7</v>
      </c>
      <c r="CU2496">
        <v>22</v>
      </c>
      <c r="CV2496">
        <v>0.39</v>
      </c>
      <c r="CW2496">
        <v>10</v>
      </c>
      <c r="CX2496" t="s">
        <v>309</v>
      </c>
    </row>
    <row r="2497" spans="1:102" x14ac:dyDescent="0.3">
      <c r="A2497" t="str">
        <f>HYPERLINK("https://webapp.icbf.com/v2/app/bull-search/view/678774086","LGP")</f>
        <v>LGP</v>
      </c>
      <c r="B2497" t="s">
        <v>12707</v>
      </c>
      <c r="C2497" t="s">
        <v>12708</v>
      </c>
      <c r="D2497" s="1">
        <v>39886</v>
      </c>
      <c r="E2497" t="s">
        <v>92</v>
      </c>
      <c r="F2497">
        <v>100</v>
      </c>
      <c r="G2497" t="s">
        <v>93</v>
      </c>
      <c r="H2497">
        <v>35.76</v>
      </c>
      <c r="I2497">
        <v>89</v>
      </c>
      <c r="J2497">
        <v>30.38</v>
      </c>
      <c r="K2497">
        <v>98</v>
      </c>
      <c r="L2497">
        <v>-25.79</v>
      </c>
      <c r="M2497">
        <v>80</v>
      </c>
      <c r="N2497">
        <v>38.840000000000003</v>
      </c>
      <c r="O2497">
        <v>90</v>
      </c>
      <c r="P2497">
        <v>-5.61</v>
      </c>
      <c r="Q2497">
        <v>97</v>
      </c>
      <c r="R2497">
        <v>-6.58</v>
      </c>
      <c r="S2497">
        <v>79</v>
      </c>
      <c r="T2497">
        <v>-2.97</v>
      </c>
      <c r="U2497">
        <v>91</v>
      </c>
      <c r="V2497">
        <v>7.49</v>
      </c>
      <c r="W2497">
        <v>74</v>
      </c>
      <c r="X2497" t="s">
        <v>102</v>
      </c>
      <c r="Y2497" t="s">
        <v>319</v>
      </c>
      <c r="Z2497" t="s">
        <v>96</v>
      </c>
      <c r="AA2497" t="s">
        <v>1376</v>
      </c>
      <c r="AB2497" t="s">
        <v>12709</v>
      </c>
      <c r="AC2497">
        <v>225</v>
      </c>
      <c r="AD2497">
        <v>113</v>
      </c>
      <c r="AE2497">
        <v>98</v>
      </c>
      <c r="AF2497">
        <v>514.19000000000005</v>
      </c>
      <c r="AG2497">
        <v>8.19</v>
      </c>
      <c r="AH2497">
        <v>10.14</v>
      </c>
      <c r="AI2497">
        <v>-0.18</v>
      </c>
      <c r="AJ2497">
        <v>-0.11</v>
      </c>
      <c r="AK2497">
        <v>80</v>
      </c>
      <c r="AL2497">
        <v>250</v>
      </c>
      <c r="AM2497">
        <v>128</v>
      </c>
      <c r="AN2497">
        <v>0.35</v>
      </c>
      <c r="AO2497">
        <v>-1.72</v>
      </c>
      <c r="AP2497">
        <v>453</v>
      </c>
      <c r="AQ2497">
        <v>2</v>
      </c>
      <c r="AR2497">
        <v>7.28</v>
      </c>
      <c r="AS2497">
        <v>80</v>
      </c>
      <c r="AT2497">
        <v>3.28</v>
      </c>
      <c r="AU2497">
        <v>92</v>
      </c>
      <c r="AV2497">
        <v>-4.72</v>
      </c>
      <c r="AW2497">
        <v>98</v>
      </c>
      <c r="AX2497">
        <v>-0.17</v>
      </c>
      <c r="AY2497">
        <v>91</v>
      </c>
      <c r="AZ2497">
        <v>5.59</v>
      </c>
      <c r="BA2497">
        <v>74</v>
      </c>
      <c r="BB2497">
        <v>4.95</v>
      </c>
      <c r="BC2497">
        <v>74</v>
      </c>
      <c r="BD2497">
        <v>-0.01</v>
      </c>
      <c r="BE2497">
        <v>0.02</v>
      </c>
      <c r="BF2497">
        <v>0.13</v>
      </c>
      <c r="BG2497">
        <v>91</v>
      </c>
      <c r="BH2497">
        <v>-0.02</v>
      </c>
      <c r="BI2497">
        <v>-26.47</v>
      </c>
      <c r="BJ2497">
        <v>32</v>
      </c>
      <c r="BK2497">
        <v>21</v>
      </c>
      <c r="BL2497">
        <v>0.25</v>
      </c>
      <c r="BM2497">
        <v>1.52</v>
      </c>
      <c r="BN2497">
        <v>0.31</v>
      </c>
      <c r="BO2497">
        <v>-0.53</v>
      </c>
      <c r="BP2497">
        <v>0.16</v>
      </c>
      <c r="BQ2497">
        <v>0.62</v>
      </c>
      <c r="BR2497">
        <v>-2.83</v>
      </c>
      <c r="BS2497">
        <v>2.19</v>
      </c>
      <c r="BT2497">
        <v>1.9</v>
      </c>
      <c r="BU2497">
        <v>-7.0000000000000007E-2</v>
      </c>
      <c r="BV2497">
        <v>-0.47</v>
      </c>
      <c r="BW2497">
        <v>-0.2</v>
      </c>
      <c r="BX2497">
        <v>0.48</v>
      </c>
      <c r="BY2497">
        <v>-0.76</v>
      </c>
      <c r="BZ2497">
        <v>-0.27</v>
      </c>
      <c r="CA2497">
        <v>0.38</v>
      </c>
      <c r="CB2497">
        <v>-0.36</v>
      </c>
      <c r="CC2497">
        <v>1.66</v>
      </c>
      <c r="CD2497">
        <v>1.29</v>
      </c>
      <c r="CE2497">
        <v>-0.18</v>
      </c>
      <c r="CF2497">
        <v>0.56999999999999995</v>
      </c>
      <c r="CG2497">
        <v>0</v>
      </c>
      <c r="CH2497">
        <v>-1</v>
      </c>
      <c r="CI2497">
        <v>0</v>
      </c>
      <c r="CJ2497">
        <v>-0.4</v>
      </c>
      <c r="CK2497">
        <v>98</v>
      </c>
      <c r="CL2497">
        <v>-0.8</v>
      </c>
      <c r="CM2497">
        <v>97</v>
      </c>
      <c r="CN2497">
        <v>-0.25</v>
      </c>
      <c r="CO2497">
        <v>97</v>
      </c>
      <c r="CP2497">
        <v>1.8</v>
      </c>
      <c r="CQ2497">
        <v>93</v>
      </c>
      <c r="CR2497">
        <v>0</v>
      </c>
      <c r="CS2497">
        <v>0</v>
      </c>
      <c r="CT2497">
        <v>17.8</v>
      </c>
      <c r="CU2497">
        <v>91</v>
      </c>
      <c r="CV2497">
        <v>0.33</v>
      </c>
      <c r="CW2497">
        <v>30</v>
      </c>
      <c r="CX2497" t="s">
        <v>316</v>
      </c>
    </row>
    <row r="2498" spans="1:102" x14ac:dyDescent="0.3">
      <c r="A2498" t="str">
        <f>HYPERLINK("https://webapp.icbf.com/v2/app/bull-search/view/804575788","S1611")</f>
        <v>S1611</v>
      </c>
      <c r="B2498" t="s">
        <v>15286</v>
      </c>
      <c r="C2498" t="s">
        <v>15287</v>
      </c>
      <c r="D2498" s="1">
        <v>39752</v>
      </c>
      <c r="E2498" t="s">
        <v>92</v>
      </c>
      <c r="F2498">
        <v>100</v>
      </c>
      <c r="G2498" t="s">
        <v>93</v>
      </c>
      <c r="H2498">
        <v>35.71</v>
      </c>
      <c r="I2498">
        <v>86</v>
      </c>
      <c r="J2498">
        <v>79.430000000000007</v>
      </c>
      <c r="K2498">
        <v>95</v>
      </c>
      <c r="L2498">
        <v>-63.07</v>
      </c>
      <c r="M2498">
        <v>84</v>
      </c>
      <c r="N2498">
        <v>18.920000000000002</v>
      </c>
      <c r="O2498">
        <v>80</v>
      </c>
      <c r="P2498">
        <v>-6.91</v>
      </c>
      <c r="Q2498">
        <v>87</v>
      </c>
      <c r="R2498">
        <v>6.68</v>
      </c>
      <c r="S2498">
        <v>77</v>
      </c>
      <c r="T2498">
        <v>3.47</v>
      </c>
      <c r="U2498">
        <v>86</v>
      </c>
      <c r="V2498">
        <v>-2.81</v>
      </c>
      <c r="W2498">
        <v>61</v>
      </c>
      <c r="X2498" t="s">
        <v>251</v>
      </c>
      <c r="Y2498" t="s">
        <v>362</v>
      </c>
      <c r="Z2498" t="s">
        <v>96</v>
      </c>
      <c r="AA2498" t="s">
        <v>363</v>
      </c>
      <c r="AB2498" t="s">
        <v>15288</v>
      </c>
      <c r="AC2498">
        <v>65</v>
      </c>
      <c r="AD2498">
        <v>15</v>
      </c>
      <c r="AE2498">
        <v>95</v>
      </c>
      <c r="AF2498">
        <v>296.72000000000003</v>
      </c>
      <c r="AG2498">
        <v>11.31</v>
      </c>
      <c r="AH2498">
        <v>14.05</v>
      </c>
      <c r="AI2498">
        <v>0</v>
      </c>
      <c r="AJ2498">
        <v>7.0000000000000007E-2</v>
      </c>
      <c r="AK2498">
        <v>84</v>
      </c>
      <c r="AL2498">
        <v>65</v>
      </c>
      <c r="AM2498">
        <v>20</v>
      </c>
      <c r="AN2498">
        <v>4.96</v>
      </c>
      <c r="AO2498">
        <v>-0.05</v>
      </c>
      <c r="AP2498">
        <v>146</v>
      </c>
      <c r="AQ2498">
        <v>0</v>
      </c>
      <c r="AR2498">
        <v>7.8</v>
      </c>
      <c r="AS2498">
        <v>83</v>
      </c>
      <c r="AT2498">
        <v>3.57</v>
      </c>
      <c r="AU2498">
        <v>80</v>
      </c>
      <c r="AV2498">
        <v>-3.48</v>
      </c>
      <c r="AW2498">
        <v>90</v>
      </c>
      <c r="AX2498">
        <v>2.12</v>
      </c>
      <c r="AY2498">
        <v>77</v>
      </c>
      <c r="AZ2498">
        <v>6.27</v>
      </c>
      <c r="BA2498">
        <v>62</v>
      </c>
      <c r="BB2498">
        <v>4.78</v>
      </c>
      <c r="BC2498">
        <v>54</v>
      </c>
      <c r="BD2498">
        <v>-0.01</v>
      </c>
      <c r="BE2498">
        <v>-0.03</v>
      </c>
      <c r="BF2498">
        <v>-0.08</v>
      </c>
      <c r="BG2498">
        <v>91</v>
      </c>
      <c r="BH2498">
        <v>0</v>
      </c>
      <c r="BI2498">
        <v>9.07</v>
      </c>
      <c r="BJ2498">
        <v>12</v>
      </c>
      <c r="BK2498">
        <v>4</v>
      </c>
      <c r="BL2498">
        <v>0.85</v>
      </c>
      <c r="BM2498">
        <v>-0.93</v>
      </c>
      <c r="BN2498">
        <v>-0.51</v>
      </c>
      <c r="BO2498">
        <v>0.48</v>
      </c>
      <c r="BP2498">
        <v>-0.79</v>
      </c>
      <c r="BQ2498">
        <v>-0.48</v>
      </c>
      <c r="BR2498">
        <v>-1.68</v>
      </c>
      <c r="BS2498">
        <v>0.35</v>
      </c>
      <c r="BT2498">
        <v>1.41</v>
      </c>
      <c r="BU2498">
        <v>2.0499999999999998</v>
      </c>
      <c r="BV2498">
        <v>1.64</v>
      </c>
      <c r="BW2498">
        <v>2.21</v>
      </c>
      <c r="BX2498">
        <v>1.91</v>
      </c>
      <c r="BY2498">
        <v>1.1200000000000001</v>
      </c>
      <c r="BZ2498">
        <v>-0.53</v>
      </c>
      <c r="CA2498">
        <v>1.45</v>
      </c>
      <c r="CB2498">
        <v>1.35</v>
      </c>
      <c r="CC2498">
        <v>0.43</v>
      </c>
      <c r="CD2498">
        <v>-0.48</v>
      </c>
      <c r="CE2498">
        <v>0.7</v>
      </c>
      <c r="CF2498">
        <v>0.82</v>
      </c>
      <c r="CG2498">
        <v>0</v>
      </c>
      <c r="CH2498">
        <v>1.0900000000000001</v>
      </c>
      <c r="CI2498">
        <v>0</v>
      </c>
      <c r="CJ2498">
        <v>0.4</v>
      </c>
      <c r="CK2498">
        <v>89</v>
      </c>
      <c r="CL2498">
        <v>-1.22</v>
      </c>
      <c r="CM2498">
        <v>86</v>
      </c>
      <c r="CN2498">
        <v>-0.38</v>
      </c>
      <c r="CO2498">
        <v>84</v>
      </c>
      <c r="CP2498">
        <v>4.5</v>
      </c>
      <c r="CQ2498">
        <v>77</v>
      </c>
      <c r="CR2498">
        <v>0</v>
      </c>
      <c r="CS2498">
        <v>0</v>
      </c>
      <c r="CT2498">
        <v>9.1</v>
      </c>
      <c r="CU2498">
        <v>86</v>
      </c>
      <c r="CV2498">
        <v>0.25</v>
      </c>
      <c r="CW2498">
        <v>44</v>
      </c>
      <c r="CX2498" t="s">
        <v>309</v>
      </c>
    </row>
    <row r="2499" spans="1:102" x14ac:dyDescent="0.3">
      <c r="A2499" t="str">
        <f>HYPERLINK("https://webapp.icbf.com/v2/app/bull-search/view/77858539","DRF")</f>
        <v>DRF</v>
      </c>
      <c r="B2499" t="s">
        <v>9999</v>
      </c>
      <c r="C2499" t="s">
        <v>10000</v>
      </c>
      <c r="D2499" s="1">
        <v>35415</v>
      </c>
      <c r="E2499" t="s">
        <v>108</v>
      </c>
      <c r="F2499">
        <v>0</v>
      </c>
      <c r="G2499" t="s">
        <v>93</v>
      </c>
      <c r="H2499">
        <v>35.67</v>
      </c>
      <c r="I2499">
        <v>82</v>
      </c>
      <c r="J2499">
        <v>-48.8</v>
      </c>
      <c r="K2499">
        <v>96</v>
      </c>
      <c r="L2499">
        <v>72.83</v>
      </c>
      <c r="M2499">
        <v>71</v>
      </c>
      <c r="N2499">
        <v>9.14</v>
      </c>
      <c r="O2499">
        <v>75</v>
      </c>
      <c r="P2499">
        <v>-16.079999999999998</v>
      </c>
      <c r="Q2499">
        <v>92</v>
      </c>
      <c r="R2499">
        <v>-4.26</v>
      </c>
      <c r="S2499">
        <v>71</v>
      </c>
      <c r="T2499">
        <v>23.45</v>
      </c>
      <c r="U2499">
        <v>86</v>
      </c>
      <c r="V2499">
        <v>-0.61</v>
      </c>
      <c r="W2499">
        <v>57</v>
      </c>
      <c r="X2499" t="s">
        <v>102</v>
      </c>
      <c r="Y2499" t="s">
        <v>95</v>
      </c>
      <c r="Z2499" t="s">
        <v>96</v>
      </c>
      <c r="AA2499" t="s">
        <v>10001</v>
      </c>
      <c r="AB2499" t="s">
        <v>10002</v>
      </c>
      <c r="AC2499">
        <v>115</v>
      </c>
      <c r="AD2499">
        <v>84</v>
      </c>
      <c r="AE2499">
        <v>96</v>
      </c>
      <c r="AF2499">
        <v>-496.32</v>
      </c>
      <c r="AG2499">
        <v>-9.91</v>
      </c>
      <c r="AH2499">
        <v>-12.39</v>
      </c>
      <c r="AI2499">
        <v>0.17</v>
      </c>
      <c r="AJ2499">
        <v>0.08</v>
      </c>
      <c r="AK2499">
        <v>71</v>
      </c>
      <c r="AL2499">
        <v>154</v>
      </c>
      <c r="AM2499">
        <v>110</v>
      </c>
      <c r="AN2499">
        <v>-3.82</v>
      </c>
      <c r="AO2499">
        <v>1.99</v>
      </c>
      <c r="AP2499">
        <v>10</v>
      </c>
      <c r="AQ2499">
        <v>0</v>
      </c>
      <c r="AR2499">
        <v>6.47</v>
      </c>
      <c r="AS2499">
        <v>51</v>
      </c>
      <c r="AT2499">
        <v>2.81</v>
      </c>
      <c r="AU2499">
        <v>71</v>
      </c>
      <c r="AV2499">
        <v>-0.21</v>
      </c>
      <c r="AW2499">
        <v>84</v>
      </c>
      <c r="AX2499">
        <v>-0.28999999999999998</v>
      </c>
      <c r="AY2499">
        <v>83</v>
      </c>
      <c r="AZ2499">
        <v>6.81</v>
      </c>
      <c r="BA2499">
        <v>55</v>
      </c>
      <c r="BB2499">
        <v>4.6399999999999997</v>
      </c>
      <c r="BC2499">
        <v>69</v>
      </c>
      <c r="BD2499">
        <v>0.09</v>
      </c>
      <c r="BE2499">
        <v>0.02</v>
      </c>
      <c r="BF2499">
        <v>-0.09</v>
      </c>
      <c r="BG2499">
        <v>86</v>
      </c>
      <c r="BH2499">
        <v>0.1</v>
      </c>
      <c r="BI2499">
        <v>13.54</v>
      </c>
      <c r="BJ2499">
        <v>8</v>
      </c>
      <c r="BK2499">
        <v>8</v>
      </c>
      <c r="BL2499">
        <v>-3.16</v>
      </c>
      <c r="BM2499">
        <v>1.91</v>
      </c>
      <c r="BN2499">
        <v>-2.86</v>
      </c>
      <c r="BO2499">
        <v>-3.31</v>
      </c>
      <c r="BP2499">
        <v>0.52</v>
      </c>
      <c r="BQ2499">
        <v>0.17</v>
      </c>
      <c r="BR2499">
        <v>-1.05</v>
      </c>
      <c r="BS2499">
        <v>0.28999999999999998</v>
      </c>
      <c r="BT2499">
        <v>-0.04</v>
      </c>
      <c r="BU2499">
        <v>-1.99</v>
      </c>
      <c r="BV2499">
        <v>-3.11</v>
      </c>
      <c r="BW2499">
        <v>-2.7</v>
      </c>
      <c r="BX2499">
        <v>-1.41</v>
      </c>
      <c r="BY2499">
        <v>-1.84</v>
      </c>
      <c r="BZ2499">
        <v>-1.18</v>
      </c>
      <c r="CA2499">
        <v>-2.5099999999999998</v>
      </c>
      <c r="CB2499">
        <v>-2.72</v>
      </c>
      <c r="CC2499">
        <v>-1.2</v>
      </c>
      <c r="CD2499">
        <v>2.7</v>
      </c>
      <c r="CE2499">
        <v>-3.41</v>
      </c>
      <c r="CF2499">
        <v>-2.64</v>
      </c>
      <c r="CG2499">
        <v>0</v>
      </c>
      <c r="CH2499">
        <v>-2.08</v>
      </c>
      <c r="CI2499">
        <v>0</v>
      </c>
      <c r="CJ2499">
        <v>-10.7</v>
      </c>
      <c r="CK2499">
        <v>92</v>
      </c>
      <c r="CL2499">
        <v>0.1</v>
      </c>
      <c r="CM2499">
        <v>91</v>
      </c>
      <c r="CN2499">
        <v>-0.02</v>
      </c>
      <c r="CO2499">
        <v>90</v>
      </c>
      <c r="CP2499">
        <v>-17.2</v>
      </c>
      <c r="CQ2499">
        <v>93</v>
      </c>
      <c r="CR2499">
        <v>0</v>
      </c>
      <c r="CS2499">
        <v>0</v>
      </c>
      <c r="CT2499">
        <v>-17.899999999999999</v>
      </c>
      <c r="CU2499">
        <v>86</v>
      </c>
      <c r="CV2499">
        <v>-0.26</v>
      </c>
      <c r="CW2499">
        <v>26</v>
      </c>
      <c r="CX2499" t="s">
        <v>10003</v>
      </c>
    </row>
    <row r="2500" spans="1:102" x14ac:dyDescent="0.3">
      <c r="A2500" t="str">
        <f>HYPERLINK("https://webapp.icbf.com/v2/app/bull-search/view/564238187","KUB")</f>
        <v>KUB</v>
      </c>
      <c r="B2500" t="s">
        <v>8886</v>
      </c>
      <c r="C2500" t="s">
        <v>8887</v>
      </c>
      <c r="D2500" s="1">
        <v>39506</v>
      </c>
      <c r="E2500" t="s">
        <v>92</v>
      </c>
      <c r="F2500">
        <v>88</v>
      </c>
      <c r="G2500" t="s">
        <v>435</v>
      </c>
      <c r="H2500">
        <v>35.58</v>
      </c>
      <c r="I2500">
        <v>70</v>
      </c>
      <c r="J2500">
        <v>42.65</v>
      </c>
      <c r="K2500">
        <v>88</v>
      </c>
      <c r="L2500">
        <v>-34</v>
      </c>
      <c r="M2500">
        <v>65</v>
      </c>
      <c r="N2500">
        <v>26.99</v>
      </c>
      <c r="O2500">
        <v>58</v>
      </c>
      <c r="P2500">
        <v>-2.4500000000000002</v>
      </c>
      <c r="Q2500">
        <v>60</v>
      </c>
      <c r="R2500">
        <v>7.31</v>
      </c>
      <c r="S2500">
        <v>64</v>
      </c>
      <c r="T2500">
        <v>4.58</v>
      </c>
      <c r="U2500">
        <v>50</v>
      </c>
      <c r="V2500">
        <v>-9.5</v>
      </c>
      <c r="W2500">
        <v>60</v>
      </c>
      <c r="X2500" t="s">
        <v>94</v>
      </c>
      <c r="Y2500" t="s">
        <v>241</v>
      </c>
      <c r="Z2500" t="s">
        <v>96</v>
      </c>
      <c r="AA2500" t="s">
        <v>2774</v>
      </c>
      <c r="AB2500" t="s">
        <v>8888</v>
      </c>
      <c r="AC2500">
        <v>1</v>
      </c>
      <c r="AD2500">
        <v>1</v>
      </c>
      <c r="AE2500">
        <v>88</v>
      </c>
      <c r="AF2500">
        <v>137.44999999999999</v>
      </c>
      <c r="AG2500">
        <v>9.52</v>
      </c>
      <c r="AH2500">
        <v>5.99</v>
      </c>
      <c r="AI2500">
        <v>7.0000000000000007E-2</v>
      </c>
      <c r="AJ2500">
        <v>0.03</v>
      </c>
      <c r="AK2500">
        <v>65</v>
      </c>
      <c r="AL2500">
        <v>1</v>
      </c>
      <c r="AM2500">
        <v>1</v>
      </c>
      <c r="AN2500">
        <v>3.53</v>
      </c>
      <c r="AO2500">
        <v>0.84</v>
      </c>
      <c r="AP2500">
        <v>1</v>
      </c>
      <c r="AQ2500">
        <v>0</v>
      </c>
      <c r="AR2500">
        <v>6.09</v>
      </c>
      <c r="AS2500">
        <v>52</v>
      </c>
      <c r="AT2500">
        <v>1.54</v>
      </c>
      <c r="AU2500">
        <v>64</v>
      </c>
      <c r="AV2500">
        <v>-1.49</v>
      </c>
      <c r="AW2500">
        <v>63</v>
      </c>
      <c r="AX2500">
        <v>-0.52</v>
      </c>
      <c r="AY2500">
        <v>48</v>
      </c>
      <c r="AZ2500">
        <v>5.71</v>
      </c>
      <c r="BA2500">
        <v>43</v>
      </c>
      <c r="BB2500">
        <v>5.49</v>
      </c>
      <c r="BC2500">
        <v>45</v>
      </c>
      <c r="BD2500">
        <v>-0.03</v>
      </c>
      <c r="BE2500">
        <v>-0.02</v>
      </c>
      <c r="BF2500">
        <v>-0.08</v>
      </c>
      <c r="BG2500">
        <v>74</v>
      </c>
      <c r="BH2500">
        <v>-0.21</v>
      </c>
      <c r="BI2500">
        <v>6.36</v>
      </c>
      <c r="BJ2500">
        <v>0</v>
      </c>
      <c r="BK2500">
        <v>0</v>
      </c>
      <c r="BL2500">
        <v>0.03</v>
      </c>
      <c r="BM2500">
        <v>1.1200000000000001</v>
      </c>
      <c r="BN2500">
        <v>7.0000000000000007E-2</v>
      </c>
      <c r="BO2500">
        <v>-0.94</v>
      </c>
      <c r="BP2500">
        <v>0.91</v>
      </c>
      <c r="BQ2500">
        <v>0.9</v>
      </c>
      <c r="BR2500">
        <v>-0.04</v>
      </c>
      <c r="BS2500">
        <v>-1.19</v>
      </c>
      <c r="BT2500">
        <v>0.63</v>
      </c>
      <c r="BU2500">
        <v>-0.44</v>
      </c>
      <c r="BV2500">
        <v>-0.61</v>
      </c>
      <c r="BW2500">
        <v>-0.11</v>
      </c>
      <c r="BX2500">
        <v>0.24</v>
      </c>
      <c r="BY2500">
        <v>0.11</v>
      </c>
      <c r="BZ2500">
        <v>2.77</v>
      </c>
      <c r="CA2500">
        <v>-0.49</v>
      </c>
      <c r="CB2500">
        <v>-0.48</v>
      </c>
      <c r="CC2500">
        <v>-0.62</v>
      </c>
      <c r="CD2500">
        <v>0.84</v>
      </c>
      <c r="CE2500">
        <v>-0.46</v>
      </c>
      <c r="CF2500">
        <v>0.64</v>
      </c>
      <c r="CG2500">
        <v>0</v>
      </c>
      <c r="CH2500">
        <v>-0.35</v>
      </c>
      <c r="CI2500">
        <v>0</v>
      </c>
      <c r="CJ2500">
        <v>1.2</v>
      </c>
      <c r="CK2500">
        <v>62</v>
      </c>
      <c r="CL2500">
        <v>-0.74</v>
      </c>
      <c r="CM2500">
        <v>59</v>
      </c>
      <c r="CN2500">
        <v>-0.35</v>
      </c>
      <c r="CO2500">
        <v>57</v>
      </c>
      <c r="CP2500">
        <v>-3.8</v>
      </c>
      <c r="CQ2500">
        <v>54</v>
      </c>
      <c r="CR2500">
        <v>0</v>
      </c>
      <c r="CS2500">
        <v>0</v>
      </c>
      <c r="CT2500">
        <v>7.6</v>
      </c>
      <c r="CU2500">
        <v>50</v>
      </c>
      <c r="CV2500">
        <v>0.25</v>
      </c>
      <c r="CW2500">
        <v>38</v>
      </c>
      <c r="CX2500" t="s">
        <v>1418</v>
      </c>
    </row>
    <row r="2501" spans="1:102" x14ac:dyDescent="0.3">
      <c r="A2501" t="str">
        <f>HYPERLINK("https://webapp.icbf.com/v2/app/bull-search/view/444467118","S448")</f>
        <v>S448</v>
      </c>
      <c r="B2501" t="s">
        <v>15543</v>
      </c>
      <c r="C2501" t="s">
        <v>5124</v>
      </c>
      <c r="D2501" s="1">
        <v>36743</v>
      </c>
      <c r="E2501" t="s">
        <v>92</v>
      </c>
      <c r="F2501">
        <v>100</v>
      </c>
      <c r="G2501" t="s">
        <v>93</v>
      </c>
      <c r="H2501">
        <v>35.58</v>
      </c>
      <c r="I2501">
        <v>94</v>
      </c>
      <c r="J2501">
        <v>47.29</v>
      </c>
      <c r="K2501">
        <v>97</v>
      </c>
      <c r="L2501">
        <v>-16.649999999999999</v>
      </c>
      <c r="M2501">
        <v>94</v>
      </c>
      <c r="N2501">
        <v>-0.62</v>
      </c>
      <c r="O2501">
        <v>91</v>
      </c>
      <c r="P2501">
        <v>-7.1</v>
      </c>
      <c r="Q2501">
        <v>94</v>
      </c>
      <c r="R2501">
        <v>12.6</v>
      </c>
      <c r="S2501">
        <v>89</v>
      </c>
      <c r="T2501">
        <v>-0.83</v>
      </c>
      <c r="U2501">
        <v>91</v>
      </c>
      <c r="V2501">
        <v>0.89</v>
      </c>
      <c r="W2501">
        <v>86</v>
      </c>
      <c r="X2501" t="s">
        <v>102</v>
      </c>
      <c r="Y2501" t="s">
        <v>95</v>
      </c>
      <c r="Z2501" t="s">
        <v>96</v>
      </c>
      <c r="AA2501" t="s">
        <v>311</v>
      </c>
      <c r="AB2501" t="s">
        <v>15544</v>
      </c>
      <c r="AC2501">
        <v>64</v>
      </c>
      <c r="AD2501">
        <v>42</v>
      </c>
      <c r="AE2501">
        <v>97</v>
      </c>
      <c r="AF2501">
        <v>116.66</v>
      </c>
      <c r="AG2501">
        <v>2.71</v>
      </c>
      <c r="AH2501">
        <v>8.8699999999999992</v>
      </c>
      <c r="AI2501">
        <v>-0.03</v>
      </c>
      <c r="AJ2501">
        <v>0.08</v>
      </c>
      <c r="AK2501">
        <v>94</v>
      </c>
      <c r="AL2501">
        <v>58</v>
      </c>
      <c r="AM2501">
        <v>31</v>
      </c>
      <c r="AN2501">
        <v>-0.04</v>
      </c>
      <c r="AO2501">
        <v>-1.38</v>
      </c>
      <c r="AP2501">
        <v>21</v>
      </c>
      <c r="AQ2501">
        <v>0</v>
      </c>
      <c r="AR2501">
        <v>10.86</v>
      </c>
      <c r="AS2501">
        <v>90</v>
      </c>
      <c r="AT2501">
        <v>3.98</v>
      </c>
      <c r="AU2501">
        <v>97</v>
      </c>
      <c r="AV2501">
        <v>-1.91</v>
      </c>
      <c r="AW2501">
        <v>92</v>
      </c>
      <c r="AX2501">
        <v>0.57999999999999996</v>
      </c>
      <c r="AY2501">
        <v>90</v>
      </c>
      <c r="AZ2501">
        <v>5.68</v>
      </c>
      <c r="BA2501">
        <v>84</v>
      </c>
      <c r="BB2501">
        <v>4.3899999999999997</v>
      </c>
      <c r="BC2501">
        <v>83</v>
      </c>
      <c r="BD2501">
        <v>-7.0000000000000007E-2</v>
      </c>
      <c r="BE2501">
        <v>-7.0000000000000007E-2</v>
      </c>
      <c r="BF2501">
        <v>-0.04</v>
      </c>
      <c r="BG2501">
        <v>95</v>
      </c>
      <c r="BH2501">
        <v>-0.04</v>
      </c>
      <c r="BI2501">
        <v>-7.5</v>
      </c>
      <c r="BJ2501">
        <v>44</v>
      </c>
      <c r="BK2501">
        <v>20</v>
      </c>
      <c r="BL2501">
        <v>1</v>
      </c>
      <c r="BM2501">
        <v>-0.21</v>
      </c>
      <c r="BN2501">
        <v>0.41</v>
      </c>
      <c r="BO2501">
        <v>0.4</v>
      </c>
      <c r="BP2501">
        <v>-0.28999999999999998</v>
      </c>
      <c r="BQ2501">
        <v>2.84</v>
      </c>
      <c r="BR2501">
        <v>0.17</v>
      </c>
      <c r="BS2501">
        <v>-0.69</v>
      </c>
      <c r="BT2501">
        <v>0.27</v>
      </c>
      <c r="BU2501">
        <v>1.19</v>
      </c>
      <c r="BV2501">
        <v>1.94</v>
      </c>
      <c r="BW2501">
        <v>2.0299999999999998</v>
      </c>
      <c r="BX2501">
        <v>0.87</v>
      </c>
      <c r="BY2501">
        <v>0.28000000000000003</v>
      </c>
      <c r="BZ2501">
        <v>-0.74</v>
      </c>
      <c r="CA2501">
        <v>1.1100000000000001</v>
      </c>
      <c r="CB2501">
        <v>1.47</v>
      </c>
      <c r="CC2501">
        <v>-0.15</v>
      </c>
      <c r="CD2501">
        <v>0.15</v>
      </c>
      <c r="CE2501">
        <v>0.25</v>
      </c>
      <c r="CF2501">
        <v>0.99</v>
      </c>
      <c r="CG2501">
        <v>0</v>
      </c>
      <c r="CH2501">
        <v>0.27</v>
      </c>
      <c r="CI2501">
        <v>0</v>
      </c>
      <c r="CJ2501">
        <v>-2.7</v>
      </c>
      <c r="CK2501">
        <v>94</v>
      </c>
      <c r="CL2501">
        <v>-1.27</v>
      </c>
      <c r="CM2501">
        <v>93</v>
      </c>
      <c r="CN2501">
        <v>-0.78</v>
      </c>
      <c r="CO2501">
        <v>93</v>
      </c>
      <c r="CP2501">
        <v>4</v>
      </c>
      <c r="CQ2501">
        <v>93</v>
      </c>
      <c r="CR2501">
        <v>0</v>
      </c>
      <c r="CS2501">
        <v>0</v>
      </c>
      <c r="CT2501">
        <v>14.9</v>
      </c>
      <c r="CU2501">
        <v>91</v>
      </c>
      <c r="CV2501">
        <v>0.21</v>
      </c>
      <c r="CW2501">
        <v>45</v>
      </c>
      <c r="CX2501" t="s">
        <v>111</v>
      </c>
    </row>
    <row r="2502" spans="1:102" x14ac:dyDescent="0.3">
      <c r="A2502" t="str">
        <f>HYPERLINK("https://webapp.icbf.com/v2/app/bull-search/view/1088103590","S1615")</f>
        <v>S1615</v>
      </c>
      <c r="B2502" t="s">
        <v>8341</v>
      </c>
      <c r="C2502" t="s">
        <v>6064</v>
      </c>
      <c r="D2502" s="1">
        <v>40884</v>
      </c>
      <c r="E2502" t="s">
        <v>92</v>
      </c>
      <c r="F2502">
        <v>100</v>
      </c>
      <c r="G2502" t="s">
        <v>109</v>
      </c>
      <c r="H2502">
        <v>35.46</v>
      </c>
      <c r="I2502">
        <v>80</v>
      </c>
      <c r="J2502">
        <v>93.41</v>
      </c>
      <c r="K2502">
        <v>93</v>
      </c>
      <c r="L2502">
        <v>-40.51</v>
      </c>
      <c r="M2502">
        <v>85</v>
      </c>
      <c r="N2502">
        <v>-6.88</v>
      </c>
      <c r="O2502">
        <v>68</v>
      </c>
      <c r="P2502">
        <v>-24.06</v>
      </c>
      <c r="Q2502">
        <v>71</v>
      </c>
      <c r="R2502">
        <v>9.1</v>
      </c>
      <c r="S2502">
        <v>73</v>
      </c>
      <c r="T2502">
        <v>-1.79</v>
      </c>
      <c r="U2502">
        <v>48</v>
      </c>
      <c r="V2502">
        <v>6.19</v>
      </c>
      <c r="W2502">
        <v>55</v>
      </c>
      <c r="X2502" t="s">
        <v>234</v>
      </c>
      <c r="Y2502" t="s">
        <v>362</v>
      </c>
      <c r="Z2502" t="s">
        <v>96</v>
      </c>
      <c r="AA2502" t="s">
        <v>5609</v>
      </c>
      <c r="AB2502" t="s">
        <v>8342</v>
      </c>
      <c r="AC2502">
        <v>0</v>
      </c>
      <c r="AD2502">
        <v>0</v>
      </c>
      <c r="AE2502">
        <v>93</v>
      </c>
      <c r="AF2502">
        <v>303.79000000000002</v>
      </c>
      <c r="AG2502">
        <v>17.399999999999999</v>
      </c>
      <c r="AH2502">
        <v>14.38</v>
      </c>
      <c r="AI2502">
        <v>0.09</v>
      </c>
      <c r="AJ2502">
        <v>7.0000000000000007E-2</v>
      </c>
      <c r="AK2502">
        <v>85</v>
      </c>
      <c r="AL2502">
        <v>0</v>
      </c>
      <c r="AM2502">
        <v>0</v>
      </c>
      <c r="AN2502">
        <v>2.2599999999999998</v>
      </c>
      <c r="AO2502">
        <v>-0.97</v>
      </c>
      <c r="AP2502">
        <v>21</v>
      </c>
      <c r="AQ2502">
        <v>0</v>
      </c>
      <c r="AR2502">
        <v>9.5</v>
      </c>
      <c r="AS2502">
        <v>54</v>
      </c>
      <c r="AT2502">
        <v>3.65</v>
      </c>
      <c r="AU2502">
        <v>91</v>
      </c>
      <c r="AV2502">
        <v>-0.45</v>
      </c>
      <c r="AW2502">
        <v>72</v>
      </c>
      <c r="AX2502">
        <v>-0.19</v>
      </c>
      <c r="AY2502">
        <v>52</v>
      </c>
      <c r="AZ2502">
        <v>6.77</v>
      </c>
      <c r="BA2502">
        <v>42</v>
      </c>
      <c r="BB2502">
        <v>5</v>
      </c>
      <c r="BC2502">
        <v>39</v>
      </c>
      <c r="BD2502">
        <v>-0.02</v>
      </c>
      <c r="BE2502">
        <v>-0.04</v>
      </c>
      <c r="BF2502">
        <v>-0.1</v>
      </c>
      <c r="BG2502">
        <v>91</v>
      </c>
      <c r="BH2502">
        <v>7.0000000000000007E-2</v>
      </c>
      <c r="BI2502">
        <v>-11.88</v>
      </c>
      <c r="BJ2502">
        <v>3</v>
      </c>
      <c r="BK2502">
        <v>2</v>
      </c>
      <c r="BL2502">
        <v>1.97</v>
      </c>
      <c r="BM2502">
        <v>-1.35</v>
      </c>
      <c r="BN2502">
        <v>1.19</v>
      </c>
      <c r="BO2502">
        <v>1.58</v>
      </c>
      <c r="BP2502">
        <v>-1.36</v>
      </c>
      <c r="BQ2502">
        <v>0.08</v>
      </c>
      <c r="BR2502">
        <v>2.67</v>
      </c>
      <c r="BS2502">
        <v>2.4500000000000002</v>
      </c>
      <c r="BT2502">
        <v>-1.07</v>
      </c>
      <c r="BU2502">
        <v>1.48</v>
      </c>
      <c r="BV2502">
        <v>2.37</v>
      </c>
      <c r="BW2502">
        <v>3.36</v>
      </c>
      <c r="BX2502">
        <v>1.48</v>
      </c>
      <c r="BY2502">
        <v>2.4500000000000002</v>
      </c>
      <c r="BZ2502">
        <v>1.46</v>
      </c>
      <c r="CA2502">
        <v>2.34</v>
      </c>
      <c r="CB2502">
        <v>2.23</v>
      </c>
      <c r="CC2502">
        <v>1.26</v>
      </c>
      <c r="CD2502">
        <v>-1.33</v>
      </c>
      <c r="CE2502">
        <v>1.73</v>
      </c>
      <c r="CF2502">
        <v>1.83</v>
      </c>
      <c r="CG2502">
        <v>0</v>
      </c>
      <c r="CH2502">
        <v>2.59</v>
      </c>
      <c r="CI2502">
        <v>0</v>
      </c>
      <c r="CJ2502">
        <v>-7.8</v>
      </c>
      <c r="CK2502">
        <v>74</v>
      </c>
      <c r="CL2502">
        <v>-1.75</v>
      </c>
      <c r="CM2502">
        <v>71</v>
      </c>
      <c r="CN2502">
        <v>-0.47</v>
      </c>
      <c r="CO2502">
        <v>69</v>
      </c>
      <c r="CP2502">
        <v>-4.9000000000000004</v>
      </c>
      <c r="CQ2502">
        <v>56</v>
      </c>
      <c r="CR2502">
        <v>0</v>
      </c>
      <c r="CS2502">
        <v>0</v>
      </c>
      <c r="CT2502">
        <v>16.2</v>
      </c>
      <c r="CU2502">
        <v>48</v>
      </c>
      <c r="CV2502">
        <v>0.23</v>
      </c>
      <c r="CW2502">
        <v>40</v>
      </c>
      <c r="CX2502" t="s">
        <v>1962</v>
      </c>
    </row>
    <row r="2503" spans="1:102" x14ac:dyDescent="0.3">
      <c r="A2503" t="str">
        <f>HYPERLINK("https://webapp.icbf.com/v2/app/bull-search/view/1341387713","FR2295")</f>
        <v>FR2295</v>
      </c>
      <c r="B2503" t="s">
        <v>7194</v>
      </c>
      <c r="C2503" t="s">
        <v>7195</v>
      </c>
      <c r="D2503" s="1">
        <v>41435</v>
      </c>
      <c r="E2503" t="s">
        <v>92</v>
      </c>
      <c r="F2503">
        <v>100</v>
      </c>
      <c r="G2503" t="s">
        <v>109</v>
      </c>
      <c r="H2503">
        <v>35.340000000000003</v>
      </c>
      <c r="I2503">
        <v>79</v>
      </c>
      <c r="J2503">
        <v>52.6</v>
      </c>
      <c r="K2503">
        <v>92</v>
      </c>
      <c r="L2503">
        <v>-17.239999999999998</v>
      </c>
      <c r="M2503">
        <v>77</v>
      </c>
      <c r="N2503">
        <v>2.87</v>
      </c>
      <c r="O2503">
        <v>81</v>
      </c>
      <c r="P2503">
        <v>-11.63</v>
      </c>
      <c r="Q2503">
        <v>68</v>
      </c>
      <c r="R2503">
        <v>14.14</v>
      </c>
      <c r="S2503">
        <v>73</v>
      </c>
      <c r="T2503">
        <v>-5.34</v>
      </c>
      <c r="U2503">
        <v>50</v>
      </c>
      <c r="V2503">
        <v>-0.06</v>
      </c>
      <c r="W2503">
        <v>60</v>
      </c>
      <c r="X2503" t="s">
        <v>102</v>
      </c>
      <c r="Y2503" t="s">
        <v>405</v>
      </c>
      <c r="Z2503" t="s">
        <v>96</v>
      </c>
      <c r="AA2503" t="s">
        <v>5319</v>
      </c>
      <c r="AB2503" t="s">
        <v>7196</v>
      </c>
      <c r="AC2503">
        <v>0</v>
      </c>
      <c r="AD2503">
        <v>0</v>
      </c>
      <c r="AE2503">
        <v>92</v>
      </c>
      <c r="AF2503">
        <v>252.77</v>
      </c>
      <c r="AG2503">
        <v>12.93</v>
      </c>
      <c r="AH2503">
        <v>8.24</v>
      </c>
      <c r="AI2503">
        <v>0.05</v>
      </c>
      <c r="AJ2503">
        <v>-0.01</v>
      </c>
      <c r="AK2503">
        <v>77</v>
      </c>
      <c r="AL2503">
        <v>0</v>
      </c>
      <c r="AM2503">
        <v>0</v>
      </c>
      <c r="AN2503">
        <v>2.11</v>
      </c>
      <c r="AO2503">
        <v>0.75</v>
      </c>
      <c r="AP2503">
        <v>189</v>
      </c>
      <c r="AQ2503">
        <v>1</v>
      </c>
      <c r="AR2503">
        <v>11.41</v>
      </c>
      <c r="AS2503">
        <v>64</v>
      </c>
      <c r="AT2503">
        <v>4.0199999999999996</v>
      </c>
      <c r="AU2503">
        <v>90</v>
      </c>
      <c r="AV2503">
        <v>-3.1</v>
      </c>
      <c r="AW2503">
        <v>93</v>
      </c>
      <c r="AX2503">
        <v>0.25</v>
      </c>
      <c r="AY2503">
        <v>76</v>
      </c>
      <c r="AZ2503">
        <v>7.11</v>
      </c>
      <c r="BA2503">
        <v>49</v>
      </c>
      <c r="BB2503">
        <v>4.9000000000000004</v>
      </c>
      <c r="BC2503">
        <v>46</v>
      </c>
      <c r="BD2503">
        <v>0</v>
      </c>
      <c r="BE2503">
        <v>-0.05</v>
      </c>
      <c r="BF2503">
        <v>-0.23</v>
      </c>
      <c r="BG2503">
        <v>87</v>
      </c>
      <c r="BH2503">
        <v>-0.01</v>
      </c>
      <c r="BI2503">
        <v>-0.95</v>
      </c>
      <c r="BJ2503">
        <v>2</v>
      </c>
      <c r="BK2503">
        <v>1</v>
      </c>
      <c r="BL2503">
        <v>1.51</v>
      </c>
      <c r="BM2503">
        <v>1.76</v>
      </c>
      <c r="BN2503">
        <v>1.78</v>
      </c>
      <c r="BO2503">
        <v>0.67</v>
      </c>
      <c r="BP2503">
        <v>-0.28999999999999998</v>
      </c>
      <c r="BQ2503">
        <v>2.0099999999999998</v>
      </c>
      <c r="BR2503">
        <v>-2.0699999999999998</v>
      </c>
      <c r="BS2503">
        <v>2.79</v>
      </c>
      <c r="BT2503">
        <v>2.15</v>
      </c>
      <c r="BU2503">
        <v>2.61</v>
      </c>
      <c r="BV2503">
        <v>1.41</v>
      </c>
      <c r="BW2503">
        <v>2.11</v>
      </c>
      <c r="BX2503">
        <v>1.86</v>
      </c>
      <c r="BY2503">
        <v>2.84</v>
      </c>
      <c r="BZ2503">
        <v>0.17</v>
      </c>
      <c r="CA2503">
        <v>2.59</v>
      </c>
      <c r="CB2503">
        <v>2.0099999999999998</v>
      </c>
      <c r="CC2503">
        <v>2.23</v>
      </c>
      <c r="CD2503">
        <v>0.88</v>
      </c>
      <c r="CE2503">
        <v>1.1399999999999999</v>
      </c>
      <c r="CF2503">
        <v>1.99</v>
      </c>
      <c r="CG2503">
        <v>0</v>
      </c>
      <c r="CH2503">
        <v>2.75</v>
      </c>
      <c r="CI2503">
        <v>0</v>
      </c>
      <c r="CJ2503">
        <v>-4.8</v>
      </c>
      <c r="CK2503">
        <v>71</v>
      </c>
      <c r="CL2503">
        <v>-1.2</v>
      </c>
      <c r="CM2503">
        <v>67</v>
      </c>
      <c r="CN2503">
        <v>-0.69</v>
      </c>
      <c r="CO2503">
        <v>65</v>
      </c>
      <c r="CP2503">
        <v>-4.7</v>
      </c>
      <c r="CQ2503">
        <v>55</v>
      </c>
      <c r="CR2503">
        <v>0</v>
      </c>
      <c r="CS2503">
        <v>0</v>
      </c>
      <c r="CT2503">
        <v>21</v>
      </c>
      <c r="CU2503">
        <v>50</v>
      </c>
      <c r="CV2503">
        <v>7.0000000000000007E-2</v>
      </c>
      <c r="CW2503">
        <v>39</v>
      </c>
      <c r="CX2503" t="s">
        <v>1438</v>
      </c>
    </row>
    <row r="2504" spans="1:102" x14ac:dyDescent="0.3">
      <c r="A2504" t="str">
        <f>HYPERLINK("https://webapp.icbf.com/v2/app/bull-search/view/586065685","HUY")</f>
        <v>HUY</v>
      </c>
      <c r="B2504" t="s">
        <v>6757</v>
      </c>
      <c r="C2504" t="s">
        <v>6758</v>
      </c>
      <c r="D2504" s="1">
        <v>37692</v>
      </c>
      <c r="E2504" t="s">
        <v>92</v>
      </c>
      <c r="F2504">
        <v>100</v>
      </c>
      <c r="G2504" t="s">
        <v>116</v>
      </c>
      <c r="H2504">
        <v>35.31</v>
      </c>
      <c r="I2504">
        <v>47</v>
      </c>
      <c r="J2504">
        <v>46.01</v>
      </c>
      <c r="K2504">
        <v>58</v>
      </c>
      <c r="L2504">
        <v>-36.770000000000003</v>
      </c>
      <c r="M2504">
        <v>35</v>
      </c>
      <c r="N2504">
        <v>31.46</v>
      </c>
      <c r="O2504">
        <v>56</v>
      </c>
      <c r="P2504">
        <v>-1.1599999999999999</v>
      </c>
      <c r="Q2504">
        <v>49</v>
      </c>
      <c r="R2504">
        <v>-2.61</v>
      </c>
      <c r="S2504">
        <v>39</v>
      </c>
      <c r="T2504">
        <v>-1.34</v>
      </c>
      <c r="U2504">
        <v>52</v>
      </c>
      <c r="V2504">
        <v>-0.28000000000000003</v>
      </c>
      <c r="W2504">
        <v>28</v>
      </c>
      <c r="X2504" t="s">
        <v>94</v>
      </c>
      <c r="Y2504" t="s">
        <v>241</v>
      </c>
      <c r="Z2504" t="s">
        <v>96</v>
      </c>
      <c r="AA2504" t="s">
        <v>4584</v>
      </c>
      <c r="AB2504" t="s">
        <v>6759</v>
      </c>
      <c r="AC2504">
        <v>5</v>
      </c>
      <c r="AD2504">
        <v>3</v>
      </c>
      <c r="AE2504">
        <v>58</v>
      </c>
      <c r="AF2504">
        <v>67.459999999999994</v>
      </c>
      <c r="AG2504">
        <v>13.42</v>
      </c>
      <c r="AH2504">
        <v>4.1100000000000003</v>
      </c>
      <c r="AI2504">
        <v>0.18</v>
      </c>
      <c r="AJ2504">
        <v>0.03</v>
      </c>
      <c r="AK2504">
        <v>35</v>
      </c>
      <c r="AL2504">
        <v>5</v>
      </c>
      <c r="AM2504">
        <v>3</v>
      </c>
      <c r="AN2504">
        <v>2.98</v>
      </c>
      <c r="AO2504">
        <v>0.06</v>
      </c>
      <c r="AP2504">
        <v>3</v>
      </c>
      <c r="AQ2504">
        <v>0</v>
      </c>
      <c r="AR2504">
        <v>5.58</v>
      </c>
      <c r="AS2504">
        <v>34</v>
      </c>
      <c r="AT2504">
        <v>3.2</v>
      </c>
      <c r="AU2504">
        <v>88</v>
      </c>
      <c r="AV2504">
        <v>-3.13</v>
      </c>
      <c r="AW2504">
        <v>57</v>
      </c>
      <c r="AX2504">
        <v>-0.25</v>
      </c>
      <c r="AY2504">
        <v>40</v>
      </c>
      <c r="AZ2504">
        <v>5.87</v>
      </c>
      <c r="BA2504">
        <v>27</v>
      </c>
      <c r="BB2504">
        <v>4.8600000000000003</v>
      </c>
      <c r="BC2504">
        <v>26</v>
      </c>
      <c r="BD2504">
        <v>0.03</v>
      </c>
      <c r="BE2504">
        <v>0</v>
      </c>
      <c r="BF2504">
        <v>0.01</v>
      </c>
      <c r="BG2504">
        <v>46</v>
      </c>
      <c r="BH2504">
        <v>0.04</v>
      </c>
      <c r="BI2504">
        <v>5.52</v>
      </c>
      <c r="BJ2504">
        <v>3</v>
      </c>
      <c r="BK2504">
        <v>1</v>
      </c>
      <c r="BL2504">
        <v>0.26</v>
      </c>
      <c r="BM2504">
        <v>-1.18</v>
      </c>
      <c r="BN2504">
        <v>-0.42</v>
      </c>
      <c r="BO2504">
        <v>0.77</v>
      </c>
      <c r="BP2504">
        <v>2.15</v>
      </c>
      <c r="BQ2504">
        <v>0.49</v>
      </c>
      <c r="BR2504">
        <v>-0.22</v>
      </c>
      <c r="BS2504">
        <v>1.51</v>
      </c>
      <c r="BT2504">
        <v>0.9</v>
      </c>
      <c r="BU2504">
        <v>1.08</v>
      </c>
      <c r="BV2504">
        <v>2.1800000000000002</v>
      </c>
      <c r="BW2504">
        <v>1.31</v>
      </c>
      <c r="BX2504">
        <v>0.47</v>
      </c>
      <c r="BY2504">
        <v>1.36</v>
      </c>
      <c r="BZ2504">
        <v>-0.96</v>
      </c>
      <c r="CA2504">
        <v>1.51</v>
      </c>
      <c r="CB2504">
        <v>1.41</v>
      </c>
      <c r="CC2504">
        <v>1.05</v>
      </c>
      <c r="CD2504">
        <v>-0.71</v>
      </c>
      <c r="CE2504">
        <v>0.66</v>
      </c>
      <c r="CF2504">
        <v>0.42</v>
      </c>
      <c r="CG2504">
        <v>0</v>
      </c>
      <c r="CH2504">
        <v>0.53</v>
      </c>
      <c r="CI2504">
        <v>0</v>
      </c>
      <c r="CJ2504">
        <v>3.5</v>
      </c>
      <c r="CK2504">
        <v>50</v>
      </c>
      <c r="CL2504">
        <v>-0.79</v>
      </c>
      <c r="CM2504">
        <v>47</v>
      </c>
      <c r="CN2504">
        <v>-0.11</v>
      </c>
      <c r="CO2504">
        <v>44</v>
      </c>
      <c r="CP2504">
        <v>5.8</v>
      </c>
      <c r="CQ2504">
        <v>52</v>
      </c>
      <c r="CR2504">
        <v>0</v>
      </c>
      <c r="CS2504">
        <v>0</v>
      </c>
      <c r="CT2504">
        <v>15.6</v>
      </c>
      <c r="CU2504">
        <v>52</v>
      </c>
      <c r="CV2504">
        <v>0.31</v>
      </c>
      <c r="CW2504">
        <v>13</v>
      </c>
      <c r="CX2504" t="s">
        <v>1366</v>
      </c>
    </row>
    <row r="2505" spans="1:102" x14ac:dyDescent="0.3">
      <c r="A2505" t="str">
        <f>HYPERLINK("https://webapp.icbf.com/v2/app/bull-search/view/587098532","TZK")</f>
        <v>TZK</v>
      </c>
      <c r="B2505" t="s">
        <v>7504</v>
      </c>
      <c r="C2505" t="s">
        <v>7505</v>
      </c>
      <c r="D2505" s="1">
        <v>37472</v>
      </c>
      <c r="E2505" t="s">
        <v>92</v>
      </c>
      <c r="F2505">
        <v>100</v>
      </c>
      <c r="G2505" t="s">
        <v>93</v>
      </c>
      <c r="H2505">
        <v>35.29</v>
      </c>
      <c r="I2505">
        <v>94</v>
      </c>
      <c r="J2505">
        <v>56.47</v>
      </c>
      <c r="K2505">
        <v>99</v>
      </c>
      <c r="L2505">
        <v>-42.41</v>
      </c>
      <c r="M2505">
        <v>89</v>
      </c>
      <c r="N2505">
        <v>15.31</v>
      </c>
      <c r="O2505">
        <v>92</v>
      </c>
      <c r="P2505">
        <v>-17.64</v>
      </c>
      <c r="Q2505">
        <v>97</v>
      </c>
      <c r="R2505">
        <v>6.39</v>
      </c>
      <c r="S2505">
        <v>88</v>
      </c>
      <c r="T2505">
        <v>12.35</v>
      </c>
      <c r="U2505">
        <v>94</v>
      </c>
      <c r="V2505">
        <v>4.82</v>
      </c>
      <c r="W2505">
        <v>88</v>
      </c>
      <c r="X2505" t="s">
        <v>276</v>
      </c>
      <c r="Y2505" t="s">
        <v>270</v>
      </c>
      <c r="Z2505" t="s">
        <v>96</v>
      </c>
      <c r="AA2505" t="s">
        <v>4838</v>
      </c>
      <c r="AB2505" t="s">
        <v>7506</v>
      </c>
      <c r="AC2505">
        <v>273</v>
      </c>
      <c r="AD2505">
        <v>143</v>
      </c>
      <c r="AE2505">
        <v>99</v>
      </c>
      <c r="AF2505">
        <v>14.28</v>
      </c>
      <c r="AG2505">
        <v>13.69</v>
      </c>
      <c r="AH2505">
        <v>4.9800000000000004</v>
      </c>
      <c r="AI2505">
        <v>0.23</v>
      </c>
      <c r="AJ2505">
        <v>0.08</v>
      </c>
      <c r="AK2505">
        <v>89</v>
      </c>
      <c r="AL2505">
        <v>311</v>
      </c>
      <c r="AM2505">
        <v>156</v>
      </c>
      <c r="AN2505">
        <v>2.4500000000000002</v>
      </c>
      <c r="AO2505">
        <v>-0.93</v>
      </c>
      <c r="AP2505">
        <v>481</v>
      </c>
      <c r="AQ2505">
        <v>1</v>
      </c>
      <c r="AR2505">
        <v>7.2</v>
      </c>
      <c r="AS2505">
        <v>82</v>
      </c>
      <c r="AT2505">
        <v>3</v>
      </c>
      <c r="AU2505">
        <v>94</v>
      </c>
      <c r="AV2505">
        <v>-1.62</v>
      </c>
      <c r="AW2505">
        <v>98</v>
      </c>
      <c r="AX2505">
        <v>-0.14000000000000001</v>
      </c>
      <c r="AY2505">
        <v>92</v>
      </c>
      <c r="AZ2505">
        <v>6.05</v>
      </c>
      <c r="BA2505">
        <v>79</v>
      </c>
      <c r="BB2505">
        <v>5.1100000000000003</v>
      </c>
      <c r="BC2505">
        <v>81</v>
      </c>
      <c r="BD2505">
        <v>-0.06</v>
      </c>
      <c r="BE2505">
        <v>-0.03</v>
      </c>
      <c r="BF2505">
        <v>0.01</v>
      </c>
      <c r="BG2505">
        <v>95</v>
      </c>
      <c r="BH2505">
        <v>0.06</v>
      </c>
      <c r="BI2505">
        <v>-8.61</v>
      </c>
      <c r="BJ2505">
        <v>39</v>
      </c>
      <c r="BK2505">
        <v>21</v>
      </c>
      <c r="BL2505">
        <v>0.79</v>
      </c>
      <c r="BM2505">
        <v>-1.6</v>
      </c>
      <c r="BN2505">
        <v>0.17</v>
      </c>
      <c r="BO2505">
        <v>1.59</v>
      </c>
      <c r="BP2505">
        <v>-0.47</v>
      </c>
      <c r="BQ2505">
        <v>-0.11</v>
      </c>
      <c r="BR2505">
        <v>0.18</v>
      </c>
      <c r="BS2505">
        <v>1.27</v>
      </c>
      <c r="BT2505">
        <v>0.19</v>
      </c>
      <c r="BU2505">
        <v>2.02</v>
      </c>
      <c r="BV2505">
        <v>2.63</v>
      </c>
      <c r="BW2505">
        <v>1.19</v>
      </c>
      <c r="BX2505">
        <v>1.43</v>
      </c>
      <c r="BY2505">
        <v>0.7</v>
      </c>
      <c r="BZ2505">
        <v>-0.66</v>
      </c>
      <c r="CA2505">
        <v>1.64</v>
      </c>
      <c r="CB2505">
        <v>1.98</v>
      </c>
      <c r="CC2505">
        <v>0.46</v>
      </c>
      <c r="CD2505">
        <v>-1.28</v>
      </c>
      <c r="CE2505">
        <v>1.06</v>
      </c>
      <c r="CF2505">
        <v>0.14000000000000001</v>
      </c>
      <c r="CG2505">
        <v>0</v>
      </c>
      <c r="CH2505">
        <v>0.8</v>
      </c>
      <c r="CI2505">
        <v>0</v>
      </c>
      <c r="CJ2505">
        <v>-6.3</v>
      </c>
      <c r="CK2505">
        <v>97</v>
      </c>
      <c r="CL2505">
        <v>-1.17</v>
      </c>
      <c r="CM2505">
        <v>97</v>
      </c>
      <c r="CN2505">
        <v>-0.37</v>
      </c>
      <c r="CO2505">
        <v>96</v>
      </c>
      <c r="CP2505">
        <v>-8</v>
      </c>
      <c r="CQ2505">
        <v>95</v>
      </c>
      <c r="CR2505">
        <v>0</v>
      </c>
      <c r="CS2505">
        <v>0</v>
      </c>
      <c r="CT2505">
        <v>-2.9</v>
      </c>
      <c r="CU2505">
        <v>94</v>
      </c>
      <c r="CV2505">
        <v>0.15</v>
      </c>
      <c r="CW2505">
        <v>45</v>
      </c>
      <c r="CX2505" t="s">
        <v>1420</v>
      </c>
    </row>
    <row r="2506" spans="1:102" x14ac:dyDescent="0.3">
      <c r="A2506" t="str">
        <f>HYPERLINK("https://webapp.icbf.com/v2/app/bull-search/view/77858230","EMR")</f>
        <v>EMR</v>
      </c>
      <c r="B2506" t="s">
        <v>3620</v>
      </c>
      <c r="C2506" t="s">
        <v>3621</v>
      </c>
      <c r="D2506" s="1">
        <v>33051</v>
      </c>
      <c r="E2506" t="s">
        <v>92</v>
      </c>
      <c r="F2506">
        <v>100</v>
      </c>
      <c r="G2506" t="s">
        <v>93</v>
      </c>
      <c r="H2506">
        <v>35.14</v>
      </c>
      <c r="I2506">
        <v>88</v>
      </c>
      <c r="J2506">
        <v>47.12</v>
      </c>
      <c r="K2506">
        <v>98</v>
      </c>
      <c r="L2506">
        <v>-29.51</v>
      </c>
      <c r="M2506">
        <v>85</v>
      </c>
      <c r="N2506">
        <v>13.27</v>
      </c>
      <c r="O2506">
        <v>80</v>
      </c>
      <c r="P2506">
        <v>-4.4400000000000004</v>
      </c>
      <c r="Q2506">
        <v>93</v>
      </c>
      <c r="R2506">
        <v>-7.82</v>
      </c>
      <c r="S2506">
        <v>78</v>
      </c>
      <c r="T2506">
        <v>11.46</v>
      </c>
      <c r="U2506">
        <v>87</v>
      </c>
      <c r="V2506">
        <v>5.0599999999999996</v>
      </c>
      <c r="W2506">
        <v>60</v>
      </c>
      <c r="X2506" t="s">
        <v>102</v>
      </c>
      <c r="Y2506" t="s">
        <v>95</v>
      </c>
      <c r="Z2506" t="s">
        <v>96</v>
      </c>
      <c r="AA2506" t="s">
        <v>3622</v>
      </c>
      <c r="AB2506" t="s">
        <v>3623</v>
      </c>
      <c r="AC2506">
        <v>200</v>
      </c>
      <c r="AD2506">
        <v>84</v>
      </c>
      <c r="AE2506">
        <v>98</v>
      </c>
      <c r="AF2506">
        <v>264.07</v>
      </c>
      <c r="AG2506">
        <v>5.47</v>
      </c>
      <c r="AH2506">
        <v>10.119999999999999</v>
      </c>
      <c r="AI2506">
        <v>-0.08</v>
      </c>
      <c r="AJ2506">
        <v>0.02</v>
      </c>
      <c r="AK2506">
        <v>85</v>
      </c>
      <c r="AL2506">
        <v>249</v>
      </c>
      <c r="AM2506">
        <v>108</v>
      </c>
      <c r="AN2506">
        <v>1.9</v>
      </c>
      <c r="AO2506">
        <v>-0.45</v>
      </c>
      <c r="AP2506">
        <v>5</v>
      </c>
      <c r="AQ2506">
        <v>0</v>
      </c>
      <c r="AR2506">
        <v>7.01</v>
      </c>
      <c r="AS2506">
        <v>54</v>
      </c>
      <c r="AT2506">
        <v>2.96</v>
      </c>
      <c r="AU2506">
        <v>81</v>
      </c>
      <c r="AV2506">
        <v>-1.31</v>
      </c>
      <c r="AW2506">
        <v>85</v>
      </c>
      <c r="AX2506">
        <v>-0.37</v>
      </c>
      <c r="AY2506">
        <v>89</v>
      </c>
      <c r="AZ2506">
        <v>6.61</v>
      </c>
      <c r="BA2506">
        <v>57</v>
      </c>
      <c r="BB2506">
        <v>5.16</v>
      </c>
      <c r="BC2506">
        <v>79</v>
      </c>
      <c r="BD2506">
        <v>-0.02</v>
      </c>
      <c r="BE2506">
        <v>7.0000000000000007E-2</v>
      </c>
      <c r="BF2506">
        <v>0.08</v>
      </c>
      <c r="BG2506">
        <v>92</v>
      </c>
      <c r="BH2506">
        <v>0.13</v>
      </c>
      <c r="BI2506">
        <v>-1.27</v>
      </c>
      <c r="BJ2506">
        <v>6</v>
      </c>
      <c r="BK2506">
        <v>5</v>
      </c>
      <c r="BL2506">
        <v>0.74</v>
      </c>
      <c r="BM2506">
        <v>0.51</v>
      </c>
      <c r="BN2506">
        <v>0.68</v>
      </c>
      <c r="BO2506">
        <v>0.28000000000000003</v>
      </c>
      <c r="BP2506">
        <v>-0.18</v>
      </c>
      <c r="BQ2506">
        <v>1.05</v>
      </c>
      <c r="BR2506">
        <v>-0.35</v>
      </c>
      <c r="BS2506">
        <v>-0.24</v>
      </c>
      <c r="BT2506">
        <v>0.06</v>
      </c>
      <c r="BU2506">
        <v>-0.19</v>
      </c>
      <c r="BV2506">
        <v>0.28000000000000003</v>
      </c>
      <c r="BW2506">
        <v>-0.02</v>
      </c>
      <c r="BX2506">
        <v>0.17</v>
      </c>
      <c r="BY2506">
        <v>-0.45</v>
      </c>
      <c r="BZ2506">
        <v>-1.6</v>
      </c>
      <c r="CA2506">
        <v>-0.89</v>
      </c>
      <c r="CB2506">
        <v>-0.7</v>
      </c>
      <c r="CC2506">
        <v>-1.1599999999999999</v>
      </c>
      <c r="CD2506">
        <v>-0.68</v>
      </c>
      <c r="CE2506">
        <v>0.53</v>
      </c>
      <c r="CF2506">
        <v>0.63</v>
      </c>
      <c r="CG2506">
        <v>0</v>
      </c>
      <c r="CH2506">
        <v>-0.44</v>
      </c>
      <c r="CI2506">
        <v>0</v>
      </c>
      <c r="CJ2506">
        <v>1.1000000000000001</v>
      </c>
      <c r="CK2506">
        <v>93</v>
      </c>
      <c r="CL2506">
        <v>-0.56000000000000005</v>
      </c>
      <c r="CM2506">
        <v>92</v>
      </c>
      <c r="CN2506">
        <v>-0.06</v>
      </c>
      <c r="CO2506">
        <v>91</v>
      </c>
      <c r="CP2506">
        <v>-5.9</v>
      </c>
      <c r="CQ2506">
        <v>94</v>
      </c>
      <c r="CR2506">
        <v>0</v>
      </c>
      <c r="CS2506">
        <v>0</v>
      </c>
      <c r="CT2506">
        <v>-1.7</v>
      </c>
      <c r="CU2506">
        <v>87</v>
      </c>
      <c r="CV2506">
        <v>0.28000000000000003</v>
      </c>
      <c r="CW2506">
        <v>27</v>
      </c>
      <c r="CX2506" t="s">
        <v>543</v>
      </c>
    </row>
    <row r="2507" spans="1:102" x14ac:dyDescent="0.3">
      <c r="A2507" t="str">
        <f>HYPERLINK("https://webapp.icbf.com/v2/app/bull-search/view/77856250","JAC")</f>
        <v>JAC</v>
      </c>
      <c r="B2507" t="s">
        <v>4169</v>
      </c>
      <c r="C2507" t="s">
        <v>4170</v>
      </c>
      <c r="D2507" s="1">
        <v>35921</v>
      </c>
      <c r="E2507" t="s">
        <v>108</v>
      </c>
      <c r="F2507">
        <v>0</v>
      </c>
      <c r="G2507" t="s">
        <v>93</v>
      </c>
      <c r="H2507">
        <v>35.07</v>
      </c>
      <c r="I2507">
        <v>96</v>
      </c>
      <c r="J2507">
        <v>-23.74</v>
      </c>
      <c r="K2507">
        <v>99</v>
      </c>
      <c r="L2507">
        <v>46.25</v>
      </c>
      <c r="M2507">
        <v>92</v>
      </c>
      <c r="N2507">
        <v>-2.92</v>
      </c>
      <c r="O2507">
        <v>97</v>
      </c>
      <c r="P2507">
        <v>-12.96</v>
      </c>
      <c r="Q2507">
        <v>99</v>
      </c>
      <c r="R2507">
        <v>-3.81</v>
      </c>
      <c r="S2507">
        <v>94</v>
      </c>
      <c r="T2507">
        <v>27.66</v>
      </c>
      <c r="U2507">
        <v>98</v>
      </c>
      <c r="V2507">
        <v>4.59</v>
      </c>
      <c r="W2507">
        <v>96</v>
      </c>
      <c r="X2507" t="s">
        <v>102</v>
      </c>
      <c r="Y2507" t="s">
        <v>95</v>
      </c>
      <c r="Z2507" t="s">
        <v>96</v>
      </c>
      <c r="AA2507" t="s">
        <v>4171</v>
      </c>
      <c r="AB2507" t="s">
        <v>4172</v>
      </c>
      <c r="AC2507">
        <v>552</v>
      </c>
      <c r="AD2507">
        <v>242</v>
      </c>
      <c r="AE2507">
        <v>99</v>
      </c>
      <c r="AF2507">
        <v>-73.95</v>
      </c>
      <c r="AG2507">
        <v>-3.87</v>
      </c>
      <c r="AH2507">
        <v>-3.8</v>
      </c>
      <c r="AI2507">
        <v>-0.02</v>
      </c>
      <c r="AJ2507">
        <v>-0.02</v>
      </c>
      <c r="AK2507">
        <v>92</v>
      </c>
      <c r="AL2507">
        <v>750</v>
      </c>
      <c r="AM2507">
        <v>343</v>
      </c>
      <c r="AN2507">
        <v>-2.38</v>
      </c>
      <c r="AO2507">
        <v>1.31</v>
      </c>
      <c r="AP2507">
        <v>836</v>
      </c>
      <c r="AQ2507">
        <v>1</v>
      </c>
      <c r="AR2507">
        <v>5.01</v>
      </c>
      <c r="AS2507">
        <v>95</v>
      </c>
      <c r="AT2507">
        <v>2.54</v>
      </c>
      <c r="AU2507">
        <v>96</v>
      </c>
      <c r="AV2507">
        <v>-1.85</v>
      </c>
      <c r="AW2507">
        <v>99</v>
      </c>
      <c r="AX2507">
        <v>0.55000000000000004</v>
      </c>
      <c r="AY2507">
        <v>97</v>
      </c>
      <c r="AZ2507">
        <v>10.73</v>
      </c>
      <c r="BA2507">
        <v>89</v>
      </c>
      <c r="BB2507">
        <v>8.02</v>
      </c>
      <c r="BC2507">
        <v>93</v>
      </c>
      <c r="BD2507">
        <v>0.01</v>
      </c>
      <c r="BE2507">
        <v>-0.01</v>
      </c>
      <c r="BF2507">
        <v>0.09</v>
      </c>
      <c r="BG2507">
        <v>98</v>
      </c>
      <c r="BH2507">
        <v>0.12</v>
      </c>
      <c r="BI2507">
        <v>-0.94</v>
      </c>
      <c r="BJ2507">
        <v>43</v>
      </c>
      <c r="BK2507">
        <v>32</v>
      </c>
      <c r="BL2507">
        <v>-3.51</v>
      </c>
      <c r="BM2507">
        <v>1.05</v>
      </c>
      <c r="BN2507">
        <v>-3.06</v>
      </c>
      <c r="BO2507">
        <v>-2.9</v>
      </c>
      <c r="BP2507">
        <v>-1.76</v>
      </c>
      <c r="BQ2507">
        <v>-0.09</v>
      </c>
      <c r="BR2507">
        <v>-1.4</v>
      </c>
      <c r="BS2507">
        <v>-1.88</v>
      </c>
      <c r="BT2507">
        <v>0.77</v>
      </c>
      <c r="BU2507">
        <v>-3.2</v>
      </c>
      <c r="BV2507">
        <v>-3.43</v>
      </c>
      <c r="BW2507">
        <v>-3.68</v>
      </c>
      <c r="BX2507">
        <v>-2.67</v>
      </c>
      <c r="BY2507">
        <v>-2.2400000000000002</v>
      </c>
      <c r="BZ2507">
        <v>1.44</v>
      </c>
      <c r="CA2507">
        <v>-3.38</v>
      </c>
      <c r="CB2507">
        <v>-3.3</v>
      </c>
      <c r="CC2507">
        <v>-2.23</v>
      </c>
      <c r="CD2507">
        <v>1.72</v>
      </c>
      <c r="CE2507">
        <v>-2.78</v>
      </c>
      <c r="CF2507">
        <v>-3.02</v>
      </c>
      <c r="CG2507">
        <v>0</v>
      </c>
      <c r="CH2507">
        <v>-2.39</v>
      </c>
      <c r="CI2507">
        <v>0</v>
      </c>
      <c r="CJ2507">
        <v>-7.2</v>
      </c>
      <c r="CK2507">
        <v>99</v>
      </c>
      <c r="CL2507">
        <v>7.0000000000000007E-2</v>
      </c>
      <c r="CM2507">
        <v>99</v>
      </c>
      <c r="CN2507">
        <v>0.1</v>
      </c>
      <c r="CO2507">
        <v>99</v>
      </c>
      <c r="CP2507">
        <v>-17.2</v>
      </c>
      <c r="CQ2507">
        <v>99</v>
      </c>
      <c r="CR2507">
        <v>0</v>
      </c>
      <c r="CS2507">
        <v>0</v>
      </c>
      <c r="CT2507">
        <v>-23.6</v>
      </c>
      <c r="CU2507">
        <v>98</v>
      </c>
      <c r="CV2507">
        <v>-0.02</v>
      </c>
      <c r="CW2507">
        <v>46</v>
      </c>
      <c r="CX2507" t="s">
        <v>4002</v>
      </c>
    </row>
    <row r="2508" spans="1:102" x14ac:dyDescent="0.3">
      <c r="A2508" t="str">
        <f>HYPERLINK("https://webapp.icbf.com/v2/app/bull-search/view/124414345","AAP")</f>
        <v>AAP</v>
      </c>
      <c r="B2508" t="s">
        <v>4022</v>
      </c>
      <c r="C2508" t="s">
        <v>4023</v>
      </c>
      <c r="D2508" s="1">
        <v>35387</v>
      </c>
      <c r="E2508" t="s">
        <v>92</v>
      </c>
      <c r="F2508">
        <v>100</v>
      </c>
      <c r="G2508" t="s">
        <v>93</v>
      </c>
      <c r="H2508">
        <v>35.03</v>
      </c>
      <c r="I2508">
        <v>99</v>
      </c>
      <c r="J2508">
        <v>21.55</v>
      </c>
      <c r="K2508">
        <v>99</v>
      </c>
      <c r="L2508">
        <v>-0.61</v>
      </c>
      <c r="M2508">
        <v>98</v>
      </c>
      <c r="N2508">
        <v>16.489999999999998</v>
      </c>
      <c r="O2508">
        <v>99</v>
      </c>
      <c r="P2508">
        <v>-15.65</v>
      </c>
      <c r="Q2508">
        <v>99</v>
      </c>
      <c r="R2508">
        <v>3.15</v>
      </c>
      <c r="S2508">
        <v>99</v>
      </c>
      <c r="T2508">
        <v>3.84</v>
      </c>
      <c r="U2508">
        <v>99</v>
      </c>
      <c r="V2508">
        <v>6.26</v>
      </c>
      <c r="W2508">
        <v>99</v>
      </c>
      <c r="X2508" t="s">
        <v>276</v>
      </c>
      <c r="Y2508" t="s">
        <v>95</v>
      </c>
      <c r="Z2508" t="s">
        <v>96</v>
      </c>
      <c r="AA2508" t="s">
        <v>1278</v>
      </c>
      <c r="AB2508" t="s">
        <v>4024</v>
      </c>
      <c r="AC2508">
        <v>8474</v>
      </c>
      <c r="AD2508">
        <v>1956</v>
      </c>
      <c r="AE2508">
        <v>99</v>
      </c>
      <c r="AF2508">
        <v>210.64</v>
      </c>
      <c r="AG2508">
        <v>0.59</v>
      </c>
      <c r="AH2508">
        <v>6.68</v>
      </c>
      <c r="AI2508">
        <v>-0.13</v>
      </c>
      <c r="AJ2508">
        <v>-0.01</v>
      </c>
      <c r="AK2508">
        <v>98</v>
      </c>
      <c r="AL2508">
        <v>8941</v>
      </c>
      <c r="AM2508">
        <v>2218</v>
      </c>
      <c r="AN2508">
        <v>-0.06</v>
      </c>
      <c r="AO2508">
        <v>-0.11</v>
      </c>
      <c r="AP2508">
        <v>14152</v>
      </c>
      <c r="AQ2508">
        <v>62</v>
      </c>
      <c r="AR2508">
        <v>7.78</v>
      </c>
      <c r="AS2508">
        <v>99</v>
      </c>
      <c r="AT2508">
        <v>3.21</v>
      </c>
      <c r="AU2508">
        <v>99</v>
      </c>
      <c r="AV2508">
        <v>-1.81</v>
      </c>
      <c r="AW2508">
        <v>99</v>
      </c>
      <c r="AX2508">
        <v>-0.2</v>
      </c>
      <c r="AY2508">
        <v>99</v>
      </c>
      <c r="AZ2508">
        <v>6.14</v>
      </c>
      <c r="BA2508">
        <v>99</v>
      </c>
      <c r="BB2508">
        <v>4.5</v>
      </c>
      <c r="BC2508">
        <v>99</v>
      </c>
      <c r="BD2508">
        <v>-0.02</v>
      </c>
      <c r="BE2508">
        <v>-0.01</v>
      </c>
      <c r="BF2508">
        <v>-0.02</v>
      </c>
      <c r="BG2508">
        <v>99</v>
      </c>
      <c r="BH2508">
        <v>0.16</v>
      </c>
      <c r="BI2508">
        <v>-1.67</v>
      </c>
      <c r="BJ2508">
        <v>869</v>
      </c>
      <c r="BK2508">
        <v>284</v>
      </c>
      <c r="BL2508">
        <v>0.14000000000000001</v>
      </c>
      <c r="BM2508">
        <v>2.58</v>
      </c>
      <c r="BN2508">
        <v>0.97</v>
      </c>
      <c r="BO2508">
        <v>-0.26</v>
      </c>
      <c r="BP2508">
        <v>-0.61</v>
      </c>
      <c r="BQ2508">
        <v>0.75</v>
      </c>
      <c r="BR2508">
        <v>2.69</v>
      </c>
      <c r="BS2508">
        <v>-1.21</v>
      </c>
      <c r="BT2508">
        <v>-1.97</v>
      </c>
      <c r="BU2508">
        <v>1.27</v>
      </c>
      <c r="BV2508">
        <v>-0.03</v>
      </c>
      <c r="BW2508">
        <v>-0.6</v>
      </c>
      <c r="BX2508">
        <v>-0.19</v>
      </c>
      <c r="BY2508">
        <v>2.08</v>
      </c>
      <c r="BZ2508">
        <v>-1.97</v>
      </c>
      <c r="CA2508">
        <v>0.36</v>
      </c>
      <c r="CB2508">
        <v>0.94</v>
      </c>
      <c r="CC2508">
        <v>-0.88</v>
      </c>
      <c r="CD2508">
        <v>1.4</v>
      </c>
      <c r="CE2508">
        <v>-0.11</v>
      </c>
      <c r="CF2508">
        <v>0.3</v>
      </c>
      <c r="CG2508">
        <v>0</v>
      </c>
      <c r="CH2508">
        <v>2.06</v>
      </c>
      <c r="CI2508">
        <v>0</v>
      </c>
      <c r="CJ2508">
        <v>-5.3</v>
      </c>
      <c r="CK2508">
        <v>99</v>
      </c>
      <c r="CL2508">
        <v>-0.97</v>
      </c>
      <c r="CM2508">
        <v>99</v>
      </c>
      <c r="CN2508">
        <v>-0.18</v>
      </c>
      <c r="CO2508">
        <v>99</v>
      </c>
      <c r="CP2508">
        <v>-2.9</v>
      </c>
      <c r="CQ2508">
        <v>99</v>
      </c>
      <c r="CR2508">
        <v>0</v>
      </c>
      <c r="CS2508">
        <v>0</v>
      </c>
      <c r="CT2508">
        <v>8.6</v>
      </c>
      <c r="CU2508">
        <v>99</v>
      </c>
      <c r="CV2508">
        <v>0.18</v>
      </c>
      <c r="CW2508">
        <v>49</v>
      </c>
      <c r="CX2508" t="s">
        <v>485</v>
      </c>
    </row>
    <row r="2509" spans="1:102" x14ac:dyDescent="0.3">
      <c r="A2509" t="str">
        <f>HYPERLINK("https://webapp.icbf.com/v2/app/bull-search/view/77853625","TDE")</f>
        <v>TDE</v>
      </c>
      <c r="B2509" t="s">
        <v>8657</v>
      </c>
      <c r="C2509" t="s">
        <v>8658</v>
      </c>
      <c r="D2509" s="1">
        <v>32365</v>
      </c>
      <c r="E2509" t="s">
        <v>92</v>
      </c>
      <c r="F2509">
        <v>100</v>
      </c>
      <c r="G2509" t="s">
        <v>93</v>
      </c>
      <c r="H2509">
        <v>34.979999999999997</v>
      </c>
      <c r="I2509">
        <v>91</v>
      </c>
      <c r="J2509">
        <v>16.8</v>
      </c>
      <c r="K2509">
        <v>97</v>
      </c>
      <c r="L2509">
        <v>-24.1</v>
      </c>
      <c r="M2509">
        <v>91</v>
      </c>
      <c r="N2509">
        <v>33.020000000000003</v>
      </c>
      <c r="O2509">
        <v>83</v>
      </c>
      <c r="P2509">
        <v>-8.4499999999999993</v>
      </c>
      <c r="Q2509">
        <v>86</v>
      </c>
      <c r="R2509">
        <v>-12.74</v>
      </c>
      <c r="S2509">
        <v>86</v>
      </c>
      <c r="T2509">
        <v>22.63</v>
      </c>
      <c r="U2509">
        <v>92</v>
      </c>
      <c r="V2509">
        <v>7.82</v>
      </c>
      <c r="W2509">
        <v>78</v>
      </c>
      <c r="X2509" t="s">
        <v>94</v>
      </c>
      <c r="Y2509" t="s">
        <v>95</v>
      </c>
      <c r="Z2509" t="s">
        <v>96</v>
      </c>
      <c r="AA2509" t="s">
        <v>724</v>
      </c>
      <c r="AB2509" t="s">
        <v>8659</v>
      </c>
      <c r="AC2509">
        <v>109</v>
      </c>
      <c r="AD2509">
        <v>60</v>
      </c>
      <c r="AE2509">
        <v>97</v>
      </c>
      <c r="AF2509">
        <v>96.97</v>
      </c>
      <c r="AG2509">
        <v>0.71</v>
      </c>
      <c r="AH2509">
        <v>4.09</v>
      </c>
      <c r="AI2509">
        <v>-0.05</v>
      </c>
      <c r="AJ2509">
        <v>0.01</v>
      </c>
      <c r="AK2509">
        <v>91</v>
      </c>
      <c r="AL2509">
        <v>112</v>
      </c>
      <c r="AM2509">
        <v>62</v>
      </c>
      <c r="AN2509">
        <v>2.25</v>
      </c>
      <c r="AO2509">
        <v>0.34</v>
      </c>
      <c r="AP2509">
        <v>2</v>
      </c>
      <c r="AQ2509">
        <v>1</v>
      </c>
      <c r="AR2509">
        <v>4.05</v>
      </c>
      <c r="AS2509">
        <v>73</v>
      </c>
      <c r="AT2509">
        <v>1.9</v>
      </c>
      <c r="AU2509">
        <v>88</v>
      </c>
      <c r="AV2509">
        <v>-2.12</v>
      </c>
      <c r="AW2509">
        <v>85</v>
      </c>
      <c r="AX2509">
        <v>0.04</v>
      </c>
      <c r="AY2509">
        <v>83</v>
      </c>
      <c r="AZ2509">
        <v>6.02</v>
      </c>
      <c r="BA2509">
        <v>68</v>
      </c>
      <c r="BB2509">
        <v>5.21</v>
      </c>
      <c r="BC2509">
        <v>76</v>
      </c>
      <c r="BD2509">
        <v>0.06</v>
      </c>
      <c r="BE2509">
        <v>7.0000000000000007E-2</v>
      </c>
      <c r="BF2509">
        <v>0.06</v>
      </c>
      <c r="BG2509">
        <v>95</v>
      </c>
      <c r="BH2509">
        <v>0.1</v>
      </c>
      <c r="BI2509">
        <v>-13.67</v>
      </c>
      <c r="BJ2509">
        <v>2</v>
      </c>
      <c r="BK2509">
        <v>1</v>
      </c>
      <c r="BL2509">
        <v>-0.18</v>
      </c>
      <c r="BM2509">
        <v>-1.32</v>
      </c>
      <c r="BN2509">
        <v>-1.65</v>
      </c>
      <c r="BO2509">
        <v>-0.02</v>
      </c>
      <c r="BP2509">
        <v>-1.66</v>
      </c>
      <c r="BQ2509">
        <v>-1.35</v>
      </c>
      <c r="BR2509">
        <v>1.88</v>
      </c>
      <c r="BS2509">
        <v>-1.06</v>
      </c>
      <c r="BT2509">
        <v>-0.94</v>
      </c>
      <c r="BU2509">
        <v>-0.99</v>
      </c>
      <c r="BV2509">
        <v>-0.42</v>
      </c>
      <c r="BW2509">
        <v>-0.13</v>
      </c>
      <c r="BX2509">
        <v>0.17</v>
      </c>
      <c r="BY2509">
        <v>0.91</v>
      </c>
      <c r="BZ2509">
        <v>-3.04</v>
      </c>
      <c r="CA2509">
        <v>-0.59</v>
      </c>
      <c r="CB2509">
        <v>-0.1</v>
      </c>
      <c r="CC2509">
        <v>-1.58</v>
      </c>
      <c r="CD2509">
        <v>-1.5</v>
      </c>
      <c r="CE2509">
        <v>0.06</v>
      </c>
      <c r="CF2509">
        <v>-1.75</v>
      </c>
      <c r="CG2509">
        <v>0</v>
      </c>
      <c r="CH2509">
        <v>0.69</v>
      </c>
      <c r="CI2509">
        <v>0</v>
      </c>
      <c r="CJ2509">
        <v>-3.4</v>
      </c>
      <c r="CK2509">
        <v>87</v>
      </c>
      <c r="CL2509">
        <v>-0.56000000000000005</v>
      </c>
      <c r="CM2509">
        <v>85</v>
      </c>
      <c r="CN2509">
        <v>-0.32</v>
      </c>
      <c r="CO2509">
        <v>83</v>
      </c>
      <c r="CP2509">
        <v>-11.5</v>
      </c>
      <c r="CQ2509">
        <v>91</v>
      </c>
      <c r="CR2509">
        <v>0</v>
      </c>
      <c r="CS2509">
        <v>0</v>
      </c>
      <c r="CT2509">
        <v>-16.8</v>
      </c>
      <c r="CU2509">
        <v>92</v>
      </c>
      <c r="CV2509">
        <v>0.04</v>
      </c>
      <c r="CW2509">
        <v>43</v>
      </c>
      <c r="CX2509" t="s">
        <v>128</v>
      </c>
    </row>
    <row r="2510" spans="1:102" x14ac:dyDescent="0.3">
      <c r="A2510" t="str">
        <f>HYPERLINK("https://webapp.icbf.com/v2/app/bull-search/view/137158132","IRN")</f>
        <v>IRN</v>
      </c>
      <c r="B2510" t="s">
        <v>11611</v>
      </c>
      <c r="C2510" t="s">
        <v>1439</v>
      </c>
      <c r="D2510" s="1">
        <v>35263</v>
      </c>
      <c r="E2510" t="s">
        <v>92</v>
      </c>
      <c r="F2510">
        <v>100</v>
      </c>
      <c r="G2510" t="s">
        <v>93</v>
      </c>
      <c r="H2510">
        <v>34.950000000000003</v>
      </c>
      <c r="I2510">
        <v>94</v>
      </c>
      <c r="J2510">
        <v>-10.85</v>
      </c>
      <c r="K2510">
        <v>98</v>
      </c>
      <c r="L2510">
        <v>42.12</v>
      </c>
      <c r="M2510">
        <v>93</v>
      </c>
      <c r="N2510">
        <v>4.63</v>
      </c>
      <c r="O2510">
        <v>92</v>
      </c>
      <c r="P2510">
        <v>-8.8000000000000007</v>
      </c>
      <c r="Q2510">
        <v>96</v>
      </c>
      <c r="R2510">
        <v>9.73</v>
      </c>
      <c r="S2510">
        <v>84</v>
      </c>
      <c r="T2510">
        <v>-0.38</v>
      </c>
      <c r="U2510">
        <v>89</v>
      </c>
      <c r="V2510">
        <v>-1.5</v>
      </c>
      <c r="W2510">
        <v>78</v>
      </c>
      <c r="X2510" t="s">
        <v>276</v>
      </c>
      <c r="Y2510" t="s">
        <v>95</v>
      </c>
      <c r="Z2510" t="s">
        <v>96</v>
      </c>
      <c r="AA2510" t="s">
        <v>2701</v>
      </c>
      <c r="AB2510" t="s">
        <v>11612</v>
      </c>
      <c r="AC2510">
        <v>189</v>
      </c>
      <c r="AD2510">
        <v>96</v>
      </c>
      <c r="AE2510">
        <v>98</v>
      </c>
      <c r="AF2510">
        <v>94.1</v>
      </c>
      <c r="AG2510">
        <v>3.69</v>
      </c>
      <c r="AH2510">
        <v>-1.71</v>
      </c>
      <c r="AI2510">
        <v>0</v>
      </c>
      <c r="AJ2510">
        <v>-0.08</v>
      </c>
      <c r="AK2510">
        <v>93</v>
      </c>
      <c r="AL2510">
        <v>174</v>
      </c>
      <c r="AM2510">
        <v>79</v>
      </c>
      <c r="AN2510">
        <v>-2.2000000000000002</v>
      </c>
      <c r="AO2510">
        <v>1.1599999999999999</v>
      </c>
      <c r="AP2510">
        <v>411</v>
      </c>
      <c r="AQ2510">
        <v>0</v>
      </c>
      <c r="AR2510">
        <v>7.9</v>
      </c>
      <c r="AS2510">
        <v>85</v>
      </c>
      <c r="AT2510">
        <v>3.46</v>
      </c>
      <c r="AU2510">
        <v>96</v>
      </c>
      <c r="AV2510">
        <v>-0.69</v>
      </c>
      <c r="AW2510">
        <v>97</v>
      </c>
      <c r="AX2510">
        <v>-0.32</v>
      </c>
      <c r="AY2510">
        <v>90</v>
      </c>
      <c r="AZ2510">
        <v>5.71</v>
      </c>
      <c r="BA2510">
        <v>77</v>
      </c>
      <c r="BB2510">
        <v>4.78</v>
      </c>
      <c r="BC2510">
        <v>78</v>
      </c>
      <c r="BD2510">
        <v>0.02</v>
      </c>
      <c r="BE2510">
        <v>-0.03</v>
      </c>
      <c r="BF2510">
        <v>-0.2</v>
      </c>
      <c r="BG2510">
        <v>94</v>
      </c>
      <c r="BH2510">
        <v>-0.04</v>
      </c>
      <c r="BI2510">
        <v>0.2</v>
      </c>
      <c r="BJ2510">
        <v>84</v>
      </c>
      <c r="BK2510">
        <v>45</v>
      </c>
      <c r="BL2510">
        <v>1.56</v>
      </c>
      <c r="BM2510">
        <v>-0.57999999999999996</v>
      </c>
      <c r="BN2510">
        <v>0.62</v>
      </c>
      <c r="BO2510">
        <v>0.65</v>
      </c>
      <c r="BP2510">
        <v>-1.01</v>
      </c>
      <c r="BQ2510">
        <v>0.52</v>
      </c>
      <c r="BR2510">
        <v>-0.05</v>
      </c>
      <c r="BS2510">
        <v>0.09</v>
      </c>
      <c r="BT2510">
        <v>1.25</v>
      </c>
      <c r="BU2510">
        <v>1.93</v>
      </c>
      <c r="BV2510">
        <v>2.08</v>
      </c>
      <c r="BW2510">
        <v>1.1399999999999999</v>
      </c>
      <c r="BX2510">
        <v>2.21</v>
      </c>
      <c r="BY2510">
        <v>2.83</v>
      </c>
      <c r="BZ2510">
        <v>-3.3</v>
      </c>
      <c r="CA2510">
        <v>1.74</v>
      </c>
      <c r="CB2510">
        <v>1.87</v>
      </c>
      <c r="CC2510">
        <v>0.64</v>
      </c>
      <c r="CD2510">
        <v>-0.6</v>
      </c>
      <c r="CE2510">
        <v>0.73</v>
      </c>
      <c r="CF2510">
        <v>1.27</v>
      </c>
      <c r="CG2510">
        <v>0</v>
      </c>
      <c r="CH2510">
        <v>2.89</v>
      </c>
      <c r="CI2510">
        <v>0</v>
      </c>
      <c r="CJ2510">
        <v>-4.9000000000000004</v>
      </c>
      <c r="CK2510">
        <v>96</v>
      </c>
      <c r="CL2510">
        <v>-1.1100000000000001</v>
      </c>
      <c r="CM2510">
        <v>96</v>
      </c>
      <c r="CN2510">
        <v>-0.77</v>
      </c>
      <c r="CO2510">
        <v>95</v>
      </c>
      <c r="CP2510">
        <v>2.7</v>
      </c>
      <c r="CQ2510">
        <v>95</v>
      </c>
      <c r="CR2510">
        <v>0</v>
      </c>
      <c r="CS2510">
        <v>0</v>
      </c>
      <c r="CT2510">
        <v>14.3</v>
      </c>
      <c r="CU2510">
        <v>89</v>
      </c>
      <c r="CV2510">
        <v>0.19</v>
      </c>
      <c r="CW2510">
        <v>45</v>
      </c>
      <c r="CX2510" t="s">
        <v>543</v>
      </c>
    </row>
    <row r="2511" spans="1:102" x14ac:dyDescent="0.3">
      <c r="A2511" t="str">
        <f>HYPERLINK("https://webapp.icbf.com/v2/app/bull-search/view/1228213526","S2239")</f>
        <v>S2239</v>
      </c>
      <c r="B2511" t="s">
        <v>13384</v>
      </c>
      <c r="C2511" t="s">
        <v>13385</v>
      </c>
      <c r="D2511" s="1">
        <v>41251</v>
      </c>
      <c r="E2511" t="s">
        <v>92</v>
      </c>
      <c r="F2511">
        <v>100</v>
      </c>
      <c r="G2511" t="s">
        <v>109</v>
      </c>
      <c r="H2511">
        <v>34.76</v>
      </c>
      <c r="I2511">
        <v>65</v>
      </c>
      <c r="J2511">
        <v>16.93</v>
      </c>
      <c r="K2511">
        <v>83</v>
      </c>
      <c r="L2511">
        <v>24.41</v>
      </c>
      <c r="M2511">
        <v>72</v>
      </c>
      <c r="N2511">
        <v>-3.86</v>
      </c>
      <c r="O2511">
        <v>53</v>
      </c>
      <c r="P2511">
        <v>-11.93</v>
      </c>
      <c r="Q2511">
        <v>35</v>
      </c>
      <c r="R2511">
        <v>10.6</v>
      </c>
      <c r="S2511">
        <v>58</v>
      </c>
      <c r="T2511">
        <v>-1.86</v>
      </c>
      <c r="U2511">
        <v>29</v>
      </c>
      <c r="V2511">
        <v>0.47</v>
      </c>
      <c r="W2511">
        <v>20</v>
      </c>
      <c r="X2511" t="s">
        <v>94</v>
      </c>
      <c r="Y2511" t="s">
        <v>367</v>
      </c>
      <c r="Z2511" t="s">
        <v>96</v>
      </c>
      <c r="AA2511" t="s">
        <v>1791</v>
      </c>
      <c r="AB2511" t="s">
        <v>13386</v>
      </c>
      <c r="AC2511">
        <v>0</v>
      </c>
      <c r="AD2511">
        <v>0</v>
      </c>
      <c r="AE2511">
        <v>83</v>
      </c>
      <c r="AF2511">
        <v>341.95</v>
      </c>
      <c r="AG2511">
        <v>5.41</v>
      </c>
      <c r="AH2511">
        <v>6.2</v>
      </c>
      <c r="AI2511">
        <v>-0.12</v>
      </c>
      <c r="AJ2511">
        <v>-0.09</v>
      </c>
      <c r="AK2511">
        <v>72</v>
      </c>
      <c r="AL2511">
        <v>0</v>
      </c>
      <c r="AM2511">
        <v>0</v>
      </c>
      <c r="AN2511">
        <v>-1.08</v>
      </c>
      <c r="AO2511">
        <v>0.87</v>
      </c>
      <c r="AP2511">
        <v>10</v>
      </c>
      <c r="AQ2511">
        <v>0</v>
      </c>
      <c r="AR2511">
        <v>8.7100000000000009</v>
      </c>
      <c r="AS2511">
        <v>30</v>
      </c>
      <c r="AT2511">
        <v>4.12</v>
      </c>
      <c r="AU2511">
        <v>88</v>
      </c>
      <c r="AV2511">
        <v>-0.99</v>
      </c>
      <c r="AW2511">
        <v>52</v>
      </c>
      <c r="AX2511">
        <v>0.57999999999999996</v>
      </c>
      <c r="AY2511">
        <v>38</v>
      </c>
      <c r="AZ2511">
        <v>5.86</v>
      </c>
      <c r="BA2511">
        <v>26</v>
      </c>
      <c r="BB2511">
        <v>4.62</v>
      </c>
      <c r="BC2511">
        <v>24</v>
      </c>
      <c r="BD2511">
        <v>-0.01</v>
      </c>
      <c r="BE2511">
        <v>-0.03</v>
      </c>
      <c r="BF2511">
        <v>-0.17</v>
      </c>
      <c r="BG2511">
        <v>86</v>
      </c>
      <c r="BH2511">
        <v>-0.05</v>
      </c>
      <c r="BI2511">
        <v>-7.31</v>
      </c>
      <c r="BJ2511">
        <v>6</v>
      </c>
      <c r="BK2511">
        <v>5</v>
      </c>
      <c r="BL2511">
        <v>1.62</v>
      </c>
      <c r="BM2511">
        <v>-1.03</v>
      </c>
      <c r="BN2511">
        <v>0.35</v>
      </c>
      <c r="BO2511">
        <v>0.82</v>
      </c>
      <c r="BP2511">
        <v>0.28999999999999998</v>
      </c>
      <c r="BQ2511">
        <v>2.08</v>
      </c>
      <c r="BR2511">
        <v>1.48</v>
      </c>
      <c r="BS2511">
        <v>0.54</v>
      </c>
      <c r="BT2511">
        <v>-1.1399999999999999</v>
      </c>
      <c r="BU2511">
        <v>1.97</v>
      </c>
      <c r="BV2511">
        <v>3.08</v>
      </c>
      <c r="BW2511">
        <v>2.14</v>
      </c>
      <c r="BX2511">
        <v>1.42</v>
      </c>
      <c r="BY2511">
        <v>1.36</v>
      </c>
      <c r="BZ2511">
        <v>2.19</v>
      </c>
      <c r="CA2511">
        <v>1.89</v>
      </c>
      <c r="CB2511">
        <v>2.11</v>
      </c>
      <c r="CC2511">
        <v>0.6</v>
      </c>
      <c r="CD2511">
        <v>-0.5</v>
      </c>
      <c r="CE2511">
        <v>0.9</v>
      </c>
      <c r="CF2511">
        <v>0.66</v>
      </c>
      <c r="CG2511">
        <v>0</v>
      </c>
      <c r="CH2511">
        <v>1.88</v>
      </c>
      <c r="CI2511">
        <v>0</v>
      </c>
      <c r="CJ2511">
        <v>-4.4000000000000004</v>
      </c>
      <c r="CK2511">
        <v>38</v>
      </c>
      <c r="CL2511">
        <v>-1.37</v>
      </c>
      <c r="CM2511">
        <v>33</v>
      </c>
      <c r="CN2511">
        <v>-0.71</v>
      </c>
      <c r="CO2511">
        <v>32</v>
      </c>
      <c r="CP2511">
        <v>-0.2</v>
      </c>
      <c r="CQ2511">
        <v>30</v>
      </c>
      <c r="CR2511">
        <v>0</v>
      </c>
      <c r="CS2511">
        <v>0</v>
      </c>
      <c r="CT2511">
        <v>16.3</v>
      </c>
      <c r="CU2511">
        <v>29</v>
      </c>
      <c r="CV2511">
        <v>0.33</v>
      </c>
      <c r="CW2511">
        <v>10</v>
      </c>
      <c r="CX2511" t="s">
        <v>1439</v>
      </c>
    </row>
    <row r="2512" spans="1:102" x14ac:dyDescent="0.3">
      <c r="A2512" t="str">
        <f>HYPERLINK("https://webapp.icbf.com/v2/app/bull-search/view/678701817","S2045")</f>
        <v>S2045</v>
      </c>
      <c r="B2512" t="s">
        <v>2069</v>
      </c>
      <c r="C2512" t="s">
        <v>2070</v>
      </c>
      <c r="D2512" s="1">
        <v>39321</v>
      </c>
      <c r="E2512" t="s">
        <v>92</v>
      </c>
      <c r="F2512">
        <v>100</v>
      </c>
      <c r="G2512" t="s">
        <v>109</v>
      </c>
      <c r="H2512">
        <v>34.590000000000003</v>
      </c>
      <c r="I2512">
        <v>79</v>
      </c>
      <c r="J2512">
        <v>51.8</v>
      </c>
      <c r="K2512">
        <v>93</v>
      </c>
      <c r="L2512">
        <v>-31.95</v>
      </c>
      <c r="M2512">
        <v>81</v>
      </c>
      <c r="N2512">
        <v>17.93</v>
      </c>
      <c r="O2512">
        <v>67</v>
      </c>
      <c r="P2512">
        <v>-10.68</v>
      </c>
      <c r="Q2512">
        <v>64</v>
      </c>
      <c r="R2512">
        <v>3.25</v>
      </c>
      <c r="S2512">
        <v>74</v>
      </c>
      <c r="T2512">
        <v>4.87</v>
      </c>
      <c r="U2512">
        <v>48</v>
      </c>
      <c r="V2512">
        <v>-0.63</v>
      </c>
      <c r="W2512">
        <v>64</v>
      </c>
      <c r="X2512" t="s">
        <v>1645</v>
      </c>
      <c r="Y2512" t="s">
        <v>367</v>
      </c>
      <c r="Z2512" t="s">
        <v>96</v>
      </c>
      <c r="AA2512" t="s">
        <v>2071</v>
      </c>
      <c r="AB2512" t="s">
        <v>2072</v>
      </c>
      <c r="AC2512">
        <v>0</v>
      </c>
      <c r="AD2512">
        <v>0</v>
      </c>
      <c r="AE2512">
        <v>93</v>
      </c>
      <c r="AF2512">
        <v>141.30000000000001</v>
      </c>
      <c r="AG2512">
        <v>11.85</v>
      </c>
      <c r="AH2512">
        <v>6.78</v>
      </c>
      <c r="AI2512">
        <v>0.11</v>
      </c>
      <c r="AJ2512">
        <v>0.03</v>
      </c>
      <c r="AK2512">
        <v>81</v>
      </c>
      <c r="AL2512">
        <v>0</v>
      </c>
      <c r="AM2512">
        <v>0</v>
      </c>
      <c r="AN2512">
        <v>2.34</v>
      </c>
      <c r="AO2512">
        <v>-0.2</v>
      </c>
      <c r="AP2512">
        <v>20</v>
      </c>
      <c r="AQ2512">
        <v>0</v>
      </c>
      <c r="AR2512">
        <v>7.27</v>
      </c>
      <c r="AS2512">
        <v>54</v>
      </c>
      <c r="AT2512">
        <v>3.19</v>
      </c>
      <c r="AU2512">
        <v>84</v>
      </c>
      <c r="AV2512">
        <v>-1.72</v>
      </c>
      <c r="AW2512">
        <v>72</v>
      </c>
      <c r="AX2512">
        <v>0.42</v>
      </c>
      <c r="AY2512">
        <v>51</v>
      </c>
      <c r="AZ2512">
        <v>5.41</v>
      </c>
      <c r="BA2512">
        <v>45</v>
      </c>
      <c r="BB2512">
        <v>4.22</v>
      </c>
      <c r="BC2512">
        <v>44</v>
      </c>
      <c r="BD2512">
        <v>-0.04</v>
      </c>
      <c r="BE2512">
        <v>-0.02</v>
      </c>
      <c r="BF2512">
        <v>0.03</v>
      </c>
      <c r="BG2512">
        <v>90</v>
      </c>
      <c r="BH2512">
        <v>0.03</v>
      </c>
      <c r="BI2512">
        <v>5.51</v>
      </c>
      <c r="BJ2512">
        <v>0</v>
      </c>
      <c r="BK2512">
        <v>0</v>
      </c>
      <c r="BL2512">
        <v>0.82</v>
      </c>
      <c r="BM2512">
        <v>0.33</v>
      </c>
      <c r="BN2512">
        <v>0.96</v>
      </c>
      <c r="BO2512">
        <v>0.36</v>
      </c>
      <c r="BP2512">
        <v>1.27</v>
      </c>
      <c r="BQ2512">
        <v>-0.74</v>
      </c>
      <c r="BR2512">
        <v>-0.78</v>
      </c>
      <c r="BS2512">
        <v>0.99</v>
      </c>
      <c r="BT2512">
        <v>0.86</v>
      </c>
      <c r="BU2512">
        <v>0.46</v>
      </c>
      <c r="BV2512">
        <v>0.08</v>
      </c>
      <c r="BW2512">
        <v>0.57999999999999996</v>
      </c>
      <c r="BX2512">
        <v>-0.2</v>
      </c>
      <c r="BY2512">
        <v>1.96</v>
      </c>
      <c r="BZ2512">
        <v>-0.68</v>
      </c>
      <c r="CA2512">
        <v>0.5</v>
      </c>
      <c r="CB2512">
        <v>0.21</v>
      </c>
      <c r="CC2512">
        <v>0.8</v>
      </c>
      <c r="CD2512">
        <v>0.2</v>
      </c>
      <c r="CE2512">
        <v>-0.04</v>
      </c>
      <c r="CF2512">
        <v>-0.35</v>
      </c>
      <c r="CG2512">
        <v>0</v>
      </c>
      <c r="CH2512">
        <v>1.58</v>
      </c>
      <c r="CI2512">
        <v>0</v>
      </c>
      <c r="CJ2512">
        <v>-4.5</v>
      </c>
      <c r="CK2512">
        <v>67</v>
      </c>
      <c r="CL2512">
        <v>-1.17</v>
      </c>
      <c r="CM2512">
        <v>62</v>
      </c>
      <c r="CN2512">
        <v>-0.68</v>
      </c>
      <c r="CO2512">
        <v>61</v>
      </c>
      <c r="CP2512">
        <v>-2.4</v>
      </c>
      <c r="CQ2512">
        <v>51</v>
      </c>
      <c r="CR2512">
        <v>0</v>
      </c>
      <c r="CS2512">
        <v>0</v>
      </c>
      <c r="CT2512">
        <v>7.2</v>
      </c>
      <c r="CU2512">
        <v>48</v>
      </c>
      <c r="CV2512">
        <v>0.21</v>
      </c>
      <c r="CW2512">
        <v>39</v>
      </c>
      <c r="CX2512" t="s">
        <v>2073</v>
      </c>
    </row>
    <row r="2513" spans="1:102" x14ac:dyDescent="0.3">
      <c r="A2513" t="str">
        <f>HYPERLINK("https://webapp.icbf.com/v2/app/bull-search/view/77858413","DKD")</f>
        <v>DKD</v>
      </c>
      <c r="B2513" t="s">
        <v>733</v>
      </c>
      <c r="C2513" t="s">
        <v>734</v>
      </c>
      <c r="D2513" s="1">
        <v>32758</v>
      </c>
      <c r="E2513" t="s">
        <v>92</v>
      </c>
      <c r="F2513">
        <v>100</v>
      </c>
      <c r="G2513" t="s">
        <v>109</v>
      </c>
      <c r="H2513">
        <v>34.58</v>
      </c>
      <c r="I2513">
        <v>85</v>
      </c>
      <c r="J2513">
        <v>25.37</v>
      </c>
      <c r="K2513">
        <v>95</v>
      </c>
      <c r="L2513">
        <v>-28.13</v>
      </c>
      <c r="M2513">
        <v>88</v>
      </c>
      <c r="N2513">
        <v>29.78</v>
      </c>
      <c r="O2513">
        <v>72</v>
      </c>
      <c r="P2513">
        <v>-5.5</v>
      </c>
      <c r="Q2513">
        <v>76</v>
      </c>
      <c r="R2513">
        <v>-8.6300000000000008</v>
      </c>
      <c r="S2513">
        <v>80</v>
      </c>
      <c r="T2513">
        <v>18.190000000000001</v>
      </c>
      <c r="U2513">
        <v>71</v>
      </c>
      <c r="V2513">
        <v>3.5</v>
      </c>
      <c r="W2513">
        <v>64</v>
      </c>
      <c r="X2513" t="s">
        <v>276</v>
      </c>
      <c r="Y2513" t="s">
        <v>95</v>
      </c>
      <c r="Z2513" t="s">
        <v>96</v>
      </c>
      <c r="AA2513" t="s">
        <v>724</v>
      </c>
      <c r="AB2513" t="s">
        <v>735</v>
      </c>
      <c r="AC2513">
        <v>44</v>
      </c>
      <c r="AD2513">
        <v>37</v>
      </c>
      <c r="AE2513">
        <v>95</v>
      </c>
      <c r="AF2513">
        <v>235.86</v>
      </c>
      <c r="AG2513">
        <v>1.99</v>
      </c>
      <c r="AH2513">
        <v>7.22</v>
      </c>
      <c r="AI2513">
        <v>-0.12</v>
      </c>
      <c r="AJ2513">
        <v>-0.01</v>
      </c>
      <c r="AK2513">
        <v>88</v>
      </c>
      <c r="AL2513">
        <v>58</v>
      </c>
      <c r="AM2513">
        <v>37</v>
      </c>
      <c r="AN2513">
        <v>1.77</v>
      </c>
      <c r="AO2513">
        <v>-0.47</v>
      </c>
      <c r="AP2513">
        <v>5</v>
      </c>
      <c r="AQ2513">
        <v>1</v>
      </c>
      <c r="AR2513">
        <v>5.04</v>
      </c>
      <c r="AS2513">
        <v>57</v>
      </c>
      <c r="AT2513">
        <v>2.34</v>
      </c>
      <c r="AU2513">
        <v>87</v>
      </c>
      <c r="AV2513">
        <v>-2.3199999999999998</v>
      </c>
      <c r="AW2513">
        <v>70</v>
      </c>
      <c r="AX2513">
        <v>-0.62</v>
      </c>
      <c r="AY2513">
        <v>72</v>
      </c>
      <c r="AZ2513">
        <v>7.18</v>
      </c>
      <c r="BA2513">
        <v>51</v>
      </c>
      <c r="BB2513">
        <v>5.23</v>
      </c>
      <c r="BC2513">
        <v>61</v>
      </c>
      <c r="BD2513">
        <v>-0.01</v>
      </c>
      <c r="BE2513">
        <v>0.05</v>
      </c>
      <c r="BF2513">
        <v>0.12</v>
      </c>
      <c r="BG2513">
        <v>94</v>
      </c>
      <c r="BH2513">
        <v>0.05</v>
      </c>
      <c r="BI2513">
        <v>-5.51</v>
      </c>
      <c r="BJ2513">
        <v>4</v>
      </c>
      <c r="BK2513">
        <v>3</v>
      </c>
      <c r="BL2513">
        <v>0.3</v>
      </c>
      <c r="BM2513">
        <v>-0.6</v>
      </c>
      <c r="BN2513">
        <v>-1.43</v>
      </c>
      <c r="BO2513">
        <v>-0.02</v>
      </c>
      <c r="BP2513">
        <v>-1.4</v>
      </c>
      <c r="BQ2513">
        <v>0.19</v>
      </c>
      <c r="BR2513">
        <v>-0.51</v>
      </c>
      <c r="BS2513">
        <v>-0.73</v>
      </c>
      <c r="BT2513">
        <v>-0.19</v>
      </c>
      <c r="BU2513">
        <v>-0.67</v>
      </c>
      <c r="BV2513">
        <v>-0.77</v>
      </c>
      <c r="BW2513">
        <v>-0.57999999999999996</v>
      </c>
      <c r="BX2513">
        <v>-0.37</v>
      </c>
      <c r="BY2513">
        <v>-0.56000000000000005</v>
      </c>
      <c r="BZ2513">
        <v>1.1499999999999999</v>
      </c>
      <c r="CA2513">
        <v>-0.34</v>
      </c>
      <c r="CB2513">
        <v>-0.59</v>
      </c>
      <c r="CC2513">
        <v>-0.77</v>
      </c>
      <c r="CD2513">
        <v>-0.3</v>
      </c>
      <c r="CE2513">
        <v>0.23</v>
      </c>
      <c r="CF2513">
        <v>-0.54</v>
      </c>
      <c r="CG2513">
        <v>0</v>
      </c>
      <c r="CH2513">
        <v>-0.19</v>
      </c>
      <c r="CI2513">
        <v>0</v>
      </c>
      <c r="CJ2513">
        <v>-0.6</v>
      </c>
      <c r="CK2513">
        <v>77</v>
      </c>
      <c r="CL2513">
        <v>-0.76</v>
      </c>
      <c r="CM2513">
        <v>75</v>
      </c>
      <c r="CN2513">
        <v>-0.38</v>
      </c>
      <c r="CO2513">
        <v>72</v>
      </c>
      <c r="CP2513">
        <v>-8.5</v>
      </c>
      <c r="CQ2513">
        <v>81</v>
      </c>
      <c r="CR2513">
        <v>0</v>
      </c>
      <c r="CS2513">
        <v>0</v>
      </c>
      <c r="CT2513">
        <v>-10.8</v>
      </c>
      <c r="CU2513">
        <v>71</v>
      </c>
      <c r="CV2513">
        <v>0.18</v>
      </c>
      <c r="CW2513">
        <v>41</v>
      </c>
      <c r="CX2513" t="s">
        <v>707</v>
      </c>
    </row>
    <row r="2514" spans="1:102" x14ac:dyDescent="0.3">
      <c r="A2514" t="str">
        <f>HYPERLINK("https://webapp.icbf.com/v2/app/bull-search/view/444583006","HXU")</f>
        <v>HXU</v>
      </c>
      <c r="B2514" t="s">
        <v>4551</v>
      </c>
      <c r="C2514" t="s">
        <v>4552</v>
      </c>
      <c r="D2514" s="1">
        <v>35699</v>
      </c>
      <c r="E2514" t="s">
        <v>92</v>
      </c>
      <c r="F2514">
        <v>100</v>
      </c>
      <c r="G2514" t="s">
        <v>109</v>
      </c>
      <c r="H2514">
        <v>34.54</v>
      </c>
      <c r="I2514">
        <v>86</v>
      </c>
      <c r="J2514">
        <v>26.23</v>
      </c>
      <c r="K2514">
        <v>95</v>
      </c>
      <c r="L2514">
        <v>-12.44</v>
      </c>
      <c r="M2514">
        <v>87</v>
      </c>
      <c r="N2514">
        <v>20.63</v>
      </c>
      <c r="O2514">
        <v>77</v>
      </c>
      <c r="P2514">
        <v>-9.27</v>
      </c>
      <c r="Q2514">
        <v>83</v>
      </c>
      <c r="R2514">
        <v>-3.74</v>
      </c>
      <c r="S2514">
        <v>80</v>
      </c>
      <c r="T2514">
        <v>8.7899999999999991</v>
      </c>
      <c r="U2514">
        <v>67</v>
      </c>
      <c r="V2514">
        <v>4.34</v>
      </c>
      <c r="W2514">
        <v>73</v>
      </c>
      <c r="X2514" t="s">
        <v>102</v>
      </c>
      <c r="Y2514" t="s">
        <v>221</v>
      </c>
      <c r="Z2514" t="s">
        <v>96</v>
      </c>
      <c r="AA2514" t="s">
        <v>1278</v>
      </c>
      <c r="AB2514" t="s">
        <v>4553</v>
      </c>
      <c r="AC2514">
        <v>25</v>
      </c>
      <c r="AD2514">
        <v>15</v>
      </c>
      <c r="AE2514">
        <v>95</v>
      </c>
      <c r="AF2514">
        <v>286.83</v>
      </c>
      <c r="AG2514">
        <v>5.09</v>
      </c>
      <c r="AH2514">
        <v>7.05</v>
      </c>
      <c r="AI2514">
        <v>-0.1</v>
      </c>
      <c r="AJ2514">
        <v>-0.04</v>
      </c>
      <c r="AK2514">
        <v>87</v>
      </c>
      <c r="AL2514">
        <v>38</v>
      </c>
      <c r="AM2514">
        <v>20</v>
      </c>
      <c r="AN2514">
        <v>-0.71</v>
      </c>
      <c r="AO2514">
        <v>-1.72</v>
      </c>
      <c r="AP2514">
        <v>31</v>
      </c>
      <c r="AQ2514">
        <v>0</v>
      </c>
      <c r="AR2514">
        <v>6.58</v>
      </c>
      <c r="AS2514">
        <v>60</v>
      </c>
      <c r="AT2514">
        <v>3.07</v>
      </c>
      <c r="AU2514">
        <v>87</v>
      </c>
      <c r="AV2514">
        <v>-2.08</v>
      </c>
      <c r="AW2514">
        <v>85</v>
      </c>
      <c r="AX2514">
        <v>-0.84</v>
      </c>
      <c r="AY2514">
        <v>65</v>
      </c>
      <c r="AZ2514">
        <v>6.7</v>
      </c>
      <c r="BA2514">
        <v>53</v>
      </c>
      <c r="BB2514">
        <v>5.14</v>
      </c>
      <c r="BC2514">
        <v>56</v>
      </c>
      <c r="BD2514">
        <v>0.03</v>
      </c>
      <c r="BE2514">
        <v>0.04</v>
      </c>
      <c r="BF2514">
        <v>-0.04</v>
      </c>
      <c r="BG2514">
        <v>91</v>
      </c>
      <c r="BH2514">
        <v>0.23</v>
      </c>
      <c r="BI2514">
        <v>12.6</v>
      </c>
      <c r="BJ2514">
        <v>1</v>
      </c>
      <c r="BK2514">
        <v>1</v>
      </c>
      <c r="BL2514">
        <v>0.15</v>
      </c>
      <c r="BM2514">
        <v>0.1</v>
      </c>
      <c r="BN2514">
        <v>0.01</v>
      </c>
      <c r="BO2514">
        <v>-0.06</v>
      </c>
      <c r="BP2514">
        <v>-1.53</v>
      </c>
      <c r="BQ2514">
        <v>0.7</v>
      </c>
      <c r="BR2514">
        <v>3.49</v>
      </c>
      <c r="BS2514">
        <v>-2.71</v>
      </c>
      <c r="BT2514">
        <v>-2.61</v>
      </c>
      <c r="BU2514">
        <v>0.69</v>
      </c>
      <c r="BV2514">
        <v>-0.42</v>
      </c>
      <c r="BW2514">
        <v>0.22</v>
      </c>
      <c r="BX2514">
        <v>0.56999999999999995</v>
      </c>
      <c r="BY2514">
        <v>0.93</v>
      </c>
      <c r="BZ2514">
        <v>-0.73</v>
      </c>
      <c r="CA2514">
        <v>-0.53</v>
      </c>
      <c r="CB2514">
        <v>0.41</v>
      </c>
      <c r="CC2514">
        <v>-2.06</v>
      </c>
      <c r="CD2514">
        <v>-0.37</v>
      </c>
      <c r="CE2514">
        <v>0.09</v>
      </c>
      <c r="CF2514">
        <v>0.01</v>
      </c>
      <c r="CG2514">
        <v>0</v>
      </c>
      <c r="CH2514">
        <v>0.79</v>
      </c>
      <c r="CI2514">
        <v>0</v>
      </c>
      <c r="CJ2514">
        <v>-2</v>
      </c>
      <c r="CK2514">
        <v>85</v>
      </c>
      <c r="CL2514">
        <v>-0.85</v>
      </c>
      <c r="CM2514">
        <v>82</v>
      </c>
      <c r="CN2514">
        <v>-0.21</v>
      </c>
      <c r="CO2514">
        <v>80</v>
      </c>
      <c r="CP2514">
        <v>-1.3</v>
      </c>
      <c r="CQ2514">
        <v>79</v>
      </c>
      <c r="CR2514">
        <v>0</v>
      </c>
      <c r="CS2514">
        <v>0</v>
      </c>
      <c r="CT2514">
        <v>1.9</v>
      </c>
      <c r="CU2514">
        <v>67</v>
      </c>
      <c r="CV2514">
        <v>0.21</v>
      </c>
      <c r="CW2514">
        <v>43</v>
      </c>
      <c r="CX2514" t="s">
        <v>180</v>
      </c>
    </row>
    <row r="2515" spans="1:102" x14ac:dyDescent="0.3">
      <c r="A2515" t="str">
        <f>HYPERLINK("https://webapp.icbf.com/v2/app/bull-search/view/409039100","MPX")</f>
        <v>MPX</v>
      </c>
      <c r="B2515" t="s">
        <v>11988</v>
      </c>
      <c r="C2515" t="s">
        <v>11989</v>
      </c>
      <c r="D2515" s="1">
        <v>36030</v>
      </c>
      <c r="E2515" t="s">
        <v>92</v>
      </c>
      <c r="F2515">
        <v>100</v>
      </c>
      <c r="G2515" t="s">
        <v>109</v>
      </c>
      <c r="H2515">
        <v>34.54</v>
      </c>
      <c r="I2515">
        <v>70</v>
      </c>
      <c r="J2515">
        <v>82.22</v>
      </c>
      <c r="K2515">
        <v>82</v>
      </c>
      <c r="L2515">
        <v>-33.94</v>
      </c>
      <c r="M2515">
        <v>79</v>
      </c>
      <c r="N2515">
        <v>-8.85</v>
      </c>
      <c r="O2515">
        <v>49</v>
      </c>
      <c r="P2515">
        <v>-19.989999999999998</v>
      </c>
      <c r="Q2515">
        <v>58</v>
      </c>
      <c r="R2515">
        <v>0.48</v>
      </c>
      <c r="S2515">
        <v>60</v>
      </c>
      <c r="T2515">
        <v>17.53</v>
      </c>
      <c r="U2515">
        <v>50</v>
      </c>
      <c r="V2515">
        <v>-2.91</v>
      </c>
      <c r="W2515">
        <v>17</v>
      </c>
      <c r="X2515" t="s">
        <v>94</v>
      </c>
      <c r="Y2515" t="s">
        <v>95</v>
      </c>
      <c r="Z2515" t="s">
        <v>96</v>
      </c>
      <c r="AA2515" t="s">
        <v>1366</v>
      </c>
      <c r="AB2515" t="s">
        <v>11990</v>
      </c>
      <c r="AC2515">
        <v>0</v>
      </c>
      <c r="AD2515">
        <v>0</v>
      </c>
      <c r="AE2515">
        <v>82</v>
      </c>
      <c r="AF2515">
        <v>108.12</v>
      </c>
      <c r="AG2515">
        <v>19.64</v>
      </c>
      <c r="AH2515">
        <v>8.69</v>
      </c>
      <c r="AI2515">
        <v>0.25</v>
      </c>
      <c r="AJ2515">
        <v>0.08</v>
      </c>
      <c r="AK2515">
        <v>79</v>
      </c>
      <c r="AL2515">
        <v>0</v>
      </c>
      <c r="AM2515">
        <v>0</v>
      </c>
      <c r="AN2515">
        <v>2.34</v>
      </c>
      <c r="AO2515">
        <v>-0.36</v>
      </c>
      <c r="AP2515">
        <v>15</v>
      </c>
      <c r="AQ2515">
        <v>0</v>
      </c>
      <c r="AR2515">
        <v>8.44</v>
      </c>
      <c r="AS2515">
        <v>20</v>
      </c>
      <c r="AT2515">
        <v>3.78</v>
      </c>
      <c r="AU2515">
        <v>89</v>
      </c>
      <c r="AV2515">
        <v>-0.24</v>
      </c>
      <c r="AW2515">
        <v>44</v>
      </c>
      <c r="AX2515">
        <v>0.28000000000000003</v>
      </c>
      <c r="AY2515">
        <v>39</v>
      </c>
      <c r="AZ2515">
        <v>6.19</v>
      </c>
      <c r="BA2515">
        <v>20</v>
      </c>
      <c r="BB2515">
        <v>5.38</v>
      </c>
      <c r="BC2515">
        <v>21</v>
      </c>
      <c r="BD2515">
        <v>0</v>
      </c>
      <c r="BE2515">
        <v>0.01</v>
      </c>
      <c r="BF2515">
        <v>-0.03</v>
      </c>
      <c r="BG2515">
        <v>88</v>
      </c>
      <c r="BH2515">
        <v>-0.02</v>
      </c>
      <c r="BI2515">
        <v>7.06</v>
      </c>
      <c r="BJ2515">
        <v>2</v>
      </c>
      <c r="BK2515">
        <v>2</v>
      </c>
      <c r="BL2515">
        <v>-0.25</v>
      </c>
      <c r="BM2515">
        <v>1.29</v>
      </c>
      <c r="BN2515">
        <v>0.2</v>
      </c>
      <c r="BO2515">
        <v>-0.64</v>
      </c>
      <c r="BP2515">
        <v>3.33</v>
      </c>
      <c r="BQ2515">
        <v>-0.91</v>
      </c>
      <c r="BR2515">
        <v>-0.28000000000000003</v>
      </c>
      <c r="BS2515">
        <v>-0.15</v>
      </c>
      <c r="BT2515">
        <v>-0.39</v>
      </c>
      <c r="BU2515">
        <v>-0.12</v>
      </c>
      <c r="BV2515">
        <v>-0.72</v>
      </c>
      <c r="BW2515">
        <v>-1.58</v>
      </c>
      <c r="BX2515">
        <v>-0.38</v>
      </c>
      <c r="BY2515">
        <v>-1.22</v>
      </c>
      <c r="BZ2515">
        <v>-2.2200000000000002</v>
      </c>
      <c r="CA2515">
        <v>-0.49</v>
      </c>
      <c r="CB2515">
        <v>-0.34</v>
      </c>
      <c r="CC2515">
        <v>-0.55000000000000004</v>
      </c>
      <c r="CD2515">
        <v>0.51</v>
      </c>
      <c r="CE2515">
        <v>0.35</v>
      </c>
      <c r="CF2515">
        <v>-0.13</v>
      </c>
      <c r="CG2515">
        <v>0</v>
      </c>
      <c r="CH2515">
        <v>0.36</v>
      </c>
      <c r="CI2515">
        <v>0</v>
      </c>
      <c r="CJ2515">
        <v>-8</v>
      </c>
      <c r="CK2515">
        <v>61</v>
      </c>
      <c r="CL2515">
        <v>-0.79</v>
      </c>
      <c r="CM2515">
        <v>56</v>
      </c>
      <c r="CN2515">
        <v>-0.01</v>
      </c>
      <c r="CO2515">
        <v>52</v>
      </c>
      <c r="CP2515">
        <v>-6.1</v>
      </c>
      <c r="CQ2515">
        <v>55</v>
      </c>
      <c r="CR2515">
        <v>0</v>
      </c>
      <c r="CS2515">
        <v>0</v>
      </c>
      <c r="CT2515">
        <v>-9.9</v>
      </c>
      <c r="CU2515">
        <v>50</v>
      </c>
      <c r="CV2515">
        <v>0.13</v>
      </c>
      <c r="CW2515">
        <v>16</v>
      </c>
      <c r="CX2515" t="s">
        <v>265</v>
      </c>
    </row>
    <row r="2516" spans="1:102" x14ac:dyDescent="0.3">
      <c r="A2516" t="str">
        <f>HYPERLINK("https://webapp.icbf.com/v2/app/bull-search/view/500525995","KIF")</f>
        <v>KIF</v>
      </c>
      <c r="B2516" t="s">
        <v>1551</v>
      </c>
      <c r="C2516" t="s">
        <v>1552</v>
      </c>
      <c r="D2516" s="1">
        <v>39133</v>
      </c>
      <c r="E2516" t="s">
        <v>92</v>
      </c>
      <c r="F2516">
        <v>88</v>
      </c>
      <c r="G2516" t="s">
        <v>93</v>
      </c>
      <c r="H2516">
        <v>34.46</v>
      </c>
      <c r="I2516">
        <v>87</v>
      </c>
      <c r="J2516">
        <v>85.5</v>
      </c>
      <c r="K2516">
        <v>97</v>
      </c>
      <c r="L2516">
        <v>-62.5</v>
      </c>
      <c r="M2516">
        <v>78</v>
      </c>
      <c r="N2516">
        <v>11.93</v>
      </c>
      <c r="O2516">
        <v>85</v>
      </c>
      <c r="P2516">
        <v>-7.4</v>
      </c>
      <c r="Q2516">
        <v>92</v>
      </c>
      <c r="R2516">
        <v>-1.99</v>
      </c>
      <c r="S2516">
        <v>82</v>
      </c>
      <c r="T2516">
        <v>-1.71</v>
      </c>
      <c r="U2516">
        <v>87</v>
      </c>
      <c r="V2516">
        <v>10.63</v>
      </c>
      <c r="W2516">
        <v>84</v>
      </c>
      <c r="X2516" t="s">
        <v>94</v>
      </c>
      <c r="Y2516" t="s">
        <v>1405</v>
      </c>
      <c r="Z2516" t="s">
        <v>96</v>
      </c>
      <c r="AA2516" t="s">
        <v>1406</v>
      </c>
      <c r="AB2516" t="s">
        <v>1553</v>
      </c>
      <c r="AC2516">
        <v>95</v>
      </c>
      <c r="AD2516">
        <v>64</v>
      </c>
      <c r="AE2516">
        <v>97</v>
      </c>
      <c r="AF2516">
        <v>175.91</v>
      </c>
      <c r="AG2516">
        <v>14.06</v>
      </c>
      <c r="AH2516">
        <v>12.26</v>
      </c>
      <c r="AI2516">
        <v>0.12</v>
      </c>
      <c r="AJ2516">
        <v>0.11</v>
      </c>
      <c r="AK2516">
        <v>78</v>
      </c>
      <c r="AL2516">
        <v>93</v>
      </c>
      <c r="AM2516">
        <v>57</v>
      </c>
      <c r="AN2516">
        <v>3.74</v>
      </c>
      <c r="AO2516">
        <v>-1.24</v>
      </c>
      <c r="AP2516">
        <v>216</v>
      </c>
      <c r="AQ2516">
        <v>0</v>
      </c>
      <c r="AR2516">
        <v>7.9</v>
      </c>
      <c r="AS2516">
        <v>67</v>
      </c>
      <c r="AT2516">
        <v>2.52</v>
      </c>
      <c r="AU2516">
        <v>88</v>
      </c>
      <c r="AV2516">
        <v>-1.6</v>
      </c>
      <c r="AW2516">
        <v>96</v>
      </c>
      <c r="AX2516">
        <v>0.66</v>
      </c>
      <c r="AY2516">
        <v>81</v>
      </c>
      <c r="AZ2516">
        <v>7.53</v>
      </c>
      <c r="BA2516">
        <v>66</v>
      </c>
      <c r="BB2516">
        <v>5.34</v>
      </c>
      <c r="BC2516">
        <v>66</v>
      </c>
      <c r="BD2516">
        <v>0.01</v>
      </c>
      <c r="BE2516">
        <v>0.01</v>
      </c>
      <c r="BF2516">
        <v>0.01</v>
      </c>
      <c r="BG2516">
        <v>88</v>
      </c>
      <c r="BH2516">
        <v>0.14000000000000001</v>
      </c>
      <c r="BI2516">
        <v>-18.100000000000001</v>
      </c>
      <c r="BJ2516">
        <v>9</v>
      </c>
      <c r="BK2516">
        <v>8</v>
      </c>
      <c r="BL2516">
        <v>-0.87</v>
      </c>
      <c r="BM2516">
        <v>1.1399999999999999</v>
      </c>
      <c r="BN2516">
        <v>0.22</v>
      </c>
      <c r="BO2516">
        <v>-0.66</v>
      </c>
      <c r="BP2516">
        <v>1.36</v>
      </c>
      <c r="BQ2516">
        <v>-1.31</v>
      </c>
      <c r="BR2516">
        <v>0.1</v>
      </c>
      <c r="BS2516">
        <v>-1.97</v>
      </c>
      <c r="BT2516">
        <v>-0.45</v>
      </c>
      <c r="BU2516">
        <v>-2.64</v>
      </c>
      <c r="BV2516">
        <v>-2.04</v>
      </c>
      <c r="BW2516">
        <v>-1.46</v>
      </c>
      <c r="BX2516">
        <v>-2.63</v>
      </c>
      <c r="BY2516">
        <v>-0.66</v>
      </c>
      <c r="BZ2516">
        <v>0.61</v>
      </c>
      <c r="CA2516">
        <v>-2.14</v>
      </c>
      <c r="CB2516">
        <v>-1.95</v>
      </c>
      <c r="CC2516">
        <v>-1.94</v>
      </c>
      <c r="CD2516">
        <v>0.46</v>
      </c>
      <c r="CE2516">
        <v>-0.33</v>
      </c>
      <c r="CF2516">
        <v>-0.7</v>
      </c>
      <c r="CG2516">
        <v>0</v>
      </c>
      <c r="CH2516">
        <v>-0.65</v>
      </c>
      <c r="CI2516">
        <v>0</v>
      </c>
      <c r="CJ2516">
        <v>-1.8</v>
      </c>
      <c r="CK2516">
        <v>93</v>
      </c>
      <c r="CL2516">
        <v>-0.57999999999999996</v>
      </c>
      <c r="CM2516">
        <v>91</v>
      </c>
      <c r="CN2516">
        <v>-0.13</v>
      </c>
      <c r="CO2516">
        <v>90</v>
      </c>
      <c r="CP2516">
        <v>-3</v>
      </c>
      <c r="CQ2516">
        <v>90</v>
      </c>
      <c r="CR2516">
        <v>0</v>
      </c>
      <c r="CS2516">
        <v>0</v>
      </c>
      <c r="CT2516">
        <v>16.100000000000001</v>
      </c>
      <c r="CU2516">
        <v>87</v>
      </c>
      <c r="CV2516">
        <v>0.03</v>
      </c>
      <c r="CW2516">
        <v>44</v>
      </c>
      <c r="CX2516" t="s">
        <v>906</v>
      </c>
    </row>
    <row r="2517" spans="1:102" x14ac:dyDescent="0.3">
      <c r="A2517" t="str">
        <f>HYPERLINK("https://webapp.icbf.com/v2/app/bull-search/view/586069616","RDO")</f>
        <v>RDO</v>
      </c>
      <c r="B2517" t="s">
        <v>1568</v>
      </c>
      <c r="C2517" t="s">
        <v>1569</v>
      </c>
      <c r="D2517" s="1">
        <v>38151</v>
      </c>
      <c r="E2517" t="s">
        <v>92</v>
      </c>
      <c r="F2517">
        <v>100</v>
      </c>
      <c r="G2517" t="s">
        <v>93</v>
      </c>
      <c r="H2517">
        <v>34.31</v>
      </c>
      <c r="I2517">
        <v>93</v>
      </c>
      <c r="J2517">
        <v>22.19</v>
      </c>
      <c r="K2517">
        <v>98</v>
      </c>
      <c r="L2517">
        <v>-16.38</v>
      </c>
      <c r="M2517">
        <v>91</v>
      </c>
      <c r="N2517">
        <v>22.47</v>
      </c>
      <c r="O2517">
        <v>92</v>
      </c>
      <c r="P2517">
        <v>-14.19</v>
      </c>
      <c r="Q2517">
        <v>96</v>
      </c>
      <c r="R2517">
        <v>3.83</v>
      </c>
      <c r="S2517">
        <v>85</v>
      </c>
      <c r="T2517">
        <v>13.01</v>
      </c>
      <c r="U2517">
        <v>92</v>
      </c>
      <c r="V2517">
        <v>3.38</v>
      </c>
      <c r="W2517">
        <v>80</v>
      </c>
      <c r="X2517" t="s">
        <v>102</v>
      </c>
      <c r="Y2517" t="s">
        <v>235</v>
      </c>
      <c r="Z2517" t="s">
        <v>96</v>
      </c>
      <c r="AA2517" t="s">
        <v>277</v>
      </c>
      <c r="AB2517" t="s">
        <v>1570</v>
      </c>
      <c r="AC2517">
        <v>152</v>
      </c>
      <c r="AD2517">
        <v>90</v>
      </c>
      <c r="AE2517">
        <v>98</v>
      </c>
      <c r="AF2517">
        <v>270.58</v>
      </c>
      <c r="AG2517">
        <v>3.49</v>
      </c>
      <c r="AH2517">
        <v>6.68</v>
      </c>
      <c r="AI2517">
        <v>-0.12</v>
      </c>
      <c r="AJ2517">
        <v>-0.04</v>
      </c>
      <c r="AK2517">
        <v>91</v>
      </c>
      <c r="AL2517">
        <v>163</v>
      </c>
      <c r="AM2517">
        <v>91</v>
      </c>
      <c r="AN2517">
        <v>1.39</v>
      </c>
      <c r="AO2517">
        <v>0.09</v>
      </c>
      <c r="AP2517">
        <v>327</v>
      </c>
      <c r="AQ2517">
        <v>1</v>
      </c>
      <c r="AR2517">
        <v>8.19</v>
      </c>
      <c r="AS2517">
        <v>90</v>
      </c>
      <c r="AT2517">
        <v>3.73</v>
      </c>
      <c r="AU2517">
        <v>94</v>
      </c>
      <c r="AV2517">
        <v>-3.29</v>
      </c>
      <c r="AW2517">
        <v>97</v>
      </c>
      <c r="AX2517">
        <v>-0.81</v>
      </c>
      <c r="AY2517">
        <v>91</v>
      </c>
      <c r="AZ2517">
        <v>5.35</v>
      </c>
      <c r="BA2517">
        <v>81</v>
      </c>
      <c r="BB2517">
        <v>5</v>
      </c>
      <c r="BC2517">
        <v>78</v>
      </c>
      <c r="BD2517">
        <v>0</v>
      </c>
      <c r="BE2517">
        <v>-0.02</v>
      </c>
      <c r="BF2517">
        <v>-0.05</v>
      </c>
      <c r="BG2517">
        <v>94</v>
      </c>
      <c r="BH2517">
        <v>7.0000000000000007E-2</v>
      </c>
      <c r="BI2517">
        <v>-2.81</v>
      </c>
      <c r="BJ2517">
        <v>62</v>
      </c>
      <c r="BK2517">
        <v>35</v>
      </c>
      <c r="BL2517">
        <v>0.96</v>
      </c>
      <c r="BM2517">
        <v>0.22</v>
      </c>
      <c r="BN2517">
        <v>0.5</v>
      </c>
      <c r="BO2517">
        <v>0.55000000000000004</v>
      </c>
      <c r="BP2517">
        <v>-0.96</v>
      </c>
      <c r="BQ2517">
        <v>0.19</v>
      </c>
      <c r="BR2517">
        <v>0.55000000000000004</v>
      </c>
      <c r="BS2517">
        <v>0.13</v>
      </c>
      <c r="BT2517">
        <v>-0.14000000000000001</v>
      </c>
      <c r="BU2517">
        <v>0.28999999999999998</v>
      </c>
      <c r="BV2517">
        <v>0.53</v>
      </c>
      <c r="BW2517">
        <v>0.03</v>
      </c>
      <c r="BX2517">
        <v>0.18</v>
      </c>
      <c r="BY2517">
        <v>-0.03</v>
      </c>
      <c r="BZ2517">
        <v>-0.87</v>
      </c>
      <c r="CA2517">
        <v>0.66</v>
      </c>
      <c r="CB2517">
        <v>0.37</v>
      </c>
      <c r="CC2517">
        <v>0.64</v>
      </c>
      <c r="CD2517">
        <v>-0.66</v>
      </c>
      <c r="CE2517">
        <v>0.59</v>
      </c>
      <c r="CF2517">
        <v>0.44</v>
      </c>
      <c r="CG2517">
        <v>0</v>
      </c>
      <c r="CH2517">
        <v>-0.09</v>
      </c>
      <c r="CI2517">
        <v>0</v>
      </c>
      <c r="CJ2517">
        <v>-4.8</v>
      </c>
      <c r="CK2517">
        <v>96</v>
      </c>
      <c r="CL2517">
        <v>-1.04</v>
      </c>
      <c r="CM2517">
        <v>96</v>
      </c>
      <c r="CN2517">
        <v>-0.34</v>
      </c>
      <c r="CO2517">
        <v>95</v>
      </c>
      <c r="CP2517">
        <v>-5.4</v>
      </c>
      <c r="CQ2517">
        <v>93</v>
      </c>
      <c r="CR2517">
        <v>0</v>
      </c>
      <c r="CS2517">
        <v>0</v>
      </c>
      <c r="CT2517">
        <v>-3.8</v>
      </c>
      <c r="CU2517">
        <v>92</v>
      </c>
      <c r="CV2517">
        <v>0.18</v>
      </c>
      <c r="CW2517">
        <v>46</v>
      </c>
      <c r="CX2517" t="s">
        <v>216</v>
      </c>
    </row>
    <row r="2518" spans="1:102" x14ac:dyDescent="0.3">
      <c r="A2518" t="str">
        <f>HYPERLINK("https://webapp.icbf.com/v2/app/bull-search/view/77858644","CTV")</f>
        <v>CTV</v>
      </c>
      <c r="B2518" t="s">
        <v>4675</v>
      </c>
      <c r="C2518" t="s">
        <v>4676</v>
      </c>
      <c r="D2518" s="1">
        <v>31656</v>
      </c>
      <c r="E2518" t="s">
        <v>92</v>
      </c>
      <c r="F2518">
        <v>56</v>
      </c>
      <c r="G2518" t="s">
        <v>93</v>
      </c>
      <c r="H2518">
        <v>34.29</v>
      </c>
      <c r="I2518">
        <v>87</v>
      </c>
      <c r="J2518">
        <v>-10.220000000000001</v>
      </c>
      <c r="K2518">
        <v>96</v>
      </c>
      <c r="L2518">
        <v>45.52</v>
      </c>
      <c r="M2518">
        <v>87</v>
      </c>
      <c r="N2518">
        <v>2.76</v>
      </c>
      <c r="O2518">
        <v>74</v>
      </c>
      <c r="P2518">
        <v>-31.62</v>
      </c>
      <c r="Q2518">
        <v>83</v>
      </c>
      <c r="R2518">
        <v>-8.44</v>
      </c>
      <c r="S2518">
        <v>78</v>
      </c>
      <c r="T2518">
        <v>31.44</v>
      </c>
      <c r="U2518">
        <v>84</v>
      </c>
      <c r="V2518">
        <v>4.8499999999999996</v>
      </c>
      <c r="W2518">
        <v>60</v>
      </c>
      <c r="X2518" t="s">
        <v>110</v>
      </c>
      <c r="Y2518" t="s">
        <v>95</v>
      </c>
      <c r="Z2518" t="s">
        <v>528</v>
      </c>
      <c r="AA2518" t="s">
        <v>2844</v>
      </c>
      <c r="AB2518" t="s">
        <v>4677</v>
      </c>
      <c r="AC2518">
        <v>80</v>
      </c>
      <c r="AD2518">
        <v>47</v>
      </c>
      <c r="AE2518">
        <v>96</v>
      </c>
      <c r="AF2518">
        <v>-213.09</v>
      </c>
      <c r="AG2518">
        <v>0.48</v>
      </c>
      <c r="AH2518">
        <v>-5.17</v>
      </c>
      <c r="AI2518">
        <v>0.16</v>
      </c>
      <c r="AJ2518">
        <v>0.04</v>
      </c>
      <c r="AK2518">
        <v>87</v>
      </c>
      <c r="AL2518">
        <v>163</v>
      </c>
      <c r="AM2518">
        <v>77</v>
      </c>
      <c r="AN2518">
        <v>-3.24</v>
      </c>
      <c r="AO2518">
        <v>0.38</v>
      </c>
      <c r="AP2518">
        <v>5</v>
      </c>
      <c r="AQ2518">
        <v>0</v>
      </c>
      <c r="AR2518">
        <v>4.63</v>
      </c>
      <c r="AS2518">
        <v>51</v>
      </c>
      <c r="AT2518">
        <v>1.8</v>
      </c>
      <c r="AU2518">
        <v>82</v>
      </c>
      <c r="AV2518">
        <v>-0.16</v>
      </c>
      <c r="AW2518">
        <v>78</v>
      </c>
      <c r="AX2518">
        <v>0.08</v>
      </c>
      <c r="AY2518">
        <v>74</v>
      </c>
      <c r="AZ2518">
        <v>8.24</v>
      </c>
      <c r="BA2518">
        <v>46</v>
      </c>
      <c r="BB2518">
        <v>7</v>
      </c>
      <c r="BC2518">
        <v>65</v>
      </c>
      <c r="BD2518">
        <v>0</v>
      </c>
      <c r="BE2518">
        <v>0.06</v>
      </c>
      <c r="BF2518">
        <v>0.08</v>
      </c>
      <c r="BG2518">
        <v>94</v>
      </c>
      <c r="BH2518">
        <v>0.16</v>
      </c>
      <c r="BI2518">
        <v>2.86</v>
      </c>
      <c r="BJ2518">
        <v>1</v>
      </c>
      <c r="BK2518">
        <v>1</v>
      </c>
      <c r="BL2518">
        <v>-1.47</v>
      </c>
      <c r="BM2518">
        <v>-0.38</v>
      </c>
      <c r="BN2518">
        <v>-1.3</v>
      </c>
      <c r="BO2518">
        <v>-1.36</v>
      </c>
      <c r="BP2518">
        <v>-0.7</v>
      </c>
      <c r="BQ2518">
        <v>-1.5</v>
      </c>
      <c r="BR2518">
        <v>-0.56999999999999995</v>
      </c>
      <c r="BS2518">
        <v>-0.39</v>
      </c>
      <c r="BT2518">
        <v>-0.63</v>
      </c>
      <c r="BU2518">
        <v>-2.66</v>
      </c>
      <c r="BV2518">
        <v>-2.5</v>
      </c>
      <c r="BW2518">
        <v>-3.12</v>
      </c>
      <c r="BX2518">
        <v>-3.07</v>
      </c>
      <c r="BY2518">
        <v>-4.43</v>
      </c>
      <c r="BZ2518">
        <v>2.14</v>
      </c>
      <c r="CA2518">
        <v>-2.5</v>
      </c>
      <c r="CB2518">
        <v>-3.05</v>
      </c>
      <c r="CC2518">
        <v>-0.85</v>
      </c>
      <c r="CD2518">
        <v>0.65</v>
      </c>
      <c r="CE2518">
        <v>-1.36</v>
      </c>
      <c r="CF2518">
        <v>-1.62</v>
      </c>
      <c r="CG2518">
        <v>0</v>
      </c>
      <c r="CH2518">
        <v>-4.4800000000000004</v>
      </c>
      <c r="CI2518">
        <v>0</v>
      </c>
      <c r="CJ2518">
        <v>-16</v>
      </c>
      <c r="CK2518">
        <v>84</v>
      </c>
      <c r="CL2518">
        <v>-0.65</v>
      </c>
      <c r="CM2518">
        <v>82</v>
      </c>
      <c r="CN2518">
        <v>-0.05</v>
      </c>
      <c r="CO2518">
        <v>80</v>
      </c>
      <c r="CP2518">
        <v>-22.8</v>
      </c>
      <c r="CQ2518">
        <v>87</v>
      </c>
      <c r="CR2518">
        <v>0</v>
      </c>
      <c r="CS2518">
        <v>0</v>
      </c>
      <c r="CT2518">
        <v>-28.7</v>
      </c>
      <c r="CU2518">
        <v>84</v>
      </c>
      <c r="CV2518">
        <v>0.04</v>
      </c>
      <c r="CW2518">
        <v>42</v>
      </c>
      <c r="CX2518" t="s">
        <v>617</v>
      </c>
    </row>
    <row r="2519" spans="1:102" x14ac:dyDescent="0.3">
      <c r="A2519" t="str">
        <f>HYPERLINK("https://webapp.icbf.com/v2/app/bull-search/view/77855404","LTA")</f>
        <v>LTA</v>
      </c>
      <c r="B2519" t="s">
        <v>6637</v>
      </c>
      <c r="C2519" t="s">
        <v>6638</v>
      </c>
      <c r="D2519" s="1">
        <v>35322</v>
      </c>
      <c r="E2519" t="s">
        <v>92</v>
      </c>
      <c r="F2519">
        <v>97</v>
      </c>
      <c r="G2519" t="s">
        <v>93</v>
      </c>
      <c r="H2519">
        <v>34.200000000000003</v>
      </c>
      <c r="I2519">
        <v>98</v>
      </c>
      <c r="J2519">
        <v>14.3</v>
      </c>
      <c r="K2519">
        <v>99</v>
      </c>
      <c r="L2519">
        <v>13.22</v>
      </c>
      <c r="M2519">
        <v>96</v>
      </c>
      <c r="N2519">
        <v>10.61</v>
      </c>
      <c r="O2519">
        <v>99</v>
      </c>
      <c r="P2519">
        <v>-5.19</v>
      </c>
      <c r="Q2519">
        <v>99</v>
      </c>
      <c r="R2519">
        <v>-9.99</v>
      </c>
      <c r="S2519">
        <v>97</v>
      </c>
      <c r="T2519">
        <v>11.9</v>
      </c>
      <c r="U2519">
        <v>99</v>
      </c>
      <c r="V2519">
        <v>-0.65</v>
      </c>
      <c r="W2519">
        <v>98</v>
      </c>
      <c r="X2519" t="s">
        <v>94</v>
      </c>
      <c r="Y2519" t="s">
        <v>95</v>
      </c>
      <c r="Z2519" t="s">
        <v>96</v>
      </c>
      <c r="AA2519" t="s">
        <v>753</v>
      </c>
      <c r="AB2519" t="s">
        <v>3808</v>
      </c>
      <c r="AC2519">
        <v>2650</v>
      </c>
      <c r="AD2519">
        <v>1270</v>
      </c>
      <c r="AE2519">
        <v>99</v>
      </c>
      <c r="AF2519">
        <v>73.56</v>
      </c>
      <c r="AG2519">
        <v>0.84</v>
      </c>
      <c r="AH2519">
        <v>3.26</v>
      </c>
      <c r="AI2519">
        <v>-0.04</v>
      </c>
      <c r="AJ2519">
        <v>0.01</v>
      </c>
      <c r="AK2519">
        <v>96</v>
      </c>
      <c r="AL2519">
        <v>3202</v>
      </c>
      <c r="AM2519">
        <v>1582</v>
      </c>
      <c r="AN2519">
        <v>-1.08</v>
      </c>
      <c r="AO2519">
        <v>-0.03</v>
      </c>
      <c r="AP2519">
        <v>4478</v>
      </c>
      <c r="AQ2519">
        <v>17</v>
      </c>
      <c r="AR2519">
        <v>9.19</v>
      </c>
      <c r="AS2519">
        <v>99</v>
      </c>
      <c r="AT2519">
        <v>3.12</v>
      </c>
      <c r="AU2519">
        <v>99</v>
      </c>
      <c r="AV2519">
        <v>-1.65</v>
      </c>
      <c r="AW2519">
        <v>99</v>
      </c>
      <c r="AX2519">
        <v>0.5</v>
      </c>
      <c r="AY2519">
        <v>99</v>
      </c>
      <c r="AZ2519">
        <v>5.38</v>
      </c>
      <c r="BA2519">
        <v>97</v>
      </c>
      <c r="BB2519">
        <v>4.66</v>
      </c>
      <c r="BC2519">
        <v>98</v>
      </c>
      <c r="BD2519">
        <v>0.04</v>
      </c>
      <c r="BE2519">
        <v>7.0000000000000007E-2</v>
      </c>
      <c r="BF2519">
        <v>0.03</v>
      </c>
      <c r="BG2519">
        <v>99</v>
      </c>
      <c r="BH2519">
        <v>-0.05</v>
      </c>
      <c r="BI2519">
        <v>-3.69</v>
      </c>
      <c r="BJ2519">
        <v>130</v>
      </c>
      <c r="BK2519">
        <v>79</v>
      </c>
      <c r="BL2519">
        <v>0.52</v>
      </c>
      <c r="BM2519">
        <v>-0.89</v>
      </c>
      <c r="BN2519">
        <v>0.44</v>
      </c>
      <c r="BO2519">
        <v>0.37</v>
      </c>
      <c r="BP2519">
        <v>0.05</v>
      </c>
      <c r="BQ2519">
        <v>-1.77</v>
      </c>
      <c r="BR2519">
        <v>1.02</v>
      </c>
      <c r="BS2519">
        <v>-1.34</v>
      </c>
      <c r="BT2519">
        <v>-1.1599999999999999</v>
      </c>
      <c r="BU2519">
        <v>-0.23</v>
      </c>
      <c r="BV2519">
        <v>-0.18</v>
      </c>
      <c r="BW2519">
        <v>0.02</v>
      </c>
      <c r="BX2519">
        <v>0.47</v>
      </c>
      <c r="BY2519">
        <v>-0.15</v>
      </c>
      <c r="BZ2519">
        <v>0.32</v>
      </c>
      <c r="CA2519">
        <v>-0.54</v>
      </c>
      <c r="CB2519">
        <v>-0.12</v>
      </c>
      <c r="CC2519">
        <v>-1.19</v>
      </c>
      <c r="CD2519">
        <v>-1.24</v>
      </c>
      <c r="CE2519">
        <v>-0.06</v>
      </c>
      <c r="CF2519">
        <v>-0.18</v>
      </c>
      <c r="CG2519">
        <v>0</v>
      </c>
      <c r="CH2519">
        <v>-0.17</v>
      </c>
      <c r="CI2519">
        <v>0</v>
      </c>
      <c r="CJ2519">
        <v>1.4</v>
      </c>
      <c r="CK2519">
        <v>99</v>
      </c>
      <c r="CL2519">
        <v>-0.68</v>
      </c>
      <c r="CM2519">
        <v>99</v>
      </c>
      <c r="CN2519">
        <v>-0.04</v>
      </c>
      <c r="CO2519">
        <v>99</v>
      </c>
      <c r="CP2519">
        <v>-3.8</v>
      </c>
      <c r="CQ2519">
        <v>99</v>
      </c>
      <c r="CR2519">
        <v>0</v>
      </c>
      <c r="CS2519">
        <v>0</v>
      </c>
      <c r="CT2519">
        <v>-2.2999999999999998</v>
      </c>
      <c r="CU2519">
        <v>99</v>
      </c>
      <c r="CV2519">
        <v>0.22</v>
      </c>
      <c r="CW2519">
        <v>47</v>
      </c>
      <c r="CX2519" t="s">
        <v>1506</v>
      </c>
    </row>
    <row r="2520" spans="1:102" x14ac:dyDescent="0.3">
      <c r="A2520" t="str">
        <f>HYPERLINK("https://webapp.icbf.com/v2/app/bull-search/view/444501936","NLK")</f>
        <v>NLK</v>
      </c>
      <c r="B2520" t="s">
        <v>14171</v>
      </c>
      <c r="C2520" t="s">
        <v>698</v>
      </c>
      <c r="D2520" s="1">
        <v>35563</v>
      </c>
      <c r="E2520" t="s">
        <v>92</v>
      </c>
      <c r="F2520">
        <v>100</v>
      </c>
      <c r="G2520" t="s">
        <v>109</v>
      </c>
      <c r="H2520">
        <v>34.18</v>
      </c>
      <c r="I2520">
        <v>65</v>
      </c>
      <c r="J2520">
        <v>63.66</v>
      </c>
      <c r="K2520">
        <v>84</v>
      </c>
      <c r="L2520">
        <v>-51.09</v>
      </c>
      <c r="M2520">
        <v>67</v>
      </c>
      <c r="N2520">
        <v>5.82</v>
      </c>
      <c r="O2520">
        <v>46</v>
      </c>
      <c r="P2520">
        <v>6.77</v>
      </c>
      <c r="Q2520">
        <v>50</v>
      </c>
      <c r="R2520">
        <v>4.93</v>
      </c>
      <c r="S2520">
        <v>59</v>
      </c>
      <c r="T2520">
        <v>-0.16</v>
      </c>
      <c r="U2520">
        <v>36</v>
      </c>
      <c r="V2520">
        <v>4.25</v>
      </c>
      <c r="W2520">
        <v>29</v>
      </c>
      <c r="X2520" t="s">
        <v>276</v>
      </c>
      <c r="Y2520" t="s">
        <v>270</v>
      </c>
      <c r="Z2520" t="s">
        <v>96</v>
      </c>
      <c r="AA2520" t="s">
        <v>751</v>
      </c>
      <c r="AB2520" t="s">
        <v>9963</v>
      </c>
      <c r="AC2520">
        <v>0</v>
      </c>
      <c r="AD2520">
        <v>0</v>
      </c>
      <c r="AE2520">
        <v>84</v>
      </c>
      <c r="AF2520">
        <v>207.44</v>
      </c>
      <c r="AG2520">
        <v>9.0500000000000007</v>
      </c>
      <c r="AH2520">
        <v>10.8</v>
      </c>
      <c r="AI2520">
        <v>0.02</v>
      </c>
      <c r="AJ2520">
        <v>0.06</v>
      </c>
      <c r="AK2520">
        <v>67</v>
      </c>
      <c r="AL2520">
        <v>0</v>
      </c>
      <c r="AM2520">
        <v>0</v>
      </c>
      <c r="AN2520">
        <v>1.58</v>
      </c>
      <c r="AO2520">
        <v>-2.5099999999999998</v>
      </c>
      <c r="AP2520">
        <v>1</v>
      </c>
      <c r="AQ2520">
        <v>2</v>
      </c>
      <c r="AR2520">
        <v>8.61</v>
      </c>
      <c r="AS2520">
        <v>32</v>
      </c>
      <c r="AT2520">
        <v>3.59</v>
      </c>
      <c r="AU2520">
        <v>88</v>
      </c>
      <c r="AV2520">
        <v>-1.45</v>
      </c>
      <c r="AW2520">
        <v>33</v>
      </c>
      <c r="AX2520">
        <v>-0.08</v>
      </c>
      <c r="AY2520">
        <v>35</v>
      </c>
      <c r="AZ2520">
        <v>6.81</v>
      </c>
      <c r="BA2520">
        <v>30</v>
      </c>
      <c r="BB2520">
        <v>4.6500000000000004</v>
      </c>
      <c r="BC2520">
        <v>30</v>
      </c>
      <c r="BD2520">
        <v>0.01</v>
      </c>
      <c r="BE2520">
        <v>0</v>
      </c>
      <c r="BF2520">
        <v>-0.13</v>
      </c>
      <c r="BG2520">
        <v>84</v>
      </c>
      <c r="BH2520">
        <v>0.03</v>
      </c>
      <c r="BI2520">
        <v>-10.23</v>
      </c>
      <c r="BJ2520">
        <v>0</v>
      </c>
      <c r="BK2520">
        <v>0</v>
      </c>
      <c r="BL2520">
        <v>0.4</v>
      </c>
      <c r="BM2520">
        <v>-0.55000000000000004</v>
      </c>
      <c r="BN2520">
        <v>0.5</v>
      </c>
      <c r="BO2520">
        <v>0.45</v>
      </c>
      <c r="BP2520">
        <v>0.89</v>
      </c>
      <c r="BQ2520">
        <v>-1.32</v>
      </c>
      <c r="BR2520">
        <v>-0.33</v>
      </c>
      <c r="BS2520">
        <v>-2.16</v>
      </c>
      <c r="BT2520">
        <v>-0.36</v>
      </c>
      <c r="BU2520">
        <v>0.16</v>
      </c>
      <c r="BV2520">
        <v>1.06</v>
      </c>
      <c r="BW2520">
        <v>0.72</v>
      </c>
      <c r="BX2520">
        <v>-0.32</v>
      </c>
      <c r="BY2520">
        <v>-0.81</v>
      </c>
      <c r="BZ2520">
        <v>0.24</v>
      </c>
      <c r="CA2520">
        <v>-0.38</v>
      </c>
      <c r="CB2520">
        <v>0.3</v>
      </c>
      <c r="CC2520">
        <v>-1.53</v>
      </c>
      <c r="CD2520">
        <v>-0.94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6.6</v>
      </c>
      <c r="CK2520">
        <v>52</v>
      </c>
      <c r="CL2520">
        <v>-0.46</v>
      </c>
      <c r="CM2520">
        <v>49</v>
      </c>
      <c r="CN2520">
        <v>-0.18</v>
      </c>
      <c r="CO2520">
        <v>47</v>
      </c>
      <c r="CP2520">
        <v>2</v>
      </c>
      <c r="CQ2520">
        <v>39</v>
      </c>
      <c r="CR2520">
        <v>0</v>
      </c>
      <c r="CS2520">
        <v>0</v>
      </c>
      <c r="CT2520">
        <v>14</v>
      </c>
      <c r="CU2520">
        <v>36</v>
      </c>
      <c r="CV2520">
        <v>0.34</v>
      </c>
      <c r="CW2520">
        <v>15</v>
      </c>
      <c r="CX2520" t="s">
        <v>531</v>
      </c>
    </row>
    <row r="2521" spans="1:102" x14ac:dyDescent="0.3">
      <c r="A2521" t="str">
        <f>HYPERLINK("https://webapp.icbf.com/v2/app/bull-search/view/1302950169","S3050")</f>
        <v>S3050</v>
      </c>
      <c r="B2521" t="s">
        <v>6833</v>
      </c>
      <c r="C2521" t="s">
        <v>6834</v>
      </c>
      <c r="D2521" s="1">
        <v>41654</v>
      </c>
      <c r="E2521" t="s">
        <v>92</v>
      </c>
      <c r="F2521">
        <v>100</v>
      </c>
      <c r="G2521" t="s">
        <v>109</v>
      </c>
      <c r="H2521">
        <v>34.04</v>
      </c>
      <c r="I2521">
        <v>76</v>
      </c>
      <c r="J2521">
        <v>101.94</v>
      </c>
      <c r="K2521">
        <v>92</v>
      </c>
      <c r="L2521">
        <v>-100.55</v>
      </c>
      <c r="M2521">
        <v>81</v>
      </c>
      <c r="N2521">
        <v>27.86</v>
      </c>
      <c r="O2521">
        <v>59</v>
      </c>
      <c r="P2521">
        <v>2.97</v>
      </c>
      <c r="Q2521">
        <v>54</v>
      </c>
      <c r="R2521">
        <v>10.89</v>
      </c>
      <c r="S2521">
        <v>73</v>
      </c>
      <c r="T2521">
        <v>-4.67</v>
      </c>
      <c r="U2521">
        <v>43</v>
      </c>
      <c r="V2521">
        <v>-4.4000000000000004</v>
      </c>
      <c r="W2521">
        <v>55</v>
      </c>
      <c r="X2521" t="s">
        <v>110</v>
      </c>
      <c r="Y2521" t="s">
        <v>411</v>
      </c>
      <c r="Z2521" t="s">
        <v>96</v>
      </c>
      <c r="AA2521" t="s">
        <v>2203</v>
      </c>
      <c r="AB2521" t="s">
        <v>6835</v>
      </c>
      <c r="AC2521">
        <v>0</v>
      </c>
      <c r="AD2521">
        <v>0</v>
      </c>
      <c r="AE2521">
        <v>92</v>
      </c>
      <c r="AF2521">
        <v>856.05</v>
      </c>
      <c r="AG2521">
        <v>16.11</v>
      </c>
      <c r="AH2521">
        <v>24.74</v>
      </c>
      <c r="AI2521">
        <v>-0.26</v>
      </c>
      <c r="AJ2521">
        <v>-7.0000000000000007E-2</v>
      </c>
      <c r="AK2521">
        <v>81</v>
      </c>
      <c r="AL2521">
        <v>0</v>
      </c>
      <c r="AM2521">
        <v>0</v>
      </c>
      <c r="AN2521">
        <v>7.72</v>
      </c>
      <c r="AO2521">
        <v>-0.27</v>
      </c>
      <c r="AP2521">
        <v>5</v>
      </c>
      <c r="AQ2521">
        <v>0</v>
      </c>
      <c r="AR2521">
        <v>7.4</v>
      </c>
      <c r="AS2521">
        <v>63</v>
      </c>
      <c r="AT2521">
        <v>2.93</v>
      </c>
      <c r="AU2521">
        <v>90</v>
      </c>
      <c r="AV2521">
        <v>-3.83</v>
      </c>
      <c r="AW2521">
        <v>50</v>
      </c>
      <c r="AX2521">
        <v>-0.41</v>
      </c>
      <c r="AY2521">
        <v>54</v>
      </c>
      <c r="AZ2521">
        <v>6.99</v>
      </c>
      <c r="BA2521">
        <v>42</v>
      </c>
      <c r="BB2521">
        <v>5.93</v>
      </c>
      <c r="BC2521">
        <v>37</v>
      </c>
      <c r="BD2521">
        <v>-0.02</v>
      </c>
      <c r="BE2521">
        <v>-0.03</v>
      </c>
      <c r="BF2521">
        <v>-0.16</v>
      </c>
      <c r="BG2521">
        <v>91</v>
      </c>
      <c r="BH2521">
        <v>-0.04</v>
      </c>
      <c r="BI2521">
        <v>9.58</v>
      </c>
      <c r="BJ2521">
        <v>3</v>
      </c>
      <c r="BK2521">
        <v>2</v>
      </c>
      <c r="BL2521">
        <v>1.49</v>
      </c>
      <c r="BM2521">
        <v>-0.35</v>
      </c>
      <c r="BN2521">
        <v>1.36</v>
      </c>
      <c r="BO2521">
        <v>2.02</v>
      </c>
      <c r="BP2521">
        <v>2.14</v>
      </c>
      <c r="BQ2521">
        <v>0.44</v>
      </c>
      <c r="BR2521">
        <v>0.52</v>
      </c>
      <c r="BS2521">
        <v>1.54</v>
      </c>
      <c r="BT2521">
        <v>1.37</v>
      </c>
      <c r="BU2521">
        <v>2.2400000000000002</v>
      </c>
      <c r="BV2521">
        <v>3.08</v>
      </c>
      <c r="BW2521">
        <v>1.64</v>
      </c>
      <c r="BX2521">
        <v>1.26</v>
      </c>
      <c r="BY2521">
        <v>2.0099999999999998</v>
      </c>
      <c r="BZ2521">
        <v>-1.59</v>
      </c>
      <c r="CA2521">
        <v>2.1800000000000002</v>
      </c>
      <c r="CB2521">
        <v>2.1</v>
      </c>
      <c r="CC2521">
        <v>1.51</v>
      </c>
      <c r="CD2521">
        <v>-1.65</v>
      </c>
      <c r="CE2521">
        <v>1.73</v>
      </c>
      <c r="CF2521">
        <v>1.1100000000000001</v>
      </c>
      <c r="CG2521">
        <v>0</v>
      </c>
      <c r="CH2521">
        <v>2.16</v>
      </c>
      <c r="CI2521">
        <v>0</v>
      </c>
      <c r="CJ2521">
        <v>3.7</v>
      </c>
      <c r="CK2521">
        <v>56</v>
      </c>
      <c r="CL2521">
        <v>-1.02</v>
      </c>
      <c r="CM2521">
        <v>52</v>
      </c>
      <c r="CN2521">
        <v>-0.7</v>
      </c>
      <c r="CO2521">
        <v>51</v>
      </c>
      <c r="CP2521">
        <v>1.3</v>
      </c>
      <c r="CQ2521">
        <v>44</v>
      </c>
      <c r="CR2521">
        <v>0</v>
      </c>
      <c r="CS2521">
        <v>0</v>
      </c>
      <c r="CT2521">
        <v>20.100000000000001</v>
      </c>
      <c r="CU2521">
        <v>43</v>
      </c>
      <c r="CV2521">
        <v>0.27</v>
      </c>
      <c r="CW2521">
        <v>37</v>
      </c>
      <c r="CX2521" t="s">
        <v>2358</v>
      </c>
    </row>
    <row r="2522" spans="1:102" x14ac:dyDescent="0.3">
      <c r="A2522" t="str">
        <f>HYPERLINK("https://webapp.icbf.com/v2/app/bull-search/view/586064404","HZX")</f>
        <v>HZX</v>
      </c>
      <c r="B2522" t="s">
        <v>12701</v>
      </c>
      <c r="C2522" t="s">
        <v>12702</v>
      </c>
      <c r="D2522" s="1">
        <v>39292</v>
      </c>
      <c r="E2522" t="s">
        <v>92</v>
      </c>
      <c r="F2522">
        <v>88</v>
      </c>
      <c r="G2522" t="s">
        <v>109</v>
      </c>
      <c r="H2522">
        <v>34.03</v>
      </c>
      <c r="I2522">
        <v>78</v>
      </c>
      <c r="J2522">
        <v>60.96</v>
      </c>
      <c r="K2522">
        <v>92</v>
      </c>
      <c r="L2522">
        <v>-50.98</v>
      </c>
      <c r="M2522">
        <v>74</v>
      </c>
      <c r="N2522">
        <v>25.08</v>
      </c>
      <c r="O2522">
        <v>71</v>
      </c>
      <c r="P2522">
        <v>-21.49</v>
      </c>
      <c r="Q2522">
        <v>71</v>
      </c>
      <c r="R2522">
        <v>-1.84</v>
      </c>
      <c r="S2522">
        <v>70</v>
      </c>
      <c r="T2522">
        <v>11.9</v>
      </c>
      <c r="U2522">
        <v>64</v>
      </c>
      <c r="V2522">
        <v>10.4</v>
      </c>
      <c r="W2522">
        <v>66</v>
      </c>
      <c r="X2522" t="s">
        <v>276</v>
      </c>
      <c r="Y2522" t="s">
        <v>329</v>
      </c>
      <c r="Z2522" t="s">
        <v>330</v>
      </c>
      <c r="AA2522" t="s">
        <v>1662</v>
      </c>
      <c r="AB2522" t="s">
        <v>7136</v>
      </c>
      <c r="AC2522">
        <v>0</v>
      </c>
      <c r="AD2522">
        <v>0</v>
      </c>
      <c r="AE2522">
        <v>92</v>
      </c>
      <c r="AF2522">
        <v>331.38</v>
      </c>
      <c r="AG2522">
        <v>10.43</v>
      </c>
      <c r="AH2522">
        <v>11.75</v>
      </c>
      <c r="AI2522">
        <v>-0.04</v>
      </c>
      <c r="AJ2522">
        <v>0.01</v>
      </c>
      <c r="AK2522">
        <v>74</v>
      </c>
      <c r="AL2522">
        <v>0</v>
      </c>
      <c r="AM2522">
        <v>0</v>
      </c>
      <c r="AN2522">
        <v>3.24</v>
      </c>
      <c r="AO2522">
        <v>-0.82</v>
      </c>
      <c r="AP2522">
        <v>46</v>
      </c>
      <c r="AQ2522">
        <v>0</v>
      </c>
      <c r="AR2522">
        <v>6.05</v>
      </c>
      <c r="AS2522">
        <v>50</v>
      </c>
      <c r="AT2522">
        <v>2.96</v>
      </c>
      <c r="AU2522">
        <v>75</v>
      </c>
      <c r="AV2522">
        <v>-2.11</v>
      </c>
      <c r="AW2522">
        <v>87</v>
      </c>
      <c r="AX2522">
        <v>7.0000000000000007E-2</v>
      </c>
      <c r="AY2522">
        <v>60</v>
      </c>
      <c r="AZ2522">
        <v>5.41</v>
      </c>
      <c r="BA2522">
        <v>41</v>
      </c>
      <c r="BB2522">
        <v>4.63</v>
      </c>
      <c r="BC2522">
        <v>42</v>
      </c>
      <c r="BD2522">
        <v>-0.01</v>
      </c>
      <c r="BE2522">
        <v>0.01</v>
      </c>
      <c r="BF2522">
        <v>0.04</v>
      </c>
      <c r="BG2522">
        <v>84</v>
      </c>
      <c r="BH2522">
        <v>0.17</v>
      </c>
      <c r="BI2522">
        <v>-13.89</v>
      </c>
      <c r="BJ2522">
        <v>0</v>
      </c>
      <c r="BK2522">
        <v>0</v>
      </c>
      <c r="BL2522">
        <v>-0.01</v>
      </c>
      <c r="BM2522">
        <v>2.21</v>
      </c>
      <c r="BN2522">
        <v>1.44</v>
      </c>
      <c r="BO2522">
        <v>-0.47</v>
      </c>
      <c r="BP2522">
        <v>0.69</v>
      </c>
      <c r="BQ2522">
        <v>2.5499999999999998</v>
      </c>
      <c r="BR2522">
        <v>1.67</v>
      </c>
      <c r="BS2522">
        <v>0.19</v>
      </c>
      <c r="BT2522">
        <v>-1.22</v>
      </c>
      <c r="BU2522">
        <v>-0.51</v>
      </c>
      <c r="BV2522">
        <v>-0.28000000000000003</v>
      </c>
      <c r="BW2522">
        <v>-0.51</v>
      </c>
      <c r="BX2522">
        <v>-0.05</v>
      </c>
      <c r="BY2522">
        <v>-0.56000000000000005</v>
      </c>
      <c r="BZ2522">
        <v>-0.06</v>
      </c>
      <c r="CA2522">
        <v>-0.02</v>
      </c>
      <c r="CB2522">
        <v>-0.04</v>
      </c>
      <c r="CC2522">
        <v>-1</v>
      </c>
      <c r="CD2522">
        <v>0.94</v>
      </c>
      <c r="CE2522">
        <v>7.0000000000000007E-2</v>
      </c>
      <c r="CF2522">
        <v>0.25</v>
      </c>
      <c r="CG2522">
        <v>0</v>
      </c>
      <c r="CH2522">
        <v>-1.0900000000000001</v>
      </c>
      <c r="CI2522">
        <v>0</v>
      </c>
      <c r="CJ2522">
        <v>-9</v>
      </c>
      <c r="CK2522">
        <v>73</v>
      </c>
      <c r="CL2522">
        <v>-0.79</v>
      </c>
      <c r="CM2522">
        <v>69</v>
      </c>
      <c r="CN2522">
        <v>-0.05</v>
      </c>
      <c r="CO2522">
        <v>67</v>
      </c>
      <c r="CP2522">
        <v>-10</v>
      </c>
      <c r="CQ2522">
        <v>65</v>
      </c>
      <c r="CR2522">
        <v>0</v>
      </c>
      <c r="CS2522">
        <v>0</v>
      </c>
      <c r="CT2522">
        <v>-2.2999999999999998</v>
      </c>
      <c r="CU2522">
        <v>64</v>
      </c>
      <c r="CV2522">
        <v>0.01</v>
      </c>
      <c r="CW2522">
        <v>40</v>
      </c>
      <c r="CX2522" t="s">
        <v>285</v>
      </c>
    </row>
    <row r="2523" spans="1:102" x14ac:dyDescent="0.3">
      <c r="A2523" t="str">
        <f>HYPERLINK("https://webapp.icbf.com/v2/app/bull-search/view/660011461","JLL")</f>
        <v>JLL</v>
      </c>
      <c r="B2523" t="s">
        <v>12666</v>
      </c>
      <c r="C2523" t="s">
        <v>376</v>
      </c>
      <c r="D2523" s="1">
        <v>38663</v>
      </c>
      <c r="E2523" t="s">
        <v>92</v>
      </c>
      <c r="F2523">
        <v>100</v>
      </c>
      <c r="G2523" t="s">
        <v>93</v>
      </c>
      <c r="H2523">
        <v>33.86</v>
      </c>
      <c r="I2523">
        <v>89</v>
      </c>
      <c r="J2523">
        <v>15.81</v>
      </c>
      <c r="K2523">
        <v>97</v>
      </c>
      <c r="L2523">
        <v>-16.54</v>
      </c>
      <c r="M2523">
        <v>89</v>
      </c>
      <c r="N2523">
        <v>33.32</v>
      </c>
      <c r="O2523">
        <v>86</v>
      </c>
      <c r="P2523">
        <v>-15.46</v>
      </c>
      <c r="Q2523">
        <v>93</v>
      </c>
      <c r="R2523">
        <v>10.26</v>
      </c>
      <c r="S2523">
        <v>76</v>
      </c>
      <c r="T2523">
        <v>4.21</v>
      </c>
      <c r="U2523">
        <v>78</v>
      </c>
      <c r="V2523">
        <v>2.2599999999999998</v>
      </c>
      <c r="W2523">
        <v>56</v>
      </c>
      <c r="X2523" t="s">
        <v>94</v>
      </c>
      <c r="Y2523" t="s">
        <v>282</v>
      </c>
      <c r="Z2523" t="s">
        <v>96</v>
      </c>
      <c r="AA2523" t="s">
        <v>309</v>
      </c>
      <c r="AB2523" t="s">
        <v>310</v>
      </c>
      <c r="AC2523">
        <v>127</v>
      </c>
      <c r="AD2523">
        <v>53</v>
      </c>
      <c r="AE2523">
        <v>97</v>
      </c>
      <c r="AF2523">
        <v>380.28</v>
      </c>
      <c r="AG2523">
        <v>8.76</v>
      </c>
      <c r="AH2523">
        <v>5.41</v>
      </c>
      <c r="AI2523">
        <v>-0.09</v>
      </c>
      <c r="AJ2523">
        <v>-0.12</v>
      </c>
      <c r="AK2523">
        <v>89</v>
      </c>
      <c r="AL2523">
        <v>118</v>
      </c>
      <c r="AM2523">
        <v>55</v>
      </c>
      <c r="AN2523">
        <v>1.61</v>
      </c>
      <c r="AO2523">
        <v>0.3</v>
      </c>
      <c r="AP2523">
        <v>193</v>
      </c>
      <c r="AQ2523">
        <v>0</v>
      </c>
      <c r="AR2523">
        <v>5.21</v>
      </c>
      <c r="AS2523">
        <v>84</v>
      </c>
      <c r="AT2523">
        <v>2.2599999999999998</v>
      </c>
      <c r="AU2523">
        <v>92</v>
      </c>
      <c r="AV2523">
        <v>-2.15</v>
      </c>
      <c r="AW2523">
        <v>93</v>
      </c>
      <c r="AX2523">
        <v>-0.6</v>
      </c>
      <c r="AY2523">
        <v>85</v>
      </c>
      <c r="AZ2523">
        <v>5.93</v>
      </c>
      <c r="BA2523">
        <v>67</v>
      </c>
      <c r="BB2523">
        <v>4.6399999999999997</v>
      </c>
      <c r="BC2523">
        <v>63</v>
      </c>
      <c r="BD2523">
        <v>-0.03</v>
      </c>
      <c r="BE2523">
        <v>-0.04</v>
      </c>
      <c r="BF2523">
        <v>-0.11</v>
      </c>
      <c r="BG2523">
        <v>94</v>
      </c>
      <c r="BH2523">
        <v>-0.11</v>
      </c>
      <c r="BI2523">
        <v>-20</v>
      </c>
      <c r="BJ2523">
        <v>65</v>
      </c>
      <c r="BK2523">
        <v>31</v>
      </c>
      <c r="BL2523">
        <v>0.96</v>
      </c>
      <c r="BM2523">
        <v>-2.11</v>
      </c>
      <c r="BN2523">
        <v>-0.27</v>
      </c>
      <c r="BO2523">
        <v>1.26</v>
      </c>
      <c r="BP2523">
        <v>-0.1</v>
      </c>
      <c r="BQ2523">
        <v>0.1</v>
      </c>
      <c r="BR2523">
        <v>0.54</v>
      </c>
      <c r="BS2523">
        <v>1.2</v>
      </c>
      <c r="BT2523">
        <v>-0.13</v>
      </c>
      <c r="BU2523">
        <v>1.85</v>
      </c>
      <c r="BV2523">
        <v>2.6</v>
      </c>
      <c r="BW2523">
        <v>2.92</v>
      </c>
      <c r="BX2523">
        <v>1.53</v>
      </c>
      <c r="BY2523">
        <v>1.17</v>
      </c>
      <c r="BZ2523">
        <v>-0.23</v>
      </c>
      <c r="CA2523">
        <v>1.6</v>
      </c>
      <c r="CB2523">
        <v>1.57</v>
      </c>
      <c r="CC2523">
        <v>0.88</v>
      </c>
      <c r="CD2523">
        <v>-1.05</v>
      </c>
      <c r="CE2523">
        <v>1.32</v>
      </c>
      <c r="CF2523">
        <v>0.19</v>
      </c>
      <c r="CG2523">
        <v>0</v>
      </c>
      <c r="CH2523">
        <v>1.67</v>
      </c>
      <c r="CI2523">
        <v>0</v>
      </c>
      <c r="CJ2523">
        <v>-7.3</v>
      </c>
      <c r="CK2523">
        <v>94</v>
      </c>
      <c r="CL2523">
        <v>-1.2</v>
      </c>
      <c r="CM2523">
        <v>93</v>
      </c>
      <c r="CN2523">
        <v>-0.64</v>
      </c>
      <c r="CO2523">
        <v>92</v>
      </c>
      <c r="CP2523">
        <v>-3.3</v>
      </c>
      <c r="CQ2523">
        <v>87</v>
      </c>
      <c r="CR2523">
        <v>0</v>
      </c>
      <c r="CS2523">
        <v>0</v>
      </c>
      <c r="CT2523">
        <v>8.1</v>
      </c>
      <c r="CU2523">
        <v>78</v>
      </c>
      <c r="CV2523">
        <v>0.24</v>
      </c>
      <c r="CW2523">
        <v>27</v>
      </c>
      <c r="CX2523" t="s">
        <v>311</v>
      </c>
    </row>
    <row r="2524" spans="1:102" x14ac:dyDescent="0.3">
      <c r="A2524" t="str">
        <f>HYPERLINK("https://webapp.icbf.com/v2/app/bull-search/view/1125362953","S2105")</f>
        <v>S2105</v>
      </c>
      <c r="B2524" t="s">
        <v>2074</v>
      </c>
      <c r="C2524" t="s">
        <v>2075</v>
      </c>
      <c r="D2524" s="1">
        <v>40772</v>
      </c>
      <c r="E2524" t="s">
        <v>227</v>
      </c>
      <c r="F2524">
        <v>0</v>
      </c>
      <c r="G2524" t="s">
        <v>109</v>
      </c>
      <c r="H2524">
        <v>33.74</v>
      </c>
      <c r="I2524">
        <v>46</v>
      </c>
      <c r="J2524">
        <v>-6.04</v>
      </c>
      <c r="K2524">
        <v>78</v>
      </c>
      <c r="L2524">
        <v>26.88</v>
      </c>
      <c r="M2524">
        <v>45</v>
      </c>
      <c r="N2524">
        <v>5.46</v>
      </c>
      <c r="O2524">
        <v>29</v>
      </c>
      <c r="P2524">
        <v>-54.21</v>
      </c>
      <c r="Q2524">
        <v>9</v>
      </c>
      <c r="R2524">
        <v>-1.41</v>
      </c>
      <c r="S2524">
        <v>17</v>
      </c>
      <c r="T2524">
        <v>64.44</v>
      </c>
      <c r="U2524">
        <v>10</v>
      </c>
      <c r="V2524">
        <v>-1.38</v>
      </c>
      <c r="W2524">
        <v>20</v>
      </c>
      <c r="X2524" t="s">
        <v>276</v>
      </c>
      <c r="Y2524" t="s">
        <v>367</v>
      </c>
      <c r="Z2524">
        <v>0</v>
      </c>
      <c r="AA2524" t="s">
        <v>2076</v>
      </c>
      <c r="AB2524" t="s">
        <v>2077</v>
      </c>
      <c r="AC2524">
        <v>0</v>
      </c>
      <c r="AD2524">
        <v>0</v>
      </c>
      <c r="AE2524">
        <v>78</v>
      </c>
      <c r="AF2524">
        <v>-536.55999999999995</v>
      </c>
      <c r="AG2524">
        <v>0</v>
      </c>
      <c r="AH2524">
        <v>-9.24</v>
      </c>
      <c r="AI2524">
        <v>0.38</v>
      </c>
      <c r="AJ2524">
        <v>0.17</v>
      </c>
      <c r="AK2524">
        <v>45</v>
      </c>
      <c r="AL2524">
        <v>0</v>
      </c>
      <c r="AM2524">
        <v>0</v>
      </c>
      <c r="AN2524">
        <v>-0.17</v>
      </c>
      <c r="AO2524">
        <v>1.99</v>
      </c>
      <c r="AP2524">
        <v>8</v>
      </c>
      <c r="AQ2524">
        <v>0</v>
      </c>
      <c r="AR2524">
        <v>5.26</v>
      </c>
      <c r="AS2524">
        <v>14</v>
      </c>
      <c r="AT2524">
        <v>2.68</v>
      </c>
      <c r="AU2524">
        <v>20</v>
      </c>
      <c r="AV2524">
        <v>-0.08</v>
      </c>
      <c r="AW2524">
        <v>48</v>
      </c>
      <c r="AX2524">
        <v>1.06</v>
      </c>
      <c r="AY2524">
        <v>18</v>
      </c>
      <c r="AZ2524">
        <v>7.01</v>
      </c>
      <c r="BA2524">
        <v>10</v>
      </c>
      <c r="BB2524">
        <v>5.16</v>
      </c>
      <c r="BC2524">
        <v>6</v>
      </c>
      <c r="BD2524">
        <v>-0.04</v>
      </c>
      <c r="BE2524">
        <v>0.01</v>
      </c>
      <c r="BF2524">
        <v>0.08</v>
      </c>
      <c r="BG2524">
        <v>21</v>
      </c>
      <c r="BH2524">
        <v>-0.04</v>
      </c>
      <c r="BI2524">
        <v>-0.17</v>
      </c>
      <c r="BJ2524">
        <v>4</v>
      </c>
      <c r="BK2524">
        <v>3</v>
      </c>
      <c r="BL2524">
        <v>0.59</v>
      </c>
      <c r="BM2524">
        <v>0.54</v>
      </c>
      <c r="BN2524">
        <v>0.86</v>
      </c>
      <c r="BO2524">
        <v>0.77</v>
      </c>
      <c r="BP2524">
        <v>-0.69</v>
      </c>
      <c r="BQ2524">
        <v>-1.48</v>
      </c>
      <c r="BR2524">
        <v>1.1299999999999999</v>
      </c>
      <c r="BS2524">
        <v>3.91</v>
      </c>
      <c r="BT2524">
        <v>-0.39</v>
      </c>
      <c r="BU2524">
        <v>0.99</v>
      </c>
      <c r="BV2524">
        <v>1.22</v>
      </c>
      <c r="BW2524">
        <v>-0.69</v>
      </c>
      <c r="BX2524">
        <v>-1.89</v>
      </c>
      <c r="BY2524">
        <v>0.66</v>
      </c>
      <c r="BZ2524">
        <v>2.25</v>
      </c>
      <c r="CA2524">
        <v>1.91</v>
      </c>
      <c r="CB2524">
        <v>1.1499999999999999</v>
      </c>
      <c r="CC2524">
        <v>2.56</v>
      </c>
      <c r="CD2524">
        <v>-0.42</v>
      </c>
      <c r="CE2524">
        <v>1.29</v>
      </c>
      <c r="CF2524">
        <v>1.46</v>
      </c>
      <c r="CG2524">
        <v>0</v>
      </c>
      <c r="CH2524">
        <v>-0.89</v>
      </c>
      <c r="CI2524">
        <v>0</v>
      </c>
      <c r="CJ2524">
        <v>-30</v>
      </c>
      <c r="CK2524">
        <v>9</v>
      </c>
      <c r="CL2524">
        <v>-1.02</v>
      </c>
      <c r="CM2524">
        <v>8</v>
      </c>
      <c r="CN2524">
        <v>-0.42</v>
      </c>
      <c r="CO2524">
        <v>4</v>
      </c>
      <c r="CP2524">
        <v>-48</v>
      </c>
      <c r="CQ2524">
        <v>17</v>
      </c>
      <c r="CR2524">
        <v>0</v>
      </c>
      <c r="CS2524">
        <v>0</v>
      </c>
      <c r="CT2524">
        <v>-73.3</v>
      </c>
      <c r="CU2524">
        <v>10</v>
      </c>
      <c r="CV2524">
        <v>-0.35</v>
      </c>
      <c r="CW2524">
        <v>1</v>
      </c>
      <c r="CX2524" t="s">
        <v>2078</v>
      </c>
    </row>
    <row r="2525" spans="1:102" x14ac:dyDescent="0.3">
      <c r="A2525" t="str">
        <f>HYPERLINK("https://webapp.icbf.com/v2/app/bull-search/view/586054161","VOH")</f>
        <v>VOH</v>
      </c>
      <c r="B2525" t="s">
        <v>8915</v>
      </c>
      <c r="C2525" t="s">
        <v>5909</v>
      </c>
      <c r="D2525" s="1">
        <v>37765</v>
      </c>
      <c r="E2525" t="s">
        <v>92</v>
      </c>
      <c r="F2525">
        <v>100</v>
      </c>
      <c r="G2525" t="s">
        <v>109</v>
      </c>
      <c r="H2525">
        <v>33.630000000000003</v>
      </c>
      <c r="I2525">
        <v>81</v>
      </c>
      <c r="J2525">
        <v>68.87</v>
      </c>
      <c r="K2525">
        <v>94</v>
      </c>
      <c r="L2525">
        <v>-41.82</v>
      </c>
      <c r="M2525">
        <v>87</v>
      </c>
      <c r="N2525">
        <v>7.48</v>
      </c>
      <c r="O2525">
        <v>61</v>
      </c>
      <c r="P2525">
        <v>-6.24</v>
      </c>
      <c r="Q2525">
        <v>59</v>
      </c>
      <c r="R2525">
        <v>0.77</v>
      </c>
      <c r="S2525">
        <v>75</v>
      </c>
      <c r="T2525">
        <v>2.8</v>
      </c>
      <c r="U2525">
        <v>68</v>
      </c>
      <c r="V2525">
        <v>1.77</v>
      </c>
      <c r="W2525">
        <v>56</v>
      </c>
      <c r="X2525" t="s">
        <v>94</v>
      </c>
      <c r="Y2525" t="s">
        <v>270</v>
      </c>
      <c r="Z2525" t="s">
        <v>96</v>
      </c>
      <c r="AA2525" t="s">
        <v>8916</v>
      </c>
      <c r="AB2525" t="s">
        <v>8917</v>
      </c>
      <c r="AC2525">
        <v>0</v>
      </c>
      <c r="AD2525">
        <v>0</v>
      </c>
      <c r="AE2525">
        <v>94</v>
      </c>
      <c r="AF2525">
        <v>253.59</v>
      </c>
      <c r="AG2525">
        <v>9.9600000000000009</v>
      </c>
      <c r="AH2525">
        <v>12.07</v>
      </c>
      <c r="AI2525">
        <v>0</v>
      </c>
      <c r="AJ2525">
        <v>0.06</v>
      </c>
      <c r="AK2525">
        <v>87</v>
      </c>
      <c r="AL2525">
        <v>0</v>
      </c>
      <c r="AM2525">
        <v>0</v>
      </c>
      <c r="AN2525">
        <v>1.89</v>
      </c>
      <c r="AO2525">
        <v>-1.45</v>
      </c>
      <c r="AP2525">
        <v>16</v>
      </c>
      <c r="AQ2525">
        <v>0</v>
      </c>
      <c r="AR2525">
        <v>7.76</v>
      </c>
      <c r="AS2525">
        <v>51</v>
      </c>
      <c r="AT2525">
        <v>3.75</v>
      </c>
      <c r="AU2525">
        <v>93</v>
      </c>
      <c r="AV2525">
        <v>-1.23</v>
      </c>
      <c r="AW2525">
        <v>55</v>
      </c>
      <c r="AX2525">
        <v>-0.3</v>
      </c>
      <c r="AY2525">
        <v>51</v>
      </c>
      <c r="AZ2525">
        <v>5.6</v>
      </c>
      <c r="BA2525">
        <v>42</v>
      </c>
      <c r="BB2525">
        <v>4.5999999999999996</v>
      </c>
      <c r="BC2525">
        <v>41</v>
      </c>
      <c r="BD2525">
        <v>-0.01</v>
      </c>
      <c r="BE2525">
        <v>0.01</v>
      </c>
      <c r="BF2525">
        <v>-0.02</v>
      </c>
      <c r="BG2525">
        <v>93</v>
      </c>
      <c r="BH2525">
        <v>-0.03</v>
      </c>
      <c r="BI2525">
        <v>-9.18</v>
      </c>
      <c r="BJ2525">
        <v>1</v>
      </c>
      <c r="BK2525">
        <v>1</v>
      </c>
      <c r="BL2525">
        <v>-0.01</v>
      </c>
      <c r="BM2525">
        <v>1.33</v>
      </c>
      <c r="BN2525">
        <v>0.94</v>
      </c>
      <c r="BO2525">
        <v>0.1</v>
      </c>
      <c r="BP2525">
        <v>-0.63</v>
      </c>
      <c r="BQ2525">
        <v>0.14000000000000001</v>
      </c>
      <c r="BR2525">
        <v>-1.4</v>
      </c>
      <c r="BS2525">
        <v>-0.78</v>
      </c>
      <c r="BT2525">
        <v>0.65</v>
      </c>
      <c r="BU2525">
        <v>0.74</v>
      </c>
      <c r="BV2525">
        <v>-0.56000000000000005</v>
      </c>
      <c r="BW2525">
        <v>0.06</v>
      </c>
      <c r="BX2525">
        <v>0.31</v>
      </c>
      <c r="BY2525">
        <v>0.85</v>
      </c>
      <c r="BZ2525">
        <v>-1.72</v>
      </c>
      <c r="CA2525">
        <v>0.02</v>
      </c>
      <c r="CB2525">
        <v>0.35</v>
      </c>
      <c r="CC2525">
        <v>-0.56000000000000005</v>
      </c>
      <c r="CD2525">
        <v>0.73</v>
      </c>
      <c r="CE2525">
        <v>-0.05</v>
      </c>
      <c r="CF2525">
        <v>0.34</v>
      </c>
      <c r="CG2525">
        <v>0</v>
      </c>
      <c r="CH2525">
        <v>0.65</v>
      </c>
      <c r="CI2525">
        <v>0</v>
      </c>
      <c r="CJ2525">
        <v>-1</v>
      </c>
      <c r="CK2525">
        <v>60</v>
      </c>
      <c r="CL2525">
        <v>-1.1200000000000001</v>
      </c>
      <c r="CM2525">
        <v>57</v>
      </c>
      <c r="CN2525">
        <v>-0.55000000000000004</v>
      </c>
      <c r="CO2525">
        <v>54</v>
      </c>
      <c r="CP2525">
        <v>1.7</v>
      </c>
      <c r="CQ2525">
        <v>62</v>
      </c>
      <c r="CR2525">
        <v>0</v>
      </c>
      <c r="CS2525">
        <v>0</v>
      </c>
      <c r="CT2525">
        <v>10</v>
      </c>
      <c r="CU2525">
        <v>68</v>
      </c>
      <c r="CV2525">
        <v>0.13</v>
      </c>
      <c r="CW2525">
        <v>37</v>
      </c>
      <c r="CX2525" t="s">
        <v>273</v>
      </c>
    </row>
    <row r="2526" spans="1:102" x14ac:dyDescent="0.3">
      <c r="A2526" t="str">
        <f>HYPERLINK("https://webapp.icbf.com/v2/app/bull-search/view/69091843","HBC")</f>
        <v>HBC</v>
      </c>
      <c r="B2526" t="s">
        <v>4404</v>
      </c>
      <c r="C2526" t="s">
        <v>4405</v>
      </c>
      <c r="D2526" s="1">
        <v>33906</v>
      </c>
      <c r="E2526" t="s">
        <v>197</v>
      </c>
      <c r="F2526">
        <v>0</v>
      </c>
      <c r="G2526" t="s">
        <v>93</v>
      </c>
      <c r="H2526">
        <v>33.61</v>
      </c>
      <c r="I2526">
        <v>64</v>
      </c>
      <c r="J2526">
        <v>-59.98</v>
      </c>
      <c r="K2526">
        <v>84</v>
      </c>
      <c r="L2526">
        <v>98.66</v>
      </c>
      <c r="M2526">
        <v>48</v>
      </c>
      <c r="N2526">
        <v>-25.37</v>
      </c>
      <c r="O2526">
        <v>61</v>
      </c>
      <c r="P2526">
        <v>19.52</v>
      </c>
      <c r="Q2526">
        <v>78</v>
      </c>
      <c r="R2526">
        <v>0.1</v>
      </c>
      <c r="S2526">
        <v>49</v>
      </c>
      <c r="T2526">
        <v>-4.67</v>
      </c>
      <c r="U2526">
        <v>59</v>
      </c>
      <c r="V2526">
        <v>5.35</v>
      </c>
      <c r="W2526">
        <v>31</v>
      </c>
      <c r="X2526" t="s">
        <v>94</v>
      </c>
      <c r="Y2526" t="s">
        <v>95</v>
      </c>
      <c r="Z2526">
        <v>0</v>
      </c>
      <c r="AA2526" t="s">
        <v>4406</v>
      </c>
      <c r="AB2526" t="s">
        <v>4407</v>
      </c>
      <c r="AC2526">
        <v>24</v>
      </c>
      <c r="AD2526">
        <v>5</v>
      </c>
      <c r="AE2526">
        <v>84</v>
      </c>
      <c r="AF2526">
        <v>-367.35</v>
      </c>
      <c r="AG2526">
        <v>-16.46</v>
      </c>
      <c r="AH2526">
        <v>-10</v>
      </c>
      <c r="AI2526">
        <v>-0.04</v>
      </c>
      <c r="AJ2526">
        <v>0.05</v>
      </c>
      <c r="AK2526">
        <v>48</v>
      </c>
      <c r="AL2526">
        <v>28</v>
      </c>
      <c r="AM2526">
        <v>9</v>
      </c>
      <c r="AN2526">
        <v>-7.56</v>
      </c>
      <c r="AO2526">
        <v>0.28000000000000003</v>
      </c>
      <c r="AP2526">
        <v>33</v>
      </c>
      <c r="AQ2526">
        <v>0</v>
      </c>
      <c r="AR2526">
        <v>5.83</v>
      </c>
      <c r="AS2526">
        <v>31</v>
      </c>
      <c r="AT2526">
        <v>5.41</v>
      </c>
      <c r="AU2526">
        <v>59</v>
      </c>
      <c r="AV2526">
        <v>1.63</v>
      </c>
      <c r="AW2526">
        <v>76</v>
      </c>
      <c r="AX2526">
        <v>0.73</v>
      </c>
      <c r="AY2526">
        <v>59</v>
      </c>
      <c r="AZ2526">
        <v>6.51</v>
      </c>
      <c r="BA2526">
        <v>33</v>
      </c>
      <c r="BB2526">
        <v>3.45</v>
      </c>
      <c r="BC2526">
        <v>42</v>
      </c>
      <c r="BD2526">
        <v>0.01</v>
      </c>
      <c r="BE2526">
        <v>-0.01</v>
      </c>
      <c r="BF2526">
        <v>0</v>
      </c>
      <c r="BG2526">
        <v>59</v>
      </c>
      <c r="BH2526">
        <v>0.27</v>
      </c>
      <c r="BI2526">
        <v>13.99</v>
      </c>
      <c r="BJ2526">
        <v>0</v>
      </c>
      <c r="BK2526">
        <v>0</v>
      </c>
      <c r="BL2526">
        <v>-1.05</v>
      </c>
      <c r="BM2526">
        <v>0.76</v>
      </c>
      <c r="BN2526">
        <v>-0.96</v>
      </c>
      <c r="BO2526">
        <v>-1.59</v>
      </c>
      <c r="BP2526">
        <v>0.74</v>
      </c>
      <c r="BQ2526">
        <v>0.12</v>
      </c>
      <c r="BR2526">
        <v>-0.1</v>
      </c>
      <c r="BS2526">
        <v>0.82</v>
      </c>
      <c r="BT2526">
        <v>-0.17</v>
      </c>
      <c r="BU2526">
        <v>-0.71</v>
      </c>
      <c r="BV2526">
        <v>-1.79</v>
      </c>
      <c r="BW2526">
        <v>-1.87</v>
      </c>
      <c r="BX2526">
        <v>7.0000000000000007E-2</v>
      </c>
      <c r="BY2526">
        <v>-1.83</v>
      </c>
      <c r="BZ2526">
        <v>-0.17</v>
      </c>
      <c r="CA2526">
        <v>-1.4</v>
      </c>
      <c r="CB2526">
        <v>-1.45</v>
      </c>
      <c r="CC2526">
        <v>-0.76</v>
      </c>
      <c r="CD2526">
        <v>1.54</v>
      </c>
      <c r="CE2526">
        <v>-1.76</v>
      </c>
      <c r="CF2526">
        <v>-0.91</v>
      </c>
      <c r="CG2526">
        <v>0</v>
      </c>
      <c r="CH2526">
        <v>-1.42</v>
      </c>
      <c r="CI2526">
        <v>0</v>
      </c>
      <c r="CJ2526">
        <v>10.4</v>
      </c>
      <c r="CK2526">
        <v>80</v>
      </c>
      <c r="CL2526">
        <v>0.62</v>
      </c>
      <c r="CM2526">
        <v>77</v>
      </c>
      <c r="CN2526">
        <v>0.32</v>
      </c>
      <c r="CO2526">
        <v>74</v>
      </c>
      <c r="CP2526">
        <v>16.8</v>
      </c>
      <c r="CQ2526">
        <v>78</v>
      </c>
      <c r="CR2526">
        <v>0</v>
      </c>
      <c r="CS2526">
        <v>0</v>
      </c>
      <c r="CT2526">
        <v>20.100000000000001</v>
      </c>
      <c r="CU2526">
        <v>59</v>
      </c>
      <c r="CV2526">
        <v>-0.11</v>
      </c>
      <c r="CW2526">
        <v>21</v>
      </c>
      <c r="CX2526" t="s">
        <v>3263</v>
      </c>
    </row>
    <row r="2527" spans="1:102" x14ac:dyDescent="0.3">
      <c r="A2527" t="str">
        <f>HYPERLINK("https://webapp.icbf.com/v2/app/bull-search/view/69091732","GAZ")</f>
        <v>GAZ</v>
      </c>
      <c r="B2527" t="s">
        <v>10567</v>
      </c>
      <c r="C2527" t="s">
        <v>7945</v>
      </c>
      <c r="D2527" s="1">
        <v>36176</v>
      </c>
      <c r="E2527" t="s">
        <v>108</v>
      </c>
      <c r="F2527">
        <v>0</v>
      </c>
      <c r="G2527" t="s">
        <v>93</v>
      </c>
      <c r="H2527">
        <v>33.53</v>
      </c>
      <c r="I2527">
        <v>93</v>
      </c>
      <c r="J2527">
        <v>-30.86</v>
      </c>
      <c r="K2527">
        <v>98</v>
      </c>
      <c r="L2527">
        <v>49.33</v>
      </c>
      <c r="M2527">
        <v>87</v>
      </c>
      <c r="N2527">
        <v>2.74</v>
      </c>
      <c r="O2527">
        <v>92</v>
      </c>
      <c r="P2527">
        <v>-13.26</v>
      </c>
      <c r="Q2527">
        <v>97</v>
      </c>
      <c r="R2527">
        <v>-8.18</v>
      </c>
      <c r="S2527">
        <v>89</v>
      </c>
      <c r="T2527">
        <v>25.81</v>
      </c>
      <c r="U2527">
        <v>95</v>
      </c>
      <c r="V2527">
        <v>7.95</v>
      </c>
      <c r="W2527">
        <v>86</v>
      </c>
      <c r="X2527" t="s">
        <v>94</v>
      </c>
      <c r="Y2527" t="s">
        <v>95</v>
      </c>
      <c r="Z2527" t="s">
        <v>96</v>
      </c>
      <c r="AA2527" t="s">
        <v>479</v>
      </c>
      <c r="AB2527" t="s">
        <v>4465</v>
      </c>
      <c r="AC2527">
        <v>187</v>
      </c>
      <c r="AD2527">
        <v>119</v>
      </c>
      <c r="AE2527">
        <v>98</v>
      </c>
      <c r="AF2527">
        <v>-114.52</v>
      </c>
      <c r="AG2527">
        <v>-6.59</v>
      </c>
      <c r="AH2527">
        <v>-4.67</v>
      </c>
      <c r="AI2527">
        <v>-0.04</v>
      </c>
      <c r="AJ2527">
        <v>-0.01</v>
      </c>
      <c r="AK2527">
        <v>87</v>
      </c>
      <c r="AL2527">
        <v>248</v>
      </c>
      <c r="AM2527">
        <v>140</v>
      </c>
      <c r="AN2527">
        <v>-2.2200000000000002</v>
      </c>
      <c r="AO2527">
        <v>1.72</v>
      </c>
      <c r="AP2527">
        <v>275</v>
      </c>
      <c r="AQ2527">
        <v>1</v>
      </c>
      <c r="AR2527">
        <v>7.6</v>
      </c>
      <c r="AS2527">
        <v>87</v>
      </c>
      <c r="AT2527">
        <v>3.04</v>
      </c>
      <c r="AU2527">
        <v>92</v>
      </c>
      <c r="AV2527">
        <v>-1.71</v>
      </c>
      <c r="AW2527">
        <v>96</v>
      </c>
      <c r="AX2527">
        <v>-0.43</v>
      </c>
      <c r="AY2527">
        <v>92</v>
      </c>
      <c r="AZ2527">
        <v>8.2899999999999991</v>
      </c>
      <c r="BA2527">
        <v>81</v>
      </c>
      <c r="BB2527">
        <v>6.69</v>
      </c>
      <c r="BC2527">
        <v>85</v>
      </c>
      <c r="BD2527">
        <v>0.03</v>
      </c>
      <c r="BE2527">
        <v>0.02</v>
      </c>
      <c r="BF2527">
        <v>0.1</v>
      </c>
      <c r="BG2527">
        <v>94</v>
      </c>
      <c r="BH2527">
        <v>0.25</v>
      </c>
      <c r="BI2527">
        <v>3.29</v>
      </c>
      <c r="BJ2527">
        <v>37</v>
      </c>
      <c r="BK2527">
        <v>17</v>
      </c>
      <c r="BL2527">
        <v>-2.35</v>
      </c>
      <c r="BM2527">
        <v>1.37</v>
      </c>
      <c r="BN2527">
        <v>-2.52</v>
      </c>
      <c r="BO2527">
        <v>-2.77</v>
      </c>
      <c r="BP2527">
        <v>-0.88</v>
      </c>
      <c r="BQ2527">
        <v>2.06</v>
      </c>
      <c r="BR2527">
        <v>-1.1100000000000001</v>
      </c>
      <c r="BS2527">
        <v>-1.17</v>
      </c>
      <c r="BT2527">
        <v>-0.53</v>
      </c>
      <c r="BU2527">
        <v>-3.06</v>
      </c>
      <c r="BV2527">
        <v>-3.38</v>
      </c>
      <c r="BW2527">
        <v>-2.59</v>
      </c>
      <c r="BX2527">
        <v>-1.31</v>
      </c>
      <c r="BY2527">
        <v>-0.85</v>
      </c>
      <c r="BZ2527">
        <v>-1.07</v>
      </c>
      <c r="CA2527">
        <v>-3.08</v>
      </c>
      <c r="CB2527">
        <v>-3.05</v>
      </c>
      <c r="CC2527">
        <v>-2.06</v>
      </c>
      <c r="CD2527">
        <v>2.2999999999999998</v>
      </c>
      <c r="CE2527">
        <v>-2.86</v>
      </c>
      <c r="CF2527">
        <v>-1.5</v>
      </c>
      <c r="CG2527">
        <v>0</v>
      </c>
      <c r="CH2527">
        <v>-0.67</v>
      </c>
      <c r="CI2527">
        <v>0</v>
      </c>
      <c r="CJ2527">
        <v>-7.7</v>
      </c>
      <c r="CK2527">
        <v>98</v>
      </c>
      <c r="CL2527">
        <v>-7.0000000000000007E-2</v>
      </c>
      <c r="CM2527">
        <v>97</v>
      </c>
      <c r="CN2527">
        <v>-0.08</v>
      </c>
      <c r="CO2527">
        <v>97</v>
      </c>
      <c r="CP2527">
        <v>-19</v>
      </c>
      <c r="CQ2527">
        <v>96</v>
      </c>
      <c r="CR2527">
        <v>0</v>
      </c>
      <c r="CS2527">
        <v>0</v>
      </c>
      <c r="CT2527">
        <v>-21.1</v>
      </c>
      <c r="CU2527">
        <v>95</v>
      </c>
      <c r="CV2527">
        <v>0.01</v>
      </c>
      <c r="CW2527">
        <v>46</v>
      </c>
      <c r="CX2527" t="s">
        <v>2821</v>
      </c>
    </row>
    <row r="2528" spans="1:102" x14ac:dyDescent="0.3">
      <c r="A2528" t="str">
        <f>HYPERLINK("https://webapp.icbf.com/v2/app/bull-search/view/77854810","MRL")</f>
        <v>MRL</v>
      </c>
      <c r="B2528" t="s">
        <v>14296</v>
      </c>
      <c r="C2528" t="s">
        <v>14297</v>
      </c>
      <c r="D2528" s="1">
        <v>32192</v>
      </c>
      <c r="E2528" t="s">
        <v>108</v>
      </c>
      <c r="F2528">
        <v>28</v>
      </c>
      <c r="G2528" t="s">
        <v>116</v>
      </c>
      <c r="H2528">
        <v>33.409999999999997</v>
      </c>
      <c r="I2528">
        <v>35</v>
      </c>
      <c r="J2528">
        <v>-23.39</v>
      </c>
      <c r="K2528">
        <v>50</v>
      </c>
      <c r="L2528">
        <v>43.19</v>
      </c>
      <c r="M2528">
        <v>38</v>
      </c>
      <c r="N2528">
        <v>8.06</v>
      </c>
      <c r="O2528">
        <v>13</v>
      </c>
      <c r="P2528">
        <v>-4.8600000000000003</v>
      </c>
      <c r="Q2528">
        <v>26</v>
      </c>
      <c r="R2528">
        <v>-8.0500000000000007</v>
      </c>
      <c r="S2528">
        <v>39</v>
      </c>
      <c r="T2528">
        <v>19.38</v>
      </c>
      <c r="U2528">
        <v>16</v>
      </c>
      <c r="V2528">
        <v>-0.92</v>
      </c>
      <c r="W2528">
        <v>4</v>
      </c>
      <c r="X2528" t="s">
        <v>94</v>
      </c>
      <c r="Y2528" t="s">
        <v>95</v>
      </c>
      <c r="Z2528" t="s">
        <v>96</v>
      </c>
      <c r="AA2528" t="s">
        <v>11094</v>
      </c>
      <c r="AB2528" t="s">
        <v>14298</v>
      </c>
      <c r="AC2528">
        <v>7</v>
      </c>
      <c r="AD2528">
        <v>6</v>
      </c>
      <c r="AE2528">
        <v>50</v>
      </c>
      <c r="AF2528">
        <v>43.3</v>
      </c>
      <c r="AG2528">
        <v>-4.4800000000000004</v>
      </c>
      <c r="AH2528">
        <v>-1.73</v>
      </c>
      <c r="AI2528">
        <v>-0.1</v>
      </c>
      <c r="AJ2528">
        <v>-0.05</v>
      </c>
      <c r="AK2528">
        <v>38</v>
      </c>
      <c r="AL2528">
        <v>24</v>
      </c>
      <c r="AM2528">
        <v>17</v>
      </c>
      <c r="AN2528">
        <v>-2.71</v>
      </c>
      <c r="AO2528">
        <v>0.73</v>
      </c>
      <c r="AP2528">
        <v>0</v>
      </c>
      <c r="AQ2528">
        <v>1</v>
      </c>
      <c r="AR2528">
        <v>5.78</v>
      </c>
      <c r="AS2528">
        <v>4</v>
      </c>
      <c r="AT2528">
        <v>2.64</v>
      </c>
      <c r="AU2528">
        <v>9</v>
      </c>
      <c r="AV2528">
        <v>0.31</v>
      </c>
      <c r="AW2528">
        <v>16</v>
      </c>
      <c r="AX2528">
        <v>-0.69</v>
      </c>
      <c r="AY2528">
        <v>26</v>
      </c>
      <c r="AZ2528">
        <v>6.2</v>
      </c>
      <c r="BA2528">
        <v>3</v>
      </c>
      <c r="BB2528">
        <v>5</v>
      </c>
      <c r="BC2528">
        <v>6</v>
      </c>
      <c r="BD2528">
        <v>0.03</v>
      </c>
      <c r="BE2528">
        <v>0.05</v>
      </c>
      <c r="BF2528">
        <v>0.04</v>
      </c>
      <c r="BG2528">
        <v>60</v>
      </c>
      <c r="BH2528">
        <v>0.04</v>
      </c>
      <c r="BI2528">
        <v>7.61</v>
      </c>
      <c r="BJ2528">
        <v>8</v>
      </c>
      <c r="BK2528">
        <v>7</v>
      </c>
      <c r="BL2528">
        <v>-2.33</v>
      </c>
      <c r="BM2528">
        <v>0.77</v>
      </c>
      <c r="BN2528">
        <v>-1.88</v>
      </c>
      <c r="BO2528">
        <v>-2.08</v>
      </c>
      <c r="BP2528">
        <v>1.39</v>
      </c>
      <c r="BQ2528">
        <v>-0.51</v>
      </c>
      <c r="BR2528">
        <v>0.13</v>
      </c>
      <c r="BS2528">
        <v>-0.42</v>
      </c>
      <c r="BT2528">
        <v>-0.68</v>
      </c>
      <c r="BU2528">
        <v>-0.9</v>
      </c>
      <c r="BV2528">
        <v>-1.53</v>
      </c>
      <c r="BW2528">
        <v>-1.22</v>
      </c>
      <c r="BX2528">
        <v>-1.08</v>
      </c>
      <c r="BY2528">
        <v>-1.4</v>
      </c>
      <c r="BZ2528">
        <v>-0.43</v>
      </c>
      <c r="CA2528">
        <v>-1.55</v>
      </c>
      <c r="CB2528">
        <v>-1.36</v>
      </c>
      <c r="CC2528">
        <v>-1.34</v>
      </c>
      <c r="CD2528">
        <v>1.72</v>
      </c>
      <c r="CE2528">
        <v>-2.41</v>
      </c>
      <c r="CF2528">
        <v>-2.2999999999999998</v>
      </c>
      <c r="CG2528">
        <v>0</v>
      </c>
      <c r="CH2528">
        <v>-0.79</v>
      </c>
      <c r="CI2528">
        <v>0</v>
      </c>
      <c r="CJ2528">
        <v>-2</v>
      </c>
      <c r="CK2528">
        <v>28</v>
      </c>
      <c r="CL2528">
        <v>-0.17</v>
      </c>
      <c r="CM2528">
        <v>25</v>
      </c>
      <c r="CN2528">
        <v>-7.0000000000000007E-2</v>
      </c>
      <c r="CO2528">
        <v>23</v>
      </c>
      <c r="CP2528">
        <v>-7.8</v>
      </c>
      <c r="CQ2528">
        <v>23</v>
      </c>
      <c r="CR2528">
        <v>0</v>
      </c>
      <c r="CS2528">
        <v>0</v>
      </c>
      <c r="CT2528">
        <v>-12.4</v>
      </c>
      <c r="CU2528">
        <v>16</v>
      </c>
      <c r="CV2528">
        <v>0.01</v>
      </c>
      <c r="CW2528">
        <v>7</v>
      </c>
      <c r="CX2528" t="s">
        <v>14299</v>
      </c>
    </row>
    <row r="2529" spans="1:102" x14ac:dyDescent="0.3">
      <c r="A2529" t="str">
        <f>HYPERLINK("https://webapp.icbf.com/v2/app/bull-search/view/69092497","RLB")</f>
        <v>RLB</v>
      </c>
      <c r="B2529" t="s">
        <v>12445</v>
      </c>
      <c r="C2529" t="s">
        <v>12446</v>
      </c>
      <c r="D2529" s="1">
        <v>33671</v>
      </c>
      <c r="E2529" t="s">
        <v>227</v>
      </c>
      <c r="F2529">
        <v>0</v>
      </c>
      <c r="G2529" t="s">
        <v>109</v>
      </c>
      <c r="H2529">
        <v>33.369999999999997</v>
      </c>
      <c r="I2529">
        <v>78</v>
      </c>
      <c r="J2529">
        <v>-4.8099999999999996</v>
      </c>
      <c r="K2529">
        <v>92</v>
      </c>
      <c r="L2529">
        <v>5.54</v>
      </c>
      <c r="M2529">
        <v>85</v>
      </c>
      <c r="N2529">
        <v>21.6</v>
      </c>
      <c r="O2529">
        <v>52</v>
      </c>
      <c r="P2529">
        <v>-72.23</v>
      </c>
      <c r="Q2529">
        <v>52</v>
      </c>
      <c r="R2529">
        <v>4.0599999999999996</v>
      </c>
      <c r="S2529">
        <v>67</v>
      </c>
      <c r="T2529">
        <v>72.73</v>
      </c>
      <c r="U2529">
        <v>58</v>
      </c>
      <c r="V2529">
        <v>6.48</v>
      </c>
      <c r="W2529">
        <v>61</v>
      </c>
      <c r="X2529" t="s">
        <v>276</v>
      </c>
      <c r="Y2529" t="s">
        <v>95</v>
      </c>
      <c r="Z2529">
        <v>0</v>
      </c>
      <c r="AA2529" t="s">
        <v>533</v>
      </c>
      <c r="AB2529" t="s">
        <v>12447</v>
      </c>
      <c r="AC2529">
        <v>0</v>
      </c>
      <c r="AD2529">
        <v>0</v>
      </c>
      <c r="AE2529">
        <v>92</v>
      </c>
      <c r="AF2529">
        <v>-217.98</v>
      </c>
      <c r="AG2529">
        <v>1.06</v>
      </c>
      <c r="AH2529">
        <v>-4.53</v>
      </c>
      <c r="AI2529">
        <v>0.17</v>
      </c>
      <c r="AJ2529">
        <v>0.05</v>
      </c>
      <c r="AK2529">
        <v>85</v>
      </c>
      <c r="AL2529">
        <v>0</v>
      </c>
      <c r="AM2529">
        <v>0</v>
      </c>
      <c r="AN2529">
        <v>1.1399999999999999</v>
      </c>
      <c r="AO2529">
        <v>1.6</v>
      </c>
      <c r="AP2529">
        <v>1</v>
      </c>
      <c r="AQ2529">
        <v>0</v>
      </c>
      <c r="AR2529">
        <v>1.75</v>
      </c>
      <c r="AS2529">
        <v>48</v>
      </c>
      <c r="AT2529">
        <v>1.08</v>
      </c>
      <c r="AU2529">
        <v>57</v>
      </c>
      <c r="AV2529">
        <v>-0.49</v>
      </c>
      <c r="AW2529">
        <v>53</v>
      </c>
      <c r="AX2529">
        <v>1.39</v>
      </c>
      <c r="AY2529">
        <v>48</v>
      </c>
      <c r="AZ2529">
        <v>6.64</v>
      </c>
      <c r="BA2529">
        <v>44</v>
      </c>
      <c r="BB2529">
        <v>5.47</v>
      </c>
      <c r="BC2529">
        <v>49</v>
      </c>
      <c r="BD2529">
        <v>-0.08</v>
      </c>
      <c r="BE2529">
        <v>0</v>
      </c>
      <c r="BF2529">
        <v>0.04</v>
      </c>
      <c r="BG2529">
        <v>74</v>
      </c>
      <c r="BH2529">
        <v>0.03</v>
      </c>
      <c r="BI2529">
        <v>-17.420000000000002</v>
      </c>
      <c r="BJ2529">
        <v>0</v>
      </c>
      <c r="BK2529">
        <v>0</v>
      </c>
      <c r="BL2529">
        <v>-0.4</v>
      </c>
      <c r="BM2529">
        <v>-1.21</v>
      </c>
      <c r="BN2529">
        <v>0.56000000000000005</v>
      </c>
      <c r="BO2529">
        <v>1.85</v>
      </c>
      <c r="BP2529">
        <v>-0.01</v>
      </c>
      <c r="BQ2529">
        <v>-4.1100000000000003</v>
      </c>
      <c r="BR2529">
        <v>2.58</v>
      </c>
      <c r="BS2529">
        <v>6.47</v>
      </c>
      <c r="BT2529">
        <v>-1.1399999999999999</v>
      </c>
      <c r="BU2529">
        <v>1.83</v>
      </c>
      <c r="BV2529">
        <v>1.57</v>
      </c>
      <c r="BW2529">
        <v>-0.73</v>
      </c>
      <c r="BX2529">
        <v>-1.3</v>
      </c>
      <c r="BY2529">
        <v>0.68</v>
      </c>
      <c r="BZ2529">
        <v>-0.3</v>
      </c>
      <c r="CA2529">
        <v>2.9</v>
      </c>
      <c r="CB2529">
        <v>1.7</v>
      </c>
      <c r="CC2529">
        <v>4.08</v>
      </c>
      <c r="CD2529">
        <v>-2.17</v>
      </c>
      <c r="CE2529">
        <v>1.98</v>
      </c>
      <c r="CF2529">
        <v>0.08</v>
      </c>
      <c r="CG2529">
        <v>0</v>
      </c>
      <c r="CH2529">
        <v>0</v>
      </c>
      <c r="CI2529">
        <v>0</v>
      </c>
      <c r="CJ2529">
        <v>-38.4</v>
      </c>
      <c r="CK2529">
        <v>53</v>
      </c>
      <c r="CL2529">
        <v>-1.54</v>
      </c>
      <c r="CM2529">
        <v>50</v>
      </c>
      <c r="CN2529">
        <v>-0.53</v>
      </c>
      <c r="CO2529">
        <v>48</v>
      </c>
      <c r="CP2529">
        <v>-63.7</v>
      </c>
      <c r="CQ2529">
        <v>56</v>
      </c>
      <c r="CR2529">
        <v>0</v>
      </c>
      <c r="CS2529">
        <v>0</v>
      </c>
      <c r="CT2529">
        <v>-84.5</v>
      </c>
      <c r="CU2529">
        <v>58</v>
      </c>
      <c r="CV2529">
        <v>-0.37</v>
      </c>
      <c r="CW2529">
        <v>35</v>
      </c>
      <c r="CX2529" t="s">
        <v>534</v>
      </c>
    </row>
    <row r="2530" spans="1:102" x14ac:dyDescent="0.3">
      <c r="A2530" t="str">
        <f>HYPERLINK("https://webapp.icbf.com/v2/app/bull-search/view/554314639","HMZ")</f>
        <v>HMZ</v>
      </c>
      <c r="B2530" t="s">
        <v>4210</v>
      </c>
      <c r="C2530" t="s">
        <v>4211</v>
      </c>
      <c r="D2530" s="1">
        <v>38798</v>
      </c>
      <c r="E2530" t="s">
        <v>108</v>
      </c>
      <c r="F2530">
        <v>0</v>
      </c>
      <c r="G2530" t="s">
        <v>93</v>
      </c>
      <c r="H2530">
        <v>33.33</v>
      </c>
      <c r="I2530">
        <v>83</v>
      </c>
      <c r="J2530">
        <v>-17.29</v>
      </c>
      <c r="K2530">
        <v>96</v>
      </c>
      <c r="L2530">
        <v>35.06</v>
      </c>
      <c r="M2530">
        <v>68</v>
      </c>
      <c r="N2530">
        <v>4.5999999999999996</v>
      </c>
      <c r="O2530">
        <v>83</v>
      </c>
      <c r="P2530">
        <v>-12.26</v>
      </c>
      <c r="Q2530">
        <v>94</v>
      </c>
      <c r="R2530">
        <v>7.84</v>
      </c>
      <c r="S2530">
        <v>77</v>
      </c>
      <c r="T2530">
        <v>26.26</v>
      </c>
      <c r="U2530">
        <v>87</v>
      </c>
      <c r="V2530">
        <v>-10.88</v>
      </c>
      <c r="W2530">
        <v>84</v>
      </c>
      <c r="X2530" t="s">
        <v>102</v>
      </c>
      <c r="Y2530" t="s">
        <v>1128</v>
      </c>
      <c r="Z2530" t="s">
        <v>96</v>
      </c>
      <c r="AA2530" t="s">
        <v>4212</v>
      </c>
      <c r="AB2530" t="s">
        <v>4213</v>
      </c>
      <c r="AC2530">
        <v>109</v>
      </c>
      <c r="AD2530">
        <v>75</v>
      </c>
      <c r="AE2530">
        <v>96</v>
      </c>
      <c r="AF2530">
        <v>140.29</v>
      </c>
      <c r="AG2530">
        <v>-3.94</v>
      </c>
      <c r="AH2530">
        <v>0.6</v>
      </c>
      <c r="AI2530">
        <v>-0.15</v>
      </c>
      <c r="AJ2530">
        <v>-7.0000000000000007E-2</v>
      </c>
      <c r="AK2530">
        <v>68</v>
      </c>
      <c r="AL2530">
        <v>123</v>
      </c>
      <c r="AM2530">
        <v>81</v>
      </c>
      <c r="AN2530">
        <v>-0.81</v>
      </c>
      <c r="AO2530">
        <v>2</v>
      </c>
      <c r="AP2530">
        <v>217</v>
      </c>
      <c r="AQ2530">
        <v>4</v>
      </c>
      <c r="AR2530">
        <v>6.76</v>
      </c>
      <c r="AS2530">
        <v>61</v>
      </c>
      <c r="AT2530">
        <v>2.54</v>
      </c>
      <c r="AU2530">
        <v>85</v>
      </c>
      <c r="AV2530">
        <v>-0.74</v>
      </c>
      <c r="AW2530">
        <v>96</v>
      </c>
      <c r="AX2530">
        <v>-0.65</v>
      </c>
      <c r="AY2530">
        <v>83</v>
      </c>
      <c r="AZ2530">
        <v>8.8699999999999992</v>
      </c>
      <c r="BA2530">
        <v>59</v>
      </c>
      <c r="BB2530">
        <v>6.07</v>
      </c>
      <c r="BC2530">
        <v>63</v>
      </c>
      <c r="BD2530">
        <v>0.04</v>
      </c>
      <c r="BE2530">
        <v>-0.03</v>
      </c>
      <c r="BF2530">
        <v>-0.19</v>
      </c>
      <c r="BG2530">
        <v>84</v>
      </c>
      <c r="BH2530">
        <v>-0.22</v>
      </c>
      <c r="BI2530">
        <v>9.65</v>
      </c>
      <c r="BJ2530">
        <v>31</v>
      </c>
      <c r="BK2530">
        <v>19</v>
      </c>
      <c r="BL2530">
        <v>-3.76</v>
      </c>
      <c r="BM2530">
        <v>2.3199999999999998</v>
      </c>
      <c r="BN2530">
        <v>-2.09</v>
      </c>
      <c r="BO2530">
        <v>-3.53</v>
      </c>
      <c r="BP2530">
        <v>0.46</v>
      </c>
      <c r="BQ2530">
        <v>-1.17</v>
      </c>
      <c r="BR2530">
        <v>-1.36</v>
      </c>
      <c r="BS2530">
        <v>0.93</v>
      </c>
      <c r="BT2530">
        <v>0.45</v>
      </c>
      <c r="BU2530">
        <v>-2.89</v>
      </c>
      <c r="BV2530">
        <v>-2.97</v>
      </c>
      <c r="BW2530">
        <v>-2.94</v>
      </c>
      <c r="BX2530">
        <v>-3.13</v>
      </c>
      <c r="BY2530">
        <v>-4.08</v>
      </c>
      <c r="BZ2530">
        <v>2.41</v>
      </c>
      <c r="CA2530">
        <v>-2.08</v>
      </c>
      <c r="CB2530">
        <v>-2.95</v>
      </c>
      <c r="CC2530">
        <v>0.48</v>
      </c>
      <c r="CD2530">
        <v>2.92</v>
      </c>
      <c r="CE2530">
        <v>-3.11</v>
      </c>
      <c r="CF2530">
        <v>-2.99</v>
      </c>
      <c r="CG2530">
        <v>0</v>
      </c>
      <c r="CH2530">
        <v>-4.4000000000000004</v>
      </c>
      <c r="CI2530">
        <v>0</v>
      </c>
      <c r="CJ2530">
        <v>-8.6999999999999993</v>
      </c>
      <c r="CK2530">
        <v>95</v>
      </c>
      <c r="CL2530">
        <v>-0.08</v>
      </c>
      <c r="CM2530">
        <v>94</v>
      </c>
      <c r="CN2530">
        <v>-0.24</v>
      </c>
      <c r="CO2530">
        <v>93</v>
      </c>
      <c r="CP2530">
        <v>-14.9</v>
      </c>
      <c r="CQ2530">
        <v>90</v>
      </c>
      <c r="CR2530">
        <v>0</v>
      </c>
      <c r="CS2530">
        <v>0</v>
      </c>
      <c r="CT2530">
        <v>-21.7</v>
      </c>
      <c r="CU2530">
        <v>87</v>
      </c>
      <c r="CV2530">
        <v>-0.16</v>
      </c>
      <c r="CW2530">
        <v>27</v>
      </c>
      <c r="CX2530" t="s">
        <v>4214</v>
      </c>
    </row>
    <row r="2531" spans="1:102" x14ac:dyDescent="0.3">
      <c r="A2531" t="str">
        <f>HYPERLINK("https://webapp.icbf.com/v2/app/bull-search/view/69092863","VAD")</f>
        <v>VAD</v>
      </c>
      <c r="B2531" t="s">
        <v>3302</v>
      </c>
      <c r="C2531" t="s">
        <v>3303</v>
      </c>
      <c r="D2531" s="1">
        <v>34953</v>
      </c>
      <c r="E2531" t="s">
        <v>146</v>
      </c>
      <c r="F2531">
        <v>0</v>
      </c>
      <c r="G2531" t="s">
        <v>109</v>
      </c>
      <c r="H2531">
        <v>33.22</v>
      </c>
      <c r="I2531">
        <v>44</v>
      </c>
      <c r="J2531">
        <v>-45.91</v>
      </c>
      <c r="K2531">
        <v>66</v>
      </c>
      <c r="L2531">
        <v>72.37</v>
      </c>
      <c r="M2531">
        <v>42</v>
      </c>
      <c r="N2531">
        <v>2.0499999999999998</v>
      </c>
      <c r="O2531">
        <v>25</v>
      </c>
      <c r="P2531">
        <v>-2.44</v>
      </c>
      <c r="Q2531">
        <v>39</v>
      </c>
      <c r="R2531">
        <v>-6.68</v>
      </c>
      <c r="S2531">
        <v>44</v>
      </c>
      <c r="T2531">
        <v>20.41</v>
      </c>
      <c r="U2531">
        <v>16</v>
      </c>
      <c r="V2531">
        <v>-6.58</v>
      </c>
      <c r="W2531">
        <v>4</v>
      </c>
      <c r="X2531" t="s">
        <v>276</v>
      </c>
      <c r="Y2531" t="s">
        <v>95</v>
      </c>
      <c r="Z2531">
        <v>0</v>
      </c>
      <c r="AA2531" t="s">
        <v>2863</v>
      </c>
      <c r="AB2531" t="s">
        <v>3304</v>
      </c>
      <c r="AC2531">
        <v>0</v>
      </c>
      <c r="AD2531">
        <v>0</v>
      </c>
      <c r="AE2531">
        <v>66</v>
      </c>
      <c r="AF2531">
        <v>-254.38</v>
      </c>
      <c r="AG2531">
        <v>-9.08</v>
      </c>
      <c r="AH2531">
        <v>-8.49</v>
      </c>
      <c r="AI2531">
        <v>0.01</v>
      </c>
      <c r="AJ2531">
        <v>0</v>
      </c>
      <c r="AK2531">
        <v>42</v>
      </c>
      <c r="AL2531">
        <v>0</v>
      </c>
      <c r="AM2531">
        <v>0</v>
      </c>
      <c r="AN2531">
        <v>-5.6</v>
      </c>
      <c r="AO2531">
        <v>0.15</v>
      </c>
      <c r="AP2531">
        <v>3</v>
      </c>
      <c r="AQ2531">
        <v>2</v>
      </c>
      <c r="AR2531">
        <v>8.4700000000000006</v>
      </c>
      <c r="AS2531">
        <v>3</v>
      </c>
      <c r="AT2531">
        <v>3.42</v>
      </c>
      <c r="AU2531">
        <v>13</v>
      </c>
      <c r="AV2531">
        <v>-0.64</v>
      </c>
      <c r="AW2531">
        <v>46</v>
      </c>
      <c r="AX2531">
        <v>0.31</v>
      </c>
      <c r="AY2531">
        <v>19</v>
      </c>
      <c r="AZ2531">
        <v>5.79</v>
      </c>
      <c r="BA2531">
        <v>3</v>
      </c>
      <c r="BB2531">
        <v>4.6100000000000003</v>
      </c>
      <c r="BC2531">
        <v>4</v>
      </c>
      <c r="BD2531">
        <v>0.01</v>
      </c>
      <c r="BE2531">
        <v>0.03</v>
      </c>
      <c r="BF2531">
        <v>0.08</v>
      </c>
      <c r="BG2531">
        <v>73</v>
      </c>
      <c r="BH2531">
        <v>-0.19</v>
      </c>
      <c r="BI2531">
        <v>-0.76</v>
      </c>
      <c r="BJ2531">
        <v>0</v>
      </c>
      <c r="BK2531">
        <v>0</v>
      </c>
      <c r="BL2531">
        <v>-2.69</v>
      </c>
      <c r="BM2531">
        <v>2.96</v>
      </c>
      <c r="BN2531">
        <v>1.06</v>
      </c>
      <c r="BO2531">
        <v>-1.41</v>
      </c>
      <c r="BP2531">
        <v>1.8</v>
      </c>
      <c r="BQ2531">
        <v>0.88</v>
      </c>
      <c r="BR2531">
        <v>0.57999999999999996</v>
      </c>
      <c r="BS2531">
        <v>-0.31</v>
      </c>
      <c r="BT2531">
        <v>0</v>
      </c>
      <c r="BU2531">
        <v>-3.7</v>
      </c>
      <c r="BV2531">
        <v>-4.0999999999999996</v>
      </c>
      <c r="BW2531">
        <v>-3.28</v>
      </c>
      <c r="BX2531">
        <v>-5.26</v>
      </c>
      <c r="BY2531">
        <v>-3.48</v>
      </c>
      <c r="BZ2531">
        <v>3.27</v>
      </c>
      <c r="CA2531">
        <v>-3.95</v>
      </c>
      <c r="CB2531">
        <v>-4.0199999999999996</v>
      </c>
      <c r="CC2531">
        <v>-1.51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-3.5</v>
      </c>
      <c r="CK2531">
        <v>42</v>
      </c>
      <c r="CL2531">
        <v>0.11</v>
      </c>
      <c r="CM2531">
        <v>38</v>
      </c>
      <c r="CN2531">
        <v>-0.19</v>
      </c>
      <c r="CO2531">
        <v>35</v>
      </c>
      <c r="CP2531">
        <v>-6.5</v>
      </c>
      <c r="CQ2531">
        <v>24</v>
      </c>
      <c r="CR2531">
        <v>0</v>
      </c>
      <c r="CS2531">
        <v>0</v>
      </c>
      <c r="CT2531">
        <v>-13.8</v>
      </c>
      <c r="CU2531">
        <v>16</v>
      </c>
      <c r="CV2531">
        <v>-0.23</v>
      </c>
      <c r="CW2531">
        <v>10</v>
      </c>
      <c r="CX2531" t="s">
        <v>548</v>
      </c>
    </row>
    <row r="2532" spans="1:102" x14ac:dyDescent="0.3">
      <c r="A2532" t="str">
        <f>HYPERLINK("https://webapp.icbf.com/v2/app/bull-search/view/804574716","S2246")</f>
        <v>S2246</v>
      </c>
      <c r="B2532" t="s">
        <v>6988</v>
      </c>
      <c r="C2532" t="s">
        <v>2205</v>
      </c>
      <c r="D2532" s="1">
        <v>39852</v>
      </c>
      <c r="E2532" t="s">
        <v>92</v>
      </c>
      <c r="F2532">
        <v>100</v>
      </c>
      <c r="G2532" t="s">
        <v>109</v>
      </c>
      <c r="H2532">
        <v>33.22</v>
      </c>
      <c r="I2532">
        <v>68</v>
      </c>
      <c r="J2532">
        <v>49.06</v>
      </c>
      <c r="K2532">
        <v>84</v>
      </c>
      <c r="L2532">
        <v>-28.24</v>
      </c>
      <c r="M2532">
        <v>79</v>
      </c>
      <c r="N2532">
        <v>13.03</v>
      </c>
      <c r="O2532">
        <v>50</v>
      </c>
      <c r="P2532">
        <v>-10.039999999999999</v>
      </c>
      <c r="Q2532">
        <v>36</v>
      </c>
      <c r="R2532">
        <v>7.8</v>
      </c>
      <c r="S2532">
        <v>61</v>
      </c>
      <c r="T2532">
        <v>-4.53</v>
      </c>
      <c r="U2532">
        <v>31</v>
      </c>
      <c r="V2532">
        <v>6.14</v>
      </c>
      <c r="W2532">
        <v>30</v>
      </c>
      <c r="X2532" t="s">
        <v>234</v>
      </c>
      <c r="Y2532" t="s">
        <v>367</v>
      </c>
      <c r="Z2532" t="s">
        <v>96</v>
      </c>
      <c r="AA2532" t="s">
        <v>350</v>
      </c>
      <c r="AB2532" t="s">
        <v>6989</v>
      </c>
      <c r="AC2532">
        <v>0</v>
      </c>
      <c r="AD2532">
        <v>0</v>
      </c>
      <c r="AE2532">
        <v>84</v>
      </c>
      <c r="AF2532">
        <v>396.89</v>
      </c>
      <c r="AG2532">
        <v>10.17</v>
      </c>
      <c r="AH2532">
        <v>10.82</v>
      </c>
      <c r="AI2532">
        <v>-0.08</v>
      </c>
      <c r="AJ2532">
        <v>-0.04</v>
      </c>
      <c r="AK2532">
        <v>79</v>
      </c>
      <c r="AL2532">
        <v>0</v>
      </c>
      <c r="AM2532">
        <v>0</v>
      </c>
      <c r="AN2532">
        <v>3.25</v>
      </c>
      <c r="AO2532">
        <v>1.02</v>
      </c>
      <c r="AP2532">
        <v>3</v>
      </c>
      <c r="AQ2532">
        <v>0</v>
      </c>
      <c r="AR2532">
        <v>7.27</v>
      </c>
      <c r="AS2532">
        <v>34</v>
      </c>
      <c r="AT2532">
        <v>3.4</v>
      </c>
      <c r="AU2532">
        <v>90</v>
      </c>
      <c r="AV2532">
        <v>-1.48</v>
      </c>
      <c r="AW2532">
        <v>42</v>
      </c>
      <c r="AX2532">
        <v>0.15</v>
      </c>
      <c r="AY2532">
        <v>37</v>
      </c>
      <c r="AZ2532">
        <v>5.92</v>
      </c>
      <c r="BA2532">
        <v>31</v>
      </c>
      <c r="BB2532">
        <v>4.4800000000000004</v>
      </c>
      <c r="BC2532">
        <v>29</v>
      </c>
      <c r="BD2532">
        <v>-0.02</v>
      </c>
      <c r="BE2532">
        <v>-0.04</v>
      </c>
      <c r="BF2532">
        <v>-7.0000000000000007E-2</v>
      </c>
      <c r="BG2532">
        <v>86</v>
      </c>
      <c r="BH2532">
        <v>0.14000000000000001</v>
      </c>
      <c r="BI2532">
        <v>-3.61</v>
      </c>
      <c r="BJ2532">
        <v>0</v>
      </c>
      <c r="BK2532">
        <v>0</v>
      </c>
      <c r="BL2532">
        <v>1.99</v>
      </c>
      <c r="BM2532">
        <v>0.03</v>
      </c>
      <c r="BN2532">
        <v>-0.15</v>
      </c>
      <c r="BO2532">
        <v>0.76</v>
      </c>
      <c r="BP2532">
        <v>1.4</v>
      </c>
      <c r="BQ2532">
        <v>0.79</v>
      </c>
      <c r="BR2532">
        <v>0.97</v>
      </c>
      <c r="BS2532">
        <v>1.56</v>
      </c>
      <c r="BT2532">
        <v>1.36</v>
      </c>
      <c r="BU2532">
        <v>2.81</v>
      </c>
      <c r="BV2532">
        <v>1.87</v>
      </c>
      <c r="BW2532">
        <v>-0.05</v>
      </c>
      <c r="BX2532">
        <v>2.5</v>
      </c>
      <c r="BY2532">
        <v>-0.35</v>
      </c>
      <c r="BZ2532">
        <v>2.73</v>
      </c>
      <c r="CA2532">
        <v>1.65</v>
      </c>
      <c r="CB2532">
        <v>1.33</v>
      </c>
      <c r="CC2532">
        <v>1.35</v>
      </c>
      <c r="CD2532">
        <v>0.19</v>
      </c>
      <c r="CE2532">
        <v>1.36</v>
      </c>
      <c r="CF2532">
        <v>1.7</v>
      </c>
      <c r="CG2532">
        <v>0</v>
      </c>
      <c r="CH2532">
        <v>2.0499999999999998</v>
      </c>
      <c r="CI2532">
        <v>0</v>
      </c>
      <c r="CJ2532">
        <v>-3.6</v>
      </c>
      <c r="CK2532">
        <v>37</v>
      </c>
      <c r="CL2532">
        <v>-1.24</v>
      </c>
      <c r="CM2532">
        <v>36</v>
      </c>
      <c r="CN2532">
        <v>-0.62</v>
      </c>
      <c r="CO2532">
        <v>36</v>
      </c>
      <c r="CP2532">
        <v>3.1</v>
      </c>
      <c r="CQ2532">
        <v>33</v>
      </c>
      <c r="CR2532">
        <v>0</v>
      </c>
      <c r="CS2532">
        <v>0</v>
      </c>
      <c r="CT2532">
        <v>19.899999999999999</v>
      </c>
      <c r="CU2532">
        <v>31</v>
      </c>
      <c r="CV2532">
        <v>0.25</v>
      </c>
      <c r="CW2532">
        <v>11</v>
      </c>
      <c r="CX2532" t="s">
        <v>309</v>
      </c>
    </row>
    <row r="2533" spans="1:102" x14ac:dyDescent="0.3">
      <c r="A2533" t="str">
        <f>HYPERLINK("https://webapp.icbf.com/v2/app/bull-search/view/744917632","S855")</f>
        <v>S855</v>
      </c>
      <c r="B2533" t="s">
        <v>12815</v>
      </c>
      <c r="C2533" t="s">
        <v>12816</v>
      </c>
      <c r="D2533" s="1">
        <v>37644</v>
      </c>
      <c r="E2533" t="s">
        <v>1061</v>
      </c>
      <c r="F2533">
        <v>0</v>
      </c>
      <c r="G2533" t="s">
        <v>93</v>
      </c>
      <c r="H2533">
        <v>33.21</v>
      </c>
      <c r="I2533">
        <v>89</v>
      </c>
      <c r="J2533">
        <v>-36.68</v>
      </c>
      <c r="K2533">
        <v>97</v>
      </c>
      <c r="L2533">
        <v>81.94</v>
      </c>
      <c r="M2533">
        <v>85</v>
      </c>
      <c r="N2533">
        <v>0.84</v>
      </c>
      <c r="O2533">
        <v>87</v>
      </c>
      <c r="P2533">
        <v>-33.03</v>
      </c>
      <c r="Q2533">
        <v>95</v>
      </c>
      <c r="R2533">
        <v>3.16</v>
      </c>
      <c r="S2533">
        <v>69</v>
      </c>
      <c r="T2533">
        <v>27.44</v>
      </c>
      <c r="U2533">
        <v>89</v>
      </c>
      <c r="V2533">
        <v>-10.46</v>
      </c>
      <c r="W2533">
        <v>65</v>
      </c>
      <c r="X2533" t="s">
        <v>1645</v>
      </c>
      <c r="Y2533" t="s">
        <v>303</v>
      </c>
      <c r="Z2533">
        <v>0</v>
      </c>
      <c r="AA2533" t="s">
        <v>5375</v>
      </c>
      <c r="AB2533" t="s">
        <v>12817</v>
      </c>
      <c r="AC2533">
        <v>154</v>
      </c>
      <c r="AD2533">
        <v>53</v>
      </c>
      <c r="AE2533">
        <v>97</v>
      </c>
      <c r="AF2533">
        <v>-223.18</v>
      </c>
      <c r="AG2533">
        <v>-5.07</v>
      </c>
      <c r="AH2533">
        <v>-7.86</v>
      </c>
      <c r="AI2533">
        <v>0.06</v>
      </c>
      <c r="AJ2533">
        <v>0</v>
      </c>
      <c r="AK2533">
        <v>85</v>
      </c>
      <c r="AL2533">
        <v>178</v>
      </c>
      <c r="AM2533">
        <v>59</v>
      </c>
      <c r="AN2533">
        <v>-3.26</v>
      </c>
      <c r="AO2533">
        <v>3.29</v>
      </c>
      <c r="AP2533">
        <v>283</v>
      </c>
      <c r="AQ2533">
        <v>2</v>
      </c>
      <c r="AR2533">
        <v>6.78</v>
      </c>
      <c r="AS2533">
        <v>83</v>
      </c>
      <c r="AT2533">
        <v>2.99</v>
      </c>
      <c r="AU2533">
        <v>85</v>
      </c>
      <c r="AV2533">
        <v>0.24</v>
      </c>
      <c r="AW2533">
        <v>97</v>
      </c>
      <c r="AX2533">
        <v>-0.01</v>
      </c>
      <c r="AY2533">
        <v>87</v>
      </c>
      <c r="AZ2533">
        <v>6.61</v>
      </c>
      <c r="BA2533">
        <v>63</v>
      </c>
      <c r="BB2533">
        <v>5.0599999999999996</v>
      </c>
      <c r="BC2533">
        <v>64</v>
      </c>
      <c r="BD2533">
        <v>0.02</v>
      </c>
      <c r="BE2533">
        <v>-0.04</v>
      </c>
      <c r="BF2533">
        <v>-0.03</v>
      </c>
      <c r="BG2533">
        <v>86</v>
      </c>
      <c r="BH2533">
        <v>-0.14000000000000001</v>
      </c>
      <c r="BI2533">
        <v>17.54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-16.100000000000001</v>
      </c>
      <c r="CK2533">
        <v>96</v>
      </c>
      <c r="CL2533">
        <v>-0.93</v>
      </c>
      <c r="CM2533">
        <v>95</v>
      </c>
      <c r="CN2533">
        <v>-0.16</v>
      </c>
      <c r="CO2533">
        <v>94</v>
      </c>
      <c r="CP2533">
        <v>-20.6</v>
      </c>
      <c r="CQ2533">
        <v>88</v>
      </c>
      <c r="CR2533">
        <v>0</v>
      </c>
      <c r="CS2533">
        <v>0</v>
      </c>
      <c r="CT2533">
        <v>-23.3</v>
      </c>
      <c r="CU2533">
        <v>89</v>
      </c>
      <c r="CV2533">
        <v>-0.08</v>
      </c>
      <c r="CW2533">
        <v>27</v>
      </c>
      <c r="CX2533" t="s">
        <v>12818</v>
      </c>
    </row>
    <row r="2534" spans="1:102" x14ac:dyDescent="0.3">
      <c r="A2534" t="str">
        <f>HYPERLINK("https://webapp.icbf.com/v2/app/bull-search/view/1001392205","S2034")</f>
        <v>S2034</v>
      </c>
      <c r="B2534" t="s">
        <v>6817</v>
      </c>
      <c r="C2534" t="s">
        <v>6818</v>
      </c>
      <c r="D2534" s="1">
        <v>40780</v>
      </c>
      <c r="E2534" t="s">
        <v>92</v>
      </c>
      <c r="F2534">
        <v>100</v>
      </c>
      <c r="G2534" t="s">
        <v>109</v>
      </c>
      <c r="H2534">
        <v>33.08</v>
      </c>
      <c r="I2534">
        <v>81</v>
      </c>
      <c r="J2534">
        <v>63.85</v>
      </c>
      <c r="K2534">
        <v>92</v>
      </c>
      <c r="L2534">
        <v>-66.94</v>
      </c>
      <c r="M2534">
        <v>82</v>
      </c>
      <c r="N2534">
        <v>33.76</v>
      </c>
      <c r="O2534">
        <v>73</v>
      </c>
      <c r="P2534">
        <v>6.35</v>
      </c>
      <c r="Q2534">
        <v>78</v>
      </c>
      <c r="R2534">
        <v>16.18</v>
      </c>
      <c r="S2534">
        <v>74</v>
      </c>
      <c r="T2534">
        <v>-19.329999999999998</v>
      </c>
      <c r="U2534">
        <v>55</v>
      </c>
      <c r="V2534">
        <v>-0.79</v>
      </c>
      <c r="W2534">
        <v>60</v>
      </c>
      <c r="X2534" t="s">
        <v>234</v>
      </c>
      <c r="Y2534" t="s">
        <v>367</v>
      </c>
      <c r="Z2534" t="s">
        <v>96</v>
      </c>
      <c r="AA2534" t="s">
        <v>5274</v>
      </c>
      <c r="AB2534" t="s">
        <v>6819</v>
      </c>
      <c r="AC2534">
        <v>0</v>
      </c>
      <c r="AD2534">
        <v>0</v>
      </c>
      <c r="AE2534">
        <v>92</v>
      </c>
      <c r="AF2534">
        <v>630.91999999999996</v>
      </c>
      <c r="AG2534">
        <v>10.7</v>
      </c>
      <c r="AH2534">
        <v>16.73</v>
      </c>
      <c r="AI2534">
        <v>-0.22</v>
      </c>
      <c r="AJ2534">
        <v>-7.0000000000000007E-2</v>
      </c>
      <c r="AK2534">
        <v>82</v>
      </c>
      <c r="AL2534">
        <v>0</v>
      </c>
      <c r="AM2534">
        <v>0</v>
      </c>
      <c r="AN2534">
        <v>3.54</v>
      </c>
      <c r="AO2534">
        <v>-1.8</v>
      </c>
      <c r="AP2534">
        <v>59</v>
      </c>
      <c r="AQ2534">
        <v>0</v>
      </c>
      <c r="AR2534">
        <v>7.31</v>
      </c>
      <c r="AS2534">
        <v>62</v>
      </c>
      <c r="AT2534">
        <v>2.78</v>
      </c>
      <c r="AU2534">
        <v>87</v>
      </c>
      <c r="AV2534">
        <v>-3.88</v>
      </c>
      <c r="AW2534">
        <v>81</v>
      </c>
      <c r="AX2534">
        <v>-0.12</v>
      </c>
      <c r="AY2534">
        <v>61</v>
      </c>
      <c r="AZ2534">
        <v>6.63</v>
      </c>
      <c r="BA2534">
        <v>49</v>
      </c>
      <c r="BB2534">
        <v>5.15</v>
      </c>
      <c r="BC2534">
        <v>46</v>
      </c>
      <c r="BD2534">
        <v>-0.06</v>
      </c>
      <c r="BE2534">
        <v>-0.08</v>
      </c>
      <c r="BF2534">
        <v>-0.12</v>
      </c>
      <c r="BG2534">
        <v>90</v>
      </c>
      <c r="BH2534">
        <v>-0.13</v>
      </c>
      <c r="BI2534">
        <v>-12.48</v>
      </c>
      <c r="BJ2534">
        <v>6</v>
      </c>
      <c r="BK2534">
        <v>3</v>
      </c>
      <c r="BL2534">
        <v>1.49</v>
      </c>
      <c r="BM2534">
        <v>1.66</v>
      </c>
      <c r="BN2534">
        <v>1.45</v>
      </c>
      <c r="BO2534">
        <v>0.65</v>
      </c>
      <c r="BP2534">
        <v>-0.61</v>
      </c>
      <c r="BQ2534">
        <v>2.06</v>
      </c>
      <c r="BR2534">
        <v>-1.34</v>
      </c>
      <c r="BS2534">
        <v>2.14</v>
      </c>
      <c r="BT2534">
        <v>-0.1</v>
      </c>
      <c r="BU2534">
        <v>2.27</v>
      </c>
      <c r="BV2534">
        <v>2.65</v>
      </c>
      <c r="BW2534">
        <v>2.5499999999999998</v>
      </c>
      <c r="BX2534">
        <v>1.33</v>
      </c>
      <c r="BY2534">
        <v>1.37</v>
      </c>
      <c r="BZ2534">
        <v>-0.35</v>
      </c>
      <c r="CA2534">
        <v>2.29</v>
      </c>
      <c r="CB2534">
        <v>2.08</v>
      </c>
      <c r="CC2534">
        <v>1.58</v>
      </c>
      <c r="CD2534">
        <v>0.71</v>
      </c>
      <c r="CE2534">
        <v>1.49</v>
      </c>
      <c r="CF2534">
        <v>2.15</v>
      </c>
      <c r="CG2534">
        <v>0</v>
      </c>
      <c r="CH2534">
        <v>1.36</v>
      </c>
      <c r="CI2534">
        <v>0</v>
      </c>
      <c r="CJ2534">
        <v>3.8</v>
      </c>
      <c r="CK2534">
        <v>81</v>
      </c>
      <c r="CL2534">
        <v>-1.1100000000000001</v>
      </c>
      <c r="CM2534">
        <v>78</v>
      </c>
      <c r="CN2534">
        <v>-0.92</v>
      </c>
      <c r="CO2534">
        <v>76</v>
      </c>
      <c r="CP2534">
        <v>11.9</v>
      </c>
      <c r="CQ2534">
        <v>61</v>
      </c>
      <c r="CR2534">
        <v>0</v>
      </c>
      <c r="CS2534">
        <v>0</v>
      </c>
      <c r="CT2534">
        <v>39.9</v>
      </c>
      <c r="CU2534">
        <v>55</v>
      </c>
      <c r="CV2534">
        <v>0.23</v>
      </c>
      <c r="CW2534">
        <v>42</v>
      </c>
      <c r="CX2534" t="s">
        <v>1962</v>
      </c>
    </row>
    <row r="2535" spans="1:102" x14ac:dyDescent="0.3">
      <c r="A2535" t="str">
        <f>HYPERLINK("https://webapp.icbf.com/v2/app/bull-search/view/69091888","HLL")</f>
        <v>HLL</v>
      </c>
      <c r="B2535" t="s">
        <v>15198</v>
      </c>
      <c r="C2535" t="s">
        <v>15199</v>
      </c>
      <c r="D2535" s="1">
        <v>32235</v>
      </c>
      <c r="E2535" t="s">
        <v>227</v>
      </c>
      <c r="F2535">
        <v>0</v>
      </c>
      <c r="G2535" t="s">
        <v>109</v>
      </c>
      <c r="H2535">
        <v>33.04</v>
      </c>
      <c r="I2535">
        <v>57</v>
      </c>
      <c r="J2535">
        <v>-7.07</v>
      </c>
      <c r="K2535">
        <v>70</v>
      </c>
      <c r="L2535">
        <v>45.95</v>
      </c>
      <c r="M2535">
        <v>65</v>
      </c>
      <c r="N2535">
        <v>-4.59</v>
      </c>
      <c r="O2535">
        <v>33</v>
      </c>
      <c r="P2535">
        <v>-69.83</v>
      </c>
      <c r="Q2535">
        <v>42</v>
      </c>
      <c r="R2535">
        <v>-2.09</v>
      </c>
      <c r="S2535">
        <v>46</v>
      </c>
      <c r="T2535">
        <v>68.22</v>
      </c>
      <c r="U2535">
        <v>43</v>
      </c>
      <c r="V2535">
        <v>2.4500000000000002</v>
      </c>
      <c r="W2535">
        <v>15</v>
      </c>
      <c r="X2535" t="s">
        <v>102</v>
      </c>
      <c r="Y2535" t="s">
        <v>95</v>
      </c>
      <c r="Z2535">
        <v>0</v>
      </c>
      <c r="AA2535" t="s">
        <v>577</v>
      </c>
      <c r="AB2535" t="s">
        <v>144</v>
      </c>
      <c r="AC2535">
        <v>0</v>
      </c>
      <c r="AD2535">
        <v>0</v>
      </c>
      <c r="AE2535">
        <v>70</v>
      </c>
      <c r="AF2535">
        <v>-782.83</v>
      </c>
      <c r="AG2535">
        <v>1.91</v>
      </c>
      <c r="AH2535">
        <v>-13.86</v>
      </c>
      <c r="AI2535">
        <v>0.62</v>
      </c>
      <c r="AJ2535">
        <v>0.25</v>
      </c>
      <c r="AK2535">
        <v>65</v>
      </c>
      <c r="AL2535">
        <v>0</v>
      </c>
      <c r="AM2535">
        <v>0</v>
      </c>
      <c r="AN2535">
        <v>-1.28</v>
      </c>
      <c r="AO2535">
        <v>2.4</v>
      </c>
      <c r="AP2535">
        <v>5</v>
      </c>
      <c r="AQ2535">
        <v>0</v>
      </c>
      <c r="AR2535">
        <v>5.23</v>
      </c>
      <c r="AS2535">
        <v>16</v>
      </c>
      <c r="AT2535">
        <v>2.64</v>
      </c>
      <c r="AU2535">
        <v>26</v>
      </c>
      <c r="AV2535">
        <v>1.42</v>
      </c>
      <c r="AW2535">
        <v>43</v>
      </c>
      <c r="AX2535">
        <v>0.74</v>
      </c>
      <c r="AY2535">
        <v>50</v>
      </c>
      <c r="AZ2535">
        <v>6.68</v>
      </c>
      <c r="BA2535">
        <v>11</v>
      </c>
      <c r="BB2535">
        <v>5.12</v>
      </c>
      <c r="BC2535">
        <v>20</v>
      </c>
      <c r="BD2535">
        <v>-0.03</v>
      </c>
      <c r="BE2535">
        <v>0.02</v>
      </c>
      <c r="BF2535">
        <v>0.06</v>
      </c>
      <c r="BG2535">
        <v>61</v>
      </c>
      <c r="BH2535">
        <v>0.15</v>
      </c>
      <c r="BI2535">
        <v>9.4600000000000009</v>
      </c>
      <c r="BJ2535">
        <v>0</v>
      </c>
      <c r="BK2535">
        <v>0</v>
      </c>
      <c r="BL2535">
        <v>-1.41</v>
      </c>
      <c r="BM2535">
        <v>-1.69</v>
      </c>
      <c r="BN2535">
        <v>-0.32</v>
      </c>
      <c r="BO2535">
        <v>1.31</v>
      </c>
      <c r="BP2535">
        <v>-0.37</v>
      </c>
      <c r="BQ2535">
        <v>-5.4</v>
      </c>
      <c r="BR2535">
        <v>2.04</v>
      </c>
      <c r="BS2535">
        <v>6.62</v>
      </c>
      <c r="BT2535">
        <v>-1.05</v>
      </c>
      <c r="BU2535">
        <v>0.18</v>
      </c>
      <c r="BV2535">
        <v>0.37</v>
      </c>
      <c r="BW2535">
        <v>-1.69</v>
      </c>
      <c r="BX2535">
        <v>-2.4500000000000002</v>
      </c>
      <c r="BY2535">
        <v>-0.01</v>
      </c>
      <c r="BZ2535">
        <v>0.02</v>
      </c>
      <c r="CA2535">
        <v>1.98</v>
      </c>
      <c r="CB2535">
        <v>0.43</v>
      </c>
      <c r="CC2535">
        <v>4.21</v>
      </c>
      <c r="CD2535">
        <v>-2.2799999999999998</v>
      </c>
      <c r="CE2535">
        <v>1.1499999999999999</v>
      </c>
      <c r="CF2535">
        <v>-1.31</v>
      </c>
      <c r="CG2535">
        <v>0</v>
      </c>
      <c r="CH2535">
        <v>-0.84</v>
      </c>
      <c r="CI2535">
        <v>0</v>
      </c>
      <c r="CJ2535">
        <v>-35.5</v>
      </c>
      <c r="CK2535">
        <v>44</v>
      </c>
      <c r="CL2535">
        <v>-1.1499999999999999</v>
      </c>
      <c r="CM2535">
        <v>39</v>
      </c>
      <c r="CN2535">
        <v>0.04</v>
      </c>
      <c r="CO2535">
        <v>31</v>
      </c>
      <c r="CP2535">
        <v>-56.7</v>
      </c>
      <c r="CQ2535">
        <v>57</v>
      </c>
      <c r="CR2535">
        <v>0</v>
      </c>
      <c r="CS2535">
        <v>0</v>
      </c>
      <c r="CT2535">
        <v>-78.400000000000006</v>
      </c>
      <c r="CU2535">
        <v>43</v>
      </c>
      <c r="CV2535">
        <v>-0.36</v>
      </c>
      <c r="CW2535">
        <v>10</v>
      </c>
      <c r="CX2535" t="s">
        <v>15200</v>
      </c>
    </row>
    <row r="2536" spans="1:102" x14ac:dyDescent="0.3">
      <c r="A2536" t="str">
        <f>HYPERLINK("https://webapp.icbf.com/v2/app/bull-search/view/586059332","S2064")</f>
        <v>S2064</v>
      </c>
      <c r="B2536" t="s">
        <v>9205</v>
      </c>
      <c r="C2536" t="s">
        <v>9206</v>
      </c>
      <c r="D2536" s="1">
        <v>37005</v>
      </c>
      <c r="E2536" t="s">
        <v>108</v>
      </c>
      <c r="F2536">
        <v>0</v>
      </c>
      <c r="G2536" t="s">
        <v>93</v>
      </c>
      <c r="H2536">
        <v>33</v>
      </c>
      <c r="I2536">
        <v>72</v>
      </c>
      <c r="J2536">
        <v>-74.290000000000006</v>
      </c>
      <c r="K2536">
        <v>87</v>
      </c>
      <c r="L2536">
        <v>99.04</v>
      </c>
      <c r="M2536">
        <v>65</v>
      </c>
      <c r="N2536">
        <v>-1.48</v>
      </c>
      <c r="O2536">
        <v>72</v>
      </c>
      <c r="P2536">
        <v>-9.4</v>
      </c>
      <c r="Q2536">
        <v>74</v>
      </c>
      <c r="R2536">
        <v>-2.2599999999999998</v>
      </c>
      <c r="S2536">
        <v>64</v>
      </c>
      <c r="T2536">
        <v>25.37</v>
      </c>
      <c r="U2536">
        <v>44</v>
      </c>
      <c r="V2536">
        <v>-3.98</v>
      </c>
      <c r="W2536">
        <v>64</v>
      </c>
      <c r="X2536" t="s">
        <v>102</v>
      </c>
      <c r="Y2536" t="s">
        <v>367</v>
      </c>
      <c r="Z2536" t="s">
        <v>96</v>
      </c>
      <c r="AA2536" t="s">
        <v>9207</v>
      </c>
      <c r="AB2536" t="s">
        <v>4528</v>
      </c>
      <c r="AC2536">
        <v>21</v>
      </c>
      <c r="AD2536">
        <v>8</v>
      </c>
      <c r="AE2536">
        <v>87</v>
      </c>
      <c r="AF2536">
        <v>-548.04</v>
      </c>
      <c r="AG2536">
        <v>-11.26</v>
      </c>
      <c r="AH2536">
        <v>-17.04</v>
      </c>
      <c r="AI2536">
        <v>0.2</v>
      </c>
      <c r="AJ2536">
        <v>0.03</v>
      </c>
      <c r="AK2536">
        <v>65</v>
      </c>
      <c r="AL2536">
        <v>3</v>
      </c>
      <c r="AM2536">
        <v>1</v>
      </c>
      <c r="AN2536">
        <v>-7.6</v>
      </c>
      <c r="AO2536">
        <v>0.27</v>
      </c>
      <c r="AP2536">
        <v>66</v>
      </c>
      <c r="AQ2536">
        <v>0</v>
      </c>
      <c r="AR2536">
        <v>8.3699999999999992</v>
      </c>
      <c r="AS2536">
        <v>67</v>
      </c>
      <c r="AT2536">
        <v>3.4</v>
      </c>
      <c r="AU2536">
        <v>69</v>
      </c>
      <c r="AV2536">
        <v>-1.81</v>
      </c>
      <c r="AW2536">
        <v>87</v>
      </c>
      <c r="AX2536">
        <v>-0.67</v>
      </c>
      <c r="AY2536">
        <v>70</v>
      </c>
      <c r="AZ2536">
        <v>8.6300000000000008</v>
      </c>
      <c r="BA2536">
        <v>44</v>
      </c>
      <c r="BB2536">
        <v>6.64</v>
      </c>
      <c r="BC2536">
        <v>40</v>
      </c>
      <c r="BD2536">
        <v>0</v>
      </c>
      <c r="BE2536">
        <v>-0.02</v>
      </c>
      <c r="BF2536">
        <v>0.09</v>
      </c>
      <c r="BG2536">
        <v>71</v>
      </c>
      <c r="BH2536">
        <v>-0.18</v>
      </c>
      <c r="BI2536">
        <v>-7.97</v>
      </c>
      <c r="BJ2536">
        <v>0</v>
      </c>
      <c r="BK2536">
        <v>0</v>
      </c>
      <c r="BL2536">
        <v>-3.91</v>
      </c>
      <c r="BM2536">
        <v>1.74</v>
      </c>
      <c r="BN2536">
        <v>-2.87</v>
      </c>
      <c r="BO2536">
        <v>-3.86</v>
      </c>
      <c r="BP2536">
        <v>-1.99</v>
      </c>
      <c r="BQ2536">
        <v>1.57</v>
      </c>
      <c r="BR2536">
        <v>-1.44</v>
      </c>
      <c r="BS2536">
        <v>1.1599999999999999</v>
      </c>
      <c r="BT2536">
        <v>0.25</v>
      </c>
      <c r="BU2536">
        <v>-3.28</v>
      </c>
      <c r="BV2536">
        <v>-5.0199999999999996</v>
      </c>
      <c r="BW2536">
        <v>-3.73</v>
      </c>
      <c r="BX2536">
        <v>-2.96</v>
      </c>
      <c r="BY2536">
        <v>-1.83</v>
      </c>
      <c r="BZ2536">
        <v>-0.59</v>
      </c>
      <c r="CA2536">
        <v>-2.92</v>
      </c>
      <c r="CB2536">
        <v>-3.65</v>
      </c>
      <c r="CC2536">
        <v>-0.65</v>
      </c>
      <c r="CD2536">
        <v>3.7</v>
      </c>
      <c r="CE2536">
        <v>-3.34</v>
      </c>
      <c r="CF2536">
        <v>-2.48</v>
      </c>
      <c r="CG2536">
        <v>0</v>
      </c>
      <c r="CH2536">
        <v>-1.66</v>
      </c>
      <c r="CI2536">
        <v>0</v>
      </c>
      <c r="CJ2536">
        <v>-7.7</v>
      </c>
      <c r="CK2536">
        <v>78</v>
      </c>
      <c r="CL2536">
        <v>0.3</v>
      </c>
      <c r="CM2536">
        <v>74</v>
      </c>
      <c r="CN2536">
        <v>0.03</v>
      </c>
      <c r="CO2536">
        <v>73</v>
      </c>
      <c r="CP2536">
        <v>-10.1</v>
      </c>
      <c r="CQ2536">
        <v>50</v>
      </c>
      <c r="CR2536">
        <v>0</v>
      </c>
      <c r="CS2536">
        <v>0</v>
      </c>
      <c r="CT2536">
        <v>-20.5</v>
      </c>
      <c r="CU2536">
        <v>44</v>
      </c>
      <c r="CV2536">
        <v>-0.06</v>
      </c>
      <c r="CW2536">
        <v>41</v>
      </c>
      <c r="CX2536" t="s">
        <v>4529</v>
      </c>
    </row>
    <row r="2537" spans="1:102" x14ac:dyDescent="0.3">
      <c r="A2537" t="str">
        <f>HYPERLINK("https://webapp.icbf.com/v2/app/bull-search/view/77857135","GOE")</f>
        <v>GOE</v>
      </c>
      <c r="B2537" t="s">
        <v>4889</v>
      </c>
      <c r="C2537" t="s">
        <v>4890</v>
      </c>
      <c r="D2537" s="1">
        <v>31948</v>
      </c>
      <c r="E2537" t="s">
        <v>108</v>
      </c>
      <c r="F2537">
        <v>13</v>
      </c>
      <c r="G2537" t="s">
        <v>93</v>
      </c>
      <c r="H2537">
        <v>32.909999999999997</v>
      </c>
      <c r="I2537">
        <v>95</v>
      </c>
      <c r="J2537">
        <v>-64.28</v>
      </c>
      <c r="K2537">
        <v>99</v>
      </c>
      <c r="L2537">
        <v>79.680000000000007</v>
      </c>
      <c r="M2537">
        <v>92</v>
      </c>
      <c r="N2537">
        <v>9.89</v>
      </c>
      <c r="O2537">
        <v>92</v>
      </c>
      <c r="P2537">
        <v>-11.08</v>
      </c>
      <c r="Q2537">
        <v>98</v>
      </c>
      <c r="R2537">
        <v>-0.25</v>
      </c>
      <c r="S2537">
        <v>90</v>
      </c>
      <c r="T2537">
        <v>20.190000000000001</v>
      </c>
      <c r="U2537">
        <v>95</v>
      </c>
      <c r="V2537">
        <v>-1.24</v>
      </c>
      <c r="W2537">
        <v>85</v>
      </c>
      <c r="X2537" t="s">
        <v>102</v>
      </c>
      <c r="Y2537" t="s">
        <v>95</v>
      </c>
      <c r="Z2537" t="s">
        <v>96</v>
      </c>
      <c r="AA2537" t="s">
        <v>823</v>
      </c>
      <c r="AB2537" t="s">
        <v>4891</v>
      </c>
      <c r="AC2537">
        <v>517</v>
      </c>
      <c r="AD2537">
        <v>237</v>
      </c>
      <c r="AE2537">
        <v>99</v>
      </c>
      <c r="AF2537">
        <v>-340.96</v>
      </c>
      <c r="AG2537">
        <v>-12.47</v>
      </c>
      <c r="AH2537">
        <v>-11.74</v>
      </c>
      <c r="AI2537">
        <v>0.02</v>
      </c>
      <c r="AJ2537">
        <v>0</v>
      </c>
      <c r="AK2537">
        <v>92</v>
      </c>
      <c r="AL2537">
        <v>919</v>
      </c>
      <c r="AM2537">
        <v>427</v>
      </c>
      <c r="AN2537">
        <v>-5.45</v>
      </c>
      <c r="AO2537">
        <v>0.89</v>
      </c>
      <c r="AP2537">
        <v>28</v>
      </c>
      <c r="AQ2537">
        <v>0</v>
      </c>
      <c r="AR2537">
        <v>5.15</v>
      </c>
      <c r="AS2537">
        <v>79</v>
      </c>
      <c r="AT2537">
        <v>2.38</v>
      </c>
      <c r="AU2537">
        <v>92</v>
      </c>
      <c r="AV2537">
        <v>-0.25</v>
      </c>
      <c r="AW2537">
        <v>95</v>
      </c>
      <c r="AX2537">
        <v>0.04</v>
      </c>
      <c r="AY2537">
        <v>96</v>
      </c>
      <c r="AZ2537">
        <v>6.93</v>
      </c>
      <c r="BA2537">
        <v>78</v>
      </c>
      <c r="BB2537">
        <v>5.54</v>
      </c>
      <c r="BC2537">
        <v>90</v>
      </c>
      <c r="BD2537">
        <v>7.0000000000000007E-2</v>
      </c>
      <c r="BE2537">
        <v>0.01</v>
      </c>
      <c r="BF2537">
        <v>-0.13</v>
      </c>
      <c r="BG2537">
        <v>98</v>
      </c>
      <c r="BH2537">
        <v>-0.05</v>
      </c>
      <c r="BI2537">
        <v>-1.77</v>
      </c>
      <c r="BJ2537">
        <v>66</v>
      </c>
      <c r="BK2537">
        <v>48</v>
      </c>
      <c r="BL2537">
        <v>-1.86</v>
      </c>
      <c r="BM2537">
        <v>1.65</v>
      </c>
      <c r="BN2537">
        <v>-1.39</v>
      </c>
      <c r="BO2537">
        <v>-1.98</v>
      </c>
      <c r="BP2537">
        <v>-0.09</v>
      </c>
      <c r="BQ2537">
        <v>1.07</v>
      </c>
      <c r="BR2537">
        <v>-0.1</v>
      </c>
      <c r="BS2537">
        <v>0.32</v>
      </c>
      <c r="BT2537">
        <v>-1.89</v>
      </c>
      <c r="BU2537">
        <v>-2.0099999999999998</v>
      </c>
      <c r="BV2537">
        <v>-1.5</v>
      </c>
      <c r="BW2537">
        <v>-1.05</v>
      </c>
      <c r="BX2537">
        <v>-1.52</v>
      </c>
      <c r="BY2537">
        <v>-0.33</v>
      </c>
      <c r="BZ2537">
        <v>0.24</v>
      </c>
      <c r="CA2537">
        <v>-1.52</v>
      </c>
      <c r="CB2537">
        <v>-1.87</v>
      </c>
      <c r="CC2537">
        <v>-0.51</v>
      </c>
      <c r="CD2537">
        <v>2.4500000000000002</v>
      </c>
      <c r="CE2537">
        <v>-2.21</v>
      </c>
      <c r="CF2537">
        <v>-0.82</v>
      </c>
      <c r="CG2537">
        <v>0</v>
      </c>
      <c r="CH2537">
        <v>-0.35</v>
      </c>
      <c r="CI2537">
        <v>0</v>
      </c>
      <c r="CJ2537">
        <v>-4.9000000000000004</v>
      </c>
      <c r="CK2537">
        <v>98</v>
      </c>
      <c r="CL2537">
        <v>-0.09</v>
      </c>
      <c r="CM2537">
        <v>97</v>
      </c>
      <c r="CN2537">
        <v>0.16</v>
      </c>
      <c r="CO2537">
        <v>97</v>
      </c>
      <c r="CP2537">
        <v>-10.1</v>
      </c>
      <c r="CQ2537">
        <v>98</v>
      </c>
      <c r="CR2537">
        <v>0</v>
      </c>
      <c r="CS2537">
        <v>0</v>
      </c>
      <c r="CT2537">
        <v>-13.5</v>
      </c>
      <c r="CU2537">
        <v>95</v>
      </c>
      <c r="CV2537">
        <v>-0.01</v>
      </c>
      <c r="CW2537">
        <v>46</v>
      </c>
      <c r="CX2537" t="s">
        <v>675</v>
      </c>
    </row>
    <row r="2538" spans="1:102" x14ac:dyDescent="0.3">
      <c r="A2538" t="str">
        <f>HYPERLINK("https://webapp.icbf.com/v2/app/bull-search/view/62104044","KFP")</f>
        <v>KFP</v>
      </c>
      <c r="B2538" t="s">
        <v>10489</v>
      </c>
      <c r="C2538" t="s">
        <v>10490</v>
      </c>
      <c r="D2538" s="1">
        <v>36534</v>
      </c>
      <c r="E2538" t="s">
        <v>92</v>
      </c>
      <c r="F2538">
        <v>100</v>
      </c>
      <c r="G2538" t="s">
        <v>93</v>
      </c>
      <c r="H2538">
        <v>32.909999999999997</v>
      </c>
      <c r="I2538">
        <v>71</v>
      </c>
      <c r="J2538">
        <v>19.739999999999998</v>
      </c>
      <c r="K2538">
        <v>92</v>
      </c>
      <c r="L2538">
        <v>-8.01</v>
      </c>
      <c r="M2538">
        <v>56</v>
      </c>
      <c r="N2538">
        <v>17.64</v>
      </c>
      <c r="O2538">
        <v>62</v>
      </c>
      <c r="P2538">
        <v>-6.22</v>
      </c>
      <c r="Q2538">
        <v>80</v>
      </c>
      <c r="R2538">
        <v>-2.09</v>
      </c>
      <c r="S2538">
        <v>60</v>
      </c>
      <c r="T2538">
        <v>13.9</v>
      </c>
      <c r="U2538">
        <v>71</v>
      </c>
      <c r="V2538">
        <v>-2.0499999999999998</v>
      </c>
      <c r="W2538">
        <v>33</v>
      </c>
      <c r="X2538" t="s">
        <v>94</v>
      </c>
      <c r="Y2538" t="s">
        <v>95</v>
      </c>
      <c r="Z2538" t="s">
        <v>96</v>
      </c>
      <c r="AA2538" t="s">
        <v>3195</v>
      </c>
      <c r="AB2538" t="s">
        <v>10491</v>
      </c>
      <c r="AC2538">
        <v>57</v>
      </c>
      <c r="AD2538">
        <v>15</v>
      </c>
      <c r="AE2538">
        <v>92</v>
      </c>
      <c r="AF2538">
        <v>26.11</v>
      </c>
      <c r="AG2538">
        <v>5.9</v>
      </c>
      <c r="AH2538">
        <v>1.67</v>
      </c>
      <c r="AI2538">
        <v>0.08</v>
      </c>
      <c r="AJ2538">
        <v>0.01</v>
      </c>
      <c r="AK2538">
        <v>56</v>
      </c>
      <c r="AL2538">
        <v>52</v>
      </c>
      <c r="AM2538">
        <v>10</v>
      </c>
      <c r="AN2538">
        <v>0.37</v>
      </c>
      <c r="AO2538">
        <v>-0.27</v>
      </c>
      <c r="AP2538">
        <v>43</v>
      </c>
      <c r="AQ2538">
        <v>0</v>
      </c>
      <c r="AR2538">
        <v>4.97</v>
      </c>
      <c r="AS2538">
        <v>68</v>
      </c>
      <c r="AT2538">
        <v>2.38</v>
      </c>
      <c r="AU2538">
        <v>49</v>
      </c>
      <c r="AV2538">
        <v>-0.54</v>
      </c>
      <c r="AW2538">
        <v>77</v>
      </c>
      <c r="AX2538">
        <v>-0.73</v>
      </c>
      <c r="AY2538">
        <v>67</v>
      </c>
      <c r="AZ2538">
        <v>6.92</v>
      </c>
      <c r="BA2538">
        <v>38</v>
      </c>
      <c r="BB2538">
        <v>4.95</v>
      </c>
      <c r="BC2538">
        <v>42</v>
      </c>
      <c r="BD2538">
        <v>0.03</v>
      </c>
      <c r="BE2538">
        <v>0.02</v>
      </c>
      <c r="BF2538">
        <v>-0.04</v>
      </c>
      <c r="BG2538">
        <v>74</v>
      </c>
      <c r="BH2538">
        <v>0</v>
      </c>
      <c r="BI2538">
        <v>6.6</v>
      </c>
      <c r="BJ2538">
        <v>15</v>
      </c>
      <c r="BK2538">
        <v>4</v>
      </c>
      <c r="BL2538">
        <v>0.52</v>
      </c>
      <c r="BM2538">
        <v>-2.58</v>
      </c>
      <c r="BN2538">
        <v>-1.57</v>
      </c>
      <c r="BO2538">
        <v>0.49</v>
      </c>
      <c r="BP2538">
        <v>0.94</v>
      </c>
      <c r="BQ2538">
        <v>-1.1399999999999999</v>
      </c>
      <c r="BR2538">
        <v>3.64</v>
      </c>
      <c r="BS2538">
        <v>-2.1</v>
      </c>
      <c r="BT2538">
        <v>-3.12</v>
      </c>
      <c r="BU2538">
        <v>0.31</v>
      </c>
      <c r="BV2538">
        <v>0.76</v>
      </c>
      <c r="BW2538">
        <v>0.72</v>
      </c>
      <c r="BX2538">
        <v>1.25</v>
      </c>
      <c r="BY2538">
        <v>0.08</v>
      </c>
      <c r="BZ2538">
        <v>0.4</v>
      </c>
      <c r="CA2538">
        <v>-0.28000000000000003</v>
      </c>
      <c r="CB2538">
        <v>0.56000000000000005</v>
      </c>
      <c r="CC2538">
        <v>-2.1</v>
      </c>
      <c r="CD2538">
        <v>-0.92</v>
      </c>
      <c r="CE2538">
        <v>0.23</v>
      </c>
      <c r="CF2538">
        <v>-0.41</v>
      </c>
      <c r="CG2538">
        <v>0</v>
      </c>
      <c r="CH2538">
        <v>0.77</v>
      </c>
      <c r="CI2538">
        <v>0</v>
      </c>
      <c r="CJ2538">
        <v>0.1</v>
      </c>
      <c r="CK2538">
        <v>82</v>
      </c>
      <c r="CL2538">
        <v>-0.86</v>
      </c>
      <c r="CM2538">
        <v>79</v>
      </c>
      <c r="CN2538">
        <v>-0.28000000000000003</v>
      </c>
      <c r="CO2538">
        <v>76</v>
      </c>
      <c r="CP2538">
        <v>-5.0999999999999996</v>
      </c>
      <c r="CQ2538">
        <v>79</v>
      </c>
      <c r="CR2538">
        <v>0</v>
      </c>
      <c r="CS2538">
        <v>0</v>
      </c>
      <c r="CT2538">
        <v>-5</v>
      </c>
      <c r="CU2538">
        <v>71</v>
      </c>
      <c r="CV2538">
        <v>0.24</v>
      </c>
      <c r="CW2538">
        <v>22</v>
      </c>
      <c r="CX2538" t="s">
        <v>596</v>
      </c>
    </row>
    <row r="2539" spans="1:102" x14ac:dyDescent="0.3">
      <c r="A2539" t="str">
        <f>HYPERLINK("https://webapp.icbf.com/v2/app/bull-search/view/153560277","RYU")</f>
        <v>RYU</v>
      </c>
      <c r="B2539" t="s">
        <v>11628</v>
      </c>
      <c r="C2539" t="s">
        <v>11629</v>
      </c>
      <c r="D2539" s="1">
        <v>37687</v>
      </c>
      <c r="E2539" t="s">
        <v>108</v>
      </c>
      <c r="F2539">
        <v>0</v>
      </c>
      <c r="G2539" t="s">
        <v>116</v>
      </c>
      <c r="H2539">
        <v>32.9</v>
      </c>
      <c r="I2539">
        <v>26</v>
      </c>
      <c r="J2539">
        <v>-23.09</v>
      </c>
      <c r="K2539">
        <v>10</v>
      </c>
      <c r="L2539">
        <v>40.840000000000003</v>
      </c>
      <c r="M2539">
        <v>30</v>
      </c>
      <c r="N2539">
        <v>11.39</v>
      </c>
      <c r="O2539">
        <v>37</v>
      </c>
      <c r="P2539">
        <v>12.14</v>
      </c>
      <c r="Q2539">
        <v>46</v>
      </c>
      <c r="R2539">
        <v>-6.19</v>
      </c>
      <c r="S2539">
        <v>33</v>
      </c>
      <c r="T2539">
        <v>0.95</v>
      </c>
      <c r="U2539">
        <v>40</v>
      </c>
      <c r="V2539">
        <v>-3.14</v>
      </c>
      <c r="W2539">
        <v>27</v>
      </c>
      <c r="X2539" t="s">
        <v>94</v>
      </c>
      <c r="Y2539" t="s">
        <v>1164</v>
      </c>
      <c r="Z2539" t="s">
        <v>96</v>
      </c>
      <c r="AA2539" t="s">
        <v>738</v>
      </c>
      <c r="AB2539" t="s">
        <v>11630</v>
      </c>
      <c r="AC2539">
        <v>1</v>
      </c>
      <c r="AD2539">
        <v>1</v>
      </c>
      <c r="AE2539">
        <v>10</v>
      </c>
      <c r="AF2539">
        <v>-231.25</v>
      </c>
      <c r="AG2539">
        <v>-5.7</v>
      </c>
      <c r="AH2539">
        <v>-5.45</v>
      </c>
      <c r="AI2539">
        <v>0.06</v>
      </c>
      <c r="AJ2539">
        <v>0.04</v>
      </c>
      <c r="AK2539">
        <v>30</v>
      </c>
      <c r="AL2539">
        <v>0</v>
      </c>
      <c r="AM2539">
        <v>0</v>
      </c>
      <c r="AN2539">
        <v>-3.56</v>
      </c>
      <c r="AO2539">
        <v>-0.32</v>
      </c>
      <c r="AP2539">
        <v>4</v>
      </c>
      <c r="AQ2539">
        <v>3</v>
      </c>
      <c r="AR2539">
        <v>7.64</v>
      </c>
      <c r="AS2539">
        <v>27</v>
      </c>
      <c r="AT2539">
        <v>3</v>
      </c>
      <c r="AU2539">
        <v>36</v>
      </c>
      <c r="AV2539">
        <v>-2.12</v>
      </c>
      <c r="AW2539">
        <v>43</v>
      </c>
      <c r="AX2539">
        <v>0.3</v>
      </c>
      <c r="AY2539">
        <v>37</v>
      </c>
      <c r="AZ2539">
        <v>6.73</v>
      </c>
      <c r="BA2539">
        <v>27</v>
      </c>
      <c r="BB2539">
        <v>5.98</v>
      </c>
      <c r="BC2539">
        <v>28</v>
      </c>
      <c r="BD2539">
        <v>0.08</v>
      </c>
      <c r="BE2539">
        <v>0.01</v>
      </c>
      <c r="BF2539">
        <v>-0.01</v>
      </c>
      <c r="BG2539">
        <v>37</v>
      </c>
      <c r="BH2539">
        <v>-0.03</v>
      </c>
      <c r="BI2539">
        <v>6.65</v>
      </c>
      <c r="BJ2539">
        <v>0</v>
      </c>
      <c r="BK2539">
        <v>0</v>
      </c>
      <c r="BL2539">
        <v>-2.5499999999999998</v>
      </c>
      <c r="BM2539">
        <v>1.99</v>
      </c>
      <c r="BN2539">
        <v>-2.2599999999999998</v>
      </c>
      <c r="BO2539">
        <v>-2.72</v>
      </c>
      <c r="BP2539">
        <v>-1.9</v>
      </c>
      <c r="BQ2539">
        <v>1.89</v>
      </c>
      <c r="BR2539">
        <v>-0.79</v>
      </c>
      <c r="BS2539">
        <v>-0.55000000000000004</v>
      </c>
      <c r="BT2539">
        <v>-0.08</v>
      </c>
      <c r="BU2539">
        <v>-1.56</v>
      </c>
      <c r="BV2539">
        <v>-1.81</v>
      </c>
      <c r="BW2539">
        <v>-1.77</v>
      </c>
      <c r="BX2539">
        <v>-0.77</v>
      </c>
      <c r="BY2539">
        <v>-1.1499999999999999</v>
      </c>
      <c r="BZ2539">
        <v>-0.76</v>
      </c>
      <c r="CA2539">
        <v>-1.89</v>
      </c>
      <c r="CB2539">
        <v>-2.02</v>
      </c>
      <c r="CC2539">
        <v>-1.02</v>
      </c>
      <c r="CD2539">
        <v>2.41</v>
      </c>
      <c r="CE2539">
        <v>-2.63</v>
      </c>
      <c r="CF2539">
        <v>-1.97</v>
      </c>
      <c r="CG2539">
        <v>0</v>
      </c>
      <c r="CH2539">
        <v>-1.34</v>
      </c>
      <c r="CI2539">
        <v>0</v>
      </c>
      <c r="CJ2539">
        <v>5.8</v>
      </c>
      <c r="CK2539">
        <v>49</v>
      </c>
      <c r="CL2539">
        <v>0.27</v>
      </c>
      <c r="CM2539">
        <v>44</v>
      </c>
      <c r="CN2539">
        <v>-0.06</v>
      </c>
      <c r="CO2539">
        <v>42</v>
      </c>
      <c r="CP2539">
        <v>4.3</v>
      </c>
      <c r="CQ2539">
        <v>39</v>
      </c>
      <c r="CR2539">
        <v>0</v>
      </c>
      <c r="CS2539">
        <v>0</v>
      </c>
      <c r="CT2539">
        <v>12.5</v>
      </c>
      <c r="CU2539">
        <v>40</v>
      </c>
      <c r="CV2539">
        <v>-0.06</v>
      </c>
      <c r="CW2539">
        <v>14</v>
      </c>
      <c r="CX2539" t="s">
        <v>11631</v>
      </c>
    </row>
    <row r="2540" spans="1:102" x14ac:dyDescent="0.3">
      <c r="A2540" t="str">
        <f>HYPERLINK("https://webapp.icbf.com/v2/app/bull-search/view/676410037","PSL")</f>
        <v>PSL</v>
      </c>
      <c r="B2540" t="s">
        <v>144</v>
      </c>
      <c r="C2540" t="s">
        <v>2946</v>
      </c>
      <c r="D2540" s="1">
        <v>37828</v>
      </c>
      <c r="E2540" t="s">
        <v>895</v>
      </c>
      <c r="F2540">
        <v>0</v>
      </c>
      <c r="G2540" t="s">
        <v>93</v>
      </c>
      <c r="H2540">
        <v>32.840000000000003</v>
      </c>
      <c r="I2540">
        <v>55</v>
      </c>
      <c r="J2540">
        <v>28.74</v>
      </c>
      <c r="K2540">
        <v>83</v>
      </c>
      <c r="L2540">
        <v>-10.48</v>
      </c>
      <c r="M2540">
        <v>33</v>
      </c>
      <c r="N2540">
        <v>-1.83</v>
      </c>
      <c r="O2540">
        <v>43</v>
      </c>
      <c r="P2540">
        <v>-8.65</v>
      </c>
      <c r="Q2540">
        <v>72</v>
      </c>
      <c r="R2540">
        <v>13.74</v>
      </c>
      <c r="S2540">
        <v>38</v>
      </c>
      <c r="T2540">
        <v>18.41</v>
      </c>
      <c r="U2540">
        <v>52</v>
      </c>
      <c r="V2540">
        <v>-7.09</v>
      </c>
      <c r="W2540">
        <v>30</v>
      </c>
      <c r="X2540" t="s">
        <v>234</v>
      </c>
      <c r="Y2540" t="s">
        <v>235</v>
      </c>
      <c r="Z2540">
        <v>0</v>
      </c>
      <c r="AA2540" t="s">
        <v>2947</v>
      </c>
      <c r="AB2540" t="s">
        <v>2948</v>
      </c>
      <c r="AC2540">
        <v>20</v>
      </c>
      <c r="AD2540">
        <v>9</v>
      </c>
      <c r="AE2540">
        <v>83</v>
      </c>
      <c r="AF2540">
        <v>123.07</v>
      </c>
      <c r="AG2540">
        <v>8.7100000000000009</v>
      </c>
      <c r="AH2540">
        <v>3.69</v>
      </c>
      <c r="AI2540">
        <v>0.06</v>
      </c>
      <c r="AJ2540">
        <v>-0.01</v>
      </c>
      <c r="AK2540">
        <v>33</v>
      </c>
      <c r="AL2540">
        <v>22</v>
      </c>
      <c r="AM2540">
        <v>12</v>
      </c>
      <c r="AN2540">
        <v>3.32</v>
      </c>
      <c r="AO2540">
        <v>2.52</v>
      </c>
      <c r="AP2540">
        <v>41</v>
      </c>
      <c r="AQ2540">
        <v>3</v>
      </c>
      <c r="AR2540">
        <v>6.58</v>
      </c>
      <c r="AS2540">
        <v>31</v>
      </c>
      <c r="AT2540">
        <v>3.26</v>
      </c>
      <c r="AU2540">
        <v>48</v>
      </c>
      <c r="AV2540">
        <v>1.51</v>
      </c>
      <c r="AW2540">
        <v>52</v>
      </c>
      <c r="AX2540">
        <v>-0.35</v>
      </c>
      <c r="AY2540">
        <v>46</v>
      </c>
      <c r="AZ2540">
        <v>4.7699999999999996</v>
      </c>
      <c r="BA2540">
        <v>20</v>
      </c>
      <c r="BB2540">
        <v>3.77</v>
      </c>
      <c r="BC2540">
        <v>20</v>
      </c>
      <c r="BD2540">
        <v>0</v>
      </c>
      <c r="BE2540">
        <v>-0.04</v>
      </c>
      <c r="BF2540">
        <v>-0.24</v>
      </c>
      <c r="BG2540">
        <v>50</v>
      </c>
      <c r="BH2540">
        <v>-0.21</v>
      </c>
      <c r="BI2540">
        <v>-1.43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-4.5999999999999996</v>
      </c>
      <c r="CK2540">
        <v>76</v>
      </c>
      <c r="CL2540">
        <v>-0.34</v>
      </c>
      <c r="CM2540">
        <v>71</v>
      </c>
      <c r="CN2540">
        <v>-0.2</v>
      </c>
      <c r="CO2540">
        <v>68</v>
      </c>
      <c r="CP2540">
        <v>-7.6</v>
      </c>
      <c r="CQ2540">
        <v>58</v>
      </c>
      <c r="CR2540">
        <v>0</v>
      </c>
      <c r="CS2540">
        <v>0</v>
      </c>
      <c r="CT2540">
        <v>-11.1</v>
      </c>
      <c r="CU2540">
        <v>52</v>
      </c>
      <c r="CV2540">
        <v>-0.1</v>
      </c>
      <c r="CW2540">
        <v>20</v>
      </c>
      <c r="CX2540" t="s">
        <v>2949</v>
      </c>
    </row>
    <row r="2541" spans="1:102" x14ac:dyDescent="0.3">
      <c r="A2541" t="str">
        <f>HYPERLINK("https://webapp.icbf.com/v2/app/bull-search/view/586199840","S1517")</f>
        <v>S1517</v>
      </c>
      <c r="B2541" t="s">
        <v>2057</v>
      </c>
      <c r="C2541" t="s">
        <v>2058</v>
      </c>
      <c r="D2541" s="1">
        <v>38727</v>
      </c>
      <c r="E2541" t="s">
        <v>92</v>
      </c>
      <c r="F2541">
        <v>100</v>
      </c>
      <c r="G2541" t="s">
        <v>109</v>
      </c>
      <c r="H2541">
        <v>32.799999999999997</v>
      </c>
      <c r="I2541">
        <v>68</v>
      </c>
      <c r="J2541">
        <v>15.96</v>
      </c>
      <c r="K2541">
        <v>83</v>
      </c>
      <c r="L2541">
        <v>0.95</v>
      </c>
      <c r="M2541">
        <v>78</v>
      </c>
      <c r="N2541">
        <v>13.31</v>
      </c>
      <c r="O2541">
        <v>53</v>
      </c>
      <c r="P2541">
        <v>-7.94</v>
      </c>
      <c r="Q2541">
        <v>34</v>
      </c>
      <c r="R2541">
        <v>16.739999999999998</v>
      </c>
      <c r="S2541">
        <v>63</v>
      </c>
      <c r="T2541">
        <v>-7.26</v>
      </c>
      <c r="U2541">
        <v>34</v>
      </c>
      <c r="V2541">
        <v>1.04</v>
      </c>
      <c r="W2541">
        <v>32</v>
      </c>
      <c r="X2541" t="s">
        <v>94</v>
      </c>
      <c r="Y2541" t="s">
        <v>362</v>
      </c>
      <c r="Z2541" t="s">
        <v>96</v>
      </c>
      <c r="AA2541" t="s">
        <v>309</v>
      </c>
      <c r="AB2541" t="s">
        <v>1711</v>
      </c>
      <c r="AC2541">
        <v>0</v>
      </c>
      <c r="AD2541">
        <v>0</v>
      </c>
      <c r="AE2541">
        <v>83</v>
      </c>
      <c r="AF2541">
        <v>274.83999999999997</v>
      </c>
      <c r="AG2541">
        <v>2.66</v>
      </c>
      <c r="AH2541">
        <v>5.98</v>
      </c>
      <c r="AI2541">
        <v>-0.13</v>
      </c>
      <c r="AJ2541">
        <v>-0.05</v>
      </c>
      <c r="AK2541">
        <v>78</v>
      </c>
      <c r="AL2541">
        <v>0</v>
      </c>
      <c r="AM2541">
        <v>0</v>
      </c>
      <c r="AN2541">
        <v>-0.49</v>
      </c>
      <c r="AO2541">
        <v>-0.42</v>
      </c>
      <c r="AP2541">
        <v>3</v>
      </c>
      <c r="AQ2541">
        <v>0</v>
      </c>
      <c r="AR2541">
        <v>7.05</v>
      </c>
      <c r="AS2541">
        <v>34</v>
      </c>
      <c r="AT2541">
        <v>3.07</v>
      </c>
      <c r="AU2541">
        <v>86</v>
      </c>
      <c r="AV2541">
        <v>-1.1000000000000001</v>
      </c>
      <c r="AW2541">
        <v>49</v>
      </c>
      <c r="AX2541">
        <v>-0.01</v>
      </c>
      <c r="AY2541">
        <v>36</v>
      </c>
      <c r="AZ2541">
        <v>5.74</v>
      </c>
      <c r="BA2541">
        <v>34</v>
      </c>
      <c r="BB2541">
        <v>4.6500000000000004</v>
      </c>
      <c r="BC2541">
        <v>33</v>
      </c>
      <c r="BD2541">
        <v>-0.03</v>
      </c>
      <c r="BE2541">
        <v>-0.05</v>
      </c>
      <c r="BF2541">
        <v>-0.24</v>
      </c>
      <c r="BG2541">
        <v>88</v>
      </c>
      <c r="BH2541">
        <v>-0.1</v>
      </c>
      <c r="BI2541">
        <v>-14.91</v>
      </c>
      <c r="BJ2541">
        <v>0</v>
      </c>
      <c r="BK2541">
        <v>0</v>
      </c>
      <c r="BL2541">
        <v>2.4300000000000002</v>
      </c>
      <c r="BM2541">
        <v>0.04</v>
      </c>
      <c r="BN2541">
        <v>1.48</v>
      </c>
      <c r="BO2541">
        <v>1.06</v>
      </c>
      <c r="BP2541">
        <v>1.59</v>
      </c>
      <c r="BQ2541">
        <v>1.95</v>
      </c>
      <c r="BR2541">
        <v>-1.2</v>
      </c>
      <c r="BS2541">
        <v>1.61</v>
      </c>
      <c r="BT2541">
        <v>1.88</v>
      </c>
      <c r="BU2541">
        <v>2.48</v>
      </c>
      <c r="BV2541">
        <v>2.2000000000000002</v>
      </c>
      <c r="BW2541">
        <v>2.15</v>
      </c>
      <c r="BX2541">
        <v>2.41</v>
      </c>
      <c r="BY2541">
        <v>0.47</v>
      </c>
      <c r="BZ2541">
        <v>3.75</v>
      </c>
      <c r="CA2541">
        <v>1.37</v>
      </c>
      <c r="CB2541">
        <v>1.25</v>
      </c>
      <c r="CC2541">
        <v>1.05</v>
      </c>
      <c r="CD2541">
        <v>-0.16</v>
      </c>
      <c r="CE2541">
        <v>1.04</v>
      </c>
      <c r="CF2541">
        <v>1.24</v>
      </c>
      <c r="CG2541">
        <v>0</v>
      </c>
      <c r="CH2541">
        <v>0.68</v>
      </c>
      <c r="CI2541">
        <v>0</v>
      </c>
      <c r="CJ2541">
        <v>-1.5</v>
      </c>
      <c r="CK2541">
        <v>34</v>
      </c>
      <c r="CL2541">
        <v>-1.36</v>
      </c>
      <c r="CM2541">
        <v>34</v>
      </c>
      <c r="CN2541">
        <v>-0.65</v>
      </c>
      <c r="CO2541">
        <v>34</v>
      </c>
      <c r="CP2541">
        <v>3.7</v>
      </c>
      <c r="CQ2541">
        <v>34</v>
      </c>
      <c r="CR2541">
        <v>0</v>
      </c>
      <c r="CS2541">
        <v>0</v>
      </c>
      <c r="CT2541">
        <v>23.6</v>
      </c>
      <c r="CU2541">
        <v>34</v>
      </c>
      <c r="CV2541">
        <v>0.4</v>
      </c>
      <c r="CW2541">
        <v>10</v>
      </c>
      <c r="CX2541" t="s">
        <v>311</v>
      </c>
    </row>
    <row r="2542" spans="1:102" x14ac:dyDescent="0.3">
      <c r="A2542" t="str">
        <f>HYPERLINK("https://webapp.icbf.com/v2/app/bull-search/view/1341375180","FR2294")</f>
        <v>FR2294</v>
      </c>
      <c r="B2542" t="s">
        <v>10217</v>
      </c>
      <c r="C2542" t="s">
        <v>10218</v>
      </c>
      <c r="D2542" s="1">
        <v>41428</v>
      </c>
      <c r="E2542" t="s">
        <v>92</v>
      </c>
      <c r="F2542">
        <v>94</v>
      </c>
      <c r="G2542" t="s">
        <v>109</v>
      </c>
      <c r="H2542">
        <v>32.74</v>
      </c>
      <c r="I2542">
        <v>54</v>
      </c>
      <c r="J2542">
        <v>74.34</v>
      </c>
      <c r="K2542">
        <v>72</v>
      </c>
      <c r="L2542">
        <v>-67.489999999999995</v>
      </c>
      <c r="M2542">
        <v>54</v>
      </c>
      <c r="N2542">
        <v>27.15</v>
      </c>
      <c r="O2542">
        <v>48</v>
      </c>
      <c r="P2542">
        <v>-8.4700000000000006</v>
      </c>
      <c r="Q2542">
        <v>34</v>
      </c>
      <c r="R2542">
        <v>1.59</v>
      </c>
      <c r="S2542">
        <v>46</v>
      </c>
      <c r="T2542">
        <v>5.17</v>
      </c>
      <c r="U2542">
        <v>24</v>
      </c>
      <c r="V2542">
        <v>0.45</v>
      </c>
      <c r="W2542">
        <v>17</v>
      </c>
      <c r="X2542" t="s">
        <v>102</v>
      </c>
      <c r="Y2542" t="s">
        <v>405</v>
      </c>
      <c r="Z2542" t="s">
        <v>330</v>
      </c>
      <c r="AA2542" t="s">
        <v>5274</v>
      </c>
      <c r="AB2542" t="s">
        <v>10219</v>
      </c>
      <c r="AC2542">
        <v>0</v>
      </c>
      <c r="AD2542">
        <v>0</v>
      </c>
      <c r="AE2542">
        <v>72</v>
      </c>
      <c r="AF2542">
        <v>459.89</v>
      </c>
      <c r="AG2542">
        <v>12.16</v>
      </c>
      <c r="AH2542">
        <v>15.38</v>
      </c>
      <c r="AI2542">
        <v>-0.09</v>
      </c>
      <c r="AJ2542">
        <v>-0.01</v>
      </c>
      <c r="AK2542">
        <v>54</v>
      </c>
      <c r="AL2542">
        <v>0</v>
      </c>
      <c r="AM2542">
        <v>0</v>
      </c>
      <c r="AN2542">
        <v>4.6100000000000003</v>
      </c>
      <c r="AO2542">
        <v>-0.76</v>
      </c>
      <c r="AP2542">
        <v>13</v>
      </c>
      <c r="AQ2542">
        <v>0</v>
      </c>
      <c r="AR2542">
        <v>6.41</v>
      </c>
      <c r="AS2542">
        <v>30</v>
      </c>
      <c r="AT2542">
        <v>2.82</v>
      </c>
      <c r="AU2542">
        <v>71</v>
      </c>
      <c r="AV2542">
        <v>-2.86</v>
      </c>
      <c r="AW2542">
        <v>52</v>
      </c>
      <c r="AX2542">
        <v>0.85</v>
      </c>
      <c r="AY2542">
        <v>34</v>
      </c>
      <c r="AZ2542">
        <v>5.94</v>
      </c>
      <c r="BA2542">
        <v>20</v>
      </c>
      <c r="BB2542">
        <v>4.91</v>
      </c>
      <c r="BC2542">
        <v>17</v>
      </c>
      <c r="BD2542">
        <v>-0.01</v>
      </c>
      <c r="BE2542">
        <v>0</v>
      </c>
      <c r="BF2542">
        <v>-0.02</v>
      </c>
      <c r="BG2542">
        <v>71</v>
      </c>
      <c r="BH2542">
        <v>-0.05</v>
      </c>
      <c r="BI2542">
        <v>-7.24</v>
      </c>
      <c r="BJ2542">
        <v>0</v>
      </c>
      <c r="BK2542">
        <v>0</v>
      </c>
      <c r="BL2542">
        <v>0.84</v>
      </c>
      <c r="BM2542">
        <v>0.27</v>
      </c>
      <c r="BN2542">
        <v>0.75</v>
      </c>
      <c r="BO2542">
        <v>0.66</v>
      </c>
      <c r="BP2542">
        <v>0.53</v>
      </c>
      <c r="BQ2542">
        <v>1.4</v>
      </c>
      <c r="BR2542">
        <v>-0.48</v>
      </c>
      <c r="BS2542">
        <v>0.47</v>
      </c>
      <c r="BT2542">
        <v>0.15</v>
      </c>
      <c r="BU2542">
        <v>1</v>
      </c>
      <c r="BV2542">
        <v>1.53</v>
      </c>
      <c r="BW2542">
        <v>0.85</v>
      </c>
      <c r="BX2542">
        <v>0.47</v>
      </c>
      <c r="BY2542">
        <v>1.56</v>
      </c>
      <c r="BZ2542">
        <v>-0.59</v>
      </c>
      <c r="CA2542">
        <v>1.33</v>
      </c>
      <c r="CB2542">
        <v>1.39</v>
      </c>
      <c r="CC2542">
        <v>0.7</v>
      </c>
      <c r="CD2542">
        <v>-0.39</v>
      </c>
      <c r="CE2542">
        <v>0.51</v>
      </c>
      <c r="CF2542">
        <v>0.74</v>
      </c>
      <c r="CG2542">
        <v>0</v>
      </c>
      <c r="CH2542">
        <v>0.89</v>
      </c>
      <c r="CI2542">
        <v>0</v>
      </c>
      <c r="CJ2542">
        <v>-2.6</v>
      </c>
      <c r="CK2542">
        <v>36</v>
      </c>
      <c r="CL2542">
        <v>-0.89</v>
      </c>
      <c r="CM2542">
        <v>34</v>
      </c>
      <c r="CN2542">
        <v>-0.42</v>
      </c>
      <c r="CO2542">
        <v>33</v>
      </c>
      <c r="CP2542">
        <v>-4.0999999999999996</v>
      </c>
      <c r="CQ2542">
        <v>27</v>
      </c>
      <c r="CR2542">
        <v>0</v>
      </c>
      <c r="CS2542">
        <v>0</v>
      </c>
      <c r="CT2542">
        <v>6.8</v>
      </c>
      <c r="CU2542">
        <v>24</v>
      </c>
      <c r="CV2542">
        <v>0.25</v>
      </c>
      <c r="CW2542">
        <v>11</v>
      </c>
      <c r="CX2542" t="s">
        <v>10220</v>
      </c>
    </row>
    <row r="2543" spans="1:102" x14ac:dyDescent="0.3">
      <c r="A2543" t="str">
        <f>HYPERLINK("https://webapp.icbf.com/v2/app/bull-search/view/474731564","DNZ")</f>
        <v>DNZ</v>
      </c>
      <c r="B2543" t="s">
        <v>12333</v>
      </c>
      <c r="C2543" t="s">
        <v>12334</v>
      </c>
      <c r="D2543" s="1">
        <v>36713</v>
      </c>
      <c r="E2543" t="s">
        <v>146</v>
      </c>
      <c r="F2543">
        <v>0</v>
      </c>
      <c r="G2543" t="s">
        <v>109</v>
      </c>
      <c r="H2543">
        <v>32.71</v>
      </c>
      <c r="I2543">
        <v>61</v>
      </c>
      <c r="J2543">
        <v>-23.22</v>
      </c>
      <c r="K2543">
        <v>68</v>
      </c>
      <c r="L2543">
        <v>22.86</v>
      </c>
      <c r="M2543">
        <v>52</v>
      </c>
      <c r="N2543">
        <v>-1.66</v>
      </c>
      <c r="O2543">
        <v>65</v>
      </c>
      <c r="P2543">
        <v>20.99</v>
      </c>
      <c r="Q2543">
        <v>84</v>
      </c>
      <c r="R2543">
        <v>4.03</v>
      </c>
      <c r="S2543">
        <v>58</v>
      </c>
      <c r="T2543">
        <v>10.87</v>
      </c>
      <c r="U2543">
        <v>64</v>
      </c>
      <c r="V2543">
        <v>-1.1599999999999999</v>
      </c>
      <c r="W2543">
        <v>19</v>
      </c>
      <c r="X2543" t="s">
        <v>276</v>
      </c>
      <c r="Y2543" t="s">
        <v>270</v>
      </c>
      <c r="Z2543">
        <v>0</v>
      </c>
      <c r="AA2543" t="s">
        <v>12335</v>
      </c>
      <c r="AB2543" t="s">
        <v>12336</v>
      </c>
      <c r="AC2543">
        <v>0</v>
      </c>
      <c r="AD2543">
        <v>0</v>
      </c>
      <c r="AE2543">
        <v>68</v>
      </c>
      <c r="AF2543">
        <v>-231.9</v>
      </c>
      <c r="AG2543">
        <v>-7.12</v>
      </c>
      <c r="AH2543">
        <v>-4.9800000000000004</v>
      </c>
      <c r="AI2543">
        <v>0.03</v>
      </c>
      <c r="AJ2543">
        <v>0.05</v>
      </c>
      <c r="AK2543">
        <v>52</v>
      </c>
      <c r="AL2543">
        <v>0</v>
      </c>
      <c r="AM2543">
        <v>0</v>
      </c>
      <c r="AN2543">
        <v>-1.5</v>
      </c>
      <c r="AO2543">
        <v>0.32</v>
      </c>
      <c r="AP2543">
        <v>57</v>
      </c>
      <c r="AQ2543">
        <v>1</v>
      </c>
      <c r="AR2543">
        <v>8.4499999999999993</v>
      </c>
      <c r="AS2543">
        <v>30</v>
      </c>
      <c r="AT2543">
        <v>3.22</v>
      </c>
      <c r="AU2543">
        <v>65</v>
      </c>
      <c r="AV2543">
        <v>-0.28999999999999998</v>
      </c>
      <c r="AW2543">
        <v>87</v>
      </c>
      <c r="AX2543">
        <v>1.1000000000000001</v>
      </c>
      <c r="AY2543">
        <v>58</v>
      </c>
      <c r="AZ2543">
        <v>6.47</v>
      </c>
      <c r="BA2543">
        <v>31</v>
      </c>
      <c r="BB2543">
        <v>4.59</v>
      </c>
      <c r="BC2543">
        <v>30</v>
      </c>
      <c r="BD2543">
        <v>-0.01</v>
      </c>
      <c r="BE2543">
        <v>-0.04</v>
      </c>
      <c r="BF2543">
        <v>0</v>
      </c>
      <c r="BG2543">
        <v>78</v>
      </c>
      <c r="BH2543">
        <v>0.09</v>
      </c>
      <c r="BI2543">
        <v>14.14</v>
      </c>
      <c r="BJ2543">
        <v>3</v>
      </c>
      <c r="BK2543">
        <v>2</v>
      </c>
      <c r="BL2543">
        <v>-1.58</v>
      </c>
      <c r="BM2543">
        <v>1.28</v>
      </c>
      <c r="BN2543">
        <v>-1.73</v>
      </c>
      <c r="BO2543">
        <v>-1.69</v>
      </c>
      <c r="BP2543">
        <v>3.38</v>
      </c>
      <c r="BQ2543">
        <v>-0.45</v>
      </c>
      <c r="BR2543">
        <v>-0.54</v>
      </c>
      <c r="BS2543">
        <v>0.17</v>
      </c>
      <c r="BT2543">
        <v>0.02</v>
      </c>
      <c r="BU2543">
        <v>-1.47</v>
      </c>
      <c r="BV2543">
        <v>-2.86</v>
      </c>
      <c r="BW2543">
        <v>-2.16</v>
      </c>
      <c r="BX2543">
        <v>-1.04</v>
      </c>
      <c r="BY2543">
        <v>-1.08</v>
      </c>
      <c r="BZ2543">
        <v>1.5</v>
      </c>
      <c r="CA2543">
        <v>-1.46</v>
      </c>
      <c r="CB2543">
        <v>-1.85</v>
      </c>
      <c r="CC2543">
        <v>-0.14000000000000001</v>
      </c>
      <c r="CD2543">
        <v>2.16</v>
      </c>
      <c r="CE2543">
        <v>-2.1</v>
      </c>
      <c r="CF2543">
        <v>-0.95</v>
      </c>
      <c r="CG2543">
        <v>0</v>
      </c>
      <c r="CH2543">
        <v>-1.01</v>
      </c>
      <c r="CI2543">
        <v>0</v>
      </c>
      <c r="CJ2543">
        <v>6</v>
      </c>
      <c r="CK2543">
        <v>86</v>
      </c>
      <c r="CL2543">
        <v>0.57999999999999996</v>
      </c>
      <c r="CM2543">
        <v>84</v>
      </c>
      <c r="CN2543">
        <v>-0.44</v>
      </c>
      <c r="CO2543">
        <v>82</v>
      </c>
      <c r="CP2543">
        <v>10.5</v>
      </c>
      <c r="CQ2543">
        <v>74</v>
      </c>
      <c r="CR2543">
        <v>0</v>
      </c>
      <c r="CS2543">
        <v>0</v>
      </c>
      <c r="CT2543">
        <v>-0.9</v>
      </c>
      <c r="CU2543">
        <v>64</v>
      </c>
      <c r="CV2543">
        <v>-0.2</v>
      </c>
      <c r="CW2543">
        <v>24</v>
      </c>
      <c r="CX2543" t="s">
        <v>238</v>
      </c>
    </row>
    <row r="2544" spans="1:102" x14ac:dyDescent="0.3">
      <c r="A2544" t="str">
        <f>HYPERLINK("https://webapp.icbf.com/v2/app/bull-search/view/378374802","PNH")</f>
        <v>PNH</v>
      </c>
      <c r="B2544" t="s">
        <v>4395</v>
      </c>
      <c r="C2544" t="s">
        <v>350</v>
      </c>
      <c r="D2544" s="1">
        <v>36364</v>
      </c>
      <c r="E2544" t="s">
        <v>92</v>
      </c>
      <c r="F2544">
        <v>100</v>
      </c>
      <c r="G2544" t="s">
        <v>93</v>
      </c>
      <c r="H2544">
        <v>32.54</v>
      </c>
      <c r="I2544">
        <v>98</v>
      </c>
      <c r="J2544">
        <v>33.61</v>
      </c>
      <c r="K2544">
        <v>99</v>
      </c>
      <c r="L2544">
        <v>-16</v>
      </c>
      <c r="M2544">
        <v>97</v>
      </c>
      <c r="N2544">
        <v>-0.74</v>
      </c>
      <c r="O2544">
        <v>99</v>
      </c>
      <c r="P2544">
        <v>-2.5099999999999998</v>
      </c>
      <c r="Q2544">
        <v>99</v>
      </c>
      <c r="R2544">
        <v>8.18</v>
      </c>
      <c r="S2544">
        <v>97</v>
      </c>
      <c r="T2544">
        <v>0.28000000000000003</v>
      </c>
      <c r="U2544">
        <v>99</v>
      </c>
      <c r="V2544">
        <v>9.7200000000000006</v>
      </c>
      <c r="W2544">
        <v>98</v>
      </c>
      <c r="X2544" t="s">
        <v>251</v>
      </c>
      <c r="Y2544" t="s">
        <v>95</v>
      </c>
      <c r="Z2544" t="s">
        <v>96</v>
      </c>
      <c r="AA2544" t="s">
        <v>3035</v>
      </c>
      <c r="AB2544" t="s">
        <v>925</v>
      </c>
      <c r="AC2544">
        <v>2173</v>
      </c>
      <c r="AD2544">
        <v>495</v>
      </c>
      <c r="AE2544">
        <v>99</v>
      </c>
      <c r="AF2544">
        <v>486.55</v>
      </c>
      <c r="AG2544">
        <v>9.48</v>
      </c>
      <c r="AH2544">
        <v>9.81</v>
      </c>
      <c r="AI2544">
        <v>-0.15</v>
      </c>
      <c r="AJ2544">
        <v>-0.11</v>
      </c>
      <c r="AK2544">
        <v>97</v>
      </c>
      <c r="AL2544">
        <v>2044</v>
      </c>
      <c r="AM2544">
        <v>537</v>
      </c>
      <c r="AN2544">
        <v>2.91</v>
      </c>
      <c r="AO2544">
        <v>1.66</v>
      </c>
      <c r="AP2544">
        <v>3775</v>
      </c>
      <c r="AQ2544">
        <v>7</v>
      </c>
      <c r="AR2544">
        <v>9.08</v>
      </c>
      <c r="AS2544">
        <v>99</v>
      </c>
      <c r="AT2544">
        <v>4.18</v>
      </c>
      <c r="AU2544">
        <v>99</v>
      </c>
      <c r="AV2544">
        <v>-1.6</v>
      </c>
      <c r="AW2544">
        <v>99</v>
      </c>
      <c r="AX2544">
        <v>0.56999999999999995</v>
      </c>
      <c r="AY2544">
        <v>99</v>
      </c>
      <c r="AZ2544">
        <v>6.32</v>
      </c>
      <c r="BA2544">
        <v>98</v>
      </c>
      <c r="BB2544">
        <v>4.47</v>
      </c>
      <c r="BC2544">
        <v>98</v>
      </c>
      <c r="BD2544">
        <v>0</v>
      </c>
      <c r="BE2544">
        <v>-0.02</v>
      </c>
      <c r="BF2544">
        <v>-0.15</v>
      </c>
      <c r="BG2544">
        <v>99</v>
      </c>
      <c r="BH2544">
        <v>0.31</v>
      </c>
      <c r="BI2544">
        <v>4.51</v>
      </c>
      <c r="BJ2544">
        <v>1415</v>
      </c>
      <c r="BK2544">
        <v>308</v>
      </c>
      <c r="BL2544">
        <v>1.55</v>
      </c>
      <c r="BM2544">
        <v>-0.05</v>
      </c>
      <c r="BN2544">
        <v>0.83</v>
      </c>
      <c r="BO2544">
        <v>1.01</v>
      </c>
      <c r="BP2544">
        <v>1.06</v>
      </c>
      <c r="BQ2544">
        <v>2.0299999999999998</v>
      </c>
      <c r="BR2544">
        <v>-0.33</v>
      </c>
      <c r="BS2544">
        <v>2.23</v>
      </c>
      <c r="BT2544">
        <v>1.62</v>
      </c>
      <c r="BU2544">
        <v>2.23</v>
      </c>
      <c r="BV2544">
        <v>1.88</v>
      </c>
      <c r="BW2544">
        <v>1.95</v>
      </c>
      <c r="BX2544">
        <v>1.71</v>
      </c>
      <c r="BY2544">
        <v>1.77</v>
      </c>
      <c r="BZ2544">
        <v>0.44</v>
      </c>
      <c r="CA2544">
        <v>2.27</v>
      </c>
      <c r="CB2544">
        <v>1.8</v>
      </c>
      <c r="CC2544">
        <v>2.14</v>
      </c>
      <c r="CD2544">
        <v>-0.06</v>
      </c>
      <c r="CE2544">
        <v>1.19</v>
      </c>
      <c r="CF2544">
        <v>1.92</v>
      </c>
      <c r="CG2544">
        <v>0</v>
      </c>
      <c r="CH2544">
        <v>1.48</v>
      </c>
      <c r="CI2544">
        <v>0</v>
      </c>
      <c r="CJ2544">
        <v>1.2</v>
      </c>
      <c r="CK2544">
        <v>99</v>
      </c>
      <c r="CL2544">
        <v>-1.1299999999999999</v>
      </c>
      <c r="CM2544">
        <v>99</v>
      </c>
      <c r="CN2544">
        <v>-0.59</v>
      </c>
      <c r="CO2544">
        <v>99</v>
      </c>
      <c r="CP2544">
        <v>3.9</v>
      </c>
      <c r="CQ2544">
        <v>99</v>
      </c>
      <c r="CR2544">
        <v>0</v>
      </c>
      <c r="CS2544">
        <v>0</v>
      </c>
      <c r="CT2544">
        <v>13.4</v>
      </c>
      <c r="CU2544">
        <v>99</v>
      </c>
      <c r="CV2544">
        <v>0.17</v>
      </c>
      <c r="CW2544">
        <v>47</v>
      </c>
      <c r="CX2544" t="s">
        <v>132</v>
      </c>
    </row>
    <row r="2545" spans="1:102" x14ac:dyDescent="0.3">
      <c r="A2545" t="str">
        <f>HYPERLINK("https://webapp.icbf.com/v2/app/bull-search/view/77855701","LGY")</f>
        <v>LGY</v>
      </c>
      <c r="B2545" t="s">
        <v>4902</v>
      </c>
      <c r="C2545" t="s">
        <v>4903</v>
      </c>
      <c r="D2545" s="1">
        <v>34298</v>
      </c>
      <c r="E2545" t="s">
        <v>92</v>
      </c>
      <c r="F2545">
        <v>50</v>
      </c>
      <c r="G2545" t="s">
        <v>93</v>
      </c>
      <c r="H2545">
        <v>32.54</v>
      </c>
      <c r="I2545">
        <v>96</v>
      </c>
      <c r="J2545">
        <v>15.08</v>
      </c>
      <c r="K2545">
        <v>99</v>
      </c>
      <c r="L2545">
        <v>13.55</v>
      </c>
      <c r="M2545">
        <v>92</v>
      </c>
      <c r="N2545">
        <v>12.24</v>
      </c>
      <c r="O2545">
        <v>96</v>
      </c>
      <c r="P2545">
        <v>-5.95</v>
      </c>
      <c r="Q2545">
        <v>99</v>
      </c>
      <c r="R2545">
        <v>-17.98</v>
      </c>
      <c r="S2545">
        <v>92</v>
      </c>
      <c r="T2545">
        <v>15.08</v>
      </c>
      <c r="U2545">
        <v>98</v>
      </c>
      <c r="V2545">
        <v>0.52</v>
      </c>
      <c r="W2545">
        <v>93</v>
      </c>
      <c r="X2545" t="s">
        <v>102</v>
      </c>
      <c r="Y2545" t="s">
        <v>95</v>
      </c>
      <c r="Z2545" t="s">
        <v>96</v>
      </c>
      <c r="AA2545" t="s">
        <v>193</v>
      </c>
      <c r="AB2545" t="s">
        <v>674</v>
      </c>
      <c r="AC2545">
        <v>648</v>
      </c>
      <c r="AD2545">
        <v>272</v>
      </c>
      <c r="AE2545">
        <v>99</v>
      </c>
      <c r="AF2545">
        <v>124.18</v>
      </c>
      <c r="AG2545">
        <v>3.83</v>
      </c>
      <c r="AH2545">
        <v>3.11</v>
      </c>
      <c r="AI2545">
        <v>-0.02</v>
      </c>
      <c r="AJ2545">
        <v>-0.02</v>
      </c>
      <c r="AK2545">
        <v>92</v>
      </c>
      <c r="AL2545">
        <v>1016</v>
      </c>
      <c r="AM2545">
        <v>422</v>
      </c>
      <c r="AN2545">
        <v>-0.01</v>
      </c>
      <c r="AO2545">
        <v>1.08</v>
      </c>
      <c r="AP2545">
        <v>572</v>
      </c>
      <c r="AQ2545">
        <v>2</v>
      </c>
      <c r="AR2545">
        <v>9.25</v>
      </c>
      <c r="AS2545">
        <v>93</v>
      </c>
      <c r="AT2545">
        <v>2.99</v>
      </c>
      <c r="AU2545">
        <v>95</v>
      </c>
      <c r="AV2545">
        <v>-1.84</v>
      </c>
      <c r="AW2545">
        <v>98</v>
      </c>
      <c r="AX2545">
        <v>-0.13</v>
      </c>
      <c r="AY2545">
        <v>97</v>
      </c>
      <c r="AZ2545">
        <v>5.91</v>
      </c>
      <c r="BA2545">
        <v>88</v>
      </c>
      <c r="BB2545">
        <v>5.05</v>
      </c>
      <c r="BC2545">
        <v>92</v>
      </c>
      <c r="BD2545">
        <v>0.08</v>
      </c>
      <c r="BE2545">
        <v>0.1</v>
      </c>
      <c r="BF2545">
        <v>0.09</v>
      </c>
      <c r="BG2545">
        <v>97</v>
      </c>
      <c r="BH2545">
        <v>0.04</v>
      </c>
      <c r="BI2545">
        <v>2.95</v>
      </c>
      <c r="BJ2545">
        <v>34</v>
      </c>
      <c r="BK2545">
        <v>22</v>
      </c>
      <c r="BL2545">
        <v>-1.02</v>
      </c>
      <c r="BM2545">
        <v>-0.21</v>
      </c>
      <c r="BN2545">
        <v>-1.46</v>
      </c>
      <c r="BO2545">
        <v>-0.66</v>
      </c>
      <c r="BP2545">
        <v>1.35</v>
      </c>
      <c r="BQ2545">
        <v>0.17</v>
      </c>
      <c r="BR2545">
        <v>2.17</v>
      </c>
      <c r="BS2545">
        <v>-0.84</v>
      </c>
      <c r="BT2545">
        <v>-1.61</v>
      </c>
      <c r="BU2545">
        <v>-0.45</v>
      </c>
      <c r="BV2545">
        <v>0.25</v>
      </c>
      <c r="BW2545">
        <v>0.28000000000000003</v>
      </c>
      <c r="BX2545">
        <v>-0.19</v>
      </c>
      <c r="BY2545">
        <v>-0.63</v>
      </c>
      <c r="BZ2545">
        <v>0.04</v>
      </c>
      <c r="CA2545">
        <v>-0.3</v>
      </c>
      <c r="CB2545">
        <v>-0.12</v>
      </c>
      <c r="CC2545">
        <v>-0.82</v>
      </c>
      <c r="CD2545">
        <v>0.49</v>
      </c>
      <c r="CE2545">
        <v>-0.41</v>
      </c>
      <c r="CF2545">
        <v>-0.97</v>
      </c>
      <c r="CG2545">
        <v>0</v>
      </c>
      <c r="CH2545">
        <v>-0.19</v>
      </c>
      <c r="CI2545">
        <v>0</v>
      </c>
      <c r="CJ2545">
        <v>-0.5</v>
      </c>
      <c r="CK2545">
        <v>99</v>
      </c>
      <c r="CL2545">
        <v>-0.25</v>
      </c>
      <c r="CM2545">
        <v>99</v>
      </c>
      <c r="CN2545">
        <v>0.12</v>
      </c>
      <c r="CO2545">
        <v>99</v>
      </c>
      <c r="CP2545">
        <v>-8.5</v>
      </c>
      <c r="CQ2545">
        <v>99</v>
      </c>
      <c r="CR2545">
        <v>0</v>
      </c>
      <c r="CS2545">
        <v>0</v>
      </c>
      <c r="CT2545">
        <v>-6.6</v>
      </c>
      <c r="CU2545">
        <v>98</v>
      </c>
      <c r="CV2545">
        <v>0.13</v>
      </c>
      <c r="CW2545">
        <v>46</v>
      </c>
      <c r="CX2545" t="s">
        <v>675</v>
      </c>
    </row>
    <row r="2546" spans="1:102" x14ac:dyDescent="0.3">
      <c r="A2546" t="str">
        <f>HYPERLINK("https://webapp.icbf.com/v2/app/bull-search/view/1238205105","S2286")</f>
        <v>S2286</v>
      </c>
      <c r="B2546" t="s">
        <v>8337</v>
      </c>
      <c r="C2546" t="s">
        <v>8338</v>
      </c>
      <c r="D2546" s="1">
        <v>40780</v>
      </c>
      <c r="E2546" t="s">
        <v>140</v>
      </c>
      <c r="F2546">
        <v>0</v>
      </c>
      <c r="G2546" t="s">
        <v>109</v>
      </c>
      <c r="H2546">
        <v>32.43</v>
      </c>
      <c r="I2546">
        <v>49</v>
      </c>
      <c r="J2546">
        <v>11.33</v>
      </c>
      <c r="K2546">
        <v>74</v>
      </c>
      <c r="L2546">
        <v>59.38</v>
      </c>
      <c r="M2546">
        <v>26</v>
      </c>
      <c r="N2546">
        <v>-48.39</v>
      </c>
      <c r="O2546">
        <v>54</v>
      </c>
      <c r="P2546">
        <v>12.52</v>
      </c>
      <c r="Q2546">
        <v>67</v>
      </c>
      <c r="R2546">
        <v>2.71</v>
      </c>
      <c r="S2546">
        <v>29</v>
      </c>
      <c r="T2546">
        <v>5.69</v>
      </c>
      <c r="U2546">
        <v>35</v>
      </c>
      <c r="V2546">
        <v>-10.81</v>
      </c>
      <c r="W2546">
        <v>20</v>
      </c>
      <c r="X2546" t="s">
        <v>102</v>
      </c>
      <c r="Y2546" t="s">
        <v>367</v>
      </c>
      <c r="Z2546">
        <v>0</v>
      </c>
      <c r="AA2546" t="s">
        <v>8339</v>
      </c>
      <c r="AB2546" t="s">
        <v>8340</v>
      </c>
      <c r="AC2546">
        <v>0</v>
      </c>
      <c r="AD2546">
        <v>0</v>
      </c>
      <c r="AE2546">
        <v>74</v>
      </c>
      <c r="AF2546">
        <v>45.81</v>
      </c>
      <c r="AG2546">
        <v>-1.08</v>
      </c>
      <c r="AH2546">
        <v>3.01</v>
      </c>
      <c r="AI2546">
        <v>-0.05</v>
      </c>
      <c r="AJ2546">
        <v>0.02</v>
      </c>
      <c r="AK2546">
        <v>26</v>
      </c>
      <c r="AL2546">
        <v>15</v>
      </c>
      <c r="AM2546">
        <v>6</v>
      </c>
      <c r="AN2546">
        <v>-2.9</v>
      </c>
      <c r="AO2546">
        <v>1.84</v>
      </c>
      <c r="AP2546">
        <v>45</v>
      </c>
      <c r="AQ2546">
        <v>0</v>
      </c>
      <c r="AR2546">
        <v>12.19</v>
      </c>
      <c r="AS2546">
        <v>32</v>
      </c>
      <c r="AT2546">
        <v>5.77</v>
      </c>
      <c r="AU2546">
        <v>52</v>
      </c>
      <c r="AV2546">
        <v>0.78</v>
      </c>
      <c r="AW2546">
        <v>80</v>
      </c>
      <c r="AX2546">
        <v>0.63</v>
      </c>
      <c r="AY2546">
        <v>39</v>
      </c>
      <c r="AZ2546">
        <v>5.74</v>
      </c>
      <c r="BA2546">
        <v>22</v>
      </c>
      <c r="BB2546">
        <v>4.07</v>
      </c>
      <c r="BC2546">
        <v>14</v>
      </c>
      <c r="BD2546">
        <v>0.01</v>
      </c>
      <c r="BE2546">
        <v>-0.01</v>
      </c>
      <c r="BF2546">
        <v>-0.06</v>
      </c>
      <c r="BG2546">
        <v>37</v>
      </c>
      <c r="BH2546">
        <v>-0.17</v>
      </c>
      <c r="BI2546">
        <v>15.19</v>
      </c>
      <c r="BJ2546">
        <v>0</v>
      </c>
      <c r="BK2546">
        <v>0</v>
      </c>
      <c r="BL2546">
        <v>-0.85</v>
      </c>
      <c r="BM2546">
        <v>3.65</v>
      </c>
      <c r="BN2546">
        <v>-1.59</v>
      </c>
      <c r="BO2546">
        <v>-3.07</v>
      </c>
      <c r="BP2546">
        <v>4.0599999999999996</v>
      </c>
      <c r="BQ2546">
        <v>-1.78</v>
      </c>
      <c r="BR2546">
        <v>-2.5499999999999998</v>
      </c>
      <c r="BS2546">
        <v>-0.38</v>
      </c>
      <c r="BT2546">
        <v>2.52</v>
      </c>
      <c r="BU2546">
        <v>-3.32</v>
      </c>
      <c r="BV2546">
        <v>-3.75</v>
      </c>
      <c r="BW2546">
        <v>-2.88</v>
      </c>
      <c r="BX2546">
        <v>-2.69</v>
      </c>
      <c r="BY2546">
        <v>-2.0099999999999998</v>
      </c>
      <c r="BZ2546">
        <v>1.19</v>
      </c>
      <c r="CA2546">
        <v>-2.4500000000000002</v>
      </c>
      <c r="CB2546">
        <v>-3.1</v>
      </c>
      <c r="CC2546">
        <v>-0.46</v>
      </c>
      <c r="CD2546">
        <v>3.93</v>
      </c>
      <c r="CE2546">
        <v>-2.98</v>
      </c>
      <c r="CF2546">
        <v>-1.1100000000000001</v>
      </c>
      <c r="CG2546">
        <v>0</v>
      </c>
      <c r="CH2546">
        <v>-2.69</v>
      </c>
      <c r="CI2546">
        <v>0</v>
      </c>
      <c r="CJ2546">
        <v>3.7</v>
      </c>
      <c r="CK2546">
        <v>72</v>
      </c>
      <c r="CL2546">
        <v>0.33</v>
      </c>
      <c r="CM2546">
        <v>66</v>
      </c>
      <c r="CN2546">
        <v>-0.3</v>
      </c>
      <c r="CO2546">
        <v>63</v>
      </c>
      <c r="CP2546">
        <v>3.3</v>
      </c>
      <c r="CQ2546">
        <v>39</v>
      </c>
      <c r="CR2546">
        <v>0</v>
      </c>
      <c r="CS2546">
        <v>0</v>
      </c>
      <c r="CT2546">
        <v>6.1</v>
      </c>
      <c r="CU2546">
        <v>35</v>
      </c>
      <c r="CV2546">
        <v>-0.19</v>
      </c>
      <c r="CW2546">
        <v>19</v>
      </c>
      <c r="CX2546" t="s">
        <v>1995</v>
      </c>
    </row>
    <row r="2547" spans="1:102" x14ac:dyDescent="0.3">
      <c r="A2547" t="str">
        <f>HYPERLINK("https://webapp.icbf.com/v2/app/bull-search/view/720519359","S1325")</f>
        <v>S1325</v>
      </c>
      <c r="B2547" t="s">
        <v>9146</v>
      </c>
      <c r="C2547" t="s">
        <v>9147</v>
      </c>
      <c r="D2547" s="1">
        <v>37503</v>
      </c>
      <c r="E2547" t="s">
        <v>227</v>
      </c>
      <c r="F2547">
        <v>0</v>
      </c>
      <c r="G2547" t="s">
        <v>109</v>
      </c>
      <c r="H2547">
        <v>32.270000000000003</v>
      </c>
      <c r="I2547">
        <v>55</v>
      </c>
      <c r="J2547">
        <v>-9.58</v>
      </c>
      <c r="K2547">
        <v>78</v>
      </c>
      <c r="L2547">
        <v>19.43</v>
      </c>
      <c r="M2547">
        <v>75</v>
      </c>
      <c r="N2547">
        <v>12.01</v>
      </c>
      <c r="O2547">
        <v>17</v>
      </c>
      <c r="P2547">
        <v>-52.43</v>
      </c>
      <c r="Q2547">
        <v>18</v>
      </c>
      <c r="R2547">
        <v>2.42</v>
      </c>
      <c r="S2547">
        <v>8</v>
      </c>
      <c r="T2547">
        <v>58.89</v>
      </c>
      <c r="U2547">
        <v>13</v>
      </c>
      <c r="V2547">
        <v>1.53</v>
      </c>
      <c r="W2547">
        <v>7</v>
      </c>
      <c r="X2547" t="s">
        <v>276</v>
      </c>
      <c r="Y2547" t="s">
        <v>342</v>
      </c>
      <c r="Z2547">
        <v>0</v>
      </c>
      <c r="AA2547" t="s">
        <v>9148</v>
      </c>
      <c r="AB2547" t="s">
        <v>9149</v>
      </c>
      <c r="AC2547">
        <v>0</v>
      </c>
      <c r="AD2547">
        <v>0</v>
      </c>
      <c r="AE2547">
        <v>78</v>
      </c>
      <c r="AF2547">
        <v>-352.84</v>
      </c>
      <c r="AG2547">
        <v>0.37</v>
      </c>
      <c r="AH2547">
        <v>-7.16</v>
      </c>
      <c r="AI2547">
        <v>0.25</v>
      </c>
      <c r="AJ2547">
        <v>0.09</v>
      </c>
      <c r="AK2547">
        <v>75</v>
      </c>
      <c r="AL2547">
        <v>0</v>
      </c>
      <c r="AM2547">
        <v>0</v>
      </c>
      <c r="AN2547">
        <v>-0.27</v>
      </c>
      <c r="AO2547">
        <v>1.29</v>
      </c>
      <c r="AP2547">
        <v>2</v>
      </c>
      <c r="AQ2547">
        <v>0</v>
      </c>
      <c r="AR2547">
        <v>3.61</v>
      </c>
      <c r="AS2547">
        <v>7</v>
      </c>
      <c r="AT2547">
        <v>2.0099999999999998</v>
      </c>
      <c r="AU2547">
        <v>11</v>
      </c>
      <c r="AV2547">
        <v>-0.34</v>
      </c>
      <c r="AW2547">
        <v>29</v>
      </c>
      <c r="AX2547">
        <v>2.69</v>
      </c>
      <c r="AY2547">
        <v>13</v>
      </c>
      <c r="AZ2547">
        <v>6.83</v>
      </c>
      <c r="BA2547">
        <v>6</v>
      </c>
      <c r="BB2547">
        <v>5</v>
      </c>
      <c r="BC2547">
        <v>6</v>
      </c>
      <c r="BD2547">
        <v>-0.04</v>
      </c>
      <c r="BE2547">
        <v>-0.01</v>
      </c>
      <c r="BF2547">
        <v>0.03</v>
      </c>
      <c r="BG2547">
        <v>10</v>
      </c>
      <c r="BH2547">
        <v>0.05</v>
      </c>
      <c r="BI2547">
        <v>0.84</v>
      </c>
      <c r="BJ2547">
        <v>0</v>
      </c>
      <c r="BK2547">
        <v>0</v>
      </c>
      <c r="BL2547">
        <v>-0.25</v>
      </c>
      <c r="BM2547">
        <v>-0.41</v>
      </c>
      <c r="BN2547">
        <v>0.66</v>
      </c>
      <c r="BO2547">
        <v>1.28</v>
      </c>
      <c r="BP2547">
        <v>-0.8</v>
      </c>
      <c r="BQ2547">
        <v>-2.2200000000000002</v>
      </c>
      <c r="BR2547">
        <v>1.05</v>
      </c>
      <c r="BS2547">
        <v>5.82</v>
      </c>
      <c r="BT2547">
        <v>-0.34</v>
      </c>
      <c r="BU2547">
        <v>1.31</v>
      </c>
      <c r="BV2547">
        <v>1.21</v>
      </c>
      <c r="BW2547">
        <v>-0.64</v>
      </c>
      <c r="BX2547">
        <v>-1.07</v>
      </c>
      <c r="BY2547">
        <v>0.34</v>
      </c>
      <c r="BZ2547">
        <v>0.46</v>
      </c>
      <c r="CA2547">
        <v>2.37</v>
      </c>
      <c r="CB2547">
        <v>1.22</v>
      </c>
      <c r="CC2547">
        <v>3.69</v>
      </c>
      <c r="CD2547">
        <v>-1.24</v>
      </c>
      <c r="CE2547">
        <v>1.38</v>
      </c>
      <c r="CF2547">
        <v>0.55000000000000004</v>
      </c>
      <c r="CG2547">
        <v>0</v>
      </c>
      <c r="CH2547">
        <v>0.04</v>
      </c>
      <c r="CI2547">
        <v>0</v>
      </c>
      <c r="CJ2547">
        <v>-28</v>
      </c>
      <c r="CK2547">
        <v>20</v>
      </c>
      <c r="CL2547">
        <v>-1.0900000000000001</v>
      </c>
      <c r="CM2547">
        <v>17</v>
      </c>
      <c r="CN2547">
        <v>-0.33</v>
      </c>
      <c r="CO2547">
        <v>16</v>
      </c>
      <c r="CP2547">
        <v>-42.7</v>
      </c>
      <c r="CQ2547">
        <v>13</v>
      </c>
      <c r="CR2547">
        <v>0</v>
      </c>
      <c r="CS2547">
        <v>0</v>
      </c>
      <c r="CT2547">
        <v>-65.8</v>
      </c>
      <c r="CU2547">
        <v>13</v>
      </c>
      <c r="CV2547">
        <v>-0.3</v>
      </c>
      <c r="CW2547">
        <v>5</v>
      </c>
      <c r="CX2547" t="s">
        <v>4332</v>
      </c>
    </row>
    <row r="2548" spans="1:102" x14ac:dyDescent="0.3">
      <c r="A2548" t="str">
        <f>HYPERLINK("https://webapp.icbf.com/v2/app/bull-search/view/660317065","JBA")</f>
        <v>JBA</v>
      </c>
      <c r="B2548" t="s">
        <v>14194</v>
      </c>
      <c r="C2548" t="s">
        <v>14195</v>
      </c>
      <c r="D2548" s="1">
        <v>38656</v>
      </c>
      <c r="E2548" t="s">
        <v>140</v>
      </c>
      <c r="F2548">
        <v>0</v>
      </c>
      <c r="G2548" t="s">
        <v>109</v>
      </c>
      <c r="H2548">
        <v>32.15</v>
      </c>
      <c r="I2548">
        <v>64</v>
      </c>
      <c r="J2548">
        <v>11.05</v>
      </c>
      <c r="K2548">
        <v>86</v>
      </c>
      <c r="L2548">
        <v>59.03</v>
      </c>
      <c r="M2548">
        <v>52</v>
      </c>
      <c r="N2548">
        <v>-44.22</v>
      </c>
      <c r="O2548">
        <v>49</v>
      </c>
      <c r="P2548">
        <v>22.35</v>
      </c>
      <c r="Q2548">
        <v>63</v>
      </c>
      <c r="R2548">
        <v>6.87</v>
      </c>
      <c r="S2548">
        <v>52</v>
      </c>
      <c r="T2548">
        <v>-1.1200000000000001</v>
      </c>
      <c r="U2548">
        <v>53</v>
      </c>
      <c r="V2548">
        <v>-21.81</v>
      </c>
      <c r="W2548">
        <v>45</v>
      </c>
      <c r="X2548" t="s">
        <v>94</v>
      </c>
      <c r="Y2548" t="s">
        <v>1980</v>
      </c>
      <c r="Z2548">
        <v>0</v>
      </c>
      <c r="AA2548" t="s">
        <v>14196</v>
      </c>
      <c r="AB2548" t="s">
        <v>10204</v>
      </c>
      <c r="AC2548">
        <v>0</v>
      </c>
      <c r="AD2548">
        <v>0</v>
      </c>
      <c r="AE2548">
        <v>86</v>
      </c>
      <c r="AF2548">
        <v>28.9</v>
      </c>
      <c r="AG2548">
        <v>-1.92</v>
      </c>
      <c r="AH2548">
        <v>3</v>
      </c>
      <c r="AI2548">
        <v>-0.05</v>
      </c>
      <c r="AJ2548">
        <v>0.04</v>
      </c>
      <c r="AK2548">
        <v>52</v>
      </c>
      <c r="AL2548">
        <v>5</v>
      </c>
      <c r="AM2548">
        <v>2</v>
      </c>
      <c r="AN2548">
        <v>-3.02</v>
      </c>
      <c r="AO2548">
        <v>1.69</v>
      </c>
      <c r="AP2548">
        <v>18</v>
      </c>
      <c r="AQ2548">
        <v>0</v>
      </c>
      <c r="AR2548">
        <v>10.66</v>
      </c>
      <c r="AS2548">
        <v>42</v>
      </c>
      <c r="AT2548">
        <v>5.35</v>
      </c>
      <c r="AU2548">
        <v>53</v>
      </c>
      <c r="AV2548">
        <v>2.52</v>
      </c>
      <c r="AW2548">
        <v>55</v>
      </c>
      <c r="AX2548">
        <v>-0.18</v>
      </c>
      <c r="AY2548">
        <v>48</v>
      </c>
      <c r="AZ2548">
        <v>5.05</v>
      </c>
      <c r="BA2548">
        <v>35</v>
      </c>
      <c r="BB2548">
        <v>3.27</v>
      </c>
      <c r="BC2548">
        <v>34</v>
      </c>
      <c r="BD2548">
        <v>0</v>
      </c>
      <c r="BE2548">
        <v>-0.02</v>
      </c>
      <c r="BF2548">
        <v>-0.12</v>
      </c>
      <c r="BG2548">
        <v>58</v>
      </c>
      <c r="BH2548">
        <v>-0.56000000000000005</v>
      </c>
      <c r="BI2548">
        <v>5.56</v>
      </c>
      <c r="BJ2548">
        <v>0</v>
      </c>
      <c r="BK2548">
        <v>0</v>
      </c>
      <c r="BL2548">
        <v>-0.89</v>
      </c>
      <c r="BM2548">
        <v>2.96</v>
      </c>
      <c r="BN2548">
        <v>-1.77</v>
      </c>
      <c r="BO2548">
        <v>-2.76</v>
      </c>
      <c r="BP2548">
        <v>4.01</v>
      </c>
      <c r="BQ2548">
        <v>-2.35</v>
      </c>
      <c r="BR2548">
        <v>-2.67</v>
      </c>
      <c r="BS2548">
        <v>-0.28999999999999998</v>
      </c>
      <c r="BT2548">
        <v>2.5299999999999998</v>
      </c>
      <c r="BU2548">
        <v>-3.23</v>
      </c>
      <c r="BV2548">
        <v>-3.7</v>
      </c>
      <c r="BW2548">
        <v>-2.85</v>
      </c>
      <c r="BX2548">
        <v>-2.7</v>
      </c>
      <c r="BY2548">
        <v>-2.04</v>
      </c>
      <c r="BZ2548">
        <v>1.04</v>
      </c>
      <c r="CA2548">
        <v>-2.3199999999999998</v>
      </c>
      <c r="CB2548">
        <v>-2.98</v>
      </c>
      <c r="CC2548">
        <v>-0.35</v>
      </c>
      <c r="CD2548">
        <v>3.52</v>
      </c>
      <c r="CE2548">
        <v>-2.7</v>
      </c>
      <c r="CF2548">
        <v>-1.1299999999999999</v>
      </c>
      <c r="CG2548">
        <v>0</v>
      </c>
      <c r="CH2548">
        <v>-2.5099999999999998</v>
      </c>
      <c r="CI2548">
        <v>0</v>
      </c>
      <c r="CJ2548">
        <v>11.2</v>
      </c>
      <c r="CK2548">
        <v>66</v>
      </c>
      <c r="CL2548">
        <v>0.57999999999999996</v>
      </c>
      <c r="CM2548">
        <v>61</v>
      </c>
      <c r="CN2548">
        <v>0.04</v>
      </c>
      <c r="CO2548">
        <v>59</v>
      </c>
      <c r="CP2548">
        <v>9.1999999999999993</v>
      </c>
      <c r="CQ2548">
        <v>54</v>
      </c>
      <c r="CR2548">
        <v>0</v>
      </c>
      <c r="CS2548">
        <v>0</v>
      </c>
      <c r="CT2548">
        <v>15.3</v>
      </c>
      <c r="CU2548">
        <v>53</v>
      </c>
      <c r="CV2548">
        <v>0.21</v>
      </c>
      <c r="CW2548">
        <v>38</v>
      </c>
      <c r="CX2548" t="s">
        <v>141</v>
      </c>
    </row>
    <row r="2549" spans="1:102" x14ac:dyDescent="0.3">
      <c r="A2549" t="str">
        <f>HYPERLINK("https://webapp.icbf.com/v2/app/bull-search/view/69092707","SQH")</f>
        <v>SQH</v>
      </c>
      <c r="B2549" t="s">
        <v>3296</v>
      </c>
      <c r="C2549" t="s">
        <v>3297</v>
      </c>
      <c r="D2549" s="1">
        <v>33958</v>
      </c>
      <c r="E2549" t="s">
        <v>146</v>
      </c>
      <c r="F2549">
        <v>0</v>
      </c>
      <c r="G2549" t="s">
        <v>93</v>
      </c>
      <c r="H2549">
        <v>32.049999999999997</v>
      </c>
      <c r="I2549">
        <v>86</v>
      </c>
      <c r="J2549">
        <v>-98.61</v>
      </c>
      <c r="K2549">
        <v>96</v>
      </c>
      <c r="L2549">
        <v>94.16</v>
      </c>
      <c r="M2549">
        <v>78</v>
      </c>
      <c r="N2549">
        <v>43.54</v>
      </c>
      <c r="O2549">
        <v>86</v>
      </c>
      <c r="P2549">
        <v>12.64</v>
      </c>
      <c r="Q2549">
        <v>97</v>
      </c>
      <c r="R2549">
        <v>-10.220000000000001</v>
      </c>
      <c r="S2549">
        <v>72</v>
      </c>
      <c r="T2549">
        <v>8.7899999999999991</v>
      </c>
      <c r="U2549">
        <v>89</v>
      </c>
      <c r="V2549">
        <v>-18.25</v>
      </c>
      <c r="W2549">
        <v>54</v>
      </c>
      <c r="X2549" t="s">
        <v>102</v>
      </c>
      <c r="Y2549" t="s">
        <v>3298</v>
      </c>
      <c r="Z2549" t="s">
        <v>96</v>
      </c>
      <c r="AA2549" t="s">
        <v>3299</v>
      </c>
      <c r="AB2549" t="s">
        <v>3300</v>
      </c>
      <c r="AC2549">
        <v>112</v>
      </c>
      <c r="AD2549">
        <v>50</v>
      </c>
      <c r="AE2549">
        <v>96</v>
      </c>
      <c r="AF2549">
        <v>-607.25</v>
      </c>
      <c r="AG2549">
        <v>-21.61</v>
      </c>
      <c r="AH2549">
        <v>-18.420000000000002</v>
      </c>
      <c r="AI2549">
        <v>0.04</v>
      </c>
      <c r="AJ2549">
        <v>0.04</v>
      </c>
      <c r="AK2549">
        <v>78</v>
      </c>
      <c r="AL2549">
        <v>281</v>
      </c>
      <c r="AM2549">
        <v>135</v>
      </c>
      <c r="AN2549">
        <v>-5.07</v>
      </c>
      <c r="AO2549">
        <v>2.44</v>
      </c>
      <c r="AP2549">
        <v>67</v>
      </c>
      <c r="AQ2549">
        <v>3</v>
      </c>
      <c r="AR2549">
        <v>3.15</v>
      </c>
      <c r="AS2549">
        <v>73</v>
      </c>
      <c r="AT2549">
        <v>1.52</v>
      </c>
      <c r="AU2549">
        <v>81</v>
      </c>
      <c r="AV2549">
        <v>-2.63</v>
      </c>
      <c r="AW2549">
        <v>95</v>
      </c>
      <c r="AX2549">
        <v>-0.64</v>
      </c>
      <c r="AY2549">
        <v>92</v>
      </c>
      <c r="AZ2549">
        <v>5.73</v>
      </c>
      <c r="BA2549">
        <v>62</v>
      </c>
      <c r="BB2549">
        <v>5.05</v>
      </c>
      <c r="BC2549">
        <v>75</v>
      </c>
      <c r="BD2549">
        <v>0.03</v>
      </c>
      <c r="BE2549">
        <v>0.05</v>
      </c>
      <c r="BF2549">
        <v>0.09</v>
      </c>
      <c r="BG2549">
        <v>84</v>
      </c>
      <c r="BH2549">
        <v>-0.54</v>
      </c>
      <c r="BI2549">
        <v>-3.59</v>
      </c>
      <c r="BJ2549">
        <v>1</v>
      </c>
      <c r="BK2549">
        <v>1</v>
      </c>
      <c r="BL2549">
        <v>-1.99</v>
      </c>
      <c r="BM2549">
        <v>1.56</v>
      </c>
      <c r="BN2549">
        <v>-1.55</v>
      </c>
      <c r="BO2549">
        <v>-2.25</v>
      </c>
      <c r="BP2549">
        <v>0.99</v>
      </c>
      <c r="BQ2549">
        <v>-0.64</v>
      </c>
      <c r="BR2549">
        <v>0.56000000000000005</v>
      </c>
      <c r="BS2549">
        <v>0</v>
      </c>
      <c r="BT2549">
        <v>-0.7</v>
      </c>
      <c r="BU2549">
        <v>-1.6</v>
      </c>
      <c r="BV2549">
        <v>-2.33</v>
      </c>
      <c r="BW2549">
        <v>-1.7</v>
      </c>
      <c r="BX2549">
        <v>-0.88</v>
      </c>
      <c r="BY2549">
        <v>-1.07</v>
      </c>
      <c r="BZ2549">
        <v>0.83</v>
      </c>
      <c r="CA2549">
        <v>-2.0699999999999998</v>
      </c>
      <c r="CB2549">
        <v>-2.08</v>
      </c>
      <c r="CC2549">
        <v>-1.26</v>
      </c>
      <c r="CD2549">
        <v>1.94</v>
      </c>
      <c r="CE2549">
        <v>-1.99</v>
      </c>
      <c r="CF2549">
        <v>-1.92</v>
      </c>
      <c r="CG2549">
        <v>0</v>
      </c>
      <c r="CH2549">
        <v>-0.34</v>
      </c>
      <c r="CI2549">
        <v>0</v>
      </c>
      <c r="CJ2549">
        <v>1.9</v>
      </c>
      <c r="CK2549">
        <v>97</v>
      </c>
      <c r="CL2549">
        <v>0.84</v>
      </c>
      <c r="CM2549">
        <v>96</v>
      </c>
      <c r="CN2549">
        <v>-0.09</v>
      </c>
      <c r="CO2549">
        <v>96</v>
      </c>
      <c r="CP2549">
        <v>2</v>
      </c>
      <c r="CQ2549">
        <v>96</v>
      </c>
      <c r="CR2549">
        <v>0</v>
      </c>
      <c r="CS2549">
        <v>0</v>
      </c>
      <c r="CT2549">
        <v>1.9</v>
      </c>
      <c r="CU2549">
        <v>89</v>
      </c>
      <c r="CV2549">
        <v>-0.28000000000000003</v>
      </c>
      <c r="CW2549">
        <v>45</v>
      </c>
      <c r="CX2549" t="s">
        <v>3301</v>
      </c>
    </row>
    <row r="2550" spans="1:102" x14ac:dyDescent="0.3">
      <c r="A2550" t="str">
        <f>HYPERLINK("https://webapp.icbf.com/v2/app/bull-search/view/423373946","LYP")</f>
        <v>LYP</v>
      </c>
      <c r="B2550" t="s">
        <v>11991</v>
      </c>
      <c r="C2550" t="s">
        <v>11992</v>
      </c>
      <c r="D2550" s="1">
        <v>37919</v>
      </c>
      <c r="E2550" t="s">
        <v>108</v>
      </c>
      <c r="F2550">
        <v>0</v>
      </c>
      <c r="G2550" t="s">
        <v>93</v>
      </c>
      <c r="H2550">
        <v>32.01</v>
      </c>
      <c r="I2550">
        <v>81</v>
      </c>
      <c r="J2550">
        <v>-69.28</v>
      </c>
      <c r="K2550">
        <v>95</v>
      </c>
      <c r="L2550">
        <v>71.11</v>
      </c>
      <c r="M2550">
        <v>70</v>
      </c>
      <c r="N2550">
        <v>14.83</v>
      </c>
      <c r="O2550">
        <v>79</v>
      </c>
      <c r="P2550">
        <v>-13</v>
      </c>
      <c r="Q2550">
        <v>90</v>
      </c>
      <c r="R2550">
        <v>8.67</v>
      </c>
      <c r="S2550">
        <v>71</v>
      </c>
      <c r="T2550">
        <v>19.079999999999998</v>
      </c>
      <c r="U2550">
        <v>76</v>
      </c>
      <c r="V2550">
        <v>0.6</v>
      </c>
      <c r="W2550">
        <v>68</v>
      </c>
      <c r="X2550" t="s">
        <v>251</v>
      </c>
      <c r="Y2550" t="s">
        <v>1923</v>
      </c>
      <c r="Z2550" t="s">
        <v>96</v>
      </c>
      <c r="AA2550" t="s">
        <v>11993</v>
      </c>
      <c r="AB2550" t="s">
        <v>5175</v>
      </c>
      <c r="AC2550">
        <v>55</v>
      </c>
      <c r="AD2550">
        <v>30</v>
      </c>
      <c r="AE2550">
        <v>95</v>
      </c>
      <c r="AF2550">
        <v>-169.31</v>
      </c>
      <c r="AG2550">
        <v>-10.5</v>
      </c>
      <c r="AH2550">
        <v>-10.66</v>
      </c>
      <c r="AI2550">
        <v>-7.0000000000000007E-2</v>
      </c>
      <c r="AJ2550">
        <v>-0.09</v>
      </c>
      <c r="AK2550">
        <v>70</v>
      </c>
      <c r="AL2550">
        <v>70</v>
      </c>
      <c r="AM2550">
        <v>31</v>
      </c>
      <c r="AN2550">
        <v>-4.74</v>
      </c>
      <c r="AO2550">
        <v>0.92</v>
      </c>
      <c r="AP2550">
        <v>116</v>
      </c>
      <c r="AQ2550">
        <v>1</v>
      </c>
      <c r="AR2550">
        <v>6.87</v>
      </c>
      <c r="AS2550">
        <v>66</v>
      </c>
      <c r="AT2550">
        <v>2.82</v>
      </c>
      <c r="AU2550">
        <v>80</v>
      </c>
      <c r="AV2550">
        <v>-1.63</v>
      </c>
      <c r="AW2550">
        <v>90</v>
      </c>
      <c r="AX2550">
        <v>-0.01</v>
      </c>
      <c r="AY2550">
        <v>78</v>
      </c>
      <c r="AZ2550">
        <v>7.54</v>
      </c>
      <c r="BA2550">
        <v>54</v>
      </c>
      <c r="BB2550">
        <v>5.18</v>
      </c>
      <c r="BC2550">
        <v>54</v>
      </c>
      <c r="BD2550">
        <v>0.01</v>
      </c>
      <c r="BE2550">
        <v>-0.04</v>
      </c>
      <c r="BF2550">
        <v>-0.14000000000000001</v>
      </c>
      <c r="BG2550">
        <v>83</v>
      </c>
      <c r="BH2550">
        <v>-0.04</v>
      </c>
      <c r="BI2550">
        <v>-6.55</v>
      </c>
      <c r="BJ2550">
        <v>2</v>
      </c>
      <c r="BK2550">
        <v>2</v>
      </c>
      <c r="BL2550">
        <v>-3.03</v>
      </c>
      <c r="BM2550">
        <v>1.0900000000000001</v>
      </c>
      <c r="BN2550">
        <v>-1.79</v>
      </c>
      <c r="BO2550">
        <v>-2.29</v>
      </c>
      <c r="BP2550">
        <v>0.56999999999999995</v>
      </c>
      <c r="BQ2550">
        <v>0.88</v>
      </c>
      <c r="BR2550">
        <v>-0.31</v>
      </c>
      <c r="BS2550">
        <v>1.85</v>
      </c>
      <c r="BT2550">
        <v>-0.32</v>
      </c>
      <c r="BU2550">
        <v>-2.34</v>
      </c>
      <c r="BV2550">
        <v>-2.5499999999999998</v>
      </c>
      <c r="BW2550">
        <v>-2.3199999999999998</v>
      </c>
      <c r="BX2550">
        <v>-0.96</v>
      </c>
      <c r="BY2550">
        <v>-1.33</v>
      </c>
      <c r="BZ2550">
        <v>-0.22</v>
      </c>
      <c r="CA2550">
        <v>-1.44</v>
      </c>
      <c r="CB2550">
        <v>-1.68</v>
      </c>
      <c r="CC2550">
        <v>0</v>
      </c>
      <c r="CD2550">
        <v>2</v>
      </c>
      <c r="CE2550">
        <v>-3</v>
      </c>
      <c r="CF2550">
        <v>-2.48</v>
      </c>
      <c r="CG2550">
        <v>0</v>
      </c>
      <c r="CH2550">
        <v>-1.39</v>
      </c>
      <c r="CI2550">
        <v>0</v>
      </c>
      <c r="CJ2550">
        <v>-7.1</v>
      </c>
      <c r="CK2550">
        <v>91</v>
      </c>
      <c r="CL2550">
        <v>-0.19</v>
      </c>
      <c r="CM2550">
        <v>90</v>
      </c>
      <c r="CN2550">
        <v>0</v>
      </c>
      <c r="CO2550">
        <v>89</v>
      </c>
      <c r="CP2550">
        <v>-8.3000000000000007</v>
      </c>
      <c r="CQ2550">
        <v>79</v>
      </c>
      <c r="CR2550">
        <v>0</v>
      </c>
      <c r="CS2550">
        <v>0</v>
      </c>
      <c r="CT2550">
        <v>-12</v>
      </c>
      <c r="CU2550">
        <v>76</v>
      </c>
      <c r="CV2550">
        <v>0</v>
      </c>
      <c r="CW2550">
        <v>44</v>
      </c>
      <c r="CX2550" t="s">
        <v>823</v>
      </c>
    </row>
    <row r="2551" spans="1:102" x14ac:dyDescent="0.3">
      <c r="A2551" t="str">
        <f>HYPERLINK("https://webapp.icbf.com/v2/app/bull-search/view/1565303699","S3217")</f>
        <v>S3217</v>
      </c>
      <c r="B2551" t="s">
        <v>13910</v>
      </c>
      <c r="C2551" t="s">
        <v>13911</v>
      </c>
      <c r="D2551" s="1">
        <v>42310</v>
      </c>
      <c r="E2551" t="s">
        <v>92</v>
      </c>
      <c r="F2551">
        <v>100</v>
      </c>
      <c r="G2551" t="s">
        <v>435</v>
      </c>
      <c r="H2551">
        <v>31.94</v>
      </c>
      <c r="I2551">
        <v>35</v>
      </c>
      <c r="J2551">
        <v>46.1</v>
      </c>
      <c r="K2551">
        <v>33</v>
      </c>
      <c r="L2551">
        <v>-49.12</v>
      </c>
      <c r="M2551">
        <v>31</v>
      </c>
      <c r="N2551">
        <v>29.09</v>
      </c>
      <c r="O2551">
        <v>52</v>
      </c>
      <c r="P2551">
        <v>-2.33</v>
      </c>
      <c r="Q2551">
        <v>45</v>
      </c>
      <c r="R2551">
        <v>18.5</v>
      </c>
      <c r="S2551">
        <v>27</v>
      </c>
      <c r="T2551">
        <v>-13.04</v>
      </c>
      <c r="U2551">
        <v>41</v>
      </c>
      <c r="V2551">
        <v>2.74</v>
      </c>
      <c r="W2551">
        <v>24</v>
      </c>
      <c r="X2551" t="s">
        <v>110</v>
      </c>
      <c r="Y2551" t="s">
        <v>453</v>
      </c>
      <c r="Z2551" t="s">
        <v>96</v>
      </c>
      <c r="AA2551" t="s">
        <v>2216</v>
      </c>
      <c r="AB2551" t="s">
        <v>13912</v>
      </c>
      <c r="AC2551">
        <v>0</v>
      </c>
      <c r="AD2551">
        <v>0</v>
      </c>
      <c r="AE2551">
        <v>33</v>
      </c>
      <c r="AF2551">
        <v>370.63</v>
      </c>
      <c r="AG2551">
        <v>9.93</v>
      </c>
      <c r="AH2551">
        <v>10</v>
      </c>
      <c r="AI2551">
        <v>-0.09</v>
      </c>
      <c r="AJ2551">
        <v>-0.05</v>
      </c>
      <c r="AK2551">
        <v>31</v>
      </c>
      <c r="AL2551">
        <v>0</v>
      </c>
      <c r="AM2551">
        <v>0</v>
      </c>
      <c r="AN2551">
        <v>4.0199999999999996</v>
      </c>
      <c r="AO2551">
        <v>0.12</v>
      </c>
      <c r="AP2551">
        <v>1</v>
      </c>
      <c r="AQ2551">
        <v>0</v>
      </c>
      <c r="AR2551">
        <v>5.99</v>
      </c>
      <c r="AS2551">
        <v>58</v>
      </c>
      <c r="AT2551">
        <v>2.69</v>
      </c>
      <c r="AU2551">
        <v>68</v>
      </c>
      <c r="AV2551">
        <v>-3.03</v>
      </c>
      <c r="AW2551">
        <v>46</v>
      </c>
      <c r="AX2551">
        <v>0.37</v>
      </c>
      <c r="AY2551">
        <v>46</v>
      </c>
      <c r="AZ2551">
        <v>6.82</v>
      </c>
      <c r="BA2551">
        <v>44</v>
      </c>
      <c r="BB2551">
        <v>5.18</v>
      </c>
      <c r="BC2551">
        <v>41</v>
      </c>
      <c r="BD2551">
        <v>-0.05</v>
      </c>
      <c r="BE2551">
        <v>-0.08</v>
      </c>
      <c r="BF2551">
        <v>-0.19</v>
      </c>
      <c r="BG2551">
        <v>32</v>
      </c>
      <c r="BH2551">
        <v>0.08</v>
      </c>
      <c r="BI2551">
        <v>0.43</v>
      </c>
      <c r="BJ2551">
        <v>0</v>
      </c>
      <c r="BK2551">
        <v>0</v>
      </c>
      <c r="BL2551">
        <v>2.2400000000000002</v>
      </c>
      <c r="BM2551">
        <v>-0.14000000000000001</v>
      </c>
      <c r="BN2551">
        <v>1.27</v>
      </c>
      <c r="BO2551">
        <v>1.39</v>
      </c>
      <c r="BP2551">
        <v>-0.19</v>
      </c>
      <c r="BQ2551">
        <v>2.08</v>
      </c>
      <c r="BR2551">
        <v>0</v>
      </c>
      <c r="BS2551">
        <v>2.52</v>
      </c>
      <c r="BT2551">
        <v>0.74</v>
      </c>
      <c r="BU2551">
        <v>3.19</v>
      </c>
      <c r="BV2551">
        <v>2.72</v>
      </c>
      <c r="BW2551">
        <v>2.2200000000000002</v>
      </c>
      <c r="BX2551">
        <v>2.58</v>
      </c>
      <c r="BY2551">
        <v>2.08</v>
      </c>
      <c r="BZ2551">
        <v>0.02</v>
      </c>
      <c r="CA2551">
        <v>2.62</v>
      </c>
      <c r="CB2551">
        <v>2.2999999999999998</v>
      </c>
      <c r="CC2551">
        <v>2.0099999999999998</v>
      </c>
      <c r="CD2551">
        <v>-0.53</v>
      </c>
      <c r="CE2551">
        <v>1.2</v>
      </c>
      <c r="CF2551">
        <v>2.08</v>
      </c>
      <c r="CG2551">
        <v>0</v>
      </c>
      <c r="CH2551">
        <v>2.12</v>
      </c>
      <c r="CI2551">
        <v>0</v>
      </c>
      <c r="CJ2551">
        <v>1.8</v>
      </c>
      <c r="CK2551">
        <v>45</v>
      </c>
      <c r="CL2551">
        <v>-1.76</v>
      </c>
      <c r="CM2551">
        <v>45</v>
      </c>
      <c r="CN2551">
        <v>-1</v>
      </c>
      <c r="CO2551">
        <v>45</v>
      </c>
      <c r="CP2551">
        <v>10.9</v>
      </c>
      <c r="CQ2551">
        <v>43</v>
      </c>
      <c r="CR2551">
        <v>0</v>
      </c>
      <c r="CS2551">
        <v>0</v>
      </c>
      <c r="CT2551">
        <v>31.4</v>
      </c>
      <c r="CU2551">
        <v>41</v>
      </c>
      <c r="CV2551">
        <v>0.31</v>
      </c>
      <c r="CW2551">
        <v>34</v>
      </c>
      <c r="CX2551" t="s">
        <v>6411</v>
      </c>
    </row>
    <row r="2552" spans="1:102" x14ac:dyDescent="0.3">
      <c r="A2552" t="str">
        <f>HYPERLINK("https://webapp.icbf.com/v2/app/bull-search/view/69092377","PET")</f>
        <v>PET</v>
      </c>
      <c r="B2552" t="s">
        <v>3290</v>
      </c>
      <c r="C2552" t="s">
        <v>3291</v>
      </c>
      <c r="D2552" s="1">
        <v>36044</v>
      </c>
      <c r="E2552" t="s">
        <v>146</v>
      </c>
      <c r="F2552">
        <v>0</v>
      </c>
      <c r="G2552" t="s">
        <v>93</v>
      </c>
      <c r="H2552">
        <v>31.87</v>
      </c>
      <c r="I2552">
        <v>95</v>
      </c>
      <c r="J2552">
        <v>-3.28</v>
      </c>
      <c r="K2552">
        <v>99</v>
      </c>
      <c r="L2552">
        <v>19.489999999999998</v>
      </c>
      <c r="M2552">
        <v>90</v>
      </c>
      <c r="N2552">
        <v>32.79</v>
      </c>
      <c r="O2552">
        <v>96</v>
      </c>
      <c r="P2552">
        <v>11.06</v>
      </c>
      <c r="Q2552">
        <v>99</v>
      </c>
      <c r="R2552">
        <v>-14.59</v>
      </c>
      <c r="S2552">
        <v>90</v>
      </c>
      <c r="T2552">
        <v>3.69</v>
      </c>
      <c r="U2552">
        <v>97</v>
      </c>
      <c r="V2552">
        <v>-17.29</v>
      </c>
      <c r="W2552">
        <v>93</v>
      </c>
      <c r="X2552" t="s">
        <v>102</v>
      </c>
      <c r="Y2552" t="s">
        <v>95</v>
      </c>
      <c r="Z2552">
        <v>0</v>
      </c>
      <c r="AA2552" t="s">
        <v>236</v>
      </c>
      <c r="AB2552" t="s">
        <v>3292</v>
      </c>
      <c r="AC2552">
        <v>421</v>
      </c>
      <c r="AD2552">
        <v>146</v>
      </c>
      <c r="AE2552">
        <v>99</v>
      </c>
      <c r="AF2552">
        <v>-63.78</v>
      </c>
      <c r="AG2552">
        <v>-7.56</v>
      </c>
      <c r="AH2552">
        <v>1.1399999999999999</v>
      </c>
      <c r="AI2552">
        <v>-0.08</v>
      </c>
      <c r="AJ2552">
        <v>0.06</v>
      </c>
      <c r="AK2552">
        <v>90</v>
      </c>
      <c r="AL2552">
        <v>793</v>
      </c>
      <c r="AM2552">
        <v>283</v>
      </c>
      <c r="AN2552">
        <v>-1.39</v>
      </c>
      <c r="AO2552">
        <v>0.16</v>
      </c>
      <c r="AP2552">
        <v>817</v>
      </c>
      <c r="AQ2552">
        <v>36</v>
      </c>
      <c r="AR2552">
        <v>6.25</v>
      </c>
      <c r="AS2552">
        <v>92</v>
      </c>
      <c r="AT2552">
        <v>2.66</v>
      </c>
      <c r="AU2552">
        <v>97</v>
      </c>
      <c r="AV2552">
        <v>-2.61</v>
      </c>
      <c r="AW2552">
        <v>99</v>
      </c>
      <c r="AX2552">
        <v>-0.4</v>
      </c>
      <c r="AY2552">
        <v>97</v>
      </c>
      <c r="AZ2552">
        <v>5.31</v>
      </c>
      <c r="BA2552">
        <v>88</v>
      </c>
      <c r="BB2552">
        <v>4.5</v>
      </c>
      <c r="BC2552">
        <v>92</v>
      </c>
      <c r="BD2552">
        <v>-0.01</v>
      </c>
      <c r="BE2552">
        <v>0.08</v>
      </c>
      <c r="BF2552">
        <v>0.2</v>
      </c>
      <c r="BG2552">
        <v>95</v>
      </c>
      <c r="BH2552">
        <v>-0.6</v>
      </c>
      <c r="BI2552">
        <v>-13.64</v>
      </c>
      <c r="BJ2552">
        <v>2</v>
      </c>
      <c r="BK2552">
        <v>2</v>
      </c>
      <c r="BL2552">
        <v>-1.87</v>
      </c>
      <c r="BM2552">
        <v>3.21</v>
      </c>
      <c r="BN2552">
        <v>-0.39</v>
      </c>
      <c r="BO2552">
        <v>-2.37</v>
      </c>
      <c r="BP2552">
        <v>3.35</v>
      </c>
      <c r="BQ2552">
        <v>1.74</v>
      </c>
      <c r="BR2552">
        <v>-0.05</v>
      </c>
      <c r="BS2552">
        <v>-0.41</v>
      </c>
      <c r="BT2552">
        <v>-0.22</v>
      </c>
      <c r="BU2552">
        <v>-2.39</v>
      </c>
      <c r="BV2552">
        <v>-3.76</v>
      </c>
      <c r="BW2552">
        <v>-2.98</v>
      </c>
      <c r="BX2552">
        <v>-1.79</v>
      </c>
      <c r="BY2552">
        <v>-2.44</v>
      </c>
      <c r="BZ2552">
        <v>1.81</v>
      </c>
      <c r="CA2552">
        <v>-2.82</v>
      </c>
      <c r="CB2552">
        <v>-3.11</v>
      </c>
      <c r="CC2552">
        <v>-0.8</v>
      </c>
      <c r="CD2552">
        <v>2.96</v>
      </c>
      <c r="CE2552">
        <v>-2.5099999999999998</v>
      </c>
      <c r="CF2552">
        <v>-0.86</v>
      </c>
      <c r="CG2552">
        <v>0</v>
      </c>
      <c r="CH2552">
        <v>-1.89</v>
      </c>
      <c r="CI2552">
        <v>0</v>
      </c>
      <c r="CJ2552">
        <v>5.5</v>
      </c>
      <c r="CK2552">
        <v>99</v>
      </c>
      <c r="CL2552">
        <v>0.44</v>
      </c>
      <c r="CM2552">
        <v>99</v>
      </c>
      <c r="CN2552">
        <v>7.0000000000000007E-2</v>
      </c>
      <c r="CO2552">
        <v>99</v>
      </c>
      <c r="CP2552">
        <v>-1.7</v>
      </c>
      <c r="CQ2552">
        <v>98</v>
      </c>
      <c r="CR2552">
        <v>0</v>
      </c>
      <c r="CS2552">
        <v>0</v>
      </c>
      <c r="CT2552">
        <v>8.8000000000000007</v>
      </c>
      <c r="CU2552">
        <v>97</v>
      </c>
      <c r="CV2552">
        <v>-0.19</v>
      </c>
      <c r="CW2552">
        <v>46</v>
      </c>
      <c r="CX2552" t="s">
        <v>238</v>
      </c>
    </row>
    <row r="2553" spans="1:102" x14ac:dyDescent="0.3">
      <c r="A2553" t="str">
        <f>HYPERLINK("https://webapp.icbf.com/v2/app/bull-search/view/479042756","MVU")</f>
        <v>MVU</v>
      </c>
      <c r="B2553" t="s">
        <v>4832</v>
      </c>
      <c r="C2553" t="s">
        <v>4833</v>
      </c>
      <c r="D2553" s="1">
        <v>38520</v>
      </c>
      <c r="E2553" t="s">
        <v>92</v>
      </c>
      <c r="F2553">
        <v>100</v>
      </c>
      <c r="G2553" t="s">
        <v>93</v>
      </c>
      <c r="H2553">
        <v>31.69</v>
      </c>
      <c r="I2553">
        <v>92</v>
      </c>
      <c r="J2553">
        <v>15.18</v>
      </c>
      <c r="K2553">
        <v>98</v>
      </c>
      <c r="L2553">
        <v>11.46</v>
      </c>
      <c r="M2553">
        <v>88</v>
      </c>
      <c r="N2553">
        <v>3.42</v>
      </c>
      <c r="O2553">
        <v>89</v>
      </c>
      <c r="P2553">
        <v>-11.02</v>
      </c>
      <c r="Q2553">
        <v>94</v>
      </c>
      <c r="R2553">
        <v>-1.84</v>
      </c>
      <c r="S2553">
        <v>84</v>
      </c>
      <c r="T2553">
        <v>-0.6</v>
      </c>
      <c r="U2553">
        <v>89</v>
      </c>
      <c r="V2553">
        <v>15.09</v>
      </c>
      <c r="W2553">
        <v>82</v>
      </c>
      <c r="X2553" t="s">
        <v>251</v>
      </c>
      <c r="Y2553" t="s">
        <v>2643</v>
      </c>
      <c r="Z2553" t="s">
        <v>96</v>
      </c>
      <c r="AA2553" t="s">
        <v>1752</v>
      </c>
      <c r="AB2553" t="s">
        <v>4834</v>
      </c>
      <c r="AC2553">
        <v>186</v>
      </c>
      <c r="AD2553">
        <v>77</v>
      </c>
      <c r="AE2553">
        <v>98</v>
      </c>
      <c r="AF2553">
        <v>188.95</v>
      </c>
      <c r="AG2553">
        <v>3.74</v>
      </c>
      <c r="AH2553">
        <v>4.1500000000000004</v>
      </c>
      <c r="AI2553">
        <v>-0.06</v>
      </c>
      <c r="AJ2553">
        <v>-0.04</v>
      </c>
      <c r="AK2553">
        <v>88</v>
      </c>
      <c r="AL2553">
        <v>183</v>
      </c>
      <c r="AM2553">
        <v>77</v>
      </c>
      <c r="AN2553">
        <v>0.61</v>
      </c>
      <c r="AO2553">
        <v>1.54</v>
      </c>
      <c r="AP2553">
        <v>331</v>
      </c>
      <c r="AQ2553">
        <v>2</v>
      </c>
      <c r="AR2553">
        <v>8.74</v>
      </c>
      <c r="AS2553">
        <v>83</v>
      </c>
      <c r="AT2553">
        <v>3.71</v>
      </c>
      <c r="AU2553">
        <v>91</v>
      </c>
      <c r="AV2553">
        <v>-2.2400000000000002</v>
      </c>
      <c r="AW2553">
        <v>96</v>
      </c>
      <c r="AX2553">
        <v>0</v>
      </c>
      <c r="AY2553">
        <v>89</v>
      </c>
      <c r="AZ2553">
        <v>7.27</v>
      </c>
      <c r="BA2553">
        <v>73</v>
      </c>
      <c r="BB2553">
        <v>5.81</v>
      </c>
      <c r="BC2553">
        <v>76</v>
      </c>
      <c r="BD2553">
        <v>-0.04</v>
      </c>
      <c r="BE2553">
        <v>0.01</v>
      </c>
      <c r="BF2553">
        <v>0.09</v>
      </c>
      <c r="BG2553">
        <v>93</v>
      </c>
      <c r="BH2553">
        <v>0.18</v>
      </c>
      <c r="BI2553">
        <v>-27.87</v>
      </c>
      <c r="BJ2553">
        <v>104</v>
      </c>
      <c r="BK2553">
        <v>46</v>
      </c>
      <c r="BL2553">
        <v>0.24</v>
      </c>
      <c r="BM2553">
        <v>0.39</v>
      </c>
      <c r="BN2553">
        <v>1.4</v>
      </c>
      <c r="BO2553">
        <v>0.51</v>
      </c>
      <c r="BP2553">
        <v>-0.94</v>
      </c>
      <c r="BQ2553">
        <v>3.11</v>
      </c>
      <c r="BR2553">
        <v>1.36</v>
      </c>
      <c r="BS2553">
        <v>-0.63</v>
      </c>
      <c r="BT2553">
        <v>-1.26</v>
      </c>
      <c r="BU2553">
        <v>0.97</v>
      </c>
      <c r="BV2553">
        <v>1.29</v>
      </c>
      <c r="BW2553">
        <v>1.66</v>
      </c>
      <c r="BX2553">
        <v>0.51</v>
      </c>
      <c r="BY2553">
        <v>-0.09</v>
      </c>
      <c r="BZ2553">
        <v>-1.67</v>
      </c>
      <c r="CA2553">
        <v>0.56999999999999995</v>
      </c>
      <c r="CB2553">
        <v>0.72</v>
      </c>
      <c r="CC2553">
        <v>0.28000000000000003</v>
      </c>
      <c r="CD2553">
        <v>0.14000000000000001</v>
      </c>
      <c r="CE2553">
        <v>0.66</v>
      </c>
      <c r="CF2553">
        <v>1.56</v>
      </c>
      <c r="CG2553">
        <v>0</v>
      </c>
      <c r="CH2553">
        <v>-0.03</v>
      </c>
      <c r="CI2553">
        <v>0</v>
      </c>
      <c r="CJ2553">
        <v>-4.7</v>
      </c>
      <c r="CK2553">
        <v>95</v>
      </c>
      <c r="CL2553">
        <v>-1.04</v>
      </c>
      <c r="CM2553">
        <v>94</v>
      </c>
      <c r="CN2553">
        <v>-0.5</v>
      </c>
      <c r="CO2553">
        <v>94</v>
      </c>
      <c r="CP2553">
        <v>2.2999999999999998</v>
      </c>
      <c r="CQ2553">
        <v>93</v>
      </c>
      <c r="CR2553">
        <v>0</v>
      </c>
      <c r="CS2553">
        <v>0</v>
      </c>
      <c r="CT2553">
        <v>14.6</v>
      </c>
      <c r="CU2553">
        <v>89</v>
      </c>
      <c r="CV2553">
        <v>0.12</v>
      </c>
      <c r="CW2553">
        <v>45</v>
      </c>
      <c r="CX2553" t="s">
        <v>4835</v>
      </c>
    </row>
    <row r="2554" spans="1:102" x14ac:dyDescent="0.3">
      <c r="A2554" t="str">
        <f>HYPERLINK("https://webapp.icbf.com/v2/app/bull-search/view/77859109","CPY")</f>
        <v>CPY</v>
      </c>
      <c r="B2554" t="s">
        <v>11210</v>
      </c>
      <c r="C2554" t="s">
        <v>11211</v>
      </c>
      <c r="D2554" s="1">
        <v>33187</v>
      </c>
      <c r="E2554" t="s">
        <v>92</v>
      </c>
      <c r="F2554">
        <v>50</v>
      </c>
      <c r="G2554" t="s">
        <v>116</v>
      </c>
      <c r="H2554">
        <v>31.58</v>
      </c>
      <c r="I2554">
        <v>50</v>
      </c>
      <c r="J2554">
        <v>-24.85</v>
      </c>
      <c r="K2554">
        <v>60</v>
      </c>
      <c r="L2554">
        <v>47.25</v>
      </c>
      <c r="M2554">
        <v>42</v>
      </c>
      <c r="N2554">
        <v>-4.03</v>
      </c>
      <c r="O2554">
        <v>48</v>
      </c>
      <c r="P2554">
        <v>-7.25</v>
      </c>
      <c r="Q2554">
        <v>60</v>
      </c>
      <c r="R2554">
        <v>-0.59</v>
      </c>
      <c r="S2554">
        <v>41</v>
      </c>
      <c r="T2554">
        <v>24.85</v>
      </c>
      <c r="U2554">
        <v>48</v>
      </c>
      <c r="V2554">
        <v>-3.8</v>
      </c>
      <c r="W2554">
        <v>29</v>
      </c>
      <c r="X2554" t="s">
        <v>94</v>
      </c>
      <c r="Y2554" t="s">
        <v>117</v>
      </c>
      <c r="Z2554" t="s">
        <v>96</v>
      </c>
      <c r="AA2554" t="s">
        <v>11212</v>
      </c>
      <c r="AB2554" t="s">
        <v>11147</v>
      </c>
      <c r="AC2554">
        <v>10</v>
      </c>
      <c r="AD2554">
        <v>4</v>
      </c>
      <c r="AE2554">
        <v>60</v>
      </c>
      <c r="AF2554">
        <v>-11.74</v>
      </c>
      <c r="AG2554">
        <v>-2.2200000000000002</v>
      </c>
      <c r="AH2554">
        <v>-3.62</v>
      </c>
      <c r="AI2554">
        <v>-0.03</v>
      </c>
      <c r="AJ2554">
        <v>-0.05</v>
      </c>
      <c r="AK2554">
        <v>42</v>
      </c>
      <c r="AL2554">
        <v>16</v>
      </c>
      <c r="AM2554">
        <v>9</v>
      </c>
      <c r="AN2554">
        <v>-3.18</v>
      </c>
      <c r="AO2554">
        <v>0.57999999999999996</v>
      </c>
      <c r="AP2554">
        <v>26</v>
      </c>
      <c r="AQ2554">
        <v>0</v>
      </c>
      <c r="AR2554">
        <v>10.35</v>
      </c>
      <c r="AS2554">
        <v>21</v>
      </c>
      <c r="AT2554">
        <v>4.0599999999999996</v>
      </c>
      <c r="AU2554">
        <v>47</v>
      </c>
      <c r="AV2554">
        <v>-1.36</v>
      </c>
      <c r="AW2554">
        <v>60</v>
      </c>
      <c r="AX2554">
        <v>-0.66</v>
      </c>
      <c r="AY2554">
        <v>55</v>
      </c>
      <c r="AZ2554">
        <v>6.34</v>
      </c>
      <c r="BA2554">
        <v>18</v>
      </c>
      <c r="BB2554">
        <v>4.83</v>
      </c>
      <c r="BC2554">
        <v>29</v>
      </c>
      <c r="BD2554">
        <v>0.01</v>
      </c>
      <c r="BE2554">
        <v>0.03</v>
      </c>
      <c r="BF2554">
        <v>-0.06</v>
      </c>
      <c r="BG2554">
        <v>52</v>
      </c>
      <c r="BH2554">
        <v>-0.18</v>
      </c>
      <c r="BI2554">
        <v>-8.57</v>
      </c>
      <c r="BJ2554">
        <v>0</v>
      </c>
      <c r="BK2554">
        <v>0</v>
      </c>
      <c r="BL2554">
        <v>-1.58</v>
      </c>
      <c r="BM2554">
        <v>0.93</v>
      </c>
      <c r="BN2554">
        <v>-1.27</v>
      </c>
      <c r="BO2554">
        <v>-1.51</v>
      </c>
      <c r="BP2554">
        <v>0.28000000000000003</v>
      </c>
      <c r="BQ2554">
        <v>-1.01</v>
      </c>
      <c r="BR2554">
        <v>-0.13</v>
      </c>
      <c r="BS2554">
        <v>-0.1</v>
      </c>
      <c r="BT2554">
        <v>-0.19</v>
      </c>
      <c r="BU2554">
        <v>-1.63</v>
      </c>
      <c r="BV2554">
        <v>-1.68</v>
      </c>
      <c r="BW2554">
        <v>-1.59</v>
      </c>
      <c r="BX2554">
        <v>-1.53</v>
      </c>
      <c r="BY2554">
        <v>-1.4</v>
      </c>
      <c r="BZ2554">
        <v>-0.56000000000000005</v>
      </c>
      <c r="CA2554">
        <v>-1.94</v>
      </c>
      <c r="CB2554">
        <v>-1.94</v>
      </c>
      <c r="CC2554">
        <v>-1.18</v>
      </c>
      <c r="CD2554">
        <v>1.29</v>
      </c>
      <c r="CE2554">
        <v>-1.36</v>
      </c>
      <c r="CF2554">
        <v>-1.8</v>
      </c>
      <c r="CG2554">
        <v>0</v>
      </c>
      <c r="CH2554">
        <v>-1.43</v>
      </c>
      <c r="CI2554">
        <v>0</v>
      </c>
      <c r="CJ2554">
        <v>-1.9</v>
      </c>
      <c r="CK2554">
        <v>63</v>
      </c>
      <c r="CL2554">
        <v>-0.17</v>
      </c>
      <c r="CM2554">
        <v>58</v>
      </c>
      <c r="CN2554">
        <v>7.0000000000000007E-2</v>
      </c>
      <c r="CO2554">
        <v>54</v>
      </c>
      <c r="CP2554">
        <v>-13.7</v>
      </c>
      <c r="CQ2554">
        <v>58</v>
      </c>
      <c r="CR2554">
        <v>0</v>
      </c>
      <c r="CS2554">
        <v>0</v>
      </c>
      <c r="CT2554">
        <v>-19.8</v>
      </c>
      <c r="CU2554">
        <v>48</v>
      </c>
      <c r="CV2554">
        <v>0.03</v>
      </c>
      <c r="CW2554">
        <v>17</v>
      </c>
      <c r="CX2554" t="s">
        <v>853</v>
      </c>
    </row>
    <row r="2555" spans="1:102" x14ac:dyDescent="0.3">
      <c r="A2555" t="str">
        <f>HYPERLINK("https://webapp.icbf.com/v2/app/bull-search/view/69092392","PLA")</f>
        <v>PLA</v>
      </c>
      <c r="B2555" t="s">
        <v>144</v>
      </c>
      <c r="C2555" t="s">
        <v>3521</v>
      </c>
      <c r="D2555" s="1">
        <v>36031</v>
      </c>
      <c r="E2555" t="s">
        <v>146</v>
      </c>
      <c r="F2555">
        <v>9</v>
      </c>
      <c r="G2555" t="s">
        <v>93</v>
      </c>
      <c r="H2555">
        <v>31.57</v>
      </c>
      <c r="I2555">
        <v>64</v>
      </c>
      <c r="J2555">
        <v>-19.87</v>
      </c>
      <c r="K2555">
        <v>83</v>
      </c>
      <c r="L2555">
        <v>24.78</v>
      </c>
      <c r="M2555">
        <v>47</v>
      </c>
      <c r="N2555">
        <v>9.85</v>
      </c>
      <c r="O2555">
        <v>61</v>
      </c>
      <c r="P2555">
        <v>26.04</v>
      </c>
      <c r="Q2555">
        <v>76</v>
      </c>
      <c r="R2555">
        <v>-11.57</v>
      </c>
      <c r="S2555">
        <v>52</v>
      </c>
      <c r="T2555">
        <v>11.46</v>
      </c>
      <c r="U2555">
        <v>65</v>
      </c>
      <c r="V2555">
        <v>-9.1199999999999992</v>
      </c>
      <c r="W2555">
        <v>41</v>
      </c>
      <c r="X2555" t="s">
        <v>276</v>
      </c>
      <c r="Y2555" t="s">
        <v>95</v>
      </c>
      <c r="Z2555">
        <v>0</v>
      </c>
      <c r="AA2555" t="s">
        <v>236</v>
      </c>
      <c r="AB2555" t="s">
        <v>3522</v>
      </c>
      <c r="AC2555">
        <v>23</v>
      </c>
      <c r="AD2555">
        <v>16</v>
      </c>
      <c r="AE2555">
        <v>83</v>
      </c>
      <c r="AF2555">
        <v>-139.36000000000001</v>
      </c>
      <c r="AG2555">
        <v>-6.85</v>
      </c>
      <c r="AH2555">
        <v>-3.09</v>
      </c>
      <c r="AI2555">
        <v>-0.02</v>
      </c>
      <c r="AJ2555">
        <v>0.03</v>
      </c>
      <c r="AK2555">
        <v>47</v>
      </c>
      <c r="AL2555">
        <v>22</v>
      </c>
      <c r="AM2555">
        <v>17</v>
      </c>
      <c r="AN2555">
        <v>-0.3</v>
      </c>
      <c r="AO2555">
        <v>1.69</v>
      </c>
      <c r="AP2555">
        <v>6</v>
      </c>
      <c r="AQ2555">
        <v>1</v>
      </c>
      <c r="AR2555">
        <v>6.62</v>
      </c>
      <c r="AS2555">
        <v>53</v>
      </c>
      <c r="AT2555">
        <v>3.19</v>
      </c>
      <c r="AU2555">
        <v>61</v>
      </c>
      <c r="AV2555">
        <v>-0.71</v>
      </c>
      <c r="AW2555">
        <v>67</v>
      </c>
      <c r="AX2555">
        <v>0.06</v>
      </c>
      <c r="AY2555">
        <v>60</v>
      </c>
      <c r="AZ2555">
        <v>5.27</v>
      </c>
      <c r="BA2555">
        <v>48</v>
      </c>
      <c r="BB2555">
        <v>4.8499999999999996</v>
      </c>
      <c r="BC2555">
        <v>52</v>
      </c>
      <c r="BD2555">
        <v>-0.03</v>
      </c>
      <c r="BE2555">
        <v>0.04</v>
      </c>
      <c r="BF2555">
        <v>0.24</v>
      </c>
      <c r="BG2555">
        <v>61</v>
      </c>
      <c r="BH2555">
        <v>-0.12</v>
      </c>
      <c r="BI2555">
        <v>15.53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13</v>
      </c>
      <c r="CK2555">
        <v>78</v>
      </c>
      <c r="CL2555">
        <v>0.42</v>
      </c>
      <c r="CM2555">
        <v>75</v>
      </c>
      <c r="CN2555">
        <v>-0.36</v>
      </c>
      <c r="CO2555">
        <v>73</v>
      </c>
      <c r="CP2555">
        <v>-3</v>
      </c>
      <c r="CQ2555">
        <v>75</v>
      </c>
      <c r="CR2555">
        <v>0</v>
      </c>
      <c r="CS2555">
        <v>0</v>
      </c>
      <c r="CT2555">
        <v>-1.7</v>
      </c>
      <c r="CU2555">
        <v>65</v>
      </c>
      <c r="CV2555">
        <v>-0.14000000000000001</v>
      </c>
      <c r="CW2555">
        <v>41</v>
      </c>
      <c r="CX2555" t="s">
        <v>3523</v>
      </c>
    </row>
    <row r="2556" spans="1:102" x14ac:dyDescent="0.3">
      <c r="A2556" t="str">
        <f>HYPERLINK("https://webapp.icbf.com/v2/app/bull-search/view/586058708","S940")</f>
        <v>S940</v>
      </c>
      <c r="B2556" t="s">
        <v>12656</v>
      </c>
      <c r="C2556" t="s">
        <v>12657</v>
      </c>
      <c r="D2556" s="1">
        <v>38497</v>
      </c>
      <c r="E2556" t="s">
        <v>92</v>
      </c>
      <c r="F2556">
        <v>100</v>
      </c>
      <c r="G2556" t="s">
        <v>93</v>
      </c>
      <c r="H2556">
        <v>31.36</v>
      </c>
      <c r="I2556">
        <v>92</v>
      </c>
      <c r="J2556">
        <v>45.98</v>
      </c>
      <c r="K2556">
        <v>99</v>
      </c>
      <c r="L2556">
        <v>-49.16</v>
      </c>
      <c r="M2556">
        <v>90</v>
      </c>
      <c r="N2556">
        <v>29.25</v>
      </c>
      <c r="O2556">
        <v>88</v>
      </c>
      <c r="P2556">
        <v>-5.63</v>
      </c>
      <c r="Q2556">
        <v>94</v>
      </c>
      <c r="R2556">
        <v>-2.71</v>
      </c>
      <c r="S2556">
        <v>79</v>
      </c>
      <c r="T2556">
        <v>7.02</v>
      </c>
      <c r="U2556">
        <v>87</v>
      </c>
      <c r="V2556">
        <v>6.61</v>
      </c>
      <c r="W2556">
        <v>72</v>
      </c>
      <c r="X2556" t="s">
        <v>251</v>
      </c>
      <c r="Y2556" t="s">
        <v>303</v>
      </c>
      <c r="Z2556" t="s">
        <v>96</v>
      </c>
      <c r="AA2556" t="s">
        <v>350</v>
      </c>
      <c r="AB2556" t="s">
        <v>12256</v>
      </c>
      <c r="AC2556">
        <v>380</v>
      </c>
      <c r="AD2556">
        <v>99</v>
      </c>
      <c r="AE2556">
        <v>99</v>
      </c>
      <c r="AF2556">
        <v>443.97</v>
      </c>
      <c r="AG2556">
        <v>12.96</v>
      </c>
      <c r="AH2556">
        <v>10.029999999999999</v>
      </c>
      <c r="AI2556">
        <v>-7.0000000000000007E-2</v>
      </c>
      <c r="AJ2556">
        <v>-0.08</v>
      </c>
      <c r="AK2556">
        <v>90</v>
      </c>
      <c r="AL2556">
        <v>364</v>
      </c>
      <c r="AM2556">
        <v>103</v>
      </c>
      <c r="AN2556">
        <v>2.74</v>
      </c>
      <c r="AO2556">
        <v>-1.18</v>
      </c>
      <c r="AP2556">
        <v>381</v>
      </c>
      <c r="AQ2556">
        <v>1</v>
      </c>
      <c r="AR2556">
        <v>5.38</v>
      </c>
      <c r="AS2556">
        <v>93</v>
      </c>
      <c r="AT2556">
        <v>2.5099999999999998</v>
      </c>
      <c r="AU2556">
        <v>83</v>
      </c>
      <c r="AV2556">
        <v>-2.23</v>
      </c>
      <c r="AW2556">
        <v>96</v>
      </c>
      <c r="AX2556">
        <v>0.09</v>
      </c>
      <c r="AY2556">
        <v>91</v>
      </c>
      <c r="AZ2556">
        <v>6.7</v>
      </c>
      <c r="BA2556">
        <v>79</v>
      </c>
      <c r="BB2556">
        <v>4.5999999999999996</v>
      </c>
      <c r="BC2556">
        <v>74</v>
      </c>
      <c r="BD2556">
        <v>0.05</v>
      </c>
      <c r="BE2556">
        <v>0.01</v>
      </c>
      <c r="BF2556">
        <v>-0.04</v>
      </c>
      <c r="BG2556">
        <v>94</v>
      </c>
      <c r="BH2556">
        <v>0.24</v>
      </c>
      <c r="BI2556">
        <v>6.43</v>
      </c>
      <c r="BJ2556">
        <v>141</v>
      </c>
      <c r="BK2556">
        <v>52</v>
      </c>
      <c r="BL2556">
        <v>1.1100000000000001</v>
      </c>
      <c r="BM2556">
        <v>0.08</v>
      </c>
      <c r="BN2556">
        <v>1.21</v>
      </c>
      <c r="BO2556">
        <v>1.1200000000000001</v>
      </c>
      <c r="BP2556">
        <v>0.6</v>
      </c>
      <c r="BQ2556">
        <v>1.31</v>
      </c>
      <c r="BR2556">
        <v>2.2200000000000002</v>
      </c>
      <c r="BS2556">
        <v>0.21</v>
      </c>
      <c r="BT2556">
        <v>-0.92</v>
      </c>
      <c r="BU2556">
        <v>2.16</v>
      </c>
      <c r="BV2556">
        <v>2.04</v>
      </c>
      <c r="BW2556">
        <v>1.51</v>
      </c>
      <c r="BX2556">
        <v>1.88</v>
      </c>
      <c r="BY2556">
        <v>1.37</v>
      </c>
      <c r="BZ2556">
        <v>-0.46</v>
      </c>
      <c r="CA2556">
        <v>1.2</v>
      </c>
      <c r="CB2556">
        <v>1.7</v>
      </c>
      <c r="CC2556">
        <v>-0.16</v>
      </c>
      <c r="CD2556">
        <v>-0.01</v>
      </c>
      <c r="CE2556">
        <v>0.84</v>
      </c>
      <c r="CF2556">
        <v>1.52</v>
      </c>
      <c r="CG2556">
        <v>0</v>
      </c>
      <c r="CH2556">
        <v>0.63</v>
      </c>
      <c r="CI2556">
        <v>0</v>
      </c>
      <c r="CJ2556">
        <v>-0.2</v>
      </c>
      <c r="CK2556">
        <v>94</v>
      </c>
      <c r="CL2556">
        <v>-1.18</v>
      </c>
      <c r="CM2556">
        <v>93</v>
      </c>
      <c r="CN2556">
        <v>-0.57999999999999996</v>
      </c>
      <c r="CO2556">
        <v>92</v>
      </c>
      <c r="CP2556">
        <v>0.2</v>
      </c>
      <c r="CQ2556">
        <v>94</v>
      </c>
      <c r="CR2556">
        <v>0</v>
      </c>
      <c r="CS2556">
        <v>0</v>
      </c>
      <c r="CT2556">
        <v>4.3</v>
      </c>
      <c r="CU2556">
        <v>87</v>
      </c>
      <c r="CV2556">
        <v>0.27</v>
      </c>
      <c r="CW2556">
        <v>27</v>
      </c>
      <c r="CX2556" t="s">
        <v>596</v>
      </c>
    </row>
    <row r="2557" spans="1:102" x14ac:dyDescent="0.3">
      <c r="A2557" t="str">
        <f>HYPERLINK("https://webapp.icbf.com/v2/app/bull-search/view/678699224","S1475")</f>
        <v>S1475</v>
      </c>
      <c r="B2557" t="s">
        <v>13306</v>
      </c>
      <c r="C2557" t="s">
        <v>13307</v>
      </c>
      <c r="D2557" s="1">
        <v>39044</v>
      </c>
      <c r="E2557" t="s">
        <v>140</v>
      </c>
      <c r="F2557">
        <v>0</v>
      </c>
      <c r="G2557" t="s">
        <v>93</v>
      </c>
      <c r="H2557">
        <v>31.34</v>
      </c>
      <c r="I2557">
        <v>82</v>
      </c>
      <c r="J2557">
        <v>33.31</v>
      </c>
      <c r="K2557">
        <v>95</v>
      </c>
      <c r="L2557">
        <v>-3.38</v>
      </c>
      <c r="M2557">
        <v>72</v>
      </c>
      <c r="N2557">
        <v>-24.52</v>
      </c>
      <c r="O2557">
        <v>82</v>
      </c>
      <c r="P2557">
        <v>15.04</v>
      </c>
      <c r="Q2557">
        <v>93</v>
      </c>
      <c r="R2557">
        <v>-0.14000000000000001</v>
      </c>
      <c r="S2557">
        <v>73</v>
      </c>
      <c r="T2557">
        <v>18.190000000000001</v>
      </c>
      <c r="U2557">
        <v>74</v>
      </c>
      <c r="V2557">
        <v>-7.16</v>
      </c>
      <c r="W2557">
        <v>70</v>
      </c>
      <c r="X2557" t="s">
        <v>102</v>
      </c>
      <c r="Y2557" t="s">
        <v>362</v>
      </c>
      <c r="Z2557">
        <v>0</v>
      </c>
      <c r="AA2557" t="s">
        <v>12754</v>
      </c>
      <c r="AB2557" t="s">
        <v>13308</v>
      </c>
      <c r="AC2557">
        <v>71</v>
      </c>
      <c r="AD2557">
        <v>28</v>
      </c>
      <c r="AE2557">
        <v>95</v>
      </c>
      <c r="AF2557">
        <v>160.03</v>
      </c>
      <c r="AG2557">
        <v>1.88</v>
      </c>
      <c r="AH2557">
        <v>7.45</v>
      </c>
      <c r="AI2557">
        <v>-7.0000000000000007E-2</v>
      </c>
      <c r="AJ2557">
        <v>0.03</v>
      </c>
      <c r="AK2557">
        <v>72</v>
      </c>
      <c r="AL2557">
        <v>98</v>
      </c>
      <c r="AM2557">
        <v>41</v>
      </c>
      <c r="AN2557">
        <v>0.93</v>
      </c>
      <c r="AO2557">
        <v>0.67</v>
      </c>
      <c r="AP2557">
        <v>201</v>
      </c>
      <c r="AQ2557">
        <v>0</v>
      </c>
      <c r="AR2557">
        <v>10.27</v>
      </c>
      <c r="AS2557">
        <v>67</v>
      </c>
      <c r="AT2557">
        <v>4.9000000000000004</v>
      </c>
      <c r="AU2557">
        <v>85</v>
      </c>
      <c r="AV2557">
        <v>0.24</v>
      </c>
      <c r="AW2557">
        <v>94</v>
      </c>
      <c r="AX2557">
        <v>-0.49</v>
      </c>
      <c r="AY2557">
        <v>78</v>
      </c>
      <c r="AZ2557">
        <v>6.35</v>
      </c>
      <c r="BA2557">
        <v>58</v>
      </c>
      <c r="BB2557">
        <v>4.38</v>
      </c>
      <c r="BC2557">
        <v>54</v>
      </c>
      <c r="BD2557">
        <v>0.02</v>
      </c>
      <c r="BE2557">
        <v>0</v>
      </c>
      <c r="BF2557">
        <v>-0.03</v>
      </c>
      <c r="BG2557">
        <v>83</v>
      </c>
      <c r="BH2557">
        <v>-0.38</v>
      </c>
      <c r="BI2557">
        <v>-20.87</v>
      </c>
      <c r="BJ2557">
        <v>0</v>
      </c>
      <c r="BK2557">
        <v>0</v>
      </c>
      <c r="BL2557">
        <v>-0.64</v>
      </c>
      <c r="BM2557">
        <v>3.75</v>
      </c>
      <c r="BN2557">
        <v>-1.47</v>
      </c>
      <c r="BO2557">
        <v>-2.99</v>
      </c>
      <c r="BP2557">
        <v>4.2300000000000004</v>
      </c>
      <c r="BQ2557">
        <v>-1.57</v>
      </c>
      <c r="BR2557">
        <v>-2.5</v>
      </c>
      <c r="BS2557">
        <v>-0.41</v>
      </c>
      <c r="BT2557">
        <v>2.44</v>
      </c>
      <c r="BU2557">
        <v>-3.14</v>
      </c>
      <c r="BV2557">
        <v>-3.56</v>
      </c>
      <c r="BW2557">
        <v>-2.73</v>
      </c>
      <c r="BX2557">
        <v>-2.4500000000000002</v>
      </c>
      <c r="BY2557">
        <v>-1.82</v>
      </c>
      <c r="BZ2557">
        <v>1.1100000000000001</v>
      </c>
      <c r="CA2557">
        <v>-2.2599999999999998</v>
      </c>
      <c r="CB2557">
        <v>-2.92</v>
      </c>
      <c r="CC2557">
        <v>-0.34</v>
      </c>
      <c r="CD2557">
        <v>3.95</v>
      </c>
      <c r="CE2557">
        <v>-2.86</v>
      </c>
      <c r="CF2557">
        <v>-0.89</v>
      </c>
      <c r="CG2557">
        <v>0</v>
      </c>
      <c r="CH2557">
        <v>-2.35</v>
      </c>
      <c r="CI2557">
        <v>0</v>
      </c>
      <c r="CJ2557">
        <v>8.6</v>
      </c>
      <c r="CK2557">
        <v>95</v>
      </c>
      <c r="CL2557">
        <v>0.25</v>
      </c>
      <c r="CM2557">
        <v>93</v>
      </c>
      <c r="CN2557">
        <v>-7.0000000000000007E-2</v>
      </c>
      <c r="CO2557">
        <v>93</v>
      </c>
      <c r="CP2557">
        <v>-1.5</v>
      </c>
      <c r="CQ2557">
        <v>75</v>
      </c>
      <c r="CR2557">
        <v>0</v>
      </c>
      <c r="CS2557">
        <v>0</v>
      </c>
      <c r="CT2557">
        <v>-10.8</v>
      </c>
      <c r="CU2557">
        <v>74</v>
      </c>
      <c r="CV2557">
        <v>0.18</v>
      </c>
      <c r="CW2557">
        <v>45</v>
      </c>
      <c r="CX2557" t="s">
        <v>298</v>
      </c>
    </row>
    <row r="2558" spans="1:102" x14ac:dyDescent="0.3">
      <c r="A2558" t="str">
        <f>HYPERLINK("https://webapp.icbf.com/v2/app/bull-search/view/395541231","GWY")</f>
        <v>GWY</v>
      </c>
      <c r="B2558" t="s">
        <v>10069</v>
      </c>
      <c r="C2558" t="s">
        <v>309</v>
      </c>
      <c r="D2558" s="1">
        <v>36528</v>
      </c>
      <c r="E2558" t="s">
        <v>92</v>
      </c>
      <c r="F2558">
        <v>100</v>
      </c>
      <c r="G2558" t="s">
        <v>93</v>
      </c>
      <c r="H2558">
        <v>31.27</v>
      </c>
      <c r="I2558">
        <v>98</v>
      </c>
      <c r="J2558">
        <v>44.48</v>
      </c>
      <c r="K2558">
        <v>99</v>
      </c>
      <c r="L2558">
        <v>-34.67</v>
      </c>
      <c r="M2558">
        <v>97</v>
      </c>
      <c r="N2558">
        <v>15.02</v>
      </c>
      <c r="O2558">
        <v>98</v>
      </c>
      <c r="P2558">
        <v>-8.68</v>
      </c>
      <c r="Q2558">
        <v>99</v>
      </c>
      <c r="R2558">
        <v>13.85</v>
      </c>
      <c r="S2558">
        <v>96</v>
      </c>
      <c r="T2558">
        <v>-1.34</v>
      </c>
      <c r="U2558">
        <v>98</v>
      </c>
      <c r="V2558">
        <v>2.61</v>
      </c>
      <c r="W2558">
        <v>95</v>
      </c>
      <c r="X2558" t="s">
        <v>131</v>
      </c>
      <c r="Y2558" t="s">
        <v>95</v>
      </c>
      <c r="Z2558" t="s">
        <v>96</v>
      </c>
      <c r="AA2558" t="s">
        <v>2846</v>
      </c>
      <c r="AB2558" t="s">
        <v>4839</v>
      </c>
      <c r="AC2558">
        <v>679</v>
      </c>
      <c r="AD2558">
        <v>215</v>
      </c>
      <c r="AE2558">
        <v>99</v>
      </c>
      <c r="AF2558">
        <v>262.52</v>
      </c>
      <c r="AG2558">
        <v>10.27</v>
      </c>
      <c r="AH2558">
        <v>7.95</v>
      </c>
      <c r="AI2558">
        <v>0</v>
      </c>
      <c r="AJ2558">
        <v>-0.02</v>
      </c>
      <c r="AK2558">
        <v>97</v>
      </c>
      <c r="AL2558">
        <v>585</v>
      </c>
      <c r="AM2558">
        <v>205</v>
      </c>
      <c r="AN2558">
        <v>3.05</v>
      </c>
      <c r="AO2558">
        <v>0.3</v>
      </c>
      <c r="AP2558">
        <v>514</v>
      </c>
      <c r="AQ2558">
        <v>2</v>
      </c>
      <c r="AR2558">
        <v>6.27</v>
      </c>
      <c r="AS2558">
        <v>98</v>
      </c>
      <c r="AT2558">
        <v>2.8</v>
      </c>
      <c r="AU2558">
        <v>99</v>
      </c>
      <c r="AV2558">
        <v>-1.4</v>
      </c>
      <c r="AW2558">
        <v>99</v>
      </c>
      <c r="AX2558">
        <v>0.18</v>
      </c>
      <c r="AY2558">
        <v>98</v>
      </c>
      <c r="AZ2558">
        <v>6.85</v>
      </c>
      <c r="BA2558">
        <v>96</v>
      </c>
      <c r="BB2558">
        <v>5.2</v>
      </c>
      <c r="BC2558">
        <v>96</v>
      </c>
      <c r="BD2558">
        <v>-0.02</v>
      </c>
      <c r="BE2558">
        <v>-0.05</v>
      </c>
      <c r="BF2558">
        <v>-0.19</v>
      </c>
      <c r="BG2558">
        <v>99</v>
      </c>
      <c r="BH2558">
        <v>-0.06</v>
      </c>
      <c r="BI2558">
        <v>-15.36</v>
      </c>
      <c r="BJ2558">
        <v>443</v>
      </c>
      <c r="BK2558">
        <v>154</v>
      </c>
      <c r="BL2558">
        <v>2</v>
      </c>
      <c r="BM2558">
        <v>-3.12</v>
      </c>
      <c r="BN2558">
        <v>-0.27</v>
      </c>
      <c r="BO2558">
        <v>1.73</v>
      </c>
      <c r="BP2558">
        <v>0.7</v>
      </c>
      <c r="BQ2558">
        <v>-0.39</v>
      </c>
      <c r="BR2558">
        <v>-0.39</v>
      </c>
      <c r="BS2558">
        <v>2.87</v>
      </c>
      <c r="BT2558">
        <v>0.84</v>
      </c>
      <c r="BU2558">
        <v>2.59</v>
      </c>
      <c r="BV2558">
        <v>2.74</v>
      </c>
      <c r="BW2558">
        <v>1.77</v>
      </c>
      <c r="BX2558">
        <v>2.11</v>
      </c>
      <c r="BY2558">
        <v>0.67</v>
      </c>
      <c r="BZ2558">
        <v>1.0900000000000001</v>
      </c>
      <c r="CA2558">
        <v>2.48</v>
      </c>
      <c r="CB2558">
        <v>1.94</v>
      </c>
      <c r="CC2558">
        <v>1.93</v>
      </c>
      <c r="CD2558">
        <v>-1.55</v>
      </c>
      <c r="CE2558">
        <v>1.53</v>
      </c>
      <c r="CF2558">
        <v>0.6</v>
      </c>
      <c r="CG2558">
        <v>0</v>
      </c>
      <c r="CH2558">
        <v>0.4</v>
      </c>
      <c r="CI2558">
        <v>0</v>
      </c>
      <c r="CJ2558">
        <v>-1.4</v>
      </c>
      <c r="CK2558">
        <v>99</v>
      </c>
      <c r="CL2558">
        <v>-1.48</v>
      </c>
      <c r="CM2558">
        <v>99</v>
      </c>
      <c r="CN2558">
        <v>-0.76</v>
      </c>
      <c r="CO2558">
        <v>99</v>
      </c>
      <c r="CP2558">
        <v>-2.5</v>
      </c>
      <c r="CQ2558">
        <v>99</v>
      </c>
      <c r="CR2558">
        <v>0</v>
      </c>
      <c r="CS2558">
        <v>0</v>
      </c>
      <c r="CT2558">
        <v>15.6</v>
      </c>
      <c r="CU2558">
        <v>98</v>
      </c>
      <c r="CV2558">
        <v>0.3</v>
      </c>
      <c r="CW2558">
        <v>46</v>
      </c>
      <c r="CX2558" t="s">
        <v>1325</v>
      </c>
    </row>
    <row r="2559" spans="1:102" x14ac:dyDescent="0.3">
      <c r="A2559" t="str">
        <f>HYPERLINK("https://webapp.icbf.com/v2/app/bull-search/view/1097411518","S1665")</f>
        <v>S1665</v>
      </c>
      <c r="B2559" t="s">
        <v>13197</v>
      </c>
      <c r="C2559" t="s">
        <v>13198</v>
      </c>
      <c r="D2559" s="1">
        <v>40677</v>
      </c>
      <c r="E2559" t="s">
        <v>92</v>
      </c>
      <c r="F2559">
        <v>100</v>
      </c>
      <c r="G2559" t="s">
        <v>109</v>
      </c>
      <c r="H2559">
        <v>31.25</v>
      </c>
      <c r="I2559">
        <v>69</v>
      </c>
      <c r="J2559">
        <v>43.41</v>
      </c>
      <c r="K2559">
        <v>87</v>
      </c>
      <c r="L2559">
        <v>-28.26</v>
      </c>
      <c r="M2559">
        <v>81</v>
      </c>
      <c r="N2559">
        <v>8.39</v>
      </c>
      <c r="O2559">
        <v>52</v>
      </c>
      <c r="P2559">
        <v>-7.88</v>
      </c>
      <c r="Q2559">
        <v>32</v>
      </c>
      <c r="R2559">
        <v>9.5</v>
      </c>
      <c r="S2559">
        <v>60</v>
      </c>
      <c r="T2559">
        <v>0.21</v>
      </c>
      <c r="U2559">
        <v>31</v>
      </c>
      <c r="V2559">
        <v>5.88</v>
      </c>
      <c r="W2559">
        <v>22</v>
      </c>
      <c r="X2559" t="s">
        <v>94</v>
      </c>
      <c r="Y2559" t="s">
        <v>362</v>
      </c>
      <c r="Z2559" t="s">
        <v>96</v>
      </c>
      <c r="AA2559" t="s">
        <v>12654</v>
      </c>
      <c r="AB2559" t="s">
        <v>13199</v>
      </c>
      <c r="AC2559">
        <v>0</v>
      </c>
      <c r="AD2559">
        <v>0</v>
      </c>
      <c r="AE2559">
        <v>87</v>
      </c>
      <c r="AF2559">
        <v>433.87</v>
      </c>
      <c r="AG2559">
        <v>8.01</v>
      </c>
      <c r="AH2559">
        <v>11.19</v>
      </c>
      <c r="AI2559">
        <v>-0.14000000000000001</v>
      </c>
      <c r="AJ2559">
        <v>-0.06</v>
      </c>
      <c r="AK2559">
        <v>81</v>
      </c>
      <c r="AL2559">
        <v>0</v>
      </c>
      <c r="AM2559">
        <v>0</v>
      </c>
      <c r="AN2559">
        <v>2.6</v>
      </c>
      <c r="AO2559">
        <v>0.36</v>
      </c>
      <c r="AP2559">
        <v>5</v>
      </c>
      <c r="AQ2559">
        <v>0</v>
      </c>
      <c r="AR2559">
        <v>8.08</v>
      </c>
      <c r="AS2559">
        <v>38</v>
      </c>
      <c r="AT2559">
        <v>3.82</v>
      </c>
      <c r="AU2559">
        <v>88</v>
      </c>
      <c r="AV2559">
        <v>-1.7</v>
      </c>
      <c r="AW2559">
        <v>48</v>
      </c>
      <c r="AX2559">
        <v>-0.27</v>
      </c>
      <c r="AY2559">
        <v>34</v>
      </c>
      <c r="AZ2559">
        <v>6.07</v>
      </c>
      <c r="BA2559">
        <v>31</v>
      </c>
      <c r="BB2559">
        <v>4.6900000000000004</v>
      </c>
      <c r="BC2559">
        <v>26</v>
      </c>
      <c r="BD2559">
        <v>-0.02</v>
      </c>
      <c r="BE2559">
        <v>-0.05</v>
      </c>
      <c r="BF2559">
        <v>-0.09</v>
      </c>
      <c r="BG2559">
        <v>89</v>
      </c>
      <c r="BH2559">
        <v>0.05</v>
      </c>
      <c r="BI2559">
        <v>-13.19</v>
      </c>
      <c r="BJ2559">
        <v>8</v>
      </c>
      <c r="BK2559">
        <v>2</v>
      </c>
      <c r="BL2559">
        <v>1.79</v>
      </c>
      <c r="BM2559">
        <v>-0.46</v>
      </c>
      <c r="BN2559">
        <v>0.28000000000000003</v>
      </c>
      <c r="BO2559">
        <v>0.99</v>
      </c>
      <c r="BP2559">
        <v>0.43</v>
      </c>
      <c r="BQ2559">
        <v>1.1100000000000001</v>
      </c>
      <c r="BR2559">
        <v>0.96</v>
      </c>
      <c r="BS2559">
        <v>1.74</v>
      </c>
      <c r="BT2559">
        <v>0.41</v>
      </c>
      <c r="BU2559">
        <v>4.5599999999999996</v>
      </c>
      <c r="BV2559">
        <v>2.7</v>
      </c>
      <c r="BW2559">
        <v>1.77</v>
      </c>
      <c r="BX2559">
        <v>3.53</v>
      </c>
      <c r="BY2559">
        <v>0.63</v>
      </c>
      <c r="BZ2559">
        <v>-0.48</v>
      </c>
      <c r="CA2559">
        <v>2.77</v>
      </c>
      <c r="CB2559">
        <v>2.42</v>
      </c>
      <c r="CC2559">
        <v>2.13</v>
      </c>
      <c r="CD2559">
        <v>0.05</v>
      </c>
      <c r="CE2559">
        <v>1.25</v>
      </c>
      <c r="CF2559">
        <v>2.38</v>
      </c>
      <c r="CG2559">
        <v>0</v>
      </c>
      <c r="CH2559">
        <v>1.03</v>
      </c>
      <c r="CI2559">
        <v>0</v>
      </c>
      <c r="CJ2559">
        <v>-1.6</v>
      </c>
      <c r="CK2559">
        <v>32</v>
      </c>
      <c r="CL2559">
        <v>-1.33</v>
      </c>
      <c r="CM2559">
        <v>31</v>
      </c>
      <c r="CN2559">
        <v>-0.64</v>
      </c>
      <c r="CO2559">
        <v>29</v>
      </c>
      <c r="CP2559">
        <v>3.7</v>
      </c>
      <c r="CQ2559">
        <v>36</v>
      </c>
      <c r="CR2559">
        <v>0</v>
      </c>
      <c r="CS2559">
        <v>0</v>
      </c>
      <c r="CT2559">
        <v>13.5</v>
      </c>
      <c r="CU2559">
        <v>31</v>
      </c>
      <c r="CV2559">
        <v>0.35</v>
      </c>
      <c r="CW2559">
        <v>9</v>
      </c>
      <c r="CX2559" t="s">
        <v>350</v>
      </c>
    </row>
    <row r="2560" spans="1:102" x14ac:dyDescent="0.3">
      <c r="A2560" t="str">
        <f>HYPERLINK("https://webapp.icbf.com/v2/app/bull-search/view/77856331","JNS")</f>
        <v>JNS</v>
      </c>
      <c r="B2560" t="s">
        <v>2893</v>
      </c>
      <c r="C2560" t="s">
        <v>2894</v>
      </c>
      <c r="D2560" s="1">
        <v>34672</v>
      </c>
      <c r="E2560" t="s">
        <v>92</v>
      </c>
      <c r="F2560">
        <v>100</v>
      </c>
      <c r="G2560" t="s">
        <v>93</v>
      </c>
      <c r="H2560">
        <v>31.22</v>
      </c>
      <c r="I2560">
        <v>81</v>
      </c>
      <c r="J2560">
        <v>30.06</v>
      </c>
      <c r="K2560">
        <v>95</v>
      </c>
      <c r="L2560">
        <v>-16.84</v>
      </c>
      <c r="M2560">
        <v>78</v>
      </c>
      <c r="N2560">
        <v>10.72</v>
      </c>
      <c r="O2560">
        <v>68</v>
      </c>
      <c r="P2560">
        <v>5.26</v>
      </c>
      <c r="Q2560">
        <v>77</v>
      </c>
      <c r="R2560">
        <v>-5.87</v>
      </c>
      <c r="S2560">
        <v>77</v>
      </c>
      <c r="T2560">
        <v>3.24</v>
      </c>
      <c r="U2560">
        <v>63</v>
      </c>
      <c r="V2560">
        <v>4.6500000000000004</v>
      </c>
      <c r="W2560">
        <v>66</v>
      </c>
      <c r="X2560" t="s">
        <v>94</v>
      </c>
      <c r="Y2560" t="s">
        <v>95</v>
      </c>
      <c r="Z2560" t="s">
        <v>96</v>
      </c>
      <c r="AA2560" t="s">
        <v>207</v>
      </c>
      <c r="AB2560" t="s">
        <v>2895</v>
      </c>
      <c r="AC2560">
        <v>48</v>
      </c>
      <c r="AD2560">
        <v>42</v>
      </c>
      <c r="AE2560">
        <v>95</v>
      </c>
      <c r="AF2560">
        <v>2.76</v>
      </c>
      <c r="AG2560">
        <v>5.92</v>
      </c>
      <c r="AH2560">
        <v>3.06</v>
      </c>
      <c r="AI2560">
        <v>0.1</v>
      </c>
      <c r="AJ2560">
        <v>0.05</v>
      </c>
      <c r="AK2560">
        <v>78</v>
      </c>
      <c r="AL2560">
        <v>53</v>
      </c>
      <c r="AM2560">
        <v>46</v>
      </c>
      <c r="AN2560">
        <v>1.91</v>
      </c>
      <c r="AO2560">
        <v>0.57999999999999996</v>
      </c>
      <c r="AP2560">
        <v>20</v>
      </c>
      <c r="AQ2560">
        <v>4</v>
      </c>
      <c r="AR2560">
        <v>6.87</v>
      </c>
      <c r="AS2560">
        <v>64</v>
      </c>
      <c r="AT2560">
        <v>3.04</v>
      </c>
      <c r="AU2560">
        <v>74</v>
      </c>
      <c r="AV2560">
        <v>-0.95</v>
      </c>
      <c r="AW2560">
        <v>69</v>
      </c>
      <c r="AX2560">
        <v>-0.11</v>
      </c>
      <c r="AY2560">
        <v>74</v>
      </c>
      <c r="AZ2560">
        <v>6.93</v>
      </c>
      <c r="BA2560">
        <v>50</v>
      </c>
      <c r="BB2560">
        <v>4.8</v>
      </c>
      <c r="BC2560">
        <v>58</v>
      </c>
      <c r="BD2560">
        <v>-0.03</v>
      </c>
      <c r="BE2560">
        <v>0.05</v>
      </c>
      <c r="BF2560">
        <v>0.09</v>
      </c>
      <c r="BG2560">
        <v>87</v>
      </c>
      <c r="BH2560">
        <v>0.1</v>
      </c>
      <c r="BI2560">
        <v>-3.43</v>
      </c>
      <c r="BJ2560">
        <v>16</v>
      </c>
      <c r="BK2560">
        <v>16</v>
      </c>
      <c r="BL2560">
        <v>-0.34</v>
      </c>
      <c r="BM2560">
        <v>-1.86</v>
      </c>
      <c r="BN2560">
        <v>-1.48</v>
      </c>
      <c r="BO2560">
        <v>0.09</v>
      </c>
      <c r="BP2560">
        <v>0.4</v>
      </c>
      <c r="BQ2560">
        <v>-1.81</v>
      </c>
      <c r="BR2560">
        <v>-0.15</v>
      </c>
      <c r="BS2560">
        <v>-1.58</v>
      </c>
      <c r="BT2560">
        <v>0</v>
      </c>
      <c r="BU2560">
        <v>-0.18</v>
      </c>
      <c r="BV2560">
        <v>-0.28999999999999998</v>
      </c>
      <c r="BW2560">
        <v>0.52</v>
      </c>
      <c r="BX2560">
        <v>0.28999999999999998</v>
      </c>
      <c r="BY2560">
        <v>0.61</v>
      </c>
      <c r="BZ2560">
        <v>0.48</v>
      </c>
      <c r="CA2560">
        <v>-0.06</v>
      </c>
      <c r="CB2560">
        <v>0.5</v>
      </c>
      <c r="CC2560">
        <v>-1.1399999999999999</v>
      </c>
      <c r="CD2560">
        <v>-0.83</v>
      </c>
      <c r="CE2560">
        <v>0.2</v>
      </c>
      <c r="CF2560">
        <v>-0.94</v>
      </c>
      <c r="CG2560">
        <v>0</v>
      </c>
      <c r="CH2560">
        <v>0.81</v>
      </c>
      <c r="CI2560">
        <v>0</v>
      </c>
      <c r="CJ2560">
        <v>5.0999999999999996</v>
      </c>
      <c r="CK2560">
        <v>79</v>
      </c>
      <c r="CL2560">
        <v>-0.36</v>
      </c>
      <c r="CM2560">
        <v>76</v>
      </c>
      <c r="CN2560">
        <v>-0.16</v>
      </c>
      <c r="CO2560">
        <v>73</v>
      </c>
      <c r="CP2560">
        <v>0.4</v>
      </c>
      <c r="CQ2560">
        <v>78</v>
      </c>
      <c r="CR2560">
        <v>0</v>
      </c>
      <c r="CS2560">
        <v>0</v>
      </c>
      <c r="CT2560">
        <v>9.4</v>
      </c>
      <c r="CU2560">
        <v>63</v>
      </c>
      <c r="CV2560">
        <v>0.11</v>
      </c>
      <c r="CW2560">
        <v>42</v>
      </c>
      <c r="CX2560" t="s">
        <v>485</v>
      </c>
    </row>
    <row r="2561" spans="1:102" x14ac:dyDescent="0.3">
      <c r="A2561" t="str">
        <f>HYPERLINK("https://webapp.icbf.com/v2/app/bull-search/view/1013730341","S2028")</f>
        <v>S2028</v>
      </c>
      <c r="B2561" t="s">
        <v>7167</v>
      </c>
      <c r="C2561" t="s">
        <v>7168</v>
      </c>
      <c r="D2561" s="1">
        <v>39324</v>
      </c>
      <c r="E2561" t="s">
        <v>92</v>
      </c>
      <c r="F2561">
        <v>100</v>
      </c>
      <c r="G2561" t="s">
        <v>93</v>
      </c>
      <c r="H2561">
        <v>31.08</v>
      </c>
      <c r="I2561">
        <v>84</v>
      </c>
      <c r="J2561">
        <v>9.7100000000000009</v>
      </c>
      <c r="K2561">
        <v>94</v>
      </c>
      <c r="L2561">
        <v>19.34</v>
      </c>
      <c r="M2561">
        <v>82</v>
      </c>
      <c r="N2561">
        <v>-3.91</v>
      </c>
      <c r="O2561">
        <v>81</v>
      </c>
      <c r="P2561">
        <v>-13.8</v>
      </c>
      <c r="Q2561">
        <v>88</v>
      </c>
      <c r="R2561">
        <v>11.87</v>
      </c>
      <c r="S2561">
        <v>76</v>
      </c>
      <c r="T2561">
        <v>14.42</v>
      </c>
      <c r="U2561">
        <v>65</v>
      </c>
      <c r="V2561">
        <v>-6.55</v>
      </c>
      <c r="W2561">
        <v>64</v>
      </c>
      <c r="X2561" t="s">
        <v>102</v>
      </c>
      <c r="Y2561" t="s">
        <v>367</v>
      </c>
      <c r="Z2561" t="s">
        <v>96</v>
      </c>
      <c r="AA2561" t="s">
        <v>2009</v>
      </c>
      <c r="AB2561" t="s">
        <v>7169</v>
      </c>
      <c r="AC2561">
        <v>69</v>
      </c>
      <c r="AD2561">
        <v>36</v>
      </c>
      <c r="AE2561">
        <v>94</v>
      </c>
      <c r="AF2561">
        <v>64.23</v>
      </c>
      <c r="AG2561">
        <v>-2.25</v>
      </c>
      <c r="AH2561">
        <v>3.43</v>
      </c>
      <c r="AI2561">
        <v>-0.08</v>
      </c>
      <c r="AJ2561">
        <v>0.02</v>
      </c>
      <c r="AK2561">
        <v>82</v>
      </c>
      <c r="AL2561">
        <v>58</v>
      </c>
      <c r="AM2561">
        <v>34</v>
      </c>
      <c r="AN2561">
        <v>-1.26</v>
      </c>
      <c r="AO2561">
        <v>0.28000000000000003</v>
      </c>
      <c r="AP2561">
        <v>198</v>
      </c>
      <c r="AQ2561">
        <v>2</v>
      </c>
      <c r="AR2561">
        <v>10.37</v>
      </c>
      <c r="AS2561">
        <v>74</v>
      </c>
      <c r="AT2561">
        <v>3.95</v>
      </c>
      <c r="AU2561">
        <v>86</v>
      </c>
      <c r="AV2561">
        <v>-0.79</v>
      </c>
      <c r="AW2561">
        <v>93</v>
      </c>
      <c r="AX2561">
        <v>-0.84</v>
      </c>
      <c r="AY2561">
        <v>79</v>
      </c>
      <c r="AZ2561">
        <v>5.13</v>
      </c>
      <c r="BA2561">
        <v>59</v>
      </c>
      <c r="BB2561">
        <v>4.54</v>
      </c>
      <c r="BC2561">
        <v>49</v>
      </c>
      <c r="BD2561">
        <v>-0.06</v>
      </c>
      <c r="BE2561">
        <v>-7.0000000000000007E-2</v>
      </c>
      <c r="BF2561">
        <v>-0.04</v>
      </c>
      <c r="BG2561">
        <v>90</v>
      </c>
      <c r="BH2561">
        <v>-0.26</v>
      </c>
      <c r="BI2561">
        <v>-8.9499999999999993</v>
      </c>
      <c r="BJ2561">
        <v>21</v>
      </c>
      <c r="BK2561">
        <v>8</v>
      </c>
      <c r="BL2561">
        <v>0.33</v>
      </c>
      <c r="BM2561">
        <v>-0.61</v>
      </c>
      <c r="BN2561">
        <v>-0.24</v>
      </c>
      <c r="BO2561">
        <v>0.52</v>
      </c>
      <c r="BP2561">
        <v>0.79</v>
      </c>
      <c r="BQ2561">
        <v>2.0699999999999998</v>
      </c>
      <c r="BR2561">
        <v>-2.37</v>
      </c>
      <c r="BS2561">
        <v>2.96</v>
      </c>
      <c r="BT2561">
        <v>1.72</v>
      </c>
      <c r="BU2561">
        <v>1.07</v>
      </c>
      <c r="BV2561">
        <v>0.79</v>
      </c>
      <c r="BW2561">
        <v>-0.28000000000000003</v>
      </c>
      <c r="BX2561">
        <v>1.37</v>
      </c>
      <c r="BY2561">
        <v>1.86</v>
      </c>
      <c r="BZ2561">
        <v>-2.2400000000000002</v>
      </c>
      <c r="CA2561">
        <v>1.63</v>
      </c>
      <c r="CB2561">
        <v>1.0900000000000001</v>
      </c>
      <c r="CC2561">
        <v>2.41</v>
      </c>
      <c r="CD2561">
        <v>-0.04</v>
      </c>
      <c r="CE2561">
        <v>0.87</v>
      </c>
      <c r="CF2561">
        <v>1.07</v>
      </c>
      <c r="CG2561">
        <v>0</v>
      </c>
      <c r="CH2561">
        <v>1.64</v>
      </c>
      <c r="CI2561">
        <v>0</v>
      </c>
      <c r="CJ2561">
        <v>-5.7</v>
      </c>
      <c r="CK2561">
        <v>91</v>
      </c>
      <c r="CL2561">
        <v>-0.93</v>
      </c>
      <c r="CM2561">
        <v>89</v>
      </c>
      <c r="CN2561">
        <v>-0.4</v>
      </c>
      <c r="CO2561">
        <v>87</v>
      </c>
      <c r="CP2561">
        <v>-6.8</v>
      </c>
      <c r="CQ2561">
        <v>71</v>
      </c>
      <c r="CR2561">
        <v>0</v>
      </c>
      <c r="CS2561">
        <v>0</v>
      </c>
      <c r="CT2561">
        <v>-5.7</v>
      </c>
      <c r="CU2561">
        <v>65</v>
      </c>
      <c r="CV2561">
        <v>0.13</v>
      </c>
      <c r="CW2561">
        <v>44</v>
      </c>
      <c r="CX2561" t="s">
        <v>643</v>
      </c>
    </row>
    <row r="2562" spans="1:102" x14ac:dyDescent="0.3">
      <c r="A2562" t="str">
        <f>HYPERLINK("https://webapp.icbf.com/v2/app/bull-search/view/487001251","LVE")</f>
        <v>LVE</v>
      </c>
      <c r="B2562" t="s">
        <v>2999</v>
      </c>
      <c r="C2562" t="s">
        <v>3000</v>
      </c>
      <c r="D2562" s="1">
        <v>37162</v>
      </c>
      <c r="E2562" t="s">
        <v>92</v>
      </c>
      <c r="F2562">
        <v>100</v>
      </c>
      <c r="G2562" t="s">
        <v>93</v>
      </c>
      <c r="H2562">
        <v>30.85</v>
      </c>
      <c r="I2562">
        <v>91</v>
      </c>
      <c r="J2562">
        <v>23.86</v>
      </c>
      <c r="K2562">
        <v>98</v>
      </c>
      <c r="L2562">
        <v>-32.090000000000003</v>
      </c>
      <c r="M2562">
        <v>90</v>
      </c>
      <c r="N2562">
        <v>23.5</v>
      </c>
      <c r="O2562">
        <v>86</v>
      </c>
      <c r="P2562">
        <v>-4.18</v>
      </c>
      <c r="Q2562">
        <v>92</v>
      </c>
      <c r="R2562">
        <v>11.82</v>
      </c>
      <c r="S2562">
        <v>83</v>
      </c>
      <c r="T2562">
        <v>4.6500000000000004</v>
      </c>
      <c r="U2562">
        <v>87</v>
      </c>
      <c r="V2562">
        <v>3.29</v>
      </c>
      <c r="W2562">
        <v>78</v>
      </c>
      <c r="X2562" t="s">
        <v>288</v>
      </c>
      <c r="Y2562" t="s">
        <v>221</v>
      </c>
      <c r="Z2562" t="s">
        <v>96</v>
      </c>
      <c r="AA2562" t="s">
        <v>3001</v>
      </c>
      <c r="AB2562" t="s">
        <v>3002</v>
      </c>
      <c r="AC2562">
        <v>129</v>
      </c>
      <c r="AD2562">
        <v>50</v>
      </c>
      <c r="AE2562">
        <v>98</v>
      </c>
      <c r="AF2562">
        <v>82.72</v>
      </c>
      <c r="AG2562">
        <v>6.88</v>
      </c>
      <c r="AH2562">
        <v>2.89</v>
      </c>
      <c r="AI2562">
        <v>0.06</v>
      </c>
      <c r="AJ2562">
        <v>0</v>
      </c>
      <c r="AK2562">
        <v>90</v>
      </c>
      <c r="AL2562">
        <v>129</v>
      </c>
      <c r="AM2562">
        <v>49</v>
      </c>
      <c r="AN2562">
        <v>0.93</v>
      </c>
      <c r="AO2562">
        <v>-1.64</v>
      </c>
      <c r="AP2562">
        <v>252</v>
      </c>
      <c r="AQ2562">
        <v>0</v>
      </c>
      <c r="AR2562">
        <v>8.2200000000000006</v>
      </c>
      <c r="AS2562">
        <v>86</v>
      </c>
      <c r="AT2562">
        <v>3.28</v>
      </c>
      <c r="AU2562">
        <v>90</v>
      </c>
      <c r="AV2562">
        <v>-2.88</v>
      </c>
      <c r="AW2562">
        <v>91</v>
      </c>
      <c r="AX2562">
        <v>-0.67</v>
      </c>
      <c r="AY2562">
        <v>85</v>
      </c>
      <c r="AZ2562">
        <v>5.35</v>
      </c>
      <c r="BA2562">
        <v>73</v>
      </c>
      <c r="BB2562">
        <v>4.91</v>
      </c>
      <c r="BC2562">
        <v>71</v>
      </c>
      <c r="BD2562">
        <v>-0.04</v>
      </c>
      <c r="BE2562">
        <v>-0.05</v>
      </c>
      <c r="BF2562">
        <v>-0.11</v>
      </c>
      <c r="BG2562">
        <v>92</v>
      </c>
      <c r="BH2562">
        <v>-0.01</v>
      </c>
      <c r="BI2562">
        <v>-11.78</v>
      </c>
      <c r="BJ2562">
        <v>48</v>
      </c>
      <c r="BK2562">
        <v>19</v>
      </c>
      <c r="BL2562">
        <v>1.47</v>
      </c>
      <c r="BM2562">
        <v>-1.71</v>
      </c>
      <c r="BN2562">
        <v>0.1</v>
      </c>
      <c r="BO2562">
        <v>1.28</v>
      </c>
      <c r="BP2562">
        <v>1.88</v>
      </c>
      <c r="BQ2562">
        <v>1.68</v>
      </c>
      <c r="BR2562">
        <v>1.75</v>
      </c>
      <c r="BS2562">
        <v>-1.26</v>
      </c>
      <c r="BT2562">
        <v>-1.83</v>
      </c>
      <c r="BU2562">
        <v>2.52</v>
      </c>
      <c r="BV2562">
        <v>1.18</v>
      </c>
      <c r="BW2562">
        <v>1.5</v>
      </c>
      <c r="BX2562">
        <v>2.99</v>
      </c>
      <c r="BY2562">
        <v>2.5299999999999998</v>
      </c>
      <c r="BZ2562">
        <v>0.67</v>
      </c>
      <c r="CA2562">
        <v>1.08</v>
      </c>
      <c r="CB2562">
        <v>1.66</v>
      </c>
      <c r="CC2562">
        <v>-0.5</v>
      </c>
      <c r="CD2562">
        <v>-1.64</v>
      </c>
      <c r="CE2562">
        <v>0.72</v>
      </c>
      <c r="CF2562">
        <v>0.47</v>
      </c>
      <c r="CG2562">
        <v>0</v>
      </c>
      <c r="CH2562">
        <v>2.5099999999999998</v>
      </c>
      <c r="CI2562">
        <v>0</v>
      </c>
      <c r="CJ2562">
        <v>0.7</v>
      </c>
      <c r="CK2562">
        <v>93</v>
      </c>
      <c r="CL2562">
        <v>-1.1200000000000001</v>
      </c>
      <c r="CM2562">
        <v>91</v>
      </c>
      <c r="CN2562">
        <v>-0.56000000000000005</v>
      </c>
      <c r="CO2562">
        <v>90</v>
      </c>
      <c r="CP2562">
        <v>-1</v>
      </c>
      <c r="CQ2562">
        <v>91</v>
      </c>
      <c r="CR2562">
        <v>0</v>
      </c>
      <c r="CS2562">
        <v>0</v>
      </c>
      <c r="CT2562">
        <v>7.5</v>
      </c>
      <c r="CU2562">
        <v>87</v>
      </c>
      <c r="CV2562">
        <v>0.24</v>
      </c>
      <c r="CW2562">
        <v>44</v>
      </c>
      <c r="CX2562" t="s">
        <v>596</v>
      </c>
    </row>
    <row r="2563" spans="1:102" x14ac:dyDescent="0.3">
      <c r="A2563" t="str">
        <f>HYPERLINK("https://webapp.icbf.com/v2/app/bull-search/view/77855512","MAT")</f>
        <v>MAT</v>
      </c>
      <c r="B2563" t="s">
        <v>3930</v>
      </c>
      <c r="C2563" t="s">
        <v>3931</v>
      </c>
      <c r="D2563" s="1">
        <v>32052</v>
      </c>
      <c r="E2563" t="s">
        <v>108</v>
      </c>
      <c r="F2563">
        <v>13</v>
      </c>
      <c r="G2563" t="s">
        <v>93</v>
      </c>
      <c r="H2563">
        <v>30.83</v>
      </c>
      <c r="I2563">
        <v>72</v>
      </c>
      <c r="J2563">
        <v>-57.28</v>
      </c>
      <c r="K2563">
        <v>87</v>
      </c>
      <c r="L2563">
        <v>79.03</v>
      </c>
      <c r="M2563">
        <v>67</v>
      </c>
      <c r="N2563">
        <v>-7.66</v>
      </c>
      <c r="O2563">
        <v>58</v>
      </c>
      <c r="P2563">
        <v>-9.1</v>
      </c>
      <c r="Q2563">
        <v>68</v>
      </c>
      <c r="R2563">
        <v>-3.59</v>
      </c>
      <c r="S2563">
        <v>67</v>
      </c>
      <c r="T2563">
        <v>30.48</v>
      </c>
      <c r="U2563">
        <v>61</v>
      </c>
      <c r="V2563">
        <v>-1.05</v>
      </c>
      <c r="W2563">
        <v>55</v>
      </c>
      <c r="X2563" t="s">
        <v>94</v>
      </c>
      <c r="Y2563" t="s">
        <v>95</v>
      </c>
      <c r="Z2563" t="s">
        <v>96</v>
      </c>
      <c r="AA2563" t="s">
        <v>3248</v>
      </c>
      <c r="AB2563" t="s">
        <v>3600</v>
      </c>
      <c r="AC2563">
        <v>18</v>
      </c>
      <c r="AD2563">
        <v>13</v>
      </c>
      <c r="AE2563">
        <v>87</v>
      </c>
      <c r="AF2563">
        <v>-150.25</v>
      </c>
      <c r="AG2563">
        <v>-7.24</v>
      </c>
      <c r="AH2563">
        <v>-9.48</v>
      </c>
      <c r="AI2563">
        <v>-0.03</v>
      </c>
      <c r="AJ2563">
        <v>-0.08</v>
      </c>
      <c r="AK2563">
        <v>67</v>
      </c>
      <c r="AL2563">
        <v>35</v>
      </c>
      <c r="AM2563">
        <v>27</v>
      </c>
      <c r="AN2563">
        <v>-6.09</v>
      </c>
      <c r="AO2563">
        <v>0.19</v>
      </c>
      <c r="AP2563">
        <v>9</v>
      </c>
      <c r="AQ2563">
        <v>1</v>
      </c>
      <c r="AR2563">
        <v>8.25</v>
      </c>
      <c r="AS2563">
        <v>49</v>
      </c>
      <c r="AT2563">
        <v>3.35</v>
      </c>
      <c r="AU2563">
        <v>58</v>
      </c>
      <c r="AV2563">
        <v>0.43</v>
      </c>
      <c r="AW2563">
        <v>63</v>
      </c>
      <c r="AX2563">
        <v>-0.78</v>
      </c>
      <c r="AY2563">
        <v>64</v>
      </c>
      <c r="AZ2563">
        <v>7.12</v>
      </c>
      <c r="BA2563">
        <v>39</v>
      </c>
      <c r="BB2563">
        <v>5.28</v>
      </c>
      <c r="BC2563">
        <v>45</v>
      </c>
      <c r="BD2563">
        <v>0.1</v>
      </c>
      <c r="BE2563">
        <v>0.04</v>
      </c>
      <c r="BF2563">
        <v>-0.16</v>
      </c>
      <c r="BG2563">
        <v>80</v>
      </c>
      <c r="BH2563">
        <v>0.01</v>
      </c>
      <c r="BI2563">
        <v>4.53</v>
      </c>
      <c r="BJ2563">
        <v>4</v>
      </c>
      <c r="BK2563">
        <v>4</v>
      </c>
      <c r="BL2563">
        <v>-3.08</v>
      </c>
      <c r="BM2563">
        <v>1.26</v>
      </c>
      <c r="BN2563">
        <v>-3.29</v>
      </c>
      <c r="BO2563">
        <v>-3.3</v>
      </c>
      <c r="BP2563">
        <v>0.55000000000000004</v>
      </c>
      <c r="BQ2563">
        <v>0.03</v>
      </c>
      <c r="BR2563">
        <v>-0.25</v>
      </c>
      <c r="BS2563">
        <v>-0.01</v>
      </c>
      <c r="BT2563">
        <v>-0.42</v>
      </c>
      <c r="BU2563">
        <v>-3.47</v>
      </c>
      <c r="BV2563">
        <v>-2.57</v>
      </c>
      <c r="BW2563">
        <v>-1.94</v>
      </c>
      <c r="BX2563">
        <v>-2.31</v>
      </c>
      <c r="BY2563">
        <v>-1.93</v>
      </c>
      <c r="BZ2563">
        <v>-0.36</v>
      </c>
      <c r="CA2563">
        <v>-3.07</v>
      </c>
      <c r="CB2563">
        <v>-3.33</v>
      </c>
      <c r="CC2563">
        <v>-2.04</v>
      </c>
      <c r="CD2563">
        <v>3.38</v>
      </c>
      <c r="CE2563">
        <v>-3.02</v>
      </c>
      <c r="CF2563">
        <v>-2.89</v>
      </c>
      <c r="CG2563">
        <v>0</v>
      </c>
      <c r="CH2563">
        <v>-3.01</v>
      </c>
      <c r="CI2563">
        <v>0</v>
      </c>
      <c r="CJ2563">
        <v>-4.4000000000000004</v>
      </c>
      <c r="CK2563">
        <v>69</v>
      </c>
      <c r="CL2563">
        <v>-0.12</v>
      </c>
      <c r="CM2563">
        <v>66</v>
      </c>
      <c r="CN2563">
        <v>0.03</v>
      </c>
      <c r="CO2563">
        <v>63</v>
      </c>
      <c r="CP2563">
        <v>-9.6</v>
      </c>
      <c r="CQ2563">
        <v>70</v>
      </c>
      <c r="CR2563">
        <v>0</v>
      </c>
      <c r="CS2563">
        <v>0</v>
      </c>
      <c r="CT2563">
        <v>-27.4</v>
      </c>
      <c r="CU2563">
        <v>61</v>
      </c>
      <c r="CV2563">
        <v>-0.01</v>
      </c>
      <c r="CW2563">
        <v>39</v>
      </c>
      <c r="CX2563" t="s">
        <v>3601</v>
      </c>
    </row>
    <row r="2564" spans="1:102" x14ac:dyDescent="0.3">
      <c r="A2564" t="str">
        <f>HYPERLINK("https://webapp.icbf.com/v2/app/bull-search/view/77858860","CHK")</f>
        <v>CHK</v>
      </c>
      <c r="B2564" t="s">
        <v>11191</v>
      </c>
      <c r="C2564" t="s">
        <v>11192</v>
      </c>
      <c r="D2564" s="1">
        <v>32467</v>
      </c>
      <c r="E2564" t="s">
        <v>92</v>
      </c>
      <c r="F2564">
        <v>56</v>
      </c>
      <c r="G2564" t="s">
        <v>93</v>
      </c>
      <c r="H2564">
        <v>30.78</v>
      </c>
      <c r="I2564">
        <v>64</v>
      </c>
      <c r="J2564">
        <v>-58.29</v>
      </c>
      <c r="K2564">
        <v>81</v>
      </c>
      <c r="L2564">
        <v>82.13</v>
      </c>
      <c r="M2564">
        <v>61</v>
      </c>
      <c r="N2564">
        <v>-20.79</v>
      </c>
      <c r="O2564">
        <v>38</v>
      </c>
      <c r="P2564">
        <v>-5.87</v>
      </c>
      <c r="Q2564">
        <v>57</v>
      </c>
      <c r="R2564">
        <v>7.44</v>
      </c>
      <c r="S2564">
        <v>63</v>
      </c>
      <c r="T2564">
        <v>23.3</v>
      </c>
      <c r="U2564">
        <v>62</v>
      </c>
      <c r="V2564">
        <v>2.86</v>
      </c>
      <c r="W2564">
        <v>22</v>
      </c>
      <c r="X2564" t="s">
        <v>94</v>
      </c>
      <c r="Y2564" t="s">
        <v>95</v>
      </c>
      <c r="Z2564" t="s">
        <v>96</v>
      </c>
      <c r="AA2564" t="s">
        <v>982</v>
      </c>
      <c r="AB2564" t="s">
        <v>11193</v>
      </c>
      <c r="AC2564">
        <v>28</v>
      </c>
      <c r="AD2564">
        <v>13</v>
      </c>
      <c r="AE2564">
        <v>81</v>
      </c>
      <c r="AF2564">
        <v>-221.7</v>
      </c>
      <c r="AG2564">
        <v>-10.28</v>
      </c>
      <c r="AH2564">
        <v>-9.67</v>
      </c>
      <c r="AI2564">
        <v>-0.03</v>
      </c>
      <c r="AJ2564">
        <v>-0.04</v>
      </c>
      <c r="AK2564">
        <v>61</v>
      </c>
      <c r="AL2564">
        <v>68</v>
      </c>
      <c r="AM2564">
        <v>40</v>
      </c>
      <c r="AN2564">
        <v>-6</v>
      </c>
      <c r="AO2564">
        <v>0.53</v>
      </c>
      <c r="AP2564">
        <v>1</v>
      </c>
      <c r="AQ2564">
        <v>2</v>
      </c>
      <c r="AR2564">
        <v>10.38</v>
      </c>
      <c r="AS2564">
        <v>26</v>
      </c>
      <c r="AT2564">
        <v>4.1100000000000003</v>
      </c>
      <c r="AU2564">
        <v>34</v>
      </c>
      <c r="AV2564">
        <v>0.3</v>
      </c>
      <c r="AW2564">
        <v>40</v>
      </c>
      <c r="AX2564">
        <v>-0.32</v>
      </c>
      <c r="AY2564">
        <v>56</v>
      </c>
      <c r="AZ2564">
        <v>6.56</v>
      </c>
      <c r="BA2564">
        <v>24</v>
      </c>
      <c r="BB2564">
        <v>5.2</v>
      </c>
      <c r="BC2564">
        <v>34</v>
      </c>
      <c r="BD2564">
        <v>0</v>
      </c>
      <c r="BE2564">
        <v>0.01</v>
      </c>
      <c r="BF2564">
        <v>-0.19</v>
      </c>
      <c r="BG2564">
        <v>84</v>
      </c>
      <c r="BH2564">
        <v>0.09</v>
      </c>
      <c r="BI2564">
        <v>1.19</v>
      </c>
      <c r="BJ2564">
        <v>4</v>
      </c>
      <c r="BK2564">
        <v>4</v>
      </c>
      <c r="BL2564">
        <v>-1.78</v>
      </c>
      <c r="BM2564">
        <v>0.38</v>
      </c>
      <c r="BN2564">
        <v>-2.14</v>
      </c>
      <c r="BO2564">
        <v>-1.74</v>
      </c>
      <c r="BP2564">
        <v>-0.21</v>
      </c>
      <c r="BQ2564">
        <v>-1.1000000000000001</v>
      </c>
      <c r="BR2564">
        <v>-0.35</v>
      </c>
      <c r="BS2564">
        <v>-0.7</v>
      </c>
      <c r="BT2564">
        <v>-0.03</v>
      </c>
      <c r="BU2564">
        <v>-0.98</v>
      </c>
      <c r="BV2564">
        <v>-1.19</v>
      </c>
      <c r="BW2564">
        <v>-1.96</v>
      </c>
      <c r="BX2564">
        <v>0</v>
      </c>
      <c r="BY2564">
        <v>-0.23</v>
      </c>
      <c r="BZ2564">
        <v>-1.33</v>
      </c>
      <c r="CA2564">
        <v>-1.67</v>
      </c>
      <c r="CB2564">
        <v>-1.46</v>
      </c>
      <c r="CC2564">
        <v>-1.59</v>
      </c>
      <c r="CD2564">
        <v>1.1499999999999999</v>
      </c>
      <c r="CE2564">
        <v>-1.91</v>
      </c>
      <c r="CF2564">
        <v>-1.87</v>
      </c>
      <c r="CG2564">
        <v>0</v>
      </c>
      <c r="CH2564">
        <v>-1.27</v>
      </c>
      <c r="CI2564">
        <v>0</v>
      </c>
      <c r="CJ2564">
        <v>-2.1</v>
      </c>
      <c r="CK2564">
        <v>59</v>
      </c>
      <c r="CL2564">
        <v>0.08</v>
      </c>
      <c r="CM2564">
        <v>54</v>
      </c>
      <c r="CN2564">
        <v>0.16</v>
      </c>
      <c r="CO2564">
        <v>49</v>
      </c>
      <c r="CP2564">
        <v>-12.8</v>
      </c>
      <c r="CQ2564">
        <v>67</v>
      </c>
      <c r="CR2564">
        <v>0</v>
      </c>
      <c r="CS2564">
        <v>0</v>
      </c>
      <c r="CT2564">
        <v>-17.7</v>
      </c>
      <c r="CU2564">
        <v>62</v>
      </c>
      <c r="CV2564">
        <v>0</v>
      </c>
      <c r="CW2564">
        <v>15</v>
      </c>
      <c r="CX2564" t="s">
        <v>10869</v>
      </c>
    </row>
    <row r="2565" spans="1:102" x14ac:dyDescent="0.3">
      <c r="A2565" t="str">
        <f>HYPERLINK("https://webapp.icbf.com/v2/app/bull-search/view/586213531","GWQ")</f>
        <v>GWQ</v>
      </c>
      <c r="B2565" t="s">
        <v>15276</v>
      </c>
      <c r="C2565" t="s">
        <v>15277</v>
      </c>
      <c r="D2565" s="1">
        <v>39198</v>
      </c>
      <c r="E2565" t="s">
        <v>92</v>
      </c>
      <c r="F2565">
        <v>56</v>
      </c>
      <c r="G2565" t="s">
        <v>109</v>
      </c>
      <c r="H2565">
        <v>30.76</v>
      </c>
      <c r="I2565">
        <v>78</v>
      </c>
      <c r="J2565">
        <v>59.64</v>
      </c>
      <c r="K2565">
        <v>92</v>
      </c>
      <c r="L2565">
        <v>-50.47</v>
      </c>
      <c r="M2565">
        <v>71</v>
      </c>
      <c r="N2565">
        <v>16.54</v>
      </c>
      <c r="O2565">
        <v>69</v>
      </c>
      <c r="P2565">
        <v>-24.17</v>
      </c>
      <c r="Q2565">
        <v>78</v>
      </c>
      <c r="R2565">
        <v>-4.9000000000000004</v>
      </c>
      <c r="S2565">
        <v>70</v>
      </c>
      <c r="T2565">
        <v>28.33</v>
      </c>
      <c r="U2565">
        <v>75</v>
      </c>
      <c r="V2565">
        <v>5.79</v>
      </c>
      <c r="W2565">
        <v>65</v>
      </c>
      <c r="X2565" t="s">
        <v>276</v>
      </c>
      <c r="Y2565" t="s">
        <v>228</v>
      </c>
      <c r="Z2565" t="s">
        <v>330</v>
      </c>
      <c r="AA2565" t="s">
        <v>6978</v>
      </c>
      <c r="AB2565" t="s">
        <v>144</v>
      </c>
      <c r="AC2565">
        <v>0</v>
      </c>
      <c r="AD2565">
        <v>0</v>
      </c>
      <c r="AE2565">
        <v>92</v>
      </c>
      <c r="AF2565">
        <v>216.5</v>
      </c>
      <c r="AG2565">
        <v>8.81</v>
      </c>
      <c r="AH2565">
        <v>10.34</v>
      </c>
      <c r="AI2565">
        <v>0.01</v>
      </c>
      <c r="AJ2565">
        <v>0.05</v>
      </c>
      <c r="AK2565">
        <v>71</v>
      </c>
      <c r="AL2565">
        <v>0</v>
      </c>
      <c r="AM2565">
        <v>0</v>
      </c>
      <c r="AN2565">
        <v>3.91</v>
      </c>
      <c r="AO2565">
        <v>-0.1</v>
      </c>
      <c r="AP2565">
        <v>48</v>
      </c>
      <c r="AQ2565">
        <v>0</v>
      </c>
      <c r="AR2565">
        <v>5.73</v>
      </c>
      <c r="AS2565">
        <v>60</v>
      </c>
      <c r="AT2565">
        <v>2.11</v>
      </c>
      <c r="AU2565">
        <v>73</v>
      </c>
      <c r="AV2565">
        <v>-1.17</v>
      </c>
      <c r="AW2565">
        <v>80</v>
      </c>
      <c r="AX2565">
        <v>-0.57999999999999996</v>
      </c>
      <c r="AY2565">
        <v>60</v>
      </c>
      <c r="AZ2565">
        <v>7.67</v>
      </c>
      <c r="BA2565">
        <v>48</v>
      </c>
      <c r="BB2565">
        <v>5.85</v>
      </c>
      <c r="BC2565">
        <v>48</v>
      </c>
      <c r="BD2565">
        <v>0.01</v>
      </c>
      <c r="BE2565">
        <v>0.04</v>
      </c>
      <c r="BF2565">
        <v>0.02</v>
      </c>
      <c r="BG2565">
        <v>82</v>
      </c>
      <c r="BH2565">
        <v>0.14000000000000001</v>
      </c>
      <c r="BI2565">
        <v>-2.48</v>
      </c>
      <c r="BJ2565">
        <v>0</v>
      </c>
      <c r="BK2565">
        <v>0</v>
      </c>
      <c r="BL2565">
        <v>-0.92</v>
      </c>
      <c r="BM2565">
        <v>-0.88</v>
      </c>
      <c r="BN2565">
        <v>-1.41</v>
      </c>
      <c r="BO2565">
        <v>-0.16</v>
      </c>
      <c r="BP2565">
        <v>0.27</v>
      </c>
      <c r="BQ2565">
        <v>-2.46</v>
      </c>
      <c r="BR2565">
        <v>0.63</v>
      </c>
      <c r="BS2565">
        <v>-0.59</v>
      </c>
      <c r="BT2565">
        <v>-0.88</v>
      </c>
      <c r="BU2565">
        <v>-0.57999999999999996</v>
      </c>
      <c r="BV2565">
        <v>-0.73</v>
      </c>
      <c r="BW2565">
        <v>-0.73</v>
      </c>
      <c r="BX2565">
        <v>-0.61</v>
      </c>
      <c r="BY2565">
        <v>-1.22</v>
      </c>
      <c r="BZ2565">
        <v>-0.62</v>
      </c>
      <c r="CA2565">
        <v>-0.78</v>
      </c>
      <c r="CB2565">
        <v>-0.62</v>
      </c>
      <c r="CC2565">
        <v>-0.32</v>
      </c>
      <c r="CD2565">
        <v>0.14000000000000001</v>
      </c>
      <c r="CE2565">
        <v>-0.19</v>
      </c>
      <c r="CF2565">
        <v>-0.59</v>
      </c>
      <c r="CG2565">
        <v>0</v>
      </c>
      <c r="CH2565">
        <v>-1.27</v>
      </c>
      <c r="CI2565">
        <v>0</v>
      </c>
      <c r="CJ2565">
        <v>-13.6</v>
      </c>
      <c r="CK2565">
        <v>80</v>
      </c>
      <c r="CL2565">
        <v>-0.61</v>
      </c>
      <c r="CM2565">
        <v>76</v>
      </c>
      <c r="CN2565">
        <v>-0.34</v>
      </c>
      <c r="CO2565">
        <v>74</v>
      </c>
      <c r="CP2565">
        <v>-20.6</v>
      </c>
      <c r="CQ2565">
        <v>74</v>
      </c>
      <c r="CR2565">
        <v>0</v>
      </c>
      <c r="CS2565">
        <v>0</v>
      </c>
      <c r="CT2565">
        <v>-24.5</v>
      </c>
      <c r="CU2565">
        <v>75</v>
      </c>
      <c r="CV2565">
        <v>-0.03</v>
      </c>
      <c r="CW2565">
        <v>42</v>
      </c>
      <c r="CX2565" t="s">
        <v>1257</v>
      </c>
    </row>
    <row r="2566" spans="1:102" x14ac:dyDescent="0.3">
      <c r="A2566" t="str">
        <f>HYPERLINK("https://webapp.icbf.com/v2/app/bull-search/view/77858389","DIV")</f>
        <v>DIV</v>
      </c>
      <c r="B2566" t="s">
        <v>15659</v>
      </c>
      <c r="C2566" t="s">
        <v>15660</v>
      </c>
      <c r="D2566" s="1">
        <v>31483</v>
      </c>
      <c r="E2566" t="s">
        <v>108</v>
      </c>
      <c r="F2566">
        <v>3</v>
      </c>
      <c r="G2566" t="s">
        <v>93</v>
      </c>
      <c r="H2566">
        <v>30.6</v>
      </c>
      <c r="I2566">
        <v>47</v>
      </c>
      <c r="J2566">
        <v>-38.659999999999997</v>
      </c>
      <c r="K2566">
        <v>66</v>
      </c>
      <c r="L2566">
        <v>52.37</v>
      </c>
      <c r="M2566">
        <v>45</v>
      </c>
      <c r="N2566">
        <v>17.059999999999999</v>
      </c>
      <c r="O2566">
        <v>21</v>
      </c>
      <c r="P2566">
        <v>-5.73</v>
      </c>
      <c r="Q2566">
        <v>44</v>
      </c>
      <c r="R2566">
        <v>-1.03</v>
      </c>
      <c r="S2566">
        <v>47</v>
      </c>
      <c r="T2566">
        <v>9.5299999999999994</v>
      </c>
      <c r="U2566">
        <v>31</v>
      </c>
      <c r="V2566">
        <v>-2.94</v>
      </c>
      <c r="W2566">
        <v>6</v>
      </c>
      <c r="X2566" t="s">
        <v>102</v>
      </c>
      <c r="Y2566" t="s">
        <v>95</v>
      </c>
      <c r="Z2566" t="s">
        <v>96</v>
      </c>
      <c r="AA2566" t="s">
        <v>144</v>
      </c>
      <c r="AB2566" t="s">
        <v>144</v>
      </c>
      <c r="AC2566">
        <v>11</v>
      </c>
      <c r="AD2566">
        <v>11</v>
      </c>
      <c r="AE2566">
        <v>66</v>
      </c>
      <c r="AF2566">
        <v>-243.17</v>
      </c>
      <c r="AG2566">
        <v>-5.36</v>
      </c>
      <c r="AH2566">
        <v>-8.4</v>
      </c>
      <c r="AI2566">
        <v>7.0000000000000007E-2</v>
      </c>
      <c r="AJ2566">
        <v>0</v>
      </c>
      <c r="AK2566">
        <v>45</v>
      </c>
      <c r="AL2566">
        <v>44</v>
      </c>
      <c r="AM2566">
        <v>34</v>
      </c>
      <c r="AN2566">
        <v>-3.35</v>
      </c>
      <c r="AO2566">
        <v>0.82</v>
      </c>
      <c r="AP2566">
        <v>1</v>
      </c>
      <c r="AQ2566">
        <v>1</v>
      </c>
      <c r="AR2566">
        <v>6.09</v>
      </c>
      <c r="AS2566">
        <v>3</v>
      </c>
      <c r="AT2566">
        <v>2.65</v>
      </c>
      <c r="AU2566">
        <v>15</v>
      </c>
      <c r="AV2566">
        <v>-0.71</v>
      </c>
      <c r="AW2566">
        <v>26</v>
      </c>
      <c r="AX2566">
        <v>0.47</v>
      </c>
      <c r="AY2566">
        <v>42</v>
      </c>
      <c r="AZ2566">
        <v>5.46</v>
      </c>
      <c r="BA2566">
        <v>4</v>
      </c>
      <c r="BB2566">
        <v>4.21</v>
      </c>
      <c r="BC2566">
        <v>13</v>
      </c>
      <c r="BD2566">
        <v>0.01</v>
      </c>
      <c r="BE2566">
        <v>0.03</v>
      </c>
      <c r="BF2566">
        <v>-0.05</v>
      </c>
      <c r="BG2566">
        <v>70</v>
      </c>
      <c r="BH2566">
        <v>-0.12</v>
      </c>
      <c r="BI2566">
        <v>-4.4000000000000004</v>
      </c>
      <c r="BJ2566">
        <v>12</v>
      </c>
      <c r="BK2566">
        <v>10</v>
      </c>
      <c r="BL2566">
        <v>-3.07</v>
      </c>
      <c r="BM2566">
        <v>1.21</v>
      </c>
      <c r="BN2566">
        <v>-2.23</v>
      </c>
      <c r="BO2566">
        <v>-2.2999999999999998</v>
      </c>
      <c r="BP2566">
        <v>-0.01</v>
      </c>
      <c r="BQ2566">
        <v>-0.3</v>
      </c>
      <c r="BR2566">
        <v>-0.88</v>
      </c>
      <c r="BS2566">
        <v>3.82</v>
      </c>
      <c r="BT2566">
        <v>1.05</v>
      </c>
      <c r="BU2566">
        <v>-2.35</v>
      </c>
      <c r="BV2566">
        <v>-2.4300000000000002</v>
      </c>
      <c r="BW2566">
        <v>-1.43</v>
      </c>
      <c r="BX2566">
        <v>-1.9</v>
      </c>
      <c r="BY2566">
        <v>0.3</v>
      </c>
      <c r="BZ2566">
        <v>-0.63</v>
      </c>
      <c r="CA2566">
        <v>-1.72</v>
      </c>
      <c r="CB2566">
        <v>-2.89</v>
      </c>
      <c r="CC2566">
        <v>1.3</v>
      </c>
      <c r="CD2566">
        <v>1.71</v>
      </c>
      <c r="CE2566">
        <v>-2.3199999999999998</v>
      </c>
      <c r="CF2566">
        <v>-1.94</v>
      </c>
      <c r="CG2566">
        <v>0</v>
      </c>
      <c r="CH2566">
        <v>-1.86</v>
      </c>
      <c r="CI2566">
        <v>0</v>
      </c>
      <c r="CJ2566">
        <v>-2.4</v>
      </c>
      <c r="CK2566">
        <v>46</v>
      </c>
      <c r="CL2566">
        <v>-0.04</v>
      </c>
      <c r="CM2566">
        <v>41</v>
      </c>
      <c r="CN2566">
        <v>0.17</v>
      </c>
      <c r="CO2566">
        <v>36</v>
      </c>
      <c r="CP2566">
        <v>-0.1</v>
      </c>
      <c r="CQ2566">
        <v>48</v>
      </c>
      <c r="CR2566">
        <v>0</v>
      </c>
      <c r="CS2566">
        <v>0</v>
      </c>
      <c r="CT2566">
        <v>0.9</v>
      </c>
      <c r="CU2566">
        <v>31</v>
      </c>
      <c r="CV2566">
        <v>-0.04</v>
      </c>
      <c r="CW2566">
        <v>11</v>
      </c>
      <c r="CX2566">
        <v>0</v>
      </c>
    </row>
    <row r="2567" spans="1:102" x14ac:dyDescent="0.3">
      <c r="A2567" t="str">
        <f>HYPERLINK("https://webapp.icbf.com/v2/app/bull-search/view/77855929","LRS")</f>
        <v>LRS</v>
      </c>
      <c r="B2567" t="s">
        <v>3574</v>
      </c>
      <c r="C2567" t="s">
        <v>3575</v>
      </c>
      <c r="D2567" s="1">
        <v>34726</v>
      </c>
      <c r="E2567" t="s">
        <v>92</v>
      </c>
      <c r="F2567">
        <v>100</v>
      </c>
      <c r="G2567" t="s">
        <v>93</v>
      </c>
      <c r="H2567">
        <v>30.53</v>
      </c>
      <c r="I2567">
        <v>81</v>
      </c>
      <c r="J2567">
        <v>13.57</v>
      </c>
      <c r="K2567">
        <v>95</v>
      </c>
      <c r="L2567">
        <v>30.57</v>
      </c>
      <c r="M2567">
        <v>75</v>
      </c>
      <c r="N2567">
        <v>-10.7</v>
      </c>
      <c r="O2567">
        <v>71</v>
      </c>
      <c r="P2567">
        <v>6.51</v>
      </c>
      <c r="Q2567">
        <v>79</v>
      </c>
      <c r="R2567">
        <v>-14.63</v>
      </c>
      <c r="S2567">
        <v>75</v>
      </c>
      <c r="T2567">
        <v>6.13</v>
      </c>
      <c r="U2567">
        <v>77</v>
      </c>
      <c r="V2567">
        <v>-0.92</v>
      </c>
      <c r="W2567">
        <v>61</v>
      </c>
      <c r="X2567" t="s">
        <v>94</v>
      </c>
      <c r="Y2567" t="s">
        <v>95</v>
      </c>
      <c r="Z2567" t="s">
        <v>96</v>
      </c>
      <c r="AA2567" t="s">
        <v>207</v>
      </c>
      <c r="AB2567" t="s">
        <v>3576</v>
      </c>
      <c r="AC2567">
        <v>66</v>
      </c>
      <c r="AD2567">
        <v>63</v>
      </c>
      <c r="AE2567">
        <v>95</v>
      </c>
      <c r="AF2567">
        <v>130.81</v>
      </c>
      <c r="AG2567">
        <v>2.91</v>
      </c>
      <c r="AH2567">
        <v>3.28</v>
      </c>
      <c r="AI2567">
        <v>-0.04</v>
      </c>
      <c r="AJ2567">
        <v>-0.02</v>
      </c>
      <c r="AK2567">
        <v>75</v>
      </c>
      <c r="AL2567">
        <v>69</v>
      </c>
      <c r="AM2567">
        <v>51</v>
      </c>
      <c r="AN2567">
        <v>-0.72</v>
      </c>
      <c r="AO2567">
        <v>1.73</v>
      </c>
      <c r="AP2567">
        <v>5</v>
      </c>
      <c r="AQ2567">
        <v>2</v>
      </c>
      <c r="AR2567">
        <v>9.41</v>
      </c>
      <c r="AS2567">
        <v>55</v>
      </c>
      <c r="AT2567">
        <v>3.72</v>
      </c>
      <c r="AU2567">
        <v>74</v>
      </c>
      <c r="AV2567">
        <v>0.35</v>
      </c>
      <c r="AW2567">
        <v>75</v>
      </c>
      <c r="AX2567">
        <v>-0.41</v>
      </c>
      <c r="AY2567">
        <v>75</v>
      </c>
      <c r="AZ2567">
        <v>6.47</v>
      </c>
      <c r="BA2567">
        <v>47</v>
      </c>
      <c r="BB2567">
        <v>4.6100000000000003</v>
      </c>
      <c r="BC2567">
        <v>62</v>
      </c>
      <c r="BD2567">
        <v>0.05</v>
      </c>
      <c r="BE2567">
        <v>7.0000000000000007E-2</v>
      </c>
      <c r="BF2567">
        <v>0.12</v>
      </c>
      <c r="BG2567">
        <v>87</v>
      </c>
      <c r="BH2567">
        <v>7.0000000000000007E-2</v>
      </c>
      <c r="BI2567">
        <v>11.05</v>
      </c>
      <c r="BJ2567">
        <v>12</v>
      </c>
      <c r="BK2567">
        <v>10</v>
      </c>
      <c r="BL2567">
        <v>0.77</v>
      </c>
      <c r="BM2567">
        <v>1.56</v>
      </c>
      <c r="BN2567">
        <v>1.44</v>
      </c>
      <c r="BO2567">
        <v>0.36</v>
      </c>
      <c r="BP2567">
        <v>0.87</v>
      </c>
      <c r="BQ2567">
        <v>-0.21</v>
      </c>
      <c r="BR2567">
        <v>-0.28999999999999998</v>
      </c>
      <c r="BS2567">
        <v>-1.19</v>
      </c>
      <c r="BT2567">
        <v>0.81</v>
      </c>
      <c r="BU2567">
        <v>-0.19</v>
      </c>
      <c r="BV2567">
        <v>0.35</v>
      </c>
      <c r="BW2567">
        <v>-1.05</v>
      </c>
      <c r="BX2567">
        <v>-0.15</v>
      </c>
      <c r="BY2567">
        <v>-1.07</v>
      </c>
      <c r="BZ2567">
        <v>-0.62</v>
      </c>
      <c r="CA2567">
        <v>-0.35</v>
      </c>
      <c r="CB2567">
        <v>0.21</v>
      </c>
      <c r="CC2567">
        <v>-0.95</v>
      </c>
      <c r="CD2567">
        <v>0.16</v>
      </c>
      <c r="CE2567">
        <v>0.42</v>
      </c>
      <c r="CF2567">
        <v>1.37</v>
      </c>
      <c r="CG2567">
        <v>0</v>
      </c>
      <c r="CH2567">
        <v>-0.85</v>
      </c>
      <c r="CI2567">
        <v>0</v>
      </c>
      <c r="CJ2567">
        <v>6.3</v>
      </c>
      <c r="CK2567">
        <v>80</v>
      </c>
      <c r="CL2567">
        <v>-0.54</v>
      </c>
      <c r="CM2567">
        <v>78</v>
      </c>
      <c r="CN2567">
        <v>-0.3</v>
      </c>
      <c r="CO2567">
        <v>75</v>
      </c>
      <c r="CP2567">
        <v>-0.8</v>
      </c>
      <c r="CQ2567">
        <v>84</v>
      </c>
      <c r="CR2567">
        <v>0</v>
      </c>
      <c r="CS2567">
        <v>0</v>
      </c>
      <c r="CT2567">
        <v>5.5</v>
      </c>
      <c r="CU2567">
        <v>77</v>
      </c>
      <c r="CV2567">
        <v>0.12</v>
      </c>
      <c r="CW2567">
        <v>42</v>
      </c>
      <c r="CX2567" t="s">
        <v>3577</v>
      </c>
    </row>
    <row r="2568" spans="1:102" x14ac:dyDescent="0.3">
      <c r="A2568" t="str">
        <f>HYPERLINK("https://webapp.icbf.com/v2/app/bull-search/view/77854285","PSP")</f>
        <v>PSP</v>
      </c>
      <c r="B2568" t="s">
        <v>11415</v>
      </c>
      <c r="C2568" t="s">
        <v>11416</v>
      </c>
      <c r="D2568" s="1">
        <v>35621</v>
      </c>
      <c r="E2568" t="s">
        <v>92</v>
      </c>
      <c r="F2568">
        <v>100</v>
      </c>
      <c r="G2568" t="s">
        <v>93</v>
      </c>
      <c r="H2568">
        <v>30.47</v>
      </c>
      <c r="I2568">
        <v>87</v>
      </c>
      <c r="J2568">
        <v>-7.95</v>
      </c>
      <c r="K2568">
        <v>97</v>
      </c>
      <c r="L2568">
        <v>37.090000000000003</v>
      </c>
      <c r="M2568">
        <v>82</v>
      </c>
      <c r="N2568">
        <v>14.71</v>
      </c>
      <c r="O2568">
        <v>79</v>
      </c>
      <c r="P2568">
        <v>-14.66</v>
      </c>
      <c r="Q2568">
        <v>89</v>
      </c>
      <c r="R2568">
        <v>-11.63</v>
      </c>
      <c r="S2568">
        <v>82</v>
      </c>
      <c r="T2568">
        <v>11.09</v>
      </c>
      <c r="U2568">
        <v>86</v>
      </c>
      <c r="V2568">
        <v>1.82</v>
      </c>
      <c r="W2568">
        <v>74</v>
      </c>
      <c r="X2568" t="s">
        <v>94</v>
      </c>
      <c r="Y2568" t="s">
        <v>95</v>
      </c>
      <c r="Z2568" t="s">
        <v>96</v>
      </c>
      <c r="AA2568" t="s">
        <v>1278</v>
      </c>
      <c r="AB2568" t="s">
        <v>11417</v>
      </c>
      <c r="AC2568">
        <v>102</v>
      </c>
      <c r="AD2568">
        <v>90</v>
      </c>
      <c r="AE2568">
        <v>97</v>
      </c>
      <c r="AF2568">
        <v>102.41</v>
      </c>
      <c r="AG2568">
        <v>-0.04</v>
      </c>
      <c r="AH2568">
        <v>0.23</v>
      </c>
      <c r="AI2568">
        <v>-7.0000000000000007E-2</v>
      </c>
      <c r="AJ2568">
        <v>-0.06</v>
      </c>
      <c r="AK2568">
        <v>82</v>
      </c>
      <c r="AL2568">
        <v>104</v>
      </c>
      <c r="AM2568">
        <v>85</v>
      </c>
      <c r="AN2568">
        <v>-3.44</v>
      </c>
      <c r="AO2568">
        <v>-0.5</v>
      </c>
      <c r="AP2568">
        <v>15</v>
      </c>
      <c r="AQ2568">
        <v>0</v>
      </c>
      <c r="AR2568">
        <v>6.85</v>
      </c>
      <c r="AS2568">
        <v>71</v>
      </c>
      <c r="AT2568">
        <v>3.23</v>
      </c>
      <c r="AU2568">
        <v>82</v>
      </c>
      <c r="AV2568">
        <v>-1.21</v>
      </c>
      <c r="AW2568">
        <v>82</v>
      </c>
      <c r="AX2568">
        <v>-0.4</v>
      </c>
      <c r="AY2568">
        <v>82</v>
      </c>
      <c r="AZ2568">
        <v>5.48</v>
      </c>
      <c r="BA2568">
        <v>67</v>
      </c>
      <c r="BB2568">
        <v>4.66</v>
      </c>
      <c r="BC2568">
        <v>72</v>
      </c>
      <c r="BD2568">
        <v>0.02</v>
      </c>
      <c r="BE2568">
        <v>0.06</v>
      </c>
      <c r="BF2568">
        <v>0.12</v>
      </c>
      <c r="BG2568">
        <v>91</v>
      </c>
      <c r="BH2568">
        <v>0.16</v>
      </c>
      <c r="BI2568">
        <v>12.64</v>
      </c>
      <c r="BJ2568">
        <v>34</v>
      </c>
      <c r="BK2568">
        <v>24</v>
      </c>
      <c r="BL2568">
        <v>-0.48</v>
      </c>
      <c r="BM2568">
        <v>1.64</v>
      </c>
      <c r="BN2568">
        <v>0.43</v>
      </c>
      <c r="BO2568">
        <v>-0.81</v>
      </c>
      <c r="BP2568">
        <v>0.59</v>
      </c>
      <c r="BQ2568">
        <v>0.53</v>
      </c>
      <c r="BR2568">
        <v>0.77</v>
      </c>
      <c r="BS2568">
        <v>-0.65</v>
      </c>
      <c r="BT2568">
        <v>-0.04</v>
      </c>
      <c r="BU2568">
        <v>-1.19</v>
      </c>
      <c r="BV2568">
        <v>-0.67</v>
      </c>
      <c r="BW2568">
        <v>0.45</v>
      </c>
      <c r="BX2568">
        <v>-1.79</v>
      </c>
      <c r="BY2568">
        <v>0.74</v>
      </c>
      <c r="BZ2568">
        <v>-1.67</v>
      </c>
      <c r="CA2568">
        <v>-0.68</v>
      </c>
      <c r="CB2568">
        <v>-0.56999999999999995</v>
      </c>
      <c r="CC2568">
        <v>-0.11</v>
      </c>
      <c r="CD2568">
        <v>1.3</v>
      </c>
      <c r="CE2568">
        <v>-1.31</v>
      </c>
      <c r="CF2568">
        <v>-0.64</v>
      </c>
      <c r="CG2568">
        <v>0</v>
      </c>
      <c r="CH2568">
        <v>0.41</v>
      </c>
      <c r="CI2568">
        <v>0</v>
      </c>
      <c r="CJ2568">
        <v>-7.2</v>
      </c>
      <c r="CK2568">
        <v>90</v>
      </c>
      <c r="CL2568">
        <v>-0.56000000000000005</v>
      </c>
      <c r="CM2568">
        <v>88</v>
      </c>
      <c r="CN2568">
        <v>-0.14000000000000001</v>
      </c>
      <c r="CO2568">
        <v>87</v>
      </c>
      <c r="CP2568">
        <v>-3.9</v>
      </c>
      <c r="CQ2568">
        <v>92</v>
      </c>
      <c r="CR2568">
        <v>0</v>
      </c>
      <c r="CS2568">
        <v>0</v>
      </c>
      <c r="CT2568">
        <v>-1.2</v>
      </c>
      <c r="CU2568">
        <v>86</v>
      </c>
      <c r="CV2568">
        <v>-0.03</v>
      </c>
      <c r="CW2568">
        <v>44</v>
      </c>
      <c r="CX2568" t="s">
        <v>180</v>
      </c>
    </row>
    <row r="2569" spans="1:102" x14ac:dyDescent="0.3">
      <c r="A2569" t="str">
        <f>HYPERLINK("https://webapp.icbf.com/v2/app/bull-search/view/469253797","MZP")</f>
        <v>MZP</v>
      </c>
      <c r="B2569" t="s">
        <v>1377</v>
      </c>
      <c r="C2569" t="s">
        <v>1378</v>
      </c>
      <c r="D2569" s="1">
        <v>38426</v>
      </c>
      <c r="E2569" t="s">
        <v>92</v>
      </c>
      <c r="F2569">
        <v>100</v>
      </c>
      <c r="G2569" t="s">
        <v>93</v>
      </c>
      <c r="H2569">
        <v>30.26</v>
      </c>
      <c r="I2569">
        <v>88</v>
      </c>
      <c r="J2569">
        <v>23.1</v>
      </c>
      <c r="K2569">
        <v>97</v>
      </c>
      <c r="L2569">
        <v>-2.68</v>
      </c>
      <c r="M2569">
        <v>83</v>
      </c>
      <c r="N2569">
        <v>4.16</v>
      </c>
      <c r="O2569">
        <v>85</v>
      </c>
      <c r="P2569">
        <v>-17.489999999999998</v>
      </c>
      <c r="Q2569">
        <v>90</v>
      </c>
      <c r="R2569">
        <v>1.8</v>
      </c>
      <c r="S2569">
        <v>82</v>
      </c>
      <c r="T2569">
        <v>27</v>
      </c>
      <c r="U2569">
        <v>84</v>
      </c>
      <c r="V2569">
        <v>-5.63</v>
      </c>
      <c r="W2569">
        <v>80</v>
      </c>
      <c r="X2569" t="s">
        <v>94</v>
      </c>
      <c r="Y2569" t="s">
        <v>228</v>
      </c>
      <c r="Z2569" t="s">
        <v>96</v>
      </c>
      <c r="AA2569" t="s">
        <v>283</v>
      </c>
      <c r="AB2569" t="s">
        <v>1379</v>
      </c>
      <c r="AC2569">
        <v>83</v>
      </c>
      <c r="AD2569">
        <v>48</v>
      </c>
      <c r="AE2569">
        <v>97</v>
      </c>
      <c r="AF2569">
        <v>-115.92</v>
      </c>
      <c r="AG2569">
        <v>4.28</v>
      </c>
      <c r="AH2569">
        <v>0.64</v>
      </c>
      <c r="AI2569">
        <v>0.16</v>
      </c>
      <c r="AJ2569">
        <v>0.08</v>
      </c>
      <c r="AK2569">
        <v>83</v>
      </c>
      <c r="AL2569">
        <v>78</v>
      </c>
      <c r="AM2569">
        <v>50</v>
      </c>
      <c r="AN2569">
        <v>-0.35</v>
      </c>
      <c r="AO2569">
        <v>-0.56999999999999995</v>
      </c>
      <c r="AP2569">
        <v>137</v>
      </c>
      <c r="AQ2569">
        <v>8</v>
      </c>
      <c r="AR2569">
        <v>8.5</v>
      </c>
      <c r="AS2569">
        <v>72</v>
      </c>
      <c r="AT2569">
        <v>3.11</v>
      </c>
      <c r="AU2569">
        <v>87</v>
      </c>
      <c r="AV2569">
        <v>-0.7</v>
      </c>
      <c r="AW2569">
        <v>93</v>
      </c>
      <c r="AX2569">
        <v>0.45</v>
      </c>
      <c r="AY2569">
        <v>79</v>
      </c>
      <c r="AZ2569">
        <v>6.03</v>
      </c>
      <c r="BA2569">
        <v>67</v>
      </c>
      <c r="BB2569">
        <v>4.7</v>
      </c>
      <c r="BC2569">
        <v>70</v>
      </c>
      <c r="BD2569">
        <v>-0.05</v>
      </c>
      <c r="BE2569">
        <v>-0.02</v>
      </c>
      <c r="BF2569">
        <v>0.08</v>
      </c>
      <c r="BG2569">
        <v>88</v>
      </c>
      <c r="BH2569">
        <v>-0.28000000000000003</v>
      </c>
      <c r="BI2569">
        <v>-14.22</v>
      </c>
      <c r="BJ2569">
        <v>11</v>
      </c>
      <c r="BK2569">
        <v>8</v>
      </c>
      <c r="BL2569">
        <v>0.09</v>
      </c>
      <c r="BM2569">
        <v>-2.23</v>
      </c>
      <c r="BN2569">
        <v>-1.28</v>
      </c>
      <c r="BO2569">
        <v>0.32</v>
      </c>
      <c r="BP2569">
        <v>-1.27</v>
      </c>
      <c r="BQ2569">
        <v>-0.97</v>
      </c>
      <c r="BR2569">
        <v>0.9</v>
      </c>
      <c r="BS2569">
        <v>-2.89</v>
      </c>
      <c r="BT2569">
        <v>-1.1000000000000001</v>
      </c>
      <c r="BU2569">
        <v>0.33</v>
      </c>
      <c r="BV2569">
        <v>1.04</v>
      </c>
      <c r="BW2569">
        <v>0.16</v>
      </c>
      <c r="BX2569">
        <v>0.39</v>
      </c>
      <c r="BY2569">
        <v>0.6</v>
      </c>
      <c r="BZ2569">
        <v>-1.37</v>
      </c>
      <c r="CA2569">
        <v>-0.68</v>
      </c>
      <c r="CB2569">
        <v>0.27</v>
      </c>
      <c r="CC2569">
        <v>-2.0499999999999998</v>
      </c>
      <c r="CD2569">
        <v>-1.44</v>
      </c>
      <c r="CE2569">
        <v>0.74</v>
      </c>
      <c r="CF2569">
        <v>-0.92</v>
      </c>
      <c r="CG2569">
        <v>0</v>
      </c>
      <c r="CH2569">
        <v>-0.32</v>
      </c>
      <c r="CI2569">
        <v>0</v>
      </c>
      <c r="CJ2569">
        <v>-7.6</v>
      </c>
      <c r="CK2569">
        <v>91</v>
      </c>
      <c r="CL2569">
        <v>-1.05</v>
      </c>
      <c r="CM2569">
        <v>89</v>
      </c>
      <c r="CN2569">
        <v>-0.47</v>
      </c>
      <c r="CO2569">
        <v>87</v>
      </c>
      <c r="CP2569">
        <v>-11.1</v>
      </c>
      <c r="CQ2569">
        <v>89</v>
      </c>
      <c r="CR2569">
        <v>0</v>
      </c>
      <c r="CS2569">
        <v>0</v>
      </c>
      <c r="CT2569">
        <v>-22.7</v>
      </c>
      <c r="CU2569">
        <v>84</v>
      </c>
      <c r="CV2569">
        <v>0.13</v>
      </c>
      <c r="CW2569">
        <v>44</v>
      </c>
      <c r="CX2569" t="s">
        <v>1380</v>
      </c>
    </row>
    <row r="2570" spans="1:102" x14ac:dyDescent="0.3">
      <c r="A2570" t="str">
        <f>HYPERLINK("https://webapp.icbf.com/v2/app/bull-search/view/482129038","NBU")</f>
        <v>NBU</v>
      </c>
      <c r="B2570" t="s">
        <v>12567</v>
      </c>
      <c r="C2570" t="s">
        <v>12568</v>
      </c>
      <c r="D2570" s="1">
        <v>39001</v>
      </c>
      <c r="E2570" t="s">
        <v>92</v>
      </c>
      <c r="F2570">
        <v>94</v>
      </c>
      <c r="G2570" t="s">
        <v>93</v>
      </c>
      <c r="H2570">
        <v>30.16</v>
      </c>
      <c r="I2570">
        <v>90</v>
      </c>
      <c r="J2570">
        <v>41.06</v>
      </c>
      <c r="K2570">
        <v>98</v>
      </c>
      <c r="L2570">
        <v>-61.9</v>
      </c>
      <c r="M2570">
        <v>83</v>
      </c>
      <c r="N2570">
        <v>42.63</v>
      </c>
      <c r="O2570">
        <v>89</v>
      </c>
      <c r="P2570">
        <v>0.49</v>
      </c>
      <c r="Q2570">
        <v>93</v>
      </c>
      <c r="R2570">
        <v>1.55</v>
      </c>
      <c r="S2570">
        <v>87</v>
      </c>
      <c r="T2570">
        <v>7.39</v>
      </c>
      <c r="U2570">
        <v>89</v>
      </c>
      <c r="V2570">
        <v>-1.06</v>
      </c>
      <c r="W2570">
        <v>86</v>
      </c>
      <c r="X2570" t="s">
        <v>94</v>
      </c>
      <c r="Y2570" t="s">
        <v>1405</v>
      </c>
      <c r="Z2570" t="s">
        <v>96</v>
      </c>
      <c r="AA2570" t="s">
        <v>1165</v>
      </c>
      <c r="AB2570" t="s">
        <v>12569</v>
      </c>
      <c r="AC2570">
        <v>138</v>
      </c>
      <c r="AD2570">
        <v>74</v>
      </c>
      <c r="AE2570">
        <v>98</v>
      </c>
      <c r="AF2570">
        <v>218.94</v>
      </c>
      <c r="AG2570">
        <v>8.7200000000000006</v>
      </c>
      <c r="AH2570">
        <v>7.25</v>
      </c>
      <c r="AI2570">
        <v>0</v>
      </c>
      <c r="AJ2570">
        <v>0</v>
      </c>
      <c r="AK2570">
        <v>83</v>
      </c>
      <c r="AL2570">
        <v>132</v>
      </c>
      <c r="AM2570">
        <v>75</v>
      </c>
      <c r="AN2570">
        <v>3.85</v>
      </c>
      <c r="AO2570">
        <v>-1.08</v>
      </c>
      <c r="AP2570">
        <v>288</v>
      </c>
      <c r="AQ2570">
        <v>8</v>
      </c>
      <c r="AR2570">
        <v>5.55</v>
      </c>
      <c r="AS2570">
        <v>78</v>
      </c>
      <c r="AT2570">
        <v>2.02</v>
      </c>
      <c r="AU2570">
        <v>91</v>
      </c>
      <c r="AV2570">
        <v>-3.11</v>
      </c>
      <c r="AW2570">
        <v>97</v>
      </c>
      <c r="AX2570">
        <v>-0.84</v>
      </c>
      <c r="AY2570">
        <v>85</v>
      </c>
      <c r="AZ2570">
        <v>5.0999999999999996</v>
      </c>
      <c r="BA2570">
        <v>73</v>
      </c>
      <c r="BB2570">
        <v>4.87</v>
      </c>
      <c r="BC2570">
        <v>75</v>
      </c>
      <c r="BD2570">
        <v>-0.01</v>
      </c>
      <c r="BE2570">
        <v>-0.01</v>
      </c>
      <c r="BF2570">
        <v>0</v>
      </c>
      <c r="BG2570">
        <v>92</v>
      </c>
      <c r="BH2570">
        <v>0.06</v>
      </c>
      <c r="BI2570">
        <v>10.37</v>
      </c>
      <c r="BJ2570">
        <v>27</v>
      </c>
      <c r="BK2570">
        <v>18</v>
      </c>
      <c r="BL2570">
        <v>0.27</v>
      </c>
      <c r="BM2570">
        <v>0.11</v>
      </c>
      <c r="BN2570">
        <v>-0.1</v>
      </c>
      <c r="BO2570">
        <v>-0.17</v>
      </c>
      <c r="BP2570">
        <v>0.7</v>
      </c>
      <c r="BQ2570">
        <v>-1.01</v>
      </c>
      <c r="BR2570">
        <v>-0.84</v>
      </c>
      <c r="BS2570">
        <v>0.65</v>
      </c>
      <c r="BT2570">
        <v>-0.08</v>
      </c>
      <c r="BU2570">
        <v>-0.12</v>
      </c>
      <c r="BV2570">
        <v>-0.92</v>
      </c>
      <c r="BW2570">
        <v>-0.17</v>
      </c>
      <c r="BX2570">
        <v>0.6</v>
      </c>
      <c r="BY2570">
        <v>1.71</v>
      </c>
      <c r="BZ2570">
        <v>-1.49</v>
      </c>
      <c r="CA2570">
        <v>0.51</v>
      </c>
      <c r="CB2570">
        <v>0.42</v>
      </c>
      <c r="CC2570">
        <v>0.43</v>
      </c>
      <c r="CD2570">
        <v>0.59</v>
      </c>
      <c r="CE2570">
        <v>0.22</v>
      </c>
      <c r="CF2570">
        <v>0.42</v>
      </c>
      <c r="CG2570">
        <v>0</v>
      </c>
      <c r="CH2570">
        <v>1.29</v>
      </c>
      <c r="CI2570">
        <v>0</v>
      </c>
      <c r="CJ2570">
        <v>3.6</v>
      </c>
      <c r="CK2570">
        <v>94</v>
      </c>
      <c r="CL2570">
        <v>-0.79</v>
      </c>
      <c r="CM2570">
        <v>93</v>
      </c>
      <c r="CN2570">
        <v>-0.32</v>
      </c>
      <c r="CO2570">
        <v>92</v>
      </c>
      <c r="CP2570">
        <v>-0.5</v>
      </c>
      <c r="CQ2570">
        <v>92</v>
      </c>
      <c r="CR2570">
        <v>0</v>
      </c>
      <c r="CS2570">
        <v>0</v>
      </c>
      <c r="CT2570">
        <v>3.8</v>
      </c>
      <c r="CU2570">
        <v>89</v>
      </c>
      <c r="CV2570">
        <v>0.28999999999999998</v>
      </c>
      <c r="CW2570">
        <v>46</v>
      </c>
      <c r="CX2570" t="s">
        <v>2775</v>
      </c>
    </row>
    <row r="2571" spans="1:102" x14ac:dyDescent="0.3">
      <c r="A2571" t="str">
        <f>HYPERLINK("https://webapp.icbf.com/v2/app/bull-search/view/69091945","INC")</f>
        <v>INC</v>
      </c>
      <c r="B2571" t="s">
        <v>10726</v>
      </c>
      <c r="C2571" t="s">
        <v>10727</v>
      </c>
      <c r="D2571" s="1">
        <v>31940</v>
      </c>
      <c r="E2571" t="s">
        <v>92</v>
      </c>
      <c r="F2571">
        <v>100</v>
      </c>
      <c r="G2571" t="s">
        <v>109</v>
      </c>
      <c r="H2571">
        <v>30.06</v>
      </c>
      <c r="I2571">
        <v>79</v>
      </c>
      <c r="J2571">
        <v>10.23</v>
      </c>
      <c r="K2571">
        <v>91</v>
      </c>
      <c r="L2571">
        <v>-4.29</v>
      </c>
      <c r="M2571">
        <v>77</v>
      </c>
      <c r="N2571">
        <v>16.989999999999998</v>
      </c>
      <c r="O2571">
        <v>67</v>
      </c>
      <c r="P2571">
        <v>-3.17</v>
      </c>
      <c r="Q2571">
        <v>78</v>
      </c>
      <c r="R2571">
        <v>0.9</v>
      </c>
      <c r="S2571">
        <v>68</v>
      </c>
      <c r="T2571">
        <v>6.5</v>
      </c>
      <c r="U2571">
        <v>71</v>
      </c>
      <c r="V2571">
        <v>2.9</v>
      </c>
      <c r="W2571">
        <v>47</v>
      </c>
      <c r="X2571" t="s">
        <v>94</v>
      </c>
      <c r="Y2571" t="s">
        <v>95</v>
      </c>
      <c r="Z2571" t="s">
        <v>96</v>
      </c>
      <c r="AA2571" t="s">
        <v>128</v>
      </c>
      <c r="AB2571" t="s">
        <v>9674</v>
      </c>
      <c r="AC2571">
        <v>40</v>
      </c>
      <c r="AD2571">
        <v>29</v>
      </c>
      <c r="AE2571">
        <v>91</v>
      </c>
      <c r="AF2571">
        <v>116.92</v>
      </c>
      <c r="AG2571">
        <v>-2.52</v>
      </c>
      <c r="AH2571">
        <v>4.42</v>
      </c>
      <c r="AI2571">
        <v>-0.12</v>
      </c>
      <c r="AJ2571">
        <v>0.01</v>
      </c>
      <c r="AK2571">
        <v>77</v>
      </c>
      <c r="AL2571">
        <v>58</v>
      </c>
      <c r="AM2571">
        <v>40</v>
      </c>
      <c r="AN2571">
        <v>-0.39</v>
      </c>
      <c r="AO2571">
        <v>-0.74</v>
      </c>
      <c r="AP2571">
        <v>9</v>
      </c>
      <c r="AQ2571">
        <v>0</v>
      </c>
      <c r="AR2571">
        <v>5.5</v>
      </c>
      <c r="AS2571">
        <v>37</v>
      </c>
      <c r="AT2571">
        <v>2.44</v>
      </c>
      <c r="AU2571">
        <v>85</v>
      </c>
      <c r="AV2571">
        <v>-0.13</v>
      </c>
      <c r="AW2571">
        <v>70</v>
      </c>
      <c r="AX2571">
        <v>-0.33</v>
      </c>
      <c r="AY2571">
        <v>64</v>
      </c>
      <c r="AZ2571">
        <v>5.23</v>
      </c>
      <c r="BA2571">
        <v>39</v>
      </c>
      <c r="BB2571">
        <v>4.37</v>
      </c>
      <c r="BC2571">
        <v>51</v>
      </c>
      <c r="BD2571">
        <v>0.02</v>
      </c>
      <c r="BE2571">
        <v>0.04</v>
      </c>
      <c r="BF2571">
        <v>-0.13</v>
      </c>
      <c r="BG2571">
        <v>83</v>
      </c>
      <c r="BH2571">
        <v>-0.06</v>
      </c>
      <c r="BI2571">
        <v>-16.3</v>
      </c>
      <c r="BJ2571">
        <v>0</v>
      </c>
      <c r="BK2571">
        <v>0</v>
      </c>
      <c r="BL2571">
        <v>0.39</v>
      </c>
      <c r="BM2571">
        <v>1.52</v>
      </c>
      <c r="BN2571">
        <v>0.89</v>
      </c>
      <c r="BO2571">
        <v>-0.26</v>
      </c>
      <c r="BP2571">
        <v>-0.2</v>
      </c>
      <c r="BQ2571">
        <v>0.83</v>
      </c>
      <c r="BR2571">
        <v>1.62</v>
      </c>
      <c r="BS2571">
        <v>-0.79</v>
      </c>
      <c r="BT2571">
        <v>-1.76</v>
      </c>
      <c r="BU2571">
        <v>-1.92</v>
      </c>
      <c r="BV2571">
        <v>-1.4</v>
      </c>
      <c r="BW2571">
        <v>-0.92</v>
      </c>
      <c r="BX2571">
        <v>-0.5</v>
      </c>
      <c r="BY2571">
        <v>-0.61</v>
      </c>
      <c r="BZ2571">
        <v>0.44</v>
      </c>
      <c r="CA2571">
        <v>-1.44</v>
      </c>
      <c r="CB2571">
        <v>-1.22</v>
      </c>
      <c r="CC2571">
        <v>-1.1499999999999999</v>
      </c>
      <c r="CD2571">
        <v>0.01</v>
      </c>
      <c r="CE2571">
        <v>-0.11</v>
      </c>
      <c r="CF2571">
        <v>-0.28000000000000003</v>
      </c>
      <c r="CG2571">
        <v>0</v>
      </c>
      <c r="CH2571">
        <v>-0.91</v>
      </c>
      <c r="CI2571">
        <v>0</v>
      </c>
      <c r="CJ2571">
        <v>0.8</v>
      </c>
      <c r="CK2571">
        <v>79</v>
      </c>
      <c r="CL2571">
        <v>-0.54</v>
      </c>
      <c r="CM2571">
        <v>76</v>
      </c>
      <c r="CN2571">
        <v>-0.13</v>
      </c>
      <c r="CO2571">
        <v>72</v>
      </c>
      <c r="CP2571">
        <v>-1.5</v>
      </c>
      <c r="CQ2571">
        <v>83</v>
      </c>
      <c r="CR2571">
        <v>0</v>
      </c>
      <c r="CS2571">
        <v>0</v>
      </c>
      <c r="CT2571">
        <v>5</v>
      </c>
      <c r="CU2571">
        <v>71</v>
      </c>
      <c r="CV2571">
        <v>0.15</v>
      </c>
      <c r="CW2571">
        <v>22</v>
      </c>
      <c r="CX2571" t="s">
        <v>120</v>
      </c>
    </row>
    <row r="2572" spans="1:102" x14ac:dyDescent="0.3">
      <c r="A2572" t="str">
        <f>HYPERLINK("https://webapp.icbf.com/v2/app/bull-search/view/345348945","KIM")</f>
        <v>KIM</v>
      </c>
      <c r="B2572" t="s">
        <v>11669</v>
      </c>
      <c r="C2572" t="s">
        <v>1911</v>
      </c>
      <c r="D2572" s="1">
        <v>35695</v>
      </c>
      <c r="E2572" t="s">
        <v>108</v>
      </c>
      <c r="F2572">
        <v>0</v>
      </c>
      <c r="G2572" t="s">
        <v>93</v>
      </c>
      <c r="H2572">
        <v>29.96</v>
      </c>
      <c r="I2572">
        <v>97</v>
      </c>
      <c r="J2572">
        <v>-41.52</v>
      </c>
      <c r="K2572">
        <v>99</v>
      </c>
      <c r="L2572">
        <v>39.75</v>
      </c>
      <c r="M2572">
        <v>95</v>
      </c>
      <c r="N2572">
        <v>9.74</v>
      </c>
      <c r="O2572">
        <v>98</v>
      </c>
      <c r="P2572">
        <v>-6.86</v>
      </c>
      <c r="Q2572">
        <v>99</v>
      </c>
      <c r="R2572">
        <v>11.34</v>
      </c>
      <c r="S2572">
        <v>97</v>
      </c>
      <c r="T2572">
        <v>14.49</v>
      </c>
      <c r="U2572">
        <v>99</v>
      </c>
      <c r="V2572">
        <v>3.02</v>
      </c>
      <c r="W2572">
        <v>98</v>
      </c>
      <c r="X2572" t="s">
        <v>276</v>
      </c>
      <c r="Y2572" t="s">
        <v>95</v>
      </c>
      <c r="Z2572" t="s">
        <v>96</v>
      </c>
      <c r="AA2572" t="s">
        <v>2908</v>
      </c>
      <c r="AB2572" t="s">
        <v>11670</v>
      </c>
      <c r="AC2572">
        <v>1264</v>
      </c>
      <c r="AD2572">
        <v>549</v>
      </c>
      <c r="AE2572">
        <v>99</v>
      </c>
      <c r="AF2572">
        <v>-210.76</v>
      </c>
      <c r="AG2572">
        <v>-11.27</v>
      </c>
      <c r="AH2572">
        <v>-6.3</v>
      </c>
      <c r="AI2572">
        <v>-0.06</v>
      </c>
      <c r="AJ2572">
        <v>0.02</v>
      </c>
      <c r="AK2572">
        <v>95</v>
      </c>
      <c r="AL2572">
        <v>1665</v>
      </c>
      <c r="AM2572">
        <v>722</v>
      </c>
      <c r="AN2572">
        <v>-2.17</v>
      </c>
      <c r="AO2572">
        <v>1</v>
      </c>
      <c r="AP2572">
        <v>2190</v>
      </c>
      <c r="AQ2572">
        <v>18</v>
      </c>
      <c r="AR2572">
        <v>7.79</v>
      </c>
      <c r="AS2572">
        <v>95</v>
      </c>
      <c r="AT2572">
        <v>3.35</v>
      </c>
      <c r="AU2572">
        <v>99</v>
      </c>
      <c r="AV2572">
        <v>-0.93</v>
      </c>
      <c r="AW2572">
        <v>99</v>
      </c>
      <c r="AX2572">
        <v>-0.09</v>
      </c>
      <c r="AY2572">
        <v>99</v>
      </c>
      <c r="AZ2572">
        <v>5.25</v>
      </c>
      <c r="BA2572">
        <v>95</v>
      </c>
      <c r="BB2572">
        <v>4.37</v>
      </c>
      <c r="BC2572">
        <v>96</v>
      </c>
      <c r="BD2572">
        <v>-0.04</v>
      </c>
      <c r="BE2572">
        <v>-0.06</v>
      </c>
      <c r="BF2572">
        <v>-0.08</v>
      </c>
      <c r="BG2572">
        <v>98</v>
      </c>
      <c r="BH2572">
        <v>-0.02</v>
      </c>
      <c r="BI2572">
        <v>-12.04</v>
      </c>
      <c r="BJ2572">
        <v>96</v>
      </c>
      <c r="BK2572">
        <v>45</v>
      </c>
      <c r="BL2572">
        <v>-1.97</v>
      </c>
      <c r="BM2572">
        <v>0.88</v>
      </c>
      <c r="BN2572">
        <v>-0.98</v>
      </c>
      <c r="BO2572">
        <v>-1.22</v>
      </c>
      <c r="BP2572">
        <v>2.63</v>
      </c>
      <c r="BQ2572">
        <v>1.31</v>
      </c>
      <c r="BR2572">
        <v>2.44</v>
      </c>
      <c r="BS2572">
        <v>-1.83</v>
      </c>
      <c r="BT2572">
        <v>-2.15</v>
      </c>
      <c r="BU2572">
        <v>-1.4</v>
      </c>
      <c r="BV2572">
        <v>-1.28</v>
      </c>
      <c r="BW2572">
        <v>-0.89</v>
      </c>
      <c r="BX2572">
        <v>-0.89</v>
      </c>
      <c r="BY2572">
        <v>0.08</v>
      </c>
      <c r="BZ2572">
        <v>-4.1399999999999997</v>
      </c>
      <c r="CA2572">
        <v>-1.68</v>
      </c>
      <c r="CB2572">
        <v>-1.55</v>
      </c>
      <c r="CC2572">
        <v>-1.1299999999999999</v>
      </c>
      <c r="CD2572">
        <v>1.18</v>
      </c>
      <c r="CE2572">
        <v>-1.19</v>
      </c>
      <c r="CF2572">
        <v>-0.75</v>
      </c>
      <c r="CG2572">
        <v>0</v>
      </c>
      <c r="CH2572">
        <v>0</v>
      </c>
      <c r="CI2572">
        <v>0</v>
      </c>
      <c r="CJ2572">
        <v>-1.1000000000000001</v>
      </c>
      <c r="CK2572">
        <v>99</v>
      </c>
      <c r="CL2572">
        <v>-0.3</v>
      </c>
      <c r="CM2572">
        <v>99</v>
      </c>
      <c r="CN2572">
        <v>0.08</v>
      </c>
      <c r="CO2572">
        <v>99</v>
      </c>
      <c r="CP2572">
        <v>-8.6999999999999993</v>
      </c>
      <c r="CQ2572">
        <v>99</v>
      </c>
      <c r="CR2572">
        <v>0</v>
      </c>
      <c r="CS2572">
        <v>0</v>
      </c>
      <c r="CT2572">
        <v>-5.8</v>
      </c>
      <c r="CU2572">
        <v>99</v>
      </c>
      <c r="CV2572">
        <v>0.13</v>
      </c>
      <c r="CW2572">
        <v>46</v>
      </c>
      <c r="CX2572" t="s">
        <v>675</v>
      </c>
    </row>
    <row r="2573" spans="1:102" x14ac:dyDescent="0.3">
      <c r="A2573" t="str">
        <f>HYPERLINK("https://webapp.icbf.com/v2/app/bull-search/view/685460513","LKX")</f>
        <v>LKX</v>
      </c>
      <c r="B2573" t="s">
        <v>12889</v>
      </c>
      <c r="C2573" t="s">
        <v>12890</v>
      </c>
      <c r="D2573" s="1">
        <v>39908</v>
      </c>
      <c r="E2573" t="s">
        <v>92</v>
      </c>
      <c r="F2573">
        <v>100</v>
      </c>
      <c r="G2573" t="s">
        <v>93</v>
      </c>
      <c r="H2573">
        <v>29.89</v>
      </c>
      <c r="I2573">
        <v>96</v>
      </c>
      <c r="J2573">
        <v>10.199999999999999</v>
      </c>
      <c r="K2573">
        <v>99</v>
      </c>
      <c r="L2573">
        <v>-15.32</v>
      </c>
      <c r="M2573">
        <v>93</v>
      </c>
      <c r="N2573">
        <v>21.05</v>
      </c>
      <c r="O2573">
        <v>98</v>
      </c>
      <c r="P2573">
        <v>-10.73</v>
      </c>
      <c r="Q2573">
        <v>99</v>
      </c>
      <c r="R2573">
        <v>14.67</v>
      </c>
      <c r="S2573">
        <v>91</v>
      </c>
      <c r="T2573">
        <v>3.61</v>
      </c>
      <c r="U2573">
        <v>99</v>
      </c>
      <c r="V2573">
        <v>6.41</v>
      </c>
      <c r="W2573">
        <v>86</v>
      </c>
      <c r="X2573" t="s">
        <v>94</v>
      </c>
      <c r="Y2573" t="s">
        <v>1727</v>
      </c>
      <c r="Z2573" t="s">
        <v>96</v>
      </c>
      <c r="AA2573" t="s">
        <v>277</v>
      </c>
      <c r="AB2573" t="s">
        <v>5296</v>
      </c>
      <c r="AC2573">
        <v>1243</v>
      </c>
      <c r="AD2573">
        <v>657</v>
      </c>
      <c r="AE2573">
        <v>99</v>
      </c>
      <c r="AF2573">
        <v>216.43</v>
      </c>
      <c r="AG2573">
        <v>0.22</v>
      </c>
      <c r="AH2573">
        <v>4.97</v>
      </c>
      <c r="AI2573">
        <v>-0.14000000000000001</v>
      </c>
      <c r="AJ2573">
        <v>-0.04</v>
      </c>
      <c r="AK2573">
        <v>93</v>
      </c>
      <c r="AL2573">
        <v>1484</v>
      </c>
      <c r="AM2573">
        <v>846</v>
      </c>
      <c r="AN2573">
        <v>0.94</v>
      </c>
      <c r="AO2573">
        <v>-0.28000000000000003</v>
      </c>
      <c r="AP2573">
        <v>2608</v>
      </c>
      <c r="AQ2573">
        <v>19</v>
      </c>
      <c r="AR2573">
        <v>6.44</v>
      </c>
      <c r="AS2573">
        <v>96</v>
      </c>
      <c r="AT2573">
        <v>2.83</v>
      </c>
      <c r="AU2573">
        <v>98</v>
      </c>
      <c r="AV2573">
        <v>-1.76</v>
      </c>
      <c r="AW2573">
        <v>99</v>
      </c>
      <c r="AX2573">
        <v>-0.16</v>
      </c>
      <c r="AY2573">
        <v>98</v>
      </c>
      <c r="AZ2573">
        <v>5.44</v>
      </c>
      <c r="BA2573">
        <v>93</v>
      </c>
      <c r="BB2573">
        <v>5.04</v>
      </c>
      <c r="BC2573">
        <v>94</v>
      </c>
      <c r="BD2573">
        <v>-0.05</v>
      </c>
      <c r="BE2573">
        <v>-0.06</v>
      </c>
      <c r="BF2573">
        <v>-0.14000000000000001</v>
      </c>
      <c r="BG2573">
        <v>98</v>
      </c>
      <c r="BH2573">
        <v>-0.12</v>
      </c>
      <c r="BI2573">
        <v>-34.57</v>
      </c>
      <c r="BJ2573">
        <v>69</v>
      </c>
      <c r="BK2573">
        <v>50</v>
      </c>
      <c r="BL2573">
        <v>0.28999999999999998</v>
      </c>
      <c r="BM2573">
        <v>-1.25</v>
      </c>
      <c r="BN2573">
        <v>-0.38</v>
      </c>
      <c r="BO2573">
        <v>0.16</v>
      </c>
      <c r="BP2573">
        <v>-0.1</v>
      </c>
      <c r="BQ2573">
        <v>-2.25</v>
      </c>
      <c r="BR2573">
        <v>1.73</v>
      </c>
      <c r="BS2573">
        <v>-1.22</v>
      </c>
      <c r="BT2573">
        <v>-1.82</v>
      </c>
      <c r="BU2573">
        <v>-0.83</v>
      </c>
      <c r="BV2573">
        <v>-1.21</v>
      </c>
      <c r="BW2573">
        <v>-2.6</v>
      </c>
      <c r="BX2573">
        <v>0</v>
      </c>
      <c r="BY2573">
        <v>-2.06</v>
      </c>
      <c r="BZ2573">
        <v>-1.49</v>
      </c>
      <c r="CA2573">
        <v>-1.05</v>
      </c>
      <c r="CB2573">
        <v>-1.1100000000000001</v>
      </c>
      <c r="CC2573">
        <v>-0.57999999999999996</v>
      </c>
      <c r="CD2573">
        <v>-0.54</v>
      </c>
      <c r="CE2573">
        <v>0.21</v>
      </c>
      <c r="CF2573">
        <v>-0.52</v>
      </c>
      <c r="CG2573">
        <v>0</v>
      </c>
      <c r="CH2573">
        <v>-2.15</v>
      </c>
      <c r="CI2573">
        <v>0</v>
      </c>
      <c r="CJ2573">
        <v>-1.4</v>
      </c>
      <c r="CK2573">
        <v>99</v>
      </c>
      <c r="CL2573">
        <v>-1.02</v>
      </c>
      <c r="CM2573">
        <v>99</v>
      </c>
      <c r="CN2573">
        <v>-0.09</v>
      </c>
      <c r="CO2573">
        <v>99</v>
      </c>
      <c r="CP2573">
        <v>4.5</v>
      </c>
      <c r="CQ2573">
        <v>99</v>
      </c>
      <c r="CR2573">
        <v>0</v>
      </c>
      <c r="CS2573">
        <v>0</v>
      </c>
      <c r="CT2573">
        <v>8.9</v>
      </c>
      <c r="CU2573">
        <v>99</v>
      </c>
      <c r="CV2573">
        <v>0.26</v>
      </c>
      <c r="CW2573">
        <v>47</v>
      </c>
      <c r="CX2573" t="s">
        <v>316</v>
      </c>
    </row>
    <row r="2574" spans="1:102" x14ac:dyDescent="0.3">
      <c r="A2574" t="str">
        <f>HYPERLINK("https://webapp.icbf.com/v2/app/bull-search/view/1378099194","S3118")</f>
        <v>S3118</v>
      </c>
      <c r="B2574" t="s">
        <v>13704</v>
      </c>
      <c r="C2574" t="s">
        <v>13705</v>
      </c>
      <c r="D2574" s="1">
        <v>41809</v>
      </c>
      <c r="E2574" t="s">
        <v>146</v>
      </c>
      <c r="F2574">
        <v>31</v>
      </c>
      <c r="G2574" t="s">
        <v>435</v>
      </c>
      <c r="H2574">
        <v>29.76</v>
      </c>
      <c r="I2574">
        <v>26</v>
      </c>
      <c r="J2574">
        <v>-2.8</v>
      </c>
      <c r="K2574">
        <v>27</v>
      </c>
      <c r="L2574">
        <v>15.8</v>
      </c>
      <c r="M2574">
        <v>13</v>
      </c>
      <c r="N2574">
        <v>3.46</v>
      </c>
      <c r="O2574">
        <v>44</v>
      </c>
      <c r="P2574">
        <v>7.75</v>
      </c>
      <c r="Q2574">
        <v>56</v>
      </c>
      <c r="R2574">
        <v>-1.07</v>
      </c>
      <c r="S2574">
        <v>13</v>
      </c>
      <c r="T2574">
        <v>9.76</v>
      </c>
      <c r="U2574">
        <v>38</v>
      </c>
      <c r="V2574">
        <v>-3.14</v>
      </c>
      <c r="W2574">
        <v>6</v>
      </c>
      <c r="X2574" t="s">
        <v>110</v>
      </c>
      <c r="Y2574" t="s">
        <v>457</v>
      </c>
      <c r="Z2574" t="s">
        <v>528</v>
      </c>
      <c r="AA2574" t="s">
        <v>341</v>
      </c>
      <c r="AB2574" t="s">
        <v>13706</v>
      </c>
      <c r="AC2574">
        <v>3</v>
      </c>
      <c r="AD2574">
        <v>1</v>
      </c>
      <c r="AE2574">
        <v>27</v>
      </c>
      <c r="AF2574">
        <v>-85.48</v>
      </c>
      <c r="AG2574">
        <v>-5.27</v>
      </c>
      <c r="AH2574">
        <v>0.08</v>
      </c>
      <c r="AI2574">
        <v>-0.03</v>
      </c>
      <c r="AJ2574">
        <v>0.05</v>
      </c>
      <c r="AK2574">
        <v>13</v>
      </c>
      <c r="AL2574">
        <v>0</v>
      </c>
      <c r="AM2574">
        <v>0</v>
      </c>
      <c r="AN2574">
        <v>-0.84</v>
      </c>
      <c r="AO2574">
        <v>0.42</v>
      </c>
      <c r="AP2574">
        <v>3</v>
      </c>
      <c r="AQ2574">
        <v>0</v>
      </c>
      <c r="AR2574">
        <v>7.25</v>
      </c>
      <c r="AS2574">
        <v>36</v>
      </c>
      <c r="AT2574">
        <v>2.62</v>
      </c>
      <c r="AU2574">
        <v>70</v>
      </c>
      <c r="AV2574">
        <v>-0.85</v>
      </c>
      <c r="AW2574">
        <v>40</v>
      </c>
      <c r="AX2574">
        <v>0.12</v>
      </c>
      <c r="AY2574">
        <v>46</v>
      </c>
      <c r="AZ2574">
        <v>8.01</v>
      </c>
      <c r="BA2574">
        <v>22</v>
      </c>
      <c r="BB2574">
        <v>6.04</v>
      </c>
      <c r="BC2574">
        <v>21</v>
      </c>
      <c r="BD2574">
        <v>0.01</v>
      </c>
      <c r="BE2574">
        <v>0.02</v>
      </c>
      <c r="BF2574">
        <v>-0.03</v>
      </c>
      <c r="BG2574">
        <v>17</v>
      </c>
      <c r="BH2574">
        <v>-0.12</v>
      </c>
      <c r="BI2574">
        <v>-3.75</v>
      </c>
      <c r="BJ2574">
        <v>0</v>
      </c>
      <c r="BK2574">
        <v>0</v>
      </c>
      <c r="BL2574">
        <v>-1.24</v>
      </c>
      <c r="BM2574">
        <v>1.47</v>
      </c>
      <c r="BN2574">
        <v>-0.15</v>
      </c>
      <c r="BO2574">
        <v>-0.55000000000000004</v>
      </c>
      <c r="BP2574">
        <v>1.17</v>
      </c>
      <c r="BQ2574">
        <v>-0.32</v>
      </c>
      <c r="BR2574">
        <v>-0.25</v>
      </c>
      <c r="BS2574">
        <v>0.4</v>
      </c>
      <c r="BT2574">
        <v>0.51</v>
      </c>
      <c r="BU2574">
        <v>-1.56</v>
      </c>
      <c r="BV2574">
        <v>-0.55000000000000004</v>
      </c>
      <c r="BW2574">
        <v>-0.82</v>
      </c>
      <c r="BX2574">
        <v>-2.17</v>
      </c>
      <c r="BY2574">
        <v>0.55000000000000004</v>
      </c>
      <c r="BZ2574">
        <v>1.24</v>
      </c>
      <c r="CA2574">
        <v>-0.88</v>
      </c>
      <c r="CB2574">
        <v>-1.1200000000000001</v>
      </c>
      <c r="CC2574">
        <v>0.11</v>
      </c>
      <c r="CD2574">
        <v>1.1200000000000001</v>
      </c>
      <c r="CE2574">
        <v>-0.04</v>
      </c>
      <c r="CF2574">
        <v>0.02</v>
      </c>
      <c r="CG2574">
        <v>0</v>
      </c>
      <c r="CH2574">
        <v>-0.13</v>
      </c>
      <c r="CI2574">
        <v>0</v>
      </c>
      <c r="CJ2574">
        <v>3.5</v>
      </c>
      <c r="CK2574">
        <v>59</v>
      </c>
      <c r="CL2574">
        <v>-0.1</v>
      </c>
      <c r="CM2574">
        <v>55</v>
      </c>
      <c r="CN2574">
        <v>-0.4</v>
      </c>
      <c r="CO2574">
        <v>54</v>
      </c>
      <c r="CP2574">
        <v>-4.9000000000000004</v>
      </c>
      <c r="CQ2574">
        <v>41</v>
      </c>
      <c r="CR2574">
        <v>0</v>
      </c>
      <c r="CS2574">
        <v>0</v>
      </c>
      <c r="CT2574">
        <v>0.6</v>
      </c>
      <c r="CU2574">
        <v>38</v>
      </c>
      <c r="CV2574">
        <v>-0.09</v>
      </c>
      <c r="CW2574">
        <v>37</v>
      </c>
      <c r="CX2574" t="s">
        <v>5970</v>
      </c>
    </row>
    <row r="2575" spans="1:102" x14ac:dyDescent="0.3">
      <c r="A2575" t="str">
        <f>HYPERLINK("https://webapp.icbf.com/v2/app/bull-search/view/77856205","LDV")</f>
        <v>LDV</v>
      </c>
      <c r="B2575" t="s">
        <v>3457</v>
      </c>
      <c r="C2575" t="s">
        <v>3458</v>
      </c>
      <c r="D2575" s="1">
        <v>33293</v>
      </c>
      <c r="E2575" t="s">
        <v>92</v>
      </c>
      <c r="F2575">
        <v>75</v>
      </c>
      <c r="G2575" t="s">
        <v>93</v>
      </c>
      <c r="H2575">
        <v>29.69</v>
      </c>
      <c r="I2575">
        <v>67</v>
      </c>
      <c r="J2575">
        <v>-8.85</v>
      </c>
      <c r="K2575">
        <v>85</v>
      </c>
      <c r="L2575">
        <v>-16.489999999999998</v>
      </c>
      <c r="M2575">
        <v>50</v>
      </c>
      <c r="N2575">
        <v>42.11</v>
      </c>
      <c r="O2575">
        <v>62</v>
      </c>
      <c r="P2575">
        <v>-11.77</v>
      </c>
      <c r="Q2575">
        <v>79</v>
      </c>
      <c r="R2575">
        <v>3.04</v>
      </c>
      <c r="S2575">
        <v>53</v>
      </c>
      <c r="T2575">
        <v>21.6</v>
      </c>
      <c r="U2575">
        <v>68</v>
      </c>
      <c r="V2575">
        <v>0.05</v>
      </c>
      <c r="W2575">
        <v>55</v>
      </c>
      <c r="X2575" t="s">
        <v>94</v>
      </c>
      <c r="Y2575" t="s">
        <v>117</v>
      </c>
      <c r="Z2575" t="s">
        <v>96</v>
      </c>
      <c r="AA2575" t="s">
        <v>2561</v>
      </c>
      <c r="AB2575" t="s">
        <v>3459</v>
      </c>
      <c r="AC2575">
        <v>26</v>
      </c>
      <c r="AD2575">
        <v>15</v>
      </c>
      <c r="AE2575">
        <v>85</v>
      </c>
      <c r="AF2575">
        <v>50.93</v>
      </c>
      <c r="AG2575">
        <v>0.35</v>
      </c>
      <c r="AH2575">
        <v>-0.85</v>
      </c>
      <c r="AI2575">
        <v>-0.03</v>
      </c>
      <c r="AJ2575">
        <v>-0.04</v>
      </c>
      <c r="AK2575">
        <v>50</v>
      </c>
      <c r="AL2575">
        <v>31</v>
      </c>
      <c r="AM2575">
        <v>21</v>
      </c>
      <c r="AN2575">
        <v>2.08</v>
      </c>
      <c r="AO2575">
        <v>0.78</v>
      </c>
      <c r="AP2575">
        <v>30</v>
      </c>
      <c r="AQ2575">
        <v>4</v>
      </c>
      <c r="AR2575">
        <v>6.05</v>
      </c>
      <c r="AS2575">
        <v>35</v>
      </c>
      <c r="AT2575">
        <v>2.61</v>
      </c>
      <c r="AU2575">
        <v>54</v>
      </c>
      <c r="AV2575">
        <v>-3.81</v>
      </c>
      <c r="AW2575">
        <v>83</v>
      </c>
      <c r="AX2575">
        <v>-0.84</v>
      </c>
      <c r="AY2575">
        <v>60</v>
      </c>
      <c r="AZ2575">
        <v>6.08</v>
      </c>
      <c r="BA2575">
        <v>32</v>
      </c>
      <c r="BB2575">
        <v>4.76</v>
      </c>
      <c r="BC2575">
        <v>35</v>
      </c>
      <c r="BD2575">
        <v>0</v>
      </c>
      <c r="BE2575">
        <v>0</v>
      </c>
      <c r="BF2575">
        <v>-7.0000000000000007E-2</v>
      </c>
      <c r="BG2575">
        <v>65</v>
      </c>
      <c r="BH2575">
        <v>-7.0000000000000007E-2</v>
      </c>
      <c r="BI2575">
        <v>-8.27</v>
      </c>
      <c r="BJ2575">
        <v>0</v>
      </c>
      <c r="BK2575">
        <v>0</v>
      </c>
      <c r="BL2575">
        <v>-0.73</v>
      </c>
      <c r="BM2575">
        <v>0.09</v>
      </c>
      <c r="BN2575">
        <v>-0.61</v>
      </c>
      <c r="BO2575">
        <v>-0.76</v>
      </c>
      <c r="BP2575">
        <v>-1.31</v>
      </c>
      <c r="BQ2575">
        <v>0.25</v>
      </c>
      <c r="BR2575">
        <v>1.48</v>
      </c>
      <c r="BS2575">
        <v>-0.9</v>
      </c>
      <c r="BT2575">
        <v>-1.04</v>
      </c>
      <c r="BU2575">
        <v>-0.24</v>
      </c>
      <c r="BV2575">
        <v>-0.89</v>
      </c>
      <c r="BW2575">
        <v>-0.36</v>
      </c>
      <c r="BX2575">
        <v>-0.08</v>
      </c>
      <c r="BY2575">
        <v>-0.4</v>
      </c>
      <c r="BZ2575">
        <v>-0.45</v>
      </c>
      <c r="CA2575">
        <v>-0.8</v>
      </c>
      <c r="CB2575">
        <v>-0.64</v>
      </c>
      <c r="CC2575">
        <v>-0.81</v>
      </c>
      <c r="CD2575">
        <v>0.54</v>
      </c>
      <c r="CE2575">
        <v>-0.74</v>
      </c>
      <c r="CF2575">
        <v>-0.7</v>
      </c>
      <c r="CG2575">
        <v>0</v>
      </c>
      <c r="CH2575">
        <v>-0.61</v>
      </c>
      <c r="CI2575">
        <v>0</v>
      </c>
      <c r="CJ2575">
        <v>-3.3</v>
      </c>
      <c r="CK2575">
        <v>81</v>
      </c>
      <c r="CL2575">
        <v>-0.81</v>
      </c>
      <c r="CM2575">
        <v>78</v>
      </c>
      <c r="CN2575">
        <v>-0.2</v>
      </c>
      <c r="CO2575">
        <v>75</v>
      </c>
      <c r="CP2575">
        <v>-8</v>
      </c>
      <c r="CQ2575">
        <v>73</v>
      </c>
      <c r="CR2575">
        <v>0</v>
      </c>
      <c r="CS2575">
        <v>0</v>
      </c>
      <c r="CT2575">
        <v>-15.4</v>
      </c>
      <c r="CU2575">
        <v>68</v>
      </c>
      <c r="CV2575">
        <v>0.19</v>
      </c>
      <c r="CW2575">
        <v>22</v>
      </c>
      <c r="CX2575" t="s">
        <v>622</v>
      </c>
    </row>
    <row r="2576" spans="1:102" x14ac:dyDescent="0.3">
      <c r="A2576" t="str">
        <f>HYPERLINK("https://webapp.icbf.com/v2/app/bull-search/view/586147268","AYG")</f>
        <v>AYG</v>
      </c>
      <c r="B2576" t="s">
        <v>1839</v>
      </c>
      <c r="C2576" t="s">
        <v>1840</v>
      </c>
      <c r="D2576" s="1">
        <v>38716</v>
      </c>
      <c r="E2576" t="s">
        <v>92</v>
      </c>
      <c r="F2576">
        <v>100</v>
      </c>
      <c r="G2576" t="s">
        <v>93</v>
      </c>
      <c r="H2576">
        <v>29.66</v>
      </c>
      <c r="I2576">
        <v>91</v>
      </c>
      <c r="J2576">
        <v>65.849999999999994</v>
      </c>
      <c r="K2576">
        <v>98</v>
      </c>
      <c r="L2576">
        <v>-51.85</v>
      </c>
      <c r="M2576">
        <v>90</v>
      </c>
      <c r="N2576">
        <v>3.41</v>
      </c>
      <c r="O2576">
        <v>87</v>
      </c>
      <c r="P2576">
        <v>1.87</v>
      </c>
      <c r="Q2576">
        <v>88</v>
      </c>
      <c r="R2576">
        <v>-1.59</v>
      </c>
      <c r="S2576">
        <v>82</v>
      </c>
      <c r="T2576">
        <v>4.5</v>
      </c>
      <c r="U2576">
        <v>83</v>
      </c>
      <c r="V2576">
        <v>7.47</v>
      </c>
      <c r="W2576">
        <v>75</v>
      </c>
      <c r="X2576" t="s">
        <v>288</v>
      </c>
      <c r="Y2576" t="s">
        <v>1756</v>
      </c>
      <c r="Z2576" t="s">
        <v>96</v>
      </c>
      <c r="AA2576" t="s">
        <v>350</v>
      </c>
      <c r="AB2576" t="s">
        <v>1841</v>
      </c>
      <c r="AC2576">
        <v>137</v>
      </c>
      <c r="AD2576">
        <v>48</v>
      </c>
      <c r="AE2576">
        <v>98</v>
      </c>
      <c r="AF2576">
        <v>396.71</v>
      </c>
      <c r="AG2576">
        <v>12.33</v>
      </c>
      <c r="AH2576">
        <v>12.91</v>
      </c>
      <c r="AI2576">
        <v>-0.05</v>
      </c>
      <c r="AJ2576">
        <v>-0.01</v>
      </c>
      <c r="AK2576">
        <v>90</v>
      </c>
      <c r="AL2576">
        <v>119</v>
      </c>
      <c r="AM2576">
        <v>41</v>
      </c>
      <c r="AN2576">
        <v>4</v>
      </c>
      <c r="AO2576">
        <v>-0.12</v>
      </c>
      <c r="AP2576">
        <v>181</v>
      </c>
      <c r="AQ2576">
        <v>0</v>
      </c>
      <c r="AR2576">
        <v>9.73</v>
      </c>
      <c r="AS2576">
        <v>84</v>
      </c>
      <c r="AT2576">
        <v>4.38</v>
      </c>
      <c r="AU2576">
        <v>92</v>
      </c>
      <c r="AV2576">
        <v>-2.2400000000000002</v>
      </c>
      <c r="AW2576">
        <v>93</v>
      </c>
      <c r="AX2576">
        <v>0.15</v>
      </c>
      <c r="AY2576">
        <v>81</v>
      </c>
      <c r="AZ2576">
        <v>5.47</v>
      </c>
      <c r="BA2576">
        <v>71</v>
      </c>
      <c r="BB2576">
        <v>4.22</v>
      </c>
      <c r="BC2576">
        <v>67</v>
      </c>
      <c r="BD2576">
        <v>-0.02</v>
      </c>
      <c r="BE2576">
        <v>0</v>
      </c>
      <c r="BF2576">
        <v>7.0000000000000007E-2</v>
      </c>
      <c r="BG2576">
        <v>93</v>
      </c>
      <c r="BH2576">
        <v>0.12</v>
      </c>
      <c r="BI2576">
        <v>-10.220000000000001</v>
      </c>
      <c r="BJ2576">
        <v>63</v>
      </c>
      <c r="BK2576">
        <v>27</v>
      </c>
      <c r="BL2576">
        <v>1.4</v>
      </c>
      <c r="BM2576">
        <v>-1.08</v>
      </c>
      <c r="BN2576">
        <v>-0.11</v>
      </c>
      <c r="BO2576">
        <v>1.33</v>
      </c>
      <c r="BP2576">
        <v>0.91</v>
      </c>
      <c r="BQ2576">
        <v>2.46</v>
      </c>
      <c r="BR2576">
        <v>-0.33</v>
      </c>
      <c r="BS2576">
        <v>1.32</v>
      </c>
      <c r="BT2576">
        <v>0.99</v>
      </c>
      <c r="BU2576">
        <v>1.55</v>
      </c>
      <c r="BV2576">
        <v>2.44</v>
      </c>
      <c r="BW2576">
        <v>2.61</v>
      </c>
      <c r="BX2576">
        <v>1.79</v>
      </c>
      <c r="BY2576">
        <v>-0.08</v>
      </c>
      <c r="BZ2576">
        <v>-0.24</v>
      </c>
      <c r="CA2576">
        <v>1.77</v>
      </c>
      <c r="CB2576">
        <v>1.61</v>
      </c>
      <c r="CC2576">
        <v>1.34</v>
      </c>
      <c r="CD2576">
        <v>-1.04</v>
      </c>
      <c r="CE2576">
        <v>1.39</v>
      </c>
      <c r="CF2576">
        <v>1.58</v>
      </c>
      <c r="CG2576">
        <v>0</v>
      </c>
      <c r="CH2576">
        <v>-0.09</v>
      </c>
      <c r="CI2576">
        <v>0</v>
      </c>
      <c r="CJ2576">
        <v>3.4</v>
      </c>
      <c r="CK2576">
        <v>89</v>
      </c>
      <c r="CL2576">
        <v>-1.01</v>
      </c>
      <c r="CM2576">
        <v>86</v>
      </c>
      <c r="CN2576">
        <v>-0.63</v>
      </c>
      <c r="CO2576">
        <v>85</v>
      </c>
      <c r="CP2576">
        <v>1.5</v>
      </c>
      <c r="CQ2576">
        <v>87</v>
      </c>
      <c r="CR2576">
        <v>0</v>
      </c>
      <c r="CS2576">
        <v>0</v>
      </c>
      <c r="CT2576">
        <v>7.7</v>
      </c>
      <c r="CU2576">
        <v>83</v>
      </c>
      <c r="CV2576">
        <v>0.24</v>
      </c>
      <c r="CW2576">
        <v>43</v>
      </c>
      <c r="CX2576" t="s">
        <v>1842</v>
      </c>
    </row>
    <row r="2577" spans="1:102" x14ac:dyDescent="0.3">
      <c r="A2577" t="str">
        <f>HYPERLINK("https://webapp.icbf.com/v2/app/bull-search/view/139188071","MUZ")</f>
        <v>MUZ</v>
      </c>
      <c r="B2577" t="s">
        <v>15572</v>
      </c>
      <c r="C2577" t="s">
        <v>15573</v>
      </c>
      <c r="D2577" s="1">
        <v>35258</v>
      </c>
      <c r="E2577" t="s">
        <v>140</v>
      </c>
      <c r="F2577">
        <v>0</v>
      </c>
      <c r="G2577" t="s">
        <v>93</v>
      </c>
      <c r="H2577">
        <v>29.57</v>
      </c>
      <c r="I2577">
        <v>74</v>
      </c>
      <c r="J2577">
        <v>-29.98</v>
      </c>
      <c r="K2577">
        <v>92</v>
      </c>
      <c r="L2577">
        <v>26.5</v>
      </c>
      <c r="M2577">
        <v>56</v>
      </c>
      <c r="N2577">
        <v>11.75</v>
      </c>
      <c r="O2577">
        <v>72</v>
      </c>
      <c r="P2577">
        <v>11.98</v>
      </c>
      <c r="Q2577">
        <v>92</v>
      </c>
      <c r="R2577">
        <v>5.18</v>
      </c>
      <c r="S2577">
        <v>60</v>
      </c>
      <c r="T2577">
        <v>18.04</v>
      </c>
      <c r="U2577">
        <v>79</v>
      </c>
      <c r="V2577">
        <v>-13.9</v>
      </c>
      <c r="W2577">
        <v>43</v>
      </c>
      <c r="X2577" t="s">
        <v>94</v>
      </c>
      <c r="Y2577" t="s">
        <v>95</v>
      </c>
      <c r="Z2577">
        <v>0</v>
      </c>
      <c r="AA2577" t="s">
        <v>2937</v>
      </c>
      <c r="AB2577" t="s">
        <v>7429</v>
      </c>
      <c r="AC2577">
        <v>51</v>
      </c>
      <c r="AD2577">
        <v>14</v>
      </c>
      <c r="AE2577">
        <v>92</v>
      </c>
      <c r="AF2577">
        <v>-206.94</v>
      </c>
      <c r="AG2577">
        <v>-9.32</v>
      </c>
      <c r="AH2577">
        <v>-4.97</v>
      </c>
      <c r="AI2577">
        <v>-0.02</v>
      </c>
      <c r="AJ2577">
        <v>0.04</v>
      </c>
      <c r="AK2577">
        <v>56</v>
      </c>
      <c r="AL2577">
        <v>50</v>
      </c>
      <c r="AM2577">
        <v>21</v>
      </c>
      <c r="AN2577">
        <v>-0.93</v>
      </c>
      <c r="AO2577">
        <v>1.19</v>
      </c>
      <c r="AP2577">
        <v>91</v>
      </c>
      <c r="AQ2577">
        <v>9</v>
      </c>
      <c r="AR2577">
        <v>6.96</v>
      </c>
      <c r="AS2577">
        <v>53</v>
      </c>
      <c r="AT2577">
        <v>3.71</v>
      </c>
      <c r="AU2577">
        <v>71</v>
      </c>
      <c r="AV2577">
        <v>-1.1100000000000001</v>
      </c>
      <c r="AW2577">
        <v>85</v>
      </c>
      <c r="AX2577">
        <v>-0.8</v>
      </c>
      <c r="AY2577">
        <v>76</v>
      </c>
      <c r="AZ2577">
        <v>5.81</v>
      </c>
      <c r="BA2577">
        <v>40</v>
      </c>
      <c r="BB2577">
        <v>4.24</v>
      </c>
      <c r="BC2577">
        <v>46</v>
      </c>
      <c r="BD2577">
        <v>0</v>
      </c>
      <c r="BE2577">
        <v>-0.01</v>
      </c>
      <c r="BF2577">
        <v>-0.1</v>
      </c>
      <c r="BG2577">
        <v>74</v>
      </c>
      <c r="BH2577">
        <v>-0.36</v>
      </c>
      <c r="BI2577">
        <v>3.18</v>
      </c>
      <c r="BJ2577">
        <v>0</v>
      </c>
      <c r="BK2577">
        <v>0</v>
      </c>
      <c r="BL2577">
        <v>-0.75</v>
      </c>
      <c r="BM2577">
        <v>3.51</v>
      </c>
      <c r="BN2577">
        <v>-1.41</v>
      </c>
      <c r="BO2577">
        <v>-2.82</v>
      </c>
      <c r="BP2577">
        <v>4.34</v>
      </c>
      <c r="BQ2577">
        <v>-1.9</v>
      </c>
      <c r="BR2577">
        <v>-2.61</v>
      </c>
      <c r="BS2577">
        <v>-0.24</v>
      </c>
      <c r="BT2577">
        <v>2.5299999999999998</v>
      </c>
      <c r="BU2577">
        <v>-3.12</v>
      </c>
      <c r="BV2577">
        <v>-3.42</v>
      </c>
      <c r="BW2577">
        <v>-2.68</v>
      </c>
      <c r="BX2577">
        <v>-2.71</v>
      </c>
      <c r="BY2577">
        <v>-1.92</v>
      </c>
      <c r="BZ2577">
        <v>1.07</v>
      </c>
      <c r="CA2577">
        <v>-2.1800000000000002</v>
      </c>
      <c r="CB2577">
        <v>-2.88</v>
      </c>
      <c r="CC2577">
        <v>-0.16</v>
      </c>
      <c r="CD2577">
        <v>3.79</v>
      </c>
      <c r="CE2577">
        <v>-2.87</v>
      </c>
      <c r="CF2577">
        <v>-1.02</v>
      </c>
      <c r="CG2577">
        <v>0</v>
      </c>
      <c r="CH2577">
        <v>-2.39</v>
      </c>
      <c r="CI2577">
        <v>0</v>
      </c>
      <c r="CJ2577">
        <v>1.6</v>
      </c>
      <c r="CK2577">
        <v>93</v>
      </c>
      <c r="CL2577">
        <v>0.45</v>
      </c>
      <c r="CM2577">
        <v>92</v>
      </c>
      <c r="CN2577">
        <v>-0.53</v>
      </c>
      <c r="CO2577">
        <v>91</v>
      </c>
      <c r="CP2577">
        <v>-7.2</v>
      </c>
      <c r="CQ2577">
        <v>86</v>
      </c>
      <c r="CR2577">
        <v>0</v>
      </c>
      <c r="CS2577">
        <v>0</v>
      </c>
      <c r="CT2577">
        <v>-10.6</v>
      </c>
      <c r="CU2577">
        <v>79</v>
      </c>
      <c r="CV2577">
        <v>-0.28999999999999998</v>
      </c>
      <c r="CW2577">
        <v>26</v>
      </c>
      <c r="CX2577" t="s">
        <v>224</v>
      </c>
    </row>
    <row r="2578" spans="1:102" x14ac:dyDescent="0.3">
      <c r="A2578" t="str">
        <f>HYPERLINK("https://webapp.icbf.com/v2/app/bull-search/view/1028556002","S3119")</f>
        <v>S3119</v>
      </c>
      <c r="B2578" t="s">
        <v>13741</v>
      </c>
      <c r="C2578" t="s">
        <v>13742</v>
      </c>
      <c r="D2578" s="1">
        <v>40702</v>
      </c>
      <c r="E2578" t="s">
        <v>92</v>
      </c>
      <c r="F2578">
        <v>100</v>
      </c>
      <c r="G2578" t="s">
        <v>109</v>
      </c>
      <c r="H2578">
        <v>29.54</v>
      </c>
      <c r="I2578">
        <v>80</v>
      </c>
      <c r="J2578">
        <v>51</v>
      </c>
      <c r="K2578">
        <v>93</v>
      </c>
      <c r="L2578">
        <v>-34.729999999999997</v>
      </c>
      <c r="M2578">
        <v>85</v>
      </c>
      <c r="N2578">
        <v>0.63</v>
      </c>
      <c r="O2578">
        <v>79</v>
      </c>
      <c r="P2578">
        <v>13.68</v>
      </c>
      <c r="Q2578">
        <v>56</v>
      </c>
      <c r="R2578">
        <v>16.350000000000001</v>
      </c>
      <c r="S2578">
        <v>75</v>
      </c>
      <c r="T2578">
        <v>-19.18</v>
      </c>
      <c r="U2578">
        <v>43</v>
      </c>
      <c r="V2578">
        <v>1.79</v>
      </c>
      <c r="W2578">
        <v>59</v>
      </c>
      <c r="X2578" t="s">
        <v>94</v>
      </c>
      <c r="Y2578" t="s">
        <v>457</v>
      </c>
      <c r="Z2578" t="s">
        <v>96</v>
      </c>
      <c r="AA2578" t="s">
        <v>353</v>
      </c>
      <c r="AB2578" t="s">
        <v>13743</v>
      </c>
      <c r="AC2578">
        <v>0</v>
      </c>
      <c r="AD2578">
        <v>0</v>
      </c>
      <c r="AE2578">
        <v>93</v>
      </c>
      <c r="AF2578">
        <v>430.37</v>
      </c>
      <c r="AG2578">
        <v>9.02</v>
      </c>
      <c r="AH2578">
        <v>12.07</v>
      </c>
      <c r="AI2578">
        <v>-0.13</v>
      </c>
      <c r="AJ2578">
        <v>-0.04</v>
      </c>
      <c r="AK2578">
        <v>85</v>
      </c>
      <c r="AL2578">
        <v>0</v>
      </c>
      <c r="AM2578">
        <v>0</v>
      </c>
      <c r="AN2578">
        <v>3.41</v>
      </c>
      <c r="AO2578">
        <v>0.66</v>
      </c>
      <c r="AP2578">
        <v>92</v>
      </c>
      <c r="AQ2578">
        <v>0</v>
      </c>
      <c r="AR2578">
        <v>10.59</v>
      </c>
      <c r="AS2578">
        <v>73</v>
      </c>
      <c r="AT2578">
        <v>4.68</v>
      </c>
      <c r="AU2578">
        <v>92</v>
      </c>
      <c r="AV2578">
        <v>-3.71</v>
      </c>
      <c r="AW2578">
        <v>89</v>
      </c>
      <c r="AX2578">
        <v>1.1299999999999999</v>
      </c>
      <c r="AY2578">
        <v>72</v>
      </c>
      <c r="AZ2578">
        <v>6.99</v>
      </c>
      <c r="BA2578">
        <v>45</v>
      </c>
      <c r="BB2578">
        <v>4.92</v>
      </c>
      <c r="BC2578">
        <v>42</v>
      </c>
      <c r="BD2578">
        <v>-0.09</v>
      </c>
      <c r="BE2578">
        <v>-0.04</v>
      </c>
      <c r="BF2578">
        <v>-0.15</v>
      </c>
      <c r="BG2578">
        <v>92</v>
      </c>
      <c r="BH2578">
        <v>-0.03</v>
      </c>
      <c r="BI2578">
        <v>-9.24</v>
      </c>
      <c r="BJ2578">
        <v>0</v>
      </c>
      <c r="BK2578">
        <v>0</v>
      </c>
      <c r="BL2578">
        <v>2.5</v>
      </c>
      <c r="BM2578">
        <v>1.1100000000000001</v>
      </c>
      <c r="BN2578">
        <v>1.41</v>
      </c>
      <c r="BO2578">
        <v>0.81</v>
      </c>
      <c r="BP2578">
        <v>1.25</v>
      </c>
      <c r="BQ2578">
        <v>2.77</v>
      </c>
      <c r="BR2578">
        <v>-1.71</v>
      </c>
      <c r="BS2578">
        <v>1.97</v>
      </c>
      <c r="BT2578">
        <v>2.35</v>
      </c>
      <c r="BU2578">
        <v>3.28</v>
      </c>
      <c r="BV2578">
        <v>1.97</v>
      </c>
      <c r="BW2578">
        <v>1.98</v>
      </c>
      <c r="BX2578">
        <v>2.94</v>
      </c>
      <c r="BY2578">
        <v>1.1399999999999999</v>
      </c>
      <c r="BZ2578">
        <v>0.92</v>
      </c>
      <c r="CA2578">
        <v>2.4500000000000002</v>
      </c>
      <c r="CB2578">
        <v>2</v>
      </c>
      <c r="CC2578">
        <v>2.19</v>
      </c>
      <c r="CD2578">
        <v>0.34</v>
      </c>
      <c r="CE2578">
        <v>0.71</v>
      </c>
      <c r="CF2578">
        <v>1.05</v>
      </c>
      <c r="CG2578">
        <v>0</v>
      </c>
      <c r="CH2578">
        <v>1.1299999999999999</v>
      </c>
      <c r="CI2578">
        <v>0</v>
      </c>
      <c r="CJ2578">
        <v>9.3000000000000007</v>
      </c>
      <c r="CK2578">
        <v>58</v>
      </c>
      <c r="CL2578">
        <v>-1.2</v>
      </c>
      <c r="CM2578">
        <v>54</v>
      </c>
      <c r="CN2578">
        <v>-0.97</v>
      </c>
      <c r="CO2578">
        <v>53</v>
      </c>
      <c r="CP2578">
        <v>12.5</v>
      </c>
      <c r="CQ2578">
        <v>46</v>
      </c>
      <c r="CR2578">
        <v>0</v>
      </c>
      <c r="CS2578">
        <v>0</v>
      </c>
      <c r="CT2578">
        <v>39.700000000000003</v>
      </c>
      <c r="CU2578">
        <v>43</v>
      </c>
      <c r="CV2578">
        <v>0.28000000000000003</v>
      </c>
      <c r="CW2578">
        <v>38</v>
      </c>
      <c r="CX2578" t="s">
        <v>4548</v>
      </c>
    </row>
    <row r="2579" spans="1:102" x14ac:dyDescent="0.3">
      <c r="A2579" t="str">
        <f>HYPERLINK("https://webapp.icbf.com/v2/app/bull-search/view/720514891","S1060")</f>
        <v>S1060</v>
      </c>
      <c r="B2579" t="s">
        <v>14889</v>
      </c>
      <c r="C2579" t="s">
        <v>14890</v>
      </c>
      <c r="D2579" s="1">
        <v>38250</v>
      </c>
      <c r="E2579" t="s">
        <v>227</v>
      </c>
      <c r="F2579">
        <v>0</v>
      </c>
      <c r="G2579" t="s">
        <v>109</v>
      </c>
      <c r="H2579">
        <v>29.53</v>
      </c>
      <c r="I2579">
        <v>70</v>
      </c>
      <c r="J2579">
        <v>37.54</v>
      </c>
      <c r="K2579">
        <v>85</v>
      </c>
      <c r="L2579">
        <v>-6.38</v>
      </c>
      <c r="M2579">
        <v>78</v>
      </c>
      <c r="N2579">
        <v>-1.35</v>
      </c>
      <c r="O2579">
        <v>44</v>
      </c>
      <c r="P2579">
        <v>-77.47</v>
      </c>
      <c r="Q2579">
        <v>47</v>
      </c>
      <c r="R2579">
        <v>6.33</v>
      </c>
      <c r="S2579">
        <v>58</v>
      </c>
      <c r="T2579">
        <v>74.28</v>
      </c>
      <c r="U2579">
        <v>39</v>
      </c>
      <c r="V2579">
        <v>-3.42</v>
      </c>
      <c r="W2579">
        <v>58</v>
      </c>
      <c r="X2579" t="s">
        <v>288</v>
      </c>
      <c r="Y2579" t="s">
        <v>336</v>
      </c>
      <c r="Z2579">
        <v>0</v>
      </c>
      <c r="AA2579" t="s">
        <v>3046</v>
      </c>
      <c r="AB2579" t="s">
        <v>14891</v>
      </c>
      <c r="AC2579">
        <v>0</v>
      </c>
      <c r="AD2579">
        <v>0</v>
      </c>
      <c r="AE2579">
        <v>85</v>
      </c>
      <c r="AF2579">
        <v>-221.59</v>
      </c>
      <c r="AG2579">
        <v>8.9700000000000006</v>
      </c>
      <c r="AH2579">
        <v>-0.18</v>
      </c>
      <c r="AI2579">
        <v>0.31</v>
      </c>
      <c r="AJ2579">
        <v>0.14000000000000001</v>
      </c>
      <c r="AK2579">
        <v>78</v>
      </c>
      <c r="AL2579">
        <v>0</v>
      </c>
      <c r="AM2579">
        <v>0</v>
      </c>
      <c r="AN2579">
        <v>1.81</v>
      </c>
      <c r="AO2579">
        <v>1.32</v>
      </c>
      <c r="AP2579">
        <v>6</v>
      </c>
      <c r="AQ2579">
        <v>0</v>
      </c>
      <c r="AR2579">
        <v>4.01</v>
      </c>
      <c r="AS2579">
        <v>46</v>
      </c>
      <c r="AT2579">
        <v>2.68</v>
      </c>
      <c r="AU2579">
        <v>52</v>
      </c>
      <c r="AV2579">
        <v>-0.17</v>
      </c>
      <c r="AW2579">
        <v>42</v>
      </c>
      <c r="AX2579">
        <v>3.31</v>
      </c>
      <c r="AY2579">
        <v>40</v>
      </c>
      <c r="AZ2579">
        <v>8.11</v>
      </c>
      <c r="BA2579">
        <v>39</v>
      </c>
      <c r="BB2579">
        <v>5.63</v>
      </c>
      <c r="BC2579">
        <v>39</v>
      </c>
      <c r="BD2579">
        <v>-0.1</v>
      </c>
      <c r="BE2579">
        <v>-0.01</v>
      </c>
      <c r="BF2579">
        <v>0.04</v>
      </c>
      <c r="BG2579">
        <v>62</v>
      </c>
      <c r="BH2579">
        <v>-0.08</v>
      </c>
      <c r="BI2579">
        <v>1.77</v>
      </c>
      <c r="BJ2579">
        <v>0</v>
      </c>
      <c r="BK2579">
        <v>0</v>
      </c>
      <c r="BL2579">
        <v>-0.75</v>
      </c>
      <c r="BM2579">
        <v>-1.31</v>
      </c>
      <c r="BN2579">
        <v>0.24</v>
      </c>
      <c r="BO2579">
        <v>1.64</v>
      </c>
      <c r="BP2579">
        <v>-0.41</v>
      </c>
      <c r="BQ2579">
        <v>-4.0599999999999996</v>
      </c>
      <c r="BR2579">
        <v>2.2799999999999998</v>
      </c>
      <c r="BS2579">
        <v>6.57</v>
      </c>
      <c r="BT2579">
        <v>-1.24</v>
      </c>
      <c r="BU2579">
        <v>1.23</v>
      </c>
      <c r="BV2579">
        <v>1.21</v>
      </c>
      <c r="BW2579">
        <v>-1.18</v>
      </c>
      <c r="BX2579">
        <v>-1.61</v>
      </c>
      <c r="BY2579">
        <v>0.43</v>
      </c>
      <c r="BZ2579">
        <v>0.53</v>
      </c>
      <c r="CA2579">
        <v>2.5499999999999998</v>
      </c>
      <c r="CB2579">
        <v>1.31</v>
      </c>
      <c r="CC2579">
        <v>3.98</v>
      </c>
      <c r="CD2579">
        <v>-2.08</v>
      </c>
      <c r="CE2579">
        <v>1.57</v>
      </c>
      <c r="CF2579">
        <v>-0.01</v>
      </c>
      <c r="CG2579">
        <v>0</v>
      </c>
      <c r="CH2579">
        <v>-0.12</v>
      </c>
      <c r="CI2579">
        <v>0</v>
      </c>
      <c r="CJ2579">
        <v>-41.3</v>
      </c>
      <c r="CK2579">
        <v>48</v>
      </c>
      <c r="CL2579">
        <v>-1.37</v>
      </c>
      <c r="CM2579">
        <v>46</v>
      </c>
      <c r="CN2579">
        <v>-0.23</v>
      </c>
      <c r="CO2579">
        <v>46</v>
      </c>
      <c r="CP2579">
        <v>-60.2</v>
      </c>
      <c r="CQ2579">
        <v>40</v>
      </c>
      <c r="CR2579">
        <v>0</v>
      </c>
      <c r="CS2579">
        <v>0</v>
      </c>
      <c r="CT2579">
        <v>-86.6</v>
      </c>
      <c r="CU2579">
        <v>39</v>
      </c>
      <c r="CV2579">
        <v>-0.28999999999999998</v>
      </c>
      <c r="CW2579">
        <v>35</v>
      </c>
      <c r="CX2579" t="s">
        <v>14892</v>
      </c>
    </row>
    <row r="2580" spans="1:102" x14ac:dyDescent="0.3">
      <c r="A2580" t="str">
        <f>HYPERLINK("https://webapp.icbf.com/v2/app/bull-search/view/108379881","PTX")</f>
        <v>PTX</v>
      </c>
      <c r="B2580" t="s">
        <v>11371</v>
      </c>
      <c r="C2580" t="s">
        <v>11372</v>
      </c>
      <c r="D2580" s="1">
        <v>35922</v>
      </c>
      <c r="E2580" t="s">
        <v>146</v>
      </c>
      <c r="F2580">
        <v>0</v>
      </c>
      <c r="G2580" t="s">
        <v>93</v>
      </c>
      <c r="H2580">
        <v>29.49</v>
      </c>
      <c r="I2580">
        <v>93</v>
      </c>
      <c r="J2580">
        <v>-46.09</v>
      </c>
      <c r="K2580">
        <v>99</v>
      </c>
      <c r="L2580">
        <v>50.42</v>
      </c>
      <c r="M2580">
        <v>86</v>
      </c>
      <c r="N2580">
        <v>28.27</v>
      </c>
      <c r="O2580">
        <v>94</v>
      </c>
      <c r="P2580">
        <v>11.59</v>
      </c>
      <c r="Q2580">
        <v>98</v>
      </c>
      <c r="R2580">
        <v>-7.02</v>
      </c>
      <c r="S2580">
        <v>88</v>
      </c>
      <c r="T2580">
        <v>9.02</v>
      </c>
      <c r="U2580">
        <v>95</v>
      </c>
      <c r="V2580">
        <v>-16.7</v>
      </c>
      <c r="W2580">
        <v>89</v>
      </c>
      <c r="X2580" t="s">
        <v>276</v>
      </c>
      <c r="Y2580" t="s">
        <v>95</v>
      </c>
      <c r="Z2580">
        <v>0</v>
      </c>
      <c r="AA2580" t="s">
        <v>236</v>
      </c>
      <c r="AB2580" t="s">
        <v>11373</v>
      </c>
      <c r="AC2580">
        <v>373</v>
      </c>
      <c r="AD2580">
        <v>131</v>
      </c>
      <c r="AE2580">
        <v>99</v>
      </c>
      <c r="AF2580">
        <v>-153.21</v>
      </c>
      <c r="AG2580">
        <v>-15.67</v>
      </c>
      <c r="AH2580">
        <v>-4.6399999999999997</v>
      </c>
      <c r="AI2580">
        <v>-0.16</v>
      </c>
      <c r="AJ2580">
        <v>0.01</v>
      </c>
      <c r="AK2580">
        <v>86</v>
      </c>
      <c r="AL2580">
        <v>456</v>
      </c>
      <c r="AM2580">
        <v>167</v>
      </c>
      <c r="AN2580">
        <v>-2.04</v>
      </c>
      <c r="AO2580">
        <v>1.99</v>
      </c>
      <c r="AP2580">
        <v>655</v>
      </c>
      <c r="AQ2580">
        <v>13</v>
      </c>
      <c r="AR2580">
        <v>5.84</v>
      </c>
      <c r="AS2580">
        <v>93</v>
      </c>
      <c r="AT2580">
        <v>2.27</v>
      </c>
      <c r="AU2580">
        <v>94</v>
      </c>
      <c r="AV2580">
        <v>-2.2000000000000002</v>
      </c>
      <c r="AW2580">
        <v>98</v>
      </c>
      <c r="AX2580">
        <v>1.32</v>
      </c>
      <c r="AY2580">
        <v>94</v>
      </c>
      <c r="AZ2580">
        <v>4.99</v>
      </c>
      <c r="BA2580">
        <v>83</v>
      </c>
      <c r="BB2580">
        <v>4.74</v>
      </c>
      <c r="BC2580">
        <v>87</v>
      </c>
      <c r="BD2580">
        <v>-0.01</v>
      </c>
      <c r="BE2580">
        <v>0.02</v>
      </c>
      <c r="BF2580">
        <v>0.14000000000000001</v>
      </c>
      <c r="BG2580">
        <v>94</v>
      </c>
      <c r="BH2580">
        <v>-0.34</v>
      </c>
      <c r="BI2580">
        <v>14.53</v>
      </c>
      <c r="BJ2580">
        <v>0</v>
      </c>
      <c r="BK2580">
        <v>0</v>
      </c>
      <c r="BL2580">
        <v>-2.46</v>
      </c>
      <c r="BM2580">
        <v>2.4300000000000002</v>
      </c>
      <c r="BN2580">
        <v>0.02</v>
      </c>
      <c r="BO2580">
        <v>-1.56</v>
      </c>
      <c r="BP2580">
        <v>1.1000000000000001</v>
      </c>
      <c r="BQ2580">
        <v>-0.04</v>
      </c>
      <c r="BR2580">
        <v>-1.24</v>
      </c>
      <c r="BS2580">
        <v>-1.03</v>
      </c>
      <c r="BT2580">
        <v>-0.56999999999999995</v>
      </c>
      <c r="BU2580">
        <v>-2.31</v>
      </c>
      <c r="BV2580">
        <v>-2.67</v>
      </c>
      <c r="BW2580">
        <v>-2.56</v>
      </c>
      <c r="BX2580">
        <v>-2.33</v>
      </c>
      <c r="BY2580">
        <v>-2.84</v>
      </c>
      <c r="BZ2580">
        <v>2.25</v>
      </c>
      <c r="CA2580">
        <v>-2.5</v>
      </c>
      <c r="CB2580">
        <v>-2.33</v>
      </c>
      <c r="CC2580">
        <v>-1.46</v>
      </c>
      <c r="CD2580">
        <v>2.61</v>
      </c>
      <c r="CE2580">
        <v>-1.83</v>
      </c>
      <c r="CF2580">
        <v>-0.42</v>
      </c>
      <c r="CG2580">
        <v>0</v>
      </c>
      <c r="CH2580">
        <v>-2.15</v>
      </c>
      <c r="CI2580">
        <v>0</v>
      </c>
      <c r="CJ2580">
        <v>4.8</v>
      </c>
      <c r="CK2580">
        <v>99</v>
      </c>
      <c r="CL2580">
        <v>0.05</v>
      </c>
      <c r="CM2580">
        <v>98</v>
      </c>
      <c r="CN2580">
        <v>-0.38</v>
      </c>
      <c r="CO2580">
        <v>98</v>
      </c>
      <c r="CP2580">
        <v>0</v>
      </c>
      <c r="CQ2580">
        <v>97</v>
      </c>
      <c r="CR2580">
        <v>0</v>
      </c>
      <c r="CS2580">
        <v>0</v>
      </c>
      <c r="CT2580">
        <v>1.6</v>
      </c>
      <c r="CU2580">
        <v>95</v>
      </c>
      <c r="CV2580">
        <v>-0.06</v>
      </c>
      <c r="CW2580">
        <v>29</v>
      </c>
      <c r="CX2580" t="s">
        <v>149</v>
      </c>
    </row>
    <row r="2581" spans="1:102" x14ac:dyDescent="0.3">
      <c r="A2581" t="str">
        <f>HYPERLINK("https://webapp.icbf.com/v2/app/bull-search/view/69091675","FLV")</f>
        <v>FLV</v>
      </c>
      <c r="B2581" t="s">
        <v>553</v>
      </c>
      <c r="C2581" t="s">
        <v>554</v>
      </c>
      <c r="D2581" s="1">
        <v>34471</v>
      </c>
      <c r="E2581" t="s">
        <v>227</v>
      </c>
      <c r="F2581">
        <v>0</v>
      </c>
      <c r="G2581" t="s">
        <v>93</v>
      </c>
      <c r="H2581">
        <v>29.46</v>
      </c>
      <c r="I2581">
        <v>93</v>
      </c>
      <c r="J2581">
        <v>12.4</v>
      </c>
      <c r="K2581">
        <v>96</v>
      </c>
      <c r="L2581">
        <v>-6.91</v>
      </c>
      <c r="M2581">
        <v>93</v>
      </c>
      <c r="N2581">
        <v>14.54</v>
      </c>
      <c r="O2581">
        <v>89</v>
      </c>
      <c r="P2581">
        <v>-85.7</v>
      </c>
      <c r="Q2581">
        <v>94</v>
      </c>
      <c r="R2581">
        <v>0.72</v>
      </c>
      <c r="S2581">
        <v>85</v>
      </c>
      <c r="T2581">
        <v>86.72</v>
      </c>
      <c r="U2581">
        <v>90</v>
      </c>
      <c r="V2581">
        <v>7.69</v>
      </c>
      <c r="W2581">
        <v>83</v>
      </c>
      <c r="X2581" t="s">
        <v>94</v>
      </c>
      <c r="Y2581" t="s">
        <v>95</v>
      </c>
      <c r="Z2581">
        <v>0</v>
      </c>
      <c r="AA2581" t="s">
        <v>533</v>
      </c>
      <c r="AB2581">
        <v>400650432</v>
      </c>
      <c r="AC2581">
        <v>117</v>
      </c>
      <c r="AD2581">
        <v>33</v>
      </c>
      <c r="AE2581">
        <v>96</v>
      </c>
      <c r="AF2581">
        <v>-547.28</v>
      </c>
      <c r="AG2581">
        <v>6.48</v>
      </c>
      <c r="AH2581">
        <v>-8.56</v>
      </c>
      <c r="AI2581">
        <v>0.51</v>
      </c>
      <c r="AJ2581">
        <v>0.19</v>
      </c>
      <c r="AK2581">
        <v>93</v>
      </c>
      <c r="AL2581">
        <v>122</v>
      </c>
      <c r="AM2581">
        <v>42</v>
      </c>
      <c r="AN2581">
        <v>2.0299999999999998</v>
      </c>
      <c r="AO2581">
        <v>1.5</v>
      </c>
      <c r="AP2581">
        <v>55</v>
      </c>
      <c r="AQ2581">
        <v>2</v>
      </c>
      <c r="AR2581">
        <v>2.38</v>
      </c>
      <c r="AS2581">
        <v>85</v>
      </c>
      <c r="AT2581">
        <v>1.33</v>
      </c>
      <c r="AU2581">
        <v>87</v>
      </c>
      <c r="AV2581">
        <v>-0.15</v>
      </c>
      <c r="AW2581">
        <v>94</v>
      </c>
      <c r="AX2581">
        <v>2.16</v>
      </c>
      <c r="AY2581">
        <v>91</v>
      </c>
      <c r="AZ2581">
        <v>6.66</v>
      </c>
      <c r="BA2581">
        <v>79</v>
      </c>
      <c r="BB2581">
        <v>5.57</v>
      </c>
      <c r="BC2581">
        <v>83</v>
      </c>
      <c r="BD2581">
        <v>-0.01</v>
      </c>
      <c r="BE2581">
        <v>0</v>
      </c>
      <c r="BF2581">
        <v>0</v>
      </c>
      <c r="BG2581">
        <v>92</v>
      </c>
      <c r="BH2581">
        <v>0.13</v>
      </c>
      <c r="BI2581">
        <v>-9.7799999999999994</v>
      </c>
      <c r="BJ2581">
        <v>5</v>
      </c>
      <c r="BK2581">
        <v>3</v>
      </c>
      <c r="BL2581">
        <v>-1.33</v>
      </c>
      <c r="BM2581">
        <v>-2.61</v>
      </c>
      <c r="BN2581">
        <v>-0.27</v>
      </c>
      <c r="BO2581">
        <v>1.96</v>
      </c>
      <c r="BP2581">
        <v>2.5299999999999998</v>
      </c>
      <c r="BQ2581">
        <v>-7.08</v>
      </c>
      <c r="BR2581">
        <v>3.94</v>
      </c>
      <c r="BS2581">
        <v>4.6100000000000003</v>
      </c>
      <c r="BT2581">
        <v>-2.39</v>
      </c>
      <c r="BU2581">
        <v>1.18</v>
      </c>
      <c r="BV2581">
        <v>0.48</v>
      </c>
      <c r="BW2581">
        <v>-1.25</v>
      </c>
      <c r="BX2581">
        <v>-1.6</v>
      </c>
      <c r="BY2581">
        <v>1.28</v>
      </c>
      <c r="BZ2581">
        <v>-1.07</v>
      </c>
      <c r="CA2581">
        <v>1.74</v>
      </c>
      <c r="CB2581">
        <v>0.91</v>
      </c>
      <c r="CC2581">
        <v>2.67</v>
      </c>
      <c r="CD2581">
        <v>-2.92</v>
      </c>
      <c r="CE2581">
        <v>1.79</v>
      </c>
      <c r="CF2581">
        <v>-2.09</v>
      </c>
      <c r="CG2581">
        <v>0</v>
      </c>
      <c r="CH2581">
        <v>0.06</v>
      </c>
      <c r="CI2581">
        <v>0</v>
      </c>
      <c r="CJ2581">
        <v>-46.6</v>
      </c>
      <c r="CK2581">
        <v>94</v>
      </c>
      <c r="CL2581">
        <v>-1.48</v>
      </c>
      <c r="CM2581">
        <v>93</v>
      </c>
      <c r="CN2581">
        <v>-0.37</v>
      </c>
      <c r="CO2581">
        <v>92</v>
      </c>
      <c r="CP2581">
        <v>-69.7</v>
      </c>
      <c r="CQ2581">
        <v>94</v>
      </c>
      <c r="CR2581">
        <v>0</v>
      </c>
      <c r="CS2581">
        <v>0</v>
      </c>
      <c r="CT2581">
        <v>-103.4</v>
      </c>
      <c r="CU2581">
        <v>90</v>
      </c>
      <c r="CV2581">
        <v>-0.54</v>
      </c>
      <c r="CW2581">
        <v>28</v>
      </c>
      <c r="CX2581" t="s">
        <v>555</v>
      </c>
    </row>
    <row r="2582" spans="1:102" x14ac:dyDescent="0.3">
      <c r="A2582" t="str">
        <f>HYPERLINK("https://webapp.icbf.com/v2/app/bull-search/view/586203775","S1050")</f>
        <v>S1050</v>
      </c>
      <c r="B2582" t="s">
        <v>1823</v>
      </c>
      <c r="C2582" t="s">
        <v>1824</v>
      </c>
      <c r="D2582" s="1">
        <v>38784</v>
      </c>
      <c r="E2582" t="s">
        <v>92</v>
      </c>
      <c r="F2582">
        <v>100</v>
      </c>
      <c r="G2582" t="s">
        <v>93</v>
      </c>
      <c r="H2582">
        <v>29.43</v>
      </c>
      <c r="I2582">
        <v>85</v>
      </c>
      <c r="J2582">
        <v>35.590000000000003</v>
      </c>
      <c r="K2582">
        <v>95</v>
      </c>
      <c r="L2582">
        <v>-18.16</v>
      </c>
      <c r="M2582">
        <v>88</v>
      </c>
      <c r="N2582">
        <v>15.98</v>
      </c>
      <c r="O2582">
        <v>79</v>
      </c>
      <c r="P2582">
        <v>-10.59</v>
      </c>
      <c r="Q2582">
        <v>74</v>
      </c>
      <c r="R2582">
        <v>7.45</v>
      </c>
      <c r="S2582">
        <v>80</v>
      </c>
      <c r="T2582">
        <v>-4.3</v>
      </c>
      <c r="U2582">
        <v>68</v>
      </c>
      <c r="V2582">
        <v>3.46</v>
      </c>
      <c r="W2582">
        <v>65</v>
      </c>
      <c r="X2582" t="s">
        <v>251</v>
      </c>
      <c r="Y2582" t="s">
        <v>336</v>
      </c>
      <c r="Z2582" t="s">
        <v>96</v>
      </c>
      <c r="AA2582" t="s">
        <v>309</v>
      </c>
      <c r="AB2582" t="s">
        <v>1825</v>
      </c>
      <c r="AC2582">
        <v>56</v>
      </c>
      <c r="AD2582">
        <v>22</v>
      </c>
      <c r="AE2582">
        <v>95</v>
      </c>
      <c r="AF2582">
        <v>413.51</v>
      </c>
      <c r="AG2582">
        <v>12.67</v>
      </c>
      <c r="AH2582">
        <v>7.9</v>
      </c>
      <c r="AI2582">
        <v>-0.06</v>
      </c>
      <c r="AJ2582">
        <v>-0.1</v>
      </c>
      <c r="AK2582">
        <v>88</v>
      </c>
      <c r="AL2582">
        <v>45</v>
      </c>
      <c r="AM2582">
        <v>18</v>
      </c>
      <c r="AN2582">
        <v>2.39</v>
      </c>
      <c r="AO2582">
        <v>0.96</v>
      </c>
      <c r="AP2582">
        <v>68</v>
      </c>
      <c r="AQ2582">
        <v>4</v>
      </c>
      <c r="AR2582">
        <v>6.94</v>
      </c>
      <c r="AS2582">
        <v>81</v>
      </c>
      <c r="AT2582">
        <v>3.42</v>
      </c>
      <c r="AU2582">
        <v>82</v>
      </c>
      <c r="AV2582">
        <v>-2.21</v>
      </c>
      <c r="AW2582">
        <v>88</v>
      </c>
      <c r="AX2582">
        <v>-0.84</v>
      </c>
      <c r="AY2582">
        <v>68</v>
      </c>
      <c r="AZ2582">
        <v>6.94</v>
      </c>
      <c r="BA2582">
        <v>59</v>
      </c>
      <c r="BB2582">
        <v>5.41</v>
      </c>
      <c r="BC2582">
        <v>57</v>
      </c>
      <c r="BD2582">
        <v>0.01</v>
      </c>
      <c r="BE2582">
        <v>-0.02</v>
      </c>
      <c r="BF2582">
        <v>-0.15</v>
      </c>
      <c r="BG2582">
        <v>93</v>
      </c>
      <c r="BH2582">
        <v>0.06</v>
      </c>
      <c r="BI2582">
        <v>-4.2300000000000004</v>
      </c>
      <c r="BJ2582">
        <v>20</v>
      </c>
      <c r="BK2582">
        <v>7</v>
      </c>
      <c r="BL2582">
        <v>1.68</v>
      </c>
      <c r="BM2582">
        <v>-1.94</v>
      </c>
      <c r="BN2582">
        <v>-0.91</v>
      </c>
      <c r="BO2582">
        <v>1.03</v>
      </c>
      <c r="BP2582">
        <v>-0.88</v>
      </c>
      <c r="BQ2582">
        <v>-1.1000000000000001</v>
      </c>
      <c r="BR2582">
        <v>-0.52</v>
      </c>
      <c r="BS2582">
        <v>0.38</v>
      </c>
      <c r="BT2582">
        <v>1.55</v>
      </c>
      <c r="BU2582">
        <v>1.9</v>
      </c>
      <c r="BV2582">
        <v>1.99</v>
      </c>
      <c r="BW2582">
        <v>1.46</v>
      </c>
      <c r="BX2582">
        <v>2.0099999999999998</v>
      </c>
      <c r="BY2582">
        <v>0.96</v>
      </c>
      <c r="BZ2582">
        <v>-0.96</v>
      </c>
      <c r="CA2582">
        <v>1.7</v>
      </c>
      <c r="CB2582">
        <v>1.79</v>
      </c>
      <c r="CC2582">
        <v>0.66</v>
      </c>
      <c r="CD2582">
        <v>-0.71</v>
      </c>
      <c r="CE2582">
        <v>1.29</v>
      </c>
      <c r="CF2582">
        <v>1.06</v>
      </c>
      <c r="CG2582">
        <v>0</v>
      </c>
      <c r="CH2582">
        <v>1</v>
      </c>
      <c r="CI2582">
        <v>0</v>
      </c>
      <c r="CJ2582">
        <v>-0.2</v>
      </c>
      <c r="CK2582">
        <v>76</v>
      </c>
      <c r="CL2582">
        <v>-1.51</v>
      </c>
      <c r="CM2582">
        <v>73</v>
      </c>
      <c r="CN2582">
        <v>-0.45</v>
      </c>
      <c r="CO2582">
        <v>70</v>
      </c>
      <c r="CP2582">
        <v>0</v>
      </c>
      <c r="CQ2582">
        <v>75</v>
      </c>
      <c r="CR2582">
        <v>0</v>
      </c>
      <c r="CS2582">
        <v>0</v>
      </c>
      <c r="CT2582">
        <v>19.600000000000001</v>
      </c>
      <c r="CU2582">
        <v>68</v>
      </c>
      <c r="CV2582">
        <v>0.3</v>
      </c>
      <c r="CW2582">
        <v>40</v>
      </c>
      <c r="CX2582" t="s">
        <v>842</v>
      </c>
    </row>
    <row r="2583" spans="1:102" x14ac:dyDescent="0.3">
      <c r="A2583" t="str">
        <f>HYPERLINK("https://webapp.icbf.com/v2/app/bull-search/view/430000878","FWT")</f>
        <v>FWT</v>
      </c>
      <c r="B2583" t="s">
        <v>14461</v>
      </c>
      <c r="C2583" t="s">
        <v>14462</v>
      </c>
      <c r="D2583" s="1">
        <v>38212</v>
      </c>
      <c r="E2583" t="s">
        <v>227</v>
      </c>
      <c r="F2583">
        <v>0</v>
      </c>
      <c r="G2583" t="s">
        <v>93</v>
      </c>
      <c r="H2583">
        <v>29.37</v>
      </c>
      <c r="I2583">
        <v>67</v>
      </c>
      <c r="J2583">
        <v>-1.35</v>
      </c>
      <c r="K2583">
        <v>86</v>
      </c>
      <c r="L2583">
        <v>-4.7699999999999996</v>
      </c>
      <c r="M2583">
        <v>49</v>
      </c>
      <c r="N2583">
        <v>28.13</v>
      </c>
      <c r="O2583">
        <v>65</v>
      </c>
      <c r="P2583">
        <v>-72.53</v>
      </c>
      <c r="Q2583">
        <v>75</v>
      </c>
      <c r="R2583">
        <v>-2.38</v>
      </c>
      <c r="S2583">
        <v>55</v>
      </c>
      <c r="T2583">
        <v>79.61</v>
      </c>
      <c r="U2583">
        <v>65</v>
      </c>
      <c r="V2583">
        <v>2.66</v>
      </c>
      <c r="W2583">
        <v>52</v>
      </c>
      <c r="X2583" t="s">
        <v>251</v>
      </c>
      <c r="Y2583" t="s">
        <v>1128</v>
      </c>
      <c r="Z2583">
        <v>0</v>
      </c>
      <c r="AA2583" t="s">
        <v>14463</v>
      </c>
      <c r="AB2583" t="s">
        <v>14464</v>
      </c>
      <c r="AC2583">
        <v>29</v>
      </c>
      <c r="AD2583">
        <v>13</v>
      </c>
      <c r="AE2583">
        <v>86</v>
      </c>
      <c r="AF2583">
        <v>-353.18</v>
      </c>
      <c r="AG2583">
        <v>0.21</v>
      </c>
      <c r="AH2583">
        <v>-5.71</v>
      </c>
      <c r="AI2583">
        <v>0.25</v>
      </c>
      <c r="AJ2583">
        <v>0.11</v>
      </c>
      <c r="AK2583">
        <v>49</v>
      </c>
      <c r="AL2583">
        <v>32</v>
      </c>
      <c r="AM2583">
        <v>11</v>
      </c>
      <c r="AN2583">
        <v>1.86</v>
      </c>
      <c r="AO2583">
        <v>1.5</v>
      </c>
      <c r="AP2583">
        <v>56</v>
      </c>
      <c r="AQ2583">
        <v>0</v>
      </c>
      <c r="AR2583">
        <v>2.5499999999999998</v>
      </c>
      <c r="AS2583">
        <v>60</v>
      </c>
      <c r="AT2583">
        <v>1.63</v>
      </c>
      <c r="AU2583">
        <v>58</v>
      </c>
      <c r="AV2583">
        <v>-1.1399999999999999</v>
      </c>
      <c r="AW2583">
        <v>84</v>
      </c>
      <c r="AX2583">
        <v>1</v>
      </c>
      <c r="AY2583">
        <v>61</v>
      </c>
      <c r="AZ2583">
        <v>6.56</v>
      </c>
      <c r="BA2583">
        <v>32</v>
      </c>
      <c r="BB2583">
        <v>4.74</v>
      </c>
      <c r="BC2583">
        <v>36</v>
      </c>
      <c r="BD2583">
        <v>-0.02</v>
      </c>
      <c r="BE2583">
        <v>0.02</v>
      </c>
      <c r="BF2583">
        <v>0.05</v>
      </c>
      <c r="BG2583">
        <v>64</v>
      </c>
      <c r="BH2583">
        <v>0.06</v>
      </c>
      <c r="BI2583">
        <v>-1.63</v>
      </c>
      <c r="BJ2583">
        <v>0</v>
      </c>
      <c r="BK2583">
        <v>0</v>
      </c>
      <c r="BL2583">
        <v>-1.2</v>
      </c>
      <c r="BM2583">
        <v>7.0000000000000007E-2</v>
      </c>
      <c r="BN2583">
        <v>-0.4</v>
      </c>
      <c r="BO2583">
        <v>0.05</v>
      </c>
      <c r="BP2583">
        <v>0.23</v>
      </c>
      <c r="BQ2583">
        <v>-2.52</v>
      </c>
      <c r="BR2583">
        <v>1.25</v>
      </c>
      <c r="BS2583">
        <v>3.92</v>
      </c>
      <c r="BT2583">
        <v>-0.82</v>
      </c>
      <c r="BU2583">
        <v>-0.78</v>
      </c>
      <c r="BV2583">
        <v>-0.53</v>
      </c>
      <c r="BW2583">
        <v>-1.84</v>
      </c>
      <c r="BX2583">
        <v>-2.4300000000000002</v>
      </c>
      <c r="BY2583">
        <v>-0.87</v>
      </c>
      <c r="BZ2583">
        <v>7.0000000000000007E-2</v>
      </c>
      <c r="CA2583">
        <v>0.63</v>
      </c>
      <c r="CB2583">
        <v>-0.49</v>
      </c>
      <c r="CC2583">
        <v>2.6</v>
      </c>
      <c r="CD2583">
        <v>-0.28000000000000003</v>
      </c>
      <c r="CE2583">
        <v>0.09</v>
      </c>
      <c r="CF2583">
        <v>-0.76</v>
      </c>
      <c r="CG2583">
        <v>0</v>
      </c>
      <c r="CH2583">
        <v>-1.51</v>
      </c>
      <c r="CI2583">
        <v>0</v>
      </c>
      <c r="CJ2583">
        <v>-36.9</v>
      </c>
      <c r="CK2583">
        <v>77</v>
      </c>
      <c r="CL2583">
        <v>-1.1499999999999999</v>
      </c>
      <c r="CM2583">
        <v>73</v>
      </c>
      <c r="CN2583">
        <v>0.03</v>
      </c>
      <c r="CO2583">
        <v>69</v>
      </c>
      <c r="CP2583">
        <v>-62.6</v>
      </c>
      <c r="CQ2583">
        <v>77</v>
      </c>
      <c r="CR2583">
        <v>0</v>
      </c>
      <c r="CS2583">
        <v>0</v>
      </c>
      <c r="CT2583">
        <v>-93.8</v>
      </c>
      <c r="CU2583">
        <v>65</v>
      </c>
      <c r="CV2583">
        <v>-0.38</v>
      </c>
      <c r="CW2583">
        <v>20</v>
      </c>
      <c r="CX2583" t="s">
        <v>8129</v>
      </c>
    </row>
    <row r="2584" spans="1:102" x14ac:dyDescent="0.3">
      <c r="A2584" t="str">
        <f>HYPERLINK("https://webapp.icbf.com/v2/app/bull-search/view/77855158","MHN")</f>
        <v>MHN</v>
      </c>
      <c r="B2584" t="s">
        <v>610</v>
      </c>
      <c r="C2584" t="s">
        <v>611</v>
      </c>
      <c r="D2584" s="1">
        <v>34359</v>
      </c>
      <c r="E2584" t="s">
        <v>92</v>
      </c>
      <c r="F2584">
        <v>100</v>
      </c>
      <c r="G2584" t="s">
        <v>93</v>
      </c>
      <c r="H2584">
        <v>29.35</v>
      </c>
      <c r="I2584">
        <v>70</v>
      </c>
      <c r="J2584">
        <v>-2.75</v>
      </c>
      <c r="K2584">
        <v>91</v>
      </c>
      <c r="L2584">
        <v>22.78</v>
      </c>
      <c r="M2584">
        <v>59</v>
      </c>
      <c r="N2584">
        <v>13.41</v>
      </c>
      <c r="O2584">
        <v>55</v>
      </c>
      <c r="P2584">
        <v>-20.67</v>
      </c>
      <c r="Q2584">
        <v>74</v>
      </c>
      <c r="R2584">
        <v>-2.04</v>
      </c>
      <c r="S2584">
        <v>64</v>
      </c>
      <c r="T2584">
        <v>22.48</v>
      </c>
      <c r="U2584">
        <v>68</v>
      </c>
      <c r="V2584">
        <v>-3.86</v>
      </c>
      <c r="W2584">
        <v>39</v>
      </c>
      <c r="X2584" t="s">
        <v>94</v>
      </c>
      <c r="Y2584" t="s">
        <v>95</v>
      </c>
      <c r="Z2584" t="s">
        <v>96</v>
      </c>
      <c r="AA2584" t="s">
        <v>612</v>
      </c>
      <c r="AB2584" t="s">
        <v>613</v>
      </c>
      <c r="AC2584">
        <v>49</v>
      </c>
      <c r="AD2584">
        <v>45</v>
      </c>
      <c r="AE2584">
        <v>91</v>
      </c>
      <c r="AF2584">
        <v>-98.73</v>
      </c>
      <c r="AG2584">
        <v>-5.31</v>
      </c>
      <c r="AH2584">
        <v>-0.1</v>
      </c>
      <c r="AI2584">
        <v>-0.02</v>
      </c>
      <c r="AJ2584">
        <v>0.06</v>
      </c>
      <c r="AK2584">
        <v>59</v>
      </c>
      <c r="AL2584">
        <v>58</v>
      </c>
      <c r="AM2584">
        <v>46</v>
      </c>
      <c r="AN2584">
        <v>-0.96</v>
      </c>
      <c r="AO2584">
        <v>0.86</v>
      </c>
      <c r="AP2584">
        <v>3</v>
      </c>
      <c r="AQ2584">
        <v>0</v>
      </c>
      <c r="AR2584">
        <v>5.54</v>
      </c>
      <c r="AS2584">
        <v>34</v>
      </c>
      <c r="AT2584">
        <v>2.46</v>
      </c>
      <c r="AU2584">
        <v>50</v>
      </c>
      <c r="AV2584">
        <v>0.22</v>
      </c>
      <c r="AW2584">
        <v>64</v>
      </c>
      <c r="AX2584">
        <v>-0.26</v>
      </c>
      <c r="AY2584">
        <v>64</v>
      </c>
      <c r="AZ2584">
        <v>5.5</v>
      </c>
      <c r="BA2584">
        <v>32</v>
      </c>
      <c r="BB2584">
        <v>4.37</v>
      </c>
      <c r="BC2584">
        <v>48</v>
      </c>
      <c r="BD2584">
        <v>0.03</v>
      </c>
      <c r="BE2584">
        <v>0.03</v>
      </c>
      <c r="BF2584">
        <v>-0.06</v>
      </c>
      <c r="BG2584">
        <v>80</v>
      </c>
      <c r="BH2584">
        <v>7.0000000000000007E-2</v>
      </c>
      <c r="BI2584">
        <v>20.56</v>
      </c>
      <c r="BJ2584">
        <v>9</v>
      </c>
      <c r="BK2584">
        <v>9</v>
      </c>
      <c r="BL2584">
        <v>-0.27</v>
      </c>
      <c r="BM2584">
        <v>0.23</v>
      </c>
      <c r="BN2584">
        <v>-1.22</v>
      </c>
      <c r="BO2584">
        <v>-0.57999999999999996</v>
      </c>
      <c r="BP2584">
        <v>0.14000000000000001</v>
      </c>
      <c r="BQ2584">
        <v>0.08</v>
      </c>
      <c r="BR2584">
        <v>0.76</v>
      </c>
      <c r="BS2584">
        <v>-0.27</v>
      </c>
      <c r="BT2584">
        <v>-0.84</v>
      </c>
      <c r="BU2584">
        <v>-1.06</v>
      </c>
      <c r="BV2584">
        <v>-1.52</v>
      </c>
      <c r="BW2584">
        <v>-0.56000000000000005</v>
      </c>
      <c r="BX2584">
        <v>-0.79</v>
      </c>
      <c r="BY2584">
        <v>-0.66</v>
      </c>
      <c r="BZ2584">
        <v>0.93</v>
      </c>
      <c r="CA2584">
        <v>-1.61</v>
      </c>
      <c r="CB2584">
        <v>-1.36</v>
      </c>
      <c r="CC2584">
        <v>-1.56</v>
      </c>
      <c r="CD2584">
        <v>0.28999999999999998</v>
      </c>
      <c r="CE2584">
        <v>-1.01</v>
      </c>
      <c r="CF2584">
        <v>-0.69</v>
      </c>
      <c r="CG2584">
        <v>0</v>
      </c>
      <c r="CH2584">
        <v>0.67</v>
      </c>
      <c r="CI2584">
        <v>0</v>
      </c>
      <c r="CJ2584">
        <v>-8.8000000000000007</v>
      </c>
      <c r="CK2584">
        <v>75</v>
      </c>
      <c r="CL2584">
        <v>-0.52</v>
      </c>
      <c r="CM2584">
        <v>71</v>
      </c>
      <c r="CN2584">
        <v>0.17</v>
      </c>
      <c r="CO2584">
        <v>68</v>
      </c>
      <c r="CP2584">
        <v>-7.8</v>
      </c>
      <c r="CQ2584">
        <v>80</v>
      </c>
      <c r="CR2584">
        <v>0</v>
      </c>
      <c r="CS2584">
        <v>0</v>
      </c>
      <c r="CT2584">
        <v>-16.600000000000001</v>
      </c>
      <c r="CU2584">
        <v>68</v>
      </c>
      <c r="CV2584">
        <v>0.06</v>
      </c>
      <c r="CW2584">
        <v>21</v>
      </c>
      <c r="CX2584" t="s">
        <v>539</v>
      </c>
    </row>
    <row r="2585" spans="1:102" x14ac:dyDescent="0.3">
      <c r="A2585" t="str">
        <f>HYPERLINK("https://webapp.icbf.com/v2/app/bull-search/view/73498908","MBH")</f>
        <v>MBH</v>
      </c>
      <c r="B2585" t="s">
        <v>3437</v>
      </c>
      <c r="C2585" t="s">
        <v>2775</v>
      </c>
      <c r="D2585" s="1">
        <v>33823</v>
      </c>
      <c r="E2585" t="s">
        <v>92</v>
      </c>
      <c r="F2585">
        <v>100</v>
      </c>
      <c r="G2585" t="s">
        <v>93</v>
      </c>
      <c r="H2585">
        <v>29.34</v>
      </c>
      <c r="I2585">
        <v>99</v>
      </c>
      <c r="J2585">
        <v>4.07</v>
      </c>
      <c r="K2585">
        <v>99</v>
      </c>
      <c r="L2585">
        <v>10.94</v>
      </c>
      <c r="M2585">
        <v>98</v>
      </c>
      <c r="N2585">
        <v>20.07</v>
      </c>
      <c r="O2585">
        <v>99</v>
      </c>
      <c r="P2585">
        <v>-3.09</v>
      </c>
      <c r="Q2585">
        <v>99</v>
      </c>
      <c r="R2585">
        <v>-12.39</v>
      </c>
      <c r="S2585">
        <v>99</v>
      </c>
      <c r="T2585">
        <v>16.79</v>
      </c>
      <c r="U2585">
        <v>99</v>
      </c>
      <c r="V2585">
        <v>-7.05</v>
      </c>
      <c r="W2585">
        <v>99</v>
      </c>
      <c r="X2585" t="s">
        <v>94</v>
      </c>
      <c r="Y2585" t="s">
        <v>95</v>
      </c>
      <c r="Z2585" t="s">
        <v>96</v>
      </c>
      <c r="AA2585" t="s">
        <v>111</v>
      </c>
      <c r="AB2585" t="s">
        <v>1464</v>
      </c>
      <c r="AC2585">
        <v>9857</v>
      </c>
      <c r="AD2585">
        <v>3319</v>
      </c>
      <c r="AE2585">
        <v>99</v>
      </c>
      <c r="AF2585">
        <v>-14.69</v>
      </c>
      <c r="AG2585">
        <v>2.82</v>
      </c>
      <c r="AH2585">
        <v>-0.53</v>
      </c>
      <c r="AI2585">
        <v>0.06</v>
      </c>
      <c r="AJ2585">
        <v>0</v>
      </c>
      <c r="AK2585">
        <v>98</v>
      </c>
      <c r="AL2585">
        <v>11202</v>
      </c>
      <c r="AM2585">
        <v>4390</v>
      </c>
      <c r="AN2585">
        <v>-0.77</v>
      </c>
      <c r="AO2585">
        <v>0.1</v>
      </c>
      <c r="AP2585">
        <v>7213</v>
      </c>
      <c r="AQ2585">
        <v>18</v>
      </c>
      <c r="AR2585">
        <v>6.45</v>
      </c>
      <c r="AS2585">
        <v>99</v>
      </c>
      <c r="AT2585">
        <v>2.46</v>
      </c>
      <c r="AU2585">
        <v>99</v>
      </c>
      <c r="AV2585">
        <v>-2.61</v>
      </c>
      <c r="AW2585">
        <v>99</v>
      </c>
      <c r="AX2585">
        <v>-0.25</v>
      </c>
      <c r="AY2585">
        <v>99</v>
      </c>
      <c r="AZ2585">
        <v>6.6</v>
      </c>
      <c r="BA2585">
        <v>99</v>
      </c>
      <c r="BB2585">
        <v>6.68</v>
      </c>
      <c r="BC2585">
        <v>99</v>
      </c>
      <c r="BD2585">
        <v>0.09</v>
      </c>
      <c r="BE2585">
        <v>0.05</v>
      </c>
      <c r="BF2585">
        <v>0.04</v>
      </c>
      <c r="BG2585">
        <v>99</v>
      </c>
      <c r="BH2585">
        <v>0</v>
      </c>
      <c r="BI2585">
        <v>22.74</v>
      </c>
      <c r="BJ2585">
        <v>492</v>
      </c>
      <c r="BK2585">
        <v>271</v>
      </c>
      <c r="BL2585">
        <v>-0.08</v>
      </c>
      <c r="BM2585">
        <v>-0.2</v>
      </c>
      <c r="BN2585">
        <v>0.04</v>
      </c>
      <c r="BO2585">
        <v>0.26</v>
      </c>
      <c r="BP2585">
        <v>0.83</v>
      </c>
      <c r="BQ2585">
        <v>0.48</v>
      </c>
      <c r="BR2585">
        <v>7.0000000000000007E-2</v>
      </c>
      <c r="BS2585">
        <v>1</v>
      </c>
      <c r="BT2585">
        <v>0.53</v>
      </c>
      <c r="BU2585">
        <v>-0.48</v>
      </c>
      <c r="BV2585">
        <v>-0.86</v>
      </c>
      <c r="BW2585">
        <v>-0.16</v>
      </c>
      <c r="BX2585">
        <v>-0.11</v>
      </c>
      <c r="BY2585">
        <v>0.84</v>
      </c>
      <c r="BZ2585">
        <v>-0.32</v>
      </c>
      <c r="CA2585">
        <v>-0.16</v>
      </c>
      <c r="CB2585">
        <v>-0.51</v>
      </c>
      <c r="CC2585">
        <v>0.72</v>
      </c>
      <c r="CD2585">
        <v>-0.25</v>
      </c>
      <c r="CE2585">
        <v>0.28999999999999998</v>
      </c>
      <c r="CF2585">
        <v>0.39</v>
      </c>
      <c r="CG2585">
        <v>0</v>
      </c>
      <c r="CH2585">
        <v>0.78</v>
      </c>
      <c r="CI2585">
        <v>0</v>
      </c>
      <c r="CJ2585">
        <v>0.3</v>
      </c>
      <c r="CK2585">
        <v>99</v>
      </c>
      <c r="CL2585">
        <v>-0.56000000000000005</v>
      </c>
      <c r="CM2585">
        <v>99</v>
      </c>
      <c r="CN2585">
        <v>-0.34</v>
      </c>
      <c r="CO2585">
        <v>99</v>
      </c>
      <c r="CP2585">
        <v>-11.4</v>
      </c>
      <c r="CQ2585">
        <v>99</v>
      </c>
      <c r="CR2585">
        <v>0</v>
      </c>
      <c r="CS2585">
        <v>0</v>
      </c>
      <c r="CT2585">
        <v>-8.9</v>
      </c>
      <c r="CU2585">
        <v>99</v>
      </c>
      <c r="CV2585">
        <v>0.16</v>
      </c>
      <c r="CW2585">
        <v>48</v>
      </c>
      <c r="CX2585" t="s">
        <v>638</v>
      </c>
    </row>
    <row r="2586" spans="1:102" x14ac:dyDescent="0.3">
      <c r="A2586" t="str">
        <f>HYPERLINK("https://webapp.icbf.com/v2/app/bull-search/view/1306332580","S3149")</f>
        <v>S3149</v>
      </c>
      <c r="B2586" t="s">
        <v>8376</v>
      </c>
      <c r="C2586" t="s">
        <v>8377</v>
      </c>
      <c r="D2586" s="1">
        <v>41835</v>
      </c>
      <c r="E2586" t="s">
        <v>92</v>
      </c>
      <c r="F2586">
        <v>100</v>
      </c>
      <c r="G2586" t="s">
        <v>109</v>
      </c>
      <c r="H2586">
        <v>29.25</v>
      </c>
      <c r="I2586">
        <v>73</v>
      </c>
      <c r="J2586">
        <v>32.270000000000003</v>
      </c>
      <c r="K2586">
        <v>92</v>
      </c>
      <c r="L2586">
        <v>-68.28</v>
      </c>
      <c r="M2586">
        <v>76</v>
      </c>
      <c r="N2586">
        <v>42.75</v>
      </c>
      <c r="O2586">
        <v>57</v>
      </c>
      <c r="P2586">
        <v>2.84</v>
      </c>
      <c r="Q2586">
        <v>44</v>
      </c>
      <c r="R2586">
        <v>14.18</v>
      </c>
      <c r="S2586">
        <v>70</v>
      </c>
      <c r="T2586">
        <v>-6.97</v>
      </c>
      <c r="U2586">
        <v>38</v>
      </c>
      <c r="V2586">
        <v>12.46</v>
      </c>
      <c r="W2586">
        <v>55</v>
      </c>
      <c r="X2586" t="s">
        <v>110</v>
      </c>
      <c r="Y2586" t="s">
        <v>457</v>
      </c>
      <c r="Z2586" t="s">
        <v>96</v>
      </c>
      <c r="AA2586" t="s">
        <v>8378</v>
      </c>
      <c r="AB2586" t="s">
        <v>8379</v>
      </c>
      <c r="AC2586">
        <v>0</v>
      </c>
      <c r="AD2586">
        <v>0</v>
      </c>
      <c r="AE2586">
        <v>92</v>
      </c>
      <c r="AF2586">
        <v>659.24</v>
      </c>
      <c r="AG2586">
        <v>12.52</v>
      </c>
      <c r="AH2586">
        <v>11.15</v>
      </c>
      <c r="AI2586">
        <v>-0.21</v>
      </c>
      <c r="AJ2586">
        <v>-0.17</v>
      </c>
      <c r="AK2586">
        <v>76</v>
      </c>
      <c r="AL2586">
        <v>0</v>
      </c>
      <c r="AM2586">
        <v>0</v>
      </c>
      <c r="AN2586">
        <v>4.92</v>
      </c>
      <c r="AO2586">
        <v>-0.51</v>
      </c>
      <c r="AP2586">
        <v>3</v>
      </c>
      <c r="AQ2586">
        <v>0</v>
      </c>
      <c r="AR2586">
        <v>7.05</v>
      </c>
      <c r="AS2586">
        <v>57</v>
      </c>
      <c r="AT2586">
        <v>2.2599999999999998</v>
      </c>
      <c r="AU2586">
        <v>90</v>
      </c>
      <c r="AV2586">
        <v>-4.16</v>
      </c>
      <c r="AW2586">
        <v>49</v>
      </c>
      <c r="AX2586">
        <v>0.93</v>
      </c>
      <c r="AY2586">
        <v>45</v>
      </c>
      <c r="AZ2586">
        <v>5.01</v>
      </c>
      <c r="BA2586">
        <v>41</v>
      </c>
      <c r="BB2586">
        <v>4.63</v>
      </c>
      <c r="BC2586">
        <v>35</v>
      </c>
      <c r="BD2586">
        <v>-0.06</v>
      </c>
      <c r="BE2586">
        <v>-0.04</v>
      </c>
      <c r="BF2586">
        <v>-0.15</v>
      </c>
      <c r="BG2586">
        <v>87</v>
      </c>
      <c r="BH2586">
        <v>0.21</v>
      </c>
      <c r="BI2586">
        <v>-15.89</v>
      </c>
      <c r="BJ2586">
        <v>0</v>
      </c>
      <c r="BK2586">
        <v>0</v>
      </c>
      <c r="BL2586">
        <v>2.25</v>
      </c>
      <c r="BM2586">
        <v>-0.01</v>
      </c>
      <c r="BN2586">
        <v>-0.06</v>
      </c>
      <c r="BO2586">
        <v>0.56999999999999995</v>
      </c>
      <c r="BP2586">
        <v>0.46</v>
      </c>
      <c r="BQ2586">
        <v>0.77</v>
      </c>
      <c r="BR2586">
        <v>-2.27</v>
      </c>
      <c r="BS2586">
        <v>3.65</v>
      </c>
      <c r="BT2586">
        <v>3</v>
      </c>
      <c r="BU2586">
        <v>4.0199999999999996</v>
      </c>
      <c r="BV2586">
        <v>3.7</v>
      </c>
      <c r="BW2586">
        <v>4.17</v>
      </c>
      <c r="BX2586">
        <v>3.91</v>
      </c>
      <c r="BY2586">
        <v>1.42</v>
      </c>
      <c r="BZ2586">
        <v>0.5</v>
      </c>
      <c r="CA2586">
        <v>3.63</v>
      </c>
      <c r="CB2586">
        <v>3.1</v>
      </c>
      <c r="CC2586">
        <v>2.57</v>
      </c>
      <c r="CD2586">
        <v>-0.47</v>
      </c>
      <c r="CE2586">
        <v>0.75</v>
      </c>
      <c r="CF2586">
        <v>1.65</v>
      </c>
      <c r="CG2586">
        <v>0</v>
      </c>
      <c r="CH2586">
        <v>1.78</v>
      </c>
      <c r="CI2586">
        <v>0</v>
      </c>
      <c r="CJ2586">
        <v>5</v>
      </c>
      <c r="CK2586">
        <v>44</v>
      </c>
      <c r="CL2586">
        <v>-1.43</v>
      </c>
      <c r="CM2586">
        <v>44</v>
      </c>
      <c r="CN2586">
        <v>-0.83</v>
      </c>
      <c r="CO2586">
        <v>43</v>
      </c>
      <c r="CP2586">
        <v>6.5</v>
      </c>
      <c r="CQ2586">
        <v>40</v>
      </c>
      <c r="CR2586">
        <v>0</v>
      </c>
      <c r="CS2586">
        <v>0</v>
      </c>
      <c r="CT2586">
        <v>23.2</v>
      </c>
      <c r="CU2586">
        <v>38</v>
      </c>
      <c r="CV2586">
        <v>0.31</v>
      </c>
      <c r="CW2586">
        <v>34</v>
      </c>
      <c r="CX2586" t="s">
        <v>412</v>
      </c>
    </row>
    <row r="2587" spans="1:102" x14ac:dyDescent="0.3">
      <c r="A2587" t="str">
        <f>HYPERLINK("https://webapp.icbf.com/v2/app/bull-search/view/77857390","GMV")</f>
        <v>GMV</v>
      </c>
      <c r="B2587" t="s">
        <v>12410</v>
      </c>
      <c r="C2587" t="s">
        <v>1625</v>
      </c>
      <c r="D2587" s="1">
        <v>31590</v>
      </c>
      <c r="E2587" t="s">
        <v>92</v>
      </c>
      <c r="F2587">
        <v>100</v>
      </c>
      <c r="G2587" t="s">
        <v>93</v>
      </c>
      <c r="H2587">
        <v>29.2</v>
      </c>
      <c r="I2587">
        <v>92</v>
      </c>
      <c r="J2587">
        <v>46.2</v>
      </c>
      <c r="K2587">
        <v>98</v>
      </c>
      <c r="L2587">
        <v>-39.729999999999997</v>
      </c>
      <c r="M2587">
        <v>91</v>
      </c>
      <c r="N2587">
        <v>15.19</v>
      </c>
      <c r="O2587">
        <v>86</v>
      </c>
      <c r="P2587">
        <v>-0.81</v>
      </c>
      <c r="Q2587">
        <v>92</v>
      </c>
      <c r="R2587">
        <v>-8.0500000000000007</v>
      </c>
      <c r="S2587">
        <v>84</v>
      </c>
      <c r="T2587">
        <v>11.53</v>
      </c>
      <c r="U2587">
        <v>90</v>
      </c>
      <c r="V2587">
        <v>4.87</v>
      </c>
      <c r="W2587">
        <v>74</v>
      </c>
      <c r="X2587" t="s">
        <v>110</v>
      </c>
      <c r="Y2587" t="s">
        <v>95</v>
      </c>
      <c r="Z2587" t="s">
        <v>96</v>
      </c>
      <c r="AA2587" t="s">
        <v>128</v>
      </c>
      <c r="AB2587" t="s">
        <v>12411</v>
      </c>
      <c r="AC2587">
        <v>169</v>
      </c>
      <c r="AD2587">
        <v>93</v>
      </c>
      <c r="AE2587">
        <v>98</v>
      </c>
      <c r="AF2587">
        <v>125.92</v>
      </c>
      <c r="AG2587">
        <v>11.8</v>
      </c>
      <c r="AH2587">
        <v>5.61</v>
      </c>
      <c r="AI2587">
        <v>0.12</v>
      </c>
      <c r="AJ2587">
        <v>0.02</v>
      </c>
      <c r="AK2587">
        <v>91</v>
      </c>
      <c r="AL2587">
        <v>209</v>
      </c>
      <c r="AM2587">
        <v>110</v>
      </c>
      <c r="AN2587">
        <v>2.04</v>
      </c>
      <c r="AO2587">
        <v>-1.1299999999999999</v>
      </c>
      <c r="AP2587">
        <v>17</v>
      </c>
      <c r="AQ2587">
        <v>0</v>
      </c>
      <c r="AR2587">
        <v>5.55</v>
      </c>
      <c r="AS2587">
        <v>71</v>
      </c>
      <c r="AT2587">
        <v>1.94</v>
      </c>
      <c r="AU2587">
        <v>95</v>
      </c>
      <c r="AV2587">
        <v>-0.24</v>
      </c>
      <c r="AW2587">
        <v>87</v>
      </c>
      <c r="AX2587">
        <v>0.1</v>
      </c>
      <c r="AY2587">
        <v>88</v>
      </c>
      <c r="AZ2587">
        <v>6.52</v>
      </c>
      <c r="BA2587">
        <v>67</v>
      </c>
      <c r="BB2587">
        <v>5.01</v>
      </c>
      <c r="BC2587">
        <v>76</v>
      </c>
      <c r="BD2587">
        <v>0.03</v>
      </c>
      <c r="BE2587">
        <v>0.05</v>
      </c>
      <c r="BF2587">
        <v>0.04</v>
      </c>
      <c r="BG2587">
        <v>94</v>
      </c>
      <c r="BH2587">
        <v>0.19</v>
      </c>
      <c r="BI2587">
        <v>6.28</v>
      </c>
      <c r="BJ2587">
        <v>16</v>
      </c>
      <c r="BK2587">
        <v>12</v>
      </c>
      <c r="BL2587">
        <v>-0.82</v>
      </c>
      <c r="BM2587">
        <v>0.13</v>
      </c>
      <c r="BN2587">
        <v>-1.62</v>
      </c>
      <c r="BO2587">
        <v>-1.19</v>
      </c>
      <c r="BP2587">
        <v>-1.45</v>
      </c>
      <c r="BQ2587">
        <v>-0.69</v>
      </c>
      <c r="BR2587">
        <v>-0.25</v>
      </c>
      <c r="BS2587">
        <v>-0.1</v>
      </c>
      <c r="BT2587">
        <v>0.78</v>
      </c>
      <c r="BU2587">
        <v>-2.2999999999999998</v>
      </c>
      <c r="BV2587">
        <v>-1.81</v>
      </c>
      <c r="BW2587">
        <v>-1.24</v>
      </c>
      <c r="BX2587">
        <v>-1.0900000000000001</v>
      </c>
      <c r="BY2587">
        <v>-0.38</v>
      </c>
      <c r="BZ2587">
        <v>-2.17</v>
      </c>
      <c r="CA2587">
        <v>-2.09</v>
      </c>
      <c r="CB2587">
        <v>-1.96</v>
      </c>
      <c r="CC2587">
        <v>-0.83</v>
      </c>
      <c r="CD2587">
        <v>0.9</v>
      </c>
      <c r="CE2587">
        <v>-1.38</v>
      </c>
      <c r="CF2587">
        <v>-1.1299999999999999</v>
      </c>
      <c r="CG2587">
        <v>0</v>
      </c>
      <c r="CH2587">
        <v>-0.54</v>
      </c>
      <c r="CI2587">
        <v>0</v>
      </c>
      <c r="CJ2587">
        <v>-0.3</v>
      </c>
      <c r="CK2587">
        <v>92</v>
      </c>
      <c r="CL2587">
        <v>-0.46</v>
      </c>
      <c r="CM2587">
        <v>91</v>
      </c>
      <c r="CN2587">
        <v>-0.42</v>
      </c>
      <c r="CO2587">
        <v>90</v>
      </c>
      <c r="CP2587">
        <v>-3.8</v>
      </c>
      <c r="CQ2587">
        <v>93</v>
      </c>
      <c r="CR2587">
        <v>0</v>
      </c>
      <c r="CS2587">
        <v>0</v>
      </c>
      <c r="CT2587">
        <v>-1.8</v>
      </c>
      <c r="CU2587">
        <v>90</v>
      </c>
      <c r="CV2587">
        <v>7.0000000000000007E-2</v>
      </c>
      <c r="CW2587">
        <v>45</v>
      </c>
      <c r="CX2587" t="s">
        <v>5223</v>
      </c>
    </row>
    <row r="2588" spans="1:102" x14ac:dyDescent="0.3">
      <c r="A2588" t="str">
        <f>HYPERLINK("https://webapp.icbf.com/v2/app/bull-search/view/384097789","TYZ")</f>
        <v>TYZ</v>
      </c>
      <c r="B2588" t="s">
        <v>6956</v>
      </c>
      <c r="C2588" t="s">
        <v>1530</v>
      </c>
      <c r="D2588" s="1">
        <v>36266</v>
      </c>
      <c r="E2588" t="s">
        <v>92</v>
      </c>
      <c r="F2588">
        <v>100</v>
      </c>
      <c r="G2588" t="s">
        <v>93</v>
      </c>
      <c r="H2588">
        <v>29.07</v>
      </c>
      <c r="I2588">
        <v>97</v>
      </c>
      <c r="J2588">
        <v>-11.99</v>
      </c>
      <c r="K2588">
        <v>99</v>
      </c>
      <c r="L2588">
        <v>6.15</v>
      </c>
      <c r="M2588">
        <v>95</v>
      </c>
      <c r="N2588">
        <v>23.45</v>
      </c>
      <c r="O2588">
        <v>98</v>
      </c>
      <c r="P2588">
        <v>-8.89</v>
      </c>
      <c r="Q2588">
        <v>99</v>
      </c>
      <c r="R2588">
        <v>3</v>
      </c>
      <c r="S2588">
        <v>96</v>
      </c>
      <c r="T2588">
        <v>15.08</v>
      </c>
      <c r="U2588">
        <v>99</v>
      </c>
      <c r="V2588">
        <v>2.27</v>
      </c>
      <c r="W2588">
        <v>98</v>
      </c>
      <c r="X2588" t="s">
        <v>131</v>
      </c>
      <c r="Y2588" t="s">
        <v>95</v>
      </c>
      <c r="Z2588" t="s">
        <v>96</v>
      </c>
      <c r="AA2588" t="s">
        <v>596</v>
      </c>
      <c r="AB2588" t="s">
        <v>6957</v>
      </c>
      <c r="AC2588">
        <v>1249</v>
      </c>
      <c r="AD2588">
        <v>481</v>
      </c>
      <c r="AE2588">
        <v>99</v>
      </c>
      <c r="AF2588">
        <v>-87.49</v>
      </c>
      <c r="AG2588">
        <v>-3.22</v>
      </c>
      <c r="AH2588">
        <v>-2.2400000000000002</v>
      </c>
      <c r="AI2588">
        <v>0</v>
      </c>
      <c r="AJ2588">
        <v>0.01</v>
      </c>
      <c r="AK2588">
        <v>95</v>
      </c>
      <c r="AL2588">
        <v>1500</v>
      </c>
      <c r="AM2588">
        <v>623</v>
      </c>
      <c r="AN2588">
        <v>-1.1599999999999999</v>
      </c>
      <c r="AO2588">
        <v>-0.68</v>
      </c>
      <c r="AP2588">
        <v>2559</v>
      </c>
      <c r="AQ2588">
        <v>11</v>
      </c>
      <c r="AR2588">
        <v>7.97</v>
      </c>
      <c r="AS2588">
        <v>97</v>
      </c>
      <c r="AT2588">
        <v>3.02</v>
      </c>
      <c r="AU2588">
        <v>98</v>
      </c>
      <c r="AV2588">
        <v>-2.4</v>
      </c>
      <c r="AW2588">
        <v>99</v>
      </c>
      <c r="AX2588">
        <v>-0.27</v>
      </c>
      <c r="AY2588">
        <v>98</v>
      </c>
      <c r="AZ2588">
        <v>5.21</v>
      </c>
      <c r="BA2588">
        <v>94</v>
      </c>
      <c r="BB2588">
        <v>4.57</v>
      </c>
      <c r="BC2588">
        <v>95</v>
      </c>
      <c r="BD2588">
        <v>-0.03</v>
      </c>
      <c r="BE2588">
        <v>-0.01</v>
      </c>
      <c r="BF2588">
        <v>0</v>
      </c>
      <c r="BG2588">
        <v>98</v>
      </c>
      <c r="BH2588">
        <v>0.06</v>
      </c>
      <c r="BI2588">
        <v>-0.37</v>
      </c>
      <c r="BJ2588">
        <v>165</v>
      </c>
      <c r="BK2588">
        <v>80</v>
      </c>
      <c r="BL2588">
        <v>0.96</v>
      </c>
      <c r="BM2588">
        <v>-2.1800000000000002</v>
      </c>
      <c r="BN2588">
        <v>-0.69</v>
      </c>
      <c r="BO2588">
        <v>0.67</v>
      </c>
      <c r="BP2588">
        <v>1.56</v>
      </c>
      <c r="BQ2588">
        <v>-0.42</v>
      </c>
      <c r="BR2588">
        <v>1.83</v>
      </c>
      <c r="BS2588">
        <v>-2.93</v>
      </c>
      <c r="BT2588">
        <v>-2.19</v>
      </c>
      <c r="BU2588">
        <v>0.71</v>
      </c>
      <c r="BV2588">
        <v>0.3</v>
      </c>
      <c r="BW2588">
        <v>-0.05</v>
      </c>
      <c r="BX2588">
        <v>1.35</v>
      </c>
      <c r="BY2588">
        <v>-0.78</v>
      </c>
      <c r="BZ2588">
        <v>1.18</v>
      </c>
      <c r="CA2588">
        <v>-0.3</v>
      </c>
      <c r="CB2588">
        <v>0.23</v>
      </c>
      <c r="CC2588">
        <v>-1.28</v>
      </c>
      <c r="CD2588">
        <v>-1.74</v>
      </c>
      <c r="CE2588">
        <v>0.55000000000000004</v>
      </c>
      <c r="CF2588">
        <v>-7.0000000000000007E-2</v>
      </c>
      <c r="CG2588">
        <v>0</v>
      </c>
      <c r="CH2588">
        <v>-0.83</v>
      </c>
      <c r="CI2588">
        <v>0</v>
      </c>
      <c r="CJ2588">
        <v>-2</v>
      </c>
      <c r="CK2588">
        <v>99</v>
      </c>
      <c r="CL2588">
        <v>-0.96</v>
      </c>
      <c r="CM2588">
        <v>99</v>
      </c>
      <c r="CN2588">
        <v>-0.42</v>
      </c>
      <c r="CO2588">
        <v>99</v>
      </c>
      <c r="CP2588">
        <v>-7.6</v>
      </c>
      <c r="CQ2588">
        <v>99</v>
      </c>
      <c r="CR2588">
        <v>0</v>
      </c>
      <c r="CS2588">
        <v>0</v>
      </c>
      <c r="CT2588">
        <v>-6.6</v>
      </c>
      <c r="CU2588">
        <v>99</v>
      </c>
      <c r="CV2588">
        <v>0.15</v>
      </c>
      <c r="CW2588">
        <v>46</v>
      </c>
      <c r="CX2588" t="s">
        <v>4543</v>
      </c>
    </row>
    <row r="2589" spans="1:102" x14ac:dyDescent="0.3">
      <c r="A2589" t="str">
        <f>HYPERLINK("https://webapp.icbf.com/v2/app/bull-search/view/1376478668","S3125")</f>
        <v>S3125</v>
      </c>
      <c r="B2589" t="s">
        <v>13845</v>
      </c>
      <c r="C2589" t="s">
        <v>13846</v>
      </c>
      <c r="D2589" s="1">
        <v>42036</v>
      </c>
      <c r="E2589" t="s">
        <v>92</v>
      </c>
      <c r="F2589">
        <v>100</v>
      </c>
      <c r="G2589" t="s">
        <v>109</v>
      </c>
      <c r="H2589">
        <v>29.06</v>
      </c>
      <c r="I2589">
        <v>69</v>
      </c>
      <c r="J2589">
        <v>26.61</v>
      </c>
      <c r="K2589">
        <v>90</v>
      </c>
      <c r="L2589">
        <v>-12.83</v>
      </c>
      <c r="M2589">
        <v>68</v>
      </c>
      <c r="N2589">
        <v>20.07</v>
      </c>
      <c r="O2589">
        <v>59</v>
      </c>
      <c r="P2589">
        <v>-4.49</v>
      </c>
      <c r="Q2589">
        <v>43</v>
      </c>
      <c r="R2589">
        <v>11.67</v>
      </c>
      <c r="S2589">
        <v>67</v>
      </c>
      <c r="T2589">
        <v>-14.52</v>
      </c>
      <c r="U2589">
        <v>36</v>
      </c>
      <c r="V2589">
        <v>2.5499999999999998</v>
      </c>
      <c r="W2589">
        <v>52</v>
      </c>
      <c r="X2589" t="s">
        <v>94</v>
      </c>
      <c r="Y2589" t="s">
        <v>457</v>
      </c>
      <c r="Z2589" t="s">
        <v>96</v>
      </c>
      <c r="AA2589" t="s">
        <v>13847</v>
      </c>
      <c r="AB2589" t="s">
        <v>13848</v>
      </c>
      <c r="AC2589">
        <v>0</v>
      </c>
      <c r="AD2589">
        <v>0</v>
      </c>
      <c r="AE2589">
        <v>90</v>
      </c>
      <c r="AF2589">
        <v>361.53</v>
      </c>
      <c r="AG2589">
        <v>4.24</v>
      </c>
      <c r="AH2589">
        <v>8.56</v>
      </c>
      <c r="AI2589">
        <v>-0.16</v>
      </c>
      <c r="AJ2589">
        <v>-0.06</v>
      </c>
      <c r="AK2589">
        <v>68</v>
      </c>
      <c r="AL2589">
        <v>0</v>
      </c>
      <c r="AM2589">
        <v>0</v>
      </c>
      <c r="AN2589">
        <v>1.7</v>
      </c>
      <c r="AO2589">
        <v>0.69</v>
      </c>
      <c r="AP2589">
        <v>16</v>
      </c>
      <c r="AQ2589">
        <v>0</v>
      </c>
      <c r="AR2589">
        <v>5.68</v>
      </c>
      <c r="AS2589">
        <v>49</v>
      </c>
      <c r="AT2589">
        <v>3.63</v>
      </c>
      <c r="AU2589">
        <v>90</v>
      </c>
      <c r="AV2589">
        <v>-2.71</v>
      </c>
      <c r="AW2589">
        <v>56</v>
      </c>
      <c r="AX2589">
        <v>1.1000000000000001</v>
      </c>
      <c r="AY2589">
        <v>45</v>
      </c>
      <c r="AZ2589">
        <v>5.7</v>
      </c>
      <c r="BA2589">
        <v>32</v>
      </c>
      <c r="BB2589">
        <v>5.07</v>
      </c>
      <c r="BC2589">
        <v>32</v>
      </c>
      <c r="BD2589">
        <v>-0.05</v>
      </c>
      <c r="BE2589">
        <v>-0.05</v>
      </c>
      <c r="BF2589">
        <v>-0.09</v>
      </c>
      <c r="BG2589">
        <v>85</v>
      </c>
      <c r="BH2589">
        <v>0.02</v>
      </c>
      <c r="BI2589">
        <v>-5.92</v>
      </c>
      <c r="BJ2589">
        <v>0</v>
      </c>
      <c r="BK2589">
        <v>0</v>
      </c>
      <c r="BL2589">
        <v>1.96</v>
      </c>
      <c r="BM2589">
        <v>-0.47</v>
      </c>
      <c r="BN2589">
        <v>-0.15</v>
      </c>
      <c r="BO2589">
        <v>0.95</v>
      </c>
      <c r="BP2589">
        <v>-1.17</v>
      </c>
      <c r="BQ2589">
        <v>2.2799999999999998</v>
      </c>
      <c r="BR2589">
        <v>-1.47</v>
      </c>
      <c r="BS2589">
        <v>2.98</v>
      </c>
      <c r="BT2589">
        <v>3.72</v>
      </c>
      <c r="BU2589">
        <v>4.21</v>
      </c>
      <c r="BV2589">
        <v>3.46</v>
      </c>
      <c r="BW2589">
        <v>3.61</v>
      </c>
      <c r="BX2589">
        <v>3.79</v>
      </c>
      <c r="BY2589">
        <v>2.39</v>
      </c>
      <c r="BZ2589">
        <v>-4.0999999999999996</v>
      </c>
      <c r="CA2589">
        <v>3.86</v>
      </c>
      <c r="CB2589">
        <v>3.41</v>
      </c>
      <c r="CC2589">
        <v>2.64</v>
      </c>
      <c r="CD2589">
        <v>0.05</v>
      </c>
      <c r="CE2589">
        <v>0.85</v>
      </c>
      <c r="CF2589">
        <v>0.39</v>
      </c>
      <c r="CG2589">
        <v>0</v>
      </c>
      <c r="CH2589">
        <v>2.82</v>
      </c>
      <c r="CI2589">
        <v>0</v>
      </c>
      <c r="CJ2589">
        <v>2.2999999999999998</v>
      </c>
      <c r="CK2589">
        <v>45</v>
      </c>
      <c r="CL2589">
        <v>-1.81</v>
      </c>
      <c r="CM2589">
        <v>42</v>
      </c>
      <c r="CN2589">
        <v>-0.8</v>
      </c>
      <c r="CO2589">
        <v>41</v>
      </c>
      <c r="CP2589">
        <v>11</v>
      </c>
      <c r="CQ2589">
        <v>38</v>
      </c>
      <c r="CR2589">
        <v>0</v>
      </c>
      <c r="CS2589">
        <v>0</v>
      </c>
      <c r="CT2589">
        <v>33.4</v>
      </c>
      <c r="CU2589">
        <v>36</v>
      </c>
      <c r="CV2589">
        <v>0.26</v>
      </c>
      <c r="CW2589">
        <v>34</v>
      </c>
      <c r="CX2589" t="s">
        <v>13849</v>
      </c>
    </row>
    <row r="2590" spans="1:102" x14ac:dyDescent="0.3">
      <c r="A2590" t="str">
        <f>HYPERLINK("https://webapp.icbf.com/v2/app/bull-search/view/77853991","RIY")</f>
        <v>RIY</v>
      </c>
      <c r="B2590" t="s">
        <v>3567</v>
      </c>
      <c r="C2590" t="s">
        <v>3568</v>
      </c>
      <c r="D2590" s="1">
        <v>33486</v>
      </c>
      <c r="E2590" t="s">
        <v>92</v>
      </c>
      <c r="F2590">
        <v>69</v>
      </c>
      <c r="G2590" t="s">
        <v>93</v>
      </c>
      <c r="H2590">
        <v>29.03</v>
      </c>
      <c r="I2590">
        <v>93</v>
      </c>
      <c r="J2590">
        <v>11.94</v>
      </c>
      <c r="K2590">
        <v>99</v>
      </c>
      <c r="L2590">
        <v>7.99</v>
      </c>
      <c r="M2590">
        <v>90</v>
      </c>
      <c r="N2590">
        <v>-1.74</v>
      </c>
      <c r="O2590">
        <v>90</v>
      </c>
      <c r="P2590">
        <v>-2.2799999999999998</v>
      </c>
      <c r="Q2590">
        <v>98</v>
      </c>
      <c r="R2590">
        <v>-8.77</v>
      </c>
      <c r="S2590">
        <v>87</v>
      </c>
      <c r="T2590">
        <v>14.86</v>
      </c>
      <c r="U2590">
        <v>93</v>
      </c>
      <c r="V2590">
        <v>7.03</v>
      </c>
      <c r="W2590">
        <v>81</v>
      </c>
      <c r="X2590" t="s">
        <v>102</v>
      </c>
      <c r="Y2590" t="s">
        <v>95</v>
      </c>
      <c r="Z2590" t="s">
        <v>96</v>
      </c>
      <c r="AA2590" t="s">
        <v>193</v>
      </c>
      <c r="AB2590" t="s">
        <v>3569</v>
      </c>
      <c r="AC2590">
        <v>426</v>
      </c>
      <c r="AD2590">
        <v>220</v>
      </c>
      <c r="AE2590">
        <v>99</v>
      </c>
      <c r="AF2590">
        <v>15.5</v>
      </c>
      <c r="AG2590">
        <v>4.1500000000000004</v>
      </c>
      <c r="AH2590">
        <v>0.8</v>
      </c>
      <c r="AI2590">
        <v>0.06</v>
      </c>
      <c r="AJ2590">
        <v>0.01</v>
      </c>
      <c r="AK2590">
        <v>90</v>
      </c>
      <c r="AL2590">
        <v>667</v>
      </c>
      <c r="AM2590">
        <v>341</v>
      </c>
      <c r="AN2590">
        <v>-1</v>
      </c>
      <c r="AO2590">
        <v>-0.37</v>
      </c>
      <c r="AP2590">
        <v>36</v>
      </c>
      <c r="AQ2590">
        <v>1</v>
      </c>
      <c r="AR2590">
        <v>8.39</v>
      </c>
      <c r="AS2590">
        <v>75</v>
      </c>
      <c r="AT2590">
        <v>2.8</v>
      </c>
      <c r="AU2590">
        <v>90</v>
      </c>
      <c r="AV2590">
        <v>-0.77</v>
      </c>
      <c r="AW2590">
        <v>94</v>
      </c>
      <c r="AX2590">
        <v>-0.28000000000000003</v>
      </c>
      <c r="AY2590">
        <v>95</v>
      </c>
      <c r="AZ2590">
        <v>7.16</v>
      </c>
      <c r="BA2590">
        <v>76</v>
      </c>
      <c r="BB2590">
        <v>6.48</v>
      </c>
      <c r="BC2590">
        <v>88</v>
      </c>
      <c r="BD2590">
        <v>0.04</v>
      </c>
      <c r="BE2590">
        <v>0.05</v>
      </c>
      <c r="BF2590">
        <v>0.04</v>
      </c>
      <c r="BG2590">
        <v>97</v>
      </c>
      <c r="BH2590">
        <v>0.1</v>
      </c>
      <c r="BI2590">
        <v>-11.12</v>
      </c>
      <c r="BJ2590">
        <v>41</v>
      </c>
      <c r="BK2590">
        <v>32</v>
      </c>
      <c r="BL2590">
        <v>-1.1100000000000001</v>
      </c>
      <c r="BM2590">
        <v>-0.46</v>
      </c>
      <c r="BN2590">
        <v>-2.23</v>
      </c>
      <c r="BO2590">
        <v>-1.22</v>
      </c>
      <c r="BP2590">
        <v>1.49</v>
      </c>
      <c r="BQ2590">
        <v>-1.79</v>
      </c>
      <c r="BR2590">
        <v>2.25</v>
      </c>
      <c r="BS2590">
        <v>-2.4300000000000002</v>
      </c>
      <c r="BT2590">
        <v>-2.12</v>
      </c>
      <c r="BU2590">
        <v>-1.64</v>
      </c>
      <c r="BV2590">
        <v>-2.11</v>
      </c>
      <c r="BW2590">
        <v>-1.65</v>
      </c>
      <c r="BX2590">
        <v>-0.68</v>
      </c>
      <c r="BY2590">
        <v>-1.67</v>
      </c>
      <c r="BZ2590">
        <v>1.78</v>
      </c>
      <c r="CA2590">
        <v>-2.73</v>
      </c>
      <c r="CB2590">
        <v>-2.0499999999999998</v>
      </c>
      <c r="CC2590">
        <v>-3.23</v>
      </c>
      <c r="CD2590">
        <v>0.02</v>
      </c>
      <c r="CE2590">
        <v>-1.21</v>
      </c>
      <c r="CF2590">
        <v>-1.82</v>
      </c>
      <c r="CG2590">
        <v>0</v>
      </c>
      <c r="CH2590">
        <v>-1.72</v>
      </c>
      <c r="CI2590">
        <v>0</v>
      </c>
      <c r="CJ2590">
        <v>-1.8</v>
      </c>
      <c r="CK2590">
        <v>98</v>
      </c>
      <c r="CL2590">
        <v>-0.19</v>
      </c>
      <c r="CM2590">
        <v>97</v>
      </c>
      <c r="CN2590">
        <v>-0.35</v>
      </c>
      <c r="CO2590">
        <v>97</v>
      </c>
      <c r="CP2590">
        <v>-12.9</v>
      </c>
      <c r="CQ2590">
        <v>98</v>
      </c>
      <c r="CR2590">
        <v>0</v>
      </c>
      <c r="CS2590">
        <v>0</v>
      </c>
      <c r="CT2590">
        <v>-6.3</v>
      </c>
      <c r="CU2590">
        <v>93</v>
      </c>
      <c r="CV2590">
        <v>0.08</v>
      </c>
      <c r="CW2590">
        <v>46</v>
      </c>
      <c r="CX2590" t="s">
        <v>3570</v>
      </c>
    </row>
    <row r="2591" spans="1:102" x14ac:dyDescent="0.3">
      <c r="A2591" t="str">
        <f>HYPERLINK("https://webapp.icbf.com/v2/app/bull-search/view/69092161","LOZ")</f>
        <v>LOZ</v>
      </c>
      <c r="B2591" t="s">
        <v>508</v>
      </c>
      <c r="C2591" t="s">
        <v>509</v>
      </c>
      <c r="D2591" s="1">
        <v>35983</v>
      </c>
      <c r="E2591" t="s">
        <v>108</v>
      </c>
      <c r="F2591">
        <v>0</v>
      </c>
      <c r="G2591" t="s">
        <v>93</v>
      </c>
      <c r="H2591">
        <v>28.98</v>
      </c>
      <c r="I2591">
        <v>89</v>
      </c>
      <c r="J2591">
        <v>-20.18</v>
      </c>
      <c r="K2591">
        <v>97</v>
      </c>
      <c r="L2591">
        <v>24.44</v>
      </c>
      <c r="M2591">
        <v>81</v>
      </c>
      <c r="N2591">
        <v>19.82</v>
      </c>
      <c r="O2591">
        <v>87</v>
      </c>
      <c r="P2591">
        <v>-9.9</v>
      </c>
      <c r="Q2591">
        <v>95</v>
      </c>
      <c r="R2591">
        <v>-10.7</v>
      </c>
      <c r="S2591">
        <v>83</v>
      </c>
      <c r="T2591">
        <v>21.97</v>
      </c>
      <c r="U2591">
        <v>92</v>
      </c>
      <c r="V2591">
        <v>3.53</v>
      </c>
      <c r="W2591">
        <v>75</v>
      </c>
      <c r="X2591" t="s">
        <v>94</v>
      </c>
      <c r="Y2591" t="s">
        <v>95</v>
      </c>
      <c r="Z2591" t="s">
        <v>96</v>
      </c>
      <c r="AA2591" t="s">
        <v>479</v>
      </c>
      <c r="AB2591" t="s">
        <v>510</v>
      </c>
      <c r="AC2591">
        <v>104</v>
      </c>
      <c r="AD2591">
        <v>76</v>
      </c>
      <c r="AE2591">
        <v>97</v>
      </c>
      <c r="AF2591">
        <v>-153.5</v>
      </c>
      <c r="AG2591">
        <v>-3.37</v>
      </c>
      <c r="AH2591">
        <v>-4.59</v>
      </c>
      <c r="AI2591">
        <v>0.05</v>
      </c>
      <c r="AJ2591">
        <v>0.01</v>
      </c>
      <c r="AK2591">
        <v>81</v>
      </c>
      <c r="AL2591">
        <v>122</v>
      </c>
      <c r="AM2591">
        <v>92</v>
      </c>
      <c r="AN2591">
        <v>-3.57</v>
      </c>
      <c r="AO2591">
        <v>-1.65</v>
      </c>
      <c r="AP2591">
        <v>134</v>
      </c>
      <c r="AQ2591">
        <v>6</v>
      </c>
      <c r="AR2591">
        <v>6</v>
      </c>
      <c r="AS2591">
        <v>71</v>
      </c>
      <c r="AT2591">
        <v>2.39</v>
      </c>
      <c r="AU2591">
        <v>87</v>
      </c>
      <c r="AV2591">
        <v>-2.87</v>
      </c>
      <c r="AW2591">
        <v>95</v>
      </c>
      <c r="AX2591">
        <v>0.19</v>
      </c>
      <c r="AY2591">
        <v>86</v>
      </c>
      <c r="AZ2591">
        <v>7.59</v>
      </c>
      <c r="BA2591">
        <v>68</v>
      </c>
      <c r="BB2591">
        <v>6.83</v>
      </c>
      <c r="BC2591">
        <v>74</v>
      </c>
      <c r="BD2591">
        <v>0.06</v>
      </c>
      <c r="BE2591">
        <v>0.04</v>
      </c>
      <c r="BF2591">
        <v>7.0000000000000007E-2</v>
      </c>
      <c r="BG2591">
        <v>91</v>
      </c>
      <c r="BH2591">
        <v>0.15</v>
      </c>
      <c r="BI2591">
        <v>5.97</v>
      </c>
      <c r="BJ2591">
        <v>25</v>
      </c>
      <c r="BK2591">
        <v>16</v>
      </c>
      <c r="BL2591">
        <v>-3.14</v>
      </c>
      <c r="BM2591">
        <v>0.51</v>
      </c>
      <c r="BN2591">
        <v>-3.75</v>
      </c>
      <c r="BO2591">
        <v>-2.84</v>
      </c>
      <c r="BP2591">
        <v>-2.34</v>
      </c>
      <c r="BQ2591">
        <v>-0.63</v>
      </c>
      <c r="BR2591">
        <v>-1.08</v>
      </c>
      <c r="BS2591">
        <v>-0.88</v>
      </c>
      <c r="BT2591">
        <v>-0.26</v>
      </c>
      <c r="BU2591">
        <v>-2.52</v>
      </c>
      <c r="BV2591">
        <v>-2.4700000000000002</v>
      </c>
      <c r="BW2591">
        <v>-2.66</v>
      </c>
      <c r="BX2591">
        <v>-1.33</v>
      </c>
      <c r="BY2591">
        <v>0.95</v>
      </c>
      <c r="BZ2591">
        <v>-1.67</v>
      </c>
      <c r="CA2591">
        <v>-2.09</v>
      </c>
      <c r="CB2591">
        <v>-2.16</v>
      </c>
      <c r="CC2591">
        <v>-1.86</v>
      </c>
      <c r="CD2591">
        <v>2.5499999999999998</v>
      </c>
      <c r="CE2591">
        <v>-2.92</v>
      </c>
      <c r="CF2591">
        <v>-2.94</v>
      </c>
      <c r="CG2591">
        <v>0</v>
      </c>
      <c r="CH2591">
        <v>0.78</v>
      </c>
      <c r="CI2591">
        <v>0</v>
      </c>
      <c r="CJ2591">
        <v>-3.6</v>
      </c>
      <c r="CK2591">
        <v>96</v>
      </c>
      <c r="CL2591">
        <v>-7.0000000000000007E-2</v>
      </c>
      <c r="CM2591">
        <v>95</v>
      </c>
      <c r="CN2591">
        <v>0.23</v>
      </c>
      <c r="CO2591">
        <v>94</v>
      </c>
      <c r="CP2591">
        <v>-10.1</v>
      </c>
      <c r="CQ2591">
        <v>93</v>
      </c>
      <c r="CR2591">
        <v>0</v>
      </c>
      <c r="CS2591">
        <v>0</v>
      </c>
      <c r="CT2591">
        <v>-15.9</v>
      </c>
      <c r="CU2591">
        <v>92</v>
      </c>
      <c r="CV2591">
        <v>0.1</v>
      </c>
      <c r="CW2591">
        <v>45</v>
      </c>
      <c r="CX2591" t="s">
        <v>511</v>
      </c>
    </row>
    <row r="2592" spans="1:102" x14ac:dyDescent="0.3">
      <c r="A2592" t="str">
        <f>HYPERLINK("https://webapp.icbf.com/v2/app/bull-search/view/444406912","RXT")</f>
        <v>RXT</v>
      </c>
      <c r="B2592" t="s">
        <v>15587</v>
      </c>
      <c r="C2592" t="s">
        <v>15588</v>
      </c>
      <c r="D2592" s="1">
        <v>36315</v>
      </c>
      <c r="E2592" t="s">
        <v>92</v>
      </c>
      <c r="F2592">
        <v>100</v>
      </c>
      <c r="G2592" t="s">
        <v>93</v>
      </c>
      <c r="H2592">
        <v>28.92</v>
      </c>
      <c r="I2592">
        <v>95</v>
      </c>
      <c r="J2592">
        <v>10.28</v>
      </c>
      <c r="K2592">
        <v>99</v>
      </c>
      <c r="L2592">
        <v>-15.73</v>
      </c>
      <c r="M2592">
        <v>93</v>
      </c>
      <c r="N2592">
        <v>25.86</v>
      </c>
      <c r="O2592">
        <v>94</v>
      </c>
      <c r="P2592">
        <v>-2.95</v>
      </c>
      <c r="Q2592">
        <v>97</v>
      </c>
      <c r="R2592">
        <v>6.79</v>
      </c>
      <c r="S2592">
        <v>91</v>
      </c>
      <c r="T2592">
        <v>10.5</v>
      </c>
      <c r="U2592">
        <v>94</v>
      </c>
      <c r="V2592">
        <v>-5.83</v>
      </c>
      <c r="W2592">
        <v>91</v>
      </c>
      <c r="X2592" t="s">
        <v>94</v>
      </c>
      <c r="Y2592" t="s">
        <v>1208</v>
      </c>
      <c r="Z2592" t="s">
        <v>96</v>
      </c>
      <c r="AA2592" t="s">
        <v>8767</v>
      </c>
      <c r="AB2592" t="s">
        <v>15589</v>
      </c>
      <c r="AC2592">
        <v>391</v>
      </c>
      <c r="AD2592">
        <v>115</v>
      </c>
      <c r="AE2592">
        <v>99</v>
      </c>
      <c r="AF2592">
        <v>131.62</v>
      </c>
      <c r="AG2592">
        <v>3.6</v>
      </c>
      <c r="AH2592">
        <v>2.4900000000000002</v>
      </c>
      <c r="AI2592">
        <v>-0.03</v>
      </c>
      <c r="AJ2592">
        <v>-0.03</v>
      </c>
      <c r="AK2592">
        <v>93</v>
      </c>
      <c r="AL2592">
        <v>378</v>
      </c>
      <c r="AM2592">
        <v>136</v>
      </c>
      <c r="AN2592">
        <v>0.4</v>
      </c>
      <c r="AO2592">
        <v>-0.86</v>
      </c>
      <c r="AP2592">
        <v>755</v>
      </c>
      <c r="AQ2592">
        <v>4</v>
      </c>
      <c r="AR2592">
        <v>5.26</v>
      </c>
      <c r="AS2592">
        <v>95</v>
      </c>
      <c r="AT2592">
        <v>2.09</v>
      </c>
      <c r="AU2592">
        <v>94</v>
      </c>
      <c r="AV2592">
        <v>-1.81</v>
      </c>
      <c r="AW2592">
        <v>99</v>
      </c>
      <c r="AX2592">
        <v>-0.87</v>
      </c>
      <c r="AY2592">
        <v>94</v>
      </c>
      <c r="AZ2592">
        <v>6.65</v>
      </c>
      <c r="BA2592">
        <v>83</v>
      </c>
      <c r="BB2592">
        <v>5.71</v>
      </c>
      <c r="BC2592">
        <v>84</v>
      </c>
      <c r="BD2592">
        <v>0</v>
      </c>
      <c r="BE2592">
        <v>-0.04</v>
      </c>
      <c r="BF2592">
        <v>-0.08</v>
      </c>
      <c r="BG2592">
        <v>96</v>
      </c>
      <c r="BH2592">
        <v>-0.09</v>
      </c>
      <c r="BI2592">
        <v>8.3800000000000008</v>
      </c>
      <c r="BJ2592">
        <v>57</v>
      </c>
      <c r="BK2592">
        <v>31</v>
      </c>
      <c r="BL2592">
        <v>0.7</v>
      </c>
      <c r="BM2592">
        <v>-1.75</v>
      </c>
      <c r="BN2592">
        <v>-0.9</v>
      </c>
      <c r="BO2592">
        <v>0.49</v>
      </c>
      <c r="BP2592">
        <v>0.28000000000000003</v>
      </c>
      <c r="BQ2592">
        <v>-1.25</v>
      </c>
      <c r="BR2592">
        <v>0.21</v>
      </c>
      <c r="BS2592">
        <v>-0.61</v>
      </c>
      <c r="BT2592">
        <v>-0.43</v>
      </c>
      <c r="BU2592">
        <v>2.0099999999999998</v>
      </c>
      <c r="BV2592">
        <v>1.62</v>
      </c>
      <c r="BW2592">
        <v>-0.15</v>
      </c>
      <c r="BX2592">
        <v>2.08</v>
      </c>
      <c r="BY2592">
        <v>0.84</v>
      </c>
      <c r="BZ2592">
        <v>-1.42</v>
      </c>
      <c r="CA2592">
        <v>0.75</v>
      </c>
      <c r="CB2592">
        <v>0.99</v>
      </c>
      <c r="CC2592">
        <v>-0.6</v>
      </c>
      <c r="CD2592">
        <v>-1.32</v>
      </c>
      <c r="CE2592">
        <v>0.59</v>
      </c>
      <c r="CF2592">
        <v>0.1</v>
      </c>
      <c r="CG2592">
        <v>0</v>
      </c>
      <c r="CH2592">
        <v>0.66</v>
      </c>
      <c r="CI2592">
        <v>0</v>
      </c>
      <c r="CJ2592">
        <v>0.8</v>
      </c>
      <c r="CK2592">
        <v>97</v>
      </c>
      <c r="CL2592">
        <v>-0.91</v>
      </c>
      <c r="CM2592">
        <v>97</v>
      </c>
      <c r="CN2592">
        <v>-0.54</v>
      </c>
      <c r="CO2592">
        <v>96</v>
      </c>
      <c r="CP2592">
        <v>-6.6</v>
      </c>
      <c r="CQ2592">
        <v>96</v>
      </c>
      <c r="CR2592">
        <v>0</v>
      </c>
      <c r="CS2592">
        <v>0</v>
      </c>
      <c r="CT2592">
        <v>-0.4</v>
      </c>
      <c r="CU2592">
        <v>94</v>
      </c>
      <c r="CV2592">
        <v>0.22</v>
      </c>
      <c r="CW2592">
        <v>45</v>
      </c>
      <c r="CX2592" t="s">
        <v>596</v>
      </c>
    </row>
    <row r="2593" spans="1:102" x14ac:dyDescent="0.3">
      <c r="A2593" t="str">
        <f>HYPERLINK("https://webapp.icbf.com/v2/app/bull-search/view/1075517303","S1562")</f>
        <v>S1562</v>
      </c>
      <c r="B2593" t="s">
        <v>5705</v>
      </c>
      <c r="C2593" t="s">
        <v>5706</v>
      </c>
      <c r="D2593" s="1">
        <v>38855</v>
      </c>
      <c r="E2593" t="s">
        <v>1061</v>
      </c>
      <c r="F2593">
        <v>0</v>
      </c>
      <c r="G2593" t="s">
        <v>109</v>
      </c>
      <c r="H2593">
        <v>28.89</v>
      </c>
      <c r="I2593">
        <v>66</v>
      </c>
      <c r="J2593">
        <v>-32.32</v>
      </c>
      <c r="K2593">
        <v>87</v>
      </c>
      <c r="L2593">
        <v>49.85</v>
      </c>
      <c r="M2593">
        <v>71</v>
      </c>
      <c r="N2593">
        <v>0.48</v>
      </c>
      <c r="O2593">
        <v>45</v>
      </c>
      <c r="P2593">
        <v>-23.02</v>
      </c>
      <c r="Q2593">
        <v>41</v>
      </c>
      <c r="R2593">
        <v>-2.09</v>
      </c>
      <c r="S2593">
        <v>36</v>
      </c>
      <c r="T2593">
        <v>39.58</v>
      </c>
      <c r="U2593">
        <v>37</v>
      </c>
      <c r="V2593">
        <v>-3.59</v>
      </c>
      <c r="W2593">
        <v>35</v>
      </c>
      <c r="X2593" t="s">
        <v>94</v>
      </c>
      <c r="Y2593" t="s">
        <v>362</v>
      </c>
      <c r="Z2593">
        <v>0</v>
      </c>
      <c r="AA2593" t="s">
        <v>1646</v>
      </c>
      <c r="AB2593" t="s">
        <v>5707</v>
      </c>
      <c r="AC2593">
        <v>0</v>
      </c>
      <c r="AD2593">
        <v>0</v>
      </c>
      <c r="AE2593">
        <v>87</v>
      </c>
      <c r="AF2593">
        <v>-293.73</v>
      </c>
      <c r="AG2593">
        <v>-7.5</v>
      </c>
      <c r="AH2593">
        <v>-7.34</v>
      </c>
      <c r="AI2593">
        <v>7.0000000000000007E-2</v>
      </c>
      <c r="AJ2593">
        <v>0.05</v>
      </c>
      <c r="AK2593">
        <v>71</v>
      </c>
      <c r="AL2593">
        <v>0</v>
      </c>
      <c r="AM2593">
        <v>0</v>
      </c>
      <c r="AN2593">
        <v>-1.61</v>
      </c>
      <c r="AO2593">
        <v>2.38</v>
      </c>
      <c r="AP2593">
        <v>10</v>
      </c>
      <c r="AQ2593">
        <v>1</v>
      </c>
      <c r="AR2593">
        <v>8.33</v>
      </c>
      <c r="AS2593">
        <v>32</v>
      </c>
      <c r="AT2593">
        <v>3.22</v>
      </c>
      <c r="AU2593">
        <v>47</v>
      </c>
      <c r="AV2593">
        <v>-1.5</v>
      </c>
      <c r="AW2593">
        <v>57</v>
      </c>
      <c r="AX2593">
        <v>0.39</v>
      </c>
      <c r="AY2593">
        <v>42</v>
      </c>
      <c r="AZ2593">
        <v>7.77</v>
      </c>
      <c r="BA2593">
        <v>18</v>
      </c>
      <c r="BB2593">
        <v>6.01</v>
      </c>
      <c r="BC2593">
        <v>21</v>
      </c>
      <c r="BD2593">
        <v>0</v>
      </c>
      <c r="BE2593">
        <v>0.02</v>
      </c>
      <c r="BF2593">
        <v>0.01</v>
      </c>
      <c r="BG2593">
        <v>44</v>
      </c>
      <c r="BH2593">
        <v>-0.04</v>
      </c>
      <c r="BI2593">
        <v>6.95</v>
      </c>
      <c r="BJ2593">
        <v>0</v>
      </c>
      <c r="BK2593">
        <v>0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0</v>
      </c>
      <c r="CJ2593">
        <v>-11.5</v>
      </c>
      <c r="CK2593">
        <v>42</v>
      </c>
      <c r="CL2593">
        <v>-0.65</v>
      </c>
      <c r="CM2593">
        <v>41</v>
      </c>
      <c r="CN2593">
        <v>-0.28999999999999998</v>
      </c>
      <c r="CO2593">
        <v>40</v>
      </c>
      <c r="CP2593">
        <v>-25.6</v>
      </c>
      <c r="CQ2593">
        <v>38</v>
      </c>
      <c r="CR2593">
        <v>0</v>
      </c>
      <c r="CS2593">
        <v>0</v>
      </c>
      <c r="CT2593">
        <v>-39.700000000000003</v>
      </c>
      <c r="CU2593">
        <v>37</v>
      </c>
      <c r="CV2593">
        <v>-0.17</v>
      </c>
      <c r="CW2593">
        <v>33</v>
      </c>
      <c r="CX2593" t="s">
        <v>5708</v>
      </c>
    </row>
    <row r="2594" spans="1:102" x14ac:dyDescent="0.3">
      <c r="A2594" t="str">
        <f>HYPERLINK("https://webapp.icbf.com/v2/app/bull-search/view/1097417170","FR4161")</f>
        <v>FR4161</v>
      </c>
      <c r="B2594" t="s">
        <v>2354</v>
      </c>
      <c r="C2594" t="s">
        <v>2355</v>
      </c>
      <c r="D2594" s="1">
        <v>40516</v>
      </c>
      <c r="E2594" t="s">
        <v>92</v>
      </c>
      <c r="F2594">
        <v>88</v>
      </c>
      <c r="G2594" t="s">
        <v>109</v>
      </c>
      <c r="H2594">
        <v>28.88</v>
      </c>
      <c r="I2594">
        <v>71</v>
      </c>
      <c r="J2594">
        <v>57.72</v>
      </c>
      <c r="K2594">
        <v>89</v>
      </c>
      <c r="L2594">
        <v>-23.87</v>
      </c>
      <c r="M2594">
        <v>75</v>
      </c>
      <c r="N2594">
        <v>8.0399999999999991</v>
      </c>
      <c r="O2594">
        <v>58</v>
      </c>
      <c r="P2594">
        <v>-14.29</v>
      </c>
      <c r="Q2594">
        <v>38</v>
      </c>
      <c r="R2594">
        <v>6.74</v>
      </c>
      <c r="S2594">
        <v>66</v>
      </c>
      <c r="T2594">
        <v>-5.19</v>
      </c>
      <c r="U2594">
        <v>37</v>
      </c>
      <c r="V2594">
        <v>-0.27</v>
      </c>
      <c r="W2594">
        <v>51</v>
      </c>
      <c r="X2594" t="s">
        <v>102</v>
      </c>
      <c r="Y2594" t="s">
        <v>1923</v>
      </c>
      <c r="Z2594" t="s">
        <v>330</v>
      </c>
      <c r="AA2594" t="s">
        <v>2356</v>
      </c>
      <c r="AB2594" t="s">
        <v>2357</v>
      </c>
      <c r="AC2594">
        <v>0</v>
      </c>
      <c r="AD2594">
        <v>0</v>
      </c>
      <c r="AE2594">
        <v>89</v>
      </c>
      <c r="AF2594">
        <v>184.7</v>
      </c>
      <c r="AG2594">
        <v>9.48</v>
      </c>
      <c r="AH2594">
        <v>9.2899999999999991</v>
      </c>
      <c r="AI2594">
        <v>0.03</v>
      </c>
      <c r="AJ2594">
        <v>0.05</v>
      </c>
      <c r="AK2594">
        <v>75</v>
      </c>
      <c r="AL2594">
        <v>0</v>
      </c>
      <c r="AM2594">
        <v>0</v>
      </c>
      <c r="AN2594">
        <v>1.55</v>
      </c>
      <c r="AO2594">
        <v>-0.35</v>
      </c>
      <c r="AP2594">
        <v>9</v>
      </c>
      <c r="AQ2594">
        <v>0</v>
      </c>
      <c r="AR2594">
        <v>7.69</v>
      </c>
      <c r="AS2594">
        <v>43</v>
      </c>
      <c r="AT2594">
        <v>3.16</v>
      </c>
      <c r="AU2594">
        <v>87</v>
      </c>
      <c r="AV2594">
        <v>-1.58</v>
      </c>
      <c r="AW2594">
        <v>57</v>
      </c>
      <c r="AX2594">
        <v>-0.55000000000000004</v>
      </c>
      <c r="AY2594">
        <v>41</v>
      </c>
      <c r="AZ2594">
        <v>8.08</v>
      </c>
      <c r="BA2594">
        <v>31</v>
      </c>
      <c r="BB2594">
        <v>5.53</v>
      </c>
      <c r="BC2594">
        <v>32</v>
      </c>
      <c r="BD2594">
        <v>-0.03</v>
      </c>
      <c r="BE2594">
        <v>-0.05</v>
      </c>
      <c r="BF2594">
        <v>-0.01</v>
      </c>
      <c r="BG2594">
        <v>85</v>
      </c>
      <c r="BH2594">
        <v>0.13</v>
      </c>
      <c r="BI2594">
        <v>15.9</v>
      </c>
      <c r="BJ2594">
        <v>0</v>
      </c>
      <c r="BK2594">
        <v>0</v>
      </c>
      <c r="BL2594">
        <v>1.19</v>
      </c>
      <c r="BM2594">
        <v>1.34</v>
      </c>
      <c r="BN2594">
        <v>0.82</v>
      </c>
      <c r="BO2594">
        <v>0.33</v>
      </c>
      <c r="BP2594">
        <v>0.39</v>
      </c>
      <c r="BQ2594">
        <v>1.57</v>
      </c>
      <c r="BR2594">
        <v>-3.2</v>
      </c>
      <c r="BS2594">
        <v>1.93</v>
      </c>
      <c r="BT2594">
        <v>2.99</v>
      </c>
      <c r="BU2594">
        <v>1.1599999999999999</v>
      </c>
      <c r="BV2594">
        <v>1.62</v>
      </c>
      <c r="BW2594">
        <v>0.45</v>
      </c>
      <c r="BX2594">
        <v>1.25</v>
      </c>
      <c r="BY2594">
        <v>1.1100000000000001</v>
      </c>
      <c r="BZ2594">
        <v>0.68</v>
      </c>
      <c r="CA2594">
        <v>1.56</v>
      </c>
      <c r="CB2594">
        <v>1.34</v>
      </c>
      <c r="CC2594">
        <v>1.29</v>
      </c>
      <c r="CD2594">
        <v>1.1200000000000001</v>
      </c>
      <c r="CE2594">
        <v>0</v>
      </c>
      <c r="CF2594">
        <v>0</v>
      </c>
      <c r="CG2594">
        <v>0</v>
      </c>
      <c r="CH2594">
        <v>0</v>
      </c>
      <c r="CI2594">
        <v>0</v>
      </c>
      <c r="CJ2594">
        <v>-6.3</v>
      </c>
      <c r="CK2594">
        <v>39</v>
      </c>
      <c r="CL2594">
        <v>-1.01</v>
      </c>
      <c r="CM2594">
        <v>38</v>
      </c>
      <c r="CN2594">
        <v>-0.43</v>
      </c>
      <c r="CO2594">
        <v>38</v>
      </c>
      <c r="CP2594">
        <v>-1.4</v>
      </c>
      <c r="CQ2594">
        <v>37</v>
      </c>
      <c r="CR2594">
        <v>0</v>
      </c>
      <c r="CS2594">
        <v>0</v>
      </c>
      <c r="CT2594">
        <v>20.8</v>
      </c>
      <c r="CU2594">
        <v>37</v>
      </c>
      <c r="CV2594">
        <v>0.09</v>
      </c>
      <c r="CW2594">
        <v>33</v>
      </c>
      <c r="CX2594" t="s">
        <v>2358</v>
      </c>
    </row>
    <row r="2595" spans="1:102" x14ac:dyDescent="0.3">
      <c r="A2595" t="str">
        <f>HYPERLINK("https://webapp.icbf.com/v2/app/bull-search/view/447871865","TXI")</f>
        <v>TXI</v>
      </c>
      <c r="B2595" t="s">
        <v>10014</v>
      </c>
      <c r="C2595" t="s">
        <v>10015</v>
      </c>
      <c r="D2595" s="1">
        <v>38764</v>
      </c>
      <c r="E2595" t="s">
        <v>92</v>
      </c>
      <c r="F2595">
        <v>94</v>
      </c>
      <c r="G2595" t="s">
        <v>93</v>
      </c>
      <c r="H2595">
        <v>28.88</v>
      </c>
      <c r="I2595">
        <v>91</v>
      </c>
      <c r="J2595">
        <v>51.88</v>
      </c>
      <c r="K2595">
        <v>98</v>
      </c>
      <c r="L2595">
        <v>-56.6</v>
      </c>
      <c r="M2595">
        <v>84</v>
      </c>
      <c r="N2595">
        <v>35.71</v>
      </c>
      <c r="O2595">
        <v>91</v>
      </c>
      <c r="P2595">
        <v>-22.85</v>
      </c>
      <c r="Q2595">
        <v>96</v>
      </c>
      <c r="R2595">
        <v>2.57</v>
      </c>
      <c r="S2595">
        <v>85</v>
      </c>
      <c r="T2595">
        <v>10.35</v>
      </c>
      <c r="U2595">
        <v>93</v>
      </c>
      <c r="V2595">
        <v>7.82</v>
      </c>
      <c r="W2595">
        <v>86</v>
      </c>
      <c r="X2595" t="s">
        <v>251</v>
      </c>
      <c r="Y2595" t="s">
        <v>228</v>
      </c>
      <c r="Z2595" t="s">
        <v>96</v>
      </c>
      <c r="AA2595" t="s">
        <v>316</v>
      </c>
      <c r="AB2595" t="s">
        <v>10016</v>
      </c>
      <c r="AC2595">
        <v>175</v>
      </c>
      <c r="AD2595">
        <v>101</v>
      </c>
      <c r="AE2595">
        <v>98</v>
      </c>
      <c r="AF2595">
        <v>293.95999999999998</v>
      </c>
      <c r="AG2595">
        <v>16.46</v>
      </c>
      <c r="AH2595">
        <v>7.5</v>
      </c>
      <c r="AI2595">
        <v>0.08</v>
      </c>
      <c r="AJ2595">
        <v>-0.04</v>
      </c>
      <c r="AK2595">
        <v>84</v>
      </c>
      <c r="AL2595">
        <v>208</v>
      </c>
      <c r="AM2595">
        <v>119</v>
      </c>
      <c r="AN2595">
        <v>3.41</v>
      </c>
      <c r="AO2595">
        <v>-1.1000000000000001</v>
      </c>
      <c r="AP2595">
        <v>469</v>
      </c>
      <c r="AQ2595">
        <v>4</v>
      </c>
      <c r="AR2595">
        <v>5.75</v>
      </c>
      <c r="AS2595">
        <v>78</v>
      </c>
      <c r="AT2595">
        <v>2.2599999999999998</v>
      </c>
      <c r="AU2595">
        <v>93</v>
      </c>
      <c r="AV2595">
        <v>-2.73</v>
      </c>
      <c r="AW2595">
        <v>98</v>
      </c>
      <c r="AX2595">
        <v>-0.37</v>
      </c>
      <c r="AY2595">
        <v>91</v>
      </c>
      <c r="AZ2595">
        <v>5.78</v>
      </c>
      <c r="BA2595">
        <v>75</v>
      </c>
      <c r="BB2595">
        <v>4.8099999999999996</v>
      </c>
      <c r="BC2595">
        <v>77</v>
      </c>
      <c r="BD2595">
        <v>0.03</v>
      </c>
      <c r="BE2595">
        <v>-0.01</v>
      </c>
      <c r="BF2595">
        <v>-0.09</v>
      </c>
      <c r="BG2595">
        <v>92</v>
      </c>
      <c r="BH2595">
        <v>0.15</v>
      </c>
      <c r="BI2595">
        <v>-7.87</v>
      </c>
      <c r="BJ2595">
        <v>28</v>
      </c>
      <c r="BK2595">
        <v>17</v>
      </c>
      <c r="BL2595">
        <v>0.27</v>
      </c>
      <c r="BM2595">
        <v>2.46</v>
      </c>
      <c r="BN2595">
        <v>0.93</v>
      </c>
      <c r="BO2595">
        <v>-0.87</v>
      </c>
      <c r="BP2595">
        <v>1.74</v>
      </c>
      <c r="BQ2595">
        <v>0.42</v>
      </c>
      <c r="BR2595">
        <v>-0.97</v>
      </c>
      <c r="BS2595">
        <v>-0.54</v>
      </c>
      <c r="BT2595">
        <v>1.49</v>
      </c>
      <c r="BU2595">
        <v>-0.25</v>
      </c>
      <c r="BV2595">
        <v>-0.33</v>
      </c>
      <c r="BW2595">
        <v>-0.57999999999999996</v>
      </c>
      <c r="BX2595">
        <v>-0.24</v>
      </c>
      <c r="BY2595">
        <v>-0.55000000000000004</v>
      </c>
      <c r="BZ2595">
        <v>-2.02</v>
      </c>
      <c r="CA2595">
        <v>-0.81</v>
      </c>
      <c r="CB2595">
        <v>-0.62</v>
      </c>
      <c r="CC2595">
        <v>-0.66</v>
      </c>
      <c r="CD2595">
        <v>1.36</v>
      </c>
      <c r="CE2595">
        <v>-0.52</v>
      </c>
      <c r="CF2595">
        <v>1.17</v>
      </c>
      <c r="CG2595">
        <v>0</v>
      </c>
      <c r="CH2595">
        <v>-1.27</v>
      </c>
      <c r="CI2595">
        <v>0</v>
      </c>
      <c r="CJ2595">
        <v>-10.3</v>
      </c>
      <c r="CK2595">
        <v>97</v>
      </c>
      <c r="CL2595">
        <v>-0.69</v>
      </c>
      <c r="CM2595">
        <v>96</v>
      </c>
      <c r="CN2595">
        <v>0.01</v>
      </c>
      <c r="CO2595">
        <v>96</v>
      </c>
      <c r="CP2595">
        <v>-9.3000000000000007</v>
      </c>
      <c r="CQ2595">
        <v>94</v>
      </c>
      <c r="CR2595">
        <v>0</v>
      </c>
      <c r="CS2595">
        <v>0</v>
      </c>
      <c r="CT2595">
        <v>-0.2</v>
      </c>
      <c r="CU2595">
        <v>93</v>
      </c>
      <c r="CV2595">
        <v>0.08</v>
      </c>
      <c r="CW2595">
        <v>48</v>
      </c>
      <c r="CX2595" t="s">
        <v>906</v>
      </c>
    </row>
    <row r="2596" spans="1:102" x14ac:dyDescent="0.3">
      <c r="A2596" t="str">
        <f>HYPERLINK("https://webapp.icbf.com/v2/app/bull-search/view/69091972","JCN")</f>
        <v>JCN</v>
      </c>
      <c r="B2596" t="s">
        <v>144</v>
      </c>
      <c r="C2596" t="s">
        <v>6579</v>
      </c>
      <c r="D2596" s="1">
        <v>33232</v>
      </c>
      <c r="E2596" t="s">
        <v>895</v>
      </c>
      <c r="F2596">
        <v>0</v>
      </c>
      <c r="G2596" t="s">
        <v>116</v>
      </c>
      <c r="H2596">
        <v>28.84</v>
      </c>
      <c r="I2596">
        <v>34</v>
      </c>
      <c r="J2596">
        <v>4.7</v>
      </c>
      <c r="K2596">
        <v>60</v>
      </c>
      <c r="L2596">
        <v>-11.24</v>
      </c>
      <c r="M2596">
        <v>15</v>
      </c>
      <c r="N2596">
        <v>12.44</v>
      </c>
      <c r="O2596">
        <v>24</v>
      </c>
      <c r="P2596">
        <v>-8.3699999999999992</v>
      </c>
      <c r="Q2596">
        <v>47</v>
      </c>
      <c r="R2596">
        <v>2.65</v>
      </c>
      <c r="S2596">
        <v>20</v>
      </c>
      <c r="T2596">
        <v>35.51</v>
      </c>
      <c r="U2596">
        <v>25</v>
      </c>
      <c r="V2596">
        <v>-6.85</v>
      </c>
      <c r="W2596">
        <v>16</v>
      </c>
      <c r="X2596" t="s">
        <v>94</v>
      </c>
      <c r="Y2596" t="s">
        <v>95</v>
      </c>
      <c r="Z2596">
        <v>0</v>
      </c>
      <c r="AA2596" t="s">
        <v>144</v>
      </c>
      <c r="AB2596" t="s">
        <v>144</v>
      </c>
      <c r="AC2596">
        <v>5</v>
      </c>
      <c r="AD2596">
        <v>1</v>
      </c>
      <c r="AE2596">
        <v>60</v>
      </c>
      <c r="AF2596">
        <v>-154.29</v>
      </c>
      <c r="AG2596">
        <v>0.53</v>
      </c>
      <c r="AH2596">
        <v>-1.75</v>
      </c>
      <c r="AI2596">
        <v>0.11</v>
      </c>
      <c r="AJ2596">
        <v>0.06</v>
      </c>
      <c r="AK2596">
        <v>15</v>
      </c>
      <c r="AL2596">
        <v>5</v>
      </c>
      <c r="AM2596">
        <v>1</v>
      </c>
      <c r="AN2596">
        <v>4.2</v>
      </c>
      <c r="AO2596">
        <v>3.35</v>
      </c>
      <c r="AP2596">
        <v>5</v>
      </c>
      <c r="AQ2596">
        <v>0</v>
      </c>
      <c r="AR2596">
        <v>4.5199999999999996</v>
      </c>
      <c r="AS2596">
        <v>4</v>
      </c>
      <c r="AT2596">
        <v>2.29</v>
      </c>
      <c r="AU2596">
        <v>18</v>
      </c>
      <c r="AV2596">
        <v>1.08</v>
      </c>
      <c r="AW2596">
        <v>39</v>
      </c>
      <c r="AX2596">
        <v>-0.46</v>
      </c>
      <c r="AY2596">
        <v>17</v>
      </c>
      <c r="AZ2596">
        <v>5.0599999999999996</v>
      </c>
      <c r="BA2596">
        <v>3</v>
      </c>
      <c r="BB2596">
        <v>4.0199999999999996</v>
      </c>
      <c r="BC2596">
        <v>11</v>
      </c>
      <c r="BD2596">
        <v>0.03</v>
      </c>
      <c r="BE2596">
        <v>0.01</v>
      </c>
      <c r="BF2596">
        <v>-0.13</v>
      </c>
      <c r="BG2596">
        <v>25</v>
      </c>
      <c r="BH2596">
        <v>-0.13</v>
      </c>
      <c r="BI2596">
        <v>7.07</v>
      </c>
      <c r="BJ2596">
        <v>0</v>
      </c>
      <c r="BK2596">
        <v>0</v>
      </c>
      <c r="BL2596">
        <v>-1.45</v>
      </c>
      <c r="BM2596">
        <v>1.47</v>
      </c>
      <c r="BN2596">
        <v>-1.44</v>
      </c>
      <c r="BO2596">
        <v>-1.98</v>
      </c>
      <c r="BP2596">
        <v>0.79</v>
      </c>
      <c r="BQ2596">
        <v>0.13</v>
      </c>
      <c r="BR2596">
        <v>-0.21</v>
      </c>
      <c r="BS2596">
        <v>-0.26</v>
      </c>
      <c r="BT2596">
        <v>0.12</v>
      </c>
      <c r="BU2596">
        <v>-2.16</v>
      </c>
      <c r="BV2596">
        <v>-1.94</v>
      </c>
      <c r="BW2596">
        <v>-2.0299999999999998</v>
      </c>
      <c r="BX2596">
        <v>-1.35</v>
      </c>
      <c r="BY2596">
        <v>-1.82</v>
      </c>
      <c r="BZ2596">
        <v>-0.25</v>
      </c>
      <c r="CA2596">
        <v>-2.23</v>
      </c>
      <c r="CB2596">
        <v>-2.4700000000000002</v>
      </c>
      <c r="CC2596">
        <v>-0.89</v>
      </c>
      <c r="CD2596">
        <v>2</v>
      </c>
      <c r="CE2596">
        <v>-2.19</v>
      </c>
      <c r="CF2596">
        <v>-1.47</v>
      </c>
      <c r="CG2596">
        <v>0</v>
      </c>
      <c r="CH2596">
        <v>-2.58</v>
      </c>
      <c r="CI2596">
        <v>0</v>
      </c>
      <c r="CJ2596">
        <v>-3.4</v>
      </c>
      <c r="CK2596">
        <v>50</v>
      </c>
      <c r="CL2596">
        <v>-0.04</v>
      </c>
      <c r="CM2596">
        <v>45</v>
      </c>
      <c r="CN2596">
        <v>7.0000000000000007E-2</v>
      </c>
      <c r="CO2596">
        <v>41</v>
      </c>
      <c r="CP2596">
        <v>-16.3</v>
      </c>
      <c r="CQ2596">
        <v>37</v>
      </c>
      <c r="CR2596">
        <v>0</v>
      </c>
      <c r="CS2596">
        <v>0</v>
      </c>
      <c r="CT2596">
        <v>-34.200000000000003</v>
      </c>
      <c r="CU2596">
        <v>25</v>
      </c>
      <c r="CV2596">
        <v>-0.1</v>
      </c>
      <c r="CW2596">
        <v>12</v>
      </c>
      <c r="CX2596">
        <v>0</v>
      </c>
    </row>
    <row r="2597" spans="1:102" x14ac:dyDescent="0.3">
      <c r="A2597" t="str">
        <f>HYPERLINK("https://webapp.icbf.com/v2/app/bull-search/view/403230582","TMX")</f>
        <v>TMX</v>
      </c>
      <c r="B2597" t="s">
        <v>11986</v>
      </c>
      <c r="C2597" t="s">
        <v>11987</v>
      </c>
      <c r="D2597" s="1">
        <v>37356</v>
      </c>
      <c r="E2597" t="s">
        <v>108</v>
      </c>
      <c r="F2597">
        <v>0</v>
      </c>
      <c r="G2597" t="s">
        <v>93</v>
      </c>
      <c r="H2597">
        <v>28.82</v>
      </c>
      <c r="I2597">
        <v>83</v>
      </c>
      <c r="J2597">
        <v>-94.87</v>
      </c>
      <c r="K2597">
        <v>95</v>
      </c>
      <c r="L2597">
        <v>96.77</v>
      </c>
      <c r="M2597">
        <v>69</v>
      </c>
      <c r="N2597">
        <v>4.3</v>
      </c>
      <c r="O2597">
        <v>80</v>
      </c>
      <c r="P2597">
        <v>-11.29</v>
      </c>
      <c r="Q2597">
        <v>92</v>
      </c>
      <c r="R2597">
        <v>14.19</v>
      </c>
      <c r="S2597">
        <v>73</v>
      </c>
      <c r="T2597">
        <v>16.489999999999998</v>
      </c>
      <c r="U2597">
        <v>89</v>
      </c>
      <c r="V2597">
        <v>3.23</v>
      </c>
      <c r="W2597">
        <v>77</v>
      </c>
      <c r="X2597" t="s">
        <v>234</v>
      </c>
      <c r="Y2597" t="s">
        <v>1153</v>
      </c>
      <c r="Z2597" t="s">
        <v>96</v>
      </c>
      <c r="AA2597" t="s">
        <v>3957</v>
      </c>
      <c r="AB2597" t="s">
        <v>1130</v>
      </c>
      <c r="AC2597">
        <v>72</v>
      </c>
      <c r="AD2597">
        <v>48</v>
      </c>
      <c r="AE2597">
        <v>95</v>
      </c>
      <c r="AF2597">
        <v>-351.09</v>
      </c>
      <c r="AG2597">
        <v>-19.47</v>
      </c>
      <c r="AH2597">
        <v>-14.62</v>
      </c>
      <c r="AI2597">
        <v>-0.1</v>
      </c>
      <c r="AJ2597">
        <v>-0.05</v>
      </c>
      <c r="AK2597">
        <v>69</v>
      </c>
      <c r="AL2597">
        <v>89</v>
      </c>
      <c r="AM2597">
        <v>52</v>
      </c>
      <c r="AN2597">
        <v>-5.84</v>
      </c>
      <c r="AO2597">
        <v>1.87</v>
      </c>
      <c r="AP2597">
        <v>111</v>
      </c>
      <c r="AQ2597">
        <v>1</v>
      </c>
      <c r="AR2597">
        <v>9.33</v>
      </c>
      <c r="AS2597">
        <v>64</v>
      </c>
      <c r="AT2597">
        <v>3.5</v>
      </c>
      <c r="AU2597">
        <v>82</v>
      </c>
      <c r="AV2597">
        <v>-0.81</v>
      </c>
      <c r="AW2597">
        <v>88</v>
      </c>
      <c r="AX2597">
        <v>-0.37</v>
      </c>
      <c r="AY2597">
        <v>82</v>
      </c>
      <c r="AZ2597">
        <v>5.18</v>
      </c>
      <c r="BA2597">
        <v>58</v>
      </c>
      <c r="BB2597">
        <v>4.25</v>
      </c>
      <c r="BC2597">
        <v>65</v>
      </c>
      <c r="BD2597">
        <v>-0.02</v>
      </c>
      <c r="BE2597">
        <v>-7.0000000000000007E-2</v>
      </c>
      <c r="BF2597">
        <v>-0.16</v>
      </c>
      <c r="BG2597">
        <v>83</v>
      </c>
      <c r="BH2597">
        <v>-7.0000000000000007E-2</v>
      </c>
      <c r="BI2597">
        <v>-18.53</v>
      </c>
      <c r="BJ2597">
        <v>7</v>
      </c>
      <c r="BK2597">
        <v>6</v>
      </c>
      <c r="BL2597">
        <v>-2.4900000000000002</v>
      </c>
      <c r="BM2597">
        <v>1.63</v>
      </c>
      <c r="BN2597">
        <v>-1.95</v>
      </c>
      <c r="BO2597">
        <v>-2.58</v>
      </c>
      <c r="BP2597">
        <v>1.68</v>
      </c>
      <c r="BQ2597">
        <v>1</v>
      </c>
      <c r="BR2597">
        <v>-2.36</v>
      </c>
      <c r="BS2597">
        <v>0.65</v>
      </c>
      <c r="BT2597">
        <v>1.71</v>
      </c>
      <c r="BU2597">
        <v>-1.1299999999999999</v>
      </c>
      <c r="BV2597">
        <v>-1.81</v>
      </c>
      <c r="BW2597">
        <v>-1.22</v>
      </c>
      <c r="BX2597">
        <v>-0.38</v>
      </c>
      <c r="BY2597">
        <v>-1.42</v>
      </c>
      <c r="BZ2597">
        <v>-1.8</v>
      </c>
      <c r="CA2597">
        <v>-1.45</v>
      </c>
      <c r="CB2597">
        <v>-2.1</v>
      </c>
      <c r="CC2597">
        <v>0.43</v>
      </c>
      <c r="CD2597">
        <v>2.19</v>
      </c>
      <c r="CE2597">
        <v>-2.64</v>
      </c>
      <c r="CF2597">
        <v>-1.55</v>
      </c>
      <c r="CG2597">
        <v>0</v>
      </c>
      <c r="CH2597">
        <v>-2.33</v>
      </c>
      <c r="CI2597">
        <v>0</v>
      </c>
      <c r="CJ2597">
        <v>-6.4</v>
      </c>
      <c r="CK2597">
        <v>93</v>
      </c>
      <c r="CL2597">
        <v>-0.25</v>
      </c>
      <c r="CM2597">
        <v>91</v>
      </c>
      <c r="CN2597">
        <v>-0.1</v>
      </c>
      <c r="CO2597">
        <v>90</v>
      </c>
      <c r="CP2597">
        <v>-7</v>
      </c>
      <c r="CQ2597">
        <v>90</v>
      </c>
      <c r="CR2597">
        <v>0</v>
      </c>
      <c r="CS2597">
        <v>0</v>
      </c>
      <c r="CT2597">
        <v>-8.5</v>
      </c>
      <c r="CU2597">
        <v>89</v>
      </c>
      <c r="CV2597">
        <v>-0.11</v>
      </c>
      <c r="CW2597">
        <v>27</v>
      </c>
      <c r="CX2597" t="s">
        <v>823</v>
      </c>
    </row>
    <row r="2598" spans="1:102" x14ac:dyDescent="0.3">
      <c r="A2598" t="str">
        <f>HYPERLINK("https://webapp.icbf.com/v2/app/bull-search/view/851130526","S1017")</f>
        <v>S1017</v>
      </c>
      <c r="B2598" t="s">
        <v>12746</v>
      </c>
      <c r="C2598" t="s">
        <v>12747</v>
      </c>
      <c r="D2598" s="1">
        <v>39867</v>
      </c>
      <c r="E2598" t="s">
        <v>140</v>
      </c>
      <c r="F2598">
        <v>0</v>
      </c>
      <c r="G2598" t="s">
        <v>109</v>
      </c>
      <c r="H2598">
        <v>28.74</v>
      </c>
      <c r="I2598">
        <v>50</v>
      </c>
      <c r="J2598">
        <v>33.04</v>
      </c>
      <c r="K2598">
        <v>72</v>
      </c>
      <c r="L2598">
        <v>-11.09</v>
      </c>
      <c r="M2598">
        <v>32</v>
      </c>
      <c r="N2598">
        <v>-22.75</v>
      </c>
      <c r="O2598">
        <v>50</v>
      </c>
      <c r="P2598">
        <v>20.239999999999998</v>
      </c>
      <c r="Q2598">
        <v>58</v>
      </c>
      <c r="R2598">
        <v>10.26</v>
      </c>
      <c r="S2598">
        <v>32</v>
      </c>
      <c r="T2598">
        <v>7.98</v>
      </c>
      <c r="U2598">
        <v>40</v>
      </c>
      <c r="V2598">
        <v>-8.94</v>
      </c>
      <c r="W2598">
        <v>28</v>
      </c>
      <c r="X2598" t="s">
        <v>102</v>
      </c>
      <c r="Y2598" t="s">
        <v>303</v>
      </c>
      <c r="Z2598">
        <v>0</v>
      </c>
      <c r="AA2598" t="s">
        <v>12748</v>
      </c>
      <c r="AB2598" t="s">
        <v>12749</v>
      </c>
      <c r="AC2598">
        <v>0</v>
      </c>
      <c r="AD2598">
        <v>0</v>
      </c>
      <c r="AE2598">
        <v>72</v>
      </c>
      <c r="AF2598">
        <v>118.99</v>
      </c>
      <c r="AG2598">
        <v>3.31</v>
      </c>
      <c r="AH2598">
        <v>6.27</v>
      </c>
      <c r="AI2598">
        <v>-0.02</v>
      </c>
      <c r="AJ2598">
        <v>0.04</v>
      </c>
      <c r="AK2598">
        <v>32</v>
      </c>
      <c r="AL2598">
        <v>7</v>
      </c>
      <c r="AM2598">
        <v>6</v>
      </c>
      <c r="AN2598">
        <v>0.97</v>
      </c>
      <c r="AO2598">
        <v>0.09</v>
      </c>
      <c r="AP2598">
        <v>20</v>
      </c>
      <c r="AQ2598">
        <v>0</v>
      </c>
      <c r="AR2598">
        <v>8.65</v>
      </c>
      <c r="AS2598">
        <v>30</v>
      </c>
      <c r="AT2598">
        <v>4.5199999999999996</v>
      </c>
      <c r="AU2598">
        <v>47</v>
      </c>
      <c r="AV2598">
        <v>0.96</v>
      </c>
      <c r="AW2598">
        <v>65</v>
      </c>
      <c r="AX2598">
        <v>-0.24</v>
      </c>
      <c r="AY2598">
        <v>44</v>
      </c>
      <c r="AZ2598">
        <v>6.41</v>
      </c>
      <c r="BA2598">
        <v>27</v>
      </c>
      <c r="BB2598">
        <v>4.7699999999999996</v>
      </c>
      <c r="BC2598">
        <v>28</v>
      </c>
      <c r="BD2598">
        <v>0</v>
      </c>
      <c r="BE2598">
        <v>-0.04</v>
      </c>
      <c r="BF2598">
        <v>-0.16</v>
      </c>
      <c r="BG2598">
        <v>37</v>
      </c>
      <c r="BH2598">
        <v>-0.3</v>
      </c>
      <c r="BI2598">
        <v>-5.88</v>
      </c>
      <c r="BJ2598">
        <v>0</v>
      </c>
      <c r="BK2598">
        <v>0</v>
      </c>
      <c r="BL2598">
        <v>-0.88</v>
      </c>
      <c r="BM2598">
        <v>3.41</v>
      </c>
      <c r="BN2598">
        <v>-1.77</v>
      </c>
      <c r="BO2598">
        <v>-3.01</v>
      </c>
      <c r="BP2598">
        <v>3.96</v>
      </c>
      <c r="BQ2598">
        <v>-1.98</v>
      </c>
      <c r="BR2598">
        <v>-2.58</v>
      </c>
      <c r="BS2598">
        <v>-0.7</v>
      </c>
      <c r="BT2598">
        <v>2.4900000000000002</v>
      </c>
      <c r="BU2598">
        <v>-3.67</v>
      </c>
      <c r="BV2598">
        <v>-3.98</v>
      </c>
      <c r="BW2598">
        <v>-3.02</v>
      </c>
      <c r="BX2598">
        <v>-2.87</v>
      </c>
      <c r="BY2598">
        <v>-2.38</v>
      </c>
      <c r="BZ2598">
        <v>0.83</v>
      </c>
      <c r="CA2598">
        <v>-2.64</v>
      </c>
      <c r="CB2598">
        <v>-3.25</v>
      </c>
      <c r="CC2598">
        <v>-0.63</v>
      </c>
      <c r="CD2598">
        <v>3.83</v>
      </c>
      <c r="CE2598">
        <v>-2.82</v>
      </c>
      <c r="CF2598">
        <v>-1.22</v>
      </c>
      <c r="CG2598">
        <v>0</v>
      </c>
      <c r="CH2598">
        <v>-2.77</v>
      </c>
      <c r="CI2598">
        <v>0</v>
      </c>
      <c r="CJ2598">
        <v>7</v>
      </c>
      <c r="CK2598">
        <v>62</v>
      </c>
      <c r="CL2598">
        <v>0.37</v>
      </c>
      <c r="CM2598">
        <v>57</v>
      </c>
      <c r="CN2598">
        <v>-0.52</v>
      </c>
      <c r="CO2598">
        <v>54</v>
      </c>
      <c r="CP2598">
        <v>4.5</v>
      </c>
      <c r="CQ2598">
        <v>44</v>
      </c>
      <c r="CR2598">
        <v>0</v>
      </c>
      <c r="CS2598">
        <v>0</v>
      </c>
      <c r="CT2598">
        <v>3</v>
      </c>
      <c r="CU2598">
        <v>40</v>
      </c>
      <c r="CV2598">
        <v>-0.13</v>
      </c>
      <c r="CW2598">
        <v>17</v>
      </c>
      <c r="CX2598" t="s">
        <v>1997</v>
      </c>
    </row>
    <row r="2599" spans="1:102" x14ac:dyDescent="0.3">
      <c r="A2599" t="str">
        <f>HYPERLINK("https://webapp.icbf.com/v2/app/bull-search/view/77859088","CPA")</f>
        <v>CPA</v>
      </c>
      <c r="B2599" t="s">
        <v>11003</v>
      </c>
      <c r="C2599" t="s">
        <v>738</v>
      </c>
      <c r="D2599" s="1">
        <v>34344</v>
      </c>
      <c r="E2599" t="s">
        <v>108</v>
      </c>
      <c r="F2599">
        <v>0</v>
      </c>
      <c r="G2599" t="s">
        <v>93</v>
      </c>
      <c r="H2599">
        <v>28.65</v>
      </c>
      <c r="I2599">
        <v>99</v>
      </c>
      <c r="J2599">
        <v>-15.03</v>
      </c>
      <c r="K2599">
        <v>99</v>
      </c>
      <c r="L2599">
        <v>28.28</v>
      </c>
      <c r="M2599">
        <v>98</v>
      </c>
      <c r="N2599">
        <v>17.61</v>
      </c>
      <c r="O2599">
        <v>99</v>
      </c>
      <c r="P2599">
        <v>-6.19</v>
      </c>
      <c r="Q2599">
        <v>99</v>
      </c>
      <c r="R2599">
        <v>-9.2200000000000006</v>
      </c>
      <c r="S2599">
        <v>99</v>
      </c>
      <c r="T2599">
        <v>15.6</v>
      </c>
      <c r="U2599">
        <v>99</v>
      </c>
      <c r="V2599">
        <v>-2.4</v>
      </c>
      <c r="W2599">
        <v>99</v>
      </c>
      <c r="X2599" t="s">
        <v>102</v>
      </c>
      <c r="Y2599" t="s">
        <v>95</v>
      </c>
      <c r="Z2599" t="s">
        <v>96</v>
      </c>
      <c r="AA2599" t="s">
        <v>4171</v>
      </c>
      <c r="AB2599" t="s">
        <v>11004</v>
      </c>
      <c r="AC2599">
        <v>8723</v>
      </c>
      <c r="AD2599">
        <v>1668</v>
      </c>
      <c r="AE2599">
        <v>99</v>
      </c>
      <c r="AF2599">
        <v>-105.2</v>
      </c>
      <c r="AG2599">
        <v>-6.38</v>
      </c>
      <c r="AH2599">
        <v>-1.91</v>
      </c>
      <c r="AI2599">
        <v>-0.04</v>
      </c>
      <c r="AJ2599">
        <v>0.03</v>
      </c>
      <c r="AK2599">
        <v>98</v>
      </c>
      <c r="AL2599">
        <v>12667</v>
      </c>
      <c r="AM2599">
        <v>2994</v>
      </c>
      <c r="AN2599">
        <v>-1.93</v>
      </c>
      <c r="AO2599">
        <v>0.32</v>
      </c>
      <c r="AP2599">
        <v>7399</v>
      </c>
      <c r="AQ2599">
        <v>28</v>
      </c>
      <c r="AR2599">
        <v>6.28</v>
      </c>
      <c r="AS2599">
        <v>99</v>
      </c>
      <c r="AT2599">
        <v>2.29</v>
      </c>
      <c r="AU2599">
        <v>99</v>
      </c>
      <c r="AV2599">
        <v>-2.71</v>
      </c>
      <c r="AW2599">
        <v>99</v>
      </c>
      <c r="AX2599">
        <v>-0.28000000000000003</v>
      </c>
      <c r="AY2599">
        <v>99</v>
      </c>
      <c r="AZ2599">
        <v>7.34</v>
      </c>
      <c r="BA2599">
        <v>99</v>
      </c>
      <c r="BB2599">
        <v>7.25</v>
      </c>
      <c r="BC2599">
        <v>99</v>
      </c>
      <c r="BD2599">
        <v>0.12</v>
      </c>
      <c r="BE2599">
        <v>-0.02</v>
      </c>
      <c r="BF2599">
        <v>0.05</v>
      </c>
      <c r="BG2599">
        <v>99</v>
      </c>
      <c r="BH2599">
        <v>0.04</v>
      </c>
      <c r="BI2599">
        <v>12.36</v>
      </c>
      <c r="BJ2599">
        <v>268</v>
      </c>
      <c r="BK2599">
        <v>127</v>
      </c>
      <c r="BL2599">
        <v>-2.23</v>
      </c>
      <c r="BM2599">
        <v>2.12</v>
      </c>
      <c r="BN2599">
        <v>-2.37</v>
      </c>
      <c r="BO2599">
        <v>-2.65</v>
      </c>
      <c r="BP2599">
        <v>-3.43</v>
      </c>
      <c r="BQ2599">
        <v>2.98</v>
      </c>
      <c r="BR2599">
        <v>-0.92</v>
      </c>
      <c r="BS2599">
        <v>-0.86</v>
      </c>
      <c r="BT2599">
        <v>-0.21</v>
      </c>
      <c r="BU2599">
        <v>-2.17</v>
      </c>
      <c r="BV2599">
        <v>-2.02</v>
      </c>
      <c r="BW2599">
        <v>-1.8</v>
      </c>
      <c r="BX2599">
        <v>-0.87</v>
      </c>
      <c r="BY2599">
        <v>-1.45</v>
      </c>
      <c r="BZ2599">
        <v>0.13</v>
      </c>
      <c r="CA2599">
        <v>-1.83</v>
      </c>
      <c r="CB2599">
        <v>-2.0699999999999998</v>
      </c>
      <c r="CC2599">
        <v>-0.87</v>
      </c>
      <c r="CD2599">
        <v>2.06</v>
      </c>
      <c r="CE2599">
        <v>-2.39</v>
      </c>
      <c r="CF2599">
        <v>-1.66</v>
      </c>
      <c r="CG2599">
        <v>0</v>
      </c>
      <c r="CH2599">
        <v>-1.49</v>
      </c>
      <c r="CI2599">
        <v>0</v>
      </c>
      <c r="CJ2599">
        <v>-0.9</v>
      </c>
      <c r="CK2599">
        <v>99</v>
      </c>
      <c r="CL2599">
        <v>-0.19</v>
      </c>
      <c r="CM2599">
        <v>99</v>
      </c>
      <c r="CN2599">
        <v>0.16</v>
      </c>
      <c r="CO2599">
        <v>99</v>
      </c>
      <c r="CP2599">
        <v>-7.4</v>
      </c>
      <c r="CQ2599">
        <v>99</v>
      </c>
      <c r="CR2599">
        <v>0</v>
      </c>
      <c r="CS2599">
        <v>0</v>
      </c>
      <c r="CT2599">
        <v>-7.3</v>
      </c>
      <c r="CU2599">
        <v>99</v>
      </c>
      <c r="CV2599">
        <v>0.12</v>
      </c>
      <c r="CW2599">
        <v>48</v>
      </c>
      <c r="CX2599" t="s">
        <v>2781</v>
      </c>
    </row>
    <row r="2600" spans="1:102" x14ac:dyDescent="0.3">
      <c r="A2600" t="str">
        <f>HYPERLINK("https://webapp.icbf.com/v2/app/bull-search/view/502152178","CXN")</f>
        <v>CXN</v>
      </c>
      <c r="B2600" t="s">
        <v>8746</v>
      </c>
      <c r="C2600" t="s">
        <v>8747</v>
      </c>
      <c r="D2600" s="1">
        <v>39146</v>
      </c>
      <c r="E2600" t="s">
        <v>92</v>
      </c>
      <c r="F2600">
        <v>100</v>
      </c>
      <c r="G2600" t="s">
        <v>93</v>
      </c>
      <c r="H2600">
        <v>28.56</v>
      </c>
      <c r="I2600">
        <v>87</v>
      </c>
      <c r="J2600">
        <v>-10.02</v>
      </c>
      <c r="K2600">
        <v>97</v>
      </c>
      <c r="L2600">
        <v>15.26</v>
      </c>
      <c r="M2600">
        <v>78</v>
      </c>
      <c r="N2600">
        <v>6.15</v>
      </c>
      <c r="O2600">
        <v>86</v>
      </c>
      <c r="P2600">
        <v>-11.8</v>
      </c>
      <c r="Q2600">
        <v>89</v>
      </c>
      <c r="R2600">
        <v>-0.87</v>
      </c>
      <c r="S2600">
        <v>82</v>
      </c>
      <c r="T2600">
        <v>22.41</v>
      </c>
      <c r="U2600">
        <v>85</v>
      </c>
      <c r="V2600">
        <v>7.43</v>
      </c>
      <c r="W2600">
        <v>82</v>
      </c>
      <c r="X2600" t="s">
        <v>94</v>
      </c>
      <c r="Y2600" t="s">
        <v>1113</v>
      </c>
      <c r="Z2600" t="s">
        <v>96</v>
      </c>
      <c r="AA2600" t="s">
        <v>1406</v>
      </c>
      <c r="AB2600" t="s">
        <v>8748</v>
      </c>
      <c r="AC2600">
        <v>94</v>
      </c>
      <c r="AD2600">
        <v>61</v>
      </c>
      <c r="AE2600">
        <v>97</v>
      </c>
      <c r="AF2600">
        <v>-149.91</v>
      </c>
      <c r="AG2600">
        <v>-4.6900000000000004</v>
      </c>
      <c r="AH2600">
        <v>-2.34</v>
      </c>
      <c r="AI2600">
        <v>0.02</v>
      </c>
      <c r="AJ2600">
        <v>0.05</v>
      </c>
      <c r="AK2600">
        <v>78</v>
      </c>
      <c r="AL2600">
        <v>90</v>
      </c>
      <c r="AM2600">
        <v>65</v>
      </c>
      <c r="AN2600">
        <v>-2.17</v>
      </c>
      <c r="AO2600">
        <v>-0.97</v>
      </c>
      <c r="AP2600">
        <v>203</v>
      </c>
      <c r="AQ2600">
        <v>1</v>
      </c>
      <c r="AR2600">
        <v>7.66</v>
      </c>
      <c r="AS2600">
        <v>69</v>
      </c>
      <c r="AT2600">
        <v>3.37</v>
      </c>
      <c r="AU2600">
        <v>88</v>
      </c>
      <c r="AV2600">
        <v>-1.5</v>
      </c>
      <c r="AW2600">
        <v>96</v>
      </c>
      <c r="AX2600">
        <v>1.1100000000000001</v>
      </c>
      <c r="AY2600">
        <v>81</v>
      </c>
      <c r="AZ2600">
        <v>6.34</v>
      </c>
      <c r="BA2600">
        <v>65</v>
      </c>
      <c r="BB2600">
        <v>5.13</v>
      </c>
      <c r="BC2600">
        <v>67</v>
      </c>
      <c r="BD2600">
        <v>-0.03</v>
      </c>
      <c r="BE2600">
        <v>0</v>
      </c>
      <c r="BF2600">
        <v>7.0000000000000007E-2</v>
      </c>
      <c r="BG2600">
        <v>88</v>
      </c>
      <c r="BH2600">
        <v>0.16</v>
      </c>
      <c r="BI2600">
        <v>-5.46</v>
      </c>
      <c r="BJ2600">
        <v>32</v>
      </c>
      <c r="BK2600">
        <v>22</v>
      </c>
      <c r="BL2600">
        <v>-0.75</v>
      </c>
      <c r="BM2600">
        <v>0.23</v>
      </c>
      <c r="BN2600">
        <v>-1.36</v>
      </c>
      <c r="BO2600">
        <v>-1.25</v>
      </c>
      <c r="BP2600">
        <v>-0.08</v>
      </c>
      <c r="BQ2600">
        <v>-0.17</v>
      </c>
      <c r="BR2600">
        <v>0.61</v>
      </c>
      <c r="BS2600">
        <v>-1.37</v>
      </c>
      <c r="BT2600">
        <v>0.14000000000000001</v>
      </c>
      <c r="BU2600">
        <v>-1.38</v>
      </c>
      <c r="BV2600">
        <v>-0.61</v>
      </c>
      <c r="BW2600">
        <v>0.06</v>
      </c>
      <c r="BX2600">
        <v>-1.01</v>
      </c>
      <c r="BY2600">
        <v>-0.27</v>
      </c>
      <c r="BZ2600">
        <v>-0.94</v>
      </c>
      <c r="CA2600">
        <v>-1.44</v>
      </c>
      <c r="CB2600">
        <v>-0.82</v>
      </c>
      <c r="CC2600">
        <v>-1.86</v>
      </c>
      <c r="CD2600">
        <v>0.9</v>
      </c>
      <c r="CE2600">
        <v>-1.34</v>
      </c>
      <c r="CF2600">
        <v>-1.21</v>
      </c>
      <c r="CG2600">
        <v>0</v>
      </c>
      <c r="CH2600">
        <v>-0.2</v>
      </c>
      <c r="CI2600">
        <v>0</v>
      </c>
      <c r="CJ2600">
        <v>-4.2</v>
      </c>
      <c r="CK2600">
        <v>90</v>
      </c>
      <c r="CL2600">
        <v>-0.43</v>
      </c>
      <c r="CM2600">
        <v>88</v>
      </c>
      <c r="CN2600">
        <v>-0.02</v>
      </c>
      <c r="CO2600">
        <v>86</v>
      </c>
      <c r="CP2600">
        <v>-12</v>
      </c>
      <c r="CQ2600">
        <v>89</v>
      </c>
      <c r="CR2600">
        <v>0</v>
      </c>
      <c r="CS2600">
        <v>0</v>
      </c>
      <c r="CT2600">
        <v>-16.5</v>
      </c>
      <c r="CU2600">
        <v>85</v>
      </c>
      <c r="CV2600">
        <v>0.02</v>
      </c>
      <c r="CW2600">
        <v>44</v>
      </c>
      <c r="CX2600" t="s">
        <v>4308</v>
      </c>
    </row>
    <row r="2601" spans="1:102" x14ac:dyDescent="0.3">
      <c r="A2601" t="str">
        <f>HYPERLINK("https://webapp.icbf.com/v2/app/bull-search/view/69092389","PJO")</f>
        <v>PJO</v>
      </c>
      <c r="B2601" t="s">
        <v>144</v>
      </c>
      <c r="C2601" t="s">
        <v>15655</v>
      </c>
      <c r="D2601" s="1">
        <v>33598</v>
      </c>
      <c r="E2601" t="s">
        <v>895</v>
      </c>
      <c r="F2601">
        <v>0</v>
      </c>
      <c r="G2601" t="s">
        <v>116</v>
      </c>
      <c r="H2601">
        <v>28.56</v>
      </c>
      <c r="I2601">
        <v>33</v>
      </c>
      <c r="J2601">
        <v>-18.12</v>
      </c>
      <c r="K2601">
        <v>55</v>
      </c>
      <c r="L2601">
        <v>14.65</v>
      </c>
      <c r="M2601">
        <v>16</v>
      </c>
      <c r="N2601">
        <v>4.84</v>
      </c>
      <c r="O2601">
        <v>18</v>
      </c>
      <c r="P2601">
        <v>16.84</v>
      </c>
      <c r="Q2601">
        <v>51</v>
      </c>
      <c r="R2601">
        <v>2.46</v>
      </c>
      <c r="S2601">
        <v>21</v>
      </c>
      <c r="T2601">
        <v>14.42</v>
      </c>
      <c r="U2601">
        <v>25</v>
      </c>
      <c r="V2601">
        <v>-6.53</v>
      </c>
      <c r="W2601">
        <v>16</v>
      </c>
      <c r="X2601" t="s">
        <v>94</v>
      </c>
      <c r="Y2601" t="s">
        <v>95</v>
      </c>
      <c r="Z2601">
        <v>0</v>
      </c>
      <c r="AA2601" t="s">
        <v>144</v>
      </c>
      <c r="AB2601" t="s">
        <v>144</v>
      </c>
      <c r="AC2601">
        <v>5</v>
      </c>
      <c r="AD2601">
        <v>1</v>
      </c>
      <c r="AE2601">
        <v>55</v>
      </c>
      <c r="AF2601">
        <v>-372.16</v>
      </c>
      <c r="AG2601">
        <v>-1.21</v>
      </c>
      <c r="AH2601">
        <v>-8.35</v>
      </c>
      <c r="AI2601">
        <v>0.24</v>
      </c>
      <c r="AJ2601">
        <v>0.08</v>
      </c>
      <c r="AK2601">
        <v>16</v>
      </c>
      <c r="AL2601">
        <v>4</v>
      </c>
      <c r="AM2601">
        <v>1</v>
      </c>
      <c r="AN2601">
        <v>0.86</v>
      </c>
      <c r="AO2601">
        <v>2.0499999999999998</v>
      </c>
      <c r="AP2601">
        <v>2</v>
      </c>
      <c r="AQ2601">
        <v>10</v>
      </c>
      <c r="AR2601">
        <v>6.69</v>
      </c>
      <c r="AS2601">
        <v>4</v>
      </c>
      <c r="AT2601">
        <v>2.98</v>
      </c>
      <c r="AU2601">
        <v>14</v>
      </c>
      <c r="AV2601">
        <v>0.68</v>
      </c>
      <c r="AW2601">
        <v>25</v>
      </c>
      <c r="AX2601">
        <v>-0.19</v>
      </c>
      <c r="AY2601">
        <v>24</v>
      </c>
      <c r="AZ2601">
        <v>4.99</v>
      </c>
      <c r="BA2601">
        <v>5</v>
      </c>
      <c r="BB2601">
        <v>4.09</v>
      </c>
      <c r="BC2601">
        <v>11</v>
      </c>
      <c r="BD2601">
        <v>-0.01</v>
      </c>
      <c r="BE2601">
        <v>0</v>
      </c>
      <c r="BF2601">
        <v>-0.04</v>
      </c>
      <c r="BG2601">
        <v>25</v>
      </c>
      <c r="BH2601">
        <v>-0.13</v>
      </c>
      <c r="BI2601">
        <v>6.04</v>
      </c>
      <c r="BJ2601">
        <v>0</v>
      </c>
      <c r="BK2601">
        <v>0</v>
      </c>
      <c r="BL2601">
        <v>0</v>
      </c>
      <c r="BM2601">
        <v>0</v>
      </c>
      <c r="BN2601">
        <v>0</v>
      </c>
      <c r="BO2601">
        <v>0</v>
      </c>
      <c r="BP2601">
        <v>0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7.8</v>
      </c>
      <c r="CK2601">
        <v>55</v>
      </c>
      <c r="CL2601">
        <v>0.56999999999999995</v>
      </c>
      <c r="CM2601">
        <v>48</v>
      </c>
      <c r="CN2601">
        <v>-0.02</v>
      </c>
      <c r="CO2601">
        <v>43</v>
      </c>
      <c r="CP2601">
        <v>-0.3</v>
      </c>
      <c r="CQ2601">
        <v>39</v>
      </c>
      <c r="CR2601">
        <v>0</v>
      </c>
      <c r="CS2601">
        <v>0</v>
      </c>
      <c r="CT2601">
        <v>-5.7</v>
      </c>
      <c r="CU2601">
        <v>25</v>
      </c>
      <c r="CV2601">
        <v>-0.14000000000000001</v>
      </c>
      <c r="CW2601">
        <v>15</v>
      </c>
      <c r="CX2601">
        <v>0</v>
      </c>
    </row>
    <row r="2602" spans="1:102" x14ac:dyDescent="0.3">
      <c r="A2602" t="str">
        <f>HYPERLINK("https://webapp.icbf.com/v2/app/bull-search/view/388951980","EFI")</f>
        <v>EFI</v>
      </c>
      <c r="B2602" t="s">
        <v>6489</v>
      </c>
      <c r="C2602" t="s">
        <v>6490</v>
      </c>
      <c r="D2602" s="1">
        <v>35592</v>
      </c>
      <c r="E2602" t="s">
        <v>92</v>
      </c>
      <c r="F2602">
        <v>100</v>
      </c>
      <c r="G2602" t="s">
        <v>93</v>
      </c>
      <c r="H2602">
        <v>28.53</v>
      </c>
      <c r="I2602">
        <v>96</v>
      </c>
      <c r="J2602">
        <v>43.71</v>
      </c>
      <c r="K2602">
        <v>99</v>
      </c>
      <c r="L2602">
        <v>-24.02</v>
      </c>
      <c r="M2602">
        <v>93</v>
      </c>
      <c r="N2602">
        <v>5.24</v>
      </c>
      <c r="O2602">
        <v>95</v>
      </c>
      <c r="P2602">
        <v>-9.74</v>
      </c>
      <c r="Q2602">
        <v>98</v>
      </c>
      <c r="R2602">
        <v>1.84</v>
      </c>
      <c r="S2602">
        <v>92</v>
      </c>
      <c r="T2602">
        <v>13.23</v>
      </c>
      <c r="U2602">
        <v>97</v>
      </c>
      <c r="V2602">
        <v>-1.73</v>
      </c>
      <c r="W2602">
        <v>94</v>
      </c>
      <c r="X2602" t="s">
        <v>102</v>
      </c>
      <c r="Y2602" t="s">
        <v>95</v>
      </c>
      <c r="Z2602" t="s">
        <v>96</v>
      </c>
      <c r="AA2602" t="s">
        <v>188</v>
      </c>
      <c r="AB2602" t="s">
        <v>6491</v>
      </c>
      <c r="AC2602">
        <v>357</v>
      </c>
      <c r="AD2602">
        <v>151</v>
      </c>
      <c r="AE2602">
        <v>99</v>
      </c>
      <c r="AF2602">
        <v>42.55</v>
      </c>
      <c r="AG2602">
        <v>7.08</v>
      </c>
      <c r="AH2602">
        <v>5.58</v>
      </c>
      <c r="AI2602">
        <v>0.09</v>
      </c>
      <c r="AJ2602">
        <v>7.0000000000000007E-2</v>
      </c>
      <c r="AK2602">
        <v>93</v>
      </c>
      <c r="AL2602">
        <v>483</v>
      </c>
      <c r="AM2602">
        <v>185</v>
      </c>
      <c r="AN2602">
        <v>0.95</v>
      </c>
      <c r="AO2602">
        <v>-0.97</v>
      </c>
      <c r="AP2602">
        <v>709</v>
      </c>
      <c r="AQ2602">
        <v>3</v>
      </c>
      <c r="AR2602">
        <v>7.44</v>
      </c>
      <c r="AS2602">
        <v>87</v>
      </c>
      <c r="AT2602">
        <v>3.54</v>
      </c>
      <c r="AU2602">
        <v>96</v>
      </c>
      <c r="AV2602">
        <v>-0.32</v>
      </c>
      <c r="AW2602">
        <v>98</v>
      </c>
      <c r="AX2602">
        <v>-0.95</v>
      </c>
      <c r="AY2602">
        <v>95</v>
      </c>
      <c r="AZ2602">
        <v>5.49</v>
      </c>
      <c r="BA2602">
        <v>85</v>
      </c>
      <c r="BB2602">
        <v>4.53</v>
      </c>
      <c r="BC2602">
        <v>88</v>
      </c>
      <c r="BD2602">
        <v>0.01</v>
      </c>
      <c r="BE2602">
        <v>-0.01</v>
      </c>
      <c r="BF2602">
        <v>-0.04</v>
      </c>
      <c r="BG2602">
        <v>96</v>
      </c>
      <c r="BH2602">
        <v>0</v>
      </c>
      <c r="BI2602">
        <v>5.57</v>
      </c>
      <c r="BJ2602">
        <v>28</v>
      </c>
      <c r="BK2602">
        <v>12</v>
      </c>
      <c r="BL2602">
        <v>0.04</v>
      </c>
      <c r="BM2602">
        <v>0.1</v>
      </c>
      <c r="BN2602">
        <v>7.0000000000000007E-2</v>
      </c>
      <c r="BO2602">
        <v>0</v>
      </c>
      <c r="BP2602">
        <v>-1.06</v>
      </c>
      <c r="BQ2602">
        <v>-0.61</v>
      </c>
      <c r="BR2602">
        <v>-0.03</v>
      </c>
      <c r="BS2602">
        <v>0.28999999999999998</v>
      </c>
      <c r="BT2602">
        <v>-0.14000000000000001</v>
      </c>
      <c r="BU2602">
        <v>0.36</v>
      </c>
      <c r="BV2602">
        <v>1.3</v>
      </c>
      <c r="BW2602">
        <v>0.66</v>
      </c>
      <c r="BX2602">
        <v>-0.57999999999999996</v>
      </c>
      <c r="BY2602">
        <v>-0.18</v>
      </c>
      <c r="BZ2602">
        <v>1.7</v>
      </c>
      <c r="CA2602">
        <v>0.65</v>
      </c>
      <c r="CB2602">
        <v>0.76</v>
      </c>
      <c r="CC2602">
        <v>0.13</v>
      </c>
      <c r="CD2602">
        <v>-0.45</v>
      </c>
      <c r="CE2602">
        <v>0.36</v>
      </c>
      <c r="CF2602">
        <v>-0.09</v>
      </c>
      <c r="CG2602">
        <v>0</v>
      </c>
      <c r="CH2602">
        <v>-0.11</v>
      </c>
      <c r="CI2602">
        <v>0</v>
      </c>
      <c r="CJ2602">
        <v>-1.6</v>
      </c>
      <c r="CK2602">
        <v>98</v>
      </c>
      <c r="CL2602">
        <v>-0.85</v>
      </c>
      <c r="CM2602">
        <v>98</v>
      </c>
      <c r="CN2602">
        <v>-0.26</v>
      </c>
      <c r="CO2602">
        <v>98</v>
      </c>
      <c r="CP2602">
        <v>-12</v>
      </c>
      <c r="CQ2602">
        <v>98</v>
      </c>
      <c r="CR2602">
        <v>0</v>
      </c>
      <c r="CS2602">
        <v>0</v>
      </c>
      <c r="CT2602">
        <v>-4.0999999999999996</v>
      </c>
      <c r="CU2602">
        <v>97</v>
      </c>
      <c r="CV2602">
        <v>0.18</v>
      </c>
      <c r="CW2602">
        <v>46</v>
      </c>
      <c r="CX2602" t="s">
        <v>105</v>
      </c>
    </row>
    <row r="2603" spans="1:102" x14ac:dyDescent="0.3">
      <c r="A2603" t="str">
        <f>HYPERLINK("https://webapp.icbf.com/v2/app/bull-search/view/947221733","S1275")</f>
        <v>S1275</v>
      </c>
      <c r="B2603" t="s">
        <v>13163</v>
      </c>
      <c r="C2603" t="s">
        <v>2139</v>
      </c>
      <c r="D2603" s="1">
        <v>40469</v>
      </c>
      <c r="E2603" t="s">
        <v>92</v>
      </c>
      <c r="F2603">
        <v>100</v>
      </c>
      <c r="G2603" t="s">
        <v>109</v>
      </c>
      <c r="H2603">
        <v>28.51</v>
      </c>
      <c r="I2603">
        <v>84</v>
      </c>
      <c r="J2603">
        <v>48.89</v>
      </c>
      <c r="K2603">
        <v>95</v>
      </c>
      <c r="L2603">
        <v>-26.76</v>
      </c>
      <c r="M2603">
        <v>88</v>
      </c>
      <c r="N2603">
        <v>6.65</v>
      </c>
      <c r="O2603">
        <v>71</v>
      </c>
      <c r="P2603">
        <v>-4.29</v>
      </c>
      <c r="Q2603">
        <v>70</v>
      </c>
      <c r="R2603">
        <v>6.15</v>
      </c>
      <c r="S2603">
        <v>78</v>
      </c>
      <c r="T2603">
        <v>-3.12</v>
      </c>
      <c r="U2603">
        <v>60</v>
      </c>
      <c r="V2603">
        <v>0.99</v>
      </c>
      <c r="W2603">
        <v>66</v>
      </c>
      <c r="X2603" t="s">
        <v>94</v>
      </c>
      <c r="Y2603" t="s">
        <v>342</v>
      </c>
      <c r="Z2603" t="s">
        <v>96</v>
      </c>
      <c r="AA2603" t="s">
        <v>1962</v>
      </c>
      <c r="AB2603" t="s">
        <v>5663</v>
      </c>
      <c r="AC2603">
        <v>0</v>
      </c>
      <c r="AD2603">
        <v>0</v>
      </c>
      <c r="AE2603">
        <v>95</v>
      </c>
      <c r="AF2603">
        <v>370.21</v>
      </c>
      <c r="AG2603">
        <v>10.83</v>
      </c>
      <c r="AH2603">
        <v>10.15</v>
      </c>
      <c r="AI2603">
        <v>-0.06</v>
      </c>
      <c r="AJ2603">
        <v>-0.04</v>
      </c>
      <c r="AK2603">
        <v>88</v>
      </c>
      <c r="AL2603">
        <v>0</v>
      </c>
      <c r="AM2603">
        <v>0</v>
      </c>
      <c r="AN2603">
        <v>3.36</v>
      </c>
      <c r="AO2603">
        <v>1.25</v>
      </c>
      <c r="AP2603">
        <v>2</v>
      </c>
      <c r="AQ2603">
        <v>0</v>
      </c>
      <c r="AR2603">
        <v>7.7</v>
      </c>
      <c r="AS2603">
        <v>72</v>
      </c>
      <c r="AT2603">
        <v>4.3499999999999996</v>
      </c>
      <c r="AU2603">
        <v>92</v>
      </c>
      <c r="AV2603">
        <v>-1.92</v>
      </c>
      <c r="AW2603">
        <v>65</v>
      </c>
      <c r="AX2603">
        <v>0.05</v>
      </c>
      <c r="AY2603">
        <v>65</v>
      </c>
      <c r="AZ2603">
        <v>5.8</v>
      </c>
      <c r="BA2603">
        <v>61</v>
      </c>
      <c r="BB2603">
        <v>4.43</v>
      </c>
      <c r="BC2603">
        <v>56</v>
      </c>
      <c r="BD2603">
        <v>-0.02</v>
      </c>
      <c r="BE2603">
        <v>-0.02</v>
      </c>
      <c r="BF2603">
        <v>-7.0000000000000007E-2</v>
      </c>
      <c r="BG2603">
        <v>92</v>
      </c>
      <c r="BH2603">
        <v>0.08</v>
      </c>
      <c r="BI2603">
        <v>6.06</v>
      </c>
      <c r="BJ2603">
        <v>3</v>
      </c>
      <c r="BK2603">
        <v>3</v>
      </c>
      <c r="BL2603">
        <v>1.02</v>
      </c>
      <c r="BM2603">
        <v>2.31</v>
      </c>
      <c r="BN2603">
        <v>1.34</v>
      </c>
      <c r="BO2603">
        <v>0.26</v>
      </c>
      <c r="BP2603">
        <v>-1.87</v>
      </c>
      <c r="BQ2603">
        <v>2.11</v>
      </c>
      <c r="BR2603">
        <v>1.39</v>
      </c>
      <c r="BS2603">
        <v>-0.31</v>
      </c>
      <c r="BT2603">
        <v>-1.17</v>
      </c>
      <c r="BU2603">
        <v>3.18</v>
      </c>
      <c r="BV2603">
        <v>2.48</v>
      </c>
      <c r="BW2603">
        <v>2.33</v>
      </c>
      <c r="BX2603">
        <v>2.4700000000000002</v>
      </c>
      <c r="BY2603">
        <v>3.48</v>
      </c>
      <c r="BZ2603">
        <v>-1.92</v>
      </c>
      <c r="CA2603">
        <v>2.0699999999999998</v>
      </c>
      <c r="CB2603">
        <v>2.77</v>
      </c>
      <c r="CC2603">
        <v>0.1</v>
      </c>
      <c r="CD2603">
        <v>1.38</v>
      </c>
      <c r="CE2603">
        <v>0.79</v>
      </c>
      <c r="CF2603">
        <v>2.33</v>
      </c>
      <c r="CG2603">
        <v>0</v>
      </c>
      <c r="CH2603">
        <v>3.53</v>
      </c>
      <c r="CI2603">
        <v>0</v>
      </c>
      <c r="CJ2603">
        <v>1.8</v>
      </c>
      <c r="CK2603">
        <v>71</v>
      </c>
      <c r="CL2603">
        <v>-1.1100000000000001</v>
      </c>
      <c r="CM2603">
        <v>69</v>
      </c>
      <c r="CN2603">
        <v>-0.35</v>
      </c>
      <c r="CO2603">
        <v>68</v>
      </c>
      <c r="CP2603">
        <v>3.9</v>
      </c>
      <c r="CQ2603">
        <v>64</v>
      </c>
      <c r="CR2603">
        <v>0</v>
      </c>
      <c r="CS2603">
        <v>0</v>
      </c>
      <c r="CT2603">
        <v>18</v>
      </c>
      <c r="CU2603">
        <v>60</v>
      </c>
      <c r="CV2603">
        <v>0.24</v>
      </c>
      <c r="CW2603">
        <v>40</v>
      </c>
      <c r="CX2603" t="s">
        <v>350</v>
      </c>
    </row>
    <row r="2604" spans="1:102" x14ac:dyDescent="0.3">
      <c r="A2604" t="str">
        <f>HYPERLINK("https://webapp.icbf.com/v2/app/bull-search/view/69091378","CPX")</f>
        <v>CPX</v>
      </c>
      <c r="B2604" t="s">
        <v>9833</v>
      </c>
      <c r="C2604" t="s">
        <v>9834</v>
      </c>
      <c r="D2604" s="1">
        <v>33479</v>
      </c>
      <c r="E2604" t="s">
        <v>108</v>
      </c>
      <c r="F2604">
        <v>0</v>
      </c>
      <c r="G2604" t="s">
        <v>93</v>
      </c>
      <c r="H2604">
        <v>28.49</v>
      </c>
      <c r="I2604">
        <v>90</v>
      </c>
      <c r="J2604">
        <v>24.41</v>
      </c>
      <c r="K2604">
        <v>97</v>
      </c>
      <c r="L2604">
        <v>-16.14</v>
      </c>
      <c r="M2604">
        <v>85</v>
      </c>
      <c r="N2604">
        <v>23.28</v>
      </c>
      <c r="O2604">
        <v>86</v>
      </c>
      <c r="P2604">
        <v>-10.199999999999999</v>
      </c>
      <c r="Q2604">
        <v>94</v>
      </c>
      <c r="R2604">
        <v>-5.3</v>
      </c>
      <c r="S2604">
        <v>77</v>
      </c>
      <c r="T2604">
        <v>19.52</v>
      </c>
      <c r="U2604">
        <v>90</v>
      </c>
      <c r="V2604">
        <v>-7.08</v>
      </c>
      <c r="W2604">
        <v>76</v>
      </c>
      <c r="X2604" t="s">
        <v>276</v>
      </c>
      <c r="Y2604" t="s">
        <v>95</v>
      </c>
      <c r="Z2604" t="s">
        <v>96</v>
      </c>
      <c r="AA2604" t="s">
        <v>511</v>
      </c>
      <c r="AB2604" t="s">
        <v>9835</v>
      </c>
      <c r="AC2604">
        <v>77</v>
      </c>
      <c r="AD2604">
        <v>35</v>
      </c>
      <c r="AE2604">
        <v>97</v>
      </c>
      <c r="AF2604">
        <v>-267.69</v>
      </c>
      <c r="AG2604">
        <v>2.84</v>
      </c>
      <c r="AH2604">
        <v>-0.95</v>
      </c>
      <c r="AI2604">
        <v>0.24</v>
      </c>
      <c r="AJ2604">
        <v>0.15</v>
      </c>
      <c r="AK2604">
        <v>85</v>
      </c>
      <c r="AL2604">
        <v>107</v>
      </c>
      <c r="AM2604">
        <v>54</v>
      </c>
      <c r="AN2604">
        <v>0.66</v>
      </c>
      <c r="AO2604">
        <v>-0.63</v>
      </c>
      <c r="AP2604">
        <v>132</v>
      </c>
      <c r="AQ2604">
        <v>0</v>
      </c>
      <c r="AR2604">
        <v>4.6100000000000003</v>
      </c>
      <c r="AS2604">
        <v>80</v>
      </c>
      <c r="AT2604">
        <v>1.84</v>
      </c>
      <c r="AU2604">
        <v>87</v>
      </c>
      <c r="AV2604">
        <v>-2.77</v>
      </c>
      <c r="AW2604">
        <v>91</v>
      </c>
      <c r="AX2604">
        <v>-7.0000000000000007E-2</v>
      </c>
      <c r="AY2604">
        <v>86</v>
      </c>
      <c r="AZ2604">
        <v>7.88</v>
      </c>
      <c r="BA2604">
        <v>70</v>
      </c>
      <c r="BB2604">
        <v>7.16</v>
      </c>
      <c r="BC2604">
        <v>75</v>
      </c>
      <c r="BD2604">
        <v>0.09</v>
      </c>
      <c r="BE2604">
        <v>-0.02</v>
      </c>
      <c r="BF2604">
        <v>0.01</v>
      </c>
      <c r="BG2604">
        <v>82</v>
      </c>
      <c r="BH2604">
        <v>-0.21</v>
      </c>
      <c r="BI2604">
        <v>-1.46</v>
      </c>
      <c r="BJ2604">
        <v>4</v>
      </c>
      <c r="BK2604">
        <v>3</v>
      </c>
      <c r="BL2604">
        <v>-3.51</v>
      </c>
      <c r="BM2604">
        <v>0.92</v>
      </c>
      <c r="BN2604">
        <v>-3.27</v>
      </c>
      <c r="BO2604">
        <v>-2.88</v>
      </c>
      <c r="BP2604">
        <v>-1.46</v>
      </c>
      <c r="BQ2604">
        <v>1.69</v>
      </c>
      <c r="BR2604">
        <v>-1.28</v>
      </c>
      <c r="BS2604">
        <v>-1.01</v>
      </c>
      <c r="BT2604">
        <v>-0.1</v>
      </c>
      <c r="BU2604">
        <v>-4.0999999999999996</v>
      </c>
      <c r="BV2604">
        <v>-4.16</v>
      </c>
      <c r="BW2604">
        <v>-3.13</v>
      </c>
      <c r="BX2604">
        <v>-2.0299999999999998</v>
      </c>
      <c r="BY2604">
        <v>-1.85</v>
      </c>
      <c r="BZ2604">
        <v>-1.39</v>
      </c>
      <c r="CA2604">
        <v>-3.31</v>
      </c>
      <c r="CB2604">
        <v>-3.84</v>
      </c>
      <c r="CC2604">
        <v>-1.71</v>
      </c>
      <c r="CD2604">
        <v>1.8</v>
      </c>
      <c r="CE2604">
        <v>-2.25</v>
      </c>
      <c r="CF2604">
        <v>-2.52</v>
      </c>
      <c r="CG2604">
        <v>0</v>
      </c>
      <c r="CH2604">
        <v>-1.69</v>
      </c>
      <c r="CI2604">
        <v>0</v>
      </c>
      <c r="CJ2604">
        <v>-5.7</v>
      </c>
      <c r="CK2604">
        <v>95</v>
      </c>
      <c r="CL2604">
        <v>0.03</v>
      </c>
      <c r="CM2604">
        <v>94</v>
      </c>
      <c r="CN2604">
        <v>0.03</v>
      </c>
      <c r="CO2604">
        <v>93</v>
      </c>
      <c r="CP2604">
        <v>-15.3</v>
      </c>
      <c r="CQ2604">
        <v>93</v>
      </c>
      <c r="CR2604">
        <v>0</v>
      </c>
      <c r="CS2604">
        <v>0</v>
      </c>
      <c r="CT2604">
        <v>-12.6</v>
      </c>
      <c r="CU2604">
        <v>90</v>
      </c>
      <c r="CV2604">
        <v>0</v>
      </c>
      <c r="CW2604">
        <v>45</v>
      </c>
      <c r="CX2604" t="s">
        <v>9836</v>
      </c>
    </row>
    <row r="2605" spans="1:102" x14ac:dyDescent="0.3">
      <c r="A2605" t="str">
        <f>HYPERLINK("https://webapp.icbf.com/v2/app/bull-search/view/444131294","ILR")</f>
        <v>ILR</v>
      </c>
      <c r="B2605" t="s">
        <v>7801</v>
      </c>
      <c r="C2605" t="s">
        <v>7802</v>
      </c>
      <c r="D2605" s="1">
        <v>38752</v>
      </c>
      <c r="E2605" t="s">
        <v>92</v>
      </c>
      <c r="F2605">
        <v>100</v>
      </c>
      <c r="G2605" t="s">
        <v>93</v>
      </c>
      <c r="H2605">
        <v>28.42</v>
      </c>
      <c r="I2605">
        <v>88</v>
      </c>
      <c r="J2605">
        <v>35.71</v>
      </c>
      <c r="K2605">
        <v>97</v>
      </c>
      <c r="L2605">
        <v>-58.62</v>
      </c>
      <c r="M2605">
        <v>81</v>
      </c>
      <c r="N2605">
        <v>39.700000000000003</v>
      </c>
      <c r="O2605">
        <v>86</v>
      </c>
      <c r="P2605">
        <v>-1.41</v>
      </c>
      <c r="Q2605">
        <v>92</v>
      </c>
      <c r="R2605">
        <v>2.96</v>
      </c>
      <c r="S2605">
        <v>83</v>
      </c>
      <c r="T2605">
        <v>-0.09</v>
      </c>
      <c r="U2605">
        <v>88</v>
      </c>
      <c r="V2605">
        <v>10.17</v>
      </c>
      <c r="W2605">
        <v>83</v>
      </c>
      <c r="X2605" t="s">
        <v>94</v>
      </c>
      <c r="Y2605" t="s">
        <v>1251</v>
      </c>
      <c r="Z2605" t="s">
        <v>96</v>
      </c>
      <c r="AA2605" t="s">
        <v>1165</v>
      </c>
      <c r="AB2605" t="s">
        <v>7803</v>
      </c>
      <c r="AC2605">
        <v>80</v>
      </c>
      <c r="AD2605">
        <v>61</v>
      </c>
      <c r="AE2605">
        <v>97</v>
      </c>
      <c r="AF2605">
        <v>199.74</v>
      </c>
      <c r="AG2605">
        <v>5.71</v>
      </c>
      <c r="AH2605">
        <v>7.11</v>
      </c>
      <c r="AI2605">
        <v>-0.04</v>
      </c>
      <c r="AJ2605">
        <v>0.01</v>
      </c>
      <c r="AK2605">
        <v>81</v>
      </c>
      <c r="AL2605">
        <v>79</v>
      </c>
      <c r="AM2605">
        <v>55</v>
      </c>
      <c r="AN2605">
        <v>3.58</v>
      </c>
      <c r="AO2605">
        <v>-1.0900000000000001</v>
      </c>
      <c r="AP2605">
        <v>205</v>
      </c>
      <c r="AQ2605">
        <v>3</v>
      </c>
      <c r="AR2605">
        <v>5.37</v>
      </c>
      <c r="AS2605">
        <v>72</v>
      </c>
      <c r="AT2605">
        <v>2.1800000000000002</v>
      </c>
      <c r="AU2605">
        <v>89</v>
      </c>
      <c r="AV2605">
        <v>-3.25</v>
      </c>
      <c r="AW2605">
        <v>96</v>
      </c>
      <c r="AX2605">
        <v>-0.84</v>
      </c>
      <c r="AY2605">
        <v>81</v>
      </c>
      <c r="AZ2605">
        <v>7.35</v>
      </c>
      <c r="BA2605">
        <v>66</v>
      </c>
      <c r="BB2605">
        <v>4.88</v>
      </c>
      <c r="BC2605">
        <v>69</v>
      </c>
      <c r="BD2605">
        <v>0</v>
      </c>
      <c r="BE2605">
        <v>-0.02</v>
      </c>
      <c r="BF2605">
        <v>-0.03</v>
      </c>
      <c r="BG2605">
        <v>89</v>
      </c>
      <c r="BH2605">
        <v>0.19</v>
      </c>
      <c r="BI2605">
        <v>-10.83</v>
      </c>
      <c r="BJ2605">
        <v>8</v>
      </c>
      <c r="BK2605">
        <v>8</v>
      </c>
      <c r="BL2605">
        <v>-0.11</v>
      </c>
      <c r="BM2605">
        <v>0.04</v>
      </c>
      <c r="BN2605">
        <v>-1.1100000000000001</v>
      </c>
      <c r="BO2605">
        <v>-0.82</v>
      </c>
      <c r="BP2605">
        <v>1.37</v>
      </c>
      <c r="BQ2605">
        <v>-0.56000000000000005</v>
      </c>
      <c r="BR2605">
        <v>1.1399999999999999</v>
      </c>
      <c r="BS2605">
        <v>-1.72</v>
      </c>
      <c r="BT2605">
        <v>-1.39</v>
      </c>
      <c r="BU2605">
        <v>-1.06</v>
      </c>
      <c r="BV2605">
        <v>-0.72</v>
      </c>
      <c r="BW2605">
        <v>-0.95</v>
      </c>
      <c r="BX2605">
        <v>-0.16</v>
      </c>
      <c r="BY2605">
        <v>-0.49</v>
      </c>
      <c r="BZ2605">
        <v>-2.77</v>
      </c>
      <c r="CA2605">
        <v>-0.95</v>
      </c>
      <c r="CB2605">
        <v>-0.32</v>
      </c>
      <c r="CC2605">
        <v>-2.0299999999999998</v>
      </c>
      <c r="CD2605">
        <v>0.43</v>
      </c>
      <c r="CE2605">
        <v>-0.5</v>
      </c>
      <c r="CF2605">
        <v>-0.79</v>
      </c>
      <c r="CG2605">
        <v>0</v>
      </c>
      <c r="CH2605">
        <v>0.63</v>
      </c>
      <c r="CI2605">
        <v>0</v>
      </c>
      <c r="CJ2605">
        <v>3.9</v>
      </c>
      <c r="CK2605">
        <v>93</v>
      </c>
      <c r="CL2605">
        <v>-0.52</v>
      </c>
      <c r="CM2605">
        <v>92</v>
      </c>
      <c r="CN2605">
        <v>0.14000000000000001</v>
      </c>
      <c r="CO2605">
        <v>91</v>
      </c>
      <c r="CP2605">
        <v>1.4</v>
      </c>
      <c r="CQ2605">
        <v>89</v>
      </c>
      <c r="CR2605">
        <v>0</v>
      </c>
      <c r="CS2605">
        <v>0</v>
      </c>
      <c r="CT2605">
        <v>13.9</v>
      </c>
      <c r="CU2605">
        <v>88</v>
      </c>
      <c r="CV2605">
        <v>0.25</v>
      </c>
      <c r="CW2605">
        <v>47</v>
      </c>
      <c r="CX2605" t="s">
        <v>1037</v>
      </c>
    </row>
    <row r="2606" spans="1:102" x14ac:dyDescent="0.3">
      <c r="A2606" t="str">
        <f>HYPERLINK("https://webapp.icbf.com/v2/app/bull-search/view/77854666","PAT")</f>
        <v>PAT</v>
      </c>
      <c r="B2606" t="s">
        <v>10374</v>
      </c>
      <c r="C2606" t="s">
        <v>10375</v>
      </c>
      <c r="D2606" s="1">
        <v>32215</v>
      </c>
      <c r="E2606" t="s">
        <v>108</v>
      </c>
      <c r="F2606">
        <v>0</v>
      </c>
      <c r="G2606" t="s">
        <v>93</v>
      </c>
      <c r="H2606">
        <v>28.35</v>
      </c>
      <c r="I2606">
        <v>75</v>
      </c>
      <c r="J2606">
        <v>-71.650000000000006</v>
      </c>
      <c r="K2606">
        <v>90</v>
      </c>
      <c r="L2606">
        <v>86.87</v>
      </c>
      <c r="M2606">
        <v>60</v>
      </c>
      <c r="N2606">
        <v>-9.1999999999999993</v>
      </c>
      <c r="O2606">
        <v>74</v>
      </c>
      <c r="P2606">
        <v>-1.29</v>
      </c>
      <c r="Q2606">
        <v>90</v>
      </c>
      <c r="R2606">
        <v>2.2200000000000002</v>
      </c>
      <c r="S2606">
        <v>63</v>
      </c>
      <c r="T2606">
        <v>25.44</v>
      </c>
      <c r="U2606">
        <v>87</v>
      </c>
      <c r="V2606">
        <v>-4.04</v>
      </c>
      <c r="W2606">
        <v>30</v>
      </c>
      <c r="X2606" t="s">
        <v>94</v>
      </c>
      <c r="Y2606" t="s">
        <v>95</v>
      </c>
      <c r="Z2606" t="s">
        <v>96</v>
      </c>
      <c r="AA2606" t="s">
        <v>9842</v>
      </c>
      <c r="AB2606" t="s">
        <v>10376</v>
      </c>
      <c r="AC2606">
        <v>42</v>
      </c>
      <c r="AD2606">
        <v>29</v>
      </c>
      <c r="AE2606">
        <v>90</v>
      </c>
      <c r="AF2606">
        <v>-129.35</v>
      </c>
      <c r="AG2606">
        <v>-12.65</v>
      </c>
      <c r="AH2606">
        <v>-9.69</v>
      </c>
      <c r="AI2606">
        <v>-0.13</v>
      </c>
      <c r="AJ2606">
        <v>-0.09</v>
      </c>
      <c r="AK2606">
        <v>60</v>
      </c>
      <c r="AL2606">
        <v>69</v>
      </c>
      <c r="AM2606">
        <v>46</v>
      </c>
      <c r="AN2606">
        <v>-6.11</v>
      </c>
      <c r="AO2606">
        <v>0.8</v>
      </c>
      <c r="AP2606">
        <v>221</v>
      </c>
      <c r="AQ2606">
        <v>9</v>
      </c>
      <c r="AR2606">
        <v>9.41</v>
      </c>
      <c r="AS2606">
        <v>68</v>
      </c>
      <c r="AT2606">
        <v>3.94</v>
      </c>
      <c r="AU2606">
        <v>81</v>
      </c>
      <c r="AV2606">
        <v>-0.26</v>
      </c>
      <c r="AW2606">
        <v>82</v>
      </c>
      <c r="AX2606">
        <v>-0.3</v>
      </c>
      <c r="AY2606">
        <v>84</v>
      </c>
      <c r="AZ2606">
        <v>6.08</v>
      </c>
      <c r="BA2606">
        <v>31</v>
      </c>
      <c r="BB2606">
        <v>4.88</v>
      </c>
      <c r="BC2606">
        <v>45</v>
      </c>
      <c r="BD2606">
        <v>0.03</v>
      </c>
      <c r="BE2606">
        <v>0.01</v>
      </c>
      <c r="BF2606">
        <v>-0.12</v>
      </c>
      <c r="BG2606">
        <v>80</v>
      </c>
      <c r="BH2606">
        <v>-0.06</v>
      </c>
      <c r="BI2606">
        <v>6.09</v>
      </c>
      <c r="BJ2606">
        <v>7</v>
      </c>
      <c r="BK2606">
        <v>7</v>
      </c>
      <c r="BL2606">
        <v>-2.83</v>
      </c>
      <c r="BM2606">
        <v>1.33</v>
      </c>
      <c r="BN2606">
        <v>-2.4500000000000002</v>
      </c>
      <c r="BO2606">
        <v>-2.85</v>
      </c>
      <c r="BP2606">
        <v>0.08</v>
      </c>
      <c r="BQ2606">
        <v>0.03</v>
      </c>
      <c r="BR2606">
        <v>-0.7</v>
      </c>
      <c r="BS2606">
        <v>-0.46</v>
      </c>
      <c r="BT2606">
        <v>0.28999999999999998</v>
      </c>
      <c r="BU2606">
        <v>-1.1100000000000001</v>
      </c>
      <c r="BV2606">
        <v>-2.08</v>
      </c>
      <c r="BW2606">
        <v>-2.35</v>
      </c>
      <c r="BX2606">
        <v>-0.5</v>
      </c>
      <c r="BY2606">
        <v>-2.04</v>
      </c>
      <c r="BZ2606">
        <v>-1.96</v>
      </c>
      <c r="CA2606">
        <v>-2.17</v>
      </c>
      <c r="CB2606">
        <v>-2.12</v>
      </c>
      <c r="CC2606">
        <v>-1.49</v>
      </c>
      <c r="CD2606">
        <v>2.36</v>
      </c>
      <c r="CE2606">
        <v>-2.93</v>
      </c>
      <c r="CF2606">
        <v>-2.56</v>
      </c>
      <c r="CG2606">
        <v>0</v>
      </c>
      <c r="CH2606">
        <v>-1.64</v>
      </c>
      <c r="CI2606">
        <v>0</v>
      </c>
      <c r="CJ2606">
        <v>-2.2999999999999998</v>
      </c>
      <c r="CK2606">
        <v>91</v>
      </c>
      <c r="CL2606">
        <v>0.27</v>
      </c>
      <c r="CM2606">
        <v>89</v>
      </c>
      <c r="CN2606">
        <v>-7.0000000000000007E-2</v>
      </c>
      <c r="CO2606">
        <v>87</v>
      </c>
      <c r="CP2606">
        <v>-11.5</v>
      </c>
      <c r="CQ2606">
        <v>85</v>
      </c>
      <c r="CR2606">
        <v>0</v>
      </c>
      <c r="CS2606">
        <v>0</v>
      </c>
      <c r="CT2606">
        <v>-20.6</v>
      </c>
      <c r="CU2606">
        <v>87</v>
      </c>
      <c r="CV2606">
        <v>-0.17</v>
      </c>
      <c r="CW2606">
        <v>25</v>
      </c>
      <c r="CX2606" t="s">
        <v>3702</v>
      </c>
    </row>
    <row r="2607" spans="1:102" x14ac:dyDescent="0.3">
      <c r="A2607" t="str">
        <f>HYPERLINK("https://webapp.icbf.com/v2/app/bull-search/view/596239764","KBZ")</f>
        <v>KBZ</v>
      </c>
      <c r="B2607" t="s">
        <v>12905</v>
      </c>
      <c r="C2607" t="s">
        <v>12906</v>
      </c>
      <c r="D2607" s="1">
        <v>36560</v>
      </c>
      <c r="E2607" t="s">
        <v>1061</v>
      </c>
      <c r="F2607">
        <v>0</v>
      </c>
      <c r="G2607" t="s">
        <v>109</v>
      </c>
      <c r="H2607">
        <v>28.26</v>
      </c>
      <c r="I2607">
        <v>57</v>
      </c>
      <c r="J2607">
        <v>4.2699999999999996</v>
      </c>
      <c r="K2607">
        <v>66</v>
      </c>
      <c r="L2607">
        <v>37.65</v>
      </c>
      <c r="M2607">
        <v>45</v>
      </c>
      <c r="N2607">
        <v>-21.81</v>
      </c>
      <c r="O2607">
        <v>60</v>
      </c>
      <c r="P2607">
        <v>-16.16</v>
      </c>
      <c r="Q2607">
        <v>80</v>
      </c>
      <c r="R2607">
        <v>5.38</v>
      </c>
      <c r="S2607">
        <v>34</v>
      </c>
      <c r="T2607">
        <v>19.149999999999999</v>
      </c>
      <c r="U2607">
        <v>68</v>
      </c>
      <c r="V2607">
        <v>-0.22</v>
      </c>
      <c r="W2607">
        <v>24</v>
      </c>
      <c r="X2607" t="s">
        <v>1645</v>
      </c>
      <c r="Y2607" t="s">
        <v>1756</v>
      </c>
      <c r="Z2607">
        <v>0</v>
      </c>
      <c r="AA2607" t="s">
        <v>211</v>
      </c>
      <c r="AB2607" t="s">
        <v>12907</v>
      </c>
      <c r="AC2607">
        <v>0</v>
      </c>
      <c r="AD2607">
        <v>0</v>
      </c>
      <c r="AE2607">
        <v>66</v>
      </c>
      <c r="AF2607">
        <v>36.119999999999997</v>
      </c>
      <c r="AG2607">
        <v>2.4</v>
      </c>
      <c r="AH2607">
        <v>0.43</v>
      </c>
      <c r="AI2607">
        <v>0.02</v>
      </c>
      <c r="AJ2607">
        <v>-0.01</v>
      </c>
      <c r="AK2607">
        <v>45</v>
      </c>
      <c r="AL2607">
        <v>0</v>
      </c>
      <c r="AM2607">
        <v>0</v>
      </c>
      <c r="AN2607">
        <v>-1.49</v>
      </c>
      <c r="AO2607">
        <v>1.52</v>
      </c>
      <c r="AP2607">
        <v>18</v>
      </c>
      <c r="AQ2607">
        <v>0</v>
      </c>
      <c r="AR2607">
        <v>9.41</v>
      </c>
      <c r="AS2607">
        <v>44</v>
      </c>
      <c r="AT2607">
        <v>3.81</v>
      </c>
      <c r="AU2607">
        <v>50</v>
      </c>
      <c r="AV2607">
        <v>0.18</v>
      </c>
      <c r="AW2607">
        <v>78</v>
      </c>
      <c r="AX2607">
        <v>0.76</v>
      </c>
      <c r="AY2607">
        <v>59</v>
      </c>
      <c r="AZ2607">
        <v>7.18</v>
      </c>
      <c r="BA2607">
        <v>39</v>
      </c>
      <c r="BB2607">
        <v>6.02</v>
      </c>
      <c r="BC2607">
        <v>38</v>
      </c>
      <c r="BD2607">
        <v>-0.01</v>
      </c>
      <c r="BE2607">
        <v>-0.03</v>
      </c>
      <c r="BF2607">
        <v>-0.05</v>
      </c>
      <c r="BG2607">
        <v>39</v>
      </c>
      <c r="BH2607">
        <v>-0.01</v>
      </c>
      <c r="BI2607">
        <v>-0.45</v>
      </c>
      <c r="BJ2607">
        <v>0</v>
      </c>
      <c r="BK2607">
        <v>0</v>
      </c>
      <c r="BL2607">
        <v>-0.63</v>
      </c>
      <c r="BM2607">
        <v>0.77</v>
      </c>
      <c r="BN2607">
        <v>-0.57999999999999996</v>
      </c>
      <c r="BO2607">
        <v>-0.95</v>
      </c>
      <c r="BP2607">
        <v>0.44</v>
      </c>
      <c r="BQ2607">
        <v>-0.41</v>
      </c>
      <c r="BR2607">
        <v>0.05</v>
      </c>
      <c r="BS2607">
        <v>0.4</v>
      </c>
      <c r="BT2607">
        <v>0.04</v>
      </c>
      <c r="BU2607">
        <v>-0.87</v>
      </c>
      <c r="BV2607">
        <v>-1.52</v>
      </c>
      <c r="BW2607">
        <v>-0.98</v>
      </c>
      <c r="BX2607">
        <v>-0.45</v>
      </c>
      <c r="BY2607">
        <v>-0.16</v>
      </c>
      <c r="BZ2607">
        <v>-0.51</v>
      </c>
      <c r="CA2607">
        <v>-0.67</v>
      </c>
      <c r="CB2607">
        <v>-0.94</v>
      </c>
      <c r="CC2607">
        <v>0.09</v>
      </c>
      <c r="CD2607">
        <v>0.9</v>
      </c>
      <c r="CE2607">
        <v>-0.83</v>
      </c>
      <c r="CF2607">
        <v>-0.62</v>
      </c>
      <c r="CG2607">
        <v>0</v>
      </c>
      <c r="CH2607">
        <v>-0.71</v>
      </c>
      <c r="CI2607">
        <v>0</v>
      </c>
      <c r="CJ2607">
        <v>-8.6</v>
      </c>
      <c r="CK2607">
        <v>83</v>
      </c>
      <c r="CL2607">
        <v>-0.48</v>
      </c>
      <c r="CM2607">
        <v>79</v>
      </c>
      <c r="CN2607">
        <v>-0.2</v>
      </c>
      <c r="CO2607">
        <v>76</v>
      </c>
      <c r="CP2607">
        <v>-11.2</v>
      </c>
      <c r="CQ2607">
        <v>74</v>
      </c>
      <c r="CR2607">
        <v>0</v>
      </c>
      <c r="CS2607">
        <v>0</v>
      </c>
      <c r="CT2607">
        <v>-12.1</v>
      </c>
      <c r="CU2607">
        <v>68</v>
      </c>
      <c r="CV2607">
        <v>-0.15</v>
      </c>
      <c r="CW2607">
        <v>23</v>
      </c>
      <c r="CX2607" t="s">
        <v>1065</v>
      </c>
    </row>
    <row r="2608" spans="1:102" x14ac:dyDescent="0.3">
      <c r="A2608" t="str">
        <f>HYPERLINK("https://webapp.icbf.com/v2/app/bull-search/view/451669450","SZF")</f>
        <v>SZF</v>
      </c>
      <c r="B2608" t="s">
        <v>14145</v>
      </c>
      <c r="C2608" t="s">
        <v>14146</v>
      </c>
      <c r="D2608" s="1">
        <v>38790</v>
      </c>
      <c r="E2608" t="s">
        <v>92</v>
      </c>
      <c r="F2608">
        <v>88</v>
      </c>
      <c r="G2608" t="s">
        <v>93</v>
      </c>
      <c r="H2608">
        <v>28.22</v>
      </c>
      <c r="I2608">
        <v>62</v>
      </c>
      <c r="J2608">
        <v>75.67</v>
      </c>
      <c r="K2608">
        <v>82</v>
      </c>
      <c r="L2608">
        <v>-59.82</v>
      </c>
      <c r="M2608">
        <v>44</v>
      </c>
      <c r="N2608">
        <v>22.39</v>
      </c>
      <c r="O2608">
        <v>65</v>
      </c>
      <c r="P2608">
        <v>-4.6900000000000004</v>
      </c>
      <c r="Q2608">
        <v>81</v>
      </c>
      <c r="R2608">
        <v>-1.55</v>
      </c>
      <c r="S2608">
        <v>50</v>
      </c>
      <c r="T2608">
        <v>4.28</v>
      </c>
      <c r="U2608">
        <v>51</v>
      </c>
      <c r="V2608">
        <v>-8.06</v>
      </c>
      <c r="W2608">
        <v>32</v>
      </c>
      <c r="X2608" t="s">
        <v>94</v>
      </c>
      <c r="Y2608" t="s">
        <v>1251</v>
      </c>
      <c r="Z2608" t="s">
        <v>96</v>
      </c>
      <c r="AA2608" t="s">
        <v>4490</v>
      </c>
      <c r="AB2608" t="s">
        <v>14147</v>
      </c>
      <c r="AC2608">
        <v>19</v>
      </c>
      <c r="AD2608">
        <v>16</v>
      </c>
      <c r="AE2608">
        <v>82</v>
      </c>
      <c r="AF2608">
        <v>234.66</v>
      </c>
      <c r="AG2608">
        <v>11.45</v>
      </c>
      <c r="AH2608">
        <v>12.41</v>
      </c>
      <c r="AI2608">
        <v>0.04</v>
      </c>
      <c r="AJ2608">
        <v>7.0000000000000007E-2</v>
      </c>
      <c r="AK2608">
        <v>44</v>
      </c>
      <c r="AL2608">
        <v>19</v>
      </c>
      <c r="AM2608">
        <v>11</v>
      </c>
      <c r="AN2608">
        <v>3.29</v>
      </c>
      <c r="AO2608">
        <v>-1.48</v>
      </c>
      <c r="AP2608">
        <v>47</v>
      </c>
      <c r="AQ2608">
        <v>0</v>
      </c>
      <c r="AR2608">
        <v>5.19</v>
      </c>
      <c r="AS2608">
        <v>51</v>
      </c>
      <c r="AT2608">
        <v>2.35</v>
      </c>
      <c r="AU2608">
        <v>57</v>
      </c>
      <c r="AV2608">
        <v>-1.42</v>
      </c>
      <c r="AW2608">
        <v>87</v>
      </c>
      <c r="AX2608">
        <v>-0.11</v>
      </c>
      <c r="AY2608">
        <v>61</v>
      </c>
      <c r="AZ2608">
        <v>7.1</v>
      </c>
      <c r="BA2608">
        <v>34</v>
      </c>
      <c r="BB2608">
        <v>4.9800000000000004</v>
      </c>
      <c r="BC2608">
        <v>34</v>
      </c>
      <c r="BD2608">
        <v>0.01</v>
      </c>
      <c r="BE2608">
        <v>0.01</v>
      </c>
      <c r="BF2608">
        <v>0</v>
      </c>
      <c r="BG2608">
        <v>59</v>
      </c>
      <c r="BH2608">
        <v>-0.23</v>
      </c>
      <c r="BI2608">
        <v>-0.61</v>
      </c>
      <c r="BJ2608">
        <v>0</v>
      </c>
      <c r="BK2608">
        <v>0</v>
      </c>
      <c r="BL2608">
        <v>0.53</v>
      </c>
      <c r="BM2608">
        <v>0.52</v>
      </c>
      <c r="BN2608">
        <v>0.35</v>
      </c>
      <c r="BO2608">
        <v>0.08</v>
      </c>
      <c r="BP2608">
        <v>2.16</v>
      </c>
      <c r="BQ2608">
        <v>-0.22</v>
      </c>
      <c r="BR2608">
        <v>-0.18</v>
      </c>
      <c r="BS2608">
        <v>-1.06</v>
      </c>
      <c r="BT2608">
        <v>0.34</v>
      </c>
      <c r="BU2608">
        <v>-0.25</v>
      </c>
      <c r="BV2608">
        <v>0.41</v>
      </c>
      <c r="BW2608">
        <v>0.66</v>
      </c>
      <c r="BX2608">
        <v>-0.51</v>
      </c>
      <c r="BY2608">
        <v>1.08</v>
      </c>
      <c r="BZ2608">
        <v>0.02</v>
      </c>
      <c r="CA2608">
        <v>-0.27</v>
      </c>
      <c r="CB2608">
        <v>0.26</v>
      </c>
      <c r="CC2608">
        <v>-1.18</v>
      </c>
      <c r="CD2608">
        <v>-0.11</v>
      </c>
      <c r="CE2608">
        <v>0.11</v>
      </c>
      <c r="CF2608">
        <v>0.27</v>
      </c>
      <c r="CG2608">
        <v>0</v>
      </c>
      <c r="CH2608">
        <v>1.23</v>
      </c>
      <c r="CI2608">
        <v>0</v>
      </c>
      <c r="CJ2608">
        <v>-0.3</v>
      </c>
      <c r="CK2608">
        <v>84</v>
      </c>
      <c r="CL2608">
        <v>-0.47</v>
      </c>
      <c r="CM2608">
        <v>81</v>
      </c>
      <c r="CN2608">
        <v>-0.08</v>
      </c>
      <c r="CO2608">
        <v>79</v>
      </c>
      <c r="CP2608">
        <v>-2.4</v>
      </c>
      <c r="CQ2608">
        <v>58</v>
      </c>
      <c r="CR2608">
        <v>0</v>
      </c>
      <c r="CS2608">
        <v>0</v>
      </c>
      <c r="CT2608">
        <v>8</v>
      </c>
      <c r="CU2608">
        <v>51</v>
      </c>
      <c r="CV2608">
        <v>0.13</v>
      </c>
      <c r="CW2608">
        <v>24</v>
      </c>
      <c r="CX2608" t="s">
        <v>1252</v>
      </c>
    </row>
    <row r="2609" spans="1:102" x14ac:dyDescent="0.3">
      <c r="A2609" t="str">
        <f>HYPERLINK("https://webapp.icbf.com/v2/app/bull-search/view/682505418","CWP")</f>
        <v>CWP</v>
      </c>
      <c r="B2609" t="s">
        <v>8250</v>
      </c>
      <c r="C2609" t="s">
        <v>8251</v>
      </c>
      <c r="D2609" s="1">
        <v>39914</v>
      </c>
      <c r="E2609" t="s">
        <v>92</v>
      </c>
      <c r="F2609">
        <v>66</v>
      </c>
      <c r="G2609" t="s">
        <v>93</v>
      </c>
      <c r="H2609">
        <v>28.12</v>
      </c>
      <c r="I2609">
        <v>96</v>
      </c>
      <c r="J2609">
        <v>11.2</v>
      </c>
      <c r="K2609">
        <v>99</v>
      </c>
      <c r="L2609">
        <v>-1.94</v>
      </c>
      <c r="M2609">
        <v>94</v>
      </c>
      <c r="N2609">
        <v>40.159999999999997</v>
      </c>
      <c r="O2609">
        <v>97</v>
      </c>
      <c r="P2609">
        <v>-3.56</v>
      </c>
      <c r="Q2609">
        <v>99</v>
      </c>
      <c r="R2609">
        <v>-14.32</v>
      </c>
      <c r="S2609">
        <v>92</v>
      </c>
      <c r="T2609">
        <v>5.91</v>
      </c>
      <c r="U2609">
        <v>99</v>
      </c>
      <c r="V2609">
        <v>-9.33</v>
      </c>
      <c r="W2609">
        <v>85</v>
      </c>
      <c r="X2609" t="s">
        <v>94</v>
      </c>
      <c r="Y2609" t="s">
        <v>1727</v>
      </c>
      <c r="Z2609" t="s">
        <v>96</v>
      </c>
      <c r="AA2609" t="s">
        <v>3026</v>
      </c>
      <c r="AB2609" t="s">
        <v>8252</v>
      </c>
      <c r="AC2609">
        <v>1144</v>
      </c>
      <c r="AD2609">
        <v>640</v>
      </c>
      <c r="AE2609">
        <v>99</v>
      </c>
      <c r="AF2609">
        <v>100.39</v>
      </c>
      <c r="AG2609">
        <v>-10.26</v>
      </c>
      <c r="AH2609">
        <v>7.07</v>
      </c>
      <c r="AI2609">
        <v>-0.24</v>
      </c>
      <c r="AJ2609">
        <v>0.06</v>
      </c>
      <c r="AK2609">
        <v>94</v>
      </c>
      <c r="AL2609">
        <v>1622</v>
      </c>
      <c r="AM2609">
        <v>899</v>
      </c>
      <c r="AN2609">
        <v>-1.08</v>
      </c>
      <c r="AO2609">
        <v>-1.25</v>
      </c>
      <c r="AP2609">
        <v>2488</v>
      </c>
      <c r="AQ2609">
        <v>30</v>
      </c>
      <c r="AR2609">
        <v>5.63</v>
      </c>
      <c r="AS2609">
        <v>95</v>
      </c>
      <c r="AT2609">
        <v>2.1</v>
      </c>
      <c r="AU2609">
        <v>98</v>
      </c>
      <c r="AV2609">
        <v>-2.97</v>
      </c>
      <c r="AW2609">
        <v>99</v>
      </c>
      <c r="AX2609">
        <v>-0.57999999999999996</v>
      </c>
      <c r="AY2609">
        <v>98</v>
      </c>
      <c r="AZ2609">
        <v>5.21</v>
      </c>
      <c r="BA2609">
        <v>94</v>
      </c>
      <c r="BB2609">
        <v>4.83</v>
      </c>
      <c r="BC2609">
        <v>94</v>
      </c>
      <c r="BD2609">
        <v>0.05</v>
      </c>
      <c r="BE2609">
        <v>0.04</v>
      </c>
      <c r="BF2609">
        <v>0.17</v>
      </c>
      <c r="BG2609">
        <v>98</v>
      </c>
      <c r="BH2609">
        <v>0.16</v>
      </c>
      <c r="BI2609">
        <v>48.59</v>
      </c>
      <c r="BJ2609">
        <v>29</v>
      </c>
      <c r="BK2609">
        <v>25</v>
      </c>
      <c r="BL2609">
        <v>-1.23</v>
      </c>
      <c r="BM2609">
        <v>1.59</v>
      </c>
      <c r="BN2609">
        <v>-0.83</v>
      </c>
      <c r="BO2609">
        <v>-1.43</v>
      </c>
      <c r="BP2609">
        <v>-1.08</v>
      </c>
      <c r="BQ2609">
        <v>1.1599999999999999</v>
      </c>
      <c r="BR2609">
        <v>-0.04</v>
      </c>
      <c r="BS2609">
        <v>-2.5499999999999998</v>
      </c>
      <c r="BT2609">
        <v>-1.1000000000000001</v>
      </c>
      <c r="BU2609">
        <v>-2.42</v>
      </c>
      <c r="BV2609">
        <v>-2.81</v>
      </c>
      <c r="BW2609">
        <v>-3.62</v>
      </c>
      <c r="BX2609">
        <v>-2.65</v>
      </c>
      <c r="BY2609">
        <v>-1.36</v>
      </c>
      <c r="BZ2609">
        <v>-0.28000000000000003</v>
      </c>
      <c r="CA2609">
        <v>-2.3199999999999998</v>
      </c>
      <c r="CB2609">
        <v>-2.21</v>
      </c>
      <c r="CC2609">
        <v>-1.29</v>
      </c>
      <c r="CD2609">
        <v>1.84</v>
      </c>
      <c r="CE2609">
        <v>-0.88</v>
      </c>
      <c r="CF2609">
        <v>-0.53</v>
      </c>
      <c r="CG2609">
        <v>0</v>
      </c>
      <c r="CH2609">
        <v>-2.11</v>
      </c>
      <c r="CI2609">
        <v>0</v>
      </c>
      <c r="CJ2609">
        <v>1.2</v>
      </c>
      <c r="CK2609">
        <v>99</v>
      </c>
      <c r="CL2609">
        <v>-0.48</v>
      </c>
      <c r="CM2609">
        <v>99</v>
      </c>
      <c r="CN2609">
        <v>0.01</v>
      </c>
      <c r="CO2609">
        <v>99</v>
      </c>
      <c r="CP2609">
        <v>-1</v>
      </c>
      <c r="CQ2609">
        <v>99</v>
      </c>
      <c r="CR2609">
        <v>0</v>
      </c>
      <c r="CS2609">
        <v>0</v>
      </c>
      <c r="CT2609">
        <v>5.8</v>
      </c>
      <c r="CU2609">
        <v>99</v>
      </c>
      <c r="CV2609">
        <v>0.25</v>
      </c>
      <c r="CW2609">
        <v>46</v>
      </c>
      <c r="CX2609" t="s">
        <v>1883</v>
      </c>
    </row>
    <row r="2610" spans="1:102" x14ac:dyDescent="0.3">
      <c r="A2610" t="str">
        <f>HYPERLINK("https://webapp.icbf.com/v2/app/bull-search/view/1130792755","RAO")</f>
        <v>RAO</v>
      </c>
      <c r="B2610" t="s">
        <v>7183</v>
      </c>
      <c r="C2610" t="s">
        <v>7184</v>
      </c>
      <c r="D2610" s="1">
        <v>41061</v>
      </c>
      <c r="E2610" t="s">
        <v>92</v>
      </c>
      <c r="F2610">
        <v>100</v>
      </c>
      <c r="G2610" t="s">
        <v>109</v>
      </c>
      <c r="H2610">
        <v>27.93</v>
      </c>
      <c r="I2610">
        <v>83</v>
      </c>
      <c r="J2610">
        <v>41.45</v>
      </c>
      <c r="K2610">
        <v>94</v>
      </c>
      <c r="L2610">
        <v>-57.61</v>
      </c>
      <c r="M2610">
        <v>80</v>
      </c>
      <c r="N2610">
        <v>40.03</v>
      </c>
      <c r="O2610">
        <v>78</v>
      </c>
      <c r="P2610">
        <v>-14.57</v>
      </c>
      <c r="Q2610">
        <v>86</v>
      </c>
      <c r="R2610">
        <v>5.75</v>
      </c>
      <c r="S2610">
        <v>76</v>
      </c>
      <c r="T2610">
        <v>7.54</v>
      </c>
      <c r="U2610">
        <v>63</v>
      </c>
      <c r="V2610">
        <v>5.34</v>
      </c>
      <c r="W2610">
        <v>65</v>
      </c>
      <c r="X2610" t="s">
        <v>251</v>
      </c>
      <c r="Y2610" t="s">
        <v>2066</v>
      </c>
      <c r="Z2610" t="s">
        <v>96</v>
      </c>
      <c r="AA2610" t="s">
        <v>1783</v>
      </c>
      <c r="AB2610" t="s">
        <v>7185</v>
      </c>
      <c r="AC2610">
        <v>42</v>
      </c>
      <c r="AD2610">
        <v>20</v>
      </c>
      <c r="AE2610">
        <v>94</v>
      </c>
      <c r="AF2610">
        <v>374.15</v>
      </c>
      <c r="AG2610">
        <v>13.22</v>
      </c>
      <c r="AH2610">
        <v>8.1</v>
      </c>
      <c r="AI2610">
        <v>-0.02</v>
      </c>
      <c r="AJ2610">
        <v>-0.08</v>
      </c>
      <c r="AK2610">
        <v>80</v>
      </c>
      <c r="AL2610">
        <v>32</v>
      </c>
      <c r="AM2610">
        <v>14</v>
      </c>
      <c r="AN2610">
        <v>5.03</v>
      </c>
      <c r="AO2610">
        <v>0.46</v>
      </c>
      <c r="AP2610">
        <v>86</v>
      </c>
      <c r="AQ2610">
        <v>0</v>
      </c>
      <c r="AR2610">
        <v>6.32</v>
      </c>
      <c r="AS2610">
        <v>69</v>
      </c>
      <c r="AT2610">
        <v>1.89</v>
      </c>
      <c r="AU2610">
        <v>81</v>
      </c>
      <c r="AV2610">
        <v>-3.93</v>
      </c>
      <c r="AW2610">
        <v>91</v>
      </c>
      <c r="AX2610">
        <v>0.1</v>
      </c>
      <c r="AY2610">
        <v>68</v>
      </c>
      <c r="AZ2610">
        <v>6.38</v>
      </c>
      <c r="BA2610">
        <v>55</v>
      </c>
      <c r="BB2610">
        <v>5.68</v>
      </c>
      <c r="BC2610">
        <v>53</v>
      </c>
      <c r="BD2610">
        <v>-0.05</v>
      </c>
      <c r="BE2610">
        <v>-0.01</v>
      </c>
      <c r="BF2610">
        <v>-0.03</v>
      </c>
      <c r="BG2610">
        <v>88</v>
      </c>
      <c r="BH2610">
        <v>0.03</v>
      </c>
      <c r="BI2610">
        <v>-13.75</v>
      </c>
      <c r="BJ2610">
        <v>18</v>
      </c>
      <c r="BK2610">
        <v>10</v>
      </c>
      <c r="BL2610">
        <v>0.82</v>
      </c>
      <c r="BM2610">
        <v>-1.83</v>
      </c>
      <c r="BN2610">
        <v>0.42</v>
      </c>
      <c r="BO2610">
        <v>1.5</v>
      </c>
      <c r="BP2610">
        <v>2.88</v>
      </c>
      <c r="BQ2610">
        <v>-3.36</v>
      </c>
      <c r="BR2610">
        <v>-0.61</v>
      </c>
      <c r="BS2610">
        <v>0.86</v>
      </c>
      <c r="BT2610">
        <v>0.2</v>
      </c>
      <c r="BU2610">
        <v>0</v>
      </c>
      <c r="BV2610">
        <v>0.63</v>
      </c>
      <c r="BW2610">
        <v>0.2</v>
      </c>
      <c r="BX2610">
        <v>-0.4</v>
      </c>
      <c r="BY2610">
        <v>0.54</v>
      </c>
      <c r="BZ2610">
        <v>0.79</v>
      </c>
      <c r="CA2610">
        <v>0.94</v>
      </c>
      <c r="CB2610">
        <v>0.61</v>
      </c>
      <c r="CC2610">
        <v>1.08</v>
      </c>
      <c r="CD2610">
        <v>-1.36</v>
      </c>
      <c r="CE2610">
        <v>1.21</v>
      </c>
      <c r="CF2610">
        <v>0.42</v>
      </c>
      <c r="CG2610">
        <v>0</v>
      </c>
      <c r="CH2610">
        <v>0.33</v>
      </c>
      <c r="CI2610">
        <v>0</v>
      </c>
      <c r="CJ2610">
        <v>-4.9000000000000004</v>
      </c>
      <c r="CK2610">
        <v>88</v>
      </c>
      <c r="CL2610">
        <v>-1.24</v>
      </c>
      <c r="CM2610">
        <v>86</v>
      </c>
      <c r="CN2610">
        <v>-0.5</v>
      </c>
      <c r="CO2610">
        <v>84</v>
      </c>
      <c r="CP2610">
        <v>-5.8</v>
      </c>
      <c r="CQ2610">
        <v>69</v>
      </c>
      <c r="CR2610">
        <v>0</v>
      </c>
      <c r="CS2610">
        <v>0</v>
      </c>
      <c r="CT2610">
        <v>3.6</v>
      </c>
      <c r="CU2610">
        <v>63</v>
      </c>
      <c r="CV2610">
        <v>0.25</v>
      </c>
      <c r="CW2610">
        <v>43</v>
      </c>
      <c r="CX2610" t="s">
        <v>350</v>
      </c>
    </row>
    <row r="2611" spans="1:102" x14ac:dyDescent="0.3">
      <c r="A2611" t="str">
        <f>HYPERLINK("https://webapp.icbf.com/v2/app/bull-search/view/495513742","S639")</f>
        <v>S639</v>
      </c>
      <c r="B2611" t="s">
        <v>1437</v>
      </c>
      <c r="C2611" t="s">
        <v>1438</v>
      </c>
      <c r="D2611" s="1">
        <v>37462</v>
      </c>
      <c r="E2611" t="s">
        <v>92</v>
      </c>
      <c r="F2611">
        <v>100</v>
      </c>
      <c r="G2611" t="s">
        <v>109</v>
      </c>
      <c r="H2611">
        <v>27.9</v>
      </c>
      <c r="I2611">
        <v>85</v>
      </c>
      <c r="J2611">
        <v>11.4</v>
      </c>
      <c r="K2611">
        <v>94</v>
      </c>
      <c r="L2611">
        <v>-9.8699999999999992</v>
      </c>
      <c r="M2611">
        <v>87</v>
      </c>
      <c r="N2611">
        <v>26.8</v>
      </c>
      <c r="O2611">
        <v>76</v>
      </c>
      <c r="P2611">
        <v>-16.989999999999998</v>
      </c>
      <c r="Q2611">
        <v>76</v>
      </c>
      <c r="R2611">
        <v>6.97</v>
      </c>
      <c r="S2611">
        <v>78</v>
      </c>
      <c r="T2611">
        <v>11.16</v>
      </c>
      <c r="U2611">
        <v>68</v>
      </c>
      <c r="V2611">
        <v>-1.57</v>
      </c>
      <c r="W2611">
        <v>70</v>
      </c>
      <c r="X2611" t="s">
        <v>94</v>
      </c>
      <c r="Y2611" t="s">
        <v>1122</v>
      </c>
      <c r="Z2611" t="s">
        <v>96</v>
      </c>
      <c r="AA2611" t="s">
        <v>1439</v>
      </c>
      <c r="AB2611" t="s">
        <v>1440</v>
      </c>
      <c r="AC2611">
        <v>0</v>
      </c>
      <c r="AD2611">
        <v>0</v>
      </c>
      <c r="AE2611">
        <v>94</v>
      </c>
      <c r="AF2611">
        <v>225.72</v>
      </c>
      <c r="AG2611">
        <v>3.15</v>
      </c>
      <c r="AH2611">
        <v>4.28</v>
      </c>
      <c r="AI2611">
        <v>-0.1</v>
      </c>
      <c r="AJ2611">
        <v>-0.06</v>
      </c>
      <c r="AK2611">
        <v>87</v>
      </c>
      <c r="AL2611">
        <v>0</v>
      </c>
      <c r="AM2611">
        <v>0</v>
      </c>
      <c r="AN2611">
        <v>0.28999999999999998</v>
      </c>
      <c r="AO2611">
        <v>-0.5</v>
      </c>
      <c r="AP2611">
        <v>22</v>
      </c>
      <c r="AQ2611">
        <v>1</v>
      </c>
      <c r="AR2611">
        <v>7.17</v>
      </c>
      <c r="AS2611">
        <v>69</v>
      </c>
      <c r="AT2611">
        <v>2.15</v>
      </c>
      <c r="AU2611">
        <v>96</v>
      </c>
      <c r="AV2611">
        <v>-2.37</v>
      </c>
      <c r="AW2611">
        <v>75</v>
      </c>
      <c r="AX2611">
        <v>-0.18</v>
      </c>
      <c r="AY2611">
        <v>68</v>
      </c>
      <c r="AZ2611">
        <v>6.25</v>
      </c>
      <c r="BA2611">
        <v>57</v>
      </c>
      <c r="BB2611">
        <v>5.34</v>
      </c>
      <c r="BC2611">
        <v>57</v>
      </c>
      <c r="BD2611">
        <v>-0.02</v>
      </c>
      <c r="BE2611">
        <v>-0.03</v>
      </c>
      <c r="BF2611">
        <v>-7.0000000000000007E-2</v>
      </c>
      <c r="BG2611">
        <v>92</v>
      </c>
      <c r="BH2611">
        <v>-0.03</v>
      </c>
      <c r="BI2611">
        <v>1.59</v>
      </c>
      <c r="BJ2611">
        <v>15</v>
      </c>
      <c r="BK2611">
        <v>2</v>
      </c>
      <c r="BL2611">
        <v>0.87</v>
      </c>
      <c r="BM2611">
        <v>-0.16</v>
      </c>
      <c r="BN2611">
        <v>1.01</v>
      </c>
      <c r="BO2611">
        <v>0.57999999999999996</v>
      </c>
      <c r="BP2611">
        <v>-0.32</v>
      </c>
      <c r="BQ2611">
        <v>-1.17</v>
      </c>
      <c r="BR2611">
        <v>0.12</v>
      </c>
      <c r="BS2611">
        <v>-0.68</v>
      </c>
      <c r="BT2611">
        <v>0.27</v>
      </c>
      <c r="BU2611">
        <v>-0.2</v>
      </c>
      <c r="BV2611">
        <v>0.75</v>
      </c>
      <c r="BW2611">
        <v>1.06</v>
      </c>
      <c r="BX2611">
        <v>0.36</v>
      </c>
      <c r="BY2611">
        <v>1.81</v>
      </c>
      <c r="BZ2611">
        <v>-0.9</v>
      </c>
      <c r="CA2611">
        <v>0.48</v>
      </c>
      <c r="CB2611">
        <v>0.68</v>
      </c>
      <c r="CC2611">
        <v>0.05</v>
      </c>
      <c r="CD2611">
        <v>-0.38</v>
      </c>
      <c r="CE2611">
        <v>0.81</v>
      </c>
      <c r="CF2611">
        <v>0.28999999999999998</v>
      </c>
      <c r="CG2611">
        <v>0</v>
      </c>
      <c r="CH2611">
        <v>1.38</v>
      </c>
      <c r="CI2611">
        <v>0</v>
      </c>
      <c r="CJ2611">
        <v>-8.8000000000000007</v>
      </c>
      <c r="CK2611">
        <v>77</v>
      </c>
      <c r="CL2611">
        <v>-1.21</v>
      </c>
      <c r="CM2611">
        <v>75</v>
      </c>
      <c r="CN2611">
        <v>-0.75</v>
      </c>
      <c r="CO2611">
        <v>73</v>
      </c>
      <c r="CP2611">
        <v>-7.6</v>
      </c>
      <c r="CQ2611">
        <v>75</v>
      </c>
      <c r="CR2611">
        <v>0</v>
      </c>
      <c r="CS2611">
        <v>0</v>
      </c>
      <c r="CT2611">
        <v>-1.3</v>
      </c>
      <c r="CU2611">
        <v>68</v>
      </c>
      <c r="CV2611">
        <v>0.17</v>
      </c>
      <c r="CW2611">
        <v>41</v>
      </c>
      <c r="CX2611" t="s">
        <v>216</v>
      </c>
    </row>
    <row r="2612" spans="1:102" x14ac:dyDescent="0.3">
      <c r="A2612" t="str">
        <f>HYPERLINK("https://webapp.icbf.com/v2/app/bull-search/view/69092434","PWS")</f>
        <v>PWS</v>
      </c>
      <c r="B2612" t="s">
        <v>14383</v>
      </c>
      <c r="C2612" t="s">
        <v>14384</v>
      </c>
      <c r="D2612" s="1">
        <v>31642</v>
      </c>
      <c r="E2612" t="s">
        <v>92</v>
      </c>
      <c r="F2612">
        <v>100</v>
      </c>
      <c r="G2612" t="s">
        <v>93</v>
      </c>
      <c r="H2612">
        <v>27.85</v>
      </c>
      <c r="I2612">
        <v>73</v>
      </c>
      <c r="J2612">
        <v>-15.27</v>
      </c>
      <c r="K2612">
        <v>94</v>
      </c>
      <c r="L2612">
        <v>22.08</v>
      </c>
      <c r="M2612">
        <v>60</v>
      </c>
      <c r="N2612">
        <v>17.04</v>
      </c>
      <c r="O2612">
        <v>58</v>
      </c>
      <c r="P2612">
        <v>-2.33</v>
      </c>
      <c r="Q2612">
        <v>77</v>
      </c>
      <c r="R2612">
        <v>3.33</v>
      </c>
      <c r="S2612">
        <v>64</v>
      </c>
      <c r="T2612">
        <v>2.8</v>
      </c>
      <c r="U2612">
        <v>75</v>
      </c>
      <c r="V2612">
        <v>0.2</v>
      </c>
      <c r="W2612">
        <v>36</v>
      </c>
      <c r="X2612" t="s">
        <v>94</v>
      </c>
      <c r="Y2612" t="s">
        <v>95</v>
      </c>
      <c r="Z2612" t="s">
        <v>96</v>
      </c>
      <c r="AA2612" t="s">
        <v>1185</v>
      </c>
      <c r="AB2612" t="s">
        <v>5999</v>
      </c>
      <c r="AC2612">
        <v>81</v>
      </c>
      <c r="AD2612">
        <v>70</v>
      </c>
      <c r="AE2612">
        <v>94</v>
      </c>
      <c r="AF2612">
        <v>-62.68</v>
      </c>
      <c r="AG2612">
        <v>2.98</v>
      </c>
      <c r="AH2612">
        <v>-4.6100000000000003</v>
      </c>
      <c r="AI2612">
        <v>0.09</v>
      </c>
      <c r="AJ2612">
        <v>-0.04</v>
      </c>
      <c r="AK2612">
        <v>60</v>
      </c>
      <c r="AL2612">
        <v>87</v>
      </c>
      <c r="AM2612">
        <v>69</v>
      </c>
      <c r="AN2612">
        <v>-1.25</v>
      </c>
      <c r="AO2612">
        <v>0.51</v>
      </c>
      <c r="AP2612">
        <v>14</v>
      </c>
      <c r="AQ2612">
        <v>0</v>
      </c>
      <c r="AR2612">
        <v>4.5999999999999996</v>
      </c>
      <c r="AS2612">
        <v>36</v>
      </c>
      <c r="AT2612">
        <v>2.46</v>
      </c>
      <c r="AU2612">
        <v>48</v>
      </c>
      <c r="AV2612">
        <v>-0.06</v>
      </c>
      <c r="AW2612">
        <v>73</v>
      </c>
      <c r="AX2612">
        <v>0.03</v>
      </c>
      <c r="AY2612">
        <v>73</v>
      </c>
      <c r="AZ2612">
        <v>5.39</v>
      </c>
      <c r="BA2612">
        <v>26</v>
      </c>
      <c r="BB2612">
        <v>4.3600000000000003</v>
      </c>
      <c r="BC2612">
        <v>43</v>
      </c>
      <c r="BD2612">
        <v>-0.01</v>
      </c>
      <c r="BE2612">
        <v>0</v>
      </c>
      <c r="BF2612">
        <v>-0.06</v>
      </c>
      <c r="BG2612">
        <v>83</v>
      </c>
      <c r="BH2612">
        <v>-0.02</v>
      </c>
      <c r="BI2612">
        <v>-2.95</v>
      </c>
      <c r="BJ2612">
        <v>28</v>
      </c>
      <c r="BK2612">
        <v>22</v>
      </c>
      <c r="BL2612">
        <v>0.26</v>
      </c>
      <c r="BM2612">
        <v>-0.17</v>
      </c>
      <c r="BN2612">
        <v>-0.75</v>
      </c>
      <c r="BO2612">
        <v>-0.37</v>
      </c>
      <c r="BP2612">
        <v>-0.64</v>
      </c>
      <c r="BQ2612">
        <v>0.2</v>
      </c>
      <c r="BR2612">
        <v>-0.83</v>
      </c>
      <c r="BS2612">
        <v>0.67</v>
      </c>
      <c r="BT2612">
        <v>0.33</v>
      </c>
      <c r="BU2612">
        <v>-0.85</v>
      </c>
      <c r="BV2612">
        <v>-1.01</v>
      </c>
      <c r="BW2612">
        <v>-1.37</v>
      </c>
      <c r="BX2612">
        <v>0.22</v>
      </c>
      <c r="BY2612">
        <v>-1.22</v>
      </c>
      <c r="BZ2612">
        <v>0.02</v>
      </c>
      <c r="CA2612">
        <v>-0.63</v>
      </c>
      <c r="CB2612">
        <v>-1.47</v>
      </c>
      <c r="CC2612">
        <v>1.18</v>
      </c>
      <c r="CD2612">
        <v>1.39</v>
      </c>
      <c r="CE2612">
        <v>-0.47</v>
      </c>
      <c r="CF2612">
        <v>-0.2</v>
      </c>
      <c r="CG2612">
        <v>0</v>
      </c>
      <c r="CH2612">
        <v>-1.1399999999999999</v>
      </c>
      <c r="CI2612">
        <v>0</v>
      </c>
      <c r="CJ2612">
        <v>-1.8</v>
      </c>
      <c r="CK2612">
        <v>78</v>
      </c>
      <c r="CL2612">
        <v>-0.63</v>
      </c>
      <c r="CM2612">
        <v>75</v>
      </c>
      <c r="CN2612">
        <v>-0.52</v>
      </c>
      <c r="CO2612">
        <v>71</v>
      </c>
      <c r="CP2612">
        <v>3.8</v>
      </c>
      <c r="CQ2612">
        <v>85</v>
      </c>
      <c r="CR2612">
        <v>0</v>
      </c>
      <c r="CS2612">
        <v>0</v>
      </c>
      <c r="CT2612">
        <v>10</v>
      </c>
      <c r="CU2612">
        <v>75</v>
      </c>
      <c r="CV2612">
        <v>0.09</v>
      </c>
      <c r="CW2612">
        <v>21</v>
      </c>
      <c r="CX2612" t="s">
        <v>120</v>
      </c>
    </row>
    <row r="2613" spans="1:102" x14ac:dyDescent="0.3">
      <c r="A2613" t="str">
        <f>HYPERLINK("https://webapp.icbf.com/v2/app/bull-search/view/69092647","SDS")</f>
        <v>SDS</v>
      </c>
      <c r="B2613" t="s">
        <v>7240</v>
      </c>
      <c r="C2613" t="s">
        <v>7241</v>
      </c>
      <c r="D2613" s="1">
        <v>31661</v>
      </c>
      <c r="E2613" t="s">
        <v>227</v>
      </c>
      <c r="F2613">
        <v>0</v>
      </c>
      <c r="G2613" t="s">
        <v>109</v>
      </c>
      <c r="H2613">
        <v>27.72</v>
      </c>
      <c r="I2613">
        <v>57</v>
      </c>
      <c r="J2613">
        <v>-16.89</v>
      </c>
      <c r="K2613">
        <v>75</v>
      </c>
      <c r="L2613">
        <v>12.72</v>
      </c>
      <c r="M2613">
        <v>66</v>
      </c>
      <c r="N2613">
        <v>14.57</v>
      </c>
      <c r="O2613">
        <v>29</v>
      </c>
      <c r="P2613">
        <v>-71.8</v>
      </c>
      <c r="Q2613">
        <v>42</v>
      </c>
      <c r="R2613">
        <v>-4.3600000000000003</v>
      </c>
      <c r="S2613">
        <v>24</v>
      </c>
      <c r="T2613">
        <v>94.56</v>
      </c>
      <c r="U2613">
        <v>31</v>
      </c>
      <c r="V2613">
        <v>-1.08</v>
      </c>
      <c r="W2613">
        <v>13</v>
      </c>
      <c r="X2613" t="s">
        <v>110</v>
      </c>
      <c r="Y2613" t="s">
        <v>95</v>
      </c>
      <c r="Z2613">
        <v>0</v>
      </c>
      <c r="AA2613" t="s">
        <v>4332</v>
      </c>
      <c r="AB2613" t="s">
        <v>7242</v>
      </c>
      <c r="AC2613">
        <v>0</v>
      </c>
      <c r="AD2613">
        <v>0</v>
      </c>
      <c r="AE2613">
        <v>75</v>
      </c>
      <c r="AF2613">
        <v>-362.66</v>
      </c>
      <c r="AG2613">
        <v>1.29</v>
      </c>
      <c r="AH2613">
        <v>-8.8800000000000008</v>
      </c>
      <c r="AI2613">
        <v>0.27</v>
      </c>
      <c r="AJ2613">
        <v>0.06</v>
      </c>
      <c r="AK2613">
        <v>66</v>
      </c>
      <c r="AL2613">
        <v>0</v>
      </c>
      <c r="AM2613">
        <v>0</v>
      </c>
      <c r="AN2613">
        <v>-0.23</v>
      </c>
      <c r="AO2613">
        <v>0.79</v>
      </c>
      <c r="AP2613">
        <v>2</v>
      </c>
      <c r="AQ2613">
        <v>1</v>
      </c>
      <c r="AR2613">
        <v>2.91</v>
      </c>
      <c r="AS2613">
        <v>15</v>
      </c>
      <c r="AT2613">
        <v>1.79</v>
      </c>
      <c r="AU2613">
        <v>22</v>
      </c>
      <c r="AV2613">
        <v>0.2</v>
      </c>
      <c r="AW2613">
        <v>38</v>
      </c>
      <c r="AX2613">
        <v>0.28000000000000003</v>
      </c>
      <c r="AY2613">
        <v>42</v>
      </c>
      <c r="AZ2613">
        <v>6.97</v>
      </c>
      <c r="BA2613">
        <v>13</v>
      </c>
      <c r="BB2613">
        <v>5.3</v>
      </c>
      <c r="BC2613">
        <v>18</v>
      </c>
      <c r="BD2613">
        <v>-0.04</v>
      </c>
      <c r="BE2613">
        <v>0.03</v>
      </c>
      <c r="BF2613">
        <v>0.11</v>
      </c>
      <c r="BG2613">
        <v>31</v>
      </c>
      <c r="BH2613">
        <v>-0.05</v>
      </c>
      <c r="BI2613">
        <v>-2.2999999999999998</v>
      </c>
      <c r="BJ2613">
        <v>0</v>
      </c>
      <c r="BK2613">
        <v>0</v>
      </c>
      <c r="BL2613">
        <v>-0.3</v>
      </c>
      <c r="BM2613">
        <v>-0.7</v>
      </c>
      <c r="BN2613">
        <v>0.87</v>
      </c>
      <c r="BO2613">
        <v>1.8</v>
      </c>
      <c r="BP2613">
        <v>-0.21</v>
      </c>
      <c r="BQ2613">
        <v>-3.3</v>
      </c>
      <c r="BR2613">
        <v>2.36</v>
      </c>
      <c r="BS2613">
        <v>6.49</v>
      </c>
      <c r="BT2613">
        <v>-1.03</v>
      </c>
      <c r="BU2613">
        <v>1.79</v>
      </c>
      <c r="BV2613">
        <v>1.77</v>
      </c>
      <c r="BW2613">
        <v>-0.55000000000000004</v>
      </c>
      <c r="BX2613">
        <v>-1.49</v>
      </c>
      <c r="BY2613">
        <v>0.83</v>
      </c>
      <c r="BZ2613">
        <v>0.22</v>
      </c>
      <c r="CA2613">
        <v>3.01</v>
      </c>
      <c r="CB2613">
        <v>1.96</v>
      </c>
      <c r="CC2613">
        <v>3.88</v>
      </c>
      <c r="CD2613">
        <v>-1.92</v>
      </c>
      <c r="CE2613">
        <v>1.97</v>
      </c>
      <c r="CF2613">
        <v>0.75</v>
      </c>
      <c r="CG2613">
        <v>0</v>
      </c>
      <c r="CH2613">
        <v>0.35</v>
      </c>
      <c r="CI2613">
        <v>0</v>
      </c>
      <c r="CJ2613">
        <v>-40.5</v>
      </c>
      <c r="CK2613">
        <v>45</v>
      </c>
      <c r="CL2613">
        <v>-1.2</v>
      </c>
      <c r="CM2613">
        <v>39</v>
      </c>
      <c r="CN2613">
        <v>-0.61</v>
      </c>
      <c r="CO2613">
        <v>35</v>
      </c>
      <c r="CP2613">
        <v>-71.099999999999994</v>
      </c>
      <c r="CQ2613">
        <v>38</v>
      </c>
      <c r="CR2613">
        <v>0</v>
      </c>
      <c r="CS2613">
        <v>0</v>
      </c>
      <c r="CT2613">
        <v>-114</v>
      </c>
      <c r="CU2613">
        <v>31</v>
      </c>
      <c r="CV2613">
        <v>-0.51</v>
      </c>
      <c r="CW2613">
        <v>12</v>
      </c>
      <c r="CX2613" t="s">
        <v>534</v>
      </c>
    </row>
    <row r="2614" spans="1:102" x14ac:dyDescent="0.3">
      <c r="A2614" t="str">
        <f>HYPERLINK("https://webapp.icbf.com/v2/app/bull-search/view/720519642","LTK")</f>
        <v>LTK</v>
      </c>
      <c r="B2614" t="s">
        <v>1716</v>
      </c>
      <c r="C2614" t="s">
        <v>1717</v>
      </c>
      <c r="D2614" s="1">
        <v>38290</v>
      </c>
      <c r="E2614" t="s">
        <v>227</v>
      </c>
      <c r="F2614">
        <v>0</v>
      </c>
      <c r="G2614" t="s">
        <v>93</v>
      </c>
      <c r="H2614">
        <v>27.7</v>
      </c>
      <c r="I2614">
        <v>86</v>
      </c>
      <c r="J2614">
        <v>-3.27</v>
      </c>
      <c r="K2614">
        <v>96</v>
      </c>
      <c r="L2614">
        <v>14.95</v>
      </c>
      <c r="M2614">
        <v>90</v>
      </c>
      <c r="N2614">
        <v>10.119999999999999</v>
      </c>
      <c r="O2614">
        <v>75</v>
      </c>
      <c r="P2614">
        <v>-70.239999999999995</v>
      </c>
      <c r="Q2614">
        <v>76</v>
      </c>
      <c r="R2614">
        <v>3</v>
      </c>
      <c r="S2614">
        <v>73</v>
      </c>
      <c r="T2614">
        <v>75.540000000000006</v>
      </c>
      <c r="U2614">
        <v>68</v>
      </c>
      <c r="V2614">
        <v>-2.4</v>
      </c>
      <c r="W2614">
        <v>64</v>
      </c>
      <c r="X2614" t="s">
        <v>94</v>
      </c>
      <c r="Y2614" t="s">
        <v>235</v>
      </c>
      <c r="Z2614">
        <v>0</v>
      </c>
      <c r="AA2614" t="s">
        <v>1718</v>
      </c>
      <c r="AB2614" t="s">
        <v>1719</v>
      </c>
      <c r="AC2614">
        <v>61</v>
      </c>
      <c r="AD2614">
        <v>29</v>
      </c>
      <c r="AE2614">
        <v>96</v>
      </c>
      <c r="AF2614">
        <v>-495.71</v>
      </c>
      <c r="AG2614">
        <v>-1.79</v>
      </c>
      <c r="AH2614">
        <v>-7.51</v>
      </c>
      <c r="AI2614">
        <v>0.33</v>
      </c>
      <c r="AJ2614">
        <v>0.18</v>
      </c>
      <c r="AK2614">
        <v>90</v>
      </c>
      <c r="AL2614">
        <v>57</v>
      </c>
      <c r="AM2614">
        <v>30</v>
      </c>
      <c r="AN2614">
        <v>-0.24</v>
      </c>
      <c r="AO2614">
        <v>0.96</v>
      </c>
      <c r="AP2614">
        <v>53</v>
      </c>
      <c r="AQ2614">
        <v>0</v>
      </c>
      <c r="AR2614">
        <v>3.53</v>
      </c>
      <c r="AS2614">
        <v>67</v>
      </c>
      <c r="AT2614">
        <v>2.04</v>
      </c>
      <c r="AU2614">
        <v>69</v>
      </c>
      <c r="AV2614">
        <v>-2.31</v>
      </c>
      <c r="AW2614">
        <v>92</v>
      </c>
      <c r="AX2614">
        <v>4.6900000000000004</v>
      </c>
      <c r="AY2614">
        <v>71</v>
      </c>
      <c r="AZ2614">
        <v>9.25</v>
      </c>
      <c r="BA2614">
        <v>53</v>
      </c>
      <c r="BB2614">
        <v>6.45</v>
      </c>
      <c r="BC2614">
        <v>47</v>
      </c>
      <c r="BD2614">
        <v>-0.09</v>
      </c>
      <c r="BE2614">
        <v>-0.01</v>
      </c>
      <c r="BF2614">
        <v>0.1</v>
      </c>
      <c r="BG2614">
        <v>85</v>
      </c>
      <c r="BH2614">
        <v>-0.06</v>
      </c>
      <c r="BI2614">
        <v>0.79</v>
      </c>
      <c r="BJ2614">
        <v>15</v>
      </c>
      <c r="BK2614">
        <v>12</v>
      </c>
      <c r="BL2614">
        <v>0.5</v>
      </c>
      <c r="BM2614">
        <v>-1.32</v>
      </c>
      <c r="BN2614">
        <v>1.02</v>
      </c>
      <c r="BO2614">
        <v>2.4500000000000002</v>
      </c>
      <c r="BP2614">
        <v>-1.42</v>
      </c>
      <c r="BQ2614">
        <v>-2.12</v>
      </c>
      <c r="BR2614">
        <v>0.77</v>
      </c>
      <c r="BS2614">
        <v>8.1199999999999992</v>
      </c>
      <c r="BT2614">
        <v>0.37</v>
      </c>
      <c r="BU2614">
        <v>2.31</v>
      </c>
      <c r="BV2614">
        <v>2.13</v>
      </c>
      <c r="BW2614">
        <v>-1.06</v>
      </c>
      <c r="BX2614">
        <v>-0.74</v>
      </c>
      <c r="BY2614">
        <v>1.4</v>
      </c>
      <c r="BZ2614">
        <v>0.27</v>
      </c>
      <c r="CA2614">
        <v>3.66</v>
      </c>
      <c r="CB2614">
        <v>2.2999999999999998</v>
      </c>
      <c r="CC2614">
        <v>4.8600000000000003</v>
      </c>
      <c r="CD2614">
        <v>-2.62</v>
      </c>
      <c r="CE2614">
        <v>2.39</v>
      </c>
      <c r="CF2614">
        <v>1.36</v>
      </c>
      <c r="CG2614">
        <v>0</v>
      </c>
      <c r="CH2614">
        <v>0.12</v>
      </c>
      <c r="CI2614">
        <v>0</v>
      </c>
      <c r="CJ2614">
        <v>-38.700000000000003</v>
      </c>
      <c r="CK2614">
        <v>78</v>
      </c>
      <c r="CL2614">
        <v>-1.39</v>
      </c>
      <c r="CM2614">
        <v>74</v>
      </c>
      <c r="CN2614">
        <v>-0.56999999999999995</v>
      </c>
      <c r="CO2614">
        <v>70</v>
      </c>
      <c r="CP2614">
        <v>-61.1</v>
      </c>
      <c r="CQ2614">
        <v>75</v>
      </c>
      <c r="CR2614">
        <v>0</v>
      </c>
      <c r="CS2614">
        <v>0</v>
      </c>
      <c r="CT2614">
        <v>-88.3</v>
      </c>
      <c r="CU2614">
        <v>68</v>
      </c>
      <c r="CV2614">
        <v>-0.45</v>
      </c>
      <c r="CW2614">
        <v>40</v>
      </c>
      <c r="CX2614" t="s">
        <v>1720</v>
      </c>
    </row>
    <row r="2615" spans="1:102" x14ac:dyDescent="0.3">
      <c r="A2615" t="str">
        <f>HYPERLINK("https://webapp.icbf.com/v2/app/bull-search/view/481115138","RTX")</f>
        <v>RTX</v>
      </c>
      <c r="B2615" t="s">
        <v>7498</v>
      </c>
      <c r="C2615" t="s">
        <v>7499</v>
      </c>
      <c r="D2615" s="1">
        <v>38341</v>
      </c>
      <c r="E2615" t="s">
        <v>92</v>
      </c>
      <c r="F2615">
        <v>100</v>
      </c>
      <c r="G2615" t="s">
        <v>93</v>
      </c>
      <c r="H2615">
        <v>27.42</v>
      </c>
      <c r="I2615">
        <v>92</v>
      </c>
      <c r="J2615">
        <v>8.35</v>
      </c>
      <c r="K2615">
        <v>98</v>
      </c>
      <c r="L2615">
        <v>29.43</v>
      </c>
      <c r="M2615">
        <v>90</v>
      </c>
      <c r="N2615">
        <v>-15.27</v>
      </c>
      <c r="O2615">
        <v>89</v>
      </c>
      <c r="P2615">
        <v>-20.77</v>
      </c>
      <c r="Q2615">
        <v>94</v>
      </c>
      <c r="R2615">
        <v>14.38</v>
      </c>
      <c r="S2615">
        <v>85</v>
      </c>
      <c r="T2615">
        <v>6.5</v>
      </c>
      <c r="U2615">
        <v>89</v>
      </c>
      <c r="V2615">
        <v>4.8</v>
      </c>
      <c r="W2615">
        <v>81</v>
      </c>
      <c r="X2615" t="s">
        <v>276</v>
      </c>
      <c r="Y2615" t="s">
        <v>282</v>
      </c>
      <c r="Z2615" t="s">
        <v>96</v>
      </c>
      <c r="AA2615" t="s">
        <v>1752</v>
      </c>
      <c r="AB2615" t="s">
        <v>7500</v>
      </c>
      <c r="AC2615">
        <v>160</v>
      </c>
      <c r="AD2615">
        <v>71</v>
      </c>
      <c r="AE2615">
        <v>98</v>
      </c>
      <c r="AF2615">
        <v>-0.31</v>
      </c>
      <c r="AG2615">
        <v>-0.24</v>
      </c>
      <c r="AH2615">
        <v>1.5</v>
      </c>
      <c r="AI2615">
        <v>0</v>
      </c>
      <c r="AJ2615">
        <v>0.03</v>
      </c>
      <c r="AK2615">
        <v>90</v>
      </c>
      <c r="AL2615">
        <v>163</v>
      </c>
      <c r="AM2615">
        <v>75</v>
      </c>
      <c r="AN2615">
        <v>0.21</v>
      </c>
      <c r="AO2615">
        <v>2.58</v>
      </c>
      <c r="AP2615">
        <v>323</v>
      </c>
      <c r="AQ2615">
        <v>0</v>
      </c>
      <c r="AR2615">
        <v>9.25</v>
      </c>
      <c r="AS2615">
        <v>83</v>
      </c>
      <c r="AT2615">
        <v>4.08</v>
      </c>
      <c r="AU2615">
        <v>91</v>
      </c>
      <c r="AV2615">
        <v>-0.82</v>
      </c>
      <c r="AW2615">
        <v>95</v>
      </c>
      <c r="AX2615">
        <v>-0.04</v>
      </c>
      <c r="AY2615">
        <v>88</v>
      </c>
      <c r="AZ2615">
        <v>7.43</v>
      </c>
      <c r="BA2615">
        <v>73</v>
      </c>
      <c r="BB2615">
        <v>6.14</v>
      </c>
      <c r="BC2615">
        <v>76</v>
      </c>
      <c r="BD2615">
        <v>-7.0000000000000007E-2</v>
      </c>
      <c r="BE2615">
        <v>-0.06</v>
      </c>
      <c r="BF2615">
        <v>-0.1</v>
      </c>
      <c r="BG2615">
        <v>95</v>
      </c>
      <c r="BH2615">
        <v>0.03</v>
      </c>
      <c r="BI2615">
        <v>-12</v>
      </c>
      <c r="BJ2615">
        <v>43</v>
      </c>
      <c r="BK2615">
        <v>29</v>
      </c>
      <c r="BL2615">
        <v>0.35</v>
      </c>
      <c r="BM2615">
        <v>0.72</v>
      </c>
      <c r="BN2615">
        <v>0.24</v>
      </c>
      <c r="BO2615">
        <v>-0.15</v>
      </c>
      <c r="BP2615">
        <v>-0.7</v>
      </c>
      <c r="BQ2615">
        <v>1.47</v>
      </c>
      <c r="BR2615">
        <v>-0.88</v>
      </c>
      <c r="BS2615">
        <v>0.01</v>
      </c>
      <c r="BT2615">
        <v>-0.21</v>
      </c>
      <c r="BU2615">
        <v>2.4900000000000002</v>
      </c>
      <c r="BV2615">
        <v>1.38</v>
      </c>
      <c r="BW2615">
        <v>0.2</v>
      </c>
      <c r="BX2615">
        <v>2.4300000000000002</v>
      </c>
      <c r="BY2615">
        <v>0.98</v>
      </c>
      <c r="BZ2615">
        <v>-1.35</v>
      </c>
      <c r="CA2615">
        <v>0.87</v>
      </c>
      <c r="CB2615">
        <v>1.26</v>
      </c>
      <c r="CC2615">
        <v>-0.36</v>
      </c>
      <c r="CD2615">
        <v>1.02</v>
      </c>
      <c r="CE2615">
        <v>-0.12</v>
      </c>
      <c r="CF2615">
        <v>0.97</v>
      </c>
      <c r="CG2615">
        <v>0</v>
      </c>
      <c r="CH2615">
        <v>1.1399999999999999</v>
      </c>
      <c r="CI2615">
        <v>0</v>
      </c>
      <c r="CJ2615">
        <v>-9.6</v>
      </c>
      <c r="CK2615">
        <v>95</v>
      </c>
      <c r="CL2615">
        <v>-1.02</v>
      </c>
      <c r="CM2615">
        <v>94</v>
      </c>
      <c r="CN2615">
        <v>-0.28999999999999998</v>
      </c>
      <c r="CO2615">
        <v>93</v>
      </c>
      <c r="CP2615">
        <v>-2.6</v>
      </c>
      <c r="CQ2615">
        <v>92</v>
      </c>
      <c r="CR2615">
        <v>0</v>
      </c>
      <c r="CS2615">
        <v>0</v>
      </c>
      <c r="CT2615">
        <v>5</v>
      </c>
      <c r="CU2615">
        <v>89</v>
      </c>
      <c r="CV2615">
        <v>0.02</v>
      </c>
      <c r="CW2615">
        <v>44</v>
      </c>
      <c r="CX2615" t="s">
        <v>5410</v>
      </c>
    </row>
    <row r="2616" spans="1:102" x14ac:dyDescent="0.3">
      <c r="A2616" t="str">
        <f>HYPERLINK("https://webapp.icbf.com/v2/app/bull-search/view/77855368","MRI")</f>
        <v>MRI</v>
      </c>
      <c r="B2616" t="s">
        <v>3893</v>
      </c>
      <c r="C2616" t="s">
        <v>3894</v>
      </c>
      <c r="D2616" s="1">
        <v>32385</v>
      </c>
      <c r="E2616" t="s">
        <v>108</v>
      </c>
      <c r="F2616">
        <v>25</v>
      </c>
      <c r="G2616" t="s">
        <v>93</v>
      </c>
      <c r="H2616">
        <v>27.34</v>
      </c>
      <c r="I2616">
        <v>84</v>
      </c>
      <c r="J2616">
        <v>-74.540000000000006</v>
      </c>
      <c r="K2616">
        <v>96</v>
      </c>
      <c r="L2616">
        <v>72.88</v>
      </c>
      <c r="M2616">
        <v>75</v>
      </c>
      <c r="N2616">
        <v>18.670000000000002</v>
      </c>
      <c r="O2616">
        <v>75</v>
      </c>
      <c r="P2616">
        <v>-12.22</v>
      </c>
      <c r="Q2616">
        <v>91</v>
      </c>
      <c r="R2616">
        <v>-1.65</v>
      </c>
      <c r="S2616">
        <v>75</v>
      </c>
      <c r="T2616">
        <v>23.74</v>
      </c>
      <c r="U2616">
        <v>89</v>
      </c>
      <c r="V2616">
        <v>0.46</v>
      </c>
      <c r="W2616">
        <v>55</v>
      </c>
      <c r="X2616" t="s">
        <v>94</v>
      </c>
      <c r="Y2616" t="s">
        <v>95</v>
      </c>
      <c r="Z2616" t="s">
        <v>96</v>
      </c>
      <c r="AA2616" t="s">
        <v>823</v>
      </c>
      <c r="AB2616" t="s">
        <v>3895</v>
      </c>
      <c r="AC2616">
        <v>140</v>
      </c>
      <c r="AD2616">
        <v>73</v>
      </c>
      <c r="AE2616">
        <v>96</v>
      </c>
      <c r="AF2616">
        <v>-425.08</v>
      </c>
      <c r="AG2616">
        <v>-17.170000000000002</v>
      </c>
      <c r="AH2616">
        <v>-13.11</v>
      </c>
      <c r="AI2616">
        <v>-0.01</v>
      </c>
      <c r="AJ2616">
        <v>0.03</v>
      </c>
      <c r="AK2616">
        <v>75</v>
      </c>
      <c r="AL2616">
        <v>233</v>
      </c>
      <c r="AM2616">
        <v>116</v>
      </c>
      <c r="AN2616">
        <v>-3.38</v>
      </c>
      <c r="AO2616">
        <v>2.44</v>
      </c>
      <c r="AP2616">
        <v>53</v>
      </c>
      <c r="AQ2616">
        <v>1</v>
      </c>
      <c r="AR2616">
        <v>7.61</v>
      </c>
      <c r="AS2616">
        <v>55</v>
      </c>
      <c r="AT2616">
        <v>2.8</v>
      </c>
      <c r="AU2616">
        <v>73</v>
      </c>
      <c r="AV2616">
        <v>-1.75</v>
      </c>
      <c r="AW2616">
        <v>83</v>
      </c>
      <c r="AX2616">
        <v>-0.69</v>
      </c>
      <c r="AY2616">
        <v>87</v>
      </c>
      <c r="AZ2616">
        <v>6.08</v>
      </c>
      <c r="BA2616">
        <v>45</v>
      </c>
      <c r="BB2616">
        <v>5.0599999999999996</v>
      </c>
      <c r="BC2616">
        <v>64</v>
      </c>
      <c r="BD2616">
        <v>0</v>
      </c>
      <c r="BE2616">
        <v>0.02</v>
      </c>
      <c r="BF2616">
        <v>0</v>
      </c>
      <c r="BG2616">
        <v>89</v>
      </c>
      <c r="BH2616">
        <v>-0.03</v>
      </c>
      <c r="BI2616">
        <v>-4.97</v>
      </c>
      <c r="BJ2616">
        <v>0</v>
      </c>
      <c r="BK2616">
        <v>0</v>
      </c>
      <c r="BL2616">
        <v>-2.14</v>
      </c>
      <c r="BM2616">
        <v>1.79</v>
      </c>
      <c r="BN2616">
        <v>-1.29</v>
      </c>
      <c r="BO2616">
        <v>-2.21</v>
      </c>
      <c r="BP2616">
        <v>0.05</v>
      </c>
      <c r="BQ2616">
        <v>1.38</v>
      </c>
      <c r="BR2616">
        <v>-0.75</v>
      </c>
      <c r="BS2616">
        <v>0.55000000000000004</v>
      </c>
      <c r="BT2616">
        <v>-0.01</v>
      </c>
      <c r="BU2616">
        <v>-0.69</v>
      </c>
      <c r="BV2616">
        <v>-1.44</v>
      </c>
      <c r="BW2616">
        <v>-1.04</v>
      </c>
      <c r="BX2616">
        <v>-7.0000000000000007E-2</v>
      </c>
      <c r="BY2616">
        <v>0.01</v>
      </c>
      <c r="BZ2616">
        <v>-0.55000000000000004</v>
      </c>
      <c r="CA2616">
        <v>-1.1299999999999999</v>
      </c>
      <c r="CB2616">
        <v>-1.23</v>
      </c>
      <c r="CC2616">
        <v>-0.45</v>
      </c>
      <c r="CD2616">
        <v>2.13</v>
      </c>
      <c r="CE2616">
        <v>-2.31</v>
      </c>
      <c r="CF2616">
        <v>-1.4</v>
      </c>
      <c r="CG2616">
        <v>0</v>
      </c>
      <c r="CH2616">
        <v>-0.54</v>
      </c>
      <c r="CI2616">
        <v>0</v>
      </c>
      <c r="CJ2616">
        <v>-5.9</v>
      </c>
      <c r="CK2616">
        <v>92</v>
      </c>
      <c r="CL2616">
        <v>-0.18</v>
      </c>
      <c r="CM2616">
        <v>90</v>
      </c>
      <c r="CN2616">
        <v>0</v>
      </c>
      <c r="CO2616">
        <v>89</v>
      </c>
      <c r="CP2616">
        <v>-14.8</v>
      </c>
      <c r="CQ2616">
        <v>92</v>
      </c>
      <c r="CR2616">
        <v>0</v>
      </c>
      <c r="CS2616">
        <v>0</v>
      </c>
      <c r="CT2616">
        <v>-18.3</v>
      </c>
      <c r="CU2616">
        <v>89</v>
      </c>
      <c r="CV2616">
        <v>-0.09</v>
      </c>
      <c r="CW2616">
        <v>26</v>
      </c>
      <c r="CX2616" t="s">
        <v>622</v>
      </c>
    </row>
    <row r="2617" spans="1:102" x14ac:dyDescent="0.3">
      <c r="A2617" t="str">
        <f>HYPERLINK("https://webapp.icbf.com/v2/app/bull-search/view/943541930","S1259")</f>
        <v>S1259</v>
      </c>
      <c r="B2617" t="s">
        <v>7146</v>
      </c>
      <c r="C2617" t="s">
        <v>7147</v>
      </c>
      <c r="D2617" s="1">
        <v>39415</v>
      </c>
      <c r="E2617" t="s">
        <v>140</v>
      </c>
      <c r="F2617">
        <v>0</v>
      </c>
      <c r="G2617" t="s">
        <v>93</v>
      </c>
      <c r="H2617">
        <v>27.22</v>
      </c>
      <c r="I2617">
        <v>90</v>
      </c>
      <c r="J2617">
        <v>20.95</v>
      </c>
      <c r="K2617">
        <v>98</v>
      </c>
      <c r="L2617">
        <v>2.17</v>
      </c>
      <c r="M2617">
        <v>82</v>
      </c>
      <c r="N2617">
        <v>-9.09</v>
      </c>
      <c r="O2617">
        <v>93</v>
      </c>
      <c r="P2617">
        <v>21.5</v>
      </c>
      <c r="Q2617">
        <v>97</v>
      </c>
      <c r="R2617">
        <v>0.28999999999999998</v>
      </c>
      <c r="S2617">
        <v>83</v>
      </c>
      <c r="T2617">
        <v>-1.05</v>
      </c>
      <c r="U2617">
        <v>87</v>
      </c>
      <c r="V2617">
        <v>-7.55</v>
      </c>
      <c r="W2617">
        <v>78</v>
      </c>
      <c r="X2617" t="s">
        <v>102</v>
      </c>
      <c r="Y2617" t="s">
        <v>342</v>
      </c>
      <c r="Z2617">
        <v>0</v>
      </c>
      <c r="AA2617" t="s">
        <v>2101</v>
      </c>
      <c r="AB2617" t="s">
        <v>7148</v>
      </c>
      <c r="AC2617">
        <v>309</v>
      </c>
      <c r="AD2617">
        <v>63</v>
      </c>
      <c r="AE2617">
        <v>98</v>
      </c>
      <c r="AF2617">
        <v>101.1</v>
      </c>
      <c r="AG2617">
        <v>0.37</v>
      </c>
      <c r="AH2617">
        <v>4.9800000000000004</v>
      </c>
      <c r="AI2617">
        <v>-0.06</v>
      </c>
      <c r="AJ2617">
        <v>0.03</v>
      </c>
      <c r="AK2617">
        <v>82</v>
      </c>
      <c r="AL2617">
        <v>256</v>
      </c>
      <c r="AM2617">
        <v>69</v>
      </c>
      <c r="AN2617">
        <v>-0.34</v>
      </c>
      <c r="AO2617">
        <v>-0.17</v>
      </c>
      <c r="AP2617">
        <v>1174</v>
      </c>
      <c r="AQ2617">
        <v>9</v>
      </c>
      <c r="AR2617">
        <v>7.86</v>
      </c>
      <c r="AS2617">
        <v>93</v>
      </c>
      <c r="AT2617">
        <v>4.34</v>
      </c>
      <c r="AU2617">
        <v>96</v>
      </c>
      <c r="AV2617">
        <v>-0.73</v>
      </c>
      <c r="AW2617">
        <v>99</v>
      </c>
      <c r="AX2617">
        <v>0.44</v>
      </c>
      <c r="AY2617">
        <v>95</v>
      </c>
      <c r="AZ2617">
        <v>7.89</v>
      </c>
      <c r="BA2617">
        <v>84</v>
      </c>
      <c r="BB2617">
        <v>4.83</v>
      </c>
      <c r="BC2617">
        <v>68</v>
      </c>
      <c r="BD2617">
        <v>0.05</v>
      </c>
      <c r="BE2617">
        <v>0</v>
      </c>
      <c r="BF2617">
        <v>-0.09</v>
      </c>
      <c r="BG2617">
        <v>93</v>
      </c>
      <c r="BH2617">
        <v>-0.4</v>
      </c>
      <c r="BI2617">
        <v>-21.92</v>
      </c>
      <c r="BJ2617">
        <v>0</v>
      </c>
      <c r="BK2617">
        <v>0</v>
      </c>
      <c r="BL2617">
        <v>-0.78</v>
      </c>
      <c r="BM2617">
        <v>3.46</v>
      </c>
      <c r="BN2617">
        <v>-1.66</v>
      </c>
      <c r="BO2617">
        <v>-2.97</v>
      </c>
      <c r="BP2617">
        <v>4.3499999999999996</v>
      </c>
      <c r="BQ2617">
        <v>-2.0099999999999998</v>
      </c>
      <c r="BR2617">
        <v>-2.64</v>
      </c>
      <c r="BS2617">
        <v>-0.41</v>
      </c>
      <c r="BT2617">
        <v>2.5</v>
      </c>
      <c r="BU2617">
        <v>-3.3</v>
      </c>
      <c r="BV2617">
        <v>-3.73</v>
      </c>
      <c r="BW2617">
        <v>-2.86</v>
      </c>
      <c r="BX2617">
        <v>-2.68</v>
      </c>
      <c r="BY2617">
        <v>-2.06</v>
      </c>
      <c r="BZ2617">
        <v>1.32</v>
      </c>
      <c r="CA2617">
        <v>-2.35</v>
      </c>
      <c r="CB2617">
        <v>-3.04</v>
      </c>
      <c r="CC2617">
        <v>-0.33</v>
      </c>
      <c r="CD2617">
        <v>3.88</v>
      </c>
      <c r="CE2617">
        <v>-2.91</v>
      </c>
      <c r="CF2617">
        <v>-1.07</v>
      </c>
      <c r="CG2617">
        <v>0</v>
      </c>
      <c r="CH2617">
        <v>-2.34</v>
      </c>
      <c r="CI2617">
        <v>0</v>
      </c>
      <c r="CJ2617">
        <v>10.199999999999999</v>
      </c>
      <c r="CK2617">
        <v>98</v>
      </c>
      <c r="CL2617">
        <v>0.22</v>
      </c>
      <c r="CM2617">
        <v>97</v>
      </c>
      <c r="CN2617">
        <v>-0.32</v>
      </c>
      <c r="CO2617">
        <v>97</v>
      </c>
      <c r="CP2617">
        <v>9.4</v>
      </c>
      <c r="CQ2617">
        <v>87</v>
      </c>
      <c r="CR2617">
        <v>0</v>
      </c>
      <c r="CS2617">
        <v>0</v>
      </c>
      <c r="CT2617">
        <v>15.2</v>
      </c>
      <c r="CU2617">
        <v>87</v>
      </c>
      <c r="CV2617">
        <v>0.23</v>
      </c>
      <c r="CW2617">
        <v>49</v>
      </c>
      <c r="CX2617" t="s">
        <v>1808</v>
      </c>
    </row>
    <row r="2618" spans="1:102" x14ac:dyDescent="0.3">
      <c r="A2618" t="str">
        <f>HYPERLINK("https://webapp.icbf.com/v2/app/bull-search/view/82546871","CWW")</f>
        <v>CWW</v>
      </c>
      <c r="B2618" t="s">
        <v>11144</v>
      </c>
      <c r="C2618" t="s">
        <v>11145</v>
      </c>
      <c r="D2618" s="1">
        <v>32470</v>
      </c>
      <c r="E2618" t="s">
        <v>92</v>
      </c>
      <c r="F2618">
        <v>50</v>
      </c>
      <c r="G2618" t="s">
        <v>93</v>
      </c>
      <c r="H2618">
        <v>27.19</v>
      </c>
      <c r="I2618">
        <v>79</v>
      </c>
      <c r="J2618">
        <v>-33.6</v>
      </c>
      <c r="K2618">
        <v>93</v>
      </c>
      <c r="L2618">
        <v>25.65</v>
      </c>
      <c r="M2618">
        <v>70</v>
      </c>
      <c r="N2618">
        <v>27.84</v>
      </c>
      <c r="O2618">
        <v>67</v>
      </c>
      <c r="P2618">
        <v>-14.87</v>
      </c>
      <c r="Q2618">
        <v>90</v>
      </c>
      <c r="R2618">
        <v>-5.44</v>
      </c>
      <c r="S2618">
        <v>67</v>
      </c>
      <c r="T2618">
        <v>28.03</v>
      </c>
      <c r="U2618">
        <v>92</v>
      </c>
      <c r="V2618">
        <v>-0.42</v>
      </c>
      <c r="W2618">
        <v>33</v>
      </c>
      <c r="X2618" t="s">
        <v>94</v>
      </c>
      <c r="Y2618" t="s">
        <v>95</v>
      </c>
      <c r="Z2618" t="s">
        <v>96</v>
      </c>
      <c r="AA2618" t="s">
        <v>11146</v>
      </c>
      <c r="AB2618" t="s">
        <v>11147</v>
      </c>
      <c r="AC2618">
        <v>75</v>
      </c>
      <c r="AD2618">
        <v>41</v>
      </c>
      <c r="AE2618">
        <v>93</v>
      </c>
      <c r="AF2618">
        <v>-23.74</v>
      </c>
      <c r="AG2618">
        <v>-5.25</v>
      </c>
      <c r="AH2618">
        <v>-4.22</v>
      </c>
      <c r="AI2618">
        <v>-7.0000000000000007E-2</v>
      </c>
      <c r="AJ2618">
        <v>-0.06</v>
      </c>
      <c r="AK2618">
        <v>70</v>
      </c>
      <c r="AL2618">
        <v>145</v>
      </c>
      <c r="AM2618">
        <v>83</v>
      </c>
      <c r="AN2618">
        <v>-2.61</v>
      </c>
      <c r="AO2618">
        <v>-0.57999999999999996</v>
      </c>
      <c r="AP2618">
        <v>4</v>
      </c>
      <c r="AQ2618">
        <v>0</v>
      </c>
      <c r="AR2618">
        <v>4.82</v>
      </c>
      <c r="AS2618">
        <v>31</v>
      </c>
      <c r="AT2618">
        <v>2.02</v>
      </c>
      <c r="AU2618">
        <v>61</v>
      </c>
      <c r="AV2618">
        <v>-1.1399999999999999</v>
      </c>
      <c r="AW2618">
        <v>79</v>
      </c>
      <c r="AX2618">
        <v>-0.43</v>
      </c>
      <c r="AY2618">
        <v>84</v>
      </c>
      <c r="AZ2618">
        <v>5.73</v>
      </c>
      <c r="BA2618">
        <v>32</v>
      </c>
      <c r="BB2618">
        <v>4.57</v>
      </c>
      <c r="BC2618">
        <v>58</v>
      </c>
      <c r="BD2618">
        <v>0.03</v>
      </c>
      <c r="BE2618">
        <v>0.05</v>
      </c>
      <c r="BF2618">
        <v>-0.02</v>
      </c>
      <c r="BG2618">
        <v>85</v>
      </c>
      <c r="BH2618">
        <v>0.1</v>
      </c>
      <c r="BI2618">
        <v>12.91</v>
      </c>
      <c r="BJ2618">
        <v>9</v>
      </c>
      <c r="BK2618">
        <v>8</v>
      </c>
      <c r="BL2618">
        <v>-1.6</v>
      </c>
      <c r="BM2618">
        <v>1.53</v>
      </c>
      <c r="BN2618">
        <v>-1.01</v>
      </c>
      <c r="BO2618">
        <v>-1.66</v>
      </c>
      <c r="BP2618">
        <v>1.27</v>
      </c>
      <c r="BQ2618">
        <v>-0.14000000000000001</v>
      </c>
      <c r="BR2618">
        <v>-0.84</v>
      </c>
      <c r="BS2618">
        <v>0.37</v>
      </c>
      <c r="BT2618">
        <v>0.59</v>
      </c>
      <c r="BU2618">
        <v>-0.99</v>
      </c>
      <c r="BV2618">
        <v>-1.71</v>
      </c>
      <c r="BW2618">
        <v>-1.91</v>
      </c>
      <c r="BX2618">
        <v>-1.02</v>
      </c>
      <c r="BY2618">
        <v>-0.13</v>
      </c>
      <c r="BZ2618">
        <v>-1.2</v>
      </c>
      <c r="CA2618">
        <v>-0.9</v>
      </c>
      <c r="CB2618">
        <v>-1.1200000000000001</v>
      </c>
      <c r="CC2618">
        <v>-0.11</v>
      </c>
      <c r="CD2618">
        <v>2.13</v>
      </c>
      <c r="CE2618">
        <v>-1.1299999999999999</v>
      </c>
      <c r="CF2618">
        <v>-1.39</v>
      </c>
      <c r="CG2618">
        <v>0</v>
      </c>
      <c r="CH2618">
        <v>-2.02</v>
      </c>
      <c r="CI2618">
        <v>0</v>
      </c>
      <c r="CJ2618">
        <v>-7</v>
      </c>
      <c r="CK2618">
        <v>91</v>
      </c>
      <c r="CL2618">
        <v>-0.33</v>
      </c>
      <c r="CM2618">
        <v>89</v>
      </c>
      <c r="CN2618">
        <v>-0.11</v>
      </c>
      <c r="CO2618">
        <v>88</v>
      </c>
      <c r="CP2618">
        <v>-20.6</v>
      </c>
      <c r="CQ2618">
        <v>92</v>
      </c>
      <c r="CR2618">
        <v>0</v>
      </c>
      <c r="CS2618">
        <v>0</v>
      </c>
      <c r="CT2618">
        <v>-24.1</v>
      </c>
      <c r="CU2618">
        <v>92</v>
      </c>
      <c r="CV2618">
        <v>-0.03</v>
      </c>
      <c r="CW2618">
        <v>26</v>
      </c>
      <c r="CX2618" t="s">
        <v>853</v>
      </c>
    </row>
    <row r="2619" spans="1:102" x14ac:dyDescent="0.3">
      <c r="A2619" t="str">
        <f>HYPERLINK("https://webapp.icbf.com/v2/app/bull-search/view/744815112","RBJ")</f>
        <v>RBJ</v>
      </c>
      <c r="B2619" t="s">
        <v>5322</v>
      </c>
      <c r="C2619" t="s">
        <v>5323</v>
      </c>
      <c r="D2619" s="1">
        <v>40189</v>
      </c>
      <c r="E2619" t="s">
        <v>108</v>
      </c>
      <c r="F2619">
        <v>13</v>
      </c>
      <c r="G2619" t="s">
        <v>93</v>
      </c>
      <c r="H2619">
        <v>27.17</v>
      </c>
      <c r="I2619">
        <v>93</v>
      </c>
      <c r="J2619">
        <v>-29.02</v>
      </c>
      <c r="K2619">
        <v>99</v>
      </c>
      <c r="L2619">
        <v>39.93</v>
      </c>
      <c r="M2619">
        <v>87</v>
      </c>
      <c r="N2619">
        <v>26.04</v>
      </c>
      <c r="O2619">
        <v>95</v>
      </c>
      <c r="P2619">
        <v>-3.47</v>
      </c>
      <c r="Q2619">
        <v>98</v>
      </c>
      <c r="R2619">
        <v>5.63</v>
      </c>
      <c r="S2619">
        <v>87</v>
      </c>
      <c r="T2619">
        <v>1.17</v>
      </c>
      <c r="U2619">
        <v>95</v>
      </c>
      <c r="V2619">
        <v>-13.11</v>
      </c>
      <c r="W2619">
        <v>77</v>
      </c>
      <c r="X2619" t="s">
        <v>251</v>
      </c>
      <c r="Y2619" t="s">
        <v>1775</v>
      </c>
      <c r="Z2619" t="s">
        <v>96</v>
      </c>
      <c r="AA2619" t="s">
        <v>5324</v>
      </c>
      <c r="AB2619" t="s">
        <v>5325</v>
      </c>
      <c r="AC2619">
        <v>491</v>
      </c>
      <c r="AD2619">
        <v>132</v>
      </c>
      <c r="AE2619">
        <v>99</v>
      </c>
      <c r="AF2619">
        <v>-322.27</v>
      </c>
      <c r="AG2619">
        <v>-7.91</v>
      </c>
      <c r="AH2619">
        <v>-7.07</v>
      </c>
      <c r="AI2619">
        <v>0.09</v>
      </c>
      <c r="AJ2619">
        <v>7.0000000000000007E-2</v>
      </c>
      <c r="AK2619">
        <v>87</v>
      </c>
      <c r="AL2619">
        <v>513</v>
      </c>
      <c r="AM2619">
        <v>150</v>
      </c>
      <c r="AN2619">
        <v>-3.31</v>
      </c>
      <c r="AO2619">
        <v>-0.14000000000000001</v>
      </c>
      <c r="AP2619">
        <v>849</v>
      </c>
      <c r="AQ2619">
        <v>15</v>
      </c>
      <c r="AR2619">
        <v>6.47</v>
      </c>
      <c r="AS2619">
        <v>93</v>
      </c>
      <c r="AT2619">
        <v>2.58</v>
      </c>
      <c r="AU2619">
        <v>96</v>
      </c>
      <c r="AV2619">
        <v>-2</v>
      </c>
      <c r="AW2619">
        <v>99</v>
      </c>
      <c r="AX2619">
        <v>-0.73</v>
      </c>
      <c r="AY2619">
        <v>96</v>
      </c>
      <c r="AZ2619">
        <v>6.37</v>
      </c>
      <c r="BA2619">
        <v>88</v>
      </c>
      <c r="BB2619">
        <v>4.82</v>
      </c>
      <c r="BC2619">
        <v>85</v>
      </c>
      <c r="BD2619">
        <v>-0.02</v>
      </c>
      <c r="BE2619">
        <v>-0.04</v>
      </c>
      <c r="BF2619">
        <v>-0.02</v>
      </c>
      <c r="BG2619">
        <v>97</v>
      </c>
      <c r="BH2619">
        <v>-0.33</v>
      </c>
      <c r="BI2619">
        <v>4.1100000000000003</v>
      </c>
      <c r="BJ2619">
        <v>85</v>
      </c>
      <c r="BK2619">
        <v>27</v>
      </c>
      <c r="BL2619">
        <v>-1.97</v>
      </c>
      <c r="BM2619">
        <v>3.65</v>
      </c>
      <c r="BN2619">
        <v>-1.79</v>
      </c>
      <c r="BO2619">
        <v>-3.52</v>
      </c>
      <c r="BP2619">
        <v>-1.54</v>
      </c>
      <c r="BQ2619">
        <v>3.32</v>
      </c>
      <c r="BR2619">
        <v>0.28999999999999998</v>
      </c>
      <c r="BS2619">
        <v>-3.63</v>
      </c>
      <c r="BT2619">
        <v>-0.96</v>
      </c>
      <c r="BU2619">
        <v>-1.38</v>
      </c>
      <c r="BV2619">
        <v>-2.4500000000000002</v>
      </c>
      <c r="BW2619">
        <v>-2.65</v>
      </c>
      <c r="BX2619">
        <v>-1.37</v>
      </c>
      <c r="BY2619">
        <v>-2.88</v>
      </c>
      <c r="BZ2619">
        <v>-3.22</v>
      </c>
      <c r="CA2619">
        <v>-2.8</v>
      </c>
      <c r="CB2619">
        <v>-2.35</v>
      </c>
      <c r="CC2619">
        <v>-2.79</v>
      </c>
      <c r="CD2619">
        <v>3.68</v>
      </c>
      <c r="CE2619">
        <v>-2.69</v>
      </c>
      <c r="CF2619">
        <v>-0.66</v>
      </c>
      <c r="CG2619">
        <v>0</v>
      </c>
      <c r="CH2619">
        <v>-2.8</v>
      </c>
      <c r="CI2619">
        <v>0</v>
      </c>
      <c r="CJ2619">
        <v>-0.5</v>
      </c>
      <c r="CK2619">
        <v>99</v>
      </c>
      <c r="CL2619">
        <v>-0.28999999999999998</v>
      </c>
      <c r="CM2619">
        <v>98</v>
      </c>
      <c r="CN2619">
        <v>0</v>
      </c>
      <c r="CO2619">
        <v>98</v>
      </c>
      <c r="CP2619">
        <v>1.4</v>
      </c>
      <c r="CQ2619">
        <v>95</v>
      </c>
      <c r="CR2619">
        <v>0</v>
      </c>
      <c r="CS2619">
        <v>0</v>
      </c>
      <c r="CT2619">
        <v>12.2</v>
      </c>
      <c r="CU2619">
        <v>95</v>
      </c>
      <c r="CV2619">
        <v>0.1</v>
      </c>
      <c r="CW2619">
        <v>46</v>
      </c>
      <c r="CX2619" t="s">
        <v>5326</v>
      </c>
    </row>
    <row r="2620" spans="1:102" x14ac:dyDescent="0.3">
      <c r="A2620" t="str">
        <f>HYPERLINK("https://webapp.icbf.com/v2/app/bull-search/view/491295336","S461")</f>
        <v>S461</v>
      </c>
      <c r="B2620" t="s">
        <v>12268</v>
      </c>
      <c r="C2620" t="s">
        <v>12269</v>
      </c>
      <c r="D2620" s="1">
        <v>37498</v>
      </c>
      <c r="E2620" t="s">
        <v>227</v>
      </c>
      <c r="F2620">
        <v>0</v>
      </c>
      <c r="G2620" t="s">
        <v>109</v>
      </c>
      <c r="H2620">
        <v>27.16</v>
      </c>
      <c r="I2620">
        <v>80</v>
      </c>
      <c r="J2620">
        <v>-62.86</v>
      </c>
      <c r="K2620">
        <v>92</v>
      </c>
      <c r="L2620">
        <v>71.819999999999993</v>
      </c>
      <c r="M2620">
        <v>83</v>
      </c>
      <c r="N2620">
        <v>13.38</v>
      </c>
      <c r="O2620">
        <v>63</v>
      </c>
      <c r="P2620">
        <v>-76.349999999999994</v>
      </c>
      <c r="Q2620">
        <v>64</v>
      </c>
      <c r="R2620">
        <v>10.36</v>
      </c>
      <c r="S2620">
        <v>67</v>
      </c>
      <c r="T2620">
        <v>70.209999999999994</v>
      </c>
      <c r="U2620">
        <v>67</v>
      </c>
      <c r="V2620">
        <v>0.6</v>
      </c>
      <c r="W2620">
        <v>59</v>
      </c>
      <c r="X2620" t="s">
        <v>251</v>
      </c>
      <c r="Y2620" t="s">
        <v>199</v>
      </c>
      <c r="Z2620">
        <v>0</v>
      </c>
      <c r="AA2620" t="s">
        <v>8479</v>
      </c>
      <c r="AB2620" t="s">
        <v>12270</v>
      </c>
      <c r="AC2620">
        <v>0</v>
      </c>
      <c r="AD2620">
        <v>0</v>
      </c>
      <c r="AE2620">
        <v>92</v>
      </c>
      <c r="AF2620">
        <v>-702.99</v>
      </c>
      <c r="AG2620">
        <v>-8.48</v>
      </c>
      <c r="AH2620">
        <v>-18.45</v>
      </c>
      <c r="AI2620">
        <v>0.38</v>
      </c>
      <c r="AJ2620">
        <v>0.11</v>
      </c>
      <c r="AK2620">
        <v>83</v>
      </c>
      <c r="AL2620">
        <v>0</v>
      </c>
      <c r="AM2620">
        <v>0</v>
      </c>
      <c r="AN2620">
        <v>-2.96</v>
      </c>
      <c r="AO2620">
        <v>2.78</v>
      </c>
      <c r="AP2620">
        <v>22</v>
      </c>
      <c r="AQ2620">
        <v>0</v>
      </c>
      <c r="AR2620">
        <v>4.68</v>
      </c>
      <c r="AS2620">
        <v>57</v>
      </c>
      <c r="AT2620">
        <v>2.4</v>
      </c>
      <c r="AU2620">
        <v>61</v>
      </c>
      <c r="AV2620">
        <v>-1.24</v>
      </c>
      <c r="AW2620">
        <v>77</v>
      </c>
      <c r="AX2620">
        <v>0.84</v>
      </c>
      <c r="AY2620">
        <v>57</v>
      </c>
      <c r="AZ2620">
        <v>8.51</v>
      </c>
      <c r="BA2620">
        <v>39</v>
      </c>
      <c r="BB2620">
        <v>5.64</v>
      </c>
      <c r="BC2620">
        <v>41</v>
      </c>
      <c r="BD2620">
        <v>-0.11</v>
      </c>
      <c r="BE2620">
        <v>-0.05</v>
      </c>
      <c r="BF2620">
        <v>0.04</v>
      </c>
      <c r="BG2620">
        <v>77</v>
      </c>
      <c r="BH2620">
        <v>0.09</v>
      </c>
      <c r="BI2620">
        <v>8.49</v>
      </c>
      <c r="BJ2620">
        <v>5</v>
      </c>
      <c r="BK2620">
        <v>1</v>
      </c>
      <c r="BL2620">
        <v>-0.27</v>
      </c>
      <c r="BM2620">
        <v>-2.3199999999999998</v>
      </c>
      <c r="BN2620">
        <v>0</v>
      </c>
      <c r="BO2620">
        <v>2.17</v>
      </c>
      <c r="BP2620">
        <v>0.34</v>
      </c>
      <c r="BQ2620">
        <v>-4.1399999999999997</v>
      </c>
      <c r="BR2620">
        <v>1.58</v>
      </c>
      <c r="BS2620">
        <v>6.57</v>
      </c>
      <c r="BT2620">
        <v>-0.84</v>
      </c>
      <c r="BU2620">
        <v>1.47</v>
      </c>
      <c r="BV2620">
        <v>1.55</v>
      </c>
      <c r="BW2620">
        <v>-0.89</v>
      </c>
      <c r="BX2620">
        <v>-1.33</v>
      </c>
      <c r="BY2620">
        <v>1.06</v>
      </c>
      <c r="BZ2620">
        <v>-0.13</v>
      </c>
      <c r="CA2620">
        <v>3.1</v>
      </c>
      <c r="CB2620">
        <v>1.71</v>
      </c>
      <c r="CC2620">
        <v>4.53</v>
      </c>
      <c r="CD2620">
        <v>-2.54</v>
      </c>
      <c r="CE2620">
        <v>1.96</v>
      </c>
      <c r="CF2620">
        <v>0.01</v>
      </c>
      <c r="CG2620">
        <v>0</v>
      </c>
      <c r="CH2620">
        <v>0.66</v>
      </c>
      <c r="CI2620">
        <v>0</v>
      </c>
      <c r="CJ2620">
        <v>-41.5</v>
      </c>
      <c r="CK2620">
        <v>66</v>
      </c>
      <c r="CL2620">
        <v>-1.44</v>
      </c>
      <c r="CM2620">
        <v>61</v>
      </c>
      <c r="CN2620">
        <v>-0.31</v>
      </c>
      <c r="CO2620">
        <v>58</v>
      </c>
      <c r="CP2620">
        <v>-52.3</v>
      </c>
      <c r="CQ2620">
        <v>64</v>
      </c>
      <c r="CR2620">
        <v>0</v>
      </c>
      <c r="CS2620">
        <v>0</v>
      </c>
      <c r="CT2620">
        <v>-81.099999999999994</v>
      </c>
      <c r="CU2620">
        <v>67</v>
      </c>
      <c r="CV2620">
        <v>-0.24</v>
      </c>
      <c r="CW2620">
        <v>38</v>
      </c>
      <c r="CX2620" t="s">
        <v>7005</v>
      </c>
    </row>
    <row r="2621" spans="1:102" x14ac:dyDescent="0.3">
      <c r="A2621" t="str">
        <f>HYPERLINK("https://webapp.icbf.com/v2/app/bull-search/view/1017430389","S1433")</f>
        <v>S1433</v>
      </c>
      <c r="B2621" t="s">
        <v>5627</v>
      </c>
      <c r="C2621" t="s">
        <v>5628</v>
      </c>
      <c r="D2621" s="1">
        <v>40219</v>
      </c>
      <c r="E2621" t="s">
        <v>92</v>
      </c>
      <c r="F2621">
        <v>100</v>
      </c>
      <c r="G2621" t="s">
        <v>109</v>
      </c>
      <c r="H2621">
        <v>27</v>
      </c>
      <c r="I2621">
        <v>75</v>
      </c>
      <c r="J2621">
        <v>62</v>
      </c>
      <c r="K2621">
        <v>90</v>
      </c>
      <c r="L2621">
        <v>-27.01</v>
      </c>
      <c r="M2621">
        <v>80</v>
      </c>
      <c r="N2621">
        <v>4.3</v>
      </c>
      <c r="O2621">
        <v>60</v>
      </c>
      <c r="P2621">
        <v>-10.4</v>
      </c>
      <c r="Q2621">
        <v>56</v>
      </c>
      <c r="R2621">
        <v>6.74</v>
      </c>
      <c r="S2621">
        <v>71</v>
      </c>
      <c r="T2621">
        <v>-5.19</v>
      </c>
      <c r="U2621">
        <v>47</v>
      </c>
      <c r="V2621">
        <v>-3.44</v>
      </c>
      <c r="W2621">
        <v>52</v>
      </c>
      <c r="X2621" t="s">
        <v>102</v>
      </c>
      <c r="Y2621" t="s">
        <v>342</v>
      </c>
      <c r="Z2621" t="s">
        <v>96</v>
      </c>
      <c r="AA2621" t="s">
        <v>1791</v>
      </c>
      <c r="AB2621" t="s">
        <v>5629</v>
      </c>
      <c r="AC2621">
        <v>0</v>
      </c>
      <c r="AD2621">
        <v>0</v>
      </c>
      <c r="AE2621">
        <v>90</v>
      </c>
      <c r="AF2621">
        <v>157.72</v>
      </c>
      <c r="AG2621">
        <v>12.46</v>
      </c>
      <c r="AH2621">
        <v>8.5500000000000007</v>
      </c>
      <c r="AI2621">
        <v>0.11</v>
      </c>
      <c r="AJ2621">
        <v>0.05</v>
      </c>
      <c r="AK2621">
        <v>80</v>
      </c>
      <c r="AL2621">
        <v>0</v>
      </c>
      <c r="AM2621">
        <v>0</v>
      </c>
      <c r="AN2621">
        <v>3.34</v>
      </c>
      <c r="AO2621">
        <v>1.21</v>
      </c>
      <c r="AP2621">
        <v>3</v>
      </c>
      <c r="AQ2621">
        <v>1</v>
      </c>
      <c r="AR2621">
        <v>9.08</v>
      </c>
      <c r="AS2621">
        <v>56</v>
      </c>
      <c r="AT2621">
        <v>3.45</v>
      </c>
      <c r="AU2621">
        <v>86</v>
      </c>
      <c r="AV2621">
        <v>-1.43</v>
      </c>
      <c r="AW2621">
        <v>55</v>
      </c>
      <c r="AX2621">
        <v>-0.15</v>
      </c>
      <c r="AY2621">
        <v>50</v>
      </c>
      <c r="AZ2621">
        <v>6.07</v>
      </c>
      <c r="BA2621">
        <v>41</v>
      </c>
      <c r="BB2621">
        <v>5.19</v>
      </c>
      <c r="BC2621">
        <v>40</v>
      </c>
      <c r="BD2621">
        <v>-0.06</v>
      </c>
      <c r="BE2621">
        <v>-0.05</v>
      </c>
      <c r="BF2621">
        <v>0.04</v>
      </c>
      <c r="BG2621">
        <v>90</v>
      </c>
      <c r="BH2621">
        <v>-0.13</v>
      </c>
      <c r="BI2621">
        <v>-3.95</v>
      </c>
      <c r="BJ2621">
        <v>0</v>
      </c>
      <c r="BK2621">
        <v>0</v>
      </c>
      <c r="BL2621">
        <v>0.38</v>
      </c>
      <c r="BM2621">
        <v>-2.09</v>
      </c>
      <c r="BN2621">
        <v>-0.09</v>
      </c>
      <c r="BO2621">
        <v>0.95</v>
      </c>
      <c r="BP2621">
        <v>-0.55000000000000004</v>
      </c>
      <c r="BQ2621">
        <v>0.89</v>
      </c>
      <c r="BR2621">
        <v>-0.52</v>
      </c>
      <c r="BS2621">
        <v>2.0299999999999998</v>
      </c>
      <c r="BT2621">
        <v>-0.15</v>
      </c>
      <c r="BU2621">
        <v>0.64</v>
      </c>
      <c r="BV2621">
        <v>1.79</v>
      </c>
      <c r="BW2621">
        <v>2.14</v>
      </c>
      <c r="BX2621">
        <v>-0.28000000000000003</v>
      </c>
      <c r="BY2621">
        <v>0.56000000000000005</v>
      </c>
      <c r="BZ2621">
        <v>-1.01</v>
      </c>
      <c r="CA2621">
        <v>1.3</v>
      </c>
      <c r="CB2621">
        <v>0.86</v>
      </c>
      <c r="CC2621">
        <v>1.72</v>
      </c>
      <c r="CD2621">
        <v>-1.28</v>
      </c>
      <c r="CE2621">
        <v>0.62</v>
      </c>
      <c r="CF2621">
        <v>1.1599999999999999</v>
      </c>
      <c r="CG2621">
        <v>0</v>
      </c>
      <c r="CH2621">
        <v>0.8</v>
      </c>
      <c r="CI2621">
        <v>0</v>
      </c>
      <c r="CJ2621">
        <v>-3.4</v>
      </c>
      <c r="CK2621">
        <v>57</v>
      </c>
      <c r="CL2621">
        <v>-1.41</v>
      </c>
      <c r="CM2621">
        <v>55</v>
      </c>
      <c r="CN2621">
        <v>-0.7</v>
      </c>
      <c r="CO2621">
        <v>54</v>
      </c>
      <c r="CP2621">
        <v>4.3</v>
      </c>
      <c r="CQ2621">
        <v>50</v>
      </c>
      <c r="CR2621">
        <v>0</v>
      </c>
      <c r="CS2621">
        <v>0</v>
      </c>
      <c r="CT2621">
        <v>20.8</v>
      </c>
      <c r="CU2621">
        <v>47</v>
      </c>
      <c r="CV2621">
        <v>0.2</v>
      </c>
      <c r="CW2621">
        <v>37</v>
      </c>
      <c r="CX2621" t="s">
        <v>5630</v>
      </c>
    </row>
    <row r="2622" spans="1:102" x14ac:dyDescent="0.3">
      <c r="A2622" t="str">
        <f>HYPERLINK("https://webapp.icbf.com/v2/app/bull-search/view/358463093","QLI")</f>
        <v>QLI</v>
      </c>
      <c r="B2622" t="s">
        <v>6687</v>
      </c>
      <c r="C2622" t="s">
        <v>6688</v>
      </c>
      <c r="D2622" s="1">
        <v>35536</v>
      </c>
      <c r="E2622" t="s">
        <v>227</v>
      </c>
      <c r="F2622">
        <v>0</v>
      </c>
      <c r="G2622" t="s">
        <v>109</v>
      </c>
      <c r="H2622">
        <v>26.9</v>
      </c>
      <c r="I2622">
        <v>80</v>
      </c>
      <c r="J2622">
        <v>-23.45</v>
      </c>
      <c r="K2622">
        <v>91</v>
      </c>
      <c r="L2622">
        <v>45.05</v>
      </c>
      <c r="M2622">
        <v>80</v>
      </c>
      <c r="N2622">
        <v>-14.83</v>
      </c>
      <c r="O2622">
        <v>76</v>
      </c>
      <c r="P2622">
        <v>-68.83</v>
      </c>
      <c r="Q2622">
        <v>68</v>
      </c>
      <c r="R2622">
        <v>-1.1599999999999999</v>
      </c>
      <c r="S2622">
        <v>70</v>
      </c>
      <c r="T2622">
        <v>76.8</v>
      </c>
      <c r="U2622">
        <v>63</v>
      </c>
      <c r="V2622">
        <v>13.32</v>
      </c>
      <c r="W2622">
        <v>63</v>
      </c>
      <c r="X2622" t="s">
        <v>94</v>
      </c>
      <c r="Y2622" t="s">
        <v>95</v>
      </c>
      <c r="Z2622">
        <v>0</v>
      </c>
      <c r="AA2622" t="s">
        <v>6689</v>
      </c>
      <c r="AB2622" t="s">
        <v>144</v>
      </c>
      <c r="AC2622">
        <v>0</v>
      </c>
      <c r="AD2622">
        <v>0</v>
      </c>
      <c r="AE2622">
        <v>91</v>
      </c>
      <c r="AF2622">
        <v>-565.27</v>
      </c>
      <c r="AG2622">
        <v>3.11</v>
      </c>
      <c r="AH2622">
        <v>-13.74</v>
      </c>
      <c r="AI2622">
        <v>0.49</v>
      </c>
      <c r="AJ2622">
        <v>0.11</v>
      </c>
      <c r="AK2622">
        <v>80</v>
      </c>
      <c r="AL2622">
        <v>0</v>
      </c>
      <c r="AM2622">
        <v>0</v>
      </c>
      <c r="AN2622">
        <v>-1.1399999999999999</v>
      </c>
      <c r="AO2622">
        <v>2.4700000000000002</v>
      </c>
      <c r="AP2622">
        <v>71</v>
      </c>
      <c r="AQ2622">
        <v>0</v>
      </c>
      <c r="AR2622">
        <v>4.3600000000000003</v>
      </c>
      <c r="AS2622">
        <v>65</v>
      </c>
      <c r="AT2622">
        <v>2.23</v>
      </c>
      <c r="AU2622">
        <v>75</v>
      </c>
      <c r="AV2622">
        <v>-0.05</v>
      </c>
      <c r="AW2622">
        <v>89</v>
      </c>
      <c r="AX2622">
        <v>11.29</v>
      </c>
      <c r="AY2622">
        <v>69</v>
      </c>
      <c r="AZ2622">
        <v>6.4</v>
      </c>
      <c r="BA2622">
        <v>54</v>
      </c>
      <c r="BB2622">
        <v>5.0599999999999996</v>
      </c>
      <c r="BC2622">
        <v>55</v>
      </c>
      <c r="BD2622">
        <v>-0.08</v>
      </c>
      <c r="BE2622">
        <v>0</v>
      </c>
      <c r="BF2622">
        <v>0.16</v>
      </c>
      <c r="BG2622">
        <v>79</v>
      </c>
      <c r="BH2622">
        <v>0.16</v>
      </c>
      <c r="BI2622">
        <v>-24.47</v>
      </c>
      <c r="BJ2622">
        <v>0</v>
      </c>
      <c r="BK2622">
        <v>0</v>
      </c>
      <c r="BL2622">
        <v>-1.23</v>
      </c>
      <c r="BM2622">
        <v>-1.66</v>
      </c>
      <c r="BN2622">
        <v>-1.1000000000000001</v>
      </c>
      <c r="BO2622">
        <v>0.79</v>
      </c>
      <c r="BP2622">
        <v>-0.53</v>
      </c>
      <c r="BQ2622">
        <v>-4.9400000000000004</v>
      </c>
      <c r="BR2622">
        <v>1.92</v>
      </c>
      <c r="BS2622">
        <v>5.93</v>
      </c>
      <c r="BT2622">
        <v>-1.44</v>
      </c>
      <c r="BU2622">
        <v>1.07</v>
      </c>
      <c r="BV2622">
        <v>0.7</v>
      </c>
      <c r="BW2622">
        <v>-1.38</v>
      </c>
      <c r="BX2622">
        <v>-1.31</v>
      </c>
      <c r="BY2622">
        <v>-0.31</v>
      </c>
      <c r="BZ2622">
        <v>0.8</v>
      </c>
      <c r="CA2622">
        <v>2.2599999999999998</v>
      </c>
      <c r="CB2622">
        <v>0.97</v>
      </c>
      <c r="CC2622">
        <v>3.67</v>
      </c>
      <c r="CD2622">
        <v>-1.81</v>
      </c>
      <c r="CE2622">
        <v>0.96</v>
      </c>
      <c r="CF2622">
        <v>-1.18</v>
      </c>
      <c r="CG2622">
        <v>0</v>
      </c>
      <c r="CH2622">
        <v>-0.46</v>
      </c>
      <c r="CI2622">
        <v>0</v>
      </c>
      <c r="CJ2622">
        <v>-40.5</v>
      </c>
      <c r="CK2622">
        <v>69</v>
      </c>
      <c r="CL2622">
        <v>-0.94</v>
      </c>
      <c r="CM2622">
        <v>66</v>
      </c>
      <c r="CN2622">
        <v>-0.46</v>
      </c>
      <c r="CO2622">
        <v>62</v>
      </c>
      <c r="CP2622">
        <v>-57.5</v>
      </c>
      <c r="CQ2622">
        <v>77</v>
      </c>
      <c r="CR2622">
        <v>0</v>
      </c>
      <c r="CS2622">
        <v>0</v>
      </c>
      <c r="CT2622">
        <v>-90</v>
      </c>
      <c r="CU2622">
        <v>63</v>
      </c>
      <c r="CV2622">
        <v>-0.48</v>
      </c>
      <c r="CW2622">
        <v>39</v>
      </c>
      <c r="CX2622" t="s">
        <v>4311</v>
      </c>
    </row>
    <row r="2623" spans="1:102" x14ac:dyDescent="0.3">
      <c r="A2623" t="str">
        <f>HYPERLINK("https://webapp.icbf.com/v2/app/bull-search/view/108367978","LYN")</f>
        <v>LYN</v>
      </c>
      <c r="B2623" t="s">
        <v>4117</v>
      </c>
      <c r="C2623" t="s">
        <v>4118</v>
      </c>
      <c r="D2623" s="1">
        <v>33220</v>
      </c>
      <c r="E2623" t="s">
        <v>895</v>
      </c>
      <c r="F2623">
        <v>0</v>
      </c>
      <c r="G2623" t="s">
        <v>93</v>
      </c>
      <c r="H2623">
        <v>26.87</v>
      </c>
      <c r="I2623">
        <v>50</v>
      </c>
      <c r="J2623">
        <v>-22.45</v>
      </c>
      <c r="K2623">
        <v>73</v>
      </c>
      <c r="L2623">
        <v>23.67</v>
      </c>
      <c r="M2623">
        <v>29</v>
      </c>
      <c r="N2623">
        <v>0.28999999999999998</v>
      </c>
      <c r="O2623">
        <v>55</v>
      </c>
      <c r="P2623">
        <v>-1.58</v>
      </c>
      <c r="Q2623">
        <v>66</v>
      </c>
      <c r="R2623">
        <v>0.91</v>
      </c>
      <c r="S2623">
        <v>33</v>
      </c>
      <c r="T2623">
        <v>27.37</v>
      </c>
      <c r="U2623">
        <v>49</v>
      </c>
      <c r="V2623">
        <v>-1.34</v>
      </c>
      <c r="W2623">
        <v>18</v>
      </c>
      <c r="X2623" t="s">
        <v>94</v>
      </c>
      <c r="Y2623" t="s">
        <v>95</v>
      </c>
      <c r="Z2623">
        <v>0</v>
      </c>
      <c r="AA2623" t="s">
        <v>896</v>
      </c>
      <c r="AB2623" t="s">
        <v>4119</v>
      </c>
      <c r="AC2623">
        <v>14</v>
      </c>
      <c r="AD2623">
        <v>9</v>
      </c>
      <c r="AE2623">
        <v>73</v>
      </c>
      <c r="AF2623">
        <v>-108.6</v>
      </c>
      <c r="AG2623">
        <v>-4.72</v>
      </c>
      <c r="AH2623">
        <v>-3.81</v>
      </c>
      <c r="AI2623">
        <v>-0.01</v>
      </c>
      <c r="AJ2623">
        <v>0</v>
      </c>
      <c r="AK2623">
        <v>29</v>
      </c>
      <c r="AL2623">
        <v>15</v>
      </c>
      <c r="AM2623">
        <v>10</v>
      </c>
      <c r="AN2623">
        <v>1.2</v>
      </c>
      <c r="AO2623">
        <v>3.12</v>
      </c>
      <c r="AP2623">
        <v>49</v>
      </c>
      <c r="AQ2623">
        <v>7</v>
      </c>
      <c r="AR2623">
        <v>7.65</v>
      </c>
      <c r="AS2623">
        <v>50</v>
      </c>
      <c r="AT2623">
        <v>3.71</v>
      </c>
      <c r="AU2623">
        <v>41</v>
      </c>
      <c r="AV2623">
        <v>-0.13</v>
      </c>
      <c r="AW2623">
        <v>76</v>
      </c>
      <c r="AX2623">
        <v>-0.4</v>
      </c>
      <c r="AY2623">
        <v>70</v>
      </c>
      <c r="AZ2623">
        <v>5.54</v>
      </c>
      <c r="BA2623">
        <v>11</v>
      </c>
      <c r="BB2623">
        <v>4.4800000000000004</v>
      </c>
      <c r="BC2623">
        <v>18</v>
      </c>
      <c r="BD2623">
        <v>0</v>
      </c>
      <c r="BE2623">
        <v>0.01</v>
      </c>
      <c r="BF2623">
        <v>-0.04</v>
      </c>
      <c r="BG2623">
        <v>40</v>
      </c>
      <c r="BH2623">
        <v>0.04</v>
      </c>
      <c r="BI2623">
        <v>8.9600000000000009</v>
      </c>
      <c r="BJ2623">
        <v>0</v>
      </c>
      <c r="BK2623">
        <v>0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-1.4</v>
      </c>
      <c r="CK2623">
        <v>69</v>
      </c>
      <c r="CL2623">
        <v>0.31</v>
      </c>
      <c r="CM2623">
        <v>65</v>
      </c>
      <c r="CN2623">
        <v>0.13</v>
      </c>
      <c r="CO2623">
        <v>61</v>
      </c>
      <c r="CP2623">
        <v>-8.8000000000000007</v>
      </c>
      <c r="CQ2623">
        <v>54</v>
      </c>
      <c r="CR2623">
        <v>0</v>
      </c>
      <c r="CS2623">
        <v>0</v>
      </c>
      <c r="CT2623">
        <v>-23.2</v>
      </c>
      <c r="CU2623">
        <v>49</v>
      </c>
      <c r="CV2623">
        <v>-0.22</v>
      </c>
      <c r="CW2623">
        <v>18</v>
      </c>
      <c r="CX2623">
        <v>0</v>
      </c>
    </row>
    <row r="2624" spans="1:102" x14ac:dyDescent="0.3">
      <c r="A2624" t="str">
        <f>HYPERLINK("https://webapp.icbf.com/v2/app/bull-search/view/120554379","VOR")</f>
        <v>VOR</v>
      </c>
      <c r="B2624" t="s">
        <v>3958</v>
      </c>
      <c r="C2624" t="s">
        <v>3959</v>
      </c>
      <c r="D2624" s="1">
        <v>36879</v>
      </c>
      <c r="E2624" t="s">
        <v>92</v>
      </c>
      <c r="F2624">
        <v>100</v>
      </c>
      <c r="G2624" t="s">
        <v>93</v>
      </c>
      <c r="H2624">
        <v>26.8</v>
      </c>
      <c r="I2624">
        <v>88</v>
      </c>
      <c r="J2624">
        <v>19.95</v>
      </c>
      <c r="K2624">
        <v>97</v>
      </c>
      <c r="L2624">
        <v>2.52</v>
      </c>
      <c r="M2624">
        <v>81</v>
      </c>
      <c r="N2624">
        <v>-13.13</v>
      </c>
      <c r="O2624">
        <v>85</v>
      </c>
      <c r="P2624">
        <v>-2.41</v>
      </c>
      <c r="Q2624">
        <v>93</v>
      </c>
      <c r="R2624">
        <v>13.99</v>
      </c>
      <c r="S2624">
        <v>82</v>
      </c>
      <c r="T2624">
        <v>3.61</v>
      </c>
      <c r="U2624">
        <v>86</v>
      </c>
      <c r="V2624">
        <v>2.27</v>
      </c>
      <c r="W2624">
        <v>77</v>
      </c>
      <c r="X2624" t="s">
        <v>94</v>
      </c>
      <c r="Y2624" t="s">
        <v>95</v>
      </c>
      <c r="Z2624" t="s">
        <v>2130</v>
      </c>
      <c r="AA2624" t="s">
        <v>1165</v>
      </c>
      <c r="AB2624" t="s">
        <v>3960</v>
      </c>
      <c r="AC2624">
        <v>86</v>
      </c>
      <c r="AD2624">
        <v>72</v>
      </c>
      <c r="AE2624">
        <v>97</v>
      </c>
      <c r="AF2624">
        <v>4.37</v>
      </c>
      <c r="AG2624">
        <v>1.95</v>
      </c>
      <c r="AH2624">
        <v>2.77</v>
      </c>
      <c r="AI2624">
        <v>0.03</v>
      </c>
      <c r="AJ2624">
        <v>0.05</v>
      </c>
      <c r="AK2624">
        <v>81</v>
      </c>
      <c r="AL2624">
        <v>88</v>
      </c>
      <c r="AM2624">
        <v>69</v>
      </c>
      <c r="AN2624">
        <v>0.54</v>
      </c>
      <c r="AO2624">
        <v>0.75</v>
      </c>
      <c r="AP2624">
        <v>173</v>
      </c>
      <c r="AQ2624">
        <v>1</v>
      </c>
      <c r="AR2624">
        <v>11.03</v>
      </c>
      <c r="AS2624">
        <v>74</v>
      </c>
      <c r="AT2624">
        <v>4.63</v>
      </c>
      <c r="AU2624">
        <v>88</v>
      </c>
      <c r="AV2624">
        <v>-1.41</v>
      </c>
      <c r="AW2624">
        <v>93</v>
      </c>
      <c r="AX2624">
        <v>-0.13</v>
      </c>
      <c r="AY2624">
        <v>81</v>
      </c>
      <c r="AZ2624">
        <v>6.21</v>
      </c>
      <c r="BA2624">
        <v>66</v>
      </c>
      <c r="BB2624">
        <v>4.72</v>
      </c>
      <c r="BC2624">
        <v>70</v>
      </c>
      <c r="BD2624">
        <v>-7.0000000000000007E-2</v>
      </c>
      <c r="BE2624">
        <v>-0.05</v>
      </c>
      <c r="BF2624">
        <v>-0.11</v>
      </c>
      <c r="BG2624">
        <v>89</v>
      </c>
      <c r="BH2624">
        <v>0.04</v>
      </c>
      <c r="BI2624">
        <v>-2.71</v>
      </c>
      <c r="BJ2624">
        <v>32</v>
      </c>
      <c r="BK2624">
        <v>24</v>
      </c>
      <c r="BL2624">
        <v>0.56999999999999995</v>
      </c>
      <c r="BM2624">
        <v>-0.21</v>
      </c>
      <c r="BN2624">
        <v>-0.1</v>
      </c>
      <c r="BO2624">
        <v>0.04</v>
      </c>
      <c r="BP2624">
        <v>0.5</v>
      </c>
      <c r="BQ2624">
        <v>-1.51</v>
      </c>
      <c r="BR2624">
        <v>0.53</v>
      </c>
      <c r="BS2624">
        <v>-1.54</v>
      </c>
      <c r="BT2624">
        <v>-0.72</v>
      </c>
      <c r="BU2624">
        <v>-0.8</v>
      </c>
      <c r="BV2624">
        <v>-0.94</v>
      </c>
      <c r="BW2624">
        <v>0.84</v>
      </c>
      <c r="BX2624">
        <v>0.43</v>
      </c>
      <c r="BY2624">
        <v>-0.97</v>
      </c>
      <c r="BZ2624">
        <v>-2.68</v>
      </c>
      <c r="CA2624">
        <v>-0.46</v>
      </c>
      <c r="CB2624">
        <v>-0.1</v>
      </c>
      <c r="CC2624">
        <v>-0.91</v>
      </c>
      <c r="CD2624">
        <v>-0.57999999999999996</v>
      </c>
      <c r="CE2624">
        <v>0.2</v>
      </c>
      <c r="CF2624">
        <v>-0.38</v>
      </c>
      <c r="CG2624">
        <v>0</v>
      </c>
      <c r="CH2624">
        <v>-0.43</v>
      </c>
      <c r="CI2624">
        <v>0</v>
      </c>
      <c r="CJ2624">
        <v>1.8</v>
      </c>
      <c r="CK2624">
        <v>94</v>
      </c>
      <c r="CL2624">
        <v>-0.75</v>
      </c>
      <c r="CM2624">
        <v>93</v>
      </c>
      <c r="CN2624">
        <v>-0.22</v>
      </c>
      <c r="CO2624">
        <v>92</v>
      </c>
      <c r="CP2624">
        <v>1.8</v>
      </c>
      <c r="CQ2624">
        <v>90</v>
      </c>
      <c r="CR2624">
        <v>0</v>
      </c>
      <c r="CS2624">
        <v>0</v>
      </c>
      <c r="CT2624">
        <v>8.9</v>
      </c>
      <c r="CU2624">
        <v>86</v>
      </c>
      <c r="CV2624">
        <v>0.2</v>
      </c>
      <c r="CW2624">
        <v>46</v>
      </c>
      <c r="CX2624" t="s">
        <v>961</v>
      </c>
    </row>
    <row r="2625" spans="1:102" x14ac:dyDescent="0.3">
      <c r="A2625" t="str">
        <f>HYPERLINK("https://webapp.icbf.com/v2/app/bull-search/view/753918064","S871")</f>
        <v>S871</v>
      </c>
      <c r="B2625" t="s">
        <v>9062</v>
      </c>
      <c r="C2625" t="s">
        <v>9063</v>
      </c>
      <c r="D2625" s="1">
        <v>37354</v>
      </c>
      <c r="E2625" t="s">
        <v>895</v>
      </c>
      <c r="F2625">
        <v>0</v>
      </c>
      <c r="G2625" t="s">
        <v>93</v>
      </c>
      <c r="H2625">
        <v>26.8</v>
      </c>
      <c r="I2625">
        <v>78</v>
      </c>
      <c r="J2625">
        <v>45.16</v>
      </c>
      <c r="K2625">
        <v>95</v>
      </c>
      <c r="L2625">
        <v>-4.79</v>
      </c>
      <c r="M2625">
        <v>61</v>
      </c>
      <c r="N2625">
        <v>-10.62</v>
      </c>
      <c r="O2625">
        <v>80</v>
      </c>
      <c r="P2625">
        <v>5.62</v>
      </c>
      <c r="Q2625">
        <v>91</v>
      </c>
      <c r="R2625">
        <v>-14.32</v>
      </c>
      <c r="S2625">
        <v>62</v>
      </c>
      <c r="T2625">
        <v>9.31</v>
      </c>
      <c r="U2625">
        <v>86</v>
      </c>
      <c r="V2625">
        <v>-3.56</v>
      </c>
      <c r="W2625">
        <v>49</v>
      </c>
      <c r="X2625" t="s">
        <v>102</v>
      </c>
      <c r="Y2625" t="s">
        <v>303</v>
      </c>
      <c r="Z2625">
        <v>0</v>
      </c>
      <c r="AA2625" t="s">
        <v>9064</v>
      </c>
      <c r="AB2625" t="s">
        <v>9065</v>
      </c>
      <c r="AC2625">
        <v>92</v>
      </c>
      <c r="AD2625">
        <v>26</v>
      </c>
      <c r="AE2625">
        <v>95</v>
      </c>
      <c r="AF2625">
        <v>-9.14</v>
      </c>
      <c r="AG2625">
        <v>4.41</v>
      </c>
      <c r="AH2625">
        <v>5.98</v>
      </c>
      <c r="AI2625">
        <v>0.08</v>
      </c>
      <c r="AJ2625">
        <v>0.1</v>
      </c>
      <c r="AK2625">
        <v>61</v>
      </c>
      <c r="AL2625">
        <v>96</v>
      </c>
      <c r="AM2625">
        <v>35</v>
      </c>
      <c r="AN2625">
        <v>1.96</v>
      </c>
      <c r="AO2625">
        <v>1.6</v>
      </c>
      <c r="AP2625">
        <v>186</v>
      </c>
      <c r="AQ2625">
        <v>4</v>
      </c>
      <c r="AR2625">
        <v>6.83</v>
      </c>
      <c r="AS2625">
        <v>55</v>
      </c>
      <c r="AT2625">
        <v>3.26</v>
      </c>
      <c r="AU2625">
        <v>82</v>
      </c>
      <c r="AV2625">
        <v>1.61</v>
      </c>
      <c r="AW2625">
        <v>95</v>
      </c>
      <c r="AX2625">
        <v>0.87</v>
      </c>
      <c r="AY2625">
        <v>78</v>
      </c>
      <c r="AZ2625">
        <v>5.41</v>
      </c>
      <c r="BA2625">
        <v>50</v>
      </c>
      <c r="BB2625">
        <v>4.57</v>
      </c>
      <c r="BC2625">
        <v>50</v>
      </c>
      <c r="BD2625">
        <v>0.05</v>
      </c>
      <c r="BE2625">
        <v>0.04</v>
      </c>
      <c r="BF2625">
        <v>0.17</v>
      </c>
      <c r="BG2625">
        <v>80</v>
      </c>
      <c r="BH2625">
        <v>0.05</v>
      </c>
      <c r="BI2625">
        <v>17.28</v>
      </c>
      <c r="BJ2625">
        <v>0</v>
      </c>
      <c r="BK2625">
        <v>0</v>
      </c>
      <c r="BL2625">
        <v>0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5.0999999999999996</v>
      </c>
      <c r="CK2625">
        <v>93</v>
      </c>
      <c r="CL2625">
        <v>-0.25</v>
      </c>
      <c r="CM2625">
        <v>91</v>
      </c>
      <c r="CN2625">
        <v>-0.14000000000000001</v>
      </c>
      <c r="CO2625">
        <v>90</v>
      </c>
      <c r="CP2625">
        <v>-3.2</v>
      </c>
      <c r="CQ2625">
        <v>82</v>
      </c>
      <c r="CR2625">
        <v>0</v>
      </c>
      <c r="CS2625">
        <v>0</v>
      </c>
      <c r="CT2625">
        <v>1.2</v>
      </c>
      <c r="CU2625">
        <v>86</v>
      </c>
      <c r="CV2625">
        <v>0.15</v>
      </c>
      <c r="CW2625">
        <v>26</v>
      </c>
      <c r="CX2625" t="s">
        <v>9066</v>
      </c>
    </row>
    <row r="2626" spans="1:102" x14ac:dyDescent="0.3">
      <c r="A2626" t="str">
        <f>HYPERLINK("https://webapp.icbf.com/v2/app/bull-search/view/1130984340","XDR")</f>
        <v>XDR</v>
      </c>
      <c r="B2626" t="s">
        <v>13323</v>
      </c>
      <c r="C2626" t="s">
        <v>13324</v>
      </c>
      <c r="D2626" s="1">
        <v>41352</v>
      </c>
      <c r="E2626" t="s">
        <v>108</v>
      </c>
      <c r="F2626">
        <v>0</v>
      </c>
      <c r="G2626" t="s">
        <v>109</v>
      </c>
      <c r="H2626">
        <v>26.72</v>
      </c>
      <c r="I2626">
        <v>74</v>
      </c>
      <c r="J2626">
        <v>-53.46</v>
      </c>
      <c r="K2626">
        <v>91</v>
      </c>
      <c r="L2626">
        <v>65.92</v>
      </c>
      <c r="M2626">
        <v>60</v>
      </c>
      <c r="N2626">
        <v>3.91</v>
      </c>
      <c r="O2626">
        <v>77</v>
      </c>
      <c r="P2626">
        <v>-7.48</v>
      </c>
      <c r="Q2626">
        <v>90</v>
      </c>
      <c r="R2626">
        <v>6.79</v>
      </c>
      <c r="S2626">
        <v>56</v>
      </c>
      <c r="T2626">
        <v>15.45</v>
      </c>
      <c r="U2626">
        <v>62</v>
      </c>
      <c r="V2626">
        <v>-4.41</v>
      </c>
      <c r="W2626">
        <v>58</v>
      </c>
      <c r="X2626" t="s">
        <v>102</v>
      </c>
      <c r="Y2626" t="s">
        <v>2066</v>
      </c>
      <c r="Z2626" t="s">
        <v>96</v>
      </c>
      <c r="AA2626" t="s">
        <v>13325</v>
      </c>
      <c r="AB2626" t="s">
        <v>13326</v>
      </c>
      <c r="AC2626">
        <v>47</v>
      </c>
      <c r="AD2626">
        <v>28</v>
      </c>
      <c r="AE2626">
        <v>91</v>
      </c>
      <c r="AF2626">
        <v>-333.59</v>
      </c>
      <c r="AG2626">
        <v>-8.5299999999999994</v>
      </c>
      <c r="AH2626">
        <v>-11.18</v>
      </c>
      <c r="AI2626">
        <v>0.08</v>
      </c>
      <c r="AJ2626">
        <v>0</v>
      </c>
      <c r="AK2626">
        <v>60</v>
      </c>
      <c r="AL2626">
        <v>64</v>
      </c>
      <c r="AM2626">
        <v>45</v>
      </c>
      <c r="AN2626">
        <v>-4.1100000000000003</v>
      </c>
      <c r="AO2626">
        <v>1.1399999999999999</v>
      </c>
      <c r="AP2626">
        <v>210</v>
      </c>
      <c r="AQ2626">
        <v>3</v>
      </c>
      <c r="AR2626">
        <v>8.1999999999999993</v>
      </c>
      <c r="AS2626">
        <v>60</v>
      </c>
      <c r="AT2626">
        <v>3.13</v>
      </c>
      <c r="AU2626">
        <v>84</v>
      </c>
      <c r="AV2626">
        <v>-1.97</v>
      </c>
      <c r="AW2626">
        <v>94</v>
      </c>
      <c r="AX2626">
        <v>0.61</v>
      </c>
      <c r="AY2626">
        <v>78</v>
      </c>
      <c r="AZ2626">
        <v>8.0500000000000007</v>
      </c>
      <c r="BA2626">
        <v>50</v>
      </c>
      <c r="BB2626">
        <v>6.08</v>
      </c>
      <c r="BC2626">
        <v>32</v>
      </c>
      <c r="BD2626">
        <v>0.03</v>
      </c>
      <c r="BE2626">
        <v>-0.04</v>
      </c>
      <c r="BF2626">
        <v>-0.13</v>
      </c>
      <c r="BG2626">
        <v>68</v>
      </c>
      <c r="BH2626">
        <v>-0.06</v>
      </c>
      <c r="BI2626">
        <v>7.28</v>
      </c>
      <c r="BJ2626">
        <v>0</v>
      </c>
      <c r="BK2626">
        <v>0</v>
      </c>
      <c r="BL2626">
        <v>-2.8</v>
      </c>
      <c r="BM2626">
        <v>0.59</v>
      </c>
      <c r="BN2626">
        <v>-3.12</v>
      </c>
      <c r="BO2626">
        <v>-2.87</v>
      </c>
      <c r="BP2626">
        <v>0</v>
      </c>
      <c r="BQ2626">
        <v>1.41</v>
      </c>
      <c r="BR2626">
        <v>-1.63</v>
      </c>
      <c r="BS2626">
        <v>0.28999999999999998</v>
      </c>
      <c r="BT2626">
        <v>0.21</v>
      </c>
      <c r="BU2626">
        <v>-2.91</v>
      </c>
      <c r="BV2626">
        <v>-3.88</v>
      </c>
      <c r="BW2626">
        <v>-2.93</v>
      </c>
      <c r="BX2626">
        <v>-1.69</v>
      </c>
      <c r="BY2626">
        <v>-1.97</v>
      </c>
      <c r="BZ2626">
        <v>0.19</v>
      </c>
      <c r="CA2626">
        <v>-2.33</v>
      </c>
      <c r="CB2626">
        <v>-2.95</v>
      </c>
      <c r="CC2626">
        <v>-0.93</v>
      </c>
      <c r="CD2626">
        <v>2.41</v>
      </c>
      <c r="CE2626">
        <v>-0.8</v>
      </c>
      <c r="CF2626">
        <v>-0.62</v>
      </c>
      <c r="CG2626">
        <v>0</v>
      </c>
      <c r="CH2626">
        <v>-3.05</v>
      </c>
      <c r="CI2626">
        <v>0</v>
      </c>
      <c r="CJ2626">
        <v>-6.6</v>
      </c>
      <c r="CK2626">
        <v>93</v>
      </c>
      <c r="CL2626">
        <v>-0.03</v>
      </c>
      <c r="CM2626">
        <v>91</v>
      </c>
      <c r="CN2626">
        <v>-0.26</v>
      </c>
      <c r="CO2626">
        <v>90</v>
      </c>
      <c r="CP2626">
        <v>-7.4</v>
      </c>
      <c r="CQ2626">
        <v>66</v>
      </c>
      <c r="CR2626">
        <v>0</v>
      </c>
      <c r="CS2626">
        <v>0</v>
      </c>
      <c r="CT2626">
        <v>-7.1</v>
      </c>
      <c r="CU2626">
        <v>62</v>
      </c>
      <c r="CV2626">
        <v>-0.06</v>
      </c>
      <c r="CW2626">
        <v>44</v>
      </c>
      <c r="CX2626" t="s">
        <v>13327</v>
      </c>
    </row>
    <row r="2627" spans="1:102" x14ac:dyDescent="0.3">
      <c r="A2627" t="str">
        <f>HYPERLINK("https://webapp.icbf.com/v2/app/bull-search/view/660052152","SGF")</f>
        <v>SGF</v>
      </c>
      <c r="B2627" t="s">
        <v>2051</v>
      </c>
      <c r="C2627" t="s">
        <v>2052</v>
      </c>
      <c r="D2627" s="1">
        <v>38808</v>
      </c>
      <c r="E2627" t="s">
        <v>92</v>
      </c>
      <c r="F2627">
        <v>100</v>
      </c>
      <c r="G2627" t="s">
        <v>109</v>
      </c>
      <c r="H2627">
        <v>26.62</v>
      </c>
      <c r="I2627">
        <v>72</v>
      </c>
      <c r="J2627">
        <v>60.07</v>
      </c>
      <c r="K2627">
        <v>87</v>
      </c>
      <c r="L2627">
        <v>-58.3</v>
      </c>
      <c r="M2627">
        <v>83</v>
      </c>
      <c r="N2627">
        <v>19.18</v>
      </c>
      <c r="O2627">
        <v>50</v>
      </c>
      <c r="P2627">
        <v>-16.29</v>
      </c>
      <c r="Q2627">
        <v>44</v>
      </c>
      <c r="R2627">
        <v>12.73</v>
      </c>
      <c r="S2627">
        <v>63</v>
      </c>
      <c r="T2627">
        <v>5.91</v>
      </c>
      <c r="U2627">
        <v>48</v>
      </c>
      <c r="V2627">
        <v>3.32</v>
      </c>
      <c r="W2627">
        <v>30</v>
      </c>
      <c r="X2627" t="s">
        <v>276</v>
      </c>
      <c r="Y2627" t="s">
        <v>329</v>
      </c>
      <c r="Z2627" t="s">
        <v>96</v>
      </c>
      <c r="AA2627" t="s">
        <v>309</v>
      </c>
      <c r="AB2627" t="s">
        <v>2053</v>
      </c>
      <c r="AC2627">
        <v>0</v>
      </c>
      <c r="AD2627">
        <v>0</v>
      </c>
      <c r="AE2627">
        <v>87</v>
      </c>
      <c r="AF2627">
        <v>282.69</v>
      </c>
      <c r="AG2627">
        <v>13.66</v>
      </c>
      <c r="AH2627">
        <v>9.7100000000000009</v>
      </c>
      <c r="AI2627">
        <v>0.04</v>
      </c>
      <c r="AJ2627">
        <v>0</v>
      </c>
      <c r="AK2627">
        <v>83</v>
      </c>
      <c r="AL2627">
        <v>0</v>
      </c>
      <c r="AM2627">
        <v>0</v>
      </c>
      <c r="AN2627">
        <v>4.6900000000000004</v>
      </c>
      <c r="AO2627">
        <v>0.06</v>
      </c>
      <c r="AP2627">
        <v>0</v>
      </c>
      <c r="AQ2627">
        <v>2</v>
      </c>
      <c r="AR2627">
        <v>5.47</v>
      </c>
      <c r="AS2627">
        <v>29</v>
      </c>
      <c r="AT2627">
        <v>2.5099999999999998</v>
      </c>
      <c r="AU2627">
        <v>89</v>
      </c>
      <c r="AV2627">
        <v>-1.38</v>
      </c>
      <c r="AW2627">
        <v>43</v>
      </c>
      <c r="AX2627">
        <v>0.03</v>
      </c>
      <c r="AY2627">
        <v>36</v>
      </c>
      <c r="AZ2627">
        <v>6.68</v>
      </c>
      <c r="BA2627">
        <v>28</v>
      </c>
      <c r="BB2627">
        <v>5.27</v>
      </c>
      <c r="BC2627">
        <v>30</v>
      </c>
      <c r="BD2627">
        <v>-0.01</v>
      </c>
      <c r="BE2627">
        <v>-0.04</v>
      </c>
      <c r="BF2627">
        <v>-0.2</v>
      </c>
      <c r="BG2627">
        <v>90</v>
      </c>
      <c r="BH2627">
        <v>-0.05</v>
      </c>
      <c r="BI2627">
        <v>-16.5</v>
      </c>
      <c r="BJ2627">
        <v>0</v>
      </c>
      <c r="BK2627">
        <v>0</v>
      </c>
      <c r="BL2627">
        <v>1.59</v>
      </c>
      <c r="BM2627">
        <v>-1.1399999999999999</v>
      </c>
      <c r="BN2627">
        <v>0.44</v>
      </c>
      <c r="BO2627">
        <v>1.38</v>
      </c>
      <c r="BP2627">
        <v>1.74</v>
      </c>
      <c r="BQ2627">
        <v>1.4</v>
      </c>
      <c r="BR2627">
        <v>-0.11</v>
      </c>
      <c r="BS2627">
        <v>4.66</v>
      </c>
      <c r="BT2627">
        <v>0.91</v>
      </c>
      <c r="BU2627">
        <v>2.96</v>
      </c>
      <c r="BV2627">
        <v>2.93</v>
      </c>
      <c r="BW2627">
        <v>2.17</v>
      </c>
      <c r="BX2627">
        <v>3.02</v>
      </c>
      <c r="BY2627">
        <v>1.26</v>
      </c>
      <c r="BZ2627">
        <v>-1.27</v>
      </c>
      <c r="CA2627">
        <v>3.1</v>
      </c>
      <c r="CB2627">
        <v>2.2400000000000002</v>
      </c>
      <c r="CC2627">
        <v>3.46</v>
      </c>
      <c r="CD2627">
        <v>-0.81</v>
      </c>
      <c r="CE2627">
        <v>0</v>
      </c>
      <c r="CF2627">
        <v>0</v>
      </c>
      <c r="CG2627">
        <v>0</v>
      </c>
      <c r="CH2627">
        <v>0</v>
      </c>
      <c r="CI2627">
        <v>0</v>
      </c>
      <c r="CJ2627">
        <v>-5.5</v>
      </c>
      <c r="CK2627">
        <v>46</v>
      </c>
      <c r="CL2627">
        <v>-1.46</v>
      </c>
      <c r="CM2627">
        <v>42</v>
      </c>
      <c r="CN2627">
        <v>-0.64</v>
      </c>
      <c r="CO2627">
        <v>40</v>
      </c>
      <c r="CP2627">
        <v>-7.5</v>
      </c>
      <c r="CQ2627">
        <v>48</v>
      </c>
      <c r="CR2627">
        <v>0</v>
      </c>
      <c r="CS2627">
        <v>0</v>
      </c>
      <c r="CT2627">
        <v>5.8</v>
      </c>
      <c r="CU2627">
        <v>48</v>
      </c>
      <c r="CV2627">
        <v>0.38</v>
      </c>
      <c r="CW2627">
        <v>12</v>
      </c>
      <c r="CX2627" t="s">
        <v>1325</v>
      </c>
    </row>
    <row r="2628" spans="1:102" x14ac:dyDescent="0.3">
      <c r="A2628" t="str">
        <f>HYPERLINK("https://webapp.icbf.com/v2/app/bull-search/view/77853598","TBL")</f>
        <v>TBL</v>
      </c>
      <c r="B2628" t="s">
        <v>8120</v>
      </c>
      <c r="C2628" t="s">
        <v>8121</v>
      </c>
      <c r="D2628" s="1">
        <v>33072</v>
      </c>
      <c r="E2628" t="s">
        <v>108</v>
      </c>
      <c r="F2628">
        <v>0</v>
      </c>
      <c r="G2628" t="s">
        <v>109</v>
      </c>
      <c r="H2628">
        <v>26.53</v>
      </c>
      <c r="I2628">
        <v>63</v>
      </c>
      <c r="J2628">
        <v>-75.44</v>
      </c>
      <c r="K2628">
        <v>67</v>
      </c>
      <c r="L2628">
        <v>129.24</v>
      </c>
      <c r="M2628">
        <v>62</v>
      </c>
      <c r="N2628">
        <v>-29.69</v>
      </c>
      <c r="O2628">
        <v>55</v>
      </c>
      <c r="P2628">
        <v>-12.26</v>
      </c>
      <c r="Q2628">
        <v>73</v>
      </c>
      <c r="R2628">
        <v>8.9</v>
      </c>
      <c r="S2628">
        <v>59</v>
      </c>
      <c r="T2628">
        <v>7.09</v>
      </c>
      <c r="U2628">
        <v>70</v>
      </c>
      <c r="V2628">
        <v>-1.31</v>
      </c>
      <c r="W2628">
        <v>35</v>
      </c>
      <c r="X2628" t="s">
        <v>747</v>
      </c>
      <c r="Y2628" t="s">
        <v>95</v>
      </c>
      <c r="Z2628" t="s">
        <v>96</v>
      </c>
      <c r="AA2628" t="s">
        <v>8122</v>
      </c>
      <c r="AB2628" t="s">
        <v>8123</v>
      </c>
      <c r="AC2628">
        <v>0</v>
      </c>
      <c r="AD2628">
        <v>0</v>
      </c>
      <c r="AE2628">
        <v>67</v>
      </c>
      <c r="AF2628">
        <v>-451.93</v>
      </c>
      <c r="AG2628">
        <v>-10.48</v>
      </c>
      <c r="AH2628">
        <v>-16.04</v>
      </c>
      <c r="AI2628">
        <v>0.13</v>
      </c>
      <c r="AJ2628">
        <v>-0.01</v>
      </c>
      <c r="AK2628">
        <v>62</v>
      </c>
      <c r="AL2628">
        <v>0</v>
      </c>
      <c r="AM2628">
        <v>0</v>
      </c>
      <c r="AN2628">
        <v>-9.15</v>
      </c>
      <c r="AO2628">
        <v>1.1299999999999999</v>
      </c>
      <c r="AP2628">
        <v>11</v>
      </c>
      <c r="AQ2628">
        <v>0</v>
      </c>
      <c r="AR2628">
        <v>12.3</v>
      </c>
      <c r="AS2628">
        <v>38</v>
      </c>
      <c r="AT2628">
        <v>4.8099999999999996</v>
      </c>
      <c r="AU2628">
        <v>42</v>
      </c>
      <c r="AV2628">
        <v>-0.6</v>
      </c>
      <c r="AW2628">
        <v>75</v>
      </c>
      <c r="AX2628">
        <v>0.34</v>
      </c>
      <c r="AY2628">
        <v>56</v>
      </c>
      <c r="AZ2628">
        <v>6.42</v>
      </c>
      <c r="BA2628">
        <v>26</v>
      </c>
      <c r="BB2628">
        <v>5.0599999999999996</v>
      </c>
      <c r="BC2628">
        <v>36</v>
      </c>
      <c r="BD2628">
        <v>0.02</v>
      </c>
      <c r="BE2628">
        <v>-0.02</v>
      </c>
      <c r="BF2628">
        <v>-0.2</v>
      </c>
      <c r="BG2628">
        <v>82</v>
      </c>
      <c r="BH2628">
        <v>-0.06</v>
      </c>
      <c r="BI2628">
        <v>-2.72</v>
      </c>
      <c r="BJ2628">
        <v>1</v>
      </c>
      <c r="BK2628">
        <v>1</v>
      </c>
      <c r="BL2628">
        <v>-2.38</v>
      </c>
      <c r="BM2628">
        <v>2.5299999999999998</v>
      </c>
      <c r="BN2628">
        <v>-1</v>
      </c>
      <c r="BO2628">
        <v>-2.66</v>
      </c>
      <c r="BP2628">
        <v>0.14000000000000001</v>
      </c>
      <c r="BQ2628">
        <v>2.5</v>
      </c>
      <c r="BR2628">
        <v>0.11</v>
      </c>
      <c r="BS2628">
        <v>-0.39</v>
      </c>
      <c r="BT2628">
        <v>-0.44</v>
      </c>
      <c r="BU2628">
        <v>-1.44</v>
      </c>
      <c r="BV2628">
        <v>-2.44</v>
      </c>
      <c r="BW2628">
        <v>-2.02</v>
      </c>
      <c r="BX2628">
        <v>-2.17</v>
      </c>
      <c r="BY2628">
        <v>-2.67</v>
      </c>
      <c r="BZ2628">
        <v>-0.89</v>
      </c>
      <c r="CA2628">
        <v>-2.34</v>
      </c>
      <c r="CB2628">
        <v>-2.59</v>
      </c>
      <c r="CC2628">
        <v>-0.7</v>
      </c>
      <c r="CD2628">
        <v>3.33</v>
      </c>
      <c r="CE2628">
        <v>-2.64</v>
      </c>
      <c r="CF2628">
        <v>-2.2400000000000002</v>
      </c>
      <c r="CG2628">
        <v>0</v>
      </c>
      <c r="CH2628">
        <v>-1.76</v>
      </c>
      <c r="CI2628">
        <v>0</v>
      </c>
      <c r="CJ2628">
        <v>-4.5</v>
      </c>
      <c r="CK2628">
        <v>75</v>
      </c>
      <c r="CL2628">
        <v>-0.25</v>
      </c>
      <c r="CM2628">
        <v>71</v>
      </c>
      <c r="CN2628">
        <v>0.23</v>
      </c>
      <c r="CO2628">
        <v>68</v>
      </c>
      <c r="CP2628">
        <v>-5.2</v>
      </c>
      <c r="CQ2628">
        <v>71</v>
      </c>
      <c r="CR2628">
        <v>0</v>
      </c>
      <c r="CS2628">
        <v>0</v>
      </c>
      <c r="CT2628">
        <v>4.2</v>
      </c>
      <c r="CU2628">
        <v>70</v>
      </c>
      <c r="CV2628">
        <v>-0.06</v>
      </c>
      <c r="CW2628">
        <v>20</v>
      </c>
      <c r="CX2628" t="s">
        <v>8124</v>
      </c>
    </row>
    <row r="2629" spans="1:102" x14ac:dyDescent="0.3">
      <c r="A2629" t="str">
        <f>HYPERLINK("https://webapp.icbf.com/v2/app/bull-search/view/108367912","RDU")</f>
        <v>RDU</v>
      </c>
      <c r="B2629" t="s">
        <v>203</v>
      </c>
      <c r="C2629" t="s">
        <v>204</v>
      </c>
      <c r="D2629" s="1">
        <v>36818</v>
      </c>
      <c r="E2629" t="s">
        <v>92</v>
      </c>
      <c r="F2629">
        <v>100</v>
      </c>
      <c r="G2629" t="s">
        <v>93</v>
      </c>
      <c r="H2629">
        <v>26.36</v>
      </c>
      <c r="I2629">
        <v>99</v>
      </c>
      <c r="J2629">
        <v>42.29</v>
      </c>
      <c r="K2629">
        <v>99</v>
      </c>
      <c r="L2629">
        <v>-39.89</v>
      </c>
      <c r="M2629">
        <v>99</v>
      </c>
      <c r="N2629">
        <v>28.3</v>
      </c>
      <c r="O2629">
        <v>99</v>
      </c>
      <c r="P2629">
        <v>-7.82</v>
      </c>
      <c r="Q2629">
        <v>99</v>
      </c>
      <c r="R2629">
        <v>-3.35</v>
      </c>
      <c r="S2629">
        <v>99</v>
      </c>
      <c r="T2629">
        <v>10.72</v>
      </c>
      <c r="U2629">
        <v>99</v>
      </c>
      <c r="V2629">
        <v>-3.89</v>
      </c>
      <c r="W2629">
        <v>99</v>
      </c>
      <c r="X2629" t="s">
        <v>94</v>
      </c>
      <c r="Y2629" t="s">
        <v>95</v>
      </c>
      <c r="Z2629" t="s">
        <v>96</v>
      </c>
      <c r="AA2629" t="s">
        <v>205</v>
      </c>
      <c r="AB2629" t="s">
        <v>206</v>
      </c>
      <c r="AC2629">
        <v>17517</v>
      </c>
      <c r="AD2629">
        <v>3710</v>
      </c>
      <c r="AE2629">
        <v>99</v>
      </c>
      <c r="AF2629">
        <v>253.14</v>
      </c>
      <c r="AG2629">
        <v>13.59</v>
      </c>
      <c r="AH2629">
        <v>6.26</v>
      </c>
      <c r="AI2629">
        <v>0.06</v>
      </c>
      <c r="AJ2629">
        <v>-0.04</v>
      </c>
      <c r="AK2629">
        <v>99</v>
      </c>
      <c r="AL2629">
        <v>22054</v>
      </c>
      <c r="AM2629">
        <v>5745</v>
      </c>
      <c r="AN2629">
        <v>1.49</v>
      </c>
      <c r="AO2629">
        <v>-1.7</v>
      </c>
      <c r="AP2629">
        <v>30155</v>
      </c>
      <c r="AQ2629">
        <v>196</v>
      </c>
      <c r="AR2629">
        <v>7.08</v>
      </c>
      <c r="AS2629">
        <v>99</v>
      </c>
      <c r="AT2629">
        <v>2.82</v>
      </c>
      <c r="AU2629">
        <v>99</v>
      </c>
      <c r="AV2629">
        <v>-4.05</v>
      </c>
      <c r="AW2629">
        <v>99</v>
      </c>
      <c r="AX2629">
        <v>-0.55000000000000004</v>
      </c>
      <c r="AY2629">
        <v>99</v>
      </c>
      <c r="AZ2629">
        <v>8.18</v>
      </c>
      <c r="BA2629">
        <v>99</v>
      </c>
      <c r="BB2629">
        <v>6.16</v>
      </c>
      <c r="BC2629">
        <v>99</v>
      </c>
      <c r="BD2629">
        <v>-0.03</v>
      </c>
      <c r="BE2629">
        <v>0.03</v>
      </c>
      <c r="BF2629">
        <v>7.0000000000000007E-2</v>
      </c>
      <c r="BG2629">
        <v>99</v>
      </c>
      <c r="BH2629">
        <v>-0.1</v>
      </c>
      <c r="BI2629">
        <v>0.98</v>
      </c>
      <c r="BJ2629">
        <v>580</v>
      </c>
      <c r="BK2629">
        <v>219</v>
      </c>
      <c r="BL2629">
        <v>0.45</v>
      </c>
      <c r="BM2629">
        <v>-2.72</v>
      </c>
      <c r="BN2629">
        <v>-1.83</v>
      </c>
      <c r="BO2629">
        <v>0.21</v>
      </c>
      <c r="BP2629">
        <v>-1.26</v>
      </c>
      <c r="BQ2629">
        <v>-1.65</v>
      </c>
      <c r="BR2629">
        <v>-0.35</v>
      </c>
      <c r="BS2629">
        <v>-0.6</v>
      </c>
      <c r="BT2629">
        <v>-1.1299999999999999</v>
      </c>
      <c r="BU2629">
        <v>-0.11</v>
      </c>
      <c r="BV2629">
        <v>0.87</v>
      </c>
      <c r="BW2629">
        <v>-0.33</v>
      </c>
      <c r="BX2629">
        <v>0.03</v>
      </c>
      <c r="BY2629">
        <v>-1.04</v>
      </c>
      <c r="BZ2629">
        <v>1.91</v>
      </c>
      <c r="CA2629">
        <v>-0.3</v>
      </c>
      <c r="CB2629">
        <v>-0.25</v>
      </c>
      <c r="CC2629">
        <v>-0.59</v>
      </c>
      <c r="CD2629">
        <v>-1.76</v>
      </c>
      <c r="CE2629">
        <v>0.34</v>
      </c>
      <c r="CF2629">
        <v>-1.47</v>
      </c>
      <c r="CG2629">
        <v>0</v>
      </c>
      <c r="CH2629">
        <v>-1.05</v>
      </c>
      <c r="CI2629">
        <v>0</v>
      </c>
      <c r="CJ2629">
        <v>1.3</v>
      </c>
      <c r="CK2629">
        <v>99</v>
      </c>
      <c r="CL2629">
        <v>-0.77</v>
      </c>
      <c r="CM2629">
        <v>99</v>
      </c>
      <c r="CN2629">
        <v>0.11</v>
      </c>
      <c r="CO2629">
        <v>99</v>
      </c>
      <c r="CP2629">
        <v>-2.5</v>
      </c>
      <c r="CQ2629">
        <v>99</v>
      </c>
      <c r="CR2629">
        <v>0</v>
      </c>
      <c r="CS2629">
        <v>0</v>
      </c>
      <c r="CT2629">
        <v>-0.7</v>
      </c>
      <c r="CU2629">
        <v>99</v>
      </c>
      <c r="CV2629">
        <v>0.19</v>
      </c>
      <c r="CW2629">
        <v>55</v>
      </c>
      <c r="CX2629" t="s">
        <v>207</v>
      </c>
    </row>
    <row r="2630" spans="1:102" x14ac:dyDescent="0.3">
      <c r="A2630" t="str">
        <f>HYPERLINK("https://webapp.icbf.com/v2/app/bull-search/view/510268339","KON")</f>
        <v>KON</v>
      </c>
      <c r="B2630" t="s">
        <v>4240</v>
      </c>
      <c r="C2630" t="s">
        <v>4241</v>
      </c>
      <c r="D2630" s="1">
        <v>38223</v>
      </c>
      <c r="E2630" t="s">
        <v>108</v>
      </c>
      <c r="F2630">
        <v>0</v>
      </c>
      <c r="G2630" t="s">
        <v>93</v>
      </c>
      <c r="H2630">
        <v>26.34</v>
      </c>
      <c r="I2630">
        <v>92</v>
      </c>
      <c r="J2630">
        <v>-61.52</v>
      </c>
      <c r="K2630">
        <v>98</v>
      </c>
      <c r="L2630">
        <v>79.73</v>
      </c>
      <c r="M2630">
        <v>85</v>
      </c>
      <c r="N2630">
        <v>-2.41</v>
      </c>
      <c r="O2630">
        <v>92</v>
      </c>
      <c r="P2630">
        <v>-14.06</v>
      </c>
      <c r="Q2630">
        <v>98</v>
      </c>
      <c r="R2630">
        <v>18.059999999999999</v>
      </c>
      <c r="S2630">
        <v>88</v>
      </c>
      <c r="T2630">
        <v>11.83</v>
      </c>
      <c r="U2630">
        <v>94</v>
      </c>
      <c r="V2630">
        <v>-5.29</v>
      </c>
      <c r="W2630">
        <v>91</v>
      </c>
      <c r="X2630" t="s">
        <v>234</v>
      </c>
      <c r="Y2630" t="s">
        <v>1128</v>
      </c>
      <c r="Z2630" t="s">
        <v>96</v>
      </c>
      <c r="AA2630" t="s">
        <v>4242</v>
      </c>
      <c r="AB2630" t="s">
        <v>4243</v>
      </c>
      <c r="AC2630">
        <v>237</v>
      </c>
      <c r="AD2630">
        <v>85</v>
      </c>
      <c r="AE2630">
        <v>98</v>
      </c>
      <c r="AF2630">
        <v>-198.97</v>
      </c>
      <c r="AG2630">
        <v>-9.0399999999999991</v>
      </c>
      <c r="AH2630">
        <v>-10.31</v>
      </c>
      <c r="AI2630">
        <v>-0.02</v>
      </c>
      <c r="AJ2630">
        <v>-0.06</v>
      </c>
      <c r="AK2630">
        <v>85</v>
      </c>
      <c r="AL2630">
        <v>313</v>
      </c>
      <c r="AM2630">
        <v>133</v>
      </c>
      <c r="AN2630">
        <v>-5.0199999999999996</v>
      </c>
      <c r="AO2630">
        <v>1.33</v>
      </c>
      <c r="AP2630">
        <v>477</v>
      </c>
      <c r="AQ2630">
        <v>1</v>
      </c>
      <c r="AR2630">
        <v>11.49</v>
      </c>
      <c r="AS2630">
        <v>85</v>
      </c>
      <c r="AT2630">
        <v>4.32</v>
      </c>
      <c r="AU2630">
        <v>94</v>
      </c>
      <c r="AV2630">
        <v>-2.8</v>
      </c>
      <c r="AW2630">
        <v>97</v>
      </c>
      <c r="AX2630">
        <v>-0.17</v>
      </c>
      <c r="AY2630">
        <v>93</v>
      </c>
      <c r="AZ2630">
        <v>7.31</v>
      </c>
      <c r="BA2630">
        <v>78</v>
      </c>
      <c r="BB2630">
        <v>4.88</v>
      </c>
      <c r="BC2630">
        <v>83</v>
      </c>
      <c r="BD2630">
        <v>-0.05</v>
      </c>
      <c r="BE2630">
        <v>-0.08</v>
      </c>
      <c r="BF2630">
        <v>-0.18</v>
      </c>
      <c r="BG2630">
        <v>94</v>
      </c>
      <c r="BH2630">
        <v>-0.28999999999999998</v>
      </c>
      <c r="BI2630">
        <v>-16.47</v>
      </c>
      <c r="BJ2630">
        <v>6</v>
      </c>
      <c r="BK2630">
        <v>4</v>
      </c>
      <c r="BL2630">
        <v>-2.97</v>
      </c>
      <c r="BM2630">
        <v>1.96</v>
      </c>
      <c r="BN2630">
        <v>-0.91</v>
      </c>
      <c r="BO2630">
        <v>-1.91</v>
      </c>
      <c r="BP2630">
        <v>-0.69</v>
      </c>
      <c r="BQ2630">
        <v>1.3</v>
      </c>
      <c r="BR2630">
        <v>-0.12</v>
      </c>
      <c r="BS2630">
        <v>0.57999999999999996</v>
      </c>
      <c r="BT2630">
        <v>0.3</v>
      </c>
      <c r="BU2630">
        <v>-0.4</v>
      </c>
      <c r="BV2630">
        <v>-1.69</v>
      </c>
      <c r="BW2630">
        <v>-1.29</v>
      </c>
      <c r="BX2630">
        <v>0.15</v>
      </c>
      <c r="BY2630">
        <v>0.68</v>
      </c>
      <c r="BZ2630">
        <v>-4.05</v>
      </c>
      <c r="CA2630">
        <v>-0.67</v>
      </c>
      <c r="CB2630">
        <v>-0.64</v>
      </c>
      <c r="CC2630">
        <v>-0.22</v>
      </c>
      <c r="CD2630">
        <v>2.2799999999999998</v>
      </c>
      <c r="CE2630">
        <v>-2.8</v>
      </c>
      <c r="CF2630">
        <v>-2.96</v>
      </c>
      <c r="CG2630">
        <v>0</v>
      </c>
      <c r="CH2630">
        <v>0.18</v>
      </c>
      <c r="CI2630">
        <v>0</v>
      </c>
      <c r="CJ2630">
        <v>-5.6</v>
      </c>
      <c r="CK2630">
        <v>98</v>
      </c>
      <c r="CL2630">
        <v>-0.39</v>
      </c>
      <c r="CM2630">
        <v>98</v>
      </c>
      <c r="CN2630">
        <v>0.1</v>
      </c>
      <c r="CO2630">
        <v>97</v>
      </c>
      <c r="CP2630">
        <v>-7.6</v>
      </c>
      <c r="CQ2630">
        <v>95</v>
      </c>
      <c r="CR2630">
        <v>0</v>
      </c>
      <c r="CS2630">
        <v>0</v>
      </c>
      <c r="CT2630">
        <v>-2.2000000000000002</v>
      </c>
      <c r="CU2630">
        <v>94</v>
      </c>
      <c r="CV2630">
        <v>0.1</v>
      </c>
      <c r="CW2630">
        <v>46</v>
      </c>
      <c r="CX2630" t="s">
        <v>1543</v>
      </c>
    </row>
    <row r="2631" spans="1:102" x14ac:dyDescent="0.3">
      <c r="A2631" t="str">
        <f>HYPERLINK("https://webapp.icbf.com/v2/app/bull-search/view/586202515","S705")</f>
        <v>S705</v>
      </c>
      <c r="B2631" t="s">
        <v>2629</v>
      </c>
      <c r="C2631" t="s">
        <v>2630</v>
      </c>
      <c r="D2631" s="1">
        <v>38846</v>
      </c>
      <c r="E2631" t="s">
        <v>92</v>
      </c>
      <c r="F2631">
        <v>100</v>
      </c>
      <c r="G2631" t="s">
        <v>109</v>
      </c>
      <c r="H2631">
        <v>26.32</v>
      </c>
      <c r="I2631">
        <v>81</v>
      </c>
      <c r="J2631">
        <v>17.579999999999998</v>
      </c>
      <c r="K2631">
        <v>89</v>
      </c>
      <c r="L2631">
        <v>-11.85</v>
      </c>
      <c r="M2631">
        <v>80</v>
      </c>
      <c r="N2631">
        <v>6.87</v>
      </c>
      <c r="O2631">
        <v>75</v>
      </c>
      <c r="P2631">
        <v>-0.35</v>
      </c>
      <c r="Q2631">
        <v>83</v>
      </c>
      <c r="R2631">
        <v>11.32</v>
      </c>
      <c r="S2631">
        <v>67</v>
      </c>
      <c r="T2631">
        <v>2.13</v>
      </c>
      <c r="U2631">
        <v>77</v>
      </c>
      <c r="V2631">
        <v>0.62</v>
      </c>
      <c r="W2631">
        <v>55</v>
      </c>
      <c r="X2631" t="s">
        <v>102</v>
      </c>
      <c r="Y2631" t="s">
        <v>1494</v>
      </c>
      <c r="Z2631" t="s">
        <v>96</v>
      </c>
      <c r="AA2631" t="s">
        <v>277</v>
      </c>
      <c r="AB2631" t="s">
        <v>2631</v>
      </c>
      <c r="AC2631">
        <v>33</v>
      </c>
      <c r="AD2631">
        <v>15</v>
      </c>
      <c r="AE2631">
        <v>89</v>
      </c>
      <c r="AF2631">
        <v>95.92</v>
      </c>
      <c r="AG2631">
        <v>4.97</v>
      </c>
      <c r="AH2631">
        <v>2.7</v>
      </c>
      <c r="AI2631">
        <v>0.02</v>
      </c>
      <c r="AJ2631">
        <v>-0.01</v>
      </c>
      <c r="AK2631">
        <v>80</v>
      </c>
      <c r="AL2631">
        <v>53</v>
      </c>
      <c r="AM2631">
        <v>23</v>
      </c>
      <c r="AN2631">
        <v>1.04</v>
      </c>
      <c r="AO2631">
        <v>0.1</v>
      </c>
      <c r="AP2631">
        <v>81</v>
      </c>
      <c r="AQ2631">
        <v>0</v>
      </c>
      <c r="AR2631">
        <v>9.32</v>
      </c>
      <c r="AS2631">
        <v>55</v>
      </c>
      <c r="AT2631">
        <v>3.23</v>
      </c>
      <c r="AU2631">
        <v>84</v>
      </c>
      <c r="AV2631">
        <v>-2.52</v>
      </c>
      <c r="AW2631">
        <v>85</v>
      </c>
      <c r="AX2631">
        <v>-7.0000000000000007E-2</v>
      </c>
      <c r="AY2631">
        <v>67</v>
      </c>
      <c r="AZ2631">
        <v>8.06</v>
      </c>
      <c r="BA2631">
        <v>47</v>
      </c>
      <c r="BB2631">
        <v>5.93</v>
      </c>
      <c r="BC2631">
        <v>49</v>
      </c>
      <c r="BD2631">
        <v>-0.05</v>
      </c>
      <c r="BE2631">
        <v>-0.03</v>
      </c>
      <c r="BF2631">
        <v>-0.12</v>
      </c>
      <c r="BG2631">
        <v>84</v>
      </c>
      <c r="BH2631">
        <v>-0.01</v>
      </c>
      <c r="BI2631">
        <v>-3.17</v>
      </c>
      <c r="BJ2631">
        <v>1</v>
      </c>
      <c r="BK2631">
        <v>1</v>
      </c>
      <c r="BL2631">
        <v>0.62</v>
      </c>
      <c r="BM2631">
        <v>-2.06</v>
      </c>
      <c r="BN2631">
        <v>-0.63</v>
      </c>
      <c r="BO2631">
        <v>0.52</v>
      </c>
      <c r="BP2631">
        <v>0.44</v>
      </c>
      <c r="BQ2631">
        <v>-1.88</v>
      </c>
      <c r="BR2631">
        <v>1.62</v>
      </c>
      <c r="BS2631">
        <v>0.46</v>
      </c>
      <c r="BT2631">
        <v>-1.5</v>
      </c>
      <c r="BU2631">
        <v>1.44</v>
      </c>
      <c r="BV2631">
        <v>0.23</v>
      </c>
      <c r="BW2631">
        <v>-0.73</v>
      </c>
      <c r="BX2631">
        <v>2.58</v>
      </c>
      <c r="BY2631">
        <v>-1.22</v>
      </c>
      <c r="BZ2631">
        <v>0.78</v>
      </c>
      <c r="CA2631">
        <v>0.68</v>
      </c>
      <c r="CB2631">
        <v>0.82</v>
      </c>
      <c r="CC2631">
        <v>-0.1</v>
      </c>
      <c r="CD2631">
        <v>-1.28</v>
      </c>
      <c r="CE2631">
        <v>0.45</v>
      </c>
      <c r="CF2631">
        <v>-0.34</v>
      </c>
      <c r="CG2631">
        <v>0</v>
      </c>
      <c r="CH2631">
        <v>-0.59</v>
      </c>
      <c r="CI2631">
        <v>0</v>
      </c>
      <c r="CJ2631">
        <v>1.3</v>
      </c>
      <c r="CK2631">
        <v>85</v>
      </c>
      <c r="CL2631">
        <v>-0.67</v>
      </c>
      <c r="CM2631">
        <v>82</v>
      </c>
      <c r="CN2631">
        <v>-0.36</v>
      </c>
      <c r="CO2631">
        <v>80</v>
      </c>
      <c r="CP2631">
        <v>3.7</v>
      </c>
      <c r="CQ2631">
        <v>75</v>
      </c>
      <c r="CR2631">
        <v>0</v>
      </c>
      <c r="CS2631">
        <v>0</v>
      </c>
      <c r="CT2631">
        <v>10.9</v>
      </c>
      <c r="CU2631">
        <v>77</v>
      </c>
      <c r="CV2631">
        <v>0.16</v>
      </c>
      <c r="CW2631">
        <v>24</v>
      </c>
      <c r="CX2631" t="s">
        <v>753</v>
      </c>
    </row>
    <row r="2632" spans="1:102" x14ac:dyDescent="0.3">
      <c r="A2632" t="str">
        <f>HYPERLINK("https://webapp.icbf.com/v2/app/bull-search/view/943548291","S1261")</f>
        <v>S1261</v>
      </c>
      <c r="B2632" t="s">
        <v>13150</v>
      </c>
      <c r="C2632" t="s">
        <v>13151</v>
      </c>
      <c r="D2632" s="1">
        <v>39719</v>
      </c>
      <c r="E2632" t="s">
        <v>140</v>
      </c>
      <c r="F2632">
        <v>0</v>
      </c>
      <c r="G2632" t="s">
        <v>109</v>
      </c>
      <c r="H2632">
        <v>26.28</v>
      </c>
      <c r="I2632">
        <v>66</v>
      </c>
      <c r="J2632">
        <v>-14.82</v>
      </c>
      <c r="K2632">
        <v>84</v>
      </c>
      <c r="L2632">
        <v>57.11</v>
      </c>
      <c r="M2632">
        <v>55</v>
      </c>
      <c r="N2632">
        <v>-27.44</v>
      </c>
      <c r="O2632">
        <v>56</v>
      </c>
      <c r="P2632">
        <v>11.74</v>
      </c>
      <c r="Q2632">
        <v>70</v>
      </c>
      <c r="R2632">
        <v>5.13</v>
      </c>
      <c r="S2632">
        <v>55</v>
      </c>
      <c r="T2632">
        <v>9.24</v>
      </c>
      <c r="U2632">
        <v>56</v>
      </c>
      <c r="V2632">
        <v>-14.68</v>
      </c>
      <c r="W2632">
        <v>50</v>
      </c>
      <c r="X2632" t="s">
        <v>102</v>
      </c>
      <c r="Y2632" t="s">
        <v>342</v>
      </c>
      <c r="Z2632">
        <v>0</v>
      </c>
      <c r="AA2632" t="s">
        <v>7553</v>
      </c>
      <c r="AB2632" t="s">
        <v>13152</v>
      </c>
      <c r="AC2632">
        <v>0</v>
      </c>
      <c r="AD2632">
        <v>0</v>
      </c>
      <c r="AE2632">
        <v>84</v>
      </c>
      <c r="AF2632">
        <v>68.98</v>
      </c>
      <c r="AG2632">
        <v>-3.52</v>
      </c>
      <c r="AH2632">
        <v>-0.22</v>
      </c>
      <c r="AI2632">
        <v>-0.11</v>
      </c>
      <c r="AJ2632">
        <v>-0.04</v>
      </c>
      <c r="AK2632">
        <v>55</v>
      </c>
      <c r="AL2632">
        <v>12</v>
      </c>
      <c r="AM2632">
        <v>5</v>
      </c>
      <c r="AN2632">
        <v>-2.7</v>
      </c>
      <c r="AO2632">
        <v>1.86</v>
      </c>
      <c r="AP2632">
        <v>18</v>
      </c>
      <c r="AQ2632">
        <v>0</v>
      </c>
      <c r="AR2632">
        <v>8.5</v>
      </c>
      <c r="AS2632">
        <v>43</v>
      </c>
      <c r="AT2632">
        <v>4.34</v>
      </c>
      <c r="AU2632">
        <v>55</v>
      </c>
      <c r="AV2632">
        <v>1.5</v>
      </c>
      <c r="AW2632">
        <v>69</v>
      </c>
      <c r="AX2632">
        <v>-0.05</v>
      </c>
      <c r="AY2632">
        <v>47</v>
      </c>
      <c r="AZ2632">
        <v>6.56</v>
      </c>
      <c r="BA2632">
        <v>34</v>
      </c>
      <c r="BB2632">
        <v>5.19</v>
      </c>
      <c r="BC2632">
        <v>35</v>
      </c>
      <c r="BD2632">
        <v>0.03</v>
      </c>
      <c r="BE2632">
        <v>-0.02</v>
      </c>
      <c r="BF2632">
        <v>-0.13</v>
      </c>
      <c r="BG2632">
        <v>62</v>
      </c>
      <c r="BH2632">
        <v>-0.34</v>
      </c>
      <c r="BI2632">
        <v>8.01</v>
      </c>
      <c r="BJ2632">
        <v>0</v>
      </c>
      <c r="BK2632">
        <v>0</v>
      </c>
      <c r="BL2632">
        <v>-0.91</v>
      </c>
      <c r="BM2632">
        <v>3.62</v>
      </c>
      <c r="BN2632">
        <v>-1.62</v>
      </c>
      <c r="BO2632">
        <v>-3.11</v>
      </c>
      <c r="BP2632">
        <v>4.05</v>
      </c>
      <c r="BQ2632">
        <v>-1.82</v>
      </c>
      <c r="BR2632">
        <v>-2.38</v>
      </c>
      <c r="BS2632">
        <v>-0.28000000000000003</v>
      </c>
      <c r="BT2632">
        <v>2.42</v>
      </c>
      <c r="BU2632">
        <v>-3.41</v>
      </c>
      <c r="BV2632">
        <v>-3.74</v>
      </c>
      <c r="BW2632">
        <v>-2.91</v>
      </c>
      <c r="BX2632">
        <v>-2.86</v>
      </c>
      <c r="BY2632">
        <v>-1.86</v>
      </c>
      <c r="BZ2632">
        <v>1.17</v>
      </c>
      <c r="CA2632">
        <v>-2.42</v>
      </c>
      <c r="CB2632">
        <v>-3.1</v>
      </c>
      <c r="CC2632">
        <v>-0.37</v>
      </c>
      <c r="CD2632">
        <v>3.94</v>
      </c>
      <c r="CE2632">
        <v>-2.95</v>
      </c>
      <c r="CF2632">
        <v>-1.22</v>
      </c>
      <c r="CG2632">
        <v>0</v>
      </c>
      <c r="CH2632">
        <v>-2.76</v>
      </c>
      <c r="CI2632">
        <v>0</v>
      </c>
      <c r="CJ2632">
        <v>2.7</v>
      </c>
      <c r="CK2632">
        <v>73</v>
      </c>
      <c r="CL2632">
        <v>0.28000000000000003</v>
      </c>
      <c r="CM2632">
        <v>69</v>
      </c>
      <c r="CN2632">
        <v>-0.45</v>
      </c>
      <c r="CO2632">
        <v>67</v>
      </c>
      <c r="CP2632">
        <v>-1</v>
      </c>
      <c r="CQ2632">
        <v>60</v>
      </c>
      <c r="CR2632">
        <v>0</v>
      </c>
      <c r="CS2632">
        <v>0</v>
      </c>
      <c r="CT2632">
        <v>1.3</v>
      </c>
      <c r="CU2632">
        <v>56</v>
      </c>
      <c r="CV2632">
        <v>0.03</v>
      </c>
      <c r="CW2632">
        <v>40</v>
      </c>
      <c r="CX2632" t="s">
        <v>12754</v>
      </c>
    </row>
    <row r="2633" spans="1:102" x14ac:dyDescent="0.3">
      <c r="A2633" t="str">
        <f>HYPERLINK("https://webapp.icbf.com/v2/app/bull-search/view/1097412164","S1656")</f>
        <v>S1656</v>
      </c>
      <c r="B2633" t="s">
        <v>5853</v>
      </c>
      <c r="C2633" t="s">
        <v>5854</v>
      </c>
      <c r="D2633" s="1">
        <v>40713</v>
      </c>
      <c r="E2633" t="s">
        <v>92</v>
      </c>
      <c r="F2633">
        <v>100</v>
      </c>
      <c r="G2633" t="s">
        <v>109</v>
      </c>
      <c r="H2633">
        <v>26.15</v>
      </c>
      <c r="I2633">
        <v>56</v>
      </c>
      <c r="J2633">
        <v>74.05</v>
      </c>
      <c r="K2633">
        <v>72</v>
      </c>
      <c r="L2633">
        <v>-61.89</v>
      </c>
      <c r="M2633">
        <v>64</v>
      </c>
      <c r="N2633">
        <v>12.57</v>
      </c>
      <c r="O2633">
        <v>44</v>
      </c>
      <c r="P2633">
        <v>3.87</v>
      </c>
      <c r="Q2633">
        <v>31</v>
      </c>
      <c r="R2633">
        <v>3.29</v>
      </c>
      <c r="S2633">
        <v>50</v>
      </c>
      <c r="T2633">
        <v>-7.04</v>
      </c>
      <c r="U2633">
        <v>22</v>
      </c>
      <c r="V2633">
        <v>1.3</v>
      </c>
      <c r="W2633">
        <v>16</v>
      </c>
      <c r="X2633" t="s">
        <v>276</v>
      </c>
      <c r="Y2633" t="s">
        <v>362</v>
      </c>
      <c r="Z2633" t="s">
        <v>96</v>
      </c>
      <c r="AA2633" t="s">
        <v>353</v>
      </c>
      <c r="AB2633" t="s">
        <v>5855</v>
      </c>
      <c r="AC2633">
        <v>0</v>
      </c>
      <c r="AD2633">
        <v>0</v>
      </c>
      <c r="AE2633">
        <v>72</v>
      </c>
      <c r="AF2633">
        <v>539.25</v>
      </c>
      <c r="AG2633">
        <v>16.98</v>
      </c>
      <c r="AH2633">
        <v>14.84</v>
      </c>
      <c r="AI2633">
        <v>-0.06</v>
      </c>
      <c r="AJ2633">
        <v>-0.06</v>
      </c>
      <c r="AK2633">
        <v>64</v>
      </c>
      <c r="AL2633">
        <v>0</v>
      </c>
      <c r="AM2633">
        <v>0</v>
      </c>
      <c r="AN2633">
        <v>3.84</v>
      </c>
      <c r="AO2633">
        <v>-1.0900000000000001</v>
      </c>
      <c r="AP2633">
        <v>4</v>
      </c>
      <c r="AQ2633">
        <v>0</v>
      </c>
      <c r="AR2633">
        <v>6.76</v>
      </c>
      <c r="AS2633">
        <v>28</v>
      </c>
      <c r="AT2633">
        <v>3.22</v>
      </c>
      <c r="AU2633">
        <v>70</v>
      </c>
      <c r="AV2633">
        <v>-1.39</v>
      </c>
      <c r="AW2633">
        <v>47</v>
      </c>
      <c r="AX2633">
        <v>0.88</v>
      </c>
      <c r="AY2633">
        <v>28</v>
      </c>
      <c r="AZ2633">
        <v>5.91</v>
      </c>
      <c r="BA2633">
        <v>19</v>
      </c>
      <c r="BB2633">
        <v>4.66</v>
      </c>
      <c r="BC2633">
        <v>17</v>
      </c>
      <c r="BD2633">
        <v>-0.01</v>
      </c>
      <c r="BE2633">
        <v>-0.01</v>
      </c>
      <c r="BF2633">
        <v>-0.04</v>
      </c>
      <c r="BG2633">
        <v>75</v>
      </c>
      <c r="BH2633">
        <v>-0.02</v>
      </c>
      <c r="BI2633">
        <v>-6.51</v>
      </c>
      <c r="BJ2633">
        <v>2</v>
      </c>
      <c r="BK2633">
        <v>2</v>
      </c>
      <c r="BL2633">
        <v>2.4900000000000002</v>
      </c>
      <c r="BM2633">
        <v>-0.19</v>
      </c>
      <c r="BN2633">
        <v>1.34</v>
      </c>
      <c r="BO2633">
        <v>1.29</v>
      </c>
      <c r="BP2633">
        <v>1.76</v>
      </c>
      <c r="BQ2633">
        <v>1.41</v>
      </c>
      <c r="BR2633">
        <v>-1.81</v>
      </c>
      <c r="BS2633">
        <v>1.61</v>
      </c>
      <c r="BT2633">
        <v>1.76</v>
      </c>
      <c r="BU2633">
        <v>2</v>
      </c>
      <c r="BV2633">
        <v>2.97</v>
      </c>
      <c r="BW2633">
        <v>1.54</v>
      </c>
      <c r="BX2633">
        <v>2.37</v>
      </c>
      <c r="BY2633">
        <v>0.28999999999999998</v>
      </c>
      <c r="BZ2633">
        <v>1.22</v>
      </c>
      <c r="CA2633">
        <v>2.4300000000000002</v>
      </c>
      <c r="CB2633">
        <v>2.2400000000000002</v>
      </c>
      <c r="CC2633">
        <v>1.74</v>
      </c>
      <c r="CD2633">
        <v>-0.83</v>
      </c>
      <c r="CE2633">
        <v>1.26</v>
      </c>
      <c r="CF2633">
        <v>1.79</v>
      </c>
      <c r="CG2633">
        <v>0</v>
      </c>
      <c r="CH2633">
        <v>1.0900000000000001</v>
      </c>
      <c r="CI2633">
        <v>0</v>
      </c>
      <c r="CJ2633">
        <v>5</v>
      </c>
      <c r="CK2633">
        <v>32</v>
      </c>
      <c r="CL2633">
        <v>-1.04</v>
      </c>
      <c r="CM2633">
        <v>30</v>
      </c>
      <c r="CN2633">
        <v>-0.59</v>
      </c>
      <c r="CO2633">
        <v>29</v>
      </c>
      <c r="CP2633">
        <v>5.3</v>
      </c>
      <c r="CQ2633">
        <v>24</v>
      </c>
      <c r="CR2633">
        <v>0</v>
      </c>
      <c r="CS2633">
        <v>0</v>
      </c>
      <c r="CT2633">
        <v>23.3</v>
      </c>
      <c r="CU2633">
        <v>22</v>
      </c>
      <c r="CV2633">
        <v>0.4</v>
      </c>
      <c r="CW2633">
        <v>10</v>
      </c>
      <c r="CX2633" t="s">
        <v>309</v>
      </c>
    </row>
    <row r="2634" spans="1:102" x14ac:dyDescent="0.3">
      <c r="A2634" t="str">
        <f>HYPERLINK("https://webapp.icbf.com/v2/app/bull-search/view/108379851","HEB")</f>
        <v>HEB</v>
      </c>
      <c r="B2634" t="s">
        <v>10783</v>
      </c>
      <c r="C2634" t="s">
        <v>5781</v>
      </c>
      <c r="D2634" s="1">
        <v>34293</v>
      </c>
      <c r="E2634" t="s">
        <v>146</v>
      </c>
      <c r="F2634">
        <v>0</v>
      </c>
      <c r="G2634" t="s">
        <v>109</v>
      </c>
      <c r="H2634">
        <v>25.98</v>
      </c>
      <c r="I2634">
        <v>71</v>
      </c>
      <c r="J2634">
        <v>-12.02</v>
      </c>
      <c r="K2634">
        <v>77</v>
      </c>
      <c r="L2634">
        <v>-7.44</v>
      </c>
      <c r="M2634">
        <v>65</v>
      </c>
      <c r="N2634">
        <v>34.75</v>
      </c>
      <c r="O2634">
        <v>69</v>
      </c>
      <c r="P2634">
        <v>7.61</v>
      </c>
      <c r="Q2634">
        <v>88</v>
      </c>
      <c r="R2634">
        <v>-3.52</v>
      </c>
      <c r="S2634">
        <v>64</v>
      </c>
      <c r="T2634">
        <v>8.42</v>
      </c>
      <c r="U2634">
        <v>71</v>
      </c>
      <c r="V2634">
        <v>-1.82</v>
      </c>
      <c r="W2634">
        <v>39</v>
      </c>
      <c r="X2634" t="s">
        <v>94</v>
      </c>
      <c r="Y2634" t="s">
        <v>95</v>
      </c>
      <c r="Z2634">
        <v>0</v>
      </c>
      <c r="AA2634" t="s">
        <v>1312</v>
      </c>
      <c r="AB2634" t="s">
        <v>10784</v>
      </c>
      <c r="AC2634">
        <v>0</v>
      </c>
      <c r="AD2634">
        <v>0</v>
      </c>
      <c r="AE2634">
        <v>77</v>
      </c>
      <c r="AF2634">
        <v>-196.55</v>
      </c>
      <c r="AG2634">
        <v>-5.83</v>
      </c>
      <c r="AH2634">
        <v>-2.99</v>
      </c>
      <c r="AI2634">
        <v>0.03</v>
      </c>
      <c r="AJ2634">
        <v>0.06</v>
      </c>
      <c r="AK2634">
        <v>65</v>
      </c>
      <c r="AL2634">
        <v>0</v>
      </c>
      <c r="AM2634">
        <v>0</v>
      </c>
      <c r="AN2634">
        <v>0.69</v>
      </c>
      <c r="AO2634">
        <v>0.1</v>
      </c>
      <c r="AP2634">
        <v>89</v>
      </c>
      <c r="AQ2634">
        <v>3</v>
      </c>
      <c r="AR2634">
        <v>5.29</v>
      </c>
      <c r="AS2634">
        <v>60</v>
      </c>
      <c r="AT2634">
        <v>2.13</v>
      </c>
      <c r="AU2634">
        <v>72</v>
      </c>
      <c r="AV2634">
        <v>-2.64</v>
      </c>
      <c r="AW2634">
        <v>83</v>
      </c>
      <c r="AX2634">
        <v>0.17</v>
      </c>
      <c r="AY2634">
        <v>74</v>
      </c>
      <c r="AZ2634">
        <v>6.25</v>
      </c>
      <c r="BA2634">
        <v>33</v>
      </c>
      <c r="BB2634">
        <v>4.79</v>
      </c>
      <c r="BC2634">
        <v>36</v>
      </c>
      <c r="BD2634">
        <v>0</v>
      </c>
      <c r="BE2634">
        <v>-0.01</v>
      </c>
      <c r="BF2634">
        <v>0.1</v>
      </c>
      <c r="BG2634">
        <v>83</v>
      </c>
      <c r="BH2634">
        <v>-0.13</v>
      </c>
      <c r="BI2634">
        <v>-9.18</v>
      </c>
      <c r="BJ2634">
        <v>0</v>
      </c>
      <c r="BK2634">
        <v>0</v>
      </c>
      <c r="BL2634">
        <v>-1.75</v>
      </c>
      <c r="BM2634">
        <v>2.2000000000000002</v>
      </c>
      <c r="BN2634">
        <v>-1.27</v>
      </c>
      <c r="BO2634">
        <v>-1.66</v>
      </c>
      <c r="BP2634">
        <v>4.29</v>
      </c>
      <c r="BQ2634">
        <v>0.75</v>
      </c>
      <c r="BR2634">
        <v>-0.34</v>
      </c>
      <c r="BS2634">
        <v>0.05</v>
      </c>
      <c r="BT2634">
        <v>-0.36</v>
      </c>
      <c r="BU2634">
        <v>-1.69</v>
      </c>
      <c r="BV2634">
        <v>-3.06</v>
      </c>
      <c r="BW2634">
        <v>-2.1800000000000002</v>
      </c>
      <c r="BX2634">
        <v>-2.0499999999999998</v>
      </c>
      <c r="BY2634">
        <v>-0.6</v>
      </c>
      <c r="BZ2634">
        <v>0.26</v>
      </c>
      <c r="CA2634">
        <v>-2.08</v>
      </c>
      <c r="CB2634">
        <v>-2.19</v>
      </c>
      <c r="CC2634">
        <v>-0.48</v>
      </c>
      <c r="CD2634">
        <v>1.9</v>
      </c>
      <c r="CE2634">
        <v>-1.59</v>
      </c>
      <c r="CF2634">
        <v>-0.88</v>
      </c>
      <c r="CG2634">
        <v>0</v>
      </c>
      <c r="CH2634">
        <v>-1.28</v>
      </c>
      <c r="CI2634">
        <v>0</v>
      </c>
      <c r="CJ2634">
        <v>1.1000000000000001</v>
      </c>
      <c r="CK2634">
        <v>89</v>
      </c>
      <c r="CL2634">
        <v>0.28999999999999998</v>
      </c>
      <c r="CM2634">
        <v>87</v>
      </c>
      <c r="CN2634">
        <v>-0.24</v>
      </c>
      <c r="CO2634">
        <v>85</v>
      </c>
      <c r="CP2634">
        <v>1.9</v>
      </c>
      <c r="CQ2634">
        <v>84</v>
      </c>
      <c r="CR2634">
        <v>0</v>
      </c>
      <c r="CS2634">
        <v>0</v>
      </c>
      <c r="CT2634">
        <v>2.4</v>
      </c>
      <c r="CU2634">
        <v>71</v>
      </c>
      <c r="CV2634">
        <v>-0.27</v>
      </c>
      <c r="CW2634">
        <v>26</v>
      </c>
      <c r="CX2634" t="s">
        <v>10785</v>
      </c>
    </row>
    <row r="2635" spans="1:102" x14ac:dyDescent="0.3">
      <c r="A2635" t="str">
        <f>HYPERLINK("https://webapp.icbf.com/v2/app/bull-search/view/984466298","S1366")</f>
        <v>S1366</v>
      </c>
      <c r="B2635" t="s">
        <v>13077</v>
      </c>
      <c r="C2635" t="s">
        <v>2224</v>
      </c>
      <c r="D2635" s="1">
        <v>40523</v>
      </c>
      <c r="E2635" t="s">
        <v>92</v>
      </c>
      <c r="F2635">
        <v>100</v>
      </c>
      <c r="G2635" t="s">
        <v>109</v>
      </c>
      <c r="H2635">
        <v>25.87</v>
      </c>
      <c r="I2635">
        <v>79</v>
      </c>
      <c r="J2635">
        <v>46.02</v>
      </c>
      <c r="K2635">
        <v>93</v>
      </c>
      <c r="L2635">
        <v>-64.58</v>
      </c>
      <c r="M2635">
        <v>86</v>
      </c>
      <c r="N2635">
        <v>48.2</v>
      </c>
      <c r="O2635">
        <v>72</v>
      </c>
      <c r="P2635">
        <v>7</v>
      </c>
      <c r="Q2635">
        <v>55</v>
      </c>
      <c r="R2635">
        <v>13.71</v>
      </c>
      <c r="S2635">
        <v>74</v>
      </c>
      <c r="T2635">
        <v>-23.17</v>
      </c>
      <c r="U2635">
        <v>43</v>
      </c>
      <c r="V2635">
        <v>-1.31</v>
      </c>
      <c r="W2635">
        <v>54</v>
      </c>
      <c r="X2635" t="s">
        <v>94</v>
      </c>
      <c r="Y2635" t="s">
        <v>342</v>
      </c>
      <c r="Z2635" t="s">
        <v>96</v>
      </c>
      <c r="AA2635" t="s">
        <v>5937</v>
      </c>
      <c r="AB2635" t="s">
        <v>13078</v>
      </c>
      <c r="AC2635">
        <v>0</v>
      </c>
      <c r="AD2635">
        <v>0</v>
      </c>
      <c r="AE2635">
        <v>93</v>
      </c>
      <c r="AF2635">
        <v>738.73</v>
      </c>
      <c r="AG2635">
        <v>9.6199999999999992</v>
      </c>
      <c r="AH2635">
        <v>15.73</v>
      </c>
      <c r="AI2635">
        <v>-0.3</v>
      </c>
      <c r="AJ2635">
        <v>-0.14000000000000001</v>
      </c>
      <c r="AK2635">
        <v>86</v>
      </c>
      <c r="AL2635">
        <v>0</v>
      </c>
      <c r="AM2635">
        <v>0</v>
      </c>
      <c r="AN2635">
        <v>4.32</v>
      </c>
      <c r="AO2635">
        <v>-0.82</v>
      </c>
      <c r="AP2635">
        <v>44</v>
      </c>
      <c r="AQ2635">
        <v>0</v>
      </c>
      <c r="AR2635">
        <v>5.53</v>
      </c>
      <c r="AS2635">
        <v>61</v>
      </c>
      <c r="AT2635">
        <v>3.04</v>
      </c>
      <c r="AU2635">
        <v>95</v>
      </c>
      <c r="AV2635">
        <v>-4.47</v>
      </c>
      <c r="AW2635">
        <v>76</v>
      </c>
      <c r="AX2635">
        <v>-0.34</v>
      </c>
      <c r="AY2635">
        <v>63</v>
      </c>
      <c r="AZ2635">
        <v>5.43</v>
      </c>
      <c r="BA2635">
        <v>40</v>
      </c>
      <c r="BB2635">
        <v>4</v>
      </c>
      <c r="BC2635">
        <v>37</v>
      </c>
      <c r="BD2635">
        <v>-0.08</v>
      </c>
      <c r="BE2635">
        <v>-0.08</v>
      </c>
      <c r="BF2635">
        <v>-0.03</v>
      </c>
      <c r="BG2635">
        <v>93</v>
      </c>
      <c r="BH2635">
        <v>-0.11</v>
      </c>
      <c r="BI2635">
        <v>-8.51</v>
      </c>
      <c r="BJ2635">
        <v>4</v>
      </c>
      <c r="BK2635">
        <v>4</v>
      </c>
      <c r="BL2635">
        <v>2.96</v>
      </c>
      <c r="BM2635">
        <v>-0.8</v>
      </c>
      <c r="BN2635">
        <v>1.1299999999999999</v>
      </c>
      <c r="BO2635">
        <v>1.79</v>
      </c>
      <c r="BP2635">
        <v>0.28999999999999998</v>
      </c>
      <c r="BQ2635">
        <v>2.86</v>
      </c>
      <c r="BR2635">
        <v>2.76</v>
      </c>
      <c r="BS2635">
        <v>1.79</v>
      </c>
      <c r="BT2635">
        <v>-1.83</v>
      </c>
      <c r="BU2635">
        <v>4.04</v>
      </c>
      <c r="BV2635">
        <v>3.32</v>
      </c>
      <c r="BW2635">
        <v>3.07</v>
      </c>
      <c r="BX2635">
        <v>3.27</v>
      </c>
      <c r="BY2635">
        <v>3.8</v>
      </c>
      <c r="BZ2635">
        <v>-1.45</v>
      </c>
      <c r="CA2635">
        <v>2.83</v>
      </c>
      <c r="CB2635">
        <v>3.4</v>
      </c>
      <c r="CC2635">
        <v>0.65</v>
      </c>
      <c r="CD2635">
        <v>-1.39</v>
      </c>
      <c r="CE2635">
        <v>0.82</v>
      </c>
      <c r="CF2635">
        <v>2.02</v>
      </c>
      <c r="CG2635">
        <v>0</v>
      </c>
      <c r="CH2635">
        <v>4.0599999999999996</v>
      </c>
      <c r="CI2635">
        <v>0</v>
      </c>
      <c r="CJ2635">
        <v>7</v>
      </c>
      <c r="CK2635">
        <v>57</v>
      </c>
      <c r="CL2635">
        <v>-1.56</v>
      </c>
      <c r="CM2635">
        <v>54</v>
      </c>
      <c r="CN2635">
        <v>-0.92</v>
      </c>
      <c r="CO2635">
        <v>53</v>
      </c>
      <c r="CP2635">
        <v>17.8</v>
      </c>
      <c r="CQ2635">
        <v>48</v>
      </c>
      <c r="CR2635">
        <v>0</v>
      </c>
      <c r="CS2635">
        <v>0</v>
      </c>
      <c r="CT2635">
        <v>45.1</v>
      </c>
      <c r="CU2635">
        <v>43</v>
      </c>
      <c r="CV2635">
        <v>0.34</v>
      </c>
      <c r="CW2635">
        <v>36</v>
      </c>
      <c r="CX2635" t="s">
        <v>1962</v>
      </c>
    </row>
    <row r="2636" spans="1:102" x14ac:dyDescent="0.3">
      <c r="A2636" t="str">
        <f>HYPERLINK("https://webapp.icbf.com/v2/app/bull-search/view/69092035","JSZ")</f>
        <v>JSZ</v>
      </c>
      <c r="B2636" t="s">
        <v>532</v>
      </c>
      <c r="C2636" t="s">
        <v>244</v>
      </c>
      <c r="D2636" s="1">
        <v>33796</v>
      </c>
      <c r="E2636" t="s">
        <v>227</v>
      </c>
      <c r="F2636">
        <v>0</v>
      </c>
      <c r="G2636" t="s">
        <v>93</v>
      </c>
      <c r="H2636">
        <v>25.81</v>
      </c>
      <c r="I2636">
        <v>83</v>
      </c>
      <c r="J2636">
        <v>-53.47</v>
      </c>
      <c r="K2636">
        <v>92</v>
      </c>
      <c r="L2636">
        <v>40.75</v>
      </c>
      <c r="M2636">
        <v>82</v>
      </c>
      <c r="N2636">
        <v>9.2799999999999994</v>
      </c>
      <c r="O2636">
        <v>74</v>
      </c>
      <c r="P2636">
        <v>-77.92</v>
      </c>
      <c r="Q2636">
        <v>81</v>
      </c>
      <c r="R2636">
        <v>6</v>
      </c>
      <c r="S2636">
        <v>69</v>
      </c>
      <c r="T2636">
        <v>91.97</v>
      </c>
      <c r="U2636">
        <v>77</v>
      </c>
      <c r="V2636">
        <v>9.1999999999999993</v>
      </c>
      <c r="W2636">
        <v>63</v>
      </c>
      <c r="X2636" t="s">
        <v>94</v>
      </c>
      <c r="Y2636" t="s">
        <v>95</v>
      </c>
      <c r="Z2636">
        <v>0</v>
      </c>
      <c r="AA2636" t="s">
        <v>533</v>
      </c>
      <c r="AB2636">
        <v>350290709</v>
      </c>
      <c r="AC2636">
        <v>52</v>
      </c>
      <c r="AD2636">
        <v>26</v>
      </c>
      <c r="AE2636">
        <v>92</v>
      </c>
      <c r="AF2636">
        <v>-398.95</v>
      </c>
      <c r="AG2636">
        <v>-6.05</v>
      </c>
      <c r="AH2636">
        <v>-13.06</v>
      </c>
      <c r="AI2636">
        <v>0.17</v>
      </c>
      <c r="AJ2636">
        <v>0.01</v>
      </c>
      <c r="AK2636">
        <v>82</v>
      </c>
      <c r="AL2636">
        <v>41</v>
      </c>
      <c r="AM2636">
        <v>13</v>
      </c>
      <c r="AN2636">
        <v>-0.62</v>
      </c>
      <c r="AO2636">
        <v>2.65</v>
      </c>
      <c r="AP2636">
        <v>48</v>
      </c>
      <c r="AQ2636">
        <v>0</v>
      </c>
      <c r="AR2636">
        <v>2.12</v>
      </c>
      <c r="AS2636">
        <v>62</v>
      </c>
      <c r="AT2636">
        <v>1.33</v>
      </c>
      <c r="AU2636">
        <v>69</v>
      </c>
      <c r="AV2636">
        <v>0.66</v>
      </c>
      <c r="AW2636">
        <v>87</v>
      </c>
      <c r="AX2636">
        <v>3.8</v>
      </c>
      <c r="AY2636">
        <v>75</v>
      </c>
      <c r="AZ2636">
        <v>5.86</v>
      </c>
      <c r="BA2636">
        <v>49</v>
      </c>
      <c r="BB2636">
        <v>4.8099999999999996</v>
      </c>
      <c r="BC2636">
        <v>57</v>
      </c>
      <c r="BD2636">
        <v>-0.06</v>
      </c>
      <c r="BE2636">
        <v>-0.02</v>
      </c>
      <c r="BF2636">
        <v>0</v>
      </c>
      <c r="BG2636">
        <v>80</v>
      </c>
      <c r="BH2636">
        <v>0.18</v>
      </c>
      <c r="BI2636">
        <v>-8.8699999999999992</v>
      </c>
      <c r="BJ2636">
        <v>1</v>
      </c>
      <c r="BK2636">
        <v>1</v>
      </c>
      <c r="BL2636">
        <v>-1.1299999999999999</v>
      </c>
      <c r="BM2636">
        <v>-1.77</v>
      </c>
      <c r="BN2636">
        <v>-0.3</v>
      </c>
      <c r="BO2636">
        <v>1.38</v>
      </c>
      <c r="BP2636">
        <v>0</v>
      </c>
      <c r="BQ2636">
        <v>-5.41</v>
      </c>
      <c r="BR2636">
        <v>2.84</v>
      </c>
      <c r="BS2636">
        <v>6.84</v>
      </c>
      <c r="BT2636">
        <v>-1.24</v>
      </c>
      <c r="BU2636">
        <v>1.46</v>
      </c>
      <c r="BV2636">
        <v>1.51</v>
      </c>
      <c r="BW2636">
        <v>-0.3</v>
      </c>
      <c r="BX2636">
        <v>-1.38</v>
      </c>
      <c r="BY2636">
        <v>0.12</v>
      </c>
      <c r="BZ2636">
        <v>-1.36</v>
      </c>
      <c r="CA2636">
        <v>2.99</v>
      </c>
      <c r="CB2636">
        <v>1.47</v>
      </c>
      <c r="CC2636">
        <v>4.6500000000000004</v>
      </c>
      <c r="CD2636">
        <v>-2.13</v>
      </c>
      <c r="CE2636">
        <v>1.68</v>
      </c>
      <c r="CF2636">
        <v>-0.94</v>
      </c>
      <c r="CG2636">
        <v>0</v>
      </c>
      <c r="CH2636">
        <v>0.13</v>
      </c>
      <c r="CI2636">
        <v>0</v>
      </c>
      <c r="CJ2636">
        <v>-44.8</v>
      </c>
      <c r="CK2636">
        <v>82</v>
      </c>
      <c r="CL2636">
        <v>-1.41</v>
      </c>
      <c r="CM2636">
        <v>79</v>
      </c>
      <c r="CN2636">
        <v>-0.79</v>
      </c>
      <c r="CO2636">
        <v>77</v>
      </c>
      <c r="CP2636">
        <v>-72</v>
      </c>
      <c r="CQ2636">
        <v>82</v>
      </c>
      <c r="CR2636">
        <v>0</v>
      </c>
      <c r="CS2636">
        <v>0</v>
      </c>
      <c r="CT2636">
        <v>-110.5</v>
      </c>
      <c r="CU2636">
        <v>77</v>
      </c>
      <c r="CV2636">
        <v>-0.57999999999999996</v>
      </c>
      <c r="CW2636">
        <v>23</v>
      </c>
      <c r="CX2636" t="s">
        <v>534</v>
      </c>
    </row>
    <row r="2637" spans="1:102" x14ac:dyDescent="0.3">
      <c r="A2637" t="str">
        <f>HYPERLINK("https://webapp.icbf.com/v2/app/bull-search/view/77859436","AXE")</f>
        <v>AXE</v>
      </c>
      <c r="B2637" t="s">
        <v>14328</v>
      </c>
      <c r="C2637" t="s">
        <v>4002</v>
      </c>
      <c r="D2637" s="1">
        <v>34394</v>
      </c>
      <c r="E2637" t="s">
        <v>92</v>
      </c>
      <c r="F2637">
        <v>94</v>
      </c>
      <c r="G2637" t="s">
        <v>93</v>
      </c>
      <c r="H2637">
        <v>25.72</v>
      </c>
      <c r="I2637">
        <v>74</v>
      </c>
      <c r="J2637">
        <v>33.520000000000003</v>
      </c>
      <c r="K2637">
        <v>92</v>
      </c>
      <c r="L2637">
        <v>15.1</v>
      </c>
      <c r="M2637">
        <v>62</v>
      </c>
      <c r="N2637">
        <v>-16.73</v>
      </c>
      <c r="O2637">
        <v>66</v>
      </c>
      <c r="P2637">
        <v>-7.74</v>
      </c>
      <c r="Q2637">
        <v>85</v>
      </c>
      <c r="R2637">
        <v>-11.77</v>
      </c>
      <c r="S2637">
        <v>65</v>
      </c>
      <c r="T2637">
        <v>9.98</v>
      </c>
      <c r="U2637">
        <v>70</v>
      </c>
      <c r="V2637">
        <v>3.36</v>
      </c>
      <c r="W2637">
        <v>41</v>
      </c>
      <c r="X2637" t="s">
        <v>94</v>
      </c>
      <c r="Y2637" t="s">
        <v>95</v>
      </c>
      <c r="Z2637" t="s">
        <v>96</v>
      </c>
      <c r="AA2637" t="s">
        <v>1488</v>
      </c>
      <c r="AB2637" t="s">
        <v>8533</v>
      </c>
      <c r="AC2637">
        <v>53</v>
      </c>
      <c r="AD2637">
        <v>47</v>
      </c>
      <c r="AE2637">
        <v>92</v>
      </c>
      <c r="AF2637">
        <v>7.91</v>
      </c>
      <c r="AG2637">
        <v>3.88</v>
      </c>
      <c r="AH2637">
        <v>4.45</v>
      </c>
      <c r="AI2637">
        <v>0.06</v>
      </c>
      <c r="AJ2637">
        <v>7.0000000000000007E-2</v>
      </c>
      <c r="AK2637">
        <v>62</v>
      </c>
      <c r="AL2637">
        <v>66</v>
      </c>
      <c r="AM2637">
        <v>48</v>
      </c>
      <c r="AN2637">
        <v>-0.4</v>
      </c>
      <c r="AO2637">
        <v>0.81</v>
      </c>
      <c r="AP2637">
        <v>24</v>
      </c>
      <c r="AQ2637">
        <v>0</v>
      </c>
      <c r="AR2637">
        <v>9.1199999999999992</v>
      </c>
      <c r="AS2637">
        <v>34</v>
      </c>
      <c r="AT2637">
        <v>3.76</v>
      </c>
      <c r="AU2637">
        <v>62</v>
      </c>
      <c r="AV2637">
        <v>0.5</v>
      </c>
      <c r="AW2637">
        <v>80</v>
      </c>
      <c r="AX2637">
        <v>0.35</v>
      </c>
      <c r="AY2637">
        <v>70</v>
      </c>
      <c r="AZ2637">
        <v>6.45</v>
      </c>
      <c r="BA2637">
        <v>37</v>
      </c>
      <c r="BB2637">
        <v>5.31</v>
      </c>
      <c r="BC2637">
        <v>52</v>
      </c>
      <c r="BD2637">
        <v>0.04</v>
      </c>
      <c r="BE2637">
        <v>0.06</v>
      </c>
      <c r="BF2637">
        <v>0.09</v>
      </c>
      <c r="BG2637">
        <v>79</v>
      </c>
      <c r="BH2637">
        <v>0.16</v>
      </c>
      <c r="BI2637">
        <v>7.68</v>
      </c>
      <c r="BJ2637">
        <v>10</v>
      </c>
      <c r="BK2637">
        <v>10</v>
      </c>
      <c r="BL2637">
        <v>-0.02</v>
      </c>
      <c r="BM2637">
        <v>-0.49</v>
      </c>
      <c r="BN2637">
        <v>0.08</v>
      </c>
      <c r="BO2637">
        <v>0.31</v>
      </c>
      <c r="BP2637">
        <v>-1.94</v>
      </c>
      <c r="BQ2637">
        <v>-0.39</v>
      </c>
      <c r="BR2637">
        <v>-0.11</v>
      </c>
      <c r="BS2637">
        <v>0.46</v>
      </c>
      <c r="BT2637">
        <v>0.36</v>
      </c>
      <c r="BU2637">
        <v>-0.27</v>
      </c>
      <c r="BV2637">
        <v>-0.12</v>
      </c>
      <c r="BW2637">
        <v>-0.14000000000000001</v>
      </c>
      <c r="BX2637">
        <v>-0.44</v>
      </c>
      <c r="BY2637">
        <v>-0.64</v>
      </c>
      <c r="BZ2637">
        <v>0.7</v>
      </c>
      <c r="CA2637">
        <v>0.1</v>
      </c>
      <c r="CB2637">
        <v>-0.08</v>
      </c>
      <c r="CC2637">
        <v>0.43</v>
      </c>
      <c r="CD2637">
        <v>-0.15</v>
      </c>
      <c r="CE2637">
        <v>0.45</v>
      </c>
      <c r="CF2637">
        <v>-0.21</v>
      </c>
      <c r="CG2637">
        <v>0</v>
      </c>
      <c r="CH2637">
        <v>-0.39</v>
      </c>
      <c r="CI2637">
        <v>0</v>
      </c>
      <c r="CJ2637">
        <v>1.2</v>
      </c>
      <c r="CK2637">
        <v>86</v>
      </c>
      <c r="CL2637">
        <v>-0.71</v>
      </c>
      <c r="CM2637">
        <v>83</v>
      </c>
      <c r="CN2637">
        <v>0.11</v>
      </c>
      <c r="CO2637">
        <v>81</v>
      </c>
      <c r="CP2637">
        <v>-5.2</v>
      </c>
      <c r="CQ2637">
        <v>86</v>
      </c>
      <c r="CR2637">
        <v>0</v>
      </c>
      <c r="CS2637">
        <v>0</v>
      </c>
      <c r="CT2637">
        <v>0.3</v>
      </c>
      <c r="CU2637">
        <v>70</v>
      </c>
      <c r="CV2637">
        <v>0.34</v>
      </c>
      <c r="CW2637">
        <v>24</v>
      </c>
      <c r="CX2637" t="s">
        <v>14329</v>
      </c>
    </row>
    <row r="2638" spans="1:102" x14ac:dyDescent="0.3">
      <c r="A2638" t="str">
        <f>HYPERLINK("https://webapp.icbf.com/v2/app/bull-search/view/69092155","LOA")</f>
        <v>LOA</v>
      </c>
      <c r="B2638" t="s">
        <v>6447</v>
      </c>
      <c r="C2638" t="s">
        <v>6448</v>
      </c>
      <c r="D2638" s="1">
        <v>33357</v>
      </c>
      <c r="E2638" t="s">
        <v>146</v>
      </c>
      <c r="F2638">
        <v>0</v>
      </c>
      <c r="G2638" t="s">
        <v>109</v>
      </c>
      <c r="H2638">
        <v>25.65</v>
      </c>
      <c r="I2638">
        <v>55</v>
      </c>
      <c r="J2638">
        <v>-49.97</v>
      </c>
      <c r="K2638">
        <v>76</v>
      </c>
      <c r="L2638">
        <v>25.47</v>
      </c>
      <c r="M2638">
        <v>60</v>
      </c>
      <c r="N2638">
        <v>32.880000000000003</v>
      </c>
      <c r="O2638">
        <v>30</v>
      </c>
      <c r="P2638">
        <v>19.97</v>
      </c>
      <c r="Q2638">
        <v>35</v>
      </c>
      <c r="R2638">
        <v>-3.15</v>
      </c>
      <c r="S2638">
        <v>53</v>
      </c>
      <c r="T2638">
        <v>9.02</v>
      </c>
      <c r="U2638">
        <v>25</v>
      </c>
      <c r="V2638">
        <v>-8.57</v>
      </c>
      <c r="W2638">
        <v>13</v>
      </c>
      <c r="X2638" t="s">
        <v>110</v>
      </c>
      <c r="Y2638" t="s">
        <v>95</v>
      </c>
      <c r="Z2638">
        <v>0</v>
      </c>
      <c r="AA2638" t="s">
        <v>580</v>
      </c>
      <c r="AB2638" t="s">
        <v>6449</v>
      </c>
      <c r="AC2638">
        <v>0</v>
      </c>
      <c r="AD2638">
        <v>0</v>
      </c>
      <c r="AE2638">
        <v>76</v>
      </c>
      <c r="AF2638">
        <v>-467.51</v>
      </c>
      <c r="AG2638">
        <v>-15.05</v>
      </c>
      <c r="AH2638">
        <v>-10.33</v>
      </c>
      <c r="AI2638">
        <v>0.06</v>
      </c>
      <c r="AJ2638">
        <v>0.1</v>
      </c>
      <c r="AK2638">
        <v>60</v>
      </c>
      <c r="AL2638">
        <v>0</v>
      </c>
      <c r="AM2638">
        <v>0</v>
      </c>
      <c r="AN2638">
        <v>-3.03</v>
      </c>
      <c r="AO2638">
        <v>-1.02</v>
      </c>
      <c r="AP2638">
        <v>2</v>
      </c>
      <c r="AQ2638">
        <v>2</v>
      </c>
      <c r="AR2638">
        <v>3.92</v>
      </c>
      <c r="AS2638">
        <v>13</v>
      </c>
      <c r="AT2638">
        <v>1.77</v>
      </c>
      <c r="AU2638">
        <v>69</v>
      </c>
      <c r="AV2638">
        <v>-1.87</v>
      </c>
      <c r="AW2638">
        <v>17</v>
      </c>
      <c r="AX2638">
        <v>-0.05</v>
      </c>
      <c r="AY2638">
        <v>23</v>
      </c>
      <c r="AZ2638">
        <v>6.37</v>
      </c>
      <c r="BA2638">
        <v>13</v>
      </c>
      <c r="BB2638">
        <v>4.9800000000000004</v>
      </c>
      <c r="BC2638">
        <v>15</v>
      </c>
      <c r="BD2638">
        <v>-0.01</v>
      </c>
      <c r="BE2638">
        <v>0.01</v>
      </c>
      <c r="BF2638">
        <v>7.0000000000000007E-2</v>
      </c>
      <c r="BG2638">
        <v>82</v>
      </c>
      <c r="BH2638">
        <v>-0.19</v>
      </c>
      <c r="BI2638">
        <v>5.68</v>
      </c>
      <c r="BJ2638">
        <v>1</v>
      </c>
      <c r="BK2638">
        <v>1</v>
      </c>
      <c r="BL2638">
        <v>-2.08</v>
      </c>
      <c r="BM2638">
        <v>3.09</v>
      </c>
      <c r="BN2638">
        <v>-1.7</v>
      </c>
      <c r="BO2638">
        <v>-2.0699999999999998</v>
      </c>
      <c r="BP2638">
        <v>3.63</v>
      </c>
      <c r="BQ2638">
        <v>0.72</v>
      </c>
      <c r="BR2638">
        <v>-3.08</v>
      </c>
      <c r="BS2638">
        <v>0.2</v>
      </c>
      <c r="BT2638">
        <v>-0.85</v>
      </c>
      <c r="BU2638">
        <v>-1.74</v>
      </c>
      <c r="BV2638">
        <v>-4.3899999999999997</v>
      </c>
      <c r="BW2638">
        <v>-4.05</v>
      </c>
      <c r="BX2638">
        <v>-2.2200000000000002</v>
      </c>
      <c r="BY2638">
        <v>-2.68</v>
      </c>
      <c r="BZ2638">
        <v>0.14000000000000001</v>
      </c>
      <c r="CA2638">
        <v>-2.72</v>
      </c>
      <c r="CB2638">
        <v>-2.99</v>
      </c>
      <c r="CC2638">
        <v>-1.2</v>
      </c>
      <c r="CD2638">
        <v>2.29</v>
      </c>
      <c r="CE2638">
        <v>-2.0299999999999998</v>
      </c>
      <c r="CF2638">
        <v>-0.68</v>
      </c>
      <c r="CG2638">
        <v>0</v>
      </c>
      <c r="CH2638">
        <v>-1.06</v>
      </c>
      <c r="CI2638">
        <v>0</v>
      </c>
      <c r="CJ2638">
        <v>7.2</v>
      </c>
      <c r="CK2638">
        <v>38</v>
      </c>
      <c r="CL2638">
        <v>0.62</v>
      </c>
      <c r="CM2638">
        <v>33</v>
      </c>
      <c r="CN2638">
        <v>-0.28999999999999998</v>
      </c>
      <c r="CO2638">
        <v>30</v>
      </c>
      <c r="CP2638">
        <v>1.6</v>
      </c>
      <c r="CQ2638">
        <v>32</v>
      </c>
      <c r="CR2638">
        <v>0</v>
      </c>
      <c r="CS2638">
        <v>0</v>
      </c>
      <c r="CT2638">
        <v>1.6</v>
      </c>
      <c r="CU2638">
        <v>25</v>
      </c>
      <c r="CV2638">
        <v>-0.24</v>
      </c>
      <c r="CW2638">
        <v>9</v>
      </c>
      <c r="CX2638" t="s">
        <v>1314</v>
      </c>
    </row>
    <row r="2639" spans="1:102" x14ac:dyDescent="0.3">
      <c r="A2639" t="str">
        <f>HYPERLINK("https://webapp.icbf.com/v2/app/bull-search/view/77853550","SWR")</f>
        <v>SWR</v>
      </c>
      <c r="B2639" t="s">
        <v>4995</v>
      </c>
      <c r="C2639" t="s">
        <v>4996</v>
      </c>
      <c r="D2639" s="1">
        <v>34590</v>
      </c>
      <c r="E2639" t="s">
        <v>92</v>
      </c>
      <c r="F2639">
        <v>97</v>
      </c>
      <c r="G2639" t="s">
        <v>93</v>
      </c>
      <c r="H2639">
        <v>25.63</v>
      </c>
      <c r="I2639">
        <v>97</v>
      </c>
      <c r="J2639">
        <v>12.31</v>
      </c>
      <c r="K2639">
        <v>99</v>
      </c>
      <c r="L2639">
        <v>-24.73</v>
      </c>
      <c r="M2639">
        <v>95</v>
      </c>
      <c r="N2639">
        <v>40.89</v>
      </c>
      <c r="O2639">
        <v>98</v>
      </c>
      <c r="P2639">
        <v>-6.07</v>
      </c>
      <c r="Q2639">
        <v>99</v>
      </c>
      <c r="R2639">
        <v>-7.03</v>
      </c>
      <c r="S2639">
        <v>96</v>
      </c>
      <c r="T2639">
        <v>5.61</v>
      </c>
      <c r="U2639">
        <v>99</v>
      </c>
      <c r="V2639">
        <v>4.6500000000000004</v>
      </c>
      <c r="W2639">
        <v>96</v>
      </c>
      <c r="X2639" t="s">
        <v>94</v>
      </c>
      <c r="Y2639" t="s">
        <v>95</v>
      </c>
      <c r="Z2639" t="s">
        <v>96</v>
      </c>
      <c r="AA2639" t="s">
        <v>612</v>
      </c>
      <c r="AB2639" t="s">
        <v>4997</v>
      </c>
      <c r="AC2639">
        <v>1929</v>
      </c>
      <c r="AD2639">
        <v>877</v>
      </c>
      <c r="AE2639">
        <v>99</v>
      </c>
      <c r="AF2639">
        <v>163.97</v>
      </c>
      <c r="AG2639">
        <v>2.16</v>
      </c>
      <c r="AH2639">
        <v>3.84</v>
      </c>
      <c r="AI2639">
        <v>-7.0000000000000007E-2</v>
      </c>
      <c r="AJ2639">
        <v>-0.03</v>
      </c>
      <c r="AK2639">
        <v>95</v>
      </c>
      <c r="AL2639">
        <v>2020</v>
      </c>
      <c r="AM2639">
        <v>901</v>
      </c>
      <c r="AN2639">
        <v>1.53</v>
      </c>
      <c r="AO2639">
        <v>-0.44</v>
      </c>
      <c r="AP2639">
        <v>1933</v>
      </c>
      <c r="AQ2639">
        <v>3</v>
      </c>
      <c r="AR2639">
        <v>4.18</v>
      </c>
      <c r="AS2639">
        <v>99</v>
      </c>
      <c r="AT2639">
        <v>1.94</v>
      </c>
      <c r="AU2639">
        <v>98</v>
      </c>
      <c r="AV2639">
        <v>-2.77</v>
      </c>
      <c r="AW2639">
        <v>99</v>
      </c>
      <c r="AX2639">
        <v>-0.6</v>
      </c>
      <c r="AY2639">
        <v>99</v>
      </c>
      <c r="AZ2639">
        <v>5.36</v>
      </c>
      <c r="BA2639">
        <v>96</v>
      </c>
      <c r="BB2639">
        <v>5.09</v>
      </c>
      <c r="BC2639">
        <v>97</v>
      </c>
      <c r="BD2639">
        <v>-0.02</v>
      </c>
      <c r="BE2639">
        <v>0.05</v>
      </c>
      <c r="BF2639">
        <v>0.1</v>
      </c>
      <c r="BG2639">
        <v>99</v>
      </c>
      <c r="BH2639">
        <v>0.12</v>
      </c>
      <c r="BI2639">
        <v>-1.1200000000000001</v>
      </c>
      <c r="BJ2639">
        <v>127</v>
      </c>
      <c r="BK2639">
        <v>72</v>
      </c>
      <c r="BL2639">
        <v>0.55000000000000004</v>
      </c>
      <c r="BM2639">
        <v>-0.47</v>
      </c>
      <c r="BN2639">
        <v>-0.46</v>
      </c>
      <c r="BO2639">
        <v>0.14000000000000001</v>
      </c>
      <c r="BP2639">
        <v>1.41</v>
      </c>
      <c r="BQ2639">
        <v>-1.25</v>
      </c>
      <c r="BR2639">
        <v>0.75</v>
      </c>
      <c r="BS2639">
        <v>0.87</v>
      </c>
      <c r="BT2639">
        <v>-0.7</v>
      </c>
      <c r="BU2639">
        <v>0.65</v>
      </c>
      <c r="BV2639">
        <v>-0.5</v>
      </c>
      <c r="BW2639">
        <v>-0.94</v>
      </c>
      <c r="BX2639">
        <v>0.71</v>
      </c>
      <c r="BY2639">
        <v>0.08</v>
      </c>
      <c r="BZ2639">
        <v>3.05</v>
      </c>
      <c r="CA2639">
        <v>-0.71</v>
      </c>
      <c r="CB2639">
        <v>-0.86</v>
      </c>
      <c r="CC2639">
        <v>-0.26</v>
      </c>
      <c r="CD2639">
        <v>-0.67</v>
      </c>
      <c r="CE2639">
        <v>0</v>
      </c>
      <c r="CF2639">
        <v>-0.41</v>
      </c>
      <c r="CG2639">
        <v>0</v>
      </c>
      <c r="CH2639">
        <v>0.01</v>
      </c>
      <c r="CI2639">
        <v>0</v>
      </c>
      <c r="CJ2639">
        <v>0.6</v>
      </c>
      <c r="CK2639">
        <v>99</v>
      </c>
      <c r="CL2639">
        <v>-0.7</v>
      </c>
      <c r="CM2639">
        <v>99</v>
      </c>
      <c r="CN2639">
        <v>-7.0000000000000007E-2</v>
      </c>
      <c r="CO2639">
        <v>99</v>
      </c>
      <c r="CP2639">
        <v>-3.3</v>
      </c>
      <c r="CQ2639">
        <v>99</v>
      </c>
      <c r="CR2639">
        <v>0</v>
      </c>
      <c r="CS2639">
        <v>0</v>
      </c>
      <c r="CT2639">
        <v>6.2</v>
      </c>
      <c r="CU2639">
        <v>99</v>
      </c>
      <c r="CV2639">
        <v>0.21</v>
      </c>
      <c r="CW2639">
        <v>47</v>
      </c>
      <c r="CX2639" t="s">
        <v>193</v>
      </c>
    </row>
    <row r="2640" spans="1:102" x14ac:dyDescent="0.3">
      <c r="A2640" t="str">
        <f>HYPERLINK("https://webapp.icbf.com/v2/app/bull-search/view/393430641","GXT")</f>
        <v>GXT</v>
      </c>
      <c r="B2640" t="s">
        <v>15540</v>
      </c>
      <c r="C2640" t="s">
        <v>15541</v>
      </c>
      <c r="D2640" s="1">
        <v>38384</v>
      </c>
      <c r="E2640" t="s">
        <v>92</v>
      </c>
      <c r="F2640">
        <v>81</v>
      </c>
      <c r="G2640" t="s">
        <v>93</v>
      </c>
      <c r="H2640">
        <v>25.62</v>
      </c>
      <c r="I2640">
        <v>85</v>
      </c>
      <c r="J2640">
        <v>29.75</v>
      </c>
      <c r="K2640">
        <v>96</v>
      </c>
      <c r="L2640">
        <v>-5.46</v>
      </c>
      <c r="M2640">
        <v>76</v>
      </c>
      <c r="N2640">
        <v>8.26</v>
      </c>
      <c r="O2640">
        <v>83</v>
      </c>
      <c r="P2640">
        <v>-14.35</v>
      </c>
      <c r="Q2640">
        <v>90</v>
      </c>
      <c r="R2640">
        <v>-3.58</v>
      </c>
      <c r="S2640">
        <v>80</v>
      </c>
      <c r="T2640">
        <v>17.82</v>
      </c>
      <c r="U2640">
        <v>85</v>
      </c>
      <c r="V2640">
        <v>-6.82</v>
      </c>
      <c r="W2640">
        <v>78</v>
      </c>
      <c r="X2640" t="s">
        <v>94</v>
      </c>
      <c r="Y2640" t="s">
        <v>228</v>
      </c>
      <c r="Z2640" t="s">
        <v>96</v>
      </c>
      <c r="AA2640" t="s">
        <v>4398</v>
      </c>
      <c r="AB2640" t="s">
        <v>15542</v>
      </c>
      <c r="AC2640">
        <v>70</v>
      </c>
      <c r="AD2640">
        <v>52</v>
      </c>
      <c r="AE2640">
        <v>96</v>
      </c>
      <c r="AF2640">
        <v>172.34</v>
      </c>
      <c r="AG2640">
        <v>3.98</v>
      </c>
      <c r="AH2640">
        <v>6.29</v>
      </c>
      <c r="AI2640">
        <v>-0.05</v>
      </c>
      <c r="AJ2640">
        <v>0.01</v>
      </c>
      <c r="AK2640">
        <v>76</v>
      </c>
      <c r="AL2640">
        <v>62</v>
      </c>
      <c r="AM2640">
        <v>49</v>
      </c>
      <c r="AN2640">
        <v>-1.63</v>
      </c>
      <c r="AO2640">
        <v>-2.09</v>
      </c>
      <c r="AP2640">
        <v>138</v>
      </c>
      <c r="AQ2640">
        <v>1</v>
      </c>
      <c r="AR2640">
        <v>7.88</v>
      </c>
      <c r="AS2640">
        <v>65</v>
      </c>
      <c r="AT2640">
        <v>3.32</v>
      </c>
      <c r="AU2640">
        <v>85</v>
      </c>
      <c r="AV2640">
        <v>-1.61</v>
      </c>
      <c r="AW2640">
        <v>94</v>
      </c>
      <c r="AX2640">
        <v>-0.38</v>
      </c>
      <c r="AY2640">
        <v>78</v>
      </c>
      <c r="AZ2640">
        <v>7.11</v>
      </c>
      <c r="BA2640">
        <v>61</v>
      </c>
      <c r="BB2640">
        <v>5.38</v>
      </c>
      <c r="BC2640">
        <v>65</v>
      </c>
      <c r="BD2640">
        <v>0.02</v>
      </c>
      <c r="BE2640">
        <v>0.01</v>
      </c>
      <c r="BF2640">
        <v>0.03</v>
      </c>
      <c r="BG2640">
        <v>87</v>
      </c>
      <c r="BH2640">
        <v>0.04</v>
      </c>
      <c r="BI2640">
        <v>26.64</v>
      </c>
      <c r="BJ2640">
        <v>29</v>
      </c>
      <c r="BK2640">
        <v>20</v>
      </c>
      <c r="BL2640">
        <v>-0.34</v>
      </c>
      <c r="BM2640">
        <v>-1.99</v>
      </c>
      <c r="BN2640">
        <v>-1.89</v>
      </c>
      <c r="BO2640">
        <v>-0.31</v>
      </c>
      <c r="BP2640">
        <v>1.25</v>
      </c>
      <c r="BQ2640">
        <v>-2.3199999999999998</v>
      </c>
      <c r="BR2640">
        <v>0.23</v>
      </c>
      <c r="BS2640">
        <v>-0.96</v>
      </c>
      <c r="BT2640">
        <v>-0.22</v>
      </c>
      <c r="BU2640">
        <v>-3.49</v>
      </c>
      <c r="BV2640">
        <v>-2.64</v>
      </c>
      <c r="BW2640">
        <v>-1.55</v>
      </c>
      <c r="BX2640">
        <v>-2.63</v>
      </c>
      <c r="BY2640">
        <v>-0.75</v>
      </c>
      <c r="BZ2640">
        <v>0.81</v>
      </c>
      <c r="CA2640">
        <v>-2.74</v>
      </c>
      <c r="CB2640">
        <v>-2.71</v>
      </c>
      <c r="CC2640">
        <v>-1.76</v>
      </c>
      <c r="CD2640">
        <v>-0.8</v>
      </c>
      <c r="CE2640">
        <v>-0.46</v>
      </c>
      <c r="CF2640">
        <v>-1.66</v>
      </c>
      <c r="CG2640">
        <v>0</v>
      </c>
      <c r="CH2640">
        <v>-0.34</v>
      </c>
      <c r="CI2640">
        <v>0</v>
      </c>
      <c r="CJ2640">
        <v>-6</v>
      </c>
      <c r="CK2640">
        <v>91</v>
      </c>
      <c r="CL2640">
        <v>-0.73</v>
      </c>
      <c r="CM2640">
        <v>89</v>
      </c>
      <c r="CN2640">
        <v>-0.23</v>
      </c>
      <c r="CO2640">
        <v>88</v>
      </c>
      <c r="CP2640">
        <v>-8.1999999999999993</v>
      </c>
      <c r="CQ2640">
        <v>87</v>
      </c>
      <c r="CR2640">
        <v>0</v>
      </c>
      <c r="CS2640">
        <v>0</v>
      </c>
      <c r="CT2640">
        <v>-10.3</v>
      </c>
      <c r="CU2640">
        <v>85</v>
      </c>
      <c r="CV2640">
        <v>0.08</v>
      </c>
      <c r="CW2640">
        <v>44</v>
      </c>
      <c r="CX2640" t="s">
        <v>1254</v>
      </c>
    </row>
    <row r="2641" spans="1:102" x14ac:dyDescent="0.3">
      <c r="A2641" t="str">
        <f>HYPERLINK("https://webapp.icbf.com/v2/app/bull-search/view/69091882","HKU")</f>
        <v>HKU</v>
      </c>
      <c r="B2641" t="s">
        <v>10719</v>
      </c>
      <c r="C2641" t="s">
        <v>10720</v>
      </c>
      <c r="D2641" s="1">
        <v>33940</v>
      </c>
      <c r="E2641" t="s">
        <v>140</v>
      </c>
      <c r="F2641">
        <v>0</v>
      </c>
      <c r="G2641" t="s">
        <v>93</v>
      </c>
      <c r="H2641">
        <v>25.51</v>
      </c>
      <c r="I2641">
        <v>92</v>
      </c>
      <c r="J2641">
        <v>-47.7</v>
      </c>
      <c r="K2641">
        <v>99</v>
      </c>
      <c r="L2641">
        <v>90.14</v>
      </c>
      <c r="M2641">
        <v>84</v>
      </c>
      <c r="N2641">
        <v>-43.63</v>
      </c>
      <c r="O2641">
        <v>93</v>
      </c>
      <c r="P2641">
        <v>25.62</v>
      </c>
      <c r="Q2641">
        <v>98</v>
      </c>
      <c r="R2641">
        <v>4.51</v>
      </c>
      <c r="S2641">
        <v>87</v>
      </c>
      <c r="T2641">
        <v>10.57</v>
      </c>
      <c r="U2641">
        <v>97</v>
      </c>
      <c r="V2641">
        <v>-14</v>
      </c>
      <c r="W2641">
        <v>89</v>
      </c>
      <c r="X2641" t="s">
        <v>102</v>
      </c>
      <c r="Y2641" t="s">
        <v>95</v>
      </c>
      <c r="Z2641">
        <v>0</v>
      </c>
      <c r="AA2641" t="s">
        <v>10721</v>
      </c>
      <c r="AB2641" t="s">
        <v>10722</v>
      </c>
      <c r="AC2641">
        <v>305</v>
      </c>
      <c r="AD2641">
        <v>119</v>
      </c>
      <c r="AE2641">
        <v>99</v>
      </c>
      <c r="AF2641">
        <v>-189.35</v>
      </c>
      <c r="AG2641">
        <v>-16.510000000000002</v>
      </c>
      <c r="AH2641">
        <v>-5.17</v>
      </c>
      <c r="AI2641">
        <v>-0.16</v>
      </c>
      <c r="AJ2641">
        <v>0.02</v>
      </c>
      <c r="AK2641">
        <v>84</v>
      </c>
      <c r="AL2641">
        <v>357</v>
      </c>
      <c r="AM2641">
        <v>156</v>
      </c>
      <c r="AN2641">
        <v>-5.58</v>
      </c>
      <c r="AO2641">
        <v>1.6</v>
      </c>
      <c r="AP2641">
        <v>470</v>
      </c>
      <c r="AQ2641">
        <v>10</v>
      </c>
      <c r="AR2641">
        <v>11.27</v>
      </c>
      <c r="AS2641">
        <v>87</v>
      </c>
      <c r="AT2641">
        <v>5.28</v>
      </c>
      <c r="AU2641">
        <v>94</v>
      </c>
      <c r="AV2641">
        <v>2.41</v>
      </c>
      <c r="AW2641">
        <v>98</v>
      </c>
      <c r="AX2641">
        <v>-0.19</v>
      </c>
      <c r="AY2641">
        <v>94</v>
      </c>
      <c r="AZ2641">
        <v>4.01</v>
      </c>
      <c r="BA2641">
        <v>80</v>
      </c>
      <c r="BB2641">
        <v>3.24</v>
      </c>
      <c r="BC2641">
        <v>87</v>
      </c>
      <c r="BD2641">
        <v>0.05</v>
      </c>
      <c r="BE2641">
        <v>-0.03</v>
      </c>
      <c r="BF2641">
        <v>-0.13</v>
      </c>
      <c r="BG2641">
        <v>94</v>
      </c>
      <c r="BH2641">
        <v>-0.38</v>
      </c>
      <c r="BI2641">
        <v>1.21</v>
      </c>
      <c r="BJ2641">
        <v>1</v>
      </c>
      <c r="BK2641">
        <v>1</v>
      </c>
      <c r="BL2641">
        <v>-1.61</v>
      </c>
      <c r="BM2641">
        <v>2.62</v>
      </c>
      <c r="BN2641">
        <v>-2.89</v>
      </c>
      <c r="BO2641">
        <v>-3.59</v>
      </c>
      <c r="BP2641">
        <v>3.43</v>
      </c>
      <c r="BQ2641">
        <v>-4</v>
      </c>
      <c r="BR2641">
        <v>-2.69</v>
      </c>
      <c r="BS2641">
        <v>-0.23</v>
      </c>
      <c r="BT2641">
        <v>2.68</v>
      </c>
      <c r="BU2641">
        <v>-2.67</v>
      </c>
      <c r="BV2641">
        <v>-3.48</v>
      </c>
      <c r="BW2641">
        <v>-2.64</v>
      </c>
      <c r="BX2641">
        <v>-1.91</v>
      </c>
      <c r="BY2641">
        <v>-2.54</v>
      </c>
      <c r="BZ2641">
        <v>1.08</v>
      </c>
      <c r="CA2641">
        <v>-2.11</v>
      </c>
      <c r="CB2641">
        <v>-2.69</v>
      </c>
      <c r="CC2641">
        <v>-0.63</v>
      </c>
      <c r="CD2641">
        <v>3.82</v>
      </c>
      <c r="CE2641">
        <v>-3.74</v>
      </c>
      <c r="CF2641">
        <v>-2.34</v>
      </c>
      <c r="CG2641">
        <v>0</v>
      </c>
      <c r="CH2641">
        <v>-2.78</v>
      </c>
      <c r="CI2641">
        <v>0</v>
      </c>
      <c r="CJ2641">
        <v>9.1999999999999993</v>
      </c>
      <c r="CK2641">
        <v>98</v>
      </c>
      <c r="CL2641">
        <v>0.7</v>
      </c>
      <c r="CM2641">
        <v>98</v>
      </c>
      <c r="CN2641">
        <v>-0.47</v>
      </c>
      <c r="CO2641">
        <v>98</v>
      </c>
      <c r="CP2641">
        <v>1.3</v>
      </c>
      <c r="CQ2641">
        <v>97</v>
      </c>
      <c r="CR2641">
        <v>0</v>
      </c>
      <c r="CS2641">
        <v>0</v>
      </c>
      <c r="CT2641">
        <v>-0.5</v>
      </c>
      <c r="CU2641">
        <v>97</v>
      </c>
      <c r="CV2641">
        <v>-0.23</v>
      </c>
      <c r="CW2641">
        <v>29</v>
      </c>
      <c r="CX2641" t="s">
        <v>763</v>
      </c>
    </row>
    <row r="2642" spans="1:102" x14ac:dyDescent="0.3">
      <c r="A2642" t="str">
        <f>HYPERLINK("https://webapp.icbf.com/v2/app/bull-search/view/108897617","BGY")</f>
        <v>BGY</v>
      </c>
      <c r="B2642" t="s">
        <v>12159</v>
      </c>
      <c r="C2642" t="s">
        <v>12160</v>
      </c>
      <c r="D2642" s="1">
        <v>36940</v>
      </c>
      <c r="E2642" t="s">
        <v>895</v>
      </c>
      <c r="F2642">
        <v>0</v>
      </c>
      <c r="G2642" t="s">
        <v>93</v>
      </c>
      <c r="H2642">
        <v>25.31</v>
      </c>
      <c r="I2642">
        <v>78</v>
      </c>
      <c r="J2642">
        <v>-31.49</v>
      </c>
      <c r="K2642">
        <v>94</v>
      </c>
      <c r="L2642">
        <v>63.15</v>
      </c>
      <c r="M2642">
        <v>61</v>
      </c>
      <c r="N2642">
        <v>-29.92</v>
      </c>
      <c r="O2642">
        <v>76</v>
      </c>
      <c r="P2642">
        <v>-5.57</v>
      </c>
      <c r="Q2642">
        <v>92</v>
      </c>
      <c r="R2642">
        <v>11.63</v>
      </c>
      <c r="S2642">
        <v>66</v>
      </c>
      <c r="T2642">
        <v>24.85</v>
      </c>
      <c r="U2642">
        <v>79</v>
      </c>
      <c r="V2642">
        <v>-7.34</v>
      </c>
      <c r="W2642">
        <v>65</v>
      </c>
      <c r="X2642" t="s">
        <v>94</v>
      </c>
      <c r="Y2642" t="s">
        <v>95</v>
      </c>
      <c r="Z2642">
        <v>0</v>
      </c>
      <c r="AA2642" t="s">
        <v>896</v>
      </c>
      <c r="AB2642" t="s">
        <v>12161</v>
      </c>
      <c r="AC2642">
        <v>63</v>
      </c>
      <c r="AD2642">
        <v>32</v>
      </c>
      <c r="AE2642">
        <v>94</v>
      </c>
      <c r="AF2642">
        <v>-321.33999999999997</v>
      </c>
      <c r="AG2642">
        <v>-4.08</v>
      </c>
      <c r="AH2642">
        <v>-8.83</v>
      </c>
      <c r="AI2642">
        <v>0.15</v>
      </c>
      <c r="AJ2642">
        <v>0.04</v>
      </c>
      <c r="AK2642">
        <v>61</v>
      </c>
      <c r="AL2642">
        <v>92</v>
      </c>
      <c r="AM2642">
        <v>52</v>
      </c>
      <c r="AN2642">
        <v>-0.01</v>
      </c>
      <c r="AO2642">
        <v>5.07</v>
      </c>
      <c r="AP2642">
        <v>101</v>
      </c>
      <c r="AQ2642">
        <v>4</v>
      </c>
      <c r="AR2642">
        <v>7.47</v>
      </c>
      <c r="AS2642">
        <v>39</v>
      </c>
      <c r="AT2642">
        <v>3.69</v>
      </c>
      <c r="AU2642">
        <v>78</v>
      </c>
      <c r="AV2642">
        <v>4.4400000000000004</v>
      </c>
      <c r="AW2642">
        <v>92</v>
      </c>
      <c r="AX2642">
        <v>-0.56999999999999995</v>
      </c>
      <c r="AY2642">
        <v>76</v>
      </c>
      <c r="AZ2642">
        <v>4.43</v>
      </c>
      <c r="BA2642">
        <v>41</v>
      </c>
      <c r="BB2642">
        <v>3.64</v>
      </c>
      <c r="BC2642">
        <v>57</v>
      </c>
      <c r="BD2642">
        <v>-0.05</v>
      </c>
      <c r="BE2642">
        <v>-0.06</v>
      </c>
      <c r="BF2642">
        <v>-7.0000000000000007E-2</v>
      </c>
      <c r="BG2642">
        <v>76</v>
      </c>
      <c r="BH2642">
        <v>-0.18</v>
      </c>
      <c r="BI2642">
        <v>2.84</v>
      </c>
      <c r="BJ2642">
        <v>0</v>
      </c>
      <c r="BK2642">
        <v>0</v>
      </c>
      <c r="BL2642">
        <v>-1.35</v>
      </c>
      <c r="BM2642">
        <v>0.95</v>
      </c>
      <c r="BN2642">
        <v>-1.08</v>
      </c>
      <c r="BO2642">
        <v>-1.41</v>
      </c>
      <c r="BP2642">
        <v>0.41</v>
      </c>
      <c r="BQ2642">
        <v>-0.25</v>
      </c>
      <c r="BR2642">
        <v>-0.32</v>
      </c>
      <c r="BS2642">
        <v>0.06</v>
      </c>
      <c r="BT2642">
        <v>-0.04</v>
      </c>
      <c r="BU2642">
        <v>-1.37</v>
      </c>
      <c r="BV2642">
        <v>-1.62</v>
      </c>
      <c r="BW2642">
        <v>-1.5</v>
      </c>
      <c r="BX2642">
        <v>-1</v>
      </c>
      <c r="BY2642">
        <v>-0.95</v>
      </c>
      <c r="BZ2642">
        <v>-0.05</v>
      </c>
      <c r="CA2642">
        <v>-1.42</v>
      </c>
      <c r="CB2642">
        <v>-1.55</v>
      </c>
      <c r="CC2642">
        <v>-0.62</v>
      </c>
      <c r="CD2642">
        <v>1.27</v>
      </c>
      <c r="CE2642">
        <v>-1.35</v>
      </c>
      <c r="CF2642">
        <v>-1.42</v>
      </c>
      <c r="CG2642">
        <v>0</v>
      </c>
      <c r="CH2642">
        <v>-1.35</v>
      </c>
      <c r="CI2642">
        <v>0</v>
      </c>
      <c r="CJ2642">
        <v>-1.8</v>
      </c>
      <c r="CK2642">
        <v>93</v>
      </c>
      <c r="CL2642">
        <v>-0.27</v>
      </c>
      <c r="CM2642">
        <v>91</v>
      </c>
      <c r="CN2642">
        <v>0</v>
      </c>
      <c r="CO2642">
        <v>90</v>
      </c>
      <c r="CP2642">
        <v>-2</v>
      </c>
      <c r="CQ2642">
        <v>87</v>
      </c>
      <c r="CR2642">
        <v>0</v>
      </c>
      <c r="CS2642">
        <v>0</v>
      </c>
      <c r="CT2642">
        <v>-19.8</v>
      </c>
      <c r="CU2642">
        <v>79</v>
      </c>
      <c r="CV2642">
        <v>-0.01</v>
      </c>
      <c r="CW2642">
        <v>26</v>
      </c>
      <c r="CX2642" t="s">
        <v>12162</v>
      </c>
    </row>
    <row r="2643" spans="1:102" x14ac:dyDescent="0.3">
      <c r="A2643" t="str">
        <f>HYPERLINK("https://webapp.icbf.com/v2/app/bull-search/view/714784347","S1514")</f>
        <v>S1514</v>
      </c>
      <c r="B2643" t="s">
        <v>13450</v>
      </c>
      <c r="C2643" t="s">
        <v>3099</v>
      </c>
      <c r="D2643" s="1">
        <v>39166</v>
      </c>
      <c r="E2643" t="s">
        <v>92</v>
      </c>
      <c r="F2643">
        <v>100</v>
      </c>
      <c r="G2643" t="s">
        <v>109</v>
      </c>
      <c r="H2643">
        <v>25.25</v>
      </c>
      <c r="I2643">
        <v>79</v>
      </c>
      <c r="J2643">
        <v>38.58</v>
      </c>
      <c r="K2643">
        <v>90</v>
      </c>
      <c r="L2643">
        <v>-52</v>
      </c>
      <c r="M2643">
        <v>84</v>
      </c>
      <c r="N2643">
        <v>22.86</v>
      </c>
      <c r="O2643">
        <v>73</v>
      </c>
      <c r="P2643">
        <v>-2.86</v>
      </c>
      <c r="Q2643">
        <v>78</v>
      </c>
      <c r="R2643">
        <v>13.76</v>
      </c>
      <c r="S2643">
        <v>69</v>
      </c>
      <c r="T2643">
        <v>-1.05</v>
      </c>
      <c r="U2643">
        <v>56</v>
      </c>
      <c r="V2643">
        <v>5.96</v>
      </c>
      <c r="W2643">
        <v>26</v>
      </c>
      <c r="X2643" t="s">
        <v>234</v>
      </c>
      <c r="Y2643" t="s">
        <v>362</v>
      </c>
      <c r="Z2643" t="s">
        <v>96</v>
      </c>
      <c r="AA2643" t="s">
        <v>4548</v>
      </c>
      <c r="AB2643" t="s">
        <v>13451</v>
      </c>
      <c r="AC2643">
        <v>0</v>
      </c>
      <c r="AD2643">
        <v>0</v>
      </c>
      <c r="AE2643">
        <v>90</v>
      </c>
      <c r="AF2643">
        <v>528.41999999999996</v>
      </c>
      <c r="AG2643">
        <v>4.72</v>
      </c>
      <c r="AH2643">
        <v>12.98</v>
      </c>
      <c r="AI2643">
        <v>-0.24</v>
      </c>
      <c r="AJ2643">
        <v>-0.08</v>
      </c>
      <c r="AK2643">
        <v>84</v>
      </c>
      <c r="AL2643">
        <v>0</v>
      </c>
      <c r="AM2643">
        <v>0</v>
      </c>
      <c r="AN2643">
        <v>3.4</v>
      </c>
      <c r="AO2643">
        <v>-0.74</v>
      </c>
      <c r="AP2643">
        <v>79</v>
      </c>
      <c r="AQ2643">
        <v>1</v>
      </c>
      <c r="AR2643">
        <v>7.16</v>
      </c>
      <c r="AS2643">
        <v>56</v>
      </c>
      <c r="AT2643">
        <v>3.46</v>
      </c>
      <c r="AU2643">
        <v>91</v>
      </c>
      <c r="AV2643">
        <v>-2.64</v>
      </c>
      <c r="AW2643">
        <v>84</v>
      </c>
      <c r="AX2643">
        <v>-0.77</v>
      </c>
      <c r="AY2643">
        <v>66</v>
      </c>
      <c r="AZ2643">
        <v>6.78</v>
      </c>
      <c r="BA2643">
        <v>41</v>
      </c>
      <c r="BB2643">
        <v>4.55</v>
      </c>
      <c r="BC2643">
        <v>32</v>
      </c>
      <c r="BD2643">
        <v>-0.05</v>
      </c>
      <c r="BE2643">
        <v>-7.0000000000000007E-2</v>
      </c>
      <c r="BF2643">
        <v>-0.1</v>
      </c>
      <c r="BG2643">
        <v>92</v>
      </c>
      <c r="BH2643">
        <v>0.09</v>
      </c>
      <c r="BI2643">
        <v>-8.81</v>
      </c>
      <c r="BJ2643">
        <v>9</v>
      </c>
      <c r="BK2643">
        <v>9</v>
      </c>
      <c r="BL2643">
        <v>2.69</v>
      </c>
      <c r="BM2643">
        <v>-0.34</v>
      </c>
      <c r="BN2643">
        <v>1.01</v>
      </c>
      <c r="BO2643">
        <v>1.82</v>
      </c>
      <c r="BP2643">
        <v>3.73</v>
      </c>
      <c r="BQ2643">
        <v>1</v>
      </c>
      <c r="BR2643">
        <v>-0.88</v>
      </c>
      <c r="BS2643">
        <v>-0.6</v>
      </c>
      <c r="BT2643">
        <v>0.77</v>
      </c>
      <c r="BU2643">
        <v>2.63</v>
      </c>
      <c r="BV2643">
        <v>2.2599999999999998</v>
      </c>
      <c r="BW2643">
        <v>0.6</v>
      </c>
      <c r="BX2643">
        <v>2.31</v>
      </c>
      <c r="BY2643">
        <v>1.88</v>
      </c>
      <c r="BZ2643">
        <v>-0.14000000000000001</v>
      </c>
      <c r="CA2643">
        <v>1.88</v>
      </c>
      <c r="CB2643">
        <v>1.82</v>
      </c>
      <c r="CC2643">
        <v>1.2</v>
      </c>
      <c r="CD2643">
        <v>-1.67</v>
      </c>
      <c r="CE2643">
        <v>0.9</v>
      </c>
      <c r="CF2643">
        <v>1.47</v>
      </c>
      <c r="CG2643">
        <v>0</v>
      </c>
      <c r="CH2643">
        <v>0</v>
      </c>
      <c r="CI2643">
        <v>0</v>
      </c>
      <c r="CJ2643">
        <v>1.5</v>
      </c>
      <c r="CK2643">
        <v>81</v>
      </c>
      <c r="CL2643">
        <v>-1.01</v>
      </c>
      <c r="CM2643">
        <v>77</v>
      </c>
      <c r="CN2643">
        <v>-0.49</v>
      </c>
      <c r="CO2643">
        <v>75</v>
      </c>
      <c r="CP2643">
        <v>-1.6</v>
      </c>
      <c r="CQ2643">
        <v>63</v>
      </c>
      <c r="CR2643">
        <v>0</v>
      </c>
      <c r="CS2643">
        <v>0</v>
      </c>
      <c r="CT2643">
        <v>15.2</v>
      </c>
      <c r="CU2643">
        <v>56</v>
      </c>
      <c r="CV2643">
        <v>0.36</v>
      </c>
      <c r="CW2643">
        <v>24</v>
      </c>
      <c r="CX2643" t="s">
        <v>316</v>
      </c>
    </row>
    <row r="2644" spans="1:102" x14ac:dyDescent="0.3">
      <c r="A2644" t="str">
        <f>HYPERLINK("https://webapp.icbf.com/v2/app/bull-search/view/586045442","S1171")</f>
        <v>S1171</v>
      </c>
      <c r="B2644" t="s">
        <v>1814</v>
      </c>
      <c r="C2644" t="s">
        <v>1815</v>
      </c>
      <c r="D2644" s="1">
        <v>38790</v>
      </c>
      <c r="E2644" t="s">
        <v>92</v>
      </c>
      <c r="F2644">
        <v>100</v>
      </c>
      <c r="G2644" t="s">
        <v>109</v>
      </c>
      <c r="H2644">
        <v>25.1</v>
      </c>
      <c r="I2644">
        <v>76</v>
      </c>
      <c r="J2644">
        <v>82.64</v>
      </c>
      <c r="K2644">
        <v>87</v>
      </c>
      <c r="L2644">
        <v>-99.25</v>
      </c>
      <c r="M2644">
        <v>83</v>
      </c>
      <c r="N2644">
        <v>31.25</v>
      </c>
      <c r="O2644">
        <v>66</v>
      </c>
      <c r="P2644">
        <v>10.98</v>
      </c>
      <c r="Q2644">
        <v>65</v>
      </c>
      <c r="R2644">
        <v>0.42</v>
      </c>
      <c r="S2644">
        <v>63</v>
      </c>
      <c r="T2644">
        <v>0.65</v>
      </c>
      <c r="U2644">
        <v>52</v>
      </c>
      <c r="V2644">
        <v>-1.59</v>
      </c>
      <c r="W2644">
        <v>28</v>
      </c>
      <c r="X2644" t="s">
        <v>102</v>
      </c>
      <c r="Y2644" t="s">
        <v>336</v>
      </c>
      <c r="Z2644" t="s">
        <v>96</v>
      </c>
      <c r="AA2644" t="s">
        <v>1816</v>
      </c>
      <c r="AB2644" t="s">
        <v>1817</v>
      </c>
      <c r="AC2644">
        <v>0</v>
      </c>
      <c r="AD2644">
        <v>0</v>
      </c>
      <c r="AE2644">
        <v>87</v>
      </c>
      <c r="AF2644">
        <v>489.99</v>
      </c>
      <c r="AG2644">
        <v>20.309999999999999</v>
      </c>
      <c r="AH2644">
        <v>14.37</v>
      </c>
      <c r="AI2644">
        <v>0.02</v>
      </c>
      <c r="AJ2644">
        <v>-0.04</v>
      </c>
      <c r="AK2644">
        <v>83</v>
      </c>
      <c r="AL2644">
        <v>0</v>
      </c>
      <c r="AM2644">
        <v>0</v>
      </c>
      <c r="AN2644">
        <v>8.16</v>
      </c>
      <c r="AO2644">
        <v>0.28000000000000003</v>
      </c>
      <c r="AP2644">
        <v>26</v>
      </c>
      <c r="AQ2644">
        <v>0</v>
      </c>
      <c r="AR2644">
        <v>6.58</v>
      </c>
      <c r="AS2644">
        <v>44</v>
      </c>
      <c r="AT2644">
        <v>2.95</v>
      </c>
      <c r="AU2644">
        <v>97</v>
      </c>
      <c r="AV2644">
        <v>-2.63</v>
      </c>
      <c r="AW2644">
        <v>73</v>
      </c>
      <c r="AX2644">
        <v>-0.63</v>
      </c>
      <c r="AY2644">
        <v>55</v>
      </c>
      <c r="AZ2644">
        <v>5.23</v>
      </c>
      <c r="BA2644">
        <v>33</v>
      </c>
      <c r="BB2644">
        <v>4.37</v>
      </c>
      <c r="BC2644">
        <v>19</v>
      </c>
      <c r="BD2644">
        <v>0.02</v>
      </c>
      <c r="BE2644">
        <v>0.03</v>
      </c>
      <c r="BF2644">
        <v>-0.1</v>
      </c>
      <c r="BG2644">
        <v>91</v>
      </c>
      <c r="BH2644">
        <v>-7.0000000000000007E-2</v>
      </c>
      <c r="BI2644">
        <v>-2.97</v>
      </c>
      <c r="BJ2644">
        <v>16</v>
      </c>
      <c r="BK2644">
        <v>7</v>
      </c>
      <c r="BL2644">
        <v>1.24</v>
      </c>
      <c r="BM2644">
        <v>-1.37</v>
      </c>
      <c r="BN2644">
        <v>0.92</v>
      </c>
      <c r="BO2644">
        <v>1.35</v>
      </c>
      <c r="BP2644">
        <v>2.33</v>
      </c>
      <c r="BQ2644">
        <v>1.46</v>
      </c>
      <c r="BR2644">
        <v>-0.92</v>
      </c>
      <c r="BS2644">
        <v>1.41</v>
      </c>
      <c r="BT2644">
        <v>0.76</v>
      </c>
      <c r="BU2644">
        <v>1.84</v>
      </c>
      <c r="BV2644">
        <v>1.57</v>
      </c>
      <c r="BW2644">
        <v>1.6</v>
      </c>
      <c r="BX2644">
        <v>1.42</v>
      </c>
      <c r="BY2644">
        <v>1.05</v>
      </c>
      <c r="BZ2644">
        <v>-1.99</v>
      </c>
      <c r="CA2644">
        <v>1.87</v>
      </c>
      <c r="CB2644">
        <v>1.59</v>
      </c>
      <c r="CC2644">
        <v>1.8</v>
      </c>
      <c r="CD2644">
        <v>-1.25</v>
      </c>
      <c r="CE2644">
        <v>0.95</v>
      </c>
      <c r="CF2644">
        <v>1.47</v>
      </c>
      <c r="CG2644">
        <v>0</v>
      </c>
      <c r="CH2644">
        <v>1.1000000000000001</v>
      </c>
      <c r="CI2644">
        <v>0</v>
      </c>
      <c r="CJ2644">
        <v>7.5</v>
      </c>
      <c r="CK2644">
        <v>68</v>
      </c>
      <c r="CL2644">
        <v>-0.69</v>
      </c>
      <c r="CM2644">
        <v>63</v>
      </c>
      <c r="CN2644">
        <v>-0.62</v>
      </c>
      <c r="CO2644">
        <v>60</v>
      </c>
      <c r="CP2644">
        <v>3.3</v>
      </c>
      <c r="CQ2644">
        <v>59</v>
      </c>
      <c r="CR2644">
        <v>0</v>
      </c>
      <c r="CS2644">
        <v>0</v>
      </c>
      <c r="CT2644">
        <v>12.9</v>
      </c>
      <c r="CU2644">
        <v>52</v>
      </c>
      <c r="CV2644">
        <v>0.31</v>
      </c>
      <c r="CW2644">
        <v>18</v>
      </c>
      <c r="CX2644" t="s">
        <v>1818</v>
      </c>
    </row>
    <row r="2645" spans="1:102" x14ac:dyDescent="0.3">
      <c r="A2645" t="str">
        <f>HYPERLINK("https://webapp.icbf.com/v2/app/bull-search/view/149729292","PAH")</f>
        <v>PAH</v>
      </c>
      <c r="B2645" t="s">
        <v>6479</v>
      </c>
      <c r="C2645" t="s">
        <v>6480</v>
      </c>
      <c r="D2645" s="1">
        <v>36076</v>
      </c>
      <c r="E2645" t="s">
        <v>146</v>
      </c>
      <c r="F2645">
        <v>0</v>
      </c>
      <c r="G2645" t="s">
        <v>93</v>
      </c>
      <c r="H2645">
        <v>25.1</v>
      </c>
      <c r="I2645">
        <v>90</v>
      </c>
      <c r="J2645">
        <v>-18.86</v>
      </c>
      <c r="K2645">
        <v>98</v>
      </c>
      <c r="L2645">
        <v>22.56</v>
      </c>
      <c r="M2645">
        <v>81</v>
      </c>
      <c r="N2645">
        <v>14.12</v>
      </c>
      <c r="O2645">
        <v>91</v>
      </c>
      <c r="P2645">
        <v>18.829999999999998</v>
      </c>
      <c r="Q2645">
        <v>97</v>
      </c>
      <c r="R2645">
        <v>-3.33</v>
      </c>
      <c r="S2645">
        <v>83</v>
      </c>
      <c r="T2645">
        <v>4.0599999999999996</v>
      </c>
      <c r="U2645">
        <v>93</v>
      </c>
      <c r="V2645">
        <v>-12.28</v>
      </c>
      <c r="W2645">
        <v>86</v>
      </c>
      <c r="X2645" t="s">
        <v>276</v>
      </c>
      <c r="Y2645" t="s">
        <v>974</v>
      </c>
      <c r="Z2645">
        <v>0</v>
      </c>
      <c r="AA2645" t="s">
        <v>236</v>
      </c>
      <c r="AB2645" t="s">
        <v>6481</v>
      </c>
      <c r="AC2645">
        <v>210</v>
      </c>
      <c r="AD2645">
        <v>88</v>
      </c>
      <c r="AE2645">
        <v>98</v>
      </c>
      <c r="AF2645">
        <v>-356.59</v>
      </c>
      <c r="AG2645">
        <v>-10.220000000000001</v>
      </c>
      <c r="AH2645">
        <v>-5.05</v>
      </c>
      <c r="AI2645">
        <v>7.0000000000000007E-2</v>
      </c>
      <c r="AJ2645">
        <v>0.13</v>
      </c>
      <c r="AK2645">
        <v>81</v>
      </c>
      <c r="AL2645">
        <v>229</v>
      </c>
      <c r="AM2645">
        <v>92</v>
      </c>
      <c r="AN2645">
        <v>-1.19</v>
      </c>
      <c r="AO2645">
        <v>0.61</v>
      </c>
      <c r="AP2645">
        <v>306</v>
      </c>
      <c r="AQ2645">
        <v>14</v>
      </c>
      <c r="AR2645">
        <v>7.93</v>
      </c>
      <c r="AS2645">
        <v>79</v>
      </c>
      <c r="AT2645">
        <v>3.2</v>
      </c>
      <c r="AU2645">
        <v>92</v>
      </c>
      <c r="AV2645">
        <v>-1.5</v>
      </c>
      <c r="AW2645">
        <v>97</v>
      </c>
      <c r="AX2645">
        <v>0.22</v>
      </c>
      <c r="AY2645">
        <v>92</v>
      </c>
      <c r="AZ2645">
        <v>5.36</v>
      </c>
      <c r="BA2645">
        <v>77</v>
      </c>
      <c r="BB2645">
        <v>4.4000000000000004</v>
      </c>
      <c r="BC2645">
        <v>81</v>
      </c>
      <c r="BD2645">
        <v>-0.02</v>
      </c>
      <c r="BE2645">
        <v>0</v>
      </c>
      <c r="BF2645">
        <v>0.11</v>
      </c>
      <c r="BG2645">
        <v>92</v>
      </c>
      <c r="BH2645">
        <v>-7.0000000000000007E-2</v>
      </c>
      <c r="BI2645">
        <v>31.52</v>
      </c>
      <c r="BJ2645">
        <v>1</v>
      </c>
      <c r="BK2645">
        <v>1</v>
      </c>
      <c r="BL2645">
        <v>-2.0299999999999998</v>
      </c>
      <c r="BM2645">
        <v>4.12</v>
      </c>
      <c r="BN2645">
        <v>0.25</v>
      </c>
      <c r="BO2645">
        <v>-1.32</v>
      </c>
      <c r="BP2645">
        <v>3.01</v>
      </c>
      <c r="BQ2645">
        <v>0.17</v>
      </c>
      <c r="BR2645">
        <v>-1.17</v>
      </c>
      <c r="BS2645">
        <v>0.28000000000000003</v>
      </c>
      <c r="BT2645">
        <v>0</v>
      </c>
      <c r="BU2645">
        <v>-2.34</v>
      </c>
      <c r="BV2645">
        <v>-2.99</v>
      </c>
      <c r="BW2645">
        <v>-3.22</v>
      </c>
      <c r="BX2645">
        <v>-2.42</v>
      </c>
      <c r="BY2645">
        <v>-2.65</v>
      </c>
      <c r="BZ2645">
        <v>2.16</v>
      </c>
      <c r="CA2645">
        <v>-2.27</v>
      </c>
      <c r="CB2645">
        <v>-2.64</v>
      </c>
      <c r="CC2645">
        <v>-0.27</v>
      </c>
      <c r="CD2645">
        <v>3.41</v>
      </c>
      <c r="CE2645">
        <v>-2.2000000000000002</v>
      </c>
      <c r="CF2645">
        <v>-0.66</v>
      </c>
      <c r="CG2645">
        <v>0</v>
      </c>
      <c r="CH2645">
        <v>-2.1</v>
      </c>
      <c r="CI2645">
        <v>0</v>
      </c>
      <c r="CJ2645">
        <v>7.6</v>
      </c>
      <c r="CK2645">
        <v>98</v>
      </c>
      <c r="CL2645">
        <v>0.56000000000000005</v>
      </c>
      <c r="CM2645">
        <v>97</v>
      </c>
      <c r="CN2645">
        <v>-0.16</v>
      </c>
      <c r="CO2645">
        <v>97</v>
      </c>
      <c r="CP2645">
        <v>4.5999999999999996</v>
      </c>
      <c r="CQ2645">
        <v>96</v>
      </c>
      <c r="CR2645">
        <v>0</v>
      </c>
      <c r="CS2645">
        <v>0</v>
      </c>
      <c r="CT2645">
        <v>8.3000000000000007</v>
      </c>
      <c r="CU2645">
        <v>93</v>
      </c>
      <c r="CV2645">
        <v>-0.17</v>
      </c>
      <c r="CW2645">
        <v>45</v>
      </c>
      <c r="CX2645" t="s">
        <v>6482</v>
      </c>
    </row>
    <row r="2646" spans="1:102" x14ac:dyDescent="0.3">
      <c r="A2646" t="str">
        <f>HYPERLINK("https://webapp.icbf.com/v2/app/bull-search/view/77854900","MVL")</f>
        <v>MVL</v>
      </c>
      <c r="B2646" t="s">
        <v>3357</v>
      </c>
      <c r="C2646" t="s">
        <v>3358</v>
      </c>
      <c r="D2646" s="1">
        <v>35247</v>
      </c>
      <c r="E2646" t="s">
        <v>92</v>
      </c>
      <c r="F2646">
        <v>100</v>
      </c>
      <c r="G2646" t="s">
        <v>93</v>
      </c>
      <c r="H2646">
        <v>25.07</v>
      </c>
      <c r="I2646">
        <v>75</v>
      </c>
      <c r="J2646">
        <v>32.72</v>
      </c>
      <c r="K2646">
        <v>95</v>
      </c>
      <c r="L2646">
        <v>-47.98</v>
      </c>
      <c r="M2646">
        <v>61</v>
      </c>
      <c r="N2646">
        <v>33.020000000000003</v>
      </c>
      <c r="O2646">
        <v>71</v>
      </c>
      <c r="P2646">
        <v>-13.24</v>
      </c>
      <c r="Q2646">
        <v>80</v>
      </c>
      <c r="R2646">
        <v>-11.98</v>
      </c>
      <c r="S2646">
        <v>64</v>
      </c>
      <c r="T2646">
        <v>28.77</v>
      </c>
      <c r="U2646">
        <v>71</v>
      </c>
      <c r="V2646">
        <v>3.76</v>
      </c>
      <c r="W2646">
        <v>39</v>
      </c>
      <c r="X2646" t="s">
        <v>94</v>
      </c>
      <c r="Y2646" t="s">
        <v>95</v>
      </c>
      <c r="Z2646" t="s">
        <v>96</v>
      </c>
      <c r="AA2646" t="s">
        <v>731</v>
      </c>
      <c r="AB2646" t="s">
        <v>3359</v>
      </c>
      <c r="AC2646">
        <v>80</v>
      </c>
      <c r="AD2646">
        <v>58</v>
      </c>
      <c r="AE2646">
        <v>95</v>
      </c>
      <c r="AF2646">
        <v>222.39</v>
      </c>
      <c r="AG2646">
        <v>5.34</v>
      </c>
      <c r="AH2646">
        <v>7.08</v>
      </c>
      <c r="AI2646">
        <v>-0.05</v>
      </c>
      <c r="AJ2646">
        <v>-0.01</v>
      </c>
      <c r="AK2646">
        <v>61</v>
      </c>
      <c r="AL2646">
        <v>71</v>
      </c>
      <c r="AM2646">
        <v>55</v>
      </c>
      <c r="AN2646">
        <v>2.36</v>
      </c>
      <c r="AO2646">
        <v>-1.47</v>
      </c>
      <c r="AP2646">
        <v>45</v>
      </c>
      <c r="AQ2646">
        <v>0</v>
      </c>
      <c r="AR2646">
        <v>4.6100000000000003</v>
      </c>
      <c r="AS2646">
        <v>51</v>
      </c>
      <c r="AT2646">
        <v>2.1</v>
      </c>
      <c r="AU2646">
        <v>68</v>
      </c>
      <c r="AV2646">
        <v>-2.2000000000000002</v>
      </c>
      <c r="AW2646">
        <v>84</v>
      </c>
      <c r="AX2646">
        <v>0.55000000000000004</v>
      </c>
      <c r="AY2646">
        <v>73</v>
      </c>
      <c r="AZ2646">
        <v>5.64</v>
      </c>
      <c r="BA2646">
        <v>41</v>
      </c>
      <c r="BB2646">
        <v>4.72</v>
      </c>
      <c r="BC2646">
        <v>55</v>
      </c>
      <c r="BD2646">
        <v>0.02</v>
      </c>
      <c r="BE2646">
        <v>0.08</v>
      </c>
      <c r="BF2646">
        <v>0.09</v>
      </c>
      <c r="BG2646">
        <v>82</v>
      </c>
      <c r="BH2646">
        <v>0.04</v>
      </c>
      <c r="BI2646">
        <v>-7.51</v>
      </c>
      <c r="BJ2646">
        <v>1</v>
      </c>
      <c r="BK2646">
        <v>1</v>
      </c>
      <c r="BL2646">
        <v>0.3</v>
      </c>
      <c r="BM2646">
        <v>-1.53</v>
      </c>
      <c r="BN2646">
        <v>0</v>
      </c>
      <c r="BO2646">
        <v>0.92</v>
      </c>
      <c r="BP2646">
        <v>0.59</v>
      </c>
      <c r="BQ2646">
        <v>-0.74</v>
      </c>
      <c r="BR2646">
        <v>1.88</v>
      </c>
      <c r="BS2646">
        <v>-0.86</v>
      </c>
      <c r="BT2646">
        <v>-1.79</v>
      </c>
      <c r="BU2646">
        <v>-0.55000000000000004</v>
      </c>
      <c r="BV2646">
        <v>0.09</v>
      </c>
      <c r="BW2646">
        <v>-0.34</v>
      </c>
      <c r="BX2646">
        <v>-0.8</v>
      </c>
      <c r="BY2646">
        <v>-1.69</v>
      </c>
      <c r="BZ2646">
        <v>0.03</v>
      </c>
      <c r="CA2646">
        <v>-0.55000000000000004</v>
      </c>
      <c r="CB2646">
        <v>-0.19</v>
      </c>
      <c r="CC2646">
        <v>-0.96</v>
      </c>
      <c r="CD2646">
        <v>-1.1200000000000001</v>
      </c>
      <c r="CE2646">
        <v>1.24</v>
      </c>
      <c r="CF2646">
        <v>0.13</v>
      </c>
      <c r="CG2646">
        <v>0</v>
      </c>
      <c r="CH2646">
        <v>-0.25</v>
      </c>
      <c r="CI2646">
        <v>0</v>
      </c>
      <c r="CJ2646">
        <v>-3</v>
      </c>
      <c r="CK2646">
        <v>81</v>
      </c>
      <c r="CL2646">
        <v>-0.73</v>
      </c>
      <c r="CM2646">
        <v>79</v>
      </c>
      <c r="CN2646">
        <v>-0.03</v>
      </c>
      <c r="CO2646">
        <v>76</v>
      </c>
      <c r="CP2646">
        <v>-12.8</v>
      </c>
      <c r="CQ2646">
        <v>85</v>
      </c>
      <c r="CR2646">
        <v>0</v>
      </c>
      <c r="CS2646">
        <v>0</v>
      </c>
      <c r="CT2646">
        <v>-25.1</v>
      </c>
      <c r="CU2646">
        <v>71</v>
      </c>
      <c r="CV2646">
        <v>0.15</v>
      </c>
      <c r="CW2646">
        <v>22</v>
      </c>
      <c r="CX2646" t="s">
        <v>531</v>
      </c>
    </row>
    <row r="2647" spans="1:102" x14ac:dyDescent="0.3">
      <c r="A2647" t="str">
        <f>HYPERLINK("https://webapp.icbf.com/v2/app/bull-search/view/124414597","DLW")</f>
        <v>DLW</v>
      </c>
      <c r="B2647" t="s">
        <v>979</v>
      </c>
      <c r="C2647" t="s">
        <v>980</v>
      </c>
      <c r="D2647" s="1">
        <v>35434</v>
      </c>
      <c r="E2647" t="s">
        <v>92</v>
      </c>
      <c r="F2647">
        <v>81</v>
      </c>
      <c r="G2647" t="s">
        <v>93</v>
      </c>
      <c r="H2647">
        <v>25.01</v>
      </c>
      <c r="I2647">
        <v>84</v>
      </c>
      <c r="J2647">
        <v>22.48</v>
      </c>
      <c r="K2647">
        <v>96</v>
      </c>
      <c r="L2647">
        <v>-3.84</v>
      </c>
      <c r="M2647">
        <v>77</v>
      </c>
      <c r="N2647">
        <v>6.32</v>
      </c>
      <c r="O2647">
        <v>74</v>
      </c>
      <c r="P2647">
        <v>-10.11</v>
      </c>
      <c r="Q2647">
        <v>87</v>
      </c>
      <c r="R2647">
        <v>-0.39</v>
      </c>
      <c r="S2647">
        <v>78</v>
      </c>
      <c r="T2647">
        <v>15.82</v>
      </c>
      <c r="U2647">
        <v>82</v>
      </c>
      <c r="V2647">
        <v>-5.27</v>
      </c>
      <c r="W2647">
        <v>69</v>
      </c>
      <c r="X2647" t="s">
        <v>102</v>
      </c>
      <c r="Y2647" t="s">
        <v>95</v>
      </c>
      <c r="Z2647" t="s">
        <v>96</v>
      </c>
      <c r="AA2647" t="s">
        <v>529</v>
      </c>
      <c r="AB2647" t="s">
        <v>981</v>
      </c>
      <c r="AC2647">
        <v>75</v>
      </c>
      <c r="AD2647">
        <v>52</v>
      </c>
      <c r="AE2647">
        <v>96</v>
      </c>
      <c r="AF2647">
        <v>-47.08</v>
      </c>
      <c r="AG2647">
        <v>8.49</v>
      </c>
      <c r="AH2647">
        <v>0.1</v>
      </c>
      <c r="AI2647">
        <v>0.18</v>
      </c>
      <c r="AJ2647">
        <v>0.03</v>
      </c>
      <c r="AK2647">
        <v>77</v>
      </c>
      <c r="AL2647">
        <v>85</v>
      </c>
      <c r="AM2647">
        <v>53</v>
      </c>
      <c r="AN2647">
        <v>-0.09</v>
      </c>
      <c r="AO2647">
        <v>-0.4</v>
      </c>
      <c r="AP2647">
        <v>9</v>
      </c>
      <c r="AQ2647">
        <v>0</v>
      </c>
      <c r="AR2647">
        <v>7.76</v>
      </c>
      <c r="AS2647">
        <v>63</v>
      </c>
      <c r="AT2647">
        <v>3.49</v>
      </c>
      <c r="AU2647">
        <v>75</v>
      </c>
      <c r="AV2647">
        <v>-1.07</v>
      </c>
      <c r="AW2647">
        <v>79</v>
      </c>
      <c r="AX2647">
        <v>0.05</v>
      </c>
      <c r="AY2647">
        <v>79</v>
      </c>
      <c r="AZ2647">
        <v>5.46</v>
      </c>
      <c r="BA2647">
        <v>61</v>
      </c>
      <c r="BB2647">
        <v>4.95</v>
      </c>
      <c r="BC2647">
        <v>66</v>
      </c>
      <c r="BD2647">
        <v>0.03</v>
      </c>
      <c r="BE2647">
        <v>0.01</v>
      </c>
      <c r="BF2647">
        <v>-0.06</v>
      </c>
      <c r="BG2647">
        <v>87</v>
      </c>
      <c r="BH2647">
        <v>-0.09</v>
      </c>
      <c r="BI2647">
        <v>6.58</v>
      </c>
      <c r="BJ2647">
        <v>5</v>
      </c>
      <c r="BK2647">
        <v>5</v>
      </c>
      <c r="BL2647">
        <v>-0.38</v>
      </c>
      <c r="BM2647">
        <v>0.73</v>
      </c>
      <c r="BN2647">
        <v>-0.41</v>
      </c>
      <c r="BO2647">
        <v>-0.68</v>
      </c>
      <c r="BP2647">
        <v>0.22</v>
      </c>
      <c r="BQ2647">
        <v>0.13</v>
      </c>
      <c r="BR2647">
        <v>-1.33</v>
      </c>
      <c r="BS2647">
        <v>-1.17</v>
      </c>
      <c r="BT2647">
        <v>0.01</v>
      </c>
      <c r="BU2647">
        <v>-0.62</v>
      </c>
      <c r="BV2647">
        <v>-0.75</v>
      </c>
      <c r="BW2647">
        <v>-1.54</v>
      </c>
      <c r="BX2647">
        <v>-0.11</v>
      </c>
      <c r="BY2647">
        <v>-3.26</v>
      </c>
      <c r="BZ2647">
        <v>-0.68</v>
      </c>
      <c r="CA2647">
        <v>-1.76</v>
      </c>
      <c r="CB2647">
        <v>-1.24</v>
      </c>
      <c r="CC2647">
        <v>-1.81</v>
      </c>
      <c r="CD2647">
        <v>1.1000000000000001</v>
      </c>
      <c r="CE2647">
        <v>-0.63</v>
      </c>
      <c r="CF2647">
        <v>-0.51</v>
      </c>
      <c r="CG2647">
        <v>0</v>
      </c>
      <c r="CH2647">
        <v>-1.17</v>
      </c>
      <c r="CI2647">
        <v>0</v>
      </c>
      <c r="CJ2647">
        <v>-3.5</v>
      </c>
      <c r="CK2647">
        <v>88</v>
      </c>
      <c r="CL2647">
        <v>-0.48</v>
      </c>
      <c r="CM2647">
        <v>86</v>
      </c>
      <c r="CN2647">
        <v>-0.04</v>
      </c>
      <c r="CO2647">
        <v>85</v>
      </c>
      <c r="CP2647">
        <v>-5.3</v>
      </c>
      <c r="CQ2647">
        <v>89</v>
      </c>
      <c r="CR2647">
        <v>0</v>
      </c>
      <c r="CS2647">
        <v>0</v>
      </c>
      <c r="CT2647">
        <v>-7.6</v>
      </c>
      <c r="CU2647">
        <v>82</v>
      </c>
      <c r="CV2647">
        <v>0.04</v>
      </c>
      <c r="CW2647">
        <v>44</v>
      </c>
      <c r="CX2647" t="s">
        <v>982</v>
      </c>
    </row>
    <row r="2648" spans="1:102" x14ac:dyDescent="0.3">
      <c r="A2648" t="str">
        <f>HYPERLINK("https://webapp.icbf.com/v2/app/bull-search/view/393430190","GWA")</f>
        <v>GWA</v>
      </c>
      <c r="B2648" t="s">
        <v>15521</v>
      </c>
      <c r="C2648" t="s">
        <v>15522</v>
      </c>
      <c r="D2648" s="1">
        <v>38383</v>
      </c>
      <c r="E2648" t="s">
        <v>92</v>
      </c>
      <c r="F2648">
        <v>81</v>
      </c>
      <c r="G2648" t="s">
        <v>93</v>
      </c>
      <c r="H2648">
        <v>24.98</v>
      </c>
      <c r="I2648">
        <v>86</v>
      </c>
      <c r="J2648">
        <v>56.95</v>
      </c>
      <c r="K2648">
        <v>96</v>
      </c>
      <c r="L2648">
        <v>-49.42</v>
      </c>
      <c r="M2648">
        <v>78</v>
      </c>
      <c r="N2648">
        <v>8.5500000000000007</v>
      </c>
      <c r="O2648">
        <v>84</v>
      </c>
      <c r="P2648">
        <v>-15.75</v>
      </c>
      <c r="Q2648">
        <v>90</v>
      </c>
      <c r="R2648">
        <v>7.94</v>
      </c>
      <c r="S2648">
        <v>81</v>
      </c>
      <c r="T2648">
        <v>18.78</v>
      </c>
      <c r="U2648">
        <v>85</v>
      </c>
      <c r="V2648">
        <v>-2.0699999999999998</v>
      </c>
      <c r="W2648">
        <v>80</v>
      </c>
      <c r="X2648" t="s">
        <v>94</v>
      </c>
      <c r="Y2648" t="s">
        <v>95</v>
      </c>
      <c r="Z2648" t="s">
        <v>96</v>
      </c>
      <c r="AA2648" t="s">
        <v>4398</v>
      </c>
      <c r="AB2648" t="s">
        <v>15523</v>
      </c>
      <c r="AC2648">
        <v>72</v>
      </c>
      <c r="AD2648">
        <v>58</v>
      </c>
      <c r="AE2648">
        <v>96</v>
      </c>
      <c r="AF2648">
        <v>212.88</v>
      </c>
      <c r="AG2648">
        <v>11.15</v>
      </c>
      <c r="AH2648">
        <v>9</v>
      </c>
      <c r="AI2648">
        <v>0.05</v>
      </c>
      <c r="AJ2648">
        <v>0.03</v>
      </c>
      <c r="AK2648">
        <v>78</v>
      </c>
      <c r="AL2648">
        <v>70</v>
      </c>
      <c r="AM2648">
        <v>53</v>
      </c>
      <c r="AN2648">
        <v>4.32</v>
      </c>
      <c r="AO2648">
        <v>0.4</v>
      </c>
      <c r="AP2648">
        <v>153</v>
      </c>
      <c r="AQ2648">
        <v>0</v>
      </c>
      <c r="AR2648">
        <v>6.57</v>
      </c>
      <c r="AS2648">
        <v>67</v>
      </c>
      <c r="AT2648">
        <v>3.73</v>
      </c>
      <c r="AU2648">
        <v>86</v>
      </c>
      <c r="AV2648">
        <v>-1.47</v>
      </c>
      <c r="AW2648">
        <v>94</v>
      </c>
      <c r="AX2648">
        <v>-0.34</v>
      </c>
      <c r="AY2648">
        <v>78</v>
      </c>
      <c r="AZ2648">
        <v>6.41</v>
      </c>
      <c r="BA2648">
        <v>63</v>
      </c>
      <c r="BB2648">
        <v>5.28</v>
      </c>
      <c r="BC2648">
        <v>67</v>
      </c>
      <c r="BD2648">
        <v>-0.04</v>
      </c>
      <c r="BE2648">
        <v>-0.04</v>
      </c>
      <c r="BF2648">
        <v>-0.04</v>
      </c>
      <c r="BG2648">
        <v>87</v>
      </c>
      <c r="BH2648">
        <v>0.11</v>
      </c>
      <c r="BI2648">
        <v>19.39</v>
      </c>
      <c r="BJ2648">
        <v>17</v>
      </c>
      <c r="BK2648">
        <v>17</v>
      </c>
      <c r="BL2648">
        <v>-0.79</v>
      </c>
      <c r="BM2648">
        <v>-1.66</v>
      </c>
      <c r="BN2648">
        <v>-1.59</v>
      </c>
      <c r="BO2648">
        <v>-0.28999999999999998</v>
      </c>
      <c r="BP2648">
        <v>0.35</v>
      </c>
      <c r="BQ2648">
        <v>-3.19</v>
      </c>
      <c r="BR2648">
        <v>-0.1</v>
      </c>
      <c r="BS2648">
        <v>-1.51</v>
      </c>
      <c r="BT2648">
        <v>-0.63</v>
      </c>
      <c r="BU2648">
        <v>-1.59</v>
      </c>
      <c r="BV2648">
        <v>-1.99</v>
      </c>
      <c r="BW2648">
        <v>-1.58</v>
      </c>
      <c r="BX2648">
        <v>-1.17</v>
      </c>
      <c r="BY2648">
        <v>-0.33</v>
      </c>
      <c r="BZ2648">
        <v>-2.09</v>
      </c>
      <c r="CA2648">
        <v>-1.48</v>
      </c>
      <c r="CB2648">
        <v>-1.67</v>
      </c>
      <c r="CC2648">
        <v>-0.85</v>
      </c>
      <c r="CD2648">
        <v>-0.71</v>
      </c>
      <c r="CE2648">
        <v>-0.59</v>
      </c>
      <c r="CF2648">
        <v>-2.09</v>
      </c>
      <c r="CG2648">
        <v>0</v>
      </c>
      <c r="CH2648">
        <v>-0.23</v>
      </c>
      <c r="CI2648">
        <v>0</v>
      </c>
      <c r="CJ2648">
        <v>-6</v>
      </c>
      <c r="CK2648">
        <v>91</v>
      </c>
      <c r="CL2648">
        <v>-0.65</v>
      </c>
      <c r="CM2648">
        <v>89</v>
      </c>
      <c r="CN2648">
        <v>-0.09</v>
      </c>
      <c r="CO2648">
        <v>88</v>
      </c>
      <c r="CP2648">
        <v>-12.1</v>
      </c>
      <c r="CQ2648">
        <v>87</v>
      </c>
      <c r="CR2648">
        <v>0</v>
      </c>
      <c r="CS2648">
        <v>0</v>
      </c>
      <c r="CT2648">
        <v>-11.6</v>
      </c>
      <c r="CU2648">
        <v>85</v>
      </c>
      <c r="CV2648">
        <v>0.09</v>
      </c>
      <c r="CW2648">
        <v>44</v>
      </c>
      <c r="CX2648" t="s">
        <v>1037</v>
      </c>
    </row>
    <row r="2649" spans="1:102" x14ac:dyDescent="0.3">
      <c r="A2649" t="str">
        <f>HYPERLINK("https://webapp.icbf.com/v2/app/bull-search/view/108379932","SLO")</f>
        <v>SLO</v>
      </c>
      <c r="B2649" t="s">
        <v>144</v>
      </c>
      <c r="C2649" t="s">
        <v>942</v>
      </c>
      <c r="D2649" s="1">
        <v>34147</v>
      </c>
      <c r="E2649" t="s">
        <v>146</v>
      </c>
      <c r="F2649">
        <v>22</v>
      </c>
      <c r="G2649" t="s">
        <v>93</v>
      </c>
      <c r="H2649">
        <v>24.93</v>
      </c>
      <c r="I2649">
        <v>90</v>
      </c>
      <c r="J2649">
        <v>-67.260000000000005</v>
      </c>
      <c r="K2649">
        <v>98</v>
      </c>
      <c r="L2649">
        <v>78.89</v>
      </c>
      <c r="M2649">
        <v>83</v>
      </c>
      <c r="N2649">
        <v>15.73</v>
      </c>
      <c r="O2649">
        <v>90</v>
      </c>
      <c r="P2649">
        <v>9.6</v>
      </c>
      <c r="Q2649">
        <v>97</v>
      </c>
      <c r="R2649">
        <v>0</v>
      </c>
      <c r="S2649">
        <v>85</v>
      </c>
      <c r="T2649">
        <v>-6.45</v>
      </c>
      <c r="U2649">
        <v>91</v>
      </c>
      <c r="V2649">
        <v>-5.58</v>
      </c>
      <c r="W2649">
        <v>83</v>
      </c>
      <c r="X2649" t="s">
        <v>276</v>
      </c>
      <c r="Y2649" t="s">
        <v>545</v>
      </c>
      <c r="Z2649">
        <v>0</v>
      </c>
      <c r="AA2649" t="s">
        <v>943</v>
      </c>
      <c r="AB2649" t="s">
        <v>944</v>
      </c>
      <c r="AC2649">
        <v>290</v>
      </c>
      <c r="AD2649">
        <v>143</v>
      </c>
      <c r="AE2649">
        <v>98</v>
      </c>
      <c r="AF2649">
        <v>-517.29</v>
      </c>
      <c r="AG2649">
        <v>-16.13</v>
      </c>
      <c r="AH2649">
        <v>-13.65</v>
      </c>
      <c r="AI2649">
        <v>7.0000000000000007E-2</v>
      </c>
      <c r="AJ2649">
        <v>7.0000000000000007E-2</v>
      </c>
      <c r="AK2649">
        <v>83</v>
      </c>
      <c r="AL2649">
        <v>309</v>
      </c>
      <c r="AM2649">
        <v>152</v>
      </c>
      <c r="AN2649">
        <v>-5.16</v>
      </c>
      <c r="AO2649">
        <v>1.1200000000000001</v>
      </c>
      <c r="AP2649">
        <v>219</v>
      </c>
      <c r="AQ2649">
        <v>8</v>
      </c>
      <c r="AR2649">
        <v>5.07</v>
      </c>
      <c r="AS2649">
        <v>82</v>
      </c>
      <c r="AT2649">
        <v>2.33</v>
      </c>
      <c r="AU2649">
        <v>90</v>
      </c>
      <c r="AV2649">
        <v>-0.22</v>
      </c>
      <c r="AW2649">
        <v>95</v>
      </c>
      <c r="AX2649">
        <v>-0.33</v>
      </c>
      <c r="AY2649">
        <v>93</v>
      </c>
      <c r="AZ2649">
        <v>6.34</v>
      </c>
      <c r="BA2649">
        <v>79</v>
      </c>
      <c r="BB2649">
        <v>4.82</v>
      </c>
      <c r="BC2649">
        <v>83</v>
      </c>
      <c r="BD2649">
        <v>-0.03</v>
      </c>
      <c r="BE2649">
        <v>0</v>
      </c>
      <c r="BF2649">
        <v>0.05</v>
      </c>
      <c r="BG2649">
        <v>94</v>
      </c>
      <c r="BH2649">
        <v>-0.09</v>
      </c>
      <c r="BI2649">
        <v>7.6</v>
      </c>
      <c r="BJ2649">
        <v>3</v>
      </c>
      <c r="BK2649">
        <v>3</v>
      </c>
      <c r="BL2649">
        <v>-1.92</v>
      </c>
      <c r="BM2649">
        <v>2.46</v>
      </c>
      <c r="BN2649">
        <v>-1.36</v>
      </c>
      <c r="BO2649">
        <v>-2.62</v>
      </c>
      <c r="BP2649">
        <v>1.73</v>
      </c>
      <c r="BQ2649">
        <v>0.39</v>
      </c>
      <c r="BR2649">
        <v>-0.82</v>
      </c>
      <c r="BS2649">
        <v>-0.13</v>
      </c>
      <c r="BT2649">
        <v>0.53</v>
      </c>
      <c r="BU2649">
        <v>-2.71</v>
      </c>
      <c r="BV2649">
        <v>-2.99</v>
      </c>
      <c r="BW2649">
        <v>-2.67</v>
      </c>
      <c r="BX2649">
        <v>-2.46</v>
      </c>
      <c r="BY2649">
        <v>-2.88</v>
      </c>
      <c r="BZ2649">
        <v>2.0499999999999998</v>
      </c>
      <c r="CA2649">
        <v>-2.78</v>
      </c>
      <c r="CB2649">
        <v>-3.07</v>
      </c>
      <c r="CC2649">
        <v>-1.05</v>
      </c>
      <c r="CD2649">
        <v>2.7</v>
      </c>
      <c r="CE2649">
        <v>-3.36</v>
      </c>
      <c r="CF2649">
        <v>-1.82</v>
      </c>
      <c r="CG2649">
        <v>0</v>
      </c>
      <c r="CH2649">
        <v>-3.47</v>
      </c>
      <c r="CI2649">
        <v>0</v>
      </c>
      <c r="CJ2649">
        <v>5.6</v>
      </c>
      <c r="CK2649">
        <v>97</v>
      </c>
      <c r="CL2649">
        <v>0.04</v>
      </c>
      <c r="CM2649">
        <v>97</v>
      </c>
      <c r="CN2649">
        <v>-0.03</v>
      </c>
      <c r="CO2649">
        <v>96</v>
      </c>
      <c r="CP2649">
        <v>7.4</v>
      </c>
      <c r="CQ2649">
        <v>96</v>
      </c>
      <c r="CR2649">
        <v>0</v>
      </c>
      <c r="CS2649">
        <v>0</v>
      </c>
      <c r="CT2649">
        <v>22.5</v>
      </c>
      <c r="CU2649">
        <v>91</v>
      </c>
      <c r="CV2649">
        <v>-0.01</v>
      </c>
      <c r="CW2649">
        <v>28</v>
      </c>
      <c r="CX2649" t="s">
        <v>945</v>
      </c>
    </row>
    <row r="2650" spans="1:102" x14ac:dyDescent="0.3">
      <c r="A2650" t="str">
        <f>HYPERLINK("https://webapp.icbf.com/v2/app/bull-search/view/586152424","S1293")</f>
        <v>S1293</v>
      </c>
      <c r="B2650" t="s">
        <v>15132</v>
      </c>
      <c r="C2650" t="s">
        <v>15133</v>
      </c>
      <c r="D2650" s="1">
        <v>38133</v>
      </c>
      <c r="E2650" t="s">
        <v>92</v>
      </c>
      <c r="F2650">
        <v>100</v>
      </c>
      <c r="G2650" t="s">
        <v>109</v>
      </c>
      <c r="H2650">
        <v>24.85</v>
      </c>
      <c r="I2650">
        <v>81</v>
      </c>
      <c r="J2650">
        <v>46.96</v>
      </c>
      <c r="K2650">
        <v>93</v>
      </c>
      <c r="L2650">
        <v>-41.38</v>
      </c>
      <c r="M2650">
        <v>85</v>
      </c>
      <c r="N2650">
        <v>17.37</v>
      </c>
      <c r="O2650">
        <v>71</v>
      </c>
      <c r="P2650">
        <v>-3.74</v>
      </c>
      <c r="Q2650">
        <v>66</v>
      </c>
      <c r="R2650">
        <v>-2.09</v>
      </c>
      <c r="S2650">
        <v>75</v>
      </c>
      <c r="T2650">
        <v>-1.49</v>
      </c>
      <c r="U2650">
        <v>55</v>
      </c>
      <c r="V2650">
        <v>9.2200000000000006</v>
      </c>
      <c r="W2650">
        <v>58</v>
      </c>
      <c r="X2650" t="s">
        <v>102</v>
      </c>
      <c r="Y2650" t="s">
        <v>342</v>
      </c>
      <c r="Z2650" t="s">
        <v>96</v>
      </c>
      <c r="AA2650" t="s">
        <v>1752</v>
      </c>
      <c r="AB2650" t="s">
        <v>15134</v>
      </c>
      <c r="AC2650">
        <v>0</v>
      </c>
      <c r="AD2650">
        <v>0</v>
      </c>
      <c r="AE2650">
        <v>93</v>
      </c>
      <c r="AF2650">
        <v>358.19</v>
      </c>
      <c r="AG2650">
        <v>2.09</v>
      </c>
      <c r="AH2650">
        <v>12.73</v>
      </c>
      <c r="AI2650">
        <v>-0.2</v>
      </c>
      <c r="AJ2650">
        <v>0.01</v>
      </c>
      <c r="AK2650">
        <v>85</v>
      </c>
      <c r="AL2650">
        <v>0</v>
      </c>
      <c r="AM2650">
        <v>0</v>
      </c>
      <c r="AN2650">
        <v>3.81</v>
      </c>
      <c r="AO2650">
        <v>0.53</v>
      </c>
      <c r="AP2650">
        <v>29</v>
      </c>
      <c r="AQ2650">
        <v>0</v>
      </c>
      <c r="AR2650">
        <v>6.81</v>
      </c>
      <c r="AS2650">
        <v>56</v>
      </c>
      <c r="AT2650">
        <v>2.76</v>
      </c>
      <c r="AU2650">
        <v>92</v>
      </c>
      <c r="AV2650">
        <v>-2.13</v>
      </c>
      <c r="AW2650">
        <v>73</v>
      </c>
      <c r="AX2650">
        <v>0.11</v>
      </c>
      <c r="AY2650">
        <v>59</v>
      </c>
      <c r="AZ2650">
        <v>7.29</v>
      </c>
      <c r="BA2650">
        <v>49</v>
      </c>
      <c r="BB2650">
        <v>5.57</v>
      </c>
      <c r="BC2650">
        <v>48</v>
      </c>
      <c r="BD2650">
        <v>0.03</v>
      </c>
      <c r="BE2650">
        <v>0.02</v>
      </c>
      <c r="BF2650">
        <v>-0.04</v>
      </c>
      <c r="BG2650">
        <v>92</v>
      </c>
      <c r="BH2650">
        <v>7.0000000000000007E-2</v>
      </c>
      <c r="BI2650">
        <v>-21.64</v>
      </c>
      <c r="BJ2650">
        <v>15</v>
      </c>
      <c r="BK2650">
        <v>5</v>
      </c>
      <c r="BL2650">
        <v>-0.02</v>
      </c>
      <c r="BM2650">
        <v>-2.54</v>
      </c>
      <c r="BN2650">
        <v>-0.56999999999999995</v>
      </c>
      <c r="BO2650">
        <v>1.28</v>
      </c>
      <c r="BP2650">
        <v>2.17</v>
      </c>
      <c r="BQ2650">
        <v>0.13</v>
      </c>
      <c r="BR2650">
        <v>-0.01</v>
      </c>
      <c r="BS2650">
        <v>1.21</v>
      </c>
      <c r="BT2650">
        <v>0.79</v>
      </c>
      <c r="BU2650">
        <v>1.67</v>
      </c>
      <c r="BV2650">
        <v>2.95</v>
      </c>
      <c r="BW2650">
        <v>2.39</v>
      </c>
      <c r="BX2650">
        <v>0.63</v>
      </c>
      <c r="BY2650">
        <v>2.31</v>
      </c>
      <c r="BZ2650">
        <v>-1.75</v>
      </c>
      <c r="CA2650">
        <v>2.27</v>
      </c>
      <c r="CB2650">
        <v>2.2799999999999998</v>
      </c>
      <c r="CC2650">
        <v>1.53</v>
      </c>
      <c r="CD2650">
        <v>-1.64</v>
      </c>
      <c r="CE2650">
        <v>1.25</v>
      </c>
      <c r="CF2650">
        <v>0.79</v>
      </c>
      <c r="CG2650">
        <v>0</v>
      </c>
      <c r="CH2650">
        <v>2.33</v>
      </c>
      <c r="CI2650">
        <v>0</v>
      </c>
      <c r="CJ2650">
        <v>1.9</v>
      </c>
      <c r="CK2650">
        <v>68</v>
      </c>
      <c r="CL2650">
        <v>-0.95</v>
      </c>
      <c r="CM2650">
        <v>64</v>
      </c>
      <c r="CN2650">
        <v>-0.25</v>
      </c>
      <c r="CO2650">
        <v>63</v>
      </c>
      <c r="CP2650">
        <v>3.4</v>
      </c>
      <c r="CQ2650">
        <v>56</v>
      </c>
      <c r="CR2650">
        <v>0</v>
      </c>
      <c r="CS2650">
        <v>0</v>
      </c>
      <c r="CT2650">
        <v>15.8</v>
      </c>
      <c r="CU2650">
        <v>55</v>
      </c>
      <c r="CV2650">
        <v>0.12</v>
      </c>
      <c r="CW2650">
        <v>39</v>
      </c>
      <c r="CX2650" t="s">
        <v>4584</v>
      </c>
    </row>
    <row r="2651" spans="1:102" x14ac:dyDescent="0.3">
      <c r="A2651" t="str">
        <f>HYPERLINK("https://webapp.icbf.com/v2/app/bull-search/view/391630851","SIO")</f>
        <v>SIO</v>
      </c>
      <c r="B2651" t="s">
        <v>9946</v>
      </c>
      <c r="C2651" t="s">
        <v>9947</v>
      </c>
      <c r="D2651" s="1">
        <v>36738</v>
      </c>
      <c r="E2651" t="s">
        <v>92</v>
      </c>
      <c r="F2651">
        <v>100</v>
      </c>
      <c r="G2651" t="s">
        <v>93</v>
      </c>
      <c r="H2651">
        <v>24.82</v>
      </c>
      <c r="I2651">
        <v>92</v>
      </c>
      <c r="J2651">
        <v>69.650000000000006</v>
      </c>
      <c r="K2651">
        <v>98</v>
      </c>
      <c r="L2651">
        <v>-43.43</v>
      </c>
      <c r="M2651">
        <v>87</v>
      </c>
      <c r="N2651">
        <v>-17.23</v>
      </c>
      <c r="O2651">
        <v>91</v>
      </c>
      <c r="P2651">
        <v>-10.78</v>
      </c>
      <c r="Q2651">
        <v>95</v>
      </c>
      <c r="R2651">
        <v>0.43</v>
      </c>
      <c r="S2651">
        <v>88</v>
      </c>
      <c r="T2651">
        <v>16.93</v>
      </c>
      <c r="U2651">
        <v>94</v>
      </c>
      <c r="V2651">
        <v>9.25</v>
      </c>
      <c r="W2651">
        <v>91</v>
      </c>
      <c r="X2651" t="s">
        <v>302</v>
      </c>
      <c r="Y2651" t="s">
        <v>95</v>
      </c>
      <c r="Z2651" t="s">
        <v>330</v>
      </c>
      <c r="AA2651" t="s">
        <v>1257</v>
      </c>
      <c r="AB2651" t="s">
        <v>9948</v>
      </c>
      <c r="AC2651">
        <v>232</v>
      </c>
      <c r="AD2651">
        <v>72</v>
      </c>
      <c r="AE2651">
        <v>98</v>
      </c>
      <c r="AF2651">
        <v>281.89</v>
      </c>
      <c r="AG2651">
        <v>12.89</v>
      </c>
      <c r="AH2651">
        <v>11.6</v>
      </c>
      <c r="AI2651">
        <v>0.03</v>
      </c>
      <c r="AJ2651">
        <v>0.03</v>
      </c>
      <c r="AK2651">
        <v>87</v>
      </c>
      <c r="AL2651">
        <v>224</v>
      </c>
      <c r="AM2651">
        <v>80</v>
      </c>
      <c r="AN2651">
        <v>3.43</v>
      </c>
      <c r="AO2651">
        <v>-0.02</v>
      </c>
      <c r="AP2651">
        <v>415</v>
      </c>
      <c r="AQ2651">
        <v>5</v>
      </c>
      <c r="AR2651">
        <v>12.77</v>
      </c>
      <c r="AS2651">
        <v>79</v>
      </c>
      <c r="AT2651">
        <v>4.4400000000000004</v>
      </c>
      <c r="AU2651">
        <v>93</v>
      </c>
      <c r="AV2651">
        <v>-0.97</v>
      </c>
      <c r="AW2651">
        <v>98</v>
      </c>
      <c r="AX2651">
        <v>-0.4</v>
      </c>
      <c r="AY2651">
        <v>89</v>
      </c>
      <c r="AZ2651">
        <v>5.5</v>
      </c>
      <c r="BA2651">
        <v>77</v>
      </c>
      <c r="BB2651">
        <v>4.3</v>
      </c>
      <c r="BC2651">
        <v>78</v>
      </c>
      <c r="BD2651">
        <v>-0.03</v>
      </c>
      <c r="BE2651">
        <v>0</v>
      </c>
      <c r="BF2651">
        <v>0.04</v>
      </c>
      <c r="BG2651">
        <v>94</v>
      </c>
      <c r="BH2651">
        <v>0.06</v>
      </c>
      <c r="BI2651">
        <v>-22.91</v>
      </c>
      <c r="BJ2651">
        <v>1</v>
      </c>
      <c r="BK2651">
        <v>1</v>
      </c>
      <c r="BL2651">
        <v>-1.1399999999999999</v>
      </c>
      <c r="BM2651">
        <v>-0.31</v>
      </c>
      <c r="BN2651">
        <v>-0.79</v>
      </c>
      <c r="BO2651">
        <v>0</v>
      </c>
      <c r="BP2651">
        <v>-1.73</v>
      </c>
      <c r="BQ2651">
        <v>0.17</v>
      </c>
      <c r="BR2651">
        <v>2.17</v>
      </c>
      <c r="BS2651">
        <v>-2.1</v>
      </c>
      <c r="BT2651">
        <v>-2.56</v>
      </c>
      <c r="BU2651">
        <v>-0.98</v>
      </c>
      <c r="BV2651">
        <v>-0.94</v>
      </c>
      <c r="BW2651">
        <v>-0.67</v>
      </c>
      <c r="BX2651">
        <v>-2.2799999999999998</v>
      </c>
      <c r="BY2651">
        <v>-0.3</v>
      </c>
      <c r="BZ2651">
        <v>-0.04</v>
      </c>
      <c r="CA2651">
        <v>-1.33</v>
      </c>
      <c r="CB2651">
        <v>-0.91</v>
      </c>
      <c r="CC2651">
        <v>-2.39</v>
      </c>
      <c r="CD2651">
        <v>-0.82</v>
      </c>
      <c r="CE2651">
        <v>-0.4</v>
      </c>
      <c r="CF2651">
        <v>-0.94</v>
      </c>
      <c r="CG2651">
        <v>0</v>
      </c>
      <c r="CH2651">
        <v>-0.06</v>
      </c>
      <c r="CI2651">
        <v>0</v>
      </c>
      <c r="CJ2651">
        <v>-3</v>
      </c>
      <c r="CK2651">
        <v>96</v>
      </c>
      <c r="CL2651">
        <v>-0.74</v>
      </c>
      <c r="CM2651">
        <v>95</v>
      </c>
      <c r="CN2651">
        <v>-0.24</v>
      </c>
      <c r="CO2651">
        <v>94</v>
      </c>
      <c r="CP2651">
        <v>-12.1</v>
      </c>
      <c r="CQ2651">
        <v>95</v>
      </c>
      <c r="CR2651">
        <v>0</v>
      </c>
      <c r="CS2651">
        <v>0</v>
      </c>
      <c r="CT2651">
        <v>-9.1</v>
      </c>
      <c r="CU2651">
        <v>94</v>
      </c>
      <c r="CV2651">
        <v>0.15</v>
      </c>
      <c r="CW2651">
        <v>45</v>
      </c>
      <c r="CX2651" t="s">
        <v>531</v>
      </c>
    </row>
    <row r="2652" spans="1:102" x14ac:dyDescent="0.3">
      <c r="A2652" t="str">
        <f>HYPERLINK("https://webapp.icbf.com/v2/app/bull-search/view/77858542","DRH")</f>
        <v>DRH</v>
      </c>
      <c r="B2652" t="s">
        <v>3161</v>
      </c>
      <c r="C2652" t="s">
        <v>3162</v>
      </c>
      <c r="D2652" s="1">
        <v>34335</v>
      </c>
      <c r="E2652" t="s">
        <v>92</v>
      </c>
      <c r="F2652">
        <v>100</v>
      </c>
      <c r="G2652" t="s">
        <v>93</v>
      </c>
      <c r="H2652">
        <v>24.8</v>
      </c>
      <c r="I2652">
        <v>96</v>
      </c>
      <c r="J2652">
        <v>34.479999999999997</v>
      </c>
      <c r="K2652">
        <v>99</v>
      </c>
      <c r="L2652">
        <v>-17.82</v>
      </c>
      <c r="M2652">
        <v>92</v>
      </c>
      <c r="N2652">
        <v>-2.08</v>
      </c>
      <c r="O2652">
        <v>97</v>
      </c>
      <c r="P2652">
        <v>5.69</v>
      </c>
      <c r="Q2652">
        <v>99</v>
      </c>
      <c r="R2652">
        <v>-3.48</v>
      </c>
      <c r="S2652">
        <v>94</v>
      </c>
      <c r="T2652">
        <v>4.3499999999999996</v>
      </c>
      <c r="U2652">
        <v>99</v>
      </c>
      <c r="V2652">
        <v>3.66</v>
      </c>
      <c r="W2652">
        <v>94</v>
      </c>
      <c r="X2652" t="s">
        <v>94</v>
      </c>
      <c r="Y2652" t="s">
        <v>95</v>
      </c>
      <c r="Z2652" t="s">
        <v>96</v>
      </c>
      <c r="AA2652" t="s">
        <v>3163</v>
      </c>
      <c r="AB2652" t="s">
        <v>1460</v>
      </c>
      <c r="AC2652">
        <v>699</v>
      </c>
      <c r="AD2652">
        <v>266</v>
      </c>
      <c r="AE2652">
        <v>99</v>
      </c>
      <c r="AF2652">
        <v>-47.28</v>
      </c>
      <c r="AG2652">
        <v>7.07</v>
      </c>
      <c r="AH2652">
        <v>2.64</v>
      </c>
      <c r="AI2652">
        <v>0.16</v>
      </c>
      <c r="AJ2652">
        <v>7.0000000000000007E-2</v>
      </c>
      <c r="AK2652">
        <v>92</v>
      </c>
      <c r="AL2652">
        <v>726</v>
      </c>
      <c r="AM2652">
        <v>285</v>
      </c>
      <c r="AN2652">
        <v>1.06</v>
      </c>
      <c r="AO2652">
        <v>-0.36</v>
      </c>
      <c r="AP2652">
        <v>932</v>
      </c>
      <c r="AQ2652">
        <v>4</v>
      </c>
      <c r="AR2652">
        <v>7.94</v>
      </c>
      <c r="AS2652">
        <v>91</v>
      </c>
      <c r="AT2652">
        <v>3.28</v>
      </c>
      <c r="AU2652">
        <v>97</v>
      </c>
      <c r="AV2652">
        <v>-0.87</v>
      </c>
      <c r="AW2652">
        <v>99</v>
      </c>
      <c r="AX2652">
        <v>-0.47</v>
      </c>
      <c r="AY2652">
        <v>97</v>
      </c>
      <c r="AZ2652">
        <v>7.52</v>
      </c>
      <c r="BA2652">
        <v>90</v>
      </c>
      <c r="BB2652">
        <v>6.14</v>
      </c>
      <c r="BC2652">
        <v>93</v>
      </c>
      <c r="BD2652">
        <v>0</v>
      </c>
      <c r="BE2652">
        <v>0</v>
      </c>
      <c r="BF2652">
        <v>0.08</v>
      </c>
      <c r="BG2652">
        <v>98</v>
      </c>
      <c r="BH2652">
        <v>-0.01</v>
      </c>
      <c r="BI2652">
        <v>-12.96</v>
      </c>
      <c r="BJ2652">
        <v>44</v>
      </c>
      <c r="BK2652">
        <v>19</v>
      </c>
      <c r="BL2652">
        <v>-0.65</v>
      </c>
      <c r="BM2652">
        <v>0.27</v>
      </c>
      <c r="BN2652">
        <v>-0.55000000000000004</v>
      </c>
      <c r="BO2652">
        <v>-0.77</v>
      </c>
      <c r="BP2652">
        <v>-1.38</v>
      </c>
      <c r="BQ2652">
        <v>-0.76</v>
      </c>
      <c r="BR2652">
        <v>-0.25</v>
      </c>
      <c r="BS2652">
        <v>-1.35</v>
      </c>
      <c r="BT2652">
        <v>1.29</v>
      </c>
      <c r="BU2652">
        <v>-0.25</v>
      </c>
      <c r="BV2652">
        <v>-1.1299999999999999</v>
      </c>
      <c r="BW2652">
        <v>-1.23</v>
      </c>
      <c r="BX2652">
        <v>0.16</v>
      </c>
      <c r="BY2652">
        <v>-0.31</v>
      </c>
      <c r="BZ2652">
        <v>-1</v>
      </c>
      <c r="CA2652">
        <v>-0.93</v>
      </c>
      <c r="CB2652">
        <v>-0.34</v>
      </c>
      <c r="CC2652">
        <v>-1.86</v>
      </c>
      <c r="CD2652">
        <v>0.48</v>
      </c>
      <c r="CE2652">
        <v>-0.56999999999999995</v>
      </c>
      <c r="CF2652">
        <v>-1.02</v>
      </c>
      <c r="CG2652">
        <v>0</v>
      </c>
      <c r="CH2652">
        <v>-0.24</v>
      </c>
      <c r="CI2652">
        <v>0</v>
      </c>
      <c r="CJ2652">
        <v>4.5999999999999996</v>
      </c>
      <c r="CK2652">
        <v>99</v>
      </c>
      <c r="CL2652">
        <v>-0.45</v>
      </c>
      <c r="CM2652">
        <v>99</v>
      </c>
      <c r="CN2652">
        <v>-0.36</v>
      </c>
      <c r="CO2652">
        <v>99</v>
      </c>
      <c r="CP2652">
        <v>-1.5</v>
      </c>
      <c r="CQ2652">
        <v>99</v>
      </c>
      <c r="CR2652">
        <v>0</v>
      </c>
      <c r="CS2652">
        <v>0</v>
      </c>
      <c r="CT2652">
        <v>7.9</v>
      </c>
      <c r="CU2652">
        <v>99</v>
      </c>
      <c r="CV2652">
        <v>0.16</v>
      </c>
      <c r="CW2652">
        <v>46</v>
      </c>
      <c r="CX2652" t="s">
        <v>166</v>
      </c>
    </row>
    <row r="2653" spans="1:102" x14ac:dyDescent="0.3">
      <c r="A2653" t="str">
        <f>HYPERLINK("https://webapp.icbf.com/v2/app/bull-search/view/1306330748","MO2283")</f>
        <v>MO2283</v>
      </c>
      <c r="B2653" t="s">
        <v>9377</v>
      </c>
      <c r="C2653" t="s">
        <v>9378</v>
      </c>
      <c r="D2653" s="1">
        <v>40339</v>
      </c>
      <c r="E2653" t="s">
        <v>140</v>
      </c>
      <c r="F2653">
        <v>0</v>
      </c>
      <c r="G2653" t="s">
        <v>109</v>
      </c>
      <c r="H2653">
        <v>24.73</v>
      </c>
      <c r="I2653">
        <v>57</v>
      </c>
      <c r="J2653">
        <v>36.130000000000003</v>
      </c>
      <c r="K2653">
        <v>75</v>
      </c>
      <c r="L2653">
        <v>17.5</v>
      </c>
      <c r="M2653">
        <v>38</v>
      </c>
      <c r="N2653">
        <v>-35.479999999999997</v>
      </c>
      <c r="O2653">
        <v>76</v>
      </c>
      <c r="P2653">
        <v>4.08</v>
      </c>
      <c r="Q2653">
        <v>75</v>
      </c>
      <c r="R2653">
        <v>4.78</v>
      </c>
      <c r="S2653">
        <v>36</v>
      </c>
      <c r="T2653">
        <v>6.57</v>
      </c>
      <c r="U2653">
        <v>45</v>
      </c>
      <c r="V2653">
        <v>-8.85</v>
      </c>
      <c r="W2653">
        <v>28</v>
      </c>
      <c r="X2653" t="s">
        <v>102</v>
      </c>
      <c r="Y2653" t="s">
        <v>422</v>
      </c>
      <c r="Z2653">
        <v>0</v>
      </c>
      <c r="AA2653" t="s">
        <v>7918</v>
      </c>
      <c r="AB2653" t="s">
        <v>9379</v>
      </c>
      <c r="AC2653">
        <v>0</v>
      </c>
      <c r="AD2653">
        <v>0</v>
      </c>
      <c r="AE2653">
        <v>75</v>
      </c>
      <c r="AF2653">
        <v>51.05</v>
      </c>
      <c r="AG2653">
        <v>4.51</v>
      </c>
      <c r="AH2653">
        <v>5.33</v>
      </c>
      <c r="AI2653">
        <v>0.04</v>
      </c>
      <c r="AJ2653">
        <v>0.06</v>
      </c>
      <c r="AK2653">
        <v>38</v>
      </c>
      <c r="AL2653">
        <v>0</v>
      </c>
      <c r="AM2653">
        <v>0</v>
      </c>
      <c r="AN2653">
        <v>-0.59</v>
      </c>
      <c r="AO2653">
        <v>0.81</v>
      </c>
      <c r="AP2653">
        <v>240</v>
      </c>
      <c r="AQ2653">
        <v>2</v>
      </c>
      <c r="AR2653">
        <v>9.24</v>
      </c>
      <c r="AS2653">
        <v>64</v>
      </c>
      <c r="AT2653">
        <v>4.96</v>
      </c>
      <c r="AU2653">
        <v>82</v>
      </c>
      <c r="AV2653">
        <v>1.81</v>
      </c>
      <c r="AW2653">
        <v>96</v>
      </c>
      <c r="AX2653">
        <v>0.77</v>
      </c>
      <c r="AY2653">
        <v>75</v>
      </c>
      <c r="AZ2653">
        <v>5.73</v>
      </c>
      <c r="BA2653">
        <v>33</v>
      </c>
      <c r="BB2653">
        <v>4.2</v>
      </c>
      <c r="BC2653">
        <v>23</v>
      </c>
      <c r="BD2653">
        <v>0</v>
      </c>
      <c r="BE2653">
        <v>0</v>
      </c>
      <c r="BF2653">
        <v>-0.11</v>
      </c>
      <c r="BG2653">
        <v>42</v>
      </c>
      <c r="BH2653">
        <v>-0.31</v>
      </c>
      <c r="BI2653">
        <v>-7.3</v>
      </c>
      <c r="BJ2653">
        <v>0</v>
      </c>
      <c r="BK2653">
        <v>0</v>
      </c>
      <c r="BL2653">
        <v>-0.74</v>
      </c>
      <c r="BM2653">
        <v>3.53</v>
      </c>
      <c r="BN2653">
        <v>-1.68</v>
      </c>
      <c r="BO2653">
        <v>-3.01</v>
      </c>
      <c r="BP2653">
        <v>4.3499999999999996</v>
      </c>
      <c r="BQ2653">
        <v>-1.88</v>
      </c>
      <c r="BR2653">
        <v>-2.57</v>
      </c>
      <c r="BS2653">
        <v>-0.45</v>
      </c>
      <c r="BT2653">
        <v>2.54</v>
      </c>
      <c r="BU2653">
        <v>-3.54</v>
      </c>
      <c r="BV2653">
        <v>-4.0199999999999996</v>
      </c>
      <c r="BW2653">
        <v>-3</v>
      </c>
      <c r="BX2653">
        <v>-2.7</v>
      </c>
      <c r="BY2653">
        <v>-2.14</v>
      </c>
      <c r="BZ2653">
        <v>1.18</v>
      </c>
      <c r="CA2653">
        <v>-2.67</v>
      </c>
      <c r="CB2653">
        <v>-3.31</v>
      </c>
      <c r="CC2653">
        <v>-0.61</v>
      </c>
      <c r="CD2653">
        <v>3.9</v>
      </c>
      <c r="CE2653">
        <v>-2.94</v>
      </c>
      <c r="CF2653">
        <v>-1.03</v>
      </c>
      <c r="CG2653">
        <v>0</v>
      </c>
      <c r="CH2653">
        <v>-2.76</v>
      </c>
      <c r="CI2653">
        <v>0</v>
      </c>
      <c r="CJ2653">
        <v>0.4</v>
      </c>
      <c r="CK2653">
        <v>80</v>
      </c>
      <c r="CL2653">
        <v>0.12</v>
      </c>
      <c r="CM2653">
        <v>75</v>
      </c>
      <c r="CN2653">
        <v>-0.18</v>
      </c>
      <c r="CO2653">
        <v>72</v>
      </c>
      <c r="CP2653">
        <v>1.2</v>
      </c>
      <c r="CQ2653">
        <v>46</v>
      </c>
      <c r="CR2653">
        <v>0</v>
      </c>
      <c r="CS2653">
        <v>0</v>
      </c>
      <c r="CT2653">
        <v>4.9000000000000004</v>
      </c>
      <c r="CU2653">
        <v>45</v>
      </c>
      <c r="CV2653">
        <v>-0.16</v>
      </c>
      <c r="CW2653">
        <v>23</v>
      </c>
      <c r="CX2653" t="s">
        <v>7281</v>
      </c>
    </row>
    <row r="2654" spans="1:102" x14ac:dyDescent="0.3">
      <c r="A2654" t="str">
        <f>HYPERLINK("https://webapp.icbf.com/v2/app/bull-search/view/108897564","VIZ")</f>
        <v>VIZ</v>
      </c>
      <c r="B2654" t="s">
        <v>144</v>
      </c>
      <c r="C2654" t="s">
        <v>2796</v>
      </c>
      <c r="D2654" s="1">
        <v>34320</v>
      </c>
      <c r="E2654" t="s">
        <v>895</v>
      </c>
      <c r="F2654">
        <v>0</v>
      </c>
      <c r="G2654" t="s">
        <v>116</v>
      </c>
      <c r="H2654">
        <v>24.62</v>
      </c>
      <c r="I2654">
        <v>34</v>
      </c>
      <c r="J2654">
        <v>-15.13</v>
      </c>
      <c r="K2654">
        <v>54</v>
      </c>
      <c r="L2654">
        <v>18.329999999999998</v>
      </c>
      <c r="M2654">
        <v>13</v>
      </c>
      <c r="N2654">
        <v>-9.43</v>
      </c>
      <c r="O2654">
        <v>29</v>
      </c>
      <c r="P2654">
        <v>-6.22</v>
      </c>
      <c r="Q2654">
        <v>54</v>
      </c>
      <c r="R2654">
        <v>5.28</v>
      </c>
      <c r="S2654">
        <v>19</v>
      </c>
      <c r="T2654">
        <v>33.44</v>
      </c>
      <c r="U2654">
        <v>39</v>
      </c>
      <c r="V2654">
        <v>-1.65</v>
      </c>
      <c r="W2654">
        <v>17</v>
      </c>
      <c r="X2654" t="s">
        <v>234</v>
      </c>
      <c r="Y2654" t="s">
        <v>95</v>
      </c>
      <c r="Z2654">
        <v>0</v>
      </c>
      <c r="AA2654" t="s">
        <v>144</v>
      </c>
      <c r="AB2654" t="s">
        <v>144</v>
      </c>
      <c r="AC2654">
        <v>5</v>
      </c>
      <c r="AD2654">
        <v>4</v>
      </c>
      <c r="AE2654">
        <v>54</v>
      </c>
      <c r="AF2654">
        <v>-338.55</v>
      </c>
      <c r="AG2654">
        <v>-4.62</v>
      </c>
      <c r="AH2654">
        <v>-6.12</v>
      </c>
      <c r="AI2654">
        <v>0.15</v>
      </c>
      <c r="AJ2654">
        <v>0.1</v>
      </c>
      <c r="AK2654">
        <v>13</v>
      </c>
      <c r="AL2654">
        <v>5</v>
      </c>
      <c r="AM2654">
        <v>4</v>
      </c>
      <c r="AN2654">
        <v>0.4</v>
      </c>
      <c r="AO2654">
        <v>1.88</v>
      </c>
      <c r="AP2654">
        <v>10</v>
      </c>
      <c r="AQ2654">
        <v>0</v>
      </c>
      <c r="AR2654">
        <v>8.08</v>
      </c>
      <c r="AS2654">
        <v>7</v>
      </c>
      <c r="AT2654">
        <v>3.54</v>
      </c>
      <c r="AU2654">
        <v>21</v>
      </c>
      <c r="AV2654">
        <v>1.34</v>
      </c>
      <c r="AW2654">
        <v>48</v>
      </c>
      <c r="AX2654">
        <v>-0.19</v>
      </c>
      <c r="AY2654">
        <v>20</v>
      </c>
      <c r="AZ2654">
        <v>5.16</v>
      </c>
      <c r="BA2654">
        <v>5</v>
      </c>
      <c r="BB2654">
        <v>4.13</v>
      </c>
      <c r="BC2654">
        <v>9</v>
      </c>
      <c r="BD2654">
        <v>-0.02</v>
      </c>
      <c r="BE2654">
        <v>-0.02</v>
      </c>
      <c r="BF2654">
        <v>-0.05</v>
      </c>
      <c r="BG2654">
        <v>22</v>
      </c>
      <c r="BH2654">
        <v>-0.04</v>
      </c>
      <c r="BI2654">
        <v>0.68</v>
      </c>
      <c r="BJ2654">
        <v>0</v>
      </c>
      <c r="BK2654">
        <v>0</v>
      </c>
      <c r="BL2654">
        <v>0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-2.2000000000000002</v>
      </c>
      <c r="CK2654">
        <v>58</v>
      </c>
      <c r="CL2654">
        <v>-0.25</v>
      </c>
      <c r="CM2654">
        <v>52</v>
      </c>
      <c r="CN2654">
        <v>-0.16</v>
      </c>
      <c r="CO2654">
        <v>48</v>
      </c>
      <c r="CP2654">
        <v>-16.5</v>
      </c>
      <c r="CQ2654">
        <v>44</v>
      </c>
      <c r="CR2654">
        <v>0</v>
      </c>
      <c r="CS2654">
        <v>0</v>
      </c>
      <c r="CT2654">
        <v>-31.4</v>
      </c>
      <c r="CU2654">
        <v>39</v>
      </c>
      <c r="CV2654">
        <v>-0.01</v>
      </c>
      <c r="CW2654">
        <v>14</v>
      </c>
      <c r="CX2654">
        <v>0</v>
      </c>
    </row>
    <row r="2655" spans="1:102" x14ac:dyDescent="0.3">
      <c r="A2655" t="str">
        <f>HYPERLINK("https://webapp.icbf.com/v2/app/bull-search/view/832442490","WZX")</f>
        <v>WZX</v>
      </c>
      <c r="B2655" t="s">
        <v>12737</v>
      </c>
      <c r="C2655" t="s">
        <v>12738</v>
      </c>
      <c r="D2655" s="1">
        <v>40053</v>
      </c>
      <c r="E2655" t="s">
        <v>92</v>
      </c>
      <c r="F2655">
        <v>100</v>
      </c>
      <c r="G2655" t="s">
        <v>93</v>
      </c>
      <c r="H2655">
        <v>24.55</v>
      </c>
      <c r="I2655">
        <v>55</v>
      </c>
      <c r="J2655">
        <v>53.22</v>
      </c>
      <c r="K2655">
        <v>73</v>
      </c>
      <c r="L2655">
        <v>-49.59</v>
      </c>
      <c r="M2655">
        <v>33</v>
      </c>
      <c r="N2655">
        <v>15.9</v>
      </c>
      <c r="O2655">
        <v>60</v>
      </c>
      <c r="P2655">
        <v>-8.02</v>
      </c>
      <c r="Q2655">
        <v>76</v>
      </c>
      <c r="R2655">
        <v>7.55</v>
      </c>
      <c r="S2655">
        <v>36</v>
      </c>
      <c r="T2655">
        <v>7.02</v>
      </c>
      <c r="U2655">
        <v>69</v>
      </c>
      <c r="V2655">
        <v>-1.53</v>
      </c>
      <c r="W2655">
        <v>30</v>
      </c>
      <c r="X2655" t="s">
        <v>251</v>
      </c>
      <c r="Y2655" t="s">
        <v>1727</v>
      </c>
      <c r="Z2655" t="s">
        <v>96</v>
      </c>
      <c r="AA2655" t="s">
        <v>6758</v>
      </c>
      <c r="AB2655" t="s">
        <v>12739</v>
      </c>
      <c r="AC2655">
        <v>14</v>
      </c>
      <c r="AD2655">
        <v>8</v>
      </c>
      <c r="AE2655">
        <v>73</v>
      </c>
      <c r="AF2655">
        <v>259.70999999999998</v>
      </c>
      <c r="AG2655">
        <v>11.55</v>
      </c>
      <c r="AH2655">
        <v>8.94</v>
      </c>
      <c r="AI2655">
        <v>0.02</v>
      </c>
      <c r="AJ2655">
        <v>0</v>
      </c>
      <c r="AK2655">
        <v>33</v>
      </c>
      <c r="AL2655">
        <v>19</v>
      </c>
      <c r="AM2655">
        <v>10</v>
      </c>
      <c r="AN2655">
        <v>3.1</v>
      </c>
      <c r="AO2655">
        <v>-0.85</v>
      </c>
      <c r="AP2655">
        <v>31</v>
      </c>
      <c r="AQ2655">
        <v>0</v>
      </c>
      <c r="AR2655">
        <v>7.44</v>
      </c>
      <c r="AS2655">
        <v>28</v>
      </c>
      <c r="AT2655">
        <v>3.52</v>
      </c>
      <c r="AU2655">
        <v>65</v>
      </c>
      <c r="AV2655">
        <v>-2.5499999999999998</v>
      </c>
      <c r="AW2655">
        <v>83</v>
      </c>
      <c r="AX2655">
        <v>0.28000000000000003</v>
      </c>
      <c r="AY2655">
        <v>47</v>
      </c>
      <c r="AZ2655">
        <v>5.96</v>
      </c>
      <c r="BA2655">
        <v>22</v>
      </c>
      <c r="BB2655">
        <v>5.25</v>
      </c>
      <c r="BC2655">
        <v>20</v>
      </c>
      <c r="BD2655">
        <v>-0.01</v>
      </c>
      <c r="BE2655">
        <v>-0.03</v>
      </c>
      <c r="BF2655">
        <v>-0.1</v>
      </c>
      <c r="BG2655">
        <v>44</v>
      </c>
      <c r="BH2655">
        <v>-0.02</v>
      </c>
      <c r="BI2655">
        <v>2.63</v>
      </c>
      <c r="BJ2655">
        <v>4</v>
      </c>
      <c r="BK2655">
        <v>4</v>
      </c>
      <c r="BL2655">
        <v>0.12</v>
      </c>
      <c r="BM2655">
        <v>-0.39</v>
      </c>
      <c r="BN2655">
        <v>-0.32</v>
      </c>
      <c r="BO2655">
        <v>0.56000000000000005</v>
      </c>
      <c r="BP2655">
        <v>0.84</v>
      </c>
      <c r="BQ2655">
        <v>-0.64</v>
      </c>
      <c r="BR2655">
        <v>-0.05</v>
      </c>
      <c r="BS2655">
        <v>0.91</v>
      </c>
      <c r="BT2655">
        <v>0.26</v>
      </c>
      <c r="BU2655">
        <v>1.42</v>
      </c>
      <c r="BV2655">
        <v>1.67</v>
      </c>
      <c r="BW2655">
        <v>0.45</v>
      </c>
      <c r="BX2655">
        <v>1.1000000000000001</v>
      </c>
      <c r="BY2655">
        <v>1.51</v>
      </c>
      <c r="BZ2655">
        <v>-1.67</v>
      </c>
      <c r="CA2655">
        <v>1.1000000000000001</v>
      </c>
      <c r="CB2655">
        <v>1.1399999999999999</v>
      </c>
      <c r="CC2655">
        <v>0.48</v>
      </c>
      <c r="CD2655">
        <v>0.09</v>
      </c>
      <c r="CE2655">
        <v>0.86</v>
      </c>
      <c r="CF2655">
        <v>0.84</v>
      </c>
      <c r="CG2655">
        <v>0</v>
      </c>
      <c r="CH2655">
        <v>0.15</v>
      </c>
      <c r="CI2655">
        <v>0</v>
      </c>
      <c r="CJ2655">
        <v>-1.9</v>
      </c>
      <c r="CK2655">
        <v>79</v>
      </c>
      <c r="CL2655">
        <v>-0.86</v>
      </c>
      <c r="CM2655">
        <v>75</v>
      </c>
      <c r="CN2655">
        <v>-0.33</v>
      </c>
      <c r="CO2655">
        <v>72</v>
      </c>
      <c r="CP2655">
        <v>-2.6</v>
      </c>
      <c r="CQ2655">
        <v>66</v>
      </c>
      <c r="CR2655">
        <v>0</v>
      </c>
      <c r="CS2655">
        <v>0</v>
      </c>
      <c r="CT2655">
        <v>4.3</v>
      </c>
      <c r="CU2655">
        <v>69</v>
      </c>
      <c r="CV2655">
        <v>0.24</v>
      </c>
      <c r="CW2655">
        <v>22</v>
      </c>
      <c r="CX2655" t="s">
        <v>2009</v>
      </c>
    </row>
    <row r="2656" spans="1:102" x14ac:dyDescent="0.3">
      <c r="A2656" t="str">
        <f>HYPERLINK("https://webapp.icbf.com/v2/app/bull-search/view/1057109191","S2297")</f>
        <v>S2297</v>
      </c>
      <c r="B2656" t="s">
        <v>2165</v>
      </c>
      <c r="C2656" t="s">
        <v>2166</v>
      </c>
      <c r="D2656" s="1">
        <v>40681</v>
      </c>
      <c r="E2656" t="s">
        <v>227</v>
      </c>
      <c r="F2656">
        <v>0</v>
      </c>
      <c r="G2656" t="s">
        <v>109</v>
      </c>
      <c r="H2656">
        <v>24.48</v>
      </c>
      <c r="I2656">
        <v>63</v>
      </c>
      <c r="J2656">
        <v>-5.83</v>
      </c>
      <c r="K2656">
        <v>81</v>
      </c>
      <c r="L2656">
        <v>20.309999999999999</v>
      </c>
      <c r="M2656">
        <v>72</v>
      </c>
      <c r="N2656">
        <v>-3.04</v>
      </c>
      <c r="O2656">
        <v>51</v>
      </c>
      <c r="P2656">
        <v>-58.27</v>
      </c>
      <c r="Q2656">
        <v>29</v>
      </c>
      <c r="R2656">
        <v>-0.1</v>
      </c>
      <c r="S2656">
        <v>31</v>
      </c>
      <c r="T2656">
        <v>67.180000000000007</v>
      </c>
      <c r="U2656">
        <v>31</v>
      </c>
      <c r="V2656">
        <v>4.2300000000000004</v>
      </c>
      <c r="W2656">
        <v>24</v>
      </c>
      <c r="X2656" t="s">
        <v>94</v>
      </c>
      <c r="Y2656" t="s">
        <v>411</v>
      </c>
      <c r="Z2656">
        <v>0</v>
      </c>
      <c r="AA2656" t="s">
        <v>2167</v>
      </c>
      <c r="AB2656" t="s">
        <v>2168</v>
      </c>
      <c r="AC2656">
        <v>0</v>
      </c>
      <c r="AD2656">
        <v>0</v>
      </c>
      <c r="AE2656">
        <v>81</v>
      </c>
      <c r="AF2656">
        <v>-563.39</v>
      </c>
      <c r="AG2656">
        <v>-0.86</v>
      </c>
      <c r="AH2656">
        <v>-9.31</v>
      </c>
      <c r="AI2656">
        <v>0.39</v>
      </c>
      <c r="AJ2656">
        <v>0.18</v>
      </c>
      <c r="AK2656">
        <v>72</v>
      </c>
      <c r="AL2656">
        <v>0</v>
      </c>
      <c r="AM2656">
        <v>0</v>
      </c>
      <c r="AN2656">
        <v>-0.31</v>
      </c>
      <c r="AO2656">
        <v>1.32</v>
      </c>
      <c r="AP2656">
        <v>26</v>
      </c>
      <c r="AQ2656">
        <v>0</v>
      </c>
      <c r="AR2656">
        <v>3.69</v>
      </c>
      <c r="AS2656">
        <v>41</v>
      </c>
      <c r="AT2656">
        <v>1.98</v>
      </c>
      <c r="AU2656">
        <v>34</v>
      </c>
      <c r="AV2656">
        <v>1.96</v>
      </c>
      <c r="AW2656">
        <v>79</v>
      </c>
      <c r="AX2656">
        <v>0.89</v>
      </c>
      <c r="AY2656">
        <v>47</v>
      </c>
      <c r="AZ2656">
        <v>7.21</v>
      </c>
      <c r="BA2656">
        <v>18</v>
      </c>
      <c r="BB2656">
        <v>5.18</v>
      </c>
      <c r="BC2656">
        <v>14</v>
      </c>
      <c r="BD2656">
        <v>-7.0000000000000007E-2</v>
      </c>
      <c r="BE2656">
        <v>0.01</v>
      </c>
      <c r="BF2656">
        <v>0.1</v>
      </c>
      <c r="BG2656">
        <v>37</v>
      </c>
      <c r="BH2656">
        <v>0.12</v>
      </c>
      <c r="BI2656">
        <v>0.24</v>
      </c>
      <c r="BJ2656">
        <v>0</v>
      </c>
      <c r="BK2656">
        <v>0</v>
      </c>
      <c r="BL2656">
        <v>-0.42</v>
      </c>
      <c r="BM2656">
        <v>-0.72</v>
      </c>
      <c r="BN2656">
        <v>0.89</v>
      </c>
      <c r="BO2656">
        <v>1.8</v>
      </c>
      <c r="BP2656">
        <v>-0.93</v>
      </c>
      <c r="BQ2656">
        <v>-3.94</v>
      </c>
      <c r="BR2656">
        <v>1.71</v>
      </c>
      <c r="BS2656">
        <v>7.06</v>
      </c>
      <c r="BT2656">
        <v>-0.38</v>
      </c>
      <c r="BU2656">
        <v>1.74</v>
      </c>
      <c r="BV2656">
        <v>1.7</v>
      </c>
      <c r="BW2656">
        <v>-0.37</v>
      </c>
      <c r="BX2656">
        <v>-1.24</v>
      </c>
      <c r="BY2656">
        <v>1.2</v>
      </c>
      <c r="BZ2656">
        <v>0.12</v>
      </c>
      <c r="CA2656">
        <v>2.74</v>
      </c>
      <c r="CB2656">
        <v>1.42</v>
      </c>
      <c r="CC2656">
        <v>4.2300000000000004</v>
      </c>
      <c r="CD2656">
        <v>-1.9</v>
      </c>
      <c r="CE2656">
        <v>1.43</v>
      </c>
      <c r="CF2656">
        <v>0.36</v>
      </c>
      <c r="CG2656">
        <v>0</v>
      </c>
      <c r="CH2656">
        <v>0.83</v>
      </c>
      <c r="CI2656">
        <v>0</v>
      </c>
      <c r="CJ2656">
        <v>-29.7</v>
      </c>
      <c r="CK2656">
        <v>32</v>
      </c>
      <c r="CL2656">
        <v>-1.24</v>
      </c>
      <c r="CM2656">
        <v>25</v>
      </c>
      <c r="CN2656">
        <v>-0.28000000000000003</v>
      </c>
      <c r="CO2656">
        <v>24</v>
      </c>
      <c r="CP2656">
        <v>-51.8</v>
      </c>
      <c r="CQ2656">
        <v>28</v>
      </c>
      <c r="CR2656">
        <v>0</v>
      </c>
      <c r="CS2656">
        <v>0</v>
      </c>
      <c r="CT2656">
        <v>-77</v>
      </c>
      <c r="CU2656">
        <v>31</v>
      </c>
      <c r="CV2656">
        <v>-0.27</v>
      </c>
      <c r="CW2656">
        <v>7</v>
      </c>
      <c r="CX2656" t="s">
        <v>2169</v>
      </c>
    </row>
    <row r="2657" spans="1:102" x14ac:dyDescent="0.3">
      <c r="A2657" t="str">
        <f>HYPERLINK("https://webapp.icbf.com/v2/app/bull-search/view/73494504","CVE")</f>
        <v>CVE</v>
      </c>
      <c r="B2657" t="s">
        <v>7993</v>
      </c>
      <c r="C2657" t="s">
        <v>7994</v>
      </c>
      <c r="D2657" s="1">
        <v>33658</v>
      </c>
      <c r="E2657" t="s">
        <v>92</v>
      </c>
      <c r="F2657">
        <v>100</v>
      </c>
      <c r="G2657" t="s">
        <v>93</v>
      </c>
      <c r="H2657">
        <v>24.4</v>
      </c>
      <c r="I2657">
        <v>95</v>
      </c>
      <c r="J2657">
        <v>-13.05</v>
      </c>
      <c r="K2657">
        <v>99</v>
      </c>
      <c r="L2657">
        <v>2.46</v>
      </c>
      <c r="M2657">
        <v>91</v>
      </c>
      <c r="N2657">
        <v>40.76</v>
      </c>
      <c r="O2657">
        <v>96</v>
      </c>
      <c r="P2657">
        <v>-6.3</v>
      </c>
      <c r="Q2657">
        <v>99</v>
      </c>
      <c r="R2657">
        <v>-3.31</v>
      </c>
      <c r="S2657">
        <v>92</v>
      </c>
      <c r="T2657">
        <v>11.75</v>
      </c>
      <c r="U2657">
        <v>98</v>
      </c>
      <c r="V2657">
        <v>-7.91</v>
      </c>
      <c r="W2657">
        <v>91</v>
      </c>
      <c r="X2657" t="s">
        <v>94</v>
      </c>
      <c r="Y2657" t="s">
        <v>95</v>
      </c>
      <c r="Z2657" t="s">
        <v>96</v>
      </c>
      <c r="AA2657" t="s">
        <v>161</v>
      </c>
      <c r="AB2657" t="s">
        <v>7995</v>
      </c>
      <c r="AC2657">
        <v>633</v>
      </c>
      <c r="AD2657">
        <v>363</v>
      </c>
      <c r="AE2657">
        <v>99</v>
      </c>
      <c r="AF2657">
        <v>136.46</v>
      </c>
      <c r="AG2657">
        <v>-4.92</v>
      </c>
      <c r="AH2657">
        <v>1.61</v>
      </c>
      <c r="AI2657">
        <v>-0.17</v>
      </c>
      <c r="AJ2657">
        <v>-0.05</v>
      </c>
      <c r="AK2657">
        <v>91</v>
      </c>
      <c r="AL2657">
        <v>801</v>
      </c>
      <c r="AM2657">
        <v>468</v>
      </c>
      <c r="AN2657">
        <v>-0.63</v>
      </c>
      <c r="AO2657">
        <v>-0.44</v>
      </c>
      <c r="AP2657">
        <v>612</v>
      </c>
      <c r="AQ2657">
        <v>5</v>
      </c>
      <c r="AR2657">
        <v>5.88</v>
      </c>
      <c r="AS2657">
        <v>95</v>
      </c>
      <c r="AT2657">
        <v>2.57</v>
      </c>
      <c r="AU2657">
        <v>94</v>
      </c>
      <c r="AV2657">
        <v>-3.28</v>
      </c>
      <c r="AW2657">
        <v>99</v>
      </c>
      <c r="AX2657">
        <v>-0.82</v>
      </c>
      <c r="AY2657">
        <v>96</v>
      </c>
      <c r="AZ2657">
        <v>5.3</v>
      </c>
      <c r="BA2657">
        <v>86</v>
      </c>
      <c r="BB2657">
        <v>4.51</v>
      </c>
      <c r="BC2657">
        <v>91</v>
      </c>
      <c r="BD2657">
        <v>0.03</v>
      </c>
      <c r="BE2657">
        <v>0.04</v>
      </c>
      <c r="BF2657">
        <v>-0.05</v>
      </c>
      <c r="BG2657">
        <v>97</v>
      </c>
      <c r="BH2657">
        <v>-0.09</v>
      </c>
      <c r="BI2657">
        <v>15.1</v>
      </c>
      <c r="BJ2657">
        <v>79</v>
      </c>
      <c r="BK2657">
        <v>43</v>
      </c>
      <c r="BL2657">
        <v>-0.21</v>
      </c>
      <c r="BM2657">
        <v>-0.66</v>
      </c>
      <c r="BN2657">
        <v>-1.22</v>
      </c>
      <c r="BO2657">
        <v>-0.38</v>
      </c>
      <c r="BP2657">
        <v>-0.77</v>
      </c>
      <c r="BQ2657">
        <v>-0.85</v>
      </c>
      <c r="BR2657">
        <v>-1.92</v>
      </c>
      <c r="BS2657">
        <v>0.52</v>
      </c>
      <c r="BT2657">
        <v>0.18</v>
      </c>
      <c r="BU2657">
        <v>-0.6</v>
      </c>
      <c r="BV2657">
        <v>0.6</v>
      </c>
      <c r="BW2657">
        <v>1.01</v>
      </c>
      <c r="BX2657">
        <v>-0.4</v>
      </c>
      <c r="BY2657">
        <v>-1.08</v>
      </c>
      <c r="BZ2657">
        <v>0.53</v>
      </c>
      <c r="CA2657">
        <v>0.43</v>
      </c>
      <c r="CB2657">
        <v>-0.06</v>
      </c>
      <c r="CC2657">
        <v>1.36</v>
      </c>
      <c r="CD2657">
        <v>0.03</v>
      </c>
      <c r="CE2657">
        <v>-0.34</v>
      </c>
      <c r="CF2657">
        <v>-0.88</v>
      </c>
      <c r="CG2657">
        <v>0</v>
      </c>
      <c r="CH2657">
        <v>-0.37</v>
      </c>
      <c r="CI2657">
        <v>0</v>
      </c>
      <c r="CJ2657">
        <v>-2.6</v>
      </c>
      <c r="CK2657">
        <v>99</v>
      </c>
      <c r="CL2657">
        <v>-0.7</v>
      </c>
      <c r="CM2657">
        <v>99</v>
      </c>
      <c r="CN2657">
        <v>-0.43</v>
      </c>
      <c r="CO2657">
        <v>98</v>
      </c>
      <c r="CP2657">
        <v>-3.5</v>
      </c>
      <c r="CQ2657">
        <v>98</v>
      </c>
      <c r="CR2657">
        <v>0</v>
      </c>
      <c r="CS2657">
        <v>0</v>
      </c>
      <c r="CT2657">
        <v>-2.1</v>
      </c>
      <c r="CU2657">
        <v>98</v>
      </c>
      <c r="CV2657">
        <v>0.15</v>
      </c>
      <c r="CW2657">
        <v>46</v>
      </c>
      <c r="CX2657" t="s">
        <v>707</v>
      </c>
    </row>
    <row r="2658" spans="1:102" x14ac:dyDescent="0.3">
      <c r="A2658" t="str">
        <f>HYPERLINK("https://webapp.icbf.com/v2/app/bull-search/view/77859454","BAA")</f>
        <v>BAA</v>
      </c>
      <c r="B2658" t="s">
        <v>14274</v>
      </c>
      <c r="C2658" t="s">
        <v>14275</v>
      </c>
      <c r="D2658" s="1">
        <v>32137</v>
      </c>
      <c r="E2658" t="s">
        <v>92</v>
      </c>
      <c r="F2658">
        <v>63</v>
      </c>
      <c r="G2658" t="s">
        <v>93</v>
      </c>
      <c r="H2658">
        <v>24.38</v>
      </c>
      <c r="I2658">
        <v>82</v>
      </c>
      <c r="J2658">
        <v>-72.2</v>
      </c>
      <c r="K2658">
        <v>96</v>
      </c>
      <c r="L2658">
        <v>103.25</v>
      </c>
      <c r="M2658">
        <v>75</v>
      </c>
      <c r="N2658">
        <v>-6.38</v>
      </c>
      <c r="O2658">
        <v>70</v>
      </c>
      <c r="P2658">
        <v>-10.27</v>
      </c>
      <c r="Q2658">
        <v>92</v>
      </c>
      <c r="R2658">
        <v>-6.74</v>
      </c>
      <c r="S2658">
        <v>70</v>
      </c>
      <c r="T2658">
        <v>17.670000000000002</v>
      </c>
      <c r="U2658">
        <v>88</v>
      </c>
      <c r="V2658">
        <v>-0.95</v>
      </c>
      <c r="W2658">
        <v>27</v>
      </c>
      <c r="X2658" t="s">
        <v>94</v>
      </c>
      <c r="Y2658" t="s">
        <v>95</v>
      </c>
      <c r="Z2658" t="s">
        <v>96</v>
      </c>
      <c r="AA2658" t="s">
        <v>3454</v>
      </c>
      <c r="AB2658" t="s">
        <v>3742</v>
      </c>
      <c r="AC2658">
        <v>141</v>
      </c>
      <c r="AD2658">
        <v>83</v>
      </c>
      <c r="AE2658">
        <v>96</v>
      </c>
      <c r="AF2658">
        <v>-284.24</v>
      </c>
      <c r="AG2658">
        <v>-11.39</v>
      </c>
      <c r="AH2658">
        <v>-12.6</v>
      </c>
      <c r="AI2658">
        <v>0</v>
      </c>
      <c r="AJ2658">
        <v>-0.05</v>
      </c>
      <c r="AK2658">
        <v>75</v>
      </c>
      <c r="AL2658">
        <v>239</v>
      </c>
      <c r="AM2658">
        <v>118</v>
      </c>
      <c r="AN2658">
        <v>-5.15</v>
      </c>
      <c r="AO2658">
        <v>3.09</v>
      </c>
      <c r="AP2658">
        <v>16</v>
      </c>
      <c r="AQ2658">
        <v>1</v>
      </c>
      <c r="AR2658">
        <v>7.35</v>
      </c>
      <c r="AS2658">
        <v>28</v>
      </c>
      <c r="AT2658">
        <v>3.55</v>
      </c>
      <c r="AU2658">
        <v>65</v>
      </c>
      <c r="AV2658">
        <v>0.81</v>
      </c>
      <c r="AW2658">
        <v>84</v>
      </c>
      <c r="AX2658">
        <v>-0.84</v>
      </c>
      <c r="AY2658">
        <v>85</v>
      </c>
      <c r="AZ2658">
        <v>5.88</v>
      </c>
      <c r="BA2658">
        <v>32</v>
      </c>
      <c r="BB2658">
        <v>4.97</v>
      </c>
      <c r="BC2658">
        <v>60</v>
      </c>
      <c r="BD2658">
        <v>0.06</v>
      </c>
      <c r="BE2658">
        <v>0.05</v>
      </c>
      <c r="BF2658">
        <v>-0.04</v>
      </c>
      <c r="BG2658">
        <v>91</v>
      </c>
      <c r="BH2658">
        <v>0.02</v>
      </c>
      <c r="BI2658">
        <v>5.37</v>
      </c>
      <c r="BJ2658">
        <v>6</v>
      </c>
      <c r="BK2658">
        <v>5</v>
      </c>
      <c r="BL2658">
        <v>-1.17</v>
      </c>
      <c r="BM2658">
        <v>0</v>
      </c>
      <c r="BN2658">
        <v>-1.2</v>
      </c>
      <c r="BO2658">
        <v>-1.1000000000000001</v>
      </c>
      <c r="BP2658">
        <v>-0.1</v>
      </c>
      <c r="BQ2658">
        <v>-0.84</v>
      </c>
      <c r="BR2658">
        <v>0.01</v>
      </c>
      <c r="BS2658">
        <v>-0.38</v>
      </c>
      <c r="BT2658">
        <v>-0.37</v>
      </c>
      <c r="BU2658">
        <v>0.09</v>
      </c>
      <c r="BV2658">
        <v>-0.31</v>
      </c>
      <c r="BW2658">
        <v>-0.94</v>
      </c>
      <c r="BX2658">
        <v>0.37</v>
      </c>
      <c r="BY2658">
        <v>-2.0299999999999998</v>
      </c>
      <c r="BZ2658">
        <v>-0.78</v>
      </c>
      <c r="CA2658">
        <v>-0.95</v>
      </c>
      <c r="CB2658">
        <v>-0.89</v>
      </c>
      <c r="CC2658">
        <v>-0.76</v>
      </c>
      <c r="CD2658">
        <v>0.26</v>
      </c>
      <c r="CE2658">
        <v>-1.1000000000000001</v>
      </c>
      <c r="CF2658">
        <v>-1.51</v>
      </c>
      <c r="CG2658">
        <v>0</v>
      </c>
      <c r="CH2658">
        <v>-1.73</v>
      </c>
      <c r="CI2658">
        <v>0</v>
      </c>
      <c r="CJ2658">
        <v>-3.9</v>
      </c>
      <c r="CK2658">
        <v>93</v>
      </c>
      <c r="CL2658">
        <v>-0.62</v>
      </c>
      <c r="CM2658">
        <v>91</v>
      </c>
      <c r="CN2658">
        <v>-0.26</v>
      </c>
      <c r="CO2658">
        <v>90</v>
      </c>
      <c r="CP2658">
        <v>-10.199999999999999</v>
      </c>
      <c r="CQ2658">
        <v>92</v>
      </c>
      <c r="CR2658">
        <v>0</v>
      </c>
      <c r="CS2658">
        <v>0</v>
      </c>
      <c r="CT2658">
        <v>-10.1</v>
      </c>
      <c r="CU2658">
        <v>88</v>
      </c>
      <c r="CV2658">
        <v>0.12</v>
      </c>
      <c r="CW2658">
        <v>27</v>
      </c>
      <c r="CX2658" t="s">
        <v>3743</v>
      </c>
    </row>
    <row r="2659" spans="1:102" x14ac:dyDescent="0.3">
      <c r="A2659" t="str">
        <f>HYPERLINK("https://webapp.icbf.com/v2/app/bull-search/view/77857918","FKX")</f>
        <v>FKX</v>
      </c>
      <c r="B2659" t="s">
        <v>11064</v>
      </c>
      <c r="C2659" t="s">
        <v>11065</v>
      </c>
      <c r="D2659" s="1">
        <v>36389</v>
      </c>
      <c r="E2659" t="s">
        <v>108</v>
      </c>
      <c r="F2659">
        <v>0</v>
      </c>
      <c r="G2659" t="s">
        <v>93</v>
      </c>
      <c r="H2659">
        <v>24.33</v>
      </c>
      <c r="I2659">
        <v>86</v>
      </c>
      <c r="J2659">
        <v>-47.36</v>
      </c>
      <c r="K2659">
        <v>97</v>
      </c>
      <c r="L2659">
        <v>73</v>
      </c>
      <c r="M2659">
        <v>75</v>
      </c>
      <c r="N2659">
        <v>-22.52</v>
      </c>
      <c r="O2659">
        <v>84</v>
      </c>
      <c r="P2659">
        <v>-2.4500000000000002</v>
      </c>
      <c r="Q2659">
        <v>96</v>
      </c>
      <c r="R2659">
        <v>13.43</v>
      </c>
      <c r="S2659">
        <v>77</v>
      </c>
      <c r="T2659">
        <v>15.75</v>
      </c>
      <c r="U2659">
        <v>91</v>
      </c>
      <c r="V2659">
        <v>-5.52</v>
      </c>
      <c r="W2659">
        <v>73</v>
      </c>
      <c r="X2659" t="s">
        <v>102</v>
      </c>
      <c r="Y2659" t="s">
        <v>95</v>
      </c>
      <c r="Z2659" t="s">
        <v>96</v>
      </c>
      <c r="AA2659" t="s">
        <v>11066</v>
      </c>
      <c r="AB2659" t="s">
        <v>11067</v>
      </c>
      <c r="AC2659">
        <v>119</v>
      </c>
      <c r="AD2659">
        <v>69</v>
      </c>
      <c r="AE2659">
        <v>97</v>
      </c>
      <c r="AF2659">
        <v>-538.51</v>
      </c>
      <c r="AG2659">
        <v>-8.02</v>
      </c>
      <c r="AH2659">
        <v>-13.46</v>
      </c>
      <c r="AI2659">
        <v>0.24</v>
      </c>
      <c r="AJ2659">
        <v>0.09</v>
      </c>
      <c r="AK2659">
        <v>75</v>
      </c>
      <c r="AL2659">
        <v>162</v>
      </c>
      <c r="AM2659">
        <v>107</v>
      </c>
      <c r="AN2659">
        <v>-5.68</v>
      </c>
      <c r="AO2659">
        <v>0.12</v>
      </c>
      <c r="AP2659">
        <v>177</v>
      </c>
      <c r="AQ2659">
        <v>0</v>
      </c>
      <c r="AR2659">
        <v>9.68</v>
      </c>
      <c r="AS2659">
        <v>70</v>
      </c>
      <c r="AT2659">
        <v>4.3899999999999997</v>
      </c>
      <c r="AU2659">
        <v>86</v>
      </c>
      <c r="AV2659">
        <v>1.06</v>
      </c>
      <c r="AW2659">
        <v>90</v>
      </c>
      <c r="AX2659">
        <v>-0.3</v>
      </c>
      <c r="AY2659">
        <v>87</v>
      </c>
      <c r="AZ2659">
        <v>5.18</v>
      </c>
      <c r="BA2659">
        <v>63</v>
      </c>
      <c r="BB2659">
        <v>4.5199999999999996</v>
      </c>
      <c r="BC2659">
        <v>72</v>
      </c>
      <c r="BD2659">
        <v>-0.01</v>
      </c>
      <c r="BE2659">
        <v>-0.08</v>
      </c>
      <c r="BF2659">
        <v>-0.14000000000000001</v>
      </c>
      <c r="BG2659">
        <v>87</v>
      </c>
      <c r="BH2659">
        <v>-0.12</v>
      </c>
      <c r="BI2659">
        <v>3.91</v>
      </c>
      <c r="BJ2659">
        <v>33</v>
      </c>
      <c r="BK2659">
        <v>21</v>
      </c>
      <c r="BL2659">
        <v>-1.64</v>
      </c>
      <c r="BM2659">
        <v>1.34</v>
      </c>
      <c r="BN2659">
        <v>-2.06</v>
      </c>
      <c r="BO2659">
        <v>-1.95</v>
      </c>
      <c r="BP2659">
        <v>0.41</v>
      </c>
      <c r="BQ2659">
        <v>2.5099999999999998</v>
      </c>
      <c r="BR2659">
        <v>-2.25</v>
      </c>
      <c r="BS2659">
        <v>2.62</v>
      </c>
      <c r="BT2659">
        <v>2.42</v>
      </c>
      <c r="BU2659">
        <v>-0.78</v>
      </c>
      <c r="BV2659">
        <v>-1.94</v>
      </c>
      <c r="BW2659">
        <v>-1.03</v>
      </c>
      <c r="BX2659">
        <v>1.69</v>
      </c>
      <c r="BY2659">
        <v>0.64</v>
      </c>
      <c r="BZ2659">
        <v>-3.13</v>
      </c>
      <c r="CA2659">
        <v>-1.08</v>
      </c>
      <c r="CB2659">
        <v>-1.92</v>
      </c>
      <c r="CC2659">
        <v>0.98</v>
      </c>
      <c r="CD2659">
        <v>1.67</v>
      </c>
      <c r="CE2659">
        <v>-1.87</v>
      </c>
      <c r="CF2659">
        <v>0.26</v>
      </c>
      <c r="CG2659">
        <v>0</v>
      </c>
      <c r="CH2659">
        <v>0.04</v>
      </c>
      <c r="CI2659">
        <v>0</v>
      </c>
      <c r="CJ2659">
        <v>-2.2000000000000002</v>
      </c>
      <c r="CK2659">
        <v>97</v>
      </c>
      <c r="CL2659">
        <v>0.06</v>
      </c>
      <c r="CM2659">
        <v>96</v>
      </c>
      <c r="CN2659">
        <v>-0.11</v>
      </c>
      <c r="CO2659">
        <v>95</v>
      </c>
      <c r="CP2659">
        <v>-8.8000000000000007</v>
      </c>
      <c r="CQ2659">
        <v>94</v>
      </c>
      <c r="CR2659">
        <v>0</v>
      </c>
      <c r="CS2659">
        <v>0</v>
      </c>
      <c r="CT2659">
        <v>-7.5</v>
      </c>
      <c r="CU2659">
        <v>91</v>
      </c>
      <c r="CV2659">
        <v>-0.09</v>
      </c>
      <c r="CW2659">
        <v>27</v>
      </c>
      <c r="CX2659" t="s">
        <v>2821</v>
      </c>
    </row>
    <row r="2660" spans="1:102" x14ac:dyDescent="0.3">
      <c r="A2660" t="str">
        <f>HYPERLINK("https://webapp.icbf.com/v2/app/bull-search/view/69092002","JNM")</f>
        <v>JNM</v>
      </c>
      <c r="B2660" t="s">
        <v>14086</v>
      </c>
      <c r="C2660" t="s">
        <v>11362</v>
      </c>
      <c r="D2660" s="1">
        <v>34514</v>
      </c>
      <c r="E2660" t="s">
        <v>92</v>
      </c>
      <c r="F2660">
        <v>100</v>
      </c>
      <c r="G2660" t="s">
        <v>93</v>
      </c>
      <c r="H2660">
        <v>24.1</v>
      </c>
      <c r="I2660">
        <v>94</v>
      </c>
      <c r="J2660">
        <v>87.04</v>
      </c>
      <c r="K2660">
        <v>98</v>
      </c>
      <c r="L2660">
        <v>-61.64</v>
      </c>
      <c r="M2660">
        <v>92</v>
      </c>
      <c r="N2660">
        <v>-7.19</v>
      </c>
      <c r="O2660">
        <v>93</v>
      </c>
      <c r="P2660">
        <v>-6.71</v>
      </c>
      <c r="Q2660">
        <v>97</v>
      </c>
      <c r="R2660">
        <v>1.39</v>
      </c>
      <c r="S2660">
        <v>89</v>
      </c>
      <c r="T2660">
        <v>11.83</v>
      </c>
      <c r="U2660">
        <v>94</v>
      </c>
      <c r="V2660">
        <v>-0.62</v>
      </c>
      <c r="W2660">
        <v>87</v>
      </c>
      <c r="X2660" t="s">
        <v>94</v>
      </c>
      <c r="Y2660" t="s">
        <v>95</v>
      </c>
      <c r="Z2660" t="s">
        <v>96</v>
      </c>
      <c r="AA2660" t="s">
        <v>207</v>
      </c>
      <c r="AB2660" t="s">
        <v>931</v>
      </c>
      <c r="AC2660">
        <v>244</v>
      </c>
      <c r="AD2660">
        <v>119</v>
      </c>
      <c r="AE2660">
        <v>98</v>
      </c>
      <c r="AF2660">
        <v>354.45</v>
      </c>
      <c r="AG2660">
        <v>10.029999999999999</v>
      </c>
      <c r="AH2660">
        <v>16.68</v>
      </c>
      <c r="AI2660">
        <v>-0.06</v>
      </c>
      <c r="AJ2660">
        <v>0.08</v>
      </c>
      <c r="AK2660">
        <v>92</v>
      </c>
      <c r="AL2660">
        <v>257</v>
      </c>
      <c r="AM2660">
        <v>125</v>
      </c>
      <c r="AN2660">
        <v>5.35</v>
      </c>
      <c r="AO2660">
        <v>0.46</v>
      </c>
      <c r="AP2660">
        <v>352</v>
      </c>
      <c r="AQ2660">
        <v>3</v>
      </c>
      <c r="AR2660">
        <v>7.21</v>
      </c>
      <c r="AS2660">
        <v>84</v>
      </c>
      <c r="AT2660">
        <v>3.16</v>
      </c>
      <c r="AU2660">
        <v>95</v>
      </c>
      <c r="AV2660">
        <v>0.01</v>
      </c>
      <c r="AW2660">
        <v>97</v>
      </c>
      <c r="AX2660">
        <v>0</v>
      </c>
      <c r="AY2660">
        <v>92</v>
      </c>
      <c r="AZ2660">
        <v>8.9600000000000009</v>
      </c>
      <c r="BA2660">
        <v>80</v>
      </c>
      <c r="BB2660">
        <v>5.7</v>
      </c>
      <c r="BC2660">
        <v>86</v>
      </c>
      <c r="BD2660">
        <v>-0.03</v>
      </c>
      <c r="BE2660">
        <v>0.02</v>
      </c>
      <c r="BF2660">
        <v>-0.02</v>
      </c>
      <c r="BG2660">
        <v>95</v>
      </c>
      <c r="BH2660">
        <v>0.12</v>
      </c>
      <c r="BI2660">
        <v>15.89</v>
      </c>
      <c r="BJ2660">
        <v>34</v>
      </c>
      <c r="BK2660">
        <v>18</v>
      </c>
      <c r="BL2660">
        <v>-0.28000000000000003</v>
      </c>
      <c r="BM2660">
        <v>-0.28000000000000003</v>
      </c>
      <c r="BN2660">
        <v>-0.72</v>
      </c>
      <c r="BO2660">
        <v>-0.27</v>
      </c>
      <c r="BP2660">
        <v>2.15</v>
      </c>
      <c r="BQ2660">
        <v>-2.97</v>
      </c>
      <c r="BR2660">
        <v>0.09</v>
      </c>
      <c r="BS2660">
        <v>-1.91</v>
      </c>
      <c r="BT2660">
        <v>-0.3</v>
      </c>
      <c r="BU2660">
        <v>-1.51</v>
      </c>
      <c r="BV2660">
        <v>-1</v>
      </c>
      <c r="BW2660">
        <v>-1.46</v>
      </c>
      <c r="BX2660">
        <v>-1.22</v>
      </c>
      <c r="BY2660">
        <v>-1.76</v>
      </c>
      <c r="BZ2660">
        <v>-0.36</v>
      </c>
      <c r="CA2660">
        <v>-1.58</v>
      </c>
      <c r="CB2660">
        <v>-1.46</v>
      </c>
      <c r="CC2660">
        <v>-1.21</v>
      </c>
      <c r="CD2660">
        <v>-0.15</v>
      </c>
      <c r="CE2660">
        <v>0.01</v>
      </c>
      <c r="CF2660">
        <v>-0.52</v>
      </c>
      <c r="CG2660">
        <v>0</v>
      </c>
      <c r="CH2660">
        <v>-1.83</v>
      </c>
      <c r="CI2660">
        <v>0</v>
      </c>
      <c r="CJ2660">
        <v>0.7</v>
      </c>
      <c r="CK2660">
        <v>97</v>
      </c>
      <c r="CL2660">
        <v>-0.72</v>
      </c>
      <c r="CM2660">
        <v>97</v>
      </c>
      <c r="CN2660">
        <v>-0.06</v>
      </c>
      <c r="CO2660">
        <v>96</v>
      </c>
      <c r="CP2660">
        <v>-6.3</v>
      </c>
      <c r="CQ2660">
        <v>96</v>
      </c>
      <c r="CR2660">
        <v>0</v>
      </c>
      <c r="CS2660">
        <v>0</v>
      </c>
      <c r="CT2660">
        <v>-2.2000000000000002</v>
      </c>
      <c r="CU2660">
        <v>94</v>
      </c>
      <c r="CV2660">
        <v>0.12</v>
      </c>
      <c r="CW2660">
        <v>46</v>
      </c>
      <c r="CX2660" t="s">
        <v>485</v>
      </c>
    </row>
    <row r="2661" spans="1:102" x14ac:dyDescent="0.3">
      <c r="A2661" t="str">
        <f>HYPERLINK("https://webapp.icbf.com/v2/app/bull-search/view/669004521","S688")</f>
        <v>S688</v>
      </c>
      <c r="B2661" t="s">
        <v>12459</v>
      </c>
      <c r="C2661" t="s">
        <v>12460</v>
      </c>
      <c r="D2661" s="1">
        <v>37474</v>
      </c>
      <c r="E2661" t="s">
        <v>197</v>
      </c>
      <c r="F2661">
        <v>0</v>
      </c>
      <c r="G2661" t="s">
        <v>116</v>
      </c>
      <c r="H2661">
        <v>24.09</v>
      </c>
      <c r="I2661">
        <v>41</v>
      </c>
      <c r="J2661">
        <v>29.3</v>
      </c>
      <c r="K2661">
        <v>57</v>
      </c>
      <c r="L2661">
        <v>32.11</v>
      </c>
      <c r="M2661">
        <v>22</v>
      </c>
      <c r="N2661">
        <v>-58.9</v>
      </c>
      <c r="O2661">
        <v>44</v>
      </c>
      <c r="P2661">
        <v>9.58</v>
      </c>
      <c r="Q2661">
        <v>67</v>
      </c>
      <c r="R2661">
        <v>-1.45</v>
      </c>
      <c r="S2661">
        <v>21</v>
      </c>
      <c r="T2661">
        <v>17.53</v>
      </c>
      <c r="U2661">
        <v>46</v>
      </c>
      <c r="V2661">
        <v>-4.08</v>
      </c>
      <c r="W2661">
        <v>10</v>
      </c>
      <c r="X2661" t="s">
        <v>94</v>
      </c>
      <c r="Y2661" t="s">
        <v>1494</v>
      </c>
      <c r="Z2661">
        <v>0</v>
      </c>
      <c r="AA2661" t="s">
        <v>10206</v>
      </c>
      <c r="AB2661" t="s">
        <v>12461</v>
      </c>
      <c r="AC2661">
        <v>5</v>
      </c>
      <c r="AD2661">
        <v>3</v>
      </c>
      <c r="AE2661">
        <v>57</v>
      </c>
      <c r="AF2661">
        <v>14.45</v>
      </c>
      <c r="AG2661">
        <v>6.26</v>
      </c>
      <c r="AH2661">
        <v>2.99</v>
      </c>
      <c r="AI2661">
        <v>0.09</v>
      </c>
      <c r="AJ2661">
        <v>0.04</v>
      </c>
      <c r="AK2661">
        <v>22</v>
      </c>
      <c r="AL2661">
        <v>8</v>
      </c>
      <c r="AM2661">
        <v>5</v>
      </c>
      <c r="AN2661">
        <v>-3.39</v>
      </c>
      <c r="AO2661">
        <v>-0.85</v>
      </c>
      <c r="AP2661">
        <v>23</v>
      </c>
      <c r="AQ2661">
        <v>0</v>
      </c>
      <c r="AR2661">
        <v>7.38</v>
      </c>
      <c r="AS2661">
        <v>11</v>
      </c>
      <c r="AT2661">
        <v>6.51</v>
      </c>
      <c r="AU2661">
        <v>41</v>
      </c>
      <c r="AV2661">
        <v>3.7</v>
      </c>
      <c r="AW2661">
        <v>65</v>
      </c>
      <c r="AX2661">
        <v>-0.57999999999999996</v>
      </c>
      <c r="AY2661">
        <v>36</v>
      </c>
      <c r="AZ2661">
        <v>6.51</v>
      </c>
      <c r="BA2661">
        <v>13</v>
      </c>
      <c r="BB2661">
        <v>3.84</v>
      </c>
      <c r="BC2661">
        <v>17</v>
      </c>
      <c r="BD2661">
        <v>0.02</v>
      </c>
      <c r="BE2661">
        <v>0</v>
      </c>
      <c r="BF2661">
        <v>0</v>
      </c>
      <c r="BG2661">
        <v>25</v>
      </c>
      <c r="BH2661">
        <v>-0.12</v>
      </c>
      <c r="BI2661">
        <v>-0.72</v>
      </c>
      <c r="BJ2661">
        <v>0</v>
      </c>
      <c r="BK2661">
        <v>0</v>
      </c>
      <c r="BL2661">
        <v>0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7.5</v>
      </c>
      <c r="CK2661">
        <v>71</v>
      </c>
      <c r="CL2661">
        <v>0.18</v>
      </c>
      <c r="CM2661">
        <v>65</v>
      </c>
      <c r="CN2661">
        <v>0.21</v>
      </c>
      <c r="CO2661">
        <v>61</v>
      </c>
      <c r="CP2661">
        <v>-1.1000000000000001</v>
      </c>
      <c r="CQ2661">
        <v>51</v>
      </c>
      <c r="CR2661">
        <v>0</v>
      </c>
      <c r="CS2661">
        <v>0</v>
      </c>
      <c r="CT2661">
        <v>-9.9</v>
      </c>
      <c r="CU2661">
        <v>46</v>
      </c>
      <c r="CV2661">
        <v>0.01</v>
      </c>
      <c r="CW2661">
        <v>19</v>
      </c>
      <c r="CX2661" t="s">
        <v>12462</v>
      </c>
    </row>
    <row r="2662" spans="1:102" x14ac:dyDescent="0.3">
      <c r="A2662" t="str">
        <f>HYPERLINK("https://webapp.icbf.com/v2/app/bull-search/view/122809176","ROC")</f>
        <v>ROC</v>
      </c>
      <c r="B2662" t="s">
        <v>14149</v>
      </c>
      <c r="C2662" t="s">
        <v>14150</v>
      </c>
      <c r="D2662" s="1">
        <v>35890</v>
      </c>
      <c r="E2662" t="s">
        <v>92</v>
      </c>
      <c r="F2662">
        <v>100</v>
      </c>
      <c r="G2662" t="s">
        <v>93</v>
      </c>
      <c r="H2662">
        <v>24.02</v>
      </c>
      <c r="I2662">
        <v>73</v>
      </c>
      <c r="J2662">
        <v>36.78</v>
      </c>
      <c r="K2662">
        <v>90</v>
      </c>
      <c r="L2662">
        <v>-5.87</v>
      </c>
      <c r="M2662">
        <v>57</v>
      </c>
      <c r="N2662">
        <v>6.68</v>
      </c>
      <c r="O2662">
        <v>68</v>
      </c>
      <c r="P2662">
        <v>-0.9</v>
      </c>
      <c r="Q2662">
        <v>88</v>
      </c>
      <c r="R2662">
        <v>-2.77</v>
      </c>
      <c r="S2662">
        <v>61</v>
      </c>
      <c r="T2662">
        <v>3.17</v>
      </c>
      <c r="U2662">
        <v>80</v>
      </c>
      <c r="V2662">
        <v>-13.07</v>
      </c>
      <c r="W2662">
        <v>43</v>
      </c>
      <c r="X2662" t="s">
        <v>102</v>
      </c>
      <c r="Y2662" t="s">
        <v>95</v>
      </c>
      <c r="Z2662" t="s">
        <v>96</v>
      </c>
      <c r="AA2662" t="s">
        <v>643</v>
      </c>
      <c r="AB2662" t="s">
        <v>14151</v>
      </c>
      <c r="AC2662">
        <v>40</v>
      </c>
      <c r="AD2662">
        <v>29</v>
      </c>
      <c r="AE2662">
        <v>90</v>
      </c>
      <c r="AF2662">
        <v>172.19</v>
      </c>
      <c r="AG2662">
        <v>10.15</v>
      </c>
      <c r="AH2662">
        <v>5.3</v>
      </c>
      <c r="AI2662">
        <v>0.06</v>
      </c>
      <c r="AJ2662">
        <v>-0.01</v>
      </c>
      <c r="AK2662">
        <v>57</v>
      </c>
      <c r="AL2662">
        <v>52</v>
      </c>
      <c r="AM2662">
        <v>36</v>
      </c>
      <c r="AN2662">
        <v>-2.16</v>
      </c>
      <c r="AO2662">
        <v>-2.66</v>
      </c>
      <c r="AP2662">
        <v>65</v>
      </c>
      <c r="AQ2662">
        <v>47</v>
      </c>
      <c r="AR2662">
        <v>6.92</v>
      </c>
      <c r="AS2662">
        <v>61</v>
      </c>
      <c r="AT2662">
        <v>3.42</v>
      </c>
      <c r="AU2662">
        <v>65</v>
      </c>
      <c r="AV2662">
        <v>-0.36</v>
      </c>
      <c r="AW2662">
        <v>76</v>
      </c>
      <c r="AX2662">
        <v>-0.02</v>
      </c>
      <c r="AY2662">
        <v>80</v>
      </c>
      <c r="AZ2662">
        <v>5.23</v>
      </c>
      <c r="BA2662">
        <v>44</v>
      </c>
      <c r="BB2662">
        <v>4.37</v>
      </c>
      <c r="BC2662">
        <v>50</v>
      </c>
      <c r="BD2662">
        <v>0.01</v>
      </c>
      <c r="BE2662">
        <v>0.03</v>
      </c>
      <c r="BF2662">
        <v>-0.01</v>
      </c>
      <c r="BG2662">
        <v>70</v>
      </c>
      <c r="BH2662">
        <v>-0.3</v>
      </c>
      <c r="BI2662">
        <v>7.45</v>
      </c>
      <c r="BJ2662">
        <v>6</v>
      </c>
      <c r="BK2662">
        <v>4</v>
      </c>
      <c r="BL2662">
        <v>0.6</v>
      </c>
      <c r="BM2662">
        <v>-2.0699999999999998</v>
      </c>
      <c r="BN2662">
        <v>-1.1399999999999999</v>
      </c>
      <c r="BO2662">
        <v>0.44</v>
      </c>
      <c r="BP2662">
        <v>3.26</v>
      </c>
      <c r="BQ2662">
        <v>-2.0499999999999998</v>
      </c>
      <c r="BR2662">
        <v>1.01</v>
      </c>
      <c r="BS2662">
        <v>0.02</v>
      </c>
      <c r="BT2662">
        <v>0.46</v>
      </c>
      <c r="BU2662">
        <v>0.26</v>
      </c>
      <c r="BV2662">
        <v>1.21</v>
      </c>
      <c r="BW2662">
        <v>0.67</v>
      </c>
      <c r="BX2662">
        <v>1.68</v>
      </c>
      <c r="BY2662">
        <v>-1.84</v>
      </c>
      <c r="BZ2662">
        <v>3.43</v>
      </c>
      <c r="CA2662">
        <v>0.2</v>
      </c>
      <c r="CB2662">
        <v>0.48</v>
      </c>
      <c r="CC2662">
        <v>-0.64</v>
      </c>
      <c r="CD2662">
        <v>-0.3</v>
      </c>
      <c r="CE2662">
        <v>-0.54</v>
      </c>
      <c r="CF2662">
        <v>-1.07</v>
      </c>
      <c r="CG2662">
        <v>0</v>
      </c>
      <c r="CH2662">
        <v>-0.75</v>
      </c>
      <c r="CI2662">
        <v>0</v>
      </c>
      <c r="CJ2662">
        <v>-3.4</v>
      </c>
      <c r="CK2662">
        <v>89</v>
      </c>
      <c r="CL2662">
        <v>0.06</v>
      </c>
      <c r="CM2662">
        <v>87</v>
      </c>
      <c r="CN2662">
        <v>-0.35</v>
      </c>
      <c r="CO2662">
        <v>85</v>
      </c>
      <c r="CP2662">
        <v>-6.2</v>
      </c>
      <c r="CQ2662">
        <v>84</v>
      </c>
      <c r="CR2662">
        <v>0</v>
      </c>
      <c r="CS2662">
        <v>0</v>
      </c>
      <c r="CT2662">
        <v>9.5</v>
      </c>
      <c r="CU2662">
        <v>80</v>
      </c>
      <c r="CV2662">
        <v>-0.15</v>
      </c>
      <c r="CW2662">
        <v>26</v>
      </c>
      <c r="CX2662" t="s">
        <v>559</v>
      </c>
    </row>
    <row r="2663" spans="1:102" x14ac:dyDescent="0.3">
      <c r="A2663" t="str">
        <f>HYPERLINK("https://webapp.icbf.com/v2/app/bull-search/view/77855008","NHS")</f>
        <v>NHS</v>
      </c>
      <c r="B2663" t="s">
        <v>770</v>
      </c>
      <c r="C2663" t="s">
        <v>771</v>
      </c>
      <c r="D2663" s="1">
        <v>35024</v>
      </c>
      <c r="E2663" t="s">
        <v>92</v>
      </c>
      <c r="F2663">
        <v>97</v>
      </c>
      <c r="G2663" t="s">
        <v>93</v>
      </c>
      <c r="H2663">
        <v>23.67</v>
      </c>
      <c r="I2663">
        <v>99</v>
      </c>
      <c r="J2663">
        <v>61.16</v>
      </c>
      <c r="K2663">
        <v>99</v>
      </c>
      <c r="L2663">
        <v>-36.61</v>
      </c>
      <c r="M2663">
        <v>99</v>
      </c>
      <c r="N2663">
        <v>13.78</v>
      </c>
      <c r="O2663">
        <v>99</v>
      </c>
      <c r="P2663">
        <v>-7.7</v>
      </c>
      <c r="Q2663">
        <v>99</v>
      </c>
      <c r="R2663">
        <v>-2.5099999999999998</v>
      </c>
      <c r="S2663">
        <v>99</v>
      </c>
      <c r="T2663">
        <v>10.27</v>
      </c>
      <c r="U2663">
        <v>99</v>
      </c>
      <c r="V2663">
        <v>-14.72</v>
      </c>
      <c r="W2663">
        <v>99</v>
      </c>
      <c r="X2663" t="s">
        <v>94</v>
      </c>
      <c r="Y2663" t="s">
        <v>95</v>
      </c>
      <c r="Z2663" t="s">
        <v>96</v>
      </c>
      <c r="AA2663" t="s">
        <v>529</v>
      </c>
      <c r="AB2663" t="s">
        <v>772</v>
      </c>
      <c r="AC2663">
        <v>29970</v>
      </c>
      <c r="AD2663">
        <v>4965</v>
      </c>
      <c r="AE2663">
        <v>99</v>
      </c>
      <c r="AF2663">
        <v>4.96</v>
      </c>
      <c r="AG2663">
        <v>8.19</v>
      </c>
      <c r="AH2663">
        <v>7.58</v>
      </c>
      <c r="AI2663">
        <v>0.14000000000000001</v>
      </c>
      <c r="AJ2663">
        <v>0.13</v>
      </c>
      <c r="AK2663">
        <v>99</v>
      </c>
      <c r="AL2663">
        <v>36083</v>
      </c>
      <c r="AM2663">
        <v>7940</v>
      </c>
      <c r="AN2663">
        <v>1.97</v>
      </c>
      <c r="AO2663">
        <v>-0.95</v>
      </c>
      <c r="AP2663">
        <v>46920</v>
      </c>
      <c r="AQ2663">
        <v>259</v>
      </c>
      <c r="AR2663">
        <v>7.86</v>
      </c>
      <c r="AS2663">
        <v>99</v>
      </c>
      <c r="AT2663">
        <v>3.1</v>
      </c>
      <c r="AU2663">
        <v>99</v>
      </c>
      <c r="AV2663">
        <v>-1.29</v>
      </c>
      <c r="AW2663">
        <v>99</v>
      </c>
      <c r="AX2663">
        <v>-0.32</v>
      </c>
      <c r="AY2663">
        <v>99</v>
      </c>
      <c r="AZ2663">
        <v>5.39</v>
      </c>
      <c r="BA2663">
        <v>99</v>
      </c>
      <c r="BB2663">
        <v>4.66</v>
      </c>
      <c r="BC2663">
        <v>99</v>
      </c>
      <c r="BD2663">
        <v>-0.05</v>
      </c>
      <c r="BE2663">
        <v>-0.01</v>
      </c>
      <c r="BF2663">
        <v>0.16</v>
      </c>
      <c r="BG2663">
        <v>99</v>
      </c>
      <c r="BH2663">
        <v>-0.12</v>
      </c>
      <c r="BI2663">
        <v>33.61</v>
      </c>
      <c r="BJ2663">
        <v>869</v>
      </c>
      <c r="BK2663">
        <v>382</v>
      </c>
      <c r="BL2663">
        <v>-0.02</v>
      </c>
      <c r="BM2663">
        <v>0.72</v>
      </c>
      <c r="BN2663">
        <v>0.84</v>
      </c>
      <c r="BO2663">
        <v>0.08</v>
      </c>
      <c r="BP2663">
        <v>0.45</v>
      </c>
      <c r="BQ2663">
        <v>-0.95</v>
      </c>
      <c r="BR2663">
        <v>-1.61</v>
      </c>
      <c r="BS2663">
        <v>-0.24</v>
      </c>
      <c r="BT2663">
        <v>1.38</v>
      </c>
      <c r="BU2663">
        <v>-1.04</v>
      </c>
      <c r="BV2663">
        <v>-0.61</v>
      </c>
      <c r="BW2663">
        <v>-0.28999999999999998</v>
      </c>
      <c r="BX2663">
        <v>-1.86</v>
      </c>
      <c r="BY2663">
        <v>0.21</v>
      </c>
      <c r="BZ2663">
        <v>0.75</v>
      </c>
      <c r="CA2663">
        <v>-0.3</v>
      </c>
      <c r="CB2663">
        <v>-0.5</v>
      </c>
      <c r="CC2663">
        <v>0.31</v>
      </c>
      <c r="CD2663">
        <v>-0.16</v>
      </c>
      <c r="CE2663">
        <v>-0.08</v>
      </c>
      <c r="CF2663">
        <v>0.26</v>
      </c>
      <c r="CG2663">
        <v>0</v>
      </c>
      <c r="CH2663">
        <v>0.23</v>
      </c>
      <c r="CI2663">
        <v>0</v>
      </c>
      <c r="CJ2663">
        <v>-1.1000000000000001</v>
      </c>
      <c r="CK2663">
        <v>99</v>
      </c>
      <c r="CL2663">
        <v>-0.76</v>
      </c>
      <c r="CM2663">
        <v>99</v>
      </c>
      <c r="CN2663">
        <v>-0.23</v>
      </c>
      <c r="CO2663">
        <v>99</v>
      </c>
      <c r="CP2663">
        <v>-6.9</v>
      </c>
      <c r="CQ2663">
        <v>99</v>
      </c>
      <c r="CR2663">
        <v>0</v>
      </c>
      <c r="CS2663">
        <v>0</v>
      </c>
      <c r="CT2663">
        <v>-0.1</v>
      </c>
      <c r="CU2663">
        <v>99</v>
      </c>
      <c r="CV2663">
        <v>0.27</v>
      </c>
      <c r="CW2663">
        <v>53</v>
      </c>
      <c r="CX2663" t="s">
        <v>724</v>
      </c>
    </row>
    <row r="2664" spans="1:102" x14ac:dyDescent="0.3">
      <c r="A2664" t="str">
        <f>HYPERLINK("https://webapp.icbf.com/v2/app/bull-search/view/77859709","BJB")</f>
        <v>BJB</v>
      </c>
      <c r="B2664" t="s">
        <v>3739</v>
      </c>
      <c r="C2664" t="s">
        <v>3740</v>
      </c>
      <c r="D2664" s="1">
        <v>32472</v>
      </c>
      <c r="E2664" t="s">
        <v>108</v>
      </c>
      <c r="F2664">
        <v>13</v>
      </c>
      <c r="G2664" t="s">
        <v>93</v>
      </c>
      <c r="H2664">
        <v>23.63</v>
      </c>
      <c r="I2664">
        <v>56</v>
      </c>
      <c r="J2664">
        <v>-43.94</v>
      </c>
      <c r="K2664">
        <v>73</v>
      </c>
      <c r="L2664">
        <v>65.849999999999994</v>
      </c>
      <c r="M2664">
        <v>50</v>
      </c>
      <c r="N2664">
        <v>7.38</v>
      </c>
      <c r="O2664">
        <v>37</v>
      </c>
      <c r="P2664">
        <v>3.32</v>
      </c>
      <c r="Q2664">
        <v>55</v>
      </c>
      <c r="R2664">
        <v>-12.76</v>
      </c>
      <c r="S2664">
        <v>52</v>
      </c>
      <c r="T2664">
        <v>7.68</v>
      </c>
      <c r="U2664">
        <v>48</v>
      </c>
      <c r="V2664">
        <v>-3.9</v>
      </c>
      <c r="W2664">
        <v>23</v>
      </c>
      <c r="X2664" t="s">
        <v>94</v>
      </c>
      <c r="Y2664" t="s">
        <v>95</v>
      </c>
      <c r="Z2664" t="s">
        <v>96</v>
      </c>
      <c r="AA2664" t="s">
        <v>3741</v>
      </c>
      <c r="AB2664" t="s">
        <v>3742</v>
      </c>
      <c r="AC2664">
        <v>18</v>
      </c>
      <c r="AD2664">
        <v>15</v>
      </c>
      <c r="AE2664">
        <v>73</v>
      </c>
      <c r="AF2664">
        <v>-86.79</v>
      </c>
      <c r="AG2664">
        <v>-7.38</v>
      </c>
      <c r="AH2664">
        <v>-6.19</v>
      </c>
      <c r="AI2664">
        <v>-7.0000000000000007E-2</v>
      </c>
      <c r="AJ2664">
        <v>-0.05</v>
      </c>
      <c r="AK2664">
        <v>50</v>
      </c>
      <c r="AL2664">
        <v>39</v>
      </c>
      <c r="AM2664">
        <v>22</v>
      </c>
      <c r="AN2664">
        <v>-4.5</v>
      </c>
      <c r="AO2664">
        <v>0.74</v>
      </c>
      <c r="AP2664">
        <v>3</v>
      </c>
      <c r="AQ2664">
        <v>0</v>
      </c>
      <c r="AR2664">
        <v>7.38</v>
      </c>
      <c r="AS2664">
        <v>13</v>
      </c>
      <c r="AT2664">
        <v>3.38</v>
      </c>
      <c r="AU2664">
        <v>27</v>
      </c>
      <c r="AV2664">
        <v>-0.38</v>
      </c>
      <c r="AW2664">
        <v>49</v>
      </c>
      <c r="AX2664">
        <v>-0.48</v>
      </c>
      <c r="AY2664">
        <v>55</v>
      </c>
      <c r="AZ2664">
        <v>5.19</v>
      </c>
      <c r="BA2664">
        <v>14</v>
      </c>
      <c r="BB2664">
        <v>4.3499999999999996</v>
      </c>
      <c r="BC2664">
        <v>24</v>
      </c>
      <c r="BD2664">
        <v>0.05</v>
      </c>
      <c r="BE2664">
        <v>0.1</v>
      </c>
      <c r="BF2664">
        <v>0.02</v>
      </c>
      <c r="BG2664">
        <v>71</v>
      </c>
      <c r="BH2664">
        <v>-0.12</v>
      </c>
      <c r="BI2664">
        <v>-1.29</v>
      </c>
      <c r="BJ2664">
        <v>1</v>
      </c>
      <c r="BK2664">
        <v>1</v>
      </c>
      <c r="BL2664">
        <v>-2.34</v>
      </c>
      <c r="BM2664">
        <v>0.98</v>
      </c>
      <c r="BN2664">
        <v>-1.55</v>
      </c>
      <c r="BO2664">
        <v>-2.12</v>
      </c>
      <c r="BP2664">
        <v>0.09</v>
      </c>
      <c r="BQ2664">
        <v>-0.31</v>
      </c>
      <c r="BR2664">
        <v>-0.33</v>
      </c>
      <c r="BS2664">
        <v>-0.28999999999999998</v>
      </c>
      <c r="BT2664">
        <v>0.19</v>
      </c>
      <c r="BU2664">
        <v>-1.4</v>
      </c>
      <c r="BV2664">
        <v>-1.54</v>
      </c>
      <c r="BW2664">
        <v>-1.58</v>
      </c>
      <c r="BX2664">
        <v>-2.4900000000000002</v>
      </c>
      <c r="BY2664">
        <v>-2.13</v>
      </c>
      <c r="BZ2664">
        <v>-1.35</v>
      </c>
      <c r="CA2664">
        <v>-1.76</v>
      </c>
      <c r="CB2664">
        <v>-1.84</v>
      </c>
      <c r="CC2664">
        <v>-0.89</v>
      </c>
      <c r="CD2664">
        <v>1.97</v>
      </c>
      <c r="CE2664">
        <v>-2.11</v>
      </c>
      <c r="CF2664">
        <v>-1.74</v>
      </c>
      <c r="CG2664">
        <v>0</v>
      </c>
      <c r="CH2664">
        <v>-0.97</v>
      </c>
      <c r="CI2664">
        <v>0</v>
      </c>
      <c r="CJ2664">
        <v>1.5</v>
      </c>
      <c r="CK2664">
        <v>57</v>
      </c>
      <c r="CL2664">
        <v>0.03</v>
      </c>
      <c r="CM2664">
        <v>52</v>
      </c>
      <c r="CN2664">
        <v>-0.13</v>
      </c>
      <c r="CO2664">
        <v>47</v>
      </c>
      <c r="CP2664">
        <v>-3.9</v>
      </c>
      <c r="CQ2664">
        <v>62</v>
      </c>
      <c r="CR2664">
        <v>0</v>
      </c>
      <c r="CS2664">
        <v>0</v>
      </c>
      <c r="CT2664">
        <v>3.4</v>
      </c>
      <c r="CU2664">
        <v>48</v>
      </c>
      <c r="CV2664">
        <v>-0.08</v>
      </c>
      <c r="CW2664">
        <v>15</v>
      </c>
      <c r="CX2664" t="s">
        <v>3743</v>
      </c>
    </row>
    <row r="2665" spans="1:102" x14ac:dyDescent="0.3">
      <c r="A2665" t="str">
        <f>HYPERLINK("https://webapp.icbf.com/v2/app/bull-search/view/757225828","S891")</f>
        <v>S891</v>
      </c>
      <c r="B2665" t="s">
        <v>14489</v>
      </c>
      <c r="C2665" t="s">
        <v>14490</v>
      </c>
      <c r="D2665" s="1">
        <v>37462</v>
      </c>
      <c r="E2665" t="s">
        <v>197</v>
      </c>
      <c r="F2665">
        <v>0</v>
      </c>
      <c r="G2665" t="s">
        <v>116</v>
      </c>
      <c r="H2665">
        <v>23.63</v>
      </c>
      <c r="I2665">
        <v>47</v>
      </c>
      <c r="J2665">
        <v>-16.11</v>
      </c>
      <c r="K2665">
        <v>69</v>
      </c>
      <c r="L2665">
        <v>45.93</v>
      </c>
      <c r="M2665">
        <v>24</v>
      </c>
      <c r="N2665">
        <v>-17.079999999999998</v>
      </c>
      <c r="O2665">
        <v>48</v>
      </c>
      <c r="P2665">
        <v>-3.88</v>
      </c>
      <c r="Q2665">
        <v>68</v>
      </c>
      <c r="R2665">
        <v>-0.72</v>
      </c>
      <c r="S2665">
        <v>26</v>
      </c>
      <c r="T2665">
        <v>19.38</v>
      </c>
      <c r="U2665">
        <v>54</v>
      </c>
      <c r="V2665">
        <v>-3.89</v>
      </c>
      <c r="W2665">
        <v>23</v>
      </c>
      <c r="X2665" t="s">
        <v>198</v>
      </c>
      <c r="Y2665" t="s">
        <v>303</v>
      </c>
      <c r="Z2665">
        <v>0</v>
      </c>
      <c r="AA2665" t="s">
        <v>14491</v>
      </c>
      <c r="AB2665" t="s">
        <v>14492</v>
      </c>
      <c r="AC2665">
        <v>10</v>
      </c>
      <c r="AD2665">
        <v>2</v>
      </c>
      <c r="AE2665">
        <v>69</v>
      </c>
      <c r="AF2665">
        <v>-215.41</v>
      </c>
      <c r="AG2665">
        <v>-3.58</v>
      </c>
      <c r="AH2665">
        <v>-4.7699999999999996</v>
      </c>
      <c r="AI2665">
        <v>0.08</v>
      </c>
      <c r="AJ2665">
        <v>0.05</v>
      </c>
      <c r="AK2665">
        <v>24</v>
      </c>
      <c r="AL2665">
        <v>10</v>
      </c>
      <c r="AM2665">
        <v>4</v>
      </c>
      <c r="AN2665">
        <v>-3.51</v>
      </c>
      <c r="AO2665">
        <v>0.14000000000000001</v>
      </c>
      <c r="AP2665">
        <v>31</v>
      </c>
      <c r="AQ2665">
        <v>0</v>
      </c>
      <c r="AR2665">
        <v>5.28</v>
      </c>
      <c r="AS2665">
        <v>44</v>
      </c>
      <c r="AT2665">
        <v>5.41</v>
      </c>
      <c r="AU2665">
        <v>28</v>
      </c>
      <c r="AV2665">
        <v>1.24</v>
      </c>
      <c r="AW2665">
        <v>79</v>
      </c>
      <c r="AX2665">
        <v>0.05</v>
      </c>
      <c r="AY2665">
        <v>36</v>
      </c>
      <c r="AZ2665">
        <v>5.84</v>
      </c>
      <c r="BA2665">
        <v>8</v>
      </c>
      <c r="BB2665">
        <v>3.24</v>
      </c>
      <c r="BC2665">
        <v>9</v>
      </c>
      <c r="BD2665">
        <v>0.01</v>
      </c>
      <c r="BE2665">
        <v>0</v>
      </c>
      <c r="BF2665">
        <v>0</v>
      </c>
      <c r="BG2665">
        <v>31</v>
      </c>
      <c r="BH2665">
        <v>-0.2</v>
      </c>
      <c r="BI2665">
        <v>-10.59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0.9</v>
      </c>
      <c r="CK2665">
        <v>72</v>
      </c>
      <c r="CL2665">
        <v>-0.12</v>
      </c>
      <c r="CM2665">
        <v>66</v>
      </c>
      <c r="CN2665">
        <v>0.26</v>
      </c>
      <c r="CO2665">
        <v>62</v>
      </c>
      <c r="CP2665">
        <v>-5.6</v>
      </c>
      <c r="CQ2665">
        <v>49</v>
      </c>
      <c r="CR2665">
        <v>0</v>
      </c>
      <c r="CS2665">
        <v>0</v>
      </c>
      <c r="CT2665">
        <v>-12.4</v>
      </c>
      <c r="CU2665">
        <v>54</v>
      </c>
      <c r="CV2665">
        <v>0.01</v>
      </c>
      <c r="CW2665">
        <v>19</v>
      </c>
      <c r="CX2665" t="s">
        <v>10559</v>
      </c>
    </row>
    <row r="2666" spans="1:102" x14ac:dyDescent="0.3">
      <c r="A2666" t="str">
        <f>HYPERLINK("https://webapp.icbf.com/v2/app/bull-search/view/77860018","BVB")</f>
        <v>BVB</v>
      </c>
      <c r="B2666" t="s">
        <v>6903</v>
      </c>
      <c r="C2666" t="s">
        <v>6904</v>
      </c>
      <c r="D2666" s="1">
        <v>33288</v>
      </c>
      <c r="E2666" t="s">
        <v>92</v>
      </c>
      <c r="F2666">
        <v>75</v>
      </c>
      <c r="G2666" t="s">
        <v>93</v>
      </c>
      <c r="H2666">
        <v>23.61</v>
      </c>
      <c r="I2666">
        <v>87</v>
      </c>
      <c r="J2666">
        <v>31.16</v>
      </c>
      <c r="K2666">
        <v>97</v>
      </c>
      <c r="L2666">
        <v>16.28</v>
      </c>
      <c r="M2666">
        <v>82</v>
      </c>
      <c r="N2666">
        <v>-19.829999999999998</v>
      </c>
      <c r="O2666">
        <v>77</v>
      </c>
      <c r="P2666">
        <v>-12</v>
      </c>
      <c r="Q2666">
        <v>89</v>
      </c>
      <c r="R2666">
        <v>-12.6</v>
      </c>
      <c r="S2666">
        <v>81</v>
      </c>
      <c r="T2666">
        <v>22.85</v>
      </c>
      <c r="U2666">
        <v>89</v>
      </c>
      <c r="V2666">
        <v>-2.25</v>
      </c>
      <c r="W2666">
        <v>63</v>
      </c>
      <c r="X2666" t="s">
        <v>94</v>
      </c>
      <c r="Y2666" t="s">
        <v>95</v>
      </c>
      <c r="Z2666" t="s">
        <v>96</v>
      </c>
      <c r="AA2666" t="s">
        <v>99</v>
      </c>
      <c r="AB2666" t="s">
        <v>1348</v>
      </c>
      <c r="AC2666">
        <v>151</v>
      </c>
      <c r="AD2666">
        <v>117</v>
      </c>
      <c r="AE2666">
        <v>97</v>
      </c>
      <c r="AF2666">
        <v>-98.56</v>
      </c>
      <c r="AG2666">
        <v>10.35</v>
      </c>
      <c r="AH2666">
        <v>0.13</v>
      </c>
      <c r="AI2666">
        <v>0.25</v>
      </c>
      <c r="AJ2666">
        <v>0.06</v>
      </c>
      <c r="AK2666">
        <v>82</v>
      </c>
      <c r="AL2666">
        <v>283</v>
      </c>
      <c r="AM2666">
        <v>193</v>
      </c>
      <c r="AN2666">
        <v>-1.51</v>
      </c>
      <c r="AO2666">
        <v>-0.22</v>
      </c>
      <c r="AP2666">
        <v>7</v>
      </c>
      <c r="AQ2666">
        <v>0</v>
      </c>
      <c r="AR2666">
        <v>10.99</v>
      </c>
      <c r="AS2666">
        <v>58</v>
      </c>
      <c r="AT2666">
        <v>4.74</v>
      </c>
      <c r="AU2666">
        <v>77</v>
      </c>
      <c r="AV2666">
        <v>-1.02</v>
      </c>
      <c r="AW2666">
        <v>83</v>
      </c>
      <c r="AX2666">
        <v>0.09</v>
      </c>
      <c r="AY2666">
        <v>85</v>
      </c>
      <c r="AZ2666">
        <v>6.15</v>
      </c>
      <c r="BA2666">
        <v>52</v>
      </c>
      <c r="BB2666">
        <v>5.0999999999999996</v>
      </c>
      <c r="BC2666">
        <v>70</v>
      </c>
      <c r="BD2666">
        <v>0.01</v>
      </c>
      <c r="BE2666">
        <v>7.0000000000000007E-2</v>
      </c>
      <c r="BF2666">
        <v>0.14000000000000001</v>
      </c>
      <c r="BG2666">
        <v>95</v>
      </c>
      <c r="BH2666">
        <v>-0.2</v>
      </c>
      <c r="BI2666">
        <v>-15.88</v>
      </c>
      <c r="BJ2666">
        <v>29</v>
      </c>
      <c r="BK2666">
        <v>22</v>
      </c>
      <c r="BL2666">
        <v>-1.08</v>
      </c>
      <c r="BM2666">
        <v>0.05</v>
      </c>
      <c r="BN2666">
        <v>-1.17</v>
      </c>
      <c r="BO2666">
        <v>-1.08</v>
      </c>
      <c r="BP2666">
        <v>-1.84</v>
      </c>
      <c r="BQ2666">
        <v>-1.21</v>
      </c>
      <c r="BR2666">
        <v>-1.67</v>
      </c>
      <c r="BS2666">
        <v>0.56000000000000005</v>
      </c>
      <c r="BT2666">
        <v>1.23</v>
      </c>
      <c r="BU2666">
        <v>0.01</v>
      </c>
      <c r="BV2666">
        <v>-0.22</v>
      </c>
      <c r="BW2666">
        <v>-0.2</v>
      </c>
      <c r="BX2666">
        <v>-0.47</v>
      </c>
      <c r="BY2666">
        <v>0.13</v>
      </c>
      <c r="BZ2666">
        <v>-0.43</v>
      </c>
      <c r="CA2666">
        <v>-0.16</v>
      </c>
      <c r="CB2666">
        <v>-0.38</v>
      </c>
      <c r="CC2666">
        <v>0.3</v>
      </c>
      <c r="CD2666">
        <v>0.98</v>
      </c>
      <c r="CE2666">
        <v>-0.9</v>
      </c>
      <c r="CF2666">
        <v>-1.69</v>
      </c>
      <c r="CG2666">
        <v>0</v>
      </c>
      <c r="CH2666">
        <v>-0.35</v>
      </c>
      <c r="CI2666">
        <v>0</v>
      </c>
      <c r="CJ2666">
        <v>-4.8</v>
      </c>
      <c r="CK2666">
        <v>89</v>
      </c>
      <c r="CL2666">
        <v>-0.33</v>
      </c>
      <c r="CM2666">
        <v>88</v>
      </c>
      <c r="CN2666">
        <v>-0.01</v>
      </c>
      <c r="CO2666">
        <v>86</v>
      </c>
      <c r="CP2666">
        <v>-13.9</v>
      </c>
      <c r="CQ2666">
        <v>91</v>
      </c>
      <c r="CR2666">
        <v>0</v>
      </c>
      <c r="CS2666">
        <v>0</v>
      </c>
      <c r="CT2666">
        <v>-17.100000000000001</v>
      </c>
      <c r="CU2666">
        <v>89</v>
      </c>
      <c r="CV2666">
        <v>0.02</v>
      </c>
      <c r="CW2666">
        <v>44</v>
      </c>
      <c r="CX2666" t="s">
        <v>1349</v>
      </c>
    </row>
    <row r="2667" spans="1:102" x14ac:dyDescent="0.3">
      <c r="A2667" t="str">
        <f>HYPERLINK("https://webapp.icbf.com/v2/app/bull-search/view/77859214","AGM")</f>
        <v>AGM</v>
      </c>
      <c r="B2667" t="s">
        <v>7357</v>
      </c>
      <c r="C2667" t="s">
        <v>7358</v>
      </c>
      <c r="D2667" s="1">
        <v>31864</v>
      </c>
      <c r="E2667" t="s">
        <v>92</v>
      </c>
      <c r="F2667">
        <v>100</v>
      </c>
      <c r="G2667" t="s">
        <v>93</v>
      </c>
      <c r="H2667">
        <v>23.49</v>
      </c>
      <c r="I2667">
        <v>63</v>
      </c>
      <c r="J2667">
        <v>-13.88</v>
      </c>
      <c r="K2667">
        <v>75</v>
      </c>
      <c r="L2667">
        <v>47.67</v>
      </c>
      <c r="M2667">
        <v>59</v>
      </c>
      <c r="N2667">
        <v>-3.73</v>
      </c>
      <c r="O2667">
        <v>46</v>
      </c>
      <c r="P2667">
        <v>-2.25</v>
      </c>
      <c r="Q2667">
        <v>77</v>
      </c>
      <c r="R2667">
        <v>-14.05</v>
      </c>
      <c r="S2667">
        <v>57</v>
      </c>
      <c r="T2667">
        <v>8.1999999999999993</v>
      </c>
      <c r="U2667">
        <v>55</v>
      </c>
      <c r="V2667">
        <v>1.53</v>
      </c>
      <c r="W2667">
        <v>23</v>
      </c>
      <c r="X2667" t="s">
        <v>94</v>
      </c>
      <c r="Y2667" t="s">
        <v>95</v>
      </c>
      <c r="Z2667" t="s">
        <v>96</v>
      </c>
      <c r="AA2667" t="s">
        <v>3715</v>
      </c>
      <c r="AB2667" t="s">
        <v>7359</v>
      </c>
      <c r="AC2667">
        <v>19</v>
      </c>
      <c r="AD2667">
        <v>15</v>
      </c>
      <c r="AE2667">
        <v>75</v>
      </c>
      <c r="AF2667">
        <v>-110.45</v>
      </c>
      <c r="AG2667">
        <v>-8.23</v>
      </c>
      <c r="AH2667">
        <v>-1.1399999999999999</v>
      </c>
      <c r="AI2667">
        <v>-7.0000000000000007E-2</v>
      </c>
      <c r="AJ2667">
        <v>0.04</v>
      </c>
      <c r="AK2667">
        <v>59</v>
      </c>
      <c r="AL2667">
        <v>78</v>
      </c>
      <c r="AM2667">
        <v>58</v>
      </c>
      <c r="AN2667">
        <v>-2.74</v>
      </c>
      <c r="AO2667">
        <v>1.06</v>
      </c>
      <c r="AP2667">
        <v>22</v>
      </c>
      <c r="AQ2667">
        <v>0</v>
      </c>
      <c r="AR2667">
        <v>7.57</v>
      </c>
      <c r="AS2667">
        <v>15</v>
      </c>
      <c r="AT2667">
        <v>3.14</v>
      </c>
      <c r="AU2667">
        <v>43</v>
      </c>
      <c r="AV2667">
        <v>-0.43</v>
      </c>
      <c r="AW2667">
        <v>61</v>
      </c>
      <c r="AX2667">
        <v>0.6</v>
      </c>
      <c r="AY2667">
        <v>56</v>
      </c>
      <c r="AZ2667">
        <v>7.13</v>
      </c>
      <c r="BA2667">
        <v>16</v>
      </c>
      <c r="BB2667">
        <v>5.85</v>
      </c>
      <c r="BC2667">
        <v>23</v>
      </c>
      <c r="BD2667">
        <v>0.03</v>
      </c>
      <c r="BE2667">
        <v>7.0000000000000007E-2</v>
      </c>
      <c r="BF2667">
        <v>0.14000000000000001</v>
      </c>
      <c r="BG2667">
        <v>81</v>
      </c>
      <c r="BH2667">
        <v>0.05</v>
      </c>
      <c r="BI2667">
        <v>0.84</v>
      </c>
      <c r="BJ2667">
        <v>5</v>
      </c>
      <c r="BK2667">
        <v>4</v>
      </c>
      <c r="BL2667">
        <v>-0.36</v>
      </c>
      <c r="BM2667">
        <v>-0.68</v>
      </c>
      <c r="BN2667">
        <v>-1.05</v>
      </c>
      <c r="BO2667">
        <v>-0.3</v>
      </c>
      <c r="BP2667">
        <v>0.92</v>
      </c>
      <c r="BQ2667">
        <v>-1.98</v>
      </c>
      <c r="BR2667">
        <v>-0.44</v>
      </c>
      <c r="BS2667">
        <v>-0.71</v>
      </c>
      <c r="BT2667">
        <v>0.84</v>
      </c>
      <c r="BU2667">
        <v>0</v>
      </c>
      <c r="BV2667">
        <v>-0.65</v>
      </c>
      <c r="BW2667">
        <v>-0.99</v>
      </c>
      <c r="BX2667">
        <v>1.1499999999999999</v>
      </c>
      <c r="BY2667">
        <v>-0.64</v>
      </c>
      <c r="BZ2667">
        <v>-0.41</v>
      </c>
      <c r="CA2667">
        <v>-0.57999999999999996</v>
      </c>
      <c r="CB2667">
        <v>-0.67</v>
      </c>
      <c r="CC2667">
        <v>-0.3</v>
      </c>
      <c r="CD2667">
        <v>0.08</v>
      </c>
      <c r="CE2667">
        <v>-0.52</v>
      </c>
      <c r="CF2667">
        <v>-0.76</v>
      </c>
      <c r="CG2667">
        <v>0</v>
      </c>
      <c r="CH2667">
        <v>-1.06</v>
      </c>
      <c r="CI2667">
        <v>0</v>
      </c>
      <c r="CJ2667">
        <v>2</v>
      </c>
      <c r="CK2667">
        <v>80</v>
      </c>
      <c r="CL2667">
        <v>-0.65</v>
      </c>
      <c r="CM2667">
        <v>76</v>
      </c>
      <c r="CN2667">
        <v>-0.18</v>
      </c>
      <c r="CO2667">
        <v>74</v>
      </c>
      <c r="CP2667">
        <v>-2.7</v>
      </c>
      <c r="CQ2667">
        <v>61</v>
      </c>
      <c r="CR2667">
        <v>0</v>
      </c>
      <c r="CS2667">
        <v>0</v>
      </c>
      <c r="CT2667">
        <v>2.7</v>
      </c>
      <c r="CU2667">
        <v>55</v>
      </c>
      <c r="CV2667">
        <v>0.28000000000000003</v>
      </c>
      <c r="CW2667">
        <v>21</v>
      </c>
      <c r="CX2667" t="s">
        <v>640</v>
      </c>
    </row>
    <row r="2668" spans="1:102" x14ac:dyDescent="0.3">
      <c r="A2668" t="str">
        <f>HYPERLINK("https://webapp.icbf.com/v2/app/bull-search/view/1383238688","MO4011")</f>
        <v>MO4011</v>
      </c>
      <c r="B2668" t="s">
        <v>10288</v>
      </c>
      <c r="C2668" t="s">
        <v>10289</v>
      </c>
      <c r="D2668" s="1">
        <v>41404</v>
      </c>
      <c r="E2668" t="s">
        <v>140</v>
      </c>
      <c r="F2668">
        <v>0</v>
      </c>
      <c r="G2668" t="s">
        <v>109</v>
      </c>
      <c r="H2668">
        <v>23.44</v>
      </c>
      <c r="I2668">
        <v>29</v>
      </c>
      <c r="J2668">
        <v>3.11</v>
      </c>
      <c r="K2668">
        <v>69</v>
      </c>
      <c r="L2668">
        <v>23.58</v>
      </c>
      <c r="M2668">
        <v>5</v>
      </c>
      <c r="N2668">
        <v>-25.94</v>
      </c>
      <c r="O2668">
        <v>27</v>
      </c>
      <c r="P2668">
        <v>11.34</v>
      </c>
      <c r="Q2668">
        <v>15</v>
      </c>
      <c r="R2668">
        <v>4.76</v>
      </c>
      <c r="S2668">
        <v>2</v>
      </c>
      <c r="T2668">
        <v>16.05</v>
      </c>
      <c r="U2668">
        <v>8</v>
      </c>
      <c r="V2668">
        <v>-9.4600000000000009</v>
      </c>
      <c r="W2668">
        <v>5</v>
      </c>
      <c r="X2668" t="s">
        <v>94</v>
      </c>
      <c r="Y2668" t="s">
        <v>1775</v>
      </c>
      <c r="Z2668">
        <v>0</v>
      </c>
      <c r="AA2668" t="s">
        <v>10290</v>
      </c>
      <c r="AB2668" t="s">
        <v>10291</v>
      </c>
      <c r="AC2668">
        <v>0</v>
      </c>
      <c r="AD2668">
        <v>0</v>
      </c>
      <c r="AE2668">
        <v>69</v>
      </c>
      <c r="AF2668">
        <v>108.72</v>
      </c>
      <c r="AG2668">
        <v>-1.69</v>
      </c>
      <c r="AH2668">
        <v>2.79</v>
      </c>
      <c r="AI2668">
        <v>-0.1</v>
      </c>
      <c r="AJ2668">
        <v>-0.02</v>
      </c>
      <c r="AK2668">
        <v>5</v>
      </c>
      <c r="AL2668">
        <v>0</v>
      </c>
      <c r="AM2668">
        <v>0</v>
      </c>
      <c r="AN2668">
        <v>-1.32</v>
      </c>
      <c r="AO2668">
        <v>0.56000000000000005</v>
      </c>
      <c r="AP2668">
        <v>8</v>
      </c>
      <c r="AQ2668">
        <v>0</v>
      </c>
      <c r="AR2668">
        <v>7.84</v>
      </c>
      <c r="AS2668">
        <v>11</v>
      </c>
      <c r="AT2668">
        <v>4.21</v>
      </c>
      <c r="AU2668">
        <v>16</v>
      </c>
      <c r="AV2668">
        <v>2.82</v>
      </c>
      <c r="AW2668">
        <v>50</v>
      </c>
      <c r="AX2668">
        <v>-0.32</v>
      </c>
      <c r="AY2668">
        <v>13</v>
      </c>
      <c r="AZ2668">
        <v>5.22</v>
      </c>
      <c r="BA2668">
        <v>4</v>
      </c>
      <c r="BB2668">
        <v>3.92</v>
      </c>
      <c r="BC2668">
        <v>4</v>
      </c>
      <c r="BD2668">
        <v>-0.02</v>
      </c>
      <c r="BE2668">
        <v>-0.04</v>
      </c>
      <c r="BF2668">
        <v>0</v>
      </c>
      <c r="BG2668">
        <v>0</v>
      </c>
      <c r="BH2668">
        <v>-0.28999999999999998</v>
      </c>
      <c r="BI2668">
        <v>-3.04</v>
      </c>
      <c r="BJ2668">
        <v>0</v>
      </c>
      <c r="BK2668">
        <v>0</v>
      </c>
      <c r="BL2668">
        <v>-0.62</v>
      </c>
      <c r="BM2668">
        <v>2.1</v>
      </c>
      <c r="BN2668">
        <v>-1.19</v>
      </c>
      <c r="BO2668">
        <v>-1.9</v>
      </c>
      <c r="BP2668">
        <v>2.92</v>
      </c>
      <c r="BQ2668">
        <v>-1.7</v>
      </c>
      <c r="BR2668">
        <v>-1.87</v>
      </c>
      <c r="BS2668">
        <v>-0.3</v>
      </c>
      <c r="BT2668">
        <v>1.71</v>
      </c>
      <c r="BU2668">
        <v>-2.35</v>
      </c>
      <c r="BV2668">
        <v>-2.66</v>
      </c>
      <c r="BW2668">
        <v>-2.04</v>
      </c>
      <c r="BX2668">
        <v>-1.9</v>
      </c>
      <c r="BY2668">
        <v>-1.41</v>
      </c>
      <c r="BZ2668">
        <v>0.83</v>
      </c>
      <c r="CA2668">
        <v>-1.62</v>
      </c>
      <c r="CB2668">
        <v>-2.11</v>
      </c>
      <c r="CC2668">
        <v>-0.18</v>
      </c>
      <c r="CD2668">
        <v>2.5</v>
      </c>
      <c r="CE2668">
        <v>-1.92</v>
      </c>
      <c r="CF2668">
        <v>-0.79</v>
      </c>
      <c r="CG2668">
        <v>0</v>
      </c>
      <c r="CH2668">
        <v>-1.67</v>
      </c>
      <c r="CI2668">
        <v>0</v>
      </c>
      <c r="CJ2668">
        <v>3.9</v>
      </c>
      <c r="CK2668">
        <v>16</v>
      </c>
      <c r="CL2668">
        <v>0.28999999999999998</v>
      </c>
      <c r="CM2668">
        <v>14</v>
      </c>
      <c r="CN2668">
        <v>-0.28000000000000003</v>
      </c>
      <c r="CO2668">
        <v>13</v>
      </c>
      <c r="CP2668">
        <v>-2.1</v>
      </c>
      <c r="CQ2668">
        <v>9</v>
      </c>
      <c r="CR2668">
        <v>0</v>
      </c>
      <c r="CS2668">
        <v>0</v>
      </c>
      <c r="CT2668">
        <v>-7.9</v>
      </c>
      <c r="CU2668">
        <v>8</v>
      </c>
      <c r="CV2668">
        <v>-0.13</v>
      </c>
      <c r="CW2668">
        <v>4</v>
      </c>
      <c r="CX2668" t="s">
        <v>7976</v>
      </c>
    </row>
    <row r="2669" spans="1:102" x14ac:dyDescent="0.3">
      <c r="A2669" t="str">
        <f>HYPERLINK("https://webapp.icbf.com/v2/app/bull-search/view/77853868","SJA")</f>
        <v>SJA</v>
      </c>
      <c r="B2669" t="s">
        <v>6690</v>
      </c>
      <c r="C2669" t="s">
        <v>6691</v>
      </c>
      <c r="D2669" s="1">
        <v>32367</v>
      </c>
      <c r="E2669" t="s">
        <v>108</v>
      </c>
      <c r="F2669">
        <v>6</v>
      </c>
      <c r="G2669" t="s">
        <v>93</v>
      </c>
      <c r="H2669">
        <v>23.4</v>
      </c>
      <c r="I2669">
        <v>86</v>
      </c>
      <c r="J2669">
        <v>-8.34</v>
      </c>
      <c r="K2669">
        <v>95</v>
      </c>
      <c r="L2669">
        <v>8.23</v>
      </c>
      <c r="M2669">
        <v>88</v>
      </c>
      <c r="N2669">
        <v>17.079999999999998</v>
      </c>
      <c r="O2669">
        <v>72</v>
      </c>
      <c r="P2669">
        <v>-10.69</v>
      </c>
      <c r="Q2669">
        <v>79</v>
      </c>
      <c r="R2669">
        <v>-3.45</v>
      </c>
      <c r="S2669">
        <v>78</v>
      </c>
      <c r="T2669">
        <v>17.53</v>
      </c>
      <c r="U2669">
        <v>77</v>
      </c>
      <c r="V2669">
        <v>3.04</v>
      </c>
      <c r="W2669">
        <v>64</v>
      </c>
      <c r="X2669" t="s">
        <v>302</v>
      </c>
      <c r="Y2669" t="s">
        <v>95</v>
      </c>
      <c r="Z2669" t="s">
        <v>6692</v>
      </c>
      <c r="AA2669" t="s">
        <v>3200</v>
      </c>
      <c r="AB2669" t="s">
        <v>144</v>
      </c>
      <c r="AC2669">
        <v>53</v>
      </c>
      <c r="AD2669">
        <v>37</v>
      </c>
      <c r="AE2669">
        <v>95</v>
      </c>
      <c r="AF2669">
        <v>-64.87</v>
      </c>
      <c r="AG2669">
        <v>2.23</v>
      </c>
      <c r="AH2669">
        <v>-3.2</v>
      </c>
      <c r="AI2669">
        <v>0.08</v>
      </c>
      <c r="AJ2669">
        <v>-0.02</v>
      </c>
      <c r="AK2669">
        <v>88</v>
      </c>
      <c r="AL2669">
        <v>79</v>
      </c>
      <c r="AM2669">
        <v>52</v>
      </c>
      <c r="AN2669">
        <v>-1.71</v>
      </c>
      <c r="AO2669">
        <v>-1.07</v>
      </c>
      <c r="AP2669">
        <v>12</v>
      </c>
      <c r="AQ2669">
        <v>0</v>
      </c>
      <c r="AR2669">
        <v>4.84</v>
      </c>
      <c r="AS2669">
        <v>51</v>
      </c>
      <c r="AT2669">
        <v>1.8</v>
      </c>
      <c r="AU2669">
        <v>82</v>
      </c>
      <c r="AV2669">
        <v>-0.68</v>
      </c>
      <c r="AW2669">
        <v>76</v>
      </c>
      <c r="AX2669">
        <v>-0.43</v>
      </c>
      <c r="AY2669">
        <v>74</v>
      </c>
      <c r="AZ2669">
        <v>6.47</v>
      </c>
      <c r="BA2669">
        <v>45</v>
      </c>
      <c r="BB2669">
        <v>6</v>
      </c>
      <c r="BC2669">
        <v>60</v>
      </c>
      <c r="BD2669">
        <v>0.05</v>
      </c>
      <c r="BE2669">
        <v>0.04</v>
      </c>
      <c r="BF2669">
        <v>-0.08</v>
      </c>
      <c r="BG2669">
        <v>93</v>
      </c>
      <c r="BH2669">
        <v>-0.03</v>
      </c>
      <c r="BI2669">
        <v>-13.29</v>
      </c>
      <c r="BJ2669">
        <v>2</v>
      </c>
      <c r="BK2669">
        <v>2</v>
      </c>
      <c r="BL2669">
        <v>-2.4300000000000002</v>
      </c>
      <c r="BM2669">
        <v>0.41</v>
      </c>
      <c r="BN2669">
        <v>-1.26</v>
      </c>
      <c r="BO2669">
        <v>-1.69</v>
      </c>
      <c r="BP2669">
        <v>-3.16</v>
      </c>
      <c r="BQ2669">
        <v>-1.87</v>
      </c>
      <c r="BR2669">
        <v>0.9</v>
      </c>
      <c r="BS2669">
        <v>-2.14</v>
      </c>
      <c r="BT2669">
        <v>-1.5</v>
      </c>
      <c r="BU2669">
        <v>-2.08</v>
      </c>
      <c r="BV2669">
        <v>-3.35</v>
      </c>
      <c r="BW2669">
        <v>-3.56</v>
      </c>
      <c r="BX2669">
        <v>-2.39</v>
      </c>
      <c r="BY2669">
        <v>-2.08</v>
      </c>
      <c r="BZ2669">
        <v>-0.12</v>
      </c>
      <c r="CA2669">
        <v>-2.39</v>
      </c>
      <c r="CB2669">
        <v>-2.77</v>
      </c>
      <c r="CC2669">
        <v>-2.12</v>
      </c>
      <c r="CD2669">
        <v>1.37</v>
      </c>
      <c r="CE2669">
        <v>-1.2</v>
      </c>
      <c r="CF2669">
        <v>-2.0299999999999998</v>
      </c>
      <c r="CG2669">
        <v>0</v>
      </c>
      <c r="CH2669">
        <v>-2.4</v>
      </c>
      <c r="CI2669">
        <v>0</v>
      </c>
      <c r="CJ2669">
        <v>-5.4</v>
      </c>
      <c r="CK2669">
        <v>80</v>
      </c>
      <c r="CL2669">
        <v>-0.19</v>
      </c>
      <c r="CM2669">
        <v>78</v>
      </c>
      <c r="CN2669">
        <v>-0.1</v>
      </c>
      <c r="CO2669">
        <v>75</v>
      </c>
      <c r="CP2669">
        <v>-16.3</v>
      </c>
      <c r="CQ2669">
        <v>85</v>
      </c>
      <c r="CR2669">
        <v>0</v>
      </c>
      <c r="CS2669">
        <v>0</v>
      </c>
      <c r="CT2669">
        <v>-9.9</v>
      </c>
      <c r="CU2669">
        <v>77</v>
      </c>
      <c r="CV2669">
        <v>0.13</v>
      </c>
      <c r="CW2669">
        <v>41</v>
      </c>
      <c r="CX2669" t="s">
        <v>2844</v>
      </c>
    </row>
    <row r="2670" spans="1:102" x14ac:dyDescent="0.3">
      <c r="A2670" t="str">
        <f>HYPERLINK("https://webapp.icbf.com/v2/app/bull-search/view/918500470","S1415")</f>
        <v>S1415</v>
      </c>
      <c r="B2670" t="s">
        <v>5605</v>
      </c>
      <c r="C2670" t="s">
        <v>5606</v>
      </c>
      <c r="D2670" s="1">
        <v>40433</v>
      </c>
      <c r="E2670" t="s">
        <v>92</v>
      </c>
      <c r="F2670">
        <v>100</v>
      </c>
      <c r="G2670" t="s">
        <v>109</v>
      </c>
      <c r="H2670">
        <v>23.36</v>
      </c>
      <c r="I2670">
        <v>78</v>
      </c>
      <c r="J2670">
        <v>110.59</v>
      </c>
      <c r="K2670">
        <v>92</v>
      </c>
      <c r="L2670">
        <v>-79.72</v>
      </c>
      <c r="M2670">
        <v>80</v>
      </c>
      <c r="N2670">
        <v>8.43</v>
      </c>
      <c r="O2670">
        <v>69</v>
      </c>
      <c r="P2670">
        <v>-24.02</v>
      </c>
      <c r="Q2670">
        <v>59</v>
      </c>
      <c r="R2670">
        <v>7.36</v>
      </c>
      <c r="S2670">
        <v>75</v>
      </c>
      <c r="T2670">
        <v>1.69</v>
      </c>
      <c r="U2670">
        <v>50</v>
      </c>
      <c r="V2670">
        <v>-0.97</v>
      </c>
      <c r="W2670">
        <v>61</v>
      </c>
      <c r="X2670" t="s">
        <v>234</v>
      </c>
      <c r="Y2670" t="s">
        <v>342</v>
      </c>
      <c r="Z2670" t="s">
        <v>96</v>
      </c>
      <c r="AA2670" t="s">
        <v>1572</v>
      </c>
      <c r="AB2670" t="s">
        <v>5607</v>
      </c>
      <c r="AC2670">
        <v>0</v>
      </c>
      <c r="AD2670">
        <v>0</v>
      </c>
      <c r="AE2670">
        <v>92</v>
      </c>
      <c r="AF2670">
        <v>329.62</v>
      </c>
      <c r="AG2670">
        <v>20.079999999999998</v>
      </c>
      <c r="AH2670">
        <v>16.75</v>
      </c>
      <c r="AI2670">
        <v>0.12</v>
      </c>
      <c r="AJ2670">
        <v>0.09</v>
      </c>
      <c r="AK2670">
        <v>80</v>
      </c>
      <c r="AL2670">
        <v>0</v>
      </c>
      <c r="AM2670">
        <v>0</v>
      </c>
      <c r="AN2670">
        <v>4.18</v>
      </c>
      <c r="AO2670">
        <v>-2.1800000000000002</v>
      </c>
      <c r="AP2670">
        <v>22</v>
      </c>
      <c r="AQ2670">
        <v>0</v>
      </c>
      <c r="AR2670">
        <v>10.039999999999999</v>
      </c>
      <c r="AS2670">
        <v>59</v>
      </c>
      <c r="AT2670">
        <v>3.58</v>
      </c>
      <c r="AU2670">
        <v>82</v>
      </c>
      <c r="AV2670">
        <v>-2.89</v>
      </c>
      <c r="AW2670">
        <v>74</v>
      </c>
      <c r="AX2670">
        <v>1.0900000000000001</v>
      </c>
      <c r="AY2670">
        <v>54</v>
      </c>
      <c r="AZ2670">
        <v>6.38</v>
      </c>
      <c r="BA2670">
        <v>49</v>
      </c>
      <c r="BB2670">
        <v>5.08</v>
      </c>
      <c r="BC2670">
        <v>48</v>
      </c>
      <c r="BD2670">
        <v>-0.02</v>
      </c>
      <c r="BE2670">
        <v>-0.04</v>
      </c>
      <c r="BF2670">
        <v>-0.06</v>
      </c>
      <c r="BG2670">
        <v>90</v>
      </c>
      <c r="BH2670">
        <v>-0.12</v>
      </c>
      <c r="BI2670">
        <v>-10.75</v>
      </c>
      <c r="BJ2670">
        <v>5</v>
      </c>
      <c r="BK2670">
        <v>3</v>
      </c>
      <c r="BL2670">
        <v>1.1200000000000001</v>
      </c>
      <c r="BM2670">
        <v>-0.78</v>
      </c>
      <c r="BN2670">
        <v>1.8</v>
      </c>
      <c r="BO2670">
        <v>1.82</v>
      </c>
      <c r="BP2670">
        <v>-0.83</v>
      </c>
      <c r="BQ2670">
        <v>-0.02</v>
      </c>
      <c r="BR2670">
        <v>-0.16</v>
      </c>
      <c r="BS2670">
        <v>2.3199999999999998</v>
      </c>
      <c r="BT2670">
        <v>1.79</v>
      </c>
      <c r="BU2670">
        <v>-0.34</v>
      </c>
      <c r="BV2670">
        <v>2.21</v>
      </c>
      <c r="BW2670">
        <v>2.75</v>
      </c>
      <c r="BX2670">
        <v>-1.39</v>
      </c>
      <c r="BY2670">
        <v>0.76</v>
      </c>
      <c r="BZ2670">
        <v>-0.75</v>
      </c>
      <c r="CA2670">
        <v>0.67</v>
      </c>
      <c r="CB2670">
        <v>0.28000000000000003</v>
      </c>
      <c r="CC2670">
        <v>1.99</v>
      </c>
      <c r="CD2670">
        <v>-0.97</v>
      </c>
      <c r="CE2670">
        <v>1.81</v>
      </c>
      <c r="CF2670">
        <v>1.51</v>
      </c>
      <c r="CG2670">
        <v>0</v>
      </c>
      <c r="CH2670">
        <v>0.87</v>
      </c>
      <c r="CI2670">
        <v>0</v>
      </c>
      <c r="CJ2670">
        <v>-10.6</v>
      </c>
      <c r="CK2670">
        <v>61</v>
      </c>
      <c r="CL2670">
        <v>-1.6</v>
      </c>
      <c r="CM2670">
        <v>58</v>
      </c>
      <c r="CN2670">
        <v>-0.68</v>
      </c>
      <c r="CO2670">
        <v>56</v>
      </c>
      <c r="CP2670">
        <v>-5.6</v>
      </c>
      <c r="CQ2670">
        <v>55</v>
      </c>
      <c r="CR2670">
        <v>0</v>
      </c>
      <c r="CS2670">
        <v>0</v>
      </c>
      <c r="CT2670">
        <v>11.5</v>
      </c>
      <c r="CU2670">
        <v>50</v>
      </c>
      <c r="CV2670">
        <v>0.23</v>
      </c>
      <c r="CW2670">
        <v>38</v>
      </c>
      <c r="CX2670" t="s">
        <v>309</v>
      </c>
    </row>
    <row r="2671" spans="1:102" x14ac:dyDescent="0.3">
      <c r="A2671" t="str">
        <f>HYPERLINK("https://webapp.icbf.com/v2/app/bull-search/view/714770906","S1240")</f>
        <v>S1240</v>
      </c>
      <c r="B2671" t="s">
        <v>5500</v>
      </c>
      <c r="C2671" t="s">
        <v>5501</v>
      </c>
      <c r="D2671" s="1">
        <v>39030</v>
      </c>
      <c r="E2671" t="s">
        <v>92</v>
      </c>
      <c r="F2671">
        <v>100</v>
      </c>
      <c r="G2671" t="s">
        <v>93</v>
      </c>
      <c r="H2671">
        <v>23.28</v>
      </c>
      <c r="I2671">
        <v>89</v>
      </c>
      <c r="J2671">
        <v>47.47</v>
      </c>
      <c r="K2671">
        <v>97</v>
      </c>
      <c r="L2671">
        <v>-48.78</v>
      </c>
      <c r="M2671">
        <v>87</v>
      </c>
      <c r="N2671">
        <v>15.44</v>
      </c>
      <c r="O2671">
        <v>85</v>
      </c>
      <c r="P2671">
        <v>-11.66</v>
      </c>
      <c r="Q2671">
        <v>91</v>
      </c>
      <c r="R2671">
        <v>11.63</v>
      </c>
      <c r="S2671">
        <v>82</v>
      </c>
      <c r="T2671">
        <v>-0.68</v>
      </c>
      <c r="U2671">
        <v>82</v>
      </c>
      <c r="V2671">
        <v>9.86</v>
      </c>
      <c r="W2671">
        <v>73</v>
      </c>
      <c r="X2671" t="s">
        <v>102</v>
      </c>
      <c r="Y2671" t="s">
        <v>342</v>
      </c>
      <c r="Z2671" t="s">
        <v>96</v>
      </c>
      <c r="AA2671" t="s">
        <v>309</v>
      </c>
      <c r="AB2671" t="s">
        <v>5502</v>
      </c>
      <c r="AC2671">
        <v>109</v>
      </c>
      <c r="AD2671">
        <v>49</v>
      </c>
      <c r="AE2671">
        <v>97</v>
      </c>
      <c r="AF2671">
        <v>167.98</v>
      </c>
      <c r="AG2671">
        <v>13.27</v>
      </c>
      <c r="AH2671">
        <v>5.95</v>
      </c>
      <c r="AI2671">
        <v>0.11</v>
      </c>
      <c r="AJ2671">
        <v>0</v>
      </c>
      <c r="AK2671">
        <v>87</v>
      </c>
      <c r="AL2671">
        <v>117</v>
      </c>
      <c r="AM2671">
        <v>49</v>
      </c>
      <c r="AN2671">
        <v>3.44</v>
      </c>
      <c r="AO2671">
        <v>-0.44</v>
      </c>
      <c r="AP2671">
        <v>172</v>
      </c>
      <c r="AQ2671">
        <v>3</v>
      </c>
      <c r="AR2671">
        <v>7.57</v>
      </c>
      <c r="AS2671">
        <v>86</v>
      </c>
      <c r="AT2671">
        <v>3.43</v>
      </c>
      <c r="AU2671">
        <v>85</v>
      </c>
      <c r="AV2671">
        <v>-1.63</v>
      </c>
      <c r="AW2671">
        <v>94</v>
      </c>
      <c r="AX2671">
        <v>-0.46</v>
      </c>
      <c r="AY2671">
        <v>82</v>
      </c>
      <c r="AZ2671">
        <v>5.09</v>
      </c>
      <c r="BA2671">
        <v>68</v>
      </c>
      <c r="BB2671">
        <v>4.57</v>
      </c>
      <c r="BC2671">
        <v>67</v>
      </c>
      <c r="BD2671">
        <v>-0.05</v>
      </c>
      <c r="BE2671">
        <v>-0.06</v>
      </c>
      <c r="BF2671">
        <v>-7.0000000000000007E-2</v>
      </c>
      <c r="BG2671">
        <v>94</v>
      </c>
      <c r="BH2671">
        <v>-0.02</v>
      </c>
      <c r="BI2671">
        <v>-34.130000000000003</v>
      </c>
      <c r="BJ2671">
        <v>29</v>
      </c>
      <c r="BK2671">
        <v>18</v>
      </c>
      <c r="BL2671">
        <v>1.78</v>
      </c>
      <c r="BM2671">
        <v>-3.22</v>
      </c>
      <c r="BN2671">
        <v>0.22</v>
      </c>
      <c r="BO2671">
        <v>2.06</v>
      </c>
      <c r="BP2671">
        <v>-0.73</v>
      </c>
      <c r="BQ2671">
        <v>-0.5</v>
      </c>
      <c r="BR2671">
        <v>1.27</v>
      </c>
      <c r="BS2671">
        <v>2.02</v>
      </c>
      <c r="BT2671">
        <v>0.46</v>
      </c>
      <c r="BU2671">
        <v>2.4300000000000002</v>
      </c>
      <c r="BV2671">
        <v>2.58</v>
      </c>
      <c r="BW2671">
        <v>2.02</v>
      </c>
      <c r="BX2671">
        <v>2.5299999999999998</v>
      </c>
      <c r="BY2671">
        <v>2.06</v>
      </c>
      <c r="BZ2671">
        <v>-1.04</v>
      </c>
      <c r="CA2671">
        <v>2.39</v>
      </c>
      <c r="CB2671">
        <v>2.11</v>
      </c>
      <c r="CC2671">
        <v>1.29</v>
      </c>
      <c r="CD2671">
        <v>-2.71</v>
      </c>
      <c r="CE2671">
        <v>1.47</v>
      </c>
      <c r="CF2671">
        <v>0.55000000000000004</v>
      </c>
      <c r="CG2671">
        <v>0</v>
      </c>
      <c r="CH2671">
        <v>1.58</v>
      </c>
      <c r="CI2671">
        <v>0</v>
      </c>
      <c r="CJ2671">
        <v>-3.2</v>
      </c>
      <c r="CK2671">
        <v>92</v>
      </c>
      <c r="CL2671">
        <v>-1.34</v>
      </c>
      <c r="CM2671">
        <v>90</v>
      </c>
      <c r="CN2671">
        <v>-0.56000000000000005</v>
      </c>
      <c r="CO2671">
        <v>89</v>
      </c>
      <c r="CP2671">
        <v>0.2</v>
      </c>
      <c r="CQ2671">
        <v>85</v>
      </c>
      <c r="CR2671">
        <v>0</v>
      </c>
      <c r="CS2671">
        <v>0</v>
      </c>
      <c r="CT2671">
        <v>14.7</v>
      </c>
      <c r="CU2671">
        <v>82</v>
      </c>
      <c r="CV2671">
        <v>0.2</v>
      </c>
      <c r="CW2671">
        <v>44</v>
      </c>
      <c r="CX2671" t="s">
        <v>277</v>
      </c>
    </row>
    <row r="2672" spans="1:102" x14ac:dyDescent="0.3">
      <c r="A2672" t="str">
        <f>HYPERLINK("https://webapp.icbf.com/v2/app/bull-search/view/77856148","LCH")</f>
        <v>LCH</v>
      </c>
      <c r="B2672" t="s">
        <v>1461</v>
      </c>
      <c r="C2672" t="s">
        <v>1462</v>
      </c>
      <c r="D2672" s="1">
        <v>34500</v>
      </c>
      <c r="E2672" t="s">
        <v>92</v>
      </c>
      <c r="F2672">
        <v>100</v>
      </c>
      <c r="G2672" t="s">
        <v>93</v>
      </c>
      <c r="H2672">
        <v>23.02</v>
      </c>
      <c r="I2672">
        <v>78</v>
      </c>
      <c r="J2672">
        <v>3.79</v>
      </c>
      <c r="K2672">
        <v>95</v>
      </c>
      <c r="L2672">
        <v>-23.78</v>
      </c>
      <c r="M2672">
        <v>67</v>
      </c>
      <c r="N2672">
        <v>32.770000000000003</v>
      </c>
      <c r="O2672">
        <v>69</v>
      </c>
      <c r="P2672">
        <v>-3.24</v>
      </c>
      <c r="Q2672">
        <v>84</v>
      </c>
      <c r="R2672">
        <v>-12.64</v>
      </c>
      <c r="S2672">
        <v>69</v>
      </c>
      <c r="T2672">
        <v>26.18</v>
      </c>
      <c r="U2672">
        <v>89</v>
      </c>
      <c r="V2672">
        <v>-0.06</v>
      </c>
      <c r="W2672">
        <v>34</v>
      </c>
      <c r="X2672" t="s">
        <v>94</v>
      </c>
      <c r="Y2672" t="s">
        <v>95</v>
      </c>
      <c r="Z2672" t="s">
        <v>96</v>
      </c>
      <c r="AA2672" t="s">
        <v>1463</v>
      </c>
      <c r="AB2672" t="s">
        <v>1464</v>
      </c>
      <c r="AC2672">
        <v>91</v>
      </c>
      <c r="AD2672">
        <v>70</v>
      </c>
      <c r="AE2672">
        <v>95</v>
      </c>
      <c r="AF2672">
        <v>-115.03</v>
      </c>
      <c r="AG2672">
        <v>0.15</v>
      </c>
      <c r="AH2672">
        <v>-1.17</v>
      </c>
      <c r="AI2672">
        <v>0.08</v>
      </c>
      <c r="AJ2672">
        <v>0.05</v>
      </c>
      <c r="AK2672">
        <v>67</v>
      </c>
      <c r="AL2672">
        <v>92</v>
      </c>
      <c r="AM2672">
        <v>68</v>
      </c>
      <c r="AN2672">
        <v>1.81</v>
      </c>
      <c r="AO2672">
        <v>-0.08</v>
      </c>
      <c r="AP2672">
        <v>14</v>
      </c>
      <c r="AQ2672">
        <v>0</v>
      </c>
      <c r="AR2672">
        <v>5.88</v>
      </c>
      <c r="AS2672">
        <v>40</v>
      </c>
      <c r="AT2672">
        <v>2.31</v>
      </c>
      <c r="AU2672">
        <v>64</v>
      </c>
      <c r="AV2672">
        <v>-2.5299999999999998</v>
      </c>
      <c r="AW2672">
        <v>81</v>
      </c>
      <c r="AX2672">
        <v>-0.55000000000000004</v>
      </c>
      <c r="AY2672">
        <v>79</v>
      </c>
      <c r="AZ2672">
        <v>5.76</v>
      </c>
      <c r="BA2672">
        <v>38</v>
      </c>
      <c r="BB2672">
        <v>5.0599999999999996</v>
      </c>
      <c r="BC2672">
        <v>59</v>
      </c>
      <c r="BD2672">
        <v>7.0000000000000007E-2</v>
      </c>
      <c r="BE2672">
        <v>0.06</v>
      </c>
      <c r="BF2672">
        <v>0.06</v>
      </c>
      <c r="BG2672">
        <v>86</v>
      </c>
      <c r="BH2672">
        <v>0.02</v>
      </c>
      <c r="BI2672">
        <v>2.5</v>
      </c>
      <c r="BJ2672">
        <v>9</v>
      </c>
      <c r="BK2672">
        <v>8</v>
      </c>
      <c r="BL2672">
        <v>-0.75</v>
      </c>
      <c r="BM2672">
        <v>0.35</v>
      </c>
      <c r="BN2672">
        <v>-0.47</v>
      </c>
      <c r="BO2672">
        <v>-0.71</v>
      </c>
      <c r="BP2672">
        <v>-1.72</v>
      </c>
      <c r="BQ2672">
        <v>-1.18</v>
      </c>
      <c r="BR2672">
        <v>-1.25</v>
      </c>
      <c r="BS2672">
        <v>0.27</v>
      </c>
      <c r="BT2672">
        <v>1.67</v>
      </c>
      <c r="BU2672">
        <v>-0.95</v>
      </c>
      <c r="BV2672">
        <v>-0.56000000000000005</v>
      </c>
      <c r="BW2672">
        <v>-0.99</v>
      </c>
      <c r="BX2672">
        <v>-1.05</v>
      </c>
      <c r="BY2672">
        <v>-0.53</v>
      </c>
      <c r="BZ2672">
        <v>2.0099999999999998</v>
      </c>
      <c r="CA2672">
        <v>-0.82</v>
      </c>
      <c r="CB2672">
        <v>-1.04</v>
      </c>
      <c r="CC2672">
        <v>-0.12</v>
      </c>
      <c r="CD2672">
        <v>0.87</v>
      </c>
      <c r="CE2672">
        <v>-0.26</v>
      </c>
      <c r="CF2672">
        <v>-0.45</v>
      </c>
      <c r="CG2672">
        <v>0</v>
      </c>
      <c r="CH2672">
        <v>-0.31</v>
      </c>
      <c r="CI2672">
        <v>0</v>
      </c>
      <c r="CJ2672">
        <v>-2.2999999999999998</v>
      </c>
      <c r="CK2672">
        <v>85</v>
      </c>
      <c r="CL2672">
        <v>-0.43</v>
      </c>
      <c r="CM2672">
        <v>83</v>
      </c>
      <c r="CN2672">
        <v>-0.6</v>
      </c>
      <c r="CO2672">
        <v>80</v>
      </c>
      <c r="CP2672">
        <v>-17.7</v>
      </c>
      <c r="CQ2672">
        <v>87</v>
      </c>
      <c r="CR2672">
        <v>0</v>
      </c>
      <c r="CS2672">
        <v>0</v>
      </c>
      <c r="CT2672">
        <v>-21.6</v>
      </c>
      <c r="CU2672">
        <v>89</v>
      </c>
      <c r="CV2672">
        <v>7.0000000000000007E-2</v>
      </c>
      <c r="CW2672">
        <v>24</v>
      </c>
      <c r="CX2672" t="s">
        <v>638</v>
      </c>
    </row>
    <row r="2673" spans="1:102" x14ac:dyDescent="0.3">
      <c r="A2673" t="str">
        <f>HYPERLINK("https://webapp.icbf.com/v2/app/bull-search/view/140001069","JRX")</f>
        <v>JRX</v>
      </c>
      <c r="B2673" t="s">
        <v>11534</v>
      </c>
      <c r="C2673" t="s">
        <v>11535</v>
      </c>
      <c r="D2673" s="1">
        <v>34379</v>
      </c>
      <c r="E2673" t="s">
        <v>140</v>
      </c>
      <c r="F2673">
        <v>0</v>
      </c>
      <c r="G2673" t="s">
        <v>93</v>
      </c>
      <c r="H2673">
        <v>23.02</v>
      </c>
      <c r="I2673">
        <v>94</v>
      </c>
      <c r="J2673">
        <v>-7.97</v>
      </c>
      <c r="K2673">
        <v>98</v>
      </c>
      <c r="L2673">
        <v>42.05</v>
      </c>
      <c r="M2673">
        <v>89</v>
      </c>
      <c r="N2673">
        <v>-19.260000000000002</v>
      </c>
      <c r="O2673">
        <v>93</v>
      </c>
      <c r="P2673">
        <v>21.65</v>
      </c>
      <c r="Q2673">
        <v>98</v>
      </c>
      <c r="R2673">
        <v>-5.32</v>
      </c>
      <c r="S2673">
        <v>90</v>
      </c>
      <c r="T2673">
        <v>3.91</v>
      </c>
      <c r="U2673">
        <v>94</v>
      </c>
      <c r="V2673">
        <v>-12.04</v>
      </c>
      <c r="W2673">
        <v>90</v>
      </c>
      <c r="X2673" t="s">
        <v>102</v>
      </c>
      <c r="Y2673" t="s">
        <v>95</v>
      </c>
      <c r="Z2673">
        <v>0</v>
      </c>
      <c r="AA2673" t="s">
        <v>224</v>
      </c>
      <c r="AB2673" t="s">
        <v>10954</v>
      </c>
      <c r="AC2673">
        <v>266</v>
      </c>
      <c r="AD2673">
        <v>92</v>
      </c>
      <c r="AE2673">
        <v>98</v>
      </c>
      <c r="AF2673">
        <v>-23.88</v>
      </c>
      <c r="AG2673">
        <v>-4.47</v>
      </c>
      <c r="AH2673">
        <v>-0.14000000000000001</v>
      </c>
      <c r="AI2673">
        <v>-0.06</v>
      </c>
      <c r="AJ2673">
        <v>0.01</v>
      </c>
      <c r="AK2673">
        <v>89</v>
      </c>
      <c r="AL2673">
        <v>393</v>
      </c>
      <c r="AM2673">
        <v>133</v>
      </c>
      <c r="AN2673">
        <v>-2.54</v>
      </c>
      <c r="AO2673">
        <v>0.81</v>
      </c>
      <c r="AP2673">
        <v>354</v>
      </c>
      <c r="AQ2673">
        <v>9</v>
      </c>
      <c r="AR2673">
        <v>9.1</v>
      </c>
      <c r="AS2673">
        <v>85</v>
      </c>
      <c r="AT2673">
        <v>4.1100000000000003</v>
      </c>
      <c r="AU2673">
        <v>94</v>
      </c>
      <c r="AV2673">
        <v>0.35</v>
      </c>
      <c r="AW2673">
        <v>97</v>
      </c>
      <c r="AX2673">
        <v>-0.1</v>
      </c>
      <c r="AY2673">
        <v>94</v>
      </c>
      <c r="AZ2673">
        <v>7.99</v>
      </c>
      <c r="BA2673">
        <v>81</v>
      </c>
      <c r="BB2673">
        <v>5.08</v>
      </c>
      <c r="BC2673">
        <v>88</v>
      </c>
      <c r="BD2673">
        <v>0.05</v>
      </c>
      <c r="BE2673">
        <v>0.01</v>
      </c>
      <c r="BF2673">
        <v>0.02</v>
      </c>
      <c r="BG2673">
        <v>95</v>
      </c>
      <c r="BH2673">
        <v>-0.18</v>
      </c>
      <c r="BI2673">
        <v>18.010000000000002</v>
      </c>
      <c r="BJ2673">
        <v>1</v>
      </c>
      <c r="BK2673">
        <v>1</v>
      </c>
      <c r="BL2673">
        <v>-0.77</v>
      </c>
      <c r="BM2673">
        <v>4.57</v>
      </c>
      <c r="BN2673">
        <v>-0.96</v>
      </c>
      <c r="BO2673">
        <v>-3.16</v>
      </c>
      <c r="BP2673">
        <v>4.92</v>
      </c>
      <c r="BQ2673">
        <v>-1.22</v>
      </c>
      <c r="BR2673">
        <v>-2.38</v>
      </c>
      <c r="BS2673">
        <v>0</v>
      </c>
      <c r="BT2673">
        <v>2.6</v>
      </c>
      <c r="BU2673">
        <v>-3.15</v>
      </c>
      <c r="BV2673">
        <v>-3.46</v>
      </c>
      <c r="BW2673">
        <v>-2.61</v>
      </c>
      <c r="BX2673">
        <v>-2.79</v>
      </c>
      <c r="BY2673">
        <v>-1.63</v>
      </c>
      <c r="BZ2673">
        <v>0.93</v>
      </c>
      <c r="CA2673">
        <v>-2.17</v>
      </c>
      <c r="CB2673">
        <v>-2.95</v>
      </c>
      <c r="CC2673">
        <v>0.05</v>
      </c>
      <c r="CD2673">
        <v>4.3499999999999996</v>
      </c>
      <c r="CE2673">
        <v>-2.91</v>
      </c>
      <c r="CF2673">
        <v>-0.94</v>
      </c>
      <c r="CG2673">
        <v>0</v>
      </c>
      <c r="CH2673">
        <v>-2.58</v>
      </c>
      <c r="CI2673">
        <v>0</v>
      </c>
      <c r="CJ2673">
        <v>9.4</v>
      </c>
      <c r="CK2673">
        <v>99</v>
      </c>
      <c r="CL2673">
        <v>0.56000000000000005</v>
      </c>
      <c r="CM2673">
        <v>98</v>
      </c>
      <c r="CN2673">
        <v>-0.19</v>
      </c>
      <c r="CO2673">
        <v>98</v>
      </c>
      <c r="CP2673">
        <v>4.5</v>
      </c>
      <c r="CQ2673">
        <v>97</v>
      </c>
      <c r="CR2673">
        <v>0</v>
      </c>
      <c r="CS2673">
        <v>0</v>
      </c>
      <c r="CT2673">
        <v>8.5</v>
      </c>
      <c r="CU2673">
        <v>94</v>
      </c>
      <c r="CV2673">
        <v>0.04</v>
      </c>
      <c r="CW2673">
        <v>46</v>
      </c>
      <c r="CX2673" t="s">
        <v>1179</v>
      </c>
    </row>
    <row r="2674" spans="1:102" x14ac:dyDescent="0.3">
      <c r="A2674" t="str">
        <f>HYPERLINK("https://webapp.icbf.com/v2/app/bull-search/view/108899392","IIA")</f>
        <v>IIA</v>
      </c>
      <c r="B2674" t="s">
        <v>10776</v>
      </c>
      <c r="C2674" t="s">
        <v>10777</v>
      </c>
      <c r="D2674" s="1">
        <v>36876</v>
      </c>
      <c r="E2674" t="s">
        <v>140</v>
      </c>
      <c r="F2674">
        <v>0</v>
      </c>
      <c r="G2674" t="s">
        <v>93</v>
      </c>
      <c r="H2674">
        <v>22.94</v>
      </c>
      <c r="I2674">
        <v>97</v>
      </c>
      <c r="J2674">
        <v>-10.29</v>
      </c>
      <c r="K2674">
        <v>99</v>
      </c>
      <c r="L2674">
        <v>64.459999999999994</v>
      </c>
      <c r="M2674">
        <v>93</v>
      </c>
      <c r="N2674">
        <v>-53.77</v>
      </c>
      <c r="O2674">
        <v>97</v>
      </c>
      <c r="P2674">
        <v>5.78</v>
      </c>
      <c r="Q2674">
        <v>99</v>
      </c>
      <c r="R2674">
        <v>4.6500000000000004</v>
      </c>
      <c r="S2674">
        <v>95</v>
      </c>
      <c r="T2674">
        <v>23.74</v>
      </c>
      <c r="U2674">
        <v>99</v>
      </c>
      <c r="V2674">
        <v>-11.63</v>
      </c>
      <c r="W2674">
        <v>96</v>
      </c>
      <c r="X2674" t="s">
        <v>94</v>
      </c>
      <c r="Y2674" t="s">
        <v>95</v>
      </c>
      <c r="Z2674">
        <v>0</v>
      </c>
      <c r="AA2674" t="s">
        <v>247</v>
      </c>
      <c r="AB2674" t="s">
        <v>10778</v>
      </c>
      <c r="AC2674">
        <v>687</v>
      </c>
      <c r="AD2674">
        <v>315</v>
      </c>
      <c r="AE2674">
        <v>99</v>
      </c>
      <c r="AF2674">
        <v>58.58</v>
      </c>
      <c r="AG2674">
        <v>-6.85</v>
      </c>
      <c r="AH2674">
        <v>1.57</v>
      </c>
      <c r="AI2674">
        <v>-0.16</v>
      </c>
      <c r="AJ2674">
        <v>-0.01</v>
      </c>
      <c r="AK2674">
        <v>93</v>
      </c>
      <c r="AL2674">
        <v>972</v>
      </c>
      <c r="AM2674">
        <v>448</v>
      </c>
      <c r="AN2674">
        <v>-2.81</v>
      </c>
      <c r="AO2674">
        <v>2.34</v>
      </c>
      <c r="AP2674">
        <v>1333</v>
      </c>
      <c r="AQ2674">
        <v>35</v>
      </c>
      <c r="AR2674">
        <v>10.85</v>
      </c>
      <c r="AS2674">
        <v>91</v>
      </c>
      <c r="AT2674">
        <v>5.7</v>
      </c>
      <c r="AU2674">
        <v>98</v>
      </c>
      <c r="AV2674">
        <v>2.2200000000000002</v>
      </c>
      <c r="AW2674">
        <v>99</v>
      </c>
      <c r="AX2674">
        <v>-0.14000000000000001</v>
      </c>
      <c r="AY2674">
        <v>98</v>
      </c>
      <c r="AZ2674">
        <v>5.81</v>
      </c>
      <c r="BA2674">
        <v>91</v>
      </c>
      <c r="BB2674">
        <v>4.62</v>
      </c>
      <c r="BC2674">
        <v>94</v>
      </c>
      <c r="BD2674">
        <v>0</v>
      </c>
      <c r="BE2674">
        <v>-0.03</v>
      </c>
      <c r="BF2674">
        <v>-0.05</v>
      </c>
      <c r="BG2674">
        <v>98</v>
      </c>
      <c r="BH2674">
        <v>-0.36</v>
      </c>
      <c r="BI2674">
        <v>-4.13</v>
      </c>
      <c r="BJ2674">
        <v>5</v>
      </c>
      <c r="BK2674">
        <v>2</v>
      </c>
      <c r="BL2674">
        <v>-0.76</v>
      </c>
      <c r="BM2674">
        <v>3.34</v>
      </c>
      <c r="BN2674">
        <v>-2.21</v>
      </c>
      <c r="BO2674">
        <v>-3.25</v>
      </c>
      <c r="BP2674">
        <v>5.14</v>
      </c>
      <c r="BQ2674">
        <v>-1.21</v>
      </c>
      <c r="BR2674">
        <v>-2.83</v>
      </c>
      <c r="BS2674">
        <v>0.17</v>
      </c>
      <c r="BT2674">
        <v>2.79</v>
      </c>
      <c r="BU2674">
        <v>-4.38</v>
      </c>
      <c r="BV2674">
        <v>-5.0599999999999996</v>
      </c>
      <c r="BW2674">
        <v>-4.07</v>
      </c>
      <c r="BX2674">
        <v>-3.28</v>
      </c>
      <c r="BY2674">
        <v>-2.67</v>
      </c>
      <c r="BZ2674">
        <v>3.07</v>
      </c>
      <c r="CA2674">
        <v>-2.68</v>
      </c>
      <c r="CB2674">
        <v>-3.68</v>
      </c>
      <c r="CC2674">
        <v>0.06</v>
      </c>
      <c r="CD2674">
        <v>3.9</v>
      </c>
      <c r="CE2674">
        <v>-3.01</v>
      </c>
      <c r="CF2674">
        <v>-1.58</v>
      </c>
      <c r="CG2674">
        <v>0</v>
      </c>
      <c r="CH2674">
        <v>-3.22</v>
      </c>
      <c r="CI2674">
        <v>0</v>
      </c>
      <c r="CJ2674">
        <v>3.7</v>
      </c>
      <c r="CK2674">
        <v>99</v>
      </c>
      <c r="CL2674">
        <v>0.31</v>
      </c>
      <c r="CM2674">
        <v>99</v>
      </c>
      <c r="CN2674">
        <v>0.15</v>
      </c>
      <c r="CO2674">
        <v>99</v>
      </c>
      <c r="CP2674">
        <v>-5.0999999999999996</v>
      </c>
      <c r="CQ2674">
        <v>99</v>
      </c>
      <c r="CR2674">
        <v>0</v>
      </c>
      <c r="CS2674">
        <v>0</v>
      </c>
      <c r="CT2674">
        <v>-18.3</v>
      </c>
      <c r="CU2674">
        <v>99</v>
      </c>
      <c r="CV2674">
        <v>0.12</v>
      </c>
      <c r="CW2674">
        <v>47</v>
      </c>
      <c r="CX2674" t="s">
        <v>6581</v>
      </c>
    </row>
    <row r="2675" spans="1:102" x14ac:dyDescent="0.3">
      <c r="A2675" t="str">
        <f>HYPERLINK("https://webapp.icbf.com/v2/app/bull-search/view/748124142","JGZ")</f>
        <v>JGZ</v>
      </c>
      <c r="B2675" t="s">
        <v>7575</v>
      </c>
      <c r="C2675" t="s">
        <v>7576</v>
      </c>
      <c r="D2675" s="1">
        <v>37840</v>
      </c>
      <c r="E2675" t="s">
        <v>895</v>
      </c>
      <c r="F2675">
        <v>0</v>
      </c>
      <c r="G2675" t="s">
        <v>93</v>
      </c>
      <c r="H2675">
        <v>22.88</v>
      </c>
      <c r="I2675">
        <v>56</v>
      </c>
      <c r="J2675">
        <v>5.43</v>
      </c>
      <c r="K2675">
        <v>82</v>
      </c>
      <c r="L2675">
        <v>15.15</v>
      </c>
      <c r="M2675">
        <v>34</v>
      </c>
      <c r="N2675">
        <v>-16.559999999999999</v>
      </c>
      <c r="O2675">
        <v>56</v>
      </c>
      <c r="P2675">
        <v>0.37</v>
      </c>
      <c r="Q2675">
        <v>67</v>
      </c>
      <c r="R2675">
        <v>8.81</v>
      </c>
      <c r="S2675">
        <v>38</v>
      </c>
      <c r="T2675">
        <v>17.670000000000002</v>
      </c>
      <c r="U2675">
        <v>49</v>
      </c>
      <c r="V2675">
        <v>-7.99</v>
      </c>
      <c r="W2675">
        <v>30</v>
      </c>
      <c r="X2675" t="s">
        <v>234</v>
      </c>
      <c r="Y2675" t="s">
        <v>1756</v>
      </c>
      <c r="Z2675">
        <v>0</v>
      </c>
      <c r="AA2675" t="s">
        <v>7577</v>
      </c>
      <c r="AB2675" t="s">
        <v>7578</v>
      </c>
      <c r="AC2675">
        <v>20</v>
      </c>
      <c r="AD2675">
        <v>10</v>
      </c>
      <c r="AE2675">
        <v>82</v>
      </c>
      <c r="AF2675">
        <v>-95.22</v>
      </c>
      <c r="AG2675">
        <v>-0.18</v>
      </c>
      <c r="AH2675">
        <v>-0.47</v>
      </c>
      <c r="AI2675">
        <v>0.06</v>
      </c>
      <c r="AJ2675">
        <v>0.05</v>
      </c>
      <c r="AK2675">
        <v>34</v>
      </c>
      <c r="AL2675">
        <v>24</v>
      </c>
      <c r="AM2675">
        <v>11</v>
      </c>
      <c r="AN2675">
        <v>7.0000000000000007E-2</v>
      </c>
      <c r="AO2675">
        <v>1.29</v>
      </c>
      <c r="AP2675">
        <v>50</v>
      </c>
      <c r="AQ2675">
        <v>3</v>
      </c>
      <c r="AR2675">
        <v>8.76</v>
      </c>
      <c r="AS2675">
        <v>25</v>
      </c>
      <c r="AT2675">
        <v>3.86</v>
      </c>
      <c r="AU2675">
        <v>59</v>
      </c>
      <c r="AV2675">
        <v>1.46</v>
      </c>
      <c r="AW2675">
        <v>73</v>
      </c>
      <c r="AX2675">
        <v>0.44</v>
      </c>
      <c r="AY2675">
        <v>51</v>
      </c>
      <c r="AZ2675">
        <v>5.0599999999999996</v>
      </c>
      <c r="BA2675">
        <v>27</v>
      </c>
      <c r="BB2675">
        <v>3.99</v>
      </c>
      <c r="BC2675">
        <v>27</v>
      </c>
      <c r="BD2675">
        <v>-0.01</v>
      </c>
      <c r="BE2675">
        <v>-0.04</v>
      </c>
      <c r="BF2675">
        <v>-0.11</v>
      </c>
      <c r="BG2675">
        <v>49</v>
      </c>
      <c r="BH2675">
        <v>-0.22</v>
      </c>
      <c r="BI2675">
        <v>0.34</v>
      </c>
      <c r="BJ2675">
        <v>0</v>
      </c>
      <c r="BK2675">
        <v>0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0.5</v>
      </c>
      <c r="CK2675">
        <v>70</v>
      </c>
      <c r="CL2675">
        <v>-0.32</v>
      </c>
      <c r="CM2675">
        <v>65</v>
      </c>
      <c r="CN2675">
        <v>-0.27</v>
      </c>
      <c r="CO2675">
        <v>61</v>
      </c>
      <c r="CP2675">
        <v>-1.2</v>
      </c>
      <c r="CQ2675">
        <v>58</v>
      </c>
      <c r="CR2675">
        <v>0</v>
      </c>
      <c r="CS2675">
        <v>0</v>
      </c>
      <c r="CT2675">
        <v>-10.1</v>
      </c>
      <c r="CU2675">
        <v>49</v>
      </c>
      <c r="CV2675">
        <v>0.01</v>
      </c>
      <c r="CW2675">
        <v>19</v>
      </c>
      <c r="CX2675" t="s">
        <v>7579</v>
      </c>
    </row>
    <row r="2676" spans="1:102" x14ac:dyDescent="0.3">
      <c r="A2676" t="str">
        <f>HYPERLINK("https://webapp.icbf.com/v2/app/bull-search/view/586069736","SXV")</f>
        <v>SXV</v>
      </c>
      <c r="B2676" t="s">
        <v>6979</v>
      </c>
      <c r="C2676" t="s">
        <v>6980</v>
      </c>
      <c r="D2676" s="1">
        <v>38410</v>
      </c>
      <c r="E2676" t="s">
        <v>92</v>
      </c>
      <c r="F2676">
        <v>100</v>
      </c>
      <c r="G2676" t="s">
        <v>93</v>
      </c>
      <c r="H2676">
        <v>22.82</v>
      </c>
      <c r="I2676">
        <v>93</v>
      </c>
      <c r="J2676">
        <v>65.84</v>
      </c>
      <c r="K2676">
        <v>98</v>
      </c>
      <c r="L2676">
        <v>-53.89</v>
      </c>
      <c r="M2676">
        <v>93</v>
      </c>
      <c r="N2676">
        <v>31.4</v>
      </c>
      <c r="O2676">
        <v>90</v>
      </c>
      <c r="P2676">
        <v>-5.74</v>
      </c>
      <c r="Q2676">
        <v>93</v>
      </c>
      <c r="R2676">
        <v>-0.97</v>
      </c>
      <c r="S2676">
        <v>85</v>
      </c>
      <c r="T2676">
        <v>-14.07</v>
      </c>
      <c r="U2676">
        <v>87</v>
      </c>
      <c r="V2676">
        <v>0.25</v>
      </c>
      <c r="W2676">
        <v>76</v>
      </c>
      <c r="X2676" t="s">
        <v>251</v>
      </c>
      <c r="Y2676" t="s">
        <v>282</v>
      </c>
      <c r="Z2676" t="s">
        <v>96</v>
      </c>
      <c r="AA2676" t="s">
        <v>316</v>
      </c>
      <c r="AB2676" t="s">
        <v>6981</v>
      </c>
      <c r="AC2676">
        <v>143</v>
      </c>
      <c r="AD2676">
        <v>67</v>
      </c>
      <c r="AE2676">
        <v>98</v>
      </c>
      <c r="AF2676">
        <v>766.46</v>
      </c>
      <c r="AG2676">
        <v>10.029999999999999</v>
      </c>
      <c r="AH2676">
        <v>19.38</v>
      </c>
      <c r="AI2676">
        <v>-0.31</v>
      </c>
      <c r="AJ2676">
        <v>-0.1</v>
      </c>
      <c r="AK2676">
        <v>93</v>
      </c>
      <c r="AL2676">
        <v>129</v>
      </c>
      <c r="AM2676">
        <v>59</v>
      </c>
      <c r="AN2676">
        <v>2.74</v>
      </c>
      <c r="AO2676">
        <v>-1.56</v>
      </c>
      <c r="AP2676">
        <v>224</v>
      </c>
      <c r="AQ2676">
        <v>2</v>
      </c>
      <c r="AR2676">
        <v>6.62</v>
      </c>
      <c r="AS2676">
        <v>87</v>
      </c>
      <c r="AT2676">
        <v>2.42</v>
      </c>
      <c r="AU2676">
        <v>97</v>
      </c>
      <c r="AV2676">
        <v>-3.38</v>
      </c>
      <c r="AW2676">
        <v>94</v>
      </c>
      <c r="AX2676">
        <v>-0.26</v>
      </c>
      <c r="AY2676">
        <v>87</v>
      </c>
      <c r="AZ2676">
        <v>6.5</v>
      </c>
      <c r="BA2676">
        <v>75</v>
      </c>
      <c r="BB2676">
        <v>5.78</v>
      </c>
      <c r="BC2676">
        <v>71</v>
      </c>
      <c r="BD2676">
        <v>-0.04</v>
      </c>
      <c r="BE2676">
        <v>0.01</v>
      </c>
      <c r="BF2676">
        <v>7.0000000000000007E-2</v>
      </c>
      <c r="BG2676">
        <v>96</v>
      </c>
      <c r="BH2676">
        <v>-0.12</v>
      </c>
      <c r="BI2676">
        <v>-14.68</v>
      </c>
      <c r="BJ2676">
        <v>79</v>
      </c>
      <c r="BK2676">
        <v>43</v>
      </c>
      <c r="BL2676">
        <v>1.5</v>
      </c>
      <c r="BM2676">
        <v>1.8</v>
      </c>
      <c r="BN2676">
        <v>1.54</v>
      </c>
      <c r="BO2676">
        <v>0.64</v>
      </c>
      <c r="BP2676">
        <v>-2.89</v>
      </c>
      <c r="BQ2676">
        <v>3.85</v>
      </c>
      <c r="BR2676">
        <v>-1.05</v>
      </c>
      <c r="BS2676">
        <v>-1</v>
      </c>
      <c r="BT2676">
        <v>1.07</v>
      </c>
      <c r="BU2676">
        <v>2.63</v>
      </c>
      <c r="BV2676">
        <v>2.0499999999999998</v>
      </c>
      <c r="BW2676">
        <v>1.72</v>
      </c>
      <c r="BX2676">
        <v>2.17</v>
      </c>
      <c r="BY2676">
        <v>1.18</v>
      </c>
      <c r="BZ2676">
        <v>-0.37</v>
      </c>
      <c r="CA2676">
        <v>1.33</v>
      </c>
      <c r="CB2676">
        <v>1.77</v>
      </c>
      <c r="CC2676">
        <v>-7.0000000000000007E-2</v>
      </c>
      <c r="CD2676">
        <v>0.08</v>
      </c>
      <c r="CE2676">
        <v>0.52</v>
      </c>
      <c r="CF2676">
        <v>1.58</v>
      </c>
      <c r="CG2676">
        <v>0</v>
      </c>
      <c r="CH2676">
        <v>0.98</v>
      </c>
      <c r="CI2676">
        <v>0</v>
      </c>
      <c r="CJ2676">
        <v>1.9</v>
      </c>
      <c r="CK2676">
        <v>94</v>
      </c>
      <c r="CL2676">
        <v>-1.1100000000000001</v>
      </c>
      <c r="CM2676">
        <v>93</v>
      </c>
      <c r="CN2676">
        <v>-0.15</v>
      </c>
      <c r="CO2676">
        <v>92</v>
      </c>
      <c r="CP2676">
        <v>8.9</v>
      </c>
      <c r="CQ2676">
        <v>91</v>
      </c>
      <c r="CR2676">
        <v>0</v>
      </c>
      <c r="CS2676">
        <v>0</v>
      </c>
      <c r="CT2676">
        <v>32.799999999999997</v>
      </c>
      <c r="CU2676">
        <v>87</v>
      </c>
      <c r="CV2676">
        <v>0.42</v>
      </c>
      <c r="CW2676">
        <v>47</v>
      </c>
      <c r="CX2676" t="s">
        <v>289</v>
      </c>
    </row>
    <row r="2677" spans="1:102" x14ac:dyDescent="0.3">
      <c r="A2677" t="str">
        <f>HYPERLINK("https://webapp.icbf.com/v2/app/bull-search/view/659985175","TMP")</f>
        <v>TMP</v>
      </c>
      <c r="B2677" t="s">
        <v>14872</v>
      </c>
      <c r="C2677" t="s">
        <v>6053</v>
      </c>
      <c r="D2677" s="1">
        <v>37586</v>
      </c>
      <c r="E2677" t="s">
        <v>140</v>
      </c>
      <c r="F2677">
        <v>0</v>
      </c>
      <c r="G2677" t="s">
        <v>93</v>
      </c>
      <c r="H2677">
        <v>22.79</v>
      </c>
      <c r="I2677">
        <v>88</v>
      </c>
      <c r="J2677">
        <v>21.3</v>
      </c>
      <c r="K2677">
        <v>98</v>
      </c>
      <c r="L2677">
        <v>28.6</v>
      </c>
      <c r="M2677">
        <v>81</v>
      </c>
      <c r="N2677">
        <v>-27.64</v>
      </c>
      <c r="O2677">
        <v>88</v>
      </c>
      <c r="P2677">
        <v>26.08</v>
      </c>
      <c r="Q2677">
        <v>94</v>
      </c>
      <c r="R2677">
        <v>-4.3499999999999996</v>
      </c>
      <c r="S2677">
        <v>82</v>
      </c>
      <c r="T2677">
        <v>-11.93</v>
      </c>
      <c r="U2677">
        <v>83</v>
      </c>
      <c r="V2677">
        <v>-9.27</v>
      </c>
      <c r="W2677">
        <v>77</v>
      </c>
      <c r="X2677" t="s">
        <v>102</v>
      </c>
      <c r="Y2677" t="s">
        <v>282</v>
      </c>
      <c r="Z2677">
        <v>0</v>
      </c>
      <c r="AA2677" t="s">
        <v>298</v>
      </c>
      <c r="AB2677" t="s">
        <v>3523</v>
      </c>
      <c r="AC2677">
        <v>137</v>
      </c>
      <c r="AD2677">
        <v>27</v>
      </c>
      <c r="AE2677">
        <v>98</v>
      </c>
      <c r="AF2677">
        <v>277.57</v>
      </c>
      <c r="AG2677">
        <v>2.4900000000000002</v>
      </c>
      <c r="AH2677">
        <v>6.99</v>
      </c>
      <c r="AI2677">
        <v>-0.14000000000000001</v>
      </c>
      <c r="AJ2677">
        <v>-0.04</v>
      </c>
      <c r="AK2677">
        <v>81</v>
      </c>
      <c r="AL2677">
        <v>144</v>
      </c>
      <c r="AM2677">
        <v>36</v>
      </c>
      <c r="AN2677">
        <v>-0.85</v>
      </c>
      <c r="AO2677">
        <v>1.44</v>
      </c>
      <c r="AP2677">
        <v>229</v>
      </c>
      <c r="AQ2677">
        <v>2</v>
      </c>
      <c r="AR2677">
        <v>8.2100000000000009</v>
      </c>
      <c r="AS2677">
        <v>80</v>
      </c>
      <c r="AT2677">
        <v>4.62</v>
      </c>
      <c r="AU2677">
        <v>89</v>
      </c>
      <c r="AV2677">
        <v>2.16</v>
      </c>
      <c r="AW2677">
        <v>97</v>
      </c>
      <c r="AX2677">
        <v>-0.06</v>
      </c>
      <c r="AY2677">
        <v>85</v>
      </c>
      <c r="AZ2677">
        <v>4.82</v>
      </c>
      <c r="BA2677">
        <v>68</v>
      </c>
      <c r="BB2677">
        <v>4.1900000000000004</v>
      </c>
      <c r="BC2677">
        <v>67</v>
      </c>
      <c r="BD2677">
        <v>0.03</v>
      </c>
      <c r="BE2677">
        <v>0</v>
      </c>
      <c r="BF2677">
        <v>0.05</v>
      </c>
      <c r="BG2677">
        <v>91</v>
      </c>
      <c r="BH2677">
        <v>-0.22</v>
      </c>
      <c r="BI2677">
        <v>4.46</v>
      </c>
      <c r="BJ2677">
        <v>1</v>
      </c>
      <c r="BK2677">
        <v>1</v>
      </c>
      <c r="BL2677">
        <v>-0.17</v>
      </c>
      <c r="BM2677">
        <v>4.17</v>
      </c>
      <c r="BN2677">
        <v>-1.06</v>
      </c>
      <c r="BO2677">
        <v>-2.82</v>
      </c>
      <c r="BP2677">
        <v>4.1100000000000003</v>
      </c>
      <c r="BQ2677">
        <v>-1.06</v>
      </c>
      <c r="BR2677">
        <v>-2.48</v>
      </c>
      <c r="BS2677">
        <v>-0.42</v>
      </c>
      <c r="BT2677">
        <v>2.39</v>
      </c>
      <c r="BU2677">
        <v>-2.74</v>
      </c>
      <c r="BV2677">
        <v>-3.17</v>
      </c>
      <c r="BW2677">
        <v>-2.41</v>
      </c>
      <c r="BX2677">
        <v>-2.02</v>
      </c>
      <c r="BY2677">
        <v>-1.1100000000000001</v>
      </c>
      <c r="BZ2677">
        <v>1.0900000000000001</v>
      </c>
      <c r="CA2677">
        <v>-1.87</v>
      </c>
      <c r="CB2677">
        <v>-2.4500000000000002</v>
      </c>
      <c r="CC2677">
        <v>-0.24</v>
      </c>
      <c r="CD2677">
        <v>4.07</v>
      </c>
      <c r="CE2677">
        <v>-2.42</v>
      </c>
      <c r="CF2677">
        <v>-0.21</v>
      </c>
      <c r="CG2677">
        <v>0</v>
      </c>
      <c r="CH2677">
        <v>-1.53</v>
      </c>
      <c r="CI2677">
        <v>0</v>
      </c>
      <c r="CJ2677">
        <v>12.5</v>
      </c>
      <c r="CK2677">
        <v>95</v>
      </c>
      <c r="CL2677">
        <v>0.15</v>
      </c>
      <c r="CM2677">
        <v>94</v>
      </c>
      <c r="CN2677">
        <v>-0.39</v>
      </c>
      <c r="CO2677">
        <v>93</v>
      </c>
      <c r="CP2677">
        <v>18.100000000000001</v>
      </c>
      <c r="CQ2677">
        <v>87</v>
      </c>
      <c r="CR2677">
        <v>0</v>
      </c>
      <c r="CS2677">
        <v>0</v>
      </c>
      <c r="CT2677">
        <v>29.9</v>
      </c>
      <c r="CU2677">
        <v>83</v>
      </c>
      <c r="CV2677">
        <v>0.36</v>
      </c>
      <c r="CW2677">
        <v>45</v>
      </c>
      <c r="CX2677" t="s">
        <v>247</v>
      </c>
    </row>
    <row r="2678" spans="1:102" x14ac:dyDescent="0.3">
      <c r="A2678" t="str">
        <f>HYPERLINK("https://webapp.icbf.com/v2/app/bull-search/view/586095287","S822")</f>
        <v>S822</v>
      </c>
      <c r="B2678" t="s">
        <v>9735</v>
      </c>
      <c r="C2678" t="s">
        <v>8914</v>
      </c>
      <c r="D2678" s="1">
        <v>34701</v>
      </c>
      <c r="E2678" t="s">
        <v>92</v>
      </c>
      <c r="F2678">
        <v>100</v>
      </c>
      <c r="G2678" t="s">
        <v>109</v>
      </c>
      <c r="H2678">
        <v>22.63</v>
      </c>
      <c r="I2678">
        <v>75</v>
      </c>
      <c r="J2678">
        <v>3.9</v>
      </c>
      <c r="K2678">
        <v>87</v>
      </c>
      <c r="L2678">
        <v>2.66</v>
      </c>
      <c r="M2678">
        <v>85</v>
      </c>
      <c r="N2678">
        <v>23.13</v>
      </c>
      <c r="O2678">
        <v>51</v>
      </c>
      <c r="P2678">
        <v>-7.05</v>
      </c>
      <c r="Q2678">
        <v>61</v>
      </c>
      <c r="R2678">
        <v>-5.29</v>
      </c>
      <c r="S2678">
        <v>61</v>
      </c>
      <c r="T2678">
        <v>9.31</v>
      </c>
      <c r="U2678">
        <v>48</v>
      </c>
      <c r="V2678">
        <v>-4.03</v>
      </c>
      <c r="W2678">
        <v>39</v>
      </c>
      <c r="X2678" t="s">
        <v>251</v>
      </c>
      <c r="Y2678" t="s">
        <v>1494</v>
      </c>
      <c r="Z2678" t="s">
        <v>96</v>
      </c>
      <c r="AA2678" t="s">
        <v>8718</v>
      </c>
      <c r="AB2678" t="s">
        <v>9736</v>
      </c>
      <c r="AC2678">
        <v>0</v>
      </c>
      <c r="AD2678">
        <v>0</v>
      </c>
      <c r="AE2678">
        <v>87</v>
      </c>
      <c r="AF2678">
        <v>404.81</v>
      </c>
      <c r="AG2678">
        <v>0.62</v>
      </c>
      <c r="AH2678">
        <v>6.64</v>
      </c>
      <c r="AI2678">
        <v>-0.24</v>
      </c>
      <c r="AJ2678">
        <v>-0.11</v>
      </c>
      <c r="AK2678">
        <v>85</v>
      </c>
      <c r="AL2678">
        <v>0</v>
      </c>
      <c r="AM2678">
        <v>0</v>
      </c>
      <c r="AN2678">
        <v>-0.34</v>
      </c>
      <c r="AO2678">
        <v>-0.13</v>
      </c>
      <c r="AP2678">
        <v>34</v>
      </c>
      <c r="AQ2678">
        <v>0</v>
      </c>
      <c r="AR2678">
        <v>5.47</v>
      </c>
      <c r="AS2678">
        <v>25</v>
      </c>
      <c r="AT2678">
        <v>2.67</v>
      </c>
      <c r="AU2678">
        <v>96</v>
      </c>
      <c r="AV2678">
        <v>-1.94</v>
      </c>
      <c r="AW2678">
        <v>38</v>
      </c>
      <c r="AX2678">
        <v>-0.83</v>
      </c>
      <c r="AY2678">
        <v>51</v>
      </c>
      <c r="AZ2678">
        <v>6.61</v>
      </c>
      <c r="BA2678">
        <v>26</v>
      </c>
      <c r="BB2678">
        <v>5.58</v>
      </c>
      <c r="BC2678">
        <v>25</v>
      </c>
      <c r="BD2678">
        <v>0.04</v>
      </c>
      <c r="BE2678">
        <v>0.05</v>
      </c>
      <c r="BF2678">
        <v>-0.04</v>
      </c>
      <c r="BG2678">
        <v>91</v>
      </c>
      <c r="BH2678">
        <v>-0.06</v>
      </c>
      <c r="BI2678">
        <v>6.07</v>
      </c>
      <c r="BJ2678">
        <v>0</v>
      </c>
      <c r="BK2678">
        <v>0</v>
      </c>
      <c r="BL2678">
        <v>0.41</v>
      </c>
      <c r="BM2678">
        <v>0.28000000000000003</v>
      </c>
      <c r="BN2678">
        <v>0.19</v>
      </c>
      <c r="BO2678">
        <v>-0.13</v>
      </c>
      <c r="BP2678">
        <v>-3.62</v>
      </c>
      <c r="BQ2678">
        <v>2.17</v>
      </c>
      <c r="BR2678">
        <v>-1.27</v>
      </c>
      <c r="BS2678">
        <v>-1.04</v>
      </c>
      <c r="BT2678">
        <v>0.42</v>
      </c>
      <c r="BU2678">
        <v>2.69</v>
      </c>
      <c r="BV2678">
        <v>2.15</v>
      </c>
      <c r="BW2678">
        <v>1.83</v>
      </c>
      <c r="BX2678">
        <v>1.08</v>
      </c>
      <c r="BY2678">
        <v>1.1000000000000001</v>
      </c>
      <c r="BZ2678">
        <v>1.84</v>
      </c>
      <c r="CA2678">
        <v>0.9</v>
      </c>
      <c r="CB2678">
        <v>1.67</v>
      </c>
      <c r="CC2678">
        <v>-1.0900000000000001</v>
      </c>
      <c r="CD2678">
        <v>0.2</v>
      </c>
      <c r="CE2678">
        <v>0.06</v>
      </c>
      <c r="CF2678">
        <v>0.21</v>
      </c>
      <c r="CG2678">
        <v>0</v>
      </c>
      <c r="CH2678">
        <v>1.41</v>
      </c>
      <c r="CI2678">
        <v>0</v>
      </c>
      <c r="CJ2678">
        <v>-3.7</v>
      </c>
      <c r="CK2678">
        <v>63</v>
      </c>
      <c r="CL2678">
        <v>-0.83</v>
      </c>
      <c r="CM2678">
        <v>59</v>
      </c>
      <c r="CN2678">
        <v>-0.59</v>
      </c>
      <c r="CO2678">
        <v>55</v>
      </c>
      <c r="CP2678">
        <v>-1.9</v>
      </c>
      <c r="CQ2678">
        <v>61</v>
      </c>
      <c r="CR2678">
        <v>0</v>
      </c>
      <c r="CS2678">
        <v>0</v>
      </c>
      <c r="CT2678">
        <v>1.2</v>
      </c>
      <c r="CU2678">
        <v>48</v>
      </c>
      <c r="CV2678">
        <v>0.2</v>
      </c>
      <c r="CW2678">
        <v>17</v>
      </c>
      <c r="CX2678" t="s">
        <v>152</v>
      </c>
    </row>
    <row r="2679" spans="1:102" x14ac:dyDescent="0.3">
      <c r="A2679" t="str">
        <f>HYPERLINK("https://webapp.icbf.com/v2/app/bull-search/view/388951994","ODS")</f>
        <v>ODS</v>
      </c>
      <c r="B2679" t="s">
        <v>7001</v>
      </c>
      <c r="C2679" t="s">
        <v>7002</v>
      </c>
      <c r="D2679" s="1">
        <v>35916</v>
      </c>
      <c r="E2679" t="s">
        <v>140</v>
      </c>
      <c r="F2679">
        <v>0</v>
      </c>
      <c r="G2679" t="s">
        <v>109</v>
      </c>
      <c r="H2679">
        <v>22.58</v>
      </c>
      <c r="I2679">
        <v>50</v>
      </c>
      <c r="J2679">
        <v>6.57</v>
      </c>
      <c r="K2679">
        <v>76</v>
      </c>
      <c r="L2679">
        <v>32.03</v>
      </c>
      <c r="M2679">
        <v>33</v>
      </c>
      <c r="N2679">
        <v>-43.63</v>
      </c>
      <c r="O2679">
        <v>34</v>
      </c>
      <c r="P2679">
        <v>18.07</v>
      </c>
      <c r="Q2679">
        <v>54</v>
      </c>
      <c r="R2679">
        <v>8.1300000000000008</v>
      </c>
      <c r="S2679">
        <v>32</v>
      </c>
      <c r="T2679">
        <v>9.16</v>
      </c>
      <c r="U2679">
        <v>43</v>
      </c>
      <c r="V2679">
        <v>-7.75</v>
      </c>
      <c r="W2679">
        <v>30</v>
      </c>
      <c r="X2679" t="s">
        <v>102</v>
      </c>
      <c r="Y2679" t="s">
        <v>95</v>
      </c>
      <c r="Z2679">
        <v>0</v>
      </c>
      <c r="AA2679" t="s">
        <v>247</v>
      </c>
      <c r="AB2679" t="s">
        <v>7003</v>
      </c>
      <c r="AC2679">
        <v>0</v>
      </c>
      <c r="AD2679">
        <v>0</v>
      </c>
      <c r="AE2679">
        <v>76</v>
      </c>
      <c r="AF2679">
        <v>-17.8</v>
      </c>
      <c r="AG2679">
        <v>0.04</v>
      </c>
      <c r="AH2679">
        <v>0.83</v>
      </c>
      <c r="AI2679">
        <v>0.01</v>
      </c>
      <c r="AJ2679">
        <v>0.02</v>
      </c>
      <c r="AK2679">
        <v>33</v>
      </c>
      <c r="AL2679">
        <v>4</v>
      </c>
      <c r="AM2679">
        <v>4</v>
      </c>
      <c r="AN2679">
        <v>-1.3</v>
      </c>
      <c r="AO2679">
        <v>1.26</v>
      </c>
      <c r="AP2679">
        <v>9</v>
      </c>
      <c r="AQ2679">
        <v>0</v>
      </c>
      <c r="AR2679">
        <v>11.52</v>
      </c>
      <c r="AS2679">
        <v>29</v>
      </c>
      <c r="AT2679">
        <v>5.56</v>
      </c>
      <c r="AU2679">
        <v>37</v>
      </c>
      <c r="AV2679">
        <v>1.03</v>
      </c>
      <c r="AW2679">
        <v>34</v>
      </c>
      <c r="AX2679">
        <v>-0.52</v>
      </c>
      <c r="AY2679">
        <v>42</v>
      </c>
      <c r="AZ2679">
        <v>6.2</v>
      </c>
      <c r="BA2679">
        <v>27</v>
      </c>
      <c r="BB2679">
        <v>4.37</v>
      </c>
      <c r="BC2679">
        <v>29</v>
      </c>
      <c r="BD2679">
        <v>0</v>
      </c>
      <c r="BE2679">
        <v>-0.03</v>
      </c>
      <c r="BF2679">
        <v>-0.13</v>
      </c>
      <c r="BG2679">
        <v>34</v>
      </c>
      <c r="BH2679">
        <v>-0.16</v>
      </c>
      <c r="BI2679">
        <v>6.5</v>
      </c>
      <c r="BJ2679">
        <v>0</v>
      </c>
      <c r="BK2679">
        <v>0</v>
      </c>
      <c r="BL2679">
        <v>-0.6</v>
      </c>
      <c r="BM2679">
        <v>3.7</v>
      </c>
      <c r="BN2679">
        <v>-1.57</v>
      </c>
      <c r="BO2679">
        <v>-3.06</v>
      </c>
      <c r="BP2679">
        <v>4.1100000000000003</v>
      </c>
      <c r="BQ2679">
        <v>-1.06</v>
      </c>
      <c r="BR2679">
        <v>-2.17</v>
      </c>
      <c r="BS2679">
        <v>-0.38</v>
      </c>
      <c r="BT2679">
        <v>2.23</v>
      </c>
      <c r="BU2679">
        <v>-3.24</v>
      </c>
      <c r="BV2679">
        <v>-3.61</v>
      </c>
      <c r="BW2679">
        <v>-2.66</v>
      </c>
      <c r="BX2679">
        <v>-2.46</v>
      </c>
      <c r="BY2679">
        <v>-1.67</v>
      </c>
      <c r="BZ2679">
        <v>1.42</v>
      </c>
      <c r="CA2679">
        <v>-2.5099999999999998</v>
      </c>
      <c r="CB2679">
        <v>-3.07</v>
      </c>
      <c r="CC2679">
        <v>-0.66</v>
      </c>
      <c r="CD2679">
        <v>3.74</v>
      </c>
      <c r="CE2679">
        <v>-2.87</v>
      </c>
      <c r="CF2679">
        <v>-1.1000000000000001</v>
      </c>
      <c r="CG2679">
        <v>0</v>
      </c>
      <c r="CH2679">
        <v>-2.19</v>
      </c>
      <c r="CI2679">
        <v>0</v>
      </c>
      <c r="CJ2679">
        <v>8.8000000000000007</v>
      </c>
      <c r="CK2679">
        <v>56</v>
      </c>
      <c r="CL2679">
        <v>0.42</v>
      </c>
      <c r="CM2679">
        <v>53</v>
      </c>
      <c r="CN2679">
        <v>-0.1</v>
      </c>
      <c r="CO2679">
        <v>50</v>
      </c>
      <c r="CP2679">
        <v>2.8</v>
      </c>
      <c r="CQ2679">
        <v>48</v>
      </c>
      <c r="CR2679">
        <v>0</v>
      </c>
      <c r="CS2679">
        <v>0</v>
      </c>
      <c r="CT2679">
        <v>1.4</v>
      </c>
      <c r="CU2679">
        <v>43</v>
      </c>
      <c r="CV2679">
        <v>-0.05</v>
      </c>
      <c r="CW2679">
        <v>16</v>
      </c>
      <c r="CX2679" t="s">
        <v>224</v>
      </c>
    </row>
    <row r="2680" spans="1:102" x14ac:dyDescent="0.3">
      <c r="A2680" t="str">
        <f>HYPERLINK("https://webapp.icbf.com/v2/app/bull-search/view/168884150","S323")</f>
        <v>S323</v>
      </c>
      <c r="B2680" t="s">
        <v>4123</v>
      </c>
      <c r="C2680" t="s">
        <v>1892</v>
      </c>
      <c r="D2680" s="1">
        <v>35082</v>
      </c>
      <c r="E2680" t="s">
        <v>92</v>
      </c>
      <c r="F2680">
        <v>88</v>
      </c>
      <c r="G2680" t="s">
        <v>109</v>
      </c>
      <c r="H2680">
        <v>22.46</v>
      </c>
      <c r="I2680">
        <v>69</v>
      </c>
      <c r="J2680">
        <v>16.04</v>
      </c>
      <c r="K2680">
        <v>80</v>
      </c>
      <c r="L2680">
        <v>-11.21</v>
      </c>
      <c r="M2680">
        <v>78</v>
      </c>
      <c r="N2680">
        <v>19.350000000000001</v>
      </c>
      <c r="O2680">
        <v>55</v>
      </c>
      <c r="P2680">
        <v>-4.71</v>
      </c>
      <c r="Q2680">
        <v>41</v>
      </c>
      <c r="R2680">
        <v>1.87</v>
      </c>
      <c r="S2680">
        <v>63</v>
      </c>
      <c r="T2680">
        <v>0.28000000000000003</v>
      </c>
      <c r="U2680">
        <v>49</v>
      </c>
      <c r="V2680">
        <v>0.84</v>
      </c>
      <c r="W2680">
        <v>31</v>
      </c>
      <c r="X2680" t="s">
        <v>110</v>
      </c>
      <c r="Y2680" t="s">
        <v>545</v>
      </c>
      <c r="Z2680" t="s">
        <v>96</v>
      </c>
      <c r="AA2680" t="s">
        <v>839</v>
      </c>
      <c r="AB2680" t="s">
        <v>4124</v>
      </c>
      <c r="AC2680">
        <v>0</v>
      </c>
      <c r="AD2680">
        <v>0</v>
      </c>
      <c r="AE2680">
        <v>80</v>
      </c>
      <c r="AF2680">
        <v>368.77</v>
      </c>
      <c r="AG2680">
        <v>4.3600000000000003</v>
      </c>
      <c r="AH2680">
        <v>6.83</v>
      </c>
      <c r="AI2680">
        <v>-0.16</v>
      </c>
      <c r="AJ2680">
        <v>-0.09</v>
      </c>
      <c r="AK2680">
        <v>78</v>
      </c>
      <c r="AL2680">
        <v>0</v>
      </c>
      <c r="AM2680">
        <v>0</v>
      </c>
      <c r="AN2680">
        <v>1.71</v>
      </c>
      <c r="AO2680">
        <v>0.83</v>
      </c>
      <c r="AP2680">
        <v>3</v>
      </c>
      <c r="AQ2680">
        <v>0</v>
      </c>
      <c r="AR2680">
        <v>5.8</v>
      </c>
      <c r="AS2680">
        <v>35</v>
      </c>
      <c r="AT2680">
        <v>2.67</v>
      </c>
      <c r="AU2680">
        <v>93</v>
      </c>
      <c r="AV2680">
        <v>-0.94</v>
      </c>
      <c r="AW2680">
        <v>50</v>
      </c>
      <c r="AX2680">
        <v>-0.1</v>
      </c>
      <c r="AY2680">
        <v>39</v>
      </c>
      <c r="AZ2680">
        <v>5.35</v>
      </c>
      <c r="BA2680">
        <v>34</v>
      </c>
      <c r="BB2680">
        <v>4.58</v>
      </c>
      <c r="BC2680">
        <v>32</v>
      </c>
      <c r="BD2680">
        <v>0</v>
      </c>
      <c r="BE2680">
        <v>0.03</v>
      </c>
      <c r="BF2680">
        <v>-0.1</v>
      </c>
      <c r="BG2680">
        <v>88</v>
      </c>
      <c r="BH2680">
        <v>0.05</v>
      </c>
      <c r="BI2680">
        <v>3.06</v>
      </c>
      <c r="BJ2680">
        <v>0</v>
      </c>
      <c r="BK2680">
        <v>0</v>
      </c>
      <c r="BL2680">
        <v>0.23</v>
      </c>
      <c r="BM2680">
        <v>0.42</v>
      </c>
      <c r="BN2680">
        <v>0.09</v>
      </c>
      <c r="BO2680">
        <v>-0.25</v>
      </c>
      <c r="BP2680">
        <v>1.87</v>
      </c>
      <c r="BQ2680">
        <v>0.16</v>
      </c>
      <c r="BR2680">
        <v>0.71</v>
      </c>
      <c r="BS2680">
        <v>-0.88</v>
      </c>
      <c r="BT2680">
        <v>-0.28000000000000003</v>
      </c>
      <c r="BU2680">
        <v>0.47</v>
      </c>
      <c r="BV2680">
        <v>-0.48</v>
      </c>
      <c r="BW2680">
        <v>0.4</v>
      </c>
      <c r="BX2680">
        <v>1.07</v>
      </c>
      <c r="BY2680">
        <v>-0.28999999999999998</v>
      </c>
      <c r="BZ2680">
        <v>0.5</v>
      </c>
      <c r="CA2680">
        <v>-0.35</v>
      </c>
      <c r="CB2680">
        <v>-0.09</v>
      </c>
      <c r="CC2680">
        <v>-0.7</v>
      </c>
      <c r="CD2680">
        <v>0.75</v>
      </c>
      <c r="CE2680">
        <v>0.48</v>
      </c>
      <c r="CF2680">
        <v>1.28</v>
      </c>
      <c r="CG2680">
        <v>0</v>
      </c>
      <c r="CH2680">
        <v>-0.32</v>
      </c>
      <c r="CI2680">
        <v>0</v>
      </c>
      <c r="CJ2680">
        <v>1.2</v>
      </c>
      <c r="CK2680">
        <v>42</v>
      </c>
      <c r="CL2680">
        <v>-0.97</v>
      </c>
      <c r="CM2680">
        <v>40</v>
      </c>
      <c r="CN2680">
        <v>-0.26</v>
      </c>
      <c r="CO2680">
        <v>38</v>
      </c>
      <c r="CP2680">
        <v>4</v>
      </c>
      <c r="CQ2680">
        <v>45</v>
      </c>
      <c r="CR2680">
        <v>0</v>
      </c>
      <c r="CS2680">
        <v>0</v>
      </c>
      <c r="CT2680">
        <v>13.4</v>
      </c>
      <c r="CU2680">
        <v>49</v>
      </c>
      <c r="CV2680">
        <v>0.3</v>
      </c>
      <c r="CW2680">
        <v>12</v>
      </c>
      <c r="CX2680" t="s">
        <v>4125</v>
      </c>
    </row>
    <row r="2681" spans="1:102" x14ac:dyDescent="0.3">
      <c r="A2681" t="str">
        <f>HYPERLINK("https://webapp.icbf.com/v2/app/bull-search/view/108368026","S273")</f>
        <v>S273</v>
      </c>
      <c r="B2681" t="s">
        <v>14957</v>
      </c>
      <c r="C2681" t="s">
        <v>14958</v>
      </c>
      <c r="D2681" s="1">
        <v>34190</v>
      </c>
      <c r="E2681" t="s">
        <v>92</v>
      </c>
      <c r="F2681">
        <v>94</v>
      </c>
      <c r="G2681" t="s">
        <v>93</v>
      </c>
      <c r="H2681">
        <v>22.36</v>
      </c>
      <c r="I2681">
        <v>91</v>
      </c>
      <c r="J2681">
        <v>41.85</v>
      </c>
      <c r="K2681">
        <v>98</v>
      </c>
      <c r="L2681">
        <v>-33.14</v>
      </c>
      <c r="M2681">
        <v>86</v>
      </c>
      <c r="N2681">
        <v>7.85</v>
      </c>
      <c r="O2681">
        <v>87</v>
      </c>
      <c r="P2681">
        <v>-7.39</v>
      </c>
      <c r="Q2681">
        <v>95</v>
      </c>
      <c r="R2681">
        <v>0.57999999999999996</v>
      </c>
      <c r="S2681">
        <v>84</v>
      </c>
      <c r="T2681">
        <v>18.71</v>
      </c>
      <c r="U2681">
        <v>90</v>
      </c>
      <c r="V2681">
        <v>-6.1</v>
      </c>
      <c r="W2681">
        <v>78</v>
      </c>
      <c r="X2681" t="s">
        <v>276</v>
      </c>
      <c r="Y2681" t="s">
        <v>95</v>
      </c>
      <c r="Z2681" t="s">
        <v>96</v>
      </c>
      <c r="AA2681" t="s">
        <v>218</v>
      </c>
      <c r="AB2681" t="s">
        <v>3566</v>
      </c>
      <c r="AC2681">
        <v>119</v>
      </c>
      <c r="AD2681">
        <v>76</v>
      </c>
      <c r="AE2681">
        <v>98</v>
      </c>
      <c r="AF2681">
        <v>-6.34</v>
      </c>
      <c r="AG2681">
        <v>1.33</v>
      </c>
      <c r="AH2681">
        <v>6.55</v>
      </c>
      <c r="AI2681">
        <v>0.03</v>
      </c>
      <c r="AJ2681">
        <v>0.12</v>
      </c>
      <c r="AK2681">
        <v>86</v>
      </c>
      <c r="AL2681">
        <v>111</v>
      </c>
      <c r="AM2681">
        <v>70</v>
      </c>
      <c r="AN2681">
        <v>2.04</v>
      </c>
      <c r="AO2681">
        <v>-0.6</v>
      </c>
      <c r="AP2681">
        <v>244</v>
      </c>
      <c r="AQ2681">
        <v>0</v>
      </c>
      <c r="AR2681">
        <v>6.11</v>
      </c>
      <c r="AS2681">
        <v>74</v>
      </c>
      <c r="AT2681">
        <v>2.96</v>
      </c>
      <c r="AU2681">
        <v>90</v>
      </c>
      <c r="AV2681">
        <v>-0.55000000000000004</v>
      </c>
      <c r="AW2681">
        <v>94</v>
      </c>
      <c r="AX2681">
        <v>0.54</v>
      </c>
      <c r="AY2681">
        <v>86</v>
      </c>
      <c r="AZ2681">
        <v>5.72</v>
      </c>
      <c r="BA2681">
        <v>70</v>
      </c>
      <c r="BB2681">
        <v>5.28</v>
      </c>
      <c r="BC2681">
        <v>73</v>
      </c>
      <c r="BD2681">
        <v>-0.02</v>
      </c>
      <c r="BE2681">
        <v>0</v>
      </c>
      <c r="BF2681">
        <v>0.02</v>
      </c>
      <c r="BG2681">
        <v>93</v>
      </c>
      <c r="BH2681">
        <v>-0.12</v>
      </c>
      <c r="BI2681">
        <v>5.8</v>
      </c>
      <c r="BJ2681">
        <v>8</v>
      </c>
      <c r="BK2681">
        <v>7</v>
      </c>
      <c r="BL2681">
        <v>0.39</v>
      </c>
      <c r="BM2681">
        <v>-1.34</v>
      </c>
      <c r="BN2681">
        <v>-0.31</v>
      </c>
      <c r="BO2681">
        <v>0.73</v>
      </c>
      <c r="BP2681">
        <v>2.23</v>
      </c>
      <c r="BQ2681">
        <v>0</v>
      </c>
      <c r="BR2681">
        <v>2.15</v>
      </c>
      <c r="BS2681">
        <v>-2.17</v>
      </c>
      <c r="BT2681">
        <v>-2.1800000000000002</v>
      </c>
      <c r="BU2681">
        <v>0.69</v>
      </c>
      <c r="BV2681">
        <v>-0.28999999999999998</v>
      </c>
      <c r="BW2681">
        <v>0.44</v>
      </c>
      <c r="BX2681">
        <v>0.79</v>
      </c>
      <c r="BY2681">
        <v>0.9</v>
      </c>
      <c r="BZ2681">
        <v>-2.29</v>
      </c>
      <c r="CA2681">
        <v>0.21</v>
      </c>
      <c r="CB2681">
        <v>0.17</v>
      </c>
      <c r="CC2681">
        <v>-1.6</v>
      </c>
      <c r="CD2681">
        <v>-1.06</v>
      </c>
      <c r="CE2681">
        <v>0.39</v>
      </c>
      <c r="CF2681">
        <v>0.51</v>
      </c>
      <c r="CG2681">
        <v>0</v>
      </c>
      <c r="CH2681">
        <v>0.96</v>
      </c>
      <c r="CI2681">
        <v>0</v>
      </c>
      <c r="CJ2681">
        <v>-1.3</v>
      </c>
      <c r="CK2681">
        <v>96</v>
      </c>
      <c r="CL2681">
        <v>-0.67</v>
      </c>
      <c r="CM2681">
        <v>95</v>
      </c>
      <c r="CN2681">
        <v>-0.22</v>
      </c>
      <c r="CO2681">
        <v>94</v>
      </c>
      <c r="CP2681">
        <v>-8.4</v>
      </c>
      <c r="CQ2681">
        <v>93</v>
      </c>
      <c r="CR2681">
        <v>0</v>
      </c>
      <c r="CS2681">
        <v>0</v>
      </c>
      <c r="CT2681">
        <v>-11.5</v>
      </c>
      <c r="CU2681">
        <v>90</v>
      </c>
      <c r="CV2681">
        <v>0.19</v>
      </c>
      <c r="CW2681">
        <v>45</v>
      </c>
      <c r="CX2681" t="s">
        <v>193</v>
      </c>
    </row>
    <row r="2682" spans="1:102" x14ac:dyDescent="0.3">
      <c r="A2682" t="str">
        <f>HYPERLINK("https://webapp.icbf.com/v2/app/bull-search/view/398895207","MZU")</f>
        <v>MZU</v>
      </c>
      <c r="B2682" t="s">
        <v>8786</v>
      </c>
      <c r="C2682" t="s">
        <v>8787</v>
      </c>
      <c r="D2682" s="1">
        <v>38415</v>
      </c>
      <c r="E2682" t="s">
        <v>92</v>
      </c>
      <c r="F2682">
        <v>94</v>
      </c>
      <c r="G2682" t="s">
        <v>93</v>
      </c>
      <c r="H2682">
        <v>22.28</v>
      </c>
      <c r="I2682">
        <v>88</v>
      </c>
      <c r="J2682">
        <v>29.52</v>
      </c>
      <c r="K2682">
        <v>96</v>
      </c>
      <c r="L2682">
        <v>-22.85</v>
      </c>
      <c r="M2682">
        <v>81</v>
      </c>
      <c r="N2682">
        <v>8.7200000000000006</v>
      </c>
      <c r="O2682">
        <v>85</v>
      </c>
      <c r="P2682">
        <v>-8.82</v>
      </c>
      <c r="Q2682">
        <v>91</v>
      </c>
      <c r="R2682">
        <v>5.9</v>
      </c>
      <c r="S2682">
        <v>82</v>
      </c>
      <c r="T2682">
        <v>7.76</v>
      </c>
      <c r="U2682">
        <v>88</v>
      </c>
      <c r="V2682">
        <v>2.0499999999999998</v>
      </c>
      <c r="W2682">
        <v>83</v>
      </c>
      <c r="X2682" t="s">
        <v>94</v>
      </c>
      <c r="Y2682" t="s">
        <v>1164</v>
      </c>
      <c r="Z2682" t="s">
        <v>96</v>
      </c>
      <c r="AA2682" t="s">
        <v>1165</v>
      </c>
      <c r="AB2682" t="s">
        <v>8788</v>
      </c>
      <c r="AC2682">
        <v>66</v>
      </c>
      <c r="AD2682">
        <v>50</v>
      </c>
      <c r="AE2682">
        <v>96</v>
      </c>
      <c r="AF2682">
        <v>142.35</v>
      </c>
      <c r="AG2682">
        <v>7.8</v>
      </c>
      <c r="AH2682">
        <v>4.4400000000000004</v>
      </c>
      <c r="AI2682">
        <v>0.04</v>
      </c>
      <c r="AJ2682">
        <v>-0.01</v>
      </c>
      <c r="AK2682">
        <v>81</v>
      </c>
      <c r="AL2682">
        <v>64</v>
      </c>
      <c r="AM2682">
        <v>46</v>
      </c>
      <c r="AN2682">
        <v>1.41</v>
      </c>
      <c r="AO2682">
        <v>-0.41</v>
      </c>
      <c r="AP2682">
        <v>148</v>
      </c>
      <c r="AQ2682">
        <v>3</v>
      </c>
      <c r="AR2682">
        <v>10.38</v>
      </c>
      <c r="AS2682">
        <v>71</v>
      </c>
      <c r="AT2682">
        <v>3.45</v>
      </c>
      <c r="AU2682">
        <v>87</v>
      </c>
      <c r="AV2682">
        <v>-2.68</v>
      </c>
      <c r="AW2682">
        <v>94</v>
      </c>
      <c r="AX2682">
        <v>0.13</v>
      </c>
      <c r="AY2682">
        <v>79</v>
      </c>
      <c r="AZ2682">
        <v>6.91</v>
      </c>
      <c r="BA2682">
        <v>66</v>
      </c>
      <c r="BB2682">
        <v>5.0999999999999996</v>
      </c>
      <c r="BC2682">
        <v>69</v>
      </c>
      <c r="BD2682">
        <v>-0.01</v>
      </c>
      <c r="BE2682">
        <v>-0.01</v>
      </c>
      <c r="BF2682">
        <v>-0.1</v>
      </c>
      <c r="BG2682">
        <v>89</v>
      </c>
      <c r="BH2682">
        <v>0.01</v>
      </c>
      <c r="BI2682">
        <v>-5.46</v>
      </c>
      <c r="BJ2682">
        <v>20</v>
      </c>
      <c r="BK2682">
        <v>16</v>
      </c>
      <c r="BL2682">
        <v>0.8</v>
      </c>
      <c r="BM2682">
        <v>-0.08</v>
      </c>
      <c r="BN2682">
        <v>0.19</v>
      </c>
      <c r="BO2682">
        <v>0.16</v>
      </c>
      <c r="BP2682">
        <v>2.33</v>
      </c>
      <c r="BQ2682">
        <v>-0.05</v>
      </c>
      <c r="BR2682">
        <v>0.18</v>
      </c>
      <c r="BS2682">
        <v>-1.1000000000000001</v>
      </c>
      <c r="BT2682">
        <v>-0.93</v>
      </c>
      <c r="BU2682">
        <v>0.43</v>
      </c>
      <c r="BV2682">
        <v>0.4</v>
      </c>
      <c r="BW2682">
        <v>0.05</v>
      </c>
      <c r="BX2682">
        <v>1.34</v>
      </c>
      <c r="BY2682">
        <v>0.26</v>
      </c>
      <c r="BZ2682">
        <v>-1.92</v>
      </c>
      <c r="CA2682">
        <v>0.51</v>
      </c>
      <c r="CB2682">
        <v>0.71</v>
      </c>
      <c r="CC2682">
        <v>-0.32</v>
      </c>
      <c r="CD2682">
        <v>-0.02</v>
      </c>
      <c r="CE2682">
        <v>0.03</v>
      </c>
      <c r="CF2682">
        <v>0.55000000000000004</v>
      </c>
      <c r="CG2682">
        <v>0</v>
      </c>
      <c r="CH2682">
        <v>0.52</v>
      </c>
      <c r="CI2682">
        <v>0</v>
      </c>
      <c r="CJ2682">
        <v>-2.2999999999999998</v>
      </c>
      <c r="CK2682">
        <v>92</v>
      </c>
      <c r="CL2682">
        <v>-0.78</v>
      </c>
      <c r="CM2682">
        <v>90</v>
      </c>
      <c r="CN2682">
        <v>-0.23</v>
      </c>
      <c r="CO2682">
        <v>88</v>
      </c>
      <c r="CP2682">
        <v>-1.9</v>
      </c>
      <c r="CQ2682">
        <v>87</v>
      </c>
      <c r="CR2682">
        <v>0</v>
      </c>
      <c r="CS2682">
        <v>0</v>
      </c>
      <c r="CT2682">
        <v>3.3</v>
      </c>
      <c r="CU2682">
        <v>88</v>
      </c>
      <c r="CV2682">
        <v>0.19</v>
      </c>
      <c r="CW2682">
        <v>46</v>
      </c>
      <c r="CX2682" t="s">
        <v>753</v>
      </c>
    </row>
    <row r="2683" spans="1:102" x14ac:dyDescent="0.3">
      <c r="A2683" t="str">
        <f>HYPERLINK("https://webapp.icbf.com/v2/app/bull-search/view/69092236","MIG")</f>
        <v>MIG</v>
      </c>
      <c r="B2683" t="s">
        <v>15059</v>
      </c>
      <c r="C2683" t="s">
        <v>15060</v>
      </c>
      <c r="D2683" s="1">
        <v>34555</v>
      </c>
      <c r="E2683" t="s">
        <v>92</v>
      </c>
      <c r="F2683">
        <v>100</v>
      </c>
      <c r="G2683" t="s">
        <v>109</v>
      </c>
      <c r="H2683">
        <v>22.17</v>
      </c>
      <c r="I2683">
        <v>60</v>
      </c>
      <c r="J2683">
        <v>43.25</v>
      </c>
      <c r="K2683">
        <v>72</v>
      </c>
      <c r="L2683">
        <v>-38.07</v>
      </c>
      <c r="M2683">
        <v>57</v>
      </c>
      <c r="N2683">
        <v>0.82</v>
      </c>
      <c r="O2683">
        <v>58</v>
      </c>
      <c r="P2683">
        <v>-0.7</v>
      </c>
      <c r="Q2683">
        <v>63</v>
      </c>
      <c r="R2683">
        <v>-0.64</v>
      </c>
      <c r="S2683">
        <v>50</v>
      </c>
      <c r="T2683">
        <v>17.899999999999999</v>
      </c>
      <c r="U2683">
        <v>45</v>
      </c>
      <c r="V2683">
        <v>-0.39</v>
      </c>
      <c r="W2683">
        <v>29</v>
      </c>
      <c r="X2683" t="s">
        <v>234</v>
      </c>
      <c r="Y2683" t="s">
        <v>95</v>
      </c>
      <c r="Z2683" t="s">
        <v>96</v>
      </c>
      <c r="AA2683" t="s">
        <v>10661</v>
      </c>
      <c r="AB2683" t="s">
        <v>766</v>
      </c>
      <c r="AC2683">
        <v>0</v>
      </c>
      <c r="AD2683">
        <v>0</v>
      </c>
      <c r="AE2683">
        <v>72</v>
      </c>
      <c r="AF2683">
        <v>155.16</v>
      </c>
      <c r="AG2683">
        <v>7.35</v>
      </c>
      <c r="AH2683">
        <v>7.13</v>
      </c>
      <c r="AI2683">
        <v>0.02</v>
      </c>
      <c r="AJ2683">
        <v>0.03</v>
      </c>
      <c r="AK2683">
        <v>57</v>
      </c>
      <c r="AL2683">
        <v>0</v>
      </c>
      <c r="AM2683">
        <v>0</v>
      </c>
      <c r="AN2683">
        <v>4.09</v>
      </c>
      <c r="AO2683">
        <v>1.08</v>
      </c>
      <c r="AP2683">
        <v>95</v>
      </c>
      <c r="AQ2683">
        <v>6</v>
      </c>
      <c r="AR2683">
        <v>9.32</v>
      </c>
      <c r="AS2683">
        <v>41</v>
      </c>
      <c r="AT2683">
        <v>4.26</v>
      </c>
      <c r="AU2683">
        <v>67</v>
      </c>
      <c r="AV2683">
        <v>-1.31</v>
      </c>
      <c r="AW2683">
        <v>69</v>
      </c>
      <c r="AX2683">
        <v>-0.8</v>
      </c>
      <c r="AY2683">
        <v>63</v>
      </c>
      <c r="AZ2683">
        <v>5.29</v>
      </c>
      <c r="BA2683">
        <v>21</v>
      </c>
      <c r="BB2683">
        <v>4.37</v>
      </c>
      <c r="BC2683">
        <v>25</v>
      </c>
      <c r="BD2683">
        <v>0.01</v>
      </c>
      <c r="BE2683">
        <v>0.02</v>
      </c>
      <c r="BF2683">
        <v>-0.04</v>
      </c>
      <c r="BG2683">
        <v>72</v>
      </c>
      <c r="BH2683">
        <v>-0.02</v>
      </c>
      <c r="BI2683">
        <v>-1.07</v>
      </c>
      <c r="BJ2683">
        <v>0</v>
      </c>
      <c r="BK2683">
        <v>0</v>
      </c>
      <c r="BL2683">
        <v>0.39</v>
      </c>
      <c r="BM2683">
        <v>-2.09</v>
      </c>
      <c r="BN2683">
        <v>-0.96</v>
      </c>
      <c r="BO2683">
        <v>0.79</v>
      </c>
      <c r="BP2683">
        <v>3.6</v>
      </c>
      <c r="BQ2683">
        <v>-1.56</v>
      </c>
      <c r="BR2683">
        <v>0.78</v>
      </c>
      <c r="BS2683">
        <v>-2.0699999999999998</v>
      </c>
      <c r="BT2683">
        <v>0.14000000000000001</v>
      </c>
      <c r="BU2683">
        <v>-0.39</v>
      </c>
      <c r="BV2683">
        <v>-0.08</v>
      </c>
      <c r="BW2683">
        <v>0.25</v>
      </c>
      <c r="BX2683">
        <v>0.71</v>
      </c>
      <c r="BY2683">
        <v>0.08</v>
      </c>
      <c r="BZ2683">
        <v>-2</v>
      </c>
      <c r="CA2683">
        <v>-0.78</v>
      </c>
      <c r="CB2683">
        <v>-0.28000000000000003</v>
      </c>
      <c r="CC2683">
        <v>-1.52</v>
      </c>
      <c r="CD2683">
        <v>-1.59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0.3</v>
      </c>
      <c r="CK2683">
        <v>66</v>
      </c>
      <c r="CL2683">
        <v>-0.06</v>
      </c>
      <c r="CM2683">
        <v>61</v>
      </c>
      <c r="CN2683">
        <v>-0.09</v>
      </c>
      <c r="CO2683">
        <v>59</v>
      </c>
      <c r="CP2683">
        <v>-10.3</v>
      </c>
      <c r="CQ2683">
        <v>50</v>
      </c>
      <c r="CR2683">
        <v>0</v>
      </c>
      <c r="CS2683">
        <v>0</v>
      </c>
      <c r="CT2683">
        <v>-10.4</v>
      </c>
      <c r="CU2683">
        <v>45</v>
      </c>
      <c r="CV2683">
        <v>7.0000000000000007E-2</v>
      </c>
      <c r="CW2683">
        <v>18</v>
      </c>
      <c r="CX2683" t="s">
        <v>166</v>
      </c>
    </row>
    <row r="2684" spans="1:102" x14ac:dyDescent="0.3">
      <c r="A2684" t="str">
        <f>HYPERLINK("https://webapp.icbf.com/v2/app/bull-search/view/69092722","STC")</f>
        <v>STC</v>
      </c>
      <c r="B2684" t="s">
        <v>144</v>
      </c>
      <c r="C2684" t="s">
        <v>10579</v>
      </c>
      <c r="D2684" s="1">
        <v>33700</v>
      </c>
      <c r="E2684" t="s">
        <v>146</v>
      </c>
      <c r="F2684">
        <v>0</v>
      </c>
      <c r="G2684" t="s">
        <v>93</v>
      </c>
      <c r="H2684">
        <v>22.02</v>
      </c>
      <c r="I2684">
        <v>57</v>
      </c>
      <c r="J2684">
        <v>-58.04</v>
      </c>
      <c r="K2684">
        <v>76</v>
      </c>
      <c r="L2684">
        <v>58.18</v>
      </c>
      <c r="M2684">
        <v>40</v>
      </c>
      <c r="N2684">
        <v>6.56</v>
      </c>
      <c r="O2684">
        <v>46</v>
      </c>
      <c r="P2684">
        <v>15.2</v>
      </c>
      <c r="Q2684">
        <v>70</v>
      </c>
      <c r="R2684">
        <v>-11.09</v>
      </c>
      <c r="S2684">
        <v>45</v>
      </c>
      <c r="T2684">
        <v>8.2799999999999994</v>
      </c>
      <c r="U2684">
        <v>65</v>
      </c>
      <c r="V2684">
        <v>2.93</v>
      </c>
      <c r="W2684">
        <v>28</v>
      </c>
      <c r="X2684" t="s">
        <v>276</v>
      </c>
      <c r="Y2684" t="s">
        <v>95</v>
      </c>
      <c r="Z2684">
        <v>0</v>
      </c>
      <c r="AA2684" t="s">
        <v>546</v>
      </c>
      <c r="AB2684" t="s">
        <v>10580</v>
      </c>
      <c r="AC2684">
        <v>13</v>
      </c>
      <c r="AD2684">
        <v>9</v>
      </c>
      <c r="AE2684">
        <v>76</v>
      </c>
      <c r="AF2684">
        <v>-351.15</v>
      </c>
      <c r="AG2684">
        <v>-14.12</v>
      </c>
      <c r="AH2684">
        <v>-10.25</v>
      </c>
      <c r="AI2684">
        <v>-0.01</v>
      </c>
      <c r="AJ2684">
        <v>0.03</v>
      </c>
      <c r="AK2684">
        <v>40</v>
      </c>
      <c r="AL2684">
        <v>15</v>
      </c>
      <c r="AM2684">
        <v>9</v>
      </c>
      <c r="AN2684">
        <v>-2.4</v>
      </c>
      <c r="AO2684">
        <v>2.25</v>
      </c>
      <c r="AP2684">
        <v>7</v>
      </c>
      <c r="AQ2684">
        <v>4</v>
      </c>
      <c r="AR2684">
        <v>8.7100000000000009</v>
      </c>
      <c r="AS2684">
        <v>40</v>
      </c>
      <c r="AT2684">
        <v>3.52</v>
      </c>
      <c r="AU2684">
        <v>46</v>
      </c>
      <c r="AV2684">
        <v>-1.8</v>
      </c>
      <c r="AW2684">
        <v>51</v>
      </c>
      <c r="AX2684">
        <v>0.26</v>
      </c>
      <c r="AY2684">
        <v>51</v>
      </c>
      <c r="AZ2684">
        <v>6.01</v>
      </c>
      <c r="BA2684">
        <v>22</v>
      </c>
      <c r="BB2684">
        <v>5.21</v>
      </c>
      <c r="BC2684">
        <v>34</v>
      </c>
      <c r="BD2684">
        <v>-0.03</v>
      </c>
      <c r="BE2684">
        <v>0.05</v>
      </c>
      <c r="BF2684">
        <v>0.21</v>
      </c>
      <c r="BG2684">
        <v>55</v>
      </c>
      <c r="BH2684">
        <v>-0.01</v>
      </c>
      <c r="BI2684">
        <v>-10.62</v>
      </c>
      <c r="BJ2684">
        <v>0</v>
      </c>
      <c r="BK2684">
        <v>0</v>
      </c>
      <c r="BL2684">
        <v>-1.26</v>
      </c>
      <c r="BM2684">
        <v>1.3</v>
      </c>
      <c r="BN2684">
        <v>-1.04</v>
      </c>
      <c r="BO2684">
        <v>-1.65</v>
      </c>
      <c r="BP2684">
        <v>0.48</v>
      </c>
      <c r="BQ2684">
        <v>0.25</v>
      </c>
      <c r="BR2684">
        <v>-0.18</v>
      </c>
      <c r="BS2684">
        <v>7.0000000000000007E-2</v>
      </c>
      <c r="BT2684">
        <v>-0.45</v>
      </c>
      <c r="BU2684">
        <v>-1.22</v>
      </c>
      <c r="BV2684">
        <v>-1.53</v>
      </c>
      <c r="BW2684">
        <v>-1.45</v>
      </c>
      <c r="BX2684">
        <v>-1.05</v>
      </c>
      <c r="BY2684">
        <v>-1.1200000000000001</v>
      </c>
      <c r="BZ2684">
        <v>-0.18</v>
      </c>
      <c r="CA2684">
        <v>-1.48</v>
      </c>
      <c r="CB2684">
        <v>-1.57</v>
      </c>
      <c r="CC2684">
        <v>-0.73</v>
      </c>
      <c r="CD2684">
        <v>1.55</v>
      </c>
      <c r="CE2684">
        <v>-1.51</v>
      </c>
      <c r="CF2684">
        <v>-0.97</v>
      </c>
      <c r="CG2684">
        <v>0</v>
      </c>
      <c r="CH2684">
        <v>-0.53</v>
      </c>
      <c r="CI2684">
        <v>0</v>
      </c>
      <c r="CJ2684">
        <v>7.1</v>
      </c>
      <c r="CK2684">
        <v>71</v>
      </c>
      <c r="CL2684">
        <v>0.42</v>
      </c>
      <c r="CM2684">
        <v>69</v>
      </c>
      <c r="CN2684">
        <v>-0.13</v>
      </c>
      <c r="CO2684">
        <v>66</v>
      </c>
      <c r="CP2684">
        <v>-3</v>
      </c>
      <c r="CQ2684">
        <v>72</v>
      </c>
      <c r="CR2684">
        <v>0</v>
      </c>
      <c r="CS2684">
        <v>0</v>
      </c>
      <c r="CT2684">
        <v>2.6</v>
      </c>
      <c r="CU2684">
        <v>65</v>
      </c>
      <c r="CV2684">
        <v>-0.05</v>
      </c>
      <c r="CW2684">
        <v>19</v>
      </c>
      <c r="CX2684" t="s">
        <v>10581</v>
      </c>
    </row>
    <row r="2685" spans="1:102" x14ac:dyDescent="0.3">
      <c r="A2685" t="str">
        <f>HYPERLINK("https://webapp.icbf.com/v2/app/bull-search/view/69092638","SCA")</f>
        <v>SCA</v>
      </c>
      <c r="B2685" t="s">
        <v>8540</v>
      </c>
      <c r="C2685" t="s">
        <v>8541</v>
      </c>
      <c r="D2685" s="1">
        <v>34173</v>
      </c>
      <c r="E2685" t="s">
        <v>227</v>
      </c>
      <c r="F2685">
        <v>0</v>
      </c>
      <c r="G2685" t="s">
        <v>109</v>
      </c>
      <c r="H2685">
        <v>21.82</v>
      </c>
      <c r="I2685">
        <v>70</v>
      </c>
      <c r="J2685">
        <v>-14.16</v>
      </c>
      <c r="K2685">
        <v>88</v>
      </c>
      <c r="L2685">
        <v>2.5</v>
      </c>
      <c r="M2685">
        <v>78</v>
      </c>
      <c r="N2685">
        <v>12.48</v>
      </c>
      <c r="O2685">
        <v>41</v>
      </c>
      <c r="P2685">
        <v>-69.52</v>
      </c>
      <c r="Q2685">
        <v>44</v>
      </c>
      <c r="R2685">
        <v>3.48</v>
      </c>
      <c r="S2685">
        <v>55</v>
      </c>
      <c r="T2685">
        <v>82.13</v>
      </c>
      <c r="U2685">
        <v>41</v>
      </c>
      <c r="V2685">
        <v>4.91</v>
      </c>
      <c r="W2685">
        <v>52</v>
      </c>
      <c r="X2685" t="s">
        <v>558</v>
      </c>
      <c r="Y2685" t="s">
        <v>95</v>
      </c>
      <c r="Z2685">
        <v>0</v>
      </c>
      <c r="AA2685" t="s">
        <v>8542</v>
      </c>
      <c r="AB2685" t="s">
        <v>8543</v>
      </c>
      <c r="AC2685">
        <v>0</v>
      </c>
      <c r="AD2685">
        <v>0</v>
      </c>
      <c r="AE2685">
        <v>88</v>
      </c>
      <c r="AF2685">
        <v>-183.06</v>
      </c>
      <c r="AG2685">
        <v>0.68</v>
      </c>
      <c r="AH2685">
        <v>-5.45</v>
      </c>
      <c r="AI2685">
        <v>0.14000000000000001</v>
      </c>
      <c r="AJ2685">
        <v>0.01</v>
      </c>
      <c r="AK2685">
        <v>78</v>
      </c>
      <c r="AL2685">
        <v>0</v>
      </c>
      <c r="AM2685">
        <v>0</v>
      </c>
      <c r="AN2685">
        <v>-0.89</v>
      </c>
      <c r="AO2685">
        <v>-0.7</v>
      </c>
      <c r="AP2685">
        <v>2</v>
      </c>
      <c r="AQ2685">
        <v>0</v>
      </c>
      <c r="AR2685">
        <v>2.96</v>
      </c>
      <c r="AS2685">
        <v>39</v>
      </c>
      <c r="AT2685">
        <v>1.64</v>
      </c>
      <c r="AU2685">
        <v>45</v>
      </c>
      <c r="AV2685">
        <v>0.09</v>
      </c>
      <c r="AW2685">
        <v>40</v>
      </c>
      <c r="AX2685">
        <v>1.87</v>
      </c>
      <c r="AY2685">
        <v>43</v>
      </c>
      <c r="AZ2685">
        <v>7.33</v>
      </c>
      <c r="BA2685">
        <v>34</v>
      </c>
      <c r="BB2685">
        <v>5.1100000000000003</v>
      </c>
      <c r="BC2685">
        <v>34</v>
      </c>
      <c r="BD2685">
        <v>-0.09</v>
      </c>
      <c r="BE2685">
        <v>0</v>
      </c>
      <c r="BF2685">
        <v>7.0000000000000007E-2</v>
      </c>
      <c r="BG2685">
        <v>61</v>
      </c>
      <c r="BH2685">
        <v>-0.01</v>
      </c>
      <c r="BI2685">
        <v>-17.010000000000002</v>
      </c>
      <c r="BJ2685">
        <v>0</v>
      </c>
      <c r="BK2685">
        <v>0</v>
      </c>
      <c r="BL2685">
        <v>-0.6</v>
      </c>
      <c r="BM2685">
        <v>-1.23</v>
      </c>
      <c r="BN2685">
        <v>0.37</v>
      </c>
      <c r="BO2685">
        <v>1.68</v>
      </c>
      <c r="BP2685">
        <v>-0.41</v>
      </c>
      <c r="BQ2685">
        <v>-3.92</v>
      </c>
      <c r="BR2685">
        <v>2.11</v>
      </c>
      <c r="BS2685">
        <v>6.48</v>
      </c>
      <c r="BT2685">
        <v>-1.01</v>
      </c>
      <c r="BU2685">
        <v>1.31</v>
      </c>
      <c r="BV2685">
        <v>1.26</v>
      </c>
      <c r="BW2685">
        <v>-1.1000000000000001</v>
      </c>
      <c r="BX2685">
        <v>-1.58</v>
      </c>
      <c r="BY2685">
        <v>0.44</v>
      </c>
      <c r="BZ2685">
        <v>0.56000000000000005</v>
      </c>
      <c r="CA2685">
        <v>2.62</v>
      </c>
      <c r="CB2685">
        <v>1.33</v>
      </c>
      <c r="CC2685">
        <v>4.12</v>
      </c>
      <c r="CD2685">
        <v>-2.06</v>
      </c>
      <c r="CE2685">
        <v>1.7</v>
      </c>
      <c r="CF2685">
        <v>-0.02</v>
      </c>
      <c r="CG2685">
        <v>0</v>
      </c>
      <c r="CH2685">
        <v>-0.22</v>
      </c>
      <c r="CI2685">
        <v>0</v>
      </c>
      <c r="CJ2685">
        <v>-37.9</v>
      </c>
      <c r="CK2685">
        <v>45</v>
      </c>
      <c r="CL2685">
        <v>-1.35</v>
      </c>
      <c r="CM2685">
        <v>42</v>
      </c>
      <c r="CN2685">
        <v>-0.47</v>
      </c>
      <c r="CO2685">
        <v>40</v>
      </c>
      <c r="CP2685">
        <v>-58.6</v>
      </c>
      <c r="CQ2685">
        <v>43</v>
      </c>
      <c r="CR2685">
        <v>0</v>
      </c>
      <c r="CS2685">
        <v>0</v>
      </c>
      <c r="CT2685">
        <v>-97.2</v>
      </c>
      <c r="CU2685">
        <v>41</v>
      </c>
      <c r="CV2685">
        <v>-0.28000000000000003</v>
      </c>
      <c r="CW2685">
        <v>33</v>
      </c>
      <c r="CX2685" t="s">
        <v>3288</v>
      </c>
    </row>
    <row r="2686" spans="1:102" x14ac:dyDescent="0.3">
      <c r="A2686" t="str">
        <f>HYPERLINK("https://webapp.icbf.com/v2/app/bull-search/view/169958472","FYU")</f>
        <v>FYU</v>
      </c>
      <c r="B2686" t="s">
        <v>1038</v>
      </c>
      <c r="C2686" t="s">
        <v>1039</v>
      </c>
      <c r="D2686" s="1">
        <v>34293</v>
      </c>
      <c r="E2686" t="s">
        <v>92</v>
      </c>
      <c r="F2686">
        <v>50</v>
      </c>
      <c r="G2686" t="s">
        <v>109</v>
      </c>
      <c r="H2686">
        <v>21.79</v>
      </c>
      <c r="I2686">
        <v>60</v>
      </c>
      <c r="J2686">
        <v>28.94</v>
      </c>
      <c r="K2686">
        <v>71</v>
      </c>
      <c r="L2686">
        <v>25.22</v>
      </c>
      <c r="M2686">
        <v>55</v>
      </c>
      <c r="N2686">
        <v>-45.57</v>
      </c>
      <c r="O2686">
        <v>50</v>
      </c>
      <c r="P2686">
        <v>12.88</v>
      </c>
      <c r="Q2686">
        <v>72</v>
      </c>
      <c r="R2686">
        <v>-2.13</v>
      </c>
      <c r="S2686">
        <v>37</v>
      </c>
      <c r="T2686">
        <v>6.28</v>
      </c>
      <c r="U2686">
        <v>54</v>
      </c>
      <c r="V2686">
        <v>-3.83</v>
      </c>
      <c r="W2686">
        <v>38</v>
      </c>
      <c r="X2686" t="s">
        <v>1040</v>
      </c>
      <c r="Y2686" t="s">
        <v>95</v>
      </c>
      <c r="Z2686" t="s">
        <v>96</v>
      </c>
      <c r="AA2686" t="s">
        <v>1041</v>
      </c>
      <c r="AB2686" t="s">
        <v>144</v>
      </c>
      <c r="AC2686">
        <v>0</v>
      </c>
      <c r="AD2686">
        <v>0</v>
      </c>
      <c r="AE2686">
        <v>71</v>
      </c>
      <c r="AF2686">
        <v>-128.30000000000001</v>
      </c>
      <c r="AG2686">
        <v>5.79</v>
      </c>
      <c r="AH2686">
        <v>0.91</v>
      </c>
      <c r="AI2686">
        <v>0.18</v>
      </c>
      <c r="AJ2686">
        <v>0.09</v>
      </c>
      <c r="AK2686">
        <v>55</v>
      </c>
      <c r="AL2686">
        <v>0</v>
      </c>
      <c r="AM2686">
        <v>0</v>
      </c>
      <c r="AN2686">
        <v>-0.69</v>
      </c>
      <c r="AO2686">
        <v>1.33</v>
      </c>
      <c r="AP2686">
        <v>27</v>
      </c>
      <c r="AQ2686">
        <v>1</v>
      </c>
      <c r="AR2686">
        <v>13.13</v>
      </c>
      <c r="AS2686">
        <v>24</v>
      </c>
      <c r="AT2686">
        <v>4.99</v>
      </c>
      <c r="AU2686">
        <v>54</v>
      </c>
      <c r="AV2686">
        <v>0.22</v>
      </c>
      <c r="AW2686">
        <v>65</v>
      </c>
      <c r="AX2686">
        <v>0.84</v>
      </c>
      <c r="AY2686">
        <v>45</v>
      </c>
      <c r="AZ2686">
        <v>6.81</v>
      </c>
      <c r="BA2686">
        <v>23</v>
      </c>
      <c r="BB2686">
        <v>5.42</v>
      </c>
      <c r="BC2686">
        <v>24</v>
      </c>
      <c r="BD2686">
        <v>0</v>
      </c>
      <c r="BE2686">
        <v>0.01</v>
      </c>
      <c r="BF2686">
        <v>0.03</v>
      </c>
      <c r="BG2686">
        <v>49</v>
      </c>
      <c r="BH2686">
        <v>0.03</v>
      </c>
      <c r="BI2686">
        <v>15.84</v>
      </c>
      <c r="BJ2686">
        <v>0</v>
      </c>
      <c r="BK2686">
        <v>0</v>
      </c>
      <c r="BL2686">
        <v>-0.83</v>
      </c>
      <c r="BM2686">
        <v>0.73</v>
      </c>
      <c r="BN2686">
        <v>-0.15</v>
      </c>
      <c r="BO2686">
        <v>-0.73</v>
      </c>
      <c r="BP2686">
        <v>0.23</v>
      </c>
      <c r="BQ2686">
        <v>0.62</v>
      </c>
      <c r="BR2686">
        <v>0.51</v>
      </c>
      <c r="BS2686">
        <v>-0.76</v>
      </c>
      <c r="BT2686">
        <v>-0.57999999999999996</v>
      </c>
      <c r="BU2686">
        <v>-0.49</v>
      </c>
      <c r="BV2686">
        <v>-0.75</v>
      </c>
      <c r="BW2686">
        <v>-0.79</v>
      </c>
      <c r="BX2686">
        <v>-0.7</v>
      </c>
      <c r="BY2686">
        <v>-0.6</v>
      </c>
      <c r="BZ2686">
        <v>-2.88</v>
      </c>
      <c r="CA2686">
        <v>-1</v>
      </c>
      <c r="CB2686">
        <v>-0.83</v>
      </c>
      <c r="CC2686">
        <v>-0.81</v>
      </c>
      <c r="CD2686">
        <v>0.71</v>
      </c>
      <c r="CE2686">
        <v>-0.35</v>
      </c>
      <c r="CF2686">
        <v>0.02</v>
      </c>
      <c r="CG2686">
        <v>0</v>
      </c>
      <c r="CH2686">
        <v>-0.23</v>
      </c>
      <c r="CI2686">
        <v>0</v>
      </c>
      <c r="CJ2686">
        <v>7.4</v>
      </c>
      <c r="CK2686">
        <v>75</v>
      </c>
      <c r="CL2686">
        <v>0.1</v>
      </c>
      <c r="CM2686">
        <v>70</v>
      </c>
      <c r="CN2686">
        <v>-0.11</v>
      </c>
      <c r="CO2686">
        <v>67</v>
      </c>
      <c r="CP2686">
        <v>2.2999999999999998</v>
      </c>
      <c r="CQ2686">
        <v>66</v>
      </c>
      <c r="CR2686">
        <v>0</v>
      </c>
      <c r="CS2686">
        <v>0</v>
      </c>
      <c r="CT2686">
        <v>5.3</v>
      </c>
      <c r="CU2686">
        <v>54</v>
      </c>
      <c r="CV2686">
        <v>7.0000000000000007E-2</v>
      </c>
      <c r="CW2686">
        <v>19</v>
      </c>
      <c r="CX2686" t="s">
        <v>1042</v>
      </c>
    </row>
    <row r="2687" spans="1:102" x14ac:dyDescent="0.3">
      <c r="A2687" t="str">
        <f>HYPERLINK("https://webapp.icbf.com/v2/app/bull-search/view/586063831","S2044")</f>
        <v>S2044</v>
      </c>
      <c r="B2687" t="s">
        <v>1967</v>
      </c>
      <c r="C2687" t="s">
        <v>1968</v>
      </c>
      <c r="D2687" s="1">
        <v>38965</v>
      </c>
      <c r="E2687" t="s">
        <v>92</v>
      </c>
      <c r="F2687">
        <v>100</v>
      </c>
      <c r="G2687" t="s">
        <v>109</v>
      </c>
      <c r="H2687">
        <v>21.76</v>
      </c>
      <c r="I2687">
        <v>79</v>
      </c>
      <c r="J2687">
        <v>31.34</v>
      </c>
      <c r="K2687">
        <v>93</v>
      </c>
      <c r="L2687">
        <v>-20.94</v>
      </c>
      <c r="M2687">
        <v>84</v>
      </c>
      <c r="N2687">
        <v>14.89</v>
      </c>
      <c r="O2687">
        <v>61</v>
      </c>
      <c r="P2687">
        <v>-12.26</v>
      </c>
      <c r="Q2687">
        <v>59</v>
      </c>
      <c r="R2687">
        <v>1.1200000000000001</v>
      </c>
      <c r="S2687">
        <v>76</v>
      </c>
      <c r="T2687">
        <v>6.06</v>
      </c>
      <c r="U2687">
        <v>55</v>
      </c>
      <c r="V2687">
        <v>1.55</v>
      </c>
      <c r="W2687">
        <v>63</v>
      </c>
      <c r="X2687" t="s">
        <v>1645</v>
      </c>
      <c r="Y2687" t="s">
        <v>367</v>
      </c>
      <c r="Z2687" t="s">
        <v>96</v>
      </c>
      <c r="AA2687" t="s">
        <v>350</v>
      </c>
      <c r="AB2687" t="s">
        <v>1969</v>
      </c>
      <c r="AC2687">
        <v>0</v>
      </c>
      <c r="AD2687">
        <v>0</v>
      </c>
      <c r="AE2687">
        <v>93</v>
      </c>
      <c r="AF2687">
        <v>431.29</v>
      </c>
      <c r="AG2687">
        <v>8.8800000000000008</v>
      </c>
      <c r="AH2687">
        <v>8.7899999999999991</v>
      </c>
      <c r="AI2687">
        <v>-0.13</v>
      </c>
      <c r="AJ2687">
        <v>-0.09</v>
      </c>
      <c r="AK2687">
        <v>84</v>
      </c>
      <c r="AL2687">
        <v>0</v>
      </c>
      <c r="AM2687">
        <v>0</v>
      </c>
      <c r="AN2687">
        <v>1.1200000000000001</v>
      </c>
      <c r="AO2687">
        <v>-0.55000000000000004</v>
      </c>
      <c r="AP2687">
        <v>11</v>
      </c>
      <c r="AQ2687">
        <v>0</v>
      </c>
      <c r="AR2687">
        <v>10.050000000000001</v>
      </c>
      <c r="AS2687">
        <v>58</v>
      </c>
      <c r="AT2687">
        <v>3.25</v>
      </c>
      <c r="AU2687">
        <v>90</v>
      </c>
      <c r="AV2687">
        <v>-3.25</v>
      </c>
      <c r="AW2687">
        <v>52</v>
      </c>
      <c r="AX2687">
        <v>0.79</v>
      </c>
      <c r="AY2687">
        <v>54</v>
      </c>
      <c r="AZ2687">
        <v>7.43</v>
      </c>
      <c r="BA2687">
        <v>47</v>
      </c>
      <c r="BB2687">
        <v>4.8899999999999997</v>
      </c>
      <c r="BC2687">
        <v>47</v>
      </c>
      <c r="BD2687">
        <v>-0.01</v>
      </c>
      <c r="BE2687">
        <v>-0.01</v>
      </c>
      <c r="BF2687">
        <v>0.01</v>
      </c>
      <c r="BG2687">
        <v>92</v>
      </c>
      <c r="BH2687">
        <v>0</v>
      </c>
      <c r="BI2687">
        <v>-4.99</v>
      </c>
      <c r="BJ2687">
        <v>1</v>
      </c>
      <c r="BK2687">
        <v>1</v>
      </c>
      <c r="BL2687">
        <v>1.32</v>
      </c>
      <c r="BM2687">
        <v>0.27</v>
      </c>
      <c r="BN2687">
        <v>1.89</v>
      </c>
      <c r="BO2687">
        <v>1.6</v>
      </c>
      <c r="BP2687">
        <v>0.17</v>
      </c>
      <c r="BQ2687">
        <v>1.06</v>
      </c>
      <c r="BR2687">
        <v>0.61</v>
      </c>
      <c r="BS2687">
        <v>2.36</v>
      </c>
      <c r="BT2687">
        <v>0.15</v>
      </c>
      <c r="BU2687">
        <v>1.92</v>
      </c>
      <c r="BV2687">
        <v>1.17</v>
      </c>
      <c r="BW2687">
        <v>1.79</v>
      </c>
      <c r="BX2687">
        <v>0.65</v>
      </c>
      <c r="BY2687">
        <v>1.95</v>
      </c>
      <c r="BZ2687">
        <v>-0.31</v>
      </c>
      <c r="CA2687">
        <v>1.75</v>
      </c>
      <c r="CB2687">
        <v>1.47</v>
      </c>
      <c r="CC2687">
        <v>1.65</v>
      </c>
      <c r="CD2687">
        <v>-0.43</v>
      </c>
      <c r="CE2687">
        <v>1.42</v>
      </c>
      <c r="CF2687">
        <v>1.32</v>
      </c>
      <c r="CG2687">
        <v>0</v>
      </c>
      <c r="CH2687">
        <v>2.15</v>
      </c>
      <c r="CI2687">
        <v>0</v>
      </c>
      <c r="CJ2687">
        <v>-3.9</v>
      </c>
      <c r="CK2687">
        <v>61</v>
      </c>
      <c r="CL2687">
        <v>-1.31</v>
      </c>
      <c r="CM2687">
        <v>58</v>
      </c>
      <c r="CN2687">
        <v>-0.59</v>
      </c>
      <c r="CO2687">
        <v>55</v>
      </c>
      <c r="CP2687">
        <v>-1.8</v>
      </c>
      <c r="CQ2687">
        <v>60</v>
      </c>
      <c r="CR2687">
        <v>0</v>
      </c>
      <c r="CS2687">
        <v>0</v>
      </c>
      <c r="CT2687">
        <v>5.6</v>
      </c>
      <c r="CU2687">
        <v>55</v>
      </c>
      <c r="CV2687">
        <v>0.16</v>
      </c>
      <c r="CW2687">
        <v>37</v>
      </c>
      <c r="CX2687" t="s">
        <v>1970</v>
      </c>
    </row>
    <row r="2688" spans="1:102" x14ac:dyDescent="0.3">
      <c r="A2688" t="str">
        <f>HYPERLINK("https://webapp.icbf.com/v2/app/bull-search/view/68238982","S432")</f>
        <v>S432</v>
      </c>
      <c r="B2688" t="s">
        <v>5001</v>
      </c>
      <c r="C2688" t="s">
        <v>2346</v>
      </c>
      <c r="D2688" s="1">
        <v>32791</v>
      </c>
      <c r="E2688" t="s">
        <v>108</v>
      </c>
      <c r="F2688">
        <v>0</v>
      </c>
      <c r="G2688" t="s">
        <v>109</v>
      </c>
      <c r="H2688">
        <v>21.69</v>
      </c>
      <c r="I2688">
        <v>59</v>
      </c>
      <c r="J2688">
        <v>-46.19</v>
      </c>
      <c r="K2688">
        <v>69</v>
      </c>
      <c r="L2688">
        <v>23.8</v>
      </c>
      <c r="M2688">
        <v>62</v>
      </c>
      <c r="N2688">
        <v>30.51</v>
      </c>
      <c r="O2688">
        <v>45</v>
      </c>
      <c r="P2688">
        <v>5.87</v>
      </c>
      <c r="Q2688">
        <v>53</v>
      </c>
      <c r="R2688">
        <v>-0.97</v>
      </c>
      <c r="S2688">
        <v>56</v>
      </c>
      <c r="T2688">
        <v>5.83</v>
      </c>
      <c r="U2688">
        <v>41</v>
      </c>
      <c r="V2688">
        <v>2.84</v>
      </c>
      <c r="W2688">
        <v>38</v>
      </c>
      <c r="X2688" t="s">
        <v>110</v>
      </c>
      <c r="Y2688" t="s">
        <v>95</v>
      </c>
      <c r="Z2688" t="s">
        <v>96</v>
      </c>
      <c r="AA2688" t="s">
        <v>675</v>
      </c>
      <c r="AB2688" t="s">
        <v>5002</v>
      </c>
      <c r="AC2688">
        <v>0</v>
      </c>
      <c r="AD2688">
        <v>0</v>
      </c>
      <c r="AE2688">
        <v>69</v>
      </c>
      <c r="AF2688">
        <v>-173.58</v>
      </c>
      <c r="AG2688">
        <v>-7.92</v>
      </c>
      <c r="AH2688">
        <v>-7.71</v>
      </c>
      <c r="AI2688">
        <v>-0.02</v>
      </c>
      <c r="AJ2688">
        <v>-0.03</v>
      </c>
      <c r="AK2688">
        <v>62</v>
      </c>
      <c r="AL2688">
        <v>0</v>
      </c>
      <c r="AM2688">
        <v>0</v>
      </c>
      <c r="AN2688">
        <v>-2.72</v>
      </c>
      <c r="AO2688">
        <v>-0.84</v>
      </c>
      <c r="AP2688">
        <v>6</v>
      </c>
      <c r="AQ2688">
        <v>0</v>
      </c>
      <c r="AR2688">
        <v>5.01</v>
      </c>
      <c r="AS2688">
        <v>36</v>
      </c>
      <c r="AT2688">
        <v>2.2200000000000002</v>
      </c>
      <c r="AU2688">
        <v>53</v>
      </c>
      <c r="AV2688">
        <v>-2.37</v>
      </c>
      <c r="AW2688">
        <v>48</v>
      </c>
      <c r="AX2688">
        <v>0.39</v>
      </c>
      <c r="AY2688">
        <v>50</v>
      </c>
      <c r="AZ2688">
        <v>6.46</v>
      </c>
      <c r="BA2688">
        <v>26</v>
      </c>
      <c r="BB2688">
        <v>5.05</v>
      </c>
      <c r="BC2688">
        <v>27</v>
      </c>
      <c r="BD2688">
        <v>0.02</v>
      </c>
      <c r="BE2688">
        <v>0.01</v>
      </c>
      <c r="BF2688">
        <v>-0.03</v>
      </c>
      <c r="BG2688">
        <v>81</v>
      </c>
      <c r="BH2688">
        <v>-0.01</v>
      </c>
      <c r="BI2688">
        <v>-10.31</v>
      </c>
      <c r="BJ2688">
        <v>2</v>
      </c>
      <c r="BK2688">
        <v>1</v>
      </c>
      <c r="BL2688">
        <v>-2.67</v>
      </c>
      <c r="BM2688">
        <v>2.93</v>
      </c>
      <c r="BN2688">
        <v>-1.1299999999999999</v>
      </c>
      <c r="BO2688">
        <v>-2.71</v>
      </c>
      <c r="BP2688">
        <v>0.87</v>
      </c>
      <c r="BQ2688">
        <v>0.92</v>
      </c>
      <c r="BR2688">
        <v>-1.8</v>
      </c>
      <c r="BS2688">
        <v>0.4</v>
      </c>
      <c r="BT2688">
        <v>1.1100000000000001</v>
      </c>
      <c r="BU2688">
        <v>-0.98</v>
      </c>
      <c r="BV2688">
        <v>-2.46</v>
      </c>
      <c r="BW2688">
        <v>-0.98</v>
      </c>
      <c r="BX2688">
        <v>0.13</v>
      </c>
      <c r="BY2688">
        <v>0.91</v>
      </c>
      <c r="BZ2688">
        <v>-1.52</v>
      </c>
      <c r="CA2688">
        <v>-1.18</v>
      </c>
      <c r="CB2688">
        <v>-1.48</v>
      </c>
      <c r="CC2688">
        <v>-0.04</v>
      </c>
      <c r="CD2688">
        <v>3.49</v>
      </c>
      <c r="CE2688">
        <v>-2.8</v>
      </c>
      <c r="CF2688">
        <v>-2.71</v>
      </c>
      <c r="CG2688">
        <v>0</v>
      </c>
      <c r="CH2688">
        <v>-0.09</v>
      </c>
      <c r="CI2688">
        <v>0</v>
      </c>
      <c r="CJ2688">
        <v>1.8</v>
      </c>
      <c r="CK2688">
        <v>55</v>
      </c>
      <c r="CL2688">
        <v>0.24</v>
      </c>
      <c r="CM2688">
        <v>52</v>
      </c>
      <c r="CN2688">
        <v>-7.0000000000000007E-2</v>
      </c>
      <c r="CO2688">
        <v>51</v>
      </c>
      <c r="CP2688">
        <v>0.6</v>
      </c>
      <c r="CQ2688">
        <v>42</v>
      </c>
      <c r="CR2688">
        <v>0</v>
      </c>
      <c r="CS2688">
        <v>0</v>
      </c>
      <c r="CT2688">
        <v>5.9</v>
      </c>
      <c r="CU2688">
        <v>41</v>
      </c>
      <c r="CV2688">
        <v>-0.12</v>
      </c>
      <c r="CW2688">
        <v>15</v>
      </c>
      <c r="CX2688" t="s">
        <v>262</v>
      </c>
    </row>
    <row r="2689" spans="1:102" x14ac:dyDescent="0.3">
      <c r="A2689" t="str">
        <f>HYPERLINK("https://webapp.icbf.com/v2/app/bull-search/view/77854831","MSD")</f>
        <v>MSD</v>
      </c>
      <c r="B2689" t="s">
        <v>3354</v>
      </c>
      <c r="C2689" t="s">
        <v>3355</v>
      </c>
      <c r="D2689" s="1">
        <v>32471</v>
      </c>
      <c r="E2689" t="s">
        <v>92</v>
      </c>
      <c r="F2689">
        <v>100</v>
      </c>
      <c r="G2689" t="s">
        <v>93</v>
      </c>
      <c r="H2689">
        <v>21.54</v>
      </c>
      <c r="I2689">
        <v>79</v>
      </c>
      <c r="J2689">
        <v>5.44</v>
      </c>
      <c r="K2689">
        <v>93</v>
      </c>
      <c r="L2689">
        <v>3.66</v>
      </c>
      <c r="M2689">
        <v>75</v>
      </c>
      <c r="N2689">
        <v>3.37</v>
      </c>
      <c r="O2689">
        <v>65</v>
      </c>
      <c r="P2689">
        <v>1.31</v>
      </c>
      <c r="Q2689">
        <v>77</v>
      </c>
      <c r="R2689">
        <v>-3.31</v>
      </c>
      <c r="S2689">
        <v>73</v>
      </c>
      <c r="T2689">
        <v>10.64</v>
      </c>
      <c r="U2689">
        <v>77</v>
      </c>
      <c r="V2689">
        <v>0.43</v>
      </c>
      <c r="W2689">
        <v>56</v>
      </c>
      <c r="X2689" t="s">
        <v>94</v>
      </c>
      <c r="Y2689" t="s">
        <v>95</v>
      </c>
      <c r="Z2689" t="s">
        <v>96</v>
      </c>
      <c r="AA2689" t="s">
        <v>158</v>
      </c>
      <c r="AB2689" t="s">
        <v>3356</v>
      </c>
      <c r="AC2689">
        <v>44</v>
      </c>
      <c r="AD2689">
        <v>26</v>
      </c>
      <c r="AE2689">
        <v>93</v>
      </c>
      <c r="AF2689">
        <v>-93.97</v>
      </c>
      <c r="AG2689">
        <v>5.42</v>
      </c>
      <c r="AH2689">
        <v>-2.4300000000000002</v>
      </c>
      <c r="AI2689">
        <v>0.16</v>
      </c>
      <c r="AJ2689">
        <v>0.01</v>
      </c>
      <c r="AK2689">
        <v>75</v>
      </c>
      <c r="AL2689">
        <v>89</v>
      </c>
      <c r="AM2689">
        <v>57</v>
      </c>
      <c r="AN2689">
        <v>-0.32</v>
      </c>
      <c r="AO2689">
        <v>-0.03</v>
      </c>
      <c r="AP2689">
        <v>3</v>
      </c>
      <c r="AQ2689">
        <v>0</v>
      </c>
      <c r="AR2689">
        <v>6.41</v>
      </c>
      <c r="AS2689">
        <v>48</v>
      </c>
      <c r="AT2689">
        <v>2.69</v>
      </c>
      <c r="AU2689">
        <v>67</v>
      </c>
      <c r="AV2689">
        <v>-0.04</v>
      </c>
      <c r="AW2689">
        <v>71</v>
      </c>
      <c r="AX2689">
        <v>0.02</v>
      </c>
      <c r="AY2689">
        <v>71</v>
      </c>
      <c r="AZ2689">
        <v>6.04</v>
      </c>
      <c r="BA2689">
        <v>40</v>
      </c>
      <c r="BB2689">
        <v>5.78</v>
      </c>
      <c r="BC2689">
        <v>50</v>
      </c>
      <c r="BD2689">
        <v>0</v>
      </c>
      <c r="BE2689">
        <v>0.04</v>
      </c>
      <c r="BF2689">
        <v>0</v>
      </c>
      <c r="BG2689">
        <v>87</v>
      </c>
      <c r="BH2689">
        <v>7.0000000000000007E-2</v>
      </c>
      <c r="BI2689">
        <v>6.71</v>
      </c>
      <c r="BJ2689">
        <v>10</v>
      </c>
      <c r="BK2689">
        <v>9</v>
      </c>
      <c r="BL2689">
        <v>-0.05</v>
      </c>
      <c r="BM2689">
        <v>0.39</v>
      </c>
      <c r="BN2689">
        <v>-0.84</v>
      </c>
      <c r="BO2689">
        <v>-0.66</v>
      </c>
      <c r="BP2689">
        <v>-1.46</v>
      </c>
      <c r="BQ2689">
        <v>-0.31</v>
      </c>
      <c r="BR2689">
        <v>-1.17</v>
      </c>
      <c r="BS2689">
        <v>-1.65</v>
      </c>
      <c r="BT2689">
        <v>1.17</v>
      </c>
      <c r="BU2689">
        <v>-0.7</v>
      </c>
      <c r="BV2689">
        <v>-0.76</v>
      </c>
      <c r="BW2689">
        <v>-0.54</v>
      </c>
      <c r="BX2689">
        <v>0.16</v>
      </c>
      <c r="BY2689">
        <v>-0.98</v>
      </c>
      <c r="BZ2689">
        <v>-1.6</v>
      </c>
      <c r="CA2689">
        <v>-0.63</v>
      </c>
      <c r="CB2689">
        <v>-0.95</v>
      </c>
      <c r="CC2689">
        <v>-0.78</v>
      </c>
      <c r="CD2689">
        <v>0.68</v>
      </c>
      <c r="CE2689">
        <v>0.15</v>
      </c>
      <c r="CF2689">
        <v>-0.33</v>
      </c>
      <c r="CG2689">
        <v>0</v>
      </c>
      <c r="CH2689">
        <v>-0.69</v>
      </c>
      <c r="CI2689">
        <v>0</v>
      </c>
      <c r="CJ2689">
        <v>2.2999999999999998</v>
      </c>
      <c r="CK2689">
        <v>78</v>
      </c>
      <c r="CL2689">
        <v>-0.5</v>
      </c>
      <c r="CM2689">
        <v>75</v>
      </c>
      <c r="CN2689">
        <v>-0.34</v>
      </c>
      <c r="CO2689">
        <v>71</v>
      </c>
      <c r="CP2689">
        <v>-4.5999999999999996</v>
      </c>
      <c r="CQ2689">
        <v>84</v>
      </c>
      <c r="CR2689">
        <v>0</v>
      </c>
      <c r="CS2689">
        <v>0</v>
      </c>
      <c r="CT2689">
        <v>-0.6</v>
      </c>
      <c r="CU2689">
        <v>77</v>
      </c>
      <c r="CV2689">
        <v>0.1</v>
      </c>
      <c r="CW2689">
        <v>41</v>
      </c>
      <c r="CX2689" t="s">
        <v>617</v>
      </c>
    </row>
    <row r="2690" spans="1:102" x14ac:dyDescent="0.3">
      <c r="A2690" t="str">
        <f>HYPERLINK("https://webapp.icbf.com/v2/app/bull-search/view/939092033","WZD")</f>
        <v>WZD</v>
      </c>
      <c r="B2690" t="s">
        <v>7159</v>
      </c>
      <c r="C2690" t="s">
        <v>7160</v>
      </c>
      <c r="D2690" s="1">
        <v>40450</v>
      </c>
      <c r="E2690" t="s">
        <v>92</v>
      </c>
      <c r="F2690">
        <v>100</v>
      </c>
      <c r="G2690" t="s">
        <v>93</v>
      </c>
      <c r="H2690">
        <v>21.54</v>
      </c>
      <c r="I2690">
        <v>86</v>
      </c>
      <c r="J2690">
        <v>23.57</v>
      </c>
      <c r="K2690">
        <v>96</v>
      </c>
      <c r="L2690">
        <v>-32.46</v>
      </c>
      <c r="M2690">
        <v>80</v>
      </c>
      <c r="N2690">
        <v>28.06</v>
      </c>
      <c r="O2690">
        <v>82</v>
      </c>
      <c r="P2690">
        <v>-5.08</v>
      </c>
      <c r="Q2690">
        <v>87</v>
      </c>
      <c r="R2690">
        <v>7.02</v>
      </c>
      <c r="S2690">
        <v>77</v>
      </c>
      <c r="T2690">
        <v>-1.2</v>
      </c>
      <c r="U2690">
        <v>81</v>
      </c>
      <c r="V2690">
        <v>1.63</v>
      </c>
      <c r="W2690">
        <v>70</v>
      </c>
      <c r="X2690" t="s">
        <v>251</v>
      </c>
      <c r="Y2690" t="s">
        <v>1775</v>
      </c>
      <c r="Z2690" t="s">
        <v>96</v>
      </c>
      <c r="AA2690" t="s">
        <v>7161</v>
      </c>
      <c r="AB2690" t="s">
        <v>7162</v>
      </c>
      <c r="AC2690">
        <v>51</v>
      </c>
      <c r="AD2690">
        <v>38</v>
      </c>
      <c r="AE2690">
        <v>96</v>
      </c>
      <c r="AF2690">
        <v>239.53</v>
      </c>
      <c r="AG2690">
        <v>7.22</v>
      </c>
      <c r="AH2690">
        <v>5.12</v>
      </c>
      <c r="AI2690">
        <v>-0.04</v>
      </c>
      <c r="AJ2690">
        <v>-0.05</v>
      </c>
      <c r="AK2690">
        <v>80</v>
      </c>
      <c r="AL2690">
        <v>57</v>
      </c>
      <c r="AM2690">
        <v>39</v>
      </c>
      <c r="AN2690">
        <v>3.19</v>
      </c>
      <c r="AO2690">
        <v>0.62</v>
      </c>
      <c r="AP2690">
        <v>122</v>
      </c>
      <c r="AQ2690">
        <v>1</v>
      </c>
      <c r="AR2690">
        <v>5.51</v>
      </c>
      <c r="AS2690">
        <v>68</v>
      </c>
      <c r="AT2690">
        <v>3.42</v>
      </c>
      <c r="AU2690">
        <v>85</v>
      </c>
      <c r="AV2690">
        <v>-2.9</v>
      </c>
      <c r="AW2690">
        <v>94</v>
      </c>
      <c r="AX2690">
        <v>0</v>
      </c>
      <c r="AY2690">
        <v>72</v>
      </c>
      <c r="AZ2690">
        <v>5.81</v>
      </c>
      <c r="BA2690">
        <v>59</v>
      </c>
      <c r="BB2690">
        <v>4.7300000000000004</v>
      </c>
      <c r="BC2690">
        <v>60</v>
      </c>
      <c r="BD2690">
        <v>-0.05</v>
      </c>
      <c r="BE2690">
        <v>-0.02</v>
      </c>
      <c r="BF2690">
        <v>-0.04</v>
      </c>
      <c r="BG2690">
        <v>88</v>
      </c>
      <c r="BH2690">
        <v>0.1</v>
      </c>
      <c r="BI2690">
        <v>6.3</v>
      </c>
      <c r="BJ2690">
        <v>4</v>
      </c>
      <c r="BK2690">
        <v>4</v>
      </c>
      <c r="BL2690">
        <v>1.2</v>
      </c>
      <c r="BM2690">
        <v>-0.54</v>
      </c>
      <c r="BN2690">
        <v>-0.17</v>
      </c>
      <c r="BO2690">
        <v>0.77</v>
      </c>
      <c r="BP2690">
        <v>0.51</v>
      </c>
      <c r="BQ2690">
        <v>1.53</v>
      </c>
      <c r="BR2690">
        <v>2.44</v>
      </c>
      <c r="BS2690">
        <v>-0.93</v>
      </c>
      <c r="BT2690">
        <v>-0.89</v>
      </c>
      <c r="BU2690">
        <v>1.95</v>
      </c>
      <c r="BV2690">
        <v>2.4</v>
      </c>
      <c r="BW2690">
        <v>2.3199999999999998</v>
      </c>
      <c r="BX2690">
        <v>1.79</v>
      </c>
      <c r="BY2690">
        <v>1.32</v>
      </c>
      <c r="BZ2690">
        <v>2.23</v>
      </c>
      <c r="CA2690">
        <v>1.26</v>
      </c>
      <c r="CB2690">
        <v>2.16</v>
      </c>
      <c r="CC2690">
        <v>-0.04</v>
      </c>
      <c r="CD2690">
        <v>-0.34</v>
      </c>
      <c r="CE2690">
        <v>-0.02</v>
      </c>
      <c r="CF2690">
        <v>0.25</v>
      </c>
      <c r="CG2690">
        <v>0</v>
      </c>
      <c r="CH2690">
        <v>2.29</v>
      </c>
      <c r="CI2690">
        <v>0</v>
      </c>
      <c r="CJ2690">
        <v>-1.2</v>
      </c>
      <c r="CK2690">
        <v>89</v>
      </c>
      <c r="CL2690">
        <v>-0.95</v>
      </c>
      <c r="CM2690">
        <v>87</v>
      </c>
      <c r="CN2690">
        <v>-0.45</v>
      </c>
      <c r="CO2690">
        <v>85</v>
      </c>
      <c r="CP2690">
        <v>7.4</v>
      </c>
      <c r="CQ2690">
        <v>79</v>
      </c>
      <c r="CR2690">
        <v>0</v>
      </c>
      <c r="CS2690">
        <v>0</v>
      </c>
      <c r="CT2690">
        <v>15.4</v>
      </c>
      <c r="CU2690">
        <v>81</v>
      </c>
      <c r="CV2690">
        <v>0.13</v>
      </c>
      <c r="CW2690">
        <v>45</v>
      </c>
      <c r="CX2690" t="s">
        <v>314</v>
      </c>
    </row>
    <row r="2691" spans="1:102" x14ac:dyDescent="0.3">
      <c r="A2691" t="str">
        <f>HYPERLINK("https://webapp.icbf.com/v2/app/bull-search/view/586044294","S856")</f>
        <v>S856</v>
      </c>
      <c r="B2691" t="s">
        <v>2655</v>
      </c>
      <c r="C2691" t="s">
        <v>2656</v>
      </c>
      <c r="D2691" s="1">
        <v>38320</v>
      </c>
      <c r="E2691" t="s">
        <v>92</v>
      </c>
      <c r="F2691">
        <v>100</v>
      </c>
      <c r="G2691" t="s">
        <v>93</v>
      </c>
      <c r="H2691">
        <v>21.42</v>
      </c>
      <c r="I2691">
        <v>93</v>
      </c>
      <c r="J2691">
        <v>28.2</v>
      </c>
      <c r="K2691">
        <v>98</v>
      </c>
      <c r="L2691">
        <v>-18.63</v>
      </c>
      <c r="M2691">
        <v>90</v>
      </c>
      <c r="N2691">
        <v>21.92</v>
      </c>
      <c r="O2691">
        <v>93</v>
      </c>
      <c r="P2691">
        <v>-7.12</v>
      </c>
      <c r="Q2691">
        <v>97</v>
      </c>
      <c r="R2691">
        <v>-2.9</v>
      </c>
      <c r="S2691">
        <v>83</v>
      </c>
      <c r="T2691">
        <v>6.28</v>
      </c>
      <c r="U2691">
        <v>92</v>
      </c>
      <c r="V2691">
        <v>-6.33</v>
      </c>
      <c r="W2691">
        <v>74</v>
      </c>
      <c r="X2691" t="s">
        <v>102</v>
      </c>
      <c r="Y2691" t="s">
        <v>303</v>
      </c>
      <c r="Z2691" t="s">
        <v>96</v>
      </c>
      <c r="AA2691" t="s">
        <v>1566</v>
      </c>
      <c r="AB2691" t="s">
        <v>2657</v>
      </c>
      <c r="AC2691">
        <v>308</v>
      </c>
      <c r="AD2691">
        <v>97</v>
      </c>
      <c r="AE2691">
        <v>98</v>
      </c>
      <c r="AF2691">
        <v>49.73</v>
      </c>
      <c r="AG2691">
        <v>7.37</v>
      </c>
      <c r="AH2691">
        <v>2.95</v>
      </c>
      <c r="AI2691">
        <v>0.09</v>
      </c>
      <c r="AJ2691">
        <v>0.02</v>
      </c>
      <c r="AK2691">
        <v>90</v>
      </c>
      <c r="AL2691">
        <v>283</v>
      </c>
      <c r="AM2691">
        <v>96</v>
      </c>
      <c r="AN2691">
        <v>0.71</v>
      </c>
      <c r="AO2691">
        <v>-0.78</v>
      </c>
      <c r="AP2691">
        <v>708</v>
      </c>
      <c r="AQ2691">
        <v>3</v>
      </c>
      <c r="AR2691">
        <v>5.73</v>
      </c>
      <c r="AS2691">
        <v>94</v>
      </c>
      <c r="AT2691">
        <v>2.74</v>
      </c>
      <c r="AU2691">
        <v>94</v>
      </c>
      <c r="AV2691">
        <v>-2.36</v>
      </c>
      <c r="AW2691">
        <v>98</v>
      </c>
      <c r="AX2691">
        <v>-0.32</v>
      </c>
      <c r="AY2691">
        <v>93</v>
      </c>
      <c r="AZ2691">
        <v>7.16</v>
      </c>
      <c r="BA2691">
        <v>82</v>
      </c>
      <c r="BB2691">
        <v>5.79</v>
      </c>
      <c r="BC2691">
        <v>76</v>
      </c>
      <c r="BD2691">
        <v>0.01</v>
      </c>
      <c r="BE2691">
        <v>0</v>
      </c>
      <c r="BF2691">
        <v>0.05</v>
      </c>
      <c r="BG2691">
        <v>95</v>
      </c>
      <c r="BH2691">
        <v>-7.0000000000000007E-2</v>
      </c>
      <c r="BI2691">
        <v>12.33</v>
      </c>
      <c r="BJ2691">
        <v>97</v>
      </c>
      <c r="BK2691">
        <v>37</v>
      </c>
      <c r="BL2691">
        <v>0.73</v>
      </c>
      <c r="BM2691">
        <v>-2.31</v>
      </c>
      <c r="BN2691">
        <v>-0.78</v>
      </c>
      <c r="BO2691">
        <v>0.79</v>
      </c>
      <c r="BP2691">
        <v>-1.34</v>
      </c>
      <c r="BQ2691">
        <v>0.27</v>
      </c>
      <c r="BR2691">
        <v>-3.36</v>
      </c>
      <c r="BS2691">
        <v>1.21</v>
      </c>
      <c r="BT2691">
        <v>3.2</v>
      </c>
      <c r="BU2691">
        <v>1.32</v>
      </c>
      <c r="BV2691">
        <v>2.1</v>
      </c>
      <c r="BW2691">
        <v>1.05</v>
      </c>
      <c r="BX2691">
        <v>1.4</v>
      </c>
      <c r="BY2691">
        <v>1.0900000000000001</v>
      </c>
      <c r="BZ2691">
        <v>-1.77</v>
      </c>
      <c r="CA2691">
        <v>1.34</v>
      </c>
      <c r="CB2691">
        <v>1.1499999999999999</v>
      </c>
      <c r="CC2691">
        <v>1.1299999999999999</v>
      </c>
      <c r="CD2691">
        <v>-1.1399999999999999</v>
      </c>
      <c r="CE2691">
        <v>0.54</v>
      </c>
      <c r="CF2691">
        <v>-0.77</v>
      </c>
      <c r="CG2691">
        <v>0</v>
      </c>
      <c r="CH2691">
        <v>0.99</v>
      </c>
      <c r="CI2691">
        <v>0</v>
      </c>
      <c r="CJ2691">
        <v>-2.7</v>
      </c>
      <c r="CK2691">
        <v>97</v>
      </c>
      <c r="CL2691">
        <v>-1.05</v>
      </c>
      <c r="CM2691">
        <v>97</v>
      </c>
      <c r="CN2691">
        <v>-0.7</v>
      </c>
      <c r="CO2691">
        <v>96</v>
      </c>
      <c r="CP2691">
        <v>-5</v>
      </c>
      <c r="CQ2691">
        <v>93</v>
      </c>
      <c r="CR2691">
        <v>0</v>
      </c>
      <c r="CS2691">
        <v>0</v>
      </c>
      <c r="CT2691">
        <v>5.3</v>
      </c>
      <c r="CU2691">
        <v>92</v>
      </c>
      <c r="CV2691">
        <v>0.22</v>
      </c>
      <c r="CW2691">
        <v>45</v>
      </c>
      <c r="CX2691" t="s">
        <v>1184</v>
      </c>
    </row>
    <row r="2692" spans="1:102" x14ac:dyDescent="0.3">
      <c r="A2692" t="str">
        <f>HYPERLINK("https://webapp.icbf.com/v2/app/bull-search/view/1121660077","S1666")</f>
        <v>S1666</v>
      </c>
      <c r="B2692" t="s">
        <v>6810</v>
      </c>
      <c r="C2692" t="s">
        <v>6811</v>
      </c>
      <c r="D2692" s="1">
        <v>40734</v>
      </c>
      <c r="E2692" t="s">
        <v>92</v>
      </c>
      <c r="F2692">
        <v>100</v>
      </c>
      <c r="G2692" t="s">
        <v>109</v>
      </c>
      <c r="H2692">
        <v>21.31</v>
      </c>
      <c r="I2692">
        <v>71</v>
      </c>
      <c r="J2692">
        <v>41.17</v>
      </c>
      <c r="K2692">
        <v>87</v>
      </c>
      <c r="L2692">
        <v>-34.19</v>
      </c>
      <c r="M2692">
        <v>81</v>
      </c>
      <c r="N2692">
        <v>-1.93</v>
      </c>
      <c r="O2692">
        <v>51</v>
      </c>
      <c r="P2692">
        <v>-3.21</v>
      </c>
      <c r="Q2692">
        <v>45</v>
      </c>
      <c r="R2692">
        <v>7.64</v>
      </c>
      <c r="S2692">
        <v>59</v>
      </c>
      <c r="T2692">
        <v>13.53</v>
      </c>
      <c r="U2692">
        <v>45</v>
      </c>
      <c r="V2692">
        <v>-1.7</v>
      </c>
      <c r="W2692">
        <v>16</v>
      </c>
      <c r="X2692" t="s">
        <v>94</v>
      </c>
      <c r="Y2692" t="s">
        <v>362</v>
      </c>
      <c r="Z2692" t="s">
        <v>96</v>
      </c>
      <c r="AA2692" t="s">
        <v>5309</v>
      </c>
      <c r="AB2692" t="s">
        <v>6812</v>
      </c>
      <c r="AC2692">
        <v>0</v>
      </c>
      <c r="AD2692">
        <v>0</v>
      </c>
      <c r="AE2692">
        <v>87</v>
      </c>
      <c r="AF2692">
        <v>250.27</v>
      </c>
      <c r="AG2692">
        <v>14.68</v>
      </c>
      <c r="AH2692">
        <v>5.64</v>
      </c>
      <c r="AI2692">
        <v>0.08</v>
      </c>
      <c r="AJ2692">
        <v>-0.05</v>
      </c>
      <c r="AK2692">
        <v>81</v>
      </c>
      <c r="AL2692">
        <v>0</v>
      </c>
      <c r="AM2692">
        <v>0</v>
      </c>
      <c r="AN2692">
        <v>3.15</v>
      </c>
      <c r="AO2692">
        <v>0.44</v>
      </c>
      <c r="AP2692">
        <v>21</v>
      </c>
      <c r="AQ2692">
        <v>0</v>
      </c>
      <c r="AR2692">
        <v>10.17</v>
      </c>
      <c r="AS2692">
        <v>43</v>
      </c>
      <c r="AT2692">
        <v>4.54</v>
      </c>
      <c r="AU2692">
        <v>89</v>
      </c>
      <c r="AV2692">
        <v>-2.41</v>
      </c>
      <c r="AW2692">
        <v>44</v>
      </c>
      <c r="AX2692">
        <v>-0.3</v>
      </c>
      <c r="AY2692">
        <v>39</v>
      </c>
      <c r="AZ2692">
        <v>6.22</v>
      </c>
      <c r="BA2692">
        <v>30</v>
      </c>
      <c r="BB2692">
        <v>4.99</v>
      </c>
      <c r="BC2692">
        <v>24</v>
      </c>
      <c r="BD2692">
        <v>-0.01</v>
      </c>
      <c r="BE2692">
        <v>-0.01</v>
      </c>
      <c r="BF2692">
        <v>-0.14000000000000001</v>
      </c>
      <c r="BG2692">
        <v>89</v>
      </c>
      <c r="BH2692">
        <v>0.09</v>
      </c>
      <c r="BI2692">
        <v>15.89</v>
      </c>
      <c r="BJ2692">
        <v>2</v>
      </c>
      <c r="BK2692">
        <v>2</v>
      </c>
      <c r="BL2692">
        <v>2.5099999999999998</v>
      </c>
      <c r="BM2692">
        <v>-0.54</v>
      </c>
      <c r="BN2692">
        <v>0.77</v>
      </c>
      <c r="BO2692">
        <v>1.49</v>
      </c>
      <c r="BP2692">
        <v>0.8</v>
      </c>
      <c r="BQ2692">
        <v>2.95</v>
      </c>
      <c r="BR2692">
        <v>-2.4900000000000002</v>
      </c>
      <c r="BS2692">
        <v>2.0299999999999998</v>
      </c>
      <c r="BT2692">
        <v>3.22</v>
      </c>
      <c r="BU2692">
        <v>3.52</v>
      </c>
      <c r="BV2692">
        <v>2.92</v>
      </c>
      <c r="BW2692">
        <v>1.1599999999999999</v>
      </c>
      <c r="BX2692">
        <v>3.63</v>
      </c>
      <c r="BY2692">
        <v>0.12</v>
      </c>
      <c r="BZ2692">
        <v>-1.65</v>
      </c>
      <c r="CA2692">
        <v>1.67</v>
      </c>
      <c r="CB2692">
        <v>1.51</v>
      </c>
      <c r="CC2692">
        <v>1.28</v>
      </c>
      <c r="CD2692">
        <v>-0.41</v>
      </c>
      <c r="CE2692">
        <v>1.54</v>
      </c>
      <c r="CF2692">
        <v>1.59</v>
      </c>
      <c r="CG2692">
        <v>0</v>
      </c>
      <c r="CH2692">
        <v>1.2</v>
      </c>
      <c r="CI2692">
        <v>0</v>
      </c>
      <c r="CJ2692">
        <v>2.1</v>
      </c>
      <c r="CK2692">
        <v>47</v>
      </c>
      <c r="CL2692">
        <v>-1.1299999999999999</v>
      </c>
      <c r="CM2692">
        <v>43</v>
      </c>
      <c r="CN2692">
        <v>-0.54</v>
      </c>
      <c r="CO2692">
        <v>40</v>
      </c>
      <c r="CP2692">
        <v>-5.0999999999999996</v>
      </c>
      <c r="CQ2692">
        <v>45</v>
      </c>
      <c r="CR2692">
        <v>0</v>
      </c>
      <c r="CS2692">
        <v>0</v>
      </c>
      <c r="CT2692">
        <v>-4.5</v>
      </c>
      <c r="CU2692">
        <v>45</v>
      </c>
      <c r="CV2692">
        <v>0.45</v>
      </c>
      <c r="CW2692">
        <v>12</v>
      </c>
      <c r="CX2692" t="s">
        <v>2453</v>
      </c>
    </row>
    <row r="2693" spans="1:102" x14ac:dyDescent="0.3">
      <c r="A2693" t="str">
        <f>HYPERLINK("https://webapp.icbf.com/v2/app/bull-search/view/77858254","ERB")</f>
        <v>ERB</v>
      </c>
      <c r="B2693" t="s">
        <v>3624</v>
      </c>
      <c r="C2693" t="s">
        <v>3625</v>
      </c>
      <c r="D2693" s="1">
        <v>31596</v>
      </c>
      <c r="E2693" t="s">
        <v>108</v>
      </c>
      <c r="F2693">
        <v>0</v>
      </c>
      <c r="G2693" t="s">
        <v>93</v>
      </c>
      <c r="H2693">
        <v>21.21</v>
      </c>
      <c r="I2693">
        <v>52</v>
      </c>
      <c r="J2693">
        <v>-59.48</v>
      </c>
      <c r="K2693">
        <v>67</v>
      </c>
      <c r="L2693">
        <v>61.17</v>
      </c>
      <c r="M2693">
        <v>44</v>
      </c>
      <c r="N2693">
        <v>10.68</v>
      </c>
      <c r="O2693">
        <v>40</v>
      </c>
      <c r="P2693">
        <v>5.73</v>
      </c>
      <c r="Q2693">
        <v>53</v>
      </c>
      <c r="R2693">
        <v>-0.35</v>
      </c>
      <c r="S2693">
        <v>45</v>
      </c>
      <c r="T2693">
        <v>5.54</v>
      </c>
      <c r="U2693">
        <v>55</v>
      </c>
      <c r="V2693">
        <v>-2.08</v>
      </c>
      <c r="W2693">
        <v>19</v>
      </c>
      <c r="X2693" t="s">
        <v>110</v>
      </c>
      <c r="Y2693" t="s">
        <v>117</v>
      </c>
      <c r="Z2693" t="s">
        <v>96</v>
      </c>
      <c r="AA2693" t="s">
        <v>675</v>
      </c>
      <c r="AB2693" t="s">
        <v>3626</v>
      </c>
      <c r="AC2693">
        <v>11</v>
      </c>
      <c r="AD2693">
        <v>4</v>
      </c>
      <c r="AE2693">
        <v>67</v>
      </c>
      <c r="AF2693">
        <v>-327.75</v>
      </c>
      <c r="AG2693">
        <v>-12.87</v>
      </c>
      <c r="AH2693">
        <v>-10.58</v>
      </c>
      <c r="AI2693">
        <v>0</v>
      </c>
      <c r="AJ2693">
        <v>0.01</v>
      </c>
      <c r="AK2693">
        <v>44</v>
      </c>
      <c r="AL2693">
        <v>18</v>
      </c>
      <c r="AM2693">
        <v>5</v>
      </c>
      <c r="AN2693">
        <v>-5.52</v>
      </c>
      <c r="AO2693">
        <v>-0.67</v>
      </c>
      <c r="AP2693">
        <v>3</v>
      </c>
      <c r="AQ2693">
        <v>0</v>
      </c>
      <c r="AR2693">
        <v>5.59</v>
      </c>
      <c r="AS2693">
        <v>19</v>
      </c>
      <c r="AT2693">
        <v>2.5</v>
      </c>
      <c r="AU2693">
        <v>34</v>
      </c>
      <c r="AV2693">
        <v>-0.32</v>
      </c>
      <c r="AW2693">
        <v>49</v>
      </c>
      <c r="AX2693">
        <v>-0.27</v>
      </c>
      <c r="AY2693">
        <v>50</v>
      </c>
      <c r="AZ2693">
        <v>7.09</v>
      </c>
      <c r="BA2693">
        <v>19</v>
      </c>
      <c r="BB2693">
        <v>5.27</v>
      </c>
      <c r="BC2693">
        <v>30</v>
      </c>
      <c r="BD2693">
        <v>0.03</v>
      </c>
      <c r="BE2693">
        <v>0.02</v>
      </c>
      <c r="BF2693">
        <v>-0.08</v>
      </c>
      <c r="BG2693">
        <v>58</v>
      </c>
      <c r="BH2693">
        <v>-7.0000000000000007E-2</v>
      </c>
      <c r="BI2693">
        <v>-1.38</v>
      </c>
      <c r="BJ2693">
        <v>0</v>
      </c>
      <c r="BK2693">
        <v>0</v>
      </c>
      <c r="BL2693">
        <v>-2.91</v>
      </c>
      <c r="BM2693">
        <v>1.73</v>
      </c>
      <c r="BN2693">
        <v>-2.4900000000000002</v>
      </c>
      <c r="BO2693">
        <v>-2.94</v>
      </c>
      <c r="BP2693">
        <v>-0.94</v>
      </c>
      <c r="BQ2693">
        <v>0.78</v>
      </c>
      <c r="BR2693">
        <v>-0.03</v>
      </c>
      <c r="BS2693">
        <v>-0.71</v>
      </c>
      <c r="BT2693">
        <v>-0.41</v>
      </c>
      <c r="BU2693">
        <v>-0.21</v>
      </c>
      <c r="BV2693">
        <v>-1.36</v>
      </c>
      <c r="BW2693">
        <v>-1.33</v>
      </c>
      <c r="BX2693">
        <v>0.39</v>
      </c>
      <c r="BY2693">
        <v>0.37</v>
      </c>
      <c r="BZ2693">
        <v>-1.73</v>
      </c>
      <c r="CA2693">
        <v>-1.6</v>
      </c>
      <c r="CB2693">
        <v>-1.49</v>
      </c>
      <c r="CC2693">
        <v>-1.33</v>
      </c>
      <c r="CD2693">
        <v>2.86</v>
      </c>
      <c r="CE2693">
        <v>-3.01</v>
      </c>
      <c r="CF2693">
        <v>-2.62</v>
      </c>
      <c r="CG2693">
        <v>0</v>
      </c>
      <c r="CH2693">
        <v>0.03</v>
      </c>
      <c r="CI2693">
        <v>0</v>
      </c>
      <c r="CJ2693">
        <v>4.0999999999999996</v>
      </c>
      <c r="CK2693">
        <v>55</v>
      </c>
      <c r="CL2693">
        <v>0.16</v>
      </c>
      <c r="CM2693">
        <v>50</v>
      </c>
      <c r="CN2693">
        <v>0.13</v>
      </c>
      <c r="CO2693">
        <v>46</v>
      </c>
      <c r="CP2693">
        <v>-0.4</v>
      </c>
      <c r="CQ2693">
        <v>59</v>
      </c>
      <c r="CR2693">
        <v>0</v>
      </c>
      <c r="CS2693">
        <v>0</v>
      </c>
      <c r="CT2693">
        <v>6.3</v>
      </c>
      <c r="CU2693">
        <v>55</v>
      </c>
      <c r="CV2693">
        <v>-0.03</v>
      </c>
      <c r="CW2693">
        <v>14</v>
      </c>
      <c r="CX2693" t="s">
        <v>3627</v>
      </c>
    </row>
    <row r="2694" spans="1:102" x14ac:dyDescent="0.3">
      <c r="A2694" t="str">
        <f>HYPERLINK("https://webapp.icbf.com/v2/app/bull-search/view/69092233","MHK")</f>
        <v>MHK</v>
      </c>
      <c r="B2694" t="s">
        <v>12152</v>
      </c>
      <c r="C2694" t="s">
        <v>12153</v>
      </c>
      <c r="D2694" s="1">
        <v>33855</v>
      </c>
      <c r="E2694" t="s">
        <v>92</v>
      </c>
      <c r="F2694">
        <v>88</v>
      </c>
      <c r="G2694" t="s">
        <v>93</v>
      </c>
      <c r="H2694">
        <v>21.1</v>
      </c>
      <c r="I2694">
        <v>97</v>
      </c>
      <c r="J2694">
        <v>26.93</v>
      </c>
      <c r="K2694">
        <v>99</v>
      </c>
      <c r="L2694">
        <v>-2.19</v>
      </c>
      <c r="M2694">
        <v>95</v>
      </c>
      <c r="N2694">
        <v>-2.97</v>
      </c>
      <c r="O2694">
        <v>98</v>
      </c>
      <c r="P2694">
        <v>-3.93</v>
      </c>
      <c r="Q2694">
        <v>99</v>
      </c>
      <c r="R2694">
        <v>-8.58</v>
      </c>
      <c r="S2694">
        <v>96</v>
      </c>
      <c r="T2694">
        <v>5.0199999999999996</v>
      </c>
      <c r="U2694">
        <v>99</v>
      </c>
      <c r="V2694">
        <v>6.82</v>
      </c>
      <c r="W2694">
        <v>96</v>
      </c>
      <c r="X2694" t="s">
        <v>102</v>
      </c>
      <c r="Y2694" t="s">
        <v>95</v>
      </c>
      <c r="Z2694" t="s">
        <v>96</v>
      </c>
      <c r="AA2694" t="s">
        <v>485</v>
      </c>
      <c r="AB2694" t="s">
        <v>12154</v>
      </c>
      <c r="AC2694">
        <v>1665</v>
      </c>
      <c r="AD2694">
        <v>570</v>
      </c>
      <c r="AE2694">
        <v>99</v>
      </c>
      <c r="AF2694">
        <v>162.41999999999999</v>
      </c>
      <c r="AG2694">
        <v>1.57</v>
      </c>
      <c r="AH2694">
        <v>6.51</v>
      </c>
      <c r="AI2694">
        <v>-0.08</v>
      </c>
      <c r="AJ2694">
        <v>0.02</v>
      </c>
      <c r="AK2694">
        <v>95</v>
      </c>
      <c r="AL2694">
        <v>2053</v>
      </c>
      <c r="AM2694">
        <v>726</v>
      </c>
      <c r="AN2694">
        <v>0.45</v>
      </c>
      <c r="AO2694">
        <v>0.28000000000000003</v>
      </c>
      <c r="AP2694">
        <v>1037</v>
      </c>
      <c r="AQ2694">
        <v>1</v>
      </c>
      <c r="AR2694">
        <v>8.81</v>
      </c>
      <c r="AS2694">
        <v>95</v>
      </c>
      <c r="AT2694">
        <v>3.22</v>
      </c>
      <c r="AU2694">
        <v>98</v>
      </c>
      <c r="AV2694">
        <v>-0.22</v>
      </c>
      <c r="AW2694">
        <v>99</v>
      </c>
      <c r="AX2694">
        <v>-0.04</v>
      </c>
      <c r="AY2694">
        <v>99</v>
      </c>
      <c r="AZ2694">
        <v>6.02</v>
      </c>
      <c r="BA2694">
        <v>94</v>
      </c>
      <c r="BB2694">
        <v>5.26</v>
      </c>
      <c r="BC2694">
        <v>97</v>
      </c>
      <c r="BD2694">
        <v>-0.04</v>
      </c>
      <c r="BE2694">
        <v>0.06</v>
      </c>
      <c r="BF2694">
        <v>0.15</v>
      </c>
      <c r="BG2694">
        <v>99</v>
      </c>
      <c r="BH2694">
        <v>0.22</v>
      </c>
      <c r="BI2694">
        <v>3.45</v>
      </c>
      <c r="BJ2694">
        <v>49</v>
      </c>
      <c r="BK2694">
        <v>35</v>
      </c>
      <c r="BL2694">
        <v>0.4</v>
      </c>
      <c r="BM2694">
        <v>0.7</v>
      </c>
      <c r="BN2694">
        <v>0.11</v>
      </c>
      <c r="BO2694">
        <v>-0.09</v>
      </c>
      <c r="BP2694">
        <v>-0.01</v>
      </c>
      <c r="BQ2694">
        <v>0.25</v>
      </c>
      <c r="BR2694">
        <v>0.36</v>
      </c>
      <c r="BS2694">
        <v>0.22</v>
      </c>
      <c r="BT2694">
        <v>0.23</v>
      </c>
      <c r="BU2694">
        <v>0.83</v>
      </c>
      <c r="BV2694">
        <v>0.79</v>
      </c>
      <c r="BW2694">
        <v>-0.86</v>
      </c>
      <c r="BX2694">
        <v>0.34</v>
      </c>
      <c r="BY2694">
        <v>-7.0000000000000007E-2</v>
      </c>
      <c r="BZ2694">
        <v>-2.29</v>
      </c>
      <c r="CA2694">
        <v>0.62</v>
      </c>
      <c r="CB2694">
        <v>0.67</v>
      </c>
      <c r="CC2694">
        <v>0.15</v>
      </c>
      <c r="CD2694">
        <v>0.61</v>
      </c>
      <c r="CE2694">
        <v>0.42</v>
      </c>
      <c r="CF2694">
        <v>0.56999999999999995</v>
      </c>
      <c r="CG2694">
        <v>0</v>
      </c>
      <c r="CH2694">
        <v>-0.02</v>
      </c>
      <c r="CI2694">
        <v>0</v>
      </c>
      <c r="CJ2694">
        <v>1.8</v>
      </c>
      <c r="CK2694">
        <v>99</v>
      </c>
      <c r="CL2694">
        <v>-0.64</v>
      </c>
      <c r="CM2694">
        <v>99</v>
      </c>
      <c r="CN2694">
        <v>-0.05</v>
      </c>
      <c r="CO2694">
        <v>99</v>
      </c>
      <c r="CP2694">
        <v>-2.6</v>
      </c>
      <c r="CQ2694">
        <v>99</v>
      </c>
      <c r="CR2694">
        <v>0</v>
      </c>
      <c r="CS2694">
        <v>0</v>
      </c>
      <c r="CT2694">
        <v>7</v>
      </c>
      <c r="CU2694">
        <v>99</v>
      </c>
      <c r="CV2694">
        <v>0.13</v>
      </c>
      <c r="CW2694">
        <v>48</v>
      </c>
      <c r="CX2694" t="s">
        <v>617</v>
      </c>
    </row>
    <row r="2695" spans="1:102" x14ac:dyDescent="0.3">
      <c r="A2695" t="str">
        <f>HYPERLINK("https://webapp.icbf.com/v2/app/bull-search/view/458686249","VDO")</f>
        <v>VDO</v>
      </c>
      <c r="B2695" t="s">
        <v>144</v>
      </c>
      <c r="C2695" t="s">
        <v>2922</v>
      </c>
      <c r="D2695" s="1">
        <v>35110</v>
      </c>
      <c r="E2695" t="s">
        <v>895</v>
      </c>
      <c r="F2695">
        <v>0</v>
      </c>
      <c r="G2695" t="s">
        <v>93</v>
      </c>
      <c r="H2695">
        <v>20.9</v>
      </c>
      <c r="I2695">
        <v>67</v>
      </c>
      <c r="J2695">
        <v>18.829999999999998</v>
      </c>
      <c r="K2695">
        <v>90</v>
      </c>
      <c r="L2695">
        <v>-20.11</v>
      </c>
      <c r="M2695">
        <v>46</v>
      </c>
      <c r="N2695">
        <v>-12.4</v>
      </c>
      <c r="O2695">
        <v>61</v>
      </c>
      <c r="P2695">
        <v>24.37</v>
      </c>
      <c r="Q2695">
        <v>80</v>
      </c>
      <c r="R2695">
        <v>3.35</v>
      </c>
      <c r="S2695">
        <v>54</v>
      </c>
      <c r="T2695">
        <v>3.47</v>
      </c>
      <c r="U2695">
        <v>72</v>
      </c>
      <c r="V2695">
        <v>3.39</v>
      </c>
      <c r="W2695">
        <v>41</v>
      </c>
      <c r="X2695" t="s">
        <v>234</v>
      </c>
      <c r="Y2695" t="s">
        <v>95</v>
      </c>
      <c r="Z2695">
        <v>0</v>
      </c>
      <c r="AA2695" t="s">
        <v>2923</v>
      </c>
      <c r="AB2695" t="s">
        <v>2924</v>
      </c>
      <c r="AC2695">
        <v>37</v>
      </c>
      <c r="AD2695">
        <v>22</v>
      </c>
      <c r="AE2695">
        <v>90</v>
      </c>
      <c r="AF2695">
        <v>-188.38</v>
      </c>
      <c r="AG2695">
        <v>1.58</v>
      </c>
      <c r="AH2695">
        <v>-0.24</v>
      </c>
      <c r="AI2695">
        <v>0.15</v>
      </c>
      <c r="AJ2695">
        <v>0.11</v>
      </c>
      <c r="AK2695">
        <v>46</v>
      </c>
      <c r="AL2695">
        <v>37</v>
      </c>
      <c r="AM2695">
        <v>23</v>
      </c>
      <c r="AN2695">
        <v>2.16</v>
      </c>
      <c r="AO2695">
        <v>0.56999999999999995</v>
      </c>
      <c r="AP2695">
        <v>62</v>
      </c>
      <c r="AQ2695">
        <v>4</v>
      </c>
      <c r="AR2695">
        <v>8.27</v>
      </c>
      <c r="AS2695">
        <v>38</v>
      </c>
      <c r="AT2695">
        <v>3.84</v>
      </c>
      <c r="AU2695">
        <v>63</v>
      </c>
      <c r="AV2695">
        <v>1.64</v>
      </c>
      <c r="AW2695">
        <v>75</v>
      </c>
      <c r="AX2695">
        <v>-0.34</v>
      </c>
      <c r="AY2695">
        <v>63</v>
      </c>
      <c r="AZ2695">
        <v>4.53</v>
      </c>
      <c r="BA2695">
        <v>30</v>
      </c>
      <c r="BB2695">
        <v>3.68</v>
      </c>
      <c r="BC2695">
        <v>36</v>
      </c>
      <c r="BD2695">
        <v>-0.03</v>
      </c>
      <c r="BE2695">
        <v>-0.03</v>
      </c>
      <c r="BF2695">
        <v>0.03</v>
      </c>
      <c r="BG2695">
        <v>67</v>
      </c>
      <c r="BH2695">
        <v>-0.03</v>
      </c>
      <c r="BI2695">
        <v>-14.42</v>
      </c>
      <c r="BJ2695">
        <v>0</v>
      </c>
      <c r="BK2695">
        <v>0</v>
      </c>
      <c r="BL2695">
        <v>-0.87</v>
      </c>
      <c r="BM2695">
        <v>0.68</v>
      </c>
      <c r="BN2695">
        <v>-0.76</v>
      </c>
      <c r="BO2695">
        <v>-1.02</v>
      </c>
      <c r="BP2695">
        <v>0.49</v>
      </c>
      <c r="BQ2695">
        <v>-0.18</v>
      </c>
      <c r="BR2695">
        <v>0.31</v>
      </c>
      <c r="BS2695">
        <v>-0.25</v>
      </c>
      <c r="BT2695">
        <v>-0.24</v>
      </c>
      <c r="BU2695">
        <v>-0.69</v>
      </c>
      <c r="BV2695">
        <v>-1.34</v>
      </c>
      <c r="BW2695">
        <v>-1.1599999999999999</v>
      </c>
      <c r="BX2695">
        <v>-0.41</v>
      </c>
      <c r="BY2695">
        <v>-0.71</v>
      </c>
      <c r="BZ2695">
        <v>-0.18</v>
      </c>
      <c r="CA2695">
        <v>-1.04</v>
      </c>
      <c r="CB2695">
        <v>-1.0900000000000001</v>
      </c>
      <c r="CC2695">
        <v>-0.56000000000000005</v>
      </c>
      <c r="CD2695">
        <v>0.87</v>
      </c>
      <c r="CE2695">
        <v>-1.05</v>
      </c>
      <c r="CF2695">
        <v>-0.95</v>
      </c>
      <c r="CG2695">
        <v>0</v>
      </c>
      <c r="CH2695">
        <v>-1</v>
      </c>
      <c r="CI2695">
        <v>0</v>
      </c>
      <c r="CJ2695">
        <v>11.1</v>
      </c>
      <c r="CK2695">
        <v>82</v>
      </c>
      <c r="CL2695">
        <v>7.0000000000000007E-2</v>
      </c>
      <c r="CM2695">
        <v>78</v>
      </c>
      <c r="CN2695">
        <v>-0.61</v>
      </c>
      <c r="CO2695">
        <v>75</v>
      </c>
      <c r="CP2695">
        <v>7.9</v>
      </c>
      <c r="CQ2695">
        <v>78</v>
      </c>
      <c r="CR2695">
        <v>0</v>
      </c>
      <c r="CS2695">
        <v>0</v>
      </c>
      <c r="CT2695">
        <v>9.1</v>
      </c>
      <c r="CU2695">
        <v>72</v>
      </c>
      <c r="CV2695">
        <v>0</v>
      </c>
      <c r="CW2695">
        <v>22</v>
      </c>
      <c r="CX2695" t="s">
        <v>2925</v>
      </c>
    </row>
    <row r="2696" spans="1:102" x14ac:dyDescent="0.3">
      <c r="A2696" t="str">
        <f>HYPERLINK("https://webapp.icbf.com/v2/app/bull-search/view/77853556","SYC")</f>
        <v>SYC</v>
      </c>
      <c r="B2696" t="s">
        <v>12178</v>
      </c>
      <c r="C2696" t="s">
        <v>12179</v>
      </c>
      <c r="D2696" s="1">
        <v>35275</v>
      </c>
      <c r="E2696" t="s">
        <v>92</v>
      </c>
      <c r="F2696">
        <v>97</v>
      </c>
      <c r="G2696" t="s">
        <v>93</v>
      </c>
      <c r="H2696">
        <v>20.87</v>
      </c>
      <c r="I2696">
        <v>76</v>
      </c>
      <c r="J2696">
        <v>-2.95</v>
      </c>
      <c r="K2696">
        <v>95</v>
      </c>
      <c r="L2696">
        <v>7.76</v>
      </c>
      <c r="M2696">
        <v>64</v>
      </c>
      <c r="N2696">
        <v>26.28</v>
      </c>
      <c r="O2696">
        <v>67</v>
      </c>
      <c r="P2696">
        <v>-3.3</v>
      </c>
      <c r="Q2696">
        <v>82</v>
      </c>
      <c r="R2696">
        <v>-17.64</v>
      </c>
      <c r="S2696">
        <v>69</v>
      </c>
      <c r="T2696">
        <v>13.16</v>
      </c>
      <c r="U2696">
        <v>71</v>
      </c>
      <c r="V2696">
        <v>-2.44</v>
      </c>
      <c r="W2696">
        <v>42</v>
      </c>
      <c r="X2696" t="s">
        <v>94</v>
      </c>
      <c r="Y2696" t="s">
        <v>95</v>
      </c>
      <c r="Z2696" t="s">
        <v>96</v>
      </c>
      <c r="AA2696" t="s">
        <v>753</v>
      </c>
      <c r="AB2696" t="s">
        <v>12180</v>
      </c>
      <c r="AC2696">
        <v>78</v>
      </c>
      <c r="AD2696">
        <v>68</v>
      </c>
      <c r="AE2696">
        <v>95</v>
      </c>
      <c r="AF2696">
        <v>97.99</v>
      </c>
      <c r="AG2696">
        <v>2</v>
      </c>
      <c r="AH2696">
        <v>0.28999999999999998</v>
      </c>
      <c r="AI2696">
        <v>-0.03</v>
      </c>
      <c r="AJ2696">
        <v>-0.05</v>
      </c>
      <c r="AK2696">
        <v>64</v>
      </c>
      <c r="AL2696">
        <v>75</v>
      </c>
      <c r="AM2696">
        <v>59</v>
      </c>
      <c r="AN2696">
        <v>-0.31</v>
      </c>
      <c r="AO2696">
        <v>0.31</v>
      </c>
      <c r="AP2696">
        <v>9</v>
      </c>
      <c r="AQ2696">
        <v>0</v>
      </c>
      <c r="AR2696">
        <v>7.15</v>
      </c>
      <c r="AS2696">
        <v>44</v>
      </c>
      <c r="AT2696">
        <v>2.5299999999999998</v>
      </c>
      <c r="AU2696">
        <v>65</v>
      </c>
      <c r="AV2696">
        <v>-2.08</v>
      </c>
      <c r="AW2696">
        <v>74</v>
      </c>
      <c r="AX2696">
        <v>-0.59</v>
      </c>
      <c r="AY2696">
        <v>73</v>
      </c>
      <c r="AZ2696">
        <v>6</v>
      </c>
      <c r="BA2696">
        <v>44</v>
      </c>
      <c r="BB2696">
        <v>4.6900000000000004</v>
      </c>
      <c r="BC2696">
        <v>61</v>
      </c>
      <c r="BD2696">
        <v>0.01</v>
      </c>
      <c r="BE2696">
        <v>0.11</v>
      </c>
      <c r="BF2696">
        <v>0.18</v>
      </c>
      <c r="BG2696">
        <v>82</v>
      </c>
      <c r="BH2696">
        <v>-0.05</v>
      </c>
      <c r="BI2696">
        <v>2.09</v>
      </c>
      <c r="BJ2696">
        <v>7</v>
      </c>
      <c r="BK2696">
        <v>6</v>
      </c>
      <c r="BL2696">
        <v>-0.3</v>
      </c>
      <c r="BM2696">
        <v>0.35</v>
      </c>
      <c r="BN2696">
        <v>-0.84</v>
      </c>
      <c r="BO2696">
        <v>-0.73</v>
      </c>
      <c r="BP2696">
        <v>1.61</v>
      </c>
      <c r="BQ2696">
        <v>-1.1499999999999999</v>
      </c>
      <c r="BR2696">
        <v>1.22</v>
      </c>
      <c r="BS2696">
        <v>-0.88</v>
      </c>
      <c r="BT2696">
        <v>-1.94</v>
      </c>
      <c r="BU2696">
        <v>-0.21</v>
      </c>
      <c r="BV2696">
        <v>-0.42</v>
      </c>
      <c r="BW2696">
        <v>-0.41</v>
      </c>
      <c r="BX2696">
        <v>-0.6</v>
      </c>
      <c r="BY2696">
        <v>0.05</v>
      </c>
      <c r="BZ2696">
        <v>0.67</v>
      </c>
      <c r="CA2696">
        <v>-0.6</v>
      </c>
      <c r="CB2696">
        <v>-0.5</v>
      </c>
      <c r="CC2696">
        <v>-0.69</v>
      </c>
      <c r="CD2696">
        <v>0.57999999999999996</v>
      </c>
      <c r="CE2696">
        <v>-0.4</v>
      </c>
      <c r="CF2696">
        <v>-0.46</v>
      </c>
      <c r="CG2696">
        <v>0</v>
      </c>
      <c r="CH2696">
        <v>-1.01</v>
      </c>
      <c r="CI2696">
        <v>0</v>
      </c>
      <c r="CJ2696">
        <v>2.4</v>
      </c>
      <c r="CK2696">
        <v>83</v>
      </c>
      <c r="CL2696">
        <v>-0.53</v>
      </c>
      <c r="CM2696">
        <v>80</v>
      </c>
      <c r="CN2696">
        <v>0.05</v>
      </c>
      <c r="CO2696">
        <v>77</v>
      </c>
      <c r="CP2696">
        <v>-3.7</v>
      </c>
      <c r="CQ2696">
        <v>87</v>
      </c>
      <c r="CR2696">
        <v>0</v>
      </c>
      <c r="CS2696">
        <v>0</v>
      </c>
      <c r="CT2696">
        <v>-4</v>
      </c>
      <c r="CU2696">
        <v>71</v>
      </c>
      <c r="CV2696">
        <v>0.26</v>
      </c>
      <c r="CW2696">
        <v>24</v>
      </c>
      <c r="CX2696" t="s">
        <v>99</v>
      </c>
    </row>
    <row r="2697" spans="1:102" x14ac:dyDescent="0.3">
      <c r="A2697" t="str">
        <f>HYPERLINK("https://webapp.icbf.com/v2/app/bull-search/view/77853403","SPB")</f>
        <v>SPB</v>
      </c>
      <c r="B2697" t="s">
        <v>10856</v>
      </c>
      <c r="C2697" t="s">
        <v>10857</v>
      </c>
      <c r="D2697" s="1">
        <v>32518</v>
      </c>
      <c r="E2697" t="s">
        <v>108</v>
      </c>
      <c r="F2697">
        <v>13</v>
      </c>
      <c r="G2697" t="s">
        <v>93</v>
      </c>
      <c r="H2697">
        <v>20.84</v>
      </c>
      <c r="I2697">
        <v>62</v>
      </c>
      <c r="J2697">
        <v>-65.14</v>
      </c>
      <c r="K2697">
        <v>70</v>
      </c>
      <c r="L2697">
        <v>93.86</v>
      </c>
      <c r="M2697">
        <v>63</v>
      </c>
      <c r="N2697">
        <v>1.62</v>
      </c>
      <c r="O2697">
        <v>50</v>
      </c>
      <c r="P2697">
        <v>-10.39</v>
      </c>
      <c r="Q2697">
        <v>63</v>
      </c>
      <c r="R2697">
        <v>-11.29</v>
      </c>
      <c r="S2697">
        <v>59</v>
      </c>
      <c r="T2697">
        <v>18.93</v>
      </c>
      <c r="U2697">
        <v>51</v>
      </c>
      <c r="V2697">
        <v>-6.75</v>
      </c>
      <c r="W2697">
        <v>35</v>
      </c>
      <c r="X2697" t="s">
        <v>94</v>
      </c>
      <c r="Y2697" t="s">
        <v>95</v>
      </c>
      <c r="Z2697" t="s">
        <v>96</v>
      </c>
      <c r="AA2697" t="s">
        <v>831</v>
      </c>
      <c r="AB2697" t="s">
        <v>852</v>
      </c>
      <c r="AC2697">
        <v>11</v>
      </c>
      <c r="AD2697">
        <v>8</v>
      </c>
      <c r="AE2697">
        <v>70</v>
      </c>
      <c r="AF2697">
        <v>-525.6</v>
      </c>
      <c r="AG2697">
        <v>-11.46</v>
      </c>
      <c r="AH2697">
        <v>-15.07</v>
      </c>
      <c r="AI2697">
        <v>0.16</v>
      </c>
      <c r="AJ2697">
        <v>0.05</v>
      </c>
      <c r="AK2697">
        <v>63</v>
      </c>
      <c r="AL2697">
        <v>81</v>
      </c>
      <c r="AM2697">
        <v>53</v>
      </c>
      <c r="AN2697">
        <v>-5.5</v>
      </c>
      <c r="AO2697">
        <v>1.98</v>
      </c>
      <c r="AP2697">
        <v>11</v>
      </c>
      <c r="AQ2697">
        <v>0</v>
      </c>
      <c r="AR2697">
        <v>7.32</v>
      </c>
      <c r="AS2697">
        <v>28</v>
      </c>
      <c r="AT2697">
        <v>2.96</v>
      </c>
      <c r="AU2697">
        <v>43</v>
      </c>
      <c r="AV2697">
        <v>7.0000000000000007E-2</v>
      </c>
      <c r="AW2697">
        <v>64</v>
      </c>
      <c r="AX2697">
        <v>-0.06</v>
      </c>
      <c r="AY2697">
        <v>57</v>
      </c>
      <c r="AZ2697">
        <v>6.95</v>
      </c>
      <c r="BA2697">
        <v>25</v>
      </c>
      <c r="BB2697">
        <v>4.8899999999999997</v>
      </c>
      <c r="BC2697">
        <v>36</v>
      </c>
      <c r="BD2697">
        <v>0.04</v>
      </c>
      <c r="BE2697">
        <v>7.0000000000000007E-2</v>
      </c>
      <c r="BF2697">
        <v>0.06</v>
      </c>
      <c r="BG2697">
        <v>82</v>
      </c>
      <c r="BH2697">
        <v>-0.12</v>
      </c>
      <c r="BI2697">
        <v>7.89</v>
      </c>
      <c r="BJ2697">
        <v>16</v>
      </c>
      <c r="BK2697">
        <v>10</v>
      </c>
      <c r="BL2697">
        <v>-2.27</v>
      </c>
      <c r="BM2697">
        <v>2.98</v>
      </c>
      <c r="BN2697">
        <v>-0.98</v>
      </c>
      <c r="BO2697">
        <v>-2.78</v>
      </c>
      <c r="BP2697">
        <v>-0.37</v>
      </c>
      <c r="BQ2697">
        <v>1.52</v>
      </c>
      <c r="BR2697">
        <v>-0.51</v>
      </c>
      <c r="BS2697">
        <v>-0.87</v>
      </c>
      <c r="BT2697">
        <v>-0.73</v>
      </c>
      <c r="BU2697">
        <v>-2.25</v>
      </c>
      <c r="BV2697">
        <v>-2.69</v>
      </c>
      <c r="BW2697">
        <v>-2.2799999999999998</v>
      </c>
      <c r="BX2697">
        <v>-2.37</v>
      </c>
      <c r="BY2697">
        <v>-1.07</v>
      </c>
      <c r="BZ2697">
        <v>0.12</v>
      </c>
      <c r="CA2697">
        <v>-2.66</v>
      </c>
      <c r="CB2697">
        <v>-2.75</v>
      </c>
      <c r="CC2697">
        <v>-1.54</v>
      </c>
      <c r="CD2697">
        <v>3.24</v>
      </c>
      <c r="CE2697">
        <v>-2.77</v>
      </c>
      <c r="CF2697">
        <v>-1.84</v>
      </c>
      <c r="CG2697">
        <v>0</v>
      </c>
      <c r="CH2697">
        <v>-1.88</v>
      </c>
      <c r="CI2697">
        <v>0</v>
      </c>
      <c r="CJ2697">
        <v>-4.8</v>
      </c>
      <c r="CK2697">
        <v>66</v>
      </c>
      <c r="CL2697">
        <v>-0.16</v>
      </c>
      <c r="CM2697">
        <v>60</v>
      </c>
      <c r="CN2697">
        <v>0.01</v>
      </c>
      <c r="CO2697">
        <v>57</v>
      </c>
      <c r="CP2697">
        <v>-13.3</v>
      </c>
      <c r="CQ2697">
        <v>65</v>
      </c>
      <c r="CR2697">
        <v>0</v>
      </c>
      <c r="CS2697">
        <v>0</v>
      </c>
      <c r="CT2697">
        <v>-11.8</v>
      </c>
      <c r="CU2697">
        <v>51</v>
      </c>
      <c r="CV2697">
        <v>-0.1</v>
      </c>
      <c r="CW2697">
        <v>18</v>
      </c>
      <c r="CX2697" t="s">
        <v>853</v>
      </c>
    </row>
    <row r="2698" spans="1:102" x14ac:dyDescent="0.3">
      <c r="A2698" t="str">
        <f>HYPERLINK("https://webapp.icbf.com/v2/app/bull-search/view/69091591","EMG")</f>
        <v>EMG</v>
      </c>
      <c r="B2698" t="s">
        <v>14852</v>
      </c>
      <c r="C2698" t="s">
        <v>1022</v>
      </c>
      <c r="D2698" s="1">
        <v>32527</v>
      </c>
      <c r="E2698" t="s">
        <v>140</v>
      </c>
      <c r="F2698">
        <v>0</v>
      </c>
      <c r="G2698" t="s">
        <v>93</v>
      </c>
      <c r="H2698">
        <v>20.72</v>
      </c>
      <c r="I2698">
        <v>74</v>
      </c>
      <c r="J2698">
        <v>-86.38</v>
      </c>
      <c r="K2698">
        <v>91</v>
      </c>
      <c r="L2698">
        <v>94.92</v>
      </c>
      <c r="M2698">
        <v>61</v>
      </c>
      <c r="N2698">
        <v>-2.48</v>
      </c>
      <c r="O2698">
        <v>68</v>
      </c>
      <c r="P2698">
        <v>16.510000000000002</v>
      </c>
      <c r="Q2698">
        <v>80</v>
      </c>
      <c r="R2698">
        <v>0.57999999999999996</v>
      </c>
      <c r="S2698">
        <v>63</v>
      </c>
      <c r="T2698">
        <v>10.64</v>
      </c>
      <c r="U2698">
        <v>77</v>
      </c>
      <c r="V2698">
        <v>-13.07</v>
      </c>
      <c r="W2698">
        <v>43</v>
      </c>
      <c r="X2698" t="s">
        <v>94</v>
      </c>
      <c r="Y2698" t="s">
        <v>95</v>
      </c>
      <c r="Z2698">
        <v>0</v>
      </c>
      <c r="AA2698" t="s">
        <v>696</v>
      </c>
      <c r="AB2698" t="s">
        <v>14853</v>
      </c>
      <c r="AC2698">
        <v>56</v>
      </c>
      <c r="AD2698">
        <v>25</v>
      </c>
      <c r="AE2698">
        <v>91</v>
      </c>
      <c r="AF2698">
        <v>-387.02</v>
      </c>
      <c r="AG2698">
        <v>-22.46</v>
      </c>
      <c r="AH2698">
        <v>-12.67</v>
      </c>
      <c r="AI2698">
        <v>-0.13</v>
      </c>
      <c r="AJ2698">
        <v>0.01</v>
      </c>
      <c r="AK2698">
        <v>61</v>
      </c>
      <c r="AL2698">
        <v>51</v>
      </c>
      <c r="AM2698">
        <v>28</v>
      </c>
      <c r="AN2698">
        <v>-5.15</v>
      </c>
      <c r="AO2698">
        <v>2.42</v>
      </c>
      <c r="AP2698">
        <v>1</v>
      </c>
      <c r="AQ2698">
        <v>1</v>
      </c>
      <c r="AR2698">
        <v>6.34</v>
      </c>
      <c r="AS2698">
        <v>39</v>
      </c>
      <c r="AT2698">
        <v>3.72</v>
      </c>
      <c r="AU2698">
        <v>58</v>
      </c>
      <c r="AV2698">
        <v>1.26</v>
      </c>
      <c r="AW2698">
        <v>85</v>
      </c>
      <c r="AX2698">
        <v>-0.33</v>
      </c>
      <c r="AY2698">
        <v>72</v>
      </c>
      <c r="AZ2698">
        <v>4.5199999999999996</v>
      </c>
      <c r="BA2698">
        <v>36</v>
      </c>
      <c r="BB2698">
        <v>3.62</v>
      </c>
      <c r="BC2698">
        <v>53</v>
      </c>
      <c r="BD2698">
        <v>0.01</v>
      </c>
      <c r="BE2698">
        <v>0</v>
      </c>
      <c r="BF2698">
        <v>-0.03</v>
      </c>
      <c r="BG2698">
        <v>79</v>
      </c>
      <c r="BH2698">
        <v>-0.28999999999999998</v>
      </c>
      <c r="BI2698">
        <v>8.6</v>
      </c>
      <c r="BJ2698">
        <v>0</v>
      </c>
      <c r="BK2698">
        <v>0</v>
      </c>
      <c r="BL2698">
        <v>-0.96</v>
      </c>
      <c r="BM2698">
        <v>3.54</v>
      </c>
      <c r="BN2698">
        <v>-1.8</v>
      </c>
      <c r="BO2698">
        <v>-3.17</v>
      </c>
      <c r="BP2698">
        <v>4.13</v>
      </c>
      <c r="BQ2698">
        <v>-2.39</v>
      </c>
      <c r="BR2698">
        <v>-2.8</v>
      </c>
      <c r="BS2698">
        <v>-0.02</v>
      </c>
      <c r="BT2698">
        <v>2.73</v>
      </c>
      <c r="BU2698">
        <v>-3.95</v>
      </c>
      <c r="BV2698">
        <v>-4.25</v>
      </c>
      <c r="BW2698">
        <v>-3.18</v>
      </c>
      <c r="BX2698">
        <v>-3.56</v>
      </c>
      <c r="BY2698">
        <v>-1.95</v>
      </c>
      <c r="BZ2698">
        <v>1.1299999999999999</v>
      </c>
      <c r="CA2698">
        <v>-2.59</v>
      </c>
      <c r="CB2698">
        <v>-3.41</v>
      </c>
      <c r="CC2698">
        <v>-0.24</v>
      </c>
      <c r="CD2698">
        <v>4.08</v>
      </c>
      <c r="CE2698">
        <v>-3.12</v>
      </c>
      <c r="CF2698">
        <v>-1.05</v>
      </c>
      <c r="CG2698">
        <v>0</v>
      </c>
      <c r="CH2698">
        <v>-3.2</v>
      </c>
      <c r="CI2698">
        <v>0</v>
      </c>
      <c r="CJ2698">
        <v>3.2</v>
      </c>
      <c r="CK2698">
        <v>81</v>
      </c>
      <c r="CL2698">
        <v>0.3</v>
      </c>
      <c r="CM2698">
        <v>79</v>
      </c>
      <c r="CN2698">
        <v>-0.72</v>
      </c>
      <c r="CO2698">
        <v>76</v>
      </c>
      <c r="CP2698">
        <v>3.8</v>
      </c>
      <c r="CQ2698">
        <v>82</v>
      </c>
      <c r="CR2698">
        <v>0</v>
      </c>
      <c r="CS2698">
        <v>0</v>
      </c>
      <c r="CT2698">
        <v>-0.6</v>
      </c>
      <c r="CU2698">
        <v>77</v>
      </c>
      <c r="CV2698">
        <v>-0.3</v>
      </c>
      <c r="CW2698">
        <v>22</v>
      </c>
      <c r="CX2698" t="s">
        <v>363</v>
      </c>
    </row>
    <row r="2699" spans="1:102" x14ac:dyDescent="0.3">
      <c r="A2699" t="str">
        <f>HYPERLINK("https://webapp.icbf.com/v2/app/bull-search/view/388952334","OVB")</f>
        <v>OVB</v>
      </c>
      <c r="B2699" t="s">
        <v>245</v>
      </c>
      <c r="C2699" t="s">
        <v>246</v>
      </c>
      <c r="D2699" s="1">
        <v>36058</v>
      </c>
      <c r="E2699" t="s">
        <v>140</v>
      </c>
      <c r="F2699">
        <v>0</v>
      </c>
      <c r="G2699" t="s">
        <v>93</v>
      </c>
      <c r="H2699">
        <v>20.49</v>
      </c>
      <c r="I2699">
        <v>77</v>
      </c>
      <c r="J2699">
        <v>2.15</v>
      </c>
      <c r="K2699">
        <v>90</v>
      </c>
      <c r="L2699">
        <v>64.22</v>
      </c>
      <c r="M2699">
        <v>62</v>
      </c>
      <c r="N2699">
        <v>-66.41</v>
      </c>
      <c r="O2699">
        <v>78</v>
      </c>
      <c r="P2699">
        <v>16.02</v>
      </c>
      <c r="Q2699">
        <v>92</v>
      </c>
      <c r="R2699">
        <v>3.97</v>
      </c>
      <c r="S2699">
        <v>64</v>
      </c>
      <c r="T2699">
        <v>1.84</v>
      </c>
      <c r="U2699">
        <v>83</v>
      </c>
      <c r="V2699">
        <v>-1.3</v>
      </c>
      <c r="W2699">
        <v>61</v>
      </c>
      <c r="X2699" t="s">
        <v>102</v>
      </c>
      <c r="Y2699" t="s">
        <v>95</v>
      </c>
      <c r="Z2699">
        <v>0</v>
      </c>
      <c r="AA2699" t="s">
        <v>247</v>
      </c>
      <c r="AB2699" t="s">
        <v>248</v>
      </c>
      <c r="AC2699">
        <v>38</v>
      </c>
      <c r="AD2699">
        <v>25</v>
      </c>
      <c r="AE2699">
        <v>90</v>
      </c>
      <c r="AF2699">
        <v>56.11</v>
      </c>
      <c r="AG2699">
        <v>-6.49</v>
      </c>
      <c r="AH2699">
        <v>3.52</v>
      </c>
      <c r="AI2699">
        <v>-0.14000000000000001</v>
      </c>
      <c r="AJ2699">
        <v>0.03</v>
      </c>
      <c r="AK2699">
        <v>62</v>
      </c>
      <c r="AL2699">
        <v>60</v>
      </c>
      <c r="AM2699">
        <v>40</v>
      </c>
      <c r="AN2699">
        <v>-4.4000000000000004</v>
      </c>
      <c r="AO2699">
        <v>0.71</v>
      </c>
      <c r="AP2699">
        <v>126</v>
      </c>
      <c r="AQ2699">
        <v>2</v>
      </c>
      <c r="AR2699">
        <v>10.44</v>
      </c>
      <c r="AS2699">
        <v>58</v>
      </c>
      <c r="AT2699">
        <v>5.24</v>
      </c>
      <c r="AU2699">
        <v>79</v>
      </c>
      <c r="AV2699">
        <v>4.96</v>
      </c>
      <c r="AW2699">
        <v>90</v>
      </c>
      <c r="AX2699">
        <v>0.51</v>
      </c>
      <c r="AY2699">
        <v>75</v>
      </c>
      <c r="AZ2699">
        <v>4.96</v>
      </c>
      <c r="BA2699">
        <v>52</v>
      </c>
      <c r="BB2699">
        <v>4.12</v>
      </c>
      <c r="BC2699">
        <v>57</v>
      </c>
      <c r="BD2699">
        <v>0.01</v>
      </c>
      <c r="BE2699">
        <v>-0.02</v>
      </c>
      <c r="BF2699">
        <v>-7.0000000000000007E-2</v>
      </c>
      <c r="BG2699">
        <v>71</v>
      </c>
      <c r="BH2699">
        <v>0.05</v>
      </c>
      <c r="BI2699">
        <v>9.98</v>
      </c>
      <c r="BJ2699">
        <v>1</v>
      </c>
      <c r="BK2699">
        <v>1</v>
      </c>
      <c r="BL2699">
        <v>-0.42</v>
      </c>
      <c r="BM2699">
        <v>3.92</v>
      </c>
      <c r="BN2699">
        <v>-2.09</v>
      </c>
      <c r="BO2699">
        <v>-3.36</v>
      </c>
      <c r="BP2699">
        <v>4.79</v>
      </c>
      <c r="BQ2699">
        <v>-1.33</v>
      </c>
      <c r="BR2699">
        <v>-2.82</v>
      </c>
      <c r="BS2699">
        <v>-0.3</v>
      </c>
      <c r="BT2699">
        <v>2.97</v>
      </c>
      <c r="BU2699">
        <v>-3.57</v>
      </c>
      <c r="BV2699">
        <v>-3.98</v>
      </c>
      <c r="BW2699">
        <v>-2.98</v>
      </c>
      <c r="BX2699">
        <v>-2.68</v>
      </c>
      <c r="BY2699">
        <v>-1.96</v>
      </c>
      <c r="BZ2699">
        <v>1.96</v>
      </c>
      <c r="CA2699">
        <v>-2.59</v>
      </c>
      <c r="CB2699">
        <v>-3.38</v>
      </c>
      <c r="CC2699">
        <v>-0.36</v>
      </c>
      <c r="CD2699">
        <v>4.2</v>
      </c>
      <c r="CE2699">
        <v>-3.15</v>
      </c>
      <c r="CF2699">
        <v>-1.1200000000000001</v>
      </c>
      <c r="CG2699">
        <v>0</v>
      </c>
      <c r="CH2699">
        <v>-2.42</v>
      </c>
      <c r="CI2699">
        <v>0</v>
      </c>
      <c r="CJ2699">
        <v>5.4</v>
      </c>
      <c r="CK2699">
        <v>93</v>
      </c>
      <c r="CL2699">
        <v>0.28000000000000003</v>
      </c>
      <c r="CM2699">
        <v>91</v>
      </c>
      <c r="CN2699">
        <v>-0.4</v>
      </c>
      <c r="CO2699">
        <v>90</v>
      </c>
      <c r="CP2699">
        <v>6.6</v>
      </c>
      <c r="CQ2699">
        <v>85</v>
      </c>
      <c r="CR2699">
        <v>0</v>
      </c>
      <c r="CS2699">
        <v>0</v>
      </c>
      <c r="CT2699">
        <v>11.3</v>
      </c>
      <c r="CU2699">
        <v>83</v>
      </c>
      <c r="CV2699">
        <v>-0.09</v>
      </c>
      <c r="CW2699">
        <v>27</v>
      </c>
      <c r="CX2699" t="s">
        <v>224</v>
      </c>
    </row>
    <row r="2700" spans="1:102" x14ac:dyDescent="0.3">
      <c r="A2700" t="str">
        <f>HYPERLINK("https://webapp.icbf.com/v2/app/bull-search/view/135525727","WEV")</f>
        <v>WEV</v>
      </c>
      <c r="B2700" t="s">
        <v>11529</v>
      </c>
      <c r="C2700" t="s">
        <v>11530</v>
      </c>
      <c r="D2700" s="1">
        <v>36893</v>
      </c>
      <c r="E2700" t="s">
        <v>92</v>
      </c>
      <c r="F2700">
        <v>100</v>
      </c>
      <c r="G2700" t="s">
        <v>93</v>
      </c>
      <c r="H2700">
        <v>20.48</v>
      </c>
      <c r="I2700">
        <v>89</v>
      </c>
      <c r="J2700">
        <v>103.49</v>
      </c>
      <c r="K2700">
        <v>97</v>
      </c>
      <c r="L2700">
        <v>-78.03</v>
      </c>
      <c r="M2700">
        <v>83</v>
      </c>
      <c r="N2700">
        <v>6.87</v>
      </c>
      <c r="O2700">
        <v>87</v>
      </c>
      <c r="P2700">
        <v>-10.31</v>
      </c>
      <c r="Q2700">
        <v>94</v>
      </c>
      <c r="R2700">
        <v>-11.09</v>
      </c>
      <c r="S2700">
        <v>83</v>
      </c>
      <c r="T2700">
        <v>9.5299999999999994</v>
      </c>
      <c r="U2700">
        <v>86</v>
      </c>
      <c r="V2700">
        <v>0.02</v>
      </c>
      <c r="W2700">
        <v>77</v>
      </c>
      <c r="X2700" t="s">
        <v>94</v>
      </c>
      <c r="Y2700" t="s">
        <v>95</v>
      </c>
      <c r="Z2700" t="s">
        <v>96</v>
      </c>
      <c r="AA2700" t="s">
        <v>273</v>
      </c>
      <c r="AB2700" t="s">
        <v>7784</v>
      </c>
      <c r="AC2700">
        <v>106</v>
      </c>
      <c r="AD2700">
        <v>66</v>
      </c>
      <c r="AE2700">
        <v>97</v>
      </c>
      <c r="AF2700">
        <v>209.46</v>
      </c>
      <c r="AG2700">
        <v>14.32</v>
      </c>
      <c r="AH2700">
        <v>15.74</v>
      </c>
      <c r="AI2700">
        <v>0.1</v>
      </c>
      <c r="AJ2700">
        <v>0.15</v>
      </c>
      <c r="AK2700">
        <v>83</v>
      </c>
      <c r="AL2700">
        <v>107</v>
      </c>
      <c r="AM2700">
        <v>64</v>
      </c>
      <c r="AN2700">
        <v>3.68</v>
      </c>
      <c r="AO2700">
        <v>-2.5499999999999998</v>
      </c>
      <c r="AP2700">
        <v>198</v>
      </c>
      <c r="AQ2700">
        <v>0</v>
      </c>
      <c r="AR2700">
        <v>6.15</v>
      </c>
      <c r="AS2700">
        <v>75</v>
      </c>
      <c r="AT2700">
        <v>3.71</v>
      </c>
      <c r="AU2700">
        <v>90</v>
      </c>
      <c r="AV2700">
        <v>-0.48</v>
      </c>
      <c r="AW2700">
        <v>95</v>
      </c>
      <c r="AX2700">
        <v>-0.84</v>
      </c>
      <c r="AY2700">
        <v>83</v>
      </c>
      <c r="AZ2700">
        <v>5.47</v>
      </c>
      <c r="BA2700">
        <v>70</v>
      </c>
      <c r="BB2700">
        <v>4.83</v>
      </c>
      <c r="BC2700">
        <v>73</v>
      </c>
      <c r="BD2700">
        <v>0.03</v>
      </c>
      <c r="BE2700">
        <v>0.05</v>
      </c>
      <c r="BF2700">
        <v>0.11</v>
      </c>
      <c r="BG2700">
        <v>91</v>
      </c>
      <c r="BH2700">
        <v>0.2</v>
      </c>
      <c r="BI2700">
        <v>23.08</v>
      </c>
      <c r="BJ2700">
        <v>38</v>
      </c>
      <c r="BK2700">
        <v>16</v>
      </c>
      <c r="BL2700">
        <v>0.38</v>
      </c>
      <c r="BM2700">
        <v>-1.85</v>
      </c>
      <c r="BN2700">
        <v>-0.25</v>
      </c>
      <c r="BO2700">
        <v>1.1299999999999999</v>
      </c>
      <c r="BP2700">
        <v>1.21</v>
      </c>
      <c r="BQ2700">
        <v>-0.89</v>
      </c>
      <c r="BR2700">
        <v>0.7</v>
      </c>
      <c r="BS2700">
        <v>-1.02</v>
      </c>
      <c r="BT2700">
        <v>-0.91</v>
      </c>
      <c r="BU2700">
        <v>-1</v>
      </c>
      <c r="BV2700">
        <v>0.12</v>
      </c>
      <c r="BW2700">
        <v>0.83</v>
      </c>
      <c r="BX2700">
        <v>-1.51</v>
      </c>
      <c r="BY2700">
        <v>2.71</v>
      </c>
      <c r="BZ2700">
        <v>-0.83</v>
      </c>
      <c r="CA2700">
        <v>0.01</v>
      </c>
      <c r="CB2700">
        <v>0.46</v>
      </c>
      <c r="CC2700">
        <v>-0.96</v>
      </c>
      <c r="CD2700">
        <v>-1.5</v>
      </c>
      <c r="CE2700">
        <v>1.36</v>
      </c>
      <c r="CF2700">
        <v>-0.1</v>
      </c>
      <c r="CG2700">
        <v>0</v>
      </c>
      <c r="CH2700">
        <v>2.11</v>
      </c>
      <c r="CI2700">
        <v>0</v>
      </c>
      <c r="CJ2700">
        <v>-2</v>
      </c>
      <c r="CK2700">
        <v>95</v>
      </c>
      <c r="CL2700">
        <v>-0.7</v>
      </c>
      <c r="CM2700">
        <v>94</v>
      </c>
      <c r="CN2700">
        <v>-0.04</v>
      </c>
      <c r="CO2700">
        <v>93</v>
      </c>
      <c r="CP2700">
        <v>-5.3</v>
      </c>
      <c r="CQ2700">
        <v>91</v>
      </c>
      <c r="CR2700">
        <v>0</v>
      </c>
      <c r="CS2700">
        <v>0</v>
      </c>
      <c r="CT2700">
        <v>0.9</v>
      </c>
      <c r="CU2700">
        <v>86</v>
      </c>
      <c r="CV2700">
        <v>0.13</v>
      </c>
      <c r="CW2700">
        <v>45</v>
      </c>
      <c r="CX2700" t="s">
        <v>218</v>
      </c>
    </row>
    <row r="2701" spans="1:102" x14ac:dyDescent="0.3">
      <c r="A2701" t="str">
        <f>HYPERLINK("https://webapp.icbf.com/v2/app/bull-search/view/139187464","CFZ")</f>
        <v>CFZ</v>
      </c>
      <c r="B2701" t="s">
        <v>11471</v>
      </c>
      <c r="C2701" t="s">
        <v>11472</v>
      </c>
      <c r="D2701" s="1">
        <v>34825</v>
      </c>
      <c r="E2701" t="s">
        <v>1061</v>
      </c>
      <c r="F2701">
        <v>0</v>
      </c>
      <c r="G2701" t="s">
        <v>109</v>
      </c>
      <c r="H2701">
        <v>20.43</v>
      </c>
      <c r="I2701">
        <v>51</v>
      </c>
      <c r="J2701">
        <v>-25.58</v>
      </c>
      <c r="K2701">
        <v>68</v>
      </c>
      <c r="L2701">
        <v>64.400000000000006</v>
      </c>
      <c r="M2701">
        <v>63</v>
      </c>
      <c r="N2701">
        <v>-20.47</v>
      </c>
      <c r="O2701">
        <v>23</v>
      </c>
      <c r="P2701">
        <v>-11.87</v>
      </c>
      <c r="Q2701">
        <v>33</v>
      </c>
      <c r="R2701">
        <v>-1.84</v>
      </c>
      <c r="S2701">
        <v>11</v>
      </c>
      <c r="T2701">
        <v>19.149999999999999</v>
      </c>
      <c r="U2701">
        <v>22</v>
      </c>
      <c r="V2701">
        <v>-3.36</v>
      </c>
      <c r="W2701">
        <v>5</v>
      </c>
      <c r="X2701" t="s">
        <v>94</v>
      </c>
      <c r="Y2701" t="s">
        <v>1534</v>
      </c>
      <c r="Z2701">
        <v>0</v>
      </c>
      <c r="AA2701" t="s">
        <v>1065</v>
      </c>
      <c r="AB2701" t="s">
        <v>9986</v>
      </c>
      <c r="AC2701">
        <v>0</v>
      </c>
      <c r="AD2701">
        <v>0</v>
      </c>
      <c r="AE2701">
        <v>68</v>
      </c>
      <c r="AF2701">
        <v>-231.49</v>
      </c>
      <c r="AG2701">
        <v>-8.69</v>
      </c>
      <c r="AH2701">
        <v>-4.82</v>
      </c>
      <c r="AI2701">
        <v>0.01</v>
      </c>
      <c r="AJ2701">
        <v>0.05</v>
      </c>
      <c r="AK2701">
        <v>63</v>
      </c>
      <c r="AL2701">
        <v>0</v>
      </c>
      <c r="AM2701">
        <v>0</v>
      </c>
      <c r="AN2701">
        <v>-2.39</v>
      </c>
      <c r="AO2701">
        <v>2.76</v>
      </c>
      <c r="AP2701">
        <v>2</v>
      </c>
      <c r="AQ2701">
        <v>0</v>
      </c>
      <c r="AR2701">
        <v>8.1999999999999993</v>
      </c>
      <c r="AS2701">
        <v>9</v>
      </c>
      <c r="AT2701">
        <v>3.31</v>
      </c>
      <c r="AU2701">
        <v>21</v>
      </c>
      <c r="AV2701">
        <v>1.25</v>
      </c>
      <c r="AW2701">
        <v>35</v>
      </c>
      <c r="AX2701">
        <v>0.15</v>
      </c>
      <c r="AY2701">
        <v>18</v>
      </c>
      <c r="AZ2701">
        <v>7.75</v>
      </c>
      <c r="BA2701">
        <v>6</v>
      </c>
      <c r="BB2701">
        <v>5.91</v>
      </c>
      <c r="BC2701">
        <v>7</v>
      </c>
      <c r="BD2701">
        <v>0.02</v>
      </c>
      <c r="BE2701">
        <v>0.01</v>
      </c>
      <c r="BF2701">
        <v>-0.01</v>
      </c>
      <c r="BG2701">
        <v>15</v>
      </c>
      <c r="BH2701">
        <v>-0.08</v>
      </c>
      <c r="BI2701">
        <v>1.58</v>
      </c>
      <c r="BJ2701">
        <v>0</v>
      </c>
      <c r="BK2701">
        <v>0</v>
      </c>
      <c r="BL2701">
        <v>0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-6.2</v>
      </c>
      <c r="CK2701">
        <v>35</v>
      </c>
      <c r="CL2701">
        <v>-0.43</v>
      </c>
      <c r="CM2701">
        <v>31</v>
      </c>
      <c r="CN2701">
        <v>-0.22</v>
      </c>
      <c r="CO2701">
        <v>28</v>
      </c>
      <c r="CP2701">
        <v>-9.6999999999999993</v>
      </c>
      <c r="CQ2701">
        <v>28</v>
      </c>
      <c r="CR2701">
        <v>0</v>
      </c>
      <c r="CS2701">
        <v>0</v>
      </c>
      <c r="CT2701">
        <v>-12.1</v>
      </c>
      <c r="CU2701">
        <v>22</v>
      </c>
      <c r="CV2701">
        <v>-0.12</v>
      </c>
      <c r="CW2701">
        <v>9</v>
      </c>
      <c r="CX2701" t="s">
        <v>9987</v>
      </c>
    </row>
    <row r="2702" spans="1:102" x14ac:dyDescent="0.3">
      <c r="A2702" t="str">
        <f>HYPERLINK("https://webapp.icbf.com/v2/app/bull-search/view/69091783","GPH")</f>
        <v>GPH</v>
      </c>
      <c r="B2702" t="s">
        <v>5028</v>
      </c>
      <c r="C2702" t="s">
        <v>1200</v>
      </c>
      <c r="D2702" s="1">
        <v>33519</v>
      </c>
      <c r="E2702" t="s">
        <v>197</v>
      </c>
      <c r="F2702">
        <v>0</v>
      </c>
      <c r="G2702" t="s">
        <v>93</v>
      </c>
      <c r="H2702">
        <v>20.41</v>
      </c>
      <c r="I2702">
        <v>48</v>
      </c>
      <c r="J2702">
        <v>-66.97</v>
      </c>
      <c r="K2702">
        <v>71</v>
      </c>
      <c r="L2702">
        <v>77.819999999999993</v>
      </c>
      <c r="M2702">
        <v>30</v>
      </c>
      <c r="N2702">
        <v>-24.99</v>
      </c>
      <c r="O2702">
        <v>37</v>
      </c>
      <c r="P2702">
        <v>46.38</v>
      </c>
      <c r="Q2702">
        <v>56</v>
      </c>
      <c r="R2702">
        <v>0.62</v>
      </c>
      <c r="S2702">
        <v>31</v>
      </c>
      <c r="T2702">
        <v>-9.85</v>
      </c>
      <c r="U2702">
        <v>57</v>
      </c>
      <c r="V2702">
        <v>-2.6</v>
      </c>
      <c r="W2702">
        <v>5</v>
      </c>
      <c r="X2702" t="s">
        <v>276</v>
      </c>
      <c r="Y2702" t="s">
        <v>95</v>
      </c>
      <c r="Z2702">
        <v>0</v>
      </c>
      <c r="AA2702" t="s">
        <v>701</v>
      </c>
      <c r="AB2702" t="s">
        <v>5029</v>
      </c>
      <c r="AC2702">
        <v>14</v>
      </c>
      <c r="AD2702">
        <v>5</v>
      </c>
      <c r="AE2702">
        <v>71</v>
      </c>
      <c r="AF2702">
        <v>-373.79</v>
      </c>
      <c r="AG2702">
        <v>-15.89</v>
      </c>
      <c r="AH2702">
        <v>-11.49</v>
      </c>
      <c r="AI2702">
        <v>-0.02</v>
      </c>
      <c r="AJ2702">
        <v>0.02</v>
      </c>
      <c r="AK2702">
        <v>30</v>
      </c>
      <c r="AL2702">
        <v>12</v>
      </c>
      <c r="AM2702">
        <v>5</v>
      </c>
      <c r="AN2702">
        <v>-5.47</v>
      </c>
      <c r="AO2702">
        <v>0.72</v>
      </c>
      <c r="AP2702">
        <v>2</v>
      </c>
      <c r="AQ2702">
        <v>0</v>
      </c>
      <c r="AR2702">
        <v>6.04</v>
      </c>
      <c r="AS2702">
        <v>17</v>
      </c>
      <c r="AT2702">
        <v>5.54</v>
      </c>
      <c r="AU2702">
        <v>29</v>
      </c>
      <c r="AV2702">
        <v>1.4</v>
      </c>
      <c r="AW2702">
        <v>54</v>
      </c>
      <c r="AX2702">
        <v>0.11</v>
      </c>
      <c r="AY2702">
        <v>37</v>
      </c>
      <c r="AZ2702">
        <v>6.58</v>
      </c>
      <c r="BA2702">
        <v>12</v>
      </c>
      <c r="BB2702">
        <v>3.63</v>
      </c>
      <c r="BC2702">
        <v>18</v>
      </c>
      <c r="BD2702">
        <v>0.01</v>
      </c>
      <c r="BE2702">
        <v>0.01</v>
      </c>
      <c r="BF2702">
        <v>-0.05</v>
      </c>
      <c r="BG2702">
        <v>41</v>
      </c>
      <c r="BH2702">
        <v>-0.11</v>
      </c>
      <c r="BI2702">
        <v>-4.3499999999999996</v>
      </c>
      <c r="BJ2702">
        <v>0</v>
      </c>
      <c r="BK2702">
        <v>0</v>
      </c>
      <c r="BL2702">
        <v>0</v>
      </c>
      <c r="BM2702">
        <v>0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24.2</v>
      </c>
      <c r="CK2702">
        <v>58</v>
      </c>
      <c r="CL2702">
        <v>0.59</v>
      </c>
      <c r="CM2702">
        <v>53</v>
      </c>
      <c r="CN2702">
        <v>-0.28999999999999998</v>
      </c>
      <c r="CO2702">
        <v>48</v>
      </c>
      <c r="CP2702">
        <v>23.3</v>
      </c>
      <c r="CQ2702">
        <v>63</v>
      </c>
      <c r="CR2702">
        <v>0</v>
      </c>
      <c r="CS2702">
        <v>0</v>
      </c>
      <c r="CT2702">
        <v>27.1</v>
      </c>
      <c r="CU2702">
        <v>57</v>
      </c>
      <c r="CV2702">
        <v>0.12</v>
      </c>
      <c r="CW2702">
        <v>15</v>
      </c>
      <c r="CX2702" t="s">
        <v>4411</v>
      </c>
    </row>
    <row r="2703" spans="1:102" x14ac:dyDescent="0.3">
      <c r="A2703" t="str">
        <f>HYPERLINK("https://webapp.icbf.com/v2/app/bull-search/view/77852671","WRE")</f>
        <v>WRE</v>
      </c>
      <c r="B2703" t="s">
        <v>10772</v>
      </c>
      <c r="C2703" t="s">
        <v>10773</v>
      </c>
      <c r="D2703" s="1">
        <v>34857</v>
      </c>
      <c r="E2703" t="s">
        <v>92</v>
      </c>
      <c r="F2703">
        <v>94</v>
      </c>
      <c r="G2703" t="s">
        <v>93</v>
      </c>
      <c r="H2703">
        <v>20.39</v>
      </c>
      <c r="I2703">
        <v>90</v>
      </c>
      <c r="J2703">
        <v>-10.54</v>
      </c>
      <c r="K2703">
        <v>98</v>
      </c>
      <c r="L2703">
        <v>33.11</v>
      </c>
      <c r="M2703">
        <v>86</v>
      </c>
      <c r="N2703">
        <v>6.13</v>
      </c>
      <c r="O2703">
        <v>82</v>
      </c>
      <c r="P2703">
        <v>-5.94</v>
      </c>
      <c r="Q2703">
        <v>92</v>
      </c>
      <c r="R2703">
        <v>-7.18</v>
      </c>
      <c r="S2703">
        <v>85</v>
      </c>
      <c r="T2703">
        <v>7.83</v>
      </c>
      <c r="U2703">
        <v>87</v>
      </c>
      <c r="V2703">
        <v>-3.02</v>
      </c>
      <c r="W2703">
        <v>76</v>
      </c>
      <c r="X2703" t="s">
        <v>102</v>
      </c>
      <c r="Y2703" t="s">
        <v>95</v>
      </c>
      <c r="Z2703" t="s">
        <v>96</v>
      </c>
      <c r="AA2703" t="s">
        <v>105</v>
      </c>
      <c r="AB2703" t="s">
        <v>3464</v>
      </c>
      <c r="AC2703">
        <v>171</v>
      </c>
      <c r="AD2703">
        <v>117</v>
      </c>
      <c r="AE2703">
        <v>98</v>
      </c>
      <c r="AF2703">
        <v>-58.13</v>
      </c>
      <c r="AG2703">
        <v>2.85</v>
      </c>
      <c r="AH2703">
        <v>-3.69</v>
      </c>
      <c r="AI2703">
        <v>0.09</v>
      </c>
      <c r="AJ2703">
        <v>-0.03</v>
      </c>
      <c r="AK2703">
        <v>86</v>
      </c>
      <c r="AL2703">
        <v>200</v>
      </c>
      <c r="AM2703">
        <v>129</v>
      </c>
      <c r="AN2703">
        <v>-1.06</v>
      </c>
      <c r="AO2703">
        <v>1.59</v>
      </c>
      <c r="AP2703">
        <v>4</v>
      </c>
      <c r="AQ2703">
        <v>0</v>
      </c>
      <c r="AR2703">
        <v>5.62</v>
      </c>
      <c r="AS2703">
        <v>68</v>
      </c>
      <c r="AT2703">
        <v>3.17</v>
      </c>
      <c r="AU2703">
        <v>85</v>
      </c>
      <c r="AV2703">
        <v>0.81</v>
      </c>
      <c r="AW2703">
        <v>85</v>
      </c>
      <c r="AX2703">
        <v>-0.7</v>
      </c>
      <c r="AY2703">
        <v>88</v>
      </c>
      <c r="AZ2703">
        <v>4.53</v>
      </c>
      <c r="BA2703">
        <v>63</v>
      </c>
      <c r="BB2703">
        <v>4.24</v>
      </c>
      <c r="BC2703">
        <v>79</v>
      </c>
      <c r="BD2703">
        <v>0.06</v>
      </c>
      <c r="BE2703">
        <v>0.05</v>
      </c>
      <c r="BF2703">
        <v>-0.03</v>
      </c>
      <c r="BG2703">
        <v>94</v>
      </c>
      <c r="BH2703">
        <v>-0.08</v>
      </c>
      <c r="BI2703">
        <v>0.49</v>
      </c>
      <c r="BJ2703">
        <v>12</v>
      </c>
      <c r="BK2703">
        <v>10</v>
      </c>
      <c r="BL2703">
        <v>-0.14000000000000001</v>
      </c>
      <c r="BM2703">
        <v>0.27</v>
      </c>
      <c r="BN2703">
        <v>0.25</v>
      </c>
      <c r="BO2703">
        <v>-0.17</v>
      </c>
      <c r="BP2703">
        <v>-0.1</v>
      </c>
      <c r="BQ2703">
        <v>-0.2</v>
      </c>
      <c r="BR2703">
        <v>-0.04</v>
      </c>
      <c r="BS2703">
        <v>-1.56</v>
      </c>
      <c r="BT2703">
        <v>0.9</v>
      </c>
      <c r="BU2703">
        <v>-0.93</v>
      </c>
      <c r="BV2703">
        <v>0.33</v>
      </c>
      <c r="BW2703">
        <v>-0.06</v>
      </c>
      <c r="BX2703">
        <v>-0.82</v>
      </c>
      <c r="BY2703">
        <v>-1.32</v>
      </c>
      <c r="BZ2703">
        <v>1.49</v>
      </c>
      <c r="CA2703">
        <v>-1.17</v>
      </c>
      <c r="CB2703">
        <v>-0.84</v>
      </c>
      <c r="CC2703">
        <v>-1.1100000000000001</v>
      </c>
      <c r="CD2703">
        <v>-0.08</v>
      </c>
      <c r="CE2703">
        <v>-0.02</v>
      </c>
      <c r="CF2703">
        <v>-0.14000000000000001</v>
      </c>
      <c r="CG2703">
        <v>0</v>
      </c>
      <c r="CH2703">
        <v>-2.64</v>
      </c>
      <c r="CI2703">
        <v>0</v>
      </c>
      <c r="CJ2703">
        <v>-0.2</v>
      </c>
      <c r="CK2703">
        <v>92</v>
      </c>
      <c r="CL2703">
        <v>-0.59</v>
      </c>
      <c r="CM2703">
        <v>91</v>
      </c>
      <c r="CN2703">
        <v>-0.13</v>
      </c>
      <c r="CO2703">
        <v>90</v>
      </c>
      <c r="CP2703">
        <v>-7.3</v>
      </c>
      <c r="CQ2703">
        <v>94</v>
      </c>
      <c r="CR2703">
        <v>0</v>
      </c>
      <c r="CS2703">
        <v>0</v>
      </c>
      <c r="CT2703">
        <v>3.2</v>
      </c>
      <c r="CU2703">
        <v>87</v>
      </c>
      <c r="CV2703">
        <v>0.18</v>
      </c>
      <c r="CW2703">
        <v>44</v>
      </c>
      <c r="CX2703" t="s">
        <v>99</v>
      </c>
    </row>
    <row r="2704" spans="1:102" x14ac:dyDescent="0.3">
      <c r="A2704" t="str">
        <f>HYPERLINK("https://webapp.icbf.com/v2/app/bull-search/view/1163384067","S2126")</f>
        <v>S2126</v>
      </c>
      <c r="B2704" t="s">
        <v>6541</v>
      </c>
      <c r="C2704" t="s">
        <v>6542</v>
      </c>
      <c r="D2704" s="1">
        <v>40405</v>
      </c>
      <c r="E2704" t="s">
        <v>197</v>
      </c>
      <c r="F2704">
        <v>0</v>
      </c>
      <c r="G2704" t="s">
        <v>116</v>
      </c>
      <c r="H2704">
        <v>19.96</v>
      </c>
      <c r="I2704">
        <v>34</v>
      </c>
      <c r="J2704">
        <v>8.77</v>
      </c>
      <c r="K2704">
        <v>52</v>
      </c>
      <c r="L2704">
        <v>29.42</v>
      </c>
      <c r="M2704">
        <v>16</v>
      </c>
      <c r="N2704">
        <v>-31.32</v>
      </c>
      <c r="O2704">
        <v>41</v>
      </c>
      <c r="P2704">
        <v>14.5</v>
      </c>
      <c r="Q2704">
        <v>57</v>
      </c>
      <c r="R2704">
        <v>-11.53</v>
      </c>
      <c r="S2704">
        <v>18</v>
      </c>
      <c r="T2704">
        <v>13.01</v>
      </c>
      <c r="U2704">
        <v>19</v>
      </c>
      <c r="V2704">
        <v>-2.89</v>
      </c>
      <c r="W2704">
        <v>5</v>
      </c>
      <c r="X2704" t="s">
        <v>198</v>
      </c>
      <c r="Y2704" t="s">
        <v>367</v>
      </c>
      <c r="Z2704">
        <v>0</v>
      </c>
      <c r="AA2704" t="s">
        <v>6543</v>
      </c>
      <c r="AB2704" t="s">
        <v>6544</v>
      </c>
      <c r="AC2704">
        <v>8</v>
      </c>
      <c r="AD2704">
        <v>1</v>
      </c>
      <c r="AE2704">
        <v>52</v>
      </c>
      <c r="AF2704">
        <v>-102.49</v>
      </c>
      <c r="AG2704">
        <v>0.43</v>
      </c>
      <c r="AH2704">
        <v>-0.23</v>
      </c>
      <c r="AI2704">
        <v>7.0000000000000007E-2</v>
      </c>
      <c r="AJ2704">
        <v>0.06</v>
      </c>
      <c r="AK2704">
        <v>16</v>
      </c>
      <c r="AL2704">
        <v>5</v>
      </c>
      <c r="AM2704">
        <v>1</v>
      </c>
      <c r="AN2704">
        <v>-2.84</v>
      </c>
      <c r="AO2704">
        <v>-0.51</v>
      </c>
      <c r="AP2704">
        <v>17</v>
      </c>
      <c r="AQ2704">
        <v>0</v>
      </c>
      <c r="AR2704">
        <v>6.48</v>
      </c>
      <c r="AS2704">
        <v>10</v>
      </c>
      <c r="AT2704">
        <v>6.11</v>
      </c>
      <c r="AU2704">
        <v>35</v>
      </c>
      <c r="AV2704">
        <v>1.39</v>
      </c>
      <c r="AW2704">
        <v>68</v>
      </c>
      <c r="AX2704">
        <v>0.37</v>
      </c>
      <c r="AY2704">
        <v>24</v>
      </c>
      <c r="AZ2704">
        <v>5.47</v>
      </c>
      <c r="BA2704">
        <v>12</v>
      </c>
      <c r="BB2704">
        <v>3.33</v>
      </c>
      <c r="BC2704">
        <v>6</v>
      </c>
      <c r="BD2704">
        <v>0.03</v>
      </c>
      <c r="BE2704">
        <v>0.05</v>
      </c>
      <c r="BF2704">
        <v>0.12</v>
      </c>
      <c r="BG2704">
        <v>22</v>
      </c>
      <c r="BH2704">
        <v>-0.12</v>
      </c>
      <c r="BI2704">
        <v>-4.57</v>
      </c>
      <c r="BJ2704">
        <v>0</v>
      </c>
      <c r="BK2704">
        <v>0</v>
      </c>
      <c r="BL2704">
        <v>0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7.3</v>
      </c>
      <c r="CK2704">
        <v>62</v>
      </c>
      <c r="CL2704">
        <v>0.22</v>
      </c>
      <c r="CM2704">
        <v>57</v>
      </c>
      <c r="CN2704">
        <v>-0.18</v>
      </c>
      <c r="CO2704">
        <v>55</v>
      </c>
      <c r="CP2704">
        <v>0.3</v>
      </c>
      <c r="CQ2704">
        <v>25</v>
      </c>
      <c r="CR2704">
        <v>0</v>
      </c>
      <c r="CS2704">
        <v>0</v>
      </c>
      <c r="CT2704">
        <v>-3.8</v>
      </c>
      <c r="CU2704">
        <v>19</v>
      </c>
      <c r="CV2704">
        <v>-0.05</v>
      </c>
      <c r="CW2704">
        <v>16</v>
      </c>
      <c r="CX2704" t="s">
        <v>6545</v>
      </c>
    </row>
    <row r="2705" spans="1:102" x14ac:dyDescent="0.3">
      <c r="A2705" t="str">
        <f>HYPERLINK("https://webapp.icbf.com/v2/app/bull-search/view/77859706","BIT")</f>
        <v>BIT</v>
      </c>
      <c r="B2705" t="s">
        <v>2555</v>
      </c>
      <c r="C2705" t="s">
        <v>2556</v>
      </c>
      <c r="D2705" s="1">
        <v>32878</v>
      </c>
      <c r="E2705" t="s">
        <v>108</v>
      </c>
      <c r="F2705">
        <v>38</v>
      </c>
      <c r="G2705" t="s">
        <v>93</v>
      </c>
      <c r="H2705">
        <v>19.850000000000001</v>
      </c>
      <c r="I2705">
        <v>57</v>
      </c>
      <c r="J2705">
        <v>-39.61</v>
      </c>
      <c r="K2705">
        <v>73</v>
      </c>
      <c r="L2705">
        <v>70.2</v>
      </c>
      <c r="M2705">
        <v>54</v>
      </c>
      <c r="N2705">
        <v>-5.4</v>
      </c>
      <c r="O2705">
        <v>35</v>
      </c>
      <c r="P2705">
        <v>-15.48</v>
      </c>
      <c r="Q2705">
        <v>55</v>
      </c>
      <c r="R2705">
        <v>-0.8</v>
      </c>
      <c r="S2705">
        <v>58</v>
      </c>
      <c r="T2705">
        <v>14.05</v>
      </c>
      <c r="U2705">
        <v>42</v>
      </c>
      <c r="V2705">
        <v>-3.11</v>
      </c>
      <c r="W2705">
        <v>26</v>
      </c>
      <c r="X2705" t="s">
        <v>102</v>
      </c>
      <c r="Y2705" t="s">
        <v>95</v>
      </c>
      <c r="Z2705" t="s">
        <v>96</v>
      </c>
      <c r="AA2705" t="s">
        <v>607</v>
      </c>
      <c r="AB2705" t="s">
        <v>2557</v>
      </c>
      <c r="AC2705">
        <v>17</v>
      </c>
      <c r="AD2705">
        <v>15</v>
      </c>
      <c r="AE2705">
        <v>73</v>
      </c>
      <c r="AF2705">
        <v>-158.96</v>
      </c>
      <c r="AG2705">
        <v>-10.23</v>
      </c>
      <c r="AH2705">
        <v>-5.55</v>
      </c>
      <c r="AI2705">
        <v>-7.0000000000000007E-2</v>
      </c>
      <c r="AJ2705">
        <v>0</v>
      </c>
      <c r="AK2705">
        <v>54</v>
      </c>
      <c r="AL2705">
        <v>60</v>
      </c>
      <c r="AM2705">
        <v>39</v>
      </c>
      <c r="AN2705">
        <v>-4.5</v>
      </c>
      <c r="AO2705">
        <v>1.0900000000000001</v>
      </c>
      <c r="AP2705">
        <v>2</v>
      </c>
      <c r="AQ2705">
        <v>1</v>
      </c>
      <c r="AR2705">
        <v>8.3000000000000007</v>
      </c>
      <c r="AS2705">
        <v>21</v>
      </c>
      <c r="AT2705">
        <v>3.3</v>
      </c>
      <c r="AU2705">
        <v>35</v>
      </c>
      <c r="AV2705">
        <v>0.21</v>
      </c>
      <c r="AW2705">
        <v>37</v>
      </c>
      <c r="AX2705">
        <v>0.51</v>
      </c>
      <c r="AY2705">
        <v>49</v>
      </c>
      <c r="AZ2705">
        <v>5.89</v>
      </c>
      <c r="BA2705">
        <v>22</v>
      </c>
      <c r="BB2705">
        <v>4.95</v>
      </c>
      <c r="BC2705">
        <v>32</v>
      </c>
      <c r="BD2705">
        <v>0.05</v>
      </c>
      <c r="BE2705">
        <v>0.05</v>
      </c>
      <c r="BF2705">
        <v>-0.16</v>
      </c>
      <c r="BG2705">
        <v>79</v>
      </c>
      <c r="BH2705">
        <v>0.02</v>
      </c>
      <c r="BI2705">
        <v>12.36</v>
      </c>
      <c r="BJ2705">
        <v>3</v>
      </c>
      <c r="BK2705">
        <v>3</v>
      </c>
      <c r="BL2705">
        <v>-2.67</v>
      </c>
      <c r="BM2705">
        <v>0.2</v>
      </c>
      <c r="BN2705">
        <v>-2.44</v>
      </c>
      <c r="BO2705">
        <v>-2.2200000000000002</v>
      </c>
      <c r="BP2705">
        <v>0.93</v>
      </c>
      <c r="BQ2705">
        <v>-0.45</v>
      </c>
      <c r="BR2705">
        <v>-0.72</v>
      </c>
      <c r="BS2705">
        <v>0.08</v>
      </c>
      <c r="BT2705">
        <v>0.66</v>
      </c>
      <c r="BU2705">
        <v>-1.39</v>
      </c>
      <c r="BV2705">
        <v>-1.64</v>
      </c>
      <c r="BW2705">
        <v>-1.58</v>
      </c>
      <c r="BX2705">
        <v>-1.03</v>
      </c>
      <c r="BY2705">
        <v>-1.05</v>
      </c>
      <c r="BZ2705">
        <v>0.69</v>
      </c>
      <c r="CA2705">
        <v>-1.42</v>
      </c>
      <c r="CB2705">
        <v>-1.62</v>
      </c>
      <c r="CC2705">
        <v>-0.52</v>
      </c>
      <c r="CD2705">
        <v>1.9</v>
      </c>
      <c r="CE2705">
        <v>-2.4700000000000002</v>
      </c>
      <c r="CF2705">
        <v>-3.25</v>
      </c>
      <c r="CG2705">
        <v>0</v>
      </c>
      <c r="CH2705">
        <v>-1.39</v>
      </c>
      <c r="CI2705">
        <v>0</v>
      </c>
      <c r="CJ2705">
        <v>-8.8000000000000007</v>
      </c>
      <c r="CK2705">
        <v>56</v>
      </c>
      <c r="CL2705">
        <v>-0.01</v>
      </c>
      <c r="CM2705">
        <v>53</v>
      </c>
      <c r="CN2705">
        <v>0.12</v>
      </c>
      <c r="CO2705">
        <v>49</v>
      </c>
      <c r="CP2705">
        <v>-12.2</v>
      </c>
      <c r="CQ2705">
        <v>58</v>
      </c>
      <c r="CR2705">
        <v>0</v>
      </c>
      <c r="CS2705">
        <v>0</v>
      </c>
      <c r="CT2705">
        <v>-5.2</v>
      </c>
      <c r="CU2705">
        <v>42</v>
      </c>
      <c r="CV2705">
        <v>-0.23</v>
      </c>
      <c r="CW2705">
        <v>15</v>
      </c>
      <c r="CX2705" t="s">
        <v>2558</v>
      </c>
    </row>
    <row r="2706" spans="1:102" x14ac:dyDescent="0.3">
      <c r="A2706" t="str">
        <f>HYPERLINK("https://webapp.icbf.com/v2/app/bull-search/view/586040861","S798")</f>
        <v>S798</v>
      </c>
      <c r="B2706" t="s">
        <v>3039</v>
      </c>
      <c r="C2706" t="s">
        <v>3040</v>
      </c>
      <c r="D2706" s="1">
        <v>38122</v>
      </c>
      <c r="E2706" t="s">
        <v>92</v>
      </c>
      <c r="F2706">
        <v>100</v>
      </c>
      <c r="G2706" t="s">
        <v>93</v>
      </c>
      <c r="H2706">
        <v>19.78</v>
      </c>
      <c r="I2706">
        <v>93</v>
      </c>
      <c r="J2706">
        <v>61.48</v>
      </c>
      <c r="K2706">
        <v>99</v>
      </c>
      <c r="L2706">
        <v>-62.15</v>
      </c>
      <c r="M2706">
        <v>90</v>
      </c>
      <c r="N2706">
        <v>17.89</v>
      </c>
      <c r="O2706">
        <v>93</v>
      </c>
      <c r="P2706">
        <v>-5.92</v>
      </c>
      <c r="Q2706">
        <v>97</v>
      </c>
      <c r="R2706">
        <v>11.09</v>
      </c>
      <c r="S2706">
        <v>84</v>
      </c>
      <c r="T2706">
        <v>1.91</v>
      </c>
      <c r="U2706">
        <v>93</v>
      </c>
      <c r="V2706">
        <v>-4.5199999999999996</v>
      </c>
      <c r="W2706">
        <v>74</v>
      </c>
      <c r="X2706" t="s">
        <v>251</v>
      </c>
      <c r="Y2706" t="s">
        <v>1494</v>
      </c>
      <c r="Z2706" t="s">
        <v>96</v>
      </c>
      <c r="AA2706" t="s">
        <v>3041</v>
      </c>
      <c r="AB2706" t="s">
        <v>3042</v>
      </c>
      <c r="AC2706">
        <v>306</v>
      </c>
      <c r="AD2706">
        <v>101</v>
      </c>
      <c r="AE2706">
        <v>99</v>
      </c>
      <c r="AF2706">
        <v>61.33</v>
      </c>
      <c r="AG2706">
        <v>8.86</v>
      </c>
      <c r="AH2706">
        <v>8.26</v>
      </c>
      <c r="AI2706">
        <v>0.11</v>
      </c>
      <c r="AJ2706">
        <v>0.11</v>
      </c>
      <c r="AK2706">
        <v>90</v>
      </c>
      <c r="AL2706">
        <v>330</v>
      </c>
      <c r="AM2706">
        <v>119</v>
      </c>
      <c r="AN2706">
        <v>3.08</v>
      </c>
      <c r="AO2706">
        <v>-1.88</v>
      </c>
      <c r="AP2706">
        <v>684</v>
      </c>
      <c r="AQ2706">
        <v>3</v>
      </c>
      <c r="AR2706">
        <v>5.82</v>
      </c>
      <c r="AS2706">
        <v>91</v>
      </c>
      <c r="AT2706">
        <v>2.88</v>
      </c>
      <c r="AU2706">
        <v>95</v>
      </c>
      <c r="AV2706">
        <v>-3.18</v>
      </c>
      <c r="AW2706">
        <v>98</v>
      </c>
      <c r="AX2706">
        <v>0.92</v>
      </c>
      <c r="AY2706">
        <v>93</v>
      </c>
      <c r="AZ2706">
        <v>7.26</v>
      </c>
      <c r="BA2706">
        <v>83</v>
      </c>
      <c r="BB2706">
        <v>6.79</v>
      </c>
      <c r="BC2706">
        <v>80</v>
      </c>
      <c r="BD2706">
        <v>-0.06</v>
      </c>
      <c r="BE2706">
        <v>-0.05</v>
      </c>
      <c r="BF2706">
        <v>-0.06</v>
      </c>
      <c r="BG2706">
        <v>95</v>
      </c>
      <c r="BH2706">
        <v>-0.19</v>
      </c>
      <c r="BI2706">
        <v>-7.39</v>
      </c>
      <c r="BJ2706">
        <v>64</v>
      </c>
      <c r="BK2706">
        <v>28</v>
      </c>
      <c r="BL2706">
        <v>0.33</v>
      </c>
      <c r="BM2706">
        <v>-0.06</v>
      </c>
      <c r="BN2706">
        <v>1.1100000000000001</v>
      </c>
      <c r="BO2706">
        <v>0.85</v>
      </c>
      <c r="BP2706">
        <v>-0.82</v>
      </c>
      <c r="BQ2706">
        <v>0.27</v>
      </c>
      <c r="BR2706">
        <v>0.28999999999999998</v>
      </c>
      <c r="BS2706">
        <v>0.44</v>
      </c>
      <c r="BT2706">
        <v>-0.08</v>
      </c>
      <c r="BU2706">
        <v>2.36</v>
      </c>
      <c r="BV2706">
        <v>0.95</v>
      </c>
      <c r="BW2706">
        <v>-0.06</v>
      </c>
      <c r="BX2706">
        <v>1.35</v>
      </c>
      <c r="BY2706">
        <v>0.31</v>
      </c>
      <c r="BZ2706">
        <v>-2.29</v>
      </c>
      <c r="CA2706">
        <v>1.25</v>
      </c>
      <c r="CB2706">
        <v>1.22</v>
      </c>
      <c r="CC2706">
        <v>0.85</v>
      </c>
      <c r="CD2706">
        <v>-0.15</v>
      </c>
      <c r="CE2706">
        <v>0.88</v>
      </c>
      <c r="CF2706">
        <v>0.47</v>
      </c>
      <c r="CG2706">
        <v>0</v>
      </c>
      <c r="CH2706">
        <v>0.56000000000000005</v>
      </c>
      <c r="CI2706">
        <v>0</v>
      </c>
      <c r="CJ2706">
        <v>-1.6</v>
      </c>
      <c r="CK2706">
        <v>97</v>
      </c>
      <c r="CL2706">
        <v>-1.19</v>
      </c>
      <c r="CM2706">
        <v>97</v>
      </c>
      <c r="CN2706">
        <v>-0.75</v>
      </c>
      <c r="CO2706">
        <v>96</v>
      </c>
      <c r="CP2706">
        <v>-1.4</v>
      </c>
      <c r="CQ2706">
        <v>94</v>
      </c>
      <c r="CR2706">
        <v>0</v>
      </c>
      <c r="CS2706">
        <v>0</v>
      </c>
      <c r="CT2706">
        <v>11.2</v>
      </c>
      <c r="CU2706">
        <v>93</v>
      </c>
      <c r="CV2706">
        <v>0.21</v>
      </c>
      <c r="CW2706">
        <v>45</v>
      </c>
      <c r="CX2706" t="s">
        <v>3043</v>
      </c>
    </row>
    <row r="2707" spans="1:102" x14ac:dyDescent="0.3">
      <c r="A2707" t="str">
        <f>HYPERLINK("https://webapp.icbf.com/v2/app/bull-search/view/448585636","BZI")</f>
        <v>BZI</v>
      </c>
      <c r="B2707" t="s">
        <v>12238</v>
      </c>
      <c r="C2707" t="s">
        <v>12239</v>
      </c>
      <c r="D2707" s="1">
        <v>37835</v>
      </c>
      <c r="E2707" t="s">
        <v>108</v>
      </c>
      <c r="F2707">
        <v>0</v>
      </c>
      <c r="G2707" t="s">
        <v>93</v>
      </c>
      <c r="H2707">
        <v>19.510000000000002</v>
      </c>
      <c r="I2707">
        <v>83</v>
      </c>
      <c r="J2707">
        <v>-30.38</v>
      </c>
      <c r="K2707">
        <v>96</v>
      </c>
      <c r="L2707">
        <v>17.170000000000002</v>
      </c>
      <c r="M2707">
        <v>71</v>
      </c>
      <c r="N2707">
        <v>16.399999999999999</v>
      </c>
      <c r="O2707">
        <v>81</v>
      </c>
      <c r="P2707">
        <v>-1.94</v>
      </c>
      <c r="Q2707">
        <v>94</v>
      </c>
      <c r="R2707">
        <v>10.220000000000001</v>
      </c>
      <c r="S2707">
        <v>75</v>
      </c>
      <c r="T2707">
        <v>3.91</v>
      </c>
      <c r="U2707">
        <v>85</v>
      </c>
      <c r="V2707">
        <v>4.13</v>
      </c>
      <c r="W2707">
        <v>74</v>
      </c>
      <c r="X2707" t="s">
        <v>251</v>
      </c>
      <c r="Y2707" t="s">
        <v>282</v>
      </c>
      <c r="Z2707" t="s">
        <v>96</v>
      </c>
      <c r="AA2707" t="s">
        <v>1543</v>
      </c>
      <c r="AB2707" t="s">
        <v>1410</v>
      </c>
      <c r="AC2707">
        <v>101</v>
      </c>
      <c r="AD2707">
        <v>34</v>
      </c>
      <c r="AE2707">
        <v>96</v>
      </c>
      <c r="AF2707">
        <v>-294.57</v>
      </c>
      <c r="AG2707">
        <v>-9.5399999999999991</v>
      </c>
      <c r="AH2707">
        <v>-6.3</v>
      </c>
      <c r="AI2707">
        <v>0.03</v>
      </c>
      <c r="AJ2707">
        <v>7.0000000000000007E-2</v>
      </c>
      <c r="AK2707">
        <v>71</v>
      </c>
      <c r="AL2707">
        <v>103</v>
      </c>
      <c r="AM2707">
        <v>49</v>
      </c>
      <c r="AN2707">
        <v>-3.99</v>
      </c>
      <c r="AO2707">
        <v>-2.66</v>
      </c>
      <c r="AP2707">
        <v>100</v>
      </c>
      <c r="AQ2707">
        <v>0</v>
      </c>
      <c r="AR2707">
        <v>6.66</v>
      </c>
      <c r="AS2707">
        <v>71</v>
      </c>
      <c r="AT2707">
        <v>2.66</v>
      </c>
      <c r="AU2707">
        <v>76</v>
      </c>
      <c r="AV2707">
        <v>-2.0099999999999998</v>
      </c>
      <c r="AW2707">
        <v>94</v>
      </c>
      <c r="AX2707">
        <v>0.08</v>
      </c>
      <c r="AY2707">
        <v>83</v>
      </c>
      <c r="AZ2707">
        <v>8.1</v>
      </c>
      <c r="BA2707">
        <v>58</v>
      </c>
      <c r="BB2707">
        <v>5.55</v>
      </c>
      <c r="BC2707">
        <v>59</v>
      </c>
      <c r="BD2707">
        <v>-0.03</v>
      </c>
      <c r="BE2707">
        <v>-0.05</v>
      </c>
      <c r="BF2707">
        <v>-0.09</v>
      </c>
      <c r="BG2707">
        <v>83</v>
      </c>
      <c r="BH2707">
        <v>0</v>
      </c>
      <c r="BI2707">
        <v>-13.33</v>
      </c>
      <c r="BJ2707">
        <v>2</v>
      </c>
      <c r="BK2707">
        <v>2</v>
      </c>
      <c r="BL2707">
        <v>-2.44</v>
      </c>
      <c r="BM2707">
        <v>2.25</v>
      </c>
      <c r="BN2707">
        <v>-1.08</v>
      </c>
      <c r="BO2707">
        <v>-2.34</v>
      </c>
      <c r="BP2707">
        <v>-3.78</v>
      </c>
      <c r="BQ2707">
        <v>0.15</v>
      </c>
      <c r="BR2707">
        <v>-1.73</v>
      </c>
      <c r="BS2707">
        <v>-0.37</v>
      </c>
      <c r="BT2707">
        <v>1.1000000000000001</v>
      </c>
      <c r="BU2707">
        <v>0.27</v>
      </c>
      <c r="BV2707">
        <v>-0.78</v>
      </c>
      <c r="BW2707">
        <v>-0.41</v>
      </c>
      <c r="BX2707">
        <v>0.54</v>
      </c>
      <c r="BY2707">
        <v>0.41</v>
      </c>
      <c r="BZ2707">
        <v>-1.95</v>
      </c>
      <c r="CA2707">
        <v>-0.9</v>
      </c>
      <c r="CB2707">
        <v>-0.62</v>
      </c>
      <c r="CC2707">
        <v>-1.17</v>
      </c>
      <c r="CD2707">
        <v>2.76</v>
      </c>
      <c r="CE2707">
        <v>-2.36</v>
      </c>
      <c r="CF2707">
        <v>-1.99</v>
      </c>
      <c r="CG2707">
        <v>0</v>
      </c>
      <c r="CH2707">
        <v>-0.13</v>
      </c>
      <c r="CI2707">
        <v>0</v>
      </c>
      <c r="CJ2707">
        <v>0.9</v>
      </c>
      <c r="CK2707">
        <v>95</v>
      </c>
      <c r="CL2707">
        <v>-0.31</v>
      </c>
      <c r="CM2707">
        <v>94</v>
      </c>
      <c r="CN2707">
        <v>0</v>
      </c>
      <c r="CO2707">
        <v>93</v>
      </c>
      <c r="CP2707">
        <v>0.1</v>
      </c>
      <c r="CQ2707">
        <v>91</v>
      </c>
      <c r="CR2707">
        <v>0</v>
      </c>
      <c r="CS2707">
        <v>0</v>
      </c>
      <c r="CT2707">
        <v>8.5</v>
      </c>
      <c r="CU2707">
        <v>85</v>
      </c>
      <c r="CV2707">
        <v>0.11</v>
      </c>
      <c r="CW2707">
        <v>28</v>
      </c>
      <c r="CX2707" t="s">
        <v>1411</v>
      </c>
    </row>
    <row r="2708" spans="1:102" x14ac:dyDescent="0.3">
      <c r="A2708" t="str">
        <f>HYPERLINK("https://webapp.icbf.com/v2/app/bull-search/view/868811289","PKE")</f>
        <v>PKE</v>
      </c>
      <c r="B2708" t="s">
        <v>6794</v>
      </c>
      <c r="C2708" t="s">
        <v>6795</v>
      </c>
      <c r="D2708" s="1">
        <v>40602</v>
      </c>
      <c r="E2708" t="s">
        <v>108</v>
      </c>
      <c r="F2708">
        <v>3</v>
      </c>
      <c r="G2708" t="s">
        <v>93</v>
      </c>
      <c r="H2708">
        <v>19.5</v>
      </c>
      <c r="I2708">
        <v>77</v>
      </c>
      <c r="J2708">
        <v>29.69</v>
      </c>
      <c r="K2708">
        <v>92</v>
      </c>
      <c r="L2708">
        <v>-29.01</v>
      </c>
      <c r="M2708">
        <v>70</v>
      </c>
      <c r="N2708">
        <v>21.28</v>
      </c>
      <c r="O2708">
        <v>73</v>
      </c>
      <c r="P2708">
        <v>-3.88</v>
      </c>
      <c r="Q2708">
        <v>78</v>
      </c>
      <c r="R2708">
        <v>-7.55</v>
      </c>
      <c r="S2708">
        <v>71</v>
      </c>
      <c r="T2708">
        <v>3.98</v>
      </c>
      <c r="U2708">
        <v>59</v>
      </c>
      <c r="V2708">
        <v>4.99</v>
      </c>
      <c r="W2708">
        <v>65</v>
      </c>
      <c r="X2708" t="s">
        <v>251</v>
      </c>
      <c r="Y2708" t="s">
        <v>1860</v>
      </c>
      <c r="Z2708" t="s">
        <v>96</v>
      </c>
      <c r="AA2708" t="s">
        <v>5993</v>
      </c>
      <c r="AB2708" t="s">
        <v>6796</v>
      </c>
      <c r="AC2708">
        <v>25</v>
      </c>
      <c r="AD2708">
        <v>14</v>
      </c>
      <c r="AE2708">
        <v>92</v>
      </c>
      <c r="AF2708">
        <v>153.07</v>
      </c>
      <c r="AG2708">
        <v>5.04</v>
      </c>
      <c r="AH2708">
        <v>5.61</v>
      </c>
      <c r="AI2708">
        <v>-0.02</v>
      </c>
      <c r="AJ2708">
        <v>0.01</v>
      </c>
      <c r="AK2708">
        <v>70</v>
      </c>
      <c r="AL2708">
        <v>24</v>
      </c>
      <c r="AM2708">
        <v>15</v>
      </c>
      <c r="AN2708">
        <v>2.65</v>
      </c>
      <c r="AO2708">
        <v>0.35</v>
      </c>
      <c r="AP2708">
        <v>50</v>
      </c>
      <c r="AQ2708">
        <v>0</v>
      </c>
      <c r="AR2708">
        <v>7.89</v>
      </c>
      <c r="AS2708">
        <v>64</v>
      </c>
      <c r="AT2708">
        <v>3.52</v>
      </c>
      <c r="AU2708">
        <v>76</v>
      </c>
      <c r="AV2708">
        <v>-3.56</v>
      </c>
      <c r="AW2708">
        <v>83</v>
      </c>
      <c r="AX2708">
        <v>-0.92</v>
      </c>
      <c r="AY2708">
        <v>66</v>
      </c>
      <c r="AZ2708">
        <v>6.65</v>
      </c>
      <c r="BA2708">
        <v>56</v>
      </c>
      <c r="BB2708">
        <v>5.87</v>
      </c>
      <c r="BC2708">
        <v>53</v>
      </c>
      <c r="BD2708">
        <v>7.0000000000000007E-2</v>
      </c>
      <c r="BE2708">
        <v>0.03</v>
      </c>
      <c r="BF2708">
        <v>0</v>
      </c>
      <c r="BG2708">
        <v>78</v>
      </c>
      <c r="BH2708">
        <v>0.04</v>
      </c>
      <c r="BI2708">
        <v>-11.47</v>
      </c>
      <c r="BJ2708">
        <v>3</v>
      </c>
      <c r="BK2708">
        <v>2</v>
      </c>
      <c r="BL2708">
        <v>-2.29</v>
      </c>
      <c r="BM2708">
        <v>1.71</v>
      </c>
      <c r="BN2708">
        <v>-1.05</v>
      </c>
      <c r="BO2708">
        <v>-1.61</v>
      </c>
      <c r="BP2708">
        <v>-3.64</v>
      </c>
      <c r="BQ2708">
        <v>1.83</v>
      </c>
      <c r="BR2708">
        <v>-2.67</v>
      </c>
      <c r="BS2708">
        <v>-1.69</v>
      </c>
      <c r="BT2708">
        <v>1.52</v>
      </c>
      <c r="BU2708">
        <v>-2.61</v>
      </c>
      <c r="BV2708">
        <v>-2.2999999999999998</v>
      </c>
      <c r="BW2708">
        <v>-1.5</v>
      </c>
      <c r="BX2708">
        <v>-1.73</v>
      </c>
      <c r="BY2708">
        <v>-0.92</v>
      </c>
      <c r="BZ2708">
        <v>-0.5</v>
      </c>
      <c r="CA2708">
        <v>-1.58</v>
      </c>
      <c r="CB2708">
        <v>-1.59</v>
      </c>
      <c r="CC2708">
        <v>-1.32</v>
      </c>
      <c r="CD2708">
        <v>1.43</v>
      </c>
      <c r="CE2708">
        <v>-1.56</v>
      </c>
      <c r="CF2708">
        <v>-1.74</v>
      </c>
      <c r="CG2708">
        <v>0</v>
      </c>
      <c r="CH2708">
        <v>-1.23</v>
      </c>
      <c r="CI2708">
        <v>0</v>
      </c>
      <c r="CJ2708">
        <v>-3.7</v>
      </c>
      <c r="CK2708">
        <v>81</v>
      </c>
      <c r="CL2708">
        <v>-0.03</v>
      </c>
      <c r="CM2708">
        <v>78</v>
      </c>
      <c r="CN2708">
        <v>-0.19</v>
      </c>
      <c r="CO2708">
        <v>77</v>
      </c>
      <c r="CP2708">
        <v>-4.5999999999999996</v>
      </c>
      <c r="CQ2708">
        <v>64</v>
      </c>
      <c r="CR2708">
        <v>0</v>
      </c>
      <c r="CS2708">
        <v>0</v>
      </c>
      <c r="CT2708">
        <v>8.4</v>
      </c>
      <c r="CU2708">
        <v>59</v>
      </c>
      <c r="CV2708">
        <v>0.04</v>
      </c>
      <c r="CW2708">
        <v>42</v>
      </c>
      <c r="CX2708" t="s">
        <v>478</v>
      </c>
    </row>
    <row r="2709" spans="1:102" x14ac:dyDescent="0.3">
      <c r="A2709" t="str">
        <f>HYPERLINK("https://webapp.icbf.com/v2/app/bull-search/view/118841003","EVW")</f>
        <v>EVW</v>
      </c>
      <c r="B2709" t="s">
        <v>14826</v>
      </c>
      <c r="C2709" t="s">
        <v>14827</v>
      </c>
      <c r="D2709" s="1">
        <v>35614</v>
      </c>
      <c r="E2709" t="s">
        <v>92</v>
      </c>
      <c r="F2709">
        <v>100</v>
      </c>
      <c r="G2709" t="s">
        <v>93</v>
      </c>
      <c r="H2709">
        <v>19.46</v>
      </c>
      <c r="I2709">
        <v>89</v>
      </c>
      <c r="J2709">
        <v>-12.08</v>
      </c>
      <c r="K2709">
        <v>95</v>
      </c>
      <c r="L2709">
        <v>5.16</v>
      </c>
      <c r="M2709">
        <v>90</v>
      </c>
      <c r="N2709">
        <v>18.66</v>
      </c>
      <c r="O2709">
        <v>83</v>
      </c>
      <c r="P2709">
        <v>-17.059999999999999</v>
      </c>
      <c r="Q2709">
        <v>88</v>
      </c>
      <c r="R2709">
        <v>8.7100000000000009</v>
      </c>
      <c r="S2709">
        <v>82</v>
      </c>
      <c r="T2709">
        <v>14.49</v>
      </c>
      <c r="U2709">
        <v>74</v>
      </c>
      <c r="V2709">
        <v>1.58</v>
      </c>
      <c r="W2709">
        <v>74</v>
      </c>
      <c r="X2709" t="s">
        <v>251</v>
      </c>
      <c r="Y2709" t="s">
        <v>95</v>
      </c>
      <c r="Z2709" t="s">
        <v>96</v>
      </c>
      <c r="AA2709" t="s">
        <v>596</v>
      </c>
      <c r="AB2709" t="s">
        <v>14828</v>
      </c>
      <c r="AC2709">
        <v>41</v>
      </c>
      <c r="AD2709">
        <v>19</v>
      </c>
      <c r="AE2709">
        <v>95</v>
      </c>
      <c r="AF2709">
        <v>88.68</v>
      </c>
      <c r="AG2709">
        <v>2.58</v>
      </c>
      <c r="AH2709">
        <v>-1.61</v>
      </c>
      <c r="AI2709">
        <v>-0.02</v>
      </c>
      <c r="AJ2709">
        <v>-0.08</v>
      </c>
      <c r="AK2709">
        <v>90</v>
      </c>
      <c r="AL2709">
        <v>41</v>
      </c>
      <c r="AM2709">
        <v>19</v>
      </c>
      <c r="AN2709">
        <v>0.39</v>
      </c>
      <c r="AO2709">
        <v>0.81</v>
      </c>
      <c r="AP2709">
        <v>79</v>
      </c>
      <c r="AQ2709">
        <v>0</v>
      </c>
      <c r="AR2709">
        <v>5.8</v>
      </c>
      <c r="AS2709">
        <v>70</v>
      </c>
      <c r="AT2709">
        <v>2.96</v>
      </c>
      <c r="AU2709">
        <v>91</v>
      </c>
      <c r="AV2709">
        <v>-1.65</v>
      </c>
      <c r="AW2709">
        <v>92</v>
      </c>
      <c r="AX2709">
        <v>0.87</v>
      </c>
      <c r="AY2709">
        <v>73</v>
      </c>
      <c r="AZ2709">
        <v>6.04</v>
      </c>
      <c r="BA2709">
        <v>57</v>
      </c>
      <c r="BB2709">
        <v>4.7300000000000004</v>
      </c>
      <c r="BC2709">
        <v>63</v>
      </c>
      <c r="BD2709">
        <v>0.01</v>
      </c>
      <c r="BE2709">
        <v>-0.03</v>
      </c>
      <c r="BF2709">
        <v>-0.16</v>
      </c>
      <c r="BG2709">
        <v>93</v>
      </c>
      <c r="BH2709">
        <v>0.11</v>
      </c>
      <c r="BI2709">
        <v>7.64</v>
      </c>
      <c r="BJ2709">
        <v>16</v>
      </c>
      <c r="BK2709">
        <v>4</v>
      </c>
      <c r="BL2709">
        <v>0.61</v>
      </c>
      <c r="BM2709">
        <v>-1.1599999999999999</v>
      </c>
      <c r="BN2709">
        <v>-0.6</v>
      </c>
      <c r="BO2709">
        <v>0.32</v>
      </c>
      <c r="BP2709">
        <v>0.49</v>
      </c>
      <c r="BQ2709">
        <v>0.2</v>
      </c>
      <c r="BR2709">
        <v>1.83</v>
      </c>
      <c r="BS2709">
        <v>-1.25</v>
      </c>
      <c r="BT2709">
        <v>-1.5</v>
      </c>
      <c r="BU2709">
        <v>0.59</v>
      </c>
      <c r="BV2709">
        <v>0.26</v>
      </c>
      <c r="BW2709">
        <v>0.3</v>
      </c>
      <c r="BX2709">
        <v>1.72</v>
      </c>
      <c r="BY2709">
        <v>1.19</v>
      </c>
      <c r="BZ2709">
        <v>-2.4</v>
      </c>
      <c r="CA2709">
        <v>0.41</v>
      </c>
      <c r="CB2709">
        <v>0.64</v>
      </c>
      <c r="CC2709">
        <v>-0.42</v>
      </c>
      <c r="CD2709">
        <v>-0.62</v>
      </c>
      <c r="CE2709">
        <v>0.87</v>
      </c>
      <c r="CF2709">
        <v>0.47</v>
      </c>
      <c r="CG2709">
        <v>0</v>
      </c>
      <c r="CH2709">
        <v>1.49</v>
      </c>
      <c r="CI2709">
        <v>0</v>
      </c>
      <c r="CJ2709">
        <v>-6.9</v>
      </c>
      <c r="CK2709">
        <v>90</v>
      </c>
      <c r="CL2709">
        <v>-1</v>
      </c>
      <c r="CM2709">
        <v>88</v>
      </c>
      <c r="CN2709">
        <v>-0.33</v>
      </c>
      <c r="CO2709">
        <v>87</v>
      </c>
      <c r="CP2709">
        <v>-7.2</v>
      </c>
      <c r="CQ2709">
        <v>81</v>
      </c>
      <c r="CR2709">
        <v>0</v>
      </c>
      <c r="CS2709">
        <v>0</v>
      </c>
      <c r="CT2709">
        <v>-5.8</v>
      </c>
      <c r="CU2709">
        <v>74</v>
      </c>
      <c r="CV2709">
        <v>0.03</v>
      </c>
      <c r="CW2709">
        <v>44</v>
      </c>
      <c r="CX2709" t="s">
        <v>180</v>
      </c>
    </row>
    <row r="2710" spans="1:102" x14ac:dyDescent="0.3">
      <c r="A2710" t="str">
        <f>HYPERLINK("https://webapp.icbf.com/v2/app/bull-search/view/121509278","GAF")</f>
        <v>GAF</v>
      </c>
      <c r="B2710" t="s">
        <v>4607</v>
      </c>
      <c r="C2710" t="s">
        <v>4608</v>
      </c>
      <c r="D2710" s="1">
        <v>35652</v>
      </c>
      <c r="E2710" t="s">
        <v>92</v>
      </c>
      <c r="F2710">
        <v>100</v>
      </c>
      <c r="G2710" t="s">
        <v>109</v>
      </c>
      <c r="H2710">
        <v>19.04</v>
      </c>
      <c r="I2710">
        <v>79</v>
      </c>
      <c r="J2710">
        <v>29.97</v>
      </c>
      <c r="K2710">
        <v>90</v>
      </c>
      <c r="L2710">
        <v>-36.86</v>
      </c>
      <c r="M2710">
        <v>83</v>
      </c>
      <c r="N2710">
        <v>29.61</v>
      </c>
      <c r="O2710">
        <v>67</v>
      </c>
      <c r="P2710">
        <v>-0.97</v>
      </c>
      <c r="Q2710">
        <v>64</v>
      </c>
      <c r="R2710">
        <v>4.3600000000000003</v>
      </c>
      <c r="S2710">
        <v>74</v>
      </c>
      <c r="T2710">
        <v>-0.16</v>
      </c>
      <c r="U2710">
        <v>64</v>
      </c>
      <c r="V2710">
        <v>-6.91</v>
      </c>
      <c r="W2710">
        <v>61</v>
      </c>
      <c r="X2710" t="s">
        <v>558</v>
      </c>
      <c r="Y2710" t="s">
        <v>95</v>
      </c>
      <c r="Z2710" t="s">
        <v>96</v>
      </c>
      <c r="AA2710" t="s">
        <v>218</v>
      </c>
      <c r="AB2710" t="s">
        <v>4609</v>
      </c>
      <c r="AC2710">
        <v>0</v>
      </c>
      <c r="AD2710">
        <v>0</v>
      </c>
      <c r="AE2710">
        <v>90</v>
      </c>
      <c r="AF2710">
        <v>-75.87</v>
      </c>
      <c r="AG2710">
        <v>1.0900000000000001</v>
      </c>
      <c r="AH2710">
        <v>3.55</v>
      </c>
      <c r="AI2710">
        <v>7.0000000000000007E-2</v>
      </c>
      <c r="AJ2710">
        <v>0.11</v>
      </c>
      <c r="AK2710">
        <v>83</v>
      </c>
      <c r="AL2710">
        <v>0</v>
      </c>
      <c r="AM2710">
        <v>0</v>
      </c>
      <c r="AN2710">
        <v>0.42</v>
      </c>
      <c r="AO2710">
        <v>-2.54</v>
      </c>
      <c r="AP2710">
        <v>12</v>
      </c>
      <c r="AQ2710">
        <v>1</v>
      </c>
      <c r="AR2710">
        <v>5.56</v>
      </c>
      <c r="AS2710">
        <v>57</v>
      </c>
      <c r="AT2710">
        <v>2.69</v>
      </c>
      <c r="AU2710">
        <v>78</v>
      </c>
      <c r="AV2710">
        <v>-2.09</v>
      </c>
      <c r="AW2710">
        <v>75</v>
      </c>
      <c r="AX2710">
        <v>-0.3</v>
      </c>
      <c r="AY2710">
        <v>53</v>
      </c>
      <c r="AZ2710">
        <v>5.33</v>
      </c>
      <c r="BA2710">
        <v>45</v>
      </c>
      <c r="BB2710">
        <v>4.54</v>
      </c>
      <c r="BC2710">
        <v>47</v>
      </c>
      <c r="BD2710">
        <v>-0.02</v>
      </c>
      <c r="BE2710">
        <v>-0.03</v>
      </c>
      <c r="BF2710">
        <v>-0.01</v>
      </c>
      <c r="BG2710">
        <v>89</v>
      </c>
      <c r="BH2710">
        <v>-0.13</v>
      </c>
      <c r="BI2710">
        <v>7.26</v>
      </c>
      <c r="BJ2710">
        <v>3</v>
      </c>
      <c r="BK2710">
        <v>1</v>
      </c>
      <c r="BL2710">
        <v>0.61</v>
      </c>
      <c r="BM2710">
        <v>0.93</v>
      </c>
      <c r="BN2710">
        <v>0.73</v>
      </c>
      <c r="BO2710">
        <v>0.11</v>
      </c>
      <c r="BP2710">
        <v>-0.69</v>
      </c>
      <c r="BQ2710">
        <v>0.42</v>
      </c>
      <c r="BR2710">
        <v>2.56</v>
      </c>
      <c r="BS2710">
        <v>-2</v>
      </c>
      <c r="BT2710">
        <v>-1.91</v>
      </c>
      <c r="BU2710">
        <v>0.66</v>
      </c>
      <c r="BV2710">
        <v>1.0900000000000001</v>
      </c>
      <c r="BW2710">
        <v>0.14000000000000001</v>
      </c>
      <c r="BX2710">
        <v>0.22</v>
      </c>
      <c r="BY2710">
        <v>2.33</v>
      </c>
      <c r="BZ2710">
        <v>-1.32</v>
      </c>
      <c r="CA2710">
        <v>0.14000000000000001</v>
      </c>
      <c r="CB2710">
        <v>0.72</v>
      </c>
      <c r="CC2710">
        <v>-1.42</v>
      </c>
      <c r="CD2710">
        <v>-0.31</v>
      </c>
      <c r="CE2710">
        <v>0.13</v>
      </c>
      <c r="CF2710">
        <v>0.86</v>
      </c>
      <c r="CG2710">
        <v>0</v>
      </c>
      <c r="CH2710">
        <v>2.1800000000000002</v>
      </c>
      <c r="CI2710">
        <v>0</v>
      </c>
      <c r="CJ2710">
        <v>1.6</v>
      </c>
      <c r="CK2710">
        <v>65</v>
      </c>
      <c r="CL2710">
        <v>-0.78</v>
      </c>
      <c r="CM2710">
        <v>62</v>
      </c>
      <c r="CN2710">
        <v>-0.36</v>
      </c>
      <c r="CO2710">
        <v>59</v>
      </c>
      <c r="CP2710">
        <v>4.4000000000000004</v>
      </c>
      <c r="CQ2710">
        <v>65</v>
      </c>
      <c r="CR2710">
        <v>0</v>
      </c>
      <c r="CS2710">
        <v>0</v>
      </c>
      <c r="CT2710">
        <v>14</v>
      </c>
      <c r="CU2710">
        <v>64</v>
      </c>
      <c r="CV2710">
        <v>0.2</v>
      </c>
      <c r="CW2710">
        <v>38</v>
      </c>
      <c r="CX2710" t="s">
        <v>4610</v>
      </c>
    </row>
    <row r="2711" spans="1:102" x14ac:dyDescent="0.3">
      <c r="A2711" t="str">
        <f>HYPERLINK("https://webapp.icbf.com/v2/app/bull-search/view/77856574","HRZ")</f>
        <v>HRZ</v>
      </c>
      <c r="B2711" t="s">
        <v>11097</v>
      </c>
      <c r="C2711" t="s">
        <v>1420</v>
      </c>
      <c r="D2711" s="1">
        <v>33806</v>
      </c>
      <c r="E2711" t="s">
        <v>92</v>
      </c>
      <c r="F2711">
        <v>100</v>
      </c>
      <c r="G2711" t="s">
        <v>93</v>
      </c>
      <c r="H2711">
        <v>19.04</v>
      </c>
      <c r="I2711">
        <v>99</v>
      </c>
      <c r="J2711">
        <v>38.950000000000003</v>
      </c>
      <c r="K2711">
        <v>99</v>
      </c>
      <c r="L2711">
        <v>-48.03</v>
      </c>
      <c r="M2711">
        <v>98</v>
      </c>
      <c r="N2711">
        <v>10.65</v>
      </c>
      <c r="O2711">
        <v>99</v>
      </c>
      <c r="P2711">
        <v>-12.62</v>
      </c>
      <c r="Q2711">
        <v>99</v>
      </c>
      <c r="R2711">
        <v>4.45</v>
      </c>
      <c r="S2711">
        <v>99</v>
      </c>
      <c r="T2711">
        <v>21.74</v>
      </c>
      <c r="U2711">
        <v>99</v>
      </c>
      <c r="V2711">
        <v>3.9</v>
      </c>
      <c r="W2711">
        <v>99</v>
      </c>
      <c r="X2711" t="s">
        <v>94</v>
      </c>
      <c r="Y2711" t="s">
        <v>95</v>
      </c>
      <c r="Z2711" t="s">
        <v>96</v>
      </c>
      <c r="AA2711" t="s">
        <v>485</v>
      </c>
      <c r="AB2711" t="s">
        <v>10613</v>
      </c>
      <c r="AC2711">
        <v>8939</v>
      </c>
      <c r="AD2711">
        <v>2260</v>
      </c>
      <c r="AE2711">
        <v>99</v>
      </c>
      <c r="AF2711">
        <v>368.05</v>
      </c>
      <c r="AG2711">
        <v>4.9400000000000004</v>
      </c>
      <c r="AH2711">
        <v>10.51</v>
      </c>
      <c r="AI2711">
        <v>-0.15</v>
      </c>
      <c r="AJ2711">
        <v>-0.03</v>
      </c>
      <c r="AK2711">
        <v>98</v>
      </c>
      <c r="AL2711">
        <v>8965</v>
      </c>
      <c r="AM2711">
        <v>2540</v>
      </c>
      <c r="AN2711">
        <v>4.2</v>
      </c>
      <c r="AO2711">
        <v>0.39</v>
      </c>
      <c r="AP2711">
        <v>10738</v>
      </c>
      <c r="AQ2711">
        <v>20</v>
      </c>
      <c r="AR2711">
        <v>6.21</v>
      </c>
      <c r="AS2711">
        <v>99</v>
      </c>
      <c r="AT2711">
        <v>2.74</v>
      </c>
      <c r="AU2711">
        <v>99</v>
      </c>
      <c r="AV2711">
        <v>-0.94</v>
      </c>
      <c r="AW2711">
        <v>99</v>
      </c>
      <c r="AX2711">
        <v>-0.13</v>
      </c>
      <c r="AY2711">
        <v>99</v>
      </c>
      <c r="AZ2711">
        <v>6.66</v>
      </c>
      <c r="BA2711">
        <v>99</v>
      </c>
      <c r="BB2711">
        <v>5.66</v>
      </c>
      <c r="BC2711">
        <v>99</v>
      </c>
      <c r="BD2711">
        <v>-0.02</v>
      </c>
      <c r="BE2711">
        <v>-0.01</v>
      </c>
      <c r="BF2711">
        <v>-0.05</v>
      </c>
      <c r="BG2711">
        <v>99</v>
      </c>
      <c r="BH2711">
        <v>0.21</v>
      </c>
      <c r="BI2711">
        <v>11.72</v>
      </c>
      <c r="BJ2711">
        <v>1203</v>
      </c>
      <c r="BK2711">
        <v>390</v>
      </c>
      <c r="BL2711">
        <v>-0.25</v>
      </c>
      <c r="BM2711">
        <v>-0.62</v>
      </c>
      <c r="BN2711">
        <v>0.38</v>
      </c>
      <c r="BO2711">
        <v>1.05</v>
      </c>
      <c r="BP2711">
        <v>-0.53</v>
      </c>
      <c r="BQ2711">
        <v>-0.33</v>
      </c>
      <c r="BR2711">
        <v>0.36</v>
      </c>
      <c r="BS2711">
        <v>0.08</v>
      </c>
      <c r="BT2711">
        <v>-0.4</v>
      </c>
      <c r="BU2711">
        <v>0.97</v>
      </c>
      <c r="BV2711">
        <v>2.08</v>
      </c>
      <c r="BW2711">
        <v>0.32</v>
      </c>
      <c r="BX2711">
        <v>-0.24</v>
      </c>
      <c r="BY2711">
        <v>-0.44</v>
      </c>
      <c r="BZ2711">
        <v>1.43</v>
      </c>
      <c r="CA2711">
        <v>1.18</v>
      </c>
      <c r="CB2711">
        <v>1.44</v>
      </c>
      <c r="CC2711">
        <v>0.28000000000000003</v>
      </c>
      <c r="CD2711">
        <v>-0.91</v>
      </c>
      <c r="CE2711">
        <v>1.2</v>
      </c>
      <c r="CF2711">
        <v>-0.12</v>
      </c>
      <c r="CG2711">
        <v>0</v>
      </c>
      <c r="CH2711">
        <v>-0.45</v>
      </c>
      <c r="CI2711">
        <v>0</v>
      </c>
      <c r="CJ2711">
        <v>-6</v>
      </c>
      <c r="CK2711">
        <v>99</v>
      </c>
      <c r="CL2711">
        <v>-0.83</v>
      </c>
      <c r="CM2711">
        <v>99</v>
      </c>
      <c r="CN2711">
        <v>-0.57999999999999996</v>
      </c>
      <c r="CO2711">
        <v>99</v>
      </c>
      <c r="CP2711">
        <v>-17.100000000000001</v>
      </c>
      <c r="CQ2711">
        <v>99</v>
      </c>
      <c r="CR2711">
        <v>0</v>
      </c>
      <c r="CS2711">
        <v>0</v>
      </c>
      <c r="CT2711">
        <v>-15.6</v>
      </c>
      <c r="CU2711">
        <v>99</v>
      </c>
      <c r="CV2711">
        <v>0.05</v>
      </c>
      <c r="CW2711">
        <v>47</v>
      </c>
      <c r="CX2711" t="s">
        <v>3760</v>
      </c>
    </row>
    <row r="2712" spans="1:102" x14ac:dyDescent="0.3">
      <c r="A2712" t="str">
        <f>HYPERLINK("https://webapp.icbf.com/v2/app/bull-search/view/660023940","DXL")</f>
        <v>DXL</v>
      </c>
      <c r="B2712" t="s">
        <v>7534</v>
      </c>
      <c r="C2712" t="s">
        <v>7535</v>
      </c>
      <c r="D2712" s="1">
        <v>38654</v>
      </c>
      <c r="E2712" t="s">
        <v>92</v>
      </c>
      <c r="F2712">
        <v>100</v>
      </c>
      <c r="G2712" t="s">
        <v>93</v>
      </c>
      <c r="H2712">
        <v>19.03</v>
      </c>
      <c r="I2712">
        <v>91</v>
      </c>
      <c r="J2712">
        <v>18.649999999999999</v>
      </c>
      <c r="K2712">
        <v>98</v>
      </c>
      <c r="L2712">
        <v>-25.66</v>
      </c>
      <c r="M2712">
        <v>89</v>
      </c>
      <c r="N2712">
        <v>20.02</v>
      </c>
      <c r="O2712">
        <v>89</v>
      </c>
      <c r="P2712">
        <v>-13.54</v>
      </c>
      <c r="Q2712">
        <v>94</v>
      </c>
      <c r="R2712">
        <v>12.97</v>
      </c>
      <c r="S2712">
        <v>78</v>
      </c>
      <c r="T2712">
        <v>2.58</v>
      </c>
      <c r="U2712">
        <v>89</v>
      </c>
      <c r="V2712">
        <v>4.01</v>
      </c>
      <c r="W2712">
        <v>63</v>
      </c>
      <c r="X2712" t="s">
        <v>94</v>
      </c>
      <c r="Y2712" t="s">
        <v>282</v>
      </c>
      <c r="Z2712" t="s">
        <v>96</v>
      </c>
      <c r="AA2712" t="s">
        <v>309</v>
      </c>
      <c r="AB2712" t="s">
        <v>7536</v>
      </c>
      <c r="AC2712">
        <v>281</v>
      </c>
      <c r="AD2712">
        <v>99</v>
      </c>
      <c r="AE2712">
        <v>98</v>
      </c>
      <c r="AF2712">
        <v>286.86</v>
      </c>
      <c r="AG2712">
        <v>3.54</v>
      </c>
      <c r="AH2712">
        <v>6.31</v>
      </c>
      <c r="AI2712">
        <v>-0.12</v>
      </c>
      <c r="AJ2712">
        <v>-0.06</v>
      </c>
      <c r="AK2712">
        <v>89</v>
      </c>
      <c r="AL2712">
        <v>310</v>
      </c>
      <c r="AM2712">
        <v>107</v>
      </c>
      <c r="AN2712">
        <v>2.7</v>
      </c>
      <c r="AO2712">
        <v>0.67</v>
      </c>
      <c r="AP2712">
        <v>292</v>
      </c>
      <c r="AQ2712">
        <v>0</v>
      </c>
      <c r="AR2712">
        <v>5.46</v>
      </c>
      <c r="AS2712">
        <v>91</v>
      </c>
      <c r="AT2712">
        <v>2.4700000000000002</v>
      </c>
      <c r="AU2712">
        <v>85</v>
      </c>
      <c r="AV2712">
        <v>-1.66</v>
      </c>
      <c r="AW2712">
        <v>97</v>
      </c>
      <c r="AX2712">
        <v>0.33</v>
      </c>
      <c r="AY2712">
        <v>90</v>
      </c>
      <c r="AZ2712">
        <v>7.15</v>
      </c>
      <c r="BA2712">
        <v>74</v>
      </c>
      <c r="BB2712">
        <v>5.29</v>
      </c>
      <c r="BC2712">
        <v>71</v>
      </c>
      <c r="BD2712">
        <v>-0.05</v>
      </c>
      <c r="BE2712">
        <v>-0.05</v>
      </c>
      <c r="BF2712">
        <v>-0.12</v>
      </c>
      <c r="BG2712">
        <v>92</v>
      </c>
      <c r="BH2712">
        <v>-0.05</v>
      </c>
      <c r="BI2712">
        <v>-18.73</v>
      </c>
      <c r="BJ2712">
        <v>99</v>
      </c>
      <c r="BK2712">
        <v>47</v>
      </c>
      <c r="BL2712">
        <v>1.81</v>
      </c>
      <c r="BM2712">
        <v>-3.28</v>
      </c>
      <c r="BN2712">
        <v>-1.07</v>
      </c>
      <c r="BO2712">
        <v>1.1599999999999999</v>
      </c>
      <c r="BP2712">
        <v>-1.98</v>
      </c>
      <c r="BQ2712">
        <v>-0.91</v>
      </c>
      <c r="BR2712">
        <v>2.2599999999999998</v>
      </c>
      <c r="BS2712">
        <v>0.15</v>
      </c>
      <c r="BT2712">
        <v>-1.19</v>
      </c>
      <c r="BU2712">
        <v>1.88</v>
      </c>
      <c r="BV2712">
        <v>2.31</v>
      </c>
      <c r="BW2712">
        <v>2.0299999999999998</v>
      </c>
      <c r="BX2712">
        <v>2.65</v>
      </c>
      <c r="BY2712">
        <v>-0.8</v>
      </c>
      <c r="BZ2712">
        <v>1.01</v>
      </c>
      <c r="CA2712">
        <v>0.83</v>
      </c>
      <c r="CB2712">
        <v>1.2</v>
      </c>
      <c r="CC2712">
        <v>-0.65</v>
      </c>
      <c r="CD2712">
        <v>-2.2799999999999998</v>
      </c>
      <c r="CE2712">
        <v>1.04</v>
      </c>
      <c r="CF2712">
        <v>-0.17</v>
      </c>
      <c r="CG2712">
        <v>0</v>
      </c>
      <c r="CH2712">
        <v>-0.56999999999999995</v>
      </c>
      <c r="CI2712">
        <v>0</v>
      </c>
      <c r="CJ2712">
        <v>-4.2</v>
      </c>
      <c r="CK2712">
        <v>95</v>
      </c>
      <c r="CL2712">
        <v>-1.43</v>
      </c>
      <c r="CM2712">
        <v>94</v>
      </c>
      <c r="CN2712">
        <v>-0.63</v>
      </c>
      <c r="CO2712">
        <v>94</v>
      </c>
      <c r="CP2712">
        <v>-2.4</v>
      </c>
      <c r="CQ2712">
        <v>93</v>
      </c>
      <c r="CR2712">
        <v>0</v>
      </c>
      <c r="CS2712">
        <v>0</v>
      </c>
      <c r="CT2712">
        <v>10.3</v>
      </c>
      <c r="CU2712">
        <v>89</v>
      </c>
      <c r="CV2712">
        <v>0.37</v>
      </c>
      <c r="CW2712">
        <v>28</v>
      </c>
      <c r="CX2712" t="s">
        <v>311</v>
      </c>
    </row>
    <row r="2713" spans="1:102" x14ac:dyDescent="0.3">
      <c r="A2713" t="str">
        <f>HYPERLINK("https://webapp.icbf.com/v2/app/bull-search/view/1656378932","S3311")</f>
        <v>S3311</v>
      </c>
      <c r="B2713" t="s">
        <v>8410</v>
      </c>
      <c r="C2713" t="s">
        <v>8411</v>
      </c>
      <c r="D2713" s="1">
        <v>42701</v>
      </c>
      <c r="E2713" t="s">
        <v>92</v>
      </c>
      <c r="F2713">
        <v>100</v>
      </c>
      <c r="G2713" t="s">
        <v>435</v>
      </c>
      <c r="H2713">
        <v>18.96</v>
      </c>
      <c r="I2713">
        <v>68</v>
      </c>
      <c r="J2713">
        <v>57.73</v>
      </c>
      <c r="K2713">
        <v>88</v>
      </c>
      <c r="L2713">
        <v>-77.040000000000006</v>
      </c>
      <c r="M2713">
        <v>68</v>
      </c>
      <c r="N2713">
        <v>27.4</v>
      </c>
      <c r="O2713">
        <v>62</v>
      </c>
      <c r="P2713">
        <v>-2.1800000000000002</v>
      </c>
      <c r="Q2713">
        <v>37</v>
      </c>
      <c r="R2713">
        <v>28.18</v>
      </c>
      <c r="S2713">
        <v>62</v>
      </c>
      <c r="T2713">
        <v>-17.62</v>
      </c>
      <c r="U2713">
        <v>36</v>
      </c>
      <c r="V2713">
        <v>2.4900000000000002</v>
      </c>
      <c r="W2713">
        <v>54</v>
      </c>
      <c r="X2713" t="s">
        <v>110</v>
      </c>
      <c r="Y2713" t="s">
        <v>2394</v>
      </c>
      <c r="Z2713" t="s">
        <v>96</v>
      </c>
      <c r="AA2713" t="s">
        <v>2403</v>
      </c>
      <c r="AB2713" t="s">
        <v>8412</v>
      </c>
      <c r="AC2713">
        <v>0</v>
      </c>
      <c r="AD2713">
        <v>0</v>
      </c>
      <c r="AE2713">
        <v>88</v>
      </c>
      <c r="AF2713">
        <v>481.18</v>
      </c>
      <c r="AG2713">
        <v>11.77</v>
      </c>
      <c r="AH2713">
        <v>13.02</v>
      </c>
      <c r="AI2713">
        <v>-0.12</v>
      </c>
      <c r="AJ2713">
        <v>-0.05</v>
      </c>
      <c r="AK2713">
        <v>68</v>
      </c>
      <c r="AL2713">
        <v>0</v>
      </c>
      <c r="AM2713">
        <v>0</v>
      </c>
      <c r="AN2713">
        <v>6.8</v>
      </c>
      <c r="AO2713">
        <v>0.69</v>
      </c>
      <c r="AP2713">
        <v>18</v>
      </c>
      <c r="AQ2713">
        <v>0</v>
      </c>
      <c r="AR2713">
        <v>8.23</v>
      </c>
      <c r="AS2713">
        <v>52</v>
      </c>
      <c r="AT2713">
        <v>2.83</v>
      </c>
      <c r="AU2713">
        <v>88</v>
      </c>
      <c r="AV2713">
        <v>-3.93</v>
      </c>
      <c r="AW2713">
        <v>62</v>
      </c>
      <c r="AX2713">
        <v>0.73</v>
      </c>
      <c r="AY2713">
        <v>47</v>
      </c>
      <c r="AZ2713">
        <v>6.49</v>
      </c>
      <c r="BA2713">
        <v>37</v>
      </c>
      <c r="BB2713">
        <v>5.54</v>
      </c>
      <c r="BC2713">
        <v>35</v>
      </c>
      <c r="BD2713">
        <v>-0.09</v>
      </c>
      <c r="BE2713">
        <v>-0.12</v>
      </c>
      <c r="BF2713">
        <v>-0.27</v>
      </c>
      <c r="BG2713">
        <v>75</v>
      </c>
      <c r="BH2713">
        <v>0.17</v>
      </c>
      <c r="BI2713">
        <v>11.64</v>
      </c>
      <c r="BJ2713">
        <v>0</v>
      </c>
      <c r="BK2713">
        <v>0</v>
      </c>
      <c r="BL2713">
        <v>3.87</v>
      </c>
      <c r="BM2713">
        <v>0.02</v>
      </c>
      <c r="BN2713">
        <v>2.4</v>
      </c>
      <c r="BO2713">
        <v>2.02</v>
      </c>
      <c r="BP2713">
        <v>-0.85</v>
      </c>
      <c r="BQ2713">
        <v>4.34</v>
      </c>
      <c r="BR2713">
        <v>0.15</v>
      </c>
      <c r="BS2713">
        <v>1.69</v>
      </c>
      <c r="BT2713">
        <v>1.05</v>
      </c>
      <c r="BU2713">
        <v>5.56</v>
      </c>
      <c r="BV2713">
        <v>4.2</v>
      </c>
      <c r="BW2713">
        <v>3.94</v>
      </c>
      <c r="BX2713">
        <v>5.56</v>
      </c>
      <c r="BY2713">
        <v>2.12</v>
      </c>
      <c r="BZ2713">
        <v>-0.73</v>
      </c>
      <c r="CA2713">
        <v>3.85</v>
      </c>
      <c r="CB2713">
        <v>3.89</v>
      </c>
      <c r="CC2713">
        <v>0.75</v>
      </c>
      <c r="CD2713">
        <v>-1.44</v>
      </c>
      <c r="CE2713">
        <v>1.56</v>
      </c>
      <c r="CF2713">
        <v>1.66</v>
      </c>
      <c r="CG2713">
        <v>0</v>
      </c>
      <c r="CH2713">
        <v>2.89</v>
      </c>
      <c r="CI2713">
        <v>0</v>
      </c>
      <c r="CJ2713">
        <v>2.9</v>
      </c>
      <c r="CK2713">
        <v>37</v>
      </c>
      <c r="CL2713">
        <v>-1.92</v>
      </c>
      <c r="CM2713">
        <v>37</v>
      </c>
      <c r="CN2713">
        <v>-1.04</v>
      </c>
      <c r="CO2713">
        <v>37</v>
      </c>
      <c r="CP2713">
        <v>9.6999999999999993</v>
      </c>
      <c r="CQ2713">
        <v>36</v>
      </c>
      <c r="CR2713">
        <v>0</v>
      </c>
      <c r="CS2713">
        <v>0</v>
      </c>
      <c r="CT2713">
        <v>37.6</v>
      </c>
      <c r="CU2713">
        <v>36</v>
      </c>
      <c r="CV2713">
        <v>0.31</v>
      </c>
      <c r="CW2713">
        <v>32</v>
      </c>
      <c r="CX2713" t="s">
        <v>412</v>
      </c>
    </row>
    <row r="2714" spans="1:102" x14ac:dyDescent="0.3">
      <c r="A2714" t="str">
        <f>HYPERLINK("https://webapp.icbf.com/v2/app/bull-search/view/77855053","NRD")</f>
        <v>NRD</v>
      </c>
      <c r="B2714" t="s">
        <v>15583</v>
      </c>
      <c r="C2714" t="s">
        <v>15584</v>
      </c>
      <c r="D2714" s="1">
        <v>34333</v>
      </c>
      <c r="E2714" t="s">
        <v>92</v>
      </c>
      <c r="F2714">
        <v>100</v>
      </c>
      <c r="G2714" t="s">
        <v>93</v>
      </c>
      <c r="H2714">
        <v>18.93</v>
      </c>
      <c r="I2714">
        <v>93</v>
      </c>
      <c r="J2714">
        <v>35.65</v>
      </c>
      <c r="K2714">
        <v>98</v>
      </c>
      <c r="L2714">
        <v>-23.23</v>
      </c>
      <c r="M2714">
        <v>90</v>
      </c>
      <c r="N2714">
        <v>4.9800000000000004</v>
      </c>
      <c r="O2714">
        <v>90</v>
      </c>
      <c r="P2714">
        <v>-2.4900000000000002</v>
      </c>
      <c r="Q2714">
        <v>97</v>
      </c>
      <c r="R2714">
        <v>-7.41</v>
      </c>
      <c r="S2714">
        <v>87</v>
      </c>
      <c r="T2714">
        <v>14.86</v>
      </c>
      <c r="U2714">
        <v>92</v>
      </c>
      <c r="V2714">
        <v>-3.43</v>
      </c>
      <c r="W2714">
        <v>83</v>
      </c>
      <c r="X2714" t="s">
        <v>102</v>
      </c>
      <c r="Y2714" t="s">
        <v>95</v>
      </c>
      <c r="Z2714" t="s">
        <v>96</v>
      </c>
      <c r="AA2714" t="s">
        <v>999</v>
      </c>
      <c r="AB2714" t="s">
        <v>772</v>
      </c>
      <c r="AC2714">
        <v>236</v>
      </c>
      <c r="AD2714">
        <v>87</v>
      </c>
      <c r="AE2714">
        <v>98</v>
      </c>
      <c r="AF2714">
        <v>58.4</v>
      </c>
      <c r="AG2714">
        <v>6.83</v>
      </c>
      <c r="AH2714">
        <v>4.54</v>
      </c>
      <c r="AI2714">
        <v>0.08</v>
      </c>
      <c r="AJ2714">
        <v>0.04</v>
      </c>
      <c r="AK2714">
        <v>90</v>
      </c>
      <c r="AL2714">
        <v>257</v>
      </c>
      <c r="AM2714">
        <v>102</v>
      </c>
      <c r="AN2714">
        <v>2.2200000000000002</v>
      </c>
      <c r="AO2714">
        <v>0.38</v>
      </c>
      <c r="AP2714">
        <v>80</v>
      </c>
      <c r="AQ2714">
        <v>4</v>
      </c>
      <c r="AR2714">
        <v>7.72</v>
      </c>
      <c r="AS2714">
        <v>81</v>
      </c>
      <c r="AT2714">
        <v>2.89</v>
      </c>
      <c r="AU2714">
        <v>90</v>
      </c>
      <c r="AV2714">
        <v>-0.03</v>
      </c>
      <c r="AW2714">
        <v>94</v>
      </c>
      <c r="AX2714">
        <v>-0.23</v>
      </c>
      <c r="AY2714">
        <v>91</v>
      </c>
      <c r="AZ2714">
        <v>6.14</v>
      </c>
      <c r="BA2714">
        <v>79</v>
      </c>
      <c r="BB2714">
        <v>4.5999999999999996</v>
      </c>
      <c r="BC2714">
        <v>84</v>
      </c>
      <c r="BD2714">
        <v>0.05</v>
      </c>
      <c r="BE2714">
        <v>0.03</v>
      </c>
      <c r="BF2714">
        <v>0.03</v>
      </c>
      <c r="BG2714">
        <v>95</v>
      </c>
      <c r="BH2714">
        <v>0.03</v>
      </c>
      <c r="BI2714">
        <v>14.52</v>
      </c>
      <c r="BJ2714">
        <v>10</v>
      </c>
      <c r="BK2714">
        <v>9</v>
      </c>
      <c r="BL2714">
        <v>-0.5</v>
      </c>
      <c r="BM2714">
        <v>-0.04</v>
      </c>
      <c r="BN2714">
        <v>-0.4</v>
      </c>
      <c r="BO2714">
        <v>-0.48</v>
      </c>
      <c r="BP2714">
        <v>0.3</v>
      </c>
      <c r="BQ2714">
        <v>-0.88</v>
      </c>
      <c r="BR2714">
        <v>-0.52</v>
      </c>
      <c r="BS2714">
        <v>-0.28999999999999998</v>
      </c>
      <c r="BT2714">
        <v>1.28</v>
      </c>
      <c r="BU2714">
        <v>-2.83</v>
      </c>
      <c r="BV2714">
        <v>-1.46</v>
      </c>
      <c r="BW2714">
        <v>-1.34</v>
      </c>
      <c r="BX2714">
        <v>-2.77</v>
      </c>
      <c r="BY2714">
        <v>-1.1399999999999999</v>
      </c>
      <c r="BZ2714">
        <v>-0.05</v>
      </c>
      <c r="CA2714">
        <v>-1.86</v>
      </c>
      <c r="CB2714">
        <v>-2.08</v>
      </c>
      <c r="CC2714">
        <v>-0.63</v>
      </c>
      <c r="CD2714">
        <v>0.23</v>
      </c>
      <c r="CE2714">
        <v>0.23</v>
      </c>
      <c r="CF2714">
        <v>0.25</v>
      </c>
      <c r="CG2714">
        <v>0</v>
      </c>
      <c r="CH2714">
        <v>-1.34</v>
      </c>
      <c r="CI2714">
        <v>0</v>
      </c>
      <c r="CJ2714">
        <v>-1.8</v>
      </c>
      <c r="CK2714">
        <v>97</v>
      </c>
      <c r="CL2714">
        <v>-0.32</v>
      </c>
      <c r="CM2714">
        <v>96</v>
      </c>
      <c r="CN2714">
        <v>-0.36</v>
      </c>
      <c r="CO2714">
        <v>96</v>
      </c>
      <c r="CP2714">
        <v>-6.1</v>
      </c>
      <c r="CQ2714">
        <v>96</v>
      </c>
      <c r="CR2714">
        <v>0</v>
      </c>
      <c r="CS2714">
        <v>0</v>
      </c>
      <c r="CT2714">
        <v>-6.3</v>
      </c>
      <c r="CU2714">
        <v>92</v>
      </c>
      <c r="CV2714">
        <v>0.06</v>
      </c>
      <c r="CW2714">
        <v>46</v>
      </c>
      <c r="CX2714" t="s">
        <v>724</v>
      </c>
    </row>
    <row r="2715" spans="1:102" x14ac:dyDescent="0.3">
      <c r="A2715" t="str">
        <f>HYPERLINK("https://webapp.icbf.com/v2/app/bull-search/view/77856511","KKS")</f>
        <v>KKS</v>
      </c>
      <c r="B2715" t="s">
        <v>3935</v>
      </c>
      <c r="C2715" t="s">
        <v>3936</v>
      </c>
      <c r="D2715" s="1">
        <v>33204</v>
      </c>
      <c r="E2715" t="s">
        <v>92</v>
      </c>
      <c r="F2715">
        <v>50</v>
      </c>
      <c r="G2715" t="s">
        <v>93</v>
      </c>
      <c r="H2715">
        <v>18.86</v>
      </c>
      <c r="I2715">
        <v>71</v>
      </c>
      <c r="J2715">
        <v>-36.659999999999997</v>
      </c>
      <c r="K2715">
        <v>89</v>
      </c>
      <c r="L2715">
        <v>30.62</v>
      </c>
      <c r="M2715">
        <v>61</v>
      </c>
      <c r="N2715">
        <v>31.51</v>
      </c>
      <c r="O2715">
        <v>57</v>
      </c>
      <c r="P2715">
        <v>-8.7100000000000009</v>
      </c>
      <c r="Q2715">
        <v>78</v>
      </c>
      <c r="R2715">
        <v>-7.42</v>
      </c>
      <c r="S2715">
        <v>62</v>
      </c>
      <c r="T2715">
        <v>12.05</v>
      </c>
      <c r="U2715">
        <v>64</v>
      </c>
      <c r="V2715">
        <v>-2.5299999999999998</v>
      </c>
      <c r="W2715">
        <v>37</v>
      </c>
      <c r="X2715" t="s">
        <v>94</v>
      </c>
      <c r="Y2715" t="s">
        <v>95</v>
      </c>
      <c r="Z2715" t="s">
        <v>96</v>
      </c>
      <c r="AA2715" t="s">
        <v>3937</v>
      </c>
      <c r="AB2715" t="s">
        <v>3938</v>
      </c>
      <c r="AC2715">
        <v>46</v>
      </c>
      <c r="AD2715">
        <v>37</v>
      </c>
      <c r="AE2715">
        <v>89</v>
      </c>
      <c r="AF2715">
        <v>-245.87</v>
      </c>
      <c r="AG2715">
        <v>-6.61</v>
      </c>
      <c r="AH2715">
        <v>-7.66</v>
      </c>
      <c r="AI2715">
        <v>0.05</v>
      </c>
      <c r="AJ2715">
        <v>0.01</v>
      </c>
      <c r="AK2715">
        <v>61</v>
      </c>
      <c r="AL2715">
        <v>81</v>
      </c>
      <c r="AM2715">
        <v>61</v>
      </c>
      <c r="AN2715">
        <v>-0.28000000000000003</v>
      </c>
      <c r="AO2715">
        <v>2.1800000000000002</v>
      </c>
      <c r="AP2715">
        <v>21</v>
      </c>
      <c r="AQ2715">
        <v>4</v>
      </c>
      <c r="AR2715">
        <v>6.89</v>
      </c>
      <c r="AS2715">
        <v>22</v>
      </c>
      <c r="AT2715">
        <v>3</v>
      </c>
      <c r="AU2715">
        <v>50</v>
      </c>
      <c r="AV2715">
        <v>-2.85</v>
      </c>
      <c r="AW2715">
        <v>76</v>
      </c>
      <c r="AX2715">
        <v>-0.69</v>
      </c>
      <c r="AY2715">
        <v>60</v>
      </c>
      <c r="AZ2715">
        <v>5.85</v>
      </c>
      <c r="BA2715">
        <v>24</v>
      </c>
      <c r="BB2715">
        <v>4.29</v>
      </c>
      <c r="BC2715">
        <v>35</v>
      </c>
      <c r="BD2715">
        <v>0.04</v>
      </c>
      <c r="BE2715">
        <v>0.06</v>
      </c>
      <c r="BF2715">
        <v>-0.01</v>
      </c>
      <c r="BG2715">
        <v>83</v>
      </c>
      <c r="BH2715">
        <v>0.04</v>
      </c>
      <c r="BI2715">
        <v>12.79</v>
      </c>
      <c r="BJ2715">
        <v>19</v>
      </c>
      <c r="BK2715">
        <v>13</v>
      </c>
      <c r="BL2715">
        <v>-1.1100000000000001</v>
      </c>
      <c r="BM2715">
        <v>0.76</v>
      </c>
      <c r="BN2715">
        <v>-0.56000000000000005</v>
      </c>
      <c r="BO2715">
        <v>-0.96</v>
      </c>
      <c r="BP2715">
        <v>0.38</v>
      </c>
      <c r="BQ2715">
        <v>0.37</v>
      </c>
      <c r="BR2715">
        <v>0.53</v>
      </c>
      <c r="BS2715">
        <v>-0.35</v>
      </c>
      <c r="BT2715">
        <v>-0.4</v>
      </c>
      <c r="BU2715">
        <v>-0.63</v>
      </c>
      <c r="BV2715">
        <v>-1.01</v>
      </c>
      <c r="BW2715">
        <v>-0.5</v>
      </c>
      <c r="BX2715">
        <v>0.38</v>
      </c>
      <c r="BY2715">
        <v>0.13</v>
      </c>
      <c r="BZ2715">
        <v>-1.43</v>
      </c>
      <c r="CA2715">
        <v>-1.17</v>
      </c>
      <c r="CB2715">
        <v>-1.03</v>
      </c>
      <c r="CC2715">
        <v>-0.9</v>
      </c>
      <c r="CD2715">
        <v>1.1399999999999999</v>
      </c>
      <c r="CE2715">
        <v>-1.04</v>
      </c>
      <c r="CF2715">
        <v>-0.31</v>
      </c>
      <c r="CG2715">
        <v>0</v>
      </c>
      <c r="CH2715">
        <v>-0.77</v>
      </c>
      <c r="CI2715">
        <v>0</v>
      </c>
      <c r="CJ2715">
        <v>-4.2</v>
      </c>
      <c r="CK2715">
        <v>81</v>
      </c>
      <c r="CL2715">
        <v>-0.26</v>
      </c>
      <c r="CM2715">
        <v>76</v>
      </c>
      <c r="CN2715">
        <v>-7.0000000000000007E-2</v>
      </c>
      <c r="CO2715">
        <v>73</v>
      </c>
      <c r="CP2715">
        <v>-7</v>
      </c>
      <c r="CQ2715">
        <v>74</v>
      </c>
      <c r="CR2715">
        <v>0</v>
      </c>
      <c r="CS2715">
        <v>0</v>
      </c>
      <c r="CT2715">
        <v>-2.5</v>
      </c>
      <c r="CU2715">
        <v>64</v>
      </c>
      <c r="CV2715">
        <v>-0.03</v>
      </c>
      <c r="CW2715">
        <v>23</v>
      </c>
      <c r="CX2715" t="s">
        <v>675</v>
      </c>
    </row>
    <row r="2716" spans="1:102" x14ac:dyDescent="0.3">
      <c r="A2716" t="str">
        <f>HYPERLINK("https://webapp.icbf.com/v2/app/bull-search/view/943316419","S1262")</f>
        <v>S1262</v>
      </c>
      <c r="B2716" t="s">
        <v>5546</v>
      </c>
      <c r="C2716" t="s">
        <v>5547</v>
      </c>
      <c r="D2716" s="1">
        <v>39427</v>
      </c>
      <c r="E2716" t="s">
        <v>1061</v>
      </c>
      <c r="F2716">
        <v>0</v>
      </c>
      <c r="G2716" t="s">
        <v>109</v>
      </c>
      <c r="H2716">
        <v>18.82</v>
      </c>
      <c r="I2716">
        <v>55</v>
      </c>
      <c r="J2716">
        <v>-29.61</v>
      </c>
      <c r="K2716">
        <v>71</v>
      </c>
      <c r="L2716">
        <v>72.61</v>
      </c>
      <c r="M2716">
        <v>53</v>
      </c>
      <c r="N2716">
        <v>-19.420000000000002</v>
      </c>
      <c r="O2716">
        <v>45</v>
      </c>
      <c r="P2716">
        <v>6</v>
      </c>
      <c r="Q2716">
        <v>57</v>
      </c>
      <c r="R2716">
        <v>-2.67</v>
      </c>
      <c r="S2716">
        <v>15</v>
      </c>
      <c r="T2716">
        <v>-2.16</v>
      </c>
      <c r="U2716">
        <v>46</v>
      </c>
      <c r="V2716">
        <v>-5.93</v>
      </c>
      <c r="W2716">
        <v>13</v>
      </c>
      <c r="X2716" t="s">
        <v>102</v>
      </c>
      <c r="Y2716" t="s">
        <v>342</v>
      </c>
      <c r="Z2716">
        <v>0</v>
      </c>
      <c r="AA2716" t="s">
        <v>5265</v>
      </c>
      <c r="AB2716" t="s">
        <v>5548</v>
      </c>
      <c r="AC2716">
        <v>0</v>
      </c>
      <c r="AD2716">
        <v>0</v>
      </c>
      <c r="AE2716">
        <v>71</v>
      </c>
      <c r="AF2716">
        <v>-283.77</v>
      </c>
      <c r="AG2716">
        <v>-9.1</v>
      </c>
      <c r="AH2716">
        <v>-6.16</v>
      </c>
      <c r="AI2716">
        <v>0.03</v>
      </c>
      <c r="AJ2716">
        <v>0.06</v>
      </c>
      <c r="AK2716">
        <v>53</v>
      </c>
      <c r="AL2716">
        <v>0</v>
      </c>
      <c r="AM2716">
        <v>0</v>
      </c>
      <c r="AN2716">
        <v>-5.55</v>
      </c>
      <c r="AO2716">
        <v>0.22</v>
      </c>
      <c r="AP2716">
        <v>21</v>
      </c>
      <c r="AQ2716">
        <v>1</v>
      </c>
      <c r="AR2716">
        <v>9.82</v>
      </c>
      <c r="AS2716">
        <v>11</v>
      </c>
      <c r="AT2716">
        <v>3.93</v>
      </c>
      <c r="AU2716">
        <v>60</v>
      </c>
      <c r="AV2716">
        <v>0.57999999999999996</v>
      </c>
      <c r="AW2716">
        <v>63</v>
      </c>
      <c r="AX2716">
        <v>-7.0000000000000007E-2</v>
      </c>
      <c r="AY2716">
        <v>24</v>
      </c>
      <c r="AZ2716">
        <v>6.47</v>
      </c>
      <c r="BA2716">
        <v>10</v>
      </c>
      <c r="BB2716">
        <v>5.14</v>
      </c>
      <c r="BC2716">
        <v>9</v>
      </c>
      <c r="BD2716">
        <v>0.02</v>
      </c>
      <c r="BE2716">
        <v>0.02</v>
      </c>
      <c r="BF2716">
        <v>-0.01</v>
      </c>
      <c r="BG2716">
        <v>19</v>
      </c>
      <c r="BH2716">
        <v>0.01</v>
      </c>
      <c r="BI2716">
        <v>20.3</v>
      </c>
      <c r="BJ2716">
        <v>0</v>
      </c>
      <c r="BK2716">
        <v>0</v>
      </c>
      <c r="BL2716">
        <v>0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4</v>
      </c>
      <c r="CK2716">
        <v>61</v>
      </c>
      <c r="CL2716">
        <v>-0.35</v>
      </c>
      <c r="CM2716">
        <v>54</v>
      </c>
      <c r="CN2716">
        <v>-0.32</v>
      </c>
      <c r="CO2716">
        <v>50</v>
      </c>
      <c r="CP2716">
        <v>2.2999999999999998</v>
      </c>
      <c r="CQ2716">
        <v>43</v>
      </c>
      <c r="CR2716">
        <v>0</v>
      </c>
      <c r="CS2716">
        <v>0</v>
      </c>
      <c r="CT2716">
        <v>16.7</v>
      </c>
      <c r="CU2716">
        <v>46</v>
      </c>
      <c r="CV2716">
        <v>7.0000000000000007E-2</v>
      </c>
      <c r="CW2716">
        <v>16</v>
      </c>
      <c r="CX2716" t="s">
        <v>1065</v>
      </c>
    </row>
    <row r="2717" spans="1:102" x14ac:dyDescent="0.3">
      <c r="A2717" t="str">
        <f>HYPERLINK("https://webapp.icbf.com/v2/app/bull-search/view/497848335","MEV")</f>
        <v>MEV</v>
      </c>
      <c r="B2717" t="s">
        <v>8743</v>
      </c>
      <c r="C2717" t="s">
        <v>8744</v>
      </c>
      <c r="D2717" s="1">
        <v>39127</v>
      </c>
      <c r="E2717" t="s">
        <v>92</v>
      </c>
      <c r="F2717">
        <v>100</v>
      </c>
      <c r="G2717" t="s">
        <v>93</v>
      </c>
      <c r="H2717">
        <v>18.760000000000002</v>
      </c>
      <c r="I2717">
        <v>89</v>
      </c>
      <c r="J2717">
        <v>31.9</v>
      </c>
      <c r="K2717">
        <v>97</v>
      </c>
      <c r="L2717">
        <v>-53.38</v>
      </c>
      <c r="M2717">
        <v>82</v>
      </c>
      <c r="N2717">
        <v>31.6</v>
      </c>
      <c r="O2717">
        <v>87</v>
      </c>
      <c r="P2717">
        <v>-1.38</v>
      </c>
      <c r="Q2717">
        <v>93</v>
      </c>
      <c r="R2717">
        <v>-0.25</v>
      </c>
      <c r="S2717">
        <v>83</v>
      </c>
      <c r="T2717">
        <v>1.84</v>
      </c>
      <c r="U2717">
        <v>86</v>
      </c>
      <c r="V2717">
        <v>8.43</v>
      </c>
      <c r="W2717">
        <v>83</v>
      </c>
      <c r="X2717" t="s">
        <v>94</v>
      </c>
      <c r="Y2717" t="s">
        <v>1405</v>
      </c>
      <c r="Z2717" t="s">
        <v>96</v>
      </c>
      <c r="AA2717" t="s">
        <v>316</v>
      </c>
      <c r="AB2717" t="s">
        <v>8745</v>
      </c>
      <c r="AC2717">
        <v>78</v>
      </c>
      <c r="AD2717">
        <v>55</v>
      </c>
      <c r="AE2717">
        <v>97</v>
      </c>
      <c r="AF2717">
        <v>335.3</v>
      </c>
      <c r="AG2717">
        <v>4.26</v>
      </c>
      <c r="AH2717">
        <v>9.0500000000000007</v>
      </c>
      <c r="AI2717">
        <v>-0.15</v>
      </c>
      <c r="AJ2717">
        <v>-0.04</v>
      </c>
      <c r="AK2717">
        <v>82</v>
      </c>
      <c r="AL2717">
        <v>87</v>
      </c>
      <c r="AM2717">
        <v>59</v>
      </c>
      <c r="AN2717">
        <v>3.43</v>
      </c>
      <c r="AO2717">
        <v>-0.82</v>
      </c>
      <c r="AP2717">
        <v>189</v>
      </c>
      <c r="AQ2717">
        <v>2</v>
      </c>
      <c r="AR2717">
        <v>4.45</v>
      </c>
      <c r="AS2717">
        <v>74</v>
      </c>
      <c r="AT2717">
        <v>1.72</v>
      </c>
      <c r="AU2717">
        <v>89</v>
      </c>
      <c r="AV2717">
        <v>-2.34</v>
      </c>
      <c r="AW2717">
        <v>96</v>
      </c>
      <c r="AX2717">
        <v>0.42</v>
      </c>
      <c r="AY2717">
        <v>82</v>
      </c>
      <c r="AZ2717">
        <v>6.79</v>
      </c>
      <c r="BA2717">
        <v>67</v>
      </c>
      <c r="BB2717">
        <v>5.47</v>
      </c>
      <c r="BC2717">
        <v>70</v>
      </c>
      <c r="BD2717">
        <v>0.01</v>
      </c>
      <c r="BE2717">
        <v>0.01</v>
      </c>
      <c r="BF2717">
        <v>-0.03</v>
      </c>
      <c r="BG2717">
        <v>89</v>
      </c>
      <c r="BH2717">
        <v>0.21</v>
      </c>
      <c r="BI2717">
        <v>-2.91</v>
      </c>
      <c r="BJ2717">
        <v>8</v>
      </c>
      <c r="BK2717">
        <v>5</v>
      </c>
      <c r="BL2717">
        <v>-0.49</v>
      </c>
      <c r="BM2717">
        <v>2.4500000000000002</v>
      </c>
      <c r="BN2717">
        <v>0.34</v>
      </c>
      <c r="BO2717">
        <v>-1.22</v>
      </c>
      <c r="BP2717">
        <v>-1.54</v>
      </c>
      <c r="BQ2717">
        <v>0.35</v>
      </c>
      <c r="BR2717">
        <v>-0.97</v>
      </c>
      <c r="BS2717">
        <v>-0.86</v>
      </c>
      <c r="BT2717">
        <v>0.11</v>
      </c>
      <c r="BU2717">
        <v>-0.97</v>
      </c>
      <c r="BV2717">
        <v>-0.98</v>
      </c>
      <c r="BW2717">
        <v>-0.75</v>
      </c>
      <c r="BX2717">
        <v>-1.03</v>
      </c>
      <c r="BY2717">
        <v>-1.1299999999999999</v>
      </c>
      <c r="BZ2717">
        <v>0.23</v>
      </c>
      <c r="CA2717">
        <v>-0.64</v>
      </c>
      <c r="CB2717">
        <v>-0.54</v>
      </c>
      <c r="CC2717">
        <v>-0.56000000000000005</v>
      </c>
      <c r="CD2717">
        <v>2.0299999999999998</v>
      </c>
      <c r="CE2717">
        <v>-1.08</v>
      </c>
      <c r="CF2717">
        <v>0.37</v>
      </c>
      <c r="CG2717">
        <v>0</v>
      </c>
      <c r="CH2717">
        <v>7.0000000000000007E-2</v>
      </c>
      <c r="CI2717">
        <v>0</v>
      </c>
      <c r="CJ2717">
        <v>1.4</v>
      </c>
      <c r="CK2717">
        <v>94</v>
      </c>
      <c r="CL2717">
        <v>-0.48</v>
      </c>
      <c r="CM2717">
        <v>93</v>
      </c>
      <c r="CN2717">
        <v>-0.13</v>
      </c>
      <c r="CO2717">
        <v>92</v>
      </c>
      <c r="CP2717">
        <v>0.8</v>
      </c>
      <c r="CQ2717">
        <v>89</v>
      </c>
      <c r="CR2717">
        <v>0</v>
      </c>
      <c r="CS2717">
        <v>0</v>
      </c>
      <c r="CT2717">
        <v>11.3</v>
      </c>
      <c r="CU2717">
        <v>86</v>
      </c>
      <c r="CV2717">
        <v>0.18</v>
      </c>
      <c r="CW2717">
        <v>48</v>
      </c>
      <c r="CX2717" t="s">
        <v>1037</v>
      </c>
    </row>
    <row r="2718" spans="1:102" x14ac:dyDescent="0.3">
      <c r="A2718" t="str">
        <f>HYPERLINK("https://webapp.icbf.com/v2/app/bull-search/view/444464877","RGX")</f>
        <v>RGX</v>
      </c>
      <c r="B2718" t="s">
        <v>8829</v>
      </c>
      <c r="C2718" t="s">
        <v>8830</v>
      </c>
      <c r="D2718" s="1">
        <v>37226</v>
      </c>
      <c r="E2718" t="s">
        <v>92</v>
      </c>
      <c r="F2718">
        <v>100</v>
      </c>
      <c r="G2718" t="s">
        <v>93</v>
      </c>
      <c r="H2718">
        <v>18.73</v>
      </c>
      <c r="I2718">
        <v>92</v>
      </c>
      <c r="J2718">
        <v>35.71</v>
      </c>
      <c r="K2718">
        <v>98</v>
      </c>
      <c r="L2718">
        <v>-21.1</v>
      </c>
      <c r="M2718">
        <v>90</v>
      </c>
      <c r="N2718">
        <v>8.26</v>
      </c>
      <c r="O2718">
        <v>90</v>
      </c>
      <c r="P2718">
        <v>-3.06</v>
      </c>
      <c r="Q2718">
        <v>94</v>
      </c>
      <c r="R2718">
        <v>-3.39</v>
      </c>
      <c r="S2718">
        <v>83</v>
      </c>
      <c r="T2718">
        <v>0.8</v>
      </c>
      <c r="U2718">
        <v>92</v>
      </c>
      <c r="V2718">
        <v>1.51</v>
      </c>
      <c r="W2718">
        <v>81</v>
      </c>
      <c r="X2718" t="s">
        <v>276</v>
      </c>
      <c r="Y2718" t="s">
        <v>1208</v>
      </c>
      <c r="Z2718" t="s">
        <v>96</v>
      </c>
      <c r="AA2718" t="s">
        <v>768</v>
      </c>
      <c r="AB2718" t="s">
        <v>8831</v>
      </c>
      <c r="AC2718">
        <v>202</v>
      </c>
      <c r="AD2718">
        <v>82</v>
      </c>
      <c r="AE2718">
        <v>98</v>
      </c>
      <c r="AF2718">
        <v>315.36</v>
      </c>
      <c r="AG2718">
        <v>8.0299999999999994</v>
      </c>
      <c r="AH2718">
        <v>8.06</v>
      </c>
      <c r="AI2718">
        <v>-7.0000000000000007E-2</v>
      </c>
      <c r="AJ2718">
        <v>-0.04</v>
      </c>
      <c r="AK2718">
        <v>90</v>
      </c>
      <c r="AL2718">
        <v>229</v>
      </c>
      <c r="AM2718">
        <v>90</v>
      </c>
      <c r="AN2718">
        <v>2.14</v>
      </c>
      <c r="AO2718">
        <v>0.47</v>
      </c>
      <c r="AP2718">
        <v>350</v>
      </c>
      <c r="AQ2718">
        <v>1</v>
      </c>
      <c r="AR2718">
        <v>6.03</v>
      </c>
      <c r="AS2718">
        <v>89</v>
      </c>
      <c r="AT2718">
        <v>3.29</v>
      </c>
      <c r="AU2718">
        <v>91</v>
      </c>
      <c r="AV2718">
        <v>-1.66</v>
      </c>
      <c r="AW2718">
        <v>96</v>
      </c>
      <c r="AX2718">
        <v>-0.6</v>
      </c>
      <c r="AY2718">
        <v>89</v>
      </c>
      <c r="AZ2718">
        <v>8.35</v>
      </c>
      <c r="BA2718">
        <v>77</v>
      </c>
      <c r="BB2718">
        <v>6.09</v>
      </c>
      <c r="BC2718">
        <v>77</v>
      </c>
      <c r="BD2718">
        <v>0.03</v>
      </c>
      <c r="BE2718">
        <v>0.02</v>
      </c>
      <c r="BF2718">
        <v>-0.01</v>
      </c>
      <c r="BG2718">
        <v>93</v>
      </c>
      <c r="BH2718">
        <v>0.16</v>
      </c>
      <c r="BI2718">
        <v>13.65</v>
      </c>
      <c r="BJ2718">
        <v>56</v>
      </c>
      <c r="BK2718">
        <v>29</v>
      </c>
      <c r="BL2718">
        <v>1.6</v>
      </c>
      <c r="BM2718">
        <v>-0.63</v>
      </c>
      <c r="BN2718">
        <v>0.6</v>
      </c>
      <c r="BO2718">
        <v>0.93</v>
      </c>
      <c r="BP2718">
        <v>1.84</v>
      </c>
      <c r="BQ2718">
        <v>1.0900000000000001</v>
      </c>
      <c r="BR2718">
        <v>1.84</v>
      </c>
      <c r="BS2718">
        <v>0.02</v>
      </c>
      <c r="BT2718">
        <v>-0.57999999999999996</v>
      </c>
      <c r="BU2718">
        <v>0.91</v>
      </c>
      <c r="BV2718">
        <v>0.27</v>
      </c>
      <c r="BW2718">
        <v>0.47</v>
      </c>
      <c r="BX2718">
        <v>1.43</v>
      </c>
      <c r="BY2718">
        <v>0.31</v>
      </c>
      <c r="BZ2718">
        <v>-1.05</v>
      </c>
      <c r="CA2718">
        <v>0.77</v>
      </c>
      <c r="CB2718">
        <v>0.67</v>
      </c>
      <c r="CC2718">
        <v>0.67</v>
      </c>
      <c r="CD2718">
        <v>-0.9</v>
      </c>
      <c r="CE2718">
        <v>1.07</v>
      </c>
      <c r="CF2718">
        <v>1.56</v>
      </c>
      <c r="CG2718">
        <v>0</v>
      </c>
      <c r="CH2718">
        <v>0.19</v>
      </c>
      <c r="CI2718">
        <v>0</v>
      </c>
      <c r="CJ2718">
        <v>1.4</v>
      </c>
      <c r="CK2718">
        <v>95</v>
      </c>
      <c r="CL2718">
        <v>-1.01</v>
      </c>
      <c r="CM2718">
        <v>94</v>
      </c>
      <c r="CN2718">
        <v>-0.47</v>
      </c>
      <c r="CO2718">
        <v>93</v>
      </c>
      <c r="CP2718">
        <v>-0.5</v>
      </c>
      <c r="CQ2718">
        <v>94</v>
      </c>
      <c r="CR2718">
        <v>0</v>
      </c>
      <c r="CS2718">
        <v>0</v>
      </c>
      <c r="CT2718">
        <v>12.7</v>
      </c>
      <c r="CU2718">
        <v>92</v>
      </c>
      <c r="CV2718">
        <v>0.2</v>
      </c>
      <c r="CW2718">
        <v>45</v>
      </c>
      <c r="CX2718" t="s">
        <v>1384</v>
      </c>
    </row>
    <row r="2719" spans="1:102" x14ac:dyDescent="0.3">
      <c r="A2719" t="str">
        <f>HYPERLINK("https://webapp.icbf.com/v2/app/bull-search/view/496900978","CZS")</f>
        <v>CZS</v>
      </c>
      <c r="B2719" t="s">
        <v>12279</v>
      </c>
      <c r="C2719" t="s">
        <v>6791</v>
      </c>
      <c r="D2719" s="1">
        <v>37384</v>
      </c>
      <c r="E2719" t="s">
        <v>108</v>
      </c>
      <c r="F2719">
        <v>3</v>
      </c>
      <c r="G2719" t="s">
        <v>93</v>
      </c>
      <c r="H2719">
        <v>18.68</v>
      </c>
      <c r="I2719">
        <v>97</v>
      </c>
      <c r="J2719">
        <v>-23.39</v>
      </c>
      <c r="K2719">
        <v>99</v>
      </c>
      <c r="L2719">
        <v>18.75</v>
      </c>
      <c r="M2719">
        <v>94</v>
      </c>
      <c r="N2719">
        <v>18.91</v>
      </c>
      <c r="O2719">
        <v>98</v>
      </c>
      <c r="P2719">
        <v>-11.89</v>
      </c>
      <c r="Q2719">
        <v>99</v>
      </c>
      <c r="R2719">
        <v>4.03</v>
      </c>
      <c r="S2719">
        <v>94</v>
      </c>
      <c r="T2719">
        <v>6.57</v>
      </c>
      <c r="U2719">
        <v>99</v>
      </c>
      <c r="V2719">
        <v>5.7</v>
      </c>
      <c r="W2719">
        <v>95</v>
      </c>
      <c r="X2719" t="s">
        <v>276</v>
      </c>
      <c r="Y2719" t="s">
        <v>95</v>
      </c>
      <c r="Z2719" t="s">
        <v>96</v>
      </c>
      <c r="AA2719" t="s">
        <v>4235</v>
      </c>
      <c r="AB2719" t="s">
        <v>12280</v>
      </c>
      <c r="AC2719">
        <v>907</v>
      </c>
      <c r="AD2719">
        <v>283</v>
      </c>
      <c r="AE2719">
        <v>99</v>
      </c>
      <c r="AF2719">
        <v>-363.46</v>
      </c>
      <c r="AG2719">
        <v>-9.2200000000000006</v>
      </c>
      <c r="AH2719">
        <v>-6.28</v>
      </c>
      <c r="AI2719">
        <v>0.09</v>
      </c>
      <c r="AJ2719">
        <v>0.11</v>
      </c>
      <c r="AK2719">
        <v>94</v>
      </c>
      <c r="AL2719">
        <v>1418</v>
      </c>
      <c r="AM2719">
        <v>447</v>
      </c>
      <c r="AN2719">
        <v>-2.2200000000000002</v>
      </c>
      <c r="AO2719">
        <v>-0.74</v>
      </c>
      <c r="AP2719">
        <v>1454</v>
      </c>
      <c r="AQ2719">
        <v>10</v>
      </c>
      <c r="AR2719">
        <v>6.8</v>
      </c>
      <c r="AS2719">
        <v>96</v>
      </c>
      <c r="AT2719">
        <v>2.52</v>
      </c>
      <c r="AU2719">
        <v>98</v>
      </c>
      <c r="AV2719">
        <v>-1.3</v>
      </c>
      <c r="AW2719">
        <v>99</v>
      </c>
      <c r="AX2719">
        <v>-0.86</v>
      </c>
      <c r="AY2719">
        <v>98</v>
      </c>
      <c r="AZ2719">
        <v>7.05</v>
      </c>
      <c r="BA2719">
        <v>94</v>
      </c>
      <c r="BB2719">
        <v>4.9400000000000004</v>
      </c>
      <c r="BC2719">
        <v>94</v>
      </c>
      <c r="BD2719">
        <v>-0.01</v>
      </c>
      <c r="BE2719">
        <v>-0.04</v>
      </c>
      <c r="BF2719">
        <v>0</v>
      </c>
      <c r="BG2719">
        <v>98</v>
      </c>
      <c r="BH2719">
        <v>-0.04</v>
      </c>
      <c r="BI2719">
        <v>-23.03</v>
      </c>
      <c r="BJ2719">
        <v>54</v>
      </c>
      <c r="BK2719">
        <v>23</v>
      </c>
      <c r="BL2719">
        <v>-2.48</v>
      </c>
      <c r="BM2719">
        <v>3.18</v>
      </c>
      <c r="BN2719">
        <v>-0.34</v>
      </c>
      <c r="BO2719">
        <v>-2.33</v>
      </c>
      <c r="BP2719">
        <v>-1.63</v>
      </c>
      <c r="BQ2719">
        <v>0.37</v>
      </c>
      <c r="BR2719">
        <v>-1.17</v>
      </c>
      <c r="BS2719">
        <v>2.25</v>
      </c>
      <c r="BT2719">
        <v>1</v>
      </c>
      <c r="BU2719">
        <v>-1.02</v>
      </c>
      <c r="BV2719">
        <v>-2.88</v>
      </c>
      <c r="BW2719">
        <v>-3.19</v>
      </c>
      <c r="BX2719">
        <v>-0.99</v>
      </c>
      <c r="BY2719">
        <v>-1.88</v>
      </c>
      <c r="BZ2719">
        <v>1.63</v>
      </c>
      <c r="CA2719">
        <v>-2.0699999999999998</v>
      </c>
      <c r="CB2719">
        <v>-2.68</v>
      </c>
      <c r="CC2719">
        <v>0.08</v>
      </c>
      <c r="CD2719">
        <v>3.05</v>
      </c>
      <c r="CE2719">
        <v>-2.77</v>
      </c>
      <c r="CF2719">
        <v>-1.38</v>
      </c>
      <c r="CG2719">
        <v>0</v>
      </c>
      <c r="CH2719">
        <v>-1.69</v>
      </c>
      <c r="CI2719">
        <v>0</v>
      </c>
      <c r="CJ2719">
        <v>-5.5</v>
      </c>
      <c r="CK2719">
        <v>99</v>
      </c>
      <c r="CL2719">
        <v>-0.19</v>
      </c>
      <c r="CM2719">
        <v>99</v>
      </c>
      <c r="CN2719">
        <v>0.15</v>
      </c>
      <c r="CO2719">
        <v>99</v>
      </c>
      <c r="CP2719">
        <v>-3.9</v>
      </c>
      <c r="CQ2719">
        <v>99</v>
      </c>
      <c r="CR2719">
        <v>0</v>
      </c>
      <c r="CS2719">
        <v>0</v>
      </c>
      <c r="CT2719">
        <v>4.9000000000000004</v>
      </c>
      <c r="CU2719">
        <v>99</v>
      </c>
      <c r="CV2719">
        <v>0</v>
      </c>
      <c r="CW2719">
        <v>46</v>
      </c>
      <c r="CX2719" t="s">
        <v>12281</v>
      </c>
    </row>
    <row r="2720" spans="1:102" x14ac:dyDescent="0.3">
      <c r="A2720" t="str">
        <f>HYPERLINK("https://webapp.icbf.com/v2/app/bull-search/view/860882520","KZS")</f>
        <v>KZS</v>
      </c>
      <c r="B2720" t="s">
        <v>5452</v>
      </c>
      <c r="C2720" t="s">
        <v>5453</v>
      </c>
      <c r="D2720" s="1">
        <v>40078</v>
      </c>
      <c r="E2720" t="s">
        <v>108</v>
      </c>
      <c r="F2720">
        <v>3</v>
      </c>
      <c r="G2720" t="s">
        <v>93</v>
      </c>
      <c r="H2720">
        <v>18.57</v>
      </c>
      <c r="I2720">
        <v>63</v>
      </c>
      <c r="J2720">
        <v>-60.41</v>
      </c>
      <c r="K2720">
        <v>85</v>
      </c>
      <c r="L2720">
        <v>71.61</v>
      </c>
      <c r="M2720">
        <v>55</v>
      </c>
      <c r="N2720">
        <v>1.29</v>
      </c>
      <c r="O2720">
        <v>45</v>
      </c>
      <c r="P2720">
        <v>-22.94</v>
      </c>
      <c r="Q2720">
        <v>50</v>
      </c>
      <c r="R2720">
        <v>5.63</v>
      </c>
      <c r="S2720">
        <v>55</v>
      </c>
      <c r="T2720">
        <v>28.77</v>
      </c>
      <c r="U2720">
        <v>51</v>
      </c>
      <c r="V2720">
        <v>-5.38</v>
      </c>
      <c r="W2720">
        <v>49</v>
      </c>
      <c r="X2720" t="s">
        <v>251</v>
      </c>
      <c r="Y2720" t="s">
        <v>5454</v>
      </c>
      <c r="Z2720" t="s">
        <v>96</v>
      </c>
      <c r="AA2720" t="s">
        <v>5455</v>
      </c>
      <c r="AB2720" t="s">
        <v>5456</v>
      </c>
      <c r="AC2720">
        <v>11</v>
      </c>
      <c r="AD2720">
        <v>5</v>
      </c>
      <c r="AE2720">
        <v>85</v>
      </c>
      <c r="AF2720">
        <v>-292.05</v>
      </c>
      <c r="AG2720">
        <v>-13.44</v>
      </c>
      <c r="AH2720">
        <v>-9.99</v>
      </c>
      <c r="AI2720">
        <v>-0.04</v>
      </c>
      <c r="AJ2720">
        <v>0</v>
      </c>
      <c r="AK2720">
        <v>55</v>
      </c>
      <c r="AL2720">
        <v>0</v>
      </c>
      <c r="AM2720">
        <v>0</v>
      </c>
      <c r="AN2720">
        <v>-3.98</v>
      </c>
      <c r="AO2720">
        <v>1.73</v>
      </c>
      <c r="AP2720">
        <v>6</v>
      </c>
      <c r="AQ2720">
        <v>0</v>
      </c>
      <c r="AR2720">
        <v>5.68</v>
      </c>
      <c r="AS2720">
        <v>40</v>
      </c>
      <c r="AT2720">
        <v>2.17</v>
      </c>
      <c r="AU2720">
        <v>48</v>
      </c>
      <c r="AV2720">
        <v>0.92</v>
      </c>
      <c r="AW2720">
        <v>49</v>
      </c>
      <c r="AX2720">
        <v>-0.22</v>
      </c>
      <c r="AY2720">
        <v>47</v>
      </c>
      <c r="AZ2720">
        <v>7.27</v>
      </c>
      <c r="BA2720">
        <v>32</v>
      </c>
      <c r="BB2720">
        <v>5.5</v>
      </c>
      <c r="BC2720">
        <v>31</v>
      </c>
      <c r="BD2720">
        <v>0.01</v>
      </c>
      <c r="BE2720">
        <v>-0.04</v>
      </c>
      <c r="BF2720">
        <v>-7.0000000000000007E-2</v>
      </c>
      <c r="BG2720">
        <v>63</v>
      </c>
      <c r="BH2720">
        <v>-0.17</v>
      </c>
      <c r="BI2720">
        <v>-2.3199999999999998</v>
      </c>
      <c r="BJ2720">
        <v>3</v>
      </c>
      <c r="BK2720">
        <v>1</v>
      </c>
      <c r="BL2720">
        <v>-3.7</v>
      </c>
      <c r="BM2720">
        <v>1.95</v>
      </c>
      <c r="BN2720">
        <v>-2.2599999999999998</v>
      </c>
      <c r="BO2720">
        <v>-2.94</v>
      </c>
      <c r="BP2720">
        <v>0.11</v>
      </c>
      <c r="BQ2720">
        <v>-0.25</v>
      </c>
      <c r="BR2720">
        <v>-2.2999999999999998</v>
      </c>
      <c r="BS2720">
        <v>0.14000000000000001</v>
      </c>
      <c r="BT2720">
        <v>0.89</v>
      </c>
      <c r="BU2720">
        <v>-1.57</v>
      </c>
      <c r="BV2720">
        <v>-2.27</v>
      </c>
      <c r="BW2720">
        <v>-2.1800000000000002</v>
      </c>
      <c r="BX2720">
        <v>-1.76</v>
      </c>
      <c r="BY2720">
        <v>-2.29</v>
      </c>
      <c r="BZ2720">
        <v>-0.65</v>
      </c>
      <c r="CA2720">
        <v>-2.2799999999999998</v>
      </c>
      <c r="CB2720">
        <v>-2.68</v>
      </c>
      <c r="CC2720">
        <v>-1.1599999999999999</v>
      </c>
      <c r="CD2720">
        <v>2.35</v>
      </c>
      <c r="CE2720">
        <v>-2.62</v>
      </c>
      <c r="CF2720">
        <v>-2.99</v>
      </c>
      <c r="CG2720">
        <v>0</v>
      </c>
      <c r="CH2720">
        <v>-2.2200000000000002</v>
      </c>
      <c r="CI2720">
        <v>0</v>
      </c>
      <c r="CJ2720">
        <v>-11.1</v>
      </c>
      <c r="CK2720">
        <v>51</v>
      </c>
      <c r="CL2720">
        <v>-0.37</v>
      </c>
      <c r="CM2720">
        <v>48</v>
      </c>
      <c r="CN2720">
        <v>0.11</v>
      </c>
      <c r="CO2720">
        <v>46</v>
      </c>
      <c r="CP2720">
        <v>-16.8</v>
      </c>
      <c r="CQ2720">
        <v>50</v>
      </c>
      <c r="CR2720">
        <v>0</v>
      </c>
      <c r="CS2720">
        <v>0</v>
      </c>
      <c r="CT2720">
        <v>-25.1</v>
      </c>
      <c r="CU2720">
        <v>51</v>
      </c>
      <c r="CV2720">
        <v>-7.0000000000000007E-2</v>
      </c>
      <c r="CW2720">
        <v>35</v>
      </c>
      <c r="CX2720" t="s">
        <v>4705</v>
      </c>
    </row>
    <row r="2721" spans="1:102" x14ac:dyDescent="0.3">
      <c r="A2721" t="str">
        <f>HYPERLINK("https://webapp.icbf.com/v2/app/bull-search/view/77857015","HMI")</f>
        <v>HMI</v>
      </c>
      <c r="B2721" t="s">
        <v>3375</v>
      </c>
      <c r="C2721" t="s">
        <v>3376</v>
      </c>
      <c r="D2721" s="1">
        <v>33117</v>
      </c>
      <c r="E2721" t="s">
        <v>108</v>
      </c>
      <c r="F2721">
        <v>0</v>
      </c>
      <c r="G2721" t="s">
        <v>93</v>
      </c>
      <c r="H2721">
        <v>18.54</v>
      </c>
      <c r="I2721">
        <v>67</v>
      </c>
      <c r="J2721">
        <v>-38.56</v>
      </c>
      <c r="K2721">
        <v>86</v>
      </c>
      <c r="L2721">
        <v>42.12</v>
      </c>
      <c r="M2721">
        <v>59</v>
      </c>
      <c r="N2721">
        <v>20.47</v>
      </c>
      <c r="O2721">
        <v>48</v>
      </c>
      <c r="P2721">
        <v>-6.94</v>
      </c>
      <c r="Q2721">
        <v>80</v>
      </c>
      <c r="R2721">
        <v>-13.41</v>
      </c>
      <c r="S2721">
        <v>61</v>
      </c>
      <c r="T2721">
        <v>15.38</v>
      </c>
      <c r="U2721">
        <v>58</v>
      </c>
      <c r="V2721">
        <v>-0.52</v>
      </c>
      <c r="W2721">
        <v>29</v>
      </c>
      <c r="X2721" t="s">
        <v>102</v>
      </c>
      <c r="Y2721" t="s">
        <v>95</v>
      </c>
      <c r="Z2721" t="s">
        <v>96</v>
      </c>
      <c r="AA2721" t="s">
        <v>505</v>
      </c>
      <c r="AB2721" t="s">
        <v>3377</v>
      </c>
      <c r="AC2721">
        <v>35</v>
      </c>
      <c r="AD2721">
        <v>27</v>
      </c>
      <c r="AE2721">
        <v>86</v>
      </c>
      <c r="AF2721">
        <v>-369.28</v>
      </c>
      <c r="AG2721">
        <v>-8.48</v>
      </c>
      <c r="AH2721">
        <v>-9.2100000000000009</v>
      </c>
      <c r="AI2721">
        <v>0.1</v>
      </c>
      <c r="AJ2721">
        <v>0.06</v>
      </c>
      <c r="AK2721">
        <v>59</v>
      </c>
      <c r="AL2721">
        <v>96</v>
      </c>
      <c r="AM2721">
        <v>66</v>
      </c>
      <c r="AN2721">
        <v>-3.8</v>
      </c>
      <c r="AO2721">
        <v>-0.46</v>
      </c>
      <c r="AP2721">
        <v>7</v>
      </c>
      <c r="AQ2721">
        <v>0</v>
      </c>
      <c r="AR2721">
        <v>7.23</v>
      </c>
      <c r="AS2721">
        <v>24</v>
      </c>
      <c r="AT2721">
        <v>2.95</v>
      </c>
      <c r="AU2721">
        <v>41</v>
      </c>
      <c r="AV2721">
        <v>-2.04</v>
      </c>
      <c r="AW2721">
        <v>61</v>
      </c>
      <c r="AX2721">
        <v>-0.26</v>
      </c>
      <c r="AY2721">
        <v>59</v>
      </c>
      <c r="AZ2721">
        <v>5.34</v>
      </c>
      <c r="BA2721">
        <v>19</v>
      </c>
      <c r="BB2721">
        <v>5.1100000000000003</v>
      </c>
      <c r="BC2721">
        <v>32</v>
      </c>
      <c r="BD2721">
        <v>0.05</v>
      </c>
      <c r="BE2721">
        <v>0.05</v>
      </c>
      <c r="BF2721">
        <v>0.13</v>
      </c>
      <c r="BG2721">
        <v>84</v>
      </c>
      <c r="BH2721">
        <v>0.09</v>
      </c>
      <c r="BI2721">
        <v>12.1</v>
      </c>
      <c r="BJ2721">
        <v>19</v>
      </c>
      <c r="BK2721">
        <v>14</v>
      </c>
      <c r="BL2721">
        <v>-3.17</v>
      </c>
      <c r="BM2721">
        <v>1.0900000000000001</v>
      </c>
      <c r="BN2721">
        <v>-2.1800000000000002</v>
      </c>
      <c r="BO2721">
        <v>-2.46</v>
      </c>
      <c r="BP2721">
        <v>-1.76</v>
      </c>
      <c r="BQ2721">
        <v>1.45</v>
      </c>
      <c r="BR2721">
        <v>-0.96</v>
      </c>
      <c r="BS2721">
        <v>-0.3</v>
      </c>
      <c r="BT2721">
        <v>-0.26</v>
      </c>
      <c r="BU2721">
        <v>-1.57</v>
      </c>
      <c r="BV2721">
        <v>-1.88</v>
      </c>
      <c r="BW2721">
        <v>-3.31</v>
      </c>
      <c r="BX2721">
        <v>-1.68</v>
      </c>
      <c r="BY2721">
        <v>-1.84</v>
      </c>
      <c r="BZ2721">
        <v>-0.32</v>
      </c>
      <c r="CA2721">
        <v>-2.17</v>
      </c>
      <c r="CB2721">
        <v>-1.91</v>
      </c>
      <c r="CC2721">
        <v>-1.32</v>
      </c>
      <c r="CD2721">
        <v>2.2999999999999998</v>
      </c>
      <c r="CE2721">
        <v>-2.4</v>
      </c>
      <c r="CF2721">
        <v>-2.2000000000000002</v>
      </c>
      <c r="CG2721">
        <v>0</v>
      </c>
      <c r="CH2721">
        <v>-2.15</v>
      </c>
      <c r="CI2721">
        <v>0</v>
      </c>
      <c r="CJ2721">
        <v>-3.8</v>
      </c>
      <c r="CK2721">
        <v>82</v>
      </c>
      <c r="CL2721">
        <v>-0.19</v>
      </c>
      <c r="CM2721">
        <v>79</v>
      </c>
      <c r="CN2721">
        <v>-0.11</v>
      </c>
      <c r="CO2721">
        <v>76</v>
      </c>
      <c r="CP2721">
        <v>-6.8</v>
      </c>
      <c r="CQ2721">
        <v>74</v>
      </c>
      <c r="CR2721">
        <v>0</v>
      </c>
      <c r="CS2721">
        <v>0</v>
      </c>
      <c r="CT2721">
        <v>-7</v>
      </c>
      <c r="CU2721">
        <v>58</v>
      </c>
      <c r="CV2721">
        <v>0</v>
      </c>
      <c r="CW2721">
        <v>23</v>
      </c>
      <c r="CX2721" t="s">
        <v>3172</v>
      </c>
    </row>
    <row r="2722" spans="1:102" x14ac:dyDescent="0.3">
      <c r="A2722" t="str">
        <f>HYPERLINK("https://webapp.icbf.com/v2/app/bull-search/view/1116805804","S1650")</f>
        <v>S1650</v>
      </c>
      <c r="B2722" t="s">
        <v>5748</v>
      </c>
      <c r="C2722" t="s">
        <v>5749</v>
      </c>
      <c r="D2722" s="1">
        <v>41041</v>
      </c>
      <c r="E2722" t="s">
        <v>92</v>
      </c>
      <c r="F2722">
        <v>100</v>
      </c>
      <c r="G2722" t="s">
        <v>109</v>
      </c>
      <c r="H2722">
        <v>18.21</v>
      </c>
      <c r="I2722">
        <v>81</v>
      </c>
      <c r="J2722">
        <v>79.680000000000007</v>
      </c>
      <c r="K2722">
        <v>93</v>
      </c>
      <c r="L2722">
        <v>-44.12</v>
      </c>
      <c r="M2722">
        <v>83</v>
      </c>
      <c r="N2722">
        <v>-13.19</v>
      </c>
      <c r="O2722">
        <v>72</v>
      </c>
      <c r="P2722">
        <v>-17.260000000000002</v>
      </c>
      <c r="Q2722">
        <v>72</v>
      </c>
      <c r="R2722">
        <v>3.97</v>
      </c>
      <c r="S2722">
        <v>74</v>
      </c>
      <c r="T2722">
        <v>3.39</v>
      </c>
      <c r="U2722">
        <v>57</v>
      </c>
      <c r="V2722">
        <v>5.74</v>
      </c>
      <c r="W2722">
        <v>57</v>
      </c>
      <c r="X2722" t="s">
        <v>94</v>
      </c>
      <c r="Y2722" t="s">
        <v>362</v>
      </c>
      <c r="Z2722" t="s">
        <v>96</v>
      </c>
      <c r="AA2722" t="s">
        <v>401</v>
      </c>
      <c r="AB2722" t="s">
        <v>5750</v>
      </c>
      <c r="AC2722">
        <v>18</v>
      </c>
      <c r="AD2722">
        <v>11</v>
      </c>
      <c r="AE2722">
        <v>93</v>
      </c>
      <c r="AF2722">
        <v>370.22</v>
      </c>
      <c r="AG2722">
        <v>22.24</v>
      </c>
      <c r="AH2722">
        <v>11.35</v>
      </c>
      <c r="AI2722">
        <v>0.13</v>
      </c>
      <c r="AJ2722">
        <v>-0.02</v>
      </c>
      <c r="AK2722">
        <v>83</v>
      </c>
      <c r="AL2722">
        <v>16</v>
      </c>
      <c r="AM2722">
        <v>11</v>
      </c>
      <c r="AN2722">
        <v>2.27</v>
      </c>
      <c r="AO2722">
        <v>-1.25</v>
      </c>
      <c r="AP2722">
        <v>35</v>
      </c>
      <c r="AQ2722">
        <v>0</v>
      </c>
      <c r="AR2722">
        <v>11.55</v>
      </c>
      <c r="AS2722">
        <v>64</v>
      </c>
      <c r="AT2722">
        <v>4.74</v>
      </c>
      <c r="AU2722">
        <v>88</v>
      </c>
      <c r="AV2722">
        <v>-1.84</v>
      </c>
      <c r="AW2722">
        <v>79</v>
      </c>
      <c r="AX2722">
        <v>-0.13</v>
      </c>
      <c r="AY2722">
        <v>58</v>
      </c>
      <c r="AZ2722">
        <v>5.63</v>
      </c>
      <c r="BA2722">
        <v>47</v>
      </c>
      <c r="BB2722">
        <v>4.92</v>
      </c>
      <c r="BC2722">
        <v>44</v>
      </c>
      <c r="BD2722">
        <v>-0.02</v>
      </c>
      <c r="BE2722">
        <v>-0.02</v>
      </c>
      <c r="BF2722">
        <v>-0.02</v>
      </c>
      <c r="BG2722">
        <v>90</v>
      </c>
      <c r="BH2722">
        <v>-0.01</v>
      </c>
      <c r="BI2722">
        <v>-19.66</v>
      </c>
      <c r="BJ2722">
        <v>11</v>
      </c>
      <c r="BK2722">
        <v>5</v>
      </c>
      <c r="BL2722">
        <v>1.99</v>
      </c>
      <c r="BM2722">
        <v>-1.98</v>
      </c>
      <c r="BN2722">
        <v>0.53</v>
      </c>
      <c r="BO2722">
        <v>1.81</v>
      </c>
      <c r="BP2722">
        <v>1.25</v>
      </c>
      <c r="BQ2722">
        <v>1.45</v>
      </c>
      <c r="BR2722">
        <v>-0.33</v>
      </c>
      <c r="BS2722">
        <v>1.8</v>
      </c>
      <c r="BT2722">
        <v>2.0699999999999998</v>
      </c>
      <c r="BU2722">
        <v>2.4900000000000002</v>
      </c>
      <c r="BV2722">
        <v>3.5</v>
      </c>
      <c r="BW2722">
        <v>3.39</v>
      </c>
      <c r="BX2722">
        <v>2.35</v>
      </c>
      <c r="BY2722">
        <v>1.43</v>
      </c>
      <c r="BZ2722">
        <v>-0.62</v>
      </c>
      <c r="CA2722">
        <v>2.62</v>
      </c>
      <c r="CB2722">
        <v>2.5299999999999998</v>
      </c>
      <c r="CC2722">
        <v>1.35</v>
      </c>
      <c r="CD2722">
        <v>-1.91</v>
      </c>
      <c r="CE2722">
        <v>1.1200000000000001</v>
      </c>
      <c r="CF2722">
        <v>1.46</v>
      </c>
      <c r="CG2722">
        <v>0</v>
      </c>
      <c r="CH2722">
        <v>1.78</v>
      </c>
      <c r="CI2722">
        <v>0</v>
      </c>
      <c r="CJ2722">
        <v>-7</v>
      </c>
      <c r="CK2722">
        <v>75</v>
      </c>
      <c r="CL2722">
        <v>-1.26</v>
      </c>
      <c r="CM2722">
        <v>71</v>
      </c>
      <c r="CN2722">
        <v>-0.49</v>
      </c>
      <c r="CO2722">
        <v>70</v>
      </c>
      <c r="CP2722">
        <v>-2.2000000000000002</v>
      </c>
      <c r="CQ2722">
        <v>59</v>
      </c>
      <c r="CR2722">
        <v>0</v>
      </c>
      <c r="CS2722">
        <v>0</v>
      </c>
      <c r="CT2722">
        <v>9.1999999999999993</v>
      </c>
      <c r="CU2722">
        <v>57</v>
      </c>
      <c r="CV2722">
        <v>0.15</v>
      </c>
      <c r="CW2722">
        <v>40</v>
      </c>
      <c r="CX2722" t="s">
        <v>5751</v>
      </c>
    </row>
    <row r="2723" spans="1:102" x14ac:dyDescent="0.3">
      <c r="A2723" t="str">
        <f>HYPERLINK("https://webapp.icbf.com/v2/app/bull-search/view/77854945","MYC")</f>
        <v>MYC</v>
      </c>
      <c r="B2723" t="s">
        <v>3633</v>
      </c>
      <c r="C2723" t="s">
        <v>3634</v>
      </c>
      <c r="D2723" s="1">
        <v>34017</v>
      </c>
      <c r="E2723" t="s">
        <v>108</v>
      </c>
      <c r="F2723">
        <v>25</v>
      </c>
      <c r="G2723" t="s">
        <v>116</v>
      </c>
      <c r="H2723">
        <v>18.11</v>
      </c>
      <c r="I2723">
        <v>52</v>
      </c>
      <c r="J2723">
        <v>-31.49</v>
      </c>
      <c r="K2723">
        <v>62</v>
      </c>
      <c r="L2723">
        <v>38.71</v>
      </c>
      <c r="M2723">
        <v>39</v>
      </c>
      <c r="N2723">
        <v>23.93</v>
      </c>
      <c r="O2723">
        <v>44</v>
      </c>
      <c r="P2723">
        <v>-13.24</v>
      </c>
      <c r="Q2723">
        <v>70</v>
      </c>
      <c r="R2723">
        <v>-3.68</v>
      </c>
      <c r="S2723">
        <v>39</v>
      </c>
      <c r="T2723">
        <v>6.72</v>
      </c>
      <c r="U2723">
        <v>67</v>
      </c>
      <c r="V2723">
        <v>-2.84</v>
      </c>
      <c r="W2723">
        <v>33</v>
      </c>
      <c r="X2723" t="s">
        <v>276</v>
      </c>
      <c r="Y2723" t="s">
        <v>95</v>
      </c>
      <c r="Z2723" t="s">
        <v>96</v>
      </c>
      <c r="AA2723" t="s">
        <v>3635</v>
      </c>
      <c r="AB2723" t="s">
        <v>3636</v>
      </c>
      <c r="AC2723">
        <v>9</v>
      </c>
      <c r="AD2723">
        <v>8</v>
      </c>
      <c r="AE2723">
        <v>62</v>
      </c>
      <c r="AF2723">
        <v>-131.04</v>
      </c>
      <c r="AG2723">
        <v>-5.09</v>
      </c>
      <c r="AH2723">
        <v>-5.56</v>
      </c>
      <c r="AI2723">
        <v>0</v>
      </c>
      <c r="AJ2723">
        <v>-0.02</v>
      </c>
      <c r="AK2723">
        <v>39</v>
      </c>
      <c r="AL2723">
        <v>10</v>
      </c>
      <c r="AM2723">
        <v>9</v>
      </c>
      <c r="AN2723">
        <v>-1.9</v>
      </c>
      <c r="AO2723">
        <v>1.19</v>
      </c>
      <c r="AP2723">
        <v>8</v>
      </c>
      <c r="AQ2723">
        <v>1</v>
      </c>
      <c r="AR2723">
        <v>6.33</v>
      </c>
      <c r="AS2723">
        <v>21</v>
      </c>
      <c r="AT2723">
        <v>2.48</v>
      </c>
      <c r="AU2723">
        <v>36</v>
      </c>
      <c r="AV2723">
        <v>-1.82</v>
      </c>
      <c r="AW2723">
        <v>57</v>
      </c>
      <c r="AX2723">
        <v>-0.76</v>
      </c>
      <c r="AY2723">
        <v>50</v>
      </c>
      <c r="AZ2723">
        <v>6.6</v>
      </c>
      <c r="BA2723">
        <v>21</v>
      </c>
      <c r="BB2723">
        <v>5.0999999999999996</v>
      </c>
      <c r="BC2723">
        <v>29</v>
      </c>
      <c r="BD2723">
        <v>0.04</v>
      </c>
      <c r="BE2723">
        <v>0.02</v>
      </c>
      <c r="BF2723">
        <v>-0.02</v>
      </c>
      <c r="BG2723">
        <v>46</v>
      </c>
      <c r="BH2723">
        <v>-0.09</v>
      </c>
      <c r="BI2723">
        <v>-1.24</v>
      </c>
      <c r="BJ2723">
        <v>0</v>
      </c>
      <c r="BK2723">
        <v>0</v>
      </c>
      <c r="BL2723">
        <v>-2.08</v>
      </c>
      <c r="BM2723">
        <v>1.21</v>
      </c>
      <c r="BN2723">
        <v>-1.6</v>
      </c>
      <c r="BO2723">
        <v>-2.02</v>
      </c>
      <c r="BP2723">
        <v>-0.25</v>
      </c>
      <c r="BQ2723">
        <v>-0.39</v>
      </c>
      <c r="BR2723">
        <v>-1.1000000000000001</v>
      </c>
      <c r="BS2723">
        <v>-0.62</v>
      </c>
      <c r="BT2723">
        <v>0.11</v>
      </c>
      <c r="BU2723">
        <v>-0.9</v>
      </c>
      <c r="BV2723">
        <v>-1.49</v>
      </c>
      <c r="BW2723">
        <v>-1.92</v>
      </c>
      <c r="BX2723">
        <v>-1.1499999999999999</v>
      </c>
      <c r="BY2723">
        <v>-1.1100000000000001</v>
      </c>
      <c r="BZ2723">
        <v>-0.99</v>
      </c>
      <c r="CA2723">
        <v>-1.1499999999999999</v>
      </c>
      <c r="CB2723">
        <v>-1.21</v>
      </c>
      <c r="CC2723">
        <v>-0.61</v>
      </c>
      <c r="CD2723">
        <v>1.77</v>
      </c>
      <c r="CE2723">
        <v>-1.89</v>
      </c>
      <c r="CF2723">
        <v>-1.44</v>
      </c>
      <c r="CG2723">
        <v>0</v>
      </c>
      <c r="CH2723">
        <v>-1.32</v>
      </c>
      <c r="CI2723">
        <v>0</v>
      </c>
      <c r="CJ2723">
        <v>-4.3</v>
      </c>
      <c r="CK2723">
        <v>72</v>
      </c>
      <c r="CL2723">
        <v>-0.25</v>
      </c>
      <c r="CM2723">
        <v>68</v>
      </c>
      <c r="CN2723">
        <v>0.32</v>
      </c>
      <c r="CO2723">
        <v>64</v>
      </c>
      <c r="CP2723">
        <v>-6.5</v>
      </c>
      <c r="CQ2723">
        <v>68</v>
      </c>
      <c r="CR2723">
        <v>0</v>
      </c>
      <c r="CS2723">
        <v>0</v>
      </c>
      <c r="CT2723">
        <v>4.7</v>
      </c>
      <c r="CU2723">
        <v>67</v>
      </c>
      <c r="CV2723">
        <v>0.01</v>
      </c>
      <c r="CW2723">
        <v>19</v>
      </c>
      <c r="CX2723" t="s">
        <v>3637</v>
      </c>
    </row>
    <row r="2724" spans="1:102" x14ac:dyDescent="0.3">
      <c r="A2724" t="str">
        <f>HYPERLINK("https://webapp.icbf.com/v2/app/bull-search/view/77859136","ABB")</f>
        <v>ABB</v>
      </c>
      <c r="B2724" t="s">
        <v>10735</v>
      </c>
      <c r="C2724" t="s">
        <v>10736</v>
      </c>
      <c r="D2724" s="1">
        <v>33169</v>
      </c>
      <c r="E2724" t="s">
        <v>92</v>
      </c>
      <c r="F2724">
        <v>100</v>
      </c>
      <c r="G2724" t="s">
        <v>93</v>
      </c>
      <c r="H2724">
        <v>18.100000000000001</v>
      </c>
      <c r="I2724">
        <v>87</v>
      </c>
      <c r="J2724">
        <v>-4.18</v>
      </c>
      <c r="K2724">
        <v>95</v>
      </c>
      <c r="L2724">
        <v>21.51</v>
      </c>
      <c r="M2724">
        <v>88</v>
      </c>
      <c r="N2724">
        <v>-3.49</v>
      </c>
      <c r="O2724">
        <v>78</v>
      </c>
      <c r="P2724">
        <v>5.77</v>
      </c>
      <c r="Q2724">
        <v>85</v>
      </c>
      <c r="R2724">
        <v>-7.18</v>
      </c>
      <c r="S2724">
        <v>79</v>
      </c>
      <c r="T2724">
        <v>4.3499999999999996</v>
      </c>
      <c r="U2724">
        <v>73</v>
      </c>
      <c r="V2724">
        <v>1.32</v>
      </c>
      <c r="W2724">
        <v>67</v>
      </c>
      <c r="X2724" t="s">
        <v>110</v>
      </c>
      <c r="Y2724" t="s">
        <v>95</v>
      </c>
      <c r="Z2724" t="s">
        <v>96</v>
      </c>
      <c r="AA2724" t="s">
        <v>111</v>
      </c>
      <c r="AB2724" t="s">
        <v>10737</v>
      </c>
      <c r="AC2724">
        <v>47</v>
      </c>
      <c r="AD2724">
        <v>26</v>
      </c>
      <c r="AE2724">
        <v>95</v>
      </c>
      <c r="AF2724">
        <v>7.19</v>
      </c>
      <c r="AG2724">
        <v>-1.22</v>
      </c>
      <c r="AH2724">
        <v>-0.17</v>
      </c>
      <c r="AI2724">
        <v>-0.03</v>
      </c>
      <c r="AJ2724">
        <v>-0.01</v>
      </c>
      <c r="AK2724">
        <v>88</v>
      </c>
      <c r="AL2724">
        <v>53</v>
      </c>
      <c r="AM2724">
        <v>22</v>
      </c>
      <c r="AN2724">
        <v>-0.84</v>
      </c>
      <c r="AO2724">
        <v>0.88</v>
      </c>
      <c r="AP2724">
        <v>26</v>
      </c>
      <c r="AQ2724">
        <v>0</v>
      </c>
      <c r="AR2724">
        <v>7.74</v>
      </c>
      <c r="AS2724">
        <v>61</v>
      </c>
      <c r="AT2724">
        <v>4.1900000000000004</v>
      </c>
      <c r="AU2724">
        <v>86</v>
      </c>
      <c r="AV2724">
        <v>-0.98</v>
      </c>
      <c r="AW2724">
        <v>83</v>
      </c>
      <c r="AX2724">
        <v>0.35</v>
      </c>
      <c r="AY2724">
        <v>76</v>
      </c>
      <c r="AZ2724">
        <v>5.7</v>
      </c>
      <c r="BA2724">
        <v>54</v>
      </c>
      <c r="BB2724">
        <v>5.18</v>
      </c>
      <c r="BC2724">
        <v>64</v>
      </c>
      <c r="BD2724">
        <v>0.03</v>
      </c>
      <c r="BE2724">
        <v>0.05</v>
      </c>
      <c r="BF2724">
        <v>0.02</v>
      </c>
      <c r="BG2724">
        <v>91</v>
      </c>
      <c r="BH2724">
        <v>0.05</v>
      </c>
      <c r="BI2724">
        <v>1.52</v>
      </c>
      <c r="BJ2724">
        <v>2</v>
      </c>
      <c r="BK2724">
        <v>2</v>
      </c>
      <c r="BL2724">
        <v>1.34</v>
      </c>
      <c r="BM2724">
        <v>0.74</v>
      </c>
      <c r="BN2724">
        <v>0.81</v>
      </c>
      <c r="BO2724">
        <v>0.32</v>
      </c>
      <c r="BP2724">
        <v>2.14</v>
      </c>
      <c r="BQ2724">
        <v>2.5299999999999998</v>
      </c>
      <c r="BR2724">
        <v>0.84</v>
      </c>
      <c r="BS2724">
        <v>-0.23</v>
      </c>
      <c r="BT2724">
        <v>0.2</v>
      </c>
      <c r="BU2724">
        <v>0.75</v>
      </c>
      <c r="BV2724">
        <v>0.04</v>
      </c>
      <c r="BW2724">
        <v>0.5</v>
      </c>
      <c r="BX2724">
        <v>1.68</v>
      </c>
      <c r="BY2724">
        <v>0.85</v>
      </c>
      <c r="BZ2724">
        <v>-2.97</v>
      </c>
      <c r="CA2724">
        <v>1.07</v>
      </c>
      <c r="CB2724">
        <v>1.18</v>
      </c>
      <c r="CC2724">
        <v>0.62</v>
      </c>
      <c r="CD2724">
        <v>0.35</v>
      </c>
      <c r="CE2724">
        <v>-0.23</v>
      </c>
      <c r="CF2724">
        <v>-0.2</v>
      </c>
      <c r="CG2724">
        <v>0</v>
      </c>
      <c r="CH2724">
        <v>0.82</v>
      </c>
      <c r="CI2724">
        <v>0</v>
      </c>
      <c r="CJ2724">
        <v>6.2</v>
      </c>
      <c r="CK2724">
        <v>86</v>
      </c>
      <c r="CL2724">
        <v>-0.38</v>
      </c>
      <c r="CM2724">
        <v>84</v>
      </c>
      <c r="CN2724">
        <v>-0.06</v>
      </c>
      <c r="CO2724">
        <v>82</v>
      </c>
      <c r="CP2724">
        <v>2.9</v>
      </c>
      <c r="CQ2724">
        <v>84</v>
      </c>
      <c r="CR2724">
        <v>0</v>
      </c>
      <c r="CS2724">
        <v>0</v>
      </c>
      <c r="CT2724">
        <v>7.9</v>
      </c>
      <c r="CU2724">
        <v>73</v>
      </c>
      <c r="CV2724">
        <v>0.17</v>
      </c>
      <c r="CW2724">
        <v>43</v>
      </c>
      <c r="CX2724" t="s">
        <v>166</v>
      </c>
    </row>
    <row r="2725" spans="1:102" x14ac:dyDescent="0.3">
      <c r="A2725" t="str">
        <f>HYPERLINK("https://webapp.icbf.com/v2/app/bull-search/view/77860069","BWW")</f>
        <v>BWW</v>
      </c>
      <c r="B2725" t="s">
        <v>3947</v>
      </c>
      <c r="C2725" t="s">
        <v>3948</v>
      </c>
      <c r="D2725" s="1">
        <v>35224</v>
      </c>
      <c r="E2725" t="s">
        <v>92</v>
      </c>
      <c r="F2725">
        <v>100</v>
      </c>
      <c r="G2725" t="s">
        <v>93</v>
      </c>
      <c r="H2725">
        <v>18.05</v>
      </c>
      <c r="I2725">
        <v>76</v>
      </c>
      <c r="J2725">
        <v>25.92</v>
      </c>
      <c r="K2725">
        <v>94</v>
      </c>
      <c r="L2725">
        <v>-23.83</v>
      </c>
      <c r="M2725">
        <v>64</v>
      </c>
      <c r="N2725">
        <v>15.18</v>
      </c>
      <c r="O2725">
        <v>65</v>
      </c>
      <c r="P2725">
        <v>-6.89</v>
      </c>
      <c r="Q2725">
        <v>83</v>
      </c>
      <c r="R2725">
        <v>-9.08</v>
      </c>
      <c r="S2725">
        <v>67</v>
      </c>
      <c r="T2725">
        <v>17.45</v>
      </c>
      <c r="U2725">
        <v>81</v>
      </c>
      <c r="V2725">
        <v>-0.7</v>
      </c>
      <c r="W2725">
        <v>41</v>
      </c>
      <c r="X2725" t="s">
        <v>558</v>
      </c>
      <c r="Y2725" t="s">
        <v>95</v>
      </c>
      <c r="Z2725" t="s">
        <v>96</v>
      </c>
      <c r="AA2725" t="s">
        <v>753</v>
      </c>
      <c r="AB2725" t="s">
        <v>3949</v>
      </c>
      <c r="AC2725">
        <v>68</v>
      </c>
      <c r="AD2725">
        <v>56</v>
      </c>
      <c r="AE2725">
        <v>94</v>
      </c>
      <c r="AF2725">
        <v>194.66</v>
      </c>
      <c r="AG2725">
        <v>10.99</v>
      </c>
      <c r="AH2725">
        <v>3.5</v>
      </c>
      <c r="AI2725">
        <v>0.05</v>
      </c>
      <c r="AJ2725">
        <v>-0.05</v>
      </c>
      <c r="AK2725">
        <v>64</v>
      </c>
      <c r="AL2725">
        <v>71</v>
      </c>
      <c r="AM2725">
        <v>60</v>
      </c>
      <c r="AN2725">
        <v>1.35</v>
      </c>
      <c r="AO2725">
        <v>-0.55000000000000004</v>
      </c>
      <c r="AP2725">
        <v>11</v>
      </c>
      <c r="AQ2725">
        <v>0</v>
      </c>
      <c r="AR2725">
        <v>6.69</v>
      </c>
      <c r="AS2725">
        <v>45</v>
      </c>
      <c r="AT2725">
        <v>2.78</v>
      </c>
      <c r="AU2725">
        <v>61</v>
      </c>
      <c r="AV2725">
        <v>-1.64</v>
      </c>
      <c r="AW2725">
        <v>74</v>
      </c>
      <c r="AX2725">
        <v>-0.1</v>
      </c>
      <c r="AY2725">
        <v>75</v>
      </c>
      <c r="AZ2725">
        <v>6.55</v>
      </c>
      <c r="BA2725">
        <v>42</v>
      </c>
      <c r="BB2725">
        <v>5.6</v>
      </c>
      <c r="BC2725">
        <v>56</v>
      </c>
      <c r="BD2725">
        <v>0.01</v>
      </c>
      <c r="BE2725">
        <v>0.08</v>
      </c>
      <c r="BF2725">
        <v>0.04</v>
      </c>
      <c r="BG2725">
        <v>79</v>
      </c>
      <c r="BH2725">
        <v>0.01</v>
      </c>
      <c r="BI2725">
        <v>3.4</v>
      </c>
      <c r="BJ2725">
        <v>5</v>
      </c>
      <c r="BK2725">
        <v>4</v>
      </c>
      <c r="BL2725">
        <v>0.05</v>
      </c>
      <c r="BM2725">
        <v>-0.59</v>
      </c>
      <c r="BN2725">
        <v>-0.23</v>
      </c>
      <c r="BO2725">
        <v>0.3</v>
      </c>
      <c r="BP2725">
        <v>1.21</v>
      </c>
      <c r="BQ2725">
        <v>-1.67</v>
      </c>
      <c r="BR2725">
        <v>2.1</v>
      </c>
      <c r="BS2725">
        <v>-1.34</v>
      </c>
      <c r="BT2725">
        <v>-2.06</v>
      </c>
      <c r="BU2725">
        <v>-1.1599999999999999</v>
      </c>
      <c r="BV2725">
        <v>-0.51</v>
      </c>
      <c r="BW2725">
        <v>-0.98</v>
      </c>
      <c r="BX2725">
        <v>-1.67</v>
      </c>
      <c r="BY2725">
        <v>-1.79</v>
      </c>
      <c r="BZ2725">
        <v>2.82</v>
      </c>
      <c r="CA2725">
        <v>-1.42</v>
      </c>
      <c r="CB2725">
        <v>-1.1499999999999999</v>
      </c>
      <c r="CC2725">
        <v>-1.36</v>
      </c>
      <c r="CD2725">
        <v>-0.36</v>
      </c>
      <c r="CE2725">
        <v>-0.28999999999999998</v>
      </c>
      <c r="CF2725">
        <v>-1.1399999999999999</v>
      </c>
      <c r="CG2725">
        <v>0</v>
      </c>
      <c r="CH2725">
        <v>-1.75</v>
      </c>
      <c r="CI2725">
        <v>0</v>
      </c>
      <c r="CJ2725">
        <v>-2.1</v>
      </c>
      <c r="CK2725">
        <v>84</v>
      </c>
      <c r="CL2725">
        <v>-0.51</v>
      </c>
      <c r="CM2725">
        <v>81</v>
      </c>
      <c r="CN2725">
        <v>-0.23</v>
      </c>
      <c r="CO2725">
        <v>78</v>
      </c>
      <c r="CP2725">
        <v>-9.5</v>
      </c>
      <c r="CQ2725">
        <v>87</v>
      </c>
      <c r="CR2725">
        <v>0</v>
      </c>
      <c r="CS2725">
        <v>0</v>
      </c>
      <c r="CT2725">
        <v>-9.8000000000000007</v>
      </c>
      <c r="CU2725">
        <v>81</v>
      </c>
      <c r="CV2725">
        <v>0.11</v>
      </c>
      <c r="CW2725">
        <v>24</v>
      </c>
      <c r="CX2725" t="s">
        <v>99</v>
      </c>
    </row>
    <row r="2726" spans="1:102" x14ac:dyDescent="0.3">
      <c r="A2726" t="str">
        <f>HYPERLINK("https://webapp.icbf.com/v2/app/bull-search/view/73539690","CCH")</f>
        <v>CCH</v>
      </c>
      <c r="B2726" t="s">
        <v>588</v>
      </c>
      <c r="C2726" t="s">
        <v>589</v>
      </c>
      <c r="D2726" s="1">
        <v>35701</v>
      </c>
      <c r="E2726" t="s">
        <v>108</v>
      </c>
      <c r="F2726">
        <v>0</v>
      </c>
      <c r="G2726" t="s">
        <v>93</v>
      </c>
      <c r="H2726">
        <v>17.95</v>
      </c>
      <c r="I2726">
        <v>96</v>
      </c>
      <c r="J2726">
        <v>-38.94</v>
      </c>
      <c r="K2726">
        <v>99</v>
      </c>
      <c r="L2726">
        <v>57.32</v>
      </c>
      <c r="M2726">
        <v>92</v>
      </c>
      <c r="N2726">
        <v>-9.1199999999999992</v>
      </c>
      <c r="O2726">
        <v>95</v>
      </c>
      <c r="P2726">
        <v>1.98</v>
      </c>
      <c r="Q2726">
        <v>99</v>
      </c>
      <c r="R2726">
        <v>-3.33</v>
      </c>
      <c r="S2726">
        <v>93</v>
      </c>
      <c r="T2726">
        <v>12.49</v>
      </c>
      <c r="U2726">
        <v>97</v>
      </c>
      <c r="V2726">
        <v>-2.4500000000000002</v>
      </c>
      <c r="W2726">
        <v>94</v>
      </c>
      <c r="X2726" t="s">
        <v>251</v>
      </c>
      <c r="Y2726" t="s">
        <v>95</v>
      </c>
      <c r="Z2726" t="s">
        <v>96</v>
      </c>
      <c r="AA2726" t="s">
        <v>590</v>
      </c>
      <c r="AB2726" t="s">
        <v>591</v>
      </c>
      <c r="AC2726">
        <v>450</v>
      </c>
      <c r="AD2726">
        <v>182</v>
      </c>
      <c r="AE2726">
        <v>99</v>
      </c>
      <c r="AF2726">
        <v>-198.31</v>
      </c>
      <c r="AG2726">
        <v>-9.49</v>
      </c>
      <c r="AH2726">
        <v>-6.3</v>
      </c>
      <c r="AI2726">
        <v>-0.03</v>
      </c>
      <c r="AJ2726">
        <v>0.01</v>
      </c>
      <c r="AK2726">
        <v>92</v>
      </c>
      <c r="AL2726">
        <v>496</v>
      </c>
      <c r="AM2726">
        <v>203</v>
      </c>
      <c r="AN2726">
        <v>-3.98</v>
      </c>
      <c r="AO2726">
        <v>0.57999999999999996</v>
      </c>
      <c r="AP2726">
        <v>679</v>
      </c>
      <c r="AQ2726">
        <v>4</v>
      </c>
      <c r="AR2726">
        <v>11.35</v>
      </c>
      <c r="AS2726">
        <v>93</v>
      </c>
      <c r="AT2726">
        <v>4.42</v>
      </c>
      <c r="AU2726">
        <v>95</v>
      </c>
      <c r="AV2726">
        <v>-1.5</v>
      </c>
      <c r="AW2726">
        <v>98</v>
      </c>
      <c r="AX2726">
        <v>0.04</v>
      </c>
      <c r="AY2726">
        <v>96</v>
      </c>
      <c r="AZ2726">
        <v>6.14</v>
      </c>
      <c r="BA2726">
        <v>86</v>
      </c>
      <c r="BB2726">
        <v>4.2300000000000004</v>
      </c>
      <c r="BC2726">
        <v>89</v>
      </c>
      <c r="BD2726">
        <v>-0.05</v>
      </c>
      <c r="BE2726">
        <v>0</v>
      </c>
      <c r="BF2726">
        <v>0.16</v>
      </c>
      <c r="BG2726">
        <v>97</v>
      </c>
      <c r="BH2726">
        <v>-0.03</v>
      </c>
      <c r="BI2726">
        <v>4.42</v>
      </c>
      <c r="BJ2726">
        <v>16</v>
      </c>
      <c r="BK2726">
        <v>12</v>
      </c>
      <c r="BL2726">
        <v>-4.13</v>
      </c>
      <c r="BM2726">
        <v>2.5099999999999998</v>
      </c>
      <c r="BN2726">
        <v>-2.88</v>
      </c>
      <c r="BO2726">
        <v>-3.99</v>
      </c>
      <c r="BP2726">
        <v>2.77</v>
      </c>
      <c r="BQ2726">
        <v>0.6</v>
      </c>
      <c r="BR2726">
        <v>-2.85</v>
      </c>
      <c r="BS2726">
        <v>0.19</v>
      </c>
      <c r="BT2726">
        <v>2.31</v>
      </c>
      <c r="BU2726">
        <v>-4.26</v>
      </c>
      <c r="BV2726">
        <v>-4.8</v>
      </c>
      <c r="BW2726">
        <v>-4.55</v>
      </c>
      <c r="BX2726">
        <v>-3.45</v>
      </c>
      <c r="BY2726">
        <v>-2.08</v>
      </c>
      <c r="BZ2726">
        <v>-2.35</v>
      </c>
      <c r="CA2726">
        <v>-2.9</v>
      </c>
      <c r="CB2726">
        <v>-3.36</v>
      </c>
      <c r="CC2726">
        <v>-1.72</v>
      </c>
      <c r="CD2726">
        <v>3.34</v>
      </c>
      <c r="CE2726">
        <v>-3.37</v>
      </c>
      <c r="CF2726">
        <v>-2.33</v>
      </c>
      <c r="CG2726">
        <v>0</v>
      </c>
      <c r="CH2726">
        <v>-1.29</v>
      </c>
      <c r="CI2726">
        <v>0</v>
      </c>
      <c r="CJ2726">
        <v>-1.5</v>
      </c>
      <c r="CK2726">
        <v>99</v>
      </c>
      <c r="CL2726">
        <v>0.32</v>
      </c>
      <c r="CM2726">
        <v>98</v>
      </c>
      <c r="CN2726">
        <v>-0.16</v>
      </c>
      <c r="CO2726">
        <v>98</v>
      </c>
      <c r="CP2726">
        <v>-7.5</v>
      </c>
      <c r="CQ2726">
        <v>98</v>
      </c>
      <c r="CR2726">
        <v>0</v>
      </c>
      <c r="CS2726">
        <v>0</v>
      </c>
      <c r="CT2726">
        <v>-3.1</v>
      </c>
      <c r="CU2726">
        <v>97</v>
      </c>
      <c r="CV2726">
        <v>-0.05</v>
      </c>
      <c r="CW2726">
        <v>46</v>
      </c>
      <c r="CX2726" t="s">
        <v>585</v>
      </c>
    </row>
    <row r="2727" spans="1:102" x14ac:dyDescent="0.3">
      <c r="A2727" t="str">
        <f>HYPERLINK("https://webapp.icbf.com/v2/app/bull-search/view/149371661","SRY")</f>
        <v>SRY</v>
      </c>
      <c r="B2727" t="s">
        <v>7277</v>
      </c>
      <c r="C2727" t="s">
        <v>7278</v>
      </c>
      <c r="D2727" s="1">
        <v>37685</v>
      </c>
      <c r="E2727" t="s">
        <v>92</v>
      </c>
      <c r="F2727">
        <v>78</v>
      </c>
      <c r="G2727" t="s">
        <v>93</v>
      </c>
      <c r="H2727">
        <v>17.95</v>
      </c>
      <c r="I2727">
        <v>82</v>
      </c>
      <c r="J2727">
        <v>30.68</v>
      </c>
      <c r="K2727">
        <v>94</v>
      </c>
      <c r="L2727">
        <v>-3.71</v>
      </c>
      <c r="M2727">
        <v>75</v>
      </c>
      <c r="N2727">
        <v>0.66</v>
      </c>
      <c r="O2727">
        <v>78</v>
      </c>
      <c r="P2727">
        <v>-7.39</v>
      </c>
      <c r="Q2727">
        <v>82</v>
      </c>
      <c r="R2727">
        <v>-9</v>
      </c>
      <c r="S2727">
        <v>76</v>
      </c>
      <c r="T2727">
        <v>11.68</v>
      </c>
      <c r="U2727">
        <v>74</v>
      </c>
      <c r="V2727">
        <v>-4.97</v>
      </c>
      <c r="W2727">
        <v>73</v>
      </c>
      <c r="X2727" t="s">
        <v>94</v>
      </c>
      <c r="Y2727" t="s">
        <v>95</v>
      </c>
      <c r="Z2727" t="s">
        <v>96</v>
      </c>
      <c r="AA2727" t="s">
        <v>771</v>
      </c>
      <c r="AB2727" t="s">
        <v>7279</v>
      </c>
      <c r="AC2727">
        <v>38</v>
      </c>
      <c r="AD2727">
        <v>28</v>
      </c>
      <c r="AE2727">
        <v>94</v>
      </c>
      <c r="AF2727">
        <v>5.19</v>
      </c>
      <c r="AG2727">
        <v>2.31</v>
      </c>
      <c r="AH2727">
        <v>4.4800000000000004</v>
      </c>
      <c r="AI2727">
        <v>0.04</v>
      </c>
      <c r="AJ2727">
        <v>0.08</v>
      </c>
      <c r="AK2727">
        <v>75</v>
      </c>
      <c r="AL2727">
        <v>40</v>
      </c>
      <c r="AM2727">
        <v>29</v>
      </c>
      <c r="AN2727">
        <v>-0.09</v>
      </c>
      <c r="AO2727">
        <v>-0.39</v>
      </c>
      <c r="AP2727">
        <v>67</v>
      </c>
      <c r="AQ2727">
        <v>0</v>
      </c>
      <c r="AR2727">
        <v>8.7200000000000006</v>
      </c>
      <c r="AS2727">
        <v>64</v>
      </c>
      <c r="AT2727">
        <v>3.32</v>
      </c>
      <c r="AU2727">
        <v>79</v>
      </c>
      <c r="AV2727">
        <v>-1.43</v>
      </c>
      <c r="AW2727">
        <v>90</v>
      </c>
      <c r="AX2727">
        <v>2.41</v>
      </c>
      <c r="AY2727">
        <v>70</v>
      </c>
      <c r="AZ2727">
        <v>6.71</v>
      </c>
      <c r="BA2727">
        <v>57</v>
      </c>
      <c r="BB2727">
        <v>4.8499999999999996</v>
      </c>
      <c r="BC2727">
        <v>59</v>
      </c>
      <c r="BD2727">
        <v>0</v>
      </c>
      <c r="BE2727">
        <v>0.03</v>
      </c>
      <c r="BF2727">
        <v>0.15</v>
      </c>
      <c r="BG2727">
        <v>83</v>
      </c>
      <c r="BH2727">
        <v>7.0000000000000007E-2</v>
      </c>
      <c r="BI2727">
        <v>24.14</v>
      </c>
      <c r="BJ2727">
        <v>19</v>
      </c>
      <c r="BK2727">
        <v>14</v>
      </c>
      <c r="BL2727">
        <v>-0.41</v>
      </c>
      <c r="BM2727">
        <v>0.4</v>
      </c>
      <c r="BN2727">
        <v>-1.05</v>
      </c>
      <c r="BO2727">
        <v>-0.89</v>
      </c>
      <c r="BP2727">
        <v>1.36</v>
      </c>
      <c r="BQ2727">
        <v>-0.92</v>
      </c>
      <c r="BR2727">
        <v>-0.57999999999999996</v>
      </c>
      <c r="BS2727">
        <v>-0.73</v>
      </c>
      <c r="BT2727">
        <v>0.22</v>
      </c>
      <c r="BU2727">
        <v>-0.87</v>
      </c>
      <c r="BV2727">
        <v>-0.41</v>
      </c>
      <c r="BW2727">
        <v>-0.05</v>
      </c>
      <c r="BX2727">
        <v>-1.1299999999999999</v>
      </c>
      <c r="BY2727">
        <v>-1.0900000000000001</v>
      </c>
      <c r="BZ2727">
        <v>-0.68</v>
      </c>
      <c r="CA2727">
        <v>-0.63</v>
      </c>
      <c r="CB2727">
        <v>-0.57999999999999996</v>
      </c>
      <c r="CC2727">
        <v>-0.52</v>
      </c>
      <c r="CD2727">
        <v>0.62</v>
      </c>
      <c r="CE2727">
        <v>-0.9</v>
      </c>
      <c r="CF2727">
        <v>-0.4</v>
      </c>
      <c r="CG2727">
        <v>0</v>
      </c>
      <c r="CH2727">
        <v>-0.67</v>
      </c>
      <c r="CI2727">
        <v>0</v>
      </c>
      <c r="CJ2727">
        <v>-1.3</v>
      </c>
      <c r="CK2727">
        <v>83</v>
      </c>
      <c r="CL2727">
        <v>-0.76</v>
      </c>
      <c r="CM2727">
        <v>81</v>
      </c>
      <c r="CN2727">
        <v>-0.26</v>
      </c>
      <c r="CO2727">
        <v>78</v>
      </c>
      <c r="CP2727">
        <v>-5.3</v>
      </c>
      <c r="CQ2727">
        <v>83</v>
      </c>
      <c r="CR2727">
        <v>0</v>
      </c>
      <c r="CS2727">
        <v>0</v>
      </c>
      <c r="CT2727">
        <v>-2</v>
      </c>
      <c r="CU2727">
        <v>74</v>
      </c>
      <c r="CV2727">
        <v>0.19</v>
      </c>
      <c r="CW2727">
        <v>44</v>
      </c>
      <c r="CX2727" t="s">
        <v>1037</v>
      </c>
    </row>
    <row r="2728" spans="1:102" x14ac:dyDescent="0.3">
      <c r="A2728" t="str">
        <f>HYPERLINK("https://webapp.icbf.com/v2/app/bull-search/view/729038835","BIQ")</f>
        <v>BIQ</v>
      </c>
      <c r="B2728" t="s">
        <v>12786</v>
      </c>
      <c r="C2728" t="s">
        <v>12787</v>
      </c>
      <c r="D2728" s="1">
        <v>39183</v>
      </c>
      <c r="E2728" t="s">
        <v>108</v>
      </c>
      <c r="F2728">
        <v>0</v>
      </c>
      <c r="G2728" t="s">
        <v>435</v>
      </c>
      <c r="H2728">
        <v>17.93</v>
      </c>
      <c r="I2728">
        <v>68</v>
      </c>
      <c r="J2728">
        <v>-82.12</v>
      </c>
      <c r="K2728">
        <v>83</v>
      </c>
      <c r="L2728">
        <v>51.47</v>
      </c>
      <c r="M2728">
        <v>62</v>
      </c>
      <c r="N2728">
        <v>29.93</v>
      </c>
      <c r="O2728">
        <v>51</v>
      </c>
      <c r="P2728">
        <v>-12.14</v>
      </c>
      <c r="Q2728">
        <v>62</v>
      </c>
      <c r="R2728">
        <v>13.57</v>
      </c>
      <c r="S2728">
        <v>62</v>
      </c>
      <c r="T2728">
        <v>19.010000000000002</v>
      </c>
      <c r="U2728">
        <v>59</v>
      </c>
      <c r="V2728">
        <v>-1.79</v>
      </c>
      <c r="W2728">
        <v>60</v>
      </c>
      <c r="X2728" t="s">
        <v>251</v>
      </c>
      <c r="Y2728" t="s">
        <v>241</v>
      </c>
      <c r="Z2728" t="s">
        <v>96</v>
      </c>
      <c r="AA2728" t="s">
        <v>1129</v>
      </c>
      <c r="AB2728" t="s">
        <v>4243</v>
      </c>
      <c r="AC2728">
        <v>4</v>
      </c>
      <c r="AD2728">
        <v>3</v>
      </c>
      <c r="AE2728">
        <v>83</v>
      </c>
      <c r="AF2728">
        <v>-277.97000000000003</v>
      </c>
      <c r="AG2728">
        <v>-10.66</v>
      </c>
      <c r="AH2728">
        <v>-14.45</v>
      </c>
      <c r="AI2728">
        <v>0</v>
      </c>
      <c r="AJ2728">
        <v>-0.09</v>
      </c>
      <c r="AK2728">
        <v>62</v>
      </c>
      <c r="AL2728">
        <v>8</v>
      </c>
      <c r="AM2728">
        <v>5</v>
      </c>
      <c r="AN2728">
        <v>-4.71</v>
      </c>
      <c r="AO2728">
        <v>-0.63</v>
      </c>
      <c r="AP2728">
        <v>3</v>
      </c>
      <c r="AQ2728">
        <v>1</v>
      </c>
      <c r="AR2728">
        <v>6.08</v>
      </c>
      <c r="AS2728">
        <v>51</v>
      </c>
      <c r="AT2728">
        <v>2.41</v>
      </c>
      <c r="AU2728">
        <v>59</v>
      </c>
      <c r="AV2728">
        <v>-2.87</v>
      </c>
      <c r="AW2728">
        <v>49</v>
      </c>
      <c r="AX2728">
        <v>-0.6</v>
      </c>
      <c r="AY2728">
        <v>52</v>
      </c>
      <c r="AZ2728">
        <v>7.53</v>
      </c>
      <c r="BA2728">
        <v>44</v>
      </c>
      <c r="BB2728">
        <v>5.41</v>
      </c>
      <c r="BC2728">
        <v>46</v>
      </c>
      <c r="BD2728">
        <v>-0.03</v>
      </c>
      <c r="BE2728">
        <v>-0.08</v>
      </c>
      <c r="BF2728">
        <v>-0.11</v>
      </c>
      <c r="BG2728">
        <v>69</v>
      </c>
      <c r="BH2728">
        <v>-0.13</v>
      </c>
      <c r="BI2728">
        <v>-9.25</v>
      </c>
      <c r="BJ2728">
        <v>0</v>
      </c>
      <c r="BK2728">
        <v>0</v>
      </c>
      <c r="BL2728">
        <v>-2.4700000000000002</v>
      </c>
      <c r="BM2728">
        <v>0.97</v>
      </c>
      <c r="BN2728">
        <v>-2.0499999999999998</v>
      </c>
      <c r="BO2728">
        <v>-2.19</v>
      </c>
      <c r="BP2728">
        <v>-0.34</v>
      </c>
      <c r="BQ2728">
        <v>1.88</v>
      </c>
      <c r="BR2728">
        <v>-1.94</v>
      </c>
      <c r="BS2728">
        <v>1.69</v>
      </c>
      <c r="BT2728">
        <v>2.58</v>
      </c>
      <c r="BU2728">
        <v>0.67</v>
      </c>
      <c r="BV2728">
        <v>-1.52</v>
      </c>
      <c r="BW2728">
        <v>-1.05</v>
      </c>
      <c r="BX2728">
        <v>0.97</v>
      </c>
      <c r="BY2728">
        <v>0.57999999999999996</v>
      </c>
      <c r="BZ2728">
        <v>-0.19</v>
      </c>
      <c r="CA2728">
        <v>-0.14000000000000001</v>
      </c>
      <c r="CB2728">
        <v>-0.39</v>
      </c>
      <c r="CC2728">
        <v>0.93</v>
      </c>
      <c r="CD2728">
        <v>2.08</v>
      </c>
      <c r="CE2728">
        <v>-1.3</v>
      </c>
      <c r="CF2728">
        <v>-0.42</v>
      </c>
      <c r="CG2728">
        <v>0</v>
      </c>
      <c r="CH2728">
        <v>0.82</v>
      </c>
      <c r="CI2728">
        <v>0</v>
      </c>
      <c r="CJ2728">
        <v>-7.1</v>
      </c>
      <c r="CK2728">
        <v>64</v>
      </c>
      <c r="CL2728">
        <v>-0.33</v>
      </c>
      <c r="CM2728">
        <v>59</v>
      </c>
      <c r="CN2728">
        <v>-0.21</v>
      </c>
      <c r="CO2728">
        <v>57</v>
      </c>
      <c r="CP2728">
        <v>-9.3000000000000007</v>
      </c>
      <c r="CQ2728">
        <v>60</v>
      </c>
      <c r="CR2728">
        <v>0</v>
      </c>
      <c r="CS2728">
        <v>0</v>
      </c>
      <c r="CT2728">
        <v>-11.9</v>
      </c>
      <c r="CU2728">
        <v>59</v>
      </c>
      <c r="CV2728">
        <v>0.05</v>
      </c>
      <c r="CW2728">
        <v>38</v>
      </c>
      <c r="CX2728" t="s">
        <v>11755</v>
      </c>
    </row>
    <row r="2729" spans="1:102" x14ac:dyDescent="0.3">
      <c r="A2729" t="str">
        <f>HYPERLINK("https://webapp.icbf.com/v2/app/bull-search/view/82443809","ELC")</f>
        <v>ELC</v>
      </c>
      <c r="B2729" t="s">
        <v>3776</v>
      </c>
      <c r="C2729" t="s">
        <v>753</v>
      </c>
      <c r="D2729" s="1">
        <v>33276</v>
      </c>
      <c r="E2729" t="s">
        <v>92</v>
      </c>
      <c r="F2729">
        <v>94</v>
      </c>
      <c r="G2729" t="s">
        <v>93</v>
      </c>
      <c r="H2729">
        <v>17.91</v>
      </c>
      <c r="I2729">
        <v>99</v>
      </c>
      <c r="J2729">
        <v>19.03</v>
      </c>
      <c r="K2729">
        <v>99</v>
      </c>
      <c r="L2729">
        <v>-24.49</v>
      </c>
      <c r="M2729">
        <v>98</v>
      </c>
      <c r="N2729">
        <v>22.61</v>
      </c>
      <c r="O2729">
        <v>99</v>
      </c>
      <c r="P2729">
        <v>0.35</v>
      </c>
      <c r="Q2729">
        <v>99</v>
      </c>
      <c r="R2729">
        <v>-13.53</v>
      </c>
      <c r="S2729">
        <v>98</v>
      </c>
      <c r="T2729">
        <v>11.61</v>
      </c>
      <c r="U2729">
        <v>99</v>
      </c>
      <c r="V2729">
        <v>2.33</v>
      </c>
      <c r="W2729">
        <v>98</v>
      </c>
      <c r="X2729" t="s">
        <v>94</v>
      </c>
      <c r="Y2729" t="s">
        <v>95</v>
      </c>
      <c r="Z2729" t="s">
        <v>96</v>
      </c>
      <c r="AA2729" t="s">
        <v>193</v>
      </c>
      <c r="AB2729" t="s">
        <v>3418</v>
      </c>
      <c r="AC2729">
        <v>9065</v>
      </c>
      <c r="AD2729">
        <v>2613</v>
      </c>
      <c r="AE2729">
        <v>99</v>
      </c>
      <c r="AF2729">
        <v>107.86</v>
      </c>
      <c r="AG2729">
        <v>6.04</v>
      </c>
      <c r="AH2729">
        <v>2.75</v>
      </c>
      <c r="AI2729">
        <v>0.03</v>
      </c>
      <c r="AJ2729">
        <v>-0.02</v>
      </c>
      <c r="AK2729">
        <v>98</v>
      </c>
      <c r="AL2729">
        <v>9235</v>
      </c>
      <c r="AM2729">
        <v>2902</v>
      </c>
      <c r="AN2729">
        <v>1.57</v>
      </c>
      <c r="AO2729">
        <v>-0.38</v>
      </c>
      <c r="AP2729">
        <v>2780</v>
      </c>
      <c r="AQ2729">
        <v>5</v>
      </c>
      <c r="AR2729">
        <v>6.09</v>
      </c>
      <c r="AS2729">
        <v>99</v>
      </c>
      <c r="AT2729">
        <v>1.9</v>
      </c>
      <c r="AU2729">
        <v>99</v>
      </c>
      <c r="AV2729">
        <v>-2.0099999999999998</v>
      </c>
      <c r="AW2729">
        <v>99</v>
      </c>
      <c r="AX2729">
        <v>-0.43</v>
      </c>
      <c r="AY2729">
        <v>99</v>
      </c>
      <c r="AZ2729">
        <v>7.72</v>
      </c>
      <c r="BA2729">
        <v>99</v>
      </c>
      <c r="BB2729">
        <v>5.99</v>
      </c>
      <c r="BC2729">
        <v>99</v>
      </c>
      <c r="BD2729">
        <v>0.03</v>
      </c>
      <c r="BE2729">
        <v>0.09</v>
      </c>
      <c r="BF2729">
        <v>0.09</v>
      </c>
      <c r="BG2729">
        <v>99</v>
      </c>
      <c r="BH2729">
        <v>0.1</v>
      </c>
      <c r="BI2729">
        <v>4.05</v>
      </c>
      <c r="BJ2729">
        <v>884</v>
      </c>
      <c r="BK2729">
        <v>345</v>
      </c>
      <c r="BL2729">
        <v>0.09</v>
      </c>
      <c r="BM2729">
        <v>0</v>
      </c>
      <c r="BN2729">
        <v>-0.19</v>
      </c>
      <c r="BO2729">
        <v>-0.03</v>
      </c>
      <c r="BP2729">
        <v>1.59</v>
      </c>
      <c r="BQ2729">
        <v>-1.44</v>
      </c>
      <c r="BR2729">
        <v>1.33</v>
      </c>
      <c r="BS2729">
        <v>-0.78</v>
      </c>
      <c r="BT2729">
        <v>-2.1800000000000002</v>
      </c>
      <c r="BU2729">
        <v>-0.17</v>
      </c>
      <c r="BV2729">
        <v>-1.1000000000000001</v>
      </c>
      <c r="BW2729">
        <v>-1.24</v>
      </c>
      <c r="BX2729">
        <v>-0.2</v>
      </c>
      <c r="BY2729">
        <v>-0.86</v>
      </c>
      <c r="BZ2729">
        <v>1.89</v>
      </c>
      <c r="CA2729">
        <v>-0.73</v>
      </c>
      <c r="CB2729">
        <v>-0.53</v>
      </c>
      <c r="CC2729">
        <v>-0.84</v>
      </c>
      <c r="CD2729">
        <v>0.2</v>
      </c>
      <c r="CE2729">
        <v>0.04</v>
      </c>
      <c r="CF2729">
        <v>-0.23</v>
      </c>
      <c r="CG2729">
        <v>0</v>
      </c>
      <c r="CH2729">
        <v>-0.86</v>
      </c>
      <c r="CI2729">
        <v>0</v>
      </c>
      <c r="CJ2729">
        <v>2.9</v>
      </c>
      <c r="CK2729">
        <v>99</v>
      </c>
      <c r="CL2729">
        <v>-0.46</v>
      </c>
      <c r="CM2729">
        <v>99</v>
      </c>
      <c r="CN2729">
        <v>-0.15</v>
      </c>
      <c r="CO2729">
        <v>99</v>
      </c>
      <c r="CP2729">
        <v>-4.4000000000000004</v>
      </c>
      <c r="CQ2729">
        <v>99</v>
      </c>
      <c r="CR2729">
        <v>0</v>
      </c>
      <c r="CS2729">
        <v>0</v>
      </c>
      <c r="CT2729">
        <v>-1.9</v>
      </c>
      <c r="CU2729">
        <v>99</v>
      </c>
      <c r="CV2729">
        <v>0.18</v>
      </c>
      <c r="CW2729">
        <v>48</v>
      </c>
      <c r="CX2729" t="s">
        <v>166</v>
      </c>
    </row>
    <row r="2730" spans="1:102" x14ac:dyDescent="0.3">
      <c r="A2730" t="str">
        <f>HYPERLINK("https://webapp.icbf.com/v2/app/bull-search/view/1547633067","S3245")</f>
        <v>S3245</v>
      </c>
      <c r="B2730" t="s">
        <v>15609</v>
      </c>
      <c r="C2730" t="s">
        <v>15610</v>
      </c>
      <c r="D2730" s="1">
        <v>42230</v>
      </c>
      <c r="E2730" t="s">
        <v>1061</v>
      </c>
      <c r="F2730">
        <v>0</v>
      </c>
      <c r="G2730" t="s">
        <v>435</v>
      </c>
      <c r="H2730">
        <v>17.91</v>
      </c>
      <c r="I2730">
        <v>53</v>
      </c>
      <c r="J2730">
        <v>-17.62</v>
      </c>
      <c r="K2730">
        <v>69</v>
      </c>
      <c r="L2730">
        <v>23.74</v>
      </c>
      <c r="M2730">
        <v>51</v>
      </c>
      <c r="N2730">
        <v>8.99</v>
      </c>
      <c r="O2730">
        <v>52</v>
      </c>
      <c r="P2730">
        <v>-20.79</v>
      </c>
      <c r="Q2730">
        <v>33</v>
      </c>
      <c r="R2730">
        <v>9.64</v>
      </c>
      <c r="S2730">
        <v>35</v>
      </c>
      <c r="T2730">
        <v>22.63</v>
      </c>
      <c r="U2730">
        <v>32</v>
      </c>
      <c r="V2730">
        <v>-8.68</v>
      </c>
      <c r="W2730">
        <v>32</v>
      </c>
      <c r="X2730" t="s">
        <v>110</v>
      </c>
      <c r="Y2730" t="s">
        <v>2394</v>
      </c>
      <c r="Z2730">
        <v>0</v>
      </c>
      <c r="AA2730" t="s">
        <v>13902</v>
      </c>
      <c r="AB2730" t="s">
        <v>15611</v>
      </c>
      <c r="AC2730">
        <v>0</v>
      </c>
      <c r="AD2730">
        <v>0</v>
      </c>
      <c r="AE2730">
        <v>69</v>
      </c>
      <c r="AF2730">
        <v>-9.06</v>
      </c>
      <c r="AG2730">
        <v>-0.24</v>
      </c>
      <c r="AH2730">
        <v>-3.05</v>
      </c>
      <c r="AI2730">
        <v>0</v>
      </c>
      <c r="AJ2730">
        <v>-0.04</v>
      </c>
      <c r="AK2730">
        <v>51</v>
      </c>
      <c r="AL2730">
        <v>0</v>
      </c>
      <c r="AM2730">
        <v>0</v>
      </c>
      <c r="AN2730">
        <v>0.77</v>
      </c>
      <c r="AO2730">
        <v>2.69</v>
      </c>
      <c r="AP2730">
        <v>9</v>
      </c>
      <c r="AQ2730">
        <v>0</v>
      </c>
      <c r="AR2730">
        <v>8.48</v>
      </c>
      <c r="AS2730">
        <v>36</v>
      </c>
      <c r="AT2730">
        <v>2.74</v>
      </c>
      <c r="AU2730">
        <v>86</v>
      </c>
      <c r="AV2730">
        <v>-1.85</v>
      </c>
      <c r="AW2730">
        <v>52</v>
      </c>
      <c r="AX2730">
        <v>0.1</v>
      </c>
      <c r="AY2730">
        <v>37</v>
      </c>
      <c r="AZ2730">
        <v>7.12</v>
      </c>
      <c r="BA2730">
        <v>21</v>
      </c>
      <c r="BB2730">
        <v>6.02</v>
      </c>
      <c r="BC2730">
        <v>20</v>
      </c>
      <c r="BD2730">
        <v>-0.04</v>
      </c>
      <c r="BE2730">
        <v>-0.05</v>
      </c>
      <c r="BF2730">
        <v>-0.06</v>
      </c>
      <c r="BG2730">
        <v>42</v>
      </c>
      <c r="BH2730">
        <v>-0.1</v>
      </c>
      <c r="BI2730">
        <v>16.43</v>
      </c>
      <c r="BJ2730">
        <v>0</v>
      </c>
      <c r="BK2730">
        <v>0</v>
      </c>
      <c r="BL2730">
        <v>0</v>
      </c>
      <c r="BM2730">
        <v>0</v>
      </c>
      <c r="BN2730">
        <v>0</v>
      </c>
      <c r="BO2730">
        <v>0</v>
      </c>
      <c r="BP2730">
        <v>0</v>
      </c>
      <c r="BQ2730">
        <v>0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-8.3000000000000007</v>
      </c>
      <c r="CK2730">
        <v>33</v>
      </c>
      <c r="CL2730">
        <v>-0.72</v>
      </c>
      <c r="CM2730">
        <v>33</v>
      </c>
      <c r="CN2730">
        <v>-0.05</v>
      </c>
      <c r="CO2730">
        <v>32</v>
      </c>
      <c r="CP2730">
        <v>-16.600000000000001</v>
      </c>
      <c r="CQ2730">
        <v>32</v>
      </c>
      <c r="CR2730">
        <v>0</v>
      </c>
      <c r="CS2730">
        <v>0</v>
      </c>
      <c r="CT2730">
        <v>-16.8</v>
      </c>
      <c r="CU2730">
        <v>32</v>
      </c>
      <c r="CV2730">
        <v>0.02</v>
      </c>
      <c r="CW2730">
        <v>31</v>
      </c>
      <c r="CX2730" t="s">
        <v>7180</v>
      </c>
    </row>
    <row r="2731" spans="1:102" x14ac:dyDescent="0.3">
      <c r="A2731" t="str">
        <f>HYPERLINK("https://webapp.icbf.com/v2/app/bull-search/view/120563136","BWI")</f>
        <v>BWI</v>
      </c>
      <c r="B2731" t="s">
        <v>11148</v>
      </c>
      <c r="C2731" t="s">
        <v>11149</v>
      </c>
      <c r="D2731" s="1">
        <v>36838</v>
      </c>
      <c r="E2731" t="s">
        <v>92</v>
      </c>
      <c r="F2731">
        <v>97</v>
      </c>
      <c r="G2731" t="s">
        <v>93</v>
      </c>
      <c r="H2731">
        <v>17.87</v>
      </c>
      <c r="I2731">
        <v>88</v>
      </c>
      <c r="J2731">
        <v>3.14</v>
      </c>
      <c r="K2731">
        <v>97</v>
      </c>
      <c r="L2731">
        <v>9.83</v>
      </c>
      <c r="M2731">
        <v>82</v>
      </c>
      <c r="N2731">
        <v>-5.04</v>
      </c>
      <c r="O2731">
        <v>86</v>
      </c>
      <c r="P2731">
        <v>-13.89</v>
      </c>
      <c r="Q2731">
        <v>93</v>
      </c>
      <c r="R2731">
        <v>2.96</v>
      </c>
      <c r="S2731">
        <v>82</v>
      </c>
      <c r="T2731">
        <v>20.93</v>
      </c>
      <c r="U2731">
        <v>87</v>
      </c>
      <c r="V2731">
        <v>-0.06</v>
      </c>
      <c r="W2731">
        <v>76</v>
      </c>
      <c r="X2731" t="s">
        <v>94</v>
      </c>
      <c r="Y2731" t="s">
        <v>95</v>
      </c>
      <c r="Z2731" t="s">
        <v>96</v>
      </c>
      <c r="AA2731" t="s">
        <v>2570</v>
      </c>
      <c r="AB2731" t="s">
        <v>11150</v>
      </c>
      <c r="AC2731">
        <v>98</v>
      </c>
      <c r="AD2731">
        <v>74</v>
      </c>
      <c r="AE2731">
        <v>97</v>
      </c>
      <c r="AF2731">
        <v>-196.04</v>
      </c>
      <c r="AG2731">
        <v>5.41</v>
      </c>
      <c r="AH2731">
        <v>-4.38</v>
      </c>
      <c r="AI2731">
        <v>0.24</v>
      </c>
      <c r="AJ2731">
        <v>0.04</v>
      </c>
      <c r="AK2731">
        <v>82</v>
      </c>
      <c r="AL2731">
        <v>97</v>
      </c>
      <c r="AM2731">
        <v>77</v>
      </c>
      <c r="AN2731">
        <v>-0.08</v>
      </c>
      <c r="AO2731">
        <v>0.71</v>
      </c>
      <c r="AP2731">
        <v>177</v>
      </c>
      <c r="AQ2731">
        <v>2</v>
      </c>
      <c r="AR2731">
        <v>11.13</v>
      </c>
      <c r="AS2731">
        <v>72</v>
      </c>
      <c r="AT2731">
        <v>4.68</v>
      </c>
      <c r="AU2731">
        <v>89</v>
      </c>
      <c r="AV2731">
        <v>-2.2400000000000002</v>
      </c>
      <c r="AW2731">
        <v>94</v>
      </c>
      <c r="AX2731">
        <v>0.33</v>
      </c>
      <c r="AY2731">
        <v>83</v>
      </c>
      <c r="AZ2731">
        <v>4.8099999999999996</v>
      </c>
      <c r="BA2731">
        <v>68</v>
      </c>
      <c r="BB2731">
        <v>4.33</v>
      </c>
      <c r="BC2731">
        <v>72</v>
      </c>
      <c r="BD2731">
        <v>0.03</v>
      </c>
      <c r="BE2731">
        <v>-0.02</v>
      </c>
      <c r="BF2731">
        <v>-0.08</v>
      </c>
      <c r="BG2731">
        <v>91</v>
      </c>
      <c r="BH2731">
        <v>0.04</v>
      </c>
      <c r="BI2731">
        <v>4.83</v>
      </c>
      <c r="BJ2731">
        <v>32</v>
      </c>
      <c r="BK2731">
        <v>25</v>
      </c>
      <c r="BL2731">
        <v>-0.15</v>
      </c>
      <c r="BM2731">
        <v>-0.64</v>
      </c>
      <c r="BN2731">
        <v>-0.42</v>
      </c>
      <c r="BO2731">
        <v>-0.23</v>
      </c>
      <c r="BP2731">
        <v>-0.3</v>
      </c>
      <c r="BQ2731">
        <v>-2.85</v>
      </c>
      <c r="BR2731">
        <v>-0.79</v>
      </c>
      <c r="BS2731">
        <v>-0.28000000000000003</v>
      </c>
      <c r="BT2731">
        <v>0.75</v>
      </c>
      <c r="BU2731">
        <v>0.23</v>
      </c>
      <c r="BV2731">
        <v>-0.67</v>
      </c>
      <c r="BW2731">
        <v>-0.59</v>
      </c>
      <c r="BX2731">
        <v>-7.0000000000000007E-2</v>
      </c>
      <c r="BY2731">
        <v>-1.1299999999999999</v>
      </c>
      <c r="BZ2731">
        <v>0.7</v>
      </c>
      <c r="CA2731">
        <v>-0.42</v>
      </c>
      <c r="CB2731">
        <v>-0.55000000000000004</v>
      </c>
      <c r="CC2731">
        <v>-0.28999999999999998</v>
      </c>
      <c r="CD2731">
        <v>-0.74</v>
      </c>
      <c r="CE2731">
        <v>-0.84</v>
      </c>
      <c r="CF2731">
        <v>-1.39</v>
      </c>
      <c r="CG2731">
        <v>0</v>
      </c>
      <c r="CH2731">
        <v>-0.87</v>
      </c>
      <c r="CI2731">
        <v>0</v>
      </c>
      <c r="CJ2731">
        <v>-5.7</v>
      </c>
      <c r="CK2731">
        <v>94</v>
      </c>
      <c r="CL2731">
        <v>-0.6</v>
      </c>
      <c r="CM2731">
        <v>93</v>
      </c>
      <c r="CN2731">
        <v>-0.2</v>
      </c>
      <c r="CO2731">
        <v>92</v>
      </c>
      <c r="CP2731">
        <v>-14.5</v>
      </c>
      <c r="CQ2731">
        <v>91</v>
      </c>
      <c r="CR2731">
        <v>0</v>
      </c>
      <c r="CS2731">
        <v>0</v>
      </c>
      <c r="CT2731">
        <v>-14.5</v>
      </c>
      <c r="CU2731">
        <v>87</v>
      </c>
      <c r="CV2731">
        <v>0.02</v>
      </c>
      <c r="CW2731">
        <v>44</v>
      </c>
      <c r="CX2731" t="s">
        <v>753</v>
      </c>
    </row>
    <row r="2732" spans="1:102" x14ac:dyDescent="0.3">
      <c r="A2732" t="str">
        <f>HYPERLINK("https://webapp.icbf.com/v2/app/bull-search/view/77855854","LNC")</f>
        <v>LNC</v>
      </c>
      <c r="B2732" t="s">
        <v>3690</v>
      </c>
      <c r="C2732" t="s">
        <v>3691</v>
      </c>
      <c r="D2732" s="1">
        <v>35322</v>
      </c>
      <c r="E2732" t="s">
        <v>92</v>
      </c>
      <c r="F2732">
        <v>97</v>
      </c>
      <c r="G2732" t="s">
        <v>93</v>
      </c>
      <c r="H2732">
        <v>17.829999999999998</v>
      </c>
      <c r="I2732">
        <v>97</v>
      </c>
      <c r="J2732">
        <v>2.74</v>
      </c>
      <c r="K2732">
        <v>99</v>
      </c>
      <c r="L2732">
        <v>-24.87</v>
      </c>
      <c r="M2732">
        <v>94</v>
      </c>
      <c r="N2732">
        <v>24.18</v>
      </c>
      <c r="O2732">
        <v>98</v>
      </c>
      <c r="P2732">
        <v>-1.62</v>
      </c>
      <c r="Q2732">
        <v>99</v>
      </c>
      <c r="R2732">
        <v>3.33</v>
      </c>
      <c r="S2732">
        <v>96</v>
      </c>
      <c r="T2732">
        <v>15.16</v>
      </c>
      <c r="U2732">
        <v>99</v>
      </c>
      <c r="V2732">
        <v>-1.0900000000000001</v>
      </c>
      <c r="W2732">
        <v>97</v>
      </c>
      <c r="X2732" t="s">
        <v>94</v>
      </c>
      <c r="Y2732" t="s">
        <v>95</v>
      </c>
      <c r="Z2732" t="s">
        <v>96</v>
      </c>
      <c r="AA2732" t="s">
        <v>753</v>
      </c>
      <c r="AB2732" t="s">
        <v>3692</v>
      </c>
      <c r="AC2732">
        <v>1195</v>
      </c>
      <c r="AD2732">
        <v>684</v>
      </c>
      <c r="AE2732">
        <v>99</v>
      </c>
      <c r="AF2732">
        <v>50.3</v>
      </c>
      <c r="AG2732">
        <v>-1.82</v>
      </c>
      <c r="AH2732">
        <v>1.88</v>
      </c>
      <c r="AI2732">
        <v>-7.0000000000000007E-2</v>
      </c>
      <c r="AJ2732">
        <v>0</v>
      </c>
      <c r="AK2732">
        <v>94</v>
      </c>
      <c r="AL2732">
        <v>1485</v>
      </c>
      <c r="AM2732">
        <v>851</v>
      </c>
      <c r="AN2732">
        <v>1.6</v>
      </c>
      <c r="AO2732">
        <v>-0.38</v>
      </c>
      <c r="AP2732">
        <v>1903</v>
      </c>
      <c r="AQ2732">
        <v>13</v>
      </c>
      <c r="AR2732">
        <v>7.11</v>
      </c>
      <c r="AS2732">
        <v>98</v>
      </c>
      <c r="AT2732">
        <v>2.58</v>
      </c>
      <c r="AU2732">
        <v>98</v>
      </c>
      <c r="AV2732">
        <v>-3.28</v>
      </c>
      <c r="AW2732">
        <v>99</v>
      </c>
      <c r="AX2732">
        <v>-0.2</v>
      </c>
      <c r="AY2732">
        <v>98</v>
      </c>
      <c r="AZ2732">
        <v>7.16</v>
      </c>
      <c r="BA2732">
        <v>93</v>
      </c>
      <c r="BB2732">
        <v>6.29</v>
      </c>
      <c r="BC2732">
        <v>95</v>
      </c>
      <c r="BD2732">
        <v>-0.01</v>
      </c>
      <c r="BE2732">
        <v>0</v>
      </c>
      <c r="BF2732">
        <v>-0.06</v>
      </c>
      <c r="BG2732">
        <v>98</v>
      </c>
      <c r="BH2732">
        <v>-0.04</v>
      </c>
      <c r="BI2732">
        <v>-1.1200000000000001</v>
      </c>
      <c r="BJ2732">
        <v>39</v>
      </c>
      <c r="BK2732">
        <v>29</v>
      </c>
      <c r="BL2732">
        <v>-0.59</v>
      </c>
      <c r="BM2732">
        <v>1.36</v>
      </c>
      <c r="BN2732">
        <v>0.02</v>
      </c>
      <c r="BO2732">
        <v>-1.1399999999999999</v>
      </c>
      <c r="BP2732">
        <v>-0.98</v>
      </c>
      <c r="BQ2732">
        <v>-0.3</v>
      </c>
      <c r="BR2732">
        <v>1.49</v>
      </c>
      <c r="BS2732">
        <v>-2.09</v>
      </c>
      <c r="BT2732">
        <v>-1.41</v>
      </c>
      <c r="BU2732">
        <v>-0.88</v>
      </c>
      <c r="BV2732">
        <v>-1.51</v>
      </c>
      <c r="BW2732">
        <v>-1.48</v>
      </c>
      <c r="BX2732">
        <v>-0.37</v>
      </c>
      <c r="BY2732">
        <v>-2.31</v>
      </c>
      <c r="BZ2732">
        <v>-0.3</v>
      </c>
      <c r="CA2732">
        <v>-1.99</v>
      </c>
      <c r="CB2732">
        <v>-1.38</v>
      </c>
      <c r="CC2732">
        <v>-2.04</v>
      </c>
      <c r="CD2732">
        <v>1.01</v>
      </c>
      <c r="CE2732">
        <v>-1.61</v>
      </c>
      <c r="CF2732">
        <v>-0.97</v>
      </c>
      <c r="CG2732">
        <v>0</v>
      </c>
      <c r="CH2732">
        <v>-2</v>
      </c>
      <c r="CI2732">
        <v>0</v>
      </c>
      <c r="CJ2732">
        <v>-0.3</v>
      </c>
      <c r="CK2732">
        <v>99</v>
      </c>
      <c r="CL2732">
        <v>-0.39</v>
      </c>
      <c r="CM2732">
        <v>99</v>
      </c>
      <c r="CN2732">
        <v>-0.31</v>
      </c>
      <c r="CO2732">
        <v>99</v>
      </c>
      <c r="CP2732">
        <v>-5.4</v>
      </c>
      <c r="CQ2732">
        <v>99</v>
      </c>
      <c r="CR2732">
        <v>0</v>
      </c>
      <c r="CS2732">
        <v>0</v>
      </c>
      <c r="CT2732">
        <v>-6.7</v>
      </c>
      <c r="CU2732">
        <v>99</v>
      </c>
      <c r="CV2732">
        <v>0.12</v>
      </c>
      <c r="CW2732">
        <v>48</v>
      </c>
      <c r="CX2732" t="s">
        <v>485</v>
      </c>
    </row>
    <row r="2733" spans="1:102" x14ac:dyDescent="0.3">
      <c r="A2733" t="str">
        <f>HYPERLINK("https://webapp.icbf.com/v2/app/bull-search/view/678697927","S911")</f>
        <v>S911</v>
      </c>
      <c r="B2733" t="s">
        <v>14732</v>
      </c>
      <c r="C2733" t="s">
        <v>14733</v>
      </c>
      <c r="D2733" s="1">
        <v>38947</v>
      </c>
      <c r="E2733" t="s">
        <v>146</v>
      </c>
      <c r="F2733">
        <v>3</v>
      </c>
      <c r="G2733" t="s">
        <v>93</v>
      </c>
      <c r="H2733">
        <v>17.73</v>
      </c>
      <c r="I2733">
        <v>80</v>
      </c>
      <c r="J2733">
        <v>-82.93</v>
      </c>
      <c r="K2733">
        <v>98</v>
      </c>
      <c r="L2733">
        <v>48.41</v>
      </c>
      <c r="M2733">
        <v>57</v>
      </c>
      <c r="N2733">
        <v>41.11</v>
      </c>
      <c r="O2733">
        <v>91</v>
      </c>
      <c r="P2733">
        <v>-0.05</v>
      </c>
      <c r="Q2733">
        <v>97</v>
      </c>
      <c r="R2733">
        <v>13.47</v>
      </c>
      <c r="S2733">
        <v>67</v>
      </c>
      <c r="T2733">
        <v>6.13</v>
      </c>
      <c r="U2733">
        <v>87</v>
      </c>
      <c r="V2733">
        <v>-8.41</v>
      </c>
      <c r="W2733">
        <v>63</v>
      </c>
      <c r="X2733" t="s">
        <v>102</v>
      </c>
      <c r="Y2733" t="s">
        <v>303</v>
      </c>
      <c r="Z2733">
        <v>0</v>
      </c>
      <c r="AA2733" t="s">
        <v>7644</v>
      </c>
      <c r="AB2733" t="s">
        <v>14734</v>
      </c>
      <c r="AC2733">
        <v>182</v>
      </c>
      <c r="AD2733">
        <v>37</v>
      </c>
      <c r="AE2733">
        <v>98</v>
      </c>
      <c r="AF2733">
        <v>-647.49</v>
      </c>
      <c r="AG2733">
        <v>-18.98</v>
      </c>
      <c r="AH2733">
        <v>-17.3</v>
      </c>
      <c r="AI2733">
        <v>0.12</v>
      </c>
      <c r="AJ2733">
        <v>0.09</v>
      </c>
      <c r="AK2733">
        <v>57</v>
      </c>
      <c r="AL2733">
        <v>0</v>
      </c>
      <c r="AM2733">
        <v>0</v>
      </c>
      <c r="AN2733">
        <v>-3.46</v>
      </c>
      <c r="AO2733">
        <v>0.39</v>
      </c>
      <c r="AP2733">
        <v>495</v>
      </c>
      <c r="AQ2733">
        <v>7</v>
      </c>
      <c r="AR2733">
        <v>4.84</v>
      </c>
      <c r="AS2733">
        <v>84</v>
      </c>
      <c r="AT2733">
        <v>1.99</v>
      </c>
      <c r="AU2733">
        <v>93</v>
      </c>
      <c r="AV2733">
        <v>-2.5499999999999998</v>
      </c>
      <c r="AW2733">
        <v>98</v>
      </c>
      <c r="AX2733">
        <v>0.17</v>
      </c>
      <c r="AY2733">
        <v>93</v>
      </c>
      <c r="AZ2733">
        <v>4.9800000000000004</v>
      </c>
      <c r="BA2733">
        <v>74</v>
      </c>
      <c r="BB2733">
        <v>3.98</v>
      </c>
      <c r="BC2733">
        <v>73</v>
      </c>
      <c r="BD2733">
        <v>-0.04</v>
      </c>
      <c r="BE2733">
        <v>-7.0000000000000007E-2</v>
      </c>
      <c r="BF2733">
        <v>-0.11</v>
      </c>
      <c r="BG2733">
        <v>78</v>
      </c>
      <c r="BH2733">
        <v>-0.25</v>
      </c>
      <c r="BI2733">
        <v>-1.8</v>
      </c>
      <c r="BJ2733">
        <v>0</v>
      </c>
      <c r="BK2733">
        <v>0</v>
      </c>
      <c r="BL2733">
        <v>-2.4300000000000002</v>
      </c>
      <c r="BM2733">
        <v>1.53</v>
      </c>
      <c r="BN2733">
        <v>-2.4900000000000002</v>
      </c>
      <c r="BO2733">
        <v>-2.61</v>
      </c>
      <c r="BP2733">
        <v>3.38</v>
      </c>
      <c r="BQ2733">
        <v>-3.09</v>
      </c>
      <c r="BR2733">
        <v>0.62</v>
      </c>
      <c r="BS2733">
        <v>1.04</v>
      </c>
      <c r="BT2733">
        <v>-0.71</v>
      </c>
      <c r="BU2733">
        <v>-3.16</v>
      </c>
      <c r="BV2733">
        <v>-2.5</v>
      </c>
      <c r="BW2733">
        <v>-3.22</v>
      </c>
      <c r="BX2733">
        <v>-3.12</v>
      </c>
      <c r="BY2733">
        <v>-2.79</v>
      </c>
      <c r="BZ2733">
        <v>4.0199999999999996</v>
      </c>
      <c r="CA2733">
        <v>-2.0099999999999998</v>
      </c>
      <c r="CB2733">
        <v>-2.98</v>
      </c>
      <c r="CC2733">
        <v>0.54</v>
      </c>
      <c r="CD2733">
        <v>2.4300000000000002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-5.6</v>
      </c>
      <c r="CK2733">
        <v>98</v>
      </c>
      <c r="CL2733">
        <v>0.08</v>
      </c>
      <c r="CM2733">
        <v>98</v>
      </c>
      <c r="CN2733">
        <v>-0.59</v>
      </c>
      <c r="CO2733">
        <v>98</v>
      </c>
      <c r="CP2733">
        <v>-0.4</v>
      </c>
      <c r="CQ2733">
        <v>91</v>
      </c>
      <c r="CR2733">
        <v>0</v>
      </c>
      <c r="CS2733">
        <v>0</v>
      </c>
      <c r="CT2733">
        <v>5.5</v>
      </c>
      <c r="CU2733">
        <v>87</v>
      </c>
      <c r="CV2733">
        <v>-0.28000000000000003</v>
      </c>
      <c r="CW2733">
        <v>33</v>
      </c>
      <c r="CX2733" t="s">
        <v>14735</v>
      </c>
    </row>
    <row r="2734" spans="1:102" x14ac:dyDescent="0.3">
      <c r="A2734" t="str">
        <f>HYPERLINK("https://webapp.icbf.com/v2/app/bull-search/view/586041562","S2042")</f>
        <v>S2042</v>
      </c>
      <c r="B2734" t="s">
        <v>5856</v>
      </c>
      <c r="C2734" t="s">
        <v>5857</v>
      </c>
      <c r="D2734" s="1">
        <v>37909</v>
      </c>
      <c r="E2734" t="s">
        <v>92</v>
      </c>
      <c r="F2734">
        <v>100</v>
      </c>
      <c r="G2734" t="s">
        <v>109</v>
      </c>
      <c r="H2734">
        <v>17.64</v>
      </c>
      <c r="I2734">
        <v>85</v>
      </c>
      <c r="J2734">
        <v>28.93</v>
      </c>
      <c r="K2734">
        <v>94</v>
      </c>
      <c r="L2734">
        <v>-20.260000000000002</v>
      </c>
      <c r="M2734">
        <v>86</v>
      </c>
      <c r="N2734">
        <v>24.59</v>
      </c>
      <c r="O2734">
        <v>81</v>
      </c>
      <c r="P2734">
        <v>-16.059999999999999</v>
      </c>
      <c r="Q2734">
        <v>81</v>
      </c>
      <c r="R2734">
        <v>1.88</v>
      </c>
      <c r="S2734">
        <v>78</v>
      </c>
      <c r="T2734">
        <v>12.49</v>
      </c>
      <c r="U2734">
        <v>62</v>
      </c>
      <c r="V2734">
        <v>-13.93</v>
      </c>
      <c r="W2734">
        <v>71</v>
      </c>
      <c r="X2734" t="s">
        <v>1645</v>
      </c>
      <c r="Y2734" t="s">
        <v>367</v>
      </c>
      <c r="Z2734" t="s">
        <v>96</v>
      </c>
      <c r="AA2734" t="s">
        <v>3769</v>
      </c>
      <c r="AB2734" t="s">
        <v>5858</v>
      </c>
      <c r="AC2734">
        <v>0</v>
      </c>
      <c r="AD2734">
        <v>0</v>
      </c>
      <c r="AE2734">
        <v>94</v>
      </c>
      <c r="AF2734">
        <v>168.09</v>
      </c>
      <c r="AG2734">
        <v>0.83</v>
      </c>
      <c r="AH2734">
        <v>7.2</v>
      </c>
      <c r="AI2734">
        <v>-0.1</v>
      </c>
      <c r="AJ2734">
        <v>0.03</v>
      </c>
      <c r="AK2734">
        <v>86</v>
      </c>
      <c r="AL2734">
        <v>0</v>
      </c>
      <c r="AM2734">
        <v>0</v>
      </c>
      <c r="AN2734">
        <v>1.54</v>
      </c>
      <c r="AO2734">
        <v>-7.0000000000000007E-2</v>
      </c>
      <c r="AP2734">
        <v>62</v>
      </c>
      <c r="AQ2734">
        <v>0</v>
      </c>
      <c r="AR2734">
        <v>7.35</v>
      </c>
      <c r="AS2734">
        <v>71</v>
      </c>
      <c r="AT2734">
        <v>2.97</v>
      </c>
      <c r="AU2734">
        <v>91</v>
      </c>
      <c r="AV2734">
        <v>-3.26</v>
      </c>
      <c r="AW2734">
        <v>92</v>
      </c>
      <c r="AX2734">
        <v>-0.84</v>
      </c>
      <c r="AY2734">
        <v>67</v>
      </c>
      <c r="AZ2734">
        <v>7.03</v>
      </c>
      <c r="BA2734">
        <v>53</v>
      </c>
      <c r="BB2734">
        <v>5.85</v>
      </c>
      <c r="BC2734">
        <v>50</v>
      </c>
      <c r="BD2734">
        <v>-0.02</v>
      </c>
      <c r="BE2734">
        <v>0</v>
      </c>
      <c r="BF2734">
        <v>-0.01</v>
      </c>
      <c r="BG2734">
        <v>93</v>
      </c>
      <c r="BH2734">
        <v>-0.02</v>
      </c>
      <c r="BI2734">
        <v>42.61</v>
      </c>
      <c r="BJ2734">
        <v>3</v>
      </c>
      <c r="BK2734">
        <v>1</v>
      </c>
      <c r="BL2734">
        <v>-0.2</v>
      </c>
      <c r="BM2734">
        <v>-1.63</v>
      </c>
      <c r="BN2734">
        <v>-1.41</v>
      </c>
      <c r="BO2734">
        <v>0.54</v>
      </c>
      <c r="BP2734">
        <v>-1.03</v>
      </c>
      <c r="BQ2734">
        <v>-0.41</v>
      </c>
      <c r="BR2734">
        <v>-0.82</v>
      </c>
      <c r="BS2734">
        <v>2.54</v>
      </c>
      <c r="BT2734">
        <v>1.91</v>
      </c>
      <c r="BU2734">
        <v>0.97</v>
      </c>
      <c r="BV2734">
        <v>1.28</v>
      </c>
      <c r="BW2734">
        <v>2.19</v>
      </c>
      <c r="BX2734">
        <v>0.68</v>
      </c>
      <c r="BY2734">
        <v>1.82</v>
      </c>
      <c r="BZ2734">
        <v>-2.29</v>
      </c>
      <c r="CA2734">
        <v>1.82</v>
      </c>
      <c r="CB2734">
        <v>1.28</v>
      </c>
      <c r="CC2734">
        <v>2.15</v>
      </c>
      <c r="CD2734">
        <v>-1.1100000000000001</v>
      </c>
      <c r="CE2734">
        <v>0.54</v>
      </c>
      <c r="CF2734">
        <v>-0.27</v>
      </c>
      <c r="CG2734">
        <v>0</v>
      </c>
      <c r="CH2734">
        <v>2.2799999999999998</v>
      </c>
      <c r="CI2734">
        <v>0</v>
      </c>
      <c r="CJ2734">
        <v>-5</v>
      </c>
      <c r="CK2734">
        <v>84</v>
      </c>
      <c r="CL2734">
        <v>-1.03</v>
      </c>
      <c r="CM2734">
        <v>81</v>
      </c>
      <c r="CN2734">
        <v>-0.15</v>
      </c>
      <c r="CO2734">
        <v>79</v>
      </c>
      <c r="CP2734">
        <v>-1.9</v>
      </c>
      <c r="CQ2734">
        <v>68</v>
      </c>
      <c r="CR2734">
        <v>0</v>
      </c>
      <c r="CS2734">
        <v>0</v>
      </c>
      <c r="CT2734">
        <v>-3.1</v>
      </c>
      <c r="CU2734">
        <v>62</v>
      </c>
      <c r="CV2734">
        <v>0.15</v>
      </c>
      <c r="CW2734">
        <v>42</v>
      </c>
      <c r="CX2734" t="s">
        <v>5859</v>
      </c>
    </row>
    <row r="2735" spans="1:102" x14ac:dyDescent="0.3">
      <c r="A2735" t="str">
        <f>HYPERLINK("https://webapp.icbf.com/v2/app/bull-search/view/910813644","ZAC")</f>
        <v>ZAC</v>
      </c>
      <c r="B2735" t="s">
        <v>9626</v>
      </c>
      <c r="C2735" t="s">
        <v>9627</v>
      </c>
      <c r="D2735" s="1">
        <v>39923</v>
      </c>
      <c r="E2735" t="s">
        <v>92</v>
      </c>
      <c r="F2735">
        <v>100</v>
      </c>
      <c r="G2735" t="s">
        <v>109</v>
      </c>
      <c r="H2735">
        <v>17.61</v>
      </c>
      <c r="I2735">
        <v>72</v>
      </c>
      <c r="J2735">
        <v>77.209999999999994</v>
      </c>
      <c r="K2735">
        <v>79</v>
      </c>
      <c r="L2735">
        <v>-73.989999999999995</v>
      </c>
      <c r="M2735">
        <v>77</v>
      </c>
      <c r="N2735">
        <v>1.8</v>
      </c>
      <c r="O2735">
        <v>68</v>
      </c>
      <c r="P2735">
        <v>-3.96</v>
      </c>
      <c r="Q2735">
        <v>77</v>
      </c>
      <c r="R2735">
        <v>11.05</v>
      </c>
      <c r="S2735">
        <v>64</v>
      </c>
      <c r="T2735">
        <v>3.91</v>
      </c>
      <c r="U2735">
        <v>49</v>
      </c>
      <c r="V2735">
        <v>1.59</v>
      </c>
      <c r="W2735">
        <v>26</v>
      </c>
      <c r="X2735" t="s">
        <v>428</v>
      </c>
      <c r="Y2735" t="s">
        <v>329</v>
      </c>
      <c r="Z2735" t="s">
        <v>96</v>
      </c>
      <c r="AA2735" t="s">
        <v>1962</v>
      </c>
      <c r="AB2735" t="s">
        <v>402</v>
      </c>
      <c r="AC2735">
        <v>0</v>
      </c>
      <c r="AD2735">
        <v>0</v>
      </c>
      <c r="AE2735">
        <v>79</v>
      </c>
      <c r="AF2735">
        <v>468.63</v>
      </c>
      <c r="AG2735">
        <v>19.8</v>
      </c>
      <c r="AH2735">
        <v>13.3</v>
      </c>
      <c r="AI2735">
        <v>0.02</v>
      </c>
      <c r="AJ2735">
        <v>-0.04</v>
      </c>
      <c r="AK2735">
        <v>77</v>
      </c>
      <c r="AL2735">
        <v>0</v>
      </c>
      <c r="AM2735">
        <v>0</v>
      </c>
      <c r="AN2735">
        <v>6.41</v>
      </c>
      <c r="AO2735">
        <v>0.54</v>
      </c>
      <c r="AP2735">
        <v>74</v>
      </c>
      <c r="AQ2735">
        <v>19</v>
      </c>
      <c r="AR2735">
        <v>9.83</v>
      </c>
      <c r="AS2735">
        <v>43</v>
      </c>
      <c r="AT2735">
        <v>4.24</v>
      </c>
      <c r="AU2735">
        <v>86</v>
      </c>
      <c r="AV2735">
        <v>-1.97</v>
      </c>
      <c r="AW2735">
        <v>78</v>
      </c>
      <c r="AX2735">
        <v>0.06</v>
      </c>
      <c r="AY2735">
        <v>66</v>
      </c>
      <c r="AZ2735">
        <v>5.61</v>
      </c>
      <c r="BA2735">
        <v>44</v>
      </c>
      <c r="BB2735">
        <v>4.37</v>
      </c>
      <c r="BC2735">
        <v>28</v>
      </c>
      <c r="BD2735">
        <v>-0.03</v>
      </c>
      <c r="BE2735">
        <v>-0.06</v>
      </c>
      <c r="BF2735">
        <v>-0.09</v>
      </c>
      <c r="BG2735">
        <v>85</v>
      </c>
      <c r="BH2735">
        <v>-0.04</v>
      </c>
      <c r="BI2735">
        <v>-9.75</v>
      </c>
      <c r="BJ2735">
        <v>16</v>
      </c>
      <c r="BK2735">
        <v>4</v>
      </c>
      <c r="BL2735">
        <v>0.89</v>
      </c>
      <c r="BM2735">
        <v>1.69</v>
      </c>
      <c r="BN2735">
        <v>1.81</v>
      </c>
      <c r="BO2735">
        <v>1.32</v>
      </c>
      <c r="BP2735">
        <v>0.06</v>
      </c>
      <c r="BQ2735">
        <v>2.35</v>
      </c>
      <c r="BR2735">
        <v>0.68</v>
      </c>
      <c r="BS2735">
        <v>1.93</v>
      </c>
      <c r="BT2735">
        <v>-0.81</v>
      </c>
      <c r="BU2735">
        <v>2.15</v>
      </c>
      <c r="BV2735">
        <v>3.45</v>
      </c>
      <c r="BW2735">
        <v>2.86</v>
      </c>
      <c r="BX2735">
        <v>0.82</v>
      </c>
      <c r="BY2735">
        <v>2.2999999999999998</v>
      </c>
      <c r="BZ2735">
        <v>-2.1800000000000002</v>
      </c>
      <c r="CA2735">
        <v>2.46</v>
      </c>
      <c r="CB2735">
        <v>2.5299999999999998</v>
      </c>
      <c r="CC2735">
        <v>1.5</v>
      </c>
      <c r="CD2735">
        <v>-0.2</v>
      </c>
      <c r="CE2735">
        <v>1.3</v>
      </c>
      <c r="CF2735">
        <v>1.33</v>
      </c>
      <c r="CG2735">
        <v>0</v>
      </c>
      <c r="CH2735">
        <v>3.25</v>
      </c>
      <c r="CI2735">
        <v>0</v>
      </c>
      <c r="CJ2735">
        <v>0.6</v>
      </c>
      <c r="CK2735">
        <v>80</v>
      </c>
      <c r="CL2735">
        <v>-0.82</v>
      </c>
      <c r="CM2735">
        <v>76</v>
      </c>
      <c r="CN2735">
        <v>-0.35</v>
      </c>
      <c r="CO2735">
        <v>73</v>
      </c>
      <c r="CP2735">
        <v>-2.8</v>
      </c>
      <c r="CQ2735">
        <v>60</v>
      </c>
      <c r="CR2735">
        <v>0</v>
      </c>
      <c r="CS2735">
        <v>0</v>
      </c>
      <c r="CT2735">
        <v>8.5</v>
      </c>
      <c r="CU2735">
        <v>49</v>
      </c>
      <c r="CV2735">
        <v>0.24</v>
      </c>
      <c r="CW2735">
        <v>22</v>
      </c>
      <c r="CX2735" t="s">
        <v>277</v>
      </c>
    </row>
    <row r="2736" spans="1:102" x14ac:dyDescent="0.3">
      <c r="A2736" t="str">
        <f>HYPERLINK("https://webapp.icbf.com/v2/app/bull-search/view/69091669","FLP")</f>
        <v>FLP</v>
      </c>
      <c r="B2736" t="s">
        <v>9837</v>
      </c>
      <c r="C2736" t="s">
        <v>9838</v>
      </c>
      <c r="D2736" s="1">
        <v>32952</v>
      </c>
      <c r="E2736" t="s">
        <v>140</v>
      </c>
      <c r="F2736">
        <v>0</v>
      </c>
      <c r="G2736" t="s">
        <v>93</v>
      </c>
      <c r="H2736">
        <v>17.61</v>
      </c>
      <c r="I2736">
        <v>84</v>
      </c>
      <c r="J2736">
        <v>-44.27</v>
      </c>
      <c r="K2736">
        <v>96</v>
      </c>
      <c r="L2736">
        <v>71.19</v>
      </c>
      <c r="M2736">
        <v>73</v>
      </c>
      <c r="N2736">
        <v>-21.94</v>
      </c>
      <c r="O2736">
        <v>81</v>
      </c>
      <c r="P2736">
        <v>13.93</v>
      </c>
      <c r="Q2736">
        <v>91</v>
      </c>
      <c r="R2736">
        <v>-2.13</v>
      </c>
      <c r="S2736">
        <v>75</v>
      </c>
      <c r="T2736">
        <v>15.31</v>
      </c>
      <c r="U2736">
        <v>93</v>
      </c>
      <c r="V2736">
        <v>-14.48</v>
      </c>
      <c r="W2736">
        <v>60</v>
      </c>
      <c r="X2736" t="s">
        <v>94</v>
      </c>
      <c r="Y2736" t="s">
        <v>95</v>
      </c>
      <c r="Z2736">
        <v>0</v>
      </c>
      <c r="AA2736" t="s">
        <v>2464</v>
      </c>
      <c r="AB2736" t="s">
        <v>9839</v>
      </c>
      <c r="AC2736">
        <v>133</v>
      </c>
      <c r="AD2736">
        <v>61</v>
      </c>
      <c r="AE2736">
        <v>96</v>
      </c>
      <c r="AF2736">
        <v>-231.23</v>
      </c>
      <c r="AG2736">
        <v>-10.4</v>
      </c>
      <c r="AH2736">
        <v>-7.39</v>
      </c>
      <c r="AI2736">
        <v>-0.02</v>
      </c>
      <c r="AJ2736">
        <v>0.01</v>
      </c>
      <c r="AK2736">
        <v>73</v>
      </c>
      <c r="AL2736">
        <v>130</v>
      </c>
      <c r="AM2736">
        <v>71</v>
      </c>
      <c r="AN2736">
        <v>-2.91</v>
      </c>
      <c r="AO2736">
        <v>2.78</v>
      </c>
      <c r="AP2736">
        <v>24</v>
      </c>
      <c r="AQ2736">
        <v>0</v>
      </c>
      <c r="AR2736">
        <v>7.2</v>
      </c>
      <c r="AS2736">
        <v>54</v>
      </c>
      <c r="AT2736">
        <v>3.68</v>
      </c>
      <c r="AU2736">
        <v>76</v>
      </c>
      <c r="AV2736">
        <v>2.66</v>
      </c>
      <c r="AW2736">
        <v>93</v>
      </c>
      <c r="AX2736">
        <v>-0.7</v>
      </c>
      <c r="AY2736">
        <v>84</v>
      </c>
      <c r="AZ2736">
        <v>6.79</v>
      </c>
      <c r="BA2736">
        <v>54</v>
      </c>
      <c r="BB2736">
        <v>4.6399999999999997</v>
      </c>
      <c r="BC2736">
        <v>72</v>
      </c>
      <c r="BD2736">
        <v>0.03</v>
      </c>
      <c r="BE2736">
        <v>0.01</v>
      </c>
      <c r="BF2736">
        <v>-0.02</v>
      </c>
      <c r="BG2736">
        <v>88</v>
      </c>
      <c r="BH2736">
        <v>-0.36</v>
      </c>
      <c r="BI2736">
        <v>5.0599999999999996</v>
      </c>
      <c r="BJ2736">
        <v>0</v>
      </c>
      <c r="BK2736">
        <v>0</v>
      </c>
      <c r="BL2736">
        <v>-1</v>
      </c>
      <c r="BM2736">
        <v>3.3</v>
      </c>
      <c r="BN2736">
        <v>-1.75</v>
      </c>
      <c r="BO2736">
        <v>-2.99</v>
      </c>
      <c r="BP2736">
        <v>4.49</v>
      </c>
      <c r="BQ2736">
        <v>-2.04</v>
      </c>
      <c r="BR2736">
        <v>-2.58</v>
      </c>
      <c r="BS2736">
        <v>-0.37</v>
      </c>
      <c r="BT2736">
        <v>2.44</v>
      </c>
      <c r="BU2736">
        <v>-3.19</v>
      </c>
      <c r="BV2736">
        <v>-3.68</v>
      </c>
      <c r="BW2736">
        <v>-2.91</v>
      </c>
      <c r="BX2736">
        <v>-2.83</v>
      </c>
      <c r="BY2736">
        <v>-2.0099999999999998</v>
      </c>
      <c r="BZ2736">
        <v>1.24</v>
      </c>
      <c r="CA2736">
        <v>-2.2400000000000002</v>
      </c>
      <c r="CB2736">
        <v>-2.79</v>
      </c>
      <c r="CC2736">
        <v>-0.52</v>
      </c>
      <c r="CD2736">
        <v>3.48</v>
      </c>
      <c r="CE2736">
        <v>-2.81</v>
      </c>
      <c r="CF2736">
        <v>-1.19</v>
      </c>
      <c r="CG2736">
        <v>0</v>
      </c>
      <c r="CH2736">
        <v>-2.4300000000000002</v>
      </c>
      <c r="CI2736">
        <v>0</v>
      </c>
      <c r="CJ2736">
        <v>1.9</v>
      </c>
      <c r="CK2736">
        <v>92</v>
      </c>
      <c r="CL2736">
        <v>0.6</v>
      </c>
      <c r="CM2736">
        <v>90</v>
      </c>
      <c r="CN2736">
        <v>-0.41</v>
      </c>
      <c r="CO2736">
        <v>89</v>
      </c>
      <c r="CP2736">
        <v>2.1</v>
      </c>
      <c r="CQ2736">
        <v>93</v>
      </c>
      <c r="CR2736">
        <v>0</v>
      </c>
      <c r="CS2736">
        <v>0</v>
      </c>
      <c r="CT2736">
        <v>-6.9</v>
      </c>
      <c r="CU2736">
        <v>93</v>
      </c>
      <c r="CV2736">
        <v>-0.27</v>
      </c>
      <c r="CW2736">
        <v>26</v>
      </c>
      <c r="CX2736" t="s">
        <v>698</v>
      </c>
    </row>
    <row r="2737" spans="1:102" x14ac:dyDescent="0.3">
      <c r="A2737" t="str">
        <f>HYPERLINK("https://webapp.icbf.com/v2/app/bull-search/view/69092446","QGI")</f>
        <v>QGI</v>
      </c>
      <c r="B2737" t="s">
        <v>3243</v>
      </c>
      <c r="C2737" t="s">
        <v>1116</v>
      </c>
      <c r="D2737" s="1">
        <v>36211</v>
      </c>
      <c r="E2737" t="s">
        <v>92</v>
      </c>
      <c r="F2737">
        <v>100</v>
      </c>
      <c r="G2737" t="s">
        <v>93</v>
      </c>
      <c r="H2737">
        <v>17.59</v>
      </c>
      <c r="I2737">
        <v>92</v>
      </c>
      <c r="J2737">
        <v>50.67</v>
      </c>
      <c r="K2737">
        <v>98</v>
      </c>
      <c r="L2737">
        <v>-17.88</v>
      </c>
      <c r="M2737">
        <v>87</v>
      </c>
      <c r="N2737">
        <v>-20.07</v>
      </c>
      <c r="O2737">
        <v>91</v>
      </c>
      <c r="P2737">
        <v>-3.81</v>
      </c>
      <c r="Q2737">
        <v>97</v>
      </c>
      <c r="R2737">
        <v>7.16</v>
      </c>
      <c r="S2737">
        <v>87</v>
      </c>
      <c r="T2737">
        <v>3.98</v>
      </c>
      <c r="U2737">
        <v>93</v>
      </c>
      <c r="V2737">
        <v>-2.46</v>
      </c>
      <c r="W2737">
        <v>82</v>
      </c>
      <c r="X2737" t="s">
        <v>94</v>
      </c>
      <c r="Y2737" t="s">
        <v>95</v>
      </c>
      <c r="Z2737" t="s">
        <v>96</v>
      </c>
      <c r="AA2737" t="s">
        <v>961</v>
      </c>
      <c r="AB2737" t="s">
        <v>3244</v>
      </c>
      <c r="AC2737">
        <v>240</v>
      </c>
      <c r="AD2737">
        <v>187</v>
      </c>
      <c r="AE2737">
        <v>98</v>
      </c>
      <c r="AF2737">
        <v>41.25</v>
      </c>
      <c r="AG2737">
        <v>8.9600000000000009</v>
      </c>
      <c r="AH2737">
        <v>6.08</v>
      </c>
      <c r="AI2737">
        <v>0.13</v>
      </c>
      <c r="AJ2737">
        <v>0.08</v>
      </c>
      <c r="AK2737">
        <v>87</v>
      </c>
      <c r="AL2737">
        <v>227</v>
      </c>
      <c r="AM2737">
        <v>165</v>
      </c>
      <c r="AN2737">
        <v>0.67</v>
      </c>
      <c r="AO2737">
        <v>-0.76</v>
      </c>
      <c r="AP2737">
        <v>338</v>
      </c>
      <c r="AQ2737">
        <v>3</v>
      </c>
      <c r="AR2737">
        <v>11.34</v>
      </c>
      <c r="AS2737">
        <v>82</v>
      </c>
      <c r="AT2737">
        <v>4.5599999999999996</v>
      </c>
      <c r="AU2737">
        <v>93</v>
      </c>
      <c r="AV2737">
        <v>-0.36</v>
      </c>
      <c r="AW2737">
        <v>97</v>
      </c>
      <c r="AX2737">
        <v>-0.11</v>
      </c>
      <c r="AY2737">
        <v>91</v>
      </c>
      <c r="AZ2737">
        <v>5.29</v>
      </c>
      <c r="BA2737">
        <v>79</v>
      </c>
      <c r="BB2737">
        <v>4.6100000000000003</v>
      </c>
      <c r="BC2737">
        <v>82</v>
      </c>
      <c r="BD2737">
        <v>-7.0000000000000007E-2</v>
      </c>
      <c r="BE2737">
        <v>-0.02</v>
      </c>
      <c r="BF2737">
        <v>-0.01</v>
      </c>
      <c r="BG2737">
        <v>95</v>
      </c>
      <c r="BH2737">
        <v>7.0000000000000007E-2</v>
      </c>
      <c r="BI2737">
        <v>16.02</v>
      </c>
      <c r="BJ2737">
        <v>53</v>
      </c>
      <c r="BK2737">
        <v>39</v>
      </c>
      <c r="BL2737">
        <v>0.37</v>
      </c>
      <c r="BM2737">
        <v>0.81</v>
      </c>
      <c r="BN2737">
        <v>0.65</v>
      </c>
      <c r="BO2737">
        <v>0.17</v>
      </c>
      <c r="BP2737">
        <v>-1.68</v>
      </c>
      <c r="BQ2737">
        <v>-2.42</v>
      </c>
      <c r="BR2737">
        <v>-2.74</v>
      </c>
      <c r="BS2737">
        <v>1.87</v>
      </c>
      <c r="BT2737">
        <v>2.59</v>
      </c>
      <c r="BU2737">
        <v>0.43</v>
      </c>
      <c r="BV2737">
        <v>0.78</v>
      </c>
      <c r="BW2737">
        <v>0.44</v>
      </c>
      <c r="BX2737">
        <v>0.76</v>
      </c>
      <c r="BY2737">
        <v>1.08</v>
      </c>
      <c r="BZ2737">
        <v>0.63</v>
      </c>
      <c r="CA2737">
        <v>1.87</v>
      </c>
      <c r="CB2737">
        <v>1.1100000000000001</v>
      </c>
      <c r="CC2737">
        <v>2.41</v>
      </c>
      <c r="CD2737">
        <v>-0.1</v>
      </c>
      <c r="CE2737">
        <v>0.06</v>
      </c>
      <c r="CF2737">
        <v>0.08</v>
      </c>
      <c r="CG2737">
        <v>0</v>
      </c>
      <c r="CH2737">
        <v>1.1399999999999999</v>
      </c>
      <c r="CI2737">
        <v>0</v>
      </c>
      <c r="CJ2737">
        <v>-0.3</v>
      </c>
      <c r="CK2737">
        <v>98</v>
      </c>
      <c r="CL2737">
        <v>-0.73</v>
      </c>
      <c r="CM2737">
        <v>97</v>
      </c>
      <c r="CN2737">
        <v>-0.37</v>
      </c>
      <c r="CO2737">
        <v>97</v>
      </c>
      <c r="CP2737">
        <v>-1.3</v>
      </c>
      <c r="CQ2737">
        <v>96</v>
      </c>
      <c r="CR2737">
        <v>0</v>
      </c>
      <c r="CS2737">
        <v>0</v>
      </c>
      <c r="CT2737">
        <v>8.4</v>
      </c>
      <c r="CU2737">
        <v>93</v>
      </c>
      <c r="CV2737">
        <v>0.16</v>
      </c>
      <c r="CW2737">
        <v>45</v>
      </c>
      <c r="CX2737" t="s">
        <v>105</v>
      </c>
    </row>
    <row r="2738" spans="1:102" x14ac:dyDescent="0.3">
      <c r="A2738" t="str">
        <f>HYPERLINK("https://webapp.icbf.com/v2/app/bull-search/view/388955476","SLN")</f>
        <v>SLN</v>
      </c>
      <c r="B2738" t="s">
        <v>4462</v>
      </c>
      <c r="C2738" t="s">
        <v>4463</v>
      </c>
      <c r="D2738" s="1">
        <v>37898</v>
      </c>
      <c r="E2738" t="s">
        <v>108</v>
      </c>
      <c r="F2738">
        <v>0</v>
      </c>
      <c r="G2738" t="s">
        <v>93</v>
      </c>
      <c r="H2738">
        <v>17.510000000000002</v>
      </c>
      <c r="I2738">
        <v>95</v>
      </c>
      <c r="J2738">
        <v>-34.299999999999997</v>
      </c>
      <c r="K2738">
        <v>99</v>
      </c>
      <c r="L2738">
        <v>45.4</v>
      </c>
      <c r="M2738">
        <v>90</v>
      </c>
      <c r="N2738">
        <v>2.34</v>
      </c>
      <c r="O2738">
        <v>96</v>
      </c>
      <c r="P2738">
        <v>-22.66</v>
      </c>
      <c r="Q2738">
        <v>99</v>
      </c>
      <c r="R2738">
        <v>1.47</v>
      </c>
      <c r="S2738">
        <v>91</v>
      </c>
      <c r="T2738">
        <v>29.37</v>
      </c>
      <c r="U2738">
        <v>96</v>
      </c>
      <c r="V2738">
        <v>-4.1100000000000003</v>
      </c>
      <c r="W2738">
        <v>93</v>
      </c>
      <c r="X2738" t="s">
        <v>102</v>
      </c>
      <c r="Y2738" t="s">
        <v>1153</v>
      </c>
      <c r="Z2738" t="s">
        <v>96</v>
      </c>
      <c r="AA2738" t="s">
        <v>4464</v>
      </c>
      <c r="AB2738" t="s">
        <v>4465</v>
      </c>
      <c r="AC2738">
        <v>373</v>
      </c>
      <c r="AD2738">
        <v>136</v>
      </c>
      <c r="AE2738">
        <v>99</v>
      </c>
      <c r="AF2738">
        <v>-213.58</v>
      </c>
      <c r="AG2738">
        <v>-7.44</v>
      </c>
      <c r="AH2738">
        <v>-6.47</v>
      </c>
      <c r="AI2738">
        <v>0.02</v>
      </c>
      <c r="AJ2738">
        <v>0.01</v>
      </c>
      <c r="AK2738">
        <v>90</v>
      </c>
      <c r="AL2738">
        <v>549</v>
      </c>
      <c r="AM2738">
        <v>206</v>
      </c>
      <c r="AN2738">
        <v>-2.5299999999999998</v>
      </c>
      <c r="AO2738">
        <v>1.0900000000000001</v>
      </c>
      <c r="AP2738">
        <v>812</v>
      </c>
      <c r="AQ2738">
        <v>6</v>
      </c>
      <c r="AR2738">
        <v>9.26</v>
      </c>
      <c r="AS2738">
        <v>90</v>
      </c>
      <c r="AT2738">
        <v>2.95</v>
      </c>
      <c r="AU2738">
        <v>96</v>
      </c>
      <c r="AV2738">
        <v>-1.5</v>
      </c>
      <c r="AW2738">
        <v>99</v>
      </c>
      <c r="AX2738">
        <v>-0.42</v>
      </c>
      <c r="AY2738">
        <v>96</v>
      </c>
      <c r="AZ2738">
        <v>8.93</v>
      </c>
      <c r="BA2738">
        <v>88</v>
      </c>
      <c r="BB2738">
        <v>5.69</v>
      </c>
      <c r="BC2738">
        <v>90</v>
      </c>
      <c r="BD2738">
        <v>0.02</v>
      </c>
      <c r="BE2738">
        <v>-0.03</v>
      </c>
      <c r="BF2738">
        <v>-0.01</v>
      </c>
      <c r="BG2738">
        <v>96</v>
      </c>
      <c r="BH2738">
        <v>-0.05</v>
      </c>
      <c r="BI2738">
        <v>7.49</v>
      </c>
      <c r="BJ2738">
        <v>47</v>
      </c>
      <c r="BK2738">
        <v>25</v>
      </c>
      <c r="BL2738">
        <v>-2.61</v>
      </c>
      <c r="BM2738">
        <v>0.51</v>
      </c>
      <c r="BN2738">
        <v>-3.06</v>
      </c>
      <c r="BO2738">
        <v>-2.6</v>
      </c>
      <c r="BP2738">
        <v>-1.07</v>
      </c>
      <c r="BQ2738">
        <v>0.4</v>
      </c>
      <c r="BR2738">
        <v>-0.77</v>
      </c>
      <c r="BS2738">
        <v>-1.49</v>
      </c>
      <c r="BT2738">
        <v>-0.46</v>
      </c>
      <c r="BU2738">
        <v>-3.5</v>
      </c>
      <c r="BV2738">
        <v>-3.88</v>
      </c>
      <c r="BW2738">
        <v>-2.0499999999999998</v>
      </c>
      <c r="BX2738">
        <v>-2.68</v>
      </c>
      <c r="BY2738">
        <v>-0.15</v>
      </c>
      <c r="BZ2738">
        <v>-1.28</v>
      </c>
      <c r="CA2738">
        <v>-3.15</v>
      </c>
      <c r="CB2738">
        <v>-3.08</v>
      </c>
      <c r="CC2738">
        <v>-2.27</v>
      </c>
      <c r="CD2738">
        <v>1.24</v>
      </c>
      <c r="CE2738">
        <v>-1.76</v>
      </c>
      <c r="CF2738">
        <v>-1.94</v>
      </c>
      <c r="CG2738">
        <v>0</v>
      </c>
      <c r="CH2738">
        <v>-0.28999999999999998</v>
      </c>
      <c r="CI2738">
        <v>0</v>
      </c>
      <c r="CJ2738">
        <v>-12.4</v>
      </c>
      <c r="CK2738">
        <v>99</v>
      </c>
      <c r="CL2738">
        <v>-0.36</v>
      </c>
      <c r="CM2738">
        <v>99</v>
      </c>
      <c r="CN2738">
        <v>-0.13</v>
      </c>
      <c r="CO2738">
        <v>99</v>
      </c>
      <c r="CP2738">
        <v>-22.4</v>
      </c>
      <c r="CQ2738">
        <v>98</v>
      </c>
      <c r="CR2738">
        <v>0</v>
      </c>
      <c r="CS2738">
        <v>0</v>
      </c>
      <c r="CT2738">
        <v>-25.9</v>
      </c>
      <c r="CU2738">
        <v>96</v>
      </c>
      <c r="CV2738">
        <v>-0.04</v>
      </c>
      <c r="CW2738">
        <v>46</v>
      </c>
      <c r="CX2738" t="s">
        <v>2821</v>
      </c>
    </row>
    <row r="2739" spans="1:102" x14ac:dyDescent="0.3">
      <c r="A2739" t="str">
        <f>HYPERLINK("https://webapp.icbf.com/v2/app/bull-search/view/77855365","MRG")</f>
        <v>MRG</v>
      </c>
      <c r="B2739" t="s">
        <v>8639</v>
      </c>
      <c r="C2739" t="s">
        <v>8640</v>
      </c>
      <c r="D2739" s="1">
        <v>35308</v>
      </c>
      <c r="E2739" t="s">
        <v>92</v>
      </c>
      <c r="F2739">
        <v>100</v>
      </c>
      <c r="G2739" t="s">
        <v>93</v>
      </c>
      <c r="H2739">
        <v>17.5</v>
      </c>
      <c r="I2739">
        <v>75</v>
      </c>
      <c r="J2739">
        <v>20.59</v>
      </c>
      <c r="K2739">
        <v>94</v>
      </c>
      <c r="L2739">
        <v>-28.11</v>
      </c>
      <c r="M2739">
        <v>62</v>
      </c>
      <c r="N2739">
        <v>21.32</v>
      </c>
      <c r="O2739">
        <v>65</v>
      </c>
      <c r="P2739">
        <v>4.46</v>
      </c>
      <c r="Q2739">
        <v>78</v>
      </c>
      <c r="R2739">
        <v>-13.14</v>
      </c>
      <c r="S2739">
        <v>67</v>
      </c>
      <c r="T2739">
        <v>6.94</v>
      </c>
      <c r="U2739">
        <v>79</v>
      </c>
      <c r="V2739">
        <v>5.44</v>
      </c>
      <c r="W2739">
        <v>39</v>
      </c>
      <c r="X2739" t="s">
        <v>558</v>
      </c>
      <c r="Y2739" t="s">
        <v>95</v>
      </c>
      <c r="Z2739" t="s">
        <v>96</v>
      </c>
      <c r="AA2739" t="s">
        <v>3915</v>
      </c>
      <c r="AB2739" t="s">
        <v>8641</v>
      </c>
      <c r="AC2739">
        <v>72</v>
      </c>
      <c r="AD2739">
        <v>60</v>
      </c>
      <c r="AE2739">
        <v>94</v>
      </c>
      <c r="AF2739">
        <v>-20.149999999999999</v>
      </c>
      <c r="AG2739">
        <v>6.51</v>
      </c>
      <c r="AH2739">
        <v>0.89</v>
      </c>
      <c r="AI2739">
        <v>0.12</v>
      </c>
      <c r="AJ2739">
        <v>0.03</v>
      </c>
      <c r="AK2739">
        <v>62</v>
      </c>
      <c r="AL2739">
        <v>67</v>
      </c>
      <c r="AM2739">
        <v>56</v>
      </c>
      <c r="AN2739">
        <v>0.91</v>
      </c>
      <c r="AO2739">
        <v>-1.34</v>
      </c>
      <c r="AP2739">
        <v>5</v>
      </c>
      <c r="AQ2739">
        <v>0</v>
      </c>
      <c r="AR2739">
        <v>4.3</v>
      </c>
      <c r="AS2739">
        <v>39</v>
      </c>
      <c r="AT2739">
        <v>2.04</v>
      </c>
      <c r="AU2739">
        <v>61</v>
      </c>
      <c r="AV2739">
        <v>-0.97</v>
      </c>
      <c r="AW2739">
        <v>74</v>
      </c>
      <c r="AX2739">
        <v>-0.84</v>
      </c>
      <c r="AY2739">
        <v>73</v>
      </c>
      <c r="AZ2739">
        <v>7.57</v>
      </c>
      <c r="BA2739">
        <v>40</v>
      </c>
      <c r="BB2739">
        <v>5.43</v>
      </c>
      <c r="BC2739">
        <v>57</v>
      </c>
      <c r="BD2739">
        <v>0.03</v>
      </c>
      <c r="BE2739">
        <v>0.08</v>
      </c>
      <c r="BF2739">
        <v>0.1</v>
      </c>
      <c r="BG2739">
        <v>81</v>
      </c>
      <c r="BH2739">
        <v>0.05</v>
      </c>
      <c r="BI2739">
        <v>-11.75</v>
      </c>
      <c r="BJ2739">
        <v>2</v>
      </c>
      <c r="BK2739">
        <v>2</v>
      </c>
      <c r="BL2739">
        <v>1.23</v>
      </c>
      <c r="BM2739">
        <v>0.62</v>
      </c>
      <c r="BN2739">
        <v>1.68</v>
      </c>
      <c r="BO2739">
        <v>0.9</v>
      </c>
      <c r="BP2739">
        <v>1.02</v>
      </c>
      <c r="BQ2739">
        <v>0.8</v>
      </c>
      <c r="BR2739">
        <v>0.81</v>
      </c>
      <c r="BS2739">
        <v>-0.72</v>
      </c>
      <c r="BT2739">
        <v>-0.66</v>
      </c>
      <c r="BU2739">
        <v>0.34</v>
      </c>
      <c r="BV2739">
        <v>0.16</v>
      </c>
      <c r="BW2739">
        <v>1.1299999999999999</v>
      </c>
      <c r="BX2739">
        <v>-0.14000000000000001</v>
      </c>
      <c r="BY2739">
        <v>-0.03</v>
      </c>
      <c r="BZ2739">
        <v>-1.58</v>
      </c>
      <c r="CA2739">
        <v>-0.12</v>
      </c>
      <c r="CB2739">
        <v>0.24</v>
      </c>
      <c r="CC2739">
        <v>-0.57999999999999996</v>
      </c>
      <c r="CD2739">
        <v>-0.45</v>
      </c>
      <c r="CE2739">
        <v>0.71</v>
      </c>
      <c r="CF2739">
        <v>0.77</v>
      </c>
      <c r="CG2739">
        <v>0</v>
      </c>
      <c r="CH2739">
        <v>-0.02</v>
      </c>
      <c r="CI2739">
        <v>0</v>
      </c>
      <c r="CJ2739">
        <v>6.4</v>
      </c>
      <c r="CK2739">
        <v>79</v>
      </c>
      <c r="CL2739">
        <v>-0.39</v>
      </c>
      <c r="CM2739">
        <v>75</v>
      </c>
      <c r="CN2739">
        <v>0.03</v>
      </c>
      <c r="CO2739">
        <v>71</v>
      </c>
      <c r="CP2739">
        <v>0</v>
      </c>
      <c r="CQ2739">
        <v>86</v>
      </c>
      <c r="CR2739">
        <v>0</v>
      </c>
      <c r="CS2739">
        <v>0</v>
      </c>
      <c r="CT2739">
        <v>4.4000000000000004</v>
      </c>
      <c r="CU2739">
        <v>79</v>
      </c>
      <c r="CV2739">
        <v>0.26</v>
      </c>
      <c r="CW2739">
        <v>22</v>
      </c>
      <c r="CX2739" t="s">
        <v>193</v>
      </c>
    </row>
    <row r="2740" spans="1:102" x14ac:dyDescent="0.3">
      <c r="A2740" t="str">
        <f>HYPERLINK("https://webapp.icbf.com/v2/app/bull-search/view/474732572","OSD")</f>
        <v>OSD</v>
      </c>
      <c r="B2740" t="s">
        <v>1381</v>
      </c>
      <c r="C2740" t="s">
        <v>1382</v>
      </c>
      <c r="D2740" s="1">
        <v>37248</v>
      </c>
      <c r="E2740" t="s">
        <v>92</v>
      </c>
      <c r="F2740">
        <v>100</v>
      </c>
      <c r="G2740" t="s">
        <v>93</v>
      </c>
      <c r="H2740">
        <v>17.45</v>
      </c>
      <c r="I2740">
        <v>94</v>
      </c>
      <c r="J2740">
        <v>15.52</v>
      </c>
      <c r="K2740">
        <v>99</v>
      </c>
      <c r="L2740">
        <v>-19.29</v>
      </c>
      <c r="M2740">
        <v>92</v>
      </c>
      <c r="N2740">
        <v>14.95</v>
      </c>
      <c r="O2740">
        <v>93</v>
      </c>
      <c r="P2740">
        <v>6.22</v>
      </c>
      <c r="Q2740">
        <v>96</v>
      </c>
      <c r="R2740">
        <v>-0.68</v>
      </c>
      <c r="S2740">
        <v>89</v>
      </c>
      <c r="T2740">
        <v>-2.31</v>
      </c>
      <c r="U2740">
        <v>92</v>
      </c>
      <c r="V2740">
        <v>3.04</v>
      </c>
      <c r="W2740">
        <v>88</v>
      </c>
      <c r="X2740" t="s">
        <v>251</v>
      </c>
      <c r="Y2740" t="s">
        <v>270</v>
      </c>
      <c r="Z2740" t="s">
        <v>96</v>
      </c>
      <c r="AA2740" t="s">
        <v>838</v>
      </c>
      <c r="AB2740" t="s">
        <v>1383</v>
      </c>
      <c r="AC2740">
        <v>349</v>
      </c>
      <c r="AD2740">
        <v>128</v>
      </c>
      <c r="AE2740">
        <v>99</v>
      </c>
      <c r="AF2740">
        <v>199.27</v>
      </c>
      <c r="AG2740">
        <v>5.68</v>
      </c>
      <c r="AH2740">
        <v>3.68</v>
      </c>
      <c r="AI2740">
        <v>-0.04</v>
      </c>
      <c r="AJ2740">
        <v>-0.05</v>
      </c>
      <c r="AK2740">
        <v>92</v>
      </c>
      <c r="AL2740">
        <v>341</v>
      </c>
      <c r="AM2740">
        <v>141</v>
      </c>
      <c r="AN2740">
        <v>1.73</v>
      </c>
      <c r="AO2740">
        <v>0.2</v>
      </c>
      <c r="AP2740">
        <v>519</v>
      </c>
      <c r="AQ2740">
        <v>1</v>
      </c>
      <c r="AR2740">
        <v>8.83</v>
      </c>
      <c r="AS2740">
        <v>94</v>
      </c>
      <c r="AT2740">
        <v>4.03</v>
      </c>
      <c r="AU2740">
        <v>92</v>
      </c>
      <c r="AV2740">
        <v>-2.87</v>
      </c>
      <c r="AW2740">
        <v>98</v>
      </c>
      <c r="AX2740">
        <v>-0.3</v>
      </c>
      <c r="AY2740">
        <v>92</v>
      </c>
      <c r="AZ2740">
        <v>5.44</v>
      </c>
      <c r="BA2740">
        <v>83</v>
      </c>
      <c r="BB2740">
        <v>4.55</v>
      </c>
      <c r="BC2740">
        <v>83</v>
      </c>
      <c r="BD2740">
        <v>-0.02</v>
      </c>
      <c r="BE2740">
        <v>0.01</v>
      </c>
      <c r="BF2740">
        <v>0.03</v>
      </c>
      <c r="BG2740">
        <v>95</v>
      </c>
      <c r="BH2740">
        <v>-0.02</v>
      </c>
      <c r="BI2740">
        <v>-12.11</v>
      </c>
      <c r="BJ2740">
        <v>72</v>
      </c>
      <c r="BK2740">
        <v>39</v>
      </c>
      <c r="BL2740">
        <v>1.47</v>
      </c>
      <c r="BM2740">
        <v>0.4</v>
      </c>
      <c r="BN2740">
        <v>1.24</v>
      </c>
      <c r="BO2740">
        <v>0.56999999999999995</v>
      </c>
      <c r="BP2740">
        <v>3.21</v>
      </c>
      <c r="BQ2740">
        <v>1.47</v>
      </c>
      <c r="BR2740">
        <v>-0.33</v>
      </c>
      <c r="BS2740">
        <v>0.21</v>
      </c>
      <c r="BT2740">
        <v>1.34</v>
      </c>
      <c r="BU2740">
        <v>2.5299999999999998</v>
      </c>
      <c r="BV2740">
        <v>1.21</v>
      </c>
      <c r="BW2740">
        <v>1.32</v>
      </c>
      <c r="BX2740">
        <v>2.64</v>
      </c>
      <c r="BY2740">
        <v>1.18</v>
      </c>
      <c r="BZ2740">
        <v>0.31</v>
      </c>
      <c r="CA2740">
        <v>1.39</v>
      </c>
      <c r="CB2740">
        <v>1.31</v>
      </c>
      <c r="CC2740">
        <v>1.2</v>
      </c>
      <c r="CD2740">
        <v>0.23</v>
      </c>
      <c r="CE2740">
        <v>0.59</v>
      </c>
      <c r="CF2740">
        <v>1.33</v>
      </c>
      <c r="CG2740">
        <v>0</v>
      </c>
      <c r="CH2740">
        <v>1.27</v>
      </c>
      <c r="CI2740">
        <v>0</v>
      </c>
      <c r="CJ2740">
        <v>8</v>
      </c>
      <c r="CK2740">
        <v>97</v>
      </c>
      <c r="CL2740">
        <v>-0.84</v>
      </c>
      <c r="CM2740">
        <v>96</v>
      </c>
      <c r="CN2740">
        <v>-0.23</v>
      </c>
      <c r="CO2740">
        <v>95</v>
      </c>
      <c r="CP2740">
        <v>7.7</v>
      </c>
      <c r="CQ2740">
        <v>96</v>
      </c>
      <c r="CR2740">
        <v>0</v>
      </c>
      <c r="CS2740">
        <v>0</v>
      </c>
      <c r="CT2740">
        <v>16.899999999999999</v>
      </c>
      <c r="CU2740">
        <v>92</v>
      </c>
      <c r="CV2740">
        <v>0.32</v>
      </c>
      <c r="CW2740">
        <v>45</v>
      </c>
      <c r="CX2740" t="s">
        <v>1384</v>
      </c>
    </row>
    <row r="2741" spans="1:102" x14ac:dyDescent="0.3">
      <c r="A2741" t="str">
        <f>HYPERLINK("https://webapp.icbf.com/v2/app/bull-search/view/77852983","WEE")</f>
        <v>WEE</v>
      </c>
      <c r="B2741" t="s">
        <v>605</v>
      </c>
      <c r="C2741" t="s">
        <v>606</v>
      </c>
      <c r="D2741" s="1">
        <v>32495</v>
      </c>
      <c r="E2741" t="s">
        <v>108</v>
      </c>
      <c r="F2741">
        <v>25</v>
      </c>
      <c r="G2741" t="s">
        <v>116</v>
      </c>
      <c r="H2741">
        <v>17.41</v>
      </c>
      <c r="I2741">
        <v>49</v>
      </c>
      <c r="J2741">
        <v>-9.17</v>
      </c>
      <c r="K2741">
        <v>54</v>
      </c>
      <c r="L2741">
        <v>46.26</v>
      </c>
      <c r="M2741">
        <v>53</v>
      </c>
      <c r="N2741">
        <v>-14.81</v>
      </c>
      <c r="O2741">
        <v>34</v>
      </c>
      <c r="P2741">
        <v>-23.18</v>
      </c>
      <c r="Q2741">
        <v>47</v>
      </c>
      <c r="R2741">
        <v>2.64</v>
      </c>
      <c r="S2741">
        <v>55</v>
      </c>
      <c r="T2741">
        <v>20.190000000000001</v>
      </c>
      <c r="U2741">
        <v>41</v>
      </c>
      <c r="V2741">
        <v>-4.5199999999999996</v>
      </c>
      <c r="W2741">
        <v>22</v>
      </c>
      <c r="X2741" t="s">
        <v>94</v>
      </c>
      <c r="Y2741" t="s">
        <v>95</v>
      </c>
      <c r="Z2741" t="s">
        <v>96</v>
      </c>
      <c r="AA2741" t="s">
        <v>607</v>
      </c>
      <c r="AB2741" t="s">
        <v>608</v>
      </c>
      <c r="AC2741">
        <v>9</v>
      </c>
      <c r="AD2741">
        <v>8</v>
      </c>
      <c r="AE2741">
        <v>54</v>
      </c>
      <c r="AF2741">
        <v>-288.12</v>
      </c>
      <c r="AG2741">
        <v>-1.58</v>
      </c>
      <c r="AH2741">
        <v>-5.41</v>
      </c>
      <c r="AI2741">
        <v>0.17</v>
      </c>
      <c r="AJ2741">
        <v>0.08</v>
      </c>
      <c r="AK2741">
        <v>53</v>
      </c>
      <c r="AL2741">
        <v>50</v>
      </c>
      <c r="AM2741">
        <v>40</v>
      </c>
      <c r="AN2741">
        <v>-2.48</v>
      </c>
      <c r="AO2741">
        <v>1.21</v>
      </c>
      <c r="AP2741">
        <v>1</v>
      </c>
      <c r="AQ2741">
        <v>0</v>
      </c>
      <c r="AR2741">
        <v>10.27</v>
      </c>
      <c r="AS2741">
        <v>23</v>
      </c>
      <c r="AT2741">
        <v>3.87</v>
      </c>
      <c r="AU2741">
        <v>30</v>
      </c>
      <c r="AV2741">
        <v>-0.34</v>
      </c>
      <c r="AW2741">
        <v>38</v>
      </c>
      <c r="AX2741">
        <v>0.31</v>
      </c>
      <c r="AY2741">
        <v>45</v>
      </c>
      <c r="AZ2741">
        <v>6.82</v>
      </c>
      <c r="BA2741">
        <v>21</v>
      </c>
      <c r="BB2741">
        <v>5.21</v>
      </c>
      <c r="BC2741">
        <v>29</v>
      </c>
      <c r="BD2741">
        <v>0.02</v>
      </c>
      <c r="BE2741">
        <v>0.04</v>
      </c>
      <c r="BF2741">
        <v>-0.17</v>
      </c>
      <c r="BG2741">
        <v>76</v>
      </c>
      <c r="BH2741">
        <v>-0.11</v>
      </c>
      <c r="BI2741">
        <v>1.86</v>
      </c>
      <c r="BJ2741">
        <v>5</v>
      </c>
      <c r="BK2741">
        <v>5</v>
      </c>
      <c r="BL2741">
        <v>-2.9</v>
      </c>
      <c r="BM2741">
        <v>-0.18</v>
      </c>
      <c r="BN2741">
        <v>-2.2200000000000002</v>
      </c>
      <c r="BO2741">
        <v>-1.89</v>
      </c>
      <c r="BP2741">
        <v>0.47</v>
      </c>
      <c r="BQ2741">
        <v>-0.97</v>
      </c>
      <c r="BR2741">
        <v>-1.1000000000000001</v>
      </c>
      <c r="BS2741">
        <v>0.37</v>
      </c>
      <c r="BT2741">
        <v>0.87</v>
      </c>
      <c r="BU2741">
        <v>-0.98</v>
      </c>
      <c r="BV2741">
        <v>-1.03</v>
      </c>
      <c r="BW2741">
        <v>-0.89</v>
      </c>
      <c r="BX2741">
        <v>-1.1100000000000001</v>
      </c>
      <c r="BY2741">
        <v>-0.67</v>
      </c>
      <c r="BZ2741">
        <v>-0.06</v>
      </c>
      <c r="CA2741">
        <v>-0.94</v>
      </c>
      <c r="CB2741">
        <v>-1.1100000000000001</v>
      </c>
      <c r="CC2741">
        <v>-0.27</v>
      </c>
      <c r="CD2741">
        <v>1.5</v>
      </c>
      <c r="CE2741">
        <v>-1.82</v>
      </c>
      <c r="CF2741">
        <v>-3.06</v>
      </c>
      <c r="CG2741">
        <v>0</v>
      </c>
      <c r="CH2741">
        <v>-0.53</v>
      </c>
      <c r="CI2741">
        <v>0</v>
      </c>
      <c r="CJ2741">
        <v>-12.6</v>
      </c>
      <c r="CK2741">
        <v>48</v>
      </c>
      <c r="CL2741">
        <v>-0.25</v>
      </c>
      <c r="CM2741">
        <v>45</v>
      </c>
      <c r="CN2741">
        <v>0.06</v>
      </c>
      <c r="CO2741">
        <v>40</v>
      </c>
      <c r="CP2741">
        <v>-16.7</v>
      </c>
      <c r="CQ2741">
        <v>55</v>
      </c>
      <c r="CR2741">
        <v>0</v>
      </c>
      <c r="CS2741">
        <v>0</v>
      </c>
      <c r="CT2741">
        <v>-13.5</v>
      </c>
      <c r="CU2741">
        <v>41</v>
      </c>
      <c r="CV2741">
        <v>-0.13</v>
      </c>
      <c r="CW2741">
        <v>12</v>
      </c>
      <c r="CX2741" t="s">
        <v>609</v>
      </c>
    </row>
    <row r="2742" spans="1:102" x14ac:dyDescent="0.3">
      <c r="A2742" t="str">
        <f>HYPERLINK("https://webapp.icbf.com/v2/app/bull-search/view/910815196","S1550")</f>
        <v>S1550</v>
      </c>
      <c r="B2742" t="s">
        <v>7179</v>
      </c>
      <c r="C2742" t="s">
        <v>7180</v>
      </c>
      <c r="D2742" s="1">
        <v>39363</v>
      </c>
      <c r="E2742" t="s">
        <v>1061</v>
      </c>
      <c r="F2742">
        <v>0</v>
      </c>
      <c r="G2742" t="s">
        <v>109</v>
      </c>
      <c r="H2742">
        <v>17.38</v>
      </c>
      <c r="I2742">
        <v>76</v>
      </c>
      <c r="J2742">
        <v>-0.62</v>
      </c>
      <c r="K2742">
        <v>89</v>
      </c>
      <c r="L2742">
        <v>15.23</v>
      </c>
      <c r="M2742">
        <v>83</v>
      </c>
      <c r="N2742">
        <v>-7.58</v>
      </c>
      <c r="O2742">
        <v>72</v>
      </c>
      <c r="P2742">
        <v>-18.38</v>
      </c>
      <c r="Q2742">
        <v>65</v>
      </c>
      <c r="R2742">
        <v>7.61</v>
      </c>
      <c r="S2742">
        <v>45</v>
      </c>
      <c r="T2742">
        <v>23.22</v>
      </c>
      <c r="U2742">
        <v>43</v>
      </c>
      <c r="V2742">
        <v>-2.1</v>
      </c>
      <c r="W2742">
        <v>41</v>
      </c>
      <c r="X2742" t="s">
        <v>94</v>
      </c>
      <c r="Y2742" t="s">
        <v>362</v>
      </c>
      <c r="Z2742">
        <v>0</v>
      </c>
      <c r="AA2742" t="s">
        <v>7181</v>
      </c>
      <c r="AB2742" t="s">
        <v>7182</v>
      </c>
      <c r="AC2742">
        <v>0</v>
      </c>
      <c r="AD2742">
        <v>0</v>
      </c>
      <c r="AE2742">
        <v>89</v>
      </c>
      <c r="AF2742">
        <v>-54.92</v>
      </c>
      <c r="AG2742">
        <v>0.35</v>
      </c>
      <c r="AH2742">
        <v>-1.07</v>
      </c>
      <c r="AI2742">
        <v>0.04</v>
      </c>
      <c r="AJ2742">
        <v>0.01</v>
      </c>
      <c r="AK2742">
        <v>83</v>
      </c>
      <c r="AL2742">
        <v>0</v>
      </c>
      <c r="AM2742">
        <v>0</v>
      </c>
      <c r="AN2742">
        <v>1.1599999999999999</v>
      </c>
      <c r="AO2742">
        <v>2.4</v>
      </c>
      <c r="AP2742">
        <v>79</v>
      </c>
      <c r="AQ2742">
        <v>1</v>
      </c>
      <c r="AR2742">
        <v>8.8699999999999992</v>
      </c>
      <c r="AS2742">
        <v>58</v>
      </c>
      <c r="AT2742">
        <v>3.46</v>
      </c>
      <c r="AU2742">
        <v>88</v>
      </c>
      <c r="AV2742">
        <v>-0.32</v>
      </c>
      <c r="AW2742">
        <v>85</v>
      </c>
      <c r="AX2742">
        <v>-0.54</v>
      </c>
      <c r="AY2742">
        <v>61</v>
      </c>
      <c r="AZ2742">
        <v>7.32</v>
      </c>
      <c r="BA2742">
        <v>34</v>
      </c>
      <c r="BB2742">
        <v>5.69</v>
      </c>
      <c r="BC2742">
        <v>29</v>
      </c>
      <c r="BD2742">
        <v>-0.03</v>
      </c>
      <c r="BE2742">
        <v>-0.05</v>
      </c>
      <c r="BF2742">
        <v>-0.03</v>
      </c>
      <c r="BG2742">
        <v>53</v>
      </c>
      <c r="BH2742">
        <v>0</v>
      </c>
      <c r="BI2742">
        <v>6.79</v>
      </c>
      <c r="BJ2742">
        <v>0</v>
      </c>
      <c r="BK2742">
        <v>0</v>
      </c>
      <c r="BL2742">
        <v>0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-5.2</v>
      </c>
      <c r="CK2742">
        <v>69</v>
      </c>
      <c r="CL2742">
        <v>-0.82</v>
      </c>
      <c r="CM2742">
        <v>63</v>
      </c>
      <c r="CN2742">
        <v>7.0000000000000007E-2</v>
      </c>
      <c r="CO2742">
        <v>61</v>
      </c>
      <c r="CP2742">
        <v>-12.8</v>
      </c>
      <c r="CQ2742">
        <v>51</v>
      </c>
      <c r="CR2742">
        <v>0</v>
      </c>
      <c r="CS2742">
        <v>0</v>
      </c>
      <c r="CT2742">
        <v>-17.600000000000001</v>
      </c>
      <c r="CU2742">
        <v>43</v>
      </c>
      <c r="CV2742">
        <v>0.05</v>
      </c>
      <c r="CW2742">
        <v>39</v>
      </c>
      <c r="CX2742" t="s">
        <v>1983</v>
      </c>
    </row>
    <row r="2743" spans="1:102" x14ac:dyDescent="0.3">
      <c r="A2743" t="str">
        <f>HYPERLINK("https://webapp.icbf.com/v2/app/bull-search/view/391630998","MCU")</f>
        <v>MCU</v>
      </c>
      <c r="B2743" t="s">
        <v>1159</v>
      </c>
      <c r="C2743" t="s">
        <v>1160</v>
      </c>
      <c r="D2743" s="1">
        <v>36741</v>
      </c>
      <c r="E2743" t="s">
        <v>108</v>
      </c>
      <c r="F2743">
        <v>44</v>
      </c>
      <c r="G2743" t="s">
        <v>93</v>
      </c>
      <c r="H2743">
        <v>17.28</v>
      </c>
      <c r="I2743">
        <v>89</v>
      </c>
      <c r="J2743">
        <v>50.72</v>
      </c>
      <c r="K2743">
        <v>95</v>
      </c>
      <c r="L2743">
        <v>-53.79</v>
      </c>
      <c r="M2743">
        <v>85</v>
      </c>
      <c r="N2743">
        <v>25.83</v>
      </c>
      <c r="O2743">
        <v>83</v>
      </c>
      <c r="P2743">
        <v>-33.67</v>
      </c>
      <c r="Q2743">
        <v>92</v>
      </c>
      <c r="R2743">
        <v>-5.29</v>
      </c>
      <c r="S2743">
        <v>80</v>
      </c>
      <c r="T2743">
        <v>34.03</v>
      </c>
      <c r="U2743">
        <v>88</v>
      </c>
      <c r="V2743">
        <v>-0.55000000000000004</v>
      </c>
      <c r="W2743">
        <v>80</v>
      </c>
      <c r="X2743" t="s">
        <v>302</v>
      </c>
      <c r="Y2743" t="s">
        <v>95</v>
      </c>
      <c r="Z2743" t="s">
        <v>330</v>
      </c>
      <c r="AA2743" t="s">
        <v>792</v>
      </c>
      <c r="AB2743" t="s">
        <v>144</v>
      </c>
      <c r="AC2743">
        <v>67</v>
      </c>
      <c r="AD2743">
        <v>33</v>
      </c>
      <c r="AE2743">
        <v>95</v>
      </c>
      <c r="AF2743">
        <v>173.41</v>
      </c>
      <c r="AG2743">
        <v>6.73</v>
      </c>
      <c r="AH2743">
        <v>8.9</v>
      </c>
      <c r="AI2743">
        <v>0</v>
      </c>
      <c r="AJ2743">
        <v>0.05</v>
      </c>
      <c r="AK2743">
        <v>85</v>
      </c>
      <c r="AL2743">
        <v>90</v>
      </c>
      <c r="AM2743">
        <v>48</v>
      </c>
      <c r="AN2743">
        <v>2.93</v>
      </c>
      <c r="AO2743">
        <v>-1.36</v>
      </c>
      <c r="AP2743">
        <v>131</v>
      </c>
      <c r="AQ2743">
        <v>1</v>
      </c>
      <c r="AR2743">
        <v>5.05</v>
      </c>
      <c r="AS2743">
        <v>65</v>
      </c>
      <c r="AT2743">
        <v>1.99</v>
      </c>
      <c r="AU2743">
        <v>85</v>
      </c>
      <c r="AV2743">
        <v>-2.0499999999999998</v>
      </c>
      <c r="AW2743">
        <v>94</v>
      </c>
      <c r="AX2743">
        <v>-1.03</v>
      </c>
      <c r="AY2743">
        <v>80</v>
      </c>
      <c r="AZ2743">
        <v>8.52</v>
      </c>
      <c r="BA2743">
        <v>61</v>
      </c>
      <c r="BB2743">
        <v>5.77</v>
      </c>
      <c r="BC2743">
        <v>66</v>
      </c>
      <c r="BD2743">
        <v>-0.02</v>
      </c>
      <c r="BE2743">
        <v>0.05</v>
      </c>
      <c r="BF2743">
        <v>0.06</v>
      </c>
      <c r="BG2743">
        <v>89</v>
      </c>
      <c r="BH2743">
        <v>0.03</v>
      </c>
      <c r="BI2743">
        <v>5.24</v>
      </c>
      <c r="BJ2743">
        <v>0</v>
      </c>
      <c r="BK2743">
        <v>0</v>
      </c>
      <c r="BL2743">
        <v>-1.91</v>
      </c>
      <c r="BM2743">
        <v>-0.36</v>
      </c>
      <c r="BN2743">
        <v>-0.45</v>
      </c>
      <c r="BO2743">
        <v>-0.28000000000000003</v>
      </c>
      <c r="BP2743">
        <v>-0.6</v>
      </c>
      <c r="BQ2743">
        <v>-1.8</v>
      </c>
      <c r="BR2743">
        <v>1.48</v>
      </c>
      <c r="BS2743">
        <v>-0.87</v>
      </c>
      <c r="BT2743">
        <v>-2.0499999999999998</v>
      </c>
      <c r="BU2743">
        <v>-1.05</v>
      </c>
      <c r="BV2743">
        <v>0.1</v>
      </c>
      <c r="BW2743">
        <v>-0.55000000000000004</v>
      </c>
      <c r="BX2743">
        <v>-2.76</v>
      </c>
      <c r="BY2743">
        <v>-1.97</v>
      </c>
      <c r="BZ2743">
        <v>0.34</v>
      </c>
      <c r="CA2743">
        <v>-1.1100000000000001</v>
      </c>
      <c r="CB2743">
        <v>-0.62</v>
      </c>
      <c r="CC2743">
        <v>-1.48</v>
      </c>
      <c r="CD2743">
        <v>-0.41</v>
      </c>
      <c r="CE2743">
        <v>-0.44</v>
      </c>
      <c r="CF2743">
        <v>-1.32</v>
      </c>
      <c r="CG2743">
        <v>0</v>
      </c>
      <c r="CH2743">
        <v>-2.2400000000000002</v>
      </c>
      <c r="CI2743">
        <v>0</v>
      </c>
      <c r="CJ2743">
        <v>-15.7</v>
      </c>
      <c r="CK2743">
        <v>93</v>
      </c>
      <c r="CL2743">
        <v>-0.7</v>
      </c>
      <c r="CM2743">
        <v>92</v>
      </c>
      <c r="CN2743">
        <v>0.08</v>
      </c>
      <c r="CO2743">
        <v>91</v>
      </c>
      <c r="CP2743">
        <v>-25.6</v>
      </c>
      <c r="CQ2743">
        <v>89</v>
      </c>
      <c r="CR2743">
        <v>0</v>
      </c>
      <c r="CS2743">
        <v>0</v>
      </c>
      <c r="CT2743">
        <v>-32.200000000000003</v>
      </c>
      <c r="CU2743">
        <v>88</v>
      </c>
      <c r="CV2743">
        <v>0.01</v>
      </c>
      <c r="CW2743">
        <v>45</v>
      </c>
      <c r="CX2743" t="s">
        <v>1161</v>
      </c>
    </row>
    <row r="2744" spans="1:102" x14ac:dyDescent="0.3">
      <c r="A2744" t="str">
        <f>HYPERLINK("https://webapp.icbf.com/v2/app/bull-search/view/321049185","CAQ")</f>
        <v>CAQ</v>
      </c>
      <c r="B2744" t="s">
        <v>1070</v>
      </c>
      <c r="C2744" t="s">
        <v>1071</v>
      </c>
      <c r="D2744" s="1">
        <v>36011</v>
      </c>
      <c r="E2744" t="s">
        <v>227</v>
      </c>
      <c r="F2744">
        <v>0</v>
      </c>
      <c r="G2744" t="s">
        <v>93</v>
      </c>
      <c r="H2744">
        <v>17.16</v>
      </c>
      <c r="I2744">
        <v>93</v>
      </c>
      <c r="J2744">
        <v>31.69</v>
      </c>
      <c r="K2744">
        <v>98</v>
      </c>
      <c r="L2744">
        <v>-47.11</v>
      </c>
      <c r="M2744">
        <v>90</v>
      </c>
      <c r="N2744">
        <v>27.04</v>
      </c>
      <c r="O2744">
        <v>88</v>
      </c>
      <c r="P2744">
        <v>-66.650000000000006</v>
      </c>
      <c r="Q2744">
        <v>93</v>
      </c>
      <c r="R2744">
        <v>1.3</v>
      </c>
      <c r="S2744">
        <v>88</v>
      </c>
      <c r="T2744">
        <v>69.03</v>
      </c>
      <c r="U2744">
        <v>93</v>
      </c>
      <c r="V2744">
        <v>1.86</v>
      </c>
      <c r="W2744">
        <v>88</v>
      </c>
      <c r="X2744" t="s">
        <v>302</v>
      </c>
      <c r="Y2744" t="s">
        <v>95</v>
      </c>
      <c r="Z2744">
        <v>0</v>
      </c>
      <c r="AA2744" t="s">
        <v>1072</v>
      </c>
      <c r="AB2744" t="s">
        <v>1073</v>
      </c>
      <c r="AC2744">
        <v>145</v>
      </c>
      <c r="AD2744">
        <v>51</v>
      </c>
      <c r="AE2744">
        <v>98</v>
      </c>
      <c r="AF2744">
        <v>-390.73</v>
      </c>
      <c r="AG2744">
        <v>9.7799999999999994</v>
      </c>
      <c r="AH2744">
        <v>-4.05</v>
      </c>
      <c r="AI2744">
        <v>0.47</v>
      </c>
      <c r="AJ2744">
        <v>0.17</v>
      </c>
      <c r="AK2744">
        <v>90</v>
      </c>
      <c r="AL2744">
        <v>148</v>
      </c>
      <c r="AM2744">
        <v>46</v>
      </c>
      <c r="AN2744">
        <v>2.3199999999999998</v>
      </c>
      <c r="AO2744">
        <v>-1.44</v>
      </c>
      <c r="AP2744">
        <v>194</v>
      </c>
      <c r="AQ2744">
        <v>0</v>
      </c>
      <c r="AR2744">
        <v>1.68</v>
      </c>
      <c r="AS2744">
        <v>87</v>
      </c>
      <c r="AT2744">
        <v>0.93</v>
      </c>
      <c r="AU2744">
        <v>86</v>
      </c>
      <c r="AV2744">
        <v>-1.3</v>
      </c>
      <c r="AW2744">
        <v>96</v>
      </c>
      <c r="AX2744">
        <v>-0.56999999999999995</v>
      </c>
      <c r="AY2744">
        <v>86</v>
      </c>
      <c r="AZ2744">
        <v>8.68</v>
      </c>
      <c r="BA2744">
        <v>74</v>
      </c>
      <c r="BB2744">
        <v>6.05</v>
      </c>
      <c r="BC2744">
        <v>76</v>
      </c>
      <c r="BD2744">
        <v>-0.03</v>
      </c>
      <c r="BE2744">
        <v>0</v>
      </c>
      <c r="BF2744">
        <v>0.02</v>
      </c>
      <c r="BG2744">
        <v>93</v>
      </c>
      <c r="BH2744">
        <v>0.14000000000000001</v>
      </c>
      <c r="BI2744">
        <v>10.210000000000001</v>
      </c>
      <c r="BJ2744">
        <v>2</v>
      </c>
      <c r="BK2744">
        <v>2</v>
      </c>
      <c r="BL2744">
        <v>-3.24</v>
      </c>
      <c r="BM2744">
        <v>-2.25</v>
      </c>
      <c r="BN2744">
        <v>-0.81</v>
      </c>
      <c r="BO2744">
        <v>0.93</v>
      </c>
      <c r="BP2744">
        <v>-0.93</v>
      </c>
      <c r="BQ2744">
        <v>-6.32</v>
      </c>
      <c r="BR2744">
        <v>2.86</v>
      </c>
      <c r="BS2744">
        <v>6.69</v>
      </c>
      <c r="BT2744">
        <v>-1.53</v>
      </c>
      <c r="BU2744">
        <v>-0.83</v>
      </c>
      <c r="BV2744">
        <v>-0.01</v>
      </c>
      <c r="BW2744">
        <v>-1.98</v>
      </c>
      <c r="BX2744">
        <v>-4.3600000000000003</v>
      </c>
      <c r="BY2744">
        <v>0.25</v>
      </c>
      <c r="BZ2744">
        <v>-2.31</v>
      </c>
      <c r="CA2744">
        <v>1.89</v>
      </c>
      <c r="CB2744">
        <v>0.48</v>
      </c>
      <c r="CC2744">
        <v>3.99</v>
      </c>
      <c r="CD2744">
        <v>-2.25</v>
      </c>
      <c r="CE2744">
        <v>0.6</v>
      </c>
      <c r="CF2744">
        <v>-2.83</v>
      </c>
      <c r="CG2744">
        <v>0</v>
      </c>
      <c r="CH2744">
        <v>-0.66</v>
      </c>
      <c r="CI2744">
        <v>0</v>
      </c>
      <c r="CJ2744">
        <v>-34.299999999999997</v>
      </c>
      <c r="CK2744">
        <v>94</v>
      </c>
      <c r="CL2744">
        <v>-1.1599999999999999</v>
      </c>
      <c r="CM2744">
        <v>92</v>
      </c>
      <c r="CN2744">
        <v>-0.1</v>
      </c>
      <c r="CO2744">
        <v>91</v>
      </c>
      <c r="CP2744">
        <v>-56.8</v>
      </c>
      <c r="CQ2744">
        <v>93</v>
      </c>
      <c r="CR2744">
        <v>0</v>
      </c>
      <c r="CS2744">
        <v>0</v>
      </c>
      <c r="CT2744">
        <v>-79.5</v>
      </c>
      <c r="CU2744">
        <v>93</v>
      </c>
      <c r="CV2744">
        <v>-0.28999999999999998</v>
      </c>
      <c r="CW2744">
        <v>45</v>
      </c>
      <c r="CX2744" t="s">
        <v>1074</v>
      </c>
    </row>
    <row r="2745" spans="1:102" x14ac:dyDescent="0.3">
      <c r="A2745" t="str">
        <f>HYPERLINK("https://webapp.icbf.com/v2/app/bull-search/view/108368007","LAX")</f>
        <v>LAX</v>
      </c>
      <c r="B2745" t="s">
        <v>10952</v>
      </c>
      <c r="C2745" t="s">
        <v>10953</v>
      </c>
      <c r="D2745" s="1">
        <v>34971</v>
      </c>
      <c r="E2745" t="s">
        <v>140</v>
      </c>
      <c r="F2745">
        <v>0</v>
      </c>
      <c r="G2745" t="s">
        <v>93</v>
      </c>
      <c r="H2745">
        <v>17.13</v>
      </c>
      <c r="I2745">
        <v>88</v>
      </c>
      <c r="J2745">
        <v>14.14</v>
      </c>
      <c r="K2745">
        <v>97</v>
      </c>
      <c r="L2745">
        <v>18.82</v>
      </c>
      <c r="M2745">
        <v>78</v>
      </c>
      <c r="N2745">
        <v>-25.82</v>
      </c>
      <c r="O2745">
        <v>89</v>
      </c>
      <c r="P2745">
        <v>18.37</v>
      </c>
      <c r="Q2745">
        <v>96</v>
      </c>
      <c r="R2745">
        <v>5.13</v>
      </c>
      <c r="S2745">
        <v>82</v>
      </c>
      <c r="T2745">
        <v>0.8</v>
      </c>
      <c r="U2745">
        <v>94</v>
      </c>
      <c r="V2745">
        <v>-14.31</v>
      </c>
      <c r="W2745">
        <v>82</v>
      </c>
      <c r="X2745" t="s">
        <v>276</v>
      </c>
      <c r="Y2745" t="s">
        <v>95</v>
      </c>
      <c r="Z2745">
        <v>0</v>
      </c>
      <c r="AA2745" t="s">
        <v>1177</v>
      </c>
      <c r="AB2745" t="s">
        <v>10954</v>
      </c>
      <c r="AC2745">
        <v>151</v>
      </c>
      <c r="AD2745">
        <v>62</v>
      </c>
      <c r="AE2745">
        <v>97</v>
      </c>
      <c r="AF2745">
        <v>-41.67</v>
      </c>
      <c r="AG2745">
        <v>-6.17</v>
      </c>
      <c r="AH2745">
        <v>3.95</v>
      </c>
      <c r="AI2745">
        <v>-0.08</v>
      </c>
      <c r="AJ2745">
        <v>0.09</v>
      </c>
      <c r="AK2745">
        <v>78</v>
      </c>
      <c r="AL2745">
        <v>185</v>
      </c>
      <c r="AM2745">
        <v>72</v>
      </c>
      <c r="AN2745">
        <v>0.48</v>
      </c>
      <c r="AO2745">
        <v>2</v>
      </c>
      <c r="AP2745">
        <v>204</v>
      </c>
      <c r="AQ2745">
        <v>3</v>
      </c>
      <c r="AR2745">
        <v>10.24</v>
      </c>
      <c r="AS2745">
        <v>74</v>
      </c>
      <c r="AT2745">
        <v>4.7699999999999996</v>
      </c>
      <c r="AU2745">
        <v>89</v>
      </c>
      <c r="AV2745">
        <v>0.38</v>
      </c>
      <c r="AW2745">
        <v>96</v>
      </c>
      <c r="AX2745">
        <v>0.5</v>
      </c>
      <c r="AY2745">
        <v>89</v>
      </c>
      <c r="AZ2745">
        <v>6.32</v>
      </c>
      <c r="BA2745">
        <v>70</v>
      </c>
      <c r="BB2745">
        <v>4.24</v>
      </c>
      <c r="BC2745">
        <v>78</v>
      </c>
      <c r="BD2745">
        <v>0.03</v>
      </c>
      <c r="BE2745">
        <v>-0.02</v>
      </c>
      <c r="BF2745">
        <v>-0.13</v>
      </c>
      <c r="BG2745">
        <v>89</v>
      </c>
      <c r="BH2745">
        <v>-0.42</v>
      </c>
      <c r="BI2745">
        <v>-2.4300000000000002</v>
      </c>
      <c r="BJ2745">
        <v>0</v>
      </c>
      <c r="BK2745">
        <v>0</v>
      </c>
      <c r="BL2745">
        <v>-1.04</v>
      </c>
      <c r="BM2745">
        <v>3.46</v>
      </c>
      <c r="BN2745">
        <v>-1.48</v>
      </c>
      <c r="BO2745">
        <v>-2.87</v>
      </c>
      <c r="BP2745">
        <v>4.08</v>
      </c>
      <c r="BQ2745">
        <v>-1.93</v>
      </c>
      <c r="BR2745">
        <v>-2.41</v>
      </c>
      <c r="BS2745">
        <v>-0.44</v>
      </c>
      <c r="BT2745">
        <v>2.2599999999999998</v>
      </c>
      <c r="BU2745">
        <v>-3.14</v>
      </c>
      <c r="BV2745">
        <v>-3.31</v>
      </c>
      <c r="BW2745">
        <v>-2.64</v>
      </c>
      <c r="BX2745">
        <v>-3.06</v>
      </c>
      <c r="BY2745">
        <v>-1.59</v>
      </c>
      <c r="BZ2745">
        <v>1.83</v>
      </c>
      <c r="CA2745">
        <v>-1.98</v>
      </c>
      <c r="CB2745">
        <v>-2.62</v>
      </c>
      <c r="CC2745">
        <v>-0.16</v>
      </c>
      <c r="CD2745">
        <v>3.84</v>
      </c>
      <c r="CE2745">
        <v>-2.5</v>
      </c>
      <c r="CF2745">
        <v>-1.1000000000000001</v>
      </c>
      <c r="CG2745">
        <v>0</v>
      </c>
      <c r="CH2745">
        <v>-2.04</v>
      </c>
      <c r="CI2745">
        <v>0</v>
      </c>
      <c r="CJ2745">
        <v>8.8000000000000007</v>
      </c>
      <c r="CK2745">
        <v>97</v>
      </c>
      <c r="CL2745">
        <v>0.31</v>
      </c>
      <c r="CM2745">
        <v>96</v>
      </c>
      <c r="CN2745">
        <v>-0.18</v>
      </c>
      <c r="CO2745">
        <v>96</v>
      </c>
      <c r="CP2745">
        <v>6.1</v>
      </c>
      <c r="CQ2745">
        <v>95</v>
      </c>
      <c r="CR2745">
        <v>0</v>
      </c>
      <c r="CS2745">
        <v>0</v>
      </c>
      <c r="CT2745">
        <v>12.7</v>
      </c>
      <c r="CU2745">
        <v>94</v>
      </c>
      <c r="CV2745">
        <v>-0.02</v>
      </c>
      <c r="CW2745">
        <v>28</v>
      </c>
      <c r="CX2745" t="s">
        <v>1179</v>
      </c>
    </row>
    <row r="2746" spans="1:102" x14ac:dyDescent="0.3">
      <c r="A2746" t="str">
        <f>HYPERLINK("https://webapp.icbf.com/v2/app/bull-search/view/660325819","AOA")</f>
        <v>AOA</v>
      </c>
      <c r="B2746" t="s">
        <v>13061</v>
      </c>
      <c r="C2746" t="s">
        <v>13062</v>
      </c>
      <c r="D2746" s="1">
        <v>38408</v>
      </c>
      <c r="E2746" t="s">
        <v>140</v>
      </c>
      <c r="F2746">
        <v>0</v>
      </c>
      <c r="G2746" t="s">
        <v>109</v>
      </c>
      <c r="H2746">
        <v>17.09</v>
      </c>
      <c r="I2746">
        <v>60</v>
      </c>
      <c r="J2746">
        <v>-1.43</v>
      </c>
      <c r="K2746">
        <v>68</v>
      </c>
      <c r="L2746">
        <v>28.61</v>
      </c>
      <c r="M2746">
        <v>46</v>
      </c>
      <c r="N2746">
        <v>-18.25</v>
      </c>
      <c r="O2746">
        <v>68</v>
      </c>
      <c r="P2746">
        <v>1.1499999999999999</v>
      </c>
      <c r="Q2746">
        <v>89</v>
      </c>
      <c r="R2746">
        <v>6.54</v>
      </c>
      <c r="S2746">
        <v>36</v>
      </c>
      <c r="T2746">
        <v>12.35</v>
      </c>
      <c r="U2746">
        <v>71</v>
      </c>
      <c r="V2746">
        <v>-11.88</v>
      </c>
      <c r="W2746">
        <v>22</v>
      </c>
      <c r="X2746" t="s">
        <v>94</v>
      </c>
      <c r="Y2746" t="s">
        <v>1128</v>
      </c>
      <c r="Z2746">
        <v>0</v>
      </c>
      <c r="AA2746" t="s">
        <v>1021</v>
      </c>
      <c r="AB2746" t="s">
        <v>13063</v>
      </c>
      <c r="AC2746">
        <v>0</v>
      </c>
      <c r="AD2746">
        <v>0</v>
      </c>
      <c r="AE2746">
        <v>68</v>
      </c>
      <c r="AF2746">
        <v>11.72</v>
      </c>
      <c r="AG2746">
        <v>0.3</v>
      </c>
      <c r="AH2746">
        <v>-0.17</v>
      </c>
      <c r="AI2746">
        <v>0</v>
      </c>
      <c r="AJ2746">
        <v>-0.01</v>
      </c>
      <c r="AK2746">
        <v>46</v>
      </c>
      <c r="AL2746">
        <v>45</v>
      </c>
      <c r="AM2746">
        <v>26</v>
      </c>
      <c r="AN2746">
        <v>-1.67</v>
      </c>
      <c r="AO2746">
        <v>0.61</v>
      </c>
      <c r="AP2746">
        <v>79</v>
      </c>
      <c r="AQ2746">
        <v>4</v>
      </c>
      <c r="AR2746">
        <v>8.69</v>
      </c>
      <c r="AS2746">
        <v>50</v>
      </c>
      <c r="AT2746">
        <v>4.72</v>
      </c>
      <c r="AU2746">
        <v>62</v>
      </c>
      <c r="AV2746">
        <v>1.1100000000000001</v>
      </c>
      <c r="AW2746">
        <v>93</v>
      </c>
      <c r="AX2746">
        <v>-0.55000000000000004</v>
      </c>
      <c r="AY2746">
        <v>67</v>
      </c>
      <c r="AZ2746">
        <v>4.79</v>
      </c>
      <c r="BA2746">
        <v>32</v>
      </c>
      <c r="BB2746">
        <v>3.59</v>
      </c>
      <c r="BC2746">
        <v>26</v>
      </c>
      <c r="BD2746">
        <v>0.01</v>
      </c>
      <c r="BE2746">
        <v>-0.03</v>
      </c>
      <c r="BF2746">
        <v>-0.11</v>
      </c>
      <c r="BG2746">
        <v>45</v>
      </c>
      <c r="BH2746">
        <v>-0.31</v>
      </c>
      <c r="BI2746">
        <v>2.46</v>
      </c>
      <c r="BJ2746">
        <v>0</v>
      </c>
      <c r="BK2746">
        <v>0</v>
      </c>
      <c r="BL2746">
        <v>-0.77</v>
      </c>
      <c r="BM2746">
        <v>3.25</v>
      </c>
      <c r="BN2746">
        <v>-1.58</v>
      </c>
      <c r="BO2746">
        <v>-2.8</v>
      </c>
      <c r="BP2746">
        <v>4.12</v>
      </c>
      <c r="BQ2746">
        <v>-2.13</v>
      </c>
      <c r="BR2746">
        <v>-2.56</v>
      </c>
      <c r="BS2746">
        <v>-0.32</v>
      </c>
      <c r="BT2746">
        <v>2.5</v>
      </c>
      <c r="BU2746">
        <v>-3.24</v>
      </c>
      <c r="BV2746">
        <v>-3.62</v>
      </c>
      <c r="BW2746">
        <v>-2.75</v>
      </c>
      <c r="BX2746">
        <v>-2.66</v>
      </c>
      <c r="BY2746">
        <v>-1.98</v>
      </c>
      <c r="BZ2746">
        <v>1</v>
      </c>
      <c r="CA2746">
        <v>-2.2599999999999998</v>
      </c>
      <c r="CB2746">
        <v>-2.95</v>
      </c>
      <c r="CC2746">
        <v>-0.26</v>
      </c>
      <c r="CD2746">
        <v>3.67</v>
      </c>
      <c r="CE2746">
        <v>-2.78</v>
      </c>
      <c r="CF2746">
        <v>-0.98</v>
      </c>
      <c r="CG2746">
        <v>0</v>
      </c>
      <c r="CH2746">
        <v>-2.5499999999999998</v>
      </c>
      <c r="CI2746">
        <v>0</v>
      </c>
      <c r="CJ2746">
        <v>-1.8</v>
      </c>
      <c r="CK2746">
        <v>92</v>
      </c>
      <c r="CL2746">
        <v>-0.1</v>
      </c>
      <c r="CM2746">
        <v>90</v>
      </c>
      <c r="CN2746">
        <v>-0.41</v>
      </c>
      <c r="CO2746">
        <v>88</v>
      </c>
      <c r="CP2746">
        <v>-0.9</v>
      </c>
      <c r="CQ2746">
        <v>69</v>
      </c>
      <c r="CR2746">
        <v>0</v>
      </c>
      <c r="CS2746">
        <v>0</v>
      </c>
      <c r="CT2746">
        <v>-2.9</v>
      </c>
      <c r="CU2746">
        <v>71</v>
      </c>
      <c r="CV2746">
        <v>-0.14000000000000001</v>
      </c>
      <c r="CW2746">
        <v>26</v>
      </c>
      <c r="CX2746" t="s">
        <v>13064</v>
      </c>
    </row>
    <row r="2747" spans="1:102" x14ac:dyDescent="0.3">
      <c r="A2747" t="str">
        <f>HYPERLINK("https://webapp.icbf.com/v2/app/bull-search/view/1240890646","S2300")</f>
        <v>S2300</v>
      </c>
      <c r="B2747" t="s">
        <v>14212</v>
      </c>
      <c r="C2747" t="s">
        <v>14213</v>
      </c>
      <c r="D2747" s="1">
        <v>41288</v>
      </c>
      <c r="E2747" t="s">
        <v>92</v>
      </c>
      <c r="F2747">
        <v>100</v>
      </c>
      <c r="G2747" t="s">
        <v>109</v>
      </c>
      <c r="H2747">
        <v>17.07</v>
      </c>
      <c r="I2747">
        <v>73</v>
      </c>
      <c r="J2747">
        <v>84.99</v>
      </c>
      <c r="K2747">
        <v>89</v>
      </c>
      <c r="L2747">
        <v>-56.66</v>
      </c>
      <c r="M2747">
        <v>71</v>
      </c>
      <c r="N2747">
        <v>1.41</v>
      </c>
      <c r="O2747">
        <v>64</v>
      </c>
      <c r="P2747">
        <v>-7.1</v>
      </c>
      <c r="Q2747">
        <v>73</v>
      </c>
      <c r="R2747">
        <v>1.78</v>
      </c>
      <c r="S2747">
        <v>68</v>
      </c>
      <c r="T2747">
        <v>-5.64</v>
      </c>
      <c r="U2747">
        <v>44</v>
      </c>
      <c r="V2747">
        <v>-1.71</v>
      </c>
      <c r="W2747">
        <v>54</v>
      </c>
      <c r="X2747" t="s">
        <v>102</v>
      </c>
      <c r="Y2747" t="s">
        <v>411</v>
      </c>
      <c r="Z2747" t="s">
        <v>96</v>
      </c>
      <c r="AA2747" t="s">
        <v>5628</v>
      </c>
      <c r="AB2747" t="s">
        <v>14214</v>
      </c>
      <c r="AC2747">
        <v>0</v>
      </c>
      <c r="AD2747">
        <v>0</v>
      </c>
      <c r="AE2747">
        <v>89</v>
      </c>
      <c r="AF2747">
        <v>404.51</v>
      </c>
      <c r="AG2747">
        <v>19.86</v>
      </c>
      <c r="AH2747">
        <v>13.62</v>
      </c>
      <c r="AI2747">
        <v>7.0000000000000007E-2</v>
      </c>
      <c r="AJ2747">
        <v>0</v>
      </c>
      <c r="AK2747">
        <v>71</v>
      </c>
      <c r="AL2747">
        <v>0</v>
      </c>
      <c r="AM2747">
        <v>0</v>
      </c>
      <c r="AN2747">
        <v>4.54</v>
      </c>
      <c r="AO2747">
        <v>0.04</v>
      </c>
      <c r="AP2747">
        <v>47</v>
      </c>
      <c r="AQ2747">
        <v>0</v>
      </c>
      <c r="AR2747">
        <v>9.7899999999999991</v>
      </c>
      <c r="AS2747">
        <v>48</v>
      </c>
      <c r="AT2747">
        <v>3.83</v>
      </c>
      <c r="AU2747">
        <v>73</v>
      </c>
      <c r="AV2747">
        <v>-1.9</v>
      </c>
      <c r="AW2747">
        <v>76</v>
      </c>
      <c r="AX2747">
        <v>0.11</v>
      </c>
      <c r="AY2747">
        <v>52</v>
      </c>
      <c r="AZ2747">
        <v>6.46</v>
      </c>
      <c r="BA2747">
        <v>39</v>
      </c>
      <c r="BB2747">
        <v>5.05</v>
      </c>
      <c r="BC2747">
        <v>33</v>
      </c>
      <c r="BD2747">
        <v>-0.03</v>
      </c>
      <c r="BE2747">
        <v>0.01</v>
      </c>
      <c r="BF2747">
        <v>-0.01</v>
      </c>
      <c r="BG2747">
        <v>86</v>
      </c>
      <c r="BH2747">
        <v>-0.09</v>
      </c>
      <c r="BI2747">
        <v>-4.91</v>
      </c>
      <c r="BJ2747">
        <v>0</v>
      </c>
      <c r="BK2747">
        <v>0</v>
      </c>
      <c r="BL2747">
        <v>0.48</v>
      </c>
      <c r="BM2747">
        <v>0.23</v>
      </c>
      <c r="BN2747">
        <v>1.78</v>
      </c>
      <c r="BO2747">
        <v>0.8</v>
      </c>
      <c r="BP2747">
        <v>-1.04</v>
      </c>
      <c r="BQ2747">
        <v>0.04</v>
      </c>
      <c r="BR2747">
        <v>-0.86</v>
      </c>
      <c r="BS2747">
        <v>1.34</v>
      </c>
      <c r="BT2747">
        <v>0.75</v>
      </c>
      <c r="BU2747">
        <v>0.59</v>
      </c>
      <c r="BV2747">
        <v>2.2000000000000002</v>
      </c>
      <c r="BW2747">
        <v>1.0900000000000001</v>
      </c>
      <c r="BX2747">
        <v>-0.91</v>
      </c>
      <c r="BY2747">
        <v>-1.97</v>
      </c>
      <c r="BZ2747">
        <v>0.83</v>
      </c>
      <c r="CA2747">
        <v>0.77</v>
      </c>
      <c r="CB2747">
        <v>0.65</v>
      </c>
      <c r="CC2747">
        <v>0.85</v>
      </c>
      <c r="CD2747">
        <v>-0.39</v>
      </c>
      <c r="CE2747">
        <v>0.52</v>
      </c>
      <c r="CF2747">
        <v>1.1599999999999999</v>
      </c>
      <c r="CG2747">
        <v>0</v>
      </c>
      <c r="CH2747">
        <v>-1.54</v>
      </c>
      <c r="CI2747">
        <v>0</v>
      </c>
      <c r="CJ2747">
        <v>-4.5</v>
      </c>
      <c r="CK2747">
        <v>76</v>
      </c>
      <c r="CL2747">
        <v>-1.07</v>
      </c>
      <c r="CM2747">
        <v>73</v>
      </c>
      <c r="CN2747">
        <v>-0.82</v>
      </c>
      <c r="CO2747">
        <v>71</v>
      </c>
      <c r="CP2747">
        <v>3.7</v>
      </c>
      <c r="CQ2747">
        <v>53</v>
      </c>
      <c r="CR2747">
        <v>0</v>
      </c>
      <c r="CS2747">
        <v>0</v>
      </c>
      <c r="CT2747">
        <v>21.4</v>
      </c>
      <c r="CU2747">
        <v>44</v>
      </c>
      <c r="CV2747">
        <v>0.08</v>
      </c>
      <c r="CW2747">
        <v>40</v>
      </c>
      <c r="CX2747" t="s">
        <v>14215</v>
      </c>
    </row>
    <row r="2748" spans="1:102" x14ac:dyDescent="0.3">
      <c r="A2748" t="str">
        <f>HYPERLINK("https://webapp.icbf.com/v2/app/bull-search/view/69092626","S242")</f>
        <v>S242</v>
      </c>
      <c r="B2748" t="s">
        <v>10550</v>
      </c>
      <c r="C2748" t="s">
        <v>2032</v>
      </c>
      <c r="D2748" s="1">
        <v>34361</v>
      </c>
      <c r="E2748" t="s">
        <v>92</v>
      </c>
      <c r="F2748">
        <v>97</v>
      </c>
      <c r="G2748" t="s">
        <v>93</v>
      </c>
      <c r="H2748">
        <v>17.010000000000002</v>
      </c>
      <c r="I2748">
        <v>92</v>
      </c>
      <c r="J2748">
        <v>20.9</v>
      </c>
      <c r="K2748">
        <v>98</v>
      </c>
      <c r="L2748">
        <v>2.5099999999999998</v>
      </c>
      <c r="M2748">
        <v>92</v>
      </c>
      <c r="N2748">
        <v>-4.05</v>
      </c>
      <c r="O2748">
        <v>89</v>
      </c>
      <c r="P2748">
        <v>-10.81</v>
      </c>
      <c r="Q2748">
        <v>93</v>
      </c>
      <c r="R2748">
        <v>8.34</v>
      </c>
      <c r="S2748">
        <v>86</v>
      </c>
      <c r="T2748">
        <v>6.5</v>
      </c>
      <c r="U2748">
        <v>85</v>
      </c>
      <c r="V2748">
        <v>-6.38</v>
      </c>
      <c r="W2748">
        <v>78</v>
      </c>
      <c r="X2748" t="s">
        <v>110</v>
      </c>
      <c r="Y2748" t="s">
        <v>95</v>
      </c>
      <c r="Z2748" t="s">
        <v>96</v>
      </c>
      <c r="AA2748" t="s">
        <v>10551</v>
      </c>
      <c r="AB2748" t="s">
        <v>10552</v>
      </c>
      <c r="AC2748">
        <v>121</v>
      </c>
      <c r="AD2748">
        <v>47</v>
      </c>
      <c r="AE2748">
        <v>98</v>
      </c>
      <c r="AF2748">
        <v>110.41</v>
      </c>
      <c r="AG2748">
        <v>6.46</v>
      </c>
      <c r="AH2748">
        <v>2.96</v>
      </c>
      <c r="AI2748">
        <v>0.04</v>
      </c>
      <c r="AJ2748">
        <v>-0.01</v>
      </c>
      <c r="AK2748">
        <v>92</v>
      </c>
      <c r="AL2748">
        <v>108</v>
      </c>
      <c r="AM2748">
        <v>35</v>
      </c>
      <c r="AN2748">
        <v>1.39</v>
      </c>
      <c r="AO2748">
        <v>1.61</v>
      </c>
      <c r="AP2748">
        <v>149</v>
      </c>
      <c r="AQ2748">
        <v>0</v>
      </c>
      <c r="AR2748">
        <v>8.01</v>
      </c>
      <c r="AS2748">
        <v>80</v>
      </c>
      <c r="AT2748">
        <v>4.04</v>
      </c>
      <c r="AU2748">
        <v>98</v>
      </c>
      <c r="AV2748">
        <v>-0.84</v>
      </c>
      <c r="AW2748">
        <v>91</v>
      </c>
      <c r="AX2748">
        <v>0.84</v>
      </c>
      <c r="AY2748">
        <v>86</v>
      </c>
      <c r="AZ2748">
        <v>6.8</v>
      </c>
      <c r="BA2748">
        <v>72</v>
      </c>
      <c r="BB2748">
        <v>4.6500000000000004</v>
      </c>
      <c r="BC2748">
        <v>76</v>
      </c>
      <c r="BD2748">
        <v>-0.01</v>
      </c>
      <c r="BE2748">
        <v>-0.05</v>
      </c>
      <c r="BF2748">
        <v>-0.08</v>
      </c>
      <c r="BG2748">
        <v>95</v>
      </c>
      <c r="BH2748">
        <v>-0.13</v>
      </c>
      <c r="BI2748">
        <v>5.55</v>
      </c>
      <c r="BJ2748">
        <v>54</v>
      </c>
      <c r="BK2748">
        <v>10</v>
      </c>
      <c r="BL2748">
        <v>0.55000000000000004</v>
      </c>
      <c r="BM2748">
        <v>0.41</v>
      </c>
      <c r="BN2748">
        <v>-0.08</v>
      </c>
      <c r="BO2748">
        <v>-0.08</v>
      </c>
      <c r="BP2748">
        <v>1.1399999999999999</v>
      </c>
      <c r="BQ2748">
        <v>-0.44</v>
      </c>
      <c r="BR2748">
        <v>-1.59</v>
      </c>
      <c r="BS2748">
        <v>2.74</v>
      </c>
      <c r="BT2748">
        <v>2.0099999999999998</v>
      </c>
      <c r="BU2748">
        <v>1.42</v>
      </c>
      <c r="BV2748">
        <v>0.62</v>
      </c>
      <c r="BW2748">
        <v>-0.16</v>
      </c>
      <c r="BX2748">
        <v>2.4</v>
      </c>
      <c r="BY2748">
        <v>0.56999999999999995</v>
      </c>
      <c r="BZ2748">
        <v>-1.4</v>
      </c>
      <c r="CA2748">
        <v>1.95</v>
      </c>
      <c r="CB2748">
        <v>1.1399999999999999</v>
      </c>
      <c r="CC2748">
        <v>2.5499999999999998</v>
      </c>
      <c r="CD2748">
        <v>1.02</v>
      </c>
      <c r="CE2748">
        <v>-0.06</v>
      </c>
      <c r="CF2748">
        <v>1.08</v>
      </c>
      <c r="CG2748">
        <v>0</v>
      </c>
      <c r="CH2748">
        <v>0.5</v>
      </c>
      <c r="CI2748">
        <v>0</v>
      </c>
      <c r="CJ2748">
        <v>-5.3</v>
      </c>
      <c r="CK2748">
        <v>93</v>
      </c>
      <c r="CL2748">
        <v>-0.9</v>
      </c>
      <c r="CM2748">
        <v>92</v>
      </c>
      <c r="CN2748">
        <v>-0.5</v>
      </c>
      <c r="CO2748">
        <v>91</v>
      </c>
      <c r="CP2748">
        <v>-0.4</v>
      </c>
      <c r="CQ2748">
        <v>93</v>
      </c>
      <c r="CR2748">
        <v>0</v>
      </c>
      <c r="CS2748">
        <v>0</v>
      </c>
      <c r="CT2748">
        <v>5</v>
      </c>
      <c r="CU2748">
        <v>85</v>
      </c>
      <c r="CV2748">
        <v>7.0000000000000007E-2</v>
      </c>
      <c r="CW2748">
        <v>44</v>
      </c>
      <c r="CX2748" t="s">
        <v>166</v>
      </c>
    </row>
    <row r="2749" spans="1:102" x14ac:dyDescent="0.3">
      <c r="A2749" t="str">
        <f>HYPERLINK("https://webapp.icbf.com/v2/app/bull-search/view/77859190","ADM")</f>
        <v>ADM</v>
      </c>
      <c r="B2749" t="s">
        <v>6462</v>
      </c>
      <c r="C2749" t="s">
        <v>6463</v>
      </c>
      <c r="D2749" s="1">
        <v>35685</v>
      </c>
      <c r="E2749" t="s">
        <v>108</v>
      </c>
      <c r="F2749">
        <v>0</v>
      </c>
      <c r="G2749" t="s">
        <v>93</v>
      </c>
      <c r="H2749">
        <v>16.600000000000001</v>
      </c>
      <c r="I2749">
        <v>96</v>
      </c>
      <c r="J2749">
        <v>-28.89</v>
      </c>
      <c r="K2749">
        <v>99</v>
      </c>
      <c r="L2749">
        <v>45.48</v>
      </c>
      <c r="M2749">
        <v>93</v>
      </c>
      <c r="N2749">
        <v>-12.67</v>
      </c>
      <c r="O2749">
        <v>96</v>
      </c>
      <c r="P2749">
        <v>-11.57</v>
      </c>
      <c r="Q2749">
        <v>99</v>
      </c>
      <c r="R2749">
        <v>2.67</v>
      </c>
      <c r="S2749">
        <v>93</v>
      </c>
      <c r="T2749">
        <v>13.23</v>
      </c>
      <c r="U2749">
        <v>96</v>
      </c>
      <c r="V2749">
        <v>8.35</v>
      </c>
      <c r="W2749">
        <v>94</v>
      </c>
      <c r="X2749" t="s">
        <v>102</v>
      </c>
      <c r="Y2749" t="s">
        <v>95</v>
      </c>
      <c r="Z2749" t="s">
        <v>96</v>
      </c>
      <c r="AA2749" t="s">
        <v>2821</v>
      </c>
      <c r="AB2749" t="s">
        <v>6464</v>
      </c>
      <c r="AC2749">
        <v>458</v>
      </c>
      <c r="AD2749">
        <v>195</v>
      </c>
      <c r="AE2749">
        <v>99</v>
      </c>
      <c r="AF2749">
        <v>-205.14</v>
      </c>
      <c r="AG2749">
        <v>-4.53</v>
      </c>
      <c r="AH2749">
        <v>-6.45</v>
      </c>
      <c r="AI2749">
        <v>0.06</v>
      </c>
      <c r="AJ2749">
        <v>0.01</v>
      </c>
      <c r="AK2749">
        <v>93</v>
      </c>
      <c r="AL2749">
        <v>639</v>
      </c>
      <c r="AM2749">
        <v>266</v>
      </c>
      <c r="AN2749">
        <v>-2.99</v>
      </c>
      <c r="AO2749">
        <v>0.63</v>
      </c>
      <c r="AP2749">
        <v>372</v>
      </c>
      <c r="AQ2749">
        <v>4</v>
      </c>
      <c r="AR2749">
        <v>9.75</v>
      </c>
      <c r="AS2749">
        <v>94</v>
      </c>
      <c r="AT2749">
        <v>3.86</v>
      </c>
      <c r="AU2749">
        <v>95</v>
      </c>
      <c r="AV2749">
        <v>-1.45</v>
      </c>
      <c r="AW2749">
        <v>98</v>
      </c>
      <c r="AX2749">
        <v>-0.03</v>
      </c>
      <c r="AY2749">
        <v>96</v>
      </c>
      <c r="AZ2749">
        <v>7.37</v>
      </c>
      <c r="BA2749">
        <v>89</v>
      </c>
      <c r="BB2749">
        <v>6.69</v>
      </c>
      <c r="BC2749">
        <v>92</v>
      </c>
      <c r="BD2749">
        <v>0.01</v>
      </c>
      <c r="BE2749">
        <v>-0.02</v>
      </c>
      <c r="BF2749">
        <v>-0.04</v>
      </c>
      <c r="BG2749">
        <v>97</v>
      </c>
      <c r="BH2749">
        <v>0.21</v>
      </c>
      <c r="BI2749">
        <v>-2.64</v>
      </c>
      <c r="BJ2749">
        <v>34</v>
      </c>
      <c r="BK2749">
        <v>15</v>
      </c>
      <c r="BL2749">
        <v>-2.4300000000000002</v>
      </c>
      <c r="BM2749">
        <v>1.5</v>
      </c>
      <c r="BN2749">
        <v>-0.8</v>
      </c>
      <c r="BO2749">
        <v>-1.59</v>
      </c>
      <c r="BP2749">
        <v>-2.5099999999999998</v>
      </c>
      <c r="BQ2749">
        <v>1.87</v>
      </c>
      <c r="BR2749">
        <v>-1.48</v>
      </c>
      <c r="BS2749">
        <v>-1.45</v>
      </c>
      <c r="BT2749">
        <v>1.1000000000000001</v>
      </c>
      <c r="BU2749">
        <v>-1.62</v>
      </c>
      <c r="BV2749">
        <v>-2.19</v>
      </c>
      <c r="BW2749">
        <v>-0.77</v>
      </c>
      <c r="BX2749">
        <v>-1.04</v>
      </c>
      <c r="BY2749">
        <v>0.26</v>
      </c>
      <c r="BZ2749">
        <v>-2.5</v>
      </c>
      <c r="CA2749">
        <v>-1.23</v>
      </c>
      <c r="CB2749">
        <v>-0.87</v>
      </c>
      <c r="CC2749">
        <v>-1.53</v>
      </c>
      <c r="CD2749">
        <v>1.38</v>
      </c>
      <c r="CE2749">
        <v>-0.87</v>
      </c>
      <c r="CF2749">
        <v>-0.87</v>
      </c>
      <c r="CG2749">
        <v>0</v>
      </c>
      <c r="CH2749">
        <v>0.27</v>
      </c>
      <c r="CI2749">
        <v>0</v>
      </c>
      <c r="CJ2749">
        <v>-6.2</v>
      </c>
      <c r="CK2749">
        <v>99</v>
      </c>
      <c r="CL2749">
        <v>-0.34</v>
      </c>
      <c r="CM2749">
        <v>99</v>
      </c>
      <c r="CN2749">
        <v>-0.2</v>
      </c>
      <c r="CO2749">
        <v>99</v>
      </c>
      <c r="CP2749">
        <v>-12.3</v>
      </c>
      <c r="CQ2749">
        <v>98</v>
      </c>
      <c r="CR2749">
        <v>0</v>
      </c>
      <c r="CS2749">
        <v>0</v>
      </c>
      <c r="CT2749">
        <v>-4.0999999999999996</v>
      </c>
      <c r="CU2749">
        <v>96</v>
      </c>
      <c r="CV2749">
        <v>0.06</v>
      </c>
      <c r="CW2749">
        <v>46</v>
      </c>
      <c r="CX2749" t="s">
        <v>6465</v>
      </c>
    </row>
    <row r="2750" spans="1:102" x14ac:dyDescent="0.3">
      <c r="A2750" t="str">
        <f>HYPERLINK("https://webapp.icbf.com/v2/app/bull-search/view/804576310","S968")</f>
        <v>S968</v>
      </c>
      <c r="B2750" t="s">
        <v>8988</v>
      </c>
      <c r="C2750" t="s">
        <v>8989</v>
      </c>
      <c r="D2750" s="1">
        <v>39784</v>
      </c>
      <c r="E2750" t="s">
        <v>92</v>
      </c>
      <c r="F2750">
        <v>100</v>
      </c>
      <c r="G2750" t="s">
        <v>109</v>
      </c>
      <c r="H2750">
        <v>16.52</v>
      </c>
      <c r="I2750">
        <v>82</v>
      </c>
      <c r="J2750">
        <v>33.94</v>
      </c>
      <c r="K2750">
        <v>93</v>
      </c>
      <c r="L2750">
        <v>-62.16</v>
      </c>
      <c r="M2750">
        <v>83</v>
      </c>
      <c r="N2750">
        <v>40.25</v>
      </c>
      <c r="O2750">
        <v>72</v>
      </c>
      <c r="P2750">
        <v>-11.53</v>
      </c>
      <c r="Q2750">
        <v>83</v>
      </c>
      <c r="R2750">
        <v>9.16</v>
      </c>
      <c r="S2750">
        <v>74</v>
      </c>
      <c r="T2750">
        <v>7.46</v>
      </c>
      <c r="U2750">
        <v>65</v>
      </c>
      <c r="V2750">
        <v>-0.6</v>
      </c>
      <c r="W2750">
        <v>58</v>
      </c>
      <c r="X2750" t="s">
        <v>94</v>
      </c>
      <c r="Y2750" t="s">
        <v>303</v>
      </c>
      <c r="Z2750" t="s">
        <v>96</v>
      </c>
      <c r="AA2750" t="s">
        <v>8990</v>
      </c>
      <c r="AB2750" t="s">
        <v>8991</v>
      </c>
      <c r="AC2750">
        <v>26</v>
      </c>
      <c r="AD2750">
        <v>16</v>
      </c>
      <c r="AE2750">
        <v>93</v>
      </c>
      <c r="AF2750">
        <v>228.18</v>
      </c>
      <c r="AG2750">
        <v>2.2200000000000002</v>
      </c>
      <c r="AH2750">
        <v>8.48</v>
      </c>
      <c r="AI2750">
        <v>-0.11</v>
      </c>
      <c r="AJ2750">
        <v>0.01</v>
      </c>
      <c r="AK2750">
        <v>83</v>
      </c>
      <c r="AL2750">
        <v>32</v>
      </c>
      <c r="AM2750">
        <v>16</v>
      </c>
      <c r="AN2750">
        <v>3.93</v>
      </c>
      <c r="AO2750">
        <v>-1.02</v>
      </c>
      <c r="AP2750">
        <v>51</v>
      </c>
      <c r="AQ2750">
        <v>0</v>
      </c>
      <c r="AR2750">
        <v>3.8</v>
      </c>
      <c r="AS2750">
        <v>69</v>
      </c>
      <c r="AT2750">
        <v>2.27</v>
      </c>
      <c r="AU2750">
        <v>80</v>
      </c>
      <c r="AV2750">
        <v>-3.32</v>
      </c>
      <c r="AW2750">
        <v>83</v>
      </c>
      <c r="AX2750">
        <v>-0.52</v>
      </c>
      <c r="AY2750">
        <v>61</v>
      </c>
      <c r="AZ2750">
        <v>6.84</v>
      </c>
      <c r="BA2750">
        <v>46</v>
      </c>
      <c r="BB2750">
        <v>5.34</v>
      </c>
      <c r="BC2750">
        <v>45</v>
      </c>
      <c r="BD2750">
        <v>-0.01</v>
      </c>
      <c r="BE2750">
        <v>-0.06</v>
      </c>
      <c r="BF2750">
        <v>-0.08</v>
      </c>
      <c r="BG2750">
        <v>89</v>
      </c>
      <c r="BH2750">
        <v>-0.2</v>
      </c>
      <c r="BI2750">
        <v>-21.21</v>
      </c>
      <c r="BJ2750">
        <v>12</v>
      </c>
      <c r="BK2750">
        <v>7</v>
      </c>
      <c r="BL2750">
        <v>0.98</v>
      </c>
      <c r="BM2750">
        <v>-2.27</v>
      </c>
      <c r="BN2750">
        <v>-0.52</v>
      </c>
      <c r="BO2750">
        <v>1.45</v>
      </c>
      <c r="BP2750">
        <v>-1.28</v>
      </c>
      <c r="BQ2750">
        <v>0.71</v>
      </c>
      <c r="BR2750">
        <v>1.21</v>
      </c>
      <c r="BS2750">
        <v>1.2</v>
      </c>
      <c r="BT2750">
        <v>0.16</v>
      </c>
      <c r="BU2750">
        <v>0.87</v>
      </c>
      <c r="BV2750">
        <v>1.06</v>
      </c>
      <c r="BW2750">
        <v>2.4</v>
      </c>
      <c r="BX2750">
        <v>0.71</v>
      </c>
      <c r="BY2750">
        <v>2.66</v>
      </c>
      <c r="BZ2750">
        <v>-1.35</v>
      </c>
      <c r="CA2750">
        <v>1.73</v>
      </c>
      <c r="CB2750">
        <v>1.25</v>
      </c>
      <c r="CC2750">
        <v>0.95</v>
      </c>
      <c r="CD2750">
        <v>-1.77</v>
      </c>
      <c r="CE2750">
        <v>1.3</v>
      </c>
      <c r="CF2750">
        <v>0.49</v>
      </c>
      <c r="CG2750">
        <v>0</v>
      </c>
      <c r="CH2750">
        <v>2.33</v>
      </c>
      <c r="CI2750">
        <v>0</v>
      </c>
      <c r="CJ2750">
        <v>-1.8</v>
      </c>
      <c r="CK2750">
        <v>85</v>
      </c>
      <c r="CL2750">
        <v>-1.18</v>
      </c>
      <c r="CM2750">
        <v>83</v>
      </c>
      <c r="CN2750">
        <v>-0.27</v>
      </c>
      <c r="CO2750">
        <v>81</v>
      </c>
      <c r="CP2750">
        <v>-0.2</v>
      </c>
      <c r="CQ2750">
        <v>69</v>
      </c>
      <c r="CR2750">
        <v>0</v>
      </c>
      <c r="CS2750">
        <v>0</v>
      </c>
      <c r="CT2750">
        <v>3.7</v>
      </c>
      <c r="CU2750">
        <v>65</v>
      </c>
      <c r="CV2750">
        <v>0.21</v>
      </c>
      <c r="CW2750">
        <v>42</v>
      </c>
      <c r="CX2750" t="s">
        <v>8177</v>
      </c>
    </row>
    <row r="2751" spans="1:102" x14ac:dyDescent="0.3">
      <c r="A2751" t="str">
        <f>HYPERLINK("https://webapp.icbf.com/v2/app/bull-search/view/77854495","RET")</f>
        <v>RET</v>
      </c>
      <c r="B2751" t="s">
        <v>9847</v>
      </c>
      <c r="C2751" t="s">
        <v>9848</v>
      </c>
      <c r="D2751" s="1">
        <v>32223</v>
      </c>
      <c r="E2751" t="s">
        <v>92</v>
      </c>
      <c r="F2751">
        <v>81</v>
      </c>
      <c r="G2751" t="s">
        <v>93</v>
      </c>
      <c r="H2751">
        <v>16.52</v>
      </c>
      <c r="I2751">
        <v>63</v>
      </c>
      <c r="J2751">
        <v>-49.27</v>
      </c>
      <c r="K2751">
        <v>75</v>
      </c>
      <c r="L2751">
        <v>68.59</v>
      </c>
      <c r="M2751">
        <v>65</v>
      </c>
      <c r="N2751">
        <v>4.47</v>
      </c>
      <c r="O2751">
        <v>40</v>
      </c>
      <c r="P2751">
        <v>-17.97</v>
      </c>
      <c r="Q2751">
        <v>56</v>
      </c>
      <c r="R2751">
        <v>3.28</v>
      </c>
      <c r="S2751">
        <v>64</v>
      </c>
      <c r="T2751">
        <v>9.61</v>
      </c>
      <c r="U2751">
        <v>58</v>
      </c>
      <c r="V2751">
        <v>-2.19</v>
      </c>
      <c r="W2751">
        <v>27</v>
      </c>
      <c r="X2751" t="s">
        <v>94</v>
      </c>
      <c r="Y2751" t="s">
        <v>95</v>
      </c>
      <c r="Z2751" t="s">
        <v>96</v>
      </c>
      <c r="AA2751" t="s">
        <v>2543</v>
      </c>
      <c r="AB2751" t="s">
        <v>9849</v>
      </c>
      <c r="AC2751">
        <v>17</v>
      </c>
      <c r="AD2751">
        <v>14</v>
      </c>
      <c r="AE2751">
        <v>75</v>
      </c>
      <c r="AF2751">
        <v>-151.93</v>
      </c>
      <c r="AG2751">
        <v>-3.15</v>
      </c>
      <c r="AH2751">
        <v>-9.59</v>
      </c>
      <c r="AI2751">
        <v>0.05</v>
      </c>
      <c r="AJ2751">
        <v>-7.0000000000000007E-2</v>
      </c>
      <c r="AK2751">
        <v>65</v>
      </c>
      <c r="AL2751">
        <v>100</v>
      </c>
      <c r="AM2751">
        <v>65</v>
      </c>
      <c r="AN2751">
        <v>-4.54</v>
      </c>
      <c r="AO2751">
        <v>0.92</v>
      </c>
      <c r="AP2751">
        <v>4</v>
      </c>
      <c r="AQ2751">
        <v>0</v>
      </c>
      <c r="AR2751">
        <v>6.92</v>
      </c>
      <c r="AS2751">
        <v>28</v>
      </c>
      <c r="AT2751">
        <v>2.5499999999999998</v>
      </c>
      <c r="AU2751">
        <v>40</v>
      </c>
      <c r="AV2751">
        <v>-0.95</v>
      </c>
      <c r="AW2751">
        <v>41</v>
      </c>
      <c r="AX2751">
        <v>-0.18</v>
      </c>
      <c r="AY2751">
        <v>58</v>
      </c>
      <c r="AZ2751">
        <v>7.92</v>
      </c>
      <c r="BA2751">
        <v>27</v>
      </c>
      <c r="BB2751">
        <v>6.36</v>
      </c>
      <c r="BC2751">
        <v>36</v>
      </c>
      <c r="BD2751">
        <v>0.01</v>
      </c>
      <c r="BE2751">
        <v>0.02</v>
      </c>
      <c r="BF2751">
        <v>-0.13</v>
      </c>
      <c r="BG2751">
        <v>85</v>
      </c>
      <c r="BH2751">
        <v>-0.09</v>
      </c>
      <c r="BI2751">
        <v>-3.34</v>
      </c>
      <c r="BJ2751">
        <v>15</v>
      </c>
      <c r="BK2751">
        <v>10</v>
      </c>
      <c r="BL2751">
        <v>-1.87</v>
      </c>
      <c r="BM2751">
        <v>0.14000000000000001</v>
      </c>
      <c r="BN2751">
        <v>-2.0099999999999998</v>
      </c>
      <c r="BO2751">
        <v>-1.58</v>
      </c>
      <c r="BP2751">
        <v>-0.74</v>
      </c>
      <c r="BQ2751">
        <v>-1.45</v>
      </c>
      <c r="BR2751">
        <v>-0.36</v>
      </c>
      <c r="BS2751">
        <v>-1.73</v>
      </c>
      <c r="BT2751">
        <v>-0.72</v>
      </c>
      <c r="BU2751">
        <v>-0.74</v>
      </c>
      <c r="BV2751">
        <v>-1.78</v>
      </c>
      <c r="BW2751">
        <v>-2.33</v>
      </c>
      <c r="BX2751">
        <v>-0.64</v>
      </c>
      <c r="BY2751">
        <v>-2.36</v>
      </c>
      <c r="BZ2751">
        <v>1.65</v>
      </c>
      <c r="CA2751">
        <v>-1.28</v>
      </c>
      <c r="CB2751">
        <v>-1.33</v>
      </c>
      <c r="CC2751">
        <v>-0.84</v>
      </c>
      <c r="CD2751">
        <v>0.94</v>
      </c>
      <c r="CE2751">
        <v>-1.44</v>
      </c>
      <c r="CF2751">
        <v>-2.16</v>
      </c>
      <c r="CG2751">
        <v>0</v>
      </c>
      <c r="CH2751">
        <v>-1.99</v>
      </c>
      <c r="CI2751">
        <v>0</v>
      </c>
      <c r="CJ2751">
        <v>-8.9</v>
      </c>
      <c r="CK2751">
        <v>57</v>
      </c>
      <c r="CL2751">
        <v>-0.56999999999999995</v>
      </c>
      <c r="CM2751">
        <v>54</v>
      </c>
      <c r="CN2751">
        <v>-0.2</v>
      </c>
      <c r="CO2751">
        <v>49</v>
      </c>
      <c r="CP2751">
        <v>-14.3</v>
      </c>
      <c r="CQ2751">
        <v>64</v>
      </c>
      <c r="CR2751">
        <v>0</v>
      </c>
      <c r="CS2751">
        <v>0</v>
      </c>
      <c r="CT2751">
        <v>0.8</v>
      </c>
      <c r="CU2751">
        <v>58</v>
      </c>
      <c r="CV2751">
        <v>0</v>
      </c>
      <c r="CW2751">
        <v>15</v>
      </c>
      <c r="CX2751" t="s">
        <v>7352</v>
      </c>
    </row>
    <row r="2752" spans="1:102" x14ac:dyDescent="0.3">
      <c r="A2752" t="str">
        <f>HYPERLINK("https://webapp.icbf.com/v2/app/bull-search/view/804580883","S1248")</f>
        <v>S1248</v>
      </c>
      <c r="B2752" t="s">
        <v>5661</v>
      </c>
      <c r="C2752" t="s">
        <v>5662</v>
      </c>
      <c r="D2752" s="1">
        <v>39851</v>
      </c>
      <c r="E2752" t="s">
        <v>92</v>
      </c>
      <c r="F2752">
        <v>100</v>
      </c>
      <c r="G2752" t="s">
        <v>93</v>
      </c>
      <c r="H2752">
        <v>16.510000000000002</v>
      </c>
      <c r="I2752">
        <v>88</v>
      </c>
      <c r="J2752">
        <v>68.19</v>
      </c>
      <c r="K2752">
        <v>98</v>
      </c>
      <c r="L2752">
        <v>-51.3</v>
      </c>
      <c r="M2752">
        <v>87</v>
      </c>
      <c r="N2752">
        <v>-17.739999999999998</v>
      </c>
      <c r="O2752">
        <v>88</v>
      </c>
      <c r="P2752">
        <v>3.3</v>
      </c>
      <c r="Q2752">
        <v>94</v>
      </c>
      <c r="R2752">
        <v>13.99</v>
      </c>
      <c r="S2752">
        <v>73</v>
      </c>
      <c r="T2752">
        <v>-2.82</v>
      </c>
      <c r="U2752">
        <v>76</v>
      </c>
      <c r="V2752">
        <v>2.89</v>
      </c>
      <c r="W2752">
        <v>47</v>
      </c>
      <c r="X2752" t="s">
        <v>251</v>
      </c>
      <c r="Y2752" t="s">
        <v>342</v>
      </c>
      <c r="Z2752" t="s">
        <v>96</v>
      </c>
      <c r="AA2752" t="s">
        <v>1962</v>
      </c>
      <c r="AB2752" t="s">
        <v>5663</v>
      </c>
      <c r="AC2752">
        <v>265</v>
      </c>
      <c r="AD2752">
        <v>90</v>
      </c>
      <c r="AE2752">
        <v>98</v>
      </c>
      <c r="AF2752">
        <v>664.5</v>
      </c>
      <c r="AG2752">
        <v>14.27</v>
      </c>
      <c r="AH2752">
        <v>16.72</v>
      </c>
      <c r="AI2752">
        <v>-0.17</v>
      </c>
      <c r="AJ2752">
        <v>-0.09</v>
      </c>
      <c r="AK2752">
        <v>87</v>
      </c>
      <c r="AL2752">
        <v>193</v>
      </c>
      <c r="AM2752">
        <v>71</v>
      </c>
      <c r="AN2752">
        <v>4.4400000000000004</v>
      </c>
      <c r="AO2752">
        <v>0.37</v>
      </c>
      <c r="AP2752">
        <v>409</v>
      </c>
      <c r="AQ2752">
        <v>3</v>
      </c>
      <c r="AR2752">
        <v>11.06</v>
      </c>
      <c r="AS2752">
        <v>80</v>
      </c>
      <c r="AT2752">
        <v>5</v>
      </c>
      <c r="AU2752">
        <v>94</v>
      </c>
      <c r="AV2752">
        <v>-0.98</v>
      </c>
      <c r="AW2752">
        <v>96</v>
      </c>
      <c r="AX2752">
        <v>-0.34</v>
      </c>
      <c r="AY2752">
        <v>89</v>
      </c>
      <c r="AZ2752">
        <v>5.23</v>
      </c>
      <c r="BA2752">
        <v>70</v>
      </c>
      <c r="BB2752">
        <v>4.37</v>
      </c>
      <c r="BC2752">
        <v>60</v>
      </c>
      <c r="BD2752">
        <v>-0.04</v>
      </c>
      <c r="BE2752">
        <v>-0.05</v>
      </c>
      <c r="BF2752">
        <v>-0.16</v>
      </c>
      <c r="BG2752">
        <v>91</v>
      </c>
      <c r="BH2752">
        <v>-7.0000000000000007E-2</v>
      </c>
      <c r="BI2752">
        <v>-17.41</v>
      </c>
      <c r="BJ2752">
        <v>143</v>
      </c>
      <c r="BK2752">
        <v>55</v>
      </c>
      <c r="BL2752">
        <v>1.66</v>
      </c>
      <c r="BM2752">
        <v>0.93</v>
      </c>
      <c r="BN2752">
        <v>1.39</v>
      </c>
      <c r="BO2752">
        <v>1.18</v>
      </c>
      <c r="BP2752">
        <v>-0.86</v>
      </c>
      <c r="BQ2752">
        <v>3.91</v>
      </c>
      <c r="BR2752">
        <v>1.29</v>
      </c>
      <c r="BS2752">
        <v>0.31</v>
      </c>
      <c r="BT2752">
        <v>0.1</v>
      </c>
      <c r="BU2752">
        <v>3.24</v>
      </c>
      <c r="BV2752">
        <v>2.41</v>
      </c>
      <c r="BW2752">
        <v>1.85</v>
      </c>
      <c r="BX2752">
        <v>2.2999999999999998</v>
      </c>
      <c r="BY2752">
        <v>2.5299999999999998</v>
      </c>
      <c r="BZ2752">
        <v>-1.51</v>
      </c>
      <c r="CA2752">
        <v>2.4</v>
      </c>
      <c r="CB2752">
        <v>2.73</v>
      </c>
      <c r="CC2752">
        <v>0.81</v>
      </c>
      <c r="CD2752">
        <v>-0.13</v>
      </c>
      <c r="CE2752">
        <v>1.53</v>
      </c>
      <c r="CF2752">
        <v>2.65</v>
      </c>
      <c r="CG2752">
        <v>0</v>
      </c>
      <c r="CH2752">
        <v>2.7</v>
      </c>
      <c r="CI2752">
        <v>0</v>
      </c>
      <c r="CJ2752">
        <v>7.1</v>
      </c>
      <c r="CK2752">
        <v>95</v>
      </c>
      <c r="CL2752">
        <v>-1.1399999999999999</v>
      </c>
      <c r="CM2752">
        <v>94</v>
      </c>
      <c r="CN2752">
        <v>-0.46</v>
      </c>
      <c r="CO2752">
        <v>93</v>
      </c>
      <c r="CP2752">
        <v>-0.8</v>
      </c>
      <c r="CQ2752">
        <v>86</v>
      </c>
      <c r="CR2752">
        <v>0</v>
      </c>
      <c r="CS2752">
        <v>0</v>
      </c>
      <c r="CT2752">
        <v>17.600000000000001</v>
      </c>
      <c r="CU2752">
        <v>76</v>
      </c>
      <c r="CV2752">
        <v>0.48</v>
      </c>
      <c r="CW2752">
        <v>27</v>
      </c>
      <c r="CX2752" t="s">
        <v>350</v>
      </c>
    </row>
    <row r="2753" spans="1:102" x14ac:dyDescent="0.3">
      <c r="A2753" t="str">
        <f>HYPERLINK("https://webapp.icbf.com/v2/app/bull-search/view/1276121240","S3045")</f>
        <v>S3045</v>
      </c>
      <c r="B2753" t="s">
        <v>15600</v>
      </c>
      <c r="C2753" t="s">
        <v>15601</v>
      </c>
      <c r="D2753" s="1">
        <v>41583</v>
      </c>
      <c r="E2753" t="s">
        <v>92</v>
      </c>
      <c r="F2753">
        <v>100</v>
      </c>
      <c r="G2753" t="s">
        <v>109</v>
      </c>
      <c r="H2753">
        <v>16.48</v>
      </c>
      <c r="I2753">
        <v>67</v>
      </c>
      <c r="J2753">
        <v>65.37</v>
      </c>
      <c r="K2753">
        <v>79</v>
      </c>
      <c r="L2753">
        <v>-87.32</v>
      </c>
      <c r="M2753">
        <v>76</v>
      </c>
      <c r="N2753">
        <v>24.74</v>
      </c>
      <c r="O2753">
        <v>66</v>
      </c>
      <c r="P2753">
        <v>-1.86</v>
      </c>
      <c r="Q2753">
        <v>56</v>
      </c>
      <c r="R2753">
        <v>14.09</v>
      </c>
      <c r="S2753">
        <v>56</v>
      </c>
      <c r="T2753">
        <v>-1.64</v>
      </c>
      <c r="U2753">
        <v>28</v>
      </c>
      <c r="V2753">
        <v>3.1</v>
      </c>
      <c r="W2753">
        <v>16</v>
      </c>
      <c r="X2753" t="s">
        <v>110</v>
      </c>
      <c r="Y2753" t="s">
        <v>411</v>
      </c>
      <c r="Z2753" t="s">
        <v>96</v>
      </c>
      <c r="AA2753" t="s">
        <v>2216</v>
      </c>
      <c r="AB2753" t="s">
        <v>15602</v>
      </c>
      <c r="AC2753">
        <v>0</v>
      </c>
      <c r="AD2753">
        <v>0</v>
      </c>
      <c r="AE2753">
        <v>79</v>
      </c>
      <c r="AF2753">
        <v>548.54</v>
      </c>
      <c r="AG2753">
        <v>9.51</v>
      </c>
      <c r="AH2753">
        <v>16.149999999999999</v>
      </c>
      <c r="AI2753">
        <v>-0.18</v>
      </c>
      <c r="AJ2753">
        <v>-0.04</v>
      </c>
      <c r="AK2753">
        <v>76</v>
      </c>
      <c r="AL2753">
        <v>0</v>
      </c>
      <c r="AM2753">
        <v>0</v>
      </c>
      <c r="AN2753">
        <v>5.04</v>
      </c>
      <c r="AO2753">
        <v>-1.92</v>
      </c>
      <c r="AP2753">
        <v>65</v>
      </c>
      <c r="AQ2753">
        <v>0</v>
      </c>
      <c r="AR2753">
        <v>7.97</v>
      </c>
      <c r="AS2753">
        <v>52</v>
      </c>
      <c r="AT2753">
        <v>3.4</v>
      </c>
      <c r="AU2753">
        <v>89</v>
      </c>
      <c r="AV2753">
        <v>-3.67</v>
      </c>
      <c r="AW2753">
        <v>77</v>
      </c>
      <c r="AX2753">
        <v>0.13</v>
      </c>
      <c r="AY2753">
        <v>59</v>
      </c>
      <c r="AZ2753">
        <v>6.75</v>
      </c>
      <c r="BA2753">
        <v>28</v>
      </c>
      <c r="BB2753">
        <v>5.0199999999999996</v>
      </c>
      <c r="BC2753">
        <v>17</v>
      </c>
      <c r="BD2753">
        <v>-0.03</v>
      </c>
      <c r="BE2753">
        <v>-0.06</v>
      </c>
      <c r="BF2753">
        <v>-0.16</v>
      </c>
      <c r="BG2753">
        <v>86</v>
      </c>
      <c r="BH2753">
        <v>7.0000000000000007E-2</v>
      </c>
      <c r="BI2753">
        <v>-1.91</v>
      </c>
      <c r="BJ2753">
        <v>0</v>
      </c>
      <c r="BK2753">
        <v>0</v>
      </c>
      <c r="BL2753">
        <v>3.21</v>
      </c>
      <c r="BM2753">
        <v>-0.35</v>
      </c>
      <c r="BN2753">
        <v>1.87</v>
      </c>
      <c r="BO2753">
        <v>2.09</v>
      </c>
      <c r="BP2753">
        <v>-1.08</v>
      </c>
      <c r="BQ2753">
        <v>3.34</v>
      </c>
      <c r="BR2753">
        <v>0.04</v>
      </c>
      <c r="BS2753">
        <v>2.2599999999999998</v>
      </c>
      <c r="BT2753">
        <v>1.45</v>
      </c>
      <c r="BU2753">
        <v>3.08</v>
      </c>
      <c r="BV2753">
        <v>2.15</v>
      </c>
      <c r="BW2753">
        <v>2.35</v>
      </c>
      <c r="BX2753">
        <v>2.56</v>
      </c>
      <c r="BY2753">
        <v>2.88</v>
      </c>
      <c r="BZ2753">
        <v>-0.11</v>
      </c>
      <c r="CA2753">
        <v>2.57</v>
      </c>
      <c r="CB2753">
        <v>2.5499999999999998</v>
      </c>
      <c r="CC2753">
        <v>1.54</v>
      </c>
      <c r="CD2753">
        <v>-1.7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2.2999999999999998</v>
      </c>
      <c r="CK2753">
        <v>60</v>
      </c>
      <c r="CL2753">
        <v>-1.42</v>
      </c>
      <c r="CM2753">
        <v>56</v>
      </c>
      <c r="CN2753">
        <v>-0.8</v>
      </c>
      <c r="CO2753">
        <v>55</v>
      </c>
      <c r="CP2753">
        <v>1.7</v>
      </c>
      <c r="CQ2753">
        <v>35</v>
      </c>
      <c r="CR2753">
        <v>0</v>
      </c>
      <c r="CS2753">
        <v>0</v>
      </c>
      <c r="CT2753">
        <v>16</v>
      </c>
      <c r="CU2753">
        <v>28</v>
      </c>
      <c r="CV2753">
        <v>0.51</v>
      </c>
      <c r="CW2753">
        <v>17</v>
      </c>
      <c r="CX2753" t="s">
        <v>5274</v>
      </c>
    </row>
    <row r="2754" spans="1:102" x14ac:dyDescent="0.3">
      <c r="A2754" t="str">
        <f>HYPERLINK("https://webapp.icbf.com/v2/app/bull-search/view/444413146","S944")</f>
        <v>S944</v>
      </c>
      <c r="B2754" t="s">
        <v>12728</v>
      </c>
      <c r="C2754" t="s">
        <v>5598</v>
      </c>
      <c r="D2754" s="1">
        <v>36531</v>
      </c>
      <c r="E2754" t="s">
        <v>92</v>
      </c>
      <c r="F2754">
        <v>100</v>
      </c>
      <c r="G2754" t="s">
        <v>93</v>
      </c>
      <c r="H2754">
        <v>16.41</v>
      </c>
      <c r="I2754">
        <v>87</v>
      </c>
      <c r="J2754">
        <v>38.4</v>
      </c>
      <c r="K2754">
        <v>96</v>
      </c>
      <c r="L2754">
        <v>-41.98</v>
      </c>
      <c r="M2754">
        <v>89</v>
      </c>
      <c r="N2754">
        <v>11</v>
      </c>
      <c r="O2754">
        <v>78</v>
      </c>
      <c r="P2754">
        <v>15.38</v>
      </c>
      <c r="Q2754">
        <v>80</v>
      </c>
      <c r="R2754">
        <v>5.28</v>
      </c>
      <c r="S2754">
        <v>80</v>
      </c>
      <c r="T2754">
        <v>-8.74</v>
      </c>
      <c r="U2754">
        <v>71</v>
      </c>
      <c r="V2754">
        <v>-2.93</v>
      </c>
      <c r="W2754">
        <v>69</v>
      </c>
      <c r="X2754" t="s">
        <v>276</v>
      </c>
      <c r="Y2754" t="s">
        <v>303</v>
      </c>
      <c r="Z2754" t="s">
        <v>96</v>
      </c>
      <c r="AA2754" t="s">
        <v>1384</v>
      </c>
      <c r="AB2754" t="s">
        <v>12729</v>
      </c>
      <c r="AC2754">
        <v>51</v>
      </c>
      <c r="AD2754">
        <v>19</v>
      </c>
      <c r="AE2754">
        <v>96</v>
      </c>
      <c r="AF2754">
        <v>263.13</v>
      </c>
      <c r="AG2754">
        <v>6.75</v>
      </c>
      <c r="AH2754">
        <v>8.17</v>
      </c>
      <c r="AI2754">
        <v>-0.06</v>
      </c>
      <c r="AJ2754">
        <v>-0.01</v>
      </c>
      <c r="AK2754">
        <v>89</v>
      </c>
      <c r="AL2754">
        <v>44</v>
      </c>
      <c r="AM2754">
        <v>16</v>
      </c>
      <c r="AN2754">
        <v>2.9</v>
      </c>
      <c r="AO2754">
        <v>-0.44</v>
      </c>
      <c r="AP2754">
        <v>62</v>
      </c>
      <c r="AQ2754">
        <v>0</v>
      </c>
      <c r="AR2754">
        <v>8.5299999999999994</v>
      </c>
      <c r="AS2754">
        <v>74</v>
      </c>
      <c r="AT2754">
        <v>3.93</v>
      </c>
      <c r="AU2754">
        <v>92</v>
      </c>
      <c r="AV2754">
        <v>-2.82</v>
      </c>
      <c r="AW2754">
        <v>81</v>
      </c>
      <c r="AX2754">
        <v>0.32</v>
      </c>
      <c r="AY2754">
        <v>68</v>
      </c>
      <c r="AZ2754">
        <v>7.14</v>
      </c>
      <c r="BA2754">
        <v>62</v>
      </c>
      <c r="BB2754">
        <v>4.84</v>
      </c>
      <c r="BC2754">
        <v>60</v>
      </c>
      <c r="BD2754">
        <v>-0.02</v>
      </c>
      <c r="BE2754">
        <v>-0.02</v>
      </c>
      <c r="BF2754">
        <v>-0.05</v>
      </c>
      <c r="BG2754">
        <v>92</v>
      </c>
      <c r="BH2754">
        <v>-0.13</v>
      </c>
      <c r="BI2754">
        <v>-5.58</v>
      </c>
      <c r="BJ2754">
        <v>19</v>
      </c>
      <c r="BK2754">
        <v>11</v>
      </c>
      <c r="BL2754">
        <v>1.49</v>
      </c>
      <c r="BM2754">
        <v>-0.15</v>
      </c>
      <c r="BN2754">
        <v>1.31</v>
      </c>
      <c r="BO2754">
        <v>1.29</v>
      </c>
      <c r="BP2754">
        <v>-0.03</v>
      </c>
      <c r="BQ2754">
        <v>0.9</v>
      </c>
      <c r="BR2754">
        <v>-2.19</v>
      </c>
      <c r="BS2754">
        <v>3.23</v>
      </c>
      <c r="BT2754">
        <v>2.21</v>
      </c>
      <c r="BU2754">
        <v>2.67</v>
      </c>
      <c r="BV2754">
        <v>1.35</v>
      </c>
      <c r="BW2754">
        <v>2.59</v>
      </c>
      <c r="BX2754">
        <v>2.13</v>
      </c>
      <c r="BY2754">
        <v>0.28000000000000003</v>
      </c>
      <c r="BZ2754">
        <v>-2.12</v>
      </c>
      <c r="CA2754">
        <v>2.4700000000000002</v>
      </c>
      <c r="CB2754">
        <v>1.86</v>
      </c>
      <c r="CC2754">
        <v>2.4</v>
      </c>
      <c r="CD2754">
        <v>-0.8</v>
      </c>
      <c r="CE2754">
        <v>0.72</v>
      </c>
      <c r="CF2754">
        <v>0.69</v>
      </c>
      <c r="CG2754">
        <v>0</v>
      </c>
      <c r="CH2754">
        <v>0.22</v>
      </c>
      <c r="CI2754">
        <v>0</v>
      </c>
      <c r="CJ2754">
        <v>12.2</v>
      </c>
      <c r="CK2754">
        <v>81</v>
      </c>
      <c r="CL2754">
        <v>-0.85</v>
      </c>
      <c r="CM2754">
        <v>78</v>
      </c>
      <c r="CN2754">
        <v>-0.49</v>
      </c>
      <c r="CO2754">
        <v>76</v>
      </c>
      <c r="CP2754">
        <v>10.5</v>
      </c>
      <c r="CQ2754">
        <v>79</v>
      </c>
      <c r="CR2754">
        <v>0</v>
      </c>
      <c r="CS2754">
        <v>0</v>
      </c>
      <c r="CT2754">
        <v>25.6</v>
      </c>
      <c r="CU2754">
        <v>71</v>
      </c>
      <c r="CV2754">
        <v>0.4</v>
      </c>
      <c r="CW2754">
        <v>42</v>
      </c>
      <c r="CX2754" t="s">
        <v>3915</v>
      </c>
    </row>
    <row r="2755" spans="1:102" x14ac:dyDescent="0.3">
      <c r="A2755" t="str">
        <f>HYPERLINK("https://webapp.icbf.com/v2/app/bull-search/view/462675119","LZK")</f>
        <v>LZK</v>
      </c>
      <c r="B2755" t="s">
        <v>12034</v>
      </c>
      <c r="C2755" t="s">
        <v>12035</v>
      </c>
      <c r="D2755" s="1">
        <v>34925</v>
      </c>
      <c r="E2755" t="s">
        <v>197</v>
      </c>
      <c r="F2755">
        <v>0</v>
      </c>
      <c r="G2755" t="s">
        <v>116</v>
      </c>
      <c r="H2755">
        <v>16.399999999999999</v>
      </c>
      <c r="I2755">
        <v>49</v>
      </c>
      <c r="J2755">
        <v>16.91</v>
      </c>
      <c r="K2755">
        <v>67</v>
      </c>
      <c r="L2755">
        <v>26.94</v>
      </c>
      <c r="M2755">
        <v>28</v>
      </c>
      <c r="N2755">
        <v>-52.75</v>
      </c>
      <c r="O2755">
        <v>51</v>
      </c>
      <c r="P2755">
        <v>34.36</v>
      </c>
      <c r="Q2755">
        <v>68</v>
      </c>
      <c r="R2755">
        <v>-3.15</v>
      </c>
      <c r="S2755">
        <v>35</v>
      </c>
      <c r="T2755">
        <v>-5.86</v>
      </c>
      <c r="U2755">
        <v>52</v>
      </c>
      <c r="V2755">
        <v>-0.05</v>
      </c>
      <c r="W2755">
        <v>33</v>
      </c>
      <c r="X2755" t="s">
        <v>94</v>
      </c>
      <c r="Y2755" t="s">
        <v>95</v>
      </c>
      <c r="Z2755">
        <v>0</v>
      </c>
      <c r="AA2755" t="s">
        <v>202</v>
      </c>
      <c r="AB2755" t="s">
        <v>12036</v>
      </c>
      <c r="AC2755">
        <v>8</v>
      </c>
      <c r="AD2755">
        <v>5</v>
      </c>
      <c r="AE2755">
        <v>67</v>
      </c>
      <c r="AF2755">
        <v>-90.12</v>
      </c>
      <c r="AG2755">
        <v>2.62</v>
      </c>
      <c r="AH2755">
        <v>0.56999999999999995</v>
      </c>
      <c r="AI2755">
        <v>0.1</v>
      </c>
      <c r="AJ2755">
        <v>0.06</v>
      </c>
      <c r="AK2755">
        <v>28</v>
      </c>
      <c r="AL2755">
        <v>7</v>
      </c>
      <c r="AM2755">
        <v>5</v>
      </c>
      <c r="AN2755">
        <v>-2.92</v>
      </c>
      <c r="AO2755">
        <v>-0.79</v>
      </c>
      <c r="AP2755">
        <v>22</v>
      </c>
      <c r="AQ2755">
        <v>3</v>
      </c>
      <c r="AR2755">
        <v>7.14</v>
      </c>
      <c r="AS2755">
        <v>47</v>
      </c>
      <c r="AT2755">
        <v>6.52</v>
      </c>
      <c r="AU2755">
        <v>31</v>
      </c>
      <c r="AV2755">
        <v>3.1</v>
      </c>
      <c r="AW2755">
        <v>74</v>
      </c>
      <c r="AX2755">
        <v>0.12</v>
      </c>
      <c r="AY2755">
        <v>55</v>
      </c>
      <c r="AZ2755">
        <v>5.91</v>
      </c>
      <c r="BA2755">
        <v>17</v>
      </c>
      <c r="BB2755">
        <v>3.44</v>
      </c>
      <c r="BC2755">
        <v>22</v>
      </c>
      <c r="BD2755">
        <v>0.05</v>
      </c>
      <c r="BE2755">
        <v>0.01</v>
      </c>
      <c r="BF2755">
        <v>-0.03</v>
      </c>
      <c r="BG2755">
        <v>41</v>
      </c>
      <c r="BH2755">
        <v>0.05</v>
      </c>
      <c r="BI2755">
        <v>5.96</v>
      </c>
      <c r="BJ2755">
        <v>0</v>
      </c>
      <c r="BK2755">
        <v>0</v>
      </c>
      <c r="BL2755">
        <v>-0.79</v>
      </c>
      <c r="BM2755">
        <v>0.95</v>
      </c>
      <c r="BN2755">
        <v>-0.73</v>
      </c>
      <c r="BO2755">
        <v>-1.43</v>
      </c>
      <c r="BP2755">
        <v>0.6</v>
      </c>
      <c r="BQ2755">
        <v>0.43</v>
      </c>
      <c r="BR2755">
        <v>0</v>
      </c>
      <c r="BS2755">
        <v>0.66</v>
      </c>
      <c r="BT2755">
        <v>-0.3</v>
      </c>
      <c r="BU2755">
        <v>-0.65</v>
      </c>
      <c r="BV2755">
        <v>-1.57</v>
      </c>
      <c r="BW2755">
        <v>-1.56</v>
      </c>
      <c r="BX2755">
        <v>0.03</v>
      </c>
      <c r="BY2755">
        <v>-1.45</v>
      </c>
      <c r="BZ2755">
        <v>-0.05</v>
      </c>
      <c r="CA2755">
        <v>-1.29</v>
      </c>
      <c r="CB2755">
        <v>-1.3</v>
      </c>
      <c r="CC2755">
        <v>-0.77</v>
      </c>
      <c r="CD2755">
        <v>1.47</v>
      </c>
      <c r="CE2755">
        <v>-1.49</v>
      </c>
      <c r="CF2755">
        <v>-0.53</v>
      </c>
      <c r="CG2755">
        <v>0</v>
      </c>
      <c r="CH2755">
        <v>-0.97</v>
      </c>
      <c r="CI2755">
        <v>0</v>
      </c>
      <c r="CJ2755">
        <v>17.399999999999999</v>
      </c>
      <c r="CK2755">
        <v>71</v>
      </c>
      <c r="CL2755">
        <v>0.44</v>
      </c>
      <c r="CM2755">
        <v>67</v>
      </c>
      <c r="CN2755">
        <v>-0.28999999999999998</v>
      </c>
      <c r="CO2755">
        <v>64</v>
      </c>
      <c r="CP2755">
        <v>16.100000000000001</v>
      </c>
      <c r="CQ2755">
        <v>55</v>
      </c>
      <c r="CR2755">
        <v>0</v>
      </c>
      <c r="CS2755">
        <v>0</v>
      </c>
      <c r="CT2755">
        <v>21.7</v>
      </c>
      <c r="CU2755">
        <v>52</v>
      </c>
      <c r="CV2755">
        <v>0.06</v>
      </c>
      <c r="CW2755">
        <v>19</v>
      </c>
      <c r="CX2755" t="s">
        <v>4406</v>
      </c>
    </row>
    <row r="2756" spans="1:102" x14ac:dyDescent="0.3">
      <c r="A2756" t="str">
        <f>HYPERLINK("https://webapp.icbf.com/v2/app/bull-search/view/77852947","WCS")</f>
        <v>WCS</v>
      </c>
      <c r="B2756" t="s">
        <v>3786</v>
      </c>
      <c r="C2756" t="s">
        <v>3787</v>
      </c>
      <c r="D2756" s="1">
        <v>34636</v>
      </c>
      <c r="E2756" t="s">
        <v>92</v>
      </c>
      <c r="F2756">
        <v>100</v>
      </c>
      <c r="G2756" t="s">
        <v>93</v>
      </c>
      <c r="H2756">
        <v>16.329999999999998</v>
      </c>
      <c r="I2756">
        <v>78</v>
      </c>
      <c r="J2756">
        <v>-6.27</v>
      </c>
      <c r="K2756">
        <v>95</v>
      </c>
      <c r="L2756">
        <v>-2.64</v>
      </c>
      <c r="M2756">
        <v>67</v>
      </c>
      <c r="N2756">
        <v>22.43</v>
      </c>
      <c r="O2756">
        <v>67</v>
      </c>
      <c r="P2756">
        <v>-11.28</v>
      </c>
      <c r="Q2756">
        <v>84</v>
      </c>
      <c r="R2756">
        <v>1.2</v>
      </c>
      <c r="S2756">
        <v>70</v>
      </c>
      <c r="T2756">
        <v>19.75</v>
      </c>
      <c r="U2756">
        <v>77</v>
      </c>
      <c r="V2756">
        <v>-6.86</v>
      </c>
      <c r="W2756">
        <v>48</v>
      </c>
      <c r="X2756" t="s">
        <v>94</v>
      </c>
      <c r="Y2756" t="s">
        <v>95</v>
      </c>
      <c r="Z2756" t="s">
        <v>96</v>
      </c>
      <c r="AA2756" t="s">
        <v>954</v>
      </c>
      <c r="AB2756" t="s">
        <v>3788</v>
      </c>
      <c r="AC2756">
        <v>87</v>
      </c>
      <c r="AD2756">
        <v>68</v>
      </c>
      <c r="AE2756">
        <v>95</v>
      </c>
      <c r="AF2756">
        <v>-16.78</v>
      </c>
      <c r="AG2756">
        <v>4.88</v>
      </c>
      <c r="AH2756">
        <v>-3.05</v>
      </c>
      <c r="AI2756">
        <v>0.09</v>
      </c>
      <c r="AJ2756">
        <v>-0.04</v>
      </c>
      <c r="AK2756">
        <v>67</v>
      </c>
      <c r="AL2756">
        <v>95</v>
      </c>
      <c r="AM2756">
        <v>74</v>
      </c>
      <c r="AN2756">
        <v>0.19</v>
      </c>
      <c r="AO2756">
        <v>-0.02</v>
      </c>
      <c r="AP2756">
        <v>7</v>
      </c>
      <c r="AQ2756">
        <v>0</v>
      </c>
      <c r="AR2756">
        <v>6.01</v>
      </c>
      <c r="AS2756">
        <v>38</v>
      </c>
      <c r="AT2756">
        <v>2.7</v>
      </c>
      <c r="AU2756">
        <v>65</v>
      </c>
      <c r="AV2756">
        <v>-1.48</v>
      </c>
      <c r="AW2756">
        <v>74</v>
      </c>
      <c r="AX2756">
        <v>-0.41</v>
      </c>
      <c r="AY2756">
        <v>79</v>
      </c>
      <c r="AZ2756">
        <v>5.87</v>
      </c>
      <c r="BA2756">
        <v>39</v>
      </c>
      <c r="BB2756">
        <v>4.72</v>
      </c>
      <c r="BC2756">
        <v>61</v>
      </c>
      <c r="BD2756">
        <v>0.02</v>
      </c>
      <c r="BE2756">
        <v>0.01</v>
      </c>
      <c r="BF2756">
        <v>-0.08</v>
      </c>
      <c r="BG2756">
        <v>85</v>
      </c>
      <c r="BH2756">
        <v>-0.13</v>
      </c>
      <c r="BI2756">
        <v>7.08</v>
      </c>
      <c r="BJ2756">
        <v>17</v>
      </c>
      <c r="BK2756">
        <v>14</v>
      </c>
      <c r="BL2756">
        <v>-0.94</v>
      </c>
      <c r="BM2756">
        <v>1.47</v>
      </c>
      <c r="BN2756">
        <v>-0.63</v>
      </c>
      <c r="BO2756">
        <v>-1.45</v>
      </c>
      <c r="BP2756">
        <v>2.2599999999999998</v>
      </c>
      <c r="BQ2756">
        <v>-1.58</v>
      </c>
      <c r="BR2756">
        <v>-1.02</v>
      </c>
      <c r="BS2756">
        <v>-0.96</v>
      </c>
      <c r="BT2756">
        <v>0.36</v>
      </c>
      <c r="BU2756">
        <v>-0.82</v>
      </c>
      <c r="BV2756">
        <v>-1.01</v>
      </c>
      <c r="BW2756">
        <v>-0.7</v>
      </c>
      <c r="BX2756">
        <v>-0.65</v>
      </c>
      <c r="BY2756">
        <v>-1.1499999999999999</v>
      </c>
      <c r="BZ2756">
        <v>-1.68</v>
      </c>
      <c r="CA2756">
        <v>-1.68</v>
      </c>
      <c r="CB2756">
        <v>-1.4</v>
      </c>
      <c r="CC2756">
        <v>-1.62</v>
      </c>
      <c r="CD2756">
        <v>2.29</v>
      </c>
      <c r="CE2756">
        <v>-1.32</v>
      </c>
      <c r="CF2756">
        <v>-1.48</v>
      </c>
      <c r="CG2756">
        <v>0</v>
      </c>
      <c r="CH2756">
        <v>0.06</v>
      </c>
      <c r="CI2756">
        <v>0</v>
      </c>
      <c r="CJ2756">
        <v>-5.5</v>
      </c>
      <c r="CK2756">
        <v>85</v>
      </c>
      <c r="CL2756">
        <v>-0.31</v>
      </c>
      <c r="CM2756">
        <v>83</v>
      </c>
      <c r="CN2756">
        <v>-0.1</v>
      </c>
      <c r="CO2756">
        <v>81</v>
      </c>
      <c r="CP2756">
        <v>-11.1</v>
      </c>
      <c r="CQ2756">
        <v>88</v>
      </c>
      <c r="CR2756">
        <v>0</v>
      </c>
      <c r="CS2756">
        <v>0</v>
      </c>
      <c r="CT2756">
        <v>-12.9</v>
      </c>
      <c r="CU2756">
        <v>77</v>
      </c>
      <c r="CV2756">
        <v>0</v>
      </c>
      <c r="CW2756">
        <v>24</v>
      </c>
      <c r="CX2756" t="s">
        <v>564</v>
      </c>
    </row>
    <row r="2757" spans="1:102" x14ac:dyDescent="0.3">
      <c r="A2757" t="str">
        <f>HYPERLINK("https://webapp.icbf.com/v2/app/bull-search/view/1196699251","FR2071")</f>
        <v>FR2071</v>
      </c>
      <c r="B2757" t="s">
        <v>8435</v>
      </c>
      <c r="C2757" t="s">
        <v>6211</v>
      </c>
      <c r="D2757" s="1">
        <v>41325</v>
      </c>
      <c r="E2757" t="s">
        <v>92</v>
      </c>
      <c r="F2757">
        <v>100</v>
      </c>
      <c r="G2757" t="s">
        <v>109</v>
      </c>
      <c r="H2757">
        <v>16.329999999999998</v>
      </c>
      <c r="I2757">
        <v>81</v>
      </c>
      <c r="J2757">
        <v>58.12</v>
      </c>
      <c r="K2757">
        <v>94</v>
      </c>
      <c r="L2757">
        <v>-56.06</v>
      </c>
      <c r="M2757">
        <v>86</v>
      </c>
      <c r="N2757">
        <v>15.34</v>
      </c>
      <c r="O2757">
        <v>77</v>
      </c>
      <c r="P2757">
        <v>2.2799999999999998</v>
      </c>
      <c r="Q2757">
        <v>63</v>
      </c>
      <c r="R2757">
        <v>11.03</v>
      </c>
      <c r="S2757">
        <v>75</v>
      </c>
      <c r="T2757">
        <v>-19.329999999999998</v>
      </c>
      <c r="U2757">
        <v>47</v>
      </c>
      <c r="V2757">
        <v>4.95</v>
      </c>
      <c r="W2757">
        <v>61</v>
      </c>
      <c r="X2757" t="s">
        <v>94</v>
      </c>
      <c r="Y2757" t="s">
        <v>405</v>
      </c>
      <c r="Z2757" t="s">
        <v>96</v>
      </c>
      <c r="AA2757" t="s">
        <v>412</v>
      </c>
      <c r="AB2757" t="s">
        <v>2692</v>
      </c>
      <c r="AC2757">
        <v>0</v>
      </c>
      <c r="AD2757">
        <v>0</v>
      </c>
      <c r="AE2757">
        <v>94</v>
      </c>
      <c r="AF2757">
        <v>669.2</v>
      </c>
      <c r="AG2757">
        <v>13.28</v>
      </c>
      <c r="AH2757">
        <v>15.43</v>
      </c>
      <c r="AI2757">
        <v>-0.2</v>
      </c>
      <c r="AJ2757">
        <v>-0.11</v>
      </c>
      <c r="AK2757">
        <v>86</v>
      </c>
      <c r="AL2757">
        <v>0</v>
      </c>
      <c r="AM2757">
        <v>0</v>
      </c>
      <c r="AN2757">
        <v>4.67</v>
      </c>
      <c r="AO2757">
        <v>0.22</v>
      </c>
      <c r="AP2757">
        <v>65</v>
      </c>
      <c r="AQ2757">
        <v>0</v>
      </c>
      <c r="AR2757">
        <v>9.11</v>
      </c>
      <c r="AS2757">
        <v>69</v>
      </c>
      <c r="AT2757">
        <v>3.85</v>
      </c>
      <c r="AU2757">
        <v>93</v>
      </c>
      <c r="AV2757">
        <v>-3.26</v>
      </c>
      <c r="AW2757">
        <v>85</v>
      </c>
      <c r="AX2757">
        <v>0.93</v>
      </c>
      <c r="AY2757">
        <v>68</v>
      </c>
      <c r="AZ2757">
        <v>5.16</v>
      </c>
      <c r="BA2757">
        <v>48</v>
      </c>
      <c r="BB2757">
        <v>4.7300000000000004</v>
      </c>
      <c r="BC2757">
        <v>43</v>
      </c>
      <c r="BD2757">
        <v>-0.01</v>
      </c>
      <c r="BE2757">
        <v>-0.03</v>
      </c>
      <c r="BF2757">
        <v>-0.18</v>
      </c>
      <c r="BG2757">
        <v>92</v>
      </c>
      <c r="BH2757">
        <v>0.08</v>
      </c>
      <c r="BI2757">
        <v>-6.71</v>
      </c>
      <c r="BJ2757">
        <v>1</v>
      </c>
      <c r="BK2757">
        <v>1</v>
      </c>
      <c r="BL2757">
        <v>3.69</v>
      </c>
      <c r="BM2757">
        <v>0.56000000000000005</v>
      </c>
      <c r="BN2757">
        <v>1.32</v>
      </c>
      <c r="BO2757">
        <v>1.61</v>
      </c>
      <c r="BP2757">
        <v>0.48</v>
      </c>
      <c r="BQ2757">
        <v>3.9</v>
      </c>
      <c r="BR2757">
        <v>-0.26</v>
      </c>
      <c r="BS2757">
        <v>1.51</v>
      </c>
      <c r="BT2757">
        <v>1.1100000000000001</v>
      </c>
      <c r="BU2757">
        <v>4.3499999999999996</v>
      </c>
      <c r="BV2757">
        <v>4.66</v>
      </c>
      <c r="BW2757">
        <v>2.91</v>
      </c>
      <c r="BX2757">
        <v>4.3899999999999997</v>
      </c>
      <c r="BY2757">
        <v>2.27</v>
      </c>
      <c r="BZ2757">
        <v>-2.78</v>
      </c>
      <c r="CA2757">
        <v>3.41</v>
      </c>
      <c r="CB2757">
        <v>3.34</v>
      </c>
      <c r="CC2757">
        <v>1.4</v>
      </c>
      <c r="CD2757">
        <v>-0.35</v>
      </c>
      <c r="CE2757">
        <v>1.53</v>
      </c>
      <c r="CF2757">
        <v>2.61</v>
      </c>
      <c r="CG2757">
        <v>0</v>
      </c>
      <c r="CH2757">
        <v>2.13</v>
      </c>
      <c r="CI2757">
        <v>0</v>
      </c>
      <c r="CJ2757">
        <v>8.3000000000000007</v>
      </c>
      <c r="CK2757">
        <v>66</v>
      </c>
      <c r="CL2757">
        <v>-1.75</v>
      </c>
      <c r="CM2757">
        <v>61</v>
      </c>
      <c r="CN2757">
        <v>-0.56000000000000005</v>
      </c>
      <c r="CO2757">
        <v>60</v>
      </c>
      <c r="CP2757">
        <v>15.5</v>
      </c>
      <c r="CQ2757">
        <v>50</v>
      </c>
      <c r="CR2757">
        <v>0</v>
      </c>
      <c r="CS2757">
        <v>0</v>
      </c>
      <c r="CT2757">
        <v>39.9</v>
      </c>
      <c r="CU2757">
        <v>47</v>
      </c>
      <c r="CV2757">
        <v>0.44</v>
      </c>
      <c r="CW2757">
        <v>39</v>
      </c>
      <c r="CX2757" t="s">
        <v>2693</v>
      </c>
    </row>
    <row r="2758" spans="1:102" x14ac:dyDescent="0.3">
      <c r="A2758" t="str">
        <f>HYPERLINK("https://webapp.icbf.com/v2/app/bull-search/view/547761074","KJV")</f>
        <v>KJV</v>
      </c>
      <c r="B2758" t="s">
        <v>8756</v>
      </c>
      <c r="C2758" t="s">
        <v>8757</v>
      </c>
      <c r="D2758" s="1">
        <v>37763</v>
      </c>
      <c r="E2758" t="s">
        <v>92</v>
      </c>
      <c r="F2758">
        <v>100</v>
      </c>
      <c r="G2758" t="s">
        <v>93</v>
      </c>
      <c r="H2758">
        <v>16.260000000000002</v>
      </c>
      <c r="I2758">
        <v>91</v>
      </c>
      <c r="J2758">
        <v>-3.3</v>
      </c>
      <c r="K2758">
        <v>97</v>
      </c>
      <c r="L2758">
        <v>25.2</v>
      </c>
      <c r="M2758">
        <v>91</v>
      </c>
      <c r="N2758">
        <v>-14.63</v>
      </c>
      <c r="O2758">
        <v>88</v>
      </c>
      <c r="P2758">
        <v>-8.9</v>
      </c>
      <c r="Q2758">
        <v>92</v>
      </c>
      <c r="R2758">
        <v>7.8</v>
      </c>
      <c r="S2758">
        <v>84</v>
      </c>
      <c r="T2758">
        <v>5.61</v>
      </c>
      <c r="U2758">
        <v>77</v>
      </c>
      <c r="V2758">
        <v>4.4800000000000004</v>
      </c>
      <c r="W2758">
        <v>74</v>
      </c>
      <c r="X2758" t="s">
        <v>251</v>
      </c>
      <c r="Y2758" t="s">
        <v>270</v>
      </c>
      <c r="Z2758" t="s">
        <v>96</v>
      </c>
      <c r="AA2758" t="s">
        <v>4248</v>
      </c>
      <c r="AB2758" t="s">
        <v>8758</v>
      </c>
      <c r="AC2758">
        <v>109</v>
      </c>
      <c r="AD2758">
        <v>55</v>
      </c>
      <c r="AE2758">
        <v>97</v>
      </c>
      <c r="AF2758">
        <v>285.16000000000003</v>
      </c>
      <c r="AG2758">
        <v>0.8</v>
      </c>
      <c r="AH2758">
        <v>3.52</v>
      </c>
      <c r="AI2758">
        <v>-0.17</v>
      </c>
      <c r="AJ2758">
        <v>-0.1</v>
      </c>
      <c r="AK2758">
        <v>91</v>
      </c>
      <c r="AL2758">
        <v>123</v>
      </c>
      <c r="AM2758">
        <v>53</v>
      </c>
      <c r="AN2758">
        <v>-0.57999999999999996</v>
      </c>
      <c r="AO2758">
        <v>1.44</v>
      </c>
      <c r="AP2758">
        <v>216</v>
      </c>
      <c r="AQ2758">
        <v>0</v>
      </c>
      <c r="AR2758">
        <v>9.6</v>
      </c>
      <c r="AS2758">
        <v>82</v>
      </c>
      <c r="AT2758">
        <v>4.76</v>
      </c>
      <c r="AU2758">
        <v>98</v>
      </c>
      <c r="AV2758">
        <v>-0.9</v>
      </c>
      <c r="AW2758">
        <v>92</v>
      </c>
      <c r="AX2758">
        <v>-0.3</v>
      </c>
      <c r="AY2758">
        <v>84</v>
      </c>
      <c r="AZ2758">
        <v>6.23</v>
      </c>
      <c r="BA2758">
        <v>71</v>
      </c>
      <c r="BB2758">
        <v>5.01</v>
      </c>
      <c r="BC2758">
        <v>68</v>
      </c>
      <c r="BD2758">
        <v>-0.08</v>
      </c>
      <c r="BE2758">
        <v>-0.04</v>
      </c>
      <c r="BF2758">
        <v>0.03</v>
      </c>
      <c r="BG2758">
        <v>96</v>
      </c>
      <c r="BH2758">
        <v>0.2</v>
      </c>
      <c r="BI2758">
        <v>8.69</v>
      </c>
      <c r="BJ2758">
        <v>63</v>
      </c>
      <c r="BK2758">
        <v>30</v>
      </c>
      <c r="BL2758">
        <v>0.15</v>
      </c>
      <c r="BM2758">
        <v>-1.31</v>
      </c>
      <c r="BN2758">
        <v>-0.45</v>
      </c>
      <c r="BO2758">
        <v>0.51</v>
      </c>
      <c r="BP2758">
        <v>1.1399999999999999</v>
      </c>
      <c r="BQ2758">
        <v>-0.54</v>
      </c>
      <c r="BR2758">
        <v>-0.75</v>
      </c>
      <c r="BS2758">
        <v>1.75</v>
      </c>
      <c r="BT2758">
        <v>1.25</v>
      </c>
      <c r="BU2758">
        <v>1.73</v>
      </c>
      <c r="BV2758">
        <v>0.89</v>
      </c>
      <c r="BW2758">
        <v>0.51</v>
      </c>
      <c r="BX2758">
        <v>1.66</v>
      </c>
      <c r="BY2758">
        <v>1.55</v>
      </c>
      <c r="BZ2758">
        <v>-0.28999999999999998</v>
      </c>
      <c r="CA2758">
        <v>1.83</v>
      </c>
      <c r="CB2758">
        <v>1.81</v>
      </c>
      <c r="CC2758">
        <v>1.34</v>
      </c>
      <c r="CD2758">
        <v>-0.28000000000000003</v>
      </c>
      <c r="CE2758">
        <v>0.41</v>
      </c>
      <c r="CF2758">
        <v>0.21</v>
      </c>
      <c r="CG2758">
        <v>0</v>
      </c>
      <c r="CH2758">
        <v>1.44</v>
      </c>
      <c r="CI2758">
        <v>0</v>
      </c>
      <c r="CJ2758">
        <v>-3.3</v>
      </c>
      <c r="CK2758">
        <v>93</v>
      </c>
      <c r="CL2758">
        <v>-1</v>
      </c>
      <c r="CM2758">
        <v>91</v>
      </c>
      <c r="CN2758">
        <v>-0.54</v>
      </c>
      <c r="CO2758">
        <v>90</v>
      </c>
      <c r="CP2758">
        <v>-2.2999999999999998</v>
      </c>
      <c r="CQ2758">
        <v>88</v>
      </c>
      <c r="CR2758">
        <v>0</v>
      </c>
      <c r="CS2758">
        <v>0</v>
      </c>
      <c r="CT2758">
        <v>6.2</v>
      </c>
      <c r="CU2758">
        <v>77</v>
      </c>
      <c r="CV2758">
        <v>0.08</v>
      </c>
      <c r="CW2758">
        <v>44</v>
      </c>
      <c r="CX2758" t="s">
        <v>856</v>
      </c>
    </row>
    <row r="2759" spans="1:102" x14ac:dyDescent="0.3">
      <c r="A2759" t="str">
        <f>HYPERLINK("https://webapp.icbf.com/v2/app/bull-search/view/77853271","TYF")</f>
        <v>TYF</v>
      </c>
      <c r="B2759" t="s">
        <v>2877</v>
      </c>
      <c r="C2759" t="s">
        <v>2878</v>
      </c>
      <c r="D2759" s="1">
        <v>33787</v>
      </c>
      <c r="E2759" t="s">
        <v>92</v>
      </c>
      <c r="F2759">
        <v>50</v>
      </c>
      <c r="G2759" t="s">
        <v>93</v>
      </c>
      <c r="H2759">
        <v>16.2</v>
      </c>
      <c r="I2759">
        <v>48</v>
      </c>
      <c r="J2759">
        <v>-46.01</v>
      </c>
      <c r="K2759">
        <v>60</v>
      </c>
      <c r="L2759">
        <v>60.28</v>
      </c>
      <c r="M2759">
        <v>43</v>
      </c>
      <c r="N2759">
        <v>8.6999999999999993</v>
      </c>
      <c r="O2759">
        <v>36</v>
      </c>
      <c r="P2759">
        <v>-17.21</v>
      </c>
      <c r="Q2759">
        <v>49</v>
      </c>
      <c r="R2759">
        <v>-11.19</v>
      </c>
      <c r="S2759">
        <v>44</v>
      </c>
      <c r="T2759">
        <v>20.93</v>
      </c>
      <c r="U2759">
        <v>40</v>
      </c>
      <c r="V2759">
        <v>0.7</v>
      </c>
      <c r="W2759">
        <v>32</v>
      </c>
      <c r="X2759" t="s">
        <v>110</v>
      </c>
      <c r="Y2759" t="s">
        <v>95</v>
      </c>
      <c r="Z2759" t="s">
        <v>96</v>
      </c>
      <c r="AA2759" t="s">
        <v>2879</v>
      </c>
      <c r="AB2759" t="s">
        <v>2880</v>
      </c>
      <c r="AC2759">
        <v>12</v>
      </c>
      <c r="AD2759">
        <v>2</v>
      </c>
      <c r="AE2759">
        <v>60</v>
      </c>
      <c r="AF2759">
        <v>-183.12</v>
      </c>
      <c r="AG2759">
        <v>-8.0500000000000007</v>
      </c>
      <c r="AH2759">
        <v>-7.78</v>
      </c>
      <c r="AI2759">
        <v>-0.02</v>
      </c>
      <c r="AJ2759">
        <v>-0.03</v>
      </c>
      <c r="AK2759">
        <v>43</v>
      </c>
      <c r="AL2759">
        <v>14</v>
      </c>
      <c r="AM2759">
        <v>5</v>
      </c>
      <c r="AN2759">
        <v>-3.84</v>
      </c>
      <c r="AO2759">
        <v>0.96</v>
      </c>
      <c r="AP2759">
        <v>1</v>
      </c>
      <c r="AQ2759">
        <v>0</v>
      </c>
      <c r="AR2759">
        <v>5.53</v>
      </c>
      <c r="AS2759">
        <v>25</v>
      </c>
      <c r="AT2759">
        <v>2.59</v>
      </c>
      <c r="AU2759">
        <v>32</v>
      </c>
      <c r="AV2759">
        <v>0.31</v>
      </c>
      <c r="AW2759">
        <v>39</v>
      </c>
      <c r="AX2759">
        <v>-0.19</v>
      </c>
      <c r="AY2759">
        <v>58</v>
      </c>
      <c r="AZ2759">
        <v>5.86</v>
      </c>
      <c r="BA2759">
        <v>26</v>
      </c>
      <c r="BB2759">
        <v>4.8899999999999997</v>
      </c>
      <c r="BC2759">
        <v>31</v>
      </c>
      <c r="BD2759">
        <v>0.05</v>
      </c>
      <c r="BE2759">
        <v>0.06</v>
      </c>
      <c r="BF2759">
        <v>0.06</v>
      </c>
      <c r="BG2759">
        <v>53</v>
      </c>
      <c r="BH2759">
        <v>-0.16</v>
      </c>
      <c r="BI2759">
        <v>-20.76</v>
      </c>
      <c r="BJ2759">
        <v>0</v>
      </c>
      <c r="BK2759">
        <v>0</v>
      </c>
      <c r="BL2759">
        <v>-1.5</v>
      </c>
      <c r="BM2759">
        <v>0.16</v>
      </c>
      <c r="BN2759">
        <v>-0.86</v>
      </c>
      <c r="BO2759">
        <v>-1.1200000000000001</v>
      </c>
      <c r="BP2759">
        <v>-0.31</v>
      </c>
      <c r="BQ2759">
        <v>-0.36</v>
      </c>
      <c r="BR2759">
        <v>-0.42</v>
      </c>
      <c r="BS2759">
        <v>0.23</v>
      </c>
      <c r="BT2759">
        <v>0.28999999999999998</v>
      </c>
      <c r="BU2759">
        <v>-1.3</v>
      </c>
      <c r="BV2759">
        <v>-0.98</v>
      </c>
      <c r="BW2759">
        <v>-0.88</v>
      </c>
      <c r="BX2759">
        <v>-1.29</v>
      </c>
      <c r="BY2759">
        <v>-1.46</v>
      </c>
      <c r="BZ2759">
        <v>-0.16</v>
      </c>
      <c r="CA2759">
        <v>-1.1000000000000001</v>
      </c>
      <c r="CB2759">
        <v>-1.28</v>
      </c>
      <c r="CC2759">
        <v>-0.27</v>
      </c>
      <c r="CD2759">
        <v>1.1399999999999999</v>
      </c>
      <c r="CE2759">
        <v>-1.02</v>
      </c>
      <c r="CF2759">
        <v>-1.36</v>
      </c>
      <c r="CG2759">
        <v>0</v>
      </c>
      <c r="CH2759">
        <v>-0.89</v>
      </c>
      <c r="CI2759">
        <v>0</v>
      </c>
      <c r="CJ2759">
        <v>-8.3000000000000007</v>
      </c>
      <c r="CK2759">
        <v>50</v>
      </c>
      <c r="CL2759">
        <v>-0.41</v>
      </c>
      <c r="CM2759">
        <v>48</v>
      </c>
      <c r="CN2759">
        <v>-0.04</v>
      </c>
      <c r="CO2759">
        <v>45</v>
      </c>
      <c r="CP2759">
        <v>-13.3</v>
      </c>
      <c r="CQ2759">
        <v>51</v>
      </c>
      <c r="CR2759">
        <v>0</v>
      </c>
      <c r="CS2759">
        <v>0</v>
      </c>
      <c r="CT2759">
        <v>-14.5</v>
      </c>
      <c r="CU2759">
        <v>40</v>
      </c>
      <c r="CV2759">
        <v>-0.04</v>
      </c>
      <c r="CW2759">
        <v>14</v>
      </c>
      <c r="CX2759" t="s">
        <v>2881</v>
      </c>
    </row>
    <row r="2760" spans="1:102" x14ac:dyDescent="0.3">
      <c r="A2760" t="str">
        <f>HYPERLINK("https://webapp.icbf.com/v2/app/bull-search/view/77858524","DPK")</f>
        <v>DPK</v>
      </c>
      <c r="B2760" t="s">
        <v>7377</v>
      </c>
      <c r="C2760" t="s">
        <v>7378</v>
      </c>
      <c r="D2760" s="1">
        <v>32831</v>
      </c>
      <c r="E2760" t="s">
        <v>92</v>
      </c>
      <c r="F2760">
        <v>100</v>
      </c>
      <c r="G2760" t="s">
        <v>93</v>
      </c>
      <c r="H2760">
        <v>16.149999999999999</v>
      </c>
      <c r="I2760">
        <v>92</v>
      </c>
      <c r="J2760">
        <v>-7.82</v>
      </c>
      <c r="K2760">
        <v>98</v>
      </c>
      <c r="L2760">
        <v>12.29</v>
      </c>
      <c r="M2760">
        <v>90</v>
      </c>
      <c r="N2760">
        <v>7.14</v>
      </c>
      <c r="O2760">
        <v>86</v>
      </c>
      <c r="P2760">
        <v>-4.3600000000000003</v>
      </c>
      <c r="Q2760">
        <v>93</v>
      </c>
      <c r="R2760">
        <v>-1.07</v>
      </c>
      <c r="S2760">
        <v>83</v>
      </c>
      <c r="T2760">
        <v>15.82</v>
      </c>
      <c r="U2760">
        <v>93</v>
      </c>
      <c r="V2760">
        <v>-5.85</v>
      </c>
      <c r="W2760">
        <v>74</v>
      </c>
      <c r="X2760" t="s">
        <v>94</v>
      </c>
      <c r="Y2760" t="s">
        <v>95</v>
      </c>
      <c r="Z2760" t="s">
        <v>96</v>
      </c>
      <c r="AA2760" t="s">
        <v>126</v>
      </c>
      <c r="AB2760" t="s">
        <v>7379</v>
      </c>
      <c r="AC2760">
        <v>227</v>
      </c>
      <c r="AD2760">
        <v>143</v>
      </c>
      <c r="AE2760">
        <v>98</v>
      </c>
      <c r="AF2760">
        <v>-147.85</v>
      </c>
      <c r="AG2760">
        <v>-3.4</v>
      </c>
      <c r="AH2760">
        <v>-2.39</v>
      </c>
      <c r="AI2760">
        <v>0.04</v>
      </c>
      <c r="AJ2760">
        <v>0.05</v>
      </c>
      <c r="AK2760">
        <v>90</v>
      </c>
      <c r="AL2760">
        <v>305</v>
      </c>
      <c r="AM2760">
        <v>173</v>
      </c>
      <c r="AN2760">
        <v>-0.66</v>
      </c>
      <c r="AO2760">
        <v>0.32</v>
      </c>
      <c r="AP2760">
        <v>65</v>
      </c>
      <c r="AQ2760">
        <v>0</v>
      </c>
      <c r="AR2760">
        <v>6.28</v>
      </c>
      <c r="AS2760">
        <v>74</v>
      </c>
      <c r="AT2760">
        <v>3.39</v>
      </c>
      <c r="AU2760">
        <v>86</v>
      </c>
      <c r="AV2760">
        <v>-0.21</v>
      </c>
      <c r="AW2760">
        <v>91</v>
      </c>
      <c r="AX2760">
        <v>-0.54</v>
      </c>
      <c r="AY2760">
        <v>90</v>
      </c>
      <c r="AZ2760">
        <v>5.63</v>
      </c>
      <c r="BA2760">
        <v>64</v>
      </c>
      <c r="BB2760">
        <v>4.6399999999999997</v>
      </c>
      <c r="BC2760">
        <v>79</v>
      </c>
      <c r="BD2760">
        <v>0.01</v>
      </c>
      <c r="BE2760">
        <v>0.02</v>
      </c>
      <c r="BF2760">
        <v>-0.03</v>
      </c>
      <c r="BG2760">
        <v>95</v>
      </c>
      <c r="BH2760">
        <v>0.04</v>
      </c>
      <c r="BI2760">
        <v>23.51</v>
      </c>
      <c r="BJ2760">
        <v>15</v>
      </c>
      <c r="BK2760">
        <v>14</v>
      </c>
      <c r="BL2760">
        <v>0.5</v>
      </c>
      <c r="BM2760">
        <v>-0.56999999999999995</v>
      </c>
      <c r="BN2760">
        <v>-0.33</v>
      </c>
      <c r="BO2760">
        <v>-0.26</v>
      </c>
      <c r="BP2760">
        <v>0.82</v>
      </c>
      <c r="BQ2760">
        <v>-1.62</v>
      </c>
      <c r="BR2760">
        <v>-0.68</v>
      </c>
      <c r="BS2760">
        <v>-0.37</v>
      </c>
      <c r="BT2760">
        <v>0.18</v>
      </c>
      <c r="BU2760">
        <v>0.14000000000000001</v>
      </c>
      <c r="BV2760">
        <v>-1.19</v>
      </c>
      <c r="BW2760">
        <v>-0.19</v>
      </c>
      <c r="BX2760">
        <v>0.15</v>
      </c>
      <c r="BY2760">
        <v>0.63</v>
      </c>
      <c r="BZ2760">
        <v>1.86</v>
      </c>
      <c r="CA2760">
        <v>-0.48</v>
      </c>
      <c r="CB2760">
        <v>-0.78</v>
      </c>
      <c r="CC2760">
        <v>0.85</v>
      </c>
      <c r="CD2760">
        <v>-0.04</v>
      </c>
      <c r="CE2760">
        <v>-0.56000000000000005</v>
      </c>
      <c r="CF2760">
        <v>-0.43</v>
      </c>
      <c r="CG2760">
        <v>0</v>
      </c>
      <c r="CH2760">
        <v>0.51</v>
      </c>
      <c r="CI2760">
        <v>0</v>
      </c>
      <c r="CJ2760">
        <v>0.2</v>
      </c>
      <c r="CK2760">
        <v>93</v>
      </c>
      <c r="CL2760">
        <v>-0.42</v>
      </c>
      <c r="CM2760">
        <v>92</v>
      </c>
      <c r="CN2760">
        <v>0</v>
      </c>
      <c r="CO2760">
        <v>91</v>
      </c>
      <c r="CP2760">
        <v>-2</v>
      </c>
      <c r="CQ2760">
        <v>95</v>
      </c>
      <c r="CR2760">
        <v>0</v>
      </c>
      <c r="CS2760">
        <v>0</v>
      </c>
      <c r="CT2760">
        <v>-7.6</v>
      </c>
      <c r="CU2760">
        <v>93</v>
      </c>
      <c r="CV2760">
        <v>0.16</v>
      </c>
      <c r="CW2760">
        <v>44</v>
      </c>
      <c r="CX2760" t="s">
        <v>113</v>
      </c>
    </row>
    <row r="2761" spans="1:102" x14ac:dyDescent="0.3">
      <c r="A2761" t="str">
        <f>HYPERLINK("https://webapp.icbf.com/v2/app/bull-search/view/444481935","VAM")</f>
        <v>VAM</v>
      </c>
      <c r="B2761" t="s">
        <v>8866</v>
      </c>
      <c r="C2761" t="s">
        <v>8867</v>
      </c>
      <c r="D2761" s="1">
        <v>36075</v>
      </c>
      <c r="E2761" t="s">
        <v>92</v>
      </c>
      <c r="F2761">
        <v>100</v>
      </c>
      <c r="G2761" t="s">
        <v>93</v>
      </c>
      <c r="H2761">
        <v>16.13</v>
      </c>
      <c r="I2761">
        <v>91</v>
      </c>
      <c r="J2761">
        <v>41.41</v>
      </c>
      <c r="K2761">
        <v>97</v>
      </c>
      <c r="L2761">
        <v>-45.43</v>
      </c>
      <c r="M2761">
        <v>88</v>
      </c>
      <c r="N2761">
        <v>22.72</v>
      </c>
      <c r="O2761">
        <v>86</v>
      </c>
      <c r="P2761">
        <v>-16.43</v>
      </c>
      <c r="Q2761">
        <v>94</v>
      </c>
      <c r="R2761">
        <v>-3.78</v>
      </c>
      <c r="S2761">
        <v>84</v>
      </c>
      <c r="T2761">
        <v>16.86</v>
      </c>
      <c r="U2761">
        <v>88</v>
      </c>
      <c r="V2761">
        <v>0.78</v>
      </c>
      <c r="W2761">
        <v>84</v>
      </c>
      <c r="X2761" t="s">
        <v>102</v>
      </c>
      <c r="Y2761" t="s">
        <v>235</v>
      </c>
      <c r="Z2761" t="s">
        <v>96</v>
      </c>
      <c r="AA2761" t="s">
        <v>901</v>
      </c>
      <c r="AB2761" t="s">
        <v>8868</v>
      </c>
      <c r="AC2761">
        <v>98</v>
      </c>
      <c r="AD2761">
        <v>42</v>
      </c>
      <c r="AE2761">
        <v>97</v>
      </c>
      <c r="AF2761">
        <v>377.28</v>
      </c>
      <c r="AG2761">
        <v>3.3</v>
      </c>
      <c r="AH2761">
        <v>11.65</v>
      </c>
      <c r="AI2761">
        <v>-0.19</v>
      </c>
      <c r="AJ2761">
        <v>-0.02</v>
      </c>
      <c r="AK2761">
        <v>88</v>
      </c>
      <c r="AL2761">
        <v>118</v>
      </c>
      <c r="AM2761">
        <v>49</v>
      </c>
      <c r="AN2761">
        <v>2.7</v>
      </c>
      <c r="AO2761">
        <v>-0.92</v>
      </c>
      <c r="AP2761">
        <v>184</v>
      </c>
      <c r="AQ2761">
        <v>0</v>
      </c>
      <c r="AR2761">
        <v>8.9700000000000006</v>
      </c>
      <c r="AS2761">
        <v>70</v>
      </c>
      <c r="AT2761">
        <v>3.56</v>
      </c>
      <c r="AU2761">
        <v>89</v>
      </c>
      <c r="AV2761">
        <v>-3.36</v>
      </c>
      <c r="AW2761">
        <v>96</v>
      </c>
      <c r="AX2761">
        <v>-0.84</v>
      </c>
      <c r="AY2761">
        <v>82</v>
      </c>
      <c r="AZ2761">
        <v>6.32</v>
      </c>
      <c r="BA2761">
        <v>66</v>
      </c>
      <c r="BB2761">
        <v>4.6900000000000004</v>
      </c>
      <c r="BC2761">
        <v>70</v>
      </c>
      <c r="BD2761">
        <v>0.03</v>
      </c>
      <c r="BE2761">
        <v>0.03</v>
      </c>
      <c r="BF2761">
        <v>-0.02</v>
      </c>
      <c r="BG2761">
        <v>92</v>
      </c>
      <c r="BH2761">
        <v>0.16</v>
      </c>
      <c r="BI2761">
        <v>15.98</v>
      </c>
      <c r="BJ2761">
        <v>1</v>
      </c>
      <c r="BK2761">
        <v>1</v>
      </c>
      <c r="BL2761">
        <v>0.42</v>
      </c>
      <c r="BM2761">
        <v>-2.11</v>
      </c>
      <c r="BN2761">
        <v>-1.35</v>
      </c>
      <c r="BO2761">
        <v>1.34</v>
      </c>
      <c r="BP2761">
        <v>1.1399999999999999</v>
      </c>
      <c r="BQ2761">
        <v>-1.79</v>
      </c>
      <c r="BR2761">
        <v>-0.36</v>
      </c>
      <c r="BS2761">
        <v>0.49</v>
      </c>
      <c r="BT2761">
        <v>-0.3</v>
      </c>
      <c r="BU2761">
        <v>0.99</v>
      </c>
      <c r="BV2761">
        <v>1.42</v>
      </c>
      <c r="BW2761">
        <v>2.2799999999999998</v>
      </c>
      <c r="BX2761">
        <v>0.56999999999999995</v>
      </c>
      <c r="BY2761">
        <v>2.36</v>
      </c>
      <c r="BZ2761">
        <v>-0.51</v>
      </c>
      <c r="CA2761">
        <v>2.2799999999999998</v>
      </c>
      <c r="CB2761">
        <v>2.11</v>
      </c>
      <c r="CC2761">
        <v>0.63</v>
      </c>
      <c r="CD2761">
        <v>-0.97</v>
      </c>
      <c r="CE2761">
        <v>0.65</v>
      </c>
      <c r="CF2761">
        <v>0.02</v>
      </c>
      <c r="CG2761">
        <v>0</v>
      </c>
      <c r="CH2761">
        <v>2.75</v>
      </c>
      <c r="CI2761">
        <v>0</v>
      </c>
      <c r="CJ2761">
        <v>-6.3</v>
      </c>
      <c r="CK2761">
        <v>95</v>
      </c>
      <c r="CL2761">
        <v>-0.88</v>
      </c>
      <c r="CM2761">
        <v>93</v>
      </c>
      <c r="CN2761">
        <v>-0.27</v>
      </c>
      <c r="CO2761">
        <v>92</v>
      </c>
      <c r="CP2761">
        <v>-12.1</v>
      </c>
      <c r="CQ2761">
        <v>90</v>
      </c>
      <c r="CR2761">
        <v>0</v>
      </c>
      <c r="CS2761">
        <v>0</v>
      </c>
      <c r="CT2761">
        <v>-9</v>
      </c>
      <c r="CU2761">
        <v>88</v>
      </c>
      <c r="CV2761">
        <v>0.11</v>
      </c>
      <c r="CW2761">
        <v>45</v>
      </c>
      <c r="CX2761" t="s">
        <v>218</v>
      </c>
    </row>
    <row r="2762" spans="1:102" x14ac:dyDescent="0.3">
      <c r="A2762" t="str">
        <f>HYPERLINK("https://webapp.icbf.com/v2/app/bull-search/view/354492643","UTA")</f>
        <v>UTA</v>
      </c>
      <c r="B2762" t="s">
        <v>7231</v>
      </c>
      <c r="C2762" t="s">
        <v>7232</v>
      </c>
      <c r="D2762" s="1">
        <v>34786</v>
      </c>
      <c r="E2762" t="s">
        <v>92</v>
      </c>
      <c r="F2762">
        <v>50</v>
      </c>
      <c r="G2762" t="s">
        <v>109</v>
      </c>
      <c r="H2762">
        <v>15.99</v>
      </c>
      <c r="I2762">
        <v>63</v>
      </c>
      <c r="J2762">
        <v>25.04</v>
      </c>
      <c r="K2762">
        <v>75</v>
      </c>
      <c r="L2762">
        <v>2.92</v>
      </c>
      <c r="M2762">
        <v>66</v>
      </c>
      <c r="N2762">
        <v>-4.88</v>
      </c>
      <c r="O2762">
        <v>38</v>
      </c>
      <c r="P2762">
        <v>-1.37</v>
      </c>
      <c r="Q2762">
        <v>67</v>
      </c>
      <c r="R2762">
        <v>-9.58</v>
      </c>
      <c r="S2762">
        <v>55</v>
      </c>
      <c r="T2762">
        <v>5.91</v>
      </c>
      <c r="U2762">
        <v>48</v>
      </c>
      <c r="V2762">
        <v>-2.0499999999999998</v>
      </c>
      <c r="W2762">
        <v>22</v>
      </c>
      <c r="X2762" t="s">
        <v>276</v>
      </c>
      <c r="Y2762" t="s">
        <v>95</v>
      </c>
      <c r="Z2762" t="s">
        <v>96</v>
      </c>
      <c r="AA2762" t="s">
        <v>4570</v>
      </c>
      <c r="AB2762" t="s">
        <v>7233</v>
      </c>
      <c r="AC2762">
        <v>0</v>
      </c>
      <c r="AD2762">
        <v>0</v>
      </c>
      <c r="AE2762">
        <v>75</v>
      </c>
      <c r="AF2762">
        <v>-66.900000000000006</v>
      </c>
      <c r="AG2762">
        <v>7.25</v>
      </c>
      <c r="AH2762">
        <v>0.67</v>
      </c>
      <c r="AI2762">
        <v>0.17</v>
      </c>
      <c r="AJ2762">
        <v>0.05</v>
      </c>
      <c r="AK2762">
        <v>66</v>
      </c>
      <c r="AL2762">
        <v>0</v>
      </c>
      <c r="AM2762">
        <v>0</v>
      </c>
      <c r="AN2762">
        <v>-1.18</v>
      </c>
      <c r="AO2762">
        <v>-0.96</v>
      </c>
      <c r="AP2762">
        <v>25</v>
      </c>
      <c r="AQ2762">
        <v>2</v>
      </c>
      <c r="AR2762">
        <v>7.18</v>
      </c>
      <c r="AS2762">
        <v>18</v>
      </c>
      <c r="AT2762">
        <v>3.3</v>
      </c>
      <c r="AU2762">
        <v>49</v>
      </c>
      <c r="AV2762">
        <v>-0.56999999999999995</v>
      </c>
      <c r="AW2762">
        <v>43</v>
      </c>
      <c r="AX2762">
        <v>1.65</v>
      </c>
      <c r="AY2762">
        <v>40</v>
      </c>
      <c r="AZ2762">
        <v>6.77</v>
      </c>
      <c r="BA2762">
        <v>20</v>
      </c>
      <c r="BB2762">
        <v>5.81</v>
      </c>
      <c r="BC2762">
        <v>18</v>
      </c>
      <c r="BD2762">
        <v>0.02</v>
      </c>
      <c r="BE2762">
        <v>0.03</v>
      </c>
      <c r="BF2762">
        <v>0.13</v>
      </c>
      <c r="BG2762">
        <v>83</v>
      </c>
      <c r="BH2762">
        <v>-0.01</v>
      </c>
      <c r="BI2762">
        <v>5.46</v>
      </c>
      <c r="BJ2762">
        <v>0</v>
      </c>
      <c r="BK2762">
        <v>0</v>
      </c>
      <c r="BL2762">
        <v>0</v>
      </c>
      <c r="BM2762">
        <v>1.01</v>
      </c>
      <c r="BN2762">
        <v>0.17</v>
      </c>
      <c r="BO2762">
        <v>-0.67</v>
      </c>
      <c r="BP2762">
        <v>2.34</v>
      </c>
      <c r="BQ2762">
        <v>-1.1000000000000001</v>
      </c>
      <c r="BR2762">
        <v>1.75</v>
      </c>
      <c r="BS2762">
        <v>-2.87</v>
      </c>
      <c r="BT2762">
        <v>-2.04</v>
      </c>
      <c r="BU2762">
        <v>-0.84</v>
      </c>
      <c r="BV2762">
        <v>-1.5</v>
      </c>
      <c r="BW2762">
        <v>-0.85</v>
      </c>
      <c r="BX2762">
        <v>-1.42</v>
      </c>
      <c r="BY2762">
        <v>-1.98</v>
      </c>
      <c r="BZ2762">
        <v>1.42</v>
      </c>
      <c r="CA2762">
        <v>-1.79</v>
      </c>
      <c r="CB2762">
        <v>-1.32</v>
      </c>
      <c r="CC2762">
        <v>-1.94</v>
      </c>
      <c r="CD2762">
        <v>0.77</v>
      </c>
      <c r="CE2762">
        <v>0.12</v>
      </c>
      <c r="CF2762">
        <v>1.08</v>
      </c>
      <c r="CG2762">
        <v>0</v>
      </c>
      <c r="CH2762">
        <v>-0.83</v>
      </c>
      <c r="CI2762">
        <v>0</v>
      </c>
      <c r="CJ2762">
        <v>2.8</v>
      </c>
      <c r="CK2762">
        <v>70</v>
      </c>
      <c r="CL2762">
        <v>-0.31</v>
      </c>
      <c r="CM2762">
        <v>65</v>
      </c>
      <c r="CN2762">
        <v>0.13</v>
      </c>
      <c r="CO2762">
        <v>60</v>
      </c>
      <c r="CP2762">
        <v>-3.4</v>
      </c>
      <c r="CQ2762">
        <v>61</v>
      </c>
      <c r="CR2762">
        <v>0</v>
      </c>
      <c r="CS2762">
        <v>0</v>
      </c>
      <c r="CT2762">
        <v>5.8</v>
      </c>
      <c r="CU2762">
        <v>48</v>
      </c>
      <c r="CV2762">
        <v>0.21</v>
      </c>
      <c r="CW2762">
        <v>18</v>
      </c>
      <c r="CX2762" t="s">
        <v>914</v>
      </c>
    </row>
    <row r="2763" spans="1:102" x14ac:dyDescent="0.3">
      <c r="A2763" t="str">
        <f>HYPERLINK("https://webapp.icbf.com/v2/app/bull-search/view/62854669","LEW")</f>
        <v>LEW</v>
      </c>
      <c r="B2763" t="s">
        <v>3249</v>
      </c>
      <c r="C2763" t="s">
        <v>3250</v>
      </c>
      <c r="D2763" s="1">
        <v>33626</v>
      </c>
      <c r="E2763" t="s">
        <v>92</v>
      </c>
      <c r="F2763">
        <v>100</v>
      </c>
      <c r="G2763" t="s">
        <v>93</v>
      </c>
      <c r="H2763">
        <v>15.94</v>
      </c>
      <c r="I2763">
        <v>98</v>
      </c>
      <c r="J2763">
        <v>6.48</v>
      </c>
      <c r="K2763">
        <v>99</v>
      </c>
      <c r="L2763">
        <v>-21.32</v>
      </c>
      <c r="M2763">
        <v>97</v>
      </c>
      <c r="N2763">
        <v>24.27</v>
      </c>
      <c r="O2763">
        <v>99</v>
      </c>
      <c r="P2763">
        <v>-9.98</v>
      </c>
      <c r="Q2763">
        <v>99</v>
      </c>
      <c r="R2763">
        <v>-2.15</v>
      </c>
      <c r="S2763">
        <v>97</v>
      </c>
      <c r="T2763">
        <v>9.76</v>
      </c>
      <c r="U2763">
        <v>99</v>
      </c>
      <c r="V2763">
        <v>8.8800000000000008</v>
      </c>
      <c r="W2763">
        <v>98</v>
      </c>
      <c r="X2763" t="s">
        <v>94</v>
      </c>
      <c r="Y2763" t="s">
        <v>95</v>
      </c>
      <c r="Z2763" t="s">
        <v>96</v>
      </c>
      <c r="AA2763" t="s">
        <v>118</v>
      </c>
      <c r="AB2763" t="s">
        <v>3251</v>
      </c>
      <c r="AC2763">
        <v>5076</v>
      </c>
      <c r="AD2763">
        <v>2100</v>
      </c>
      <c r="AE2763">
        <v>99</v>
      </c>
      <c r="AF2763">
        <v>-56.51</v>
      </c>
      <c r="AG2763">
        <v>-2.13</v>
      </c>
      <c r="AH2763">
        <v>0.99</v>
      </c>
      <c r="AI2763">
        <v>0</v>
      </c>
      <c r="AJ2763">
        <v>0.05</v>
      </c>
      <c r="AK2763">
        <v>97</v>
      </c>
      <c r="AL2763">
        <v>6465</v>
      </c>
      <c r="AM2763">
        <v>2997</v>
      </c>
      <c r="AN2763">
        <v>1.17</v>
      </c>
      <c r="AO2763">
        <v>-0.53</v>
      </c>
      <c r="AP2763">
        <v>951</v>
      </c>
      <c r="AQ2763">
        <v>0</v>
      </c>
      <c r="AR2763">
        <v>5.19</v>
      </c>
      <c r="AS2763">
        <v>97</v>
      </c>
      <c r="AT2763">
        <v>2.41</v>
      </c>
      <c r="AU2763">
        <v>99</v>
      </c>
      <c r="AV2763">
        <v>-1.62</v>
      </c>
      <c r="AW2763">
        <v>99</v>
      </c>
      <c r="AX2763">
        <v>-7.0000000000000007E-2</v>
      </c>
      <c r="AY2763">
        <v>99</v>
      </c>
      <c r="AZ2763">
        <v>6.53</v>
      </c>
      <c r="BA2763">
        <v>97</v>
      </c>
      <c r="BB2763">
        <v>4.99</v>
      </c>
      <c r="BC2763">
        <v>99</v>
      </c>
      <c r="BD2763">
        <v>-0.04</v>
      </c>
      <c r="BE2763">
        <v>0.04</v>
      </c>
      <c r="BF2763">
        <v>0.04</v>
      </c>
      <c r="BG2763">
        <v>99</v>
      </c>
      <c r="BH2763">
        <v>0.22</v>
      </c>
      <c r="BI2763">
        <v>-3.18</v>
      </c>
      <c r="BJ2763">
        <v>101</v>
      </c>
      <c r="BK2763">
        <v>80</v>
      </c>
      <c r="BL2763">
        <v>-0.65</v>
      </c>
      <c r="BM2763">
        <v>1.3</v>
      </c>
      <c r="BN2763">
        <v>-0.2</v>
      </c>
      <c r="BO2763">
        <v>-1.23</v>
      </c>
      <c r="BP2763">
        <v>-0.67</v>
      </c>
      <c r="BQ2763">
        <v>-1.2</v>
      </c>
      <c r="BR2763">
        <v>-2.12</v>
      </c>
      <c r="BS2763">
        <v>1.27</v>
      </c>
      <c r="BT2763">
        <v>1.47</v>
      </c>
      <c r="BU2763">
        <v>-0.64</v>
      </c>
      <c r="BV2763">
        <v>-0.49</v>
      </c>
      <c r="BW2763">
        <v>0.33</v>
      </c>
      <c r="BX2763">
        <v>-0.74</v>
      </c>
      <c r="BY2763">
        <v>0.28000000000000003</v>
      </c>
      <c r="BZ2763">
        <v>-1.84</v>
      </c>
      <c r="CA2763">
        <v>0.3</v>
      </c>
      <c r="CB2763">
        <v>-0.28999999999999998</v>
      </c>
      <c r="CC2763">
        <v>1.44</v>
      </c>
      <c r="CD2763">
        <v>1.33</v>
      </c>
      <c r="CE2763">
        <v>-1.22</v>
      </c>
      <c r="CF2763">
        <v>-0.71</v>
      </c>
      <c r="CG2763">
        <v>0</v>
      </c>
      <c r="CH2763">
        <v>0.32</v>
      </c>
      <c r="CI2763">
        <v>0</v>
      </c>
      <c r="CJ2763">
        <v>-3.6</v>
      </c>
      <c r="CK2763">
        <v>99</v>
      </c>
      <c r="CL2763">
        <v>-0.42</v>
      </c>
      <c r="CM2763">
        <v>99</v>
      </c>
      <c r="CN2763">
        <v>0.03</v>
      </c>
      <c r="CO2763">
        <v>99</v>
      </c>
      <c r="CP2763">
        <v>-2.2000000000000002</v>
      </c>
      <c r="CQ2763">
        <v>99</v>
      </c>
      <c r="CR2763">
        <v>0</v>
      </c>
      <c r="CS2763">
        <v>0</v>
      </c>
      <c r="CT2763">
        <v>0.6</v>
      </c>
      <c r="CU2763">
        <v>99</v>
      </c>
      <c r="CV2763">
        <v>0.06</v>
      </c>
      <c r="CW2763">
        <v>48</v>
      </c>
      <c r="CX2763" t="s">
        <v>126</v>
      </c>
    </row>
    <row r="2764" spans="1:102" x14ac:dyDescent="0.3">
      <c r="A2764" t="str">
        <f>HYPERLINK("https://webapp.icbf.com/v2/app/bull-search/view/108367921","NDI")</f>
        <v>NDI</v>
      </c>
      <c r="B2764" t="s">
        <v>2440</v>
      </c>
      <c r="C2764" t="s">
        <v>2441</v>
      </c>
      <c r="D2764" s="1">
        <v>34998</v>
      </c>
      <c r="E2764" t="s">
        <v>92</v>
      </c>
      <c r="F2764">
        <v>91</v>
      </c>
      <c r="G2764" t="s">
        <v>93</v>
      </c>
      <c r="H2764">
        <v>15.75</v>
      </c>
      <c r="I2764">
        <v>95</v>
      </c>
      <c r="J2764">
        <v>20.46</v>
      </c>
      <c r="K2764">
        <v>98</v>
      </c>
      <c r="L2764">
        <v>-46.22</v>
      </c>
      <c r="M2764">
        <v>92</v>
      </c>
      <c r="N2764">
        <v>53.27</v>
      </c>
      <c r="O2764">
        <v>93</v>
      </c>
      <c r="P2764">
        <v>2.0099999999999998</v>
      </c>
      <c r="Q2764">
        <v>97</v>
      </c>
      <c r="R2764">
        <v>-15.31</v>
      </c>
      <c r="S2764">
        <v>89</v>
      </c>
      <c r="T2764">
        <v>8.0500000000000007</v>
      </c>
      <c r="U2764">
        <v>96</v>
      </c>
      <c r="V2764">
        <v>-6.51</v>
      </c>
      <c r="W2764">
        <v>88</v>
      </c>
      <c r="X2764" t="s">
        <v>94</v>
      </c>
      <c r="Y2764" t="s">
        <v>95</v>
      </c>
      <c r="Z2764" t="s">
        <v>96</v>
      </c>
      <c r="AA2764" t="s">
        <v>97</v>
      </c>
      <c r="AB2764" t="s">
        <v>2442</v>
      </c>
      <c r="AC2764">
        <v>229</v>
      </c>
      <c r="AD2764">
        <v>73</v>
      </c>
      <c r="AE2764">
        <v>98</v>
      </c>
      <c r="AF2764">
        <v>147.66999999999999</v>
      </c>
      <c r="AG2764">
        <v>2.3199999999999998</v>
      </c>
      <c r="AH2764">
        <v>4.92</v>
      </c>
      <c r="AI2764">
        <v>-0.06</v>
      </c>
      <c r="AJ2764">
        <v>0</v>
      </c>
      <c r="AK2764">
        <v>92</v>
      </c>
      <c r="AL2764">
        <v>230</v>
      </c>
      <c r="AM2764">
        <v>71</v>
      </c>
      <c r="AN2764">
        <v>2.2000000000000002</v>
      </c>
      <c r="AO2764">
        <v>-1.49</v>
      </c>
      <c r="AP2764">
        <v>394</v>
      </c>
      <c r="AQ2764">
        <v>0</v>
      </c>
      <c r="AR2764">
        <v>4.93</v>
      </c>
      <c r="AS2764">
        <v>92</v>
      </c>
      <c r="AT2764">
        <v>2.31</v>
      </c>
      <c r="AU2764">
        <v>96</v>
      </c>
      <c r="AV2764">
        <v>-4.3899999999999997</v>
      </c>
      <c r="AW2764">
        <v>97</v>
      </c>
      <c r="AX2764">
        <v>-1.1100000000000001</v>
      </c>
      <c r="AY2764">
        <v>92</v>
      </c>
      <c r="AZ2764">
        <v>5.59</v>
      </c>
      <c r="BA2764">
        <v>81</v>
      </c>
      <c r="BB2764">
        <v>4.6100000000000003</v>
      </c>
      <c r="BC2764">
        <v>83</v>
      </c>
      <c r="BD2764">
        <v>0.06</v>
      </c>
      <c r="BE2764">
        <v>0.08</v>
      </c>
      <c r="BF2764">
        <v>0.1</v>
      </c>
      <c r="BG2764">
        <v>96</v>
      </c>
      <c r="BH2764">
        <v>-0.06</v>
      </c>
      <c r="BI2764">
        <v>14.07</v>
      </c>
      <c r="BJ2764">
        <v>58</v>
      </c>
      <c r="BK2764">
        <v>16</v>
      </c>
      <c r="BL2764">
        <v>0.52</v>
      </c>
      <c r="BM2764">
        <v>-0.59</v>
      </c>
      <c r="BN2764">
        <v>-0.65</v>
      </c>
      <c r="BO2764">
        <v>0.35</v>
      </c>
      <c r="BP2764">
        <v>2.14</v>
      </c>
      <c r="BQ2764">
        <v>-0.11</v>
      </c>
      <c r="BR2764">
        <v>1.57</v>
      </c>
      <c r="BS2764">
        <v>0.98</v>
      </c>
      <c r="BT2764">
        <v>-1.06</v>
      </c>
      <c r="BU2764">
        <v>-0.53</v>
      </c>
      <c r="BV2764">
        <v>0.08</v>
      </c>
      <c r="BW2764">
        <v>-0.52</v>
      </c>
      <c r="BX2764">
        <v>0.38</v>
      </c>
      <c r="BY2764">
        <v>-0.43</v>
      </c>
      <c r="BZ2764">
        <v>1.49</v>
      </c>
      <c r="CA2764">
        <v>-0.13</v>
      </c>
      <c r="CB2764">
        <v>-0.15</v>
      </c>
      <c r="CC2764">
        <v>-0.2</v>
      </c>
      <c r="CD2764">
        <v>-0.5</v>
      </c>
      <c r="CE2764">
        <v>-0.02</v>
      </c>
      <c r="CF2764">
        <v>0.08</v>
      </c>
      <c r="CG2764">
        <v>0</v>
      </c>
      <c r="CH2764">
        <v>-0.89</v>
      </c>
      <c r="CI2764">
        <v>0</v>
      </c>
      <c r="CJ2764">
        <v>2</v>
      </c>
      <c r="CK2764">
        <v>97</v>
      </c>
      <c r="CL2764">
        <v>-0.71</v>
      </c>
      <c r="CM2764">
        <v>96</v>
      </c>
      <c r="CN2764">
        <v>-0.61</v>
      </c>
      <c r="CO2764">
        <v>96</v>
      </c>
      <c r="CP2764">
        <v>-3.8</v>
      </c>
      <c r="CQ2764">
        <v>96</v>
      </c>
      <c r="CR2764">
        <v>0</v>
      </c>
      <c r="CS2764">
        <v>0</v>
      </c>
      <c r="CT2764">
        <v>2.9</v>
      </c>
      <c r="CU2764">
        <v>96</v>
      </c>
      <c r="CV2764">
        <v>0.18</v>
      </c>
      <c r="CW2764">
        <v>45</v>
      </c>
      <c r="CX2764" t="s">
        <v>193</v>
      </c>
    </row>
    <row r="2765" spans="1:102" x14ac:dyDescent="0.3">
      <c r="A2765" t="str">
        <f>HYPERLINK("https://webapp.icbf.com/v2/app/bull-search/view/77860114","CAL")</f>
        <v>CAL</v>
      </c>
      <c r="B2765" t="s">
        <v>14096</v>
      </c>
      <c r="C2765" t="s">
        <v>14097</v>
      </c>
      <c r="D2765" s="1">
        <v>31465</v>
      </c>
      <c r="E2765" t="s">
        <v>92</v>
      </c>
      <c r="F2765">
        <v>75</v>
      </c>
      <c r="G2765" t="s">
        <v>93</v>
      </c>
      <c r="H2765">
        <v>15.71</v>
      </c>
      <c r="I2765">
        <v>68</v>
      </c>
      <c r="J2765">
        <v>-53.65</v>
      </c>
      <c r="K2765">
        <v>78</v>
      </c>
      <c r="L2765">
        <v>52.52</v>
      </c>
      <c r="M2765">
        <v>66</v>
      </c>
      <c r="N2765">
        <v>16.64</v>
      </c>
      <c r="O2765">
        <v>55</v>
      </c>
      <c r="P2765">
        <v>-9.8800000000000008</v>
      </c>
      <c r="Q2765">
        <v>76</v>
      </c>
      <c r="R2765">
        <v>-8.19</v>
      </c>
      <c r="S2765">
        <v>62</v>
      </c>
      <c r="T2765">
        <v>20.190000000000001</v>
      </c>
      <c r="U2765">
        <v>66</v>
      </c>
      <c r="V2765">
        <v>-1.92</v>
      </c>
      <c r="W2765">
        <v>25</v>
      </c>
      <c r="X2765" t="s">
        <v>94</v>
      </c>
      <c r="Y2765" t="s">
        <v>95</v>
      </c>
      <c r="Z2765" t="s">
        <v>96</v>
      </c>
      <c r="AA2765" t="s">
        <v>2970</v>
      </c>
      <c r="AB2765" t="s">
        <v>7351</v>
      </c>
      <c r="AC2765">
        <v>22</v>
      </c>
      <c r="AD2765">
        <v>19</v>
      </c>
      <c r="AE2765">
        <v>78</v>
      </c>
      <c r="AF2765">
        <v>-270.64999999999998</v>
      </c>
      <c r="AG2765">
        <v>-7.88</v>
      </c>
      <c r="AH2765">
        <v>-10.48</v>
      </c>
      <c r="AI2765">
        <v>0.05</v>
      </c>
      <c r="AJ2765">
        <v>-0.02</v>
      </c>
      <c r="AK2765">
        <v>66</v>
      </c>
      <c r="AL2765">
        <v>121</v>
      </c>
      <c r="AM2765">
        <v>63</v>
      </c>
      <c r="AN2765">
        <v>-2.74</v>
      </c>
      <c r="AO2765">
        <v>1.45</v>
      </c>
      <c r="AP2765">
        <v>27</v>
      </c>
      <c r="AQ2765">
        <v>5</v>
      </c>
      <c r="AR2765">
        <v>5.37</v>
      </c>
      <c r="AS2765">
        <v>28</v>
      </c>
      <c r="AT2765">
        <v>2.33</v>
      </c>
      <c r="AU2765">
        <v>52</v>
      </c>
      <c r="AV2765">
        <v>-1.1399999999999999</v>
      </c>
      <c r="AW2765">
        <v>67</v>
      </c>
      <c r="AX2765">
        <v>-0.51</v>
      </c>
      <c r="AY2765">
        <v>70</v>
      </c>
      <c r="AZ2765">
        <v>7.55</v>
      </c>
      <c r="BA2765">
        <v>24</v>
      </c>
      <c r="BB2765">
        <v>5.66</v>
      </c>
      <c r="BC2765">
        <v>36</v>
      </c>
      <c r="BD2765">
        <v>0.05</v>
      </c>
      <c r="BE2765">
        <v>0.05</v>
      </c>
      <c r="BF2765">
        <v>0.01</v>
      </c>
      <c r="BG2765">
        <v>86</v>
      </c>
      <c r="BH2765">
        <v>0.02</v>
      </c>
      <c r="BI2765">
        <v>8.5</v>
      </c>
      <c r="BJ2765">
        <v>22</v>
      </c>
      <c r="BK2765">
        <v>13</v>
      </c>
      <c r="BL2765">
        <v>-1.71</v>
      </c>
      <c r="BM2765">
        <v>1.54</v>
      </c>
      <c r="BN2765">
        <v>-2.29</v>
      </c>
      <c r="BO2765">
        <v>-2.68</v>
      </c>
      <c r="BP2765">
        <v>1.23</v>
      </c>
      <c r="BQ2765">
        <v>-0.93</v>
      </c>
      <c r="BR2765">
        <v>0.88</v>
      </c>
      <c r="BS2765">
        <v>-1.39</v>
      </c>
      <c r="BT2765">
        <v>-1.01</v>
      </c>
      <c r="BU2765">
        <v>-0.7</v>
      </c>
      <c r="BV2765">
        <v>-1.45</v>
      </c>
      <c r="BW2765">
        <v>-1.47</v>
      </c>
      <c r="BX2765">
        <v>0.66</v>
      </c>
      <c r="BY2765">
        <v>0.08</v>
      </c>
      <c r="BZ2765">
        <v>-0.93</v>
      </c>
      <c r="CA2765">
        <v>-2.04</v>
      </c>
      <c r="CB2765">
        <v>-1.4</v>
      </c>
      <c r="CC2765">
        <v>-2.95</v>
      </c>
      <c r="CD2765">
        <v>2.2799999999999998</v>
      </c>
      <c r="CE2765">
        <v>-2.72</v>
      </c>
      <c r="CF2765">
        <v>-2.52</v>
      </c>
      <c r="CG2765">
        <v>0</v>
      </c>
      <c r="CH2765">
        <v>-0.91</v>
      </c>
      <c r="CI2765">
        <v>0</v>
      </c>
      <c r="CJ2765">
        <v>-5.8</v>
      </c>
      <c r="CK2765">
        <v>79</v>
      </c>
      <c r="CL2765">
        <v>-0.25</v>
      </c>
      <c r="CM2765">
        <v>73</v>
      </c>
      <c r="CN2765">
        <v>-0.15</v>
      </c>
      <c r="CO2765">
        <v>70</v>
      </c>
      <c r="CP2765">
        <v>-7</v>
      </c>
      <c r="CQ2765">
        <v>70</v>
      </c>
      <c r="CR2765">
        <v>0</v>
      </c>
      <c r="CS2765">
        <v>0</v>
      </c>
      <c r="CT2765">
        <v>-13.5</v>
      </c>
      <c r="CU2765">
        <v>66</v>
      </c>
      <c r="CV2765">
        <v>-0.06</v>
      </c>
      <c r="CW2765">
        <v>22</v>
      </c>
      <c r="CX2765" t="s">
        <v>7352</v>
      </c>
    </row>
    <row r="2766" spans="1:102" x14ac:dyDescent="0.3">
      <c r="A2766" t="str">
        <f>HYPERLINK("https://webapp.icbf.com/v2/app/bull-search/view/678699288","S1672")</f>
        <v>S1672</v>
      </c>
      <c r="B2766" t="s">
        <v>9292</v>
      </c>
      <c r="C2766" t="s">
        <v>9293</v>
      </c>
      <c r="D2766" s="1">
        <v>38988</v>
      </c>
      <c r="E2766" t="s">
        <v>92</v>
      </c>
      <c r="F2766">
        <v>100</v>
      </c>
      <c r="G2766" t="s">
        <v>109</v>
      </c>
      <c r="H2766">
        <v>15.7</v>
      </c>
      <c r="I2766">
        <v>83</v>
      </c>
      <c r="J2766">
        <v>61.1</v>
      </c>
      <c r="K2766">
        <v>94</v>
      </c>
      <c r="L2766">
        <v>-82.16</v>
      </c>
      <c r="M2766">
        <v>83</v>
      </c>
      <c r="N2766">
        <v>32.46</v>
      </c>
      <c r="O2766">
        <v>81</v>
      </c>
      <c r="P2766">
        <v>-6.49</v>
      </c>
      <c r="Q2766">
        <v>74</v>
      </c>
      <c r="R2766">
        <v>4.9400000000000004</v>
      </c>
      <c r="S2766">
        <v>78</v>
      </c>
      <c r="T2766">
        <v>2.5</v>
      </c>
      <c r="U2766">
        <v>53</v>
      </c>
      <c r="V2766">
        <v>3.35</v>
      </c>
      <c r="W2766">
        <v>68</v>
      </c>
      <c r="X2766" t="s">
        <v>102</v>
      </c>
      <c r="Y2766" t="s">
        <v>362</v>
      </c>
      <c r="Z2766" t="s">
        <v>96</v>
      </c>
      <c r="AA2766" t="s">
        <v>358</v>
      </c>
      <c r="AB2766" t="s">
        <v>9294</v>
      </c>
      <c r="AC2766">
        <v>0</v>
      </c>
      <c r="AD2766">
        <v>0</v>
      </c>
      <c r="AE2766">
        <v>94</v>
      </c>
      <c r="AF2766">
        <v>236.36</v>
      </c>
      <c r="AG2766">
        <v>12.04</v>
      </c>
      <c r="AH2766">
        <v>9.75</v>
      </c>
      <c r="AI2766">
        <v>0.05</v>
      </c>
      <c r="AJ2766">
        <v>0.03</v>
      </c>
      <c r="AK2766">
        <v>83</v>
      </c>
      <c r="AL2766">
        <v>0</v>
      </c>
      <c r="AM2766">
        <v>0</v>
      </c>
      <c r="AN2766">
        <v>4.6399999999999997</v>
      </c>
      <c r="AO2766">
        <v>-1.91</v>
      </c>
      <c r="AP2766">
        <v>123</v>
      </c>
      <c r="AQ2766">
        <v>0</v>
      </c>
      <c r="AR2766">
        <v>5.56</v>
      </c>
      <c r="AS2766">
        <v>66</v>
      </c>
      <c r="AT2766">
        <v>2.4700000000000002</v>
      </c>
      <c r="AU2766">
        <v>88</v>
      </c>
      <c r="AV2766">
        <v>-3.43</v>
      </c>
      <c r="AW2766">
        <v>92</v>
      </c>
      <c r="AX2766">
        <v>-0.53</v>
      </c>
      <c r="AY2766">
        <v>74</v>
      </c>
      <c r="AZ2766">
        <v>7.05</v>
      </c>
      <c r="BA2766">
        <v>55</v>
      </c>
      <c r="BB2766">
        <v>5.99</v>
      </c>
      <c r="BC2766">
        <v>51</v>
      </c>
      <c r="BD2766">
        <v>-0.01</v>
      </c>
      <c r="BE2766">
        <v>-0.03</v>
      </c>
      <c r="BF2766">
        <v>-0.04</v>
      </c>
      <c r="BG2766">
        <v>92</v>
      </c>
      <c r="BH2766">
        <v>-0.03</v>
      </c>
      <c r="BI2766">
        <v>-14.29</v>
      </c>
      <c r="BJ2766">
        <v>6</v>
      </c>
      <c r="BK2766">
        <v>3</v>
      </c>
      <c r="BL2766">
        <v>0.4</v>
      </c>
      <c r="BM2766">
        <v>1.21</v>
      </c>
      <c r="BN2766">
        <v>0.86</v>
      </c>
      <c r="BO2766">
        <v>0.32</v>
      </c>
      <c r="BP2766">
        <v>2.97</v>
      </c>
      <c r="BQ2766">
        <v>1.32</v>
      </c>
      <c r="BR2766">
        <v>1.02</v>
      </c>
      <c r="BS2766">
        <v>0.79</v>
      </c>
      <c r="BT2766">
        <v>-0.87</v>
      </c>
      <c r="BU2766">
        <v>-0.11</v>
      </c>
      <c r="BV2766">
        <v>0.69</v>
      </c>
      <c r="BW2766">
        <v>-0.18</v>
      </c>
      <c r="BX2766">
        <v>-0.81</v>
      </c>
      <c r="BY2766">
        <v>1.8</v>
      </c>
      <c r="BZ2766">
        <v>-1.35</v>
      </c>
      <c r="CA2766">
        <v>0.26</v>
      </c>
      <c r="CB2766">
        <v>0.46</v>
      </c>
      <c r="CC2766">
        <v>0.32</v>
      </c>
      <c r="CD2766">
        <v>-7.0000000000000007E-2</v>
      </c>
      <c r="CE2766">
        <v>0.6</v>
      </c>
      <c r="CF2766">
        <v>0.85</v>
      </c>
      <c r="CG2766">
        <v>0</v>
      </c>
      <c r="CH2766">
        <v>1.8</v>
      </c>
      <c r="CI2766">
        <v>0</v>
      </c>
      <c r="CJ2766">
        <v>0.1</v>
      </c>
      <c r="CK2766">
        <v>77</v>
      </c>
      <c r="CL2766">
        <v>-1.19</v>
      </c>
      <c r="CM2766">
        <v>74</v>
      </c>
      <c r="CN2766">
        <v>-0.47</v>
      </c>
      <c r="CO2766">
        <v>72</v>
      </c>
      <c r="CP2766">
        <v>1</v>
      </c>
      <c r="CQ2766">
        <v>59</v>
      </c>
      <c r="CR2766">
        <v>0</v>
      </c>
      <c r="CS2766">
        <v>0</v>
      </c>
      <c r="CT2766">
        <v>10.4</v>
      </c>
      <c r="CU2766">
        <v>53</v>
      </c>
      <c r="CV2766">
        <v>0.16</v>
      </c>
      <c r="CW2766">
        <v>41</v>
      </c>
      <c r="CX2766" t="s">
        <v>174</v>
      </c>
    </row>
    <row r="2767" spans="1:102" x14ac:dyDescent="0.3">
      <c r="A2767" t="str">
        <f>HYPERLINK("https://webapp.icbf.com/v2/app/bull-search/view/77857003","HLU")</f>
        <v>HLU</v>
      </c>
      <c r="B2767" t="s">
        <v>3369</v>
      </c>
      <c r="C2767" t="s">
        <v>3370</v>
      </c>
      <c r="D2767" s="1">
        <v>33953</v>
      </c>
      <c r="E2767" t="s">
        <v>108</v>
      </c>
      <c r="F2767">
        <v>0</v>
      </c>
      <c r="G2767" t="s">
        <v>93</v>
      </c>
      <c r="H2767">
        <v>15.64</v>
      </c>
      <c r="I2767">
        <v>96</v>
      </c>
      <c r="J2767">
        <v>-88.48</v>
      </c>
      <c r="K2767">
        <v>99</v>
      </c>
      <c r="L2767">
        <v>87.11</v>
      </c>
      <c r="M2767">
        <v>92</v>
      </c>
      <c r="N2767">
        <v>7.77</v>
      </c>
      <c r="O2767">
        <v>95</v>
      </c>
      <c r="P2767">
        <v>-14.05</v>
      </c>
      <c r="Q2767">
        <v>99</v>
      </c>
      <c r="R2767">
        <v>0.97</v>
      </c>
      <c r="S2767">
        <v>93</v>
      </c>
      <c r="T2767">
        <v>20.12</v>
      </c>
      <c r="U2767">
        <v>98</v>
      </c>
      <c r="V2767">
        <v>2.2000000000000002</v>
      </c>
      <c r="W2767">
        <v>94</v>
      </c>
      <c r="X2767" t="s">
        <v>94</v>
      </c>
      <c r="Y2767" t="s">
        <v>95</v>
      </c>
      <c r="Z2767" t="s">
        <v>96</v>
      </c>
      <c r="AA2767" t="s">
        <v>3371</v>
      </c>
      <c r="AB2767" t="s">
        <v>3372</v>
      </c>
      <c r="AC2767">
        <v>549</v>
      </c>
      <c r="AD2767">
        <v>287</v>
      </c>
      <c r="AE2767">
        <v>99</v>
      </c>
      <c r="AF2767">
        <v>-470.63</v>
      </c>
      <c r="AG2767">
        <v>-16.739999999999998</v>
      </c>
      <c r="AH2767">
        <v>-16.329999999999998</v>
      </c>
      <c r="AI2767">
        <v>0.03</v>
      </c>
      <c r="AJ2767">
        <v>-0.01</v>
      </c>
      <c r="AK2767">
        <v>92</v>
      </c>
      <c r="AL2767">
        <v>853</v>
      </c>
      <c r="AM2767">
        <v>459</v>
      </c>
      <c r="AN2767">
        <v>-6.08</v>
      </c>
      <c r="AO2767">
        <v>0.85</v>
      </c>
      <c r="AP2767">
        <v>446</v>
      </c>
      <c r="AQ2767">
        <v>3</v>
      </c>
      <c r="AR2767">
        <v>7.37</v>
      </c>
      <c r="AS2767">
        <v>89</v>
      </c>
      <c r="AT2767">
        <v>2.74</v>
      </c>
      <c r="AU2767">
        <v>95</v>
      </c>
      <c r="AV2767">
        <v>-1.49</v>
      </c>
      <c r="AW2767">
        <v>98</v>
      </c>
      <c r="AX2767">
        <v>-0.55000000000000004</v>
      </c>
      <c r="AY2767">
        <v>97</v>
      </c>
      <c r="AZ2767">
        <v>8.4700000000000006</v>
      </c>
      <c r="BA2767">
        <v>85</v>
      </c>
      <c r="BB2767">
        <v>6.11</v>
      </c>
      <c r="BC2767">
        <v>93</v>
      </c>
      <c r="BD2767">
        <v>0.04</v>
      </c>
      <c r="BE2767">
        <v>-0.01</v>
      </c>
      <c r="BF2767">
        <v>-7.0000000000000007E-2</v>
      </c>
      <c r="BG2767">
        <v>98</v>
      </c>
      <c r="BH2767">
        <v>-0.01</v>
      </c>
      <c r="BI2767">
        <v>-8.24</v>
      </c>
      <c r="BJ2767">
        <v>25</v>
      </c>
      <c r="BK2767">
        <v>16</v>
      </c>
      <c r="BL2767">
        <v>-2.83</v>
      </c>
      <c r="BM2767">
        <v>0.98</v>
      </c>
      <c r="BN2767">
        <v>-3.68</v>
      </c>
      <c r="BO2767">
        <v>-3.55</v>
      </c>
      <c r="BP2767">
        <v>-1.23</v>
      </c>
      <c r="BQ2767">
        <v>0.59</v>
      </c>
      <c r="BR2767">
        <v>-2.52</v>
      </c>
      <c r="BS2767">
        <v>0.45</v>
      </c>
      <c r="BT2767">
        <v>1.22</v>
      </c>
      <c r="BU2767">
        <v>-2.2200000000000002</v>
      </c>
      <c r="BV2767">
        <v>-3.18</v>
      </c>
      <c r="BW2767">
        <v>-2.4300000000000002</v>
      </c>
      <c r="BX2767">
        <v>-0.8</v>
      </c>
      <c r="BY2767">
        <v>-0.68</v>
      </c>
      <c r="BZ2767">
        <v>-1.84</v>
      </c>
      <c r="CA2767">
        <v>-2.81</v>
      </c>
      <c r="CB2767">
        <v>-3.03</v>
      </c>
      <c r="CC2767">
        <v>-1.35</v>
      </c>
      <c r="CD2767">
        <v>3.55</v>
      </c>
      <c r="CE2767">
        <v>-2.91</v>
      </c>
      <c r="CF2767">
        <v>-2.2999999999999998</v>
      </c>
      <c r="CG2767">
        <v>0</v>
      </c>
      <c r="CH2767">
        <v>-0.71</v>
      </c>
      <c r="CI2767">
        <v>0</v>
      </c>
      <c r="CJ2767">
        <v>-8.9</v>
      </c>
      <c r="CK2767">
        <v>99</v>
      </c>
      <c r="CL2767">
        <v>0.1</v>
      </c>
      <c r="CM2767">
        <v>99</v>
      </c>
      <c r="CN2767">
        <v>0.11</v>
      </c>
      <c r="CO2767">
        <v>99</v>
      </c>
      <c r="CP2767">
        <v>-10.1</v>
      </c>
      <c r="CQ2767">
        <v>99</v>
      </c>
      <c r="CR2767">
        <v>0</v>
      </c>
      <c r="CS2767">
        <v>0</v>
      </c>
      <c r="CT2767">
        <v>-13.4</v>
      </c>
      <c r="CU2767">
        <v>98</v>
      </c>
      <c r="CV2767">
        <v>-7.0000000000000007E-2</v>
      </c>
      <c r="CW2767">
        <v>46</v>
      </c>
      <c r="CX2767" t="s">
        <v>507</v>
      </c>
    </row>
    <row r="2768" spans="1:102" x14ac:dyDescent="0.3">
      <c r="A2768" t="str">
        <f>HYPERLINK("https://webapp.icbf.com/v2/app/bull-search/view/314190446","RJX")</f>
        <v>RJX</v>
      </c>
      <c r="B2768" t="s">
        <v>11808</v>
      </c>
      <c r="C2768" t="s">
        <v>11809</v>
      </c>
      <c r="D2768" s="1">
        <v>36379</v>
      </c>
      <c r="E2768" t="s">
        <v>92</v>
      </c>
      <c r="F2768">
        <v>100</v>
      </c>
      <c r="G2768" t="s">
        <v>109</v>
      </c>
      <c r="H2768">
        <v>15.62</v>
      </c>
      <c r="I2768">
        <v>74</v>
      </c>
      <c r="J2768">
        <v>24.98</v>
      </c>
      <c r="K2768">
        <v>92</v>
      </c>
      <c r="L2768">
        <v>-31.33</v>
      </c>
      <c r="M2768">
        <v>76</v>
      </c>
      <c r="N2768">
        <v>12.29</v>
      </c>
      <c r="O2768">
        <v>55</v>
      </c>
      <c r="P2768">
        <v>-9.67</v>
      </c>
      <c r="Q2768">
        <v>47</v>
      </c>
      <c r="R2768">
        <v>-0.72</v>
      </c>
      <c r="S2768">
        <v>73</v>
      </c>
      <c r="T2768">
        <v>17.079999999999998</v>
      </c>
      <c r="U2768">
        <v>47</v>
      </c>
      <c r="V2768">
        <v>2.99</v>
      </c>
      <c r="W2768">
        <v>66</v>
      </c>
      <c r="X2768" t="s">
        <v>302</v>
      </c>
      <c r="Y2768" t="s">
        <v>95</v>
      </c>
      <c r="Z2768" t="s">
        <v>96</v>
      </c>
      <c r="AA2768" t="s">
        <v>11676</v>
      </c>
      <c r="AB2768" t="s">
        <v>2876</v>
      </c>
      <c r="AC2768">
        <v>0</v>
      </c>
      <c r="AD2768">
        <v>0</v>
      </c>
      <c r="AE2768">
        <v>92</v>
      </c>
      <c r="AF2768">
        <v>63.18</v>
      </c>
      <c r="AG2768">
        <v>9.57</v>
      </c>
      <c r="AH2768">
        <v>1.83</v>
      </c>
      <c r="AI2768">
        <v>0.12</v>
      </c>
      <c r="AJ2768">
        <v>-0.01</v>
      </c>
      <c r="AK2768">
        <v>76</v>
      </c>
      <c r="AL2768">
        <v>0</v>
      </c>
      <c r="AM2768">
        <v>0</v>
      </c>
      <c r="AN2768">
        <v>1.61</v>
      </c>
      <c r="AO2768">
        <v>-0.89</v>
      </c>
      <c r="AP2768">
        <v>4</v>
      </c>
      <c r="AQ2768">
        <v>0</v>
      </c>
      <c r="AR2768">
        <v>9.51</v>
      </c>
      <c r="AS2768">
        <v>55</v>
      </c>
      <c r="AT2768">
        <v>3.55</v>
      </c>
      <c r="AU2768">
        <v>72</v>
      </c>
      <c r="AV2768">
        <v>-2.63</v>
      </c>
      <c r="AW2768">
        <v>50</v>
      </c>
      <c r="AX2768">
        <v>-0.01</v>
      </c>
      <c r="AY2768">
        <v>49</v>
      </c>
      <c r="AZ2768">
        <v>6.29</v>
      </c>
      <c r="BA2768">
        <v>46</v>
      </c>
      <c r="BB2768">
        <v>4.8899999999999997</v>
      </c>
      <c r="BC2768">
        <v>49</v>
      </c>
      <c r="BD2768">
        <v>0.04</v>
      </c>
      <c r="BE2768">
        <v>0</v>
      </c>
      <c r="BF2768">
        <v>-0.05</v>
      </c>
      <c r="BG2768">
        <v>86</v>
      </c>
      <c r="BH2768">
        <v>0.13</v>
      </c>
      <c r="BI2768">
        <v>5.39</v>
      </c>
      <c r="BJ2768">
        <v>0</v>
      </c>
      <c r="BK2768">
        <v>0</v>
      </c>
      <c r="BL2768">
        <v>-0.8</v>
      </c>
      <c r="BM2768">
        <v>-0.18</v>
      </c>
      <c r="BN2768">
        <v>-0.04</v>
      </c>
      <c r="BO2768">
        <v>0.52</v>
      </c>
      <c r="BP2768">
        <v>-1.31</v>
      </c>
      <c r="BQ2768">
        <v>-1.24</v>
      </c>
      <c r="BR2768">
        <v>1.21</v>
      </c>
      <c r="BS2768">
        <v>-1.39</v>
      </c>
      <c r="BT2768">
        <v>-1.75</v>
      </c>
      <c r="BU2768">
        <v>0.41</v>
      </c>
      <c r="BV2768">
        <v>0.28999999999999998</v>
      </c>
      <c r="BW2768">
        <v>0.28000000000000003</v>
      </c>
      <c r="BX2768">
        <v>-0.2</v>
      </c>
      <c r="BY2768">
        <v>2.23</v>
      </c>
      <c r="BZ2768">
        <v>-1.35</v>
      </c>
      <c r="CA2768">
        <v>0.21</v>
      </c>
      <c r="CB2768">
        <v>0.81</v>
      </c>
      <c r="CC2768">
        <v>-1.1000000000000001</v>
      </c>
      <c r="CD2768">
        <v>-0.08</v>
      </c>
      <c r="CE2768">
        <v>0.65</v>
      </c>
      <c r="CF2768">
        <v>0.28999999999999998</v>
      </c>
      <c r="CG2768">
        <v>0</v>
      </c>
      <c r="CH2768">
        <v>2.78</v>
      </c>
      <c r="CI2768">
        <v>0</v>
      </c>
      <c r="CJ2768">
        <v>-4.4000000000000004</v>
      </c>
      <c r="CK2768">
        <v>47</v>
      </c>
      <c r="CL2768">
        <v>-0.56999999999999995</v>
      </c>
      <c r="CM2768">
        <v>47</v>
      </c>
      <c r="CN2768">
        <v>-0.35</v>
      </c>
      <c r="CO2768">
        <v>47</v>
      </c>
      <c r="CP2768">
        <v>-12.1</v>
      </c>
      <c r="CQ2768">
        <v>47</v>
      </c>
      <c r="CR2768">
        <v>0</v>
      </c>
      <c r="CS2768">
        <v>0</v>
      </c>
      <c r="CT2768">
        <v>-9.3000000000000007</v>
      </c>
      <c r="CU2768">
        <v>47</v>
      </c>
      <c r="CV2768">
        <v>0.06</v>
      </c>
      <c r="CW2768">
        <v>35</v>
      </c>
      <c r="CX2768" t="s">
        <v>265</v>
      </c>
    </row>
    <row r="2769" spans="1:102" x14ac:dyDescent="0.3">
      <c r="A2769" t="str">
        <f>HYPERLINK("https://webapp.icbf.com/v2/app/bull-search/view/714771810","SYH")</f>
        <v>SYH</v>
      </c>
      <c r="B2769" t="s">
        <v>312</v>
      </c>
      <c r="C2769" t="s">
        <v>313</v>
      </c>
      <c r="D2769" s="1">
        <v>39412</v>
      </c>
      <c r="E2769" t="s">
        <v>92</v>
      </c>
      <c r="F2769">
        <v>100</v>
      </c>
      <c r="G2769" t="s">
        <v>93</v>
      </c>
      <c r="H2769">
        <v>15.57</v>
      </c>
      <c r="I2769">
        <v>91</v>
      </c>
      <c r="J2769">
        <v>44.93</v>
      </c>
      <c r="K2769">
        <v>99</v>
      </c>
      <c r="L2769">
        <v>-63.03</v>
      </c>
      <c r="M2769">
        <v>87</v>
      </c>
      <c r="N2769">
        <v>25.42</v>
      </c>
      <c r="O2769">
        <v>91</v>
      </c>
      <c r="P2769">
        <v>-9.75</v>
      </c>
      <c r="Q2769">
        <v>97</v>
      </c>
      <c r="R2769">
        <v>6.93</v>
      </c>
      <c r="S2769">
        <v>80</v>
      </c>
      <c r="T2769">
        <v>14.27</v>
      </c>
      <c r="U2769">
        <v>89</v>
      </c>
      <c r="V2769">
        <v>-3.2</v>
      </c>
      <c r="W2769">
        <v>70</v>
      </c>
      <c r="X2769" t="s">
        <v>288</v>
      </c>
      <c r="Y2769" t="s">
        <v>282</v>
      </c>
      <c r="Z2769" t="s">
        <v>96</v>
      </c>
      <c r="AA2769" t="s">
        <v>314</v>
      </c>
      <c r="AB2769" t="s">
        <v>315</v>
      </c>
      <c r="AC2769">
        <v>297</v>
      </c>
      <c r="AD2769">
        <v>98</v>
      </c>
      <c r="AE2769">
        <v>99</v>
      </c>
      <c r="AF2769">
        <v>163.98</v>
      </c>
      <c r="AG2769">
        <v>8.8800000000000008</v>
      </c>
      <c r="AH2769">
        <v>7.01</v>
      </c>
      <c r="AI2769">
        <v>0.04</v>
      </c>
      <c r="AJ2769">
        <v>0.02</v>
      </c>
      <c r="AK2769">
        <v>87</v>
      </c>
      <c r="AL2769">
        <v>326</v>
      </c>
      <c r="AM2769">
        <v>113</v>
      </c>
      <c r="AN2769">
        <v>3.94</v>
      </c>
      <c r="AO2769">
        <v>-1.08</v>
      </c>
      <c r="AP2769">
        <v>603</v>
      </c>
      <c r="AQ2769">
        <v>2</v>
      </c>
      <c r="AR2769">
        <v>6.55</v>
      </c>
      <c r="AS2769">
        <v>81</v>
      </c>
      <c r="AT2769">
        <v>3.11</v>
      </c>
      <c r="AU2769">
        <v>94</v>
      </c>
      <c r="AV2769">
        <v>-3.11</v>
      </c>
      <c r="AW2769">
        <v>98</v>
      </c>
      <c r="AX2769">
        <v>-1.17</v>
      </c>
      <c r="AY2769">
        <v>92</v>
      </c>
      <c r="AZ2769">
        <v>7.47</v>
      </c>
      <c r="BA2769">
        <v>78</v>
      </c>
      <c r="BB2769">
        <v>5.67</v>
      </c>
      <c r="BC2769">
        <v>76</v>
      </c>
      <c r="BD2769">
        <v>-0.02</v>
      </c>
      <c r="BE2769">
        <v>-0.04</v>
      </c>
      <c r="BF2769">
        <v>-0.05</v>
      </c>
      <c r="BG2769">
        <v>93</v>
      </c>
      <c r="BH2769">
        <v>-0.04</v>
      </c>
      <c r="BI2769">
        <v>5.69</v>
      </c>
      <c r="BJ2769">
        <v>32</v>
      </c>
      <c r="BK2769">
        <v>15</v>
      </c>
      <c r="BL2769">
        <v>0.3</v>
      </c>
      <c r="BM2769">
        <v>-1.41</v>
      </c>
      <c r="BN2769">
        <v>-0.08</v>
      </c>
      <c r="BO2769">
        <v>1.02</v>
      </c>
      <c r="BP2769">
        <v>0.56000000000000005</v>
      </c>
      <c r="BQ2769">
        <v>-0.76</v>
      </c>
      <c r="BR2769">
        <v>1.07</v>
      </c>
      <c r="BS2769">
        <v>-0.9</v>
      </c>
      <c r="BT2769">
        <v>-1.47</v>
      </c>
      <c r="BU2769">
        <v>-0.33</v>
      </c>
      <c r="BV2769">
        <v>0.7</v>
      </c>
      <c r="BW2769">
        <v>1.77</v>
      </c>
      <c r="BX2769">
        <v>-0.89</v>
      </c>
      <c r="BY2769">
        <v>2.5499999999999998</v>
      </c>
      <c r="BZ2769">
        <v>0.06</v>
      </c>
      <c r="CA2769">
        <v>-0.11</v>
      </c>
      <c r="CB2769">
        <v>0.17</v>
      </c>
      <c r="CC2769">
        <v>-0.56999999999999995</v>
      </c>
      <c r="CD2769">
        <v>-1.49</v>
      </c>
      <c r="CE2769">
        <v>0.39</v>
      </c>
      <c r="CF2769">
        <v>-0.55000000000000004</v>
      </c>
      <c r="CG2769">
        <v>0</v>
      </c>
      <c r="CH2769">
        <v>2.6</v>
      </c>
      <c r="CI2769">
        <v>0</v>
      </c>
      <c r="CJ2769">
        <v>-4.9000000000000004</v>
      </c>
      <c r="CK2769">
        <v>98</v>
      </c>
      <c r="CL2769">
        <v>-0.95</v>
      </c>
      <c r="CM2769">
        <v>97</v>
      </c>
      <c r="CN2769">
        <v>-0.6</v>
      </c>
      <c r="CO2769">
        <v>97</v>
      </c>
      <c r="CP2769">
        <v>-1.4</v>
      </c>
      <c r="CQ2769">
        <v>93</v>
      </c>
      <c r="CR2769">
        <v>0</v>
      </c>
      <c r="CS2769">
        <v>0</v>
      </c>
      <c r="CT2769">
        <v>-5.5</v>
      </c>
      <c r="CU2769">
        <v>89</v>
      </c>
      <c r="CV2769">
        <v>0.2</v>
      </c>
      <c r="CW2769">
        <v>30</v>
      </c>
      <c r="CX2769" t="s">
        <v>316</v>
      </c>
    </row>
    <row r="2770" spans="1:102" x14ac:dyDescent="0.3">
      <c r="A2770" t="str">
        <f>HYPERLINK("https://webapp.icbf.com/v2/app/bull-search/view/343573866","RCI")</f>
        <v>RCI</v>
      </c>
      <c r="B2770" t="s">
        <v>5200</v>
      </c>
      <c r="C2770" t="s">
        <v>5201</v>
      </c>
      <c r="D2770" s="1">
        <v>38039</v>
      </c>
      <c r="E2770" t="s">
        <v>92</v>
      </c>
      <c r="F2770">
        <v>91</v>
      </c>
      <c r="G2770" t="s">
        <v>93</v>
      </c>
      <c r="H2770">
        <v>15.5</v>
      </c>
      <c r="I2770">
        <v>85</v>
      </c>
      <c r="J2770">
        <v>31.39</v>
      </c>
      <c r="K2770">
        <v>96</v>
      </c>
      <c r="L2770">
        <v>-35.28</v>
      </c>
      <c r="M2770">
        <v>77</v>
      </c>
      <c r="N2770">
        <v>19.16</v>
      </c>
      <c r="O2770">
        <v>81</v>
      </c>
      <c r="P2770">
        <v>-11.69</v>
      </c>
      <c r="Q2770">
        <v>86</v>
      </c>
      <c r="R2770">
        <v>-6.62</v>
      </c>
      <c r="S2770">
        <v>79</v>
      </c>
      <c r="T2770">
        <v>17.16</v>
      </c>
      <c r="U2770">
        <v>82</v>
      </c>
      <c r="V2770">
        <v>1.38</v>
      </c>
      <c r="W2770">
        <v>78</v>
      </c>
      <c r="X2770" t="s">
        <v>94</v>
      </c>
      <c r="Y2770" t="s">
        <v>95</v>
      </c>
      <c r="Z2770" t="s">
        <v>96</v>
      </c>
      <c r="AA2770" t="s">
        <v>1037</v>
      </c>
      <c r="AB2770" t="s">
        <v>5202</v>
      </c>
      <c r="AC2770">
        <v>45</v>
      </c>
      <c r="AD2770">
        <v>43</v>
      </c>
      <c r="AE2770">
        <v>96</v>
      </c>
      <c r="AF2770">
        <v>-116.86</v>
      </c>
      <c r="AG2770">
        <v>10.29</v>
      </c>
      <c r="AH2770">
        <v>-0.09</v>
      </c>
      <c r="AI2770">
        <v>0.26</v>
      </c>
      <c r="AJ2770">
        <v>7.0000000000000007E-2</v>
      </c>
      <c r="AK2770">
        <v>77</v>
      </c>
      <c r="AL2770">
        <v>43</v>
      </c>
      <c r="AM2770">
        <v>37</v>
      </c>
      <c r="AN2770">
        <v>2.19</v>
      </c>
      <c r="AO2770">
        <v>-0.62</v>
      </c>
      <c r="AP2770">
        <v>100</v>
      </c>
      <c r="AQ2770">
        <v>0</v>
      </c>
      <c r="AR2770">
        <v>7.75</v>
      </c>
      <c r="AS2770">
        <v>66</v>
      </c>
      <c r="AT2770">
        <v>3.3</v>
      </c>
      <c r="AU2770">
        <v>83</v>
      </c>
      <c r="AV2770">
        <v>-2.82</v>
      </c>
      <c r="AW2770">
        <v>93</v>
      </c>
      <c r="AX2770">
        <v>-0.13</v>
      </c>
      <c r="AY2770">
        <v>73</v>
      </c>
      <c r="AZ2770">
        <v>7.26</v>
      </c>
      <c r="BA2770">
        <v>60</v>
      </c>
      <c r="BB2770">
        <v>5.08</v>
      </c>
      <c r="BC2770">
        <v>64</v>
      </c>
      <c r="BD2770">
        <v>0.02</v>
      </c>
      <c r="BE2770">
        <v>0.01</v>
      </c>
      <c r="BF2770">
        <v>0.1</v>
      </c>
      <c r="BG2770">
        <v>86</v>
      </c>
      <c r="BH2770">
        <v>-0.01</v>
      </c>
      <c r="BI2770">
        <v>-5.62</v>
      </c>
      <c r="BJ2770">
        <v>23</v>
      </c>
      <c r="BK2770">
        <v>20</v>
      </c>
      <c r="BL2770">
        <v>-0.38</v>
      </c>
      <c r="BM2770">
        <v>-0.5</v>
      </c>
      <c r="BN2770">
        <v>-0.64</v>
      </c>
      <c r="BO2770">
        <v>-0.3</v>
      </c>
      <c r="BP2770">
        <v>-0.4</v>
      </c>
      <c r="BQ2770">
        <v>-0.9</v>
      </c>
      <c r="BR2770">
        <v>0.79</v>
      </c>
      <c r="BS2770">
        <v>-1.56</v>
      </c>
      <c r="BT2770">
        <v>-0.62</v>
      </c>
      <c r="BU2770">
        <v>0.87</v>
      </c>
      <c r="BV2770">
        <v>0.6</v>
      </c>
      <c r="BW2770">
        <v>0.53</v>
      </c>
      <c r="BX2770">
        <v>0.19</v>
      </c>
      <c r="BY2770">
        <v>0.47</v>
      </c>
      <c r="BZ2770">
        <v>0.59</v>
      </c>
      <c r="CA2770">
        <v>-0.41</v>
      </c>
      <c r="CB2770">
        <v>0.37</v>
      </c>
      <c r="CC2770">
        <v>-1.92</v>
      </c>
      <c r="CD2770">
        <v>-0.1</v>
      </c>
      <c r="CE2770">
        <v>-0.6</v>
      </c>
      <c r="CF2770">
        <v>-0.54</v>
      </c>
      <c r="CG2770">
        <v>0</v>
      </c>
      <c r="CH2770">
        <v>1.63</v>
      </c>
      <c r="CI2770">
        <v>0</v>
      </c>
      <c r="CJ2770">
        <v>-4.0999999999999996</v>
      </c>
      <c r="CK2770">
        <v>87</v>
      </c>
      <c r="CL2770">
        <v>-0.66</v>
      </c>
      <c r="CM2770">
        <v>85</v>
      </c>
      <c r="CN2770">
        <v>-0.2</v>
      </c>
      <c r="CO2770">
        <v>83</v>
      </c>
      <c r="CP2770">
        <v>-10.4</v>
      </c>
      <c r="CQ2770">
        <v>83</v>
      </c>
      <c r="CR2770">
        <v>0</v>
      </c>
      <c r="CS2770">
        <v>0</v>
      </c>
      <c r="CT2770">
        <v>-9.4</v>
      </c>
      <c r="CU2770">
        <v>82</v>
      </c>
      <c r="CV2770">
        <v>7.0000000000000007E-2</v>
      </c>
      <c r="CW2770">
        <v>45</v>
      </c>
      <c r="CX2770" t="s">
        <v>1252</v>
      </c>
    </row>
    <row r="2771" spans="1:102" x14ac:dyDescent="0.3">
      <c r="A2771" t="str">
        <f>HYPERLINK("https://webapp.icbf.com/v2/app/bull-search/view/499654829","TZG")</f>
        <v>TZG</v>
      </c>
      <c r="B2771" t="s">
        <v>4653</v>
      </c>
      <c r="C2771" t="s">
        <v>4654</v>
      </c>
      <c r="D2771" s="1">
        <v>39138</v>
      </c>
      <c r="E2771" t="s">
        <v>92</v>
      </c>
      <c r="F2771">
        <v>84</v>
      </c>
      <c r="G2771" t="s">
        <v>93</v>
      </c>
      <c r="H2771">
        <v>15.45</v>
      </c>
      <c r="I2771">
        <v>84</v>
      </c>
      <c r="J2771">
        <v>5.37</v>
      </c>
      <c r="K2771">
        <v>95</v>
      </c>
      <c r="L2771">
        <v>28.33</v>
      </c>
      <c r="M2771">
        <v>76</v>
      </c>
      <c r="N2771">
        <v>-18.899999999999999</v>
      </c>
      <c r="O2771">
        <v>82</v>
      </c>
      <c r="P2771">
        <v>-7.37</v>
      </c>
      <c r="Q2771">
        <v>88</v>
      </c>
      <c r="R2771">
        <v>-3.97</v>
      </c>
      <c r="S2771">
        <v>77</v>
      </c>
      <c r="T2771">
        <v>5.46</v>
      </c>
      <c r="U2771">
        <v>80</v>
      </c>
      <c r="V2771">
        <v>6.53</v>
      </c>
      <c r="W2771">
        <v>77</v>
      </c>
      <c r="X2771" t="s">
        <v>94</v>
      </c>
      <c r="Y2771" t="s">
        <v>1113</v>
      </c>
      <c r="Z2771" t="s">
        <v>96</v>
      </c>
      <c r="AA2771" t="s">
        <v>1406</v>
      </c>
      <c r="AB2771" t="s">
        <v>4655</v>
      </c>
      <c r="AC2771">
        <v>52</v>
      </c>
      <c r="AD2771">
        <v>39</v>
      </c>
      <c r="AE2771">
        <v>95</v>
      </c>
      <c r="AF2771">
        <v>70.739999999999995</v>
      </c>
      <c r="AG2771">
        <v>-4.42</v>
      </c>
      <c r="AH2771">
        <v>3.56</v>
      </c>
      <c r="AI2771">
        <v>-0.12</v>
      </c>
      <c r="AJ2771">
        <v>0.02</v>
      </c>
      <c r="AK2771">
        <v>76</v>
      </c>
      <c r="AL2771">
        <v>58</v>
      </c>
      <c r="AM2771">
        <v>42</v>
      </c>
      <c r="AN2771">
        <v>-0.69</v>
      </c>
      <c r="AO2771">
        <v>1.58</v>
      </c>
      <c r="AP2771">
        <v>137</v>
      </c>
      <c r="AQ2771">
        <v>2</v>
      </c>
      <c r="AR2771">
        <v>10.56</v>
      </c>
      <c r="AS2771">
        <v>67</v>
      </c>
      <c r="AT2771">
        <v>4.38</v>
      </c>
      <c r="AU2771">
        <v>84</v>
      </c>
      <c r="AV2771">
        <v>-0.59</v>
      </c>
      <c r="AW2771">
        <v>93</v>
      </c>
      <c r="AX2771">
        <v>-0.59</v>
      </c>
      <c r="AY2771">
        <v>75</v>
      </c>
      <c r="AZ2771">
        <v>7.12</v>
      </c>
      <c r="BA2771">
        <v>59</v>
      </c>
      <c r="BB2771">
        <v>5.45</v>
      </c>
      <c r="BC2771">
        <v>62</v>
      </c>
      <c r="BD2771">
        <v>0.02</v>
      </c>
      <c r="BE2771">
        <v>0.02</v>
      </c>
      <c r="BF2771">
        <v>0.02</v>
      </c>
      <c r="BG2771">
        <v>85</v>
      </c>
      <c r="BH2771">
        <v>0.16</v>
      </c>
      <c r="BI2771">
        <v>-2.54</v>
      </c>
      <c r="BJ2771">
        <v>7</v>
      </c>
      <c r="BK2771">
        <v>6</v>
      </c>
      <c r="BL2771">
        <v>-0.3</v>
      </c>
      <c r="BM2771">
        <v>2.27</v>
      </c>
      <c r="BN2771">
        <v>0.38</v>
      </c>
      <c r="BO2771">
        <v>-1.2</v>
      </c>
      <c r="BP2771">
        <v>0.88</v>
      </c>
      <c r="BQ2771">
        <v>0.26</v>
      </c>
      <c r="BR2771">
        <v>-0.63</v>
      </c>
      <c r="BS2771">
        <v>-0.78</v>
      </c>
      <c r="BT2771">
        <v>0.67</v>
      </c>
      <c r="BU2771">
        <v>-0.38</v>
      </c>
      <c r="BV2771">
        <v>0.08</v>
      </c>
      <c r="BW2771">
        <v>-0.1</v>
      </c>
      <c r="BX2771">
        <v>-1.35</v>
      </c>
      <c r="BY2771">
        <v>-0.26</v>
      </c>
      <c r="BZ2771">
        <v>0.56999999999999995</v>
      </c>
      <c r="CA2771">
        <v>-0.37</v>
      </c>
      <c r="CB2771">
        <v>-0.22</v>
      </c>
      <c r="CC2771">
        <v>-0.56000000000000005</v>
      </c>
      <c r="CD2771">
        <v>1.94</v>
      </c>
      <c r="CE2771">
        <v>-0.69</v>
      </c>
      <c r="CF2771">
        <v>0.53</v>
      </c>
      <c r="CG2771">
        <v>0</v>
      </c>
      <c r="CH2771">
        <v>-0.57999999999999996</v>
      </c>
      <c r="CI2771">
        <v>0</v>
      </c>
      <c r="CJ2771">
        <v>-0.8</v>
      </c>
      <c r="CK2771">
        <v>90</v>
      </c>
      <c r="CL2771">
        <v>-0.64</v>
      </c>
      <c r="CM2771">
        <v>87</v>
      </c>
      <c r="CN2771">
        <v>-0.08</v>
      </c>
      <c r="CO2771">
        <v>86</v>
      </c>
      <c r="CP2771">
        <v>-4</v>
      </c>
      <c r="CQ2771">
        <v>84</v>
      </c>
      <c r="CR2771">
        <v>0</v>
      </c>
      <c r="CS2771">
        <v>0</v>
      </c>
      <c r="CT2771">
        <v>6.4</v>
      </c>
      <c r="CU2771">
        <v>80</v>
      </c>
      <c r="CV2771">
        <v>0.13</v>
      </c>
      <c r="CW2771">
        <v>44</v>
      </c>
      <c r="CX2771" t="s">
        <v>1252</v>
      </c>
    </row>
    <row r="2772" spans="1:102" x14ac:dyDescent="0.3">
      <c r="A2772" t="str">
        <f>HYPERLINK("https://webapp.icbf.com/v2/app/bull-search/view/1386637054","S3116")</f>
        <v>S3116</v>
      </c>
      <c r="B2772" t="s">
        <v>13700</v>
      </c>
      <c r="C2772" t="s">
        <v>13701</v>
      </c>
      <c r="D2772" s="1">
        <v>41741</v>
      </c>
      <c r="E2772" t="s">
        <v>1061</v>
      </c>
      <c r="F2772">
        <v>0</v>
      </c>
      <c r="G2772" t="s">
        <v>435</v>
      </c>
      <c r="H2772">
        <v>15.44</v>
      </c>
      <c r="I2772">
        <v>26</v>
      </c>
      <c r="J2772">
        <v>-33.49</v>
      </c>
      <c r="K2772">
        <v>27</v>
      </c>
      <c r="L2772">
        <v>49.33</v>
      </c>
      <c r="M2772">
        <v>25</v>
      </c>
      <c r="N2772">
        <v>1.04</v>
      </c>
      <c r="O2772">
        <v>35</v>
      </c>
      <c r="P2772">
        <v>-39.479999999999997</v>
      </c>
      <c r="Q2772">
        <v>35</v>
      </c>
      <c r="R2772">
        <v>0.57999999999999996</v>
      </c>
      <c r="S2772">
        <v>5</v>
      </c>
      <c r="T2772">
        <v>41.8</v>
      </c>
      <c r="U2772">
        <v>32</v>
      </c>
      <c r="V2772">
        <v>-4.34</v>
      </c>
      <c r="W2772">
        <v>5</v>
      </c>
      <c r="X2772" t="s">
        <v>94</v>
      </c>
      <c r="Y2772" t="s">
        <v>457</v>
      </c>
      <c r="Z2772">
        <v>0</v>
      </c>
      <c r="AA2772" t="s">
        <v>6017</v>
      </c>
      <c r="AB2772" t="s">
        <v>13702</v>
      </c>
      <c r="AC2772">
        <v>0</v>
      </c>
      <c r="AD2772">
        <v>0</v>
      </c>
      <c r="AE2772">
        <v>27</v>
      </c>
      <c r="AF2772">
        <v>-178.47</v>
      </c>
      <c r="AG2772">
        <v>-6.69</v>
      </c>
      <c r="AH2772">
        <v>-6.06</v>
      </c>
      <c r="AI2772">
        <v>0.01</v>
      </c>
      <c r="AJ2772">
        <v>0</v>
      </c>
      <c r="AK2772">
        <v>25</v>
      </c>
      <c r="AL2772">
        <v>0</v>
      </c>
      <c r="AM2772">
        <v>0</v>
      </c>
      <c r="AN2772">
        <v>-1.44</v>
      </c>
      <c r="AO2772">
        <v>2.5099999999999998</v>
      </c>
      <c r="AP2772">
        <v>2</v>
      </c>
      <c r="AQ2772">
        <v>0</v>
      </c>
      <c r="AR2772">
        <v>8.27</v>
      </c>
      <c r="AS2772">
        <v>25</v>
      </c>
      <c r="AT2772">
        <v>2.42</v>
      </c>
      <c r="AU2772">
        <v>47</v>
      </c>
      <c r="AV2772">
        <v>-0.04</v>
      </c>
      <c r="AW2772">
        <v>38</v>
      </c>
      <c r="AX2772">
        <v>-0.12</v>
      </c>
      <c r="AY2772">
        <v>35</v>
      </c>
      <c r="AZ2772">
        <v>6.84</v>
      </c>
      <c r="BA2772">
        <v>16</v>
      </c>
      <c r="BB2772">
        <v>5.62</v>
      </c>
      <c r="BC2772">
        <v>15</v>
      </c>
      <c r="BD2772">
        <v>0.01</v>
      </c>
      <c r="BE2772">
        <v>0</v>
      </c>
      <c r="BF2772">
        <v>-0.03</v>
      </c>
      <c r="BG2772">
        <v>6</v>
      </c>
      <c r="BH2772">
        <v>-0.09</v>
      </c>
      <c r="BI2772">
        <v>3.59</v>
      </c>
      <c r="BJ2772">
        <v>0</v>
      </c>
      <c r="BK2772">
        <v>0</v>
      </c>
      <c r="BL2772">
        <v>0</v>
      </c>
      <c r="BM2772">
        <v>0</v>
      </c>
      <c r="BN2772">
        <v>0</v>
      </c>
      <c r="BO2772">
        <v>0</v>
      </c>
      <c r="BP2772">
        <v>0</v>
      </c>
      <c r="BQ2772">
        <v>0</v>
      </c>
      <c r="BR2772">
        <v>0</v>
      </c>
      <c r="BS2772">
        <v>0</v>
      </c>
      <c r="BT2772">
        <v>0</v>
      </c>
      <c r="BU2772">
        <v>0</v>
      </c>
      <c r="BV2772">
        <v>0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0</v>
      </c>
      <c r="CH2772">
        <v>0</v>
      </c>
      <c r="CI2772">
        <v>0</v>
      </c>
      <c r="CJ2772">
        <v>-17.899999999999999</v>
      </c>
      <c r="CK2772">
        <v>35</v>
      </c>
      <c r="CL2772">
        <v>-1.02</v>
      </c>
      <c r="CM2772">
        <v>35</v>
      </c>
      <c r="CN2772">
        <v>-0.03</v>
      </c>
      <c r="CO2772">
        <v>34</v>
      </c>
      <c r="CP2772">
        <v>-30.7</v>
      </c>
      <c r="CQ2772">
        <v>33</v>
      </c>
      <c r="CR2772">
        <v>0</v>
      </c>
      <c r="CS2772">
        <v>0</v>
      </c>
      <c r="CT2772">
        <v>-42.7</v>
      </c>
      <c r="CU2772">
        <v>32</v>
      </c>
      <c r="CV2772">
        <v>-0.1</v>
      </c>
      <c r="CW2772">
        <v>32</v>
      </c>
      <c r="CX2772" t="s">
        <v>13703</v>
      </c>
    </row>
    <row r="2773" spans="1:102" x14ac:dyDescent="0.3">
      <c r="A2773" t="str">
        <f>HYPERLINK("https://webapp.icbf.com/v2/app/bull-search/view/586147531","S963")</f>
        <v>S963</v>
      </c>
      <c r="B2773" t="s">
        <v>7531</v>
      </c>
      <c r="C2773" t="s">
        <v>7532</v>
      </c>
      <c r="D2773" s="1">
        <v>38454</v>
      </c>
      <c r="E2773" t="s">
        <v>92</v>
      </c>
      <c r="F2773">
        <v>100</v>
      </c>
      <c r="G2773" t="s">
        <v>109</v>
      </c>
      <c r="H2773">
        <v>15.32</v>
      </c>
      <c r="I2773">
        <v>71</v>
      </c>
      <c r="J2773">
        <v>34.450000000000003</v>
      </c>
      <c r="K2773">
        <v>79</v>
      </c>
      <c r="L2773">
        <v>-67.52</v>
      </c>
      <c r="M2773">
        <v>80</v>
      </c>
      <c r="N2773">
        <v>38.07</v>
      </c>
      <c r="O2773">
        <v>51</v>
      </c>
      <c r="P2773">
        <v>-23.18</v>
      </c>
      <c r="Q2773">
        <v>75</v>
      </c>
      <c r="R2773">
        <v>10.119999999999999</v>
      </c>
      <c r="S2773">
        <v>63</v>
      </c>
      <c r="T2773">
        <v>21.67</v>
      </c>
      <c r="U2773">
        <v>47</v>
      </c>
      <c r="V2773">
        <v>1.71</v>
      </c>
      <c r="W2773">
        <v>23</v>
      </c>
      <c r="X2773" t="s">
        <v>251</v>
      </c>
      <c r="Y2773" t="s">
        <v>303</v>
      </c>
      <c r="Z2773" t="s">
        <v>96</v>
      </c>
      <c r="AA2773" t="s">
        <v>476</v>
      </c>
      <c r="AB2773" t="s">
        <v>7533</v>
      </c>
      <c r="AC2773">
        <v>0</v>
      </c>
      <c r="AD2773">
        <v>0</v>
      </c>
      <c r="AE2773">
        <v>79</v>
      </c>
      <c r="AF2773">
        <v>366.39</v>
      </c>
      <c r="AG2773">
        <v>6.72</v>
      </c>
      <c r="AH2773">
        <v>9.09</v>
      </c>
      <c r="AI2773">
        <v>-0.12</v>
      </c>
      <c r="AJ2773">
        <v>-0.05</v>
      </c>
      <c r="AK2773">
        <v>80</v>
      </c>
      <c r="AL2773">
        <v>0</v>
      </c>
      <c r="AM2773">
        <v>0</v>
      </c>
      <c r="AN2773">
        <v>4.83</v>
      </c>
      <c r="AO2773">
        <v>-0.54</v>
      </c>
      <c r="AP2773">
        <v>4</v>
      </c>
      <c r="AQ2773">
        <v>0</v>
      </c>
      <c r="AR2773">
        <v>3.88</v>
      </c>
      <c r="AS2773">
        <v>31</v>
      </c>
      <c r="AT2773">
        <v>1.71</v>
      </c>
      <c r="AU2773">
        <v>83</v>
      </c>
      <c r="AV2773">
        <v>-2.52</v>
      </c>
      <c r="AW2773">
        <v>46</v>
      </c>
      <c r="AX2773">
        <v>0.05</v>
      </c>
      <c r="AY2773">
        <v>51</v>
      </c>
      <c r="AZ2773">
        <v>6.32</v>
      </c>
      <c r="BA2773">
        <v>22</v>
      </c>
      <c r="BB2773">
        <v>5.01</v>
      </c>
      <c r="BC2773">
        <v>23</v>
      </c>
      <c r="BD2773">
        <v>-0.01</v>
      </c>
      <c r="BE2773">
        <v>-0.04</v>
      </c>
      <c r="BF2773">
        <v>-0.14000000000000001</v>
      </c>
      <c r="BG2773">
        <v>88</v>
      </c>
      <c r="BH2773">
        <v>0.02</v>
      </c>
      <c r="BI2773">
        <v>-3.21</v>
      </c>
      <c r="BJ2773">
        <v>4</v>
      </c>
      <c r="BK2773">
        <v>4</v>
      </c>
      <c r="BL2773">
        <v>-0.28000000000000003</v>
      </c>
      <c r="BM2773">
        <v>-1.68</v>
      </c>
      <c r="BN2773">
        <v>0.31</v>
      </c>
      <c r="BO2773">
        <v>1.06</v>
      </c>
      <c r="BP2773">
        <v>-2.15</v>
      </c>
      <c r="BQ2773">
        <v>1.18</v>
      </c>
      <c r="BR2773">
        <v>0.76</v>
      </c>
      <c r="BS2773">
        <v>0.89</v>
      </c>
      <c r="BT2773">
        <v>-0.35</v>
      </c>
      <c r="BU2773">
        <v>2.13</v>
      </c>
      <c r="BV2773">
        <v>2.1800000000000002</v>
      </c>
      <c r="BW2773">
        <v>1.4</v>
      </c>
      <c r="BX2773">
        <v>0.54</v>
      </c>
      <c r="BY2773">
        <v>1.28</v>
      </c>
      <c r="BZ2773">
        <v>-2.33</v>
      </c>
      <c r="CA2773">
        <v>1.54</v>
      </c>
      <c r="CB2773">
        <v>1.83</v>
      </c>
      <c r="CC2773">
        <v>0.46</v>
      </c>
      <c r="CD2773">
        <v>-1.29</v>
      </c>
      <c r="CE2773">
        <v>1.0900000000000001</v>
      </c>
      <c r="CF2773">
        <v>-0.1</v>
      </c>
      <c r="CG2773">
        <v>0</v>
      </c>
      <c r="CH2773">
        <v>0.67</v>
      </c>
      <c r="CI2773">
        <v>0</v>
      </c>
      <c r="CJ2773">
        <v>-10.6</v>
      </c>
      <c r="CK2773">
        <v>79</v>
      </c>
      <c r="CL2773">
        <v>-1.1200000000000001</v>
      </c>
      <c r="CM2773">
        <v>75</v>
      </c>
      <c r="CN2773">
        <v>-0.4</v>
      </c>
      <c r="CO2773">
        <v>73</v>
      </c>
      <c r="CP2773">
        <v>-11.2</v>
      </c>
      <c r="CQ2773">
        <v>56</v>
      </c>
      <c r="CR2773">
        <v>0</v>
      </c>
      <c r="CS2773">
        <v>0</v>
      </c>
      <c r="CT2773">
        <v>-15.5</v>
      </c>
      <c r="CU2773">
        <v>47</v>
      </c>
      <c r="CV2773">
        <v>0.12</v>
      </c>
      <c r="CW2773">
        <v>21</v>
      </c>
      <c r="CX2773" t="s">
        <v>1656</v>
      </c>
    </row>
    <row r="2774" spans="1:102" x14ac:dyDescent="0.3">
      <c r="A2774" t="str">
        <f>HYPERLINK("https://webapp.icbf.com/v2/app/bull-search/view/159239240","MMX")</f>
        <v>MMX</v>
      </c>
      <c r="B2774" t="s">
        <v>11576</v>
      </c>
      <c r="C2774" t="s">
        <v>11577</v>
      </c>
      <c r="D2774" s="1">
        <v>35102</v>
      </c>
      <c r="E2774" t="s">
        <v>197</v>
      </c>
      <c r="F2774">
        <v>0</v>
      </c>
      <c r="G2774" t="s">
        <v>116</v>
      </c>
      <c r="H2774">
        <v>15.3</v>
      </c>
      <c r="I2774">
        <v>49</v>
      </c>
      <c r="J2774">
        <v>-4.12</v>
      </c>
      <c r="K2774">
        <v>68</v>
      </c>
      <c r="L2774">
        <v>20.8</v>
      </c>
      <c r="M2774">
        <v>32</v>
      </c>
      <c r="N2774">
        <v>-21.1</v>
      </c>
      <c r="O2774">
        <v>46</v>
      </c>
      <c r="P2774">
        <v>8.1300000000000008</v>
      </c>
      <c r="Q2774">
        <v>63</v>
      </c>
      <c r="R2774">
        <v>2.2799999999999998</v>
      </c>
      <c r="S2774">
        <v>29</v>
      </c>
      <c r="T2774">
        <v>12.64</v>
      </c>
      <c r="U2774">
        <v>63</v>
      </c>
      <c r="V2774">
        <v>-3.33</v>
      </c>
      <c r="W2774">
        <v>14</v>
      </c>
      <c r="X2774" t="s">
        <v>102</v>
      </c>
      <c r="Y2774" t="s">
        <v>95</v>
      </c>
      <c r="Z2774">
        <v>0</v>
      </c>
      <c r="AA2774" t="s">
        <v>2868</v>
      </c>
      <c r="AB2774" t="s">
        <v>4092</v>
      </c>
      <c r="AC2774">
        <v>8</v>
      </c>
      <c r="AD2774">
        <v>4</v>
      </c>
      <c r="AE2774">
        <v>68</v>
      </c>
      <c r="AF2774">
        <v>-123.21</v>
      </c>
      <c r="AG2774">
        <v>2.61</v>
      </c>
      <c r="AH2774">
        <v>-3.51</v>
      </c>
      <c r="AI2774">
        <v>0.13</v>
      </c>
      <c r="AJ2774">
        <v>0.01</v>
      </c>
      <c r="AK2774">
        <v>32</v>
      </c>
      <c r="AL2774">
        <v>16</v>
      </c>
      <c r="AM2774">
        <v>6</v>
      </c>
      <c r="AN2774">
        <v>-3.35</v>
      </c>
      <c r="AO2774">
        <v>-1.72</v>
      </c>
      <c r="AP2774">
        <v>17</v>
      </c>
      <c r="AQ2774">
        <v>1</v>
      </c>
      <c r="AR2774">
        <v>5.59</v>
      </c>
      <c r="AS2774">
        <v>32</v>
      </c>
      <c r="AT2774">
        <v>5.6</v>
      </c>
      <c r="AU2774">
        <v>29</v>
      </c>
      <c r="AV2774">
        <v>0.85</v>
      </c>
      <c r="AW2774">
        <v>73</v>
      </c>
      <c r="AX2774">
        <v>0.14000000000000001</v>
      </c>
      <c r="AY2774">
        <v>41</v>
      </c>
      <c r="AZ2774">
        <v>6.73</v>
      </c>
      <c r="BA2774">
        <v>12</v>
      </c>
      <c r="BB2774">
        <v>3.88</v>
      </c>
      <c r="BC2774">
        <v>16</v>
      </c>
      <c r="BD2774">
        <v>-0.02</v>
      </c>
      <c r="BE2774">
        <v>-0.01</v>
      </c>
      <c r="BF2774">
        <v>0</v>
      </c>
      <c r="BG2774">
        <v>36</v>
      </c>
      <c r="BH2774">
        <v>-0.01</v>
      </c>
      <c r="BI2774">
        <v>9.58</v>
      </c>
      <c r="BJ2774">
        <v>0</v>
      </c>
      <c r="BK2774">
        <v>0</v>
      </c>
      <c r="BL2774">
        <v>-1.44</v>
      </c>
      <c r="BM2774">
        <v>1.28</v>
      </c>
      <c r="BN2774">
        <v>-1.43</v>
      </c>
      <c r="BO2774">
        <v>-1.87</v>
      </c>
      <c r="BP2774">
        <v>0.54</v>
      </c>
      <c r="BQ2774">
        <v>0.17</v>
      </c>
      <c r="BR2774">
        <v>-0.5</v>
      </c>
      <c r="BS2774">
        <v>0.23</v>
      </c>
      <c r="BT2774">
        <v>0.05</v>
      </c>
      <c r="BU2774">
        <v>-1.69</v>
      </c>
      <c r="BV2774">
        <v>-1.74</v>
      </c>
      <c r="BW2774">
        <v>-1.74</v>
      </c>
      <c r="BX2774">
        <v>-1.22</v>
      </c>
      <c r="BY2774">
        <v>-1.88</v>
      </c>
      <c r="BZ2774">
        <v>-0.11</v>
      </c>
      <c r="CA2774">
        <v>-1.88</v>
      </c>
      <c r="CB2774">
        <v>-2.02</v>
      </c>
      <c r="CC2774">
        <v>-0.89</v>
      </c>
      <c r="CD2774">
        <v>1.73</v>
      </c>
      <c r="CE2774">
        <v>-1.87</v>
      </c>
      <c r="CF2774">
        <v>-1.39</v>
      </c>
      <c r="CG2774">
        <v>0</v>
      </c>
      <c r="CH2774">
        <v>-1.78</v>
      </c>
      <c r="CI2774">
        <v>0</v>
      </c>
      <c r="CJ2774">
        <v>1.3</v>
      </c>
      <c r="CK2774">
        <v>66</v>
      </c>
      <c r="CL2774">
        <v>0.28999999999999998</v>
      </c>
      <c r="CM2774">
        <v>60</v>
      </c>
      <c r="CN2774">
        <v>-0.3</v>
      </c>
      <c r="CO2774">
        <v>56</v>
      </c>
      <c r="CP2774">
        <v>-1.1000000000000001</v>
      </c>
      <c r="CQ2774">
        <v>62</v>
      </c>
      <c r="CR2774">
        <v>0</v>
      </c>
      <c r="CS2774">
        <v>0</v>
      </c>
      <c r="CT2774">
        <v>-3.3</v>
      </c>
      <c r="CU2774">
        <v>63</v>
      </c>
      <c r="CV2774">
        <v>-0.19</v>
      </c>
      <c r="CW2774">
        <v>17</v>
      </c>
      <c r="CX2774" t="s">
        <v>11578</v>
      </c>
    </row>
    <row r="2775" spans="1:102" x14ac:dyDescent="0.3">
      <c r="A2775" t="str">
        <f>HYPERLINK("https://webapp.icbf.com/v2/app/bull-search/view/314185255","AYO")</f>
        <v>AYO</v>
      </c>
      <c r="B2775" t="s">
        <v>11674</v>
      </c>
      <c r="C2775" t="s">
        <v>11675</v>
      </c>
      <c r="D2775" s="1">
        <v>36401</v>
      </c>
      <c r="E2775" t="s">
        <v>92</v>
      </c>
      <c r="F2775">
        <v>81</v>
      </c>
      <c r="G2775" t="s">
        <v>109</v>
      </c>
      <c r="H2775">
        <v>14.88</v>
      </c>
      <c r="I2775">
        <v>80</v>
      </c>
      <c r="J2775">
        <v>0.64</v>
      </c>
      <c r="K2775">
        <v>93</v>
      </c>
      <c r="L2775">
        <v>-10.67</v>
      </c>
      <c r="M2775">
        <v>73</v>
      </c>
      <c r="N2775">
        <v>17.62</v>
      </c>
      <c r="O2775">
        <v>77</v>
      </c>
      <c r="P2775">
        <v>-11.72</v>
      </c>
      <c r="Q2775">
        <v>85</v>
      </c>
      <c r="R2775">
        <v>-3.97</v>
      </c>
      <c r="S2775">
        <v>74</v>
      </c>
      <c r="T2775">
        <v>17.53</v>
      </c>
      <c r="U2775">
        <v>69</v>
      </c>
      <c r="V2775">
        <v>5.45</v>
      </c>
      <c r="W2775">
        <v>68</v>
      </c>
      <c r="X2775" t="s">
        <v>302</v>
      </c>
      <c r="Y2775" t="s">
        <v>95</v>
      </c>
      <c r="Z2775" t="s">
        <v>96</v>
      </c>
      <c r="AA2775" t="s">
        <v>11676</v>
      </c>
      <c r="AB2775" t="s">
        <v>11677</v>
      </c>
      <c r="AC2775">
        <v>0</v>
      </c>
      <c r="AD2775">
        <v>0</v>
      </c>
      <c r="AE2775">
        <v>93</v>
      </c>
      <c r="AF2775">
        <v>196.48</v>
      </c>
      <c r="AG2775">
        <v>-1.51</v>
      </c>
      <c r="AH2775">
        <v>3.65</v>
      </c>
      <c r="AI2775">
        <v>-0.15</v>
      </c>
      <c r="AJ2775">
        <v>-0.05</v>
      </c>
      <c r="AK2775">
        <v>73</v>
      </c>
      <c r="AL2775">
        <v>0</v>
      </c>
      <c r="AM2775">
        <v>0</v>
      </c>
      <c r="AN2775">
        <v>-0.12</v>
      </c>
      <c r="AO2775">
        <v>-0.98</v>
      </c>
      <c r="AP2775">
        <v>69</v>
      </c>
      <c r="AQ2775">
        <v>0</v>
      </c>
      <c r="AR2775">
        <v>8.2200000000000006</v>
      </c>
      <c r="AS2775">
        <v>61</v>
      </c>
      <c r="AT2775">
        <v>2.69</v>
      </c>
      <c r="AU2775">
        <v>79</v>
      </c>
      <c r="AV2775">
        <v>-2.29</v>
      </c>
      <c r="AW2775">
        <v>90</v>
      </c>
      <c r="AX2775">
        <v>0.27</v>
      </c>
      <c r="AY2775">
        <v>67</v>
      </c>
      <c r="AZ2775">
        <v>7.3</v>
      </c>
      <c r="BA2775">
        <v>54</v>
      </c>
      <c r="BB2775">
        <v>5.14</v>
      </c>
      <c r="BC2775">
        <v>57</v>
      </c>
      <c r="BD2775">
        <v>0.05</v>
      </c>
      <c r="BE2775">
        <v>0.02</v>
      </c>
      <c r="BF2775">
        <v>-0.03</v>
      </c>
      <c r="BG2775">
        <v>83</v>
      </c>
      <c r="BH2775">
        <v>0.12</v>
      </c>
      <c r="BI2775">
        <v>-3.7</v>
      </c>
      <c r="BJ2775">
        <v>1</v>
      </c>
      <c r="BK2775">
        <v>1</v>
      </c>
      <c r="BL2775">
        <v>-0.82</v>
      </c>
      <c r="BM2775">
        <v>0.05</v>
      </c>
      <c r="BN2775">
        <v>-0.51</v>
      </c>
      <c r="BO2775">
        <v>-0.78</v>
      </c>
      <c r="BP2775">
        <v>-2.99</v>
      </c>
      <c r="BQ2775">
        <v>-1.28</v>
      </c>
      <c r="BR2775">
        <v>2.0299999999999998</v>
      </c>
      <c r="BS2775">
        <v>-1.07</v>
      </c>
      <c r="BT2775">
        <v>-2.76</v>
      </c>
      <c r="BU2775">
        <v>-1.08</v>
      </c>
      <c r="BV2775">
        <v>-1.18</v>
      </c>
      <c r="BW2775">
        <v>-1.52</v>
      </c>
      <c r="BX2775">
        <v>-1.67</v>
      </c>
      <c r="BY2775">
        <v>1</v>
      </c>
      <c r="BZ2775">
        <v>-0.82</v>
      </c>
      <c r="CA2775">
        <v>-1.38</v>
      </c>
      <c r="CB2775">
        <v>-1.04</v>
      </c>
      <c r="CC2775">
        <v>-2.17</v>
      </c>
      <c r="CD2775">
        <v>0.22</v>
      </c>
      <c r="CE2775">
        <v>-0.56000000000000005</v>
      </c>
      <c r="CF2775">
        <v>-1.05</v>
      </c>
      <c r="CG2775">
        <v>0</v>
      </c>
      <c r="CH2775">
        <v>1.23</v>
      </c>
      <c r="CI2775">
        <v>0</v>
      </c>
      <c r="CJ2775">
        <v>-3.5</v>
      </c>
      <c r="CK2775">
        <v>87</v>
      </c>
      <c r="CL2775">
        <v>-0.56000000000000005</v>
      </c>
      <c r="CM2775">
        <v>84</v>
      </c>
      <c r="CN2775">
        <v>-0.06</v>
      </c>
      <c r="CO2775">
        <v>82</v>
      </c>
      <c r="CP2775">
        <v>-12.1</v>
      </c>
      <c r="CQ2775">
        <v>78</v>
      </c>
      <c r="CR2775">
        <v>0</v>
      </c>
      <c r="CS2775">
        <v>0</v>
      </c>
      <c r="CT2775">
        <v>-9.9</v>
      </c>
      <c r="CU2775">
        <v>69</v>
      </c>
      <c r="CV2775">
        <v>0.14000000000000001</v>
      </c>
      <c r="CW2775">
        <v>44</v>
      </c>
      <c r="CX2775" t="s">
        <v>531</v>
      </c>
    </row>
    <row r="2776" spans="1:102" x14ac:dyDescent="0.3">
      <c r="A2776" t="str">
        <f>HYPERLINK("https://webapp.icbf.com/v2/app/bull-search/view/69092464","RAS")</f>
        <v>RAS</v>
      </c>
      <c r="B2776" t="s">
        <v>9994</v>
      </c>
      <c r="C2776" t="s">
        <v>9995</v>
      </c>
      <c r="D2776" s="1">
        <v>31821</v>
      </c>
      <c r="E2776" t="s">
        <v>92</v>
      </c>
      <c r="F2776">
        <v>50</v>
      </c>
      <c r="G2776" t="s">
        <v>109</v>
      </c>
      <c r="H2776">
        <v>14.83</v>
      </c>
      <c r="I2776">
        <v>34</v>
      </c>
      <c r="J2776">
        <v>-30.26</v>
      </c>
      <c r="K2776">
        <v>60</v>
      </c>
      <c r="L2776">
        <v>18.8</v>
      </c>
      <c r="M2776">
        <v>18</v>
      </c>
      <c r="N2776">
        <v>11.74</v>
      </c>
      <c r="O2776">
        <v>23</v>
      </c>
      <c r="P2776">
        <v>-37.49</v>
      </c>
      <c r="Q2776">
        <v>36</v>
      </c>
      <c r="R2776">
        <v>-3.25</v>
      </c>
      <c r="S2776">
        <v>18</v>
      </c>
      <c r="T2776">
        <v>51.2</v>
      </c>
      <c r="U2776">
        <v>20</v>
      </c>
      <c r="V2776">
        <v>4.09</v>
      </c>
      <c r="W2776">
        <v>7</v>
      </c>
      <c r="X2776" t="s">
        <v>110</v>
      </c>
      <c r="Y2776">
        <v>0</v>
      </c>
      <c r="Z2776">
        <v>0</v>
      </c>
      <c r="AA2776" t="s">
        <v>9996</v>
      </c>
      <c r="AB2776" t="s">
        <v>9997</v>
      </c>
      <c r="AC2776">
        <v>0</v>
      </c>
      <c r="AD2776">
        <v>0</v>
      </c>
      <c r="AE2776">
        <v>60</v>
      </c>
      <c r="AF2776">
        <v>-887.56</v>
      </c>
      <c r="AG2776">
        <v>-5.97</v>
      </c>
      <c r="AH2776">
        <v>-16.62</v>
      </c>
      <c r="AI2776">
        <v>0.56000000000000005</v>
      </c>
      <c r="AJ2776">
        <v>0.27</v>
      </c>
      <c r="AK2776">
        <v>18</v>
      </c>
      <c r="AL2776">
        <v>3</v>
      </c>
      <c r="AM2776">
        <v>2</v>
      </c>
      <c r="AN2776">
        <v>-0.22</v>
      </c>
      <c r="AO2776">
        <v>1.29</v>
      </c>
      <c r="AP2776">
        <v>0</v>
      </c>
      <c r="AQ2776">
        <v>1</v>
      </c>
      <c r="AR2776">
        <v>4.92</v>
      </c>
      <c r="AS2776">
        <v>8</v>
      </c>
      <c r="AT2776">
        <v>2.2799999999999998</v>
      </c>
      <c r="AU2776">
        <v>11</v>
      </c>
      <c r="AV2776">
        <v>0.19</v>
      </c>
      <c r="AW2776">
        <v>39</v>
      </c>
      <c r="AX2776">
        <v>0.28999999999999998</v>
      </c>
      <c r="AY2776">
        <v>26</v>
      </c>
      <c r="AZ2776">
        <v>6.38</v>
      </c>
      <c r="BA2776">
        <v>5</v>
      </c>
      <c r="BB2776">
        <v>4.76</v>
      </c>
      <c r="BC2776">
        <v>8</v>
      </c>
      <c r="BD2776">
        <v>-0.02</v>
      </c>
      <c r="BE2776">
        <v>0.02</v>
      </c>
      <c r="BF2776">
        <v>7.0000000000000007E-2</v>
      </c>
      <c r="BG2776">
        <v>23</v>
      </c>
      <c r="BH2776">
        <v>0.15</v>
      </c>
      <c r="BI2776">
        <v>4.16</v>
      </c>
      <c r="BJ2776">
        <v>0</v>
      </c>
      <c r="BK2776">
        <v>0</v>
      </c>
      <c r="BL2776">
        <v>0</v>
      </c>
      <c r="BM2776">
        <v>0</v>
      </c>
      <c r="BN2776">
        <v>0</v>
      </c>
      <c r="BO2776">
        <v>0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-20.8</v>
      </c>
      <c r="CK2776">
        <v>39</v>
      </c>
      <c r="CL2776">
        <v>-0.62</v>
      </c>
      <c r="CM2776">
        <v>35</v>
      </c>
      <c r="CN2776">
        <v>-0.26</v>
      </c>
      <c r="CO2776">
        <v>31</v>
      </c>
      <c r="CP2776">
        <v>-36.200000000000003</v>
      </c>
      <c r="CQ2776">
        <v>30</v>
      </c>
      <c r="CR2776">
        <v>0</v>
      </c>
      <c r="CS2776">
        <v>0</v>
      </c>
      <c r="CT2776">
        <v>-55.4</v>
      </c>
      <c r="CU2776">
        <v>20</v>
      </c>
      <c r="CV2776">
        <v>-0.31</v>
      </c>
      <c r="CW2776">
        <v>10</v>
      </c>
      <c r="CX2776" t="s">
        <v>9998</v>
      </c>
    </row>
    <row r="2777" spans="1:102" x14ac:dyDescent="0.3">
      <c r="A2777" t="str">
        <f>HYPERLINK("https://webapp.icbf.com/v2/app/bull-search/view/76488610","CIX")</f>
        <v>CIX</v>
      </c>
      <c r="B2777" t="s">
        <v>2741</v>
      </c>
      <c r="C2777" t="s">
        <v>2742</v>
      </c>
      <c r="D2777" s="1">
        <v>36884</v>
      </c>
      <c r="E2777" t="s">
        <v>92</v>
      </c>
      <c r="F2777">
        <v>100</v>
      </c>
      <c r="G2777" t="s">
        <v>93</v>
      </c>
      <c r="H2777">
        <v>14.78</v>
      </c>
      <c r="I2777">
        <v>98</v>
      </c>
      <c r="J2777">
        <v>33.61</v>
      </c>
      <c r="K2777">
        <v>99</v>
      </c>
      <c r="L2777">
        <v>-61.23</v>
      </c>
      <c r="M2777">
        <v>97</v>
      </c>
      <c r="N2777">
        <v>38.229999999999997</v>
      </c>
      <c r="O2777">
        <v>99</v>
      </c>
      <c r="P2777">
        <v>-5.39</v>
      </c>
      <c r="Q2777">
        <v>99</v>
      </c>
      <c r="R2777">
        <v>6.25</v>
      </c>
      <c r="S2777">
        <v>98</v>
      </c>
      <c r="T2777">
        <v>8.1999999999999993</v>
      </c>
      <c r="U2777">
        <v>99</v>
      </c>
      <c r="V2777">
        <v>-4.8899999999999997</v>
      </c>
      <c r="W2777">
        <v>99</v>
      </c>
      <c r="X2777" t="s">
        <v>94</v>
      </c>
      <c r="Y2777" t="s">
        <v>95</v>
      </c>
      <c r="Z2777" t="s">
        <v>96</v>
      </c>
      <c r="AA2777" t="s">
        <v>2743</v>
      </c>
      <c r="AB2777" t="s">
        <v>2744</v>
      </c>
      <c r="AC2777">
        <v>4937</v>
      </c>
      <c r="AD2777">
        <v>1479</v>
      </c>
      <c r="AE2777">
        <v>99</v>
      </c>
      <c r="AF2777">
        <v>398.56</v>
      </c>
      <c r="AG2777">
        <v>4.71</v>
      </c>
      <c r="AH2777">
        <v>10.15</v>
      </c>
      <c r="AI2777">
        <v>-0.18</v>
      </c>
      <c r="AJ2777">
        <v>-0.06</v>
      </c>
      <c r="AK2777">
        <v>97</v>
      </c>
      <c r="AL2777">
        <v>5123</v>
      </c>
      <c r="AM2777">
        <v>1775</v>
      </c>
      <c r="AN2777">
        <v>4.34</v>
      </c>
      <c r="AO2777">
        <v>-0.53</v>
      </c>
      <c r="AP2777">
        <v>8621</v>
      </c>
      <c r="AQ2777">
        <v>24</v>
      </c>
      <c r="AR2777">
        <v>5.47</v>
      </c>
      <c r="AS2777">
        <v>99</v>
      </c>
      <c r="AT2777">
        <v>2.14</v>
      </c>
      <c r="AU2777">
        <v>99</v>
      </c>
      <c r="AV2777">
        <v>-2.7</v>
      </c>
      <c r="AW2777">
        <v>99</v>
      </c>
      <c r="AX2777">
        <v>-0.5</v>
      </c>
      <c r="AY2777">
        <v>99</v>
      </c>
      <c r="AZ2777">
        <v>6.36</v>
      </c>
      <c r="BA2777">
        <v>98</v>
      </c>
      <c r="BB2777">
        <v>4.4000000000000004</v>
      </c>
      <c r="BC2777">
        <v>98</v>
      </c>
      <c r="BD2777">
        <v>-0.04</v>
      </c>
      <c r="BE2777">
        <v>-0.03</v>
      </c>
      <c r="BF2777">
        <v>-0.02</v>
      </c>
      <c r="BG2777">
        <v>99</v>
      </c>
      <c r="BH2777">
        <v>-0.2</v>
      </c>
      <c r="BI2777">
        <v>-7.37</v>
      </c>
      <c r="BJ2777">
        <v>1139</v>
      </c>
      <c r="BK2777">
        <v>295</v>
      </c>
      <c r="BL2777">
        <v>0.53</v>
      </c>
      <c r="BM2777">
        <v>-1.46</v>
      </c>
      <c r="BN2777">
        <v>-0.61</v>
      </c>
      <c r="BO2777">
        <v>0.75</v>
      </c>
      <c r="BP2777">
        <v>0.74</v>
      </c>
      <c r="BQ2777">
        <v>-1.69</v>
      </c>
      <c r="BR2777">
        <v>-0.04</v>
      </c>
      <c r="BS2777">
        <v>1.97</v>
      </c>
      <c r="BT2777">
        <v>0.9</v>
      </c>
      <c r="BU2777">
        <v>1.86</v>
      </c>
      <c r="BV2777">
        <v>2.2000000000000002</v>
      </c>
      <c r="BW2777">
        <v>2.23</v>
      </c>
      <c r="BX2777">
        <v>1.64</v>
      </c>
      <c r="BY2777">
        <v>0.69</v>
      </c>
      <c r="BZ2777">
        <v>-4.22</v>
      </c>
      <c r="CA2777">
        <v>1.94</v>
      </c>
      <c r="CB2777">
        <v>1.66</v>
      </c>
      <c r="CC2777">
        <v>1.45</v>
      </c>
      <c r="CD2777">
        <v>-1.1200000000000001</v>
      </c>
      <c r="CE2777">
        <v>1</v>
      </c>
      <c r="CF2777">
        <v>0.05</v>
      </c>
      <c r="CG2777">
        <v>0</v>
      </c>
      <c r="CH2777">
        <v>0.68</v>
      </c>
      <c r="CI2777">
        <v>0</v>
      </c>
      <c r="CJ2777">
        <v>0.3</v>
      </c>
      <c r="CK2777">
        <v>99</v>
      </c>
      <c r="CL2777">
        <v>-0.92</v>
      </c>
      <c r="CM2777">
        <v>99</v>
      </c>
      <c r="CN2777">
        <v>-0.31</v>
      </c>
      <c r="CO2777">
        <v>99</v>
      </c>
      <c r="CP2777">
        <v>0.4</v>
      </c>
      <c r="CQ2777">
        <v>99</v>
      </c>
      <c r="CR2777">
        <v>0</v>
      </c>
      <c r="CS2777">
        <v>0</v>
      </c>
      <c r="CT2777">
        <v>2.7</v>
      </c>
      <c r="CU2777">
        <v>99</v>
      </c>
      <c r="CV2777">
        <v>0.25</v>
      </c>
      <c r="CW2777">
        <v>47</v>
      </c>
      <c r="CX2777" t="s">
        <v>2745</v>
      </c>
    </row>
    <row r="2778" spans="1:102" x14ac:dyDescent="0.3">
      <c r="A2778" t="str">
        <f>HYPERLINK("https://webapp.icbf.com/v2/app/bull-search/view/77853385","SNP")</f>
        <v>SNP</v>
      </c>
      <c r="B2778" t="s">
        <v>849</v>
      </c>
      <c r="C2778" t="s">
        <v>850</v>
      </c>
      <c r="D2778" s="1">
        <v>32097</v>
      </c>
      <c r="E2778" t="s">
        <v>108</v>
      </c>
      <c r="F2778">
        <v>13</v>
      </c>
      <c r="G2778" t="s">
        <v>116</v>
      </c>
      <c r="H2778">
        <v>14.62</v>
      </c>
      <c r="I2778">
        <v>46</v>
      </c>
      <c r="J2778">
        <v>-59.9</v>
      </c>
      <c r="K2778">
        <v>51</v>
      </c>
      <c r="L2778">
        <v>59.33</v>
      </c>
      <c r="M2778">
        <v>50</v>
      </c>
      <c r="N2778">
        <v>12.6</v>
      </c>
      <c r="O2778">
        <v>31</v>
      </c>
      <c r="P2778">
        <v>-8.7899999999999991</v>
      </c>
      <c r="Q2778">
        <v>49</v>
      </c>
      <c r="R2778">
        <v>-5.44</v>
      </c>
      <c r="S2778">
        <v>48</v>
      </c>
      <c r="T2778">
        <v>19.670000000000002</v>
      </c>
      <c r="U2778">
        <v>37</v>
      </c>
      <c r="V2778">
        <v>-2.85</v>
      </c>
      <c r="W2778">
        <v>16</v>
      </c>
      <c r="X2778" t="s">
        <v>94</v>
      </c>
      <c r="Y2778" t="s">
        <v>95</v>
      </c>
      <c r="Z2778" t="s">
        <v>96</v>
      </c>
      <c r="AA2778" t="s">
        <v>851</v>
      </c>
      <c r="AB2778" t="s">
        <v>852</v>
      </c>
      <c r="AC2778">
        <v>7</v>
      </c>
      <c r="AD2778">
        <v>7</v>
      </c>
      <c r="AE2778">
        <v>51</v>
      </c>
      <c r="AF2778">
        <v>-268.54000000000002</v>
      </c>
      <c r="AG2778">
        <v>-7.23</v>
      </c>
      <c r="AH2778">
        <v>-11.74</v>
      </c>
      <c r="AI2778">
        <v>0.06</v>
      </c>
      <c r="AJ2778">
        <v>-0.04</v>
      </c>
      <c r="AK2778">
        <v>50</v>
      </c>
      <c r="AL2778">
        <v>45</v>
      </c>
      <c r="AM2778">
        <v>37</v>
      </c>
      <c r="AN2778">
        <v>-4.1500000000000004</v>
      </c>
      <c r="AO2778">
        <v>0.56999999999999995</v>
      </c>
      <c r="AP2778">
        <v>1</v>
      </c>
      <c r="AQ2778">
        <v>0</v>
      </c>
      <c r="AR2778">
        <v>7.64</v>
      </c>
      <c r="AS2778">
        <v>16</v>
      </c>
      <c r="AT2778">
        <v>3.06</v>
      </c>
      <c r="AU2778">
        <v>25</v>
      </c>
      <c r="AV2778">
        <v>-0.73</v>
      </c>
      <c r="AW2778">
        <v>38</v>
      </c>
      <c r="AX2778">
        <v>-0.49</v>
      </c>
      <c r="AY2778">
        <v>46</v>
      </c>
      <c r="AZ2778">
        <v>5.42</v>
      </c>
      <c r="BA2778">
        <v>13</v>
      </c>
      <c r="BB2778">
        <v>4.22</v>
      </c>
      <c r="BC2778">
        <v>22</v>
      </c>
      <c r="BD2778">
        <v>0.06</v>
      </c>
      <c r="BE2778">
        <v>0.05</v>
      </c>
      <c r="BF2778">
        <v>-7.0000000000000007E-2</v>
      </c>
      <c r="BG2778">
        <v>69</v>
      </c>
      <c r="BH2778">
        <v>-0.09</v>
      </c>
      <c r="BI2778">
        <v>-1.23</v>
      </c>
      <c r="BJ2778">
        <v>11</v>
      </c>
      <c r="BK2778">
        <v>11</v>
      </c>
      <c r="BL2778">
        <v>-1.83</v>
      </c>
      <c r="BM2778">
        <v>1.77</v>
      </c>
      <c r="BN2778">
        <v>-1.3</v>
      </c>
      <c r="BO2778">
        <v>-2.14</v>
      </c>
      <c r="BP2778">
        <v>0.64</v>
      </c>
      <c r="BQ2778">
        <v>0.26</v>
      </c>
      <c r="BR2778">
        <v>-0.94</v>
      </c>
      <c r="BS2778">
        <v>0.13</v>
      </c>
      <c r="BT2778">
        <v>-0.34</v>
      </c>
      <c r="BU2778">
        <v>-1.68</v>
      </c>
      <c r="BV2778">
        <v>-2.2000000000000002</v>
      </c>
      <c r="BW2778">
        <v>-2.71</v>
      </c>
      <c r="BX2778">
        <v>-1.7</v>
      </c>
      <c r="BY2778">
        <v>-1.77</v>
      </c>
      <c r="BZ2778">
        <v>0.02</v>
      </c>
      <c r="CA2778">
        <v>-2.0299999999999998</v>
      </c>
      <c r="CB2778">
        <v>-2.19</v>
      </c>
      <c r="CC2778">
        <v>-0.87</v>
      </c>
      <c r="CD2778">
        <v>2.4700000000000002</v>
      </c>
      <c r="CE2778">
        <v>-2.36</v>
      </c>
      <c r="CF2778">
        <v>-1.33</v>
      </c>
      <c r="CG2778">
        <v>0</v>
      </c>
      <c r="CH2778">
        <v>-2.12</v>
      </c>
      <c r="CI2778">
        <v>0</v>
      </c>
      <c r="CJ2778">
        <v>-4.3</v>
      </c>
      <c r="CK2778">
        <v>51</v>
      </c>
      <c r="CL2778">
        <v>-0.16</v>
      </c>
      <c r="CM2778">
        <v>48</v>
      </c>
      <c r="CN2778">
        <v>0</v>
      </c>
      <c r="CO2778">
        <v>44</v>
      </c>
      <c r="CP2778">
        <v>-8</v>
      </c>
      <c r="CQ2778">
        <v>50</v>
      </c>
      <c r="CR2778">
        <v>0</v>
      </c>
      <c r="CS2778">
        <v>0</v>
      </c>
      <c r="CT2778">
        <v>-12.8</v>
      </c>
      <c r="CU2778">
        <v>37</v>
      </c>
      <c r="CV2778">
        <v>-0.08</v>
      </c>
      <c r="CW2778">
        <v>13</v>
      </c>
      <c r="CX2778" t="s">
        <v>853</v>
      </c>
    </row>
    <row r="2779" spans="1:102" x14ac:dyDescent="0.3">
      <c r="A2779" t="str">
        <f>HYPERLINK("https://webapp.icbf.com/v2/app/bull-search/view/540219708","SXO")</f>
        <v>SXO</v>
      </c>
      <c r="B2779" t="s">
        <v>11731</v>
      </c>
      <c r="C2779" t="s">
        <v>11732</v>
      </c>
      <c r="D2779" s="1">
        <v>36970</v>
      </c>
      <c r="E2779" t="s">
        <v>140</v>
      </c>
      <c r="F2779">
        <v>0</v>
      </c>
      <c r="G2779" t="s">
        <v>109</v>
      </c>
      <c r="H2779">
        <v>14.62</v>
      </c>
      <c r="I2779">
        <v>52</v>
      </c>
      <c r="J2779">
        <v>-11.16</v>
      </c>
      <c r="K2779">
        <v>76</v>
      </c>
      <c r="L2779">
        <v>40.090000000000003</v>
      </c>
      <c r="M2779">
        <v>32</v>
      </c>
      <c r="N2779">
        <v>-26.43</v>
      </c>
      <c r="O2779">
        <v>52</v>
      </c>
      <c r="P2779">
        <v>7.25</v>
      </c>
      <c r="Q2779">
        <v>67</v>
      </c>
      <c r="R2779">
        <v>3.15</v>
      </c>
      <c r="S2779">
        <v>35</v>
      </c>
      <c r="T2779">
        <v>11.16</v>
      </c>
      <c r="U2779">
        <v>40</v>
      </c>
      <c r="V2779">
        <v>-9.44</v>
      </c>
      <c r="W2779">
        <v>35</v>
      </c>
      <c r="X2779" t="s">
        <v>102</v>
      </c>
      <c r="Y2779" t="s">
        <v>95</v>
      </c>
      <c r="Z2779">
        <v>0</v>
      </c>
      <c r="AA2779" t="s">
        <v>222</v>
      </c>
      <c r="AB2779" t="s">
        <v>11733</v>
      </c>
      <c r="AC2779">
        <v>0</v>
      </c>
      <c r="AD2779">
        <v>0</v>
      </c>
      <c r="AE2779">
        <v>76</v>
      </c>
      <c r="AF2779">
        <v>15.01</v>
      </c>
      <c r="AG2779">
        <v>-4.5199999999999996</v>
      </c>
      <c r="AH2779">
        <v>-7.0000000000000007E-2</v>
      </c>
      <c r="AI2779">
        <v>-0.08</v>
      </c>
      <c r="AJ2779">
        <v>-0.01</v>
      </c>
      <c r="AK2779">
        <v>32</v>
      </c>
      <c r="AL2779">
        <v>7</v>
      </c>
      <c r="AM2779">
        <v>6</v>
      </c>
      <c r="AN2779">
        <v>-2.77</v>
      </c>
      <c r="AO2779">
        <v>0.42</v>
      </c>
      <c r="AP2779">
        <v>21</v>
      </c>
      <c r="AQ2779">
        <v>0</v>
      </c>
      <c r="AR2779">
        <v>8.41</v>
      </c>
      <c r="AS2779">
        <v>43</v>
      </c>
      <c r="AT2779">
        <v>4.53</v>
      </c>
      <c r="AU2779">
        <v>41</v>
      </c>
      <c r="AV2779">
        <v>1.34</v>
      </c>
      <c r="AW2779">
        <v>73</v>
      </c>
      <c r="AX2779">
        <v>0.15</v>
      </c>
      <c r="AY2779">
        <v>42</v>
      </c>
      <c r="AZ2779">
        <v>6.57</v>
      </c>
      <c r="BA2779">
        <v>25</v>
      </c>
      <c r="BB2779">
        <v>4.8099999999999996</v>
      </c>
      <c r="BC2779">
        <v>25</v>
      </c>
      <c r="BD2779">
        <v>0.01</v>
      </c>
      <c r="BE2779">
        <v>-0.01</v>
      </c>
      <c r="BF2779">
        <v>-7.0000000000000007E-2</v>
      </c>
      <c r="BG2779">
        <v>40</v>
      </c>
      <c r="BH2779">
        <v>-0.2</v>
      </c>
      <c r="BI2779">
        <v>7.32</v>
      </c>
      <c r="BJ2779">
        <v>0</v>
      </c>
      <c r="BK2779">
        <v>0</v>
      </c>
      <c r="BL2779">
        <v>-0.94</v>
      </c>
      <c r="BM2779">
        <v>3.53</v>
      </c>
      <c r="BN2779">
        <v>-1.63</v>
      </c>
      <c r="BO2779">
        <v>-3.03</v>
      </c>
      <c r="BP2779">
        <v>4.16</v>
      </c>
      <c r="BQ2779">
        <v>-1.99</v>
      </c>
      <c r="BR2779">
        <v>-2.5</v>
      </c>
      <c r="BS2779">
        <v>-0.34</v>
      </c>
      <c r="BT2779">
        <v>2.48</v>
      </c>
      <c r="BU2779">
        <v>-3.23</v>
      </c>
      <c r="BV2779">
        <v>-3.62</v>
      </c>
      <c r="BW2779">
        <v>-2.84</v>
      </c>
      <c r="BX2779">
        <v>-2.73</v>
      </c>
      <c r="BY2779">
        <v>-2.04</v>
      </c>
      <c r="BZ2779">
        <v>1.04</v>
      </c>
      <c r="CA2779">
        <v>-2.34</v>
      </c>
      <c r="CB2779">
        <v>-3.01</v>
      </c>
      <c r="CC2779">
        <v>-0.37</v>
      </c>
      <c r="CD2779">
        <v>3.9</v>
      </c>
      <c r="CE2779">
        <v>-3.03</v>
      </c>
      <c r="CF2779">
        <v>-1.28</v>
      </c>
      <c r="CG2779">
        <v>0</v>
      </c>
      <c r="CH2779">
        <v>-2.7</v>
      </c>
      <c r="CI2779">
        <v>0</v>
      </c>
      <c r="CJ2779">
        <v>0.5</v>
      </c>
      <c r="CK2779">
        <v>70</v>
      </c>
      <c r="CL2779">
        <v>0.25</v>
      </c>
      <c r="CM2779">
        <v>66</v>
      </c>
      <c r="CN2779">
        <v>-0.36</v>
      </c>
      <c r="CO2779">
        <v>63</v>
      </c>
      <c r="CP2779">
        <v>-1.6</v>
      </c>
      <c r="CQ2779">
        <v>56</v>
      </c>
      <c r="CR2779">
        <v>0</v>
      </c>
      <c r="CS2779">
        <v>0</v>
      </c>
      <c r="CT2779">
        <v>-1.3</v>
      </c>
      <c r="CU2779">
        <v>40</v>
      </c>
      <c r="CV2779">
        <v>-0.19</v>
      </c>
      <c r="CW2779">
        <v>19</v>
      </c>
      <c r="CX2779" t="s">
        <v>224</v>
      </c>
    </row>
    <row r="2780" spans="1:102" x14ac:dyDescent="0.3">
      <c r="A2780" t="str">
        <f>HYPERLINK("https://webapp.icbf.com/v2/app/bull-search/view/1028754287","S1684")</f>
        <v>S1684</v>
      </c>
      <c r="B2780" t="s">
        <v>9295</v>
      </c>
      <c r="C2780" t="s">
        <v>9296</v>
      </c>
      <c r="D2780" s="1">
        <v>40642</v>
      </c>
      <c r="E2780" t="s">
        <v>92</v>
      </c>
      <c r="F2780">
        <v>100</v>
      </c>
      <c r="G2780" t="s">
        <v>109</v>
      </c>
      <c r="H2780">
        <v>14.59</v>
      </c>
      <c r="I2780">
        <v>80</v>
      </c>
      <c r="J2780">
        <v>88.12</v>
      </c>
      <c r="K2780">
        <v>93</v>
      </c>
      <c r="L2780">
        <v>-77.459999999999994</v>
      </c>
      <c r="M2780">
        <v>86</v>
      </c>
      <c r="N2780">
        <v>15.44</v>
      </c>
      <c r="O2780">
        <v>75</v>
      </c>
      <c r="P2780">
        <v>8.0299999999999994</v>
      </c>
      <c r="Q2780">
        <v>58</v>
      </c>
      <c r="R2780">
        <v>6.31</v>
      </c>
      <c r="S2780">
        <v>76</v>
      </c>
      <c r="T2780">
        <v>-20.14</v>
      </c>
      <c r="U2780">
        <v>47</v>
      </c>
      <c r="V2780">
        <v>-5.71</v>
      </c>
      <c r="W2780">
        <v>60</v>
      </c>
      <c r="X2780" t="s">
        <v>94</v>
      </c>
      <c r="Y2780" t="s">
        <v>362</v>
      </c>
      <c r="Z2780" t="s">
        <v>96</v>
      </c>
      <c r="AA2780" t="s">
        <v>5274</v>
      </c>
      <c r="AB2780" t="s">
        <v>9297</v>
      </c>
      <c r="AC2780">
        <v>0</v>
      </c>
      <c r="AD2780">
        <v>0</v>
      </c>
      <c r="AE2780">
        <v>93</v>
      </c>
      <c r="AF2780">
        <v>664.55</v>
      </c>
      <c r="AG2780">
        <v>19.16</v>
      </c>
      <c r="AH2780">
        <v>18.38</v>
      </c>
      <c r="AI2780">
        <v>-0.11</v>
      </c>
      <c r="AJ2780">
        <v>-7.0000000000000007E-2</v>
      </c>
      <c r="AK2780">
        <v>86</v>
      </c>
      <c r="AL2780">
        <v>0</v>
      </c>
      <c r="AM2780">
        <v>0</v>
      </c>
      <c r="AN2780">
        <v>5.55</v>
      </c>
      <c r="AO2780">
        <v>-0.61</v>
      </c>
      <c r="AP2780">
        <v>32</v>
      </c>
      <c r="AQ2780">
        <v>0</v>
      </c>
      <c r="AR2780">
        <v>9.8000000000000007</v>
      </c>
      <c r="AS2780">
        <v>64</v>
      </c>
      <c r="AT2780">
        <v>3.91</v>
      </c>
      <c r="AU2780">
        <v>92</v>
      </c>
      <c r="AV2780">
        <v>-3.66</v>
      </c>
      <c r="AW2780">
        <v>82</v>
      </c>
      <c r="AX2780">
        <v>0.06</v>
      </c>
      <c r="AY2780">
        <v>62</v>
      </c>
      <c r="AZ2780">
        <v>6.02</v>
      </c>
      <c r="BA2780">
        <v>47</v>
      </c>
      <c r="BB2780">
        <v>5.0199999999999996</v>
      </c>
      <c r="BC2780">
        <v>46</v>
      </c>
      <c r="BD2780">
        <v>-0.03</v>
      </c>
      <c r="BE2780">
        <v>-0.05</v>
      </c>
      <c r="BF2780">
        <v>0</v>
      </c>
      <c r="BG2780">
        <v>91</v>
      </c>
      <c r="BH2780">
        <v>-0.2</v>
      </c>
      <c r="BI2780">
        <v>-4.72</v>
      </c>
      <c r="BJ2780">
        <v>5</v>
      </c>
      <c r="BK2780">
        <v>5</v>
      </c>
      <c r="BL2780">
        <v>3.15</v>
      </c>
      <c r="BM2780">
        <v>0.37</v>
      </c>
      <c r="BN2780">
        <v>1.85</v>
      </c>
      <c r="BO2780">
        <v>1.92</v>
      </c>
      <c r="BP2780">
        <v>-1.8</v>
      </c>
      <c r="BQ2780">
        <v>4.68</v>
      </c>
      <c r="BR2780">
        <v>0.53</v>
      </c>
      <c r="BS2780">
        <v>0.17</v>
      </c>
      <c r="BT2780">
        <v>-0.12</v>
      </c>
      <c r="BU2780">
        <v>3</v>
      </c>
      <c r="BV2780">
        <v>3.36</v>
      </c>
      <c r="BW2780">
        <v>3.67</v>
      </c>
      <c r="BX2780">
        <v>2.0699999999999998</v>
      </c>
      <c r="BY2780">
        <v>2.84</v>
      </c>
      <c r="BZ2780">
        <v>0.17</v>
      </c>
      <c r="CA2780">
        <v>2.83</v>
      </c>
      <c r="CB2780">
        <v>2.94</v>
      </c>
      <c r="CC2780">
        <v>0.83</v>
      </c>
      <c r="CD2780">
        <v>-1.22</v>
      </c>
      <c r="CE2780">
        <v>1.89</v>
      </c>
      <c r="CF2780">
        <v>2.95</v>
      </c>
      <c r="CG2780">
        <v>0</v>
      </c>
      <c r="CH2780">
        <v>2.93</v>
      </c>
      <c r="CI2780">
        <v>0</v>
      </c>
      <c r="CJ2780">
        <v>5.5</v>
      </c>
      <c r="CK2780">
        <v>59</v>
      </c>
      <c r="CL2780">
        <v>-1.38</v>
      </c>
      <c r="CM2780">
        <v>57</v>
      </c>
      <c r="CN2780">
        <v>-1.1000000000000001</v>
      </c>
      <c r="CO2780">
        <v>56</v>
      </c>
      <c r="CP2780">
        <v>12</v>
      </c>
      <c r="CQ2780">
        <v>52</v>
      </c>
      <c r="CR2780">
        <v>0</v>
      </c>
      <c r="CS2780">
        <v>0</v>
      </c>
      <c r="CT2780">
        <v>41</v>
      </c>
      <c r="CU2780">
        <v>47</v>
      </c>
      <c r="CV2780">
        <v>0.28999999999999998</v>
      </c>
      <c r="CW2780">
        <v>38</v>
      </c>
      <c r="CX2780" t="s">
        <v>1962</v>
      </c>
    </row>
    <row r="2781" spans="1:102" x14ac:dyDescent="0.3">
      <c r="A2781" t="str">
        <f>HYPERLINK("https://webapp.icbf.com/v2/app/bull-search/view/77858044","DVA")</f>
        <v>DVA</v>
      </c>
      <c r="B2781" t="s">
        <v>3657</v>
      </c>
      <c r="C2781" t="s">
        <v>3658</v>
      </c>
      <c r="D2781" s="1">
        <v>34844</v>
      </c>
      <c r="E2781" t="s">
        <v>108</v>
      </c>
      <c r="F2781">
        <v>6</v>
      </c>
      <c r="G2781" t="s">
        <v>93</v>
      </c>
      <c r="H2781">
        <v>14.57</v>
      </c>
      <c r="I2781">
        <v>80</v>
      </c>
      <c r="J2781">
        <v>-33.229999999999997</v>
      </c>
      <c r="K2781">
        <v>93</v>
      </c>
      <c r="L2781">
        <v>47.82</v>
      </c>
      <c r="M2781">
        <v>70</v>
      </c>
      <c r="N2781">
        <v>-9</v>
      </c>
      <c r="O2781">
        <v>75</v>
      </c>
      <c r="P2781">
        <v>-1.22</v>
      </c>
      <c r="Q2781">
        <v>90</v>
      </c>
      <c r="R2781">
        <v>-8.2799999999999994</v>
      </c>
      <c r="S2781">
        <v>70</v>
      </c>
      <c r="T2781">
        <v>18.27</v>
      </c>
      <c r="U2781">
        <v>85</v>
      </c>
      <c r="V2781">
        <v>0.21</v>
      </c>
      <c r="W2781">
        <v>56</v>
      </c>
      <c r="X2781" t="s">
        <v>102</v>
      </c>
      <c r="Y2781" t="s">
        <v>95</v>
      </c>
      <c r="Z2781" t="s">
        <v>96</v>
      </c>
      <c r="AA2781" t="s">
        <v>672</v>
      </c>
      <c r="AB2781" t="s">
        <v>1317</v>
      </c>
      <c r="AC2781">
        <v>67</v>
      </c>
      <c r="AD2781">
        <v>52</v>
      </c>
      <c r="AE2781">
        <v>93</v>
      </c>
      <c r="AF2781">
        <v>-234.81</v>
      </c>
      <c r="AG2781">
        <v>-4.3099999999999996</v>
      </c>
      <c r="AH2781">
        <v>-7.72</v>
      </c>
      <c r="AI2781">
        <v>0.08</v>
      </c>
      <c r="AJ2781">
        <v>0.01</v>
      </c>
      <c r="AK2781">
        <v>70</v>
      </c>
      <c r="AL2781">
        <v>100</v>
      </c>
      <c r="AM2781">
        <v>73</v>
      </c>
      <c r="AN2781">
        <v>-2.91</v>
      </c>
      <c r="AO2781">
        <v>0.9</v>
      </c>
      <c r="AP2781">
        <v>65</v>
      </c>
      <c r="AQ2781">
        <v>2</v>
      </c>
      <c r="AR2781">
        <v>6.79</v>
      </c>
      <c r="AS2781">
        <v>51</v>
      </c>
      <c r="AT2781">
        <v>3.15</v>
      </c>
      <c r="AU2781">
        <v>75</v>
      </c>
      <c r="AV2781">
        <v>1.36</v>
      </c>
      <c r="AW2781">
        <v>84</v>
      </c>
      <c r="AX2781">
        <v>-0.55000000000000004</v>
      </c>
      <c r="AY2781">
        <v>82</v>
      </c>
      <c r="AZ2781">
        <v>6.53</v>
      </c>
      <c r="BA2781">
        <v>50</v>
      </c>
      <c r="BB2781">
        <v>5.27</v>
      </c>
      <c r="BC2781">
        <v>62</v>
      </c>
      <c r="BD2781">
        <v>0.05</v>
      </c>
      <c r="BE2781">
        <v>0.03</v>
      </c>
      <c r="BF2781">
        <v>0.05</v>
      </c>
      <c r="BG2781">
        <v>82</v>
      </c>
      <c r="BH2781">
        <v>-0.01</v>
      </c>
      <c r="BI2781">
        <v>-1.84</v>
      </c>
      <c r="BJ2781">
        <v>10</v>
      </c>
      <c r="BK2781">
        <v>8</v>
      </c>
      <c r="BL2781">
        <v>-1.85</v>
      </c>
      <c r="BM2781">
        <v>1.45</v>
      </c>
      <c r="BN2781">
        <v>-1.41</v>
      </c>
      <c r="BO2781">
        <v>-2.15</v>
      </c>
      <c r="BP2781">
        <v>-1.72</v>
      </c>
      <c r="BQ2781">
        <v>1.93</v>
      </c>
      <c r="BR2781">
        <v>1.35</v>
      </c>
      <c r="BS2781">
        <v>-1.07</v>
      </c>
      <c r="BT2781">
        <v>-0.56000000000000005</v>
      </c>
      <c r="BU2781">
        <v>-0.9</v>
      </c>
      <c r="BV2781">
        <v>-1.56</v>
      </c>
      <c r="BW2781">
        <v>-1.6</v>
      </c>
      <c r="BX2781">
        <v>-0.69</v>
      </c>
      <c r="BY2781">
        <v>-1</v>
      </c>
      <c r="BZ2781">
        <v>-3.35</v>
      </c>
      <c r="CA2781">
        <v>-2.2200000000000002</v>
      </c>
      <c r="CB2781">
        <v>-1.96</v>
      </c>
      <c r="CC2781">
        <v>-1.82</v>
      </c>
      <c r="CD2781">
        <v>1.98</v>
      </c>
      <c r="CE2781">
        <v>-1.71</v>
      </c>
      <c r="CF2781">
        <v>-0.88</v>
      </c>
      <c r="CG2781">
        <v>0</v>
      </c>
      <c r="CH2781">
        <v>-0.74</v>
      </c>
      <c r="CI2781">
        <v>0</v>
      </c>
      <c r="CJ2781">
        <v>2.5</v>
      </c>
      <c r="CK2781">
        <v>91</v>
      </c>
      <c r="CL2781">
        <v>-0.12</v>
      </c>
      <c r="CM2781">
        <v>90</v>
      </c>
      <c r="CN2781">
        <v>0.18</v>
      </c>
      <c r="CO2781">
        <v>88</v>
      </c>
      <c r="CP2781">
        <v>-8.8000000000000007</v>
      </c>
      <c r="CQ2781">
        <v>90</v>
      </c>
      <c r="CR2781">
        <v>0</v>
      </c>
      <c r="CS2781">
        <v>0</v>
      </c>
      <c r="CT2781">
        <v>-10.9</v>
      </c>
      <c r="CU2781">
        <v>85</v>
      </c>
      <c r="CV2781">
        <v>0.05</v>
      </c>
      <c r="CW2781">
        <v>27</v>
      </c>
      <c r="CX2781" t="s">
        <v>1318</v>
      </c>
    </row>
    <row r="2782" spans="1:102" x14ac:dyDescent="0.3">
      <c r="A2782" t="str">
        <f>HYPERLINK("https://webapp.icbf.com/v2/app/bull-search/view/1584994974","S3237")</f>
        <v>S3237</v>
      </c>
      <c r="B2782" t="s">
        <v>6209</v>
      </c>
      <c r="C2782" t="s">
        <v>6210</v>
      </c>
      <c r="D2782" s="1">
        <v>42679</v>
      </c>
      <c r="E2782" t="s">
        <v>92</v>
      </c>
      <c r="F2782">
        <v>100</v>
      </c>
      <c r="G2782" t="s">
        <v>435</v>
      </c>
      <c r="H2782">
        <v>14.55</v>
      </c>
      <c r="I2782">
        <v>70</v>
      </c>
      <c r="J2782">
        <v>66.59</v>
      </c>
      <c r="K2782">
        <v>89</v>
      </c>
      <c r="L2782">
        <v>-32.590000000000003</v>
      </c>
      <c r="M2782">
        <v>71</v>
      </c>
      <c r="N2782">
        <v>-25.21</v>
      </c>
      <c r="O2782">
        <v>63</v>
      </c>
      <c r="P2782">
        <v>3.89</v>
      </c>
      <c r="Q2782">
        <v>40</v>
      </c>
      <c r="R2782">
        <v>20.010000000000002</v>
      </c>
      <c r="S2782">
        <v>65</v>
      </c>
      <c r="T2782">
        <v>-22.95</v>
      </c>
      <c r="U2782">
        <v>36</v>
      </c>
      <c r="V2782">
        <v>4.8099999999999996</v>
      </c>
      <c r="W2782">
        <v>56</v>
      </c>
      <c r="X2782" t="s">
        <v>110</v>
      </c>
      <c r="Y2782" t="s">
        <v>453</v>
      </c>
      <c r="Z2782" t="s">
        <v>96</v>
      </c>
      <c r="AA2782" t="s">
        <v>6211</v>
      </c>
      <c r="AB2782" t="s">
        <v>6212</v>
      </c>
      <c r="AC2782">
        <v>0</v>
      </c>
      <c r="AD2782">
        <v>0</v>
      </c>
      <c r="AE2782">
        <v>89</v>
      </c>
      <c r="AF2782">
        <v>531.96</v>
      </c>
      <c r="AG2782">
        <v>13.22</v>
      </c>
      <c r="AH2782">
        <v>14.79</v>
      </c>
      <c r="AI2782">
        <v>-0.12</v>
      </c>
      <c r="AJ2782">
        <v>-0.05</v>
      </c>
      <c r="AK2782">
        <v>71</v>
      </c>
      <c r="AL2782">
        <v>0</v>
      </c>
      <c r="AM2782">
        <v>0</v>
      </c>
      <c r="AN2782">
        <v>4.01</v>
      </c>
      <c r="AO2782">
        <v>1.44</v>
      </c>
      <c r="AP2782">
        <v>7</v>
      </c>
      <c r="AQ2782">
        <v>0</v>
      </c>
      <c r="AR2782">
        <v>11.13</v>
      </c>
      <c r="AS2782">
        <v>56</v>
      </c>
      <c r="AT2782">
        <v>4.83</v>
      </c>
      <c r="AU2782">
        <v>89</v>
      </c>
      <c r="AV2782">
        <v>-1.05</v>
      </c>
      <c r="AW2782">
        <v>63</v>
      </c>
      <c r="AX2782">
        <v>1.75</v>
      </c>
      <c r="AY2782">
        <v>47</v>
      </c>
      <c r="AZ2782">
        <v>5.82</v>
      </c>
      <c r="BA2782">
        <v>39</v>
      </c>
      <c r="BB2782">
        <v>5.14</v>
      </c>
      <c r="BC2782">
        <v>37</v>
      </c>
      <c r="BD2782">
        <v>-0.03</v>
      </c>
      <c r="BE2782">
        <v>-0.1</v>
      </c>
      <c r="BF2782">
        <v>-0.22</v>
      </c>
      <c r="BG2782">
        <v>78</v>
      </c>
      <c r="BH2782">
        <v>0.17</v>
      </c>
      <c r="BI2782">
        <v>4.1500000000000004</v>
      </c>
      <c r="BJ2782">
        <v>0</v>
      </c>
      <c r="BK2782">
        <v>0</v>
      </c>
      <c r="BL2782">
        <v>4.0999999999999996</v>
      </c>
      <c r="BM2782">
        <v>0.54</v>
      </c>
      <c r="BN2782">
        <v>2.98</v>
      </c>
      <c r="BO2782">
        <v>2.73</v>
      </c>
      <c r="BP2782">
        <v>-0.44</v>
      </c>
      <c r="BQ2782">
        <v>6</v>
      </c>
      <c r="BR2782">
        <v>0.13</v>
      </c>
      <c r="BS2782">
        <v>2.11</v>
      </c>
      <c r="BT2782">
        <v>1.77</v>
      </c>
      <c r="BU2782">
        <v>4.74</v>
      </c>
      <c r="BV2782">
        <v>4.6500000000000004</v>
      </c>
      <c r="BW2782">
        <v>4.01</v>
      </c>
      <c r="BX2782">
        <v>4.1900000000000004</v>
      </c>
      <c r="BY2782">
        <v>3.32</v>
      </c>
      <c r="BZ2782">
        <v>-0.42</v>
      </c>
      <c r="CA2782">
        <v>3.45</v>
      </c>
      <c r="CB2782">
        <v>3.42</v>
      </c>
      <c r="CC2782">
        <v>1.79</v>
      </c>
      <c r="CD2782">
        <v>-1.4</v>
      </c>
      <c r="CE2782">
        <v>1.97</v>
      </c>
      <c r="CF2782">
        <v>3.48</v>
      </c>
      <c r="CG2782">
        <v>0</v>
      </c>
      <c r="CH2782">
        <v>1.89</v>
      </c>
      <c r="CI2782">
        <v>0</v>
      </c>
      <c r="CJ2782">
        <v>7.6</v>
      </c>
      <c r="CK2782">
        <v>41</v>
      </c>
      <c r="CL2782">
        <v>-1.88</v>
      </c>
      <c r="CM2782">
        <v>40</v>
      </c>
      <c r="CN2782">
        <v>-0.89</v>
      </c>
      <c r="CO2782">
        <v>40</v>
      </c>
      <c r="CP2782">
        <v>15.9</v>
      </c>
      <c r="CQ2782">
        <v>37</v>
      </c>
      <c r="CR2782">
        <v>0</v>
      </c>
      <c r="CS2782">
        <v>0</v>
      </c>
      <c r="CT2782">
        <v>44.8</v>
      </c>
      <c r="CU2782">
        <v>36</v>
      </c>
      <c r="CV2782">
        <v>0.31</v>
      </c>
      <c r="CW2782">
        <v>33</v>
      </c>
      <c r="CX2782" t="s">
        <v>2216</v>
      </c>
    </row>
    <row r="2783" spans="1:102" x14ac:dyDescent="0.3">
      <c r="A2783" t="str">
        <f>HYPERLINK("https://webapp.icbf.com/v2/app/bull-search/view/444474048","S634")</f>
        <v>S634</v>
      </c>
      <c r="B2783" t="s">
        <v>2595</v>
      </c>
      <c r="C2783" t="s">
        <v>2596</v>
      </c>
      <c r="D2783" s="1">
        <v>36396</v>
      </c>
      <c r="E2783" t="s">
        <v>92</v>
      </c>
      <c r="F2783">
        <v>75</v>
      </c>
      <c r="G2783" t="s">
        <v>109</v>
      </c>
      <c r="H2783">
        <v>14.43</v>
      </c>
      <c r="I2783">
        <v>76</v>
      </c>
      <c r="J2783">
        <v>57.95</v>
      </c>
      <c r="K2783">
        <v>90</v>
      </c>
      <c r="L2783">
        <v>-55.41</v>
      </c>
      <c r="M2783">
        <v>81</v>
      </c>
      <c r="N2783">
        <v>18.32</v>
      </c>
      <c r="O2783">
        <v>64</v>
      </c>
      <c r="P2783">
        <v>16.760000000000002</v>
      </c>
      <c r="Q2783">
        <v>53</v>
      </c>
      <c r="R2783">
        <v>0.33</v>
      </c>
      <c r="S2783">
        <v>69</v>
      </c>
      <c r="T2783">
        <v>-20.36</v>
      </c>
      <c r="U2783">
        <v>58</v>
      </c>
      <c r="V2783">
        <v>-3.16</v>
      </c>
      <c r="W2783">
        <v>47</v>
      </c>
      <c r="X2783" t="s">
        <v>110</v>
      </c>
      <c r="Y2783" t="s">
        <v>1122</v>
      </c>
      <c r="Z2783" t="s">
        <v>96</v>
      </c>
      <c r="AA2783" t="s">
        <v>2597</v>
      </c>
      <c r="AB2783" t="s">
        <v>2598</v>
      </c>
      <c r="AC2783">
        <v>0</v>
      </c>
      <c r="AD2783">
        <v>0</v>
      </c>
      <c r="AE2783">
        <v>90</v>
      </c>
      <c r="AF2783">
        <v>364.47</v>
      </c>
      <c r="AG2783">
        <v>8.07</v>
      </c>
      <c r="AH2783">
        <v>12.58</v>
      </c>
      <c r="AI2783">
        <v>-0.1</v>
      </c>
      <c r="AJ2783">
        <v>0</v>
      </c>
      <c r="AK2783">
        <v>81</v>
      </c>
      <c r="AL2783">
        <v>0</v>
      </c>
      <c r="AM2783">
        <v>0</v>
      </c>
      <c r="AN2783">
        <v>3.68</v>
      </c>
      <c r="AO2783">
        <v>-0.73</v>
      </c>
      <c r="AP2783">
        <v>11</v>
      </c>
      <c r="AQ2783">
        <v>0</v>
      </c>
      <c r="AR2783">
        <v>6.57</v>
      </c>
      <c r="AS2783">
        <v>47</v>
      </c>
      <c r="AT2783">
        <v>3.33</v>
      </c>
      <c r="AU2783">
        <v>91</v>
      </c>
      <c r="AV2783">
        <v>-2.39</v>
      </c>
      <c r="AW2783">
        <v>67</v>
      </c>
      <c r="AX2783">
        <v>-0.21</v>
      </c>
      <c r="AY2783">
        <v>46</v>
      </c>
      <c r="AZ2783">
        <v>7</v>
      </c>
      <c r="BA2783">
        <v>31</v>
      </c>
      <c r="BB2783">
        <v>5.24</v>
      </c>
      <c r="BC2783">
        <v>33</v>
      </c>
      <c r="BD2783">
        <v>0.02</v>
      </c>
      <c r="BE2783">
        <v>0.01</v>
      </c>
      <c r="BF2783">
        <v>-0.06</v>
      </c>
      <c r="BG2783">
        <v>90</v>
      </c>
      <c r="BH2783">
        <v>-0.08</v>
      </c>
      <c r="BI2783">
        <v>0.94</v>
      </c>
      <c r="BJ2783">
        <v>0</v>
      </c>
      <c r="BK2783">
        <v>0</v>
      </c>
      <c r="BL2783">
        <v>0.39</v>
      </c>
      <c r="BM2783">
        <v>1.27</v>
      </c>
      <c r="BN2783">
        <v>1.23</v>
      </c>
      <c r="BO2783">
        <v>0.69</v>
      </c>
      <c r="BP2783">
        <v>0.5</v>
      </c>
      <c r="BQ2783">
        <v>0.13</v>
      </c>
      <c r="BR2783">
        <v>2.0099999999999998</v>
      </c>
      <c r="BS2783">
        <v>1.98</v>
      </c>
      <c r="BT2783">
        <v>0.56000000000000005</v>
      </c>
      <c r="BU2783">
        <v>0.65</v>
      </c>
      <c r="BV2783">
        <v>0.08</v>
      </c>
      <c r="BW2783">
        <v>1.46</v>
      </c>
      <c r="BX2783">
        <v>0.28999999999999998</v>
      </c>
      <c r="BY2783">
        <v>2.09</v>
      </c>
      <c r="BZ2783">
        <v>-3.44</v>
      </c>
      <c r="CA2783">
        <v>1.28</v>
      </c>
      <c r="CB2783">
        <v>0.73</v>
      </c>
      <c r="CC2783">
        <v>1.96</v>
      </c>
      <c r="CD2783">
        <v>0.61</v>
      </c>
      <c r="CE2783">
        <v>0.04</v>
      </c>
      <c r="CF2783">
        <v>0.78</v>
      </c>
      <c r="CG2783">
        <v>0</v>
      </c>
      <c r="CH2783">
        <v>0.22</v>
      </c>
      <c r="CI2783">
        <v>0</v>
      </c>
      <c r="CJ2783">
        <v>9.6999999999999993</v>
      </c>
      <c r="CK2783">
        <v>56</v>
      </c>
      <c r="CL2783">
        <v>-0.37</v>
      </c>
      <c r="CM2783">
        <v>48</v>
      </c>
      <c r="CN2783">
        <v>-0.45</v>
      </c>
      <c r="CO2783">
        <v>46</v>
      </c>
      <c r="CP2783">
        <v>12.8</v>
      </c>
      <c r="CQ2783">
        <v>52</v>
      </c>
      <c r="CR2783">
        <v>0</v>
      </c>
      <c r="CS2783">
        <v>0</v>
      </c>
      <c r="CT2783">
        <v>41.3</v>
      </c>
      <c r="CU2783">
        <v>58</v>
      </c>
      <c r="CV2783">
        <v>0.39</v>
      </c>
      <c r="CW2783">
        <v>37</v>
      </c>
      <c r="CX2783" t="s">
        <v>2599</v>
      </c>
    </row>
    <row r="2784" spans="1:102" x14ac:dyDescent="0.3">
      <c r="A2784" t="str">
        <f>HYPERLINK("https://webapp.icbf.com/v2/app/bull-search/view/69091861","HGL")</f>
        <v>HGL</v>
      </c>
      <c r="B2784" t="s">
        <v>12146</v>
      </c>
      <c r="C2784" t="s">
        <v>12147</v>
      </c>
      <c r="D2784" s="1">
        <v>33950</v>
      </c>
      <c r="E2784" t="s">
        <v>140</v>
      </c>
      <c r="F2784">
        <v>0</v>
      </c>
      <c r="G2784" t="s">
        <v>109</v>
      </c>
      <c r="H2784">
        <v>14.26</v>
      </c>
      <c r="I2784">
        <v>63</v>
      </c>
      <c r="J2784">
        <v>-43.2</v>
      </c>
      <c r="K2784">
        <v>74</v>
      </c>
      <c r="L2784">
        <v>50.19</v>
      </c>
      <c r="M2784">
        <v>51</v>
      </c>
      <c r="N2784">
        <v>-19.010000000000002</v>
      </c>
      <c r="O2784">
        <v>60</v>
      </c>
      <c r="P2784">
        <v>11.98</v>
      </c>
      <c r="Q2784">
        <v>76</v>
      </c>
      <c r="R2784">
        <v>6.97</v>
      </c>
      <c r="S2784">
        <v>54</v>
      </c>
      <c r="T2784">
        <v>16.86</v>
      </c>
      <c r="U2784">
        <v>79</v>
      </c>
      <c r="V2784">
        <v>-9.5299999999999994</v>
      </c>
      <c r="W2784">
        <v>39</v>
      </c>
      <c r="X2784" t="s">
        <v>276</v>
      </c>
      <c r="Y2784" t="s">
        <v>95</v>
      </c>
      <c r="Z2784">
        <v>0</v>
      </c>
      <c r="AA2784" t="s">
        <v>1296</v>
      </c>
      <c r="AB2784" t="s">
        <v>12148</v>
      </c>
      <c r="AC2784">
        <v>0</v>
      </c>
      <c r="AD2784">
        <v>0</v>
      </c>
      <c r="AE2784">
        <v>74</v>
      </c>
      <c r="AF2784">
        <v>-186.33</v>
      </c>
      <c r="AG2784">
        <v>-9.92</v>
      </c>
      <c r="AH2784">
        <v>-6.69</v>
      </c>
      <c r="AI2784">
        <v>-0.05</v>
      </c>
      <c r="AJ2784">
        <v>-0.01</v>
      </c>
      <c r="AK2784">
        <v>51</v>
      </c>
      <c r="AL2784">
        <v>31</v>
      </c>
      <c r="AM2784">
        <v>19</v>
      </c>
      <c r="AN2784">
        <v>-2.94</v>
      </c>
      <c r="AO2784">
        <v>1.06</v>
      </c>
      <c r="AP2784">
        <v>3</v>
      </c>
      <c r="AQ2784">
        <v>3</v>
      </c>
      <c r="AR2784">
        <v>5.92</v>
      </c>
      <c r="AS2784">
        <v>34</v>
      </c>
      <c r="AT2784">
        <v>3.29</v>
      </c>
      <c r="AU2784">
        <v>49</v>
      </c>
      <c r="AV2784">
        <v>3.7</v>
      </c>
      <c r="AW2784">
        <v>77</v>
      </c>
      <c r="AX2784">
        <v>-0.8</v>
      </c>
      <c r="AY2784">
        <v>65</v>
      </c>
      <c r="AZ2784">
        <v>5.59</v>
      </c>
      <c r="BA2784">
        <v>30</v>
      </c>
      <c r="BB2784">
        <v>4.1100000000000003</v>
      </c>
      <c r="BC2784">
        <v>43</v>
      </c>
      <c r="BD2784">
        <v>0.04</v>
      </c>
      <c r="BE2784">
        <v>-0.03</v>
      </c>
      <c r="BF2784">
        <v>-0.17</v>
      </c>
      <c r="BG2784">
        <v>66</v>
      </c>
      <c r="BH2784">
        <v>-0.21</v>
      </c>
      <c r="BI2784">
        <v>6.44</v>
      </c>
      <c r="BJ2784">
        <v>0</v>
      </c>
      <c r="BK2784">
        <v>0</v>
      </c>
      <c r="BL2784">
        <v>-0.59</v>
      </c>
      <c r="BM2784">
        <v>3.26</v>
      </c>
      <c r="BN2784">
        <v>-1.35</v>
      </c>
      <c r="BO2784">
        <v>-2.62</v>
      </c>
      <c r="BP2784">
        <v>4.0999999999999996</v>
      </c>
      <c r="BQ2784">
        <v>-1.73</v>
      </c>
      <c r="BR2784">
        <v>-2.29</v>
      </c>
      <c r="BS2784">
        <v>-0.52</v>
      </c>
      <c r="BT2784">
        <v>2.13</v>
      </c>
      <c r="BU2784">
        <v>-3.06</v>
      </c>
      <c r="BV2784">
        <v>-3.52</v>
      </c>
      <c r="BW2784">
        <v>-2.69</v>
      </c>
      <c r="BX2784">
        <v>-2.2799999999999998</v>
      </c>
      <c r="BY2784">
        <v>-2.08</v>
      </c>
      <c r="BZ2784">
        <v>1.05</v>
      </c>
      <c r="CA2784">
        <v>-2.2799999999999998</v>
      </c>
      <c r="CB2784">
        <v>-2.89</v>
      </c>
      <c r="CC2784">
        <v>-0.4</v>
      </c>
      <c r="CD2784">
        <v>3.61</v>
      </c>
      <c r="CE2784">
        <v>-2.56</v>
      </c>
      <c r="CF2784">
        <v>-0.66</v>
      </c>
      <c r="CG2784">
        <v>0</v>
      </c>
      <c r="CH2784">
        <v>-2.13</v>
      </c>
      <c r="CI2784">
        <v>0</v>
      </c>
      <c r="CJ2784">
        <v>-0.7</v>
      </c>
      <c r="CK2784">
        <v>77</v>
      </c>
      <c r="CL2784">
        <v>0.56000000000000005</v>
      </c>
      <c r="CM2784">
        <v>74</v>
      </c>
      <c r="CN2784">
        <v>-0.64</v>
      </c>
      <c r="CO2784">
        <v>71</v>
      </c>
      <c r="CP2784">
        <v>-2.2000000000000002</v>
      </c>
      <c r="CQ2784">
        <v>78</v>
      </c>
      <c r="CR2784">
        <v>0</v>
      </c>
      <c r="CS2784">
        <v>0</v>
      </c>
      <c r="CT2784">
        <v>-9</v>
      </c>
      <c r="CU2784">
        <v>79</v>
      </c>
      <c r="CV2784">
        <v>-0.35</v>
      </c>
      <c r="CW2784">
        <v>21</v>
      </c>
      <c r="CX2784" t="s">
        <v>698</v>
      </c>
    </row>
    <row r="2785" spans="1:102" x14ac:dyDescent="0.3">
      <c r="A2785" t="str">
        <f>HYPERLINK("https://webapp.icbf.com/v2/app/bull-search/view/666253676","GHE")</f>
        <v>GHE</v>
      </c>
      <c r="B2785" t="s">
        <v>6526</v>
      </c>
      <c r="C2785" t="s">
        <v>6527</v>
      </c>
      <c r="D2785" s="1">
        <v>39837</v>
      </c>
      <c r="E2785" t="s">
        <v>92</v>
      </c>
      <c r="F2785">
        <v>94</v>
      </c>
      <c r="G2785" t="s">
        <v>93</v>
      </c>
      <c r="H2785">
        <v>14.23</v>
      </c>
      <c r="I2785">
        <v>88</v>
      </c>
      <c r="J2785">
        <v>18.32</v>
      </c>
      <c r="K2785">
        <v>97</v>
      </c>
      <c r="L2785">
        <v>-48.94</v>
      </c>
      <c r="M2785">
        <v>80</v>
      </c>
      <c r="N2785">
        <v>38.409999999999997</v>
      </c>
      <c r="O2785">
        <v>87</v>
      </c>
      <c r="P2785">
        <v>-19.809999999999999</v>
      </c>
      <c r="Q2785">
        <v>94</v>
      </c>
      <c r="R2785">
        <v>2.52</v>
      </c>
      <c r="S2785">
        <v>80</v>
      </c>
      <c r="T2785">
        <v>22.26</v>
      </c>
      <c r="U2785">
        <v>90</v>
      </c>
      <c r="V2785">
        <v>1.47</v>
      </c>
      <c r="W2785">
        <v>79</v>
      </c>
      <c r="X2785" t="s">
        <v>102</v>
      </c>
      <c r="Y2785" t="s">
        <v>1727</v>
      </c>
      <c r="Z2785" t="s">
        <v>96</v>
      </c>
      <c r="AA2785" t="s">
        <v>1376</v>
      </c>
      <c r="AB2785" t="s">
        <v>6528</v>
      </c>
      <c r="AC2785">
        <v>92</v>
      </c>
      <c r="AD2785">
        <v>71</v>
      </c>
      <c r="AE2785">
        <v>97</v>
      </c>
      <c r="AF2785">
        <v>132.22999999999999</v>
      </c>
      <c r="AG2785">
        <v>1.1000000000000001</v>
      </c>
      <c r="AH2785">
        <v>4.75</v>
      </c>
      <c r="AI2785">
        <v>-7.0000000000000007E-2</v>
      </c>
      <c r="AJ2785">
        <v>0</v>
      </c>
      <c r="AK2785">
        <v>80</v>
      </c>
      <c r="AL2785">
        <v>99</v>
      </c>
      <c r="AM2785">
        <v>75</v>
      </c>
      <c r="AN2785">
        <v>2.89</v>
      </c>
      <c r="AO2785">
        <v>-1.01</v>
      </c>
      <c r="AP2785">
        <v>266</v>
      </c>
      <c r="AQ2785">
        <v>2</v>
      </c>
      <c r="AR2785">
        <v>5.3</v>
      </c>
      <c r="AS2785">
        <v>77</v>
      </c>
      <c r="AT2785">
        <v>2.0299999999999998</v>
      </c>
      <c r="AU2785">
        <v>89</v>
      </c>
      <c r="AV2785">
        <v>-3.82</v>
      </c>
      <c r="AW2785">
        <v>97</v>
      </c>
      <c r="AX2785">
        <v>0.52</v>
      </c>
      <c r="AY2785">
        <v>84</v>
      </c>
      <c r="AZ2785">
        <v>6.47</v>
      </c>
      <c r="BA2785">
        <v>67</v>
      </c>
      <c r="BB2785">
        <v>5.8</v>
      </c>
      <c r="BC2785">
        <v>67</v>
      </c>
      <c r="BD2785">
        <v>0</v>
      </c>
      <c r="BE2785">
        <v>-0.02</v>
      </c>
      <c r="BF2785">
        <v>-0.02</v>
      </c>
      <c r="BG2785">
        <v>88</v>
      </c>
      <c r="BH2785">
        <v>-0.03</v>
      </c>
      <c r="BI2785">
        <v>-8.1999999999999993</v>
      </c>
      <c r="BJ2785">
        <v>18</v>
      </c>
      <c r="BK2785">
        <v>15</v>
      </c>
      <c r="BL2785">
        <v>0.02</v>
      </c>
      <c r="BM2785">
        <v>0.63</v>
      </c>
      <c r="BN2785">
        <v>0.37</v>
      </c>
      <c r="BO2785">
        <v>-0.3</v>
      </c>
      <c r="BP2785">
        <v>-0.82</v>
      </c>
      <c r="BQ2785">
        <v>-0.99</v>
      </c>
      <c r="BR2785">
        <v>-0.61</v>
      </c>
      <c r="BS2785">
        <v>-0.04</v>
      </c>
      <c r="BT2785">
        <v>-0.17</v>
      </c>
      <c r="BU2785">
        <v>-0.52</v>
      </c>
      <c r="BV2785">
        <v>-0.37</v>
      </c>
      <c r="BW2785">
        <v>-0.39</v>
      </c>
      <c r="BX2785">
        <v>-0.97</v>
      </c>
      <c r="BY2785">
        <v>-1.04</v>
      </c>
      <c r="BZ2785">
        <v>1.2</v>
      </c>
      <c r="CA2785">
        <v>-0.77</v>
      </c>
      <c r="CB2785">
        <v>-1.04</v>
      </c>
      <c r="CC2785">
        <v>-0.26</v>
      </c>
      <c r="CD2785">
        <v>0.59</v>
      </c>
      <c r="CE2785">
        <v>-0.56999999999999995</v>
      </c>
      <c r="CF2785">
        <v>0.17</v>
      </c>
      <c r="CG2785">
        <v>0</v>
      </c>
      <c r="CH2785">
        <v>-0.77</v>
      </c>
      <c r="CI2785">
        <v>0</v>
      </c>
      <c r="CJ2785">
        <v>-8.8000000000000007</v>
      </c>
      <c r="CK2785">
        <v>95</v>
      </c>
      <c r="CL2785">
        <v>-0.79</v>
      </c>
      <c r="CM2785">
        <v>93</v>
      </c>
      <c r="CN2785">
        <v>-0.2</v>
      </c>
      <c r="CO2785">
        <v>92</v>
      </c>
      <c r="CP2785">
        <v>-12.4</v>
      </c>
      <c r="CQ2785">
        <v>90</v>
      </c>
      <c r="CR2785">
        <v>0</v>
      </c>
      <c r="CS2785">
        <v>0</v>
      </c>
      <c r="CT2785">
        <v>-16.3</v>
      </c>
      <c r="CU2785">
        <v>90</v>
      </c>
      <c r="CV2785">
        <v>0.05</v>
      </c>
      <c r="CW2785">
        <v>47</v>
      </c>
      <c r="CX2785" t="s">
        <v>316</v>
      </c>
    </row>
    <row r="2786" spans="1:102" x14ac:dyDescent="0.3">
      <c r="A2786" t="str">
        <f>HYPERLINK("https://webapp.icbf.com/v2/app/bull-search/view/346534713","LYZ")</f>
        <v>LYZ</v>
      </c>
      <c r="B2786" t="s">
        <v>12624</v>
      </c>
      <c r="C2786" t="s">
        <v>12625</v>
      </c>
      <c r="D2786" s="1">
        <v>38033</v>
      </c>
      <c r="E2786" t="s">
        <v>92</v>
      </c>
      <c r="F2786">
        <v>100</v>
      </c>
      <c r="G2786" t="s">
        <v>93</v>
      </c>
      <c r="H2786">
        <v>14.2</v>
      </c>
      <c r="I2786">
        <v>75</v>
      </c>
      <c r="J2786">
        <v>21.75</v>
      </c>
      <c r="K2786">
        <v>92</v>
      </c>
      <c r="L2786">
        <v>-32.090000000000003</v>
      </c>
      <c r="M2786">
        <v>59</v>
      </c>
      <c r="N2786">
        <v>20.64</v>
      </c>
      <c r="O2786">
        <v>74</v>
      </c>
      <c r="P2786">
        <v>-7.74</v>
      </c>
      <c r="Q2786">
        <v>87</v>
      </c>
      <c r="R2786">
        <v>-5.81</v>
      </c>
      <c r="S2786">
        <v>65</v>
      </c>
      <c r="T2786">
        <v>23.45</v>
      </c>
      <c r="U2786">
        <v>78</v>
      </c>
      <c r="V2786">
        <v>-6</v>
      </c>
      <c r="W2786">
        <v>55</v>
      </c>
      <c r="X2786" t="s">
        <v>94</v>
      </c>
      <c r="Y2786" t="s">
        <v>282</v>
      </c>
      <c r="Z2786" t="s">
        <v>96</v>
      </c>
      <c r="AA2786" t="s">
        <v>2589</v>
      </c>
      <c r="AB2786" t="s">
        <v>12626</v>
      </c>
      <c r="AC2786">
        <v>47</v>
      </c>
      <c r="AD2786">
        <v>40</v>
      </c>
      <c r="AE2786">
        <v>92</v>
      </c>
      <c r="AF2786">
        <v>71.040000000000006</v>
      </c>
      <c r="AG2786">
        <v>4.2300000000000004</v>
      </c>
      <c r="AH2786">
        <v>3.29</v>
      </c>
      <c r="AI2786">
        <v>0.02</v>
      </c>
      <c r="AJ2786">
        <v>0.01</v>
      </c>
      <c r="AK2786">
        <v>59</v>
      </c>
      <c r="AL2786">
        <v>59</v>
      </c>
      <c r="AM2786">
        <v>46</v>
      </c>
      <c r="AN2786">
        <v>0.9</v>
      </c>
      <c r="AO2786">
        <v>-1.67</v>
      </c>
      <c r="AP2786">
        <v>97</v>
      </c>
      <c r="AQ2786">
        <v>0</v>
      </c>
      <c r="AR2786">
        <v>6.64</v>
      </c>
      <c r="AS2786">
        <v>48</v>
      </c>
      <c r="AT2786">
        <v>2.94</v>
      </c>
      <c r="AU2786">
        <v>75</v>
      </c>
      <c r="AV2786">
        <v>-1.49</v>
      </c>
      <c r="AW2786">
        <v>88</v>
      </c>
      <c r="AX2786">
        <v>-0.51</v>
      </c>
      <c r="AY2786">
        <v>72</v>
      </c>
      <c r="AZ2786">
        <v>6.09</v>
      </c>
      <c r="BA2786">
        <v>47</v>
      </c>
      <c r="BB2786">
        <v>4.37</v>
      </c>
      <c r="BC2786">
        <v>51</v>
      </c>
      <c r="BD2786">
        <v>0.01</v>
      </c>
      <c r="BE2786">
        <v>0.03</v>
      </c>
      <c r="BF2786">
        <v>0.06</v>
      </c>
      <c r="BG2786">
        <v>74</v>
      </c>
      <c r="BH2786">
        <v>-0.01</v>
      </c>
      <c r="BI2786">
        <v>18.21</v>
      </c>
      <c r="BJ2786">
        <v>3</v>
      </c>
      <c r="BK2786">
        <v>2</v>
      </c>
      <c r="BL2786">
        <v>-0.05</v>
      </c>
      <c r="BM2786">
        <v>-0.95</v>
      </c>
      <c r="BN2786">
        <v>-0.24</v>
      </c>
      <c r="BO2786">
        <v>0.46</v>
      </c>
      <c r="BP2786">
        <v>-0.44</v>
      </c>
      <c r="BQ2786">
        <v>-1.93</v>
      </c>
      <c r="BR2786">
        <v>-0.83</v>
      </c>
      <c r="BS2786">
        <v>0.05</v>
      </c>
      <c r="BT2786">
        <v>0.48</v>
      </c>
      <c r="BU2786">
        <v>0</v>
      </c>
      <c r="BV2786">
        <v>0.95</v>
      </c>
      <c r="BW2786">
        <v>0.8</v>
      </c>
      <c r="BX2786">
        <v>-0.03</v>
      </c>
      <c r="BY2786">
        <v>0.25</v>
      </c>
      <c r="BZ2786">
        <v>0.57999999999999996</v>
      </c>
      <c r="CA2786">
        <v>0.67</v>
      </c>
      <c r="CB2786">
        <v>0.41</v>
      </c>
      <c r="CC2786">
        <v>0.81</v>
      </c>
      <c r="CD2786">
        <v>-0.56999999999999995</v>
      </c>
      <c r="CE2786">
        <v>0.44</v>
      </c>
      <c r="CF2786">
        <v>-0.83</v>
      </c>
      <c r="CG2786">
        <v>0</v>
      </c>
      <c r="CH2786">
        <v>1.01</v>
      </c>
      <c r="CI2786">
        <v>0</v>
      </c>
      <c r="CJ2786">
        <v>-2.5</v>
      </c>
      <c r="CK2786">
        <v>89</v>
      </c>
      <c r="CL2786">
        <v>-0.56000000000000005</v>
      </c>
      <c r="CM2786">
        <v>86</v>
      </c>
      <c r="CN2786">
        <v>-0.25</v>
      </c>
      <c r="CO2786">
        <v>85</v>
      </c>
      <c r="CP2786">
        <v>-9.6</v>
      </c>
      <c r="CQ2786">
        <v>84</v>
      </c>
      <c r="CR2786">
        <v>0</v>
      </c>
      <c r="CS2786">
        <v>0</v>
      </c>
      <c r="CT2786">
        <v>-17.899999999999999</v>
      </c>
      <c r="CU2786">
        <v>78</v>
      </c>
      <c r="CV2786">
        <v>0.16</v>
      </c>
      <c r="CW2786">
        <v>25</v>
      </c>
      <c r="CX2786" t="s">
        <v>1172</v>
      </c>
    </row>
    <row r="2787" spans="1:102" x14ac:dyDescent="0.3">
      <c r="A2787" t="str">
        <f>HYPERLINK("https://webapp.icbf.com/v2/app/bull-search/view/586072273","S952")</f>
        <v>S952</v>
      </c>
      <c r="B2787" t="s">
        <v>8253</v>
      </c>
      <c r="C2787" t="s">
        <v>6946</v>
      </c>
      <c r="D2787" s="1">
        <v>38192</v>
      </c>
      <c r="E2787" t="s">
        <v>92</v>
      </c>
      <c r="F2787">
        <v>100</v>
      </c>
      <c r="G2787" t="s">
        <v>93</v>
      </c>
      <c r="H2787">
        <v>14.18</v>
      </c>
      <c r="I2787">
        <v>91</v>
      </c>
      <c r="J2787">
        <v>40.85</v>
      </c>
      <c r="K2787">
        <v>98</v>
      </c>
      <c r="L2787">
        <v>-27.46</v>
      </c>
      <c r="M2787">
        <v>90</v>
      </c>
      <c r="N2787">
        <v>13.54</v>
      </c>
      <c r="O2787">
        <v>89</v>
      </c>
      <c r="P2787">
        <v>-1.51</v>
      </c>
      <c r="Q2787">
        <v>93</v>
      </c>
      <c r="R2787">
        <v>2.48</v>
      </c>
      <c r="S2787">
        <v>79</v>
      </c>
      <c r="T2787">
        <v>-8.3000000000000007</v>
      </c>
      <c r="U2787">
        <v>86</v>
      </c>
      <c r="V2787">
        <v>-5.42</v>
      </c>
      <c r="W2787">
        <v>67</v>
      </c>
      <c r="X2787" t="s">
        <v>276</v>
      </c>
      <c r="Y2787" t="s">
        <v>303</v>
      </c>
      <c r="Z2787" t="s">
        <v>96</v>
      </c>
      <c r="AA2787" t="s">
        <v>2597</v>
      </c>
      <c r="AB2787" t="s">
        <v>8254</v>
      </c>
      <c r="AC2787">
        <v>202</v>
      </c>
      <c r="AD2787">
        <v>93</v>
      </c>
      <c r="AE2787">
        <v>98</v>
      </c>
      <c r="AF2787">
        <v>141.62</v>
      </c>
      <c r="AG2787">
        <v>7.59</v>
      </c>
      <c r="AH2787">
        <v>6.43</v>
      </c>
      <c r="AI2787">
        <v>0.04</v>
      </c>
      <c r="AJ2787">
        <v>0.03</v>
      </c>
      <c r="AK2787">
        <v>90</v>
      </c>
      <c r="AL2787">
        <v>166</v>
      </c>
      <c r="AM2787">
        <v>79</v>
      </c>
      <c r="AN2787">
        <v>2.2599999999999998</v>
      </c>
      <c r="AO2787">
        <v>0.08</v>
      </c>
      <c r="AP2787">
        <v>264</v>
      </c>
      <c r="AQ2787">
        <v>8</v>
      </c>
      <c r="AR2787">
        <v>8.84</v>
      </c>
      <c r="AS2787">
        <v>88</v>
      </c>
      <c r="AT2787">
        <v>3.6</v>
      </c>
      <c r="AU2787">
        <v>93</v>
      </c>
      <c r="AV2787">
        <v>-2.54</v>
      </c>
      <c r="AW2787">
        <v>96</v>
      </c>
      <c r="AX2787">
        <v>0.05</v>
      </c>
      <c r="AY2787">
        <v>88</v>
      </c>
      <c r="AZ2787">
        <v>6.02</v>
      </c>
      <c r="BA2787">
        <v>73</v>
      </c>
      <c r="BB2787">
        <v>4.82</v>
      </c>
      <c r="BC2787">
        <v>64</v>
      </c>
      <c r="BD2787">
        <v>-0.03</v>
      </c>
      <c r="BE2787">
        <v>-0.03</v>
      </c>
      <c r="BF2787">
        <v>0.05</v>
      </c>
      <c r="BG2787">
        <v>93</v>
      </c>
      <c r="BH2787">
        <v>-0.15</v>
      </c>
      <c r="BI2787">
        <v>0.13</v>
      </c>
      <c r="BJ2787">
        <v>99</v>
      </c>
      <c r="BK2787">
        <v>52</v>
      </c>
      <c r="BL2787">
        <v>1.53</v>
      </c>
      <c r="BM2787">
        <v>0.3</v>
      </c>
      <c r="BN2787">
        <v>0.87</v>
      </c>
      <c r="BO2787">
        <v>0.92</v>
      </c>
      <c r="BP2787">
        <v>3.9</v>
      </c>
      <c r="BQ2787">
        <v>2.2000000000000002</v>
      </c>
      <c r="BR2787">
        <v>0.65</v>
      </c>
      <c r="BS2787">
        <v>4.28</v>
      </c>
      <c r="BT2787">
        <v>0.16</v>
      </c>
      <c r="BU2787">
        <v>3.04</v>
      </c>
      <c r="BV2787">
        <v>2.94</v>
      </c>
      <c r="BW2787">
        <v>2.93</v>
      </c>
      <c r="BX2787">
        <v>3.03</v>
      </c>
      <c r="BY2787">
        <v>3.33</v>
      </c>
      <c r="BZ2787">
        <v>-5.9</v>
      </c>
      <c r="CA2787">
        <v>2.73</v>
      </c>
      <c r="CB2787">
        <v>2.19</v>
      </c>
      <c r="CC2787">
        <v>2.77</v>
      </c>
      <c r="CD2787">
        <v>-0.19</v>
      </c>
      <c r="CE2787">
        <v>1.17</v>
      </c>
      <c r="CF2787">
        <v>2.19</v>
      </c>
      <c r="CG2787">
        <v>0</v>
      </c>
      <c r="CH2787">
        <v>3.27</v>
      </c>
      <c r="CI2787">
        <v>0</v>
      </c>
      <c r="CJ2787">
        <v>1.7</v>
      </c>
      <c r="CK2787">
        <v>94</v>
      </c>
      <c r="CL2787">
        <v>-1.08</v>
      </c>
      <c r="CM2787">
        <v>92</v>
      </c>
      <c r="CN2787">
        <v>-0.51</v>
      </c>
      <c r="CO2787">
        <v>91</v>
      </c>
      <c r="CP2787">
        <v>8.8000000000000007</v>
      </c>
      <c r="CQ2787">
        <v>89</v>
      </c>
      <c r="CR2787">
        <v>0</v>
      </c>
      <c r="CS2787">
        <v>0</v>
      </c>
      <c r="CT2787">
        <v>25</v>
      </c>
      <c r="CU2787">
        <v>86</v>
      </c>
      <c r="CV2787">
        <v>0.28999999999999998</v>
      </c>
      <c r="CW2787">
        <v>45</v>
      </c>
      <c r="CX2787" t="s">
        <v>311</v>
      </c>
    </row>
    <row r="2788" spans="1:102" x14ac:dyDescent="0.3">
      <c r="A2788" t="str">
        <f>HYPERLINK("https://webapp.icbf.com/v2/app/bull-search/view/659994901","S811")</f>
        <v>S811</v>
      </c>
      <c r="B2788" t="s">
        <v>7917</v>
      </c>
      <c r="C2788" t="s">
        <v>7918</v>
      </c>
      <c r="D2788" s="1">
        <v>37869</v>
      </c>
      <c r="E2788" t="s">
        <v>140</v>
      </c>
      <c r="F2788">
        <v>0</v>
      </c>
      <c r="G2788" t="s">
        <v>93</v>
      </c>
      <c r="H2788">
        <v>13.94</v>
      </c>
      <c r="I2788">
        <v>91</v>
      </c>
      <c r="J2788">
        <v>13.83</v>
      </c>
      <c r="K2788">
        <v>98</v>
      </c>
      <c r="L2788">
        <v>3.87</v>
      </c>
      <c r="M2788">
        <v>84</v>
      </c>
      <c r="N2788">
        <v>-23.63</v>
      </c>
      <c r="O2788">
        <v>93</v>
      </c>
      <c r="P2788">
        <v>20.55</v>
      </c>
      <c r="Q2788">
        <v>97</v>
      </c>
      <c r="R2788">
        <v>2.71</v>
      </c>
      <c r="S2788">
        <v>84</v>
      </c>
      <c r="T2788">
        <v>5.46</v>
      </c>
      <c r="U2788">
        <v>91</v>
      </c>
      <c r="V2788">
        <v>-8.85</v>
      </c>
      <c r="W2788">
        <v>80</v>
      </c>
      <c r="X2788" t="s">
        <v>102</v>
      </c>
      <c r="Y2788" t="s">
        <v>1494</v>
      </c>
      <c r="Z2788">
        <v>0</v>
      </c>
      <c r="AA2788" t="s">
        <v>3108</v>
      </c>
      <c r="AB2788" t="s">
        <v>7919</v>
      </c>
      <c r="AC2788">
        <v>252</v>
      </c>
      <c r="AD2788">
        <v>37</v>
      </c>
      <c r="AE2788">
        <v>98</v>
      </c>
      <c r="AF2788">
        <v>-98.92</v>
      </c>
      <c r="AG2788">
        <v>-3.2</v>
      </c>
      <c r="AH2788">
        <v>1.97</v>
      </c>
      <c r="AI2788">
        <v>0.01</v>
      </c>
      <c r="AJ2788">
        <v>0.09</v>
      </c>
      <c r="AK2788">
        <v>84</v>
      </c>
      <c r="AL2788">
        <v>274</v>
      </c>
      <c r="AM2788">
        <v>60</v>
      </c>
      <c r="AN2788">
        <v>-0.13</v>
      </c>
      <c r="AO2788">
        <v>0.18</v>
      </c>
      <c r="AP2788">
        <v>732</v>
      </c>
      <c r="AQ2788">
        <v>3</v>
      </c>
      <c r="AR2788">
        <v>8.39</v>
      </c>
      <c r="AS2788">
        <v>89</v>
      </c>
      <c r="AT2788">
        <v>4.8099999999999996</v>
      </c>
      <c r="AU2788">
        <v>96</v>
      </c>
      <c r="AV2788">
        <v>0.97</v>
      </c>
      <c r="AW2788">
        <v>98</v>
      </c>
      <c r="AX2788">
        <v>0.09</v>
      </c>
      <c r="AY2788">
        <v>93</v>
      </c>
      <c r="AZ2788">
        <v>6.48</v>
      </c>
      <c r="BA2788">
        <v>82</v>
      </c>
      <c r="BB2788">
        <v>4.25</v>
      </c>
      <c r="BC2788">
        <v>79</v>
      </c>
      <c r="BD2788">
        <v>0.01</v>
      </c>
      <c r="BE2788">
        <v>-0.01</v>
      </c>
      <c r="BF2788">
        <v>-0.06</v>
      </c>
      <c r="BG2788">
        <v>94</v>
      </c>
      <c r="BH2788">
        <v>-0.3</v>
      </c>
      <c r="BI2788">
        <v>-6.16</v>
      </c>
      <c r="BJ2788">
        <v>0</v>
      </c>
      <c r="BK2788">
        <v>0</v>
      </c>
      <c r="BL2788">
        <v>-0.71</v>
      </c>
      <c r="BM2788">
        <v>3.78</v>
      </c>
      <c r="BN2788">
        <v>-1.66</v>
      </c>
      <c r="BO2788">
        <v>-3.15</v>
      </c>
      <c r="BP2788">
        <v>4.33</v>
      </c>
      <c r="BQ2788">
        <v>-1.59</v>
      </c>
      <c r="BR2788">
        <v>-2.52</v>
      </c>
      <c r="BS2788">
        <v>-0.32</v>
      </c>
      <c r="BT2788">
        <v>2.4900000000000002</v>
      </c>
      <c r="BU2788">
        <v>-3.59</v>
      </c>
      <c r="BV2788">
        <v>-4</v>
      </c>
      <c r="BW2788">
        <v>-2.99</v>
      </c>
      <c r="BX2788">
        <v>-2.9</v>
      </c>
      <c r="BY2788">
        <v>-1.86</v>
      </c>
      <c r="BZ2788">
        <v>1.36</v>
      </c>
      <c r="CA2788">
        <v>-2.65</v>
      </c>
      <c r="CB2788">
        <v>-3.31</v>
      </c>
      <c r="CC2788">
        <v>-0.56999999999999995</v>
      </c>
      <c r="CD2788">
        <v>4.03</v>
      </c>
      <c r="CE2788">
        <v>-3.02</v>
      </c>
      <c r="CF2788">
        <v>-1.03</v>
      </c>
      <c r="CG2788">
        <v>0</v>
      </c>
      <c r="CH2788">
        <v>-2.7</v>
      </c>
      <c r="CI2788">
        <v>0</v>
      </c>
      <c r="CJ2788">
        <v>10.4</v>
      </c>
      <c r="CK2788">
        <v>98</v>
      </c>
      <c r="CL2788">
        <v>0.3</v>
      </c>
      <c r="CM2788">
        <v>98</v>
      </c>
      <c r="CN2788">
        <v>-0.18</v>
      </c>
      <c r="CO2788">
        <v>98</v>
      </c>
      <c r="CP2788">
        <v>6.6</v>
      </c>
      <c r="CQ2788">
        <v>91</v>
      </c>
      <c r="CR2788">
        <v>0</v>
      </c>
      <c r="CS2788">
        <v>0</v>
      </c>
      <c r="CT2788">
        <v>6.4</v>
      </c>
      <c r="CU2788">
        <v>91</v>
      </c>
      <c r="CV2788">
        <v>0.18</v>
      </c>
      <c r="CW2788">
        <v>46</v>
      </c>
      <c r="CX2788" t="s">
        <v>247</v>
      </c>
    </row>
    <row r="2789" spans="1:102" x14ac:dyDescent="0.3">
      <c r="A2789" t="str">
        <f>HYPERLINK("https://webapp.icbf.com/v2/app/bull-search/view/547761073","SAE")</f>
        <v>SAE</v>
      </c>
      <c r="B2789" t="s">
        <v>11761</v>
      </c>
      <c r="C2789" t="s">
        <v>11762</v>
      </c>
      <c r="D2789" s="1">
        <v>37836</v>
      </c>
      <c r="E2789" t="s">
        <v>92</v>
      </c>
      <c r="F2789">
        <v>100</v>
      </c>
      <c r="G2789" t="s">
        <v>93</v>
      </c>
      <c r="H2789">
        <v>13.7</v>
      </c>
      <c r="I2789">
        <v>91</v>
      </c>
      <c r="J2789">
        <v>32.42</v>
      </c>
      <c r="K2789">
        <v>97</v>
      </c>
      <c r="L2789">
        <v>-22.29</v>
      </c>
      <c r="M2789">
        <v>90</v>
      </c>
      <c r="N2789">
        <v>6.23</v>
      </c>
      <c r="O2789">
        <v>89</v>
      </c>
      <c r="P2789">
        <v>-5.34</v>
      </c>
      <c r="Q2789">
        <v>93</v>
      </c>
      <c r="R2789">
        <v>-4.07</v>
      </c>
      <c r="S2789">
        <v>84</v>
      </c>
      <c r="T2789">
        <v>6.28</v>
      </c>
      <c r="U2789">
        <v>86</v>
      </c>
      <c r="V2789">
        <v>0.47</v>
      </c>
      <c r="W2789">
        <v>76</v>
      </c>
      <c r="X2789" t="s">
        <v>251</v>
      </c>
      <c r="Y2789" t="s">
        <v>270</v>
      </c>
      <c r="Z2789" t="s">
        <v>96</v>
      </c>
      <c r="AA2789" t="s">
        <v>838</v>
      </c>
      <c r="AB2789" t="s">
        <v>11763</v>
      </c>
      <c r="AC2789">
        <v>111</v>
      </c>
      <c r="AD2789">
        <v>54</v>
      </c>
      <c r="AE2789">
        <v>97</v>
      </c>
      <c r="AF2789">
        <v>279.02</v>
      </c>
      <c r="AG2789">
        <v>10.53</v>
      </c>
      <c r="AH2789">
        <v>6.06</v>
      </c>
      <c r="AI2789">
        <v>-0.01</v>
      </c>
      <c r="AJ2789">
        <v>-0.06</v>
      </c>
      <c r="AK2789">
        <v>90</v>
      </c>
      <c r="AL2789">
        <v>99</v>
      </c>
      <c r="AM2789">
        <v>49</v>
      </c>
      <c r="AN2789">
        <v>1.02</v>
      </c>
      <c r="AO2789">
        <v>-0.76</v>
      </c>
      <c r="AP2789">
        <v>257</v>
      </c>
      <c r="AQ2789">
        <v>0</v>
      </c>
      <c r="AR2789">
        <v>8.57</v>
      </c>
      <c r="AS2789">
        <v>83</v>
      </c>
      <c r="AT2789">
        <v>3.75</v>
      </c>
      <c r="AU2789">
        <v>95</v>
      </c>
      <c r="AV2789">
        <v>-2.02</v>
      </c>
      <c r="AW2789">
        <v>96</v>
      </c>
      <c r="AX2789">
        <v>0.56999999999999995</v>
      </c>
      <c r="AY2789">
        <v>86</v>
      </c>
      <c r="AZ2789">
        <v>5.75</v>
      </c>
      <c r="BA2789">
        <v>73</v>
      </c>
      <c r="BB2789">
        <v>5.15</v>
      </c>
      <c r="BC2789">
        <v>71</v>
      </c>
      <c r="BD2789">
        <v>0.01</v>
      </c>
      <c r="BE2789">
        <v>0.03</v>
      </c>
      <c r="BF2789">
        <v>0.02</v>
      </c>
      <c r="BG2789">
        <v>94</v>
      </c>
      <c r="BH2789">
        <v>-0.18</v>
      </c>
      <c r="BI2789">
        <v>-22.34</v>
      </c>
      <c r="BJ2789">
        <v>55</v>
      </c>
      <c r="BK2789">
        <v>24</v>
      </c>
      <c r="BL2789">
        <v>0.59</v>
      </c>
      <c r="BM2789">
        <v>-0.9</v>
      </c>
      <c r="BN2789">
        <v>0.17</v>
      </c>
      <c r="BO2789">
        <v>0.55000000000000004</v>
      </c>
      <c r="BP2789">
        <v>-0.35</v>
      </c>
      <c r="BQ2789">
        <v>0.21</v>
      </c>
      <c r="BR2789">
        <v>-0.56000000000000005</v>
      </c>
      <c r="BS2789">
        <v>0.23</v>
      </c>
      <c r="BT2789">
        <v>1.39</v>
      </c>
      <c r="BU2789">
        <v>1.1200000000000001</v>
      </c>
      <c r="BV2789">
        <v>1.81</v>
      </c>
      <c r="BW2789">
        <v>1.48</v>
      </c>
      <c r="BX2789">
        <v>1.26</v>
      </c>
      <c r="BY2789">
        <v>0.91</v>
      </c>
      <c r="BZ2789">
        <v>-0.28000000000000003</v>
      </c>
      <c r="CA2789">
        <v>1.1499999999999999</v>
      </c>
      <c r="CB2789">
        <v>1.23</v>
      </c>
      <c r="CC2789">
        <v>0.38</v>
      </c>
      <c r="CD2789">
        <v>-0.36</v>
      </c>
      <c r="CE2789">
        <v>0.75</v>
      </c>
      <c r="CF2789">
        <v>0.77</v>
      </c>
      <c r="CG2789">
        <v>0</v>
      </c>
      <c r="CH2789">
        <v>0.71</v>
      </c>
      <c r="CI2789">
        <v>0</v>
      </c>
      <c r="CJ2789">
        <v>-1.7</v>
      </c>
      <c r="CK2789">
        <v>94</v>
      </c>
      <c r="CL2789">
        <v>-0.87</v>
      </c>
      <c r="CM2789">
        <v>93</v>
      </c>
      <c r="CN2789">
        <v>-0.52</v>
      </c>
      <c r="CO2789">
        <v>92</v>
      </c>
      <c r="CP2789">
        <v>-0.7</v>
      </c>
      <c r="CQ2789">
        <v>91</v>
      </c>
      <c r="CR2789">
        <v>0</v>
      </c>
      <c r="CS2789">
        <v>0</v>
      </c>
      <c r="CT2789">
        <v>5.3</v>
      </c>
      <c r="CU2789">
        <v>86</v>
      </c>
      <c r="CV2789">
        <v>0.08</v>
      </c>
      <c r="CW2789">
        <v>45</v>
      </c>
      <c r="CX2789" t="s">
        <v>596</v>
      </c>
    </row>
    <row r="2790" spans="1:102" x14ac:dyDescent="0.3">
      <c r="A2790" t="str">
        <f>HYPERLINK("https://webapp.icbf.com/v2/app/bull-search/view/124415064","SYB")</f>
        <v>SYB</v>
      </c>
      <c r="B2790" t="s">
        <v>1544</v>
      </c>
      <c r="C2790" t="s">
        <v>1545</v>
      </c>
      <c r="D2790" s="1">
        <v>35165</v>
      </c>
      <c r="E2790" t="s">
        <v>92</v>
      </c>
      <c r="F2790">
        <v>91</v>
      </c>
      <c r="G2790" t="s">
        <v>93</v>
      </c>
      <c r="H2790">
        <v>13.65</v>
      </c>
      <c r="I2790">
        <v>94</v>
      </c>
      <c r="J2790">
        <v>32.25</v>
      </c>
      <c r="K2790">
        <v>99</v>
      </c>
      <c r="L2790">
        <v>-32.119999999999997</v>
      </c>
      <c r="M2790">
        <v>89</v>
      </c>
      <c r="N2790">
        <v>3.4</v>
      </c>
      <c r="O2790">
        <v>93</v>
      </c>
      <c r="P2790">
        <v>-7.46</v>
      </c>
      <c r="Q2790">
        <v>98</v>
      </c>
      <c r="R2790">
        <v>2.7</v>
      </c>
      <c r="S2790">
        <v>89</v>
      </c>
      <c r="T2790">
        <v>13.09</v>
      </c>
      <c r="U2790">
        <v>95</v>
      </c>
      <c r="V2790">
        <v>1.79</v>
      </c>
      <c r="W2790">
        <v>88</v>
      </c>
      <c r="X2790" t="s">
        <v>276</v>
      </c>
      <c r="Y2790" t="s">
        <v>95</v>
      </c>
      <c r="Z2790" t="s">
        <v>96</v>
      </c>
      <c r="AA2790" t="s">
        <v>753</v>
      </c>
      <c r="AB2790" t="s">
        <v>1546</v>
      </c>
      <c r="AC2790">
        <v>352</v>
      </c>
      <c r="AD2790">
        <v>179</v>
      </c>
      <c r="AE2790">
        <v>99</v>
      </c>
      <c r="AF2790">
        <v>28.72</v>
      </c>
      <c r="AG2790">
        <v>6.29</v>
      </c>
      <c r="AH2790">
        <v>3.7</v>
      </c>
      <c r="AI2790">
        <v>0.09</v>
      </c>
      <c r="AJ2790">
        <v>0.05</v>
      </c>
      <c r="AK2790">
        <v>89</v>
      </c>
      <c r="AL2790">
        <v>348</v>
      </c>
      <c r="AM2790">
        <v>182</v>
      </c>
      <c r="AN2790">
        <v>1.07</v>
      </c>
      <c r="AO2790">
        <v>-1.5</v>
      </c>
      <c r="AP2790">
        <v>398</v>
      </c>
      <c r="AQ2790">
        <v>6</v>
      </c>
      <c r="AR2790">
        <v>6.66</v>
      </c>
      <c r="AS2790">
        <v>90</v>
      </c>
      <c r="AT2790">
        <v>2.4300000000000002</v>
      </c>
      <c r="AU2790">
        <v>93</v>
      </c>
      <c r="AV2790">
        <v>-1.57</v>
      </c>
      <c r="AW2790">
        <v>97</v>
      </c>
      <c r="AX2790">
        <v>-0.52</v>
      </c>
      <c r="AY2790">
        <v>93</v>
      </c>
      <c r="AZ2790">
        <v>9.35</v>
      </c>
      <c r="BA2790">
        <v>81</v>
      </c>
      <c r="BB2790">
        <v>7.25</v>
      </c>
      <c r="BC2790">
        <v>85</v>
      </c>
      <c r="BD2790">
        <v>-0.03</v>
      </c>
      <c r="BE2790">
        <v>0.02</v>
      </c>
      <c r="BF2790">
        <v>-0.05</v>
      </c>
      <c r="BG2790">
        <v>96</v>
      </c>
      <c r="BH2790">
        <v>0.04</v>
      </c>
      <c r="BI2790">
        <v>-1.1599999999999999</v>
      </c>
      <c r="BJ2790">
        <v>13</v>
      </c>
      <c r="BK2790">
        <v>7</v>
      </c>
      <c r="BL2790">
        <v>-0.33</v>
      </c>
      <c r="BM2790">
        <v>-0.21</v>
      </c>
      <c r="BN2790">
        <v>-0.97</v>
      </c>
      <c r="BO2790">
        <v>-0.43</v>
      </c>
      <c r="BP2790">
        <v>1.02</v>
      </c>
      <c r="BQ2790">
        <v>-2.81</v>
      </c>
      <c r="BR2790">
        <v>0.92</v>
      </c>
      <c r="BS2790">
        <v>-1.1200000000000001</v>
      </c>
      <c r="BT2790">
        <v>-1.48</v>
      </c>
      <c r="BU2790">
        <v>0.87</v>
      </c>
      <c r="BV2790">
        <v>0.25</v>
      </c>
      <c r="BW2790">
        <v>0.22</v>
      </c>
      <c r="BX2790">
        <v>0.33</v>
      </c>
      <c r="BY2790">
        <v>-1.1299999999999999</v>
      </c>
      <c r="BZ2790">
        <v>2.08</v>
      </c>
      <c r="CA2790">
        <v>-0.05</v>
      </c>
      <c r="CB2790">
        <v>0.41</v>
      </c>
      <c r="CC2790">
        <v>-1.1200000000000001</v>
      </c>
      <c r="CD2790">
        <v>0.06</v>
      </c>
      <c r="CE2790">
        <v>-0.35</v>
      </c>
      <c r="CF2790">
        <v>-0.51</v>
      </c>
      <c r="CG2790">
        <v>0</v>
      </c>
      <c r="CH2790">
        <v>-1.55</v>
      </c>
      <c r="CI2790">
        <v>0</v>
      </c>
      <c r="CJ2790">
        <v>-2.6</v>
      </c>
      <c r="CK2790">
        <v>98</v>
      </c>
      <c r="CL2790">
        <v>-0.6</v>
      </c>
      <c r="CM2790">
        <v>97</v>
      </c>
      <c r="CN2790">
        <v>-0.28999999999999998</v>
      </c>
      <c r="CO2790">
        <v>97</v>
      </c>
      <c r="CP2790">
        <v>-7.2</v>
      </c>
      <c r="CQ2790">
        <v>97</v>
      </c>
      <c r="CR2790">
        <v>0</v>
      </c>
      <c r="CS2790">
        <v>0</v>
      </c>
      <c r="CT2790">
        <v>-3.9</v>
      </c>
      <c r="CU2790">
        <v>95</v>
      </c>
      <c r="CV2790">
        <v>0.08</v>
      </c>
      <c r="CW2790">
        <v>46</v>
      </c>
      <c r="CX2790" t="s">
        <v>193</v>
      </c>
    </row>
    <row r="2791" spans="1:102" x14ac:dyDescent="0.3">
      <c r="A2791" t="str">
        <f>HYPERLINK("https://webapp.icbf.com/v2/app/bull-search/view/1032665890","S1490")</f>
        <v>S1490</v>
      </c>
      <c r="B2791" t="s">
        <v>10166</v>
      </c>
      <c r="C2791" t="s">
        <v>10167</v>
      </c>
      <c r="D2791" s="1">
        <v>40532</v>
      </c>
      <c r="E2791" t="s">
        <v>1061</v>
      </c>
      <c r="F2791">
        <v>0</v>
      </c>
      <c r="G2791" t="s">
        <v>93</v>
      </c>
      <c r="H2791">
        <v>13.59</v>
      </c>
      <c r="I2791">
        <v>66</v>
      </c>
      <c r="J2791">
        <v>-14.57</v>
      </c>
      <c r="K2791">
        <v>82</v>
      </c>
      <c r="L2791">
        <v>35.24</v>
      </c>
      <c r="M2791">
        <v>54</v>
      </c>
      <c r="N2791">
        <v>-15.87</v>
      </c>
      <c r="O2791">
        <v>64</v>
      </c>
      <c r="P2791">
        <v>-23.74</v>
      </c>
      <c r="Q2791">
        <v>71</v>
      </c>
      <c r="R2791">
        <v>-1</v>
      </c>
      <c r="S2791">
        <v>51</v>
      </c>
      <c r="T2791">
        <v>33.659999999999997</v>
      </c>
      <c r="U2791">
        <v>58</v>
      </c>
      <c r="V2791">
        <v>-0.13</v>
      </c>
      <c r="W2791">
        <v>50</v>
      </c>
      <c r="X2791" t="s">
        <v>102</v>
      </c>
      <c r="Y2791" t="s">
        <v>362</v>
      </c>
      <c r="Z2791">
        <v>0</v>
      </c>
      <c r="AA2791" t="s">
        <v>2718</v>
      </c>
      <c r="AB2791" t="s">
        <v>10168</v>
      </c>
      <c r="AC2791">
        <v>14</v>
      </c>
      <c r="AD2791">
        <v>9</v>
      </c>
      <c r="AE2791">
        <v>82</v>
      </c>
      <c r="AF2791">
        <v>-164.84</v>
      </c>
      <c r="AG2791">
        <v>1.89</v>
      </c>
      <c r="AH2791">
        <v>-5.67</v>
      </c>
      <c r="AI2791">
        <v>0.15</v>
      </c>
      <c r="AJ2791">
        <v>0</v>
      </c>
      <c r="AK2791">
        <v>54</v>
      </c>
      <c r="AL2791">
        <v>15</v>
      </c>
      <c r="AM2791">
        <v>11</v>
      </c>
      <c r="AN2791">
        <v>-0.39</v>
      </c>
      <c r="AO2791">
        <v>2.44</v>
      </c>
      <c r="AP2791">
        <v>67</v>
      </c>
      <c r="AQ2791">
        <v>0</v>
      </c>
      <c r="AR2791">
        <v>10.82</v>
      </c>
      <c r="AS2791">
        <v>57</v>
      </c>
      <c r="AT2791">
        <v>4.2699999999999996</v>
      </c>
      <c r="AU2791">
        <v>67</v>
      </c>
      <c r="AV2791">
        <v>-1.42</v>
      </c>
      <c r="AW2791">
        <v>78</v>
      </c>
      <c r="AX2791">
        <v>-0.35</v>
      </c>
      <c r="AY2791">
        <v>61</v>
      </c>
      <c r="AZ2791">
        <v>8.1999999999999993</v>
      </c>
      <c r="BA2791">
        <v>35</v>
      </c>
      <c r="BB2791">
        <v>5.71</v>
      </c>
      <c r="BC2791">
        <v>30</v>
      </c>
      <c r="BD2791">
        <v>0</v>
      </c>
      <c r="BE2791">
        <v>-0.03</v>
      </c>
      <c r="BF2791">
        <v>0.08</v>
      </c>
      <c r="BG2791">
        <v>62</v>
      </c>
      <c r="BH2791">
        <v>-0.1</v>
      </c>
      <c r="BI2791">
        <v>-11.16</v>
      </c>
      <c r="BJ2791">
        <v>0</v>
      </c>
      <c r="BK2791">
        <v>0</v>
      </c>
      <c r="BL2791">
        <v>0</v>
      </c>
      <c r="BM2791">
        <v>0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0</v>
      </c>
      <c r="CJ2791">
        <v>-12.6</v>
      </c>
      <c r="CK2791">
        <v>74</v>
      </c>
      <c r="CL2791">
        <v>-0.63</v>
      </c>
      <c r="CM2791">
        <v>70</v>
      </c>
      <c r="CN2791">
        <v>-0.27</v>
      </c>
      <c r="CO2791">
        <v>68</v>
      </c>
      <c r="CP2791">
        <v>-20.100000000000001</v>
      </c>
      <c r="CQ2791">
        <v>60</v>
      </c>
      <c r="CR2791">
        <v>0</v>
      </c>
      <c r="CS2791">
        <v>0</v>
      </c>
      <c r="CT2791">
        <v>-31.7</v>
      </c>
      <c r="CU2791">
        <v>58</v>
      </c>
      <c r="CV2791">
        <v>-0.06</v>
      </c>
      <c r="CW2791">
        <v>40</v>
      </c>
      <c r="CX2791" t="s">
        <v>5375</v>
      </c>
    </row>
    <row r="2792" spans="1:102" x14ac:dyDescent="0.3">
      <c r="A2792" t="str">
        <f>HYPERLINK("https://webapp.icbf.com/v2/app/bull-search/view/444413600","NUV")</f>
        <v>NUV</v>
      </c>
      <c r="B2792" t="s">
        <v>6709</v>
      </c>
      <c r="C2792" t="s">
        <v>6710</v>
      </c>
      <c r="D2792" s="1">
        <v>35490</v>
      </c>
      <c r="E2792" t="s">
        <v>92</v>
      </c>
      <c r="F2792">
        <v>100</v>
      </c>
      <c r="G2792" t="s">
        <v>93</v>
      </c>
      <c r="H2792">
        <v>13.57</v>
      </c>
      <c r="I2792">
        <v>87</v>
      </c>
      <c r="J2792">
        <v>34.380000000000003</v>
      </c>
      <c r="K2792">
        <v>95</v>
      </c>
      <c r="L2792">
        <v>-21.61</v>
      </c>
      <c r="M2792">
        <v>85</v>
      </c>
      <c r="N2792">
        <v>25.11</v>
      </c>
      <c r="O2792">
        <v>82</v>
      </c>
      <c r="P2792">
        <v>-4.1500000000000004</v>
      </c>
      <c r="Q2792">
        <v>87</v>
      </c>
      <c r="R2792">
        <v>-11.87</v>
      </c>
      <c r="S2792">
        <v>80</v>
      </c>
      <c r="T2792">
        <v>-2.82</v>
      </c>
      <c r="U2792">
        <v>76</v>
      </c>
      <c r="V2792">
        <v>-5.47</v>
      </c>
      <c r="W2792">
        <v>73</v>
      </c>
      <c r="X2792" t="s">
        <v>276</v>
      </c>
      <c r="Y2792" t="s">
        <v>221</v>
      </c>
      <c r="Z2792" t="s">
        <v>96</v>
      </c>
      <c r="AA2792" t="s">
        <v>753</v>
      </c>
      <c r="AB2792" t="s">
        <v>6711</v>
      </c>
      <c r="AC2792">
        <v>43</v>
      </c>
      <c r="AD2792">
        <v>19</v>
      </c>
      <c r="AE2792">
        <v>95</v>
      </c>
      <c r="AF2792">
        <v>87.3</v>
      </c>
      <c r="AG2792">
        <v>5.24</v>
      </c>
      <c r="AH2792">
        <v>5.33</v>
      </c>
      <c r="AI2792">
        <v>0.03</v>
      </c>
      <c r="AJ2792">
        <v>0.04</v>
      </c>
      <c r="AK2792">
        <v>85</v>
      </c>
      <c r="AL2792">
        <v>47</v>
      </c>
      <c r="AM2792">
        <v>21</v>
      </c>
      <c r="AN2792">
        <v>-0.11</v>
      </c>
      <c r="AO2792">
        <v>-1.85</v>
      </c>
      <c r="AP2792">
        <v>68</v>
      </c>
      <c r="AQ2792">
        <v>0</v>
      </c>
      <c r="AR2792">
        <v>5.62</v>
      </c>
      <c r="AS2792">
        <v>72</v>
      </c>
      <c r="AT2792">
        <v>2.64</v>
      </c>
      <c r="AU2792">
        <v>91</v>
      </c>
      <c r="AV2792">
        <v>-2.69</v>
      </c>
      <c r="AW2792">
        <v>89</v>
      </c>
      <c r="AX2792">
        <v>-0.59</v>
      </c>
      <c r="AY2792">
        <v>73</v>
      </c>
      <c r="AZ2792">
        <v>7.53</v>
      </c>
      <c r="BA2792">
        <v>59</v>
      </c>
      <c r="BB2792">
        <v>5.88</v>
      </c>
      <c r="BC2792">
        <v>63</v>
      </c>
      <c r="BD2792">
        <v>0.03</v>
      </c>
      <c r="BE2792">
        <v>7.0000000000000007E-2</v>
      </c>
      <c r="BF2792">
        <v>0.09</v>
      </c>
      <c r="BG2792">
        <v>90</v>
      </c>
      <c r="BH2792">
        <v>-0.09</v>
      </c>
      <c r="BI2792">
        <v>7.22</v>
      </c>
      <c r="BJ2792">
        <v>2</v>
      </c>
      <c r="BK2792">
        <v>2</v>
      </c>
      <c r="BL2792">
        <v>1.01</v>
      </c>
      <c r="BM2792">
        <v>0.21</v>
      </c>
      <c r="BN2792">
        <v>0.68</v>
      </c>
      <c r="BO2792">
        <v>0.14000000000000001</v>
      </c>
      <c r="BP2792">
        <v>1.0900000000000001</v>
      </c>
      <c r="BQ2792">
        <v>0.37</v>
      </c>
      <c r="BR2792">
        <v>0.69</v>
      </c>
      <c r="BS2792">
        <v>0.15</v>
      </c>
      <c r="BT2792">
        <v>-1.48</v>
      </c>
      <c r="BU2792">
        <v>-0.56999999999999995</v>
      </c>
      <c r="BV2792">
        <v>-0.59</v>
      </c>
      <c r="BW2792">
        <v>0.26</v>
      </c>
      <c r="BX2792">
        <v>-0.33</v>
      </c>
      <c r="BY2792">
        <v>-0.51</v>
      </c>
      <c r="BZ2792">
        <v>4.32</v>
      </c>
      <c r="CA2792">
        <v>-0.1</v>
      </c>
      <c r="CB2792">
        <v>-0.34</v>
      </c>
      <c r="CC2792">
        <v>0.15</v>
      </c>
      <c r="CD2792">
        <v>0.24</v>
      </c>
      <c r="CE2792">
        <v>0.56000000000000005</v>
      </c>
      <c r="CF2792">
        <v>0.53</v>
      </c>
      <c r="CG2792">
        <v>0</v>
      </c>
      <c r="CH2792">
        <v>-0.44</v>
      </c>
      <c r="CI2792">
        <v>0</v>
      </c>
      <c r="CJ2792">
        <v>-0.4</v>
      </c>
      <c r="CK2792">
        <v>89</v>
      </c>
      <c r="CL2792">
        <v>-0.9</v>
      </c>
      <c r="CM2792">
        <v>87</v>
      </c>
      <c r="CN2792">
        <v>-0.45</v>
      </c>
      <c r="CO2792">
        <v>85</v>
      </c>
      <c r="CP2792">
        <v>2.8</v>
      </c>
      <c r="CQ2792">
        <v>82</v>
      </c>
      <c r="CR2792">
        <v>0</v>
      </c>
      <c r="CS2792">
        <v>0</v>
      </c>
      <c r="CT2792">
        <v>17.600000000000001</v>
      </c>
      <c r="CU2792">
        <v>76</v>
      </c>
      <c r="CV2792">
        <v>0.21</v>
      </c>
      <c r="CW2792">
        <v>44</v>
      </c>
      <c r="CX2792" t="s">
        <v>6712</v>
      </c>
    </row>
    <row r="2793" spans="1:102" x14ac:dyDescent="0.3">
      <c r="A2793" t="str">
        <f>HYPERLINK("https://webapp.icbf.com/v2/app/bull-search/view/429954468","RNY")</f>
        <v>RNY</v>
      </c>
      <c r="B2793" t="s">
        <v>11915</v>
      </c>
      <c r="C2793" t="s">
        <v>11916</v>
      </c>
      <c r="D2793" s="1">
        <v>36714</v>
      </c>
      <c r="E2793" t="s">
        <v>92</v>
      </c>
      <c r="F2793">
        <v>100</v>
      </c>
      <c r="G2793" t="s">
        <v>93</v>
      </c>
      <c r="H2793">
        <v>13.46</v>
      </c>
      <c r="I2793">
        <v>87</v>
      </c>
      <c r="J2793">
        <v>25.18</v>
      </c>
      <c r="K2793">
        <v>95</v>
      </c>
      <c r="L2793">
        <v>-30.55</v>
      </c>
      <c r="M2793">
        <v>89</v>
      </c>
      <c r="N2793">
        <v>9.16</v>
      </c>
      <c r="O2793">
        <v>82</v>
      </c>
      <c r="P2793">
        <v>-9.18</v>
      </c>
      <c r="Q2793">
        <v>81</v>
      </c>
      <c r="R2793">
        <v>1.74</v>
      </c>
      <c r="S2793">
        <v>81</v>
      </c>
      <c r="T2793">
        <v>14.12</v>
      </c>
      <c r="U2793">
        <v>74</v>
      </c>
      <c r="V2793">
        <v>2.99</v>
      </c>
      <c r="W2793">
        <v>72</v>
      </c>
      <c r="X2793" t="s">
        <v>94</v>
      </c>
      <c r="Y2793" t="s">
        <v>95</v>
      </c>
      <c r="Z2793" t="s">
        <v>96</v>
      </c>
      <c r="AA2793" t="s">
        <v>273</v>
      </c>
      <c r="AB2793" t="s">
        <v>11917</v>
      </c>
      <c r="AC2793">
        <v>48</v>
      </c>
      <c r="AD2793">
        <v>19</v>
      </c>
      <c r="AE2793">
        <v>95</v>
      </c>
      <c r="AF2793">
        <v>378.87</v>
      </c>
      <c r="AG2793">
        <v>4.3</v>
      </c>
      <c r="AH2793">
        <v>8.56</v>
      </c>
      <c r="AI2793">
        <v>-0.17</v>
      </c>
      <c r="AJ2793">
        <v>-7.0000000000000007E-2</v>
      </c>
      <c r="AK2793">
        <v>89</v>
      </c>
      <c r="AL2793">
        <v>38</v>
      </c>
      <c r="AM2793">
        <v>18</v>
      </c>
      <c r="AN2793">
        <v>2.1800000000000002</v>
      </c>
      <c r="AO2793">
        <v>-0.25</v>
      </c>
      <c r="AP2793">
        <v>79</v>
      </c>
      <c r="AQ2793">
        <v>0</v>
      </c>
      <c r="AR2793">
        <v>9.17</v>
      </c>
      <c r="AS2793">
        <v>65</v>
      </c>
      <c r="AT2793">
        <v>3.77</v>
      </c>
      <c r="AU2793">
        <v>92</v>
      </c>
      <c r="AV2793">
        <v>-2.5299999999999998</v>
      </c>
      <c r="AW2793">
        <v>90</v>
      </c>
      <c r="AX2793">
        <v>0.87</v>
      </c>
      <c r="AY2793">
        <v>71</v>
      </c>
      <c r="AZ2793">
        <v>6.11</v>
      </c>
      <c r="BA2793">
        <v>58</v>
      </c>
      <c r="BB2793">
        <v>4.71</v>
      </c>
      <c r="BC2793">
        <v>59</v>
      </c>
      <c r="BD2793">
        <v>0</v>
      </c>
      <c r="BE2793">
        <v>0</v>
      </c>
      <c r="BF2793">
        <v>-0.04</v>
      </c>
      <c r="BG2793">
        <v>92</v>
      </c>
      <c r="BH2793">
        <v>0.08</v>
      </c>
      <c r="BI2793">
        <v>-0.38</v>
      </c>
      <c r="BJ2793">
        <v>9</v>
      </c>
      <c r="BK2793">
        <v>7</v>
      </c>
      <c r="BL2793">
        <v>0.72</v>
      </c>
      <c r="BM2793">
        <v>-0.57999999999999996</v>
      </c>
      <c r="BN2793">
        <v>0.01</v>
      </c>
      <c r="BO2793">
        <v>0.36</v>
      </c>
      <c r="BP2793">
        <v>1.1200000000000001</v>
      </c>
      <c r="BQ2793">
        <v>-1.06</v>
      </c>
      <c r="BR2793">
        <v>-0.63</v>
      </c>
      <c r="BS2793">
        <v>2.73</v>
      </c>
      <c r="BT2793">
        <v>-0.9</v>
      </c>
      <c r="BU2793">
        <v>1.54</v>
      </c>
      <c r="BV2793">
        <v>1.1599999999999999</v>
      </c>
      <c r="BW2793">
        <v>1.27</v>
      </c>
      <c r="BX2793">
        <v>0.61</v>
      </c>
      <c r="BY2793">
        <v>1.1399999999999999</v>
      </c>
      <c r="BZ2793">
        <v>1.97</v>
      </c>
      <c r="CA2793">
        <v>1.53</v>
      </c>
      <c r="CB2793">
        <v>1.35</v>
      </c>
      <c r="CC2793">
        <v>1.44</v>
      </c>
      <c r="CD2793">
        <v>0.04</v>
      </c>
      <c r="CE2793">
        <v>0.63</v>
      </c>
      <c r="CF2793">
        <v>0.38</v>
      </c>
      <c r="CG2793">
        <v>0</v>
      </c>
      <c r="CH2793">
        <v>0.96</v>
      </c>
      <c r="CI2793">
        <v>0</v>
      </c>
      <c r="CJ2793">
        <v>0.3</v>
      </c>
      <c r="CK2793">
        <v>82</v>
      </c>
      <c r="CL2793">
        <v>-1.08</v>
      </c>
      <c r="CM2793">
        <v>79</v>
      </c>
      <c r="CN2793">
        <v>-0.23</v>
      </c>
      <c r="CO2793">
        <v>76</v>
      </c>
      <c r="CP2793">
        <v>-7.6</v>
      </c>
      <c r="CQ2793">
        <v>82</v>
      </c>
      <c r="CR2793">
        <v>0</v>
      </c>
      <c r="CS2793">
        <v>0</v>
      </c>
      <c r="CT2793">
        <v>-5.3</v>
      </c>
      <c r="CU2793">
        <v>74</v>
      </c>
      <c r="CV2793">
        <v>0.37</v>
      </c>
      <c r="CW2793">
        <v>42</v>
      </c>
      <c r="CX2793" t="s">
        <v>1172</v>
      </c>
    </row>
    <row r="2794" spans="1:102" x14ac:dyDescent="0.3">
      <c r="A2794" t="str">
        <f>HYPERLINK("https://webapp.icbf.com/v2/app/bull-search/view/77852785","WIN")</f>
        <v>WIN</v>
      </c>
      <c r="B2794" t="s">
        <v>8047</v>
      </c>
      <c r="C2794" t="s">
        <v>8048</v>
      </c>
      <c r="D2794" s="1">
        <v>34295</v>
      </c>
      <c r="E2794" t="s">
        <v>92</v>
      </c>
      <c r="F2794">
        <v>100</v>
      </c>
      <c r="G2794" t="s">
        <v>93</v>
      </c>
      <c r="H2794">
        <v>13.39</v>
      </c>
      <c r="I2794">
        <v>76</v>
      </c>
      <c r="J2794">
        <v>-16.59</v>
      </c>
      <c r="K2794">
        <v>94</v>
      </c>
      <c r="L2794">
        <v>5.25</v>
      </c>
      <c r="M2794">
        <v>68</v>
      </c>
      <c r="N2794">
        <v>24.78</v>
      </c>
      <c r="O2794">
        <v>64</v>
      </c>
      <c r="P2794">
        <v>-2.76</v>
      </c>
      <c r="Q2794">
        <v>80</v>
      </c>
      <c r="R2794">
        <v>5.84</v>
      </c>
      <c r="S2794">
        <v>70</v>
      </c>
      <c r="T2794">
        <v>-2.6</v>
      </c>
      <c r="U2794">
        <v>74</v>
      </c>
      <c r="V2794">
        <v>-0.53</v>
      </c>
      <c r="W2794">
        <v>37</v>
      </c>
      <c r="X2794" t="s">
        <v>94</v>
      </c>
      <c r="Y2794" t="s">
        <v>95</v>
      </c>
      <c r="Z2794" t="s">
        <v>96</v>
      </c>
      <c r="AA2794" t="s">
        <v>1185</v>
      </c>
      <c r="AB2794" t="s">
        <v>8049</v>
      </c>
      <c r="AC2794">
        <v>80</v>
      </c>
      <c r="AD2794">
        <v>66</v>
      </c>
      <c r="AE2794">
        <v>94</v>
      </c>
      <c r="AF2794">
        <v>-184.08</v>
      </c>
      <c r="AG2794">
        <v>0.99</v>
      </c>
      <c r="AH2794">
        <v>-5.99</v>
      </c>
      <c r="AI2794">
        <v>0.14000000000000001</v>
      </c>
      <c r="AJ2794">
        <v>0.01</v>
      </c>
      <c r="AK2794">
        <v>68</v>
      </c>
      <c r="AL2794">
        <v>109</v>
      </c>
      <c r="AM2794">
        <v>80</v>
      </c>
      <c r="AN2794">
        <v>-0.97</v>
      </c>
      <c r="AO2794">
        <v>-0.56000000000000005</v>
      </c>
      <c r="AP2794">
        <v>6</v>
      </c>
      <c r="AQ2794">
        <v>3</v>
      </c>
      <c r="AR2794">
        <v>4.93</v>
      </c>
      <c r="AS2794">
        <v>38</v>
      </c>
      <c r="AT2794">
        <v>2.4900000000000002</v>
      </c>
      <c r="AU2794">
        <v>58</v>
      </c>
      <c r="AV2794">
        <v>-1.1299999999999999</v>
      </c>
      <c r="AW2794">
        <v>74</v>
      </c>
      <c r="AX2794">
        <v>0.04</v>
      </c>
      <c r="AY2794">
        <v>77</v>
      </c>
      <c r="AZ2794">
        <v>5.23</v>
      </c>
      <c r="BA2794">
        <v>37</v>
      </c>
      <c r="BB2794">
        <v>4.37</v>
      </c>
      <c r="BC2794">
        <v>55</v>
      </c>
      <c r="BD2794">
        <v>0.01</v>
      </c>
      <c r="BE2794">
        <v>0.01</v>
      </c>
      <c r="BF2794">
        <v>-0.17</v>
      </c>
      <c r="BG2794">
        <v>86</v>
      </c>
      <c r="BH2794">
        <v>0</v>
      </c>
      <c r="BI2794">
        <v>1.7</v>
      </c>
      <c r="BJ2794">
        <v>16</v>
      </c>
      <c r="BK2794">
        <v>13</v>
      </c>
      <c r="BL2794">
        <v>0.99</v>
      </c>
      <c r="BM2794">
        <v>1.64</v>
      </c>
      <c r="BN2794">
        <v>0.37</v>
      </c>
      <c r="BO2794">
        <v>-0.67</v>
      </c>
      <c r="BP2794">
        <v>0.17</v>
      </c>
      <c r="BQ2794">
        <v>2.27</v>
      </c>
      <c r="BR2794">
        <v>-0.89</v>
      </c>
      <c r="BS2794">
        <v>1.39</v>
      </c>
      <c r="BT2794">
        <v>1.53</v>
      </c>
      <c r="BU2794">
        <v>0.57999999999999996</v>
      </c>
      <c r="BV2794">
        <v>0.12</v>
      </c>
      <c r="BW2794">
        <v>0.2</v>
      </c>
      <c r="BX2794">
        <v>1.41</v>
      </c>
      <c r="BY2794">
        <v>0.68</v>
      </c>
      <c r="BZ2794">
        <v>-1.47</v>
      </c>
      <c r="CA2794">
        <v>0.82</v>
      </c>
      <c r="CB2794">
        <v>0.56000000000000005</v>
      </c>
      <c r="CC2794">
        <v>0.65</v>
      </c>
      <c r="CD2794">
        <v>1.36</v>
      </c>
      <c r="CE2794">
        <v>-0.65</v>
      </c>
      <c r="CF2794">
        <v>1.1399999999999999</v>
      </c>
      <c r="CG2794">
        <v>0</v>
      </c>
      <c r="CH2794">
        <v>0.51</v>
      </c>
      <c r="CI2794">
        <v>0</v>
      </c>
      <c r="CJ2794">
        <v>-1.2</v>
      </c>
      <c r="CK2794">
        <v>81</v>
      </c>
      <c r="CL2794">
        <v>-0.23</v>
      </c>
      <c r="CM2794">
        <v>78</v>
      </c>
      <c r="CN2794">
        <v>-0.08</v>
      </c>
      <c r="CO2794">
        <v>75</v>
      </c>
      <c r="CP2794">
        <v>2.2000000000000002</v>
      </c>
      <c r="CQ2794">
        <v>85</v>
      </c>
      <c r="CR2794">
        <v>0</v>
      </c>
      <c r="CS2794">
        <v>0</v>
      </c>
      <c r="CT2794">
        <v>17.3</v>
      </c>
      <c r="CU2794">
        <v>74</v>
      </c>
      <c r="CV2794">
        <v>-0.04</v>
      </c>
      <c r="CW2794">
        <v>22</v>
      </c>
      <c r="CX2794" t="s">
        <v>128</v>
      </c>
    </row>
    <row r="2795" spans="1:102" x14ac:dyDescent="0.3">
      <c r="A2795" t="str">
        <f>HYPERLINK("https://webapp.icbf.com/v2/app/bull-search/view/1032247734","S1478")</f>
        <v>S1478</v>
      </c>
      <c r="B2795" t="s">
        <v>10202</v>
      </c>
      <c r="C2795" t="s">
        <v>10203</v>
      </c>
      <c r="D2795" s="1">
        <v>38552</v>
      </c>
      <c r="E2795" t="s">
        <v>197</v>
      </c>
      <c r="F2795">
        <v>0</v>
      </c>
      <c r="G2795" t="s">
        <v>93</v>
      </c>
      <c r="H2795">
        <v>13.28</v>
      </c>
      <c r="I2795">
        <v>62</v>
      </c>
      <c r="J2795">
        <v>-12.49</v>
      </c>
      <c r="K2795">
        <v>81</v>
      </c>
      <c r="L2795">
        <v>31.48</v>
      </c>
      <c r="M2795">
        <v>41</v>
      </c>
      <c r="N2795">
        <v>-17.71</v>
      </c>
      <c r="O2795">
        <v>72</v>
      </c>
      <c r="P2795">
        <v>21.18</v>
      </c>
      <c r="Q2795">
        <v>82</v>
      </c>
      <c r="R2795">
        <v>-3.39</v>
      </c>
      <c r="S2795">
        <v>39</v>
      </c>
      <c r="T2795">
        <v>0.57999999999999996</v>
      </c>
      <c r="U2795">
        <v>62</v>
      </c>
      <c r="V2795">
        <v>-6.37</v>
      </c>
      <c r="W2795">
        <v>30</v>
      </c>
      <c r="X2795" t="s">
        <v>102</v>
      </c>
      <c r="Y2795" t="s">
        <v>362</v>
      </c>
      <c r="Z2795">
        <v>0</v>
      </c>
      <c r="AA2795" t="s">
        <v>10204</v>
      </c>
      <c r="AB2795" t="s">
        <v>10205</v>
      </c>
      <c r="AC2795">
        <v>23</v>
      </c>
      <c r="AD2795">
        <v>12</v>
      </c>
      <c r="AE2795">
        <v>81</v>
      </c>
      <c r="AF2795">
        <v>11.8</v>
      </c>
      <c r="AG2795">
        <v>-4.76</v>
      </c>
      <c r="AH2795">
        <v>-0.26</v>
      </c>
      <c r="AI2795">
        <v>-0.09</v>
      </c>
      <c r="AJ2795">
        <v>-0.01</v>
      </c>
      <c r="AK2795">
        <v>41</v>
      </c>
      <c r="AL2795">
        <v>38</v>
      </c>
      <c r="AM2795">
        <v>15</v>
      </c>
      <c r="AN2795">
        <v>-3.31</v>
      </c>
      <c r="AO2795">
        <v>-0.82</v>
      </c>
      <c r="AP2795">
        <v>87</v>
      </c>
      <c r="AQ2795">
        <v>9</v>
      </c>
      <c r="AR2795">
        <v>4.87</v>
      </c>
      <c r="AS2795">
        <v>52</v>
      </c>
      <c r="AT2795">
        <v>5.39</v>
      </c>
      <c r="AU2795">
        <v>74</v>
      </c>
      <c r="AV2795">
        <v>1.77</v>
      </c>
      <c r="AW2795">
        <v>90</v>
      </c>
      <c r="AX2795">
        <v>-0.4</v>
      </c>
      <c r="AY2795">
        <v>64</v>
      </c>
      <c r="AZ2795">
        <v>6.39</v>
      </c>
      <c r="BA2795">
        <v>46</v>
      </c>
      <c r="BB2795">
        <v>2.84</v>
      </c>
      <c r="BC2795">
        <v>35</v>
      </c>
      <c r="BD2795">
        <v>0.03</v>
      </c>
      <c r="BE2795">
        <v>0.02</v>
      </c>
      <c r="BF2795">
        <v>-0.01</v>
      </c>
      <c r="BG2795">
        <v>48</v>
      </c>
      <c r="BH2795">
        <v>-0.12</v>
      </c>
      <c r="BI2795">
        <v>6.67</v>
      </c>
      <c r="BJ2795">
        <v>0</v>
      </c>
      <c r="BK2795">
        <v>0</v>
      </c>
      <c r="BL2795">
        <v>0</v>
      </c>
      <c r="BM2795">
        <v>0</v>
      </c>
      <c r="BN2795">
        <v>0</v>
      </c>
      <c r="BO2795">
        <v>0</v>
      </c>
      <c r="BP2795">
        <v>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11.8</v>
      </c>
      <c r="CK2795">
        <v>85</v>
      </c>
      <c r="CL2795">
        <v>0.24</v>
      </c>
      <c r="CM2795">
        <v>82</v>
      </c>
      <c r="CN2795">
        <v>-0.1</v>
      </c>
      <c r="CO2795">
        <v>80</v>
      </c>
      <c r="CP2795">
        <v>8.3000000000000007</v>
      </c>
      <c r="CQ2795">
        <v>58</v>
      </c>
      <c r="CR2795">
        <v>0</v>
      </c>
      <c r="CS2795">
        <v>0</v>
      </c>
      <c r="CT2795">
        <v>13</v>
      </c>
      <c r="CU2795">
        <v>62</v>
      </c>
      <c r="CV2795">
        <v>0.06</v>
      </c>
      <c r="CW2795">
        <v>42</v>
      </c>
      <c r="CX2795" t="s">
        <v>10206</v>
      </c>
    </row>
    <row r="2796" spans="1:102" x14ac:dyDescent="0.3">
      <c r="A2796" t="str">
        <f>HYPERLINK("https://webapp.icbf.com/v2/app/bull-search/view/108897750","IOR")</f>
        <v>IOR</v>
      </c>
      <c r="B2796" t="s">
        <v>2815</v>
      </c>
      <c r="C2796" t="s">
        <v>2816</v>
      </c>
      <c r="D2796" s="1">
        <v>36869</v>
      </c>
      <c r="E2796" t="s">
        <v>140</v>
      </c>
      <c r="F2796">
        <v>0</v>
      </c>
      <c r="G2796" t="s">
        <v>116</v>
      </c>
      <c r="H2796">
        <v>13.27</v>
      </c>
      <c r="I2796">
        <v>30</v>
      </c>
      <c r="J2796">
        <v>-0.57999999999999996</v>
      </c>
      <c r="K2796">
        <v>38</v>
      </c>
      <c r="L2796">
        <v>69.62</v>
      </c>
      <c r="M2796">
        <v>16</v>
      </c>
      <c r="N2796">
        <v>-77.150000000000006</v>
      </c>
      <c r="O2796">
        <v>18</v>
      </c>
      <c r="P2796">
        <v>7.47</v>
      </c>
      <c r="Q2796">
        <v>68</v>
      </c>
      <c r="R2796">
        <v>7.68</v>
      </c>
      <c r="S2796">
        <v>8</v>
      </c>
      <c r="T2796">
        <v>18.78</v>
      </c>
      <c r="U2796">
        <v>55</v>
      </c>
      <c r="V2796">
        <v>-12.55</v>
      </c>
      <c r="W2796">
        <v>2</v>
      </c>
      <c r="X2796" t="s">
        <v>94</v>
      </c>
      <c r="Y2796" t="s">
        <v>974</v>
      </c>
      <c r="Z2796">
        <v>0</v>
      </c>
      <c r="AA2796" t="s">
        <v>144</v>
      </c>
      <c r="AB2796" t="s">
        <v>144</v>
      </c>
      <c r="AC2796">
        <v>2</v>
      </c>
      <c r="AD2796">
        <v>2</v>
      </c>
      <c r="AE2796">
        <v>38</v>
      </c>
      <c r="AF2796">
        <v>28.49</v>
      </c>
      <c r="AG2796">
        <v>-3.03</v>
      </c>
      <c r="AH2796">
        <v>1.41</v>
      </c>
      <c r="AI2796">
        <v>-7.0000000000000007E-2</v>
      </c>
      <c r="AJ2796">
        <v>0.01</v>
      </c>
      <c r="AK2796">
        <v>16</v>
      </c>
      <c r="AL2796">
        <v>10</v>
      </c>
      <c r="AM2796">
        <v>8</v>
      </c>
      <c r="AN2796">
        <v>-3.97</v>
      </c>
      <c r="AO2796">
        <v>1.58</v>
      </c>
      <c r="AP2796">
        <v>7</v>
      </c>
      <c r="AQ2796">
        <v>0</v>
      </c>
      <c r="AR2796">
        <v>13.83</v>
      </c>
      <c r="AS2796">
        <v>1</v>
      </c>
      <c r="AT2796">
        <v>6.69</v>
      </c>
      <c r="AU2796">
        <v>15</v>
      </c>
      <c r="AV2796">
        <v>2.12</v>
      </c>
      <c r="AW2796">
        <v>24</v>
      </c>
      <c r="AX2796">
        <v>-0.8</v>
      </c>
      <c r="AY2796">
        <v>35</v>
      </c>
      <c r="AZ2796">
        <v>5.72</v>
      </c>
      <c r="BA2796">
        <v>1</v>
      </c>
      <c r="BB2796">
        <v>4.2699999999999996</v>
      </c>
      <c r="BC2796">
        <v>4</v>
      </c>
      <c r="BD2796">
        <v>-0.01</v>
      </c>
      <c r="BE2796">
        <v>0</v>
      </c>
      <c r="BF2796">
        <v>-0.16</v>
      </c>
      <c r="BG2796">
        <v>10</v>
      </c>
      <c r="BH2796">
        <v>-0.22</v>
      </c>
      <c r="BI2796">
        <v>15.02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3.2</v>
      </c>
      <c r="CK2796">
        <v>72</v>
      </c>
      <c r="CL2796">
        <v>0.16</v>
      </c>
      <c r="CM2796">
        <v>66</v>
      </c>
      <c r="CN2796">
        <v>-0.19</v>
      </c>
      <c r="CO2796">
        <v>63</v>
      </c>
      <c r="CP2796">
        <v>-5.5</v>
      </c>
      <c r="CQ2796">
        <v>55</v>
      </c>
      <c r="CR2796">
        <v>0</v>
      </c>
      <c r="CS2796">
        <v>0</v>
      </c>
      <c r="CT2796">
        <v>-11.6</v>
      </c>
      <c r="CU2796">
        <v>55</v>
      </c>
      <c r="CV2796">
        <v>-0.13</v>
      </c>
      <c r="CW2796">
        <v>19</v>
      </c>
      <c r="CX2796">
        <v>0</v>
      </c>
    </row>
    <row r="2797" spans="1:102" x14ac:dyDescent="0.3">
      <c r="A2797" t="str">
        <f>HYPERLINK("https://webapp.icbf.com/v2/app/bull-search/view/403254326","OXT")</f>
        <v>OXT</v>
      </c>
      <c r="B2797" t="s">
        <v>14161</v>
      </c>
      <c r="C2797" t="s">
        <v>12967</v>
      </c>
      <c r="D2797" s="1">
        <v>36057</v>
      </c>
      <c r="E2797" t="s">
        <v>140</v>
      </c>
      <c r="F2797">
        <v>0</v>
      </c>
      <c r="G2797" t="s">
        <v>109</v>
      </c>
      <c r="H2797">
        <v>13.19</v>
      </c>
      <c r="I2797">
        <v>61</v>
      </c>
      <c r="J2797">
        <v>-32.4</v>
      </c>
      <c r="K2797">
        <v>75</v>
      </c>
      <c r="L2797">
        <v>55.28</v>
      </c>
      <c r="M2797">
        <v>44</v>
      </c>
      <c r="N2797">
        <v>-4.9800000000000004</v>
      </c>
      <c r="O2797">
        <v>59</v>
      </c>
      <c r="P2797">
        <v>13.12</v>
      </c>
      <c r="Q2797">
        <v>83</v>
      </c>
      <c r="R2797">
        <v>3.73</v>
      </c>
      <c r="S2797">
        <v>47</v>
      </c>
      <c r="T2797">
        <v>-2.16</v>
      </c>
      <c r="U2797">
        <v>68</v>
      </c>
      <c r="V2797">
        <v>-19.399999999999999</v>
      </c>
      <c r="W2797">
        <v>54</v>
      </c>
      <c r="X2797" t="s">
        <v>94</v>
      </c>
      <c r="Y2797" t="s">
        <v>95</v>
      </c>
      <c r="Z2797">
        <v>0</v>
      </c>
      <c r="AA2797" t="s">
        <v>141</v>
      </c>
      <c r="AB2797" t="s">
        <v>14162</v>
      </c>
      <c r="AC2797">
        <v>0</v>
      </c>
      <c r="AD2797">
        <v>0</v>
      </c>
      <c r="AE2797">
        <v>75</v>
      </c>
      <c r="AF2797">
        <v>-7.13</v>
      </c>
      <c r="AG2797">
        <v>-5.2</v>
      </c>
      <c r="AH2797">
        <v>-3.78</v>
      </c>
      <c r="AI2797">
        <v>-0.08</v>
      </c>
      <c r="AJ2797">
        <v>-0.06</v>
      </c>
      <c r="AK2797">
        <v>44</v>
      </c>
      <c r="AL2797">
        <v>18</v>
      </c>
      <c r="AM2797">
        <v>14</v>
      </c>
      <c r="AN2797">
        <v>-2.88</v>
      </c>
      <c r="AO2797">
        <v>1.53</v>
      </c>
      <c r="AP2797">
        <v>29</v>
      </c>
      <c r="AQ2797">
        <v>4</v>
      </c>
      <c r="AR2797">
        <v>8.57</v>
      </c>
      <c r="AS2797">
        <v>39</v>
      </c>
      <c r="AT2797">
        <v>4.37</v>
      </c>
      <c r="AU2797">
        <v>56</v>
      </c>
      <c r="AV2797">
        <v>0.03</v>
      </c>
      <c r="AW2797">
        <v>75</v>
      </c>
      <c r="AX2797">
        <v>-0.8</v>
      </c>
      <c r="AY2797">
        <v>59</v>
      </c>
      <c r="AZ2797">
        <v>4.54</v>
      </c>
      <c r="BA2797">
        <v>30</v>
      </c>
      <c r="BB2797">
        <v>3.7</v>
      </c>
      <c r="BC2797">
        <v>36</v>
      </c>
      <c r="BD2797">
        <v>-0.01</v>
      </c>
      <c r="BE2797">
        <v>-0.01</v>
      </c>
      <c r="BF2797">
        <v>-0.05</v>
      </c>
      <c r="BG2797">
        <v>53</v>
      </c>
      <c r="BH2797">
        <v>-0.59</v>
      </c>
      <c r="BI2797">
        <v>-5.68</v>
      </c>
      <c r="BJ2797">
        <v>0</v>
      </c>
      <c r="BK2797">
        <v>0</v>
      </c>
      <c r="BL2797">
        <v>-0.84</v>
      </c>
      <c r="BM2797">
        <v>3</v>
      </c>
      <c r="BN2797">
        <v>-1.69</v>
      </c>
      <c r="BO2797">
        <v>-2.7</v>
      </c>
      <c r="BP2797">
        <v>4.1399999999999997</v>
      </c>
      <c r="BQ2797">
        <v>-2.27</v>
      </c>
      <c r="BR2797">
        <v>-2.74</v>
      </c>
      <c r="BS2797">
        <v>-0.54</v>
      </c>
      <c r="BT2797">
        <v>2.62</v>
      </c>
      <c r="BU2797">
        <v>-3.15</v>
      </c>
      <c r="BV2797">
        <v>-3.69</v>
      </c>
      <c r="BW2797">
        <v>-2.85</v>
      </c>
      <c r="BX2797">
        <v>-2.41</v>
      </c>
      <c r="BY2797">
        <v>-2.33</v>
      </c>
      <c r="BZ2797">
        <v>1.1200000000000001</v>
      </c>
      <c r="CA2797">
        <v>-2.33</v>
      </c>
      <c r="CB2797">
        <v>-2.95</v>
      </c>
      <c r="CC2797">
        <v>-0.42</v>
      </c>
      <c r="CD2797">
        <v>3.54</v>
      </c>
      <c r="CE2797">
        <v>-2.66</v>
      </c>
      <c r="CF2797">
        <v>-1.1000000000000001</v>
      </c>
      <c r="CG2797">
        <v>0</v>
      </c>
      <c r="CH2797">
        <v>-2.42</v>
      </c>
      <c r="CI2797">
        <v>0</v>
      </c>
      <c r="CJ2797">
        <v>3.9</v>
      </c>
      <c r="CK2797">
        <v>85</v>
      </c>
      <c r="CL2797">
        <v>0.19</v>
      </c>
      <c r="CM2797">
        <v>82</v>
      </c>
      <c r="CN2797">
        <v>-0.32</v>
      </c>
      <c r="CO2797">
        <v>80</v>
      </c>
      <c r="CP2797">
        <v>13.5</v>
      </c>
      <c r="CQ2797">
        <v>74</v>
      </c>
      <c r="CR2797">
        <v>0</v>
      </c>
      <c r="CS2797">
        <v>0</v>
      </c>
      <c r="CT2797">
        <v>16.7</v>
      </c>
      <c r="CU2797">
        <v>68</v>
      </c>
      <c r="CV2797">
        <v>-7.0000000000000007E-2</v>
      </c>
      <c r="CW2797">
        <v>24</v>
      </c>
      <c r="CX2797" t="s">
        <v>2937</v>
      </c>
    </row>
    <row r="2798" spans="1:102" x14ac:dyDescent="0.3">
      <c r="A2798" t="str">
        <f>HYPERLINK("https://webapp.icbf.com/v2/app/bull-search/view/77857483","GAS")</f>
        <v>GAS</v>
      </c>
      <c r="B2798" t="s">
        <v>4269</v>
      </c>
      <c r="C2798" t="s">
        <v>4270</v>
      </c>
      <c r="D2798" s="1">
        <v>32036</v>
      </c>
      <c r="E2798" t="s">
        <v>92</v>
      </c>
      <c r="F2798">
        <v>63</v>
      </c>
      <c r="G2798" t="s">
        <v>116</v>
      </c>
      <c r="H2798">
        <v>13.15</v>
      </c>
      <c r="I2798">
        <v>41</v>
      </c>
      <c r="J2798">
        <v>-26.02</v>
      </c>
      <c r="K2798">
        <v>33</v>
      </c>
      <c r="L2798">
        <v>35.869999999999997</v>
      </c>
      <c r="M2798">
        <v>50</v>
      </c>
      <c r="N2798">
        <v>15.77</v>
      </c>
      <c r="O2798">
        <v>41</v>
      </c>
      <c r="P2798">
        <v>-13.27</v>
      </c>
      <c r="Q2798">
        <v>45</v>
      </c>
      <c r="R2798">
        <v>-2.52</v>
      </c>
      <c r="S2798">
        <v>49</v>
      </c>
      <c r="T2798">
        <v>4.6500000000000004</v>
      </c>
      <c r="U2798">
        <v>36</v>
      </c>
      <c r="V2798">
        <v>-1.33</v>
      </c>
      <c r="W2798">
        <v>21</v>
      </c>
      <c r="X2798" t="s">
        <v>102</v>
      </c>
      <c r="Y2798" t="s">
        <v>95</v>
      </c>
      <c r="Z2798" t="s">
        <v>96</v>
      </c>
      <c r="AA2798" t="s">
        <v>2543</v>
      </c>
      <c r="AB2798" t="s">
        <v>4271</v>
      </c>
      <c r="AC2798">
        <v>3</v>
      </c>
      <c r="AD2798">
        <v>2</v>
      </c>
      <c r="AE2798">
        <v>33</v>
      </c>
      <c r="AF2798">
        <v>-79.38</v>
      </c>
      <c r="AG2798">
        <v>-0.85</v>
      </c>
      <c r="AH2798">
        <v>-5.34</v>
      </c>
      <c r="AI2798">
        <v>0.04</v>
      </c>
      <c r="AJ2798">
        <v>-0.04</v>
      </c>
      <c r="AK2798">
        <v>50</v>
      </c>
      <c r="AL2798">
        <v>37</v>
      </c>
      <c r="AM2798">
        <v>25</v>
      </c>
      <c r="AN2798">
        <v>-2.76</v>
      </c>
      <c r="AO2798">
        <v>0.09</v>
      </c>
      <c r="AP2798">
        <v>4</v>
      </c>
      <c r="AQ2798">
        <v>0</v>
      </c>
      <c r="AR2798">
        <v>4.22</v>
      </c>
      <c r="AS2798">
        <v>22</v>
      </c>
      <c r="AT2798">
        <v>1.82</v>
      </c>
      <c r="AU2798">
        <v>30</v>
      </c>
      <c r="AV2798">
        <v>-0.36</v>
      </c>
      <c r="AW2798">
        <v>57</v>
      </c>
      <c r="AX2798">
        <v>-0.27</v>
      </c>
      <c r="AY2798">
        <v>49</v>
      </c>
      <c r="AZ2798">
        <v>6.92</v>
      </c>
      <c r="BA2798">
        <v>22</v>
      </c>
      <c r="BB2798">
        <v>5.75</v>
      </c>
      <c r="BC2798">
        <v>25</v>
      </c>
      <c r="BD2798">
        <v>0.03</v>
      </c>
      <c r="BE2798">
        <v>0.02</v>
      </c>
      <c r="BF2798">
        <v>-0.03</v>
      </c>
      <c r="BG2798">
        <v>69</v>
      </c>
      <c r="BH2798">
        <v>-0.04</v>
      </c>
      <c r="BI2798">
        <v>-0.33</v>
      </c>
      <c r="BJ2798">
        <v>1</v>
      </c>
      <c r="BK2798">
        <v>1</v>
      </c>
      <c r="BL2798">
        <v>-1.37</v>
      </c>
      <c r="BM2798">
        <v>1.1200000000000001</v>
      </c>
      <c r="BN2798">
        <v>-1.07</v>
      </c>
      <c r="BO2798">
        <v>-1.57</v>
      </c>
      <c r="BP2798">
        <v>-0.68</v>
      </c>
      <c r="BQ2798">
        <v>0.24</v>
      </c>
      <c r="BR2798">
        <v>-0.05</v>
      </c>
      <c r="BS2798">
        <v>-1.78</v>
      </c>
      <c r="BT2798">
        <v>-0.54</v>
      </c>
      <c r="BU2798">
        <v>-0.69</v>
      </c>
      <c r="BV2798">
        <v>-1.75</v>
      </c>
      <c r="BW2798">
        <v>-2.2799999999999998</v>
      </c>
      <c r="BX2798">
        <v>-0.74</v>
      </c>
      <c r="BY2798">
        <v>-1.87</v>
      </c>
      <c r="BZ2798">
        <v>-0.26</v>
      </c>
      <c r="CA2798">
        <v>-1.72</v>
      </c>
      <c r="CB2798">
        <v>-1.56</v>
      </c>
      <c r="CC2798">
        <v>-1.35</v>
      </c>
      <c r="CD2798">
        <v>1.34</v>
      </c>
      <c r="CE2798">
        <v>-1.38</v>
      </c>
      <c r="CF2798">
        <v>-1.3</v>
      </c>
      <c r="CG2798">
        <v>0</v>
      </c>
      <c r="CH2798">
        <v>-1.89</v>
      </c>
      <c r="CI2798">
        <v>0</v>
      </c>
      <c r="CJ2798">
        <v>-4.7</v>
      </c>
      <c r="CK2798">
        <v>47</v>
      </c>
      <c r="CL2798">
        <v>-0.46</v>
      </c>
      <c r="CM2798">
        <v>44</v>
      </c>
      <c r="CN2798">
        <v>0.11</v>
      </c>
      <c r="CO2798">
        <v>41</v>
      </c>
      <c r="CP2798">
        <v>-5</v>
      </c>
      <c r="CQ2798">
        <v>46</v>
      </c>
      <c r="CR2798">
        <v>0</v>
      </c>
      <c r="CS2798">
        <v>0</v>
      </c>
      <c r="CT2798">
        <v>7.5</v>
      </c>
      <c r="CU2798">
        <v>36</v>
      </c>
      <c r="CV2798">
        <v>0.03</v>
      </c>
      <c r="CW2798">
        <v>12</v>
      </c>
      <c r="CX2798" t="s">
        <v>4272</v>
      </c>
    </row>
    <row r="2799" spans="1:102" x14ac:dyDescent="0.3">
      <c r="A2799" t="str">
        <f>HYPERLINK("https://webapp.icbf.com/v2/app/bull-search/view/69092662","SGB")</f>
        <v>SGB</v>
      </c>
      <c r="B2799" t="s">
        <v>144</v>
      </c>
      <c r="C2799" t="s">
        <v>3230</v>
      </c>
      <c r="D2799" s="1">
        <v>33932</v>
      </c>
      <c r="E2799" t="s">
        <v>146</v>
      </c>
      <c r="F2799">
        <v>0</v>
      </c>
      <c r="G2799" t="s">
        <v>93</v>
      </c>
      <c r="H2799">
        <v>13.13</v>
      </c>
      <c r="I2799">
        <v>83</v>
      </c>
      <c r="J2799">
        <v>-31.53</v>
      </c>
      <c r="K2799">
        <v>96</v>
      </c>
      <c r="L2799">
        <v>62.09</v>
      </c>
      <c r="M2799">
        <v>72</v>
      </c>
      <c r="N2799">
        <v>-3.21</v>
      </c>
      <c r="O2799">
        <v>81</v>
      </c>
      <c r="P2799">
        <v>3.02</v>
      </c>
      <c r="Q2799">
        <v>94</v>
      </c>
      <c r="R2799">
        <v>-11.13</v>
      </c>
      <c r="S2799">
        <v>71</v>
      </c>
      <c r="T2799">
        <v>7.91</v>
      </c>
      <c r="U2799">
        <v>86</v>
      </c>
      <c r="V2799">
        <v>-14.02</v>
      </c>
      <c r="W2799">
        <v>67</v>
      </c>
      <c r="X2799" t="s">
        <v>276</v>
      </c>
      <c r="Y2799" t="s">
        <v>545</v>
      </c>
      <c r="Z2799">
        <v>0</v>
      </c>
      <c r="AA2799" t="s">
        <v>995</v>
      </c>
      <c r="AB2799" t="s">
        <v>3231</v>
      </c>
      <c r="AC2799">
        <v>107</v>
      </c>
      <c r="AD2799">
        <v>67</v>
      </c>
      <c r="AE2799">
        <v>96</v>
      </c>
      <c r="AF2799">
        <v>-279.08999999999997</v>
      </c>
      <c r="AG2799">
        <v>-6.09</v>
      </c>
      <c r="AH2799">
        <v>-7.48</v>
      </c>
      <c r="AI2799">
        <v>0.08</v>
      </c>
      <c r="AJ2799">
        <v>0.04</v>
      </c>
      <c r="AK2799">
        <v>72</v>
      </c>
      <c r="AL2799">
        <v>140</v>
      </c>
      <c r="AM2799">
        <v>79</v>
      </c>
      <c r="AN2799">
        <v>-3.48</v>
      </c>
      <c r="AO2799">
        <v>1.47</v>
      </c>
      <c r="AP2799">
        <v>120</v>
      </c>
      <c r="AQ2799">
        <v>3</v>
      </c>
      <c r="AR2799">
        <v>8.7200000000000006</v>
      </c>
      <c r="AS2799">
        <v>74</v>
      </c>
      <c r="AT2799">
        <v>3.7</v>
      </c>
      <c r="AU2799">
        <v>79</v>
      </c>
      <c r="AV2799">
        <v>-0.59</v>
      </c>
      <c r="AW2799">
        <v>89</v>
      </c>
      <c r="AX2799">
        <v>0.35</v>
      </c>
      <c r="AY2799">
        <v>85</v>
      </c>
      <c r="AZ2799">
        <v>5.87</v>
      </c>
      <c r="BA2799">
        <v>59</v>
      </c>
      <c r="BB2799">
        <v>4.87</v>
      </c>
      <c r="BC2799">
        <v>67</v>
      </c>
      <c r="BD2799">
        <v>0.06</v>
      </c>
      <c r="BE2799">
        <v>0.04</v>
      </c>
      <c r="BF2799">
        <v>0.08</v>
      </c>
      <c r="BG2799">
        <v>85</v>
      </c>
      <c r="BH2799">
        <v>-0.18</v>
      </c>
      <c r="BI2799">
        <v>24.4</v>
      </c>
      <c r="BJ2799">
        <v>1</v>
      </c>
      <c r="BK2799">
        <v>1</v>
      </c>
      <c r="BL2799">
        <v>-1.26</v>
      </c>
      <c r="BM2799">
        <v>1.68</v>
      </c>
      <c r="BN2799">
        <v>-1.38</v>
      </c>
      <c r="BO2799">
        <v>-2.0299999999999998</v>
      </c>
      <c r="BP2799">
        <v>3.12</v>
      </c>
      <c r="BQ2799">
        <v>-0.39</v>
      </c>
      <c r="BR2799">
        <v>-0.32</v>
      </c>
      <c r="BS2799">
        <v>0.04</v>
      </c>
      <c r="BT2799">
        <v>-0.42</v>
      </c>
      <c r="BU2799">
        <v>-2.02</v>
      </c>
      <c r="BV2799">
        <v>-2.34</v>
      </c>
      <c r="BW2799">
        <v>-2.17</v>
      </c>
      <c r="BX2799">
        <v>-1.45</v>
      </c>
      <c r="BY2799">
        <v>-1.36</v>
      </c>
      <c r="BZ2799">
        <v>0.68</v>
      </c>
      <c r="CA2799">
        <v>-1.88</v>
      </c>
      <c r="CB2799">
        <v>-2.0099999999999998</v>
      </c>
      <c r="CC2799">
        <v>-0.92</v>
      </c>
      <c r="CD2799">
        <v>2.14</v>
      </c>
      <c r="CE2799">
        <v>-2</v>
      </c>
      <c r="CF2799">
        <v>-1.48</v>
      </c>
      <c r="CG2799">
        <v>0</v>
      </c>
      <c r="CH2799">
        <v>-1.17</v>
      </c>
      <c r="CI2799">
        <v>0</v>
      </c>
      <c r="CJ2799">
        <v>0</v>
      </c>
      <c r="CK2799">
        <v>95</v>
      </c>
      <c r="CL2799">
        <v>0.47</v>
      </c>
      <c r="CM2799">
        <v>94</v>
      </c>
      <c r="CN2799">
        <v>0.06</v>
      </c>
      <c r="CO2799">
        <v>93</v>
      </c>
      <c r="CP2799">
        <v>-7.5</v>
      </c>
      <c r="CQ2799">
        <v>92</v>
      </c>
      <c r="CR2799">
        <v>0</v>
      </c>
      <c r="CS2799">
        <v>0</v>
      </c>
      <c r="CT2799">
        <v>3.1</v>
      </c>
      <c r="CU2799">
        <v>86</v>
      </c>
      <c r="CV2799">
        <v>-0.25</v>
      </c>
      <c r="CW2799">
        <v>29</v>
      </c>
      <c r="CX2799" t="s">
        <v>3232</v>
      </c>
    </row>
    <row r="2800" spans="1:102" x14ac:dyDescent="0.3">
      <c r="A2800" t="str">
        <f>HYPERLINK("https://webapp.icbf.com/v2/app/bull-search/view/540219734","RAI")</f>
        <v>RAI</v>
      </c>
      <c r="B2800" t="s">
        <v>6497</v>
      </c>
      <c r="C2800" t="s">
        <v>6496</v>
      </c>
      <c r="D2800" s="1">
        <v>36853</v>
      </c>
      <c r="E2800" t="s">
        <v>140</v>
      </c>
      <c r="F2800">
        <v>0</v>
      </c>
      <c r="G2800" t="s">
        <v>93</v>
      </c>
      <c r="H2800">
        <v>13.03</v>
      </c>
      <c r="I2800">
        <v>90</v>
      </c>
      <c r="J2800">
        <v>-25.49</v>
      </c>
      <c r="K2800">
        <v>97</v>
      </c>
      <c r="L2800">
        <v>55.69</v>
      </c>
      <c r="M2800">
        <v>83</v>
      </c>
      <c r="N2800">
        <v>-31.92</v>
      </c>
      <c r="O2800">
        <v>90</v>
      </c>
      <c r="P2800">
        <v>33.520000000000003</v>
      </c>
      <c r="Q2800">
        <v>96</v>
      </c>
      <c r="R2800">
        <v>-0.23</v>
      </c>
      <c r="S2800">
        <v>84</v>
      </c>
      <c r="T2800">
        <v>-14.37</v>
      </c>
      <c r="U2800">
        <v>91</v>
      </c>
      <c r="V2800">
        <v>-4.17</v>
      </c>
      <c r="W2800">
        <v>86</v>
      </c>
      <c r="X2800" t="s">
        <v>102</v>
      </c>
      <c r="Y2800" t="s">
        <v>95</v>
      </c>
      <c r="Z2800">
        <v>0</v>
      </c>
      <c r="AA2800" t="s">
        <v>247</v>
      </c>
      <c r="AB2800" t="s">
        <v>6498</v>
      </c>
      <c r="AC2800">
        <v>127</v>
      </c>
      <c r="AD2800">
        <v>42</v>
      </c>
      <c r="AE2800">
        <v>97</v>
      </c>
      <c r="AF2800">
        <v>38.96</v>
      </c>
      <c r="AG2800">
        <v>-10.91</v>
      </c>
      <c r="AH2800">
        <v>0.12</v>
      </c>
      <c r="AI2800">
        <v>-0.22</v>
      </c>
      <c r="AJ2800">
        <v>-0.02</v>
      </c>
      <c r="AK2800">
        <v>83</v>
      </c>
      <c r="AL2800">
        <v>176</v>
      </c>
      <c r="AM2800">
        <v>67</v>
      </c>
      <c r="AN2800">
        <v>-3.16</v>
      </c>
      <c r="AO2800">
        <v>1.28</v>
      </c>
      <c r="AP2800">
        <v>248</v>
      </c>
      <c r="AQ2800">
        <v>2</v>
      </c>
      <c r="AR2800">
        <v>9.83</v>
      </c>
      <c r="AS2800">
        <v>81</v>
      </c>
      <c r="AT2800">
        <v>4.9000000000000004</v>
      </c>
      <c r="AU2800">
        <v>90</v>
      </c>
      <c r="AV2800">
        <v>0.52</v>
      </c>
      <c r="AW2800">
        <v>97</v>
      </c>
      <c r="AX2800">
        <v>0.5</v>
      </c>
      <c r="AY2800">
        <v>88</v>
      </c>
      <c r="AZ2800">
        <v>7.13</v>
      </c>
      <c r="BA2800">
        <v>75</v>
      </c>
      <c r="BB2800">
        <v>5.04</v>
      </c>
      <c r="BC2800">
        <v>80</v>
      </c>
      <c r="BD2800">
        <v>-0.01</v>
      </c>
      <c r="BE2800">
        <v>-0.02</v>
      </c>
      <c r="BF2800">
        <v>0.06</v>
      </c>
      <c r="BG2800">
        <v>90</v>
      </c>
      <c r="BH2800">
        <v>-0.18</v>
      </c>
      <c r="BI2800">
        <v>-7.38</v>
      </c>
      <c r="BJ2800">
        <v>1</v>
      </c>
      <c r="BK2800">
        <v>1</v>
      </c>
      <c r="BL2800">
        <v>-0.44</v>
      </c>
      <c r="BM2800">
        <v>4.83</v>
      </c>
      <c r="BN2800">
        <v>-1.64</v>
      </c>
      <c r="BO2800">
        <v>-3.69</v>
      </c>
      <c r="BP2800">
        <v>5.03</v>
      </c>
      <c r="BQ2800">
        <v>-1.01</v>
      </c>
      <c r="BR2800">
        <v>-2.85</v>
      </c>
      <c r="BS2800">
        <v>-0.4</v>
      </c>
      <c r="BT2800">
        <v>3.02</v>
      </c>
      <c r="BU2800">
        <v>-3.43</v>
      </c>
      <c r="BV2800">
        <v>-4.05</v>
      </c>
      <c r="BW2800">
        <v>-3.11</v>
      </c>
      <c r="BX2800">
        <v>-2.64</v>
      </c>
      <c r="BY2800">
        <v>-1.56</v>
      </c>
      <c r="BZ2800">
        <v>1.38</v>
      </c>
      <c r="CA2800">
        <v>-2.96</v>
      </c>
      <c r="CB2800">
        <v>-3.72</v>
      </c>
      <c r="CC2800">
        <v>-0.57999999999999996</v>
      </c>
      <c r="CD2800">
        <v>4.7699999999999996</v>
      </c>
      <c r="CE2800">
        <v>-3.68</v>
      </c>
      <c r="CF2800">
        <v>-0.93</v>
      </c>
      <c r="CG2800">
        <v>0</v>
      </c>
      <c r="CH2800">
        <v>-2.4300000000000002</v>
      </c>
      <c r="CI2800">
        <v>0</v>
      </c>
      <c r="CJ2800">
        <v>16.899999999999999</v>
      </c>
      <c r="CK2800">
        <v>97</v>
      </c>
      <c r="CL2800">
        <v>0.55000000000000004</v>
      </c>
      <c r="CM2800">
        <v>96</v>
      </c>
      <c r="CN2800">
        <v>-0.17</v>
      </c>
      <c r="CO2800">
        <v>96</v>
      </c>
      <c r="CP2800">
        <v>16.899999999999999</v>
      </c>
      <c r="CQ2800">
        <v>93</v>
      </c>
      <c r="CR2800">
        <v>0</v>
      </c>
      <c r="CS2800">
        <v>0</v>
      </c>
      <c r="CT2800">
        <v>33.200000000000003</v>
      </c>
      <c r="CU2800">
        <v>91</v>
      </c>
      <c r="CV2800">
        <v>0.27</v>
      </c>
      <c r="CW2800">
        <v>45</v>
      </c>
      <c r="CX2800" t="s">
        <v>224</v>
      </c>
    </row>
    <row r="2801" spans="1:102" x14ac:dyDescent="0.3">
      <c r="A2801" t="str">
        <f>HYPERLINK("https://webapp.icbf.com/v2/app/bull-search/view/1238195518","S2285")</f>
        <v>S2285</v>
      </c>
      <c r="B2801" t="s">
        <v>13404</v>
      </c>
      <c r="C2801" t="s">
        <v>13405</v>
      </c>
      <c r="D2801" s="1">
        <v>40930</v>
      </c>
      <c r="E2801" t="s">
        <v>140</v>
      </c>
      <c r="F2801">
        <v>0</v>
      </c>
      <c r="G2801" t="s">
        <v>109</v>
      </c>
      <c r="H2801">
        <v>13.02</v>
      </c>
      <c r="I2801">
        <v>57</v>
      </c>
      <c r="J2801">
        <v>2.78</v>
      </c>
      <c r="K2801">
        <v>74</v>
      </c>
      <c r="L2801">
        <v>16.61</v>
      </c>
      <c r="M2801">
        <v>39</v>
      </c>
      <c r="N2801">
        <v>-21.41</v>
      </c>
      <c r="O2801">
        <v>64</v>
      </c>
      <c r="P2801">
        <v>28.6</v>
      </c>
      <c r="Q2801">
        <v>84</v>
      </c>
      <c r="R2801">
        <v>5.28</v>
      </c>
      <c r="S2801">
        <v>33</v>
      </c>
      <c r="T2801">
        <v>-7.71</v>
      </c>
      <c r="U2801">
        <v>48</v>
      </c>
      <c r="V2801">
        <v>-11.13</v>
      </c>
      <c r="W2801">
        <v>33</v>
      </c>
      <c r="X2801" t="s">
        <v>102</v>
      </c>
      <c r="Y2801" t="s">
        <v>367</v>
      </c>
      <c r="Z2801">
        <v>0</v>
      </c>
      <c r="AA2801" t="s">
        <v>7959</v>
      </c>
      <c r="AB2801" t="s">
        <v>13406</v>
      </c>
      <c r="AC2801">
        <v>0</v>
      </c>
      <c r="AD2801">
        <v>0</v>
      </c>
      <c r="AE2801">
        <v>74</v>
      </c>
      <c r="AF2801">
        <v>-31.17</v>
      </c>
      <c r="AG2801">
        <v>-3.97</v>
      </c>
      <c r="AH2801">
        <v>1.4</v>
      </c>
      <c r="AI2801">
        <v>-0.05</v>
      </c>
      <c r="AJ2801">
        <v>0.04</v>
      </c>
      <c r="AK2801">
        <v>39</v>
      </c>
      <c r="AL2801">
        <v>37</v>
      </c>
      <c r="AM2801">
        <v>15</v>
      </c>
      <c r="AN2801">
        <v>-0.48</v>
      </c>
      <c r="AO2801">
        <v>0.85</v>
      </c>
      <c r="AP2801">
        <v>96</v>
      </c>
      <c r="AQ2801">
        <v>0</v>
      </c>
      <c r="AR2801">
        <v>8.11</v>
      </c>
      <c r="AS2801">
        <v>34</v>
      </c>
      <c r="AT2801">
        <v>4.5199999999999996</v>
      </c>
      <c r="AU2801">
        <v>69</v>
      </c>
      <c r="AV2801">
        <v>1.75</v>
      </c>
      <c r="AW2801">
        <v>82</v>
      </c>
      <c r="AX2801">
        <v>-0.23</v>
      </c>
      <c r="AY2801">
        <v>63</v>
      </c>
      <c r="AZ2801">
        <v>4.82</v>
      </c>
      <c r="BA2801">
        <v>33</v>
      </c>
      <c r="BB2801">
        <v>3.91</v>
      </c>
      <c r="BC2801">
        <v>21</v>
      </c>
      <c r="BD2801">
        <v>0.01</v>
      </c>
      <c r="BE2801">
        <v>-0.02</v>
      </c>
      <c r="BF2801">
        <v>-0.1</v>
      </c>
      <c r="BG2801">
        <v>42</v>
      </c>
      <c r="BH2801">
        <v>-0.27</v>
      </c>
      <c r="BI2801">
        <v>4.66</v>
      </c>
      <c r="BJ2801">
        <v>0</v>
      </c>
      <c r="BK2801">
        <v>0</v>
      </c>
      <c r="BL2801">
        <v>-0.6</v>
      </c>
      <c r="BM2801">
        <v>3.34</v>
      </c>
      <c r="BN2801">
        <v>-1.5</v>
      </c>
      <c r="BO2801">
        <v>-2.77</v>
      </c>
      <c r="BP2801">
        <v>4.09</v>
      </c>
      <c r="BQ2801">
        <v>-1.69</v>
      </c>
      <c r="BR2801">
        <v>-2.42</v>
      </c>
      <c r="BS2801">
        <v>-0.44</v>
      </c>
      <c r="BT2801">
        <v>2.31</v>
      </c>
      <c r="BU2801">
        <v>-3.17</v>
      </c>
      <c r="BV2801">
        <v>-3.56</v>
      </c>
      <c r="BW2801">
        <v>-2.69</v>
      </c>
      <c r="BX2801">
        <v>-2.44</v>
      </c>
      <c r="BY2801">
        <v>-1.85</v>
      </c>
      <c r="BZ2801">
        <v>1.17</v>
      </c>
      <c r="CA2801">
        <v>-2.2799999999999998</v>
      </c>
      <c r="CB2801">
        <v>-2.92</v>
      </c>
      <c r="CC2801">
        <v>-0.39</v>
      </c>
      <c r="CD2801">
        <v>3.66</v>
      </c>
      <c r="CE2801">
        <v>-2.65</v>
      </c>
      <c r="CF2801">
        <v>-0.82</v>
      </c>
      <c r="CG2801">
        <v>0</v>
      </c>
      <c r="CH2801">
        <v>-2.21</v>
      </c>
      <c r="CI2801">
        <v>0</v>
      </c>
      <c r="CJ2801">
        <v>14</v>
      </c>
      <c r="CK2801">
        <v>88</v>
      </c>
      <c r="CL2801">
        <v>0.21</v>
      </c>
      <c r="CM2801">
        <v>85</v>
      </c>
      <c r="CN2801">
        <v>-0.41</v>
      </c>
      <c r="CO2801">
        <v>83</v>
      </c>
      <c r="CP2801">
        <v>15.4</v>
      </c>
      <c r="CQ2801">
        <v>49</v>
      </c>
      <c r="CR2801">
        <v>0</v>
      </c>
      <c r="CS2801">
        <v>0</v>
      </c>
      <c r="CT2801">
        <v>24.2</v>
      </c>
      <c r="CU2801">
        <v>48</v>
      </c>
      <c r="CV2801">
        <v>0.12</v>
      </c>
      <c r="CW2801">
        <v>24</v>
      </c>
      <c r="CX2801" t="s">
        <v>7918</v>
      </c>
    </row>
    <row r="2802" spans="1:102" x14ac:dyDescent="0.3">
      <c r="A2802" t="str">
        <f>HYPERLINK("https://webapp.icbf.com/v2/app/bull-search/view/586045402","S1393")</f>
        <v>S1393</v>
      </c>
      <c r="B2802" t="s">
        <v>14176</v>
      </c>
      <c r="C2802" t="s">
        <v>14177</v>
      </c>
      <c r="D2802" s="1">
        <v>38593</v>
      </c>
      <c r="E2802" t="s">
        <v>92</v>
      </c>
      <c r="F2802">
        <v>100</v>
      </c>
      <c r="G2802" t="s">
        <v>93</v>
      </c>
      <c r="H2802">
        <v>12.95</v>
      </c>
      <c r="I2802">
        <v>87</v>
      </c>
      <c r="J2802">
        <v>27.02</v>
      </c>
      <c r="K2802">
        <v>97</v>
      </c>
      <c r="L2802">
        <v>-40.42</v>
      </c>
      <c r="M2802">
        <v>88</v>
      </c>
      <c r="N2802">
        <v>24.47</v>
      </c>
      <c r="O2802">
        <v>84</v>
      </c>
      <c r="P2802">
        <v>-9.4600000000000009</v>
      </c>
      <c r="Q2802">
        <v>89</v>
      </c>
      <c r="R2802">
        <v>2.91</v>
      </c>
      <c r="S2802">
        <v>74</v>
      </c>
      <c r="T2802">
        <v>0.65</v>
      </c>
      <c r="U2802">
        <v>73</v>
      </c>
      <c r="V2802">
        <v>7.78</v>
      </c>
      <c r="W2802">
        <v>48</v>
      </c>
      <c r="X2802" t="s">
        <v>276</v>
      </c>
      <c r="Y2802" t="s">
        <v>342</v>
      </c>
      <c r="Z2802" t="s">
        <v>96</v>
      </c>
      <c r="AA2802" t="s">
        <v>1752</v>
      </c>
      <c r="AB2802" t="s">
        <v>8254</v>
      </c>
      <c r="AC2802">
        <v>127</v>
      </c>
      <c r="AD2802">
        <v>78</v>
      </c>
      <c r="AE2802">
        <v>97</v>
      </c>
      <c r="AF2802">
        <v>237.45</v>
      </c>
      <c r="AG2802">
        <v>0.48</v>
      </c>
      <c r="AH2802">
        <v>8.06</v>
      </c>
      <c r="AI2802">
        <v>-0.14000000000000001</v>
      </c>
      <c r="AJ2802">
        <v>0</v>
      </c>
      <c r="AK2802">
        <v>88</v>
      </c>
      <c r="AL2802">
        <v>121</v>
      </c>
      <c r="AM2802">
        <v>79</v>
      </c>
      <c r="AN2802">
        <v>3.25</v>
      </c>
      <c r="AO2802">
        <v>0.04</v>
      </c>
      <c r="AP2802">
        <v>242</v>
      </c>
      <c r="AQ2802">
        <v>0</v>
      </c>
      <c r="AR2802">
        <v>5.7</v>
      </c>
      <c r="AS2802">
        <v>85</v>
      </c>
      <c r="AT2802">
        <v>2.35</v>
      </c>
      <c r="AU2802">
        <v>90</v>
      </c>
      <c r="AV2802">
        <v>-1.36</v>
      </c>
      <c r="AW2802">
        <v>93</v>
      </c>
      <c r="AX2802">
        <v>0.22</v>
      </c>
      <c r="AY2802">
        <v>83</v>
      </c>
      <c r="AZ2802">
        <v>5.23</v>
      </c>
      <c r="BA2802">
        <v>61</v>
      </c>
      <c r="BB2802">
        <v>4.6100000000000003</v>
      </c>
      <c r="BC2802">
        <v>54</v>
      </c>
      <c r="BD2802">
        <v>-0.03</v>
      </c>
      <c r="BE2802">
        <v>-0.03</v>
      </c>
      <c r="BF2802">
        <v>0.04</v>
      </c>
      <c r="BG2802">
        <v>93</v>
      </c>
      <c r="BH2802">
        <v>0.05</v>
      </c>
      <c r="BI2802">
        <v>-19.3</v>
      </c>
      <c r="BJ2802">
        <v>59</v>
      </c>
      <c r="BK2802">
        <v>42</v>
      </c>
      <c r="BL2802">
        <v>1.83</v>
      </c>
      <c r="BM2802">
        <v>-1.05</v>
      </c>
      <c r="BN2802">
        <v>0.47</v>
      </c>
      <c r="BO2802">
        <v>1.58</v>
      </c>
      <c r="BP2802">
        <v>1.43</v>
      </c>
      <c r="BQ2802">
        <v>2.99</v>
      </c>
      <c r="BR2802">
        <v>0.75</v>
      </c>
      <c r="BS2802">
        <v>1.48</v>
      </c>
      <c r="BT2802">
        <v>-0.12</v>
      </c>
      <c r="BU2802">
        <v>3.34</v>
      </c>
      <c r="BV2802">
        <v>2.54</v>
      </c>
      <c r="BW2802">
        <v>2.13</v>
      </c>
      <c r="BX2802">
        <v>3.5</v>
      </c>
      <c r="BY2802">
        <v>3</v>
      </c>
      <c r="BZ2802">
        <v>-2.75</v>
      </c>
      <c r="CA2802">
        <v>1.96</v>
      </c>
      <c r="CB2802">
        <v>2.33</v>
      </c>
      <c r="CC2802">
        <v>0.44</v>
      </c>
      <c r="CD2802">
        <v>-1.05</v>
      </c>
      <c r="CE2802">
        <v>1.48</v>
      </c>
      <c r="CF2802">
        <v>1.99</v>
      </c>
      <c r="CG2802">
        <v>0</v>
      </c>
      <c r="CH2802">
        <v>2.77</v>
      </c>
      <c r="CI2802">
        <v>0</v>
      </c>
      <c r="CJ2802">
        <v>-2.8</v>
      </c>
      <c r="CK2802">
        <v>91</v>
      </c>
      <c r="CL2802">
        <v>-1.3</v>
      </c>
      <c r="CM2802">
        <v>88</v>
      </c>
      <c r="CN2802">
        <v>-0.71</v>
      </c>
      <c r="CO2802">
        <v>87</v>
      </c>
      <c r="CP2802">
        <v>-3.3</v>
      </c>
      <c r="CQ2802">
        <v>79</v>
      </c>
      <c r="CR2802">
        <v>0</v>
      </c>
      <c r="CS2802">
        <v>0</v>
      </c>
      <c r="CT2802">
        <v>12.9</v>
      </c>
      <c r="CU2802">
        <v>73</v>
      </c>
      <c r="CV2802">
        <v>0.3</v>
      </c>
      <c r="CW2802">
        <v>26</v>
      </c>
      <c r="CX2802" t="s">
        <v>311</v>
      </c>
    </row>
    <row r="2803" spans="1:102" x14ac:dyDescent="0.3">
      <c r="A2803" t="str">
        <f>HYPERLINK("https://webapp.icbf.com/v2/app/bull-search/view/1292341245","FR2208")</f>
        <v>FR2208</v>
      </c>
      <c r="B2803" t="s">
        <v>2214</v>
      </c>
      <c r="C2803" t="s">
        <v>2215</v>
      </c>
      <c r="D2803" s="1">
        <v>41722</v>
      </c>
      <c r="E2803" t="s">
        <v>92</v>
      </c>
      <c r="F2803">
        <v>100</v>
      </c>
      <c r="G2803" t="s">
        <v>109</v>
      </c>
      <c r="H2803">
        <v>12.94</v>
      </c>
      <c r="I2803">
        <v>81</v>
      </c>
      <c r="J2803">
        <v>61.35</v>
      </c>
      <c r="K2803">
        <v>94</v>
      </c>
      <c r="L2803">
        <v>-31.22</v>
      </c>
      <c r="M2803">
        <v>81</v>
      </c>
      <c r="N2803">
        <v>-15.27</v>
      </c>
      <c r="O2803">
        <v>85</v>
      </c>
      <c r="P2803">
        <v>-6.3</v>
      </c>
      <c r="Q2803">
        <v>71</v>
      </c>
      <c r="R2803">
        <v>12.79</v>
      </c>
      <c r="S2803">
        <v>74</v>
      </c>
      <c r="T2803">
        <v>-11.78</v>
      </c>
      <c r="U2803">
        <v>48</v>
      </c>
      <c r="V2803">
        <v>3.37</v>
      </c>
      <c r="W2803">
        <v>55</v>
      </c>
      <c r="X2803" t="s">
        <v>428</v>
      </c>
      <c r="Y2803" t="s">
        <v>405</v>
      </c>
      <c r="Z2803" t="s">
        <v>96</v>
      </c>
      <c r="AA2803" t="s">
        <v>2216</v>
      </c>
      <c r="AB2803" t="s">
        <v>2217</v>
      </c>
      <c r="AC2803">
        <v>53</v>
      </c>
      <c r="AD2803">
        <v>30</v>
      </c>
      <c r="AE2803">
        <v>94</v>
      </c>
      <c r="AF2803">
        <v>302.16000000000003</v>
      </c>
      <c r="AG2803">
        <v>7.6</v>
      </c>
      <c r="AH2803">
        <v>12.37</v>
      </c>
      <c r="AI2803">
        <v>-7.0000000000000007E-2</v>
      </c>
      <c r="AJ2803">
        <v>0.04</v>
      </c>
      <c r="AK2803">
        <v>81</v>
      </c>
      <c r="AL2803">
        <v>0</v>
      </c>
      <c r="AM2803">
        <v>0</v>
      </c>
      <c r="AN2803">
        <v>4.0199999999999996</v>
      </c>
      <c r="AO2803">
        <v>1.56</v>
      </c>
      <c r="AP2803">
        <v>374</v>
      </c>
      <c r="AQ2803">
        <v>1</v>
      </c>
      <c r="AR2803">
        <v>10.86</v>
      </c>
      <c r="AS2803">
        <v>89</v>
      </c>
      <c r="AT2803">
        <v>4.29</v>
      </c>
      <c r="AU2803">
        <v>92</v>
      </c>
      <c r="AV2803">
        <v>-1.17</v>
      </c>
      <c r="AW2803">
        <v>97</v>
      </c>
      <c r="AX2803">
        <v>1.26</v>
      </c>
      <c r="AY2803">
        <v>86</v>
      </c>
      <c r="AZ2803">
        <v>5.51</v>
      </c>
      <c r="BA2803">
        <v>60</v>
      </c>
      <c r="BB2803">
        <v>5.19</v>
      </c>
      <c r="BC2803">
        <v>39</v>
      </c>
      <c r="BD2803">
        <v>-0.06</v>
      </c>
      <c r="BE2803">
        <v>-0.06</v>
      </c>
      <c r="BF2803">
        <v>-0.08</v>
      </c>
      <c r="BG2803">
        <v>90</v>
      </c>
      <c r="BH2803">
        <v>0.11</v>
      </c>
      <c r="BI2803">
        <v>1.85</v>
      </c>
      <c r="BJ2803">
        <v>4</v>
      </c>
      <c r="BK2803">
        <v>4</v>
      </c>
      <c r="BL2803">
        <v>2.33</v>
      </c>
      <c r="BM2803">
        <v>-0.38</v>
      </c>
      <c r="BN2803">
        <v>2.2200000000000002</v>
      </c>
      <c r="BO2803">
        <v>2.19</v>
      </c>
      <c r="BP2803">
        <v>-0.05</v>
      </c>
      <c r="BQ2803">
        <v>3.69</v>
      </c>
      <c r="BR2803">
        <v>-0.05</v>
      </c>
      <c r="BS2803">
        <v>3.71</v>
      </c>
      <c r="BT2803">
        <v>2.04</v>
      </c>
      <c r="BU2803">
        <v>4.18</v>
      </c>
      <c r="BV2803">
        <v>4.18</v>
      </c>
      <c r="BW2803">
        <v>2.64</v>
      </c>
      <c r="BX2803">
        <v>2.2599999999999998</v>
      </c>
      <c r="BY2803">
        <v>2.81</v>
      </c>
      <c r="BZ2803">
        <v>-0.54</v>
      </c>
      <c r="CA2803">
        <v>3.46</v>
      </c>
      <c r="CB2803">
        <v>3.18</v>
      </c>
      <c r="CC2803">
        <v>2.86</v>
      </c>
      <c r="CD2803">
        <v>-0.84</v>
      </c>
      <c r="CE2803">
        <v>1.24</v>
      </c>
      <c r="CF2803">
        <v>2.27</v>
      </c>
      <c r="CG2803">
        <v>0</v>
      </c>
      <c r="CH2803">
        <v>3.13</v>
      </c>
      <c r="CI2803">
        <v>0</v>
      </c>
      <c r="CJ2803">
        <v>0.6</v>
      </c>
      <c r="CK2803">
        <v>76</v>
      </c>
      <c r="CL2803">
        <v>-1.6</v>
      </c>
      <c r="CM2803">
        <v>69</v>
      </c>
      <c r="CN2803">
        <v>-0.7</v>
      </c>
      <c r="CO2803">
        <v>68</v>
      </c>
      <c r="CP2803">
        <v>7.9</v>
      </c>
      <c r="CQ2803">
        <v>52</v>
      </c>
      <c r="CR2803">
        <v>0</v>
      </c>
      <c r="CS2803">
        <v>0</v>
      </c>
      <c r="CT2803">
        <v>29.7</v>
      </c>
      <c r="CU2803">
        <v>48</v>
      </c>
      <c r="CV2803">
        <v>0.28000000000000003</v>
      </c>
      <c r="CW2803">
        <v>41</v>
      </c>
      <c r="CX2803" t="s">
        <v>1752</v>
      </c>
    </row>
    <row r="2804" spans="1:102" x14ac:dyDescent="0.3">
      <c r="A2804" t="str">
        <f>HYPERLINK("https://webapp.icbf.com/v2/app/bull-search/view/77852773","ZRR")</f>
        <v>ZRR</v>
      </c>
      <c r="B2804" t="s">
        <v>10969</v>
      </c>
      <c r="C2804" t="s">
        <v>1104</v>
      </c>
      <c r="D2804" s="1">
        <v>33434</v>
      </c>
      <c r="E2804" t="s">
        <v>92</v>
      </c>
      <c r="F2804">
        <v>100</v>
      </c>
      <c r="G2804" t="s">
        <v>93</v>
      </c>
      <c r="H2804">
        <v>12.78</v>
      </c>
      <c r="I2804">
        <v>96</v>
      </c>
      <c r="J2804">
        <v>63.58</v>
      </c>
      <c r="K2804">
        <v>99</v>
      </c>
      <c r="L2804">
        <v>-95.22</v>
      </c>
      <c r="M2804">
        <v>94</v>
      </c>
      <c r="N2804">
        <v>32.64</v>
      </c>
      <c r="O2804">
        <v>96</v>
      </c>
      <c r="P2804">
        <v>-1.2</v>
      </c>
      <c r="Q2804">
        <v>98</v>
      </c>
      <c r="R2804">
        <v>3.42</v>
      </c>
      <c r="S2804">
        <v>93</v>
      </c>
      <c r="T2804">
        <v>4.8</v>
      </c>
      <c r="U2804">
        <v>97</v>
      </c>
      <c r="V2804">
        <v>4.76</v>
      </c>
      <c r="W2804">
        <v>91</v>
      </c>
      <c r="X2804" t="s">
        <v>94</v>
      </c>
      <c r="Y2804" t="s">
        <v>95</v>
      </c>
      <c r="Z2804" t="s">
        <v>96</v>
      </c>
      <c r="AA2804" t="s">
        <v>193</v>
      </c>
      <c r="AB2804" t="s">
        <v>10970</v>
      </c>
      <c r="AC2804">
        <v>866</v>
      </c>
      <c r="AD2804">
        <v>368</v>
      </c>
      <c r="AE2804">
        <v>99</v>
      </c>
      <c r="AF2804">
        <v>105.41</v>
      </c>
      <c r="AG2804">
        <v>15.37</v>
      </c>
      <c r="AH2804">
        <v>6.99</v>
      </c>
      <c r="AI2804">
        <v>0.19</v>
      </c>
      <c r="AJ2804">
        <v>0.06</v>
      </c>
      <c r="AK2804">
        <v>94</v>
      </c>
      <c r="AL2804">
        <v>901</v>
      </c>
      <c r="AM2804">
        <v>377</v>
      </c>
      <c r="AN2804">
        <v>6.28</v>
      </c>
      <c r="AO2804">
        <v>-1.3</v>
      </c>
      <c r="AP2804">
        <v>148</v>
      </c>
      <c r="AQ2804">
        <v>0</v>
      </c>
      <c r="AR2804">
        <v>4.8099999999999996</v>
      </c>
      <c r="AS2804">
        <v>92</v>
      </c>
      <c r="AT2804">
        <v>1.75</v>
      </c>
      <c r="AU2804">
        <v>98</v>
      </c>
      <c r="AV2804">
        <v>-2.31</v>
      </c>
      <c r="AW2804">
        <v>97</v>
      </c>
      <c r="AX2804">
        <v>-0.28999999999999998</v>
      </c>
      <c r="AY2804">
        <v>97</v>
      </c>
      <c r="AZ2804">
        <v>6.09</v>
      </c>
      <c r="BA2804">
        <v>89</v>
      </c>
      <c r="BB2804">
        <v>5.63</v>
      </c>
      <c r="BC2804">
        <v>94</v>
      </c>
      <c r="BD2804">
        <v>-0.04</v>
      </c>
      <c r="BE2804">
        <v>0.02</v>
      </c>
      <c r="BF2804">
        <v>-0.05</v>
      </c>
      <c r="BG2804">
        <v>98</v>
      </c>
      <c r="BH2804">
        <v>0.05</v>
      </c>
      <c r="BI2804">
        <v>-9.56</v>
      </c>
      <c r="BJ2804">
        <v>46</v>
      </c>
      <c r="BK2804">
        <v>25</v>
      </c>
      <c r="BL2804">
        <v>0.13</v>
      </c>
      <c r="BM2804">
        <v>-0.41</v>
      </c>
      <c r="BN2804">
        <v>-0.67</v>
      </c>
      <c r="BO2804">
        <v>0.1</v>
      </c>
      <c r="BP2804">
        <v>0.48</v>
      </c>
      <c r="BQ2804">
        <v>0.04</v>
      </c>
      <c r="BR2804">
        <v>-0.31</v>
      </c>
      <c r="BS2804">
        <v>-2.25</v>
      </c>
      <c r="BT2804">
        <v>-0.87</v>
      </c>
      <c r="BU2804">
        <v>0.44</v>
      </c>
      <c r="BV2804">
        <v>-0.93</v>
      </c>
      <c r="BW2804">
        <v>-0.22</v>
      </c>
      <c r="BX2804">
        <v>0.93</v>
      </c>
      <c r="BY2804">
        <v>-1.17</v>
      </c>
      <c r="BZ2804">
        <v>0.36</v>
      </c>
      <c r="CA2804">
        <v>-0.56999999999999995</v>
      </c>
      <c r="CB2804">
        <v>-0.36</v>
      </c>
      <c r="CC2804">
        <v>-1.0900000000000001</v>
      </c>
      <c r="CD2804">
        <v>-0.33</v>
      </c>
      <c r="CE2804">
        <v>0.56999999999999995</v>
      </c>
      <c r="CF2804">
        <v>0.33</v>
      </c>
      <c r="CG2804">
        <v>0</v>
      </c>
      <c r="CH2804">
        <v>-1.1299999999999999</v>
      </c>
      <c r="CI2804">
        <v>0</v>
      </c>
      <c r="CJ2804">
        <v>1.1000000000000001</v>
      </c>
      <c r="CK2804">
        <v>98</v>
      </c>
      <c r="CL2804">
        <v>-0.62</v>
      </c>
      <c r="CM2804">
        <v>98</v>
      </c>
      <c r="CN2804">
        <v>-0.3</v>
      </c>
      <c r="CO2804">
        <v>98</v>
      </c>
      <c r="CP2804">
        <v>1.1000000000000001</v>
      </c>
      <c r="CQ2804">
        <v>99</v>
      </c>
      <c r="CR2804">
        <v>0</v>
      </c>
      <c r="CS2804">
        <v>0</v>
      </c>
      <c r="CT2804">
        <v>7.3</v>
      </c>
      <c r="CU2804">
        <v>97</v>
      </c>
      <c r="CV2804">
        <v>0.3</v>
      </c>
      <c r="CW2804">
        <v>49</v>
      </c>
      <c r="CX2804" t="s">
        <v>825</v>
      </c>
    </row>
    <row r="2805" spans="1:102" x14ac:dyDescent="0.3">
      <c r="A2805" t="str">
        <f>HYPERLINK("https://webapp.icbf.com/v2/app/bull-search/view/77856451","KEW")</f>
        <v>KEW</v>
      </c>
      <c r="B2805" t="s">
        <v>8240</v>
      </c>
      <c r="C2805" t="s">
        <v>8241</v>
      </c>
      <c r="D2805" s="1">
        <v>31502</v>
      </c>
      <c r="E2805" t="s">
        <v>92</v>
      </c>
      <c r="F2805">
        <v>50</v>
      </c>
      <c r="G2805" t="s">
        <v>116</v>
      </c>
      <c r="H2805">
        <v>12.74</v>
      </c>
      <c r="I2805">
        <v>55</v>
      </c>
      <c r="J2805">
        <v>4.7699999999999996</v>
      </c>
      <c r="K2805">
        <v>67</v>
      </c>
      <c r="L2805">
        <v>4.4400000000000004</v>
      </c>
      <c r="M2805">
        <v>47</v>
      </c>
      <c r="N2805">
        <v>13.04</v>
      </c>
      <c r="O2805">
        <v>42</v>
      </c>
      <c r="P2805">
        <v>-2.0299999999999998</v>
      </c>
      <c r="Q2805">
        <v>64</v>
      </c>
      <c r="R2805">
        <v>-11.87</v>
      </c>
      <c r="S2805">
        <v>45</v>
      </c>
      <c r="T2805">
        <v>10.79</v>
      </c>
      <c r="U2805">
        <v>68</v>
      </c>
      <c r="V2805">
        <v>-6.4</v>
      </c>
      <c r="W2805">
        <v>17</v>
      </c>
      <c r="X2805" t="s">
        <v>94</v>
      </c>
      <c r="Y2805" t="s">
        <v>95</v>
      </c>
      <c r="Z2805" t="s">
        <v>96</v>
      </c>
      <c r="AA2805" t="s">
        <v>8242</v>
      </c>
      <c r="AB2805" t="s">
        <v>8243</v>
      </c>
      <c r="AC2805">
        <v>8</v>
      </c>
      <c r="AD2805">
        <v>7</v>
      </c>
      <c r="AE2805">
        <v>67</v>
      </c>
      <c r="AF2805">
        <v>106.56</v>
      </c>
      <c r="AG2805">
        <v>0.94</v>
      </c>
      <c r="AH2805">
        <v>2.11</v>
      </c>
      <c r="AI2805">
        <v>-0.05</v>
      </c>
      <c r="AJ2805">
        <v>-0.03</v>
      </c>
      <c r="AK2805">
        <v>47</v>
      </c>
      <c r="AL2805">
        <v>32</v>
      </c>
      <c r="AM2805">
        <v>29</v>
      </c>
      <c r="AN2805">
        <v>0.24</v>
      </c>
      <c r="AO2805">
        <v>0.6</v>
      </c>
      <c r="AP2805">
        <v>13</v>
      </c>
      <c r="AQ2805">
        <v>1</v>
      </c>
      <c r="AR2805">
        <v>6.93</v>
      </c>
      <c r="AS2805">
        <v>21</v>
      </c>
      <c r="AT2805">
        <v>3.03</v>
      </c>
      <c r="AU2805">
        <v>32</v>
      </c>
      <c r="AV2805">
        <v>-0.91</v>
      </c>
      <c r="AW2805">
        <v>60</v>
      </c>
      <c r="AX2805">
        <v>0.27</v>
      </c>
      <c r="AY2805">
        <v>53</v>
      </c>
      <c r="AZ2805">
        <v>5.53</v>
      </c>
      <c r="BA2805">
        <v>13</v>
      </c>
      <c r="BB2805">
        <v>4.43</v>
      </c>
      <c r="BC2805">
        <v>20</v>
      </c>
      <c r="BD2805">
        <v>0.03</v>
      </c>
      <c r="BE2805">
        <v>7.0000000000000007E-2</v>
      </c>
      <c r="BF2805">
        <v>0.09</v>
      </c>
      <c r="BG2805">
        <v>61</v>
      </c>
      <c r="BH2805">
        <v>-0.23</v>
      </c>
      <c r="BI2805">
        <v>-5.96</v>
      </c>
      <c r="BJ2805">
        <v>0</v>
      </c>
      <c r="BK2805">
        <v>0</v>
      </c>
      <c r="BL2805">
        <v>-1.59</v>
      </c>
      <c r="BM2805">
        <v>1.33</v>
      </c>
      <c r="BN2805">
        <v>-1.25</v>
      </c>
      <c r="BO2805">
        <v>-1.87</v>
      </c>
      <c r="BP2805">
        <v>0.44</v>
      </c>
      <c r="BQ2805">
        <v>0.8</v>
      </c>
      <c r="BR2805">
        <v>-7.0000000000000007E-2</v>
      </c>
      <c r="BS2805">
        <v>-0.47</v>
      </c>
      <c r="BT2805">
        <v>-0.17</v>
      </c>
      <c r="BU2805">
        <v>-0.64</v>
      </c>
      <c r="BV2805">
        <v>-1.28</v>
      </c>
      <c r="BW2805">
        <v>-1.25</v>
      </c>
      <c r="BX2805">
        <v>-0.2</v>
      </c>
      <c r="BY2805">
        <v>-1.43</v>
      </c>
      <c r="BZ2805">
        <v>0.85</v>
      </c>
      <c r="CA2805">
        <v>-2.1</v>
      </c>
      <c r="CB2805">
        <v>-1.55</v>
      </c>
      <c r="CC2805">
        <v>-2.33</v>
      </c>
      <c r="CD2805">
        <v>1.75</v>
      </c>
      <c r="CE2805">
        <v>-2.27</v>
      </c>
      <c r="CF2805">
        <v>-1.79</v>
      </c>
      <c r="CG2805">
        <v>0</v>
      </c>
      <c r="CH2805">
        <v>-1.05</v>
      </c>
      <c r="CI2805">
        <v>0</v>
      </c>
      <c r="CJ2805">
        <v>1.6</v>
      </c>
      <c r="CK2805">
        <v>67</v>
      </c>
      <c r="CL2805">
        <v>-0.46</v>
      </c>
      <c r="CM2805">
        <v>61</v>
      </c>
      <c r="CN2805">
        <v>-0.04</v>
      </c>
      <c r="CO2805">
        <v>57</v>
      </c>
      <c r="CP2805">
        <v>0.3</v>
      </c>
      <c r="CQ2805">
        <v>63</v>
      </c>
      <c r="CR2805">
        <v>0</v>
      </c>
      <c r="CS2805">
        <v>0</v>
      </c>
      <c r="CT2805">
        <v>-0.8</v>
      </c>
      <c r="CU2805">
        <v>68</v>
      </c>
      <c r="CV2805">
        <v>0.14000000000000001</v>
      </c>
      <c r="CW2805">
        <v>17</v>
      </c>
      <c r="CX2805" t="s">
        <v>8244</v>
      </c>
    </row>
    <row r="2806" spans="1:102" x14ac:dyDescent="0.3">
      <c r="A2806" t="str">
        <f>HYPERLINK("https://webapp.icbf.com/v2/app/bull-search/view/77857705","ESN")</f>
        <v>ESN</v>
      </c>
      <c r="B2806" t="s">
        <v>14604</v>
      </c>
      <c r="C2806" t="s">
        <v>731</v>
      </c>
      <c r="D2806" s="1">
        <v>32863</v>
      </c>
      <c r="E2806" t="s">
        <v>92</v>
      </c>
      <c r="F2806">
        <v>100</v>
      </c>
      <c r="G2806" t="s">
        <v>109</v>
      </c>
      <c r="H2806">
        <v>12.71</v>
      </c>
      <c r="I2806">
        <v>78</v>
      </c>
      <c r="J2806">
        <v>31.34</v>
      </c>
      <c r="K2806">
        <v>86</v>
      </c>
      <c r="L2806">
        <v>-47.97</v>
      </c>
      <c r="M2806">
        <v>80</v>
      </c>
      <c r="N2806">
        <v>19.170000000000002</v>
      </c>
      <c r="O2806">
        <v>71</v>
      </c>
      <c r="P2806">
        <v>-7.64</v>
      </c>
      <c r="Q2806">
        <v>69</v>
      </c>
      <c r="R2806">
        <v>-3.26</v>
      </c>
      <c r="S2806">
        <v>71</v>
      </c>
      <c r="T2806">
        <v>19.38</v>
      </c>
      <c r="U2806">
        <v>67</v>
      </c>
      <c r="V2806">
        <v>1.69</v>
      </c>
      <c r="W2806">
        <v>52</v>
      </c>
      <c r="X2806" t="s">
        <v>94</v>
      </c>
      <c r="Y2806" t="s">
        <v>95</v>
      </c>
      <c r="Z2806" t="s">
        <v>96</v>
      </c>
      <c r="AA2806" t="s">
        <v>4960</v>
      </c>
      <c r="AB2806" t="s">
        <v>11228</v>
      </c>
      <c r="AC2806">
        <v>0</v>
      </c>
      <c r="AD2806">
        <v>0</v>
      </c>
      <c r="AE2806">
        <v>86</v>
      </c>
      <c r="AF2806">
        <v>223.6</v>
      </c>
      <c r="AG2806">
        <v>10.75</v>
      </c>
      <c r="AH2806">
        <v>4.95</v>
      </c>
      <c r="AI2806">
        <v>0.03</v>
      </c>
      <c r="AJ2806">
        <v>-0.04</v>
      </c>
      <c r="AK2806">
        <v>80</v>
      </c>
      <c r="AL2806">
        <v>0</v>
      </c>
      <c r="AM2806">
        <v>0</v>
      </c>
      <c r="AN2806">
        <v>3.03</v>
      </c>
      <c r="AO2806">
        <v>-0.79</v>
      </c>
      <c r="AP2806">
        <v>1</v>
      </c>
      <c r="AQ2806">
        <v>1</v>
      </c>
      <c r="AR2806">
        <v>7.85</v>
      </c>
      <c r="AS2806">
        <v>49</v>
      </c>
      <c r="AT2806">
        <v>3.12</v>
      </c>
      <c r="AU2806">
        <v>95</v>
      </c>
      <c r="AV2806">
        <v>-3.13</v>
      </c>
      <c r="AW2806">
        <v>68</v>
      </c>
      <c r="AX2806">
        <v>0.08</v>
      </c>
      <c r="AY2806">
        <v>65</v>
      </c>
      <c r="AZ2806">
        <v>6.76</v>
      </c>
      <c r="BA2806">
        <v>48</v>
      </c>
      <c r="BB2806">
        <v>5.83</v>
      </c>
      <c r="BC2806">
        <v>57</v>
      </c>
      <c r="BD2806">
        <v>0.03</v>
      </c>
      <c r="BE2806">
        <v>0.05</v>
      </c>
      <c r="BF2806">
        <v>-7.0000000000000007E-2</v>
      </c>
      <c r="BG2806">
        <v>88</v>
      </c>
      <c r="BH2806">
        <v>0.09</v>
      </c>
      <c r="BI2806">
        <v>4.96</v>
      </c>
      <c r="BJ2806">
        <v>0</v>
      </c>
      <c r="BK2806">
        <v>0</v>
      </c>
      <c r="BL2806">
        <v>0.92</v>
      </c>
      <c r="BM2806">
        <v>-0.87</v>
      </c>
      <c r="BN2806">
        <v>0.69</v>
      </c>
      <c r="BO2806">
        <v>1.02</v>
      </c>
      <c r="BP2806">
        <v>3.71</v>
      </c>
      <c r="BQ2806">
        <v>-1.5</v>
      </c>
      <c r="BR2806">
        <v>0.97</v>
      </c>
      <c r="BS2806">
        <v>-1.89</v>
      </c>
      <c r="BT2806">
        <v>-1.23</v>
      </c>
      <c r="BU2806">
        <v>-1.42</v>
      </c>
      <c r="BV2806">
        <v>-1.1399999999999999</v>
      </c>
      <c r="BW2806">
        <v>-1.08</v>
      </c>
      <c r="BX2806">
        <v>-1.02</v>
      </c>
      <c r="BY2806">
        <v>-1.28</v>
      </c>
      <c r="BZ2806">
        <v>0.97</v>
      </c>
      <c r="CA2806">
        <v>-1.36</v>
      </c>
      <c r="CB2806">
        <v>-0.88</v>
      </c>
      <c r="CC2806">
        <v>-1.58</v>
      </c>
      <c r="CD2806">
        <v>-1.18</v>
      </c>
      <c r="CE2806">
        <v>1.1200000000000001</v>
      </c>
      <c r="CF2806">
        <v>0.14000000000000001</v>
      </c>
      <c r="CG2806">
        <v>0</v>
      </c>
      <c r="CH2806">
        <v>-1.58</v>
      </c>
      <c r="CI2806">
        <v>0</v>
      </c>
      <c r="CJ2806">
        <v>0</v>
      </c>
      <c r="CK2806">
        <v>70</v>
      </c>
      <c r="CL2806">
        <v>-0.54</v>
      </c>
      <c r="CM2806">
        <v>68</v>
      </c>
      <c r="CN2806">
        <v>7.0000000000000007E-2</v>
      </c>
      <c r="CO2806">
        <v>66</v>
      </c>
      <c r="CP2806">
        <v>-8.3000000000000007</v>
      </c>
      <c r="CQ2806">
        <v>70</v>
      </c>
      <c r="CR2806">
        <v>0</v>
      </c>
      <c r="CS2806">
        <v>0</v>
      </c>
      <c r="CT2806">
        <v>-12.4</v>
      </c>
      <c r="CU2806">
        <v>67</v>
      </c>
      <c r="CV2806">
        <v>0.14000000000000001</v>
      </c>
      <c r="CW2806">
        <v>20</v>
      </c>
      <c r="CX2806" t="s">
        <v>663</v>
      </c>
    </row>
    <row r="2807" spans="1:102" x14ac:dyDescent="0.3">
      <c r="A2807" t="str">
        <f>HYPERLINK("https://webapp.icbf.com/v2/app/bull-search/view/77856841","HEX")</f>
        <v>HEX</v>
      </c>
      <c r="B2807" t="s">
        <v>10680</v>
      </c>
      <c r="C2807" t="s">
        <v>10681</v>
      </c>
      <c r="D2807" s="1">
        <v>34234</v>
      </c>
      <c r="E2807" t="s">
        <v>92</v>
      </c>
      <c r="F2807">
        <v>100</v>
      </c>
      <c r="G2807" t="s">
        <v>109</v>
      </c>
      <c r="H2807">
        <v>12.54</v>
      </c>
      <c r="I2807">
        <v>89</v>
      </c>
      <c r="J2807">
        <v>60.76</v>
      </c>
      <c r="K2807">
        <v>95</v>
      </c>
      <c r="L2807">
        <v>-48.22</v>
      </c>
      <c r="M2807">
        <v>88</v>
      </c>
      <c r="N2807">
        <v>-3.58</v>
      </c>
      <c r="O2807">
        <v>82</v>
      </c>
      <c r="P2807">
        <v>-5.35</v>
      </c>
      <c r="Q2807">
        <v>96</v>
      </c>
      <c r="R2807">
        <v>-2.23</v>
      </c>
      <c r="S2807">
        <v>78</v>
      </c>
      <c r="T2807">
        <v>16.27</v>
      </c>
      <c r="U2807">
        <v>92</v>
      </c>
      <c r="V2807">
        <v>-5.1100000000000003</v>
      </c>
      <c r="W2807">
        <v>63</v>
      </c>
      <c r="X2807" t="s">
        <v>94</v>
      </c>
      <c r="Y2807" t="s">
        <v>95</v>
      </c>
      <c r="Z2807" t="s">
        <v>96</v>
      </c>
      <c r="AA2807" t="s">
        <v>3177</v>
      </c>
      <c r="AB2807" t="s">
        <v>3208</v>
      </c>
      <c r="AC2807">
        <v>38</v>
      </c>
      <c r="AD2807">
        <v>21</v>
      </c>
      <c r="AE2807">
        <v>95</v>
      </c>
      <c r="AF2807">
        <v>-16.18</v>
      </c>
      <c r="AG2807">
        <v>13.98</v>
      </c>
      <c r="AH2807">
        <v>5.14</v>
      </c>
      <c r="AI2807">
        <v>0.26</v>
      </c>
      <c r="AJ2807">
        <v>0.1</v>
      </c>
      <c r="AK2807">
        <v>88</v>
      </c>
      <c r="AL2807">
        <v>82</v>
      </c>
      <c r="AM2807">
        <v>32</v>
      </c>
      <c r="AN2807">
        <v>2.2599999999999998</v>
      </c>
      <c r="AO2807">
        <v>-1.59</v>
      </c>
      <c r="AP2807">
        <v>120</v>
      </c>
      <c r="AQ2807">
        <v>84</v>
      </c>
      <c r="AR2807">
        <v>9.0399999999999991</v>
      </c>
      <c r="AS2807">
        <v>70</v>
      </c>
      <c r="AT2807">
        <v>3.51</v>
      </c>
      <c r="AU2807">
        <v>90</v>
      </c>
      <c r="AV2807">
        <v>-0.28000000000000003</v>
      </c>
      <c r="AW2807">
        <v>88</v>
      </c>
      <c r="AX2807">
        <v>-0.8</v>
      </c>
      <c r="AY2807">
        <v>92</v>
      </c>
      <c r="AZ2807">
        <v>6.5</v>
      </c>
      <c r="BA2807">
        <v>51</v>
      </c>
      <c r="BB2807">
        <v>5.05</v>
      </c>
      <c r="BC2807">
        <v>55</v>
      </c>
      <c r="BD2807">
        <v>0.05</v>
      </c>
      <c r="BE2807">
        <v>0.02</v>
      </c>
      <c r="BF2807">
        <v>-7.0000000000000007E-2</v>
      </c>
      <c r="BG2807">
        <v>93</v>
      </c>
      <c r="BH2807">
        <v>-0.13</v>
      </c>
      <c r="BI2807">
        <v>1.45</v>
      </c>
      <c r="BJ2807">
        <v>2</v>
      </c>
      <c r="BK2807">
        <v>1</v>
      </c>
      <c r="BL2807">
        <v>0.2</v>
      </c>
      <c r="BM2807">
        <v>-0.67</v>
      </c>
      <c r="BN2807">
        <v>-0.67</v>
      </c>
      <c r="BO2807">
        <v>-0.16</v>
      </c>
      <c r="BP2807">
        <v>2.95</v>
      </c>
      <c r="BQ2807">
        <v>-2.5</v>
      </c>
      <c r="BR2807">
        <v>-0.78</v>
      </c>
      <c r="BS2807">
        <v>1</v>
      </c>
      <c r="BT2807">
        <v>0.55000000000000004</v>
      </c>
      <c r="BU2807">
        <v>-1.49</v>
      </c>
      <c r="BV2807">
        <v>-0.9</v>
      </c>
      <c r="BW2807">
        <v>-0.39</v>
      </c>
      <c r="BX2807">
        <v>-0.37</v>
      </c>
      <c r="BY2807">
        <v>0.26</v>
      </c>
      <c r="BZ2807">
        <v>-0.32</v>
      </c>
      <c r="CA2807">
        <v>-1.06</v>
      </c>
      <c r="CB2807">
        <v>-1.26</v>
      </c>
      <c r="CC2807">
        <v>0.66</v>
      </c>
      <c r="CD2807">
        <v>-0.21</v>
      </c>
      <c r="CE2807">
        <v>0.06</v>
      </c>
      <c r="CF2807">
        <v>-0.49</v>
      </c>
      <c r="CG2807">
        <v>0</v>
      </c>
      <c r="CH2807">
        <v>0.28000000000000003</v>
      </c>
      <c r="CI2807">
        <v>0</v>
      </c>
      <c r="CJ2807">
        <v>-0.4</v>
      </c>
      <c r="CK2807">
        <v>97</v>
      </c>
      <c r="CL2807">
        <v>0.02</v>
      </c>
      <c r="CM2807">
        <v>96</v>
      </c>
      <c r="CN2807">
        <v>0.34</v>
      </c>
      <c r="CO2807">
        <v>96</v>
      </c>
      <c r="CP2807">
        <v>-6.8</v>
      </c>
      <c r="CQ2807">
        <v>91</v>
      </c>
      <c r="CR2807">
        <v>0</v>
      </c>
      <c r="CS2807">
        <v>0</v>
      </c>
      <c r="CT2807">
        <v>-8.1999999999999993</v>
      </c>
      <c r="CU2807">
        <v>92</v>
      </c>
      <c r="CV2807">
        <v>-0.08</v>
      </c>
      <c r="CW2807">
        <v>45</v>
      </c>
      <c r="CX2807" t="s">
        <v>3209</v>
      </c>
    </row>
    <row r="2808" spans="1:102" x14ac:dyDescent="0.3">
      <c r="A2808" t="str">
        <f>HYPERLINK("https://webapp.icbf.com/v2/app/bull-search/view/962519487","S1318")</f>
        <v>S1318</v>
      </c>
      <c r="B2808" t="s">
        <v>5568</v>
      </c>
      <c r="C2808" t="s">
        <v>5569</v>
      </c>
      <c r="D2808" s="1">
        <v>40105</v>
      </c>
      <c r="E2808" t="s">
        <v>1061</v>
      </c>
      <c r="F2808">
        <v>0</v>
      </c>
      <c r="G2808" t="s">
        <v>109</v>
      </c>
      <c r="H2808">
        <v>12.4</v>
      </c>
      <c r="I2808">
        <v>44</v>
      </c>
      <c r="J2808">
        <v>-57.22</v>
      </c>
      <c r="K2808">
        <v>66</v>
      </c>
      <c r="L2808">
        <v>61.63</v>
      </c>
      <c r="M2808">
        <v>52</v>
      </c>
      <c r="N2808">
        <v>-2.31</v>
      </c>
      <c r="O2808">
        <v>17</v>
      </c>
      <c r="P2808">
        <v>-17.940000000000001</v>
      </c>
      <c r="Q2808">
        <v>13</v>
      </c>
      <c r="R2808">
        <v>6.15</v>
      </c>
      <c r="S2808">
        <v>14</v>
      </c>
      <c r="T2808">
        <v>23.96</v>
      </c>
      <c r="U2808">
        <v>13</v>
      </c>
      <c r="V2808">
        <v>-1.87</v>
      </c>
      <c r="W2808">
        <v>9</v>
      </c>
      <c r="X2808" t="s">
        <v>1645</v>
      </c>
      <c r="Y2808" t="s">
        <v>342</v>
      </c>
      <c r="Z2808">
        <v>0</v>
      </c>
      <c r="AA2808" t="s">
        <v>5570</v>
      </c>
      <c r="AB2808" t="s">
        <v>5571</v>
      </c>
      <c r="AC2808">
        <v>0</v>
      </c>
      <c r="AD2808">
        <v>0</v>
      </c>
      <c r="AE2808">
        <v>66</v>
      </c>
      <c r="AF2808">
        <v>-187.92</v>
      </c>
      <c r="AG2808">
        <v>-11.64</v>
      </c>
      <c r="AH2808">
        <v>-8.49</v>
      </c>
      <c r="AI2808">
        <v>-7.0000000000000007E-2</v>
      </c>
      <c r="AJ2808">
        <v>-0.03</v>
      </c>
      <c r="AK2808">
        <v>52</v>
      </c>
      <c r="AL2808">
        <v>0</v>
      </c>
      <c r="AM2808">
        <v>0</v>
      </c>
      <c r="AN2808">
        <v>-2.96</v>
      </c>
      <c r="AO2808">
        <v>1.96</v>
      </c>
      <c r="AP2808">
        <v>2</v>
      </c>
      <c r="AQ2808">
        <v>0</v>
      </c>
      <c r="AR2808">
        <v>8.02</v>
      </c>
      <c r="AS2808">
        <v>10</v>
      </c>
      <c r="AT2808">
        <v>3.23</v>
      </c>
      <c r="AU2808">
        <v>26</v>
      </c>
      <c r="AV2808">
        <v>0.01</v>
      </c>
      <c r="AW2808">
        <v>16</v>
      </c>
      <c r="AX2808">
        <v>0.11</v>
      </c>
      <c r="AY2808">
        <v>14</v>
      </c>
      <c r="AZ2808">
        <v>6.02</v>
      </c>
      <c r="BA2808">
        <v>9</v>
      </c>
      <c r="BB2808">
        <v>5.1100000000000003</v>
      </c>
      <c r="BC2808">
        <v>10</v>
      </c>
      <c r="BD2808">
        <v>-0.02</v>
      </c>
      <c r="BE2808">
        <v>-0.02</v>
      </c>
      <c r="BF2808">
        <v>-7.0000000000000007E-2</v>
      </c>
      <c r="BG2808">
        <v>17</v>
      </c>
      <c r="BH2808">
        <v>-0.02</v>
      </c>
      <c r="BI2808">
        <v>3.72</v>
      </c>
      <c r="BJ2808">
        <v>0</v>
      </c>
      <c r="BK2808">
        <v>0</v>
      </c>
      <c r="BL2808">
        <v>-0.4</v>
      </c>
      <c r="BM2808">
        <v>0.28000000000000003</v>
      </c>
      <c r="BN2808">
        <v>-0.28999999999999998</v>
      </c>
      <c r="BO2808">
        <v>-0.44</v>
      </c>
      <c r="BP2808">
        <v>-0.24</v>
      </c>
      <c r="BQ2808">
        <v>-0.2</v>
      </c>
      <c r="BR2808">
        <v>0.3</v>
      </c>
      <c r="BS2808">
        <v>0.02</v>
      </c>
      <c r="BT2808">
        <v>-0.43</v>
      </c>
      <c r="BU2808">
        <v>-0.08</v>
      </c>
      <c r="BV2808">
        <v>-0.56000000000000005</v>
      </c>
      <c r="BW2808">
        <v>-0.52</v>
      </c>
      <c r="BX2808">
        <v>-0.24</v>
      </c>
      <c r="BY2808">
        <v>-0.18</v>
      </c>
      <c r="BZ2808">
        <v>-0.49</v>
      </c>
      <c r="CA2808">
        <v>-0.48</v>
      </c>
      <c r="CB2808">
        <v>-0.45</v>
      </c>
      <c r="CC2808">
        <v>-0.35</v>
      </c>
      <c r="CD2808">
        <v>0.27</v>
      </c>
      <c r="CE2808">
        <v>-0.38</v>
      </c>
      <c r="CF2808">
        <v>-0.31</v>
      </c>
      <c r="CG2808">
        <v>0</v>
      </c>
      <c r="CH2808">
        <v>-0.28999999999999998</v>
      </c>
      <c r="CI2808">
        <v>0</v>
      </c>
      <c r="CJ2808">
        <v>-9.3000000000000007</v>
      </c>
      <c r="CK2808">
        <v>13</v>
      </c>
      <c r="CL2808">
        <v>-0.38</v>
      </c>
      <c r="CM2808">
        <v>12</v>
      </c>
      <c r="CN2808">
        <v>-0.09</v>
      </c>
      <c r="CO2808">
        <v>10</v>
      </c>
      <c r="CP2808">
        <v>-14.9</v>
      </c>
      <c r="CQ2808">
        <v>17</v>
      </c>
      <c r="CR2808">
        <v>0</v>
      </c>
      <c r="CS2808">
        <v>0</v>
      </c>
      <c r="CT2808">
        <v>-18.600000000000001</v>
      </c>
      <c r="CU2808">
        <v>13</v>
      </c>
      <c r="CV2808">
        <v>-0.13</v>
      </c>
      <c r="CW2808">
        <v>3</v>
      </c>
      <c r="CX2808" t="s">
        <v>4507</v>
      </c>
    </row>
    <row r="2809" spans="1:102" x14ac:dyDescent="0.3">
      <c r="A2809" t="str">
        <f>HYPERLINK("https://webapp.icbf.com/v2/app/bull-search/view/659997513","S1353")</f>
        <v>S1353</v>
      </c>
      <c r="B2809" t="s">
        <v>13068</v>
      </c>
      <c r="C2809" t="s">
        <v>13069</v>
      </c>
      <c r="D2809" s="1">
        <v>39262</v>
      </c>
      <c r="E2809" t="s">
        <v>92</v>
      </c>
      <c r="F2809">
        <v>100</v>
      </c>
      <c r="G2809" t="s">
        <v>109</v>
      </c>
      <c r="H2809">
        <v>12.39</v>
      </c>
      <c r="I2809">
        <v>80</v>
      </c>
      <c r="J2809">
        <v>67.25</v>
      </c>
      <c r="K2809">
        <v>88</v>
      </c>
      <c r="L2809">
        <v>-75.709999999999994</v>
      </c>
      <c r="M2809">
        <v>86</v>
      </c>
      <c r="N2809">
        <v>5.8</v>
      </c>
      <c r="O2809">
        <v>76</v>
      </c>
      <c r="P2809">
        <v>3.71</v>
      </c>
      <c r="Q2809">
        <v>82</v>
      </c>
      <c r="R2809">
        <v>13.12</v>
      </c>
      <c r="S2809">
        <v>69</v>
      </c>
      <c r="T2809">
        <v>-6.15</v>
      </c>
      <c r="U2809">
        <v>48</v>
      </c>
      <c r="V2809">
        <v>4.37</v>
      </c>
      <c r="W2809">
        <v>33</v>
      </c>
      <c r="X2809" t="s">
        <v>251</v>
      </c>
      <c r="Y2809" t="s">
        <v>342</v>
      </c>
      <c r="Z2809" t="s">
        <v>96</v>
      </c>
      <c r="AA2809" t="s">
        <v>4548</v>
      </c>
      <c r="AB2809" t="s">
        <v>13070</v>
      </c>
      <c r="AC2809">
        <v>0</v>
      </c>
      <c r="AD2809">
        <v>0</v>
      </c>
      <c r="AE2809">
        <v>88</v>
      </c>
      <c r="AF2809">
        <v>792.11</v>
      </c>
      <c r="AG2809">
        <v>16.71</v>
      </c>
      <c r="AH2809">
        <v>17.649999999999999</v>
      </c>
      <c r="AI2809">
        <v>-0.21</v>
      </c>
      <c r="AJ2809">
        <v>-0.14000000000000001</v>
      </c>
      <c r="AK2809">
        <v>86</v>
      </c>
      <c r="AL2809">
        <v>41</v>
      </c>
      <c r="AM2809">
        <v>15</v>
      </c>
      <c r="AN2809">
        <v>6.26</v>
      </c>
      <c r="AO2809">
        <v>0.25</v>
      </c>
      <c r="AP2809">
        <v>85</v>
      </c>
      <c r="AQ2809">
        <v>0</v>
      </c>
      <c r="AR2809">
        <v>8.7899999999999991</v>
      </c>
      <c r="AS2809">
        <v>48</v>
      </c>
      <c r="AT2809">
        <v>4.6900000000000004</v>
      </c>
      <c r="AU2809">
        <v>91</v>
      </c>
      <c r="AV2809">
        <v>-2.5499999999999998</v>
      </c>
      <c r="AW2809">
        <v>89</v>
      </c>
      <c r="AX2809">
        <v>-0.52</v>
      </c>
      <c r="AY2809">
        <v>69</v>
      </c>
      <c r="AZ2809">
        <v>6.09</v>
      </c>
      <c r="BA2809">
        <v>43</v>
      </c>
      <c r="BB2809">
        <v>4.37</v>
      </c>
      <c r="BC2809">
        <v>35</v>
      </c>
      <c r="BD2809">
        <v>-0.04</v>
      </c>
      <c r="BE2809">
        <v>-0.05</v>
      </c>
      <c r="BF2809">
        <v>-0.14000000000000001</v>
      </c>
      <c r="BG2809">
        <v>91</v>
      </c>
      <c r="BH2809">
        <v>0.13</v>
      </c>
      <c r="BI2809">
        <v>0.94</v>
      </c>
      <c r="BJ2809">
        <v>27</v>
      </c>
      <c r="BK2809">
        <v>11</v>
      </c>
      <c r="BL2809">
        <v>1.68</v>
      </c>
      <c r="BM2809">
        <v>-1.73</v>
      </c>
      <c r="BN2809">
        <v>0.8</v>
      </c>
      <c r="BO2809">
        <v>1.75</v>
      </c>
      <c r="BP2809">
        <v>1.79</v>
      </c>
      <c r="BQ2809">
        <v>2.34</v>
      </c>
      <c r="BR2809">
        <v>-0.68</v>
      </c>
      <c r="BS2809">
        <v>1.87</v>
      </c>
      <c r="BT2809">
        <v>1.36</v>
      </c>
      <c r="BU2809">
        <v>2.88</v>
      </c>
      <c r="BV2809">
        <v>3.54</v>
      </c>
      <c r="BW2809">
        <v>2.5499999999999998</v>
      </c>
      <c r="BX2809">
        <v>2.2599999999999998</v>
      </c>
      <c r="BY2809">
        <v>3.2</v>
      </c>
      <c r="BZ2809">
        <v>-0.34</v>
      </c>
      <c r="CA2809">
        <v>2.94</v>
      </c>
      <c r="CB2809">
        <v>2.68</v>
      </c>
      <c r="CC2809">
        <v>2.31</v>
      </c>
      <c r="CD2809">
        <v>-1.6</v>
      </c>
      <c r="CE2809">
        <v>1.07</v>
      </c>
      <c r="CF2809">
        <v>1.34</v>
      </c>
      <c r="CG2809">
        <v>0</v>
      </c>
      <c r="CH2809">
        <v>2.5299999999999998</v>
      </c>
      <c r="CI2809">
        <v>0</v>
      </c>
      <c r="CJ2809">
        <v>6.4</v>
      </c>
      <c r="CK2809">
        <v>85</v>
      </c>
      <c r="CL2809">
        <v>-1.25</v>
      </c>
      <c r="CM2809">
        <v>82</v>
      </c>
      <c r="CN2809">
        <v>-0.59</v>
      </c>
      <c r="CO2809">
        <v>81</v>
      </c>
      <c r="CP2809">
        <v>5.8</v>
      </c>
      <c r="CQ2809">
        <v>63</v>
      </c>
      <c r="CR2809">
        <v>0</v>
      </c>
      <c r="CS2809">
        <v>0</v>
      </c>
      <c r="CT2809">
        <v>22.1</v>
      </c>
      <c r="CU2809">
        <v>48</v>
      </c>
      <c r="CV2809">
        <v>0.52</v>
      </c>
      <c r="CW2809">
        <v>24</v>
      </c>
      <c r="CX2809" t="s">
        <v>350</v>
      </c>
    </row>
    <row r="2810" spans="1:102" x14ac:dyDescent="0.3">
      <c r="A2810" t="str">
        <f>HYPERLINK("https://webapp.icbf.com/v2/app/bull-search/view/414138146","DZZ")</f>
        <v>DZZ</v>
      </c>
      <c r="B2810" t="s">
        <v>4564</v>
      </c>
      <c r="C2810" t="s">
        <v>4565</v>
      </c>
      <c r="D2810" s="1">
        <v>36264</v>
      </c>
      <c r="E2810" t="s">
        <v>146</v>
      </c>
      <c r="F2810">
        <v>0</v>
      </c>
      <c r="G2810" t="s">
        <v>109</v>
      </c>
      <c r="H2810">
        <v>12.37</v>
      </c>
      <c r="I2810">
        <v>66</v>
      </c>
      <c r="J2810">
        <v>-1.25</v>
      </c>
      <c r="K2810">
        <v>76</v>
      </c>
      <c r="L2810">
        <v>43.23</v>
      </c>
      <c r="M2810">
        <v>62</v>
      </c>
      <c r="N2810">
        <v>-48.7</v>
      </c>
      <c r="O2810">
        <v>61</v>
      </c>
      <c r="P2810">
        <v>30.75</v>
      </c>
      <c r="Q2810">
        <v>73</v>
      </c>
      <c r="R2810">
        <v>-8.08</v>
      </c>
      <c r="S2810">
        <v>61</v>
      </c>
      <c r="T2810">
        <v>6.57</v>
      </c>
      <c r="U2810">
        <v>64</v>
      </c>
      <c r="V2810">
        <v>-10.15</v>
      </c>
      <c r="W2810">
        <v>29</v>
      </c>
      <c r="X2810" t="s">
        <v>102</v>
      </c>
      <c r="Y2810" t="s">
        <v>95</v>
      </c>
      <c r="Z2810">
        <v>0</v>
      </c>
      <c r="AA2810" t="s">
        <v>236</v>
      </c>
      <c r="AB2810" t="s">
        <v>4436</v>
      </c>
      <c r="AC2810">
        <v>0</v>
      </c>
      <c r="AD2810">
        <v>0</v>
      </c>
      <c r="AE2810">
        <v>76</v>
      </c>
      <c r="AF2810">
        <v>-146.41</v>
      </c>
      <c r="AG2810">
        <v>-10.16</v>
      </c>
      <c r="AH2810">
        <v>1.1399999999999999</v>
      </c>
      <c r="AI2810">
        <v>-0.08</v>
      </c>
      <c r="AJ2810">
        <v>0.1</v>
      </c>
      <c r="AK2810">
        <v>62</v>
      </c>
      <c r="AL2810">
        <v>0</v>
      </c>
      <c r="AM2810">
        <v>0</v>
      </c>
      <c r="AN2810">
        <v>-3.74</v>
      </c>
      <c r="AO2810">
        <v>-0.31</v>
      </c>
      <c r="AP2810">
        <v>13</v>
      </c>
      <c r="AQ2810">
        <v>1</v>
      </c>
      <c r="AR2810">
        <v>15.59</v>
      </c>
      <c r="AS2810">
        <v>34</v>
      </c>
      <c r="AT2810">
        <v>6.07</v>
      </c>
      <c r="AU2810">
        <v>80</v>
      </c>
      <c r="AV2810">
        <v>-1.56</v>
      </c>
      <c r="AW2810">
        <v>70</v>
      </c>
      <c r="AX2810">
        <v>0.11</v>
      </c>
      <c r="AY2810">
        <v>52</v>
      </c>
      <c r="AZ2810">
        <v>5.17</v>
      </c>
      <c r="BA2810">
        <v>31</v>
      </c>
      <c r="BB2810">
        <v>4.3899999999999997</v>
      </c>
      <c r="BC2810">
        <v>31</v>
      </c>
      <c r="BD2810">
        <v>-0.02</v>
      </c>
      <c r="BE2810">
        <v>0.01</v>
      </c>
      <c r="BF2810">
        <v>0.2</v>
      </c>
      <c r="BG2810">
        <v>81</v>
      </c>
      <c r="BH2810">
        <v>-0.31</v>
      </c>
      <c r="BI2810">
        <v>-3.13</v>
      </c>
      <c r="BJ2810">
        <v>0</v>
      </c>
      <c r="BK2810">
        <v>0</v>
      </c>
      <c r="BL2810">
        <v>-0.63</v>
      </c>
      <c r="BM2810">
        <v>5.64</v>
      </c>
      <c r="BN2810">
        <v>0.96</v>
      </c>
      <c r="BO2810">
        <v>-1.03</v>
      </c>
      <c r="BP2810">
        <v>6</v>
      </c>
      <c r="BQ2810">
        <v>1.88</v>
      </c>
      <c r="BR2810">
        <v>0.24</v>
      </c>
      <c r="BS2810">
        <v>-1.1100000000000001</v>
      </c>
      <c r="BT2810">
        <v>-0.6</v>
      </c>
      <c r="BU2810">
        <v>-2.37</v>
      </c>
      <c r="BV2810">
        <v>-4.1900000000000004</v>
      </c>
      <c r="BW2810">
        <v>-3.03</v>
      </c>
      <c r="BX2810">
        <v>-2.34</v>
      </c>
      <c r="BY2810">
        <v>-2.93</v>
      </c>
      <c r="BZ2810">
        <v>1.63</v>
      </c>
      <c r="CA2810">
        <v>-3.01</v>
      </c>
      <c r="CB2810">
        <v>-2.95</v>
      </c>
      <c r="CC2810">
        <v>-1.46</v>
      </c>
      <c r="CD2810">
        <v>3.58</v>
      </c>
      <c r="CE2810">
        <v>-2.65</v>
      </c>
      <c r="CF2810">
        <v>-0.97</v>
      </c>
      <c r="CG2810">
        <v>0</v>
      </c>
      <c r="CH2810">
        <v>-2.39</v>
      </c>
      <c r="CI2810">
        <v>0</v>
      </c>
      <c r="CJ2810">
        <v>14.7</v>
      </c>
      <c r="CK2810">
        <v>75</v>
      </c>
      <c r="CL2810">
        <v>0.48</v>
      </c>
      <c r="CM2810">
        <v>71</v>
      </c>
      <c r="CN2810">
        <v>-0.4</v>
      </c>
      <c r="CO2810">
        <v>68</v>
      </c>
      <c r="CP2810">
        <v>5.5</v>
      </c>
      <c r="CQ2810">
        <v>67</v>
      </c>
      <c r="CR2810">
        <v>0</v>
      </c>
      <c r="CS2810">
        <v>0</v>
      </c>
      <c r="CT2810">
        <v>4.9000000000000004</v>
      </c>
      <c r="CU2810">
        <v>64</v>
      </c>
      <c r="CV2810">
        <v>0</v>
      </c>
      <c r="CW2810">
        <v>20</v>
      </c>
      <c r="CX2810" t="s">
        <v>183</v>
      </c>
    </row>
    <row r="2811" spans="1:102" x14ac:dyDescent="0.3">
      <c r="A2811" t="str">
        <f>HYPERLINK("https://webapp.icbf.com/v2/app/bull-search/view/871288188","S1095")</f>
        <v>S1095</v>
      </c>
      <c r="B2811" t="s">
        <v>7564</v>
      </c>
      <c r="C2811" t="s">
        <v>7565</v>
      </c>
      <c r="D2811" s="1">
        <v>39410</v>
      </c>
      <c r="E2811" t="s">
        <v>1061</v>
      </c>
      <c r="F2811">
        <v>0</v>
      </c>
      <c r="G2811" t="s">
        <v>109</v>
      </c>
      <c r="H2811">
        <v>12.32</v>
      </c>
      <c r="I2811">
        <v>60</v>
      </c>
      <c r="J2811">
        <v>4.1500000000000004</v>
      </c>
      <c r="K2811">
        <v>66</v>
      </c>
      <c r="L2811">
        <v>29.58</v>
      </c>
      <c r="M2811">
        <v>55</v>
      </c>
      <c r="N2811">
        <v>-17.18</v>
      </c>
      <c r="O2811">
        <v>60</v>
      </c>
      <c r="P2811">
        <v>-16.12</v>
      </c>
      <c r="Q2811">
        <v>68</v>
      </c>
      <c r="R2811">
        <v>-7.16</v>
      </c>
      <c r="S2811">
        <v>46</v>
      </c>
      <c r="T2811">
        <v>17.75</v>
      </c>
      <c r="U2811">
        <v>65</v>
      </c>
      <c r="V2811">
        <v>1.3</v>
      </c>
      <c r="W2811">
        <v>50</v>
      </c>
      <c r="X2811" t="s">
        <v>276</v>
      </c>
      <c r="Y2811" t="s">
        <v>336</v>
      </c>
      <c r="Z2811">
        <v>0</v>
      </c>
      <c r="AA2811" t="s">
        <v>5408</v>
      </c>
      <c r="AB2811" t="s">
        <v>7566</v>
      </c>
      <c r="AC2811">
        <v>0</v>
      </c>
      <c r="AD2811">
        <v>0</v>
      </c>
      <c r="AE2811">
        <v>66</v>
      </c>
      <c r="AF2811">
        <v>-5.95</v>
      </c>
      <c r="AG2811">
        <v>-2.08</v>
      </c>
      <c r="AH2811">
        <v>1.35</v>
      </c>
      <c r="AI2811">
        <v>-0.03</v>
      </c>
      <c r="AJ2811">
        <v>0.03</v>
      </c>
      <c r="AK2811">
        <v>55</v>
      </c>
      <c r="AL2811">
        <v>0</v>
      </c>
      <c r="AM2811">
        <v>0</v>
      </c>
      <c r="AN2811">
        <v>-2.3199999999999998</v>
      </c>
      <c r="AO2811">
        <v>0.03</v>
      </c>
      <c r="AP2811">
        <v>41</v>
      </c>
      <c r="AQ2811">
        <v>2</v>
      </c>
      <c r="AR2811">
        <v>10.59</v>
      </c>
      <c r="AS2811">
        <v>34</v>
      </c>
      <c r="AT2811">
        <v>4.34</v>
      </c>
      <c r="AU2811">
        <v>56</v>
      </c>
      <c r="AV2811">
        <v>-0.95</v>
      </c>
      <c r="AW2811">
        <v>81</v>
      </c>
      <c r="AX2811">
        <v>-0.17</v>
      </c>
      <c r="AY2811">
        <v>51</v>
      </c>
      <c r="AZ2811">
        <v>6.77</v>
      </c>
      <c r="BA2811">
        <v>30</v>
      </c>
      <c r="BB2811">
        <v>5.61</v>
      </c>
      <c r="BC2811">
        <v>29</v>
      </c>
      <c r="BD2811">
        <v>0.01</v>
      </c>
      <c r="BE2811">
        <v>0.02</v>
      </c>
      <c r="BF2811">
        <v>0.11</v>
      </c>
      <c r="BG2811">
        <v>57</v>
      </c>
      <c r="BH2811">
        <v>-0.01</v>
      </c>
      <c r="BI2811">
        <v>-5.36</v>
      </c>
      <c r="BJ2811">
        <v>0</v>
      </c>
      <c r="BK2811">
        <v>0</v>
      </c>
      <c r="BL2811">
        <v>0</v>
      </c>
      <c r="BM2811">
        <v>0</v>
      </c>
      <c r="BN2811">
        <v>0</v>
      </c>
      <c r="BO2811">
        <v>0</v>
      </c>
      <c r="BP2811">
        <v>0</v>
      </c>
      <c r="BQ2811">
        <v>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-5.8</v>
      </c>
      <c r="CK2811">
        <v>71</v>
      </c>
      <c r="CL2811">
        <v>-1.01</v>
      </c>
      <c r="CM2811">
        <v>66</v>
      </c>
      <c r="CN2811">
        <v>-0.31</v>
      </c>
      <c r="CO2811">
        <v>61</v>
      </c>
      <c r="CP2811">
        <v>-8.8000000000000007</v>
      </c>
      <c r="CQ2811">
        <v>61</v>
      </c>
      <c r="CR2811">
        <v>0</v>
      </c>
      <c r="CS2811">
        <v>0</v>
      </c>
      <c r="CT2811">
        <v>-10.199999999999999</v>
      </c>
      <c r="CU2811">
        <v>65</v>
      </c>
      <c r="CV2811">
        <v>0.11</v>
      </c>
      <c r="CW2811">
        <v>19</v>
      </c>
      <c r="CX2811" t="s">
        <v>7567</v>
      </c>
    </row>
    <row r="2812" spans="1:102" x14ac:dyDescent="0.3">
      <c r="A2812" t="str">
        <f>HYPERLINK("https://webapp.icbf.com/v2/app/bull-search/view/586149425","EWI")</f>
        <v>EWI</v>
      </c>
      <c r="B2812" t="s">
        <v>9051</v>
      </c>
      <c r="C2812" t="s">
        <v>9052</v>
      </c>
      <c r="D2812" s="1">
        <v>39333</v>
      </c>
      <c r="E2812" t="s">
        <v>92</v>
      </c>
      <c r="F2812">
        <v>50</v>
      </c>
      <c r="G2812" t="s">
        <v>93</v>
      </c>
      <c r="H2812">
        <v>12.11</v>
      </c>
      <c r="I2812">
        <v>89</v>
      </c>
      <c r="J2812">
        <v>74.680000000000007</v>
      </c>
      <c r="K2812">
        <v>97</v>
      </c>
      <c r="L2812">
        <v>-82.9</v>
      </c>
      <c r="M2812">
        <v>84</v>
      </c>
      <c r="N2812">
        <v>13.93</v>
      </c>
      <c r="O2812">
        <v>88</v>
      </c>
      <c r="P2812">
        <v>-21.12</v>
      </c>
      <c r="Q2812">
        <v>95</v>
      </c>
      <c r="R2812">
        <v>0.04</v>
      </c>
      <c r="S2812">
        <v>74</v>
      </c>
      <c r="T2812">
        <v>21.15</v>
      </c>
      <c r="U2812">
        <v>91</v>
      </c>
      <c r="V2812">
        <v>6.33</v>
      </c>
      <c r="W2812">
        <v>74</v>
      </c>
      <c r="X2812" t="s">
        <v>276</v>
      </c>
      <c r="Y2812" t="s">
        <v>1775</v>
      </c>
      <c r="Z2812" t="s">
        <v>330</v>
      </c>
      <c r="AA2812" t="s">
        <v>6978</v>
      </c>
      <c r="AB2812" t="s">
        <v>144</v>
      </c>
      <c r="AC2812">
        <v>132</v>
      </c>
      <c r="AD2812">
        <v>49</v>
      </c>
      <c r="AE2812">
        <v>97</v>
      </c>
      <c r="AF2812">
        <v>407.6</v>
      </c>
      <c r="AG2812">
        <v>13.85</v>
      </c>
      <c r="AH2812">
        <v>14.04</v>
      </c>
      <c r="AI2812">
        <v>-0.03</v>
      </c>
      <c r="AJ2812">
        <v>0</v>
      </c>
      <c r="AK2812">
        <v>84</v>
      </c>
      <c r="AL2812">
        <v>173</v>
      </c>
      <c r="AM2812">
        <v>64</v>
      </c>
      <c r="AN2812">
        <v>4.62</v>
      </c>
      <c r="AO2812">
        <v>-1.99</v>
      </c>
      <c r="AP2812">
        <v>241</v>
      </c>
      <c r="AQ2812">
        <v>4</v>
      </c>
      <c r="AR2812">
        <v>7.53</v>
      </c>
      <c r="AS2812">
        <v>72</v>
      </c>
      <c r="AT2812">
        <v>2.84</v>
      </c>
      <c r="AU2812">
        <v>89</v>
      </c>
      <c r="AV2812">
        <v>-2.4700000000000002</v>
      </c>
      <c r="AW2812">
        <v>98</v>
      </c>
      <c r="AX2812">
        <v>0.95</v>
      </c>
      <c r="AY2812">
        <v>88</v>
      </c>
      <c r="AZ2812">
        <v>7.69</v>
      </c>
      <c r="BA2812">
        <v>69</v>
      </c>
      <c r="BB2812">
        <v>5.73</v>
      </c>
      <c r="BC2812">
        <v>68</v>
      </c>
      <c r="BD2812">
        <v>0</v>
      </c>
      <c r="BE2812">
        <v>0.01</v>
      </c>
      <c r="BF2812">
        <v>-0.02</v>
      </c>
      <c r="BG2812">
        <v>84</v>
      </c>
      <c r="BH2812">
        <v>0.1</v>
      </c>
      <c r="BI2812">
        <v>-8.84</v>
      </c>
      <c r="BJ2812">
        <v>0</v>
      </c>
      <c r="BK2812">
        <v>0</v>
      </c>
      <c r="BL2812">
        <v>-1.83</v>
      </c>
      <c r="BM2812">
        <v>-0.32</v>
      </c>
      <c r="BN2812">
        <v>-1.63</v>
      </c>
      <c r="BO2812">
        <v>-0.23</v>
      </c>
      <c r="BP2812">
        <v>-0.74</v>
      </c>
      <c r="BQ2812">
        <v>0.53</v>
      </c>
      <c r="BR2812">
        <v>1.48</v>
      </c>
      <c r="BS2812">
        <v>1.1399999999999999</v>
      </c>
      <c r="BT2812">
        <v>-0.15</v>
      </c>
      <c r="BU2812">
        <v>-0.56999999999999995</v>
      </c>
      <c r="BV2812">
        <v>-0.84</v>
      </c>
      <c r="BW2812">
        <v>-1.46</v>
      </c>
      <c r="BX2812">
        <v>0.17</v>
      </c>
      <c r="BY2812">
        <v>-0.3</v>
      </c>
      <c r="BZ2812">
        <v>0.06</v>
      </c>
      <c r="CA2812">
        <v>-0.62</v>
      </c>
      <c r="CB2812">
        <v>-0.84</v>
      </c>
      <c r="CC2812">
        <v>0.92</v>
      </c>
      <c r="CD2812">
        <v>0.4</v>
      </c>
      <c r="CE2812">
        <v>0.01</v>
      </c>
      <c r="CF2812">
        <v>-0.11</v>
      </c>
      <c r="CG2812">
        <v>0</v>
      </c>
      <c r="CH2812">
        <v>-0.1</v>
      </c>
      <c r="CI2812">
        <v>0</v>
      </c>
      <c r="CJ2812">
        <v>-10.1</v>
      </c>
      <c r="CK2812">
        <v>96</v>
      </c>
      <c r="CL2812">
        <v>-0.71</v>
      </c>
      <c r="CM2812">
        <v>96</v>
      </c>
      <c r="CN2812">
        <v>-0.22</v>
      </c>
      <c r="CO2812">
        <v>95</v>
      </c>
      <c r="CP2812">
        <v>-16.2</v>
      </c>
      <c r="CQ2812">
        <v>91</v>
      </c>
      <c r="CR2812">
        <v>0</v>
      </c>
      <c r="CS2812">
        <v>0</v>
      </c>
      <c r="CT2812">
        <v>-14.8</v>
      </c>
      <c r="CU2812">
        <v>91</v>
      </c>
      <c r="CV2812">
        <v>0.11</v>
      </c>
      <c r="CW2812">
        <v>45</v>
      </c>
      <c r="CX2812" t="s">
        <v>1229</v>
      </c>
    </row>
    <row r="2813" spans="1:102" x14ac:dyDescent="0.3">
      <c r="A2813" t="str">
        <f>HYPERLINK("https://webapp.icbf.com/v2/app/bull-search/view/449791549","ORI")</f>
        <v>ORI</v>
      </c>
      <c r="B2813" t="s">
        <v>12243</v>
      </c>
      <c r="C2813" t="s">
        <v>12244</v>
      </c>
      <c r="D2813" s="1">
        <v>36044</v>
      </c>
      <c r="E2813" t="s">
        <v>140</v>
      </c>
      <c r="F2813">
        <v>0</v>
      </c>
      <c r="G2813" t="s">
        <v>109</v>
      </c>
      <c r="H2813">
        <v>11.96</v>
      </c>
      <c r="I2813">
        <v>62</v>
      </c>
      <c r="J2813">
        <v>-17.16</v>
      </c>
      <c r="K2813">
        <v>77</v>
      </c>
      <c r="L2813">
        <v>45.68</v>
      </c>
      <c r="M2813">
        <v>46</v>
      </c>
      <c r="N2813">
        <v>-46.97</v>
      </c>
      <c r="O2813">
        <v>61</v>
      </c>
      <c r="P2813">
        <v>22.02</v>
      </c>
      <c r="Q2813">
        <v>76</v>
      </c>
      <c r="R2813">
        <v>10.37</v>
      </c>
      <c r="S2813">
        <v>51</v>
      </c>
      <c r="T2813">
        <v>7.98</v>
      </c>
      <c r="U2813">
        <v>70</v>
      </c>
      <c r="V2813">
        <v>-9.9600000000000009</v>
      </c>
      <c r="W2813">
        <v>48</v>
      </c>
      <c r="X2813" t="s">
        <v>102</v>
      </c>
      <c r="Y2813" t="s">
        <v>95</v>
      </c>
      <c r="Z2813">
        <v>0</v>
      </c>
      <c r="AA2813" t="s">
        <v>247</v>
      </c>
      <c r="AB2813" t="s">
        <v>10954</v>
      </c>
      <c r="AC2813">
        <v>0</v>
      </c>
      <c r="AD2813">
        <v>0</v>
      </c>
      <c r="AE2813">
        <v>77</v>
      </c>
      <c r="AF2813">
        <v>-52.11</v>
      </c>
      <c r="AG2813">
        <v>-6.52</v>
      </c>
      <c r="AH2813">
        <v>-1.41</v>
      </c>
      <c r="AI2813">
        <v>-7.0000000000000007E-2</v>
      </c>
      <c r="AJ2813">
        <v>0.01</v>
      </c>
      <c r="AK2813">
        <v>46</v>
      </c>
      <c r="AL2813">
        <v>16</v>
      </c>
      <c r="AM2813">
        <v>14</v>
      </c>
      <c r="AN2813">
        <v>-1.93</v>
      </c>
      <c r="AO2813">
        <v>1.72</v>
      </c>
      <c r="AP2813">
        <v>34</v>
      </c>
      <c r="AQ2813">
        <v>6</v>
      </c>
      <c r="AR2813">
        <v>10.75</v>
      </c>
      <c r="AS2813">
        <v>40</v>
      </c>
      <c r="AT2813">
        <v>5.2</v>
      </c>
      <c r="AU2813">
        <v>58</v>
      </c>
      <c r="AV2813">
        <v>1.27</v>
      </c>
      <c r="AW2813">
        <v>76</v>
      </c>
      <c r="AX2813">
        <v>0.76</v>
      </c>
      <c r="AY2813">
        <v>59</v>
      </c>
      <c r="AZ2813">
        <v>7.55</v>
      </c>
      <c r="BA2813">
        <v>39</v>
      </c>
      <c r="BB2813">
        <v>5.15</v>
      </c>
      <c r="BC2813">
        <v>40</v>
      </c>
      <c r="BD2813">
        <v>-0.02</v>
      </c>
      <c r="BE2813">
        <v>-0.05</v>
      </c>
      <c r="BF2813">
        <v>-0.11</v>
      </c>
      <c r="BG2813">
        <v>57</v>
      </c>
      <c r="BH2813">
        <v>-0.41</v>
      </c>
      <c r="BI2813">
        <v>-15.31</v>
      </c>
      <c r="BJ2813">
        <v>0</v>
      </c>
      <c r="BK2813">
        <v>0</v>
      </c>
      <c r="BL2813">
        <v>-0.76</v>
      </c>
      <c r="BM2813">
        <v>3.99</v>
      </c>
      <c r="BN2813">
        <v>-1.71</v>
      </c>
      <c r="BO2813">
        <v>-3.29</v>
      </c>
      <c r="BP2813">
        <v>4.43</v>
      </c>
      <c r="BQ2813">
        <v>-1.38</v>
      </c>
      <c r="BR2813">
        <v>-2.54</v>
      </c>
      <c r="BS2813">
        <v>-0.28000000000000003</v>
      </c>
      <c r="BT2813">
        <v>2.42</v>
      </c>
      <c r="BU2813">
        <v>-3.66</v>
      </c>
      <c r="BV2813">
        <v>-4.0999999999999996</v>
      </c>
      <c r="BW2813">
        <v>-3.11</v>
      </c>
      <c r="BX2813">
        <v>-3</v>
      </c>
      <c r="BY2813">
        <v>-1.66</v>
      </c>
      <c r="BZ2813">
        <v>1.98</v>
      </c>
      <c r="CA2813">
        <v>-2.67</v>
      </c>
      <c r="CB2813">
        <v>-3.38</v>
      </c>
      <c r="CC2813">
        <v>-0.49</v>
      </c>
      <c r="CD2813">
        <v>4.08</v>
      </c>
      <c r="CE2813">
        <v>-2.93</v>
      </c>
      <c r="CF2813">
        <v>-1.1599999999999999</v>
      </c>
      <c r="CG2813">
        <v>0</v>
      </c>
      <c r="CH2813">
        <v>-2.25</v>
      </c>
      <c r="CI2813">
        <v>0</v>
      </c>
      <c r="CJ2813">
        <v>8.1</v>
      </c>
      <c r="CK2813">
        <v>79</v>
      </c>
      <c r="CL2813">
        <v>0.61</v>
      </c>
      <c r="CM2813">
        <v>75</v>
      </c>
      <c r="CN2813">
        <v>-0.37</v>
      </c>
      <c r="CO2813">
        <v>72</v>
      </c>
      <c r="CP2813">
        <v>1.4</v>
      </c>
      <c r="CQ2813">
        <v>70</v>
      </c>
      <c r="CR2813">
        <v>0</v>
      </c>
      <c r="CS2813">
        <v>0</v>
      </c>
      <c r="CT2813">
        <v>3</v>
      </c>
      <c r="CU2813">
        <v>70</v>
      </c>
      <c r="CV2813">
        <v>-0.16</v>
      </c>
      <c r="CW2813">
        <v>22</v>
      </c>
      <c r="CX2813" t="s">
        <v>1179</v>
      </c>
    </row>
    <row r="2814" spans="1:102" x14ac:dyDescent="0.3">
      <c r="A2814" t="str">
        <f>HYPERLINK("https://webapp.icbf.com/v2/app/bull-search/view/69091366","CNJ")</f>
        <v>CNJ</v>
      </c>
      <c r="B2814" t="s">
        <v>15343</v>
      </c>
      <c r="C2814" t="s">
        <v>2623</v>
      </c>
      <c r="D2814" s="1">
        <v>32669</v>
      </c>
      <c r="E2814" t="s">
        <v>227</v>
      </c>
      <c r="F2814">
        <v>0</v>
      </c>
      <c r="G2814" t="s">
        <v>109</v>
      </c>
      <c r="H2814">
        <v>11.93</v>
      </c>
      <c r="I2814">
        <v>72</v>
      </c>
      <c r="J2814">
        <v>-24.37</v>
      </c>
      <c r="K2814">
        <v>86</v>
      </c>
      <c r="L2814">
        <v>8.33</v>
      </c>
      <c r="M2814">
        <v>82</v>
      </c>
      <c r="N2814">
        <v>21.68</v>
      </c>
      <c r="O2814">
        <v>47</v>
      </c>
      <c r="P2814">
        <v>-84.66</v>
      </c>
      <c r="Q2814">
        <v>63</v>
      </c>
      <c r="R2814">
        <v>-1.02</v>
      </c>
      <c r="S2814">
        <v>45</v>
      </c>
      <c r="T2814">
        <v>91.75</v>
      </c>
      <c r="U2814">
        <v>53</v>
      </c>
      <c r="V2814">
        <v>0.22</v>
      </c>
      <c r="W2814">
        <v>31</v>
      </c>
      <c r="X2814" t="s">
        <v>131</v>
      </c>
      <c r="Y2814" t="s">
        <v>95</v>
      </c>
      <c r="Z2814">
        <v>0</v>
      </c>
      <c r="AA2814" t="s">
        <v>4332</v>
      </c>
      <c r="AB2814" t="s">
        <v>15344</v>
      </c>
      <c r="AC2814">
        <v>0</v>
      </c>
      <c r="AD2814">
        <v>0</v>
      </c>
      <c r="AE2814">
        <v>86</v>
      </c>
      <c r="AF2814">
        <v>-337.66</v>
      </c>
      <c r="AG2814">
        <v>-0.01</v>
      </c>
      <c r="AH2814">
        <v>-9.31</v>
      </c>
      <c r="AI2814">
        <v>0.23</v>
      </c>
      <c r="AJ2814">
        <v>0.04</v>
      </c>
      <c r="AK2814">
        <v>82</v>
      </c>
      <c r="AL2814">
        <v>0</v>
      </c>
      <c r="AM2814">
        <v>0</v>
      </c>
      <c r="AN2814">
        <v>0.01</v>
      </c>
      <c r="AO2814">
        <v>0.68</v>
      </c>
      <c r="AP2814">
        <v>15</v>
      </c>
      <c r="AQ2814">
        <v>0</v>
      </c>
      <c r="AR2814">
        <v>2.5099999999999998</v>
      </c>
      <c r="AS2814">
        <v>46</v>
      </c>
      <c r="AT2814">
        <v>1.67</v>
      </c>
      <c r="AU2814">
        <v>43</v>
      </c>
      <c r="AV2814">
        <v>-0.74</v>
      </c>
      <c r="AW2814">
        <v>54</v>
      </c>
      <c r="AX2814">
        <v>0.09</v>
      </c>
      <c r="AY2814">
        <v>54</v>
      </c>
      <c r="AZ2814">
        <v>7.42</v>
      </c>
      <c r="BA2814">
        <v>28</v>
      </c>
      <c r="BB2814">
        <v>5.55</v>
      </c>
      <c r="BC2814">
        <v>31</v>
      </c>
      <c r="BD2814">
        <v>-0.04</v>
      </c>
      <c r="BE2814">
        <v>0</v>
      </c>
      <c r="BF2814">
        <v>0.09</v>
      </c>
      <c r="BG2814">
        <v>55</v>
      </c>
      <c r="BH2814">
        <v>0.03</v>
      </c>
      <c r="BI2814">
        <v>2.76</v>
      </c>
      <c r="BJ2814">
        <v>0</v>
      </c>
      <c r="BK2814">
        <v>0</v>
      </c>
      <c r="BL2814">
        <v>0.12</v>
      </c>
      <c r="BM2814">
        <v>-1.21</v>
      </c>
      <c r="BN2814">
        <v>1.59</v>
      </c>
      <c r="BO2814">
        <v>2.64</v>
      </c>
      <c r="BP2814">
        <v>-0.39</v>
      </c>
      <c r="BQ2814">
        <v>-3.38</v>
      </c>
      <c r="BR2814">
        <v>2.33</v>
      </c>
      <c r="BS2814">
        <v>6.64</v>
      </c>
      <c r="BT2814">
        <v>-0.97</v>
      </c>
      <c r="BU2814">
        <v>1.38</v>
      </c>
      <c r="BV2814">
        <v>1.65</v>
      </c>
      <c r="BW2814">
        <v>-0.8</v>
      </c>
      <c r="BX2814">
        <v>-2.0499999999999998</v>
      </c>
      <c r="BY2814">
        <v>1.1299999999999999</v>
      </c>
      <c r="BZ2814">
        <v>0.77</v>
      </c>
      <c r="CA2814">
        <v>2.71</v>
      </c>
      <c r="CB2814">
        <v>1.65</v>
      </c>
      <c r="CC2814">
        <v>3.87</v>
      </c>
      <c r="CD2814">
        <v>-2.2599999999999998</v>
      </c>
      <c r="CE2814">
        <v>2.71</v>
      </c>
      <c r="CF2814">
        <v>1.07</v>
      </c>
      <c r="CG2814">
        <v>0</v>
      </c>
      <c r="CH2814">
        <v>0.49</v>
      </c>
      <c r="CI2814">
        <v>0</v>
      </c>
      <c r="CJ2814">
        <v>-46.5</v>
      </c>
      <c r="CK2814">
        <v>65</v>
      </c>
      <c r="CL2814">
        <v>-1.72</v>
      </c>
      <c r="CM2814">
        <v>61</v>
      </c>
      <c r="CN2814">
        <v>-0.65</v>
      </c>
      <c r="CO2814">
        <v>58</v>
      </c>
      <c r="CP2814">
        <v>-69</v>
      </c>
      <c r="CQ2814">
        <v>61</v>
      </c>
      <c r="CR2814">
        <v>0</v>
      </c>
      <c r="CS2814">
        <v>0</v>
      </c>
      <c r="CT2814">
        <v>-110.2</v>
      </c>
      <c r="CU2814">
        <v>53</v>
      </c>
      <c r="CV2814">
        <v>-0.5</v>
      </c>
      <c r="CW2814">
        <v>17</v>
      </c>
      <c r="CX2814" t="s">
        <v>15345</v>
      </c>
    </row>
    <row r="2815" spans="1:102" x14ac:dyDescent="0.3">
      <c r="A2815" t="str">
        <f>HYPERLINK("https://webapp.icbf.com/v2/app/bull-search/view/764667927","S900")</f>
        <v>S900</v>
      </c>
      <c r="B2815" t="s">
        <v>12864</v>
      </c>
      <c r="C2815" t="s">
        <v>12865</v>
      </c>
      <c r="D2815" s="1">
        <v>39778</v>
      </c>
      <c r="E2815" t="s">
        <v>92</v>
      </c>
      <c r="F2815">
        <v>100</v>
      </c>
      <c r="G2815" t="s">
        <v>109</v>
      </c>
      <c r="H2815">
        <v>11.7</v>
      </c>
      <c r="I2815">
        <v>82</v>
      </c>
      <c r="J2815">
        <v>57.86</v>
      </c>
      <c r="K2815">
        <v>94</v>
      </c>
      <c r="L2815">
        <v>-92.08</v>
      </c>
      <c r="M2815">
        <v>84</v>
      </c>
      <c r="N2815">
        <v>43.13</v>
      </c>
      <c r="O2815">
        <v>72</v>
      </c>
      <c r="P2815">
        <v>-24.41</v>
      </c>
      <c r="Q2815">
        <v>65</v>
      </c>
      <c r="R2815">
        <v>7.76</v>
      </c>
      <c r="S2815">
        <v>78</v>
      </c>
      <c r="T2815">
        <v>15.08</v>
      </c>
      <c r="U2815">
        <v>59</v>
      </c>
      <c r="V2815">
        <v>4.3600000000000003</v>
      </c>
      <c r="W2815">
        <v>68</v>
      </c>
      <c r="X2815" t="s">
        <v>288</v>
      </c>
      <c r="Y2815" t="s">
        <v>303</v>
      </c>
      <c r="Z2815" t="s">
        <v>96</v>
      </c>
      <c r="AA2815" t="s">
        <v>350</v>
      </c>
      <c r="AB2815" t="s">
        <v>12866</v>
      </c>
      <c r="AC2815">
        <v>0</v>
      </c>
      <c r="AD2815">
        <v>0</v>
      </c>
      <c r="AE2815">
        <v>94</v>
      </c>
      <c r="AF2815">
        <v>372.55</v>
      </c>
      <c r="AG2815">
        <v>16.29</v>
      </c>
      <c r="AH2815">
        <v>9.7799999999999994</v>
      </c>
      <c r="AI2815">
        <v>0.03</v>
      </c>
      <c r="AJ2815">
        <v>-0.05</v>
      </c>
      <c r="AK2815">
        <v>84</v>
      </c>
      <c r="AL2815">
        <v>0</v>
      </c>
      <c r="AM2815">
        <v>0</v>
      </c>
      <c r="AN2815">
        <v>6.85</v>
      </c>
      <c r="AO2815">
        <v>-0.47</v>
      </c>
      <c r="AP2815">
        <v>7</v>
      </c>
      <c r="AQ2815">
        <v>0</v>
      </c>
      <c r="AR2815">
        <v>4.0199999999999996</v>
      </c>
      <c r="AS2815">
        <v>67</v>
      </c>
      <c r="AT2815">
        <v>2.06</v>
      </c>
      <c r="AU2815">
        <v>88</v>
      </c>
      <c r="AV2815">
        <v>-3.56</v>
      </c>
      <c r="AW2815">
        <v>76</v>
      </c>
      <c r="AX2815">
        <v>0.28999999999999998</v>
      </c>
      <c r="AY2815">
        <v>55</v>
      </c>
      <c r="AZ2815">
        <v>6.17</v>
      </c>
      <c r="BA2815">
        <v>53</v>
      </c>
      <c r="BB2815">
        <v>5.12</v>
      </c>
      <c r="BC2815">
        <v>54</v>
      </c>
      <c r="BD2815">
        <v>-0.02</v>
      </c>
      <c r="BE2815">
        <v>-0.05</v>
      </c>
      <c r="BF2815">
        <v>-0.05</v>
      </c>
      <c r="BG2815">
        <v>90</v>
      </c>
      <c r="BH2815">
        <v>0.31</v>
      </c>
      <c r="BI2815">
        <v>21.8</v>
      </c>
      <c r="BJ2815">
        <v>3</v>
      </c>
      <c r="BK2815">
        <v>1</v>
      </c>
      <c r="BL2815">
        <v>0.64</v>
      </c>
      <c r="BM2815">
        <v>-1.98</v>
      </c>
      <c r="BN2815">
        <v>0.67</v>
      </c>
      <c r="BO2815">
        <v>1.95</v>
      </c>
      <c r="BP2815">
        <v>0.91</v>
      </c>
      <c r="BQ2815">
        <v>1.26</v>
      </c>
      <c r="BR2815">
        <v>-0.63</v>
      </c>
      <c r="BS2815">
        <v>1.1499999999999999</v>
      </c>
      <c r="BT2815">
        <v>0.8</v>
      </c>
      <c r="BU2815">
        <v>0.06</v>
      </c>
      <c r="BV2815">
        <v>1.28</v>
      </c>
      <c r="BW2815">
        <v>1.91</v>
      </c>
      <c r="BX2815">
        <v>-0.63</v>
      </c>
      <c r="BY2815">
        <v>2.2000000000000002</v>
      </c>
      <c r="BZ2815">
        <v>0.44</v>
      </c>
      <c r="CA2815">
        <v>0.81</v>
      </c>
      <c r="CB2815">
        <v>0.67</v>
      </c>
      <c r="CC2815">
        <v>1.51</v>
      </c>
      <c r="CD2815">
        <v>-2.5</v>
      </c>
      <c r="CE2815">
        <v>1.38</v>
      </c>
      <c r="CF2815">
        <v>0.92</v>
      </c>
      <c r="CG2815">
        <v>0</v>
      </c>
      <c r="CH2815">
        <v>2.1800000000000002</v>
      </c>
      <c r="CI2815">
        <v>0</v>
      </c>
      <c r="CJ2815">
        <v>-10.3</v>
      </c>
      <c r="CK2815">
        <v>68</v>
      </c>
      <c r="CL2815">
        <v>-1.37</v>
      </c>
      <c r="CM2815">
        <v>63</v>
      </c>
      <c r="CN2815">
        <v>-0.47</v>
      </c>
      <c r="CO2815">
        <v>61</v>
      </c>
      <c r="CP2815">
        <v>-10.4</v>
      </c>
      <c r="CQ2815">
        <v>62</v>
      </c>
      <c r="CR2815">
        <v>0</v>
      </c>
      <c r="CS2815">
        <v>0</v>
      </c>
      <c r="CT2815">
        <v>-6.6</v>
      </c>
      <c r="CU2815">
        <v>59</v>
      </c>
      <c r="CV2815">
        <v>0.16</v>
      </c>
      <c r="CW2815">
        <v>39</v>
      </c>
      <c r="CX2815" t="s">
        <v>277</v>
      </c>
    </row>
    <row r="2816" spans="1:102" x14ac:dyDescent="0.3">
      <c r="A2816" t="str">
        <f>HYPERLINK("https://webapp.icbf.com/v2/app/bull-search/view/332981056","AIB")</f>
        <v>AIB</v>
      </c>
      <c r="B2816" t="s">
        <v>7243</v>
      </c>
      <c r="C2816" t="s">
        <v>7244</v>
      </c>
      <c r="D2816" s="1">
        <v>38018</v>
      </c>
      <c r="E2816" t="s">
        <v>92</v>
      </c>
      <c r="F2816">
        <v>94</v>
      </c>
      <c r="G2816" t="s">
        <v>93</v>
      </c>
      <c r="H2816">
        <v>11.42</v>
      </c>
      <c r="I2816">
        <v>86</v>
      </c>
      <c r="J2816">
        <v>14.89</v>
      </c>
      <c r="K2816">
        <v>96</v>
      </c>
      <c r="L2816">
        <v>-33.75</v>
      </c>
      <c r="M2816">
        <v>78</v>
      </c>
      <c r="N2816">
        <v>25.05</v>
      </c>
      <c r="O2816">
        <v>82</v>
      </c>
      <c r="P2816">
        <v>-3.37</v>
      </c>
      <c r="Q2816">
        <v>89</v>
      </c>
      <c r="R2816">
        <v>-7.76</v>
      </c>
      <c r="S2816">
        <v>80</v>
      </c>
      <c r="T2816">
        <v>14.49</v>
      </c>
      <c r="U2816">
        <v>88</v>
      </c>
      <c r="V2816">
        <v>1.87</v>
      </c>
      <c r="W2816">
        <v>77</v>
      </c>
      <c r="X2816" t="s">
        <v>94</v>
      </c>
      <c r="Y2816" t="s">
        <v>95</v>
      </c>
      <c r="Z2816" t="s">
        <v>96</v>
      </c>
      <c r="AA2816" t="s">
        <v>4342</v>
      </c>
      <c r="AB2816" t="s">
        <v>7245</v>
      </c>
      <c r="AC2816">
        <v>66</v>
      </c>
      <c r="AD2816">
        <v>52</v>
      </c>
      <c r="AE2816">
        <v>96</v>
      </c>
      <c r="AF2816">
        <v>-4.72</v>
      </c>
      <c r="AG2816">
        <v>-3.39</v>
      </c>
      <c r="AH2816">
        <v>3.66</v>
      </c>
      <c r="AI2816">
        <v>-0.06</v>
      </c>
      <c r="AJ2816">
        <v>7.0000000000000007E-2</v>
      </c>
      <c r="AK2816">
        <v>78</v>
      </c>
      <c r="AL2816">
        <v>63</v>
      </c>
      <c r="AM2816">
        <v>47</v>
      </c>
      <c r="AN2816">
        <v>1.98</v>
      </c>
      <c r="AO2816">
        <v>-0.71</v>
      </c>
      <c r="AP2816">
        <v>106</v>
      </c>
      <c r="AQ2816">
        <v>2</v>
      </c>
      <c r="AR2816">
        <v>5.24</v>
      </c>
      <c r="AS2816">
        <v>67</v>
      </c>
      <c r="AT2816">
        <v>2.41</v>
      </c>
      <c r="AU2816">
        <v>84</v>
      </c>
      <c r="AV2816">
        <v>-1.62</v>
      </c>
      <c r="AW2816">
        <v>93</v>
      </c>
      <c r="AX2816">
        <v>-0.84</v>
      </c>
      <c r="AY2816">
        <v>77</v>
      </c>
      <c r="AZ2816">
        <v>6.7</v>
      </c>
      <c r="BA2816">
        <v>60</v>
      </c>
      <c r="BB2816">
        <v>5.16</v>
      </c>
      <c r="BC2816">
        <v>66</v>
      </c>
      <c r="BD2816">
        <v>0.02</v>
      </c>
      <c r="BE2816">
        <v>0.05</v>
      </c>
      <c r="BF2816">
        <v>0.05</v>
      </c>
      <c r="BG2816">
        <v>87</v>
      </c>
      <c r="BH2816">
        <v>0.09</v>
      </c>
      <c r="BI2816">
        <v>4.37</v>
      </c>
      <c r="BJ2816">
        <v>29</v>
      </c>
      <c r="BK2816">
        <v>23</v>
      </c>
      <c r="BL2816">
        <v>-0.64</v>
      </c>
      <c r="BM2816">
        <v>0.11</v>
      </c>
      <c r="BN2816">
        <v>-1.23</v>
      </c>
      <c r="BO2816">
        <v>-0.99</v>
      </c>
      <c r="BP2816">
        <v>1.98</v>
      </c>
      <c r="BQ2816">
        <v>-1.25</v>
      </c>
      <c r="BR2816">
        <v>-0.99</v>
      </c>
      <c r="BS2816">
        <v>0.11</v>
      </c>
      <c r="BT2816">
        <v>-0.37</v>
      </c>
      <c r="BU2816">
        <v>-1.77</v>
      </c>
      <c r="BV2816">
        <v>-1.74</v>
      </c>
      <c r="BW2816">
        <v>-1.78</v>
      </c>
      <c r="BX2816">
        <v>-1.23</v>
      </c>
      <c r="BY2816">
        <v>-0.05</v>
      </c>
      <c r="BZ2816">
        <v>-0.06</v>
      </c>
      <c r="CA2816">
        <v>-1.65</v>
      </c>
      <c r="CB2816">
        <v>-2.02</v>
      </c>
      <c r="CC2816">
        <v>-0.08</v>
      </c>
      <c r="CD2816">
        <v>0.36</v>
      </c>
      <c r="CE2816">
        <v>-1.1100000000000001</v>
      </c>
      <c r="CF2816">
        <v>-1.56</v>
      </c>
      <c r="CG2816">
        <v>0</v>
      </c>
      <c r="CH2816">
        <v>-0.41</v>
      </c>
      <c r="CI2816">
        <v>0</v>
      </c>
      <c r="CJ2816">
        <v>-2</v>
      </c>
      <c r="CK2816">
        <v>90</v>
      </c>
      <c r="CL2816">
        <v>-0.28999999999999998</v>
      </c>
      <c r="CM2816">
        <v>88</v>
      </c>
      <c r="CN2816">
        <v>-0.31</v>
      </c>
      <c r="CO2816">
        <v>86</v>
      </c>
      <c r="CP2816">
        <v>-8.3000000000000007</v>
      </c>
      <c r="CQ2816">
        <v>87</v>
      </c>
      <c r="CR2816">
        <v>0</v>
      </c>
      <c r="CS2816">
        <v>0</v>
      </c>
      <c r="CT2816">
        <v>-5.8</v>
      </c>
      <c r="CU2816">
        <v>88</v>
      </c>
      <c r="CV2816">
        <v>-0.03</v>
      </c>
      <c r="CW2816">
        <v>44</v>
      </c>
      <c r="CX2816" t="s">
        <v>1037</v>
      </c>
    </row>
    <row r="2817" spans="1:102" x14ac:dyDescent="0.3">
      <c r="A2817" t="str">
        <f>HYPERLINK("https://webapp.icbf.com/v2/app/bull-search/view/678702917","S1392")</f>
        <v>S1392</v>
      </c>
      <c r="B2817" t="s">
        <v>346</v>
      </c>
      <c r="C2817" t="s">
        <v>347</v>
      </c>
      <c r="D2817" s="1">
        <v>39408</v>
      </c>
      <c r="E2817" t="s">
        <v>92</v>
      </c>
      <c r="F2817">
        <v>100</v>
      </c>
      <c r="G2817" t="s">
        <v>93</v>
      </c>
      <c r="H2817">
        <v>11.3</v>
      </c>
      <c r="I2817">
        <v>90</v>
      </c>
      <c r="J2817">
        <v>62.16</v>
      </c>
      <c r="K2817">
        <v>98</v>
      </c>
      <c r="L2817">
        <v>-65.02</v>
      </c>
      <c r="M2817">
        <v>91</v>
      </c>
      <c r="N2817">
        <v>14.47</v>
      </c>
      <c r="O2817">
        <v>86</v>
      </c>
      <c r="P2817">
        <v>5</v>
      </c>
      <c r="Q2817">
        <v>92</v>
      </c>
      <c r="R2817">
        <v>5.57</v>
      </c>
      <c r="S2817">
        <v>80</v>
      </c>
      <c r="T2817">
        <v>-12</v>
      </c>
      <c r="U2817">
        <v>76</v>
      </c>
      <c r="V2817">
        <v>1.1200000000000001</v>
      </c>
      <c r="W2817">
        <v>63</v>
      </c>
      <c r="X2817" t="s">
        <v>94</v>
      </c>
      <c r="Y2817" t="s">
        <v>342</v>
      </c>
      <c r="Z2817" t="s">
        <v>96</v>
      </c>
      <c r="AA2817" t="s">
        <v>348</v>
      </c>
      <c r="AB2817" t="s">
        <v>349</v>
      </c>
      <c r="AC2817">
        <v>147</v>
      </c>
      <c r="AD2817">
        <v>51</v>
      </c>
      <c r="AE2817">
        <v>98</v>
      </c>
      <c r="AF2817">
        <v>522.94000000000005</v>
      </c>
      <c r="AG2817">
        <v>12.82</v>
      </c>
      <c r="AH2817">
        <v>14.04</v>
      </c>
      <c r="AI2817">
        <v>-0.12</v>
      </c>
      <c r="AJ2817">
        <v>-0.06</v>
      </c>
      <c r="AK2817">
        <v>91</v>
      </c>
      <c r="AL2817">
        <v>128</v>
      </c>
      <c r="AM2817">
        <v>41</v>
      </c>
      <c r="AN2817">
        <v>4.71</v>
      </c>
      <c r="AO2817">
        <v>-0.46</v>
      </c>
      <c r="AP2817">
        <v>230</v>
      </c>
      <c r="AQ2817">
        <v>0</v>
      </c>
      <c r="AR2817">
        <v>8.23</v>
      </c>
      <c r="AS2817">
        <v>76</v>
      </c>
      <c r="AT2817">
        <v>3.54</v>
      </c>
      <c r="AU2817">
        <v>94</v>
      </c>
      <c r="AV2817">
        <v>-2.33</v>
      </c>
      <c r="AW2817">
        <v>94</v>
      </c>
      <c r="AX2817">
        <v>-0.84</v>
      </c>
      <c r="AY2817">
        <v>82</v>
      </c>
      <c r="AZ2817">
        <v>6.7</v>
      </c>
      <c r="BA2817">
        <v>65</v>
      </c>
      <c r="BB2817">
        <v>5.05</v>
      </c>
      <c r="BC2817">
        <v>60</v>
      </c>
      <c r="BD2817">
        <v>-0.03</v>
      </c>
      <c r="BE2817">
        <v>-0.02</v>
      </c>
      <c r="BF2817">
        <v>-0.04</v>
      </c>
      <c r="BG2817">
        <v>95</v>
      </c>
      <c r="BH2817">
        <v>-0.01</v>
      </c>
      <c r="BI2817">
        <v>-4.78</v>
      </c>
      <c r="BJ2817">
        <v>54</v>
      </c>
      <c r="BK2817">
        <v>27</v>
      </c>
      <c r="BL2817">
        <v>1.29</v>
      </c>
      <c r="BM2817">
        <v>-1.1100000000000001</v>
      </c>
      <c r="BN2817">
        <v>0.92</v>
      </c>
      <c r="BO2817">
        <v>1.18</v>
      </c>
      <c r="BP2817">
        <v>1.39</v>
      </c>
      <c r="BQ2817">
        <v>1.45</v>
      </c>
      <c r="BR2817">
        <v>-1.95</v>
      </c>
      <c r="BS2817">
        <v>1.46</v>
      </c>
      <c r="BT2817">
        <v>1.36</v>
      </c>
      <c r="BU2817">
        <v>2.39</v>
      </c>
      <c r="BV2817">
        <v>2.77</v>
      </c>
      <c r="BW2817">
        <v>1.95</v>
      </c>
      <c r="BX2817">
        <v>1.59</v>
      </c>
      <c r="BY2817">
        <v>0.86</v>
      </c>
      <c r="BZ2817">
        <v>-0.02</v>
      </c>
      <c r="CA2817">
        <v>2.14</v>
      </c>
      <c r="CB2817">
        <v>1.86</v>
      </c>
      <c r="CC2817">
        <v>2.0099999999999998</v>
      </c>
      <c r="CD2817">
        <v>-1.04</v>
      </c>
      <c r="CE2817">
        <v>1.55</v>
      </c>
      <c r="CF2817">
        <v>1.7</v>
      </c>
      <c r="CG2817">
        <v>0</v>
      </c>
      <c r="CH2817">
        <v>1.03</v>
      </c>
      <c r="CI2817">
        <v>0</v>
      </c>
      <c r="CJ2817">
        <v>3.1</v>
      </c>
      <c r="CK2817">
        <v>93</v>
      </c>
      <c r="CL2817">
        <v>-1.01</v>
      </c>
      <c r="CM2817">
        <v>92</v>
      </c>
      <c r="CN2817">
        <v>-0.79</v>
      </c>
      <c r="CO2817">
        <v>91</v>
      </c>
      <c r="CP2817">
        <v>12.6</v>
      </c>
      <c r="CQ2817">
        <v>81</v>
      </c>
      <c r="CR2817">
        <v>0</v>
      </c>
      <c r="CS2817">
        <v>0</v>
      </c>
      <c r="CT2817">
        <v>30</v>
      </c>
      <c r="CU2817">
        <v>76</v>
      </c>
      <c r="CV2817">
        <v>0.24</v>
      </c>
      <c r="CW2817">
        <v>44</v>
      </c>
      <c r="CX2817" t="s">
        <v>350</v>
      </c>
    </row>
    <row r="2818" spans="1:102" x14ac:dyDescent="0.3">
      <c r="A2818" t="str">
        <f>HYPERLINK("https://webapp.icbf.com/v2/app/bull-search/view/77853088","TFF")</f>
        <v>TFF</v>
      </c>
      <c r="B2818" t="s">
        <v>14360</v>
      </c>
      <c r="C2818" t="s">
        <v>14361</v>
      </c>
      <c r="D2818" s="1">
        <v>34175</v>
      </c>
      <c r="E2818" t="s">
        <v>92</v>
      </c>
      <c r="F2818">
        <v>94</v>
      </c>
      <c r="G2818" t="s">
        <v>109</v>
      </c>
      <c r="H2818">
        <v>11.11</v>
      </c>
      <c r="I2818">
        <v>80</v>
      </c>
      <c r="J2818">
        <v>-38.1</v>
      </c>
      <c r="K2818">
        <v>90</v>
      </c>
      <c r="L2818">
        <v>45.74</v>
      </c>
      <c r="M2818">
        <v>81</v>
      </c>
      <c r="N2818">
        <v>12.4</v>
      </c>
      <c r="O2818">
        <v>63</v>
      </c>
      <c r="P2818">
        <v>-9.65</v>
      </c>
      <c r="Q2818">
        <v>87</v>
      </c>
      <c r="R2818">
        <v>-0.74</v>
      </c>
      <c r="S2818">
        <v>69</v>
      </c>
      <c r="T2818">
        <v>3.39</v>
      </c>
      <c r="U2818">
        <v>66</v>
      </c>
      <c r="V2818">
        <v>-1.93</v>
      </c>
      <c r="W2818">
        <v>47</v>
      </c>
      <c r="X2818" t="s">
        <v>234</v>
      </c>
      <c r="Y2818" t="s">
        <v>95</v>
      </c>
      <c r="Z2818" t="s">
        <v>96</v>
      </c>
      <c r="AA2818" t="s">
        <v>193</v>
      </c>
      <c r="AB2818" t="s">
        <v>812</v>
      </c>
      <c r="AC2818">
        <v>36</v>
      </c>
      <c r="AD2818">
        <v>15</v>
      </c>
      <c r="AE2818">
        <v>90</v>
      </c>
      <c r="AF2818">
        <v>-229.36</v>
      </c>
      <c r="AG2818">
        <v>-8.48</v>
      </c>
      <c r="AH2818">
        <v>-6.99</v>
      </c>
      <c r="AI2818">
        <v>0.01</v>
      </c>
      <c r="AJ2818">
        <v>0.02</v>
      </c>
      <c r="AK2818">
        <v>81</v>
      </c>
      <c r="AL2818">
        <v>38</v>
      </c>
      <c r="AM2818">
        <v>16</v>
      </c>
      <c r="AN2818">
        <v>-1.53</v>
      </c>
      <c r="AO2818">
        <v>2.13</v>
      </c>
      <c r="AP2818">
        <v>36</v>
      </c>
      <c r="AQ2818">
        <v>0</v>
      </c>
      <c r="AR2818">
        <v>6.6</v>
      </c>
      <c r="AS2818">
        <v>42</v>
      </c>
      <c r="AT2818">
        <v>2.64</v>
      </c>
      <c r="AU2818">
        <v>63</v>
      </c>
      <c r="AV2818">
        <v>-0.87</v>
      </c>
      <c r="AW2818">
        <v>73</v>
      </c>
      <c r="AX2818">
        <v>-0.42</v>
      </c>
      <c r="AY2818">
        <v>65</v>
      </c>
      <c r="AZ2818">
        <v>6.6</v>
      </c>
      <c r="BA2818">
        <v>44</v>
      </c>
      <c r="BB2818">
        <v>5.37</v>
      </c>
      <c r="BC2818">
        <v>48</v>
      </c>
      <c r="BD2818">
        <v>0</v>
      </c>
      <c r="BE2818">
        <v>0.03</v>
      </c>
      <c r="BF2818">
        <v>-0.04</v>
      </c>
      <c r="BG2818">
        <v>85</v>
      </c>
      <c r="BH2818">
        <v>-0.01</v>
      </c>
      <c r="BI2818">
        <v>5.08</v>
      </c>
      <c r="BJ2818">
        <v>3</v>
      </c>
      <c r="BK2818">
        <v>3</v>
      </c>
      <c r="BL2818">
        <v>0.25</v>
      </c>
      <c r="BM2818">
        <v>-1.45</v>
      </c>
      <c r="BN2818">
        <v>-1.07</v>
      </c>
      <c r="BO2818">
        <v>-0.2</v>
      </c>
      <c r="BP2818">
        <v>1.43</v>
      </c>
      <c r="BQ2818">
        <v>-3.26</v>
      </c>
      <c r="BR2818">
        <v>0.4</v>
      </c>
      <c r="BS2818">
        <v>-0.8</v>
      </c>
      <c r="BT2818">
        <v>-1.1399999999999999</v>
      </c>
      <c r="BU2818">
        <v>-0.44</v>
      </c>
      <c r="BV2818">
        <v>-0.51</v>
      </c>
      <c r="BW2818">
        <v>0.02</v>
      </c>
      <c r="BX2818">
        <v>0.56000000000000005</v>
      </c>
      <c r="BY2818">
        <v>-0.67</v>
      </c>
      <c r="BZ2818">
        <v>1.81</v>
      </c>
      <c r="CA2818">
        <v>-0.51</v>
      </c>
      <c r="CB2818">
        <v>-0.48</v>
      </c>
      <c r="CC2818">
        <v>-0.64</v>
      </c>
      <c r="CD2818">
        <v>-0.36</v>
      </c>
      <c r="CE2818">
        <v>-0.4</v>
      </c>
      <c r="CF2818">
        <v>-0.22</v>
      </c>
      <c r="CG2818">
        <v>0</v>
      </c>
      <c r="CH2818">
        <v>-1.1000000000000001</v>
      </c>
      <c r="CI2818">
        <v>0</v>
      </c>
      <c r="CJ2818">
        <v>-4.3</v>
      </c>
      <c r="CK2818">
        <v>88</v>
      </c>
      <c r="CL2818">
        <v>-0.26</v>
      </c>
      <c r="CM2818">
        <v>86</v>
      </c>
      <c r="CN2818">
        <v>0.06</v>
      </c>
      <c r="CO2818">
        <v>85</v>
      </c>
      <c r="CP2818">
        <v>-2.2000000000000002</v>
      </c>
      <c r="CQ2818">
        <v>80</v>
      </c>
      <c r="CR2818">
        <v>0</v>
      </c>
      <c r="CS2818">
        <v>0</v>
      </c>
      <c r="CT2818">
        <v>9.1999999999999993</v>
      </c>
      <c r="CU2818">
        <v>66</v>
      </c>
      <c r="CV2818">
        <v>7.0000000000000007E-2</v>
      </c>
      <c r="CW2818">
        <v>26</v>
      </c>
      <c r="CX2818" t="s">
        <v>118</v>
      </c>
    </row>
    <row r="2819" spans="1:102" x14ac:dyDescent="0.3">
      <c r="A2819" t="str">
        <f>HYPERLINK("https://webapp.icbf.com/v2/app/bull-search/view/69092188","LZT")</f>
        <v>LZT</v>
      </c>
      <c r="B2819" t="s">
        <v>15652</v>
      </c>
      <c r="C2819" t="s">
        <v>15653</v>
      </c>
      <c r="D2819" s="1">
        <v>33701</v>
      </c>
      <c r="E2819" t="s">
        <v>895</v>
      </c>
      <c r="F2819">
        <v>0</v>
      </c>
      <c r="G2819" t="s">
        <v>116</v>
      </c>
      <c r="H2819">
        <v>11.01</v>
      </c>
      <c r="I2819">
        <v>38</v>
      </c>
      <c r="J2819">
        <v>-17.79</v>
      </c>
      <c r="K2819">
        <v>61</v>
      </c>
      <c r="L2819">
        <v>7.03</v>
      </c>
      <c r="M2819">
        <v>19</v>
      </c>
      <c r="N2819">
        <v>3.53</v>
      </c>
      <c r="O2819">
        <v>30</v>
      </c>
      <c r="P2819">
        <v>1.23</v>
      </c>
      <c r="Q2819">
        <v>51</v>
      </c>
      <c r="R2819">
        <v>1.45</v>
      </c>
      <c r="S2819">
        <v>24</v>
      </c>
      <c r="T2819">
        <v>23.59</v>
      </c>
      <c r="U2819">
        <v>30</v>
      </c>
      <c r="V2819">
        <v>-8.0299999999999994</v>
      </c>
      <c r="W2819">
        <v>36</v>
      </c>
      <c r="X2819" t="s">
        <v>94</v>
      </c>
      <c r="Y2819" t="s">
        <v>95</v>
      </c>
      <c r="Z2819">
        <v>0</v>
      </c>
      <c r="AA2819" t="s">
        <v>144</v>
      </c>
      <c r="AB2819" t="s">
        <v>144</v>
      </c>
      <c r="AC2819">
        <v>6</v>
      </c>
      <c r="AD2819">
        <v>3</v>
      </c>
      <c r="AE2819">
        <v>61</v>
      </c>
      <c r="AF2819">
        <v>-185.96</v>
      </c>
      <c r="AG2819">
        <v>-3.85</v>
      </c>
      <c r="AH2819">
        <v>-4.51</v>
      </c>
      <c r="AI2819">
        <v>0.06</v>
      </c>
      <c r="AJ2819">
        <v>0.03</v>
      </c>
      <c r="AK2819">
        <v>19</v>
      </c>
      <c r="AL2819">
        <v>6</v>
      </c>
      <c r="AM2819">
        <v>3</v>
      </c>
      <c r="AN2819">
        <v>1.1000000000000001</v>
      </c>
      <c r="AO2819">
        <v>1.68</v>
      </c>
      <c r="AP2819">
        <v>4</v>
      </c>
      <c r="AQ2819">
        <v>12</v>
      </c>
      <c r="AR2819">
        <v>8.2799999999999994</v>
      </c>
      <c r="AS2819">
        <v>4</v>
      </c>
      <c r="AT2819">
        <v>3.66</v>
      </c>
      <c r="AU2819">
        <v>19</v>
      </c>
      <c r="AV2819">
        <v>-0.92</v>
      </c>
      <c r="AW2819">
        <v>46</v>
      </c>
      <c r="AX2819">
        <v>-0.41</v>
      </c>
      <c r="AY2819">
        <v>40</v>
      </c>
      <c r="AZ2819">
        <v>6</v>
      </c>
      <c r="BA2819">
        <v>5</v>
      </c>
      <c r="BB2819">
        <v>4.7300000000000004</v>
      </c>
      <c r="BC2819">
        <v>13</v>
      </c>
      <c r="BD2819">
        <v>0.04</v>
      </c>
      <c r="BE2819">
        <v>0</v>
      </c>
      <c r="BF2819">
        <v>-0.1</v>
      </c>
      <c r="BG2819">
        <v>28</v>
      </c>
      <c r="BH2819">
        <v>-0.28999999999999998</v>
      </c>
      <c r="BI2819">
        <v>-7.63</v>
      </c>
      <c r="BJ2819">
        <v>0</v>
      </c>
      <c r="BK2819">
        <v>0</v>
      </c>
      <c r="BL2819">
        <v>-1.36</v>
      </c>
      <c r="BM2819">
        <v>1.22</v>
      </c>
      <c r="BN2819">
        <v>-1.4</v>
      </c>
      <c r="BO2819">
        <v>-1.86</v>
      </c>
      <c r="BP2819">
        <v>0.4</v>
      </c>
      <c r="BQ2819">
        <v>-0.34</v>
      </c>
      <c r="BR2819">
        <v>-0.42</v>
      </c>
      <c r="BS2819">
        <v>0.09</v>
      </c>
      <c r="BT2819">
        <v>0.28000000000000003</v>
      </c>
      <c r="BU2819">
        <v>-1.95</v>
      </c>
      <c r="BV2819">
        <v>-1.76</v>
      </c>
      <c r="BW2819">
        <v>-1.69</v>
      </c>
      <c r="BX2819">
        <v>-1.43</v>
      </c>
      <c r="BY2819">
        <v>-1.73</v>
      </c>
      <c r="BZ2819">
        <v>0</v>
      </c>
      <c r="CA2819">
        <v>-1.57</v>
      </c>
      <c r="CB2819">
        <v>-1.83</v>
      </c>
      <c r="CC2819">
        <v>-0.52</v>
      </c>
      <c r="CD2819">
        <v>1.58</v>
      </c>
      <c r="CE2819">
        <v>-1.99</v>
      </c>
      <c r="CF2819">
        <v>-1.39</v>
      </c>
      <c r="CG2819">
        <v>0</v>
      </c>
      <c r="CH2819">
        <v>-2.4</v>
      </c>
      <c r="CI2819">
        <v>0</v>
      </c>
      <c r="CJ2819">
        <v>-0.9</v>
      </c>
      <c r="CK2819">
        <v>55</v>
      </c>
      <c r="CL2819">
        <v>0.26</v>
      </c>
      <c r="CM2819">
        <v>49</v>
      </c>
      <c r="CN2819">
        <v>-0.11</v>
      </c>
      <c r="CO2819">
        <v>44</v>
      </c>
      <c r="CP2819">
        <v>-10</v>
      </c>
      <c r="CQ2819">
        <v>43</v>
      </c>
      <c r="CR2819">
        <v>0</v>
      </c>
      <c r="CS2819">
        <v>0</v>
      </c>
      <c r="CT2819">
        <v>-18.100000000000001</v>
      </c>
      <c r="CU2819">
        <v>30</v>
      </c>
      <c r="CV2819">
        <v>-0.2</v>
      </c>
      <c r="CW2819">
        <v>14</v>
      </c>
      <c r="CX2819">
        <v>0</v>
      </c>
    </row>
    <row r="2820" spans="1:102" x14ac:dyDescent="0.3">
      <c r="A2820" t="str">
        <f>HYPERLINK("https://webapp.icbf.com/v2/app/bull-search/view/492952356","PKP")</f>
        <v>PKP</v>
      </c>
      <c r="B2820" t="s">
        <v>9724</v>
      </c>
      <c r="C2820" t="s">
        <v>9725</v>
      </c>
      <c r="D2820" s="1">
        <v>39101</v>
      </c>
      <c r="E2820" t="s">
        <v>92</v>
      </c>
      <c r="F2820">
        <v>94</v>
      </c>
      <c r="G2820" t="s">
        <v>93</v>
      </c>
      <c r="H2820">
        <v>10.96</v>
      </c>
      <c r="I2820">
        <v>87</v>
      </c>
      <c r="J2820">
        <v>33.56</v>
      </c>
      <c r="K2820">
        <v>97</v>
      </c>
      <c r="L2820">
        <v>-51.82</v>
      </c>
      <c r="M2820">
        <v>79</v>
      </c>
      <c r="N2820">
        <v>47.92</v>
      </c>
      <c r="O2820">
        <v>85</v>
      </c>
      <c r="P2820">
        <v>4.3099999999999996</v>
      </c>
      <c r="Q2820">
        <v>91</v>
      </c>
      <c r="R2820">
        <v>-13.37</v>
      </c>
      <c r="S2820">
        <v>80</v>
      </c>
      <c r="T2820">
        <v>-6.38</v>
      </c>
      <c r="U2820">
        <v>84</v>
      </c>
      <c r="V2820">
        <v>-3.26</v>
      </c>
      <c r="W2820">
        <v>80</v>
      </c>
      <c r="X2820" t="s">
        <v>94</v>
      </c>
      <c r="Y2820" t="s">
        <v>1113</v>
      </c>
      <c r="Z2820" t="s">
        <v>96</v>
      </c>
      <c r="AA2820" t="s">
        <v>2441</v>
      </c>
      <c r="AB2820" t="s">
        <v>9726</v>
      </c>
      <c r="AC2820">
        <v>75</v>
      </c>
      <c r="AD2820">
        <v>59</v>
      </c>
      <c r="AE2820">
        <v>97</v>
      </c>
      <c r="AF2820">
        <v>4.93</v>
      </c>
      <c r="AG2820">
        <v>5.07</v>
      </c>
      <c r="AH2820">
        <v>3.99</v>
      </c>
      <c r="AI2820">
        <v>0.09</v>
      </c>
      <c r="AJ2820">
        <v>7.0000000000000007E-2</v>
      </c>
      <c r="AK2820">
        <v>79</v>
      </c>
      <c r="AL2820">
        <v>77</v>
      </c>
      <c r="AM2820">
        <v>62</v>
      </c>
      <c r="AN2820">
        <v>2.2400000000000002</v>
      </c>
      <c r="AO2820">
        <v>-1.9</v>
      </c>
      <c r="AP2820">
        <v>192</v>
      </c>
      <c r="AQ2820">
        <v>2</v>
      </c>
      <c r="AR2820">
        <v>5.68</v>
      </c>
      <c r="AS2820">
        <v>69</v>
      </c>
      <c r="AT2820">
        <v>2.58</v>
      </c>
      <c r="AU2820">
        <v>88</v>
      </c>
      <c r="AV2820">
        <v>-4.2</v>
      </c>
      <c r="AW2820">
        <v>96</v>
      </c>
      <c r="AX2820">
        <v>-0.51</v>
      </c>
      <c r="AY2820">
        <v>79</v>
      </c>
      <c r="AZ2820">
        <v>5.46</v>
      </c>
      <c r="BA2820">
        <v>60</v>
      </c>
      <c r="BB2820">
        <v>4.4000000000000004</v>
      </c>
      <c r="BC2820">
        <v>61</v>
      </c>
      <c r="BD2820">
        <v>0.05</v>
      </c>
      <c r="BE2820">
        <v>0.06</v>
      </c>
      <c r="BF2820">
        <v>0.11</v>
      </c>
      <c r="BG2820">
        <v>88</v>
      </c>
      <c r="BH2820">
        <v>0</v>
      </c>
      <c r="BI2820">
        <v>10.53</v>
      </c>
      <c r="BJ2820">
        <v>12</v>
      </c>
      <c r="BK2820">
        <v>12</v>
      </c>
      <c r="BL2820">
        <v>0.8</v>
      </c>
      <c r="BM2820">
        <v>0.63</v>
      </c>
      <c r="BN2820">
        <v>-0.6</v>
      </c>
      <c r="BO2820">
        <v>-0.31</v>
      </c>
      <c r="BP2820">
        <v>2.99</v>
      </c>
      <c r="BQ2820">
        <v>0.86</v>
      </c>
      <c r="BR2820">
        <v>1.83</v>
      </c>
      <c r="BS2820">
        <v>0.44</v>
      </c>
      <c r="BT2820">
        <v>-1.93</v>
      </c>
      <c r="BU2820">
        <v>-1.1499999999999999</v>
      </c>
      <c r="BV2820">
        <v>-1.06</v>
      </c>
      <c r="BW2820">
        <v>-1.24</v>
      </c>
      <c r="BX2820">
        <v>-0.92</v>
      </c>
      <c r="BY2820">
        <v>-0.61</v>
      </c>
      <c r="BZ2820">
        <v>3.06</v>
      </c>
      <c r="CA2820">
        <v>-1.07</v>
      </c>
      <c r="CB2820">
        <v>-0.9</v>
      </c>
      <c r="CC2820">
        <v>-0.83</v>
      </c>
      <c r="CD2820">
        <v>0.32</v>
      </c>
      <c r="CE2820">
        <v>-0.6</v>
      </c>
      <c r="CF2820">
        <v>-0.28000000000000003</v>
      </c>
      <c r="CG2820">
        <v>0</v>
      </c>
      <c r="CH2820">
        <v>0.68</v>
      </c>
      <c r="CI2820">
        <v>0</v>
      </c>
      <c r="CJ2820">
        <v>3.6</v>
      </c>
      <c r="CK2820">
        <v>92</v>
      </c>
      <c r="CL2820">
        <v>-0.71</v>
      </c>
      <c r="CM2820">
        <v>90</v>
      </c>
      <c r="CN2820">
        <v>-0.53</v>
      </c>
      <c r="CO2820">
        <v>89</v>
      </c>
      <c r="CP2820">
        <v>3.1</v>
      </c>
      <c r="CQ2820">
        <v>87</v>
      </c>
      <c r="CR2820">
        <v>0</v>
      </c>
      <c r="CS2820">
        <v>0</v>
      </c>
      <c r="CT2820">
        <v>22.4</v>
      </c>
      <c r="CU2820">
        <v>84</v>
      </c>
      <c r="CV2820">
        <v>0.24</v>
      </c>
      <c r="CW2820">
        <v>44</v>
      </c>
      <c r="CX2820" t="s">
        <v>4342</v>
      </c>
    </row>
    <row r="2821" spans="1:102" x14ac:dyDescent="0.3">
      <c r="A2821" t="str">
        <f>HYPERLINK("https://webapp.icbf.com/v2/app/bull-search/view/77854606","OPT")</f>
        <v>OPT</v>
      </c>
      <c r="B2821" t="s">
        <v>1183</v>
      </c>
      <c r="C2821" t="s">
        <v>1184</v>
      </c>
      <c r="D2821" s="1">
        <v>34203</v>
      </c>
      <c r="E2821" t="s">
        <v>92</v>
      </c>
      <c r="F2821">
        <v>100</v>
      </c>
      <c r="G2821" t="s">
        <v>109</v>
      </c>
      <c r="H2821">
        <v>10.77</v>
      </c>
      <c r="I2821">
        <v>83</v>
      </c>
      <c r="J2821">
        <v>17.61</v>
      </c>
      <c r="K2821">
        <v>91</v>
      </c>
      <c r="L2821">
        <v>-15.2</v>
      </c>
      <c r="M2821">
        <v>88</v>
      </c>
      <c r="N2821">
        <v>15.25</v>
      </c>
      <c r="O2821">
        <v>69</v>
      </c>
      <c r="P2821">
        <v>-10.3</v>
      </c>
      <c r="Q2821">
        <v>78</v>
      </c>
      <c r="R2821">
        <v>-6.78</v>
      </c>
      <c r="S2821">
        <v>74</v>
      </c>
      <c r="T2821">
        <v>16.93</v>
      </c>
      <c r="U2821">
        <v>71</v>
      </c>
      <c r="V2821">
        <v>-6.74</v>
      </c>
      <c r="W2821">
        <v>46</v>
      </c>
      <c r="X2821" t="s">
        <v>94</v>
      </c>
      <c r="Y2821" t="s">
        <v>95</v>
      </c>
      <c r="Z2821" t="s">
        <v>96</v>
      </c>
      <c r="AA2821" t="s">
        <v>1185</v>
      </c>
      <c r="AB2821" t="s">
        <v>1186</v>
      </c>
      <c r="AC2821">
        <v>13</v>
      </c>
      <c r="AD2821">
        <v>14</v>
      </c>
      <c r="AE2821">
        <v>91</v>
      </c>
      <c r="AF2821">
        <v>96.71</v>
      </c>
      <c r="AG2821">
        <v>11.49</v>
      </c>
      <c r="AH2821">
        <v>0.41</v>
      </c>
      <c r="AI2821">
        <v>0.13</v>
      </c>
      <c r="AJ2821">
        <v>-0.05</v>
      </c>
      <c r="AK2821">
        <v>88</v>
      </c>
      <c r="AL2821">
        <v>26</v>
      </c>
      <c r="AM2821">
        <v>14</v>
      </c>
      <c r="AN2821">
        <v>0.25</v>
      </c>
      <c r="AO2821">
        <v>-0.97</v>
      </c>
      <c r="AP2821">
        <v>26</v>
      </c>
      <c r="AQ2821">
        <v>2</v>
      </c>
      <c r="AR2821">
        <v>6.19</v>
      </c>
      <c r="AS2821">
        <v>60</v>
      </c>
      <c r="AT2821">
        <v>2.68</v>
      </c>
      <c r="AU2821">
        <v>96</v>
      </c>
      <c r="AV2821">
        <v>-0.95</v>
      </c>
      <c r="AW2821">
        <v>61</v>
      </c>
      <c r="AX2821">
        <v>-0.57999999999999996</v>
      </c>
      <c r="AY2821">
        <v>69</v>
      </c>
      <c r="AZ2821">
        <v>6.1</v>
      </c>
      <c r="BA2821">
        <v>55</v>
      </c>
      <c r="BB2821">
        <v>5.28</v>
      </c>
      <c r="BC2821">
        <v>54</v>
      </c>
      <c r="BD2821">
        <v>0.03</v>
      </c>
      <c r="BE2821">
        <v>0.04</v>
      </c>
      <c r="BF2821">
        <v>0.03</v>
      </c>
      <c r="BG2821">
        <v>92</v>
      </c>
      <c r="BH2821">
        <v>-0.01</v>
      </c>
      <c r="BI2821">
        <v>20.59</v>
      </c>
      <c r="BJ2821">
        <v>4</v>
      </c>
      <c r="BK2821">
        <v>3</v>
      </c>
      <c r="BL2821">
        <v>0.72</v>
      </c>
      <c r="BM2821">
        <v>-1.08</v>
      </c>
      <c r="BN2821">
        <v>-0.56000000000000005</v>
      </c>
      <c r="BO2821">
        <v>0.63</v>
      </c>
      <c r="BP2821">
        <v>2.16</v>
      </c>
      <c r="BQ2821">
        <v>-1.59</v>
      </c>
      <c r="BR2821">
        <v>-0.01</v>
      </c>
      <c r="BS2821">
        <v>2.96</v>
      </c>
      <c r="BT2821">
        <v>0.7</v>
      </c>
      <c r="BU2821">
        <v>-0.41</v>
      </c>
      <c r="BV2821">
        <v>1.1200000000000001</v>
      </c>
      <c r="BW2821">
        <v>0.32</v>
      </c>
      <c r="BX2821">
        <v>-0.13</v>
      </c>
      <c r="BY2821">
        <v>0.05</v>
      </c>
      <c r="BZ2821">
        <v>0.99</v>
      </c>
      <c r="CA2821">
        <v>0.84</v>
      </c>
      <c r="CB2821">
        <v>0.14000000000000001</v>
      </c>
      <c r="CC2821">
        <v>1.72</v>
      </c>
      <c r="CD2821">
        <v>-0.35</v>
      </c>
      <c r="CE2821">
        <v>0.35</v>
      </c>
      <c r="CF2821">
        <v>-0.02</v>
      </c>
      <c r="CG2821">
        <v>0</v>
      </c>
      <c r="CH2821">
        <v>1.39</v>
      </c>
      <c r="CI2821">
        <v>0</v>
      </c>
      <c r="CJ2821">
        <v>-4.4000000000000004</v>
      </c>
      <c r="CK2821">
        <v>79</v>
      </c>
      <c r="CL2821">
        <v>-0.67</v>
      </c>
      <c r="CM2821">
        <v>77</v>
      </c>
      <c r="CN2821">
        <v>-0.3</v>
      </c>
      <c r="CO2821">
        <v>75</v>
      </c>
      <c r="CP2821">
        <v>-5.5</v>
      </c>
      <c r="CQ2821">
        <v>77</v>
      </c>
      <c r="CR2821">
        <v>0</v>
      </c>
      <c r="CS2821">
        <v>0</v>
      </c>
      <c r="CT2821">
        <v>-9.1</v>
      </c>
      <c r="CU2821">
        <v>71</v>
      </c>
      <c r="CV2821">
        <v>0.09</v>
      </c>
      <c r="CW2821">
        <v>22</v>
      </c>
      <c r="CX2821" t="s">
        <v>111</v>
      </c>
    </row>
    <row r="2822" spans="1:102" x14ac:dyDescent="0.3">
      <c r="A2822" t="str">
        <f>HYPERLINK("https://webapp.icbf.com/v2/app/bull-search/view/1150880620","S2214")</f>
        <v>S2214</v>
      </c>
      <c r="B2822" t="s">
        <v>13297</v>
      </c>
      <c r="C2822" t="s">
        <v>13298</v>
      </c>
      <c r="D2822" s="1">
        <v>41182</v>
      </c>
      <c r="E2822" t="s">
        <v>92</v>
      </c>
      <c r="F2822">
        <v>100</v>
      </c>
      <c r="G2822" t="s">
        <v>109</v>
      </c>
      <c r="H2822">
        <v>10.77</v>
      </c>
      <c r="I2822">
        <v>82</v>
      </c>
      <c r="J2822">
        <v>70.94</v>
      </c>
      <c r="K2822">
        <v>94</v>
      </c>
      <c r="L2822">
        <v>-91.7</v>
      </c>
      <c r="M2822">
        <v>86</v>
      </c>
      <c r="N2822">
        <v>38.54</v>
      </c>
      <c r="O2822">
        <v>78</v>
      </c>
      <c r="P2822">
        <v>-15.72</v>
      </c>
      <c r="Q2822">
        <v>68</v>
      </c>
      <c r="R2822">
        <v>18.21</v>
      </c>
      <c r="S2822">
        <v>75</v>
      </c>
      <c r="T2822">
        <v>-7.49</v>
      </c>
      <c r="U2822">
        <v>56</v>
      </c>
      <c r="V2822">
        <v>-2.0099999999999998</v>
      </c>
      <c r="W2822">
        <v>59</v>
      </c>
      <c r="X2822" t="s">
        <v>94</v>
      </c>
      <c r="Y2822" t="s">
        <v>367</v>
      </c>
      <c r="Z2822" t="s">
        <v>96</v>
      </c>
      <c r="AA2822" t="s">
        <v>412</v>
      </c>
      <c r="AB2822" t="s">
        <v>13299</v>
      </c>
      <c r="AC2822">
        <v>29</v>
      </c>
      <c r="AD2822">
        <v>15</v>
      </c>
      <c r="AE2822">
        <v>94</v>
      </c>
      <c r="AF2822">
        <v>415.1</v>
      </c>
      <c r="AG2822">
        <v>13.96</v>
      </c>
      <c r="AH2822">
        <v>13.48</v>
      </c>
      <c r="AI2822">
        <v>-0.04</v>
      </c>
      <c r="AJ2822">
        <v>-0.01</v>
      </c>
      <c r="AK2822">
        <v>86</v>
      </c>
      <c r="AL2822">
        <v>0</v>
      </c>
      <c r="AM2822">
        <v>0</v>
      </c>
      <c r="AN2822">
        <v>6.8</v>
      </c>
      <c r="AO2822">
        <v>-0.49</v>
      </c>
      <c r="AP2822">
        <v>67</v>
      </c>
      <c r="AQ2822">
        <v>0</v>
      </c>
      <c r="AR2822">
        <v>6.2</v>
      </c>
      <c r="AS2822">
        <v>72</v>
      </c>
      <c r="AT2822">
        <v>2.44</v>
      </c>
      <c r="AU2822">
        <v>92</v>
      </c>
      <c r="AV2822">
        <v>-3.32</v>
      </c>
      <c r="AW2822">
        <v>88</v>
      </c>
      <c r="AX2822">
        <v>7.0000000000000007E-2</v>
      </c>
      <c r="AY2822">
        <v>66</v>
      </c>
      <c r="AZ2822">
        <v>5.13</v>
      </c>
      <c r="BA2822">
        <v>52</v>
      </c>
      <c r="BB2822">
        <v>4.68</v>
      </c>
      <c r="BC2822">
        <v>42</v>
      </c>
      <c r="BD2822">
        <v>-0.04</v>
      </c>
      <c r="BE2822">
        <v>-0.08</v>
      </c>
      <c r="BF2822">
        <v>-0.2</v>
      </c>
      <c r="BG2822">
        <v>92</v>
      </c>
      <c r="BH2822">
        <v>7.0000000000000007E-2</v>
      </c>
      <c r="BI2822">
        <v>14.57</v>
      </c>
      <c r="BJ2822">
        <v>11</v>
      </c>
      <c r="BK2822">
        <v>7</v>
      </c>
      <c r="BL2822">
        <v>2.23</v>
      </c>
      <c r="BM2822">
        <v>-0.36</v>
      </c>
      <c r="BN2822">
        <v>1.24</v>
      </c>
      <c r="BO2822">
        <v>1.72</v>
      </c>
      <c r="BP2822">
        <v>-1.71</v>
      </c>
      <c r="BQ2822">
        <v>2.3199999999999998</v>
      </c>
      <c r="BR2822">
        <v>-1.35</v>
      </c>
      <c r="BS2822">
        <v>3.27</v>
      </c>
      <c r="BT2822">
        <v>1.93</v>
      </c>
      <c r="BU2822">
        <v>3.42</v>
      </c>
      <c r="BV2822">
        <v>4.04</v>
      </c>
      <c r="BW2822">
        <v>3.66</v>
      </c>
      <c r="BX2822">
        <v>2.74</v>
      </c>
      <c r="BY2822">
        <v>2.36</v>
      </c>
      <c r="BZ2822">
        <v>-0.38</v>
      </c>
      <c r="CA2822">
        <v>3.49</v>
      </c>
      <c r="CB2822">
        <v>3.07</v>
      </c>
      <c r="CC2822">
        <v>2.57</v>
      </c>
      <c r="CD2822">
        <v>-1.22</v>
      </c>
      <c r="CE2822">
        <v>1.29</v>
      </c>
      <c r="CF2822">
        <v>1.86</v>
      </c>
      <c r="CG2822">
        <v>0</v>
      </c>
      <c r="CH2822">
        <v>2.4500000000000002</v>
      </c>
      <c r="CI2822">
        <v>0</v>
      </c>
      <c r="CJ2822">
        <v>-6.1</v>
      </c>
      <c r="CK2822">
        <v>71</v>
      </c>
      <c r="CL2822">
        <v>-1.95</v>
      </c>
      <c r="CM2822">
        <v>67</v>
      </c>
      <c r="CN2822">
        <v>-1.03</v>
      </c>
      <c r="CO2822">
        <v>66</v>
      </c>
      <c r="CP2822">
        <v>5.0999999999999996</v>
      </c>
      <c r="CQ2822">
        <v>56</v>
      </c>
      <c r="CR2822">
        <v>0</v>
      </c>
      <c r="CS2822">
        <v>0</v>
      </c>
      <c r="CT2822">
        <v>23.9</v>
      </c>
      <c r="CU2822">
        <v>56</v>
      </c>
      <c r="CV2822">
        <v>0.31</v>
      </c>
      <c r="CW2822">
        <v>39</v>
      </c>
      <c r="CX2822" t="s">
        <v>309</v>
      </c>
    </row>
    <row r="2823" spans="1:102" x14ac:dyDescent="0.3">
      <c r="A2823" t="str">
        <f>HYPERLINK("https://webapp.icbf.com/v2/app/bull-search/view/1336201240","MO2281")</f>
        <v>MO2281</v>
      </c>
      <c r="B2823" t="s">
        <v>6049</v>
      </c>
      <c r="C2823" t="s">
        <v>6050</v>
      </c>
      <c r="D2823" s="1">
        <v>41096</v>
      </c>
      <c r="E2823" t="s">
        <v>140</v>
      </c>
      <c r="F2823">
        <v>0</v>
      </c>
      <c r="G2823" t="s">
        <v>109</v>
      </c>
      <c r="H2823">
        <v>10.76</v>
      </c>
      <c r="I2823">
        <v>61</v>
      </c>
      <c r="J2823">
        <v>-7.1</v>
      </c>
      <c r="K2823">
        <v>76</v>
      </c>
      <c r="L2823">
        <v>6.82</v>
      </c>
      <c r="M2823">
        <v>42</v>
      </c>
      <c r="N2823">
        <v>13.5</v>
      </c>
      <c r="O2823">
        <v>78</v>
      </c>
      <c r="P2823">
        <v>7.96</v>
      </c>
      <c r="Q2823">
        <v>86</v>
      </c>
      <c r="R2823">
        <v>-7.8</v>
      </c>
      <c r="S2823">
        <v>44</v>
      </c>
      <c r="T2823">
        <v>2.87</v>
      </c>
      <c r="U2823">
        <v>54</v>
      </c>
      <c r="V2823">
        <v>-5.49</v>
      </c>
      <c r="W2823">
        <v>36</v>
      </c>
      <c r="X2823" t="s">
        <v>102</v>
      </c>
      <c r="Y2823" t="s">
        <v>405</v>
      </c>
      <c r="Z2823">
        <v>0</v>
      </c>
      <c r="AA2823" t="s">
        <v>6051</v>
      </c>
      <c r="AB2823" t="s">
        <v>6052</v>
      </c>
      <c r="AC2823">
        <v>0</v>
      </c>
      <c r="AD2823">
        <v>0</v>
      </c>
      <c r="AE2823">
        <v>76</v>
      </c>
      <c r="AF2823">
        <v>56.81</v>
      </c>
      <c r="AG2823">
        <v>-3.33</v>
      </c>
      <c r="AH2823">
        <v>0.84</v>
      </c>
      <c r="AI2823">
        <v>-0.09</v>
      </c>
      <c r="AJ2823">
        <v>-0.02</v>
      </c>
      <c r="AK2823">
        <v>42</v>
      </c>
      <c r="AL2823">
        <v>0</v>
      </c>
      <c r="AM2823">
        <v>0</v>
      </c>
      <c r="AN2823">
        <v>0.09</v>
      </c>
      <c r="AO2823">
        <v>0.64</v>
      </c>
      <c r="AP2823">
        <v>385</v>
      </c>
      <c r="AQ2823">
        <v>3</v>
      </c>
      <c r="AR2823">
        <v>6.34</v>
      </c>
      <c r="AS2823">
        <v>84</v>
      </c>
      <c r="AT2823">
        <v>3.92</v>
      </c>
      <c r="AU2823">
        <v>85</v>
      </c>
      <c r="AV2823">
        <v>-1.58</v>
      </c>
      <c r="AW2823">
        <v>97</v>
      </c>
      <c r="AX2823">
        <v>-0.15</v>
      </c>
      <c r="AY2823">
        <v>87</v>
      </c>
      <c r="AZ2823">
        <v>5.72</v>
      </c>
      <c r="BA2823">
        <v>36</v>
      </c>
      <c r="BB2823">
        <v>4.28</v>
      </c>
      <c r="BC2823">
        <v>10</v>
      </c>
      <c r="BD2823">
        <v>0.02</v>
      </c>
      <c r="BE2823">
        <v>0.04</v>
      </c>
      <c r="BF2823">
        <v>7.0000000000000007E-2</v>
      </c>
      <c r="BG2823">
        <v>56</v>
      </c>
      <c r="BH2823">
        <v>-0.22</v>
      </c>
      <c r="BI2823">
        <v>-7.75</v>
      </c>
      <c r="BJ2823">
        <v>0</v>
      </c>
      <c r="BK2823">
        <v>0</v>
      </c>
      <c r="BL2823">
        <v>-0.62</v>
      </c>
      <c r="BM2823">
        <v>3.8</v>
      </c>
      <c r="BN2823">
        <v>-1.49</v>
      </c>
      <c r="BO2823">
        <v>-3.01</v>
      </c>
      <c r="BP2823">
        <v>4.28</v>
      </c>
      <c r="BQ2823">
        <v>-1.68</v>
      </c>
      <c r="BR2823">
        <v>-2.61</v>
      </c>
      <c r="BS2823">
        <v>-0.36</v>
      </c>
      <c r="BT2823">
        <v>2.54</v>
      </c>
      <c r="BU2823">
        <v>-3.25</v>
      </c>
      <c r="BV2823">
        <v>-3.69</v>
      </c>
      <c r="BW2823">
        <v>-2.8</v>
      </c>
      <c r="BX2823">
        <v>-2.56</v>
      </c>
      <c r="BY2823">
        <v>-1.82</v>
      </c>
      <c r="BZ2823">
        <v>1.17</v>
      </c>
      <c r="CA2823">
        <v>-2.35</v>
      </c>
      <c r="CB2823">
        <v>-3</v>
      </c>
      <c r="CC2823">
        <v>-0.39</v>
      </c>
      <c r="CD2823">
        <v>4.01</v>
      </c>
      <c r="CE2823">
        <v>-2.89</v>
      </c>
      <c r="CF2823">
        <v>-0.84</v>
      </c>
      <c r="CG2823">
        <v>0</v>
      </c>
      <c r="CH2823">
        <v>-2.38</v>
      </c>
      <c r="CI2823">
        <v>0</v>
      </c>
      <c r="CJ2823">
        <v>3.8</v>
      </c>
      <c r="CK2823">
        <v>91</v>
      </c>
      <c r="CL2823">
        <v>-0.06</v>
      </c>
      <c r="CM2823">
        <v>88</v>
      </c>
      <c r="CN2823">
        <v>-0.19</v>
      </c>
      <c r="CO2823">
        <v>87</v>
      </c>
      <c r="CP2823">
        <v>7.4</v>
      </c>
      <c r="CQ2823">
        <v>48</v>
      </c>
      <c r="CR2823">
        <v>0</v>
      </c>
      <c r="CS2823">
        <v>0</v>
      </c>
      <c r="CT2823">
        <v>9.9</v>
      </c>
      <c r="CU2823">
        <v>54</v>
      </c>
      <c r="CV2823">
        <v>0.01</v>
      </c>
      <c r="CW2823">
        <v>25</v>
      </c>
      <c r="CX2823" t="s">
        <v>6053</v>
      </c>
    </row>
    <row r="2824" spans="1:102" x14ac:dyDescent="0.3">
      <c r="A2824" t="str">
        <f>HYPERLINK("https://webapp.icbf.com/v2/app/bull-search/view/1196707289","AY2289")</f>
        <v>AY2289</v>
      </c>
      <c r="B2824" t="s">
        <v>6013</v>
      </c>
      <c r="C2824" t="s">
        <v>6014</v>
      </c>
      <c r="D2824" s="1">
        <v>40987</v>
      </c>
      <c r="E2824" t="s">
        <v>1061</v>
      </c>
      <c r="F2824">
        <v>0</v>
      </c>
      <c r="G2824" t="s">
        <v>109</v>
      </c>
      <c r="H2824">
        <v>10.55</v>
      </c>
      <c r="I2824">
        <v>44</v>
      </c>
      <c r="J2824">
        <v>9.77</v>
      </c>
      <c r="K2824">
        <v>65</v>
      </c>
      <c r="L2824">
        <v>2.37</v>
      </c>
      <c r="M2824">
        <v>38</v>
      </c>
      <c r="N2824">
        <v>-7.88</v>
      </c>
      <c r="O2824">
        <v>45</v>
      </c>
      <c r="P2824">
        <v>-20.28</v>
      </c>
      <c r="Q2824">
        <v>38</v>
      </c>
      <c r="R2824">
        <v>4.26</v>
      </c>
      <c r="S2824">
        <v>18</v>
      </c>
      <c r="T2824">
        <v>28.18</v>
      </c>
      <c r="U2824">
        <v>11</v>
      </c>
      <c r="V2824">
        <v>-5.87</v>
      </c>
      <c r="W2824">
        <v>18</v>
      </c>
      <c r="X2824" t="s">
        <v>102</v>
      </c>
      <c r="Y2824" t="s">
        <v>405</v>
      </c>
      <c r="Z2824">
        <v>0</v>
      </c>
      <c r="AA2824" t="s">
        <v>6015</v>
      </c>
      <c r="AB2824" t="s">
        <v>6016</v>
      </c>
      <c r="AC2824">
        <v>0</v>
      </c>
      <c r="AD2824">
        <v>0</v>
      </c>
      <c r="AE2824">
        <v>65</v>
      </c>
      <c r="AF2824">
        <v>204.85</v>
      </c>
      <c r="AG2824">
        <v>6.58</v>
      </c>
      <c r="AH2824">
        <v>2.4700000000000002</v>
      </c>
      <c r="AI2824">
        <v>-0.02</v>
      </c>
      <c r="AJ2824">
        <v>-7.0000000000000007E-2</v>
      </c>
      <c r="AK2824">
        <v>38</v>
      </c>
      <c r="AL2824">
        <v>0</v>
      </c>
      <c r="AM2824">
        <v>0</v>
      </c>
      <c r="AN2824">
        <v>0.73</v>
      </c>
      <c r="AO2824">
        <v>0.93</v>
      </c>
      <c r="AP2824">
        <v>32</v>
      </c>
      <c r="AQ2824">
        <v>0</v>
      </c>
      <c r="AR2824">
        <v>7.64</v>
      </c>
      <c r="AS2824">
        <v>22</v>
      </c>
      <c r="AT2824">
        <v>3.24</v>
      </c>
      <c r="AU2824">
        <v>45</v>
      </c>
      <c r="AV2824">
        <v>1.05</v>
      </c>
      <c r="AW2824">
        <v>69</v>
      </c>
      <c r="AX2824">
        <v>-0.69</v>
      </c>
      <c r="AY2824">
        <v>33</v>
      </c>
      <c r="AZ2824">
        <v>6.39</v>
      </c>
      <c r="BA2824">
        <v>10</v>
      </c>
      <c r="BB2824">
        <v>5.0599999999999996</v>
      </c>
      <c r="BC2824">
        <v>1</v>
      </c>
      <c r="BD2824">
        <v>0</v>
      </c>
      <c r="BE2824">
        <v>-0.02</v>
      </c>
      <c r="BF2824">
        <v>-0.06</v>
      </c>
      <c r="BG2824">
        <v>24</v>
      </c>
      <c r="BH2824">
        <v>-0.08</v>
      </c>
      <c r="BI2824">
        <v>9.69</v>
      </c>
      <c r="BJ2824">
        <v>0</v>
      </c>
      <c r="BK2824">
        <v>0</v>
      </c>
      <c r="BL2824">
        <v>0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-10.1</v>
      </c>
      <c r="CK2824">
        <v>43</v>
      </c>
      <c r="CL2824">
        <v>-0.65</v>
      </c>
      <c r="CM2824">
        <v>37</v>
      </c>
      <c r="CN2824">
        <v>-0.23</v>
      </c>
      <c r="CO2824">
        <v>35</v>
      </c>
      <c r="CP2824">
        <v>-15.5</v>
      </c>
      <c r="CQ2824">
        <v>16</v>
      </c>
      <c r="CR2824">
        <v>0</v>
      </c>
      <c r="CS2824">
        <v>0</v>
      </c>
      <c r="CT2824">
        <v>-24.3</v>
      </c>
      <c r="CU2824">
        <v>11</v>
      </c>
      <c r="CV2824">
        <v>-0.09</v>
      </c>
      <c r="CW2824">
        <v>11</v>
      </c>
      <c r="CX2824" t="s">
        <v>6017</v>
      </c>
    </row>
    <row r="2825" spans="1:102" x14ac:dyDescent="0.3">
      <c r="A2825" t="str">
        <f>HYPERLINK("https://webapp.icbf.com/v2/app/bull-search/view/358434755","JUV")</f>
        <v>JUV</v>
      </c>
      <c r="B2825" t="s">
        <v>1175</v>
      </c>
      <c r="C2825" t="s">
        <v>1176</v>
      </c>
      <c r="D2825" s="1">
        <v>34631</v>
      </c>
      <c r="E2825" t="s">
        <v>140</v>
      </c>
      <c r="F2825">
        <v>0</v>
      </c>
      <c r="G2825" t="s">
        <v>109</v>
      </c>
      <c r="H2825">
        <v>10.54</v>
      </c>
      <c r="I2825">
        <v>62</v>
      </c>
      <c r="J2825">
        <v>-30.8</v>
      </c>
      <c r="K2825">
        <v>70</v>
      </c>
      <c r="L2825">
        <v>76.33</v>
      </c>
      <c r="M2825">
        <v>49</v>
      </c>
      <c r="N2825">
        <v>-64.13</v>
      </c>
      <c r="O2825">
        <v>66</v>
      </c>
      <c r="P2825">
        <v>11.41</v>
      </c>
      <c r="Q2825">
        <v>89</v>
      </c>
      <c r="R2825">
        <v>20.82</v>
      </c>
      <c r="S2825">
        <v>55</v>
      </c>
      <c r="T2825">
        <v>11.83</v>
      </c>
      <c r="U2825">
        <v>62</v>
      </c>
      <c r="V2825">
        <v>-14.92</v>
      </c>
      <c r="W2825">
        <v>48</v>
      </c>
      <c r="X2825" t="s">
        <v>94</v>
      </c>
      <c r="Y2825" t="s">
        <v>95</v>
      </c>
      <c r="Z2825">
        <v>0</v>
      </c>
      <c r="AA2825" t="s">
        <v>1177</v>
      </c>
      <c r="AB2825" t="s">
        <v>1178</v>
      </c>
      <c r="AC2825">
        <v>0</v>
      </c>
      <c r="AD2825">
        <v>0</v>
      </c>
      <c r="AE2825">
        <v>70</v>
      </c>
      <c r="AF2825">
        <v>-139.96</v>
      </c>
      <c r="AG2825">
        <v>-6.7</v>
      </c>
      <c r="AH2825">
        <v>-5.01</v>
      </c>
      <c r="AI2825">
        <v>-0.02</v>
      </c>
      <c r="AJ2825">
        <v>0</v>
      </c>
      <c r="AK2825">
        <v>49</v>
      </c>
      <c r="AL2825">
        <v>34</v>
      </c>
      <c r="AM2825">
        <v>22</v>
      </c>
      <c r="AN2825">
        <v>-4.74</v>
      </c>
      <c r="AO2825">
        <v>1.34</v>
      </c>
      <c r="AP2825">
        <v>51</v>
      </c>
      <c r="AQ2825">
        <v>2</v>
      </c>
      <c r="AR2825">
        <v>15.48</v>
      </c>
      <c r="AS2825">
        <v>35</v>
      </c>
      <c r="AT2825">
        <v>6.61</v>
      </c>
      <c r="AU2825">
        <v>63</v>
      </c>
      <c r="AV2825">
        <v>0.2</v>
      </c>
      <c r="AW2825">
        <v>84</v>
      </c>
      <c r="AX2825">
        <v>-0.8</v>
      </c>
      <c r="AY2825">
        <v>66</v>
      </c>
      <c r="AZ2825">
        <v>4.7</v>
      </c>
      <c r="BA2825">
        <v>34</v>
      </c>
      <c r="BB2825">
        <v>3.46</v>
      </c>
      <c r="BC2825">
        <v>45</v>
      </c>
      <c r="BD2825">
        <v>-0.01</v>
      </c>
      <c r="BE2825">
        <v>-0.08</v>
      </c>
      <c r="BF2825">
        <v>-0.31</v>
      </c>
      <c r="BG2825">
        <v>63</v>
      </c>
      <c r="BH2825">
        <v>-0.37</v>
      </c>
      <c r="BI2825">
        <v>5.34</v>
      </c>
      <c r="BJ2825">
        <v>0</v>
      </c>
      <c r="BK2825">
        <v>0</v>
      </c>
      <c r="BL2825">
        <v>-0.79</v>
      </c>
      <c r="BM2825">
        <v>3.06</v>
      </c>
      <c r="BN2825">
        <v>-1.42</v>
      </c>
      <c r="BO2825">
        <v>-2.58</v>
      </c>
      <c r="BP2825">
        <v>3.92</v>
      </c>
      <c r="BQ2825">
        <v>-1.95</v>
      </c>
      <c r="BR2825">
        <v>-2.42</v>
      </c>
      <c r="BS2825">
        <v>-0.31</v>
      </c>
      <c r="BT2825">
        <v>2.29</v>
      </c>
      <c r="BU2825">
        <v>-2.99</v>
      </c>
      <c r="BV2825">
        <v>-3.31</v>
      </c>
      <c r="BW2825">
        <v>-2.59</v>
      </c>
      <c r="BX2825">
        <v>-2.6</v>
      </c>
      <c r="BY2825">
        <v>-1.77</v>
      </c>
      <c r="BZ2825">
        <v>1.22</v>
      </c>
      <c r="CA2825">
        <v>-2.06</v>
      </c>
      <c r="CB2825">
        <v>-2.7</v>
      </c>
      <c r="CC2825">
        <v>-0.18</v>
      </c>
      <c r="CD2825">
        <v>3.46</v>
      </c>
      <c r="CE2825">
        <v>-2.5299999999999998</v>
      </c>
      <c r="CF2825">
        <v>-0.97</v>
      </c>
      <c r="CG2825">
        <v>0</v>
      </c>
      <c r="CH2825">
        <v>-2.16</v>
      </c>
      <c r="CI2825">
        <v>0</v>
      </c>
      <c r="CJ2825">
        <v>3.6</v>
      </c>
      <c r="CK2825">
        <v>91</v>
      </c>
      <c r="CL2825">
        <v>0.38</v>
      </c>
      <c r="CM2825">
        <v>89</v>
      </c>
      <c r="CN2825">
        <v>-0.21</v>
      </c>
      <c r="CO2825">
        <v>87</v>
      </c>
      <c r="CP2825">
        <v>0.4</v>
      </c>
      <c r="CQ2825">
        <v>79</v>
      </c>
      <c r="CR2825">
        <v>0</v>
      </c>
      <c r="CS2825">
        <v>0</v>
      </c>
      <c r="CT2825">
        <v>-2.2000000000000002</v>
      </c>
      <c r="CU2825">
        <v>62</v>
      </c>
      <c r="CV2825">
        <v>-0.19</v>
      </c>
      <c r="CW2825">
        <v>26</v>
      </c>
      <c r="CX2825" t="s">
        <v>1179</v>
      </c>
    </row>
    <row r="2826" spans="1:102" x14ac:dyDescent="0.3">
      <c r="A2826" t="str">
        <f>HYPERLINK("https://webapp.icbf.com/v2/app/bull-search/view/714753100","SDX")</f>
        <v>SDX</v>
      </c>
      <c r="B2826" t="s">
        <v>12730</v>
      </c>
      <c r="C2826" t="s">
        <v>5651</v>
      </c>
      <c r="D2826" s="1">
        <v>39508</v>
      </c>
      <c r="E2826" t="s">
        <v>92</v>
      </c>
      <c r="F2826">
        <v>100</v>
      </c>
      <c r="G2826" t="s">
        <v>93</v>
      </c>
      <c r="H2826">
        <v>10.42</v>
      </c>
      <c r="I2826">
        <v>94</v>
      </c>
      <c r="J2826">
        <v>60.18</v>
      </c>
      <c r="K2826">
        <v>99</v>
      </c>
      <c r="L2826">
        <v>-59.36</v>
      </c>
      <c r="M2826">
        <v>92</v>
      </c>
      <c r="N2826">
        <v>-1.53</v>
      </c>
      <c r="O2826">
        <v>93</v>
      </c>
      <c r="P2826">
        <v>-4.63</v>
      </c>
      <c r="Q2826">
        <v>97</v>
      </c>
      <c r="R2826">
        <v>9.25</v>
      </c>
      <c r="S2826">
        <v>85</v>
      </c>
      <c r="T2826">
        <v>-0.46</v>
      </c>
      <c r="U2826">
        <v>91</v>
      </c>
      <c r="V2826">
        <v>6.97</v>
      </c>
      <c r="W2826">
        <v>79</v>
      </c>
      <c r="X2826" t="s">
        <v>276</v>
      </c>
      <c r="Y2826" t="s">
        <v>329</v>
      </c>
      <c r="Z2826" t="s">
        <v>96</v>
      </c>
      <c r="AA2826" t="s">
        <v>350</v>
      </c>
      <c r="AB2826" t="s">
        <v>5279</v>
      </c>
      <c r="AC2826">
        <v>389</v>
      </c>
      <c r="AD2826">
        <v>143</v>
      </c>
      <c r="AE2826">
        <v>99</v>
      </c>
      <c r="AF2826">
        <v>331.88</v>
      </c>
      <c r="AG2826">
        <v>13.81</v>
      </c>
      <c r="AH2826">
        <v>10.43</v>
      </c>
      <c r="AI2826">
        <v>0.01</v>
      </c>
      <c r="AJ2826">
        <v>-0.01</v>
      </c>
      <c r="AK2826">
        <v>92</v>
      </c>
      <c r="AL2826">
        <v>311</v>
      </c>
      <c r="AM2826">
        <v>130</v>
      </c>
      <c r="AN2826">
        <v>4.34</v>
      </c>
      <c r="AO2826">
        <v>-0.38</v>
      </c>
      <c r="AP2826">
        <v>681</v>
      </c>
      <c r="AQ2826">
        <v>3</v>
      </c>
      <c r="AR2826">
        <v>9.4</v>
      </c>
      <c r="AS2826">
        <v>88</v>
      </c>
      <c r="AT2826">
        <v>4.34</v>
      </c>
      <c r="AU2826">
        <v>96</v>
      </c>
      <c r="AV2826">
        <v>-2.12</v>
      </c>
      <c r="AW2826">
        <v>98</v>
      </c>
      <c r="AX2826">
        <v>0.14000000000000001</v>
      </c>
      <c r="AY2826">
        <v>94</v>
      </c>
      <c r="AZ2826">
        <v>6.54</v>
      </c>
      <c r="BA2826">
        <v>85</v>
      </c>
      <c r="BB2826">
        <v>5.0999999999999996</v>
      </c>
      <c r="BC2826">
        <v>78</v>
      </c>
      <c r="BD2826">
        <v>-0.01</v>
      </c>
      <c r="BE2826">
        <v>-0.04</v>
      </c>
      <c r="BF2826">
        <v>-0.12</v>
      </c>
      <c r="BG2826">
        <v>96</v>
      </c>
      <c r="BH2826">
        <v>0.32</v>
      </c>
      <c r="BI2826">
        <v>14.52</v>
      </c>
      <c r="BJ2826">
        <v>135</v>
      </c>
      <c r="BK2826">
        <v>65</v>
      </c>
      <c r="BL2826">
        <v>1.1100000000000001</v>
      </c>
      <c r="BM2826">
        <v>0.37</v>
      </c>
      <c r="BN2826">
        <v>1.58</v>
      </c>
      <c r="BO2826">
        <v>1.33</v>
      </c>
      <c r="BP2826">
        <v>0.42</v>
      </c>
      <c r="BQ2826">
        <v>3.1</v>
      </c>
      <c r="BR2826">
        <v>-0.05</v>
      </c>
      <c r="BS2826">
        <v>3.23</v>
      </c>
      <c r="BT2826">
        <v>1.04</v>
      </c>
      <c r="BU2826">
        <v>2.2799999999999998</v>
      </c>
      <c r="BV2826">
        <v>2.68</v>
      </c>
      <c r="BW2826">
        <v>2.4500000000000002</v>
      </c>
      <c r="BX2826">
        <v>0.81</v>
      </c>
      <c r="BY2826">
        <v>2.68</v>
      </c>
      <c r="BZ2826">
        <v>-0.43</v>
      </c>
      <c r="CA2826">
        <v>2.67</v>
      </c>
      <c r="CB2826">
        <v>2.14</v>
      </c>
      <c r="CC2826">
        <v>2.71</v>
      </c>
      <c r="CD2826">
        <v>0.01</v>
      </c>
      <c r="CE2826">
        <v>1.28</v>
      </c>
      <c r="CF2826">
        <v>2.1</v>
      </c>
      <c r="CG2826">
        <v>0</v>
      </c>
      <c r="CH2826">
        <v>2.72</v>
      </c>
      <c r="CI2826">
        <v>0</v>
      </c>
      <c r="CJ2826">
        <v>-0.8</v>
      </c>
      <c r="CK2826">
        <v>97</v>
      </c>
      <c r="CL2826">
        <v>-1.1100000000000001</v>
      </c>
      <c r="CM2826">
        <v>97</v>
      </c>
      <c r="CN2826">
        <v>-0.64</v>
      </c>
      <c r="CO2826">
        <v>96</v>
      </c>
      <c r="CP2826">
        <v>2.9</v>
      </c>
      <c r="CQ2826">
        <v>93</v>
      </c>
      <c r="CR2826">
        <v>0</v>
      </c>
      <c r="CS2826">
        <v>0</v>
      </c>
      <c r="CT2826">
        <v>14.4</v>
      </c>
      <c r="CU2826">
        <v>91</v>
      </c>
      <c r="CV2826">
        <v>0.12</v>
      </c>
      <c r="CW2826">
        <v>45</v>
      </c>
      <c r="CX2826" t="s">
        <v>309</v>
      </c>
    </row>
    <row r="2827" spans="1:102" x14ac:dyDescent="0.3">
      <c r="A2827" t="str">
        <f>HYPERLINK("https://webapp.icbf.com/v2/app/bull-search/view/77859823","BNC")</f>
        <v>BNC</v>
      </c>
      <c r="B2827" t="s">
        <v>8069</v>
      </c>
      <c r="C2827" t="s">
        <v>8070</v>
      </c>
      <c r="D2827" s="1">
        <v>33082</v>
      </c>
      <c r="E2827" t="s">
        <v>92</v>
      </c>
      <c r="F2827">
        <v>75</v>
      </c>
      <c r="G2827" t="s">
        <v>109</v>
      </c>
      <c r="H2827">
        <v>10.1</v>
      </c>
      <c r="I2827">
        <v>81</v>
      </c>
      <c r="J2827">
        <v>-7.79</v>
      </c>
      <c r="K2827">
        <v>93</v>
      </c>
      <c r="L2827">
        <v>3.37</v>
      </c>
      <c r="M2827">
        <v>85</v>
      </c>
      <c r="N2827">
        <v>23.38</v>
      </c>
      <c r="O2827">
        <v>64</v>
      </c>
      <c r="P2827">
        <v>-17.59</v>
      </c>
      <c r="Q2827">
        <v>69</v>
      </c>
      <c r="R2827">
        <v>-5.77</v>
      </c>
      <c r="S2827">
        <v>75</v>
      </c>
      <c r="T2827">
        <v>14.42</v>
      </c>
      <c r="U2827">
        <v>67</v>
      </c>
      <c r="V2827">
        <v>0.08</v>
      </c>
      <c r="W2827">
        <v>56</v>
      </c>
      <c r="X2827" t="s">
        <v>302</v>
      </c>
      <c r="Y2827" t="s">
        <v>95</v>
      </c>
      <c r="Z2827" t="s">
        <v>96</v>
      </c>
      <c r="AA2827" t="s">
        <v>537</v>
      </c>
      <c r="AB2827" t="s">
        <v>8071</v>
      </c>
      <c r="AC2827">
        <v>37</v>
      </c>
      <c r="AD2827">
        <v>10</v>
      </c>
      <c r="AE2827">
        <v>93</v>
      </c>
      <c r="AF2827">
        <v>-65.540000000000006</v>
      </c>
      <c r="AG2827">
        <v>2.89</v>
      </c>
      <c r="AH2827">
        <v>-3.35</v>
      </c>
      <c r="AI2827">
        <v>0.1</v>
      </c>
      <c r="AJ2827">
        <v>-0.02</v>
      </c>
      <c r="AK2827">
        <v>85</v>
      </c>
      <c r="AL2827">
        <v>36</v>
      </c>
      <c r="AM2827">
        <v>14</v>
      </c>
      <c r="AN2827">
        <v>-0.84</v>
      </c>
      <c r="AO2827">
        <v>-0.57999999999999996</v>
      </c>
      <c r="AP2827">
        <v>2</v>
      </c>
      <c r="AQ2827">
        <v>1</v>
      </c>
      <c r="AR2827">
        <v>5.24</v>
      </c>
      <c r="AS2827">
        <v>48</v>
      </c>
      <c r="AT2827">
        <v>2.36</v>
      </c>
      <c r="AU2827">
        <v>76</v>
      </c>
      <c r="AV2827">
        <v>-1.1399999999999999</v>
      </c>
      <c r="AW2827">
        <v>64</v>
      </c>
      <c r="AX2827">
        <v>-0.57999999999999996</v>
      </c>
      <c r="AY2827">
        <v>66</v>
      </c>
      <c r="AZ2827">
        <v>6.38</v>
      </c>
      <c r="BA2827">
        <v>40</v>
      </c>
      <c r="BB2827">
        <v>4.76</v>
      </c>
      <c r="BC2827">
        <v>52</v>
      </c>
      <c r="BD2827">
        <v>0.01</v>
      </c>
      <c r="BE2827">
        <v>0.04</v>
      </c>
      <c r="BF2827">
        <v>0.04</v>
      </c>
      <c r="BG2827">
        <v>91</v>
      </c>
      <c r="BH2827">
        <v>-0.05</v>
      </c>
      <c r="BI2827">
        <v>-6.05</v>
      </c>
      <c r="BJ2827">
        <v>0</v>
      </c>
      <c r="BK2827">
        <v>0</v>
      </c>
      <c r="BL2827">
        <v>-0.37</v>
      </c>
      <c r="BM2827">
        <v>0.54</v>
      </c>
      <c r="BN2827">
        <v>-0.01</v>
      </c>
      <c r="BO2827">
        <v>-0.83</v>
      </c>
      <c r="BP2827">
        <v>-0.25</v>
      </c>
      <c r="BQ2827">
        <v>-0.15</v>
      </c>
      <c r="BR2827">
        <v>1.9</v>
      </c>
      <c r="BS2827">
        <v>-2.48</v>
      </c>
      <c r="BT2827">
        <v>-2.0299999999999998</v>
      </c>
      <c r="BU2827">
        <v>-1.8</v>
      </c>
      <c r="BV2827">
        <v>-1.33</v>
      </c>
      <c r="BW2827">
        <v>-1.32</v>
      </c>
      <c r="BX2827">
        <v>-2.02</v>
      </c>
      <c r="BY2827">
        <v>-1.51</v>
      </c>
      <c r="BZ2827">
        <v>2.67</v>
      </c>
      <c r="CA2827">
        <v>-2.12</v>
      </c>
      <c r="CB2827">
        <v>-1.7</v>
      </c>
      <c r="CC2827">
        <v>-2.04</v>
      </c>
      <c r="CD2827">
        <v>0.08</v>
      </c>
      <c r="CE2827">
        <v>-0.7</v>
      </c>
      <c r="CF2827">
        <v>-1.56</v>
      </c>
      <c r="CG2827">
        <v>0</v>
      </c>
      <c r="CH2827">
        <v>-1.9</v>
      </c>
      <c r="CI2827">
        <v>0</v>
      </c>
      <c r="CJ2827">
        <v>-5.3</v>
      </c>
      <c r="CK2827">
        <v>70</v>
      </c>
      <c r="CL2827">
        <v>-0.67</v>
      </c>
      <c r="CM2827">
        <v>67</v>
      </c>
      <c r="CN2827">
        <v>0.11</v>
      </c>
      <c r="CO2827">
        <v>63</v>
      </c>
      <c r="CP2827">
        <v>-13.8</v>
      </c>
      <c r="CQ2827">
        <v>80</v>
      </c>
      <c r="CR2827">
        <v>0</v>
      </c>
      <c r="CS2827">
        <v>0</v>
      </c>
      <c r="CT2827">
        <v>-5.7</v>
      </c>
      <c r="CU2827">
        <v>67</v>
      </c>
      <c r="CV2827">
        <v>0.04</v>
      </c>
      <c r="CW2827">
        <v>39</v>
      </c>
      <c r="CX2827" t="s">
        <v>2543</v>
      </c>
    </row>
    <row r="2828" spans="1:102" x14ac:dyDescent="0.3">
      <c r="A2828" t="str">
        <f>HYPERLINK("https://webapp.icbf.com/v2/app/bull-search/view/807702409","DCK")</f>
        <v>DCK</v>
      </c>
      <c r="B2828" t="s">
        <v>10092</v>
      </c>
      <c r="C2828" t="s">
        <v>10093</v>
      </c>
      <c r="D2828" s="1">
        <v>39731</v>
      </c>
      <c r="E2828" t="s">
        <v>92</v>
      </c>
      <c r="F2828">
        <v>100</v>
      </c>
      <c r="G2828" t="s">
        <v>93</v>
      </c>
      <c r="H2828">
        <v>10.050000000000001</v>
      </c>
      <c r="I2828">
        <v>89</v>
      </c>
      <c r="J2828">
        <v>35.31</v>
      </c>
      <c r="K2828">
        <v>98</v>
      </c>
      <c r="L2828">
        <v>-43.84</v>
      </c>
      <c r="M2828">
        <v>82</v>
      </c>
      <c r="N2828">
        <v>22.97</v>
      </c>
      <c r="O2828">
        <v>90</v>
      </c>
      <c r="P2828">
        <v>-9.2100000000000009</v>
      </c>
      <c r="Q2828">
        <v>95</v>
      </c>
      <c r="R2828">
        <v>4.22</v>
      </c>
      <c r="S2828">
        <v>79</v>
      </c>
      <c r="T2828">
        <v>6.57</v>
      </c>
      <c r="U2828">
        <v>88</v>
      </c>
      <c r="V2828">
        <v>-5.97</v>
      </c>
      <c r="W2828">
        <v>71</v>
      </c>
      <c r="X2828" t="s">
        <v>276</v>
      </c>
      <c r="Y2828" t="s">
        <v>329</v>
      </c>
      <c r="Z2828" t="s">
        <v>96</v>
      </c>
      <c r="AA2828" t="s">
        <v>5289</v>
      </c>
      <c r="AB2828" t="s">
        <v>10094</v>
      </c>
      <c r="AC2828">
        <v>191</v>
      </c>
      <c r="AD2828">
        <v>76</v>
      </c>
      <c r="AE2828">
        <v>98</v>
      </c>
      <c r="AF2828">
        <v>50.12</v>
      </c>
      <c r="AG2828">
        <v>3.06</v>
      </c>
      <c r="AH2828">
        <v>5.69</v>
      </c>
      <c r="AI2828">
        <v>0.02</v>
      </c>
      <c r="AJ2828">
        <v>7.0000000000000007E-2</v>
      </c>
      <c r="AK2828">
        <v>82</v>
      </c>
      <c r="AL2828">
        <v>212</v>
      </c>
      <c r="AM2828">
        <v>76</v>
      </c>
      <c r="AN2828">
        <v>3.64</v>
      </c>
      <c r="AO2828">
        <v>0.16</v>
      </c>
      <c r="AP2828">
        <v>414</v>
      </c>
      <c r="AQ2828">
        <v>2</v>
      </c>
      <c r="AR2828">
        <v>6.52</v>
      </c>
      <c r="AS2828">
        <v>83</v>
      </c>
      <c r="AT2828">
        <v>3.11</v>
      </c>
      <c r="AU2828">
        <v>94</v>
      </c>
      <c r="AV2828">
        <v>-3.42</v>
      </c>
      <c r="AW2828">
        <v>97</v>
      </c>
      <c r="AX2828">
        <v>0.66</v>
      </c>
      <c r="AY2828">
        <v>90</v>
      </c>
      <c r="AZ2828">
        <v>7.98</v>
      </c>
      <c r="BA2828">
        <v>75</v>
      </c>
      <c r="BB2828">
        <v>5.56</v>
      </c>
      <c r="BC2828">
        <v>70</v>
      </c>
      <c r="BD2828">
        <v>0</v>
      </c>
      <c r="BE2828">
        <v>-0.03</v>
      </c>
      <c r="BF2828">
        <v>-0.04</v>
      </c>
      <c r="BG2828">
        <v>92</v>
      </c>
      <c r="BH2828">
        <v>-0.23</v>
      </c>
      <c r="BI2828">
        <v>-7.34</v>
      </c>
      <c r="BJ2828">
        <v>33</v>
      </c>
      <c r="BK2828">
        <v>18</v>
      </c>
      <c r="BL2828">
        <v>0.77</v>
      </c>
      <c r="BM2828">
        <v>-1.7</v>
      </c>
      <c r="BN2828">
        <v>0.59</v>
      </c>
      <c r="BO2828">
        <v>1.54</v>
      </c>
      <c r="BP2828">
        <v>-1.36</v>
      </c>
      <c r="BQ2828">
        <v>-0.3</v>
      </c>
      <c r="BR2828">
        <v>1.5</v>
      </c>
      <c r="BS2828">
        <v>1.76</v>
      </c>
      <c r="BT2828">
        <v>-0.27</v>
      </c>
      <c r="BU2828">
        <v>1.66</v>
      </c>
      <c r="BV2828">
        <v>2.93</v>
      </c>
      <c r="BW2828">
        <v>1.42</v>
      </c>
      <c r="BX2828">
        <v>1.27</v>
      </c>
      <c r="BY2828">
        <v>0.46</v>
      </c>
      <c r="BZ2828">
        <v>-2.0299999999999998</v>
      </c>
      <c r="CA2828">
        <v>1.71</v>
      </c>
      <c r="CB2828">
        <v>1.49</v>
      </c>
      <c r="CC2828">
        <v>1.54</v>
      </c>
      <c r="CD2828">
        <v>-2.0499999999999998</v>
      </c>
      <c r="CE2828">
        <v>1.53</v>
      </c>
      <c r="CF2828">
        <v>0.79</v>
      </c>
      <c r="CG2828">
        <v>0</v>
      </c>
      <c r="CH2828">
        <v>0.49</v>
      </c>
      <c r="CI2828">
        <v>0</v>
      </c>
      <c r="CJ2828">
        <v>-3.7</v>
      </c>
      <c r="CK2828">
        <v>96</v>
      </c>
      <c r="CL2828">
        <v>-1.02</v>
      </c>
      <c r="CM2828">
        <v>95</v>
      </c>
      <c r="CN2828">
        <v>-0.51</v>
      </c>
      <c r="CO2828">
        <v>94</v>
      </c>
      <c r="CP2828">
        <v>3</v>
      </c>
      <c r="CQ2828">
        <v>89</v>
      </c>
      <c r="CR2828">
        <v>0</v>
      </c>
      <c r="CS2828">
        <v>0</v>
      </c>
      <c r="CT2828">
        <v>4.9000000000000004</v>
      </c>
      <c r="CU2828">
        <v>88</v>
      </c>
      <c r="CV2828">
        <v>0.12</v>
      </c>
      <c r="CW2828">
        <v>45</v>
      </c>
      <c r="CX2828" t="s">
        <v>358</v>
      </c>
    </row>
    <row r="2829" spans="1:102" x14ac:dyDescent="0.3">
      <c r="A2829" t="str">
        <f>HYPERLINK("https://webapp.icbf.com/v2/app/bull-search/view/1132591197","S2029")</f>
        <v>S2029</v>
      </c>
      <c r="B2829" t="s">
        <v>9254</v>
      </c>
      <c r="C2829" t="s">
        <v>9255</v>
      </c>
      <c r="D2829" s="1">
        <v>40416</v>
      </c>
      <c r="E2829" t="s">
        <v>140</v>
      </c>
      <c r="F2829">
        <v>0</v>
      </c>
      <c r="G2829" t="s">
        <v>109</v>
      </c>
      <c r="H2829">
        <v>9.91</v>
      </c>
      <c r="I2829">
        <v>49</v>
      </c>
      <c r="J2829">
        <v>-10.17</v>
      </c>
      <c r="K2829">
        <v>74</v>
      </c>
      <c r="L2829">
        <v>55.12</v>
      </c>
      <c r="M2829">
        <v>28</v>
      </c>
      <c r="N2829">
        <v>-50.31</v>
      </c>
      <c r="O2829">
        <v>54</v>
      </c>
      <c r="P2829">
        <v>11.03</v>
      </c>
      <c r="Q2829">
        <v>65</v>
      </c>
      <c r="R2829">
        <v>7.41</v>
      </c>
      <c r="S2829">
        <v>27</v>
      </c>
      <c r="T2829">
        <v>11.38</v>
      </c>
      <c r="U2829">
        <v>31</v>
      </c>
      <c r="V2829">
        <v>-14.55</v>
      </c>
      <c r="W2829">
        <v>17</v>
      </c>
      <c r="X2829" t="s">
        <v>102</v>
      </c>
      <c r="Y2829" t="s">
        <v>367</v>
      </c>
      <c r="Z2829">
        <v>0</v>
      </c>
      <c r="AA2829" t="s">
        <v>5332</v>
      </c>
      <c r="AB2829" t="s">
        <v>9256</v>
      </c>
      <c r="AC2829">
        <v>0</v>
      </c>
      <c r="AD2829">
        <v>0</v>
      </c>
      <c r="AE2829">
        <v>74</v>
      </c>
      <c r="AF2829">
        <v>-81.319999999999993</v>
      </c>
      <c r="AG2829">
        <v>-4.1399999999999997</v>
      </c>
      <c r="AH2829">
        <v>-1.51</v>
      </c>
      <c r="AI2829">
        <v>-0.02</v>
      </c>
      <c r="AJ2829">
        <v>0.02</v>
      </c>
      <c r="AK2829">
        <v>28</v>
      </c>
      <c r="AL2829">
        <v>14</v>
      </c>
      <c r="AM2829">
        <v>9</v>
      </c>
      <c r="AN2829">
        <v>-2.66</v>
      </c>
      <c r="AO2829">
        <v>1.74</v>
      </c>
      <c r="AP2829">
        <v>33</v>
      </c>
      <c r="AQ2829">
        <v>0</v>
      </c>
      <c r="AR2829">
        <v>9.56</v>
      </c>
      <c r="AS2829">
        <v>38</v>
      </c>
      <c r="AT2829">
        <v>5.09</v>
      </c>
      <c r="AU2829">
        <v>44</v>
      </c>
      <c r="AV2829">
        <v>3.63</v>
      </c>
      <c r="AW2829">
        <v>80</v>
      </c>
      <c r="AX2829">
        <v>0.5</v>
      </c>
      <c r="AY2829">
        <v>39</v>
      </c>
      <c r="AZ2829">
        <v>5.14</v>
      </c>
      <c r="BA2829">
        <v>22</v>
      </c>
      <c r="BB2829">
        <v>3.97</v>
      </c>
      <c r="BC2829">
        <v>19</v>
      </c>
      <c r="BD2829">
        <v>-0.02</v>
      </c>
      <c r="BE2829">
        <v>-0.03</v>
      </c>
      <c r="BF2829">
        <v>-0.08</v>
      </c>
      <c r="BG2829">
        <v>33</v>
      </c>
      <c r="BH2829">
        <v>-0.37</v>
      </c>
      <c r="BI2829">
        <v>4.12</v>
      </c>
      <c r="BJ2829">
        <v>0</v>
      </c>
      <c r="BK2829">
        <v>0</v>
      </c>
      <c r="BL2829">
        <v>-0.93</v>
      </c>
      <c r="BM2829">
        <v>3.37</v>
      </c>
      <c r="BN2829">
        <v>-1.77</v>
      </c>
      <c r="BO2829">
        <v>-3.01</v>
      </c>
      <c r="BP2829">
        <v>4.1900000000000004</v>
      </c>
      <c r="BQ2829">
        <v>-2.2999999999999998</v>
      </c>
      <c r="BR2829">
        <v>-2.77</v>
      </c>
      <c r="BS2829">
        <v>-0.28999999999999998</v>
      </c>
      <c r="BT2829">
        <v>2.63</v>
      </c>
      <c r="BU2829">
        <v>-3.57</v>
      </c>
      <c r="BV2829">
        <v>-4.03</v>
      </c>
      <c r="BW2829">
        <v>-3.06</v>
      </c>
      <c r="BX2829">
        <v>-2.97</v>
      </c>
      <c r="BY2829">
        <v>-2.0299999999999998</v>
      </c>
      <c r="BZ2829">
        <v>0.99</v>
      </c>
      <c r="CA2829">
        <v>-2.54</v>
      </c>
      <c r="CB2829">
        <v>-3.32</v>
      </c>
      <c r="CC2829">
        <v>-0.28999999999999998</v>
      </c>
      <c r="CD2829">
        <v>3.88</v>
      </c>
      <c r="CE2829">
        <v>-3.02</v>
      </c>
      <c r="CF2829">
        <v>-1.18</v>
      </c>
      <c r="CG2829">
        <v>0</v>
      </c>
      <c r="CH2829">
        <v>-2.85</v>
      </c>
      <c r="CI2829">
        <v>0</v>
      </c>
      <c r="CJ2829">
        <v>3.9</v>
      </c>
      <c r="CK2829">
        <v>69</v>
      </c>
      <c r="CL2829">
        <v>-0.01</v>
      </c>
      <c r="CM2829">
        <v>64</v>
      </c>
      <c r="CN2829">
        <v>-0.46</v>
      </c>
      <c r="CO2829">
        <v>62</v>
      </c>
      <c r="CP2829">
        <v>2.4</v>
      </c>
      <c r="CQ2829">
        <v>39</v>
      </c>
      <c r="CR2829">
        <v>0</v>
      </c>
      <c r="CS2829">
        <v>0</v>
      </c>
      <c r="CT2829">
        <v>-1.6</v>
      </c>
      <c r="CU2829">
        <v>31</v>
      </c>
      <c r="CV2829">
        <v>-0.1</v>
      </c>
      <c r="CW2829">
        <v>18</v>
      </c>
      <c r="CX2829" t="s">
        <v>9257</v>
      </c>
    </row>
    <row r="2830" spans="1:102" x14ac:dyDescent="0.3">
      <c r="A2830" t="str">
        <f>HYPERLINK("https://webapp.icbf.com/v2/app/bull-search/view/437083995","PKO")</f>
        <v>PKO</v>
      </c>
      <c r="B2830" t="s">
        <v>292</v>
      </c>
      <c r="C2830" t="s">
        <v>293</v>
      </c>
      <c r="D2830" s="1">
        <v>36506</v>
      </c>
      <c r="E2830" t="s">
        <v>140</v>
      </c>
      <c r="F2830">
        <v>0</v>
      </c>
      <c r="G2830" t="s">
        <v>109</v>
      </c>
      <c r="H2830">
        <v>9.82</v>
      </c>
      <c r="I2830">
        <v>63</v>
      </c>
      <c r="J2830">
        <v>13.25</v>
      </c>
      <c r="K2830">
        <v>77</v>
      </c>
      <c r="L2830">
        <v>0.55000000000000004</v>
      </c>
      <c r="M2830">
        <v>48</v>
      </c>
      <c r="N2830">
        <v>-38.72</v>
      </c>
      <c r="O2830">
        <v>63</v>
      </c>
      <c r="P2830">
        <v>27.76</v>
      </c>
      <c r="Q2830">
        <v>80</v>
      </c>
      <c r="R2830">
        <v>9.93</v>
      </c>
      <c r="S2830">
        <v>51</v>
      </c>
      <c r="T2830">
        <v>-0.31</v>
      </c>
      <c r="U2830">
        <v>68</v>
      </c>
      <c r="V2830">
        <v>-2.64</v>
      </c>
      <c r="W2830">
        <v>40</v>
      </c>
      <c r="X2830" t="s">
        <v>102</v>
      </c>
      <c r="Y2830" t="s">
        <v>95</v>
      </c>
      <c r="Z2830">
        <v>0</v>
      </c>
      <c r="AA2830" t="s">
        <v>247</v>
      </c>
      <c r="AB2830" t="s">
        <v>294</v>
      </c>
      <c r="AC2830">
        <v>0</v>
      </c>
      <c r="AD2830">
        <v>0</v>
      </c>
      <c r="AE2830">
        <v>77</v>
      </c>
      <c r="AF2830">
        <v>6.97</v>
      </c>
      <c r="AG2830">
        <v>-3.11</v>
      </c>
      <c r="AH2830">
        <v>3.46</v>
      </c>
      <c r="AI2830">
        <v>-0.06</v>
      </c>
      <c r="AJ2830">
        <v>0.05</v>
      </c>
      <c r="AK2830">
        <v>48</v>
      </c>
      <c r="AL2830">
        <v>28</v>
      </c>
      <c r="AM2830">
        <v>17</v>
      </c>
      <c r="AN2830">
        <v>-0.34</v>
      </c>
      <c r="AO2830">
        <v>-0.3</v>
      </c>
      <c r="AP2830">
        <v>42</v>
      </c>
      <c r="AQ2830">
        <v>2</v>
      </c>
      <c r="AR2830">
        <v>9.74</v>
      </c>
      <c r="AS2830">
        <v>49</v>
      </c>
      <c r="AT2830">
        <v>4.95</v>
      </c>
      <c r="AU2830">
        <v>59</v>
      </c>
      <c r="AV2830">
        <v>1.44</v>
      </c>
      <c r="AW2830">
        <v>78</v>
      </c>
      <c r="AX2830">
        <v>0.52</v>
      </c>
      <c r="AY2830">
        <v>60</v>
      </c>
      <c r="AZ2830">
        <v>7</v>
      </c>
      <c r="BA2830">
        <v>40</v>
      </c>
      <c r="BB2830">
        <v>4.91</v>
      </c>
      <c r="BC2830">
        <v>39</v>
      </c>
      <c r="BD2830">
        <v>-0.02</v>
      </c>
      <c r="BE2830">
        <v>-0.05</v>
      </c>
      <c r="BF2830">
        <v>-0.1</v>
      </c>
      <c r="BG2830">
        <v>60</v>
      </c>
      <c r="BH2830">
        <v>-0.28999999999999998</v>
      </c>
      <c r="BI2830">
        <v>-25.02</v>
      </c>
      <c r="BJ2830">
        <v>0</v>
      </c>
      <c r="BK2830">
        <v>0</v>
      </c>
      <c r="BL2830">
        <v>-0.6</v>
      </c>
      <c r="BM2830">
        <v>3.98</v>
      </c>
      <c r="BN2830">
        <v>-1.79</v>
      </c>
      <c r="BO2830">
        <v>-3.3</v>
      </c>
      <c r="BP2830">
        <v>4.41</v>
      </c>
      <c r="BQ2830">
        <v>-1.39</v>
      </c>
      <c r="BR2830">
        <v>-2.64</v>
      </c>
      <c r="BS2830">
        <v>-0.32</v>
      </c>
      <c r="BT2830">
        <v>2.5299999999999998</v>
      </c>
      <c r="BU2830">
        <v>-3.74</v>
      </c>
      <c r="BV2830">
        <v>-4.2300000000000004</v>
      </c>
      <c r="BW2830">
        <v>-3.12</v>
      </c>
      <c r="BX2830">
        <v>-2.92</v>
      </c>
      <c r="BY2830">
        <v>-1.79</v>
      </c>
      <c r="BZ2830">
        <v>1.69</v>
      </c>
      <c r="CA2830">
        <v>-2.84</v>
      </c>
      <c r="CB2830">
        <v>-3.51</v>
      </c>
      <c r="CC2830">
        <v>-0.68</v>
      </c>
      <c r="CD2830">
        <v>4.12</v>
      </c>
      <c r="CE2830">
        <v>-3.08</v>
      </c>
      <c r="CF2830">
        <v>-1.02</v>
      </c>
      <c r="CG2830">
        <v>0</v>
      </c>
      <c r="CH2830">
        <v>-2.4900000000000002</v>
      </c>
      <c r="CI2830">
        <v>0</v>
      </c>
      <c r="CJ2830">
        <v>13.5</v>
      </c>
      <c r="CK2830">
        <v>83</v>
      </c>
      <c r="CL2830">
        <v>0.4</v>
      </c>
      <c r="CM2830">
        <v>79</v>
      </c>
      <c r="CN2830">
        <v>-0.27</v>
      </c>
      <c r="CO2830">
        <v>77</v>
      </c>
      <c r="CP2830">
        <v>12.3</v>
      </c>
      <c r="CQ2830">
        <v>72</v>
      </c>
      <c r="CR2830">
        <v>0</v>
      </c>
      <c r="CS2830">
        <v>0</v>
      </c>
      <c r="CT2830">
        <v>14.2</v>
      </c>
      <c r="CU2830">
        <v>68</v>
      </c>
      <c r="CV2830">
        <v>0.01</v>
      </c>
      <c r="CW2830">
        <v>23</v>
      </c>
      <c r="CX2830" t="s">
        <v>295</v>
      </c>
    </row>
    <row r="2831" spans="1:102" x14ac:dyDescent="0.3">
      <c r="A2831" t="str">
        <f>HYPERLINK("https://webapp.icbf.com/v2/app/bull-search/view/977229327","S1350")</f>
        <v>S1350</v>
      </c>
      <c r="B2831" t="s">
        <v>7710</v>
      </c>
      <c r="C2831" t="s">
        <v>7711</v>
      </c>
      <c r="D2831" s="1">
        <v>40362</v>
      </c>
      <c r="E2831" t="s">
        <v>140</v>
      </c>
      <c r="F2831">
        <v>0</v>
      </c>
      <c r="G2831" t="s">
        <v>109</v>
      </c>
      <c r="H2831">
        <v>9.81</v>
      </c>
      <c r="I2831">
        <v>46</v>
      </c>
      <c r="J2831">
        <v>9.3699999999999992</v>
      </c>
      <c r="K2831">
        <v>73</v>
      </c>
      <c r="L2831">
        <v>33.549999999999997</v>
      </c>
      <c r="M2831">
        <v>24</v>
      </c>
      <c r="N2831">
        <v>-49.13</v>
      </c>
      <c r="O2831">
        <v>46</v>
      </c>
      <c r="P2831">
        <v>25.25</v>
      </c>
      <c r="Q2831">
        <v>57</v>
      </c>
      <c r="R2831">
        <v>-0.62</v>
      </c>
      <c r="S2831">
        <v>9</v>
      </c>
      <c r="T2831">
        <v>0.28000000000000003</v>
      </c>
      <c r="U2831">
        <v>40</v>
      </c>
      <c r="V2831">
        <v>-8.89</v>
      </c>
      <c r="W2831">
        <v>24</v>
      </c>
      <c r="X2831" t="s">
        <v>94</v>
      </c>
      <c r="Y2831" t="s">
        <v>342</v>
      </c>
      <c r="Z2831">
        <v>0</v>
      </c>
      <c r="AA2831" t="s">
        <v>6053</v>
      </c>
      <c r="AB2831" t="s">
        <v>7712</v>
      </c>
      <c r="AC2831">
        <v>0</v>
      </c>
      <c r="AD2831">
        <v>0</v>
      </c>
      <c r="AE2831">
        <v>73</v>
      </c>
      <c r="AF2831">
        <v>17.66</v>
      </c>
      <c r="AG2831">
        <v>3.43</v>
      </c>
      <c r="AH2831">
        <v>0.65</v>
      </c>
      <c r="AI2831">
        <v>0.05</v>
      </c>
      <c r="AJ2831">
        <v>0</v>
      </c>
      <c r="AK2831">
        <v>24</v>
      </c>
      <c r="AL2831">
        <v>3</v>
      </c>
      <c r="AM2831">
        <v>2</v>
      </c>
      <c r="AN2831">
        <v>-1.48</v>
      </c>
      <c r="AO2831">
        <v>1.2</v>
      </c>
      <c r="AP2831">
        <v>16</v>
      </c>
      <c r="AQ2831">
        <v>3</v>
      </c>
      <c r="AR2831">
        <v>10.48</v>
      </c>
      <c r="AS2831">
        <v>24</v>
      </c>
      <c r="AT2831">
        <v>5.29</v>
      </c>
      <c r="AU2831">
        <v>40</v>
      </c>
      <c r="AV2831">
        <v>2.82</v>
      </c>
      <c r="AW2831">
        <v>67</v>
      </c>
      <c r="AX2831">
        <v>-0.12</v>
      </c>
      <c r="AY2831">
        <v>35</v>
      </c>
      <c r="AZ2831">
        <v>5.2</v>
      </c>
      <c r="BA2831">
        <v>20</v>
      </c>
      <c r="BB2831">
        <v>4.2</v>
      </c>
      <c r="BC2831">
        <v>19</v>
      </c>
      <c r="BD2831">
        <v>0.02</v>
      </c>
      <c r="BE2831">
        <v>-0.01</v>
      </c>
      <c r="BF2831">
        <v>0</v>
      </c>
      <c r="BG2831">
        <v>0</v>
      </c>
      <c r="BH2831">
        <v>-0.24</v>
      </c>
      <c r="BI2831">
        <v>0.9</v>
      </c>
      <c r="BJ2831">
        <v>0</v>
      </c>
      <c r="BK2831">
        <v>0</v>
      </c>
      <c r="BL2831">
        <v>-0.61</v>
      </c>
      <c r="BM2831">
        <v>3.65</v>
      </c>
      <c r="BN2831">
        <v>-1.53</v>
      </c>
      <c r="BO2831">
        <v>-2.93</v>
      </c>
      <c r="BP2831">
        <v>4.2</v>
      </c>
      <c r="BQ2831">
        <v>-1.87</v>
      </c>
      <c r="BR2831">
        <v>-2.64</v>
      </c>
      <c r="BS2831">
        <v>-0.42</v>
      </c>
      <c r="BT2831">
        <v>2.5499999999999998</v>
      </c>
      <c r="BU2831">
        <v>-3.03</v>
      </c>
      <c r="BV2831">
        <v>-3.54</v>
      </c>
      <c r="BW2831">
        <v>-2.7</v>
      </c>
      <c r="BX2831">
        <v>-2.31</v>
      </c>
      <c r="BY2831">
        <v>-1.73</v>
      </c>
      <c r="BZ2831">
        <v>1.1599999999999999</v>
      </c>
      <c r="CA2831">
        <v>-2.16</v>
      </c>
      <c r="CB2831">
        <v>-2.8</v>
      </c>
      <c r="CC2831">
        <v>-0.34</v>
      </c>
      <c r="CD2831">
        <v>3.93</v>
      </c>
      <c r="CE2831">
        <v>-2.75</v>
      </c>
      <c r="CF2831">
        <v>-0.82</v>
      </c>
      <c r="CG2831">
        <v>0</v>
      </c>
      <c r="CH2831">
        <v>-2.14</v>
      </c>
      <c r="CI2831">
        <v>0</v>
      </c>
      <c r="CJ2831">
        <v>14.4</v>
      </c>
      <c r="CK2831">
        <v>60</v>
      </c>
      <c r="CL2831">
        <v>0.37</v>
      </c>
      <c r="CM2831">
        <v>56</v>
      </c>
      <c r="CN2831">
        <v>0.01</v>
      </c>
      <c r="CO2831">
        <v>54</v>
      </c>
      <c r="CP2831">
        <v>11.2</v>
      </c>
      <c r="CQ2831">
        <v>42</v>
      </c>
      <c r="CR2831">
        <v>0</v>
      </c>
      <c r="CS2831">
        <v>0</v>
      </c>
      <c r="CT2831">
        <v>13.4</v>
      </c>
      <c r="CU2831">
        <v>40</v>
      </c>
      <c r="CV2831">
        <v>0.1</v>
      </c>
      <c r="CW2831">
        <v>16</v>
      </c>
      <c r="CX2831" t="s">
        <v>139</v>
      </c>
    </row>
    <row r="2832" spans="1:102" x14ac:dyDescent="0.3">
      <c r="A2832" t="str">
        <f>HYPERLINK("https://webapp.icbf.com/v2/app/bull-search/view/77854186","RVT")</f>
        <v>RVT</v>
      </c>
      <c r="B2832" t="s">
        <v>14805</v>
      </c>
      <c r="C2832" t="s">
        <v>14806</v>
      </c>
      <c r="D2832" s="1">
        <v>34198</v>
      </c>
      <c r="E2832" t="s">
        <v>92</v>
      </c>
      <c r="F2832">
        <v>69</v>
      </c>
      <c r="G2832" t="s">
        <v>93</v>
      </c>
      <c r="H2832">
        <v>9.7200000000000006</v>
      </c>
      <c r="I2832">
        <v>85</v>
      </c>
      <c r="J2832">
        <v>-7.21</v>
      </c>
      <c r="K2832">
        <v>96</v>
      </c>
      <c r="L2832">
        <v>-5.89</v>
      </c>
      <c r="M2832">
        <v>80</v>
      </c>
      <c r="N2832">
        <v>21.1</v>
      </c>
      <c r="O2832">
        <v>77</v>
      </c>
      <c r="P2832">
        <v>-3.66</v>
      </c>
      <c r="Q2832">
        <v>89</v>
      </c>
      <c r="R2832">
        <v>-4.13</v>
      </c>
      <c r="S2832">
        <v>79</v>
      </c>
      <c r="T2832">
        <v>16.420000000000002</v>
      </c>
      <c r="U2832">
        <v>82</v>
      </c>
      <c r="V2832">
        <v>-6.91</v>
      </c>
      <c r="W2832">
        <v>68</v>
      </c>
      <c r="X2832" t="s">
        <v>102</v>
      </c>
      <c r="Y2832" t="s">
        <v>95</v>
      </c>
      <c r="Z2832" t="s">
        <v>96</v>
      </c>
      <c r="AA2832" t="s">
        <v>193</v>
      </c>
      <c r="AB2832" t="s">
        <v>14807</v>
      </c>
      <c r="AC2832">
        <v>102</v>
      </c>
      <c r="AD2832">
        <v>75</v>
      </c>
      <c r="AE2832">
        <v>96</v>
      </c>
      <c r="AF2832">
        <v>-111.99</v>
      </c>
      <c r="AG2832">
        <v>1.47</v>
      </c>
      <c r="AH2832">
        <v>-3.46</v>
      </c>
      <c r="AI2832">
        <v>0.1</v>
      </c>
      <c r="AJ2832">
        <v>0.01</v>
      </c>
      <c r="AK2832">
        <v>80</v>
      </c>
      <c r="AL2832">
        <v>159</v>
      </c>
      <c r="AM2832">
        <v>99</v>
      </c>
      <c r="AN2832">
        <v>1.08</v>
      </c>
      <c r="AO2832">
        <v>0.62</v>
      </c>
      <c r="AP2832">
        <v>13</v>
      </c>
      <c r="AQ2832">
        <v>0</v>
      </c>
      <c r="AR2832">
        <v>7.05</v>
      </c>
      <c r="AS2832">
        <v>61</v>
      </c>
      <c r="AT2832">
        <v>2.82</v>
      </c>
      <c r="AU2832">
        <v>78</v>
      </c>
      <c r="AV2832">
        <v>-2.48</v>
      </c>
      <c r="AW2832">
        <v>83</v>
      </c>
      <c r="AX2832">
        <v>-0.45</v>
      </c>
      <c r="AY2832">
        <v>83</v>
      </c>
      <c r="AZ2832">
        <v>7.18</v>
      </c>
      <c r="BA2832">
        <v>55</v>
      </c>
      <c r="BB2832">
        <v>5.5</v>
      </c>
      <c r="BC2832">
        <v>70</v>
      </c>
      <c r="BD2832">
        <v>0</v>
      </c>
      <c r="BE2832">
        <v>0.05</v>
      </c>
      <c r="BF2832">
        <v>0</v>
      </c>
      <c r="BG2832">
        <v>91</v>
      </c>
      <c r="BH2832">
        <v>0</v>
      </c>
      <c r="BI2832">
        <v>22.29</v>
      </c>
      <c r="BJ2832">
        <v>14</v>
      </c>
      <c r="BK2832">
        <v>11</v>
      </c>
      <c r="BL2832">
        <v>0.15</v>
      </c>
      <c r="BM2832">
        <v>0.47</v>
      </c>
      <c r="BN2832">
        <v>-0.69</v>
      </c>
      <c r="BO2832">
        <v>-0.46</v>
      </c>
      <c r="BP2832">
        <v>0.7</v>
      </c>
      <c r="BQ2832">
        <v>-1.95</v>
      </c>
      <c r="BR2832">
        <v>0.65</v>
      </c>
      <c r="BS2832">
        <v>-1.77</v>
      </c>
      <c r="BT2832">
        <v>-0.78</v>
      </c>
      <c r="BU2832">
        <v>-1.08</v>
      </c>
      <c r="BV2832">
        <v>-0.47</v>
      </c>
      <c r="BW2832">
        <v>-0.53</v>
      </c>
      <c r="BX2832">
        <v>-1.26</v>
      </c>
      <c r="BY2832">
        <v>-1.85</v>
      </c>
      <c r="BZ2832">
        <v>4.03</v>
      </c>
      <c r="CA2832">
        <v>-1.29</v>
      </c>
      <c r="CB2832">
        <v>-1.1399999999999999</v>
      </c>
      <c r="CC2832">
        <v>-1.64</v>
      </c>
      <c r="CD2832">
        <v>-0.1</v>
      </c>
      <c r="CE2832">
        <v>-0.13</v>
      </c>
      <c r="CF2832">
        <v>-0.26</v>
      </c>
      <c r="CG2832">
        <v>0</v>
      </c>
      <c r="CH2832">
        <v>-2</v>
      </c>
      <c r="CI2832">
        <v>0</v>
      </c>
      <c r="CJ2832">
        <v>-1</v>
      </c>
      <c r="CK2832">
        <v>90</v>
      </c>
      <c r="CL2832">
        <v>-0.35</v>
      </c>
      <c r="CM2832">
        <v>88</v>
      </c>
      <c r="CN2832">
        <v>-0.18</v>
      </c>
      <c r="CO2832">
        <v>87</v>
      </c>
      <c r="CP2832">
        <v>-5.2</v>
      </c>
      <c r="CQ2832">
        <v>91</v>
      </c>
      <c r="CR2832">
        <v>0</v>
      </c>
      <c r="CS2832">
        <v>0</v>
      </c>
      <c r="CT2832">
        <v>-8.4</v>
      </c>
      <c r="CU2832">
        <v>82</v>
      </c>
      <c r="CV2832">
        <v>0.19</v>
      </c>
      <c r="CW2832">
        <v>44</v>
      </c>
      <c r="CX2832" t="s">
        <v>3720</v>
      </c>
    </row>
    <row r="2833" spans="1:102" x14ac:dyDescent="0.3">
      <c r="A2833" t="str">
        <f>HYPERLINK("https://webapp.icbf.com/v2/app/bull-search/view/77856700","IBT")</f>
        <v>IBT</v>
      </c>
      <c r="B2833" t="s">
        <v>11256</v>
      </c>
      <c r="C2833" t="s">
        <v>11257</v>
      </c>
      <c r="D2833" s="1">
        <v>32388</v>
      </c>
      <c r="E2833" t="s">
        <v>92</v>
      </c>
      <c r="F2833">
        <v>100</v>
      </c>
      <c r="G2833" t="s">
        <v>93</v>
      </c>
      <c r="H2833">
        <v>9.7100000000000009</v>
      </c>
      <c r="I2833">
        <v>89</v>
      </c>
      <c r="J2833">
        <v>-67.16</v>
      </c>
      <c r="K2833">
        <v>98</v>
      </c>
      <c r="L2833">
        <v>65.66</v>
      </c>
      <c r="M2833">
        <v>91</v>
      </c>
      <c r="N2833">
        <v>13.04</v>
      </c>
      <c r="O2833">
        <v>81</v>
      </c>
      <c r="P2833">
        <v>1.93</v>
      </c>
      <c r="Q2833">
        <v>91</v>
      </c>
      <c r="R2833">
        <v>-2.73</v>
      </c>
      <c r="S2833">
        <v>75</v>
      </c>
      <c r="T2833">
        <v>3.69</v>
      </c>
      <c r="U2833">
        <v>86</v>
      </c>
      <c r="V2833">
        <v>-4.72</v>
      </c>
      <c r="W2833">
        <v>45</v>
      </c>
      <c r="X2833" t="s">
        <v>110</v>
      </c>
      <c r="Y2833" t="s">
        <v>95</v>
      </c>
      <c r="Z2833" t="s">
        <v>96</v>
      </c>
      <c r="AA2833" t="s">
        <v>552</v>
      </c>
      <c r="AB2833" t="s">
        <v>11258</v>
      </c>
      <c r="AC2833">
        <v>221</v>
      </c>
      <c r="AD2833">
        <v>117</v>
      </c>
      <c r="AE2833">
        <v>98</v>
      </c>
      <c r="AF2833">
        <v>-42.89</v>
      </c>
      <c r="AG2833">
        <v>-15.23</v>
      </c>
      <c r="AH2833">
        <v>-6.69</v>
      </c>
      <c r="AI2833">
        <v>-0.23</v>
      </c>
      <c r="AJ2833">
        <v>-0.09</v>
      </c>
      <c r="AK2833">
        <v>91</v>
      </c>
      <c r="AL2833">
        <v>236</v>
      </c>
      <c r="AM2833">
        <v>114</v>
      </c>
      <c r="AN2833">
        <v>-4.04</v>
      </c>
      <c r="AO2833">
        <v>1.19</v>
      </c>
      <c r="AP2833">
        <v>3</v>
      </c>
      <c r="AQ2833">
        <v>0</v>
      </c>
      <c r="AR2833">
        <v>3.88</v>
      </c>
      <c r="AS2833">
        <v>47</v>
      </c>
      <c r="AT2833">
        <v>1.79</v>
      </c>
      <c r="AU2833">
        <v>86</v>
      </c>
      <c r="AV2833">
        <v>-0.09</v>
      </c>
      <c r="AW2833">
        <v>87</v>
      </c>
      <c r="AX2833">
        <v>-0.52</v>
      </c>
      <c r="AY2833">
        <v>89</v>
      </c>
      <c r="AZ2833">
        <v>7.74</v>
      </c>
      <c r="BA2833">
        <v>51</v>
      </c>
      <c r="BB2833">
        <v>5.86</v>
      </c>
      <c r="BC2833">
        <v>75</v>
      </c>
      <c r="BD2833">
        <v>0.04</v>
      </c>
      <c r="BE2833">
        <v>0.04</v>
      </c>
      <c r="BF2833">
        <v>-0.08</v>
      </c>
      <c r="BG2833">
        <v>93</v>
      </c>
      <c r="BH2833">
        <v>-0.16</v>
      </c>
      <c r="BI2833">
        <v>-3.29</v>
      </c>
      <c r="BJ2833">
        <v>14</v>
      </c>
      <c r="BK2833">
        <v>10</v>
      </c>
      <c r="BL2833">
        <v>0.39</v>
      </c>
      <c r="BM2833">
        <v>-2.02</v>
      </c>
      <c r="BN2833">
        <v>-1.27</v>
      </c>
      <c r="BO2833">
        <v>-0.23</v>
      </c>
      <c r="BP2833">
        <v>0.33</v>
      </c>
      <c r="BQ2833">
        <v>-0.32</v>
      </c>
      <c r="BR2833">
        <v>2.1</v>
      </c>
      <c r="BS2833">
        <v>-2.0299999999999998</v>
      </c>
      <c r="BT2833">
        <v>-2.37</v>
      </c>
      <c r="BU2833">
        <v>0.03</v>
      </c>
      <c r="BV2833">
        <v>-0.86</v>
      </c>
      <c r="BW2833">
        <v>0.14000000000000001</v>
      </c>
      <c r="BX2833">
        <v>2.2200000000000002</v>
      </c>
      <c r="BY2833">
        <v>-1.35</v>
      </c>
      <c r="BZ2833">
        <v>1.57</v>
      </c>
      <c r="CA2833">
        <v>-1.66</v>
      </c>
      <c r="CB2833">
        <v>-1.49</v>
      </c>
      <c r="CC2833">
        <v>-1.45</v>
      </c>
      <c r="CD2833">
        <v>-0.24</v>
      </c>
      <c r="CE2833">
        <v>-0.3</v>
      </c>
      <c r="CF2833">
        <v>0.02</v>
      </c>
      <c r="CG2833">
        <v>0</v>
      </c>
      <c r="CH2833">
        <v>-1.1000000000000001</v>
      </c>
      <c r="CI2833">
        <v>0</v>
      </c>
      <c r="CJ2833">
        <v>2.1</v>
      </c>
      <c r="CK2833">
        <v>91</v>
      </c>
      <c r="CL2833">
        <v>-0.63</v>
      </c>
      <c r="CM2833">
        <v>90</v>
      </c>
      <c r="CN2833">
        <v>-0.52</v>
      </c>
      <c r="CO2833">
        <v>88</v>
      </c>
      <c r="CP2833">
        <v>-3.7</v>
      </c>
      <c r="CQ2833">
        <v>93</v>
      </c>
      <c r="CR2833">
        <v>0</v>
      </c>
      <c r="CS2833">
        <v>0</v>
      </c>
      <c r="CT2833">
        <v>8.8000000000000007</v>
      </c>
      <c r="CU2833">
        <v>86</v>
      </c>
      <c r="CV2833">
        <v>0.26</v>
      </c>
      <c r="CW2833">
        <v>26</v>
      </c>
      <c r="CX2833" t="s">
        <v>543</v>
      </c>
    </row>
    <row r="2834" spans="1:102" x14ac:dyDescent="0.3">
      <c r="A2834" t="str">
        <f>HYPERLINK("https://webapp.icbf.com/v2/app/bull-search/view/1254953110","FR2070")</f>
        <v>FR2070</v>
      </c>
      <c r="B2834" t="s">
        <v>13549</v>
      </c>
      <c r="C2834" t="s">
        <v>13550</v>
      </c>
      <c r="D2834" s="1">
        <v>39520</v>
      </c>
      <c r="E2834" t="s">
        <v>92</v>
      </c>
      <c r="F2834">
        <v>100</v>
      </c>
      <c r="G2834" t="s">
        <v>109</v>
      </c>
      <c r="H2834">
        <v>9.69</v>
      </c>
      <c r="I2834">
        <v>60</v>
      </c>
      <c r="J2834">
        <v>34.69</v>
      </c>
      <c r="K2834">
        <v>81</v>
      </c>
      <c r="L2834">
        <v>-34.42</v>
      </c>
      <c r="M2834">
        <v>64</v>
      </c>
      <c r="N2834">
        <v>-4.47</v>
      </c>
      <c r="O2834">
        <v>49</v>
      </c>
      <c r="P2834">
        <v>14.01</v>
      </c>
      <c r="Q2834">
        <v>36</v>
      </c>
      <c r="R2834">
        <v>6.44</v>
      </c>
      <c r="S2834">
        <v>54</v>
      </c>
      <c r="T2834">
        <v>-5.19</v>
      </c>
      <c r="U2834">
        <v>22</v>
      </c>
      <c r="V2834">
        <v>-1.37</v>
      </c>
      <c r="W2834">
        <v>12</v>
      </c>
      <c r="X2834" t="s">
        <v>94</v>
      </c>
      <c r="Y2834" t="s">
        <v>422</v>
      </c>
      <c r="Z2834" t="s">
        <v>96</v>
      </c>
      <c r="AA2834" t="s">
        <v>2596</v>
      </c>
      <c r="AB2834" t="s">
        <v>13551</v>
      </c>
      <c r="AC2834">
        <v>0</v>
      </c>
      <c r="AD2834">
        <v>0</v>
      </c>
      <c r="AE2834">
        <v>81</v>
      </c>
      <c r="AF2834">
        <v>322.93</v>
      </c>
      <c r="AG2834">
        <v>0.46</v>
      </c>
      <c r="AH2834">
        <v>10.68</v>
      </c>
      <c r="AI2834">
        <v>-0.19</v>
      </c>
      <c r="AJ2834">
        <v>-0.01</v>
      </c>
      <c r="AK2834">
        <v>64</v>
      </c>
      <c r="AL2834">
        <v>0</v>
      </c>
      <c r="AM2834">
        <v>0</v>
      </c>
      <c r="AN2834">
        <v>3.03</v>
      </c>
      <c r="AO2834">
        <v>0.3</v>
      </c>
      <c r="AP2834">
        <v>37</v>
      </c>
      <c r="AQ2834">
        <v>0</v>
      </c>
      <c r="AR2834">
        <v>12.29</v>
      </c>
      <c r="AS2834">
        <v>43</v>
      </c>
      <c r="AT2834">
        <v>4.04</v>
      </c>
      <c r="AU2834">
        <v>88</v>
      </c>
      <c r="AV2834">
        <v>-3.2</v>
      </c>
      <c r="AW2834">
        <v>45</v>
      </c>
      <c r="AX2834">
        <v>-0.01</v>
      </c>
      <c r="AY2834">
        <v>36</v>
      </c>
      <c r="AZ2834">
        <v>8.49</v>
      </c>
      <c r="BA2834">
        <v>20</v>
      </c>
      <c r="BB2834">
        <v>5.52</v>
      </c>
      <c r="BC2834">
        <v>10</v>
      </c>
      <c r="BD2834">
        <v>0</v>
      </c>
      <c r="BE2834">
        <v>-0.02</v>
      </c>
      <c r="BF2834">
        <v>-0.11</v>
      </c>
      <c r="BG2834">
        <v>84</v>
      </c>
      <c r="BH2834">
        <v>-0.05</v>
      </c>
      <c r="BI2834">
        <v>-1.37</v>
      </c>
      <c r="BJ2834">
        <v>5</v>
      </c>
      <c r="BK2834">
        <v>1</v>
      </c>
      <c r="BL2834">
        <v>0.42</v>
      </c>
      <c r="BM2834">
        <v>1.58</v>
      </c>
      <c r="BN2834">
        <v>1.29</v>
      </c>
      <c r="BO2834">
        <v>-0.12</v>
      </c>
      <c r="BP2834">
        <v>0.33</v>
      </c>
      <c r="BQ2834">
        <v>0.96</v>
      </c>
      <c r="BR2834">
        <v>0.05</v>
      </c>
      <c r="BS2834">
        <v>1.04</v>
      </c>
      <c r="BT2834">
        <v>0.62</v>
      </c>
      <c r="BU2834">
        <v>1.81</v>
      </c>
      <c r="BV2834">
        <v>0.85</v>
      </c>
      <c r="BW2834">
        <v>-0.35</v>
      </c>
      <c r="BX2834">
        <v>1.35</v>
      </c>
      <c r="BY2834">
        <v>1.65</v>
      </c>
      <c r="BZ2834">
        <v>-1.59</v>
      </c>
      <c r="CA2834">
        <v>1.52</v>
      </c>
      <c r="CB2834">
        <v>1.52</v>
      </c>
      <c r="CC2834">
        <v>0.97</v>
      </c>
      <c r="CD2834">
        <v>2.2200000000000002</v>
      </c>
      <c r="CE2834">
        <v>0.23</v>
      </c>
      <c r="CF2834">
        <v>1.06</v>
      </c>
      <c r="CG2834">
        <v>0</v>
      </c>
      <c r="CH2834">
        <v>-0.11</v>
      </c>
      <c r="CI2834">
        <v>0</v>
      </c>
      <c r="CJ2834">
        <v>9.6999999999999993</v>
      </c>
      <c r="CK2834">
        <v>40</v>
      </c>
      <c r="CL2834">
        <v>-0.37</v>
      </c>
      <c r="CM2834">
        <v>34</v>
      </c>
      <c r="CN2834">
        <v>-0.26</v>
      </c>
      <c r="CO2834">
        <v>32</v>
      </c>
      <c r="CP2834">
        <v>9.3000000000000007</v>
      </c>
      <c r="CQ2834">
        <v>23</v>
      </c>
      <c r="CR2834">
        <v>0</v>
      </c>
      <c r="CS2834">
        <v>0</v>
      </c>
      <c r="CT2834">
        <v>20.8</v>
      </c>
      <c r="CU2834">
        <v>22</v>
      </c>
      <c r="CV2834">
        <v>0.39</v>
      </c>
      <c r="CW2834">
        <v>11</v>
      </c>
      <c r="CX2834" t="s">
        <v>2032</v>
      </c>
    </row>
    <row r="2835" spans="1:102" x14ac:dyDescent="0.3">
      <c r="A2835" t="str">
        <f>HYPERLINK("https://webapp.icbf.com/v2/app/bull-search/view/910806021","S1349")</f>
        <v>S1349</v>
      </c>
      <c r="B2835" t="s">
        <v>5575</v>
      </c>
      <c r="C2835" t="s">
        <v>5576</v>
      </c>
      <c r="D2835" s="1">
        <v>39943</v>
      </c>
      <c r="E2835" t="s">
        <v>227</v>
      </c>
      <c r="F2835">
        <v>0</v>
      </c>
      <c r="G2835" t="s">
        <v>109</v>
      </c>
      <c r="H2835">
        <v>9.6</v>
      </c>
      <c r="I2835">
        <v>53</v>
      </c>
      <c r="J2835">
        <v>4.63</v>
      </c>
      <c r="K2835">
        <v>75</v>
      </c>
      <c r="L2835">
        <v>-1.01</v>
      </c>
      <c r="M2835">
        <v>64</v>
      </c>
      <c r="N2835">
        <v>10.89</v>
      </c>
      <c r="O2835">
        <v>29</v>
      </c>
      <c r="P2835">
        <v>-74.459999999999994</v>
      </c>
      <c r="Q2835">
        <v>22</v>
      </c>
      <c r="R2835">
        <v>-7.12</v>
      </c>
      <c r="S2835">
        <v>13</v>
      </c>
      <c r="T2835">
        <v>76.36</v>
      </c>
      <c r="U2835">
        <v>8</v>
      </c>
      <c r="V2835">
        <v>0.31</v>
      </c>
      <c r="W2835">
        <v>21</v>
      </c>
      <c r="X2835" t="s">
        <v>276</v>
      </c>
      <c r="Y2835" t="s">
        <v>342</v>
      </c>
      <c r="Z2835">
        <v>0</v>
      </c>
      <c r="AA2835" t="s">
        <v>5577</v>
      </c>
      <c r="AB2835" t="s">
        <v>5578</v>
      </c>
      <c r="AC2835">
        <v>0</v>
      </c>
      <c r="AD2835">
        <v>0</v>
      </c>
      <c r="AE2835">
        <v>75</v>
      </c>
      <c r="AF2835">
        <v>-281.02999999999997</v>
      </c>
      <c r="AG2835">
        <v>7</v>
      </c>
      <c r="AH2835">
        <v>-5.99</v>
      </c>
      <c r="AI2835">
        <v>0.31</v>
      </c>
      <c r="AJ2835">
        <v>0.06</v>
      </c>
      <c r="AK2835">
        <v>64</v>
      </c>
      <c r="AL2835">
        <v>0</v>
      </c>
      <c r="AM2835">
        <v>0</v>
      </c>
      <c r="AN2835">
        <v>1.65</v>
      </c>
      <c r="AO2835">
        <v>1.59</v>
      </c>
      <c r="AP2835">
        <v>5</v>
      </c>
      <c r="AQ2835">
        <v>0</v>
      </c>
      <c r="AR2835">
        <v>4.12</v>
      </c>
      <c r="AS2835">
        <v>13</v>
      </c>
      <c r="AT2835">
        <v>2.2799999999999998</v>
      </c>
      <c r="AU2835">
        <v>15</v>
      </c>
      <c r="AV2835">
        <v>-0.35</v>
      </c>
      <c r="AW2835">
        <v>52</v>
      </c>
      <c r="AX2835">
        <v>1.24</v>
      </c>
      <c r="AY2835">
        <v>20</v>
      </c>
      <c r="AZ2835">
        <v>7.32</v>
      </c>
      <c r="BA2835">
        <v>2</v>
      </c>
      <c r="BB2835">
        <v>5.32</v>
      </c>
      <c r="BC2835">
        <v>6</v>
      </c>
      <c r="BD2835">
        <v>-0.02</v>
      </c>
      <c r="BE2835">
        <v>0.03</v>
      </c>
      <c r="BF2835">
        <v>0.14000000000000001</v>
      </c>
      <c r="BG2835">
        <v>17</v>
      </c>
      <c r="BH2835">
        <v>0.04</v>
      </c>
      <c r="BI2835">
        <v>3.64</v>
      </c>
      <c r="BJ2835">
        <v>1</v>
      </c>
      <c r="BK2835">
        <v>1</v>
      </c>
      <c r="BL2835">
        <v>-0.36</v>
      </c>
      <c r="BM2835">
        <v>-1.53</v>
      </c>
      <c r="BN2835">
        <v>0.69</v>
      </c>
      <c r="BO2835">
        <v>2.15</v>
      </c>
      <c r="BP2835">
        <v>-0.48</v>
      </c>
      <c r="BQ2835">
        <v>-3.96</v>
      </c>
      <c r="BR2835">
        <v>2.11</v>
      </c>
      <c r="BS2835">
        <v>6.77</v>
      </c>
      <c r="BT2835">
        <v>-0.93</v>
      </c>
      <c r="BU2835">
        <v>1.03</v>
      </c>
      <c r="BV2835">
        <v>1.18</v>
      </c>
      <c r="BW2835">
        <v>-1.25</v>
      </c>
      <c r="BX2835">
        <v>-2.0499999999999998</v>
      </c>
      <c r="BY2835">
        <v>0.53</v>
      </c>
      <c r="BZ2835">
        <v>0.13</v>
      </c>
      <c r="CA2835">
        <v>2.5499999999999998</v>
      </c>
      <c r="CB2835">
        <v>1.1200000000000001</v>
      </c>
      <c r="CC2835">
        <v>4.4000000000000004</v>
      </c>
      <c r="CD2835">
        <v>-2.42</v>
      </c>
      <c r="CE2835">
        <v>1.97</v>
      </c>
      <c r="CF2835">
        <v>0.2</v>
      </c>
      <c r="CG2835">
        <v>0</v>
      </c>
      <c r="CH2835">
        <v>-0.27</v>
      </c>
      <c r="CI2835">
        <v>0</v>
      </c>
      <c r="CJ2835">
        <v>-40.4</v>
      </c>
      <c r="CK2835">
        <v>24</v>
      </c>
      <c r="CL2835">
        <v>-1.28</v>
      </c>
      <c r="CM2835">
        <v>21</v>
      </c>
      <c r="CN2835">
        <v>-0.28000000000000003</v>
      </c>
      <c r="CO2835">
        <v>19</v>
      </c>
      <c r="CP2835">
        <v>-58.5</v>
      </c>
      <c r="CQ2835">
        <v>11</v>
      </c>
      <c r="CR2835">
        <v>0</v>
      </c>
      <c r="CS2835">
        <v>0</v>
      </c>
      <c r="CT2835">
        <v>-89.4</v>
      </c>
      <c r="CU2835">
        <v>8</v>
      </c>
      <c r="CV2835">
        <v>-0.46</v>
      </c>
      <c r="CW2835">
        <v>6</v>
      </c>
      <c r="CX2835" t="s">
        <v>5579</v>
      </c>
    </row>
    <row r="2836" spans="1:102" x14ac:dyDescent="0.3">
      <c r="A2836" t="str">
        <f>HYPERLINK("https://webapp.icbf.com/v2/app/bull-search/view/77858416","DKK")</f>
        <v>DKK</v>
      </c>
      <c r="B2836" t="s">
        <v>3991</v>
      </c>
      <c r="C2836" t="s">
        <v>3992</v>
      </c>
      <c r="D2836" s="1">
        <v>33006</v>
      </c>
      <c r="E2836" t="s">
        <v>92</v>
      </c>
      <c r="F2836">
        <v>100</v>
      </c>
      <c r="G2836" t="s">
        <v>93</v>
      </c>
      <c r="H2836">
        <v>9.5500000000000007</v>
      </c>
      <c r="I2836">
        <v>83</v>
      </c>
      <c r="J2836">
        <v>-2.4700000000000002</v>
      </c>
      <c r="K2836">
        <v>94</v>
      </c>
      <c r="L2836">
        <v>-25.86</v>
      </c>
      <c r="M2836">
        <v>85</v>
      </c>
      <c r="N2836">
        <v>38.979999999999997</v>
      </c>
      <c r="O2836">
        <v>70</v>
      </c>
      <c r="P2836">
        <v>-8.3699999999999992</v>
      </c>
      <c r="Q2836">
        <v>79</v>
      </c>
      <c r="R2836">
        <v>-8.44</v>
      </c>
      <c r="S2836">
        <v>74</v>
      </c>
      <c r="T2836">
        <v>19.89</v>
      </c>
      <c r="U2836">
        <v>79</v>
      </c>
      <c r="V2836">
        <v>-4.18</v>
      </c>
      <c r="W2836">
        <v>42</v>
      </c>
      <c r="X2836" t="s">
        <v>94</v>
      </c>
      <c r="Y2836" t="s">
        <v>95</v>
      </c>
      <c r="Z2836" t="s">
        <v>96</v>
      </c>
      <c r="AA2836" t="s">
        <v>111</v>
      </c>
      <c r="AB2836" t="s">
        <v>3619</v>
      </c>
      <c r="AC2836">
        <v>78</v>
      </c>
      <c r="AD2836">
        <v>54</v>
      </c>
      <c r="AE2836">
        <v>94</v>
      </c>
      <c r="AF2836">
        <v>136.93</v>
      </c>
      <c r="AG2836">
        <v>-0.04</v>
      </c>
      <c r="AH2836">
        <v>1.69</v>
      </c>
      <c r="AI2836">
        <v>-0.09</v>
      </c>
      <c r="AJ2836">
        <v>-0.05</v>
      </c>
      <c r="AK2836">
        <v>85</v>
      </c>
      <c r="AL2836">
        <v>82</v>
      </c>
      <c r="AM2836">
        <v>58</v>
      </c>
      <c r="AN2836">
        <v>1.56</v>
      </c>
      <c r="AO2836">
        <v>-0.5</v>
      </c>
      <c r="AP2836">
        <v>10</v>
      </c>
      <c r="AQ2836">
        <v>0</v>
      </c>
      <c r="AR2836">
        <v>4.41</v>
      </c>
      <c r="AS2836">
        <v>42</v>
      </c>
      <c r="AT2836">
        <v>2.2000000000000002</v>
      </c>
      <c r="AU2836">
        <v>80</v>
      </c>
      <c r="AV2836">
        <v>-2.59</v>
      </c>
      <c r="AW2836">
        <v>75</v>
      </c>
      <c r="AX2836">
        <v>-0.45</v>
      </c>
      <c r="AY2836">
        <v>74</v>
      </c>
      <c r="AZ2836">
        <v>5.52</v>
      </c>
      <c r="BA2836">
        <v>42</v>
      </c>
      <c r="BB2836">
        <v>4.6399999999999997</v>
      </c>
      <c r="BC2836">
        <v>55</v>
      </c>
      <c r="BD2836">
        <v>0.03</v>
      </c>
      <c r="BE2836">
        <v>0.06</v>
      </c>
      <c r="BF2836">
        <v>0.03</v>
      </c>
      <c r="BG2836">
        <v>91</v>
      </c>
      <c r="BH2836">
        <v>-0.08</v>
      </c>
      <c r="BI2836">
        <v>4.24</v>
      </c>
      <c r="BJ2836">
        <v>2</v>
      </c>
      <c r="BK2836">
        <v>2</v>
      </c>
      <c r="BL2836">
        <v>0.13</v>
      </c>
      <c r="BM2836">
        <v>-0.24</v>
      </c>
      <c r="BN2836">
        <v>0</v>
      </c>
      <c r="BO2836">
        <v>0.12</v>
      </c>
      <c r="BP2836">
        <v>2.92</v>
      </c>
      <c r="BQ2836">
        <v>-1.17</v>
      </c>
      <c r="BR2836">
        <v>1.22</v>
      </c>
      <c r="BS2836">
        <v>0.14000000000000001</v>
      </c>
      <c r="BT2836">
        <v>-0.96</v>
      </c>
      <c r="BU2836">
        <v>-1.3</v>
      </c>
      <c r="BV2836">
        <v>-0.51</v>
      </c>
      <c r="BW2836">
        <v>0.3</v>
      </c>
      <c r="BX2836">
        <v>-1.23</v>
      </c>
      <c r="BY2836">
        <v>-1.79</v>
      </c>
      <c r="BZ2836">
        <v>1.02</v>
      </c>
      <c r="CA2836">
        <v>-0.24</v>
      </c>
      <c r="CB2836">
        <v>-0.48</v>
      </c>
      <c r="CC2836">
        <v>0.38</v>
      </c>
      <c r="CD2836">
        <v>-0.24</v>
      </c>
      <c r="CE2836">
        <v>1.02</v>
      </c>
      <c r="CF2836">
        <v>0.53</v>
      </c>
      <c r="CG2836">
        <v>0</v>
      </c>
      <c r="CH2836">
        <v>0.64</v>
      </c>
      <c r="CI2836">
        <v>0</v>
      </c>
      <c r="CJ2836">
        <v>-1.8</v>
      </c>
      <c r="CK2836">
        <v>80</v>
      </c>
      <c r="CL2836">
        <v>-0.54</v>
      </c>
      <c r="CM2836">
        <v>77</v>
      </c>
      <c r="CN2836">
        <v>-0.03</v>
      </c>
      <c r="CO2836">
        <v>74</v>
      </c>
      <c r="CP2836">
        <v>-4.4000000000000004</v>
      </c>
      <c r="CQ2836">
        <v>85</v>
      </c>
      <c r="CR2836">
        <v>0</v>
      </c>
      <c r="CS2836">
        <v>0</v>
      </c>
      <c r="CT2836">
        <v>-13.1</v>
      </c>
      <c r="CU2836">
        <v>79</v>
      </c>
      <c r="CV2836">
        <v>0.11</v>
      </c>
      <c r="CW2836">
        <v>23</v>
      </c>
      <c r="CX2836" t="s">
        <v>707</v>
      </c>
    </row>
    <row r="2837" spans="1:102" x14ac:dyDescent="0.3">
      <c r="A2837" t="str">
        <f>HYPERLINK("https://webapp.icbf.com/v2/app/bull-search/view/145541826","BHX")</f>
        <v>BHX</v>
      </c>
      <c r="B2837" t="s">
        <v>4084</v>
      </c>
      <c r="C2837" t="s">
        <v>4085</v>
      </c>
      <c r="D2837" s="1">
        <v>37663</v>
      </c>
      <c r="E2837" t="s">
        <v>92</v>
      </c>
      <c r="F2837">
        <v>97</v>
      </c>
      <c r="G2837" t="s">
        <v>93</v>
      </c>
      <c r="H2837">
        <v>9.43</v>
      </c>
      <c r="I2837">
        <v>85</v>
      </c>
      <c r="J2837">
        <v>51.6</v>
      </c>
      <c r="K2837">
        <v>97</v>
      </c>
      <c r="L2837">
        <v>-52.48</v>
      </c>
      <c r="M2837">
        <v>72</v>
      </c>
      <c r="N2837">
        <v>4.4800000000000004</v>
      </c>
      <c r="O2837">
        <v>86</v>
      </c>
      <c r="P2837">
        <v>-12.83</v>
      </c>
      <c r="Q2837">
        <v>94</v>
      </c>
      <c r="R2837">
        <v>-1.3</v>
      </c>
      <c r="S2837">
        <v>79</v>
      </c>
      <c r="T2837">
        <v>16.71</v>
      </c>
      <c r="U2837">
        <v>89</v>
      </c>
      <c r="V2837">
        <v>3.25</v>
      </c>
      <c r="W2837">
        <v>76</v>
      </c>
      <c r="X2837" t="s">
        <v>94</v>
      </c>
      <c r="Y2837" t="s">
        <v>95</v>
      </c>
      <c r="Z2837" t="s">
        <v>96</v>
      </c>
      <c r="AA2837" t="s">
        <v>1436</v>
      </c>
      <c r="AB2837" t="s">
        <v>4086</v>
      </c>
      <c r="AC2837">
        <v>124</v>
      </c>
      <c r="AD2837">
        <v>90</v>
      </c>
      <c r="AE2837">
        <v>97</v>
      </c>
      <c r="AF2837">
        <v>217.24</v>
      </c>
      <c r="AG2837">
        <v>6.7</v>
      </c>
      <c r="AH2837">
        <v>9.73</v>
      </c>
      <c r="AI2837">
        <v>-0.03</v>
      </c>
      <c r="AJ2837">
        <v>0.04</v>
      </c>
      <c r="AK2837">
        <v>72</v>
      </c>
      <c r="AL2837">
        <v>124</v>
      </c>
      <c r="AM2837">
        <v>86</v>
      </c>
      <c r="AN2837">
        <v>3.25</v>
      </c>
      <c r="AO2837">
        <v>-0.93</v>
      </c>
      <c r="AP2837">
        <v>249</v>
      </c>
      <c r="AQ2837">
        <v>3</v>
      </c>
      <c r="AR2837">
        <v>9.08</v>
      </c>
      <c r="AS2837">
        <v>69</v>
      </c>
      <c r="AT2837">
        <v>3.78</v>
      </c>
      <c r="AU2837">
        <v>88</v>
      </c>
      <c r="AV2837">
        <v>-2.02</v>
      </c>
      <c r="AW2837">
        <v>95</v>
      </c>
      <c r="AX2837">
        <v>0.21</v>
      </c>
      <c r="AY2837">
        <v>84</v>
      </c>
      <c r="AZ2837">
        <v>5.63</v>
      </c>
      <c r="BA2837">
        <v>67</v>
      </c>
      <c r="BB2837">
        <v>5.36</v>
      </c>
      <c r="BC2837">
        <v>71</v>
      </c>
      <c r="BD2837">
        <v>0</v>
      </c>
      <c r="BE2837">
        <v>0</v>
      </c>
      <c r="BF2837">
        <v>0.03</v>
      </c>
      <c r="BG2837">
        <v>87</v>
      </c>
      <c r="BH2837">
        <v>0.14000000000000001</v>
      </c>
      <c r="BI2837">
        <v>5.7</v>
      </c>
      <c r="BJ2837">
        <v>39</v>
      </c>
      <c r="BK2837">
        <v>20</v>
      </c>
      <c r="BL2837">
        <v>0.22</v>
      </c>
      <c r="BM2837">
        <v>-0.51</v>
      </c>
      <c r="BN2837">
        <v>-0.91</v>
      </c>
      <c r="BO2837">
        <v>-0.12</v>
      </c>
      <c r="BP2837">
        <v>-3.08</v>
      </c>
      <c r="BQ2837">
        <v>-1.79</v>
      </c>
      <c r="BR2837">
        <v>0.56999999999999995</v>
      </c>
      <c r="BS2837">
        <v>-0.87</v>
      </c>
      <c r="BT2837">
        <v>-0.56999999999999995</v>
      </c>
      <c r="BU2837">
        <v>0.25</v>
      </c>
      <c r="BV2837">
        <v>0.41</v>
      </c>
      <c r="BW2837">
        <v>-0.05</v>
      </c>
      <c r="BX2837">
        <v>0.69</v>
      </c>
      <c r="BY2837">
        <v>-0.26</v>
      </c>
      <c r="BZ2837">
        <v>0.26</v>
      </c>
      <c r="CA2837">
        <v>0.36</v>
      </c>
      <c r="CB2837">
        <v>0.45</v>
      </c>
      <c r="CC2837">
        <v>-0.32</v>
      </c>
      <c r="CD2837">
        <v>0.16</v>
      </c>
      <c r="CE2837">
        <v>0.09</v>
      </c>
      <c r="CF2837">
        <v>-0.72</v>
      </c>
      <c r="CG2837">
        <v>0</v>
      </c>
      <c r="CH2837">
        <v>-0.81</v>
      </c>
      <c r="CI2837">
        <v>0</v>
      </c>
      <c r="CJ2837">
        <v>-1.6</v>
      </c>
      <c r="CK2837">
        <v>95</v>
      </c>
      <c r="CL2837">
        <v>-0.79</v>
      </c>
      <c r="CM2837">
        <v>94</v>
      </c>
      <c r="CN2837">
        <v>0.08</v>
      </c>
      <c r="CO2837">
        <v>93</v>
      </c>
      <c r="CP2837">
        <v>-10.199999999999999</v>
      </c>
      <c r="CQ2837">
        <v>92</v>
      </c>
      <c r="CR2837">
        <v>0</v>
      </c>
      <c r="CS2837">
        <v>0</v>
      </c>
      <c r="CT2837">
        <v>-8.8000000000000007</v>
      </c>
      <c r="CU2837">
        <v>89</v>
      </c>
      <c r="CV2837">
        <v>0.26</v>
      </c>
      <c r="CW2837">
        <v>27</v>
      </c>
      <c r="CX2837" t="s">
        <v>3752</v>
      </c>
    </row>
    <row r="2838" spans="1:102" x14ac:dyDescent="0.3">
      <c r="A2838" t="str">
        <f>HYPERLINK("https://webapp.icbf.com/v2/app/bull-search/view/77855287","MNO")</f>
        <v>MNO</v>
      </c>
      <c r="B2838" t="s">
        <v>2753</v>
      </c>
      <c r="C2838" t="s">
        <v>2754</v>
      </c>
      <c r="D2838" s="1">
        <v>34329</v>
      </c>
      <c r="E2838" t="s">
        <v>92</v>
      </c>
      <c r="F2838">
        <v>100</v>
      </c>
      <c r="G2838" t="s">
        <v>93</v>
      </c>
      <c r="H2838">
        <v>9.15</v>
      </c>
      <c r="I2838">
        <v>70</v>
      </c>
      <c r="J2838">
        <v>-2.0099999999999998</v>
      </c>
      <c r="K2838">
        <v>91</v>
      </c>
      <c r="L2838">
        <v>-2.4900000000000002</v>
      </c>
      <c r="M2838">
        <v>56</v>
      </c>
      <c r="N2838">
        <v>22.62</v>
      </c>
      <c r="O2838">
        <v>60</v>
      </c>
      <c r="P2838">
        <v>-13.16</v>
      </c>
      <c r="Q2838">
        <v>78</v>
      </c>
      <c r="R2838">
        <v>-7.52</v>
      </c>
      <c r="S2838">
        <v>62</v>
      </c>
      <c r="T2838">
        <v>13.6</v>
      </c>
      <c r="U2838">
        <v>72</v>
      </c>
      <c r="V2838">
        <v>-1.89</v>
      </c>
      <c r="W2838">
        <v>35</v>
      </c>
      <c r="X2838" t="s">
        <v>94</v>
      </c>
      <c r="Y2838" t="s">
        <v>95</v>
      </c>
      <c r="Z2838" t="s">
        <v>96</v>
      </c>
      <c r="AA2838" t="s">
        <v>180</v>
      </c>
      <c r="AB2838" t="s">
        <v>2755</v>
      </c>
      <c r="AC2838">
        <v>50</v>
      </c>
      <c r="AD2838">
        <v>46</v>
      </c>
      <c r="AE2838">
        <v>91</v>
      </c>
      <c r="AF2838">
        <v>219.94</v>
      </c>
      <c r="AG2838">
        <v>1.85</v>
      </c>
      <c r="AH2838">
        <v>2.37</v>
      </c>
      <c r="AI2838">
        <v>-0.11</v>
      </c>
      <c r="AJ2838">
        <v>-0.08</v>
      </c>
      <c r="AK2838">
        <v>56</v>
      </c>
      <c r="AL2838">
        <v>57</v>
      </c>
      <c r="AM2838">
        <v>44</v>
      </c>
      <c r="AN2838">
        <v>1.57</v>
      </c>
      <c r="AO2838">
        <v>1.39</v>
      </c>
      <c r="AP2838">
        <v>19</v>
      </c>
      <c r="AQ2838">
        <v>8</v>
      </c>
      <c r="AR2838">
        <v>6.86</v>
      </c>
      <c r="AS2838">
        <v>30</v>
      </c>
      <c r="AT2838">
        <v>3.03</v>
      </c>
      <c r="AU2838">
        <v>57</v>
      </c>
      <c r="AV2838">
        <v>-1.91</v>
      </c>
      <c r="AW2838">
        <v>74</v>
      </c>
      <c r="AX2838">
        <v>-0.04</v>
      </c>
      <c r="AY2838">
        <v>66</v>
      </c>
      <c r="AZ2838">
        <v>5.23</v>
      </c>
      <c r="BA2838">
        <v>32</v>
      </c>
      <c r="BB2838">
        <v>4.37</v>
      </c>
      <c r="BC2838">
        <v>44</v>
      </c>
      <c r="BD2838">
        <v>0.03</v>
      </c>
      <c r="BE2838">
        <v>7.0000000000000007E-2</v>
      </c>
      <c r="BF2838">
        <v>-0.01</v>
      </c>
      <c r="BG2838">
        <v>78</v>
      </c>
      <c r="BH2838">
        <v>7.0000000000000007E-2</v>
      </c>
      <c r="BI2838">
        <v>14.18</v>
      </c>
      <c r="BJ2838">
        <v>14</v>
      </c>
      <c r="BK2838">
        <v>14</v>
      </c>
      <c r="BL2838">
        <v>-0.15</v>
      </c>
      <c r="BM2838">
        <v>0.7</v>
      </c>
      <c r="BN2838">
        <v>0.33</v>
      </c>
      <c r="BO2838">
        <v>-0.25</v>
      </c>
      <c r="BP2838">
        <v>-0.3</v>
      </c>
      <c r="BQ2838">
        <v>-0.82</v>
      </c>
      <c r="BR2838">
        <v>-0.14000000000000001</v>
      </c>
      <c r="BS2838">
        <v>0.51</v>
      </c>
      <c r="BT2838">
        <v>0.72</v>
      </c>
      <c r="BU2838">
        <v>-1.81</v>
      </c>
      <c r="BV2838">
        <v>-1.25</v>
      </c>
      <c r="BW2838">
        <v>-1.62</v>
      </c>
      <c r="BX2838">
        <v>-2.64</v>
      </c>
      <c r="BY2838">
        <v>-0.55000000000000004</v>
      </c>
      <c r="BZ2838">
        <v>-1.1000000000000001</v>
      </c>
      <c r="CA2838">
        <v>-0.56999999999999995</v>
      </c>
      <c r="CB2838">
        <v>-1.25</v>
      </c>
      <c r="CC2838">
        <v>1.06</v>
      </c>
      <c r="CD2838">
        <v>0.4</v>
      </c>
      <c r="CE2838">
        <v>-0.26</v>
      </c>
      <c r="CF2838">
        <v>-0.33</v>
      </c>
      <c r="CG2838">
        <v>0</v>
      </c>
      <c r="CH2838">
        <v>-1.99</v>
      </c>
      <c r="CI2838">
        <v>0</v>
      </c>
      <c r="CJ2838">
        <v>-4.5</v>
      </c>
      <c r="CK2838">
        <v>80</v>
      </c>
      <c r="CL2838">
        <v>-0.59</v>
      </c>
      <c r="CM2838">
        <v>76</v>
      </c>
      <c r="CN2838">
        <v>-7.0000000000000007E-2</v>
      </c>
      <c r="CO2838">
        <v>73</v>
      </c>
      <c r="CP2838">
        <v>-11.2</v>
      </c>
      <c r="CQ2838">
        <v>79</v>
      </c>
      <c r="CR2838">
        <v>0</v>
      </c>
      <c r="CS2838">
        <v>0</v>
      </c>
      <c r="CT2838">
        <v>-4.5999999999999996</v>
      </c>
      <c r="CU2838">
        <v>72</v>
      </c>
      <c r="CV2838">
        <v>0.12</v>
      </c>
      <c r="CW2838">
        <v>22</v>
      </c>
      <c r="CX2838" t="s">
        <v>111</v>
      </c>
    </row>
    <row r="2839" spans="1:102" x14ac:dyDescent="0.3">
      <c r="A2839" t="str">
        <f>HYPERLINK("https://webapp.icbf.com/v2/app/bull-search/view/391934478","GYH")</f>
        <v>GYH</v>
      </c>
      <c r="B2839" t="s">
        <v>5144</v>
      </c>
      <c r="C2839" t="s">
        <v>5145</v>
      </c>
      <c r="D2839" s="1">
        <v>38370</v>
      </c>
      <c r="E2839" t="s">
        <v>92</v>
      </c>
      <c r="F2839">
        <v>63</v>
      </c>
      <c r="G2839" t="s">
        <v>93</v>
      </c>
      <c r="H2839">
        <v>9.08</v>
      </c>
      <c r="I2839">
        <v>88</v>
      </c>
      <c r="J2839">
        <v>47.42</v>
      </c>
      <c r="K2839">
        <v>97</v>
      </c>
      <c r="L2839">
        <v>-36.020000000000003</v>
      </c>
      <c r="M2839">
        <v>80</v>
      </c>
      <c r="N2839">
        <v>-5.0199999999999996</v>
      </c>
      <c r="O2839">
        <v>86</v>
      </c>
      <c r="P2839">
        <v>-9.66</v>
      </c>
      <c r="Q2839">
        <v>91</v>
      </c>
      <c r="R2839">
        <v>5.03</v>
      </c>
      <c r="S2839">
        <v>82</v>
      </c>
      <c r="T2839">
        <v>1.02</v>
      </c>
      <c r="U2839">
        <v>87</v>
      </c>
      <c r="V2839">
        <v>6.31</v>
      </c>
      <c r="W2839">
        <v>81</v>
      </c>
      <c r="X2839" t="s">
        <v>94</v>
      </c>
      <c r="Y2839" t="s">
        <v>228</v>
      </c>
      <c r="Z2839" t="s">
        <v>96</v>
      </c>
      <c r="AA2839" t="s">
        <v>792</v>
      </c>
      <c r="AB2839" t="s">
        <v>5146</v>
      </c>
      <c r="AC2839">
        <v>95</v>
      </c>
      <c r="AD2839">
        <v>70</v>
      </c>
      <c r="AE2839">
        <v>97</v>
      </c>
      <c r="AF2839">
        <v>71.819999999999993</v>
      </c>
      <c r="AG2839">
        <v>4.9000000000000004</v>
      </c>
      <c r="AH2839">
        <v>7.43</v>
      </c>
      <c r="AI2839">
        <v>0.04</v>
      </c>
      <c r="AJ2839">
        <v>0.09</v>
      </c>
      <c r="AK2839">
        <v>80</v>
      </c>
      <c r="AL2839">
        <v>96</v>
      </c>
      <c r="AM2839">
        <v>63</v>
      </c>
      <c r="AN2839">
        <v>3.7</v>
      </c>
      <c r="AO2839">
        <v>0.85</v>
      </c>
      <c r="AP2839">
        <v>192</v>
      </c>
      <c r="AQ2839">
        <v>0</v>
      </c>
      <c r="AR2839">
        <v>9.5399999999999991</v>
      </c>
      <c r="AS2839">
        <v>74</v>
      </c>
      <c r="AT2839">
        <v>4.3600000000000003</v>
      </c>
      <c r="AU2839">
        <v>88</v>
      </c>
      <c r="AV2839">
        <v>-1.69</v>
      </c>
      <c r="AW2839">
        <v>95</v>
      </c>
      <c r="AX2839">
        <v>0.66</v>
      </c>
      <c r="AY2839">
        <v>81</v>
      </c>
      <c r="AZ2839">
        <v>5.63</v>
      </c>
      <c r="BA2839">
        <v>69</v>
      </c>
      <c r="BB2839">
        <v>4.97</v>
      </c>
      <c r="BC2839">
        <v>71</v>
      </c>
      <c r="BD2839">
        <v>-0.04</v>
      </c>
      <c r="BE2839">
        <v>-0.01</v>
      </c>
      <c r="BF2839">
        <v>-0.03</v>
      </c>
      <c r="BG2839">
        <v>89</v>
      </c>
      <c r="BH2839">
        <v>0.21</v>
      </c>
      <c r="BI2839">
        <v>3.93</v>
      </c>
      <c r="BJ2839">
        <v>46</v>
      </c>
      <c r="BK2839">
        <v>31</v>
      </c>
      <c r="BL2839">
        <v>0.26</v>
      </c>
      <c r="BM2839">
        <v>0.91</v>
      </c>
      <c r="BN2839">
        <v>0.86</v>
      </c>
      <c r="BO2839">
        <v>0.11</v>
      </c>
      <c r="BP2839">
        <v>-1.89</v>
      </c>
      <c r="BQ2839">
        <v>-0.72</v>
      </c>
      <c r="BR2839">
        <v>-1.1499999999999999</v>
      </c>
      <c r="BS2839">
        <v>0.64</v>
      </c>
      <c r="BT2839">
        <v>1.8</v>
      </c>
      <c r="BU2839">
        <v>1</v>
      </c>
      <c r="BV2839">
        <v>0.47</v>
      </c>
      <c r="BW2839">
        <v>-0.16</v>
      </c>
      <c r="BX2839">
        <v>0.5</v>
      </c>
      <c r="BY2839">
        <v>0.99</v>
      </c>
      <c r="BZ2839">
        <v>2.44</v>
      </c>
      <c r="CA2839">
        <v>0.8</v>
      </c>
      <c r="CB2839">
        <v>0.67</v>
      </c>
      <c r="CC2839">
        <v>0.61</v>
      </c>
      <c r="CD2839">
        <v>-0.02</v>
      </c>
      <c r="CE2839">
        <v>-0.02</v>
      </c>
      <c r="CF2839">
        <v>-0.02</v>
      </c>
      <c r="CG2839">
        <v>0</v>
      </c>
      <c r="CH2839">
        <v>1.1299999999999999</v>
      </c>
      <c r="CI2839">
        <v>0</v>
      </c>
      <c r="CJ2839">
        <v>-5.7</v>
      </c>
      <c r="CK2839">
        <v>92</v>
      </c>
      <c r="CL2839">
        <v>-0.69</v>
      </c>
      <c r="CM2839">
        <v>90</v>
      </c>
      <c r="CN2839">
        <v>-0.46</v>
      </c>
      <c r="CO2839">
        <v>89</v>
      </c>
      <c r="CP2839">
        <v>-0.4</v>
      </c>
      <c r="CQ2839">
        <v>90</v>
      </c>
      <c r="CR2839">
        <v>0</v>
      </c>
      <c r="CS2839">
        <v>0</v>
      </c>
      <c r="CT2839">
        <v>12.4</v>
      </c>
      <c r="CU2839">
        <v>87</v>
      </c>
      <c r="CV2839">
        <v>0.04</v>
      </c>
      <c r="CW2839">
        <v>46</v>
      </c>
      <c r="CX2839" t="s">
        <v>1037</v>
      </c>
    </row>
    <row r="2840" spans="1:102" x14ac:dyDescent="0.3">
      <c r="A2840" t="str">
        <f>HYPERLINK("https://webapp.icbf.com/v2/app/bull-search/view/326608917","RJZ")</f>
        <v>RJZ</v>
      </c>
      <c r="B2840" t="s">
        <v>4202</v>
      </c>
      <c r="C2840" t="s">
        <v>4203</v>
      </c>
      <c r="D2840" s="1">
        <v>36834</v>
      </c>
      <c r="E2840" t="s">
        <v>140</v>
      </c>
      <c r="F2840">
        <v>0</v>
      </c>
      <c r="G2840" t="s">
        <v>93</v>
      </c>
      <c r="H2840">
        <v>8.9700000000000006</v>
      </c>
      <c r="I2840">
        <v>77</v>
      </c>
      <c r="J2840">
        <v>8.7100000000000009</v>
      </c>
      <c r="K2840">
        <v>93</v>
      </c>
      <c r="L2840">
        <v>-18.52</v>
      </c>
      <c r="M2840">
        <v>60</v>
      </c>
      <c r="N2840">
        <v>-4.5</v>
      </c>
      <c r="O2840">
        <v>78</v>
      </c>
      <c r="P2840">
        <v>6.3</v>
      </c>
      <c r="Q2840">
        <v>91</v>
      </c>
      <c r="R2840">
        <v>3.73</v>
      </c>
      <c r="S2840">
        <v>63</v>
      </c>
      <c r="T2840">
        <v>22.04</v>
      </c>
      <c r="U2840">
        <v>81</v>
      </c>
      <c r="V2840">
        <v>-8.7899999999999991</v>
      </c>
      <c r="W2840">
        <v>65</v>
      </c>
      <c r="X2840" t="s">
        <v>276</v>
      </c>
      <c r="Y2840" t="s">
        <v>221</v>
      </c>
      <c r="Z2840">
        <v>0</v>
      </c>
      <c r="AA2840" t="s">
        <v>4204</v>
      </c>
      <c r="AB2840" t="s">
        <v>4205</v>
      </c>
      <c r="AC2840">
        <v>56</v>
      </c>
      <c r="AD2840">
        <v>28</v>
      </c>
      <c r="AE2840">
        <v>93</v>
      </c>
      <c r="AF2840">
        <v>-72.55</v>
      </c>
      <c r="AG2840">
        <v>-2.09</v>
      </c>
      <c r="AH2840">
        <v>1.1100000000000001</v>
      </c>
      <c r="AI2840">
        <v>0.01</v>
      </c>
      <c r="AJ2840">
        <v>0.06</v>
      </c>
      <c r="AK2840">
        <v>60</v>
      </c>
      <c r="AL2840">
        <v>71</v>
      </c>
      <c r="AM2840">
        <v>38</v>
      </c>
      <c r="AN2840">
        <v>1.53</v>
      </c>
      <c r="AO2840">
        <v>0.06</v>
      </c>
      <c r="AP2840">
        <v>128</v>
      </c>
      <c r="AQ2840">
        <v>2</v>
      </c>
      <c r="AR2840">
        <v>6.95</v>
      </c>
      <c r="AS2840">
        <v>60</v>
      </c>
      <c r="AT2840">
        <v>3.92</v>
      </c>
      <c r="AU2840">
        <v>78</v>
      </c>
      <c r="AV2840">
        <v>0.97</v>
      </c>
      <c r="AW2840">
        <v>93</v>
      </c>
      <c r="AX2840">
        <v>-0.18</v>
      </c>
      <c r="AY2840">
        <v>77</v>
      </c>
      <c r="AZ2840">
        <v>4.43</v>
      </c>
      <c r="BA2840">
        <v>48</v>
      </c>
      <c r="BB2840">
        <v>3.73</v>
      </c>
      <c r="BC2840">
        <v>52</v>
      </c>
      <c r="BD2840">
        <v>-0.01</v>
      </c>
      <c r="BE2840">
        <v>-0.01</v>
      </c>
      <c r="BF2840">
        <v>-0.05</v>
      </c>
      <c r="BG2840">
        <v>74</v>
      </c>
      <c r="BH2840">
        <v>-0.28999999999999998</v>
      </c>
      <c r="BI2840">
        <v>-5.2</v>
      </c>
      <c r="BJ2840">
        <v>0</v>
      </c>
      <c r="BK2840">
        <v>0</v>
      </c>
      <c r="BL2840">
        <v>-0.83</v>
      </c>
      <c r="BM2840">
        <v>2.76</v>
      </c>
      <c r="BN2840">
        <v>-1.92</v>
      </c>
      <c r="BO2840">
        <v>-2.71</v>
      </c>
      <c r="BP2840">
        <v>4.25</v>
      </c>
      <c r="BQ2840">
        <v>-2.42</v>
      </c>
      <c r="BR2840">
        <v>-2.72</v>
      </c>
      <c r="BS2840">
        <v>-0.45</v>
      </c>
      <c r="BT2840">
        <v>2.58</v>
      </c>
      <c r="BU2840">
        <v>-3.27</v>
      </c>
      <c r="BV2840">
        <v>-3.76</v>
      </c>
      <c r="BW2840">
        <v>-2.78</v>
      </c>
      <c r="BX2840">
        <v>-2.4900000000000002</v>
      </c>
      <c r="BY2840">
        <v>-2.44</v>
      </c>
      <c r="BZ2840">
        <v>1.03</v>
      </c>
      <c r="CA2840">
        <v>-2.29</v>
      </c>
      <c r="CB2840">
        <v>-2.93</v>
      </c>
      <c r="CC2840">
        <v>-0.4</v>
      </c>
      <c r="CD2840">
        <v>3.45</v>
      </c>
      <c r="CE2840">
        <v>-2.76</v>
      </c>
      <c r="CF2840">
        <v>-1.2</v>
      </c>
      <c r="CG2840">
        <v>0</v>
      </c>
      <c r="CH2840">
        <v>-2.2999999999999998</v>
      </c>
      <c r="CI2840">
        <v>0</v>
      </c>
      <c r="CJ2840">
        <v>1.5</v>
      </c>
      <c r="CK2840">
        <v>93</v>
      </c>
      <c r="CL2840">
        <v>0.01</v>
      </c>
      <c r="CM2840">
        <v>91</v>
      </c>
      <c r="CN2840">
        <v>-0.46</v>
      </c>
      <c r="CO2840">
        <v>90</v>
      </c>
      <c r="CP2840">
        <v>-8.4</v>
      </c>
      <c r="CQ2840">
        <v>83</v>
      </c>
      <c r="CR2840">
        <v>0</v>
      </c>
      <c r="CS2840">
        <v>0</v>
      </c>
      <c r="CT2840">
        <v>-16</v>
      </c>
      <c r="CU2840">
        <v>81</v>
      </c>
      <c r="CV2840">
        <v>-0.1</v>
      </c>
      <c r="CW2840">
        <v>26</v>
      </c>
      <c r="CX2840" t="s">
        <v>141</v>
      </c>
    </row>
    <row r="2841" spans="1:102" x14ac:dyDescent="0.3">
      <c r="A2841" t="str">
        <f>HYPERLINK("https://webapp.icbf.com/v2/app/bull-search/view/379835940","SGV")</f>
        <v>SGV</v>
      </c>
      <c r="B2841" t="s">
        <v>12529</v>
      </c>
      <c r="C2841" t="s">
        <v>5521</v>
      </c>
      <c r="D2841" s="1">
        <v>35994</v>
      </c>
      <c r="E2841" t="s">
        <v>92</v>
      </c>
      <c r="F2841">
        <v>100</v>
      </c>
      <c r="G2841" t="s">
        <v>93</v>
      </c>
      <c r="H2841">
        <v>8.91</v>
      </c>
      <c r="I2841">
        <v>94</v>
      </c>
      <c r="J2841">
        <v>55.53</v>
      </c>
      <c r="K2841">
        <v>99</v>
      </c>
      <c r="L2841">
        <v>-56.56</v>
      </c>
      <c r="M2841">
        <v>90</v>
      </c>
      <c r="N2841">
        <v>17.399999999999999</v>
      </c>
      <c r="O2841">
        <v>92</v>
      </c>
      <c r="P2841">
        <v>-13.25</v>
      </c>
      <c r="Q2841">
        <v>97</v>
      </c>
      <c r="R2841">
        <v>-4.26</v>
      </c>
      <c r="S2841">
        <v>89</v>
      </c>
      <c r="T2841">
        <v>12.35</v>
      </c>
      <c r="U2841">
        <v>95</v>
      </c>
      <c r="V2841">
        <v>-2.2999999999999998</v>
      </c>
      <c r="W2841">
        <v>89</v>
      </c>
      <c r="X2841" t="s">
        <v>302</v>
      </c>
      <c r="Y2841" t="s">
        <v>95</v>
      </c>
      <c r="Z2841" t="s">
        <v>96</v>
      </c>
      <c r="AA2841" t="s">
        <v>2438</v>
      </c>
      <c r="AB2841" t="s">
        <v>12530</v>
      </c>
      <c r="AC2841">
        <v>291</v>
      </c>
      <c r="AD2841">
        <v>116</v>
      </c>
      <c r="AE2841">
        <v>99</v>
      </c>
      <c r="AF2841">
        <v>296.89</v>
      </c>
      <c r="AG2841">
        <v>4.5199999999999996</v>
      </c>
      <c r="AH2841">
        <v>12.39</v>
      </c>
      <c r="AI2841">
        <v>-0.12</v>
      </c>
      <c r="AJ2841">
        <v>0.04</v>
      </c>
      <c r="AK2841">
        <v>90</v>
      </c>
      <c r="AL2841">
        <v>294</v>
      </c>
      <c r="AM2841">
        <v>120</v>
      </c>
      <c r="AN2841">
        <v>3.1</v>
      </c>
      <c r="AO2841">
        <v>-1.41</v>
      </c>
      <c r="AP2841">
        <v>433</v>
      </c>
      <c r="AQ2841">
        <v>11</v>
      </c>
      <c r="AR2841">
        <v>7.66</v>
      </c>
      <c r="AS2841">
        <v>81</v>
      </c>
      <c r="AT2841">
        <v>3.19</v>
      </c>
      <c r="AU2841">
        <v>94</v>
      </c>
      <c r="AV2841">
        <v>-3.71</v>
      </c>
      <c r="AW2841">
        <v>98</v>
      </c>
      <c r="AX2841">
        <v>0.61</v>
      </c>
      <c r="AY2841">
        <v>92</v>
      </c>
      <c r="AZ2841">
        <v>9.92</v>
      </c>
      <c r="BA2841">
        <v>79</v>
      </c>
      <c r="BB2841">
        <v>5.73</v>
      </c>
      <c r="BC2841">
        <v>80</v>
      </c>
      <c r="BD2841">
        <v>0</v>
      </c>
      <c r="BE2841">
        <v>0.02</v>
      </c>
      <c r="BF2841">
        <v>0.06</v>
      </c>
      <c r="BG2841">
        <v>95</v>
      </c>
      <c r="BH2841">
        <v>0</v>
      </c>
      <c r="BI2841">
        <v>7.43</v>
      </c>
      <c r="BJ2841">
        <v>13</v>
      </c>
      <c r="BK2841">
        <v>8</v>
      </c>
      <c r="BL2841">
        <v>-1.18</v>
      </c>
      <c r="BM2841">
        <v>-0.89</v>
      </c>
      <c r="BN2841">
        <v>-1.67</v>
      </c>
      <c r="BO2841">
        <v>-0.34</v>
      </c>
      <c r="BP2841">
        <v>-0.77</v>
      </c>
      <c r="BQ2841">
        <v>-1.6</v>
      </c>
      <c r="BR2841">
        <v>1.57</v>
      </c>
      <c r="BS2841">
        <v>-2.4900000000000002</v>
      </c>
      <c r="BT2841">
        <v>-1.21</v>
      </c>
      <c r="BU2841">
        <v>-0.66</v>
      </c>
      <c r="BV2841">
        <v>0.16</v>
      </c>
      <c r="BW2841">
        <v>0.06</v>
      </c>
      <c r="BX2841">
        <v>-1.49</v>
      </c>
      <c r="BY2841">
        <v>-0.91</v>
      </c>
      <c r="BZ2841">
        <v>0.33</v>
      </c>
      <c r="CA2841">
        <v>-1.49</v>
      </c>
      <c r="CB2841">
        <v>-0.37</v>
      </c>
      <c r="CC2841">
        <v>-2.5499999999999998</v>
      </c>
      <c r="CD2841">
        <v>0.44</v>
      </c>
      <c r="CE2841">
        <v>-0.86</v>
      </c>
      <c r="CF2841">
        <v>-1.4</v>
      </c>
      <c r="CG2841">
        <v>0</v>
      </c>
      <c r="CH2841">
        <v>-1.33</v>
      </c>
      <c r="CI2841">
        <v>0</v>
      </c>
      <c r="CJ2841">
        <v>-5.6</v>
      </c>
      <c r="CK2841">
        <v>97</v>
      </c>
      <c r="CL2841">
        <v>-0.51</v>
      </c>
      <c r="CM2841">
        <v>97</v>
      </c>
      <c r="CN2841">
        <v>-0.12</v>
      </c>
      <c r="CO2841">
        <v>96</v>
      </c>
      <c r="CP2841">
        <v>-11.1</v>
      </c>
      <c r="CQ2841">
        <v>95</v>
      </c>
      <c r="CR2841">
        <v>0</v>
      </c>
      <c r="CS2841">
        <v>0</v>
      </c>
      <c r="CT2841">
        <v>-2.9</v>
      </c>
      <c r="CU2841">
        <v>95</v>
      </c>
      <c r="CV2841">
        <v>0.08</v>
      </c>
      <c r="CW2841">
        <v>46</v>
      </c>
      <c r="CX2841" t="s">
        <v>12531</v>
      </c>
    </row>
    <row r="2842" spans="1:102" x14ac:dyDescent="0.3">
      <c r="A2842" t="str">
        <f>HYPERLINK("https://webapp.icbf.com/v2/app/bull-search/view/124969486","OKC")</f>
        <v>OKC</v>
      </c>
      <c r="B2842" t="s">
        <v>6926</v>
      </c>
      <c r="C2842" t="s">
        <v>3163</v>
      </c>
      <c r="D2842" s="1">
        <v>31656</v>
      </c>
      <c r="E2842" t="s">
        <v>92</v>
      </c>
      <c r="F2842">
        <v>100</v>
      </c>
      <c r="G2842" t="s">
        <v>109</v>
      </c>
      <c r="H2842">
        <v>8.8800000000000008</v>
      </c>
      <c r="I2842">
        <v>80</v>
      </c>
      <c r="J2842">
        <v>27.52</v>
      </c>
      <c r="K2842">
        <v>90</v>
      </c>
      <c r="L2842">
        <v>3.58</v>
      </c>
      <c r="M2842">
        <v>86</v>
      </c>
      <c r="N2842">
        <v>-3.3</v>
      </c>
      <c r="O2842">
        <v>67</v>
      </c>
      <c r="P2842">
        <v>6.54</v>
      </c>
      <c r="Q2842">
        <v>71</v>
      </c>
      <c r="R2842">
        <v>-23.79</v>
      </c>
      <c r="S2842">
        <v>72</v>
      </c>
      <c r="T2842">
        <v>-2.0099999999999998</v>
      </c>
      <c r="U2842">
        <v>66</v>
      </c>
      <c r="V2842">
        <v>0.34</v>
      </c>
      <c r="W2842">
        <v>45</v>
      </c>
      <c r="X2842" t="s">
        <v>94</v>
      </c>
      <c r="Y2842" t="s">
        <v>95</v>
      </c>
      <c r="Z2842" t="s">
        <v>96</v>
      </c>
      <c r="AA2842" t="s">
        <v>2976</v>
      </c>
      <c r="AB2842" t="s">
        <v>6927</v>
      </c>
      <c r="AC2842">
        <v>33</v>
      </c>
      <c r="AD2842">
        <v>21</v>
      </c>
      <c r="AE2842">
        <v>90</v>
      </c>
      <c r="AF2842">
        <v>110.07</v>
      </c>
      <c r="AG2842">
        <v>4.3099999999999996</v>
      </c>
      <c r="AH2842">
        <v>4.84</v>
      </c>
      <c r="AI2842">
        <v>0</v>
      </c>
      <c r="AJ2842">
        <v>0.02</v>
      </c>
      <c r="AK2842">
        <v>86</v>
      </c>
      <c r="AL2842">
        <v>66</v>
      </c>
      <c r="AM2842">
        <v>27</v>
      </c>
      <c r="AN2842">
        <v>-0.64</v>
      </c>
      <c r="AO2842">
        <v>-0.36</v>
      </c>
      <c r="AP2842">
        <v>2</v>
      </c>
      <c r="AQ2842">
        <v>0</v>
      </c>
      <c r="AR2842">
        <v>7.6</v>
      </c>
      <c r="AS2842">
        <v>45</v>
      </c>
      <c r="AT2842">
        <v>3.08</v>
      </c>
      <c r="AU2842">
        <v>87</v>
      </c>
      <c r="AV2842">
        <v>0.05</v>
      </c>
      <c r="AW2842">
        <v>65</v>
      </c>
      <c r="AX2842">
        <v>0.6</v>
      </c>
      <c r="AY2842">
        <v>69</v>
      </c>
      <c r="AZ2842">
        <v>6.04</v>
      </c>
      <c r="BA2842">
        <v>46</v>
      </c>
      <c r="BB2842">
        <v>5.47</v>
      </c>
      <c r="BC2842">
        <v>53</v>
      </c>
      <c r="BD2842">
        <v>0.06</v>
      </c>
      <c r="BE2842">
        <v>0.13</v>
      </c>
      <c r="BF2842">
        <v>0.2</v>
      </c>
      <c r="BG2842">
        <v>89</v>
      </c>
      <c r="BH2842">
        <v>-0.04</v>
      </c>
      <c r="BI2842">
        <v>-5.71</v>
      </c>
      <c r="BJ2842">
        <v>2</v>
      </c>
      <c r="BK2842">
        <v>2</v>
      </c>
      <c r="BL2842">
        <v>-0.43</v>
      </c>
      <c r="BM2842">
        <v>1.6</v>
      </c>
      <c r="BN2842">
        <v>-0.24</v>
      </c>
      <c r="BO2842">
        <v>-0.55000000000000004</v>
      </c>
      <c r="BP2842">
        <v>0.21</v>
      </c>
      <c r="BQ2842">
        <v>1.27</v>
      </c>
      <c r="BR2842">
        <v>0.02</v>
      </c>
      <c r="BS2842">
        <v>0.1</v>
      </c>
      <c r="BT2842">
        <v>0.56999999999999995</v>
      </c>
      <c r="BU2842">
        <v>-2.48</v>
      </c>
      <c r="BV2842">
        <v>-2.6</v>
      </c>
      <c r="BW2842">
        <v>-1.54</v>
      </c>
      <c r="BX2842">
        <v>-2.56</v>
      </c>
      <c r="BY2842">
        <v>-1.55</v>
      </c>
      <c r="BZ2842">
        <v>-0.43</v>
      </c>
      <c r="CA2842">
        <v>-1.87</v>
      </c>
      <c r="CB2842">
        <v>-2.08</v>
      </c>
      <c r="CC2842">
        <v>-0.76</v>
      </c>
      <c r="CD2842">
        <v>0.85</v>
      </c>
      <c r="CE2842">
        <v>-0.49</v>
      </c>
      <c r="CF2842">
        <v>-0.33</v>
      </c>
      <c r="CG2842">
        <v>0</v>
      </c>
      <c r="CH2842">
        <v>-1.39</v>
      </c>
      <c r="CI2842">
        <v>0</v>
      </c>
      <c r="CJ2842">
        <v>3.9</v>
      </c>
      <c r="CK2842">
        <v>72</v>
      </c>
      <c r="CL2842">
        <v>-0.28000000000000003</v>
      </c>
      <c r="CM2842">
        <v>69</v>
      </c>
      <c r="CN2842">
        <v>-0.33</v>
      </c>
      <c r="CO2842">
        <v>65</v>
      </c>
      <c r="CP2842">
        <v>1.2</v>
      </c>
      <c r="CQ2842">
        <v>74</v>
      </c>
      <c r="CR2842">
        <v>0</v>
      </c>
      <c r="CS2842">
        <v>0</v>
      </c>
      <c r="CT2842">
        <v>16.5</v>
      </c>
      <c r="CU2842">
        <v>66</v>
      </c>
      <c r="CV2842">
        <v>0.14000000000000001</v>
      </c>
      <c r="CW2842">
        <v>20</v>
      </c>
      <c r="CX2842" t="s">
        <v>617</v>
      </c>
    </row>
    <row r="2843" spans="1:102" x14ac:dyDescent="0.3">
      <c r="A2843" t="str">
        <f>HYPERLINK("https://webapp.icbf.com/v2/app/bull-search/view/77857699","ERO")</f>
        <v>ERO</v>
      </c>
      <c r="B2843" t="s">
        <v>3730</v>
      </c>
      <c r="C2843" t="s">
        <v>3006</v>
      </c>
      <c r="D2843" s="1">
        <v>33487</v>
      </c>
      <c r="E2843" t="s">
        <v>92</v>
      </c>
      <c r="F2843">
        <v>88</v>
      </c>
      <c r="G2843" t="s">
        <v>93</v>
      </c>
      <c r="H2843">
        <v>8.84</v>
      </c>
      <c r="I2843">
        <v>96</v>
      </c>
      <c r="J2843">
        <v>21.64</v>
      </c>
      <c r="K2843">
        <v>99</v>
      </c>
      <c r="L2843">
        <v>-37.47</v>
      </c>
      <c r="M2843">
        <v>94</v>
      </c>
      <c r="N2843">
        <v>29.12</v>
      </c>
      <c r="O2843">
        <v>96</v>
      </c>
      <c r="P2843">
        <v>-4.87</v>
      </c>
      <c r="Q2843">
        <v>99</v>
      </c>
      <c r="R2843">
        <v>-8.5399999999999991</v>
      </c>
      <c r="S2843">
        <v>93</v>
      </c>
      <c r="T2843">
        <v>17.23</v>
      </c>
      <c r="U2843">
        <v>98</v>
      </c>
      <c r="V2843">
        <v>-8.27</v>
      </c>
      <c r="W2843">
        <v>91</v>
      </c>
      <c r="X2843" t="s">
        <v>94</v>
      </c>
      <c r="Y2843" t="s">
        <v>95</v>
      </c>
      <c r="Z2843" t="s">
        <v>96</v>
      </c>
      <c r="AA2843" t="s">
        <v>193</v>
      </c>
      <c r="AB2843" t="s">
        <v>3731</v>
      </c>
      <c r="AC2843">
        <v>1748</v>
      </c>
      <c r="AD2843">
        <v>741</v>
      </c>
      <c r="AE2843">
        <v>99</v>
      </c>
      <c r="AF2843">
        <v>-92.01</v>
      </c>
      <c r="AG2843">
        <v>3.06</v>
      </c>
      <c r="AH2843">
        <v>1.19</v>
      </c>
      <c r="AI2843">
        <v>0.12</v>
      </c>
      <c r="AJ2843">
        <v>0.08</v>
      </c>
      <c r="AK2843">
        <v>94</v>
      </c>
      <c r="AL2843">
        <v>1730</v>
      </c>
      <c r="AM2843">
        <v>795</v>
      </c>
      <c r="AN2843">
        <v>1.9</v>
      </c>
      <c r="AO2843">
        <v>-1.0900000000000001</v>
      </c>
      <c r="AP2843">
        <v>127</v>
      </c>
      <c r="AQ2843">
        <v>2</v>
      </c>
      <c r="AR2843">
        <v>4.42</v>
      </c>
      <c r="AS2843">
        <v>90</v>
      </c>
      <c r="AT2843">
        <v>1.78</v>
      </c>
      <c r="AU2843">
        <v>96</v>
      </c>
      <c r="AV2843">
        <v>-2.5</v>
      </c>
      <c r="AW2843">
        <v>98</v>
      </c>
      <c r="AX2843">
        <v>-0.54</v>
      </c>
      <c r="AY2843">
        <v>98</v>
      </c>
      <c r="AZ2843">
        <v>8.61</v>
      </c>
      <c r="BA2843">
        <v>89</v>
      </c>
      <c r="BB2843">
        <v>5.97</v>
      </c>
      <c r="BC2843">
        <v>95</v>
      </c>
      <c r="BD2843">
        <v>0.05</v>
      </c>
      <c r="BE2843">
        <v>7.0000000000000007E-2</v>
      </c>
      <c r="BF2843">
        <v>-0.02</v>
      </c>
      <c r="BG2843">
        <v>99</v>
      </c>
      <c r="BH2843">
        <v>0.02</v>
      </c>
      <c r="BI2843">
        <v>28.98</v>
      </c>
      <c r="BJ2843">
        <v>49</v>
      </c>
      <c r="BK2843">
        <v>37</v>
      </c>
      <c r="BL2843">
        <v>-0.06</v>
      </c>
      <c r="BM2843">
        <v>-1.37</v>
      </c>
      <c r="BN2843">
        <v>-1.1200000000000001</v>
      </c>
      <c r="BO2843">
        <v>0.21</v>
      </c>
      <c r="BP2843">
        <v>-2.76</v>
      </c>
      <c r="BQ2843">
        <v>-1.25</v>
      </c>
      <c r="BR2843">
        <v>-0.99</v>
      </c>
      <c r="BS2843">
        <v>-0.23</v>
      </c>
      <c r="BT2843">
        <v>-0.3</v>
      </c>
      <c r="BU2843">
        <v>0.68</v>
      </c>
      <c r="BV2843">
        <v>0.34</v>
      </c>
      <c r="BW2843">
        <v>0.79</v>
      </c>
      <c r="BX2843">
        <v>1.55</v>
      </c>
      <c r="BY2843">
        <v>0.11</v>
      </c>
      <c r="BZ2843">
        <v>0.51</v>
      </c>
      <c r="CA2843">
        <v>0.21</v>
      </c>
      <c r="CB2843">
        <v>0.08</v>
      </c>
      <c r="CC2843">
        <v>0.01</v>
      </c>
      <c r="CD2843">
        <v>-0.94</v>
      </c>
      <c r="CE2843">
        <v>0.56000000000000005</v>
      </c>
      <c r="CF2843">
        <v>-0.83</v>
      </c>
      <c r="CG2843">
        <v>0</v>
      </c>
      <c r="CH2843">
        <v>0.05</v>
      </c>
      <c r="CI2843">
        <v>0</v>
      </c>
      <c r="CJ2843">
        <v>0.4</v>
      </c>
      <c r="CK2843">
        <v>99</v>
      </c>
      <c r="CL2843">
        <v>-0.62</v>
      </c>
      <c r="CM2843">
        <v>99</v>
      </c>
      <c r="CN2843">
        <v>-0.16</v>
      </c>
      <c r="CO2843">
        <v>98</v>
      </c>
      <c r="CP2843">
        <v>-6</v>
      </c>
      <c r="CQ2843">
        <v>99</v>
      </c>
      <c r="CR2843">
        <v>0</v>
      </c>
      <c r="CS2843">
        <v>0</v>
      </c>
      <c r="CT2843">
        <v>-9.5</v>
      </c>
      <c r="CU2843">
        <v>98</v>
      </c>
      <c r="CV2843">
        <v>0.25</v>
      </c>
      <c r="CW2843">
        <v>46</v>
      </c>
      <c r="CX2843" t="s">
        <v>552</v>
      </c>
    </row>
    <row r="2844" spans="1:102" x14ac:dyDescent="0.3">
      <c r="A2844" t="str">
        <f>HYPERLINK("https://webapp.icbf.com/v2/app/bull-search/view/108379585","NTF")</f>
        <v>NTF</v>
      </c>
      <c r="B2844" t="s">
        <v>138</v>
      </c>
      <c r="C2844" t="s">
        <v>139</v>
      </c>
      <c r="D2844" s="1">
        <v>35704</v>
      </c>
      <c r="E2844" t="s">
        <v>140</v>
      </c>
      <c r="F2844">
        <v>0</v>
      </c>
      <c r="G2844" t="s">
        <v>93</v>
      </c>
      <c r="H2844">
        <v>8.83</v>
      </c>
      <c r="I2844">
        <v>85</v>
      </c>
      <c r="J2844">
        <v>12.22</v>
      </c>
      <c r="K2844">
        <v>96</v>
      </c>
      <c r="L2844">
        <v>15.33</v>
      </c>
      <c r="M2844">
        <v>72</v>
      </c>
      <c r="N2844">
        <v>-39.61</v>
      </c>
      <c r="O2844">
        <v>85</v>
      </c>
      <c r="P2844">
        <v>16.22</v>
      </c>
      <c r="Q2844">
        <v>95</v>
      </c>
      <c r="R2844">
        <v>5.18</v>
      </c>
      <c r="S2844">
        <v>74</v>
      </c>
      <c r="T2844">
        <v>5.54</v>
      </c>
      <c r="U2844">
        <v>93</v>
      </c>
      <c r="V2844">
        <v>-6.05</v>
      </c>
      <c r="W2844">
        <v>67</v>
      </c>
      <c r="X2844" t="s">
        <v>94</v>
      </c>
      <c r="Y2844" t="s">
        <v>95</v>
      </c>
      <c r="Z2844">
        <v>0</v>
      </c>
      <c r="AA2844" t="s">
        <v>141</v>
      </c>
      <c r="AB2844" t="s">
        <v>142</v>
      </c>
      <c r="AC2844">
        <v>97</v>
      </c>
      <c r="AD2844">
        <v>63</v>
      </c>
      <c r="AE2844">
        <v>96</v>
      </c>
      <c r="AF2844">
        <v>9.66</v>
      </c>
      <c r="AG2844">
        <v>-0.97</v>
      </c>
      <c r="AH2844">
        <v>2.57</v>
      </c>
      <c r="AI2844">
        <v>-0.02</v>
      </c>
      <c r="AJ2844">
        <v>0.04</v>
      </c>
      <c r="AK2844">
        <v>72</v>
      </c>
      <c r="AL2844">
        <v>122</v>
      </c>
      <c r="AM2844">
        <v>68</v>
      </c>
      <c r="AN2844">
        <v>-1.01</v>
      </c>
      <c r="AO2844">
        <v>0.21</v>
      </c>
      <c r="AP2844">
        <v>153</v>
      </c>
      <c r="AQ2844">
        <v>1</v>
      </c>
      <c r="AR2844">
        <v>10.09</v>
      </c>
      <c r="AS2844">
        <v>72</v>
      </c>
      <c r="AT2844">
        <v>4.71</v>
      </c>
      <c r="AU2844">
        <v>84</v>
      </c>
      <c r="AV2844">
        <v>2.7</v>
      </c>
      <c r="AW2844">
        <v>95</v>
      </c>
      <c r="AX2844">
        <v>0.42</v>
      </c>
      <c r="AY2844">
        <v>86</v>
      </c>
      <c r="AZ2844">
        <v>5.18</v>
      </c>
      <c r="BA2844">
        <v>61</v>
      </c>
      <c r="BB2844">
        <v>3.84</v>
      </c>
      <c r="BC2844">
        <v>70</v>
      </c>
      <c r="BD2844">
        <v>-0.03</v>
      </c>
      <c r="BE2844">
        <v>-0.01</v>
      </c>
      <c r="BF2844">
        <v>-0.05</v>
      </c>
      <c r="BG2844">
        <v>85</v>
      </c>
      <c r="BH2844">
        <v>-0.21</v>
      </c>
      <c r="BI2844">
        <v>-4.7699999999999996</v>
      </c>
      <c r="BJ2844">
        <v>0</v>
      </c>
      <c r="BK2844">
        <v>0</v>
      </c>
      <c r="BL2844">
        <v>-1.07</v>
      </c>
      <c r="BM2844">
        <v>2.99</v>
      </c>
      <c r="BN2844">
        <v>-2</v>
      </c>
      <c r="BO2844">
        <v>-2.95</v>
      </c>
      <c r="BP2844">
        <v>4.26</v>
      </c>
      <c r="BQ2844">
        <v>-2.68</v>
      </c>
      <c r="BR2844">
        <v>-2.89</v>
      </c>
      <c r="BS2844">
        <v>-0.47</v>
      </c>
      <c r="BT2844">
        <v>2.72</v>
      </c>
      <c r="BU2844">
        <v>-3.44</v>
      </c>
      <c r="BV2844">
        <v>-4.09</v>
      </c>
      <c r="BW2844">
        <v>-3.17</v>
      </c>
      <c r="BX2844">
        <v>-2.67</v>
      </c>
      <c r="BY2844">
        <v>-2.35</v>
      </c>
      <c r="BZ2844">
        <v>1.44</v>
      </c>
      <c r="CA2844">
        <v>-2.56</v>
      </c>
      <c r="CB2844">
        <v>-3.25</v>
      </c>
      <c r="CC2844">
        <v>-0.47</v>
      </c>
      <c r="CD2844">
        <v>3.66</v>
      </c>
      <c r="CE2844">
        <v>-2.93</v>
      </c>
      <c r="CF2844">
        <v>-1.45</v>
      </c>
      <c r="CG2844">
        <v>0</v>
      </c>
      <c r="CH2844">
        <v>-2.84</v>
      </c>
      <c r="CI2844">
        <v>0</v>
      </c>
      <c r="CJ2844">
        <v>5.3</v>
      </c>
      <c r="CK2844">
        <v>96</v>
      </c>
      <c r="CL2844">
        <v>0.4</v>
      </c>
      <c r="CM2844">
        <v>95</v>
      </c>
      <c r="CN2844">
        <v>-0.38</v>
      </c>
      <c r="CO2844">
        <v>95</v>
      </c>
      <c r="CP2844">
        <v>2.2000000000000002</v>
      </c>
      <c r="CQ2844">
        <v>93</v>
      </c>
      <c r="CR2844">
        <v>0</v>
      </c>
      <c r="CS2844">
        <v>0</v>
      </c>
      <c r="CT2844">
        <v>6.3</v>
      </c>
      <c r="CU2844">
        <v>93</v>
      </c>
      <c r="CV2844">
        <v>-0.11</v>
      </c>
      <c r="CW2844">
        <v>28</v>
      </c>
      <c r="CX2844" t="s">
        <v>143</v>
      </c>
    </row>
    <row r="2845" spans="1:102" x14ac:dyDescent="0.3">
      <c r="A2845" t="str">
        <f>HYPERLINK("https://webapp.icbf.com/v2/app/bull-search/view/68254996","S624")</f>
        <v>S624</v>
      </c>
      <c r="B2845" t="s">
        <v>5005</v>
      </c>
      <c r="C2845" t="s">
        <v>5006</v>
      </c>
      <c r="D2845" s="1">
        <v>33151</v>
      </c>
      <c r="E2845" t="s">
        <v>108</v>
      </c>
      <c r="F2845">
        <v>0</v>
      </c>
      <c r="G2845" t="s">
        <v>93</v>
      </c>
      <c r="H2845">
        <v>8.7899999999999991</v>
      </c>
      <c r="I2845">
        <v>75</v>
      </c>
      <c r="J2845">
        <v>-67.790000000000006</v>
      </c>
      <c r="K2845">
        <v>90</v>
      </c>
      <c r="L2845">
        <v>48.64</v>
      </c>
      <c r="M2845">
        <v>67</v>
      </c>
      <c r="N2845">
        <v>24.67</v>
      </c>
      <c r="O2845">
        <v>67</v>
      </c>
      <c r="P2845">
        <v>-9.74</v>
      </c>
      <c r="Q2845">
        <v>82</v>
      </c>
      <c r="R2845">
        <v>10.119999999999999</v>
      </c>
      <c r="S2845">
        <v>65</v>
      </c>
      <c r="T2845">
        <v>-0.01</v>
      </c>
      <c r="U2845">
        <v>64</v>
      </c>
      <c r="V2845">
        <v>2.9</v>
      </c>
      <c r="W2845">
        <v>61</v>
      </c>
      <c r="X2845" t="s">
        <v>94</v>
      </c>
      <c r="Y2845" t="s">
        <v>1122</v>
      </c>
      <c r="Z2845" t="s">
        <v>96</v>
      </c>
      <c r="AA2845" t="s">
        <v>2881</v>
      </c>
      <c r="AB2845" t="s">
        <v>5007</v>
      </c>
      <c r="AC2845">
        <v>41</v>
      </c>
      <c r="AD2845">
        <v>9</v>
      </c>
      <c r="AE2845">
        <v>90</v>
      </c>
      <c r="AF2845">
        <v>-336.8</v>
      </c>
      <c r="AG2845">
        <v>-15.25</v>
      </c>
      <c r="AH2845">
        <v>-11.29</v>
      </c>
      <c r="AI2845">
        <v>-0.04</v>
      </c>
      <c r="AJ2845">
        <v>0</v>
      </c>
      <c r="AK2845">
        <v>67</v>
      </c>
      <c r="AL2845">
        <v>0</v>
      </c>
      <c r="AM2845">
        <v>0</v>
      </c>
      <c r="AN2845">
        <v>-1.79</v>
      </c>
      <c r="AO2845">
        <v>2.1</v>
      </c>
      <c r="AP2845">
        <v>43</v>
      </c>
      <c r="AQ2845">
        <v>0</v>
      </c>
      <c r="AR2845">
        <v>5.67</v>
      </c>
      <c r="AS2845">
        <v>45</v>
      </c>
      <c r="AT2845">
        <v>2.58</v>
      </c>
      <c r="AU2845">
        <v>64</v>
      </c>
      <c r="AV2845">
        <v>-1.45</v>
      </c>
      <c r="AW2845">
        <v>82</v>
      </c>
      <c r="AX2845">
        <v>-0.78</v>
      </c>
      <c r="AY2845">
        <v>69</v>
      </c>
      <c r="AZ2845">
        <v>5.57</v>
      </c>
      <c r="BA2845">
        <v>42</v>
      </c>
      <c r="BB2845">
        <v>4.83</v>
      </c>
      <c r="BC2845">
        <v>40</v>
      </c>
      <c r="BD2845">
        <v>-0.01</v>
      </c>
      <c r="BE2845">
        <v>-0.04</v>
      </c>
      <c r="BF2845">
        <v>-0.14000000000000001</v>
      </c>
      <c r="BG2845">
        <v>84</v>
      </c>
      <c r="BH2845">
        <v>-0.09</v>
      </c>
      <c r="BI2845">
        <v>-19.78</v>
      </c>
      <c r="BJ2845">
        <v>21</v>
      </c>
      <c r="BK2845">
        <v>5</v>
      </c>
      <c r="BL2845">
        <v>-2.48</v>
      </c>
      <c r="BM2845">
        <v>1.74</v>
      </c>
      <c r="BN2845">
        <v>-1.79</v>
      </c>
      <c r="BO2845">
        <v>-2.4700000000000002</v>
      </c>
      <c r="BP2845">
        <v>-7.0000000000000007E-2</v>
      </c>
      <c r="BQ2845">
        <v>0.36</v>
      </c>
      <c r="BR2845">
        <v>-2.84</v>
      </c>
      <c r="BS2845">
        <v>0.13</v>
      </c>
      <c r="BT2845">
        <v>2.67</v>
      </c>
      <c r="BU2845">
        <v>-0.47</v>
      </c>
      <c r="BV2845">
        <v>-1.9</v>
      </c>
      <c r="BW2845">
        <v>-1.71</v>
      </c>
      <c r="BX2845">
        <v>0.63</v>
      </c>
      <c r="BY2845">
        <v>-0.1</v>
      </c>
      <c r="BZ2845">
        <v>-3.65</v>
      </c>
      <c r="CA2845">
        <v>-0.85</v>
      </c>
      <c r="CB2845">
        <v>-1.01</v>
      </c>
      <c r="CC2845">
        <v>-0.27</v>
      </c>
      <c r="CD2845">
        <v>2.57</v>
      </c>
      <c r="CE2845">
        <v>-3.34</v>
      </c>
      <c r="CF2845">
        <v>-3</v>
      </c>
      <c r="CG2845">
        <v>0</v>
      </c>
      <c r="CH2845">
        <v>-2.0699999999999998</v>
      </c>
      <c r="CI2845">
        <v>0</v>
      </c>
      <c r="CJ2845">
        <v>-4.5999999999999996</v>
      </c>
      <c r="CK2845">
        <v>84</v>
      </c>
      <c r="CL2845">
        <v>-0.21</v>
      </c>
      <c r="CM2845">
        <v>81</v>
      </c>
      <c r="CN2845">
        <v>0.06</v>
      </c>
      <c r="CO2845">
        <v>79</v>
      </c>
      <c r="CP2845">
        <v>-3.5</v>
      </c>
      <c r="CQ2845">
        <v>71</v>
      </c>
      <c r="CR2845">
        <v>0</v>
      </c>
      <c r="CS2845">
        <v>0</v>
      </c>
      <c r="CT2845">
        <v>13.8</v>
      </c>
      <c r="CU2845">
        <v>64</v>
      </c>
      <c r="CV2845">
        <v>0</v>
      </c>
      <c r="CW2845">
        <v>23</v>
      </c>
      <c r="CX2845" t="s">
        <v>5008</v>
      </c>
    </row>
    <row r="2846" spans="1:102" x14ac:dyDescent="0.3">
      <c r="A2846" t="str">
        <f>HYPERLINK("https://webapp.icbf.com/v2/app/bull-search/view/139799071","DVG")</f>
        <v>DVG</v>
      </c>
      <c r="B2846" t="s">
        <v>12189</v>
      </c>
      <c r="C2846" t="s">
        <v>12190</v>
      </c>
      <c r="D2846" s="1">
        <v>36849</v>
      </c>
      <c r="E2846" t="s">
        <v>108</v>
      </c>
      <c r="F2846">
        <v>0</v>
      </c>
      <c r="G2846" t="s">
        <v>93</v>
      </c>
      <c r="H2846">
        <v>8.6999999999999993</v>
      </c>
      <c r="I2846">
        <v>91</v>
      </c>
      <c r="J2846">
        <v>-47.29</v>
      </c>
      <c r="K2846">
        <v>98</v>
      </c>
      <c r="L2846">
        <v>33.17</v>
      </c>
      <c r="M2846">
        <v>85</v>
      </c>
      <c r="N2846">
        <v>1.6</v>
      </c>
      <c r="O2846">
        <v>89</v>
      </c>
      <c r="P2846">
        <v>-9.84</v>
      </c>
      <c r="Q2846">
        <v>97</v>
      </c>
      <c r="R2846">
        <v>-0.23</v>
      </c>
      <c r="S2846">
        <v>87</v>
      </c>
      <c r="T2846">
        <v>18.78</v>
      </c>
      <c r="U2846">
        <v>93</v>
      </c>
      <c r="V2846">
        <v>12.51</v>
      </c>
      <c r="W2846">
        <v>83</v>
      </c>
      <c r="X2846" t="s">
        <v>102</v>
      </c>
      <c r="Y2846" t="s">
        <v>95</v>
      </c>
      <c r="Z2846" t="s">
        <v>96</v>
      </c>
      <c r="AA2846" t="s">
        <v>8821</v>
      </c>
      <c r="AB2846" t="s">
        <v>12191</v>
      </c>
      <c r="AC2846">
        <v>174</v>
      </c>
      <c r="AD2846">
        <v>105</v>
      </c>
      <c r="AE2846">
        <v>98</v>
      </c>
      <c r="AF2846">
        <v>-245.77</v>
      </c>
      <c r="AG2846">
        <v>-8.83</v>
      </c>
      <c r="AH2846">
        <v>-8.68</v>
      </c>
      <c r="AI2846">
        <v>0.01</v>
      </c>
      <c r="AJ2846">
        <v>-0.01</v>
      </c>
      <c r="AK2846">
        <v>85</v>
      </c>
      <c r="AL2846">
        <v>240</v>
      </c>
      <c r="AM2846">
        <v>123</v>
      </c>
      <c r="AN2846">
        <v>-3.74</v>
      </c>
      <c r="AO2846">
        <v>-1.1200000000000001</v>
      </c>
      <c r="AP2846">
        <v>211</v>
      </c>
      <c r="AQ2846">
        <v>21</v>
      </c>
      <c r="AR2846">
        <v>5.0999999999999996</v>
      </c>
      <c r="AS2846">
        <v>75</v>
      </c>
      <c r="AT2846">
        <v>2.0499999999999998</v>
      </c>
      <c r="AU2846">
        <v>90</v>
      </c>
      <c r="AV2846">
        <v>-0.3</v>
      </c>
      <c r="AW2846">
        <v>95</v>
      </c>
      <c r="AX2846">
        <v>0.26</v>
      </c>
      <c r="AY2846">
        <v>91</v>
      </c>
      <c r="AZ2846">
        <v>8.1300000000000008</v>
      </c>
      <c r="BA2846">
        <v>72</v>
      </c>
      <c r="BB2846">
        <v>6.95</v>
      </c>
      <c r="BC2846">
        <v>79</v>
      </c>
      <c r="BD2846">
        <v>0.02</v>
      </c>
      <c r="BE2846">
        <v>-0.02</v>
      </c>
      <c r="BF2846">
        <v>0.01</v>
      </c>
      <c r="BG2846">
        <v>93</v>
      </c>
      <c r="BH2846">
        <v>0.15</v>
      </c>
      <c r="BI2846">
        <v>-22.99</v>
      </c>
      <c r="BJ2846">
        <v>36</v>
      </c>
      <c r="BK2846">
        <v>24</v>
      </c>
      <c r="BL2846">
        <v>-2.71</v>
      </c>
      <c r="BM2846">
        <v>2.29</v>
      </c>
      <c r="BN2846">
        <v>-3.37</v>
      </c>
      <c r="BO2846">
        <v>-3.55</v>
      </c>
      <c r="BP2846">
        <v>-0.48</v>
      </c>
      <c r="BQ2846">
        <v>2.5</v>
      </c>
      <c r="BR2846">
        <v>-2.72</v>
      </c>
      <c r="BS2846">
        <v>2.11</v>
      </c>
      <c r="BT2846">
        <v>0.87</v>
      </c>
      <c r="BU2846">
        <v>-2.87</v>
      </c>
      <c r="BV2846">
        <v>-3.25</v>
      </c>
      <c r="BW2846">
        <v>-2.23</v>
      </c>
      <c r="BX2846">
        <v>-2.17</v>
      </c>
      <c r="BY2846">
        <v>-1.64</v>
      </c>
      <c r="BZ2846">
        <v>-2.16</v>
      </c>
      <c r="CA2846">
        <v>-1.58</v>
      </c>
      <c r="CB2846">
        <v>-2.88</v>
      </c>
      <c r="CC2846">
        <v>1.26</v>
      </c>
      <c r="CD2846">
        <v>3.44</v>
      </c>
      <c r="CE2846">
        <v>-3.64</v>
      </c>
      <c r="CF2846">
        <v>-1.7</v>
      </c>
      <c r="CG2846">
        <v>0</v>
      </c>
      <c r="CH2846">
        <v>-1.61</v>
      </c>
      <c r="CI2846">
        <v>0</v>
      </c>
      <c r="CJ2846">
        <v>-4.3</v>
      </c>
      <c r="CK2846">
        <v>97</v>
      </c>
      <c r="CL2846">
        <v>-0.04</v>
      </c>
      <c r="CM2846">
        <v>97</v>
      </c>
      <c r="CN2846">
        <v>0.16</v>
      </c>
      <c r="CO2846">
        <v>96</v>
      </c>
      <c r="CP2846">
        <v>-10.8</v>
      </c>
      <c r="CQ2846">
        <v>96</v>
      </c>
      <c r="CR2846">
        <v>0</v>
      </c>
      <c r="CS2846">
        <v>0</v>
      </c>
      <c r="CT2846">
        <v>-11.6</v>
      </c>
      <c r="CU2846">
        <v>93</v>
      </c>
      <c r="CV2846">
        <v>0.02</v>
      </c>
      <c r="CW2846">
        <v>45</v>
      </c>
      <c r="CX2846" t="s">
        <v>10007</v>
      </c>
    </row>
    <row r="2847" spans="1:102" x14ac:dyDescent="0.3">
      <c r="A2847" t="str">
        <f>HYPERLINK("https://webapp.icbf.com/v2/app/bull-search/view/77855812","LMC")</f>
        <v>LMC</v>
      </c>
      <c r="B2847" t="s">
        <v>10626</v>
      </c>
      <c r="C2847" t="s">
        <v>10627</v>
      </c>
      <c r="D2847" s="1">
        <v>31422</v>
      </c>
      <c r="E2847" t="s">
        <v>108</v>
      </c>
      <c r="F2847">
        <v>0</v>
      </c>
      <c r="G2847" t="s">
        <v>93</v>
      </c>
      <c r="H2847">
        <v>8.68</v>
      </c>
      <c r="I2847">
        <v>75</v>
      </c>
      <c r="J2847">
        <v>-20.7</v>
      </c>
      <c r="K2847">
        <v>91</v>
      </c>
      <c r="L2847">
        <v>34.35</v>
      </c>
      <c r="M2847">
        <v>62</v>
      </c>
      <c r="N2847">
        <v>-3.32</v>
      </c>
      <c r="O2847">
        <v>70</v>
      </c>
      <c r="P2847">
        <v>-4.6399999999999997</v>
      </c>
      <c r="Q2847">
        <v>84</v>
      </c>
      <c r="R2847">
        <v>7.74</v>
      </c>
      <c r="S2847">
        <v>63</v>
      </c>
      <c r="T2847">
        <v>-0.9</v>
      </c>
      <c r="U2847">
        <v>82</v>
      </c>
      <c r="V2847">
        <v>-3.85</v>
      </c>
      <c r="W2847">
        <v>53</v>
      </c>
      <c r="X2847" t="s">
        <v>94</v>
      </c>
      <c r="Y2847" t="s">
        <v>95</v>
      </c>
      <c r="Z2847" t="s">
        <v>96</v>
      </c>
      <c r="AA2847" t="s">
        <v>1318</v>
      </c>
      <c r="AB2847" t="s">
        <v>3607</v>
      </c>
      <c r="AC2847">
        <v>42</v>
      </c>
      <c r="AD2847">
        <v>27</v>
      </c>
      <c r="AE2847">
        <v>91</v>
      </c>
      <c r="AF2847">
        <v>-72.19</v>
      </c>
      <c r="AG2847">
        <v>-4.68</v>
      </c>
      <c r="AH2847">
        <v>-2.97</v>
      </c>
      <c r="AI2847">
        <v>-0.03</v>
      </c>
      <c r="AJ2847">
        <v>-0.01</v>
      </c>
      <c r="AK2847">
        <v>62</v>
      </c>
      <c r="AL2847">
        <v>69</v>
      </c>
      <c r="AM2847">
        <v>39</v>
      </c>
      <c r="AN2847">
        <v>-3.37</v>
      </c>
      <c r="AO2847">
        <v>-0.65</v>
      </c>
      <c r="AP2847">
        <v>46</v>
      </c>
      <c r="AQ2847">
        <v>0</v>
      </c>
      <c r="AR2847">
        <v>8.7899999999999991</v>
      </c>
      <c r="AS2847">
        <v>59</v>
      </c>
      <c r="AT2847">
        <v>3.52</v>
      </c>
      <c r="AU2847">
        <v>60</v>
      </c>
      <c r="AV2847">
        <v>-2.0099999999999998</v>
      </c>
      <c r="AW2847">
        <v>86</v>
      </c>
      <c r="AX2847">
        <v>1.65</v>
      </c>
      <c r="AY2847">
        <v>73</v>
      </c>
      <c r="AZ2847">
        <v>9.01</v>
      </c>
      <c r="BA2847">
        <v>40</v>
      </c>
      <c r="BB2847">
        <v>5.72</v>
      </c>
      <c r="BC2847">
        <v>49</v>
      </c>
      <c r="BD2847">
        <v>0</v>
      </c>
      <c r="BE2847">
        <v>-0.02</v>
      </c>
      <c r="BF2847">
        <v>-0.14000000000000001</v>
      </c>
      <c r="BG2847">
        <v>77</v>
      </c>
      <c r="BH2847">
        <v>0</v>
      </c>
      <c r="BI2847">
        <v>12.41</v>
      </c>
      <c r="BJ2847">
        <v>1</v>
      </c>
      <c r="BK2847">
        <v>1</v>
      </c>
      <c r="BL2847">
        <v>-2.56</v>
      </c>
      <c r="BM2847">
        <v>2.11</v>
      </c>
      <c r="BN2847">
        <v>-1.43</v>
      </c>
      <c r="BO2847">
        <v>-2.5</v>
      </c>
      <c r="BP2847">
        <v>-1.05</v>
      </c>
      <c r="BQ2847">
        <v>0.97</v>
      </c>
      <c r="BR2847">
        <v>-1.56</v>
      </c>
      <c r="BS2847">
        <v>0.71</v>
      </c>
      <c r="BT2847">
        <v>1.23</v>
      </c>
      <c r="BU2847">
        <v>-2.0499999999999998</v>
      </c>
      <c r="BV2847">
        <v>-1.86</v>
      </c>
      <c r="BW2847">
        <v>-2.0099999999999998</v>
      </c>
      <c r="BX2847">
        <v>-2.33</v>
      </c>
      <c r="BY2847">
        <v>-1.59</v>
      </c>
      <c r="BZ2847">
        <v>-1.88</v>
      </c>
      <c r="CA2847">
        <v>-1.64</v>
      </c>
      <c r="CB2847">
        <v>-2.08</v>
      </c>
      <c r="CC2847">
        <v>-0.08</v>
      </c>
      <c r="CD2847">
        <v>2.98</v>
      </c>
      <c r="CE2847">
        <v>-2.2200000000000002</v>
      </c>
      <c r="CF2847">
        <v>-1.74</v>
      </c>
      <c r="CG2847">
        <v>0</v>
      </c>
      <c r="CH2847">
        <v>-2.2999999999999998</v>
      </c>
      <c r="CI2847">
        <v>0</v>
      </c>
      <c r="CJ2847">
        <v>-2.4</v>
      </c>
      <c r="CK2847">
        <v>86</v>
      </c>
      <c r="CL2847">
        <v>-0.33</v>
      </c>
      <c r="CM2847">
        <v>83</v>
      </c>
      <c r="CN2847">
        <v>-0.12</v>
      </c>
      <c r="CO2847">
        <v>81</v>
      </c>
      <c r="CP2847">
        <v>4.5</v>
      </c>
      <c r="CQ2847">
        <v>83</v>
      </c>
      <c r="CR2847">
        <v>0</v>
      </c>
      <c r="CS2847">
        <v>0</v>
      </c>
      <c r="CT2847">
        <v>15</v>
      </c>
      <c r="CU2847">
        <v>82</v>
      </c>
      <c r="CV2847">
        <v>0.03</v>
      </c>
      <c r="CW2847">
        <v>24</v>
      </c>
      <c r="CX2847" t="s">
        <v>3608</v>
      </c>
    </row>
    <row r="2848" spans="1:102" x14ac:dyDescent="0.3">
      <c r="A2848" t="str">
        <f>HYPERLINK("https://webapp.icbf.com/v2/app/bull-search/view/77855692","LGS")</f>
        <v>LGS</v>
      </c>
      <c r="B2848" t="s">
        <v>3341</v>
      </c>
      <c r="C2848" t="s">
        <v>3342</v>
      </c>
      <c r="D2848" s="1">
        <v>34105</v>
      </c>
      <c r="E2848" t="s">
        <v>92</v>
      </c>
      <c r="F2848">
        <v>100</v>
      </c>
      <c r="G2848" t="s">
        <v>93</v>
      </c>
      <c r="H2848">
        <v>8.65</v>
      </c>
      <c r="I2848">
        <v>89</v>
      </c>
      <c r="J2848">
        <v>39.520000000000003</v>
      </c>
      <c r="K2848">
        <v>97</v>
      </c>
      <c r="L2848">
        <v>-24.57</v>
      </c>
      <c r="M2848">
        <v>86</v>
      </c>
      <c r="N2848">
        <v>-14.69</v>
      </c>
      <c r="O2848">
        <v>81</v>
      </c>
      <c r="P2848">
        <v>-10.36</v>
      </c>
      <c r="Q2848">
        <v>91</v>
      </c>
      <c r="R2848">
        <v>-6.5</v>
      </c>
      <c r="S2848">
        <v>77</v>
      </c>
      <c r="T2848">
        <v>18.27</v>
      </c>
      <c r="U2848">
        <v>89</v>
      </c>
      <c r="V2848">
        <v>6.98</v>
      </c>
      <c r="W2848">
        <v>71</v>
      </c>
      <c r="X2848" t="s">
        <v>251</v>
      </c>
      <c r="Y2848" t="s">
        <v>95</v>
      </c>
      <c r="Z2848" t="s">
        <v>96</v>
      </c>
      <c r="AA2848" t="s">
        <v>3343</v>
      </c>
      <c r="AB2848" t="s">
        <v>3344</v>
      </c>
      <c r="AC2848">
        <v>94</v>
      </c>
      <c r="AD2848">
        <v>57</v>
      </c>
      <c r="AE2848">
        <v>97</v>
      </c>
      <c r="AF2848">
        <v>175.42</v>
      </c>
      <c r="AG2848">
        <v>4.8499999999999996</v>
      </c>
      <c r="AH2848">
        <v>7.69</v>
      </c>
      <c r="AI2848">
        <v>-0.03</v>
      </c>
      <c r="AJ2848">
        <v>0.03</v>
      </c>
      <c r="AK2848">
        <v>86</v>
      </c>
      <c r="AL2848">
        <v>105</v>
      </c>
      <c r="AM2848">
        <v>62</v>
      </c>
      <c r="AN2848">
        <v>2.87</v>
      </c>
      <c r="AO2848">
        <v>0.93</v>
      </c>
      <c r="AP2848">
        <v>76</v>
      </c>
      <c r="AQ2848">
        <v>3</v>
      </c>
      <c r="AR2848">
        <v>12.89</v>
      </c>
      <c r="AS2848">
        <v>71</v>
      </c>
      <c r="AT2848">
        <v>4.4800000000000004</v>
      </c>
      <c r="AU2848">
        <v>82</v>
      </c>
      <c r="AV2848">
        <v>-1.73</v>
      </c>
      <c r="AW2848">
        <v>89</v>
      </c>
      <c r="AX2848">
        <v>0.3</v>
      </c>
      <c r="AY2848">
        <v>82</v>
      </c>
      <c r="AZ2848">
        <v>5.66</v>
      </c>
      <c r="BA2848">
        <v>62</v>
      </c>
      <c r="BB2848">
        <v>4.45</v>
      </c>
      <c r="BC2848">
        <v>67</v>
      </c>
      <c r="BD2848">
        <v>-0.01</v>
      </c>
      <c r="BE2848">
        <v>0.04</v>
      </c>
      <c r="BF2848">
        <v>0.09</v>
      </c>
      <c r="BG2848">
        <v>89</v>
      </c>
      <c r="BH2848">
        <v>0.15</v>
      </c>
      <c r="BI2848">
        <v>-5.17</v>
      </c>
      <c r="BJ2848">
        <v>11</v>
      </c>
      <c r="BK2848">
        <v>4</v>
      </c>
      <c r="BL2848">
        <v>-0.46</v>
      </c>
      <c r="BM2848">
        <v>7.0000000000000007E-2</v>
      </c>
      <c r="BN2848">
        <v>-0.69</v>
      </c>
      <c r="BO2848">
        <v>-0.47</v>
      </c>
      <c r="BP2848">
        <v>1.18</v>
      </c>
      <c r="BQ2848">
        <v>-0.15</v>
      </c>
      <c r="BR2848">
        <v>-0.98</v>
      </c>
      <c r="BS2848">
        <v>-0.9</v>
      </c>
      <c r="BT2848">
        <v>-0.06</v>
      </c>
      <c r="BU2848">
        <v>-0.09</v>
      </c>
      <c r="BV2848">
        <v>7.0000000000000007E-2</v>
      </c>
      <c r="BW2848">
        <v>-0.33</v>
      </c>
      <c r="BX2848">
        <v>0.75</v>
      </c>
      <c r="BY2848">
        <v>-0.8</v>
      </c>
      <c r="BZ2848">
        <v>-1.1000000000000001</v>
      </c>
      <c r="CA2848">
        <v>-0.57999999999999996</v>
      </c>
      <c r="CB2848">
        <v>-0.77</v>
      </c>
      <c r="CC2848">
        <v>-0.28000000000000003</v>
      </c>
      <c r="CD2848">
        <v>0.06</v>
      </c>
      <c r="CE2848">
        <v>0.53</v>
      </c>
      <c r="CF2848">
        <v>-0.54</v>
      </c>
      <c r="CG2848">
        <v>0</v>
      </c>
      <c r="CH2848">
        <v>-0.86</v>
      </c>
      <c r="CI2848">
        <v>0</v>
      </c>
      <c r="CJ2848">
        <v>-2.9</v>
      </c>
      <c r="CK2848">
        <v>92</v>
      </c>
      <c r="CL2848">
        <v>-0.64</v>
      </c>
      <c r="CM2848">
        <v>91</v>
      </c>
      <c r="CN2848">
        <v>-0.18</v>
      </c>
      <c r="CO2848">
        <v>89</v>
      </c>
      <c r="CP2848">
        <v>-12.4</v>
      </c>
      <c r="CQ2848">
        <v>91</v>
      </c>
      <c r="CR2848">
        <v>0</v>
      </c>
      <c r="CS2848">
        <v>0</v>
      </c>
      <c r="CT2848">
        <v>-10.9</v>
      </c>
      <c r="CU2848">
        <v>89</v>
      </c>
      <c r="CV2848">
        <v>0.13</v>
      </c>
      <c r="CW2848">
        <v>44</v>
      </c>
      <c r="CX2848" t="s">
        <v>707</v>
      </c>
    </row>
    <row r="2849" spans="1:102" x14ac:dyDescent="0.3">
      <c r="A2849" t="str">
        <f>HYPERLINK("https://webapp.icbf.com/v2/app/bull-search/view/550985415","S640")</f>
        <v>S640</v>
      </c>
      <c r="B2849" t="s">
        <v>2621</v>
      </c>
      <c r="C2849" t="s">
        <v>2622</v>
      </c>
      <c r="D2849" s="1">
        <v>35442</v>
      </c>
      <c r="E2849" t="s">
        <v>227</v>
      </c>
      <c r="F2849">
        <v>0</v>
      </c>
      <c r="G2849" t="s">
        <v>109</v>
      </c>
      <c r="H2849">
        <v>8.64</v>
      </c>
      <c r="I2849">
        <v>60</v>
      </c>
      <c r="J2849">
        <v>-33.75</v>
      </c>
      <c r="K2849">
        <v>85</v>
      </c>
      <c r="L2849">
        <v>18.48</v>
      </c>
      <c r="M2849">
        <v>77</v>
      </c>
      <c r="N2849">
        <v>18.02</v>
      </c>
      <c r="O2849">
        <v>18</v>
      </c>
      <c r="P2849">
        <v>-75.64</v>
      </c>
      <c r="Q2849">
        <v>26</v>
      </c>
      <c r="R2849">
        <v>-0.57999999999999996</v>
      </c>
      <c r="S2849">
        <v>16</v>
      </c>
      <c r="T2849">
        <v>82.05</v>
      </c>
      <c r="U2849">
        <v>23</v>
      </c>
      <c r="V2849">
        <v>0.06</v>
      </c>
      <c r="W2849">
        <v>10</v>
      </c>
      <c r="X2849" t="s">
        <v>94</v>
      </c>
      <c r="Y2849" t="s">
        <v>1122</v>
      </c>
      <c r="Z2849">
        <v>0</v>
      </c>
      <c r="AA2849" t="s">
        <v>2623</v>
      </c>
      <c r="AB2849" t="s">
        <v>2624</v>
      </c>
      <c r="AC2849">
        <v>0</v>
      </c>
      <c r="AD2849">
        <v>0</v>
      </c>
      <c r="AE2849">
        <v>85</v>
      </c>
      <c r="AF2849">
        <v>-305.85000000000002</v>
      </c>
      <c r="AG2849">
        <v>-0.09</v>
      </c>
      <c r="AH2849">
        <v>-10.39</v>
      </c>
      <c r="AI2849">
        <v>0.21</v>
      </c>
      <c r="AJ2849">
        <v>0</v>
      </c>
      <c r="AK2849">
        <v>77</v>
      </c>
      <c r="AL2849">
        <v>0</v>
      </c>
      <c r="AM2849">
        <v>0</v>
      </c>
      <c r="AN2849">
        <v>0.23</v>
      </c>
      <c r="AO2849">
        <v>1.72</v>
      </c>
      <c r="AP2849">
        <v>2</v>
      </c>
      <c r="AQ2849">
        <v>0</v>
      </c>
      <c r="AR2849">
        <v>2.35</v>
      </c>
      <c r="AS2849">
        <v>14</v>
      </c>
      <c r="AT2849">
        <v>1.53</v>
      </c>
      <c r="AU2849">
        <v>16</v>
      </c>
      <c r="AV2849">
        <v>-0.21</v>
      </c>
      <c r="AW2849">
        <v>23</v>
      </c>
      <c r="AX2849">
        <v>0.76</v>
      </c>
      <c r="AY2849">
        <v>20</v>
      </c>
      <c r="AZ2849">
        <v>7.19</v>
      </c>
      <c r="BA2849">
        <v>9</v>
      </c>
      <c r="BB2849">
        <v>5.36</v>
      </c>
      <c r="BC2849">
        <v>10</v>
      </c>
      <c r="BD2849">
        <v>-0.04</v>
      </c>
      <c r="BE2849">
        <v>0</v>
      </c>
      <c r="BF2849">
        <v>0.08</v>
      </c>
      <c r="BG2849">
        <v>19</v>
      </c>
      <c r="BH2849">
        <v>0.02</v>
      </c>
      <c r="BI2849">
        <v>2.13</v>
      </c>
      <c r="BJ2849">
        <v>0</v>
      </c>
      <c r="BK2849">
        <v>0</v>
      </c>
      <c r="BL2849">
        <v>0.17</v>
      </c>
      <c r="BM2849">
        <v>-1.18</v>
      </c>
      <c r="BN2849">
        <v>1.52</v>
      </c>
      <c r="BO2849">
        <v>2.5499999999999998</v>
      </c>
      <c r="BP2849">
        <v>-0.71</v>
      </c>
      <c r="BQ2849">
        <v>-3.28</v>
      </c>
      <c r="BR2849">
        <v>2.08</v>
      </c>
      <c r="BS2849">
        <v>6.94</v>
      </c>
      <c r="BT2849">
        <v>-0.75</v>
      </c>
      <c r="BU2849">
        <v>1.58</v>
      </c>
      <c r="BV2849">
        <v>1.65</v>
      </c>
      <c r="BW2849">
        <v>-0.69</v>
      </c>
      <c r="BX2849">
        <v>-1.51</v>
      </c>
      <c r="BY2849">
        <v>1.1599999999999999</v>
      </c>
      <c r="BZ2849">
        <v>0.68</v>
      </c>
      <c r="CA2849">
        <v>2.86</v>
      </c>
      <c r="CB2849">
        <v>1.61</v>
      </c>
      <c r="CC2849">
        <v>4.3</v>
      </c>
      <c r="CD2849">
        <v>-2.33</v>
      </c>
      <c r="CE2849">
        <v>2.52</v>
      </c>
      <c r="CF2849">
        <v>0.95</v>
      </c>
      <c r="CG2849">
        <v>0</v>
      </c>
      <c r="CH2849">
        <v>0.31</v>
      </c>
      <c r="CI2849">
        <v>0</v>
      </c>
      <c r="CJ2849">
        <v>-40.200000000000003</v>
      </c>
      <c r="CK2849">
        <v>27</v>
      </c>
      <c r="CL2849">
        <v>-1.67</v>
      </c>
      <c r="CM2849">
        <v>25</v>
      </c>
      <c r="CN2849">
        <v>-0.54</v>
      </c>
      <c r="CO2849">
        <v>22</v>
      </c>
      <c r="CP2849">
        <v>-61.7</v>
      </c>
      <c r="CQ2849">
        <v>27</v>
      </c>
      <c r="CR2849">
        <v>0</v>
      </c>
      <c r="CS2849">
        <v>0</v>
      </c>
      <c r="CT2849">
        <v>-97.1</v>
      </c>
      <c r="CU2849">
        <v>23</v>
      </c>
      <c r="CV2849">
        <v>-0.38</v>
      </c>
      <c r="CW2849">
        <v>7</v>
      </c>
      <c r="CX2849" t="s">
        <v>2625</v>
      </c>
    </row>
    <row r="2850" spans="1:102" x14ac:dyDescent="0.3">
      <c r="A2850" t="str">
        <f>HYPERLINK("https://webapp.icbf.com/v2/app/bull-search/view/77858740","CYS")</f>
        <v>CYS</v>
      </c>
      <c r="B2850" t="s">
        <v>4173</v>
      </c>
      <c r="C2850" t="s">
        <v>4174</v>
      </c>
      <c r="D2850" s="1">
        <v>32145</v>
      </c>
      <c r="E2850" t="s">
        <v>92</v>
      </c>
      <c r="F2850">
        <v>56</v>
      </c>
      <c r="G2850" t="s">
        <v>93</v>
      </c>
      <c r="H2850">
        <v>8.6199999999999992</v>
      </c>
      <c r="I2850">
        <v>51</v>
      </c>
      <c r="J2850">
        <v>-25.41</v>
      </c>
      <c r="K2850">
        <v>62</v>
      </c>
      <c r="L2850">
        <v>26.41</v>
      </c>
      <c r="M2850">
        <v>55</v>
      </c>
      <c r="N2850">
        <v>4.8499999999999996</v>
      </c>
      <c r="O2850">
        <v>32</v>
      </c>
      <c r="P2850">
        <v>-9.1999999999999993</v>
      </c>
      <c r="Q2850">
        <v>46</v>
      </c>
      <c r="R2850">
        <v>-2.1</v>
      </c>
      <c r="S2850">
        <v>54</v>
      </c>
      <c r="T2850">
        <v>18.559999999999999</v>
      </c>
      <c r="U2850">
        <v>37</v>
      </c>
      <c r="V2850">
        <v>-4.49</v>
      </c>
      <c r="W2850">
        <v>20</v>
      </c>
      <c r="X2850" t="s">
        <v>94</v>
      </c>
      <c r="Y2850" t="s">
        <v>95</v>
      </c>
      <c r="Z2850" t="s">
        <v>96</v>
      </c>
      <c r="AA2850" t="s">
        <v>622</v>
      </c>
      <c r="AB2850" t="s">
        <v>4175</v>
      </c>
      <c r="AC2850">
        <v>11</v>
      </c>
      <c r="AD2850">
        <v>11</v>
      </c>
      <c r="AE2850">
        <v>62</v>
      </c>
      <c r="AF2850">
        <v>-132.88</v>
      </c>
      <c r="AG2850">
        <v>-4.3099999999999996</v>
      </c>
      <c r="AH2850">
        <v>-4.83</v>
      </c>
      <c r="AI2850">
        <v>0.01</v>
      </c>
      <c r="AJ2850">
        <v>0</v>
      </c>
      <c r="AK2850">
        <v>55</v>
      </c>
      <c r="AL2850">
        <v>50</v>
      </c>
      <c r="AM2850">
        <v>38</v>
      </c>
      <c r="AN2850">
        <v>-1.1299999999999999</v>
      </c>
      <c r="AO2850">
        <v>0.98</v>
      </c>
      <c r="AP2850">
        <v>2</v>
      </c>
      <c r="AQ2850">
        <v>0</v>
      </c>
      <c r="AR2850">
        <v>6.54</v>
      </c>
      <c r="AS2850">
        <v>23</v>
      </c>
      <c r="AT2850">
        <v>2.83</v>
      </c>
      <c r="AU2850">
        <v>29</v>
      </c>
      <c r="AV2850">
        <v>-0.67</v>
      </c>
      <c r="AW2850">
        <v>36</v>
      </c>
      <c r="AX2850">
        <v>-0.33</v>
      </c>
      <c r="AY2850">
        <v>42</v>
      </c>
      <c r="AZ2850">
        <v>7.41</v>
      </c>
      <c r="BA2850">
        <v>20</v>
      </c>
      <c r="BB2850">
        <v>5.93</v>
      </c>
      <c r="BC2850">
        <v>27</v>
      </c>
      <c r="BD2850">
        <v>0.02</v>
      </c>
      <c r="BE2850">
        <v>0.05</v>
      </c>
      <c r="BF2850">
        <v>-0.08</v>
      </c>
      <c r="BG2850">
        <v>77</v>
      </c>
      <c r="BH2850">
        <v>-0.08</v>
      </c>
      <c r="BI2850">
        <v>5.22</v>
      </c>
      <c r="BJ2850">
        <v>7</v>
      </c>
      <c r="BK2850">
        <v>6</v>
      </c>
      <c r="BL2850">
        <v>-2.2400000000000002</v>
      </c>
      <c r="BM2850">
        <v>0.54</v>
      </c>
      <c r="BN2850">
        <v>-1.57</v>
      </c>
      <c r="BO2850">
        <v>-1.94</v>
      </c>
      <c r="BP2850">
        <v>-0.53</v>
      </c>
      <c r="BQ2850">
        <v>-0.27</v>
      </c>
      <c r="BR2850">
        <v>0.83</v>
      </c>
      <c r="BS2850">
        <v>0</v>
      </c>
      <c r="BT2850">
        <v>-1.1100000000000001</v>
      </c>
      <c r="BU2850">
        <v>-0.16</v>
      </c>
      <c r="BV2850">
        <v>-1.2</v>
      </c>
      <c r="BW2850">
        <v>-1.85</v>
      </c>
      <c r="BX2850">
        <v>-0.79</v>
      </c>
      <c r="BY2850">
        <v>-0.03</v>
      </c>
      <c r="BZ2850">
        <v>-2.75</v>
      </c>
      <c r="CA2850">
        <v>-1.21</v>
      </c>
      <c r="CB2850">
        <v>-1.03</v>
      </c>
      <c r="CC2850">
        <v>-1.1100000000000001</v>
      </c>
      <c r="CD2850">
        <v>1.67</v>
      </c>
      <c r="CE2850">
        <v>-2.09</v>
      </c>
      <c r="CF2850">
        <v>-2.7</v>
      </c>
      <c r="CG2850">
        <v>0</v>
      </c>
      <c r="CH2850">
        <v>-1.42</v>
      </c>
      <c r="CI2850">
        <v>0</v>
      </c>
      <c r="CJ2850">
        <v>-2.7</v>
      </c>
      <c r="CK2850">
        <v>48</v>
      </c>
      <c r="CL2850">
        <v>-0.41</v>
      </c>
      <c r="CM2850">
        <v>44</v>
      </c>
      <c r="CN2850">
        <v>-0.04</v>
      </c>
      <c r="CO2850">
        <v>41</v>
      </c>
      <c r="CP2850">
        <v>-11.4</v>
      </c>
      <c r="CQ2850">
        <v>45</v>
      </c>
      <c r="CR2850">
        <v>0</v>
      </c>
      <c r="CS2850">
        <v>0</v>
      </c>
      <c r="CT2850">
        <v>-11.3</v>
      </c>
      <c r="CU2850">
        <v>37</v>
      </c>
      <c r="CV2850">
        <v>0.06</v>
      </c>
      <c r="CW2850">
        <v>13</v>
      </c>
      <c r="CX2850" t="s">
        <v>4176</v>
      </c>
    </row>
    <row r="2851" spans="1:102" x14ac:dyDescent="0.3">
      <c r="A2851" t="str">
        <f>HYPERLINK("https://webapp.icbf.com/v2/app/bull-search/view/69091753","GEX")</f>
        <v>GEX</v>
      </c>
      <c r="B2851" t="s">
        <v>10568</v>
      </c>
      <c r="C2851" t="s">
        <v>10569</v>
      </c>
      <c r="D2851" s="1">
        <v>33332</v>
      </c>
      <c r="E2851" t="s">
        <v>140</v>
      </c>
      <c r="F2851">
        <v>0</v>
      </c>
      <c r="G2851" t="s">
        <v>93</v>
      </c>
      <c r="H2851">
        <v>8.58</v>
      </c>
      <c r="I2851">
        <v>84</v>
      </c>
      <c r="J2851">
        <v>-49.8</v>
      </c>
      <c r="K2851">
        <v>97</v>
      </c>
      <c r="L2851">
        <v>55.28</v>
      </c>
      <c r="M2851">
        <v>74</v>
      </c>
      <c r="N2851">
        <v>-41.47</v>
      </c>
      <c r="O2851">
        <v>78</v>
      </c>
      <c r="P2851">
        <v>25.94</v>
      </c>
      <c r="Q2851">
        <v>94</v>
      </c>
      <c r="R2851">
        <v>10.26</v>
      </c>
      <c r="S2851">
        <v>75</v>
      </c>
      <c r="T2851">
        <v>26.26</v>
      </c>
      <c r="U2851">
        <v>88</v>
      </c>
      <c r="V2851">
        <v>-17.89</v>
      </c>
      <c r="W2851">
        <v>61</v>
      </c>
      <c r="X2851" t="s">
        <v>94</v>
      </c>
      <c r="Y2851" t="s">
        <v>95</v>
      </c>
      <c r="Z2851">
        <v>0</v>
      </c>
      <c r="AA2851" t="s">
        <v>2464</v>
      </c>
      <c r="AB2851" t="s">
        <v>10570</v>
      </c>
      <c r="AC2851">
        <v>149</v>
      </c>
      <c r="AD2851">
        <v>73</v>
      </c>
      <c r="AE2851">
        <v>97</v>
      </c>
      <c r="AF2851">
        <v>-145.47</v>
      </c>
      <c r="AG2851">
        <v>-11.69</v>
      </c>
      <c r="AH2851">
        <v>-6.56</v>
      </c>
      <c r="AI2851">
        <v>-0.1</v>
      </c>
      <c r="AJ2851">
        <v>-0.03</v>
      </c>
      <c r="AK2851">
        <v>74</v>
      </c>
      <c r="AL2851">
        <v>184</v>
      </c>
      <c r="AM2851">
        <v>92</v>
      </c>
      <c r="AN2851">
        <v>-2.92</v>
      </c>
      <c r="AO2851">
        <v>1.49</v>
      </c>
      <c r="AP2851">
        <v>20</v>
      </c>
      <c r="AQ2851">
        <v>0</v>
      </c>
      <c r="AR2851">
        <v>8.49</v>
      </c>
      <c r="AS2851">
        <v>52</v>
      </c>
      <c r="AT2851">
        <v>4.38</v>
      </c>
      <c r="AU2851">
        <v>72</v>
      </c>
      <c r="AV2851">
        <v>4.12</v>
      </c>
      <c r="AW2851">
        <v>91</v>
      </c>
      <c r="AX2851">
        <v>-0.17</v>
      </c>
      <c r="AY2851">
        <v>86</v>
      </c>
      <c r="AZ2851">
        <v>5.84</v>
      </c>
      <c r="BA2851">
        <v>55</v>
      </c>
      <c r="BB2851">
        <v>3.95</v>
      </c>
      <c r="BC2851">
        <v>68</v>
      </c>
      <c r="BD2851">
        <v>0</v>
      </c>
      <c r="BE2851">
        <v>-0.04</v>
      </c>
      <c r="BF2851">
        <v>-0.16</v>
      </c>
      <c r="BG2851">
        <v>88</v>
      </c>
      <c r="BH2851">
        <v>-0.49</v>
      </c>
      <c r="BI2851">
        <v>1.03</v>
      </c>
      <c r="BJ2851">
        <v>0</v>
      </c>
      <c r="BK2851">
        <v>0</v>
      </c>
      <c r="BL2851">
        <v>-1.4</v>
      </c>
      <c r="BM2851">
        <v>2.57</v>
      </c>
      <c r="BN2851">
        <v>-2.2999999999999998</v>
      </c>
      <c r="BO2851">
        <v>-3</v>
      </c>
      <c r="BP2851">
        <v>3.79</v>
      </c>
      <c r="BQ2851">
        <v>-3.28</v>
      </c>
      <c r="BR2851">
        <v>-3</v>
      </c>
      <c r="BS2851">
        <v>-0.4</v>
      </c>
      <c r="BT2851">
        <v>2.79</v>
      </c>
      <c r="BU2851">
        <v>-3.48</v>
      </c>
      <c r="BV2851">
        <v>-3.68</v>
      </c>
      <c r="BW2851">
        <v>-2.82</v>
      </c>
      <c r="BX2851">
        <v>-3.17</v>
      </c>
      <c r="BY2851">
        <v>-1.73</v>
      </c>
      <c r="BZ2851">
        <v>0.91</v>
      </c>
      <c r="CA2851">
        <v>-2.17</v>
      </c>
      <c r="CB2851">
        <v>-2.8</v>
      </c>
      <c r="CC2851">
        <v>-0.41</v>
      </c>
      <c r="CD2851">
        <v>3.42</v>
      </c>
      <c r="CE2851">
        <v>-3.09</v>
      </c>
      <c r="CF2851">
        <v>-1.9</v>
      </c>
      <c r="CG2851">
        <v>0</v>
      </c>
      <c r="CH2851">
        <v>-2.41</v>
      </c>
      <c r="CI2851">
        <v>0</v>
      </c>
      <c r="CJ2851">
        <v>11</v>
      </c>
      <c r="CK2851">
        <v>94</v>
      </c>
      <c r="CL2851">
        <v>0.77</v>
      </c>
      <c r="CM2851">
        <v>93</v>
      </c>
      <c r="CN2851">
        <v>-0.22</v>
      </c>
      <c r="CO2851">
        <v>92</v>
      </c>
      <c r="CP2851">
        <v>1.6</v>
      </c>
      <c r="CQ2851">
        <v>94</v>
      </c>
      <c r="CR2851">
        <v>0</v>
      </c>
      <c r="CS2851">
        <v>0</v>
      </c>
      <c r="CT2851">
        <v>-21.7</v>
      </c>
      <c r="CU2851">
        <v>88</v>
      </c>
      <c r="CV2851">
        <v>-0.19</v>
      </c>
      <c r="CW2851">
        <v>27</v>
      </c>
      <c r="CX2851" t="s">
        <v>10571</v>
      </c>
    </row>
    <row r="2852" spans="1:102" x14ac:dyDescent="0.3">
      <c r="A2852" t="str">
        <f>HYPERLINK("https://webapp.icbf.com/v2/app/bull-search/view/152164265","ODD")</f>
        <v>ODD</v>
      </c>
      <c r="B2852" t="s">
        <v>9905</v>
      </c>
      <c r="C2852" t="s">
        <v>9906</v>
      </c>
      <c r="D2852" s="1">
        <v>34887</v>
      </c>
      <c r="E2852" t="s">
        <v>227</v>
      </c>
      <c r="F2852">
        <v>0</v>
      </c>
      <c r="G2852" t="s">
        <v>109</v>
      </c>
      <c r="H2852">
        <v>8.5</v>
      </c>
      <c r="I2852">
        <v>80</v>
      </c>
      <c r="J2852">
        <v>-11.69</v>
      </c>
      <c r="K2852">
        <v>91</v>
      </c>
      <c r="L2852">
        <v>15.5</v>
      </c>
      <c r="M2852">
        <v>79</v>
      </c>
      <c r="N2852">
        <v>3.76</v>
      </c>
      <c r="O2852">
        <v>67</v>
      </c>
      <c r="P2852">
        <v>-70.319999999999993</v>
      </c>
      <c r="Q2852">
        <v>79</v>
      </c>
      <c r="R2852">
        <v>-3.44</v>
      </c>
      <c r="S2852">
        <v>60</v>
      </c>
      <c r="T2852">
        <v>75.62</v>
      </c>
      <c r="U2852">
        <v>80</v>
      </c>
      <c r="V2852">
        <v>-0.93</v>
      </c>
      <c r="W2852">
        <v>44</v>
      </c>
      <c r="X2852" t="s">
        <v>94</v>
      </c>
      <c r="Y2852" t="s">
        <v>95</v>
      </c>
      <c r="Z2852">
        <v>0</v>
      </c>
      <c r="AA2852" t="s">
        <v>3509</v>
      </c>
      <c r="AB2852" t="s">
        <v>144</v>
      </c>
      <c r="AC2852">
        <v>34</v>
      </c>
      <c r="AD2852">
        <v>12</v>
      </c>
      <c r="AE2852">
        <v>91</v>
      </c>
      <c r="AF2852">
        <v>-486.12</v>
      </c>
      <c r="AG2852">
        <v>5.15</v>
      </c>
      <c r="AH2852">
        <v>-11.25</v>
      </c>
      <c r="AI2852">
        <v>0.43</v>
      </c>
      <c r="AJ2852">
        <v>0.1</v>
      </c>
      <c r="AK2852">
        <v>79</v>
      </c>
      <c r="AL2852">
        <v>42</v>
      </c>
      <c r="AM2852">
        <v>16</v>
      </c>
      <c r="AN2852">
        <v>-0.56999999999999995</v>
      </c>
      <c r="AO2852">
        <v>0.67</v>
      </c>
      <c r="AP2852">
        <v>43</v>
      </c>
      <c r="AQ2852">
        <v>0</v>
      </c>
      <c r="AR2852">
        <v>2.12</v>
      </c>
      <c r="AS2852">
        <v>56</v>
      </c>
      <c r="AT2852">
        <v>1.33</v>
      </c>
      <c r="AU2852">
        <v>59</v>
      </c>
      <c r="AV2852">
        <v>0.06</v>
      </c>
      <c r="AW2852">
        <v>86</v>
      </c>
      <c r="AX2852">
        <v>6.9</v>
      </c>
      <c r="AY2852">
        <v>67</v>
      </c>
      <c r="AZ2852">
        <v>7.02</v>
      </c>
      <c r="BA2852">
        <v>38</v>
      </c>
      <c r="BB2852">
        <v>4.93</v>
      </c>
      <c r="BC2852">
        <v>41</v>
      </c>
      <c r="BD2852">
        <v>-0.03</v>
      </c>
      <c r="BE2852">
        <v>0.01</v>
      </c>
      <c r="BF2852">
        <v>0.11</v>
      </c>
      <c r="BG2852">
        <v>72</v>
      </c>
      <c r="BH2852">
        <v>-7.0000000000000007E-2</v>
      </c>
      <c r="BI2852">
        <v>-5.1100000000000003</v>
      </c>
      <c r="BJ2852">
        <v>0</v>
      </c>
      <c r="BK2852">
        <v>0</v>
      </c>
      <c r="BL2852">
        <v>-1.52</v>
      </c>
      <c r="BM2852">
        <v>-1.83</v>
      </c>
      <c r="BN2852">
        <v>-0.49</v>
      </c>
      <c r="BO2852">
        <v>1.19</v>
      </c>
      <c r="BP2852">
        <v>-0.05</v>
      </c>
      <c r="BQ2852">
        <v>-5.24</v>
      </c>
      <c r="BR2852">
        <v>2.09</v>
      </c>
      <c r="BS2852">
        <v>5.57</v>
      </c>
      <c r="BT2852">
        <v>-1.1200000000000001</v>
      </c>
      <c r="BU2852">
        <v>-0.43</v>
      </c>
      <c r="BV2852">
        <v>-0.09</v>
      </c>
      <c r="BW2852">
        <v>-2.0499999999999998</v>
      </c>
      <c r="BX2852">
        <v>-3.16</v>
      </c>
      <c r="BY2852">
        <v>-0.08</v>
      </c>
      <c r="BZ2852">
        <v>0.48</v>
      </c>
      <c r="CA2852">
        <v>1.1100000000000001</v>
      </c>
      <c r="CB2852">
        <v>-0.11</v>
      </c>
      <c r="CC2852">
        <v>3.1</v>
      </c>
      <c r="CD2852">
        <v>-1.85</v>
      </c>
      <c r="CE2852">
        <v>1.1599999999999999</v>
      </c>
      <c r="CF2852">
        <v>-1.38</v>
      </c>
      <c r="CG2852">
        <v>0</v>
      </c>
      <c r="CH2852">
        <v>-0.89</v>
      </c>
      <c r="CI2852">
        <v>0</v>
      </c>
      <c r="CJ2852">
        <v>-36.6</v>
      </c>
      <c r="CK2852">
        <v>81</v>
      </c>
      <c r="CL2852">
        <v>-1.18</v>
      </c>
      <c r="CM2852">
        <v>78</v>
      </c>
      <c r="CN2852">
        <v>-0.11</v>
      </c>
      <c r="CO2852">
        <v>74</v>
      </c>
      <c r="CP2852">
        <v>-59.5</v>
      </c>
      <c r="CQ2852">
        <v>82</v>
      </c>
      <c r="CR2852">
        <v>0</v>
      </c>
      <c r="CS2852">
        <v>0</v>
      </c>
      <c r="CT2852">
        <v>-88.4</v>
      </c>
      <c r="CU2852">
        <v>80</v>
      </c>
      <c r="CV2852">
        <v>-0.41</v>
      </c>
      <c r="CW2852">
        <v>22</v>
      </c>
      <c r="CX2852" t="s">
        <v>577</v>
      </c>
    </row>
    <row r="2853" spans="1:102" x14ac:dyDescent="0.3">
      <c r="A2853" t="str">
        <f>HYPERLINK("https://webapp.icbf.com/v2/app/bull-search/view/326609753","S2081")</f>
        <v>S2081</v>
      </c>
      <c r="B2853" t="s">
        <v>9632</v>
      </c>
      <c r="C2853" t="s">
        <v>9633</v>
      </c>
      <c r="D2853" s="1">
        <v>34658</v>
      </c>
      <c r="E2853" t="s">
        <v>140</v>
      </c>
      <c r="F2853">
        <v>0</v>
      </c>
      <c r="G2853" t="s">
        <v>109</v>
      </c>
      <c r="H2853">
        <v>8.3699999999999992</v>
      </c>
      <c r="I2853">
        <v>55</v>
      </c>
      <c r="J2853">
        <v>-29.01</v>
      </c>
      <c r="K2853">
        <v>83</v>
      </c>
      <c r="L2853">
        <v>58.8</v>
      </c>
      <c r="M2853">
        <v>41</v>
      </c>
      <c r="N2853">
        <v>-37.94</v>
      </c>
      <c r="O2853">
        <v>36</v>
      </c>
      <c r="P2853">
        <v>19.28</v>
      </c>
      <c r="Q2853">
        <v>46</v>
      </c>
      <c r="R2853">
        <v>9.9700000000000006</v>
      </c>
      <c r="S2853">
        <v>40</v>
      </c>
      <c r="T2853">
        <v>7.17</v>
      </c>
      <c r="U2853">
        <v>43</v>
      </c>
      <c r="V2853">
        <v>-19.899999999999999</v>
      </c>
      <c r="W2853">
        <v>40</v>
      </c>
      <c r="X2853" t="s">
        <v>1645</v>
      </c>
      <c r="Y2853" t="s">
        <v>367</v>
      </c>
      <c r="Z2853">
        <v>0</v>
      </c>
      <c r="AA2853" t="s">
        <v>9634</v>
      </c>
      <c r="AB2853" t="s">
        <v>9635</v>
      </c>
      <c r="AC2853">
        <v>0</v>
      </c>
      <c r="AD2853">
        <v>0</v>
      </c>
      <c r="AE2853">
        <v>83</v>
      </c>
      <c r="AF2853">
        <v>-281.92</v>
      </c>
      <c r="AG2853">
        <v>-12.21</v>
      </c>
      <c r="AH2853">
        <v>-4.93</v>
      </c>
      <c r="AI2853">
        <v>-0.02</v>
      </c>
      <c r="AJ2853">
        <v>0.09</v>
      </c>
      <c r="AK2853">
        <v>41</v>
      </c>
      <c r="AL2853">
        <v>0</v>
      </c>
      <c r="AM2853">
        <v>0</v>
      </c>
      <c r="AN2853">
        <v>-3.13</v>
      </c>
      <c r="AO2853">
        <v>1.56</v>
      </c>
      <c r="AP2853">
        <v>1</v>
      </c>
      <c r="AQ2853">
        <v>0</v>
      </c>
      <c r="AR2853">
        <v>8.5</v>
      </c>
      <c r="AS2853">
        <v>29</v>
      </c>
      <c r="AT2853">
        <v>5.01</v>
      </c>
      <c r="AU2853">
        <v>39</v>
      </c>
      <c r="AV2853">
        <v>2.78</v>
      </c>
      <c r="AW2853">
        <v>39</v>
      </c>
      <c r="AX2853">
        <v>-0.47</v>
      </c>
      <c r="AY2853">
        <v>40</v>
      </c>
      <c r="AZ2853">
        <v>4.92</v>
      </c>
      <c r="BA2853">
        <v>23</v>
      </c>
      <c r="BB2853">
        <v>4.42</v>
      </c>
      <c r="BC2853">
        <v>26</v>
      </c>
      <c r="BD2853">
        <v>0.01</v>
      </c>
      <c r="BE2853">
        <v>-0.04</v>
      </c>
      <c r="BF2853">
        <v>-0.17</v>
      </c>
      <c r="BG2853">
        <v>45</v>
      </c>
      <c r="BH2853">
        <v>-0.45</v>
      </c>
      <c r="BI2853">
        <v>12.13</v>
      </c>
      <c r="BJ2853">
        <v>0</v>
      </c>
      <c r="BK2853">
        <v>0</v>
      </c>
      <c r="BL2853">
        <v>-1.17</v>
      </c>
      <c r="BM2853">
        <v>3.26</v>
      </c>
      <c r="BN2853">
        <v>-1.86</v>
      </c>
      <c r="BO2853">
        <v>-3.05</v>
      </c>
      <c r="BP2853">
        <v>3.98</v>
      </c>
      <c r="BQ2853">
        <v>-2.61</v>
      </c>
      <c r="BR2853">
        <v>-2.4300000000000002</v>
      </c>
      <c r="BS2853">
        <v>-0.41</v>
      </c>
      <c r="BT2853">
        <v>2.0099999999999998</v>
      </c>
      <c r="BU2853">
        <v>-3.5</v>
      </c>
      <c r="BV2853">
        <v>-4.12</v>
      </c>
      <c r="BW2853">
        <v>-3.12</v>
      </c>
      <c r="BX2853">
        <v>-2.78</v>
      </c>
      <c r="BY2853">
        <v>-1.84</v>
      </c>
      <c r="BZ2853">
        <v>1.32</v>
      </c>
      <c r="CA2853">
        <v>-2.74</v>
      </c>
      <c r="CB2853">
        <v>-3.3</v>
      </c>
      <c r="CC2853">
        <v>-0.8</v>
      </c>
      <c r="CD2853">
        <v>3.88</v>
      </c>
      <c r="CE2853">
        <v>-3.32</v>
      </c>
      <c r="CF2853">
        <v>-1.42</v>
      </c>
      <c r="CG2853">
        <v>0</v>
      </c>
      <c r="CH2853">
        <v>-2.69</v>
      </c>
      <c r="CI2853">
        <v>0</v>
      </c>
      <c r="CJ2853">
        <v>7</v>
      </c>
      <c r="CK2853">
        <v>47</v>
      </c>
      <c r="CL2853">
        <v>0.71</v>
      </c>
      <c r="CM2853">
        <v>46</v>
      </c>
      <c r="CN2853">
        <v>-0.11</v>
      </c>
      <c r="CO2853">
        <v>45</v>
      </c>
      <c r="CP2853">
        <v>6.7</v>
      </c>
      <c r="CQ2853">
        <v>43</v>
      </c>
      <c r="CR2853">
        <v>0</v>
      </c>
      <c r="CS2853">
        <v>0</v>
      </c>
      <c r="CT2853">
        <v>4.0999999999999996</v>
      </c>
      <c r="CU2853">
        <v>43</v>
      </c>
      <c r="CV2853">
        <v>0.25</v>
      </c>
      <c r="CW2853">
        <v>34</v>
      </c>
      <c r="CX2853" t="s">
        <v>9636</v>
      </c>
    </row>
    <row r="2854" spans="1:102" x14ac:dyDescent="0.3">
      <c r="A2854" t="str">
        <f>HYPERLINK("https://webapp.icbf.com/v2/app/bull-search/view/586234856","KSM")</f>
        <v>KSM</v>
      </c>
      <c r="B2854" t="s">
        <v>12451</v>
      </c>
      <c r="C2854" t="s">
        <v>12452</v>
      </c>
      <c r="D2854" s="1">
        <v>38095</v>
      </c>
      <c r="E2854" t="s">
        <v>92</v>
      </c>
      <c r="F2854">
        <v>100</v>
      </c>
      <c r="G2854" t="s">
        <v>93</v>
      </c>
      <c r="H2854">
        <v>8.35</v>
      </c>
      <c r="I2854">
        <v>89</v>
      </c>
      <c r="J2854">
        <v>3.29</v>
      </c>
      <c r="K2854">
        <v>96</v>
      </c>
      <c r="L2854">
        <v>-3.92</v>
      </c>
      <c r="M2854">
        <v>87</v>
      </c>
      <c r="N2854">
        <v>9.9600000000000009</v>
      </c>
      <c r="O2854">
        <v>84</v>
      </c>
      <c r="P2854">
        <v>-12.67</v>
      </c>
      <c r="Q2854">
        <v>90</v>
      </c>
      <c r="R2854">
        <v>4.9400000000000004</v>
      </c>
      <c r="S2854">
        <v>78</v>
      </c>
      <c r="T2854">
        <v>8.1999999999999993</v>
      </c>
      <c r="U2854">
        <v>82</v>
      </c>
      <c r="V2854">
        <v>-1.45</v>
      </c>
      <c r="W2854">
        <v>74</v>
      </c>
      <c r="X2854" t="s">
        <v>251</v>
      </c>
      <c r="Y2854" t="s">
        <v>235</v>
      </c>
      <c r="Z2854" t="s">
        <v>96</v>
      </c>
      <c r="AA2854" t="s">
        <v>277</v>
      </c>
      <c r="AB2854" t="s">
        <v>12453</v>
      </c>
      <c r="AC2854">
        <v>65</v>
      </c>
      <c r="AD2854">
        <v>36</v>
      </c>
      <c r="AE2854">
        <v>96</v>
      </c>
      <c r="AF2854">
        <v>148.07</v>
      </c>
      <c r="AG2854">
        <v>0.3</v>
      </c>
      <c r="AH2854">
        <v>2.72</v>
      </c>
      <c r="AI2854">
        <v>-0.09</v>
      </c>
      <c r="AJ2854">
        <v>-0.04</v>
      </c>
      <c r="AK2854">
        <v>87</v>
      </c>
      <c r="AL2854">
        <v>67</v>
      </c>
      <c r="AM2854">
        <v>37</v>
      </c>
      <c r="AN2854">
        <v>1.21</v>
      </c>
      <c r="AO2854">
        <v>0.91</v>
      </c>
      <c r="AP2854">
        <v>147</v>
      </c>
      <c r="AQ2854">
        <v>1</v>
      </c>
      <c r="AR2854">
        <v>10.01</v>
      </c>
      <c r="AS2854">
        <v>78</v>
      </c>
      <c r="AT2854">
        <v>3.31</v>
      </c>
      <c r="AU2854">
        <v>87</v>
      </c>
      <c r="AV2854">
        <v>-2.38</v>
      </c>
      <c r="AW2854">
        <v>94</v>
      </c>
      <c r="AX2854">
        <v>1.22</v>
      </c>
      <c r="AY2854">
        <v>79</v>
      </c>
      <c r="AZ2854">
        <v>5.12</v>
      </c>
      <c r="BA2854">
        <v>61</v>
      </c>
      <c r="BB2854">
        <v>4.84</v>
      </c>
      <c r="BC2854">
        <v>61</v>
      </c>
      <c r="BD2854">
        <v>-0.01</v>
      </c>
      <c r="BE2854">
        <v>-0.03</v>
      </c>
      <c r="BF2854">
        <v>-0.04</v>
      </c>
      <c r="BG2854">
        <v>89</v>
      </c>
      <c r="BH2854">
        <v>-0.05</v>
      </c>
      <c r="BI2854">
        <v>-1.1200000000000001</v>
      </c>
      <c r="BJ2854">
        <v>11</v>
      </c>
      <c r="BK2854">
        <v>8</v>
      </c>
      <c r="BL2854">
        <v>0.71</v>
      </c>
      <c r="BM2854">
        <v>-0.48</v>
      </c>
      <c r="BN2854">
        <v>-0.06</v>
      </c>
      <c r="BO2854">
        <v>7.0000000000000007E-2</v>
      </c>
      <c r="BP2854">
        <v>-0.42</v>
      </c>
      <c r="BQ2854">
        <v>-0.67</v>
      </c>
      <c r="BR2854">
        <v>-0.09</v>
      </c>
      <c r="BS2854">
        <v>0.47</v>
      </c>
      <c r="BT2854">
        <v>1.19</v>
      </c>
      <c r="BU2854">
        <v>1.28</v>
      </c>
      <c r="BV2854">
        <v>-0.3</v>
      </c>
      <c r="BW2854">
        <v>-0.45</v>
      </c>
      <c r="BX2854">
        <v>1.43</v>
      </c>
      <c r="BY2854">
        <v>1.38</v>
      </c>
      <c r="BZ2854">
        <v>-0.02</v>
      </c>
      <c r="CA2854">
        <v>1.07</v>
      </c>
      <c r="CB2854">
        <v>0.68</v>
      </c>
      <c r="CC2854">
        <v>0.65</v>
      </c>
      <c r="CD2854">
        <v>-0.79</v>
      </c>
      <c r="CE2854">
        <v>0.54</v>
      </c>
      <c r="CF2854">
        <v>0.26</v>
      </c>
      <c r="CG2854">
        <v>0</v>
      </c>
      <c r="CH2854">
        <v>1.19</v>
      </c>
      <c r="CI2854">
        <v>0</v>
      </c>
      <c r="CJ2854">
        <v>-4.2</v>
      </c>
      <c r="CK2854">
        <v>91</v>
      </c>
      <c r="CL2854">
        <v>-0.92</v>
      </c>
      <c r="CM2854">
        <v>89</v>
      </c>
      <c r="CN2854">
        <v>-0.22</v>
      </c>
      <c r="CO2854">
        <v>88</v>
      </c>
      <c r="CP2854">
        <v>0.3</v>
      </c>
      <c r="CQ2854">
        <v>86</v>
      </c>
      <c r="CR2854">
        <v>0</v>
      </c>
      <c r="CS2854">
        <v>0</v>
      </c>
      <c r="CT2854">
        <v>2.7</v>
      </c>
      <c r="CU2854">
        <v>82</v>
      </c>
      <c r="CV2854">
        <v>0.11</v>
      </c>
      <c r="CW2854">
        <v>44</v>
      </c>
      <c r="CX2854" t="s">
        <v>12454</v>
      </c>
    </row>
    <row r="2855" spans="1:102" x14ac:dyDescent="0.3">
      <c r="A2855" t="str">
        <f>HYPERLINK("https://webapp.icbf.com/v2/app/bull-search/view/399742816","LIG")</f>
        <v>LIG</v>
      </c>
      <c r="B2855" t="s">
        <v>6954</v>
      </c>
      <c r="C2855" t="s">
        <v>2009</v>
      </c>
      <c r="D2855" s="1">
        <v>35039</v>
      </c>
      <c r="E2855" t="s">
        <v>92</v>
      </c>
      <c r="F2855">
        <v>100</v>
      </c>
      <c r="G2855" t="s">
        <v>93</v>
      </c>
      <c r="H2855">
        <v>7.96</v>
      </c>
      <c r="I2855">
        <v>91</v>
      </c>
      <c r="J2855">
        <v>53.61</v>
      </c>
      <c r="K2855">
        <v>96</v>
      </c>
      <c r="L2855">
        <v>-52.32</v>
      </c>
      <c r="M2855">
        <v>91</v>
      </c>
      <c r="N2855">
        <v>7.97</v>
      </c>
      <c r="O2855">
        <v>86</v>
      </c>
      <c r="P2855">
        <v>-10.79</v>
      </c>
      <c r="Q2855">
        <v>90</v>
      </c>
      <c r="R2855">
        <v>3.49</v>
      </c>
      <c r="S2855">
        <v>84</v>
      </c>
      <c r="T2855">
        <v>7.98</v>
      </c>
      <c r="U2855">
        <v>90</v>
      </c>
      <c r="V2855">
        <v>-1.98</v>
      </c>
      <c r="W2855">
        <v>81</v>
      </c>
      <c r="X2855" t="s">
        <v>234</v>
      </c>
      <c r="Y2855" t="s">
        <v>95</v>
      </c>
      <c r="Z2855" t="s">
        <v>96</v>
      </c>
      <c r="AA2855" t="s">
        <v>529</v>
      </c>
      <c r="AB2855" t="s">
        <v>6955</v>
      </c>
      <c r="AC2855">
        <v>67</v>
      </c>
      <c r="AD2855">
        <v>27</v>
      </c>
      <c r="AE2855">
        <v>96</v>
      </c>
      <c r="AF2855">
        <v>372.34</v>
      </c>
      <c r="AG2855">
        <v>6.07</v>
      </c>
      <c r="AH2855">
        <v>12.67</v>
      </c>
      <c r="AI2855">
        <v>-0.14000000000000001</v>
      </c>
      <c r="AJ2855">
        <v>0</v>
      </c>
      <c r="AK2855">
        <v>91</v>
      </c>
      <c r="AL2855">
        <v>89</v>
      </c>
      <c r="AM2855">
        <v>46</v>
      </c>
      <c r="AN2855">
        <v>3.05</v>
      </c>
      <c r="AO2855">
        <v>-1.1200000000000001</v>
      </c>
      <c r="AP2855">
        <v>83</v>
      </c>
      <c r="AQ2855">
        <v>0</v>
      </c>
      <c r="AR2855">
        <v>8.9700000000000006</v>
      </c>
      <c r="AS2855">
        <v>74</v>
      </c>
      <c r="AT2855">
        <v>3.72</v>
      </c>
      <c r="AU2855">
        <v>97</v>
      </c>
      <c r="AV2855">
        <v>-1.53</v>
      </c>
      <c r="AW2855">
        <v>88</v>
      </c>
      <c r="AX2855">
        <v>-0.84</v>
      </c>
      <c r="AY2855">
        <v>83</v>
      </c>
      <c r="AZ2855">
        <v>5.39</v>
      </c>
      <c r="BA2855">
        <v>68</v>
      </c>
      <c r="BB2855">
        <v>4.6500000000000004</v>
      </c>
      <c r="BC2855">
        <v>69</v>
      </c>
      <c r="BD2855">
        <v>-0.05</v>
      </c>
      <c r="BE2855">
        <v>-0.03</v>
      </c>
      <c r="BF2855">
        <v>0.06</v>
      </c>
      <c r="BG2855">
        <v>94</v>
      </c>
      <c r="BH2855">
        <v>-0.13</v>
      </c>
      <c r="BI2855">
        <v>-8.64</v>
      </c>
      <c r="BJ2855">
        <v>1</v>
      </c>
      <c r="BK2855">
        <v>1</v>
      </c>
      <c r="BL2855">
        <v>0.79</v>
      </c>
      <c r="BM2855">
        <v>-0.75</v>
      </c>
      <c r="BN2855">
        <v>-0.33</v>
      </c>
      <c r="BO2855">
        <v>0.4</v>
      </c>
      <c r="BP2855">
        <v>-0.54</v>
      </c>
      <c r="BQ2855">
        <v>2.1800000000000002</v>
      </c>
      <c r="BR2855">
        <v>-2.08</v>
      </c>
      <c r="BS2855">
        <v>1.46</v>
      </c>
      <c r="BT2855">
        <v>0.97</v>
      </c>
      <c r="BU2855">
        <v>0.08</v>
      </c>
      <c r="BV2855">
        <v>0.7</v>
      </c>
      <c r="BW2855">
        <v>0.42</v>
      </c>
      <c r="BX2855">
        <v>0.8</v>
      </c>
      <c r="BY2855">
        <v>0.5</v>
      </c>
      <c r="BZ2855">
        <v>-2.77</v>
      </c>
      <c r="CA2855">
        <v>0.63</v>
      </c>
      <c r="CB2855">
        <v>0.64</v>
      </c>
      <c r="CC2855">
        <v>0.79</v>
      </c>
      <c r="CD2855">
        <v>-0.28999999999999998</v>
      </c>
      <c r="CE2855">
        <v>0.68</v>
      </c>
      <c r="CF2855">
        <v>1.19</v>
      </c>
      <c r="CG2855">
        <v>0</v>
      </c>
      <c r="CH2855">
        <v>0.69</v>
      </c>
      <c r="CI2855">
        <v>0</v>
      </c>
      <c r="CJ2855">
        <v>-4</v>
      </c>
      <c r="CK2855">
        <v>91</v>
      </c>
      <c r="CL2855">
        <v>-0.86</v>
      </c>
      <c r="CM2855">
        <v>89</v>
      </c>
      <c r="CN2855">
        <v>-0.35</v>
      </c>
      <c r="CO2855">
        <v>88</v>
      </c>
      <c r="CP2855">
        <v>-3.3</v>
      </c>
      <c r="CQ2855">
        <v>90</v>
      </c>
      <c r="CR2855">
        <v>0</v>
      </c>
      <c r="CS2855">
        <v>0</v>
      </c>
      <c r="CT2855">
        <v>3</v>
      </c>
      <c r="CU2855">
        <v>90</v>
      </c>
      <c r="CV2855">
        <v>7.0000000000000007E-2</v>
      </c>
      <c r="CW2855">
        <v>45</v>
      </c>
      <c r="CX2855" t="s">
        <v>4021</v>
      </c>
    </row>
    <row r="2856" spans="1:102" x14ac:dyDescent="0.3">
      <c r="A2856" t="str">
        <f>HYPERLINK("https://webapp.icbf.com/v2/app/bull-search/view/448585450","UCK")</f>
        <v>UCK</v>
      </c>
      <c r="B2856" t="s">
        <v>11975</v>
      </c>
      <c r="C2856" t="s">
        <v>1784</v>
      </c>
      <c r="D2856" s="1">
        <v>36885</v>
      </c>
      <c r="E2856" t="s">
        <v>92</v>
      </c>
      <c r="F2856">
        <v>100</v>
      </c>
      <c r="G2856" t="s">
        <v>93</v>
      </c>
      <c r="H2856">
        <v>7.96</v>
      </c>
      <c r="I2856">
        <v>94</v>
      </c>
      <c r="J2856">
        <v>10.77</v>
      </c>
      <c r="K2856">
        <v>98</v>
      </c>
      <c r="L2856">
        <v>-40.21</v>
      </c>
      <c r="M2856">
        <v>94</v>
      </c>
      <c r="N2856">
        <v>43.39</v>
      </c>
      <c r="O2856">
        <v>93</v>
      </c>
      <c r="P2856">
        <v>-7.3</v>
      </c>
      <c r="Q2856">
        <v>95</v>
      </c>
      <c r="R2856">
        <v>-1.7</v>
      </c>
      <c r="S2856">
        <v>87</v>
      </c>
      <c r="T2856">
        <v>5.24</v>
      </c>
      <c r="U2856">
        <v>92</v>
      </c>
      <c r="V2856">
        <v>-2.23</v>
      </c>
      <c r="W2856">
        <v>83</v>
      </c>
      <c r="X2856" t="s">
        <v>131</v>
      </c>
      <c r="Y2856" t="s">
        <v>95</v>
      </c>
      <c r="Z2856" t="s">
        <v>96</v>
      </c>
      <c r="AA2856" t="s">
        <v>289</v>
      </c>
      <c r="AB2856" t="s">
        <v>11976</v>
      </c>
      <c r="AC2856">
        <v>223</v>
      </c>
      <c r="AD2856">
        <v>77</v>
      </c>
      <c r="AE2856">
        <v>98</v>
      </c>
      <c r="AF2856">
        <v>433.21</v>
      </c>
      <c r="AG2856">
        <v>5.01</v>
      </c>
      <c r="AH2856">
        <v>6.69</v>
      </c>
      <c r="AI2856">
        <v>-0.19</v>
      </c>
      <c r="AJ2856">
        <v>-0.13</v>
      </c>
      <c r="AK2856">
        <v>94</v>
      </c>
      <c r="AL2856">
        <v>185</v>
      </c>
      <c r="AM2856">
        <v>74</v>
      </c>
      <c r="AN2856">
        <v>1.93</v>
      </c>
      <c r="AO2856">
        <v>-1.28</v>
      </c>
      <c r="AP2856">
        <v>339</v>
      </c>
      <c r="AQ2856">
        <v>0</v>
      </c>
      <c r="AR2856">
        <v>5.68</v>
      </c>
      <c r="AS2856">
        <v>92</v>
      </c>
      <c r="AT2856">
        <v>2.54</v>
      </c>
      <c r="AU2856">
        <v>99</v>
      </c>
      <c r="AV2856">
        <v>-4.8600000000000003</v>
      </c>
      <c r="AW2856">
        <v>96</v>
      </c>
      <c r="AX2856">
        <v>-0.21</v>
      </c>
      <c r="AY2856">
        <v>91</v>
      </c>
      <c r="AZ2856">
        <v>7.03</v>
      </c>
      <c r="BA2856">
        <v>82</v>
      </c>
      <c r="BB2856">
        <v>5.78</v>
      </c>
      <c r="BC2856">
        <v>80</v>
      </c>
      <c r="BD2856">
        <v>0</v>
      </c>
      <c r="BE2856">
        <v>0.01</v>
      </c>
      <c r="BF2856">
        <v>0.02</v>
      </c>
      <c r="BG2856">
        <v>95</v>
      </c>
      <c r="BH2856">
        <v>-0.14000000000000001</v>
      </c>
      <c r="BI2856">
        <v>-8.99</v>
      </c>
      <c r="BJ2856">
        <v>143</v>
      </c>
      <c r="BK2856">
        <v>50</v>
      </c>
      <c r="BL2856">
        <v>0.81</v>
      </c>
      <c r="BM2856">
        <v>-1.99</v>
      </c>
      <c r="BN2856">
        <v>-1.1200000000000001</v>
      </c>
      <c r="BO2856">
        <v>0.66</v>
      </c>
      <c r="BP2856">
        <v>1.64</v>
      </c>
      <c r="BQ2856">
        <v>-0.81</v>
      </c>
      <c r="BR2856">
        <v>-1.1499999999999999</v>
      </c>
      <c r="BS2856">
        <v>1.27</v>
      </c>
      <c r="BT2856">
        <v>1.34</v>
      </c>
      <c r="BU2856">
        <v>1.29</v>
      </c>
      <c r="BV2856">
        <v>2.06</v>
      </c>
      <c r="BW2856">
        <v>2.4300000000000002</v>
      </c>
      <c r="BX2856">
        <v>1.63</v>
      </c>
      <c r="BY2856">
        <v>1.17</v>
      </c>
      <c r="BZ2856">
        <v>-0.41</v>
      </c>
      <c r="CA2856">
        <v>1.52</v>
      </c>
      <c r="CB2856">
        <v>1.45</v>
      </c>
      <c r="CC2856">
        <v>0.95</v>
      </c>
      <c r="CD2856">
        <v>-0.84</v>
      </c>
      <c r="CE2856">
        <v>0.79</v>
      </c>
      <c r="CF2856">
        <v>0.03</v>
      </c>
      <c r="CG2856">
        <v>0</v>
      </c>
      <c r="CH2856">
        <v>1.17</v>
      </c>
      <c r="CI2856">
        <v>0</v>
      </c>
      <c r="CJ2856">
        <v>-0.7</v>
      </c>
      <c r="CK2856">
        <v>95</v>
      </c>
      <c r="CL2856">
        <v>-1.23</v>
      </c>
      <c r="CM2856">
        <v>94</v>
      </c>
      <c r="CN2856">
        <v>-0.57999999999999996</v>
      </c>
      <c r="CO2856">
        <v>94</v>
      </c>
      <c r="CP2856">
        <v>-2.9</v>
      </c>
      <c r="CQ2856">
        <v>95</v>
      </c>
      <c r="CR2856">
        <v>0</v>
      </c>
      <c r="CS2856">
        <v>0</v>
      </c>
      <c r="CT2856">
        <v>6.7</v>
      </c>
      <c r="CU2856">
        <v>92</v>
      </c>
      <c r="CV2856">
        <v>0.36</v>
      </c>
      <c r="CW2856">
        <v>45</v>
      </c>
      <c r="CX2856" t="s">
        <v>596</v>
      </c>
    </row>
    <row r="2857" spans="1:102" x14ac:dyDescent="0.3">
      <c r="A2857" t="str">
        <f>HYPERLINK("https://webapp.icbf.com/v2/app/bull-search/view/381912973","BXU")</f>
        <v>BXU</v>
      </c>
      <c r="B2857" t="s">
        <v>11879</v>
      </c>
      <c r="C2857" t="s">
        <v>11880</v>
      </c>
      <c r="D2857" s="1">
        <v>35761</v>
      </c>
      <c r="E2857" t="s">
        <v>92</v>
      </c>
      <c r="F2857">
        <v>100</v>
      </c>
      <c r="G2857" t="s">
        <v>109</v>
      </c>
      <c r="H2857">
        <v>7.93</v>
      </c>
      <c r="I2857">
        <v>76</v>
      </c>
      <c r="J2857">
        <v>43.84</v>
      </c>
      <c r="K2857">
        <v>89</v>
      </c>
      <c r="L2857">
        <v>-59.28</v>
      </c>
      <c r="M2857">
        <v>72</v>
      </c>
      <c r="N2857">
        <v>15.56</v>
      </c>
      <c r="O2857">
        <v>64</v>
      </c>
      <c r="P2857">
        <v>-6.5</v>
      </c>
      <c r="Q2857">
        <v>83</v>
      </c>
      <c r="R2857">
        <v>-3.64</v>
      </c>
      <c r="S2857">
        <v>67</v>
      </c>
      <c r="T2857">
        <v>22.63</v>
      </c>
      <c r="U2857">
        <v>69</v>
      </c>
      <c r="V2857">
        <v>-4.68</v>
      </c>
      <c r="W2857">
        <v>52</v>
      </c>
      <c r="X2857" t="s">
        <v>102</v>
      </c>
      <c r="Y2857" t="s">
        <v>95</v>
      </c>
      <c r="Z2857" t="s">
        <v>96</v>
      </c>
      <c r="AA2857" t="s">
        <v>755</v>
      </c>
      <c r="AB2857" t="s">
        <v>11881</v>
      </c>
      <c r="AC2857">
        <v>37</v>
      </c>
      <c r="AD2857">
        <v>13</v>
      </c>
      <c r="AE2857">
        <v>89</v>
      </c>
      <c r="AF2857">
        <v>129.44</v>
      </c>
      <c r="AG2857">
        <v>13.45</v>
      </c>
      <c r="AH2857">
        <v>4.68</v>
      </c>
      <c r="AI2857">
        <v>0.14000000000000001</v>
      </c>
      <c r="AJ2857">
        <v>0</v>
      </c>
      <c r="AK2857">
        <v>72</v>
      </c>
      <c r="AL2857">
        <v>40</v>
      </c>
      <c r="AM2857">
        <v>17</v>
      </c>
      <c r="AN2857">
        <v>3.04</v>
      </c>
      <c r="AO2857">
        <v>-1.69</v>
      </c>
      <c r="AP2857">
        <v>43</v>
      </c>
      <c r="AQ2857">
        <v>2</v>
      </c>
      <c r="AR2857">
        <v>5.79</v>
      </c>
      <c r="AS2857">
        <v>46</v>
      </c>
      <c r="AT2857">
        <v>2.72</v>
      </c>
      <c r="AU2857">
        <v>64</v>
      </c>
      <c r="AV2857">
        <v>-0.61</v>
      </c>
      <c r="AW2857">
        <v>74</v>
      </c>
      <c r="AX2857">
        <v>-0.62</v>
      </c>
      <c r="AY2857">
        <v>62</v>
      </c>
      <c r="AZ2857">
        <v>6.02</v>
      </c>
      <c r="BA2857">
        <v>47</v>
      </c>
      <c r="BB2857">
        <v>4.84</v>
      </c>
      <c r="BC2857">
        <v>49</v>
      </c>
      <c r="BD2857">
        <v>0.01</v>
      </c>
      <c r="BE2857">
        <v>0.03</v>
      </c>
      <c r="BF2857">
        <v>0.01</v>
      </c>
      <c r="BG2857">
        <v>81</v>
      </c>
      <c r="BH2857">
        <v>0.01</v>
      </c>
      <c r="BI2857">
        <v>16.239999999999998</v>
      </c>
      <c r="BJ2857">
        <v>3</v>
      </c>
      <c r="BK2857">
        <v>3</v>
      </c>
      <c r="BL2857">
        <v>0.02</v>
      </c>
      <c r="BM2857">
        <v>0.24</v>
      </c>
      <c r="BN2857">
        <v>-0.34</v>
      </c>
      <c r="BO2857">
        <v>0.6</v>
      </c>
      <c r="BP2857">
        <v>-0.75</v>
      </c>
      <c r="BQ2857">
        <v>0.2</v>
      </c>
      <c r="BR2857">
        <v>0.56000000000000005</v>
      </c>
      <c r="BS2857">
        <v>0.62</v>
      </c>
      <c r="BT2857">
        <v>0.52</v>
      </c>
      <c r="BU2857">
        <v>0.4</v>
      </c>
      <c r="BV2857">
        <v>-0.37</v>
      </c>
      <c r="BW2857">
        <v>-0.27</v>
      </c>
      <c r="BX2857">
        <v>0.39</v>
      </c>
      <c r="BY2857">
        <v>1.1000000000000001</v>
      </c>
      <c r="BZ2857">
        <v>-0.74</v>
      </c>
      <c r="CA2857">
        <v>0.26</v>
      </c>
      <c r="CB2857">
        <v>0.2</v>
      </c>
      <c r="CC2857">
        <v>0.25</v>
      </c>
      <c r="CD2857">
        <v>-0.35</v>
      </c>
      <c r="CE2857">
        <v>0.6</v>
      </c>
      <c r="CF2857">
        <v>0.13</v>
      </c>
      <c r="CG2857">
        <v>0</v>
      </c>
      <c r="CH2857">
        <v>0.92</v>
      </c>
      <c r="CI2857">
        <v>0</v>
      </c>
      <c r="CJ2857">
        <v>-1.6</v>
      </c>
      <c r="CK2857">
        <v>85</v>
      </c>
      <c r="CL2857">
        <v>-0.63</v>
      </c>
      <c r="CM2857">
        <v>82</v>
      </c>
      <c r="CN2857">
        <v>-0.28000000000000003</v>
      </c>
      <c r="CO2857">
        <v>80</v>
      </c>
      <c r="CP2857">
        <v>-7.1</v>
      </c>
      <c r="CQ2857">
        <v>79</v>
      </c>
      <c r="CR2857">
        <v>0</v>
      </c>
      <c r="CS2857">
        <v>0</v>
      </c>
      <c r="CT2857">
        <v>-16.8</v>
      </c>
      <c r="CU2857">
        <v>69</v>
      </c>
      <c r="CV2857">
        <v>0.15</v>
      </c>
      <c r="CW2857">
        <v>24</v>
      </c>
      <c r="CX2857" t="s">
        <v>954</v>
      </c>
    </row>
    <row r="2858" spans="1:102" x14ac:dyDescent="0.3">
      <c r="A2858" t="str">
        <f>HYPERLINK("https://webapp.icbf.com/v2/app/bull-search/view/440924434","HNI")</f>
        <v>HNI</v>
      </c>
      <c r="B2858" t="s">
        <v>14841</v>
      </c>
      <c r="C2858" t="s">
        <v>14842</v>
      </c>
      <c r="D2858" s="1">
        <v>38749</v>
      </c>
      <c r="E2858" t="s">
        <v>92</v>
      </c>
      <c r="F2858">
        <v>91</v>
      </c>
      <c r="G2858" t="s">
        <v>93</v>
      </c>
      <c r="H2858">
        <v>7.78</v>
      </c>
      <c r="I2858">
        <v>88</v>
      </c>
      <c r="J2858">
        <v>3.79</v>
      </c>
      <c r="K2858">
        <v>97</v>
      </c>
      <c r="L2858">
        <v>-13.29</v>
      </c>
      <c r="M2858">
        <v>79</v>
      </c>
      <c r="N2858">
        <v>19.2</v>
      </c>
      <c r="O2858">
        <v>86</v>
      </c>
      <c r="P2858">
        <v>-4.53</v>
      </c>
      <c r="Q2858">
        <v>91</v>
      </c>
      <c r="R2858">
        <v>-3.73</v>
      </c>
      <c r="S2858">
        <v>82</v>
      </c>
      <c r="T2858">
        <v>7.09</v>
      </c>
      <c r="U2858">
        <v>91</v>
      </c>
      <c r="V2858">
        <v>-0.75</v>
      </c>
      <c r="W2858">
        <v>81</v>
      </c>
      <c r="X2858" t="s">
        <v>94</v>
      </c>
      <c r="Y2858" t="s">
        <v>1251</v>
      </c>
      <c r="Z2858" t="s">
        <v>96</v>
      </c>
      <c r="AA2858" t="s">
        <v>1165</v>
      </c>
      <c r="AB2858" t="s">
        <v>14843</v>
      </c>
      <c r="AC2858">
        <v>98</v>
      </c>
      <c r="AD2858">
        <v>67</v>
      </c>
      <c r="AE2858">
        <v>97</v>
      </c>
      <c r="AF2858">
        <v>-149.91</v>
      </c>
      <c r="AG2858">
        <v>3.9</v>
      </c>
      <c r="AH2858">
        <v>-3.03</v>
      </c>
      <c r="AI2858">
        <v>0.17</v>
      </c>
      <c r="AJ2858">
        <v>0.04</v>
      </c>
      <c r="AK2858">
        <v>79</v>
      </c>
      <c r="AL2858">
        <v>107</v>
      </c>
      <c r="AM2858">
        <v>64</v>
      </c>
      <c r="AN2858">
        <v>1.48</v>
      </c>
      <c r="AO2858">
        <v>0.43</v>
      </c>
      <c r="AP2858">
        <v>205</v>
      </c>
      <c r="AQ2858">
        <v>2</v>
      </c>
      <c r="AR2858">
        <v>7.24</v>
      </c>
      <c r="AS2858">
        <v>69</v>
      </c>
      <c r="AT2858">
        <v>2.8</v>
      </c>
      <c r="AU2858">
        <v>88</v>
      </c>
      <c r="AV2858">
        <v>-1.62</v>
      </c>
      <c r="AW2858">
        <v>96</v>
      </c>
      <c r="AX2858">
        <v>-0.72</v>
      </c>
      <c r="AY2858">
        <v>82</v>
      </c>
      <c r="AZ2858">
        <v>6.35</v>
      </c>
      <c r="BA2858">
        <v>65</v>
      </c>
      <c r="BB2858">
        <v>4.87</v>
      </c>
      <c r="BC2858">
        <v>69</v>
      </c>
      <c r="BD2858">
        <v>0.04</v>
      </c>
      <c r="BE2858">
        <v>0.01</v>
      </c>
      <c r="BF2858">
        <v>0</v>
      </c>
      <c r="BG2858">
        <v>88</v>
      </c>
      <c r="BH2858">
        <v>-0.1</v>
      </c>
      <c r="BI2858">
        <v>-9.16</v>
      </c>
      <c r="BJ2858">
        <v>9</v>
      </c>
      <c r="BK2858">
        <v>9</v>
      </c>
      <c r="BL2858">
        <v>0.56999999999999995</v>
      </c>
      <c r="BM2858">
        <v>0.33</v>
      </c>
      <c r="BN2858">
        <v>0.49</v>
      </c>
      <c r="BO2858">
        <v>-0.01</v>
      </c>
      <c r="BP2858">
        <v>1.76</v>
      </c>
      <c r="BQ2858">
        <v>0.13</v>
      </c>
      <c r="BR2858">
        <v>-0.28000000000000003</v>
      </c>
      <c r="BS2858">
        <v>0.18</v>
      </c>
      <c r="BT2858">
        <v>-0.23</v>
      </c>
      <c r="BU2858">
        <v>-0.91</v>
      </c>
      <c r="BV2858">
        <v>-0.13</v>
      </c>
      <c r="BW2858">
        <v>-0.44</v>
      </c>
      <c r="BX2858">
        <v>-0.34</v>
      </c>
      <c r="BY2858">
        <v>-0.51</v>
      </c>
      <c r="BZ2858">
        <v>0.1</v>
      </c>
      <c r="CA2858">
        <v>-0.5</v>
      </c>
      <c r="CB2858">
        <v>-0.27</v>
      </c>
      <c r="CC2858">
        <v>-0.73</v>
      </c>
      <c r="CD2858">
        <v>0.19</v>
      </c>
      <c r="CE2858">
        <v>0.18</v>
      </c>
      <c r="CF2858">
        <v>-0.06</v>
      </c>
      <c r="CG2858">
        <v>0</v>
      </c>
      <c r="CH2858">
        <v>-1.31</v>
      </c>
      <c r="CI2858">
        <v>0</v>
      </c>
      <c r="CJ2858">
        <v>1.4</v>
      </c>
      <c r="CK2858">
        <v>92</v>
      </c>
      <c r="CL2858">
        <v>-0.77</v>
      </c>
      <c r="CM2858">
        <v>91</v>
      </c>
      <c r="CN2858">
        <v>-0.16</v>
      </c>
      <c r="CO2858">
        <v>89</v>
      </c>
      <c r="CP2858">
        <v>-2.6</v>
      </c>
      <c r="CQ2858">
        <v>91</v>
      </c>
      <c r="CR2858">
        <v>0</v>
      </c>
      <c r="CS2858">
        <v>0</v>
      </c>
      <c r="CT2858">
        <v>4.2</v>
      </c>
      <c r="CU2858">
        <v>91</v>
      </c>
      <c r="CV2858">
        <v>0.28999999999999998</v>
      </c>
      <c r="CW2858">
        <v>46</v>
      </c>
      <c r="CX2858" t="s">
        <v>8452</v>
      </c>
    </row>
    <row r="2859" spans="1:102" x14ac:dyDescent="0.3">
      <c r="A2859" t="str">
        <f>HYPERLINK("https://webapp.icbf.com/v2/app/bull-search/view/146113957","TIA")</f>
        <v>TIA</v>
      </c>
      <c r="B2859" t="s">
        <v>4712</v>
      </c>
      <c r="C2859" t="s">
        <v>4713</v>
      </c>
      <c r="D2859" s="1">
        <v>36014</v>
      </c>
      <c r="E2859" t="s">
        <v>92</v>
      </c>
      <c r="F2859">
        <v>75</v>
      </c>
      <c r="G2859" t="s">
        <v>93</v>
      </c>
      <c r="H2859">
        <v>7.61</v>
      </c>
      <c r="I2859">
        <v>91</v>
      </c>
      <c r="J2859">
        <v>52.22</v>
      </c>
      <c r="K2859">
        <v>97</v>
      </c>
      <c r="L2859">
        <v>-65.16</v>
      </c>
      <c r="M2859">
        <v>88</v>
      </c>
      <c r="N2859">
        <v>21.71</v>
      </c>
      <c r="O2859">
        <v>86</v>
      </c>
      <c r="P2859">
        <v>-17.95</v>
      </c>
      <c r="Q2859">
        <v>94</v>
      </c>
      <c r="R2859">
        <v>-10.32</v>
      </c>
      <c r="S2859">
        <v>82</v>
      </c>
      <c r="T2859">
        <v>23.08</v>
      </c>
      <c r="U2859">
        <v>91</v>
      </c>
      <c r="V2859">
        <v>4.03</v>
      </c>
      <c r="W2859">
        <v>78</v>
      </c>
      <c r="X2859" t="s">
        <v>302</v>
      </c>
      <c r="Y2859" t="s">
        <v>95</v>
      </c>
      <c r="Z2859" t="s">
        <v>330</v>
      </c>
      <c r="AA2859" t="s">
        <v>2438</v>
      </c>
      <c r="AB2859" t="s">
        <v>4714</v>
      </c>
      <c r="AC2859">
        <v>114</v>
      </c>
      <c r="AD2859">
        <v>50</v>
      </c>
      <c r="AE2859">
        <v>97</v>
      </c>
      <c r="AF2859">
        <v>350.22</v>
      </c>
      <c r="AG2859">
        <v>8.5399999999999991</v>
      </c>
      <c r="AH2859">
        <v>11.22</v>
      </c>
      <c r="AI2859">
        <v>-0.08</v>
      </c>
      <c r="AJ2859">
        <v>-0.01</v>
      </c>
      <c r="AK2859">
        <v>88</v>
      </c>
      <c r="AL2859">
        <v>120</v>
      </c>
      <c r="AM2859">
        <v>63</v>
      </c>
      <c r="AN2859">
        <v>2.48</v>
      </c>
      <c r="AO2859">
        <v>-2.73</v>
      </c>
      <c r="AP2859">
        <v>182</v>
      </c>
      <c r="AQ2859">
        <v>4</v>
      </c>
      <c r="AR2859">
        <v>7.14</v>
      </c>
      <c r="AS2859">
        <v>79</v>
      </c>
      <c r="AT2859">
        <v>2.5499999999999998</v>
      </c>
      <c r="AU2859">
        <v>89</v>
      </c>
      <c r="AV2859">
        <v>-1.75</v>
      </c>
      <c r="AW2859">
        <v>93</v>
      </c>
      <c r="AX2859">
        <v>-0.84</v>
      </c>
      <c r="AY2859">
        <v>85</v>
      </c>
      <c r="AZ2859">
        <v>6.47</v>
      </c>
      <c r="BA2859">
        <v>66</v>
      </c>
      <c r="BB2859">
        <v>5.04</v>
      </c>
      <c r="BC2859">
        <v>68</v>
      </c>
      <c r="BD2859">
        <v>-0.04</v>
      </c>
      <c r="BE2859">
        <v>0.06</v>
      </c>
      <c r="BF2859">
        <v>0.19</v>
      </c>
      <c r="BG2859">
        <v>91</v>
      </c>
      <c r="BH2859">
        <v>7.0000000000000007E-2</v>
      </c>
      <c r="BI2859">
        <v>-4.91</v>
      </c>
      <c r="BJ2859">
        <v>3</v>
      </c>
      <c r="BK2859">
        <v>3</v>
      </c>
      <c r="BL2859">
        <v>-0.8</v>
      </c>
      <c r="BM2859">
        <v>0.49</v>
      </c>
      <c r="BN2859">
        <v>-0.03</v>
      </c>
      <c r="BO2859">
        <v>-0.85</v>
      </c>
      <c r="BP2859">
        <v>1.76</v>
      </c>
      <c r="BQ2859">
        <v>-1.54</v>
      </c>
      <c r="BR2859">
        <v>1.84</v>
      </c>
      <c r="BS2859">
        <v>-0.42</v>
      </c>
      <c r="BT2859">
        <v>-1.5</v>
      </c>
      <c r="BU2859">
        <v>-2.16</v>
      </c>
      <c r="BV2859">
        <v>-1.24</v>
      </c>
      <c r="BW2859">
        <v>-1.81</v>
      </c>
      <c r="BX2859">
        <v>-2.93</v>
      </c>
      <c r="BY2859">
        <v>-2.5499999999999998</v>
      </c>
      <c r="BZ2859">
        <v>0.23</v>
      </c>
      <c r="CA2859">
        <v>-1.65</v>
      </c>
      <c r="CB2859">
        <v>-1.61</v>
      </c>
      <c r="CC2859">
        <v>-0.84</v>
      </c>
      <c r="CD2859">
        <v>0.75</v>
      </c>
      <c r="CE2859">
        <v>-0.14000000000000001</v>
      </c>
      <c r="CF2859">
        <v>-0.56000000000000005</v>
      </c>
      <c r="CG2859">
        <v>0</v>
      </c>
      <c r="CH2859">
        <v>-3</v>
      </c>
      <c r="CI2859">
        <v>0</v>
      </c>
      <c r="CJ2859">
        <v>-7.7</v>
      </c>
      <c r="CK2859">
        <v>95</v>
      </c>
      <c r="CL2859">
        <v>-0.66</v>
      </c>
      <c r="CM2859">
        <v>93</v>
      </c>
      <c r="CN2859">
        <v>-0.21</v>
      </c>
      <c r="CO2859">
        <v>92</v>
      </c>
      <c r="CP2859">
        <v>-19.8</v>
      </c>
      <c r="CQ2859">
        <v>92</v>
      </c>
      <c r="CR2859">
        <v>0</v>
      </c>
      <c r="CS2859">
        <v>0</v>
      </c>
      <c r="CT2859">
        <v>-17.399999999999999</v>
      </c>
      <c r="CU2859">
        <v>91</v>
      </c>
      <c r="CV2859">
        <v>0.06</v>
      </c>
      <c r="CW2859">
        <v>45</v>
      </c>
      <c r="CX2859" t="s">
        <v>1618</v>
      </c>
    </row>
    <row r="2860" spans="1:102" x14ac:dyDescent="0.3">
      <c r="A2860" t="str">
        <f>HYPERLINK("https://webapp.icbf.com/v2/app/bull-search/view/386624658","RNX")</f>
        <v>RNX</v>
      </c>
      <c r="B2860" t="s">
        <v>2909</v>
      </c>
      <c r="C2860" t="s">
        <v>304</v>
      </c>
      <c r="D2860" s="1">
        <v>35065</v>
      </c>
      <c r="E2860" t="s">
        <v>146</v>
      </c>
      <c r="F2860">
        <v>0</v>
      </c>
      <c r="G2860" t="s">
        <v>93</v>
      </c>
      <c r="H2860">
        <v>7.6</v>
      </c>
      <c r="I2860">
        <v>76</v>
      </c>
      <c r="J2860">
        <v>-48.04</v>
      </c>
      <c r="K2860">
        <v>90</v>
      </c>
      <c r="L2860">
        <v>13.37</v>
      </c>
      <c r="M2860">
        <v>65</v>
      </c>
      <c r="N2860">
        <v>28.25</v>
      </c>
      <c r="O2860">
        <v>72</v>
      </c>
      <c r="P2860">
        <v>5.51</v>
      </c>
      <c r="Q2860">
        <v>89</v>
      </c>
      <c r="R2860">
        <v>-0.38</v>
      </c>
      <c r="S2860">
        <v>70</v>
      </c>
      <c r="T2860">
        <v>17.97</v>
      </c>
      <c r="U2860">
        <v>74</v>
      </c>
      <c r="V2860">
        <v>-9.08</v>
      </c>
      <c r="W2860">
        <v>56</v>
      </c>
      <c r="X2860" t="s">
        <v>276</v>
      </c>
      <c r="Y2860" t="s">
        <v>95</v>
      </c>
      <c r="Z2860">
        <v>0</v>
      </c>
      <c r="AA2860" t="s">
        <v>147</v>
      </c>
      <c r="AB2860" t="s">
        <v>2910</v>
      </c>
      <c r="AC2860">
        <v>40</v>
      </c>
      <c r="AD2860">
        <v>18</v>
      </c>
      <c r="AE2860">
        <v>90</v>
      </c>
      <c r="AF2860">
        <v>-255.23</v>
      </c>
      <c r="AG2860">
        <v>-10.79</v>
      </c>
      <c r="AH2860">
        <v>-8.26</v>
      </c>
      <c r="AI2860">
        <v>-0.01</v>
      </c>
      <c r="AJ2860">
        <v>0.01</v>
      </c>
      <c r="AK2860">
        <v>65</v>
      </c>
      <c r="AL2860">
        <v>0</v>
      </c>
      <c r="AM2860">
        <v>0</v>
      </c>
      <c r="AN2860">
        <v>-1.21</v>
      </c>
      <c r="AO2860">
        <v>-0.15</v>
      </c>
      <c r="AP2860">
        <v>51</v>
      </c>
      <c r="AQ2860">
        <v>1</v>
      </c>
      <c r="AR2860">
        <v>4.6100000000000003</v>
      </c>
      <c r="AS2860">
        <v>61</v>
      </c>
      <c r="AT2860">
        <v>2.5099999999999998</v>
      </c>
      <c r="AU2860">
        <v>71</v>
      </c>
      <c r="AV2860">
        <v>-1.87</v>
      </c>
      <c r="AW2860">
        <v>83</v>
      </c>
      <c r="AX2860">
        <v>-0.34</v>
      </c>
      <c r="AY2860">
        <v>73</v>
      </c>
      <c r="AZ2860">
        <v>5.2</v>
      </c>
      <c r="BA2860">
        <v>45</v>
      </c>
      <c r="BB2860">
        <v>5.23</v>
      </c>
      <c r="BC2860">
        <v>52</v>
      </c>
      <c r="BD2860">
        <v>-0.02</v>
      </c>
      <c r="BE2860">
        <v>-0.02</v>
      </c>
      <c r="BF2860">
        <v>0.08</v>
      </c>
      <c r="BG2860">
        <v>85</v>
      </c>
      <c r="BH2860">
        <v>-0.23</v>
      </c>
      <c r="BI2860">
        <v>2.68</v>
      </c>
      <c r="BJ2860">
        <v>0</v>
      </c>
      <c r="BK2860">
        <v>0</v>
      </c>
      <c r="BL2860">
        <v>-2.44</v>
      </c>
      <c r="BM2860">
        <v>2.39</v>
      </c>
      <c r="BN2860">
        <v>-0.59</v>
      </c>
      <c r="BO2860">
        <v>-1.24</v>
      </c>
      <c r="BP2860">
        <v>2.88</v>
      </c>
      <c r="BQ2860">
        <v>-0.81</v>
      </c>
      <c r="BR2860">
        <v>0.45</v>
      </c>
      <c r="BS2860">
        <v>-0.55000000000000004</v>
      </c>
      <c r="BT2860">
        <v>-1.55</v>
      </c>
      <c r="BU2860">
        <v>-2.36</v>
      </c>
      <c r="BV2860">
        <v>-2.42</v>
      </c>
      <c r="BW2860">
        <v>-2.17</v>
      </c>
      <c r="BX2860">
        <v>-2.11</v>
      </c>
      <c r="BY2860">
        <v>-1.1299999999999999</v>
      </c>
      <c r="BZ2860">
        <v>1.98</v>
      </c>
      <c r="CA2860">
        <v>-2.2400000000000002</v>
      </c>
      <c r="CB2860">
        <v>-2.21</v>
      </c>
      <c r="CC2860">
        <v>-1.1200000000000001</v>
      </c>
      <c r="CD2860">
        <v>2.0099999999999998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-0.9</v>
      </c>
      <c r="CK2860">
        <v>90</v>
      </c>
      <c r="CL2860">
        <v>0.28999999999999998</v>
      </c>
      <c r="CM2860">
        <v>88</v>
      </c>
      <c r="CN2860">
        <v>-0.38</v>
      </c>
      <c r="CO2860">
        <v>86</v>
      </c>
      <c r="CP2860">
        <v>-4.5999999999999996</v>
      </c>
      <c r="CQ2860">
        <v>86</v>
      </c>
      <c r="CR2860">
        <v>0</v>
      </c>
      <c r="CS2860">
        <v>0</v>
      </c>
      <c r="CT2860">
        <v>-10.5</v>
      </c>
      <c r="CU2860">
        <v>74</v>
      </c>
      <c r="CV2860">
        <v>-0.25</v>
      </c>
      <c r="CW2860">
        <v>25</v>
      </c>
      <c r="CX2860" t="s">
        <v>2911</v>
      </c>
    </row>
    <row r="2861" spans="1:102" x14ac:dyDescent="0.3">
      <c r="A2861" t="str">
        <f>HYPERLINK("https://webapp.icbf.com/v2/app/bull-search/view/77859913","BRI")</f>
        <v>BRI</v>
      </c>
      <c r="B2861" t="s">
        <v>14314</v>
      </c>
      <c r="C2861" t="s">
        <v>14315</v>
      </c>
      <c r="D2861" s="1">
        <v>32463</v>
      </c>
      <c r="E2861" t="s">
        <v>92</v>
      </c>
      <c r="F2861">
        <v>100</v>
      </c>
      <c r="G2861" t="s">
        <v>93</v>
      </c>
      <c r="H2861">
        <v>7.56</v>
      </c>
      <c r="I2861">
        <v>93</v>
      </c>
      <c r="J2861">
        <v>-10.66</v>
      </c>
      <c r="K2861">
        <v>98</v>
      </c>
      <c r="L2861">
        <v>33.58</v>
      </c>
      <c r="M2861">
        <v>89</v>
      </c>
      <c r="N2861">
        <v>-12.08</v>
      </c>
      <c r="O2861">
        <v>88</v>
      </c>
      <c r="P2861">
        <v>-6.23</v>
      </c>
      <c r="Q2861">
        <v>96</v>
      </c>
      <c r="R2861">
        <v>4.3499999999999996</v>
      </c>
      <c r="S2861">
        <v>85</v>
      </c>
      <c r="T2861">
        <v>10.42</v>
      </c>
      <c r="U2861">
        <v>95</v>
      </c>
      <c r="V2861">
        <v>-11.82</v>
      </c>
      <c r="W2861">
        <v>86</v>
      </c>
      <c r="X2861" t="s">
        <v>234</v>
      </c>
      <c r="Y2861" t="s">
        <v>95</v>
      </c>
      <c r="Z2861" t="s">
        <v>96</v>
      </c>
      <c r="AA2861" t="s">
        <v>14316</v>
      </c>
      <c r="AB2861" t="s">
        <v>14317</v>
      </c>
      <c r="AC2861">
        <v>234</v>
      </c>
      <c r="AD2861">
        <v>109</v>
      </c>
      <c r="AE2861">
        <v>98</v>
      </c>
      <c r="AF2861">
        <v>-119.59</v>
      </c>
      <c r="AG2861">
        <v>2.42</v>
      </c>
      <c r="AH2861">
        <v>-4.5</v>
      </c>
      <c r="AI2861">
        <v>0.13</v>
      </c>
      <c r="AJ2861">
        <v>-0.01</v>
      </c>
      <c r="AK2861">
        <v>89</v>
      </c>
      <c r="AL2861">
        <v>328</v>
      </c>
      <c r="AM2861">
        <v>140</v>
      </c>
      <c r="AN2861">
        <v>-0.87</v>
      </c>
      <c r="AO2861">
        <v>1.82</v>
      </c>
      <c r="AP2861">
        <v>194</v>
      </c>
      <c r="AQ2861">
        <v>0</v>
      </c>
      <c r="AR2861">
        <v>8.24</v>
      </c>
      <c r="AS2861">
        <v>70</v>
      </c>
      <c r="AT2861">
        <v>3.19</v>
      </c>
      <c r="AU2861">
        <v>89</v>
      </c>
      <c r="AV2861">
        <v>1.33</v>
      </c>
      <c r="AW2861">
        <v>95</v>
      </c>
      <c r="AX2861">
        <v>-0.68</v>
      </c>
      <c r="AY2861">
        <v>90</v>
      </c>
      <c r="AZ2861">
        <v>6.88</v>
      </c>
      <c r="BA2861">
        <v>69</v>
      </c>
      <c r="BB2861">
        <v>5.08</v>
      </c>
      <c r="BC2861">
        <v>78</v>
      </c>
      <c r="BD2861">
        <v>-0.03</v>
      </c>
      <c r="BE2861">
        <v>0</v>
      </c>
      <c r="BF2861">
        <v>-0.05</v>
      </c>
      <c r="BG2861">
        <v>94</v>
      </c>
      <c r="BH2861">
        <v>-0.44</v>
      </c>
      <c r="BI2861">
        <v>-12.78</v>
      </c>
      <c r="BJ2861">
        <v>4</v>
      </c>
      <c r="BK2861">
        <v>3</v>
      </c>
      <c r="BL2861">
        <v>0.18</v>
      </c>
      <c r="BM2861">
        <v>1.03</v>
      </c>
      <c r="BN2861">
        <v>0.66</v>
      </c>
      <c r="BO2861">
        <v>-0.56999999999999995</v>
      </c>
      <c r="BP2861">
        <v>1.1399999999999999</v>
      </c>
      <c r="BQ2861">
        <v>0.37</v>
      </c>
      <c r="BR2861">
        <v>1.75</v>
      </c>
      <c r="BS2861">
        <v>-2.1800000000000002</v>
      </c>
      <c r="BT2861">
        <v>-2.2400000000000002</v>
      </c>
      <c r="BU2861">
        <v>-2.25</v>
      </c>
      <c r="BV2861">
        <v>-2.02</v>
      </c>
      <c r="BW2861">
        <v>-1.47</v>
      </c>
      <c r="BX2861">
        <v>-1.76</v>
      </c>
      <c r="BY2861">
        <v>-1.87</v>
      </c>
      <c r="BZ2861">
        <v>0.68</v>
      </c>
      <c r="CA2861">
        <v>-1.89</v>
      </c>
      <c r="CB2861">
        <v>-2.11</v>
      </c>
      <c r="CC2861">
        <v>-2.17</v>
      </c>
      <c r="CD2861">
        <v>0.81</v>
      </c>
      <c r="CE2861">
        <v>-0.26</v>
      </c>
      <c r="CF2861">
        <v>-0.31</v>
      </c>
      <c r="CG2861">
        <v>0</v>
      </c>
      <c r="CH2861">
        <v>-1.85</v>
      </c>
      <c r="CI2861">
        <v>0</v>
      </c>
      <c r="CJ2861">
        <v>-1.7</v>
      </c>
      <c r="CK2861">
        <v>96</v>
      </c>
      <c r="CL2861">
        <v>-0.64</v>
      </c>
      <c r="CM2861">
        <v>95</v>
      </c>
      <c r="CN2861">
        <v>-0.3</v>
      </c>
      <c r="CO2861">
        <v>95</v>
      </c>
      <c r="CP2861">
        <v>-5.3</v>
      </c>
      <c r="CQ2861">
        <v>95</v>
      </c>
      <c r="CR2861">
        <v>0</v>
      </c>
      <c r="CS2861">
        <v>0</v>
      </c>
      <c r="CT2861">
        <v>-0.3</v>
      </c>
      <c r="CU2861">
        <v>95</v>
      </c>
      <c r="CV2861">
        <v>0.08</v>
      </c>
      <c r="CW2861">
        <v>45</v>
      </c>
      <c r="CX2861" t="s">
        <v>14318</v>
      </c>
    </row>
    <row r="2862" spans="1:102" x14ac:dyDescent="0.3">
      <c r="A2862" t="str">
        <f>HYPERLINK("https://webapp.icbf.com/v2/app/bull-search/view/77857906","FJR")</f>
        <v>FJR</v>
      </c>
      <c r="B2862" t="s">
        <v>9858</v>
      </c>
      <c r="C2862" t="s">
        <v>9859</v>
      </c>
      <c r="D2862" s="1">
        <v>32407</v>
      </c>
      <c r="E2862" t="s">
        <v>92</v>
      </c>
      <c r="F2862">
        <v>100</v>
      </c>
      <c r="G2862" t="s">
        <v>93</v>
      </c>
      <c r="H2862">
        <v>7.31</v>
      </c>
      <c r="I2862">
        <v>89</v>
      </c>
      <c r="J2862">
        <v>51.75</v>
      </c>
      <c r="K2862">
        <v>97</v>
      </c>
      <c r="L2862">
        <v>-25.41</v>
      </c>
      <c r="M2862">
        <v>90</v>
      </c>
      <c r="N2862">
        <v>15.63</v>
      </c>
      <c r="O2862">
        <v>79</v>
      </c>
      <c r="P2862">
        <v>-11.63</v>
      </c>
      <c r="Q2862">
        <v>88</v>
      </c>
      <c r="R2862">
        <v>-11.34</v>
      </c>
      <c r="S2862">
        <v>80</v>
      </c>
      <c r="T2862">
        <v>-2.0099999999999998</v>
      </c>
      <c r="U2862">
        <v>83</v>
      </c>
      <c r="V2862">
        <v>-9.68</v>
      </c>
      <c r="W2862">
        <v>61</v>
      </c>
      <c r="X2862" t="s">
        <v>94</v>
      </c>
      <c r="Y2862" t="s">
        <v>95</v>
      </c>
      <c r="Z2862" t="s">
        <v>96</v>
      </c>
      <c r="AA2862" t="s">
        <v>552</v>
      </c>
      <c r="AB2862" t="s">
        <v>9860</v>
      </c>
      <c r="AC2862">
        <v>183</v>
      </c>
      <c r="AD2862">
        <v>85</v>
      </c>
      <c r="AE2862">
        <v>97</v>
      </c>
      <c r="AF2862">
        <v>-220.57</v>
      </c>
      <c r="AG2862">
        <v>18.899999999999999</v>
      </c>
      <c r="AH2862">
        <v>-1.26</v>
      </c>
      <c r="AI2862">
        <v>0.5</v>
      </c>
      <c r="AJ2862">
        <v>0.11</v>
      </c>
      <c r="AK2862">
        <v>90</v>
      </c>
      <c r="AL2862">
        <v>260</v>
      </c>
      <c r="AM2862">
        <v>118</v>
      </c>
      <c r="AN2862">
        <v>0.33</v>
      </c>
      <c r="AO2862">
        <v>-1.71</v>
      </c>
      <c r="AP2862">
        <v>34</v>
      </c>
      <c r="AQ2862">
        <v>0</v>
      </c>
      <c r="AR2862">
        <v>4.57</v>
      </c>
      <c r="AS2862">
        <v>62</v>
      </c>
      <c r="AT2862">
        <v>1.9</v>
      </c>
      <c r="AU2862">
        <v>84</v>
      </c>
      <c r="AV2862">
        <v>-0.7</v>
      </c>
      <c r="AW2862">
        <v>82</v>
      </c>
      <c r="AX2862">
        <v>-0.09</v>
      </c>
      <c r="AY2862">
        <v>86</v>
      </c>
      <c r="AZ2862">
        <v>6.88</v>
      </c>
      <c r="BA2862">
        <v>56</v>
      </c>
      <c r="BB2862">
        <v>6</v>
      </c>
      <c r="BC2862">
        <v>73</v>
      </c>
      <c r="BD2862">
        <v>0.04</v>
      </c>
      <c r="BE2862">
        <v>0.06</v>
      </c>
      <c r="BF2862">
        <v>0.08</v>
      </c>
      <c r="BG2862">
        <v>95</v>
      </c>
      <c r="BH2862">
        <v>-0.26</v>
      </c>
      <c r="BI2862">
        <v>1.1399999999999999</v>
      </c>
      <c r="BJ2862">
        <v>13</v>
      </c>
      <c r="BK2862">
        <v>8</v>
      </c>
      <c r="BL2862">
        <v>0.9</v>
      </c>
      <c r="BM2862">
        <v>0.57999999999999996</v>
      </c>
      <c r="BN2862">
        <v>1.1000000000000001</v>
      </c>
      <c r="BO2862">
        <v>-0.34</v>
      </c>
      <c r="BP2862">
        <v>1.66</v>
      </c>
      <c r="BQ2862">
        <v>1.29</v>
      </c>
      <c r="BR2862">
        <v>-0.5</v>
      </c>
      <c r="BS2862">
        <v>-1.48</v>
      </c>
      <c r="BT2862">
        <v>0.68</v>
      </c>
      <c r="BU2862">
        <v>-0.5</v>
      </c>
      <c r="BV2862">
        <v>-1.07</v>
      </c>
      <c r="BW2862">
        <v>-1.47</v>
      </c>
      <c r="BX2862">
        <v>-0.39</v>
      </c>
      <c r="BY2862">
        <v>-0.59</v>
      </c>
      <c r="BZ2862">
        <v>1.1299999999999999</v>
      </c>
      <c r="CA2862">
        <v>-1.1200000000000001</v>
      </c>
      <c r="CB2862">
        <v>-1.17</v>
      </c>
      <c r="CC2862">
        <v>-0.67</v>
      </c>
      <c r="CD2862">
        <v>0.68</v>
      </c>
      <c r="CE2862">
        <v>0.21</v>
      </c>
      <c r="CF2862">
        <v>1.05</v>
      </c>
      <c r="CG2862">
        <v>0</v>
      </c>
      <c r="CH2862">
        <v>-0.5</v>
      </c>
      <c r="CI2862">
        <v>0</v>
      </c>
      <c r="CJ2862">
        <v>-4.2</v>
      </c>
      <c r="CK2862">
        <v>89</v>
      </c>
      <c r="CL2862">
        <v>-0.71</v>
      </c>
      <c r="CM2862">
        <v>87</v>
      </c>
      <c r="CN2862">
        <v>-0.11</v>
      </c>
      <c r="CO2862">
        <v>85</v>
      </c>
      <c r="CP2862">
        <v>1.4</v>
      </c>
      <c r="CQ2862">
        <v>91</v>
      </c>
      <c r="CR2862">
        <v>0</v>
      </c>
      <c r="CS2862">
        <v>0</v>
      </c>
      <c r="CT2862">
        <v>16.5</v>
      </c>
      <c r="CU2862">
        <v>83</v>
      </c>
      <c r="CV2862">
        <v>0.02</v>
      </c>
      <c r="CW2862">
        <v>43</v>
      </c>
      <c r="CX2862" t="s">
        <v>163</v>
      </c>
    </row>
    <row r="2863" spans="1:102" x14ac:dyDescent="0.3">
      <c r="A2863" t="str">
        <f>HYPERLINK("https://webapp.icbf.com/v2/app/bull-search/view/120439719","KAP")</f>
        <v>KAP</v>
      </c>
      <c r="B2863" t="s">
        <v>14844</v>
      </c>
      <c r="C2863" t="s">
        <v>14845</v>
      </c>
      <c r="D2863" s="1">
        <v>34913</v>
      </c>
      <c r="E2863" t="s">
        <v>92</v>
      </c>
      <c r="F2863">
        <v>100</v>
      </c>
      <c r="G2863" t="s">
        <v>93</v>
      </c>
      <c r="H2863">
        <v>7.08</v>
      </c>
      <c r="I2863">
        <v>93</v>
      </c>
      <c r="J2863">
        <v>45.83</v>
      </c>
      <c r="K2863">
        <v>98</v>
      </c>
      <c r="L2863">
        <v>-70.84</v>
      </c>
      <c r="M2863">
        <v>88</v>
      </c>
      <c r="N2863">
        <v>23.18</v>
      </c>
      <c r="O2863">
        <v>91</v>
      </c>
      <c r="P2863">
        <v>-16.78</v>
      </c>
      <c r="Q2863">
        <v>97</v>
      </c>
      <c r="R2863">
        <v>1.3</v>
      </c>
      <c r="S2863">
        <v>86</v>
      </c>
      <c r="T2863">
        <v>24.85</v>
      </c>
      <c r="U2863">
        <v>96</v>
      </c>
      <c r="V2863">
        <v>-0.46</v>
      </c>
      <c r="W2863">
        <v>85</v>
      </c>
      <c r="X2863" t="s">
        <v>4976</v>
      </c>
      <c r="Y2863" t="s">
        <v>95</v>
      </c>
      <c r="Z2863" t="s">
        <v>96</v>
      </c>
      <c r="AA2863" t="s">
        <v>14846</v>
      </c>
      <c r="AB2863" t="s">
        <v>14847</v>
      </c>
      <c r="AC2863">
        <v>209</v>
      </c>
      <c r="AD2863">
        <v>119</v>
      </c>
      <c r="AE2863">
        <v>98</v>
      </c>
      <c r="AF2863">
        <v>65.53</v>
      </c>
      <c r="AG2863">
        <v>8.56</v>
      </c>
      <c r="AH2863">
        <v>5.77</v>
      </c>
      <c r="AI2863">
        <v>0.1</v>
      </c>
      <c r="AJ2863">
        <v>0.06</v>
      </c>
      <c r="AK2863">
        <v>88</v>
      </c>
      <c r="AL2863">
        <v>256</v>
      </c>
      <c r="AM2863">
        <v>150</v>
      </c>
      <c r="AN2863">
        <v>5.34</v>
      </c>
      <c r="AO2863">
        <v>-0.28999999999999998</v>
      </c>
      <c r="AP2863">
        <v>334</v>
      </c>
      <c r="AQ2863">
        <v>4</v>
      </c>
      <c r="AR2863">
        <v>4.17</v>
      </c>
      <c r="AS2863">
        <v>86</v>
      </c>
      <c r="AT2863">
        <v>2.21</v>
      </c>
      <c r="AU2863">
        <v>91</v>
      </c>
      <c r="AV2863">
        <v>-1.61</v>
      </c>
      <c r="AW2863">
        <v>97</v>
      </c>
      <c r="AX2863">
        <v>-0.28999999999999998</v>
      </c>
      <c r="AY2863">
        <v>91</v>
      </c>
      <c r="AZ2863">
        <v>6.71</v>
      </c>
      <c r="BA2863">
        <v>73</v>
      </c>
      <c r="BB2863">
        <v>5.86</v>
      </c>
      <c r="BC2863">
        <v>78</v>
      </c>
      <c r="BD2863">
        <v>0</v>
      </c>
      <c r="BE2863">
        <v>0</v>
      </c>
      <c r="BF2863">
        <v>-0.03</v>
      </c>
      <c r="BG2863">
        <v>93</v>
      </c>
      <c r="BH2863">
        <v>-0.03</v>
      </c>
      <c r="BI2863">
        <v>-2</v>
      </c>
      <c r="BJ2863">
        <v>13</v>
      </c>
      <c r="BK2863">
        <v>9</v>
      </c>
      <c r="BL2863">
        <v>-0.69</v>
      </c>
      <c r="BM2863">
        <v>7.0000000000000007E-2</v>
      </c>
      <c r="BN2863">
        <v>-0.23</v>
      </c>
      <c r="BO2863">
        <v>-0.43</v>
      </c>
      <c r="BP2863">
        <v>-1.26</v>
      </c>
      <c r="BQ2863">
        <v>-0.56999999999999995</v>
      </c>
      <c r="BR2863">
        <v>-0.76</v>
      </c>
      <c r="BS2863">
        <v>-1.63</v>
      </c>
      <c r="BT2863">
        <v>-1.23</v>
      </c>
      <c r="BU2863">
        <v>-0.59</v>
      </c>
      <c r="BV2863">
        <v>-1.4</v>
      </c>
      <c r="BW2863">
        <v>-0.88</v>
      </c>
      <c r="BX2863">
        <v>0.08</v>
      </c>
      <c r="BY2863">
        <v>0.7</v>
      </c>
      <c r="BZ2863">
        <v>-0.67</v>
      </c>
      <c r="CA2863">
        <v>-1.35</v>
      </c>
      <c r="CB2863">
        <v>-1.05</v>
      </c>
      <c r="CC2863">
        <v>-2.2999999999999998</v>
      </c>
      <c r="CD2863">
        <v>0.15</v>
      </c>
      <c r="CE2863">
        <v>-0.82</v>
      </c>
      <c r="CF2863">
        <v>-0.85</v>
      </c>
      <c r="CG2863">
        <v>0</v>
      </c>
      <c r="CH2863">
        <v>0.3</v>
      </c>
      <c r="CI2863">
        <v>0</v>
      </c>
      <c r="CJ2863">
        <v>-6.9</v>
      </c>
      <c r="CK2863">
        <v>97</v>
      </c>
      <c r="CL2863">
        <v>-0.71</v>
      </c>
      <c r="CM2863">
        <v>96</v>
      </c>
      <c r="CN2863">
        <v>-0.19</v>
      </c>
      <c r="CO2863">
        <v>96</v>
      </c>
      <c r="CP2863">
        <v>-14.4</v>
      </c>
      <c r="CQ2863">
        <v>96</v>
      </c>
      <c r="CR2863">
        <v>0</v>
      </c>
      <c r="CS2863">
        <v>0</v>
      </c>
      <c r="CT2863">
        <v>-19.8</v>
      </c>
      <c r="CU2863">
        <v>96</v>
      </c>
      <c r="CV2863">
        <v>0.08</v>
      </c>
      <c r="CW2863">
        <v>45</v>
      </c>
      <c r="CX2863" t="s">
        <v>3343</v>
      </c>
    </row>
    <row r="2864" spans="1:102" x14ac:dyDescent="0.3">
      <c r="A2864" t="str">
        <f>HYPERLINK("https://webapp.icbf.com/v2/app/bull-search/view/444416222","ARV")</f>
        <v>ARV</v>
      </c>
      <c r="B2864" t="s">
        <v>12271</v>
      </c>
      <c r="C2864" t="s">
        <v>12272</v>
      </c>
      <c r="D2864" s="1">
        <v>37082</v>
      </c>
      <c r="E2864" t="s">
        <v>92</v>
      </c>
      <c r="F2864">
        <v>100</v>
      </c>
      <c r="G2864" t="s">
        <v>93</v>
      </c>
      <c r="H2864">
        <v>6.89</v>
      </c>
      <c r="I2864">
        <v>96</v>
      </c>
      <c r="J2864">
        <v>66.44</v>
      </c>
      <c r="K2864">
        <v>99</v>
      </c>
      <c r="L2864">
        <v>-94.68</v>
      </c>
      <c r="M2864">
        <v>93</v>
      </c>
      <c r="N2864">
        <v>19.100000000000001</v>
      </c>
      <c r="O2864">
        <v>96</v>
      </c>
      <c r="P2864">
        <v>-9.6</v>
      </c>
      <c r="Q2864">
        <v>99</v>
      </c>
      <c r="R2864">
        <v>7.6</v>
      </c>
      <c r="S2864">
        <v>93</v>
      </c>
      <c r="T2864">
        <v>10.199999999999999</v>
      </c>
      <c r="U2864">
        <v>97</v>
      </c>
      <c r="V2864">
        <v>7.83</v>
      </c>
      <c r="W2864">
        <v>94</v>
      </c>
      <c r="X2864" t="s">
        <v>251</v>
      </c>
      <c r="Y2864" t="s">
        <v>221</v>
      </c>
      <c r="Z2864" t="s">
        <v>96</v>
      </c>
      <c r="AA2864" t="s">
        <v>273</v>
      </c>
      <c r="AB2864" t="s">
        <v>10455</v>
      </c>
      <c r="AC2864">
        <v>636</v>
      </c>
      <c r="AD2864">
        <v>212</v>
      </c>
      <c r="AE2864">
        <v>99</v>
      </c>
      <c r="AF2864">
        <v>405.29</v>
      </c>
      <c r="AG2864">
        <v>9.42</v>
      </c>
      <c r="AH2864">
        <v>14.17</v>
      </c>
      <c r="AI2864">
        <v>-0.1</v>
      </c>
      <c r="AJ2864">
        <v>0.01</v>
      </c>
      <c r="AK2864">
        <v>93</v>
      </c>
      <c r="AL2864">
        <v>683</v>
      </c>
      <c r="AM2864">
        <v>258</v>
      </c>
      <c r="AN2864">
        <v>6</v>
      </c>
      <c r="AO2864">
        <v>-1.54</v>
      </c>
      <c r="AP2864">
        <v>1198</v>
      </c>
      <c r="AQ2864">
        <v>5</v>
      </c>
      <c r="AR2864">
        <v>7.27</v>
      </c>
      <c r="AS2864">
        <v>93</v>
      </c>
      <c r="AT2864">
        <v>3.06</v>
      </c>
      <c r="AU2864">
        <v>97</v>
      </c>
      <c r="AV2864">
        <v>-2.36</v>
      </c>
      <c r="AW2864">
        <v>99</v>
      </c>
      <c r="AX2864">
        <v>-0.1</v>
      </c>
      <c r="AY2864">
        <v>96</v>
      </c>
      <c r="AZ2864">
        <v>7</v>
      </c>
      <c r="BA2864">
        <v>89</v>
      </c>
      <c r="BB2864">
        <v>5.09</v>
      </c>
      <c r="BC2864">
        <v>90</v>
      </c>
      <c r="BD2864">
        <v>-0.04</v>
      </c>
      <c r="BE2864">
        <v>-0.02</v>
      </c>
      <c r="BF2864">
        <v>-7.0000000000000007E-2</v>
      </c>
      <c r="BG2864">
        <v>97</v>
      </c>
      <c r="BH2864">
        <v>7.0000000000000007E-2</v>
      </c>
      <c r="BI2864">
        <v>-17.16</v>
      </c>
      <c r="BJ2864">
        <v>104</v>
      </c>
      <c r="BK2864">
        <v>44</v>
      </c>
      <c r="BL2864">
        <v>0.3</v>
      </c>
      <c r="BM2864">
        <v>0.57999999999999996</v>
      </c>
      <c r="BN2864">
        <v>1.03</v>
      </c>
      <c r="BO2864">
        <v>0.44</v>
      </c>
      <c r="BP2864">
        <v>1.1599999999999999</v>
      </c>
      <c r="BQ2864">
        <v>-0.85</v>
      </c>
      <c r="BR2864">
        <v>2.11</v>
      </c>
      <c r="BS2864">
        <v>-1.96</v>
      </c>
      <c r="BT2864">
        <v>-2.5499999999999998</v>
      </c>
      <c r="BU2864">
        <v>0.3</v>
      </c>
      <c r="BV2864">
        <v>0.98</v>
      </c>
      <c r="BW2864">
        <v>0.75</v>
      </c>
      <c r="BX2864">
        <v>-0.23</v>
      </c>
      <c r="BY2864">
        <v>1.39</v>
      </c>
      <c r="BZ2864">
        <v>-1.1299999999999999</v>
      </c>
      <c r="CA2864">
        <v>-0.06</v>
      </c>
      <c r="CB2864">
        <v>0.84</v>
      </c>
      <c r="CC2864">
        <v>-1.94</v>
      </c>
      <c r="CD2864">
        <v>-0.16</v>
      </c>
      <c r="CE2864">
        <v>0.47</v>
      </c>
      <c r="CF2864">
        <v>0.46</v>
      </c>
      <c r="CG2864">
        <v>0</v>
      </c>
      <c r="CH2864">
        <v>1.35</v>
      </c>
      <c r="CI2864">
        <v>0</v>
      </c>
      <c r="CJ2864">
        <v>-1</v>
      </c>
      <c r="CK2864">
        <v>99</v>
      </c>
      <c r="CL2864">
        <v>-0.9</v>
      </c>
      <c r="CM2864">
        <v>98</v>
      </c>
      <c r="CN2864">
        <v>-0.18</v>
      </c>
      <c r="CO2864">
        <v>98</v>
      </c>
      <c r="CP2864">
        <v>-6.9</v>
      </c>
      <c r="CQ2864">
        <v>98</v>
      </c>
      <c r="CR2864">
        <v>0</v>
      </c>
      <c r="CS2864">
        <v>0</v>
      </c>
      <c r="CT2864">
        <v>0</v>
      </c>
      <c r="CU2864">
        <v>97</v>
      </c>
      <c r="CV2864">
        <v>0.18</v>
      </c>
      <c r="CW2864">
        <v>47</v>
      </c>
      <c r="CX2864" t="s">
        <v>751</v>
      </c>
    </row>
    <row r="2865" spans="1:102" x14ac:dyDescent="0.3">
      <c r="A2865" t="str">
        <f>HYPERLINK("https://webapp.icbf.com/v2/app/bull-search/view/77858566","CRO")</f>
        <v>CRO</v>
      </c>
      <c r="B2865" t="s">
        <v>3543</v>
      </c>
      <c r="C2865" t="s">
        <v>3544</v>
      </c>
      <c r="D2865" s="1">
        <v>31523</v>
      </c>
      <c r="E2865" t="s">
        <v>108</v>
      </c>
      <c r="F2865">
        <v>0</v>
      </c>
      <c r="G2865" t="s">
        <v>93</v>
      </c>
      <c r="H2865">
        <v>6.88</v>
      </c>
      <c r="I2865">
        <v>60</v>
      </c>
      <c r="J2865">
        <v>-39.86</v>
      </c>
      <c r="K2865">
        <v>62</v>
      </c>
      <c r="L2865">
        <v>51.87</v>
      </c>
      <c r="M2865">
        <v>67</v>
      </c>
      <c r="N2865">
        <v>5.18</v>
      </c>
      <c r="O2865">
        <v>42</v>
      </c>
      <c r="P2865">
        <v>-15.09</v>
      </c>
      <c r="Q2865">
        <v>61</v>
      </c>
      <c r="R2865">
        <v>-14.48</v>
      </c>
      <c r="S2865">
        <v>61</v>
      </c>
      <c r="T2865">
        <v>21.37</v>
      </c>
      <c r="U2865">
        <v>63</v>
      </c>
      <c r="V2865">
        <v>-2.11</v>
      </c>
      <c r="W2865">
        <v>28</v>
      </c>
      <c r="X2865" t="s">
        <v>94</v>
      </c>
      <c r="Y2865" t="s">
        <v>95</v>
      </c>
      <c r="Z2865" t="s">
        <v>96</v>
      </c>
      <c r="AA2865" t="s">
        <v>829</v>
      </c>
      <c r="AB2865" t="s">
        <v>3545</v>
      </c>
      <c r="AC2865">
        <v>11</v>
      </c>
      <c r="AD2865">
        <v>11</v>
      </c>
      <c r="AE2865">
        <v>62</v>
      </c>
      <c r="AF2865">
        <v>-152.59</v>
      </c>
      <c r="AG2865">
        <v>-6.77</v>
      </c>
      <c r="AH2865">
        <v>-6.72</v>
      </c>
      <c r="AI2865">
        <v>-0.01</v>
      </c>
      <c r="AJ2865">
        <v>-0.03</v>
      </c>
      <c r="AK2865">
        <v>67</v>
      </c>
      <c r="AL2865">
        <v>163</v>
      </c>
      <c r="AM2865">
        <v>74</v>
      </c>
      <c r="AN2865">
        <v>-4.87</v>
      </c>
      <c r="AO2865">
        <v>-0.76</v>
      </c>
      <c r="AP2865">
        <v>9</v>
      </c>
      <c r="AQ2865">
        <v>0</v>
      </c>
      <c r="AR2865">
        <v>7.75</v>
      </c>
      <c r="AS2865">
        <v>21</v>
      </c>
      <c r="AT2865">
        <v>3.13</v>
      </c>
      <c r="AU2865">
        <v>39</v>
      </c>
      <c r="AV2865">
        <v>-0.3</v>
      </c>
      <c r="AW2865">
        <v>49</v>
      </c>
      <c r="AX2865">
        <v>-0.05</v>
      </c>
      <c r="AY2865">
        <v>59</v>
      </c>
      <c r="AZ2865">
        <v>5.69</v>
      </c>
      <c r="BA2865">
        <v>21</v>
      </c>
      <c r="BB2865">
        <v>4.59</v>
      </c>
      <c r="BC2865">
        <v>32</v>
      </c>
      <c r="BD2865">
        <v>0.06</v>
      </c>
      <c r="BE2865">
        <v>7.0000000000000007E-2</v>
      </c>
      <c r="BF2865">
        <v>0.1</v>
      </c>
      <c r="BG2865">
        <v>86</v>
      </c>
      <c r="BH2865">
        <v>0</v>
      </c>
      <c r="BI2865">
        <v>6.8</v>
      </c>
      <c r="BJ2865">
        <v>13</v>
      </c>
      <c r="BK2865">
        <v>7</v>
      </c>
      <c r="BL2865">
        <v>-2.84</v>
      </c>
      <c r="BM2865">
        <v>0.13</v>
      </c>
      <c r="BN2865">
        <v>-2.87</v>
      </c>
      <c r="BO2865">
        <v>-2.36</v>
      </c>
      <c r="BP2865">
        <v>-7.0000000000000007E-2</v>
      </c>
      <c r="BQ2865">
        <v>-0.93</v>
      </c>
      <c r="BR2865">
        <v>-0.37</v>
      </c>
      <c r="BS2865">
        <v>-0.11</v>
      </c>
      <c r="BT2865">
        <v>-0.63</v>
      </c>
      <c r="BU2865">
        <v>-0.65</v>
      </c>
      <c r="BV2865">
        <v>-1.47</v>
      </c>
      <c r="BW2865">
        <v>-1.73</v>
      </c>
      <c r="BX2865">
        <v>-0.47</v>
      </c>
      <c r="BY2865">
        <v>-1.83</v>
      </c>
      <c r="BZ2865">
        <v>-0.32</v>
      </c>
      <c r="CA2865">
        <v>-1.6</v>
      </c>
      <c r="CB2865">
        <v>-1.75</v>
      </c>
      <c r="CC2865">
        <v>-0.82</v>
      </c>
      <c r="CD2865">
        <v>1.68</v>
      </c>
      <c r="CE2865">
        <v>-2.12</v>
      </c>
      <c r="CF2865">
        <v>-3.01</v>
      </c>
      <c r="CG2865">
        <v>0</v>
      </c>
      <c r="CH2865">
        <v>-1.01</v>
      </c>
      <c r="CI2865">
        <v>0</v>
      </c>
      <c r="CJ2865">
        <v>-8.6</v>
      </c>
      <c r="CK2865">
        <v>63</v>
      </c>
      <c r="CL2865">
        <v>-7.0000000000000007E-2</v>
      </c>
      <c r="CM2865">
        <v>59</v>
      </c>
      <c r="CN2865">
        <v>0.03</v>
      </c>
      <c r="CO2865">
        <v>55</v>
      </c>
      <c r="CP2865">
        <v>-14.3</v>
      </c>
      <c r="CQ2865">
        <v>63</v>
      </c>
      <c r="CR2865">
        <v>0</v>
      </c>
      <c r="CS2865">
        <v>0</v>
      </c>
      <c r="CT2865">
        <v>-15.1</v>
      </c>
      <c r="CU2865">
        <v>63</v>
      </c>
      <c r="CV2865">
        <v>-0.15</v>
      </c>
      <c r="CW2865">
        <v>17</v>
      </c>
      <c r="CX2865" t="s">
        <v>3546</v>
      </c>
    </row>
    <row r="2866" spans="1:102" x14ac:dyDescent="0.3">
      <c r="A2866" t="str">
        <f>HYPERLINK("https://webapp.icbf.com/v2/app/bull-search/view/116471570","LUF")</f>
        <v>LUF</v>
      </c>
      <c r="B2866" t="s">
        <v>11699</v>
      </c>
      <c r="C2866" t="s">
        <v>11700</v>
      </c>
      <c r="D2866" s="1">
        <v>34007</v>
      </c>
      <c r="E2866" t="s">
        <v>92</v>
      </c>
      <c r="F2866">
        <v>94</v>
      </c>
      <c r="G2866" t="s">
        <v>93</v>
      </c>
      <c r="H2866">
        <v>6.86</v>
      </c>
      <c r="I2866">
        <v>86</v>
      </c>
      <c r="J2866">
        <v>15.01</v>
      </c>
      <c r="K2866">
        <v>96</v>
      </c>
      <c r="L2866">
        <v>-33.880000000000003</v>
      </c>
      <c r="M2866">
        <v>83</v>
      </c>
      <c r="N2866">
        <v>21.95</v>
      </c>
      <c r="O2866">
        <v>76</v>
      </c>
      <c r="P2866">
        <v>-8.2200000000000006</v>
      </c>
      <c r="Q2866">
        <v>85</v>
      </c>
      <c r="R2866">
        <v>-2.79</v>
      </c>
      <c r="S2866">
        <v>82</v>
      </c>
      <c r="T2866">
        <v>14.42</v>
      </c>
      <c r="U2866">
        <v>79</v>
      </c>
      <c r="V2866">
        <v>0.37</v>
      </c>
      <c r="W2866">
        <v>72</v>
      </c>
      <c r="X2866" t="s">
        <v>94</v>
      </c>
      <c r="Y2866" t="s">
        <v>95</v>
      </c>
      <c r="Z2866" t="s">
        <v>96</v>
      </c>
      <c r="AA2866" t="s">
        <v>193</v>
      </c>
      <c r="AB2866" t="s">
        <v>3251</v>
      </c>
      <c r="AC2866">
        <v>81</v>
      </c>
      <c r="AD2866">
        <v>68</v>
      </c>
      <c r="AE2866">
        <v>96</v>
      </c>
      <c r="AF2866">
        <v>-78.27</v>
      </c>
      <c r="AG2866">
        <v>6.57</v>
      </c>
      <c r="AH2866">
        <v>-0.97</v>
      </c>
      <c r="AI2866">
        <v>0.17</v>
      </c>
      <c r="AJ2866">
        <v>0.03</v>
      </c>
      <c r="AK2866">
        <v>83</v>
      </c>
      <c r="AL2866">
        <v>124</v>
      </c>
      <c r="AM2866">
        <v>91</v>
      </c>
      <c r="AN2866">
        <v>2.0099999999999998</v>
      </c>
      <c r="AO2866">
        <v>-0.69</v>
      </c>
      <c r="AP2866">
        <v>14</v>
      </c>
      <c r="AQ2866">
        <v>3</v>
      </c>
      <c r="AR2866">
        <v>4.45</v>
      </c>
      <c r="AS2866">
        <v>65</v>
      </c>
      <c r="AT2866">
        <v>1.89</v>
      </c>
      <c r="AU2866">
        <v>80</v>
      </c>
      <c r="AV2866">
        <v>-1.74</v>
      </c>
      <c r="AW2866">
        <v>78</v>
      </c>
      <c r="AX2866">
        <v>0.14000000000000001</v>
      </c>
      <c r="AY2866">
        <v>79</v>
      </c>
      <c r="AZ2866">
        <v>8.3000000000000007</v>
      </c>
      <c r="BA2866">
        <v>59</v>
      </c>
      <c r="BB2866">
        <v>5.84</v>
      </c>
      <c r="BC2866">
        <v>70</v>
      </c>
      <c r="BD2866">
        <v>-0.06</v>
      </c>
      <c r="BE2866">
        <v>0.06</v>
      </c>
      <c r="BF2866">
        <v>0.05</v>
      </c>
      <c r="BG2866">
        <v>92</v>
      </c>
      <c r="BH2866">
        <v>0.09</v>
      </c>
      <c r="BI2866">
        <v>9.2100000000000009</v>
      </c>
      <c r="BJ2866">
        <v>29</v>
      </c>
      <c r="BK2866">
        <v>24</v>
      </c>
      <c r="BL2866">
        <v>0.25</v>
      </c>
      <c r="BM2866">
        <v>1.35</v>
      </c>
      <c r="BN2866">
        <v>-0.08</v>
      </c>
      <c r="BO2866">
        <v>-1.04</v>
      </c>
      <c r="BP2866">
        <v>0.56999999999999995</v>
      </c>
      <c r="BQ2866">
        <v>-0.01</v>
      </c>
      <c r="BR2866">
        <v>-0.33</v>
      </c>
      <c r="BS2866">
        <v>0.94</v>
      </c>
      <c r="BT2866">
        <v>0.02</v>
      </c>
      <c r="BU2866">
        <v>-0.62</v>
      </c>
      <c r="BV2866">
        <v>0.6</v>
      </c>
      <c r="BW2866">
        <v>0.06</v>
      </c>
      <c r="BX2866">
        <v>-0.18</v>
      </c>
      <c r="BY2866">
        <v>-1.95</v>
      </c>
      <c r="BZ2866">
        <v>3.27</v>
      </c>
      <c r="CA2866">
        <v>-0.28000000000000003</v>
      </c>
      <c r="CB2866">
        <v>-0.02</v>
      </c>
      <c r="CC2866">
        <v>0.78</v>
      </c>
      <c r="CD2866">
        <v>1.91</v>
      </c>
      <c r="CE2866">
        <v>-0.74</v>
      </c>
      <c r="CF2866">
        <v>-0.13</v>
      </c>
      <c r="CG2866">
        <v>0</v>
      </c>
      <c r="CH2866">
        <v>-1.25</v>
      </c>
      <c r="CI2866">
        <v>0</v>
      </c>
      <c r="CJ2866">
        <v>-1.7</v>
      </c>
      <c r="CK2866">
        <v>86</v>
      </c>
      <c r="CL2866">
        <v>-0.67</v>
      </c>
      <c r="CM2866">
        <v>84</v>
      </c>
      <c r="CN2866">
        <v>-0.15</v>
      </c>
      <c r="CO2866">
        <v>82</v>
      </c>
      <c r="CP2866">
        <v>-4.8</v>
      </c>
      <c r="CQ2866">
        <v>87</v>
      </c>
      <c r="CR2866">
        <v>0</v>
      </c>
      <c r="CS2866">
        <v>0</v>
      </c>
      <c r="CT2866">
        <v>-5.7</v>
      </c>
      <c r="CU2866">
        <v>79</v>
      </c>
      <c r="CV2866">
        <v>0.23</v>
      </c>
      <c r="CW2866">
        <v>44</v>
      </c>
      <c r="CX2866" t="s">
        <v>126</v>
      </c>
    </row>
    <row r="2867" spans="1:102" x14ac:dyDescent="0.3">
      <c r="A2867" t="str">
        <f>HYPERLINK("https://webapp.icbf.com/v2/app/bull-search/view/77854009","RKI")</f>
        <v>RKI</v>
      </c>
      <c r="B2867" t="s">
        <v>10923</v>
      </c>
      <c r="C2867" t="s">
        <v>10924</v>
      </c>
      <c r="D2867" s="1">
        <v>31658</v>
      </c>
      <c r="E2867" t="s">
        <v>92</v>
      </c>
      <c r="F2867">
        <v>50</v>
      </c>
      <c r="G2867" t="s">
        <v>93</v>
      </c>
      <c r="H2867">
        <v>6.71</v>
      </c>
      <c r="I2867">
        <v>77</v>
      </c>
      <c r="J2867">
        <v>-2.97</v>
      </c>
      <c r="K2867">
        <v>91</v>
      </c>
      <c r="L2867">
        <v>-4.32</v>
      </c>
      <c r="M2867">
        <v>82</v>
      </c>
      <c r="N2867">
        <v>11.85</v>
      </c>
      <c r="O2867">
        <v>60</v>
      </c>
      <c r="P2867">
        <v>-5.27</v>
      </c>
      <c r="Q2867">
        <v>72</v>
      </c>
      <c r="R2867">
        <v>-11.06</v>
      </c>
      <c r="S2867">
        <v>70</v>
      </c>
      <c r="T2867">
        <v>19.45</v>
      </c>
      <c r="U2867">
        <v>56</v>
      </c>
      <c r="V2867">
        <v>-0.97</v>
      </c>
      <c r="W2867">
        <v>31</v>
      </c>
      <c r="X2867" t="s">
        <v>110</v>
      </c>
      <c r="Y2867" t="s">
        <v>95</v>
      </c>
      <c r="Z2867" t="s">
        <v>96</v>
      </c>
      <c r="AA2867" t="s">
        <v>120</v>
      </c>
      <c r="AB2867" t="s">
        <v>10925</v>
      </c>
      <c r="AC2867">
        <v>67</v>
      </c>
      <c r="AD2867">
        <v>37</v>
      </c>
      <c r="AE2867">
        <v>91</v>
      </c>
      <c r="AF2867">
        <v>-136.55000000000001</v>
      </c>
      <c r="AG2867">
        <v>0.41</v>
      </c>
      <c r="AH2867">
        <v>-2.74</v>
      </c>
      <c r="AI2867">
        <v>0.1</v>
      </c>
      <c r="AJ2867">
        <v>0.03</v>
      </c>
      <c r="AK2867">
        <v>82</v>
      </c>
      <c r="AL2867">
        <v>118</v>
      </c>
      <c r="AM2867">
        <v>64</v>
      </c>
      <c r="AN2867">
        <v>0.57999999999999996</v>
      </c>
      <c r="AO2867">
        <v>0.24</v>
      </c>
      <c r="AP2867">
        <v>8</v>
      </c>
      <c r="AQ2867">
        <v>0</v>
      </c>
      <c r="AR2867">
        <v>4.82</v>
      </c>
      <c r="AS2867">
        <v>32</v>
      </c>
      <c r="AT2867">
        <v>2.4700000000000002</v>
      </c>
      <c r="AU2867">
        <v>80</v>
      </c>
      <c r="AV2867">
        <v>-0.42</v>
      </c>
      <c r="AW2867">
        <v>59</v>
      </c>
      <c r="AX2867">
        <v>-0.3</v>
      </c>
      <c r="AY2867">
        <v>64</v>
      </c>
      <c r="AZ2867">
        <v>7.33</v>
      </c>
      <c r="BA2867">
        <v>32</v>
      </c>
      <c r="BB2867">
        <v>5.49</v>
      </c>
      <c r="BC2867">
        <v>46</v>
      </c>
      <c r="BD2867">
        <v>0.05</v>
      </c>
      <c r="BE2867">
        <v>0.09</v>
      </c>
      <c r="BF2867">
        <v>0</v>
      </c>
      <c r="BG2867">
        <v>90</v>
      </c>
      <c r="BH2867">
        <v>0.02</v>
      </c>
      <c r="BI2867">
        <v>5.44</v>
      </c>
      <c r="BJ2867">
        <v>1</v>
      </c>
      <c r="BK2867">
        <v>1</v>
      </c>
      <c r="BL2867">
        <v>-0.49</v>
      </c>
      <c r="BM2867">
        <v>-0.11</v>
      </c>
      <c r="BN2867">
        <v>0.57999999999999996</v>
      </c>
      <c r="BO2867">
        <v>-0.18</v>
      </c>
      <c r="BP2867">
        <v>-1.26</v>
      </c>
      <c r="BQ2867">
        <v>-0.43</v>
      </c>
      <c r="BR2867">
        <v>0.61</v>
      </c>
      <c r="BS2867">
        <v>-0.45</v>
      </c>
      <c r="BT2867">
        <v>-0.24</v>
      </c>
      <c r="BU2867">
        <v>0.28000000000000003</v>
      </c>
      <c r="BV2867">
        <v>-0.72</v>
      </c>
      <c r="BW2867">
        <v>-0.87</v>
      </c>
      <c r="BX2867">
        <v>0.44</v>
      </c>
      <c r="BY2867">
        <v>-0.66</v>
      </c>
      <c r="BZ2867">
        <v>-1.86</v>
      </c>
      <c r="CA2867">
        <v>-0.17</v>
      </c>
      <c r="CB2867">
        <v>-0.1</v>
      </c>
      <c r="CC2867">
        <v>-0.15</v>
      </c>
      <c r="CD2867">
        <v>-0.88</v>
      </c>
      <c r="CE2867">
        <v>0.64</v>
      </c>
      <c r="CF2867">
        <v>0.46</v>
      </c>
      <c r="CG2867">
        <v>0</v>
      </c>
      <c r="CH2867">
        <v>-0.7</v>
      </c>
      <c r="CI2867">
        <v>0</v>
      </c>
      <c r="CJ2867">
        <v>-1.3</v>
      </c>
      <c r="CK2867">
        <v>74</v>
      </c>
      <c r="CL2867">
        <v>-0.5</v>
      </c>
      <c r="CM2867">
        <v>70</v>
      </c>
      <c r="CN2867">
        <v>-0.24</v>
      </c>
      <c r="CO2867">
        <v>67</v>
      </c>
      <c r="CP2867">
        <v>-7.5</v>
      </c>
      <c r="CQ2867">
        <v>73</v>
      </c>
      <c r="CR2867">
        <v>0</v>
      </c>
      <c r="CS2867">
        <v>0</v>
      </c>
      <c r="CT2867">
        <v>-12.5</v>
      </c>
      <c r="CU2867">
        <v>56</v>
      </c>
      <c r="CV2867">
        <v>0.12</v>
      </c>
      <c r="CW2867">
        <v>20</v>
      </c>
      <c r="CX2867" t="s">
        <v>10926</v>
      </c>
    </row>
    <row r="2868" spans="1:102" x14ac:dyDescent="0.3">
      <c r="A2868" t="str">
        <f>HYPERLINK("https://webapp.icbf.com/v2/app/bull-search/view/159273743","PEZ")</f>
        <v>PEZ</v>
      </c>
      <c r="B2868" t="s">
        <v>144</v>
      </c>
      <c r="C2868" t="s">
        <v>10191</v>
      </c>
      <c r="D2868" s="1">
        <v>35719</v>
      </c>
      <c r="E2868" t="s">
        <v>146</v>
      </c>
      <c r="F2868">
        <v>6</v>
      </c>
      <c r="G2868" t="s">
        <v>93</v>
      </c>
      <c r="H2868">
        <v>6.63</v>
      </c>
      <c r="I2868">
        <v>70</v>
      </c>
      <c r="J2868">
        <v>-3.29</v>
      </c>
      <c r="K2868">
        <v>90</v>
      </c>
      <c r="L2868">
        <v>-4.63</v>
      </c>
      <c r="M2868">
        <v>52</v>
      </c>
      <c r="N2868">
        <v>22.78</v>
      </c>
      <c r="O2868">
        <v>69</v>
      </c>
      <c r="P2868">
        <v>5.25</v>
      </c>
      <c r="Q2868">
        <v>90</v>
      </c>
      <c r="R2868">
        <v>-18.5</v>
      </c>
      <c r="S2868">
        <v>56</v>
      </c>
      <c r="T2868">
        <v>8.42</v>
      </c>
      <c r="U2868">
        <v>66</v>
      </c>
      <c r="V2868">
        <v>-3.4</v>
      </c>
      <c r="W2868">
        <v>49</v>
      </c>
      <c r="X2868" t="s">
        <v>94</v>
      </c>
      <c r="Y2868" t="s">
        <v>95</v>
      </c>
      <c r="Z2868">
        <v>0</v>
      </c>
      <c r="AA2868" t="s">
        <v>7026</v>
      </c>
      <c r="AB2868" t="s">
        <v>11556</v>
      </c>
      <c r="AC2868">
        <v>38</v>
      </c>
      <c r="AD2868">
        <v>12</v>
      </c>
      <c r="AE2868">
        <v>90</v>
      </c>
      <c r="AF2868">
        <v>50.97</v>
      </c>
      <c r="AG2868">
        <v>-6.64</v>
      </c>
      <c r="AH2868">
        <v>2.57</v>
      </c>
      <c r="AI2868">
        <v>-0.14000000000000001</v>
      </c>
      <c r="AJ2868">
        <v>0.01</v>
      </c>
      <c r="AK2868">
        <v>52</v>
      </c>
      <c r="AL2868">
        <v>45</v>
      </c>
      <c r="AM2868">
        <v>21</v>
      </c>
      <c r="AN2868">
        <v>0.96</v>
      </c>
      <c r="AO2868">
        <v>0.6</v>
      </c>
      <c r="AP2868">
        <v>64</v>
      </c>
      <c r="AQ2868">
        <v>0</v>
      </c>
      <c r="AR2868">
        <v>5.07</v>
      </c>
      <c r="AS2868">
        <v>51</v>
      </c>
      <c r="AT2868">
        <v>2.13</v>
      </c>
      <c r="AU2868">
        <v>65</v>
      </c>
      <c r="AV2868">
        <v>-0.61</v>
      </c>
      <c r="AW2868">
        <v>88</v>
      </c>
      <c r="AX2868">
        <v>-0.35</v>
      </c>
      <c r="AY2868">
        <v>69</v>
      </c>
      <c r="AZ2868">
        <v>5.57</v>
      </c>
      <c r="BA2868">
        <v>29</v>
      </c>
      <c r="BB2868">
        <v>4.49</v>
      </c>
      <c r="BC2868">
        <v>38</v>
      </c>
      <c r="BD2868">
        <v>0.02</v>
      </c>
      <c r="BE2868">
        <v>0.08</v>
      </c>
      <c r="BF2868">
        <v>0.24</v>
      </c>
      <c r="BG2868">
        <v>67</v>
      </c>
      <c r="BH2868">
        <v>-0.01</v>
      </c>
      <c r="BI2868">
        <v>9.82</v>
      </c>
      <c r="BJ2868">
        <v>0</v>
      </c>
      <c r="BK2868">
        <v>0</v>
      </c>
      <c r="BL2868">
        <v>-1.23</v>
      </c>
      <c r="BM2868">
        <v>1.47</v>
      </c>
      <c r="BN2868">
        <v>-0.85</v>
      </c>
      <c r="BO2868">
        <v>-1.68</v>
      </c>
      <c r="BP2868">
        <v>0.74</v>
      </c>
      <c r="BQ2868">
        <v>0.39</v>
      </c>
      <c r="BR2868">
        <v>0.44</v>
      </c>
      <c r="BS2868">
        <v>-0.51</v>
      </c>
      <c r="BT2868">
        <v>-0.61</v>
      </c>
      <c r="BU2868">
        <v>-1.19</v>
      </c>
      <c r="BV2868">
        <v>-2.19</v>
      </c>
      <c r="BW2868">
        <v>-1.77</v>
      </c>
      <c r="BX2868">
        <v>-0.87</v>
      </c>
      <c r="BY2868">
        <v>-1.3</v>
      </c>
      <c r="BZ2868">
        <v>0.47</v>
      </c>
      <c r="CA2868">
        <v>-1.86</v>
      </c>
      <c r="CB2868">
        <v>-1.74</v>
      </c>
      <c r="CC2868">
        <v>-1.32</v>
      </c>
      <c r="CD2868">
        <v>1.64</v>
      </c>
      <c r="CE2868">
        <v>-1.78</v>
      </c>
      <c r="CF2868">
        <v>-0.86</v>
      </c>
      <c r="CG2868">
        <v>0</v>
      </c>
      <c r="CH2868">
        <v>-0.96</v>
      </c>
      <c r="CI2868">
        <v>0</v>
      </c>
      <c r="CJ2868">
        <v>-2</v>
      </c>
      <c r="CK2868">
        <v>91</v>
      </c>
      <c r="CL2868">
        <v>0.61</v>
      </c>
      <c r="CM2868">
        <v>89</v>
      </c>
      <c r="CN2868">
        <v>-0.19</v>
      </c>
      <c r="CO2868">
        <v>88</v>
      </c>
      <c r="CP2868">
        <v>-3.4</v>
      </c>
      <c r="CQ2868">
        <v>83</v>
      </c>
      <c r="CR2868">
        <v>0</v>
      </c>
      <c r="CS2868">
        <v>0</v>
      </c>
      <c r="CT2868">
        <v>2.4</v>
      </c>
      <c r="CU2868">
        <v>66</v>
      </c>
      <c r="CV2868">
        <v>-0.32</v>
      </c>
      <c r="CW2868">
        <v>25</v>
      </c>
      <c r="CX2868" t="s">
        <v>10548</v>
      </c>
    </row>
    <row r="2869" spans="1:102" x14ac:dyDescent="0.3">
      <c r="A2869" t="str">
        <f>HYPERLINK("https://webapp.icbf.com/v2/app/bull-search/view/77856577","HSD")</f>
        <v>HSD</v>
      </c>
      <c r="B2869" t="s">
        <v>11098</v>
      </c>
      <c r="C2869" t="s">
        <v>11099</v>
      </c>
      <c r="D2869" s="1">
        <v>32171</v>
      </c>
      <c r="E2869" t="s">
        <v>92</v>
      </c>
      <c r="F2869">
        <v>100</v>
      </c>
      <c r="G2869" t="s">
        <v>109</v>
      </c>
      <c r="H2869">
        <v>6.53</v>
      </c>
      <c r="I2869">
        <v>70</v>
      </c>
      <c r="J2869">
        <v>-24.92</v>
      </c>
      <c r="K2869">
        <v>90</v>
      </c>
      <c r="L2869">
        <v>-7.39</v>
      </c>
      <c r="M2869">
        <v>73</v>
      </c>
      <c r="N2869">
        <v>21.3</v>
      </c>
      <c r="O2869">
        <v>41</v>
      </c>
      <c r="P2869">
        <v>-0.95</v>
      </c>
      <c r="Q2869">
        <v>57</v>
      </c>
      <c r="R2869">
        <v>-2.39</v>
      </c>
      <c r="S2869">
        <v>61</v>
      </c>
      <c r="T2869">
        <v>22.19</v>
      </c>
      <c r="U2869">
        <v>55</v>
      </c>
      <c r="V2869">
        <v>-1.31</v>
      </c>
      <c r="W2869">
        <v>22</v>
      </c>
      <c r="X2869" t="s">
        <v>110</v>
      </c>
      <c r="Y2869" t="s">
        <v>95</v>
      </c>
      <c r="Z2869" t="s">
        <v>96</v>
      </c>
      <c r="AA2869" t="s">
        <v>158</v>
      </c>
      <c r="AB2869" t="s">
        <v>11100</v>
      </c>
      <c r="AC2869">
        <v>45</v>
      </c>
      <c r="AD2869">
        <v>20</v>
      </c>
      <c r="AE2869">
        <v>90</v>
      </c>
      <c r="AF2869">
        <v>-261.52</v>
      </c>
      <c r="AG2869">
        <v>-2.63</v>
      </c>
      <c r="AH2869">
        <v>-7.31</v>
      </c>
      <c r="AI2869">
        <v>0.13</v>
      </c>
      <c r="AJ2869">
        <v>0.03</v>
      </c>
      <c r="AK2869">
        <v>73</v>
      </c>
      <c r="AL2869">
        <v>47</v>
      </c>
      <c r="AM2869">
        <v>24</v>
      </c>
      <c r="AN2869">
        <v>1.1299999999999999</v>
      </c>
      <c r="AO2869">
        <v>0.55000000000000004</v>
      </c>
      <c r="AP2869">
        <v>0</v>
      </c>
      <c r="AQ2869">
        <v>1</v>
      </c>
      <c r="AR2869">
        <v>6.1</v>
      </c>
      <c r="AS2869">
        <v>25</v>
      </c>
      <c r="AT2869">
        <v>2.77</v>
      </c>
      <c r="AU2869">
        <v>43</v>
      </c>
      <c r="AV2869">
        <v>-1.65</v>
      </c>
      <c r="AW2869">
        <v>44</v>
      </c>
      <c r="AX2869">
        <v>-0.84</v>
      </c>
      <c r="AY2869">
        <v>50</v>
      </c>
      <c r="AZ2869">
        <v>6.52</v>
      </c>
      <c r="BA2869">
        <v>24</v>
      </c>
      <c r="BB2869">
        <v>5.09</v>
      </c>
      <c r="BC2869">
        <v>34</v>
      </c>
      <c r="BD2869">
        <v>0</v>
      </c>
      <c r="BE2869">
        <v>0.05</v>
      </c>
      <c r="BF2869">
        <v>-0.04</v>
      </c>
      <c r="BG2869">
        <v>80</v>
      </c>
      <c r="BH2869">
        <v>-0.01</v>
      </c>
      <c r="BI2869">
        <v>3.07</v>
      </c>
      <c r="BJ2869">
        <v>3</v>
      </c>
      <c r="BK2869">
        <v>3</v>
      </c>
      <c r="BL2869">
        <v>-0.53</v>
      </c>
      <c r="BM2869">
        <v>-0.44</v>
      </c>
      <c r="BN2869">
        <v>-1.7</v>
      </c>
      <c r="BO2869">
        <v>-0.56000000000000005</v>
      </c>
      <c r="BP2869">
        <v>-1.1000000000000001</v>
      </c>
      <c r="BQ2869">
        <v>-1.84</v>
      </c>
      <c r="BR2869">
        <v>-0.36</v>
      </c>
      <c r="BS2869">
        <v>-0.01</v>
      </c>
      <c r="BT2869">
        <v>0.8</v>
      </c>
      <c r="BU2869">
        <v>0.02</v>
      </c>
      <c r="BV2869">
        <v>0.56999999999999995</v>
      </c>
      <c r="BW2869">
        <v>0.61</v>
      </c>
      <c r="BX2869">
        <v>0.57999999999999996</v>
      </c>
      <c r="BY2869">
        <v>0.45</v>
      </c>
      <c r="BZ2869">
        <v>0.46</v>
      </c>
      <c r="CA2869">
        <v>-0.79</v>
      </c>
      <c r="CB2869">
        <v>-0.06</v>
      </c>
      <c r="CC2869">
        <v>0.13</v>
      </c>
      <c r="CD2869">
        <v>0.06</v>
      </c>
      <c r="CE2869">
        <v>-0.75</v>
      </c>
      <c r="CF2869">
        <v>-1.73</v>
      </c>
      <c r="CG2869">
        <v>0</v>
      </c>
      <c r="CH2869">
        <v>-0.8</v>
      </c>
      <c r="CI2869">
        <v>0</v>
      </c>
      <c r="CJ2869">
        <v>-0.4</v>
      </c>
      <c r="CK2869">
        <v>58</v>
      </c>
      <c r="CL2869">
        <v>-0.2</v>
      </c>
      <c r="CM2869">
        <v>54</v>
      </c>
      <c r="CN2869">
        <v>-0.27</v>
      </c>
      <c r="CO2869">
        <v>48</v>
      </c>
      <c r="CP2869">
        <v>-10</v>
      </c>
      <c r="CQ2869">
        <v>68</v>
      </c>
      <c r="CR2869">
        <v>0</v>
      </c>
      <c r="CS2869">
        <v>0</v>
      </c>
      <c r="CT2869">
        <v>-16.2</v>
      </c>
      <c r="CU2869">
        <v>55</v>
      </c>
      <c r="CV2869">
        <v>0.09</v>
      </c>
      <c r="CW2869">
        <v>15</v>
      </c>
      <c r="CX2869" t="s">
        <v>707</v>
      </c>
    </row>
    <row r="2870" spans="1:102" x14ac:dyDescent="0.3">
      <c r="A2870" t="str">
        <f>HYPERLINK("https://webapp.icbf.com/v2/app/bull-search/view/77858233","ENE")</f>
        <v>ENE</v>
      </c>
      <c r="B2870" t="s">
        <v>9592</v>
      </c>
      <c r="C2870" t="s">
        <v>9593</v>
      </c>
      <c r="D2870" s="1">
        <v>32691</v>
      </c>
      <c r="E2870" t="s">
        <v>92</v>
      </c>
      <c r="F2870">
        <v>100</v>
      </c>
      <c r="G2870" t="s">
        <v>93</v>
      </c>
      <c r="H2870">
        <v>6.42</v>
      </c>
      <c r="I2870">
        <v>95</v>
      </c>
      <c r="J2870">
        <v>15.52</v>
      </c>
      <c r="K2870">
        <v>99</v>
      </c>
      <c r="L2870">
        <v>-12.22</v>
      </c>
      <c r="M2870">
        <v>92</v>
      </c>
      <c r="N2870">
        <v>9.0299999999999994</v>
      </c>
      <c r="O2870">
        <v>93</v>
      </c>
      <c r="P2870">
        <v>-7.9</v>
      </c>
      <c r="Q2870">
        <v>98</v>
      </c>
      <c r="R2870">
        <v>-6.49</v>
      </c>
      <c r="S2870">
        <v>89</v>
      </c>
      <c r="T2870">
        <v>14.2</v>
      </c>
      <c r="U2870">
        <v>96</v>
      </c>
      <c r="V2870">
        <v>-5.72</v>
      </c>
      <c r="W2870">
        <v>84</v>
      </c>
      <c r="X2870" t="s">
        <v>110</v>
      </c>
      <c r="Y2870" t="s">
        <v>95</v>
      </c>
      <c r="Z2870" t="s">
        <v>96</v>
      </c>
      <c r="AA2870" t="s">
        <v>3577</v>
      </c>
      <c r="AB2870" t="s">
        <v>9594</v>
      </c>
      <c r="AC2870">
        <v>926</v>
      </c>
      <c r="AD2870">
        <v>406</v>
      </c>
      <c r="AE2870">
        <v>99</v>
      </c>
      <c r="AF2870">
        <v>133.18</v>
      </c>
      <c r="AG2870">
        <v>7.88</v>
      </c>
      <c r="AH2870">
        <v>1.89</v>
      </c>
      <c r="AI2870">
        <v>0.05</v>
      </c>
      <c r="AJ2870">
        <v>-0.05</v>
      </c>
      <c r="AK2870">
        <v>92</v>
      </c>
      <c r="AL2870">
        <v>1056</v>
      </c>
      <c r="AM2870">
        <v>446</v>
      </c>
      <c r="AN2870">
        <v>1.81</v>
      </c>
      <c r="AO2870">
        <v>0.85</v>
      </c>
      <c r="AP2870">
        <v>54</v>
      </c>
      <c r="AQ2870">
        <v>0</v>
      </c>
      <c r="AR2870">
        <v>4.55</v>
      </c>
      <c r="AS2870">
        <v>82</v>
      </c>
      <c r="AT2870">
        <v>2.36</v>
      </c>
      <c r="AU2870">
        <v>94</v>
      </c>
      <c r="AV2870">
        <v>1.19</v>
      </c>
      <c r="AW2870">
        <v>96</v>
      </c>
      <c r="AX2870">
        <v>-0.36</v>
      </c>
      <c r="AY2870">
        <v>97</v>
      </c>
      <c r="AZ2870">
        <v>5.31</v>
      </c>
      <c r="BA2870">
        <v>81</v>
      </c>
      <c r="BB2870">
        <v>4.3600000000000003</v>
      </c>
      <c r="BC2870">
        <v>93</v>
      </c>
      <c r="BD2870">
        <v>0.05</v>
      </c>
      <c r="BE2870">
        <v>0.04</v>
      </c>
      <c r="BF2870">
        <v>-0.01</v>
      </c>
      <c r="BG2870">
        <v>98</v>
      </c>
      <c r="BH2870">
        <v>0.05</v>
      </c>
      <c r="BI2870">
        <v>24.23</v>
      </c>
      <c r="BJ2870">
        <v>57</v>
      </c>
      <c r="BK2870">
        <v>34</v>
      </c>
      <c r="BL2870">
        <v>0.16</v>
      </c>
      <c r="BM2870">
        <v>0.36</v>
      </c>
      <c r="BN2870">
        <v>-0.5</v>
      </c>
      <c r="BO2870">
        <v>-0.54</v>
      </c>
      <c r="BP2870">
        <v>3.58</v>
      </c>
      <c r="BQ2870">
        <v>0.78</v>
      </c>
      <c r="BR2870">
        <v>0.88</v>
      </c>
      <c r="BS2870">
        <v>-1.34</v>
      </c>
      <c r="BT2870">
        <v>-0.84</v>
      </c>
      <c r="BU2870">
        <v>-0.31</v>
      </c>
      <c r="BV2870">
        <v>-0.18</v>
      </c>
      <c r="BW2870">
        <v>-0.01</v>
      </c>
      <c r="BX2870">
        <v>0.71</v>
      </c>
      <c r="BY2870">
        <v>0.63</v>
      </c>
      <c r="BZ2870">
        <v>-0.32</v>
      </c>
      <c r="CA2870">
        <v>-0.4</v>
      </c>
      <c r="CB2870">
        <v>-0.02</v>
      </c>
      <c r="CC2870">
        <v>-1.1499999999999999</v>
      </c>
      <c r="CD2870">
        <v>0.77</v>
      </c>
      <c r="CE2870">
        <v>-0.6</v>
      </c>
      <c r="CF2870">
        <v>0.03</v>
      </c>
      <c r="CG2870">
        <v>0</v>
      </c>
      <c r="CH2870">
        <v>0.56999999999999995</v>
      </c>
      <c r="CI2870">
        <v>0</v>
      </c>
      <c r="CJ2870">
        <v>-0.6</v>
      </c>
      <c r="CK2870">
        <v>98</v>
      </c>
      <c r="CL2870">
        <v>-0.64</v>
      </c>
      <c r="CM2870">
        <v>97</v>
      </c>
      <c r="CN2870">
        <v>-0.01</v>
      </c>
      <c r="CO2870">
        <v>97</v>
      </c>
      <c r="CP2870">
        <v>-3.9</v>
      </c>
      <c r="CQ2870">
        <v>98</v>
      </c>
      <c r="CR2870">
        <v>0</v>
      </c>
      <c r="CS2870">
        <v>0</v>
      </c>
      <c r="CT2870">
        <v>-5.4</v>
      </c>
      <c r="CU2870">
        <v>96</v>
      </c>
      <c r="CV2870">
        <v>7.0000000000000007E-2</v>
      </c>
      <c r="CW2870">
        <v>45</v>
      </c>
      <c r="CX2870" t="s">
        <v>9595</v>
      </c>
    </row>
    <row r="2871" spans="1:102" x14ac:dyDescent="0.3">
      <c r="A2871" t="str">
        <f>HYPERLINK("https://webapp.icbf.com/v2/app/bull-search/view/451899275","KIH")</f>
        <v>KIH</v>
      </c>
      <c r="B2871" t="s">
        <v>11980</v>
      </c>
      <c r="C2871" t="s">
        <v>11981</v>
      </c>
      <c r="D2871" s="1">
        <v>36522</v>
      </c>
      <c r="E2871" t="s">
        <v>108</v>
      </c>
      <c r="F2871">
        <v>0</v>
      </c>
      <c r="G2871" t="s">
        <v>93</v>
      </c>
      <c r="H2871">
        <v>6.41</v>
      </c>
      <c r="I2871">
        <v>74</v>
      </c>
      <c r="J2871">
        <v>-82.58</v>
      </c>
      <c r="K2871">
        <v>89</v>
      </c>
      <c r="L2871">
        <v>71.819999999999993</v>
      </c>
      <c r="M2871">
        <v>66</v>
      </c>
      <c r="N2871">
        <v>22.81</v>
      </c>
      <c r="O2871">
        <v>62</v>
      </c>
      <c r="P2871">
        <v>-16.36</v>
      </c>
      <c r="Q2871">
        <v>77</v>
      </c>
      <c r="R2871">
        <v>2.23</v>
      </c>
      <c r="S2871">
        <v>69</v>
      </c>
      <c r="T2871">
        <v>13.9</v>
      </c>
      <c r="U2871">
        <v>69</v>
      </c>
      <c r="V2871">
        <v>-5.41</v>
      </c>
      <c r="W2871">
        <v>65</v>
      </c>
      <c r="X2871" t="s">
        <v>276</v>
      </c>
      <c r="Y2871" t="s">
        <v>95</v>
      </c>
      <c r="Z2871" t="s">
        <v>96</v>
      </c>
      <c r="AA2871" t="s">
        <v>11755</v>
      </c>
      <c r="AB2871" t="s">
        <v>11982</v>
      </c>
      <c r="AC2871">
        <v>24</v>
      </c>
      <c r="AD2871">
        <v>8</v>
      </c>
      <c r="AE2871">
        <v>89</v>
      </c>
      <c r="AF2871">
        <v>-357.45</v>
      </c>
      <c r="AG2871">
        <v>-13.53</v>
      </c>
      <c r="AH2871">
        <v>-14.73</v>
      </c>
      <c r="AI2871">
        <v>0.01</v>
      </c>
      <c r="AJ2871">
        <v>-0.05</v>
      </c>
      <c r="AK2871">
        <v>66</v>
      </c>
      <c r="AL2871">
        <v>13</v>
      </c>
      <c r="AM2871">
        <v>3</v>
      </c>
      <c r="AN2871">
        <v>-4.51</v>
      </c>
      <c r="AO2871">
        <v>1.21</v>
      </c>
      <c r="AP2871">
        <v>21</v>
      </c>
      <c r="AQ2871">
        <v>0</v>
      </c>
      <c r="AR2871">
        <v>3.7</v>
      </c>
      <c r="AS2871">
        <v>55</v>
      </c>
      <c r="AT2871">
        <v>1.64</v>
      </c>
      <c r="AU2871">
        <v>65</v>
      </c>
      <c r="AV2871">
        <v>0.22</v>
      </c>
      <c r="AW2871">
        <v>66</v>
      </c>
      <c r="AX2871">
        <v>-1.03</v>
      </c>
      <c r="AY2871">
        <v>67</v>
      </c>
      <c r="AZ2871">
        <v>5.68</v>
      </c>
      <c r="BA2871">
        <v>42</v>
      </c>
      <c r="BB2871">
        <v>4.58</v>
      </c>
      <c r="BC2871">
        <v>47</v>
      </c>
      <c r="BD2871">
        <v>-0.02</v>
      </c>
      <c r="BE2871">
        <v>-0.02</v>
      </c>
      <c r="BF2871">
        <v>0.02</v>
      </c>
      <c r="BG2871">
        <v>77</v>
      </c>
      <c r="BH2871">
        <v>-0.31</v>
      </c>
      <c r="BI2871">
        <v>-18.399999999999999</v>
      </c>
      <c r="BJ2871">
        <v>0</v>
      </c>
      <c r="BK2871">
        <v>0</v>
      </c>
      <c r="BL2871">
        <v>-3.54</v>
      </c>
      <c r="BM2871">
        <v>1.37</v>
      </c>
      <c r="BN2871">
        <v>-2.48</v>
      </c>
      <c r="BO2871">
        <v>-3.06</v>
      </c>
      <c r="BP2871">
        <v>0.83</v>
      </c>
      <c r="BQ2871">
        <v>0.8</v>
      </c>
      <c r="BR2871">
        <v>-0.46</v>
      </c>
      <c r="BS2871">
        <v>0.46</v>
      </c>
      <c r="BT2871">
        <v>0.45</v>
      </c>
      <c r="BU2871">
        <v>-1.99</v>
      </c>
      <c r="BV2871">
        <v>-2.2200000000000002</v>
      </c>
      <c r="BW2871">
        <v>-2.37</v>
      </c>
      <c r="BX2871">
        <v>-1.49</v>
      </c>
      <c r="BY2871">
        <v>-1.67</v>
      </c>
      <c r="BZ2871">
        <v>-0.86</v>
      </c>
      <c r="CA2871">
        <v>-1.54</v>
      </c>
      <c r="CB2871">
        <v>-2.23</v>
      </c>
      <c r="CC2871">
        <v>-0.37</v>
      </c>
      <c r="CD2871">
        <v>2.66</v>
      </c>
      <c r="CE2871">
        <v>-2.98</v>
      </c>
      <c r="CF2871">
        <v>-2.69</v>
      </c>
      <c r="CG2871">
        <v>0</v>
      </c>
      <c r="CH2871">
        <v>-0.48</v>
      </c>
      <c r="CI2871">
        <v>0</v>
      </c>
      <c r="CJ2871">
        <v>-7.5</v>
      </c>
      <c r="CK2871">
        <v>79</v>
      </c>
      <c r="CL2871">
        <v>-0.34</v>
      </c>
      <c r="CM2871">
        <v>76</v>
      </c>
      <c r="CN2871">
        <v>0.13</v>
      </c>
      <c r="CO2871">
        <v>75</v>
      </c>
      <c r="CP2871">
        <v>-6.5</v>
      </c>
      <c r="CQ2871">
        <v>75</v>
      </c>
      <c r="CR2871">
        <v>0</v>
      </c>
      <c r="CS2871">
        <v>0</v>
      </c>
      <c r="CT2871">
        <v>-5</v>
      </c>
      <c r="CU2871">
        <v>69</v>
      </c>
      <c r="CV2871">
        <v>-0.01</v>
      </c>
      <c r="CW2871">
        <v>41</v>
      </c>
      <c r="CX2871" t="s">
        <v>3957</v>
      </c>
    </row>
    <row r="2872" spans="1:102" x14ac:dyDescent="0.3">
      <c r="A2872" t="str">
        <f>HYPERLINK("https://webapp.icbf.com/v2/app/bull-search/view/192724699","IVI")</f>
        <v>IVI</v>
      </c>
      <c r="B2872" t="s">
        <v>4104</v>
      </c>
      <c r="C2872" t="s">
        <v>4105</v>
      </c>
      <c r="D2872" s="1">
        <v>36044</v>
      </c>
      <c r="E2872" t="s">
        <v>92</v>
      </c>
      <c r="F2872">
        <v>100</v>
      </c>
      <c r="G2872" t="s">
        <v>93</v>
      </c>
      <c r="H2872">
        <v>6.39</v>
      </c>
      <c r="I2872">
        <v>97</v>
      </c>
      <c r="J2872">
        <v>51.32</v>
      </c>
      <c r="K2872">
        <v>99</v>
      </c>
      <c r="L2872">
        <v>-45.77</v>
      </c>
      <c r="M2872">
        <v>95</v>
      </c>
      <c r="N2872">
        <v>7.92</v>
      </c>
      <c r="O2872">
        <v>98</v>
      </c>
      <c r="P2872">
        <v>-20.67</v>
      </c>
      <c r="Q2872">
        <v>99</v>
      </c>
      <c r="R2872">
        <v>-0.15</v>
      </c>
      <c r="S2872">
        <v>97</v>
      </c>
      <c r="T2872">
        <v>16.420000000000002</v>
      </c>
      <c r="U2872">
        <v>99</v>
      </c>
      <c r="V2872">
        <v>-2.68</v>
      </c>
      <c r="W2872">
        <v>98</v>
      </c>
      <c r="X2872" t="s">
        <v>288</v>
      </c>
      <c r="Y2872" t="s">
        <v>95</v>
      </c>
      <c r="Z2872" t="s">
        <v>96</v>
      </c>
      <c r="AA2872" t="s">
        <v>4106</v>
      </c>
      <c r="AB2872" t="s">
        <v>4107</v>
      </c>
      <c r="AC2872">
        <v>1748</v>
      </c>
      <c r="AD2872">
        <v>487</v>
      </c>
      <c r="AE2872">
        <v>99</v>
      </c>
      <c r="AF2872">
        <v>130.22999999999999</v>
      </c>
      <c r="AG2872">
        <v>14.93</v>
      </c>
      <c r="AH2872">
        <v>5.44</v>
      </c>
      <c r="AI2872">
        <v>0.17</v>
      </c>
      <c r="AJ2872">
        <v>0.02</v>
      </c>
      <c r="AK2872">
        <v>95</v>
      </c>
      <c r="AL2872">
        <v>1856</v>
      </c>
      <c r="AM2872">
        <v>522</v>
      </c>
      <c r="AN2872">
        <v>2.52</v>
      </c>
      <c r="AO2872">
        <v>-1.1299999999999999</v>
      </c>
      <c r="AP2872">
        <v>3237</v>
      </c>
      <c r="AQ2872">
        <v>6</v>
      </c>
      <c r="AR2872">
        <v>7.5</v>
      </c>
      <c r="AS2872">
        <v>98</v>
      </c>
      <c r="AT2872">
        <v>3.61</v>
      </c>
      <c r="AU2872">
        <v>99</v>
      </c>
      <c r="AV2872">
        <v>-1.25</v>
      </c>
      <c r="AW2872">
        <v>99</v>
      </c>
      <c r="AX2872">
        <v>0.08</v>
      </c>
      <c r="AY2872">
        <v>99</v>
      </c>
      <c r="AZ2872">
        <v>6.69</v>
      </c>
      <c r="BA2872">
        <v>95</v>
      </c>
      <c r="BB2872">
        <v>4.45</v>
      </c>
      <c r="BC2872">
        <v>96</v>
      </c>
      <c r="BD2872">
        <v>-0.04</v>
      </c>
      <c r="BE2872">
        <v>0</v>
      </c>
      <c r="BF2872">
        <v>7.0000000000000007E-2</v>
      </c>
      <c r="BG2872">
        <v>99</v>
      </c>
      <c r="BH2872">
        <v>0.03</v>
      </c>
      <c r="BI2872">
        <v>12.11</v>
      </c>
      <c r="BJ2872">
        <v>329</v>
      </c>
      <c r="BK2872">
        <v>97</v>
      </c>
      <c r="BL2872">
        <v>0.3</v>
      </c>
      <c r="BM2872">
        <v>-1.1499999999999999</v>
      </c>
      <c r="BN2872">
        <v>-0.65</v>
      </c>
      <c r="BO2872">
        <v>0.46</v>
      </c>
      <c r="BP2872">
        <v>-0.6</v>
      </c>
      <c r="BQ2872">
        <v>-0.56999999999999995</v>
      </c>
      <c r="BR2872">
        <v>1.3</v>
      </c>
      <c r="BS2872">
        <v>-1.1499999999999999</v>
      </c>
      <c r="BT2872">
        <v>-0.25</v>
      </c>
      <c r="BU2872">
        <v>0.54</v>
      </c>
      <c r="BV2872">
        <v>0.47</v>
      </c>
      <c r="BW2872">
        <v>0.19</v>
      </c>
      <c r="BX2872">
        <v>0.63</v>
      </c>
      <c r="BY2872">
        <v>2.6</v>
      </c>
      <c r="BZ2872">
        <v>-2.15</v>
      </c>
      <c r="CA2872">
        <v>0.37</v>
      </c>
      <c r="CB2872">
        <v>0.71</v>
      </c>
      <c r="CC2872">
        <v>-0.69</v>
      </c>
      <c r="CD2872">
        <v>-0.53</v>
      </c>
      <c r="CE2872">
        <v>0.49</v>
      </c>
      <c r="CF2872">
        <v>-0.28000000000000003</v>
      </c>
      <c r="CG2872">
        <v>0</v>
      </c>
      <c r="CH2872">
        <v>2.56</v>
      </c>
      <c r="CI2872">
        <v>0</v>
      </c>
      <c r="CJ2872">
        <v>-6.5</v>
      </c>
      <c r="CK2872">
        <v>99</v>
      </c>
      <c r="CL2872">
        <v>-1.06</v>
      </c>
      <c r="CM2872">
        <v>99</v>
      </c>
      <c r="CN2872">
        <v>-0.08</v>
      </c>
      <c r="CO2872">
        <v>99</v>
      </c>
      <c r="CP2872">
        <v>-11.3</v>
      </c>
      <c r="CQ2872">
        <v>99</v>
      </c>
      <c r="CR2872">
        <v>0</v>
      </c>
      <c r="CS2872">
        <v>0</v>
      </c>
      <c r="CT2872">
        <v>-8.4</v>
      </c>
      <c r="CU2872">
        <v>99</v>
      </c>
      <c r="CV2872">
        <v>0.19</v>
      </c>
      <c r="CW2872">
        <v>46</v>
      </c>
      <c r="CX2872" t="s">
        <v>529</v>
      </c>
    </row>
    <row r="2873" spans="1:102" x14ac:dyDescent="0.3">
      <c r="A2873" t="str">
        <f>HYPERLINK("https://webapp.icbf.com/v2/app/bull-search/view/77859532","BCU")</f>
        <v>BCU</v>
      </c>
      <c r="B2873" t="s">
        <v>10896</v>
      </c>
      <c r="C2873" t="s">
        <v>10897</v>
      </c>
      <c r="D2873" s="1">
        <v>34026</v>
      </c>
      <c r="E2873" t="s">
        <v>92</v>
      </c>
      <c r="F2873">
        <v>100</v>
      </c>
      <c r="G2873" t="s">
        <v>93</v>
      </c>
      <c r="H2873">
        <v>6.37</v>
      </c>
      <c r="I2873">
        <v>72</v>
      </c>
      <c r="J2873">
        <v>20.16</v>
      </c>
      <c r="K2873">
        <v>91</v>
      </c>
      <c r="L2873">
        <v>-18.420000000000002</v>
      </c>
      <c r="M2873">
        <v>63</v>
      </c>
      <c r="N2873">
        <v>8.85</v>
      </c>
      <c r="O2873">
        <v>52</v>
      </c>
      <c r="P2873">
        <v>-19.68</v>
      </c>
      <c r="Q2873">
        <v>73</v>
      </c>
      <c r="R2873">
        <v>-4.8600000000000003</v>
      </c>
      <c r="S2873">
        <v>65</v>
      </c>
      <c r="T2873">
        <v>17.3</v>
      </c>
      <c r="U2873">
        <v>84</v>
      </c>
      <c r="V2873">
        <v>3.02</v>
      </c>
      <c r="W2873">
        <v>31</v>
      </c>
      <c r="X2873" t="s">
        <v>94</v>
      </c>
      <c r="Y2873" t="s">
        <v>95</v>
      </c>
      <c r="Z2873" t="s">
        <v>96</v>
      </c>
      <c r="AA2873" t="s">
        <v>666</v>
      </c>
      <c r="AB2873" t="s">
        <v>10898</v>
      </c>
      <c r="AC2873">
        <v>53</v>
      </c>
      <c r="AD2873">
        <v>36</v>
      </c>
      <c r="AE2873">
        <v>91</v>
      </c>
      <c r="AF2873">
        <v>335.97</v>
      </c>
      <c r="AG2873">
        <v>1.53</v>
      </c>
      <c r="AH2873">
        <v>8.0299999999999994</v>
      </c>
      <c r="AI2873">
        <v>-0.18</v>
      </c>
      <c r="AJ2873">
        <v>-0.05</v>
      </c>
      <c r="AK2873">
        <v>63</v>
      </c>
      <c r="AL2873">
        <v>80</v>
      </c>
      <c r="AM2873">
        <v>51</v>
      </c>
      <c r="AN2873">
        <v>1.71</v>
      </c>
      <c r="AO2873">
        <v>0.25</v>
      </c>
      <c r="AP2873">
        <v>4</v>
      </c>
      <c r="AQ2873">
        <v>4</v>
      </c>
      <c r="AR2873">
        <v>7.66</v>
      </c>
      <c r="AS2873">
        <v>27</v>
      </c>
      <c r="AT2873">
        <v>3.3</v>
      </c>
      <c r="AU2873">
        <v>51</v>
      </c>
      <c r="AV2873">
        <v>-0.99</v>
      </c>
      <c r="AW2873">
        <v>60</v>
      </c>
      <c r="AX2873">
        <v>-0.13</v>
      </c>
      <c r="AY2873">
        <v>66</v>
      </c>
      <c r="AZ2873">
        <v>6</v>
      </c>
      <c r="BA2873">
        <v>28</v>
      </c>
      <c r="BB2873">
        <v>4.6500000000000004</v>
      </c>
      <c r="BC2873">
        <v>44</v>
      </c>
      <c r="BD2873">
        <v>0.04</v>
      </c>
      <c r="BE2873">
        <v>0.05</v>
      </c>
      <c r="BF2873">
        <v>-0.05</v>
      </c>
      <c r="BG2873">
        <v>83</v>
      </c>
      <c r="BH2873">
        <v>0.14000000000000001</v>
      </c>
      <c r="BI2873">
        <v>6.44</v>
      </c>
      <c r="BJ2873">
        <v>10</v>
      </c>
      <c r="BK2873">
        <v>9</v>
      </c>
      <c r="BL2873">
        <v>-0.64</v>
      </c>
      <c r="BM2873">
        <v>0.62</v>
      </c>
      <c r="BN2873">
        <v>-0.7</v>
      </c>
      <c r="BO2873">
        <v>-0.84</v>
      </c>
      <c r="BP2873">
        <v>1.22</v>
      </c>
      <c r="BQ2873">
        <v>-0.34</v>
      </c>
      <c r="BR2873">
        <v>0.67</v>
      </c>
      <c r="BS2873">
        <v>-0.64</v>
      </c>
      <c r="BT2873">
        <v>-0.88</v>
      </c>
      <c r="BU2873">
        <v>-1</v>
      </c>
      <c r="BV2873">
        <v>-0.39</v>
      </c>
      <c r="BW2873">
        <v>-0.69</v>
      </c>
      <c r="BX2873">
        <v>-1.42</v>
      </c>
      <c r="BY2873">
        <v>-1.63</v>
      </c>
      <c r="BZ2873">
        <v>0.76</v>
      </c>
      <c r="CA2873">
        <v>-0.76</v>
      </c>
      <c r="CB2873">
        <v>-0.77</v>
      </c>
      <c r="CC2873">
        <v>-0.47</v>
      </c>
      <c r="CD2873">
        <v>0.73</v>
      </c>
      <c r="CE2873">
        <v>-0.65</v>
      </c>
      <c r="CF2873">
        <v>-1.1499999999999999</v>
      </c>
      <c r="CG2873">
        <v>0</v>
      </c>
      <c r="CH2873">
        <v>-1.33</v>
      </c>
      <c r="CI2873">
        <v>0</v>
      </c>
      <c r="CJ2873">
        <v>-8.1</v>
      </c>
      <c r="CK2873">
        <v>74</v>
      </c>
      <c r="CL2873">
        <v>-0.66</v>
      </c>
      <c r="CM2873">
        <v>70</v>
      </c>
      <c r="CN2873">
        <v>-0.03</v>
      </c>
      <c r="CO2873">
        <v>66</v>
      </c>
      <c r="CP2873">
        <v>-13.6</v>
      </c>
      <c r="CQ2873">
        <v>80</v>
      </c>
      <c r="CR2873">
        <v>0</v>
      </c>
      <c r="CS2873">
        <v>0</v>
      </c>
      <c r="CT2873">
        <v>-9.6</v>
      </c>
      <c r="CU2873">
        <v>84</v>
      </c>
      <c r="CV2873">
        <v>0.11</v>
      </c>
      <c r="CW2873">
        <v>20</v>
      </c>
      <c r="CX2873" t="s">
        <v>128</v>
      </c>
    </row>
    <row r="2874" spans="1:102" x14ac:dyDescent="0.3">
      <c r="A2874" t="str">
        <f>HYPERLINK("https://webapp.icbf.com/v2/app/bull-search/view/860567748","MFJ")</f>
        <v>MFJ</v>
      </c>
      <c r="B2874" t="s">
        <v>12901</v>
      </c>
      <c r="C2874" t="s">
        <v>12902</v>
      </c>
      <c r="D2874" s="1">
        <v>40224</v>
      </c>
      <c r="E2874" t="s">
        <v>92</v>
      </c>
      <c r="F2874">
        <v>100</v>
      </c>
      <c r="G2874" t="s">
        <v>109</v>
      </c>
      <c r="H2874">
        <v>6.36</v>
      </c>
      <c r="I2874">
        <v>74</v>
      </c>
      <c r="J2874">
        <v>61.02</v>
      </c>
      <c r="K2874">
        <v>92</v>
      </c>
      <c r="L2874">
        <v>-73.59</v>
      </c>
      <c r="M2874">
        <v>75</v>
      </c>
      <c r="N2874">
        <v>21.99</v>
      </c>
      <c r="O2874">
        <v>53</v>
      </c>
      <c r="P2874">
        <v>-12.84</v>
      </c>
      <c r="Q2874">
        <v>48</v>
      </c>
      <c r="R2874">
        <v>3.48</v>
      </c>
      <c r="S2874">
        <v>72</v>
      </c>
      <c r="T2874">
        <v>5.39</v>
      </c>
      <c r="U2874">
        <v>51</v>
      </c>
      <c r="V2874">
        <v>0.91</v>
      </c>
      <c r="W2874">
        <v>64</v>
      </c>
      <c r="X2874" t="s">
        <v>251</v>
      </c>
      <c r="Y2874" t="s">
        <v>5454</v>
      </c>
      <c r="Z2874" t="s">
        <v>96</v>
      </c>
      <c r="AA2874" t="s">
        <v>12903</v>
      </c>
      <c r="AB2874" t="s">
        <v>12904</v>
      </c>
      <c r="AC2874">
        <v>0</v>
      </c>
      <c r="AD2874">
        <v>0</v>
      </c>
      <c r="AE2874">
        <v>92</v>
      </c>
      <c r="AF2874">
        <v>436.08</v>
      </c>
      <c r="AG2874">
        <v>9.76</v>
      </c>
      <c r="AH2874">
        <v>13.6</v>
      </c>
      <c r="AI2874">
        <v>-0.12</v>
      </c>
      <c r="AJ2874">
        <v>-0.02</v>
      </c>
      <c r="AK2874">
        <v>75</v>
      </c>
      <c r="AL2874">
        <v>0</v>
      </c>
      <c r="AM2874">
        <v>0</v>
      </c>
      <c r="AN2874">
        <v>5.49</v>
      </c>
      <c r="AO2874">
        <v>-0.36</v>
      </c>
      <c r="AP2874">
        <v>1</v>
      </c>
      <c r="AQ2874">
        <v>0</v>
      </c>
      <c r="AR2874">
        <v>7.8</v>
      </c>
      <c r="AS2874">
        <v>56</v>
      </c>
      <c r="AT2874">
        <v>2.5499999999999998</v>
      </c>
      <c r="AU2874">
        <v>67</v>
      </c>
      <c r="AV2874">
        <v>-2.2599999999999998</v>
      </c>
      <c r="AW2874">
        <v>47</v>
      </c>
      <c r="AX2874">
        <v>0.04</v>
      </c>
      <c r="AY2874">
        <v>48</v>
      </c>
      <c r="AZ2874">
        <v>6.64</v>
      </c>
      <c r="BA2874">
        <v>46</v>
      </c>
      <c r="BB2874">
        <v>4.9800000000000004</v>
      </c>
      <c r="BC2874">
        <v>48</v>
      </c>
      <c r="BD2874">
        <v>0</v>
      </c>
      <c r="BE2874">
        <v>0</v>
      </c>
      <c r="BF2874">
        <v>-0.08</v>
      </c>
      <c r="BG2874">
        <v>84</v>
      </c>
      <c r="BH2874">
        <v>-0.1</v>
      </c>
      <c r="BI2874">
        <v>-14.51</v>
      </c>
      <c r="BJ2874">
        <v>0</v>
      </c>
      <c r="BK2874">
        <v>0</v>
      </c>
      <c r="BL2874">
        <v>1.4</v>
      </c>
      <c r="BM2874">
        <v>-0.76</v>
      </c>
      <c r="BN2874">
        <v>-0.05</v>
      </c>
      <c r="BO2874">
        <v>0.99</v>
      </c>
      <c r="BP2874">
        <v>-0.05</v>
      </c>
      <c r="BQ2874">
        <v>0.48</v>
      </c>
      <c r="BR2874">
        <v>-0.89</v>
      </c>
      <c r="BS2874">
        <v>2.93</v>
      </c>
      <c r="BT2874">
        <v>1.34</v>
      </c>
      <c r="BU2874">
        <v>0.03</v>
      </c>
      <c r="BV2874">
        <v>1.33</v>
      </c>
      <c r="BW2874">
        <v>0.81</v>
      </c>
      <c r="BX2874">
        <v>-0.14000000000000001</v>
      </c>
      <c r="BY2874">
        <v>-0.35</v>
      </c>
      <c r="BZ2874">
        <v>0.88</v>
      </c>
      <c r="CA2874">
        <v>0.65</v>
      </c>
      <c r="CB2874">
        <v>0.22</v>
      </c>
      <c r="CC2874">
        <v>1.51</v>
      </c>
      <c r="CD2874">
        <v>-0.45</v>
      </c>
      <c r="CE2874">
        <v>0.66</v>
      </c>
      <c r="CF2874">
        <v>0.57999999999999996</v>
      </c>
      <c r="CG2874">
        <v>0</v>
      </c>
      <c r="CH2874">
        <v>0.27</v>
      </c>
      <c r="CI2874">
        <v>0</v>
      </c>
      <c r="CJ2874">
        <v>-4.5999999999999996</v>
      </c>
      <c r="CK2874">
        <v>48</v>
      </c>
      <c r="CL2874">
        <v>-1.1100000000000001</v>
      </c>
      <c r="CM2874">
        <v>47</v>
      </c>
      <c r="CN2874">
        <v>-0.47</v>
      </c>
      <c r="CO2874">
        <v>46</v>
      </c>
      <c r="CP2874">
        <v>-3.6</v>
      </c>
      <c r="CQ2874">
        <v>49</v>
      </c>
      <c r="CR2874">
        <v>0</v>
      </c>
      <c r="CS2874">
        <v>0</v>
      </c>
      <c r="CT2874">
        <v>6.5</v>
      </c>
      <c r="CU2874">
        <v>51</v>
      </c>
      <c r="CV2874">
        <v>0.19</v>
      </c>
      <c r="CW2874">
        <v>35</v>
      </c>
      <c r="CX2874" t="s">
        <v>476</v>
      </c>
    </row>
    <row r="2875" spans="1:102" x14ac:dyDescent="0.3">
      <c r="A2875" t="str">
        <f>HYPERLINK("https://webapp.icbf.com/v2/app/bull-search/view/77858971","CLI")</f>
        <v>CLI</v>
      </c>
      <c r="B2875" t="s">
        <v>15701</v>
      </c>
      <c r="C2875" t="s">
        <v>15702</v>
      </c>
      <c r="D2875" s="1">
        <v>33600</v>
      </c>
      <c r="E2875" t="s">
        <v>92</v>
      </c>
      <c r="F2875">
        <v>100</v>
      </c>
      <c r="G2875" t="s">
        <v>93</v>
      </c>
      <c r="H2875">
        <v>6.3</v>
      </c>
      <c r="I2875">
        <v>71</v>
      </c>
      <c r="J2875">
        <v>-60.29</v>
      </c>
      <c r="K2875">
        <v>90</v>
      </c>
      <c r="L2875">
        <v>61.45</v>
      </c>
      <c r="M2875">
        <v>62</v>
      </c>
      <c r="N2875">
        <v>17.09</v>
      </c>
      <c r="O2875">
        <v>52</v>
      </c>
      <c r="P2875">
        <v>-11.79</v>
      </c>
      <c r="Q2875">
        <v>68</v>
      </c>
      <c r="R2875">
        <v>-25.24</v>
      </c>
      <c r="S2875">
        <v>66</v>
      </c>
      <c r="T2875">
        <v>30.4</v>
      </c>
      <c r="U2875">
        <v>84</v>
      </c>
      <c r="V2875">
        <v>-5.32</v>
      </c>
      <c r="W2875">
        <v>31</v>
      </c>
      <c r="X2875" t="s">
        <v>94</v>
      </c>
      <c r="Y2875" t="s">
        <v>95</v>
      </c>
      <c r="Z2875" t="s">
        <v>96</v>
      </c>
      <c r="AA2875" t="s">
        <v>638</v>
      </c>
      <c r="AB2875" t="s">
        <v>15658</v>
      </c>
      <c r="AC2875">
        <v>55</v>
      </c>
      <c r="AD2875">
        <v>40</v>
      </c>
      <c r="AE2875">
        <v>90</v>
      </c>
      <c r="AF2875">
        <v>-128.68</v>
      </c>
      <c r="AG2875">
        <v>-6.48</v>
      </c>
      <c r="AH2875">
        <v>-9.93</v>
      </c>
      <c r="AI2875">
        <v>-0.02</v>
      </c>
      <c r="AJ2875">
        <v>-0.09</v>
      </c>
      <c r="AK2875">
        <v>62</v>
      </c>
      <c r="AL2875">
        <v>87</v>
      </c>
      <c r="AM2875">
        <v>59</v>
      </c>
      <c r="AN2875">
        <v>-1.83</v>
      </c>
      <c r="AO2875">
        <v>3.09</v>
      </c>
      <c r="AP2875">
        <v>3</v>
      </c>
      <c r="AQ2875">
        <v>0</v>
      </c>
      <c r="AR2875">
        <v>5.2</v>
      </c>
      <c r="AS2875">
        <v>26</v>
      </c>
      <c r="AT2875">
        <v>2.59</v>
      </c>
      <c r="AU2875">
        <v>45</v>
      </c>
      <c r="AV2875">
        <v>-0.73</v>
      </c>
      <c r="AW2875">
        <v>64</v>
      </c>
      <c r="AX2875">
        <v>-0.27</v>
      </c>
      <c r="AY2875">
        <v>62</v>
      </c>
      <c r="AZ2875">
        <v>5.85</v>
      </c>
      <c r="BA2875">
        <v>26</v>
      </c>
      <c r="BB2875">
        <v>5.0599999999999996</v>
      </c>
      <c r="BC2875">
        <v>42</v>
      </c>
      <c r="BD2875">
        <v>0.08</v>
      </c>
      <c r="BE2875">
        <v>0.13</v>
      </c>
      <c r="BF2875">
        <v>0.2</v>
      </c>
      <c r="BG2875">
        <v>85</v>
      </c>
      <c r="BH2875">
        <v>-0.01</v>
      </c>
      <c r="BI2875">
        <v>16.010000000000002</v>
      </c>
      <c r="BJ2875">
        <v>19</v>
      </c>
      <c r="BK2875">
        <v>13</v>
      </c>
      <c r="BL2875">
        <v>-0.5</v>
      </c>
      <c r="BM2875">
        <v>1.28</v>
      </c>
      <c r="BN2875">
        <v>0.17</v>
      </c>
      <c r="BO2875">
        <v>-1</v>
      </c>
      <c r="BP2875">
        <v>-0.37</v>
      </c>
      <c r="BQ2875">
        <v>-0.26</v>
      </c>
      <c r="BR2875">
        <v>-0.45</v>
      </c>
      <c r="BS2875">
        <v>-0.28999999999999998</v>
      </c>
      <c r="BT2875">
        <v>0.62</v>
      </c>
      <c r="BU2875">
        <v>-1.34</v>
      </c>
      <c r="BV2875">
        <v>-1.0900000000000001</v>
      </c>
      <c r="BW2875">
        <v>-1.38</v>
      </c>
      <c r="BX2875">
        <v>-0.72</v>
      </c>
      <c r="BY2875">
        <v>-0.95</v>
      </c>
      <c r="BZ2875">
        <v>1.9</v>
      </c>
      <c r="CA2875">
        <v>-1.22</v>
      </c>
      <c r="CB2875">
        <v>-1.04</v>
      </c>
      <c r="CC2875">
        <v>-0.73</v>
      </c>
      <c r="CD2875">
        <v>0.57999999999999996</v>
      </c>
      <c r="CE2875">
        <v>-0.34</v>
      </c>
      <c r="CF2875">
        <v>-0.21</v>
      </c>
      <c r="CG2875">
        <v>0</v>
      </c>
      <c r="CH2875">
        <v>-0.94</v>
      </c>
      <c r="CI2875">
        <v>0</v>
      </c>
      <c r="CJ2875">
        <v>-6.1</v>
      </c>
      <c r="CK2875">
        <v>70</v>
      </c>
      <c r="CL2875">
        <v>-0.43</v>
      </c>
      <c r="CM2875">
        <v>65</v>
      </c>
      <c r="CN2875">
        <v>-0.27</v>
      </c>
      <c r="CO2875">
        <v>61</v>
      </c>
      <c r="CP2875">
        <v>-14</v>
      </c>
      <c r="CQ2875">
        <v>76</v>
      </c>
      <c r="CR2875">
        <v>0</v>
      </c>
      <c r="CS2875">
        <v>0</v>
      </c>
      <c r="CT2875">
        <v>-27.3</v>
      </c>
      <c r="CU2875">
        <v>84</v>
      </c>
      <c r="CV2875">
        <v>0.01</v>
      </c>
      <c r="CW2875">
        <v>19</v>
      </c>
      <c r="CX2875" t="s">
        <v>154</v>
      </c>
    </row>
    <row r="2876" spans="1:102" x14ac:dyDescent="0.3">
      <c r="A2876" t="str">
        <f>HYPERLINK("https://webapp.icbf.com/v2/app/bull-search/view/77859889","BPM")</f>
        <v>BPM</v>
      </c>
      <c r="B2876" t="s">
        <v>3578</v>
      </c>
      <c r="C2876" t="s">
        <v>3579</v>
      </c>
      <c r="D2876" s="1">
        <v>32731</v>
      </c>
      <c r="E2876" t="s">
        <v>92</v>
      </c>
      <c r="F2876">
        <v>75</v>
      </c>
      <c r="G2876" t="s">
        <v>93</v>
      </c>
      <c r="H2876">
        <v>6.26</v>
      </c>
      <c r="I2876">
        <v>68</v>
      </c>
      <c r="J2876">
        <v>8.48</v>
      </c>
      <c r="K2876">
        <v>87</v>
      </c>
      <c r="L2876">
        <v>-28.57</v>
      </c>
      <c r="M2876">
        <v>55</v>
      </c>
      <c r="N2876">
        <v>24.36</v>
      </c>
      <c r="O2876">
        <v>63</v>
      </c>
      <c r="P2876">
        <v>-18.23</v>
      </c>
      <c r="Q2876">
        <v>78</v>
      </c>
      <c r="R2876">
        <v>-1.61</v>
      </c>
      <c r="S2876">
        <v>55</v>
      </c>
      <c r="T2876">
        <v>21</v>
      </c>
      <c r="U2876">
        <v>59</v>
      </c>
      <c r="V2876">
        <v>0.83</v>
      </c>
      <c r="W2876">
        <v>38</v>
      </c>
      <c r="X2876" t="s">
        <v>94</v>
      </c>
      <c r="Y2876" t="s">
        <v>95</v>
      </c>
      <c r="Z2876" t="s">
        <v>96</v>
      </c>
      <c r="AA2876" t="s">
        <v>3580</v>
      </c>
      <c r="AB2876" t="s">
        <v>3581</v>
      </c>
      <c r="AC2876">
        <v>32</v>
      </c>
      <c r="AD2876">
        <v>25</v>
      </c>
      <c r="AE2876">
        <v>87</v>
      </c>
      <c r="AF2876">
        <v>47.5</v>
      </c>
      <c r="AG2876">
        <v>-1.7</v>
      </c>
      <c r="AH2876">
        <v>2.77</v>
      </c>
      <c r="AI2876">
        <v>-0.06</v>
      </c>
      <c r="AJ2876">
        <v>0.02</v>
      </c>
      <c r="AK2876">
        <v>55</v>
      </c>
      <c r="AL2876">
        <v>51</v>
      </c>
      <c r="AM2876">
        <v>39</v>
      </c>
      <c r="AN2876">
        <v>1.44</v>
      </c>
      <c r="AO2876">
        <v>-0.84</v>
      </c>
      <c r="AP2876">
        <v>28</v>
      </c>
      <c r="AQ2876">
        <v>3</v>
      </c>
      <c r="AR2876">
        <v>5.96</v>
      </c>
      <c r="AS2876">
        <v>38</v>
      </c>
      <c r="AT2876">
        <v>2.6</v>
      </c>
      <c r="AU2876">
        <v>51</v>
      </c>
      <c r="AV2876">
        <v>-1.96</v>
      </c>
      <c r="AW2876">
        <v>87</v>
      </c>
      <c r="AX2876">
        <v>-0.17</v>
      </c>
      <c r="AY2876">
        <v>63</v>
      </c>
      <c r="AZ2876">
        <v>6.17</v>
      </c>
      <c r="BA2876">
        <v>34</v>
      </c>
      <c r="BB2876">
        <v>5.07</v>
      </c>
      <c r="BC2876">
        <v>34</v>
      </c>
      <c r="BD2876">
        <v>0.03</v>
      </c>
      <c r="BE2876">
        <v>0.03</v>
      </c>
      <c r="BF2876">
        <v>-7.0000000000000007E-2</v>
      </c>
      <c r="BG2876">
        <v>72</v>
      </c>
      <c r="BH2876">
        <v>0.05</v>
      </c>
      <c r="BI2876">
        <v>3.12</v>
      </c>
      <c r="BJ2876">
        <v>3</v>
      </c>
      <c r="BK2876">
        <v>3</v>
      </c>
      <c r="BL2876">
        <v>-0.76</v>
      </c>
      <c r="BM2876">
        <v>1.1200000000000001</v>
      </c>
      <c r="BN2876">
        <v>-0.2</v>
      </c>
      <c r="BO2876">
        <v>-1.21</v>
      </c>
      <c r="BP2876">
        <v>-0.36</v>
      </c>
      <c r="BQ2876">
        <v>0.3</v>
      </c>
      <c r="BR2876">
        <v>-0.85</v>
      </c>
      <c r="BS2876">
        <v>0.19</v>
      </c>
      <c r="BT2876">
        <v>0.79</v>
      </c>
      <c r="BU2876">
        <v>-0.62</v>
      </c>
      <c r="BV2876">
        <v>-0.7</v>
      </c>
      <c r="BW2876">
        <v>-0.81</v>
      </c>
      <c r="BX2876">
        <v>-0.43</v>
      </c>
      <c r="BY2876">
        <v>-0.59</v>
      </c>
      <c r="BZ2876">
        <v>-0.66</v>
      </c>
      <c r="CA2876">
        <v>-1.04</v>
      </c>
      <c r="CB2876">
        <v>-1.18</v>
      </c>
      <c r="CC2876">
        <v>-0.31</v>
      </c>
      <c r="CD2876">
        <v>1.53</v>
      </c>
      <c r="CE2876">
        <v>-1.2</v>
      </c>
      <c r="CF2876">
        <v>-0.57999999999999996</v>
      </c>
      <c r="CG2876">
        <v>0</v>
      </c>
      <c r="CH2876">
        <v>-0.83</v>
      </c>
      <c r="CI2876">
        <v>0</v>
      </c>
      <c r="CJ2876">
        <v>-8.1</v>
      </c>
      <c r="CK2876">
        <v>81</v>
      </c>
      <c r="CL2876">
        <v>-0.54</v>
      </c>
      <c r="CM2876">
        <v>77</v>
      </c>
      <c r="CN2876">
        <v>0.01</v>
      </c>
      <c r="CO2876">
        <v>75</v>
      </c>
      <c r="CP2876">
        <v>-9.1</v>
      </c>
      <c r="CQ2876">
        <v>68</v>
      </c>
      <c r="CR2876">
        <v>0</v>
      </c>
      <c r="CS2876">
        <v>0</v>
      </c>
      <c r="CT2876">
        <v>-14.6</v>
      </c>
      <c r="CU2876">
        <v>59</v>
      </c>
      <c r="CV2876">
        <v>0.05</v>
      </c>
      <c r="CW2876">
        <v>22</v>
      </c>
      <c r="CX2876" t="s">
        <v>2970</v>
      </c>
    </row>
    <row r="2877" spans="1:102" x14ac:dyDescent="0.3">
      <c r="A2877" t="str">
        <f>HYPERLINK("https://webapp.icbf.com/v2/app/bull-search/view/910796071","S1465")</f>
        <v>S1465</v>
      </c>
      <c r="B2877" t="s">
        <v>9746</v>
      </c>
      <c r="C2877" t="s">
        <v>9747</v>
      </c>
      <c r="D2877" s="1">
        <v>40278</v>
      </c>
      <c r="E2877" t="s">
        <v>92</v>
      </c>
      <c r="F2877">
        <v>100</v>
      </c>
      <c r="G2877" t="s">
        <v>109</v>
      </c>
      <c r="H2877">
        <v>6.24</v>
      </c>
      <c r="I2877">
        <v>78</v>
      </c>
      <c r="J2877">
        <v>68.63</v>
      </c>
      <c r="K2877">
        <v>93</v>
      </c>
      <c r="L2877">
        <v>-58.55</v>
      </c>
      <c r="M2877">
        <v>82</v>
      </c>
      <c r="N2877">
        <v>16.46</v>
      </c>
      <c r="O2877">
        <v>58</v>
      </c>
      <c r="P2877">
        <v>-13.11</v>
      </c>
      <c r="Q2877">
        <v>53</v>
      </c>
      <c r="R2877">
        <v>1.06</v>
      </c>
      <c r="S2877">
        <v>74</v>
      </c>
      <c r="T2877">
        <v>-12.74</v>
      </c>
      <c r="U2877">
        <v>55</v>
      </c>
      <c r="V2877">
        <v>4.49</v>
      </c>
      <c r="W2877">
        <v>65</v>
      </c>
      <c r="X2877" t="s">
        <v>276</v>
      </c>
      <c r="Y2877" t="s">
        <v>342</v>
      </c>
      <c r="Z2877" t="s">
        <v>96</v>
      </c>
      <c r="AA2877" t="s">
        <v>1572</v>
      </c>
      <c r="AB2877" t="s">
        <v>9748</v>
      </c>
      <c r="AC2877">
        <v>0</v>
      </c>
      <c r="AD2877">
        <v>0</v>
      </c>
      <c r="AE2877">
        <v>93</v>
      </c>
      <c r="AF2877">
        <v>374.07</v>
      </c>
      <c r="AG2877">
        <v>15.74</v>
      </c>
      <c r="AH2877">
        <v>11.83</v>
      </c>
      <c r="AI2877">
        <v>0.02</v>
      </c>
      <c r="AJ2877">
        <v>-0.01</v>
      </c>
      <c r="AK2877">
        <v>82</v>
      </c>
      <c r="AL2877">
        <v>0</v>
      </c>
      <c r="AM2877">
        <v>0</v>
      </c>
      <c r="AN2877">
        <v>2.33</v>
      </c>
      <c r="AO2877">
        <v>-2.35</v>
      </c>
      <c r="AP2877">
        <v>2</v>
      </c>
      <c r="AQ2877">
        <v>0</v>
      </c>
      <c r="AR2877">
        <v>9.23</v>
      </c>
      <c r="AS2877">
        <v>60</v>
      </c>
      <c r="AT2877">
        <v>3.15</v>
      </c>
      <c r="AU2877">
        <v>85</v>
      </c>
      <c r="AV2877">
        <v>-2.6</v>
      </c>
      <c r="AW2877">
        <v>47</v>
      </c>
      <c r="AX2877">
        <v>-0.22</v>
      </c>
      <c r="AY2877">
        <v>52</v>
      </c>
      <c r="AZ2877">
        <v>6</v>
      </c>
      <c r="BA2877">
        <v>50</v>
      </c>
      <c r="BB2877">
        <v>5.14</v>
      </c>
      <c r="BC2877">
        <v>48</v>
      </c>
      <c r="BD2877">
        <v>0.01</v>
      </c>
      <c r="BE2877">
        <v>0.01</v>
      </c>
      <c r="BF2877">
        <v>-0.06</v>
      </c>
      <c r="BG2877">
        <v>88</v>
      </c>
      <c r="BH2877">
        <v>-0.06</v>
      </c>
      <c r="BI2877">
        <v>-21.44</v>
      </c>
      <c r="BJ2877">
        <v>5</v>
      </c>
      <c r="BK2877">
        <v>2</v>
      </c>
      <c r="BL2877">
        <v>2.2799999999999998</v>
      </c>
      <c r="BM2877">
        <v>-0.97</v>
      </c>
      <c r="BN2877">
        <v>0.1</v>
      </c>
      <c r="BO2877">
        <v>0.49</v>
      </c>
      <c r="BP2877">
        <v>0.82</v>
      </c>
      <c r="BQ2877">
        <v>0.41</v>
      </c>
      <c r="BR2877">
        <v>-2.19</v>
      </c>
      <c r="BS2877">
        <v>2.7</v>
      </c>
      <c r="BT2877">
        <v>1.22</v>
      </c>
      <c r="BU2877">
        <v>2.86</v>
      </c>
      <c r="BV2877">
        <v>2.63</v>
      </c>
      <c r="BW2877">
        <v>3.09</v>
      </c>
      <c r="BX2877">
        <v>3.7</v>
      </c>
      <c r="BY2877">
        <v>1.1299999999999999</v>
      </c>
      <c r="BZ2877">
        <v>-0.56999999999999995</v>
      </c>
      <c r="CA2877">
        <v>3.06</v>
      </c>
      <c r="CB2877">
        <v>2.56</v>
      </c>
      <c r="CC2877">
        <v>1.8</v>
      </c>
      <c r="CD2877">
        <v>0.05</v>
      </c>
      <c r="CE2877">
        <v>1.76</v>
      </c>
      <c r="CF2877">
        <v>1.84</v>
      </c>
      <c r="CG2877">
        <v>0</v>
      </c>
      <c r="CH2877">
        <v>1.55</v>
      </c>
      <c r="CI2877">
        <v>0</v>
      </c>
      <c r="CJ2877">
        <v>-2.9</v>
      </c>
      <c r="CK2877">
        <v>54</v>
      </c>
      <c r="CL2877">
        <v>-1.67</v>
      </c>
      <c r="CM2877">
        <v>52</v>
      </c>
      <c r="CN2877">
        <v>-0.56999999999999995</v>
      </c>
      <c r="CO2877">
        <v>49</v>
      </c>
      <c r="CP2877">
        <v>9.6999999999999993</v>
      </c>
      <c r="CQ2877">
        <v>59</v>
      </c>
      <c r="CR2877">
        <v>0</v>
      </c>
      <c r="CS2877">
        <v>0</v>
      </c>
      <c r="CT2877">
        <v>31</v>
      </c>
      <c r="CU2877">
        <v>55</v>
      </c>
      <c r="CV2877">
        <v>0.28000000000000003</v>
      </c>
      <c r="CW2877">
        <v>36</v>
      </c>
      <c r="CX2877" t="s">
        <v>309</v>
      </c>
    </row>
    <row r="2878" spans="1:102" x14ac:dyDescent="0.3">
      <c r="A2878" t="str">
        <f>HYPERLINK("https://webapp.icbf.com/v2/app/bull-search/view/77855905","LPV")</f>
        <v>LPV</v>
      </c>
      <c r="B2878" t="s">
        <v>1137</v>
      </c>
      <c r="C2878" t="s">
        <v>1138</v>
      </c>
      <c r="D2878" s="1">
        <v>32425</v>
      </c>
      <c r="E2878" t="s">
        <v>92</v>
      </c>
      <c r="F2878">
        <v>56</v>
      </c>
      <c r="G2878" t="s">
        <v>93</v>
      </c>
      <c r="H2878">
        <v>6.14</v>
      </c>
      <c r="I2878">
        <v>56</v>
      </c>
      <c r="J2878">
        <v>-55.46</v>
      </c>
      <c r="K2878">
        <v>70</v>
      </c>
      <c r="L2878">
        <v>47.61</v>
      </c>
      <c r="M2878">
        <v>51</v>
      </c>
      <c r="N2878">
        <v>6.5</v>
      </c>
      <c r="O2878">
        <v>36</v>
      </c>
      <c r="P2878">
        <v>-13.47</v>
      </c>
      <c r="Q2878">
        <v>57</v>
      </c>
      <c r="R2878">
        <v>-2.25</v>
      </c>
      <c r="S2878">
        <v>55</v>
      </c>
      <c r="T2878">
        <v>21.52</v>
      </c>
      <c r="U2878">
        <v>54</v>
      </c>
      <c r="V2878">
        <v>1.69</v>
      </c>
      <c r="W2878">
        <v>30</v>
      </c>
      <c r="X2878" t="s">
        <v>94</v>
      </c>
      <c r="Y2878" t="s">
        <v>95</v>
      </c>
      <c r="Z2878" t="s">
        <v>96</v>
      </c>
      <c r="AA2878" t="s">
        <v>488</v>
      </c>
      <c r="AB2878" t="s">
        <v>1139</v>
      </c>
      <c r="AC2878">
        <v>16</v>
      </c>
      <c r="AD2878">
        <v>11</v>
      </c>
      <c r="AE2878">
        <v>70</v>
      </c>
      <c r="AF2878">
        <v>-248.12</v>
      </c>
      <c r="AG2878">
        <v>-7.63</v>
      </c>
      <c r="AH2878">
        <v>-10.53</v>
      </c>
      <c r="AI2878">
        <v>0.04</v>
      </c>
      <c r="AJ2878">
        <v>-0.03</v>
      </c>
      <c r="AK2878">
        <v>51</v>
      </c>
      <c r="AL2878">
        <v>40</v>
      </c>
      <c r="AM2878">
        <v>24</v>
      </c>
      <c r="AN2878">
        <v>-4.6500000000000004</v>
      </c>
      <c r="AO2878">
        <v>-0.88</v>
      </c>
      <c r="AP2878">
        <v>1</v>
      </c>
      <c r="AQ2878">
        <v>0</v>
      </c>
      <c r="AR2878">
        <v>6.73</v>
      </c>
      <c r="AS2878">
        <v>18</v>
      </c>
      <c r="AT2878">
        <v>3.03</v>
      </c>
      <c r="AU2878">
        <v>29</v>
      </c>
      <c r="AV2878">
        <v>-0.44</v>
      </c>
      <c r="AW2878">
        <v>44</v>
      </c>
      <c r="AX2878">
        <v>-0.43</v>
      </c>
      <c r="AY2878">
        <v>50</v>
      </c>
      <c r="AZ2878">
        <v>6.95</v>
      </c>
      <c r="BA2878">
        <v>17</v>
      </c>
      <c r="BB2878">
        <v>5.08</v>
      </c>
      <c r="BC2878">
        <v>27</v>
      </c>
      <c r="BD2878">
        <v>0.04</v>
      </c>
      <c r="BE2878">
        <v>0.05</v>
      </c>
      <c r="BF2878">
        <v>-0.11</v>
      </c>
      <c r="BG2878">
        <v>75</v>
      </c>
      <c r="BH2878">
        <v>0.02</v>
      </c>
      <c r="BI2878">
        <v>-3.14</v>
      </c>
      <c r="BJ2878">
        <v>2</v>
      </c>
      <c r="BK2878">
        <v>2</v>
      </c>
      <c r="BL2878">
        <v>-1.45</v>
      </c>
      <c r="BM2878">
        <v>1.68</v>
      </c>
      <c r="BN2878">
        <v>-0.52</v>
      </c>
      <c r="BO2878">
        <v>-1.96</v>
      </c>
      <c r="BP2878">
        <v>-1.3</v>
      </c>
      <c r="BQ2878">
        <v>0.02</v>
      </c>
      <c r="BR2878">
        <v>0.56999999999999995</v>
      </c>
      <c r="BS2878">
        <v>-0.69</v>
      </c>
      <c r="BT2878">
        <v>-0.73</v>
      </c>
      <c r="BU2878">
        <v>-0.06</v>
      </c>
      <c r="BV2878">
        <v>-1.05</v>
      </c>
      <c r="BW2878">
        <v>-1.48</v>
      </c>
      <c r="BX2878">
        <v>0.57999999999999996</v>
      </c>
      <c r="BY2878">
        <v>-1.33</v>
      </c>
      <c r="BZ2878">
        <v>-1.23</v>
      </c>
      <c r="CA2878">
        <v>-1.38</v>
      </c>
      <c r="CB2878">
        <v>-1.1499999999999999</v>
      </c>
      <c r="CC2878">
        <v>-1.31</v>
      </c>
      <c r="CD2878">
        <v>1.85</v>
      </c>
      <c r="CE2878">
        <v>-2.34</v>
      </c>
      <c r="CF2878">
        <v>-1.44</v>
      </c>
      <c r="CG2878">
        <v>0</v>
      </c>
      <c r="CH2878">
        <v>-1.56</v>
      </c>
      <c r="CI2878">
        <v>0</v>
      </c>
      <c r="CJ2878">
        <v>-5.6</v>
      </c>
      <c r="CK2878">
        <v>59</v>
      </c>
      <c r="CL2878">
        <v>-0.47</v>
      </c>
      <c r="CM2878">
        <v>54</v>
      </c>
      <c r="CN2878">
        <v>-0.09</v>
      </c>
      <c r="CO2878">
        <v>49</v>
      </c>
      <c r="CP2878">
        <v>-13</v>
      </c>
      <c r="CQ2878">
        <v>66</v>
      </c>
      <c r="CR2878">
        <v>0</v>
      </c>
      <c r="CS2878">
        <v>0</v>
      </c>
      <c r="CT2878">
        <v>-15.3</v>
      </c>
      <c r="CU2878">
        <v>54</v>
      </c>
      <c r="CV2878">
        <v>0.09</v>
      </c>
      <c r="CW2878">
        <v>15</v>
      </c>
      <c r="CX2878" t="s">
        <v>1140</v>
      </c>
    </row>
    <row r="2879" spans="1:102" x14ac:dyDescent="0.3">
      <c r="A2879" t="str">
        <f>HYPERLINK("https://webapp.icbf.com/v2/app/bull-search/view/69092323","OBA")</f>
        <v>OBA</v>
      </c>
      <c r="B2879" t="s">
        <v>144</v>
      </c>
      <c r="C2879" t="s">
        <v>5675</v>
      </c>
      <c r="D2879" s="1">
        <v>32510</v>
      </c>
      <c r="E2879" t="s">
        <v>895</v>
      </c>
      <c r="F2879">
        <v>0</v>
      </c>
      <c r="G2879" t="s">
        <v>116</v>
      </c>
      <c r="H2879">
        <v>5.91</v>
      </c>
      <c r="I2879">
        <v>45</v>
      </c>
      <c r="J2879">
        <v>-26.11</v>
      </c>
      <c r="K2879">
        <v>73</v>
      </c>
      <c r="L2879">
        <v>10.74</v>
      </c>
      <c r="M2879">
        <v>25</v>
      </c>
      <c r="N2879">
        <v>-3.71</v>
      </c>
      <c r="O2879">
        <v>34</v>
      </c>
      <c r="P2879">
        <v>-1.1100000000000001</v>
      </c>
      <c r="Q2879">
        <v>55</v>
      </c>
      <c r="R2879">
        <v>4.93</v>
      </c>
      <c r="S2879">
        <v>32</v>
      </c>
      <c r="T2879">
        <v>23.37</v>
      </c>
      <c r="U2879">
        <v>34</v>
      </c>
      <c r="V2879">
        <v>-2.2000000000000002</v>
      </c>
      <c r="W2879">
        <v>29</v>
      </c>
      <c r="X2879" t="s">
        <v>94</v>
      </c>
      <c r="Y2879" t="s">
        <v>95</v>
      </c>
      <c r="Z2879">
        <v>0</v>
      </c>
      <c r="AA2879" t="s">
        <v>144</v>
      </c>
      <c r="AB2879" t="s">
        <v>144</v>
      </c>
      <c r="AC2879">
        <v>10</v>
      </c>
      <c r="AD2879">
        <v>1</v>
      </c>
      <c r="AE2879">
        <v>73</v>
      </c>
      <c r="AF2879">
        <v>-206.63</v>
      </c>
      <c r="AG2879">
        <v>-12.39</v>
      </c>
      <c r="AH2879">
        <v>-3.22</v>
      </c>
      <c r="AI2879">
        <v>-7.0000000000000007E-2</v>
      </c>
      <c r="AJ2879">
        <v>7.0000000000000007E-2</v>
      </c>
      <c r="AK2879">
        <v>25</v>
      </c>
      <c r="AL2879">
        <v>10</v>
      </c>
      <c r="AM2879">
        <v>1</v>
      </c>
      <c r="AN2879">
        <v>2.0099999999999998</v>
      </c>
      <c r="AO2879">
        <v>2.9</v>
      </c>
      <c r="AP2879">
        <v>9</v>
      </c>
      <c r="AQ2879">
        <v>0</v>
      </c>
      <c r="AR2879">
        <v>5.83</v>
      </c>
      <c r="AS2879">
        <v>7</v>
      </c>
      <c r="AT2879">
        <v>2.82</v>
      </c>
      <c r="AU2879">
        <v>31</v>
      </c>
      <c r="AV2879">
        <v>1.9</v>
      </c>
      <c r="AW2879">
        <v>49</v>
      </c>
      <c r="AX2879">
        <v>-0.35</v>
      </c>
      <c r="AY2879">
        <v>29</v>
      </c>
      <c r="AZ2879">
        <v>5.62</v>
      </c>
      <c r="BA2879">
        <v>9</v>
      </c>
      <c r="BB2879">
        <v>4.5</v>
      </c>
      <c r="BC2879">
        <v>22</v>
      </c>
      <c r="BD2879">
        <v>0.01</v>
      </c>
      <c r="BE2879">
        <v>0</v>
      </c>
      <c r="BF2879">
        <v>-0.13</v>
      </c>
      <c r="BG2879">
        <v>38</v>
      </c>
      <c r="BH2879">
        <v>-0.11</v>
      </c>
      <c r="BI2879">
        <v>-5.64</v>
      </c>
      <c r="BJ2879">
        <v>0</v>
      </c>
      <c r="BK2879">
        <v>0</v>
      </c>
      <c r="BL2879">
        <v>-1.42</v>
      </c>
      <c r="BM2879">
        <v>1.35</v>
      </c>
      <c r="BN2879">
        <v>-1.5</v>
      </c>
      <c r="BO2879">
        <v>-1.95</v>
      </c>
      <c r="BP2879">
        <v>0.84</v>
      </c>
      <c r="BQ2879">
        <v>0</v>
      </c>
      <c r="BR2879">
        <v>-7.0000000000000007E-2</v>
      </c>
      <c r="BS2879">
        <v>-0.38</v>
      </c>
      <c r="BT2879">
        <v>-0.04</v>
      </c>
      <c r="BU2879">
        <v>-2.27</v>
      </c>
      <c r="BV2879">
        <v>-2.02</v>
      </c>
      <c r="BW2879">
        <v>-2.0499999999999998</v>
      </c>
      <c r="BX2879">
        <v>-1.51</v>
      </c>
      <c r="BY2879">
        <v>-1.75</v>
      </c>
      <c r="BZ2879">
        <v>-0.47</v>
      </c>
      <c r="CA2879">
        <v>-2.2799999999999998</v>
      </c>
      <c r="CB2879">
        <v>-2.5299999999999998</v>
      </c>
      <c r="CC2879">
        <v>-0.91</v>
      </c>
      <c r="CD2879">
        <v>1.91</v>
      </c>
      <c r="CE2879">
        <v>-2.17</v>
      </c>
      <c r="CF2879">
        <v>-1.52</v>
      </c>
      <c r="CG2879">
        <v>0</v>
      </c>
      <c r="CH2879">
        <v>-2.39</v>
      </c>
      <c r="CI2879">
        <v>0</v>
      </c>
      <c r="CJ2879">
        <v>0.4</v>
      </c>
      <c r="CK2879">
        <v>58</v>
      </c>
      <c r="CL2879">
        <v>0.02</v>
      </c>
      <c r="CM2879">
        <v>53</v>
      </c>
      <c r="CN2879">
        <v>0.09</v>
      </c>
      <c r="CO2879">
        <v>48</v>
      </c>
      <c r="CP2879">
        <v>-5.4</v>
      </c>
      <c r="CQ2879">
        <v>52</v>
      </c>
      <c r="CR2879">
        <v>0</v>
      </c>
      <c r="CS2879">
        <v>0</v>
      </c>
      <c r="CT2879">
        <v>-17.8</v>
      </c>
      <c r="CU2879">
        <v>34</v>
      </c>
      <c r="CV2879">
        <v>-0.09</v>
      </c>
      <c r="CW2879">
        <v>14</v>
      </c>
      <c r="CX2879">
        <v>0</v>
      </c>
    </row>
    <row r="2880" spans="1:102" x14ac:dyDescent="0.3">
      <c r="A2880" t="str">
        <f>HYPERLINK("https://webapp.icbf.com/v2/app/bull-search/view/586051950","EBW")</f>
        <v>EBW</v>
      </c>
      <c r="B2880" t="s">
        <v>1647</v>
      </c>
      <c r="C2880" t="s">
        <v>1648</v>
      </c>
      <c r="D2880" s="1">
        <v>38605</v>
      </c>
      <c r="E2880" t="s">
        <v>92</v>
      </c>
      <c r="F2880">
        <v>100</v>
      </c>
      <c r="G2880" t="s">
        <v>93</v>
      </c>
      <c r="H2880">
        <v>5.75</v>
      </c>
      <c r="I2880">
        <v>92</v>
      </c>
      <c r="J2880">
        <v>38.630000000000003</v>
      </c>
      <c r="K2880">
        <v>98</v>
      </c>
      <c r="L2880">
        <v>-49.1</v>
      </c>
      <c r="M2880">
        <v>92</v>
      </c>
      <c r="N2880">
        <v>17.71</v>
      </c>
      <c r="O2880">
        <v>90</v>
      </c>
      <c r="P2880">
        <v>-8.43</v>
      </c>
      <c r="Q2880">
        <v>94</v>
      </c>
      <c r="R2880">
        <v>6.54</v>
      </c>
      <c r="S2880">
        <v>81</v>
      </c>
      <c r="T2880">
        <v>0.51</v>
      </c>
      <c r="U2880">
        <v>82</v>
      </c>
      <c r="V2880">
        <v>-0.11</v>
      </c>
      <c r="W2880">
        <v>73</v>
      </c>
      <c r="X2880" t="s">
        <v>251</v>
      </c>
      <c r="Y2880" t="s">
        <v>282</v>
      </c>
      <c r="Z2880" t="s">
        <v>96</v>
      </c>
      <c r="AA2880" t="s">
        <v>350</v>
      </c>
      <c r="AB2880" t="s">
        <v>1649</v>
      </c>
      <c r="AC2880">
        <v>149</v>
      </c>
      <c r="AD2880">
        <v>49</v>
      </c>
      <c r="AE2880">
        <v>98</v>
      </c>
      <c r="AF2880">
        <v>533.96</v>
      </c>
      <c r="AG2880">
        <v>10.27</v>
      </c>
      <c r="AH2880">
        <v>11.11</v>
      </c>
      <c r="AI2880">
        <v>-0.17</v>
      </c>
      <c r="AJ2880">
        <v>-0.11</v>
      </c>
      <c r="AK2880">
        <v>92</v>
      </c>
      <c r="AL2880">
        <v>133</v>
      </c>
      <c r="AM2880">
        <v>47</v>
      </c>
      <c r="AN2880">
        <v>3.11</v>
      </c>
      <c r="AO2880">
        <v>-0.8</v>
      </c>
      <c r="AP2880">
        <v>258</v>
      </c>
      <c r="AQ2880">
        <v>0</v>
      </c>
      <c r="AR2880">
        <v>7.88</v>
      </c>
      <c r="AS2880">
        <v>87</v>
      </c>
      <c r="AT2880">
        <v>3.56</v>
      </c>
      <c r="AU2880">
        <v>97</v>
      </c>
      <c r="AV2880">
        <v>-2.96</v>
      </c>
      <c r="AW2880">
        <v>95</v>
      </c>
      <c r="AX2880">
        <v>-0.63</v>
      </c>
      <c r="AY2880">
        <v>86</v>
      </c>
      <c r="AZ2880">
        <v>7.35</v>
      </c>
      <c r="BA2880">
        <v>72</v>
      </c>
      <c r="BB2880">
        <v>5.26</v>
      </c>
      <c r="BC2880">
        <v>67</v>
      </c>
      <c r="BD2880">
        <v>-0.02</v>
      </c>
      <c r="BE2880">
        <v>-0.03</v>
      </c>
      <c r="BF2880">
        <v>-0.06</v>
      </c>
      <c r="BG2880">
        <v>94</v>
      </c>
      <c r="BH2880">
        <v>-0.08</v>
      </c>
      <c r="BI2880">
        <v>-8.9</v>
      </c>
      <c r="BJ2880">
        <v>64</v>
      </c>
      <c r="BK2880">
        <v>28</v>
      </c>
      <c r="BL2880">
        <v>1.29</v>
      </c>
      <c r="BM2880">
        <v>-1.21</v>
      </c>
      <c r="BN2880">
        <v>0.59</v>
      </c>
      <c r="BO2880">
        <v>1.3</v>
      </c>
      <c r="BP2880">
        <v>0.73</v>
      </c>
      <c r="BQ2880">
        <v>1.1200000000000001</v>
      </c>
      <c r="BR2880">
        <v>0.34</v>
      </c>
      <c r="BS2880">
        <v>1.54</v>
      </c>
      <c r="BT2880">
        <v>1.1100000000000001</v>
      </c>
      <c r="BU2880">
        <v>1.85</v>
      </c>
      <c r="BV2880">
        <v>2.63</v>
      </c>
      <c r="BW2880">
        <v>1.31</v>
      </c>
      <c r="BX2880">
        <v>0.63</v>
      </c>
      <c r="BY2880">
        <v>-0.34</v>
      </c>
      <c r="BZ2880">
        <v>0.69</v>
      </c>
      <c r="CA2880">
        <v>1.44</v>
      </c>
      <c r="CB2880">
        <v>1.36</v>
      </c>
      <c r="CC2880">
        <v>1.36</v>
      </c>
      <c r="CD2880">
        <v>-0.92</v>
      </c>
      <c r="CE2880">
        <v>1.24</v>
      </c>
      <c r="CF2880">
        <v>0.57999999999999996</v>
      </c>
      <c r="CG2880">
        <v>0</v>
      </c>
      <c r="CH2880">
        <v>-0.67</v>
      </c>
      <c r="CI2880">
        <v>0</v>
      </c>
      <c r="CJ2880">
        <v>0.2</v>
      </c>
      <c r="CK2880">
        <v>95</v>
      </c>
      <c r="CL2880">
        <v>-1.35</v>
      </c>
      <c r="CM2880">
        <v>94</v>
      </c>
      <c r="CN2880">
        <v>-0.49</v>
      </c>
      <c r="CO2880">
        <v>93</v>
      </c>
      <c r="CP2880">
        <v>-3.4</v>
      </c>
      <c r="CQ2880">
        <v>90</v>
      </c>
      <c r="CR2880">
        <v>0</v>
      </c>
      <c r="CS2880">
        <v>0</v>
      </c>
      <c r="CT2880">
        <v>13.1</v>
      </c>
      <c r="CU2880">
        <v>82</v>
      </c>
      <c r="CV2880">
        <v>0.34</v>
      </c>
      <c r="CW2880">
        <v>45</v>
      </c>
      <c r="CX2880" t="s">
        <v>289</v>
      </c>
    </row>
    <row r="2881" spans="1:102" x14ac:dyDescent="0.3">
      <c r="A2881" t="str">
        <f>HYPERLINK("https://webapp.icbf.com/v2/app/bull-search/view/77859460","BAF")</f>
        <v>BAF</v>
      </c>
      <c r="B2881" t="s">
        <v>3362</v>
      </c>
      <c r="C2881" t="s">
        <v>3363</v>
      </c>
      <c r="D2881" s="1">
        <v>33988</v>
      </c>
      <c r="E2881" t="s">
        <v>92</v>
      </c>
      <c r="F2881">
        <v>78</v>
      </c>
      <c r="G2881" t="s">
        <v>93</v>
      </c>
      <c r="H2881">
        <v>5.72</v>
      </c>
      <c r="I2881">
        <v>78</v>
      </c>
      <c r="J2881">
        <v>2.8</v>
      </c>
      <c r="K2881">
        <v>93</v>
      </c>
      <c r="L2881">
        <v>1.75</v>
      </c>
      <c r="M2881">
        <v>71</v>
      </c>
      <c r="N2881">
        <v>2.93</v>
      </c>
      <c r="O2881">
        <v>63</v>
      </c>
      <c r="P2881">
        <v>-21.8</v>
      </c>
      <c r="Q2881">
        <v>76</v>
      </c>
      <c r="R2881">
        <v>-8.67</v>
      </c>
      <c r="S2881">
        <v>72</v>
      </c>
      <c r="T2881">
        <v>32.25</v>
      </c>
      <c r="U2881">
        <v>77</v>
      </c>
      <c r="V2881">
        <v>-3.54</v>
      </c>
      <c r="W2881">
        <v>57</v>
      </c>
      <c r="X2881" t="s">
        <v>102</v>
      </c>
      <c r="Y2881" t="s">
        <v>95</v>
      </c>
      <c r="Z2881" t="s">
        <v>96</v>
      </c>
      <c r="AA2881" t="s">
        <v>3364</v>
      </c>
      <c r="AB2881" t="s">
        <v>3365</v>
      </c>
      <c r="AC2881">
        <v>46</v>
      </c>
      <c r="AD2881">
        <v>38</v>
      </c>
      <c r="AE2881">
        <v>93</v>
      </c>
      <c r="AF2881">
        <v>-55.86</v>
      </c>
      <c r="AG2881">
        <v>5.6</v>
      </c>
      <c r="AH2881">
        <v>-2.36</v>
      </c>
      <c r="AI2881">
        <v>0.14000000000000001</v>
      </c>
      <c r="AJ2881">
        <v>-0.01</v>
      </c>
      <c r="AK2881">
        <v>71</v>
      </c>
      <c r="AL2881">
        <v>57</v>
      </c>
      <c r="AM2881">
        <v>41</v>
      </c>
      <c r="AN2881">
        <v>-0.83</v>
      </c>
      <c r="AO2881">
        <v>-0.7</v>
      </c>
      <c r="AP2881">
        <v>1</v>
      </c>
      <c r="AQ2881">
        <v>0</v>
      </c>
      <c r="AR2881">
        <v>6.03</v>
      </c>
      <c r="AS2881">
        <v>49</v>
      </c>
      <c r="AT2881">
        <v>2.12</v>
      </c>
      <c r="AU2881">
        <v>66</v>
      </c>
      <c r="AV2881">
        <v>0.85</v>
      </c>
      <c r="AW2881">
        <v>65</v>
      </c>
      <c r="AX2881">
        <v>-0.11</v>
      </c>
      <c r="AY2881">
        <v>72</v>
      </c>
      <c r="AZ2881">
        <v>7.12</v>
      </c>
      <c r="BA2881">
        <v>43</v>
      </c>
      <c r="BB2881">
        <v>5.23</v>
      </c>
      <c r="BC2881">
        <v>57</v>
      </c>
      <c r="BD2881">
        <v>0.05</v>
      </c>
      <c r="BE2881">
        <v>0.04</v>
      </c>
      <c r="BF2881">
        <v>0.04</v>
      </c>
      <c r="BG2881">
        <v>85</v>
      </c>
      <c r="BH2881">
        <v>-0.02</v>
      </c>
      <c r="BI2881">
        <v>9.1</v>
      </c>
      <c r="BJ2881">
        <v>12</v>
      </c>
      <c r="BK2881">
        <v>11</v>
      </c>
      <c r="BL2881">
        <v>-1.46</v>
      </c>
      <c r="BM2881">
        <v>0.94</v>
      </c>
      <c r="BN2881">
        <v>-1.88</v>
      </c>
      <c r="BO2881">
        <v>-1.72</v>
      </c>
      <c r="BP2881">
        <v>0.38</v>
      </c>
      <c r="BQ2881">
        <v>-0.01</v>
      </c>
      <c r="BR2881">
        <v>-0.73</v>
      </c>
      <c r="BS2881">
        <v>-0.37</v>
      </c>
      <c r="BT2881">
        <v>-0.08</v>
      </c>
      <c r="BU2881">
        <v>-2.91</v>
      </c>
      <c r="BV2881">
        <v>-1.9</v>
      </c>
      <c r="BW2881">
        <v>-2.2799999999999998</v>
      </c>
      <c r="BX2881">
        <v>-2.36</v>
      </c>
      <c r="BY2881">
        <v>-2.36</v>
      </c>
      <c r="BZ2881">
        <v>-2.38</v>
      </c>
      <c r="CA2881">
        <v>-1.94</v>
      </c>
      <c r="CB2881">
        <v>-2.4900000000000002</v>
      </c>
      <c r="CC2881">
        <v>-1.36</v>
      </c>
      <c r="CD2881">
        <v>1.0900000000000001</v>
      </c>
      <c r="CE2881">
        <v>-2.0099999999999998</v>
      </c>
      <c r="CF2881">
        <v>-1.02</v>
      </c>
      <c r="CG2881">
        <v>0</v>
      </c>
      <c r="CH2881">
        <v>-2.59</v>
      </c>
      <c r="CI2881">
        <v>0</v>
      </c>
      <c r="CJ2881">
        <v>-10.3</v>
      </c>
      <c r="CK2881">
        <v>77</v>
      </c>
      <c r="CL2881">
        <v>-0.17</v>
      </c>
      <c r="CM2881">
        <v>75</v>
      </c>
      <c r="CN2881">
        <v>0.27</v>
      </c>
      <c r="CO2881">
        <v>72</v>
      </c>
      <c r="CP2881">
        <v>-17.8</v>
      </c>
      <c r="CQ2881">
        <v>83</v>
      </c>
      <c r="CR2881">
        <v>0</v>
      </c>
      <c r="CS2881">
        <v>0</v>
      </c>
      <c r="CT2881">
        <v>-29.8</v>
      </c>
      <c r="CU2881">
        <v>77</v>
      </c>
      <c r="CV2881">
        <v>-0.11</v>
      </c>
      <c r="CW2881">
        <v>41</v>
      </c>
      <c r="CX2881" t="s">
        <v>3366</v>
      </c>
    </row>
    <row r="2882" spans="1:102" x14ac:dyDescent="0.3">
      <c r="A2882" t="str">
        <f>HYPERLINK("https://webapp.icbf.com/v2/app/bull-search/view/394000210","TTE")</f>
        <v>TTE</v>
      </c>
      <c r="B2882" t="s">
        <v>8796</v>
      </c>
      <c r="C2882" t="s">
        <v>8797</v>
      </c>
      <c r="D2882" s="1">
        <v>36729</v>
      </c>
      <c r="E2882" t="s">
        <v>108</v>
      </c>
      <c r="F2882">
        <v>44</v>
      </c>
      <c r="G2882" t="s">
        <v>93</v>
      </c>
      <c r="H2882">
        <v>5.72</v>
      </c>
      <c r="I2882">
        <v>84</v>
      </c>
      <c r="J2882">
        <v>2.74</v>
      </c>
      <c r="K2882">
        <v>95</v>
      </c>
      <c r="L2882">
        <v>-10</v>
      </c>
      <c r="M2882">
        <v>78</v>
      </c>
      <c r="N2882">
        <v>10.83</v>
      </c>
      <c r="O2882">
        <v>78</v>
      </c>
      <c r="P2882">
        <v>-25.13</v>
      </c>
      <c r="Q2882">
        <v>86</v>
      </c>
      <c r="R2882">
        <v>-8.1300000000000008</v>
      </c>
      <c r="S2882">
        <v>73</v>
      </c>
      <c r="T2882">
        <v>30.48</v>
      </c>
      <c r="U2882">
        <v>83</v>
      </c>
      <c r="V2882">
        <v>4.93</v>
      </c>
      <c r="W2882">
        <v>69</v>
      </c>
      <c r="X2882" t="s">
        <v>302</v>
      </c>
      <c r="Y2882" t="s">
        <v>95</v>
      </c>
      <c r="Z2882" t="s">
        <v>330</v>
      </c>
      <c r="AA2882" t="s">
        <v>6678</v>
      </c>
      <c r="AB2882" t="s">
        <v>144</v>
      </c>
      <c r="AC2882">
        <v>53</v>
      </c>
      <c r="AD2882">
        <v>34</v>
      </c>
      <c r="AE2882">
        <v>95</v>
      </c>
      <c r="AF2882">
        <v>-100.33</v>
      </c>
      <c r="AG2882">
        <v>1.02</v>
      </c>
      <c r="AH2882">
        <v>-1.43</v>
      </c>
      <c r="AI2882">
        <v>0.09</v>
      </c>
      <c r="AJ2882">
        <v>0.04</v>
      </c>
      <c r="AK2882">
        <v>78</v>
      </c>
      <c r="AL2882">
        <v>47</v>
      </c>
      <c r="AM2882">
        <v>26</v>
      </c>
      <c r="AN2882">
        <v>-1.19</v>
      </c>
      <c r="AO2882">
        <v>-2.0099999999999998</v>
      </c>
      <c r="AP2882">
        <v>109</v>
      </c>
      <c r="AQ2882">
        <v>2</v>
      </c>
      <c r="AR2882">
        <v>7.92</v>
      </c>
      <c r="AS2882">
        <v>57</v>
      </c>
      <c r="AT2882">
        <v>2.96</v>
      </c>
      <c r="AU2882">
        <v>80</v>
      </c>
      <c r="AV2882">
        <v>-1.36</v>
      </c>
      <c r="AW2882">
        <v>92</v>
      </c>
      <c r="AX2882">
        <v>-0.56000000000000005</v>
      </c>
      <c r="AY2882">
        <v>74</v>
      </c>
      <c r="AZ2882">
        <v>6.69</v>
      </c>
      <c r="BA2882">
        <v>51</v>
      </c>
      <c r="BB2882">
        <v>5.33</v>
      </c>
      <c r="BC2882">
        <v>53</v>
      </c>
      <c r="BD2882">
        <v>-0.03</v>
      </c>
      <c r="BE2882">
        <v>0.03</v>
      </c>
      <c r="BF2882">
        <v>0.18</v>
      </c>
      <c r="BG2882">
        <v>81</v>
      </c>
      <c r="BH2882">
        <v>0.06</v>
      </c>
      <c r="BI2882">
        <v>-8.9499999999999993</v>
      </c>
      <c r="BJ2882">
        <v>0</v>
      </c>
      <c r="BK2882">
        <v>0</v>
      </c>
      <c r="BL2882">
        <v>-1.22</v>
      </c>
      <c r="BM2882">
        <v>-0.75</v>
      </c>
      <c r="BN2882">
        <v>-1.33</v>
      </c>
      <c r="BO2882">
        <v>-0.88</v>
      </c>
      <c r="BP2882">
        <v>2.48</v>
      </c>
      <c r="BQ2882">
        <v>-3.18</v>
      </c>
      <c r="BR2882">
        <v>1.0900000000000001</v>
      </c>
      <c r="BS2882">
        <v>7.0000000000000007E-2</v>
      </c>
      <c r="BT2882">
        <v>-1.47</v>
      </c>
      <c r="BU2882">
        <v>-2.66</v>
      </c>
      <c r="BV2882">
        <v>-2.2799999999999998</v>
      </c>
      <c r="BW2882">
        <v>-1.86</v>
      </c>
      <c r="BX2882">
        <v>-2.08</v>
      </c>
      <c r="BY2882">
        <v>-1.81</v>
      </c>
      <c r="BZ2882">
        <v>0.82</v>
      </c>
      <c r="CA2882">
        <v>-2.0699999999999998</v>
      </c>
      <c r="CB2882">
        <v>-2.08</v>
      </c>
      <c r="CC2882">
        <v>-0.97</v>
      </c>
      <c r="CD2882">
        <v>0.83</v>
      </c>
      <c r="CE2882">
        <v>-0.78</v>
      </c>
      <c r="CF2882">
        <v>-0.95</v>
      </c>
      <c r="CG2882">
        <v>0</v>
      </c>
      <c r="CH2882">
        <v>-1.94</v>
      </c>
      <c r="CI2882">
        <v>0</v>
      </c>
      <c r="CJ2882">
        <v>-12.4</v>
      </c>
      <c r="CK2882">
        <v>88</v>
      </c>
      <c r="CL2882">
        <v>-0.56999999999999995</v>
      </c>
      <c r="CM2882">
        <v>85</v>
      </c>
      <c r="CN2882">
        <v>-0.06</v>
      </c>
      <c r="CO2882">
        <v>83</v>
      </c>
      <c r="CP2882">
        <v>-18.899999999999999</v>
      </c>
      <c r="CQ2882">
        <v>84</v>
      </c>
      <c r="CR2882">
        <v>0</v>
      </c>
      <c r="CS2882">
        <v>0</v>
      </c>
      <c r="CT2882">
        <v>-27.4</v>
      </c>
      <c r="CU2882">
        <v>83</v>
      </c>
      <c r="CV2882">
        <v>-0.05</v>
      </c>
      <c r="CW2882">
        <v>43</v>
      </c>
      <c r="CX2882" t="s">
        <v>531</v>
      </c>
    </row>
    <row r="2883" spans="1:102" x14ac:dyDescent="0.3">
      <c r="A2883" t="str">
        <f>HYPERLINK("https://webapp.icbf.com/v2/app/bull-search/view/69091762","GIS")</f>
        <v>GIS</v>
      </c>
      <c r="B2883" t="s">
        <v>3269</v>
      </c>
      <c r="C2883" t="s">
        <v>3270</v>
      </c>
      <c r="D2883" s="1">
        <v>33477</v>
      </c>
      <c r="E2883" t="s">
        <v>140</v>
      </c>
      <c r="F2883">
        <v>0</v>
      </c>
      <c r="G2883" t="s">
        <v>93</v>
      </c>
      <c r="H2883">
        <v>5.63</v>
      </c>
      <c r="I2883">
        <v>86</v>
      </c>
      <c r="J2883">
        <v>-36.81</v>
      </c>
      <c r="K2883">
        <v>97</v>
      </c>
      <c r="L2883">
        <v>76.3</v>
      </c>
      <c r="M2883">
        <v>77</v>
      </c>
      <c r="N2883">
        <v>-56.76</v>
      </c>
      <c r="O2883">
        <v>83</v>
      </c>
      <c r="P2883">
        <v>12.87</v>
      </c>
      <c r="Q2883">
        <v>95</v>
      </c>
      <c r="R2883">
        <v>6.44</v>
      </c>
      <c r="S2883">
        <v>78</v>
      </c>
      <c r="T2883">
        <v>17.16</v>
      </c>
      <c r="U2883">
        <v>88</v>
      </c>
      <c r="V2883">
        <v>-13.57</v>
      </c>
      <c r="W2883">
        <v>75</v>
      </c>
      <c r="X2883" t="s">
        <v>276</v>
      </c>
      <c r="Y2883" t="s">
        <v>95</v>
      </c>
      <c r="Z2883">
        <v>0</v>
      </c>
      <c r="AA2883" t="s">
        <v>2464</v>
      </c>
      <c r="AB2883" t="s">
        <v>3271</v>
      </c>
      <c r="AC2883">
        <v>148</v>
      </c>
      <c r="AD2883">
        <v>67</v>
      </c>
      <c r="AE2883">
        <v>97</v>
      </c>
      <c r="AF2883">
        <v>-68.45</v>
      </c>
      <c r="AG2883">
        <v>-9.69</v>
      </c>
      <c r="AH2883">
        <v>-3.88</v>
      </c>
      <c r="AI2883">
        <v>-0.12</v>
      </c>
      <c r="AJ2883">
        <v>-0.03</v>
      </c>
      <c r="AK2883">
        <v>77</v>
      </c>
      <c r="AL2883">
        <v>191</v>
      </c>
      <c r="AM2883">
        <v>86</v>
      </c>
      <c r="AN2883">
        <v>-2.98</v>
      </c>
      <c r="AO2883">
        <v>3.12</v>
      </c>
      <c r="AP2883">
        <v>105</v>
      </c>
      <c r="AQ2883">
        <v>1</v>
      </c>
      <c r="AR2883">
        <v>13.25</v>
      </c>
      <c r="AS2883">
        <v>57</v>
      </c>
      <c r="AT2883">
        <v>5.55</v>
      </c>
      <c r="AU2883">
        <v>84</v>
      </c>
      <c r="AV2883">
        <v>1.93</v>
      </c>
      <c r="AW2883">
        <v>91</v>
      </c>
      <c r="AX2883">
        <v>-0.2</v>
      </c>
      <c r="AY2883">
        <v>88</v>
      </c>
      <c r="AZ2883">
        <v>6.86</v>
      </c>
      <c r="BA2883">
        <v>59</v>
      </c>
      <c r="BB2883">
        <v>3.75</v>
      </c>
      <c r="BC2883">
        <v>75</v>
      </c>
      <c r="BD2883">
        <v>0</v>
      </c>
      <c r="BE2883">
        <v>-0.02</v>
      </c>
      <c r="BF2883">
        <v>-0.11</v>
      </c>
      <c r="BG2883">
        <v>88</v>
      </c>
      <c r="BH2883">
        <v>-0.27</v>
      </c>
      <c r="BI2883">
        <v>12.55</v>
      </c>
      <c r="BJ2883">
        <v>1</v>
      </c>
      <c r="BK2883">
        <v>1</v>
      </c>
      <c r="BL2883">
        <v>-0.89</v>
      </c>
      <c r="BM2883">
        <v>3.72</v>
      </c>
      <c r="BN2883">
        <v>-1.87</v>
      </c>
      <c r="BO2883">
        <v>-3.32</v>
      </c>
      <c r="BP2883">
        <v>4.3899999999999997</v>
      </c>
      <c r="BQ2883">
        <v>-2.08</v>
      </c>
      <c r="BR2883">
        <v>-3.12</v>
      </c>
      <c r="BS2883">
        <v>-0.19</v>
      </c>
      <c r="BT2883">
        <v>2.82</v>
      </c>
      <c r="BU2883">
        <v>-3.1</v>
      </c>
      <c r="BV2883">
        <v>-3.36</v>
      </c>
      <c r="BW2883">
        <v>-2.5299999999999998</v>
      </c>
      <c r="BX2883">
        <v>-3</v>
      </c>
      <c r="BY2883">
        <v>-2.2400000000000002</v>
      </c>
      <c r="BZ2883">
        <v>0.66</v>
      </c>
      <c r="CA2883">
        <v>-1.93</v>
      </c>
      <c r="CB2883">
        <v>-2.66</v>
      </c>
      <c r="CC2883">
        <v>-7.0000000000000007E-2</v>
      </c>
      <c r="CD2883">
        <v>3.95</v>
      </c>
      <c r="CE2883">
        <v>-3.18</v>
      </c>
      <c r="CF2883">
        <v>-1.01</v>
      </c>
      <c r="CG2883">
        <v>0</v>
      </c>
      <c r="CH2883">
        <v>-2.2999999999999998</v>
      </c>
      <c r="CI2883">
        <v>0</v>
      </c>
      <c r="CJ2883">
        <v>4.3</v>
      </c>
      <c r="CK2883">
        <v>96</v>
      </c>
      <c r="CL2883">
        <v>0.45</v>
      </c>
      <c r="CM2883">
        <v>95</v>
      </c>
      <c r="CN2883">
        <v>-0.18</v>
      </c>
      <c r="CO2883">
        <v>95</v>
      </c>
      <c r="CP2883">
        <v>1.2</v>
      </c>
      <c r="CQ2883">
        <v>94</v>
      </c>
      <c r="CR2883">
        <v>0</v>
      </c>
      <c r="CS2883">
        <v>0</v>
      </c>
      <c r="CT2883">
        <v>-9.4</v>
      </c>
      <c r="CU2883">
        <v>88</v>
      </c>
      <c r="CV2883">
        <v>-0.16</v>
      </c>
      <c r="CW2883">
        <v>28</v>
      </c>
      <c r="CX2883" t="s">
        <v>763</v>
      </c>
    </row>
    <row r="2884" spans="1:102" x14ac:dyDescent="0.3">
      <c r="A2884" t="str">
        <f>HYPERLINK("https://webapp.icbf.com/v2/app/bull-search/view/77854090","RPE")</f>
        <v>RPE</v>
      </c>
      <c r="B2884" t="s">
        <v>10927</v>
      </c>
      <c r="C2884" t="s">
        <v>10928</v>
      </c>
      <c r="D2884" s="1">
        <v>33994</v>
      </c>
      <c r="E2884" t="s">
        <v>92</v>
      </c>
      <c r="F2884">
        <v>53</v>
      </c>
      <c r="G2884" t="s">
        <v>93</v>
      </c>
      <c r="H2884">
        <v>5.42</v>
      </c>
      <c r="I2884">
        <v>73</v>
      </c>
      <c r="J2884">
        <v>-60.19</v>
      </c>
      <c r="K2884">
        <v>88</v>
      </c>
      <c r="L2884">
        <v>74.78</v>
      </c>
      <c r="M2884">
        <v>65</v>
      </c>
      <c r="N2884">
        <v>2.48</v>
      </c>
      <c r="O2884">
        <v>58</v>
      </c>
      <c r="P2884">
        <v>-9.2100000000000009</v>
      </c>
      <c r="Q2884">
        <v>75</v>
      </c>
      <c r="R2884">
        <v>-3.64</v>
      </c>
      <c r="S2884">
        <v>65</v>
      </c>
      <c r="T2884">
        <v>3.24</v>
      </c>
      <c r="U2884">
        <v>74</v>
      </c>
      <c r="V2884">
        <v>-2.04</v>
      </c>
      <c r="W2884">
        <v>48</v>
      </c>
      <c r="X2884" t="s">
        <v>102</v>
      </c>
      <c r="Y2884" t="s">
        <v>95</v>
      </c>
      <c r="Z2884" t="s">
        <v>96</v>
      </c>
      <c r="AA2884" t="s">
        <v>10929</v>
      </c>
      <c r="AB2884" t="s">
        <v>10930</v>
      </c>
      <c r="AC2884">
        <v>19</v>
      </c>
      <c r="AD2884">
        <v>13</v>
      </c>
      <c r="AE2884">
        <v>88</v>
      </c>
      <c r="AF2884">
        <v>-136.28</v>
      </c>
      <c r="AG2884">
        <v>-14.79</v>
      </c>
      <c r="AH2884">
        <v>-7.09</v>
      </c>
      <c r="AI2884">
        <v>-0.17</v>
      </c>
      <c r="AJ2884">
        <v>-0.04</v>
      </c>
      <c r="AK2884">
        <v>65</v>
      </c>
      <c r="AL2884">
        <v>32</v>
      </c>
      <c r="AM2884">
        <v>19</v>
      </c>
      <c r="AN2884">
        <v>-5.15</v>
      </c>
      <c r="AO2884">
        <v>0.8</v>
      </c>
      <c r="AP2884">
        <v>9</v>
      </c>
      <c r="AQ2884">
        <v>1</v>
      </c>
      <c r="AR2884">
        <v>6.23</v>
      </c>
      <c r="AS2884">
        <v>46</v>
      </c>
      <c r="AT2884">
        <v>2.38</v>
      </c>
      <c r="AU2884">
        <v>60</v>
      </c>
      <c r="AV2884">
        <v>0.99</v>
      </c>
      <c r="AW2884">
        <v>63</v>
      </c>
      <c r="AX2884">
        <v>0.18</v>
      </c>
      <c r="AY2884">
        <v>65</v>
      </c>
      <c r="AZ2884">
        <v>5.56</v>
      </c>
      <c r="BA2884">
        <v>38</v>
      </c>
      <c r="BB2884">
        <v>4.95</v>
      </c>
      <c r="BC2884">
        <v>45</v>
      </c>
      <c r="BD2884">
        <v>0.04</v>
      </c>
      <c r="BE2884">
        <v>0.03</v>
      </c>
      <c r="BF2884">
        <v>-0.04</v>
      </c>
      <c r="BG2884">
        <v>79</v>
      </c>
      <c r="BH2884">
        <v>-0.14000000000000001</v>
      </c>
      <c r="BI2884">
        <v>-9.6</v>
      </c>
      <c r="BJ2884">
        <v>4</v>
      </c>
      <c r="BK2884">
        <v>4</v>
      </c>
      <c r="BL2884">
        <v>-1.82</v>
      </c>
      <c r="BM2884">
        <v>0.61</v>
      </c>
      <c r="BN2884">
        <v>-2.1</v>
      </c>
      <c r="BO2884">
        <v>-1.78</v>
      </c>
      <c r="BP2884">
        <v>1.23</v>
      </c>
      <c r="BQ2884">
        <v>0.03</v>
      </c>
      <c r="BR2884">
        <v>-0.33</v>
      </c>
      <c r="BS2884">
        <v>-1.83</v>
      </c>
      <c r="BT2884">
        <v>-0.15</v>
      </c>
      <c r="BU2884">
        <v>-1.69</v>
      </c>
      <c r="BV2884">
        <v>-2.02</v>
      </c>
      <c r="BW2884">
        <v>-2.38</v>
      </c>
      <c r="BX2884">
        <v>-1.9</v>
      </c>
      <c r="BY2884">
        <v>-1.38</v>
      </c>
      <c r="BZ2884">
        <v>1.4</v>
      </c>
      <c r="CA2884">
        <v>-2.29</v>
      </c>
      <c r="CB2884">
        <v>-1.96</v>
      </c>
      <c r="CC2884">
        <v>-2.57</v>
      </c>
      <c r="CD2884">
        <v>1.41</v>
      </c>
      <c r="CE2884">
        <v>-1.93</v>
      </c>
      <c r="CF2884">
        <v>-1.32</v>
      </c>
      <c r="CG2884">
        <v>0</v>
      </c>
      <c r="CH2884">
        <v>-1.17</v>
      </c>
      <c r="CI2884">
        <v>0</v>
      </c>
      <c r="CJ2884">
        <v>-4.8</v>
      </c>
      <c r="CK2884">
        <v>76</v>
      </c>
      <c r="CL2884">
        <v>-0.12</v>
      </c>
      <c r="CM2884">
        <v>73</v>
      </c>
      <c r="CN2884">
        <v>0.1</v>
      </c>
      <c r="CO2884">
        <v>71</v>
      </c>
      <c r="CP2884">
        <v>-1.2</v>
      </c>
      <c r="CQ2884">
        <v>77</v>
      </c>
      <c r="CR2884">
        <v>0</v>
      </c>
      <c r="CS2884">
        <v>0</v>
      </c>
      <c r="CT2884">
        <v>9.4</v>
      </c>
      <c r="CU2884">
        <v>74</v>
      </c>
      <c r="CV2884">
        <v>-0.12</v>
      </c>
      <c r="CW2884">
        <v>40</v>
      </c>
      <c r="CX2884" t="s">
        <v>982</v>
      </c>
    </row>
    <row r="2885" spans="1:102" x14ac:dyDescent="0.3">
      <c r="A2885" t="str">
        <f>HYPERLINK("https://webapp.icbf.com/v2/app/bull-search/view/751121258","RPF")</f>
        <v>RPF</v>
      </c>
      <c r="B2885" t="s">
        <v>7547</v>
      </c>
      <c r="C2885" t="s">
        <v>7548</v>
      </c>
      <c r="D2885" s="1">
        <v>40224</v>
      </c>
      <c r="E2885" t="s">
        <v>92</v>
      </c>
      <c r="F2885">
        <v>91</v>
      </c>
      <c r="G2885" t="s">
        <v>93</v>
      </c>
      <c r="H2885">
        <v>5.41</v>
      </c>
      <c r="I2885">
        <v>92</v>
      </c>
      <c r="J2885">
        <v>21.76</v>
      </c>
      <c r="K2885">
        <v>98</v>
      </c>
      <c r="L2885">
        <v>16.149999999999999</v>
      </c>
      <c r="M2885">
        <v>86</v>
      </c>
      <c r="N2885">
        <v>-31.92</v>
      </c>
      <c r="O2885">
        <v>93</v>
      </c>
      <c r="P2885">
        <v>-19.739999999999998</v>
      </c>
      <c r="Q2885">
        <v>98</v>
      </c>
      <c r="R2885">
        <v>1.26</v>
      </c>
      <c r="S2885">
        <v>85</v>
      </c>
      <c r="T2885">
        <v>21.6</v>
      </c>
      <c r="U2885">
        <v>94</v>
      </c>
      <c r="V2885">
        <v>-3.7</v>
      </c>
      <c r="W2885">
        <v>82</v>
      </c>
      <c r="X2885" t="s">
        <v>102</v>
      </c>
      <c r="Y2885" t="s">
        <v>1727</v>
      </c>
      <c r="Z2885" t="s">
        <v>96</v>
      </c>
      <c r="AA2885" t="s">
        <v>7549</v>
      </c>
      <c r="AB2885" t="s">
        <v>7550</v>
      </c>
      <c r="AC2885">
        <v>271</v>
      </c>
      <c r="AD2885">
        <v>158</v>
      </c>
      <c r="AE2885">
        <v>98</v>
      </c>
      <c r="AF2885">
        <v>-19.809999999999999</v>
      </c>
      <c r="AG2885">
        <v>-1.93</v>
      </c>
      <c r="AH2885">
        <v>4.08</v>
      </c>
      <c r="AI2885">
        <v>-0.02</v>
      </c>
      <c r="AJ2885">
        <v>0.08</v>
      </c>
      <c r="AK2885">
        <v>86</v>
      </c>
      <c r="AL2885">
        <v>357</v>
      </c>
      <c r="AM2885">
        <v>202</v>
      </c>
      <c r="AN2885">
        <v>0.06</v>
      </c>
      <c r="AO2885">
        <v>1.36</v>
      </c>
      <c r="AP2885">
        <v>704</v>
      </c>
      <c r="AQ2885">
        <v>7</v>
      </c>
      <c r="AR2885">
        <v>12.56</v>
      </c>
      <c r="AS2885">
        <v>83</v>
      </c>
      <c r="AT2885">
        <v>4.67</v>
      </c>
      <c r="AU2885">
        <v>95</v>
      </c>
      <c r="AV2885">
        <v>-0.95</v>
      </c>
      <c r="AW2885">
        <v>99</v>
      </c>
      <c r="AX2885">
        <v>1.32</v>
      </c>
      <c r="AY2885">
        <v>93</v>
      </c>
      <c r="AZ2885">
        <v>7.28</v>
      </c>
      <c r="BA2885">
        <v>82</v>
      </c>
      <c r="BB2885">
        <v>5.44</v>
      </c>
      <c r="BC2885">
        <v>81</v>
      </c>
      <c r="BD2885">
        <v>0</v>
      </c>
      <c r="BE2885">
        <v>-0.01</v>
      </c>
      <c r="BF2885">
        <v>-0.01</v>
      </c>
      <c r="BG2885">
        <v>94</v>
      </c>
      <c r="BH2885">
        <v>0.1</v>
      </c>
      <c r="BI2885">
        <v>23.5</v>
      </c>
      <c r="BJ2885">
        <v>23</v>
      </c>
      <c r="BK2885">
        <v>18</v>
      </c>
      <c r="BL2885">
        <v>-1.23</v>
      </c>
      <c r="BM2885">
        <v>0.17</v>
      </c>
      <c r="BN2885">
        <v>-0.55000000000000004</v>
      </c>
      <c r="BO2885">
        <v>-0.89</v>
      </c>
      <c r="BP2885">
        <v>-0.44</v>
      </c>
      <c r="BQ2885">
        <v>-1.59</v>
      </c>
      <c r="BR2885">
        <v>0.65</v>
      </c>
      <c r="BS2885">
        <v>-2.2999999999999998</v>
      </c>
      <c r="BT2885">
        <v>-0.05</v>
      </c>
      <c r="BU2885">
        <v>-2.63</v>
      </c>
      <c r="BV2885">
        <v>-2.62</v>
      </c>
      <c r="BW2885">
        <v>-2.4900000000000002</v>
      </c>
      <c r="BX2885">
        <v>-2.46</v>
      </c>
      <c r="BY2885">
        <v>-1.33</v>
      </c>
      <c r="BZ2885">
        <v>1.82</v>
      </c>
      <c r="CA2885">
        <v>-2.82</v>
      </c>
      <c r="CB2885">
        <v>-2.39</v>
      </c>
      <c r="CC2885">
        <v>-2.65</v>
      </c>
      <c r="CD2885">
        <v>0.33</v>
      </c>
      <c r="CE2885">
        <v>-1.1200000000000001</v>
      </c>
      <c r="CF2885">
        <v>-1.67</v>
      </c>
      <c r="CG2885">
        <v>0</v>
      </c>
      <c r="CH2885">
        <v>-2.12</v>
      </c>
      <c r="CI2885">
        <v>0</v>
      </c>
      <c r="CJ2885">
        <v>-9.9</v>
      </c>
      <c r="CK2885">
        <v>98</v>
      </c>
      <c r="CL2885">
        <v>-0.72</v>
      </c>
      <c r="CM2885">
        <v>98</v>
      </c>
      <c r="CN2885">
        <v>-0.31</v>
      </c>
      <c r="CO2885">
        <v>98</v>
      </c>
      <c r="CP2885">
        <v>-15.2</v>
      </c>
      <c r="CQ2885">
        <v>95</v>
      </c>
      <c r="CR2885">
        <v>0</v>
      </c>
      <c r="CS2885">
        <v>0</v>
      </c>
      <c r="CT2885">
        <v>-15.4</v>
      </c>
      <c r="CU2885">
        <v>94</v>
      </c>
      <c r="CV2885">
        <v>0.02</v>
      </c>
      <c r="CW2885">
        <v>46</v>
      </c>
      <c r="CX2885" t="s">
        <v>1037</v>
      </c>
    </row>
    <row r="2886" spans="1:102" x14ac:dyDescent="0.3">
      <c r="A2886" t="str">
        <f>HYPERLINK("https://webapp.icbf.com/v2/app/bull-search/view/604327965","SIH")</f>
        <v>SIH</v>
      </c>
      <c r="B2886" t="s">
        <v>15201</v>
      </c>
      <c r="C2886" t="s">
        <v>7976</v>
      </c>
      <c r="D2886" s="1">
        <v>37243</v>
      </c>
      <c r="E2886" t="s">
        <v>140</v>
      </c>
      <c r="F2886">
        <v>0</v>
      </c>
      <c r="G2886" t="s">
        <v>93</v>
      </c>
      <c r="H2886">
        <v>5.34</v>
      </c>
      <c r="I2886">
        <v>85</v>
      </c>
      <c r="J2886">
        <v>-6.28</v>
      </c>
      <c r="K2886">
        <v>95</v>
      </c>
      <c r="L2886">
        <v>9.64</v>
      </c>
      <c r="M2886">
        <v>76</v>
      </c>
      <c r="N2886">
        <v>-25.18</v>
      </c>
      <c r="O2886">
        <v>84</v>
      </c>
      <c r="P2886">
        <v>22.27</v>
      </c>
      <c r="Q2886">
        <v>92</v>
      </c>
      <c r="R2886">
        <v>13.47</v>
      </c>
      <c r="S2886">
        <v>75</v>
      </c>
      <c r="T2886">
        <v>4.58</v>
      </c>
      <c r="U2886">
        <v>85</v>
      </c>
      <c r="V2886">
        <v>-13.16</v>
      </c>
      <c r="W2886">
        <v>76</v>
      </c>
      <c r="X2886" t="s">
        <v>102</v>
      </c>
      <c r="Y2886" t="s">
        <v>235</v>
      </c>
      <c r="Z2886">
        <v>0</v>
      </c>
      <c r="AA2886" t="s">
        <v>1609</v>
      </c>
      <c r="AB2886" t="s">
        <v>15202</v>
      </c>
      <c r="AC2886">
        <v>57</v>
      </c>
      <c r="AD2886">
        <v>24</v>
      </c>
      <c r="AE2886">
        <v>95</v>
      </c>
      <c r="AF2886">
        <v>-49.33</v>
      </c>
      <c r="AG2886">
        <v>-2.2400000000000002</v>
      </c>
      <c r="AH2886">
        <v>-1.03</v>
      </c>
      <c r="AI2886">
        <v>-0.01</v>
      </c>
      <c r="AJ2886">
        <v>0.01</v>
      </c>
      <c r="AK2886">
        <v>76</v>
      </c>
      <c r="AL2886">
        <v>76</v>
      </c>
      <c r="AM2886">
        <v>36</v>
      </c>
      <c r="AN2886">
        <v>0.34</v>
      </c>
      <c r="AO2886">
        <v>1.1200000000000001</v>
      </c>
      <c r="AP2886">
        <v>181</v>
      </c>
      <c r="AQ2886">
        <v>1</v>
      </c>
      <c r="AR2886">
        <v>8.5399999999999991</v>
      </c>
      <c r="AS2886">
        <v>78</v>
      </c>
      <c r="AT2886">
        <v>4.66</v>
      </c>
      <c r="AU2886">
        <v>85</v>
      </c>
      <c r="AV2886">
        <v>1.61</v>
      </c>
      <c r="AW2886">
        <v>94</v>
      </c>
      <c r="AX2886">
        <v>0.31</v>
      </c>
      <c r="AY2886">
        <v>82</v>
      </c>
      <c r="AZ2886">
        <v>5.39</v>
      </c>
      <c r="BA2886">
        <v>64</v>
      </c>
      <c r="BB2886">
        <v>3.89</v>
      </c>
      <c r="BC2886">
        <v>64</v>
      </c>
      <c r="BD2886">
        <v>-0.04</v>
      </c>
      <c r="BE2886">
        <v>-7.0000000000000007E-2</v>
      </c>
      <c r="BF2886">
        <v>-0.11</v>
      </c>
      <c r="BG2886">
        <v>84</v>
      </c>
      <c r="BH2886">
        <v>-0.48</v>
      </c>
      <c r="BI2886">
        <v>-13.06</v>
      </c>
      <c r="BJ2886">
        <v>0</v>
      </c>
      <c r="BK2886">
        <v>0</v>
      </c>
      <c r="BL2886">
        <v>-0.98</v>
      </c>
      <c r="BM2886">
        <v>3.15</v>
      </c>
      <c r="BN2886">
        <v>-1.66</v>
      </c>
      <c r="BO2886">
        <v>-2.78</v>
      </c>
      <c r="BP2886">
        <v>4.17</v>
      </c>
      <c r="BQ2886">
        <v>-2.31</v>
      </c>
      <c r="BR2886">
        <v>-2.67</v>
      </c>
      <c r="BS2886">
        <v>-0.41</v>
      </c>
      <c r="BT2886">
        <v>2.46</v>
      </c>
      <c r="BU2886">
        <v>-3.54</v>
      </c>
      <c r="BV2886">
        <v>-3.98</v>
      </c>
      <c r="BW2886">
        <v>-3.07</v>
      </c>
      <c r="BX2886">
        <v>-2.87</v>
      </c>
      <c r="BY2886">
        <v>-1.83</v>
      </c>
      <c r="BZ2886">
        <v>1.1499999999999999</v>
      </c>
      <c r="CA2886">
        <v>-2.4</v>
      </c>
      <c r="CB2886">
        <v>-3.16</v>
      </c>
      <c r="CC2886">
        <v>-0.16</v>
      </c>
      <c r="CD2886">
        <v>3.64</v>
      </c>
      <c r="CE2886">
        <v>-2.77</v>
      </c>
      <c r="CF2886">
        <v>-1.2</v>
      </c>
      <c r="CG2886">
        <v>0</v>
      </c>
      <c r="CH2886">
        <v>-2.62</v>
      </c>
      <c r="CI2886">
        <v>0</v>
      </c>
      <c r="CJ2886">
        <v>9.6</v>
      </c>
      <c r="CK2886">
        <v>94</v>
      </c>
      <c r="CL2886">
        <v>0.35</v>
      </c>
      <c r="CM2886">
        <v>92</v>
      </c>
      <c r="CN2886">
        <v>-0.37</v>
      </c>
      <c r="CO2886">
        <v>91</v>
      </c>
      <c r="CP2886">
        <v>7.2</v>
      </c>
      <c r="CQ2886">
        <v>85</v>
      </c>
      <c r="CR2886">
        <v>0</v>
      </c>
      <c r="CS2886">
        <v>0</v>
      </c>
      <c r="CT2886">
        <v>7.6</v>
      </c>
      <c r="CU2886">
        <v>85</v>
      </c>
      <c r="CV2886">
        <v>0.2</v>
      </c>
      <c r="CW2886">
        <v>45</v>
      </c>
      <c r="CX2886" t="s">
        <v>1177</v>
      </c>
    </row>
    <row r="2887" spans="1:102" x14ac:dyDescent="0.3">
      <c r="A2887" t="str">
        <f>HYPERLINK("https://webapp.icbf.com/v2/app/bull-search/view/348290481","HTO")</f>
        <v>HTO</v>
      </c>
      <c r="B2887" t="s">
        <v>8954</v>
      </c>
      <c r="C2887" t="s">
        <v>5816</v>
      </c>
      <c r="D2887" s="1">
        <v>38051</v>
      </c>
      <c r="E2887" t="s">
        <v>92</v>
      </c>
      <c r="F2887">
        <v>94</v>
      </c>
      <c r="G2887" t="s">
        <v>93</v>
      </c>
      <c r="H2887">
        <v>5.24</v>
      </c>
      <c r="I2887">
        <v>85</v>
      </c>
      <c r="J2887">
        <v>63.42</v>
      </c>
      <c r="K2887">
        <v>96</v>
      </c>
      <c r="L2887">
        <v>-66.349999999999994</v>
      </c>
      <c r="M2887">
        <v>77</v>
      </c>
      <c r="N2887">
        <v>-3.29</v>
      </c>
      <c r="O2887">
        <v>83</v>
      </c>
      <c r="P2887">
        <v>-18.86</v>
      </c>
      <c r="Q2887">
        <v>88</v>
      </c>
      <c r="R2887">
        <v>2.81</v>
      </c>
      <c r="S2887">
        <v>78</v>
      </c>
      <c r="T2887">
        <v>20.78</v>
      </c>
      <c r="U2887">
        <v>83</v>
      </c>
      <c r="V2887">
        <v>6.73</v>
      </c>
      <c r="W2887">
        <v>75</v>
      </c>
      <c r="X2887" t="s">
        <v>94</v>
      </c>
      <c r="Y2887" t="s">
        <v>95</v>
      </c>
      <c r="Z2887" t="s">
        <v>96</v>
      </c>
      <c r="AA2887" t="s">
        <v>7828</v>
      </c>
      <c r="AB2887" t="s">
        <v>8955</v>
      </c>
      <c r="AC2887">
        <v>53</v>
      </c>
      <c r="AD2887">
        <v>45</v>
      </c>
      <c r="AE2887">
        <v>96</v>
      </c>
      <c r="AF2887">
        <v>89.92</v>
      </c>
      <c r="AG2887">
        <v>12.81</v>
      </c>
      <c r="AH2887">
        <v>7.63</v>
      </c>
      <c r="AI2887">
        <v>0.16</v>
      </c>
      <c r="AJ2887">
        <v>0.08</v>
      </c>
      <c r="AK2887">
        <v>77</v>
      </c>
      <c r="AL2887">
        <v>49</v>
      </c>
      <c r="AM2887">
        <v>40</v>
      </c>
      <c r="AN2887">
        <v>2.93</v>
      </c>
      <c r="AO2887">
        <v>-2.37</v>
      </c>
      <c r="AP2887">
        <v>127</v>
      </c>
      <c r="AQ2887">
        <v>1</v>
      </c>
      <c r="AR2887">
        <v>9.49</v>
      </c>
      <c r="AS2887">
        <v>67</v>
      </c>
      <c r="AT2887">
        <v>3.22</v>
      </c>
      <c r="AU2887">
        <v>85</v>
      </c>
      <c r="AV2887">
        <v>-0.78</v>
      </c>
      <c r="AW2887">
        <v>94</v>
      </c>
      <c r="AX2887">
        <v>0.17</v>
      </c>
      <c r="AY2887">
        <v>76</v>
      </c>
      <c r="AZ2887">
        <v>6.51</v>
      </c>
      <c r="BA2887">
        <v>62</v>
      </c>
      <c r="BB2887">
        <v>5.56</v>
      </c>
      <c r="BC2887">
        <v>64</v>
      </c>
      <c r="BD2887">
        <v>-0.01</v>
      </c>
      <c r="BE2887">
        <v>-0.02</v>
      </c>
      <c r="BF2887">
        <v>-0.01</v>
      </c>
      <c r="BG2887">
        <v>86</v>
      </c>
      <c r="BH2887">
        <v>0.18</v>
      </c>
      <c r="BI2887">
        <v>-0.9</v>
      </c>
      <c r="BJ2887">
        <v>30</v>
      </c>
      <c r="BK2887">
        <v>26</v>
      </c>
      <c r="BL2887">
        <v>-0.25</v>
      </c>
      <c r="BM2887">
        <v>-0.16</v>
      </c>
      <c r="BN2887">
        <v>0.12</v>
      </c>
      <c r="BO2887">
        <v>0.15</v>
      </c>
      <c r="BP2887">
        <v>0.25</v>
      </c>
      <c r="BQ2887">
        <v>-1.77</v>
      </c>
      <c r="BR2887">
        <v>0.18</v>
      </c>
      <c r="BS2887">
        <v>-1.1499999999999999</v>
      </c>
      <c r="BT2887">
        <v>-0.99</v>
      </c>
      <c r="BU2887">
        <v>0.14000000000000001</v>
      </c>
      <c r="BV2887">
        <v>0.23</v>
      </c>
      <c r="BW2887">
        <v>-1.17</v>
      </c>
      <c r="BX2887">
        <v>-0.91</v>
      </c>
      <c r="BY2887">
        <v>-0.52</v>
      </c>
      <c r="BZ2887">
        <v>-1.27</v>
      </c>
      <c r="CA2887">
        <v>-0.33</v>
      </c>
      <c r="CB2887">
        <v>-0.14000000000000001</v>
      </c>
      <c r="CC2887">
        <v>-0.65</v>
      </c>
      <c r="CD2887">
        <v>-0.12</v>
      </c>
      <c r="CE2887">
        <v>0.36</v>
      </c>
      <c r="CF2887">
        <v>-0.37</v>
      </c>
      <c r="CG2887">
        <v>0</v>
      </c>
      <c r="CH2887">
        <v>-0.5</v>
      </c>
      <c r="CI2887">
        <v>0</v>
      </c>
      <c r="CJ2887">
        <v>-9.1</v>
      </c>
      <c r="CK2887">
        <v>89</v>
      </c>
      <c r="CL2887">
        <v>-0.54</v>
      </c>
      <c r="CM2887">
        <v>87</v>
      </c>
      <c r="CN2887">
        <v>-0.14000000000000001</v>
      </c>
      <c r="CO2887">
        <v>85</v>
      </c>
      <c r="CP2887">
        <v>-15.8</v>
      </c>
      <c r="CQ2887">
        <v>85</v>
      </c>
      <c r="CR2887">
        <v>0</v>
      </c>
      <c r="CS2887">
        <v>0</v>
      </c>
      <c r="CT2887">
        <v>-14.3</v>
      </c>
      <c r="CU2887">
        <v>83</v>
      </c>
      <c r="CV2887">
        <v>-0.1</v>
      </c>
      <c r="CW2887">
        <v>44</v>
      </c>
      <c r="CX2887" t="s">
        <v>1037</v>
      </c>
    </row>
    <row r="2888" spans="1:102" x14ac:dyDescent="0.3">
      <c r="A2888" t="str">
        <f>HYPERLINK("https://webapp.icbf.com/v2/app/bull-search/view/586205859","UFM")</f>
        <v>UFM</v>
      </c>
      <c r="B2888" t="s">
        <v>3036</v>
      </c>
      <c r="C2888" t="s">
        <v>3037</v>
      </c>
      <c r="D2888" s="1">
        <v>38306</v>
      </c>
      <c r="E2888" t="s">
        <v>92</v>
      </c>
      <c r="F2888">
        <v>100</v>
      </c>
      <c r="G2888" t="s">
        <v>93</v>
      </c>
      <c r="H2888">
        <v>5.08</v>
      </c>
      <c r="I2888">
        <v>93</v>
      </c>
      <c r="J2888">
        <v>97.27</v>
      </c>
      <c r="K2888">
        <v>98</v>
      </c>
      <c r="L2888">
        <v>-104.48</v>
      </c>
      <c r="M2888">
        <v>91</v>
      </c>
      <c r="N2888">
        <v>17.559999999999999</v>
      </c>
      <c r="O2888">
        <v>91</v>
      </c>
      <c r="P2888">
        <v>-1.48</v>
      </c>
      <c r="Q2888">
        <v>95</v>
      </c>
      <c r="R2888">
        <v>-4.5999999999999996</v>
      </c>
      <c r="S2888">
        <v>84</v>
      </c>
      <c r="T2888">
        <v>-4.08</v>
      </c>
      <c r="U2888">
        <v>94</v>
      </c>
      <c r="V2888">
        <v>4.8899999999999997</v>
      </c>
      <c r="W2888">
        <v>81</v>
      </c>
      <c r="X2888" t="s">
        <v>251</v>
      </c>
      <c r="Y2888" t="s">
        <v>235</v>
      </c>
      <c r="Z2888" t="s">
        <v>96</v>
      </c>
      <c r="AA2888" t="s">
        <v>316</v>
      </c>
      <c r="AB2888" t="s">
        <v>3038</v>
      </c>
      <c r="AC2888">
        <v>282</v>
      </c>
      <c r="AD2888">
        <v>82</v>
      </c>
      <c r="AE2888">
        <v>98</v>
      </c>
      <c r="AF2888">
        <v>353.79</v>
      </c>
      <c r="AG2888">
        <v>22.44</v>
      </c>
      <c r="AH2888">
        <v>14.02</v>
      </c>
      <c r="AI2888">
        <v>0.14000000000000001</v>
      </c>
      <c r="AJ2888">
        <v>0.03</v>
      </c>
      <c r="AK2888">
        <v>91</v>
      </c>
      <c r="AL2888">
        <v>283</v>
      </c>
      <c r="AM2888">
        <v>99</v>
      </c>
      <c r="AN2888">
        <v>5.08</v>
      </c>
      <c r="AO2888">
        <v>-3.26</v>
      </c>
      <c r="AP2888">
        <v>438</v>
      </c>
      <c r="AQ2888">
        <v>3</v>
      </c>
      <c r="AR2888">
        <v>8.4</v>
      </c>
      <c r="AS2888">
        <v>93</v>
      </c>
      <c r="AT2888">
        <v>3.03</v>
      </c>
      <c r="AU2888">
        <v>91</v>
      </c>
      <c r="AV2888">
        <v>-3.74</v>
      </c>
      <c r="AW2888">
        <v>98</v>
      </c>
      <c r="AX2888">
        <v>0.05</v>
      </c>
      <c r="AY2888">
        <v>91</v>
      </c>
      <c r="AZ2888">
        <v>8.8699999999999992</v>
      </c>
      <c r="BA2888">
        <v>79</v>
      </c>
      <c r="BB2888">
        <v>6.19</v>
      </c>
      <c r="BC2888">
        <v>77</v>
      </c>
      <c r="BD2888">
        <v>0.01</v>
      </c>
      <c r="BE2888">
        <v>0.01</v>
      </c>
      <c r="BF2888">
        <v>7.0000000000000007E-2</v>
      </c>
      <c r="BG2888">
        <v>94</v>
      </c>
      <c r="BH2888">
        <v>7.0000000000000007E-2</v>
      </c>
      <c r="BI2888">
        <v>-7.69</v>
      </c>
      <c r="BJ2888">
        <v>26</v>
      </c>
      <c r="BK2888">
        <v>11</v>
      </c>
      <c r="BL2888">
        <v>1.04</v>
      </c>
      <c r="BM2888">
        <v>1.43</v>
      </c>
      <c r="BN2888">
        <v>1.55</v>
      </c>
      <c r="BO2888">
        <v>0.83</v>
      </c>
      <c r="BP2888">
        <v>-3.75</v>
      </c>
      <c r="BQ2888">
        <v>1.61</v>
      </c>
      <c r="BR2888">
        <v>-2.25</v>
      </c>
      <c r="BS2888">
        <v>-0.44</v>
      </c>
      <c r="BT2888">
        <v>2.5</v>
      </c>
      <c r="BU2888">
        <v>0.98</v>
      </c>
      <c r="BV2888">
        <v>1.58</v>
      </c>
      <c r="BW2888">
        <v>0.05</v>
      </c>
      <c r="BX2888">
        <v>0.42</v>
      </c>
      <c r="BY2888">
        <v>1.27</v>
      </c>
      <c r="BZ2888">
        <v>-0.5</v>
      </c>
      <c r="CA2888">
        <v>1.27</v>
      </c>
      <c r="CB2888">
        <v>1.48</v>
      </c>
      <c r="CC2888">
        <v>0.48</v>
      </c>
      <c r="CD2888">
        <v>-0.18</v>
      </c>
      <c r="CE2888">
        <v>0.73</v>
      </c>
      <c r="CF2888">
        <v>0.67</v>
      </c>
      <c r="CG2888">
        <v>0</v>
      </c>
      <c r="CH2888">
        <v>1</v>
      </c>
      <c r="CI2888">
        <v>0</v>
      </c>
      <c r="CJ2888">
        <v>-0.2</v>
      </c>
      <c r="CK2888">
        <v>96</v>
      </c>
      <c r="CL2888">
        <v>-0.81</v>
      </c>
      <c r="CM2888">
        <v>95</v>
      </c>
      <c r="CN2888">
        <v>-0.57999999999999996</v>
      </c>
      <c r="CO2888">
        <v>94</v>
      </c>
      <c r="CP2888">
        <v>2.4</v>
      </c>
      <c r="CQ2888">
        <v>95</v>
      </c>
      <c r="CR2888">
        <v>0</v>
      </c>
      <c r="CS2888">
        <v>0</v>
      </c>
      <c r="CT2888">
        <v>19.3</v>
      </c>
      <c r="CU2888">
        <v>94</v>
      </c>
      <c r="CV2888">
        <v>0.2</v>
      </c>
      <c r="CW2888">
        <v>48</v>
      </c>
      <c r="CX2888" t="s">
        <v>1797</v>
      </c>
    </row>
    <row r="2889" spans="1:102" x14ac:dyDescent="0.3">
      <c r="A2889" t="str">
        <f>HYPERLINK("https://webapp.icbf.com/v2/app/bull-search/view/869968007","S1089")</f>
        <v>S1089</v>
      </c>
      <c r="B2889" t="s">
        <v>7292</v>
      </c>
      <c r="C2889" t="s">
        <v>7293</v>
      </c>
      <c r="D2889" s="1">
        <v>38229</v>
      </c>
      <c r="E2889" t="s">
        <v>197</v>
      </c>
      <c r="F2889">
        <v>0</v>
      </c>
      <c r="G2889" t="s">
        <v>116</v>
      </c>
      <c r="H2889">
        <v>5.07</v>
      </c>
      <c r="I2889">
        <v>27</v>
      </c>
      <c r="J2889">
        <v>7.25</v>
      </c>
      <c r="K2889">
        <v>36</v>
      </c>
      <c r="L2889">
        <v>12.58</v>
      </c>
      <c r="M2889">
        <v>14</v>
      </c>
      <c r="N2889">
        <v>-34.51</v>
      </c>
      <c r="O2889">
        <v>32</v>
      </c>
      <c r="P2889">
        <v>15.78</v>
      </c>
      <c r="Q2889">
        <v>48</v>
      </c>
      <c r="R2889">
        <v>0.87</v>
      </c>
      <c r="S2889">
        <v>17</v>
      </c>
      <c r="T2889">
        <v>6.43</v>
      </c>
      <c r="U2889">
        <v>33</v>
      </c>
      <c r="V2889">
        <v>-3.33</v>
      </c>
      <c r="W2889">
        <v>6</v>
      </c>
      <c r="X2889" t="s">
        <v>198</v>
      </c>
      <c r="Y2889" t="s">
        <v>336</v>
      </c>
      <c r="Z2889">
        <v>0</v>
      </c>
      <c r="AA2889" t="s">
        <v>1821</v>
      </c>
      <c r="AB2889" t="s">
        <v>7294</v>
      </c>
      <c r="AC2889">
        <v>3</v>
      </c>
      <c r="AD2889">
        <v>2</v>
      </c>
      <c r="AE2889">
        <v>36</v>
      </c>
      <c r="AF2889">
        <v>-191.69</v>
      </c>
      <c r="AG2889">
        <v>-2.4900000000000002</v>
      </c>
      <c r="AH2889">
        <v>-0.82</v>
      </c>
      <c r="AI2889">
        <v>0.09</v>
      </c>
      <c r="AJ2889">
        <v>0.1</v>
      </c>
      <c r="AK2889">
        <v>14</v>
      </c>
      <c r="AL2889">
        <v>1</v>
      </c>
      <c r="AM2889">
        <v>1</v>
      </c>
      <c r="AN2889">
        <v>-1.73</v>
      </c>
      <c r="AO2889">
        <v>-0.74</v>
      </c>
      <c r="AP2889">
        <v>9</v>
      </c>
      <c r="AQ2889">
        <v>0</v>
      </c>
      <c r="AR2889">
        <v>5.64</v>
      </c>
      <c r="AS2889">
        <v>13</v>
      </c>
      <c r="AT2889">
        <v>5.53</v>
      </c>
      <c r="AU2889">
        <v>26</v>
      </c>
      <c r="AV2889">
        <v>3.31</v>
      </c>
      <c r="AW2889">
        <v>52</v>
      </c>
      <c r="AX2889">
        <v>-0.48</v>
      </c>
      <c r="AY2889">
        <v>21</v>
      </c>
      <c r="AZ2889">
        <v>5.54</v>
      </c>
      <c r="BA2889">
        <v>9</v>
      </c>
      <c r="BB2889">
        <v>3.28</v>
      </c>
      <c r="BC2889">
        <v>8</v>
      </c>
      <c r="BD2889">
        <v>0</v>
      </c>
      <c r="BE2889">
        <v>0</v>
      </c>
      <c r="BF2889">
        <v>-0.02</v>
      </c>
      <c r="BG2889">
        <v>21</v>
      </c>
      <c r="BH2889">
        <v>-0.08</v>
      </c>
      <c r="BI2889">
        <v>1.49</v>
      </c>
      <c r="BJ2889">
        <v>0</v>
      </c>
      <c r="BK2889">
        <v>0</v>
      </c>
      <c r="BL2889">
        <v>0</v>
      </c>
      <c r="BM2889">
        <v>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10.1</v>
      </c>
      <c r="CK2889">
        <v>51</v>
      </c>
      <c r="CL2889">
        <v>0.19</v>
      </c>
      <c r="CM2889">
        <v>46</v>
      </c>
      <c r="CN2889">
        <v>7.0000000000000007E-2</v>
      </c>
      <c r="CO2889">
        <v>44</v>
      </c>
      <c r="CP2889">
        <v>4.7</v>
      </c>
      <c r="CQ2889">
        <v>37</v>
      </c>
      <c r="CR2889">
        <v>0</v>
      </c>
      <c r="CS2889">
        <v>0</v>
      </c>
      <c r="CT2889">
        <v>5.0999999999999996</v>
      </c>
      <c r="CU2889">
        <v>33</v>
      </c>
      <c r="CV2889">
        <v>0.03</v>
      </c>
      <c r="CW2889">
        <v>13</v>
      </c>
      <c r="CX2889" t="s">
        <v>7295</v>
      </c>
    </row>
    <row r="2890" spans="1:102" x14ac:dyDescent="0.3">
      <c r="A2890" t="str">
        <f>HYPERLINK("https://webapp.icbf.com/v2/app/bull-search/view/124414857","LHA")</f>
        <v>LHA</v>
      </c>
      <c r="B2890" t="s">
        <v>12084</v>
      </c>
      <c r="C2890" t="s">
        <v>798</v>
      </c>
      <c r="D2890" s="1">
        <v>31680</v>
      </c>
      <c r="E2890" t="s">
        <v>92</v>
      </c>
      <c r="F2890">
        <v>100</v>
      </c>
      <c r="G2890" t="s">
        <v>93</v>
      </c>
      <c r="H2890">
        <v>5.05</v>
      </c>
      <c r="I2890">
        <v>92</v>
      </c>
      <c r="J2890">
        <v>5.0999999999999996</v>
      </c>
      <c r="K2890">
        <v>98</v>
      </c>
      <c r="L2890">
        <v>-24.67</v>
      </c>
      <c r="M2890">
        <v>93</v>
      </c>
      <c r="N2890">
        <v>20.5</v>
      </c>
      <c r="O2890">
        <v>86</v>
      </c>
      <c r="P2890">
        <v>-9.6</v>
      </c>
      <c r="Q2890">
        <v>91</v>
      </c>
      <c r="R2890">
        <v>1.39</v>
      </c>
      <c r="S2890">
        <v>85</v>
      </c>
      <c r="T2890">
        <v>9.83</v>
      </c>
      <c r="U2890">
        <v>87</v>
      </c>
      <c r="V2890">
        <v>2.5</v>
      </c>
      <c r="W2890">
        <v>75</v>
      </c>
      <c r="X2890" t="s">
        <v>110</v>
      </c>
      <c r="Y2890" t="s">
        <v>95</v>
      </c>
      <c r="Z2890" t="s">
        <v>96</v>
      </c>
      <c r="AA2890" t="s">
        <v>128</v>
      </c>
      <c r="AB2890" t="s">
        <v>7421</v>
      </c>
      <c r="AC2890">
        <v>159</v>
      </c>
      <c r="AD2890">
        <v>106</v>
      </c>
      <c r="AE2890">
        <v>98</v>
      </c>
      <c r="AF2890">
        <v>69.7</v>
      </c>
      <c r="AG2890">
        <v>7.53</v>
      </c>
      <c r="AH2890">
        <v>-0.73</v>
      </c>
      <c r="AI2890">
        <v>0.08</v>
      </c>
      <c r="AJ2890">
        <v>-0.05</v>
      </c>
      <c r="AK2890">
        <v>93</v>
      </c>
      <c r="AL2890">
        <v>230</v>
      </c>
      <c r="AM2890">
        <v>116</v>
      </c>
      <c r="AN2890">
        <v>1.95</v>
      </c>
      <c r="AO2890">
        <v>-0.01</v>
      </c>
      <c r="AP2890">
        <v>7</v>
      </c>
      <c r="AQ2890">
        <v>0</v>
      </c>
      <c r="AR2890">
        <v>7.16</v>
      </c>
      <c r="AS2890">
        <v>73</v>
      </c>
      <c r="AT2890">
        <v>2.65</v>
      </c>
      <c r="AU2890">
        <v>95</v>
      </c>
      <c r="AV2890">
        <v>-1.1000000000000001</v>
      </c>
      <c r="AW2890">
        <v>86</v>
      </c>
      <c r="AX2890">
        <v>-0.05</v>
      </c>
      <c r="AY2890">
        <v>89</v>
      </c>
      <c r="AZ2890">
        <v>4.5</v>
      </c>
      <c r="BA2890">
        <v>72</v>
      </c>
      <c r="BB2890">
        <v>4.13</v>
      </c>
      <c r="BC2890">
        <v>80</v>
      </c>
      <c r="BD2890">
        <v>0</v>
      </c>
      <c r="BE2890">
        <v>0.02</v>
      </c>
      <c r="BF2890">
        <v>-7.0000000000000007E-2</v>
      </c>
      <c r="BG2890">
        <v>95</v>
      </c>
      <c r="BH2890">
        <v>0.06</v>
      </c>
      <c r="BI2890">
        <v>-1.1200000000000001</v>
      </c>
      <c r="BJ2890">
        <v>33</v>
      </c>
      <c r="BK2890">
        <v>24</v>
      </c>
      <c r="BL2890">
        <v>-0.09</v>
      </c>
      <c r="BM2890">
        <v>-0.75</v>
      </c>
      <c r="BN2890">
        <v>-1.7</v>
      </c>
      <c r="BO2890">
        <v>-0.25</v>
      </c>
      <c r="BP2890">
        <v>-0.06</v>
      </c>
      <c r="BQ2890">
        <v>0.05</v>
      </c>
      <c r="BR2890">
        <v>-0.86</v>
      </c>
      <c r="BS2890">
        <v>0.46</v>
      </c>
      <c r="BT2890">
        <v>1.1000000000000001</v>
      </c>
      <c r="BU2890">
        <v>0.13</v>
      </c>
      <c r="BV2890">
        <v>0.77</v>
      </c>
      <c r="BW2890">
        <v>0.41</v>
      </c>
      <c r="BX2890">
        <v>0.79</v>
      </c>
      <c r="BY2890">
        <v>-0.59</v>
      </c>
      <c r="BZ2890">
        <v>-0.25</v>
      </c>
      <c r="CA2890">
        <v>0.26</v>
      </c>
      <c r="CB2890">
        <v>-0.1</v>
      </c>
      <c r="CC2890">
        <v>0.61</v>
      </c>
      <c r="CD2890">
        <v>-0.33</v>
      </c>
      <c r="CE2890">
        <v>-0.06</v>
      </c>
      <c r="CF2890">
        <v>-0.92</v>
      </c>
      <c r="CG2890">
        <v>0</v>
      </c>
      <c r="CH2890">
        <v>-0.41</v>
      </c>
      <c r="CI2890">
        <v>0</v>
      </c>
      <c r="CJ2890">
        <v>-3.4</v>
      </c>
      <c r="CK2890">
        <v>91</v>
      </c>
      <c r="CL2890">
        <v>-0.59</v>
      </c>
      <c r="CM2890">
        <v>90</v>
      </c>
      <c r="CN2890">
        <v>-0.16</v>
      </c>
      <c r="CO2890">
        <v>88</v>
      </c>
      <c r="CP2890">
        <v>-4.5999999999999996</v>
      </c>
      <c r="CQ2890">
        <v>93</v>
      </c>
      <c r="CR2890">
        <v>0</v>
      </c>
      <c r="CS2890">
        <v>0</v>
      </c>
      <c r="CT2890">
        <v>0.5</v>
      </c>
      <c r="CU2890">
        <v>87</v>
      </c>
      <c r="CV2890">
        <v>0.02</v>
      </c>
      <c r="CW2890">
        <v>44</v>
      </c>
      <c r="CX2890" t="s">
        <v>648</v>
      </c>
    </row>
    <row r="2891" spans="1:102" x14ac:dyDescent="0.3">
      <c r="A2891" t="str">
        <f>HYPERLINK("https://webapp.icbf.com/v2/app/bull-search/view/804575622","S1196")</f>
        <v>S1196</v>
      </c>
      <c r="B2891" t="s">
        <v>12962</v>
      </c>
      <c r="C2891" t="s">
        <v>12963</v>
      </c>
      <c r="D2891" s="1">
        <v>39781</v>
      </c>
      <c r="E2891" t="s">
        <v>92</v>
      </c>
      <c r="F2891">
        <v>100</v>
      </c>
      <c r="G2891" t="s">
        <v>109</v>
      </c>
      <c r="H2891">
        <v>5.04</v>
      </c>
      <c r="I2891">
        <v>62</v>
      </c>
      <c r="J2891">
        <v>-20.100000000000001</v>
      </c>
      <c r="K2891">
        <v>78</v>
      </c>
      <c r="L2891">
        <v>18.61</v>
      </c>
      <c r="M2891">
        <v>68</v>
      </c>
      <c r="N2891">
        <v>1.24</v>
      </c>
      <c r="O2891">
        <v>46</v>
      </c>
      <c r="P2891">
        <v>-11.1</v>
      </c>
      <c r="Q2891">
        <v>43</v>
      </c>
      <c r="R2891">
        <v>8.1300000000000008</v>
      </c>
      <c r="S2891">
        <v>57</v>
      </c>
      <c r="T2891">
        <v>2.5</v>
      </c>
      <c r="U2891">
        <v>34</v>
      </c>
      <c r="V2891">
        <v>5.76</v>
      </c>
      <c r="W2891">
        <v>29</v>
      </c>
      <c r="X2891" t="s">
        <v>110</v>
      </c>
      <c r="Y2891" t="s">
        <v>336</v>
      </c>
      <c r="Z2891" t="s">
        <v>96</v>
      </c>
      <c r="AA2891" t="s">
        <v>350</v>
      </c>
      <c r="AB2891" t="s">
        <v>5499</v>
      </c>
      <c r="AC2891">
        <v>0</v>
      </c>
      <c r="AD2891">
        <v>0</v>
      </c>
      <c r="AE2891">
        <v>78</v>
      </c>
      <c r="AF2891">
        <v>89.59</v>
      </c>
      <c r="AG2891">
        <v>-0.16</v>
      </c>
      <c r="AH2891">
        <v>-1.99</v>
      </c>
      <c r="AI2891">
        <v>-0.06</v>
      </c>
      <c r="AJ2891">
        <v>-0.08</v>
      </c>
      <c r="AK2891">
        <v>68</v>
      </c>
      <c r="AL2891">
        <v>0</v>
      </c>
      <c r="AM2891">
        <v>0</v>
      </c>
      <c r="AN2891">
        <v>-1.36</v>
      </c>
      <c r="AO2891">
        <v>0.12</v>
      </c>
      <c r="AP2891">
        <v>5</v>
      </c>
      <c r="AQ2891">
        <v>0</v>
      </c>
      <c r="AR2891">
        <v>9.06</v>
      </c>
      <c r="AS2891">
        <v>29</v>
      </c>
      <c r="AT2891">
        <v>4.16</v>
      </c>
      <c r="AU2891">
        <v>79</v>
      </c>
      <c r="AV2891">
        <v>-2.13</v>
      </c>
      <c r="AW2891">
        <v>39</v>
      </c>
      <c r="AX2891">
        <v>0.8</v>
      </c>
      <c r="AY2891">
        <v>33</v>
      </c>
      <c r="AZ2891">
        <v>6.43</v>
      </c>
      <c r="BA2891">
        <v>29</v>
      </c>
      <c r="BB2891">
        <v>4.8499999999999996</v>
      </c>
      <c r="BC2891">
        <v>29</v>
      </c>
      <c r="BD2891">
        <v>0</v>
      </c>
      <c r="BE2891">
        <v>-0.03</v>
      </c>
      <c r="BF2891">
        <v>-0.13</v>
      </c>
      <c r="BG2891">
        <v>81</v>
      </c>
      <c r="BH2891">
        <v>0.16</v>
      </c>
      <c r="BI2891">
        <v>-0.06</v>
      </c>
      <c r="BJ2891">
        <v>0</v>
      </c>
      <c r="BK2891">
        <v>0</v>
      </c>
      <c r="BL2891">
        <v>0.94</v>
      </c>
      <c r="BM2891">
        <v>-1.26</v>
      </c>
      <c r="BN2891">
        <v>0.41</v>
      </c>
      <c r="BO2891">
        <v>0.67</v>
      </c>
      <c r="BP2891">
        <v>1.93</v>
      </c>
      <c r="BQ2891">
        <v>0.7</v>
      </c>
      <c r="BR2891">
        <v>1.34</v>
      </c>
      <c r="BS2891">
        <v>0.71</v>
      </c>
      <c r="BT2891">
        <v>0.16</v>
      </c>
      <c r="BU2891">
        <v>2.8</v>
      </c>
      <c r="BV2891">
        <v>1.81</v>
      </c>
      <c r="BW2891">
        <v>0.24</v>
      </c>
      <c r="BX2891">
        <v>2.46</v>
      </c>
      <c r="BY2891">
        <v>0.56999999999999995</v>
      </c>
      <c r="BZ2891">
        <v>1.55</v>
      </c>
      <c r="CA2891">
        <v>1.21</v>
      </c>
      <c r="CB2891">
        <v>1.55</v>
      </c>
      <c r="CC2891">
        <v>0.06</v>
      </c>
      <c r="CD2891">
        <v>0.08</v>
      </c>
      <c r="CE2891">
        <v>0</v>
      </c>
      <c r="CF2891">
        <v>0</v>
      </c>
      <c r="CG2891">
        <v>0</v>
      </c>
      <c r="CH2891">
        <v>0</v>
      </c>
      <c r="CI2891">
        <v>0</v>
      </c>
      <c r="CJ2891">
        <v>-2.8</v>
      </c>
      <c r="CK2891">
        <v>45</v>
      </c>
      <c r="CL2891">
        <v>-1.39</v>
      </c>
      <c r="CM2891">
        <v>42</v>
      </c>
      <c r="CN2891">
        <v>-0.64</v>
      </c>
      <c r="CO2891">
        <v>41</v>
      </c>
      <c r="CP2891">
        <v>-2.6</v>
      </c>
      <c r="CQ2891">
        <v>38</v>
      </c>
      <c r="CR2891">
        <v>0</v>
      </c>
      <c r="CS2891">
        <v>0</v>
      </c>
      <c r="CT2891">
        <v>10.4</v>
      </c>
      <c r="CU2891">
        <v>34</v>
      </c>
      <c r="CV2891">
        <v>0.34</v>
      </c>
      <c r="CW2891">
        <v>13</v>
      </c>
      <c r="CX2891" t="s">
        <v>309</v>
      </c>
    </row>
    <row r="2892" spans="1:102" x14ac:dyDescent="0.3">
      <c r="A2892" t="str">
        <f>HYPERLINK("https://webapp.icbf.com/v2/app/bull-search/view/77854627","OSJ")</f>
        <v>OSJ</v>
      </c>
      <c r="B2892" t="s">
        <v>2841</v>
      </c>
      <c r="C2892" t="s">
        <v>2842</v>
      </c>
      <c r="D2892" s="1">
        <v>33475</v>
      </c>
      <c r="E2892" t="s">
        <v>92</v>
      </c>
      <c r="F2892">
        <v>63</v>
      </c>
      <c r="G2892" t="s">
        <v>109</v>
      </c>
      <c r="H2892">
        <v>5</v>
      </c>
      <c r="I2892">
        <v>81</v>
      </c>
      <c r="J2892">
        <v>-1.67</v>
      </c>
      <c r="K2892">
        <v>93</v>
      </c>
      <c r="L2892">
        <v>-17.670000000000002</v>
      </c>
      <c r="M2892">
        <v>81</v>
      </c>
      <c r="N2892">
        <v>21.22</v>
      </c>
      <c r="O2892">
        <v>66</v>
      </c>
      <c r="P2892">
        <v>-20.3</v>
      </c>
      <c r="Q2892">
        <v>75</v>
      </c>
      <c r="R2892">
        <v>-14.79</v>
      </c>
      <c r="S2892">
        <v>74</v>
      </c>
      <c r="T2892">
        <v>34.47</v>
      </c>
      <c r="U2892">
        <v>76</v>
      </c>
      <c r="V2892">
        <v>3.74</v>
      </c>
      <c r="W2892">
        <v>56</v>
      </c>
      <c r="X2892" t="s">
        <v>302</v>
      </c>
      <c r="Y2892" t="s">
        <v>95</v>
      </c>
      <c r="Z2892" t="s">
        <v>96</v>
      </c>
      <c r="AA2892" t="s">
        <v>724</v>
      </c>
      <c r="AB2892" t="s">
        <v>2843</v>
      </c>
      <c r="AC2892">
        <v>47</v>
      </c>
      <c r="AD2892">
        <v>17</v>
      </c>
      <c r="AE2892">
        <v>93</v>
      </c>
      <c r="AF2892">
        <v>183.49</v>
      </c>
      <c r="AG2892">
        <v>1.54</v>
      </c>
      <c r="AH2892">
        <v>1.98</v>
      </c>
      <c r="AI2892">
        <v>-0.1</v>
      </c>
      <c r="AJ2892">
        <v>-7.0000000000000007E-2</v>
      </c>
      <c r="AK2892">
        <v>81</v>
      </c>
      <c r="AL2892">
        <v>43</v>
      </c>
      <c r="AM2892">
        <v>18</v>
      </c>
      <c r="AN2892">
        <v>1.67</v>
      </c>
      <c r="AO2892">
        <v>0.27</v>
      </c>
      <c r="AP2892">
        <v>7</v>
      </c>
      <c r="AQ2892">
        <v>0</v>
      </c>
      <c r="AR2892">
        <v>5.97</v>
      </c>
      <c r="AS2892">
        <v>51</v>
      </c>
      <c r="AT2892">
        <v>2.4700000000000002</v>
      </c>
      <c r="AU2892">
        <v>76</v>
      </c>
      <c r="AV2892">
        <v>-1.57</v>
      </c>
      <c r="AW2892">
        <v>69</v>
      </c>
      <c r="AX2892">
        <v>0.06</v>
      </c>
      <c r="AY2892">
        <v>73</v>
      </c>
      <c r="AZ2892">
        <v>6.22</v>
      </c>
      <c r="BA2892">
        <v>44</v>
      </c>
      <c r="BB2892">
        <v>5.12</v>
      </c>
      <c r="BC2892">
        <v>49</v>
      </c>
      <c r="BD2892">
        <v>0.06</v>
      </c>
      <c r="BE2892">
        <v>0.1</v>
      </c>
      <c r="BF2892">
        <v>0.05</v>
      </c>
      <c r="BG2892">
        <v>88</v>
      </c>
      <c r="BH2892">
        <v>7.0000000000000007E-2</v>
      </c>
      <c r="BI2892">
        <v>-3.96</v>
      </c>
      <c r="BJ2892">
        <v>1</v>
      </c>
      <c r="BK2892">
        <v>1</v>
      </c>
      <c r="BL2892">
        <v>-0.9</v>
      </c>
      <c r="BM2892">
        <v>-0.89</v>
      </c>
      <c r="BN2892">
        <v>-2.61</v>
      </c>
      <c r="BO2892">
        <v>-1.23</v>
      </c>
      <c r="BP2892">
        <v>1.75</v>
      </c>
      <c r="BQ2892">
        <v>-0.55000000000000004</v>
      </c>
      <c r="BR2892">
        <v>0.13</v>
      </c>
      <c r="BS2892">
        <v>-0.45</v>
      </c>
      <c r="BT2892">
        <v>-0.34</v>
      </c>
      <c r="BU2892">
        <v>-1.26</v>
      </c>
      <c r="BV2892">
        <v>-1.46</v>
      </c>
      <c r="BW2892">
        <v>-1.31</v>
      </c>
      <c r="BX2892">
        <v>-1.46</v>
      </c>
      <c r="BY2892">
        <v>-1.03</v>
      </c>
      <c r="BZ2892">
        <v>0.44</v>
      </c>
      <c r="CA2892">
        <v>-0.97</v>
      </c>
      <c r="CB2892">
        <v>-1.23</v>
      </c>
      <c r="CC2892">
        <v>-1.1299999999999999</v>
      </c>
      <c r="CD2892">
        <v>1.2</v>
      </c>
      <c r="CE2892">
        <v>-0.91</v>
      </c>
      <c r="CF2892">
        <v>-2.2599999999999998</v>
      </c>
      <c r="CG2892">
        <v>0</v>
      </c>
      <c r="CH2892">
        <v>-0.92</v>
      </c>
      <c r="CI2892">
        <v>0</v>
      </c>
      <c r="CJ2892">
        <v>-9.8000000000000007</v>
      </c>
      <c r="CK2892">
        <v>76</v>
      </c>
      <c r="CL2892">
        <v>-0.47</v>
      </c>
      <c r="CM2892">
        <v>73</v>
      </c>
      <c r="CN2892">
        <v>-0.11</v>
      </c>
      <c r="CO2892">
        <v>68</v>
      </c>
      <c r="CP2892">
        <v>-21.4</v>
      </c>
      <c r="CQ2892">
        <v>85</v>
      </c>
      <c r="CR2892">
        <v>0</v>
      </c>
      <c r="CS2892">
        <v>0</v>
      </c>
      <c r="CT2892">
        <v>-32.799999999999997</v>
      </c>
      <c r="CU2892">
        <v>76</v>
      </c>
      <c r="CV2892">
        <v>-0.01</v>
      </c>
      <c r="CW2892">
        <v>40</v>
      </c>
      <c r="CX2892" t="s">
        <v>2844</v>
      </c>
    </row>
    <row r="2893" spans="1:102" x14ac:dyDescent="0.3">
      <c r="A2893" t="str">
        <f>HYPERLINK("https://webapp.icbf.com/v2/app/bull-search/view/519386942","VNI")</f>
        <v>VNI</v>
      </c>
      <c r="B2893" t="s">
        <v>12364</v>
      </c>
      <c r="C2893" t="s">
        <v>12365</v>
      </c>
      <c r="D2893" s="1">
        <v>36340</v>
      </c>
      <c r="E2893" t="s">
        <v>895</v>
      </c>
      <c r="F2893">
        <v>0</v>
      </c>
      <c r="G2893" t="s">
        <v>116</v>
      </c>
      <c r="H2893">
        <v>4.9000000000000004</v>
      </c>
      <c r="I2893">
        <v>48</v>
      </c>
      <c r="J2893">
        <v>-1.06</v>
      </c>
      <c r="K2893">
        <v>72</v>
      </c>
      <c r="L2893">
        <v>-3.82</v>
      </c>
      <c r="M2893">
        <v>24</v>
      </c>
      <c r="N2893">
        <v>0.82</v>
      </c>
      <c r="O2893">
        <v>39</v>
      </c>
      <c r="P2893">
        <v>-2.84</v>
      </c>
      <c r="Q2893">
        <v>70</v>
      </c>
      <c r="R2893">
        <v>-2.17</v>
      </c>
      <c r="S2893">
        <v>30</v>
      </c>
      <c r="T2893">
        <v>15.75</v>
      </c>
      <c r="U2893">
        <v>60</v>
      </c>
      <c r="V2893">
        <v>-1.78</v>
      </c>
      <c r="W2893">
        <v>21</v>
      </c>
      <c r="X2893" t="s">
        <v>234</v>
      </c>
      <c r="Y2893" t="s">
        <v>221</v>
      </c>
      <c r="Z2893">
        <v>0</v>
      </c>
      <c r="AA2893" t="s">
        <v>12366</v>
      </c>
      <c r="AB2893" t="s">
        <v>12367</v>
      </c>
      <c r="AC2893">
        <v>10</v>
      </c>
      <c r="AD2893">
        <v>7</v>
      </c>
      <c r="AE2893">
        <v>72</v>
      </c>
      <c r="AF2893">
        <v>-152.37</v>
      </c>
      <c r="AG2893">
        <v>-0.6</v>
      </c>
      <c r="AH2893">
        <v>-2.2999999999999998</v>
      </c>
      <c r="AI2893">
        <v>0.09</v>
      </c>
      <c r="AJ2893">
        <v>0.05</v>
      </c>
      <c r="AK2893">
        <v>24</v>
      </c>
      <c r="AL2893">
        <v>9</v>
      </c>
      <c r="AM2893">
        <v>7</v>
      </c>
      <c r="AN2893">
        <v>1.32</v>
      </c>
      <c r="AO2893">
        <v>1.03</v>
      </c>
      <c r="AP2893">
        <v>19</v>
      </c>
      <c r="AQ2893">
        <v>0</v>
      </c>
      <c r="AR2893">
        <v>7.38</v>
      </c>
      <c r="AS2893">
        <v>18</v>
      </c>
      <c r="AT2893">
        <v>3.4</v>
      </c>
      <c r="AU2893">
        <v>33</v>
      </c>
      <c r="AV2893">
        <v>0.16</v>
      </c>
      <c r="AW2893">
        <v>55</v>
      </c>
      <c r="AX2893">
        <v>0.28999999999999998</v>
      </c>
      <c r="AY2893">
        <v>41</v>
      </c>
      <c r="AZ2893">
        <v>5.54</v>
      </c>
      <c r="BA2893">
        <v>9</v>
      </c>
      <c r="BB2893">
        <v>4.25</v>
      </c>
      <c r="BC2893">
        <v>15</v>
      </c>
      <c r="BD2893">
        <v>0</v>
      </c>
      <c r="BE2893">
        <v>0</v>
      </c>
      <c r="BF2893">
        <v>0.05</v>
      </c>
      <c r="BG2893">
        <v>38</v>
      </c>
      <c r="BH2893">
        <v>-0.17</v>
      </c>
      <c r="BI2893">
        <v>-13.93</v>
      </c>
      <c r="BJ2893">
        <v>0</v>
      </c>
      <c r="BK2893">
        <v>0</v>
      </c>
      <c r="BL2893">
        <v>0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-2.1</v>
      </c>
      <c r="CK2893">
        <v>73</v>
      </c>
      <c r="CL2893">
        <v>-0.26</v>
      </c>
      <c r="CM2893">
        <v>68</v>
      </c>
      <c r="CN2893">
        <v>-0.26</v>
      </c>
      <c r="CO2893">
        <v>65</v>
      </c>
      <c r="CP2893">
        <v>-2</v>
      </c>
      <c r="CQ2893">
        <v>61</v>
      </c>
      <c r="CR2893">
        <v>0</v>
      </c>
      <c r="CS2893">
        <v>0</v>
      </c>
      <c r="CT2893">
        <v>-7.5</v>
      </c>
      <c r="CU2893">
        <v>60</v>
      </c>
      <c r="CV2893">
        <v>-0.08</v>
      </c>
      <c r="CW2893">
        <v>19</v>
      </c>
      <c r="CX2893" t="s">
        <v>12368</v>
      </c>
    </row>
    <row r="2894" spans="1:102" x14ac:dyDescent="0.3">
      <c r="A2894" t="str">
        <f>HYPERLINK("https://webapp.icbf.com/v2/app/bull-search/view/951387091","S1286")</f>
        <v>S1286</v>
      </c>
      <c r="B2894" t="s">
        <v>7967</v>
      </c>
      <c r="C2894" t="s">
        <v>7968</v>
      </c>
      <c r="D2894" s="1">
        <v>40381</v>
      </c>
      <c r="E2894" t="s">
        <v>140</v>
      </c>
      <c r="F2894">
        <v>0</v>
      </c>
      <c r="G2894" t="s">
        <v>116</v>
      </c>
      <c r="H2894">
        <v>4.74</v>
      </c>
      <c r="I2894">
        <v>48</v>
      </c>
      <c r="J2894">
        <v>-10.58</v>
      </c>
      <c r="K2894">
        <v>58</v>
      </c>
      <c r="L2894">
        <v>23.82</v>
      </c>
      <c r="M2894">
        <v>34</v>
      </c>
      <c r="N2894">
        <v>-15.4</v>
      </c>
      <c r="O2894">
        <v>54</v>
      </c>
      <c r="P2894">
        <v>4.0599999999999996</v>
      </c>
      <c r="Q2894">
        <v>75</v>
      </c>
      <c r="R2894">
        <v>1.1200000000000001</v>
      </c>
      <c r="S2894">
        <v>36</v>
      </c>
      <c r="T2894">
        <v>12.27</v>
      </c>
      <c r="U2894">
        <v>51</v>
      </c>
      <c r="V2894">
        <v>-10.55</v>
      </c>
      <c r="W2894">
        <v>28</v>
      </c>
      <c r="X2894" t="s">
        <v>251</v>
      </c>
      <c r="Y2894" t="s">
        <v>342</v>
      </c>
      <c r="Z2894">
        <v>0</v>
      </c>
      <c r="AA2894" t="s">
        <v>7918</v>
      </c>
      <c r="AB2894" t="s">
        <v>7969</v>
      </c>
      <c r="AC2894">
        <v>7</v>
      </c>
      <c r="AD2894">
        <v>2</v>
      </c>
      <c r="AE2894">
        <v>58</v>
      </c>
      <c r="AF2894">
        <v>-79.17</v>
      </c>
      <c r="AG2894">
        <v>-4.16</v>
      </c>
      <c r="AH2894">
        <v>-1.54</v>
      </c>
      <c r="AI2894">
        <v>-0.02</v>
      </c>
      <c r="AJ2894">
        <v>0.02</v>
      </c>
      <c r="AK2894">
        <v>34</v>
      </c>
      <c r="AL2894">
        <v>8</v>
      </c>
      <c r="AM2894">
        <v>4</v>
      </c>
      <c r="AN2894">
        <v>-1.27</v>
      </c>
      <c r="AO2894">
        <v>0.63</v>
      </c>
      <c r="AP2894">
        <v>34</v>
      </c>
      <c r="AQ2894">
        <v>0</v>
      </c>
      <c r="AR2894">
        <v>8.07</v>
      </c>
      <c r="AS2894">
        <v>31</v>
      </c>
      <c r="AT2894">
        <v>4.62</v>
      </c>
      <c r="AU2894">
        <v>51</v>
      </c>
      <c r="AV2894">
        <v>0.33</v>
      </c>
      <c r="AW2894">
        <v>75</v>
      </c>
      <c r="AX2894">
        <v>0.59</v>
      </c>
      <c r="AY2894">
        <v>49</v>
      </c>
      <c r="AZ2894">
        <v>5.8</v>
      </c>
      <c r="BA2894">
        <v>26</v>
      </c>
      <c r="BB2894">
        <v>4.17</v>
      </c>
      <c r="BC2894">
        <v>23</v>
      </c>
      <c r="BD2894">
        <v>0.02</v>
      </c>
      <c r="BE2894">
        <v>-0.01</v>
      </c>
      <c r="BF2894">
        <v>-0.04</v>
      </c>
      <c r="BG2894">
        <v>42</v>
      </c>
      <c r="BH2894">
        <v>-0.3</v>
      </c>
      <c r="BI2894">
        <v>-0.68</v>
      </c>
      <c r="BJ2894">
        <v>0</v>
      </c>
      <c r="BK2894">
        <v>0</v>
      </c>
      <c r="BL2894">
        <v>-0.76</v>
      </c>
      <c r="BM2894">
        <v>3.64</v>
      </c>
      <c r="BN2894">
        <v>-1.62</v>
      </c>
      <c r="BO2894">
        <v>-3.05</v>
      </c>
      <c r="BP2894">
        <v>4.29</v>
      </c>
      <c r="BQ2894">
        <v>-1.82</v>
      </c>
      <c r="BR2894">
        <v>-2.58</v>
      </c>
      <c r="BS2894">
        <v>-0.38</v>
      </c>
      <c r="BT2894">
        <v>2.5</v>
      </c>
      <c r="BU2894">
        <v>-3.38</v>
      </c>
      <c r="BV2894">
        <v>-3.8</v>
      </c>
      <c r="BW2894">
        <v>-2.88</v>
      </c>
      <c r="BX2894">
        <v>-2.71</v>
      </c>
      <c r="BY2894">
        <v>-1.93</v>
      </c>
      <c r="BZ2894">
        <v>1.1499999999999999</v>
      </c>
      <c r="CA2894">
        <v>-2.4500000000000002</v>
      </c>
      <c r="CB2894">
        <v>-3.11</v>
      </c>
      <c r="CC2894">
        <v>-0.44</v>
      </c>
      <c r="CD2894">
        <v>3.96</v>
      </c>
      <c r="CE2894">
        <v>-2.96</v>
      </c>
      <c r="CF2894">
        <v>-1.03</v>
      </c>
      <c r="CG2894">
        <v>0</v>
      </c>
      <c r="CH2894">
        <v>-2.58</v>
      </c>
      <c r="CI2894">
        <v>0</v>
      </c>
      <c r="CJ2894">
        <v>0.5</v>
      </c>
      <c r="CK2894">
        <v>79</v>
      </c>
      <c r="CL2894">
        <v>-0.06</v>
      </c>
      <c r="CM2894">
        <v>75</v>
      </c>
      <c r="CN2894">
        <v>-0.33</v>
      </c>
      <c r="CO2894">
        <v>73</v>
      </c>
      <c r="CP2894">
        <v>0.8</v>
      </c>
      <c r="CQ2894">
        <v>56</v>
      </c>
      <c r="CR2894">
        <v>0</v>
      </c>
      <c r="CS2894">
        <v>0</v>
      </c>
      <c r="CT2894">
        <v>-2.8</v>
      </c>
      <c r="CU2894">
        <v>51</v>
      </c>
      <c r="CV2894">
        <v>-0.04</v>
      </c>
      <c r="CW2894">
        <v>22</v>
      </c>
      <c r="CX2894" t="s">
        <v>2101</v>
      </c>
    </row>
    <row r="2895" spans="1:102" x14ac:dyDescent="0.3">
      <c r="A2895" t="str">
        <f>HYPERLINK("https://webapp.icbf.com/v2/app/bull-search/view/1196709540","FR2205")</f>
        <v>FR2205</v>
      </c>
      <c r="B2895" t="s">
        <v>13657</v>
      </c>
      <c r="C2895" t="s">
        <v>13658</v>
      </c>
      <c r="D2895" s="1">
        <v>41246</v>
      </c>
      <c r="E2895" t="s">
        <v>92</v>
      </c>
      <c r="F2895">
        <v>100</v>
      </c>
      <c r="G2895" t="s">
        <v>109</v>
      </c>
      <c r="H2895">
        <v>4.7</v>
      </c>
      <c r="I2895">
        <v>74</v>
      </c>
      <c r="J2895">
        <v>63.93</v>
      </c>
      <c r="K2895">
        <v>91</v>
      </c>
      <c r="L2895">
        <v>-71.959999999999994</v>
      </c>
      <c r="M2895">
        <v>76</v>
      </c>
      <c r="N2895">
        <v>29.18</v>
      </c>
      <c r="O2895">
        <v>65</v>
      </c>
      <c r="P2895">
        <v>-8.44</v>
      </c>
      <c r="Q2895">
        <v>52</v>
      </c>
      <c r="R2895">
        <v>-2.9</v>
      </c>
      <c r="S2895">
        <v>70</v>
      </c>
      <c r="T2895">
        <v>-3.19</v>
      </c>
      <c r="U2895">
        <v>46</v>
      </c>
      <c r="V2895">
        <v>-1.92</v>
      </c>
      <c r="W2895">
        <v>55</v>
      </c>
      <c r="X2895" t="s">
        <v>276</v>
      </c>
      <c r="Y2895" t="s">
        <v>405</v>
      </c>
      <c r="Z2895" t="s">
        <v>96</v>
      </c>
      <c r="AA2895" t="s">
        <v>2081</v>
      </c>
      <c r="AB2895" t="s">
        <v>13659</v>
      </c>
      <c r="AC2895">
        <v>16</v>
      </c>
      <c r="AD2895">
        <v>10</v>
      </c>
      <c r="AE2895">
        <v>91</v>
      </c>
      <c r="AF2895">
        <v>236.65</v>
      </c>
      <c r="AG2895">
        <v>11.04</v>
      </c>
      <c r="AH2895">
        <v>10.59</v>
      </c>
      <c r="AI2895">
        <v>0.03</v>
      </c>
      <c r="AJ2895">
        <v>0.04</v>
      </c>
      <c r="AK2895">
        <v>76</v>
      </c>
      <c r="AL2895">
        <v>0</v>
      </c>
      <c r="AM2895">
        <v>0</v>
      </c>
      <c r="AN2895">
        <v>3.82</v>
      </c>
      <c r="AO2895">
        <v>-1.92</v>
      </c>
      <c r="AP2895">
        <v>35</v>
      </c>
      <c r="AQ2895">
        <v>0</v>
      </c>
      <c r="AR2895">
        <v>6.18</v>
      </c>
      <c r="AS2895">
        <v>60</v>
      </c>
      <c r="AT2895">
        <v>2.61</v>
      </c>
      <c r="AU2895">
        <v>71</v>
      </c>
      <c r="AV2895">
        <v>-3.17</v>
      </c>
      <c r="AW2895">
        <v>77</v>
      </c>
      <c r="AX2895">
        <v>-0.84</v>
      </c>
      <c r="AY2895">
        <v>58</v>
      </c>
      <c r="AZ2895">
        <v>7.14</v>
      </c>
      <c r="BA2895">
        <v>38</v>
      </c>
      <c r="BB2895">
        <v>5.89</v>
      </c>
      <c r="BC2895">
        <v>34</v>
      </c>
      <c r="BD2895">
        <v>0.01</v>
      </c>
      <c r="BE2895">
        <v>0</v>
      </c>
      <c r="BF2895">
        <v>0.05</v>
      </c>
      <c r="BG2895">
        <v>87</v>
      </c>
      <c r="BH2895">
        <v>-0.2</v>
      </c>
      <c r="BI2895">
        <v>-16.93</v>
      </c>
      <c r="BJ2895">
        <v>1</v>
      </c>
      <c r="BK2895">
        <v>1</v>
      </c>
      <c r="BL2895">
        <v>2.1</v>
      </c>
      <c r="BM2895">
        <v>-1.99</v>
      </c>
      <c r="BN2895">
        <v>-0.14000000000000001</v>
      </c>
      <c r="BO2895">
        <v>1.39</v>
      </c>
      <c r="BP2895">
        <v>1.04</v>
      </c>
      <c r="BQ2895">
        <v>3.13</v>
      </c>
      <c r="BR2895">
        <v>-1.45</v>
      </c>
      <c r="BS2895">
        <v>-1.01</v>
      </c>
      <c r="BT2895">
        <v>1.86</v>
      </c>
      <c r="BU2895">
        <v>1.37</v>
      </c>
      <c r="BV2895">
        <v>1.85</v>
      </c>
      <c r="BW2895">
        <v>1.69</v>
      </c>
      <c r="BX2895">
        <v>1.61</v>
      </c>
      <c r="BY2895">
        <v>1.27</v>
      </c>
      <c r="BZ2895">
        <v>-0.05</v>
      </c>
      <c r="CA2895">
        <v>1.1299999999999999</v>
      </c>
      <c r="CB2895">
        <v>1.49</v>
      </c>
      <c r="CC2895">
        <v>-0.36</v>
      </c>
      <c r="CD2895">
        <v>-1.21</v>
      </c>
      <c r="CE2895">
        <v>1.7</v>
      </c>
      <c r="CF2895">
        <v>1.24</v>
      </c>
      <c r="CG2895">
        <v>0</v>
      </c>
      <c r="CH2895">
        <v>1.44</v>
      </c>
      <c r="CI2895">
        <v>0</v>
      </c>
      <c r="CJ2895">
        <v>-2.7</v>
      </c>
      <c r="CK2895">
        <v>54</v>
      </c>
      <c r="CL2895">
        <v>-1.33</v>
      </c>
      <c r="CM2895">
        <v>51</v>
      </c>
      <c r="CN2895">
        <v>-0.75</v>
      </c>
      <c r="CO2895">
        <v>50</v>
      </c>
      <c r="CP2895">
        <v>1.5</v>
      </c>
      <c r="CQ2895">
        <v>44</v>
      </c>
      <c r="CR2895">
        <v>0</v>
      </c>
      <c r="CS2895">
        <v>0</v>
      </c>
      <c r="CT2895">
        <v>18.100000000000001</v>
      </c>
      <c r="CU2895">
        <v>46</v>
      </c>
      <c r="CV2895">
        <v>0.22</v>
      </c>
      <c r="CW2895">
        <v>36</v>
      </c>
      <c r="CX2895" t="s">
        <v>9095</v>
      </c>
    </row>
    <row r="2896" spans="1:102" x14ac:dyDescent="0.3">
      <c r="A2896" t="str">
        <f>HYPERLINK("https://webapp.icbf.com/v2/app/bull-search/view/1619516135","FR4734")</f>
        <v>FR4734</v>
      </c>
      <c r="B2896" t="s">
        <v>14945</v>
      </c>
      <c r="C2896" t="s">
        <v>14946</v>
      </c>
      <c r="D2896" s="1">
        <v>42804</v>
      </c>
      <c r="E2896" t="s">
        <v>92</v>
      </c>
      <c r="F2896">
        <v>100</v>
      </c>
      <c r="G2896" t="s">
        <v>435</v>
      </c>
      <c r="H2896">
        <v>4.54</v>
      </c>
      <c r="I2896">
        <v>66</v>
      </c>
      <c r="J2896">
        <v>51.72</v>
      </c>
      <c r="K2896">
        <v>87</v>
      </c>
      <c r="L2896">
        <v>-56.42</v>
      </c>
      <c r="M2896">
        <v>66</v>
      </c>
      <c r="N2896">
        <v>2.61</v>
      </c>
      <c r="O2896">
        <v>53</v>
      </c>
      <c r="P2896">
        <v>-3.93</v>
      </c>
      <c r="Q2896">
        <v>37</v>
      </c>
      <c r="R2896">
        <v>19.32</v>
      </c>
      <c r="S2896">
        <v>61</v>
      </c>
      <c r="T2896">
        <v>-14.22</v>
      </c>
      <c r="U2896">
        <v>35</v>
      </c>
      <c r="V2896">
        <v>5.46</v>
      </c>
      <c r="W2896">
        <v>52</v>
      </c>
      <c r="X2896" t="s">
        <v>94</v>
      </c>
      <c r="Y2896" t="s">
        <v>442</v>
      </c>
      <c r="Z2896" t="s">
        <v>96</v>
      </c>
      <c r="AA2896" t="s">
        <v>2403</v>
      </c>
      <c r="AB2896" t="s">
        <v>2404</v>
      </c>
      <c r="AC2896">
        <v>0</v>
      </c>
      <c r="AD2896">
        <v>0</v>
      </c>
      <c r="AE2896">
        <v>87</v>
      </c>
      <c r="AF2896">
        <v>408.67</v>
      </c>
      <c r="AG2896">
        <v>7.92</v>
      </c>
      <c r="AH2896">
        <v>12.25</v>
      </c>
      <c r="AI2896">
        <v>-0.13</v>
      </c>
      <c r="AJ2896">
        <v>-0.02</v>
      </c>
      <c r="AK2896">
        <v>66</v>
      </c>
      <c r="AL2896">
        <v>0</v>
      </c>
      <c r="AM2896">
        <v>0</v>
      </c>
      <c r="AN2896">
        <v>6.92</v>
      </c>
      <c r="AO2896">
        <v>2.4700000000000002</v>
      </c>
      <c r="AP2896">
        <v>13</v>
      </c>
      <c r="AQ2896">
        <v>0</v>
      </c>
      <c r="AR2896">
        <v>11.8</v>
      </c>
      <c r="AS2896">
        <v>55</v>
      </c>
      <c r="AT2896">
        <v>3.93</v>
      </c>
      <c r="AU2896">
        <v>86</v>
      </c>
      <c r="AV2896">
        <v>-3.5</v>
      </c>
      <c r="AW2896">
        <v>43</v>
      </c>
      <c r="AX2896">
        <v>1.26</v>
      </c>
      <c r="AY2896">
        <v>43</v>
      </c>
      <c r="AZ2896">
        <v>6.18</v>
      </c>
      <c r="BA2896">
        <v>35</v>
      </c>
      <c r="BB2896">
        <v>5.28</v>
      </c>
      <c r="BC2896">
        <v>34</v>
      </c>
      <c r="BD2896">
        <v>-0.08</v>
      </c>
      <c r="BE2896">
        <v>-0.09</v>
      </c>
      <c r="BF2896">
        <v>-0.14000000000000001</v>
      </c>
      <c r="BG2896">
        <v>74</v>
      </c>
      <c r="BH2896">
        <v>-0.04</v>
      </c>
      <c r="BI2896">
        <v>-22.23</v>
      </c>
      <c r="BJ2896">
        <v>0</v>
      </c>
      <c r="BK2896">
        <v>0</v>
      </c>
      <c r="BL2896">
        <v>2.96</v>
      </c>
      <c r="BM2896">
        <v>-2.19</v>
      </c>
      <c r="BN2896">
        <v>2.66</v>
      </c>
      <c r="BO2896">
        <v>3.37</v>
      </c>
      <c r="BP2896">
        <v>-1.01</v>
      </c>
      <c r="BQ2896">
        <v>1.93</v>
      </c>
      <c r="BR2896">
        <v>1.55</v>
      </c>
      <c r="BS2896">
        <v>4.2300000000000004</v>
      </c>
      <c r="BT2896">
        <v>0.54</v>
      </c>
      <c r="BU2896">
        <v>5.0999999999999996</v>
      </c>
      <c r="BV2896">
        <v>5.1100000000000003</v>
      </c>
      <c r="BW2896">
        <v>3.09</v>
      </c>
      <c r="BX2896">
        <v>3.95</v>
      </c>
      <c r="BY2896">
        <v>2.87</v>
      </c>
      <c r="BZ2896">
        <v>-1.1599999999999999</v>
      </c>
      <c r="CA2896">
        <v>4.4400000000000004</v>
      </c>
      <c r="CB2896">
        <v>4.3499999999999996</v>
      </c>
      <c r="CC2896">
        <v>2.2599999999999998</v>
      </c>
      <c r="CD2896">
        <v>-2.73</v>
      </c>
      <c r="CE2896">
        <v>2.36</v>
      </c>
      <c r="CF2896">
        <v>2.2999999999999998</v>
      </c>
      <c r="CG2896">
        <v>0</v>
      </c>
      <c r="CH2896">
        <v>3.21</v>
      </c>
      <c r="CI2896">
        <v>0</v>
      </c>
      <c r="CJ2896">
        <v>-0.1</v>
      </c>
      <c r="CK2896">
        <v>37</v>
      </c>
      <c r="CL2896">
        <v>-1.76</v>
      </c>
      <c r="CM2896">
        <v>37</v>
      </c>
      <c r="CN2896">
        <v>-1.17</v>
      </c>
      <c r="CO2896">
        <v>37</v>
      </c>
      <c r="CP2896">
        <v>4.5</v>
      </c>
      <c r="CQ2896">
        <v>36</v>
      </c>
      <c r="CR2896">
        <v>0</v>
      </c>
      <c r="CS2896">
        <v>0</v>
      </c>
      <c r="CT2896">
        <v>33</v>
      </c>
      <c r="CU2896">
        <v>35</v>
      </c>
      <c r="CV2896">
        <v>0.23</v>
      </c>
      <c r="CW2896">
        <v>32</v>
      </c>
      <c r="CX2896" t="s">
        <v>1894</v>
      </c>
    </row>
    <row r="2897" spans="1:102" x14ac:dyDescent="0.3">
      <c r="A2897" t="str">
        <f>HYPERLINK("https://webapp.icbf.com/v2/app/bull-search/view/226578875","RUM")</f>
        <v>RUM</v>
      </c>
      <c r="B2897" t="s">
        <v>144</v>
      </c>
      <c r="C2897" t="s">
        <v>11622</v>
      </c>
      <c r="D2897" s="1">
        <v>33547</v>
      </c>
      <c r="E2897" t="s">
        <v>146</v>
      </c>
      <c r="F2897">
        <v>25</v>
      </c>
      <c r="G2897" t="s">
        <v>93</v>
      </c>
      <c r="H2897">
        <v>4.53</v>
      </c>
      <c r="I2897">
        <v>73</v>
      </c>
      <c r="J2897">
        <v>-8.4700000000000006</v>
      </c>
      <c r="K2897">
        <v>91</v>
      </c>
      <c r="L2897">
        <v>19.53</v>
      </c>
      <c r="M2897">
        <v>55</v>
      </c>
      <c r="N2897">
        <v>-16.02</v>
      </c>
      <c r="O2897">
        <v>70</v>
      </c>
      <c r="P2897">
        <v>6.54</v>
      </c>
      <c r="Q2897">
        <v>87</v>
      </c>
      <c r="R2897">
        <v>-1.55</v>
      </c>
      <c r="S2897">
        <v>60</v>
      </c>
      <c r="T2897">
        <v>4.6500000000000004</v>
      </c>
      <c r="U2897">
        <v>78</v>
      </c>
      <c r="V2897">
        <v>-0.15</v>
      </c>
      <c r="W2897">
        <v>54</v>
      </c>
      <c r="X2897" t="s">
        <v>276</v>
      </c>
      <c r="Y2897" t="s">
        <v>95</v>
      </c>
      <c r="Z2897">
        <v>0</v>
      </c>
      <c r="AA2897" t="s">
        <v>995</v>
      </c>
      <c r="AB2897" t="s">
        <v>581</v>
      </c>
      <c r="AC2897">
        <v>44</v>
      </c>
      <c r="AD2897">
        <v>32</v>
      </c>
      <c r="AE2897">
        <v>91</v>
      </c>
      <c r="AF2897">
        <v>-158.57</v>
      </c>
      <c r="AG2897">
        <v>-1.04</v>
      </c>
      <c r="AH2897">
        <v>-3.5</v>
      </c>
      <c r="AI2897">
        <v>0.09</v>
      </c>
      <c r="AJ2897">
        <v>0.03</v>
      </c>
      <c r="AK2897">
        <v>55</v>
      </c>
      <c r="AL2897">
        <v>46</v>
      </c>
      <c r="AM2897">
        <v>39</v>
      </c>
      <c r="AN2897">
        <v>-2.4300000000000002</v>
      </c>
      <c r="AO2897">
        <v>-0.89</v>
      </c>
      <c r="AP2897">
        <v>57</v>
      </c>
      <c r="AQ2897">
        <v>1</v>
      </c>
      <c r="AR2897">
        <v>10.99</v>
      </c>
      <c r="AS2897">
        <v>49</v>
      </c>
      <c r="AT2897">
        <v>4.4800000000000004</v>
      </c>
      <c r="AU2897">
        <v>65</v>
      </c>
      <c r="AV2897">
        <v>-1.85</v>
      </c>
      <c r="AW2897">
        <v>87</v>
      </c>
      <c r="AX2897">
        <v>-0.5</v>
      </c>
      <c r="AY2897">
        <v>72</v>
      </c>
      <c r="AZ2897">
        <v>8.7799999999999994</v>
      </c>
      <c r="BA2897">
        <v>38</v>
      </c>
      <c r="BB2897">
        <v>5.69</v>
      </c>
      <c r="BC2897">
        <v>45</v>
      </c>
      <c r="BD2897">
        <v>0.01</v>
      </c>
      <c r="BE2897">
        <v>0.01</v>
      </c>
      <c r="BF2897">
        <v>0</v>
      </c>
      <c r="BG2897">
        <v>71</v>
      </c>
      <c r="BH2897">
        <v>0.01</v>
      </c>
      <c r="BI2897">
        <v>1.65</v>
      </c>
      <c r="BJ2897">
        <v>0</v>
      </c>
      <c r="BK2897">
        <v>0</v>
      </c>
      <c r="BL2897">
        <v>-0.61</v>
      </c>
      <c r="BM2897">
        <v>1.71</v>
      </c>
      <c r="BN2897">
        <v>-0.64</v>
      </c>
      <c r="BO2897">
        <v>-1.49</v>
      </c>
      <c r="BP2897">
        <v>1.75</v>
      </c>
      <c r="BQ2897">
        <v>0.11</v>
      </c>
      <c r="BR2897">
        <v>-0.16</v>
      </c>
      <c r="BS2897">
        <v>-0.2</v>
      </c>
      <c r="BT2897">
        <v>-0.25</v>
      </c>
      <c r="BU2897">
        <v>-0.99</v>
      </c>
      <c r="BV2897">
        <v>-1.96</v>
      </c>
      <c r="BW2897">
        <v>-1.68</v>
      </c>
      <c r="BX2897">
        <v>-0.4</v>
      </c>
      <c r="BY2897">
        <v>-1.03</v>
      </c>
      <c r="BZ2897">
        <v>0.3</v>
      </c>
      <c r="CA2897">
        <v>-1.46</v>
      </c>
      <c r="CB2897">
        <v>-1.49</v>
      </c>
      <c r="CC2897">
        <v>-0.84</v>
      </c>
      <c r="CD2897">
        <v>1.76</v>
      </c>
      <c r="CE2897">
        <v>-1.28</v>
      </c>
      <c r="CF2897">
        <v>-0.72</v>
      </c>
      <c r="CG2897">
        <v>0</v>
      </c>
      <c r="CH2897">
        <v>-1.64</v>
      </c>
      <c r="CI2897">
        <v>0</v>
      </c>
      <c r="CJ2897">
        <v>2.2999999999999998</v>
      </c>
      <c r="CK2897">
        <v>88</v>
      </c>
      <c r="CL2897">
        <v>-0.01</v>
      </c>
      <c r="CM2897">
        <v>86</v>
      </c>
      <c r="CN2897">
        <v>-0.25</v>
      </c>
      <c r="CO2897">
        <v>84</v>
      </c>
      <c r="CP2897">
        <v>3.6</v>
      </c>
      <c r="CQ2897">
        <v>83</v>
      </c>
      <c r="CR2897">
        <v>0</v>
      </c>
      <c r="CS2897">
        <v>0</v>
      </c>
      <c r="CT2897">
        <v>7.5</v>
      </c>
      <c r="CU2897">
        <v>78</v>
      </c>
      <c r="CV2897">
        <v>-0.01</v>
      </c>
      <c r="CW2897">
        <v>25</v>
      </c>
      <c r="CX2897" t="s">
        <v>582</v>
      </c>
    </row>
    <row r="2898" spans="1:102" x14ac:dyDescent="0.3">
      <c r="A2898" t="str">
        <f>HYPERLINK("https://webapp.icbf.com/v2/app/bull-search/view/77858857","CHJ")</f>
        <v>CHJ</v>
      </c>
      <c r="B2898" t="s">
        <v>6948</v>
      </c>
      <c r="C2898" t="s">
        <v>6949</v>
      </c>
      <c r="D2898" s="1">
        <v>33631</v>
      </c>
      <c r="E2898" t="s">
        <v>92</v>
      </c>
      <c r="F2898">
        <v>100</v>
      </c>
      <c r="G2898" t="s">
        <v>93</v>
      </c>
      <c r="H2898">
        <v>4.51</v>
      </c>
      <c r="I2898">
        <v>71</v>
      </c>
      <c r="J2898">
        <v>-10.95</v>
      </c>
      <c r="K2898">
        <v>89</v>
      </c>
      <c r="L2898">
        <v>18.97</v>
      </c>
      <c r="M2898">
        <v>64</v>
      </c>
      <c r="N2898">
        <v>-9.2899999999999991</v>
      </c>
      <c r="O2898">
        <v>53</v>
      </c>
      <c r="P2898">
        <v>-11.9</v>
      </c>
      <c r="Q2898">
        <v>71</v>
      </c>
      <c r="R2898">
        <v>2.7</v>
      </c>
      <c r="S2898">
        <v>67</v>
      </c>
      <c r="T2898">
        <v>19.010000000000002</v>
      </c>
      <c r="U2898">
        <v>66</v>
      </c>
      <c r="V2898">
        <v>-4.03</v>
      </c>
      <c r="W2898">
        <v>32</v>
      </c>
      <c r="X2898" t="s">
        <v>94</v>
      </c>
      <c r="Y2898" t="s">
        <v>95</v>
      </c>
      <c r="Z2898" t="s">
        <v>96</v>
      </c>
      <c r="AA2898" t="s">
        <v>161</v>
      </c>
      <c r="AB2898" t="s">
        <v>6950</v>
      </c>
      <c r="AC2898">
        <v>44</v>
      </c>
      <c r="AD2898">
        <v>40</v>
      </c>
      <c r="AE2898">
        <v>89</v>
      </c>
      <c r="AF2898">
        <v>-194.26</v>
      </c>
      <c r="AG2898">
        <v>0.89</v>
      </c>
      <c r="AH2898">
        <v>-5.15</v>
      </c>
      <c r="AI2898">
        <v>0.15</v>
      </c>
      <c r="AJ2898">
        <v>0.03</v>
      </c>
      <c r="AK2898">
        <v>64</v>
      </c>
      <c r="AL2898">
        <v>87</v>
      </c>
      <c r="AM2898">
        <v>69</v>
      </c>
      <c r="AN2898">
        <v>-1.24</v>
      </c>
      <c r="AO2898">
        <v>0.27</v>
      </c>
      <c r="AP2898">
        <v>5</v>
      </c>
      <c r="AQ2898">
        <v>0</v>
      </c>
      <c r="AR2898">
        <v>8.68</v>
      </c>
      <c r="AS2898">
        <v>35</v>
      </c>
      <c r="AT2898">
        <v>4.08</v>
      </c>
      <c r="AU2898">
        <v>50</v>
      </c>
      <c r="AV2898">
        <v>-0.27</v>
      </c>
      <c r="AW2898">
        <v>57</v>
      </c>
      <c r="AX2898">
        <v>-0.46</v>
      </c>
      <c r="AY2898">
        <v>68</v>
      </c>
      <c r="AZ2898">
        <v>7.02</v>
      </c>
      <c r="BA2898">
        <v>34</v>
      </c>
      <c r="BB2898">
        <v>4.8899999999999997</v>
      </c>
      <c r="BC2898">
        <v>46</v>
      </c>
      <c r="BD2898">
        <v>0</v>
      </c>
      <c r="BE2898">
        <v>0.02</v>
      </c>
      <c r="BF2898">
        <v>-0.1</v>
      </c>
      <c r="BG2898">
        <v>84</v>
      </c>
      <c r="BH2898">
        <v>-0.08</v>
      </c>
      <c r="BI2898">
        <v>3.73</v>
      </c>
      <c r="BJ2898">
        <v>22</v>
      </c>
      <c r="BK2898">
        <v>18</v>
      </c>
      <c r="BL2898">
        <v>-0.44</v>
      </c>
      <c r="BM2898">
        <v>-1.25</v>
      </c>
      <c r="BN2898">
        <v>-1.1200000000000001</v>
      </c>
      <c r="BO2898">
        <v>-0.28999999999999998</v>
      </c>
      <c r="BP2898">
        <v>-0.26</v>
      </c>
      <c r="BQ2898">
        <v>-1.22</v>
      </c>
      <c r="BR2898">
        <v>-1.97</v>
      </c>
      <c r="BS2898">
        <v>0.38</v>
      </c>
      <c r="BT2898">
        <v>0.95</v>
      </c>
      <c r="BU2898">
        <v>-0.14000000000000001</v>
      </c>
      <c r="BV2898">
        <v>-0.04</v>
      </c>
      <c r="BW2898">
        <v>0.38</v>
      </c>
      <c r="BX2898">
        <v>1.44</v>
      </c>
      <c r="BY2898">
        <v>-0.9</v>
      </c>
      <c r="BZ2898">
        <v>1.08</v>
      </c>
      <c r="CA2898">
        <v>0.06</v>
      </c>
      <c r="CB2898">
        <v>-0.09</v>
      </c>
      <c r="CC2898">
        <v>0.89</v>
      </c>
      <c r="CD2898">
        <v>-0.36</v>
      </c>
      <c r="CE2898">
        <v>-0.35</v>
      </c>
      <c r="CF2898">
        <v>-0.74</v>
      </c>
      <c r="CG2898">
        <v>0</v>
      </c>
      <c r="CH2898">
        <v>-0.2</v>
      </c>
      <c r="CI2898">
        <v>0</v>
      </c>
      <c r="CJ2898">
        <v>-8.6999999999999993</v>
      </c>
      <c r="CK2898">
        <v>72</v>
      </c>
      <c r="CL2898">
        <v>-0.47</v>
      </c>
      <c r="CM2898">
        <v>69</v>
      </c>
      <c r="CN2898">
        <v>-0.5</v>
      </c>
      <c r="CO2898">
        <v>65</v>
      </c>
      <c r="CP2898">
        <v>-6</v>
      </c>
      <c r="CQ2898">
        <v>76</v>
      </c>
      <c r="CR2898">
        <v>0</v>
      </c>
      <c r="CS2898">
        <v>0</v>
      </c>
      <c r="CT2898">
        <v>-11.9</v>
      </c>
      <c r="CU2898">
        <v>66</v>
      </c>
      <c r="CV2898">
        <v>-0.03</v>
      </c>
      <c r="CW2898">
        <v>20</v>
      </c>
      <c r="CX2898" t="s">
        <v>120</v>
      </c>
    </row>
    <row r="2899" spans="1:102" x14ac:dyDescent="0.3">
      <c r="A2899" t="str">
        <f>HYPERLINK("https://webapp.icbf.com/v2/app/bull-search/view/423373689","LWP")</f>
        <v>LWP</v>
      </c>
      <c r="B2899" t="s">
        <v>14630</v>
      </c>
      <c r="C2899" t="s">
        <v>14631</v>
      </c>
      <c r="D2899" s="1">
        <v>38109</v>
      </c>
      <c r="E2899" t="s">
        <v>92</v>
      </c>
      <c r="F2899">
        <v>94</v>
      </c>
      <c r="G2899" t="s">
        <v>93</v>
      </c>
      <c r="H2899">
        <v>4.49</v>
      </c>
      <c r="I2899">
        <v>58</v>
      </c>
      <c r="J2899">
        <v>73.3</v>
      </c>
      <c r="K2899">
        <v>73</v>
      </c>
      <c r="L2899">
        <v>-81.66</v>
      </c>
      <c r="M2899">
        <v>41</v>
      </c>
      <c r="N2899">
        <v>27.14</v>
      </c>
      <c r="O2899">
        <v>63</v>
      </c>
      <c r="P2899">
        <v>-6.58</v>
      </c>
      <c r="Q2899">
        <v>78</v>
      </c>
      <c r="R2899">
        <v>-10.66</v>
      </c>
      <c r="S2899">
        <v>41</v>
      </c>
      <c r="T2899">
        <v>-3.12</v>
      </c>
      <c r="U2899">
        <v>62</v>
      </c>
      <c r="V2899">
        <v>6.07</v>
      </c>
      <c r="W2899">
        <v>29</v>
      </c>
      <c r="X2899" t="s">
        <v>251</v>
      </c>
      <c r="Y2899" t="s">
        <v>1164</v>
      </c>
      <c r="Z2899" t="s">
        <v>96</v>
      </c>
      <c r="AA2899" t="s">
        <v>1360</v>
      </c>
      <c r="AB2899" t="s">
        <v>14632</v>
      </c>
      <c r="AC2899">
        <v>13</v>
      </c>
      <c r="AD2899">
        <v>9</v>
      </c>
      <c r="AE2899">
        <v>73</v>
      </c>
      <c r="AF2899">
        <v>260.61</v>
      </c>
      <c r="AG2899">
        <v>9.85</v>
      </c>
      <c r="AH2899">
        <v>12.97</v>
      </c>
      <c r="AI2899">
        <v>-0.01</v>
      </c>
      <c r="AJ2899">
        <v>0.06</v>
      </c>
      <c r="AK2899">
        <v>41</v>
      </c>
      <c r="AL2899">
        <v>18</v>
      </c>
      <c r="AM2899">
        <v>12</v>
      </c>
      <c r="AN2899">
        <v>4.6399999999999997</v>
      </c>
      <c r="AO2899">
        <v>-1.87</v>
      </c>
      <c r="AP2899">
        <v>45</v>
      </c>
      <c r="AQ2899">
        <v>1</v>
      </c>
      <c r="AR2899">
        <v>6.7</v>
      </c>
      <c r="AS2899">
        <v>40</v>
      </c>
      <c r="AT2899">
        <v>3.11</v>
      </c>
      <c r="AU2899">
        <v>58</v>
      </c>
      <c r="AV2899">
        <v>-2.86</v>
      </c>
      <c r="AW2899">
        <v>85</v>
      </c>
      <c r="AX2899">
        <v>-0.22</v>
      </c>
      <c r="AY2899">
        <v>56</v>
      </c>
      <c r="AZ2899">
        <v>6.1</v>
      </c>
      <c r="BA2899">
        <v>34</v>
      </c>
      <c r="BB2899">
        <v>4.8</v>
      </c>
      <c r="BC2899">
        <v>30</v>
      </c>
      <c r="BD2899">
        <v>0</v>
      </c>
      <c r="BE2899">
        <v>0.05</v>
      </c>
      <c r="BF2899">
        <v>0.15</v>
      </c>
      <c r="BG2899">
        <v>48</v>
      </c>
      <c r="BH2899">
        <v>0.14000000000000001</v>
      </c>
      <c r="BI2899">
        <v>-3.38</v>
      </c>
      <c r="BJ2899">
        <v>1</v>
      </c>
      <c r="BK2899">
        <v>1</v>
      </c>
      <c r="BL2899">
        <v>-0.25</v>
      </c>
      <c r="BM2899">
        <v>2.61</v>
      </c>
      <c r="BN2899">
        <v>-0.43</v>
      </c>
      <c r="BO2899">
        <v>-0.87</v>
      </c>
      <c r="BP2899">
        <v>-1.68</v>
      </c>
      <c r="BQ2899">
        <v>1.4</v>
      </c>
      <c r="BR2899">
        <v>0.3</v>
      </c>
      <c r="BS2899">
        <v>-0.37</v>
      </c>
      <c r="BT2899">
        <v>-0.38</v>
      </c>
      <c r="BU2899">
        <v>-0.69</v>
      </c>
      <c r="BV2899">
        <v>-0.38</v>
      </c>
      <c r="BW2899">
        <v>0.68</v>
      </c>
      <c r="BX2899">
        <v>-1.01</v>
      </c>
      <c r="BY2899">
        <v>-1.78</v>
      </c>
      <c r="BZ2899">
        <v>1.25</v>
      </c>
      <c r="CA2899">
        <v>-0.62</v>
      </c>
      <c r="CB2899">
        <v>-0.36</v>
      </c>
      <c r="CC2899">
        <v>-0.99</v>
      </c>
      <c r="CD2899">
        <v>0.77</v>
      </c>
      <c r="CE2899">
        <v>-0.83</v>
      </c>
      <c r="CF2899">
        <v>-0.32</v>
      </c>
      <c r="CG2899">
        <v>0</v>
      </c>
      <c r="CH2899">
        <v>0.06</v>
      </c>
      <c r="CI2899">
        <v>0</v>
      </c>
      <c r="CJ2899">
        <v>-2.2000000000000002</v>
      </c>
      <c r="CK2899">
        <v>80</v>
      </c>
      <c r="CL2899">
        <v>-0.63</v>
      </c>
      <c r="CM2899">
        <v>77</v>
      </c>
      <c r="CN2899">
        <v>-0.26</v>
      </c>
      <c r="CO2899">
        <v>74</v>
      </c>
      <c r="CP2899">
        <v>-0.6</v>
      </c>
      <c r="CQ2899">
        <v>68</v>
      </c>
      <c r="CR2899">
        <v>0</v>
      </c>
      <c r="CS2899">
        <v>0</v>
      </c>
      <c r="CT2899">
        <v>18</v>
      </c>
      <c r="CU2899">
        <v>62</v>
      </c>
      <c r="CV2899">
        <v>0.12</v>
      </c>
      <c r="CW2899">
        <v>23</v>
      </c>
      <c r="CX2899" t="s">
        <v>285</v>
      </c>
    </row>
    <row r="2900" spans="1:102" x14ac:dyDescent="0.3">
      <c r="A2900" t="str">
        <f>HYPERLINK("https://webapp.icbf.com/v2/app/bull-search/view/1620880689","S3360")</f>
        <v>S3360</v>
      </c>
      <c r="B2900" t="s">
        <v>2401</v>
      </c>
      <c r="C2900" t="s">
        <v>2402</v>
      </c>
      <c r="D2900" s="1">
        <v>42745</v>
      </c>
      <c r="E2900" t="s">
        <v>92</v>
      </c>
      <c r="F2900">
        <v>100</v>
      </c>
      <c r="G2900" t="s">
        <v>435</v>
      </c>
      <c r="H2900">
        <v>4.47</v>
      </c>
      <c r="I2900">
        <v>66</v>
      </c>
      <c r="J2900">
        <v>42.21</v>
      </c>
      <c r="K2900">
        <v>87</v>
      </c>
      <c r="L2900">
        <v>-59.88</v>
      </c>
      <c r="M2900">
        <v>66</v>
      </c>
      <c r="N2900">
        <v>26.72</v>
      </c>
      <c r="O2900">
        <v>54</v>
      </c>
      <c r="P2900">
        <v>0.38</v>
      </c>
      <c r="Q2900">
        <v>37</v>
      </c>
      <c r="R2900">
        <v>14.73</v>
      </c>
      <c r="S2900">
        <v>61</v>
      </c>
      <c r="T2900">
        <v>-15.55</v>
      </c>
      <c r="U2900">
        <v>35</v>
      </c>
      <c r="V2900">
        <v>-4.1399999999999997</v>
      </c>
      <c r="W2900">
        <v>53</v>
      </c>
      <c r="X2900" t="s">
        <v>110</v>
      </c>
      <c r="Y2900" t="s">
        <v>2394</v>
      </c>
      <c r="Z2900" t="s">
        <v>96</v>
      </c>
      <c r="AA2900" t="s">
        <v>2403</v>
      </c>
      <c r="AB2900" t="s">
        <v>2404</v>
      </c>
      <c r="AC2900">
        <v>0</v>
      </c>
      <c r="AD2900">
        <v>0</v>
      </c>
      <c r="AE2900">
        <v>87</v>
      </c>
      <c r="AF2900">
        <v>380.78</v>
      </c>
      <c r="AG2900">
        <v>5.7</v>
      </c>
      <c r="AH2900">
        <v>10.99</v>
      </c>
      <c r="AI2900">
        <v>-0.15</v>
      </c>
      <c r="AJ2900">
        <v>-0.03</v>
      </c>
      <c r="AK2900">
        <v>66</v>
      </c>
      <c r="AL2900">
        <v>0</v>
      </c>
      <c r="AM2900">
        <v>0</v>
      </c>
      <c r="AN2900">
        <v>5.21</v>
      </c>
      <c r="AO2900">
        <v>0.46</v>
      </c>
      <c r="AP2900">
        <v>8</v>
      </c>
      <c r="AQ2900">
        <v>0</v>
      </c>
      <c r="AR2900">
        <v>9.5399999999999991</v>
      </c>
      <c r="AS2900">
        <v>56</v>
      </c>
      <c r="AT2900">
        <v>2.93</v>
      </c>
      <c r="AU2900">
        <v>86</v>
      </c>
      <c r="AV2900">
        <v>-3.88</v>
      </c>
      <c r="AW2900">
        <v>46</v>
      </c>
      <c r="AX2900">
        <v>1.1599999999999999</v>
      </c>
      <c r="AY2900">
        <v>41</v>
      </c>
      <c r="AZ2900">
        <v>5.54</v>
      </c>
      <c r="BA2900">
        <v>35</v>
      </c>
      <c r="BB2900">
        <v>4.7699999999999996</v>
      </c>
      <c r="BC2900">
        <v>34</v>
      </c>
      <c r="BD2900">
        <v>-7.0000000000000007E-2</v>
      </c>
      <c r="BE2900">
        <v>-0.08</v>
      </c>
      <c r="BF2900">
        <v>-7.0000000000000007E-2</v>
      </c>
      <c r="BG2900">
        <v>74</v>
      </c>
      <c r="BH2900">
        <v>-0.1</v>
      </c>
      <c r="BI2900">
        <v>1.79</v>
      </c>
      <c r="BJ2900">
        <v>0</v>
      </c>
      <c r="BK2900">
        <v>0</v>
      </c>
      <c r="BL2900">
        <v>3.3</v>
      </c>
      <c r="BM2900">
        <v>-0.77</v>
      </c>
      <c r="BN2900">
        <v>2.91</v>
      </c>
      <c r="BO2900">
        <v>2.5499999999999998</v>
      </c>
      <c r="BP2900">
        <v>-0.1</v>
      </c>
      <c r="BQ2900">
        <v>3.36</v>
      </c>
      <c r="BR2900">
        <v>0.7</v>
      </c>
      <c r="BS2900">
        <v>3.43</v>
      </c>
      <c r="BT2900">
        <v>1.1000000000000001</v>
      </c>
      <c r="BU2900">
        <v>4.6500000000000004</v>
      </c>
      <c r="BV2900">
        <v>3.93</v>
      </c>
      <c r="BW2900">
        <v>2.84</v>
      </c>
      <c r="BX2900">
        <v>3.72</v>
      </c>
      <c r="BY2900">
        <v>1.48</v>
      </c>
      <c r="BZ2900">
        <v>-1.41</v>
      </c>
      <c r="CA2900">
        <v>3.8</v>
      </c>
      <c r="CB2900">
        <v>3.36</v>
      </c>
      <c r="CC2900">
        <v>2.19</v>
      </c>
      <c r="CD2900">
        <v>-1.53</v>
      </c>
      <c r="CE2900">
        <v>1.67</v>
      </c>
      <c r="CF2900">
        <v>1.86</v>
      </c>
      <c r="CG2900">
        <v>0</v>
      </c>
      <c r="CH2900">
        <v>2.12</v>
      </c>
      <c r="CI2900">
        <v>0</v>
      </c>
      <c r="CJ2900">
        <v>3.2</v>
      </c>
      <c r="CK2900">
        <v>37</v>
      </c>
      <c r="CL2900">
        <v>-1.74</v>
      </c>
      <c r="CM2900">
        <v>37</v>
      </c>
      <c r="CN2900">
        <v>-1.04</v>
      </c>
      <c r="CO2900">
        <v>37</v>
      </c>
      <c r="CP2900">
        <v>11.6</v>
      </c>
      <c r="CQ2900">
        <v>36</v>
      </c>
      <c r="CR2900">
        <v>0</v>
      </c>
      <c r="CS2900">
        <v>0</v>
      </c>
      <c r="CT2900">
        <v>34.799999999999997</v>
      </c>
      <c r="CU2900">
        <v>35</v>
      </c>
      <c r="CV2900">
        <v>0.25</v>
      </c>
      <c r="CW2900">
        <v>32</v>
      </c>
      <c r="CX2900" t="s">
        <v>1894</v>
      </c>
    </row>
    <row r="2901" spans="1:102" x14ac:dyDescent="0.3">
      <c r="A2901" t="str">
        <f>HYPERLINK("https://webapp.icbf.com/v2/app/bull-search/view/77853865","SIP")</f>
        <v>SIP</v>
      </c>
      <c r="B2901" t="s">
        <v>2617</v>
      </c>
      <c r="C2901" t="s">
        <v>1366</v>
      </c>
      <c r="D2901" s="1">
        <v>33873</v>
      </c>
      <c r="E2901" t="s">
        <v>92</v>
      </c>
      <c r="F2901">
        <v>100</v>
      </c>
      <c r="G2901" t="s">
        <v>109</v>
      </c>
      <c r="H2901">
        <v>4.17</v>
      </c>
      <c r="I2901">
        <v>87</v>
      </c>
      <c r="J2901">
        <v>47.72</v>
      </c>
      <c r="K2901">
        <v>95</v>
      </c>
      <c r="L2901">
        <v>-65.349999999999994</v>
      </c>
      <c r="M2901">
        <v>91</v>
      </c>
      <c r="N2901">
        <v>21.27</v>
      </c>
      <c r="O2901">
        <v>78</v>
      </c>
      <c r="P2901">
        <v>-10.47</v>
      </c>
      <c r="Q2901">
        <v>83</v>
      </c>
      <c r="R2901">
        <v>3.15</v>
      </c>
      <c r="S2901">
        <v>78</v>
      </c>
      <c r="T2901">
        <v>8.8699999999999992</v>
      </c>
      <c r="U2901">
        <v>74</v>
      </c>
      <c r="V2901">
        <v>-1.02</v>
      </c>
      <c r="W2901">
        <v>63</v>
      </c>
      <c r="X2901" t="s">
        <v>276</v>
      </c>
      <c r="Y2901" t="s">
        <v>95</v>
      </c>
      <c r="Z2901" t="s">
        <v>96</v>
      </c>
      <c r="AA2901" t="s">
        <v>2618</v>
      </c>
      <c r="AB2901" t="s">
        <v>2619</v>
      </c>
      <c r="AC2901">
        <v>0</v>
      </c>
      <c r="AD2901">
        <v>0</v>
      </c>
      <c r="AE2901">
        <v>95</v>
      </c>
      <c r="AF2901">
        <v>-59.65</v>
      </c>
      <c r="AG2901">
        <v>17.93</v>
      </c>
      <c r="AH2901">
        <v>0.86</v>
      </c>
      <c r="AI2901">
        <v>0.36</v>
      </c>
      <c r="AJ2901">
        <v>0.05</v>
      </c>
      <c r="AK2901">
        <v>91</v>
      </c>
      <c r="AL2901">
        <v>28</v>
      </c>
      <c r="AM2901">
        <v>21</v>
      </c>
      <c r="AN2901">
        <v>3.71</v>
      </c>
      <c r="AO2901">
        <v>-1.5</v>
      </c>
      <c r="AP2901">
        <v>23</v>
      </c>
      <c r="AQ2901">
        <v>0</v>
      </c>
      <c r="AR2901">
        <v>6.76</v>
      </c>
      <c r="AS2901">
        <v>58</v>
      </c>
      <c r="AT2901">
        <v>2.93</v>
      </c>
      <c r="AU2901">
        <v>97</v>
      </c>
      <c r="AV2901">
        <v>-1.9</v>
      </c>
      <c r="AW2901">
        <v>82</v>
      </c>
      <c r="AX2901">
        <v>-0.67</v>
      </c>
      <c r="AY2901">
        <v>69</v>
      </c>
      <c r="AZ2901">
        <v>5.49</v>
      </c>
      <c r="BA2901">
        <v>48</v>
      </c>
      <c r="BB2901">
        <v>5.15</v>
      </c>
      <c r="BC2901">
        <v>53</v>
      </c>
      <c r="BD2901">
        <v>0.04</v>
      </c>
      <c r="BE2901">
        <v>-0.01</v>
      </c>
      <c r="BF2901">
        <v>-0.12</v>
      </c>
      <c r="BG2901">
        <v>94</v>
      </c>
      <c r="BH2901">
        <v>0.04</v>
      </c>
      <c r="BI2901">
        <v>7.91</v>
      </c>
      <c r="BJ2901">
        <v>5</v>
      </c>
      <c r="BK2901">
        <v>3</v>
      </c>
      <c r="BL2901">
        <v>-0.43</v>
      </c>
      <c r="BM2901">
        <v>0.72</v>
      </c>
      <c r="BN2901">
        <v>0.82</v>
      </c>
      <c r="BO2901">
        <v>-0.27</v>
      </c>
      <c r="BP2901">
        <v>0.02</v>
      </c>
      <c r="BQ2901">
        <v>-0.73</v>
      </c>
      <c r="BR2901">
        <v>1.77</v>
      </c>
      <c r="BS2901">
        <v>-0.72</v>
      </c>
      <c r="BT2901">
        <v>-2.06</v>
      </c>
      <c r="BU2901">
        <v>0.16</v>
      </c>
      <c r="BV2901">
        <v>0.54</v>
      </c>
      <c r="BW2901">
        <v>0.23</v>
      </c>
      <c r="BX2901">
        <v>-0.21</v>
      </c>
      <c r="BY2901">
        <v>2.13</v>
      </c>
      <c r="BZ2901">
        <v>-2.0699999999999998</v>
      </c>
      <c r="CA2901">
        <v>-0.16</v>
      </c>
      <c r="CB2901">
        <v>0.81</v>
      </c>
      <c r="CC2901">
        <v>-1.32</v>
      </c>
      <c r="CD2901">
        <v>0.05</v>
      </c>
      <c r="CE2901">
        <v>0.68</v>
      </c>
      <c r="CF2901">
        <v>0.31</v>
      </c>
      <c r="CG2901">
        <v>0</v>
      </c>
      <c r="CH2901">
        <v>1.89</v>
      </c>
      <c r="CI2901">
        <v>0</v>
      </c>
      <c r="CJ2901">
        <v>-2.1</v>
      </c>
      <c r="CK2901">
        <v>84</v>
      </c>
      <c r="CL2901">
        <v>-0.68</v>
      </c>
      <c r="CM2901">
        <v>82</v>
      </c>
      <c r="CN2901">
        <v>0.06</v>
      </c>
      <c r="CO2901">
        <v>80</v>
      </c>
      <c r="CP2901">
        <v>1</v>
      </c>
      <c r="CQ2901">
        <v>81</v>
      </c>
      <c r="CR2901">
        <v>0</v>
      </c>
      <c r="CS2901">
        <v>0</v>
      </c>
      <c r="CT2901">
        <v>1.8</v>
      </c>
      <c r="CU2901">
        <v>74</v>
      </c>
      <c r="CV2901">
        <v>0.04</v>
      </c>
      <c r="CW2901">
        <v>42</v>
      </c>
      <c r="CX2901" t="s">
        <v>2620</v>
      </c>
    </row>
    <row r="2902" spans="1:102" x14ac:dyDescent="0.3">
      <c r="A2902" t="str">
        <f>HYPERLINK("https://webapp.icbf.com/v2/app/bull-search/view/77856508","ISY")</f>
        <v>ISY</v>
      </c>
      <c r="B2902" t="s">
        <v>1623</v>
      </c>
      <c r="C2902" t="s">
        <v>1624</v>
      </c>
      <c r="D2902" s="1">
        <v>34274</v>
      </c>
      <c r="E2902" t="s">
        <v>92</v>
      </c>
      <c r="F2902">
        <v>100</v>
      </c>
      <c r="G2902" t="s">
        <v>93</v>
      </c>
      <c r="H2902">
        <v>4.1399999999999997</v>
      </c>
      <c r="I2902">
        <v>60</v>
      </c>
      <c r="J2902">
        <v>18.649999999999999</v>
      </c>
      <c r="K2902">
        <v>85</v>
      </c>
      <c r="L2902">
        <v>-21.69</v>
      </c>
      <c r="M2902">
        <v>49</v>
      </c>
      <c r="N2902">
        <v>9.67</v>
      </c>
      <c r="O2902">
        <v>38</v>
      </c>
      <c r="P2902">
        <v>-1.78</v>
      </c>
      <c r="Q2902">
        <v>54</v>
      </c>
      <c r="R2902">
        <v>-11.77</v>
      </c>
      <c r="S2902">
        <v>56</v>
      </c>
      <c r="T2902">
        <v>11.24</v>
      </c>
      <c r="U2902">
        <v>53</v>
      </c>
      <c r="V2902">
        <v>-0.18</v>
      </c>
      <c r="W2902">
        <v>28</v>
      </c>
      <c r="X2902" t="s">
        <v>94</v>
      </c>
      <c r="Y2902" t="s">
        <v>95</v>
      </c>
      <c r="Z2902" t="s">
        <v>96</v>
      </c>
      <c r="AA2902" t="s">
        <v>1625</v>
      </c>
      <c r="AB2902" t="s">
        <v>1626</v>
      </c>
      <c r="AC2902">
        <v>30</v>
      </c>
      <c r="AD2902">
        <v>26</v>
      </c>
      <c r="AE2902">
        <v>85</v>
      </c>
      <c r="AF2902">
        <v>6.98</v>
      </c>
      <c r="AG2902">
        <v>6.78</v>
      </c>
      <c r="AH2902">
        <v>0.88</v>
      </c>
      <c r="AI2902">
        <v>0.11</v>
      </c>
      <c r="AJ2902">
        <v>0.01</v>
      </c>
      <c r="AK2902">
        <v>49</v>
      </c>
      <c r="AL2902">
        <v>36</v>
      </c>
      <c r="AM2902">
        <v>30</v>
      </c>
      <c r="AN2902">
        <v>-0.37</v>
      </c>
      <c r="AO2902">
        <v>-2.12</v>
      </c>
      <c r="AP2902">
        <v>1</v>
      </c>
      <c r="AQ2902">
        <v>1</v>
      </c>
      <c r="AR2902">
        <v>6.96</v>
      </c>
      <c r="AS2902">
        <v>22</v>
      </c>
      <c r="AT2902">
        <v>2.78</v>
      </c>
      <c r="AU2902">
        <v>35</v>
      </c>
      <c r="AV2902">
        <v>-0.41</v>
      </c>
      <c r="AW2902">
        <v>43</v>
      </c>
      <c r="AX2902">
        <v>-0.59</v>
      </c>
      <c r="AY2902">
        <v>58</v>
      </c>
      <c r="AZ2902">
        <v>6.66</v>
      </c>
      <c r="BA2902">
        <v>21</v>
      </c>
      <c r="BB2902">
        <v>4.87</v>
      </c>
      <c r="BC2902">
        <v>29</v>
      </c>
      <c r="BD2902">
        <v>0.04</v>
      </c>
      <c r="BE2902">
        <v>0.06</v>
      </c>
      <c r="BF2902">
        <v>0.09</v>
      </c>
      <c r="BG2902">
        <v>72</v>
      </c>
      <c r="BH2902">
        <v>0.09</v>
      </c>
      <c r="BI2902">
        <v>11</v>
      </c>
      <c r="BJ2902">
        <v>9</v>
      </c>
      <c r="BK2902">
        <v>8</v>
      </c>
      <c r="BL2902">
        <v>-0.43</v>
      </c>
      <c r="BM2902">
        <v>0.13</v>
      </c>
      <c r="BN2902">
        <v>-0.45</v>
      </c>
      <c r="BO2902">
        <v>-0.45</v>
      </c>
      <c r="BP2902">
        <v>-7.0000000000000007E-2</v>
      </c>
      <c r="BQ2902">
        <v>-0.17</v>
      </c>
      <c r="BR2902">
        <v>0.43</v>
      </c>
      <c r="BS2902">
        <v>-0.34</v>
      </c>
      <c r="BT2902">
        <v>-0.03</v>
      </c>
      <c r="BU2902">
        <v>-0.56000000000000005</v>
      </c>
      <c r="BV2902">
        <v>-0.08</v>
      </c>
      <c r="BW2902">
        <v>0.1</v>
      </c>
      <c r="BX2902">
        <v>-0.38</v>
      </c>
      <c r="BY2902">
        <v>0.15</v>
      </c>
      <c r="BZ2902">
        <v>0.23</v>
      </c>
      <c r="CA2902">
        <v>-0.53</v>
      </c>
      <c r="CB2902">
        <v>-0.31</v>
      </c>
      <c r="CC2902">
        <v>-0.79</v>
      </c>
      <c r="CD2902">
        <v>0.31</v>
      </c>
      <c r="CE2902">
        <v>-0.38</v>
      </c>
      <c r="CF2902">
        <v>-0.8</v>
      </c>
      <c r="CG2902">
        <v>0</v>
      </c>
      <c r="CH2902">
        <v>-0.19</v>
      </c>
      <c r="CI2902">
        <v>0</v>
      </c>
      <c r="CJ2902">
        <v>-1.9</v>
      </c>
      <c r="CK2902">
        <v>56</v>
      </c>
      <c r="CL2902">
        <v>-0.4</v>
      </c>
      <c r="CM2902">
        <v>51</v>
      </c>
      <c r="CN2902">
        <v>-0.45</v>
      </c>
      <c r="CO2902">
        <v>47</v>
      </c>
      <c r="CP2902">
        <v>-2</v>
      </c>
      <c r="CQ2902">
        <v>61</v>
      </c>
      <c r="CR2902">
        <v>0</v>
      </c>
      <c r="CS2902">
        <v>0</v>
      </c>
      <c r="CT2902">
        <v>-1.4</v>
      </c>
      <c r="CU2902">
        <v>53</v>
      </c>
      <c r="CV2902">
        <v>0.04</v>
      </c>
      <c r="CW2902">
        <v>15</v>
      </c>
      <c r="CX2902" t="s">
        <v>132</v>
      </c>
    </row>
    <row r="2903" spans="1:102" x14ac:dyDescent="0.3">
      <c r="A2903" t="str">
        <f>HYPERLINK("https://webapp.icbf.com/v2/app/bull-search/view/77853820","SHB")</f>
        <v>SHB</v>
      </c>
      <c r="B2903" t="s">
        <v>4003</v>
      </c>
      <c r="C2903" t="s">
        <v>4004</v>
      </c>
      <c r="D2903" s="1">
        <v>33596</v>
      </c>
      <c r="E2903" t="s">
        <v>108</v>
      </c>
      <c r="F2903">
        <v>25</v>
      </c>
      <c r="G2903" t="s">
        <v>93</v>
      </c>
      <c r="H2903">
        <v>4</v>
      </c>
      <c r="I2903">
        <v>84</v>
      </c>
      <c r="J2903">
        <v>-31.1</v>
      </c>
      <c r="K2903">
        <v>97</v>
      </c>
      <c r="L2903">
        <v>72.989999999999995</v>
      </c>
      <c r="M2903">
        <v>75</v>
      </c>
      <c r="N2903">
        <v>-39.72</v>
      </c>
      <c r="O2903">
        <v>80</v>
      </c>
      <c r="P2903">
        <v>-9.69</v>
      </c>
      <c r="Q2903">
        <v>91</v>
      </c>
      <c r="R2903">
        <v>-10.28</v>
      </c>
      <c r="S2903">
        <v>77</v>
      </c>
      <c r="T2903">
        <v>19.23</v>
      </c>
      <c r="U2903">
        <v>88</v>
      </c>
      <c r="V2903">
        <v>2.57</v>
      </c>
      <c r="W2903">
        <v>51</v>
      </c>
      <c r="X2903" t="s">
        <v>94</v>
      </c>
      <c r="Y2903" t="s">
        <v>95</v>
      </c>
      <c r="Z2903" t="s">
        <v>96</v>
      </c>
      <c r="AA2903" t="s">
        <v>3826</v>
      </c>
      <c r="AB2903" t="s">
        <v>4005</v>
      </c>
      <c r="AC2903">
        <v>131</v>
      </c>
      <c r="AD2903">
        <v>52</v>
      </c>
      <c r="AE2903">
        <v>97</v>
      </c>
      <c r="AF2903">
        <v>-75.13</v>
      </c>
      <c r="AG2903">
        <v>-7.83</v>
      </c>
      <c r="AH2903">
        <v>-3.67</v>
      </c>
      <c r="AI2903">
        <v>-0.08</v>
      </c>
      <c r="AJ2903">
        <v>-0.02</v>
      </c>
      <c r="AK2903">
        <v>75</v>
      </c>
      <c r="AL2903">
        <v>164</v>
      </c>
      <c r="AM2903">
        <v>72</v>
      </c>
      <c r="AN2903">
        <v>-3.25</v>
      </c>
      <c r="AO2903">
        <v>2.58</v>
      </c>
      <c r="AP2903">
        <v>199</v>
      </c>
      <c r="AQ2903">
        <v>1</v>
      </c>
      <c r="AR2903">
        <v>8.7899999999999991</v>
      </c>
      <c r="AS2903">
        <v>70</v>
      </c>
      <c r="AT2903">
        <v>3.85</v>
      </c>
      <c r="AU2903">
        <v>85</v>
      </c>
      <c r="AV2903">
        <v>2.74</v>
      </c>
      <c r="AW2903">
        <v>82</v>
      </c>
      <c r="AX2903">
        <v>0.49</v>
      </c>
      <c r="AY2903">
        <v>85</v>
      </c>
      <c r="AZ2903">
        <v>8.67</v>
      </c>
      <c r="BA2903">
        <v>62</v>
      </c>
      <c r="BB2903">
        <v>5.54</v>
      </c>
      <c r="BC2903">
        <v>68</v>
      </c>
      <c r="BD2903">
        <v>0.08</v>
      </c>
      <c r="BE2903">
        <v>7.0000000000000007E-2</v>
      </c>
      <c r="BF2903">
        <v>-0.03</v>
      </c>
      <c r="BG2903">
        <v>89</v>
      </c>
      <c r="BH2903">
        <v>0.23</v>
      </c>
      <c r="BI2903">
        <v>18.309999999999999</v>
      </c>
      <c r="BJ2903">
        <v>19</v>
      </c>
      <c r="BK2903">
        <v>14</v>
      </c>
      <c r="BL2903">
        <v>-1.84</v>
      </c>
      <c r="BM2903">
        <v>1.18</v>
      </c>
      <c r="BN2903">
        <v>-0.52</v>
      </c>
      <c r="BO2903">
        <v>-1.19</v>
      </c>
      <c r="BP2903">
        <v>0.33</v>
      </c>
      <c r="BQ2903">
        <v>0.94</v>
      </c>
      <c r="BR2903">
        <v>0.54</v>
      </c>
      <c r="BS2903">
        <v>0.01</v>
      </c>
      <c r="BT2903">
        <v>-0.39</v>
      </c>
      <c r="BU2903">
        <v>-0.96</v>
      </c>
      <c r="BV2903">
        <v>-1.23</v>
      </c>
      <c r="BW2903">
        <v>-1.26</v>
      </c>
      <c r="BX2903">
        <v>-1.96</v>
      </c>
      <c r="BY2903">
        <v>-1.26</v>
      </c>
      <c r="BZ2903">
        <v>0.41</v>
      </c>
      <c r="CA2903">
        <v>-1.71</v>
      </c>
      <c r="CB2903">
        <v>-1.45</v>
      </c>
      <c r="CC2903">
        <v>-1.51</v>
      </c>
      <c r="CD2903">
        <v>1.5</v>
      </c>
      <c r="CE2903">
        <v>-1.52</v>
      </c>
      <c r="CF2903">
        <v>-1.04</v>
      </c>
      <c r="CG2903">
        <v>0</v>
      </c>
      <c r="CH2903">
        <v>-1.47</v>
      </c>
      <c r="CI2903">
        <v>0</v>
      </c>
      <c r="CJ2903">
        <v>-4.8</v>
      </c>
      <c r="CK2903">
        <v>92</v>
      </c>
      <c r="CL2903">
        <v>-0.43</v>
      </c>
      <c r="CM2903">
        <v>90</v>
      </c>
      <c r="CN2903">
        <v>-0.28999999999999998</v>
      </c>
      <c r="CO2903">
        <v>89</v>
      </c>
      <c r="CP2903">
        <v>-13.5</v>
      </c>
      <c r="CQ2903">
        <v>92</v>
      </c>
      <c r="CR2903">
        <v>0</v>
      </c>
      <c r="CS2903">
        <v>0</v>
      </c>
      <c r="CT2903">
        <v>-12.2</v>
      </c>
      <c r="CU2903">
        <v>88</v>
      </c>
      <c r="CV2903">
        <v>0.01</v>
      </c>
      <c r="CW2903">
        <v>26</v>
      </c>
      <c r="CX2903" t="s">
        <v>1318</v>
      </c>
    </row>
    <row r="2904" spans="1:102" x14ac:dyDescent="0.3">
      <c r="A2904" t="str">
        <f>HYPERLINK("https://webapp.icbf.com/v2/app/bull-search/view/77856721","IDS")</f>
        <v>IDS</v>
      </c>
      <c r="B2904" t="s">
        <v>8631</v>
      </c>
      <c r="C2904" t="s">
        <v>4322</v>
      </c>
      <c r="D2904" s="1">
        <v>34274</v>
      </c>
      <c r="E2904" t="s">
        <v>108</v>
      </c>
      <c r="F2904">
        <v>0</v>
      </c>
      <c r="G2904" t="s">
        <v>93</v>
      </c>
      <c r="H2904">
        <v>3.94</v>
      </c>
      <c r="I2904">
        <v>98</v>
      </c>
      <c r="J2904">
        <v>-59.6</v>
      </c>
      <c r="K2904">
        <v>99</v>
      </c>
      <c r="L2904">
        <v>67</v>
      </c>
      <c r="M2904">
        <v>97</v>
      </c>
      <c r="N2904">
        <v>-8.4499999999999993</v>
      </c>
      <c r="O2904">
        <v>99</v>
      </c>
      <c r="P2904">
        <v>-8.15</v>
      </c>
      <c r="Q2904">
        <v>99</v>
      </c>
      <c r="R2904">
        <v>-1.74</v>
      </c>
      <c r="S2904">
        <v>98</v>
      </c>
      <c r="T2904">
        <v>16.27</v>
      </c>
      <c r="U2904">
        <v>99</v>
      </c>
      <c r="V2904">
        <v>-1.39</v>
      </c>
      <c r="W2904">
        <v>99</v>
      </c>
      <c r="X2904" t="s">
        <v>102</v>
      </c>
      <c r="Y2904" t="s">
        <v>95</v>
      </c>
      <c r="Z2904" t="s">
        <v>96</v>
      </c>
      <c r="AA2904" t="s">
        <v>8632</v>
      </c>
      <c r="AB2904" t="s">
        <v>8633</v>
      </c>
      <c r="AC2904">
        <v>2400</v>
      </c>
      <c r="AD2904">
        <v>718</v>
      </c>
      <c r="AE2904">
        <v>99</v>
      </c>
      <c r="AF2904">
        <v>-331.81</v>
      </c>
      <c r="AG2904">
        <v>-12.79</v>
      </c>
      <c r="AH2904">
        <v>-10.69</v>
      </c>
      <c r="AI2904">
        <v>0</v>
      </c>
      <c r="AJ2904">
        <v>0.01</v>
      </c>
      <c r="AK2904">
        <v>97</v>
      </c>
      <c r="AL2904">
        <v>3573</v>
      </c>
      <c r="AM2904">
        <v>1174</v>
      </c>
      <c r="AN2904">
        <v>-3.87</v>
      </c>
      <c r="AO2904">
        <v>1.47</v>
      </c>
      <c r="AP2904">
        <v>2508</v>
      </c>
      <c r="AQ2904">
        <v>18</v>
      </c>
      <c r="AR2904">
        <v>11.22</v>
      </c>
      <c r="AS2904">
        <v>99</v>
      </c>
      <c r="AT2904">
        <v>3.96</v>
      </c>
      <c r="AU2904">
        <v>99</v>
      </c>
      <c r="AV2904">
        <v>-1.04</v>
      </c>
      <c r="AW2904">
        <v>99</v>
      </c>
      <c r="AX2904">
        <v>-0.34</v>
      </c>
      <c r="AY2904">
        <v>99</v>
      </c>
      <c r="AZ2904">
        <v>5.31</v>
      </c>
      <c r="BA2904">
        <v>97</v>
      </c>
      <c r="BB2904">
        <v>5</v>
      </c>
      <c r="BC2904">
        <v>98</v>
      </c>
      <c r="BD2904">
        <v>0</v>
      </c>
      <c r="BE2904">
        <v>0</v>
      </c>
      <c r="BF2904">
        <v>0.04</v>
      </c>
      <c r="BG2904">
        <v>99</v>
      </c>
      <c r="BH2904">
        <v>0.04</v>
      </c>
      <c r="BI2904">
        <v>9.1199999999999992</v>
      </c>
      <c r="BJ2904">
        <v>147</v>
      </c>
      <c r="BK2904">
        <v>79</v>
      </c>
      <c r="BL2904">
        <v>-1.54</v>
      </c>
      <c r="BM2904">
        <v>1.76</v>
      </c>
      <c r="BN2904">
        <v>-2.4700000000000002</v>
      </c>
      <c r="BO2904">
        <v>-2.62</v>
      </c>
      <c r="BP2904">
        <v>-1.8</v>
      </c>
      <c r="BQ2904">
        <v>3.74</v>
      </c>
      <c r="BR2904">
        <v>-3.44</v>
      </c>
      <c r="BS2904">
        <v>1.52</v>
      </c>
      <c r="BT2904">
        <v>2.4700000000000002</v>
      </c>
      <c r="BU2904">
        <v>-1.05</v>
      </c>
      <c r="BV2904">
        <v>-1.67</v>
      </c>
      <c r="BW2904">
        <v>-0.54</v>
      </c>
      <c r="BX2904">
        <v>1.51</v>
      </c>
      <c r="BY2904">
        <v>0.57999999999999996</v>
      </c>
      <c r="BZ2904">
        <v>-0.54</v>
      </c>
      <c r="CA2904">
        <v>-0.38</v>
      </c>
      <c r="CB2904">
        <v>-1.36</v>
      </c>
      <c r="CC2904">
        <v>1.42</v>
      </c>
      <c r="CD2904">
        <v>2.63</v>
      </c>
      <c r="CE2904">
        <v>-2.64</v>
      </c>
      <c r="CF2904">
        <v>-0.3</v>
      </c>
      <c r="CG2904">
        <v>0</v>
      </c>
      <c r="CH2904">
        <v>0.5</v>
      </c>
      <c r="CI2904">
        <v>0</v>
      </c>
      <c r="CJ2904">
        <v>-4.5999999999999996</v>
      </c>
      <c r="CK2904">
        <v>99</v>
      </c>
      <c r="CL2904">
        <v>-0.05</v>
      </c>
      <c r="CM2904">
        <v>99</v>
      </c>
      <c r="CN2904">
        <v>0</v>
      </c>
      <c r="CO2904">
        <v>99</v>
      </c>
      <c r="CP2904">
        <v>-8.6</v>
      </c>
      <c r="CQ2904">
        <v>99</v>
      </c>
      <c r="CR2904">
        <v>0</v>
      </c>
      <c r="CS2904">
        <v>0</v>
      </c>
      <c r="CT2904">
        <v>-8.1999999999999993</v>
      </c>
      <c r="CU2904">
        <v>99</v>
      </c>
      <c r="CV2904">
        <v>7.0000000000000007E-2</v>
      </c>
      <c r="CW2904">
        <v>47</v>
      </c>
      <c r="CX2904" t="s">
        <v>481</v>
      </c>
    </row>
    <row r="2905" spans="1:102" x14ac:dyDescent="0.3">
      <c r="A2905" t="str">
        <f>HYPERLINK("https://webapp.icbf.com/v2/app/bull-search/view/403258089","ORJ")</f>
        <v>ORJ</v>
      </c>
      <c r="B2905" t="s">
        <v>6695</v>
      </c>
      <c r="C2905" t="s">
        <v>6696</v>
      </c>
      <c r="D2905" s="1">
        <v>35894</v>
      </c>
      <c r="E2905" t="s">
        <v>140</v>
      </c>
      <c r="F2905">
        <v>0</v>
      </c>
      <c r="G2905" t="s">
        <v>93</v>
      </c>
      <c r="H2905">
        <v>3.92</v>
      </c>
      <c r="I2905">
        <v>90</v>
      </c>
      <c r="J2905">
        <v>-56.62</v>
      </c>
      <c r="K2905">
        <v>97</v>
      </c>
      <c r="L2905">
        <v>42.03</v>
      </c>
      <c r="M2905">
        <v>83</v>
      </c>
      <c r="N2905">
        <v>1.68</v>
      </c>
      <c r="O2905">
        <v>90</v>
      </c>
      <c r="P2905">
        <v>23.63</v>
      </c>
      <c r="Q2905">
        <v>97</v>
      </c>
      <c r="R2905">
        <v>11.24</v>
      </c>
      <c r="S2905">
        <v>84</v>
      </c>
      <c r="T2905">
        <v>-1.79</v>
      </c>
      <c r="U2905">
        <v>92</v>
      </c>
      <c r="V2905">
        <v>-16.25</v>
      </c>
      <c r="W2905">
        <v>86</v>
      </c>
      <c r="X2905" t="s">
        <v>94</v>
      </c>
      <c r="Y2905" t="s">
        <v>95</v>
      </c>
      <c r="Z2905">
        <v>0</v>
      </c>
      <c r="AA2905" t="s">
        <v>6697</v>
      </c>
      <c r="AB2905" t="s">
        <v>6698</v>
      </c>
      <c r="AC2905">
        <v>91</v>
      </c>
      <c r="AD2905">
        <v>39</v>
      </c>
      <c r="AE2905">
        <v>97</v>
      </c>
      <c r="AF2905">
        <v>-101.34</v>
      </c>
      <c r="AG2905">
        <v>-9.19</v>
      </c>
      <c r="AH2905">
        <v>-7.93</v>
      </c>
      <c r="AI2905">
        <v>-0.09</v>
      </c>
      <c r="AJ2905">
        <v>-0.08</v>
      </c>
      <c r="AK2905">
        <v>83</v>
      </c>
      <c r="AL2905">
        <v>171</v>
      </c>
      <c r="AM2905">
        <v>81</v>
      </c>
      <c r="AN2905">
        <v>-2.41</v>
      </c>
      <c r="AO2905">
        <v>0.94</v>
      </c>
      <c r="AP2905">
        <v>230</v>
      </c>
      <c r="AQ2905">
        <v>7</v>
      </c>
      <c r="AR2905">
        <v>6.54</v>
      </c>
      <c r="AS2905">
        <v>74</v>
      </c>
      <c r="AT2905">
        <v>3.63</v>
      </c>
      <c r="AU2905">
        <v>89</v>
      </c>
      <c r="AV2905">
        <v>0.34</v>
      </c>
      <c r="AW2905">
        <v>98</v>
      </c>
      <c r="AX2905">
        <v>-0.46</v>
      </c>
      <c r="AY2905">
        <v>89</v>
      </c>
      <c r="AZ2905">
        <v>5.13</v>
      </c>
      <c r="BA2905">
        <v>69</v>
      </c>
      <c r="BB2905">
        <v>4.3499999999999996</v>
      </c>
      <c r="BC2905">
        <v>78</v>
      </c>
      <c r="BD2905">
        <v>-0.02</v>
      </c>
      <c r="BE2905">
        <v>-0.05</v>
      </c>
      <c r="BF2905">
        <v>-0.13</v>
      </c>
      <c r="BG2905">
        <v>89</v>
      </c>
      <c r="BH2905">
        <v>-0.19</v>
      </c>
      <c r="BI2905">
        <v>30.44</v>
      </c>
      <c r="BJ2905">
        <v>0</v>
      </c>
      <c r="BK2905">
        <v>0</v>
      </c>
      <c r="BL2905">
        <v>-0.66</v>
      </c>
      <c r="BM2905">
        <v>3.49</v>
      </c>
      <c r="BN2905">
        <v>-1.42</v>
      </c>
      <c r="BO2905">
        <v>-2.81</v>
      </c>
      <c r="BP2905">
        <v>4.34</v>
      </c>
      <c r="BQ2905">
        <v>-2.13</v>
      </c>
      <c r="BR2905">
        <v>-2.58</v>
      </c>
      <c r="BS2905">
        <v>-0.45</v>
      </c>
      <c r="BT2905">
        <v>2.58</v>
      </c>
      <c r="BU2905">
        <v>-3.33</v>
      </c>
      <c r="BV2905">
        <v>-3.71</v>
      </c>
      <c r="BW2905">
        <v>-2.83</v>
      </c>
      <c r="BX2905">
        <v>-2.61</v>
      </c>
      <c r="BY2905">
        <v>-2.29</v>
      </c>
      <c r="BZ2905">
        <v>1.08</v>
      </c>
      <c r="CA2905">
        <v>-2.37</v>
      </c>
      <c r="CB2905">
        <v>-3.09</v>
      </c>
      <c r="CC2905">
        <v>-0.27</v>
      </c>
      <c r="CD2905">
        <v>3.8</v>
      </c>
      <c r="CE2905">
        <v>-2.88</v>
      </c>
      <c r="CF2905">
        <v>-0.91</v>
      </c>
      <c r="CG2905">
        <v>0</v>
      </c>
      <c r="CH2905">
        <v>-2.58</v>
      </c>
      <c r="CI2905">
        <v>0</v>
      </c>
      <c r="CJ2905">
        <v>10.7</v>
      </c>
      <c r="CK2905">
        <v>98</v>
      </c>
      <c r="CL2905">
        <v>0.15</v>
      </c>
      <c r="CM2905">
        <v>97</v>
      </c>
      <c r="CN2905">
        <v>-0.39</v>
      </c>
      <c r="CO2905">
        <v>97</v>
      </c>
      <c r="CP2905">
        <v>18.3</v>
      </c>
      <c r="CQ2905">
        <v>94</v>
      </c>
      <c r="CR2905">
        <v>0</v>
      </c>
      <c r="CS2905">
        <v>0</v>
      </c>
      <c r="CT2905">
        <v>16.2</v>
      </c>
      <c r="CU2905">
        <v>92</v>
      </c>
      <c r="CV2905">
        <v>0.33</v>
      </c>
      <c r="CW2905">
        <v>45</v>
      </c>
      <c r="CX2905" t="s">
        <v>224</v>
      </c>
    </row>
    <row r="2906" spans="1:102" x14ac:dyDescent="0.3">
      <c r="A2906" t="str">
        <f>HYPERLINK("https://webapp.icbf.com/v2/app/bull-search/view/77858332","DFZ")</f>
        <v>DFZ</v>
      </c>
      <c r="B2906" t="s">
        <v>3631</v>
      </c>
      <c r="C2906" t="s">
        <v>3632</v>
      </c>
      <c r="D2906" s="1">
        <v>34852</v>
      </c>
      <c r="E2906" t="s">
        <v>108</v>
      </c>
      <c r="F2906">
        <v>31</v>
      </c>
      <c r="G2906" t="s">
        <v>116</v>
      </c>
      <c r="H2906">
        <v>3.89</v>
      </c>
      <c r="I2906">
        <v>44</v>
      </c>
      <c r="J2906">
        <v>-8.0399999999999991</v>
      </c>
      <c r="K2906">
        <v>44</v>
      </c>
      <c r="L2906">
        <v>25.83</v>
      </c>
      <c r="M2906">
        <v>40</v>
      </c>
      <c r="N2906">
        <v>-12.17</v>
      </c>
      <c r="O2906">
        <v>40</v>
      </c>
      <c r="P2906">
        <v>-5.01</v>
      </c>
      <c r="Q2906">
        <v>60</v>
      </c>
      <c r="R2906">
        <v>-7.7</v>
      </c>
      <c r="S2906">
        <v>43</v>
      </c>
      <c r="T2906">
        <v>17.600000000000001</v>
      </c>
      <c r="U2906">
        <v>51</v>
      </c>
      <c r="V2906">
        <v>-6.62</v>
      </c>
      <c r="W2906">
        <v>33</v>
      </c>
      <c r="X2906" t="s">
        <v>102</v>
      </c>
      <c r="Y2906" t="s">
        <v>1499</v>
      </c>
      <c r="Z2906" t="s">
        <v>96</v>
      </c>
      <c r="AA2906" t="s">
        <v>3366</v>
      </c>
      <c r="AB2906" t="s">
        <v>981</v>
      </c>
      <c r="AC2906">
        <v>5</v>
      </c>
      <c r="AD2906">
        <v>5</v>
      </c>
      <c r="AE2906">
        <v>44</v>
      </c>
      <c r="AF2906">
        <v>-102.9</v>
      </c>
      <c r="AG2906">
        <v>-0.8</v>
      </c>
      <c r="AH2906">
        <v>-2.66</v>
      </c>
      <c r="AI2906">
        <v>0.05</v>
      </c>
      <c r="AJ2906">
        <v>0.01</v>
      </c>
      <c r="AK2906">
        <v>40</v>
      </c>
      <c r="AL2906">
        <v>10</v>
      </c>
      <c r="AM2906">
        <v>9</v>
      </c>
      <c r="AN2906">
        <v>-2.1800000000000002</v>
      </c>
      <c r="AO2906">
        <v>-0.13</v>
      </c>
      <c r="AP2906">
        <v>2</v>
      </c>
      <c r="AQ2906">
        <v>2</v>
      </c>
      <c r="AR2906">
        <v>6.59</v>
      </c>
      <c r="AS2906">
        <v>29</v>
      </c>
      <c r="AT2906">
        <v>2.94</v>
      </c>
      <c r="AU2906">
        <v>39</v>
      </c>
      <c r="AV2906">
        <v>1.36</v>
      </c>
      <c r="AW2906">
        <v>43</v>
      </c>
      <c r="AX2906">
        <v>0.02</v>
      </c>
      <c r="AY2906">
        <v>48</v>
      </c>
      <c r="AZ2906">
        <v>6.54</v>
      </c>
      <c r="BA2906">
        <v>30</v>
      </c>
      <c r="BB2906">
        <v>6.01</v>
      </c>
      <c r="BC2906">
        <v>37</v>
      </c>
      <c r="BD2906">
        <v>0.06</v>
      </c>
      <c r="BE2906">
        <v>0.03</v>
      </c>
      <c r="BF2906">
        <v>0.02</v>
      </c>
      <c r="BG2906">
        <v>51</v>
      </c>
      <c r="BH2906">
        <v>-0.08</v>
      </c>
      <c r="BI2906">
        <v>12.09</v>
      </c>
      <c r="BJ2906">
        <v>1</v>
      </c>
      <c r="BK2906">
        <v>1</v>
      </c>
      <c r="BL2906">
        <v>-1.79</v>
      </c>
      <c r="BM2906">
        <v>0.99</v>
      </c>
      <c r="BN2906">
        <v>-2.02</v>
      </c>
      <c r="BO2906">
        <v>-1.89</v>
      </c>
      <c r="BP2906">
        <v>-0.65</v>
      </c>
      <c r="BQ2906">
        <v>1.21</v>
      </c>
      <c r="BR2906">
        <v>-1.29</v>
      </c>
      <c r="BS2906">
        <v>-1.06</v>
      </c>
      <c r="BT2906">
        <v>-0.85</v>
      </c>
      <c r="BU2906">
        <v>-1.46</v>
      </c>
      <c r="BV2906">
        <v>-1.54</v>
      </c>
      <c r="BW2906">
        <v>-2.8</v>
      </c>
      <c r="BX2906">
        <v>-0.18</v>
      </c>
      <c r="BY2906">
        <v>-1.47</v>
      </c>
      <c r="BZ2906">
        <v>0.2</v>
      </c>
      <c r="CA2906">
        <v>-2.34</v>
      </c>
      <c r="CB2906">
        <v>-1.86</v>
      </c>
      <c r="CC2906">
        <v>-2.4</v>
      </c>
      <c r="CD2906">
        <v>1.97</v>
      </c>
      <c r="CE2906">
        <v>-2.31</v>
      </c>
      <c r="CF2906">
        <v>-1.53</v>
      </c>
      <c r="CG2906">
        <v>0</v>
      </c>
      <c r="CH2906">
        <v>-2.21</v>
      </c>
      <c r="CI2906">
        <v>0</v>
      </c>
      <c r="CJ2906">
        <v>-2.9</v>
      </c>
      <c r="CK2906">
        <v>62</v>
      </c>
      <c r="CL2906">
        <v>0.01</v>
      </c>
      <c r="CM2906">
        <v>58</v>
      </c>
      <c r="CN2906">
        <v>-0.05</v>
      </c>
      <c r="CO2906">
        <v>54</v>
      </c>
      <c r="CP2906">
        <v>-11.3</v>
      </c>
      <c r="CQ2906">
        <v>58</v>
      </c>
      <c r="CR2906">
        <v>0</v>
      </c>
      <c r="CS2906">
        <v>0</v>
      </c>
      <c r="CT2906">
        <v>-10</v>
      </c>
      <c r="CU2906">
        <v>51</v>
      </c>
      <c r="CV2906">
        <v>-0.03</v>
      </c>
      <c r="CW2906">
        <v>17</v>
      </c>
      <c r="CX2906" t="s">
        <v>982</v>
      </c>
    </row>
    <row r="2907" spans="1:102" x14ac:dyDescent="0.3">
      <c r="A2907" t="str">
        <f>HYPERLINK("https://webapp.icbf.com/v2/app/bull-search/view/1707216631","MO4741")</f>
        <v>MO4741</v>
      </c>
      <c r="B2907" t="s">
        <v>9572</v>
      </c>
      <c r="C2907" t="s">
        <v>9573</v>
      </c>
      <c r="D2907" s="1">
        <v>42671</v>
      </c>
      <c r="E2907" t="s">
        <v>140</v>
      </c>
      <c r="F2907">
        <v>0</v>
      </c>
      <c r="G2907" t="s">
        <v>435</v>
      </c>
      <c r="H2907">
        <v>3.83</v>
      </c>
      <c r="I2907">
        <v>54</v>
      </c>
      <c r="J2907">
        <v>37.67</v>
      </c>
      <c r="K2907">
        <v>70</v>
      </c>
      <c r="L2907">
        <v>-36.549999999999997</v>
      </c>
      <c r="M2907">
        <v>50</v>
      </c>
      <c r="N2907">
        <v>-3.63</v>
      </c>
      <c r="O2907">
        <v>42</v>
      </c>
      <c r="P2907">
        <v>17.27</v>
      </c>
      <c r="Q2907">
        <v>42</v>
      </c>
      <c r="R2907">
        <v>-0.87</v>
      </c>
      <c r="S2907">
        <v>49</v>
      </c>
      <c r="T2907">
        <v>-1.1200000000000001</v>
      </c>
      <c r="U2907">
        <v>37</v>
      </c>
      <c r="V2907">
        <v>-8.94</v>
      </c>
      <c r="W2907">
        <v>46</v>
      </c>
      <c r="X2907" t="s">
        <v>102</v>
      </c>
      <c r="Y2907" t="s">
        <v>442</v>
      </c>
      <c r="Z2907">
        <v>0</v>
      </c>
      <c r="AA2907" t="s">
        <v>6050</v>
      </c>
      <c r="AB2907" t="s">
        <v>9574</v>
      </c>
      <c r="AC2907">
        <v>0</v>
      </c>
      <c r="AD2907">
        <v>0</v>
      </c>
      <c r="AE2907">
        <v>70</v>
      </c>
      <c r="AF2907">
        <v>219.09</v>
      </c>
      <c r="AG2907">
        <v>6.56</v>
      </c>
      <c r="AH2907">
        <v>7.44</v>
      </c>
      <c r="AI2907">
        <v>-0.04</v>
      </c>
      <c r="AJ2907">
        <v>0</v>
      </c>
      <c r="AK2907">
        <v>50</v>
      </c>
      <c r="AL2907">
        <v>0</v>
      </c>
      <c r="AM2907">
        <v>0</v>
      </c>
      <c r="AN2907">
        <v>3.13</v>
      </c>
      <c r="AO2907">
        <v>0.23</v>
      </c>
      <c r="AP2907">
        <v>1</v>
      </c>
      <c r="AQ2907">
        <v>0</v>
      </c>
      <c r="AR2907">
        <v>8.09</v>
      </c>
      <c r="AS2907">
        <v>44</v>
      </c>
      <c r="AT2907">
        <v>4.2300000000000004</v>
      </c>
      <c r="AU2907">
        <v>49</v>
      </c>
      <c r="AV2907">
        <v>-0.42</v>
      </c>
      <c r="AW2907">
        <v>43</v>
      </c>
      <c r="AX2907">
        <v>-0.15</v>
      </c>
      <c r="AY2907">
        <v>43</v>
      </c>
      <c r="AZ2907">
        <v>6.08</v>
      </c>
      <c r="BA2907">
        <v>32</v>
      </c>
      <c r="BB2907">
        <v>4.1100000000000003</v>
      </c>
      <c r="BC2907">
        <v>28</v>
      </c>
      <c r="BD2907">
        <v>0.03</v>
      </c>
      <c r="BE2907">
        <v>0</v>
      </c>
      <c r="BF2907">
        <v>-0.03</v>
      </c>
      <c r="BG2907">
        <v>54</v>
      </c>
      <c r="BH2907">
        <v>-0.26</v>
      </c>
      <c r="BI2907">
        <v>-1.25</v>
      </c>
      <c r="BJ2907">
        <v>0</v>
      </c>
      <c r="BK2907">
        <v>0</v>
      </c>
      <c r="BL2907">
        <v>-0.63</v>
      </c>
      <c r="BM2907">
        <v>3.2</v>
      </c>
      <c r="BN2907">
        <v>-1.4</v>
      </c>
      <c r="BO2907">
        <v>-2.65</v>
      </c>
      <c r="BP2907">
        <v>3.77</v>
      </c>
      <c r="BQ2907">
        <v>-1.57</v>
      </c>
      <c r="BR2907">
        <v>-2.27</v>
      </c>
      <c r="BS2907">
        <v>-0.32</v>
      </c>
      <c r="BT2907">
        <v>2.23</v>
      </c>
      <c r="BU2907">
        <v>-2.9</v>
      </c>
      <c r="BV2907">
        <v>-3.27</v>
      </c>
      <c r="BW2907">
        <v>-2.4900000000000002</v>
      </c>
      <c r="BX2907">
        <v>-2.31</v>
      </c>
      <c r="BY2907">
        <v>-1.68</v>
      </c>
      <c r="BZ2907">
        <v>1.07</v>
      </c>
      <c r="CA2907">
        <v>-2.1</v>
      </c>
      <c r="CB2907">
        <v>-2.67</v>
      </c>
      <c r="CC2907">
        <v>-0.36</v>
      </c>
      <c r="CD2907">
        <v>3.47</v>
      </c>
      <c r="CE2907">
        <v>-2.57</v>
      </c>
      <c r="CF2907">
        <v>-0.88</v>
      </c>
      <c r="CG2907">
        <v>0</v>
      </c>
      <c r="CH2907">
        <v>-2.16</v>
      </c>
      <c r="CI2907">
        <v>0</v>
      </c>
      <c r="CJ2907">
        <v>7.8</v>
      </c>
      <c r="CK2907">
        <v>42</v>
      </c>
      <c r="CL2907">
        <v>0.18</v>
      </c>
      <c r="CM2907">
        <v>42</v>
      </c>
      <c r="CN2907">
        <v>-0.28000000000000003</v>
      </c>
      <c r="CO2907">
        <v>42</v>
      </c>
      <c r="CP2907">
        <v>9.1</v>
      </c>
      <c r="CQ2907">
        <v>37</v>
      </c>
      <c r="CR2907">
        <v>0</v>
      </c>
      <c r="CS2907">
        <v>0</v>
      </c>
      <c r="CT2907">
        <v>15.3</v>
      </c>
      <c r="CU2907">
        <v>37</v>
      </c>
      <c r="CV2907">
        <v>0.19</v>
      </c>
      <c r="CW2907">
        <v>33</v>
      </c>
      <c r="CX2907" t="s">
        <v>9575</v>
      </c>
    </row>
    <row r="2908" spans="1:102" x14ac:dyDescent="0.3">
      <c r="A2908" t="str">
        <f>HYPERLINK("https://webapp.icbf.com/v2/app/bull-search/view/170490575","LCX")</f>
        <v>LCX</v>
      </c>
      <c r="B2908" t="s">
        <v>11618</v>
      </c>
      <c r="C2908" t="s">
        <v>283</v>
      </c>
      <c r="D2908" s="1">
        <v>35985</v>
      </c>
      <c r="E2908" t="s">
        <v>92</v>
      </c>
      <c r="F2908">
        <v>100</v>
      </c>
      <c r="G2908" t="s">
        <v>93</v>
      </c>
      <c r="H2908">
        <v>3.55</v>
      </c>
      <c r="I2908">
        <v>98</v>
      </c>
      <c r="J2908">
        <v>57.33</v>
      </c>
      <c r="K2908">
        <v>99</v>
      </c>
      <c r="L2908">
        <v>-59.14</v>
      </c>
      <c r="M2908">
        <v>96</v>
      </c>
      <c r="N2908">
        <v>4.4800000000000004</v>
      </c>
      <c r="O2908">
        <v>99</v>
      </c>
      <c r="P2908">
        <v>-2.63</v>
      </c>
      <c r="Q2908">
        <v>99</v>
      </c>
      <c r="R2908">
        <v>-2.71</v>
      </c>
      <c r="S2908">
        <v>97</v>
      </c>
      <c r="T2908">
        <v>7.39</v>
      </c>
      <c r="U2908">
        <v>99</v>
      </c>
      <c r="V2908">
        <v>-1.17</v>
      </c>
      <c r="W2908">
        <v>98</v>
      </c>
      <c r="X2908" t="s">
        <v>276</v>
      </c>
      <c r="Y2908" t="s">
        <v>95</v>
      </c>
      <c r="Z2908" t="s">
        <v>96</v>
      </c>
      <c r="AA2908" t="s">
        <v>6632</v>
      </c>
      <c r="AB2908" t="s">
        <v>11619</v>
      </c>
      <c r="AC2908">
        <v>2041</v>
      </c>
      <c r="AD2908">
        <v>572</v>
      </c>
      <c r="AE2908">
        <v>99</v>
      </c>
      <c r="AF2908">
        <v>294.49</v>
      </c>
      <c r="AG2908">
        <v>5.59</v>
      </c>
      <c r="AH2908">
        <v>12.28</v>
      </c>
      <c r="AI2908">
        <v>-0.1</v>
      </c>
      <c r="AJ2908">
        <v>0.04</v>
      </c>
      <c r="AK2908">
        <v>96</v>
      </c>
      <c r="AL2908">
        <v>1998</v>
      </c>
      <c r="AM2908">
        <v>597</v>
      </c>
      <c r="AN2908">
        <v>2.91</v>
      </c>
      <c r="AO2908">
        <v>-1.81</v>
      </c>
      <c r="AP2908">
        <v>3504</v>
      </c>
      <c r="AQ2908">
        <v>3</v>
      </c>
      <c r="AR2908">
        <v>8.82</v>
      </c>
      <c r="AS2908">
        <v>99</v>
      </c>
      <c r="AT2908">
        <v>3.89</v>
      </c>
      <c r="AU2908">
        <v>99</v>
      </c>
      <c r="AV2908">
        <v>-1.3</v>
      </c>
      <c r="AW2908">
        <v>99</v>
      </c>
      <c r="AX2908">
        <v>-7.0000000000000007E-2</v>
      </c>
      <c r="AY2908">
        <v>99</v>
      </c>
      <c r="AZ2908">
        <v>5.18</v>
      </c>
      <c r="BA2908">
        <v>97</v>
      </c>
      <c r="BB2908">
        <v>4.37</v>
      </c>
      <c r="BC2908">
        <v>97</v>
      </c>
      <c r="BD2908">
        <v>-0.01</v>
      </c>
      <c r="BE2908">
        <v>0.01</v>
      </c>
      <c r="BF2908">
        <v>0.06</v>
      </c>
      <c r="BG2908">
        <v>99</v>
      </c>
      <c r="BH2908">
        <v>-0.01</v>
      </c>
      <c r="BI2908">
        <v>2.61</v>
      </c>
      <c r="BJ2908">
        <v>684</v>
      </c>
      <c r="BK2908">
        <v>193</v>
      </c>
      <c r="BL2908">
        <v>0.73</v>
      </c>
      <c r="BM2908">
        <v>-0.3</v>
      </c>
      <c r="BN2908">
        <v>0.11</v>
      </c>
      <c r="BO2908">
        <v>0.68</v>
      </c>
      <c r="BP2908">
        <v>1.39</v>
      </c>
      <c r="BQ2908">
        <v>0.92</v>
      </c>
      <c r="BR2908">
        <v>0.88</v>
      </c>
      <c r="BS2908">
        <v>-1.96</v>
      </c>
      <c r="BT2908">
        <v>-0.41</v>
      </c>
      <c r="BU2908">
        <v>0.12</v>
      </c>
      <c r="BV2908">
        <v>1.44</v>
      </c>
      <c r="BW2908">
        <v>0.95</v>
      </c>
      <c r="BX2908">
        <v>-0.41</v>
      </c>
      <c r="BY2908">
        <v>-0.1</v>
      </c>
      <c r="BZ2908">
        <v>1.44</v>
      </c>
      <c r="CA2908">
        <v>0.02</v>
      </c>
      <c r="CB2908">
        <v>0.64</v>
      </c>
      <c r="CC2908">
        <v>-1.18</v>
      </c>
      <c r="CD2908">
        <v>-0.62</v>
      </c>
      <c r="CE2908">
        <v>0.94</v>
      </c>
      <c r="CF2908">
        <v>0.7</v>
      </c>
      <c r="CG2908">
        <v>0</v>
      </c>
      <c r="CH2908">
        <v>-0.11</v>
      </c>
      <c r="CI2908">
        <v>0</v>
      </c>
      <c r="CJ2908">
        <v>1.6</v>
      </c>
      <c r="CK2908">
        <v>99</v>
      </c>
      <c r="CL2908">
        <v>-1.04</v>
      </c>
      <c r="CM2908">
        <v>99</v>
      </c>
      <c r="CN2908">
        <v>-0.53</v>
      </c>
      <c r="CO2908">
        <v>99</v>
      </c>
      <c r="CP2908">
        <v>-2.1</v>
      </c>
      <c r="CQ2908">
        <v>99</v>
      </c>
      <c r="CR2908">
        <v>0</v>
      </c>
      <c r="CS2908">
        <v>0</v>
      </c>
      <c r="CT2908">
        <v>3.8</v>
      </c>
      <c r="CU2908">
        <v>99</v>
      </c>
      <c r="CV2908">
        <v>0.22</v>
      </c>
      <c r="CW2908">
        <v>46</v>
      </c>
      <c r="CX2908" t="s">
        <v>743</v>
      </c>
    </row>
    <row r="2909" spans="1:102" x14ac:dyDescent="0.3">
      <c r="A2909" t="str">
        <f>HYPERLINK("https://webapp.icbf.com/v2/app/bull-search/view/68523562","EVA")</f>
        <v>EVA</v>
      </c>
      <c r="B2909" t="s">
        <v>10482</v>
      </c>
      <c r="C2909" t="s">
        <v>10483</v>
      </c>
      <c r="D2909" s="1">
        <v>32629</v>
      </c>
      <c r="E2909" t="s">
        <v>92</v>
      </c>
      <c r="F2909">
        <v>100</v>
      </c>
      <c r="G2909" t="s">
        <v>93</v>
      </c>
      <c r="H2909">
        <v>3.54</v>
      </c>
      <c r="I2909">
        <v>91</v>
      </c>
      <c r="J2909">
        <v>-16.309999999999999</v>
      </c>
      <c r="K2909">
        <v>99</v>
      </c>
      <c r="L2909">
        <v>21.6</v>
      </c>
      <c r="M2909">
        <v>91</v>
      </c>
      <c r="N2909">
        <v>2.4500000000000002</v>
      </c>
      <c r="O2909">
        <v>85</v>
      </c>
      <c r="P2909">
        <v>-10.94</v>
      </c>
      <c r="Q2909">
        <v>92</v>
      </c>
      <c r="R2909">
        <v>-15.99</v>
      </c>
      <c r="S2909">
        <v>80</v>
      </c>
      <c r="T2909">
        <v>21.37</v>
      </c>
      <c r="U2909">
        <v>90</v>
      </c>
      <c r="V2909">
        <v>1.36</v>
      </c>
      <c r="W2909">
        <v>56</v>
      </c>
      <c r="X2909" t="s">
        <v>110</v>
      </c>
      <c r="Y2909" t="s">
        <v>95</v>
      </c>
      <c r="Z2909" t="s">
        <v>96</v>
      </c>
      <c r="AA2909" t="s">
        <v>166</v>
      </c>
      <c r="AB2909" t="s">
        <v>10484</v>
      </c>
      <c r="AC2909">
        <v>321</v>
      </c>
      <c r="AD2909">
        <v>149</v>
      </c>
      <c r="AE2909">
        <v>99</v>
      </c>
      <c r="AF2909">
        <v>73.239999999999995</v>
      </c>
      <c r="AG2909">
        <v>-0.77</v>
      </c>
      <c r="AH2909">
        <v>-1.38</v>
      </c>
      <c r="AI2909">
        <v>-0.06</v>
      </c>
      <c r="AJ2909">
        <v>-0.06</v>
      </c>
      <c r="AK2909">
        <v>91</v>
      </c>
      <c r="AL2909">
        <v>335</v>
      </c>
      <c r="AM2909">
        <v>148</v>
      </c>
      <c r="AN2909">
        <v>-0.61</v>
      </c>
      <c r="AO2909">
        <v>1.1200000000000001</v>
      </c>
      <c r="AP2909">
        <v>1</v>
      </c>
      <c r="AQ2909">
        <v>0</v>
      </c>
      <c r="AR2909">
        <v>8.1</v>
      </c>
      <c r="AS2909">
        <v>61</v>
      </c>
      <c r="AT2909">
        <v>4.0599999999999996</v>
      </c>
      <c r="AU2909">
        <v>90</v>
      </c>
      <c r="AV2909">
        <v>-1.37</v>
      </c>
      <c r="AW2909">
        <v>88</v>
      </c>
      <c r="AX2909">
        <v>-0.45</v>
      </c>
      <c r="AY2909">
        <v>91</v>
      </c>
      <c r="AZ2909">
        <v>6.86</v>
      </c>
      <c r="BA2909">
        <v>64</v>
      </c>
      <c r="BB2909">
        <v>4.7300000000000004</v>
      </c>
      <c r="BC2909">
        <v>81</v>
      </c>
      <c r="BD2909">
        <v>0.04</v>
      </c>
      <c r="BE2909">
        <v>0.09</v>
      </c>
      <c r="BF2909">
        <v>0.13</v>
      </c>
      <c r="BG2909">
        <v>95</v>
      </c>
      <c r="BH2909">
        <v>0.16</v>
      </c>
      <c r="BI2909">
        <v>14.11</v>
      </c>
      <c r="BJ2909">
        <v>68</v>
      </c>
      <c r="BK2909">
        <v>42</v>
      </c>
      <c r="BL2909">
        <v>0.09</v>
      </c>
      <c r="BM2909">
        <v>-3.8</v>
      </c>
      <c r="BN2909">
        <v>-1.71</v>
      </c>
      <c r="BO2909">
        <v>1.02</v>
      </c>
      <c r="BP2909">
        <v>-1.07</v>
      </c>
      <c r="BQ2909">
        <v>-2.4900000000000002</v>
      </c>
      <c r="BR2909">
        <v>1.51</v>
      </c>
      <c r="BS2909">
        <v>-1.25</v>
      </c>
      <c r="BT2909">
        <v>-1.75</v>
      </c>
      <c r="BU2909">
        <v>-0.08</v>
      </c>
      <c r="BV2909">
        <v>-0.26</v>
      </c>
      <c r="BW2909">
        <v>-0.19</v>
      </c>
      <c r="BX2909">
        <v>0.64</v>
      </c>
      <c r="BY2909">
        <v>-1.42</v>
      </c>
      <c r="BZ2909">
        <v>-0.8</v>
      </c>
      <c r="CA2909">
        <v>-0.23</v>
      </c>
      <c r="CB2909">
        <v>-0.05</v>
      </c>
      <c r="CC2909">
        <v>-0.74</v>
      </c>
      <c r="CD2909">
        <v>-3.21</v>
      </c>
      <c r="CE2909">
        <v>0.83</v>
      </c>
      <c r="CF2909">
        <v>-1</v>
      </c>
      <c r="CG2909">
        <v>0</v>
      </c>
      <c r="CH2909">
        <v>-1.3</v>
      </c>
      <c r="CI2909">
        <v>0</v>
      </c>
      <c r="CJ2909">
        <v>-7.6</v>
      </c>
      <c r="CK2909">
        <v>92</v>
      </c>
      <c r="CL2909">
        <v>-0.69</v>
      </c>
      <c r="CM2909">
        <v>91</v>
      </c>
      <c r="CN2909">
        <v>-0.74</v>
      </c>
      <c r="CO2909">
        <v>90</v>
      </c>
      <c r="CP2909">
        <v>-13.3</v>
      </c>
      <c r="CQ2909">
        <v>95</v>
      </c>
      <c r="CR2909">
        <v>0</v>
      </c>
      <c r="CS2909">
        <v>0</v>
      </c>
      <c r="CT2909">
        <v>-15.1</v>
      </c>
      <c r="CU2909">
        <v>90</v>
      </c>
      <c r="CV2909">
        <v>-0.05</v>
      </c>
      <c r="CW2909">
        <v>27</v>
      </c>
      <c r="CX2909" t="s">
        <v>120</v>
      </c>
    </row>
    <row r="2910" spans="1:102" x14ac:dyDescent="0.3">
      <c r="A2910" t="str">
        <f>HYPERLINK("https://webapp.icbf.com/v2/app/bull-search/view/77854528","NWY")</f>
        <v>NWY</v>
      </c>
      <c r="B2910" t="s">
        <v>9879</v>
      </c>
      <c r="C2910" t="s">
        <v>9880</v>
      </c>
      <c r="D2910" s="1">
        <v>32145</v>
      </c>
      <c r="E2910" t="s">
        <v>92</v>
      </c>
      <c r="F2910">
        <v>100</v>
      </c>
      <c r="G2910" t="s">
        <v>93</v>
      </c>
      <c r="H2910">
        <v>3.24</v>
      </c>
      <c r="I2910">
        <v>98</v>
      </c>
      <c r="J2910">
        <v>30.93</v>
      </c>
      <c r="K2910">
        <v>99</v>
      </c>
      <c r="L2910">
        <v>-20.36</v>
      </c>
      <c r="M2910">
        <v>96</v>
      </c>
      <c r="N2910">
        <v>-9.6999999999999993</v>
      </c>
      <c r="O2910">
        <v>98</v>
      </c>
      <c r="P2910">
        <v>-14.98</v>
      </c>
      <c r="Q2910">
        <v>99</v>
      </c>
      <c r="R2910">
        <v>7.83</v>
      </c>
      <c r="S2910">
        <v>96</v>
      </c>
      <c r="T2910">
        <v>10.050000000000001</v>
      </c>
      <c r="U2910">
        <v>99</v>
      </c>
      <c r="V2910">
        <v>-0.53</v>
      </c>
      <c r="W2910">
        <v>96</v>
      </c>
      <c r="X2910" t="s">
        <v>102</v>
      </c>
      <c r="Y2910" t="s">
        <v>95</v>
      </c>
      <c r="Z2910" t="s">
        <v>96</v>
      </c>
      <c r="AA2910" t="s">
        <v>128</v>
      </c>
      <c r="AB2910" t="s">
        <v>8057</v>
      </c>
      <c r="AC2910">
        <v>2302</v>
      </c>
      <c r="AD2910">
        <v>923</v>
      </c>
      <c r="AE2910">
        <v>99</v>
      </c>
      <c r="AF2910">
        <v>110.26</v>
      </c>
      <c r="AG2910">
        <v>5.08</v>
      </c>
      <c r="AH2910">
        <v>5.15</v>
      </c>
      <c r="AI2910">
        <v>0.01</v>
      </c>
      <c r="AJ2910">
        <v>0.02</v>
      </c>
      <c r="AK2910">
        <v>96</v>
      </c>
      <c r="AL2910">
        <v>2698</v>
      </c>
      <c r="AM2910">
        <v>1112</v>
      </c>
      <c r="AN2910">
        <v>1.42</v>
      </c>
      <c r="AO2910">
        <v>-0.2</v>
      </c>
      <c r="AP2910">
        <v>1142</v>
      </c>
      <c r="AQ2910">
        <v>10</v>
      </c>
      <c r="AR2910">
        <v>9.1</v>
      </c>
      <c r="AS2910">
        <v>95</v>
      </c>
      <c r="AT2910">
        <v>3.41</v>
      </c>
      <c r="AU2910">
        <v>98</v>
      </c>
      <c r="AV2910">
        <v>0.99</v>
      </c>
      <c r="AW2910">
        <v>99</v>
      </c>
      <c r="AX2910">
        <v>-0.21</v>
      </c>
      <c r="AY2910">
        <v>99</v>
      </c>
      <c r="AZ2910">
        <v>5.27</v>
      </c>
      <c r="BA2910">
        <v>94</v>
      </c>
      <c r="BB2910">
        <v>4.41</v>
      </c>
      <c r="BC2910">
        <v>97</v>
      </c>
      <c r="BD2910">
        <v>0</v>
      </c>
      <c r="BE2910">
        <v>0</v>
      </c>
      <c r="BF2910">
        <v>-0.18</v>
      </c>
      <c r="BG2910">
        <v>99</v>
      </c>
      <c r="BH2910">
        <v>0.14000000000000001</v>
      </c>
      <c r="BI2910">
        <v>17.89</v>
      </c>
      <c r="BJ2910">
        <v>124</v>
      </c>
      <c r="BK2910">
        <v>78</v>
      </c>
      <c r="BL2910">
        <v>-0.54</v>
      </c>
      <c r="BM2910">
        <v>1.72</v>
      </c>
      <c r="BN2910">
        <v>0.56999999999999995</v>
      </c>
      <c r="BO2910">
        <v>-0.73</v>
      </c>
      <c r="BP2910">
        <v>0.39</v>
      </c>
      <c r="BQ2910">
        <v>2.27</v>
      </c>
      <c r="BR2910">
        <v>1.57</v>
      </c>
      <c r="BS2910">
        <v>-1.42</v>
      </c>
      <c r="BT2910">
        <v>-1.36</v>
      </c>
      <c r="BU2910">
        <v>-1.34</v>
      </c>
      <c r="BV2910">
        <v>-0.65</v>
      </c>
      <c r="BW2910">
        <v>-1</v>
      </c>
      <c r="BX2910">
        <v>-2.04</v>
      </c>
      <c r="BY2910">
        <v>0.04</v>
      </c>
      <c r="BZ2910">
        <v>-0.87</v>
      </c>
      <c r="CA2910">
        <v>-1.42</v>
      </c>
      <c r="CB2910">
        <v>-0.74</v>
      </c>
      <c r="CC2910">
        <v>-1.9</v>
      </c>
      <c r="CD2910">
        <v>1.1399999999999999</v>
      </c>
      <c r="CE2910">
        <v>-0.5</v>
      </c>
      <c r="CF2910">
        <v>-0.3</v>
      </c>
      <c r="CG2910">
        <v>0</v>
      </c>
      <c r="CH2910">
        <v>0.08</v>
      </c>
      <c r="CI2910">
        <v>0</v>
      </c>
      <c r="CJ2910">
        <v>-4.3</v>
      </c>
      <c r="CK2910">
        <v>99</v>
      </c>
      <c r="CL2910">
        <v>-0.42</v>
      </c>
      <c r="CM2910">
        <v>99</v>
      </c>
      <c r="CN2910">
        <v>0.31</v>
      </c>
      <c r="CO2910">
        <v>99</v>
      </c>
      <c r="CP2910">
        <v>-7.2</v>
      </c>
      <c r="CQ2910">
        <v>99</v>
      </c>
      <c r="CR2910">
        <v>0</v>
      </c>
      <c r="CS2910">
        <v>0</v>
      </c>
      <c r="CT2910">
        <v>0.2</v>
      </c>
      <c r="CU2910">
        <v>99</v>
      </c>
      <c r="CV2910">
        <v>0.04</v>
      </c>
      <c r="CW2910">
        <v>47</v>
      </c>
      <c r="CX2910" t="s">
        <v>2792</v>
      </c>
    </row>
    <row r="2911" spans="1:102" x14ac:dyDescent="0.3">
      <c r="A2911" t="str">
        <f>HYPERLINK("https://webapp.icbf.com/v2/app/bull-search/view/572114438","RZH")</f>
        <v>RZH</v>
      </c>
      <c r="B2911" t="s">
        <v>14413</v>
      </c>
      <c r="C2911" t="s">
        <v>14414</v>
      </c>
      <c r="D2911" s="1">
        <v>38801</v>
      </c>
      <c r="E2911" t="s">
        <v>92</v>
      </c>
      <c r="F2911">
        <v>100</v>
      </c>
      <c r="G2911" t="s">
        <v>93</v>
      </c>
      <c r="H2911">
        <v>3.11</v>
      </c>
      <c r="I2911">
        <v>96</v>
      </c>
      <c r="J2911">
        <v>33.15</v>
      </c>
      <c r="K2911">
        <v>99</v>
      </c>
      <c r="L2911">
        <v>-48.15</v>
      </c>
      <c r="M2911">
        <v>93</v>
      </c>
      <c r="N2911">
        <v>18.77</v>
      </c>
      <c r="O2911">
        <v>95</v>
      </c>
      <c r="P2911">
        <v>-10.029999999999999</v>
      </c>
      <c r="Q2911">
        <v>98</v>
      </c>
      <c r="R2911">
        <v>10.26</v>
      </c>
      <c r="S2911">
        <v>89</v>
      </c>
      <c r="T2911">
        <v>3.76</v>
      </c>
      <c r="U2911">
        <v>96</v>
      </c>
      <c r="V2911">
        <v>-4.6500000000000004</v>
      </c>
      <c r="W2911">
        <v>89</v>
      </c>
      <c r="X2911" t="s">
        <v>276</v>
      </c>
      <c r="Y2911" t="s">
        <v>2581</v>
      </c>
      <c r="Z2911" t="s">
        <v>96</v>
      </c>
      <c r="AA2911" t="s">
        <v>309</v>
      </c>
      <c r="AB2911" t="s">
        <v>1749</v>
      </c>
      <c r="AC2911">
        <v>513</v>
      </c>
      <c r="AD2911">
        <v>205</v>
      </c>
      <c r="AE2911">
        <v>99</v>
      </c>
      <c r="AF2911">
        <v>414.25</v>
      </c>
      <c r="AG2911">
        <v>6.44</v>
      </c>
      <c r="AH2911">
        <v>9.6999999999999993</v>
      </c>
      <c r="AI2911">
        <v>-0.16</v>
      </c>
      <c r="AJ2911">
        <v>-7.0000000000000007E-2</v>
      </c>
      <c r="AK2911">
        <v>93</v>
      </c>
      <c r="AL2911">
        <v>546</v>
      </c>
      <c r="AM2911">
        <v>219</v>
      </c>
      <c r="AN2911">
        <v>3.38</v>
      </c>
      <c r="AO2911">
        <v>-0.45</v>
      </c>
      <c r="AP2911">
        <v>837</v>
      </c>
      <c r="AQ2911">
        <v>3</v>
      </c>
      <c r="AR2911">
        <v>6.51</v>
      </c>
      <c r="AS2911">
        <v>94</v>
      </c>
      <c r="AT2911">
        <v>3.52</v>
      </c>
      <c r="AU2911">
        <v>96</v>
      </c>
      <c r="AV2911">
        <v>-2.4</v>
      </c>
      <c r="AW2911">
        <v>98</v>
      </c>
      <c r="AX2911">
        <v>0.09</v>
      </c>
      <c r="AY2911">
        <v>95</v>
      </c>
      <c r="AZ2911">
        <v>5.96</v>
      </c>
      <c r="BA2911">
        <v>87</v>
      </c>
      <c r="BB2911">
        <v>5.0199999999999996</v>
      </c>
      <c r="BC2911">
        <v>86</v>
      </c>
      <c r="BD2911">
        <v>-0.06</v>
      </c>
      <c r="BE2911">
        <v>-0.04</v>
      </c>
      <c r="BF2911">
        <v>-0.06</v>
      </c>
      <c r="BG2911">
        <v>97</v>
      </c>
      <c r="BH2911">
        <v>0.02</v>
      </c>
      <c r="BI2911">
        <v>17.32</v>
      </c>
      <c r="BJ2911">
        <v>105</v>
      </c>
      <c r="BK2911">
        <v>51</v>
      </c>
      <c r="BL2911">
        <v>1.94</v>
      </c>
      <c r="BM2911">
        <v>-1.1200000000000001</v>
      </c>
      <c r="BN2911">
        <v>1.32</v>
      </c>
      <c r="BO2911">
        <v>1.71</v>
      </c>
      <c r="BP2911">
        <v>0.36</v>
      </c>
      <c r="BQ2911">
        <v>0.19</v>
      </c>
      <c r="BR2911">
        <v>-0.23</v>
      </c>
      <c r="BS2911">
        <v>2.0299999999999998</v>
      </c>
      <c r="BT2911">
        <v>0.7</v>
      </c>
      <c r="BU2911">
        <v>1.48</v>
      </c>
      <c r="BV2911">
        <v>1.1299999999999999</v>
      </c>
      <c r="BW2911">
        <v>1.17</v>
      </c>
      <c r="BX2911">
        <v>1.27</v>
      </c>
      <c r="BY2911">
        <v>0.31</v>
      </c>
      <c r="BZ2911">
        <v>3.16</v>
      </c>
      <c r="CA2911">
        <v>1.6</v>
      </c>
      <c r="CB2911">
        <v>1.1200000000000001</v>
      </c>
      <c r="CC2911">
        <v>2.0099999999999998</v>
      </c>
      <c r="CD2911">
        <v>-0.99</v>
      </c>
      <c r="CE2911">
        <v>1.01</v>
      </c>
      <c r="CF2911">
        <v>0.93</v>
      </c>
      <c r="CG2911">
        <v>0</v>
      </c>
      <c r="CH2911">
        <v>0.45</v>
      </c>
      <c r="CI2911">
        <v>0</v>
      </c>
      <c r="CJ2911">
        <v>-2.2999999999999998</v>
      </c>
      <c r="CK2911">
        <v>98</v>
      </c>
      <c r="CL2911">
        <v>-1.36</v>
      </c>
      <c r="CM2911">
        <v>98</v>
      </c>
      <c r="CN2911">
        <v>-0.65</v>
      </c>
      <c r="CO2911">
        <v>97</v>
      </c>
      <c r="CP2911">
        <v>-2.9</v>
      </c>
      <c r="CQ2911">
        <v>96</v>
      </c>
      <c r="CR2911">
        <v>0</v>
      </c>
      <c r="CS2911">
        <v>0</v>
      </c>
      <c r="CT2911">
        <v>8.6999999999999993</v>
      </c>
      <c r="CU2911">
        <v>96</v>
      </c>
      <c r="CV2911">
        <v>0.33</v>
      </c>
      <c r="CW2911">
        <v>46</v>
      </c>
      <c r="CX2911" t="s">
        <v>316</v>
      </c>
    </row>
    <row r="2912" spans="1:102" x14ac:dyDescent="0.3">
      <c r="A2912" t="str">
        <f>HYPERLINK("https://webapp.icbf.com/v2/app/bull-search/view/495514937","SVV")</f>
        <v>SVV</v>
      </c>
      <c r="B2912" t="s">
        <v>4874</v>
      </c>
      <c r="C2912" t="s">
        <v>4875</v>
      </c>
      <c r="D2912" s="1">
        <v>37088</v>
      </c>
      <c r="E2912" t="s">
        <v>92</v>
      </c>
      <c r="F2912">
        <v>100</v>
      </c>
      <c r="G2912" t="s">
        <v>93</v>
      </c>
      <c r="H2912">
        <v>3.04</v>
      </c>
      <c r="I2912">
        <v>89</v>
      </c>
      <c r="J2912">
        <v>18.25</v>
      </c>
      <c r="K2912">
        <v>97</v>
      </c>
      <c r="L2912">
        <v>-4.34</v>
      </c>
      <c r="M2912">
        <v>85</v>
      </c>
      <c r="N2912">
        <v>-15.96</v>
      </c>
      <c r="O2912">
        <v>84</v>
      </c>
      <c r="P2912">
        <v>-7.36</v>
      </c>
      <c r="Q2912">
        <v>89</v>
      </c>
      <c r="R2912">
        <v>5.57</v>
      </c>
      <c r="S2912">
        <v>82</v>
      </c>
      <c r="T2912">
        <v>9.31</v>
      </c>
      <c r="U2912">
        <v>82</v>
      </c>
      <c r="V2912">
        <v>-2.4300000000000002</v>
      </c>
      <c r="W2912">
        <v>78</v>
      </c>
      <c r="X2912" t="s">
        <v>94</v>
      </c>
      <c r="Y2912" t="s">
        <v>221</v>
      </c>
      <c r="Z2912" t="s">
        <v>96</v>
      </c>
      <c r="AA2912" t="s">
        <v>273</v>
      </c>
      <c r="AB2912" t="s">
        <v>4876</v>
      </c>
      <c r="AC2912">
        <v>78</v>
      </c>
      <c r="AD2912">
        <v>39</v>
      </c>
      <c r="AE2912">
        <v>97</v>
      </c>
      <c r="AF2912">
        <v>190.5</v>
      </c>
      <c r="AG2912">
        <v>2.12</v>
      </c>
      <c r="AH2912">
        <v>5.27</v>
      </c>
      <c r="AI2912">
        <v>-0.09</v>
      </c>
      <c r="AJ2912">
        <v>-0.02</v>
      </c>
      <c r="AK2912">
        <v>85</v>
      </c>
      <c r="AL2912">
        <v>83</v>
      </c>
      <c r="AM2912">
        <v>41</v>
      </c>
      <c r="AN2912">
        <v>1.5</v>
      </c>
      <c r="AO2912">
        <v>1.17</v>
      </c>
      <c r="AP2912">
        <v>100</v>
      </c>
      <c r="AQ2912">
        <v>0</v>
      </c>
      <c r="AR2912">
        <v>10.51</v>
      </c>
      <c r="AS2912">
        <v>68</v>
      </c>
      <c r="AT2912">
        <v>5.04</v>
      </c>
      <c r="AU2912">
        <v>92</v>
      </c>
      <c r="AV2912">
        <v>-1.76</v>
      </c>
      <c r="AW2912">
        <v>92</v>
      </c>
      <c r="AX2912">
        <v>-0.31</v>
      </c>
      <c r="AY2912">
        <v>78</v>
      </c>
      <c r="AZ2912">
        <v>6.57</v>
      </c>
      <c r="BA2912">
        <v>61</v>
      </c>
      <c r="BB2912">
        <v>5.19</v>
      </c>
      <c r="BC2912">
        <v>66</v>
      </c>
      <c r="BD2912">
        <v>-0.03</v>
      </c>
      <c r="BE2912">
        <v>-0.02</v>
      </c>
      <c r="BF2912">
        <v>-0.04</v>
      </c>
      <c r="BG2912">
        <v>89</v>
      </c>
      <c r="BH2912">
        <v>0.01</v>
      </c>
      <c r="BI2912">
        <v>8.99</v>
      </c>
      <c r="BJ2912">
        <v>13</v>
      </c>
      <c r="BK2912">
        <v>8</v>
      </c>
      <c r="BL2912">
        <v>0.59</v>
      </c>
      <c r="BM2912">
        <v>-1.6</v>
      </c>
      <c r="BN2912">
        <v>-0.39</v>
      </c>
      <c r="BO2912">
        <v>0.67</v>
      </c>
      <c r="BP2912">
        <v>1.0900000000000001</v>
      </c>
      <c r="BQ2912">
        <v>-2.4700000000000002</v>
      </c>
      <c r="BR2912">
        <v>-1.1599999999999999</v>
      </c>
      <c r="BS2912">
        <v>0.96</v>
      </c>
      <c r="BT2912">
        <v>-0.56999999999999995</v>
      </c>
      <c r="BU2912">
        <v>0.83</v>
      </c>
      <c r="BV2912">
        <v>0.6</v>
      </c>
      <c r="BW2912">
        <v>0</v>
      </c>
      <c r="BX2912">
        <v>0.48</v>
      </c>
      <c r="BY2912">
        <v>0.03</v>
      </c>
      <c r="BZ2912">
        <v>-0.37</v>
      </c>
      <c r="CA2912">
        <v>0.77</v>
      </c>
      <c r="CB2912">
        <v>0.54</v>
      </c>
      <c r="CC2912">
        <v>0.72</v>
      </c>
      <c r="CD2912">
        <v>-0.7</v>
      </c>
      <c r="CE2912">
        <v>0.65</v>
      </c>
      <c r="CF2912">
        <v>0.11</v>
      </c>
      <c r="CG2912">
        <v>0</v>
      </c>
      <c r="CH2912">
        <v>-0.16</v>
      </c>
      <c r="CI2912">
        <v>0</v>
      </c>
      <c r="CJ2912">
        <v>-1.4</v>
      </c>
      <c r="CK2912">
        <v>90</v>
      </c>
      <c r="CL2912">
        <v>-0.84</v>
      </c>
      <c r="CM2912">
        <v>88</v>
      </c>
      <c r="CN2912">
        <v>-0.35</v>
      </c>
      <c r="CO2912">
        <v>87</v>
      </c>
      <c r="CP2912">
        <v>-5.7</v>
      </c>
      <c r="CQ2912">
        <v>88</v>
      </c>
      <c r="CR2912">
        <v>0</v>
      </c>
      <c r="CS2912">
        <v>0</v>
      </c>
      <c r="CT2912">
        <v>1.2</v>
      </c>
      <c r="CU2912">
        <v>82</v>
      </c>
      <c r="CV2912">
        <v>0.15</v>
      </c>
      <c r="CW2912">
        <v>44</v>
      </c>
      <c r="CX2912" t="s">
        <v>596</v>
      </c>
    </row>
    <row r="2913" spans="1:102" x14ac:dyDescent="0.3">
      <c r="A2913" t="str">
        <f>HYPERLINK("https://webapp.icbf.com/v2/app/bull-search/view/389210539","OXI")</f>
        <v>OXI</v>
      </c>
      <c r="B2913" t="s">
        <v>9955</v>
      </c>
      <c r="C2913" t="s">
        <v>9956</v>
      </c>
      <c r="D2913" s="1">
        <v>35893</v>
      </c>
      <c r="E2913" t="s">
        <v>140</v>
      </c>
      <c r="F2913">
        <v>0</v>
      </c>
      <c r="G2913" t="s">
        <v>93</v>
      </c>
      <c r="H2913">
        <v>3.03</v>
      </c>
      <c r="I2913">
        <v>88</v>
      </c>
      <c r="J2913">
        <v>-15.79</v>
      </c>
      <c r="K2913">
        <v>96</v>
      </c>
      <c r="L2913">
        <v>26.3</v>
      </c>
      <c r="M2913">
        <v>79</v>
      </c>
      <c r="N2913">
        <v>-13.51</v>
      </c>
      <c r="O2913">
        <v>88</v>
      </c>
      <c r="P2913">
        <v>11.71</v>
      </c>
      <c r="Q2913">
        <v>96</v>
      </c>
      <c r="R2913">
        <v>8.09</v>
      </c>
      <c r="S2913">
        <v>81</v>
      </c>
      <c r="T2913">
        <v>0.21</v>
      </c>
      <c r="U2913">
        <v>90</v>
      </c>
      <c r="V2913">
        <v>-13.98</v>
      </c>
      <c r="W2913">
        <v>81</v>
      </c>
      <c r="X2913" t="s">
        <v>102</v>
      </c>
      <c r="Y2913" t="s">
        <v>95</v>
      </c>
      <c r="Z2913">
        <v>0</v>
      </c>
      <c r="AA2913" t="s">
        <v>141</v>
      </c>
      <c r="AB2913" t="s">
        <v>9957</v>
      </c>
      <c r="AC2913">
        <v>91</v>
      </c>
      <c r="AD2913">
        <v>43</v>
      </c>
      <c r="AE2913">
        <v>96</v>
      </c>
      <c r="AF2913">
        <v>-81.489999999999995</v>
      </c>
      <c r="AG2913">
        <v>-4.5</v>
      </c>
      <c r="AH2913">
        <v>-2.34</v>
      </c>
      <c r="AI2913">
        <v>-0.02</v>
      </c>
      <c r="AJ2913">
        <v>0.01</v>
      </c>
      <c r="AK2913">
        <v>79</v>
      </c>
      <c r="AL2913">
        <v>114</v>
      </c>
      <c r="AM2913">
        <v>56</v>
      </c>
      <c r="AN2913">
        <v>-0.45</v>
      </c>
      <c r="AO2913">
        <v>1.66</v>
      </c>
      <c r="AP2913">
        <v>268</v>
      </c>
      <c r="AQ2913">
        <v>2</v>
      </c>
      <c r="AR2913">
        <v>7.19</v>
      </c>
      <c r="AS2913">
        <v>83</v>
      </c>
      <c r="AT2913">
        <v>3.67</v>
      </c>
      <c r="AU2913">
        <v>89</v>
      </c>
      <c r="AV2913">
        <v>2.59</v>
      </c>
      <c r="AW2913">
        <v>94</v>
      </c>
      <c r="AX2913">
        <v>-1.02</v>
      </c>
      <c r="AY2913">
        <v>88</v>
      </c>
      <c r="AZ2913">
        <v>4.5199999999999996</v>
      </c>
      <c r="BA2913">
        <v>69</v>
      </c>
      <c r="BB2913">
        <v>3.72</v>
      </c>
      <c r="BC2913">
        <v>74</v>
      </c>
      <c r="BD2913">
        <v>-0.03</v>
      </c>
      <c r="BE2913">
        <v>-0.04</v>
      </c>
      <c r="BF2913">
        <v>-0.06</v>
      </c>
      <c r="BG2913">
        <v>88</v>
      </c>
      <c r="BH2913">
        <v>-0.37</v>
      </c>
      <c r="BI2913">
        <v>2.29</v>
      </c>
      <c r="BJ2913">
        <v>0</v>
      </c>
      <c r="BK2913">
        <v>0</v>
      </c>
      <c r="BL2913">
        <v>-1.02</v>
      </c>
      <c r="BM2913">
        <v>3.1</v>
      </c>
      <c r="BN2913">
        <v>-1.83</v>
      </c>
      <c r="BO2913">
        <v>-2.91</v>
      </c>
      <c r="BP2913">
        <v>4.21</v>
      </c>
      <c r="BQ2913">
        <v>-2.2799999999999998</v>
      </c>
      <c r="BR2913">
        <v>-2.64</v>
      </c>
      <c r="BS2913">
        <v>-0.46</v>
      </c>
      <c r="BT2913">
        <v>2.63</v>
      </c>
      <c r="BU2913">
        <v>-3.35</v>
      </c>
      <c r="BV2913">
        <v>-3.87</v>
      </c>
      <c r="BW2913">
        <v>-3.05</v>
      </c>
      <c r="BX2913">
        <v>-2.73</v>
      </c>
      <c r="BY2913">
        <v>-2.1800000000000002</v>
      </c>
      <c r="BZ2913">
        <v>1.23</v>
      </c>
      <c r="CA2913">
        <v>-2.44</v>
      </c>
      <c r="CB2913">
        <v>-3.07</v>
      </c>
      <c r="CC2913">
        <v>-0.47</v>
      </c>
      <c r="CD2913">
        <v>3.71</v>
      </c>
      <c r="CE2913">
        <v>-2.79</v>
      </c>
      <c r="CF2913">
        <v>-1.35</v>
      </c>
      <c r="CG2913">
        <v>0</v>
      </c>
      <c r="CH2913">
        <v>-2.85</v>
      </c>
      <c r="CI2913">
        <v>0</v>
      </c>
      <c r="CJ2913">
        <v>3.7</v>
      </c>
      <c r="CK2913">
        <v>97</v>
      </c>
      <c r="CL2913">
        <v>0.45</v>
      </c>
      <c r="CM2913">
        <v>96</v>
      </c>
      <c r="CN2913">
        <v>-0.11</v>
      </c>
      <c r="CO2913">
        <v>96</v>
      </c>
      <c r="CP2913">
        <v>4.5</v>
      </c>
      <c r="CQ2913">
        <v>92</v>
      </c>
      <c r="CR2913">
        <v>0</v>
      </c>
      <c r="CS2913">
        <v>0</v>
      </c>
      <c r="CT2913">
        <v>13.5</v>
      </c>
      <c r="CU2913">
        <v>90</v>
      </c>
      <c r="CV2913">
        <v>7.0000000000000007E-2</v>
      </c>
      <c r="CW2913">
        <v>45</v>
      </c>
      <c r="CX2913" t="s">
        <v>6581</v>
      </c>
    </row>
    <row r="2914" spans="1:102" x14ac:dyDescent="0.3">
      <c r="A2914" t="str">
        <f>HYPERLINK("https://webapp.icbf.com/v2/app/bull-search/view/77858776","DAI")</f>
        <v>DAI</v>
      </c>
      <c r="B2914" t="s">
        <v>3758</v>
      </c>
      <c r="C2914" t="s">
        <v>3759</v>
      </c>
      <c r="D2914" s="1">
        <v>32347</v>
      </c>
      <c r="E2914" t="s">
        <v>92</v>
      </c>
      <c r="F2914">
        <v>100</v>
      </c>
      <c r="G2914" t="s">
        <v>93</v>
      </c>
      <c r="H2914">
        <v>3.01</v>
      </c>
      <c r="I2914">
        <v>80</v>
      </c>
      <c r="J2914">
        <v>14.18</v>
      </c>
      <c r="K2914">
        <v>90</v>
      </c>
      <c r="L2914">
        <v>-11.46</v>
      </c>
      <c r="M2914">
        <v>84</v>
      </c>
      <c r="N2914">
        <v>-5.26</v>
      </c>
      <c r="O2914">
        <v>70</v>
      </c>
      <c r="P2914">
        <v>-7.08</v>
      </c>
      <c r="Q2914">
        <v>71</v>
      </c>
      <c r="R2914">
        <v>-3.9</v>
      </c>
      <c r="S2914">
        <v>67</v>
      </c>
      <c r="T2914">
        <v>20.34</v>
      </c>
      <c r="U2914">
        <v>72</v>
      </c>
      <c r="V2914">
        <v>-3.81</v>
      </c>
      <c r="W2914">
        <v>31</v>
      </c>
      <c r="X2914" t="s">
        <v>110</v>
      </c>
      <c r="Y2914" t="s">
        <v>95</v>
      </c>
      <c r="Z2914" t="s">
        <v>96</v>
      </c>
      <c r="AA2914" t="s">
        <v>3760</v>
      </c>
      <c r="AB2914" t="s">
        <v>3761</v>
      </c>
      <c r="AC2914">
        <v>50</v>
      </c>
      <c r="AD2914">
        <v>12</v>
      </c>
      <c r="AE2914">
        <v>90</v>
      </c>
      <c r="AF2914">
        <v>280.89</v>
      </c>
      <c r="AG2914">
        <v>3.45</v>
      </c>
      <c r="AH2914">
        <v>5.49</v>
      </c>
      <c r="AI2914">
        <v>-0.12</v>
      </c>
      <c r="AJ2914">
        <v>-7.0000000000000007E-2</v>
      </c>
      <c r="AK2914">
        <v>84</v>
      </c>
      <c r="AL2914">
        <v>52</v>
      </c>
      <c r="AM2914">
        <v>18</v>
      </c>
      <c r="AN2914">
        <v>1.68</v>
      </c>
      <c r="AO2914">
        <v>0.78</v>
      </c>
      <c r="AP2914">
        <v>50</v>
      </c>
      <c r="AQ2914">
        <v>1</v>
      </c>
      <c r="AR2914">
        <v>6.97</v>
      </c>
      <c r="AS2914">
        <v>39</v>
      </c>
      <c r="AT2914">
        <v>2.9</v>
      </c>
      <c r="AU2914">
        <v>88</v>
      </c>
      <c r="AV2914">
        <v>1.29</v>
      </c>
      <c r="AW2914">
        <v>81</v>
      </c>
      <c r="AX2914">
        <v>-0.64</v>
      </c>
      <c r="AY2914">
        <v>64</v>
      </c>
      <c r="AZ2914">
        <v>6.24</v>
      </c>
      <c r="BA2914">
        <v>26</v>
      </c>
      <c r="BB2914">
        <v>5.0999999999999996</v>
      </c>
      <c r="BC2914">
        <v>36</v>
      </c>
      <c r="BD2914">
        <v>0.04</v>
      </c>
      <c r="BE2914">
        <v>7.0000000000000007E-2</v>
      </c>
      <c r="BF2914">
        <v>-0.11</v>
      </c>
      <c r="BG2914">
        <v>88</v>
      </c>
      <c r="BH2914">
        <v>0.01</v>
      </c>
      <c r="BI2914">
        <v>13.45</v>
      </c>
      <c r="BJ2914">
        <v>2</v>
      </c>
      <c r="BK2914">
        <v>2</v>
      </c>
      <c r="BL2914">
        <v>-0.02</v>
      </c>
      <c r="BM2914">
        <v>-1.19</v>
      </c>
      <c r="BN2914">
        <v>-1.67</v>
      </c>
      <c r="BO2914">
        <v>-0.12</v>
      </c>
      <c r="BP2914">
        <v>0.54</v>
      </c>
      <c r="BQ2914">
        <v>0.02</v>
      </c>
      <c r="BR2914">
        <v>-0.41</v>
      </c>
      <c r="BS2914">
        <v>-0.51</v>
      </c>
      <c r="BT2914">
        <v>-0.32</v>
      </c>
      <c r="BU2914">
        <v>-7.0000000000000007E-2</v>
      </c>
      <c r="BV2914">
        <v>1.49</v>
      </c>
      <c r="BW2914">
        <v>1.18</v>
      </c>
      <c r="BX2914">
        <v>0.81</v>
      </c>
      <c r="BY2914">
        <v>-0.09</v>
      </c>
      <c r="BZ2914">
        <v>0.46</v>
      </c>
      <c r="CA2914">
        <v>0.41</v>
      </c>
      <c r="CB2914">
        <v>0.61</v>
      </c>
      <c r="CC2914">
        <v>-0.4</v>
      </c>
      <c r="CD2914">
        <v>-0.25</v>
      </c>
      <c r="CE2914">
        <v>-0.08</v>
      </c>
      <c r="CF2914">
        <v>-0.94</v>
      </c>
      <c r="CG2914">
        <v>0</v>
      </c>
      <c r="CH2914">
        <v>0.02</v>
      </c>
      <c r="CI2914">
        <v>0</v>
      </c>
      <c r="CJ2914">
        <v>-3.3</v>
      </c>
      <c r="CK2914">
        <v>72</v>
      </c>
      <c r="CL2914">
        <v>-0.21</v>
      </c>
      <c r="CM2914">
        <v>68</v>
      </c>
      <c r="CN2914">
        <v>-0.14000000000000001</v>
      </c>
      <c r="CO2914">
        <v>63</v>
      </c>
      <c r="CP2914">
        <v>-13.3</v>
      </c>
      <c r="CQ2914">
        <v>81</v>
      </c>
      <c r="CR2914">
        <v>0</v>
      </c>
      <c r="CS2914">
        <v>0</v>
      </c>
      <c r="CT2914">
        <v>-13.7</v>
      </c>
      <c r="CU2914">
        <v>72</v>
      </c>
      <c r="CV2914">
        <v>-0.01</v>
      </c>
      <c r="CW2914">
        <v>19</v>
      </c>
      <c r="CX2914" t="s">
        <v>663</v>
      </c>
    </row>
    <row r="2915" spans="1:102" x14ac:dyDescent="0.3">
      <c r="A2915" t="str">
        <f>HYPERLINK("https://webapp.icbf.com/v2/app/bull-search/view/1596483555","MO4457")</f>
        <v>MO4457</v>
      </c>
      <c r="B2915" t="s">
        <v>6396</v>
      </c>
      <c r="C2915" t="s">
        <v>6397</v>
      </c>
      <c r="D2915" s="1">
        <v>42163</v>
      </c>
      <c r="E2915" t="s">
        <v>140</v>
      </c>
      <c r="F2915">
        <v>0</v>
      </c>
      <c r="G2915" t="s">
        <v>435</v>
      </c>
      <c r="H2915">
        <v>3.01</v>
      </c>
      <c r="I2915">
        <v>55</v>
      </c>
      <c r="J2915">
        <v>-19.07</v>
      </c>
      <c r="K2915">
        <v>71</v>
      </c>
      <c r="L2915">
        <v>19.09</v>
      </c>
      <c r="M2915">
        <v>49</v>
      </c>
      <c r="N2915">
        <v>-7.4</v>
      </c>
      <c r="O2915">
        <v>65</v>
      </c>
      <c r="P2915">
        <v>15.93</v>
      </c>
      <c r="Q2915">
        <v>32</v>
      </c>
      <c r="R2915">
        <v>0.93</v>
      </c>
      <c r="S2915">
        <v>48</v>
      </c>
      <c r="T2915">
        <v>5.0199999999999996</v>
      </c>
      <c r="U2915">
        <v>31</v>
      </c>
      <c r="V2915">
        <v>-11.49</v>
      </c>
      <c r="W2915">
        <v>47</v>
      </c>
      <c r="X2915" t="s">
        <v>102</v>
      </c>
      <c r="Y2915" t="s">
        <v>2384</v>
      </c>
      <c r="Z2915">
        <v>0</v>
      </c>
      <c r="AA2915" t="s">
        <v>6398</v>
      </c>
      <c r="AB2915" t="s">
        <v>6399</v>
      </c>
      <c r="AC2915">
        <v>0</v>
      </c>
      <c r="AD2915">
        <v>0</v>
      </c>
      <c r="AE2915">
        <v>71</v>
      </c>
      <c r="AF2915">
        <v>-196.05</v>
      </c>
      <c r="AG2915">
        <v>-7.36</v>
      </c>
      <c r="AH2915">
        <v>-3.64</v>
      </c>
      <c r="AI2915">
        <v>0</v>
      </c>
      <c r="AJ2915">
        <v>0.06</v>
      </c>
      <c r="AK2915">
        <v>49</v>
      </c>
      <c r="AL2915">
        <v>0</v>
      </c>
      <c r="AM2915">
        <v>0</v>
      </c>
      <c r="AN2915">
        <v>-1.2</v>
      </c>
      <c r="AO2915">
        <v>0.32</v>
      </c>
      <c r="AP2915">
        <v>59</v>
      </c>
      <c r="AQ2915">
        <v>0</v>
      </c>
      <c r="AR2915">
        <v>7.4</v>
      </c>
      <c r="AS2915">
        <v>43</v>
      </c>
      <c r="AT2915">
        <v>4.18</v>
      </c>
      <c r="AU2915">
        <v>66</v>
      </c>
      <c r="AV2915">
        <v>0.41</v>
      </c>
      <c r="AW2915">
        <v>86</v>
      </c>
      <c r="AX2915">
        <v>-0.23</v>
      </c>
      <c r="AY2915">
        <v>52</v>
      </c>
      <c r="AZ2915">
        <v>5.77</v>
      </c>
      <c r="BA2915">
        <v>29</v>
      </c>
      <c r="BB2915">
        <v>4.21</v>
      </c>
      <c r="BC2915">
        <v>29</v>
      </c>
      <c r="BD2915">
        <v>0.01</v>
      </c>
      <c r="BE2915">
        <v>-0.02</v>
      </c>
      <c r="BF2915">
        <v>0</v>
      </c>
      <c r="BG2915">
        <v>52</v>
      </c>
      <c r="BH2915">
        <v>-0.3</v>
      </c>
      <c r="BI2915">
        <v>2.37</v>
      </c>
      <c r="BJ2915">
        <v>0</v>
      </c>
      <c r="BK2915">
        <v>0</v>
      </c>
      <c r="BL2915">
        <v>-0.65</v>
      </c>
      <c r="BM2915">
        <v>2.56</v>
      </c>
      <c r="BN2915">
        <v>-1.23</v>
      </c>
      <c r="BO2915">
        <v>-2.21</v>
      </c>
      <c r="BP2915">
        <v>3.13</v>
      </c>
      <c r="BQ2915">
        <v>-1.51</v>
      </c>
      <c r="BR2915">
        <v>-1.93</v>
      </c>
      <c r="BS2915">
        <v>-0.24</v>
      </c>
      <c r="BT2915">
        <v>1.85</v>
      </c>
      <c r="BU2915">
        <v>-2.56</v>
      </c>
      <c r="BV2915">
        <v>-2.85</v>
      </c>
      <c r="BW2915">
        <v>-2.2000000000000002</v>
      </c>
      <c r="BX2915">
        <v>-2.13</v>
      </c>
      <c r="BY2915">
        <v>-1.43</v>
      </c>
      <c r="BZ2915">
        <v>0.93</v>
      </c>
      <c r="CA2915">
        <v>-1.82</v>
      </c>
      <c r="CB2915">
        <v>-2.33</v>
      </c>
      <c r="CC2915">
        <v>-0.28000000000000003</v>
      </c>
      <c r="CD2915">
        <v>2.85</v>
      </c>
      <c r="CE2915">
        <v>-2.16</v>
      </c>
      <c r="CF2915">
        <v>-0.85</v>
      </c>
      <c r="CG2915">
        <v>0</v>
      </c>
      <c r="CH2915">
        <v>-1.95</v>
      </c>
      <c r="CI2915">
        <v>0</v>
      </c>
      <c r="CJ2915">
        <v>6.5</v>
      </c>
      <c r="CK2915">
        <v>32</v>
      </c>
      <c r="CL2915">
        <v>0.34</v>
      </c>
      <c r="CM2915">
        <v>31</v>
      </c>
      <c r="CN2915">
        <v>-0.27</v>
      </c>
      <c r="CO2915">
        <v>31</v>
      </c>
      <c r="CP2915">
        <v>1.9</v>
      </c>
      <c r="CQ2915">
        <v>31</v>
      </c>
      <c r="CR2915">
        <v>0</v>
      </c>
      <c r="CS2915">
        <v>0</v>
      </c>
      <c r="CT2915">
        <v>7</v>
      </c>
      <c r="CU2915">
        <v>31</v>
      </c>
      <c r="CV2915">
        <v>0.15</v>
      </c>
      <c r="CW2915">
        <v>31</v>
      </c>
      <c r="CX2915" t="s">
        <v>6400</v>
      </c>
    </row>
    <row r="2916" spans="1:102" x14ac:dyDescent="0.3">
      <c r="A2916" t="str">
        <f>HYPERLINK("https://webapp.icbf.com/v2/app/bull-search/view/883557365","FDR")</f>
        <v>FDR</v>
      </c>
      <c r="B2916" t="s">
        <v>14669</v>
      </c>
      <c r="C2916" t="s">
        <v>14670</v>
      </c>
      <c r="D2916" s="1">
        <v>37855</v>
      </c>
      <c r="E2916" t="s">
        <v>1061</v>
      </c>
      <c r="F2916">
        <v>25</v>
      </c>
      <c r="G2916" t="s">
        <v>116</v>
      </c>
      <c r="H2916">
        <v>2.96</v>
      </c>
      <c r="I2916">
        <v>43</v>
      </c>
      <c r="J2916">
        <v>12.08</v>
      </c>
      <c r="K2916">
        <v>63</v>
      </c>
      <c r="L2916">
        <v>3.12</v>
      </c>
      <c r="M2916">
        <v>28</v>
      </c>
      <c r="N2916">
        <v>-13.84</v>
      </c>
      <c r="O2916">
        <v>38</v>
      </c>
      <c r="P2916">
        <v>-4.17</v>
      </c>
      <c r="Q2916">
        <v>47</v>
      </c>
      <c r="R2916">
        <v>-0.25</v>
      </c>
      <c r="S2916">
        <v>24</v>
      </c>
      <c r="T2916">
        <v>9.61</v>
      </c>
      <c r="U2916">
        <v>47</v>
      </c>
      <c r="V2916">
        <v>-3.59</v>
      </c>
      <c r="W2916">
        <v>13</v>
      </c>
      <c r="X2916" t="s">
        <v>1645</v>
      </c>
      <c r="Y2916" t="s">
        <v>1756</v>
      </c>
      <c r="Z2916">
        <v>0</v>
      </c>
      <c r="AA2916" t="s">
        <v>11472</v>
      </c>
      <c r="AB2916" t="s">
        <v>14671</v>
      </c>
      <c r="AC2916">
        <v>9</v>
      </c>
      <c r="AD2916">
        <v>6</v>
      </c>
      <c r="AE2916">
        <v>63</v>
      </c>
      <c r="AF2916">
        <v>-89.08</v>
      </c>
      <c r="AG2916">
        <v>2.04</v>
      </c>
      <c r="AH2916">
        <v>-0.03</v>
      </c>
      <c r="AI2916">
        <v>0.09</v>
      </c>
      <c r="AJ2916">
        <v>0.05</v>
      </c>
      <c r="AK2916">
        <v>28</v>
      </c>
      <c r="AL2916">
        <v>16</v>
      </c>
      <c r="AM2916">
        <v>7</v>
      </c>
      <c r="AN2916">
        <v>-0.05</v>
      </c>
      <c r="AO2916">
        <v>0.2</v>
      </c>
      <c r="AP2916">
        <v>11</v>
      </c>
      <c r="AQ2916">
        <v>0</v>
      </c>
      <c r="AR2916">
        <v>6.52</v>
      </c>
      <c r="AS2916">
        <v>11</v>
      </c>
      <c r="AT2916">
        <v>2.82</v>
      </c>
      <c r="AU2916">
        <v>28</v>
      </c>
      <c r="AV2916">
        <v>2.0299999999999998</v>
      </c>
      <c r="AW2916">
        <v>61</v>
      </c>
      <c r="AX2916">
        <v>-0.31</v>
      </c>
      <c r="AY2916">
        <v>34</v>
      </c>
      <c r="AZ2916">
        <v>7.35</v>
      </c>
      <c r="BA2916">
        <v>12</v>
      </c>
      <c r="BB2916">
        <v>5.47</v>
      </c>
      <c r="BC2916">
        <v>11</v>
      </c>
      <c r="BD2916">
        <v>0.01</v>
      </c>
      <c r="BE2916">
        <v>0.01</v>
      </c>
      <c r="BF2916">
        <v>-0.03</v>
      </c>
      <c r="BG2916">
        <v>30</v>
      </c>
      <c r="BH2916">
        <v>-0.06</v>
      </c>
      <c r="BI2916">
        <v>4.6500000000000004</v>
      </c>
      <c r="BJ2916">
        <v>0</v>
      </c>
      <c r="BK2916">
        <v>0</v>
      </c>
      <c r="BL2916">
        <v>-0.4</v>
      </c>
      <c r="BM2916">
        <v>1.1200000000000001</v>
      </c>
      <c r="BN2916">
        <v>0.15</v>
      </c>
      <c r="BO2916">
        <v>-0.77</v>
      </c>
      <c r="BP2916">
        <v>0.43</v>
      </c>
      <c r="BQ2916">
        <v>0.18</v>
      </c>
      <c r="BR2916">
        <v>0.2</v>
      </c>
      <c r="BS2916">
        <v>-0.5</v>
      </c>
      <c r="BT2916">
        <v>-0.52</v>
      </c>
      <c r="BU2916">
        <v>-0.64</v>
      </c>
      <c r="BV2916">
        <v>-1.25</v>
      </c>
      <c r="BW2916">
        <v>-0.87</v>
      </c>
      <c r="BX2916">
        <v>-0.85</v>
      </c>
      <c r="BY2916">
        <v>-0.21</v>
      </c>
      <c r="BZ2916">
        <v>-0.39</v>
      </c>
      <c r="CA2916">
        <v>-0.99</v>
      </c>
      <c r="CB2916">
        <v>-0.81</v>
      </c>
      <c r="CC2916">
        <v>-0.87</v>
      </c>
      <c r="CD2916">
        <v>0.89</v>
      </c>
      <c r="CE2916">
        <v>-0.36</v>
      </c>
      <c r="CF2916">
        <v>0.25</v>
      </c>
      <c r="CG2916">
        <v>0</v>
      </c>
      <c r="CH2916">
        <v>-0.18</v>
      </c>
      <c r="CI2916">
        <v>0</v>
      </c>
      <c r="CJ2916">
        <v>-3.1</v>
      </c>
      <c r="CK2916">
        <v>50</v>
      </c>
      <c r="CL2916">
        <v>-0.2</v>
      </c>
      <c r="CM2916">
        <v>44</v>
      </c>
      <c r="CN2916">
        <v>-0.28000000000000003</v>
      </c>
      <c r="CO2916">
        <v>39</v>
      </c>
      <c r="CP2916">
        <v>-7.4</v>
      </c>
      <c r="CQ2916">
        <v>51</v>
      </c>
      <c r="CR2916">
        <v>0</v>
      </c>
      <c r="CS2916">
        <v>0</v>
      </c>
      <c r="CT2916">
        <v>0.8</v>
      </c>
      <c r="CU2916">
        <v>47</v>
      </c>
      <c r="CV2916">
        <v>-0.11</v>
      </c>
      <c r="CW2916">
        <v>12</v>
      </c>
      <c r="CX2916" t="s">
        <v>2805</v>
      </c>
    </row>
    <row r="2917" spans="1:102" x14ac:dyDescent="0.3">
      <c r="A2917" t="str">
        <f>HYPERLINK("https://webapp.icbf.com/v2/app/bull-search/view/910812960","MO2093")</f>
        <v>MO2093</v>
      </c>
      <c r="B2917" t="s">
        <v>3105</v>
      </c>
      <c r="C2917" t="s">
        <v>3106</v>
      </c>
      <c r="D2917" s="1">
        <v>39298</v>
      </c>
      <c r="E2917" t="s">
        <v>140</v>
      </c>
      <c r="F2917">
        <v>0</v>
      </c>
      <c r="G2917" t="s">
        <v>109</v>
      </c>
      <c r="H2917">
        <v>2.84</v>
      </c>
      <c r="I2917">
        <v>50</v>
      </c>
      <c r="J2917">
        <v>19.68</v>
      </c>
      <c r="K2917">
        <v>76</v>
      </c>
      <c r="L2917">
        <v>-19.04</v>
      </c>
      <c r="M2917">
        <v>30</v>
      </c>
      <c r="N2917">
        <v>-17.239999999999998</v>
      </c>
      <c r="O2917">
        <v>56</v>
      </c>
      <c r="P2917">
        <v>29.94</v>
      </c>
      <c r="Q2917">
        <v>50</v>
      </c>
      <c r="R2917">
        <v>7.99</v>
      </c>
      <c r="S2917">
        <v>28</v>
      </c>
      <c r="T2917">
        <v>-9.6300000000000008</v>
      </c>
      <c r="U2917">
        <v>40</v>
      </c>
      <c r="V2917">
        <v>-8.86</v>
      </c>
      <c r="W2917">
        <v>28</v>
      </c>
      <c r="X2917" t="s">
        <v>94</v>
      </c>
      <c r="Y2917" t="s">
        <v>422</v>
      </c>
      <c r="Z2917">
        <v>0</v>
      </c>
      <c r="AA2917" t="s">
        <v>2101</v>
      </c>
      <c r="AB2917" t="s">
        <v>3107</v>
      </c>
      <c r="AC2917">
        <v>0</v>
      </c>
      <c r="AD2917">
        <v>0</v>
      </c>
      <c r="AE2917">
        <v>76</v>
      </c>
      <c r="AF2917">
        <v>53.9</v>
      </c>
      <c r="AG2917">
        <v>1.73</v>
      </c>
      <c r="AH2917">
        <v>3.56</v>
      </c>
      <c r="AI2917">
        <v>-0.01</v>
      </c>
      <c r="AJ2917">
        <v>0.03</v>
      </c>
      <c r="AK2917">
        <v>30</v>
      </c>
      <c r="AL2917">
        <v>0</v>
      </c>
      <c r="AM2917">
        <v>0</v>
      </c>
      <c r="AN2917">
        <v>0.94</v>
      </c>
      <c r="AO2917">
        <v>-0.57999999999999996</v>
      </c>
      <c r="AP2917">
        <v>27</v>
      </c>
      <c r="AQ2917">
        <v>0</v>
      </c>
      <c r="AR2917">
        <v>9.52</v>
      </c>
      <c r="AS2917">
        <v>47</v>
      </c>
      <c r="AT2917">
        <v>5.01</v>
      </c>
      <c r="AU2917">
        <v>39</v>
      </c>
      <c r="AV2917">
        <v>-0.48</v>
      </c>
      <c r="AW2917">
        <v>83</v>
      </c>
      <c r="AX2917">
        <v>-0.37</v>
      </c>
      <c r="AY2917">
        <v>51</v>
      </c>
      <c r="AZ2917">
        <v>6.02</v>
      </c>
      <c r="BA2917">
        <v>24</v>
      </c>
      <c r="BB2917">
        <v>4.37</v>
      </c>
      <c r="BC2917">
        <v>24</v>
      </c>
      <c r="BD2917">
        <v>0.02</v>
      </c>
      <c r="BE2917">
        <v>-0.03</v>
      </c>
      <c r="BF2917">
        <v>-0.16</v>
      </c>
      <c r="BG2917">
        <v>32</v>
      </c>
      <c r="BH2917">
        <v>-0.27</v>
      </c>
      <c r="BI2917">
        <v>-2.66</v>
      </c>
      <c r="BJ2917">
        <v>0</v>
      </c>
      <c r="BK2917">
        <v>0</v>
      </c>
      <c r="BL2917">
        <v>-0.84</v>
      </c>
      <c r="BM2917">
        <v>3.55</v>
      </c>
      <c r="BN2917">
        <v>-1.62</v>
      </c>
      <c r="BO2917">
        <v>-3.02</v>
      </c>
      <c r="BP2917">
        <v>4.2300000000000004</v>
      </c>
      <c r="BQ2917">
        <v>-2.02</v>
      </c>
      <c r="BR2917">
        <v>-2.57</v>
      </c>
      <c r="BS2917">
        <v>-0.37</v>
      </c>
      <c r="BT2917">
        <v>2.48</v>
      </c>
      <c r="BU2917">
        <v>-3.29</v>
      </c>
      <c r="BV2917">
        <v>-3.67</v>
      </c>
      <c r="BW2917">
        <v>-2.8</v>
      </c>
      <c r="BX2917">
        <v>-2.69</v>
      </c>
      <c r="BY2917">
        <v>-2.0499999999999998</v>
      </c>
      <c r="BZ2917">
        <v>0.98</v>
      </c>
      <c r="CA2917">
        <v>-2.36</v>
      </c>
      <c r="CB2917">
        <v>-3.02</v>
      </c>
      <c r="CC2917">
        <v>-0.4</v>
      </c>
      <c r="CD2917">
        <v>3.92</v>
      </c>
      <c r="CE2917">
        <v>-3.01</v>
      </c>
      <c r="CF2917">
        <v>-1.0900000000000001</v>
      </c>
      <c r="CG2917">
        <v>0</v>
      </c>
      <c r="CH2917">
        <v>-2.6</v>
      </c>
      <c r="CI2917">
        <v>0</v>
      </c>
      <c r="CJ2917">
        <v>14</v>
      </c>
      <c r="CK2917">
        <v>54</v>
      </c>
      <c r="CL2917">
        <v>0.23</v>
      </c>
      <c r="CM2917">
        <v>46</v>
      </c>
      <c r="CN2917">
        <v>-0.47</v>
      </c>
      <c r="CO2917">
        <v>45</v>
      </c>
      <c r="CP2917">
        <v>18.3</v>
      </c>
      <c r="CQ2917">
        <v>39</v>
      </c>
      <c r="CR2917">
        <v>0</v>
      </c>
      <c r="CS2917">
        <v>0</v>
      </c>
      <c r="CT2917">
        <v>26.8</v>
      </c>
      <c r="CU2917">
        <v>40</v>
      </c>
      <c r="CV2917">
        <v>0.08</v>
      </c>
      <c r="CW2917">
        <v>15</v>
      </c>
      <c r="CX2917" t="s">
        <v>3108</v>
      </c>
    </row>
    <row r="2918" spans="1:102" x14ac:dyDescent="0.3">
      <c r="A2918" t="str">
        <f>HYPERLINK("https://webapp.icbf.com/v2/app/bull-search/view/1097416829","MO2285")</f>
        <v>MO2285</v>
      </c>
      <c r="B2918" t="s">
        <v>14919</v>
      </c>
      <c r="C2918" t="s">
        <v>13803</v>
      </c>
      <c r="D2918" s="1">
        <v>39427</v>
      </c>
      <c r="E2918" t="s">
        <v>140</v>
      </c>
      <c r="F2918">
        <v>0</v>
      </c>
      <c r="G2918" t="s">
        <v>109</v>
      </c>
      <c r="H2918">
        <v>2.81</v>
      </c>
      <c r="I2918">
        <v>77</v>
      </c>
      <c r="J2918">
        <v>41.12</v>
      </c>
      <c r="K2918">
        <v>93</v>
      </c>
      <c r="L2918">
        <v>-28.23</v>
      </c>
      <c r="M2918">
        <v>65</v>
      </c>
      <c r="N2918">
        <v>-37.28</v>
      </c>
      <c r="O2918">
        <v>79</v>
      </c>
      <c r="P2918">
        <v>27.21</v>
      </c>
      <c r="Q2918">
        <v>89</v>
      </c>
      <c r="R2918">
        <v>6.58</v>
      </c>
      <c r="S2918">
        <v>67</v>
      </c>
      <c r="T2918">
        <v>9.76</v>
      </c>
      <c r="U2918">
        <v>61</v>
      </c>
      <c r="V2918">
        <v>-16.350000000000001</v>
      </c>
      <c r="W2918">
        <v>60</v>
      </c>
      <c r="X2918" t="s">
        <v>102</v>
      </c>
      <c r="Y2918" t="s">
        <v>422</v>
      </c>
      <c r="Z2918">
        <v>0</v>
      </c>
      <c r="AA2918" t="s">
        <v>7250</v>
      </c>
      <c r="AB2918" t="s">
        <v>14920</v>
      </c>
      <c r="AC2918">
        <v>0</v>
      </c>
      <c r="AD2918">
        <v>0</v>
      </c>
      <c r="AE2918">
        <v>93</v>
      </c>
      <c r="AF2918">
        <v>179.97</v>
      </c>
      <c r="AG2918">
        <v>6.75</v>
      </c>
      <c r="AH2918">
        <v>7.36</v>
      </c>
      <c r="AI2918">
        <v>-0.01</v>
      </c>
      <c r="AJ2918">
        <v>0.02</v>
      </c>
      <c r="AK2918">
        <v>65</v>
      </c>
      <c r="AL2918">
        <v>22</v>
      </c>
      <c r="AM2918">
        <v>1</v>
      </c>
      <c r="AN2918">
        <v>2.4300000000000002</v>
      </c>
      <c r="AO2918">
        <v>0.19</v>
      </c>
      <c r="AP2918">
        <v>242</v>
      </c>
      <c r="AQ2918">
        <v>1</v>
      </c>
      <c r="AR2918">
        <v>10.64</v>
      </c>
      <c r="AS2918">
        <v>61</v>
      </c>
      <c r="AT2918">
        <v>5.79</v>
      </c>
      <c r="AU2918">
        <v>87</v>
      </c>
      <c r="AV2918">
        <v>0.46</v>
      </c>
      <c r="AW2918">
        <v>96</v>
      </c>
      <c r="AX2918">
        <v>-0.21</v>
      </c>
      <c r="AY2918">
        <v>84</v>
      </c>
      <c r="AZ2918">
        <v>5.18</v>
      </c>
      <c r="BA2918">
        <v>45</v>
      </c>
      <c r="BB2918">
        <v>4.1500000000000004</v>
      </c>
      <c r="BC2918">
        <v>31</v>
      </c>
      <c r="BD2918">
        <v>0.04</v>
      </c>
      <c r="BE2918">
        <v>-0.02</v>
      </c>
      <c r="BF2918">
        <v>-0.18</v>
      </c>
      <c r="BG2918">
        <v>78</v>
      </c>
      <c r="BH2918">
        <v>-0.44</v>
      </c>
      <c r="BI2918">
        <v>1.83</v>
      </c>
      <c r="BJ2918">
        <v>0</v>
      </c>
      <c r="BK2918">
        <v>0</v>
      </c>
      <c r="BL2918">
        <v>-0.83</v>
      </c>
      <c r="BM2918">
        <v>3.38</v>
      </c>
      <c r="BN2918">
        <v>-1.56</v>
      </c>
      <c r="BO2918">
        <v>-2.9</v>
      </c>
      <c r="BP2918">
        <v>3.8</v>
      </c>
      <c r="BQ2918">
        <v>-1.67</v>
      </c>
      <c r="BR2918">
        <v>-2.41</v>
      </c>
      <c r="BS2918">
        <v>-0.31</v>
      </c>
      <c r="BT2918">
        <v>2.34</v>
      </c>
      <c r="BU2918">
        <v>-3.23</v>
      </c>
      <c r="BV2918">
        <v>-3.6</v>
      </c>
      <c r="BW2918">
        <v>-2.74</v>
      </c>
      <c r="BX2918">
        <v>-2.71</v>
      </c>
      <c r="BY2918">
        <v>-1.98</v>
      </c>
      <c r="BZ2918">
        <v>1.1200000000000001</v>
      </c>
      <c r="CA2918">
        <v>-2.3199999999999998</v>
      </c>
      <c r="CB2918">
        <v>-2.93</v>
      </c>
      <c r="CC2918">
        <v>-0.43</v>
      </c>
      <c r="CD2918">
        <v>3.68</v>
      </c>
      <c r="CE2918">
        <v>-2.81</v>
      </c>
      <c r="CF2918">
        <v>-1.07</v>
      </c>
      <c r="CG2918">
        <v>0</v>
      </c>
      <c r="CH2918">
        <v>-2.44</v>
      </c>
      <c r="CI2918">
        <v>0</v>
      </c>
      <c r="CJ2918">
        <v>11.9</v>
      </c>
      <c r="CK2918">
        <v>92</v>
      </c>
      <c r="CL2918">
        <v>0.42</v>
      </c>
      <c r="CM2918">
        <v>90</v>
      </c>
      <c r="CN2918">
        <v>-0.45</v>
      </c>
      <c r="CO2918">
        <v>89</v>
      </c>
      <c r="CP2918">
        <v>7.9</v>
      </c>
      <c r="CQ2918">
        <v>64</v>
      </c>
      <c r="CR2918">
        <v>0</v>
      </c>
      <c r="CS2918">
        <v>0</v>
      </c>
      <c r="CT2918">
        <v>0.6</v>
      </c>
      <c r="CU2918">
        <v>61</v>
      </c>
      <c r="CV2918">
        <v>0.2</v>
      </c>
      <c r="CW2918">
        <v>44</v>
      </c>
      <c r="CX2918" t="s">
        <v>13212</v>
      </c>
    </row>
    <row r="2919" spans="1:102" x14ac:dyDescent="0.3">
      <c r="A2919" t="str">
        <f>HYPERLINK("https://webapp.icbf.com/v2/app/bull-search/view/414149613","KAY")</f>
        <v>KAY</v>
      </c>
      <c r="B2919" t="s">
        <v>11912</v>
      </c>
      <c r="C2919" t="s">
        <v>11913</v>
      </c>
      <c r="D2919" s="1">
        <v>37760</v>
      </c>
      <c r="E2919" t="s">
        <v>146</v>
      </c>
      <c r="F2919">
        <v>0</v>
      </c>
      <c r="G2919" t="s">
        <v>116</v>
      </c>
      <c r="H2919">
        <v>2.78</v>
      </c>
      <c r="I2919">
        <v>49</v>
      </c>
      <c r="J2919">
        <v>-20.68</v>
      </c>
      <c r="K2919">
        <v>55</v>
      </c>
      <c r="L2919">
        <v>-12.27</v>
      </c>
      <c r="M2919">
        <v>39</v>
      </c>
      <c r="N2919">
        <v>21.07</v>
      </c>
      <c r="O2919">
        <v>50</v>
      </c>
      <c r="P2919">
        <v>11.07</v>
      </c>
      <c r="Q2919">
        <v>72</v>
      </c>
      <c r="R2919">
        <v>2.96</v>
      </c>
      <c r="S2919">
        <v>44</v>
      </c>
      <c r="T2919">
        <v>11.9</v>
      </c>
      <c r="U2919">
        <v>52</v>
      </c>
      <c r="V2919">
        <v>-11.27</v>
      </c>
      <c r="W2919">
        <v>39</v>
      </c>
      <c r="X2919" t="s">
        <v>276</v>
      </c>
      <c r="Y2919" t="s">
        <v>1153</v>
      </c>
      <c r="Z2919">
        <v>0</v>
      </c>
      <c r="AA2919" t="s">
        <v>3061</v>
      </c>
      <c r="AB2919" t="s">
        <v>11914</v>
      </c>
      <c r="AC2919">
        <v>4</v>
      </c>
      <c r="AD2919">
        <v>3</v>
      </c>
      <c r="AE2919">
        <v>55</v>
      </c>
      <c r="AF2919">
        <v>-142.56</v>
      </c>
      <c r="AG2919">
        <v>-13.99</v>
      </c>
      <c r="AH2919">
        <v>-0.75</v>
      </c>
      <c r="AI2919">
        <v>-0.14000000000000001</v>
      </c>
      <c r="AJ2919">
        <v>7.0000000000000007E-2</v>
      </c>
      <c r="AK2919">
        <v>39</v>
      </c>
      <c r="AL2919">
        <v>4</v>
      </c>
      <c r="AM2919">
        <v>3</v>
      </c>
      <c r="AN2919">
        <v>2.11</v>
      </c>
      <c r="AO2919">
        <v>1.1499999999999999</v>
      </c>
      <c r="AP2919">
        <v>12</v>
      </c>
      <c r="AQ2919">
        <v>0</v>
      </c>
      <c r="AR2919">
        <v>5.34</v>
      </c>
      <c r="AS2919">
        <v>34</v>
      </c>
      <c r="AT2919">
        <v>2.25</v>
      </c>
      <c r="AU2919">
        <v>57</v>
      </c>
      <c r="AV2919">
        <v>-0.93</v>
      </c>
      <c r="AW2919">
        <v>56</v>
      </c>
      <c r="AX2919">
        <v>0.47</v>
      </c>
      <c r="AY2919">
        <v>52</v>
      </c>
      <c r="AZ2919">
        <v>5.98</v>
      </c>
      <c r="BA2919">
        <v>26</v>
      </c>
      <c r="BB2919">
        <v>4.55</v>
      </c>
      <c r="BC2919">
        <v>32</v>
      </c>
      <c r="BD2919">
        <v>-0.03</v>
      </c>
      <c r="BE2919">
        <v>-0.02</v>
      </c>
      <c r="BF2919">
        <v>0.02</v>
      </c>
      <c r="BG2919">
        <v>52</v>
      </c>
      <c r="BH2919">
        <v>-0.3</v>
      </c>
      <c r="BI2919">
        <v>1.65</v>
      </c>
      <c r="BJ2919">
        <v>0</v>
      </c>
      <c r="BK2919">
        <v>0</v>
      </c>
      <c r="BL2919">
        <v>-2</v>
      </c>
      <c r="BM2919">
        <v>2.23</v>
      </c>
      <c r="BN2919">
        <v>-1.35</v>
      </c>
      <c r="BO2919">
        <v>-1.59</v>
      </c>
      <c r="BP2919">
        <v>4.78</v>
      </c>
      <c r="BQ2919">
        <v>-0.1</v>
      </c>
      <c r="BR2919">
        <v>-0.94</v>
      </c>
      <c r="BS2919">
        <v>-0.6</v>
      </c>
      <c r="BT2919">
        <v>0.3</v>
      </c>
      <c r="BU2919">
        <v>-1</v>
      </c>
      <c r="BV2919">
        <v>-1.98</v>
      </c>
      <c r="BW2919">
        <v>-3.21</v>
      </c>
      <c r="BX2919">
        <v>-0.66</v>
      </c>
      <c r="BY2919">
        <v>-1.7</v>
      </c>
      <c r="BZ2919">
        <v>0.87</v>
      </c>
      <c r="CA2919">
        <v>-1.53</v>
      </c>
      <c r="CB2919">
        <v>-1.47</v>
      </c>
      <c r="CC2919">
        <v>-0.92</v>
      </c>
      <c r="CD2919">
        <v>2.7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3.8</v>
      </c>
      <c r="CK2919">
        <v>74</v>
      </c>
      <c r="CL2919">
        <v>0.47</v>
      </c>
      <c r="CM2919">
        <v>71</v>
      </c>
      <c r="CN2919">
        <v>-0.1</v>
      </c>
      <c r="CO2919">
        <v>69</v>
      </c>
      <c r="CP2919">
        <v>-1.3</v>
      </c>
      <c r="CQ2919">
        <v>61</v>
      </c>
      <c r="CR2919">
        <v>0</v>
      </c>
      <c r="CS2919">
        <v>0</v>
      </c>
      <c r="CT2919">
        <v>-2.2999999999999998</v>
      </c>
      <c r="CU2919">
        <v>52</v>
      </c>
      <c r="CV2919">
        <v>-0.19</v>
      </c>
      <c r="CW2919">
        <v>20</v>
      </c>
      <c r="CX2919" t="s">
        <v>236</v>
      </c>
    </row>
    <row r="2920" spans="1:102" x14ac:dyDescent="0.3">
      <c r="A2920" t="str">
        <f>HYPERLINK("https://webapp.icbf.com/v2/app/bull-search/view/487000207","SCJ")</f>
        <v>SCJ</v>
      </c>
      <c r="B2920" t="s">
        <v>7107</v>
      </c>
      <c r="C2920" t="s">
        <v>7108</v>
      </c>
      <c r="D2920" s="1">
        <v>38594</v>
      </c>
      <c r="E2920" t="s">
        <v>108</v>
      </c>
      <c r="F2920">
        <v>25</v>
      </c>
      <c r="G2920" t="s">
        <v>93</v>
      </c>
      <c r="H2920">
        <v>2.66</v>
      </c>
      <c r="I2920">
        <v>95</v>
      </c>
      <c r="J2920">
        <v>37.17</v>
      </c>
      <c r="K2920">
        <v>99</v>
      </c>
      <c r="L2920">
        <v>-26.45</v>
      </c>
      <c r="M2920">
        <v>91</v>
      </c>
      <c r="N2920">
        <v>-25.89</v>
      </c>
      <c r="O2920">
        <v>95</v>
      </c>
      <c r="P2920">
        <v>-17.27</v>
      </c>
      <c r="Q2920">
        <v>98</v>
      </c>
      <c r="R2920">
        <v>4.12</v>
      </c>
      <c r="S2920">
        <v>93</v>
      </c>
      <c r="T2920">
        <v>28.33</v>
      </c>
      <c r="U2920">
        <v>98</v>
      </c>
      <c r="V2920">
        <v>2.65</v>
      </c>
      <c r="W2920">
        <v>95</v>
      </c>
      <c r="X2920" t="s">
        <v>276</v>
      </c>
      <c r="Y2920" t="s">
        <v>435</v>
      </c>
      <c r="Z2920" t="s">
        <v>330</v>
      </c>
      <c r="AA2920" t="s">
        <v>4822</v>
      </c>
      <c r="AB2920" t="s">
        <v>144</v>
      </c>
      <c r="AC2920">
        <v>481</v>
      </c>
      <c r="AD2920">
        <v>224</v>
      </c>
      <c r="AE2920">
        <v>99</v>
      </c>
      <c r="AF2920">
        <v>111.07</v>
      </c>
      <c r="AG2920">
        <v>-2.74</v>
      </c>
      <c r="AH2920">
        <v>8.99</v>
      </c>
      <c r="AI2920">
        <v>-0.12</v>
      </c>
      <c r="AJ2920">
        <v>0.09</v>
      </c>
      <c r="AK2920">
        <v>91</v>
      </c>
      <c r="AL2920">
        <v>498</v>
      </c>
      <c r="AM2920">
        <v>220</v>
      </c>
      <c r="AN2920">
        <v>1.37</v>
      </c>
      <c r="AO2920">
        <v>-0.74</v>
      </c>
      <c r="AP2920">
        <v>1036</v>
      </c>
      <c r="AQ2920">
        <v>8</v>
      </c>
      <c r="AR2920">
        <v>11.76</v>
      </c>
      <c r="AS2920">
        <v>87</v>
      </c>
      <c r="AT2920">
        <v>4.04</v>
      </c>
      <c r="AU2920">
        <v>97</v>
      </c>
      <c r="AV2920">
        <v>0.16</v>
      </c>
      <c r="AW2920">
        <v>99</v>
      </c>
      <c r="AX2920">
        <v>0.77</v>
      </c>
      <c r="AY2920">
        <v>95</v>
      </c>
      <c r="AZ2920">
        <v>6.74</v>
      </c>
      <c r="BA2920">
        <v>87</v>
      </c>
      <c r="BB2920">
        <v>5.0199999999999996</v>
      </c>
      <c r="BC2920">
        <v>88</v>
      </c>
      <c r="BD2920">
        <v>-7.0000000000000007E-2</v>
      </c>
      <c r="BE2920">
        <v>-0.02</v>
      </c>
      <c r="BF2920">
        <v>0.06</v>
      </c>
      <c r="BG2920">
        <v>97</v>
      </c>
      <c r="BH2920">
        <v>0</v>
      </c>
      <c r="BI2920">
        <v>-8.5500000000000007</v>
      </c>
      <c r="BJ2920">
        <v>10</v>
      </c>
      <c r="BK2920">
        <v>6</v>
      </c>
      <c r="BL2920">
        <v>-2.02</v>
      </c>
      <c r="BM2920">
        <v>-0.6</v>
      </c>
      <c r="BN2920">
        <v>-1.66</v>
      </c>
      <c r="BO2920">
        <v>-2.1800000000000002</v>
      </c>
      <c r="BP2920">
        <v>-0.72</v>
      </c>
      <c r="BQ2920">
        <v>-1.37</v>
      </c>
      <c r="BR2920">
        <v>2.41</v>
      </c>
      <c r="BS2920">
        <v>-2.48</v>
      </c>
      <c r="BT2920">
        <v>-2.34</v>
      </c>
      <c r="BU2920">
        <v>-1.75</v>
      </c>
      <c r="BV2920">
        <v>-1.83</v>
      </c>
      <c r="BW2920">
        <v>-2.5499999999999998</v>
      </c>
      <c r="BX2920">
        <v>-2.1</v>
      </c>
      <c r="BY2920">
        <v>-1.74</v>
      </c>
      <c r="BZ2920">
        <v>2.14</v>
      </c>
      <c r="CA2920">
        <v>-2.4900000000000002</v>
      </c>
      <c r="CB2920">
        <v>-1.97</v>
      </c>
      <c r="CC2920">
        <v>-2.86</v>
      </c>
      <c r="CD2920">
        <v>1.65</v>
      </c>
      <c r="CE2920">
        <v>-2.2400000000000002</v>
      </c>
      <c r="CF2920">
        <v>-1.81</v>
      </c>
      <c r="CG2920">
        <v>0</v>
      </c>
      <c r="CH2920">
        <v>-1.96</v>
      </c>
      <c r="CI2920">
        <v>0</v>
      </c>
      <c r="CJ2920">
        <v>-9.6999999999999993</v>
      </c>
      <c r="CK2920">
        <v>98</v>
      </c>
      <c r="CL2920">
        <v>-0.5</v>
      </c>
      <c r="CM2920">
        <v>98</v>
      </c>
      <c r="CN2920">
        <v>-0.36</v>
      </c>
      <c r="CO2920">
        <v>98</v>
      </c>
      <c r="CP2920">
        <v>-19.600000000000001</v>
      </c>
      <c r="CQ2920">
        <v>97</v>
      </c>
      <c r="CR2920">
        <v>0</v>
      </c>
      <c r="CS2920">
        <v>0</v>
      </c>
      <c r="CT2920">
        <v>-24.5</v>
      </c>
      <c r="CU2920">
        <v>98</v>
      </c>
      <c r="CV2920">
        <v>0.06</v>
      </c>
      <c r="CW2920">
        <v>46</v>
      </c>
      <c r="CX2920" t="s">
        <v>792</v>
      </c>
    </row>
    <row r="2921" spans="1:102" x14ac:dyDescent="0.3">
      <c r="A2921" t="str">
        <f>HYPERLINK("https://webapp.icbf.com/v2/app/bull-search/view/115804824","NOU")</f>
        <v>NOU</v>
      </c>
      <c r="B2921" t="s">
        <v>4596</v>
      </c>
      <c r="C2921" t="s">
        <v>4597</v>
      </c>
      <c r="D2921" s="1">
        <v>35696</v>
      </c>
      <c r="E2921" t="s">
        <v>140</v>
      </c>
      <c r="F2921">
        <v>0</v>
      </c>
      <c r="G2921" t="s">
        <v>93</v>
      </c>
      <c r="H2921">
        <v>2.65</v>
      </c>
      <c r="I2921">
        <v>67</v>
      </c>
      <c r="J2921">
        <v>-29.8</v>
      </c>
      <c r="K2921">
        <v>86</v>
      </c>
      <c r="L2921">
        <v>47.69</v>
      </c>
      <c r="M2921">
        <v>51</v>
      </c>
      <c r="N2921">
        <v>-33.29</v>
      </c>
      <c r="O2921">
        <v>57</v>
      </c>
      <c r="P2921">
        <v>13.66</v>
      </c>
      <c r="Q2921">
        <v>80</v>
      </c>
      <c r="R2921">
        <v>7.02</v>
      </c>
      <c r="S2921">
        <v>58</v>
      </c>
      <c r="T2921">
        <v>8.7899999999999991</v>
      </c>
      <c r="U2921">
        <v>74</v>
      </c>
      <c r="V2921">
        <v>-11.42</v>
      </c>
      <c r="W2921">
        <v>48</v>
      </c>
      <c r="X2921" t="s">
        <v>234</v>
      </c>
      <c r="Y2921" t="s">
        <v>95</v>
      </c>
      <c r="Z2921">
        <v>0</v>
      </c>
      <c r="AA2921" t="s">
        <v>224</v>
      </c>
      <c r="AB2921" t="s">
        <v>4598</v>
      </c>
      <c r="AC2921">
        <v>27</v>
      </c>
      <c r="AD2921">
        <v>13</v>
      </c>
      <c r="AE2921">
        <v>86</v>
      </c>
      <c r="AF2921">
        <v>-126.01</v>
      </c>
      <c r="AG2921">
        <v>-6.86</v>
      </c>
      <c r="AH2921">
        <v>-4.57</v>
      </c>
      <c r="AI2921">
        <v>-0.03</v>
      </c>
      <c r="AJ2921">
        <v>0</v>
      </c>
      <c r="AK2921">
        <v>51</v>
      </c>
      <c r="AL2921">
        <v>29</v>
      </c>
      <c r="AM2921">
        <v>15</v>
      </c>
      <c r="AN2921">
        <v>-2.1</v>
      </c>
      <c r="AO2921">
        <v>1.71</v>
      </c>
      <c r="AP2921">
        <v>31</v>
      </c>
      <c r="AQ2921">
        <v>3</v>
      </c>
      <c r="AR2921">
        <v>9.6999999999999993</v>
      </c>
      <c r="AS2921">
        <v>35</v>
      </c>
      <c r="AT2921">
        <v>4.8</v>
      </c>
      <c r="AU2921">
        <v>55</v>
      </c>
      <c r="AV2921">
        <v>2.5499999999999998</v>
      </c>
      <c r="AW2921">
        <v>70</v>
      </c>
      <c r="AX2921">
        <v>-0.26</v>
      </c>
      <c r="AY2921">
        <v>61</v>
      </c>
      <c r="AZ2921">
        <v>4.07</v>
      </c>
      <c r="BA2921">
        <v>34</v>
      </c>
      <c r="BB2921">
        <v>3.37</v>
      </c>
      <c r="BC2921">
        <v>41</v>
      </c>
      <c r="BD2921">
        <v>0.04</v>
      </c>
      <c r="BE2921">
        <v>-0.02</v>
      </c>
      <c r="BF2921">
        <v>-0.19</v>
      </c>
      <c r="BG2921">
        <v>65</v>
      </c>
      <c r="BH2921">
        <v>-0.2</v>
      </c>
      <c r="BI2921">
        <v>13.71</v>
      </c>
      <c r="BJ2921">
        <v>0</v>
      </c>
      <c r="BK2921">
        <v>0</v>
      </c>
      <c r="BL2921">
        <v>-1.04</v>
      </c>
      <c r="BM2921">
        <v>3.81</v>
      </c>
      <c r="BN2921">
        <v>-1.68</v>
      </c>
      <c r="BO2921">
        <v>-3.25</v>
      </c>
      <c r="BP2921">
        <v>4.83</v>
      </c>
      <c r="BQ2921">
        <v>-2.2999999999999998</v>
      </c>
      <c r="BR2921">
        <v>-2.5499999999999998</v>
      </c>
      <c r="BS2921">
        <v>-0.45</v>
      </c>
      <c r="BT2921">
        <v>2.74</v>
      </c>
      <c r="BU2921">
        <v>-3.4</v>
      </c>
      <c r="BV2921">
        <v>-3.67</v>
      </c>
      <c r="BW2921">
        <v>-2.78</v>
      </c>
      <c r="BX2921">
        <v>-2.79</v>
      </c>
      <c r="BY2921">
        <v>-2.2400000000000002</v>
      </c>
      <c r="BZ2921">
        <v>0.86</v>
      </c>
      <c r="CA2921">
        <v>-2.46</v>
      </c>
      <c r="CB2921">
        <v>-3.15</v>
      </c>
      <c r="CC2921">
        <v>-0.37</v>
      </c>
      <c r="CD2921">
        <v>4.26</v>
      </c>
      <c r="CE2921">
        <v>-3.33</v>
      </c>
      <c r="CF2921">
        <v>-1.42</v>
      </c>
      <c r="CG2921">
        <v>0</v>
      </c>
      <c r="CH2921">
        <v>-2.91</v>
      </c>
      <c r="CI2921">
        <v>0</v>
      </c>
      <c r="CJ2921">
        <v>5.5</v>
      </c>
      <c r="CK2921">
        <v>82</v>
      </c>
      <c r="CL2921">
        <v>0.34</v>
      </c>
      <c r="CM2921">
        <v>78</v>
      </c>
      <c r="CN2921">
        <v>-0.18</v>
      </c>
      <c r="CO2921">
        <v>75</v>
      </c>
      <c r="CP2921">
        <v>3</v>
      </c>
      <c r="CQ2921">
        <v>78</v>
      </c>
      <c r="CR2921">
        <v>0</v>
      </c>
      <c r="CS2921">
        <v>0</v>
      </c>
      <c r="CT2921">
        <v>1.9</v>
      </c>
      <c r="CU2921">
        <v>74</v>
      </c>
      <c r="CV2921">
        <v>-0.09</v>
      </c>
      <c r="CW2921">
        <v>24</v>
      </c>
      <c r="CX2921" t="s">
        <v>763</v>
      </c>
    </row>
    <row r="2922" spans="1:102" x14ac:dyDescent="0.3">
      <c r="A2922" t="str">
        <f>HYPERLINK("https://webapp.icbf.com/v2/app/bull-search/view/1178239396","S2158")</f>
        <v>S2158</v>
      </c>
      <c r="B2922" t="s">
        <v>15594</v>
      </c>
      <c r="C2922" t="s">
        <v>15595</v>
      </c>
      <c r="D2922" s="1">
        <v>40780</v>
      </c>
      <c r="E2922" t="s">
        <v>92</v>
      </c>
      <c r="F2922">
        <v>100</v>
      </c>
      <c r="G2922" t="s">
        <v>109</v>
      </c>
      <c r="H2922">
        <v>2.62</v>
      </c>
      <c r="I2922">
        <v>75</v>
      </c>
      <c r="J2922">
        <v>59.2</v>
      </c>
      <c r="K2922">
        <v>92</v>
      </c>
      <c r="L2922">
        <v>-22.19</v>
      </c>
      <c r="M2922">
        <v>82</v>
      </c>
      <c r="N2922">
        <v>-19.93</v>
      </c>
      <c r="O2922">
        <v>54</v>
      </c>
      <c r="P2922">
        <v>-15.81</v>
      </c>
      <c r="Q2922">
        <v>43</v>
      </c>
      <c r="R2922">
        <v>6.54</v>
      </c>
      <c r="S2922">
        <v>74</v>
      </c>
      <c r="T2922">
        <v>-1.1200000000000001</v>
      </c>
      <c r="U2922">
        <v>39</v>
      </c>
      <c r="V2922">
        <v>-4.07</v>
      </c>
      <c r="W2922">
        <v>57</v>
      </c>
      <c r="X2922" t="s">
        <v>102</v>
      </c>
      <c r="Y2922" t="s">
        <v>367</v>
      </c>
      <c r="Z2922" t="s">
        <v>96</v>
      </c>
      <c r="AA2922" t="s">
        <v>2703</v>
      </c>
      <c r="AB2922" t="s">
        <v>15596</v>
      </c>
      <c r="AC2922">
        <v>0</v>
      </c>
      <c r="AD2922">
        <v>0</v>
      </c>
      <c r="AE2922">
        <v>92</v>
      </c>
      <c r="AF2922">
        <v>286.51</v>
      </c>
      <c r="AG2922">
        <v>13.04</v>
      </c>
      <c r="AH2922">
        <v>9.84</v>
      </c>
      <c r="AI2922">
        <v>0.03</v>
      </c>
      <c r="AJ2922">
        <v>0</v>
      </c>
      <c r="AK2922">
        <v>82</v>
      </c>
      <c r="AL2922">
        <v>0</v>
      </c>
      <c r="AM2922">
        <v>0</v>
      </c>
      <c r="AN2922">
        <v>1.21</v>
      </c>
      <c r="AO2922">
        <v>-0.56000000000000005</v>
      </c>
      <c r="AP2922">
        <v>1</v>
      </c>
      <c r="AQ2922">
        <v>0</v>
      </c>
      <c r="AR2922">
        <v>9.4499999999999993</v>
      </c>
      <c r="AS2922">
        <v>51</v>
      </c>
      <c r="AT2922">
        <v>4.6399999999999997</v>
      </c>
      <c r="AU2922">
        <v>90</v>
      </c>
      <c r="AV2922">
        <v>-0.62</v>
      </c>
      <c r="AW2922">
        <v>41</v>
      </c>
      <c r="AX2922">
        <v>-0.3</v>
      </c>
      <c r="AY2922">
        <v>43</v>
      </c>
      <c r="AZ2922">
        <v>7.82</v>
      </c>
      <c r="BA2922">
        <v>40</v>
      </c>
      <c r="BB2922">
        <v>5.47</v>
      </c>
      <c r="BC2922">
        <v>39</v>
      </c>
      <c r="BD2922">
        <v>-0.02</v>
      </c>
      <c r="BE2922">
        <v>-0.03</v>
      </c>
      <c r="BF2922">
        <v>-0.06</v>
      </c>
      <c r="BG2922">
        <v>92</v>
      </c>
      <c r="BH2922">
        <v>-0.03</v>
      </c>
      <c r="BI2922">
        <v>9.67</v>
      </c>
      <c r="BJ2922">
        <v>1</v>
      </c>
      <c r="BK2922">
        <v>1</v>
      </c>
      <c r="BL2922">
        <v>1.1200000000000001</v>
      </c>
      <c r="BM2922">
        <v>0.14000000000000001</v>
      </c>
      <c r="BN2922">
        <v>1.56</v>
      </c>
      <c r="BO2922">
        <v>0.85</v>
      </c>
      <c r="BP2922">
        <v>-1.1399999999999999</v>
      </c>
      <c r="BQ2922">
        <v>0.45</v>
      </c>
      <c r="BR2922">
        <v>-0.2</v>
      </c>
      <c r="BS2922">
        <v>1.66</v>
      </c>
      <c r="BT2922">
        <v>0.83</v>
      </c>
      <c r="BU2922">
        <v>2.46</v>
      </c>
      <c r="BV2922">
        <v>1.88</v>
      </c>
      <c r="BW2922">
        <v>1.19</v>
      </c>
      <c r="BX2922">
        <v>2.13</v>
      </c>
      <c r="BY2922">
        <v>-1.06</v>
      </c>
      <c r="BZ2922">
        <v>0.69</v>
      </c>
      <c r="CA2922">
        <v>1.91</v>
      </c>
      <c r="CB2922">
        <v>1.56</v>
      </c>
      <c r="CC2922">
        <v>1.85</v>
      </c>
      <c r="CD2922">
        <v>-0.28999999999999998</v>
      </c>
      <c r="CE2922">
        <v>0.97</v>
      </c>
      <c r="CF2922">
        <v>1.54</v>
      </c>
      <c r="CG2922">
        <v>0</v>
      </c>
      <c r="CH2922">
        <v>-0.99</v>
      </c>
      <c r="CI2922">
        <v>0</v>
      </c>
      <c r="CJ2922">
        <v>-6.7</v>
      </c>
      <c r="CK2922">
        <v>44</v>
      </c>
      <c r="CL2922">
        <v>-1.42</v>
      </c>
      <c r="CM2922">
        <v>43</v>
      </c>
      <c r="CN2922">
        <v>-0.69</v>
      </c>
      <c r="CO2922">
        <v>43</v>
      </c>
      <c r="CP2922">
        <v>0.1</v>
      </c>
      <c r="CQ2922">
        <v>42</v>
      </c>
      <c r="CR2922">
        <v>0</v>
      </c>
      <c r="CS2922">
        <v>0</v>
      </c>
      <c r="CT2922">
        <v>15.3</v>
      </c>
      <c r="CU2922">
        <v>39</v>
      </c>
      <c r="CV2922">
        <v>0.13</v>
      </c>
      <c r="CW2922">
        <v>34</v>
      </c>
      <c r="CX2922" t="s">
        <v>1680</v>
      </c>
    </row>
    <row r="2923" spans="1:102" x14ac:dyDescent="0.3">
      <c r="A2923" t="str">
        <f>HYPERLINK("https://webapp.icbf.com/v2/app/bull-search/view/77855959","KLN")</f>
        <v>KLN</v>
      </c>
      <c r="B2923" t="s">
        <v>3451</v>
      </c>
      <c r="C2923" t="s">
        <v>3452</v>
      </c>
      <c r="D2923" s="1">
        <v>33863</v>
      </c>
      <c r="E2923" t="s">
        <v>92</v>
      </c>
      <c r="F2923">
        <v>94</v>
      </c>
      <c r="G2923" t="s">
        <v>93</v>
      </c>
      <c r="H2923">
        <v>2.5499999999999998</v>
      </c>
      <c r="I2923">
        <v>75</v>
      </c>
      <c r="J2923">
        <v>-44.22</v>
      </c>
      <c r="K2923">
        <v>93</v>
      </c>
      <c r="L2923">
        <v>18.350000000000001</v>
      </c>
      <c r="M2923">
        <v>65</v>
      </c>
      <c r="N2923">
        <v>24.57</v>
      </c>
      <c r="O2923">
        <v>60</v>
      </c>
      <c r="P2923">
        <v>-5.0599999999999996</v>
      </c>
      <c r="Q2923">
        <v>77</v>
      </c>
      <c r="R2923">
        <v>-3.16</v>
      </c>
      <c r="S2923">
        <v>69</v>
      </c>
      <c r="T2923">
        <v>13.53</v>
      </c>
      <c r="U2923">
        <v>70</v>
      </c>
      <c r="V2923">
        <v>-1.46</v>
      </c>
      <c r="W2923">
        <v>46</v>
      </c>
      <c r="X2923" t="s">
        <v>94</v>
      </c>
      <c r="Y2923" t="s">
        <v>95</v>
      </c>
      <c r="Z2923" t="s">
        <v>96</v>
      </c>
      <c r="AA2923" t="s">
        <v>161</v>
      </c>
      <c r="AB2923" t="s">
        <v>3453</v>
      </c>
      <c r="AC2923">
        <v>65</v>
      </c>
      <c r="AD2923">
        <v>39</v>
      </c>
      <c r="AE2923">
        <v>93</v>
      </c>
      <c r="AF2923">
        <v>-90.27</v>
      </c>
      <c r="AG2923">
        <v>-6.45</v>
      </c>
      <c r="AH2923">
        <v>-6.62</v>
      </c>
      <c r="AI2923">
        <v>-0.05</v>
      </c>
      <c r="AJ2923">
        <v>-0.06</v>
      </c>
      <c r="AK2923">
        <v>65</v>
      </c>
      <c r="AL2923">
        <v>75</v>
      </c>
      <c r="AM2923">
        <v>44</v>
      </c>
      <c r="AN2923">
        <v>-0.47</v>
      </c>
      <c r="AO2923">
        <v>1</v>
      </c>
      <c r="AP2923">
        <v>1</v>
      </c>
      <c r="AQ2923">
        <v>0</v>
      </c>
      <c r="AR2923">
        <v>6.21</v>
      </c>
      <c r="AS2923">
        <v>35</v>
      </c>
      <c r="AT2923">
        <v>3.06</v>
      </c>
      <c r="AU2923">
        <v>57</v>
      </c>
      <c r="AV2923">
        <v>-2.39</v>
      </c>
      <c r="AW2923">
        <v>70</v>
      </c>
      <c r="AX2923">
        <v>-0.77</v>
      </c>
      <c r="AY2923">
        <v>59</v>
      </c>
      <c r="AZ2923">
        <v>6.56</v>
      </c>
      <c r="BA2923">
        <v>37</v>
      </c>
      <c r="BB2923">
        <v>5.0599999999999996</v>
      </c>
      <c r="BC2923">
        <v>56</v>
      </c>
      <c r="BD2923">
        <v>0.04</v>
      </c>
      <c r="BE2923">
        <v>0.04</v>
      </c>
      <c r="BF2923">
        <v>-7.0000000000000007E-2</v>
      </c>
      <c r="BG2923">
        <v>85</v>
      </c>
      <c r="BH2923">
        <v>-0.1</v>
      </c>
      <c r="BI2923">
        <v>-6.85</v>
      </c>
      <c r="BJ2923">
        <v>22</v>
      </c>
      <c r="BK2923">
        <v>21</v>
      </c>
      <c r="BL2923">
        <v>-0.26</v>
      </c>
      <c r="BM2923">
        <v>-0.55000000000000004</v>
      </c>
      <c r="BN2923">
        <v>-0.66</v>
      </c>
      <c r="BO2923">
        <v>-0.35</v>
      </c>
      <c r="BP2923">
        <v>1.24</v>
      </c>
      <c r="BQ2923">
        <v>-1.05</v>
      </c>
      <c r="BR2923">
        <v>-0.14000000000000001</v>
      </c>
      <c r="BS2923">
        <v>-0.21</v>
      </c>
      <c r="BT2923">
        <v>-0.47</v>
      </c>
      <c r="BU2923">
        <v>-1</v>
      </c>
      <c r="BV2923">
        <v>0.19</v>
      </c>
      <c r="BW2923">
        <v>-0.17</v>
      </c>
      <c r="BX2923">
        <v>-0.12</v>
      </c>
      <c r="BY2923">
        <v>-0.93</v>
      </c>
      <c r="BZ2923">
        <v>-0.03</v>
      </c>
      <c r="CA2923">
        <v>-0.45</v>
      </c>
      <c r="CB2923">
        <v>-0.32</v>
      </c>
      <c r="CC2923">
        <v>-0.25</v>
      </c>
      <c r="CD2923">
        <v>-0.23</v>
      </c>
      <c r="CE2923">
        <v>-0.24</v>
      </c>
      <c r="CF2923">
        <v>-0.46</v>
      </c>
      <c r="CG2923">
        <v>0</v>
      </c>
      <c r="CH2923">
        <v>-0.97</v>
      </c>
      <c r="CI2923">
        <v>0</v>
      </c>
      <c r="CJ2923">
        <v>-3.1</v>
      </c>
      <c r="CK2923">
        <v>78</v>
      </c>
      <c r="CL2923">
        <v>-0.28999999999999998</v>
      </c>
      <c r="CM2923">
        <v>75</v>
      </c>
      <c r="CN2923">
        <v>-0.28000000000000003</v>
      </c>
      <c r="CO2923">
        <v>72</v>
      </c>
      <c r="CP2923">
        <v>-7.1</v>
      </c>
      <c r="CQ2923">
        <v>84</v>
      </c>
      <c r="CR2923">
        <v>0</v>
      </c>
      <c r="CS2923">
        <v>0</v>
      </c>
      <c r="CT2923">
        <v>-4.5</v>
      </c>
      <c r="CU2923">
        <v>70</v>
      </c>
      <c r="CV2923">
        <v>0.05</v>
      </c>
      <c r="CW2923">
        <v>21</v>
      </c>
      <c r="CX2923" t="s">
        <v>3454</v>
      </c>
    </row>
    <row r="2924" spans="1:102" x14ac:dyDescent="0.3">
      <c r="A2924" t="str">
        <f>HYPERLINK("https://webapp.icbf.com/v2/app/bull-search/view/163414530","MHI")</f>
        <v>MHI</v>
      </c>
      <c r="B2924" t="s">
        <v>11542</v>
      </c>
      <c r="C2924" t="s">
        <v>11543</v>
      </c>
      <c r="D2924" s="1">
        <v>35174</v>
      </c>
      <c r="E2924" t="s">
        <v>140</v>
      </c>
      <c r="F2924">
        <v>0</v>
      </c>
      <c r="G2924" t="s">
        <v>93</v>
      </c>
      <c r="H2924">
        <v>2.46</v>
      </c>
      <c r="I2924">
        <v>93</v>
      </c>
      <c r="J2924">
        <v>41.37</v>
      </c>
      <c r="K2924">
        <v>98</v>
      </c>
      <c r="L2924">
        <v>37.159999999999997</v>
      </c>
      <c r="M2924">
        <v>88</v>
      </c>
      <c r="N2924">
        <v>-86.42</v>
      </c>
      <c r="O2924">
        <v>94</v>
      </c>
      <c r="P2924">
        <v>34.520000000000003</v>
      </c>
      <c r="Q2924">
        <v>98</v>
      </c>
      <c r="R2924">
        <v>-1.49</v>
      </c>
      <c r="S2924">
        <v>89</v>
      </c>
      <c r="T2924">
        <v>-10.52</v>
      </c>
      <c r="U2924">
        <v>95</v>
      </c>
      <c r="V2924">
        <v>-12.16</v>
      </c>
      <c r="W2924">
        <v>90</v>
      </c>
      <c r="X2924" t="s">
        <v>102</v>
      </c>
      <c r="Y2924" t="s">
        <v>95</v>
      </c>
      <c r="Z2924">
        <v>0</v>
      </c>
      <c r="AA2924" t="s">
        <v>695</v>
      </c>
      <c r="AB2924" t="s">
        <v>11544</v>
      </c>
      <c r="AC2924">
        <v>211</v>
      </c>
      <c r="AD2924">
        <v>103</v>
      </c>
      <c r="AE2924">
        <v>98</v>
      </c>
      <c r="AF2924">
        <v>58.39</v>
      </c>
      <c r="AG2924">
        <v>5.51</v>
      </c>
      <c r="AH2924">
        <v>5.98</v>
      </c>
      <c r="AI2924">
        <v>0.06</v>
      </c>
      <c r="AJ2924">
        <v>7.0000000000000007E-2</v>
      </c>
      <c r="AK2924">
        <v>88</v>
      </c>
      <c r="AL2924">
        <v>341</v>
      </c>
      <c r="AM2924">
        <v>146</v>
      </c>
      <c r="AN2924">
        <v>-1.5</v>
      </c>
      <c r="AO2924">
        <v>1.47</v>
      </c>
      <c r="AP2924">
        <v>608</v>
      </c>
      <c r="AQ2924">
        <v>11</v>
      </c>
      <c r="AR2924">
        <v>12.56</v>
      </c>
      <c r="AS2924">
        <v>86</v>
      </c>
      <c r="AT2924">
        <v>7.29</v>
      </c>
      <c r="AU2924">
        <v>95</v>
      </c>
      <c r="AV2924">
        <v>3.37</v>
      </c>
      <c r="AW2924">
        <v>99</v>
      </c>
      <c r="AX2924">
        <v>0.25</v>
      </c>
      <c r="AY2924">
        <v>94</v>
      </c>
      <c r="AZ2924">
        <v>3.85</v>
      </c>
      <c r="BA2924">
        <v>84</v>
      </c>
      <c r="BB2924">
        <v>3.04</v>
      </c>
      <c r="BC2924">
        <v>87</v>
      </c>
      <c r="BD2924">
        <v>0.02</v>
      </c>
      <c r="BE2924">
        <v>-0.01</v>
      </c>
      <c r="BF2924">
        <v>0.02</v>
      </c>
      <c r="BG2924">
        <v>94</v>
      </c>
      <c r="BH2924">
        <v>-0.41</v>
      </c>
      <c r="BI2924">
        <v>-8.19</v>
      </c>
      <c r="BJ2924">
        <v>3</v>
      </c>
      <c r="BK2924">
        <v>3</v>
      </c>
      <c r="BL2924">
        <v>-0.25</v>
      </c>
      <c r="BM2924">
        <v>4.6399999999999997</v>
      </c>
      <c r="BN2924">
        <v>-0.59</v>
      </c>
      <c r="BO2924">
        <v>-2.83</v>
      </c>
      <c r="BP2924">
        <v>3.04</v>
      </c>
      <c r="BQ2924">
        <v>-0.35</v>
      </c>
      <c r="BR2924">
        <v>-2.48</v>
      </c>
      <c r="BS2924">
        <v>0.68</v>
      </c>
      <c r="BT2924">
        <v>2</v>
      </c>
      <c r="BU2924">
        <v>-3.21</v>
      </c>
      <c r="BV2924">
        <v>-3.99</v>
      </c>
      <c r="BW2924">
        <v>-3.23</v>
      </c>
      <c r="BX2924">
        <v>-3.19</v>
      </c>
      <c r="BY2924">
        <v>-1.17</v>
      </c>
      <c r="BZ2924">
        <v>0.66</v>
      </c>
      <c r="CA2924">
        <v>-1.97</v>
      </c>
      <c r="CB2924">
        <v>-3</v>
      </c>
      <c r="CC2924">
        <v>0.68</v>
      </c>
      <c r="CD2924">
        <v>4.18</v>
      </c>
      <c r="CE2924">
        <v>-2.56</v>
      </c>
      <c r="CF2924">
        <v>0.15</v>
      </c>
      <c r="CG2924">
        <v>0</v>
      </c>
      <c r="CH2924">
        <v>-2.95</v>
      </c>
      <c r="CI2924">
        <v>0</v>
      </c>
      <c r="CJ2924">
        <v>16.8</v>
      </c>
      <c r="CK2924">
        <v>99</v>
      </c>
      <c r="CL2924">
        <v>0.67</v>
      </c>
      <c r="CM2924">
        <v>98</v>
      </c>
      <c r="CN2924">
        <v>-0.21</v>
      </c>
      <c r="CO2924">
        <v>98</v>
      </c>
      <c r="CP2924">
        <v>13.1</v>
      </c>
      <c r="CQ2924">
        <v>97</v>
      </c>
      <c r="CR2924">
        <v>0</v>
      </c>
      <c r="CS2924">
        <v>0</v>
      </c>
      <c r="CT2924">
        <v>28</v>
      </c>
      <c r="CU2924">
        <v>95</v>
      </c>
      <c r="CV2924">
        <v>0.12</v>
      </c>
      <c r="CW2924">
        <v>46</v>
      </c>
      <c r="CX2924" t="s">
        <v>1179</v>
      </c>
    </row>
    <row r="2925" spans="1:102" x14ac:dyDescent="0.3">
      <c r="A2925" t="str">
        <f>HYPERLINK("https://webapp.icbf.com/v2/app/bull-search/view/77856964","HLB")</f>
        <v>HLB</v>
      </c>
      <c r="B2925" t="s">
        <v>2531</v>
      </c>
      <c r="C2925" t="s">
        <v>2532</v>
      </c>
      <c r="D2925" s="1">
        <v>32896</v>
      </c>
      <c r="E2925" t="s">
        <v>92</v>
      </c>
      <c r="F2925">
        <v>100</v>
      </c>
      <c r="G2925" t="s">
        <v>93</v>
      </c>
      <c r="H2925">
        <v>2.35</v>
      </c>
      <c r="I2925">
        <v>69</v>
      </c>
      <c r="J2925">
        <v>-73.5</v>
      </c>
      <c r="K2925">
        <v>90</v>
      </c>
      <c r="L2925">
        <v>58.48</v>
      </c>
      <c r="M2925">
        <v>64</v>
      </c>
      <c r="N2925">
        <v>9.07</v>
      </c>
      <c r="O2925">
        <v>42</v>
      </c>
      <c r="P2925">
        <v>-10.83</v>
      </c>
      <c r="Q2925">
        <v>77</v>
      </c>
      <c r="R2925">
        <v>-7.76</v>
      </c>
      <c r="S2925">
        <v>64</v>
      </c>
      <c r="T2925">
        <v>27.22</v>
      </c>
      <c r="U2925">
        <v>61</v>
      </c>
      <c r="V2925">
        <v>-0.33</v>
      </c>
      <c r="W2925">
        <v>11</v>
      </c>
      <c r="X2925" t="s">
        <v>94</v>
      </c>
      <c r="Y2925" t="s">
        <v>95</v>
      </c>
      <c r="Z2925" t="s">
        <v>96</v>
      </c>
      <c r="AA2925" t="s">
        <v>2533</v>
      </c>
      <c r="AB2925" t="s">
        <v>2534</v>
      </c>
      <c r="AC2925">
        <v>60</v>
      </c>
      <c r="AD2925">
        <v>44</v>
      </c>
      <c r="AE2925">
        <v>90</v>
      </c>
      <c r="AF2925">
        <v>-421.1</v>
      </c>
      <c r="AG2925">
        <v>-13.47</v>
      </c>
      <c r="AH2925">
        <v>-14.18</v>
      </c>
      <c r="AI2925">
        <v>0.05</v>
      </c>
      <c r="AJ2925">
        <v>0</v>
      </c>
      <c r="AK2925">
        <v>64</v>
      </c>
      <c r="AL2925">
        <v>167</v>
      </c>
      <c r="AM2925">
        <v>91</v>
      </c>
      <c r="AN2925">
        <v>-5.04</v>
      </c>
      <c r="AO2925">
        <v>-0.4</v>
      </c>
      <c r="AP2925">
        <v>1</v>
      </c>
      <c r="AQ2925">
        <v>0</v>
      </c>
      <c r="AR2925">
        <v>6.03</v>
      </c>
      <c r="AS2925">
        <v>9</v>
      </c>
      <c r="AT2925">
        <v>2.66</v>
      </c>
      <c r="AU2925">
        <v>32</v>
      </c>
      <c r="AV2925">
        <v>-0.46</v>
      </c>
      <c r="AW2925">
        <v>53</v>
      </c>
      <c r="AX2925">
        <v>-0.47</v>
      </c>
      <c r="AY2925">
        <v>67</v>
      </c>
      <c r="AZ2925">
        <v>6.73</v>
      </c>
      <c r="BA2925">
        <v>11</v>
      </c>
      <c r="BB2925">
        <v>5.57</v>
      </c>
      <c r="BC2925">
        <v>32</v>
      </c>
      <c r="BD2925">
        <v>0.05</v>
      </c>
      <c r="BE2925">
        <v>0.05</v>
      </c>
      <c r="BF2925">
        <v>0</v>
      </c>
      <c r="BG2925">
        <v>90</v>
      </c>
      <c r="BH2925">
        <v>0.06</v>
      </c>
      <c r="BI2925">
        <v>8.02</v>
      </c>
      <c r="BJ2925">
        <v>19</v>
      </c>
      <c r="BK2925">
        <v>14</v>
      </c>
      <c r="BL2925">
        <v>-1.74</v>
      </c>
      <c r="BM2925">
        <v>1.21</v>
      </c>
      <c r="BN2925">
        <v>-2.17</v>
      </c>
      <c r="BO2925">
        <v>-2.34</v>
      </c>
      <c r="BP2925">
        <v>1.27</v>
      </c>
      <c r="BQ2925">
        <v>0.53</v>
      </c>
      <c r="BR2925">
        <v>0.11</v>
      </c>
      <c r="BS2925">
        <v>-0.73</v>
      </c>
      <c r="BT2925">
        <v>-0.34</v>
      </c>
      <c r="BU2925">
        <v>-1.64</v>
      </c>
      <c r="BV2925">
        <v>-1.47</v>
      </c>
      <c r="BW2925">
        <v>-1.76</v>
      </c>
      <c r="BX2925">
        <v>-0.97</v>
      </c>
      <c r="BY2925">
        <v>-0.92</v>
      </c>
      <c r="BZ2925">
        <v>-0.5</v>
      </c>
      <c r="CA2925">
        <v>-1.95</v>
      </c>
      <c r="CB2925">
        <v>-1.85</v>
      </c>
      <c r="CC2925">
        <v>-1.78</v>
      </c>
      <c r="CD2925">
        <v>2.09</v>
      </c>
      <c r="CE2925">
        <v>-2.57</v>
      </c>
      <c r="CF2925">
        <v>-1.6</v>
      </c>
      <c r="CG2925">
        <v>0</v>
      </c>
      <c r="CH2925">
        <v>-2.0299999999999998</v>
      </c>
      <c r="CI2925">
        <v>0</v>
      </c>
      <c r="CJ2925">
        <v>-7.1</v>
      </c>
      <c r="CK2925">
        <v>80</v>
      </c>
      <c r="CL2925">
        <v>0.11</v>
      </c>
      <c r="CM2925">
        <v>74</v>
      </c>
      <c r="CN2925">
        <v>0.02</v>
      </c>
      <c r="CO2925">
        <v>71</v>
      </c>
      <c r="CP2925">
        <v>-12.9</v>
      </c>
      <c r="CQ2925">
        <v>77</v>
      </c>
      <c r="CR2925">
        <v>0</v>
      </c>
      <c r="CS2925">
        <v>0</v>
      </c>
      <c r="CT2925">
        <v>-23</v>
      </c>
      <c r="CU2925">
        <v>61</v>
      </c>
      <c r="CV2925">
        <v>-0.13</v>
      </c>
      <c r="CW2925">
        <v>23</v>
      </c>
      <c r="CX2925" t="s">
        <v>2535</v>
      </c>
    </row>
    <row r="2926" spans="1:102" x14ac:dyDescent="0.3">
      <c r="A2926" t="str">
        <f>HYPERLINK("https://webapp.icbf.com/v2/app/bull-search/view/82542764","ASE")</f>
        <v>ASE</v>
      </c>
      <c r="B2926" t="s">
        <v>7406</v>
      </c>
      <c r="C2926" t="s">
        <v>7407</v>
      </c>
      <c r="D2926" s="1">
        <v>32528</v>
      </c>
      <c r="E2926" t="s">
        <v>92</v>
      </c>
      <c r="F2926">
        <v>75</v>
      </c>
      <c r="G2926" t="s">
        <v>93</v>
      </c>
      <c r="H2926">
        <v>2.2999999999999998</v>
      </c>
      <c r="I2926">
        <v>99</v>
      </c>
      <c r="J2926">
        <v>-8.65</v>
      </c>
      <c r="K2926">
        <v>99</v>
      </c>
      <c r="L2926">
        <v>27.82</v>
      </c>
      <c r="M2926">
        <v>98</v>
      </c>
      <c r="N2926">
        <v>-18.21</v>
      </c>
      <c r="O2926">
        <v>99</v>
      </c>
      <c r="P2926">
        <v>-8.26</v>
      </c>
      <c r="Q2926">
        <v>99</v>
      </c>
      <c r="R2926">
        <v>-0.26</v>
      </c>
      <c r="S2926">
        <v>97</v>
      </c>
      <c r="T2926">
        <v>16.79</v>
      </c>
      <c r="U2926">
        <v>99</v>
      </c>
      <c r="V2926">
        <v>-6.93</v>
      </c>
      <c r="W2926">
        <v>97</v>
      </c>
      <c r="X2926" t="s">
        <v>94</v>
      </c>
      <c r="Y2926" t="s">
        <v>95</v>
      </c>
      <c r="Z2926" t="s">
        <v>96</v>
      </c>
      <c r="AA2926" t="s">
        <v>3941</v>
      </c>
      <c r="AB2926" t="s">
        <v>7408</v>
      </c>
      <c r="AC2926">
        <v>6303</v>
      </c>
      <c r="AD2926">
        <v>2624</v>
      </c>
      <c r="AE2926">
        <v>99</v>
      </c>
      <c r="AF2926">
        <v>29.36</v>
      </c>
      <c r="AG2926">
        <v>-0.37</v>
      </c>
      <c r="AH2926">
        <v>-0.89</v>
      </c>
      <c r="AI2926">
        <v>-0.03</v>
      </c>
      <c r="AJ2926">
        <v>-0.03</v>
      </c>
      <c r="AK2926">
        <v>98</v>
      </c>
      <c r="AL2926">
        <v>8333</v>
      </c>
      <c r="AM2926">
        <v>3930</v>
      </c>
      <c r="AN2926">
        <v>-0.61</v>
      </c>
      <c r="AO2926">
        <v>1.62</v>
      </c>
      <c r="AP2926">
        <v>244</v>
      </c>
      <c r="AQ2926">
        <v>1</v>
      </c>
      <c r="AR2926">
        <v>8.6999999999999993</v>
      </c>
      <c r="AS2926">
        <v>95</v>
      </c>
      <c r="AT2926">
        <v>3.68</v>
      </c>
      <c r="AU2926">
        <v>99</v>
      </c>
      <c r="AV2926">
        <v>0.97</v>
      </c>
      <c r="AW2926">
        <v>99</v>
      </c>
      <c r="AX2926">
        <v>0.08</v>
      </c>
      <c r="AY2926">
        <v>99</v>
      </c>
      <c r="AZ2926">
        <v>6.5</v>
      </c>
      <c r="BA2926">
        <v>96</v>
      </c>
      <c r="BB2926">
        <v>5.4</v>
      </c>
      <c r="BC2926">
        <v>99</v>
      </c>
      <c r="BD2926">
        <v>-0.03</v>
      </c>
      <c r="BE2926">
        <v>0.04</v>
      </c>
      <c r="BF2926">
        <v>-0.02</v>
      </c>
      <c r="BG2926">
        <v>99</v>
      </c>
      <c r="BH2926">
        <v>-0.06</v>
      </c>
      <c r="BI2926">
        <v>15.43</v>
      </c>
      <c r="BJ2926">
        <v>366</v>
      </c>
      <c r="BK2926">
        <v>256</v>
      </c>
      <c r="BL2926">
        <v>-0.42</v>
      </c>
      <c r="BM2926">
        <v>-0.26</v>
      </c>
      <c r="BN2926">
        <v>-0.59</v>
      </c>
      <c r="BO2926">
        <v>0.12</v>
      </c>
      <c r="BP2926">
        <v>1.44</v>
      </c>
      <c r="BQ2926">
        <v>-1.17</v>
      </c>
      <c r="BR2926">
        <v>-1.44</v>
      </c>
      <c r="BS2926">
        <v>1.1100000000000001</v>
      </c>
      <c r="BT2926">
        <v>2.81</v>
      </c>
      <c r="BU2926">
        <v>-1.36</v>
      </c>
      <c r="BV2926">
        <v>0.34</v>
      </c>
      <c r="BW2926">
        <v>-0.04</v>
      </c>
      <c r="BX2926">
        <v>-1.62</v>
      </c>
      <c r="BY2926">
        <v>7.0000000000000007E-2</v>
      </c>
      <c r="BZ2926">
        <v>-0.97</v>
      </c>
      <c r="CA2926">
        <v>0.21</v>
      </c>
      <c r="CB2926">
        <v>-0.11</v>
      </c>
      <c r="CC2926">
        <v>0.71</v>
      </c>
      <c r="CD2926">
        <v>-7.0000000000000007E-2</v>
      </c>
      <c r="CE2926">
        <v>0.1</v>
      </c>
      <c r="CF2926">
        <v>-0.62</v>
      </c>
      <c r="CG2926">
        <v>0</v>
      </c>
      <c r="CH2926">
        <v>0.03</v>
      </c>
      <c r="CI2926">
        <v>0</v>
      </c>
      <c r="CJ2926">
        <v>-3.3</v>
      </c>
      <c r="CK2926">
        <v>99</v>
      </c>
      <c r="CL2926">
        <v>-0.41</v>
      </c>
      <c r="CM2926">
        <v>99</v>
      </c>
      <c r="CN2926">
        <v>-0.19</v>
      </c>
      <c r="CO2926">
        <v>99</v>
      </c>
      <c r="CP2926">
        <v>-11.3</v>
      </c>
      <c r="CQ2926">
        <v>99</v>
      </c>
      <c r="CR2926">
        <v>0</v>
      </c>
      <c r="CS2926">
        <v>0</v>
      </c>
      <c r="CT2926">
        <v>-8.9</v>
      </c>
      <c r="CU2926">
        <v>99</v>
      </c>
      <c r="CV2926">
        <v>0.08</v>
      </c>
      <c r="CW2926">
        <v>47</v>
      </c>
      <c r="CX2926" t="s">
        <v>2585</v>
      </c>
    </row>
    <row r="2927" spans="1:102" x14ac:dyDescent="0.3">
      <c r="A2927" t="str">
        <f>HYPERLINK("https://webapp.icbf.com/v2/app/bull-search/view/69091903","HPD")</f>
        <v>HPD</v>
      </c>
      <c r="B2927" t="s">
        <v>7031</v>
      </c>
      <c r="C2927" t="s">
        <v>7032</v>
      </c>
      <c r="D2927" s="1">
        <v>33870</v>
      </c>
      <c r="E2927" t="s">
        <v>140</v>
      </c>
      <c r="F2927">
        <v>0</v>
      </c>
      <c r="G2927" t="s">
        <v>109</v>
      </c>
      <c r="H2927">
        <v>2.27</v>
      </c>
      <c r="I2927">
        <v>72</v>
      </c>
      <c r="J2927">
        <v>-20.16</v>
      </c>
      <c r="K2927">
        <v>86</v>
      </c>
      <c r="L2927">
        <v>-3.63</v>
      </c>
      <c r="M2927">
        <v>63</v>
      </c>
      <c r="N2927">
        <v>-2.4300000000000002</v>
      </c>
      <c r="O2927">
        <v>65</v>
      </c>
      <c r="P2927">
        <v>3.11</v>
      </c>
      <c r="Q2927">
        <v>71</v>
      </c>
      <c r="R2927">
        <v>8.9600000000000009</v>
      </c>
      <c r="S2927">
        <v>64</v>
      </c>
      <c r="T2927">
        <v>30.92</v>
      </c>
      <c r="U2927">
        <v>71</v>
      </c>
      <c r="V2927">
        <v>-14.5</v>
      </c>
      <c r="W2927">
        <v>55</v>
      </c>
      <c r="X2927" t="s">
        <v>276</v>
      </c>
      <c r="Y2927" t="s">
        <v>95</v>
      </c>
      <c r="Z2927">
        <v>0</v>
      </c>
      <c r="AA2927" t="s">
        <v>1296</v>
      </c>
      <c r="AB2927" t="s">
        <v>7033</v>
      </c>
      <c r="AC2927">
        <v>0</v>
      </c>
      <c r="AD2927">
        <v>0</v>
      </c>
      <c r="AE2927">
        <v>86</v>
      </c>
      <c r="AF2927">
        <v>-190.79</v>
      </c>
      <c r="AG2927">
        <v>-2.4300000000000002</v>
      </c>
      <c r="AH2927">
        <v>-5.49</v>
      </c>
      <c r="AI2927">
        <v>0.09</v>
      </c>
      <c r="AJ2927">
        <v>0.02</v>
      </c>
      <c r="AK2927">
        <v>63</v>
      </c>
      <c r="AL2927">
        <v>14</v>
      </c>
      <c r="AM2927">
        <v>11</v>
      </c>
      <c r="AN2927">
        <v>-0.65</v>
      </c>
      <c r="AO2927">
        <v>-0.95</v>
      </c>
      <c r="AP2927">
        <v>20</v>
      </c>
      <c r="AQ2927">
        <v>1</v>
      </c>
      <c r="AR2927">
        <v>6.64</v>
      </c>
      <c r="AS2927">
        <v>53</v>
      </c>
      <c r="AT2927">
        <v>3.01</v>
      </c>
      <c r="AU2927">
        <v>59</v>
      </c>
      <c r="AV2927">
        <v>1.84</v>
      </c>
      <c r="AW2927">
        <v>79</v>
      </c>
      <c r="AX2927">
        <v>-0.45</v>
      </c>
      <c r="AY2927">
        <v>63</v>
      </c>
      <c r="AZ2927">
        <v>5.2</v>
      </c>
      <c r="BA2927">
        <v>44</v>
      </c>
      <c r="BB2927">
        <v>3.69</v>
      </c>
      <c r="BC2927">
        <v>46</v>
      </c>
      <c r="BD2927">
        <v>0</v>
      </c>
      <c r="BE2927">
        <v>-0.04</v>
      </c>
      <c r="BF2927">
        <v>-0.13</v>
      </c>
      <c r="BG2927">
        <v>71</v>
      </c>
      <c r="BH2927">
        <v>-0.35</v>
      </c>
      <c r="BI2927">
        <v>6.28</v>
      </c>
      <c r="BJ2927">
        <v>0</v>
      </c>
      <c r="BK2927">
        <v>0</v>
      </c>
      <c r="BL2927">
        <v>-0.65</v>
      </c>
      <c r="BM2927">
        <v>3.13</v>
      </c>
      <c r="BN2927">
        <v>-1.59</v>
      </c>
      <c r="BO2927">
        <v>-2.73</v>
      </c>
      <c r="BP2927">
        <v>4.13</v>
      </c>
      <c r="BQ2927">
        <v>-2.08</v>
      </c>
      <c r="BR2927">
        <v>-2.4900000000000002</v>
      </c>
      <c r="BS2927">
        <v>-0.56000000000000005</v>
      </c>
      <c r="BT2927">
        <v>2.3199999999999998</v>
      </c>
      <c r="BU2927">
        <v>-3.12</v>
      </c>
      <c r="BV2927">
        <v>-3.52</v>
      </c>
      <c r="BW2927">
        <v>-2.63</v>
      </c>
      <c r="BX2927">
        <v>-2.37</v>
      </c>
      <c r="BY2927">
        <v>-2.25</v>
      </c>
      <c r="BZ2927">
        <v>0.85</v>
      </c>
      <c r="CA2927">
        <v>-2.21</v>
      </c>
      <c r="CB2927">
        <v>-2.83</v>
      </c>
      <c r="CC2927">
        <v>-0.39</v>
      </c>
      <c r="CD2927">
        <v>3.55</v>
      </c>
      <c r="CE2927">
        <v>-2.64</v>
      </c>
      <c r="CF2927">
        <v>-0.82</v>
      </c>
      <c r="CG2927">
        <v>0</v>
      </c>
      <c r="CH2927">
        <v>-2.1</v>
      </c>
      <c r="CI2927">
        <v>0</v>
      </c>
      <c r="CJ2927">
        <v>0.3</v>
      </c>
      <c r="CK2927">
        <v>73</v>
      </c>
      <c r="CL2927">
        <v>0.39</v>
      </c>
      <c r="CM2927">
        <v>69</v>
      </c>
      <c r="CN2927">
        <v>-0.04</v>
      </c>
      <c r="CO2927">
        <v>66</v>
      </c>
      <c r="CP2927">
        <v>-12</v>
      </c>
      <c r="CQ2927">
        <v>72</v>
      </c>
      <c r="CR2927">
        <v>0</v>
      </c>
      <c r="CS2927">
        <v>0</v>
      </c>
      <c r="CT2927">
        <v>-28</v>
      </c>
      <c r="CU2927">
        <v>71</v>
      </c>
      <c r="CV2927">
        <v>0.09</v>
      </c>
      <c r="CW2927">
        <v>40</v>
      </c>
      <c r="CX2927" t="s">
        <v>2464</v>
      </c>
    </row>
    <row r="2928" spans="1:102" x14ac:dyDescent="0.3">
      <c r="A2928" t="str">
        <f>HYPERLINK("https://webapp.icbf.com/v2/app/bull-search/view/77858677","CVR")</f>
        <v>CVR</v>
      </c>
      <c r="B2928" t="s">
        <v>9844</v>
      </c>
      <c r="C2928" t="s">
        <v>9845</v>
      </c>
      <c r="D2928" s="1">
        <v>32142</v>
      </c>
      <c r="E2928" t="s">
        <v>92</v>
      </c>
      <c r="F2928">
        <v>100</v>
      </c>
      <c r="G2928" t="s">
        <v>93</v>
      </c>
      <c r="H2928">
        <v>2.21</v>
      </c>
      <c r="I2928">
        <v>82</v>
      </c>
      <c r="J2928">
        <v>-22.67</v>
      </c>
      <c r="K2928">
        <v>95</v>
      </c>
      <c r="L2928">
        <v>10.79</v>
      </c>
      <c r="M2928">
        <v>85</v>
      </c>
      <c r="N2928">
        <v>20.2</v>
      </c>
      <c r="O2928">
        <v>64</v>
      </c>
      <c r="P2928">
        <v>-3.75</v>
      </c>
      <c r="Q2928">
        <v>80</v>
      </c>
      <c r="R2928">
        <v>-16.05</v>
      </c>
      <c r="S2928">
        <v>72</v>
      </c>
      <c r="T2928">
        <v>21.67</v>
      </c>
      <c r="U2928">
        <v>72</v>
      </c>
      <c r="V2928">
        <v>-7.98</v>
      </c>
      <c r="W2928">
        <v>31</v>
      </c>
      <c r="X2928" t="s">
        <v>110</v>
      </c>
      <c r="Y2928" t="s">
        <v>95</v>
      </c>
      <c r="Z2928" t="s">
        <v>96</v>
      </c>
      <c r="AA2928" t="s">
        <v>707</v>
      </c>
      <c r="AB2928" t="s">
        <v>9846</v>
      </c>
      <c r="AC2928">
        <v>103</v>
      </c>
      <c r="AD2928">
        <v>64</v>
      </c>
      <c r="AE2928">
        <v>95</v>
      </c>
      <c r="AF2928">
        <v>9.74</v>
      </c>
      <c r="AG2928">
        <v>-2.93</v>
      </c>
      <c r="AH2928">
        <v>-2.67</v>
      </c>
      <c r="AI2928">
        <v>-0.05</v>
      </c>
      <c r="AJ2928">
        <v>-0.05</v>
      </c>
      <c r="AK2928">
        <v>85</v>
      </c>
      <c r="AL2928">
        <v>143</v>
      </c>
      <c r="AM2928">
        <v>79</v>
      </c>
      <c r="AN2928">
        <v>0.17</v>
      </c>
      <c r="AO2928">
        <v>1.04</v>
      </c>
      <c r="AP2928">
        <v>3</v>
      </c>
      <c r="AQ2928">
        <v>0</v>
      </c>
      <c r="AR2928">
        <v>3.88</v>
      </c>
      <c r="AS2928">
        <v>36</v>
      </c>
      <c r="AT2928">
        <v>1.71</v>
      </c>
      <c r="AU2928">
        <v>69</v>
      </c>
      <c r="AV2928">
        <v>-1.1000000000000001</v>
      </c>
      <c r="AW2928">
        <v>68</v>
      </c>
      <c r="AX2928">
        <v>-0.46</v>
      </c>
      <c r="AY2928">
        <v>76</v>
      </c>
      <c r="AZ2928">
        <v>7.85</v>
      </c>
      <c r="BA2928">
        <v>36</v>
      </c>
      <c r="BB2928">
        <v>6.02</v>
      </c>
      <c r="BC2928">
        <v>56</v>
      </c>
      <c r="BD2928">
        <v>0.06</v>
      </c>
      <c r="BE2928">
        <v>0.11</v>
      </c>
      <c r="BF2928">
        <v>0.06</v>
      </c>
      <c r="BG2928">
        <v>93</v>
      </c>
      <c r="BH2928">
        <v>-0.21</v>
      </c>
      <c r="BI2928">
        <v>1.44</v>
      </c>
      <c r="BJ2928">
        <v>4</v>
      </c>
      <c r="BK2928">
        <v>4</v>
      </c>
      <c r="BL2928">
        <v>-0.26</v>
      </c>
      <c r="BM2928">
        <v>-0.56000000000000005</v>
      </c>
      <c r="BN2928">
        <v>-0.96</v>
      </c>
      <c r="BO2928">
        <v>-0.72</v>
      </c>
      <c r="BP2928">
        <v>0.49</v>
      </c>
      <c r="BQ2928">
        <v>-1.93</v>
      </c>
      <c r="BR2928">
        <v>0.19</v>
      </c>
      <c r="BS2928">
        <v>-0.22</v>
      </c>
      <c r="BT2928">
        <v>-0.1</v>
      </c>
      <c r="BU2928">
        <v>-0.03</v>
      </c>
      <c r="BV2928">
        <v>-0.75</v>
      </c>
      <c r="BW2928">
        <v>-1.43</v>
      </c>
      <c r="BX2928">
        <v>-0.03</v>
      </c>
      <c r="BY2928">
        <v>-0.3</v>
      </c>
      <c r="BZ2928">
        <v>0.78</v>
      </c>
      <c r="CA2928">
        <v>-7.0000000000000007E-2</v>
      </c>
      <c r="CB2928">
        <v>-0.41</v>
      </c>
      <c r="CC2928">
        <v>0.4</v>
      </c>
      <c r="CD2928">
        <v>0.72</v>
      </c>
      <c r="CE2928">
        <v>-1.1599999999999999</v>
      </c>
      <c r="CF2928">
        <v>-1.21</v>
      </c>
      <c r="CG2928">
        <v>0</v>
      </c>
      <c r="CH2928">
        <v>-0.33</v>
      </c>
      <c r="CI2928">
        <v>0</v>
      </c>
      <c r="CJ2928">
        <v>0.2</v>
      </c>
      <c r="CK2928">
        <v>81</v>
      </c>
      <c r="CL2928">
        <v>-0.13</v>
      </c>
      <c r="CM2928">
        <v>78</v>
      </c>
      <c r="CN2928">
        <v>0.1</v>
      </c>
      <c r="CO2928">
        <v>74</v>
      </c>
      <c r="CP2928">
        <v>-10.1</v>
      </c>
      <c r="CQ2928">
        <v>86</v>
      </c>
      <c r="CR2928">
        <v>0</v>
      </c>
      <c r="CS2928">
        <v>0</v>
      </c>
      <c r="CT2928">
        <v>-15.5</v>
      </c>
      <c r="CU2928">
        <v>72</v>
      </c>
      <c r="CV2928">
        <v>0.1</v>
      </c>
      <c r="CW2928">
        <v>23</v>
      </c>
      <c r="CX2928" t="s">
        <v>120</v>
      </c>
    </row>
    <row r="2929" spans="1:102" x14ac:dyDescent="0.3">
      <c r="A2929" t="str">
        <f>HYPERLINK("https://webapp.icbf.com/v2/app/bull-search/view/910800216","S2273")</f>
        <v>S2273</v>
      </c>
      <c r="B2929" t="s">
        <v>8327</v>
      </c>
      <c r="C2929" t="s">
        <v>8328</v>
      </c>
      <c r="D2929" s="1">
        <v>39999</v>
      </c>
      <c r="E2929" t="s">
        <v>92</v>
      </c>
      <c r="F2929">
        <v>100</v>
      </c>
      <c r="G2929" t="s">
        <v>109</v>
      </c>
      <c r="H2929">
        <v>2.11</v>
      </c>
      <c r="I2929">
        <v>68</v>
      </c>
      <c r="J2929">
        <v>38.74</v>
      </c>
      <c r="K2929">
        <v>86</v>
      </c>
      <c r="L2929">
        <v>-43.71</v>
      </c>
      <c r="M2929">
        <v>81</v>
      </c>
      <c r="N2929">
        <v>16.02</v>
      </c>
      <c r="O2929">
        <v>43</v>
      </c>
      <c r="P2929">
        <v>-8.1999999999999993</v>
      </c>
      <c r="Q2929">
        <v>40</v>
      </c>
      <c r="R2929">
        <v>3.04</v>
      </c>
      <c r="S2929">
        <v>58</v>
      </c>
      <c r="T2929">
        <v>-3.49</v>
      </c>
      <c r="U2929">
        <v>30</v>
      </c>
      <c r="V2929">
        <v>-0.28999999999999998</v>
      </c>
      <c r="W2929">
        <v>19</v>
      </c>
      <c r="X2929" t="s">
        <v>94</v>
      </c>
      <c r="Y2929" t="s">
        <v>367</v>
      </c>
      <c r="Z2929" t="s">
        <v>96</v>
      </c>
      <c r="AA2929" t="s">
        <v>1962</v>
      </c>
      <c r="AB2929" t="s">
        <v>8329</v>
      </c>
      <c r="AC2929">
        <v>0</v>
      </c>
      <c r="AD2929">
        <v>0</v>
      </c>
      <c r="AE2929">
        <v>86</v>
      </c>
      <c r="AF2929">
        <v>502.57</v>
      </c>
      <c r="AG2929">
        <v>7.72</v>
      </c>
      <c r="AH2929">
        <v>11.55</v>
      </c>
      <c r="AI2929">
        <v>-0.18</v>
      </c>
      <c r="AJ2929">
        <v>-0.09</v>
      </c>
      <c r="AK2929">
        <v>81</v>
      </c>
      <c r="AL2929">
        <v>0</v>
      </c>
      <c r="AM2929">
        <v>0</v>
      </c>
      <c r="AN2929">
        <v>3.59</v>
      </c>
      <c r="AO2929">
        <v>0.12</v>
      </c>
      <c r="AP2929">
        <v>5</v>
      </c>
      <c r="AQ2929">
        <v>0</v>
      </c>
      <c r="AR2929">
        <v>8.2799999999999994</v>
      </c>
      <c r="AS2929">
        <v>35</v>
      </c>
      <c r="AT2929">
        <v>3.56</v>
      </c>
      <c r="AU2929">
        <v>87</v>
      </c>
      <c r="AV2929">
        <v>-2.4300000000000002</v>
      </c>
      <c r="AW2929">
        <v>28</v>
      </c>
      <c r="AX2929">
        <v>-0.01</v>
      </c>
      <c r="AY2929">
        <v>34</v>
      </c>
      <c r="AZ2929">
        <v>6.63</v>
      </c>
      <c r="BA2929">
        <v>25</v>
      </c>
      <c r="BB2929">
        <v>4.3899999999999997</v>
      </c>
      <c r="BC2929">
        <v>21</v>
      </c>
      <c r="BD2929">
        <v>-0.03</v>
      </c>
      <c r="BE2929">
        <v>0</v>
      </c>
      <c r="BF2929">
        <v>-0.02</v>
      </c>
      <c r="BG2929">
        <v>89</v>
      </c>
      <c r="BH2929">
        <v>-0.1</v>
      </c>
      <c r="BI2929">
        <v>-10.62</v>
      </c>
      <c r="BJ2929">
        <v>1</v>
      </c>
      <c r="BK2929">
        <v>1</v>
      </c>
      <c r="BL2929">
        <v>1.08</v>
      </c>
      <c r="BM2929">
        <v>-0.51</v>
      </c>
      <c r="BN2929">
        <v>0.61</v>
      </c>
      <c r="BO2929">
        <v>1.1399999999999999</v>
      </c>
      <c r="BP2929">
        <v>0.56999999999999995</v>
      </c>
      <c r="BQ2929">
        <v>2.89</v>
      </c>
      <c r="BR2929">
        <v>0.26</v>
      </c>
      <c r="BS2929">
        <v>1.34</v>
      </c>
      <c r="BT2929">
        <v>0.44</v>
      </c>
      <c r="BU2929">
        <v>4</v>
      </c>
      <c r="BV2929">
        <v>2.85</v>
      </c>
      <c r="BW2929">
        <v>1.64</v>
      </c>
      <c r="BX2929">
        <v>2.15</v>
      </c>
      <c r="BY2929">
        <v>1.99</v>
      </c>
      <c r="BZ2929">
        <v>0.9</v>
      </c>
      <c r="CA2929">
        <v>2.29</v>
      </c>
      <c r="CB2929">
        <v>2.4900000000000002</v>
      </c>
      <c r="CC2929">
        <v>1.02</v>
      </c>
      <c r="CD2929">
        <v>-0.6</v>
      </c>
      <c r="CE2929">
        <v>1.55</v>
      </c>
      <c r="CF2929">
        <v>1.7</v>
      </c>
      <c r="CG2929">
        <v>0</v>
      </c>
      <c r="CH2929">
        <v>2.34</v>
      </c>
      <c r="CI2929">
        <v>0</v>
      </c>
      <c r="CJ2929">
        <v>-1.7</v>
      </c>
      <c r="CK2929">
        <v>46</v>
      </c>
      <c r="CL2929">
        <v>-1.18</v>
      </c>
      <c r="CM2929">
        <v>32</v>
      </c>
      <c r="CN2929">
        <v>-0.54</v>
      </c>
      <c r="CO2929">
        <v>32</v>
      </c>
      <c r="CP2929">
        <v>0</v>
      </c>
      <c r="CQ2929">
        <v>32</v>
      </c>
      <c r="CR2929">
        <v>0</v>
      </c>
      <c r="CS2929">
        <v>0</v>
      </c>
      <c r="CT2929">
        <v>18.5</v>
      </c>
      <c r="CU2929">
        <v>30</v>
      </c>
      <c r="CV2929">
        <v>0.33</v>
      </c>
      <c r="CW2929">
        <v>13</v>
      </c>
      <c r="CX2929" t="s">
        <v>4548</v>
      </c>
    </row>
    <row r="2930" spans="1:102" x14ac:dyDescent="0.3">
      <c r="A2930" t="str">
        <f>HYPERLINK("https://webapp.icbf.com/v2/app/bull-search/view/77858794","DAY")</f>
        <v>DAY</v>
      </c>
      <c r="B2930" t="s">
        <v>3395</v>
      </c>
      <c r="C2930" t="s">
        <v>3396</v>
      </c>
      <c r="D2930" s="1">
        <v>32215</v>
      </c>
      <c r="E2930" t="s">
        <v>92</v>
      </c>
      <c r="F2930">
        <v>100</v>
      </c>
      <c r="G2930" t="s">
        <v>93</v>
      </c>
      <c r="H2930">
        <v>1.98</v>
      </c>
      <c r="I2930">
        <v>98</v>
      </c>
      <c r="J2930">
        <v>-4.07</v>
      </c>
      <c r="K2930">
        <v>99</v>
      </c>
      <c r="L2930">
        <v>-3.85</v>
      </c>
      <c r="M2930">
        <v>97</v>
      </c>
      <c r="N2930">
        <v>10.52</v>
      </c>
      <c r="O2930">
        <v>99</v>
      </c>
      <c r="P2930">
        <v>4.62</v>
      </c>
      <c r="Q2930">
        <v>99</v>
      </c>
      <c r="R2930">
        <v>-2.52</v>
      </c>
      <c r="S2930">
        <v>97</v>
      </c>
      <c r="T2930">
        <v>-7.26</v>
      </c>
      <c r="U2930">
        <v>99</v>
      </c>
      <c r="V2930">
        <v>4.54</v>
      </c>
      <c r="W2930">
        <v>98</v>
      </c>
      <c r="X2930" t="s">
        <v>102</v>
      </c>
      <c r="Y2930" t="s">
        <v>95</v>
      </c>
      <c r="Z2930" t="s">
        <v>96</v>
      </c>
      <c r="AA2930" t="s">
        <v>128</v>
      </c>
      <c r="AB2930" t="s">
        <v>3397</v>
      </c>
      <c r="AC2930">
        <v>4773</v>
      </c>
      <c r="AD2930">
        <v>1176</v>
      </c>
      <c r="AE2930">
        <v>99</v>
      </c>
      <c r="AF2930">
        <v>9.81</v>
      </c>
      <c r="AG2930">
        <v>0.84</v>
      </c>
      <c r="AH2930">
        <v>-0.84</v>
      </c>
      <c r="AI2930">
        <v>0.01</v>
      </c>
      <c r="AJ2930">
        <v>-0.02</v>
      </c>
      <c r="AK2930">
        <v>97</v>
      </c>
      <c r="AL2930">
        <v>7394</v>
      </c>
      <c r="AM2930">
        <v>2133</v>
      </c>
      <c r="AN2930">
        <v>-0.05</v>
      </c>
      <c r="AO2930">
        <v>-0.36</v>
      </c>
      <c r="AP2930">
        <v>894</v>
      </c>
      <c r="AQ2930">
        <v>4</v>
      </c>
      <c r="AR2930">
        <v>6.63</v>
      </c>
      <c r="AS2930">
        <v>96</v>
      </c>
      <c r="AT2930">
        <v>2.57</v>
      </c>
      <c r="AU2930">
        <v>99</v>
      </c>
      <c r="AV2930">
        <v>-0.45</v>
      </c>
      <c r="AW2930">
        <v>99</v>
      </c>
      <c r="AX2930">
        <v>-0.27</v>
      </c>
      <c r="AY2930">
        <v>99</v>
      </c>
      <c r="AZ2930">
        <v>6.46</v>
      </c>
      <c r="BA2930">
        <v>96</v>
      </c>
      <c r="BB2930">
        <v>5.15</v>
      </c>
      <c r="BC2930">
        <v>98</v>
      </c>
      <c r="BD2930">
        <v>0.06</v>
      </c>
      <c r="BE2930">
        <v>0.02</v>
      </c>
      <c r="BF2930">
        <v>-0.08</v>
      </c>
      <c r="BG2930">
        <v>99</v>
      </c>
      <c r="BH2930">
        <v>0.21</v>
      </c>
      <c r="BI2930">
        <v>9.66</v>
      </c>
      <c r="BJ2930">
        <v>276</v>
      </c>
      <c r="BK2930">
        <v>150</v>
      </c>
      <c r="BL2930">
        <v>0.44</v>
      </c>
      <c r="BM2930">
        <v>2.72</v>
      </c>
      <c r="BN2930">
        <v>0.75</v>
      </c>
      <c r="BO2930">
        <v>-0.96</v>
      </c>
      <c r="BP2930">
        <v>-0.22</v>
      </c>
      <c r="BQ2930">
        <v>2.96</v>
      </c>
      <c r="BR2930">
        <v>1.49</v>
      </c>
      <c r="BS2930">
        <v>-1.53</v>
      </c>
      <c r="BT2930">
        <v>1.18</v>
      </c>
      <c r="BU2930">
        <v>-0.15</v>
      </c>
      <c r="BV2930">
        <v>-0.99</v>
      </c>
      <c r="BW2930">
        <v>-1.08</v>
      </c>
      <c r="BX2930">
        <v>-0.81</v>
      </c>
      <c r="BY2930">
        <v>-2.13</v>
      </c>
      <c r="BZ2930">
        <v>-1.33</v>
      </c>
      <c r="CA2930">
        <v>-1.04</v>
      </c>
      <c r="CB2930">
        <v>-0.41</v>
      </c>
      <c r="CC2930">
        <v>-1.87</v>
      </c>
      <c r="CD2930">
        <v>1.3</v>
      </c>
      <c r="CE2930">
        <v>-0.73</v>
      </c>
      <c r="CF2930">
        <v>1.06</v>
      </c>
      <c r="CG2930">
        <v>0</v>
      </c>
      <c r="CH2930">
        <v>-2.15</v>
      </c>
      <c r="CI2930">
        <v>0</v>
      </c>
      <c r="CJ2930">
        <v>4.9000000000000004</v>
      </c>
      <c r="CK2930">
        <v>99</v>
      </c>
      <c r="CL2930">
        <v>-0.37</v>
      </c>
      <c r="CM2930">
        <v>99</v>
      </c>
      <c r="CN2930">
        <v>-0.02</v>
      </c>
      <c r="CO2930">
        <v>99</v>
      </c>
      <c r="CP2930">
        <v>9.6</v>
      </c>
      <c r="CQ2930">
        <v>99</v>
      </c>
      <c r="CR2930">
        <v>0</v>
      </c>
      <c r="CS2930">
        <v>0</v>
      </c>
      <c r="CT2930">
        <v>23.6</v>
      </c>
      <c r="CU2930">
        <v>99</v>
      </c>
      <c r="CV2930">
        <v>0.16</v>
      </c>
      <c r="CW2930">
        <v>47</v>
      </c>
      <c r="CX2930" t="s">
        <v>3398</v>
      </c>
    </row>
    <row r="2931" spans="1:102" x14ac:dyDescent="0.3">
      <c r="A2931" t="str">
        <f>HYPERLINK("https://webapp.icbf.com/v2/app/bull-search/view/474731403","RLP")</f>
        <v>RLP</v>
      </c>
      <c r="B2931" t="s">
        <v>15228</v>
      </c>
      <c r="C2931" t="s">
        <v>12748</v>
      </c>
      <c r="D2931" s="1">
        <v>36603</v>
      </c>
      <c r="E2931" t="s">
        <v>140</v>
      </c>
      <c r="F2931">
        <v>0</v>
      </c>
      <c r="G2931" t="s">
        <v>93</v>
      </c>
      <c r="H2931">
        <v>1.72</v>
      </c>
      <c r="I2931">
        <v>92</v>
      </c>
      <c r="J2931">
        <v>23.59</v>
      </c>
      <c r="K2931">
        <v>98</v>
      </c>
      <c r="L2931">
        <v>2.38</v>
      </c>
      <c r="M2931">
        <v>86</v>
      </c>
      <c r="N2931">
        <v>-53.07</v>
      </c>
      <c r="O2931">
        <v>94</v>
      </c>
      <c r="P2931">
        <v>15.43</v>
      </c>
      <c r="Q2931">
        <v>98</v>
      </c>
      <c r="R2931">
        <v>16.03</v>
      </c>
      <c r="S2931">
        <v>87</v>
      </c>
      <c r="T2931">
        <v>8.0500000000000007</v>
      </c>
      <c r="U2931">
        <v>94</v>
      </c>
      <c r="V2931">
        <v>-10.69</v>
      </c>
      <c r="W2931">
        <v>88</v>
      </c>
      <c r="X2931" t="s">
        <v>102</v>
      </c>
      <c r="Y2931" t="s">
        <v>221</v>
      </c>
      <c r="Z2931">
        <v>0</v>
      </c>
      <c r="AA2931" t="s">
        <v>222</v>
      </c>
      <c r="AB2931" t="s">
        <v>15229</v>
      </c>
      <c r="AC2931">
        <v>228</v>
      </c>
      <c r="AD2931">
        <v>80</v>
      </c>
      <c r="AE2931">
        <v>98</v>
      </c>
      <c r="AF2931">
        <v>47.73</v>
      </c>
      <c r="AG2931">
        <v>2.1</v>
      </c>
      <c r="AH2931">
        <v>4</v>
      </c>
      <c r="AI2931">
        <v>0</v>
      </c>
      <c r="AJ2931">
        <v>0.04</v>
      </c>
      <c r="AK2931">
        <v>86</v>
      </c>
      <c r="AL2931">
        <v>342</v>
      </c>
      <c r="AM2931">
        <v>134</v>
      </c>
      <c r="AN2931">
        <v>-0.14000000000000001</v>
      </c>
      <c r="AO2931">
        <v>0.05</v>
      </c>
      <c r="AP2931">
        <v>689</v>
      </c>
      <c r="AQ2931">
        <v>15</v>
      </c>
      <c r="AR2931">
        <v>10.91</v>
      </c>
      <c r="AS2931">
        <v>84</v>
      </c>
      <c r="AT2931">
        <v>5.47</v>
      </c>
      <c r="AU2931">
        <v>95</v>
      </c>
      <c r="AV2931">
        <v>2.63</v>
      </c>
      <c r="AW2931">
        <v>99</v>
      </c>
      <c r="AX2931">
        <v>-0.19</v>
      </c>
      <c r="AY2931">
        <v>94</v>
      </c>
      <c r="AZ2931">
        <v>6.37</v>
      </c>
      <c r="BA2931">
        <v>82</v>
      </c>
      <c r="BB2931">
        <v>4.21</v>
      </c>
      <c r="BC2931">
        <v>83</v>
      </c>
      <c r="BD2931">
        <v>-0.04</v>
      </c>
      <c r="BE2931">
        <v>-0.08</v>
      </c>
      <c r="BF2931">
        <v>-0.15</v>
      </c>
      <c r="BG2931">
        <v>94</v>
      </c>
      <c r="BH2931">
        <v>-0.38</v>
      </c>
      <c r="BI2931">
        <v>-9.4700000000000006</v>
      </c>
      <c r="BJ2931">
        <v>0</v>
      </c>
      <c r="BK2931">
        <v>0</v>
      </c>
      <c r="BL2931">
        <v>-1.1399999999999999</v>
      </c>
      <c r="BM2931">
        <v>3.26</v>
      </c>
      <c r="BN2931">
        <v>-1.88</v>
      </c>
      <c r="BO2931">
        <v>-3.04</v>
      </c>
      <c r="BP2931">
        <v>3.53</v>
      </c>
      <c r="BQ2931">
        <v>-1.77</v>
      </c>
      <c r="BR2931">
        <v>-2.68</v>
      </c>
      <c r="BS2931">
        <v>-0.74</v>
      </c>
      <c r="BT2931">
        <v>2.62</v>
      </c>
      <c r="BU2931">
        <v>-3.74</v>
      </c>
      <c r="BV2931">
        <v>-4</v>
      </c>
      <c r="BW2931">
        <v>-3.13</v>
      </c>
      <c r="BX2931">
        <v>-3.15</v>
      </c>
      <c r="BY2931">
        <v>-2.52</v>
      </c>
      <c r="BZ2931">
        <v>0.84</v>
      </c>
      <c r="CA2931">
        <v>-2.64</v>
      </c>
      <c r="CB2931">
        <v>-3.2</v>
      </c>
      <c r="CC2931">
        <v>-0.72</v>
      </c>
      <c r="CD2931">
        <v>3.71</v>
      </c>
      <c r="CE2931">
        <v>-2.8</v>
      </c>
      <c r="CF2931">
        <v>-1.58</v>
      </c>
      <c r="CG2931">
        <v>0</v>
      </c>
      <c r="CH2931">
        <v>-3.05</v>
      </c>
      <c r="CI2931">
        <v>0</v>
      </c>
      <c r="CJ2931">
        <v>4</v>
      </c>
      <c r="CK2931">
        <v>99</v>
      </c>
      <c r="CL2931">
        <v>0.41</v>
      </c>
      <c r="CM2931">
        <v>98</v>
      </c>
      <c r="CN2931">
        <v>-0.47</v>
      </c>
      <c r="CO2931">
        <v>98</v>
      </c>
      <c r="CP2931">
        <v>1.2</v>
      </c>
      <c r="CQ2931">
        <v>94</v>
      </c>
      <c r="CR2931">
        <v>0</v>
      </c>
      <c r="CS2931">
        <v>0</v>
      </c>
      <c r="CT2931">
        <v>2.9</v>
      </c>
      <c r="CU2931">
        <v>94</v>
      </c>
      <c r="CV2931">
        <v>0.09</v>
      </c>
      <c r="CW2931">
        <v>46</v>
      </c>
      <c r="CX2931" t="s">
        <v>141</v>
      </c>
    </row>
    <row r="2932" spans="1:102" x14ac:dyDescent="0.3">
      <c r="A2932" t="str">
        <f>HYPERLINK("https://webapp.icbf.com/v2/app/bull-search/view/1467028846","MO4194")</f>
        <v>MO4194</v>
      </c>
      <c r="B2932" t="s">
        <v>3128</v>
      </c>
      <c r="C2932" t="s">
        <v>3129</v>
      </c>
      <c r="D2932" s="1">
        <v>41936</v>
      </c>
      <c r="E2932" t="s">
        <v>140</v>
      </c>
      <c r="F2932">
        <v>0</v>
      </c>
      <c r="G2932" t="s">
        <v>435</v>
      </c>
      <c r="H2932">
        <v>1.69</v>
      </c>
      <c r="I2932">
        <v>56</v>
      </c>
      <c r="J2932">
        <v>20.28</v>
      </c>
      <c r="K2932">
        <v>71</v>
      </c>
      <c r="L2932">
        <v>-1.93</v>
      </c>
      <c r="M2932">
        <v>49</v>
      </c>
      <c r="N2932">
        <v>-24.42</v>
      </c>
      <c r="O2932">
        <v>60</v>
      </c>
      <c r="P2932">
        <v>18.149999999999999</v>
      </c>
      <c r="Q2932">
        <v>42</v>
      </c>
      <c r="R2932">
        <v>3.62</v>
      </c>
      <c r="S2932">
        <v>48</v>
      </c>
      <c r="T2932">
        <v>-1.64</v>
      </c>
      <c r="U2932">
        <v>35</v>
      </c>
      <c r="V2932">
        <v>-12.37</v>
      </c>
      <c r="W2932">
        <v>46</v>
      </c>
      <c r="X2932" t="s">
        <v>94</v>
      </c>
      <c r="Y2932" t="s">
        <v>2261</v>
      </c>
      <c r="Z2932">
        <v>0</v>
      </c>
      <c r="AA2932" t="s">
        <v>3130</v>
      </c>
      <c r="AB2932" t="s">
        <v>3131</v>
      </c>
      <c r="AC2932">
        <v>0</v>
      </c>
      <c r="AD2932">
        <v>0</v>
      </c>
      <c r="AE2932">
        <v>71</v>
      </c>
      <c r="AF2932">
        <v>65.28</v>
      </c>
      <c r="AG2932">
        <v>5.99</v>
      </c>
      <c r="AH2932">
        <v>2.33</v>
      </c>
      <c r="AI2932">
        <v>0.06</v>
      </c>
      <c r="AJ2932">
        <v>0.01</v>
      </c>
      <c r="AK2932">
        <v>49</v>
      </c>
      <c r="AL2932">
        <v>0</v>
      </c>
      <c r="AM2932">
        <v>0</v>
      </c>
      <c r="AN2932">
        <v>0.44</v>
      </c>
      <c r="AO2932">
        <v>0.28999999999999998</v>
      </c>
      <c r="AP2932">
        <v>36</v>
      </c>
      <c r="AQ2932">
        <v>1</v>
      </c>
      <c r="AR2932">
        <v>8.66</v>
      </c>
      <c r="AS2932">
        <v>43</v>
      </c>
      <c r="AT2932">
        <v>4.43</v>
      </c>
      <c r="AU2932">
        <v>65</v>
      </c>
      <c r="AV2932">
        <v>1.54</v>
      </c>
      <c r="AW2932">
        <v>75</v>
      </c>
      <c r="AX2932">
        <v>0.64</v>
      </c>
      <c r="AY2932">
        <v>54</v>
      </c>
      <c r="AZ2932">
        <v>5.7</v>
      </c>
      <c r="BA2932">
        <v>32</v>
      </c>
      <c r="BB2932">
        <v>4.07</v>
      </c>
      <c r="BC2932">
        <v>28</v>
      </c>
      <c r="BD2932">
        <v>0.01</v>
      </c>
      <c r="BE2932">
        <v>0</v>
      </c>
      <c r="BF2932">
        <v>-0.1</v>
      </c>
      <c r="BG2932">
        <v>53</v>
      </c>
      <c r="BH2932">
        <v>-0.33</v>
      </c>
      <c r="BI2932">
        <v>1.73</v>
      </c>
      <c r="BJ2932">
        <v>0</v>
      </c>
      <c r="BK2932">
        <v>0</v>
      </c>
      <c r="BL2932">
        <v>-0.75</v>
      </c>
      <c r="BM2932">
        <v>3.67</v>
      </c>
      <c r="BN2932">
        <v>-1.62</v>
      </c>
      <c r="BO2932">
        <v>-3.06</v>
      </c>
      <c r="BP2932">
        <v>4.25</v>
      </c>
      <c r="BQ2932">
        <v>-1.85</v>
      </c>
      <c r="BR2932">
        <v>-2.68</v>
      </c>
      <c r="BS2932">
        <v>-0.33</v>
      </c>
      <c r="BT2932">
        <v>2.57</v>
      </c>
      <c r="BU2932">
        <v>-3.42</v>
      </c>
      <c r="BV2932">
        <v>-3.92</v>
      </c>
      <c r="BW2932">
        <v>-3</v>
      </c>
      <c r="BX2932">
        <v>-2.75</v>
      </c>
      <c r="BY2932">
        <v>-2.04</v>
      </c>
      <c r="BZ2932">
        <v>1.28</v>
      </c>
      <c r="CA2932">
        <v>-2.4700000000000002</v>
      </c>
      <c r="CB2932">
        <v>-3.2</v>
      </c>
      <c r="CC2932">
        <v>-0.35</v>
      </c>
      <c r="CD2932">
        <v>3.97</v>
      </c>
      <c r="CE2932">
        <v>-2.96</v>
      </c>
      <c r="CF2932">
        <v>-1</v>
      </c>
      <c r="CG2932">
        <v>0</v>
      </c>
      <c r="CH2932">
        <v>-2.6</v>
      </c>
      <c r="CI2932">
        <v>0</v>
      </c>
      <c r="CJ2932">
        <v>7.5</v>
      </c>
      <c r="CK2932">
        <v>42</v>
      </c>
      <c r="CL2932">
        <v>0.18</v>
      </c>
      <c r="CM2932">
        <v>42</v>
      </c>
      <c r="CN2932">
        <v>-0.42</v>
      </c>
      <c r="CO2932">
        <v>42</v>
      </c>
      <c r="CP2932">
        <v>6.8</v>
      </c>
      <c r="CQ2932">
        <v>36</v>
      </c>
      <c r="CR2932">
        <v>0</v>
      </c>
      <c r="CS2932">
        <v>0</v>
      </c>
      <c r="CT2932">
        <v>16</v>
      </c>
      <c r="CU2932">
        <v>35</v>
      </c>
      <c r="CV2932">
        <v>0.16</v>
      </c>
      <c r="CW2932">
        <v>34</v>
      </c>
      <c r="CX2932" t="s">
        <v>3132</v>
      </c>
    </row>
    <row r="2933" spans="1:102" x14ac:dyDescent="0.3">
      <c r="A2933" t="str">
        <f>HYPERLINK("https://webapp.icbf.com/v2/app/bull-search/view/77858242","ENM")</f>
        <v>ENM</v>
      </c>
      <c r="B2933" t="s">
        <v>5194</v>
      </c>
      <c r="C2933" t="s">
        <v>2594</v>
      </c>
      <c r="D2933" s="1">
        <v>33057</v>
      </c>
      <c r="E2933" t="s">
        <v>92</v>
      </c>
      <c r="F2933">
        <v>100</v>
      </c>
      <c r="G2933" t="s">
        <v>93</v>
      </c>
      <c r="H2933">
        <v>1.65</v>
      </c>
      <c r="I2933">
        <v>97</v>
      </c>
      <c r="J2933">
        <v>40.22</v>
      </c>
      <c r="K2933">
        <v>99</v>
      </c>
      <c r="L2933">
        <v>-43.3</v>
      </c>
      <c r="M2933">
        <v>95</v>
      </c>
      <c r="N2933">
        <v>1.9</v>
      </c>
      <c r="O2933">
        <v>96</v>
      </c>
      <c r="P2933">
        <v>-1.08</v>
      </c>
      <c r="Q2933">
        <v>99</v>
      </c>
      <c r="R2933">
        <v>0.42</v>
      </c>
      <c r="S2933">
        <v>94</v>
      </c>
      <c r="T2933">
        <v>0.8</v>
      </c>
      <c r="U2933">
        <v>98</v>
      </c>
      <c r="V2933">
        <v>2.69</v>
      </c>
      <c r="W2933">
        <v>92</v>
      </c>
      <c r="X2933" t="s">
        <v>102</v>
      </c>
      <c r="Y2933" t="s">
        <v>95</v>
      </c>
      <c r="Z2933" t="s">
        <v>96</v>
      </c>
      <c r="AA2933" t="s">
        <v>3622</v>
      </c>
      <c r="AB2933" t="s">
        <v>3623</v>
      </c>
      <c r="AC2933">
        <v>1282</v>
      </c>
      <c r="AD2933">
        <v>515</v>
      </c>
      <c r="AE2933">
        <v>99</v>
      </c>
      <c r="AF2933">
        <v>171.24</v>
      </c>
      <c r="AG2933">
        <v>6.9</v>
      </c>
      <c r="AH2933">
        <v>7.02</v>
      </c>
      <c r="AI2933">
        <v>0</v>
      </c>
      <c r="AJ2933">
        <v>0.02</v>
      </c>
      <c r="AK2933">
        <v>95</v>
      </c>
      <c r="AL2933">
        <v>1479</v>
      </c>
      <c r="AM2933">
        <v>561</v>
      </c>
      <c r="AN2933">
        <v>4.16</v>
      </c>
      <c r="AO2933">
        <v>0.73</v>
      </c>
      <c r="AP2933">
        <v>90</v>
      </c>
      <c r="AQ2933">
        <v>0</v>
      </c>
      <c r="AR2933">
        <v>8.83</v>
      </c>
      <c r="AS2933">
        <v>90</v>
      </c>
      <c r="AT2933">
        <v>3.57</v>
      </c>
      <c r="AU2933">
        <v>97</v>
      </c>
      <c r="AV2933">
        <v>-0.93</v>
      </c>
      <c r="AW2933">
        <v>97</v>
      </c>
      <c r="AX2933">
        <v>-7.0000000000000007E-2</v>
      </c>
      <c r="AY2933">
        <v>98</v>
      </c>
      <c r="AZ2933">
        <v>6.31</v>
      </c>
      <c r="BA2933">
        <v>90</v>
      </c>
      <c r="BB2933">
        <v>4.6500000000000004</v>
      </c>
      <c r="BC2933">
        <v>95</v>
      </c>
      <c r="BD2933">
        <v>-0.04</v>
      </c>
      <c r="BE2933">
        <v>0.03</v>
      </c>
      <c r="BF2933">
        <v>0</v>
      </c>
      <c r="BG2933">
        <v>99</v>
      </c>
      <c r="BH2933">
        <v>0.08</v>
      </c>
      <c r="BI2933">
        <v>0.56999999999999995</v>
      </c>
      <c r="BJ2933">
        <v>69</v>
      </c>
      <c r="BK2933">
        <v>36</v>
      </c>
      <c r="BL2933">
        <v>0.93</v>
      </c>
      <c r="BM2933">
        <v>0.81</v>
      </c>
      <c r="BN2933">
        <v>1.45</v>
      </c>
      <c r="BO2933">
        <v>0.64</v>
      </c>
      <c r="BP2933">
        <v>1.55</v>
      </c>
      <c r="BQ2933">
        <v>0.82</v>
      </c>
      <c r="BR2933">
        <v>1.51</v>
      </c>
      <c r="BS2933">
        <v>-2.7</v>
      </c>
      <c r="BT2933">
        <v>-1.89</v>
      </c>
      <c r="BU2933">
        <v>-0.36</v>
      </c>
      <c r="BV2933">
        <v>-0.11</v>
      </c>
      <c r="BW2933">
        <v>-0.24</v>
      </c>
      <c r="BX2933">
        <v>-0.41</v>
      </c>
      <c r="BY2933">
        <v>-0.39</v>
      </c>
      <c r="BZ2933">
        <v>-0.4</v>
      </c>
      <c r="CA2933">
        <v>-1.26</v>
      </c>
      <c r="CB2933">
        <v>-0.68</v>
      </c>
      <c r="CC2933">
        <v>-1.72</v>
      </c>
      <c r="CD2933">
        <v>-0.46</v>
      </c>
      <c r="CE2933">
        <v>0.96</v>
      </c>
      <c r="CF2933">
        <v>1.67</v>
      </c>
      <c r="CG2933">
        <v>0</v>
      </c>
      <c r="CH2933">
        <v>-0.45</v>
      </c>
      <c r="CI2933">
        <v>0</v>
      </c>
      <c r="CJ2933">
        <v>3.3</v>
      </c>
      <c r="CK2933">
        <v>99</v>
      </c>
      <c r="CL2933">
        <v>-0.61</v>
      </c>
      <c r="CM2933">
        <v>99</v>
      </c>
      <c r="CN2933">
        <v>-0.04</v>
      </c>
      <c r="CO2933">
        <v>98</v>
      </c>
      <c r="CP2933">
        <v>1.3</v>
      </c>
      <c r="CQ2933">
        <v>99</v>
      </c>
      <c r="CR2933">
        <v>0</v>
      </c>
      <c r="CS2933">
        <v>0</v>
      </c>
      <c r="CT2933">
        <v>12.7</v>
      </c>
      <c r="CU2933">
        <v>98</v>
      </c>
      <c r="CV2933">
        <v>0.2</v>
      </c>
      <c r="CW2933">
        <v>46</v>
      </c>
      <c r="CX2933" t="s">
        <v>543</v>
      </c>
    </row>
    <row r="2934" spans="1:102" x14ac:dyDescent="0.3">
      <c r="A2934" t="str">
        <f>HYPERLINK("https://webapp.icbf.com/v2/app/bull-search/view/860627488","KSK")</f>
        <v>KSK</v>
      </c>
      <c r="B2934" t="s">
        <v>9179</v>
      </c>
      <c r="C2934" t="s">
        <v>9180</v>
      </c>
      <c r="D2934" s="1">
        <v>40579</v>
      </c>
      <c r="E2934" t="s">
        <v>92</v>
      </c>
      <c r="F2934">
        <v>66</v>
      </c>
      <c r="G2934" t="s">
        <v>93</v>
      </c>
      <c r="H2934">
        <v>1.55</v>
      </c>
      <c r="I2934">
        <v>98</v>
      </c>
      <c r="J2934">
        <v>-5.4</v>
      </c>
      <c r="K2934">
        <v>99</v>
      </c>
      <c r="L2934">
        <v>-3.74</v>
      </c>
      <c r="M2934">
        <v>97</v>
      </c>
      <c r="N2934">
        <v>-0.38</v>
      </c>
      <c r="O2934">
        <v>99</v>
      </c>
      <c r="P2934">
        <v>-28.69</v>
      </c>
      <c r="Q2934">
        <v>99</v>
      </c>
      <c r="R2934">
        <v>5.7</v>
      </c>
      <c r="S2934">
        <v>98</v>
      </c>
      <c r="T2934">
        <v>30.18</v>
      </c>
      <c r="U2934">
        <v>99</v>
      </c>
      <c r="V2934">
        <v>3.88</v>
      </c>
      <c r="W2934">
        <v>88</v>
      </c>
      <c r="X2934" t="s">
        <v>94</v>
      </c>
      <c r="Y2934" t="s">
        <v>1860</v>
      </c>
      <c r="Z2934" t="s">
        <v>96</v>
      </c>
      <c r="AA2934" t="s">
        <v>419</v>
      </c>
      <c r="AB2934" t="s">
        <v>9181</v>
      </c>
      <c r="AC2934">
        <v>13157</v>
      </c>
      <c r="AD2934">
        <v>3010</v>
      </c>
      <c r="AE2934">
        <v>99</v>
      </c>
      <c r="AF2934">
        <v>189.45</v>
      </c>
      <c r="AG2934">
        <v>-6.16</v>
      </c>
      <c r="AH2934">
        <v>4.16</v>
      </c>
      <c r="AI2934">
        <v>-0.23</v>
      </c>
      <c r="AJ2934">
        <v>-0.04</v>
      </c>
      <c r="AK2934">
        <v>97</v>
      </c>
      <c r="AL2934">
        <v>15960</v>
      </c>
      <c r="AM2934">
        <v>4349</v>
      </c>
      <c r="AN2934">
        <v>0.09</v>
      </c>
      <c r="AO2934">
        <v>-0.21</v>
      </c>
      <c r="AP2934">
        <v>27191</v>
      </c>
      <c r="AQ2934">
        <v>155</v>
      </c>
      <c r="AR2934">
        <v>8.39</v>
      </c>
      <c r="AS2934">
        <v>99</v>
      </c>
      <c r="AT2934">
        <v>2.98</v>
      </c>
      <c r="AU2934">
        <v>99</v>
      </c>
      <c r="AV2934">
        <v>-2.13</v>
      </c>
      <c r="AW2934">
        <v>99</v>
      </c>
      <c r="AX2934">
        <v>-0.28000000000000003</v>
      </c>
      <c r="AY2934">
        <v>99</v>
      </c>
      <c r="AZ2934">
        <v>11.15</v>
      </c>
      <c r="BA2934">
        <v>99</v>
      </c>
      <c r="BB2934">
        <v>6.54</v>
      </c>
      <c r="BC2934">
        <v>99</v>
      </c>
      <c r="BD2934">
        <v>-0.03</v>
      </c>
      <c r="BE2934">
        <v>0.01</v>
      </c>
      <c r="BF2934">
        <v>-0.1</v>
      </c>
      <c r="BG2934">
        <v>99</v>
      </c>
      <c r="BH2934">
        <v>-0.08</v>
      </c>
      <c r="BI2934">
        <v>-21.78</v>
      </c>
      <c r="BJ2934">
        <v>331</v>
      </c>
      <c r="BK2934">
        <v>133</v>
      </c>
      <c r="BL2934">
        <v>-3.18</v>
      </c>
      <c r="BM2934">
        <v>-1.49</v>
      </c>
      <c r="BN2934">
        <v>-1.84</v>
      </c>
      <c r="BO2934">
        <v>-0.97</v>
      </c>
      <c r="BP2934">
        <v>-1.73</v>
      </c>
      <c r="BQ2934">
        <v>-2.76</v>
      </c>
      <c r="BR2934">
        <v>0.87</v>
      </c>
      <c r="BS2934">
        <v>-1.51</v>
      </c>
      <c r="BT2934">
        <v>-2.15</v>
      </c>
      <c r="BU2934">
        <v>1.73</v>
      </c>
      <c r="BV2934">
        <v>0.75</v>
      </c>
      <c r="BW2934">
        <v>-0.46</v>
      </c>
      <c r="BX2934">
        <v>0.54</v>
      </c>
      <c r="BY2934">
        <v>-1.1399999999999999</v>
      </c>
      <c r="BZ2934">
        <v>-2.02</v>
      </c>
      <c r="CA2934">
        <v>-0.96</v>
      </c>
      <c r="CB2934">
        <v>-0.3</v>
      </c>
      <c r="CC2934">
        <v>-1.9</v>
      </c>
      <c r="CD2934">
        <v>-0.19</v>
      </c>
      <c r="CE2934">
        <v>-0.87</v>
      </c>
      <c r="CF2934">
        <v>-3.19</v>
      </c>
      <c r="CG2934">
        <v>0</v>
      </c>
      <c r="CH2934">
        <v>-1.1100000000000001</v>
      </c>
      <c r="CI2934">
        <v>0</v>
      </c>
      <c r="CJ2934">
        <v>-14.7</v>
      </c>
      <c r="CK2934">
        <v>99</v>
      </c>
      <c r="CL2934">
        <v>-0.68</v>
      </c>
      <c r="CM2934">
        <v>99</v>
      </c>
      <c r="CN2934">
        <v>-7.0000000000000007E-2</v>
      </c>
      <c r="CO2934">
        <v>99</v>
      </c>
      <c r="CP2934">
        <v>-14.7</v>
      </c>
      <c r="CQ2934">
        <v>99</v>
      </c>
      <c r="CR2934">
        <v>0</v>
      </c>
      <c r="CS2934">
        <v>0</v>
      </c>
      <c r="CT2934">
        <v>-27</v>
      </c>
      <c r="CU2934">
        <v>99</v>
      </c>
      <c r="CV2934">
        <v>-0.09</v>
      </c>
      <c r="CW2934">
        <v>49</v>
      </c>
      <c r="CX2934" t="s">
        <v>1514</v>
      </c>
    </row>
    <row r="2935" spans="1:102" x14ac:dyDescent="0.3">
      <c r="A2935" t="str">
        <f>HYPERLINK("https://webapp.icbf.com/v2/app/bull-search/view/124414793","JEF")</f>
        <v>JEF</v>
      </c>
      <c r="B2935" t="s">
        <v>4036</v>
      </c>
      <c r="C2935" t="s">
        <v>4037</v>
      </c>
      <c r="D2935" s="1">
        <v>35188</v>
      </c>
      <c r="E2935" t="s">
        <v>92</v>
      </c>
      <c r="F2935">
        <v>100</v>
      </c>
      <c r="G2935" t="s">
        <v>93</v>
      </c>
      <c r="H2935">
        <v>1.42</v>
      </c>
      <c r="I2935">
        <v>95</v>
      </c>
      <c r="J2935">
        <v>34.299999999999997</v>
      </c>
      <c r="K2935">
        <v>99</v>
      </c>
      <c r="L2935">
        <v>-88.01</v>
      </c>
      <c r="M2935">
        <v>92</v>
      </c>
      <c r="N2935">
        <v>41.22</v>
      </c>
      <c r="O2935">
        <v>94</v>
      </c>
      <c r="P2935">
        <v>-15.23</v>
      </c>
      <c r="Q2935">
        <v>98</v>
      </c>
      <c r="R2935">
        <v>9</v>
      </c>
      <c r="S2935">
        <v>90</v>
      </c>
      <c r="T2935">
        <v>12.72</v>
      </c>
      <c r="U2935">
        <v>96</v>
      </c>
      <c r="V2935">
        <v>7.42</v>
      </c>
      <c r="W2935">
        <v>92</v>
      </c>
      <c r="X2935" t="s">
        <v>102</v>
      </c>
      <c r="Y2935" t="s">
        <v>95</v>
      </c>
      <c r="Z2935" t="s">
        <v>96</v>
      </c>
      <c r="AA2935" t="s">
        <v>839</v>
      </c>
      <c r="AB2935" t="s">
        <v>4038</v>
      </c>
      <c r="AC2935">
        <v>357</v>
      </c>
      <c r="AD2935">
        <v>144</v>
      </c>
      <c r="AE2935">
        <v>99</v>
      </c>
      <c r="AF2935">
        <v>136.22999999999999</v>
      </c>
      <c r="AG2935">
        <v>9.2100000000000009</v>
      </c>
      <c r="AH2935">
        <v>4.66</v>
      </c>
      <c r="AI2935">
        <v>7.0000000000000007E-2</v>
      </c>
      <c r="AJ2935">
        <v>0</v>
      </c>
      <c r="AK2935">
        <v>92</v>
      </c>
      <c r="AL2935">
        <v>374</v>
      </c>
      <c r="AM2935">
        <v>161</v>
      </c>
      <c r="AN2935">
        <v>5.5</v>
      </c>
      <c r="AO2935">
        <v>-1.51</v>
      </c>
      <c r="AP2935">
        <v>619</v>
      </c>
      <c r="AQ2935">
        <v>3</v>
      </c>
      <c r="AR2935">
        <v>4.33</v>
      </c>
      <c r="AS2935">
        <v>93</v>
      </c>
      <c r="AT2935">
        <v>1.94</v>
      </c>
      <c r="AU2935">
        <v>94</v>
      </c>
      <c r="AV2935">
        <v>-2.74</v>
      </c>
      <c r="AW2935">
        <v>98</v>
      </c>
      <c r="AX2935">
        <v>-0.81</v>
      </c>
      <c r="AY2935">
        <v>94</v>
      </c>
      <c r="AZ2935">
        <v>6.19</v>
      </c>
      <c r="BA2935">
        <v>84</v>
      </c>
      <c r="BB2935">
        <v>4.79</v>
      </c>
      <c r="BC2935">
        <v>85</v>
      </c>
      <c r="BD2935">
        <v>-0.06</v>
      </c>
      <c r="BE2935">
        <v>-0.03</v>
      </c>
      <c r="BF2935">
        <v>-0.05</v>
      </c>
      <c r="BG2935">
        <v>95</v>
      </c>
      <c r="BH2935">
        <v>0.03</v>
      </c>
      <c r="BI2935">
        <v>-20.46</v>
      </c>
      <c r="BJ2935">
        <v>16</v>
      </c>
      <c r="BK2935">
        <v>12</v>
      </c>
      <c r="BL2935">
        <v>-0.16</v>
      </c>
      <c r="BM2935">
        <v>-0.91</v>
      </c>
      <c r="BN2935">
        <v>0.55000000000000004</v>
      </c>
      <c r="BO2935">
        <v>0.6</v>
      </c>
      <c r="BP2935">
        <v>-0.73</v>
      </c>
      <c r="BQ2935">
        <v>-0.09</v>
      </c>
      <c r="BR2935">
        <v>1.37</v>
      </c>
      <c r="BS2935">
        <v>1</v>
      </c>
      <c r="BT2935">
        <v>-0.36</v>
      </c>
      <c r="BU2935">
        <v>0.02</v>
      </c>
      <c r="BV2935">
        <v>0.43</v>
      </c>
      <c r="BW2935">
        <v>0.73</v>
      </c>
      <c r="BX2935">
        <v>0.2</v>
      </c>
      <c r="BY2935">
        <v>0.28999999999999998</v>
      </c>
      <c r="BZ2935">
        <v>-1.1499999999999999</v>
      </c>
      <c r="CA2935">
        <v>0.78</v>
      </c>
      <c r="CB2935">
        <v>0.63</v>
      </c>
      <c r="CC2935">
        <v>1</v>
      </c>
      <c r="CD2935">
        <v>-0.89</v>
      </c>
      <c r="CE2935">
        <v>0.13</v>
      </c>
      <c r="CF2935">
        <v>0.17</v>
      </c>
      <c r="CG2935">
        <v>0</v>
      </c>
      <c r="CH2935">
        <v>0.36</v>
      </c>
      <c r="CI2935">
        <v>0</v>
      </c>
      <c r="CJ2935">
        <v>-4.8</v>
      </c>
      <c r="CK2935">
        <v>98</v>
      </c>
      <c r="CL2935">
        <v>-0.91</v>
      </c>
      <c r="CM2935">
        <v>98</v>
      </c>
      <c r="CN2935">
        <v>-0.18</v>
      </c>
      <c r="CO2935">
        <v>97</v>
      </c>
      <c r="CP2935">
        <v>-8.8000000000000007</v>
      </c>
      <c r="CQ2935">
        <v>97</v>
      </c>
      <c r="CR2935">
        <v>0</v>
      </c>
      <c r="CS2935">
        <v>0</v>
      </c>
      <c r="CT2935">
        <v>-3.4</v>
      </c>
      <c r="CU2935">
        <v>96</v>
      </c>
      <c r="CV2935">
        <v>0.1</v>
      </c>
      <c r="CW2935">
        <v>46</v>
      </c>
      <c r="CX2935" t="s">
        <v>132</v>
      </c>
    </row>
    <row r="2936" spans="1:102" x14ac:dyDescent="0.3">
      <c r="A2936" t="str">
        <f>HYPERLINK("https://webapp.icbf.com/v2/app/bull-search/view/77858704","CWR")</f>
        <v>CWR</v>
      </c>
      <c r="B2936" t="s">
        <v>11715</v>
      </c>
      <c r="C2936" t="s">
        <v>11716</v>
      </c>
      <c r="D2936" s="1">
        <v>32410</v>
      </c>
      <c r="E2936" t="s">
        <v>92</v>
      </c>
      <c r="F2936">
        <v>81</v>
      </c>
      <c r="G2936" t="s">
        <v>93</v>
      </c>
      <c r="H2936">
        <v>1.3</v>
      </c>
      <c r="I2936">
        <v>62</v>
      </c>
      <c r="J2936">
        <v>4.51</v>
      </c>
      <c r="K2936">
        <v>76</v>
      </c>
      <c r="L2936">
        <v>-4.07</v>
      </c>
      <c r="M2936">
        <v>57</v>
      </c>
      <c r="N2936">
        <v>6.05</v>
      </c>
      <c r="O2936">
        <v>50</v>
      </c>
      <c r="P2936">
        <v>-18.09</v>
      </c>
      <c r="Q2936">
        <v>64</v>
      </c>
      <c r="R2936">
        <v>0.42</v>
      </c>
      <c r="S2936">
        <v>58</v>
      </c>
      <c r="T2936">
        <v>13.68</v>
      </c>
      <c r="U2936">
        <v>53</v>
      </c>
      <c r="V2936">
        <v>-1.2</v>
      </c>
      <c r="W2936">
        <v>33</v>
      </c>
      <c r="X2936" t="s">
        <v>94</v>
      </c>
      <c r="Y2936" t="s">
        <v>95</v>
      </c>
      <c r="Z2936" t="s">
        <v>96</v>
      </c>
      <c r="AA2936" t="s">
        <v>260</v>
      </c>
      <c r="AB2936" t="s">
        <v>11717</v>
      </c>
      <c r="AC2936">
        <v>16</v>
      </c>
      <c r="AD2936">
        <v>13</v>
      </c>
      <c r="AE2936">
        <v>76</v>
      </c>
      <c r="AF2936">
        <v>-135.33000000000001</v>
      </c>
      <c r="AG2936">
        <v>0.61</v>
      </c>
      <c r="AH2936">
        <v>-1.52</v>
      </c>
      <c r="AI2936">
        <v>0.1</v>
      </c>
      <c r="AJ2936">
        <v>0.05</v>
      </c>
      <c r="AK2936">
        <v>57</v>
      </c>
      <c r="AL2936">
        <v>53</v>
      </c>
      <c r="AM2936">
        <v>37</v>
      </c>
      <c r="AN2936">
        <v>-0.21</v>
      </c>
      <c r="AO2936">
        <v>-0.54</v>
      </c>
      <c r="AP2936">
        <v>6</v>
      </c>
      <c r="AQ2936">
        <v>0</v>
      </c>
      <c r="AR2936">
        <v>6.43</v>
      </c>
      <c r="AS2936">
        <v>26</v>
      </c>
      <c r="AT2936">
        <v>3.24</v>
      </c>
      <c r="AU2936">
        <v>42</v>
      </c>
      <c r="AV2936">
        <v>-0.35</v>
      </c>
      <c r="AW2936">
        <v>63</v>
      </c>
      <c r="AX2936">
        <v>-0.23</v>
      </c>
      <c r="AY2936">
        <v>62</v>
      </c>
      <c r="AZ2936">
        <v>5.95</v>
      </c>
      <c r="BA2936">
        <v>27</v>
      </c>
      <c r="BB2936">
        <v>5.03</v>
      </c>
      <c r="BC2936">
        <v>36</v>
      </c>
      <c r="BD2936">
        <v>-0.01</v>
      </c>
      <c r="BE2936">
        <v>0.03</v>
      </c>
      <c r="BF2936">
        <v>-0.05</v>
      </c>
      <c r="BG2936">
        <v>78</v>
      </c>
      <c r="BH2936">
        <v>0.01</v>
      </c>
      <c r="BI2936">
        <v>5.03</v>
      </c>
      <c r="BJ2936">
        <v>10</v>
      </c>
      <c r="BK2936">
        <v>9</v>
      </c>
      <c r="BL2936">
        <v>-0.62</v>
      </c>
      <c r="BM2936">
        <v>0.79</v>
      </c>
      <c r="BN2936">
        <v>0.28999999999999998</v>
      </c>
      <c r="BO2936">
        <v>-0.68</v>
      </c>
      <c r="BP2936">
        <v>-2.62</v>
      </c>
      <c r="BQ2936">
        <v>-7.0000000000000007E-2</v>
      </c>
      <c r="BR2936">
        <v>0.55000000000000004</v>
      </c>
      <c r="BS2936">
        <v>0.36</v>
      </c>
      <c r="BT2936">
        <v>-0.16</v>
      </c>
      <c r="BU2936">
        <v>0.09</v>
      </c>
      <c r="BV2936">
        <v>-0.79</v>
      </c>
      <c r="BW2936">
        <v>-1.18</v>
      </c>
      <c r="BX2936">
        <v>0.06</v>
      </c>
      <c r="BY2936">
        <v>-1.64</v>
      </c>
      <c r="BZ2936">
        <v>0.75</v>
      </c>
      <c r="CA2936">
        <v>-0.56999999999999995</v>
      </c>
      <c r="CB2936">
        <v>-0.66</v>
      </c>
      <c r="CC2936">
        <v>-0.12</v>
      </c>
      <c r="CD2936">
        <v>0.76</v>
      </c>
      <c r="CE2936">
        <v>-0.8</v>
      </c>
      <c r="CF2936">
        <v>-0.32</v>
      </c>
      <c r="CG2936">
        <v>0</v>
      </c>
      <c r="CH2936">
        <v>-1.73</v>
      </c>
      <c r="CI2936">
        <v>0</v>
      </c>
      <c r="CJ2936">
        <v>-10.7</v>
      </c>
      <c r="CK2936">
        <v>67</v>
      </c>
      <c r="CL2936">
        <v>-0.4</v>
      </c>
      <c r="CM2936">
        <v>61</v>
      </c>
      <c r="CN2936">
        <v>-0.13</v>
      </c>
      <c r="CO2936">
        <v>57</v>
      </c>
      <c r="CP2936">
        <v>-4.8</v>
      </c>
      <c r="CQ2936">
        <v>64</v>
      </c>
      <c r="CR2936">
        <v>0</v>
      </c>
      <c r="CS2936">
        <v>0</v>
      </c>
      <c r="CT2936">
        <v>-4.7</v>
      </c>
      <c r="CU2936">
        <v>53</v>
      </c>
      <c r="CV2936">
        <v>-0.06</v>
      </c>
      <c r="CW2936">
        <v>18</v>
      </c>
      <c r="CX2936" t="s">
        <v>2585</v>
      </c>
    </row>
    <row r="2937" spans="1:102" x14ac:dyDescent="0.3">
      <c r="A2937" t="str">
        <f>HYPERLINK("https://webapp.icbf.com/v2/app/bull-search/view/563604485","CZV")</f>
        <v>CZV</v>
      </c>
      <c r="B2937" t="s">
        <v>12497</v>
      </c>
      <c r="C2937" t="s">
        <v>12498</v>
      </c>
      <c r="D2937" s="1">
        <v>39500</v>
      </c>
      <c r="E2937" t="s">
        <v>92</v>
      </c>
      <c r="F2937">
        <v>94</v>
      </c>
      <c r="G2937" t="s">
        <v>93</v>
      </c>
      <c r="H2937">
        <v>1.25</v>
      </c>
      <c r="I2937">
        <v>87</v>
      </c>
      <c r="J2937">
        <v>46.51</v>
      </c>
      <c r="K2937">
        <v>96</v>
      </c>
      <c r="L2937">
        <v>-51.6</v>
      </c>
      <c r="M2937">
        <v>80</v>
      </c>
      <c r="N2937">
        <v>7.12</v>
      </c>
      <c r="O2937">
        <v>85</v>
      </c>
      <c r="P2937">
        <v>-20.78</v>
      </c>
      <c r="Q2937">
        <v>90</v>
      </c>
      <c r="R2937">
        <v>-9.35</v>
      </c>
      <c r="S2937">
        <v>81</v>
      </c>
      <c r="T2937">
        <v>25.74</v>
      </c>
      <c r="U2937">
        <v>85</v>
      </c>
      <c r="V2937">
        <v>3.61</v>
      </c>
      <c r="W2937">
        <v>80</v>
      </c>
      <c r="X2937" t="s">
        <v>94</v>
      </c>
      <c r="Y2937" t="s">
        <v>1113</v>
      </c>
      <c r="Z2937" t="s">
        <v>96</v>
      </c>
      <c r="AA2937" t="s">
        <v>204</v>
      </c>
      <c r="AB2937" t="s">
        <v>12499</v>
      </c>
      <c r="AC2937">
        <v>70</v>
      </c>
      <c r="AD2937">
        <v>54</v>
      </c>
      <c r="AE2937">
        <v>96</v>
      </c>
      <c r="AF2937">
        <v>174.48</v>
      </c>
      <c r="AG2937">
        <v>11.31</v>
      </c>
      <c r="AH2937">
        <v>6.58</v>
      </c>
      <c r="AI2937">
        <v>0.08</v>
      </c>
      <c r="AJ2937">
        <v>0.01</v>
      </c>
      <c r="AK2937">
        <v>80</v>
      </c>
      <c r="AL2937">
        <v>76</v>
      </c>
      <c r="AM2937">
        <v>56</v>
      </c>
      <c r="AN2937">
        <v>2.42</v>
      </c>
      <c r="AO2937">
        <v>-1.7</v>
      </c>
      <c r="AP2937">
        <v>183</v>
      </c>
      <c r="AQ2937">
        <v>3</v>
      </c>
      <c r="AR2937">
        <v>8.15</v>
      </c>
      <c r="AS2937">
        <v>72</v>
      </c>
      <c r="AT2937">
        <v>3.23</v>
      </c>
      <c r="AU2937">
        <v>88</v>
      </c>
      <c r="AV2937">
        <v>-2.8</v>
      </c>
      <c r="AW2937">
        <v>96</v>
      </c>
      <c r="AX2937">
        <v>0.14000000000000001</v>
      </c>
      <c r="AY2937">
        <v>79</v>
      </c>
      <c r="AZ2937">
        <v>8.7200000000000006</v>
      </c>
      <c r="BA2937">
        <v>65</v>
      </c>
      <c r="BB2937">
        <v>6.51</v>
      </c>
      <c r="BC2937">
        <v>66</v>
      </c>
      <c r="BD2937">
        <v>0</v>
      </c>
      <c r="BE2937">
        <v>0.05</v>
      </c>
      <c r="BF2937">
        <v>0.12</v>
      </c>
      <c r="BG2937">
        <v>87</v>
      </c>
      <c r="BH2937">
        <v>0.06</v>
      </c>
      <c r="BI2937">
        <v>-4.72</v>
      </c>
      <c r="BJ2937">
        <v>11</v>
      </c>
      <c r="BK2937">
        <v>10</v>
      </c>
      <c r="BL2937">
        <v>-0.55000000000000004</v>
      </c>
      <c r="BM2937">
        <v>-1.73</v>
      </c>
      <c r="BN2937">
        <v>-0.8</v>
      </c>
      <c r="BO2937">
        <v>0.4</v>
      </c>
      <c r="BP2937">
        <v>0.49</v>
      </c>
      <c r="BQ2937">
        <v>-0.73</v>
      </c>
      <c r="BR2937">
        <v>0.14000000000000001</v>
      </c>
      <c r="BS2937">
        <v>-0.52</v>
      </c>
      <c r="BT2937">
        <v>-1.29</v>
      </c>
      <c r="BU2937">
        <v>-0.57999999999999996</v>
      </c>
      <c r="BV2937">
        <v>0.38</v>
      </c>
      <c r="BW2937">
        <v>-1.4</v>
      </c>
      <c r="BX2937">
        <v>-1.62</v>
      </c>
      <c r="BY2937">
        <v>-2.25</v>
      </c>
      <c r="BZ2937">
        <v>1.04</v>
      </c>
      <c r="CA2937">
        <v>-0.47</v>
      </c>
      <c r="CB2937">
        <v>-0.56000000000000005</v>
      </c>
      <c r="CC2937">
        <v>-0.38</v>
      </c>
      <c r="CD2937">
        <v>-1.3</v>
      </c>
      <c r="CE2937">
        <v>0.04</v>
      </c>
      <c r="CF2937">
        <v>-1.23</v>
      </c>
      <c r="CG2937">
        <v>0</v>
      </c>
      <c r="CH2937">
        <v>-2.2999999999999998</v>
      </c>
      <c r="CI2937">
        <v>0</v>
      </c>
      <c r="CJ2937">
        <v>-8.8000000000000007</v>
      </c>
      <c r="CK2937">
        <v>91</v>
      </c>
      <c r="CL2937">
        <v>-0.83</v>
      </c>
      <c r="CM2937">
        <v>89</v>
      </c>
      <c r="CN2937">
        <v>-0.2</v>
      </c>
      <c r="CO2937">
        <v>88</v>
      </c>
      <c r="CP2937">
        <v>-16.100000000000001</v>
      </c>
      <c r="CQ2937">
        <v>88</v>
      </c>
      <c r="CR2937">
        <v>0</v>
      </c>
      <c r="CS2937">
        <v>0</v>
      </c>
      <c r="CT2937">
        <v>-21</v>
      </c>
      <c r="CU2937">
        <v>85</v>
      </c>
      <c r="CV2937">
        <v>0.03</v>
      </c>
      <c r="CW2937">
        <v>46</v>
      </c>
      <c r="CX2937" t="s">
        <v>1104</v>
      </c>
    </row>
    <row r="2938" spans="1:102" x14ac:dyDescent="0.3">
      <c r="A2938" t="str">
        <f>HYPERLINK("https://webapp.icbf.com/v2/app/bull-search/view/77854873","MTT")</f>
        <v>MTT</v>
      </c>
      <c r="B2938" t="s">
        <v>14605</v>
      </c>
      <c r="C2938" t="s">
        <v>14606</v>
      </c>
      <c r="D2938" s="1">
        <v>32196</v>
      </c>
      <c r="E2938" t="s">
        <v>92</v>
      </c>
      <c r="F2938">
        <v>100</v>
      </c>
      <c r="G2938" t="s">
        <v>93</v>
      </c>
      <c r="H2938">
        <v>1.23</v>
      </c>
      <c r="I2938">
        <v>80</v>
      </c>
      <c r="J2938">
        <v>6.27</v>
      </c>
      <c r="K2938">
        <v>92</v>
      </c>
      <c r="L2938">
        <v>-5.87</v>
      </c>
      <c r="M2938">
        <v>84</v>
      </c>
      <c r="N2938">
        <v>17.13</v>
      </c>
      <c r="O2938">
        <v>56</v>
      </c>
      <c r="P2938">
        <v>-3.28</v>
      </c>
      <c r="Q2938">
        <v>73</v>
      </c>
      <c r="R2938">
        <v>-20.93</v>
      </c>
      <c r="S2938">
        <v>68</v>
      </c>
      <c r="T2938">
        <v>9.83</v>
      </c>
      <c r="U2938">
        <v>75</v>
      </c>
      <c r="V2938">
        <v>-1.92</v>
      </c>
      <c r="W2938">
        <v>35</v>
      </c>
      <c r="X2938" t="s">
        <v>131</v>
      </c>
      <c r="Y2938" t="s">
        <v>95</v>
      </c>
      <c r="Z2938" t="s">
        <v>96</v>
      </c>
      <c r="AA2938" t="s">
        <v>3549</v>
      </c>
      <c r="AB2938" t="s">
        <v>14607</v>
      </c>
      <c r="AC2938">
        <v>59</v>
      </c>
      <c r="AD2938">
        <v>35</v>
      </c>
      <c r="AE2938">
        <v>92</v>
      </c>
      <c r="AF2938">
        <v>-209.64</v>
      </c>
      <c r="AG2938">
        <v>10.37</v>
      </c>
      <c r="AH2938">
        <v>-5.81</v>
      </c>
      <c r="AI2938">
        <v>0.32</v>
      </c>
      <c r="AJ2938">
        <v>0.02</v>
      </c>
      <c r="AK2938">
        <v>84</v>
      </c>
      <c r="AL2938">
        <v>70</v>
      </c>
      <c r="AM2938">
        <v>41</v>
      </c>
      <c r="AN2938">
        <v>0.15</v>
      </c>
      <c r="AO2938">
        <v>-0.32</v>
      </c>
      <c r="AP2938">
        <v>4</v>
      </c>
      <c r="AQ2938">
        <v>0</v>
      </c>
      <c r="AR2938">
        <v>5.86</v>
      </c>
      <c r="AS2938">
        <v>35</v>
      </c>
      <c r="AT2938">
        <v>3.45</v>
      </c>
      <c r="AU2938">
        <v>51</v>
      </c>
      <c r="AV2938">
        <v>-1.88</v>
      </c>
      <c r="AW2938">
        <v>64</v>
      </c>
      <c r="AX2938">
        <v>-0.25</v>
      </c>
      <c r="AY2938">
        <v>71</v>
      </c>
      <c r="AZ2938">
        <v>5.79</v>
      </c>
      <c r="BA2938">
        <v>30</v>
      </c>
      <c r="BB2938">
        <v>5.23</v>
      </c>
      <c r="BC2938">
        <v>48</v>
      </c>
      <c r="BD2938">
        <v>0.08</v>
      </c>
      <c r="BE2938">
        <v>0.12</v>
      </c>
      <c r="BF2938">
        <v>0.12</v>
      </c>
      <c r="BG2938">
        <v>88</v>
      </c>
      <c r="BH2938">
        <v>0.02</v>
      </c>
      <c r="BI2938">
        <v>8.51</v>
      </c>
      <c r="BJ2938">
        <v>0</v>
      </c>
      <c r="BK2938">
        <v>0</v>
      </c>
      <c r="BL2938">
        <v>0.16</v>
      </c>
      <c r="BM2938">
        <v>0.04</v>
      </c>
      <c r="BN2938">
        <v>0.86</v>
      </c>
      <c r="BO2938">
        <v>0.24</v>
      </c>
      <c r="BP2938">
        <v>0.03</v>
      </c>
      <c r="BQ2938">
        <v>-0.46</v>
      </c>
      <c r="BR2938">
        <v>-1.08</v>
      </c>
      <c r="BS2938">
        <v>1.05</v>
      </c>
      <c r="BT2938">
        <v>0.71</v>
      </c>
      <c r="BU2938">
        <v>0.38</v>
      </c>
      <c r="BV2938">
        <v>0.88</v>
      </c>
      <c r="BW2938">
        <v>-0.18</v>
      </c>
      <c r="BX2938">
        <v>-0.14000000000000001</v>
      </c>
      <c r="BY2938">
        <v>-0.53</v>
      </c>
      <c r="BZ2938">
        <v>0.76</v>
      </c>
      <c r="CA2938">
        <v>0.55000000000000004</v>
      </c>
      <c r="CB2938">
        <v>0.21</v>
      </c>
      <c r="CC2938">
        <v>1.08</v>
      </c>
      <c r="CD2938">
        <v>0.08</v>
      </c>
      <c r="CE2938">
        <v>0.11</v>
      </c>
      <c r="CF2938">
        <v>0.45</v>
      </c>
      <c r="CG2938">
        <v>0</v>
      </c>
      <c r="CH2938">
        <v>-0.03</v>
      </c>
      <c r="CI2938">
        <v>0</v>
      </c>
      <c r="CJ2938">
        <v>-2</v>
      </c>
      <c r="CK2938">
        <v>74</v>
      </c>
      <c r="CL2938">
        <v>-0.56999999999999995</v>
      </c>
      <c r="CM2938">
        <v>70</v>
      </c>
      <c r="CN2938">
        <v>-0.45</v>
      </c>
      <c r="CO2938">
        <v>66</v>
      </c>
      <c r="CP2938">
        <v>0.6</v>
      </c>
      <c r="CQ2938">
        <v>80</v>
      </c>
      <c r="CR2938">
        <v>0</v>
      </c>
      <c r="CS2938">
        <v>0</v>
      </c>
      <c r="CT2938">
        <v>0.5</v>
      </c>
      <c r="CU2938">
        <v>75</v>
      </c>
      <c r="CV2938">
        <v>0.11</v>
      </c>
      <c r="CW2938">
        <v>20</v>
      </c>
      <c r="CX2938" t="s">
        <v>154</v>
      </c>
    </row>
    <row r="2939" spans="1:102" x14ac:dyDescent="0.3">
      <c r="A2939" t="str">
        <f>HYPERLINK("https://webapp.icbf.com/v2/app/bull-search/view/77855917","LRF")</f>
        <v>LRF</v>
      </c>
      <c r="B2939" t="s">
        <v>4943</v>
      </c>
      <c r="C2939" t="s">
        <v>4944</v>
      </c>
      <c r="D2939" s="1">
        <v>32988</v>
      </c>
      <c r="E2939" t="s">
        <v>92</v>
      </c>
      <c r="F2939">
        <v>94</v>
      </c>
      <c r="G2939" t="s">
        <v>93</v>
      </c>
      <c r="H2939">
        <v>1.06</v>
      </c>
      <c r="I2939">
        <v>94</v>
      </c>
      <c r="J2939">
        <v>32.33</v>
      </c>
      <c r="K2939">
        <v>99</v>
      </c>
      <c r="L2939">
        <v>-42.52</v>
      </c>
      <c r="M2939">
        <v>91</v>
      </c>
      <c r="N2939">
        <v>11.64</v>
      </c>
      <c r="O2939">
        <v>89</v>
      </c>
      <c r="P2939">
        <v>4.99</v>
      </c>
      <c r="Q2939">
        <v>97</v>
      </c>
      <c r="R2939">
        <v>-19.09</v>
      </c>
      <c r="S2939">
        <v>87</v>
      </c>
      <c r="T2939">
        <v>12.05</v>
      </c>
      <c r="U2939">
        <v>95</v>
      </c>
      <c r="V2939">
        <v>1.66</v>
      </c>
      <c r="W2939">
        <v>81</v>
      </c>
      <c r="X2939" t="s">
        <v>102</v>
      </c>
      <c r="Y2939" t="s">
        <v>95</v>
      </c>
      <c r="Z2939" t="s">
        <v>96</v>
      </c>
      <c r="AA2939" t="s">
        <v>3364</v>
      </c>
      <c r="AB2939" t="s">
        <v>4945</v>
      </c>
      <c r="AC2939">
        <v>572</v>
      </c>
      <c r="AD2939">
        <v>208</v>
      </c>
      <c r="AE2939">
        <v>99</v>
      </c>
      <c r="AF2939">
        <v>-32.049999999999997</v>
      </c>
      <c r="AG2939">
        <v>2.34</v>
      </c>
      <c r="AH2939">
        <v>4.18</v>
      </c>
      <c r="AI2939">
        <v>0.06</v>
      </c>
      <c r="AJ2939">
        <v>0.09</v>
      </c>
      <c r="AK2939">
        <v>91</v>
      </c>
      <c r="AL2939">
        <v>690</v>
      </c>
      <c r="AM2939">
        <v>285</v>
      </c>
      <c r="AN2939">
        <v>2.4</v>
      </c>
      <c r="AO2939">
        <v>-0.99</v>
      </c>
      <c r="AP2939">
        <v>3</v>
      </c>
      <c r="AQ2939">
        <v>1</v>
      </c>
      <c r="AR2939">
        <v>6.83</v>
      </c>
      <c r="AS2939">
        <v>69</v>
      </c>
      <c r="AT2939">
        <v>2.63</v>
      </c>
      <c r="AU2939">
        <v>89</v>
      </c>
      <c r="AV2939">
        <v>-0.83</v>
      </c>
      <c r="AW2939">
        <v>94</v>
      </c>
      <c r="AX2939">
        <v>-0.47</v>
      </c>
      <c r="AY2939">
        <v>95</v>
      </c>
      <c r="AZ2939">
        <v>7.58</v>
      </c>
      <c r="BA2939">
        <v>73</v>
      </c>
      <c r="BB2939">
        <v>5.08</v>
      </c>
      <c r="BC2939">
        <v>89</v>
      </c>
      <c r="BD2939">
        <v>0.09</v>
      </c>
      <c r="BE2939">
        <v>0.11</v>
      </c>
      <c r="BF2939">
        <v>0.08</v>
      </c>
      <c r="BG2939">
        <v>97</v>
      </c>
      <c r="BH2939">
        <v>0.05</v>
      </c>
      <c r="BI2939">
        <v>0.44</v>
      </c>
      <c r="BJ2939">
        <v>9</v>
      </c>
      <c r="BK2939">
        <v>7</v>
      </c>
      <c r="BL2939">
        <v>-0.31</v>
      </c>
      <c r="BM2939">
        <v>0.71</v>
      </c>
      <c r="BN2939">
        <v>-0.62</v>
      </c>
      <c r="BO2939">
        <v>-0.77</v>
      </c>
      <c r="BP2939">
        <v>1.2</v>
      </c>
      <c r="BQ2939">
        <v>-0.56000000000000005</v>
      </c>
      <c r="BR2939">
        <v>-0.62</v>
      </c>
      <c r="BS2939">
        <v>0.89</v>
      </c>
      <c r="BT2939">
        <v>1.31</v>
      </c>
      <c r="BU2939">
        <v>-0.97</v>
      </c>
      <c r="BV2939">
        <v>-1.22</v>
      </c>
      <c r="BW2939">
        <v>-0.55000000000000004</v>
      </c>
      <c r="BX2939">
        <v>-0.7</v>
      </c>
      <c r="BY2939">
        <v>-1.1299999999999999</v>
      </c>
      <c r="BZ2939">
        <v>-0.13</v>
      </c>
      <c r="CA2939">
        <v>-1.57</v>
      </c>
      <c r="CB2939">
        <v>-1.82</v>
      </c>
      <c r="CC2939">
        <v>-0.23</v>
      </c>
      <c r="CD2939">
        <v>0.33</v>
      </c>
      <c r="CE2939">
        <v>-0.91</v>
      </c>
      <c r="CF2939">
        <v>-0.61</v>
      </c>
      <c r="CG2939">
        <v>0</v>
      </c>
      <c r="CH2939">
        <v>-0.35</v>
      </c>
      <c r="CI2939">
        <v>0</v>
      </c>
      <c r="CJ2939">
        <v>6.5</v>
      </c>
      <c r="CK2939">
        <v>97</v>
      </c>
      <c r="CL2939">
        <v>-0.35</v>
      </c>
      <c r="CM2939">
        <v>96</v>
      </c>
      <c r="CN2939">
        <v>0.01</v>
      </c>
      <c r="CO2939">
        <v>96</v>
      </c>
      <c r="CP2939">
        <v>-1.7</v>
      </c>
      <c r="CQ2939">
        <v>98</v>
      </c>
      <c r="CR2939">
        <v>0</v>
      </c>
      <c r="CS2939">
        <v>0</v>
      </c>
      <c r="CT2939">
        <v>-2.5</v>
      </c>
      <c r="CU2939">
        <v>95</v>
      </c>
      <c r="CV2939">
        <v>0.33</v>
      </c>
      <c r="CW2939">
        <v>29</v>
      </c>
      <c r="CX2939" t="s">
        <v>707</v>
      </c>
    </row>
    <row r="2940" spans="1:102" x14ac:dyDescent="0.3">
      <c r="A2940" t="str">
        <f>HYPERLINK("https://webapp.icbf.com/v2/app/bull-search/view/159239278","MYX")</f>
        <v>MYX</v>
      </c>
      <c r="B2940" t="s">
        <v>2866</v>
      </c>
      <c r="C2940" t="s">
        <v>2867</v>
      </c>
      <c r="D2940" s="1">
        <v>35203</v>
      </c>
      <c r="E2940" t="s">
        <v>197</v>
      </c>
      <c r="F2940">
        <v>0</v>
      </c>
      <c r="G2940" t="s">
        <v>116</v>
      </c>
      <c r="H2940">
        <v>0.95</v>
      </c>
      <c r="I2940">
        <v>26</v>
      </c>
      <c r="J2940">
        <v>-34.99</v>
      </c>
      <c r="K2940">
        <v>40</v>
      </c>
      <c r="L2940">
        <v>66.42</v>
      </c>
      <c r="M2940">
        <v>12</v>
      </c>
      <c r="N2940">
        <v>-38.090000000000003</v>
      </c>
      <c r="O2940">
        <v>27</v>
      </c>
      <c r="P2940">
        <v>9.02</v>
      </c>
      <c r="Q2940">
        <v>44</v>
      </c>
      <c r="R2940">
        <v>3.15</v>
      </c>
      <c r="S2940">
        <v>13</v>
      </c>
      <c r="T2940">
        <v>0.28000000000000003</v>
      </c>
      <c r="U2940">
        <v>30</v>
      </c>
      <c r="V2940">
        <v>-4.84</v>
      </c>
      <c r="W2940">
        <v>1</v>
      </c>
      <c r="X2940" t="s">
        <v>102</v>
      </c>
      <c r="Y2940" t="s">
        <v>95</v>
      </c>
      <c r="Z2940">
        <v>0</v>
      </c>
      <c r="AA2940" t="s">
        <v>2868</v>
      </c>
      <c r="AB2940" t="s">
        <v>144</v>
      </c>
      <c r="AC2940">
        <v>2</v>
      </c>
      <c r="AD2940">
        <v>1</v>
      </c>
      <c r="AE2940">
        <v>40</v>
      </c>
      <c r="AF2940">
        <v>-493.88</v>
      </c>
      <c r="AG2940">
        <v>-8.99</v>
      </c>
      <c r="AH2940">
        <v>-10.33</v>
      </c>
      <c r="AI2940">
        <v>0.19</v>
      </c>
      <c r="AJ2940">
        <v>0.12</v>
      </c>
      <c r="AK2940">
        <v>12</v>
      </c>
      <c r="AL2940">
        <v>2</v>
      </c>
      <c r="AM2940">
        <v>1</v>
      </c>
      <c r="AN2940">
        <v>-4.93</v>
      </c>
      <c r="AO2940">
        <v>0.35</v>
      </c>
      <c r="AP2940">
        <v>7</v>
      </c>
      <c r="AQ2940">
        <v>1</v>
      </c>
      <c r="AR2940">
        <v>6.38</v>
      </c>
      <c r="AS2940">
        <v>15</v>
      </c>
      <c r="AT2940">
        <v>5.93</v>
      </c>
      <c r="AU2940">
        <v>15</v>
      </c>
      <c r="AV2940">
        <v>1.72</v>
      </c>
      <c r="AW2940">
        <v>45</v>
      </c>
      <c r="AX2940">
        <v>1.32</v>
      </c>
      <c r="AY2940">
        <v>22</v>
      </c>
      <c r="AZ2940">
        <v>5.69</v>
      </c>
      <c r="BA2940">
        <v>4</v>
      </c>
      <c r="BB2940">
        <v>4.33</v>
      </c>
      <c r="BC2940">
        <v>8</v>
      </c>
      <c r="BD2940">
        <v>-0.02</v>
      </c>
      <c r="BE2940">
        <v>-0.01</v>
      </c>
      <c r="BF2940">
        <v>-0.02</v>
      </c>
      <c r="BG2940">
        <v>17</v>
      </c>
      <c r="BH2940">
        <v>-0.1</v>
      </c>
      <c r="BI2940">
        <v>4.04</v>
      </c>
      <c r="BJ2940">
        <v>0</v>
      </c>
      <c r="BK2940">
        <v>0</v>
      </c>
      <c r="BL2940">
        <v>0</v>
      </c>
      <c r="BM2940">
        <v>0</v>
      </c>
      <c r="BN2940">
        <v>0</v>
      </c>
      <c r="BO2940">
        <v>0</v>
      </c>
      <c r="BP2940">
        <v>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2.4</v>
      </c>
      <c r="CK2940">
        <v>47</v>
      </c>
      <c r="CL2940">
        <v>0.3</v>
      </c>
      <c r="CM2940">
        <v>42</v>
      </c>
      <c r="CN2940">
        <v>-0.15</v>
      </c>
      <c r="CO2940">
        <v>39</v>
      </c>
      <c r="CP2940">
        <v>5.7</v>
      </c>
      <c r="CQ2940">
        <v>35</v>
      </c>
      <c r="CR2940">
        <v>0</v>
      </c>
      <c r="CS2940">
        <v>0</v>
      </c>
      <c r="CT2940">
        <v>13.4</v>
      </c>
      <c r="CU2940">
        <v>30</v>
      </c>
      <c r="CV2940">
        <v>-0.2</v>
      </c>
      <c r="CW2940">
        <v>11</v>
      </c>
      <c r="CX2940">
        <v>0</v>
      </c>
    </row>
    <row r="2941" spans="1:102" x14ac:dyDescent="0.3">
      <c r="A2941" t="str">
        <f>HYPERLINK("https://webapp.icbf.com/v2/app/bull-search/view/1140643519","S2072")</f>
        <v>S2072</v>
      </c>
      <c r="B2941" t="s">
        <v>15141</v>
      </c>
      <c r="C2941" t="s">
        <v>15142</v>
      </c>
      <c r="D2941" s="1">
        <v>40863</v>
      </c>
      <c r="E2941" t="s">
        <v>140</v>
      </c>
      <c r="F2941">
        <v>0</v>
      </c>
      <c r="G2941" t="s">
        <v>109</v>
      </c>
      <c r="H2941">
        <v>0.92</v>
      </c>
      <c r="I2941">
        <v>70</v>
      </c>
      <c r="J2941">
        <v>3.95</v>
      </c>
      <c r="K2941">
        <v>86</v>
      </c>
      <c r="L2941">
        <v>19.23</v>
      </c>
      <c r="M2941">
        <v>61</v>
      </c>
      <c r="N2941">
        <v>-46.71</v>
      </c>
      <c r="O2941">
        <v>59</v>
      </c>
      <c r="P2941">
        <v>16.91</v>
      </c>
      <c r="Q2941">
        <v>78</v>
      </c>
      <c r="R2941">
        <v>13.02</v>
      </c>
      <c r="S2941">
        <v>63</v>
      </c>
      <c r="T2941">
        <v>4.6500000000000004</v>
      </c>
      <c r="U2941">
        <v>58</v>
      </c>
      <c r="V2941">
        <v>-10.130000000000001</v>
      </c>
      <c r="W2941">
        <v>52</v>
      </c>
      <c r="X2941" t="s">
        <v>251</v>
      </c>
      <c r="Y2941" t="s">
        <v>367</v>
      </c>
      <c r="Z2941">
        <v>0</v>
      </c>
      <c r="AA2941" t="s">
        <v>7918</v>
      </c>
      <c r="AB2941" t="s">
        <v>15143</v>
      </c>
      <c r="AC2941">
        <v>0</v>
      </c>
      <c r="AD2941">
        <v>0</v>
      </c>
      <c r="AE2941">
        <v>86</v>
      </c>
      <c r="AF2941">
        <v>-13.4</v>
      </c>
      <c r="AG2941">
        <v>-5.52</v>
      </c>
      <c r="AH2941">
        <v>2.42</v>
      </c>
      <c r="AI2941">
        <v>-0.09</v>
      </c>
      <c r="AJ2941">
        <v>0.05</v>
      </c>
      <c r="AK2941">
        <v>61</v>
      </c>
      <c r="AL2941">
        <v>13</v>
      </c>
      <c r="AM2941">
        <v>3</v>
      </c>
      <c r="AN2941">
        <v>-0.56000000000000005</v>
      </c>
      <c r="AO2941">
        <v>0.98</v>
      </c>
      <c r="AP2941">
        <v>15</v>
      </c>
      <c r="AQ2941">
        <v>0</v>
      </c>
      <c r="AR2941">
        <v>11.83</v>
      </c>
      <c r="AS2941">
        <v>50</v>
      </c>
      <c r="AT2941">
        <v>6.15</v>
      </c>
      <c r="AU2941">
        <v>60</v>
      </c>
      <c r="AV2941">
        <v>0.31</v>
      </c>
      <c r="AW2941">
        <v>67</v>
      </c>
      <c r="AX2941">
        <v>-0.34</v>
      </c>
      <c r="AY2941">
        <v>56</v>
      </c>
      <c r="AZ2941">
        <v>6.27</v>
      </c>
      <c r="BA2941">
        <v>43</v>
      </c>
      <c r="BB2941">
        <v>4.0599999999999996</v>
      </c>
      <c r="BC2941">
        <v>42</v>
      </c>
      <c r="BD2941">
        <v>-0.02</v>
      </c>
      <c r="BE2941">
        <v>-0.04</v>
      </c>
      <c r="BF2941">
        <v>-0.19</v>
      </c>
      <c r="BG2941">
        <v>69</v>
      </c>
      <c r="BH2941">
        <v>-0.4</v>
      </c>
      <c r="BI2941">
        <v>-13.58</v>
      </c>
      <c r="BJ2941">
        <v>0</v>
      </c>
      <c r="BK2941">
        <v>0</v>
      </c>
      <c r="BL2941">
        <v>-0.75</v>
      </c>
      <c r="BM2941">
        <v>3.5</v>
      </c>
      <c r="BN2941">
        <v>-1.71</v>
      </c>
      <c r="BO2941">
        <v>-3.02</v>
      </c>
      <c r="BP2941">
        <v>4.37</v>
      </c>
      <c r="BQ2941">
        <v>-1.92</v>
      </c>
      <c r="BR2941">
        <v>-2.65</v>
      </c>
      <c r="BS2941">
        <v>-0.4</v>
      </c>
      <c r="BT2941">
        <v>2.56</v>
      </c>
      <c r="BU2941">
        <v>-3.46</v>
      </c>
      <c r="BV2941">
        <v>-3.94</v>
      </c>
      <c r="BW2941">
        <v>-2.99</v>
      </c>
      <c r="BX2941">
        <v>-2.72</v>
      </c>
      <c r="BY2941">
        <v>-2.02</v>
      </c>
      <c r="BZ2941">
        <v>1.41</v>
      </c>
      <c r="CA2941">
        <v>-2.54</v>
      </c>
      <c r="CB2941">
        <v>-3.23</v>
      </c>
      <c r="CC2941">
        <v>-0.47</v>
      </c>
      <c r="CD2941">
        <v>3.89</v>
      </c>
      <c r="CE2941">
        <v>-2.92</v>
      </c>
      <c r="CF2941">
        <v>-1.08</v>
      </c>
      <c r="CG2941">
        <v>0</v>
      </c>
      <c r="CH2941">
        <v>-2.56</v>
      </c>
      <c r="CI2941">
        <v>0</v>
      </c>
      <c r="CJ2941">
        <v>5.9</v>
      </c>
      <c r="CK2941">
        <v>80</v>
      </c>
      <c r="CL2941">
        <v>0.52</v>
      </c>
      <c r="CM2941">
        <v>77</v>
      </c>
      <c r="CN2941">
        <v>-0.26</v>
      </c>
      <c r="CO2941">
        <v>75</v>
      </c>
      <c r="CP2941">
        <v>2.4</v>
      </c>
      <c r="CQ2941">
        <v>66</v>
      </c>
      <c r="CR2941">
        <v>0</v>
      </c>
      <c r="CS2941">
        <v>0</v>
      </c>
      <c r="CT2941">
        <v>7.5</v>
      </c>
      <c r="CU2941">
        <v>58</v>
      </c>
      <c r="CV2941">
        <v>0.11</v>
      </c>
      <c r="CW2941">
        <v>41</v>
      </c>
      <c r="CX2941" t="s">
        <v>139</v>
      </c>
    </row>
    <row r="2942" spans="1:102" x14ac:dyDescent="0.3">
      <c r="A2942" t="str">
        <f>HYPERLINK("https://webapp.icbf.com/v2/app/bull-search/view/77852608","WLJ")</f>
        <v>WLJ</v>
      </c>
      <c r="B2942" t="s">
        <v>11151</v>
      </c>
      <c r="C2942" t="s">
        <v>11152</v>
      </c>
      <c r="D2942" s="1">
        <v>33240</v>
      </c>
      <c r="E2942" t="s">
        <v>92</v>
      </c>
      <c r="F2942">
        <v>100</v>
      </c>
      <c r="G2942" t="s">
        <v>109</v>
      </c>
      <c r="H2942">
        <v>0.86</v>
      </c>
      <c r="I2942">
        <v>81</v>
      </c>
      <c r="J2942">
        <v>-18.41</v>
      </c>
      <c r="K2942">
        <v>93</v>
      </c>
      <c r="L2942">
        <v>-15.7</v>
      </c>
      <c r="M2942">
        <v>86</v>
      </c>
      <c r="N2942">
        <v>21.91</v>
      </c>
      <c r="O2942">
        <v>63</v>
      </c>
      <c r="P2942">
        <v>0.98</v>
      </c>
      <c r="Q2942">
        <v>75</v>
      </c>
      <c r="R2942">
        <v>-3.55</v>
      </c>
      <c r="S2942">
        <v>70</v>
      </c>
      <c r="T2942">
        <v>15.68</v>
      </c>
      <c r="U2942">
        <v>67</v>
      </c>
      <c r="V2942">
        <v>-0.05</v>
      </c>
      <c r="W2942">
        <v>34</v>
      </c>
      <c r="X2942" t="s">
        <v>747</v>
      </c>
      <c r="Y2942" t="s">
        <v>95</v>
      </c>
      <c r="Z2942" t="s">
        <v>96</v>
      </c>
      <c r="AA2942" t="s">
        <v>161</v>
      </c>
      <c r="AB2942" t="s">
        <v>11153</v>
      </c>
      <c r="AC2942">
        <v>29</v>
      </c>
      <c r="AD2942">
        <v>23</v>
      </c>
      <c r="AE2942">
        <v>93</v>
      </c>
      <c r="AF2942">
        <v>96.86</v>
      </c>
      <c r="AG2942">
        <v>2.21</v>
      </c>
      <c r="AH2942">
        <v>-2.4300000000000002</v>
      </c>
      <c r="AI2942">
        <v>-0.03</v>
      </c>
      <c r="AJ2942">
        <v>-0.09</v>
      </c>
      <c r="AK2942">
        <v>86</v>
      </c>
      <c r="AL2942">
        <v>32</v>
      </c>
      <c r="AM2942">
        <v>21</v>
      </c>
      <c r="AN2942">
        <v>1.77</v>
      </c>
      <c r="AO2942">
        <v>0.53</v>
      </c>
      <c r="AP2942">
        <v>13</v>
      </c>
      <c r="AQ2942">
        <v>0</v>
      </c>
      <c r="AR2942">
        <v>4.3499999999999996</v>
      </c>
      <c r="AS2942">
        <v>42</v>
      </c>
      <c r="AT2942">
        <v>2.1</v>
      </c>
      <c r="AU2942">
        <v>85</v>
      </c>
      <c r="AV2942">
        <v>-0.53</v>
      </c>
      <c r="AW2942">
        <v>61</v>
      </c>
      <c r="AX2942">
        <v>-0.35</v>
      </c>
      <c r="AY2942">
        <v>65</v>
      </c>
      <c r="AZ2942">
        <v>6.65</v>
      </c>
      <c r="BA2942">
        <v>35</v>
      </c>
      <c r="BB2942">
        <v>4.5599999999999996</v>
      </c>
      <c r="BC2942">
        <v>46</v>
      </c>
      <c r="BD2942">
        <v>0.04</v>
      </c>
      <c r="BE2942">
        <v>0.05</v>
      </c>
      <c r="BF2942">
        <v>-0.08</v>
      </c>
      <c r="BG2942">
        <v>89</v>
      </c>
      <c r="BH2942">
        <v>0.02</v>
      </c>
      <c r="BI2942">
        <v>2.4900000000000002</v>
      </c>
      <c r="BJ2942">
        <v>9</v>
      </c>
      <c r="BK2942">
        <v>4</v>
      </c>
      <c r="BL2942">
        <v>0.51</v>
      </c>
      <c r="BM2942">
        <v>0.14000000000000001</v>
      </c>
      <c r="BN2942">
        <v>-0.61</v>
      </c>
      <c r="BO2942">
        <v>0.15</v>
      </c>
      <c r="BP2942">
        <v>-1</v>
      </c>
      <c r="BQ2942">
        <v>0.22</v>
      </c>
      <c r="BR2942">
        <v>-2.17</v>
      </c>
      <c r="BS2942">
        <v>2.17</v>
      </c>
      <c r="BT2942">
        <v>2.37</v>
      </c>
      <c r="BU2942">
        <v>-0.53</v>
      </c>
      <c r="BV2942">
        <v>0.28999999999999998</v>
      </c>
      <c r="BW2942">
        <v>0.67</v>
      </c>
      <c r="BX2942">
        <v>1.08</v>
      </c>
      <c r="BY2942">
        <v>-0.47</v>
      </c>
      <c r="BZ2942">
        <v>0.26</v>
      </c>
      <c r="CA2942">
        <v>0.84</v>
      </c>
      <c r="CB2942">
        <v>-0.28999999999999998</v>
      </c>
      <c r="CC2942">
        <v>2.54</v>
      </c>
      <c r="CD2942">
        <v>-0.2</v>
      </c>
      <c r="CE2942">
        <v>0.49</v>
      </c>
      <c r="CF2942">
        <v>0.24</v>
      </c>
      <c r="CG2942">
        <v>0</v>
      </c>
      <c r="CH2942">
        <v>0.74</v>
      </c>
      <c r="CI2942">
        <v>0</v>
      </c>
      <c r="CJ2942">
        <v>1.9</v>
      </c>
      <c r="CK2942">
        <v>76</v>
      </c>
      <c r="CL2942">
        <v>-0.35</v>
      </c>
      <c r="CM2942">
        <v>73</v>
      </c>
      <c r="CN2942">
        <v>-0.24</v>
      </c>
      <c r="CO2942">
        <v>69</v>
      </c>
      <c r="CP2942">
        <v>-5.6</v>
      </c>
      <c r="CQ2942">
        <v>78</v>
      </c>
      <c r="CR2942">
        <v>0</v>
      </c>
      <c r="CS2942">
        <v>0</v>
      </c>
      <c r="CT2942">
        <v>-7.4</v>
      </c>
      <c r="CU2942">
        <v>67</v>
      </c>
      <c r="CV2942">
        <v>0.16</v>
      </c>
      <c r="CW2942">
        <v>21</v>
      </c>
      <c r="CX2942" t="s">
        <v>128</v>
      </c>
    </row>
    <row r="2943" spans="1:102" x14ac:dyDescent="0.3">
      <c r="A2943" t="str">
        <f>HYPERLINK("https://webapp.icbf.com/v2/app/bull-search/view/389210156","S387")</f>
        <v>S387</v>
      </c>
      <c r="B2943" t="s">
        <v>4748</v>
      </c>
      <c r="C2943" t="s">
        <v>2153</v>
      </c>
      <c r="D2943" s="1">
        <v>36110</v>
      </c>
      <c r="E2943" t="s">
        <v>92</v>
      </c>
      <c r="F2943">
        <v>100</v>
      </c>
      <c r="G2943" t="s">
        <v>93</v>
      </c>
      <c r="H2943">
        <v>0.84</v>
      </c>
      <c r="I2943">
        <v>81</v>
      </c>
      <c r="J2943">
        <v>40.869999999999997</v>
      </c>
      <c r="K2943">
        <v>91</v>
      </c>
      <c r="L2943">
        <v>-35.64</v>
      </c>
      <c r="M2943">
        <v>83</v>
      </c>
      <c r="N2943">
        <v>13.63</v>
      </c>
      <c r="O2943">
        <v>65</v>
      </c>
      <c r="P2943">
        <v>-26.09</v>
      </c>
      <c r="Q2943">
        <v>83</v>
      </c>
      <c r="R2943">
        <v>-9.83</v>
      </c>
      <c r="S2943">
        <v>74</v>
      </c>
      <c r="T2943">
        <v>21.3</v>
      </c>
      <c r="U2943">
        <v>57</v>
      </c>
      <c r="V2943">
        <v>-3.4</v>
      </c>
      <c r="W2943">
        <v>68</v>
      </c>
      <c r="X2943" t="s">
        <v>110</v>
      </c>
      <c r="Y2943" t="s">
        <v>545</v>
      </c>
      <c r="Z2943" t="s">
        <v>96</v>
      </c>
      <c r="AA2943" t="s">
        <v>291</v>
      </c>
      <c r="AB2943" t="s">
        <v>4749</v>
      </c>
      <c r="AC2943">
        <v>49</v>
      </c>
      <c r="AD2943">
        <v>4</v>
      </c>
      <c r="AE2943">
        <v>91</v>
      </c>
      <c r="AF2943">
        <v>425.04</v>
      </c>
      <c r="AG2943">
        <v>8.3000000000000007</v>
      </c>
      <c r="AH2943">
        <v>10.52</v>
      </c>
      <c r="AI2943">
        <v>-0.13</v>
      </c>
      <c r="AJ2943">
        <v>-0.06</v>
      </c>
      <c r="AK2943">
        <v>83</v>
      </c>
      <c r="AL2943">
        <v>0</v>
      </c>
      <c r="AM2943">
        <v>0</v>
      </c>
      <c r="AN2943">
        <v>2.89</v>
      </c>
      <c r="AO2943">
        <v>0.06</v>
      </c>
      <c r="AP2943">
        <v>147</v>
      </c>
      <c r="AQ2943">
        <v>0</v>
      </c>
      <c r="AR2943">
        <v>7.98</v>
      </c>
      <c r="AS2943">
        <v>81</v>
      </c>
      <c r="AT2943">
        <v>2.78</v>
      </c>
      <c r="AU2943">
        <v>93</v>
      </c>
      <c r="AV2943">
        <v>-1.25</v>
      </c>
      <c r="AW2943">
        <v>51</v>
      </c>
      <c r="AX2943">
        <v>0.16</v>
      </c>
      <c r="AY2943">
        <v>65</v>
      </c>
      <c r="AZ2943">
        <v>6.67</v>
      </c>
      <c r="BA2943">
        <v>54</v>
      </c>
      <c r="BB2943">
        <v>4.49</v>
      </c>
      <c r="BC2943">
        <v>49</v>
      </c>
      <c r="BD2943">
        <v>0.03</v>
      </c>
      <c r="BE2943">
        <v>0.04</v>
      </c>
      <c r="BF2943">
        <v>0.1</v>
      </c>
      <c r="BG2943">
        <v>91</v>
      </c>
      <c r="BH2943">
        <v>-7.0000000000000007E-2</v>
      </c>
      <c r="BI2943">
        <v>2.88</v>
      </c>
      <c r="BJ2943">
        <v>30</v>
      </c>
      <c r="BK2943">
        <v>3</v>
      </c>
      <c r="BL2943">
        <v>-7.0000000000000007E-2</v>
      </c>
      <c r="BM2943">
        <v>-0.21</v>
      </c>
      <c r="BN2943">
        <v>0.68</v>
      </c>
      <c r="BO2943">
        <v>0.55000000000000004</v>
      </c>
      <c r="BP2943">
        <v>-0.13</v>
      </c>
      <c r="BQ2943">
        <v>-0.53</v>
      </c>
      <c r="BR2943">
        <v>0.2</v>
      </c>
      <c r="BS2943">
        <v>1.61</v>
      </c>
      <c r="BT2943">
        <v>0.46</v>
      </c>
      <c r="BU2943">
        <v>-0.55000000000000004</v>
      </c>
      <c r="BV2943">
        <v>-0.05</v>
      </c>
      <c r="BW2943">
        <v>0.32</v>
      </c>
      <c r="BX2943">
        <v>-1.69</v>
      </c>
      <c r="BY2943">
        <v>-0.32</v>
      </c>
      <c r="BZ2943">
        <v>0.23</v>
      </c>
      <c r="CA2943">
        <v>0.46</v>
      </c>
      <c r="CB2943">
        <v>0.01</v>
      </c>
      <c r="CC2943">
        <v>1.29</v>
      </c>
      <c r="CD2943">
        <v>-0.37</v>
      </c>
      <c r="CE2943">
        <v>-0.03</v>
      </c>
      <c r="CF2943">
        <v>0.44</v>
      </c>
      <c r="CG2943">
        <v>0</v>
      </c>
      <c r="CH2943">
        <v>0.77</v>
      </c>
      <c r="CI2943">
        <v>0</v>
      </c>
      <c r="CJ2943">
        <v>-14.6</v>
      </c>
      <c r="CK2943">
        <v>85</v>
      </c>
      <c r="CL2943">
        <v>-0.79</v>
      </c>
      <c r="CM2943">
        <v>82</v>
      </c>
      <c r="CN2943">
        <v>-0.48</v>
      </c>
      <c r="CO2943">
        <v>79</v>
      </c>
      <c r="CP2943">
        <v>-22.7</v>
      </c>
      <c r="CQ2943">
        <v>80</v>
      </c>
      <c r="CR2943">
        <v>0</v>
      </c>
      <c r="CS2943">
        <v>0</v>
      </c>
      <c r="CT2943">
        <v>-15</v>
      </c>
      <c r="CU2943">
        <v>57</v>
      </c>
      <c r="CV2943">
        <v>-0.05</v>
      </c>
      <c r="CW2943">
        <v>24</v>
      </c>
      <c r="CX2943" t="s">
        <v>1278</v>
      </c>
    </row>
    <row r="2944" spans="1:102" x14ac:dyDescent="0.3">
      <c r="A2944" t="str">
        <f>HYPERLINK("https://webapp.icbf.com/v2/app/bull-search/view/431722520","TWD")</f>
        <v>TWD</v>
      </c>
      <c r="B2944" t="s">
        <v>1263</v>
      </c>
      <c r="C2944" t="s">
        <v>1264</v>
      </c>
      <c r="D2944" s="1">
        <v>38657</v>
      </c>
      <c r="E2944" t="s">
        <v>92</v>
      </c>
      <c r="F2944">
        <v>94</v>
      </c>
      <c r="G2944" t="s">
        <v>116</v>
      </c>
      <c r="H2944">
        <v>0.83</v>
      </c>
      <c r="I2944">
        <v>36</v>
      </c>
      <c r="J2944">
        <v>59.25</v>
      </c>
      <c r="K2944">
        <v>31</v>
      </c>
      <c r="L2944">
        <v>-77.319999999999993</v>
      </c>
      <c r="M2944">
        <v>34</v>
      </c>
      <c r="N2944">
        <v>2.98</v>
      </c>
      <c r="O2944">
        <v>41</v>
      </c>
      <c r="P2944">
        <v>6.45</v>
      </c>
      <c r="Q2944">
        <v>51</v>
      </c>
      <c r="R2944">
        <v>1.93</v>
      </c>
      <c r="S2944">
        <v>35</v>
      </c>
      <c r="T2944">
        <v>8.8699999999999992</v>
      </c>
      <c r="U2944">
        <v>48</v>
      </c>
      <c r="V2944">
        <v>-1.33</v>
      </c>
      <c r="W2944">
        <v>33</v>
      </c>
      <c r="X2944" t="s">
        <v>1265</v>
      </c>
      <c r="Y2944" t="s">
        <v>1251</v>
      </c>
      <c r="Z2944" t="s">
        <v>96</v>
      </c>
      <c r="AA2944" t="s">
        <v>1266</v>
      </c>
      <c r="AB2944" t="s">
        <v>1267</v>
      </c>
      <c r="AC2944">
        <v>2</v>
      </c>
      <c r="AD2944">
        <v>2</v>
      </c>
      <c r="AE2944">
        <v>31</v>
      </c>
      <c r="AF2944">
        <v>36.49</v>
      </c>
      <c r="AG2944">
        <v>10.9</v>
      </c>
      <c r="AH2944">
        <v>6.78</v>
      </c>
      <c r="AI2944">
        <v>0.16</v>
      </c>
      <c r="AJ2944">
        <v>0.09</v>
      </c>
      <c r="AK2944">
        <v>34</v>
      </c>
      <c r="AL2944">
        <v>7</v>
      </c>
      <c r="AM2944">
        <v>5</v>
      </c>
      <c r="AN2944">
        <v>4.67</v>
      </c>
      <c r="AO2944">
        <v>-1.49</v>
      </c>
      <c r="AP2944">
        <v>6</v>
      </c>
      <c r="AQ2944">
        <v>0</v>
      </c>
      <c r="AR2944">
        <v>9.06</v>
      </c>
      <c r="AS2944">
        <v>29</v>
      </c>
      <c r="AT2944">
        <v>4.28</v>
      </c>
      <c r="AU2944">
        <v>36</v>
      </c>
      <c r="AV2944">
        <v>-1.57</v>
      </c>
      <c r="AW2944">
        <v>51</v>
      </c>
      <c r="AX2944">
        <v>-0.64</v>
      </c>
      <c r="AY2944">
        <v>39</v>
      </c>
      <c r="AZ2944">
        <v>5.41</v>
      </c>
      <c r="BA2944">
        <v>29</v>
      </c>
      <c r="BB2944">
        <v>4.3499999999999996</v>
      </c>
      <c r="BC2944">
        <v>30</v>
      </c>
      <c r="BD2944">
        <v>0.01</v>
      </c>
      <c r="BE2944">
        <v>0.01</v>
      </c>
      <c r="BF2944">
        <v>-0.08</v>
      </c>
      <c r="BG2944">
        <v>39</v>
      </c>
      <c r="BH2944">
        <v>-0.02</v>
      </c>
      <c r="BI2944">
        <v>1.99</v>
      </c>
      <c r="BJ2944">
        <v>1</v>
      </c>
      <c r="BK2944">
        <v>1</v>
      </c>
      <c r="BL2944">
        <v>0.38</v>
      </c>
      <c r="BM2944">
        <v>-0.69</v>
      </c>
      <c r="BN2944">
        <v>-0.2</v>
      </c>
      <c r="BO2944">
        <v>0.25</v>
      </c>
      <c r="BP2944">
        <v>0.97</v>
      </c>
      <c r="BQ2944">
        <v>-0.2</v>
      </c>
      <c r="BR2944">
        <v>-0.26</v>
      </c>
      <c r="BS2944">
        <v>0.46</v>
      </c>
      <c r="BT2944">
        <v>-0.27</v>
      </c>
      <c r="BU2944">
        <v>0.27</v>
      </c>
      <c r="BV2944">
        <v>0.28999999999999998</v>
      </c>
      <c r="BW2944">
        <v>0.41</v>
      </c>
      <c r="BX2944">
        <v>0.73</v>
      </c>
      <c r="BY2944">
        <v>-0.28999999999999998</v>
      </c>
      <c r="BZ2944">
        <v>0.09</v>
      </c>
      <c r="CA2944">
        <v>0.47</v>
      </c>
      <c r="CB2944">
        <v>0.31</v>
      </c>
      <c r="CC2944">
        <v>0.52</v>
      </c>
      <c r="CD2944">
        <v>-0.55000000000000004</v>
      </c>
      <c r="CE2944">
        <v>0.48</v>
      </c>
      <c r="CF2944">
        <v>0.14000000000000001</v>
      </c>
      <c r="CG2944">
        <v>0</v>
      </c>
      <c r="CH2944">
        <v>0.98</v>
      </c>
      <c r="CI2944">
        <v>0</v>
      </c>
      <c r="CJ2944">
        <v>4.8</v>
      </c>
      <c r="CK2944">
        <v>53</v>
      </c>
      <c r="CL2944">
        <v>-0.45</v>
      </c>
      <c r="CM2944">
        <v>50</v>
      </c>
      <c r="CN2944">
        <v>-0.4</v>
      </c>
      <c r="CO2944">
        <v>45</v>
      </c>
      <c r="CP2944">
        <v>-1.4</v>
      </c>
      <c r="CQ2944">
        <v>55</v>
      </c>
      <c r="CR2944">
        <v>0</v>
      </c>
      <c r="CS2944">
        <v>0</v>
      </c>
      <c r="CT2944">
        <v>1.8</v>
      </c>
      <c r="CU2944">
        <v>48</v>
      </c>
      <c r="CV2944">
        <v>0.23</v>
      </c>
      <c r="CW2944">
        <v>14</v>
      </c>
      <c r="CX2944" t="s">
        <v>1252</v>
      </c>
    </row>
    <row r="2945" spans="1:102" x14ac:dyDescent="0.3">
      <c r="A2945" t="str">
        <f>HYPERLINK("https://webapp.icbf.com/v2/app/bull-search/view/124415004","REC")</f>
        <v>REC</v>
      </c>
      <c r="B2945" t="s">
        <v>972</v>
      </c>
      <c r="C2945" t="s">
        <v>973</v>
      </c>
      <c r="D2945" s="1">
        <v>36555</v>
      </c>
      <c r="E2945" t="s">
        <v>108</v>
      </c>
      <c r="F2945">
        <v>3</v>
      </c>
      <c r="G2945" t="s">
        <v>116</v>
      </c>
      <c r="H2945">
        <v>0.76</v>
      </c>
      <c r="I2945">
        <v>38</v>
      </c>
      <c r="J2945">
        <v>-10.23</v>
      </c>
      <c r="K2945">
        <v>37</v>
      </c>
      <c r="L2945">
        <v>22.54</v>
      </c>
      <c r="M2945">
        <v>33</v>
      </c>
      <c r="N2945">
        <v>-16.510000000000002</v>
      </c>
      <c r="O2945">
        <v>42</v>
      </c>
      <c r="P2945">
        <v>-4.18</v>
      </c>
      <c r="Q2945">
        <v>46</v>
      </c>
      <c r="R2945">
        <v>-0.87</v>
      </c>
      <c r="S2945">
        <v>39</v>
      </c>
      <c r="T2945">
        <v>9.83</v>
      </c>
      <c r="U2945">
        <v>50</v>
      </c>
      <c r="V2945">
        <v>0.18</v>
      </c>
      <c r="W2945">
        <v>36</v>
      </c>
      <c r="X2945" t="s">
        <v>102</v>
      </c>
      <c r="Y2945" t="s">
        <v>974</v>
      </c>
      <c r="Z2945" t="s">
        <v>96</v>
      </c>
      <c r="AA2945" t="s">
        <v>975</v>
      </c>
      <c r="AB2945" t="s">
        <v>848</v>
      </c>
      <c r="AC2945">
        <v>4</v>
      </c>
      <c r="AD2945">
        <v>4</v>
      </c>
      <c r="AE2945">
        <v>37</v>
      </c>
      <c r="AF2945">
        <v>-14.1</v>
      </c>
      <c r="AG2945">
        <v>-2.7</v>
      </c>
      <c r="AH2945">
        <v>-1</v>
      </c>
      <c r="AI2945">
        <v>-0.04</v>
      </c>
      <c r="AJ2945">
        <v>-0.01</v>
      </c>
      <c r="AK2945">
        <v>33</v>
      </c>
      <c r="AL2945">
        <v>1</v>
      </c>
      <c r="AM2945">
        <v>1</v>
      </c>
      <c r="AN2945">
        <v>-1.82</v>
      </c>
      <c r="AO2945">
        <v>-0.03</v>
      </c>
      <c r="AP2945">
        <v>5</v>
      </c>
      <c r="AQ2945">
        <v>3</v>
      </c>
      <c r="AR2945">
        <v>9.4600000000000009</v>
      </c>
      <c r="AS2945">
        <v>30</v>
      </c>
      <c r="AT2945">
        <v>4.05</v>
      </c>
      <c r="AU2945">
        <v>36</v>
      </c>
      <c r="AV2945">
        <v>0.53</v>
      </c>
      <c r="AW2945">
        <v>51</v>
      </c>
      <c r="AX2945">
        <v>-0.72</v>
      </c>
      <c r="AY2945">
        <v>44</v>
      </c>
      <c r="AZ2945">
        <v>6.16</v>
      </c>
      <c r="BA2945">
        <v>29</v>
      </c>
      <c r="BB2945">
        <v>5.04</v>
      </c>
      <c r="BC2945">
        <v>30</v>
      </c>
      <c r="BD2945">
        <v>0.03</v>
      </c>
      <c r="BE2945">
        <v>0</v>
      </c>
      <c r="BF2945">
        <v>-0.03</v>
      </c>
      <c r="BG2945">
        <v>44</v>
      </c>
      <c r="BH2945">
        <v>0.03</v>
      </c>
      <c r="BI2945">
        <v>2.89</v>
      </c>
      <c r="BJ2945">
        <v>0</v>
      </c>
      <c r="BK2945">
        <v>0</v>
      </c>
      <c r="BL2945">
        <v>-2.83</v>
      </c>
      <c r="BM2945">
        <v>1.4</v>
      </c>
      <c r="BN2945">
        <v>-1.59</v>
      </c>
      <c r="BO2945">
        <v>-2.11</v>
      </c>
      <c r="BP2945">
        <v>0.38</v>
      </c>
      <c r="BQ2945">
        <v>1.32</v>
      </c>
      <c r="BR2945">
        <v>-1.22</v>
      </c>
      <c r="BS2945">
        <v>0.98</v>
      </c>
      <c r="BT2945">
        <v>1.23</v>
      </c>
      <c r="BU2945">
        <v>-1.4</v>
      </c>
      <c r="BV2945">
        <v>-1.59</v>
      </c>
      <c r="BW2945">
        <v>-1.62</v>
      </c>
      <c r="BX2945">
        <v>-1.22</v>
      </c>
      <c r="BY2945">
        <v>-1.52</v>
      </c>
      <c r="BZ2945">
        <v>-1.18</v>
      </c>
      <c r="CA2945">
        <v>-1.1599999999999999</v>
      </c>
      <c r="CB2945">
        <v>-1.61</v>
      </c>
      <c r="CC2945">
        <v>0.37</v>
      </c>
      <c r="CD2945">
        <v>2.2799999999999998</v>
      </c>
      <c r="CE2945">
        <v>-2.02</v>
      </c>
      <c r="CF2945">
        <v>-1.71</v>
      </c>
      <c r="CG2945">
        <v>0</v>
      </c>
      <c r="CH2945">
        <v>-0.8</v>
      </c>
      <c r="CI2945">
        <v>0</v>
      </c>
      <c r="CJ2945">
        <v>-1.3</v>
      </c>
      <c r="CK2945">
        <v>48</v>
      </c>
      <c r="CL2945">
        <v>-0.19</v>
      </c>
      <c r="CM2945">
        <v>43</v>
      </c>
      <c r="CN2945">
        <v>-0.06</v>
      </c>
      <c r="CO2945">
        <v>42</v>
      </c>
      <c r="CP2945">
        <v>-7.5</v>
      </c>
      <c r="CQ2945">
        <v>46</v>
      </c>
      <c r="CR2945">
        <v>0</v>
      </c>
      <c r="CS2945">
        <v>0</v>
      </c>
      <c r="CT2945">
        <v>0.5</v>
      </c>
      <c r="CU2945">
        <v>50</v>
      </c>
      <c r="CV2945">
        <v>-0.04</v>
      </c>
      <c r="CW2945">
        <v>13</v>
      </c>
      <c r="CX2945" t="s">
        <v>672</v>
      </c>
    </row>
    <row r="2946" spans="1:102" x14ac:dyDescent="0.3">
      <c r="A2946" t="str">
        <f>HYPERLINK("https://webapp.icbf.com/v2/app/bull-search/view/77852824","VJH")</f>
        <v>VJH</v>
      </c>
      <c r="B2946" t="s">
        <v>3348</v>
      </c>
      <c r="C2946" t="s">
        <v>3349</v>
      </c>
      <c r="D2946" s="1">
        <v>34196</v>
      </c>
      <c r="E2946" t="s">
        <v>92</v>
      </c>
      <c r="F2946">
        <v>100</v>
      </c>
      <c r="G2946" t="s">
        <v>93</v>
      </c>
      <c r="H2946">
        <v>0.76</v>
      </c>
      <c r="I2946">
        <v>87</v>
      </c>
      <c r="J2946">
        <v>18.59</v>
      </c>
      <c r="K2946">
        <v>97</v>
      </c>
      <c r="L2946">
        <v>-30.9</v>
      </c>
      <c r="M2946">
        <v>82</v>
      </c>
      <c r="N2946">
        <v>19.64</v>
      </c>
      <c r="O2946">
        <v>78</v>
      </c>
      <c r="P2946">
        <v>-4.42</v>
      </c>
      <c r="Q2946">
        <v>88</v>
      </c>
      <c r="R2946">
        <v>-9.3699999999999992</v>
      </c>
      <c r="S2946">
        <v>80</v>
      </c>
      <c r="T2946">
        <v>8.65</v>
      </c>
      <c r="U2946">
        <v>85</v>
      </c>
      <c r="V2946">
        <v>-1.43</v>
      </c>
      <c r="W2946">
        <v>66</v>
      </c>
      <c r="X2946" t="s">
        <v>94</v>
      </c>
      <c r="Y2946" t="s">
        <v>95</v>
      </c>
      <c r="Z2946" t="s">
        <v>96</v>
      </c>
      <c r="AA2946" t="s">
        <v>1463</v>
      </c>
      <c r="AB2946" t="s">
        <v>3350</v>
      </c>
      <c r="AC2946">
        <v>99</v>
      </c>
      <c r="AD2946">
        <v>79</v>
      </c>
      <c r="AE2946">
        <v>97</v>
      </c>
      <c r="AF2946">
        <v>431.41</v>
      </c>
      <c r="AG2946">
        <v>-3.01</v>
      </c>
      <c r="AH2946">
        <v>10.83</v>
      </c>
      <c r="AI2946">
        <v>-0.32</v>
      </c>
      <c r="AJ2946">
        <v>-0.06</v>
      </c>
      <c r="AK2946">
        <v>82</v>
      </c>
      <c r="AL2946">
        <v>134</v>
      </c>
      <c r="AM2946">
        <v>95</v>
      </c>
      <c r="AN2946">
        <v>2.02</v>
      </c>
      <c r="AO2946">
        <v>-0.44</v>
      </c>
      <c r="AP2946">
        <v>29</v>
      </c>
      <c r="AQ2946">
        <v>0</v>
      </c>
      <c r="AR2946">
        <v>4.01</v>
      </c>
      <c r="AS2946">
        <v>61</v>
      </c>
      <c r="AT2946">
        <v>1.78</v>
      </c>
      <c r="AU2946">
        <v>81</v>
      </c>
      <c r="AV2946">
        <v>-0.22</v>
      </c>
      <c r="AW2946">
        <v>84</v>
      </c>
      <c r="AX2946">
        <v>-0.15</v>
      </c>
      <c r="AY2946">
        <v>79</v>
      </c>
      <c r="AZ2946">
        <v>6.94</v>
      </c>
      <c r="BA2946">
        <v>56</v>
      </c>
      <c r="BB2946">
        <v>4.8499999999999996</v>
      </c>
      <c r="BC2946">
        <v>69</v>
      </c>
      <c r="BD2946">
        <v>0.05</v>
      </c>
      <c r="BE2946">
        <v>0.08</v>
      </c>
      <c r="BF2946">
        <v>-0.02</v>
      </c>
      <c r="BG2946">
        <v>92</v>
      </c>
      <c r="BH2946">
        <v>-0.09</v>
      </c>
      <c r="BI2946">
        <v>-5.81</v>
      </c>
      <c r="BJ2946">
        <v>16</v>
      </c>
      <c r="BK2946">
        <v>16</v>
      </c>
      <c r="BL2946">
        <v>-0.27</v>
      </c>
      <c r="BM2946">
        <v>-0.31</v>
      </c>
      <c r="BN2946">
        <v>-0.56000000000000005</v>
      </c>
      <c r="BO2946">
        <v>-0.57999999999999996</v>
      </c>
      <c r="BP2946">
        <v>0.19</v>
      </c>
      <c r="BQ2946">
        <v>-1.24</v>
      </c>
      <c r="BR2946">
        <v>-0.47</v>
      </c>
      <c r="BS2946">
        <v>-0.36</v>
      </c>
      <c r="BT2946">
        <v>1.39</v>
      </c>
      <c r="BU2946">
        <v>-0.64</v>
      </c>
      <c r="BV2946">
        <v>-0.21</v>
      </c>
      <c r="BW2946">
        <v>-0.41</v>
      </c>
      <c r="BX2946">
        <v>-0.74</v>
      </c>
      <c r="BY2946">
        <v>-0.2</v>
      </c>
      <c r="BZ2946">
        <v>-2.2000000000000002</v>
      </c>
      <c r="CA2946">
        <v>-0.53</v>
      </c>
      <c r="CB2946">
        <v>-0.18</v>
      </c>
      <c r="CC2946">
        <v>-0.71</v>
      </c>
      <c r="CD2946">
        <v>0.72</v>
      </c>
      <c r="CE2946">
        <v>-0.31</v>
      </c>
      <c r="CF2946">
        <v>-0.17</v>
      </c>
      <c r="CG2946">
        <v>0</v>
      </c>
      <c r="CH2946">
        <v>0.28000000000000003</v>
      </c>
      <c r="CI2946">
        <v>0</v>
      </c>
      <c r="CJ2946">
        <v>0.3</v>
      </c>
      <c r="CK2946">
        <v>89</v>
      </c>
      <c r="CL2946">
        <v>-0.45</v>
      </c>
      <c r="CM2946">
        <v>87</v>
      </c>
      <c r="CN2946">
        <v>-0.02</v>
      </c>
      <c r="CO2946">
        <v>86</v>
      </c>
      <c r="CP2946">
        <v>-2.8</v>
      </c>
      <c r="CQ2946">
        <v>89</v>
      </c>
      <c r="CR2946">
        <v>0</v>
      </c>
      <c r="CS2946">
        <v>0</v>
      </c>
      <c r="CT2946">
        <v>2.1</v>
      </c>
      <c r="CU2946">
        <v>85</v>
      </c>
      <c r="CV2946">
        <v>0.06</v>
      </c>
      <c r="CW2946">
        <v>43</v>
      </c>
      <c r="CX2946" t="s">
        <v>120</v>
      </c>
    </row>
    <row r="2947" spans="1:102" x14ac:dyDescent="0.3">
      <c r="A2947" t="str">
        <f>HYPERLINK("https://webapp.icbf.com/v2/app/bull-search/view/381277302","TJB")</f>
        <v>TJB</v>
      </c>
      <c r="B2947" t="s">
        <v>8125</v>
      </c>
      <c r="C2947" t="s">
        <v>8126</v>
      </c>
      <c r="D2947" s="1">
        <v>37523</v>
      </c>
      <c r="E2947" t="s">
        <v>140</v>
      </c>
      <c r="F2947">
        <v>0</v>
      </c>
      <c r="G2947" t="s">
        <v>109</v>
      </c>
      <c r="H2947">
        <v>0.65</v>
      </c>
      <c r="I2947">
        <v>62</v>
      </c>
      <c r="J2947">
        <v>-3.13</v>
      </c>
      <c r="K2947">
        <v>68</v>
      </c>
      <c r="L2947">
        <v>-3.34</v>
      </c>
      <c r="M2947">
        <v>50</v>
      </c>
      <c r="N2947">
        <v>-8.16</v>
      </c>
      <c r="O2947">
        <v>69</v>
      </c>
      <c r="P2947">
        <v>-4.29</v>
      </c>
      <c r="Q2947">
        <v>90</v>
      </c>
      <c r="R2947">
        <v>1.1200000000000001</v>
      </c>
      <c r="S2947">
        <v>47</v>
      </c>
      <c r="T2947">
        <v>24.48</v>
      </c>
      <c r="U2947">
        <v>69</v>
      </c>
      <c r="V2947">
        <v>-6.03</v>
      </c>
      <c r="W2947">
        <v>49</v>
      </c>
      <c r="X2947" t="s">
        <v>94</v>
      </c>
      <c r="Y2947" t="s">
        <v>270</v>
      </c>
      <c r="Z2947">
        <v>0</v>
      </c>
      <c r="AA2947" t="s">
        <v>2860</v>
      </c>
      <c r="AB2947" t="s">
        <v>8127</v>
      </c>
      <c r="AC2947">
        <v>0</v>
      </c>
      <c r="AD2947">
        <v>0</v>
      </c>
      <c r="AE2947">
        <v>68</v>
      </c>
      <c r="AF2947">
        <v>-124.34</v>
      </c>
      <c r="AG2947">
        <v>7.0000000000000007E-2</v>
      </c>
      <c r="AH2947">
        <v>-2.46</v>
      </c>
      <c r="AI2947">
        <v>0.08</v>
      </c>
      <c r="AJ2947">
        <v>0.03</v>
      </c>
      <c r="AK2947">
        <v>50</v>
      </c>
      <c r="AL2947">
        <v>44</v>
      </c>
      <c r="AM2947">
        <v>27</v>
      </c>
      <c r="AN2947">
        <v>1.48</v>
      </c>
      <c r="AO2947">
        <v>1.23</v>
      </c>
      <c r="AP2947">
        <v>67</v>
      </c>
      <c r="AQ2947">
        <v>0</v>
      </c>
      <c r="AR2947">
        <v>9.86</v>
      </c>
      <c r="AS2947">
        <v>47</v>
      </c>
      <c r="AT2947">
        <v>4.8499999999999996</v>
      </c>
      <c r="AU2947">
        <v>63</v>
      </c>
      <c r="AV2947">
        <v>-1.27</v>
      </c>
      <c r="AW2947">
        <v>92</v>
      </c>
      <c r="AX2947">
        <v>-0.8</v>
      </c>
      <c r="AY2947">
        <v>68</v>
      </c>
      <c r="AZ2947">
        <v>6.21</v>
      </c>
      <c r="BA2947">
        <v>31</v>
      </c>
      <c r="BB2947">
        <v>4.0999999999999996</v>
      </c>
      <c r="BC2947">
        <v>36</v>
      </c>
      <c r="BD2947">
        <v>0.02</v>
      </c>
      <c r="BE2947">
        <v>-0.01</v>
      </c>
      <c r="BF2947">
        <v>-0.04</v>
      </c>
      <c r="BG2947">
        <v>59</v>
      </c>
      <c r="BH2947">
        <v>-0.39</v>
      </c>
      <c r="BI2947">
        <v>-25.65</v>
      </c>
      <c r="BJ2947">
        <v>1</v>
      </c>
      <c r="BK2947">
        <v>1</v>
      </c>
      <c r="BL2947">
        <v>-1.29</v>
      </c>
      <c r="BM2947">
        <v>3.25</v>
      </c>
      <c r="BN2947">
        <v>-1.85</v>
      </c>
      <c r="BO2947">
        <v>-3.07</v>
      </c>
      <c r="BP2947">
        <v>4.5</v>
      </c>
      <c r="BQ2947">
        <v>-2.96</v>
      </c>
      <c r="BR2947">
        <v>-2.74</v>
      </c>
      <c r="BS2947">
        <v>-0.5</v>
      </c>
      <c r="BT2947">
        <v>2.72</v>
      </c>
      <c r="BU2947">
        <v>-3.3</v>
      </c>
      <c r="BV2947">
        <v>-3.59</v>
      </c>
      <c r="BW2947">
        <v>-2.74</v>
      </c>
      <c r="BX2947">
        <v>-2.69</v>
      </c>
      <c r="BY2947">
        <v>-2.0499999999999998</v>
      </c>
      <c r="BZ2947">
        <v>1.06</v>
      </c>
      <c r="CA2947">
        <v>-2.2799999999999998</v>
      </c>
      <c r="CB2947">
        <v>-2.92</v>
      </c>
      <c r="CC2947">
        <v>-0.39</v>
      </c>
      <c r="CD2947">
        <v>3.84</v>
      </c>
      <c r="CE2947">
        <v>-3.04</v>
      </c>
      <c r="CF2947">
        <v>-1.57</v>
      </c>
      <c r="CG2947">
        <v>0</v>
      </c>
      <c r="CH2947">
        <v>-2.2400000000000002</v>
      </c>
      <c r="CI2947">
        <v>0</v>
      </c>
      <c r="CJ2947">
        <v>-3.5</v>
      </c>
      <c r="CK2947">
        <v>92</v>
      </c>
      <c r="CL2947">
        <v>0.06</v>
      </c>
      <c r="CM2947">
        <v>90</v>
      </c>
      <c r="CN2947">
        <v>-0.16</v>
      </c>
      <c r="CO2947">
        <v>88</v>
      </c>
      <c r="CP2947">
        <v>-13</v>
      </c>
      <c r="CQ2947">
        <v>76</v>
      </c>
      <c r="CR2947">
        <v>0</v>
      </c>
      <c r="CS2947">
        <v>0</v>
      </c>
      <c r="CT2947">
        <v>-19.3</v>
      </c>
      <c r="CU2947">
        <v>69</v>
      </c>
      <c r="CV2947">
        <v>-0.16</v>
      </c>
      <c r="CW2947">
        <v>26</v>
      </c>
      <c r="CX2947" t="s">
        <v>2937</v>
      </c>
    </row>
    <row r="2948" spans="1:102" x14ac:dyDescent="0.3">
      <c r="A2948" t="str">
        <f>HYPERLINK("https://webapp.icbf.com/v2/app/bull-search/view/77856901","HHL")</f>
        <v>HHL</v>
      </c>
      <c r="B2948" t="s">
        <v>883</v>
      </c>
      <c r="C2948" t="s">
        <v>884</v>
      </c>
      <c r="D2948" s="1">
        <v>31986</v>
      </c>
      <c r="E2948" t="s">
        <v>92</v>
      </c>
      <c r="F2948">
        <v>100</v>
      </c>
      <c r="G2948" t="s">
        <v>109</v>
      </c>
      <c r="H2948">
        <v>0.61</v>
      </c>
      <c r="I2948">
        <v>78</v>
      </c>
      <c r="J2948">
        <v>-13.22</v>
      </c>
      <c r="K2948">
        <v>92</v>
      </c>
      <c r="L2948">
        <v>6.67</v>
      </c>
      <c r="M2948">
        <v>81</v>
      </c>
      <c r="N2948">
        <v>10.75</v>
      </c>
      <c r="O2948">
        <v>57</v>
      </c>
      <c r="P2948">
        <v>-9.43</v>
      </c>
      <c r="Q2948">
        <v>64</v>
      </c>
      <c r="R2948">
        <v>-4.47</v>
      </c>
      <c r="S2948">
        <v>74</v>
      </c>
      <c r="T2948">
        <v>6.28</v>
      </c>
      <c r="U2948">
        <v>61</v>
      </c>
      <c r="V2948">
        <v>4.03</v>
      </c>
      <c r="W2948">
        <v>59</v>
      </c>
      <c r="X2948" t="s">
        <v>276</v>
      </c>
      <c r="Y2948" t="s">
        <v>95</v>
      </c>
      <c r="Z2948" t="s">
        <v>96</v>
      </c>
      <c r="AA2948" t="s">
        <v>128</v>
      </c>
      <c r="AB2948" t="s">
        <v>885</v>
      </c>
      <c r="AC2948">
        <v>19</v>
      </c>
      <c r="AD2948">
        <v>19</v>
      </c>
      <c r="AE2948">
        <v>92</v>
      </c>
      <c r="AF2948">
        <v>-76.87</v>
      </c>
      <c r="AG2948">
        <v>0.38</v>
      </c>
      <c r="AH2948">
        <v>-3.56</v>
      </c>
      <c r="AI2948">
        <v>0.06</v>
      </c>
      <c r="AJ2948">
        <v>-0.02</v>
      </c>
      <c r="AK2948">
        <v>81</v>
      </c>
      <c r="AL2948">
        <v>33</v>
      </c>
      <c r="AM2948">
        <v>22</v>
      </c>
      <c r="AN2948">
        <v>-0.5</v>
      </c>
      <c r="AO2948">
        <v>0.03</v>
      </c>
      <c r="AP2948">
        <v>1</v>
      </c>
      <c r="AQ2948">
        <v>0</v>
      </c>
      <c r="AR2948">
        <v>7.48</v>
      </c>
      <c r="AS2948">
        <v>52</v>
      </c>
      <c r="AT2948">
        <v>2.4700000000000002</v>
      </c>
      <c r="AU2948">
        <v>67</v>
      </c>
      <c r="AV2948">
        <v>-0.26</v>
      </c>
      <c r="AW2948">
        <v>54</v>
      </c>
      <c r="AX2948">
        <v>-0.33</v>
      </c>
      <c r="AY2948">
        <v>59</v>
      </c>
      <c r="AZ2948">
        <v>5.8</v>
      </c>
      <c r="BA2948">
        <v>46</v>
      </c>
      <c r="BB2948">
        <v>4.7699999999999996</v>
      </c>
      <c r="BC2948">
        <v>51</v>
      </c>
      <c r="BD2948">
        <v>0.04</v>
      </c>
      <c r="BE2948">
        <v>0.04</v>
      </c>
      <c r="BF2948">
        <v>-0.04</v>
      </c>
      <c r="BG2948">
        <v>87</v>
      </c>
      <c r="BH2948">
        <v>0.16</v>
      </c>
      <c r="BI2948">
        <v>5.52</v>
      </c>
      <c r="BJ2948">
        <v>0</v>
      </c>
      <c r="BK2948">
        <v>0</v>
      </c>
      <c r="BL2948">
        <v>-0.56999999999999995</v>
      </c>
      <c r="BM2948">
        <v>2.1</v>
      </c>
      <c r="BN2948">
        <v>0.41</v>
      </c>
      <c r="BO2948">
        <v>-0.95</v>
      </c>
      <c r="BP2948">
        <v>-2.2000000000000002</v>
      </c>
      <c r="BQ2948">
        <v>1.54</v>
      </c>
      <c r="BR2948">
        <v>0.93</v>
      </c>
      <c r="BS2948">
        <v>-1.31</v>
      </c>
      <c r="BT2948">
        <v>-1.46</v>
      </c>
      <c r="BU2948">
        <v>-0.18</v>
      </c>
      <c r="BV2948">
        <v>-0.49</v>
      </c>
      <c r="BW2948">
        <v>-0.94</v>
      </c>
      <c r="BX2948">
        <v>-0.59</v>
      </c>
      <c r="BY2948">
        <v>-1.26</v>
      </c>
      <c r="BZ2948">
        <v>-0.7</v>
      </c>
      <c r="CA2948">
        <v>-0.76</v>
      </c>
      <c r="CB2948">
        <v>-0.55000000000000004</v>
      </c>
      <c r="CC2948">
        <v>-1.1000000000000001</v>
      </c>
      <c r="CD2948">
        <v>0.95</v>
      </c>
      <c r="CE2948">
        <v>-0.72</v>
      </c>
      <c r="CF2948">
        <v>-0.69</v>
      </c>
      <c r="CG2948">
        <v>0</v>
      </c>
      <c r="CH2948">
        <v>-0.32</v>
      </c>
      <c r="CI2948">
        <v>0</v>
      </c>
      <c r="CJ2948">
        <v>-2.6</v>
      </c>
      <c r="CK2948">
        <v>65</v>
      </c>
      <c r="CL2948">
        <v>-0.6</v>
      </c>
      <c r="CM2948">
        <v>62</v>
      </c>
      <c r="CN2948">
        <v>-0.13</v>
      </c>
      <c r="CO2948">
        <v>58</v>
      </c>
      <c r="CP2948">
        <v>-7.8</v>
      </c>
      <c r="CQ2948">
        <v>72</v>
      </c>
      <c r="CR2948">
        <v>0</v>
      </c>
      <c r="CS2948">
        <v>0</v>
      </c>
      <c r="CT2948">
        <v>5.3</v>
      </c>
      <c r="CU2948">
        <v>61</v>
      </c>
      <c r="CV2948">
        <v>7.0000000000000007E-2</v>
      </c>
      <c r="CW2948">
        <v>38</v>
      </c>
      <c r="CX2948" t="s">
        <v>886</v>
      </c>
    </row>
    <row r="2949" spans="1:102" x14ac:dyDescent="0.3">
      <c r="A2949" t="str">
        <f>HYPERLINK("https://webapp.icbf.com/v2/app/bull-search/view/77859151","ABY")</f>
        <v>ABY</v>
      </c>
      <c r="B2949" t="s">
        <v>12386</v>
      </c>
      <c r="C2949" t="s">
        <v>12387</v>
      </c>
      <c r="D2949" s="1">
        <v>31678</v>
      </c>
      <c r="E2949" t="s">
        <v>92</v>
      </c>
      <c r="F2949">
        <v>100</v>
      </c>
      <c r="G2949" t="s">
        <v>116</v>
      </c>
      <c r="H2949">
        <v>0.5</v>
      </c>
      <c r="I2949">
        <v>30</v>
      </c>
      <c r="J2949">
        <v>-18.579999999999998</v>
      </c>
      <c r="K2949">
        <v>34</v>
      </c>
      <c r="L2949">
        <v>9.24</v>
      </c>
      <c r="M2949">
        <v>29</v>
      </c>
      <c r="N2949">
        <v>13.16</v>
      </c>
      <c r="O2949">
        <v>22</v>
      </c>
      <c r="P2949">
        <v>-0.98</v>
      </c>
      <c r="Q2949">
        <v>34</v>
      </c>
      <c r="R2949">
        <v>-9.06</v>
      </c>
      <c r="S2949">
        <v>31</v>
      </c>
      <c r="T2949">
        <v>10.79</v>
      </c>
      <c r="U2949">
        <v>27</v>
      </c>
      <c r="V2949">
        <v>-4.07</v>
      </c>
      <c r="W2949">
        <v>14</v>
      </c>
      <c r="X2949" t="s">
        <v>276</v>
      </c>
      <c r="Y2949" t="s">
        <v>95</v>
      </c>
      <c r="Z2949" t="s">
        <v>96</v>
      </c>
      <c r="AA2949" t="s">
        <v>4347</v>
      </c>
      <c r="AB2949" t="s">
        <v>12388</v>
      </c>
      <c r="AC2949">
        <v>2</v>
      </c>
      <c r="AD2949">
        <v>2</v>
      </c>
      <c r="AE2949">
        <v>34</v>
      </c>
      <c r="AF2949">
        <v>128.27000000000001</v>
      </c>
      <c r="AG2949">
        <v>1.62</v>
      </c>
      <c r="AH2949">
        <v>-1.77</v>
      </c>
      <c r="AI2949">
        <v>-0.05</v>
      </c>
      <c r="AJ2949">
        <v>-0.1</v>
      </c>
      <c r="AK2949">
        <v>29</v>
      </c>
      <c r="AL2949">
        <v>5</v>
      </c>
      <c r="AM2949">
        <v>3</v>
      </c>
      <c r="AN2949">
        <v>-1.05</v>
      </c>
      <c r="AO2949">
        <v>-0.32</v>
      </c>
      <c r="AP2949">
        <v>0</v>
      </c>
      <c r="AQ2949">
        <v>1</v>
      </c>
      <c r="AR2949">
        <v>6.79</v>
      </c>
      <c r="AS2949">
        <v>14</v>
      </c>
      <c r="AT2949">
        <v>2.87</v>
      </c>
      <c r="AU2949">
        <v>22</v>
      </c>
      <c r="AV2949">
        <v>-0.9</v>
      </c>
      <c r="AW2949">
        <v>24</v>
      </c>
      <c r="AX2949">
        <v>0.05</v>
      </c>
      <c r="AY2949">
        <v>33</v>
      </c>
      <c r="AZ2949">
        <v>5.79</v>
      </c>
      <c r="BA2949">
        <v>13</v>
      </c>
      <c r="BB2949">
        <v>4.8</v>
      </c>
      <c r="BC2949">
        <v>18</v>
      </c>
      <c r="BD2949">
        <v>0.02</v>
      </c>
      <c r="BE2949">
        <v>0.05</v>
      </c>
      <c r="BF2949">
        <v>0.08</v>
      </c>
      <c r="BG2949">
        <v>43</v>
      </c>
      <c r="BH2949">
        <v>0.02</v>
      </c>
      <c r="BI2949">
        <v>15.44</v>
      </c>
      <c r="BJ2949">
        <v>0</v>
      </c>
      <c r="BK2949">
        <v>0</v>
      </c>
      <c r="BL2949">
        <v>0.36</v>
      </c>
      <c r="BM2949">
        <v>0.45</v>
      </c>
      <c r="BN2949">
        <v>0.13</v>
      </c>
      <c r="BO2949">
        <v>-0.34</v>
      </c>
      <c r="BP2949">
        <v>-0.41</v>
      </c>
      <c r="BQ2949">
        <v>-0.1</v>
      </c>
      <c r="BR2949">
        <v>0.68</v>
      </c>
      <c r="BS2949">
        <v>0.18</v>
      </c>
      <c r="BT2949">
        <v>-1.1000000000000001</v>
      </c>
      <c r="BU2949">
        <v>-0.31</v>
      </c>
      <c r="BV2949">
        <v>-1.1499999999999999</v>
      </c>
      <c r="BW2949">
        <v>-0.85</v>
      </c>
      <c r="BX2949">
        <v>0.28999999999999998</v>
      </c>
      <c r="BY2949">
        <v>-0.47</v>
      </c>
      <c r="BZ2949">
        <v>0.19</v>
      </c>
      <c r="CA2949">
        <v>-0.82</v>
      </c>
      <c r="CB2949">
        <v>-0.81</v>
      </c>
      <c r="CC2949">
        <v>-0.53</v>
      </c>
      <c r="CD2949">
        <v>0.2</v>
      </c>
      <c r="CE2949">
        <v>-0.51</v>
      </c>
      <c r="CF2949">
        <v>0.05</v>
      </c>
      <c r="CG2949">
        <v>0</v>
      </c>
      <c r="CH2949">
        <v>-1.76</v>
      </c>
      <c r="CI2949">
        <v>0</v>
      </c>
      <c r="CJ2949">
        <v>-0.1</v>
      </c>
      <c r="CK2949">
        <v>35</v>
      </c>
      <c r="CL2949">
        <v>-0.39</v>
      </c>
      <c r="CM2949">
        <v>33</v>
      </c>
      <c r="CN2949">
        <v>-0.31</v>
      </c>
      <c r="CO2949">
        <v>31</v>
      </c>
      <c r="CP2949">
        <v>-3</v>
      </c>
      <c r="CQ2949">
        <v>31</v>
      </c>
      <c r="CR2949">
        <v>0</v>
      </c>
      <c r="CS2949">
        <v>0</v>
      </c>
      <c r="CT2949">
        <v>-0.8</v>
      </c>
      <c r="CU2949">
        <v>27</v>
      </c>
      <c r="CV2949">
        <v>0.1</v>
      </c>
      <c r="CW2949">
        <v>9</v>
      </c>
      <c r="CX2949" t="s">
        <v>12389</v>
      </c>
    </row>
    <row r="2950" spans="1:102" x14ac:dyDescent="0.3">
      <c r="A2950" t="str">
        <f>HYPERLINK("https://webapp.icbf.com/v2/app/bull-search/view/474731519","RJB")</f>
        <v>RJB</v>
      </c>
      <c r="B2950" t="s">
        <v>6885</v>
      </c>
      <c r="C2950" t="s">
        <v>6886</v>
      </c>
      <c r="D2950" s="1">
        <v>36831</v>
      </c>
      <c r="E2950" t="s">
        <v>140</v>
      </c>
      <c r="F2950">
        <v>0</v>
      </c>
      <c r="G2950" t="s">
        <v>109</v>
      </c>
      <c r="H2950">
        <v>0.44</v>
      </c>
      <c r="I2950">
        <v>72</v>
      </c>
      <c r="J2950">
        <v>-41.72</v>
      </c>
      <c r="K2950">
        <v>86</v>
      </c>
      <c r="L2950">
        <v>28.85</v>
      </c>
      <c r="M2950">
        <v>63</v>
      </c>
      <c r="N2950">
        <v>-7.54</v>
      </c>
      <c r="O2950">
        <v>67</v>
      </c>
      <c r="P2950">
        <v>17.68</v>
      </c>
      <c r="Q2950">
        <v>80</v>
      </c>
      <c r="R2950">
        <v>9.93</v>
      </c>
      <c r="S2950">
        <v>63</v>
      </c>
      <c r="T2950">
        <v>8.5</v>
      </c>
      <c r="U2950">
        <v>54</v>
      </c>
      <c r="V2950">
        <v>-15.26</v>
      </c>
      <c r="W2950">
        <v>61</v>
      </c>
      <c r="X2950" t="s">
        <v>94</v>
      </c>
      <c r="Y2950" t="s">
        <v>282</v>
      </c>
      <c r="Z2950">
        <v>0</v>
      </c>
      <c r="AA2950" t="s">
        <v>6697</v>
      </c>
      <c r="AB2950" t="s">
        <v>6887</v>
      </c>
      <c r="AC2950">
        <v>0</v>
      </c>
      <c r="AD2950">
        <v>0</v>
      </c>
      <c r="AE2950">
        <v>86</v>
      </c>
      <c r="AF2950">
        <v>-123.13</v>
      </c>
      <c r="AG2950">
        <v>-6.84</v>
      </c>
      <c r="AH2950">
        <v>-6.56</v>
      </c>
      <c r="AI2950">
        <v>-0.04</v>
      </c>
      <c r="AJ2950">
        <v>-0.04</v>
      </c>
      <c r="AK2950">
        <v>63</v>
      </c>
      <c r="AL2950">
        <v>10</v>
      </c>
      <c r="AM2950">
        <v>9</v>
      </c>
      <c r="AN2950">
        <v>-2.38</v>
      </c>
      <c r="AO2950">
        <v>-0.09</v>
      </c>
      <c r="AP2950">
        <v>28</v>
      </c>
      <c r="AQ2950">
        <v>0</v>
      </c>
      <c r="AR2950">
        <v>7.81</v>
      </c>
      <c r="AS2950">
        <v>50</v>
      </c>
      <c r="AT2950">
        <v>4.42</v>
      </c>
      <c r="AU2950">
        <v>64</v>
      </c>
      <c r="AV2950">
        <v>0.24</v>
      </c>
      <c r="AW2950">
        <v>84</v>
      </c>
      <c r="AX2950">
        <v>0.2</v>
      </c>
      <c r="AY2950">
        <v>55</v>
      </c>
      <c r="AZ2950">
        <v>4.79</v>
      </c>
      <c r="BA2950">
        <v>45</v>
      </c>
      <c r="BB2950">
        <v>3.68</v>
      </c>
      <c r="BC2950">
        <v>46</v>
      </c>
      <c r="BD2950">
        <v>0.01</v>
      </c>
      <c r="BE2950">
        <v>-0.05</v>
      </c>
      <c r="BF2950">
        <v>-0.15</v>
      </c>
      <c r="BG2950">
        <v>69</v>
      </c>
      <c r="BH2950">
        <v>-0.28999999999999998</v>
      </c>
      <c r="BI2950">
        <v>15.69</v>
      </c>
      <c r="BJ2950">
        <v>0</v>
      </c>
      <c r="BK2950">
        <v>0</v>
      </c>
      <c r="BL2950">
        <v>-0.7</v>
      </c>
      <c r="BM2950">
        <v>3.01</v>
      </c>
      <c r="BN2950">
        <v>-1.49</v>
      </c>
      <c r="BO2950">
        <v>-2.58</v>
      </c>
      <c r="BP2950">
        <v>3.93</v>
      </c>
      <c r="BQ2950">
        <v>-2.27</v>
      </c>
      <c r="BR2950">
        <v>-2.59</v>
      </c>
      <c r="BS2950">
        <v>-0.44</v>
      </c>
      <c r="BT2950">
        <v>2.4500000000000002</v>
      </c>
      <c r="BU2950">
        <v>-3.26</v>
      </c>
      <c r="BV2950">
        <v>-3.63</v>
      </c>
      <c r="BW2950">
        <v>-2.78</v>
      </c>
      <c r="BX2950">
        <v>-2.6</v>
      </c>
      <c r="BY2950">
        <v>-2.38</v>
      </c>
      <c r="BZ2950">
        <v>1.1299999999999999</v>
      </c>
      <c r="CA2950">
        <v>-2.2799999999999998</v>
      </c>
      <c r="CB2950">
        <v>-2.94</v>
      </c>
      <c r="CC2950">
        <v>-0.31</v>
      </c>
      <c r="CD2950">
        <v>3.45</v>
      </c>
      <c r="CE2950">
        <v>-2.63</v>
      </c>
      <c r="CF2950">
        <v>-0.91</v>
      </c>
      <c r="CG2950">
        <v>0</v>
      </c>
      <c r="CH2950">
        <v>-2.29</v>
      </c>
      <c r="CI2950">
        <v>0</v>
      </c>
      <c r="CJ2950">
        <v>6.9</v>
      </c>
      <c r="CK2950">
        <v>83</v>
      </c>
      <c r="CL2950">
        <v>0.35</v>
      </c>
      <c r="CM2950">
        <v>80</v>
      </c>
      <c r="CN2950">
        <v>-0.32</v>
      </c>
      <c r="CO2950">
        <v>78</v>
      </c>
      <c r="CP2950">
        <v>5.3</v>
      </c>
      <c r="CQ2950">
        <v>66</v>
      </c>
      <c r="CR2950">
        <v>0</v>
      </c>
      <c r="CS2950">
        <v>0</v>
      </c>
      <c r="CT2950">
        <v>2.2999999999999998</v>
      </c>
      <c r="CU2950">
        <v>54</v>
      </c>
      <c r="CV2950">
        <v>0.14000000000000001</v>
      </c>
      <c r="CW2950">
        <v>42</v>
      </c>
      <c r="CX2950" t="s">
        <v>2937</v>
      </c>
    </row>
    <row r="2951" spans="1:102" x14ac:dyDescent="0.3">
      <c r="A2951" t="str">
        <f>HYPERLINK("https://webapp.icbf.com/v2/app/bull-search/view/69092542","RUW")</f>
        <v>RUW</v>
      </c>
      <c r="B2951" t="s">
        <v>144</v>
      </c>
      <c r="C2951" t="s">
        <v>994</v>
      </c>
      <c r="D2951" s="1">
        <v>33931</v>
      </c>
      <c r="E2951" t="s">
        <v>146</v>
      </c>
      <c r="F2951">
        <v>0</v>
      </c>
      <c r="G2951" t="s">
        <v>93</v>
      </c>
      <c r="H2951">
        <v>0.41</v>
      </c>
      <c r="I2951">
        <v>48</v>
      </c>
      <c r="J2951">
        <v>-46.74</v>
      </c>
      <c r="K2951">
        <v>78</v>
      </c>
      <c r="L2951">
        <v>16.29</v>
      </c>
      <c r="M2951">
        <v>30</v>
      </c>
      <c r="N2951">
        <v>24.05</v>
      </c>
      <c r="O2951">
        <v>39</v>
      </c>
      <c r="P2951">
        <v>4.99</v>
      </c>
      <c r="Q2951">
        <v>45</v>
      </c>
      <c r="R2951">
        <v>-7.84</v>
      </c>
      <c r="S2951">
        <v>34</v>
      </c>
      <c r="T2951">
        <v>17.010000000000002</v>
      </c>
      <c r="U2951">
        <v>30</v>
      </c>
      <c r="V2951">
        <v>-7.35</v>
      </c>
      <c r="W2951">
        <v>15</v>
      </c>
      <c r="X2951" t="s">
        <v>94</v>
      </c>
      <c r="Y2951" t="s">
        <v>95</v>
      </c>
      <c r="Z2951">
        <v>0</v>
      </c>
      <c r="AA2951" t="s">
        <v>995</v>
      </c>
      <c r="AB2951" t="s">
        <v>996</v>
      </c>
      <c r="AC2951">
        <v>20</v>
      </c>
      <c r="AD2951">
        <v>14</v>
      </c>
      <c r="AE2951">
        <v>78</v>
      </c>
      <c r="AF2951">
        <v>-701.31</v>
      </c>
      <c r="AG2951">
        <v>-13.89</v>
      </c>
      <c r="AH2951">
        <v>-13.77</v>
      </c>
      <c r="AI2951">
        <v>0.25</v>
      </c>
      <c r="AJ2951">
        <v>0.19</v>
      </c>
      <c r="AK2951">
        <v>30</v>
      </c>
      <c r="AL2951">
        <v>13</v>
      </c>
      <c r="AM2951">
        <v>12</v>
      </c>
      <c r="AN2951">
        <v>-0.84</v>
      </c>
      <c r="AO2951">
        <v>0.46</v>
      </c>
      <c r="AP2951">
        <v>12</v>
      </c>
      <c r="AQ2951">
        <v>0</v>
      </c>
      <c r="AR2951">
        <v>7.26</v>
      </c>
      <c r="AS2951">
        <v>16</v>
      </c>
      <c r="AT2951">
        <v>3.01</v>
      </c>
      <c r="AU2951">
        <v>33</v>
      </c>
      <c r="AV2951">
        <v>-2.9</v>
      </c>
      <c r="AW2951">
        <v>56</v>
      </c>
      <c r="AX2951">
        <v>0.17</v>
      </c>
      <c r="AY2951">
        <v>41</v>
      </c>
      <c r="AZ2951">
        <v>6.4</v>
      </c>
      <c r="BA2951">
        <v>11</v>
      </c>
      <c r="BB2951">
        <v>5.09</v>
      </c>
      <c r="BC2951">
        <v>18</v>
      </c>
      <c r="BD2951">
        <v>0.02</v>
      </c>
      <c r="BE2951">
        <v>0.03</v>
      </c>
      <c r="BF2951">
        <v>0.09</v>
      </c>
      <c r="BG2951">
        <v>45</v>
      </c>
      <c r="BH2951">
        <v>-0.16</v>
      </c>
      <c r="BI2951">
        <v>5.2</v>
      </c>
      <c r="BJ2951">
        <v>0</v>
      </c>
      <c r="BK2951">
        <v>0</v>
      </c>
      <c r="BL2951">
        <v>0</v>
      </c>
      <c r="BM2951">
        <v>0</v>
      </c>
      <c r="BN2951">
        <v>0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>
        <v>0</v>
      </c>
      <c r="CJ2951">
        <v>2.1</v>
      </c>
      <c r="CK2951">
        <v>48</v>
      </c>
      <c r="CL2951">
        <v>0.2</v>
      </c>
      <c r="CM2951">
        <v>43</v>
      </c>
      <c r="CN2951">
        <v>-7.0000000000000007E-2</v>
      </c>
      <c r="CO2951">
        <v>39</v>
      </c>
      <c r="CP2951">
        <v>-5.3</v>
      </c>
      <c r="CQ2951">
        <v>40</v>
      </c>
      <c r="CR2951">
        <v>0</v>
      </c>
      <c r="CS2951">
        <v>0</v>
      </c>
      <c r="CT2951">
        <v>-9.1999999999999993</v>
      </c>
      <c r="CU2951">
        <v>30</v>
      </c>
      <c r="CV2951">
        <v>-0.08</v>
      </c>
      <c r="CW2951">
        <v>12</v>
      </c>
      <c r="CX2951" t="s">
        <v>997</v>
      </c>
    </row>
    <row r="2952" spans="1:102" x14ac:dyDescent="0.3">
      <c r="A2952" t="str">
        <f>HYPERLINK("https://webapp.icbf.com/v2/app/bull-search/view/77860030","BVL")</f>
        <v>BVL</v>
      </c>
      <c r="B2952" t="s">
        <v>3698</v>
      </c>
      <c r="C2952" t="s">
        <v>3699</v>
      </c>
      <c r="D2952" s="1">
        <v>33285</v>
      </c>
      <c r="E2952" t="s">
        <v>92</v>
      </c>
      <c r="F2952">
        <v>50</v>
      </c>
      <c r="G2952" t="s">
        <v>93</v>
      </c>
      <c r="H2952">
        <v>0.4</v>
      </c>
      <c r="I2952">
        <v>59</v>
      </c>
      <c r="J2952">
        <v>-92.29</v>
      </c>
      <c r="K2952">
        <v>83</v>
      </c>
      <c r="L2952">
        <v>71.930000000000007</v>
      </c>
      <c r="M2952">
        <v>46</v>
      </c>
      <c r="N2952">
        <v>4.47</v>
      </c>
      <c r="O2952">
        <v>31</v>
      </c>
      <c r="P2952">
        <v>-5.0599999999999996</v>
      </c>
      <c r="Q2952">
        <v>53</v>
      </c>
      <c r="R2952">
        <v>7.78</v>
      </c>
      <c r="S2952">
        <v>50</v>
      </c>
      <c r="T2952">
        <v>19.670000000000002</v>
      </c>
      <c r="U2952">
        <v>78</v>
      </c>
      <c r="V2952">
        <v>-6.1</v>
      </c>
      <c r="W2952">
        <v>14</v>
      </c>
      <c r="X2952" t="s">
        <v>110</v>
      </c>
      <c r="Y2952" t="s">
        <v>95</v>
      </c>
      <c r="Z2952" t="s">
        <v>96</v>
      </c>
      <c r="AA2952" t="s">
        <v>3700</v>
      </c>
      <c r="AB2952" t="s">
        <v>3701</v>
      </c>
      <c r="AC2952">
        <v>24</v>
      </c>
      <c r="AD2952">
        <v>7</v>
      </c>
      <c r="AE2952">
        <v>83</v>
      </c>
      <c r="AF2952">
        <v>-422.3</v>
      </c>
      <c r="AG2952">
        <v>-10.46</v>
      </c>
      <c r="AH2952">
        <v>-18.46</v>
      </c>
      <c r="AI2952">
        <v>0.11</v>
      </c>
      <c r="AJ2952">
        <v>-7.0000000000000007E-2</v>
      </c>
      <c r="AK2952">
        <v>46</v>
      </c>
      <c r="AL2952">
        <v>28</v>
      </c>
      <c r="AM2952">
        <v>4</v>
      </c>
      <c r="AN2952">
        <v>-4.41</v>
      </c>
      <c r="AO2952">
        <v>1.32</v>
      </c>
      <c r="AP2952">
        <v>1</v>
      </c>
      <c r="AQ2952">
        <v>0</v>
      </c>
      <c r="AR2952">
        <v>6.32</v>
      </c>
      <c r="AS2952">
        <v>14</v>
      </c>
      <c r="AT2952">
        <v>2.77</v>
      </c>
      <c r="AU2952">
        <v>25</v>
      </c>
      <c r="AV2952">
        <v>0.06</v>
      </c>
      <c r="AW2952">
        <v>36</v>
      </c>
      <c r="AX2952">
        <v>0</v>
      </c>
      <c r="AY2952">
        <v>54</v>
      </c>
      <c r="AZ2952">
        <v>6.49</v>
      </c>
      <c r="BA2952">
        <v>15</v>
      </c>
      <c r="BB2952">
        <v>5.22</v>
      </c>
      <c r="BC2952">
        <v>22</v>
      </c>
      <c r="BD2952">
        <v>0</v>
      </c>
      <c r="BE2952">
        <v>-0.01</v>
      </c>
      <c r="BF2952">
        <v>-0.16</v>
      </c>
      <c r="BG2952">
        <v>66</v>
      </c>
      <c r="BH2952">
        <v>-0.02</v>
      </c>
      <c r="BI2952">
        <v>17.36</v>
      </c>
      <c r="BJ2952">
        <v>1</v>
      </c>
      <c r="BK2952">
        <v>1</v>
      </c>
      <c r="BL2952">
        <v>-1.1399999999999999</v>
      </c>
      <c r="BM2952">
        <v>1.18</v>
      </c>
      <c r="BN2952">
        <v>-0.25</v>
      </c>
      <c r="BO2952">
        <v>-1.1299999999999999</v>
      </c>
      <c r="BP2952">
        <v>0.04</v>
      </c>
      <c r="BQ2952">
        <v>1</v>
      </c>
      <c r="BR2952">
        <v>0.13</v>
      </c>
      <c r="BS2952">
        <v>-0.91</v>
      </c>
      <c r="BT2952">
        <v>-0.92</v>
      </c>
      <c r="BU2952">
        <v>-0.23</v>
      </c>
      <c r="BV2952">
        <v>-1.02</v>
      </c>
      <c r="BW2952">
        <v>-1.37</v>
      </c>
      <c r="BX2952">
        <v>-0.1</v>
      </c>
      <c r="BY2952">
        <v>-1.81</v>
      </c>
      <c r="BZ2952">
        <v>0.05</v>
      </c>
      <c r="CA2952">
        <v>-1.18</v>
      </c>
      <c r="CB2952">
        <v>-0.9</v>
      </c>
      <c r="CC2952">
        <v>-1.1499999999999999</v>
      </c>
      <c r="CD2952">
        <v>1.48</v>
      </c>
      <c r="CE2952">
        <v>-1.35</v>
      </c>
      <c r="CF2952">
        <v>-0.77</v>
      </c>
      <c r="CG2952">
        <v>0</v>
      </c>
      <c r="CH2952">
        <v>-1.88</v>
      </c>
      <c r="CI2952">
        <v>0</v>
      </c>
      <c r="CJ2952">
        <v>-2.4</v>
      </c>
      <c r="CK2952">
        <v>55</v>
      </c>
      <c r="CL2952">
        <v>-0.17</v>
      </c>
      <c r="CM2952">
        <v>49</v>
      </c>
      <c r="CN2952">
        <v>-0.09</v>
      </c>
      <c r="CO2952">
        <v>42</v>
      </c>
      <c r="CP2952">
        <v>-7</v>
      </c>
      <c r="CQ2952">
        <v>71</v>
      </c>
      <c r="CR2952">
        <v>0</v>
      </c>
      <c r="CS2952">
        <v>0</v>
      </c>
      <c r="CT2952">
        <v>-12.8</v>
      </c>
      <c r="CU2952">
        <v>78</v>
      </c>
      <c r="CV2952">
        <v>0.02</v>
      </c>
      <c r="CW2952">
        <v>13</v>
      </c>
      <c r="CX2952" t="s">
        <v>3702</v>
      </c>
    </row>
    <row r="2953" spans="1:102" x14ac:dyDescent="0.3">
      <c r="A2953" t="str">
        <f>HYPERLINK("https://webapp.icbf.com/v2/app/bull-search/view/409265333","HGT")</f>
        <v>HGT</v>
      </c>
      <c r="B2953" t="s">
        <v>11875</v>
      </c>
      <c r="C2953" t="s">
        <v>11876</v>
      </c>
      <c r="D2953" s="1">
        <v>35026</v>
      </c>
      <c r="E2953" t="s">
        <v>1061</v>
      </c>
      <c r="F2953">
        <v>0</v>
      </c>
      <c r="G2953" t="s">
        <v>109</v>
      </c>
      <c r="H2953">
        <v>0.32</v>
      </c>
      <c r="I2953">
        <v>66</v>
      </c>
      <c r="J2953">
        <v>-43.3</v>
      </c>
      <c r="K2953">
        <v>81</v>
      </c>
      <c r="L2953">
        <v>69.95</v>
      </c>
      <c r="M2953">
        <v>72</v>
      </c>
      <c r="N2953">
        <v>-12.19</v>
      </c>
      <c r="O2953">
        <v>48</v>
      </c>
      <c r="P2953">
        <v>-19.43</v>
      </c>
      <c r="Q2953">
        <v>58</v>
      </c>
      <c r="R2953">
        <v>-6.89</v>
      </c>
      <c r="S2953">
        <v>27</v>
      </c>
      <c r="T2953">
        <v>11.9</v>
      </c>
      <c r="U2953">
        <v>56</v>
      </c>
      <c r="V2953">
        <v>0.28000000000000003</v>
      </c>
      <c r="W2953">
        <v>15</v>
      </c>
      <c r="X2953" t="s">
        <v>94</v>
      </c>
      <c r="Y2953" t="s">
        <v>95</v>
      </c>
      <c r="Z2953">
        <v>0</v>
      </c>
      <c r="AA2953" t="s">
        <v>5266</v>
      </c>
      <c r="AB2953" t="s">
        <v>11877</v>
      </c>
      <c r="AC2953">
        <v>0</v>
      </c>
      <c r="AD2953">
        <v>0</v>
      </c>
      <c r="AE2953">
        <v>81</v>
      </c>
      <c r="AF2953">
        <v>-276.47000000000003</v>
      </c>
      <c r="AG2953">
        <v>-17.739999999999998</v>
      </c>
      <c r="AH2953">
        <v>-5.32</v>
      </c>
      <c r="AI2953">
        <v>-0.12</v>
      </c>
      <c r="AJ2953">
        <v>7.0000000000000007E-2</v>
      </c>
      <c r="AK2953">
        <v>72</v>
      </c>
      <c r="AL2953">
        <v>0</v>
      </c>
      <c r="AM2953">
        <v>0</v>
      </c>
      <c r="AN2953">
        <v>-2.93</v>
      </c>
      <c r="AO2953">
        <v>2.66</v>
      </c>
      <c r="AP2953">
        <v>14</v>
      </c>
      <c r="AQ2953">
        <v>0</v>
      </c>
      <c r="AR2953">
        <v>8.84</v>
      </c>
      <c r="AS2953">
        <v>22</v>
      </c>
      <c r="AT2953">
        <v>3.52</v>
      </c>
      <c r="AU2953">
        <v>45</v>
      </c>
      <c r="AV2953">
        <v>-0.02</v>
      </c>
      <c r="AW2953">
        <v>68</v>
      </c>
      <c r="AX2953">
        <v>0.1</v>
      </c>
      <c r="AY2953">
        <v>38</v>
      </c>
      <c r="AZ2953">
        <v>7.37</v>
      </c>
      <c r="BA2953">
        <v>14</v>
      </c>
      <c r="BB2953">
        <v>5.68</v>
      </c>
      <c r="BC2953">
        <v>20</v>
      </c>
      <c r="BD2953">
        <v>0.05</v>
      </c>
      <c r="BE2953">
        <v>0.05</v>
      </c>
      <c r="BF2953">
        <v>-0.02</v>
      </c>
      <c r="BG2953">
        <v>33</v>
      </c>
      <c r="BH2953">
        <v>0.1</v>
      </c>
      <c r="BI2953">
        <v>10.65</v>
      </c>
      <c r="BJ2953">
        <v>0</v>
      </c>
      <c r="BK2953">
        <v>0</v>
      </c>
      <c r="BL2953">
        <v>0</v>
      </c>
      <c r="BM2953">
        <v>0</v>
      </c>
      <c r="BN2953">
        <v>0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-8.3000000000000007</v>
      </c>
      <c r="CK2953">
        <v>61</v>
      </c>
      <c r="CL2953">
        <v>-0.73</v>
      </c>
      <c r="CM2953">
        <v>56</v>
      </c>
      <c r="CN2953">
        <v>-0.08</v>
      </c>
      <c r="CO2953">
        <v>49</v>
      </c>
      <c r="CP2953">
        <v>-9.1999999999999993</v>
      </c>
      <c r="CQ2953">
        <v>61</v>
      </c>
      <c r="CR2953">
        <v>0</v>
      </c>
      <c r="CS2953">
        <v>0</v>
      </c>
      <c r="CT2953">
        <v>-2.2999999999999998</v>
      </c>
      <c r="CU2953">
        <v>56</v>
      </c>
      <c r="CV2953">
        <v>-0.06</v>
      </c>
      <c r="CW2953">
        <v>15</v>
      </c>
      <c r="CX2953" t="s">
        <v>11878</v>
      </c>
    </row>
    <row r="2954" spans="1:102" x14ac:dyDescent="0.3">
      <c r="A2954" t="str">
        <f>HYPERLINK("https://webapp.icbf.com/v2/app/bull-search/view/69091282","BRA")</f>
        <v>BRA</v>
      </c>
      <c r="B2954" t="s">
        <v>3484</v>
      </c>
      <c r="C2954" t="s">
        <v>3485</v>
      </c>
      <c r="D2954" s="1">
        <v>31533</v>
      </c>
      <c r="E2954" t="s">
        <v>140</v>
      </c>
      <c r="F2954">
        <v>0</v>
      </c>
      <c r="G2954" t="s">
        <v>93</v>
      </c>
      <c r="H2954">
        <v>0.22</v>
      </c>
      <c r="I2954">
        <v>82</v>
      </c>
      <c r="J2954">
        <v>-49.65</v>
      </c>
      <c r="K2954">
        <v>96</v>
      </c>
      <c r="L2954">
        <v>35.69</v>
      </c>
      <c r="M2954">
        <v>72</v>
      </c>
      <c r="N2954">
        <v>-25.74</v>
      </c>
      <c r="O2954">
        <v>77</v>
      </c>
      <c r="P2954">
        <v>15.58</v>
      </c>
      <c r="Q2954">
        <v>89</v>
      </c>
      <c r="R2954">
        <v>13.64</v>
      </c>
      <c r="S2954">
        <v>71</v>
      </c>
      <c r="T2954">
        <v>19.75</v>
      </c>
      <c r="U2954">
        <v>88</v>
      </c>
      <c r="V2954">
        <v>-9.0500000000000007</v>
      </c>
      <c r="W2954">
        <v>41</v>
      </c>
      <c r="X2954" t="s">
        <v>110</v>
      </c>
      <c r="Y2954" t="s">
        <v>95</v>
      </c>
      <c r="Z2954">
        <v>0</v>
      </c>
      <c r="AA2954" t="s">
        <v>1341</v>
      </c>
      <c r="AB2954" t="s">
        <v>3486</v>
      </c>
      <c r="AC2954">
        <v>132</v>
      </c>
      <c r="AD2954">
        <v>70</v>
      </c>
      <c r="AE2954">
        <v>96</v>
      </c>
      <c r="AF2954">
        <v>-293.92</v>
      </c>
      <c r="AG2954">
        <v>-16.32</v>
      </c>
      <c r="AH2954">
        <v>-7.17</v>
      </c>
      <c r="AI2954">
        <v>-0.08</v>
      </c>
      <c r="AJ2954">
        <v>0.05</v>
      </c>
      <c r="AK2954">
        <v>72</v>
      </c>
      <c r="AL2954">
        <v>173</v>
      </c>
      <c r="AM2954">
        <v>94</v>
      </c>
      <c r="AN2954">
        <v>-2.42</v>
      </c>
      <c r="AO2954">
        <v>0.42</v>
      </c>
      <c r="AP2954">
        <v>2</v>
      </c>
      <c r="AQ2954">
        <v>0</v>
      </c>
      <c r="AR2954">
        <v>10.01</v>
      </c>
      <c r="AS2954">
        <v>38</v>
      </c>
      <c r="AT2954">
        <v>4.97</v>
      </c>
      <c r="AU2954">
        <v>70</v>
      </c>
      <c r="AV2954">
        <v>0.45</v>
      </c>
      <c r="AW2954">
        <v>93</v>
      </c>
      <c r="AX2954">
        <v>-0.06</v>
      </c>
      <c r="AY2954">
        <v>84</v>
      </c>
      <c r="AZ2954">
        <v>5.6</v>
      </c>
      <c r="BA2954">
        <v>37</v>
      </c>
      <c r="BB2954">
        <v>4.29</v>
      </c>
      <c r="BC2954">
        <v>66</v>
      </c>
      <c r="BD2954">
        <v>-0.01</v>
      </c>
      <c r="BE2954">
        <v>-0.03</v>
      </c>
      <c r="BF2954">
        <v>-0.24</v>
      </c>
      <c r="BG2954">
        <v>90</v>
      </c>
      <c r="BH2954">
        <v>-0.1</v>
      </c>
      <c r="BI2954">
        <v>17.64</v>
      </c>
      <c r="BJ2954">
        <v>0</v>
      </c>
      <c r="BK2954">
        <v>0</v>
      </c>
      <c r="BL2954">
        <v>-1.36</v>
      </c>
      <c r="BM2954">
        <v>2.99</v>
      </c>
      <c r="BN2954">
        <v>-2.21</v>
      </c>
      <c r="BO2954">
        <v>-3.19</v>
      </c>
      <c r="BP2954">
        <v>4.6900000000000004</v>
      </c>
      <c r="BQ2954">
        <v>-3.14</v>
      </c>
      <c r="BR2954">
        <v>-2.8</v>
      </c>
      <c r="BS2954">
        <v>-0.36</v>
      </c>
      <c r="BT2954">
        <v>2.5299999999999998</v>
      </c>
      <c r="BU2954">
        <v>-3.8</v>
      </c>
      <c r="BV2954">
        <v>-4.25</v>
      </c>
      <c r="BW2954">
        <v>-3.29</v>
      </c>
      <c r="BX2954">
        <v>-3.3</v>
      </c>
      <c r="BY2954">
        <v>-2.33</v>
      </c>
      <c r="BZ2954">
        <v>1.46</v>
      </c>
      <c r="CA2954">
        <v>-2.63</v>
      </c>
      <c r="CB2954">
        <v>-3.27</v>
      </c>
      <c r="CC2954">
        <v>-0.64</v>
      </c>
      <c r="CD2954">
        <v>3.83</v>
      </c>
      <c r="CE2954">
        <v>-3.32</v>
      </c>
      <c r="CF2954">
        <v>-1.86</v>
      </c>
      <c r="CG2954">
        <v>0</v>
      </c>
      <c r="CH2954">
        <v>-2.86</v>
      </c>
      <c r="CI2954">
        <v>0</v>
      </c>
      <c r="CJ2954">
        <v>1.4</v>
      </c>
      <c r="CK2954">
        <v>90</v>
      </c>
      <c r="CL2954">
        <v>0.65</v>
      </c>
      <c r="CM2954">
        <v>88</v>
      </c>
      <c r="CN2954">
        <v>-0.57999999999999996</v>
      </c>
      <c r="CO2954">
        <v>87</v>
      </c>
      <c r="CP2954">
        <v>1</v>
      </c>
      <c r="CQ2954">
        <v>92</v>
      </c>
      <c r="CR2954">
        <v>0</v>
      </c>
      <c r="CS2954">
        <v>0</v>
      </c>
      <c r="CT2954">
        <v>-12.9</v>
      </c>
      <c r="CU2954">
        <v>88</v>
      </c>
      <c r="CV2954">
        <v>-0.34</v>
      </c>
      <c r="CW2954">
        <v>25</v>
      </c>
      <c r="CX2954" t="s">
        <v>3487</v>
      </c>
    </row>
    <row r="2955" spans="1:102" x14ac:dyDescent="0.3">
      <c r="A2955" t="str">
        <f>HYPERLINK("https://webapp.icbf.com/v2/app/bull-search/view/1276138511","S3162")</f>
        <v>S3162</v>
      </c>
      <c r="B2955" t="s">
        <v>14722</v>
      </c>
      <c r="C2955" t="s">
        <v>14723</v>
      </c>
      <c r="D2955" s="1">
        <v>41678</v>
      </c>
      <c r="E2955" t="s">
        <v>92</v>
      </c>
      <c r="F2955">
        <v>100</v>
      </c>
      <c r="G2955" t="s">
        <v>109</v>
      </c>
      <c r="H2955">
        <v>0.04</v>
      </c>
      <c r="I2955">
        <v>71</v>
      </c>
      <c r="J2955">
        <v>80.94</v>
      </c>
      <c r="K2955">
        <v>90</v>
      </c>
      <c r="L2955">
        <v>-36.75</v>
      </c>
      <c r="M2955">
        <v>76</v>
      </c>
      <c r="N2955">
        <v>-19.72</v>
      </c>
      <c r="O2955">
        <v>53</v>
      </c>
      <c r="P2955">
        <v>-12.15</v>
      </c>
      <c r="Q2955">
        <v>37</v>
      </c>
      <c r="R2955">
        <v>6.54</v>
      </c>
      <c r="S2955">
        <v>68</v>
      </c>
      <c r="T2955">
        <v>-19.77</v>
      </c>
      <c r="U2955">
        <v>36</v>
      </c>
      <c r="V2955">
        <v>0.95</v>
      </c>
      <c r="W2955">
        <v>54</v>
      </c>
      <c r="X2955" t="s">
        <v>110</v>
      </c>
      <c r="Y2955" t="s">
        <v>453</v>
      </c>
      <c r="Z2955" t="s">
        <v>96</v>
      </c>
      <c r="AA2955" t="s">
        <v>2395</v>
      </c>
      <c r="AB2955" t="s">
        <v>14724</v>
      </c>
      <c r="AC2955">
        <v>0</v>
      </c>
      <c r="AD2955">
        <v>0</v>
      </c>
      <c r="AE2955">
        <v>90</v>
      </c>
      <c r="AF2955">
        <v>468.62</v>
      </c>
      <c r="AG2955">
        <v>16.760000000000002</v>
      </c>
      <c r="AH2955">
        <v>15.01</v>
      </c>
      <c r="AI2955">
        <v>-0.03</v>
      </c>
      <c r="AJ2955">
        <v>-0.01</v>
      </c>
      <c r="AK2955">
        <v>76</v>
      </c>
      <c r="AL2955">
        <v>0</v>
      </c>
      <c r="AM2955">
        <v>0</v>
      </c>
      <c r="AN2955">
        <v>2.83</v>
      </c>
      <c r="AO2955">
        <v>-0.09</v>
      </c>
      <c r="AP2955">
        <v>1</v>
      </c>
      <c r="AQ2955">
        <v>0</v>
      </c>
      <c r="AR2955">
        <v>12.06</v>
      </c>
      <c r="AS2955">
        <v>48</v>
      </c>
      <c r="AT2955">
        <v>5.04</v>
      </c>
      <c r="AU2955">
        <v>88</v>
      </c>
      <c r="AV2955">
        <v>-1.98</v>
      </c>
      <c r="AW2955">
        <v>43</v>
      </c>
      <c r="AX2955">
        <v>0.06</v>
      </c>
      <c r="AY2955">
        <v>45</v>
      </c>
      <c r="AZ2955">
        <v>6.61</v>
      </c>
      <c r="BA2955">
        <v>34</v>
      </c>
      <c r="BB2955">
        <v>4.9400000000000004</v>
      </c>
      <c r="BC2955">
        <v>35</v>
      </c>
      <c r="BD2955">
        <v>-0.05</v>
      </c>
      <c r="BE2955">
        <v>-0.03</v>
      </c>
      <c r="BF2955">
        <v>-0.01</v>
      </c>
      <c r="BG2955">
        <v>85</v>
      </c>
      <c r="BH2955">
        <v>-0.19</v>
      </c>
      <c r="BI2955">
        <v>-25.03</v>
      </c>
      <c r="BJ2955">
        <v>0</v>
      </c>
      <c r="BK2955">
        <v>0</v>
      </c>
      <c r="BL2955">
        <v>2.27</v>
      </c>
      <c r="BM2955">
        <v>-0.08</v>
      </c>
      <c r="BN2955">
        <v>1.39</v>
      </c>
      <c r="BO2955">
        <v>1.78</v>
      </c>
      <c r="BP2955">
        <v>-1.83</v>
      </c>
      <c r="BQ2955">
        <v>5.18</v>
      </c>
      <c r="BR2955">
        <v>-0.09</v>
      </c>
      <c r="BS2955">
        <v>2.61</v>
      </c>
      <c r="BT2955">
        <v>0.9</v>
      </c>
      <c r="BU2955">
        <v>3.74</v>
      </c>
      <c r="BV2955">
        <v>4.24</v>
      </c>
      <c r="BW2955">
        <v>2.81</v>
      </c>
      <c r="BX2955">
        <v>3.32</v>
      </c>
      <c r="BY2955">
        <v>2.09</v>
      </c>
      <c r="BZ2955">
        <v>-1.58</v>
      </c>
      <c r="CA2955">
        <v>3.68</v>
      </c>
      <c r="CB2955">
        <v>3.59</v>
      </c>
      <c r="CC2955">
        <v>2.09</v>
      </c>
      <c r="CD2955">
        <v>-0.96</v>
      </c>
      <c r="CE2955">
        <v>1.27</v>
      </c>
      <c r="CF2955">
        <v>2.02</v>
      </c>
      <c r="CG2955">
        <v>0</v>
      </c>
      <c r="CH2955">
        <v>2.21</v>
      </c>
      <c r="CI2955">
        <v>0</v>
      </c>
      <c r="CJ2955">
        <v>-4</v>
      </c>
      <c r="CK2955">
        <v>37</v>
      </c>
      <c r="CL2955">
        <v>-1.87</v>
      </c>
      <c r="CM2955">
        <v>37</v>
      </c>
      <c r="CN2955">
        <v>-0.95</v>
      </c>
      <c r="CO2955">
        <v>37</v>
      </c>
      <c r="CP2955">
        <v>10.3</v>
      </c>
      <c r="CQ2955">
        <v>36</v>
      </c>
      <c r="CR2955">
        <v>0</v>
      </c>
      <c r="CS2955">
        <v>0</v>
      </c>
      <c r="CT2955">
        <v>40.5</v>
      </c>
      <c r="CU2955">
        <v>36</v>
      </c>
      <c r="CV2955">
        <v>0.2</v>
      </c>
      <c r="CW2955">
        <v>32</v>
      </c>
      <c r="CX2955" t="s">
        <v>1791</v>
      </c>
    </row>
    <row r="2956" spans="1:102" x14ac:dyDescent="0.3">
      <c r="A2956" t="str">
        <f>HYPERLINK("https://webapp.icbf.com/v2/app/bull-search/view/69091588","EMB")</f>
        <v>EMB</v>
      </c>
      <c r="B2956" t="s">
        <v>5138</v>
      </c>
      <c r="C2956" t="s">
        <v>5139</v>
      </c>
      <c r="D2956" s="1">
        <v>32750</v>
      </c>
      <c r="E2956" t="s">
        <v>140</v>
      </c>
      <c r="F2956">
        <v>0</v>
      </c>
      <c r="G2956" t="s">
        <v>109</v>
      </c>
      <c r="H2956">
        <v>-7.0000000000000007E-2</v>
      </c>
      <c r="I2956">
        <v>57</v>
      </c>
      <c r="J2956">
        <v>-66.94</v>
      </c>
      <c r="K2956">
        <v>76</v>
      </c>
      <c r="L2956">
        <v>74.31</v>
      </c>
      <c r="M2956">
        <v>43</v>
      </c>
      <c r="N2956">
        <v>-31.26</v>
      </c>
      <c r="O2956">
        <v>50</v>
      </c>
      <c r="P2956">
        <v>2.63</v>
      </c>
      <c r="Q2956">
        <v>64</v>
      </c>
      <c r="R2956">
        <v>9.8699999999999992</v>
      </c>
      <c r="S2956">
        <v>48</v>
      </c>
      <c r="T2956">
        <v>18.559999999999999</v>
      </c>
      <c r="U2956">
        <v>50</v>
      </c>
      <c r="V2956">
        <v>-7.24</v>
      </c>
      <c r="W2956">
        <v>32</v>
      </c>
      <c r="X2956" t="s">
        <v>276</v>
      </c>
      <c r="Y2956" t="s">
        <v>95</v>
      </c>
      <c r="Z2956">
        <v>0</v>
      </c>
      <c r="AA2956" t="s">
        <v>1179</v>
      </c>
      <c r="AB2956" t="s">
        <v>5140</v>
      </c>
      <c r="AC2956">
        <v>0</v>
      </c>
      <c r="AD2956">
        <v>0</v>
      </c>
      <c r="AE2956">
        <v>76</v>
      </c>
      <c r="AF2956">
        <v>-286.08999999999997</v>
      </c>
      <c r="AG2956">
        <v>-15.22</v>
      </c>
      <c r="AH2956">
        <v>-10.38</v>
      </c>
      <c r="AI2956">
        <v>-7.0000000000000007E-2</v>
      </c>
      <c r="AJ2956">
        <v>-0.01</v>
      </c>
      <c r="AK2956">
        <v>43</v>
      </c>
      <c r="AL2956">
        <v>15</v>
      </c>
      <c r="AM2956">
        <v>8</v>
      </c>
      <c r="AN2956">
        <v>-5.31</v>
      </c>
      <c r="AO2956">
        <v>0.6</v>
      </c>
      <c r="AP2956">
        <v>6</v>
      </c>
      <c r="AQ2956">
        <v>0</v>
      </c>
      <c r="AR2956">
        <v>10.43</v>
      </c>
      <c r="AS2956">
        <v>26</v>
      </c>
      <c r="AT2956">
        <v>5.21</v>
      </c>
      <c r="AU2956">
        <v>44</v>
      </c>
      <c r="AV2956">
        <v>0.84</v>
      </c>
      <c r="AW2956">
        <v>65</v>
      </c>
      <c r="AX2956">
        <v>-0.43</v>
      </c>
      <c r="AY2956">
        <v>47</v>
      </c>
      <c r="AZ2956">
        <v>5.28</v>
      </c>
      <c r="BA2956">
        <v>28</v>
      </c>
      <c r="BB2956">
        <v>4.12</v>
      </c>
      <c r="BC2956">
        <v>38</v>
      </c>
      <c r="BD2956">
        <v>0</v>
      </c>
      <c r="BE2956">
        <v>-0.03</v>
      </c>
      <c r="BF2956">
        <v>-0.17</v>
      </c>
      <c r="BG2956">
        <v>58</v>
      </c>
      <c r="BH2956">
        <v>-0.2</v>
      </c>
      <c r="BI2956">
        <v>0.22</v>
      </c>
      <c r="BJ2956">
        <v>0</v>
      </c>
      <c r="BK2956">
        <v>0</v>
      </c>
      <c r="BL2956">
        <v>-0.65</v>
      </c>
      <c r="BM2956">
        <v>3.25</v>
      </c>
      <c r="BN2956">
        <v>-1.31</v>
      </c>
      <c r="BO2956">
        <v>-2.58</v>
      </c>
      <c r="BP2956">
        <v>4.2</v>
      </c>
      <c r="BQ2956">
        <v>-1.86</v>
      </c>
      <c r="BR2956">
        <v>-2.5099999999999998</v>
      </c>
      <c r="BS2956">
        <v>-0.18</v>
      </c>
      <c r="BT2956">
        <v>2.34</v>
      </c>
      <c r="BU2956">
        <v>-3.04</v>
      </c>
      <c r="BV2956">
        <v>-3.43</v>
      </c>
      <c r="BW2956">
        <v>-2.78</v>
      </c>
      <c r="BX2956">
        <v>-2.67</v>
      </c>
      <c r="BY2956">
        <v>-1.7</v>
      </c>
      <c r="BZ2956">
        <v>1.33</v>
      </c>
      <c r="CA2956">
        <v>-2.14</v>
      </c>
      <c r="CB2956">
        <v>-2.89</v>
      </c>
      <c r="CC2956">
        <v>-0.02</v>
      </c>
      <c r="CD2956">
        <v>3.6</v>
      </c>
      <c r="CE2956">
        <v>-2.59</v>
      </c>
      <c r="CF2956">
        <v>-0.8</v>
      </c>
      <c r="CG2956">
        <v>0</v>
      </c>
      <c r="CH2956">
        <v>-2.29</v>
      </c>
      <c r="CI2956">
        <v>0</v>
      </c>
      <c r="CJ2956">
        <v>-2.2999999999999998</v>
      </c>
      <c r="CK2956">
        <v>66</v>
      </c>
      <c r="CL2956">
        <v>0.45</v>
      </c>
      <c r="CM2956">
        <v>63</v>
      </c>
      <c r="CN2956">
        <v>-0.2</v>
      </c>
      <c r="CO2956">
        <v>59</v>
      </c>
      <c r="CP2956">
        <v>-7.9</v>
      </c>
      <c r="CQ2956">
        <v>66</v>
      </c>
      <c r="CR2956">
        <v>0</v>
      </c>
      <c r="CS2956">
        <v>0</v>
      </c>
      <c r="CT2956">
        <v>-11.3</v>
      </c>
      <c r="CU2956">
        <v>50</v>
      </c>
      <c r="CV2956">
        <v>-0.28999999999999998</v>
      </c>
      <c r="CW2956">
        <v>18</v>
      </c>
      <c r="CX2956" t="s">
        <v>763</v>
      </c>
    </row>
    <row r="2957" spans="1:102" x14ac:dyDescent="0.3">
      <c r="A2957" t="str">
        <f>HYPERLINK("https://webapp.icbf.com/v2/app/bull-search/view/69092545","RVK")</f>
        <v>RVK</v>
      </c>
      <c r="B2957" t="s">
        <v>4055</v>
      </c>
      <c r="C2957" t="s">
        <v>4056</v>
      </c>
      <c r="D2957" s="1">
        <v>35398</v>
      </c>
      <c r="E2957" t="s">
        <v>108</v>
      </c>
      <c r="F2957">
        <v>0</v>
      </c>
      <c r="G2957" t="s">
        <v>116</v>
      </c>
      <c r="H2957">
        <v>-0.08</v>
      </c>
      <c r="I2957">
        <v>50</v>
      </c>
      <c r="J2957">
        <v>11.77</v>
      </c>
      <c r="K2957">
        <v>63</v>
      </c>
      <c r="L2957">
        <v>-22.42</v>
      </c>
      <c r="M2957">
        <v>37</v>
      </c>
      <c r="N2957">
        <v>17.690000000000001</v>
      </c>
      <c r="O2957">
        <v>57</v>
      </c>
      <c r="P2957">
        <v>-11.73</v>
      </c>
      <c r="Q2957">
        <v>59</v>
      </c>
      <c r="R2957">
        <v>-12.84</v>
      </c>
      <c r="S2957">
        <v>41</v>
      </c>
      <c r="T2957">
        <v>12.57</v>
      </c>
      <c r="U2957">
        <v>47</v>
      </c>
      <c r="V2957">
        <v>4.88</v>
      </c>
      <c r="W2957">
        <v>40</v>
      </c>
      <c r="X2957" t="s">
        <v>558</v>
      </c>
      <c r="Y2957" t="s">
        <v>730</v>
      </c>
      <c r="Z2957" t="s">
        <v>2130</v>
      </c>
      <c r="AA2957" t="s">
        <v>753</v>
      </c>
      <c r="AB2957" t="s">
        <v>4057</v>
      </c>
      <c r="AC2957">
        <v>8</v>
      </c>
      <c r="AD2957">
        <v>5</v>
      </c>
      <c r="AE2957">
        <v>63</v>
      </c>
      <c r="AF2957">
        <v>-176.36</v>
      </c>
      <c r="AG2957">
        <v>0.8</v>
      </c>
      <c r="AH2957">
        <v>-0.98</v>
      </c>
      <c r="AI2957">
        <v>0.13</v>
      </c>
      <c r="AJ2957">
        <v>0.09</v>
      </c>
      <c r="AK2957">
        <v>37</v>
      </c>
      <c r="AL2957">
        <v>9</v>
      </c>
      <c r="AM2957">
        <v>7</v>
      </c>
      <c r="AN2957">
        <v>1.0900000000000001</v>
      </c>
      <c r="AO2957">
        <v>-0.7</v>
      </c>
      <c r="AP2957">
        <v>8</v>
      </c>
      <c r="AQ2957">
        <v>2</v>
      </c>
      <c r="AR2957">
        <v>10.86</v>
      </c>
      <c r="AS2957">
        <v>37</v>
      </c>
      <c r="AT2957">
        <v>3.87</v>
      </c>
      <c r="AU2957">
        <v>72</v>
      </c>
      <c r="AV2957">
        <v>-3.76</v>
      </c>
      <c r="AW2957">
        <v>66</v>
      </c>
      <c r="AX2957">
        <v>-1.03</v>
      </c>
      <c r="AY2957">
        <v>42</v>
      </c>
      <c r="AZ2957">
        <v>5.96</v>
      </c>
      <c r="BA2957">
        <v>32</v>
      </c>
      <c r="BB2957">
        <v>4.67</v>
      </c>
      <c r="BC2957">
        <v>32</v>
      </c>
      <c r="BD2957">
        <v>0.05</v>
      </c>
      <c r="BE2957">
        <v>0.08</v>
      </c>
      <c r="BF2957">
        <v>0.06</v>
      </c>
      <c r="BG2957">
        <v>45</v>
      </c>
      <c r="BH2957">
        <v>0.13</v>
      </c>
      <c r="BI2957">
        <v>-0.7</v>
      </c>
      <c r="BJ2957">
        <v>0</v>
      </c>
      <c r="BK2957">
        <v>0</v>
      </c>
      <c r="BL2957">
        <v>0.01</v>
      </c>
      <c r="BM2957">
        <v>-0.09</v>
      </c>
      <c r="BN2957">
        <v>0.27</v>
      </c>
      <c r="BO2957">
        <v>0</v>
      </c>
      <c r="BP2957">
        <v>0.77</v>
      </c>
      <c r="BQ2957">
        <v>-1.35</v>
      </c>
      <c r="BR2957">
        <v>1.71</v>
      </c>
      <c r="BS2957">
        <v>-0.21</v>
      </c>
      <c r="BT2957">
        <v>-1.39</v>
      </c>
      <c r="BU2957">
        <v>0.24</v>
      </c>
      <c r="BV2957">
        <v>1.06</v>
      </c>
      <c r="BW2957">
        <v>-7.0000000000000007E-2</v>
      </c>
      <c r="BX2957">
        <v>0.34</v>
      </c>
      <c r="BY2957">
        <v>1.05</v>
      </c>
      <c r="BZ2957">
        <v>0.51</v>
      </c>
      <c r="CA2957">
        <v>-7.0000000000000007E-2</v>
      </c>
      <c r="CB2957">
        <v>0.51</v>
      </c>
      <c r="CC2957">
        <v>-0.28000000000000003</v>
      </c>
      <c r="CD2957">
        <v>-0.21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-5.8</v>
      </c>
      <c r="CK2957">
        <v>61</v>
      </c>
      <c r="CL2957">
        <v>-0.51</v>
      </c>
      <c r="CM2957">
        <v>57</v>
      </c>
      <c r="CN2957">
        <v>-0.25</v>
      </c>
      <c r="CO2957">
        <v>54</v>
      </c>
      <c r="CP2957">
        <v>-9.3000000000000007</v>
      </c>
      <c r="CQ2957">
        <v>54</v>
      </c>
      <c r="CR2957">
        <v>0</v>
      </c>
      <c r="CS2957">
        <v>0</v>
      </c>
      <c r="CT2957">
        <v>-3.2</v>
      </c>
      <c r="CU2957">
        <v>47</v>
      </c>
      <c r="CV2957">
        <v>0</v>
      </c>
      <c r="CW2957">
        <v>17</v>
      </c>
      <c r="CX2957" t="s">
        <v>128</v>
      </c>
    </row>
    <row r="2958" spans="1:102" x14ac:dyDescent="0.3">
      <c r="A2958" t="str">
        <f>HYPERLINK("https://webapp.icbf.com/v2/app/bull-search/view/77854879","MTY")</f>
        <v>MTY</v>
      </c>
      <c r="B2958" t="s">
        <v>2804</v>
      </c>
      <c r="C2958" t="s">
        <v>2805</v>
      </c>
      <c r="D2958" s="1">
        <v>32418</v>
      </c>
      <c r="E2958" t="s">
        <v>92</v>
      </c>
      <c r="F2958">
        <v>100</v>
      </c>
      <c r="G2958" t="s">
        <v>93</v>
      </c>
      <c r="H2958">
        <v>-0.18</v>
      </c>
      <c r="I2958">
        <v>92</v>
      </c>
      <c r="J2958">
        <v>65.06</v>
      </c>
      <c r="K2958">
        <v>98</v>
      </c>
      <c r="L2958">
        <v>-43.24</v>
      </c>
      <c r="M2958">
        <v>91</v>
      </c>
      <c r="N2958">
        <v>-10.62</v>
      </c>
      <c r="O2958">
        <v>89</v>
      </c>
      <c r="P2958">
        <v>7.95</v>
      </c>
      <c r="Q2958">
        <v>94</v>
      </c>
      <c r="R2958">
        <v>-2.19</v>
      </c>
      <c r="S2958">
        <v>85</v>
      </c>
      <c r="T2958">
        <v>-12.44</v>
      </c>
      <c r="U2958">
        <v>89</v>
      </c>
      <c r="V2958">
        <v>-4.7</v>
      </c>
      <c r="W2958">
        <v>75</v>
      </c>
      <c r="X2958" t="s">
        <v>276</v>
      </c>
      <c r="Y2958" t="s">
        <v>95</v>
      </c>
      <c r="Z2958" t="s">
        <v>96</v>
      </c>
      <c r="AA2958" t="s">
        <v>2806</v>
      </c>
      <c r="AB2958" t="s">
        <v>2807</v>
      </c>
      <c r="AC2958">
        <v>224</v>
      </c>
      <c r="AD2958">
        <v>94</v>
      </c>
      <c r="AE2958">
        <v>98</v>
      </c>
      <c r="AF2958">
        <v>32.869999999999997</v>
      </c>
      <c r="AG2958">
        <v>16.84</v>
      </c>
      <c r="AH2958">
        <v>5.61</v>
      </c>
      <c r="AI2958">
        <v>0.27</v>
      </c>
      <c r="AJ2958">
        <v>0.08</v>
      </c>
      <c r="AK2958">
        <v>91</v>
      </c>
      <c r="AL2958">
        <v>225</v>
      </c>
      <c r="AM2958">
        <v>104</v>
      </c>
      <c r="AN2958">
        <v>3</v>
      </c>
      <c r="AO2958">
        <v>-0.44</v>
      </c>
      <c r="AP2958">
        <v>22</v>
      </c>
      <c r="AQ2958">
        <v>2</v>
      </c>
      <c r="AR2958">
        <v>9.14</v>
      </c>
      <c r="AS2958">
        <v>76</v>
      </c>
      <c r="AT2958">
        <v>3.92</v>
      </c>
      <c r="AU2958">
        <v>95</v>
      </c>
      <c r="AV2958">
        <v>0.34</v>
      </c>
      <c r="AW2958">
        <v>91</v>
      </c>
      <c r="AX2958">
        <v>-0.55000000000000004</v>
      </c>
      <c r="AY2958">
        <v>90</v>
      </c>
      <c r="AZ2958">
        <v>6.22</v>
      </c>
      <c r="BA2958">
        <v>73</v>
      </c>
      <c r="BB2958">
        <v>4.5</v>
      </c>
      <c r="BC2958">
        <v>81</v>
      </c>
      <c r="BD2958">
        <v>-0.01</v>
      </c>
      <c r="BE2958">
        <v>0.03</v>
      </c>
      <c r="BF2958">
        <v>0.01</v>
      </c>
      <c r="BG2958">
        <v>95</v>
      </c>
      <c r="BH2958">
        <v>0.09</v>
      </c>
      <c r="BI2958">
        <v>25.56</v>
      </c>
      <c r="BJ2958">
        <v>3</v>
      </c>
      <c r="BK2958">
        <v>3</v>
      </c>
      <c r="BL2958">
        <v>-0.32</v>
      </c>
      <c r="BM2958">
        <v>3.14</v>
      </c>
      <c r="BN2958">
        <v>1.7</v>
      </c>
      <c r="BO2958">
        <v>-1.05</v>
      </c>
      <c r="BP2958">
        <v>0.73</v>
      </c>
      <c r="BQ2958">
        <v>0.59</v>
      </c>
      <c r="BR2958">
        <v>0.73</v>
      </c>
      <c r="BS2958">
        <v>-4.0999999999999996</v>
      </c>
      <c r="BT2958">
        <v>-2.25</v>
      </c>
      <c r="BU2958">
        <v>-1.68</v>
      </c>
      <c r="BV2958">
        <v>-2.23</v>
      </c>
      <c r="BW2958">
        <v>-1.05</v>
      </c>
      <c r="BX2958">
        <v>-2.98</v>
      </c>
      <c r="BY2958">
        <v>0.92</v>
      </c>
      <c r="BZ2958">
        <v>-1.06</v>
      </c>
      <c r="CA2958">
        <v>-2.73</v>
      </c>
      <c r="CB2958">
        <v>-1.73</v>
      </c>
      <c r="CC2958">
        <v>-3.31</v>
      </c>
      <c r="CD2958">
        <v>2.0099999999999998</v>
      </c>
      <c r="CE2958">
        <v>0.19</v>
      </c>
      <c r="CF2958">
        <v>1.74</v>
      </c>
      <c r="CG2958">
        <v>0</v>
      </c>
      <c r="CH2958">
        <v>0.63</v>
      </c>
      <c r="CI2958">
        <v>0</v>
      </c>
      <c r="CJ2958">
        <v>6.9</v>
      </c>
      <c r="CK2958">
        <v>94</v>
      </c>
      <c r="CL2958">
        <v>-0.24</v>
      </c>
      <c r="CM2958">
        <v>93</v>
      </c>
      <c r="CN2958">
        <v>-0.05</v>
      </c>
      <c r="CO2958">
        <v>92</v>
      </c>
      <c r="CP2958">
        <v>2.1</v>
      </c>
      <c r="CQ2958">
        <v>95</v>
      </c>
      <c r="CR2958">
        <v>0</v>
      </c>
      <c r="CS2958">
        <v>0</v>
      </c>
      <c r="CT2958">
        <v>30.6</v>
      </c>
      <c r="CU2958">
        <v>89</v>
      </c>
      <c r="CV2958">
        <v>0.06</v>
      </c>
      <c r="CW2958">
        <v>45</v>
      </c>
      <c r="CX2958" t="s">
        <v>2808</v>
      </c>
    </row>
    <row r="2959" spans="1:102" x14ac:dyDescent="0.3">
      <c r="A2959" t="str">
        <f>HYPERLINK("https://webapp.icbf.com/v2/app/bull-search/view/77859091","CPB")</f>
        <v>CPB</v>
      </c>
      <c r="B2959" t="s">
        <v>12384</v>
      </c>
      <c r="C2959" t="s">
        <v>12385</v>
      </c>
      <c r="D2959" s="1">
        <v>34646</v>
      </c>
      <c r="E2959" t="s">
        <v>92</v>
      </c>
      <c r="F2959">
        <v>100</v>
      </c>
      <c r="G2959" t="s">
        <v>93</v>
      </c>
      <c r="H2959">
        <v>-0.2</v>
      </c>
      <c r="I2959">
        <v>83</v>
      </c>
      <c r="J2959">
        <v>-38.17</v>
      </c>
      <c r="K2959">
        <v>97</v>
      </c>
      <c r="L2959">
        <v>27.79</v>
      </c>
      <c r="M2959">
        <v>75</v>
      </c>
      <c r="N2959">
        <v>9.2799999999999994</v>
      </c>
      <c r="O2959">
        <v>74</v>
      </c>
      <c r="P2959">
        <v>-4.92</v>
      </c>
      <c r="Q2959">
        <v>87</v>
      </c>
      <c r="R2959">
        <v>-0.2</v>
      </c>
      <c r="S2959">
        <v>76</v>
      </c>
      <c r="T2959">
        <v>6.65</v>
      </c>
      <c r="U2959">
        <v>88</v>
      </c>
      <c r="V2959">
        <v>-0.63</v>
      </c>
      <c r="W2959">
        <v>54</v>
      </c>
      <c r="X2959" t="s">
        <v>94</v>
      </c>
      <c r="Y2959" t="s">
        <v>95</v>
      </c>
      <c r="Z2959" t="s">
        <v>96</v>
      </c>
      <c r="AA2959" t="s">
        <v>743</v>
      </c>
      <c r="AB2959" t="s">
        <v>744</v>
      </c>
      <c r="AC2959">
        <v>143</v>
      </c>
      <c r="AD2959">
        <v>103</v>
      </c>
      <c r="AE2959">
        <v>97</v>
      </c>
      <c r="AF2959">
        <v>-220.55</v>
      </c>
      <c r="AG2959">
        <v>-7.74</v>
      </c>
      <c r="AH2959">
        <v>-7.13</v>
      </c>
      <c r="AI2959">
        <v>0.02</v>
      </c>
      <c r="AJ2959">
        <v>0.01</v>
      </c>
      <c r="AK2959">
        <v>75</v>
      </c>
      <c r="AL2959">
        <v>168</v>
      </c>
      <c r="AM2959">
        <v>111</v>
      </c>
      <c r="AN2959">
        <v>-0.45</v>
      </c>
      <c r="AO2959">
        <v>1.78</v>
      </c>
      <c r="AP2959">
        <v>0</v>
      </c>
      <c r="AQ2959">
        <v>1</v>
      </c>
      <c r="AR2959">
        <v>6.85</v>
      </c>
      <c r="AS2959">
        <v>46</v>
      </c>
      <c r="AT2959">
        <v>3.12</v>
      </c>
      <c r="AU2959">
        <v>72</v>
      </c>
      <c r="AV2959">
        <v>-0.22</v>
      </c>
      <c r="AW2959">
        <v>82</v>
      </c>
      <c r="AX2959">
        <v>-0.36</v>
      </c>
      <c r="AY2959">
        <v>84</v>
      </c>
      <c r="AZ2959">
        <v>5.23</v>
      </c>
      <c r="BA2959">
        <v>49</v>
      </c>
      <c r="BB2959">
        <v>4.37</v>
      </c>
      <c r="BC2959">
        <v>71</v>
      </c>
      <c r="BD2959">
        <v>0.01</v>
      </c>
      <c r="BE2959">
        <v>0.02</v>
      </c>
      <c r="BF2959">
        <v>-0.05</v>
      </c>
      <c r="BG2959">
        <v>91</v>
      </c>
      <c r="BH2959">
        <v>0.04</v>
      </c>
      <c r="BI2959">
        <v>6.67</v>
      </c>
      <c r="BJ2959">
        <v>20</v>
      </c>
      <c r="BK2959">
        <v>10</v>
      </c>
      <c r="BL2959">
        <v>0.18</v>
      </c>
      <c r="BM2959">
        <v>1.51</v>
      </c>
      <c r="BN2959">
        <v>-0.43</v>
      </c>
      <c r="BO2959">
        <v>-1.19</v>
      </c>
      <c r="BP2959">
        <v>-1.95</v>
      </c>
      <c r="BQ2959">
        <v>0.08</v>
      </c>
      <c r="BR2959">
        <v>-7.0000000000000007E-2</v>
      </c>
      <c r="BS2959">
        <v>1</v>
      </c>
      <c r="BT2959">
        <v>0.12</v>
      </c>
      <c r="BU2959">
        <v>1.36</v>
      </c>
      <c r="BV2959">
        <v>-0.87</v>
      </c>
      <c r="BW2959">
        <v>0.06</v>
      </c>
      <c r="BX2959">
        <v>2.71</v>
      </c>
      <c r="BY2959">
        <v>-1.4</v>
      </c>
      <c r="BZ2959">
        <v>0.65</v>
      </c>
      <c r="CA2959">
        <v>-0.33</v>
      </c>
      <c r="CB2959">
        <v>-1.03</v>
      </c>
      <c r="CC2959">
        <v>0.96</v>
      </c>
      <c r="CD2959">
        <v>1.29</v>
      </c>
      <c r="CE2959">
        <v>-1.02</v>
      </c>
      <c r="CF2959">
        <v>0.15</v>
      </c>
      <c r="CG2959">
        <v>0</v>
      </c>
      <c r="CH2959">
        <v>0.09</v>
      </c>
      <c r="CI2959">
        <v>0</v>
      </c>
      <c r="CJ2959">
        <v>-2.4</v>
      </c>
      <c r="CK2959">
        <v>88</v>
      </c>
      <c r="CL2959">
        <v>-0.47</v>
      </c>
      <c r="CM2959">
        <v>86</v>
      </c>
      <c r="CN2959">
        <v>-0.3</v>
      </c>
      <c r="CO2959">
        <v>84</v>
      </c>
      <c r="CP2959">
        <v>-1.8</v>
      </c>
      <c r="CQ2959">
        <v>92</v>
      </c>
      <c r="CR2959">
        <v>0</v>
      </c>
      <c r="CS2959">
        <v>0</v>
      </c>
      <c r="CT2959">
        <v>4.8</v>
      </c>
      <c r="CU2959">
        <v>88</v>
      </c>
      <c r="CV2959">
        <v>0.05</v>
      </c>
      <c r="CW2959">
        <v>25</v>
      </c>
      <c r="CX2959" t="s">
        <v>111</v>
      </c>
    </row>
    <row r="2960" spans="1:102" x14ac:dyDescent="0.3">
      <c r="A2960" t="str">
        <f>HYPERLINK("https://webapp.icbf.com/v2/app/bull-search/view/669003303","S690")</f>
        <v>S690</v>
      </c>
      <c r="B2960" t="s">
        <v>5061</v>
      </c>
      <c r="C2960" t="s">
        <v>5062</v>
      </c>
      <c r="D2960" s="1">
        <v>37629</v>
      </c>
      <c r="E2960" t="s">
        <v>197</v>
      </c>
      <c r="F2960">
        <v>0</v>
      </c>
      <c r="G2960" t="s">
        <v>93</v>
      </c>
      <c r="H2960">
        <v>-0.22</v>
      </c>
      <c r="I2960">
        <v>50</v>
      </c>
      <c r="J2960">
        <v>3.02</v>
      </c>
      <c r="K2960">
        <v>76</v>
      </c>
      <c r="L2960">
        <v>14.91</v>
      </c>
      <c r="M2960">
        <v>26</v>
      </c>
      <c r="N2960">
        <v>-42.98</v>
      </c>
      <c r="O2960">
        <v>41</v>
      </c>
      <c r="P2960">
        <v>19.440000000000001</v>
      </c>
      <c r="Q2960">
        <v>69</v>
      </c>
      <c r="R2960">
        <v>-1.74</v>
      </c>
      <c r="S2960">
        <v>32</v>
      </c>
      <c r="T2960">
        <v>15.38</v>
      </c>
      <c r="U2960">
        <v>45</v>
      </c>
      <c r="V2960">
        <v>-8.25</v>
      </c>
      <c r="W2960">
        <v>39</v>
      </c>
      <c r="X2960" t="s">
        <v>94</v>
      </c>
      <c r="Y2960" t="s">
        <v>1494</v>
      </c>
      <c r="Z2960">
        <v>0</v>
      </c>
      <c r="AA2960" t="s">
        <v>5063</v>
      </c>
      <c r="AB2960" t="s">
        <v>5064</v>
      </c>
      <c r="AC2960">
        <v>11</v>
      </c>
      <c r="AD2960">
        <v>3</v>
      </c>
      <c r="AE2960">
        <v>76</v>
      </c>
      <c r="AF2960">
        <v>2.12</v>
      </c>
      <c r="AG2960">
        <v>-4.45</v>
      </c>
      <c r="AH2960">
        <v>2.12</v>
      </c>
      <c r="AI2960">
        <v>-0.08</v>
      </c>
      <c r="AJ2960">
        <v>0.03</v>
      </c>
      <c r="AK2960">
        <v>26</v>
      </c>
      <c r="AL2960">
        <v>11</v>
      </c>
      <c r="AM2960">
        <v>3</v>
      </c>
      <c r="AN2960">
        <v>-1.49</v>
      </c>
      <c r="AO2960">
        <v>-0.31</v>
      </c>
      <c r="AP2960">
        <v>25</v>
      </c>
      <c r="AQ2960">
        <v>0</v>
      </c>
      <c r="AR2960">
        <v>7.73</v>
      </c>
      <c r="AS2960">
        <v>6</v>
      </c>
      <c r="AT2960">
        <v>6.8</v>
      </c>
      <c r="AU2960">
        <v>38</v>
      </c>
      <c r="AV2960">
        <v>1.54</v>
      </c>
      <c r="AW2960">
        <v>63</v>
      </c>
      <c r="AX2960">
        <v>-0.55000000000000004</v>
      </c>
      <c r="AY2960">
        <v>33</v>
      </c>
      <c r="AZ2960">
        <v>5.3</v>
      </c>
      <c r="BA2960">
        <v>6</v>
      </c>
      <c r="BB2960">
        <v>3.17</v>
      </c>
      <c r="BC2960">
        <v>10</v>
      </c>
      <c r="BD2960">
        <v>0</v>
      </c>
      <c r="BE2960">
        <v>0</v>
      </c>
      <c r="BF2960">
        <v>0.04</v>
      </c>
      <c r="BG2960">
        <v>36</v>
      </c>
      <c r="BH2960">
        <v>-0.26</v>
      </c>
      <c r="BI2960">
        <v>-3.47</v>
      </c>
      <c r="BJ2960">
        <v>0</v>
      </c>
      <c r="BK2960">
        <v>0</v>
      </c>
      <c r="BL2960">
        <v>0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11.9</v>
      </c>
      <c r="CK2960">
        <v>73</v>
      </c>
      <c r="CL2960">
        <v>0.25</v>
      </c>
      <c r="CM2960">
        <v>68</v>
      </c>
      <c r="CN2960">
        <v>-0.05</v>
      </c>
      <c r="CO2960">
        <v>65</v>
      </c>
      <c r="CP2960">
        <v>-1</v>
      </c>
      <c r="CQ2960">
        <v>51</v>
      </c>
      <c r="CR2960">
        <v>0</v>
      </c>
      <c r="CS2960">
        <v>0</v>
      </c>
      <c r="CT2960">
        <v>-7</v>
      </c>
      <c r="CU2960">
        <v>45</v>
      </c>
      <c r="CV2960">
        <v>0.08</v>
      </c>
      <c r="CW2960">
        <v>20</v>
      </c>
      <c r="CX2960" t="s">
        <v>5065</v>
      </c>
    </row>
    <row r="2961" spans="1:102" x14ac:dyDescent="0.3">
      <c r="A2961" t="str">
        <f>HYPERLINK("https://webapp.icbf.com/v2/app/bull-search/view/1599957229","FR4647")</f>
        <v>FR4647</v>
      </c>
      <c r="B2961" t="s">
        <v>15191</v>
      </c>
      <c r="C2961" t="s">
        <v>15192</v>
      </c>
      <c r="D2961" s="1">
        <v>42483</v>
      </c>
      <c r="E2961" t="s">
        <v>92</v>
      </c>
      <c r="F2961">
        <v>100</v>
      </c>
      <c r="G2961" t="s">
        <v>435</v>
      </c>
      <c r="H2961">
        <v>-0.23</v>
      </c>
      <c r="I2961">
        <v>70</v>
      </c>
      <c r="J2961">
        <v>13.92</v>
      </c>
      <c r="K2961">
        <v>88</v>
      </c>
      <c r="L2961">
        <v>-32.93</v>
      </c>
      <c r="M2961">
        <v>69</v>
      </c>
      <c r="N2961">
        <v>5.96</v>
      </c>
      <c r="O2961">
        <v>73</v>
      </c>
      <c r="P2961">
        <v>-0.56999999999999995</v>
      </c>
      <c r="Q2961">
        <v>40</v>
      </c>
      <c r="R2961">
        <v>18.399999999999999</v>
      </c>
      <c r="S2961">
        <v>63</v>
      </c>
      <c r="T2961">
        <v>-11.85</v>
      </c>
      <c r="U2961">
        <v>37</v>
      </c>
      <c r="V2961">
        <v>6.84</v>
      </c>
      <c r="W2961">
        <v>54</v>
      </c>
      <c r="X2961" t="s">
        <v>428</v>
      </c>
      <c r="Y2961" t="s">
        <v>442</v>
      </c>
      <c r="Z2961" t="s">
        <v>96</v>
      </c>
      <c r="AA2961" t="s">
        <v>6211</v>
      </c>
      <c r="AB2961" t="s">
        <v>15193</v>
      </c>
      <c r="AC2961">
        <v>0</v>
      </c>
      <c r="AD2961">
        <v>0</v>
      </c>
      <c r="AE2961">
        <v>88</v>
      </c>
      <c r="AF2961">
        <v>410.1</v>
      </c>
      <c r="AG2961">
        <v>6.91</v>
      </c>
      <c r="AH2961">
        <v>6.2</v>
      </c>
      <c r="AI2961">
        <v>-0.15</v>
      </c>
      <c r="AJ2961">
        <v>-0.12</v>
      </c>
      <c r="AK2961">
        <v>69</v>
      </c>
      <c r="AL2961">
        <v>0</v>
      </c>
      <c r="AM2961">
        <v>0</v>
      </c>
      <c r="AN2961">
        <v>2.2999999999999998</v>
      </c>
      <c r="AO2961">
        <v>-0.32</v>
      </c>
      <c r="AP2961">
        <v>45</v>
      </c>
      <c r="AQ2961">
        <v>0</v>
      </c>
      <c r="AR2961">
        <v>9.1999999999999993</v>
      </c>
      <c r="AS2961">
        <v>69</v>
      </c>
      <c r="AT2961">
        <v>3.6</v>
      </c>
      <c r="AU2961">
        <v>90</v>
      </c>
      <c r="AV2961">
        <v>-2.33</v>
      </c>
      <c r="AW2961">
        <v>84</v>
      </c>
      <c r="AX2961">
        <v>2.25</v>
      </c>
      <c r="AY2961">
        <v>58</v>
      </c>
      <c r="AZ2961">
        <v>5.47</v>
      </c>
      <c r="BA2961">
        <v>36</v>
      </c>
      <c r="BB2961">
        <v>4.82</v>
      </c>
      <c r="BC2961">
        <v>35</v>
      </c>
      <c r="BD2961">
        <v>-0.06</v>
      </c>
      <c r="BE2961">
        <v>-7.0000000000000007E-2</v>
      </c>
      <c r="BF2961">
        <v>-0.19</v>
      </c>
      <c r="BG2961">
        <v>76</v>
      </c>
      <c r="BH2961">
        <v>0.15</v>
      </c>
      <c r="BI2961">
        <v>-4.7</v>
      </c>
      <c r="BJ2961">
        <v>0</v>
      </c>
      <c r="BK2961">
        <v>0</v>
      </c>
      <c r="BL2961">
        <v>2.88</v>
      </c>
      <c r="BM2961">
        <v>0.8</v>
      </c>
      <c r="BN2961">
        <v>1.1000000000000001</v>
      </c>
      <c r="BO2961">
        <v>1.71</v>
      </c>
      <c r="BP2961">
        <v>2.14</v>
      </c>
      <c r="BQ2961">
        <v>3.54</v>
      </c>
      <c r="BR2961">
        <v>-0.91</v>
      </c>
      <c r="BS2961">
        <v>4.63</v>
      </c>
      <c r="BT2961">
        <v>1.68</v>
      </c>
      <c r="BU2961">
        <v>4.1399999999999997</v>
      </c>
      <c r="BV2961">
        <v>4.05</v>
      </c>
      <c r="BW2961">
        <v>3.07</v>
      </c>
      <c r="BX2961">
        <v>4.16</v>
      </c>
      <c r="BY2961">
        <v>2.5299999999999998</v>
      </c>
      <c r="BZ2961">
        <v>-2.8</v>
      </c>
      <c r="CA2961">
        <v>4.2699999999999996</v>
      </c>
      <c r="CB2961">
        <v>3.39</v>
      </c>
      <c r="CC2961">
        <v>3.45</v>
      </c>
      <c r="CD2961">
        <v>0.01</v>
      </c>
      <c r="CE2961">
        <v>1.32</v>
      </c>
      <c r="CF2961">
        <v>2.02</v>
      </c>
      <c r="CG2961">
        <v>0</v>
      </c>
      <c r="CH2961">
        <v>3.18</v>
      </c>
      <c r="CI2961">
        <v>0</v>
      </c>
      <c r="CJ2961">
        <v>3.6</v>
      </c>
      <c r="CK2961">
        <v>41</v>
      </c>
      <c r="CL2961">
        <v>-1.68</v>
      </c>
      <c r="CM2961">
        <v>40</v>
      </c>
      <c r="CN2961">
        <v>-0.9</v>
      </c>
      <c r="CO2961">
        <v>40</v>
      </c>
      <c r="CP2961">
        <v>8.4</v>
      </c>
      <c r="CQ2961">
        <v>37</v>
      </c>
      <c r="CR2961">
        <v>0</v>
      </c>
      <c r="CS2961">
        <v>0</v>
      </c>
      <c r="CT2961">
        <v>29.8</v>
      </c>
      <c r="CU2961">
        <v>37</v>
      </c>
      <c r="CV2961">
        <v>0.27</v>
      </c>
      <c r="CW2961">
        <v>33</v>
      </c>
      <c r="CX2961" t="s">
        <v>1894</v>
      </c>
    </row>
    <row r="2962" spans="1:102" x14ac:dyDescent="0.3">
      <c r="A2962" t="str">
        <f>HYPERLINK("https://webapp.icbf.com/v2/app/bull-search/view/130015203","CXO")</f>
        <v>CXO</v>
      </c>
      <c r="B2962" t="s">
        <v>186</v>
      </c>
      <c r="C2962" t="s">
        <v>187</v>
      </c>
      <c r="D2962" s="1">
        <v>35535</v>
      </c>
      <c r="E2962" t="s">
        <v>92</v>
      </c>
      <c r="F2962">
        <v>100</v>
      </c>
      <c r="G2962" t="s">
        <v>93</v>
      </c>
      <c r="H2962">
        <v>-0.24</v>
      </c>
      <c r="I2962">
        <v>94</v>
      </c>
      <c r="J2962">
        <v>23.78</v>
      </c>
      <c r="K2962">
        <v>98</v>
      </c>
      <c r="L2962">
        <v>-12.11</v>
      </c>
      <c r="M2962">
        <v>93</v>
      </c>
      <c r="N2962">
        <v>-16.62</v>
      </c>
      <c r="O2962">
        <v>90</v>
      </c>
      <c r="P2962">
        <v>-13.8</v>
      </c>
      <c r="Q2962">
        <v>95</v>
      </c>
      <c r="R2962">
        <v>3.04</v>
      </c>
      <c r="S2962">
        <v>86</v>
      </c>
      <c r="T2962">
        <v>15.75</v>
      </c>
      <c r="U2962">
        <v>93</v>
      </c>
      <c r="V2962">
        <v>-0.28000000000000003</v>
      </c>
      <c r="W2962">
        <v>83</v>
      </c>
      <c r="X2962" t="s">
        <v>131</v>
      </c>
      <c r="Y2962" t="s">
        <v>95</v>
      </c>
      <c r="Z2962" t="s">
        <v>96</v>
      </c>
      <c r="AA2962" t="s">
        <v>188</v>
      </c>
      <c r="AB2962" t="s">
        <v>189</v>
      </c>
      <c r="AC2962">
        <v>161</v>
      </c>
      <c r="AD2962">
        <v>74</v>
      </c>
      <c r="AE2962">
        <v>98</v>
      </c>
      <c r="AF2962">
        <v>217.63</v>
      </c>
      <c r="AG2962">
        <v>8.61</v>
      </c>
      <c r="AH2962">
        <v>4.33</v>
      </c>
      <c r="AI2962">
        <v>0</v>
      </c>
      <c r="AJ2962">
        <v>-0.05</v>
      </c>
      <c r="AK2962">
        <v>93</v>
      </c>
      <c r="AL2962">
        <v>164</v>
      </c>
      <c r="AM2962">
        <v>71</v>
      </c>
      <c r="AN2962">
        <v>2.65</v>
      </c>
      <c r="AO2962">
        <v>1.71</v>
      </c>
      <c r="AP2962">
        <v>271</v>
      </c>
      <c r="AQ2962">
        <v>3</v>
      </c>
      <c r="AR2962">
        <v>9.32</v>
      </c>
      <c r="AS2962">
        <v>86</v>
      </c>
      <c r="AT2962">
        <v>4.37</v>
      </c>
      <c r="AU2962">
        <v>93</v>
      </c>
      <c r="AV2962">
        <v>0.45</v>
      </c>
      <c r="AW2962">
        <v>95</v>
      </c>
      <c r="AX2962">
        <v>0.27</v>
      </c>
      <c r="AY2962">
        <v>88</v>
      </c>
      <c r="AZ2962">
        <v>5.23</v>
      </c>
      <c r="BA2962">
        <v>76</v>
      </c>
      <c r="BB2962">
        <v>4.26</v>
      </c>
      <c r="BC2962">
        <v>79</v>
      </c>
      <c r="BD2962">
        <v>-0.03</v>
      </c>
      <c r="BE2962">
        <v>0</v>
      </c>
      <c r="BF2962">
        <v>-0.02</v>
      </c>
      <c r="BG2962">
        <v>94</v>
      </c>
      <c r="BH2962">
        <v>-0.02</v>
      </c>
      <c r="BI2962">
        <v>-1.41</v>
      </c>
      <c r="BJ2962">
        <v>43</v>
      </c>
      <c r="BK2962">
        <v>17</v>
      </c>
      <c r="BL2962">
        <v>0.11</v>
      </c>
      <c r="BM2962">
        <v>-1.8</v>
      </c>
      <c r="BN2962">
        <v>-0.43</v>
      </c>
      <c r="BO2962">
        <v>0.79</v>
      </c>
      <c r="BP2962">
        <v>3.52</v>
      </c>
      <c r="BQ2962">
        <v>0.39</v>
      </c>
      <c r="BR2962">
        <v>0.31</v>
      </c>
      <c r="BS2962">
        <v>0.2</v>
      </c>
      <c r="BT2962">
        <v>-0.75</v>
      </c>
      <c r="BU2962">
        <v>1.32</v>
      </c>
      <c r="BV2962">
        <v>1.64</v>
      </c>
      <c r="BW2962">
        <v>0.53</v>
      </c>
      <c r="BX2962">
        <v>0.56999999999999995</v>
      </c>
      <c r="BY2962">
        <v>1.1299999999999999</v>
      </c>
      <c r="BZ2962">
        <v>0.48</v>
      </c>
      <c r="CA2962">
        <v>0.96</v>
      </c>
      <c r="CB2962">
        <v>1.27</v>
      </c>
      <c r="CC2962">
        <v>-0.06</v>
      </c>
      <c r="CD2962">
        <v>-1.3</v>
      </c>
      <c r="CE2962">
        <v>0.92</v>
      </c>
      <c r="CF2962">
        <v>0.24</v>
      </c>
      <c r="CG2962">
        <v>0</v>
      </c>
      <c r="CH2962">
        <v>0.95</v>
      </c>
      <c r="CI2962">
        <v>0</v>
      </c>
      <c r="CJ2962">
        <v>-4.8</v>
      </c>
      <c r="CK2962">
        <v>95</v>
      </c>
      <c r="CL2962">
        <v>-1</v>
      </c>
      <c r="CM2962">
        <v>94</v>
      </c>
      <c r="CN2962">
        <v>-0.37</v>
      </c>
      <c r="CO2962">
        <v>94</v>
      </c>
      <c r="CP2962">
        <v>-7.9</v>
      </c>
      <c r="CQ2962">
        <v>94</v>
      </c>
      <c r="CR2962">
        <v>0</v>
      </c>
      <c r="CS2962">
        <v>0</v>
      </c>
      <c r="CT2962">
        <v>-7.5</v>
      </c>
      <c r="CU2962">
        <v>93</v>
      </c>
      <c r="CV2962">
        <v>0.1</v>
      </c>
      <c r="CW2962">
        <v>45</v>
      </c>
      <c r="CX2962" t="s">
        <v>190</v>
      </c>
    </row>
    <row r="2963" spans="1:102" x14ac:dyDescent="0.3">
      <c r="A2963" t="str">
        <f>HYPERLINK("https://webapp.icbf.com/v2/app/bull-search/view/660248603","S938")</f>
        <v>S938</v>
      </c>
      <c r="B2963" t="s">
        <v>12653</v>
      </c>
      <c r="C2963" t="s">
        <v>12654</v>
      </c>
      <c r="D2963" s="1">
        <v>38682</v>
      </c>
      <c r="E2963" t="s">
        <v>92</v>
      </c>
      <c r="F2963">
        <v>100</v>
      </c>
      <c r="G2963" t="s">
        <v>93</v>
      </c>
      <c r="H2963">
        <v>-0.27</v>
      </c>
      <c r="I2963">
        <v>94</v>
      </c>
      <c r="J2963">
        <v>23.62</v>
      </c>
      <c r="K2963">
        <v>99</v>
      </c>
      <c r="L2963">
        <v>-44.94</v>
      </c>
      <c r="M2963">
        <v>93</v>
      </c>
      <c r="N2963">
        <v>10.63</v>
      </c>
      <c r="O2963">
        <v>95</v>
      </c>
      <c r="P2963">
        <v>-9.6300000000000008</v>
      </c>
      <c r="Q2963">
        <v>98</v>
      </c>
      <c r="R2963">
        <v>10.220000000000001</v>
      </c>
      <c r="S2963">
        <v>87</v>
      </c>
      <c r="T2963">
        <v>2.36</v>
      </c>
      <c r="U2963">
        <v>90</v>
      </c>
      <c r="V2963">
        <v>7.47</v>
      </c>
      <c r="W2963">
        <v>77</v>
      </c>
      <c r="X2963" t="s">
        <v>94</v>
      </c>
      <c r="Y2963" t="s">
        <v>303</v>
      </c>
      <c r="Z2963" t="s">
        <v>96</v>
      </c>
      <c r="AA2963" t="s">
        <v>309</v>
      </c>
      <c r="AB2963" t="s">
        <v>12655</v>
      </c>
      <c r="AC2963">
        <v>560</v>
      </c>
      <c r="AD2963">
        <v>152</v>
      </c>
      <c r="AE2963">
        <v>99</v>
      </c>
      <c r="AF2963">
        <v>344.78</v>
      </c>
      <c r="AG2963">
        <v>10.130000000000001</v>
      </c>
      <c r="AH2963">
        <v>5.71</v>
      </c>
      <c r="AI2963">
        <v>-0.06</v>
      </c>
      <c r="AJ2963">
        <v>-0.1</v>
      </c>
      <c r="AK2963">
        <v>93</v>
      </c>
      <c r="AL2963">
        <v>485</v>
      </c>
      <c r="AM2963">
        <v>129</v>
      </c>
      <c r="AN2963">
        <v>4.28</v>
      </c>
      <c r="AO2963">
        <v>0.72</v>
      </c>
      <c r="AP2963">
        <v>907</v>
      </c>
      <c r="AQ2963">
        <v>0</v>
      </c>
      <c r="AR2963">
        <v>7.55</v>
      </c>
      <c r="AS2963">
        <v>94</v>
      </c>
      <c r="AT2963">
        <v>3.69</v>
      </c>
      <c r="AU2963">
        <v>97</v>
      </c>
      <c r="AV2963">
        <v>-1.79</v>
      </c>
      <c r="AW2963">
        <v>99</v>
      </c>
      <c r="AX2963">
        <v>-0.22</v>
      </c>
      <c r="AY2963">
        <v>95</v>
      </c>
      <c r="AZ2963">
        <v>5.81</v>
      </c>
      <c r="BA2963">
        <v>87</v>
      </c>
      <c r="BB2963">
        <v>5</v>
      </c>
      <c r="BC2963">
        <v>84</v>
      </c>
      <c r="BD2963">
        <v>0</v>
      </c>
      <c r="BE2963">
        <v>-0.05</v>
      </c>
      <c r="BF2963">
        <v>-0.14000000000000001</v>
      </c>
      <c r="BG2963">
        <v>97</v>
      </c>
      <c r="BH2963">
        <v>0.06</v>
      </c>
      <c r="BI2963">
        <v>-17.16</v>
      </c>
      <c r="BJ2963">
        <v>340</v>
      </c>
      <c r="BK2963">
        <v>122</v>
      </c>
      <c r="BL2963">
        <v>2.44</v>
      </c>
      <c r="BM2963">
        <v>-1.53</v>
      </c>
      <c r="BN2963">
        <v>0.65</v>
      </c>
      <c r="BO2963">
        <v>1.47</v>
      </c>
      <c r="BP2963">
        <v>1.82</v>
      </c>
      <c r="BQ2963">
        <v>0.4</v>
      </c>
      <c r="BR2963">
        <v>-0.26</v>
      </c>
      <c r="BS2963">
        <v>3.29</v>
      </c>
      <c r="BT2963">
        <v>1.1000000000000001</v>
      </c>
      <c r="BU2963">
        <v>2.63</v>
      </c>
      <c r="BV2963">
        <v>2.3199999999999998</v>
      </c>
      <c r="BW2963">
        <v>1.9</v>
      </c>
      <c r="BX2963">
        <v>1.78</v>
      </c>
      <c r="BY2963">
        <v>0.43</v>
      </c>
      <c r="BZ2963">
        <v>-0.18</v>
      </c>
      <c r="CA2963">
        <v>2.54</v>
      </c>
      <c r="CB2963">
        <v>1.99</v>
      </c>
      <c r="CC2963">
        <v>2.44</v>
      </c>
      <c r="CD2963">
        <v>-0.79</v>
      </c>
      <c r="CE2963">
        <v>1.18</v>
      </c>
      <c r="CF2963">
        <v>1.43</v>
      </c>
      <c r="CG2963">
        <v>0</v>
      </c>
      <c r="CH2963">
        <v>0.4</v>
      </c>
      <c r="CI2963">
        <v>0</v>
      </c>
      <c r="CJ2963">
        <v>-1.4</v>
      </c>
      <c r="CK2963">
        <v>98</v>
      </c>
      <c r="CL2963">
        <v>-1.4</v>
      </c>
      <c r="CM2963">
        <v>98</v>
      </c>
      <c r="CN2963">
        <v>-0.57999999999999996</v>
      </c>
      <c r="CO2963">
        <v>97</v>
      </c>
      <c r="CP2963">
        <v>-0.3</v>
      </c>
      <c r="CQ2963">
        <v>95</v>
      </c>
      <c r="CR2963">
        <v>0</v>
      </c>
      <c r="CS2963">
        <v>0</v>
      </c>
      <c r="CT2963">
        <v>10.6</v>
      </c>
      <c r="CU2963">
        <v>90</v>
      </c>
      <c r="CV2963">
        <v>0.28999999999999998</v>
      </c>
      <c r="CW2963">
        <v>45</v>
      </c>
      <c r="CX2963" t="s">
        <v>2476</v>
      </c>
    </row>
    <row r="2964" spans="1:102" x14ac:dyDescent="0.3">
      <c r="A2964" t="str">
        <f>HYPERLINK("https://webapp.icbf.com/v2/app/bull-search/view/77858917","CIS")</f>
        <v>CIS</v>
      </c>
      <c r="B2964" t="s">
        <v>3965</v>
      </c>
      <c r="C2964" t="s">
        <v>3966</v>
      </c>
      <c r="D2964" s="1">
        <v>34571</v>
      </c>
      <c r="E2964" t="s">
        <v>92</v>
      </c>
      <c r="F2964">
        <v>100</v>
      </c>
      <c r="G2964" t="s">
        <v>93</v>
      </c>
      <c r="H2964">
        <v>-0.41</v>
      </c>
      <c r="I2964">
        <v>92</v>
      </c>
      <c r="J2964">
        <v>14.71</v>
      </c>
      <c r="K2964">
        <v>98</v>
      </c>
      <c r="L2964">
        <v>-3.16</v>
      </c>
      <c r="M2964">
        <v>86</v>
      </c>
      <c r="N2964">
        <v>-19.690000000000001</v>
      </c>
      <c r="O2964">
        <v>90</v>
      </c>
      <c r="P2964">
        <v>-7.24</v>
      </c>
      <c r="Q2964">
        <v>96</v>
      </c>
      <c r="R2964">
        <v>2.17</v>
      </c>
      <c r="S2964">
        <v>86</v>
      </c>
      <c r="T2964">
        <v>14.34</v>
      </c>
      <c r="U2964">
        <v>95</v>
      </c>
      <c r="V2964">
        <v>-1.54</v>
      </c>
      <c r="W2964">
        <v>80</v>
      </c>
      <c r="X2964" t="s">
        <v>94</v>
      </c>
      <c r="Y2964" t="s">
        <v>95</v>
      </c>
      <c r="Z2964" t="s">
        <v>96</v>
      </c>
      <c r="AA2964" t="s">
        <v>743</v>
      </c>
      <c r="AB2964" t="s">
        <v>3967</v>
      </c>
      <c r="AC2964">
        <v>253</v>
      </c>
      <c r="AD2964">
        <v>183</v>
      </c>
      <c r="AE2964">
        <v>98</v>
      </c>
      <c r="AF2964">
        <v>100.19</v>
      </c>
      <c r="AG2964">
        <v>1.54</v>
      </c>
      <c r="AH2964">
        <v>3.49</v>
      </c>
      <c r="AI2964">
        <v>-0.04</v>
      </c>
      <c r="AJ2964">
        <v>0</v>
      </c>
      <c r="AK2964">
        <v>86</v>
      </c>
      <c r="AL2964">
        <v>288</v>
      </c>
      <c r="AM2964">
        <v>208</v>
      </c>
      <c r="AN2964">
        <v>1.1200000000000001</v>
      </c>
      <c r="AO2964">
        <v>0.88</v>
      </c>
      <c r="AP2964">
        <v>163</v>
      </c>
      <c r="AQ2964">
        <v>2</v>
      </c>
      <c r="AR2964">
        <v>12.01</v>
      </c>
      <c r="AS2964">
        <v>78</v>
      </c>
      <c r="AT2964">
        <v>4.92</v>
      </c>
      <c r="AU2964">
        <v>90</v>
      </c>
      <c r="AV2964">
        <v>-1.19</v>
      </c>
      <c r="AW2964">
        <v>95</v>
      </c>
      <c r="AX2964">
        <v>0.17</v>
      </c>
      <c r="AY2964">
        <v>92</v>
      </c>
      <c r="AZ2964">
        <v>4.79</v>
      </c>
      <c r="BA2964">
        <v>71</v>
      </c>
      <c r="BB2964">
        <v>4.43</v>
      </c>
      <c r="BC2964">
        <v>83</v>
      </c>
      <c r="BD2964">
        <v>-0.03</v>
      </c>
      <c r="BE2964">
        <v>0</v>
      </c>
      <c r="BF2964">
        <v>0</v>
      </c>
      <c r="BG2964">
        <v>95</v>
      </c>
      <c r="BH2964">
        <v>0.06</v>
      </c>
      <c r="BI2964">
        <v>11.92</v>
      </c>
      <c r="BJ2964">
        <v>27</v>
      </c>
      <c r="BK2964">
        <v>24</v>
      </c>
      <c r="BL2964">
        <v>0.23</v>
      </c>
      <c r="BM2964">
        <v>0.05</v>
      </c>
      <c r="BN2964">
        <v>-1.0900000000000001</v>
      </c>
      <c r="BO2964">
        <v>-0.47</v>
      </c>
      <c r="BP2964">
        <v>1.1399999999999999</v>
      </c>
      <c r="BQ2964">
        <v>-1.22</v>
      </c>
      <c r="BR2964">
        <v>-0.44</v>
      </c>
      <c r="BS2964">
        <v>1.04</v>
      </c>
      <c r="BT2964">
        <v>0.08</v>
      </c>
      <c r="BU2964">
        <v>0.17</v>
      </c>
      <c r="BV2964">
        <v>-0.22</v>
      </c>
      <c r="BW2964">
        <v>0.48</v>
      </c>
      <c r="BX2964">
        <v>1.0900000000000001</v>
      </c>
      <c r="BY2964">
        <v>-2.2799999999999998</v>
      </c>
      <c r="BZ2964">
        <v>0.46</v>
      </c>
      <c r="CA2964">
        <v>-0.46</v>
      </c>
      <c r="CB2964">
        <v>-1.1299999999999999</v>
      </c>
      <c r="CC2964">
        <v>0.57999999999999996</v>
      </c>
      <c r="CD2964">
        <v>0.21</v>
      </c>
      <c r="CE2964">
        <v>-0.51</v>
      </c>
      <c r="CF2964">
        <v>-0.42</v>
      </c>
      <c r="CG2964">
        <v>0</v>
      </c>
      <c r="CH2964">
        <v>-1.92</v>
      </c>
      <c r="CI2964">
        <v>0</v>
      </c>
      <c r="CJ2964">
        <v>-1.9</v>
      </c>
      <c r="CK2964">
        <v>96</v>
      </c>
      <c r="CL2964">
        <v>-0.59</v>
      </c>
      <c r="CM2964">
        <v>96</v>
      </c>
      <c r="CN2964">
        <v>-0.21</v>
      </c>
      <c r="CO2964">
        <v>95</v>
      </c>
      <c r="CP2964">
        <v>-6.6</v>
      </c>
      <c r="CQ2964">
        <v>96</v>
      </c>
      <c r="CR2964">
        <v>0</v>
      </c>
      <c r="CS2964">
        <v>0</v>
      </c>
      <c r="CT2964">
        <v>-5.6</v>
      </c>
      <c r="CU2964">
        <v>95</v>
      </c>
      <c r="CV2964">
        <v>7.0000000000000007E-2</v>
      </c>
      <c r="CW2964">
        <v>45</v>
      </c>
      <c r="CX2964" t="s">
        <v>99</v>
      </c>
    </row>
    <row r="2965" spans="1:102" x14ac:dyDescent="0.3">
      <c r="A2965" t="str">
        <f>HYPERLINK("https://webapp.icbf.com/v2/app/bull-search/view/77857831","FDC")</f>
        <v>FDC</v>
      </c>
      <c r="B2965" t="s">
        <v>11218</v>
      </c>
      <c r="C2965" t="s">
        <v>6766</v>
      </c>
      <c r="D2965" s="1">
        <v>33310</v>
      </c>
      <c r="E2965" t="s">
        <v>92</v>
      </c>
      <c r="F2965">
        <v>100</v>
      </c>
      <c r="G2965" t="s">
        <v>93</v>
      </c>
      <c r="H2965">
        <v>-0.52</v>
      </c>
      <c r="I2965">
        <v>86</v>
      </c>
      <c r="J2965">
        <v>-9.2899999999999991</v>
      </c>
      <c r="K2965">
        <v>94</v>
      </c>
      <c r="L2965">
        <v>-11.26</v>
      </c>
      <c r="M2965">
        <v>86</v>
      </c>
      <c r="N2965">
        <v>13.1</v>
      </c>
      <c r="O2965">
        <v>78</v>
      </c>
      <c r="P2965">
        <v>-8.02</v>
      </c>
      <c r="Q2965">
        <v>87</v>
      </c>
      <c r="R2965">
        <v>-0.64</v>
      </c>
      <c r="S2965">
        <v>76</v>
      </c>
      <c r="T2965">
        <v>16.79</v>
      </c>
      <c r="U2965">
        <v>80</v>
      </c>
      <c r="V2965">
        <v>-1.2</v>
      </c>
      <c r="W2965">
        <v>54</v>
      </c>
      <c r="X2965" t="s">
        <v>276</v>
      </c>
      <c r="Y2965" t="s">
        <v>95</v>
      </c>
      <c r="Z2965" t="s">
        <v>96</v>
      </c>
      <c r="AA2965" t="s">
        <v>161</v>
      </c>
      <c r="AB2965" t="s">
        <v>11219</v>
      </c>
      <c r="AC2965">
        <v>75</v>
      </c>
      <c r="AD2965">
        <v>51</v>
      </c>
      <c r="AE2965">
        <v>94</v>
      </c>
      <c r="AF2965">
        <v>30.14</v>
      </c>
      <c r="AG2965">
        <v>-0.42</v>
      </c>
      <c r="AH2965">
        <v>-0.97</v>
      </c>
      <c r="AI2965">
        <v>-0.03</v>
      </c>
      <c r="AJ2965">
        <v>-0.03</v>
      </c>
      <c r="AK2965">
        <v>86</v>
      </c>
      <c r="AL2965">
        <v>80</v>
      </c>
      <c r="AM2965">
        <v>50</v>
      </c>
      <c r="AN2965">
        <v>1.22</v>
      </c>
      <c r="AO2965">
        <v>0.33</v>
      </c>
      <c r="AP2965">
        <v>18</v>
      </c>
      <c r="AQ2965">
        <v>0</v>
      </c>
      <c r="AR2965">
        <v>6.8</v>
      </c>
      <c r="AS2965">
        <v>56</v>
      </c>
      <c r="AT2965">
        <v>3.26</v>
      </c>
      <c r="AU2965">
        <v>90</v>
      </c>
      <c r="AV2965">
        <v>-1.1599999999999999</v>
      </c>
      <c r="AW2965">
        <v>80</v>
      </c>
      <c r="AX2965">
        <v>-0.54</v>
      </c>
      <c r="AY2965">
        <v>81</v>
      </c>
      <c r="AZ2965">
        <v>6.88</v>
      </c>
      <c r="BA2965">
        <v>55</v>
      </c>
      <c r="BB2965">
        <v>4.5599999999999996</v>
      </c>
      <c r="BC2965">
        <v>65</v>
      </c>
      <c r="BD2965">
        <v>0.01</v>
      </c>
      <c r="BE2965">
        <v>0.02</v>
      </c>
      <c r="BF2965">
        <v>-0.04</v>
      </c>
      <c r="BG2965">
        <v>91</v>
      </c>
      <c r="BH2965">
        <v>-0.13</v>
      </c>
      <c r="BI2965">
        <v>-11.16</v>
      </c>
      <c r="BJ2965">
        <v>9</v>
      </c>
      <c r="BK2965">
        <v>7</v>
      </c>
      <c r="BL2965">
        <v>0.5</v>
      </c>
      <c r="BM2965">
        <v>-2.52</v>
      </c>
      <c r="BN2965">
        <v>-1.83</v>
      </c>
      <c r="BO2965">
        <v>0.47</v>
      </c>
      <c r="BP2965">
        <v>1.31</v>
      </c>
      <c r="BQ2965">
        <v>-1.22</v>
      </c>
      <c r="BR2965">
        <v>-1.1399999999999999</v>
      </c>
      <c r="BS2965">
        <v>-0.13</v>
      </c>
      <c r="BT2965">
        <v>0.36</v>
      </c>
      <c r="BU2965">
        <v>-0.24</v>
      </c>
      <c r="BV2965">
        <v>1.28</v>
      </c>
      <c r="BW2965">
        <v>-0.1</v>
      </c>
      <c r="BX2965">
        <v>1.48</v>
      </c>
      <c r="BY2965">
        <v>-1.67</v>
      </c>
      <c r="BZ2965">
        <v>-0.78</v>
      </c>
      <c r="CA2965">
        <v>0.11</v>
      </c>
      <c r="CB2965">
        <v>-0.23</v>
      </c>
      <c r="CC2965">
        <v>0.47</v>
      </c>
      <c r="CD2965">
        <v>-1.45</v>
      </c>
      <c r="CE2965">
        <v>0.81</v>
      </c>
      <c r="CF2965">
        <v>-0.77</v>
      </c>
      <c r="CG2965">
        <v>0</v>
      </c>
      <c r="CH2965">
        <v>-0.09</v>
      </c>
      <c r="CI2965">
        <v>0</v>
      </c>
      <c r="CJ2965">
        <v>-1</v>
      </c>
      <c r="CK2965">
        <v>88</v>
      </c>
      <c r="CL2965">
        <v>-0.56000000000000005</v>
      </c>
      <c r="CM2965">
        <v>86</v>
      </c>
      <c r="CN2965">
        <v>-0.08</v>
      </c>
      <c r="CO2965">
        <v>84</v>
      </c>
      <c r="CP2965">
        <v>-12</v>
      </c>
      <c r="CQ2965">
        <v>88</v>
      </c>
      <c r="CR2965">
        <v>0</v>
      </c>
      <c r="CS2965">
        <v>0</v>
      </c>
      <c r="CT2965">
        <v>-8.9</v>
      </c>
      <c r="CU2965">
        <v>80</v>
      </c>
      <c r="CV2965">
        <v>0.25</v>
      </c>
      <c r="CW2965">
        <v>25</v>
      </c>
      <c r="CX2965" t="s">
        <v>168</v>
      </c>
    </row>
    <row r="2966" spans="1:102" x14ac:dyDescent="0.3">
      <c r="A2966" t="str">
        <f>HYPERLINK("https://webapp.icbf.com/v2/app/bull-search/view/268170428","NWM")</f>
        <v>NWM</v>
      </c>
      <c r="B2966" t="s">
        <v>6476</v>
      </c>
      <c r="C2966" t="s">
        <v>6477</v>
      </c>
      <c r="D2966" s="1">
        <v>35667</v>
      </c>
      <c r="E2966" t="s">
        <v>140</v>
      </c>
      <c r="F2966">
        <v>0</v>
      </c>
      <c r="G2966" t="s">
        <v>93</v>
      </c>
      <c r="H2966">
        <v>-0.56999999999999995</v>
      </c>
      <c r="I2966">
        <v>91</v>
      </c>
      <c r="J2966">
        <v>-2.17</v>
      </c>
      <c r="K2966">
        <v>98</v>
      </c>
      <c r="L2966">
        <v>19.440000000000001</v>
      </c>
      <c r="M2966">
        <v>84</v>
      </c>
      <c r="N2966">
        <v>-26.73</v>
      </c>
      <c r="O2966">
        <v>91</v>
      </c>
      <c r="P2966">
        <v>15.72</v>
      </c>
      <c r="Q2966">
        <v>97</v>
      </c>
      <c r="R2966">
        <v>8.42</v>
      </c>
      <c r="S2966">
        <v>86</v>
      </c>
      <c r="T2966">
        <v>0.8</v>
      </c>
      <c r="U2966">
        <v>93</v>
      </c>
      <c r="V2966">
        <v>-16.05</v>
      </c>
      <c r="W2966">
        <v>87</v>
      </c>
      <c r="X2966" t="s">
        <v>94</v>
      </c>
      <c r="Y2966" t="s">
        <v>95</v>
      </c>
      <c r="Z2966">
        <v>0</v>
      </c>
      <c r="AA2966" t="s">
        <v>141</v>
      </c>
      <c r="AB2966" t="s">
        <v>6478</v>
      </c>
      <c r="AC2966">
        <v>141</v>
      </c>
      <c r="AD2966">
        <v>59</v>
      </c>
      <c r="AE2966">
        <v>98</v>
      </c>
      <c r="AF2966">
        <v>89.58</v>
      </c>
      <c r="AG2966">
        <v>-1.69</v>
      </c>
      <c r="AH2966">
        <v>1.6</v>
      </c>
      <c r="AI2966">
        <v>-0.09</v>
      </c>
      <c r="AJ2966">
        <v>-0.03</v>
      </c>
      <c r="AK2966">
        <v>84</v>
      </c>
      <c r="AL2966">
        <v>193</v>
      </c>
      <c r="AM2966">
        <v>102</v>
      </c>
      <c r="AN2966">
        <v>-1.1100000000000001</v>
      </c>
      <c r="AO2966">
        <v>0.44</v>
      </c>
      <c r="AP2966">
        <v>319</v>
      </c>
      <c r="AQ2966">
        <v>9</v>
      </c>
      <c r="AR2966">
        <v>10.210000000000001</v>
      </c>
      <c r="AS2966">
        <v>78</v>
      </c>
      <c r="AT2966">
        <v>5.0999999999999996</v>
      </c>
      <c r="AU2966">
        <v>92</v>
      </c>
      <c r="AV2966">
        <v>0.92</v>
      </c>
      <c r="AW2966">
        <v>97</v>
      </c>
      <c r="AX2966">
        <v>-0.05</v>
      </c>
      <c r="AY2966">
        <v>90</v>
      </c>
      <c r="AZ2966">
        <v>4.3899999999999997</v>
      </c>
      <c r="BA2966">
        <v>73</v>
      </c>
      <c r="BB2966">
        <v>3.37</v>
      </c>
      <c r="BC2966">
        <v>81</v>
      </c>
      <c r="BD2966">
        <v>-0.01</v>
      </c>
      <c r="BE2966">
        <v>-0.03</v>
      </c>
      <c r="BF2966">
        <v>-0.12</v>
      </c>
      <c r="BG2966">
        <v>92</v>
      </c>
      <c r="BH2966">
        <v>-0.3</v>
      </c>
      <c r="BI2966">
        <v>17.059999999999999</v>
      </c>
      <c r="BJ2966">
        <v>0</v>
      </c>
      <c r="BK2966">
        <v>0</v>
      </c>
      <c r="BL2966">
        <v>-0.99</v>
      </c>
      <c r="BM2966">
        <v>3.23</v>
      </c>
      <c r="BN2966">
        <v>-2.06</v>
      </c>
      <c r="BO2966">
        <v>-3.07</v>
      </c>
      <c r="BP2966">
        <v>4.66</v>
      </c>
      <c r="BQ2966">
        <v>-2.54</v>
      </c>
      <c r="BR2966">
        <v>-2.81</v>
      </c>
      <c r="BS2966">
        <v>-0.65</v>
      </c>
      <c r="BT2966">
        <v>2.87</v>
      </c>
      <c r="BU2966">
        <v>-3.13</v>
      </c>
      <c r="BV2966">
        <v>-3.89</v>
      </c>
      <c r="BW2966">
        <v>-2.93</v>
      </c>
      <c r="BX2966">
        <v>-2.06</v>
      </c>
      <c r="BY2966">
        <v>-2.25</v>
      </c>
      <c r="BZ2966">
        <v>0.84</v>
      </c>
      <c r="CA2966">
        <v>-2.4500000000000002</v>
      </c>
      <c r="CB2966">
        <v>-3.11</v>
      </c>
      <c r="CC2966">
        <v>-0.5</v>
      </c>
      <c r="CD2966">
        <v>3.88</v>
      </c>
      <c r="CE2966">
        <v>-2.98</v>
      </c>
      <c r="CF2966">
        <v>-1.43</v>
      </c>
      <c r="CG2966">
        <v>0</v>
      </c>
      <c r="CH2966">
        <v>-2.71</v>
      </c>
      <c r="CI2966">
        <v>0</v>
      </c>
      <c r="CJ2966">
        <v>6.8</v>
      </c>
      <c r="CK2966">
        <v>98</v>
      </c>
      <c r="CL2966">
        <v>0.28999999999999998</v>
      </c>
      <c r="CM2966">
        <v>97</v>
      </c>
      <c r="CN2966">
        <v>-0.17</v>
      </c>
      <c r="CO2966">
        <v>97</v>
      </c>
      <c r="CP2966">
        <v>9</v>
      </c>
      <c r="CQ2966">
        <v>95</v>
      </c>
      <c r="CR2966">
        <v>0</v>
      </c>
      <c r="CS2966">
        <v>0</v>
      </c>
      <c r="CT2966">
        <v>12.7</v>
      </c>
      <c r="CU2966">
        <v>93</v>
      </c>
      <c r="CV2966">
        <v>0.24</v>
      </c>
      <c r="CW2966">
        <v>45</v>
      </c>
      <c r="CX2966" t="s">
        <v>224</v>
      </c>
    </row>
    <row r="2967" spans="1:102" x14ac:dyDescent="0.3">
      <c r="A2967" t="str">
        <f>HYPERLINK("https://webapp.icbf.com/v2/app/bull-search/view/849700633","SJD")</f>
        <v>SJD</v>
      </c>
      <c r="B2967" t="s">
        <v>9737</v>
      </c>
      <c r="C2967" t="s">
        <v>9738</v>
      </c>
      <c r="D2967" s="1">
        <v>40514</v>
      </c>
      <c r="E2967" t="s">
        <v>146</v>
      </c>
      <c r="F2967">
        <v>0</v>
      </c>
      <c r="G2967" t="s">
        <v>93</v>
      </c>
      <c r="H2967">
        <v>-0.61</v>
      </c>
      <c r="I2967">
        <v>67</v>
      </c>
      <c r="J2967">
        <v>-2.31</v>
      </c>
      <c r="K2967">
        <v>76</v>
      </c>
      <c r="L2967">
        <v>23.21</v>
      </c>
      <c r="M2967">
        <v>55</v>
      </c>
      <c r="N2967">
        <v>-21.42</v>
      </c>
      <c r="O2967">
        <v>80</v>
      </c>
      <c r="P2967">
        <v>12.34</v>
      </c>
      <c r="Q2967">
        <v>93</v>
      </c>
      <c r="R2967">
        <v>-3.39</v>
      </c>
      <c r="S2967">
        <v>44</v>
      </c>
      <c r="T2967">
        <v>1.62</v>
      </c>
      <c r="U2967">
        <v>62</v>
      </c>
      <c r="V2967">
        <v>-10.66</v>
      </c>
      <c r="W2967">
        <v>44</v>
      </c>
      <c r="X2967" t="s">
        <v>102</v>
      </c>
      <c r="Y2967" t="s">
        <v>1860</v>
      </c>
      <c r="Z2967">
        <v>0</v>
      </c>
      <c r="AA2967" t="s">
        <v>9739</v>
      </c>
      <c r="AB2967" t="s">
        <v>9740</v>
      </c>
      <c r="AC2967">
        <v>24</v>
      </c>
      <c r="AD2967">
        <v>15</v>
      </c>
      <c r="AE2967">
        <v>76</v>
      </c>
      <c r="AF2967">
        <v>177.84</v>
      </c>
      <c r="AG2967">
        <v>-1.36</v>
      </c>
      <c r="AH2967">
        <v>2.81</v>
      </c>
      <c r="AI2967">
        <v>-0.13</v>
      </c>
      <c r="AJ2967">
        <v>-0.05</v>
      </c>
      <c r="AK2967">
        <v>55</v>
      </c>
      <c r="AL2967">
        <v>58</v>
      </c>
      <c r="AM2967">
        <v>23</v>
      </c>
      <c r="AN2967">
        <v>-2.1</v>
      </c>
      <c r="AO2967">
        <v>-0.26</v>
      </c>
      <c r="AP2967">
        <v>279</v>
      </c>
      <c r="AQ2967">
        <v>6</v>
      </c>
      <c r="AR2967">
        <v>12.38</v>
      </c>
      <c r="AS2967">
        <v>62</v>
      </c>
      <c r="AT2967">
        <v>4.3499999999999996</v>
      </c>
      <c r="AU2967">
        <v>85</v>
      </c>
      <c r="AV2967">
        <v>-0.69</v>
      </c>
      <c r="AW2967">
        <v>97</v>
      </c>
      <c r="AX2967">
        <v>0.75</v>
      </c>
      <c r="AY2967">
        <v>84</v>
      </c>
      <c r="AZ2967">
        <v>5.43</v>
      </c>
      <c r="BA2967">
        <v>51</v>
      </c>
      <c r="BB2967">
        <v>4.68</v>
      </c>
      <c r="BC2967">
        <v>30</v>
      </c>
      <c r="BD2967">
        <v>0</v>
      </c>
      <c r="BE2967">
        <v>0.02</v>
      </c>
      <c r="BF2967">
        <v>0.04</v>
      </c>
      <c r="BG2967">
        <v>52</v>
      </c>
      <c r="BH2967">
        <v>-0.25</v>
      </c>
      <c r="BI2967">
        <v>5.48</v>
      </c>
      <c r="BJ2967">
        <v>0</v>
      </c>
      <c r="BK2967">
        <v>0</v>
      </c>
      <c r="BL2967">
        <v>-1.96</v>
      </c>
      <c r="BM2967">
        <v>1.83</v>
      </c>
      <c r="BN2967">
        <v>-1</v>
      </c>
      <c r="BO2967">
        <v>-1.72</v>
      </c>
      <c r="BP2967">
        <v>1.76</v>
      </c>
      <c r="BQ2967">
        <v>0.06</v>
      </c>
      <c r="BR2967">
        <v>-0.12</v>
      </c>
      <c r="BS2967">
        <v>-0.36</v>
      </c>
      <c r="BT2967">
        <v>-0.11</v>
      </c>
      <c r="BU2967">
        <v>-1.81</v>
      </c>
      <c r="BV2967">
        <v>-2.44</v>
      </c>
      <c r="BW2967">
        <v>-2.3199999999999998</v>
      </c>
      <c r="BX2967">
        <v>-1.55</v>
      </c>
      <c r="BY2967">
        <v>-2.0499999999999998</v>
      </c>
      <c r="BZ2967">
        <v>1</v>
      </c>
      <c r="CA2967">
        <v>-2.2999999999999998</v>
      </c>
      <c r="CB2967">
        <v>-2.35</v>
      </c>
      <c r="CC2967">
        <v>-1.1399999999999999</v>
      </c>
      <c r="CD2967">
        <v>1.87</v>
      </c>
      <c r="CE2967">
        <v>-2.0699999999999998</v>
      </c>
      <c r="CF2967">
        <v>-1.32</v>
      </c>
      <c r="CG2967">
        <v>0</v>
      </c>
      <c r="CH2967">
        <v>-0.64</v>
      </c>
      <c r="CI2967">
        <v>0</v>
      </c>
      <c r="CJ2967">
        <v>5</v>
      </c>
      <c r="CK2967">
        <v>95</v>
      </c>
      <c r="CL2967">
        <v>0.33</v>
      </c>
      <c r="CM2967">
        <v>94</v>
      </c>
      <c r="CN2967">
        <v>-0.02</v>
      </c>
      <c r="CO2967">
        <v>93</v>
      </c>
      <c r="CP2967">
        <v>12</v>
      </c>
      <c r="CQ2967">
        <v>74</v>
      </c>
      <c r="CR2967">
        <v>0</v>
      </c>
      <c r="CS2967">
        <v>0</v>
      </c>
      <c r="CT2967">
        <v>11.6</v>
      </c>
      <c r="CU2967">
        <v>62</v>
      </c>
      <c r="CV2967">
        <v>-0.13</v>
      </c>
      <c r="CW2967">
        <v>27</v>
      </c>
      <c r="CX2967" t="s">
        <v>182</v>
      </c>
    </row>
    <row r="2968" spans="1:102" x14ac:dyDescent="0.3">
      <c r="A2968" t="str">
        <f>HYPERLINK("https://webapp.icbf.com/v2/app/bull-search/view/69092833","TVC")</f>
        <v>TVC</v>
      </c>
      <c r="B2968" t="s">
        <v>14078</v>
      </c>
      <c r="C2968" t="s">
        <v>14079</v>
      </c>
      <c r="D2968" s="1">
        <v>33942</v>
      </c>
      <c r="E2968" t="s">
        <v>108</v>
      </c>
      <c r="F2968">
        <v>0</v>
      </c>
      <c r="G2968" t="s">
        <v>435</v>
      </c>
      <c r="H2968">
        <v>-0.63</v>
      </c>
      <c r="I2968">
        <v>68</v>
      </c>
      <c r="J2968">
        <v>2.14</v>
      </c>
      <c r="K2968">
        <v>84</v>
      </c>
      <c r="L2968">
        <v>-4.3600000000000003</v>
      </c>
      <c r="M2968">
        <v>69</v>
      </c>
      <c r="N2968">
        <v>7.86</v>
      </c>
      <c r="O2968">
        <v>52</v>
      </c>
      <c r="P2968">
        <v>-3.87</v>
      </c>
      <c r="Q2968">
        <v>56</v>
      </c>
      <c r="R2968">
        <v>-10.47</v>
      </c>
      <c r="S2968">
        <v>59</v>
      </c>
      <c r="T2968">
        <v>12.42</v>
      </c>
      <c r="U2968">
        <v>47</v>
      </c>
      <c r="V2968">
        <v>-4.3499999999999996</v>
      </c>
      <c r="W2968">
        <v>53</v>
      </c>
      <c r="X2968" t="s">
        <v>102</v>
      </c>
      <c r="Y2968" t="s">
        <v>95</v>
      </c>
      <c r="Z2968" t="s">
        <v>96</v>
      </c>
      <c r="AA2968" t="s">
        <v>152</v>
      </c>
      <c r="AB2968" t="s">
        <v>14080</v>
      </c>
      <c r="AC2968">
        <v>1</v>
      </c>
      <c r="AD2968">
        <v>1</v>
      </c>
      <c r="AE2968">
        <v>84</v>
      </c>
      <c r="AF2968">
        <v>-119.99</v>
      </c>
      <c r="AG2968">
        <v>0.39</v>
      </c>
      <c r="AH2968">
        <v>-1.61</v>
      </c>
      <c r="AI2968">
        <v>0.09</v>
      </c>
      <c r="AJ2968">
        <v>0.04</v>
      </c>
      <c r="AK2968">
        <v>69</v>
      </c>
      <c r="AL2968">
        <v>0</v>
      </c>
      <c r="AM2968">
        <v>0</v>
      </c>
      <c r="AN2968">
        <v>-1.51</v>
      </c>
      <c r="AO2968">
        <v>-1.88</v>
      </c>
      <c r="AP2968">
        <v>3</v>
      </c>
      <c r="AQ2968">
        <v>0</v>
      </c>
      <c r="AR2968">
        <v>6.81</v>
      </c>
      <c r="AS2968">
        <v>48</v>
      </c>
      <c r="AT2968">
        <v>3.06</v>
      </c>
      <c r="AU2968">
        <v>73</v>
      </c>
      <c r="AV2968">
        <v>-1.08</v>
      </c>
      <c r="AW2968">
        <v>47</v>
      </c>
      <c r="AX2968">
        <v>-0.52</v>
      </c>
      <c r="AY2968">
        <v>47</v>
      </c>
      <c r="AZ2968">
        <v>6.59</v>
      </c>
      <c r="BA2968">
        <v>37</v>
      </c>
      <c r="BB2968">
        <v>5.85</v>
      </c>
      <c r="BC2968">
        <v>41</v>
      </c>
      <c r="BD2968">
        <v>0.04</v>
      </c>
      <c r="BE2968">
        <v>0.06</v>
      </c>
      <c r="BF2968">
        <v>0.06</v>
      </c>
      <c r="BG2968">
        <v>70</v>
      </c>
      <c r="BH2968">
        <v>-0.08</v>
      </c>
      <c r="BI2968">
        <v>4.78</v>
      </c>
      <c r="BJ2968">
        <v>0</v>
      </c>
      <c r="BK2968">
        <v>0</v>
      </c>
      <c r="BL2968">
        <v>0.08</v>
      </c>
      <c r="BM2968">
        <v>2.2799999999999998</v>
      </c>
      <c r="BN2968">
        <v>1.47</v>
      </c>
      <c r="BO2968">
        <v>-0.54</v>
      </c>
      <c r="BP2968">
        <v>0.26</v>
      </c>
      <c r="BQ2968">
        <v>0.1</v>
      </c>
      <c r="BR2968">
        <v>-2.5</v>
      </c>
      <c r="BS2968">
        <v>-0.85</v>
      </c>
      <c r="BT2968">
        <v>0.22</v>
      </c>
      <c r="BU2968">
        <v>-0.28000000000000003</v>
      </c>
      <c r="BV2968">
        <v>-0.19</v>
      </c>
      <c r="BW2968">
        <v>-0.82</v>
      </c>
      <c r="BX2968">
        <v>-0.98</v>
      </c>
      <c r="BY2968">
        <v>-0.66</v>
      </c>
      <c r="BZ2968">
        <v>1.5</v>
      </c>
      <c r="CA2968">
        <v>-0.61</v>
      </c>
      <c r="CB2968">
        <v>-0.61</v>
      </c>
      <c r="CC2968">
        <v>-0.87</v>
      </c>
      <c r="CD2968">
        <v>0.82</v>
      </c>
      <c r="CE2968">
        <v>-0.12</v>
      </c>
      <c r="CF2968">
        <v>0.27</v>
      </c>
      <c r="CG2968">
        <v>0</v>
      </c>
      <c r="CH2968">
        <v>-0.63</v>
      </c>
      <c r="CI2968">
        <v>0</v>
      </c>
      <c r="CJ2968">
        <v>1.7</v>
      </c>
      <c r="CK2968">
        <v>57</v>
      </c>
      <c r="CL2968">
        <v>-0.84</v>
      </c>
      <c r="CM2968">
        <v>55</v>
      </c>
      <c r="CN2968">
        <v>-0.23</v>
      </c>
      <c r="CO2968">
        <v>54</v>
      </c>
      <c r="CP2968">
        <v>-1.6</v>
      </c>
      <c r="CQ2968">
        <v>49</v>
      </c>
      <c r="CR2968">
        <v>0</v>
      </c>
      <c r="CS2968">
        <v>0</v>
      </c>
      <c r="CT2968">
        <v>-3</v>
      </c>
      <c r="CU2968">
        <v>47</v>
      </c>
      <c r="CV2968">
        <v>0.31</v>
      </c>
      <c r="CW2968">
        <v>37</v>
      </c>
      <c r="CX2968" t="s">
        <v>552</v>
      </c>
    </row>
    <row r="2969" spans="1:102" x14ac:dyDescent="0.3">
      <c r="A2969" t="str">
        <f>HYPERLINK("https://webapp.icbf.com/v2/app/bull-search/view/77860123","CAO")</f>
        <v>CAO</v>
      </c>
      <c r="B2969" t="s">
        <v>618</v>
      </c>
      <c r="C2969" t="s">
        <v>619</v>
      </c>
      <c r="D2969" s="1">
        <v>32067</v>
      </c>
      <c r="E2969" t="s">
        <v>92</v>
      </c>
      <c r="F2969">
        <v>75</v>
      </c>
      <c r="G2969" t="s">
        <v>93</v>
      </c>
      <c r="H2969">
        <v>-0.87</v>
      </c>
      <c r="I2969">
        <v>64</v>
      </c>
      <c r="J2969">
        <v>-49.58</v>
      </c>
      <c r="K2969">
        <v>78</v>
      </c>
      <c r="L2969">
        <v>46.45</v>
      </c>
      <c r="M2969">
        <v>66</v>
      </c>
      <c r="N2969">
        <v>-4.01</v>
      </c>
      <c r="O2969">
        <v>44</v>
      </c>
      <c r="P2969">
        <v>-10.11</v>
      </c>
      <c r="Q2969">
        <v>58</v>
      </c>
      <c r="R2969">
        <v>-7.52</v>
      </c>
      <c r="S2969">
        <v>64</v>
      </c>
      <c r="T2969">
        <v>25.3</v>
      </c>
      <c r="U2969">
        <v>51</v>
      </c>
      <c r="V2969">
        <v>-1.4</v>
      </c>
      <c r="W2969">
        <v>23</v>
      </c>
      <c r="X2969" t="s">
        <v>94</v>
      </c>
      <c r="Y2969" t="s">
        <v>95</v>
      </c>
      <c r="Z2969" t="s">
        <v>96</v>
      </c>
      <c r="AA2969" t="s">
        <v>620</v>
      </c>
      <c r="AB2969" t="s">
        <v>621</v>
      </c>
      <c r="AC2969">
        <v>24</v>
      </c>
      <c r="AD2969">
        <v>22</v>
      </c>
      <c r="AE2969">
        <v>78</v>
      </c>
      <c r="AF2969">
        <v>-93.83</v>
      </c>
      <c r="AG2969">
        <v>-6.58</v>
      </c>
      <c r="AH2969">
        <v>-7.54</v>
      </c>
      <c r="AI2969">
        <v>-0.05</v>
      </c>
      <c r="AJ2969">
        <v>-7.0000000000000007E-2</v>
      </c>
      <c r="AK2969">
        <v>66</v>
      </c>
      <c r="AL2969">
        <v>117</v>
      </c>
      <c r="AM2969">
        <v>70</v>
      </c>
      <c r="AN2969">
        <v>-3.66</v>
      </c>
      <c r="AO2969">
        <v>0.03</v>
      </c>
      <c r="AP2969">
        <v>3</v>
      </c>
      <c r="AQ2969">
        <v>1</v>
      </c>
      <c r="AR2969">
        <v>7.09</v>
      </c>
      <c r="AS2969">
        <v>24</v>
      </c>
      <c r="AT2969">
        <v>3.35</v>
      </c>
      <c r="AU2969">
        <v>40</v>
      </c>
      <c r="AV2969">
        <v>0.02</v>
      </c>
      <c r="AW2969">
        <v>49</v>
      </c>
      <c r="AX2969">
        <v>-0.15</v>
      </c>
      <c r="AY2969">
        <v>64</v>
      </c>
      <c r="AZ2969">
        <v>6.99</v>
      </c>
      <c r="BA2969">
        <v>25</v>
      </c>
      <c r="BB2969">
        <v>5.54</v>
      </c>
      <c r="BC2969">
        <v>37</v>
      </c>
      <c r="BD2969">
        <v>0.06</v>
      </c>
      <c r="BE2969">
        <v>7.0000000000000007E-2</v>
      </c>
      <c r="BF2969">
        <v>-0.06</v>
      </c>
      <c r="BG2969">
        <v>87</v>
      </c>
      <c r="BH2969">
        <v>-0.01</v>
      </c>
      <c r="BI2969">
        <v>3.37</v>
      </c>
      <c r="BJ2969">
        <v>10</v>
      </c>
      <c r="BK2969">
        <v>9</v>
      </c>
      <c r="BL2969">
        <v>-1.77</v>
      </c>
      <c r="BM2969">
        <v>0.3</v>
      </c>
      <c r="BN2969">
        <v>-2.33</v>
      </c>
      <c r="BO2969">
        <v>-1.92</v>
      </c>
      <c r="BP2969">
        <v>-0.79</v>
      </c>
      <c r="BQ2969">
        <v>-0.53</v>
      </c>
      <c r="BR2969">
        <v>0.54</v>
      </c>
      <c r="BS2969">
        <v>-1</v>
      </c>
      <c r="BT2969">
        <v>-0.74</v>
      </c>
      <c r="BU2969">
        <v>-0.14000000000000001</v>
      </c>
      <c r="BV2969">
        <v>-1.03</v>
      </c>
      <c r="BW2969">
        <v>-1.1200000000000001</v>
      </c>
      <c r="BX2969">
        <v>1.18</v>
      </c>
      <c r="BY2969">
        <v>1.1000000000000001</v>
      </c>
      <c r="BZ2969">
        <v>-1.86</v>
      </c>
      <c r="CA2969">
        <v>-1.37</v>
      </c>
      <c r="CB2969">
        <v>-1.1299999999999999</v>
      </c>
      <c r="CC2969">
        <v>-1.52</v>
      </c>
      <c r="CD2969">
        <v>1.49</v>
      </c>
      <c r="CE2969">
        <v>-2.15</v>
      </c>
      <c r="CF2969">
        <v>-2.29</v>
      </c>
      <c r="CG2969">
        <v>0</v>
      </c>
      <c r="CH2969">
        <v>-1</v>
      </c>
      <c r="CI2969">
        <v>0</v>
      </c>
      <c r="CJ2969">
        <v>-5.4</v>
      </c>
      <c r="CK2969">
        <v>60</v>
      </c>
      <c r="CL2969">
        <v>-0.43</v>
      </c>
      <c r="CM2969">
        <v>55</v>
      </c>
      <c r="CN2969">
        <v>-0.28999999999999998</v>
      </c>
      <c r="CO2969">
        <v>51</v>
      </c>
      <c r="CP2969">
        <v>-10.8</v>
      </c>
      <c r="CQ2969">
        <v>62</v>
      </c>
      <c r="CR2969">
        <v>0</v>
      </c>
      <c r="CS2969">
        <v>0</v>
      </c>
      <c r="CT2969">
        <v>-20.399999999999999</v>
      </c>
      <c r="CU2969">
        <v>51</v>
      </c>
      <c r="CV2969">
        <v>-0.03</v>
      </c>
      <c r="CW2969">
        <v>16</v>
      </c>
      <c r="CX2969" t="s">
        <v>622</v>
      </c>
    </row>
    <row r="2970" spans="1:102" x14ac:dyDescent="0.3">
      <c r="A2970" t="str">
        <f>HYPERLINK("https://webapp.icbf.com/v2/app/bull-search/view/945188081","WWR")</f>
        <v>WWR</v>
      </c>
      <c r="B2970" t="s">
        <v>15619</v>
      </c>
      <c r="C2970" t="s">
        <v>15620</v>
      </c>
      <c r="D2970" s="1">
        <v>40516</v>
      </c>
      <c r="E2970" t="s">
        <v>92</v>
      </c>
      <c r="F2970">
        <v>100</v>
      </c>
      <c r="G2970" t="s">
        <v>109</v>
      </c>
      <c r="H2970">
        <v>-0.88</v>
      </c>
      <c r="I2970">
        <v>84</v>
      </c>
      <c r="J2970">
        <v>58.9</v>
      </c>
      <c r="K2970">
        <v>94</v>
      </c>
      <c r="L2970">
        <v>-54.65</v>
      </c>
      <c r="M2970">
        <v>84</v>
      </c>
      <c r="N2970">
        <v>24.13</v>
      </c>
      <c r="O2970">
        <v>75</v>
      </c>
      <c r="P2970">
        <v>-18.579999999999998</v>
      </c>
      <c r="Q2970">
        <v>83</v>
      </c>
      <c r="R2970">
        <v>-0.73</v>
      </c>
      <c r="S2970">
        <v>76</v>
      </c>
      <c r="T2970">
        <v>-8.6</v>
      </c>
      <c r="U2970">
        <v>66</v>
      </c>
      <c r="V2970">
        <v>-1.35</v>
      </c>
      <c r="W2970">
        <v>65</v>
      </c>
      <c r="X2970" t="s">
        <v>251</v>
      </c>
      <c r="Y2970" t="s">
        <v>1923</v>
      </c>
      <c r="Z2970" t="s">
        <v>96</v>
      </c>
      <c r="AA2970" t="s">
        <v>6980</v>
      </c>
      <c r="AB2970" t="s">
        <v>15621</v>
      </c>
      <c r="AC2970">
        <v>29</v>
      </c>
      <c r="AD2970">
        <v>16</v>
      </c>
      <c r="AE2970">
        <v>94</v>
      </c>
      <c r="AF2970">
        <v>475.52</v>
      </c>
      <c r="AG2970">
        <v>14.12</v>
      </c>
      <c r="AH2970">
        <v>12.3</v>
      </c>
      <c r="AI2970">
        <v>-7.0000000000000007E-2</v>
      </c>
      <c r="AJ2970">
        <v>-0.06</v>
      </c>
      <c r="AK2970">
        <v>84</v>
      </c>
      <c r="AL2970">
        <v>34</v>
      </c>
      <c r="AM2970">
        <v>19</v>
      </c>
      <c r="AN2970">
        <v>2.06</v>
      </c>
      <c r="AO2970">
        <v>-2.31</v>
      </c>
      <c r="AP2970">
        <v>75</v>
      </c>
      <c r="AQ2970">
        <v>0</v>
      </c>
      <c r="AR2970">
        <v>6.94</v>
      </c>
      <c r="AS2970">
        <v>65</v>
      </c>
      <c r="AT2970">
        <v>2.68</v>
      </c>
      <c r="AU2970">
        <v>81</v>
      </c>
      <c r="AV2970">
        <v>-2.52</v>
      </c>
      <c r="AW2970">
        <v>85</v>
      </c>
      <c r="AX2970">
        <v>-0.49</v>
      </c>
      <c r="AY2970">
        <v>67</v>
      </c>
      <c r="AZ2970">
        <v>6.43</v>
      </c>
      <c r="BA2970">
        <v>53</v>
      </c>
      <c r="BB2970">
        <v>5.49</v>
      </c>
      <c r="BC2970">
        <v>50</v>
      </c>
      <c r="BD2970">
        <v>-0.02</v>
      </c>
      <c r="BE2970">
        <v>0</v>
      </c>
      <c r="BF2970">
        <v>0.05</v>
      </c>
      <c r="BG2970">
        <v>91</v>
      </c>
      <c r="BH2970">
        <v>-0.06</v>
      </c>
      <c r="BI2970">
        <v>-2.6</v>
      </c>
      <c r="BJ2970">
        <v>11</v>
      </c>
      <c r="BK2970">
        <v>9</v>
      </c>
      <c r="BL2970">
        <v>1.36</v>
      </c>
      <c r="BM2970">
        <v>1.67</v>
      </c>
      <c r="BN2970">
        <v>1.75</v>
      </c>
      <c r="BO2970">
        <v>1.04</v>
      </c>
      <c r="BP2970">
        <v>-0.45</v>
      </c>
      <c r="BQ2970">
        <v>2.42</v>
      </c>
      <c r="BR2970">
        <v>-1.58</v>
      </c>
      <c r="BS2970">
        <v>0.57999999999999996</v>
      </c>
      <c r="BT2970">
        <v>2.15</v>
      </c>
      <c r="BU2970">
        <v>2.93</v>
      </c>
      <c r="BV2970">
        <v>2.52</v>
      </c>
      <c r="BW2970">
        <v>1.07</v>
      </c>
      <c r="BX2970">
        <v>2.2200000000000002</v>
      </c>
      <c r="BY2970">
        <v>1.31</v>
      </c>
      <c r="BZ2970">
        <v>-0.13</v>
      </c>
      <c r="CA2970">
        <v>2.37</v>
      </c>
      <c r="CB2970">
        <v>2.2200000000000002</v>
      </c>
      <c r="CC2970">
        <v>0.97</v>
      </c>
      <c r="CD2970">
        <v>-0.22</v>
      </c>
      <c r="CE2970">
        <v>0.49</v>
      </c>
      <c r="CF2970">
        <v>1.06</v>
      </c>
      <c r="CG2970">
        <v>0</v>
      </c>
      <c r="CH2970">
        <v>1.59</v>
      </c>
      <c r="CI2970">
        <v>0</v>
      </c>
      <c r="CJ2970">
        <v>-5.3</v>
      </c>
      <c r="CK2970">
        <v>85</v>
      </c>
      <c r="CL2970">
        <v>-1.41</v>
      </c>
      <c r="CM2970">
        <v>82</v>
      </c>
      <c r="CN2970">
        <v>-0.27</v>
      </c>
      <c r="CO2970">
        <v>80</v>
      </c>
      <c r="CP2970">
        <v>0.8</v>
      </c>
      <c r="CQ2970">
        <v>73</v>
      </c>
      <c r="CR2970">
        <v>0</v>
      </c>
      <c r="CS2970">
        <v>0</v>
      </c>
      <c r="CT2970">
        <v>25.4</v>
      </c>
      <c r="CU2970">
        <v>66</v>
      </c>
      <c r="CV2970">
        <v>0.26</v>
      </c>
      <c r="CW2970">
        <v>43</v>
      </c>
      <c r="CX2970" t="s">
        <v>309</v>
      </c>
    </row>
    <row r="2971" spans="1:102" x14ac:dyDescent="0.3">
      <c r="A2971" t="str">
        <f>HYPERLINK("https://webapp.icbf.com/v2/app/bull-search/view/1150882635","S2320")</f>
        <v>S2320</v>
      </c>
      <c r="B2971" t="s">
        <v>9362</v>
      </c>
      <c r="C2971" t="s">
        <v>9363</v>
      </c>
      <c r="D2971" s="1">
        <v>40843</v>
      </c>
      <c r="E2971" t="s">
        <v>92</v>
      </c>
      <c r="F2971">
        <v>100</v>
      </c>
      <c r="G2971" t="s">
        <v>109</v>
      </c>
      <c r="H2971">
        <v>-0.98</v>
      </c>
      <c r="I2971">
        <v>77</v>
      </c>
      <c r="J2971">
        <v>79.12</v>
      </c>
      <c r="K2971">
        <v>91</v>
      </c>
      <c r="L2971">
        <v>-104.8</v>
      </c>
      <c r="M2971">
        <v>83</v>
      </c>
      <c r="N2971">
        <v>20.07</v>
      </c>
      <c r="O2971">
        <v>73</v>
      </c>
      <c r="P2971">
        <v>7.82</v>
      </c>
      <c r="Q2971">
        <v>57</v>
      </c>
      <c r="R2971">
        <v>-1.55</v>
      </c>
      <c r="S2971">
        <v>71</v>
      </c>
      <c r="T2971">
        <v>0.43</v>
      </c>
      <c r="U2971">
        <v>40</v>
      </c>
      <c r="V2971">
        <v>-2.0699999999999998</v>
      </c>
      <c r="W2971">
        <v>54</v>
      </c>
      <c r="X2971" t="s">
        <v>428</v>
      </c>
      <c r="Y2971" t="s">
        <v>411</v>
      </c>
      <c r="Z2971" t="s">
        <v>96</v>
      </c>
      <c r="AA2971" t="s">
        <v>2423</v>
      </c>
      <c r="AB2971" t="s">
        <v>9364</v>
      </c>
      <c r="AC2971">
        <v>0</v>
      </c>
      <c r="AD2971">
        <v>0</v>
      </c>
      <c r="AE2971">
        <v>91</v>
      </c>
      <c r="AF2971">
        <v>569</v>
      </c>
      <c r="AG2971">
        <v>22.09</v>
      </c>
      <c r="AH2971">
        <v>14.35</v>
      </c>
      <c r="AI2971">
        <v>0</v>
      </c>
      <c r="AJ2971">
        <v>-0.08</v>
      </c>
      <c r="AK2971">
        <v>83</v>
      </c>
      <c r="AL2971">
        <v>0</v>
      </c>
      <c r="AM2971">
        <v>0</v>
      </c>
      <c r="AN2971">
        <v>6.32</v>
      </c>
      <c r="AO2971">
        <v>-2.0299999999999998</v>
      </c>
      <c r="AP2971">
        <v>42</v>
      </c>
      <c r="AQ2971">
        <v>0</v>
      </c>
      <c r="AR2971">
        <v>7.61</v>
      </c>
      <c r="AS2971">
        <v>57</v>
      </c>
      <c r="AT2971">
        <v>3.26</v>
      </c>
      <c r="AU2971">
        <v>86</v>
      </c>
      <c r="AV2971">
        <v>-2.82</v>
      </c>
      <c r="AW2971">
        <v>86</v>
      </c>
      <c r="AX2971">
        <v>-0.79</v>
      </c>
      <c r="AY2971">
        <v>63</v>
      </c>
      <c r="AZ2971">
        <v>6.17</v>
      </c>
      <c r="BA2971">
        <v>37</v>
      </c>
      <c r="BB2971">
        <v>5.69</v>
      </c>
      <c r="BC2971">
        <v>35</v>
      </c>
      <c r="BD2971">
        <v>0.01</v>
      </c>
      <c r="BE2971">
        <v>0.01</v>
      </c>
      <c r="BF2971">
        <v>0</v>
      </c>
      <c r="BG2971">
        <v>90</v>
      </c>
      <c r="BH2971">
        <v>-0.05</v>
      </c>
      <c r="BI2971">
        <v>0.88</v>
      </c>
      <c r="BJ2971">
        <v>2</v>
      </c>
      <c r="BK2971">
        <v>2</v>
      </c>
      <c r="BL2971">
        <v>0.66</v>
      </c>
      <c r="BM2971">
        <v>-1.46</v>
      </c>
      <c r="BN2971">
        <v>0.01</v>
      </c>
      <c r="BO2971">
        <v>1.34</v>
      </c>
      <c r="BP2971">
        <v>-0.54</v>
      </c>
      <c r="BQ2971">
        <v>0.59</v>
      </c>
      <c r="BR2971">
        <v>0.55000000000000004</v>
      </c>
      <c r="BS2971">
        <v>1.58</v>
      </c>
      <c r="BT2971">
        <v>0.12</v>
      </c>
      <c r="BU2971">
        <v>0.45</v>
      </c>
      <c r="BV2971">
        <v>2.4900000000000002</v>
      </c>
      <c r="BW2971">
        <v>1.92</v>
      </c>
      <c r="BX2971">
        <v>7.0000000000000007E-2</v>
      </c>
      <c r="BY2971">
        <v>1.31</v>
      </c>
      <c r="BZ2971">
        <v>-1.36</v>
      </c>
      <c r="CA2971">
        <v>1.67</v>
      </c>
      <c r="CB2971">
        <v>1.23</v>
      </c>
      <c r="CC2971">
        <v>2.06</v>
      </c>
      <c r="CD2971">
        <v>-1.49</v>
      </c>
      <c r="CE2971">
        <v>1.17</v>
      </c>
      <c r="CF2971">
        <v>0.8</v>
      </c>
      <c r="CG2971">
        <v>0</v>
      </c>
      <c r="CH2971">
        <v>0.97</v>
      </c>
      <c r="CI2971">
        <v>0</v>
      </c>
      <c r="CJ2971">
        <v>4.2</v>
      </c>
      <c r="CK2971">
        <v>60</v>
      </c>
      <c r="CL2971">
        <v>-1.08</v>
      </c>
      <c r="CM2971">
        <v>56</v>
      </c>
      <c r="CN2971">
        <v>-1.1000000000000001</v>
      </c>
      <c r="CO2971">
        <v>55</v>
      </c>
      <c r="CP2971">
        <v>1.9</v>
      </c>
      <c r="CQ2971">
        <v>43</v>
      </c>
      <c r="CR2971">
        <v>0</v>
      </c>
      <c r="CS2971">
        <v>0</v>
      </c>
      <c r="CT2971">
        <v>13.2</v>
      </c>
      <c r="CU2971">
        <v>40</v>
      </c>
      <c r="CV2971">
        <v>0.19</v>
      </c>
      <c r="CW2971">
        <v>38</v>
      </c>
      <c r="CX2971" t="s">
        <v>2115</v>
      </c>
    </row>
    <row r="2972" spans="1:102" x14ac:dyDescent="0.3">
      <c r="A2972" t="str">
        <f>HYPERLINK("https://webapp.icbf.com/v2/app/bull-search/view/586070922","UNE")</f>
        <v>UNE</v>
      </c>
      <c r="B2972" t="s">
        <v>1536</v>
      </c>
      <c r="C2972" t="s">
        <v>1537</v>
      </c>
      <c r="D2972" s="1">
        <v>37668</v>
      </c>
      <c r="E2972" t="s">
        <v>92</v>
      </c>
      <c r="F2972">
        <v>100</v>
      </c>
      <c r="G2972" t="s">
        <v>93</v>
      </c>
      <c r="H2972">
        <v>-1.08</v>
      </c>
      <c r="I2972">
        <v>86</v>
      </c>
      <c r="J2972">
        <v>40.51</v>
      </c>
      <c r="K2972">
        <v>95</v>
      </c>
      <c r="L2972">
        <v>-24.34</v>
      </c>
      <c r="M2972">
        <v>84</v>
      </c>
      <c r="N2972">
        <v>-22.04</v>
      </c>
      <c r="O2972">
        <v>82</v>
      </c>
      <c r="P2972">
        <v>-1.87</v>
      </c>
      <c r="Q2972">
        <v>86</v>
      </c>
      <c r="R2972">
        <v>4.9400000000000004</v>
      </c>
      <c r="S2972">
        <v>78</v>
      </c>
      <c r="T2972">
        <v>6.28</v>
      </c>
      <c r="U2972">
        <v>81</v>
      </c>
      <c r="V2972">
        <v>-4.5599999999999996</v>
      </c>
      <c r="W2972">
        <v>68</v>
      </c>
      <c r="X2972" t="s">
        <v>102</v>
      </c>
      <c r="Y2972" t="s">
        <v>235</v>
      </c>
      <c r="Z2972" t="s">
        <v>96</v>
      </c>
      <c r="AA2972" t="s">
        <v>1538</v>
      </c>
      <c r="AB2972" t="s">
        <v>1539</v>
      </c>
      <c r="AC2972">
        <v>48</v>
      </c>
      <c r="AD2972">
        <v>21</v>
      </c>
      <c r="AE2972">
        <v>95</v>
      </c>
      <c r="AF2972">
        <v>351.25</v>
      </c>
      <c r="AG2972">
        <v>3.58</v>
      </c>
      <c r="AH2972">
        <v>11</v>
      </c>
      <c r="AI2972">
        <v>-0.17</v>
      </c>
      <c r="AJ2972">
        <v>-0.02</v>
      </c>
      <c r="AK2972">
        <v>84</v>
      </c>
      <c r="AL2972">
        <v>63</v>
      </c>
      <c r="AM2972">
        <v>30</v>
      </c>
      <c r="AN2972">
        <v>2.2000000000000002</v>
      </c>
      <c r="AO2972">
        <v>0.27</v>
      </c>
      <c r="AP2972">
        <v>106</v>
      </c>
      <c r="AQ2972">
        <v>0</v>
      </c>
      <c r="AR2972">
        <v>10.35</v>
      </c>
      <c r="AS2972">
        <v>67</v>
      </c>
      <c r="AT2972">
        <v>6.09</v>
      </c>
      <c r="AU2972">
        <v>92</v>
      </c>
      <c r="AV2972">
        <v>-2.09</v>
      </c>
      <c r="AW2972">
        <v>89</v>
      </c>
      <c r="AX2972">
        <v>-0.19</v>
      </c>
      <c r="AY2972">
        <v>74</v>
      </c>
      <c r="AZ2972">
        <v>5.26</v>
      </c>
      <c r="BA2972">
        <v>59</v>
      </c>
      <c r="BB2972">
        <v>4.6100000000000003</v>
      </c>
      <c r="BC2972">
        <v>61</v>
      </c>
      <c r="BD2972">
        <v>-7.0000000000000007E-2</v>
      </c>
      <c r="BE2972">
        <v>-0.03</v>
      </c>
      <c r="BF2972">
        <v>0.06</v>
      </c>
      <c r="BG2972">
        <v>89</v>
      </c>
      <c r="BH2972">
        <v>-0.11</v>
      </c>
      <c r="BI2972">
        <v>1.98</v>
      </c>
      <c r="BJ2972">
        <v>13</v>
      </c>
      <c r="BK2972">
        <v>7</v>
      </c>
      <c r="BL2972">
        <v>1.26</v>
      </c>
      <c r="BM2972">
        <v>-0.49</v>
      </c>
      <c r="BN2972">
        <v>0.16</v>
      </c>
      <c r="BO2972">
        <v>0.9</v>
      </c>
      <c r="BP2972">
        <v>1.89</v>
      </c>
      <c r="BQ2972">
        <v>1.95</v>
      </c>
      <c r="BR2972">
        <v>0.91</v>
      </c>
      <c r="BS2972">
        <v>-0.32</v>
      </c>
      <c r="BT2972">
        <v>-0.32</v>
      </c>
      <c r="BU2972">
        <v>2.5</v>
      </c>
      <c r="BV2972">
        <v>3.01</v>
      </c>
      <c r="BW2972">
        <v>1.04</v>
      </c>
      <c r="BX2972">
        <v>1.72</v>
      </c>
      <c r="BY2972">
        <v>0.56999999999999995</v>
      </c>
      <c r="BZ2972">
        <v>1.03</v>
      </c>
      <c r="CA2972">
        <v>2.08</v>
      </c>
      <c r="CB2972">
        <v>2.1</v>
      </c>
      <c r="CC2972">
        <v>0.01</v>
      </c>
      <c r="CD2972">
        <v>-0.3</v>
      </c>
      <c r="CE2972">
        <v>0.59</v>
      </c>
      <c r="CF2972">
        <v>-0.01</v>
      </c>
      <c r="CG2972">
        <v>0</v>
      </c>
      <c r="CH2972">
        <v>0.67</v>
      </c>
      <c r="CI2972">
        <v>0</v>
      </c>
      <c r="CJ2972">
        <v>0.9</v>
      </c>
      <c r="CK2972">
        <v>88</v>
      </c>
      <c r="CL2972">
        <v>-0.91</v>
      </c>
      <c r="CM2972">
        <v>86</v>
      </c>
      <c r="CN2972">
        <v>-0.55000000000000004</v>
      </c>
      <c r="CO2972">
        <v>84</v>
      </c>
      <c r="CP2972">
        <v>-1.1000000000000001</v>
      </c>
      <c r="CQ2972">
        <v>81</v>
      </c>
      <c r="CR2972">
        <v>0</v>
      </c>
      <c r="CS2972">
        <v>0</v>
      </c>
      <c r="CT2972">
        <v>5.3</v>
      </c>
      <c r="CU2972">
        <v>81</v>
      </c>
      <c r="CV2972">
        <v>0.21</v>
      </c>
      <c r="CW2972">
        <v>44</v>
      </c>
      <c r="CX2972" t="s">
        <v>1420</v>
      </c>
    </row>
    <row r="2973" spans="1:102" x14ac:dyDescent="0.3">
      <c r="A2973" t="str">
        <f>HYPERLINK("https://webapp.icbf.com/v2/app/bull-search/view/1676568495","FR4917")</f>
        <v>FR4917</v>
      </c>
      <c r="B2973" t="s">
        <v>14058</v>
      </c>
      <c r="C2973" t="s">
        <v>14059</v>
      </c>
      <c r="D2973" s="1">
        <v>42579</v>
      </c>
      <c r="E2973" t="s">
        <v>92</v>
      </c>
      <c r="F2973">
        <v>100</v>
      </c>
      <c r="G2973" t="s">
        <v>435</v>
      </c>
      <c r="H2973">
        <v>-1.3</v>
      </c>
      <c r="I2973">
        <v>64</v>
      </c>
      <c r="J2973">
        <v>42.81</v>
      </c>
      <c r="K2973">
        <v>85</v>
      </c>
      <c r="L2973">
        <v>-6.12</v>
      </c>
      <c r="M2973">
        <v>62</v>
      </c>
      <c r="N2973">
        <v>-35.049999999999997</v>
      </c>
      <c r="O2973">
        <v>54</v>
      </c>
      <c r="P2973">
        <v>-10.119999999999999</v>
      </c>
      <c r="Q2973">
        <v>34</v>
      </c>
      <c r="R2973">
        <v>14.34</v>
      </c>
      <c r="S2973">
        <v>58</v>
      </c>
      <c r="T2973">
        <v>-8.67</v>
      </c>
      <c r="U2973">
        <v>33</v>
      </c>
      <c r="V2973">
        <v>1.51</v>
      </c>
      <c r="W2973">
        <v>49</v>
      </c>
      <c r="X2973" t="s">
        <v>102</v>
      </c>
      <c r="Y2973" t="s">
        <v>2394</v>
      </c>
      <c r="Z2973" t="s">
        <v>96</v>
      </c>
      <c r="AA2973" t="s">
        <v>14060</v>
      </c>
      <c r="AB2973" t="s">
        <v>14061</v>
      </c>
      <c r="AC2973">
        <v>0</v>
      </c>
      <c r="AD2973">
        <v>0</v>
      </c>
      <c r="AE2973">
        <v>85</v>
      </c>
      <c r="AF2973">
        <v>229.09</v>
      </c>
      <c r="AG2973">
        <v>7.85</v>
      </c>
      <c r="AH2973">
        <v>8.01</v>
      </c>
      <c r="AI2973">
        <v>-0.02</v>
      </c>
      <c r="AJ2973">
        <v>0.01</v>
      </c>
      <c r="AK2973">
        <v>62</v>
      </c>
      <c r="AL2973">
        <v>0</v>
      </c>
      <c r="AM2973">
        <v>0</v>
      </c>
      <c r="AN2973">
        <v>-0.62</v>
      </c>
      <c r="AO2973">
        <v>-1.1200000000000001</v>
      </c>
      <c r="AP2973">
        <v>5</v>
      </c>
      <c r="AQ2973">
        <v>0</v>
      </c>
      <c r="AR2973">
        <v>13.83</v>
      </c>
      <c r="AS2973">
        <v>42</v>
      </c>
      <c r="AT2973">
        <v>6.57</v>
      </c>
      <c r="AU2973">
        <v>84</v>
      </c>
      <c r="AV2973">
        <v>-3.56</v>
      </c>
      <c r="AW2973">
        <v>53</v>
      </c>
      <c r="AX2973">
        <v>-0.05</v>
      </c>
      <c r="AY2973">
        <v>37</v>
      </c>
      <c r="AZ2973">
        <v>5.61</v>
      </c>
      <c r="BA2973">
        <v>28</v>
      </c>
      <c r="BB2973">
        <v>4.92</v>
      </c>
      <c r="BC2973">
        <v>29</v>
      </c>
      <c r="BD2973">
        <v>-0.04</v>
      </c>
      <c r="BE2973">
        <v>-7.0000000000000007E-2</v>
      </c>
      <c r="BF2973">
        <v>-0.13</v>
      </c>
      <c r="BG2973">
        <v>71</v>
      </c>
      <c r="BH2973">
        <v>-0.02</v>
      </c>
      <c r="BI2973">
        <v>-7.2</v>
      </c>
      <c r="BJ2973">
        <v>0</v>
      </c>
      <c r="BK2973">
        <v>0</v>
      </c>
      <c r="BL2973">
        <v>1.93</v>
      </c>
      <c r="BM2973">
        <v>7.0000000000000007E-2</v>
      </c>
      <c r="BN2973">
        <v>0.56000000000000005</v>
      </c>
      <c r="BO2973">
        <v>0.53</v>
      </c>
      <c r="BP2973">
        <v>1.63</v>
      </c>
      <c r="BQ2973">
        <v>1.75</v>
      </c>
      <c r="BR2973">
        <v>-2.02</v>
      </c>
      <c r="BS2973">
        <v>3.28</v>
      </c>
      <c r="BT2973">
        <v>2.81</v>
      </c>
      <c r="BU2973">
        <v>3.44</v>
      </c>
      <c r="BV2973">
        <v>3.09</v>
      </c>
      <c r="BW2973">
        <v>1.94</v>
      </c>
      <c r="BX2973">
        <v>3.13</v>
      </c>
      <c r="BY2973">
        <v>0.67</v>
      </c>
      <c r="BZ2973">
        <v>-0.87</v>
      </c>
      <c r="CA2973">
        <v>3.58</v>
      </c>
      <c r="CB2973">
        <v>2.88</v>
      </c>
      <c r="CC2973">
        <v>3.06</v>
      </c>
      <c r="CD2973">
        <v>0.28999999999999998</v>
      </c>
      <c r="CE2973">
        <v>1.37</v>
      </c>
      <c r="CF2973">
        <v>1.83</v>
      </c>
      <c r="CG2973">
        <v>0</v>
      </c>
      <c r="CH2973">
        <v>2.0699999999999998</v>
      </c>
      <c r="CI2973">
        <v>0</v>
      </c>
      <c r="CJ2973">
        <v>-3.1</v>
      </c>
      <c r="CK2973">
        <v>34</v>
      </c>
      <c r="CL2973">
        <v>-1.61</v>
      </c>
      <c r="CM2973">
        <v>34</v>
      </c>
      <c r="CN2973">
        <v>-0.88</v>
      </c>
      <c r="CO2973">
        <v>34</v>
      </c>
      <c r="CP2973">
        <v>3.1</v>
      </c>
      <c r="CQ2973">
        <v>33</v>
      </c>
      <c r="CR2973">
        <v>0</v>
      </c>
      <c r="CS2973">
        <v>0</v>
      </c>
      <c r="CT2973">
        <v>25.5</v>
      </c>
      <c r="CU2973">
        <v>33</v>
      </c>
      <c r="CV2973">
        <v>0.15</v>
      </c>
      <c r="CW2973">
        <v>31</v>
      </c>
      <c r="CX2973" t="s">
        <v>2203</v>
      </c>
    </row>
    <row r="2974" spans="1:102" x14ac:dyDescent="0.3">
      <c r="A2974" t="str">
        <f>HYPERLINK("https://webapp.icbf.com/v2/app/bull-search/view/76543274","MEU")</f>
        <v>MEU</v>
      </c>
      <c r="B2974" t="s">
        <v>3330</v>
      </c>
      <c r="C2974" t="s">
        <v>3331</v>
      </c>
      <c r="D2974" s="1">
        <v>36632</v>
      </c>
      <c r="E2974" t="s">
        <v>108</v>
      </c>
      <c r="F2974">
        <v>0</v>
      </c>
      <c r="G2974" t="s">
        <v>93</v>
      </c>
      <c r="H2974">
        <v>-1.43</v>
      </c>
      <c r="I2974">
        <v>98</v>
      </c>
      <c r="J2974">
        <v>-20.99</v>
      </c>
      <c r="K2974">
        <v>99</v>
      </c>
      <c r="L2974">
        <v>33.01</v>
      </c>
      <c r="M2974">
        <v>97</v>
      </c>
      <c r="N2974">
        <v>-10.07</v>
      </c>
      <c r="O2974">
        <v>99</v>
      </c>
      <c r="P2974">
        <v>-16.350000000000001</v>
      </c>
      <c r="Q2974">
        <v>99</v>
      </c>
      <c r="R2974">
        <v>-9.6300000000000008</v>
      </c>
      <c r="S2974">
        <v>98</v>
      </c>
      <c r="T2974">
        <v>20.78</v>
      </c>
      <c r="U2974">
        <v>99</v>
      </c>
      <c r="V2974">
        <v>1.82</v>
      </c>
      <c r="W2974">
        <v>99</v>
      </c>
      <c r="X2974" t="s">
        <v>102</v>
      </c>
      <c r="Y2974" t="s">
        <v>95</v>
      </c>
      <c r="Z2974" t="s">
        <v>96</v>
      </c>
      <c r="AA2974" t="s">
        <v>479</v>
      </c>
      <c r="AB2974" t="s">
        <v>1306</v>
      </c>
      <c r="AC2974">
        <v>1828</v>
      </c>
      <c r="AD2974">
        <v>544</v>
      </c>
      <c r="AE2974">
        <v>99</v>
      </c>
      <c r="AF2974">
        <v>-317.83999999999997</v>
      </c>
      <c r="AG2974">
        <v>-9.5399999999999991</v>
      </c>
      <c r="AH2974">
        <v>-5.0599999999999996</v>
      </c>
      <c r="AI2974">
        <v>0.05</v>
      </c>
      <c r="AJ2974">
        <v>0.11</v>
      </c>
      <c r="AK2974">
        <v>97</v>
      </c>
      <c r="AL2974">
        <v>2662</v>
      </c>
      <c r="AM2974">
        <v>871</v>
      </c>
      <c r="AN2974">
        <v>-2.79</v>
      </c>
      <c r="AO2974">
        <v>-0.17</v>
      </c>
      <c r="AP2974">
        <v>3563</v>
      </c>
      <c r="AQ2974">
        <v>28</v>
      </c>
      <c r="AR2974">
        <v>8.3000000000000007</v>
      </c>
      <c r="AS2974">
        <v>97</v>
      </c>
      <c r="AT2974">
        <v>3.58</v>
      </c>
      <c r="AU2974">
        <v>99</v>
      </c>
      <c r="AV2974">
        <v>-2.0499999999999998</v>
      </c>
      <c r="AW2974">
        <v>99</v>
      </c>
      <c r="AX2974">
        <v>-0.55000000000000004</v>
      </c>
      <c r="AY2974">
        <v>99</v>
      </c>
      <c r="AZ2974">
        <v>9.11</v>
      </c>
      <c r="BA2974">
        <v>97</v>
      </c>
      <c r="BB2974">
        <v>7.77</v>
      </c>
      <c r="BC2974">
        <v>97</v>
      </c>
      <c r="BD2974">
        <v>0.05</v>
      </c>
      <c r="BE2974">
        <v>0.02</v>
      </c>
      <c r="BF2974">
        <v>0.1</v>
      </c>
      <c r="BG2974">
        <v>99</v>
      </c>
      <c r="BH2974">
        <v>0.02</v>
      </c>
      <c r="BI2974">
        <v>-3.55</v>
      </c>
      <c r="BJ2974">
        <v>73</v>
      </c>
      <c r="BK2974">
        <v>48</v>
      </c>
      <c r="BL2974">
        <v>-2.97</v>
      </c>
      <c r="BM2974">
        <v>1.29</v>
      </c>
      <c r="BN2974">
        <v>-2.88</v>
      </c>
      <c r="BO2974">
        <v>-2.85</v>
      </c>
      <c r="BP2974">
        <v>-0.38</v>
      </c>
      <c r="BQ2974">
        <v>1.79</v>
      </c>
      <c r="BR2974">
        <v>-1.62</v>
      </c>
      <c r="BS2974">
        <v>-1.95</v>
      </c>
      <c r="BT2974">
        <v>0.66</v>
      </c>
      <c r="BU2974">
        <v>-2.4300000000000002</v>
      </c>
      <c r="BV2974">
        <v>-1.47</v>
      </c>
      <c r="BW2974">
        <v>-1.84</v>
      </c>
      <c r="BX2974">
        <v>-1.23</v>
      </c>
      <c r="BY2974">
        <v>1.01</v>
      </c>
      <c r="BZ2974">
        <v>-0.69</v>
      </c>
      <c r="CA2974">
        <v>-2.7</v>
      </c>
      <c r="CB2974">
        <v>-2.13</v>
      </c>
      <c r="CC2974">
        <v>-2.81</v>
      </c>
      <c r="CD2974">
        <v>2.1800000000000002</v>
      </c>
      <c r="CE2974">
        <v>-2.17</v>
      </c>
      <c r="CF2974">
        <v>-1.88</v>
      </c>
      <c r="CG2974">
        <v>0</v>
      </c>
      <c r="CH2974">
        <v>0.96</v>
      </c>
      <c r="CI2974">
        <v>0</v>
      </c>
      <c r="CJ2974">
        <v>-8.9</v>
      </c>
      <c r="CK2974">
        <v>99</v>
      </c>
      <c r="CL2974">
        <v>-0.17</v>
      </c>
      <c r="CM2974">
        <v>99</v>
      </c>
      <c r="CN2974">
        <v>0</v>
      </c>
      <c r="CO2974">
        <v>99</v>
      </c>
      <c r="CP2974">
        <v>-15.4</v>
      </c>
      <c r="CQ2974">
        <v>99</v>
      </c>
      <c r="CR2974">
        <v>0</v>
      </c>
      <c r="CS2974">
        <v>0</v>
      </c>
      <c r="CT2974">
        <v>-14.3</v>
      </c>
      <c r="CU2974">
        <v>99</v>
      </c>
      <c r="CV2974">
        <v>0.01</v>
      </c>
      <c r="CW2974">
        <v>48</v>
      </c>
      <c r="CX2974" t="s">
        <v>1307</v>
      </c>
    </row>
    <row r="2975" spans="1:102" x14ac:dyDescent="0.3">
      <c r="A2975" t="str">
        <f>HYPERLINK("https://webapp.icbf.com/v2/app/bull-search/view/77859778","BLT")</f>
        <v>BLT</v>
      </c>
      <c r="B2975" t="s">
        <v>11092</v>
      </c>
      <c r="C2975" t="s">
        <v>11093</v>
      </c>
      <c r="D2975" s="1">
        <v>32520</v>
      </c>
      <c r="E2975" t="s">
        <v>108</v>
      </c>
      <c r="F2975">
        <v>16</v>
      </c>
      <c r="G2975" t="s">
        <v>116</v>
      </c>
      <c r="H2975">
        <v>-1.53</v>
      </c>
      <c r="I2975">
        <v>40</v>
      </c>
      <c r="J2975">
        <v>-25.95</v>
      </c>
      <c r="K2975">
        <v>48</v>
      </c>
      <c r="L2975">
        <v>13.61</v>
      </c>
      <c r="M2975">
        <v>36</v>
      </c>
      <c r="N2975">
        <v>10.25</v>
      </c>
      <c r="O2975">
        <v>22</v>
      </c>
      <c r="P2975">
        <v>-16.579999999999998</v>
      </c>
      <c r="Q2975">
        <v>69</v>
      </c>
      <c r="R2975">
        <v>-7.65</v>
      </c>
      <c r="S2975">
        <v>40</v>
      </c>
      <c r="T2975">
        <v>26.55</v>
      </c>
      <c r="U2975">
        <v>34</v>
      </c>
      <c r="V2975">
        <v>-1.76</v>
      </c>
      <c r="W2975">
        <v>9</v>
      </c>
      <c r="X2975" t="s">
        <v>94</v>
      </c>
      <c r="Y2975" t="s">
        <v>95</v>
      </c>
      <c r="Z2975" t="s">
        <v>96</v>
      </c>
      <c r="AA2975" t="s">
        <v>11094</v>
      </c>
      <c r="AB2975" t="s">
        <v>11095</v>
      </c>
      <c r="AC2975">
        <v>6</v>
      </c>
      <c r="AD2975">
        <v>7</v>
      </c>
      <c r="AE2975">
        <v>48</v>
      </c>
      <c r="AF2975">
        <v>-73.599999999999994</v>
      </c>
      <c r="AG2975">
        <v>-2.29</v>
      </c>
      <c r="AH2975">
        <v>-4.7300000000000004</v>
      </c>
      <c r="AI2975">
        <v>0.01</v>
      </c>
      <c r="AJ2975">
        <v>-0.04</v>
      </c>
      <c r="AK2975">
        <v>36</v>
      </c>
      <c r="AL2975">
        <v>27</v>
      </c>
      <c r="AM2975">
        <v>22</v>
      </c>
      <c r="AN2975">
        <v>-1.94</v>
      </c>
      <c r="AO2975">
        <v>-0.87</v>
      </c>
      <c r="AP2975">
        <v>6</v>
      </c>
      <c r="AQ2975">
        <v>0</v>
      </c>
      <c r="AR2975">
        <v>5.81</v>
      </c>
      <c r="AS2975">
        <v>10</v>
      </c>
      <c r="AT2975">
        <v>2.6</v>
      </c>
      <c r="AU2975">
        <v>13</v>
      </c>
      <c r="AV2975">
        <v>0.08</v>
      </c>
      <c r="AW2975">
        <v>35</v>
      </c>
      <c r="AX2975">
        <v>-0.56000000000000005</v>
      </c>
      <c r="AY2975">
        <v>32</v>
      </c>
      <c r="AZ2975">
        <v>6.29</v>
      </c>
      <c r="BA2975">
        <v>4</v>
      </c>
      <c r="BB2975">
        <v>4.87</v>
      </c>
      <c r="BC2975">
        <v>7</v>
      </c>
      <c r="BD2975">
        <v>0.03</v>
      </c>
      <c r="BE2975">
        <v>0.04</v>
      </c>
      <c r="BF2975">
        <v>0.05</v>
      </c>
      <c r="BG2975">
        <v>64</v>
      </c>
      <c r="BH2975">
        <v>-0.03</v>
      </c>
      <c r="BI2975">
        <v>2.21</v>
      </c>
      <c r="BJ2975">
        <v>2</v>
      </c>
      <c r="BK2975">
        <v>2</v>
      </c>
      <c r="BL2975">
        <v>-2.06</v>
      </c>
      <c r="BM2975">
        <v>0.66</v>
      </c>
      <c r="BN2975">
        <v>-1.66</v>
      </c>
      <c r="BO2975">
        <v>-1.86</v>
      </c>
      <c r="BP2975">
        <v>0.56999999999999995</v>
      </c>
      <c r="BQ2975">
        <v>-0.61</v>
      </c>
      <c r="BR2975">
        <v>-0.13</v>
      </c>
      <c r="BS2975">
        <v>-0.22</v>
      </c>
      <c r="BT2975">
        <v>-0.54</v>
      </c>
      <c r="BU2975">
        <v>-1.19</v>
      </c>
      <c r="BV2975">
        <v>-1.7</v>
      </c>
      <c r="BW2975">
        <v>-1.88</v>
      </c>
      <c r="BX2975">
        <v>-1.03</v>
      </c>
      <c r="BY2975">
        <v>-1.38</v>
      </c>
      <c r="BZ2975">
        <v>-0.05</v>
      </c>
      <c r="CA2975">
        <v>-1.67</v>
      </c>
      <c r="CB2975">
        <v>-1.61</v>
      </c>
      <c r="CC2975">
        <v>-1.1499999999999999</v>
      </c>
      <c r="CD2975">
        <v>1.63</v>
      </c>
      <c r="CE2975">
        <v>-1.95</v>
      </c>
      <c r="CF2975">
        <v>-1.95</v>
      </c>
      <c r="CG2975">
        <v>0</v>
      </c>
      <c r="CH2975">
        <v>-1.53</v>
      </c>
      <c r="CI2975">
        <v>0</v>
      </c>
      <c r="CJ2975">
        <v>-9.1</v>
      </c>
      <c r="CK2975">
        <v>73</v>
      </c>
      <c r="CL2975">
        <v>-0.62</v>
      </c>
      <c r="CM2975">
        <v>69</v>
      </c>
      <c r="CN2975">
        <v>-0.39</v>
      </c>
      <c r="CO2975">
        <v>66</v>
      </c>
      <c r="CP2975">
        <v>-14.6</v>
      </c>
      <c r="CQ2975">
        <v>46</v>
      </c>
      <c r="CR2975">
        <v>0</v>
      </c>
      <c r="CS2975">
        <v>0</v>
      </c>
      <c r="CT2975">
        <v>-22.1</v>
      </c>
      <c r="CU2975">
        <v>34</v>
      </c>
      <c r="CV2975">
        <v>0.03</v>
      </c>
      <c r="CW2975">
        <v>19</v>
      </c>
      <c r="CX2975" t="s">
        <v>11096</v>
      </c>
    </row>
    <row r="2976" spans="1:102" x14ac:dyDescent="0.3">
      <c r="A2976" t="str">
        <f>HYPERLINK("https://webapp.icbf.com/v2/app/bull-search/view/143575627","LNX")</f>
        <v>LNX</v>
      </c>
      <c r="B2976" t="s">
        <v>11523</v>
      </c>
      <c r="C2976" t="s">
        <v>11524</v>
      </c>
      <c r="D2976" s="1">
        <v>37132</v>
      </c>
      <c r="E2976" t="s">
        <v>92</v>
      </c>
      <c r="F2976">
        <v>100</v>
      </c>
      <c r="G2976" t="s">
        <v>93</v>
      </c>
      <c r="H2976">
        <v>-1.56</v>
      </c>
      <c r="I2976">
        <v>90</v>
      </c>
      <c r="J2976">
        <v>43.7</v>
      </c>
      <c r="K2976">
        <v>98</v>
      </c>
      <c r="L2976">
        <v>-79.760000000000005</v>
      </c>
      <c r="M2976">
        <v>83</v>
      </c>
      <c r="N2976">
        <v>29.73</v>
      </c>
      <c r="O2976">
        <v>87</v>
      </c>
      <c r="P2976">
        <v>-8.8000000000000007</v>
      </c>
      <c r="Q2976">
        <v>94</v>
      </c>
      <c r="R2976">
        <v>4.16</v>
      </c>
      <c r="S2976">
        <v>84</v>
      </c>
      <c r="T2976">
        <v>15.16</v>
      </c>
      <c r="U2976">
        <v>88</v>
      </c>
      <c r="V2976">
        <v>-5.75</v>
      </c>
      <c r="W2976">
        <v>79</v>
      </c>
      <c r="X2976" t="s">
        <v>94</v>
      </c>
      <c r="Y2976" t="s">
        <v>95</v>
      </c>
      <c r="Z2976" t="s">
        <v>96</v>
      </c>
      <c r="AA2976" t="s">
        <v>273</v>
      </c>
      <c r="AB2976" t="s">
        <v>10455</v>
      </c>
      <c r="AC2976">
        <v>130</v>
      </c>
      <c r="AD2976">
        <v>91</v>
      </c>
      <c r="AE2976">
        <v>98</v>
      </c>
      <c r="AF2976">
        <v>260</v>
      </c>
      <c r="AG2976">
        <v>6.14</v>
      </c>
      <c r="AH2976">
        <v>9.24</v>
      </c>
      <c r="AI2976">
        <v>-7.0000000000000007E-2</v>
      </c>
      <c r="AJ2976">
        <v>0.01</v>
      </c>
      <c r="AK2976">
        <v>83</v>
      </c>
      <c r="AL2976">
        <v>124</v>
      </c>
      <c r="AM2976">
        <v>86</v>
      </c>
      <c r="AN2976">
        <v>4.42</v>
      </c>
      <c r="AO2976">
        <v>-1.94</v>
      </c>
      <c r="AP2976">
        <v>199</v>
      </c>
      <c r="AQ2976">
        <v>10</v>
      </c>
      <c r="AR2976">
        <v>5.93</v>
      </c>
      <c r="AS2976">
        <v>76</v>
      </c>
      <c r="AT2976">
        <v>2.71</v>
      </c>
      <c r="AU2976">
        <v>90</v>
      </c>
      <c r="AV2976">
        <v>-2.09</v>
      </c>
      <c r="AW2976">
        <v>94</v>
      </c>
      <c r="AX2976">
        <v>-0.84</v>
      </c>
      <c r="AY2976">
        <v>84</v>
      </c>
      <c r="AZ2976">
        <v>5.86</v>
      </c>
      <c r="BA2976">
        <v>71</v>
      </c>
      <c r="BB2976">
        <v>4.45</v>
      </c>
      <c r="BC2976">
        <v>74</v>
      </c>
      <c r="BD2976">
        <v>0.02</v>
      </c>
      <c r="BE2976">
        <v>-0.01</v>
      </c>
      <c r="BF2976">
        <v>-0.11</v>
      </c>
      <c r="BG2976">
        <v>92</v>
      </c>
      <c r="BH2976">
        <v>-0.06</v>
      </c>
      <c r="BI2976">
        <v>11.61</v>
      </c>
      <c r="BJ2976">
        <v>31</v>
      </c>
      <c r="BK2976">
        <v>19</v>
      </c>
      <c r="BL2976">
        <v>-0.34</v>
      </c>
      <c r="BM2976">
        <v>-0.91</v>
      </c>
      <c r="BN2976">
        <v>-0.4</v>
      </c>
      <c r="BO2976">
        <v>0.19</v>
      </c>
      <c r="BP2976">
        <v>-0.7</v>
      </c>
      <c r="BQ2976">
        <v>-1.61</v>
      </c>
      <c r="BR2976">
        <v>0.71</v>
      </c>
      <c r="BS2976">
        <v>-0.1</v>
      </c>
      <c r="BT2976">
        <v>-2.0099999999999998</v>
      </c>
      <c r="BU2976">
        <v>1.1200000000000001</v>
      </c>
      <c r="BV2976">
        <v>0.73</v>
      </c>
      <c r="BW2976">
        <v>0.73</v>
      </c>
      <c r="BX2976">
        <v>0.73</v>
      </c>
      <c r="BY2976">
        <v>0.59</v>
      </c>
      <c r="BZ2976">
        <v>0.17</v>
      </c>
      <c r="CA2976">
        <v>0.24</v>
      </c>
      <c r="CB2976">
        <v>0.74</v>
      </c>
      <c r="CC2976">
        <v>-0.57999999999999996</v>
      </c>
      <c r="CD2976">
        <v>-0.63</v>
      </c>
      <c r="CE2976">
        <v>-0.12</v>
      </c>
      <c r="CF2976">
        <v>-0.75</v>
      </c>
      <c r="CG2976">
        <v>0</v>
      </c>
      <c r="CH2976">
        <v>0.85</v>
      </c>
      <c r="CI2976">
        <v>0</v>
      </c>
      <c r="CJ2976">
        <v>-0.2</v>
      </c>
      <c r="CK2976">
        <v>95</v>
      </c>
      <c r="CL2976">
        <v>-0.81</v>
      </c>
      <c r="CM2976">
        <v>94</v>
      </c>
      <c r="CN2976">
        <v>-0.04</v>
      </c>
      <c r="CO2976">
        <v>94</v>
      </c>
      <c r="CP2976">
        <v>-4.2</v>
      </c>
      <c r="CQ2976">
        <v>93</v>
      </c>
      <c r="CR2976">
        <v>0</v>
      </c>
      <c r="CS2976">
        <v>0</v>
      </c>
      <c r="CT2976">
        <v>-6.7</v>
      </c>
      <c r="CU2976">
        <v>88</v>
      </c>
      <c r="CV2976">
        <v>0.26</v>
      </c>
      <c r="CW2976">
        <v>45</v>
      </c>
      <c r="CX2976" t="s">
        <v>751</v>
      </c>
    </row>
    <row r="2977" spans="1:102" x14ac:dyDescent="0.3">
      <c r="A2977" t="str">
        <f>HYPERLINK("https://webapp.icbf.com/v2/app/bull-search/view/910546174","EBS")</f>
        <v>EBS</v>
      </c>
      <c r="B2977" t="s">
        <v>1832</v>
      </c>
      <c r="C2977" t="s">
        <v>1833</v>
      </c>
      <c r="D2977" s="1">
        <v>40239</v>
      </c>
      <c r="E2977" t="s">
        <v>92</v>
      </c>
      <c r="F2977">
        <v>100</v>
      </c>
      <c r="G2977" t="s">
        <v>109</v>
      </c>
      <c r="H2977">
        <v>-1.62</v>
      </c>
      <c r="I2977">
        <v>83</v>
      </c>
      <c r="J2977">
        <v>45.81</v>
      </c>
      <c r="K2977">
        <v>93</v>
      </c>
      <c r="L2977">
        <v>-63.11</v>
      </c>
      <c r="M2977">
        <v>84</v>
      </c>
      <c r="N2977">
        <v>29.93</v>
      </c>
      <c r="O2977">
        <v>77</v>
      </c>
      <c r="P2977">
        <v>-33.89</v>
      </c>
      <c r="Q2977">
        <v>76</v>
      </c>
      <c r="R2977">
        <v>-1.26</v>
      </c>
      <c r="S2977">
        <v>75</v>
      </c>
      <c r="T2977">
        <v>15.97</v>
      </c>
      <c r="U2977">
        <v>68</v>
      </c>
      <c r="V2977">
        <v>4.93</v>
      </c>
      <c r="W2977">
        <v>62</v>
      </c>
      <c r="X2977" t="s">
        <v>94</v>
      </c>
      <c r="Y2977" t="s">
        <v>422</v>
      </c>
      <c r="Z2977" t="s">
        <v>96</v>
      </c>
      <c r="AA2977" t="s">
        <v>1572</v>
      </c>
      <c r="AB2977" t="s">
        <v>1834</v>
      </c>
      <c r="AC2977">
        <v>0</v>
      </c>
      <c r="AD2977">
        <v>0</v>
      </c>
      <c r="AE2977">
        <v>93</v>
      </c>
      <c r="AF2977">
        <v>385.44</v>
      </c>
      <c r="AG2977">
        <v>10.8</v>
      </c>
      <c r="AH2977">
        <v>9.8699999999999992</v>
      </c>
      <c r="AI2977">
        <v>-7.0000000000000007E-2</v>
      </c>
      <c r="AJ2977">
        <v>-0.05</v>
      </c>
      <c r="AK2977">
        <v>84</v>
      </c>
      <c r="AL2977">
        <v>0</v>
      </c>
      <c r="AM2977">
        <v>0</v>
      </c>
      <c r="AN2977">
        <v>3.66</v>
      </c>
      <c r="AO2977">
        <v>-1.37</v>
      </c>
      <c r="AP2977">
        <v>49</v>
      </c>
      <c r="AQ2977">
        <v>0</v>
      </c>
      <c r="AR2977">
        <v>6.32</v>
      </c>
      <c r="AS2977">
        <v>75</v>
      </c>
      <c r="AT2977">
        <v>1.77</v>
      </c>
      <c r="AU2977">
        <v>87</v>
      </c>
      <c r="AV2977">
        <v>-2.41</v>
      </c>
      <c r="AW2977">
        <v>86</v>
      </c>
      <c r="AX2977">
        <v>-0.55000000000000004</v>
      </c>
      <c r="AY2977">
        <v>61</v>
      </c>
      <c r="AZ2977">
        <v>6.52</v>
      </c>
      <c r="BA2977">
        <v>52</v>
      </c>
      <c r="BB2977">
        <v>5.73</v>
      </c>
      <c r="BC2977">
        <v>48</v>
      </c>
      <c r="BD2977">
        <v>0</v>
      </c>
      <c r="BE2977">
        <v>0.01</v>
      </c>
      <c r="BF2977">
        <v>0.01</v>
      </c>
      <c r="BG2977">
        <v>90</v>
      </c>
      <c r="BH2977">
        <v>0.11</v>
      </c>
      <c r="BI2977">
        <v>-3.18</v>
      </c>
      <c r="BJ2977">
        <v>1</v>
      </c>
      <c r="BK2977">
        <v>1</v>
      </c>
      <c r="BL2977">
        <v>1.1100000000000001</v>
      </c>
      <c r="BM2977">
        <v>-0.61</v>
      </c>
      <c r="BN2977">
        <v>0.13</v>
      </c>
      <c r="BO2977">
        <v>0.93</v>
      </c>
      <c r="BP2977">
        <v>-2.5299999999999998</v>
      </c>
      <c r="BQ2977">
        <v>0.31</v>
      </c>
      <c r="BR2977">
        <v>-1.1399999999999999</v>
      </c>
      <c r="BS2977">
        <v>0.96</v>
      </c>
      <c r="BT2977">
        <v>1.1200000000000001</v>
      </c>
      <c r="BU2977">
        <v>1.71</v>
      </c>
      <c r="BV2977">
        <v>1.87</v>
      </c>
      <c r="BW2977">
        <v>1.17</v>
      </c>
      <c r="BX2977">
        <v>1.17</v>
      </c>
      <c r="BY2977">
        <v>0.5</v>
      </c>
      <c r="BZ2977">
        <v>-1.4</v>
      </c>
      <c r="CA2977">
        <v>1.23</v>
      </c>
      <c r="CB2977">
        <v>1.33</v>
      </c>
      <c r="CC2977">
        <v>0.47</v>
      </c>
      <c r="CD2977">
        <v>-0.52</v>
      </c>
      <c r="CE2977">
        <v>0.76</v>
      </c>
      <c r="CF2977">
        <v>1.22</v>
      </c>
      <c r="CG2977">
        <v>0</v>
      </c>
      <c r="CH2977">
        <v>0.83</v>
      </c>
      <c r="CI2977">
        <v>0</v>
      </c>
      <c r="CJ2977">
        <v>-15.6</v>
      </c>
      <c r="CK2977">
        <v>79</v>
      </c>
      <c r="CL2977">
        <v>-1.71</v>
      </c>
      <c r="CM2977">
        <v>75</v>
      </c>
      <c r="CN2977">
        <v>-0.66</v>
      </c>
      <c r="CO2977">
        <v>73</v>
      </c>
      <c r="CP2977">
        <v>-16.3</v>
      </c>
      <c r="CQ2977">
        <v>66</v>
      </c>
      <c r="CR2977">
        <v>0</v>
      </c>
      <c r="CS2977">
        <v>0</v>
      </c>
      <c r="CT2977">
        <v>-7.8</v>
      </c>
      <c r="CU2977">
        <v>68</v>
      </c>
      <c r="CV2977">
        <v>0.21</v>
      </c>
      <c r="CW2977">
        <v>42</v>
      </c>
      <c r="CX2977" t="s">
        <v>309</v>
      </c>
    </row>
    <row r="2978" spans="1:102" x14ac:dyDescent="0.3">
      <c r="A2978" t="str">
        <f>HYPERLINK("https://webapp.icbf.com/v2/app/bull-search/view/852175486","S1022")</f>
        <v>S1022</v>
      </c>
      <c r="B2978" t="s">
        <v>7551</v>
      </c>
      <c r="C2978" t="s">
        <v>7552</v>
      </c>
      <c r="D2978" s="1">
        <v>39757</v>
      </c>
      <c r="E2978" t="s">
        <v>140</v>
      </c>
      <c r="F2978">
        <v>0</v>
      </c>
      <c r="G2978" t="s">
        <v>109</v>
      </c>
      <c r="H2978">
        <v>-1.63</v>
      </c>
      <c r="I2978">
        <v>45</v>
      </c>
      <c r="J2978">
        <v>6.6</v>
      </c>
      <c r="K2978">
        <v>72</v>
      </c>
      <c r="L2978">
        <v>5.33</v>
      </c>
      <c r="M2978">
        <v>26</v>
      </c>
      <c r="N2978">
        <v>-26.62</v>
      </c>
      <c r="O2978">
        <v>43</v>
      </c>
      <c r="P2978">
        <v>10.3</v>
      </c>
      <c r="Q2978">
        <v>51</v>
      </c>
      <c r="R2978">
        <v>1.99</v>
      </c>
      <c r="S2978">
        <v>28</v>
      </c>
      <c r="T2978">
        <v>10.27</v>
      </c>
      <c r="U2978">
        <v>27</v>
      </c>
      <c r="V2978">
        <v>-9.5</v>
      </c>
      <c r="W2978">
        <v>24</v>
      </c>
      <c r="X2978" t="s">
        <v>102</v>
      </c>
      <c r="Y2978" t="s">
        <v>303</v>
      </c>
      <c r="Z2978">
        <v>0</v>
      </c>
      <c r="AA2978" t="s">
        <v>7553</v>
      </c>
      <c r="AB2978" t="s">
        <v>7554</v>
      </c>
      <c r="AC2978">
        <v>0</v>
      </c>
      <c r="AD2978">
        <v>0</v>
      </c>
      <c r="AE2978">
        <v>72</v>
      </c>
      <c r="AF2978">
        <v>103.34</v>
      </c>
      <c r="AG2978">
        <v>-1.63</v>
      </c>
      <c r="AH2978">
        <v>3.28</v>
      </c>
      <c r="AI2978">
        <v>-0.09</v>
      </c>
      <c r="AJ2978">
        <v>0</v>
      </c>
      <c r="AK2978">
        <v>26</v>
      </c>
      <c r="AL2978">
        <v>8</v>
      </c>
      <c r="AM2978">
        <v>6</v>
      </c>
      <c r="AN2978">
        <v>0.85</v>
      </c>
      <c r="AO2978">
        <v>1.29</v>
      </c>
      <c r="AP2978">
        <v>14</v>
      </c>
      <c r="AQ2978">
        <v>0</v>
      </c>
      <c r="AR2978">
        <v>8.4700000000000006</v>
      </c>
      <c r="AS2978">
        <v>20</v>
      </c>
      <c r="AT2978">
        <v>4.58</v>
      </c>
      <c r="AU2978">
        <v>36</v>
      </c>
      <c r="AV2978">
        <v>1.65</v>
      </c>
      <c r="AW2978">
        <v>62</v>
      </c>
      <c r="AX2978">
        <v>0.06</v>
      </c>
      <c r="AY2978">
        <v>34</v>
      </c>
      <c r="AZ2978">
        <v>5.57</v>
      </c>
      <c r="BA2978">
        <v>18</v>
      </c>
      <c r="BB2978">
        <v>4.5199999999999996</v>
      </c>
      <c r="BC2978">
        <v>22</v>
      </c>
      <c r="BD2978">
        <v>0.02</v>
      </c>
      <c r="BE2978">
        <v>-0.01</v>
      </c>
      <c r="BF2978">
        <v>-0.06</v>
      </c>
      <c r="BG2978">
        <v>34</v>
      </c>
      <c r="BH2978">
        <v>-0.25</v>
      </c>
      <c r="BI2978">
        <v>1.72</v>
      </c>
      <c r="BJ2978">
        <v>0</v>
      </c>
      <c r="BK2978">
        <v>0</v>
      </c>
      <c r="BL2978">
        <v>-0.84</v>
      </c>
      <c r="BM2978">
        <v>3.92</v>
      </c>
      <c r="BN2978">
        <v>-1.61</v>
      </c>
      <c r="BO2978">
        <v>-3.26</v>
      </c>
      <c r="BP2978">
        <v>4.1399999999999997</v>
      </c>
      <c r="BQ2978">
        <v>-1.83</v>
      </c>
      <c r="BR2978">
        <v>-2.62</v>
      </c>
      <c r="BS2978">
        <v>-0.28999999999999998</v>
      </c>
      <c r="BT2978">
        <v>2.61</v>
      </c>
      <c r="BU2978">
        <v>-3.56</v>
      </c>
      <c r="BV2978">
        <v>-3.96</v>
      </c>
      <c r="BW2978">
        <v>-3.03</v>
      </c>
      <c r="BX2978">
        <v>-2.89</v>
      </c>
      <c r="BY2978">
        <v>-1.96</v>
      </c>
      <c r="BZ2978">
        <v>1.18</v>
      </c>
      <c r="CA2978">
        <v>-2.58</v>
      </c>
      <c r="CB2978">
        <v>-3.3</v>
      </c>
      <c r="CC2978">
        <v>-0.39</v>
      </c>
      <c r="CD2978">
        <v>4.1500000000000004</v>
      </c>
      <c r="CE2978">
        <v>-3.09</v>
      </c>
      <c r="CF2978">
        <v>-1.0900000000000001</v>
      </c>
      <c r="CG2978">
        <v>0</v>
      </c>
      <c r="CH2978">
        <v>-2.89</v>
      </c>
      <c r="CI2978">
        <v>0</v>
      </c>
      <c r="CJ2978">
        <v>1.9</v>
      </c>
      <c r="CK2978">
        <v>55</v>
      </c>
      <c r="CL2978">
        <v>0.28999999999999998</v>
      </c>
      <c r="CM2978">
        <v>49</v>
      </c>
      <c r="CN2978">
        <v>-0.41</v>
      </c>
      <c r="CO2978">
        <v>46</v>
      </c>
      <c r="CP2978">
        <v>-0.8</v>
      </c>
      <c r="CQ2978">
        <v>36</v>
      </c>
      <c r="CR2978">
        <v>0</v>
      </c>
      <c r="CS2978">
        <v>0</v>
      </c>
      <c r="CT2978">
        <v>-0.1</v>
      </c>
      <c r="CU2978">
        <v>27</v>
      </c>
      <c r="CV2978">
        <v>-0.22</v>
      </c>
      <c r="CW2978">
        <v>14</v>
      </c>
      <c r="CX2978" t="s">
        <v>1995</v>
      </c>
    </row>
    <row r="2979" spans="1:102" x14ac:dyDescent="0.3">
      <c r="A2979" t="str">
        <f>HYPERLINK("https://webapp.icbf.com/v2/app/bull-search/view/852188889","S1019")</f>
        <v>S1019</v>
      </c>
      <c r="B2979" t="s">
        <v>12750</v>
      </c>
      <c r="C2979" t="s">
        <v>12751</v>
      </c>
      <c r="D2979" s="1">
        <v>39759</v>
      </c>
      <c r="E2979" t="s">
        <v>140</v>
      </c>
      <c r="F2979">
        <v>0</v>
      </c>
      <c r="G2979" t="s">
        <v>109</v>
      </c>
      <c r="H2979">
        <v>-1.66</v>
      </c>
      <c r="I2979">
        <v>59</v>
      </c>
      <c r="J2979">
        <v>12.82</v>
      </c>
      <c r="K2979">
        <v>72</v>
      </c>
      <c r="L2979">
        <v>3.47</v>
      </c>
      <c r="M2979">
        <v>42</v>
      </c>
      <c r="N2979">
        <v>-45.64</v>
      </c>
      <c r="O2979">
        <v>77</v>
      </c>
      <c r="P2979">
        <v>18.420000000000002</v>
      </c>
      <c r="Q2979">
        <v>86</v>
      </c>
      <c r="R2979">
        <v>-3.64</v>
      </c>
      <c r="S2979">
        <v>39</v>
      </c>
      <c r="T2979">
        <v>19.149999999999999</v>
      </c>
      <c r="U2979">
        <v>52</v>
      </c>
      <c r="V2979">
        <v>-6.24</v>
      </c>
      <c r="W2979">
        <v>23</v>
      </c>
      <c r="X2979" t="s">
        <v>102</v>
      </c>
      <c r="Y2979" t="s">
        <v>303</v>
      </c>
      <c r="Z2979">
        <v>0</v>
      </c>
      <c r="AA2979" t="s">
        <v>12752</v>
      </c>
      <c r="AB2979" t="s">
        <v>12753</v>
      </c>
      <c r="AC2979">
        <v>0</v>
      </c>
      <c r="AD2979">
        <v>0</v>
      </c>
      <c r="AE2979">
        <v>72</v>
      </c>
      <c r="AF2979">
        <v>9.01</v>
      </c>
      <c r="AG2979">
        <v>-0.54</v>
      </c>
      <c r="AH2979">
        <v>2.5099999999999998</v>
      </c>
      <c r="AI2979">
        <v>-0.01</v>
      </c>
      <c r="AJ2979">
        <v>0.04</v>
      </c>
      <c r="AK2979">
        <v>42</v>
      </c>
      <c r="AL2979">
        <v>7</v>
      </c>
      <c r="AM2979">
        <v>6</v>
      </c>
      <c r="AN2979">
        <v>-0.69</v>
      </c>
      <c r="AO2979">
        <v>-0.42</v>
      </c>
      <c r="AP2979">
        <v>359</v>
      </c>
      <c r="AQ2979">
        <v>1</v>
      </c>
      <c r="AR2979">
        <v>11.57</v>
      </c>
      <c r="AS2979">
        <v>53</v>
      </c>
      <c r="AT2979">
        <v>5.77</v>
      </c>
      <c r="AU2979">
        <v>88</v>
      </c>
      <c r="AV2979">
        <v>1.07</v>
      </c>
      <c r="AW2979">
        <v>96</v>
      </c>
      <c r="AX2979">
        <v>-0.02</v>
      </c>
      <c r="AY2979">
        <v>81</v>
      </c>
      <c r="AZ2979">
        <v>5.28</v>
      </c>
      <c r="BA2979">
        <v>42</v>
      </c>
      <c r="BB2979">
        <v>4.04</v>
      </c>
      <c r="BC2979">
        <v>15</v>
      </c>
      <c r="BD2979">
        <v>0.04</v>
      </c>
      <c r="BE2979">
        <v>0.03</v>
      </c>
      <c r="BF2979">
        <v>-0.04</v>
      </c>
      <c r="BG2979">
        <v>49</v>
      </c>
      <c r="BH2979">
        <v>-0.21</v>
      </c>
      <c r="BI2979">
        <v>-4.1500000000000004</v>
      </c>
      <c r="BJ2979">
        <v>0</v>
      </c>
      <c r="BK2979">
        <v>0</v>
      </c>
      <c r="BL2979">
        <v>-0.52</v>
      </c>
      <c r="BM2979">
        <v>2.92</v>
      </c>
      <c r="BN2979">
        <v>-1.27</v>
      </c>
      <c r="BO2979">
        <v>-2.4300000000000002</v>
      </c>
      <c r="BP2979">
        <v>3.26</v>
      </c>
      <c r="BQ2979">
        <v>-1.1299999999999999</v>
      </c>
      <c r="BR2979">
        <v>-1.9</v>
      </c>
      <c r="BS2979">
        <v>-0.27</v>
      </c>
      <c r="BT2979">
        <v>1.88</v>
      </c>
      <c r="BU2979">
        <v>-2.64</v>
      </c>
      <c r="BV2979">
        <v>-2.96</v>
      </c>
      <c r="BW2979">
        <v>-2.21</v>
      </c>
      <c r="BX2979">
        <v>-2.08</v>
      </c>
      <c r="BY2979">
        <v>-1.42</v>
      </c>
      <c r="BZ2979">
        <v>1.04</v>
      </c>
      <c r="CA2979">
        <v>-1.99</v>
      </c>
      <c r="CB2979">
        <v>-2.4900000000000002</v>
      </c>
      <c r="CC2979">
        <v>-0.45</v>
      </c>
      <c r="CD2979">
        <v>3.05</v>
      </c>
      <c r="CE2979">
        <v>-2.33</v>
      </c>
      <c r="CF2979">
        <v>-0.83</v>
      </c>
      <c r="CG2979">
        <v>0</v>
      </c>
      <c r="CH2979">
        <v>-1.94</v>
      </c>
      <c r="CI2979">
        <v>0</v>
      </c>
      <c r="CJ2979">
        <v>8</v>
      </c>
      <c r="CK2979">
        <v>90</v>
      </c>
      <c r="CL2979">
        <v>0.22</v>
      </c>
      <c r="CM2979">
        <v>87</v>
      </c>
      <c r="CN2979">
        <v>-0.48</v>
      </c>
      <c r="CO2979">
        <v>86</v>
      </c>
      <c r="CP2979">
        <v>-3.4</v>
      </c>
      <c r="CQ2979">
        <v>57</v>
      </c>
      <c r="CR2979">
        <v>0</v>
      </c>
      <c r="CS2979">
        <v>0</v>
      </c>
      <c r="CT2979">
        <v>-12.1</v>
      </c>
      <c r="CU2979">
        <v>52</v>
      </c>
      <c r="CV2979">
        <v>-0.05</v>
      </c>
      <c r="CW2979">
        <v>26</v>
      </c>
      <c r="CX2979" t="s">
        <v>12754</v>
      </c>
    </row>
    <row r="2980" spans="1:102" x14ac:dyDescent="0.3">
      <c r="A2980" t="str">
        <f>HYPERLINK("https://webapp.icbf.com/v2/app/bull-search/view/77853808","SGS")</f>
        <v>SGS</v>
      </c>
      <c r="B2980" t="s">
        <v>10811</v>
      </c>
      <c r="C2980" t="s">
        <v>10812</v>
      </c>
      <c r="D2980" s="1">
        <v>32989</v>
      </c>
      <c r="E2980" t="s">
        <v>92</v>
      </c>
      <c r="F2980">
        <v>100</v>
      </c>
      <c r="G2980" t="s">
        <v>109</v>
      </c>
      <c r="H2980">
        <v>-1.71</v>
      </c>
      <c r="I2980">
        <v>83</v>
      </c>
      <c r="J2980">
        <v>-43.5</v>
      </c>
      <c r="K2980">
        <v>95</v>
      </c>
      <c r="L2980">
        <v>24.28</v>
      </c>
      <c r="M2980">
        <v>87</v>
      </c>
      <c r="N2980">
        <v>10.15</v>
      </c>
      <c r="O2980">
        <v>62</v>
      </c>
      <c r="P2980">
        <v>-2.38</v>
      </c>
      <c r="Q2980">
        <v>70</v>
      </c>
      <c r="R2980">
        <v>-0.99</v>
      </c>
      <c r="S2980">
        <v>78</v>
      </c>
      <c r="T2980">
        <v>16.190000000000001</v>
      </c>
      <c r="U2980">
        <v>68</v>
      </c>
      <c r="V2980">
        <v>-5.46</v>
      </c>
      <c r="W2980">
        <v>63</v>
      </c>
      <c r="X2980" t="s">
        <v>110</v>
      </c>
      <c r="Y2980" t="s">
        <v>95</v>
      </c>
      <c r="Z2980" t="s">
        <v>96</v>
      </c>
      <c r="AA2980" t="s">
        <v>111</v>
      </c>
      <c r="AB2980" t="s">
        <v>10813</v>
      </c>
      <c r="AC2980">
        <v>34</v>
      </c>
      <c r="AD2980">
        <v>18</v>
      </c>
      <c r="AE2980">
        <v>95</v>
      </c>
      <c r="AF2980">
        <v>-63.05</v>
      </c>
      <c r="AG2980">
        <v>-5.01</v>
      </c>
      <c r="AH2980">
        <v>-6.59</v>
      </c>
      <c r="AI2980">
        <v>-0.05</v>
      </c>
      <c r="AJ2980">
        <v>-0.08</v>
      </c>
      <c r="AK2980">
        <v>87</v>
      </c>
      <c r="AL2980">
        <v>37</v>
      </c>
      <c r="AM2980">
        <v>20</v>
      </c>
      <c r="AN2980">
        <v>-0.26</v>
      </c>
      <c r="AO2980">
        <v>1.69</v>
      </c>
      <c r="AP2980">
        <v>4</v>
      </c>
      <c r="AQ2980">
        <v>0</v>
      </c>
      <c r="AR2980">
        <v>8.69</v>
      </c>
      <c r="AS2980">
        <v>57</v>
      </c>
      <c r="AT2980">
        <v>3.9</v>
      </c>
      <c r="AU2980">
        <v>86</v>
      </c>
      <c r="AV2980">
        <v>-1.35</v>
      </c>
      <c r="AW2980">
        <v>53</v>
      </c>
      <c r="AX2980">
        <v>-0.78</v>
      </c>
      <c r="AY2980">
        <v>62</v>
      </c>
      <c r="AZ2980">
        <v>4.82</v>
      </c>
      <c r="BA2980">
        <v>48</v>
      </c>
      <c r="BB2980">
        <v>3.72</v>
      </c>
      <c r="BC2980">
        <v>55</v>
      </c>
      <c r="BD2980">
        <v>0.01</v>
      </c>
      <c r="BE2980">
        <v>0.04</v>
      </c>
      <c r="BF2980">
        <v>-7.0000000000000007E-2</v>
      </c>
      <c r="BG2980">
        <v>92</v>
      </c>
      <c r="BH2980">
        <v>-0.11</v>
      </c>
      <c r="BI2980">
        <v>4.8899999999999997</v>
      </c>
      <c r="BJ2980">
        <v>7</v>
      </c>
      <c r="BK2980">
        <v>6</v>
      </c>
      <c r="BL2980">
        <v>0.68</v>
      </c>
      <c r="BM2980">
        <v>-2.5099999999999998</v>
      </c>
      <c r="BN2980">
        <v>-1.69</v>
      </c>
      <c r="BO2980">
        <v>0.64</v>
      </c>
      <c r="BP2980">
        <v>2</v>
      </c>
      <c r="BQ2980">
        <v>-2.16</v>
      </c>
      <c r="BR2980">
        <v>0.28000000000000003</v>
      </c>
      <c r="BS2980">
        <v>0.23</v>
      </c>
      <c r="BT2980">
        <v>0.12</v>
      </c>
      <c r="BU2980">
        <v>0.16</v>
      </c>
      <c r="BV2980">
        <v>0.4</v>
      </c>
      <c r="BW2980">
        <v>0.51</v>
      </c>
      <c r="BX2980">
        <v>1.94</v>
      </c>
      <c r="BY2980">
        <v>0.33</v>
      </c>
      <c r="BZ2980">
        <v>-1.44</v>
      </c>
      <c r="CA2980">
        <v>0.74</v>
      </c>
      <c r="CB2980">
        <v>0.75</v>
      </c>
      <c r="CC2980">
        <v>1.02</v>
      </c>
      <c r="CD2980">
        <v>-1.2</v>
      </c>
      <c r="CE2980">
        <v>0.75</v>
      </c>
      <c r="CF2980">
        <v>-0.06</v>
      </c>
      <c r="CG2980">
        <v>0</v>
      </c>
      <c r="CH2980">
        <v>0.36</v>
      </c>
      <c r="CI2980">
        <v>0</v>
      </c>
      <c r="CJ2980">
        <v>0.2</v>
      </c>
      <c r="CK2980">
        <v>71</v>
      </c>
      <c r="CL2980">
        <v>-0.54</v>
      </c>
      <c r="CM2980">
        <v>69</v>
      </c>
      <c r="CN2980">
        <v>-0.28999999999999998</v>
      </c>
      <c r="CO2980">
        <v>65</v>
      </c>
      <c r="CP2980">
        <v>-3.2</v>
      </c>
      <c r="CQ2980">
        <v>76</v>
      </c>
      <c r="CR2980">
        <v>0</v>
      </c>
      <c r="CS2980">
        <v>0</v>
      </c>
      <c r="CT2980">
        <v>-8.1</v>
      </c>
      <c r="CU2980">
        <v>68</v>
      </c>
      <c r="CV2980">
        <v>0.12</v>
      </c>
      <c r="CW2980">
        <v>40</v>
      </c>
      <c r="CX2980" t="s">
        <v>10663</v>
      </c>
    </row>
    <row r="2981" spans="1:102" x14ac:dyDescent="0.3">
      <c r="A2981" t="str">
        <f>HYPERLINK("https://webapp.icbf.com/v2/app/bull-search/view/514783343","RZM")</f>
        <v>RZM</v>
      </c>
      <c r="B2981" t="s">
        <v>7514</v>
      </c>
      <c r="C2981" t="s">
        <v>7515</v>
      </c>
      <c r="D2981" s="1">
        <v>37050</v>
      </c>
      <c r="E2981" t="s">
        <v>227</v>
      </c>
      <c r="F2981">
        <v>0</v>
      </c>
      <c r="G2981" t="s">
        <v>109</v>
      </c>
      <c r="H2981">
        <v>-1.73</v>
      </c>
      <c r="I2981">
        <v>83</v>
      </c>
      <c r="J2981">
        <v>-29.8</v>
      </c>
      <c r="K2981">
        <v>92</v>
      </c>
      <c r="L2981">
        <v>-6.97</v>
      </c>
      <c r="M2981">
        <v>87</v>
      </c>
      <c r="N2981">
        <v>15.33</v>
      </c>
      <c r="O2981">
        <v>72</v>
      </c>
      <c r="P2981">
        <v>-56.17</v>
      </c>
      <c r="Q2981">
        <v>77</v>
      </c>
      <c r="R2981">
        <v>11.09</v>
      </c>
      <c r="S2981">
        <v>68</v>
      </c>
      <c r="T2981">
        <v>64.069999999999993</v>
      </c>
      <c r="U2981">
        <v>65</v>
      </c>
      <c r="V2981">
        <v>0.72</v>
      </c>
      <c r="W2981">
        <v>62</v>
      </c>
      <c r="X2981" t="s">
        <v>94</v>
      </c>
      <c r="Y2981" t="s">
        <v>221</v>
      </c>
      <c r="Z2981">
        <v>0</v>
      </c>
      <c r="AA2981" t="s">
        <v>3058</v>
      </c>
      <c r="AB2981" t="s">
        <v>7516</v>
      </c>
      <c r="AC2981">
        <v>0</v>
      </c>
      <c r="AD2981">
        <v>0</v>
      </c>
      <c r="AE2981">
        <v>92</v>
      </c>
      <c r="AF2981">
        <v>-673.18</v>
      </c>
      <c r="AG2981">
        <v>1.41</v>
      </c>
      <c r="AH2981">
        <v>-15.87</v>
      </c>
      <c r="AI2981">
        <v>0.55000000000000004</v>
      </c>
      <c r="AJ2981">
        <v>0.14000000000000001</v>
      </c>
      <c r="AK2981">
        <v>87</v>
      </c>
      <c r="AL2981">
        <v>0</v>
      </c>
      <c r="AM2981">
        <v>0</v>
      </c>
      <c r="AN2981">
        <v>1.62</v>
      </c>
      <c r="AO2981">
        <v>1.08</v>
      </c>
      <c r="AP2981">
        <v>39</v>
      </c>
      <c r="AQ2981">
        <v>0</v>
      </c>
      <c r="AR2981">
        <v>5.09</v>
      </c>
      <c r="AS2981">
        <v>62</v>
      </c>
      <c r="AT2981">
        <v>2.2599999999999998</v>
      </c>
      <c r="AU2981">
        <v>68</v>
      </c>
      <c r="AV2981">
        <v>-1.21</v>
      </c>
      <c r="AW2981">
        <v>87</v>
      </c>
      <c r="AX2981">
        <v>1.42</v>
      </c>
      <c r="AY2981">
        <v>66</v>
      </c>
      <c r="AZ2981">
        <v>7.36</v>
      </c>
      <c r="BA2981">
        <v>46</v>
      </c>
      <c r="BB2981">
        <v>5.34</v>
      </c>
      <c r="BC2981">
        <v>47</v>
      </c>
      <c r="BD2981">
        <v>-0.12</v>
      </c>
      <c r="BE2981">
        <v>-0.05</v>
      </c>
      <c r="BF2981">
        <v>0.04</v>
      </c>
      <c r="BG2981">
        <v>78</v>
      </c>
      <c r="BH2981">
        <v>0.03</v>
      </c>
      <c r="BI2981">
        <v>1.1399999999999999</v>
      </c>
      <c r="BJ2981">
        <v>14</v>
      </c>
      <c r="BK2981">
        <v>9</v>
      </c>
      <c r="BL2981">
        <v>0.83</v>
      </c>
      <c r="BM2981">
        <v>0.8</v>
      </c>
      <c r="BN2981">
        <v>1.77</v>
      </c>
      <c r="BO2981">
        <v>1.54</v>
      </c>
      <c r="BP2981">
        <v>-2.92</v>
      </c>
      <c r="BQ2981">
        <v>0.13</v>
      </c>
      <c r="BR2981">
        <v>0.56999999999999995</v>
      </c>
      <c r="BS2981">
        <v>4.41</v>
      </c>
      <c r="BT2981">
        <v>0.27</v>
      </c>
      <c r="BU2981">
        <v>1.47</v>
      </c>
      <c r="BV2981">
        <v>1.74</v>
      </c>
      <c r="BW2981">
        <v>0.2</v>
      </c>
      <c r="BX2981">
        <v>0.01</v>
      </c>
      <c r="BY2981">
        <v>2.35</v>
      </c>
      <c r="BZ2981">
        <v>-0.3</v>
      </c>
      <c r="CA2981">
        <v>2.8</v>
      </c>
      <c r="CB2981">
        <v>1.9</v>
      </c>
      <c r="CC2981">
        <v>3.48</v>
      </c>
      <c r="CD2981">
        <v>-0.47</v>
      </c>
      <c r="CE2981">
        <v>1.59</v>
      </c>
      <c r="CF2981">
        <v>2.08</v>
      </c>
      <c r="CG2981">
        <v>0</v>
      </c>
      <c r="CH2981">
        <v>1.1200000000000001</v>
      </c>
      <c r="CI2981">
        <v>0</v>
      </c>
      <c r="CJ2981">
        <v>-31.6</v>
      </c>
      <c r="CK2981">
        <v>79</v>
      </c>
      <c r="CL2981">
        <v>-1.35</v>
      </c>
      <c r="CM2981">
        <v>75</v>
      </c>
      <c r="CN2981">
        <v>-0.71</v>
      </c>
      <c r="CO2981">
        <v>73</v>
      </c>
      <c r="CP2981">
        <v>-46.3</v>
      </c>
      <c r="CQ2981">
        <v>71</v>
      </c>
      <c r="CR2981">
        <v>0</v>
      </c>
      <c r="CS2981">
        <v>0</v>
      </c>
      <c r="CT2981">
        <v>-72.8</v>
      </c>
      <c r="CU2981">
        <v>65</v>
      </c>
      <c r="CV2981">
        <v>-0.2</v>
      </c>
      <c r="CW2981">
        <v>41</v>
      </c>
      <c r="CX2981" t="s">
        <v>7517</v>
      </c>
    </row>
    <row r="2982" spans="1:102" x14ac:dyDescent="0.3">
      <c r="A2982" t="str">
        <f>HYPERLINK("https://webapp.icbf.com/v2/app/bull-search/view/77855338","MPM")</f>
        <v>MPM</v>
      </c>
      <c r="B2982" t="s">
        <v>8512</v>
      </c>
      <c r="C2982" t="s">
        <v>8513</v>
      </c>
      <c r="D2982" s="1">
        <v>32023</v>
      </c>
      <c r="E2982" t="s">
        <v>92</v>
      </c>
      <c r="F2982">
        <v>75</v>
      </c>
      <c r="G2982" t="s">
        <v>116</v>
      </c>
      <c r="H2982">
        <v>-1.73</v>
      </c>
      <c r="I2982">
        <v>39</v>
      </c>
      <c r="J2982">
        <v>-26.58</v>
      </c>
      <c r="K2982">
        <v>43</v>
      </c>
      <c r="L2982">
        <v>23.57</v>
      </c>
      <c r="M2982">
        <v>45</v>
      </c>
      <c r="N2982">
        <v>18.43</v>
      </c>
      <c r="O2982">
        <v>23</v>
      </c>
      <c r="P2982">
        <v>-6.95</v>
      </c>
      <c r="Q2982">
        <v>37</v>
      </c>
      <c r="R2982">
        <v>-17.829999999999998</v>
      </c>
      <c r="S2982">
        <v>44</v>
      </c>
      <c r="T2982">
        <v>14.86</v>
      </c>
      <c r="U2982">
        <v>31</v>
      </c>
      <c r="V2982">
        <v>-7.23</v>
      </c>
      <c r="W2982">
        <v>13</v>
      </c>
      <c r="X2982" t="s">
        <v>102</v>
      </c>
      <c r="Y2982" t="s">
        <v>95</v>
      </c>
      <c r="Z2982" t="s">
        <v>96</v>
      </c>
      <c r="AA2982" t="s">
        <v>7352</v>
      </c>
      <c r="AB2982" t="s">
        <v>8514</v>
      </c>
      <c r="AC2982">
        <v>4</v>
      </c>
      <c r="AD2982">
        <v>4</v>
      </c>
      <c r="AE2982">
        <v>43</v>
      </c>
      <c r="AF2982">
        <v>-46.26</v>
      </c>
      <c r="AG2982">
        <v>1.02</v>
      </c>
      <c r="AH2982">
        <v>-5.59</v>
      </c>
      <c r="AI2982">
        <v>0.05</v>
      </c>
      <c r="AJ2982">
        <v>-7.0000000000000007E-2</v>
      </c>
      <c r="AK2982">
        <v>45</v>
      </c>
      <c r="AL2982">
        <v>29</v>
      </c>
      <c r="AM2982">
        <v>17</v>
      </c>
      <c r="AN2982">
        <v>-1.26</v>
      </c>
      <c r="AO2982">
        <v>0.62</v>
      </c>
      <c r="AP2982">
        <v>0</v>
      </c>
      <c r="AQ2982">
        <v>1</v>
      </c>
      <c r="AR2982">
        <v>4.51</v>
      </c>
      <c r="AS2982">
        <v>13</v>
      </c>
      <c r="AT2982">
        <v>2.0099999999999998</v>
      </c>
      <c r="AU2982">
        <v>21</v>
      </c>
      <c r="AV2982">
        <v>0.02</v>
      </c>
      <c r="AW2982">
        <v>25</v>
      </c>
      <c r="AX2982">
        <v>-0.41</v>
      </c>
      <c r="AY2982">
        <v>41</v>
      </c>
      <c r="AZ2982">
        <v>5.7</v>
      </c>
      <c r="BA2982">
        <v>13</v>
      </c>
      <c r="BB2982">
        <v>4.74</v>
      </c>
      <c r="BC2982">
        <v>20</v>
      </c>
      <c r="BD2982">
        <v>0.06</v>
      </c>
      <c r="BE2982">
        <v>0.1</v>
      </c>
      <c r="BF2982">
        <v>0.12</v>
      </c>
      <c r="BG2982">
        <v>63</v>
      </c>
      <c r="BH2982">
        <v>-0.11</v>
      </c>
      <c r="BI2982">
        <v>10.61</v>
      </c>
      <c r="BJ2982">
        <v>1</v>
      </c>
      <c r="BK2982">
        <v>1</v>
      </c>
      <c r="BL2982">
        <v>-0.41</v>
      </c>
      <c r="BM2982">
        <v>0.22</v>
      </c>
      <c r="BN2982">
        <v>-0.83</v>
      </c>
      <c r="BO2982">
        <v>-0.7</v>
      </c>
      <c r="BP2982">
        <v>-0.26</v>
      </c>
      <c r="BQ2982">
        <v>0.39</v>
      </c>
      <c r="BR2982">
        <v>1.71</v>
      </c>
      <c r="BS2982">
        <v>-1.3</v>
      </c>
      <c r="BT2982">
        <v>-1.89</v>
      </c>
      <c r="BU2982">
        <v>-0.33</v>
      </c>
      <c r="BV2982">
        <v>-1.48</v>
      </c>
      <c r="BW2982">
        <v>-1.7</v>
      </c>
      <c r="BX2982">
        <v>0.19</v>
      </c>
      <c r="BY2982">
        <v>-1.06</v>
      </c>
      <c r="BZ2982">
        <v>-1.51</v>
      </c>
      <c r="CA2982">
        <v>-1.31</v>
      </c>
      <c r="CB2982">
        <v>-0.89</v>
      </c>
      <c r="CC2982">
        <v>-1.64</v>
      </c>
      <c r="CD2982">
        <v>0.16</v>
      </c>
      <c r="CE2982">
        <v>-0.9</v>
      </c>
      <c r="CF2982">
        <v>-0.42</v>
      </c>
      <c r="CG2982">
        <v>0</v>
      </c>
      <c r="CH2982">
        <v>-1.35</v>
      </c>
      <c r="CI2982">
        <v>0</v>
      </c>
      <c r="CJ2982">
        <v>-1.1000000000000001</v>
      </c>
      <c r="CK2982">
        <v>38</v>
      </c>
      <c r="CL2982">
        <v>-0.35</v>
      </c>
      <c r="CM2982">
        <v>35</v>
      </c>
      <c r="CN2982">
        <v>0.04</v>
      </c>
      <c r="CO2982">
        <v>31</v>
      </c>
      <c r="CP2982">
        <v>-9</v>
      </c>
      <c r="CQ2982">
        <v>40</v>
      </c>
      <c r="CR2982">
        <v>0</v>
      </c>
      <c r="CS2982">
        <v>0</v>
      </c>
      <c r="CT2982">
        <v>-6.3</v>
      </c>
      <c r="CU2982">
        <v>31</v>
      </c>
      <c r="CV2982">
        <v>0.14000000000000001</v>
      </c>
      <c r="CW2982">
        <v>10</v>
      </c>
      <c r="CX2982" t="s">
        <v>8515</v>
      </c>
    </row>
    <row r="2983" spans="1:102" x14ac:dyDescent="0.3">
      <c r="A2983" t="str">
        <f>HYPERLINK("https://webapp.icbf.com/v2/app/bull-search/view/586147575","PMZ")</f>
        <v>PMZ</v>
      </c>
      <c r="B2983" t="s">
        <v>9727</v>
      </c>
      <c r="C2983" t="s">
        <v>9728</v>
      </c>
      <c r="D2983" s="1">
        <v>38719</v>
      </c>
      <c r="E2983" t="s">
        <v>92</v>
      </c>
      <c r="F2983">
        <v>100</v>
      </c>
      <c r="G2983" t="s">
        <v>93</v>
      </c>
      <c r="H2983">
        <v>-1.76</v>
      </c>
      <c r="I2983">
        <v>96</v>
      </c>
      <c r="J2983">
        <v>36.56</v>
      </c>
      <c r="K2983">
        <v>99</v>
      </c>
      <c r="L2983">
        <v>-38.36</v>
      </c>
      <c r="M2983">
        <v>94</v>
      </c>
      <c r="N2983">
        <v>10.37</v>
      </c>
      <c r="O2983">
        <v>96</v>
      </c>
      <c r="P2983">
        <v>1.96</v>
      </c>
      <c r="Q2983">
        <v>98</v>
      </c>
      <c r="R2983">
        <v>5.19</v>
      </c>
      <c r="S2983">
        <v>89</v>
      </c>
      <c r="T2983">
        <v>-21.4</v>
      </c>
      <c r="U2983">
        <v>95</v>
      </c>
      <c r="V2983">
        <v>3.92</v>
      </c>
      <c r="W2983">
        <v>81</v>
      </c>
      <c r="X2983" t="s">
        <v>276</v>
      </c>
      <c r="Y2983" t="s">
        <v>282</v>
      </c>
      <c r="Z2983" t="s">
        <v>96</v>
      </c>
      <c r="AA2983" t="s">
        <v>309</v>
      </c>
      <c r="AB2983" t="s">
        <v>9729</v>
      </c>
      <c r="AC2983">
        <v>658</v>
      </c>
      <c r="AD2983">
        <v>227</v>
      </c>
      <c r="AE2983">
        <v>99</v>
      </c>
      <c r="AF2983">
        <v>281.52999999999997</v>
      </c>
      <c r="AG2983">
        <v>8.19</v>
      </c>
      <c r="AH2983">
        <v>7.63</v>
      </c>
      <c r="AI2983">
        <v>-0.05</v>
      </c>
      <c r="AJ2983">
        <v>-0.03</v>
      </c>
      <c r="AK2983">
        <v>94</v>
      </c>
      <c r="AL2983">
        <v>585</v>
      </c>
      <c r="AM2983">
        <v>213</v>
      </c>
      <c r="AN2983">
        <v>2.0099999999999998</v>
      </c>
      <c r="AO2983">
        <v>-1.05</v>
      </c>
      <c r="AP2983">
        <v>961</v>
      </c>
      <c r="AQ2983">
        <v>3</v>
      </c>
      <c r="AR2983">
        <v>7.14</v>
      </c>
      <c r="AS2983">
        <v>95</v>
      </c>
      <c r="AT2983">
        <v>2.92</v>
      </c>
      <c r="AU2983">
        <v>97</v>
      </c>
      <c r="AV2983">
        <v>-0.92</v>
      </c>
      <c r="AW2983">
        <v>99</v>
      </c>
      <c r="AX2983">
        <v>0.11</v>
      </c>
      <c r="AY2983">
        <v>96</v>
      </c>
      <c r="AZ2983">
        <v>6.14</v>
      </c>
      <c r="BA2983">
        <v>90</v>
      </c>
      <c r="BB2983">
        <v>5.01</v>
      </c>
      <c r="BC2983">
        <v>86</v>
      </c>
      <c r="BD2983">
        <v>0.01</v>
      </c>
      <c r="BE2983">
        <v>-0.04</v>
      </c>
      <c r="BF2983">
        <v>-0.06</v>
      </c>
      <c r="BG2983">
        <v>98</v>
      </c>
      <c r="BH2983">
        <v>-0.02</v>
      </c>
      <c r="BI2983">
        <v>-14.95</v>
      </c>
      <c r="BJ2983">
        <v>351</v>
      </c>
      <c r="BK2983">
        <v>139</v>
      </c>
      <c r="BL2983">
        <v>2.46</v>
      </c>
      <c r="BM2983">
        <v>0.19</v>
      </c>
      <c r="BN2983">
        <v>1.95</v>
      </c>
      <c r="BO2983">
        <v>1.1200000000000001</v>
      </c>
      <c r="BP2983">
        <v>2.0699999999999998</v>
      </c>
      <c r="BQ2983">
        <v>2.41</v>
      </c>
      <c r="BR2983">
        <v>1.93</v>
      </c>
      <c r="BS2983">
        <v>-2.6</v>
      </c>
      <c r="BT2983">
        <v>-1.88</v>
      </c>
      <c r="BU2983">
        <v>2.66</v>
      </c>
      <c r="BV2983">
        <v>1.66</v>
      </c>
      <c r="BW2983">
        <v>2.13</v>
      </c>
      <c r="BX2983">
        <v>2.41</v>
      </c>
      <c r="BY2983">
        <v>1.37</v>
      </c>
      <c r="BZ2983">
        <v>1.62</v>
      </c>
      <c r="CA2983">
        <v>0.88</v>
      </c>
      <c r="CB2983">
        <v>1.63</v>
      </c>
      <c r="CC2983">
        <v>-0.92</v>
      </c>
      <c r="CD2983">
        <v>-0.21</v>
      </c>
      <c r="CE2983">
        <v>0.7</v>
      </c>
      <c r="CF2983">
        <v>2.02</v>
      </c>
      <c r="CG2983">
        <v>0</v>
      </c>
      <c r="CH2983">
        <v>1.27</v>
      </c>
      <c r="CI2983">
        <v>0</v>
      </c>
      <c r="CJ2983">
        <v>4.5999999999999996</v>
      </c>
      <c r="CK2983">
        <v>98</v>
      </c>
      <c r="CL2983">
        <v>-1.33</v>
      </c>
      <c r="CM2983">
        <v>98</v>
      </c>
      <c r="CN2983">
        <v>-0.63</v>
      </c>
      <c r="CO2983">
        <v>98</v>
      </c>
      <c r="CP2983">
        <v>13.1</v>
      </c>
      <c r="CQ2983">
        <v>96</v>
      </c>
      <c r="CR2983">
        <v>0</v>
      </c>
      <c r="CS2983">
        <v>0</v>
      </c>
      <c r="CT2983">
        <v>42.7</v>
      </c>
      <c r="CU2983">
        <v>95</v>
      </c>
      <c r="CV2983">
        <v>0.39</v>
      </c>
      <c r="CW2983">
        <v>46</v>
      </c>
      <c r="CX2983" t="s">
        <v>596</v>
      </c>
    </row>
    <row r="2984" spans="1:102" x14ac:dyDescent="0.3">
      <c r="A2984" t="str">
        <f>HYPERLINK("https://webapp.icbf.com/v2/app/bull-search/view/403256637","OXD")</f>
        <v>OXD</v>
      </c>
      <c r="B2984" t="s">
        <v>11890</v>
      </c>
      <c r="C2984" t="s">
        <v>11891</v>
      </c>
      <c r="D2984" s="1">
        <v>36070</v>
      </c>
      <c r="E2984" t="s">
        <v>140</v>
      </c>
      <c r="F2984">
        <v>0</v>
      </c>
      <c r="G2984" t="s">
        <v>93</v>
      </c>
      <c r="H2984">
        <v>-1.83</v>
      </c>
      <c r="I2984">
        <v>76</v>
      </c>
      <c r="J2984">
        <v>2.5299999999999998</v>
      </c>
      <c r="K2984">
        <v>91</v>
      </c>
      <c r="L2984">
        <v>25.66</v>
      </c>
      <c r="M2984">
        <v>62</v>
      </c>
      <c r="N2984">
        <v>-29.22</v>
      </c>
      <c r="O2984">
        <v>72</v>
      </c>
      <c r="P2984">
        <v>14.54</v>
      </c>
      <c r="Q2984">
        <v>91</v>
      </c>
      <c r="R2984">
        <v>8.52</v>
      </c>
      <c r="S2984">
        <v>60</v>
      </c>
      <c r="T2984">
        <v>-10.220000000000001</v>
      </c>
      <c r="U2984">
        <v>80</v>
      </c>
      <c r="V2984">
        <v>-13.64</v>
      </c>
      <c r="W2984">
        <v>64</v>
      </c>
      <c r="X2984" t="s">
        <v>94</v>
      </c>
      <c r="Y2984" t="s">
        <v>95</v>
      </c>
      <c r="Z2984">
        <v>0</v>
      </c>
      <c r="AA2984" t="s">
        <v>141</v>
      </c>
      <c r="AB2984" t="s">
        <v>1261</v>
      </c>
      <c r="AC2984">
        <v>39</v>
      </c>
      <c r="AD2984">
        <v>18</v>
      </c>
      <c r="AE2984">
        <v>91</v>
      </c>
      <c r="AF2984">
        <v>-24.55</v>
      </c>
      <c r="AG2984">
        <v>-2.5299999999999998</v>
      </c>
      <c r="AH2984">
        <v>0.95</v>
      </c>
      <c r="AI2984">
        <v>-0.03</v>
      </c>
      <c r="AJ2984">
        <v>0.03</v>
      </c>
      <c r="AK2984">
        <v>62</v>
      </c>
      <c r="AL2984">
        <v>74</v>
      </c>
      <c r="AM2984">
        <v>28</v>
      </c>
      <c r="AN2984">
        <v>0.44</v>
      </c>
      <c r="AO2984">
        <v>2.5099999999999998</v>
      </c>
      <c r="AP2984">
        <v>61</v>
      </c>
      <c r="AQ2984">
        <v>2</v>
      </c>
      <c r="AR2984">
        <v>8.11</v>
      </c>
      <c r="AS2984">
        <v>43</v>
      </c>
      <c r="AT2984">
        <v>4.21</v>
      </c>
      <c r="AU2984">
        <v>68</v>
      </c>
      <c r="AV2984">
        <v>3.09</v>
      </c>
      <c r="AW2984">
        <v>91</v>
      </c>
      <c r="AX2984">
        <v>0.24</v>
      </c>
      <c r="AY2984">
        <v>74</v>
      </c>
      <c r="AZ2984">
        <v>5.07</v>
      </c>
      <c r="BA2984">
        <v>37</v>
      </c>
      <c r="BB2984">
        <v>3.65</v>
      </c>
      <c r="BC2984">
        <v>46</v>
      </c>
      <c r="BD2984">
        <v>-0.03</v>
      </c>
      <c r="BE2984">
        <v>-0.04</v>
      </c>
      <c r="BF2984">
        <v>-7.0000000000000007E-2</v>
      </c>
      <c r="BG2984">
        <v>70</v>
      </c>
      <c r="BH2984">
        <v>-0.28000000000000003</v>
      </c>
      <c r="BI2984">
        <v>11.61</v>
      </c>
      <c r="BJ2984">
        <v>0</v>
      </c>
      <c r="BK2984">
        <v>0</v>
      </c>
      <c r="BL2984">
        <v>-0.98</v>
      </c>
      <c r="BM2984">
        <v>2.99</v>
      </c>
      <c r="BN2984">
        <v>-1.94</v>
      </c>
      <c r="BO2984">
        <v>-2.88</v>
      </c>
      <c r="BP2984">
        <v>4.3</v>
      </c>
      <c r="BQ2984">
        <v>-2.6</v>
      </c>
      <c r="BR2984">
        <v>-2.86</v>
      </c>
      <c r="BS2984">
        <v>-0.63</v>
      </c>
      <c r="BT2984">
        <v>2.76</v>
      </c>
      <c r="BU2984">
        <v>-3.36</v>
      </c>
      <c r="BV2984">
        <v>-3.96</v>
      </c>
      <c r="BW2984">
        <v>-3.01</v>
      </c>
      <c r="BX2984">
        <v>-2.5</v>
      </c>
      <c r="BY2984">
        <v>-2.4900000000000002</v>
      </c>
      <c r="BZ2984">
        <v>1.1000000000000001</v>
      </c>
      <c r="CA2984">
        <v>-2.5</v>
      </c>
      <c r="CB2984">
        <v>-3.13</v>
      </c>
      <c r="CC2984">
        <v>-0.54</v>
      </c>
      <c r="CD2984">
        <v>3.66</v>
      </c>
      <c r="CE2984">
        <v>-2.83</v>
      </c>
      <c r="CF2984">
        <v>-1.29</v>
      </c>
      <c r="CG2984">
        <v>0</v>
      </c>
      <c r="CH2984">
        <v>-2.61</v>
      </c>
      <c r="CI2984">
        <v>0</v>
      </c>
      <c r="CJ2984">
        <v>8.1</v>
      </c>
      <c r="CK2984">
        <v>92</v>
      </c>
      <c r="CL2984">
        <v>0.09</v>
      </c>
      <c r="CM2984">
        <v>90</v>
      </c>
      <c r="CN2984">
        <v>-0.04</v>
      </c>
      <c r="CO2984">
        <v>89</v>
      </c>
      <c r="CP2984">
        <v>13.1</v>
      </c>
      <c r="CQ2984">
        <v>88</v>
      </c>
      <c r="CR2984">
        <v>0</v>
      </c>
      <c r="CS2984">
        <v>0</v>
      </c>
      <c r="CT2984">
        <v>27.6</v>
      </c>
      <c r="CU2984">
        <v>80</v>
      </c>
      <c r="CV2984">
        <v>0.01</v>
      </c>
      <c r="CW2984">
        <v>26</v>
      </c>
      <c r="CX2984" t="s">
        <v>1262</v>
      </c>
    </row>
    <row r="2985" spans="1:102" x14ac:dyDescent="0.3">
      <c r="A2985" t="str">
        <f>HYPERLINK("https://webapp.icbf.com/v2/app/bull-search/view/883194019","TSA")</f>
        <v>TSA</v>
      </c>
      <c r="B2985" t="s">
        <v>5406</v>
      </c>
      <c r="C2985" t="s">
        <v>5407</v>
      </c>
      <c r="D2985" s="1">
        <v>39852</v>
      </c>
      <c r="E2985" t="s">
        <v>1061</v>
      </c>
      <c r="F2985">
        <v>25</v>
      </c>
      <c r="G2985" t="s">
        <v>116</v>
      </c>
      <c r="H2985">
        <v>-1.89</v>
      </c>
      <c r="I2985">
        <v>38</v>
      </c>
      <c r="J2985">
        <v>-49.91</v>
      </c>
      <c r="K2985">
        <v>64</v>
      </c>
      <c r="L2985">
        <v>75.05</v>
      </c>
      <c r="M2985">
        <v>20</v>
      </c>
      <c r="N2985">
        <v>-35.1</v>
      </c>
      <c r="O2985">
        <v>30</v>
      </c>
      <c r="P2985">
        <v>-6.12</v>
      </c>
      <c r="Q2985">
        <v>52</v>
      </c>
      <c r="R2985">
        <v>-5.71</v>
      </c>
      <c r="S2985">
        <v>23</v>
      </c>
      <c r="T2985">
        <v>20.63</v>
      </c>
      <c r="U2985">
        <v>23</v>
      </c>
      <c r="V2985">
        <v>-0.73</v>
      </c>
      <c r="W2985">
        <v>14</v>
      </c>
      <c r="X2985" t="s">
        <v>1645</v>
      </c>
      <c r="Y2985" t="s">
        <v>1685</v>
      </c>
      <c r="Z2985">
        <v>0</v>
      </c>
      <c r="AA2985" t="s">
        <v>5408</v>
      </c>
      <c r="AB2985" t="s">
        <v>5409</v>
      </c>
      <c r="AC2985">
        <v>7</v>
      </c>
      <c r="AD2985">
        <v>5</v>
      </c>
      <c r="AE2985">
        <v>64</v>
      </c>
      <c r="AF2985">
        <v>-232</v>
      </c>
      <c r="AG2985">
        <v>-12.07</v>
      </c>
      <c r="AH2985">
        <v>-7.77</v>
      </c>
      <c r="AI2985">
        <v>-0.05</v>
      </c>
      <c r="AJ2985">
        <v>0</v>
      </c>
      <c r="AK2985">
        <v>20</v>
      </c>
      <c r="AL2985">
        <v>6</v>
      </c>
      <c r="AM2985">
        <v>4</v>
      </c>
      <c r="AN2985">
        <v>-3.74</v>
      </c>
      <c r="AO2985">
        <v>2.25</v>
      </c>
      <c r="AP2985">
        <v>6</v>
      </c>
      <c r="AQ2985">
        <v>5</v>
      </c>
      <c r="AR2985">
        <v>11.6</v>
      </c>
      <c r="AS2985">
        <v>11</v>
      </c>
      <c r="AT2985">
        <v>4.79</v>
      </c>
      <c r="AU2985">
        <v>27</v>
      </c>
      <c r="AV2985">
        <v>-0.3</v>
      </c>
      <c r="AW2985">
        <v>43</v>
      </c>
      <c r="AX2985">
        <v>-0.53</v>
      </c>
      <c r="AY2985">
        <v>26</v>
      </c>
      <c r="AZ2985">
        <v>8.0500000000000007</v>
      </c>
      <c r="BA2985">
        <v>11</v>
      </c>
      <c r="BB2985">
        <v>6.05</v>
      </c>
      <c r="BC2985">
        <v>13</v>
      </c>
      <c r="BD2985">
        <v>0.05</v>
      </c>
      <c r="BE2985">
        <v>0.02</v>
      </c>
      <c r="BF2985">
        <v>0.01</v>
      </c>
      <c r="BG2985">
        <v>29</v>
      </c>
      <c r="BH2985">
        <v>-0.04</v>
      </c>
      <c r="BI2985">
        <v>-2.27</v>
      </c>
      <c r="BJ2985">
        <v>0</v>
      </c>
      <c r="BK2985">
        <v>0</v>
      </c>
      <c r="BL2985">
        <v>0</v>
      </c>
      <c r="BM2985">
        <v>0</v>
      </c>
      <c r="BN2985">
        <v>0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v>0</v>
      </c>
      <c r="CI2985">
        <v>0</v>
      </c>
      <c r="CJ2985">
        <v>-2.8</v>
      </c>
      <c r="CK2985">
        <v>57</v>
      </c>
      <c r="CL2985">
        <v>-0.28000000000000003</v>
      </c>
      <c r="CM2985">
        <v>51</v>
      </c>
      <c r="CN2985">
        <v>-0.19</v>
      </c>
      <c r="CO2985">
        <v>48</v>
      </c>
      <c r="CP2985">
        <v>-10.6</v>
      </c>
      <c r="CQ2985">
        <v>32</v>
      </c>
      <c r="CR2985">
        <v>0</v>
      </c>
      <c r="CS2985">
        <v>0</v>
      </c>
      <c r="CT2985">
        <v>-14.1</v>
      </c>
      <c r="CU2985">
        <v>23</v>
      </c>
      <c r="CV2985">
        <v>-0.01</v>
      </c>
      <c r="CW2985">
        <v>15</v>
      </c>
      <c r="CX2985" t="s">
        <v>5410</v>
      </c>
    </row>
    <row r="2986" spans="1:102" x14ac:dyDescent="0.3">
      <c r="A2986" t="str">
        <f>HYPERLINK("https://webapp.icbf.com/v2/app/bull-search/view/77858098","EAS")</f>
        <v>EAS</v>
      </c>
      <c r="B2986" t="s">
        <v>10664</v>
      </c>
      <c r="C2986" t="s">
        <v>10665</v>
      </c>
      <c r="D2986" s="1">
        <v>36333</v>
      </c>
      <c r="E2986" t="s">
        <v>92</v>
      </c>
      <c r="F2986">
        <v>100</v>
      </c>
      <c r="G2986" t="s">
        <v>93</v>
      </c>
      <c r="H2986">
        <v>-2.1</v>
      </c>
      <c r="I2986">
        <v>86</v>
      </c>
      <c r="J2986">
        <v>12.24</v>
      </c>
      <c r="K2986">
        <v>97</v>
      </c>
      <c r="L2986">
        <v>-40.67</v>
      </c>
      <c r="M2986">
        <v>79</v>
      </c>
      <c r="N2986">
        <v>26.52</v>
      </c>
      <c r="O2986">
        <v>83</v>
      </c>
      <c r="P2986">
        <v>-13.78</v>
      </c>
      <c r="Q2986">
        <v>92</v>
      </c>
      <c r="R2986">
        <v>-4.28</v>
      </c>
      <c r="S2986">
        <v>78</v>
      </c>
      <c r="T2986">
        <v>19.45</v>
      </c>
      <c r="U2986">
        <v>82</v>
      </c>
      <c r="V2986">
        <v>-1.58</v>
      </c>
      <c r="W2986">
        <v>70</v>
      </c>
      <c r="X2986" t="s">
        <v>94</v>
      </c>
      <c r="Y2986" t="s">
        <v>95</v>
      </c>
      <c r="Z2986" t="s">
        <v>96</v>
      </c>
      <c r="AA2986" t="s">
        <v>985</v>
      </c>
      <c r="AB2986" t="s">
        <v>10666</v>
      </c>
      <c r="AC2986">
        <v>78</v>
      </c>
      <c r="AD2986">
        <v>60</v>
      </c>
      <c r="AE2986">
        <v>97</v>
      </c>
      <c r="AF2986">
        <v>283.83</v>
      </c>
      <c r="AG2986">
        <v>6.04</v>
      </c>
      <c r="AH2986">
        <v>4.29</v>
      </c>
      <c r="AI2986">
        <v>-0.08</v>
      </c>
      <c r="AJ2986">
        <v>-0.09</v>
      </c>
      <c r="AK2986">
        <v>79</v>
      </c>
      <c r="AL2986">
        <v>84</v>
      </c>
      <c r="AM2986">
        <v>56</v>
      </c>
      <c r="AN2986">
        <v>1.69</v>
      </c>
      <c r="AO2986">
        <v>-1.56</v>
      </c>
      <c r="AP2986">
        <v>104</v>
      </c>
      <c r="AQ2986">
        <v>1</v>
      </c>
      <c r="AR2986">
        <v>5.35</v>
      </c>
      <c r="AS2986">
        <v>71</v>
      </c>
      <c r="AT2986">
        <v>3.04</v>
      </c>
      <c r="AU2986">
        <v>84</v>
      </c>
      <c r="AV2986">
        <v>-1.99</v>
      </c>
      <c r="AW2986">
        <v>93</v>
      </c>
      <c r="AX2986">
        <v>0.08</v>
      </c>
      <c r="AY2986">
        <v>78</v>
      </c>
      <c r="AZ2986">
        <v>5.55</v>
      </c>
      <c r="BA2986">
        <v>60</v>
      </c>
      <c r="BB2986">
        <v>4.28</v>
      </c>
      <c r="BC2986">
        <v>66</v>
      </c>
      <c r="BD2986">
        <v>0.02</v>
      </c>
      <c r="BE2986">
        <v>0.05</v>
      </c>
      <c r="BF2986">
        <v>-0.03</v>
      </c>
      <c r="BG2986">
        <v>88</v>
      </c>
      <c r="BH2986">
        <v>0.01</v>
      </c>
      <c r="BI2986">
        <v>6.24</v>
      </c>
      <c r="BJ2986">
        <v>24</v>
      </c>
      <c r="BK2986">
        <v>18</v>
      </c>
      <c r="BL2986">
        <v>-0.39</v>
      </c>
      <c r="BM2986">
        <v>-0.09</v>
      </c>
      <c r="BN2986">
        <v>-0.23</v>
      </c>
      <c r="BO2986">
        <v>-0.21</v>
      </c>
      <c r="BP2986">
        <v>0.86</v>
      </c>
      <c r="BQ2986">
        <v>0</v>
      </c>
      <c r="BR2986">
        <v>0.89</v>
      </c>
      <c r="BS2986">
        <v>-1.54</v>
      </c>
      <c r="BT2986">
        <v>-0.42</v>
      </c>
      <c r="BU2986">
        <v>-0.97</v>
      </c>
      <c r="BV2986">
        <v>-0.14000000000000001</v>
      </c>
      <c r="BW2986">
        <v>-0.69</v>
      </c>
      <c r="BX2986">
        <v>-0.74</v>
      </c>
      <c r="BY2986">
        <v>0.32</v>
      </c>
      <c r="BZ2986">
        <v>1.9</v>
      </c>
      <c r="CA2986">
        <v>-0.92</v>
      </c>
      <c r="CB2986">
        <v>-0.3</v>
      </c>
      <c r="CC2986">
        <v>-1.63</v>
      </c>
      <c r="CD2986">
        <v>-7.0000000000000007E-2</v>
      </c>
      <c r="CE2986">
        <v>-0.15</v>
      </c>
      <c r="CF2986">
        <v>-0.85</v>
      </c>
      <c r="CG2986">
        <v>0</v>
      </c>
      <c r="CH2986">
        <v>-0.17</v>
      </c>
      <c r="CI2986">
        <v>0</v>
      </c>
      <c r="CJ2986">
        <v>-5.2</v>
      </c>
      <c r="CK2986">
        <v>93</v>
      </c>
      <c r="CL2986">
        <v>-0.55000000000000004</v>
      </c>
      <c r="CM2986">
        <v>91</v>
      </c>
      <c r="CN2986">
        <v>-0.04</v>
      </c>
      <c r="CO2986">
        <v>90</v>
      </c>
      <c r="CP2986">
        <v>-9.3000000000000007</v>
      </c>
      <c r="CQ2986">
        <v>89</v>
      </c>
      <c r="CR2986">
        <v>0</v>
      </c>
      <c r="CS2986">
        <v>0</v>
      </c>
      <c r="CT2986">
        <v>-12.5</v>
      </c>
      <c r="CU2986">
        <v>82</v>
      </c>
      <c r="CV2986">
        <v>7.0000000000000007E-2</v>
      </c>
      <c r="CW2986">
        <v>44</v>
      </c>
      <c r="CX2986" t="s">
        <v>105</v>
      </c>
    </row>
    <row r="2987" spans="1:102" x14ac:dyDescent="0.3">
      <c r="A2987" t="str">
        <f>HYPERLINK("https://webapp.icbf.com/v2/app/bull-search/view/77852809","VDR")</f>
        <v>VDR</v>
      </c>
      <c r="B2987" t="s">
        <v>12396</v>
      </c>
      <c r="C2987" t="s">
        <v>12397</v>
      </c>
      <c r="D2987" s="1">
        <v>31459</v>
      </c>
      <c r="E2987" t="s">
        <v>92</v>
      </c>
      <c r="F2987">
        <v>88</v>
      </c>
      <c r="G2987" t="s">
        <v>93</v>
      </c>
      <c r="H2987">
        <v>-2.1</v>
      </c>
      <c r="I2987">
        <v>89</v>
      </c>
      <c r="J2987">
        <v>-11.39</v>
      </c>
      <c r="K2987">
        <v>97</v>
      </c>
      <c r="L2987">
        <v>-4.5999999999999996</v>
      </c>
      <c r="M2987">
        <v>90</v>
      </c>
      <c r="N2987">
        <v>10.14</v>
      </c>
      <c r="O2987">
        <v>78</v>
      </c>
      <c r="P2987">
        <v>-11.73</v>
      </c>
      <c r="Q2987">
        <v>90</v>
      </c>
      <c r="R2987">
        <v>1.29</v>
      </c>
      <c r="S2987">
        <v>78</v>
      </c>
      <c r="T2987">
        <v>8.2799999999999994</v>
      </c>
      <c r="U2987">
        <v>88</v>
      </c>
      <c r="V2987">
        <v>5.91</v>
      </c>
      <c r="W2987">
        <v>55</v>
      </c>
      <c r="X2987" t="s">
        <v>110</v>
      </c>
      <c r="Y2987" t="s">
        <v>95</v>
      </c>
      <c r="Z2987" t="s">
        <v>96</v>
      </c>
      <c r="AA2987" t="s">
        <v>128</v>
      </c>
      <c r="AB2987" t="s">
        <v>12398</v>
      </c>
      <c r="AC2987">
        <v>193</v>
      </c>
      <c r="AD2987">
        <v>120</v>
      </c>
      <c r="AE2987">
        <v>97</v>
      </c>
      <c r="AF2987">
        <v>-96.99</v>
      </c>
      <c r="AG2987">
        <v>-5.94</v>
      </c>
      <c r="AH2987">
        <v>-1.32</v>
      </c>
      <c r="AI2987">
        <v>-0.04</v>
      </c>
      <c r="AJ2987">
        <v>0.03</v>
      </c>
      <c r="AK2987">
        <v>90</v>
      </c>
      <c r="AL2987">
        <v>402</v>
      </c>
      <c r="AM2987">
        <v>183</v>
      </c>
      <c r="AN2987">
        <v>0.01</v>
      </c>
      <c r="AO2987">
        <v>-0.36</v>
      </c>
      <c r="AP2987">
        <v>14</v>
      </c>
      <c r="AQ2987">
        <v>1</v>
      </c>
      <c r="AR2987">
        <v>5.62</v>
      </c>
      <c r="AS2987">
        <v>55</v>
      </c>
      <c r="AT2987">
        <v>2.41</v>
      </c>
      <c r="AU2987">
        <v>78</v>
      </c>
      <c r="AV2987">
        <v>0.62</v>
      </c>
      <c r="AW2987">
        <v>84</v>
      </c>
      <c r="AX2987">
        <v>-0.49</v>
      </c>
      <c r="AY2987">
        <v>89</v>
      </c>
      <c r="AZ2987">
        <v>5.21</v>
      </c>
      <c r="BA2987">
        <v>55</v>
      </c>
      <c r="BB2987">
        <v>4.6500000000000004</v>
      </c>
      <c r="BC2987">
        <v>72</v>
      </c>
      <c r="BD2987">
        <v>-0.01</v>
      </c>
      <c r="BE2987">
        <v>0.03</v>
      </c>
      <c r="BF2987">
        <v>-7.0000000000000007E-2</v>
      </c>
      <c r="BG2987">
        <v>96</v>
      </c>
      <c r="BH2987">
        <v>0</v>
      </c>
      <c r="BI2987">
        <v>-19.05</v>
      </c>
      <c r="BJ2987">
        <v>35</v>
      </c>
      <c r="BK2987">
        <v>25</v>
      </c>
      <c r="BL2987">
        <v>-0.23</v>
      </c>
      <c r="BM2987">
        <v>0.06</v>
      </c>
      <c r="BN2987">
        <v>-0.82</v>
      </c>
      <c r="BO2987">
        <v>-0.33</v>
      </c>
      <c r="BP2987">
        <v>-0.33</v>
      </c>
      <c r="BQ2987">
        <v>-0.93</v>
      </c>
      <c r="BR2987">
        <v>1.58</v>
      </c>
      <c r="BS2987">
        <v>-0.53</v>
      </c>
      <c r="BT2987">
        <v>0.33</v>
      </c>
      <c r="BU2987">
        <v>-2.14</v>
      </c>
      <c r="BV2987">
        <v>-0.59</v>
      </c>
      <c r="BW2987">
        <v>-0.91</v>
      </c>
      <c r="BX2987">
        <v>-1.68</v>
      </c>
      <c r="BY2987">
        <v>-0.67</v>
      </c>
      <c r="BZ2987">
        <v>0.01</v>
      </c>
      <c r="CA2987">
        <v>-1.31</v>
      </c>
      <c r="CB2987">
        <v>-1.1599999999999999</v>
      </c>
      <c r="CC2987">
        <v>-1.19</v>
      </c>
      <c r="CD2987">
        <v>0.21</v>
      </c>
      <c r="CE2987">
        <v>0.08</v>
      </c>
      <c r="CF2987">
        <v>-0.79</v>
      </c>
      <c r="CG2987">
        <v>0</v>
      </c>
      <c r="CH2987">
        <v>-0.73</v>
      </c>
      <c r="CI2987">
        <v>0</v>
      </c>
      <c r="CJ2987">
        <v>-0.8</v>
      </c>
      <c r="CK2987">
        <v>91</v>
      </c>
      <c r="CL2987">
        <v>-0.81</v>
      </c>
      <c r="CM2987">
        <v>89</v>
      </c>
      <c r="CN2987">
        <v>0.11</v>
      </c>
      <c r="CO2987">
        <v>88</v>
      </c>
      <c r="CP2987">
        <v>-6.5</v>
      </c>
      <c r="CQ2987">
        <v>93</v>
      </c>
      <c r="CR2987">
        <v>0</v>
      </c>
      <c r="CS2987">
        <v>0</v>
      </c>
      <c r="CT2987">
        <v>2.6</v>
      </c>
      <c r="CU2987">
        <v>88</v>
      </c>
      <c r="CV2987">
        <v>0.28999999999999998</v>
      </c>
      <c r="CW2987">
        <v>26</v>
      </c>
      <c r="CX2987" t="s">
        <v>617</v>
      </c>
    </row>
    <row r="2988" spans="1:102" x14ac:dyDescent="0.3">
      <c r="A2988" t="str">
        <f>HYPERLINK("https://webapp.icbf.com/v2/app/bull-search/view/499017053","RZU")</f>
        <v>RZU</v>
      </c>
      <c r="B2988" t="s">
        <v>1416</v>
      </c>
      <c r="C2988" t="s">
        <v>1417</v>
      </c>
      <c r="D2988" s="1">
        <v>39135</v>
      </c>
      <c r="E2988" t="s">
        <v>92</v>
      </c>
      <c r="F2988">
        <v>94</v>
      </c>
      <c r="G2988" t="s">
        <v>435</v>
      </c>
      <c r="H2988">
        <v>-2.15</v>
      </c>
      <c r="I2988">
        <v>74</v>
      </c>
      <c r="J2988">
        <v>41.33</v>
      </c>
      <c r="K2988">
        <v>90</v>
      </c>
      <c r="L2988">
        <v>-68.319999999999993</v>
      </c>
      <c r="M2988">
        <v>70</v>
      </c>
      <c r="N2988">
        <v>20.3</v>
      </c>
      <c r="O2988">
        <v>61</v>
      </c>
      <c r="P2988">
        <v>8.6300000000000008</v>
      </c>
      <c r="Q2988">
        <v>64</v>
      </c>
      <c r="R2988">
        <v>4.49</v>
      </c>
      <c r="S2988">
        <v>69</v>
      </c>
      <c r="T2988">
        <v>-5.86</v>
      </c>
      <c r="U2988">
        <v>59</v>
      </c>
      <c r="V2988">
        <v>-2.72</v>
      </c>
      <c r="W2988">
        <v>65</v>
      </c>
      <c r="X2988" t="s">
        <v>94</v>
      </c>
      <c r="Y2988" t="s">
        <v>1374</v>
      </c>
      <c r="Z2988" t="s">
        <v>96</v>
      </c>
      <c r="AA2988" t="s">
        <v>1418</v>
      </c>
      <c r="AB2988" t="s">
        <v>1419</v>
      </c>
      <c r="AC2988">
        <v>0</v>
      </c>
      <c r="AD2988">
        <v>0</v>
      </c>
      <c r="AE2988">
        <v>90</v>
      </c>
      <c r="AF2988">
        <v>147.12</v>
      </c>
      <c r="AG2988">
        <v>2.94</v>
      </c>
      <c r="AH2988">
        <v>8.24</v>
      </c>
      <c r="AI2988">
        <v>-0.05</v>
      </c>
      <c r="AJ2988">
        <v>0.06</v>
      </c>
      <c r="AK2988">
        <v>70</v>
      </c>
      <c r="AL2988">
        <v>5</v>
      </c>
      <c r="AM2988">
        <v>4</v>
      </c>
      <c r="AN2988">
        <v>4.4000000000000004</v>
      </c>
      <c r="AO2988">
        <v>-1.04</v>
      </c>
      <c r="AP2988">
        <v>6</v>
      </c>
      <c r="AQ2988">
        <v>2</v>
      </c>
      <c r="AR2988">
        <v>6.41</v>
      </c>
      <c r="AS2988">
        <v>60</v>
      </c>
      <c r="AT2988">
        <v>2.41</v>
      </c>
      <c r="AU2988">
        <v>66</v>
      </c>
      <c r="AV2988">
        <v>-1.28</v>
      </c>
      <c r="AW2988">
        <v>65</v>
      </c>
      <c r="AX2988">
        <v>-0.02</v>
      </c>
      <c r="AY2988">
        <v>51</v>
      </c>
      <c r="AZ2988">
        <v>6.05</v>
      </c>
      <c r="BA2988">
        <v>48</v>
      </c>
      <c r="BB2988">
        <v>4.83</v>
      </c>
      <c r="BC2988">
        <v>50</v>
      </c>
      <c r="BD2988">
        <v>0.01</v>
      </c>
      <c r="BE2988">
        <v>0</v>
      </c>
      <c r="BF2988">
        <v>-0.12</v>
      </c>
      <c r="BG2988">
        <v>76</v>
      </c>
      <c r="BH2988">
        <v>0</v>
      </c>
      <c r="BI2988">
        <v>8.77</v>
      </c>
      <c r="BJ2988">
        <v>0</v>
      </c>
      <c r="BK2988">
        <v>0</v>
      </c>
      <c r="BL2988">
        <v>0.04</v>
      </c>
      <c r="BM2988">
        <v>1.4</v>
      </c>
      <c r="BN2988">
        <v>1.03</v>
      </c>
      <c r="BO2988">
        <v>0.13</v>
      </c>
      <c r="BP2988">
        <v>-1.05</v>
      </c>
      <c r="BQ2988">
        <v>-0.95</v>
      </c>
      <c r="BR2988">
        <v>-0.67</v>
      </c>
      <c r="BS2988">
        <v>0.27</v>
      </c>
      <c r="BT2988">
        <v>0.04</v>
      </c>
      <c r="BU2988">
        <v>-0.03</v>
      </c>
      <c r="BV2988">
        <v>0.05</v>
      </c>
      <c r="BW2988">
        <v>0.44</v>
      </c>
      <c r="BX2988">
        <v>-0.56999999999999995</v>
      </c>
      <c r="BY2988">
        <v>0.53</v>
      </c>
      <c r="BZ2988">
        <v>-7.0000000000000007E-2</v>
      </c>
      <c r="CA2988">
        <v>0.85</v>
      </c>
      <c r="CB2988">
        <v>0.46</v>
      </c>
      <c r="CC2988">
        <v>0.43</v>
      </c>
      <c r="CD2988">
        <v>-0.44</v>
      </c>
      <c r="CE2988">
        <v>-0.24</v>
      </c>
      <c r="CF2988">
        <v>-0.21</v>
      </c>
      <c r="CG2988">
        <v>0</v>
      </c>
      <c r="CH2988">
        <v>0.77</v>
      </c>
      <c r="CI2988">
        <v>0</v>
      </c>
      <c r="CJ2988">
        <v>8</v>
      </c>
      <c r="CK2988">
        <v>65</v>
      </c>
      <c r="CL2988">
        <v>-0.73</v>
      </c>
      <c r="CM2988">
        <v>63</v>
      </c>
      <c r="CN2988">
        <v>-0.37</v>
      </c>
      <c r="CO2988">
        <v>61</v>
      </c>
      <c r="CP2988">
        <v>5.3</v>
      </c>
      <c r="CQ2988">
        <v>59</v>
      </c>
      <c r="CR2988">
        <v>0</v>
      </c>
      <c r="CS2988">
        <v>0</v>
      </c>
      <c r="CT2988">
        <v>21.7</v>
      </c>
      <c r="CU2988">
        <v>59</v>
      </c>
      <c r="CV2988">
        <v>0.19</v>
      </c>
      <c r="CW2988">
        <v>39</v>
      </c>
      <c r="CX2988" t="s">
        <v>1420</v>
      </c>
    </row>
    <row r="2989" spans="1:102" x14ac:dyDescent="0.3">
      <c r="A2989" t="str">
        <f>HYPERLINK("https://webapp.icbf.com/v2/app/bull-search/view/77855647","LSF")</f>
        <v>LSF</v>
      </c>
      <c r="B2989" t="s">
        <v>10800</v>
      </c>
      <c r="C2989" t="s">
        <v>10801</v>
      </c>
      <c r="D2989" s="1">
        <v>31920</v>
      </c>
      <c r="E2989" t="s">
        <v>92</v>
      </c>
      <c r="F2989">
        <v>100</v>
      </c>
      <c r="G2989" t="s">
        <v>93</v>
      </c>
      <c r="H2989">
        <v>-2.21</v>
      </c>
      <c r="I2989">
        <v>63</v>
      </c>
      <c r="J2989">
        <v>-37.79</v>
      </c>
      <c r="K2989">
        <v>86</v>
      </c>
      <c r="L2989">
        <v>43.81</v>
      </c>
      <c r="M2989">
        <v>54</v>
      </c>
      <c r="N2989">
        <v>-30.21</v>
      </c>
      <c r="O2989">
        <v>42</v>
      </c>
      <c r="P2989">
        <v>14.27</v>
      </c>
      <c r="Q2989">
        <v>63</v>
      </c>
      <c r="R2989">
        <v>3.52</v>
      </c>
      <c r="S2989">
        <v>61</v>
      </c>
      <c r="T2989">
        <v>8.42</v>
      </c>
      <c r="U2989">
        <v>53</v>
      </c>
      <c r="V2989">
        <v>-4.2300000000000004</v>
      </c>
      <c r="W2989">
        <v>32</v>
      </c>
      <c r="X2989" t="s">
        <v>276</v>
      </c>
      <c r="Y2989" t="s">
        <v>95</v>
      </c>
      <c r="Z2989" t="s">
        <v>96</v>
      </c>
      <c r="AA2989" t="s">
        <v>154</v>
      </c>
      <c r="AB2989" t="s">
        <v>10802</v>
      </c>
      <c r="AC2989">
        <v>38</v>
      </c>
      <c r="AD2989">
        <v>25</v>
      </c>
      <c r="AE2989">
        <v>86</v>
      </c>
      <c r="AF2989">
        <v>-122.41</v>
      </c>
      <c r="AG2989">
        <v>-6.53</v>
      </c>
      <c r="AH2989">
        <v>-5.99</v>
      </c>
      <c r="AI2989">
        <v>-0.03</v>
      </c>
      <c r="AJ2989">
        <v>-0.03</v>
      </c>
      <c r="AK2989">
        <v>54</v>
      </c>
      <c r="AL2989">
        <v>40</v>
      </c>
      <c r="AM2989">
        <v>27</v>
      </c>
      <c r="AN2989">
        <v>-3.48</v>
      </c>
      <c r="AO2989">
        <v>0</v>
      </c>
      <c r="AP2989">
        <v>1</v>
      </c>
      <c r="AQ2989">
        <v>2</v>
      </c>
      <c r="AR2989">
        <v>8.51</v>
      </c>
      <c r="AS2989">
        <v>28</v>
      </c>
      <c r="AT2989">
        <v>4.17</v>
      </c>
      <c r="AU2989">
        <v>42</v>
      </c>
      <c r="AV2989">
        <v>1.87</v>
      </c>
      <c r="AW2989">
        <v>43</v>
      </c>
      <c r="AX2989">
        <v>-0.05</v>
      </c>
      <c r="AY2989">
        <v>54</v>
      </c>
      <c r="AZ2989">
        <v>6.6</v>
      </c>
      <c r="BA2989">
        <v>29</v>
      </c>
      <c r="BB2989">
        <v>5.5</v>
      </c>
      <c r="BC2989">
        <v>40</v>
      </c>
      <c r="BD2989">
        <v>0</v>
      </c>
      <c r="BE2989">
        <v>0.01</v>
      </c>
      <c r="BF2989">
        <v>-0.1</v>
      </c>
      <c r="BG2989">
        <v>76</v>
      </c>
      <c r="BH2989">
        <v>-0.02</v>
      </c>
      <c r="BI2989">
        <v>11.33</v>
      </c>
      <c r="BJ2989">
        <v>3</v>
      </c>
      <c r="BK2989">
        <v>3</v>
      </c>
      <c r="BL2989">
        <v>-0.71</v>
      </c>
      <c r="BM2989">
        <v>0.15</v>
      </c>
      <c r="BN2989">
        <v>-0.67</v>
      </c>
      <c r="BO2989">
        <v>-0.82</v>
      </c>
      <c r="BP2989">
        <v>-0.55000000000000004</v>
      </c>
      <c r="BQ2989">
        <v>-0.87</v>
      </c>
      <c r="BR2989">
        <v>-0.85</v>
      </c>
      <c r="BS2989">
        <v>-0.09</v>
      </c>
      <c r="BT2989">
        <v>0.28999999999999998</v>
      </c>
      <c r="BU2989">
        <v>-1.1200000000000001</v>
      </c>
      <c r="BV2989">
        <v>-1</v>
      </c>
      <c r="BW2989">
        <v>-0.14000000000000001</v>
      </c>
      <c r="BX2989">
        <v>0.35</v>
      </c>
      <c r="BY2989">
        <v>-0.11</v>
      </c>
      <c r="BZ2989">
        <v>0.57999999999999996</v>
      </c>
      <c r="CA2989">
        <v>-0.39</v>
      </c>
      <c r="CB2989">
        <v>-1.02</v>
      </c>
      <c r="CC2989">
        <v>0.93</v>
      </c>
      <c r="CD2989">
        <v>0.44</v>
      </c>
      <c r="CE2989">
        <v>-1.04</v>
      </c>
      <c r="CF2989">
        <v>-1.03</v>
      </c>
      <c r="CG2989">
        <v>0</v>
      </c>
      <c r="CH2989">
        <v>-0.56000000000000005</v>
      </c>
      <c r="CI2989">
        <v>0</v>
      </c>
      <c r="CJ2989">
        <v>8.8000000000000007</v>
      </c>
      <c r="CK2989">
        <v>65</v>
      </c>
      <c r="CL2989">
        <v>-0.22</v>
      </c>
      <c r="CM2989">
        <v>61</v>
      </c>
      <c r="CN2989">
        <v>-0.36</v>
      </c>
      <c r="CO2989">
        <v>57</v>
      </c>
      <c r="CP2989">
        <v>1.2</v>
      </c>
      <c r="CQ2989">
        <v>69</v>
      </c>
      <c r="CR2989">
        <v>0</v>
      </c>
      <c r="CS2989">
        <v>0</v>
      </c>
      <c r="CT2989">
        <v>2.4</v>
      </c>
      <c r="CU2989">
        <v>53</v>
      </c>
      <c r="CV2989">
        <v>0.25</v>
      </c>
      <c r="CW2989">
        <v>17</v>
      </c>
      <c r="CX2989" t="s">
        <v>10803</v>
      </c>
    </row>
    <row r="2990" spans="1:102" x14ac:dyDescent="0.3">
      <c r="A2990" t="str">
        <f>HYPERLINK("https://webapp.icbf.com/v2/app/bull-search/view/77857714","ESZ")</f>
        <v>ESZ</v>
      </c>
      <c r="B2990" t="s">
        <v>9914</v>
      </c>
      <c r="C2990" t="s">
        <v>2932</v>
      </c>
      <c r="D2990" s="1">
        <v>34558</v>
      </c>
      <c r="E2990" t="s">
        <v>92</v>
      </c>
      <c r="F2990">
        <v>100</v>
      </c>
      <c r="G2990" t="s">
        <v>93</v>
      </c>
      <c r="H2990">
        <v>-2.29</v>
      </c>
      <c r="I2990">
        <v>98</v>
      </c>
      <c r="J2990">
        <v>-1.9</v>
      </c>
      <c r="K2990">
        <v>99</v>
      </c>
      <c r="L2990">
        <v>-15.55</v>
      </c>
      <c r="M2990">
        <v>97</v>
      </c>
      <c r="N2990">
        <v>0.44</v>
      </c>
      <c r="O2990">
        <v>99</v>
      </c>
      <c r="P2990">
        <v>-0.65</v>
      </c>
      <c r="Q2990">
        <v>99</v>
      </c>
      <c r="R2990">
        <v>3.67</v>
      </c>
      <c r="S2990">
        <v>98</v>
      </c>
      <c r="T2990">
        <v>11.53</v>
      </c>
      <c r="U2990">
        <v>99</v>
      </c>
      <c r="V2990">
        <v>0.17</v>
      </c>
      <c r="W2990">
        <v>99</v>
      </c>
      <c r="X2990" t="s">
        <v>94</v>
      </c>
      <c r="Y2990" t="s">
        <v>95</v>
      </c>
      <c r="Z2990" t="s">
        <v>96</v>
      </c>
      <c r="AA2990" t="s">
        <v>207</v>
      </c>
      <c r="AB2990" t="s">
        <v>4888</v>
      </c>
      <c r="AC2990">
        <v>4843</v>
      </c>
      <c r="AD2990">
        <v>1608</v>
      </c>
      <c r="AE2990">
        <v>99</v>
      </c>
      <c r="AF2990">
        <v>-43.69</v>
      </c>
      <c r="AG2990">
        <v>-0.71</v>
      </c>
      <c r="AH2990">
        <v>-0.74</v>
      </c>
      <c r="AI2990">
        <v>0.02</v>
      </c>
      <c r="AJ2990">
        <v>0.01</v>
      </c>
      <c r="AK2990">
        <v>97</v>
      </c>
      <c r="AL2990">
        <v>5013</v>
      </c>
      <c r="AM2990">
        <v>1728</v>
      </c>
      <c r="AN2990">
        <v>0.83</v>
      </c>
      <c r="AO2990">
        <v>-0.41</v>
      </c>
      <c r="AP2990">
        <v>7186</v>
      </c>
      <c r="AQ2990">
        <v>11</v>
      </c>
      <c r="AR2990">
        <v>8.43</v>
      </c>
      <c r="AS2990">
        <v>99</v>
      </c>
      <c r="AT2990">
        <v>3.25</v>
      </c>
      <c r="AU2990">
        <v>99</v>
      </c>
      <c r="AV2990">
        <v>-1.06</v>
      </c>
      <c r="AW2990">
        <v>99</v>
      </c>
      <c r="AX2990">
        <v>-0.13</v>
      </c>
      <c r="AY2990">
        <v>99</v>
      </c>
      <c r="AZ2990">
        <v>7.76</v>
      </c>
      <c r="BA2990">
        <v>98</v>
      </c>
      <c r="BB2990">
        <v>5.55</v>
      </c>
      <c r="BC2990">
        <v>99</v>
      </c>
      <c r="BD2990">
        <v>-0.05</v>
      </c>
      <c r="BE2990">
        <v>0.01</v>
      </c>
      <c r="BF2990">
        <v>-0.02</v>
      </c>
      <c r="BG2990">
        <v>99</v>
      </c>
      <c r="BH2990">
        <v>-0.01</v>
      </c>
      <c r="BI2990">
        <v>-1.72</v>
      </c>
      <c r="BJ2990">
        <v>357</v>
      </c>
      <c r="BK2990">
        <v>146</v>
      </c>
      <c r="BL2990">
        <v>0.19</v>
      </c>
      <c r="BM2990">
        <v>-1.72</v>
      </c>
      <c r="BN2990">
        <v>-1.29</v>
      </c>
      <c r="BO2990">
        <v>0.09</v>
      </c>
      <c r="BP2990">
        <v>0.81</v>
      </c>
      <c r="BQ2990">
        <v>-3.07</v>
      </c>
      <c r="BR2990">
        <v>1.31</v>
      </c>
      <c r="BS2990">
        <v>-3.07</v>
      </c>
      <c r="BT2990">
        <v>-2.06</v>
      </c>
      <c r="BU2990">
        <v>-0.74</v>
      </c>
      <c r="BV2990">
        <v>-0.04</v>
      </c>
      <c r="BW2990">
        <v>0.56000000000000005</v>
      </c>
      <c r="BX2990">
        <v>0.44</v>
      </c>
      <c r="BY2990">
        <v>1.39</v>
      </c>
      <c r="BZ2990">
        <v>-2</v>
      </c>
      <c r="CA2990">
        <v>-1.36</v>
      </c>
      <c r="CB2990">
        <v>-0.31</v>
      </c>
      <c r="CC2990">
        <v>-3.08</v>
      </c>
      <c r="CD2990">
        <v>-1.1000000000000001</v>
      </c>
      <c r="CE2990">
        <v>0.03</v>
      </c>
      <c r="CF2990">
        <v>-1.42</v>
      </c>
      <c r="CG2990">
        <v>0</v>
      </c>
      <c r="CH2990">
        <v>1.38</v>
      </c>
      <c r="CI2990">
        <v>0</v>
      </c>
      <c r="CJ2990">
        <v>3.6</v>
      </c>
      <c r="CK2990">
        <v>99</v>
      </c>
      <c r="CL2990">
        <v>-0.61</v>
      </c>
      <c r="CM2990">
        <v>99</v>
      </c>
      <c r="CN2990">
        <v>-0.06</v>
      </c>
      <c r="CO2990">
        <v>99</v>
      </c>
      <c r="CP2990">
        <v>-0.2</v>
      </c>
      <c r="CQ2990">
        <v>99</v>
      </c>
      <c r="CR2990">
        <v>0</v>
      </c>
      <c r="CS2990">
        <v>0</v>
      </c>
      <c r="CT2990">
        <v>-1.8</v>
      </c>
      <c r="CU2990">
        <v>99</v>
      </c>
      <c r="CV2990">
        <v>0.13</v>
      </c>
      <c r="CW2990">
        <v>48</v>
      </c>
      <c r="CX2990" t="s">
        <v>564</v>
      </c>
    </row>
    <row r="2991" spans="1:102" x14ac:dyDescent="0.3">
      <c r="A2991" t="str">
        <f>HYPERLINK("https://webapp.icbf.com/v2/app/bull-search/view/445053802","SXR")</f>
        <v>SXR</v>
      </c>
      <c r="B2991" t="s">
        <v>4544</v>
      </c>
      <c r="C2991" t="s">
        <v>4545</v>
      </c>
      <c r="D2991" s="1">
        <v>38765</v>
      </c>
      <c r="E2991" t="s">
        <v>92</v>
      </c>
      <c r="F2991">
        <v>91</v>
      </c>
      <c r="G2991" t="s">
        <v>93</v>
      </c>
      <c r="H2991">
        <v>-2.31</v>
      </c>
      <c r="I2991">
        <v>88</v>
      </c>
      <c r="J2991">
        <v>5.59</v>
      </c>
      <c r="K2991">
        <v>97</v>
      </c>
      <c r="L2991">
        <v>-3.84</v>
      </c>
      <c r="M2991">
        <v>79</v>
      </c>
      <c r="N2991">
        <v>-7.39</v>
      </c>
      <c r="O2991">
        <v>87</v>
      </c>
      <c r="P2991">
        <v>-12.05</v>
      </c>
      <c r="Q2991">
        <v>92</v>
      </c>
      <c r="R2991">
        <v>-6.5</v>
      </c>
      <c r="S2991">
        <v>83</v>
      </c>
      <c r="T2991">
        <v>21.6</v>
      </c>
      <c r="U2991">
        <v>90</v>
      </c>
      <c r="V2991">
        <v>0.28000000000000003</v>
      </c>
      <c r="W2991">
        <v>83</v>
      </c>
      <c r="X2991" t="s">
        <v>94</v>
      </c>
      <c r="Y2991" t="s">
        <v>228</v>
      </c>
      <c r="Z2991" t="s">
        <v>96</v>
      </c>
      <c r="AA2991" t="s">
        <v>1114</v>
      </c>
      <c r="AB2991" t="s">
        <v>4546</v>
      </c>
      <c r="AC2991">
        <v>87</v>
      </c>
      <c r="AD2991">
        <v>65</v>
      </c>
      <c r="AE2991">
        <v>97</v>
      </c>
      <c r="AF2991">
        <v>84.84</v>
      </c>
      <c r="AG2991">
        <v>0.45</v>
      </c>
      <c r="AH2991">
        <v>2.09</v>
      </c>
      <c r="AI2991">
        <v>-0.05</v>
      </c>
      <c r="AJ2991">
        <v>-0.01</v>
      </c>
      <c r="AK2991">
        <v>79</v>
      </c>
      <c r="AL2991">
        <v>92</v>
      </c>
      <c r="AM2991">
        <v>69</v>
      </c>
      <c r="AN2991">
        <v>-0.09</v>
      </c>
      <c r="AO2991">
        <v>-0.4</v>
      </c>
      <c r="AP2991">
        <v>259</v>
      </c>
      <c r="AQ2991">
        <v>0</v>
      </c>
      <c r="AR2991">
        <v>11.15</v>
      </c>
      <c r="AS2991">
        <v>70</v>
      </c>
      <c r="AT2991">
        <v>4.6399999999999997</v>
      </c>
      <c r="AU2991">
        <v>90</v>
      </c>
      <c r="AV2991">
        <v>-2.2400000000000002</v>
      </c>
      <c r="AW2991">
        <v>97</v>
      </c>
      <c r="AX2991">
        <v>0.56000000000000005</v>
      </c>
      <c r="AY2991">
        <v>83</v>
      </c>
      <c r="AZ2991">
        <v>5.72</v>
      </c>
      <c r="BA2991">
        <v>66</v>
      </c>
      <c r="BB2991">
        <v>4.5199999999999996</v>
      </c>
      <c r="BC2991">
        <v>68</v>
      </c>
      <c r="BD2991">
        <v>-0.01</v>
      </c>
      <c r="BE2991">
        <v>0.04</v>
      </c>
      <c r="BF2991">
        <v>0.09</v>
      </c>
      <c r="BG2991">
        <v>89</v>
      </c>
      <c r="BH2991">
        <v>-0.03</v>
      </c>
      <c r="BI2991">
        <v>-4.38</v>
      </c>
      <c r="BJ2991">
        <v>18</v>
      </c>
      <c r="BK2991">
        <v>14</v>
      </c>
      <c r="BL2991">
        <v>-0.71</v>
      </c>
      <c r="BM2991">
        <v>0.25</v>
      </c>
      <c r="BN2991">
        <v>-1.1200000000000001</v>
      </c>
      <c r="BO2991">
        <v>-0.64</v>
      </c>
      <c r="BP2991">
        <v>1.69</v>
      </c>
      <c r="BQ2991">
        <v>0.59</v>
      </c>
      <c r="BR2991">
        <v>-0.33</v>
      </c>
      <c r="BS2991">
        <v>-0.06</v>
      </c>
      <c r="BT2991">
        <v>-1.1100000000000001</v>
      </c>
      <c r="BU2991">
        <v>-0.1</v>
      </c>
      <c r="BV2991">
        <v>-0.19</v>
      </c>
      <c r="BW2991">
        <v>-0.44</v>
      </c>
      <c r="BX2991">
        <v>-0.71</v>
      </c>
      <c r="BY2991">
        <v>0.34</v>
      </c>
      <c r="BZ2991">
        <v>0.57999999999999996</v>
      </c>
      <c r="CA2991">
        <v>-0.15</v>
      </c>
      <c r="CB2991">
        <v>0.37</v>
      </c>
      <c r="CC2991">
        <v>-0.71</v>
      </c>
      <c r="CD2991">
        <v>0.93</v>
      </c>
      <c r="CE2991">
        <v>-0.24</v>
      </c>
      <c r="CF2991">
        <v>-1.07</v>
      </c>
      <c r="CG2991">
        <v>0</v>
      </c>
      <c r="CH2991">
        <v>0.81</v>
      </c>
      <c r="CI2991">
        <v>0</v>
      </c>
      <c r="CJ2991">
        <v>-4.9000000000000004</v>
      </c>
      <c r="CK2991">
        <v>93</v>
      </c>
      <c r="CL2991">
        <v>-0.66</v>
      </c>
      <c r="CM2991">
        <v>92</v>
      </c>
      <c r="CN2991">
        <v>-0.27</v>
      </c>
      <c r="CO2991">
        <v>91</v>
      </c>
      <c r="CP2991">
        <v>-10.9</v>
      </c>
      <c r="CQ2991">
        <v>90</v>
      </c>
      <c r="CR2991">
        <v>0</v>
      </c>
      <c r="CS2991">
        <v>0</v>
      </c>
      <c r="CT2991">
        <v>-15.4</v>
      </c>
      <c r="CU2991">
        <v>90</v>
      </c>
      <c r="CV2991">
        <v>0.06</v>
      </c>
      <c r="CW2991">
        <v>45</v>
      </c>
      <c r="CX2991" t="s">
        <v>1037</v>
      </c>
    </row>
    <row r="2992" spans="1:102" x14ac:dyDescent="0.3">
      <c r="A2992" t="str">
        <f>HYPERLINK("https://webapp.icbf.com/v2/app/bull-search/view/159140432","GZE")</f>
        <v>GZE</v>
      </c>
      <c r="B2992" t="s">
        <v>11603</v>
      </c>
      <c r="C2992" t="s">
        <v>11604</v>
      </c>
      <c r="D2992" s="1">
        <v>37209</v>
      </c>
      <c r="E2992" t="s">
        <v>92</v>
      </c>
      <c r="F2992">
        <v>100</v>
      </c>
      <c r="G2992" t="s">
        <v>93</v>
      </c>
      <c r="H2992">
        <v>-2.35</v>
      </c>
      <c r="I2992">
        <v>68</v>
      </c>
      <c r="J2992">
        <v>38.380000000000003</v>
      </c>
      <c r="K2992">
        <v>87</v>
      </c>
      <c r="L2992">
        <v>-41.1</v>
      </c>
      <c r="M2992">
        <v>48</v>
      </c>
      <c r="N2992">
        <v>3.45</v>
      </c>
      <c r="O2992">
        <v>67</v>
      </c>
      <c r="P2992">
        <v>-5.87</v>
      </c>
      <c r="Q2992">
        <v>84</v>
      </c>
      <c r="R2992">
        <v>-5.52</v>
      </c>
      <c r="S2992">
        <v>54</v>
      </c>
      <c r="T2992">
        <v>9.5299999999999994</v>
      </c>
      <c r="U2992">
        <v>78</v>
      </c>
      <c r="V2992">
        <v>-1.22</v>
      </c>
      <c r="W2992">
        <v>43</v>
      </c>
      <c r="X2992" t="s">
        <v>94</v>
      </c>
      <c r="Y2992" t="s">
        <v>1534</v>
      </c>
      <c r="Z2992" t="s">
        <v>96</v>
      </c>
      <c r="AA2992" t="s">
        <v>5682</v>
      </c>
      <c r="AB2992" t="s">
        <v>9686</v>
      </c>
      <c r="AC2992">
        <v>28</v>
      </c>
      <c r="AD2992">
        <v>25</v>
      </c>
      <c r="AE2992">
        <v>87</v>
      </c>
      <c r="AF2992">
        <v>-2.4</v>
      </c>
      <c r="AG2992">
        <v>8.23</v>
      </c>
      <c r="AH2992">
        <v>3.58</v>
      </c>
      <c r="AI2992">
        <v>0.14000000000000001</v>
      </c>
      <c r="AJ2992">
        <v>0.06</v>
      </c>
      <c r="AK2992">
        <v>48</v>
      </c>
      <c r="AL2992">
        <v>32</v>
      </c>
      <c r="AM2992">
        <v>27</v>
      </c>
      <c r="AN2992">
        <v>2.0499999999999998</v>
      </c>
      <c r="AO2992">
        <v>-1.23</v>
      </c>
      <c r="AP2992">
        <v>59</v>
      </c>
      <c r="AQ2992">
        <v>1</v>
      </c>
      <c r="AR2992">
        <v>6.7</v>
      </c>
      <c r="AS2992">
        <v>38</v>
      </c>
      <c r="AT2992">
        <v>2.81</v>
      </c>
      <c r="AU2992">
        <v>65</v>
      </c>
      <c r="AV2992">
        <v>-0.69</v>
      </c>
      <c r="AW2992">
        <v>86</v>
      </c>
      <c r="AX2992">
        <v>0.42</v>
      </c>
      <c r="AY2992">
        <v>62</v>
      </c>
      <c r="AZ2992">
        <v>7.39</v>
      </c>
      <c r="BA2992">
        <v>36</v>
      </c>
      <c r="BB2992">
        <v>5.83</v>
      </c>
      <c r="BC2992">
        <v>40</v>
      </c>
      <c r="BD2992">
        <v>-0.03</v>
      </c>
      <c r="BE2992">
        <v>0.03</v>
      </c>
      <c r="BF2992">
        <v>0.12</v>
      </c>
      <c r="BG2992">
        <v>64</v>
      </c>
      <c r="BH2992">
        <v>0.04</v>
      </c>
      <c r="BI2992">
        <v>8.57</v>
      </c>
      <c r="BJ2992">
        <v>4</v>
      </c>
      <c r="BK2992">
        <v>4</v>
      </c>
      <c r="BL2992">
        <v>-0.23</v>
      </c>
      <c r="BM2992">
        <v>-0.74</v>
      </c>
      <c r="BN2992">
        <v>-0.64</v>
      </c>
      <c r="BO2992">
        <v>0.13</v>
      </c>
      <c r="BP2992">
        <v>1.44</v>
      </c>
      <c r="BQ2992">
        <v>-0.56000000000000005</v>
      </c>
      <c r="BR2992">
        <v>-0.61</v>
      </c>
      <c r="BS2992">
        <v>0.32</v>
      </c>
      <c r="BT2992">
        <v>-0.12</v>
      </c>
      <c r="BU2992">
        <v>0.43</v>
      </c>
      <c r="BV2992">
        <v>-0.71</v>
      </c>
      <c r="BW2992">
        <v>-0.49</v>
      </c>
      <c r="BX2992">
        <v>0.71</v>
      </c>
      <c r="BY2992">
        <v>-0.44</v>
      </c>
      <c r="BZ2992">
        <v>-0.1</v>
      </c>
      <c r="CA2992">
        <v>-0.26</v>
      </c>
      <c r="CB2992">
        <v>-0.11</v>
      </c>
      <c r="CC2992">
        <v>-0.26</v>
      </c>
      <c r="CD2992">
        <v>-0.19</v>
      </c>
      <c r="CE2992">
        <v>0.36</v>
      </c>
      <c r="CF2992">
        <v>-0.05</v>
      </c>
      <c r="CG2992">
        <v>0</v>
      </c>
      <c r="CH2992">
        <v>-0.76</v>
      </c>
      <c r="CI2992">
        <v>0</v>
      </c>
      <c r="CJ2992">
        <v>-1.5</v>
      </c>
      <c r="CK2992">
        <v>86</v>
      </c>
      <c r="CL2992">
        <v>-0.79</v>
      </c>
      <c r="CM2992">
        <v>83</v>
      </c>
      <c r="CN2992">
        <v>-0.41</v>
      </c>
      <c r="CO2992">
        <v>80</v>
      </c>
      <c r="CP2992">
        <v>-3</v>
      </c>
      <c r="CQ2992">
        <v>79</v>
      </c>
      <c r="CR2992">
        <v>0</v>
      </c>
      <c r="CS2992">
        <v>0</v>
      </c>
      <c r="CT2992">
        <v>0.9</v>
      </c>
      <c r="CU2992">
        <v>78</v>
      </c>
      <c r="CV2992">
        <v>0.23</v>
      </c>
      <c r="CW2992">
        <v>24</v>
      </c>
      <c r="CX2992" t="s">
        <v>9687</v>
      </c>
    </row>
    <row r="2993" spans="1:102" x14ac:dyDescent="0.3">
      <c r="A2993" t="str">
        <f>HYPERLINK("https://webapp.icbf.com/v2/app/bull-search/view/357427052","LYX")</f>
        <v>LYX</v>
      </c>
      <c r="B2993" t="s">
        <v>2892</v>
      </c>
      <c r="C2993" t="s">
        <v>298</v>
      </c>
      <c r="D2993" s="1">
        <v>34867</v>
      </c>
      <c r="E2993" t="s">
        <v>140</v>
      </c>
      <c r="F2993">
        <v>0</v>
      </c>
      <c r="G2993" t="s">
        <v>93</v>
      </c>
      <c r="H2993">
        <v>-2.38</v>
      </c>
      <c r="I2993">
        <v>92</v>
      </c>
      <c r="J2993">
        <v>-1.38</v>
      </c>
      <c r="K2993">
        <v>98</v>
      </c>
      <c r="L2993">
        <v>6.25</v>
      </c>
      <c r="M2993">
        <v>86</v>
      </c>
      <c r="N2993">
        <v>-24.67</v>
      </c>
      <c r="O2993">
        <v>93</v>
      </c>
      <c r="P2993">
        <v>20.67</v>
      </c>
      <c r="Q2993">
        <v>97</v>
      </c>
      <c r="R2993">
        <v>2.38</v>
      </c>
      <c r="S2993">
        <v>88</v>
      </c>
      <c r="T2993">
        <v>11.16</v>
      </c>
      <c r="U2993">
        <v>94</v>
      </c>
      <c r="V2993">
        <v>-16.79</v>
      </c>
      <c r="W2993">
        <v>89</v>
      </c>
      <c r="X2993" t="s">
        <v>102</v>
      </c>
      <c r="Y2993" t="s">
        <v>95</v>
      </c>
      <c r="Z2993">
        <v>0</v>
      </c>
      <c r="AA2993" t="s">
        <v>1296</v>
      </c>
      <c r="AB2993" t="s">
        <v>1611</v>
      </c>
      <c r="AC2993">
        <v>148</v>
      </c>
      <c r="AD2993">
        <v>82</v>
      </c>
      <c r="AE2993">
        <v>98</v>
      </c>
      <c r="AF2993">
        <v>63.97</v>
      </c>
      <c r="AG2993">
        <v>-1.43</v>
      </c>
      <c r="AH2993">
        <v>1.25</v>
      </c>
      <c r="AI2993">
        <v>-7.0000000000000007E-2</v>
      </c>
      <c r="AJ2993">
        <v>-0.02</v>
      </c>
      <c r="AK2993">
        <v>86</v>
      </c>
      <c r="AL2993">
        <v>224</v>
      </c>
      <c r="AM2993">
        <v>116</v>
      </c>
      <c r="AN2993">
        <v>-0.24</v>
      </c>
      <c r="AO2993">
        <v>0.26</v>
      </c>
      <c r="AP2993">
        <v>404</v>
      </c>
      <c r="AQ2993">
        <v>4</v>
      </c>
      <c r="AR2993">
        <v>8.69</v>
      </c>
      <c r="AS2993">
        <v>88</v>
      </c>
      <c r="AT2993">
        <v>4.5999999999999996</v>
      </c>
      <c r="AU2993">
        <v>93</v>
      </c>
      <c r="AV2993">
        <v>1.89</v>
      </c>
      <c r="AW2993">
        <v>97</v>
      </c>
      <c r="AX2993">
        <v>0.22</v>
      </c>
      <c r="AY2993">
        <v>92</v>
      </c>
      <c r="AZ2993">
        <v>3.85</v>
      </c>
      <c r="BA2993">
        <v>82</v>
      </c>
      <c r="BB2993">
        <v>3.76</v>
      </c>
      <c r="BC2993">
        <v>84</v>
      </c>
      <c r="BD2993">
        <v>0.02</v>
      </c>
      <c r="BE2993">
        <v>-0.02</v>
      </c>
      <c r="BF2993">
        <v>-0.05</v>
      </c>
      <c r="BG2993">
        <v>93</v>
      </c>
      <c r="BH2993">
        <v>-0.35</v>
      </c>
      <c r="BI2993">
        <v>13.69</v>
      </c>
      <c r="BJ2993">
        <v>1</v>
      </c>
      <c r="BK2993">
        <v>1</v>
      </c>
      <c r="BL2993">
        <v>-0.18</v>
      </c>
      <c r="BM2993">
        <v>3.64</v>
      </c>
      <c r="BN2993">
        <v>-1.01</v>
      </c>
      <c r="BO2993">
        <v>-2.4900000000000002</v>
      </c>
      <c r="BP2993">
        <v>4.1900000000000004</v>
      </c>
      <c r="BQ2993">
        <v>-1.41</v>
      </c>
      <c r="BR2993">
        <v>-2.62</v>
      </c>
      <c r="BS2993">
        <v>-0.56000000000000005</v>
      </c>
      <c r="BT2993">
        <v>2.3199999999999998</v>
      </c>
      <c r="BU2993">
        <v>-2.65</v>
      </c>
      <c r="BV2993">
        <v>-3.19</v>
      </c>
      <c r="BW2993">
        <v>-2.39</v>
      </c>
      <c r="BX2993">
        <v>-1.68</v>
      </c>
      <c r="BY2993">
        <v>-1.6</v>
      </c>
      <c r="BZ2993">
        <v>0.63</v>
      </c>
      <c r="CA2993">
        <v>-1.76</v>
      </c>
      <c r="CB2993">
        <v>-2.46</v>
      </c>
      <c r="CC2993">
        <v>0.08</v>
      </c>
      <c r="CD2993">
        <v>3.73</v>
      </c>
      <c r="CE2993">
        <v>-2.2999999999999998</v>
      </c>
      <c r="CF2993">
        <v>0</v>
      </c>
      <c r="CG2993">
        <v>0</v>
      </c>
      <c r="CH2993">
        <v>-1.82</v>
      </c>
      <c r="CI2993">
        <v>0</v>
      </c>
      <c r="CJ2993">
        <v>9.4</v>
      </c>
      <c r="CK2993">
        <v>98</v>
      </c>
      <c r="CL2993">
        <v>0.3</v>
      </c>
      <c r="CM2993">
        <v>97</v>
      </c>
      <c r="CN2993">
        <v>-0.36</v>
      </c>
      <c r="CO2993">
        <v>97</v>
      </c>
      <c r="CP2993">
        <v>2.6</v>
      </c>
      <c r="CQ2993">
        <v>95</v>
      </c>
      <c r="CR2993">
        <v>0</v>
      </c>
      <c r="CS2993">
        <v>0</v>
      </c>
      <c r="CT2993">
        <v>-1.3</v>
      </c>
      <c r="CU2993">
        <v>94</v>
      </c>
      <c r="CV2993">
        <v>0.26</v>
      </c>
      <c r="CW2993">
        <v>45</v>
      </c>
      <c r="CX2993" t="s">
        <v>1179</v>
      </c>
    </row>
    <row r="2994" spans="1:102" x14ac:dyDescent="0.3">
      <c r="A2994" t="str">
        <f>HYPERLINK("https://webapp.icbf.com/v2/app/bull-search/view/388952206","OLL")</f>
        <v>OLL</v>
      </c>
      <c r="B2994" t="s">
        <v>9949</v>
      </c>
      <c r="C2994" t="s">
        <v>9950</v>
      </c>
      <c r="D2994" s="1">
        <v>36017</v>
      </c>
      <c r="E2994" t="s">
        <v>140</v>
      </c>
      <c r="F2994">
        <v>0</v>
      </c>
      <c r="G2994" t="s">
        <v>93</v>
      </c>
      <c r="H2994">
        <v>-2.4300000000000002</v>
      </c>
      <c r="I2994">
        <v>76</v>
      </c>
      <c r="J2994">
        <v>6.47</v>
      </c>
      <c r="K2994">
        <v>93</v>
      </c>
      <c r="L2994">
        <v>50.41</v>
      </c>
      <c r="M2994">
        <v>59</v>
      </c>
      <c r="N2994">
        <v>-67.760000000000005</v>
      </c>
      <c r="O2994">
        <v>74</v>
      </c>
      <c r="P2994">
        <v>22.18</v>
      </c>
      <c r="Q2994">
        <v>88</v>
      </c>
      <c r="R2994">
        <v>5.71</v>
      </c>
      <c r="S2994">
        <v>66</v>
      </c>
      <c r="T2994">
        <v>-5.56</v>
      </c>
      <c r="U2994">
        <v>81</v>
      </c>
      <c r="V2994">
        <v>-13.88</v>
      </c>
      <c r="W2994">
        <v>63</v>
      </c>
      <c r="X2994" t="s">
        <v>102</v>
      </c>
      <c r="Y2994" t="s">
        <v>95</v>
      </c>
      <c r="Z2994">
        <v>0</v>
      </c>
      <c r="AA2994" t="s">
        <v>141</v>
      </c>
      <c r="AB2994" t="s">
        <v>9951</v>
      </c>
      <c r="AC2994">
        <v>56</v>
      </c>
      <c r="AD2994">
        <v>18</v>
      </c>
      <c r="AE2994">
        <v>93</v>
      </c>
      <c r="AF2994">
        <v>-92.75</v>
      </c>
      <c r="AG2994">
        <v>-4.83</v>
      </c>
      <c r="AH2994">
        <v>1.39</v>
      </c>
      <c r="AI2994">
        <v>-0.02</v>
      </c>
      <c r="AJ2994">
        <v>0.08</v>
      </c>
      <c r="AK2994">
        <v>59</v>
      </c>
      <c r="AL2994">
        <v>51</v>
      </c>
      <c r="AM2994">
        <v>23</v>
      </c>
      <c r="AN2994">
        <v>-1.96</v>
      </c>
      <c r="AO2994">
        <v>2.0699999999999998</v>
      </c>
      <c r="AP2994">
        <v>90</v>
      </c>
      <c r="AQ2994">
        <v>2</v>
      </c>
      <c r="AR2994">
        <v>14.12</v>
      </c>
      <c r="AS2994">
        <v>48</v>
      </c>
      <c r="AT2994">
        <v>6.71</v>
      </c>
      <c r="AU2994">
        <v>74</v>
      </c>
      <c r="AV2994">
        <v>1.02</v>
      </c>
      <c r="AW2994">
        <v>90</v>
      </c>
      <c r="AX2994">
        <v>0.45</v>
      </c>
      <c r="AY2994">
        <v>71</v>
      </c>
      <c r="AZ2994">
        <v>4.42</v>
      </c>
      <c r="BA2994">
        <v>45</v>
      </c>
      <c r="BB2994">
        <v>3.26</v>
      </c>
      <c r="BC2994">
        <v>52</v>
      </c>
      <c r="BD2994">
        <v>-0.02</v>
      </c>
      <c r="BE2994">
        <v>-0.02</v>
      </c>
      <c r="BF2994">
        <v>-0.06</v>
      </c>
      <c r="BG2994">
        <v>75</v>
      </c>
      <c r="BH2994">
        <v>-0.2</v>
      </c>
      <c r="BI2994">
        <v>21.63</v>
      </c>
      <c r="BJ2994">
        <v>0</v>
      </c>
      <c r="BK2994">
        <v>0</v>
      </c>
      <c r="BL2994">
        <v>-0.89</v>
      </c>
      <c r="BM2994">
        <v>3.09</v>
      </c>
      <c r="BN2994">
        <v>-1.62</v>
      </c>
      <c r="BO2994">
        <v>-2.76</v>
      </c>
      <c r="BP2994">
        <v>4.04</v>
      </c>
      <c r="BQ2994">
        <v>-2.0499999999999998</v>
      </c>
      <c r="BR2994">
        <v>-2.42</v>
      </c>
      <c r="BS2994">
        <v>-0.49</v>
      </c>
      <c r="BT2994">
        <v>2.4700000000000002</v>
      </c>
      <c r="BU2994">
        <v>-2.99</v>
      </c>
      <c r="BV2994">
        <v>-3.54</v>
      </c>
      <c r="BW2994">
        <v>-2.71</v>
      </c>
      <c r="BX2994">
        <v>-2.25</v>
      </c>
      <c r="BY2994">
        <v>-2.1</v>
      </c>
      <c r="BZ2994">
        <v>0.95</v>
      </c>
      <c r="CA2994">
        <v>-2.2999999999999998</v>
      </c>
      <c r="CB2994">
        <v>-2.88</v>
      </c>
      <c r="CC2994">
        <v>-0.48</v>
      </c>
      <c r="CD2994">
        <v>3.51</v>
      </c>
      <c r="CE2994">
        <v>-2.76</v>
      </c>
      <c r="CF2994">
        <v>-1.23</v>
      </c>
      <c r="CG2994">
        <v>0</v>
      </c>
      <c r="CH2994">
        <v>-2.63</v>
      </c>
      <c r="CI2994">
        <v>0</v>
      </c>
      <c r="CJ2994">
        <v>11.2</v>
      </c>
      <c r="CK2994">
        <v>89</v>
      </c>
      <c r="CL2994">
        <v>0.15</v>
      </c>
      <c r="CM2994">
        <v>87</v>
      </c>
      <c r="CN2994">
        <v>-0.26</v>
      </c>
      <c r="CO2994">
        <v>85</v>
      </c>
      <c r="CP2994">
        <v>14.2</v>
      </c>
      <c r="CQ2994">
        <v>84</v>
      </c>
      <c r="CR2994">
        <v>0</v>
      </c>
      <c r="CS2994">
        <v>0</v>
      </c>
      <c r="CT2994">
        <v>21.3</v>
      </c>
      <c r="CU2994">
        <v>81</v>
      </c>
      <c r="CV2994">
        <v>0.1</v>
      </c>
      <c r="CW2994">
        <v>25</v>
      </c>
      <c r="CX2994" t="s">
        <v>224</v>
      </c>
    </row>
    <row r="2995" spans="1:102" x14ac:dyDescent="0.3">
      <c r="A2995" t="str">
        <f>HYPERLINK("https://webapp.icbf.com/v2/app/bull-search/view/459123155","VNO")</f>
        <v>VNO</v>
      </c>
      <c r="B2995" t="s">
        <v>4762</v>
      </c>
      <c r="C2995" t="s">
        <v>4763</v>
      </c>
      <c r="D2995" s="1">
        <v>38827</v>
      </c>
      <c r="E2995" t="s">
        <v>92</v>
      </c>
      <c r="F2995">
        <v>100</v>
      </c>
      <c r="G2995" t="s">
        <v>93</v>
      </c>
      <c r="H2995">
        <v>-2.46</v>
      </c>
      <c r="I2995">
        <v>90</v>
      </c>
      <c r="J2995">
        <v>-3.09</v>
      </c>
      <c r="K2995">
        <v>97</v>
      </c>
      <c r="L2995">
        <v>-35.39</v>
      </c>
      <c r="M2995">
        <v>83</v>
      </c>
      <c r="N2995">
        <v>30.43</v>
      </c>
      <c r="O2995">
        <v>89</v>
      </c>
      <c r="P2995">
        <v>4.5999999999999996</v>
      </c>
      <c r="Q2995">
        <v>95</v>
      </c>
      <c r="R2995">
        <v>0.57999999999999996</v>
      </c>
      <c r="S2995">
        <v>85</v>
      </c>
      <c r="T2995">
        <v>-0.46</v>
      </c>
      <c r="U2995">
        <v>90</v>
      </c>
      <c r="V2995">
        <v>0.87</v>
      </c>
      <c r="W2995">
        <v>86</v>
      </c>
      <c r="X2995" t="s">
        <v>102</v>
      </c>
      <c r="Y2995" t="s">
        <v>1251</v>
      </c>
      <c r="Z2995" t="s">
        <v>96</v>
      </c>
      <c r="AA2995" t="s">
        <v>316</v>
      </c>
      <c r="AB2995" t="s">
        <v>4764</v>
      </c>
      <c r="AC2995">
        <v>112</v>
      </c>
      <c r="AD2995">
        <v>72</v>
      </c>
      <c r="AE2995">
        <v>97</v>
      </c>
      <c r="AF2995">
        <v>647.05999999999995</v>
      </c>
      <c r="AG2995">
        <v>7.12</v>
      </c>
      <c r="AH2995">
        <v>6.86</v>
      </c>
      <c r="AI2995">
        <v>-0.28000000000000003</v>
      </c>
      <c r="AJ2995">
        <v>-0.24</v>
      </c>
      <c r="AK2995">
        <v>83</v>
      </c>
      <c r="AL2995">
        <v>115</v>
      </c>
      <c r="AM2995">
        <v>66</v>
      </c>
      <c r="AN2995">
        <v>2.88</v>
      </c>
      <c r="AO2995">
        <v>7.0000000000000007E-2</v>
      </c>
      <c r="AP2995">
        <v>257</v>
      </c>
      <c r="AQ2995">
        <v>1</v>
      </c>
      <c r="AR2995">
        <v>6.57</v>
      </c>
      <c r="AS2995">
        <v>76</v>
      </c>
      <c r="AT2995">
        <v>2.4</v>
      </c>
      <c r="AU2995">
        <v>91</v>
      </c>
      <c r="AV2995">
        <v>-2.8</v>
      </c>
      <c r="AW2995">
        <v>97</v>
      </c>
      <c r="AX2995">
        <v>-0.41</v>
      </c>
      <c r="AY2995">
        <v>85</v>
      </c>
      <c r="AZ2995">
        <v>6.47</v>
      </c>
      <c r="BA2995">
        <v>69</v>
      </c>
      <c r="BB2995">
        <v>5.23</v>
      </c>
      <c r="BC2995">
        <v>73</v>
      </c>
      <c r="BD2995">
        <v>0.01</v>
      </c>
      <c r="BE2995">
        <v>0</v>
      </c>
      <c r="BF2995">
        <v>-0.03</v>
      </c>
      <c r="BG2995">
        <v>91</v>
      </c>
      <c r="BH2995">
        <v>0.14000000000000001</v>
      </c>
      <c r="BI2995">
        <v>13.39</v>
      </c>
      <c r="BJ2995">
        <v>11</v>
      </c>
      <c r="BK2995">
        <v>8</v>
      </c>
      <c r="BL2995">
        <v>0.17</v>
      </c>
      <c r="BM2995">
        <v>2.41</v>
      </c>
      <c r="BN2995">
        <v>1.43</v>
      </c>
      <c r="BO2995">
        <v>-0.37</v>
      </c>
      <c r="BP2995">
        <v>-0.78</v>
      </c>
      <c r="BQ2995">
        <v>0.92</v>
      </c>
      <c r="BR2995">
        <v>-2.08</v>
      </c>
      <c r="BS2995">
        <v>0.76</v>
      </c>
      <c r="BT2995">
        <v>1.23</v>
      </c>
      <c r="BU2995">
        <v>-1.37</v>
      </c>
      <c r="BV2995">
        <v>-1.84</v>
      </c>
      <c r="BW2995">
        <v>-1.58</v>
      </c>
      <c r="BX2995">
        <v>-0.82</v>
      </c>
      <c r="BY2995">
        <v>-1.34</v>
      </c>
      <c r="BZ2995">
        <v>-0.47</v>
      </c>
      <c r="CA2995">
        <v>-0.27</v>
      </c>
      <c r="CB2995">
        <v>-0.98</v>
      </c>
      <c r="CC2995">
        <v>0.91</v>
      </c>
      <c r="CD2995">
        <v>1.5</v>
      </c>
      <c r="CE2995">
        <v>-0.28000000000000003</v>
      </c>
      <c r="CF2995">
        <v>1.1100000000000001</v>
      </c>
      <c r="CG2995">
        <v>0</v>
      </c>
      <c r="CH2995">
        <v>-0.68</v>
      </c>
      <c r="CI2995">
        <v>0</v>
      </c>
      <c r="CJ2995">
        <v>2.7</v>
      </c>
      <c r="CK2995">
        <v>96</v>
      </c>
      <c r="CL2995">
        <v>-0.42</v>
      </c>
      <c r="CM2995">
        <v>95</v>
      </c>
      <c r="CN2995">
        <v>-0.39</v>
      </c>
      <c r="CO2995">
        <v>95</v>
      </c>
      <c r="CP2995">
        <v>4.3</v>
      </c>
      <c r="CQ2995">
        <v>91</v>
      </c>
      <c r="CR2995">
        <v>0</v>
      </c>
      <c r="CS2995">
        <v>0</v>
      </c>
      <c r="CT2995">
        <v>14.4</v>
      </c>
      <c r="CU2995">
        <v>90</v>
      </c>
      <c r="CV2995">
        <v>0.14000000000000001</v>
      </c>
      <c r="CW2995">
        <v>48</v>
      </c>
      <c r="CX2995" t="s">
        <v>3977</v>
      </c>
    </row>
    <row r="2996" spans="1:102" x14ac:dyDescent="0.3">
      <c r="A2996" t="str">
        <f>HYPERLINK("https://webapp.icbf.com/v2/app/bull-search/view/559585435","CTJ")</f>
        <v>CTJ</v>
      </c>
      <c r="B2996" t="s">
        <v>1111</v>
      </c>
      <c r="C2996" t="s">
        <v>1112</v>
      </c>
      <c r="D2996" s="1">
        <v>39488</v>
      </c>
      <c r="E2996" t="s">
        <v>92</v>
      </c>
      <c r="F2996">
        <v>88</v>
      </c>
      <c r="G2996" t="s">
        <v>93</v>
      </c>
      <c r="H2996">
        <v>-2.5099999999999998</v>
      </c>
      <c r="I2996">
        <v>87</v>
      </c>
      <c r="J2996">
        <v>21.66</v>
      </c>
      <c r="K2996">
        <v>97</v>
      </c>
      <c r="L2996">
        <v>-36.69</v>
      </c>
      <c r="M2996">
        <v>78</v>
      </c>
      <c r="N2996">
        <v>15.14</v>
      </c>
      <c r="O2996">
        <v>86</v>
      </c>
      <c r="P2996">
        <v>-11.36</v>
      </c>
      <c r="Q2996">
        <v>90</v>
      </c>
      <c r="R2996">
        <v>-9.35</v>
      </c>
      <c r="S2996">
        <v>82</v>
      </c>
      <c r="T2996">
        <v>22.71</v>
      </c>
      <c r="U2996">
        <v>88</v>
      </c>
      <c r="V2996">
        <v>-4.62</v>
      </c>
      <c r="W2996">
        <v>82</v>
      </c>
      <c r="X2996" t="s">
        <v>94</v>
      </c>
      <c r="Y2996" t="s">
        <v>1113</v>
      </c>
      <c r="Z2996" t="s">
        <v>96</v>
      </c>
      <c r="AA2996" t="s">
        <v>1114</v>
      </c>
      <c r="AB2996" t="s">
        <v>1115</v>
      </c>
      <c r="AC2996">
        <v>94</v>
      </c>
      <c r="AD2996">
        <v>61</v>
      </c>
      <c r="AE2996">
        <v>97</v>
      </c>
      <c r="AF2996">
        <v>76.650000000000006</v>
      </c>
      <c r="AG2996">
        <v>0.84</v>
      </c>
      <c r="AH2996">
        <v>4.5599999999999996</v>
      </c>
      <c r="AI2996">
        <v>-0.04</v>
      </c>
      <c r="AJ2996">
        <v>0.03</v>
      </c>
      <c r="AK2996">
        <v>78</v>
      </c>
      <c r="AL2996">
        <v>93</v>
      </c>
      <c r="AM2996">
        <v>62</v>
      </c>
      <c r="AN2996">
        <v>0.89</v>
      </c>
      <c r="AO2996">
        <v>-2.0499999999999998</v>
      </c>
      <c r="AP2996">
        <v>187</v>
      </c>
      <c r="AQ2996">
        <v>1</v>
      </c>
      <c r="AR2996">
        <v>6.95</v>
      </c>
      <c r="AS2996">
        <v>70</v>
      </c>
      <c r="AT2996">
        <v>3.25</v>
      </c>
      <c r="AU2996">
        <v>88</v>
      </c>
      <c r="AV2996">
        <v>-1.02</v>
      </c>
      <c r="AW2996">
        <v>96</v>
      </c>
      <c r="AX2996">
        <v>-0.26</v>
      </c>
      <c r="AY2996">
        <v>80</v>
      </c>
      <c r="AZ2996">
        <v>4.6900000000000004</v>
      </c>
      <c r="BA2996">
        <v>67</v>
      </c>
      <c r="BB2996">
        <v>4.28</v>
      </c>
      <c r="BC2996">
        <v>69</v>
      </c>
      <c r="BD2996">
        <v>0.03</v>
      </c>
      <c r="BE2996">
        <v>0.05</v>
      </c>
      <c r="BF2996">
        <v>7.0000000000000007E-2</v>
      </c>
      <c r="BG2996">
        <v>89</v>
      </c>
      <c r="BH2996">
        <v>-0.28000000000000003</v>
      </c>
      <c r="BI2996">
        <v>-17.489999999999998</v>
      </c>
      <c r="BJ2996">
        <v>19</v>
      </c>
      <c r="BK2996">
        <v>12</v>
      </c>
      <c r="BL2996">
        <v>-0.31</v>
      </c>
      <c r="BM2996">
        <v>-0.97</v>
      </c>
      <c r="BN2996">
        <v>-1.06</v>
      </c>
      <c r="BO2996">
        <v>0.04</v>
      </c>
      <c r="BP2996">
        <v>3.47</v>
      </c>
      <c r="BQ2996">
        <v>-0.92</v>
      </c>
      <c r="BR2996">
        <v>0.35</v>
      </c>
      <c r="BS2996">
        <v>-0.1</v>
      </c>
      <c r="BT2996">
        <v>-0.76</v>
      </c>
      <c r="BU2996">
        <v>-0.87</v>
      </c>
      <c r="BV2996">
        <v>-0.22</v>
      </c>
      <c r="BW2996">
        <v>-0.18</v>
      </c>
      <c r="BX2996">
        <v>-0.31</v>
      </c>
      <c r="BY2996">
        <v>-0.21</v>
      </c>
      <c r="BZ2996">
        <v>1.28</v>
      </c>
      <c r="CA2996">
        <v>-0.76</v>
      </c>
      <c r="CB2996">
        <v>-0.68</v>
      </c>
      <c r="CC2996">
        <v>-0.6</v>
      </c>
      <c r="CD2996">
        <v>-0.82</v>
      </c>
      <c r="CE2996">
        <v>-0.11</v>
      </c>
      <c r="CF2996">
        <v>-0.85</v>
      </c>
      <c r="CG2996">
        <v>0</v>
      </c>
      <c r="CH2996">
        <v>-0.63</v>
      </c>
      <c r="CI2996">
        <v>0</v>
      </c>
      <c r="CJ2996">
        <v>-4.9000000000000004</v>
      </c>
      <c r="CK2996">
        <v>91</v>
      </c>
      <c r="CL2996">
        <v>-0.66</v>
      </c>
      <c r="CM2996">
        <v>89</v>
      </c>
      <c r="CN2996">
        <v>-0.35</v>
      </c>
      <c r="CO2996">
        <v>88</v>
      </c>
      <c r="CP2996">
        <v>-12.6</v>
      </c>
      <c r="CQ2996">
        <v>89</v>
      </c>
      <c r="CR2996">
        <v>0</v>
      </c>
      <c r="CS2996">
        <v>0</v>
      </c>
      <c r="CT2996">
        <v>-16.899999999999999</v>
      </c>
      <c r="CU2996">
        <v>88</v>
      </c>
      <c r="CV2996">
        <v>0.05</v>
      </c>
      <c r="CW2996">
        <v>44</v>
      </c>
      <c r="CX2996" t="s">
        <v>1116</v>
      </c>
    </row>
    <row r="2997" spans="1:102" x14ac:dyDescent="0.3">
      <c r="A2997" t="str">
        <f>HYPERLINK("https://webapp.icbf.com/v2/app/bull-search/view/77853247","TVB")</f>
        <v>TVB</v>
      </c>
      <c r="B2997" t="s">
        <v>10406</v>
      </c>
      <c r="C2997" t="s">
        <v>10407</v>
      </c>
      <c r="D2997" s="1">
        <v>36155</v>
      </c>
      <c r="E2997" t="s">
        <v>92</v>
      </c>
      <c r="F2997">
        <v>100</v>
      </c>
      <c r="G2997" t="s">
        <v>93</v>
      </c>
      <c r="H2997">
        <v>-2.62</v>
      </c>
      <c r="I2997">
        <v>74</v>
      </c>
      <c r="J2997">
        <v>2.27</v>
      </c>
      <c r="K2997">
        <v>93</v>
      </c>
      <c r="L2997">
        <v>-34.64</v>
      </c>
      <c r="M2997">
        <v>60</v>
      </c>
      <c r="N2997">
        <v>27.55</v>
      </c>
      <c r="O2997">
        <v>62</v>
      </c>
      <c r="P2997">
        <v>-18.89</v>
      </c>
      <c r="Q2997">
        <v>81</v>
      </c>
      <c r="R2997">
        <v>-4.07</v>
      </c>
      <c r="S2997">
        <v>64</v>
      </c>
      <c r="T2997">
        <v>28.48</v>
      </c>
      <c r="U2997">
        <v>88</v>
      </c>
      <c r="V2997">
        <v>-3.32</v>
      </c>
      <c r="W2997">
        <v>38</v>
      </c>
      <c r="X2997" t="s">
        <v>94</v>
      </c>
      <c r="Y2997" t="s">
        <v>95</v>
      </c>
      <c r="Z2997" t="s">
        <v>96</v>
      </c>
      <c r="AA2997" t="s">
        <v>216</v>
      </c>
      <c r="AB2997" t="s">
        <v>10408</v>
      </c>
      <c r="AC2997">
        <v>57</v>
      </c>
      <c r="AD2997">
        <v>49</v>
      </c>
      <c r="AE2997">
        <v>93</v>
      </c>
      <c r="AF2997">
        <v>335.11</v>
      </c>
      <c r="AG2997">
        <v>2.39</v>
      </c>
      <c r="AH2997">
        <v>4.67</v>
      </c>
      <c r="AI2997">
        <v>-0.17</v>
      </c>
      <c r="AJ2997">
        <v>-0.11</v>
      </c>
      <c r="AK2997">
        <v>60</v>
      </c>
      <c r="AL2997">
        <v>66</v>
      </c>
      <c r="AM2997">
        <v>54</v>
      </c>
      <c r="AN2997">
        <v>2.85</v>
      </c>
      <c r="AO2997">
        <v>0.1</v>
      </c>
      <c r="AP2997">
        <v>4</v>
      </c>
      <c r="AQ2997">
        <v>0</v>
      </c>
      <c r="AR2997">
        <v>5.93</v>
      </c>
      <c r="AS2997">
        <v>42</v>
      </c>
      <c r="AT2997">
        <v>2.5</v>
      </c>
      <c r="AU2997">
        <v>58</v>
      </c>
      <c r="AV2997">
        <v>-1.76</v>
      </c>
      <c r="AW2997">
        <v>70</v>
      </c>
      <c r="AX2997">
        <v>-0.5</v>
      </c>
      <c r="AY2997">
        <v>72</v>
      </c>
      <c r="AZ2997">
        <v>5.23</v>
      </c>
      <c r="BA2997">
        <v>46</v>
      </c>
      <c r="BB2997">
        <v>4.6900000000000004</v>
      </c>
      <c r="BC2997">
        <v>53</v>
      </c>
      <c r="BD2997">
        <v>0.04</v>
      </c>
      <c r="BE2997">
        <v>0.03</v>
      </c>
      <c r="BF2997">
        <v>-0.03</v>
      </c>
      <c r="BG2997">
        <v>77</v>
      </c>
      <c r="BH2997">
        <v>-7.0000000000000007E-2</v>
      </c>
      <c r="BI2997">
        <v>2.6</v>
      </c>
      <c r="BJ2997">
        <v>18</v>
      </c>
      <c r="BK2997">
        <v>13</v>
      </c>
      <c r="BL2997">
        <v>-0.57999999999999996</v>
      </c>
      <c r="BM2997">
        <v>-0.33</v>
      </c>
      <c r="BN2997">
        <v>-0.68</v>
      </c>
      <c r="BO2997">
        <v>-0.47</v>
      </c>
      <c r="BP2997">
        <v>0.46</v>
      </c>
      <c r="BQ2997">
        <v>-1.1599999999999999</v>
      </c>
      <c r="BR2997">
        <v>-0.3</v>
      </c>
      <c r="BS2997">
        <v>-1.05</v>
      </c>
      <c r="BT2997">
        <v>-0.81</v>
      </c>
      <c r="BU2997">
        <v>-0.69</v>
      </c>
      <c r="BV2997">
        <v>-0.19</v>
      </c>
      <c r="BW2997">
        <v>-0.23</v>
      </c>
      <c r="BX2997">
        <v>-0.62</v>
      </c>
      <c r="BY2997">
        <v>0.28999999999999998</v>
      </c>
      <c r="BZ2997">
        <v>-0.04</v>
      </c>
      <c r="CA2997">
        <v>-0.71</v>
      </c>
      <c r="CB2997">
        <v>-0.75</v>
      </c>
      <c r="CC2997">
        <v>-0.39</v>
      </c>
      <c r="CD2997">
        <v>0.59</v>
      </c>
      <c r="CE2997">
        <v>-0.96</v>
      </c>
      <c r="CF2997">
        <v>-0.7</v>
      </c>
      <c r="CG2997">
        <v>0</v>
      </c>
      <c r="CH2997">
        <v>-0.77</v>
      </c>
      <c r="CI2997">
        <v>0</v>
      </c>
      <c r="CJ2997">
        <v>-7.8</v>
      </c>
      <c r="CK2997">
        <v>82</v>
      </c>
      <c r="CL2997">
        <v>-0.71</v>
      </c>
      <c r="CM2997">
        <v>78</v>
      </c>
      <c r="CN2997">
        <v>-0.18</v>
      </c>
      <c r="CO2997">
        <v>75</v>
      </c>
      <c r="CP2997">
        <v>-19.399999999999999</v>
      </c>
      <c r="CQ2997">
        <v>87</v>
      </c>
      <c r="CR2997">
        <v>0</v>
      </c>
      <c r="CS2997">
        <v>0</v>
      </c>
      <c r="CT2997">
        <v>-24.7</v>
      </c>
      <c r="CU2997">
        <v>88</v>
      </c>
      <c r="CV2997">
        <v>0.13</v>
      </c>
      <c r="CW2997">
        <v>24</v>
      </c>
      <c r="CX2997" t="s">
        <v>105</v>
      </c>
    </row>
    <row r="2998" spans="1:102" x14ac:dyDescent="0.3">
      <c r="A2998" t="str">
        <f>HYPERLINK("https://webapp.icbf.com/v2/app/bull-search/view/660041403","S1287")</f>
        <v>S1287</v>
      </c>
      <c r="B2998" t="s">
        <v>2678</v>
      </c>
      <c r="C2998" t="s">
        <v>2679</v>
      </c>
      <c r="D2998" s="1">
        <v>38233</v>
      </c>
      <c r="E2998" t="s">
        <v>140</v>
      </c>
      <c r="F2998">
        <v>0</v>
      </c>
      <c r="G2998" t="s">
        <v>109</v>
      </c>
      <c r="H2998">
        <v>-2.69</v>
      </c>
      <c r="I2998">
        <v>56</v>
      </c>
      <c r="J2998">
        <v>-4.1100000000000003</v>
      </c>
      <c r="K2998">
        <v>75</v>
      </c>
      <c r="L2998">
        <v>37.700000000000003</v>
      </c>
      <c r="M2998">
        <v>40</v>
      </c>
      <c r="N2998">
        <v>-45.04</v>
      </c>
      <c r="O2998">
        <v>46</v>
      </c>
      <c r="P2998">
        <v>10.18</v>
      </c>
      <c r="Q2998">
        <v>81</v>
      </c>
      <c r="R2998">
        <v>-2.23</v>
      </c>
      <c r="S2998">
        <v>41</v>
      </c>
      <c r="T2998">
        <v>5.69</v>
      </c>
      <c r="U2998">
        <v>50</v>
      </c>
      <c r="V2998">
        <v>-4.88</v>
      </c>
      <c r="W2998">
        <v>27</v>
      </c>
      <c r="X2998" t="s">
        <v>251</v>
      </c>
      <c r="Y2998" t="s">
        <v>342</v>
      </c>
      <c r="Z2998">
        <v>0</v>
      </c>
      <c r="AA2998" t="s">
        <v>139</v>
      </c>
      <c r="AB2998" t="s">
        <v>1557</v>
      </c>
      <c r="AC2998">
        <v>0</v>
      </c>
      <c r="AD2998">
        <v>0</v>
      </c>
      <c r="AE2998">
        <v>75</v>
      </c>
      <c r="AF2998">
        <v>-190.56</v>
      </c>
      <c r="AG2998">
        <v>-7.76</v>
      </c>
      <c r="AH2998">
        <v>-0.87</v>
      </c>
      <c r="AI2998">
        <v>-0.01</v>
      </c>
      <c r="AJ2998">
        <v>0.1</v>
      </c>
      <c r="AK2998">
        <v>40</v>
      </c>
      <c r="AL2998">
        <v>26</v>
      </c>
      <c r="AM2998">
        <v>8</v>
      </c>
      <c r="AN2998">
        <v>-2.5499999999999998</v>
      </c>
      <c r="AO2998">
        <v>0.45</v>
      </c>
      <c r="AP2998">
        <v>20</v>
      </c>
      <c r="AQ2998">
        <v>1</v>
      </c>
      <c r="AR2998">
        <v>9.8699999999999992</v>
      </c>
      <c r="AS2998">
        <v>30</v>
      </c>
      <c r="AT2998">
        <v>4.88</v>
      </c>
      <c r="AU2998">
        <v>42</v>
      </c>
      <c r="AV2998">
        <v>3.3</v>
      </c>
      <c r="AW2998">
        <v>60</v>
      </c>
      <c r="AX2998">
        <v>0.14000000000000001</v>
      </c>
      <c r="AY2998">
        <v>55</v>
      </c>
      <c r="AZ2998">
        <v>4.9000000000000004</v>
      </c>
      <c r="BA2998">
        <v>25</v>
      </c>
      <c r="BB2998">
        <v>3.97</v>
      </c>
      <c r="BC2998">
        <v>23</v>
      </c>
      <c r="BD2998">
        <v>0.02</v>
      </c>
      <c r="BE2998">
        <v>0.02</v>
      </c>
      <c r="BF2998">
        <v>-0.02</v>
      </c>
      <c r="BG2998">
        <v>49</v>
      </c>
      <c r="BH2998">
        <v>-0.23</v>
      </c>
      <c r="BI2998">
        <v>-10.87</v>
      </c>
      <c r="BJ2998">
        <v>0</v>
      </c>
      <c r="BK2998">
        <v>0</v>
      </c>
      <c r="BL2998">
        <v>-0.81</v>
      </c>
      <c r="BM2998">
        <v>3.36</v>
      </c>
      <c r="BN2998">
        <v>-1.76</v>
      </c>
      <c r="BO2998">
        <v>-2.96</v>
      </c>
      <c r="BP2998">
        <v>4.3099999999999996</v>
      </c>
      <c r="BQ2998">
        <v>-2.3199999999999998</v>
      </c>
      <c r="BR2998">
        <v>-2.83</v>
      </c>
      <c r="BS2998">
        <v>-0.41</v>
      </c>
      <c r="BT2998">
        <v>2.65</v>
      </c>
      <c r="BU2998">
        <v>-3.45</v>
      </c>
      <c r="BV2998">
        <v>-4.03</v>
      </c>
      <c r="BW2998">
        <v>-3.06</v>
      </c>
      <c r="BX2998">
        <v>-2.69</v>
      </c>
      <c r="BY2998">
        <v>-2.17</v>
      </c>
      <c r="BZ2998">
        <v>1.24</v>
      </c>
      <c r="CA2998">
        <v>-2.5499999999999998</v>
      </c>
      <c r="CB2998">
        <v>-3.26</v>
      </c>
      <c r="CC2998">
        <v>-0.43</v>
      </c>
      <c r="CD2998">
        <v>3.86</v>
      </c>
      <c r="CE2998">
        <v>-2.93</v>
      </c>
      <c r="CF2998">
        <v>-1.04</v>
      </c>
      <c r="CG2998">
        <v>0</v>
      </c>
      <c r="CH2998">
        <v>-2.76</v>
      </c>
      <c r="CI2998">
        <v>0</v>
      </c>
      <c r="CJ2998">
        <v>2.2000000000000002</v>
      </c>
      <c r="CK2998">
        <v>84</v>
      </c>
      <c r="CL2998">
        <v>0.27</v>
      </c>
      <c r="CM2998">
        <v>81</v>
      </c>
      <c r="CN2998">
        <v>-0.3</v>
      </c>
      <c r="CO2998">
        <v>79</v>
      </c>
      <c r="CP2998">
        <v>5.6</v>
      </c>
      <c r="CQ2998">
        <v>61</v>
      </c>
      <c r="CR2998">
        <v>0</v>
      </c>
      <c r="CS2998">
        <v>0</v>
      </c>
      <c r="CT2998">
        <v>6.1</v>
      </c>
      <c r="CU2998">
        <v>50</v>
      </c>
      <c r="CV2998">
        <v>-0.15</v>
      </c>
      <c r="CW2998">
        <v>23</v>
      </c>
      <c r="CX2998" t="s">
        <v>295</v>
      </c>
    </row>
    <row r="2999" spans="1:102" x14ac:dyDescent="0.3">
      <c r="A2999" t="str">
        <f>HYPERLINK("https://webapp.icbf.com/v2/app/bull-search/view/77855860","LNM")</f>
        <v>LNM</v>
      </c>
      <c r="B2999" t="s">
        <v>12414</v>
      </c>
      <c r="C2999" t="s">
        <v>12415</v>
      </c>
      <c r="D2999" s="1">
        <v>31528</v>
      </c>
      <c r="E2999" t="s">
        <v>92</v>
      </c>
      <c r="F2999">
        <v>100</v>
      </c>
      <c r="G2999" t="s">
        <v>109</v>
      </c>
      <c r="H2999">
        <v>-2.69</v>
      </c>
      <c r="I2999">
        <v>61</v>
      </c>
      <c r="J2999">
        <v>-22.1</v>
      </c>
      <c r="K2999">
        <v>76</v>
      </c>
      <c r="L2999">
        <v>14.95</v>
      </c>
      <c r="M2999">
        <v>66</v>
      </c>
      <c r="N2999">
        <v>2.8</v>
      </c>
      <c r="O2999">
        <v>34</v>
      </c>
      <c r="P2999">
        <v>3.79</v>
      </c>
      <c r="Q2999">
        <v>46</v>
      </c>
      <c r="R2999">
        <v>-8.34</v>
      </c>
      <c r="S2999">
        <v>57</v>
      </c>
      <c r="T2999">
        <v>3.84</v>
      </c>
      <c r="U2999">
        <v>52</v>
      </c>
      <c r="V2999">
        <v>2.37</v>
      </c>
      <c r="W2999">
        <v>24</v>
      </c>
      <c r="X2999" t="s">
        <v>110</v>
      </c>
      <c r="Y2999" t="s">
        <v>95</v>
      </c>
      <c r="Z2999" t="s">
        <v>96</v>
      </c>
      <c r="AA2999" t="s">
        <v>128</v>
      </c>
      <c r="AB2999" t="s">
        <v>12416</v>
      </c>
      <c r="AC2999">
        <v>0</v>
      </c>
      <c r="AD2999">
        <v>0</v>
      </c>
      <c r="AE2999">
        <v>76</v>
      </c>
      <c r="AF2999">
        <v>22</v>
      </c>
      <c r="AG2999">
        <v>-6.76</v>
      </c>
      <c r="AH2999">
        <v>-1.03</v>
      </c>
      <c r="AI2999">
        <v>-0.13</v>
      </c>
      <c r="AJ2999">
        <v>-0.03</v>
      </c>
      <c r="AK2999">
        <v>66</v>
      </c>
      <c r="AL2999">
        <v>0</v>
      </c>
      <c r="AM2999">
        <v>0</v>
      </c>
      <c r="AN2999">
        <v>-0.23</v>
      </c>
      <c r="AO2999">
        <v>0.97</v>
      </c>
      <c r="AP2999">
        <v>3</v>
      </c>
      <c r="AQ2999">
        <v>0</v>
      </c>
      <c r="AR2999">
        <v>7.04</v>
      </c>
      <c r="AS2999">
        <v>24</v>
      </c>
      <c r="AT2999">
        <v>3</v>
      </c>
      <c r="AU2999">
        <v>35</v>
      </c>
      <c r="AV2999">
        <v>0.7</v>
      </c>
      <c r="AW2999">
        <v>39</v>
      </c>
      <c r="AX2999">
        <v>-0.64</v>
      </c>
      <c r="AY2999">
        <v>39</v>
      </c>
      <c r="AZ2999">
        <v>5.56</v>
      </c>
      <c r="BA2999">
        <v>25</v>
      </c>
      <c r="BB2999">
        <v>4.38</v>
      </c>
      <c r="BC2999">
        <v>24</v>
      </c>
      <c r="BD2999">
        <v>0.04</v>
      </c>
      <c r="BE2999">
        <v>0.05</v>
      </c>
      <c r="BF2999">
        <v>0.03</v>
      </c>
      <c r="BG2999">
        <v>79</v>
      </c>
      <c r="BH2999">
        <v>0.08</v>
      </c>
      <c r="BI2999">
        <v>1.61</v>
      </c>
      <c r="BJ2999">
        <v>0</v>
      </c>
      <c r="BK2999">
        <v>0</v>
      </c>
      <c r="BL2999">
        <v>-0.28000000000000003</v>
      </c>
      <c r="BM2999">
        <v>0.69</v>
      </c>
      <c r="BN2999">
        <v>-0.55000000000000004</v>
      </c>
      <c r="BO2999">
        <v>-0.77</v>
      </c>
      <c r="BP2999">
        <v>-0.3</v>
      </c>
      <c r="BQ2999">
        <v>-1.07</v>
      </c>
      <c r="BR2999">
        <v>-0.09</v>
      </c>
      <c r="BS2999">
        <v>-0.19</v>
      </c>
      <c r="BT2999">
        <v>0.22</v>
      </c>
      <c r="BU2999">
        <v>-0.92</v>
      </c>
      <c r="BV2999">
        <v>-0.54</v>
      </c>
      <c r="BW2999">
        <v>-0.66</v>
      </c>
      <c r="BX2999">
        <v>-0.9</v>
      </c>
      <c r="BY2999">
        <v>0.22</v>
      </c>
      <c r="BZ2999">
        <v>-2.2400000000000002</v>
      </c>
      <c r="CA2999">
        <v>-0.98</v>
      </c>
      <c r="CB2999">
        <v>-0.89</v>
      </c>
      <c r="CC2999">
        <v>0</v>
      </c>
      <c r="CD2999">
        <v>0.79</v>
      </c>
      <c r="CE2999">
        <v>0</v>
      </c>
      <c r="CF2999">
        <v>0</v>
      </c>
      <c r="CG2999">
        <v>0</v>
      </c>
      <c r="CH2999">
        <v>0</v>
      </c>
      <c r="CI2999">
        <v>0</v>
      </c>
      <c r="CJ2999">
        <v>3.5</v>
      </c>
      <c r="CK2999">
        <v>48</v>
      </c>
      <c r="CL2999">
        <v>-0.44</v>
      </c>
      <c r="CM2999">
        <v>44</v>
      </c>
      <c r="CN2999">
        <v>-0.28000000000000003</v>
      </c>
      <c r="CO2999">
        <v>40</v>
      </c>
      <c r="CP2999">
        <v>1.5</v>
      </c>
      <c r="CQ2999">
        <v>52</v>
      </c>
      <c r="CR2999">
        <v>0</v>
      </c>
      <c r="CS2999">
        <v>0</v>
      </c>
      <c r="CT2999">
        <v>8.6</v>
      </c>
      <c r="CU2999">
        <v>52</v>
      </c>
      <c r="CV2999">
        <v>0.18</v>
      </c>
      <c r="CW2999">
        <v>13</v>
      </c>
      <c r="CX2999" t="s">
        <v>3391</v>
      </c>
    </row>
    <row r="3000" spans="1:102" x14ac:dyDescent="0.3">
      <c r="A3000" t="str">
        <f>HYPERLINK("https://webapp.icbf.com/v2/app/bull-search/view/77853880","SKJ")</f>
        <v>SKJ</v>
      </c>
      <c r="B3000" t="s">
        <v>15251</v>
      </c>
      <c r="C3000" t="s">
        <v>15252</v>
      </c>
      <c r="D3000" s="1">
        <v>32927</v>
      </c>
      <c r="E3000" t="s">
        <v>108</v>
      </c>
      <c r="F3000">
        <v>0</v>
      </c>
      <c r="G3000" t="s">
        <v>93</v>
      </c>
      <c r="H3000">
        <v>-2.69</v>
      </c>
      <c r="I3000">
        <v>74</v>
      </c>
      <c r="J3000">
        <v>-52.94</v>
      </c>
      <c r="K3000">
        <v>90</v>
      </c>
      <c r="L3000">
        <v>43.94</v>
      </c>
      <c r="M3000">
        <v>67</v>
      </c>
      <c r="N3000">
        <v>-1.54</v>
      </c>
      <c r="O3000">
        <v>58</v>
      </c>
      <c r="P3000">
        <v>-7.36</v>
      </c>
      <c r="Q3000">
        <v>83</v>
      </c>
      <c r="R3000">
        <v>-1.99</v>
      </c>
      <c r="S3000">
        <v>68</v>
      </c>
      <c r="T3000">
        <v>19.3</v>
      </c>
      <c r="U3000">
        <v>68</v>
      </c>
      <c r="V3000">
        <v>-2.1</v>
      </c>
      <c r="W3000">
        <v>35</v>
      </c>
      <c r="X3000" t="s">
        <v>102</v>
      </c>
      <c r="Y3000" t="s">
        <v>95</v>
      </c>
      <c r="Z3000" t="s">
        <v>96</v>
      </c>
      <c r="AA3000" t="s">
        <v>3562</v>
      </c>
      <c r="AB3000" t="s">
        <v>3563</v>
      </c>
      <c r="AC3000">
        <v>51</v>
      </c>
      <c r="AD3000">
        <v>36</v>
      </c>
      <c r="AE3000">
        <v>90</v>
      </c>
      <c r="AF3000">
        <v>-538.86</v>
      </c>
      <c r="AG3000">
        <v>-8.68</v>
      </c>
      <c r="AH3000">
        <v>-14.18</v>
      </c>
      <c r="AI3000">
        <v>0.22</v>
      </c>
      <c r="AJ3000">
        <v>0.08</v>
      </c>
      <c r="AK3000">
        <v>67</v>
      </c>
      <c r="AL3000">
        <v>114</v>
      </c>
      <c r="AM3000">
        <v>69</v>
      </c>
      <c r="AN3000">
        <v>-1.92</v>
      </c>
      <c r="AO3000">
        <v>1.59</v>
      </c>
      <c r="AP3000">
        <v>9</v>
      </c>
      <c r="AQ3000">
        <v>0</v>
      </c>
      <c r="AR3000">
        <v>6.94</v>
      </c>
      <c r="AS3000">
        <v>38</v>
      </c>
      <c r="AT3000">
        <v>2.8</v>
      </c>
      <c r="AU3000">
        <v>54</v>
      </c>
      <c r="AV3000">
        <v>-0.67</v>
      </c>
      <c r="AW3000">
        <v>66</v>
      </c>
      <c r="AX3000">
        <v>-0.15</v>
      </c>
      <c r="AY3000">
        <v>73</v>
      </c>
      <c r="AZ3000">
        <v>7.99</v>
      </c>
      <c r="BA3000">
        <v>32</v>
      </c>
      <c r="BB3000">
        <v>6.63</v>
      </c>
      <c r="BC3000">
        <v>50</v>
      </c>
      <c r="BD3000">
        <v>0.01</v>
      </c>
      <c r="BE3000">
        <v>0.01</v>
      </c>
      <c r="BF3000">
        <v>0.01</v>
      </c>
      <c r="BG3000">
        <v>88</v>
      </c>
      <c r="BH3000">
        <v>0.09</v>
      </c>
      <c r="BI3000">
        <v>17.2</v>
      </c>
      <c r="BJ3000">
        <v>19</v>
      </c>
      <c r="BK3000">
        <v>16</v>
      </c>
      <c r="BL3000">
        <v>-3.39</v>
      </c>
      <c r="BM3000">
        <v>0.77</v>
      </c>
      <c r="BN3000">
        <v>-3.61</v>
      </c>
      <c r="BO3000">
        <v>-3.05</v>
      </c>
      <c r="BP3000">
        <v>-0.27</v>
      </c>
      <c r="BQ3000">
        <v>1.22</v>
      </c>
      <c r="BR3000">
        <v>-1.57</v>
      </c>
      <c r="BS3000">
        <v>-0.55000000000000004</v>
      </c>
      <c r="BT3000">
        <v>0.43</v>
      </c>
      <c r="BU3000">
        <v>-2.85</v>
      </c>
      <c r="BV3000">
        <v>-2.25</v>
      </c>
      <c r="BW3000">
        <v>-2.0099999999999998</v>
      </c>
      <c r="BX3000">
        <v>-1.29</v>
      </c>
      <c r="BY3000">
        <v>-0.88</v>
      </c>
      <c r="BZ3000">
        <v>0.14000000000000001</v>
      </c>
      <c r="CA3000">
        <v>-2.23</v>
      </c>
      <c r="CB3000">
        <v>-2.57</v>
      </c>
      <c r="CC3000">
        <v>-1.1599999999999999</v>
      </c>
      <c r="CD3000">
        <v>2.0299999999999998</v>
      </c>
      <c r="CE3000">
        <v>-2.86</v>
      </c>
      <c r="CF3000">
        <v>-3.55</v>
      </c>
      <c r="CG3000">
        <v>0</v>
      </c>
      <c r="CH3000">
        <v>-2.1</v>
      </c>
      <c r="CI3000">
        <v>0</v>
      </c>
      <c r="CJ3000">
        <v>-6.1</v>
      </c>
      <c r="CK3000">
        <v>85</v>
      </c>
      <c r="CL3000">
        <v>0.18</v>
      </c>
      <c r="CM3000">
        <v>81</v>
      </c>
      <c r="CN3000">
        <v>-0.13</v>
      </c>
      <c r="CO3000">
        <v>79</v>
      </c>
      <c r="CP3000">
        <v>-15.5</v>
      </c>
      <c r="CQ3000">
        <v>82</v>
      </c>
      <c r="CR3000">
        <v>0</v>
      </c>
      <c r="CS3000">
        <v>0</v>
      </c>
      <c r="CT3000">
        <v>-12.3</v>
      </c>
      <c r="CU3000">
        <v>68</v>
      </c>
      <c r="CV3000">
        <v>-0.21</v>
      </c>
      <c r="CW3000">
        <v>25</v>
      </c>
      <c r="CX3000" t="s">
        <v>1631</v>
      </c>
    </row>
    <row r="3001" spans="1:102" x14ac:dyDescent="0.3">
      <c r="A3001" t="str">
        <f>HYPERLINK("https://webapp.icbf.com/v2/app/bull-search/view/69091582","ELO")</f>
        <v>ELO</v>
      </c>
      <c r="B3001" t="s">
        <v>694</v>
      </c>
      <c r="C3001" t="s">
        <v>695</v>
      </c>
      <c r="D3001" s="1">
        <v>32535</v>
      </c>
      <c r="E3001" t="s">
        <v>140</v>
      </c>
      <c r="F3001">
        <v>0</v>
      </c>
      <c r="G3001" t="s">
        <v>93</v>
      </c>
      <c r="H3001">
        <v>-2.8</v>
      </c>
      <c r="I3001">
        <v>91</v>
      </c>
      <c r="J3001">
        <v>-21.19</v>
      </c>
      <c r="K3001">
        <v>98</v>
      </c>
      <c r="L3001">
        <v>57.95</v>
      </c>
      <c r="M3001">
        <v>83</v>
      </c>
      <c r="N3001">
        <v>-44.82</v>
      </c>
      <c r="O3001">
        <v>90</v>
      </c>
      <c r="P3001">
        <v>31.06</v>
      </c>
      <c r="Q3001">
        <v>97</v>
      </c>
      <c r="R3001">
        <v>-5.32</v>
      </c>
      <c r="S3001">
        <v>85</v>
      </c>
      <c r="T3001">
        <v>-4.53</v>
      </c>
      <c r="U3001">
        <v>96</v>
      </c>
      <c r="V3001">
        <v>-15.95</v>
      </c>
      <c r="W3001">
        <v>79</v>
      </c>
      <c r="X3001" t="s">
        <v>102</v>
      </c>
      <c r="Y3001" t="s">
        <v>95</v>
      </c>
      <c r="Z3001" t="s">
        <v>96</v>
      </c>
      <c r="AA3001" t="s">
        <v>696</v>
      </c>
      <c r="AB3001" t="s">
        <v>697</v>
      </c>
      <c r="AC3001">
        <v>292</v>
      </c>
      <c r="AD3001">
        <v>129</v>
      </c>
      <c r="AE3001">
        <v>98</v>
      </c>
      <c r="AF3001">
        <v>-313.35000000000002</v>
      </c>
      <c r="AG3001">
        <v>-11.96</v>
      </c>
      <c r="AH3001">
        <v>-4.17</v>
      </c>
      <c r="AI3001">
        <v>0.01</v>
      </c>
      <c r="AJ3001">
        <v>0.11</v>
      </c>
      <c r="AK3001">
        <v>83</v>
      </c>
      <c r="AL3001">
        <v>327</v>
      </c>
      <c r="AM3001">
        <v>174</v>
      </c>
      <c r="AN3001">
        <v>-4.07</v>
      </c>
      <c r="AO3001">
        <v>0.54</v>
      </c>
      <c r="AP3001">
        <v>59</v>
      </c>
      <c r="AQ3001">
        <v>3</v>
      </c>
      <c r="AR3001">
        <v>10.32</v>
      </c>
      <c r="AS3001">
        <v>74</v>
      </c>
      <c r="AT3001">
        <v>6.09</v>
      </c>
      <c r="AU3001">
        <v>88</v>
      </c>
      <c r="AV3001">
        <v>1.57</v>
      </c>
      <c r="AW3001">
        <v>96</v>
      </c>
      <c r="AX3001">
        <v>-0.31</v>
      </c>
      <c r="AY3001">
        <v>93</v>
      </c>
      <c r="AZ3001">
        <v>4.3</v>
      </c>
      <c r="BA3001">
        <v>73</v>
      </c>
      <c r="BB3001">
        <v>3.5</v>
      </c>
      <c r="BC3001">
        <v>84</v>
      </c>
      <c r="BD3001">
        <v>0.05</v>
      </c>
      <c r="BE3001">
        <v>0.01</v>
      </c>
      <c r="BF3001">
        <v>0.02</v>
      </c>
      <c r="BG3001">
        <v>94</v>
      </c>
      <c r="BH3001">
        <v>-0.39</v>
      </c>
      <c r="BI3001">
        <v>6.34</v>
      </c>
      <c r="BJ3001">
        <v>1</v>
      </c>
      <c r="BK3001">
        <v>1</v>
      </c>
      <c r="BL3001">
        <v>-0.19</v>
      </c>
      <c r="BM3001">
        <v>4.45</v>
      </c>
      <c r="BN3001">
        <v>-0.47</v>
      </c>
      <c r="BO3001">
        <v>-2.71</v>
      </c>
      <c r="BP3001">
        <v>3.4</v>
      </c>
      <c r="BQ3001">
        <v>-0.38</v>
      </c>
      <c r="BR3001">
        <v>-2.64</v>
      </c>
      <c r="BS3001">
        <v>0.46</v>
      </c>
      <c r="BT3001">
        <v>2.4900000000000002</v>
      </c>
      <c r="BU3001">
        <v>-3.25</v>
      </c>
      <c r="BV3001">
        <v>-3.75</v>
      </c>
      <c r="BW3001">
        <v>-2.79</v>
      </c>
      <c r="BX3001">
        <v>-3.24</v>
      </c>
      <c r="BY3001">
        <v>-1.63</v>
      </c>
      <c r="BZ3001">
        <v>0.82</v>
      </c>
      <c r="CA3001">
        <v>-2.11</v>
      </c>
      <c r="CB3001">
        <v>-2.93</v>
      </c>
      <c r="CC3001">
        <v>0.2</v>
      </c>
      <c r="CD3001">
        <v>4.0999999999999996</v>
      </c>
      <c r="CE3001">
        <v>-2.5299999999999998</v>
      </c>
      <c r="CF3001">
        <v>0.36</v>
      </c>
      <c r="CG3001">
        <v>0</v>
      </c>
      <c r="CH3001">
        <v>-2.65</v>
      </c>
      <c r="CI3001">
        <v>0</v>
      </c>
      <c r="CJ3001">
        <v>14</v>
      </c>
      <c r="CK3001">
        <v>97</v>
      </c>
      <c r="CL3001">
        <v>0.51</v>
      </c>
      <c r="CM3001">
        <v>96</v>
      </c>
      <c r="CN3001">
        <v>-0.38</v>
      </c>
      <c r="CO3001">
        <v>96</v>
      </c>
      <c r="CP3001">
        <v>13.5</v>
      </c>
      <c r="CQ3001">
        <v>97</v>
      </c>
      <c r="CR3001">
        <v>0</v>
      </c>
      <c r="CS3001">
        <v>0</v>
      </c>
      <c r="CT3001">
        <v>19.899999999999999</v>
      </c>
      <c r="CU3001">
        <v>96</v>
      </c>
      <c r="CV3001">
        <v>-7.0000000000000007E-2</v>
      </c>
      <c r="CW3001">
        <v>28</v>
      </c>
      <c r="CX3001" t="s">
        <v>698</v>
      </c>
    </row>
    <row r="3002" spans="1:102" x14ac:dyDescent="0.3">
      <c r="A3002" t="str">
        <f>HYPERLINK("https://webapp.icbf.com/v2/app/bull-search/view/159174655","HPI")</f>
        <v>HPI</v>
      </c>
      <c r="B3002" t="s">
        <v>4129</v>
      </c>
      <c r="C3002" t="s">
        <v>4130</v>
      </c>
      <c r="D3002" s="1">
        <v>37201</v>
      </c>
      <c r="E3002" t="s">
        <v>92</v>
      </c>
      <c r="F3002">
        <v>100</v>
      </c>
      <c r="G3002" t="s">
        <v>93</v>
      </c>
      <c r="H3002">
        <v>-2.89</v>
      </c>
      <c r="I3002">
        <v>85</v>
      </c>
      <c r="J3002">
        <v>18.84</v>
      </c>
      <c r="K3002">
        <v>96</v>
      </c>
      <c r="L3002">
        <v>-39.28</v>
      </c>
      <c r="M3002">
        <v>77</v>
      </c>
      <c r="N3002">
        <v>28.52</v>
      </c>
      <c r="O3002">
        <v>81</v>
      </c>
      <c r="P3002">
        <v>-17.7</v>
      </c>
      <c r="Q3002">
        <v>90</v>
      </c>
      <c r="R3002">
        <v>-6.79</v>
      </c>
      <c r="S3002">
        <v>78</v>
      </c>
      <c r="T3002">
        <v>22.04</v>
      </c>
      <c r="U3002">
        <v>85</v>
      </c>
      <c r="V3002">
        <v>-8.52</v>
      </c>
      <c r="W3002">
        <v>72</v>
      </c>
      <c r="X3002" t="s">
        <v>94</v>
      </c>
      <c r="Y3002" t="s">
        <v>1062</v>
      </c>
      <c r="Z3002" t="s">
        <v>96</v>
      </c>
      <c r="AA3002" t="s">
        <v>4131</v>
      </c>
      <c r="AB3002" t="s">
        <v>4132</v>
      </c>
      <c r="AC3002">
        <v>63</v>
      </c>
      <c r="AD3002">
        <v>46</v>
      </c>
      <c r="AE3002">
        <v>96</v>
      </c>
      <c r="AF3002">
        <v>114.43</v>
      </c>
      <c r="AG3002">
        <v>5.3</v>
      </c>
      <c r="AH3002">
        <v>3.08</v>
      </c>
      <c r="AI3002">
        <v>0.01</v>
      </c>
      <c r="AJ3002">
        <v>-0.01</v>
      </c>
      <c r="AK3002">
        <v>77</v>
      </c>
      <c r="AL3002">
        <v>72</v>
      </c>
      <c r="AM3002">
        <v>50</v>
      </c>
      <c r="AN3002">
        <v>1.55</v>
      </c>
      <c r="AO3002">
        <v>-1.59</v>
      </c>
      <c r="AP3002">
        <v>90</v>
      </c>
      <c r="AQ3002">
        <v>0</v>
      </c>
      <c r="AR3002">
        <v>4.1100000000000003</v>
      </c>
      <c r="AS3002">
        <v>65</v>
      </c>
      <c r="AT3002">
        <v>1.81</v>
      </c>
      <c r="AU3002">
        <v>85</v>
      </c>
      <c r="AV3002">
        <v>-1.43</v>
      </c>
      <c r="AW3002">
        <v>90</v>
      </c>
      <c r="AX3002">
        <v>-0.81</v>
      </c>
      <c r="AY3002">
        <v>76</v>
      </c>
      <c r="AZ3002">
        <v>6.84</v>
      </c>
      <c r="BA3002">
        <v>58</v>
      </c>
      <c r="BB3002">
        <v>5.28</v>
      </c>
      <c r="BC3002">
        <v>64</v>
      </c>
      <c r="BD3002">
        <v>0</v>
      </c>
      <c r="BE3002">
        <v>0.04</v>
      </c>
      <c r="BF3002">
        <v>0.08</v>
      </c>
      <c r="BG3002">
        <v>88</v>
      </c>
      <c r="BH3002">
        <v>-0.06</v>
      </c>
      <c r="BI3002">
        <v>20.55</v>
      </c>
      <c r="BJ3002">
        <v>30</v>
      </c>
      <c r="BK3002">
        <v>20</v>
      </c>
      <c r="BL3002">
        <v>-0.47</v>
      </c>
      <c r="BM3002">
        <v>-1.72</v>
      </c>
      <c r="BN3002">
        <v>-1.77</v>
      </c>
      <c r="BO3002">
        <v>-0.26</v>
      </c>
      <c r="BP3002">
        <v>4.9000000000000004</v>
      </c>
      <c r="BQ3002">
        <v>-4.41</v>
      </c>
      <c r="BR3002">
        <v>1.8</v>
      </c>
      <c r="BS3002">
        <v>-1.48</v>
      </c>
      <c r="BT3002">
        <v>-2.2400000000000002</v>
      </c>
      <c r="BU3002">
        <v>-1.9</v>
      </c>
      <c r="BV3002">
        <v>-1.41</v>
      </c>
      <c r="BW3002">
        <v>-0.62</v>
      </c>
      <c r="BX3002">
        <v>-1.69</v>
      </c>
      <c r="BY3002">
        <v>0.41</v>
      </c>
      <c r="BZ3002">
        <v>0.98</v>
      </c>
      <c r="CA3002">
        <v>-1.84</v>
      </c>
      <c r="CB3002">
        <v>-1.55</v>
      </c>
      <c r="CC3002">
        <v>-1.75</v>
      </c>
      <c r="CD3002">
        <v>0.03</v>
      </c>
      <c r="CE3002">
        <v>-0.65</v>
      </c>
      <c r="CF3002">
        <v>-1.79</v>
      </c>
      <c r="CG3002">
        <v>0</v>
      </c>
      <c r="CH3002">
        <v>0.92</v>
      </c>
      <c r="CI3002">
        <v>0</v>
      </c>
      <c r="CJ3002">
        <v>-7.7</v>
      </c>
      <c r="CK3002">
        <v>91</v>
      </c>
      <c r="CL3002">
        <v>-0.8</v>
      </c>
      <c r="CM3002">
        <v>89</v>
      </c>
      <c r="CN3002">
        <v>-0.31</v>
      </c>
      <c r="CO3002">
        <v>88</v>
      </c>
      <c r="CP3002">
        <v>-16.3</v>
      </c>
      <c r="CQ3002">
        <v>88</v>
      </c>
      <c r="CR3002">
        <v>0</v>
      </c>
      <c r="CS3002">
        <v>0</v>
      </c>
      <c r="CT3002">
        <v>-16</v>
      </c>
      <c r="CU3002">
        <v>85</v>
      </c>
      <c r="CV3002">
        <v>7.0000000000000007E-2</v>
      </c>
      <c r="CW3002">
        <v>44</v>
      </c>
      <c r="CX3002" t="s">
        <v>643</v>
      </c>
    </row>
    <row r="3003" spans="1:102" x14ac:dyDescent="0.3">
      <c r="A3003" t="str">
        <f>HYPERLINK("https://webapp.icbf.com/v2/app/bull-search/view/586052543","TLV")</f>
        <v>TLV</v>
      </c>
      <c r="B3003" t="s">
        <v>14977</v>
      </c>
      <c r="C3003" t="s">
        <v>14978</v>
      </c>
      <c r="D3003" s="1">
        <v>38234</v>
      </c>
      <c r="E3003" t="s">
        <v>92</v>
      </c>
      <c r="F3003">
        <v>100</v>
      </c>
      <c r="G3003" t="s">
        <v>93</v>
      </c>
      <c r="H3003">
        <v>-2.91</v>
      </c>
      <c r="I3003">
        <v>93</v>
      </c>
      <c r="J3003">
        <v>60.35</v>
      </c>
      <c r="K3003">
        <v>98</v>
      </c>
      <c r="L3003">
        <v>-63.21</v>
      </c>
      <c r="M3003">
        <v>91</v>
      </c>
      <c r="N3003">
        <v>10.65</v>
      </c>
      <c r="O3003">
        <v>91</v>
      </c>
      <c r="P3003">
        <v>-6.07</v>
      </c>
      <c r="Q3003">
        <v>96</v>
      </c>
      <c r="R3003">
        <v>-3.44</v>
      </c>
      <c r="S3003">
        <v>85</v>
      </c>
      <c r="T3003">
        <v>-2.97</v>
      </c>
      <c r="U3003">
        <v>93</v>
      </c>
      <c r="V3003">
        <v>1.78</v>
      </c>
      <c r="W3003">
        <v>79</v>
      </c>
      <c r="X3003" t="s">
        <v>288</v>
      </c>
      <c r="Y3003" t="s">
        <v>235</v>
      </c>
      <c r="Z3003" t="s">
        <v>96</v>
      </c>
      <c r="AA3003" t="s">
        <v>316</v>
      </c>
      <c r="AB3003" t="s">
        <v>14979</v>
      </c>
      <c r="AC3003">
        <v>202</v>
      </c>
      <c r="AD3003">
        <v>67</v>
      </c>
      <c r="AE3003">
        <v>98</v>
      </c>
      <c r="AF3003">
        <v>364.15</v>
      </c>
      <c r="AG3003">
        <v>9.15</v>
      </c>
      <c r="AH3003">
        <v>12.6</v>
      </c>
      <c r="AI3003">
        <v>-0.08</v>
      </c>
      <c r="AJ3003">
        <v>0</v>
      </c>
      <c r="AK3003">
        <v>91</v>
      </c>
      <c r="AL3003">
        <v>202</v>
      </c>
      <c r="AM3003">
        <v>79</v>
      </c>
      <c r="AN3003">
        <v>2.72</v>
      </c>
      <c r="AO3003">
        <v>-2.33</v>
      </c>
      <c r="AP3003">
        <v>392</v>
      </c>
      <c r="AQ3003">
        <v>1</v>
      </c>
      <c r="AR3003">
        <v>7.6</v>
      </c>
      <c r="AS3003">
        <v>87</v>
      </c>
      <c r="AT3003">
        <v>3.36</v>
      </c>
      <c r="AU3003">
        <v>94</v>
      </c>
      <c r="AV3003">
        <v>-2.67</v>
      </c>
      <c r="AW3003">
        <v>97</v>
      </c>
      <c r="AX3003">
        <v>0.38</v>
      </c>
      <c r="AY3003">
        <v>90</v>
      </c>
      <c r="AZ3003">
        <v>7.28</v>
      </c>
      <c r="BA3003">
        <v>75</v>
      </c>
      <c r="BB3003">
        <v>6.13</v>
      </c>
      <c r="BC3003">
        <v>73</v>
      </c>
      <c r="BD3003">
        <v>0</v>
      </c>
      <c r="BE3003">
        <v>0.01</v>
      </c>
      <c r="BF3003">
        <v>0.06</v>
      </c>
      <c r="BG3003">
        <v>93</v>
      </c>
      <c r="BH3003">
        <v>-0.12</v>
      </c>
      <c r="BI3003">
        <v>-19.63</v>
      </c>
      <c r="BJ3003">
        <v>47</v>
      </c>
      <c r="BK3003">
        <v>23</v>
      </c>
      <c r="BL3003">
        <v>0.81</v>
      </c>
      <c r="BM3003">
        <v>2.7</v>
      </c>
      <c r="BN3003">
        <v>1.53</v>
      </c>
      <c r="BO3003">
        <v>-0.41</v>
      </c>
      <c r="BP3003">
        <v>-0.64</v>
      </c>
      <c r="BQ3003">
        <v>2.2000000000000002</v>
      </c>
      <c r="BR3003">
        <v>-0.09</v>
      </c>
      <c r="BS3003">
        <v>-0.96</v>
      </c>
      <c r="BT3003">
        <v>0.66</v>
      </c>
      <c r="BU3003">
        <v>1.49</v>
      </c>
      <c r="BV3003">
        <v>0.03</v>
      </c>
      <c r="BW3003">
        <v>0.41</v>
      </c>
      <c r="BX3003">
        <v>0.98</v>
      </c>
      <c r="BY3003">
        <v>1.89</v>
      </c>
      <c r="BZ3003">
        <v>-2</v>
      </c>
      <c r="CA3003">
        <v>0.7</v>
      </c>
      <c r="CB3003">
        <v>1.07</v>
      </c>
      <c r="CC3003">
        <v>-0.28999999999999998</v>
      </c>
      <c r="CD3003">
        <v>1.71</v>
      </c>
      <c r="CE3003">
        <v>-0.34</v>
      </c>
      <c r="CF3003">
        <v>1.29</v>
      </c>
      <c r="CG3003">
        <v>0</v>
      </c>
      <c r="CH3003">
        <v>1.87</v>
      </c>
      <c r="CI3003">
        <v>0</v>
      </c>
      <c r="CJ3003">
        <v>0.4</v>
      </c>
      <c r="CK3003">
        <v>96</v>
      </c>
      <c r="CL3003">
        <v>-0.96</v>
      </c>
      <c r="CM3003">
        <v>96</v>
      </c>
      <c r="CN3003">
        <v>-0.2</v>
      </c>
      <c r="CO3003">
        <v>95</v>
      </c>
      <c r="CP3003">
        <v>6.3</v>
      </c>
      <c r="CQ3003">
        <v>94</v>
      </c>
      <c r="CR3003">
        <v>0</v>
      </c>
      <c r="CS3003">
        <v>0</v>
      </c>
      <c r="CT3003">
        <v>17.8</v>
      </c>
      <c r="CU3003">
        <v>93</v>
      </c>
      <c r="CV3003">
        <v>0.28000000000000003</v>
      </c>
      <c r="CW3003">
        <v>48</v>
      </c>
      <c r="CX3003" t="s">
        <v>1574</v>
      </c>
    </row>
    <row r="3004" spans="1:102" x14ac:dyDescent="0.3">
      <c r="A3004" t="str">
        <f>HYPERLINK("https://webapp.icbf.com/v2/app/bull-search/view/77852704","WTO")</f>
        <v>WTO</v>
      </c>
      <c r="B3004" t="s">
        <v>12420</v>
      </c>
      <c r="C3004" t="s">
        <v>12421</v>
      </c>
      <c r="D3004" s="1">
        <v>32494</v>
      </c>
      <c r="E3004" t="s">
        <v>92</v>
      </c>
      <c r="F3004">
        <v>75</v>
      </c>
      <c r="G3004" t="s">
        <v>116</v>
      </c>
      <c r="H3004">
        <v>-2.97</v>
      </c>
      <c r="I3004">
        <v>28</v>
      </c>
      <c r="J3004">
        <v>-24.77</v>
      </c>
      <c r="K3004">
        <v>27</v>
      </c>
      <c r="L3004">
        <v>31.46</v>
      </c>
      <c r="M3004">
        <v>31</v>
      </c>
      <c r="N3004">
        <v>-2.34</v>
      </c>
      <c r="O3004">
        <v>26</v>
      </c>
      <c r="P3004">
        <v>-4.8899999999999997</v>
      </c>
      <c r="Q3004">
        <v>32</v>
      </c>
      <c r="R3004">
        <v>-6.65</v>
      </c>
      <c r="S3004">
        <v>31</v>
      </c>
      <c r="T3004">
        <v>7.02</v>
      </c>
      <c r="U3004">
        <v>26</v>
      </c>
      <c r="V3004">
        <v>-2.8</v>
      </c>
      <c r="W3004">
        <v>9</v>
      </c>
      <c r="X3004" t="s">
        <v>94</v>
      </c>
      <c r="Y3004" t="s">
        <v>117</v>
      </c>
      <c r="Z3004" t="s">
        <v>96</v>
      </c>
      <c r="AA3004" t="s">
        <v>783</v>
      </c>
      <c r="AB3004" t="s">
        <v>12422</v>
      </c>
      <c r="AC3004">
        <v>2</v>
      </c>
      <c r="AD3004">
        <v>2</v>
      </c>
      <c r="AE3004">
        <v>27</v>
      </c>
      <c r="AF3004">
        <v>-117.2</v>
      </c>
      <c r="AG3004">
        <v>-2.73</v>
      </c>
      <c r="AH3004">
        <v>-5.04</v>
      </c>
      <c r="AI3004">
        <v>0.03</v>
      </c>
      <c r="AJ3004">
        <v>-0.02</v>
      </c>
      <c r="AK3004">
        <v>31</v>
      </c>
      <c r="AL3004">
        <v>8</v>
      </c>
      <c r="AM3004">
        <v>8</v>
      </c>
      <c r="AN3004">
        <v>-3.19</v>
      </c>
      <c r="AO3004">
        <v>-0.7</v>
      </c>
      <c r="AP3004">
        <v>1</v>
      </c>
      <c r="AQ3004">
        <v>0</v>
      </c>
      <c r="AR3004">
        <v>7.56</v>
      </c>
      <c r="AS3004">
        <v>11</v>
      </c>
      <c r="AT3004">
        <v>3.09</v>
      </c>
      <c r="AU3004">
        <v>21</v>
      </c>
      <c r="AV3004">
        <v>0.01</v>
      </c>
      <c r="AW3004">
        <v>34</v>
      </c>
      <c r="AX3004">
        <v>-0.34</v>
      </c>
      <c r="AY3004">
        <v>33</v>
      </c>
      <c r="AZ3004">
        <v>7.28</v>
      </c>
      <c r="BA3004">
        <v>10</v>
      </c>
      <c r="BB3004">
        <v>5.43</v>
      </c>
      <c r="BC3004">
        <v>16</v>
      </c>
      <c r="BD3004">
        <v>0.03</v>
      </c>
      <c r="BE3004">
        <v>7.0000000000000007E-2</v>
      </c>
      <c r="BF3004">
        <v>-0.03</v>
      </c>
      <c r="BG3004">
        <v>44</v>
      </c>
      <c r="BH3004">
        <v>0.01</v>
      </c>
      <c r="BI3004">
        <v>10.18</v>
      </c>
      <c r="BJ3004">
        <v>0</v>
      </c>
      <c r="BK3004">
        <v>0</v>
      </c>
      <c r="BL3004">
        <v>-0.03</v>
      </c>
      <c r="BM3004">
        <v>0.55000000000000004</v>
      </c>
      <c r="BN3004">
        <v>-0.02</v>
      </c>
      <c r="BO3004">
        <v>-0.38</v>
      </c>
      <c r="BP3004">
        <v>-0.22</v>
      </c>
      <c r="BQ3004">
        <v>0.72</v>
      </c>
      <c r="BR3004">
        <v>0.4</v>
      </c>
      <c r="BS3004">
        <v>0.08</v>
      </c>
      <c r="BT3004">
        <v>-0.09</v>
      </c>
      <c r="BU3004">
        <v>-0.4</v>
      </c>
      <c r="BV3004">
        <v>-1.1100000000000001</v>
      </c>
      <c r="BW3004">
        <v>-1.05</v>
      </c>
      <c r="BX3004">
        <v>-0.51</v>
      </c>
      <c r="BY3004">
        <v>-0.62</v>
      </c>
      <c r="BZ3004">
        <v>1.18</v>
      </c>
      <c r="CA3004">
        <v>-0.67</v>
      </c>
      <c r="CB3004">
        <v>-0.66</v>
      </c>
      <c r="CC3004">
        <v>-0.38</v>
      </c>
      <c r="CD3004">
        <v>0.83</v>
      </c>
      <c r="CE3004">
        <v>-0.31</v>
      </c>
      <c r="CF3004">
        <v>0.2</v>
      </c>
      <c r="CG3004">
        <v>0</v>
      </c>
      <c r="CH3004">
        <v>-0.71</v>
      </c>
      <c r="CI3004">
        <v>0</v>
      </c>
      <c r="CJ3004">
        <v>-1.7</v>
      </c>
      <c r="CK3004">
        <v>34</v>
      </c>
      <c r="CL3004">
        <v>-0.25</v>
      </c>
      <c r="CM3004">
        <v>31</v>
      </c>
      <c r="CN3004">
        <v>-7.0000000000000007E-2</v>
      </c>
      <c r="CO3004">
        <v>28</v>
      </c>
      <c r="CP3004">
        <v>-5.2</v>
      </c>
      <c r="CQ3004">
        <v>30</v>
      </c>
      <c r="CR3004">
        <v>0</v>
      </c>
      <c r="CS3004">
        <v>0</v>
      </c>
      <c r="CT3004">
        <v>4.3</v>
      </c>
      <c r="CU3004">
        <v>26</v>
      </c>
      <c r="CV3004">
        <v>0.04</v>
      </c>
      <c r="CW3004">
        <v>9</v>
      </c>
      <c r="CX3004" t="s">
        <v>12423</v>
      </c>
    </row>
    <row r="3005" spans="1:102" x14ac:dyDescent="0.3">
      <c r="A3005" t="str">
        <f>HYPERLINK("https://webapp.icbf.com/v2/app/bull-search/view/77855317","MOO")</f>
        <v>MOO</v>
      </c>
      <c r="B3005" t="s">
        <v>6914</v>
      </c>
      <c r="C3005" t="s">
        <v>6915</v>
      </c>
      <c r="D3005" s="1">
        <v>31702</v>
      </c>
      <c r="E3005" t="s">
        <v>108</v>
      </c>
      <c r="F3005">
        <v>9</v>
      </c>
      <c r="G3005" t="s">
        <v>116</v>
      </c>
      <c r="H3005">
        <v>-3.09</v>
      </c>
      <c r="I3005">
        <v>42</v>
      </c>
      <c r="J3005">
        <v>-53.64</v>
      </c>
      <c r="K3005">
        <v>33</v>
      </c>
      <c r="L3005">
        <v>26.01</v>
      </c>
      <c r="M3005">
        <v>52</v>
      </c>
      <c r="N3005">
        <v>17.34</v>
      </c>
      <c r="O3005">
        <v>37</v>
      </c>
      <c r="P3005">
        <v>-7.62</v>
      </c>
      <c r="Q3005">
        <v>57</v>
      </c>
      <c r="R3005">
        <v>-4.6100000000000003</v>
      </c>
      <c r="S3005">
        <v>48</v>
      </c>
      <c r="T3005">
        <v>21.15</v>
      </c>
      <c r="U3005">
        <v>41</v>
      </c>
      <c r="V3005">
        <v>-1.72</v>
      </c>
      <c r="W3005">
        <v>14</v>
      </c>
      <c r="X3005" t="s">
        <v>102</v>
      </c>
      <c r="Y3005" t="s">
        <v>95</v>
      </c>
      <c r="Z3005" t="s">
        <v>96</v>
      </c>
      <c r="AA3005" t="s">
        <v>831</v>
      </c>
      <c r="AB3005" t="s">
        <v>6916</v>
      </c>
      <c r="AC3005">
        <v>6</v>
      </c>
      <c r="AD3005">
        <v>3</v>
      </c>
      <c r="AE3005">
        <v>33</v>
      </c>
      <c r="AF3005">
        <v>-268.62</v>
      </c>
      <c r="AG3005">
        <v>-7.05</v>
      </c>
      <c r="AH3005">
        <v>-10.74</v>
      </c>
      <c r="AI3005">
        <v>0.06</v>
      </c>
      <c r="AJ3005">
        <v>-0.03</v>
      </c>
      <c r="AK3005">
        <v>52</v>
      </c>
      <c r="AL3005">
        <v>31</v>
      </c>
      <c r="AM3005">
        <v>25</v>
      </c>
      <c r="AN3005">
        <v>-1.73</v>
      </c>
      <c r="AO3005">
        <v>0.34</v>
      </c>
      <c r="AP3005">
        <v>6</v>
      </c>
      <c r="AQ3005">
        <v>12</v>
      </c>
      <c r="AR3005">
        <v>6.91</v>
      </c>
      <c r="AS3005">
        <v>19</v>
      </c>
      <c r="AT3005">
        <v>2.84</v>
      </c>
      <c r="AU3005">
        <v>25</v>
      </c>
      <c r="AV3005">
        <v>-1.42</v>
      </c>
      <c r="AW3005">
        <v>47</v>
      </c>
      <c r="AX3005">
        <v>-0.3</v>
      </c>
      <c r="AY3005">
        <v>64</v>
      </c>
      <c r="AZ3005">
        <v>6.18</v>
      </c>
      <c r="BA3005">
        <v>14</v>
      </c>
      <c r="BB3005">
        <v>4.84</v>
      </c>
      <c r="BC3005">
        <v>20</v>
      </c>
      <c r="BD3005">
        <v>0.03</v>
      </c>
      <c r="BE3005">
        <v>0.04</v>
      </c>
      <c r="BF3005">
        <v>-0.02</v>
      </c>
      <c r="BG3005">
        <v>70</v>
      </c>
      <c r="BH3005">
        <v>-0.06</v>
      </c>
      <c r="BI3005">
        <v>-1.4</v>
      </c>
      <c r="BJ3005">
        <v>3</v>
      </c>
      <c r="BK3005">
        <v>3</v>
      </c>
      <c r="BL3005">
        <v>-3.1</v>
      </c>
      <c r="BM3005">
        <v>1.38</v>
      </c>
      <c r="BN3005">
        <v>-2.69</v>
      </c>
      <c r="BO3005">
        <v>-3.14</v>
      </c>
      <c r="BP3005">
        <v>0.75</v>
      </c>
      <c r="BQ3005">
        <v>-0.62</v>
      </c>
      <c r="BR3005">
        <v>-0.98</v>
      </c>
      <c r="BS3005">
        <v>-0.75</v>
      </c>
      <c r="BT3005">
        <v>-0.47</v>
      </c>
      <c r="BU3005">
        <v>-1.51</v>
      </c>
      <c r="BV3005">
        <v>-2.19</v>
      </c>
      <c r="BW3005">
        <v>-1.72</v>
      </c>
      <c r="BX3005">
        <v>-1.5</v>
      </c>
      <c r="BY3005">
        <v>-1.52</v>
      </c>
      <c r="BZ3005">
        <v>-0.89</v>
      </c>
      <c r="CA3005">
        <v>-2.1800000000000002</v>
      </c>
      <c r="CB3005">
        <v>-2.1</v>
      </c>
      <c r="CC3005">
        <v>-1.61</v>
      </c>
      <c r="CD3005">
        <v>2.85</v>
      </c>
      <c r="CE3005">
        <v>-3.28</v>
      </c>
      <c r="CF3005">
        <v>-3.54</v>
      </c>
      <c r="CG3005">
        <v>0</v>
      </c>
      <c r="CH3005">
        <v>-1.21</v>
      </c>
      <c r="CI3005">
        <v>0</v>
      </c>
      <c r="CJ3005">
        <v>-5.7</v>
      </c>
      <c r="CK3005">
        <v>60</v>
      </c>
      <c r="CL3005">
        <v>0.09</v>
      </c>
      <c r="CM3005">
        <v>55</v>
      </c>
      <c r="CN3005">
        <v>-0.09</v>
      </c>
      <c r="CO3005">
        <v>50</v>
      </c>
      <c r="CP3005">
        <v>-11.6</v>
      </c>
      <c r="CQ3005">
        <v>56</v>
      </c>
      <c r="CR3005">
        <v>0</v>
      </c>
      <c r="CS3005">
        <v>0</v>
      </c>
      <c r="CT3005">
        <v>-14.8</v>
      </c>
      <c r="CU3005">
        <v>41</v>
      </c>
      <c r="CV3005">
        <v>-0.18</v>
      </c>
      <c r="CW3005">
        <v>16</v>
      </c>
      <c r="CX3005" t="s">
        <v>6917</v>
      </c>
    </row>
    <row r="3006" spans="1:102" x14ac:dyDescent="0.3">
      <c r="A3006" t="str">
        <f>HYPERLINK("https://webapp.icbf.com/v2/app/bull-search/view/77855440","LVA")</f>
        <v>LVA</v>
      </c>
      <c r="B3006" t="s">
        <v>2536</v>
      </c>
      <c r="C3006" t="s">
        <v>2537</v>
      </c>
      <c r="D3006" s="1">
        <v>34044</v>
      </c>
      <c r="E3006" t="s">
        <v>92</v>
      </c>
      <c r="F3006">
        <v>94</v>
      </c>
      <c r="G3006" t="s">
        <v>116</v>
      </c>
      <c r="H3006">
        <v>-3.19</v>
      </c>
      <c r="I3006">
        <v>42</v>
      </c>
      <c r="J3006">
        <v>2.41</v>
      </c>
      <c r="K3006">
        <v>48</v>
      </c>
      <c r="L3006">
        <v>-25.86</v>
      </c>
      <c r="M3006">
        <v>40</v>
      </c>
      <c r="N3006">
        <v>16.02</v>
      </c>
      <c r="O3006">
        <v>34</v>
      </c>
      <c r="P3006">
        <v>-10.37</v>
      </c>
      <c r="Q3006">
        <v>44</v>
      </c>
      <c r="R3006">
        <v>-5.29</v>
      </c>
      <c r="S3006">
        <v>42</v>
      </c>
      <c r="T3006">
        <v>21</v>
      </c>
      <c r="U3006">
        <v>46</v>
      </c>
      <c r="V3006">
        <v>-1.1000000000000001</v>
      </c>
      <c r="W3006">
        <v>18</v>
      </c>
      <c r="X3006" t="s">
        <v>94</v>
      </c>
      <c r="Y3006" t="s">
        <v>95</v>
      </c>
      <c r="Z3006" t="s">
        <v>96</v>
      </c>
      <c r="AA3006" t="s">
        <v>798</v>
      </c>
      <c r="AB3006" t="s">
        <v>2538</v>
      </c>
      <c r="AC3006">
        <v>6</v>
      </c>
      <c r="AD3006">
        <v>6</v>
      </c>
      <c r="AE3006">
        <v>48</v>
      </c>
      <c r="AF3006">
        <v>75.23</v>
      </c>
      <c r="AG3006">
        <v>3.79</v>
      </c>
      <c r="AH3006">
        <v>0.22</v>
      </c>
      <c r="AI3006">
        <v>0.01</v>
      </c>
      <c r="AJ3006">
        <v>-0.04</v>
      </c>
      <c r="AK3006">
        <v>40</v>
      </c>
      <c r="AL3006">
        <v>14</v>
      </c>
      <c r="AM3006">
        <v>13</v>
      </c>
      <c r="AN3006">
        <v>0.84</v>
      </c>
      <c r="AO3006">
        <v>-1.23</v>
      </c>
      <c r="AP3006">
        <v>3</v>
      </c>
      <c r="AQ3006">
        <v>0</v>
      </c>
      <c r="AR3006">
        <v>5.78</v>
      </c>
      <c r="AS3006">
        <v>21</v>
      </c>
      <c r="AT3006">
        <v>2.5299999999999998</v>
      </c>
      <c r="AU3006">
        <v>33</v>
      </c>
      <c r="AV3006">
        <v>-0.25</v>
      </c>
      <c r="AW3006">
        <v>40</v>
      </c>
      <c r="AX3006">
        <v>-0.05</v>
      </c>
      <c r="AY3006">
        <v>38</v>
      </c>
      <c r="AZ3006">
        <v>5.22</v>
      </c>
      <c r="BA3006">
        <v>21</v>
      </c>
      <c r="BB3006">
        <v>4.3499999999999996</v>
      </c>
      <c r="BC3006">
        <v>26</v>
      </c>
      <c r="BD3006">
        <v>0.01</v>
      </c>
      <c r="BE3006">
        <v>0.05</v>
      </c>
      <c r="BF3006">
        <v>0.01</v>
      </c>
      <c r="BG3006">
        <v>55</v>
      </c>
      <c r="BH3006">
        <v>0.01</v>
      </c>
      <c r="BI3006">
        <v>4.71</v>
      </c>
      <c r="BJ3006">
        <v>3</v>
      </c>
      <c r="BK3006">
        <v>3</v>
      </c>
      <c r="BL3006">
        <v>-7.0000000000000007E-2</v>
      </c>
      <c r="BM3006">
        <v>-0.5</v>
      </c>
      <c r="BN3006">
        <v>-0.78</v>
      </c>
      <c r="BO3006">
        <v>-0.11</v>
      </c>
      <c r="BP3006">
        <v>0.56000000000000005</v>
      </c>
      <c r="BQ3006">
        <v>-0.51</v>
      </c>
      <c r="BR3006">
        <v>-0.11</v>
      </c>
      <c r="BS3006">
        <v>1.1000000000000001</v>
      </c>
      <c r="BT3006">
        <v>0.51</v>
      </c>
      <c r="BU3006">
        <v>-0.06</v>
      </c>
      <c r="BV3006">
        <v>0.01</v>
      </c>
      <c r="BW3006">
        <v>-0.27</v>
      </c>
      <c r="BX3006">
        <v>0.63</v>
      </c>
      <c r="BY3006">
        <v>-0.54</v>
      </c>
      <c r="BZ3006">
        <v>-0.51</v>
      </c>
      <c r="CA3006">
        <v>0.05</v>
      </c>
      <c r="CB3006">
        <v>-0.48</v>
      </c>
      <c r="CC3006">
        <v>0.99</v>
      </c>
      <c r="CD3006">
        <v>-0.28999999999999998</v>
      </c>
      <c r="CE3006">
        <v>-0.1</v>
      </c>
      <c r="CF3006">
        <v>-0.44</v>
      </c>
      <c r="CG3006">
        <v>0</v>
      </c>
      <c r="CH3006">
        <v>-0.99</v>
      </c>
      <c r="CI3006">
        <v>0</v>
      </c>
      <c r="CJ3006">
        <v>-4</v>
      </c>
      <c r="CK3006">
        <v>45</v>
      </c>
      <c r="CL3006">
        <v>-0.65</v>
      </c>
      <c r="CM3006">
        <v>42</v>
      </c>
      <c r="CN3006">
        <v>-0.3</v>
      </c>
      <c r="CO3006">
        <v>37</v>
      </c>
      <c r="CP3006">
        <v>-11</v>
      </c>
      <c r="CQ3006">
        <v>54</v>
      </c>
      <c r="CR3006">
        <v>0</v>
      </c>
      <c r="CS3006">
        <v>0</v>
      </c>
      <c r="CT3006">
        <v>-14.6</v>
      </c>
      <c r="CU3006">
        <v>46</v>
      </c>
      <c r="CV3006">
        <v>0.11</v>
      </c>
      <c r="CW3006">
        <v>11</v>
      </c>
      <c r="CX3006" t="s">
        <v>537</v>
      </c>
    </row>
    <row r="3007" spans="1:102" x14ac:dyDescent="0.3">
      <c r="A3007" t="str">
        <f>HYPERLINK("https://webapp.icbf.com/v2/app/bull-search/view/77853778","SEX")</f>
        <v>SEX</v>
      </c>
      <c r="B3007" t="s">
        <v>4000</v>
      </c>
      <c r="C3007" t="s">
        <v>847</v>
      </c>
      <c r="D3007" s="1">
        <v>33955</v>
      </c>
      <c r="E3007" t="s">
        <v>108</v>
      </c>
      <c r="F3007">
        <v>13</v>
      </c>
      <c r="G3007" t="s">
        <v>93</v>
      </c>
      <c r="H3007">
        <v>-3.45</v>
      </c>
      <c r="I3007">
        <v>98</v>
      </c>
      <c r="J3007">
        <v>-12.34</v>
      </c>
      <c r="K3007">
        <v>99</v>
      </c>
      <c r="L3007">
        <v>6.59</v>
      </c>
      <c r="M3007">
        <v>97</v>
      </c>
      <c r="N3007">
        <v>1.01</v>
      </c>
      <c r="O3007">
        <v>99</v>
      </c>
      <c r="P3007">
        <v>-11.21</v>
      </c>
      <c r="Q3007">
        <v>99</v>
      </c>
      <c r="R3007">
        <v>-9.73</v>
      </c>
      <c r="S3007">
        <v>98</v>
      </c>
      <c r="T3007">
        <v>21.89</v>
      </c>
      <c r="U3007">
        <v>99</v>
      </c>
      <c r="V3007">
        <v>0.34</v>
      </c>
      <c r="W3007">
        <v>99</v>
      </c>
      <c r="X3007" t="s">
        <v>102</v>
      </c>
      <c r="Y3007" t="s">
        <v>95</v>
      </c>
      <c r="Z3007" t="s">
        <v>96</v>
      </c>
      <c r="AA3007" t="s">
        <v>1631</v>
      </c>
      <c r="AB3007" t="s">
        <v>4001</v>
      </c>
      <c r="AC3007">
        <v>2327</v>
      </c>
      <c r="AD3007">
        <v>744</v>
      </c>
      <c r="AE3007">
        <v>99</v>
      </c>
      <c r="AF3007">
        <v>52.77</v>
      </c>
      <c r="AG3007">
        <v>2.23</v>
      </c>
      <c r="AH3007">
        <v>-2.08</v>
      </c>
      <c r="AI3007">
        <v>0</v>
      </c>
      <c r="AJ3007">
        <v>-7.0000000000000007E-2</v>
      </c>
      <c r="AK3007">
        <v>97</v>
      </c>
      <c r="AL3007">
        <v>4222</v>
      </c>
      <c r="AM3007">
        <v>1412</v>
      </c>
      <c r="AN3007">
        <v>-0.77</v>
      </c>
      <c r="AO3007">
        <v>-0.25</v>
      </c>
      <c r="AP3007">
        <v>2331</v>
      </c>
      <c r="AQ3007">
        <v>14</v>
      </c>
      <c r="AR3007">
        <v>7.41</v>
      </c>
      <c r="AS3007">
        <v>98</v>
      </c>
      <c r="AT3007">
        <v>2.34</v>
      </c>
      <c r="AU3007">
        <v>99</v>
      </c>
      <c r="AV3007">
        <v>-0.49</v>
      </c>
      <c r="AW3007">
        <v>99</v>
      </c>
      <c r="AX3007">
        <v>-0.61</v>
      </c>
      <c r="AY3007">
        <v>99</v>
      </c>
      <c r="AZ3007">
        <v>9.1999999999999993</v>
      </c>
      <c r="BA3007">
        <v>97</v>
      </c>
      <c r="BB3007">
        <v>6.21</v>
      </c>
      <c r="BC3007">
        <v>98</v>
      </c>
      <c r="BD3007">
        <v>7.0000000000000007E-2</v>
      </c>
      <c r="BE3007">
        <v>0.03</v>
      </c>
      <c r="BF3007">
        <v>0.05</v>
      </c>
      <c r="BG3007">
        <v>99</v>
      </c>
      <c r="BH3007">
        <v>0.04</v>
      </c>
      <c r="BI3007">
        <v>3.54</v>
      </c>
      <c r="BJ3007">
        <v>69</v>
      </c>
      <c r="BK3007">
        <v>52</v>
      </c>
      <c r="BL3007">
        <v>-2.5299999999999998</v>
      </c>
      <c r="BM3007">
        <v>1.43</v>
      </c>
      <c r="BN3007">
        <v>-1.24</v>
      </c>
      <c r="BO3007">
        <v>-1.87</v>
      </c>
      <c r="BP3007">
        <v>0.6</v>
      </c>
      <c r="BQ3007">
        <v>1.1599999999999999</v>
      </c>
      <c r="BR3007">
        <v>-0.05</v>
      </c>
      <c r="BS3007">
        <v>-0.56999999999999995</v>
      </c>
      <c r="BT3007">
        <v>-1.1000000000000001</v>
      </c>
      <c r="BU3007">
        <v>-3.55</v>
      </c>
      <c r="BV3007">
        <v>-2.72</v>
      </c>
      <c r="BW3007">
        <v>-2.04</v>
      </c>
      <c r="BX3007">
        <v>-2.89</v>
      </c>
      <c r="BY3007">
        <v>-1.94</v>
      </c>
      <c r="BZ3007">
        <v>3.15</v>
      </c>
      <c r="CA3007">
        <v>-1.94</v>
      </c>
      <c r="CB3007">
        <v>-2.39</v>
      </c>
      <c r="CC3007">
        <v>-0.15</v>
      </c>
      <c r="CD3007">
        <v>1.92</v>
      </c>
      <c r="CE3007">
        <v>-1.62</v>
      </c>
      <c r="CF3007">
        <v>-1.33</v>
      </c>
      <c r="CG3007">
        <v>0</v>
      </c>
      <c r="CH3007">
        <v>-1.85</v>
      </c>
      <c r="CI3007">
        <v>0</v>
      </c>
      <c r="CJ3007">
        <v>-8.5</v>
      </c>
      <c r="CK3007">
        <v>99</v>
      </c>
      <c r="CL3007">
        <v>-0.16</v>
      </c>
      <c r="CM3007">
        <v>99</v>
      </c>
      <c r="CN3007">
        <v>-0.37</v>
      </c>
      <c r="CO3007">
        <v>99</v>
      </c>
      <c r="CP3007">
        <v>-14.4</v>
      </c>
      <c r="CQ3007">
        <v>99</v>
      </c>
      <c r="CR3007">
        <v>0</v>
      </c>
      <c r="CS3007">
        <v>0</v>
      </c>
      <c r="CT3007">
        <v>-15.8</v>
      </c>
      <c r="CU3007">
        <v>99</v>
      </c>
      <c r="CV3007">
        <v>-7.0000000000000007E-2</v>
      </c>
      <c r="CW3007">
        <v>47</v>
      </c>
      <c r="CX3007" t="s">
        <v>4002</v>
      </c>
    </row>
    <row r="3008" spans="1:102" x14ac:dyDescent="0.3">
      <c r="A3008" t="str">
        <f>HYPERLINK("https://webapp.icbf.com/v2/app/bull-search/view/720496423","S1327")</f>
        <v>S1327</v>
      </c>
      <c r="B3008" t="s">
        <v>8475</v>
      </c>
      <c r="C3008" t="s">
        <v>8476</v>
      </c>
      <c r="D3008" s="1">
        <v>39197</v>
      </c>
      <c r="E3008" t="s">
        <v>227</v>
      </c>
      <c r="F3008">
        <v>0</v>
      </c>
      <c r="G3008" t="s">
        <v>109</v>
      </c>
      <c r="H3008">
        <v>-3.46</v>
      </c>
      <c r="I3008">
        <v>56</v>
      </c>
      <c r="J3008">
        <v>-12.76</v>
      </c>
      <c r="K3008">
        <v>77</v>
      </c>
      <c r="L3008">
        <v>-12.29</v>
      </c>
      <c r="M3008">
        <v>71</v>
      </c>
      <c r="N3008">
        <v>13.98</v>
      </c>
      <c r="O3008">
        <v>32</v>
      </c>
      <c r="P3008">
        <v>-48.1</v>
      </c>
      <c r="Q3008">
        <v>18</v>
      </c>
      <c r="R3008">
        <v>-4.26</v>
      </c>
      <c r="S3008">
        <v>16</v>
      </c>
      <c r="T3008">
        <v>58.6</v>
      </c>
      <c r="U3008">
        <v>10</v>
      </c>
      <c r="V3008">
        <v>1.37</v>
      </c>
      <c r="W3008">
        <v>22</v>
      </c>
      <c r="X3008" t="s">
        <v>276</v>
      </c>
      <c r="Y3008" t="s">
        <v>342</v>
      </c>
      <c r="Z3008">
        <v>0</v>
      </c>
      <c r="AA3008" t="s">
        <v>8477</v>
      </c>
      <c r="AB3008" t="s">
        <v>8478</v>
      </c>
      <c r="AC3008">
        <v>0</v>
      </c>
      <c r="AD3008">
        <v>0</v>
      </c>
      <c r="AE3008">
        <v>77</v>
      </c>
      <c r="AF3008">
        <v>-592.13</v>
      </c>
      <c r="AG3008">
        <v>1.1200000000000001</v>
      </c>
      <c r="AH3008">
        <v>-11.63</v>
      </c>
      <c r="AI3008">
        <v>0.44</v>
      </c>
      <c r="AJ3008">
        <v>0.16</v>
      </c>
      <c r="AK3008">
        <v>71</v>
      </c>
      <c r="AL3008">
        <v>0</v>
      </c>
      <c r="AM3008">
        <v>0</v>
      </c>
      <c r="AN3008">
        <v>2.25</v>
      </c>
      <c r="AO3008">
        <v>1.29</v>
      </c>
      <c r="AP3008">
        <v>9</v>
      </c>
      <c r="AQ3008">
        <v>0</v>
      </c>
      <c r="AR3008">
        <v>5.34</v>
      </c>
      <c r="AS3008">
        <v>16</v>
      </c>
      <c r="AT3008">
        <v>2.68</v>
      </c>
      <c r="AU3008">
        <v>20</v>
      </c>
      <c r="AV3008">
        <v>-1.28</v>
      </c>
      <c r="AW3008">
        <v>53</v>
      </c>
      <c r="AX3008">
        <v>0.87</v>
      </c>
      <c r="AY3008">
        <v>28</v>
      </c>
      <c r="AZ3008">
        <v>7.49</v>
      </c>
      <c r="BA3008">
        <v>8</v>
      </c>
      <c r="BB3008">
        <v>5.27</v>
      </c>
      <c r="BC3008">
        <v>7</v>
      </c>
      <c r="BD3008">
        <v>-0.03</v>
      </c>
      <c r="BE3008">
        <v>0.02</v>
      </c>
      <c r="BF3008">
        <v>0.11</v>
      </c>
      <c r="BG3008">
        <v>22</v>
      </c>
      <c r="BH3008">
        <v>0.05</v>
      </c>
      <c r="BI3008">
        <v>1.35</v>
      </c>
      <c r="BJ3008">
        <v>3</v>
      </c>
      <c r="BK3008">
        <v>2</v>
      </c>
      <c r="BL3008">
        <v>0.2</v>
      </c>
      <c r="BM3008">
        <v>-1.48</v>
      </c>
      <c r="BN3008">
        <v>0.93</v>
      </c>
      <c r="BO3008">
        <v>2.37</v>
      </c>
      <c r="BP3008">
        <v>-1.54</v>
      </c>
      <c r="BQ3008">
        <v>-2.82</v>
      </c>
      <c r="BR3008">
        <v>1.35</v>
      </c>
      <c r="BS3008">
        <v>6.88</v>
      </c>
      <c r="BT3008">
        <v>-0.65</v>
      </c>
      <c r="BU3008">
        <v>1.93</v>
      </c>
      <c r="BV3008">
        <v>1.55</v>
      </c>
      <c r="BW3008">
        <v>-0.89</v>
      </c>
      <c r="BX3008">
        <v>-0.92</v>
      </c>
      <c r="BY3008">
        <v>0.31</v>
      </c>
      <c r="BZ3008">
        <v>-0.86</v>
      </c>
      <c r="CA3008">
        <v>3.22</v>
      </c>
      <c r="CB3008">
        <v>1.85</v>
      </c>
      <c r="CC3008">
        <v>4.6399999999999997</v>
      </c>
      <c r="CD3008">
        <v>-2.33</v>
      </c>
      <c r="CE3008">
        <v>2.0499999999999998</v>
      </c>
      <c r="CF3008">
        <v>0.92</v>
      </c>
      <c r="CG3008">
        <v>0</v>
      </c>
      <c r="CH3008">
        <v>0.6</v>
      </c>
      <c r="CI3008">
        <v>0</v>
      </c>
      <c r="CJ3008">
        <v>-26.4</v>
      </c>
      <c r="CK3008">
        <v>20</v>
      </c>
      <c r="CL3008">
        <v>-1.1399999999999999</v>
      </c>
      <c r="CM3008">
        <v>16</v>
      </c>
      <c r="CN3008">
        <v>-0.54</v>
      </c>
      <c r="CO3008">
        <v>14</v>
      </c>
      <c r="CP3008">
        <v>-41.5</v>
      </c>
      <c r="CQ3008">
        <v>15</v>
      </c>
      <c r="CR3008">
        <v>0</v>
      </c>
      <c r="CS3008">
        <v>0</v>
      </c>
      <c r="CT3008">
        <v>-65.400000000000006</v>
      </c>
      <c r="CU3008">
        <v>10</v>
      </c>
      <c r="CV3008">
        <v>-0.31</v>
      </c>
      <c r="CW3008">
        <v>4</v>
      </c>
      <c r="CX3008" t="s">
        <v>8479</v>
      </c>
    </row>
    <row r="3009" spans="1:102" x14ac:dyDescent="0.3">
      <c r="A3009" t="str">
        <f>HYPERLINK("https://webapp.icbf.com/v2/app/bull-search/view/77857357","HBD")</f>
        <v>HBD</v>
      </c>
      <c r="B3009" t="s">
        <v>3783</v>
      </c>
      <c r="C3009" t="s">
        <v>3784</v>
      </c>
      <c r="D3009" s="1">
        <v>33178</v>
      </c>
      <c r="E3009" t="s">
        <v>92</v>
      </c>
      <c r="F3009">
        <v>100</v>
      </c>
      <c r="G3009" t="s">
        <v>93</v>
      </c>
      <c r="H3009">
        <v>-3.48</v>
      </c>
      <c r="I3009">
        <v>86</v>
      </c>
      <c r="J3009">
        <v>-35.909999999999997</v>
      </c>
      <c r="K3009">
        <v>95</v>
      </c>
      <c r="L3009">
        <v>12.28</v>
      </c>
      <c r="M3009">
        <v>89</v>
      </c>
      <c r="N3009">
        <v>9.26</v>
      </c>
      <c r="O3009">
        <v>72</v>
      </c>
      <c r="P3009">
        <v>-20.04</v>
      </c>
      <c r="Q3009">
        <v>76</v>
      </c>
      <c r="R3009">
        <v>10.06</v>
      </c>
      <c r="S3009">
        <v>81</v>
      </c>
      <c r="T3009">
        <v>20.34</v>
      </c>
      <c r="U3009">
        <v>73</v>
      </c>
      <c r="V3009">
        <v>0.53</v>
      </c>
      <c r="W3009">
        <v>66</v>
      </c>
      <c r="X3009" t="s">
        <v>747</v>
      </c>
      <c r="Y3009" t="s">
        <v>95</v>
      </c>
      <c r="Z3009" t="s">
        <v>96</v>
      </c>
      <c r="AA3009" t="s">
        <v>111</v>
      </c>
      <c r="AB3009" t="s">
        <v>3785</v>
      </c>
      <c r="AC3009">
        <v>60</v>
      </c>
      <c r="AD3009">
        <v>46</v>
      </c>
      <c r="AE3009">
        <v>95</v>
      </c>
      <c r="AF3009">
        <v>23.02</v>
      </c>
      <c r="AG3009">
        <v>0.1</v>
      </c>
      <c r="AH3009">
        <v>-5.79</v>
      </c>
      <c r="AI3009">
        <v>-0.01</v>
      </c>
      <c r="AJ3009">
        <v>-0.11</v>
      </c>
      <c r="AK3009">
        <v>89</v>
      </c>
      <c r="AL3009">
        <v>60</v>
      </c>
      <c r="AM3009">
        <v>42</v>
      </c>
      <c r="AN3009">
        <v>0.95</v>
      </c>
      <c r="AO3009">
        <v>1.95</v>
      </c>
      <c r="AP3009">
        <v>1</v>
      </c>
      <c r="AQ3009">
        <v>0</v>
      </c>
      <c r="AR3009">
        <v>8.65</v>
      </c>
      <c r="AS3009">
        <v>61</v>
      </c>
      <c r="AT3009">
        <v>2.62</v>
      </c>
      <c r="AU3009">
        <v>87</v>
      </c>
      <c r="AV3009">
        <v>-0.76</v>
      </c>
      <c r="AW3009">
        <v>69</v>
      </c>
      <c r="AX3009">
        <v>-0.46</v>
      </c>
      <c r="AY3009">
        <v>74</v>
      </c>
      <c r="AZ3009">
        <v>6.14</v>
      </c>
      <c r="BA3009">
        <v>55</v>
      </c>
      <c r="BB3009">
        <v>5.01</v>
      </c>
      <c r="BC3009">
        <v>63</v>
      </c>
      <c r="BD3009">
        <v>0.01</v>
      </c>
      <c r="BE3009">
        <v>-0.02</v>
      </c>
      <c r="BF3009">
        <v>-0.21</v>
      </c>
      <c r="BG3009">
        <v>94</v>
      </c>
      <c r="BH3009">
        <v>0.02</v>
      </c>
      <c r="BI3009">
        <v>0.59</v>
      </c>
      <c r="BJ3009">
        <v>28</v>
      </c>
      <c r="BK3009">
        <v>17</v>
      </c>
      <c r="BL3009">
        <v>-0.06</v>
      </c>
      <c r="BM3009">
        <v>-0.59</v>
      </c>
      <c r="BN3009">
        <v>-0.02</v>
      </c>
      <c r="BO3009">
        <v>-0.12</v>
      </c>
      <c r="BP3009">
        <v>-0.3</v>
      </c>
      <c r="BQ3009">
        <v>-0.89</v>
      </c>
      <c r="BR3009">
        <v>-0.52</v>
      </c>
      <c r="BS3009">
        <v>-0.43</v>
      </c>
      <c r="BT3009">
        <v>-0.57999999999999996</v>
      </c>
      <c r="BU3009">
        <v>1.17</v>
      </c>
      <c r="BV3009">
        <v>-0.38</v>
      </c>
      <c r="BW3009">
        <v>0.81</v>
      </c>
      <c r="BX3009">
        <v>1.5</v>
      </c>
      <c r="BY3009">
        <v>1.36</v>
      </c>
      <c r="BZ3009">
        <v>-0.51</v>
      </c>
      <c r="CA3009">
        <v>0.62</v>
      </c>
      <c r="CB3009">
        <v>0.48</v>
      </c>
      <c r="CC3009">
        <v>0.6</v>
      </c>
      <c r="CD3009">
        <v>0.16</v>
      </c>
      <c r="CE3009">
        <v>-0.33</v>
      </c>
      <c r="CF3009">
        <v>-0.53</v>
      </c>
      <c r="CG3009">
        <v>0</v>
      </c>
      <c r="CH3009">
        <v>1.39</v>
      </c>
      <c r="CI3009">
        <v>0</v>
      </c>
      <c r="CJ3009">
        <v>-9.8000000000000007</v>
      </c>
      <c r="CK3009">
        <v>77</v>
      </c>
      <c r="CL3009">
        <v>-0.99</v>
      </c>
      <c r="CM3009">
        <v>74</v>
      </c>
      <c r="CN3009">
        <v>-0.44</v>
      </c>
      <c r="CO3009">
        <v>71</v>
      </c>
      <c r="CP3009">
        <v>-9.6999999999999993</v>
      </c>
      <c r="CQ3009">
        <v>83</v>
      </c>
      <c r="CR3009">
        <v>0</v>
      </c>
      <c r="CS3009">
        <v>0</v>
      </c>
      <c r="CT3009">
        <v>-13.7</v>
      </c>
      <c r="CU3009">
        <v>73</v>
      </c>
      <c r="CV3009">
        <v>7.0000000000000007E-2</v>
      </c>
      <c r="CW3009">
        <v>41</v>
      </c>
      <c r="CX3009" t="s">
        <v>543</v>
      </c>
    </row>
    <row r="3010" spans="1:102" x14ac:dyDescent="0.3">
      <c r="A3010" t="str">
        <f>HYPERLINK("https://webapp.icbf.com/v2/app/bull-search/view/720536049","S1226")</f>
        <v>S1226</v>
      </c>
      <c r="B3010" t="s">
        <v>334</v>
      </c>
      <c r="C3010" t="s">
        <v>335</v>
      </c>
      <c r="D3010" s="1">
        <v>38613</v>
      </c>
      <c r="E3010" t="s">
        <v>227</v>
      </c>
      <c r="F3010">
        <v>0</v>
      </c>
      <c r="G3010" t="s">
        <v>109</v>
      </c>
      <c r="H3010">
        <v>-3.59</v>
      </c>
      <c r="I3010">
        <v>75</v>
      </c>
      <c r="J3010">
        <v>-13.92</v>
      </c>
      <c r="K3010">
        <v>91</v>
      </c>
      <c r="L3010">
        <v>-13.3</v>
      </c>
      <c r="M3010">
        <v>86</v>
      </c>
      <c r="N3010">
        <v>9.57</v>
      </c>
      <c r="O3010">
        <v>49</v>
      </c>
      <c r="P3010">
        <v>-33.369999999999997</v>
      </c>
      <c r="Q3010">
        <v>47</v>
      </c>
      <c r="R3010">
        <v>-1.1200000000000001</v>
      </c>
      <c r="S3010">
        <v>60</v>
      </c>
      <c r="T3010">
        <v>42.98</v>
      </c>
      <c r="U3010">
        <v>41</v>
      </c>
      <c r="V3010">
        <v>5.57</v>
      </c>
      <c r="W3010">
        <v>54</v>
      </c>
      <c r="X3010" t="s">
        <v>276</v>
      </c>
      <c r="Y3010" t="s">
        <v>336</v>
      </c>
      <c r="Z3010">
        <v>0</v>
      </c>
      <c r="AA3010" t="s">
        <v>337</v>
      </c>
      <c r="AB3010" t="s">
        <v>338</v>
      </c>
      <c r="AC3010">
        <v>0</v>
      </c>
      <c r="AD3010">
        <v>0</v>
      </c>
      <c r="AE3010">
        <v>91</v>
      </c>
      <c r="AF3010">
        <v>-458.84</v>
      </c>
      <c r="AG3010">
        <v>3.76</v>
      </c>
      <c r="AH3010">
        <v>-10.72</v>
      </c>
      <c r="AI3010">
        <v>0.41</v>
      </c>
      <c r="AJ3010">
        <v>0.09</v>
      </c>
      <c r="AK3010">
        <v>86</v>
      </c>
      <c r="AL3010">
        <v>0</v>
      </c>
      <c r="AM3010">
        <v>0</v>
      </c>
      <c r="AN3010">
        <v>0.77</v>
      </c>
      <c r="AO3010">
        <v>-0.28999999999999998</v>
      </c>
      <c r="AP3010">
        <v>2</v>
      </c>
      <c r="AQ3010">
        <v>0</v>
      </c>
      <c r="AR3010">
        <v>4.1100000000000003</v>
      </c>
      <c r="AS3010">
        <v>44</v>
      </c>
      <c r="AT3010">
        <v>2.08</v>
      </c>
      <c r="AU3010">
        <v>45</v>
      </c>
      <c r="AV3010">
        <v>-0.28999999999999998</v>
      </c>
      <c r="AW3010">
        <v>61</v>
      </c>
      <c r="AX3010">
        <v>2.5099999999999998</v>
      </c>
      <c r="AY3010">
        <v>41</v>
      </c>
      <c r="AZ3010">
        <v>7.26</v>
      </c>
      <c r="BA3010">
        <v>34</v>
      </c>
      <c r="BB3010">
        <v>5.1100000000000003</v>
      </c>
      <c r="BC3010">
        <v>34</v>
      </c>
      <c r="BD3010">
        <v>-0.05</v>
      </c>
      <c r="BE3010">
        <v>0.01</v>
      </c>
      <c r="BF3010">
        <v>0.09</v>
      </c>
      <c r="BG3010">
        <v>67</v>
      </c>
      <c r="BH3010">
        <v>0.11</v>
      </c>
      <c r="BI3010">
        <v>-5.23</v>
      </c>
      <c r="BJ3010">
        <v>2</v>
      </c>
      <c r="BK3010">
        <v>2</v>
      </c>
      <c r="BL3010">
        <v>-0.32</v>
      </c>
      <c r="BM3010">
        <v>0.17</v>
      </c>
      <c r="BN3010">
        <v>0.39</v>
      </c>
      <c r="BO3010">
        <v>0.5</v>
      </c>
      <c r="BP3010">
        <v>-0.9</v>
      </c>
      <c r="BQ3010">
        <v>-0.77</v>
      </c>
      <c r="BR3010">
        <v>0.43</v>
      </c>
      <c r="BS3010">
        <v>3.96</v>
      </c>
      <c r="BT3010">
        <v>0</v>
      </c>
      <c r="BU3010">
        <v>0.53</v>
      </c>
      <c r="BV3010">
        <v>0.57999999999999996</v>
      </c>
      <c r="BW3010">
        <v>-0.79</v>
      </c>
      <c r="BX3010">
        <v>-0.83</v>
      </c>
      <c r="BY3010">
        <v>-0.12</v>
      </c>
      <c r="BZ3010">
        <v>0.94</v>
      </c>
      <c r="CA3010">
        <v>1.26</v>
      </c>
      <c r="CB3010">
        <v>0.49</v>
      </c>
      <c r="CC3010">
        <v>2.31</v>
      </c>
      <c r="CD3010">
        <v>-0.49</v>
      </c>
      <c r="CE3010">
        <v>0.67</v>
      </c>
      <c r="CF3010">
        <v>0.28999999999999998</v>
      </c>
      <c r="CG3010">
        <v>0</v>
      </c>
      <c r="CH3010">
        <v>-0.01</v>
      </c>
      <c r="CI3010">
        <v>0</v>
      </c>
      <c r="CJ3010">
        <v>-16.899999999999999</v>
      </c>
      <c r="CK3010">
        <v>48</v>
      </c>
      <c r="CL3010">
        <v>-0.81</v>
      </c>
      <c r="CM3010">
        <v>45</v>
      </c>
      <c r="CN3010">
        <v>-0.24</v>
      </c>
      <c r="CO3010">
        <v>41</v>
      </c>
      <c r="CP3010">
        <v>-30</v>
      </c>
      <c r="CQ3010">
        <v>52</v>
      </c>
      <c r="CR3010">
        <v>0</v>
      </c>
      <c r="CS3010">
        <v>0</v>
      </c>
      <c r="CT3010">
        <v>-44.3</v>
      </c>
      <c r="CU3010">
        <v>41</v>
      </c>
      <c r="CV3010">
        <v>-0.1</v>
      </c>
      <c r="CW3010">
        <v>33</v>
      </c>
      <c r="CX3010" t="s">
        <v>339</v>
      </c>
    </row>
    <row r="3011" spans="1:102" x14ac:dyDescent="0.3">
      <c r="A3011" t="str">
        <f>HYPERLINK("https://webapp.icbf.com/v2/app/bull-search/view/354479019","LUA")</f>
        <v>LUA</v>
      </c>
      <c r="B3011" t="s">
        <v>6631</v>
      </c>
      <c r="C3011" t="s">
        <v>476</v>
      </c>
      <c r="D3011" s="1">
        <v>36079</v>
      </c>
      <c r="E3011" t="s">
        <v>92</v>
      </c>
      <c r="F3011">
        <v>100</v>
      </c>
      <c r="G3011" t="s">
        <v>93</v>
      </c>
      <c r="H3011">
        <v>-3.61</v>
      </c>
      <c r="I3011">
        <v>94</v>
      </c>
      <c r="J3011">
        <v>33.97</v>
      </c>
      <c r="K3011">
        <v>98</v>
      </c>
      <c r="L3011">
        <v>-72.44</v>
      </c>
      <c r="M3011">
        <v>93</v>
      </c>
      <c r="N3011">
        <v>17.329999999999998</v>
      </c>
      <c r="O3011">
        <v>93</v>
      </c>
      <c r="P3011">
        <v>-12.79</v>
      </c>
      <c r="Q3011">
        <v>96</v>
      </c>
      <c r="R3011">
        <v>9</v>
      </c>
      <c r="S3011">
        <v>88</v>
      </c>
      <c r="T3011">
        <v>18.12</v>
      </c>
      <c r="U3011">
        <v>91</v>
      </c>
      <c r="V3011">
        <v>3.2</v>
      </c>
      <c r="W3011">
        <v>86</v>
      </c>
      <c r="X3011" t="s">
        <v>102</v>
      </c>
      <c r="Y3011" t="s">
        <v>95</v>
      </c>
      <c r="Z3011" t="s">
        <v>96</v>
      </c>
      <c r="AA3011" t="s">
        <v>6632</v>
      </c>
      <c r="AB3011" t="s">
        <v>6633</v>
      </c>
      <c r="AC3011">
        <v>204</v>
      </c>
      <c r="AD3011">
        <v>70</v>
      </c>
      <c r="AE3011">
        <v>98</v>
      </c>
      <c r="AF3011">
        <v>397.56</v>
      </c>
      <c r="AG3011">
        <v>4.7</v>
      </c>
      <c r="AH3011">
        <v>10.199999999999999</v>
      </c>
      <c r="AI3011">
        <v>-0.18</v>
      </c>
      <c r="AJ3011">
        <v>-0.05</v>
      </c>
      <c r="AK3011">
        <v>93</v>
      </c>
      <c r="AL3011">
        <v>206</v>
      </c>
      <c r="AM3011">
        <v>72</v>
      </c>
      <c r="AN3011">
        <v>5.25</v>
      </c>
      <c r="AO3011">
        <v>-0.51</v>
      </c>
      <c r="AP3011">
        <v>307</v>
      </c>
      <c r="AQ3011">
        <v>1</v>
      </c>
      <c r="AR3011">
        <v>6.37</v>
      </c>
      <c r="AS3011">
        <v>90</v>
      </c>
      <c r="AT3011">
        <v>2.86</v>
      </c>
      <c r="AU3011">
        <v>99</v>
      </c>
      <c r="AV3011">
        <v>-1.4</v>
      </c>
      <c r="AW3011">
        <v>96</v>
      </c>
      <c r="AX3011">
        <v>-0.06</v>
      </c>
      <c r="AY3011">
        <v>91</v>
      </c>
      <c r="AZ3011">
        <v>6.49</v>
      </c>
      <c r="BA3011">
        <v>80</v>
      </c>
      <c r="BB3011">
        <v>4.83</v>
      </c>
      <c r="BC3011">
        <v>80</v>
      </c>
      <c r="BD3011">
        <v>-0.03</v>
      </c>
      <c r="BE3011">
        <v>-0.03</v>
      </c>
      <c r="BF3011">
        <v>-0.1</v>
      </c>
      <c r="BG3011">
        <v>95</v>
      </c>
      <c r="BH3011">
        <v>-0.04</v>
      </c>
      <c r="BI3011">
        <v>-14.94</v>
      </c>
      <c r="BJ3011">
        <v>89</v>
      </c>
      <c r="BK3011">
        <v>30</v>
      </c>
      <c r="BL3011">
        <v>0.03</v>
      </c>
      <c r="BM3011">
        <v>-1.77</v>
      </c>
      <c r="BN3011">
        <v>-0.18</v>
      </c>
      <c r="BO3011">
        <v>0.82</v>
      </c>
      <c r="BP3011">
        <v>-2.79</v>
      </c>
      <c r="BQ3011">
        <v>-0.83</v>
      </c>
      <c r="BR3011">
        <v>-0.31</v>
      </c>
      <c r="BS3011">
        <v>1.76</v>
      </c>
      <c r="BT3011">
        <v>0.42</v>
      </c>
      <c r="BU3011">
        <v>0.82</v>
      </c>
      <c r="BV3011">
        <v>1.76</v>
      </c>
      <c r="BW3011">
        <v>1.39</v>
      </c>
      <c r="BX3011">
        <v>0.32</v>
      </c>
      <c r="BY3011">
        <v>0.94</v>
      </c>
      <c r="BZ3011">
        <v>-1.22</v>
      </c>
      <c r="CA3011">
        <v>1.47</v>
      </c>
      <c r="CB3011">
        <v>1.35</v>
      </c>
      <c r="CC3011">
        <v>1.1000000000000001</v>
      </c>
      <c r="CD3011">
        <v>-1.24</v>
      </c>
      <c r="CE3011">
        <v>1.55</v>
      </c>
      <c r="CF3011">
        <v>0.09</v>
      </c>
      <c r="CG3011">
        <v>0</v>
      </c>
      <c r="CH3011">
        <v>0.64</v>
      </c>
      <c r="CI3011">
        <v>0</v>
      </c>
      <c r="CJ3011">
        <v>-4.9000000000000004</v>
      </c>
      <c r="CK3011">
        <v>96</v>
      </c>
      <c r="CL3011">
        <v>-0.99</v>
      </c>
      <c r="CM3011">
        <v>95</v>
      </c>
      <c r="CN3011">
        <v>-0.45</v>
      </c>
      <c r="CO3011">
        <v>95</v>
      </c>
      <c r="CP3011">
        <v>-7.2</v>
      </c>
      <c r="CQ3011">
        <v>95</v>
      </c>
      <c r="CR3011">
        <v>0</v>
      </c>
      <c r="CS3011">
        <v>0</v>
      </c>
      <c r="CT3011">
        <v>-10.7</v>
      </c>
      <c r="CU3011">
        <v>91</v>
      </c>
      <c r="CV3011">
        <v>0.15</v>
      </c>
      <c r="CW3011">
        <v>45</v>
      </c>
      <c r="CX3011" t="s">
        <v>1218</v>
      </c>
    </row>
    <row r="3012" spans="1:102" x14ac:dyDescent="0.3">
      <c r="A3012" t="str">
        <f>HYPERLINK("https://webapp.icbf.com/v2/app/bull-search/view/77859562","BEA")</f>
        <v>BEA</v>
      </c>
      <c r="B3012" t="s">
        <v>6625</v>
      </c>
      <c r="C3012" t="s">
        <v>6626</v>
      </c>
      <c r="D3012" s="1">
        <v>34523</v>
      </c>
      <c r="E3012" t="s">
        <v>92</v>
      </c>
      <c r="F3012">
        <v>100</v>
      </c>
      <c r="G3012" t="s">
        <v>93</v>
      </c>
      <c r="H3012">
        <v>-3.63</v>
      </c>
      <c r="I3012">
        <v>97</v>
      </c>
      <c r="J3012">
        <v>35.020000000000003</v>
      </c>
      <c r="K3012">
        <v>99</v>
      </c>
      <c r="L3012">
        <v>-38.869999999999997</v>
      </c>
      <c r="M3012">
        <v>95</v>
      </c>
      <c r="N3012">
        <v>-4.1399999999999997</v>
      </c>
      <c r="O3012">
        <v>98</v>
      </c>
      <c r="P3012">
        <v>-4.87</v>
      </c>
      <c r="Q3012">
        <v>99</v>
      </c>
      <c r="R3012">
        <v>11.18</v>
      </c>
      <c r="S3012">
        <v>96</v>
      </c>
      <c r="T3012">
        <v>3.47</v>
      </c>
      <c r="U3012">
        <v>99</v>
      </c>
      <c r="V3012">
        <v>-5.42</v>
      </c>
      <c r="W3012">
        <v>97</v>
      </c>
      <c r="X3012" t="s">
        <v>94</v>
      </c>
      <c r="Y3012" t="s">
        <v>95</v>
      </c>
      <c r="Z3012" t="s">
        <v>96</v>
      </c>
      <c r="AA3012" t="s">
        <v>1506</v>
      </c>
      <c r="AB3012" t="s">
        <v>6627</v>
      </c>
      <c r="AC3012">
        <v>1424</v>
      </c>
      <c r="AD3012">
        <v>495</v>
      </c>
      <c r="AE3012">
        <v>99</v>
      </c>
      <c r="AF3012">
        <v>74.650000000000006</v>
      </c>
      <c r="AG3012">
        <v>5.96</v>
      </c>
      <c r="AH3012">
        <v>4.99</v>
      </c>
      <c r="AI3012">
        <v>0.05</v>
      </c>
      <c r="AJ3012">
        <v>0.04</v>
      </c>
      <c r="AK3012">
        <v>95</v>
      </c>
      <c r="AL3012">
        <v>2007</v>
      </c>
      <c r="AM3012">
        <v>819</v>
      </c>
      <c r="AN3012">
        <v>2.88</v>
      </c>
      <c r="AO3012">
        <v>-0.21</v>
      </c>
      <c r="AP3012">
        <v>1153</v>
      </c>
      <c r="AQ3012">
        <v>4</v>
      </c>
      <c r="AR3012">
        <v>7.31</v>
      </c>
      <c r="AS3012">
        <v>93</v>
      </c>
      <c r="AT3012">
        <v>3.75</v>
      </c>
      <c r="AU3012">
        <v>98</v>
      </c>
      <c r="AV3012">
        <v>0.03</v>
      </c>
      <c r="AW3012">
        <v>99</v>
      </c>
      <c r="AX3012">
        <v>-0.28999999999999998</v>
      </c>
      <c r="AY3012">
        <v>98</v>
      </c>
      <c r="AZ3012">
        <v>7.17</v>
      </c>
      <c r="BA3012">
        <v>93</v>
      </c>
      <c r="BB3012">
        <v>4.7300000000000004</v>
      </c>
      <c r="BC3012">
        <v>96</v>
      </c>
      <c r="BD3012">
        <v>-0.06</v>
      </c>
      <c r="BE3012">
        <v>-0.03</v>
      </c>
      <c r="BF3012">
        <v>-0.1</v>
      </c>
      <c r="BG3012">
        <v>99</v>
      </c>
      <c r="BH3012">
        <v>-0.01</v>
      </c>
      <c r="BI3012">
        <v>16.32</v>
      </c>
      <c r="BJ3012">
        <v>59</v>
      </c>
      <c r="BK3012">
        <v>48</v>
      </c>
      <c r="BL3012">
        <v>0.11</v>
      </c>
      <c r="BM3012">
        <v>-1.05</v>
      </c>
      <c r="BN3012">
        <v>-0.76</v>
      </c>
      <c r="BO3012">
        <v>-0.01</v>
      </c>
      <c r="BP3012">
        <v>0.49</v>
      </c>
      <c r="BQ3012">
        <v>-3.09</v>
      </c>
      <c r="BR3012">
        <v>-0.28999999999999998</v>
      </c>
      <c r="BS3012">
        <v>0.7</v>
      </c>
      <c r="BT3012">
        <v>-0.02</v>
      </c>
      <c r="BU3012">
        <v>-1.05</v>
      </c>
      <c r="BV3012">
        <v>-1.1399999999999999</v>
      </c>
      <c r="BW3012">
        <v>-0.13</v>
      </c>
      <c r="BX3012">
        <v>-0.15</v>
      </c>
      <c r="BY3012">
        <v>-1.01</v>
      </c>
      <c r="BZ3012">
        <v>3.2</v>
      </c>
      <c r="CA3012">
        <v>-0.16</v>
      </c>
      <c r="CB3012">
        <v>-0.4</v>
      </c>
      <c r="CC3012">
        <v>0.35</v>
      </c>
      <c r="CD3012">
        <v>-0.22</v>
      </c>
      <c r="CE3012">
        <v>0.17</v>
      </c>
      <c r="CF3012">
        <v>-0.65</v>
      </c>
      <c r="CG3012">
        <v>0</v>
      </c>
      <c r="CH3012">
        <v>-1.1399999999999999</v>
      </c>
      <c r="CI3012">
        <v>0</v>
      </c>
      <c r="CJ3012">
        <v>-0.9</v>
      </c>
      <c r="CK3012">
        <v>99</v>
      </c>
      <c r="CL3012">
        <v>-0.73</v>
      </c>
      <c r="CM3012">
        <v>99</v>
      </c>
      <c r="CN3012">
        <v>-0.3</v>
      </c>
      <c r="CO3012">
        <v>99</v>
      </c>
      <c r="CP3012">
        <v>2.6</v>
      </c>
      <c r="CQ3012">
        <v>99</v>
      </c>
      <c r="CR3012">
        <v>0</v>
      </c>
      <c r="CS3012">
        <v>0</v>
      </c>
      <c r="CT3012">
        <v>9.1</v>
      </c>
      <c r="CU3012">
        <v>99</v>
      </c>
      <c r="CV3012">
        <v>0.12</v>
      </c>
      <c r="CW3012">
        <v>46</v>
      </c>
      <c r="CX3012" t="s">
        <v>166</v>
      </c>
    </row>
    <row r="3013" spans="1:102" x14ac:dyDescent="0.3">
      <c r="A3013" t="str">
        <f>HYPERLINK("https://webapp.icbf.com/v2/app/bull-search/view/69091948","INW")</f>
        <v>INW</v>
      </c>
      <c r="B3013" t="s">
        <v>11663</v>
      </c>
      <c r="C3013" t="s">
        <v>11664</v>
      </c>
      <c r="D3013" s="1">
        <v>34026</v>
      </c>
      <c r="E3013" t="s">
        <v>140</v>
      </c>
      <c r="F3013">
        <v>0</v>
      </c>
      <c r="G3013" t="s">
        <v>93</v>
      </c>
      <c r="H3013">
        <v>-3.66</v>
      </c>
      <c r="I3013">
        <v>83</v>
      </c>
      <c r="J3013">
        <v>4.01</v>
      </c>
      <c r="K3013">
        <v>96</v>
      </c>
      <c r="L3013">
        <v>0.98</v>
      </c>
      <c r="M3013">
        <v>69</v>
      </c>
      <c r="N3013">
        <v>-39.93</v>
      </c>
      <c r="O3013">
        <v>82</v>
      </c>
      <c r="P3013">
        <v>27.43</v>
      </c>
      <c r="Q3013">
        <v>94</v>
      </c>
      <c r="R3013">
        <v>2.77</v>
      </c>
      <c r="S3013">
        <v>72</v>
      </c>
      <c r="T3013">
        <v>11.61</v>
      </c>
      <c r="U3013">
        <v>87</v>
      </c>
      <c r="V3013">
        <v>-10.53</v>
      </c>
      <c r="W3013">
        <v>73</v>
      </c>
      <c r="X3013" t="s">
        <v>276</v>
      </c>
      <c r="Y3013" t="s">
        <v>95</v>
      </c>
      <c r="Z3013">
        <v>0</v>
      </c>
      <c r="AA3013" t="s">
        <v>224</v>
      </c>
      <c r="AB3013" t="s">
        <v>11665</v>
      </c>
      <c r="AC3013">
        <v>94</v>
      </c>
      <c r="AD3013">
        <v>43</v>
      </c>
      <c r="AE3013">
        <v>96</v>
      </c>
      <c r="AF3013">
        <v>-272.95</v>
      </c>
      <c r="AG3013">
        <v>0.35</v>
      </c>
      <c r="AH3013">
        <v>-3.62</v>
      </c>
      <c r="AI3013">
        <v>0.19</v>
      </c>
      <c r="AJ3013">
        <v>0.1</v>
      </c>
      <c r="AK3013">
        <v>69</v>
      </c>
      <c r="AL3013">
        <v>101</v>
      </c>
      <c r="AM3013">
        <v>58</v>
      </c>
      <c r="AN3013">
        <v>-0.7</v>
      </c>
      <c r="AO3013">
        <v>-0.63</v>
      </c>
      <c r="AP3013">
        <v>119</v>
      </c>
      <c r="AQ3013">
        <v>0</v>
      </c>
      <c r="AR3013">
        <v>11.73</v>
      </c>
      <c r="AS3013">
        <v>62</v>
      </c>
      <c r="AT3013">
        <v>5.78</v>
      </c>
      <c r="AU3013">
        <v>81</v>
      </c>
      <c r="AV3013">
        <v>0.74</v>
      </c>
      <c r="AW3013">
        <v>93</v>
      </c>
      <c r="AX3013">
        <v>-0.39</v>
      </c>
      <c r="AY3013">
        <v>81</v>
      </c>
      <c r="AZ3013">
        <v>4.8499999999999996</v>
      </c>
      <c r="BA3013">
        <v>58</v>
      </c>
      <c r="BB3013">
        <v>3.41</v>
      </c>
      <c r="BC3013">
        <v>66</v>
      </c>
      <c r="BD3013">
        <v>0.02</v>
      </c>
      <c r="BE3013">
        <v>-0.03</v>
      </c>
      <c r="BF3013">
        <v>-0.04</v>
      </c>
      <c r="BG3013">
        <v>84</v>
      </c>
      <c r="BH3013">
        <v>-0.17</v>
      </c>
      <c r="BI3013">
        <v>14.29</v>
      </c>
      <c r="BJ3013">
        <v>0</v>
      </c>
      <c r="BK3013">
        <v>0</v>
      </c>
      <c r="BL3013">
        <v>-0.56000000000000005</v>
      </c>
      <c r="BM3013">
        <v>4</v>
      </c>
      <c r="BN3013">
        <v>-1.1100000000000001</v>
      </c>
      <c r="BO3013">
        <v>-2.87</v>
      </c>
      <c r="BP3013">
        <v>4.66</v>
      </c>
      <c r="BQ3013">
        <v>-1.47</v>
      </c>
      <c r="BR3013">
        <v>-2.4700000000000002</v>
      </c>
      <c r="BS3013">
        <v>-0.19</v>
      </c>
      <c r="BT3013">
        <v>2.59</v>
      </c>
      <c r="BU3013">
        <v>-3.1</v>
      </c>
      <c r="BV3013">
        <v>-3.55</v>
      </c>
      <c r="BW3013">
        <v>-2.78</v>
      </c>
      <c r="BX3013">
        <v>-2.6</v>
      </c>
      <c r="BY3013">
        <v>-1.68</v>
      </c>
      <c r="BZ3013">
        <v>1.26</v>
      </c>
      <c r="CA3013">
        <v>-2.35</v>
      </c>
      <c r="CB3013">
        <v>-3.05</v>
      </c>
      <c r="CC3013">
        <v>-0.21</v>
      </c>
      <c r="CD3013">
        <v>4.09</v>
      </c>
      <c r="CE3013">
        <v>-2.96</v>
      </c>
      <c r="CF3013">
        <v>-0.81</v>
      </c>
      <c r="CG3013">
        <v>0</v>
      </c>
      <c r="CH3013">
        <v>-2.58</v>
      </c>
      <c r="CI3013">
        <v>0</v>
      </c>
      <c r="CJ3013">
        <v>12.6</v>
      </c>
      <c r="CK3013">
        <v>95</v>
      </c>
      <c r="CL3013">
        <v>0.4</v>
      </c>
      <c r="CM3013">
        <v>94</v>
      </c>
      <c r="CN3013">
        <v>-0.49</v>
      </c>
      <c r="CO3013">
        <v>93</v>
      </c>
      <c r="CP3013">
        <v>1.2</v>
      </c>
      <c r="CQ3013">
        <v>91</v>
      </c>
      <c r="CR3013">
        <v>0</v>
      </c>
      <c r="CS3013">
        <v>0</v>
      </c>
      <c r="CT3013">
        <v>-1.9</v>
      </c>
      <c r="CU3013">
        <v>87</v>
      </c>
      <c r="CV3013">
        <v>-0.01</v>
      </c>
      <c r="CW3013">
        <v>28</v>
      </c>
      <c r="CX3013" t="s">
        <v>1179</v>
      </c>
    </row>
    <row r="3014" spans="1:102" x14ac:dyDescent="0.3">
      <c r="A3014" t="str">
        <f>HYPERLINK("https://webapp.icbf.com/v2/app/bull-search/view/596295411","RHX")</f>
        <v>RHX</v>
      </c>
      <c r="B3014" t="s">
        <v>1643</v>
      </c>
      <c r="C3014" t="s">
        <v>1644</v>
      </c>
      <c r="D3014" s="1">
        <v>37874</v>
      </c>
      <c r="E3014" t="s">
        <v>1061</v>
      </c>
      <c r="F3014">
        <v>0</v>
      </c>
      <c r="G3014" t="s">
        <v>109</v>
      </c>
      <c r="H3014">
        <v>-3.85</v>
      </c>
      <c r="I3014">
        <v>62</v>
      </c>
      <c r="J3014">
        <v>-27.54</v>
      </c>
      <c r="K3014">
        <v>80</v>
      </c>
      <c r="L3014">
        <v>41.4</v>
      </c>
      <c r="M3014">
        <v>66</v>
      </c>
      <c r="N3014">
        <v>-18.86</v>
      </c>
      <c r="O3014">
        <v>53</v>
      </c>
      <c r="P3014">
        <v>-20.67</v>
      </c>
      <c r="Q3014">
        <v>54</v>
      </c>
      <c r="R3014">
        <v>-1.7</v>
      </c>
      <c r="S3014">
        <v>16</v>
      </c>
      <c r="T3014">
        <v>30.33</v>
      </c>
      <c r="U3014">
        <v>38</v>
      </c>
      <c r="V3014">
        <v>-6.81</v>
      </c>
      <c r="W3014">
        <v>11</v>
      </c>
      <c r="X3014" t="s">
        <v>1645</v>
      </c>
      <c r="Y3014" t="s">
        <v>282</v>
      </c>
      <c r="Z3014">
        <v>0</v>
      </c>
      <c r="AA3014" t="s">
        <v>1646</v>
      </c>
      <c r="AB3014" t="s">
        <v>1064</v>
      </c>
      <c r="AC3014">
        <v>0</v>
      </c>
      <c r="AD3014">
        <v>0</v>
      </c>
      <c r="AE3014">
        <v>80</v>
      </c>
      <c r="AF3014">
        <v>-233.81</v>
      </c>
      <c r="AG3014">
        <v>-6.85</v>
      </c>
      <c r="AH3014">
        <v>-5.84</v>
      </c>
      <c r="AI3014">
        <v>0.04</v>
      </c>
      <c r="AJ3014">
        <v>0.04</v>
      </c>
      <c r="AK3014">
        <v>66</v>
      </c>
      <c r="AL3014">
        <v>0</v>
      </c>
      <c r="AM3014">
        <v>0</v>
      </c>
      <c r="AN3014">
        <v>-0.84</v>
      </c>
      <c r="AO3014">
        <v>2.48</v>
      </c>
      <c r="AP3014">
        <v>14</v>
      </c>
      <c r="AQ3014">
        <v>0</v>
      </c>
      <c r="AR3014">
        <v>10.09</v>
      </c>
      <c r="AS3014">
        <v>19</v>
      </c>
      <c r="AT3014">
        <v>3.85</v>
      </c>
      <c r="AU3014">
        <v>60</v>
      </c>
      <c r="AV3014">
        <v>-0.2</v>
      </c>
      <c r="AW3014">
        <v>70</v>
      </c>
      <c r="AX3014">
        <v>-0.34</v>
      </c>
      <c r="AY3014">
        <v>38</v>
      </c>
      <c r="AZ3014">
        <v>7.83</v>
      </c>
      <c r="BA3014">
        <v>20</v>
      </c>
      <c r="BB3014">
        <v>5.88</v>
      </c>
      <c r="BC3014">
        <v>23</v>
      </c>
      <c r="BD3014">
        <v>0.03</v>
      </c>
      <c r="BE3014">
        <v>0.01</v>
      </c>
      <c r="BF3014">
        <v>-0.03</v>
      </c>
      <c r="BG3014">
        <v>20</v>
      </c>
      <c r="BH3014">
        <v>-0.08</v>
      </c>
      <c r="BI3014">
        <v>12.72</v>
      </c>
      <c r="BJ3014">
        <v>0</v>
      </c>
      <c r="BK3014">
        <v>0</v>
      </c>
      <c r="BL3014">
        <v>0</v>
      </c>
      <c r="BM3014">
        <v>0</v>
      </c>
      <c r="BN3014">
        <v>0</v>
      </c>
      <c r="BO3014">
        <v>0</v>
      </c>
      <c r="BP3014">
        <v>0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-8</v>
      </c>
      <c r="CK3014">
        <v>57</v>
      </c>
      <c r="CL3014">
        <v>-0.59</v>
      </c>
      <c r="CM3014">
        <v>52</v>
      </c>
      <c r="CN3014">
        <v>0.06</v>
      </c>
      <c r="CO3014">
        <v>48</v>
      </c>
      <c r="CP3014">
        <v>-18.899999999999999</v>
      </c>
      <c r="CQ3014">
        <v>51</v>
      </c>
      <c r="CR3014">
        <v>0</v>
      </c>
      <c r="CS3014">
        <v>0</v>
      </c>
      <c r="CT3014">
        <v>-27.2</v>
      </c>
      <c r="CU3014">
        <v>38</v>
      </c>
      <c r="CV3014">
        <v>-0.01</v>
      </c>
      <c r="CW3014">
        <v>14</v>
      </c>
      <c r="CX3014" t="s">
        <v>1065</v>
      </c>
    </row>
    <row r="3015" spans="1:102" x14ac:dyDescent="0.3">
      <c r="A3015" t="str">
        <f>HYPERLINK("https://webapp.icbf.com/v2/app/bull-search/view/496064002","TPU")</f>
        <v>TPU</v>
      </c>
      <c r="B3015" t="s">
        <v>7813</v>
      </c>
      <c r="C3015" t="s">
        <v>7814</v>
      </c>
      <c r="D3015" s="1">
        <v>39118</v>
      </c>
      <c r="E3015" t="s">
        <v>92</v>
      </c>
      <c r="F3015">
        <v>88</v>
      </c>
      <c r="G3015" t="s">
        <v>93</v>
      </c>
      <c r="H3015">
        <v>-3.9</v>
      </c>
      <c r="I3015">
        <v>89</v>
      </c>
      <c r="J3015">
        <v>6.06</v>
      </c>
      <c r="K3015">
        <v>97</v>
      </c>
      <c r="L3015">
        <v>17.57</v>
      </c>
      <c r="M3015">
        <v>81</v>
      </c>
      <c r="N3015">
        <v>-9.1199999999999992</v>
      </c>
      <c r="O3015">
        <v>88</v>
      </c>
      <c r="P3015">
        <v>-16.41</v>
      </c>
      <c r="Q3015">
        <v>92</v>
      </c>
      <c r="R3015">
        <v>-8.1300000000000008</v>
      </c>
      <c r="S3015">
        <v>85</v>
      </c>
      <c r="T3015">
        <v>8.0500000000000007</v>
      </c>
      <c r="U3015">
        <v>89</v>
      </c>
      <c r="V3015">
        <v>-1.92</v>
      </c>
      <c r="W3015">
        <v>85</v>
      </c>
      <c r="X3015" t="s">
        <v>94</v>
      </c>
      <c r="Y3015" t="s">
        <v>1405</v>
      </c>
      <c r="Z3015" t="s">
        <v>96</v>
      </c>
      <c r="AA3015" t="s">
        <v>4023</v>
      </c>
      <c r="AB3015" t="s">
        <v>7815</v>
      </c>
      <c r="AC3015">
        <v>96</v>
      </c>
      <c r="AD3015">
        <v>72</v>
      </c>
      <c r="AE3015">
        <v>97</v>
      </c>
      <c r="AF3015">
        <v>32.56</v>
      </c>
      <c r="AG3015">
        <v>0.11</v>
      </c>
      <c r="AH3015">
        <v>1.49</v>
      </c>
      <c r="AI3015">
        <v>-0.02</v>
      </c>
      <c r="AJ3015">
        <v>0.01</v>
      </c>
      <c r="AK3015">
        <v>81</v>
      </c>
      <c r="AL3015">
        <v>100</v>
      </c>
      <c r="AM3015">
        <v>68</v>
      </c>
      <c r="AN3015">
        <v>-1.03</v>
      </c>
      <c r="AO3015">
        <v>0.37</v>
      </c>
      <c r="AP3015">
        <v>220</v>
      </c>
      <c r="AQ3015">
        <v>4</v>
      </c>
      <c r="AR3015">
        <v>10.77</v>
      </c>
      <c r="AS3015">
        <v>74</v>
      </c>
      <c r="AT3015">
        <v>4</v>
      </c>
      <c r="AU3015">
        <v>89</v>
      </c>
      <c r="AV3015">
        <v>-0.82</v>
      </c>
      <c r="AW3015">
        <v>97</v>
      </c>
      <c r="AX3015">
        <v>-0.41</v>
      </c>
      <c r="AY3015">
        <v>82</v>
      </c>
      <c r="AZ3015">
        <v>6.22</v>
      </c>
      <c r="BA3015">
        <v>70</v>
      </c>
      <c r="BB3015">
        <v>4.75</v>
      </c>
      <c r="BC3015">
        <v>72</v>
      </c>
      <c r="BD3015">
        <v>0.06</v>
      </c>
      <c r="BE3015">
        <v>0.03</v>
      </c>
      <c r="BF3015">
        <v>0.03</v>
      </c>
      <c r="BG3015">
        <v>90</v>
      </c>
      <c r="BH3015">
        <v>-0.09</v>
      </c>
      <c r="BI3015">
        <v>-4.2300000000000004</v>
      </c>
      <c r="BJ3015">
        <v>9</v>
      </c>
      <c r="BK3015">
        <v>8</v>
      </c>
      <c r="BL3015">
        <v>0.19</v>
      </c>
      <c r="BM3015">
        <v>1.79</v>
      </c>
      <c r="BN3015">
        <v>0.38</v>
      </c>
      <c r="BO3015">
        <v>-0.61</v>
      </c>
      <c r="BP3015">
        <v>-0.87</v>
      </c>
      <c r="BQ3015">
        <v>0.95</v>
      </c>
      <c r="BR3015">
        <v>2.0099999999999998</v>
      </c>
      <c r="BS3015">
        <v>-1.69</v>
      </c>
      <c r="BT3015">
        <v>-0.77</v>
      </c>
      <c r="BU3015">
        <v>0.56000000000000005</v>
      </c>
      <c r="BV3015">
        <v>-0.3</v>
      </c>
      <c r="BW3015">
        <v>-1.1000000000000001</v>
      </c>
      <c r="BX3015">
        <v>0.3</v>
      </c>
      <c r="BY3015">
        <v>-0.75</v>
      </c>
      <c r="BZ3015">
        <v>-0.04</v>
      </c>
      <c r="CA3015">
        <v>-0.52</v>
      </c>
      <c r="CB3015">
        <v>-0.31</v>
      </c>
      <c r="CC3015">
        <v>-0.66</v>
      </c>
      <c r="CD3015">
        <v>1.0900000000000001</v>
      </c>
      <c r="CE3015">
        <v>-0.93</v>
      </c>
      <c r="CF3015">
        <v>-0.36</v>
      </c>
      <c r="CG3015">
        <v>0</v>
      </c>
      <c r="CH3015">
        <v>-0.05</v>
      </c>
      <c r="CI3015">
        <v>0</v>
      </c>
      <c r="CJ3015">
        <v>-5.2</v>
      </c>
      <c r="CK3015">
        <v>93</v>
      </c>
      <c r="CL3015">
        <v>-0.78</v>
      </c>
      <c r="CM3015">
        <v>91</v>
      </c>
      <c r="CN3015">
        <v>0</v>
      </c>
      <c r="CO3015">
        <v>90</v>
      </c>
      <c r="CP3015">
        <v>-7.9</v>
      </c>
      <c r="CQ3015">
        <v>90</v>
      </c>
      <c r="CR3015">
        <v>0</v>
      </c>
      <c r="CS3015">
        <v>0</v>
      </c>
      <c r="CT3015">
        <v>2.9</v>
      </c>
      <c r="CU3015">
        <v>89</v>
      </c>
      <c r="CV3015">
        <v>0.16</v>
      </c>
      <c r="CW3015">
        <v>45</v>
      </c>
      <c r="CX3015" t="s">
        <v>771</v>
      </c>
    </row>
    <row r="3016" spans="1:102" x14ac:dyDescent="0.3">
      <c r="A3016" t="str">
        <f>HYPERLINK("https://webapp.icbf.com/v2/app/bull-search/view/108367905","FRG")</f>
        <v>FRG</v>
      </c>
      <c r="B3016" t="s">
        <v>14344</v>
      </c>
      <c r="C3016" t="s">
        <v>14345</v>
      </c>
      <c r="D3016" s="1">
        <v>36883</v>
      </c>
      <c r="E3016" t="s">
        <v>92</v>
      </c>
      <c r="F3016">
        <v>100</v>
      </c>
      <c r="G3016" t="s">
        <v>93</v>
      </c>
      <c r="H3016">
        <v>-4.1100000000000003</v>
      </c>
      <c r="I3016">
        <v>88</v>
      </c>
      <c r="J3016">
        <v>26.5</v>
      </c>
      <c r="K3016">
        <v>97</v>
      </c>
      <c r="L3016">
        <v>-32.130000000000003</v>
      </c>
      <c r="M3016">
        <v>82</v>
      </c>
      <c r="N3016">
        <v>2.8</v>
      </c>
      <c r="O3016">
        <v>86</v>
      </c>
      <c r="P3016">
        <v>-12.65</v>
      </c>
      <c r="Q3016">
        <v>93</v>
      </c>
      <c r="R3016">
        <v>-8.77</v>
      </c>
      <c r="S3016">
        <v>83</v>
      </c>
      <c r="T3016">
        <v>12.12</v>
      </c>
      <c r="U3016">
        <v>83</v>
      </c>
      <c r="V3016">
        <v>8.02</v>
      </c>
      <c r="W3016">
        <v>76</v>
      </c>
      <c r="X3016" t="s">
        <v>94</v>
      </c>
      <c r="Y3016" t="s">
        <v>95</v>
      </c>
      <c r="Z3016" t="s">
        <v>96</v>
      </c>
      <c r="AA3016" t="s">
        <v>273</v>
      </c>
      <c r="AB3016" t="s">
        <v>14346</v>
      </c>
      <c r="AC3016">
        <v>89</v>
      </c>
      <c r="AD3016">
        <v>77</v>
      </c>
      <c r="AE3016">
        <v>97</v>
      </c>
      <c r="AF3016">
        <v>247.85</v>
      </c>
      <c r="AG3016">
        <v>2.6</v>
      </c>
      <c r="AH3016">
        <v>7.38</v>
      </c>
      <c r="AI3016">
        <v>-0.12</v>
      </c>
      <c r="AJ3016">
        <v>-0.02</v>
      </c>
      <c r="AK3016">
        <v>82</v>
      </c>
      <c r="AL3016">
        <v>93</v>
      </c>
      <c r="AM3016">
        <v>70</v>
      </c>
      <c r="AN3016">
        <v>2.73</v>
      </c>
      <c r="AO3016">
        <v>0.18</v>
      </c>
      <c r="AP3016">
        <v>172</v>
      </c>
      <c r="AQ3016">
        <v>0</v>
      </c>
      <c r="AR3016">
        <v>9.66</v>
      </c>
      <c r="AS3016">
        <v>77</v>
      </c>
      <c r="AT3016">
        <v>3.98</v>
      </c>
      <c r="AU3016">
        <v>88</v>
      </c>
      <c r="AV3016">
        <v>-1.91</v>
      </c>
      <c r="AW3016">
        <v>93</v>
      </c>
      <c r="AX3016">
        <v>-0.24</v>
      </c>
      <c r="AY3016">
        <v>83</v>
      </c>
      <c r="AZ3016">
        <v>5.62</v>
      </c>
      <c r="BA3016">
        <v>66</v>
      </c>
      <c r="BB3016">
        <v>4.96</v>
      </c>
      <c r="BC3016">
        <v>72</v>
      </c>
      <c r="BD3016">
        <v>-0.02</v>
      </c>
      <c r="BE3016">
        <v>0.05</v>
      </c>
      <c r="BF3016">
        <v>0.14000000000000001</v>
      </c>
      <c r="BG3016">
        <v>91</v>
      </c>
      <c r="BH3016">
        <v>0.14000000000000001</v>
      </c>
      <c r="BI3016">
        <v>-9.69</v>
      </c>
      <c r="BJ3016">
        <v>34</v>
      </c>
      <c r="BK3016">
        <v>24</v>
      </c>
      <c r="BL3016">
        <v>0.96</v>
      </c>
      <c r="BM3016">
        <v>-1.1599999999999999</v>
      </c>
      <c r="BN3016">
        <v>-0.1</v>
      </c>
      <c r="BO3016">
        <v>0.77</v>
      </c>
      <c r="BP3016">
        <v>1.39</v>
      </c>
      <c r="BQ3016">
        <v>-0.98</v>
      </c>
      <c r="BR3016">
        <v>-0.84</v>
      </c>
      <c r="BS3016">
        <v>1.33</v>
      </c>
      <c r="BT3016">
        <v>0.28000000000000003</v>
      </c>
      <c r="BU3016">
        <v>-0.53</v>
      </c>
      <c r="BV3016">
        <v>0.73</v>
      </c>
      <c r="BW3016">
        <v>0.92</v>
      </c>
      <c r="BX3016">
        <v>1.02</v>
      </c>
      <c r="BY3016">
        <v>-0.47</v>
      </c>
      <c r="BZ3016">
        <v>-0.8</v>
      </c>
      <c r="CA3016">
        <v>0.72</v>
      </c>
      <c r="CB3016">
        <v>0.05</v>
      </c>
      <c r="CC3016">
        <v>1.93</v>
      </c>
      <c r="CD3016">
        <v>-0.88</v>
      </c>
      <c r="CE3016">
        <v>0.74</v>
      </c>
      <c r="CF3016">
        <v>0.34</v>
      </c>
      <c r="CG3016">
        <v>0</v>
      </c>
      <c r="CH3016">
        <v>-0.75</v>
      </c>
      <c r="CI3016">
        <v>0</v>
      </c>
      <c r="CJ3016">
        <v>-2.7</v>
      </c>
      <c r="CK3016">
        <v>94</v>
      </c>
      <c r="CL3016">
        <v>-1.1200000000000001</v>
      </c>
      <c r="CM3016">
        <v>93</v>
      </c>
      <c r="CN3016">
        <v>-0.28999999999999998</v>
      </c>
      <c r="CO3016">
        <v>92</v>
      </c>
      <c r="CP3016">
        <v>-5.0999999999999996</v>
      </c>
      <c r="CQ3016">
        <v>91</v>
      </c>
      <c r="CR3016">
        <v>0</v>
      </c>
      <c r="CS3016">
        <v>0</v>
      </c>
      <c r="CT3016">
        <v>-2.6</v>
      </c>
      <c r="CU3016">
        <v>83</v>
      </c>
      <c r="CV3016">
        <v>0.26</v>
      </c>
      <c r="CW3016">
        <v>45</v>
      </c>
      <c r="CX3016" t="s">
        <v>1008</v>
      </c>
    </row>
    <row r="3017" spans="1:102" x14ac:dyDescent="0.3">
      <c r="A3017" t="str">
        <f>HYPERLINK("https://webapp.icbf.com/v2/app/bull-search/view/62123733","LIZ")</f>
        <v>LIZ</v>
      </c>
      <c r="B3017" t="s">
        <v>10522</v>
      </c>
      <c r="C3017" t="s">
        <v>10523</v>
      </c>
      <c r="D3017" s="1">
        <v>36998</v>
      </c>
      <c r="E3017" t="s">
        <v>92</v>
      </c>
      <c r="F3017">
        <v>100</v>
      </c>
      <c r="G3017" t="s">
        <v>93</v>
      </c>
      <c r="H3017">
        <v>-4.2300000000000004</v>
      </c>
      <c r="I3017">
        <v>83</v>
      </c>
      <c r="J3017">
        <v>37.96</v>
      </c>
      <c r="K3017">
        <v>95</v>
      </c>
      <c r="L3017">
        <v>-54.33</v>
      </c>
      <c r="M3017">
        <v>77</v>
      </c>
      <c r="N3017">
        <v>11.04</v>
      </c>
      <c r="O3017">
        <v>77</v>
      </c>
      <c r="P3017">
        <v>-3.47</v>
      </c>
      <c r="Q3017">
        <v>85</v>
      </c>
      <c r="R3017">
        <v>4</v>
      </c>
      <c r="S3017">
        <v>78</v>
      </c>
      <c r="T3017">
        <v>8.2799999999999994</v>
      </c>
      <c r="U3017">
        <v>76</v>
      </c>
      <c r="V3017">
        <v>-7.71</v>
      </c>
      <c r="W3017">
        <v>70</v>
      </c>
      <c r="X3017" t="s">
        <v>558</v>
      </c>
      <c r="Y3017" t="s">
        <v>95</v>
      </c>
      <c r="Z3017" t="s">
        <v>96</v>
      </c>
      <c r="AA3017" t="s">
        <v>174</v>
      </c>
      <c r="AB3017" t="s">
        <v>10524</v>
      </c>
      <c r="AC3017">
        <v>43</v>
      </c>
      <c r="AD3017">
        <v>30</v>
      </c>
      <c r="AE3017">
        <v>95</v>
      </c>
      <c r="AF3017">
        <v>568.62</v>
      </c>
      <c r="AG3017">
        <v>7.29</v>
      </c>
      <c r="AH3017">
        <v>12.58</v>
      </c>
      <c r="AI3017">
        <v>-0.24</v>
      </c>
      <c r="AJ3017">
        <v>-0.11</v>
      </c>
      <c r="AK3017">
        <v>77</v>
      </c>
      <c r="AL3017">
        <v>46</v>
      </c>
      <c r="AM3017">
        <v>30</v>
      </c>
      <c r="AN3017">
        <v>3.93</v>
      </c>
      <c r="AO3017">
        <v>-0.39</v>
      </c>
      <c r="AP3017">
        <v>65</v>
      </c>
      <c r="AQ3017">
        <v>2</v>
      </c>
      <c r="AR3017">
        <v>6.24</v>
      </c>
      <c r="AS3017">
        <v>69</v>
      </c>
      <c r="AT3017">
        <v>2.4300000000000002</v>
      </c>
      <c r="AU3017">
        <v>81</v>
      </c>
      <c r="AV3017">
        <v>-0.28999999999999998</v>
      </c>
      <c r="AW3017">
        <v>84</v>
      </c>
      <c r="AX3017">
        <v>-0.84</v>
      </c>
      <c r="AY3017">
        <v>72</v>
      </c>
      <c r="AZ3017">
        <v>7.4</v>
      </c>
      <c r="BA3017">
        <v>60</v>
      </c>
      <c r="BB3017">
        <v>5.16</v>
      </c>
      <c r="BC3017">
        <v>64</v>
      </c>
      <c r="BD3017">
        <v>0</v>
      </c>
      <c r="BE3017">
        <v>0.02</v>
      </c>
      <c r="BF3017">
        <v>-0.13</v>
      </c>
      <c r="BG3017">
        <v>86</v>
      </c>
      <c r="BH3017">
        <v>-7.0000000000000007E-2</v>
      </c>
      <c r="BI3017">
        <v>16.760000000000002</v>
      </c>
      <c r="BJ3017">
        <v>19</v>
      </c>
      <c r="BK3017">
        <v>11</v>
      </c>
      <c r="BL3017">
        <v>-0.28000000000000003</v>
      </c>
      <c r="BM3017">
        <v>0.18</v>
      </c>
      <c r="BN3017">
        <v>-0.47</v>
      </c>
      <c r="BO3017">
        <v>0</v>
      </c>
      <c r="BP3017">
        <v>2.66</v>
      </c>
      <c r="BQ3017">
        <v>-0.85</v>
      </c>
      <c r="BR3017">
        <v>-1.5</v>
      </c>
      <c r="BS3017">
        <v>-1.23</v>
      </c>
      <c r="BT3017">
        <v>1.34</v>
      </c>
      <c r="BU3017">
        <v>1.17</v>
      </c>
      <c r="BV3017">
        <v>0.99</v>
      </c>
      <c r="BW3017">
        <v>1.07</v>
      </c>
      <c r="BX3017">
        <v>0.24</v>
      </c>
      <c r="BY3017">
        <v>1.46</v>
      </c>
      <c r="BZ3017">
        <v>1.19</v>
      </c>
      <c r="CA3017">
        <v>1.29</v>
      </c>
      <c r="CB3017">
        <v>1.65</v>
      </c>
      <c r="CC3017">
        <v>-0.44</v>
      </c>
      <c r="CD3017">
        <v>0.28999999999999998</v>
      </c>
      <c r="CE3017">
        <v>0.73</v>
      </c>
      <c r="CF3017">
        <v>-0.47</v>
      </c>
      <c r="CG3017">
        <v>0</v>
      </c>
      <c r="CH3017">
        <v>1.96</v>
      </c>
      <c r="CI3017">
        <v>0</v>
      </c>
      <c r="CJ3017">
        <v>-2</v>
      </c>
      <c r="CK3017">
        <v>86</v>
      </c>
      <c r="CL3017">
        <v>-0.71</v>
      </c>
      <c r="CM3017">
        <v>84</v>
      </c>
      <c r="CN3017">
        <v>-0.61</v>
      </c>
      <c r="CO3017">
        <v>82</v>
      </c>
      <c r="CP3017">
        <v>-3.5</v>
      </c>
      <c r="CQ3017">
        <v>85</v>
      </c>
      <c r="CR3017">
        <v>0</v>
      </c>
      <c r="CS3017">
        <v>0</v>
      </c>
      <c r="CT3017">
        <v>2.6</v>
      </c>
      <c r="CU3017">
        <v>76</v>
      </c>
      <c r="CV3017">
        <v>0.03</v>
      </c>
      <c r="CW3017">
        <v>43</v>
      </c>
      <c r="CX3017" t="s">
        <v>924</v>
      </c>
    </row>
    <row r="3018" spans="1:102" x14ac:dyDescent="0.3">
      <c r="A3018" t="str">
        <f>HYPERLINK("https://webapp.icbf.com/v2/app/bull-search/view/584436671","TIX")</f>
        <v>TIX</v>
      </c>
      <c r="B3018" t="s">
        <v>11753</v>
      </c>
      <c r="C3018" t="s">
        <v>11754</v>
      </c>
      <c r="D3018" s="1">
        <v>39176</v>
      </c>
      <c r="E3018" t="s">
        <v>108</v>
      </c>
      <c r="F3018">
        <v>0</v>
      </c>
      <c r="G3018" t="s">
        <v>93</v>
      </c>
      <c r="H3018">
        <v>-4.34</v>
      </c>
      <c r="I3018">
        <v>94</v>
      </c>
      <c r="J3018">
        <v>-75.36</v>
      </c>
      <c r="K3018">
        <v>99</v>
      </c>
      <c r="L3018">
        <v>21.21</v>
      </c>
      <c r="M3018">
        <v>89</v>
      </c>
      <c r="N3018">
        <v>39.01</v>
      </c>
      <c r="O3018">
        <v>96</v>
      </c>
      <c r="P3018">
        <v>-20.14</v>
      </c>
      <c r="Q3018">
        <v>99</v>
      </c>
      <c r="R3018">
        <v>10.42</v>
      </c>
      <c r="S3018">
        <v>89</v>
      </c>
      <c r="T3018">
        <v>22.93</v>
      </c>
      <c r="U3018">
        <v>97</v>
      </c>
      <c r="V3018">
        <v>-2.41</v>
      </c>
      <c r="W3018">
        <v>86</v>
      </c>
      <c r="X3018" t="s">
        <v>234</v>
      </c>
      <c r="Y3018" t="s">
        <v>1128</v>
      </c>
      <c r="Z3018" t="s">
        <v>96</v>
      </c>
      <c r="AA3018" t="s">
        <v>1129</v>
      </c>
      <c r="AB3018" t="s">
        <v>4243</v>
      </c>
      <c r="AC3018">
        <v>460</v>
      </c>
      <c r="AD3018">
        <v>136</v>
      </c>
      <c r="AE3018">
        <v>99</v>
      </c>
      <c r="AF3018">
        <v>-339.87</v>
      </c>
      <c r="AG3018">
        <v>-10.88</v>
      </c>
      <c r="AH3018">
        <v>-14.17</v>
      </c>
      <c r="AI3018">
        <v>0.04</v>
      </c>
      <c r="AJ3018">
        <v>-0.05</v>
      </c>
      <c r="AK3018">
        <v>89</v>
      </c>
      <c r="AL3018">
        <v>702</v>
      </c>
      <c r="AM3018">
        <v>231</v>
      </c>
      <c r="AN3018">
        <v>-1.27</v>
      </c>
      <c r="AO3018">
        <v>0.42</v>
      </c>
      <c r="AP3018">
        <v>1023</v>
      </c>
      <c r="AQ3018">
        <v>8</v>
      </c>
      <c r="AR3018">
        <v>4.9800000000000004</v>
      </c>
      <c r="AS3018">
        <v>95</v>
      </c>
      <c r="AT3018">
        <v>2.09</v>
      </c>
      <c r="AU3018">
        <v>96</v>
      </c>
      <c r="AV3018">
        <v>-3.45</v>
      </c>
      <c r="AW3018">
        <v>98</v>
      </c>
      <c r="AX3018">
        <v>-1.03</v>
      </c>
      <c r="AY3018">
        <v>97</v>
      </c>
      <c r="AZ3018">
        <v>8.1300000000000008</v>
      </c>
      <c r="BA3018">
        <v>87</v>
      </c>
      <c r="BB3018">
        <v>5.43</v>
      </c>
      <c r="BC3018">
        <v>88</v>
      </c>
      <c r="BD3018">
        <v>-0.04</v>
      </c>
      <c r="BE3018">
        <v>-7.0000000000000007E-2</v>
      </c>
      <c r="BF3018">
        <v>-0.04</v>
      </c>
      <c r="BG3018">
        <v>96</v>
      </c>
      <c r="BH3018">
        <v>-0.19</v>
      </c>
      <c r="BI3018">
        <v>-14.19</v>
      </c>
      <c r="BJ3018">
        <v>17</v>
      </c>
      <c r="BK3018">
        <v>10</v>
      </c>
      <c r="BL3018">
        <v>-3.39</v>
      </c>
      <c r="BM3018">
        <v>2.4500000000000002</v>
      </c>
      <c r="BN3018">
        <v>-2.0499999999999998</v>
      </c>
      <c r="BO3018">
        <v>-3.28</v>
      </c>
      <c r="BP3018">
        <v>0.06</v>
      </c>
      <c r="BQ3018">
        <v>2.5499999999999998</v>
      </c>
      <c r="BR3018">
        <v>-1.46</v>
      </c>
      <c r="BS3018">
        <v>2.4500000000000002</v>
      </c>
      <c r="BT3018">
        <v>1.1299999999999999</v>
      </c>
      <c r="BU3018">
        <v>-0.34</v>
      </c>
      <c r="BV3018">
        <v>-2.1</v>
      </c>
      <c r="BW3018">
        <v>-1.25</v>
      </c>
      <c r="BX3018">
        <v>0.71</v>
      </c>
      <c r="BY3018">
        <v>-0.7</v>
      </c>
      <c r="BZ3018">
        <v>0.37</v>
      </c>
      <c r="CA3018">
        <v>-0.88</v>
      </c>
      <c r="CB3018">
        <v>-1.47</v>
      </c>
      <c r="CC3018">
        <v>1.07</v>
      </c>
      <c r="CD3018">
        <v>3.47</v>
      </c>
      <c r="CE3018">
        <v>-3.08</v>
      </c>
      <c r="CF3018">
        <v>-1.34</v>
      </c>
      <c r="CG3018">
        <v>0</v>
      </c>
      <c r="CH3018">
        <v>-7.0000000000000007E-2</v>
      </c>
      <c r="CI3018">
        <v>0</v>
      </c>
      <c r="CJ3018">
        <v>-13.5</v>
      </c>
      <c r="CK3018">
        <v>99</v>
      </c>
      <c r="CL3018">
        <v>-0.22</v>
      </c>
      <c r="CM3018">
        <v>99</v>
      </c>
      <c r="CN3018">
        <v>-0.23</v>
      </c>
      <c r="CO3018">
        <v>99</v>
      </c>
      <c r="CP3018">
        <v>-12.9</v>
      </c>
      <c r="CQ3018">
        <v>97</v>
      </c>
      <c r="CR3018">
        <v>0</v>
      </c>
      <c r="CS3018">
        <v>0</v>
      </c>
      <c r="CT3018">
        <v>-17.2</v>
      </c>
      <c r="CU3018">
        <v>97</v>
      </c>
      <c r="CV3018">
        <v>-0.19</v>
      </c>
      <c r="CW3018">
        <v>46</v>
      </c>
      <c r="CX3018" t="s">
        <v>11755</v>
      </c>
    </row>
    <row r="3019" spans="1:102" x14ac:dyDescent="0.3">
      <c r="A3019" t="str">
        <f>HYPERLINK("https://webapp.icbf.com/v2/app/bull-search/view/960299759","S1309")</f>
        <v>S1309</v>
      </c>
      <c r="B3019" t="s">
        <v>13037</v>
      </c>
      <c r="C3019" t="s">
        <v>13038</v>
      </c>
      <c r="D3019" s="1">
        <v>39195</v>
      </c>
      <c r="E3019" t="s">
        <v>197</v>
      </c>
      <c r="F3019">
        <v>0</v>
      </c>
      <c r="G3019" t="s">
        <v>116</v>
      </c>
      <c r="H3019">
        <v>-4.5999999999999996</v>
      </c>
      <c r="I3019">
        <v>30</v>
      </c>
      <c r="J3019">
        <v>-11.39</v>
      </c>
      <c r="K3019">
        <v>49</v>
      </c>
      <c r="L3019">
        <v>28.82</v>
      </c>
      <c r="M3019">
        <v>14</v>
      </c>
      <c r="N3019">
        <v>-37.22</v>
      </c>
      <c r="O3019">
        <v>34</v>
      </c>
      <c r="P3019">
        <v>8.6199999999999992</v>
      </c>
      <c r="Q3019">
        <v>42</v>
      </c>
      <c r="R3019">
        <v>1.7</v>
      </c>
      <c r="S3019">
        <v>17</v>
      </c>
      <c r="T3019">
        <v>8.5</v>
      </c>
      <c r="U3019">
        <v>20</v>
      </c>
      <c r="V3019">
        <v>-3.63</v>
      </c>
      <c r="W3019">
        <v>3</v>
      </c>
      <c r="X3019" t="s">
        <v>198</v>
      </c>
      <c r="Y3019" t="s">
        <v>342</v>
      </c>
      <c r="Z3019">
        <v>0</v>
      </c>
      <c r="AA3019" t="s">
        <v>8182</v>
      </c>
      <c r="AB3019" t="s">
        <v>12297</v>
      </c>
      <c r="AC3019">
        <v>4</v>
      </c>
      <c r="AD3019">
        <v>2</v>
      </c>
      <c r="AE3019">
        <v>49</v>
      </c>
      <c r="AF3019">
        <v>-158.05000000000001</v>
      </c>
      <c r="AG3019">
        <v>-5.84</v>
      </c>
      <c r="AH3019">
        <v>-2.29</v>
      </c>
      <c r="AI3019">
        <v>0.01</v>
      </c>
      <c r="AJ3019">
        <v>0.05</v>
      </c>
      <c r="AK3019">
        <v>14</v>
      </c>
      <c r="AL3019">
        <v>5</v>
      </c>
      <c r="AM3019">
        <v>2</v>
      </c>
      <c r="AN3019">
        <v>-2.21</v>
      </c>
      <c r="AO3019">
        <v>0.08</v>
      </c>
      <c r="AP3019">
        <v>9</v>
      </c>
      <c r="AQ3019">
        <v>0</v>
      </c>
      <c r="AR3019">
        <v>7.94</v>
      </c>
      <c r="AS3019">
        <v>24</v>
      </c>
      <c r="AT3019">
        <v>6.92</v>
      </c>
      <c r="AU3019">
        <v>20</v>
      </c>
      <c r="AV3019">
        <v>-0.11</v>
      </c>
      <c r="AW3019">
        <v>57</v>
      </c>
      <c r="AX3019">
        <v>0.49</v>
      </c>
      <c r="AY3019">
        <v>20</v>
      </c>
      <c r="AZ3019">
        <v>5.96</v>
      </c>
      <c r="BA3019">
        <v>9</v>
      </c>
      <c r="BB3019">
        <v>3.53</v>
      </c>
      <c r="BC3019">
        <v>9</v>
      </c>
      <c r="BD3019">
        <v>0</v>
      </c>
      <c r="BE3019">
        <v>-0.01</v>
      </c>
      <c r="BF3019">
        <v>-0.02</v>
      </c>
      <c r="BG3019">
        <v>21</v>
      </c>
      <c r="BH3019">
        <v>-0.09</v>
      </c>
      <c r="BI3019">
        <v>1.3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0</v>
      </c>
      <c r="CJ3019">
        <v>3.7</v>
      </c>
      <c r="CK3019">
        <v>46</v>
      </c>
      <c r="CL3019">
        <v>0.28000000000000003</v>
      </c>
      <c r="CM3019">
        <v>41</v>
      </c>
      <c r="CN3019">
        <v>-0.02</v>
      </c>
      <c r="CO3019">
        <v>39</v>
      </c>
      <c r="CP3019">
        <v>2.6</v>
      </c>
      <c r="CQ3019">
        <v>27</v>
      </c>
      <c r="CR3019">
        <v>0</v>
      </c>
      <c r="CS3019">
        <v>0</v>
      </c>
      <c r="CT3019">
        <v>2.2999999999999998</v>
      </c>
      <c r="CU3019">
        <v>20</v>
      </c>
      <c r="CV3019">
        <v>-0.12</v>
      </c>
      <c r="CW3019">
        <v>12</v>
      </c>
      <c r="CX3019" t="s">
        <v>200</v>
      </c>
    </row>
    <row r="3020" spans="1:102" x14ac:dyDescent="0.3">
      <c r="A3020" t="str">
        <f>HYPERLINK("https://webapp.icbf.com/v2/app/bull-search/view/345292981","RYC")</f>
        <v>RYC</v>
      </c>
      <c r="B3020" t="s">
        <v>14623</v>
      </c>
      <c r="C3020" t="s">
        <v>14624</v>
      </c>
      <c r="D3020" s="1">
        <v>36907</v>
      </c>
      <c r="E3020" t="s">
        <v>108</v>
      </c>
      <c r="F3020">
        <v>0</v>
      </c>
      <c r="G3020" t="s">
        <v>93</v>
      </c>
      <c r="H3020">
        <v>-4.76</v>
      </c>
      <c r="I3020">
        <v>83</v>
      </c>
      <c r="J3020">
        <v>-71.94</v>
      </c>
      <c r="K3020">
        <v>95</v>
      </c>
      <c r="L3020">
        <v>68.099999999999994</v>
      </c>
      <c r="M3020">
        <v>70</v>
      </c>
      <c r="N3020">
        <v>6.15</v>
      </c>
      <c r="O3020">
        <v>82</v>
      </c>
      <c r="P3020">
        <v>-9.0500000000000007</v>
      </c>
      <c r="Q3020">
        <v>93</v>
      </c>
      <c r="R3020">
        <v>9.02</v>
      </c>
      <c r="S3020">
        <v>76</v>
      </c>
      <c r="T3020">
        <v>0.65</v>
      </c>
      <c r="U3020">
        <v>88</v>
      </c>
      <c r="V3020">
        <v>-7.69</v>
      </c>
      <c r="W3020">
        <v>74</v>
      </c>
      <c r="X3020" t="s">
        <v>276</v>
      </c>
      <c r="Y3020" t="s">
        <v>95</v>
      </c>
      <c r="Z3020" t="s">
        <v>96</v>
      </c>
      <c r="AA3020" t="s">
        <v>1411</v>
      </c>
      <c r="AB3020" t="s">
        <v>14625</v>
      </c>
      <c r="AC3020">
        <v>85</v>
      </c>
      <c r="AD3020">
        <v>53</v>
      </c>
      <c r="AE3020">
        <v>95</v>
      </c>
      <c r="AF3020">
        <v>-321.18</v>
      </c>
      <c r="AG3020">
        <v>-11.31</v>
      </c>
      <c r="AH3020">
        <v>-13.15</v>
      </c>
      <c r="AI3020">
        <v>0.02</v>
      </c>
      <c r="AJ3020">
        <v>-0.04</v>
      </c>
      <c r="AK3020">
        <v>70</v>
      </c>
      <c r="AL3020">
        <v>91</v>
      </c>
      <c r="AM3020">
        <v>53</v>
      </c>
      <c r="AN3020">
        <v>-4.58</v>
      </c>
      <c r="AO3020">
        <v>0.84</v>
      </c>
      <c r="AP3020">
        <v>128</v>
      </c>
      <c r="AQ3020">
        <v>0</v>
      </c>
      <c r="AR3020">
        <v>6.81</v>
      </c>
      <c r="AS3020">
        <v>62</v>
      </c>
      <c r="AT3020">
        <v>3.03</v>
      </c>
      <c r="AU3020">
        <v>84</v>
      </c>
      <c r="AV3020">
        <v>-1.19</v>
      </c>
      <c r="AW3020">
        <v>91</v>
      </c>
      <c r="AX3020">
        <v>0.62</v>
      </c>
      <c r="AY3020">
        <v>82</v>
      </c>
      <c r="AZ3020">
        <v>7.22</v>
      </c>
      <c r="BA3020">
        <v>60</v>
      </c>
      <c r="BB3020">
        <v>5.63</v>
      </c>
      <c r="BC3020">
        <v>68</v>
      </c>
      <c r="BD3020">
        <v>0.01</v>
      </c>
      <c r="BE3020">
        <v>-0.06</v>
      </c>
      <c r="BF3020">
        <v>-0.11</v>
      </c>
      <c r="BG3020">
        <v>85</v>
      </c>
      <c r="BH3020">
        <v>-0.25</v>
      </c>
      <c r="BI3020">
        <v>-4.1100000000000003</v>
      </c>
      <c r="BJ3020">
        <v>7</v>
      </c>
      <c r="BK3020">
        <v>2</v>
      </c>
      <c r="BL3020">
        <v>-2.97</v>
      </c>
      <c r="BM3020">
        <v>1.93</v>
      </c>
      <c r="BN3020">
        <v>-2.04</v>
      </c>
      <c r="BO3020">
        <v>-2.79</v>
      </c>
      <c r="BP3020">
        <v>-0.31</v>
      </c>
      <c r="BQ3020">
        <v>0.88</v>
      </c>
      <c r="BR3020">
        <v>-0.39</v>
      </c>
      <c r="BS3020">
        <v>-0.23</v>
      </c>
      <c r="BT3020">
        <v>0.43</v>
      </c>
      <c r="BU3020">
        <v>-0.54</v>
      </c>
      <c r="BV3020">
        <v>-1.76</v>
      </c>
      <c r="BW3020">
        <v>-1.62</v>
      </c>
      <c r="BX3020">
        <v>-0.38</v>
      </c>
      <c r="BY3020">
        <v>-0.97</v>
      </c>
      <c r="BZ3020">
        <v>0.46</v>
      </c>
      <c r="CA3020">
        <v>-1.6</v>
      </c>
      <c r="CB3020">
        <v>-1.79</v>
      </c>
      <c r="CC3020">
        <v>-0.59</v>
      </c>
      <c r="CD3020">
        <v>2.5099999999999998</v>
      </c>
      <c r="CE3020">
        <v>-1.99</v>
      </c>
      <c r="CF3020">
        <v>-2.0299999999999998</v>
      </c>
      <c r="CG3020">
        <v>0</v>
      </c>
      <c r="CH3020">
        <v>-1.62</v>
      </c>
      <c r="CI3020">
        <v>0</v>
      </c>
      <c r="CJ3020">
        <v>-4.5</v>
      </c>
      <c r="CK3020">
        <v>94</v>
      </c>
      <c r="CL3020">
        <v>-0.17</v>
      </c>
      <c r="CM3020">
        <v>92</v>
      </c>
      <c r="CN3020">
        <v>0.03</v>
      </c>
      <c r="CO3020">
        <v>91</v>
      </c>
      <c r="CP3020">
        <v>-4.9000000000000004</v>
      </c>
      <c r="CQ3020">
        <v>90</v>
      </c>
      <c r="CR3020">
        <v>0</v>
      </c>
      <c r="CS3020">
        <v>0</v>
      </c>
      <c r="CT3020">
        <v>12.9</v>
      </c>
      <c r="CU3020">
        <v>88</v>
      </c>
      <c r="CV3020">
        <v>-0.05</v>
      </c>
      <c r="CW3020">
        <v>27</v>
      </c>
      <c r="CX3020" t="s">
        <v>4705</v>
      </c>
    </row>
    <row r="3021" spans="1:102" x14ac:dyDescent="0.3">
      <c r="A3021" t="str">
        <f>HYPERLINK("https://webapp.icbf.com/v2/app/bull-search/view/77858128","EDM")</f>
        <v>EDM</v>
      </c>
      <c r="B3021" t="s">
        <v>12428</v>
      </c>
      <c r="C3021" t="s">
        <v>12429</v>
      </c>
      <c r="D3021" s="1">
        <v>33824</v>
      </c>
      <c r="E3021" t="s">
        <v>92</v>
      </c>
      <c r="F3021">
        <v>100</v>
      </c>
      <c r="G3021" t="s">
        <v>93</v>
      </c>
      <c r="H3021">
        <v>-4.79</v>
      </c>
      <c r="I3021">
        <v>71</v>
      </c>
      <c r="J3021">
        <v>7.59</v>
      </c>
      <c r="K3021">
        <v>93</v>
      </c>
      <c r="L3021">
        <v>-29.35</v>
      </c>
      <c r="M3021">
        <v>63</v>
      </c>
      <c r="N3021">
        <v>7.82</v>
      </c>
      <c r="O3021">
        <v>53</v>
      </c>
      <c r="P3021">
        <v>-7.68</v>
      </c>
      <c r="Q3021">
        <v>74</v>
      </c>
      <c r="R3021">
        <v>-7.9</v>
      </c>
      <c r="S3021">
        <v>65</v>
      </c>
      <c r="T3021">
        <v>21.89</v>
      </c>
      <c r="U3021">
        <v>61</v>
      </c>
      <c r="V3021">
        <v>2.84</v>
      </c>
      <c r="W3021">
        <v>26</v>
      </c>
      <c r="X3021" t="s">
        <v>94</v>
      </c>
      <c r="Y3021" t="s">
        <v>95</v>
      </c>
      <c r="Z3021" t="s">
        <v>96</v>
      </c>
      <c r="AA3021" t="s">
        <v>3343</v>
      </c>
      <c r="AB3021" t="s">
        <v>12430</v>
      </c>
      <c r="AC3021">
        <v>78</v>
      </c>
      <c r="AD3021">
        <v>70</v>
      </c>
      <c r="AE3021">
        <v>93</v>
      </c>
      <c r="AF3021">
        <v>-0.1</v>
      </c>
      <c r="AG3021">
        <v>13.54</v>
      </c>
      <c r="AH3021">
        <v>-3.5</v>
      </c>
      <c r="AI3021">
        <v>0.22</v>
      </c>
      <c r="AJ3021">
        <v>-0.06</v>
      </c>
      <c r="AK3021">
        <v>63</v>
      </c>
      <c r="AL3021">
        <v>96</v>
      </c>
      <c r="AM3021">
        <v>81</v>
      </c>
      <c r="AN3021">
        <v>2.4500000000000002</v>
      </c>
      <c r="AO3021">
        <v>0.12</v>
      </c>
      <c r="AP3021">
        <v>3</v>
      </c>
      <c r="AQ3021">
        <v>0</v>
      </c>
      <c r="AR3021">
        <v>6.43</v>
      </c>
      <c r="AS3021">
        <v>25</v>
      </c>
      <c r="AT3021">
        <v>2.9</v>
      </c>
      <c r="AU3021">
        <v>54</v>
      </c>
      <c r="AV3021">
        <v>0.31</v>
      </c>
      <c r="AW3021">
        <v>59</v>
      </c>
      <c r="AX3021">
        <v>-0.3</v>
      </c>
      <c r="AY3021">
        <v>68</v>
      </c>
      <c r="AZ3021">
        <v>5.23</v>
      </c>
      <c r="BA3021">
        <v>27</v>
      </c>
      <c r="BB3021">
        <v>4.37</v>
      </c>
      <c r="BC3021">
        <v>48</v>
      </c>
      <c r="BD3021">
        <v>0.01</v>
      </c>
      <c r="BE3021">
        <v>0.05</v>
      </c>
      <c r="BF3021">
        <v>7.0000000000000007E-2</v>
      </c>
      <c r="BG3021">
        <v>86</v>
      </c>
      <c r="BH3021">
        <v>0.06</v>
      </c>
      <c r="BI3021">
        <v>-2.23</v>
      </c>
      <c r="BJ3021">
        <v>8</v>
      </c>
      <c r="BK3021">
        <v>7</v>
      </c>
      <c r="BL3021">
        <v>-0.33</v>
      </c>
      <c r="BM3021">
        <v>-2.4900000000000002</v>
      </c>
      <c r="BN3021">
        <v>-1.47</v>
      </c>
      <c r="BO3021">
        <v>0.48</v>
      </c>
      <c r="BP3021">
        <v>2.14</v>
      </c>
      <c r="BQ3021">
        <v>-2.58</v>
      </c>
      <c r="BR3021">
        <v>0.32</v>
      </c>
      <c r="BS3021">
        <v>-0.08</v>
      </c>
      <c r="BT3021">
        <v>0.17</v>
      </c>
      <c r="BU3021">
        <v>-0.72</v>
      </c>
      <c r="BV3021">
        <v>-0.72</v>
      </c>
      <c r="BW3021">
        <v>-0.6</v>
      </c>
      <c r="BX3021">
        <v>0.01</v>
      </c>
      <c r="BY3021">
        <v>-0.68</v>
      </c>
      <c r="BZ3021">
        <v>0.14000000000000001</v>
      </c>
      <c r="CA3021">
        <v>-0.45</v>
      </c>
      <c r="CB3021">
        <v>-0.79</v>
      </c>
      <c r="CC3021">
        <v>0.28000000000000003</v>
      </c>
      <c r="CD3021">
        <v>-1.37</v>
      </c>
      <c r="CE3021">
        <v>0.14000000000000001</v>
      </c>
      <c r="CF3021">
        <v>-1.38</v>
      </c>
      <c r="CG3021">
        <v>0</v>
      </c>
      <c r="CH3021">
        <v>-1.73</v>
      </c>
      <c r="CI3021">
        <v>0</v>
      </c>
      <c r="CJ3021">
        <v>-2.4</v>
      </c>
      <c r="CK3021">
        <v>75</v>
      </c>
      <c r="CL3021">
        <v>-0.3</v>
      </c>
      <c r="CM3021">
        <v>72</v>
      </c>
      <c r="CN3021">
        <v>-0.1</v>
      </c>
      <c r="CO3021">
        <v>68</v>
      </c>
      <c r="CP3021">
        <v>-16.3</v>
      </c>
      <c r="CQ3021">
        <v>80</v>
      </c>
      <c r="CR3021">
        <v>0</v>
      </c>
      <c r="CS3021">
        <v>0</v>
      </c>
      <c r="CT3021">
        <v>-15.8</v>
      </c>
      <c r="CU3021">
        <v>61</v>
      </c>
      <c r="CV3021">
        <v>0.05</v>
      </c>
      <c r="CW3021">
        <v>20</v>
      </c>
      <c r="CX3021" t="s">
        <v>168</v>
      </c>
    </row>
    <row r="3022" spans="1:102" x14ac:dyDescent="0.3">
      <c r="A3022" t="str">
        <f>HYPERLINK("https://webapp.icbf.com/v2/app/bull-search/view/159218590","LGK")</f>
        <v>LGK</v>
      </c>
      <c r="B3022" t="s">
        <v>4137</v>
      </c>
      <c r="C3022" t="s">
        <v>4138</v>
      </c>
      <c r="D3022" s="1">
        <v>37637</v>
      </c>
      <c r="E3022" t="s">
        <v>92</v>
      </c>
      <c r="F3022">
        <v>100</v>
      </c>
      <c r="G3022" t="s">
        <v>93</v>
      </c>
      <c r="H3022">
        <v>-5.03</v>
      </c>
      <c r="I3022">
        <v>88</v>
      </c>
      <c r="J3022">
        <v>12.68</v>
      </c>
      <c r="K3022">
        <v>97</v>
      </c>
      <c r="L3022">
        <v>-25.14</v>
      </c>
      <c r="M3022">
        <v>81</v>
      </c>
      <c r="N3022">
        <v>8.64</v>
      </c>
      <c r="O3022">
        <v>85</v>
      </c>
      <c r="P3022">
        <v>-7.09</v>
      </c>
      <c r="Q3022">
        <v>92</v>
      </c>
      <c r="R3022">
        <v>4.0199999999999996</v>
      </c>
      <c r="S3022">
        <v>83</v>
      </c>
      <c r="T3022">
        <v>1.47</v>
      </c>
      <c r="U3022">
        <v>81</v>
      </c>
      <c r="V3022">
        <v>0.39</v>
      </c>
      <c r="W3022">
        <v>80</v>
      </c>
      <c r="X3022" t="s">
        <v>94</v>
      </c>
      <c r="Y3022" t="s">
        <v>228</v>
      </c>
      <c r="Z3022" t="s">
        <v>96</v>
      </c>
      <c r="AA3022" t="s">
        <v>4023</v>
      </c>
      <c r="AB3022" t="s">
        <v>4139</v>
      </c>
      <c r="AC3022">
        <v>101</v>
      </c>
      <c r="AD3022">
        <v>73</v>
      </c>
      <c r="AE3022">
        <v>97</v>
      </c>
      <c r="AF3022">
        <v>54.77</v>
      </c>
      <c r="AG3022">
        <v>-2.36</v>
      </c>
      <c r="AH3022">
        <v>3.83</v>
      </c>
      <c r="AI3022">
        <v>-0.08</v>
      </c>
      <c r="AJ3022">
        <v>0.03</v>
      </c>
      <c r="AK3022">
        <v>81</v>
      </c>
      <c r="AL3022">
        <v>91</v>
      </c>
      <c r="AM3022">
        <v>64</v>
      </c>
      <c r="AN3022">
        <v>1.78</v>
      </c>
      <c r="AO3022">
        <v>-0.22</v>
      </c>
      <c r="AP3022">
        <v>170</v>
      </c>
      <c r="AQ3022">
        <v>0</v>
      </c>
      <c r="AR3022">
        <v>9.06</v>
      </c>
      <c r="AS3022">
        <v>74</v>
      </c>
      <c r="AT3022">
        <v>3.74</v>
      </c>
      <c r="AU3022">
        <v>88</v>
      </c>
      <c r="AV3022">
        <v>-2.36</v>
      </c>
      <c r="AW3022">
        <v>93</v>
      </c>
      <c r="AX3022">
        <v>0.05</v>
      </c>
      <c r="AY3022">
        <v>80</v>
      </c>
      <c r="AZ3022">
        <v>7</v>
      </c>
      <c r="BA3022">
        <v>67</v>
      </c>
      <c r="BB3022">
        <v>4.8499999999999996</v>
      </c>
      <c r="BC3022">
        <v>70</v>
      </c>
      <c r="BD3022">
        <v>0.01</v>
      </c>
      <c r="BE3022">
        <v>-0.01</v>
      </c>
      <c r="BF3022">
        <v>-0.09</v>
      </c>
      <c r="BG3022">
        <v>90</v>
      </c>
      <c r="BH3022">
        <v>0.02</v>
      </c>
      <c r="BI3022">
        <v>1.04</v>
      </c>
      <c r="BJ3022">
        <v>30</v>
      </c>
      <c r="BK3022">
        <v>24</v>
      </c>
      <c r="BL3022">
        <v>0.97</v>
      </c>
      <c r="BM3022">
        <v>2.08</v>
      </c>
      <c r="BN3022">
        <v>1.08</v>
      </c>
      <c r="BO3022">
        <v>0.04</v>
      </c>
      <c r="BP3022">
        <v>-0.14000000000000001</v>
      </c>
      <c r="BQ3022">
        <v>1.08</v>
      </c>
      <c r="BR3022">
        <v>0.32</v>
      </c>
      <c r="BS3022">
        <v>0.82</v>
      </c>
      <c r="BT3022">
        <v>0.11</v>
      </c>
      <c r="BU3022">
        <v>1.21</v>
      </c>
      <c r="BV3022">
        <v>0.56999999999999995</v>
      </c>
      <c r="BW3022">
        <v>0.69</v>
      </c>
      <c r="BX3022">
        <v>1.08</v>
      </c>
      <c r="BY3022">
        <v>1.83</v>
      </c>
      <c r="BZ3022">
        <v>-1.55</v>
      </c>
      <c r="CA3022">
        <v>1.66</v>
      </c>
      <c r="CB3022">
        <v>1.3</v>
      </c>
      <c r="CC3022">
        <v>1.78</v>
      </c>
      <c r="CD3022">
        <v>0.96</v>
      </c>
      <c r="CE3022">
        <v>0.46</v>
      </c>
      <c r="CF3022">
        <v>1.27</v>
      </c>
      <c r="CG3022">
        <v>0</v>
      </c>
      <c r="CH3022">
        <v>2.4500000000000002</v>
      </c>
      <c r="CI3022">
        <v>0</v>
      </c>
      <c r="CJ3022">
        <v>-1.2</v>
      </c>
      <c r="CK3022">
        <v>93</v>
      </c>
      <c r="CL3022">
        <v>-0.9</v>
      </c>
      <c r="CM3022">
        <v>91</v>
      </c>
      <c r="CN3022">
        <v>-0.31</v>
      </c>
      <c r="CO3022">
        <v>90</v>
      </c>
      <c r="CP3022">
        <v>1.5</v>
      </c>
      <c r="CQ3022">
        <v>91</v>
      </c>
      <c r="CR3022">
        <v>0</v>
      </c>
      <c r="CS3022">
        <v>0</v>
      </c>
      <c r="CT3022">
        <v>11.8</v>
      </c>
      <c r="CU3022">
        <v>81</v>
      </c>
      <c r="CV3022">
        <v>0.2</v>
      </c>
      <c r="CW3022">
        <v>45</v>
      </c>
      <c r="CX3022" t="s">
        <v>188</v>
      </c>
    </row>
    <row r="3023" spans="1:102" x14ac:dyDescent="0.3">
      <c r="A3023" t="str">
        <f>HYPERLINK("https://webapp.icbf.com/v2/app/bull-search/view/364060814","KDG")</f>
        <v>KDG</v>
      </c>
      <c r="B3023" t="s">
        <v>6668</v>
      </c>
      <c r="C3023" t="s">
        <v>6669</v>
      </c>
      <c r="D3023" s="1">
        <v>38021</v>
      </c>
      <c r="E3023" t="s">
        <v>92</v>
      </c>
      <c r="F3023">
        <v>100</v>
      </c>
      <c r="G3023" t="s">
        <v>93</v>
      </c>
      <c r="H3023">
        <v>-5.05</v>
      </c>
      <c r="I3023">
        <v>69</v>
      </c>
      <c r="J3023">
        <v>14</v>
      </c>
      <c r="K3023">
        <v>88</v>
      </c>
      <c r="L3023">
        <v>-52.1</v>
      </c>
      <c r="M3023">
        <v>52</v>
      </c>
      <c r="N3023">
        <v>18.11</v>
      </c>
      <c r="O3023">
        <v>68</v>
      </c>
      <c r="P3023">
        <v>8.9600000000000009</v>
      </c>
      <c r="Q3023">
        <v>80</v>
      </c>
      <c r="R3023">
        <v>6.05</v>
      </c>
      <c r="S3023">
        <v>59</v>
      </c>
      <c r="T3023">
        <v>3.54</v>
      </c>
      <c r="U3023">
        <v>71</v>
      </c>
      <c r="V3023">
        <v>-3.61</v>
      </c>
      <c r="W3023">
        <v>51</v>
      </c>
      <c r="X3023" t="s">
        <v>94</v>
      </c>
      <c r="Y3023" t="s">
        <v>95</v>
      </c>
      <c r="Z3023" t="s">
        <v>96</v>
      </c>
      <c r="AA3023" t="s">
        <v>1957</v>
      </c>
      <c r="AB3023" t="s">
        <v>6670</v>
      </c>
      <c r="AC3023">
        <v>29</v>
      </c>
      <c r="AD3023">
        <v>23</v>
      </c>
      <c r="AE3023">
        <v>88</v>
      </c>
      <c r="AF3023">
        <v>109.77</v>
      </c>
      <c r="AG3023">
        <v>-0.28000000000000003</v>
      </c>
      <c r="AH3023">
        <v>4.16</v>
      </c>
      <c r="AI3023">
        <v>-7.0000000000000007E-2</v>
      </c>
      <c r="AJ3023">
        <v>0.01</v>
      </c>
      <c r="AK3023">
        <v>52</v>
      </c>
      <c r="AL3023">
        <v>27</v>
      </c>
      <c r="AM3023">
        <v>20</v>
      </c>
      <c r="AN3023">
        <v>3.21</v>
      </c>
      <c r="AO3023">
        <v>-0.94</v>
      </c>
      <c r="AP3023">
        <v>45</v>
      </c>
      <c r="AQ3023">
        <v>0</v>
      </c>
      <c r="AR3023">
        <v>6.47</v>
      </c>
      <c r="AS3023">
        <v>45</v>
      </c>
      <c r="AT3023">
        <v>3.12</v>
      </c>
      <c r="AU3023">
        <v>63</v>
      </c>
      <c r="AV3023">
        <v>-1.88</v>
      </c>
      <c r="AW3023">
        <v>87</v>
      </c>
      <c r="AX3023">
        <v>1.39</v>
      </c>
      <c r="AY3023">
        <v>63</v>
      </c>
      <c r="AZ3023">
        <v>5.23</v>
      </c>
      <c r="BA3023">
        <v>39</v>
      </c>
      <c r="BB3023">
        <v>4.55</v>
      </c>
      <c r="BC3023">
        <v>42</v>
      </c>
      <c r="BD3023">
        <v>0</v>
      </c>
      <c r="BE3023">
        <v>-0.01</v>
      </c>
      <c r="BF3023">
        <v>-0.12</v>
      </c>
      <c r="BG3023">
        <v>68</v>
      </c>
      <c r="BH3023">
        <v>-0.09</v>
      </c>
      <c r="BI3023">
        <v>1.23</v>
      </c>
      <c r="BJ3023">
        <v>19</v>
      </c>
      <c r="BK3023">
        <v>14</v>
      </c>
      <c r="BL3023">
        <v>-0.3</v>
      </c>
      <c r="BM3023">
        <v>0.54</v>
      </c>
      <c r="BN3023">
        <v>-0.68</v>
      </c>
      <c r="BO3023">
        <v>-0.68</v>
      </c>
      <c r="BP3023">
        <v>0.41</v>
      </c>
      <c r="BQ3023">
        <v>-1.53</v>
      </c>
      <c r="BR3023">
        <v>-1.27</v>
      </c>
      <c r="BS3023">
        <v>-1.45</v>
      </c>
      <c r="BT3023">
        <v>1.25</v>
      </c>
      <c r="BU3023">
        <v>-0.36</v>
      </c>
      <c r="BV3023">
        <v>0.03</v>
      </c>
      <c r="BW3023">
        <v>0.45</v>
      </c>
      <c r="BX3023">
        <v>-0.02</v>
      </c>
      <c r="BY3023">
        <v>0.41</v>
      </c>
      <c r="BZ3023">
        <v>-1.17</v>
      </c>
      <c r="CA3023">
        <v>0.3</v>
      </c>
      <c r="CB3023">
        <v>0.06</v>
      </c>
      <c r="CC3023">
        <v>0.46</v>
      </c>
      <c r="CD3023">
        <v>0.48</v>
      </c>
      <c r="CE3023">
        <v>-0.74</v>
      </c>
      <c r="CF3023">
        <v>-0.54</v>
      </c>
      <c r="CG3023">
        <v>0</v>
      </c>
      <c r="CH3023">
        <v>0.25</v>
      </c>
      <c r="CI3023">
        <v>0</v>
      </c>
      <c r="CJ3023">
        <v>6.2</v>
      </c>
      <c r="CK3023">
        <v>82</v>
      </c>
      <c r="CL3023">
        <v>-0.43</v>
      </c>
      <c r="CM3023">
        <v>79</v>
      </c>
      <c r="CN3023">
        <v>-0.41</v>
      </c>
      <c r="CO3023">
        <v>76</v>
      </c>
      <c r="CP3023">
        <v>0.3</v>
      </c>
      <c r="CQ3023">
        <v>78</v>
      </c>
      <c r="CR3023">
        <v>0</v>
      </c>
      <c r="CS3023">
        <v>0</v>
      </c>
      <c r="CT3023">
        <v>9</v>
      </c>
      <c r="CU3023">
        <v>71</v>
      </c>
      <c r="CV3023">
        <v>0.21</v>
      </c>
      <c r="CW3023">
        <v>22</v>
      </c>
      <c r="CX3023" t="s">
        <v>961</v>
      </c>
    </row>
    <row r="3024" spans="1:102" x14ac:dyDescent="0.3">
      <c r="A3024" t="str">
        <f>HYPERLINK("https://webapp.icbf.com/v2/app/bull-search/view/1337271965","S3182")</f>
        <v>S3182</v>
      </c>
      <c r="B3024" t="s">
        <v>15606</v>
      </c>
      <c r="C3024" t="s">
        <v>15607</v>
      </c>
      <c r="D3024" s="1">
        <v>41554</v>
      </c>
      <c r="E3024" t="s">
        <v>92</v>
      </c>
      <c r="F3024">
        <v>91</v>
      </c>
      <c r="G3024" t="s">
        <v>109</v>
      </c>
      <c r="H3024">
        <v>-5.0599999999999996</v>
      </c>
      <c r="I3024">
        <v>68</v>
      </c>
      <c r="J3024">
        <v>46.36</v>
      </c>
      <c r="K3024">
        <v>87</v>
      </c>
      <c r="L3024">
        <v>-38.159999999999997</v>
      </c>
      <c r="M3024">
        <v>71</v>
      </c>
      <c r="N3024">
        <v>2.27</v>
      </c>
      <c r="O3024">
        <v>50</v>
      </c>
      <c r="P3024">
        <v>-3.78</v>
      </c>
      <c r="Q3024">
        <v>39</v>
      </c>
      <c r="R3024">
        <v>-2.39</v>
      </c>
      <c r="S3024">
        <v>64</v>
      </c>
      <c r="T3024">
        <v>-6.08</v>
      </c>
      <c r="U3024">
        <v>36</v>
      </c>
      <c r="V3024">
        <v>-3.28</v>
      </c>
      <c r="W3024">
        <v>47</v>
      </c>
      <c r="X3024" t="s">
        <v>110</v>
      </c>
      <c r="Y3024" t="s">
        <v>453</v>
      </c>
      <c r="Z3024" t="s">
        <v>330</v>
      </c>
      <c r="AA3024" t="s">
        <v>5970</v>
      </c>
      <c r="AB3024" t="s">
        <v>15608</v>
      </c>
      <c r="AC3024">
        <v>0</v>
      </c>
      <c r="AD3024">
        <v>0</v>
      </c>
      <c r="AE3024">
        <v>87</v>
      </c>
      <c r="AF3024">
        <v>276.33999999999997</v>
      </c>
      <c r="AG3024">
        <v>0.89</v>
      </c>
      <c r="AH3024">
        <v>11.8</v>
      </c>
      <c r="AI3024">
        <v>-0.17</v>
      </c>
      <c r="AJ3024">
        <v>0.04</v>
      </c>
      <c r="AK3024">
        <v>71</v>
      </c>
      <c r="AL3024">
        <v>0</v>
      </c>
      <c r="AM3024">
        <v>0</v>
      </c>
      <c r="AN3024">
        <v>3.11</v>
      </c>
      <c r="AO3024">
        <v>0.08</v>
      </c>
      <c r="AP3024">
        <v>9</v>
      </c>
      <c r="AQ3024">
        <v>0</v>
      </c>
      <c r="AR3024">
        <v>8.7100000000000009</v>
      </c>
      <c r="AS3024">
        <v>39</v>
      </c>
      <c r="AT3024">
        <v>4.26</v>
      </c>
      <c r="AU3024">
        <v>83</v>
      </c>
      <c r="AV3024">
        <v>-1.98</v>
      </c>
      <c r="AW3024">
        <v>43</v>
      </c>
      <c r="AX3024">
        <v>-0.18</v>
      </c>
      <c r="AY3024">
        <v>39</v>
      </c>
      <c r="AZ3024">
        <v>6.27</v>
      </c>
      <c r="BA3024">
        <v>28</v>
      </c>
      <c r="BB3024">
        <v>4.9800000000000004</v>
      </c>
      <c r="BC3024">
        <v>29</v>
      </c>
      <c r="BD3024">
        <v>0.03</v>
      </c>
      <c r="BE3024">
        <v>0.05</v>
      </c>
      <c r="BF3024">
        <v>-0.09</v>
      </c>
      <c r="BG3024">
        <v>83</v>
      </c>
      <c r="BH3024">
        <v>-0.06</v>
      </c>
      <c r="BI3024">
        <v>3.65</v>
      </c>
      <c r="BJ3024">
        <v>0</v>
      </c>
      <c r="BK3024">
        <v>0</v>
      </c>
      <c r="BL3024">
        <v>0.02</v>
      </c>
      <c r="BM3024">
        <v>0.36</v>
      </c>
      <c r="BN3024">
        <v>0.15</v>
      </c>
      <c r="BO3024">
        <v>-0.43</v>
      </c>
      <c r="BP3024">
        <v>-0.63</v>
      </c>
      <c r="BQ3024">
        <v>-0.33</v>
      </c>
      <c r="BR3024">
        <v>-0.38</v>
      </c>
      <c r="BS3024">
        <v>0.84</v>
      </c>
      <c r="BT3024">
        <v>-0.38</v>
      </c>
      <c r="BU3024">
        <v>0.63</v>
      </c>
      <c r="BV3024">
        <v>-0.08</v>
      </c>
      <c r="BW3024">
        <v>-0.34</v>
      </c>
      <c r="BX3024">
        <v>-0.01</v>
      </c>
      <c r="BY3024">
        <v>0.09</v>
      </c>
      <c r="BZ3024">
        <v>-0.7</v>
      </c>
      <c r="CA3024">
        <v>0.63</v>
      </c>
      <c r="CB3024">
        <v>0.36</v>
      </c>
      <c r="CC3024">
        <v>0.56000000000000005</v>
      </c>
      <c r="CD3024">
        <v>0.14000000000000001</v>
      </c>
      <c r="CE3024">
        <v>0.68</v>
      </c>
      <c r="CF3024">
        <v>0.93</v>
      </c>
      <c r="CG3024">
        <v>0</v>
      </c>
      <c r="CH3024">
        <v>0.4</v>
      </c>
      <c r="CI3024">
        <v>0</v>
      </c>
      <c r="CJ3024">
        <v>-0.7</v>
      </c>
      <c r="CK3024">
        <v>41</v>
      </c>
      <c r="CL3024">
        <v>-0.84</v>
      </c>
      <c r="CM3024">
        <v>36</v>
      </c>
      <c r="CN3024">
        <v>-0.45</v>
      </c>
      <c r="CO3024">
        <v>35</v>
      </c>
      <c r="CP3024">
        <v>3.9</v>
      </c>
      <c r="CQ3024">
        <v>36</v>
      </c>
      <c r="CR3024">
        <v>0</v>
      </c>
      <c r="CS3024">
        <v>0</v>
      </c>
      <c r="CT3024">
        <v>22</v>
      </c>
      <c r="CU3024">
        <v>36</v>
      </c>
      <c r="CV3024">
        <v>7.0000000000000007E-2</v>
      </c>
      <c r="CW3024">
        <v>33</v>
      </c>
      <c r="CX3024" t="s">
        <v>3020</v>
      </c>
    </row>
    <row r="3025" spans="1:102" x14ac:dyDescent="0.3">
      <c r="A3025" t="str">
        <f>HYPERLINK("https://webapp.icbf.com/v2/app/bull-search/view/1113836056","S1637")</f>
        <v>S1637</v>
      </c>
      <c r="B3025" t="s">
        <v>3074</v>
      </c>
      <c r="C3025" t="s">
        <v>3075</v>
      </c>
      <c r="D3025" s="1">
        <v>41044</v>
      </c>
      <c r="E3025" t="s">
        <v>108</v>
      </c>
      <c r="F3025">
        <v>6</v>
      </c>
      <c r="G3025" t="s">
        <v>109</v>
      </c>
      <c r="H3025">
        <v>-5.28</v>
      </c>
      <c r="I3025">
        <v>69</v>
      </c>
      <c r="J3025">
        <v>-24.79</v>
      </c>
      <c r="K3025">
        <v>85</v>
      </c>
      <c r="L3025">
        <v>5.51</v>
      </c>
      <c r="M3025">
        <v>62</v>
      </c>
      <c r="N3025">
        <v>9.77</v>
      </c>
      <c r="O3025">
        <v>64</v>
      </c>
      <c r="P3025">
        <v>-13.13</v>
      </c>
      <c r="Q3025">
        <v>77</v>
      </c>
      <c r="R3025">
        <v>0.25</v>
      </c>
      <c r="S3025">
        <v>55</v>
      </c>
      <c r="T3025">
        <v>17.82</v>
      </c>
      <c r="U3025">
        <v>50</v>
      </c>
      <c r="V3025">
        <v>-0.71</v>
      </c>
      <c r="W3025">
        <v>51</v>
      </c>
      <c r="X3025" t="s">
        <v>251</v>
      </c>
      <c r="Y3025" t="s">
        <v>362</v>
      </c>
      <c r="Z3025" t="s">
        <v>96</v>
      </c>
      <c r="AA3025" t="s">
        <v>3076</v>
      </c>
      <c r="AB3025" t="s">
        <v>3077</v>
      </c>
      <c r="AC3025">
        <v>0</v>
      </c>
      <c r="AD3025">
        <v>0</v>
      </c>
      <c r="AE3025">
        <v>85</v>
      </c>
      <c r="AF3025">
        <v>-450</v>
      </c>
      <c r="AG3025">
        <v>-3.8</v>
      </c>
      <c r="AH3025">
        <v>-9.76</v>
      </c>
      <c r="AI3025">
        <v>0.26</v>
      </c>
      <c r="AJ3025">
        <v>0.1</v>
      </c>
      <c r="AK3025">
        <v>62</v>
      </c>
      <c r="AL3025">
        <v>0</v>
      </c>
      <c r="AM3025">
        <v>0</v>
      </c>
      <c r="AN3025">
        <v>-0.23</v>
      </c>
      <c r="AO3025">
        <v>0.21</v>
      </c>
      <c r="AP3025">
        <v>25</v>
      </c>
      <c r="AQ3025">
        <v>0</v>
      </c>
      <c r="AR3025">
        <v>6.82</v>
      </c>
      <c r="AS3025">
        <v>52</v>
      </c>
      <c r="AT3025">
        <v>3.01</v>
      </c>
      <c r="AU3025">
        <v>65</v>
      </c>
      <c r="AV3025">
        <v>-1.63</v>
      </c>
      <c r="AW3025">
        <v>79</v>
      </c>
      <c r="AX3025">
        <v>-1.03</v>
      </c>
      <c r="AY3025">
        <v>64</v>
      </c>
      <c r="AZ3025">
        <v>7.68</v>
      </c>
      <c r="BA3025">
        <v>35</v>
      </c>
      <c r="BB3025">
        <v>6.24</v>
      </c>
      <c r="BC3025">
        <v>29</v>
      </c>
      <c r="BD3025">
        <v>0.05</v>
      </c>
      <c r="BE3025">
        <v>-0.01</v>
      </c>
      <c r="BF3025">
        <v>-7.0000000000000007E-2</v>
      </c>
      <c r="BG3025">
        <v>64</v>
      </c>
      <c r="BH3025">
        <v>0.03</v>
      </c>
      <c r="BI3025">
        <v>5.76</v>
      </c>
      <c r="BJ3025">
        <v>4</v>
      </c>
      <c r="BK3025">
        <v>3</v>
      </c>
      <c r="BL3025">
        <v>-2.78</v>
      </c>
      <c r="BM3025">
        <v>0.96</v>
      </c>
      <c r="BN3025">
        <v>-2.93</v>
      </c>
      <c r="BO3025">
        <v>-2.79</v>
      </c>
      <c r="BP3025">
        <v>-1.47</v>
      </c>
      <c r="BQ3025">
        <v>0.97</v>
      </c>
      <c r="BR3025">
        <v>-0.85</v>
      </c>
      <c r="BS3025">
        <v>0.16</v>
      </c>
      <c r="BT3025">
        <v>0.37</v>
      </c>
      <c r="BU3025">
        <v>-1.19</v>
      </c>
      <c r="BV3025">
        <v>-0.56999999999999995</v>
      </c>
      <c r="BW3025">
        <v>-0.94</v>
      </c>
      <c r="BX3025">
        <v>0.35</v>
      </c>
      <c r="BY3025">
        <v>-0.37</v>
      </c>
      <c r="BZ3025">
        <v>0.12</v>
      </c>
      <c r="CA3025">
        <v>-0.77</v>
      </c>
      <c r="CB3025">
        <v>-0.97</v>
      </c>
      <c r="CC3025">
        <v>0.02</v>
      </c>
      <c r="CD3025">
        <v>2.1</v>
      </c>
      <c r="CE3025">
        <v>-2.88</v>
      </c>
      <c r="CF3025">
        <v>-2.94</v>
      </c>
      <c r="CG3025">
        <v>0</v>
      </c>
      <c r="CH3025">
        <v>0.03</v>
      </c>
      <c r="CI3025">
        <v>0</v>
      </c>
      <c r="CJ3025">
        <v>-6.4</v>
      </c>
      <c r="CK3025">
        <v>80</v>
      </c>
      <c r="CL3025">
        <v>-0.36</v>
      </c>
      <c r="CM3025">
        <v>77</v>
      </c>
      <c r="CN3025">
        <v>-0.08</v>
      </c>
      <c r="CO3025">
        <v>75</v>
      </c>
      <c r="CP3025">
        <v>-10.1</v>
      </c>
      <c r="CQ3025">
        <v>55</v>
      </c>
      <c r="CR3025">
        <v>0</v>
      </c>
      <c r="CS3025">
        <v>0</v>
      </c>
      <c r="CT3025">
        <v>-10.3</v>
      </c>
      <c r="CU3025">
        <v>50</v>
      </c>
      <c r="CV3025">
        <v>0.05</v>
      </c>
      <c r="CW3025">
        <v>41</v>
      </c>
      <c r="CX3025" t="s">
        <v>3078</v>
      </c>
    </row>
    <row r="3026" spans="1:102" x14ac:dyDescent="0.3">
      <c r="A3026" t="str">
        <f>HYPERLINK("https://webapp.icbf.com/v2/app/bull-search/view/69091432","DBY")</f>
        <v>DBY</v>
      </c>
      <c r="B3026" t="s">
        <v>3498</v>
      </c>
      <c r="C3026" t="s">
        <v>3499</v>
      </c>
      <c r="D3026" s="1">
        <v>34776</v>
      </c>
      <c r="E3026" t="s">
        <v>92</v>
      </c>
      <c r="F3026">
        <v>100</v>
      </c>
      <c r="G3026" t="s">
        <v>93</v>
      </c>
      <c r="H3026">
        <v>-5.52</v>
      </c>
      <c r="I3026">
        <v>92</v>
      </c>
      <c r="J3026">
        <v>50.23</v>
      </c>
      <c r="K3026">
        <v>98</v>
      </c>
      <c r="L3026">
        <v>-66.92</v>
      </c>
      <c r="M3026">
        <v>90</v>
      </c>
      <c r="N3026">
        <v>14.68</v>
      </c>
      <c r="O3026">
        <v>89</v>
      </c>
      <c r="P3026">
        <v>-3.64</v>
      </c>
      <c r="Q3026">
        <v>95</v>
      </c>
      <c r="R3026">
        <v>-6.6</v>
      </c>
      <c r="S3026">
        <v>83</v>
      </c>
      <c r="T3026">
        <v>14.64</v>
      </c>
      <c r="U3026">
        <v>88</v>
      </c>
      <c r="V3026">
        <v>-7.91</v>
      </c>
      <c r="W3026">
        <v>78</v>
      </c>
      <c r="X3026" t="s">
        <v>94</v>
      </c>
      <c r="Y3026" t="s">
        <v>95</v>
      </c>
      <c r="Z3026" t="s">
        <v>96</v>
      </c>
      <c r="AA3026" t="s">
        <v>529</v>
      </c>
      <c r="AB3026" t="s">
        <v>3500</v>
      </c>
      <c r="AC3026">
        <v>164</v>
      </c>
      <c r="AD3026">
        <v>69</v>
      </c>
      <c r="AE3026">
        <v>98</v>
      </c>
      <c r="AF3026">
        <v>218.54</v>
      </c>
      <c r="AG3026">
        <v>9.3800000000000008</v>
      </c>
      <c r="AH3026">
        <v>8.57</v>
      </c>
      <c r="AI3026">
        <v>0.01</v>
      </c>
      <c r="AJ3026">
        <v>0.02</v>
      </c>
      <c r="AK3026">
        <v>90</v>
      </c>
      <c r="AL3026">
        <v>172</v>
      </c>
      <c r="AM3026">
        <v>75</v>
      </c>
      <c r="AN3026">
        <v>3.41</v>
      </c>
      <c r="AO3026">
        <v>-1.93</v>
      </c>
      <c r="AP3026">
        <v>217</v>
      </c>
      <c r="AQ3026">
        <v>1</v>
      </c>
      <c r="AR3026">
        <v>6.1</v>
      </c>
      <c r="AS3026">
        <v>89</v>
      </c>
      <c r="AT3026">
        <v>2.81</v>
      </c>
      <c r="AU3026">
        <v>89</v>
      </c>
      <c r="AV3026">
        <v>-1.42</v>
      </c>
      <c r="AW3026">
        <v>94</v>
      </c>
      <c r="AX3026">
        <v>0.36</v>
      </c>
      <c r="AY3026">
        <v>88</v>
      </c>
      <c r="AZ3026">
        <v>6.35</v>
      </c>
      <c r="BA3026">
        <v>75</v>
      </c>
      <c r="BB3026">
        <v>5.42</v>
      </c>
      <c r="BC3026">
        <v>78</v>
      </c>
      <c r="BD3026">
        <v>-0.02</v>
      </c>
      <c r="BE3026">
        <v>0.05</v>
      </c>
      <c r="BF3026">
        <v>0.09</v>
      </c>
      <c r="BG3026">
        <v>93</v>
      </c>
      <c r="BH3026">
        <v>-0.21</v>
      </c>
      <c r="BI3026">
        <v>1.23</v>
      </c>
      <c r="BJ3026">
        <v>8</v>
      </c>
      <c r="BK3026">
        <v>5</v>
      </c>
      <c r="BL3026">
        <v>-0.06</v>
      </c>
      <c r="BM3026">
        <v>0.66</v>
      </c>
      <c r="BN3026">
        <v>0.67</v>
      </c>
      <c r="BO3026">
        <v>0.17</v>
      </c>
      <c r="BP3026">
        <v>-0.79</v>
      </c>
      <c r="BQ3026">
        <v>-0.86</v>
      </c>
      <c r="BR3026">
        <v>0.56999999999999995</v>
      </c>
      <c r="BS3026">
        <v>-1.04</v>
      </c>
      <c r="BT3026">
        <v>-1.51</v>
      </c>
      <c r="BU3026">
        <v>-1.88</v>
      </c>
      <c r="BV3026">
        <v>-0.46</v>
      </c>
      <c r="BW3026">
        <v>-0.48</v>
      </c>
      <c r="BX3026">
        <v>-2.3199999999999998</v>
      </c>
      <c r="BY3026">
        <v>0.04</v>
      </c>
      <c r="BZ3026">
        <v>-0.71</v>
      </c>
      <c r="CA3026">
        <v>-1.03</v>
      </c>
      <c r="CB3026">
        <v>-1.4</v>
      </c>
      <c r="CC3026">
        <v>-1.08</v>
      </c>
      <c r="CD3026">
        <v>-0.12</v>
      </c>
      <c r="CE3026">
        <v>0.57999999999999996</v>
      </c>
      <c r="CF3026">
        <v>0.56999999999999995</v>
      </c>
      <c r="CG3026">
        <v>0</v>
      </c>
      <c r="CH3026">
        <v>-0.54</v>
      </c>
      <c r="CI3026">
        <v>0</v>
      </c>
      <c r="CJ3026">
        <v>2.2999999999999998</v>
      </c>
      <c r="CK3026">
        <v>96</v>
      </c>
      <c r="CL3026">
        <v>-0.78</v>
      </c>
      <c r="CM3026">
        <v>95</v>
      </c>
      <c r="CN3026">
        <v>-0.18</v>
      </c>
      <c r="CO3026">
        <v>94</v>
      </c>
      <c r="CP3026">
        <v>-5.8</v>
      </c>
      <c r="CQ3026">
        <v>94</v>
      </c>
      <c r="CR3026">
        <v>0</v>
      </c>
      <c r="CS3026">
        <v>0</v>
      </c>
      <c r="CT3026">
        <v>-6</v>
      </c>
      <c r="CU3026">
        <v>88</v>
      </c>
      <c r="CV3026">
        <v>0.18</v>
      </c>
      <c r="CW3026">
        <v>45</v>
      </c>
      <c r="CX3026" t="s">
        <v>531</v>
      </c>
    </row>
    <row r="3027" spans="1:102" x14ac:dyDescent="0.3">
      <c r="A3027" t="str">
        <f>HYPERLINK("https://webapp.icbf.com/v2/app/bull-search/view/660027456","OLM")</f>
        <v>OLM</v>
      </c>
      <c r="B3027" t="s">
        <v>15617</v>
      </c>
      <c r="C3027" t="s">
        <v>13481</v>
      </c>
      <c r="D3027" s="1">
        <v>39090</v>
      </c>
      <c r="E3027" t="s">
        <v>92</v>
      </c>
      <c r="F3027">
        <v>100</v>
      </c>
      <c r="G3027" t="s">
        <v>93</v>
      </c>
      <c r="H3027">
        <v>-5.57</v>
      </c>
      <c r="I3027">
        <v>90</v>
      </c>
      <c r="J3027">
        <v>50.29</v>
      </c>
      <c r="K3027">
        <v>97</v>
      </c>
      <c r="L3027">
        <v>-61.23</v>
      </c>
      <c r="M3027">
        <v>89</v>
      </c>
      <c r="N3027">
        <v>0.26</v>
      </c>
      <c r="O3027">
        <v>87</v>
      </c>
      <c r="P3027">
        <v>-10.02</v>
      </c>
      <c r="Q3027">
        <v>91</v>
      </c>
      <c r="R3027">
        <v>1.41</v>
      </c>
      <c r="S3027">
        <v>81</v>
      </c>
      <c r="T3027">
        <v>15.53</v>
      </c>
      <c r="U3027">
        <v>85</v>
      </c>
      <c r="V3027">
        <v>-1.81</v>
      </c>
      <c r="W3027">
        <v>72</v>
      </c>
      <c r="X3027" t="s">
        <v>251</v>
      </c>
      <c r="Y3027" t="s">
        <v>1128</v>
      </c>
      <c r="Z3027" t="s">
        <v>96</v>
      </c>
      <c r="AA3027" t="s">
        <v>358</v>
      </c>
      <c r="AB3027" t="s">
        <v>15618</v>
      </c>
      <c r="AC3027">
        <v>127</v>
      </c>
      <c r="AD3027">
        <v>42</v>
      </c>
      <c r="AE3027">
        <v>97</v>
      </c>
      <c r="AF3027">
        <v>293.77</v>
      </c>
      <c r="AG3027">
        <v>6.95</v>
      </c>
      <c r="AH3027">
        <v>10.59</v>
      </c>
      <c r="AI3027">
        <v>-0.08</v>
      </c>
      <c r="AJ3027">
        <v>0.01</v>
      </c>
      <c r="AK3027">
        <v>89</v>
      </c>
      <c r="AL3027">
        <v>157</v>
      </c>
      <c r="AM3027">
        <v>43</v>
      </c>
      <c r="AN3027">
        <v>3.6</v>
      </c>
      <c r="AO3027">
        <v>-1.28</v>
      </c>
      <c r="AP3027">
        <v>241</v>
      </c>
      <c r="AQ3027">
        <v>0</v>
      </c>
      <c r="AR3027">
        <v>8.07</v>
      </c>
      <c r="AS3027">
        <v>90</v>
      </c>
      <c r="AT3027">
        <v>3.45</v>
      </c>
      <c r="AU3027">
        <v>89</v>
      </c>
      <c r="AV3027">
        <v>-1.45</v>
      </c>
      <c r="AW3027">
        <v>95</v>
      </c>
      <c r="AX3027">
        <v>1.1399999999999999</v>
      </c>
      <c r="AY3027">
        <v>87</v>
      </c>
      <c r="AZ3027">
        <v>7.05</v>
      </c>
      <c r="BA3027">
        <v>73</v>
      </c>
      <c r="BB3027">
        <v>5.61</v>
      </c>
      <c r="BC3027">
        <v>64</v>
      </c>
      <c r="BD3027">
        <v>0.04</v>
      </c>
      <c r="BE3027">
        <v>-0.01</v>
      </c>
      <c r="BF3027">
        <v>-0.08</v>
      </c>
      <c r="BG3027">
        <v>93</v>
      </c>
      <c r="BH3027">
        <v>-0.23</v>
      </c>
      <c r="BI3027">
        <v>-20.77</v>
      </c>
      <c r="BJ3027">
        <v>61</v>
      </c>
      <c r="BK3027">
        <v>30</v>
      </c>
      <c r="BL3027">
        <v>0.46</v>
      </c>
      <c r="BM3027">
        <v>-1.56</v>
      </c>
      <c r="BN3027">
        <v>-0.7</v>
      </c>
      <c r="BO3027">
        <v>0.98</v>
      </c>
      <c r="BP3027">
        <v>-0.4</v>
      </c>
      <c r="BQ3027">
        <v>1.23</v>
      </c>
      <c r="BR3027">
        <v>2.57</v>
      </c>
      <c r="BS3027">
        <v>2.5499999999999998</v>
      </c>
      <c r="BT3027">
        <v>-1.38</v>
      </c>
      <c r="BU3027">
        <v>1.39</v>
      </c>
      <c r="BV3027">
        <v>1.87</v>
      </c>
      <c r="BW3027">
        <v>0.63</v>
      </c>
      <c r="BX3027">
        <v>1.78</v>
      </c>
      <c r="BY3027">
        <v>1.35</v>
      </c>
      <c r="BZ3027">
        <v>-1.6</v>
      </c>
      <c r="CA3027">
        <v>1.94</v>
      </c>
      <c r="CB3027">
        <v>1.71</v>
      </c>
      <c r="CC3027">
        <v>1.31</v>
      </c>
      <c r="CD3027">
        <v>-1.44</v>
      </c>
      <c r="CE3027">
        <v>0.71</v>
      </c>
      <c r="CF3027">
        <v>0.34</v>
      </c>
      <c r="CG3027">
        <v>0</v>
      </c>
      <c r="CH3027">
        <v>1.3</v>
      </c>
      <c r="CI3027">
        <v>0</v>
      </c>
      <c r="CJ3027">
        <v>-2.6</v>
      </c>
      <c r="CK3027">
        <v>92</v>
      </c>
      <c r="CL3027">
        <v>-1.06</v>
      </c>
      <c r="CM3027">
        <v>91</v>
      </c>
      <c r="CN3027">
        <v>-0.48</v>
      </c>
      <c r="CO3027">
        <v>89</v>
      </c>
      <c r="CP3027">
        <v>-7.4</v>
      </c>
      <c r="CQ3027">
        <v>87</v>
      </c>
      <c r="CR3027">
        <v>0</v>
      </c>
      <c r="CS3027">
        <v>0</v>
      </c>
      <c r="CT3027">
        <v>-7.2</v>
      </c>
      <c r="CU3027">
        <v>85</v>
      </c>
      <c r="CV3027">
        <v>0.14000000000000001</v>
      </c>
      <c r="CW3027">
        <v>44</v>
      </c>
      <c r="CX3027" t="s">
        <v>187</v>
      </c>
    </row>
    <row r="3028" spans="1:102" x14ac:dyDescent="0.3">
      <c r="A3028" t="str">
        <f>HYPERLINK("https://webapp.icbf.com/v2/app/bull-search/view/77854255","PRI")</f>
        <v>PRI</v>
      </c>
      <c r="B3028" t="s">
        <v>11309</v>
      </c>
      <c r="C3028" t="s">
        <v>11310</v>
      </c>
      <c r="D3028" s="1">
        <v>33504</v>
      </c>
      <c r="E3028" t="s">
        <v>92</v>
      </c>
      <c r="F3028">
        <v>75</v>
      </c>
      <c r="G3028" t="s">
        <v>93</v>
      </c>
      <c r="H3028">
        <v>-5.59</v>
      </c>
      <c r="I3028">
        <v>76</v>
      </c>
      <c r="J3028">
        <v>-20.71</v>
      </c>
      <c r="K3028">
        <v>92</v>
      </c>
      <c r="L3028">
        <v>13.77</v>
      </c>
      <c r="M3028">
        <v>67</v>
      </c>
      <c r="N3028">
        <v>-9.0500000000000007</v>
      </c>
      <c r="O3028">
        <v>61</v>
      </c>
      <c r="P3028">
        <v>-2.67</v>
      </c>
      <c r="Q3028">
        <v>84</v>
      </c>
      <c r="R3028">
        <v>0.42</v>
      </c>
      <c r="S3028">
        <v>68</v>
      </c>
      <c r="T3028">
        <v>17.75</v>
      </c>
      <c r="U3028">
        <v>88</v>
      </c>
      <c r="V3028">
        <v>-5.0999999999999996</v>
      </c>
      <c r="W3028">
        <v>35</v>
      </c>
      <c r="X3028" t="s">
        <v>94</v>
      </c>
      <c r="Y3028" t="s">
        <v>95</v>
      </c>
      <c r="Z3028" t="s">
        <v>96</v>
      </c>
      <c r="AA3028" t="s">
        <v>99</v>
      </c>
      <c r="AB3028" t="s">
        <v>11311</v>
      </c>
      <c r="AC3028">
        <v>60</v>
      </c>
      <c r="AD3028">
        <v>31</v>
      </c>
      <c r="AE3028">
        <v>92</v>
      </c>
      <c r="AF3028">
        <v>-84.91</v>
      </c>
      <c r="AG3028">
        <v>-5.6</v>
      </c>
      <c r="AH3028">
        <v>-2.84</v>
      </c>
      <c r="AI3028">
        <v>-0.04</v>
      </c>
      <c r="AJ3028">
        <v>0</v>
      </c>
      <c r="AK3028">
        <v>67</v>
      </c>
      <c r="AL3028">
        <v>102</v>
      </c>
      <c r="AM3028">
        <v>59</v>
      </c>
      <c r="AN3028">
        <v>-0.57999999999999996</v>
      </c>
      <c r="AO3028">
        <v>0.52</v>
      </c>
      <c r="AP3028">
        <v>2</v>
      </c>
      <c r="AQ3028">
        <v>1</v>
      </c>
      <c r="AR3028">
        <v>8.9600000000000009</v>
      </c>
      <c r="AS3028">
        <v>36</v>
      </c>
      <c r="AT3028">
        <v>3.9</v>
      </c>
      <c r="AU3028">
        <v>58</v>
      </c>
      <c r="AV3028">
        <v>0.2</v>
      </c>
      <c r="AW3028">
        <v>68</v>
      </c>
      <c r="AX3028">
        <v>-0.72</v>
      </c>
      <c r="AY3028">
        <v>77</v>
      </c>
      <c r="AZ3028">
        <v>5.94</v>
      </c>
      <c r="BA3028">
        <v>36</v>
      </c>
      <c r="BB3028">
        <v>4.76</v>
      </c>
      <c r="BC3028">
        <v>57</v>
      </c>
      <c r="BD3028">
        <v>-0.04</v>
      </c>
      <c r="BE3028">
        <v>0.03</v>
      </c>
      <c r="BF3028">
        <v>0</v>
      </c>
      <c r="BG3028">
        <v>84</v>
      </c>
      <c r="BH3028">
        <v>-0.11</v>
      </c>
      <c r="BI3028">
        <v>3.72</v>
      </c>
      <c r="BJ3028">
        <v>8</v>
      </c>
      <c r="BK3028">
        <v>6</v>
      </c>
      <c r="BL3028">
        <v>-1.2</v>
      </c>
      <c r="BM3028">
        <v>1.3</v>
      </c>
      <c r="BN3028">
        <v>-1.1299999999999999</v>
      </c>
      <c r="BO3028">
        <v>-1.68</v>
      </c>
      <c r="BP3028">
        <v>-1.43</v>
      </c>
      <c r="BQ3028">
        <v>0.35</v>
      </c>
      <c r="BR3028">
        <v>0.54</v>
      </c>
      <c r="BS3028">
        <v>0.08</v>
      </c>
      <c r="BT3028">
        <v>-0.94</v>
      </c>
      <c r="BU3028">
        <v>-0.24</v>
      </c>
      <c r="BV3028">
        <v>-1.31</v>
      </c>
      <c r="BW3028">
        <v>-1.47</v>
      </c>
      <c r="BX3028">
        <v>-0.67</v>
      </c>
      <c r="BY3028">
        <v>-0.25</v>
      </c>
      <c r="BZ3028">
        <v>0.26</v>
      </c>
      <c r="CA3028">
        <v>-0.91</v>
      </c>
      <c r="CB3028">
        <v>-1.02</v>
      </c>
      <c r="CC3028">
        <v>-0.45</v>
      </c>
      <c r="CD3028">
        <v>1.79</v>
      </c>
      <c r="CE3028">
        <v>-1.82</v>
      </c>
      <c r="CF3028">
        <v>-1.61</v>
      </c>
      <c r="CG3028">
        <v>0</v>
      </c>
      <c r="CH3028">
        <v>-1</v>
      </c>
      <c r="CI3028">
        <v>0</v>
      </c>
      <c r="CJ3028">
        <v>-0.5</v>
      </c>
      <c r="CK3028">
        <v>85</v>
      </c>
      <c r="CL3028">
        <v>-0.05</v>
      </c>
      <c r="CM3028">
        <v>82</v>
      </c>
      <c r="CN3028">
        <v>0.01</v>
      </c>
      <c r="CO3028">
        <v>80</v>
      </c>
      <c r="CP3028">
        <v>-9</v>
      </c>
      <c r="CQ3028">
        <v>88</v>
      </c>
      <c r="CR3028">
        <v>0</v>
      </c>
      <c r="CS3028">
        <v>0</v>
      </c>
      <c r="CT3028">
        <v>-10.199999999999999</v>
      </c>
      <c r="CU3028">
        <v>88</v>
      </c>
      <c r="CV3028">
        <v>0</v>
      </c>
      <c r="CW3028">
        <v>24</v>
      </c>
      <c r="CX3028" t="s">
        <v>622</v>
      </c>
    </row>
    <row r="3029" spans="1:102" x14ac:dyDescent="0.3">
      <c r="A3029" t="str">
        <f>HYPERLINK("https://webapp.icbf.com/v2/app/bull-search/view/932041953","S1204")</f>
        <v>S1204</v>
      </c>
      <c r="B3029" t="s">
        <v>5440</v>
      </c>
      <c r="C3029" t="s">
        <v>5441</v>
      </c>
      <c r="D3029" s="1">
        <v>38026</v>
      </c>
      <c r="E3029" t="s">
        <v>92</v>
      </c>
      <c r="F3029">
        <v>100</v>
      </c>
      <c r="G3029" t="s">
        <v>109</v>
      </c>
      <c r="H3029">
        <v>-5.71</v>
      </c>
      <c r="I3029">
        <v>59</v>
      </c>
      <c r="J3029">
        <v>-2.38</v>
      </c>
      <c r="K3029">
        <v>71</v>
      </c>
      <c r="L3029">
        <v>-25.21</v>
      </c>
      <c r="M3029">
        <v>66</v>
      </c>
      <c r="N3029">
        <v>20.78</v>
      </c>
      <c r="O3029">
        <v>45</v>
      </c>
      <c r="P3029">
        <v>2.25</v>
      </c>
      <c r="Q3029">
        <v>43</v>
      </c>
      <c r="R3029">
        <v>-3.77</v>
      </c>
      <c r="S3029">
        <v>52</v>
      </c>
      <c r="T3029">
        <v>1.91</v>
      </c>
      <c r="U3029">
        <v>39</v>
      </c>
      <c r="V3029">
        <v>0.71</v>
      </c>
      <c r="W3029">
        <v>14</v>
      </c>
      <c r="X3029" t="s">
        <v>110</v>
      </c>
      <c r="Y3029" t="s">
        <v>336</v>
      </c>
      <c r="Z3029" t="s">
        <v>96</v>
      </c>
      <c r="AA3029" t="s">
        <v>5442</v>
      </c>
      <c r="AB3029" t="s">
        <v>5443</v>
      </c>
      <c r="AC3029">
        <v>0</v>
      </c>
      <c r="AD3029">
        <v>0</v>
      </c>
      <c r="AE3029">
        <v>71</v>
      </c>
      <c r="AF3029">
        <v>376.94</v>
      </c>
      <c r="AG3029">
        <v>2.7</v>
      </c>
      <c r="AH3029">
        <v>4.41</v>
      </c>
      <c r="AI3029">
        <v>-0.19</v>
      </c>
      <c r="AJ3029">
        <v>-0.13</v>
      </c>
      <c r="AK3029">
        <v>66</v>
      </c>
      <c r="AL3029">
        <v>0</v>
      </c>
      <c r="AM3029">
        <v>0</v>
      </c>
      <c r="AN3029">
        <v>2.19</v>
      </c>
      <c r="AO3029">
        <v>0.19</v>
      </c>
      <c r="AP3029">
        <v>3</v>
      </c>
      <c r="AQ3029">
        <v>0</v>
      </c>
      <c r="AR3029">
        <v>7.37</v>
      </c>
      <c r="AS3029">
        <v>20</v>
      </c>
      <c r="AT3029">
        <v>3.37</v>
      </c>
      <c r="AU3029">
        <v>68</v>
      </c>
      <c r="AV3029">
        <v>-2.0699999999999998</v>
      </c>
      <c r="AW3029">
        <v>51</v>
      </c>
      <c r="AX3029">
        <v>0.23</v>
      </c>
      <c r="AY3029">
        <v>31</v>
      </c>
      <c r="AZ3029">
        <v>4.92</v>
      </c>
      <c r="BA3029">
        <v>13</v>
      </c>
      <c r="BB3029">
        <v>4.03</v>
      </c>
      <c r="BC3029">
        <v>14</v>
      </c>
      <c r="BD3029">
        <v>-0.02</v>
      </c>
      <c r="BE3029">
        <v>0</v>
      </c>
      <c r="BF3029">
        <v>0.12</v>
      </c>
      <c r="BG3029">
        <v>81</v>
      </c>
      <c r="BH3029">
        <v>0.05</v>
      </c>
      <c r="BI3029">
        <v>3.49</v>
      </c>
      <c r="BJ3029">
        <v>0</v>
      </c>
      <c r="BK3029">
        <v>0</v>
      </c>
      <c r="BL3029">
        <v>1.46</v>
      </c>
      <c r="BM3029">
        <v>-1.55</v>
      </c>
      <c r="BN3029">
        <v>-0.02</v>
      </c>
      <c r="BO3029">
        <v>0.81</v>
      </c>
      <c r="BP3029">
        <v>1.03</v>
      </c>
      <c r="BQ3029">
        <v>1.28</v>
      </c>
      <c r="BR3029">
        <v>-1.32</v>
      </c>
      <c r="BS3029">
        <v>1.48</v>
      </c>
      <c r="BT3029">
        <v>1.4</v>
      </c>
      <c r="BU3029">
        <v>0.99</v>
      </c>
      <c r="BV3029">
        <v>0.66</v>
      </c>
      <c r="BW3029">
        <v>0.18</v>
      </c>
      <c r="BX3029">
        <v>1.21</v>
      </c>
      <c r="BY3029">
        <v>-0.24</v>
      </c>
      <c r="BZ3029">
        <v>1.75</v>
      </c>
      <c r="CA3029">
        <v>1.24</v>
      </c>
      <c r="CB3029">
        <v>0.88</v>
      </c>
      <c r="CC3029">
        <v>1.38</v>
      </c>
      <c r="CD3029">
        <v>-0.16</v>
      </c>
      <c r="CE3029">
        <v>-0.08</v>
      </c>
      <c r="CF3029">
        <v>0.88</v>
      </c>
      <c r="CG3029">
        <v>0</v>
      </c>
      <c r="CH3029">
        <v>0.38</v>
      </c>
      <c r="CI3029">
        <v>0</v>
      </c>
      <c r="CJ3029">
        <v>4</v>
      </c>
      <c r="CK3029">
        <v>46</v>
      </c>
      <c r="CL3029">
        <v>-0.89</v>
      </c>
      <c r="CM3029">
        <v>40</v>
      </c>
      <c r="CN3029">
        <v>-0.49</v>
      </c>
      <c r="CO3029">
        <v>38</v>
      </c>
      <c r="CP3029">
        <v>1.2</v>
      </c>
      <c r="CQ3029">
        <v>40</v>
      </c>
      <c r="CR3029">
        <v>0</v>
      </c>
      <c r="CS3029">
        <v>0</v>
      </c>
      <c r="CT3029">
        <v>11.2</v>
      </c>
      <c r="CU3029">
        <v>39</v>
      </c>
      <c r="CV3029">
        <v>0.37</v>
      </c>
      <c r="CW3029">
        <v>12</v>
      </c>
      <c r="CX3029" t="s">
        <v>309</v>
      </c>
    </row>
    <row r="3030" spans="1:102" x14ac:dyDescent="0.3">
      <c r="A3030" t="str">
        <f>HYPERLINK("https://webapp.icbf.com/v2/app/bull-search/view/77859997","BTW")</f>
        <v>BTW</v>
      </c>
      <c r="B3030" t="s">
        <v>10391</v>
      </c>
      <c r="C3030" t="s">
        <v>10392</v>
      </c>
      <c r="D3030" s="1">
        <v>36047</v>
      </c>
      <c r="E3030" t="s">
        <v>92</v>
      </c>
      <c r="F3030">
        <v>100</v>
      </c>
      <c r="G3030" t="s">
        <v>93</v>
      </c>
      <c r="H3030">
        <v>-5.8</v>
      </c>
      <c r="I3030">
        <v>91</v>
      </c>
      <c r="J3030">
        <v>10.72</v>
      </c>
      <c r="K3030">
        <v>98</v>
      </c>
      <c r="L3030">
        <v>-40.03</v>
      </c>
      <c r="M3030">
        <v>86</v>
      </c>
      <c r="N3030">
        <v>13.11</v>
      </c>
      <c r="O3030">
        <v>88</v>
      </c>
      <c r="P3030">
        <v>2.2799999999999998</v>
      </c>
      <c r="Q3030">
        <v>95</v>
      </c>
      <c r="R3030">
        <v>0.17</v>
      </c>
      <c r="S3030">
        <v>85</v>
      </c>
      <c r="T3030">
        <v>10.35</v>
      </c>
      <c r="U3030">
        <v>91</v>
      </c>
      <c r="V3030">
        <v>-2.4</v>
      </c>
      <c r="W3030">
        <v>82</v>
      </c>
      <c r="X3030" t="s">
        <v>94</v>
      </c>
      <c r="Y3030" t="s">
        <v>95</v>
      </c>
      <c r="Z3030" t="s">
        <v>96</v>
      </c>
      <c r="AA3030" t="s">
        <v>2903</v>
      </c>
      <c r="AB3030" t="s">
        <v>10393</v>
      </c>
      <c r="AC3030">
        <v>225</v>
      </c>
      <c r="AD3030">
        <v>191</v>
      </c>
      <c r="AE3030">
        <v>98</v>
      </c>
      <c r="AF3030">
        <v>266.56</v>
      </c>
      <c r="AG3030">
        <v>1.82</v>
      </c>
      <c r="AH3030">
        <v>5.26</v>
      </c>
      <c r="AI3030">
        <v>-0.14000000000000001</v>
      </c>
      <c r="AJ3030">
        <v>-0.06</v>
      </c>
      <c r="AK3030">
        <v>86</v>
      </c>
      <c r="AL3030">
        <v>236</v>
      </c>
      <c r="AM3030">
        <v>189</v>
      </c>
      <c r="AN3030">
        <v>3.92</v>
      </c>
      <c r="AO3030">
        <v>0.75</v>
      </c>
      <c r="AP3030">
        <v>65</v>
      </c>
      <c r="AQ3030">
        <v>0</v>
      </c>
      <c r="AR3030">
        <v>6.89</v>
      </c>
      <c r="AS3030">
        <v>79</v>
      </c>
      <c r="AT3030">
        <v>3.2</v>
      </c>
      <c r="AU3030">
        <v>89</v>
      </c>
      <c r="AV3030">
        <v>-2.1800000000000002</v>
      </c>
      <c r="AW3030">
        <v>93</v>
      </c>
      <c r="AX3030">
        <v>-0.35</v>
      </c>
      <c r="AY3030">
        <v>89</v>
      </c>
      <c r="AZ3030">
        <v>8.42</v>
      </c>
      <c r="BA3030">
        <v>75</v>
      </c>
      <c r="BB3030">
        <v>5.59</v>
      </c>
      <c r="BC3030">
        <v>81</v>
      </c>
      <c r="BD3030">
        <v>0.03</v>
      </c>
      <c r="BE3030">
        <v>0.04</v>
      </c>
      <c r="BF3030">
        <v>-0.13</v>
      </c>
      <c r="BG3030">
        <v>94</v>
      </c>
      <c r="BH3030">
        <v>0.01</v>
      </c>
      <c r="BI3030">
        <v>8.91</v>
      </c>
      <c r="BJ3030">
        <v>29</v>
      </c>
      <c r="BK3030">
        <v>26</v>
      </c>
      <c r="BL3030">
        <v>-0.24</v>
      </c>
      <c r="BM3030">
        <v>1.04</v>
      </c>
      <c r="BN3030">
        <v>1.07</v>
      </c>
      <c r="BO3030">
        <v>-0.42</v>
      </c>
      <c r="BP3030">
        <v>1.91</v>
      </c>
      <c r="BQ3030">
        <v>-1.82</v>
      </c>
      <c r="BR3030">
        <v>-0.61</v>
      </c>
      <c r="BS3030">
        <v>-0.96</v>
      </c>
      <c r="BT3030">
        <v>0.5</v>
      </c>
      <c r="BU3030">
        <v>-0.23</v>
      </c>
      <c r="BV3030">
        <v>-1.1100000000000001</v>
      </c>
      <c r="BW3030">
        <v>-1.43</v>
      </c>
      <c r="BX3030">
        <v>-0.54</v>
      </c>
      <c r="BY3030">
        <v>-0.14000000000000001</v>
      </c>
      <c r="BZ3030">
        <v>1.38</v>
      </c>
      <c r="CA3030">
        <v>-1.1499999999999999</v>
      </c>
      <c r="CB3030">
        <v>-0.87</v>
      </c>
      <c r="CC3030">
        <v>-0.96</v>
      </c>
      <c r="CD3030">
        <v>1.1200000000000001</v>
      </c>
      <c r="CE3030">
        <v>-0.6</v>
      </c>
      <c r="CF3030">
        <v>-0.3</v>
      </c>
      <c r="CG3030">
        <v>0</v>
      </c>
      <c r="CH3030">
        <v>-0.36</v>
      </c>
      <c r="CI3030">
        <v>0</v>
      </c>
      <c r="CJ3030">
        <v>5</v>
      </c>
      <c r="CK3030">
        <v>95</v>
      </c>
      <c r="CL3030">
        <v>-0.51</v>
      </c>
      <c r="CM3030">
        <v>95</v>
      </c>
      <c r="CN3030">
        <v>-0.12</v>
      </c>
      <c r="CO3030">
        <v>94</v>
      </c>
      <c r="CP3030">
        <v>-5.0999999999999996</v>
      </c>
      <c r="CQ3030">
        <v>96</v>
      </c>
      <c r="CR3030">
        <v>0</v>
      </c>
      <c r="CS3030">
        <v>0</v>
      </c>
      <c r="CT3030">
        <v>-0.2</v>
      </c>
      <c r="CU3030">
        <v>91</v>
      </c>
      <c r="CV3030">
        <v>0.21</v>
      </c>
      <c r="CW3030">
        <v>45</v>
      </c>
      <c r="CX3030" t="s">
        <v>207</v>
      </c>
    </row>
    <row r="3031" spans="1:102" x14ac:dyDescent="0.3">
      <c r="A3031" t="str">
        <f>HYPERLINK("https://webapp.icbf.com/v2/app/bull-search/view/447211634","CUJ")</f>
        <v>CUJ</v>
      </c>
      <c r="B3031" t="s">
        <v>12053</v>
      </c>
      <c r="C3031" t="s">
        <v>12054</v>
      </c>
      <c r="D3031" s="1">
        <v>38751</v>
      </c>
      <c r="E3031" t="s">
        <v>92</v>
      </c>
      <c r="F3031">
        <v>91</v>
      </c>
      <c r="G3031" t="s">
        <v>116</v>
      </c>
      <c r="H3031">
        <v>-5.87</v>
      </c>
      <c r="I3031">
        <v>30</v>
      </c>
      <c r="J3031">
        <v>59.16</v>
      </c>
      <c r="K3031">
        <v>18</v>
      </c>
      <c r="L3031">
        <v>-70.459999999999994</v>
      </c>
      <c r="M3031">
        <v>30</v>
      </c>
      <c r="N3031">
        <v>3.89</v>
      </c>
      <c r="O3031">
        <v>40</v>
      </c>
      <c r="P3031">
        <v>-12.78</v>
      </c>
      <c r="Q3031">
        <v>60</v>
      </c>
      <c r="R3031">
        <v>-3.49</v>
      </c>
      <c r="S3031">
        <v>34</v>
      </c>
      <c r="T3031">
        <v>14.57</v>
      </c>
      <c r="U3031">
        <v>39</v>
      </c>
      <c r="V3031">
        <v>3.24</v>
      </c>
      <c r="W3031">
        <v>28</v>
      </c>
      <c r="X3031" t="s">
        <v>94</v>
      </c>
      <c r="Y3031" t="s">
        <v>1251</v>
      </c>
      <c r="Z3031" t="s">
        <v>96</v>
      </c>
      <c r="AA3031" t="s">
        <v>4760</v>
      </c>
      <c r="AB3031" t="s">
        <v>12055</v>
      </c>
      <c r="AC3031">
        <v>1</v>
      </c>
      <c r="AD3031">
        <v>1</v>
      </c>
      <c r="AE3031">
        <v>18</v>
      </c>
      <c r="AF3031">
        <v>62.59</v>
      </c>
      <c r="AG3031">
        <v>10.54</v>
      </c>
      <c r="AH3031">
        <v>7.29</v>
      </c>
      <c r="AI3031">
        <v>0.13</v>
      </c>
      <c r="AJ3031">
        <v>0.08</v>
      </c>
      <c r="AK3031">
        <v>30</v>
      </c>
      <c r="AL3031">
        <v>2</v>
      </c>
      <c r="AM3031">
        <v>2</v>
      </c>
      <c r="AN3031">
        <v>4.5199999999999996</v>
      </c>
      <c r="AO3031">
        <v>-1.0900000000000001</v>
      </c>
      <c r="AP3031">
        <v>2</v>
      </c>
      <c r="AQ3031">
        <v>3</v>
      </c>
      <c r="AR3031">
        <v>6.87</v>
      </c>
      <c r="AS3031">
        <v>27</v>
      </c>
      <c r="AT3031">
        <v>2.97</v>
      </c>
      <c r="AU3031">
        <v>32</v>
      </c>
      <c r="AV3031">
        <v>-0.83</v>
      </c>
      <c r="AW3031">
        <v>53</v>
      </c>
      <c r="AX3031">
        <v>-0.13</v>
      </c>
      <c r="AY3031">
        <v>36</v>
      </c>
      <c r="AZ3031">
        <v>7.34</v>
      </c>
      <c r="BA3031">
        <v>26</v>
      </c>
      <c r="BB3031">
        <v>5.9</v>
      </c>
      <c r="BC3031">
        <v>27</v>
      </c>
      <c r="BD3031">
        <v>-0.01</v>
      </c>
      <c r="BE3031">
        <v>0.03</v>
      </c>
      <c r="BF3031">
        <v>0.04</v>
      </c>
      <c r="BG3031">
        <v>38</v>
      </c>
      <c r="BH3031">
        <v>0.04</v>
      </c>
      <c r="BI3031">
        <v>-5.81</v>
      </c>
      <c r="BJ3031">
        <v>1</v>
      </c>
      <c r="BK3031">
        <v>1</v>
      </c>
      <c r="BL3031">
        <v>-0.05</v>
      </c>
      <c r="BM3031">
        <v>-0.75</v>
      </c>
      <c r="BN3031">
        <v>-0.62</v>
      </c>
      <c r="BO3031">
        <v>0.06</v>
      </c>
      <c r="BP3031">
        <v>-0.34</v>
      </c>
      <c r="BQ3031">
        <v>-0.89</v>
      </c>
      <c r="BR3031">
        <v>0.18</v>
      </c>
      <c r="BS3031">
        <v>-1.39</v>
      </c>
      <c r="BT3031">
        <v>-0.79</v>
      </c>
      <c r="BU3031">
        <v>-0.67</v>
      </c>
      <c r="BV3031">
        <v>-0.86</v>
      </c>
      <c r="BW3031">
        <v>-1.06</v>
      </c>
      <c r="BX3031">
        <v>-0.73</v>
      </c>
      <c r="BY3031">
        <v>-2.0099999999999998</v>
      </c>
      <c r="BZ3031">
        <v>1.5</v>
      </c>
      <c r="CA3031">
        <v>-1.02</v>
      </c>
      <c r="CB3031">
        <v>-0.85</v>
      </c>
      <c r="CC3031">
        <v>-1.01</v>
      </c>
      <c r="CD3031">
        <v>-0.87</v>
      </c>
      <c r="CE3031">
        <v>-0.22</v>
      </c>
      <c r="CF3031">
        <v>-0.76</v>
      </c>
      <c r="CG3031">
        <v>0</v>
      </c>
      <c r="CH3031">
        <v>-1.7</v>
      </c>
      <c r="CI3031">
        <v>0</v>
      </c>
      <c r="CJ3031">
        <v>-4.5</v>
      </c>
      <c r="CK3031">
        <v>64</v>
      </c>
      <c r="CL3031">
        <v>-0.39</v>
      </c>
      <c r="CM3031">
        <v>59</v>
      </c>
      <c r="CN3031">
        <v>0.12</v>
      </c>
      <c r="CO3031">
        <v>56</v>
      </c>
      <c r="CP3031">
        <v>-7.6</v>
      </c>
      <c r="CQ3031">
        <v>47</v>
      </c>
      <c r="CR3031">
        <v>0</v>
      </c>
      <c r="CS3031">
        <v>0</v>
      </c>
      <c r="CT3031">
        <v>-5.9</v>
      </c>
      <c r="CU3031">
        <v>39</v>
      </c>
      <c r="CV3031">
        <v>0.06</v>
      </c>
      <c r="CW3031">
        <v>17</v>
      </c>
      <c r="CX3031" t="s">
        <v>1390</v>
      </c>
    </row>
    <row r="3032" spans="1:102" x14ac:dyDescent="0.3">
      <c r="A3032" t="str">
        <f>HYPERLINK("https://webapp.icbf.com/v2/app/bull-search/view/764480837","S898")</f>
        <v>S898</v>
      </c>
      <c r="B3032" t="s">
        <v>1673</v>
      </c>
      <c r="C3032" t="s">
        <v>1674</v>
      </c>
      <c r="D3032" s="1">
        <v>38237</v>
      </c>
      <c r="E3032" t="s">
        <v>895</v>
      </c>
      <c r="F3032">
        <v>0</v>
      </c>
      <c r="G3032" t="s">
        <v>109</v>
      </c>
      <c r="H3032">
        <v>-6</v>
      </c>
      <c r="I3032">
        <v>50</v>
      </c>
      <c r="J3032">
        <v>-8.59</v>
      </c>
      <c r="K3032">
        <v>51</v>
      </c>
      <c r="L3032">
        <v>-30.72</v>
      </c>
      <c r="M3032">
        <v>44</v>
      </c>
      <c r="N3032">
        <v>14.4</v>
      </c>
      <c r="O3032">
        <v>62</v>
      </c>
      <c r="P3032">
        <v>-10.91</v>
      </c>
      <c r="Q3032">
        <v>73</v>
      </c>
      <c r="R3032">
        <v>2.96</v>
      </c>
      <c r="S3032">
        <v>39</v>
      </c>
      <c r="T3032">
        <v>29.96</v>
      </c>
      <c r="U3032">
        <v>60</v>
      </c>
      <c r="V3032">
        <v>-3.1</v>
      </c>
      <c r="W3032">
        <v>1</v>
      </c>
      <c r="X3032" t="s">
        <v>94</v>
      </c>
      <c r="Y3032" t="s">
        <v>303</v>
      </c>
      <c r="Z3032">
        <v>0</v>
      </c>
      <c r="AA3032" t="s">
        <v>1675</v>
      </c>
      <c r="AB3032" t="s">
        <v>1676</v>
      </c>
      <c r="AC3032">
        <v>0</v>
      </c>
      <c r="AD3032">
        <v>0</v>
      </c>
      <c r="AE3032">
        <v>51</v>
      </c>
      <c r="AF3032">
        <v>-44.35</v>
      </c>
      <c r="AG3032">
        <v>-3.9</v>
      </c>
      <c r="AH3032">
        <v>-0.76</v>
      </c>
      <c r="AI3032">
        <v>-0.04</v>
      </c>
      <c r="AJ3032">
        <v>0.01</v>
      </c>
      <c r="AK3032">
        <v>44</v>
      </c>
      <c r="AL3032">
        <v>38</v>
      </c>
      <c r="AM3032">
        <v>8</v>
      </c>
      <c r="AN3032">
        <v>4.01</v>
      </c>
      <c r="AO3032">
        <v>1.59</v>
      </c>
      <c r="AP3032">
        <v>52</v>
      </c>
      <c r="AQ3032">
        <v>0</v>
      </c>
      <c r="AR3032">
        <v>6.45</v>
      </c>
      <c r="AS3032">
        <v>40</v>
      </c>
      <c r="AT3032">
        <v>3.43</v>
      </c>
      <c r="AU3032">
        <v>54</v>
      </c>
      <c r="AV3032">
        <v>-1.1599999999999999</v>
      </c>
      <c r="AW3032">
        <v>89</v>
      </c>
      <c r="AX3032">
        <v>-0.51</v>
      </c>
      <c r="AY3032">
        <v>50</v>
      </c>
      <c r="AZ3032">
        <v>5.1100000000000003</v>
      </c>
      <c r="BA3032">
        <v>27</v>
      </c>
      <c r="BB3032">
        <v>4.67</v>
      </c>
      <c r="BC3032">
        <v>25</v>
      </c>
      <c r="BD3032">
        <v>0</v>
      </c>
      <c r="BE3032">
        <v>-0.02</v>
      </c>
      <c r="BF3032">
        <v>-0.03</v>
      </c>
      <c r="BG3032">
        <v>53</v>
      </c>
      <c r="BH3032">
        <v>-0.05</v>
      </c>
      <c r="BI3032">
        <v>4.22</v>
      </c>
      <c r="BJ3032">
        <v>0</v>
      </c>
      <c r="BK3032">
        <v>0</v>
      </c>
      <c r="BL3032">
        <v>0</v>
      </c>
      <c r="BM3032">
        <v>0</v>
      </c>
      <c r="BN3032">
        <v>0</v>
      </c>
      <c r="BO3032">
        <v>0</v>
      </c>
      <c r="BP3032">
        <v>0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-5</v>
      </c>
      <c r="CK3032">
        <v>77</v>
      </c>
      <c r="CL3032">
        <v>-0.5</v>
      </c>
      <c r="CM3032">
        <v>70</v>
      </c>
      <c r="CN3032">
        <v>-0.28999999999999998</v>
      </c>
      <c r="CO3032">
        <v>66</v>
      </c>
      <c r="CP3032">
        <v>-15</v>
      </c>
      <c r="CQ3032">
        <v>68</v>
      </c>
      <c r="CR3032">
        <v>0</v>
      </c>
      <c r="CS3032">
        <v>0</v>
      </c>
      <c r="CT3032">
        <v>-26.7</v>
      </c>
      <c r="CU3032">
        <v>60</v>
      </c>
      <c r="CV3032">
        <v>-0.02</v>
      </c>
      <c r="CW3032">
        <v>22</v>
      </c>
      <c r="CX3032" t="s">
        <v>1677</v>
      </c>
    </row>
    <row r="3033" spans="1:102" x14ac:dyDescent="0.3">
      <c r="A3033" t="str">
        <f>HYPERLINK("https://webapp.icbf.com/v2/app/bull-search/view/77856265","JAR")</f>
        <v>JAR</v>
      </c>
      <c r="B3033" t="s">
        <v>12404</v>
      </c>
      <c r="C3033" t="s">
        <v>12405</v>
      </c>
      <c r="D3033" s="1">
        <v>32132</v>
      </c>
      <c r="E3033" t="s">
        <v>108</v>
      </c>
      <c r="F3033">
        <v>22</v>
      </c>
      <c r="G3033" t="s">
        <v>93</v>
      </c>
      <c r="H3033">
        <v>-6</v>
      </c>
      <c r="I3033">
        <v>62</v>
      </c>
      <c r="J3033">
        <v>-27.51</v>
      </c>
      <c r="K3033">
        <v>81</v>
      </c>
      <c r="L3033">
        <v>8.74</v>
      </c>
      <c r="M3033">
        <v>48</v>
      </c>
      <c r="N3033">
        <v>15.26</v>
      </c>
      <c r="O3033">
        <v>51</v>
      </c>
      <c r="P3033">
        <v>-4.25</v>
      </c>
      <c r="Q3033">
        <v>72</v>
      </c>
      <c r="R3033">
        <v>-8.6300000000000008</v>
      </c>
      <c r="S3033">
        <v>51</v>
      </c>
      <c r="T3033">
        <v>14.64</v>
      </c>
      <c r="U3033">
        <v>68</v>
      </c>
      <c r="V3033">
        <v>-4.25</v>
      </c>
      <c r="W3033">
        <v>22</v>
      </c>
      <c r="X3033" t="s">
        <v>94</v>
      </c>
      <c r="Y3033" t="s">
        <v>95</v>
      </c>
      <c r="Z3033" t="s">
        <v>96</v>
      </c>
      <c r="AA3033" t="s">
        <v>851</v>
      </c>
      <c r="AB3033" t="s">
        <v>12406</v>
      </c>
      <c r="AC3033">
        <v>22</v>
      </c>
      <c r="AD3033">
        <v>15</v>
      </c>
      <c r="AE3033">
        <v>81</v>
      </c>
      <c r="AF3033">
        <v>69.05</v>
      </c>
      <c r="AG3033">
        <v>-7.75</v>
      </c>
      <c r="AH3033">
        <v>-0.88</v>
      </c>
      <c r="AI3033">
        <v>-0.17</v>
      </c>
      <c r="AJ3033">
        <v>-0.05</v>
      </c>
      <c r="AK3033">
        <v>48</v>
      </c>
      <c r="AL3033">
        <v>29</v>
      </c>
      <c r="AM3033">
        <v>21</v>
      </c>
      <c r="AN3033">
        <v>-1.81</v>
      </c>
      <c r="AO3033">
        <v>-1.1299999999999999</v>
      </c>
      <c r="AP3033">
        <v>14</v>
      </c>
      <c r="AQ3033">
        <v>0</v>
      </c>
      <c r="AR3033">
        <v>7.64</v>
      </c>
      <c r="AS3033">
        <v>17</v>
      </c>
      <c r="AT3033">
        <v>2.97</v>
      </c>
      <c r="AU3033">
        <v>44</v>
      </c>
      <c r="AV3033">
        <v>-0.97</v>
      </c>
      <c r="AW3033">
        <v>69</v>
      </c>
      <c r="AX3033">
        <v>-0.72</v>
      </c>
      <c r="AY3033">
        <v>59</v>
      </c>
      <c r="AZ3033">
        <v>5.7</v>
      </c>
      <c r="BA3033">
        <v>13</v>
      </c>
      <c r="BB3033">
        <v>4.29</v>
      </c>
      <c r="BC3033">
        <v>32</v>
      </c>
      <c r="BD3033">
        <v>0.08</v>
      </c>
      <c r="BE3033">
        <v>0.05</v>
      </c>
      <c r="BF3033">
        <v>-0.03</v>
      </c>
      <c r="BG3033">
        <v>66</v>
      </c>
      <c r="BH3033">
        <v>-0.08</v>
      </c>
      <c r="BI3033">
        <v>4.47</v>
      </c>
      <c r="BJ3033">
        <v>1</v>
      </c>
      <c r="BK3033">
        <v>1</v>
      </c>
      <c r="BL3033">
        <v>-2.3199999999999998</v>
      </c>
      <c r="BM3033">
        <v>1.23</v>
      </c>
      <c r="BN3033">
        <v>-1.45</v>
      </c>
      <c r="BO3033">
        <v>-2.0099999999999998</v>
      </c>
      <c r="BP3033">
        <v>0.59</v>
      </c>
      <c r="BQ3033">
        <v>-0.17</v>
      </c>
      <c r="BR3033">
        <v>-0.35</v>
      </c>
      <c r="BS3033">
        <v>0.03</v>
      </c>
      <c r="BT3033">
        <v>-0.69</v>
      </c>
      <c r="BU3033">
        <v>-1.59</v>
      </c>
      <c r="BV3033">
        <v>-1.82</v>
      </c>
      <c r="BW3033">
        <v>-2.13</v>
      </c>
      <c r="BX3033">
        <v>-1.74</v>
      </c>
      <c r="BY3033">
        <v>-2.06</v>
      </c>
      <c r="BZ3033">
        <v>-0.21</v>
      </c>
      <c r="CA3033">
        <v>-2.0099999999999998</v>
      </c>
      <c r="CB3033">
        <v>-1.93</v>
      </c>
      <c r="CC3033">
        <v>-1.31</v>
      </c>
      <c r="CD3033">
        <v>2.13</v>
      </c>
      <c r="CE3033">
        <v>-2.27</v>
      </c>
      <c r="CF3033">
        <v>-2.09</v>
      </c>
      <c r="CG3033">
        <v>0</v>
      </c>
      <c r="CH3033">
        <v>-1.66</v>
      </c>
      <c r="CI3033">
        <v>0</v>
      </c>
      <c r="CJ3033">
        <v>-0.8</v>
      </c>
      <c r="CK3033">
        <v>74</v>
      </c>
      <c r="CL3033">
        <v>-0.41</v>
      </c>
      <c r="CM3033">
        <v>70</v>
      </c>
      <c r="CN3033">
        <v>-0.19</v>
      </c>
      <c r="CO3033">
        <v>66</v>
      </c>
      <c r="CP3033">
        <v>-7.6</v>
      </c>
      <c r="CQ3033">
        <v>75</v>
      </c>
      <c r="CR3033">
        <v>0</v>
      </c>
      <c r="CS3033">
        <v>0</v>
      </c>
      <c r="CT3033">
        <v>-6</v>
      </c>
      <c r="CU3033">
        <v>68</v>
      </c>
      <c r="CV3033">
        <v>0.11</v>
      </c>
      <c r="CW3033">
        <v>20</v>
      </c>
      <c r="CX3033" t="s">
        <v>3182</v>
      </c>
    </row>
    <row r="3034" spans="1:102" x14ac:dyDescent="0.3">
      <c r="A3034" t="str">
        <f>HYPERLINK("https://webapp.icbf.com/v2/app/bull-search/view/77856172","LDH")</f>
        <v>LDH</v>
      </c>
      <c r="B3034" t="s">
        <v>14117</v>
      </c>
      <c r="C3034" t="s">
        <v>3635</v>
      </c>
      <c r="D3034" s="1">
        <v>31842</v>
      </c>
      <c r="E3034" t="s">
        <v>92</v>
      </c>
      <c r="F3034">
        <v>50</v>
      </c>
      <c r="G3034" t="s">
        <v>93</v>
      </c>
      <c r="H3034">
        <v>-6.01</v>
      </c>
      <c r="I3034">
        <v>93</v>
      </c>
      <c r="J3034">
        <v>-49.65</v>
      </c>
      <c r="K3034">
        <v>99</v>
      </c>
      <c r="L3034">
        <v>44.73</v>
      </c>
      <c r="M3034">
        <v>91</v>
      </c>
      <c r="N3034">
        <v>4.0999999999999996</v>
      </c>
      <c r="O3034">
        <v>89</v>
      </c>
      <c r="P3034">
        <v>-10</v>
      </c>
      <c r="Q3034">
        <v>97</v>
      </c>
      <c r="R3034">
        <v>-0.64</v>
      </c>
      <c r="S3034">
        <v>85</v>
      </c>
      <c r="T3034">
        <v>6.94</v>
      </c>
      <c r="U3034">
        <v>95</v>
      </c>
      <c r="V3034">
        <v>-1.49</v>
      </c>
      <c r="W3034">
        <v>72</v>
      </c>
      <c r="X3034" t="s">
        <v>94</v>
      </c>
      <c r="Y3034" t="s">
        <v>95</v>
      </c>
      <c r="Z3034" t="s">
        <v>96</v>
      </c>
      <c r="AA3034" t="s">
        <v>2543</v>
      </c>
      <c r="AB3034" t="s">
        <v>818</v>
      </c>
      <c r="AC3034">
        <v>579</v>
      </c>
      <c r="AD3034">
        <v>408</v>
      </c>
      <c r="AE3034">
        <v>99</v>
      </c>
      <c r="AF3034">
        <v>-228.53</v>
      </c>
      <c r="AG3034">
        <v>-8.74</v>
      </c>
      <c r="AH3034">
        <v>-8.85</v>
      </c>
      <c r="AI3034">
        <v>0</v>
      </c>
      <c r="AJ3034">
        <v>-0.02</v>
      </c>
      <c r="AK3034">
        <v>91</v>
      </c>
      <c r="AL3034">
        <v>1277</v>
      </c>
      <c r="AM3034">
        <v>763</v>
      </c>
      <c r="AN3034">
        <v>-3</v>
      </c>
      <c r="AO3034">
        <v>0.56000000000000005</v>
      </c>
      <c r="AP3034">
        <v>21</v>
      </c>
      <c r="AQ3034">
        <v>0</v>
      </c>
      <c r="AR3034">
        <v>8.0500000000000007</v>
      </c>
      <c r="AS3034">
        <v>69</v>
      </c>
      <c r="AT3034">
        <v>2.92</v>
      </c>
      <c r="AU3034">
        <v>89</v>
      </c>
      <c r="AV3034">
        <v>-0.73</v>
      </c>
      <c r="AW3034">
        <v>94</v>
      </c>
      <c r="AX3034">
        <v>0.06</v>
      </c>
      <c r="AY3034">
        <v>95</v>
      </c>
      <c r="AZ3034">
        <v>6.23</v>
      </c>
      <c r="BA3034">
        <v>69</v>
      </c>
      <c r="BB3034">
        <v>5.49</v>
      </c>
      <c r="BC3034">
        <v>88</v>
      </c>
      <c r="BD3034">
        <v>0.01</v>
      </c>
      <c r="BE3034">
        <v>0.02</v>
      </c>
      <c r="BF3034">
        <v>-0.04</v>
      </c>
      <c r="BG3034">
        <v>99</v>
      </c>
      <c r="BH3034">
        <v>-0.14000000000000001</v>
      </c>
      <c r="BI3034">
        <v>-11.38</v>
      </c>
      <c r="BJ3034">
        <v>64</v>
      </c>
      <c r="BK3034">
        <v>52</v>
      </c>
      <c r="BL3034">
        <v>-1.33</v>
      </c>
      <c r="BM3034">
        <v>1.17</v>
      </c>
      <c r="BN3034">
        <v>-0.89</v>
      </c>
      <c r="BO3034">
        <v>-1.42</v>
      </c>
      <c r="BP3034">
        <v>-1.21</v>
      </c>
      <c r="BQ3034">
        <v>-0.35</v>
      </c>
      <c r="BR3034">
        <v>-1.19</v>
      </c>
      <c r="BS3034">
        <v>-0.84</v>
      </c>
      <c r="BT3034">
        <v>0.51</v>
      </c>
      <c r="BU3034">
        <v>-0.32</v>
      </c>
      <c r="BV3034">
        <v>-0.96</v>
      </c>
      <c r="BW3034">
        <v>-1.81</v>
      </c>
      <c r="BX3034">
        <v>-1.07</v>
      </c>
      <c r="BY3034">
        <v>-1.03</v>
      </c>
      <c r="BZ3034">
        <v>-0.62</v>
      </c>
      <c r="CA3034">
        <v>-0.38</v>
      </c>
      <c r="CB3034">
        <v>-0.57999999999999996</v>
      </c>
      <c r="CC3034">
        <v>0.14000000000000001</v>
      </c>
      <c r="CD3034">
        <v>1.22</v>
      </c>
      <c r="CE3034">
        <v>-1.34</v>
      </c>
      <c r="CF3034">
        <v>-0.47</v>
      </c>
      <c r="CG3034">
        <v>0</v>
      </c>
      <c r="CH3034">
        <v>-1.25</v>
      </c>
      <c r="CI3034">
        <v>0</v>
      </c>
      <c r="CJ3034">
        <v>-3</v>
      </c>
      <c r="CK3034">
        <v>97</v>
      </c>
      <c r="CL3034">
        <v>-0.39</v>
      </c>
      <c r="CM3034">
        <v>96</v>
      </c>
      <c r="CN3034">
        <v>0.05</v>
      </c>
      <c r="CO3034">
        <v>96</v>
      </c>
      <c r="CP3034">
        <v>-8.3000000000000007</v>
      </c>
      <c r="CQ3034">
        <v>97</v>
      </c>
      <c r="CR3034">
        <v>0</v>
      </c>
      <c r="CS3034">
        <v>0</v>
      </c>
      <c r="CT3034">
        <v>4.4000000000000004</v>
      </c>
      <c r="CU3034">
        <v>95</v>
      </c>
      <c r="CV3034">
        <v>0.1</v>
      </c>
      <c r="CW3034">
        <v>28</v>
      </c>
      <c r="CX3034" t="s">
        <v>819</v>
      </c>
    </row>
    <row r="3035" spans="1:102" x14ac:dyDescent="0.3">
      <c r="A3035" t="str">
        <f>HYPERLINK("https://webapp.icbf.com/v2/app/bull-search/view/137158340","LIX")</f>
        <v>LIX</v>
      </c>
      <c r="B3035" t="s">
        <v>14834</v>
      </c>
      <c r="C3035" t="s">
        <v>14835</v>
      </c>
      <c r="D3035" s="1">
        <v>35485</v>
      </c>
      <c r="E3035" t="s">
        <v>92</v>
      </c>
      <c r="F3035">
        <v>100</v>
      </c>
      <c r="G3035" t="s">
        <v>93</v>
      </c>
      <c r="H3035">
        <v>-6.03</v>
      </c>
      <c r="I3035">
        <v>96</v>
      </c>
      <c r="J3035">
        <v>43.59</v>
      </c>
      <c r="K3035">
        <v>99</v>
      </c>
      <c r="L3035">
        <v>-70.680000000000007</v>
      </c>
      <c r="M3035">
        <v>94</v>
      </c>
      <c r="N3035">
        <v>26.84</v>
      </c>
      <c r="O3035">
        <v>95</v>
      </c>
      <c r="P3035">
        <v>4.41</v>
      </c>
      <c r="Q3035">
        <v>99</v>
      </c>
      <c r="R3035">
        <v>-9.35</v>
      </c>
      <c r="S3035">
        <v>92</v>
      </c>
      <c r="T3035">
        <v>10.27</v>
      </c>
      <c r="U3035">
        <v>98</v>
      </c>
      <c r="V3035">
        <v>-11.11</v>
      </c>
      <c r="W3035">
        <v>93</v>
      </c>
      <c r="X3035" t="s">
        <v>102</v>
      </c>
      <c r="Y3035" t="s">
        <v>95</v>
      </c>
      <c r="Z3035" t="s">
        <v>96</v>
      </c>
      <c r="AA3035" t="s">
        <v>188</v>
      </c>
      <c r="AB3035" t="s">
        <v>14836</v>
      </c>
      <c r="AC3035">
        <v>597</v>
      </c>
      <c r="AD3035">
        <v>214</v>
      </c>
      <c r="AE3035">
        <v>99</v>
      </c>
      <c r="AF3035">
        <v>250.69</v>
      </c>
      <c r="AG3035">
        <v>3.59</v>
      </c>
      <c r="AH3035">
        <v>9.98</v>
      </c>
      <c r="AI3035">
        <v>-0.1</v>
      </c>
      <c r="AJ3035">
        <v>0.03</v>
      </c>
      <c r="AK3035">
        <v>94</v>
      </c>
      <c r="AL3035">
        <v>679</v>
      </c>
      <c r="AM3035">
        <v>261</v>
      </c>
      <c r="AN3035">
        <v>3.6</v>
      </c>
      <c r="AO3035">
        <v>-2.04</v>
      </c>
      <c r="AP3035">
        <v>999</v>
      </c>
      <c r="AQ3035">
        <v>3</v>
      </c>
      <c r="AR3035">
        <v>5.04</v>
      </c>
      <c r="AS3035">
        <v>97</v>
      </c>
      <c r="AT3035">
        <v>2.2799999999999998</v>
      </c>
      <c r="AU3035">
        <v>95</v>
      </c>
      <c r="AV3035">
        <v>-2.5299999999999998</v>
      </c>
      <c r="AW3035">
        <v>98</v>
      </c>
      <c r="AX3035">
        <v>-0.61</v>
      </c>
      <c r="AY3035">
        <v>96</v>
      </c>
      <c r="AZ3035">
        <v>7.18</v>
      </c>
      <c r="BA3035">
        <v>89</v>
      </c>
      <c r="BB3035">
        <v>6.14</v>
      </c>
      <c r="BC3035">
        <v>90</v>
      </c>
      <c r="BD3035">
        <v>0</v>
      </c>
      <c r="BE3035">
        <v>0.05</v>
      </c>
      <c r="BF3035">
        <v>0.12</v>
      </c>
      <c r="BG3035">
        <v>97</v>
      </c>
      <c r="BH3035">
        <v>-0.05</v>
      </c>
      <c r="BI3035">
        <v>30.04</v>
      </c>
      <c r="BJ3035">
        <v>86</v>
      </c>
      <c r="BK3035">
        <v>38</v>
      </c>
      <c r="BL3035">
        <v>0.3</v>
      </c>
      <c r="BM3035">
        <v>-1.43</v>
      </c>
      <c r="BN3035">
        <v>-0.75</v>
      </c>
      <c r="BO3035">
        <v>0.82</v>
      </c>
      <c r="BP3035">
        <v>-0.06</v>
      </c>
      <c r="BQ3035">
        <v>0.01</v>
      </c>
      <c r="BR3035">
        <v>-7.0000000000000007E-2</v>
      </c>
      <c r="BS3035">
        <v>2.72</v>
      </c>
      <c r="BT3035">
        <v>0.45</v>
      </c>
      <c r="BU3035">
        <v>0.46</v>
      </c>
      <c r="BV3035">
        <v>0.73</v>
      </c>
      <c r="BW3035">
        <v>0.61</v>
      </c>
      <c r="BX3035">
        <v>-0.68</v>
      </c>
      <c r="BY3035">
        <v>1.56</v>
      </c>
      <c r="BZ3035">
        <v>-0.3</v>
      </c>
      <c r="CA3035">
        <v>1.1399999999999999</v>
      </c>
      <c r="CB3035">
        <v>0.6</v>
      </c>
      <c r="CC3035">
        <v>1.56</v>
      </c>
      <c r="CD3035">
        <v>-1.27</v>
      </c>
      <c r="CE3035">
        <v>1</v>
      </c>
      <c r="CF3035">
        <v>-0.01</v>
      </c>
      <c r="CG3035">
        <v>0</v>
      </c>
      <c r="CH3035">
        <v>1.62</v>
      </c>
      <c r="CI3035">
        <v>0</v>
      </c>
      <c r="CJ3035">
        <v>3.7</v>
      </c>
      <c r="CK3035">
        <v>99</v>
      </c>
      <c r="CL3035">
        <v>-0.52</v>
      </c>
      <c r="CM3035">
        <v>99</v>
      </c>
      <c r="CN3035">
        <v>-0.41</v>
      </c>
      <c r="CO3035">
        <v>98</v>
      </c>
      <c r="CP3035">
        <v>-0.9</v>
      </c>
      <c r="CQ3035">
        <v>98</v>
      </c>
      <c r="CR3035">
        <v>0</v>
      </c>
      <c r="CS3035">
        <v>0</v>
      </c>
      <c r="CT3035">
        <v>-0.1</v>
      </c>
      <c r="CU3035">
        <v>98</v>
      </c>
      <c r="CV3035">
        <v>0.14000000000000001</v>
      </c>
      <c r="CW3035">
        <v>46</v>
      </c>
      <c r="CX3035" t="s">
        <v>265</v>
      </c>
    </row>
    <row r="3036" spans="1:102" x14ac:dyDescent="0.3">
      <c r="A3036" t="str">
        <f>HYPERLINK("https://webapp.icbf.com/v2/app/bull-search/view/349445266","RTZ")</f>
        <v>RTZ</v>
      </c>
      <c r="B3036" t="s">
        <v>11685</v>
      </c>
      <c r="C3036" t="s">
        <v>11686</v>
      </c>
      <c r="D3036" s="1">
        <v>37295</v>
      </c>
      <c r="E3036" t="s">
        <v>108</v>
      </c>
      <c r="F3036">
        <v>0</v>
      </c>
      <c r="G3036" t="s">
        <v>93</v>
      </c>
      <c r="H3036">
        <v>-6.07</v>
      </c>
      <c r="I3036">
        <v>96</v>
      </c>
      <c r="J3036">
        <v>-25.93</v>
      </c>
      <c r="K3036">
        <v>99</v>
      </c>
      <c r="L3036">
        <v>18.27</v>
      </c>
      <c r="M3036">
        <v>92</v>
      </c>
      <c r="N3036">
        <v>8.01</v>
      </c>
      <c r="O3036">
        <v>97</v>
      </c>
      <c r="P3036">
        <v>-9.81</v>
      </c>
      <c r="Q3036">
        <v>99</v>
      </c>
      <c r="R3036">
        <v>-12.23</v>
      </c>
      <c r="S3036">
        <v>95</v>
      </c>
      <c r="T3036">
        <v>17.010000000000002</v>
      </c>
      <c r="U3036">
        <v>98</v>
      </c>
      <c r="V3036">
        <v>-1.39</v>
      </c>
      <c r="W3036">
        <v>97</v>
      </c>
      <c r="X3036" t="s">
        <v>102</v>
      </c>
      <c r="Y3036" t="s">
        <v>2565</v>
      </c>
      <c r="Z3036" t="s">
        <v>96</v>
      </c>
      <c r="AA3036" t="s">
        <v>11687</v>
      </c>
      <c r="AB3036" t="s">
        <v>11688</v>
      </c>
      <c r="AC3036">
        <v>618</v>
      </c>
      <c r="AD3036">
        <v>248</v>
      </c>
      <c r="AE3036">
        <v>99</v>
      </c>
      <c r="AF3036">
        <v>-369.21</v>
      </c>
      <c r="AG3036">
        <v>-10.32</v>
      </c>
      <c r="AH3036">
        <v>-6.41</v>
      </c>
      <c r="AI3036">
        <v>0.08</v>
      </c>
      <c r="AJ3036">
        <v>0.11</v>
      </c>
      <c r="AK3036">
        <v>92</v>
      </c>
      <c r="AL3036">
        <v>802</v>
      </c>
      <c r="AM3036">
        <v>336</v>
      </c>
      <c r="AN3036">
        <v>-2.2999999999999998</v>
      </c>
      <c r="AO3036">
        <v>-0.86</v>
      </c>
      <c r="AP3036">
        <v>1327</v>
      </c>
      <c r="AQ3036">
        <v>3</v>
      </c>
      <c r="AR3036">
        <v>5.29</v>
      </c>
      <c r="AS3036">
        <v>97</v>
      </c>
      <c r="AT3036">
        <v>2.31</v>
      </c>
      <c r="AU3036">
        <v>97</v>
      </c>
      <c r="AV3036">
        <v>-1.58</v>
      </c>
      <c r="AW3036">
        <v>99</v>
      </c>
      <c r="AX3036">
        <v>-0.73</v>
      </c>
      <c r="AY3036">
        <v>97</v>
      </c>
      <c r="AZ3036">
        <v>9.8699999999999992</v>
      </c>
      <c r="BA3036">
        <v>91</v>
      </c>
      <c r="BB3036">
        <v>7.05</v>
      </c>
      <c r="BC3036">
        <v>92</v>
      </c>
      <c r="BD3036">
        <v>0.08</v>
      </c>
      <c r="BE3036">
        <v>0.02</v>
      </c>
      <c r="BF3036">
        <v>0.11</v>
      </c>
      <c r="BG3036">
        <v>98</v>
      </c>
      <c r="BH3036">
        <v>-0.15</v>
      </c>
      <c r="BI3036">
        <v>-12.88</v>
      </c>
      <c r="BJ3036">
        <v>59</v>
      </c>
      <c r="BK3036">
        <v>33</v>
      </c>
      <c r="BL3036">
        <v>-3.19</v>
      </c>
      <c r="BM3036">
        <v>1.71</v>
      </c>
      <c r="BN3036">
        <v>-2.5</v>
      </c>
      <c r="BO3036">
        <v>-2.98</v>
      </c>
      <c r="BP3036">
        <v>-1.42</v>
      </c>
      <c r="BQ3036">
        <v>0.97</v>
      </c>
      <c r="BR3036">
        <v>-2.13</v>
      </c>
      <c r="BS3036">
        <v>-0.3</v>
      </c>
      <c r="BT3036">
        <v>0.08</v>
      </c>
      <c r="BU3036">
        <v>-3.39</v>
      </c>
      <c r="BV3036">
        <v>-3.39</v>
      </c>
      <c r="BW3036">
        <v>-3.36</v>
      </c>
      <c r="BX3036">
        <v>-2.0699999999999998</v>
      </c>
      <c r="BY3036">
        <v>-1.9</v>
      </c>
      <c r="BZ3036">
        <v>0.13</v>
      </c>
      <c r="CA3036">
        <v>-3.19</v>
      </c>
      <c r="CB3036">
        <v>-3.33</v>
      </c>
      <c r="CC3036">
        <v>-1.5</v>
      </c>
      <c r="CD3036">
        <v>2.23</v>
      </c>
      <c r="CE3036">
        <v>-2.9</v>
      </c>
      <c r="CF3036">
        <v>-2.44</v>
      </c>
      <c r="CG3036">
        <v>0</v>
      </c>
      <c r="CH3036">
        <v>-1.94</v>
      </c>
      <c r="CI3036">
        <v>0</v>
      </c>
      <c r="CJ3036">
        <v>-6.3</v>
      </c>
      <c r="CK3036">
        <v>99</v>
      </c>
      <c r="CL3036">
        <v>-0.09</v>
      </c>
      <c r="CM3036">
        <v>99</v>
      </c>
      <c r="CN3036">
        <v>-0.14000000000000001</v>
      </c>
      <c r="CO3036">
        <v>99</v>
      </c>
      <c r="CP3036">
        <v>-12.2</v>
      </c>
      <c r="CQ3036">
        <v>99</v>
      </c>
      <c r="CR3036">
        <v>0</v>
      </c>
      <c r="CS3036">
        <v>0</v>
      </c>
      <c r="CT3036">
        <v>-9.1999999999999993</v>
      </c>
      <c r="CU3036">
        <v>98</v>
      </c>
      <c r="CV3036">
        <v>-0.03</v>
      </c>
      <c r="CW3036">
        <v>46</v>
      </c>
      <c r="CX3036" t="s">
        <v>11689</v>
      </c>
    </row>
    <row r="3037" spans="1:102" x14ac:dyDescent="0.3">
      <c r="A3037" t="str">
        <f>HYPERLINK("https://webapp.icbf.com/v2/app/bull-search/view/69092194","MAI")</f>
        <v>MAI</v>
      </c>
      <c r="B3037" t="s">
        <v>7989</v>
      </c>
      <c r="C3037" t="s">
        <v>7990</v>
      </c>
      <c r="D3037" s="1">
        <v>35068</v>
      </c>
      <c r="E3037" t="s">
        <v>108</v>
      </c>
      <c r="F3037">
        <v>0</v>
      </c>
      <c r="G3037" t="s">
        <v>116</v>
      </c>
      <c r="H3037">
        <v>-6.22</v>
      </c>
      <c r="I3037">
        <v>27</v>
      </c>
      <c r="J3037">
        <v>-33.57</v>
      </c>
      <c r="K3037">
        <v>24</v>
      </c>
      <c r="L3037">
        <v>44.97</v>
      </c>
      <c r="M3037">
        <v>27</v>
      </c>
      <c r="N3037">
        <v>-12.06</v>
      </c>
      <c r="O3037">
        <v>26</v>
      </c>
      <c r="P3037">
        <v>-15.88</v>
      </c>
      <c r="Q3037">
        <v>37</v>
      </c>
      <c r="R3037">
        <v>-8.61</v>
      </c>
      <c r="S3037">
        <v>27</v>
      </c>
      <c r="T3037">
        <v>18.64</v>
      </c>
      <c r="U3037">
        <v>30</v>
      </c>
      <c r="V3037">
        <v>0.28999999999999998</v>
      </c>
      <c r="W3037">
        <v>25</v>
      </c>
      <c r="X3037" t="s">
        <v>102</v>
      </c>
      <c r="Y3037" t="s">
        <v>95</v>
      </c>
      <c r="Z3037">
        <v>0</v>
      </c>
      <c r="AA3037" t="s">
        <v>3865</v>
      </c>
      <c r="AB3037" t="s">
        <v>7991</v>
      </c>
      <c r="AC3037">
        <v>1</v>
      </c>
      <c r="AD3037">
        <v>2</v>
      </c>
      <c r="AE3037">
        <v>24</v>
      </c>
      <c r="AF3037">
        <v>-302.39</v>
      </c>
      <c r="AG3037">
        <v>-7.85</v>
      </c>
      <c r="AH3037">
        <v>-7.56</v>
      </c>
      <c r="AI3037">
        <v>7.0000000000000007E-2</v>
      </c>
      <c r="AJ3037">
        <v>0.05</v>
      </c>
      <c r="AK3037">
        <v>27</v>
      </c>
      <c r="AL3037">
        <v>1</v>
      </c>
      <c r="AM3037">
        <v>1</v>
      </c>
      <c r="AN3037">
        <v>-2.93</v>
      </c>
      <c r="AO3037">
        <v>0.65</v>
      </c>
      <c r="AP3037">
        <v>0</v>
      </c>
      <c r="AQ3037">
        <v>1</v>
      </c>
      <c r="AR3037">
        <v>8.0500000000000007</v>
      </c>
      <c r="AS3037">
        <v>23</v>
      </c>
      <c r="AT3037">
        <v>3.47</v>
      </c>
      <c r="AU3037">
        <v>26</v>
      </c>
      <c r="AV3037">
        <v>0.28999999999999998</v>
      </c>
      <c r="AW3037">
        <v>27</v>
      </c>
      <c r="AX3037">
        <v>-0.18</v>
      </c>
      <c r="AY3037">
        <v>31</v>
      </c>
      <c r="AZ3037">
        <v>6.29</v>
      </c>
      <c r="BA3037">
        <v>23</v>
      </c>
      <c r="BB3037">
        <v>6.16</v>
      </c>
      <c r="BC3037">
        <v>26</v>
      </c>
      <c r="BD3037">
        <v>0.09</v>
      </c>
      <c r="BE3037">
        <v>0.02</v>
      </c>
      <c r="BF3037">
        <v>0.01</v>
      </c>
      <c r="BG3037">
        <v>29</v>
      </c>
      <c r="BH3037">
        <v>0.08</v>
      </c>
      <c r="BI3037">
        <v>8.31</v>
      </c>
      <c r="BJ3037">
        <v>0</v>
      </c>
      <c r="BK3037">
        <v>0</v>
      </c>
      <c r="BL3037">
        <v>-2.4500000000000002</v>
      </c>
      <c r="BM3037">
        <v>1.45</v>
      </c>
      <c r="BN3037">
        <v>-2.5299999999999998</v>
      </c>
      <c r="BO3037">
        <v>-2.76</v>
      </c>
      <c r="BP3037">
        <v>-1.1299999999999999</v>
      </c>
      <c r="BQ3037">
        <v>1.58</v>
      </c>
      <c r="BR3037">
        <v>-1.78</v>
      </c>
      <c r="BS3037">
        <v>0.14000000000000001</v>
      </c>
      <c r="BT3037">
        <v>0.36</v>
      </c>
      <c r="BU3037">
        <v>-2.74</v>
      </c>
      <c r="BV3037">
        <v>-3.18</v>
      </c>
      <c r="BW3037">
        <v>-2.09</v>
      </c>
      <c r="BX3037">
        <v>-1.94</v>
      </c>
      <c r="BY3037">
        <v>-0.84</v>
      </c>
      <c r="BZ3037">
        <v>0.04</v>
      </c>
      <c r="CA3037">
        <v>-2.19</v>
      </c>
      <c r="CB3037">
        <v>-2.56</v>
      </c>
      <c r="CC3037">
        <v>-0.75</v>
      </c>
      <c r="CD3037">
        <v>2.82</v>
      </c>
      <c r="CE3037">
        <v>-2.4500000000000002</v>
      </c>
      <c r="CF3037">
        <v>-1.39</v>
      </c>
      <c r="CG3037">
        <v>0</v>
      </c>
      <c r="CH3037">
        <v>-1.06</v>
      </c>
      <c r="CI3037">
        <v>0</v>
      </c>
      <c r="CJ3037">
        <v>-7.1</v>
      </c>
      <c r="CK3037">
        <v>39</v>
      </c>
      <c r="CL3037">
        <v>-0.22</v>
      </c>
      <c r="CM3037">
        <v>35</v>
      </c>
      <c r="CN3037">
        <v>0.19</v>
      </c>
      <c r="CO3037">
        <v>34</v>
      </c>
      <c r="CP3037">
        <v>-10.6</v>
      </c>
      <c r="CQ3037">
        <v>33</v>
      </c>
      <c r="CR3037">
        <v>0</v>
      </c>
      <c r="CS3037">
        <v>0</v>
      </c>
      <c r="CT3037">
        <v>-11.4</v>
      </c>
      <c r="CU3037">
        <v>30</v>
      </c>
      <c r="CV3037">
        <v>-0.03</v>
      </c>
      <c r="CW3037">
        <v>11</v>
      </c>
      <c r="CX3037" t="s">
        <v>7992</v>
      </c>
    </row>
    <row r="3038" spans="1:102" x14ac:dyDescent="0.3">
      <c r="A3038" t="str">
        <f>HYPERLINK("https://webapp.icbf.com/v2/app/bull-search/view/139188057","MCZ")</f>
        <v>MCZ</v>
      </c>
      <c r="B3038" t="s">
        <v>1020</v>
      </c>
      <c r="C3038" t="s">
        <v>1021</v>
      </c>
      <c r="D3038" s="1">
        <v>35323</v>
      </c>
      <c r="E3038" t="s">
        <v>140</v>
      </c>
      <c r="F3038">
        <v>0</v>
      </c>
      <c r="G3038" t="s">
        <v>109</v>
      </c>
      <c r="H3038">
        <v>-6.26</v>
      </c>
      <c r="I3038">
        <v>65</v>
      </c>
      <c r="J3038">
        <v>-9.84</v>
      </c>
      <c r="K3038">
        <v>76</v>
      </c>
      <c r="L3038">
        <v>29.18</v>
      </c>
      <c r="M3038">
        <v>51</v>
      </c>
      <c r="N3038">
        <v>-48.32</v>
      </c>
      <c r="O3038">
        <v>65</v>
      </c>
      <c r="P3038">
        <v>5.89</v>
      </c>
      <c r="Q3038">
        <v>84</v>
      </c>
      <c r="R3038">
        <v>0.28999999999999998</v>
      </c>
      <c r="S3038">
        <v>53</v>
      </c>
      <c r="T3038">
        <v>30.25</v>
      </c>
      <c r="U3038">
        <v>78</v>
      </c>
      <c r="V3038">
        <v>-13.71</v>
      </c>
      <c r="W3038">
        <v>40</v>
      </c>
      <c r="X3038" t="s">
        <v>94</v>
      </c>
      <c r="Y3038" t="s">
        <v>95</v>
      </c>
      <c r="Z3038">
        <v>0</v>
      </c>
      <c r="AA3038" t="s">
        <v>1022</v>
      </c>
      <c r="AB3038" t="s">
        <v>1023</v>
      </c>
      <c r="AC3038">
        <v>0</v>
      </c>
      <c r="AD3038">
        <v>0</v>
      </c>
      <c r="AE3038">
        <v>76</v>
      </c>
      <c r="AF3038">
        <v>113.44</v>
      </c>
      <c r="AG3038">
        <v>2.2400000000000002</v>
      </c>
      <c r="AH3038">
        <v>-0.73</v>
      </c>
      <c r="AI3038">
        <v>-0.04</v>
      </c>
      <c r="AJ3038">
        <v>-0.08</v>
      </c>
      <c r="AK3038">
        <v>51</v>
      </c>
      <c r="AL3038">
        <v>27</v>
      </c>
      <c r="AM3038">
        <v>17</v>
      </c>
      <c r="AN3038">
        <v>-2.13</v>
      </c>
      <c r="AO3038">
        <v>0.19</v>
      </c>
      <c r="AP3038">
        <v>46</v>
      </c>
      <c r="AQ3038">
        <v>0</v>
      </c>
      <c r="AR3038">
        <v>11.98</v>
      </c>
      <c r="AS3038">
        <v>51</v>
      </c>
      <c r="AT3038">
        <v>6.13</v>
      </c>
      <c r="AU3038">
        <v>62</v>
      </c>
      <c r="AV3038">
        <v>0.48</v>
      </c>
      <c r="AW3038">
        <v>80</v>
      </c>
      <c r="AX3038">
        <v>-0.32</v>
      </c>
      <c r="AY3038">
        <v>66</v>
      </c>
      <c r="AZ3038">
        <v>5.41</v>
      </c>
      <c r="BA3038">
        <v>35</v>
      </c>
      <c r="BB3038">
        <v>4.28</v>
      </c>
      <c r="BC3038">
        <v>43</v>
      </c>
      <c r="BD3038">
        <v>0.02</v>
      </c>
      <c r="BE3038">
        <v>0</v>
      </c>
      <c r="BF3038">
        <v>-0.04</v>
      </c>
      <c r="BG3038">
        <v>64</v>
      </c>
      <c r="BH3038">
        <v>-0.3</v>
      </c>
      <c r="BI3038">
        <v>9.5299999999999994</v>
      </c>
      <c r="BJ3038">
        <v>0</v>
      </c>
      <c r="BK3038">
        <v>0</v>
      </c>
      <c r="BL3038">
        <v>-0.88</v>
      </c>
      <c r="BM3038">
        <v>3.8</v>
      </c>
      <c r="BN3038">
        <v>-1.63</v>
      </c>
      <c r="BO3038">
        <v>-3.18</v>
      </c>
      <c r="BP3038">
        <v>4.51</v>
      </c>
      <c r="BQ3038">
        <v>-2.19</v>
      </c>
      <c r="BR3038">
        <v>-2.74</v>
      </c>
      <c r="BS3038">
        <v>-0.11</v>
      </c>
      <c r="BT3038">
        <v>2.74</v>
      </c>
      <c r="BU3038">
        <v>-3.68</v>
      </c>
      <c r="BV3038">
        <v>-4.0199999999999996</v>
      </c>
      <c r="BW3038">
        <v>-3.07</v>
      </c>
      <c r="BX3038">
        <v>-3.22</v>
      </c>
      <c r="BY3038">
        <v>-1.89</v>
      </c>
      <c r="BZ3038">
        <v>1.1399999999999999</v>
      </c>
      <c r="CA3038">
        <v>-2.52</v>
      </c>
      <c r="CB3038">
        <v>-3.33</v>
      </c>
      <c r="CC3038">
        <v>-0.18</v>
      </c>
      <c r="CD3038">
        <v>4.1900000000000004</v>
      </c>
      <c r="CE3038">
        <v>-3.19</v>
      </c>
      <c r="CF3038">
        <v>-1.0900000000000001</v>
      </c>
      <c r="CG3038">
        <v>0</v>
      </c>
      <c r="CH3038">
        <v>-3.07</v>
      </c>
      <c r="CI3038">
        <v>0</v>
      </c>
      <c r="CJ3038">
        <v>1.2</v>
      </c>
      <c r="CK3038">
        <v>86</v>
      </c>
      <c r="CL3038">
        <v>-0.08</v>
      </c>
      <c r="CM3038">
        <v>84</v>
      </c>
      <c r="CN3038">
        <v>-0.54</v>
      </c>
      <c r="CO3038">
        <v>82</v>
      </c>
      <c r="CP3038">
        <v>-8.4</v>
      </c>
      <c r="CQ3038">
        <v>79</v>
      </c>
      <c r="CR3038">
        <v>0</v>
      </c>
      <c r="CS3038">
        <v>0</v>
      </c>
      <c r="CT3038">
        <v>-27.1</v>
      </c>
      <c r="CU3038">
        <v>78</v>
      </c>
      <c r="CV3038">
        <v>-0.08</v>
      </c>
      <c r="CW3038">
        <v>24</v>
      </c>
      <c r="CX3038" t="s">
        <v>224</v>
      </c>
    </row>
    <row r="3039" spans="1:102" x14ac:dyDescent="0.3">
      <c r="A3039" t="str">
        <f>HYPERLINK("https://webapp.icbf.com/v2/app/bull-search/view/757217445","S890")</f>
        <v>S890</v>
      </c>
      <c r="B3039" t="s">
        <v>12712</v>
      </c>
      <c r="C3039" t="s">
        <v>6543</v>
      </c>
      <c r="D3039" s="1">
        <v>37747</v>
      </c>
      <c r="E3039" t="s">
        <v>197</v>
      </c>
      <c r="F3039">
        <v>0</v>
      </c>
      <c r="G3039" t="s">
        <v>116</v>
      </c>
      <c r="H3039">
        <v>-6.34</v>
      </c>
      <c r="I3039">
        <v>41</v>
      </c>
      <c r="J3039">
        <v>-27.77</v>
      </c>
      <c r="K3039">
        <v>58</v>
      </c>
      <c r="L3039">
        <v>62.92</v>
      </c>
      <c r="M3039">
        <v>22</v>
      </c>
      <c r="N3039">
        <v>-59.25</v>
      </c>
      <c r="O3039">
        <v>49</v>
      </c>
      <c r="P3039">
        <v>8.85</v>
      </c>
      <c r="Q3039">
        <v>71</v>
      </c>
      <c r="R3039">
        <v>-5.67</v>
      </c>
      <c r="S3039">
        <v>24</v>
      </c>
      <c r="T3039">
        <v>16.489999999999998</v>
      </c>
      <c r="U3039">
        <v>34</v>
      </c>
      <c r="V3039">
        <v>-1.91</v>
      </c>
      <c r="W3039">
        <v>17</v>
      </c>
      <c r="X3039" t="s">
        <v>198</v>
      </c>
      <c r="Y3039" t="s">
        <v>303</v>
      </c>
      <c r="Z3039">
        <v>0</v>
      </c>
      <c r="AA3039" t="s">
        <v>12713</v>
      </c>
      <c r="AB3039" t="s">
        <v>12714</v>
      </c>
      <c r="AC3039">
        <v>6</v>
      </c>
      <c r="AD3039">
        <v>2</v>
      </c>
      <c r="AE3039">
        <v>58</v>
      </c>
      <c r="AF3039">
        <v>-237.15</v>
      </c>
      <c r="AG3039">
        <v>-5.07</v>
      </c>
      <c r="AH3039">
        <v>-6.56</v>
      </c>
      <c r="AI3039">
        <v>7.0000000000000007E-2</v>
      </c>
      <c r="AJ3039">
        <v>0.03</v>
      </c>
      <c r="AK3039">
        <v>22</v>
      </c>
      <c r="AL3039">
        <v>9</v>
      </c>
      <c r="AM3039">
        <v>3</v>
      </c>
      <c r="AN3039">
        <v>-4.84</v>
      </c>
      <c r="AO3039">
        <v>0.16</v>
      </c>
      <c r="AP3039">
        <v>24</v>
      </c>
      <c r="AQ3039">
        <v>0</v>
      </c>
      <c r="AR3039">
        <v>8.52</v>
      </c>
      <c r="AS3039">
        <v>12</v>
      </c>
      <c r="AT3039">
        <v>7.19</v>
      </c>
      <c r="AU3039">
        <v>43</v>
      </c>
      <c r="AV3039">
        <v>1.94</v>
      </c>
      <c r="AW3039">
        <v>76</v>
      </c>
      <c r="AX3039">
        <v>0.99</v>
      </c>
      <c r="AY3039">
        <v>38</v>
      </c>
      <c r="AZ3039">
        <v>5.37</v>
      </c>
      <c r="BA3039">
        <v>13</v>
      </c>
      <c r="BB3039">
        <v>3.2</v>
      </c>
      <c r="BC3039">
        <v>12</v>
      </c>
      <c r="BD3039">
        <v>0.02</v>
      </c>
      <c r="BE3039">
        <v>0.03</v>
      </c>
      <c r="BF3039">
        <v>0.04</v>
      </c>
      <c r="BG3039">
        <v>28</v>
      </c>
      <c r="BH3039">
        <v>-0.12</v>
      </c>
      <c r="BI3039">
        <v>-7.71</v>
      </c>
      <c r="BJ3039">
        <v>0</v>
      </c>
      <c r="BK3039">
        <v>0</v>
      </c>
      <c r="BL3039">
        <v>0</v>
      </c>
      <c r="BM3039">
        <v>0</v>
      </c>
      <c r="BN3039"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3.5</v>
      </c>
      <c r="CK3039">
        <v>76</v>
      </c>
      <c r="CL3039">
        <v>0.09</v>
      </c>
      <c r="CM3039">
        <v>71</v>
      </c>
      <c r="CN3039">
        <v>-0.3</v>
      </c>
      <c r="CO3039">
        <v>69</v>
      </c>
      <c r="CP3039">
        <v>-2.8</v>
      </c>
      <c r="CQ3039">
        <v>40</v>
      </c>
      <c r="CR3039">
        <v>0</v>
      </c>
      <c r="CS3039">
        <v>0</v>
      </c>
      <c r="CT3039">
        <v>-8.5</v>
      </c>
      <c r="CU3039">
        <v>34</v>
      </c>
      <c r="CV3039">
        <v>-0.05</v>
      </c>
      <c r="CW3039">
        <v>20</v>
      </c>
      <c r="CX3039" t="s">
        <v>200</v>
      </c>
    </row>
    <row r="3040" spans="1:102" x14ac:dyDescent="0.3">
      <c r="A3040" t="str">
        <f>HYPERLINK("https://webapp.icbf.com/v2/app/bull-search/view/444505762","SUW")</f>
        <v>SUW</v>
      </c>
      <c r="B3040" t="s">
        <v>12056</v>
      </c>
      <c r="C3040" t="s">
        <v>12057</v>
      </c>
      <c r="D3040" s="1">
        <v>37006</v>
      </c>
      <c r="E3040" t="s">
        <v>92</v>
      </c>
      <c r="F3040">
        <v>100</v>
      </c>
      <c r="G3040" t="s">
        <v>93</v>
      </c>
      <c r="H3040">
        <v>-6.5</v>
      </c>
      <c r="I3040">
        <v>97</v>
      </c>
      <c r="J3040">
        <v>76.02</v>
      </c>
      <c r="K3040">
        <v>99</v>
      </c>
      <c r="L3040">
        <v>-67.900000000000006</v>
      </c>
      <c r="M3040">
        <v>95</v>
      </c>
      <c r="N3040">
        <v>8.0399999999999991</v>
      </c>
      <c r="O3040">
        <v>98</v>
      </c>
      <c r="P3040">
        <v>-9.33</v>
      </c>
      <c r="Q3040">
        <v>99</v>
      </c>
      <c r="R3040">
        <v>1.59</v>
      </c>
      <c r="S3040">
        <v>97</v>
      </c>
      <c r="T3040">
        <v>3.17</v>
      </c>
      <c r="U3040">
        <v>99</v>
      </c>
      <c r="V3040">
        <v>-18.09</v>
      </c>
      <c r="W3040">
        <v>97</v>
      </c>
      <c r="X3040" t="s">
        <v>94</v>
      </c>
      <c r="Y3040" t="s">
        <v>1208</v>
      </c>
      <c r="Z3040" t="s">
        <v>96</v>
      </c>
      <c r="AA3040" t="s">
        <v>311</v>
      </c>
      <c r="AB3040" t="s">
        <v>12058</v>
      </c>
      <c r="AC3040">
        <v>1742</v>
      </c>
      <c r="AD3040">
        <v>442</v>
      </c>
      <c r="AE3040">
        <v>99</v>
      </c>
      <c r="AF3040">
        <v>470.3</v>
      </c>
      <c r="AG3040">
        <v>10.82</v>
      </c>
      <c r="AH3040">
        <v>16.3</v>
      </c>
      <c r="AI3040">
        <v>-0.12</v>
      </c>
      <c r="AJ3040">
        <v>0.01</v>
      </c>
      <c r="AK3040">
        <v>95</v>
      </c>
      <c r="AL3040">
        <v>1718</v>
      </c>
      <c r="AM3040">
        <v>490</v>
      </c>
      <c r="AN3040">
        <v>4.0599999999999996</v>
      </c>
      <c r="AO3040">
        <v>-1.35</v>
      </c>
      <c r="AP3040">
        <v>3240</v>
      </c>
      <c r="AQ3040">
        <v>1</v>
      </c>
      <c r="AR3040">
        <v>8.24</v>
      </c>
      <c r="AS3040">
        <v>97</v>
      </c>
      <c r="AT3040">
        <v>3.5</v>
      </c>
      <c r="AU3040">
        <v>99</v>
      </c>
      <c r="AV3040">
        <v>-1.53</v>
      </c>
      <c r="AW3040">
        <v>99</v>
      </c>
      <c r="AX3040">
        <v>0.01</v>
      </c>
      <c r="AY3040">
        <v>98</v>
      </c>
      <c r="AZ3040">
        <v>5.48</v>
      </c>
      <c r="BA3040">
        <v>95</v>
      </c>
      <c r="BB3040">
        <v>5.07</v>
      </c>
      <c r="BC3040">
        <v>95</v>
      </c>
      <c r="BD3040">
        <v>-0.04</v>
      </c>
      <c r="BE3040">
        <v>0</v>
      </c>
      <c r="BF3040">
        <v>0.03</v>
      </c>
      <c r="BG3040">
        <v>99</v>
      </c>
      <c r="BH3040">
        <v>-0.27</v>
      </c>
      <c r="BI3040">
        <v>27.11</v>
      </c>
      <c r="BJ3040">
        <v>482</v>
      </c>
      <c r="BK3040">
        <v>144</v>
      </c>
      <c r="BL3040">
        <v>1.42</v>
      </c>
      <c r="BM3040">
        <v>-1.18</v>
      </c>
      <c r="BN3040">
        <v>0.83</v>
      </c>
      <c r="BO3040">
        <v>1.58</v>
      </c>
      <c r="BP3040">
        <v>0.44</v>
      </c>
      <c r="BQ3040">
        <v>1.61</v>
      </c>
      <c r="BR3040">
        <v>4.08</v>
      </c>
      <c r="BS3040">
        <v>-0.78</v>
      </c>
      <c r="BT3040">
        <v>-3.09</v>
      </c>
      <c r="BU3040">
        <v>0.98</v>
      </c>
      <c r="BV3040">
        <v>1.53</v>
      </c>
      <c r="BW3040">
        <v>0.91</v>
      </c>
      <c r="BX3040">
        <v>0.65</v>
      </c>
      <c r="BY3040">
        <v>-0.73</v>
      </c>
      <c r="BZ3040">
        <v>1.31</v>
      </c>
      <c r="CA3040">
        <v>0.75</v>
      </c>
      <c r="CB3040">
        <v>0.94</v>
      </c>
      <c r="CC3040">
        <v>0.1</v>
      </c>
      <c r="CD3040">
        <v>-1.7</v>
      </c>
      <c r="CE3040">
        <v>1.45</v>
      </c>
      <c r="CF3040">
        <v>1.46</v>
      </c>
      <c r="CG3040">
        <v>0</v>
      </c>
      <c r="CH3040">
        <v>-0.74</v>
      </c>
      <c r="CI3040">
        <v>0</v>
      </c>
      <c r="CJ3040">
        <v>-2.7</v>
      </c>
      <c r="CK3040">
        <v>99</v>
      </c>
      <c r="CL3040">
        <v>-1.22</v>
      </c>
      <c r="CM3040">
        <v>99</v>
      </c>
      <c r="CN3040">
        <v>-0.62</v>
      </c>
      <c r="CO3040">
        <v>99</v>
      </c>
      <c r="CP3040">
        <v>-1.8</v>
      </c>
      <c r="CQ3040">
        <v>99</v>
      </c>
      <c r="CR3040">
        <v>0</v>
      </c>
      <c r="CS3040">
        <v>0</v>
      </c>
      <c r="CT3040">
        <v>9.5</v>
      </c>
      <c r="CU3040">
        <v>99</v>
      </c>
      <c r="CV3040">
        <v>0.27</v>
      </c>
      <c r="CW3040">
        <v>46</v>
      </c>
      <c r="CX3040" t="s">
        <v>596</v>
      </c>
    </row>
    <row r="3041" spans="1:102" x14ac:dyDescent="0.3">
      <c r="A3041" t="str">
        <f>HYPERLINK("https://webapp.icbf.com/v2/app/bull-search/view/516049858","DZT")</f>
        <v>DZT</v>
      </c>
      <c r="B3041" t="s">
        <v>1322</v>
      </c>
      <c r="C3041" t="s">
        <v>1323</v>
      </c>
      <c r="D3041" s="1">
        <v>37482</v>
      </c>
      <c r="E3041" t="s">
        <v>92</v>
      </c>
      <c r="F3041">
        <v>100</v>
      </c>
      <c r="G3041" t="s">
        <v>93</v>
      </c>
      <c r="H3041">
        <v>-6.52</v>
      </c>
      <c r="I3041">
        <v>94</v>
      </c>
      <c r="J3041">
        <v>-0.67</v>
      </c>
      <c r="K3041">
        <v>99</v>
      </c>
      <c r="L3041">
        <v>-22.39</v>
      </c>
      <c r="M3041">
        <v>91</v>
      </c>
      <c r="N3041">
        <v>8.2899999999999991</v>
      </c>
      <c r="O3041">
        <v>92</v>
      </c>
      <c r="P3041">
        <v>-9.0500000000000007</v>
      </c>
      <c r="Q3041">
        <v>96</v>
      </c>
      <c r="R3041">
        <v>13.22</v>
      </c>
      <c r="S3041">
        <v>86</v>
      </c>
      <c r="T3041">
        <v>2.4300000000000002</v>
      </c>
      <c r="U3041">
        <v>93</v>
      </c>
      <c r="V3041">
        <v>1.65</v>
      </c>
      <c r="W3041">
        <v>82</v>
      </c>
      <c r="X3041" t="s">
        <v>251</v>
      </c>
      <c r="Y3041" t="s">
        <v>221</v>
      </c>
      <c r="Z3041" t="s">
        <v>96</v>
      </c>
      <c r="AA3041" t="s">
        <v>311</v>
      </c>
      <c r="AB3041" t="s">
        <v>1324</v>
      </c>
      <c r="AC3041">
        <v>309</v>
      </c>
      <c r="AD3041">
        <v>135</v>
      </c>
      <c r="AE3041">
        <v>99</v>
      </c>
      <c r="AF3041">
        <v>162.43</v>
      </c>
      <c r="AG3041">
        <v>-0.9</v>
      </c>
      <c r="AH3041">
        <v>2.69</v>
      </c>
      <c r="AI3041">
        <v>-0.12</v>
      </c>
      <c r="AJ3041">
        <v>-0.05</v>
      </c>
      <c r="AK3041">
        <v>91</v>
      </c>
      <c r="AL3041">
        <v>261</v>
      </c>
      <c r="AM3041">
        <v>119</v>
      </c>
      <c r="AN3041">
        <v>0.09</v>
      </c>
      <c r="AO3041">
        <v>-1.71</v>
      </c>
      <c r="AP3041">
        <v>559</v>
      </c>
      <c r="AQ3041">
        <v>0</v>
      </c>
      <c r="AR3041">
        <v>9.48</v>
      </c>
      <c r="AS3041">
        <v>93</v>
      </c>
      <c r="AT3041">
        <v>3.83</v>
      </c>
      <c r="AU3041">
        <v>92</v>
      </c>
      <c r="AV3041">
        <v>-2.98</v>
      </c>
      <c r="AW3041">
        <v>98</v>
      </c>
      <c r="AX3041">
        <v>0.49</v>
      </c>
      <c r="AY3041">
        <v>93</v>
      </c>
      <c r="AZ3041">
        <v>6.24</v>
      </c>
      <c r="BA3041">
        <v>81</v>
      </c>
      <c r="BB3041">
        <v>5.43</v>
      </c>
      <c r="BC3041">
        <v>78</v>
      </c>
      <c r="BD3041">
        <v>-0.06</v>
      </c>
      <c r="BE3041">
        <v>-0.06</v>
      </c>
      <c r="BF3041">
        <v>-0.09</v>
      </c>
      <c r="BG3041">
        <v>94</v>
      </c>
      <c r="BH3041">
        <v>0.01</v>
      </c>
      <c r="BI3041">
        <v>-4.16</v>
      </c>
      <c r="BJ3041">
        <v>177</v>
      </c>
      <c r="BK3041">
        <v>78</v>
      </c>
      <c r="BL3041">
        <v>1.8</v>
      </c>
      <c r="BM3041">
        <v>-0.72</v>
      </c>
      <c r="BN3041">
        <v>0.31</v>
      </c>
      <c r="BO3041">
        <v>0.73</v>
      </c>
      <c r="BP3041">
        <v>0.09</v>
      </c>
      <c r="BQ3041">
        <v>1.49</v>
      </c>
      <c r="BR3041">
        <v>-1.1100000000000001</v>
      </c>
      <c r="BS3041">
        <v>0.32</v>
      </c>
      <c r="BT3041">
        <v>1.92</v>
      </c>
      <c r="BU3041">
        <v>2.12</v>
      </c>
      <c r="BV3041">
        <v>1.9</v>
      </c>
      <c r="BW3041">
        <v>2.91</v>
      </c>
      <c r="BX3041">
        <v>3.02</v>
      </c>
      <c r="BY3041">
        <v>1.43</v>
      </c>
      <c r="BZ3041">
        <v>-0.18</v>
      </c>
      <c r="CA3041">
        <v>1.8</v>
      </c>
      <c r="CB3041">
        <v>1.66</v>
      </c>
      <c r="CC3041">
        <v>1.18</v>
      </c>
      <c r="CD3041">
        <v>-0.49</v>
      </c>
      <c r="CE3041">
        <v>0.5</v>
      </c>
      <c r="CF3041">
        <v>0.65</v>
      </c>
      <c r="CG3041">
        <v>0</v>
      </c>
      <c r="CH3041">
        <v>2.1800000000000002</v>
      </c>
      <c r="CI3041">
        <v>0</v>
      </c>
      <c r="CJ3041">
        <v>-2.7</v>
      </c>
      <c r="CK3041">
        <v>97</v>
      </c>
      <c r="CL3041">
        <v>-1.35</v>
      </c>
      <c r="CM3041">
        <v>96</v>
      </c>
      <c r="CN3041">
        <v>-0.74</v>
      </c>
      <c r="CO3041">
        <v>95</v>
      </c>
      <c r="CP3041">
        <v>-0.4</v>
      </c>
      <c r="CQ3041">
        <v>96</v>
      </c>
      <c r="CR3041">
        <v>0</v>
      </c>
      <c r="CS3041">
        <v>0</v>
      </c>
      <c r="CT3041">
        <v>10.5</v>
      </c>
      <c r="CU3041">
        <v>93</v>
      </c>
      <c r="CV3041">
        <v>0.34</v>
      </c>
      <c r="CW3041">
        <v>29</v>
      </c>
      <c r="CX3041" t="s">
        <v>1325</v>
      </c>
    </row>
    <row r="3042" spans="1:102" x14ac:dyDescent="0.3">
      <c r="A3042" t="str">
        <f>HYPERLINK("https://webapp.icbf.com/v2/app/bull-search/view/514001092","RPG")</f>
        <v>RPG</v>
      </c>
      <c r="B3042" t="s">
        <v>14430</v>
      </c>
      <c r="C3042" t="s">
        <v>14431</v>
      </c>
      <c r="D3042" s="1">
        <v>36614</v>
      </c>
      <c r="E3042" t="s">
        <v>140</v>
      </c>
      <c r="F3042">
        <v>0</v>
      </c>
      <c r="G3042" t="s">
        <v>109</v>
      </c>
      <c r="H3042">
        <v>-6.73</v>
      </c>
      <c r="I3042">
        <v>57</v>
      </c>
      <c r="J3042">
        <v>-30.37</v>
      </c>
      <c r="K3042">
        <v>75</v>
      </c>
      <c r="L3042">
        <v>26.95</v>
      </c>
      <c r="M3042">
        <v>36</v>
      </c>
      <c r="N3042">
        <v>-36.32</v>
      </c>
      <c r="O3042">
        <v>58</v>
      </c>
      <c r="P3042">
        <v>24.58</v>
      </c>
      <c r="Q3042">
        <v>77</v>
      </c>
      <c r="R3042">
        <v>7.02</v>
      </c>
      <c r="S3042">
        <v>40</v>
      </c>
      <c r="T3042">
        <v>6.5</v>
      </c>
      <c r="U3042">
        <v>64</v>
      </c>
      <c r="V3042">
        <v>-5.09</v>
      </c>
      <c r="W3042">
        <v>30</v>
      </c>
      <c r="X3042" t="s">
        <v>94</v>
      </c>
      <c r="Y3042" t="s">
        <v>221</v>
      </c>
      <c r="Z3042">
        <v>0</v>
      </c>
      <c r="AA3042" t="s">
        <v>295</v>
      </c>
      <c r="AB3042" t="s">
        <v>14432</v>
      </c>
      <c r="AC3042">
        <v>0</v>
      </c>
      <c r="AD3042">
        <v>0</v>
      </c>
      <c r="AE3042">
        <v>75</v>
      </c>
      <c r="AF3042">
        <v>-44.04</v>
      </c>
      <c r="AG3042">
        <v>-8.9600000000000009</v>
      </c>
      <c r="AH3042">
        <v>-2.67</v>
      </c>
      <c r="AI3042">
        <v>-0.12</v>
      </c>
      <c r="AJ3042">
        <v>-0.02</v>
      </c>
      <c r="AK3042">
        <v>36</v>
      </c>
      <c r="AL3042">
        <v>10</v>
      </c>
      <c r="AM3042">
        <v>5</v>
      </c>
      <c r="AN3042">
        <v>-2.16</v>
      </c>
      <c r="AO3042">
        <v>-0.02</v>
      </c>
      <c r="AP3042">
        <v>33</v>
      </c>
      <c r="AQ3042">
        <v>1</v>
      </c>
      <c r="AR3042">
        <v>9.16</v>
      </c>
      <c r="AS3042">
        <v>24</v>
      </c>
      <c r="AT3042">
        <v>5.05</v>
      </c>
      <c r="AU3042">
        <v>52</v>
      </c>
      <c r="AV3042">
        <v>2.31</v>
      </c>
      <c r="AW3042">
        <v>82</v>
      </c>
      <c r="AX3042">
        <v>0.7</v>
      </c>
      <c r="AY3042">
        <v>49</v>
      </c>
      <c r="AZ3042">
        <v>4.43</v>
      </c>
      <c r="BA3042">
        <v>22</v>
      </c>
      <c r="BB3042">
        <v>3.64</v>
      </c>
      <c r="BC3042">
        <v>27</v>
      </c>
      <c r="BD3042">
        <v>0.01</v>
      </c>
      <c r="BE3042">
        <v>-0.02</v>
      </c>
      <c r="BF3042">
        <v>-0.14000000000000001</v>
      </c>
      <c r="BG3042">
        <v>48</v>
      </c>
      <c r="BH3042">
        <v>-0.22</v>
      </c>
      <c r="BI3042">
        <v>-9.02</v>
      </c>
      <c r="BJ3042">
        <v>0</v>
      </c>
      <c r="BK3042">
        <v>0</v>
      </c>
      <c r="BL3042">
        <v>-0.7</v>
      </c>
      <c r="BM3042">
        <v>3.69</v>
      </c>
      <c r="BN3042">
        <v>-1.59</v>
      </c>
      <c r="BO3042">
        <v>-3.01</v>
      </c>
      <c r="BP3042">
        <v>4.25</v>
      </c>
      <c r="BQ3042">
        <v>-2.0099999999999998</v>
      </c>
      <c r="BR3042">
        <v>-2.82</v>
      </c>
      <c r="BS3042">
        <v>-0.21</v>
      </c>
      <c r="BT3042">
        <v>2.62</v>
      </c>
      <c r="BU3042">
        <v>-3.55</v>
      </c>
      <c r="BV3042">
        <v>-4.01</v>
      </c>
      <c r="BW3042">
        <v>-3.01</v>
      </c>
      <c r="BX3042">
        <v>-2.94</v>
      </c>
      <c r="BY3042">
        <v>-1.95</v>
      </c>
      <c r="BZ3042">
        <v>1.1000000000000001</v>
      </c>
      <c r="CA3042">
        <v>-2.57</v>
      </c>
      <c r="CB3042">
        <v>-3.29</v>
      </c>
      <c r="CC3042">
        <v>-0.39</v>
      </c>
      <c r="CD3042">
        <v>4.03</v>
      </c>
      <c r="CE3042">
        <v>-3.03</v>
      </c>
      <c r="CF3042">
        <v>-0.84</v>
      </c>
      <c r="CG3042">
        <v>0</v>
      </c>
      <c r="CH3042">
        <v>-2.79</v>
      </c>
      <c r="CI3042">
        <v>0</v>
      </c>
      <c r="CJ3042">
        <v>11.9</v>
      </c>
      <c r="CK3042">
        <v>80</v>
      </c>
      <c r="CL3042">
        <v>0.22</v>
      </c>
      <c r="CM3042">
        <v>76</v>
      </c>
      <c r="CN3042">
        <v>-0.39</v>
      </c>
      <c r="CO3042">
        <v>74</v>
      </c>
      <c r="CP3042">
        <v>8.8000000000000007</v>
      </c>
      <c r="CQ3042">
        <v>64</v>
      </c>
      <c r="CR3042">
        <v>0</v>
      </c>
      <c r="CS3042">
        <v>0</v>
      </c>
      <c r="CT3042">
        <v>5</v>
      </c>
      <c r="CU3042">
        <v>64</v>
      </c>
      <c r="CV3042">
        <v>0.05</v>
      </c>
      <c r="CW3042">
        <v>22</v>
      </c>
      <c r="CX3042" t="s">
        <v>2937</v>
      </c>
    </row>
    <row r="3043" spans="1:102" x14ac:dyDescent="0.3">
      <c r="A3043" t="str">
        <f>HYPERLINK("https://webapp.icbf.com/v2/app/bull-search/view/77859508","BBX")</f>
        <v>BBX</v>
      </c>
      <c r="B3043" t="s">
        <v>14089</v>
      </c>
      <c r="C3043" t="s">
        <v>14090</v>
      </c>
      <c r="D3043" s="1">
        <v>31710</v>
      </c>
      <c r="E3043" t="s">
        <v>92</v>
      </c>
      <c r="F3043">
        <v>97</v>
      </c>
      <c r="G3043" t="s">
        <v>93</v>
      </c>
      <c r="H3043">
        <v>-6.74</v>
      </c>
      <c r="I3043">
        <v>93</v>
      </c>
      <c r="J3043">
        <v>-8.14</v>
      </c>
      <c r="K3043">
        <v>98</v>
      </c>
      <c r="L3043">
        <v>-7.92</v>
      </c>
      <c r="M3043">
        <v>92</v>
      </c>
      <c r="N3043">
        <v>1.54</v>
      </c>
      <c r="O3043">
        <v>87</v>
      </c>
      <c r="P3043">
        <v>6.48</v>
      </c>
      <c r="Q3043">
        <v>96</v>
      </c>
      <c r="R3043">
        <v>-6.6</v>
      </c>
      <c r="S3043">
        <v>85</v>
      </c>
      <c r="T3043">
        <v>10.42</v>
      </c>
      <c r="U3043">
        <v>92</v>
      </c>
      <c r="V3043">
        <v>-2.52</v>
      </c>
      <c r="W3043">
        <v>73</v>
      </c>
      <c r="X3043" t="s">
        <v>94</v>
      </c>
      <c r="Y3043" t="s">
        <v>95</v>
      </c>
      <c r="Z3043" t="s">
        <v>96</v>
      </c>
      <c r="AA3043" t="s">
        <v>154</v>
      </c>
      <c r="AB3043" t="s">
        <v>14091</v>
      </c>
      <c r="AC3043">
        <v>272</v>
      </c>
      <c r="AD3043">
        <v>177</v>
      </c>
      <c r="AE3043">
        <v>98</v>
      </c>
      <c r="AF3043">
        <v>-81.05</v>
      </c>
      <c r="AG3043">
        <v>4.62</v>
      </c>
      <c r="AH3043">
        <v>-4.26</v>
      </c>
      <c r="AI3043">
        <v>0.14000000000000001</v>
      </c>
      <c r="AJ3043">
        <v>-0.03</v>
      </c>
      <c r="AK3043">
        <v>92</v>
      </c>
      <c r="AL3043">
        <v>371</v>
      </c>
      <c r="AM3043">
        <v>210</v>
      </c>
      <c r="AN3043">
        <v>0.57999999999999996</v>
      </c>
      <c r="AO3043">
        <v>-0.05</v>
      </c>
      <c r="AP3043">
        <v>32</v>
      </c>
      <c r="AQ3043">
        <v>191</v>
      </c>
      <c r="AR3043">
        <v>5.91</v>
      </c>
      <c r="AS3043">
        <v>68</v>
      </c>
      <c r="AT3043">
        <v>3.32</v>
      </c>
      <c r="AU3043">
        <v>87</v>
      </c>
      <c r="AV3043">
        <v>0.39</v>
      </c>
      <c r="AW3043">
        <v>93</v>
      </c>
      <c r="AX3043">
        <v>-0.13</v>
      </c>
      <c r="AY3043">
        <v>93</v>
      </c>
      <c r="AZ3043">
        <v>6.61</v>
      </c>
      <c r="BA3043">
        <v>67</v>
      </c>
      <c r="BB3043">
        <v>4.6100000000000003</v>
      </c>
      <c r="BC3043">
        <v>82</v>
      </c>
      <c r="BD3043">
        <v>0.04</v>
      </c>
      <c r="BE3043">
        <v>0.05</v>
      </c>
      <c r="BF3043">
        <v>-0.01</v>
      </c>
      <c r="BG3043">
        <v>97</v>
      </c>
      <c r="BH3043">
        <v>0.1</v>
      </c>
      <c r="BI3043">
        <v>19.690000000000001</v>
      </c>
      <c r="BJ3043">
        <v>31</v>
      </c>
      <c r="BK3043">
        <v>27</v>
      </c>
      <c r="BL3043">
        <v>0.73</v>
      </c>
      <c r="BM3043">
        <v>1.27</v>
      </c>
      <c r="BN3043">
        <v>1.23</v>
      </c>
      <c r="BO3043">
        <v>-7.0000000000000007E-2</v>
      </c>
      <c r="BP3043">
        <v>-0.52</v>
      </c>
      <c r="BQ3043">
        <v>-0.47</v>
      </c>
      <c r="BR3043">
        <v>-0.59</v>
      </c>
      <c r="BS3043">
        <v>2.06</v>
      </c>
      <c r="BT3043">
        <v>0.69</v>
      </c>
      <c r="BU3043">
        <v>0.35</v>
      </c>
      <c r="BV3043">
        <v>-0.05</v>
      </c>
      <c r="BW3043">
        <v>0.74</v>
      </c>
      <c r="BX3043">
        <v>0.98</v>
      </c>
      <c r="BY3043">
        <v>-0.04</v>
      </c>
      <c r="BZ3043">
        <v>1.3</v>
      </c>
      <c r="CA3043">
        <v>0.77</v>
      </c>
      <c r="CB3043">
        <v>0.22</v>
      </c>
      <c r="CC3043">
        <v>1.42</v>
      </c>
      <c r="CD3043">
        <v>0.74</v>
      </c>
      <c r="CE3043">
        <v>-7.0000000000000007E-2</v>
      </c>
      <c r="CF3043">
        <v>0.6</v>
      </c>
      <c r="CG3043">
        <v>0</v>
      </c>
      <c r="CH3043">
        <v>0.3</v>
      </c>
      <c r="CI3043">
        <v>0</v>
      </c>
      <c r="CJ3043">
        <v>0.4</v>
      </c>
      <c r="CK3043">
        <v>96</v>
      </c>
      <c r="CL3043">
        <v>-0.1</v>
      </c>
      <c r="CM3043">
        <v>95</v>
      </c>
      <c r="CN3043">
        <v>-0.56999999999999995</v>
      </c>
      <c r="CO3043">
        <v>95</v>
      </c>
      <c r="CP3043">
        <v>1.9</v>
      </c>
      <c r="CQ3043">
        <v>95</v>
      </c>
      <c r="CR3043">
        <v>0</v>
      </c>
      <c r="CS3043">
        <v>0</v>
      </c>
      <c r="CT3043">
        <v>-0.3</v>
      </c>
      <c r="CU3043">
        <v>92</v>
      </c>
      <c r="CV3043">
        <v>-0.13</v>
      </c>
      <c r="CW3043">
        <v>45</v>
      </c>
      <c r="CX3043" t="s">
        <v>663</v>
      </c>
    </row>
    <row r="3044" spans="1:102" x14ac:dyDescent="0.3">
      <c r="A3044" t="str">
        <f>HYPERLINK("https://webapp.icbf.com/v2/app/bull-search/view/437084162","PNG")</f>
        <v>PNG</v>
      </c>
      <c r="B3044" t="s">
        <v>1385</v>
      </c>
      <c r="C3044" t="s">
        <v>1386</v>
      </c>
      <c r="D3044" s="1">
        <v>36279</v>
      </c>
      <c r="E3044" t="s">
        <v>140</v>
      </c>
      <c r="F3044">
        <v>0</v>
      </c>
      <c r="G3044" t="s">
        <v>109</v>
      </c>
      <c r="H3044">
        <v>-6.89</v>
      </c>
      <c r="I3044">
        <v>81</v>
      </c>
      <c r="J3044">
        <v>-4.3499999999999996</v>
      </c>
      <c r="K3044">
        <v>92</v>
      </c>
      <c r="L3044">
        <v>8.39</v>
      </c>
      <c r="M3044">
        <v>71</v>
      </c>
      <c r="N3044">
        <v>-25.86</v>
      </c>
      <c r="O3044">
        <v>78</v>
      </c>
      <c r="P3044">
        <v>-1.62</v>
      </c>
      <c r="Q3044">
        <v>89</v>
      </c>
      <c r="R3044">
        <v>6.5</v>
      </c>
      <c r="S3044">
        <v>73</v>
      </c>
      <c r="T3044">
        <v>21.52</v>
      </c>
      <c r="U3044">
        <v>80</v>
      </c>
      <c r="V3044">
        <v>-11.47</v>
      </c>
      <c r="W3044">
        <v>74</v>
      </c>
      <c r="X3044" t="s">
        <v>102</v>
      </c>
      <c r="Y3044" t="s">
        <v>95</v>
      </c>
      <c r="Z3044">
        <v>0</v>
      </c>
      <c r="AA3044" t="s">
        <v>247</v>
      </c>
      <c r="AB3044" t="s">
        <v>223</v>
      </c>
      <c r="AC3044">
        <v>0</v>
      </c>
      <c r="AD3044">
        <v>0</v>
      </c>
      <c r="AE3044">
        <v>92</v>
      </c>
      <c r="AF3044">
        <v>32.270000000000003</v>
      </c>
      <c r="AG3044">
        <v>-7.17</v>
      </c>
      <c r="AH3044">
        <v>2.29</v>
      </c>
      <c r="AI3044">
        <v>-0.15</v>
      </c>
      <c r="AJ3044">
        <v>0.02</v>
      </c>
      <c r="AK3044">
        <v>71</v>
      </c>
      <c r="AL3044">
        <v>39</v>
      </c>
      <c r="AM3044">
        <v>18</v>
      </c>
      <c r="AN3044">
        <v>-0.41</v>
      </c>
      <c r="AO3044">
        <v>0.26</v>
      </c>
      <c r="AP3044">
        <v>77</v>
      </c>
      <c r="AQ3044">
        <v>3</v>
      </c>
      <c r="AR3044">
        <v>8.23</v>
      </c>
      <c r="AS3044">
        <v>62</v>
      </c>
      <c r="AT3044">
        <v>4.38</v>
      </c>
      <c r="AU3044">
        <v>78</v>
      </c>
      <c r="AV3044">
        <v>2.0299999999999998</v>
      </c>
      <c r="AW3044">
        <v>90</v>
      </c>
      <c r="AX3044">
        <v>-0.8</v>
      </c>
      <c r="AY3044">
        <v>74</v>
      </c>
      <c r="AZ3044">
        <v>6.66</v>
      </c>
      <c r="BA3044">
        <v>58</v>
      </c>
      <c r="BB3044">
        <v>4.47</v>
      </c>
      <c r="BC3044">
        <v>59</v>
      </c>
      <c r="BD3044">
        <v>-0.02</v>
      </c>
      <c r="BE3044">
        <v>-0.04</v>
      </c>
      <c r="BF3044">
        <v>-0.04</v>
      </c>
      <c r="BG3044">
        <v>79</v>
      </c>
      <c r="BH3044">
        <v>-0.22</v>
      </c>
      <c r="BI3044">
        <v>11.55</v>
      </c>
      <c r="BJ3044">
        <v>0</v>
      </c>
      <c r="BK3044">
        <v>0</v>
      </c>
      <c r="BL3044">
        <v>-0.73</v>
      </c>
      <c r="BM3044">
        <v>4.08</v>
      </c>
      <c r="BN3044">
        <v>-1.79</v>
      </c>
      <c r="BO3044">
        <v>-3.41</v>
      </c>
      <c r="BP3044">
        <v>4.6100000000000003</v>
      </c>
      <c r="BQ3044">
        <v>-1.38</v>
      </c>
      <c r="BR3044">
        <v>-2.5</v>
      </c>
      <c r="BS3044">
        <v>-0.41</v>
      </c>
      <c r="BT3044">
        <v>2.54</v>
      </c>
      <c r="BU3044">
        <v>-3.68</v>
      </c>
      <c r="BV3044">
        <v>-4.0999999999999996</v>
      </c>
      <c r="BW3044">
        <v>-3.04</v>
      </c>
      <c r="BX3044">
        <v>-2.84</v>
      </c>
      <c r="BY3044">
        <v>-1.91</v>
      </c>
      <c r="BZ3044">
        <v>1.58</v>
      </c>
      <c r="CA3044">
        <v>-2.81</v>
      </c>
      <c r="CB3044">
        <v>-3.47</v>
      </c>
      <c r="CC3044">
        <v>-0.7</v>
      </c>
      <c r="CD3044">
        <v>4.1900000000000004</v>
      </c>
      <c r="CE3044">
        <v>-3.23</v>
      </c>
      <c r="CF3044">
        <v>-1.26</v>
      </c>
      <c r="CG3044">
        <v>0</v>
      </c>
      <c r="CH3044">
        <v>-2.52</v>
      </c>
      <c r="CI3044">
        <v>0</v>
      </c>
      <c r="CJ3044">
        <v>-1</v>
      </c>
      <c r="CK3044">
        <v>91</v>
      </c>
      <c r="CL3044">
        <v>0.24</v>
      </c>
      <c r="CM3044">
        <v>89</v>
      </c>
      <c r="CN3044">
        <v>0.15</v>
      </c>
      <c r="CO3044">
        <v>87</v>
      </c>
      <c r="CP3044">
        <v>-6.4</v>
      </c>
      <c r="CQ3044">
        <v>83</v>
      </c>
      <c r="CR3044">
        <v>0</v>
      </c>
      <c r="CS3044">
        <v>0</v>
      </c>
      <c r="CT3044">
        <v>-15.3</v>
      </c>
      <c r="CU3044">
        <v>80</v>
      </c>
      <c r="CV3044">
        <v>0.01</v>
      </c>
      <c r="CW3044">
        <v>44</v>
      </c>
      <c r="CX3044" t="s">
        <v>224</v>
      </c>
    </row>
    <row r="3045" spans="1:102" x14ac:dyDescent="0.3">
      <c r="A3045" t="str">
        <f>HYPERLINK("https://webapp.icbf.com/v2/app/bull-search/view/69091639","FAC")</f>
        <v>FAC</v>
      </c>
      <c r="B3045" t="s">
        <v>10561</v>
      </c>
      <c r="C3045" t="s">
        <v>10562</v>
      </c>
      <c r="D3045" s="1">
        <v>32881</v>
      </c>
      <c r="E3045" t="s">
        <v>140</v>
      </c>
      <c r="F3045">
        <v>0</v>
      </c>
      <c r="G3045" t="s">
        <v>109</v>
      </c>
      <c r="H3045">
        <v>-6.9</v>
      </c>
      <c r="I3045">
        <v>57</v>
      </c>
      <c r="J3045">
        <v>-40.299999999999997</v>
      </c>
      <c r="K3045">
        <v>75</v>
      </c>
      <c r="L3045">
        <v>37.200000000000003</v>
      </c>
      <c r="M3045">
        <v>46</v>
      </c>
      <c r="N3045">
        <v>-36.56</v>
      </c>
      <c r="O3045">
        <v>52</v>
      </c>
      <c r="P3045">
        <v>8.73</v>
      </c>
      <c r="Q3045">
        <v>59</v>
      </c>
      <c r="R3045">
        <v>13.11</v>
      </c>
      <c r="S3045">
        <v>50</v>
      </c>
      <c r="T3045">
        <v>24.04</v>
      </c>
      <c r="U3045">
        <v>55</v>
      </c>
      <c r="V3045">
        <v>-13.12</v>
      </c>
      <c r="W3045">
        <v>24</v>
      </c>
      <c r="X3045" t="s">
        <v>276</v>
      </c>
      <c r="Y3045" t="s">
        <v>95</v>
      </c>
      <c r="Z3045">
        <v>0</v>
      </c>
      <c r="AA3045" t="s">
        <v>2464</v>
      </c>
      <c r="AB3045" t="s">
        <v>10563</v>
      </c>
      <c r="AC3045">
        <v>0</v>
      </c>
      <c r="AD3045">
        <v>0</v>
      </c>
      <c r="AE3045">
        <v>75</v>
      </c>
      <c r="AF3045">
        <v>-142.59</v>
      </c>
      <c r="AG3045">
        <v>-9.09</v>
      </c>
      <c r="AH3045">
        <v>-5.82</v>
      </c>
      <c r="AI3045">
        <v>-0.06</v>
      </c>
      <c r="AJ3045">
        <v>-0.02</v>
      </c>
      <c r="AK3045">
        <v>46</v>
      </c>
      <c r="AL3045">
        <v>24</v>
      </c>
      <c r="AM3045">
        <v>15</v>
      </c>
      <c r="AN3045">
        <v>-1.79</v>
      </c>
      <c r="AO3045">
        <v>1.18</v>
      </c>
      <c r="AP3045">
        <v>4</v>
      </c>
      <c r="AQ3045">
        <v>0</v>
      </c>
      <c r="AR3045">
        <v>8.41</v>
      </c>
      <c r="AS3045">
        <v>29</v>
      </c>
      <c r="AT3045">
        <v>4.29</v>
      </c>
      <c r="AU3045">
        <v>44</v>
      </c>
      <c r="AV3045">
        <v>3.19</v>
      </c>
      <c r="AW3045">
        <v>67</v>
      </c>
      <c r="AX3045">
        <v>-0.27</v>
      </c>
      <c r="AY3045">
        <v>52</v>
      </c>
      <c r="AZ3045">
        <v>6.44</v>
      </c>
      <c r="BA3045">
        <v>28</v>
      </c>
      <c r="BB3045">
        <v>4.6500000000000004</v>
      </c>
      <c r="BC3045">
        <v>38</v>
      </c>
      <c r="BD3045">
        <v>0.01</v>
      </c>
      <c r="BE3045">
        <v>-0.02</v>
      </c>
      <c r="BF3045">
        <v>-0.28000000000000003</v>
      </c>
      <c r="BG3045">
        <v>62</v>
      </c>
      <c r="BH3045">
        <v>-0.31</v>
      </c>
      <c r="BI3045">
        <v>6.46</v>
      </c>
      <c r="BJ3045">
        <v>0</v>
      </c>
      <c r="BK3045">
        <v>0</v>
      </c>
      <c r="BL3045">
        <v>-1.05</v>
      </c>
      <c r="BM3045">
        <v>3.2</v>
      </c>
      <c r="BN3045">
        <v>-2.12</v>
      </c>
      <c r="BO3045">
        <v>-3.16</v>
      </c>
      <c r="BP3045">
        <v>4.46</v>
      </c>
      <c r="BQ3045">
        <v>-2.76</v>
      </c>
      <c r="BR3045">
        <v>-2.97</v>
      </c>
      <c r="BS3045">
        <v>-0.28000000000000003</v>
      </c>
      <c r="BT3045">
        <v>2.74</v>
      </c>
      <c r="BU3045">
        <v>-3.64</v>
      </c>
      <c r="BV3045">
        <v>-4</v>
      </c>
      <c r="BW3045">
        <v>-3.04</v>
      </c>
      <c r="BX3045">
        <v>-3.19</v>
      </c>
      <c r="BY3045">
        <v>-2.2400000000000002</v>
      </c>
      <c r="BZ3045">
        <v>1.1399999999999999</v>
      </c>
      <c r="CA3045">
        <v>-2.4700000000000002</v>
      </c>
      <c r="CB3045">
        <v>-3.17</v>
      </c>
      <c r="CC3045">
        <v>-0.41</v>
      </c>
      <c r="CD3045">
        <v>3.79</v>
      </c>
      <c r="CE3045">
        <v>-3.1</v>
      </c>
      <c r="CF3045">
        <v>-1.45</v>
      </c>
      <c r="CG3045">
        <v>0</v>
      </c>
      <c r="CH3045">
        <v>-2.61</v>
      </c>
      <c r="CI3045">
        <v>0</v>
      </c>
      <c r="CJ3045">
        <v>4.4000000000000004</v>
      </c>
      <c r="CK3045">
        <v>60</v>
      </c>
      <c r="CL3045">
        <v>0.28000000000000003</v>
      </c>
      <c r="CM3045">
        <v>57</v>
      </c>
      <c r="CN3045">
        <v>-0.08</v>
      </c>
      <c r="CO3045">
        <v>53</v>
      </c>
      <c r="CP3045">
        <v>-7.8</v>
      </c>
      <c r="CQ3045">
        <v>65</v>
      </c>
      <c r="CR3045">
        <v>0</v>
      </c>
      <c r="CS3045">
        <v>0</v>
      </c>
      <c r="CT3045">
        <v>-18.7</v>
      </c>
      <c r="CU3045">
        <v>55</v>
      </c>
      <c r="CV3045">
        <v>-0.13</v>
      </c>
      <c r="CW3045">
        <v>16</v>
      </c>
      <c r="CX3045" t="s">
        <v>10564</v>
      </c>
    </row>
    <row r="3046" spans="1:102" x14ac:dyDescent="0.3">
      <c r="A3046" t="str">
        <f>HYPERLINK("https://webapp.icbf.com/v2/app/bull-search/view/423416288","LKY")</f>
        <v>LKY</v>
      </c>
      <c r="B3046" t="s">
        <v>4444</v>
      </c>
      <c r="C3046" t="s">
        <v>4445</v>
      </c>
      <c r="D3046" s="1">
        <v>38219</v>
      </c>
      <c r="E3046" t="s">
        <v>92</v>
      </c>
      <c r="F3046">
        <v>100</v>
      </c>
      <c r="G3046" t="s">
        <v>93</v>
      </c>
      <c r="H3046">
        <v>-6.96</v>
      </c>
      <c r="I3046">
        <v>67</v>
      </c>
      <c r="J3046">
        <v>67.14</v>
      </c>
      <c r="K3046">
        <v>85</v>
      </c>
      <c r="L3046">
        <v>-97.34</v>
      </c>
      <c r="M3046">
        <v>51</v>
      </c>
      <c r="N3046">
        <v>28.82</v>
      </c>
      <c r="O3046">
        <v>68</v>
      </c>
      <c r="P3046">
        <v>-17.89</v>
      </c>
      <c r="Q3046">
        <v>81</v>
      </c>
      <c r="R3046">
        <v>-3.2</v>
      </c>
      <c r="S3046">
        <v>54</v>
      </c>
      <c r="T3046">
        <v>17.600000000000001</v>
      </c>
      <c r="U3046">
        <v>62</v>
      </c>
      <c r="V3046">
        <v>-2.09</v>
      </c>
      <c r="W3046">
        <v>45</v>
      </c>
      <c r="X3046" t="s">
        <v>94</v>
      </c>
      <c r="Y3046" t="s">
        <v>1128</v>
      </c>
      <c r="Z3046" t="s">
        <v>96</v>
      </c>
      <c r="AA3046" t="s">
        <v>1207</v>
      </c>
      <c r="AB3046" t="s">
        <v>4446</v>
      </c>
      <c r="AC3046">
        <v>26</v>
      </c>
      <c r="AD3046">
        <v>20</v>
      </c>
      <c r="AE3046">
        <v>85</v>
      </c>
      <c r="AF3046">
        <v>568.82000000000005</v>
      </c>
      <c r="AG3046">
        <v>10.16</v>
      </c>
      <c r="AH3046">
        <v>16.53</v>
      </c>
      <c r="AI3046">
        <v>-0.18</v>
      </c>
      <c r="AJ3046">
        <v>-0.05</v>
      </c>
      <c r="AK3046">
        <v>51</v>
      </c>
      <c r="AL3046">
        <v>32</v>
      </c>
      <c r="AM3046">
        <v>24</v>
      </c>
      <c r="AN3046">
        <v>7.09</v>
      </c>
      <c r="AO3046">
        <v>-0.65</v>
      </c>
      <c r="AP3046">
        <v>63</v>
      </c>
      <c r="AQ3046">
        <v>0</v>
      </c>
      <c r="AR3046">
        <v>6.56</v>
      </c>
      <c r="AS3046">
        <v>47</v>
      </c>
      <c r="AT3046">
        <v>3.03</v>
      </c>
      <c r="AU3046">
        <v>66</v>
      </c>
      <c r="AV3046">
        <v>-2.61</v>
      </c>
      <c r="AW3046">
        <v>85</v>
      </c>
      <c r="AX3046">
        <v>-0.84</v>
      </c>
      <c r="AY3046">
        <v>62</v>
      </c>
      <c r="AZ3046">
        <v>6.09</v>
      </c>
      <c r="BA3046">
        <v>42</v>
      </c>
      <c r="BB3046">
        <v>4.59</v>
      </c>
      <c r="BC3046">
        <v>42</v>
      </c>
      <c r="BD3046">
        <v>-0.02</v>
      </c>
      <c r="BE3046">
        <v>0.03</v>
      </c>
      <c r="BF3046">
        <v>0.05</v>
      </c>
      <c r="BG3046">
        <v>64</v>
      </c>
      <c r="BH3046">
        <v>-0.04</v>
      </c>
      <c r="BI3046">
        <v>2.12</v>
      </c>
      <c r="BJ3046">
        <v>1</v>
      </c>
      <c r="BK3046">
        <v>1</v>
      </c>
      <c r="BL3046">
        <v>0.59</v>
      </c>
      <c r="BM3046">
        <v>-0.54</v>
      </c>
      <c r="BN3046">
        <v>-0.11</v>
      </c>
      <c r="BO3046">
        <v>0.41</v>
      </c>
      <c r="BP3046">
        <v>0.01</v>
      </c>
      <c r="BQ3046">
        <v>-1.61</v>
      </c>
      <c r="BR3046">
        <v>-0.82</v>
      </c>
      <c r="BS3046">
        <v>0.93</v>
      </c>
      <c r="BT3046">
        <v>0.4</v>
      </c>
      <c r="BU3046">
        <v>0.16</v>
      </c>
      <c r="BV3046">
        <v>0.66</v>
      </c>
      <c r="BW3046">
        <v>0.03</v>
      </c>
      <c r="BX3046">
        <v>-0.75</v>
      </c>
      <c r="BY3046">
        <v>1.1100000000000001</v>
      </c>
      <c r="BZ3046">
        <v>1.08</v>
      </c>
      <c r="CA3046">
        <v>0.64</v>
      </c>
      <c r="CB3046">
        <v>0.31</v>
      </c>
      <c r="CC3046">
        <v>0.87</v>
      </c>
      <c r="CD3046">
        <v>-0.55000000000000004</v>
      </c>
      <c r="CE3046">
        <v>0.31</v>
      </c>
      <c r="CF3046">
        <v>-0.11</v>
      </c>
      <c r="CG3046">
        <v>0</v>
      </c>
      <c r="CH3046">
        <v>0.8</v>
      </c>
      <c r="CI3046">
        <v>0</v>
      </c>
      <c r="CJ3046">
        <v>-5.5</v>
      </c>
      <c r="CK3046">
        <v>83</v>
      </c>
      <c r="CL3046">
        <v>-0.99</v>
      </c>
      <c r="CM3046">
        <v>80</v>
      </c>
      <c r="CN3046">
        <v>-0.08</v>
      </c>
      <c r="CO3046">
        <v>78</v>
      </c>
      <c r="CP3046">
        <v>-6.8</v>
      </c>
      <c r="CQ3046">
        <v>77</v>
      </c>
      <c r="CR3046">
        <v>0</v>
      </c>
      <c r="CS3046">
        <v>0</v>
      </c>
      <c r="CT3046">
        <v>-10</v>
      </c>
      <c r="CU3046">
        <v>62</v>
      </c>
      <c r="CV3046">
        <v>0.28000000000000003</v>
      </c>
      <c r="CW3046">
        <v>23</v>
      </c>
      <c r="CX3046" t="s">
        <v>205</v>
      </c>
    </row>
    <row r="3047" spans="1:102" x14ac:dyDescent="0.3">
      <c r="A3047" t="str">
        <f>HYPERLINK("https://webapp.icbf.com/v2/app/bull-search/view/760393646","S1000")</f>
        <v>S1000</v>
      </c>
      <c r="B3047" t="s">
        <v>14496</v>
      </c>
      <c r="C3047" t="s">
        <v>14497</v>
      </c>
      <c r="D3047" s="1">
        <v>39694</v>
      </c>
      <c r="E3047" t="s">
        <v>92</v>
      </c>
      <c r="F3047">
        <v>100</v>
      </c>
      <c r="G3047" t="s">
        <v>109</v>
      </c>
      <c r="H3047">
        <v>-7.06</v>
      </c>
      <c r="I3047">
        <v>75</v>
      </c>
      <c r="J3047">
        <v>36.57</v>
      </c>
      <c r="K3047">
        <v>85</v>
      </c>
      <c r="L3047">
        <v>-73.39</v>
      </c>
      <c r="M3047">
        <v>80</v>
      </c>
      <c r="N3047">
        <v>24.49</v>
      </c>
      <c r="O3047">
        <v>64</v>
      </c>
      <c r="P3047">
        <v>-3.13</v>
      </c>
      <c r="Q3047">
        <v>73</v>
      </c>
      <c r="R3047">
        <v>9.39</v>
      </c>
      <c r="S3047">
        <v>63</v>
      </c>
      <c r="T3047">
        <v>-0.31</v>
      </c>
      <c r="U3047">
        <v>57</v>
      </c>
      <c r="V3047">
        <v>-0.68</v>
      </c>
      <c r="W3047">
        <v>33</v>
      </c>
      <c r="X3047" t="s">
        <v>234</v>
      </c>
      <c r="Y3047" t="s">
        <v>303</v>
      </c>
      <c r="Z3047" t="s">
        <v>96</v>
      </c>
      <c r="AA3047" t="s">
        <v>5289</v>
      </c>
      <c r="AB3047" t="s">
        <v>14498</v>
      </c>
      <c r="AC3047">
        <v>0</v>
      </c>
      <c r="AD3047">
        <v>0</v>
      </c>
      <c r="AE3047">
        <v>85</v>
      </c>
      <c r="AF3047">
        <v>311.58</v>
      </c>
      <c r="AG3047">
        <v>7.94</v>
      </c>
      <c r="AH3047">
        <v>8.18</v>
      </c>
      <c r="AI3047">
        <v>-7.0000000000000007E-2</v>
      </c>
      <c r="AJ3047">
        <v>-0.04</v>
      </c>
      <c r="AK3047">
        <v>80</v>
      </c>
      <c r="AL3047">
        <v>0</v>
      </c>
      <c r="AM3047">
        <v>0</v>
      </c>
      <c r="AN3047">
        <v>4.9800000000000004</v>
      </c>
      <c r="AO3047">
        <v>-0.86</v>
      </c>
      <c r="AP3047">
        <v>16</v>
      </c>
      <c r="AQ3047">
        <v>0</v>
      </c>
      <c r="AR3047">
        <v>5.31</v>
      </c>
      <c r="AS3047">
        <v>39</v>
      </c>
      <c r="AT3047">
        <v>2.63</v>
      </c>
      <c r="AU3047">
        <v>90</v>
      </c>
      <c r="AV3047">
        <v>-2.2799999999999998</v>
      </c>
      <c r="AW3047">
        <v>72</v>
      </c>
      <c r="AX3047">
        <v>7.0000000000000007E-2</v>
      </c>
      <c r="AY3047">
        <v>52</v>
      </c>
      <c r="AZ3047">
        <v>6.96</v>
      </c>
      <c r="BA3047">
        <v>27</v>
      </c>
      <c r="BB3047">
        <v>5.4</v>
      </c>
      <c r="BC3047">
        <v>26</v>
      </c>
      <c r="BD3047">
        <v>0</v>
      </c>
      <c r="BE3047">
        <v>-0.04</v>
      </c>
      <c r="BF3047">
        <v>-0.14000000000000001</v>
      </c>
      <c r="BG3047">
        <v>89</v>
      </c>
      <c r="BH3047">
        <v>-0.06</v>
      </c>
      <c r="BI3047">
        <v>-4.76</v>
      </c>
      <c r="BJ3047">
        <v>11</v>
      </c>
      <c r="BK3047">
        <v>8</v>
      </c>
      <c r="BL3047">
        <v>1.51</v>
      </c>
      <c r="BM3047">
        <v>-1.74</v>
      </c>
      <c r="BN3047">
        <v>0.56000000000000005</v>
      </c>
      <c r="BO3047">
        <v>1.49</v>
      </c>
      <c r="BP3047">
        <v>0.59</v>
      </c>
      <c r="BQ3047">
        <v>0.8</v>
      </c>
      <c r="BR3047">
        <v>-0.44</v>
      </c>
      <c r="BS3047">
        <v>0.9</v>
      </c>
      <c r="BT3047">
        <v>0.77</v>
      </c>
      <c r="BU3047">
        <v>1.73</v>
      </c>
      <c r="BV3047">
        <v>2.71</v>
      </c>
      <c r="BW3047">
        <v>1.73</v>
      </c>
      <c r="BX3047">
        <v>1.32</v>
      </c>
      <c r="BY3047">
        <v>1.62</v>
      </c>
      <c r="BZ3047">
        <v>-3.67</v>
      </c>
      <c r="CA3047">
        <v>1.81</v>
      </c>
      <c r="CB3047">
        <v>1.77</v>
      </c>
      <c r="CC3047">
        <v>1.1299999999999999</v>
      </c>
      <c r="CD3047">
        <v>-1.8</v>
      </c>
      <c r="CE3047">
        <v>1.1100000000000001</v>
      </c>
      <c r="CF3047">
        <v>0.85</v>
      </c>
      <c r="CG3047">
        <v>0</v>
      </c>
      <c r="CH3047">
        <v>0.44</v>
      </c>
      <c r="CI3047">
        <v>0</v>
      </c>
      <c r="CJ3047">
        <v>1.2</v>
      </c>
      <c r="CK3047">
        <v>76</v>
      </c>
      <c r="CL3047">
        <v>-1.31</v>
      </c>
      <c r="CM3047">
        <v>71</v>
      </c>
      <c r="CN3047">
        <v>-0.72</v>
      </c>
      <c r="CO3047">
        <v>68</v>
      </c>
      <c r="CP3047">
        <v>2</v>
      </c>
      <c r="CQ3047">
        <v>63</v>
      </c>
      <c r="CR3047">
        <v>0</v>
      </c>
      <c r="CS3047">
        <v>0</v>
      </c>
      <c r="CT3047">
        <v>14.2</v>
      </c>
      <c r="CU3047">
        <v>57</v>
      </c>
      <c r="CV3047">
        <v>0.45</v>
      </c>
      <c r="CW3047">
        <v>20</v>
      </c>
      <c r="CX3047" t="s">
        <v>309</v>
      </c>
    </row>
    <row r="3048" spans="1:102" x14ac:dyDescent="0.3">
      <c r="A3048" t="str">
        <f>HYPERLINK("https://webapp.icbf.com/v2/app/bull-search/view/416054453","FKD")</f>
        <v>FKD</v>
      </c>
      <c r="B3048" t="s">
        <v>4505</v>
      </c>
      <c r="C3048" t="s">
        <v>4506</v>
      </c>
      <c r="D3048" s="1">
        <v>35995</v>
      </c>
      <c r="E3048" t="s">
        <v>1061</v>
      </c>
      <c r="F3048">
        <v>0</v>
      </c>
      <c r="G3048" t="s">
        <v>116</v>
      </c>
      <c r="H3048">
        <v>-7.09</v>
      </c>
      <c r="I3048">
        <v>44</v>
      </c>
      <c r="J3048">
        <v>-52.68</v>
      </c>
      <c r="K3048">
        <v>50</v>
      </c>
      <c r="L3048">
        <v>40.75</v>
      </c>
      <c r="M3048">
        <v>34</v>
      </c>
      <c r="N3048">
        <v>0.22</v>
      </c>
      <c r="O3048">
        <v>40</v>
      </c>
      <c r="P3048">
        <v>-44.81</v>
      </c>
      <c r="Q3048">
        <v>60</v>
      </c>
      <c r="R3048">
        <v>4.16</v>
      </c>
      <c r="S3048">
        <v>24</v>
      </c>
      <c r="T3048">
        <v>47.57</v>
      </c>
      <c r="U3048">
        <v>70</v>
      </c>
      <c r="V3048">
        <v>-2.2999999999999998</v>
      </c>
      <c r="W3048">
        <v>25</v>
      </c>
      <c r="X3048" t="s">
        <v>276</v>
      </c>
      <c r="Y3048" t="s">
        <v>1153</v>
      </c>
      <c r="Z3048">
        <v>0</v>
      </c>
      <c r="AA3048" t="s">
        <v>4507</v>
      </c>
      <c r="AB3048" t="s">
        <v>4508</v>
      </c>
      <c r="AC3048">
        <v>6</v>
      </c>
      <c r="AD3048">
        <v>4</v>
      </c>
      <c r="AE3048">
        <v>50</v>
      </c>
      <c r="AF3048">
        <v>-317.89999999999998</v>
      </c>
      <c r="AG3048">
        <v>-12.51</v>
      </c>
      <c r="AH3048">
        <v>-9.4</v>
      </c>
      <c r="AI3048">
        <v>0</v>
      </c>
      <c r="AJ3048">
        <v>0.03</v>
      </c>
      <c r="AK3048">
        <v>34</v>
      </c>
      <c r="AL3048">
        <v>20</v>
      </c>
      <c r="AM3048">
        <v>7</v>
      </c>
      <c r="AN3048">
        <v>-3.74</v>
      </c>
      <c r="AO3048">
        <v>-0.51</v>
      </c>
      <c r="AP3048">
        <v>13</v>
      </c>
      <c r="AQ3048">
        <v>0</v>
      </c>
      <c r="AR3048">
        <v>5.33</v>
      </c>
      <c r="AS3048">
        <v>21</v>
      </c>
      <c r="AT3048">
        <v>2.33</v>
      </c>
      <c r="AU3048">
        <v>32</v>
      </c>
      <c r="AV3048">
        <v>1.06</v>
      </c>
      <c r="AW3048">
        <v>57</v>
      </c>
      <c r="AX3048">
        <v>0.4</v>
      </c>
      <c r="AY3048">
        <v>42</v>
      </c>
      <c r="AZ3048">
        <v>6.64</v>
      </c>
      <c r="BA3048">
        <v>13</v>
      </c>
      <c r="BB3048">
        <v>5.31</v>
      </c>
      <c r="BC3048">
        <v>21</v>
      </c>
      <c r="BD3048">
        <v>-0.01</v>
      </c>
      <c r="BE3048">
        <v>-0.01</v>
      </c>
      <c r="BF3048">
        <v>-0.06</v>
      </c>
      <c r="BG3048">
        <v>29</v>
      </c>
      <c r="BH3048">
        <v>-0.01</v>
      </c>
      <c r="BI3048">
        <v>6.27</v>
      </c>
      <c r="BJ3048">
        <v>0</v>
      </c>
      <c r="BK3048">
        <v>0</v>
      </c>
      <c r="BL3048">
        <v>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-23.7</v>
      </c>
      <c r="CK3048">
        <v>63</v>
      </c>
      <c r="CL3048">
        <v>-0.71</v>
      </c>
      <c r="CM3048">
        <v>57</v>
      </c>
      <c r="CN3048">
        <v>-0.02</v>
      </c>
      <c r="CO3048">
        <v>50</v>
      </c>
      <c r="CP3048">
        <v>-33.4</v>
      </c>
      <c r="CQ3048">
        <v>70</v>
      </c>
      <c r="CR3048">
        <v>0</v>
      </c>
      <c r="CS3048">
        <v>0</v>
      </c>
      <c r="CT3048">
        <v>-50.5</v>
      </c>
      <c r="CU3048">
        <v>70</v>
      </c>
      <c r="CV3048">
        <v>-0.3</v>
      </c>
      <c r="CW3048">
        <v>15</v>
      </c>
      <c r="CX3048" t="s">
        <v>4509</v>
      </c>
    </row>
    <row r="3049" spans="1:102" x14ac:dyDescent="0.3">
      <c r="A3049" t="str">
        <f>HYPERLINK("https://webapp.icbf.com/v2/app/bull-search/view/77855416","LTO")</f>
        <v>LTO</v>
      </c>
      <c r="B3049" t="s">
        <v>3605</v>
      </c>
      <c r="C3049" t="s">
        <v>3606</v>
      </c>
      <c r="D3049" s="1">
        <v>32925</v>
      </c>
      <c r="E3049" t="s">
        <v>92</v>
      </c>
      <c r="F3049">
        <v>50</v>
      </c>
      <c r="G3049" t="s">
        <v>93</v>
      </c>
      <c r="H3049">
        <v>-7.18</v>
      </c>
      <c r="I3049">
        <v>65</v>
      </c>
      <c r="J3049">
        <v>-62.48</v>
      </c>
      <c r="K3049">
        <v>86</v>
      </c>
      <c r="L3049">
        <v>50.3</v>
      </c>
      <c r="M3049">
        <v>58</v>
      </c>
      <c r="N3049">
        <v>10.130000000000001</v>
      </c>
      <c r="O3049">
        <v>45</v>
      </c>
      <c r="P3049">
        <v>1.28</v>
      </c>
      <c r="Q3049">
        <v>60</v>
      </c>
      <c r="R3049">
        <v>-9.16</v>
      </c>
      <c r="S3049">
        <v>59</v>
      </c>
      <c r="T3049">
        <v>4.6500000000000004</v>
      </c>
      <c r="U3049">
        <v>54</v>
      </c>
      <c r="V3049">
        <v>-1.9</v>
      </c>
      <c r="W3049">
        <v>25</v>
      </c>
      <c r="X3049" t="s">
        <v>94</v>
      </c>
      <c r="Y3049" t="s">
        <v>95</v>
      </c>
      <c r="Z3049" t="s">
        <v>96</v>
      </c>
      <c r="AA3049" t="s">
        <v>3401</v>
      </c>
      <c r="AB3049" t="s">
        <v>3607</v>
      </c>
      <c r="AC3049">
        <v>35</v>
      </c>
      <c r="AD3049">
        <v>28</v>
      </c>
      <c r="AE3049">
        <v>86</v>
      </c>
      <c r="AF3049">
        <v>-164.33</v>
      </c>
      <c r="AG3049">
        <v>-8.7100000000000009</v>
      </c>
      <c r="AH3049">
        <v>-10.06</v>
      </c>
      <c r="AI3049">
        <v>-0.04</v>
      </c>
      <c r="AJ3049">
        <v>-0.08</v>
      </c>
      <c r="AK3049">
        <v>58</v>
      </c>
      <c r="AL3049">
        <v>69</v>
      </c>
      <c r="AM3049">
        <v>51</v>
      </c>
      <c r="AN3049">
        <v>-3.63</v>
      </c>
      <c r="AO3049">
        <v>0.37</v>
      </c>
      <c r="AP3049">
        <v>8</v>
      </c>
      <c r="AQ3049">
        <v>0</v>
      </c>
      <c r="AR3049">
        <v>7.99</v>
      </c>
      <c r="AS3049">
        <v>20</v>
      </c>
      <c r="AT3049">
        <v>3.28</v>
      </c>
      <c r="AU3049">
        <v>41</v>
      </c>
      <c r="AV3049">
        <v>-1.67</v>
      </c>
      <c r="AW3049">
        <v>57</v>
      </c>
      <c r="AX3049">
        <v>0.28999999999999998</v>
      </c>
      <c r="AY3049">
        <v>58</v>
      </c>
      <c r="AZ3049">
        <v>6.24</v>
      </c>
      <c r="BA3049">
        <v>19</v>
      </c>
      <c r="BB3049">
        <v>5.0599999999999996</v>
      </c>
      <c r="BC3049">
        <v>31</v>
      </c>
      <c r="BD3049">
        <v>0.04</v>
      </c>
      <c r="BE3049">
        <v>0.06</v>
      </c>
      <c r="BF3049">
        <v>0.03</v>
      </c>
      <c r="BG3049">
        <v>81</v>
      </c>
      <c r="BH3049">
        <v>0.01</v>
      </c>
      <c r="BI3049">
        <v>7.3</v>
      </c>
      <c r="BJ3049">
        <v>14</v>
      </c>
      <c r="BK3049">
        <v>11</v>
      </c>
      <c r="BL3049">
        <v>-0.88</v>
      </c>
      <c r="BM3049">
        <v>3.09</v>
      </c>
      <c r="BN3049">
        <v>0.35</v>
      </c>
      <c r="BO3049">
        <v>-2.17</v>
      </c>
      <c r="BP3049">
        <v>-2.0299999999999998</v>
      </c>
      <c r="BQ3049">
        <v>1.99</v>
      </c>
      <c r="BR3049">
        <v>0.83</v>
      </c>
      <c r="BS3049">
        <v>-0.7</v>
      </c>
      <c r="BT3049">
        <v>-0.84</v>
      </c>
      <c r="BU3049">
        <v>-1.03</v>
      </c>
      <c r="BV3049">
        <v>-1.72</v>
      </c>
      <c r="BW3049">
        <v>-2.16</v>
      </c>
      <c r="BX3049">
        <v>-0.41</v>
      </c>
      <c r="BY3049">
        <v>-1.02</v>
      </c>
      <c r="BZ3049">
        <v>-1.04</v>
      </c>
      <c r="CA3049">
        <v>-2.13</v>
      </c>
      <c r="CB3049">
        <v>-1.58</v>
      </c>
      <c r="CC3049">
        <v>-2.4300000000000002</v>
      </c>
      <c r="CD3049">
        <v>2.91</v>
      </c>
      <c r="CE3049">
        <v>-2.02</v>
      </c>
      <c r="CF3049">
        <v>-1.06</v>
      </c>
      <c r="CG3049">
        <v>0</v>
      </c>
      <c r="CH3049">
        <v>-2.87</v>
      </c>
      <c r="CI3049">
        <v>0</v>
      </c>
      <c r="CJ3049">
        <v>3.4</v>
      </c>
      <c r="CK3049">
        <v>62</v>
      </c>
      <c r="CL3049">
        <v>-0.33</v>
      </c>
      <c r="CM3049">
        <v>57</v>
      </c>
      <c r="CN3049">
        <v>0.04</v>
      </c>
      <c r="CO3049">
        <v>53</v>
      </c>
      <c r="CP3049">
        <v>3.1</v>
      </c>
      <c r="CQ3049">
        <v>64</v>
      </c>
      <c r="CR3049">
        <v>0</v>
      </c>
      <c r="CS3049">
        <v>0</v>
      </c>
      <c r="CT3049">
        <v>7.5</v>
      </c>
      <c r="CU3049">
        <v>54</v>
      </c>
      <c r="CV3049">
        <v>0.18</v>
      </c>
      <c r="CW3049">
        <v>16</v>
      </c>
      <c r="CX3049" t="s">
        <v>3608</v>
      </c>
    </row>
    <row r="3050" spans="1:102" x14ac:dyDescent="0.3">
      <c r="A3050" t="str">
        <f>HYPERLINK("https://webapp.icbf.com/v2/app/bull-search/view/910797047","S1258")</f>
        <v>S1258</v>
      </c>
      <c r="B3050" t="s">
        <v>14173</v>
      </c>
      <c r="C3050" t="s">
        <v>13528</v>
      </c>
      <c r="D3050" s="1">
        <v>39704</v>
      </c>
      <c r="E3050" t="s">
        <v>140</v>
      </c>
      <c r="F3050">
        <v>0</v>
      </c>
      <c r="G3050" t="s">
        <v>109</v>
      </c>
      <c r="H3050">
        <v>-7.25</v>
      </c>
      <c r="I3050">
        <v>64</v>
      </c>
      <c r="J3050">
        <v>19.57</v>
      </c>
      <c r="K3050">
        <v>84</v>
      </c>
      <c r="L3050">
        <v>-12.14</v>
      </c>
      <c r="M3050">
        <v>53</v>
      </c>
      <c r="N3050">
        <v>-37.840000000000003</v>
      </c>
      <c r="O3050">
        <v>53</v>
      </c>
      <c r="P3050">
        <v>13.89</v>
      </c>
      <c r="Q3050">
        <v>65</v>
      </c>
      <c r="R3050">
        <v>0</v>
      </c>
      <c r="S3050">
        <v>53</v>
      </c>
      <c r="T3050">
        <v>18.190000000000001</v>
      </c>
      <c r="U3050">
        <v>58</v>
      </c>
      <c r="V3050">
        <v>-8.92</v>
      </c>
      <c r="W3050">
        <v>48</v>
      </c>
      <c r="X3050" t="s">
        <v>102</v>
      </c>
      <c r="Y3050" t="s">
        <v>342</v>
      </c>
      <c r="Z3050">
        <v>0</v>
      </c>
      <c r="AA3050" t="s">
        <v>14174</v>
      </c>
      <c r="AB3050" t="s">
        <v>14175</v>
      </c>
      <c r="AC3050">
        <v>0</v>
      </c>
      <c r="AD3050">
        <v>0</v>
      </c>
      <c r="AE3050">
        <v>84</v>
      </c>
      <c r="AF3050">
        <v>54.32</v>
      </c>
      <c r="AG3050">
        <v>2.6</v>
      </c>
      <c r="AH3050">
        <v>3.24</v>
      </c>
      <c r="AI3050">
        <v>0.01</v>
      </c>
      <c r="AJ3050">
        <v>0.02</v>
      </c>
      <c r="AK3050">
        <v>53</v>
      </c>
      <c r="AL3050">
        <v>8</v>
      </c>
      <c r="AM3050">
        <v>6</v>
      </c>
      <c r="AN3050">
        <v>0.51</v>
      </c>
      <c r="AO3050">
        <v>-0.46</v>
      </c>
      <c r="AP3050">
        <v>12</v>
      </c>
      <c r="AQ3050">
        <v>0</v>
      </c>
      <c r="AR3050">
        <v>10.1</v>
      </c>
      <c r="AS3050">
        <v>45</v>
      </c>
      <c r="AT3050">
        <v>5.66</v>
      </c>
      <c r="AU3050">
        <v>51</v>
      </c>
      <c r="AV3050">
        <v>0.7</v>
      </c>
      <c r="AW3050">
        <v>64</v>
      </c>
      <c r="AX3050">
        <v>0.17</v>
      </c>
      <c r="AY3050">
        <v>46</v>
      </c>
      <c r="AZ3050">
        <v>5.98</v>
      </c>
      <c r="BA3050">
        <v>35</v>
      </c>
      <c r="BB3050">
        <v>4.29</v>
      </c>
      <c r="BC3050">
        <v>34</v>
      </c>
      <c r="BD3050">
        <v>0.03</v>
      </c>
      <c r="BE3050">
        <v>0</v>
      </c>
      <c r="BF3050">
        <v>-0.05</v>
      </c>
      <c r="BG3050">
        <v>60</v>
      </c>
      <c r="BH3050">
        <v>-0.46</v>
      </c>
      <c r="BI3050">
        <v>-24.43</v>
      </c>
      <c r="BJ3050">
        <v>0</v>
      </c>
      <c r="BK3050">
        <v>0</v>
      </c>
      <c r="BL3050">
        <v>-0.81</v>
      </c>
      <c r="BM3050">
        <v>3.69</v>
      </c>
      <c r="BN3050">
        <v>-1.72</v>
      </c>
      <c r="BO3050">
        <v>-3.13</v>
      </c>
      <c r="BP3050">
        <v>4.3600000000000003</v>
      </c>
      <c r="BQ3050">
        <v>-1.98</v>
      </c>
      <c r="BR3050">
        <v>-2.66</v>
      </c>
      <c r="BS3050">
        <v>-0.35</v>
      </c>
      <c r="BT3050">
        <v>2.57</v>
      </c>
      <c r="BU3050">
        <v>-3.6</v>
      </c>
      <c r="BV3050">
        <v>-4.0199999999999996</v>
      </c>
      <c r="BW3050">
        <v>-3.01</v>
      </c>
      <c r="BX3050">
        <v>-2.88</v>
      </c>
      <c r="BY3050">
        <v>-1.95</v>
      </c>
      <c r="BZ3050">
        <v>1.21</v>
      </c>
      <c r="CA3050">
        <v>-2.62</v>
      </c>
      <c r="CB3050">
        <v>-3.32</v>
      </c>
      <c r="CC3050">
        <v>-0.49</v>
      </c>
      <c r="CD3050">
        <v>4.0199999999999996</v>
      </c>
      <c r="CE3050">
        <v>-3.09</v>
      </c>
      <c r="CF3050">
        <v>-1.1000000000000001</v>
      </c>
      <c r="CG3050">
        <v>0</v>
      </c>
      <c r="CH3050">
        <v>-2.75</v>
      </c>
      <c r="CI3050">
        <v>0</v>
      </c>
      <c r="CJ3050">
        <v>5.2</v>
      </c>
      <c r="CK3050">
        <v>68</v>
      </c>
      <c r="CL3050">
        <v>0.1</v>
      </c>
      <c r="CM3050">
        <v>64</v>
      </c>
      <c r="CN3050">
        <v>-0.48</v>
      </c>
      <c r="CO3050">
        <v>62</v>
      </c>
      <c r="CP3050">
        <v>0.4</v>
      </c>
      <c r="CQ3050">
        <v>55</v>
      </c>
      <c r="CR3050">
        <v>0</v>
      </c>
      <c r="CS3050">
        <v>0</v>
      </c>
      <c r="CT3050">
        <v>-10.8</v>
      </c>
      <c r="CU3050">
        <v>58</v>
      </c>
      <c r="CV3050">
        <v>0.2</v>
      </c>
      <c r="CW3050">
        <v>39</v>
      </c>
      <c r="CX3050" t="s">
        <v>3108</v>
      </c>
    </row>
    <row r="3051" spans="1:102" x14ac:dyDescent="0.3">
      <c r="A3051" t="str">
        <f>HYPERLINK("https://webapp.icbf.com/v2/app/bull-search/view/108378522","MUL")</f>
        <v>MUL</v>
      </c>
      <c r="B3051" t="s">
        <v>11115</v>
      </c>
      <c r="C3051" t="s">
        <v>11116</v>
      </c>
      <c r="D3051" s="1">
        <v>34494</v>
      </c>
      <c r="E3051" t="s">
        <v>227</v>
      </c>
      <c r="F3051">
        <v>0</v>
      </c>
      <c r="G3051" t="s">
        <v>93</v>
      </c>
      <c r="H3051">
        <v>-7.44</v>
      </c>
      <c r="I3051">
        <v>89</v>
      </c>
      <c r="J3051">
        <v>13.92</v>
      </c>
      <c r="K3051">
        <v>95</v>
      </c>
      <c r="L3051">
        <v>-25.49</v>
      </c>
      <c r="M3051">
        <v>91</v>
      </c>
      <c r="N3051">
        <v>3.36</v>
      </c>
      <c r="O3051">
        <v>80</v>
      </c>
      <c r="P3051">
        <v>-63.93</v>
      </c>
      <c r="Q3051">
        <v>87</v>
      </c>
      <c r="R3051">
        <v>-2.15</v>
      </c>
      <c r="S3051">
        <v>81</v>
      </c>
      <c r="T3051">
        <v>68.069999999999993</v>
      </c>
      <c r="U3051">
        <v>82</v>
      </c>
      <c r="V3051">
        <v>-1.22</v>
      </c>
      <c r="W3051">
        <v>81</v>
      </c>
      <c r="X3051" t="s">
        <v>102</v>
      </c>
      <c r="Y3051" t="s">
        <v>95</v>
      </c>
      <c r="Z3051">
        <v>0</v>
      </c>
      <c r="AA3051" t="s">
        <v>788</v>
      </c>
      <c r="AB3051" t="s">
        <v>4733</v>
      </c>
      <c r="AC3051">
        <v>48</v>
      </c>
      <c r="AD3051">
        <v>32</v>
      </c>
      <c r="AE3051">
        <v>95</v>
      </c>
      <c r="AF3051">
        <v>-144.65</v>
      </c>
      <c r="AG3051">
        <v>3.46</v>
      </c>
      <c r="AH3051">
        <v>-1.07</v>
      </c>
      <c r="AI3051">
        <v>0.16</v>
      </c>
      <c r="AJ3051">
        <v>7.0000000000000007E-2</v>
      </c>
      <c r="AK3051">
        <v>91</v>
      </c>
      <c r="AL3051">
        <v>62</v>
      </c>
      <c r="AM3051">
        <v>37</v>
      </c>
      <c r="AN3051">
        <v>1.58</v>
      </c>
      <c r="AO3051">
        <v>-0.45</v>
      </c>
      <c r="AP3051">
        <v>70</v>
      </c>
      <c r="AQ3051">
        <v>2</v>
      </c>
      <c r="AR3051">
        <v>2.88</v>
      </c>
      <c r="AS3051">
        <v>81</v>
      </c>
      <c r="AT3051">
        <v>1.92</v>
      </c>
      <c r="AU3051">
        <v>76</v>
      </c>
      <c r="AV3051">
        <v>-0.68</v>
      </c>
      <c r="AW3051">
        <v>89</v>
      </c>
      <c r="AX3051">
        <v>2</v>
      </c>
      <c r="AY3051">
        <v>78</v>
      </c>
      <c r="AZ3051">
        <v>9.7200000000000006</v>
      </c>
      <c r="BA3051">
        <v>65</v>
      </c>
      <c r="BB3051">
        <v>6.69</v>
      </c>
      <c r="BC3051">
        <v>65</v>
      </c>
      <c r="BD3051">
        <v>-0.04</v>
      </c>
      <c r="BE3051">
        <v>0.04</v>
      </c>
      <c r="BF3051">
        <v>0.04</v>
      </c>
      <c r="BG3051">
        <v>87</v>
      </c>
      <c r="BH3051">
        <v>0.03</v>
      </c>
      <c r="BI3051">
        <v>7.4</v>
      </c>
      <c r="BJ3051">
        <v>2</v>
      </c>
      <c r="BK3051">
        <v>1</v>
      </c>
      <c r="BL3051">
        <v>-0.77</v>
      </c>
      <c r="BM3051">
        <v>-1.53</v>
      </c>
      <c r="BN3051">
        <v>-0.32</v>
      </c>
      <c r="BO3051">
        <v>1.5</v>
      </c>
      <c r="BP3051">
        <v>0.05</v>
      </c>
      <c r="BQ3051">
        <v>-4.62</v>
      </c>
      <c r="BR3051">
        <v>2.52</v>
      </c>
      <c r="BS3051">
        <v>6.02</v>
      </c>
      <c r="BT3051">
        <v>-1.76</v>
      </c>
      <c r="BU3051">
        <v>1.25</v>
      </c>
      <c r="BV3051">
        <v>1.24</v>
      </c>
      <c r="BW3051">
        <v>-0.93</v>
      </c>
      <c r="BX3051">
        <v>-1.38</v>
      </c>
      <c r="BY3051">
        <v>0.47</v>
      </c>
      <c r="BZ3051">
        <v>1.34</v>
      </c>
      <c r="CA3051">
        <v>2.6</v>
      </c>
      <c r="CB3051">
        <v>1.42</v>
      </c>
      <c r="CC3051">
        <v>3.76</v>
      </c>
      <c r="CD3051">
        <v>-2.14</v>
      </c>
      <c r="CE3051">
        <v>1.74</v>
      </c>
      <c r="CF3051">
        <v>-0.41</v>
      </c>
      <c r="CG3051">
        <v>0</v>
      </c>
      <c r="CH3051">
        <v>0.04</v>
      </c>
      <c r="CI3051">
        <v>0</v>
      </c>
      <c r="CJ3051">
        <v>-33.4</v>
      </c>
      <c r="CK3051">
        <v>88</v>
      </c>
      <c r="CL3051">
        <v>-1.28</v>
      </c>
      <c r="CM3051">
        <v>86</v>
      </c>
      <c r="CN3051">
        <v>-0.34</v>
      </c>
      <c r="CO3051">
        <v>84</v>
      </c>
      <c r="CP3051">
        <v>-57.4</v>
      </c>
      <c r="CQ3051">
        <v>87</v>
      </c>
      <c r="CR3051">
        <v>0</v>
      </c>
      <c r="CS3051">
        <v>0</v>
      </c>
      <c r="CT3051">
        <v>-78.2</v>
      </c>
      <c r="CU3051">
        <v>82</v>
      </c>
      <c r="CV3051">
        <v>-0.34</v>
      </c>
      <c r="CW3051">
        <v>43</v>
      </c>
      <c r="CX3051" t="s">
        <v>533</v>
      </c>
    </row>
    <row r="3052" spans="1:102" x14ac:dyDescent="0.3">
      <c r="A3052" t="str">
        <f>HYPERLINK("https://webapp.icbf.com/v2/app/bull-search/view/124414653","ELA")</f>
        <v>ELA</v>
      </c>
      <c r="B3052" t="s">
        <v>6468</v>
      </c>
      <c r="C3052" t="s">
        <v>6469</v>
      </c>
      <c r="D3052" s="1">
        <v>32912</v>
      </c>
      <c r="E3052" t="s">
        <v>92</v>
      </c>
      <c r="F3052">
        <v>100</v>
      </c>
      <c r="G3052" t="s">
        <v>93</v>
      </c>
      <c r="H3052">
        <v>-7.45</v>
      </c>
      <c r="I3052">
        <v>92</v>
      </c>
      <c r="J3052">
        <v>-25</v>
      </c>
      <c r="K3052">
        <v>98</v>
      </c>
      <c r="L3052">
        <v>24.92</v>
      </c>
      <c r="M3052">
        <v>91</v>
      </c>
      <c r="N3052">
        <v>-12.95</v>
      </c>
      <c r="O3052">
        <v>87</v>
      </c>
      <c r="P3052">
        <v>-4.72</v>
      </c>
      <c r="Q3052">
        <v>94</v>
      </c>
      <c r="R3052">
        <v>3.57</v>
      </c>
      <c r="S3052">
        <v>84</v>
      </c>
      <c r="T3052">
        <v>12.27</v>
      </c>
      <c r="U3052">
        <v>90</v>
      </c>
      <c r="V3052">
        <v>-5.54</v>
      </c>
      <c r="W3052">
        <v>76</v>
      </c>
      <c r="X3052" t="s">
        <v>94</v>
      </c>
      <c r="Y3052" t="s">
        <v>95</v>
      </c>
      <c r="Z3052" t="s">
        <v>96</v>
      </c>
      <c r="AA3052" t="s">
        <v>111</v>
      </c>
      <c r="AB3052" t="s">
        <v>6470</v>
      </c>
      <c r="AC3052">
        <v>193</v>
      </c>
      <c r="AD3052">
        <v>109</v>
      </c>
      <c r="AE3052">
        <v>98</v>
      </c>
      <c r="AF3052">
        <v>152.88</v>
      </c>
      <c r="AG3052">
        <v>-4.53</v>
      </c>
      <c r="AH3052">
        <v>-0.31</v>
      </c>
      <c r="AI3052">
        <v>-0.18</v>
      </c>
      <c r="AJ3052">
        <v>-0.09</v>
      </c>
      <c r="AK3052">
        <v>91</v>
      </c>
      <c r="AL3052">
        <v>195</v>
      </c>
      <c r="AM3052">
        <v>101</v>
      </c>
      <c r="AN3052">
        <v>-0.37</v>
      </c>
      <c r="AO3052">
        <v>1.63</v>
      </c>
      <c r="AP3052">
        <v>112</v>
      </c>
      <c r="AQ3052">
        <v>3</v>
      </c>
      <c r="AR3052">
        <v>10.46</v>
      </c>
      <c r="AS3052">
        <v>73</v>
      </c>
      <c r="AT3052">
        <v>4.58</v>
      </c>
      <c r="AU3052">
        <v>91</v>
      </c>
      <c r="AV3052">
        <v>-0.93</v>
      </c>
      <c r="AW3052">
        <v>92</v>
      </c>
      <c r="AX3052">
        <v>0.14000000000000001</v>
      </c>
      <c r="AY3052">
        <v>89</v>
      </c>
      <c r="AZ3052">
        <v>5.32</v>
      </c>
      <c r="BA3052">
        <v>68</v>
      </c>
      <c r="BB3052">
        <v>4.54</v>
      </c>
      <c r="BC3052">
        <v>78</v>
      </c>
      <c r="BD3052">
        <v>0.03</v>
      </c>
      <c r="BE3052">
        <v>0.02</v>
      </c>
      <c r="BF3052">
        <v>-0.17</v>
      </c>
      <c r="BG3052">
        <v>94</v>
      </c>
      <c r="BH3052">
        <v>-7.0000000000000007E-2</v>
      </c>
      <c r="BI3052">
        <v>9.77</v>
      </c>
      <c r="BJ3052">
        <v>16</v>
      </c>
      <c r="BK3052">
        <v>8</v>
      </c>
      <c r="BL3052">
        <v>0.44</v>
      </c>
      <c r="BM3052">
        <v>0.62</v>
      </c>
      <c r="BN3052">
        <v>0.49</v>
      </c>
      <c r="BO3052">
        <v>0.02</v>
      </c>
      <c r="BP3052">
        <v>3.17</v>
      </c>
      <c r="BQ3052">
        <v>0.75</v>
      </c>
      <c r="BR3052">
        <v>-1.27</v>
      </c>
      <c r="BS3052">
        <v>0.95</v>
      </c>
      <c r="BT3052">
        <v>0.75</v>
      </c>
      <c r="BU3052">
        <v>0.8</v>
      </c>
      <c r="BV3052">
        <v>0.35</v>
      </c>
      <c r="BW3052">
        <v>1.19</v>
      </c>
      <c r="BX3052">
        <v>1.19</v>
      </c>
      <c r="BY3052">
        <v>0.08</v>
      </c>
      <c r="BZ3052">
        <v>-0.36</v>
      </c>
      <c r="CA3052">
        <v>1.39</v>
      </c>
      <c r="CB3052">
        <v>0.64</v>
      </c>
      <c r="CC3052">
        <v>1.69</v>
      </c>
      <c r="CD3052">
        <v>0.33</v>
      </c>
      <c r="CE3052">
        <v>0.77</v>
      </c>
      <c r="CF3052">
        <v>1.32</v>
      </c>
      <c r="CG3052">
        <v>0</v>
      </c>
      <c r="CH3052">
        <v>-0.35</v>
      </c>
      <c r="CI3052">
        <v>0</v>
      </c>
      <c r="CJ3052">
        <v>-0.1</v>
      </c>
      <c r="CK3052">
        <v>94</v>
      </c>
      <c r="CL3052">
        <v>-0.64</v>
      </c>
      <c r="CM3052">
        <v>93</v>
      </c>
      <c r="CN3052">
        <v>-0.22</v>
      </c>
      <c r="CO3052">
        <v>92</v>
      </c>
      <c r="CP3052">
        <v>-3.7</v>
      </c>
      <c r="CQ3052">
        <v>94</v>
      </c>
      <c r="CR3052">
        <v>0</v>
      </c>
      <c r="CS3052">
        <v>0</v>
      </c>
      <c r="CT3052">
        <v>-2.8</v>
      </c>
      <c r="CU3052">
        <v>90</v>
      </c>
      <c r="CV3052">
        <v>0.12</v>
      </c>
      <c r="CW3052">
        <v>45</v>
      </c>
      <c r="CX3052" t="s">
        <v>113</v>
      </c>
    </row>
    <row r="3053" spans="1:102" x14ac:dyDescent="0.3">
      <c r="A3053" t="str">
        <f>HYPERLINK("https://webapp.icbf.com/v2/app/bull-search/view/246104713","RYR")</f>
        <v>RYR</v>
      </c>
      <c r="B3053" t="s">
        <v>12195</v>
      </c>
      <c r="C3053" t="s">
        <v>12196</v>
      </c>
      <c r="D3053" s="1">
        <v>37887</v>
      </c>
      <c r="E3053" t="s">
        <v>92</v>
      </c>
      <c r="F3053">
        <v>91</v>
      </c>
      <c r="G3053" t="s">
        <v>93</v>
      </c>
      <c r="H3053">
        <v>-7.45</v>
      </c>
      <c r="I3053">
        <v>65</v>
      </c>
      <c r="J3053">
        <v>37.119999999999997</v>
      </c>
      <c r="K3053">
        <v>80</v>
      </c>
      <c r="L3053">
        <v>-63.38</v>
      </c>
      <c r="M3053">
        <v>50</v>
      </c>
      <c r="N3053">
        <v>11.36</v>
      </c>
      <c r="O3053">
        <v>63</v>
      </c>
      <c r="P3053">
        <v>3.56</v>
      </c>
      <c r="Q3053">
        <v>78</v>
      </c>
      <c r="R3053">
        <v>4.2</v>
      </c>
      <c r="S3053">
        <v>55</v>
      </c>
      <c r="T3053">
        <v>0.36</v>
      </c>
      <c r="U3053">
        <v>69</v>
      </c>
      <c r="V3053">
        <v>-0.67</v>
      </c>
      <c r="W3053">
        <v>44</v>
      </c>
      <c r="X3053" t="s">
        <v>94</v>
      </c>
      <c r="Y3053" t="s">
        <v>2565</v>
      </c>
      <c r="Z3053" t="s">
        <v>96</v>
      </c>
      <c r="AA3053" t="s">
        <v>1420</v>
      </c>
      <c r="AB3053" t="s">
        <v>5460</v>
      </c>
      <c r="AC3053">
        <v>20</v>
      </c>
      <c r="AD3053">
        <v>16</v>
      </c>
      <c r="AE3053">
        <v>80</v>
      </c>
      <c r="AF3053">
        <v>325.08</v>
      </c>
      <c r="AG3053">
        <v>8.08</v>
      </c>
      <c r="AH3053">
        <v>8.43</v>
      </c>
      <c r="AI3053">
        <v>-7.0000000000000007E-2</v>
      </c>
      <c r="AJ3053">
        <v>-0.04</v>
      </c>
      <c r="AK3053">
        <v>50</v>
      </c>
      <c r="AL3053">
        <v>23</v>
      </c>
      <c r="AM3053">
        <v>20</v>
      </c>
      <c r="AN3053">
        <v>4.6100000000000003</v>
      </c>
      <c r="AO3053">
        <v>-0.43</v>
      </c>
      <c r="AP3053">
        <v>31</v>
      </c>
      <c r="AQ3053">
        <v>4</v>
      </c>
      <c r="AR3053">
        <v>7.42</v>
      </c>
      <c r="AS3053">
        <v>42</v>
      </c>
      <c r="AT3053">
        <v>3.05</v>
      </c>
      <c r="AU3053">
        <v>55</v>
      </c>
      <c r="AV3053">
        <v>-1.65</v>
      </c>
      <c r="AW3053">
        <v>83</v>
      </c>
      <c r="AX3053">
        <v>0.79</v>
      </c>
      <c r="AY3053">
        <v>59</v>
      </c>
      <c r="AZ3053">
        <v>5.97</v>
      </c>
      <c r="BA3053">
        <v>37</v>
      </c>
      <c r="BB3053">
        <v>5.3</v>
      </c>
      <c r="BC3053">
        <v>39</v>
      </c>
      <c r="BD3053">
        <v>-0.04</v>
      </c>
      <c r="BE3053">
        <v>0</v>
      </c>
      <c r="BF3053">
        <v>-0.03</v>
      </c>
      <c r="BG3053">
        <v>61</v>
      </c>
      <c r="BH3053">
        <v>0.05</v>
      </c>
      <c r="BI3053">
        <v>7.96</v>
      </c>
      <c r="BJ3053">
        <v>0</v>
      </c>
      <c r="BK3053">
        <v>0</v>
      </c>
      <c r="BL3053">
        <v>-0.44</v>
      </c>
      <c r="BM3053">
        <v>0.05</v>
      </c>
      <c r="BN3053">
        <v>-0.28000000000000003</v>
      </c>
      <c r="BO3053">
        <v>-0.02</v>
      </c>
      <c r="BP3053">
        <v>-0.33</v>
      </c>
      <c r="BQ3053">
        <v>-0.59</v>
      </c>
      <c r="BR3053">
        <v>0.26</v>
      </c>
      <c r="BS3053">
        <v>-0.56999999999999995</v>
      </c>
      <c r="BT3053">
        <v>-0.38</v>
      </c>
      <c r="BU3053">
        <v>0.26</v>
      </c>
      <c r="BV3053">
        <v>0.83</v>
      </c>
      <c r="BW3053">
        <v>0.09</v>
      </c>
      <c r="BX3053">
        <v>-0.04</v>
      </c>
      <c r="BY3053">
        <v>-0.63</v>
      </c>
      <c r="BZ3053">
        <v>0.68</v>
      </c>
      <c r="CA3053">
        <v>0.31</v>
      </c>
      <c r="CB3053">
        <v>0.56000000000000005</v>
      </c>
      <c r="CC3053">
        <v>-0.17</v>
      </c>
      <c r="CD3053">
        <v>-0.02</v>
      </c>
      <c r="CE3053">
        <v>0.14000000000000001</v>
      </c>
      <c r="CF3053">
        <v>-0.69</v>
      </c>
      <c r="CG3053">
        <v>0</v>
      </c>
      <c r="CH3053">
        <v>-0.68</v>
      </c>
      <c r="CI3053">
        <v>0</v>
      </c>
      <c r="CJ3053">
        <v>2.9</v>
      </c>
      <c r="CK3053">
        <v>80</v>
      </c>
      <c r="CL3053">
        <v>-0.77</v>
      </c>
      <c r="CM3053">
        <v>76</v>
      </c>
      <c r="CN3053">
        <v>-0.6</v>
      </c>
      <c r="CO3053">
        <v>73</v>
      </c>
      <c r="CP3053">
        <v>3.2</v>
      </c>
      <c r="CQ3053">
        <v>73</v>
      </c>
      <c r="CR3053">
        <v>0</v>
      </c>
      <c r="CS3053">
        <v>0</v>
      </c>
      <c r="CT3053">
        <v>13.3</v>
      </c>
      <c r="CU3053">
        <v>69</v>
      </c>
      <c r="CV3053">
        <v>0.23</v>
      </c>
      <c r="CW3053">
        <v>23</v>
      </c>
      <c r="CX3053" t="s">
        <v>193</v>
      </c>
    </row>
    <row r="3054" spans="1:102" x14ac:dyDescent="0.3">
      <c r="A3054" t="str">
        <f>HYPERLINK("https://webapp.icbf.com/v2/app/bull-search/view/444530575","JZR")</f>
        <v>JZR</v>
      </c>
      <c r="B3054" t="s">
        <v>11964</v>
      </c>
      <c r="C3054" t="s">
        <v>11965</v>
      </c>
      <c r="D3054" s="1">
        <v>34578</v>
      </c>
      <c r="E3054" t="s">
        <v>92</v>
      </c>
      <c r="F3054">
        <v>100</v>
      </c>
      <c r="G3054" t="s">
        <v>109</v>
      </c>
      <c r="H3054">
        <v>-7.46</v>
      </c>
      <c r="I3054">
        <v>68</v>
      </c>
      <c r="J3054">
        <v>7.87</v>
      </c>
      <c r="K3054">
        <v>82</v>
      </c>
      <c r="L3054">
        <v>-23.09</v>
      </c>
      <c r="M3054">
        <v>63</v>
      </c>
      <c r="N3054">
        <v>2.89</v>
      </c>
      <c r="O3054">
        <v>64</v>
      </c>
      <c r="P3054">
        <v>-14.44</v>
      </c>
      <c r="Q3054">
        <v>67</v>
      </c>
      <c r="R3054">
        <v>-1.67</v>
      </c>
      <c r="S3054">
        <v>62</v>
      </c>
      <c r="T3054">
        <v>15.08</v>
      </c>
      <c r="U3054">
        <v>51</v>
      </c>
      <c r="V3054">
        <v>5.9</v>
      </c>
      <c r="W3054">
        <v>37</v>
      </c>
      <c r="X3054" t="s">
        <v>251</v>
      </c>
      <c r="Y3054" t="s">
        <v>270</v>
      </c>
      <c r="Z3054" t="s">
        <v>96</v>
      </c>
      <c r="AA3054" t="s">
        <v>207</v>
      </c>
      <c r="AB3054" t="s">
        <v>11966</v>
      </c>
      <c r="AC3054">
        <v>0</v>
      </c>
      <c r="AD3054">
        <v>0</v>
      </c>
      <c r="AE3054">
        <v>82</v>
      </c>
      <c r="AF3054">
        <v>153.47</v>
      </c>
      <c r="AG3054">
        <v>1.04</v>
      </c>
      <c r="AH3054">
        <v>3.32</v>
      </c>
      <c r="AI3054">
        <v>-0.08</v>
      </c>
      <c r="AJ3054">
        <v>-0.03</v>
      </c>
      <c r="AK3054">
        <v>63</v>
      </c>
      <c r="AL3054">
        <v>0</v>
      </c>
      <c r="AM3054">
        <v>0</v>
      </c>
      <c r="AN3054">
        <v>1.36</v>
      </c>
      <c r="AO3054">
        <v>-0.48</v>
      </c>
      <c r="AP3054">
        <v>21</v>
      </c>
      <c r="AQ3054">
        <v>0</v>
      </c>
      <c r="AR3054">
        <v>9.61</v>
      </c>
      <c r="AS3054">
        <v>33</v>
      </c>
      <c r="AT3054">
        <v>3.9</v>
      </c>
      <c r="AU3054">
        <v>86</v>
      </c>
      <c r="AV3054">
        <v>-1.71</v>
      </c>
      <c r="AW3054">
        <v>72</v>
      </c>
      <c r="AX3054">
        <v>-0.41</v>
      </c>
      <c r="AY3054">
        <v>47</v>
      </c>
      <c r="AZ3054">
        <v>6.75</v>
      </c>
      <c r="BA3054">
        <v>35</v>
      </c>
      <c r="BB3054">
        <v>4.59</v>
      </c>
      <c r="BC3054">
        <v>34</v>
      </c>
      <c r="BD3054">
        <v>-0.01</v>
      </c>
      <c r="BE3054">
        <v>0.05</v>
      </c>
      <c r="BF3054">
        <v>-0.04</v>
      </c>
      <c r="BG3054">
        <v>82</v>
      </c>
      <c r="BH3054">
        <v>0.08</v>
      </c>
      <c r="BI3054">
        <v>-9.7799999999999994</v>
      </c>
      <c r="BJ3054">
        <v>0</v>
      </c>
      <c r="BK3054">
        <v>0</v>
      </c>
      <c r="BL3054">
        <v>0.09</v>
      </c>
      <c r="BM3054">
        <v>-0.64</v>
      </c>
      <c r="BN3054">
        <v>-0.7</v>
      </c>
      <c r="BO3054">
        <v>-0.1</v>
      </c>
      <c r="BP3054">
        <v>1.89</v>
      </c>
      <c r="BQ3054">
        <v>-1.44</v>
      </c>
      <c r="BR3054">
        <v>-0.34</v>
      </c>
      <c r="BS3054">
        <v>-0.9</v>
      </c>
      <c r="BT3054">
        <v>0.5</v>
      </c>
      <c r="BU3054">
        <v>-1.71</v>
      </c>
      <c r="BV3054">
        <v>0.04</v>
      </c>
      <c r="BW3054">
        <v>0.01</v>
      </c>
      <c r="BX3054">
        <v>-0.39</v>
      </c>
      <c r="BY3054">
        <v>0.99</v>
      </c>
      <c r="BZ3054">
        <v>-0.93</v>
      </c>
      <c r="CA3054">
        <v>-7.0000000000000007E-2</v>
      </c>
      <c r="CB3054">
        <v>0.06</v>
      </c>
      <c r="CC3054">
        <v>-0.44</v>
      </c>
      <c r="CD3054">
        <v>0.15</v>
      </c>
      <c r="CE3054">
        <v>0.2</v>
      </c>
      <c r="CF3054">
        <v>0.22</v>
      </c>
      <c r="CG3054">
        <v>0</v>
      </c>
      <c r="CH3054">
        <v>-0.08</v>
      </c>
      <c r="CI3054">
        <v>0</v>
      </c>
      <c r="CJ3054">
        <v>-3.6</v>
      </c>
      <c r="CK3054">
        <v>69</v>
      </c>
      <c r="CL3054">
        <v>-0.87</v>
      </c>
      <c r="CM3054">
        <v>65</v>
      </c>
      <c r="CN3054">
        <v>-0.06</v>
      </c>
      <c r="CO3054">
        <v>62</v>
      </c>
      <c r="CP3054">
        <v>-8</v>
      </c>
      <c r="CQ3054">
        <v>61</v>
      </c>
      <c r="CR3054">
        <v>0</v>
      </c>
      <c r="CS3054">
        <v>0</v>
      </c>
      <c r="CT3054">
        <v>-6.6</v>
      </c>
      <c r="CU3054">
        <v>51</v>
      </c>
      <c r="CV3054">
        <v>0.23</v>
      </c>
      <c r="CW3054">
        <v>19</v>
      </c>
      <c r="CX3054" t="s">
        <v>485</v>
      </c>
    </row>
    <row r="3055" spans="1:102" x14ac:dyDescent="0.3">
      <c r="A3055" t="str">
        <f>HYPERLINK("https://webapp.icbf.com/v2/app/bull-search/view/77853196","TRP")</f>
        <v>TRP</v>
      </c>
      <c r="B3055" t="s">
        <v>3802</v>
      </c>
      <c r="C3055" t="s">
        <v>3803</v>
      </c>
      <c r="D3055" s="1">
        <v>31906</v>
      </c>
      <c r="E3055" t="s">
        <v>92</v>
      </c>
      <c r="F3055">
        <v>100</v>
      </c>
      <c r="G3055" t="s">
        <v>93</v>
      </c>
      <c r="H3055">
        <v>-7.56</v>
      </c>
      <c r="I3055">
        <v>88</v>
      </c>
      <c r="J3055">
        <v>-0.3</v>
      </c>
      <c r="K3055">
        <v>97</v>
      </c>
      <c r="L3055">
        <v>6.95</v>
      </c>
      <c r="M3055">
        <v>90</v>
      </c>
      <c r="N3055">
        <v>9.33</v>
      </c>
      <c r="O3055">
        <v>75</v>
      </c>
      <c r="P3055">
        <v>-4.43</v>
      </c>
      <c r="Q3055">
        <v>83</v>
      </c>
      <c r="R3055">
        <v>-17.54</v>
      </c>
      <c r="S3055">
        <v>80</v>
      </c>
      <c r="T3055">
        <v>0.65</v>
      </c>
      <c r="U3055">
        <v>78</v>
      </c>
      <c r="V3055">
        <v>-2.2200000000000002</v>
      </c>
      <c r="W3055">
        <v>63</v>
      </c>
      <c r="X3055" t="s">
        <v>276</v>
      </c>
      <c r="Y3055" t="s">
        <v>95</v>
      </c>
      <c r="Z3055" t="s">
        <v>96</v>
      </c>
      <c r="AA3055" t="s">
        <v>825</v>
      </c>
      <c r="AB3055" t="s">
        <v>3804</v>
      </c>
      <c r="AC3055">
        <v>128</v>
      </c>
      <c r="AD3055">
        <v>83</v>
      </c>
      <c r="AE3055">
        <v>97</v>
      </c>
      <c r="AF3055">
        <v>11.74</v>
      </c>
      <c r="AG3055">
        <v>-2.66</v>
      </c>
      <c r="AH3055">
        <v>1.07</v>
      </c>
      <c r="AI3055">
        <v>-0.05</v>
      </c>
      <c r="AJ3055">
        <v>0.01</v>
      </c>
      <c r="AK3055">
        <v>90</v>
      </c>
      <c r="AL3055">
        <v>160</v>
      </c>
      <c r="AM3055">
        <v>81</v>
      </c>
      <c r="AN3055">
        <v>-0.71</v>
      </c>
      <c r="AO3055">
        <v>-0.16</v>
      </c>
      <c r="AP3055">
        <v>2</v>
      </c>
      <c r="AQ3055">
        <v>0</v>
      </c>
      <c r="AR3055">
        <v>8.24</v>
      </c>
      <c r="AS3055">
        <v>57</v>
      </c>
      <c r="AT3055">
        <v>3.35</v>
      </c>
      <c r="AU3055">
        <v>86</v>
      </c>
      <c r="AV3055">
        <v>-1.1200000000000001</v>
      </c>
      <c r="AW3055">
        <v>74</v>
      </c>
      <c r="AX3055">
        <v>-0.33</v>
      </c>
      <c r="AY3055">
        <v>82</v>
      </c>
      <c r="AZ3055">
        <v>6.05</v>
      </c>
      <c r="BA3055">
        <v>52</v>
      </c>
      <c r="BB3055">
        <v>4.43</v>
      </c>
      <c r="BC3055">
        <v>68</v>
      </c>
      <c r="BD3055">
        <v>0.05</v>
      </c>
      <c r="BE3055">
        <v>0.1</v>
      </c>
      <c r="BF3055">
        <v>0.13</v>
      </c>
      <c r="BG3055">
        <v>93</v>
      </c>
      <c r="BH3055">
        <v>-0.1</v>
      </c>
      <c r="BI3055">
        <v>-4.42</v>
      </c>
      <c r="BJ3055">
        <v>32</v>
      </c>
      <c r="BK3055">
        <v>20</v>
      </c>
      <c r="BL3055">
        <v>0.67</v>
      </c>
      <c r="BM3055">
        <v>-0.82</v>
      </c>
      <c r="BN3055">
        <v>0.35</v>
      </c>
      <c r="BO3055">
        <v>0.67</v>
      </c>
      <c r="BP3055">
        <v>2.0499999999999998</v>
      </c>
      <c r="BQ3055">
        <v>-0.52</v>
      </c>
      <c r="BR3055">
        <v>0.98</v>
      </c>
      <c r="BS3055">
        <v>-1.29</v>
      </c>
      <c r="BT3055">
        <v>0.27</v>
      </c>
      <c r="BU3055">
        <v>-0.89</v>
      </c>
      <c r="BV3055">
        <v>-0.49</v>
      </c>
      <c r="BW3055">
        <v>0.44</v>
      </c>
      <c r="BX3055">
        <v>-0.85</v>
      </c>
      <c r="BY3055">
        <v>0.33</v>
      </c>
      <c r="BZ3055">
        <v>0.73</v>
      </c>
      <c r="CA3055">
        <v>-0.28999999999999998</v>
      </c>
      <c r="CB3055">
        <v>-0.17</v>
      </c>
      <c r="CC3055">
        <v>-0.33</v>
      </c>
      <c r="CD3055">
        <v>-1.01</v>
      </c>
      <c r="CE3055">
        <v>1.22</v>
      </c>
      <c r="CF3055">
        <v>1.06</v>
      </c>
      <c r="CG3055">
        <v>0</v>
      </c>
      <c r="CH3055">
        <v>0.68</v>
      </c>
      <c r="CI3055">
        <v>0</v>
      </c>
      <c r="CJ3055">
        <v>-0.1</v>
      </c>
      <c r="CK3055">
        <v>83</v>
      </c>
      <c r="CL3055">
        <v>-0.73</v>
      </c>
      <c r="CM3055">
        <v>81</v>
      </c>
      <c r="CN3055">
        <v>-0.26</v>
      </c>
      <c r="CO3055">
        <v>79</v>
      </c>
      <c r="CP3055">
        <v>1.3</v>
      </c>
      <c r="CQ3055">
        <v>89</v>
      </c>
      <c r="CR3055">
        <v>0</v>
      </c>
      <c r="CS3055">
        <v>0</v>
      </c>
      <c r="CT3055">
        <v>12.9</v>
      </c>
      <c r="CU3055">
        <v>78</v>
      </c>
      <c r="CV3055">
        <v>0.12</v>
      </c>
      <c r="CW3055">
        <v>42</v>
      </c>
      <c r="CX3055" t="s">
        <v>3805</v>
      </c>
    </row>
    <row r="3056" spans="1:102" x14ac:dyDescent="0.3">
      <c r="A3056" t="str">
        <f>HYPERLINK("https://webapp.icbf.com/v2/app/bull-search/view/77856625","HTR")</f>
        <v>HTR</v>
      </c>
      <c r="B3056" t="s">
        <v>11103</v>
      </c>
      <c r="C3056" t="s">
        <v>11104</v>
      </c>
      <c r="D3056" s="1">
        <v>33669</v>
      </c>
      <c r="E3056" t="s">
        <v>92</v>
      </c>
      <c r="F3056">
        <v>100</v>
      </c>
      <c r="G3056" t="s">
        <v>93</v>
      </c>
      <c r="H3056">
        <v>-7.56</v>
      </c>
      <c r="I3056">
        <v>95</v>
      </c>
      <c r="J3056">
        <v>6.9</v>
      </c>
      <c r="K3056">
        <v>99</v>
      </c>
      <c r="L3056">
        <v>-30.18</v>
      </c>
      <c r="M3056">
        <v>93</v>
      </c>
      <c r="N3056">
        <v>11.66</v>
      </c>
      <c r="O3056">
        <v>93</v>
      </c>
      <c r="P3056">
        <v>-0.55000000000000004</v>
      </c>
      <c r="Q3056">
        <v>97</v>
      </c>
      <c r="R3056">
        <v>3.19</v>
      </c>
      <c r="S3056">
        <v>88</v>
      </c>
      <c r="T3056">
        <v>4.43</v>
      </c>
      <c r="U3056">
        <v>92</v>
      </c>
      <c r="V3056">
        <v>-3.01</v>
      </c>
      <c r="W3056">
        <v>82</v>
      </c>
      <c r="X3056" t="s">
        <v>558</v>
      </c>
      <c r="Y3056" t="s">
        <v>95</v>
      </c>
      <c r="Z3056" t="s">
        <v>96</v>
      </c>
      <c r="AA3056" t="s">
        <v>132</v>
      </c>
      <c r="AB3056" t="s">
        <v>11105</v>
      </c>
      <c r="AC3056">
        <v>379</v>
      </c>
      <c r="AD3056">
        <v>149</v>
      </c>
      <c r="AE3056">
        <v>99</v>
      </c>
      <c r="AF3056">
        <v>136.07</v>
      </c>
      <c r="AG3056">
        <v>5.22</v>
      </c>
      <c r="AH3056">
        <v>1.41</v>
      </c>
      <c r="AI3056">
        <v>0</v>
      </c>
      <c r="AJ3056">
        <v>-0.06</v>
      </c>
      <c r="AK3056">
        <v>93</v>
      </c>
      <c r="AL3056">
        <v>353</v>
      </c>
      <c r="AM3056">
        <v>137</v>
      </c>
      <c r="AN3056">
        <v>2.94</v>
      </c>
      <c r="AO3056">
        <v>0.55000000000000004</v>
      </c>
      <c r="AP3056">
        <v>191</v>
      </c>
      <c r="AQ3056">
        <v>10</v>
      </c>
      <c r="AR3056">
        <v>7.02</v>
      </c>
      <c r="AS3056">
        <v>85</v>
      </c>
      <c r="AT3056">
        <v>2.88</v>
      </c>
      <c r="AU3056">
        <v>96</v>
      </c>
      <c r="AV3056">
        <v>-0.77</v>
      </c>
      <c r="AW3056">
        <v>96</v>
      </c>
      <c r="AX3056">
        <v>-0.23</v>
      </c>
      <c r="AY3056">
        <v>93</v>
      </c>
      <c r="AZ3056">
        <v>6.68</v>
      </c>
      <c r="BA3056">
        <v>84</v>
      </c>
      <c r="BB3056">
        <v>4.66</v>
      </c>
      <c r="BC3056">
        <v>88</v>
      </c>
      <c r="BD3056">
        <v>-0.02</v>
      </c>
      <c r="BE3056">
        <v>0</v>
      </c>
      <c r="BF3056">
        <v>-0.04</v>
      </c>
      <c r="BG3056">
        <v>96</v>
      </c>
      <c r="BH3056">
        <v>-0.09</v>
      </c>
      <c r="BI3056">
        <v>-0.69</v>
      </c>
      <c r="BJ3056">
        <v>43</v>
      </c>
      <c r="BK3056">
        <v>21</v>
      </c>
      <c r="BL3056">
        <v>0.56999999999999995</v>
      </c>
      <c r="BM3056">
        <v>0.2</v>
      </c>
      <c r="BN3056">
        <v>0.38</v>
      </c>
      <c r="BO3056">
        <v>0.25</v>
      </c>
      <c r="BP3056">
        <v>-1.5</v>
      </c>
      <c r="BQ3056">
        <v>-1.69</v>
      </c>
      <c r="BR3056">
        <v>-0.37</v>
      </c>
      <c r="BS3056">
        <v>1.53</v>
      </c>
      <c r="BT3056">
        <v>-0.26</v>
      </c>
      <c r="BU3056">
        <v>-0.15</v>
      </c>
      <c r="BV3056">
        <v>0.34</v>
      </c>
      <c r="BW3056">
        <v>-0.5</v>
      </c>
      <c r="BX3056">
        <v>-0.08</v>
      </c>
      <c r="BY3056">
        <v>0.11</v>
      </c>
      <c r="BZ3056">
        <v>1.83</v>
      </c>
      <c r="CA3056">
        <v>0.42</v>
      </c>
      <c r="CB3056">
        <v>-0.32</v>
      </c>
      <c r="CC3056">
        <v>1.33</v>
      </c>
      <c r="CD3056">
        <v>0.22</v>
      </c>
      <c r="CE3056">
        <v>0.01</v>
      </c>
      <c r="CF3056">
        <v>-0.08</v>
      </c>
      <c r="CG3056">
        <v>0</v>
      </c>
      <c r="CH3056">
        <v>-0.12</v>
      </c>
      <c r="CI3056">
        <v>0</v>
      </c>
      <c r="CJ3056">
        <v>2.8</v>
      </c>
      <c r="CK3056">
        <v>97</v>
      </c>
      <c r="CL3056">
        <v>-0.68</v>
      </c>
      <c r="CM3056">
        <v>97</v>
      </c>
      <c r="CN3056">
        <v>-0.22</v>
      </c>
      <c r="CO3056">
        <v>96</v>
      </c>
      <c r="CP3056">
        <v>0.2</v>
      </c>
      <c r="CQ3056">
        <v>97</v>
      </c>
      <c r="CR3056">
        <v>0</v>
      </c>
      <c r="CS3056">
        <v>0</v>
      </c>
      <c r="CT3056">
        <v>7.8</v>
      </c>
      <c r="CU3056">
        <v>92</v>
      </c>
      <c r="CV3056">
        <v>0.21</v>
      </c>
      <c r="CW3056">
        <v>45</v>
      </c>
      <c r="CX3056" t="s">
        <v>11106</v>
      </c>
    </row>
    <row r="3057" spans="1:102" x14ac:dyDescent="0.3">
      <c r="A3057" t="str">
        <f>HYPERLINK("https://webapp.icbf.com/v2/app/bull-search/view/77855344","MPP")</f>
        <v>MPP</v>
      </c>
      <c r="B3057" t="s">
        <v>932</v>
      </c>
      <c r="C3057" t="s">
        <v>933</v>
      </c>
      <c r="D3057" s="1">
        <v>34019</v>
      </c>
      <c r="E3057" t="s">
        <v>92</v>
      </c>
      <c r="F3057">
        <v>100</v>
      </c>
      <c r="G3057" t="s">
        <v>93</v>
      </c>
      <c r="H3057">
        <v>-7.58</v>
      </c>
      <c r="I3057">
        <v>71</v>
      </c>
      <c r="J3057">
        <v>-37.78</v>
      </c>
      <c r="K3057">
        <v>88</v>
      </c>
      <c r="L3057">
        <v>4.6100000000000003</v>
      </c>
      <c r="M3057">
        <v>63</v>
      </c>
      <c r="N3057">
        <v>9.02</v>
      </c>
      <c r="O3057">
        <v>59</v>
      </c>
      <c r="P3057">
        <v>-0.55000000000000004</v>
      </c>
      <c r="Q3057">
        <v>77</v>
      </c>
      <c r="R3057">
        <v>6.19</v>
      </c>
      <c r="S3057">
        <v>66</v>
      </c>
      <c r="T3057">
        <v>9.9</v>
      </c>
      <c r="U3057">
        <v>67</v>
      </c>
      <c r="V3057">
        <v>1.03</v>
      </c>
      <c r="W3057">
        <v>35</v>
      </c>
      <c r="X3057" t="s">
        <v>94</v>
      </c>
      <c r="Y3057" t="s">
        <v>95</v>
      </c>
      <c r="Z3057" t="s">
        <v>96</v>
      </c>
      <c r="AA3057" t="s">
        <v>161</v>
      </c>
      <c r="AB3057" t="s">
        <v>934</v>
      </c>
      <c r="AC3057">
        <v>42</v>
      </c>
      <c r="AD3057">
        <v>38</v>
      </c>
      <c r="AE3057">
        <v>88</v>
      </c>
      <c r="AF3057">
        <v>-112.74</v>
      </c>
      <c r="AG3057">
        <v>-7.86</v>
      </c>
      <c r="AH3057">
        <v>-5.37</v>
      </c>
      <c r="AI3057">
        <v>-0.06</v>
      </c>
      <c r="AJ3057">
        <v>-0.03</v>
      </c>
      <c r="AK3057">
        <v>63</v>
      </c>
      <c r="AL3057">
        <v>73</v>
      </c>
      <c r="AM3057">
        <v>57</v>
      </c>
      <c r="AN3057">
        <v>-0.83</v>
      </c>
      <c r="AO3057">
        <v>-0.47</v>
      </c>
      <c r="AP3057">
        <v>8</v>
      </c>
      <c r="AQ3057">
        <v>3</v>
      </c>
      <c r="AR3057">
        <v>5.91</v>
      </c>
      <c r="AS3057">
        <v>39</v>
      </c>
      <c r="AT3057">
        <v>2.64</v>
      </c>
      <c r="AU3057">
        <v>52</v>
      </c>
      <c r="AV3057">
        <v>-0.04</v>
      </c>
      <c r="AW3057">
        <v>71</v>
      </c>
      <c r="AX3057">
        <v>-0.2</v>
      </c>
      <c r="AY3057">
        <v>67</v>
      </c>
      <c r="AZ3057">
        <v>7.01</v>
      </c>
      <c r="BA3057">
        <v>34</v>
      </c>
      <c r="BB3057">
        <v>4.8099999999999996</v>
      </c>
      <c r="BC3057">
        <v>49</v>
      </c>
      <c r="BD3057">
        <v>0.01</v>
      </c>
      <c r="BE3057">
        <v>-0.01</v>
      </c>
      <c r="BF3057">
        <v>-0.14000000000000001</v>
      </c>
      <c r="BG3057">
        <v>83</v>
      </c>
      <c r="BH3057">
        <v>0.1</v>
      </c>
      <c r="BI3057">
        <v>8.23</v>
      </c>
      <c r="BJ3057">
        <v>28</v>
      </c>
      <c r="BK3057">
        <v>23</v>
      </c>
      <c r="BL3057">
        <v>1.1100000000000001</v>
      </c>
      <c r="BM3057">
        <v>-0.41</v>
      </c>
      <c r="BN3057">
        <v>0.18</v>
      </c>
      <c r="BO3057">
        <v>0.65</v>
      </c>
      <c r="BP3057">
        <v>1.02</v>
      </c>
      <c r="BQ3057">
        <v>0.64</v>
      </c>
      <c r="BR3057">
        <v>-2.7</v>
      </c>
      <c r="BS3057">
        <v>0.62</v>
      </c>
      <c r="BT3057">
        <v>2.2000000000000002</v>
      </c>
      <c r="BU3057">
        <v>-0.81</v>
      </c>
      <c r="BV3057">
        <v>-0.28000000000000003</v>
      </c>
      <c r="BW3057">
        <v>-0.19</v>
      </c>
      <c r="BX3057">
        <v>1.0900000000000001</v>
      </c>
      <c r="BY3057">
        <v>-1.27</v>
      </c>
      <c r="BZ3057">
        <v>1.19</v>
      </c>
      <c r="CA3057">
        <v>0.66</v>
      </c>
      <c r="CB3057">
        <v>0.23</v>
      </c>
      <c r="CC3057">
        <v>1.23</v>
      </c>
      <c r="CD3057">
        <v>-0.38</v>
      </c>
      <c r="CE3057">
        <v>0.41</v>
      </c>
      <c r="CF3057">
        <v>0.5</v>
      </c>
      <c r="CG3057">
        <v>0</v>
      </c>
      <c r="CH3057">
        <v>-1.01</v>
      </c>
      <c r="CI3057">
        <v>0</v>
      </c>
      <c r="CJ3057">
        <v>0.4</v>
      </c>
      <c r="CK3057">
        <v>79</v>
      </c>
      <c r="CL3057">
        <v>-0.31</v>
      </c>
      <c r="CM3057">
        <v>75</v>
      </c>
      <c r="CN3057">
        <v>-0.2</v>
      </c>
      <c r="CO3057">
        <v>72</v>
      </c>
      <c r="CP3057">
        <v>-1.6</v>
      </c>
      <c r="CQ3057">
        <v>78</v>
      </c>
      <c r="CR3057">
        <v>0</v>
      </c>
      <c r="CS3057">
        <v>0</v>
      </c>
      <c r="CT3057">
        <v>0.4</v>
      </c>
      <c r="CU3057">
        <v>67</v>
      </c>
      <c r="CV3057">
        <v>0.11</v>
      </c>
      <c r="CW3057">
        <v>22</v>
      </c>
      <c r="CX3057" t="s">
        <v>128</v>
      </c>
    </row>
    <row r="3058" spans="1:102" x14ac:dyDescent="0.3">
      <c r="A3058" t="str">
        <f>HYPERLINK("https://webapp.icbf.com/v2/app/bull-search/view/124414697","GIM")</f>
        <v>GIM</v>
      </c>
      <c r="B3058" t="s">
        <v>8838</v>
      </c>
      <c r="C3058" t="s">
        <v>8839</v>
      </c>
      <c r="D3058" s="1">
        <v>36140</v>
      </c>
      <c r="E3058" t="s">
        <v>92</v>
      </c>
      <c r="F3058">
        <v>100</v>
      </c>
      <c r="G3058" t="s">
        <v>93</v>
      </c>
      <c r="H3058">
        <v>-7.61</v>
      </c>
      <c r="I3058">
        <v>87</v>
      </c>
      <c r="J3058">
        <v>-35.619999999999997</v>
      </c>
      <c r="K3058">
        <v>97</v>
      </c>
      <c r="L3058">
        <v>17.12</v>
      </c>
      <c r="M3058">
        <v>80</v>
      </c>
      <c r="N3058">
        <v>8.3000000000000007</v>
      </c>
      <c r="O3058">
        <v>81</v>
      </c>
      <c r="P3058">
        <v>1.84</v>
      </c>
      <c r="Q3058">
        <v>92</v>
      </c>
      <c r="R3058">
        <v>-0.39</v>
      </c>
      <c r="S3058">
        <v>80</v>
      </c>
      <c r="T3058">
        <v>9.31</v>
      </c>
      <c r="U3058">
        <v>85</v>
      </c>
      <c r="V3058">
        <v>-8.17</v>
      </c>
      <c r="W3058">
        <v>71</v>
      </c>
      <c r="X3058" t="s">
        <v>110</v>
      </c>
      <c r="Y3058" t="s">
        <v>95</v>
      </c>
      <c r="Z3058" t="s">
        <v>96</v>
      </c>
      <c r="AA3058" t="s">
        <v>643</v>
      </c>
      <c r="AB3058" t="s">
        <v>8840</v>
      </c>
      <c r="AC3058">
        <v>107</v>
      </c>
      <c r="AD3058">
        <v>93</v>
      </c>
      <c r="AE3058">
        <v>97</v>
      </c>
      <c r="AF3058">
        <v>-85.64</v>
      </c>
      <c r="AG3058">
        <v>-6.47</v>
      </c>
      <c r="AH3058">
        <v>-5.08</v>
      </c>
      <c r="AI3058">
        <v>-0.06</v>
      </c>
      <c r="AJ3058">
        <v>-0.04</v>
      </c>
      <c r="AK3058">
        <v>80</v>
      </c>
      <c r="AL3058">
        <v>95</v>
      </c>
      <c r="AM3058">
        <v>80</v>
      </c>
      <c r="AN3058">
        <v>-1.35</v>
      </c>
      <c r="AO3058">
        <v>0.01</v>
      </c>
      <c r="AP3058">
        <v>84</v>
      </c>
      <c r="AQ3058">
        <v>2</v>
      </c>
      <c r="AR3058">
        <v>9.6300000000000008</v>
      </c>
      <c r="AS3058">
        <v>69</v>
      </c>
      <c r="AT3058">
        <v>3.4</v>
      </c>
      <c r="AU3058">
        <v>84</v>
      </c>
      <c r="AV3058">
        <v>-1.54</v>
      </c>
      <c r="AW3058">
        <v>85</v>
      </c>
      <c r="AX3058">
        <v>-0.25</v>
      </c>
      <c r="AY3058">
        <v>84</v>
      </c>
      <c r="AZ3058">
        <v>5.86</v>
      </c>
      <c r="BA3058">
        <v>65</v>
      </c>
      <c r="BB3058">
        <v>4.4000000000000004</v>
      </c>
      <c r="BC3058">
        <v>70</v>
      </c>
      <c r="BD3058">
        <v>-0.03</v>
      </c>
      <c r="BE3058">
        <v>0.01</v>
      </c>
      <c r="BF3058">
        <v>0.04</v>
      </c>
      <c r="BG3058">
        <v>90</v>
      </c>
      <c r="BH3058">
        <v>-0.15</v>
      </c>
      <c r="BI3058">
        <v>9</v>
      </c>
      <c r="BJ3058">
        <v>13</v>
      </c>
      <c r="BK3058">
        <v>11</v>
      </c>
      <c r="BL3058">
        <v>-0.25</v>
      </c>
      <c r="BM3058">
        <v>-1.32</v>
      </c>
      <c r="BN3058">
        <v>-1.25</v>
      </c>
      <c r="BO3058">
        <v>-0.27</v>
      </c>
      <c r="BP3058">
        <v>2.2599999999999998</v>
      </c>
      <c r="BQ3058">
        <v>-2.63</v>
      </c>
      <c r="BR3058">
        <v>-1.73</v>
      </c>
      <c r="BS3058">
        <v>2.1800000000000002</v>
      </c>
      <c r="BT3058">
        <v>0.6</v>
      </c>
      <c r="BU3058">
        <v>-2.33</v>
      </c>
      <c r="BV3058">
        <v>-0.65</v>
      </c>
      <c r="BW3058">
        <v>0.41</v>
      </c>
      <c r="BX3058">
        <v>-1.06</v>
      </c>
      <c r="BY3058">
        <v>-0.03</v>
      </c>
      <c r="BZ3058">
        <v>1.83</v>
      </c>
      <c r="CA3058">
        <v>-0.25</v>
      </c>
      <c r="CB3058">
        <v>-1.27</v>
      </c>
      <c r="CC3058">
        <v>1.57</v>
      </c>
      <c r="CD3058">
        <v>0.01</v>
      </c>
      <c r="CE3058">
        <v>-0.44</v>
      </c>
      <c r="CF3058">
        <v>-0.89</v>
      </c>
      <c r="CG3058">
        <v>0</v>
      </c>
      <c r="CH3058">
        <v>-0.69</v>
      </c>
      <c r="CI3058">
        <v>0</v>
      </c>
      <c r="CJ3058">
        <v>0.8</v>
      </c>
      <c r="CK3058">
        <v>93</v>
      </c>
      <c r="CL3058">
        <v>-0.21</v>
      </c>
      <c r="CM3058">
        <v>92</v>
      </c>
      <c r="CN3058">
        <v>-0.35</v>
      </c>
      <c r="CO3058">
        <v>91</v>
      </c>
      <c r="CP3058">
        <v>-8</v>
      </c>
      <c r="CQ3058">
        <v>92</v>
      </c>
      <c r="CR3058">
        <v>0</v>
      </c>
      <c r="CS3058">
        <v>0</v>
      </c>
      <c r="CT3058">
        <v>1.2</v>
      </c>
      <c r="CU3058">
        <v>85</v>
      </c>
      <c r="CV3058">
        <v>0.06</v>
      </c>
      <c r="CW3058">
        <v>45</v>
      </c>
      <c r="CX3058" t="s">
        <v>1008</v>
      </c>
    </row>
    <row r="3059" spans="1:102" x14ac:dyDescent="0.3">
      <c r="A3059" t="str">
        <f>HYPERLINK("https://webapp.icbf.com/v2/app/bull-search/view/77858344","DGS")</f>
        <v>DGS</v>
      </c>
      <c r="B3059" t="s">
        <v>7418</v>
      </c>
      <c r="C3059" t="s">
        <v>7419</v>
      </c>
      <c r="D3059" s="1">
        <v>32419</v>
      </c>
      <c r="E3059" t="s">
        <v>92</v>
      </c>
      <c r="F3059">
        <v>100</v>
      </c>
      <c r="G3059" t="s">
        <v>109</v>
      </c>
      <c r="H3059">
        <v>-7.67</v>
      </c>
      <c r="I3059">
        <v>63</v>
      </c>
      <c r="J3059">
        <v>12.09</v>
      </c>
      <c r="K3059">
        <v>82</v>
      </c>
      <c r="L3059">
        <v>-13.91</v>
      </c>
      <c r="M3059">
        <v>60</v>
      </c>
      <c r="N3059">
        <v>4.04</v>
      </c>
      <c r="O3059">
        <v>45</v>
      </c>
      <c r="P3059">
        <v>-8.77</v>
      </c>
      <c r="Q3059">
        <v>55</v>
      </c>
      <c r="R3059">
        <v>-10.84</v>
      </c>
      <c r="S3059">
        <v>60</v>
      </c>
      <c r="T3059">
        <v>13.01</v>
      </c>
      <c r="U3059">
        <v>47</v>
      </c>
      <c r="V3059">
        <v>-3.29</v>
      </c>
      <c r="W3059">
        <v>30</v>
      </c>
      <c r="X3059" t="s">
        <v>110</v>
      </c>
      <c r="Y3059" t="s">
        <v>95</v>
      </c>
      <c r="Z3059" t="s">
        <v>96</v>
      </c>
      <c r="AA3059" t="s">
        <v>7420</v>
      </c>
      <c r="AB3059" t="s">
        <v>7421</v>
      </c>
      <c r="AC3059">
        <v>0</v>
      </c>
      <c r="AD3059">
        <v>0</v>
      </c>
      <c r="AE3059">
        <v>82</v>
      </c>
      <c r="AF3059">
        <v>-11.98</v>
      </c>
      <c r="AG3059">
        <v>5.66</v>
      </c>
      <c r="AH3059">
        <v>-0.13</v>
      </c>
      <c r="AI3059">
        <v>0.1</v>
      </c>
      <c r="AJ3059">
        <v>0</v>
      </c>
      <c r="AK3059">
        <v>60</v>
      </c>
      <c r="AL3059">
        <v>0</v>
      </c>
      <c r="AM3059">
        <v>0</v>
      </c>
      <c r="AN3059">
        <v>-7.0000000000000007E-2</v>
      </c>
      <c r="AO3059">
        <v>-1.19</v>
      </c>
      <c r="AP3059">
        <v>10</v>
      </c>
      <c r="AQ3059">
        <v>0</v>
      </c>
      <c r="AR3059">
        <v>7.91</v>
      </c>
      <c r="AS3059">
        <v>25</v>
      </c>
      <c r="AT3059">
        <v>3.58</v>
      </c>
      <c r="AU3059">
        <v>48</v>
      </c>
      <c r="AV3059">
        <v>-0.37</v>
      </c>
      <c r="AW3059">
        <v>51</v>
      </c>
      <c r="AX3059">
        <v>-0.59</v>
      </c>
      <c r="AY3059">
        <v>49</v>
      </c>
      <c r="AZ3059">
        <v>5.23</v>
      </c>
      <c r="BA3059">
        <v>24</v>
      </c>
      <c r="BB3059">
        <v>4.37</v>
      </c>
      <c r="BC3059">
        <v>31</v>
      </c>
      <c r="BD3059">
        <v>0.02</v>
      </c>
      <c r="BE3059">
        <v>0.04</v>
      </c>
      <c r="BF3059">
        <v>0.14000000000000001</v>
      </c>
      <c r="BG3059">
        <v>82</v>
      </c>
      <c r="BH3059">
        <v>-0.05</v>
      </c>
      <c r="BI3059">
        <v>4.83</v>
      </c>
      <c r="BJ3059">
        <v>1</v>
      </c>
      <c r="BK3059">
        <v>1</v>
      </c>
      <c r="BL3059">
        <v>0.4</v>
      </c>
      <c r="BM3059">
        <v>0.03</v>
      </c>
      <c r="BN3059">
        <v>0.03</v>
      </c>
      <c r="BO3059">
        <v>0.33</v>
      </c>
      <c r="BP3059">
        <v>0.53</v>
      </c>
      <c r="BQ3059">
        <v>0.27</v>
      </c>
      <c r="BR3059">
        <v>-0.12</v>
      </c>
      <c r="BS3059">
        <v>-0.41</v>
      </c>
      <c r="BT3059">
        <v>0.57999999999999996</v>
      </c>
      <c r="BU3059">
        <v>-0.84</v>
      </c>
      <c r="BV3059">
        <v>-0.78</v>
      </c>
      <c r="BW3059">
        <v>-0.36</v>
      </c>
      <c r="BX3059">
        <v>-0.88</v>
      </c>
      <c r="BY3059">
        <v>-1.78</v>
      </c>
      <c r="BZ3059">
        <v>1.24</v>
      </c>
      <c r="CA3059">
        <v>-0.79</v>
      </c>
      <c r="CB3059">
        <v>-0.96</v>
      </c>
      <c r="CC3059">
        <v>-0.08</v>
      </c>
      <c r="CD3059">
        <v>-0.91</v>
      </c>
      <c r="CE3059">
        <v>0.33</v>
      </c>
      <c r="CF3059">
        <v>0.2</v>
      </c>
      <c r="CG3059">
        <v>0</v>
      </c>
      <c r="CH3059">
        <v>-1.17</v>
      </c>
      <c r="CI3059">
        <v>0</v>
      </c>
      <c r="CJ3059">
        <v>-2.9</v>
      </c>
      <c r="CK3059">
        <v>58</v>
      </c>
      <c r="CL3059">
        <v>-0.91</v>
      </c>
      <c r="CM3059">
        <v>51</v>
      </c>
      <c r="CN3059">
        <v>-0.44</v>
      </c>
      <c r="CO3059">
        <v>46</v>
      </c>
      <c r="CP3059">
        <v>-3.5</v>
      </c>
      <c r="CQ3059">
        <v>58</v>
      </c>
      <c r="CR3059">
        <v>0</v>
      </c>
      <c r="CS3059">
        <v>0</v>
      </c>
      <c r="CT3059">
        <v>-3.8</v>
      </c>
      <c r="CU3059">
        <v>47</v>
      </c>
      <c r="CV3059">
        <v>0.21</v>
      </c>
      <c r="CW3059">
        <v>16</v>
      </c>
      <c r="CX3059" t="s">
        <v>648</v>
      </c>
    </row>
    <row r="3060" spans="1:102" x14ac:dyDescent="0.3">
      <c r="A3060" t="str">
        <f>HYPERLINK("https://webapp.icbf.com/v2/app/bull-search/view/69091909","HRY")</f>
        <v>HRY</v>
      </c>
      <c r="B3060" t="s">
        <v>2759</v>
      </c>
      <c r="C3060" t="s">
        <v>2760</v>
      </c>
      <c r="D3060" s="1">
        <v>33811</v>
      </c>
      <c r="E3060" t="s">
        <v>92</v>
      </c>
      <c r="F3060">
        <v>100</v>
      </c>
      <c r="G3060" t="s">
        <v>116</v>
      </c>
      <c r="H3060">
        <v>-7.68</v>
      </c>
      <c r="I3060">
        <v>46</v>
      </c>
      <c r="J3060">
        <v>-6.86</v>
      </c>
      <c r="K3060">
        <v>55</v>
      </c>
      <c r="L3060">
        <v>-19.25</v>
      </c>
      <c r="M3060">
        <v>34</v>
      </c>
      <c r="N3060">
        <v>5.86</v>
      </c>
      <c r="O3060">
        <v>48</v>
      </c>
      <c r="P3060">
        <v>-6.1</v>
      </c>
      <c r="Q3060">
        <v>73</v>
      </c>
      <c r="R3060">
        <v>3.91</v>
      </c>
      <c r="S3060">
        <v>36</v>
      </c>
      <c r="T3060">
        <v>13.9</v>
      </c>
      <c r="U3060">
        <v>49</v>
      </c>
      <c r="V3060">
        <v>0.86</v>
      </c>
      <c r="W3060">
        <v>25</v>
      </c>
      <c r="X3060" t="s">
        <v>94</v>
      </c>
      <c r="Y3060" t="s">
        <v>117</v>
      </c>
      <c r="Z3060">
        <v>0</v>
      </c>
      <c r="AA3060" t="s">
        <v>798</v>
      </c>
      <c r="AB3060" t="s">
        <v>2761</v>
      </c>
      <c r="AC3060">
        <v>8</v>
      </c>
      <c r="AD3060">
        <v>8</v>
      </c>
      <c r="AE3060">
        <v>55</v>
      </c>
      <c r="AF3060">
        <v>77.489999999999995</v>
      </c>
      <c r="AG3060">
        <v>0.14000000000000001</v>
      </c>
      <c r="AH3060">
        <v>-0.03</v>
      </c>
      <c r="AI3060">
        <v>-0.05</v>
      </c>
      <c r="AJ3060">
        <v>-0.04</v>
      </c>
      <c r="AK3060">
        <v>34</v>
      </c>
      <c r="AL3060">
        <v>7</v>
      </c>
      <c r="AM3060">
        <v>7</v>
      </c>
      <c r="AN3060">
        <v>1.46</v>
      </c>
      <c r="AO3060">
        <v>-7.0000000000000007E-2</v>
      </c>
      <c r="AP3060">
        <v>12</v>
      </c>
      <c r="AQ3060">
        <v>1</v>
      </c>
      <c r="AR3060">
        <v>10.28</v>
      </c>
      <c r="AS3060">
        <v>31</v>
      </c>
      <c r="AT3060">
        <v>4.37</v>
      </c>
      <c r="AU3060">
        <v>39</v>
      </c>
      <c r="AV3060">
        <v>-2.64</v>
      </c>
      <c r="AW3060">
        <v>65</v>
      </c>
      <c r="AX3060">
        <v>-0.39</v>
      </c>
      <c r="AY3060">
        <v>51</v>
      </c>
      <c r="AZ3060">
        <v>5.23</v>
      </c>
      <c r="BA3060">
        <v>20</v>
      </c>
      <c r="BB3060">
        <v>4.37</v>
      </c>
      <c r="BC3060">
        <v>25</v>
      </c>
      <c r="BD3060">
        <v>-0.03</v>
      </c>
      <c r="BE3060">
        <v>0</v>
      </c>
      <c r="BF3060">
        <v>-0.04</v>
      </c>
      <c r="BG3060">
        <v>44</v>
      </c>
      <c r="BH3060">
        <v>-0.03</v>
      </c>
      <c r="BI3060">
        <v>-6.26</v>
      </c>
      <c r="BJ3060">
        <v>1</v>
      </c>
      <c r="BK3060">
        <v>1</v>
      </c>
      <c r="BL3060">
        <v>-0.04</v>
      </c>
      <c r="BM3060">
        <v>-0.09</v>
      </c>
      <c r="BN3060">
        <v>-0.6</v>
      </c>
      <c r="BO3060">
        <v>-0.26</v>
      </c>
      <c r="BP3060">
        <v>-0.22</v>
      </c>
      <c r="BQ3060">
        <v>-0.52</v>
      </c>
      <c r="BR3060">
        <v>-0.42</v>
      </c>
      <c r="BS3060">
        <v>0.89</v>
      </c>
      <c r="BT3060">
        <v>0.7</v>
      </c>
      <c r="BU3060">
        <v>0.21</v>
      </c>
      <c r="BV3060">
        <v>0.05</v>
      </c>
      <c r="BW3060">
        <v>0.03</v>
      </c>
      <c r="BX3060">
        <v>0.71</v>
      </c>
      <c r="BY3060">
        <v>-0.63</v>
      </c>
      <c r="BZ3060">
        <v>-0.04</v>
      </c>
      <c r="CA3060">
        <v>0</v>
      </c>
      <c r="CB3060">
        <v>-0.44</v>
      </c>
      <c r="CC3060">
        <v>0.74</v>
      </c>
      <c r="CD3060">
        <v>-0.17</v>
      </c>
      <c r="CE3060">
        <v>0.06</v>
      </c>
      <c r="CF3060">
        <v>-0.51</v>
      </c>
      <c r="CG3060">
        <v>0</v>
      </c>
      <c r="CH3060">
        <v>-0.61</v>
      </c>
      <c r="CI3060">
        <v>0</v>
      </c>
      <c r="CJ3060">
        <v>-2.4</v>
      </c>
      <c r="CK3060">
        <v>76</v>
      </c>
      <c r="CL3060">
        <v>-0.36</v>
      </c>
      <c r="CM3060">
        <v>72</v>
      </c>
      <c r="CN3060">
        <v>-0.16</v>
      </c>
      <c r="CO3060">
        <v>70</v>
      </c>
      <c r="CP3060">
        <v>-6.3</v>
      </c>
      <c r="CQ3060">
        <v>56</v>
      </c>
      <c r="CR3060">
        <v>0</v>
      </c>
      <c r="CS3060">
        <v>0</v>
      </c>
      <c r="CT3060">
        <v>-5</v>
      </c>
      <c r="CU3060">
        <v>49</v>
      </c>
      <c r="CV3060">
        <v>0.03</v>
      </c>
      <c r="CW3060">
        <v>21</v>
      </c>
      <c r="CX3060" t="s">
        <v>99</v>
      </c>
    </row>
    <row r="3061" spans="1:102" x14ac:dyDescent="0.3">
      <c r="A3061" t="str">
        <f>HYPERLINK("https://webapp.icbf.com/v2/app/bull-search/view/120440029","WIM")</f>
        <v>WIM</v>
      </c>
      <c r="B3061" t="s">
        <v>8160</v>
      </c>
      <c r="C3061" t="s">
        <v>1436</v>
      </c>
      <c r="D3061" s="1">
        <v>35661</v>
      </c>
      <c r="E3061" t="s">
        <v>92</v>
      </c>
      <c r="F3061">
        <v>91</v>
      </c>
      <c r="G3061" t="s">
        <v>93</v>
      </c>
      <c r="H3061">
        <v>-7.7</v>
      </c>
      <c r="I3061">
        <v>96</v>
      </c>
      <c r="J3061">
        <v>88.45</v>
      </c>
      <c r="K3061">
        <v>99</v>
      </c>
      <c r="L3061">
        <v>-95.44</v>
      </c>
      <c r="M3061">
        <v>93</v>
      </c>
      <c r="N3061">
        <v>-2.42</v>
      </c>
      <c r="O3061">
        <v>95</v>
      </c>
      <c r="P3061">
        <v>-7.73</v>
      </c>
      <c r="Q3061">
        <v>98</v>
      </c>
      <c r="R3061">
        <v>-9.8699999999999992</v>
      </c>
      <c r="S3061">
        <v>92</v>
      </c>
      <c r="T3061">
        <v>18.27</v>
      </c>
      <c r="U3061">
        <v>96</v>
      </c>
      <c r="V3061">
        <v>1.04</v>
      </c>
      <c r="W3061">
        <v>92</v>
      </c>
      <c r="X3061" t="s">
        <v>94</v>
      </c>
      <c r="Y3061" t="s">
        <v>95</v>
      </c>
      <c r="Z3061" t="s">
        <v>96</v>
      </c>
      <c r="AA3061" t="s">
        <v>2438</v>
      </c>
      <c r="AB3061" t="s">
        <v>8161</v>
      </c>
      <c r="AC3061">
        <v>388</v>
      </c>
      <c r="AD3061">
        <v>157</v>
      </c>
      <c r="AE3061">
        <v>99</v>
      </c>
      <c r="AF3061">
        <v>260.08999999999997</v>
      </c>
      <c r="AG3061">
        <v>13.27</v>
      </c>
      <c r="AH3061">
        <v>14.33</v>
      </c>
      <c r="AI3061">
        <v>0.05</v>
      </c>
      <c r="AJ3061">
        <v>0.09</v>
      </c>
      <c r="AK3061">
        <v>93</v>
      </c>
      <c r="AL3061">
        <v>367</v>
      </c>
      <c r="AM3061">
        <v>149</v>
      </c>
      <c r="AN3061">
        <v>4.53</v>
      </c>
      <c r="AO3061">
        <v>-3.09</v>
      </c>
      <c r="AP3061">
        <v>684</v>
      </c>
      <c r="AQ3061">
        <v>1</v>
      </c>
      <c r="AR3061">
        <v>8.67</v>
      </c>
      <c r="AS3061">
        <v>90</v>
      </c>
      <c r="AT3061">
        <v>2.9</v>
      </c>
      <c r="AU3061">
        <v>97</v>
      </c>
      <c r="AV3061">
        <v>-0.53</v>
      </c>
      <c r="AW3061">
        <v>98</v>
      </c>
      <c r="AX3061">
        <v>0.67</v>
      </c>
      <c r="AY3061">
        <v>95</v>
      </c>
      <c r="AZ3061">
        <v>6.65</v>
      </c>
      <c r="BA3061">
        <v>87</v>
      </c>
      <c r="BB3061">
        <v>5.71</v>
      </c>
      <c r="BC3061">
        <v>88</v>
      </c>
      <c r="BD3061">
        <v>0</v>
      </c>
      <c r="BE3061">
        <v>0.03</v>
      </c>
      <c r="BF3061">
        <v>0.17</v>
      </c>
      <c r="BG3061">
        <v>97</v>
      </c>
      <c r="BH3061">
        <v>-0.03</v>
      </c>
      <c r="BI3061">
        <v>-6.81</v>
      </c>
      <c r="BJ3061">
        <v>33</v>
      </c>
      <c r="BK3061">
        <v>19</v>
      </c>
      <c r="BL3061">
        <v>-0.5</v>
      </c>
      <c r="BM3061">
        <v>-0.83</v>
      </c>
      <c r="BN3061">
        <v>-0.76</v>
      </c>
      <c r="BO3061">
        <v>-0.03</v>
      </c>
      <c r="BP3061">
        <v>-1.02</v>
      </c>
      <c r="BQ3061">
        <v>-1.02</v>
      </c>
      <c r="BR3061">
        <v>1.45</v>
      </c>
      <c r="BS3061">
        <v>-1.35</v>
      </c>
      <c r="BT3061">
        <v>0</v>
      </c>
      <c r="BU3061">
        <v>-0.69</v>
      </c>
      <c r="BV3061">
        <v>-0.87</v>
      </c>
      <c r="BW3061">
        <v>-0.9</v>
      </c>
      <c r="BX3061">
        <v>-0.71</v>
      </c>
      <c r="BY3061">
        <v>-0.6</v>
      </c>
      <c r="BZ3061">
        <v>-0.18</v>
      </c>
      <c r="CA3061">
        <v>-0.74</v>
      </c>
      <c r="CB3061">
        <v>-0.48</v>
      </c>
      <c r="CC3061">
        <v>-0.9</v>
      </c>
      <c r="CD3061">
        <v>-0.65</v>
      </c>
      <c r="CE3061">
        <v>0</v>
      </c>
      <c r="CF3061">
        <v>-0.69</v>
      </c>
      <c r="CG3061">
        <v>0</v>
      </c>
      <c r="CH3061">
        <v>-0.35</v>
      </c>
      <c r="CI3061">
        <v>0</v>
      </c>
      <c r="CJ3061">
        <v>0</v>
      </c>
      <c r="CK3061">
        <v>98</v>
      </c>
      <c r="CL3061">
        <v>-0.66</v>
      </c>
      <c r="CM3061">
        <v>98</v>
      </c>
      <c r="CN3061">
        <v>-0.05</v>
      </c>
      <c r="CO3061">
        <v>98</v>
      </c>
      <c r="CP3061">
        <v>-10</v>
      </c>
      <c r="CQ3061">
        <v>97</v>
      </c>
      <c r="CR3061">
        <v>0</v>
      </c>
      <c r="CS3061">
        <v>0</v>
      </c>
      <c r="CT3061">
        <v>-10.9</v>
      </c>
      <c r="CU3061">
        <v>96</v>
      </c>
      <c r="CV3061">
        <v>0.24</v>
      </c>
      <c r="CW3061">
        <v>46</v>
      </c>
      <c r="CX3061" t="s">
        <v>3343</v>
      </c>
    </row>
    <row r="3062" spans="1:102" x14ac:dyDescent="0.3">
      <c r="A3062" t="str">
        <f>HYPERLINK("https://webapp.icbf.com/v2/app/bull-search/view/541279114","SZJ")</f>
        <v>SZJ</v>
      </c>
      <c r="B3062" t="s">
        <v>11734</v>
      </c>
      <c r="C3062" t="s">
        <v>11735</v>
      </c>
      <c r="D3062" s="1">
        <v>37233</v>
      </c>
      <c r="E3062" t="s">
        <v>140</v>
      </c>
      <c r="F3062">
        <v>0</v>
      </c>
      <c r="G3062" t="s">
        <v>109</v>
      </c>
      <c r="H3062">
        <v>-7.73</v>
      </c>
      <c r="I3062">
        <v>46</v>
      </c>
      <c r="J3062">
        <v>-16.98</v>
      </c>
      <c r="K3062">
        <v>76</v>
      </c>
      <c r="L3062">
        <v>24.22</v>
      </c>
      <c r="M3062">
        <v>25</v>
      </c>
      <c r="N3062">
        <v>-17.420000000000002</v>
      </c>
      <c r="O3062">
        <v>34</v>
      </c>
      <c r="P3062">
        <v>13.45</v>
      </c>
      <c r="Q3062">
        <v>58</v>
      </c>
      <c r="R3062">
        <v>-5.13</v>
      </c>
      <c r="S3062">
        <v>29</v>
      </c>
      <c r="T3062">
        <v>6.72</v>
      </c>
      <c r="U3062">
        <v>44</v>
      </c>
      <c r="V3062">
        <v>-12.59</v>
      </c>
      <c r="W3062">
        <v>10</v>
      </c>
      <c r="X3062" t="s">
        <v>94</v>
      </c>
      <c r="Y3062" t="s">
        <v>221</v>
      </c>
      <c r="Z3062">
        <v>0</v>
      </c>
      <c r="AA3062" t="s">
        <v>5361</v>
      </c>
      <c r="AB3062" t="s">
        <v>11736</v>
      </c>
      <c r="AC3062">
        <v>0</v>
      </c>
      <c r="AD3062">
        <v>0</v>
      </c>
      <c r="AE3062">
        <v>76</v>
      </c>
      <c r="AF3062">
        <v>-54.45</v>
      </c>
      <c r="AG3062">
        <v>-3.31</v>
      </c>
      <c r="AH3062">
        <v>-2.5499999999999998</v>
      </c>
      <c r="AI3062">
        <v>-0.02</v>
      </c>
      <c r="AJ3062">
        <v>-0.01</v>
      </c>
      <c r="AK3062">
        <v>25</v>
      </c>
      <c r="AL3062">
        <v>7</v>
      </c>
      <c r="AM3062">
        <v>2</v>
      </c>
      <c r="AN3062">
        <v>-1.45</v>
      </c>
      <c r="AO3062">
        <v>0.48</v>
      </c>
      <c r="AP3062">
        <v>10</v>
      </c>
      <c r="AQ3062">
        <v>1</v>
      </c>
      <c r="AR3062">
        <v>7.95</v>
      </c>
      <c r="AS3062">
        <v>14</v>
      </c>
      <c r="AT3062">
        <v>4.18</v>
      </c>
      <c r="AU3062">
        <v>25</v>
      </c>
      <c r="AV3062">
        <v>1.83</v>
      </c>
      <c r="AW3062">
        <v>53</v>
      </c>
      <c r="AX3062">
        <v>0.05</v>
      </c>
      <c r="AY3062">
        <v>34</v>
      </c>
      <c r="AZ3062">
        <v>4.8099999999999996</v>
      </c>
      <c r="BA3062">
        <v>11</v>
      </c>
      <c r="BB3062">
        <v>3.6</v>
      </c>
      <c r="BC3062">
        <v>12</v>
      </c>
      <c r="BD3062">
        <v>0</v>
      </c>
      <c r="BE3062">
        <v>0.02</v>
      </c>
      <c r="BF3062">
        <v>0.08</v>
      </c>
      <c r="BG3062">
        <v>36</v>
      </c>
      <c r="BH3062">
        <v>-0.36</v>
      </c>
      <c r="BI3062">
        <v>-1.04</v>
      </c>
      <c r="BJ3062">
        <v>0</v>
      </c>
      <c r="BK3062">
        <v>0</v>
      </c>
      <c r="BL3062">
        <v>-0.89</v>
      </c>
      <c r="BM3062">
        <v>2.84</v>
      </c>
      <c r="BN3062">
        <v>-1.72</v>
      </c>
      <c r="BO3062">
        <v>-2.65</v>
      </c>
      <c r="BP3062">
        <v>3.96</v>
      </c>
      <c r="BQ3062">
        <v>-2.36</v>
      </c>
      <c r="BR3062">
        <v>-2.59</v>
      </c>
      <c r="BS3062">
        <v>-0.41</v>
      </c>
      <c r="BT3062">
        <v>2.44</v>
      </c>
      <c r="BU3062">
        <v>-3.13</v>
      </c>
      <c r="BV3062">
        <v>-3.6</v>
      </c>
      <c r="BW3062">
        <v>-2.79</v>
      </c>
      <c r="BX3062">
        <v>-2.5099999999999998</v>
      </c>
      <c r="BY3062">
        <v>-2.04</v>
      </c>
      <c r="BZ3062">
        <v>1.1000000000000001</v>
      </c>
      <c r="CA3062">
        <v>-2.2599999999999998</v>
      </c>
      <c r="CB3062">
        <v>-2.88</v>
      </c>
      <c r="CC3062">
        <v>-0.36</v>
      </c>
      <c r="CD3062">
        <v>3.41</v>
      </c>
      <c r="CE3062">
        <v>-2.64</v>
      </c>
      <c r="CF3062">
        <v>-1.1499999999999999</v>
      </c>
      <c r="CG3062">
        <v>0</v>
      </c>
      <c r="CH3062">
        <v>-2.33</v>
      </c>
      <c r="CI3062">
        <v>0</v>
      </c>
      <c r="CJ3062">
        <v>5.2</v>
      </c>
      <c r="CK3062">
        <v>62</v>
      </c>
      <c r="CL3062">
        <v>0.28999999999999998</v>
      </c>
      <c r="CM3062">
        <v>56</v>
      </c>
      <c r="CN3062">
        <v>-0.21</v>
      </c>
      <c r="CO3062">
        <v>52</v>
      </c>
      <c r="CP3062">
        <v>5.5</v>
      </c>
      <c r="CQ3062">
        <v>49</v>
      </c>
      <c r="CR3062">
        <v>0</v>
      </c>
      <c r="CS3062">
        <v>0</v>
      </c>
      <c r="CT3062">
        <v>4.7</v>
      </c>
      <c r="CU3062">
        <v>44</v>
      </c>
      <c r="CV3062">
        <v>-0.11</v>
      </c>
      <c r="CW3062">
        <v>16</v>
      </c>
      <c r="CX3062" t="s">
        <v>141</v>
      </c>
    </row>
    <row r="3063" spans="1:102" x14ac:dyDescent="0.3">
      <c r="A3063" t="str">
        <f>HYPERLINK("https://webapp.icbf.com/v2/app/bull-search/view/1417508997","S3238")</f>
        <v>S3238</v>
      </c>
      <c r="B3063" t="s">
        <v>14784</v>
      </c>
      <c r="C3063" t="s">
        <v>14785</v>
      </c>
      <c r="D3063" s="1">
        <v>42088</v>
      </c>
      <c r="E3063" t="s">
        <v>92</v>
      </c>
      <c r="F3063">
        <v>100</v>
      </c>
      <c r="G3063" t="s">
        <v>109</v>
      </c>
      <c r="H3063">
        <v>-7.78</v>
      </c>
      <c r="I3063">
        <v>70</v>
      </c>
      <c r="J3063">
        <v>36.78</v>
      </c>
      <c r="K3063">
        <v>90</v>
      </c>
      <c r="L3063">
        <v>-35.630000000000003</v>
      </c>
      <c r="M3063">
        <v>69</v>
      </c>
      <c r="N3063">
        <v>-15.46</v>
      </c>
      <c r="O3063">
        <v>61</v>
      </c>
      <c r="P3063">
        <v>-4.96</v>
      </c>
      <c r="Q3063">
        <v>42</v>
      </c>
      <c r="R3063">
        <v>14</v>
      </c>
      <c r="S3063">
        <v>66</v>
      </c>
      <c r="T3063">
        <v>-8.82</v>
      </c>
      <c r="U3063">
        <v>39</v>
      </c>
      <c r="V3063">
        <v>6.31</v>
      </c>
      <c r="W3063">
        <v>53</v>
      </c>
      <c r="X3063" t="s">
        <v>110</v>
      </c>
      <c r="Y3063" t="s">
        <v>453</v>
      </c>
      <c r="Z3063" t="s">
        <v>96</v>
      </c>
      <c r="AA3063" t="s">
        <v>2311</v>
      </c>
      <c r="AB3063" t="s">
        <v>14786</v>
      </c>
      <c r="AC3063">
        <v>0</v>
      </c>
      <c r="AD3063">
        <v>0</v>
      </c>
      <c r="AE3063">
        <v>90</v>
      </c>
      <c r="AF3063">
        <v>497.61</v>
      </c>
      <c r="AG3063">
        <v>9.02</v>
      </c>
      <c r="AH3063">
        <v>10.68</v>
      </c>
      <c r="AI3063">
        <v>-0.17</v>
      </c>
      <c r="AJ3063">
        <v>-0.1</v>
      </c>
      <c r="AK3063">
        <v>69</v>
      </c>
      <c r="AL3063">
        <v>0</v>
      </c>
      <c r="AM3063">
        <v>0</v>
      </c>
      <c r="AN3063">
        <v>3.61</v>
      </c>
      <c r="AO3063">
        <v>0.79</v>
      </c>
      <c r="AP3063">
        <v>1</v>
      </c>
      <c r="AQ3063">
        <v>0</v>
      </c>
      <c r="AR3063">
        <v>9.61</v>
      </c>
      <c r="AS3063">
        <v>53</v>
      </c>
      <c r="AT3063">
        <v>4.82</v>
      </c>
      <c r="AU3063">
        <v>90</v>
      </c>
      <c r="AV3063">
        <v>-0.59</v>
      </c>
      <c r="AW3063">
        <v>60</v>
      </c>
      <c r="AX3063">
        <v>0.7</v>
      </c>
      <c r="AY3063">
        <v>45</v>
      </c>
      <c r="AZ3063">
        <v>5.51</v>
      </c>
      <c r="BA3063">
        <v>36</v>
      </c>
      <c r="BB3063">
        <v>4.1399999999999997</v>
      </c>
      <c r="BC3063">
        <v>34</v>
      </c>
      <c r="BD3063">
        <v>-0.06</v>
      </c>
      <c r="BE3063">
        <v>-0.08</v>
      </c>
      <c r="BF3063">
        <v>-7.0000000000000007E-2</v>
      </c>
      <c r="BG3063">
        <v>83</v>
      </c>
      <c r="BH3063">
        <v>0.19</v>
      </c>
      <c r="BI3063">
        <v>1.64</v>
      </c>
      <c r="BJ3063">
        <v>0</v>
      </c>
      <c r="BK3063">
        <v>0</v>
      </c>
      <c r="BL3063">
        <v>2.89</v>
      </c>
      <c r="BM3063">
        <v>1.03</v>
      </c>
      <c r="BN3063">
        <v>1.86</v>
      </c>
      <c r="BO3063">
        <v>1.35</v>
      </c>
      <c r="BP3063">
        <v>1.81</v>
      </c>
      <c r="BQ3063">
        <v>4.6100000000000003</v>
      </c>
      <c r="BR3063">
        <v>-1.7</v>
      </c>
      <c r="BS3063">
        <v>3.3</v>
      </c>
      <c r="BT3063">
        <v>2.61</v>
      </c>
      <c r="BU3063">
        <v>4.22</v>
      </c>
      <c r="BV3063">
        <v>4.3099999999999996</v>
      </c>
      <c r="BW3063">
        <v>2.78</v>
      </c>
      <c r="BX3063">
        <v>3.83</v>
      </c>
      <c r="BY3063">
        <v>3.33</v>
      </c>
      <c r="BZ3063">
        <v>-1.18</v>
      </c>
      <c r="CA3063">
        <v>3.51</v>
      </c>
      <c r="CB3063">
        <v>2.98</v>
      </c>
      <c r="CC3063">
        <v>2.59</v>
      </c>
      <c r="CD3063">
        <v>-0.77</v>
      </c>
      <c r="CE3063">
        <v>0.28999999999999998</v>
      </c>
      <c r="CF3063">
        <v>1.32</v>
      </c>
      <c r="CG3063">
        <v>0</v>
      </c>
      <c r="CH3063">
        <v>2.66</v>
      </c>
      <c r="CI3063">
        <v>0</v>
      </c>
      <c r="CJ3063">
        <v>-1.5</v>
      </c>
      <c r="CK3063">
        <v>42</v>
      </c>
      <c r="CL3063">
        <v>-1.47</v>
      </c>
      <c r="CM3063">
        <v>42</v>
      </c>
      <c r="CN3063">
        <v>-0.94</v>
      </c>
      <c r="CO3063">
        <v>41</v>
      </c>
      <c r="CP3063">
        <v>8.5</v>
      </c>
      <c r="CQ3063">
        <v>39</v>
      </c>
      <c r="CR3063">
        <v>0</v>
      </c>
      <c r="CS3063">
        <v>0</v>
      </c>
      <c r="CT3063">
        <v>25.7</v>
      </c>
      <c r="CU3063">
        <v>39</v>
      </c>
      <c r="CV3063">
        <v>0.15</v>
      </c>
      <c r="CW3063">
        <v>33</v>
      </c>
      <c r="CX3063" t="s">
        <v>10296</v>
      </c>
    </row>
    <row r="3064" spans="1:102" x14ac:dyDescent="0.3">
      <c r="A3064" t="str">
        <f>HYPERLINK("https://webapp.icbf.com/v2/app/bull-search/view/69092152","LNE")</f>
        <v>LNE</v>
      </c>
      <c r="B3064" t="s">
        <v>144</v>
      </c>
      <c r="C3064" t="s">
        <v>15651</v>
      </c>
      <c r="D3064" s="1">
        <v>32934</v>
      </c>
      <c r="E3064" t="s">
        <v>895</v>
      </c>
      <c r="F3064">
        <v>0</v>
      </c>
      <c r="G3064" t="s">
        <v>116</v>
      </c>
      <c r="H3064">
        <v>-7.87</v>
      </c>
      <c r="I3064">
        <v>37</v>
      </c>
      <c r="J3064">
        <v>-0.78</v>
      </c>
      <c r="K3064">
        <v>66</v>
      </c>
      <c r="L3064">
        <v>-37.32</v>
      </c>
      <c r="M3064">
        <v>20</v>
      </c>
      <c r="N3064">
        <v>8.91</v>
      </c>
      <c r="O3064">
        <v>33</v>
      </c>
      <c r="P3064">
        <v>-4.74</v>
      </c>
      <c r="Q3064">
        <v>27</v>
      </c>
      <c r="R3064">
        <v>6.29</v>
      </c>
      <c r="S3064">
        <v>23</v>
      </c>
      <c r="T3064">
        <v>24.11</v>
      </c>
      <c r="U3064">
        <v>20</v>
      </c>
      <c r="V3064">
        <v>-4.34</v>
      </c>
      <c r="W3064">
        <v>13</v>
      </c>
      <c r="X3064" t="s">
        <v>276</v>
      </c>
      <c r="Y3064" t="s">
        <v>95</v>
      </c>
      <c r="Z3064">
        <v>0</v>
      </c>
      <c r="AA3064" t="s">
        <v>144</v>
      </c>
      <c r="AB3064" t="s">
        <v>144</v>
      </c>
      <c r="AC3064">
        <v>10</v>
      </c>
      <c r="AD3064">
        <v>8</v>
      </c>
      <c r="AE3064">
        <v>66</v>
      </c>
      <c r="AF3064">
        <v>-166.04</v>
      </c>
      <c r="AG3064">
        <v>3.52</v>
      </c>
      <c r="AH3064">
        <v>-3.92</v>
      </c>
      <c r="AI3064">
        <v>0.17</v>
      </c>
      <c r="AJ3064">
        <v>0.03</v>
      </c>
      <c r="AK3064">
        <v>20</v>
      </c>
      <c r="AL3064">
        <v>7</v>
      </c>
      <c r="AM3064">
        <v>6</v>
      </c>
      <c r="AN3064">
        <v>4.08</v>
      </c>
      <c r="AO3064">
        <v>1.1299999999999999</v>
      </c>
      <c r="AP3064">
        <v>7</v>
      </c>
      <c r="AQ3064">
        <v>0</v>
      </c>
      <c r="AR3064">
        <v>6.42</v>
      </c>
      <c r="AS3064">
        <v>7</v>
      </c>
      <c r="AT3064">
        <v>3.09</v>
      </c>
      <c r="AU3064">
        <v>22</v>
      </c>
      <c r="AV3064">
        <v>-0.34</v>
      </c>
      <c r="AW3064">
        <v>51</v>
      </c>
      <c r="AX3064">
        <v>-0.83</v>
      </c>
      <c r="AY3064">
        <v>35</v>
      </c>
      <c r="AZ3064">
        <v>6.13</v>
      </c>
      <c r="BA3064">
        <v>4</v>
      </c>
      <c r="BB3064">
        <v>4.9400000000000004</v>
      </c>
      <c r="BC3064">
        <v>14</v>
      </c>
      <c r="BD3064">
        <v>-0.01</v>
      </c>
      <c r="BE3064">
        <v>-0.02</v>
      </c>
      <c r="BF3064">
        <v>-0.09</v>
      </c>
      <c r="BG3064">
        <v>30</v>
      </c>
      <c r="BH3064">
        <v>-0.11</v>
      </c>
      <c r="BI3064">
        <v>1.29</v>
      </c>
      <c r="BJ3064">
        <v>0</v>
      </c>
      <c r="BK3064">
        <v>0</v>
      </c>
      <c r="BL3064">
        <v>0</v>
      </c>
      <c r="BM3064">
        <v>0</v>
      </c>
      <c r="BN3064">
        <v>0</v>
      </c>
      <c r="BO3064">
        <v>0</v>
      </c>
      <c r="BP3064">
        <v>0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-2.4</v>
      </c>
      <c r="CK3064">
        <v>29</v>
      </c>
      <c r="CL3064">
        <v>0.04</v>
      </c>
      <c r="CM3064">
        <v>25</v>
      </c>
      <c r="CN3064">
        <v>0.03</v>
      </c>
      <c r="CO3064">
        <v>19</v>
      </c>
      <c r="CP3064">
        <v>-9.9</v>
      </c>
      <c r="CQ3064">
        <v>34</v>
      </c>
      <c r="CR3064">
        <v>0</v>
      </c>
      <c r="CS3064">
        <v>0</v>
      </c>
      <c r="CT3064">
        <v>-18.8</v>
      </c>
      <c r="CU3064">
        <v>20</v>
      </c>
      <c r="CV3064">
        <v>-0.12</v>
      </c>
      <c r="CW3064">
        <v>6</v>
      </c>
      <c r="CX3064">
        <v>0</v>
      </c>
    </row>
    <row r="3065" spans="1:102" x14ac:dyDescent="0.3">
      <c r="A3065" t="str">
        <f>HYPERLINK("https://webapp.icbf.com/v2/app/bull-search/view/348163186","DLF")</f>
        <v>DLF</v>
      </c>
      <c r="B3065" t="s">
        <v>11827</v>
      </c>
      <c r="C3065" t="s">
        <v>11828</v>
      </c>
      <c r="D3065" s="1">
        <v>36243</v>
      </c>
      <c r="E3065" t="s">
        <v>92</v>
      </c>
      <c r="F3065">
        <v>100</v>
      </c>
      <c r="G3065" t="s">
        <v>93</v>
      </c>
      <c r="H3065">
        <v>-8.06</v>
      </c>
      <c r="I3065">
        <v>97</v>
      </c>
      <c r="J3065">
        <v>29.88</v>
      </c>
      <c r="K3065">
        <v>99</v>
      </c>
      <c r="L3065">
        <v>-81.87</v>
      </c>
      <c r="M3065">
        <v>94</v>
      </c>
      <c r="N3065">
        <v>24.46</v>
      </c>
      <c r="O3065">
        <v>98</v>
      </c>
      <c r="P3065">
        <v>-16.11</v>
      </c>
      <c r="Q3065">
        <v>99</v>
      </c>
      <c r="R3065">
        <v>5.17</v>
      </c>
      <c r="S3065">
        <v>97</v>
      </c>
      <c r="T3065">
        <v>25.15</v>
      </c>
      <c r="U3065">
        <v>99</v>
      </c>
      <c r="V3065">
        <v>5.26</v>
      </c>
      <c r="W3065">
        <v>97</v>
      </c>
      <c r="X3065" t="s">
        <v>94</v>
      </c>
      <c r="Y3065" t="s">
        <v>95</v>
      </c>
      <c r="Z3065" t="s">
        <v>96</v>
      </c>
      <c r="AA3065" t="s">
        <v>985</v>
      </c>
      <c r="AB3065" t="s">
        <v>1607</v>
      </c>
      <c r="AC3065">
        <v>1540</v>
      </c>
      <c r="AD3065">
        <v>669</v>
      </c>
      <c r="AE3065">
        <v>99</v>
      </c>
      <c r="AF3065">
        <v>-78.03</v>
      </c>
      <c r="AG3065">
        <v>11.5</v>
      </c>
      <c r="AH3065">
        <v>-0.18</v>
      </c>
      <c r="AI3065">
        <v>0.26</v>
      </c>
      <c r="AJ3065">
        <v>0.04</v>
      </c>
      <c r="AK3065">
        <v>94</v>
      </c>
      <c r="AL3065">
        <v>1574</v>
      </c>
      <c r="AM3065">
        <v>696</v>
      </c>
      <c r="AN3065">
        <v>4.3899999999999997</v>
      </c>
      <c r="AO3065">
        <v>-2.14</v>
      </c>
      <c r="AP3065">
        <v>2722</v>
      </c>
      <c r="AQ3065">
        <v>5</v>
      </c>
      <c r="AR3065">
        <v>9.2899999999999991</v>
      </c>
      <c r="AS3065">
        <v>99</v>
      </c>
      <c r="AT3065">
        <v>3.08</v>
      </c>
      <c r="AU3065">
        <v>98</v>
      </c>
      <c r="AV3065">
        <v>-3.38</v>
      </c>
      <c r="AW3065">
        <v>99</v>
      </c>
      <c r="AX3065">
        <v>0.95</v>
      </c>
      <c r="AY3065">
        <v>98</v>
      </c>
      <c r="AZ3065">
        <v>5.42</v>
      </c>
      <c r="BA3065">
        <v>95</v>
      </c>
      <c r="BB3065">
        <v>4.3899999999999997</v>
      </c>
      <c r="BC3065">
        <v>96</v>
      </c>
      <c r="BD3065">
        <v>-0.06</v>
      </c>
      <c r="BE3065">
        <v>-0.01</v>
      </c>
      <c r="BF3065">
        <v>0</v>
      </c>
      <c r="BG3065">
        <v>99</v>
      </c>
      <c r="BH3065">
        <v>0.08</v>
      </c>
      <c r="BI3065">
        <v>-7.72</v>
      </c>
      <c r="BJ3065">
        <v>157</v>
      </c>
      <c r="BK3065">
        <v>76</v>
      </c>
      <c r="BL3065">
        <v>-1.18</v>
      </c>
      <c r="BM3065">
        <v>-2.2799999999999998</v>
      </c>
      <c r="BN3065">
        <v>-1.72</v>
      </c>
      <c r="BO3065">
        <v>-0.22</v>
      </c>
      <c r="BP3065">
        <v>1.0900000000000001</v>
      </c>
      <c r="BQ3065">
        <v>-3.19</v>
      </c>
      <c r="BR3065">
        <v>0.61</v>
      </c>
      <c r="BS3065">
        <v>1.1100000000000001</v>
      </c>
      <c r="BT3065">
        <v>-0.17</v>
      </c>
      <c r="BU3065">
        <v>-0.62</v>
      </c>
      <c r="BV3065">
        <v>-0.23</v>
      </c>
      <c r="BW3065">
        <v>-0.39</v>
      </c>
      <c r="BX3065">
        <v>0.22</v>
      </c>
      <c r="BY3065">
        <v>0.12</v>
      </c>
      <c r="BZ3065">
        <v>-1.28</v>
      </c>
      <c r="CA3065">
        <v>-0.04</v>
      </c>
      <c r="CB3065">
        <v>0.01</v>
      </c>
      <c r="CC3065">
        <v>-0.23</v>
      </c>
      <c r="CD3065">
        <v>-1.35</v>
      </c>
      <c r="CE3065">
        <v>-0.37</v>
      </c>
      <c r="CF3065">
        <v>-2.08</v>
      </c>
      <c r="CG3065">
        <v>0</v>
      </c>
      <c r="CH3065">
        <v>-0.03</v>
      </c>
      <c r="CI3065">
        <v>0</v>
      </c>
      <c r="CJ3065">
        <v>-9.1</v>
      </c>
      <c r="CK3065">
        <v>99</v>
      </c>
      <c r="CL3065">
        <v>-0.55000000000000004</v>
      </c>
      <c r="CM3065">
        <v>99</v>
      </c>
      <c r="CN3065">
        <v>-0.38</v>
      </c>
      <c r="CO3065">
        <v>99</v>
      </c>
      <c r="CP3065">
        <v>-15.5</v>
      </c>
      <c r="CQ3065">
        <v>99</v>
      </c>
      <c r="CR3065">
        <v>0</v>
      </c>
      <c r="CS3065">
        <v>0</v>
      </c>
      <c r="CT3065">
        <v>-20.2</v>
      </c>
      <c r="CU3065">
        <v>99</v>
      </c>
      <c r="CV3065">
        <v>-0.04</v>
      </c>
      <c r="CW3065">
        <v>46</v>
      </c>
      <c r="CX3065" t="s">
        <v>188</v>
      </c>
    </row>
    <row r="3066" spans="1:102" x14ac:dyDescent="0.3">
      <c r="A3066" t="str">
        <f>HYPERLINK("https://webapp.icbf.com/v2/app/bull-search/view/68565571","SWD")</f>
        <v>SWD</v>
      </c>
      <c r="B3066" t="s">
        <v>14270</v>
      </c>
      <c r="C3066" t="s">
        <v>14271</v>
      </c>
      <c r="D3066" s="1">
        <v>35672</v>
      </c>
      <c r="E3066" t="s">
        <v>92</v>
      </c>
      <c r="F3066">
        <v>100</v>
      </c>
      <c r="G3066" t="s">
        <v>109</v>
      </c>
      <c r="H3066">
        <v>-8.2799999999999994</v>
      </c>
      <c r="I3066">
        <v>84</v>
      </c>
      <c r="J3066">
        <v>-28.15</v>
      </c>
      <c r="K3066">
        <v>94</v>
      </c>
      <c r="L3066">
        <v>-6.58</v>
      </c>
      <c r="M3066">
        <v>83</v>
      </c>
      <c r="N3066">
        <v>12.85</v>
      </c>
      <c r="O3066">
        <v>75</v>
      </c>
      <c r="P3066">
        <v>-2.5299999999999998</v>
      </c>
      <c r="Q3066">
        <v>83</v>
      </c>
      <c r="R3066">
        <v>10.1</v>
      </c>
      <c r="S3066">
        <v>76</v>
      </c>
      <c r="T3066">
        <v>5.32</v>
      </c>
      <c r="U3066">
        <v>72</v>
      </c>
      <c r="V3066">
        <v>0.71</v>
      </c>
      <c r="W3066">
        <v>68</v>
      </c>
      <c r="X3066" t="s">
        <v>94</v>
      </c>
      <c r="Y3066" t="s">
        <v>95</v>
      </c>
      <c r="Z3066" t="s">
        <v>96</v>
      </c>
      <c r="AA3066" t="s">
        <v>1247</v>
      </c>
      <c r="AB3066" t="s">
        <v>14272</v>
      </c>
      <c r="AC3066">
        <v>34</v>
      </c>
      <c r="AD3066">
        <v>24</v>
      </c>
      <c r="AE3066">
        <v>94</v>
      </c>
      <c r="AF3066">
        <v>163.57</v>
      </c>
      <c r="AG3066">
        <v>-7.22</v>
      </c>
      <c r="AH3066">
        <v>0.27</v>
      </c>
      <c r="AI3066">
        <v>-0.23</v>
      </c>
      <c r="AJ3066">
        <v>-0.09</v>
      </c>
      <c r="AK3066">
        <v>83</v>
      </c>
      <c r="AL3066">
        <v>29</v>
      </c>
      <c r="AM3066">
        <v>21</v>
      </c>
      <c r="AN3066">
        <v>2.29</v>
      </c>
      <c r="AO3066">
        <v>1.79</v>
      </c>
      <c r="AP3066">
        <v>55</v>
      </c>
      <c r="AQ3066">
        <v>3</v>
      </c>
      <c r="AR3066">
        <v>7.78</v>
      </c>
      <c r="AS3066">
        <v>69</v>
      </c>
      <c r="AT3066">
        <v>2.99</v>
      </c>
      <c r="AU3066">
        <v>79</v>
      </c>
      <c r="AV3066">
        <v>-0.77</v>
      </c>
      <c r="AW3066">
        <v>85</v>
      </c>
      <c r="AX3066">
        <v>-0.84</v>
      </c>
      <c r="AY3066">
        <v>67</v>
      </c>
      <c r="AZ3066">
        <v>5.24</v>
      </c>
      <c r="BA3066">
        <v>51</v>
      </c>
      <c r="BB3066">
        <v>4.55</v>
      </c>
      <c r="BC3066">
        <v>55</v>
      </c>
      <c r="BD3066">
        <v>-0.02</v>
      </c>
      <c r="BE3066">
        <v>-0.01</v>
      </c>
      <c r="BF3066">
        <v>-0.18</v>
      </c>
      <c r="BG3066">
        <v>88</v>
      </c>
      <c r="BH3066">
        <v>-0.11</v>
      </c>
      <c r="BI3066">
        <v>-15</v>
      </c>
      <c r="BJ3066">
        <v>4</v>
      </c>
      <c r="BK3066">
        <v>4</v>
      </c>
      <c r="BL3066">
        <v>0.37</v>
      </c>
      <c r="BM3066">
        <v>-0.46</v>
      </c>
      <c r="BN3066">
        <v>-1.72</v>
      </c>
      <c r="BO3066">
        <v>-0.85</v>
      </c>
      <c r="BP3066">
        <v>2.56</v>
      </c>
      <c r="BQ3066">
        <v>-0.4</v>
      </c>
      <c r="BR3066">
        <v>0.55000000000000004</v>
      </c>
      <c r="BS3066">
        <v>1.69</v>
      </c>
      <c r="BT3066">
        <v>-0.12</v>
      </c>
      <c r="BU3066">
        <v>2.67</v>
      </c>
      <c r="BV3066">
        <v>0.78</v>
      </c>
      <c r="BW3066">
        <v>1.25</v>
      </c>
      <c r="BX3066">
        <v>3.35</v>
      </c>
      <c r="BY3066">
        <v>1.42</v>
      </c>
      <c r="BZ3066">
        <v>-0.62</v>
      </c>
      <c r="CA3066">
        <v>2.33</v>
      </c>
      <c r="CB3066">
        <v>1.63</v>
      </c>
      <c r="CC3066">
        <v>1.74</v>
      </c>
      <c r="CD3066">
        <v>1.08</v>
      </c>
      <c r="CE3066">
        <v>0.55000000000000004</v>
      </c>
      <c r="CF3066">
        <v>0.23</v>
      </c>
      <c r="CG3066">
        <v>0</v>
      </c>
      <c r="CH3066">
        <v>1.64</v>
      </c>
      <c r="CI3066">
        <v>0</v>
      </c>
      <c r="CJ3066">
        <v>-1.7</v>
      </c>
      <c r="CK3066">
        <v>85</v>
      </c>
      <c r="CL3066">
        <v>-0.44</v>
      </c>
      <c r="CM3066">
        <v>82</v>
      </c>
      <c r="CN3066">
        <v>-0.4</v>
      </c>
      <c r="CO3066">
        <v>80</v>
      </c>
      <c r="CP3066">
        <v>-2.2000000000000002</v>
      </c>
      <c r="CQ3066">
        <v>79</v>
      </c>
      <c r="CR3066">
        <v>0</v>
      </c>
      <c r="CS3066">
        <v>0</v>
      </c>
      <c r="CT3066">
        <v>6.6</v>
      </c>
      <c r="CU3066">
        <v>72</v>
      </c>
      <c r="CV3066">
        <v>0.04</v>
      </c>
      <c r="CW3066">
        <v>42</v>
      </c>
      <c r="CX3066" t="s">
        <v>564</v>
      </c>
    </row>
    <row r="3067" spans="1:102" x14ac:dyDescent="0.3">
      <c r="A3067" t="str">
        <f>HYPERLINK("https://webapp.icbf.com/v2/app/bull-search/view/513998839","S497")</f>
        <v>S497</v>
      </c>
      <c r="B3067" t="s">
        <v>144</v>
      </c>
      <c r="C3067" t="s">
        <v>12296</v>
      </c>
      <c r="D3067" s="1">
        <v>36129</v>
      </c>
      <c r="E3067" t="s">
        <v>895</v>
      </c>
      <c r="F3067">
        <v>0</v>
      </c>
      <c r="G3067" t="s">
        <v>116</v>
      </c>
      <c r="H3067">
        <v>-8.35</v>
      </c>
      <c r="I3067">
        <v>43</v>
      </c>
      <c r="J3067">
        <v>-46.5</v>
      </c>
      <c r="K3067">
        <v>66</v>
      </c>
      <c r="L3067">
        <v>8.9700000000000006</v>
      </c>
      <c r="M3067">
        <v>25</v>
      </c>
      <c r="N3067">
        <v>-1.87</v>
      </c>
      <c r="O3067">
        <v>43</v>
      </c>
      <c r="P3067">
        <v>8.9600000000000009</v>
      </c>
      <c r="Q3067">
        <v>46</v>
      </c>
      <c r="R3067">
        <v>9.39</v>
      </c>
      <c r="S3067">
        <v>33</v>
      </c>
      <c r="T3067">
        <v>20.34</v>
      </c>
      <c r="U3067">
        <v>38</v>
      </c>
      <c r="V3067">
        <v>-7.64</v>
      </c>
      <c r="W3067">
        <v>13</v>
      </c>
      <c r="X3067" t="s">
        <v>110</v>
      </c>
      <c r="Y3067" t="s">
        <v>199</v>
      </c>
      <c r="Z3067">
        <v>0</v>
      </c>
      <c r="AA3067" t="s">
        <v>8097</v>
      </c>
      <c r="AB3067" t="s">
        <v>12297</v>
      </c>
      <c r="AC3067">
        <v>8</v>
      </c>
      <c r="AD3067">
        <v>1</v>
      </c>
      <c r="AE3067">
        <v>66</v>
      </c>
      <c r="AF3067">
        <v>-323.26</v>
      </c>
      <c r="AG3067">
        <v>-9.9700000000000006</v>
      </c>
      <c r="AH3067">
        <v>-9.33</v>
      </c>
      <c r="AI3067">
        <v>0.05</v>
      </c>
      <c r="AJ3067">
        <v>0.03</v>
      </c>
      <c r="AK3067">
        <v>25</v>
      </c>
      <c r="AL3067">
        <v>7</v>
      </c>
      <c r="AM3067">
        <v>1</v>
      </c>
      <c r="AN3067">
        <v>0.64</v>
      </c>
      <c r="AO3067">
        <v>1.37</v>
      </c>
      <c r="AP3067">
        <v>11</v>
      </c>
      <c r="AQ3067">
        <v>0</v>
      </c>
      <c r="AR3067">
        <v>6.71</v>
      </c>
      <c r="AS3067">
        <v>16</v>
      </c>
      <c r="AT3067">
        <v>3.07</v>
      </c>
      <c r="AU3067">
        <v>38</v>
      </c>
      <c r="AV3067">
        <v>1.01</v>
      </c>
      <c r="AW3067">
        <v>65</v>
      </c>
      <c r="AX3067">
        <v>0.12</v>
      </c>
      <c r="AY3067">
        <v>31</v>
      </c>
      <c r="AZ3067">
        <v>5.9</v>
      </c>
      <c r="BA3067">
        <v>19</v>
      </c>
      <c r="BB3067">
        <v>4.38</v>
      </c>
      <c r="BC3067">
        <v>18</v>
      </c>
      <c r="BD3067">
        <v>-0.03</v>
      </c>
      <c r="BE3067">
        <v>-0.04</v>
      </c>
      <c r="BF3067">
        <v>-0.09</v>
      </c>
      <c r="BG3067">
        <v>39</v>
      </c>
      <c r="BH3067">
        <v>-0.2</v>
      </c>
      <c r="BI3067">
        <v>1.5</v>
      </c>
      <c r="BJ3067">
        <v>0</v>
      </c>
      <c r="BK3067">
        <v>0</v>
      </c>
      <c r="BL3067">
        <v>0</v>
      </c>
      <c r="BM3067">
        <v>0</v>
      </c>
      <c r="BN3067">
        <v>0</v>
      </c>
      <c r="BO3067">
        <v>0</v>
      </c>
      <c r="BP3067">
        <v>0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0</v>
      </c>
      <c r="CJ3067">
        <v>5.6</v>
      </c>
      <c r="CK3067">
        <v>48</v>
      </c>
      <c r="CL3067">
        <v>0.05</v>
      </c>
      <c r="CM3067">
        <v>44</v>
      </c>
      <c r="CN3067">
        <v>-0.11</v>
      </c>
      <c r="CO3067">
        <v>39</v>
      </c>
      <c r="CP3067">
        <v>-3.8</v>
      </c>
      <c r="CQ3067">
        <v>49</v>
      </c>
      <c r="CR3067">
        <v>0</v>
      </c>
      <c r="CS3067">
        <v>0</v>
      </c>
      <c r="CT3067">
        <v>-13.7</v>
      </c>
      <c r="CU3067">
        <v>38</v>
      </c>
      <c r="CV3067">
        <v>-0.02</v>
      </c>
      <c r="CW3067">
        <v>12</v>
      </c>
      <c r="CX3067" t="s">
        <v>12298</v>
      </c>
    </row>
    <row r="3068" spans="1:102" x14ac:dyDescent="0.3">
      <c r="A3068" t="str">
        <f>HYPERLINK("https://webapp.icbf.com/v2/app/bull-search/view/586038941","S1359")</f>
        <v>S1359</v>
      </c>
      <c r="B3068" t="s">
        <v>13071</v>
      </c>
      <c r="C3068" t="s">
        <v>13072</v>
      </c>
      <c r="D3068" s="1">
        <v>38124</v>
      </c>
      <c r="E3068" t="s">
        <v>92</v>
      </c>
      <c r="F3068">
        <v>91</v>
      </c>
      <c r="G3068" t="s">
        <v>109</v>
      </c>
      <c r="H3068">
        <v>-8.5399999999999991</v>
      </c>
      <c r="I3068">
        <v>69</v>
      </c>
      <c r="J3068">
        <v>38.1</v>
      </c>
      <c r="K3068">
        <v>83</v>
      </c>
      <c r="L3068">
        <v>-47.65</v>
      </c>
      <c r="M3068">
        <v>77</v>
      </c>
      <c r="N3068">
        <v>-9.34</v>
      </c>
      <c r="O3068">
        <v>54</v>
      </c>
      <c r="P3068">
        <v>-5.44</v>
      </c>
      <c r="Q3068">
        <v>45</v>
      </c>
      <c r="R3068">
        <v>11.13</v>
      </c>
      <c r="S3068">
        <v>61</v>
      </c>
      <c r="T3068">
        <v>5.83</v>
      </c>
      <c r="U3068">
        <v>40</v>
      </c>
      <c r="V3068">
        <v>-1.17</v>
      </c>
      <c r="W3068">
        <v>27</v>
      </c>
      <c r="X3068" t="s">
        <v>94</v>
      </c>
      <c r="Y3068" t="s">
        <v>342</v>
      </c>
      <c r="Z3068" t="s">
        <v>330</v>
      </c>
      <c r="AA3068" t="s">
        <v>1874</v>
      </c>
      <c r="AB3068" t="s">
        <v>13073</v>
      </c>
      <c r="AC3068">
        <v>0</v>
      </c>
      <c r="AD3068">
        <v>0</v>
      </c>
      <c r="AE3068">
        <v>83</v>
      </c>
      <c r="AF3068">
        <v>359.44</v>
      </c>
      <c r="AG3068">
        <v>3.48</v>
      </c>
      <c r="AH3068">
        <v>10.75</v>
      </c>
      <c r="AI3068">
        <v>-0.17</v>
      </c>
      <c r="AJ3068">
        <v>-0.02</v>
      </c>
      <c r="AK3068">
        <v>77</v>
      </c>
      <c r="AL3068">
        <v>0</v>
      </c>
      <c r="AM3068">
        <v>0</v>
      </c>
      <c r="AN3068">
        <v>3.36</v>
      </c>
      <c r="AO3068">
        <v>-0.43</v>
      </c>
      <c r="AP3068">
        <v>6</v>
      </c>
      <c r="AQ3068">
        <v>1</v>
      </c>
      <c r="AR3068">
        <v>9.44</v>
      </c>
      <c r="AS3068">
        <v>31</v>
      </c>
      <c r="AT3068">
        <v>3.58</v>
      </c>
      <c r="AU3068">
        <v>89</v>
      </c>
      <c r="AV3068">
        <v>-0.81</v>
      </c>
      <c r="AW3068">
        <v>54</v>
      </c>
      <c r="AX3068">
        <v>0.33</v>
      </c>
      <c r="AY3068">
        <v>34</v>
      </c>
      <c r="AZ3068">
        <v>7.33</v>
      </c>
      <c r="BA3068">
        <v>27</v>
      </c>
      <c r="BB3068">
        <v>5.76</v>
      </c>
      <c r="BC3068">
        <v>27</v>
      </c>
      <c r="BD3068">
        <v>-0.06</v>
      </c>
      <c r="BE3068">
        <v>-0.04</v>
      </c>
      <c r="BF3068">
        <v>-0.08</v>
      </c>
      <c r="BG3068">
        <v>88</v>
      </c>
      <c r="BH3068">
        <v>-0.04</v>
      </c>
      <c r="BI3068">
        <v>-0.86</v>
      </c>
      <c r="BJ3068">
        <v>2</v>
      </c>
      <c r="BK3068">
        <v>2</v>
      </c>
      <c r="BL3068">
        <v>-0.18</v>
      </c>
      <c r="BM3068">
        <v>0.83</v>
      </c>
      <c r="BN3068">
        <v>-0.2</v>
      </c>
      <c r="BO3068">
        <v>-0.53</v>
      </c>
      <c r="BP3068">
        <v>3</v>
      </c>
      <c r="BQ3068">
        <v>0.34</v>
      </c>
      <c r="BR3068">
        <v>-2.02</v>
      </c>
      <c r="BS3068">
        <v>2.2799999999999998</v>
      </c>
      <c r="BT3068">
        <v>0.13</v>
      </c>
      <c r="BU3068">
        <v>-0.11</v>
      </c>
      <c r="BV3068">
        <v>0.59</v>
      </c>
      <c r="BW3068">
        <v>0.12</v>
      </c>
      <c r="BX3068">
        <v>-0.3</v>
      </c>
      <c r="BY3068">
        <v>0.66</v>
      </c>
      <c r="BZ3068">
        <v>-1.6</v>
      </c>
      <c r="CA3068">
        <v>0.74</v>
      </c>
      <c r="CB3068">
        <v>0.28000000000000003</v>
      </c>
      <c r="CC3068">
        <v>1.33</v>
      </c>
      <c r="CD3068">
        <v>0.91</v>
      </c>
      <c r="CE3068">
        <v>0.04</v>
      </c>
      <c r="CF3068">
        <v>0.87</v>
      </c>
      <c r="CG3068">
        <v>0</v>
      </c>
      <c r="CH3068">
        <v>-0.16</v>
      </c>
      <c r="CI3068">
        <v>0</v>
      </c>
      <c r="CJ3068">
        <v>-0.9</v>
      </c>
      <c r="CK3068">
        <v>49</v>
      </c>
      <c r="CL3068">
        <v>-0.68</v>
      </c>
      <c r="CM3068">
        <v>41</v>
      </c>
      <c r="CN3068">
        <v>-0.25</v>
      </c>
      <c r="CO3068">
        <v>40</v>
      </c>
      <c r="CP3068">
        <v>-0.7</v>
      </c>
      <c r="CQ3068">
        <v>40</v>
      </c>
      <c r="CR3068">
        <v>0</v>
      </c>
      <c r="CS3068">
        <v>0</v>
      </c>
      <c r="CT3068">
        <v>5.9</v>
      </c>
      <c r="CU3068">
        <v>40</v>
      </c>
      <c r="CV3068">
        <v>0.2</v>
      </c>
      <c r="CW3068">
        <v>14</v>
      </c>
      <c r="CX3068" t="s">
        <v>2009</v>
      </c>
    </row>
    <row r="3069" spans="1:102" x14ac:dyDescent="0.3">
      <c r="A3069" t="str">
        <f>HYPERLINK("https://webapp.icbf.com/v2/app/bull-search/view/740350396","S1577")</f>
        <v>S1577</v>
      </c>
      <c r="B3069" t="s">
        <v>360</v>
      </c>
      <c r="C3069" t="s">
        <v>361</v>
      </c>
      <c r="D3069" s="1">
        <v>39422</v>
      </c>
      <c r="E3069" t="s">
        <v>92</v>
      </c>
      <c r="F3069">
        <v>100</v>
      </c>
      <c r="G3069" t="s">
        <v>109</v>
      </c>
      <c r="H3069">
        <v>-8.66</v>
      </c>
      <c r="I3069">
        <v>82</v>
      </c>
      <c r="J3069">
        <v>65.25</v>
      </c>
      <c r="K3069">
        <v>94</v>
      </c>
      <c r="L3069">
        <v>-91.97</v>
      </c>
      <c r="M3069">
        <v>86</v>
      </c>
      <c r="N3069">
        <v>21.52</v>
      </c>
      <c r="O3069">
        <v>71</v>
      </c>
      <c r="P3069">
        <v>-0.78</v>
      </c>
      <c r="Q3069">
        <v>59</v>
      </c>
      <c r="R3069">
        <v>-2.2200000000000002</v>
      </c>
      <c r="S3069">
        <v>78</v>
      </c>
      <c r="T3069">
        <v>-4.16</v>
      </c>
      <c r="U3069">
        <v>61</v>
      </c>
      <c r="V3069">
        <v>3.7</v>
      </c>
      <c r="W3069">
        <v>64</v>
      </c>
      <c r="X3069" t="s">
        <v>251</v>
      </c>
      <c r="Y3069" t="s">
        <v>362</v>
      </c>
      <c r="Z3069" t="s">
        <v>96</v>
      </c>
      <c r="AA3069" t="s">
        <v>363</v>
      </c>
      <c r="AB3069" t="s">
        <v>364</v>
      </c>
      <c r="AC3069">
        <v>0</v>
      </c>
      <c r="AD3069">
        <v>0</v>
      </c>
      <c r="AE3069">
        <v>94</v>
      </c>
      <c r="AF3069">
        <v>492.32</v>
      </c>
      <c r="AG3069">
        <v>13.66</v>
      </c>
      <c r="AH3069">
        <v>13.8</v>
      </c>
      <c r="AI3069">
        <v>-0.09</v>
      </c>
      <c r="AJ3069">
        <v>-0.05</v>
      </c>
      <c r="AK3069">
        <v>86</v>
      </c>
      <c r="AL3069">
        <v>0</v>
      </c>
      <c r="AM3069">
        <v>0</v>
      </c>
      <c r="AN3069">
        <v>4.6100000000000003</v>
      </c>
      <c r="AO3069">
        <v>-2.73</v>
      </c>
      <c r="AP3069">
        <v>17</v>
      </c>
      <c r="AQ3069">
        <v>0</v>
      </c>
      <c r="AR3069">
        <v>8.85</v>
      </c>
      <c r="AS3069">
        <v>59</v>
      </c>
      <c r="AT3069">
        <v>3.81</v>
      </c>
      <c r="AU3069">
        <v>90</v>
      </c>
      <c r="AV3069">
        <v>-4.33</v>
      </c>
      <c r="AW3069">
        <v>74</v>
      </c>
      <c r="AX3069">
        <v>-0.27</v>
      </c>
      <c r="AY3069">
        <v>56</v>
      </c>
      <c r="AZ3069">
        <v>7.04</v>
      </c>
      <c r="BA3069">
        <v>47</v>
      </c>
      <c r="BB3069">
        <v>5.5</v>
      </c>
      <c r="BC3069">
        <v>49</v>
      </c>
      <c r="BD3069">
        <v>0</v>
      </c>
      <c r="BE3069">
        <v>-0.01</v>
      </c>
      <c r="BF3069">
        <v>7.0000000000000007E-2</v>
      </c>
      <c r="BG3069">
        <v>93</v>
      </c>
      <c r="BH3069">
        <v>0.04</v>
      </c>
      <c r="BI3069">
        <v>-7.31</v>
      </c>
      <c r="BJ3069">
        <v>9</v>
      </c>
      <c r="BK3069">
        <v>4</v>
      </c>
      <c r="BL3069">
        <v>1.08</v>
      </c>
      <c r="BM3069">
        <v>0.33</v>
      </c>
      <c r="BN3069">
        <v>2.21</v>
      </c>
      <c r="BO3069">
        <v>1.47</v>
      </c>
      <c r="BP3069">
        <v>-2.25</v>
      </c>
      <c r="BQ3069">
        <v>1.57</v>
      </c>
      <c r="BR3069">
        <v>-1.23</v>
      </c>
      <c r="BS3069">
        <v>-0.33</v>
      </c>
      <c r="BT3069">
        <v>1.45</v>
      </c>
      <c r="BU3069">
        <v>2.95</v>
      </c>
      <c r="BV3069">
        <v>3.43</v>
      </c>
      <c r="BW3069">
        <v>3.44</v>
      </c>
      <c r="BX3069">
        <v>1.73</v>
      </c>
      <c r="BY3069">
        <v>2.98</v>
      </c>
      <c r="BZ3069">
        <v>-0.84</v>
      </c>
      <c r="CA3069">
        <v>2.15</v>
      </c>
      <c r="CB3069">
        <v>2.74</v>
      </c>
      <c r="CC3069">
        <v>0.11</v>
      </c>
      <c r="CD3069">
        <v>-0.51</v>
      </c>
      <c r="CE3069">
        <v>0.81</v>
      </c>
      <c r="CF3069">
        <v>0.95</v>
      </c>
      <c r="CG3069">
        <v>0</v>
      </c>
      <c r="CH3069">
        <v>2.89</v>
      </c>
      <c r="CI3069">
        <v>0</v>
      </c>
      <c r="CJ3069">
        <v>3.3</v>
      </c>
      <c r="CK3069">
        <v>60</v>
      </c>
      <c r="CL3069">
        <v>-1.23</v>
      </c>
      <c r="CM3069">
        <v>57</v>
      </c>
      <c r="CN3069">
        <v>-0.49</v>
      </c>
      <c r="CO3069">
        <v>55</v>
      </c>
      <c r="CP3069">
        <v>10.8</v>
      </c>
      <c r="CQ3069">
        <v>59</v>
      </c>
      <c r="CR3069">
        <v>0</v>
      </c>
      <c r="CS3069">
        <v>0</v>
      </c>
      <c r="CT3069">
        <v>19.399999999999999</v>
      </c>
      <c r="CU3069">
        <v>61</v>
      </c>
      <c r="CV3069">
        <v>0.28000000000000003</v>
      </c>
      <c r="CW3069">
        <v>37</v>
      </c>
      <c r="CX3069" t="s">
        <v>350</v>
      </c>
    </row>
    <row r="3070" spans="1:102" x14ac:dyDescent="0.3">
      <c r="A3070" t="str">
        <f>HYPERLINK("https://webapp.icbf.com/v2/app/bull-search/view/76543282","DCA")</f>
        <v>DCA</v>
      </c>
      <c r="B3070" t="s">
        <v>9583</v>
      </c>
      <c r="C3070" t="s">
        <v>9584</v>
      </c>
      <c r="D3070" s="1">
        <v>36625</v>
      </c>
      <c r="E3070" t="s">
        <v>108</v>
      </c>
      <c r="F3070">
        <v>0</v>
      </c>
      <c r="G3070" t="s">
        <v>93</v>
      </c>
      <c r="H3070">
        <v>-8.93</v>
      </c>
      <c r="I3070">
        <v>97</v>
      </c>
      <c r="J3070">
        <v>-22.1</v>
      </c>
      <c r="K3070">
        <v>99</v>
      </c>
      <c r="L3070">
        <v>13.84</v>
      </c>
      <c r="M3070">
        <v>95</v>
      </c>
      <c r="N3070">
        <v>-0.59</v>
      </c>
      <c r="O3070">
        <v>98</v>
      </c>
      <c r="P3070">
        <v>-7.63</v>
      </c>
      <c r="Q3070">
        <v>99</v>
      </c>
      <c r="R3070">
        <v>-1</v>
      </c>
      <c r="S3070">
        <v>97</v>
      </c>
      <c r="T3070">
        <v>9.31</v>
      </c>
      <c r="U3070">
        <v>99</v>
      </c>
      <c r="V3070">
        <v>-0.76</v>
      </c>
      <c r="W3070">
        <v>98</v>
      </c>
      <c r="X3070" t="s">
        <v>102</v>
      </c>
      <c r="Y3070" t="s">
        <v>95</v>
      </c>
      <c r="Z3070" t="s">
        <v>96</v>
      </c>
      <c r="AA3070" t="s">
        <v>738</v>
      </c>
      <c r="AB3070" t="s">
        <v>9585</v>
      </c>
      <c r="AC3070">
        <v>1208</v>
      </c>
      <c r="AD3070">
        <v>436</v>
      </c>
      <c r="AE3070">
        <v>99</v>
      </c>
      <c r="AF3070">
        <v>-279.35000000000002</v>
      </c>
      <c r="AG3070">
        <v>-6.94</v>
      </c>
      <c r="AH3070">
        <v>-5.58</v>
      </c>
      <c r="AI3070">
        <v>7.0000000000000007E-2</v>
      </c>
      <c r="AJ3070">
        <v>7.0000000000000007E-2</v>
      </c>
      <c r="AK3070">
        <v>95</v>
      </c>
      <c r="AL3070">
        <v>1815</v>
      </c>
      <c r="AM3070">
        <v>677</v>
      </c>
      <c r="AN3070">
        <v>-1.82</v>
      </c>
      <c r="AO3070">
        <v>-0.73</v>
      </c>
      <c r="AP3070">
        <v>2633</v>
      </c>
      <c r="AQ3070">
        <v>24</v>
      </c>
      <c r="AR3070">
        <v>10.77</v>
      </c>
      <c r="AS3070">
        <v>96</v>
      </c>
      <c r="AT3070">
        <v>3.75</v>
      </c>
      <c r="AU3070">
        <v>99</v>
      </c>
      <c r="AV3070">
        <v>-2.1</v>
      </c>
      <c r="AW3070">
        <v>99</v>
      </c>
      <c r="AX3070">
        <v>-0.43</v>
      </c>
      <c r="AY3070">
        <v>99</v>
      </c>
      <c r="AZ3070">
        <v>6.01</v>
      </c>
      <c r="BA3070">
        <v>96</v>
      </c>
      <c r="BB3070">
        <v>5.71</v>
      </c>
      <c r="BC3070">
        <v>96</v>
      </c>
      <c r="BD3070">
        <v>-0.03</v>
      </c>
      <c r="BE3070">
        <v>-0.03</v>
      </c>
      <c r="BF3070">
        <v>0.13</v>
      </c>
      <c r="BG3070">
        <v>98</v>
      </c>
      <c r="BH3070">
        <v>-0.08</v>
      </c>
      <c r="BI3070">
        <v>-6.79</v>
      </c>
      <c r="BJ3070">
        <v>63</v>
      </c>
      <c r="BK3070">
        <v>38</v>
      </c>
      <c r="BL3070">
        <v>-2.84</v>
      </c>
      <c r="BM3070">
        <v>2.8</v>
      </c>
      <c r="BN3070">
        <v>-3.27</v>
      </c>
      <c r="BO3070">
        <v>-3.86</v>
      </c>
      <c r="BP3070">
        <v>-3.19</v>
      </c>
      <c r="BQ3070">
        <v>3.38</v>
      </c>
      <c r="BR3070">
        <v>-0.79</v>
      </c>
      <c r="BS3070">
        <v>-1.31</v>
      </c>
      <c r="BT3070">
        <v>-0.53</v>
      </c>
      <c r="BU3070">
        <v>-2.33</v>
      </c>
      <c r="BV3070">
        <v>-3.04</v>
      </c>
      <c r="BW3070">
        <v>-1.76</v>
      </c>
      <c r="BX3070">
        <v>-0.34</v>
      </c>
      <c r="BY3070">
        <v>-0.94</v>
      </c>
      <c r="BZ3070">
        <v>-0.49</v>
      </c>
      <c r="CA3070">
        <v>-2.93</v>
      </c>
      <c r="CB3070">
        <v>-2.7</v>
      </c>
      <c r="CC3070">
        <v>-2.39</v>
      </c>
      <c r="CD3070">
        <v>2.52</v>
      </c>
      <c r="CE3070">
        <v>-3.83</v>
      </c>
      <c r="CF3070">
        <v>-2.37</v>
      </c>
      <c r="CG3070">
        <v>0</v>
      </c>
      <c r="CH3070">
        <v>-0.86</v>
      </c>
      <c r="CI3070">
        <v>0</v>
      </c>
      <c r="CJ3070">
        <v>-4</v>
      </c>
      <c r="CK3070">
        <v>99</v>
      </c>
      <c r="CL3070">
        <v>-0.14000000000000001</v>
      </c>
      <c r="CM3070">
        <v>99</v>
      </c>
      <c r="CN3070">
        <v>0.04</v>
      </c>
      <c r="CO3070">
        <v>99</v>
      </c>
      <c r="CP3070">
        <v>-1.3</v>
      </c>
      <c r="CQ3070">
        <v>99</v>
      </c>
      <c r="CR3070">
        <v>0</v>
      </c>
      <c r="CS3070">
        <v>0</v>
      </c>
      <c r="CT3070">
        <v>1.2</v>
      </c>
      <c r="CU3070">
        <v>99</v>
      </c>
      <c r="CV3070">
        <v>0.09</v>
      </c>
      <c r="CW3070">
        <v>47</v>
      </c>
      <c r="CX3070" t="s">
        <v>4747</v>
      </c>
    </row>
    <row r="3071" spans="1:102" x14ac:dyDescent="0.3">
      <c r="A3071" t="str">
        <f>HYPERLINK("https://webapp.icbf.com/v2/app/bull-search/view/77857168","GOY")</f>
        <v>GOY</v>
      </c>
      <c r="B3071" t="s">
        <v>862</v>
      </c>
      <c r="C3071" t="s">
        <v>863</v>
      </c>
      <c r="D3071" s="1">
        <v>31921</v>
      </c>
      <c r="E3071" t="s">
        <v>108</v>
      </c>
      <c r="F3071">
        <v>3</v>
      </c>
      <c r="G3071" t="s">
        <v>93</v>
      </c>
      <c r="H3071">
        <v>-8.94</v>
      </c>
      <c r="I3071">
        <v>96</v>
      </c>
      <c r="J3071">
        <v>-58.54</v>
      </c>
      <c r="K3071">
        <v>99</v>
      </c>
      <c r="L3071">
        <v>40.71</v>
      </c>
      <c r="M3071">
        <v>94</v>
      </c>
      <c r="N3071">
        <v>18.32</v>
      </c>
      <c r="O3071">
        <v>95</v>
      </c>
      <c r="P3071">
        <v>-7.97</v>
      </c>
      <c r="Q3071">
        <v>98</v>
      </c>
      <c r="R3071">
        <v>1.06</v>
      </c>
      <c r="S3071">
        <v>93</v>
      </c>
      <c r="T3071">
        <v>3.47</v>
      </c>
      <c r="U3071">
        <v>95</v>
      </c>
      <c r="V3071">
        <v>-5.99</v>
      </c>
      <c r="W3071">
        <v>91</v>
      </c>
      <c r="X3071" t="s">
        <v>102</v>
      </c>
      <c r="Y3071" t="s">
        <v>95</v>
      </c>
      <c r="Z3071" t="s">
        <v>96</v>
      </c>
      <c r="AA3071" t="s">
        <v>740</v>
      </c>
      <c r="AB3071" t="s">
        <v>864</v>
      </c>
      <c r="AC3071">
        <v>670</v>
      </c>
      <c r="AD3071">
        <v>325</v>
      </c>
      <c r="AE3071">
        <v>99</v>
      </c>
      <c r="AF3071">
        <v>-302.19</v>
      </c>
      <c r="AG3071">
        <v>-13.32</v>
      </c>
      <c r="AH3071">
        <v>-9.8699999999999992</v>
      </c>
      <c r="AI3071">
        <v>-0.03</v>
      </c>
      <c r="AJ3071">
        <v>0.01</v>
      </c>
      <c r="AK3071">
        <v>94</v>
      </c>
      <c r="AL3071">
        <v>1475</v>
      </c>
      <c r="AM3071">
        <v>633</v>
      </c>
      <c r="AN3071">
        <v>-4.3</v>
      </c>
      <c r="AO3071">
        <v>-1.08</v>
      </c>
      <c r="AP3071">
        <v>151</v>
      </c>
      <c r="AQ3071">
        <v>5</v>
      </c>
      <c r="AR3071">
        <v>5.07</v>
      </c>
      <c r="AS3071">
        <v>88</v>
      </c>
      <c r="AT3071">
        <v>2.56</v>
      </c>
      <c r="AU3071">
        <v>94</v>
      </c>
      <c r="AV3071">
        <v>-1.81</v>
      </c>
      <c r="AW3071">
        <v>97</v>
      </c>
      <c r="AX3071">
        <v>0.37</v>
      </c>
      <c r="AY3071">
        <v>97</v>
      </c>
      <c r="AZ3071">
        <v>7.68</v>
      </c>
      <c r="BA3071">
        <v>84</v>
      </c>
      <c r="BB3071">
        <v>5.68</v>
      </c>
      <c r="BC3071">
        <v>92</v>
      </c>
      <c r="BD3071">
        <v>7.0000000000000007E-2</v>
      </c>
      <c r="BE3071">
        <v>0.01</v>
      </c>
      <c r="BF3071">
        <v>-0.16</v>
      </c>
      <c r="BG3071">
        <v>99</v>
      </c>
      <c r="BH3071">
        <v>-0.12</v>
      </c>
      <c r="BI3071">
        <v>5.45</v>
      </c>
      <c r="BJ3071">
        <v>85</v>
      </c>
      <c r="BK3071">
        <v>55</v>
      </c>
      <c r="BL3071">
        <v>-2.1800000000000002</v>
      </c>
      <c r="BM3071">
        <v>3.73</v>
      </c>
      <c r="BN3071">
        <v>-1.18</v>
      </c>
      <c r="BO3071">
        <v>-3.22</v>
      </c>
      <c r="BP3071">
        <v>-0.63</v>
      </c>
      <c r="BQ3071">
        <v>3.27</v>
      </c>
      <c r="BR3071">
        <v>-0.84</v>
      </c>
      <c r="BS3071">
        <v>1</v>
      </c>
      <c r="BT3071">
        <v>0.87</v>
      </c>
      <c r="BU3071">
        <v>-0.02</v>
      </c>
      <c r="BV3071">
        <v>-2.19</v>
      </c>
      <c r="BW3071">
        <v>-2.29</v>
      </c>
      <c r="BX3071">
        <v>0.2</v>
      </c>
      <c r="BY3071">
        <v>-0.89</v>
      </c>
      <c r="BZ3071">
        <v>0.86</v>
      </c>
      <c r="CA3071">
        <v>-1.44</v>
      </c>
      <c r="CB3071">
        <v>-1.71</v>
      </c>
      <c r="CC3071">
        <v>-0.37</v>
      </c>
      <c r="CD3071">
        <v>4.51</v>
      </c>
      <c r="CE3071">
        <v>-3.03</v>
      </c>
      <c r="CF3071">
        <v>-0.3</v>
      </c>
      <c r="CG3071">
        <v>0</v>
      </c>
      <c r="CH3071">
        <v>-0.85</v>
      </c>
      <c r="CI3071">
        <v>0</v>
      </c>
      <c r="CJ3071">
        <v>-1.4</v>
      </c>
      <c r="CK3071">
        <v>98</v>
      </c>
      <c r="CL3071">
        <v>-0.08</v>
      </c>
      <c r="CM3071">
        <v>98</v>
      </c>
      <c r="CN3071">
        <v>0.39</v>
      </c>
      <c r="CO3071">
        <v>98</v>
      </c>
      <c r="CP3071">
        <v>-4.3</v>
      </c>
      <c r="CQ3071">
        <v>99</v>
      </c>
      <c r="CR3071">
        <v>0</v>
      </c>
      <c r="CS3071">
        <v>0</v>
      </c>
      <c r="CT3071">
        <v>9.1</v>
      </c>
      <c r="CU3071">
        <v>95</v>
      </c>
      <c r="CV3071">
        <v>0.05</v>
      </c>
      <c r="CW3071">
        <v>46</v>
      </c>
      <c r="CX3071" t="s">
        <v>675</v>
      </c>
    </row>
    <row r="3072" spans="1:102" x14ac:dyDescent="0.3">
      <c r="A3072" t="str">
        <f>HYPERLINK("https://webapp.icbf.com/v2/app/bull-search/view/69092167","LRN")</f>
        <v>LRN</v>
      </c>
      <c r="B3072" t="s">
        <v>5019</v>
      </c>
      <c r="C3072" t="s">
        <v>5020</v>
      </c>
      <c r="D3072" s="1">
        <v>31711</v>
      </c>
      <c r="E3072" t="s">
        <v>146</v>
      </c>
      <c r="F3072">
        <v>0</v>
      </c>
      <c r="G3072" t="s">
        <v>109</v>
      </c>
      <c r="H3072">
        <v>-8.94</v>
      </c>
      <c r="I3072">
        <v>53</v>
      </c>
      <c r="J3072">
        <v>-62.64</v>
      </c>
      <c r="K3072">
        <v>70</v>
      </c>
      <c r="L3072">
        <v>60.38</v>
      </c>
      <c r="M3072">
        <v>61</v>
      </c>
      <c r="N3072">
        <v>-26.79</v>
      </c>
      <c r="O3072">
        <v>30</v>
      </c>
      <c r="P3072">
        <v>13.7</v>
      </c>
      <c r="Q3072">
        <v>38</v>
      </c>
      <c r="R3072">
        <v>-3</v>
      </c>
      <c r="S3072">
        <v>53</v>
      </c>
      <c r="T3072">
        <v>15.6</v>
      </c>
      <c r="U3072">
        <v>19</v>
      </c>
      <c r="V3072">
        <v>-6.19</v>
      </c>
      <c r="W3072">
        <v>5</v>
      </c>
      <c r="X3072" t="s">
        <v>110</v>
      </c>
      <c r="Y3072" t="s">
        <v>95</v>
      </c>
      <c r="Z3072">
        <v>0</v>
      </c>
      <c r="AA3072" t="s">
        <v>149</v>
      </c>
      <c r="AB3072" t="s">
        <v>5021</v>
      </c>
      <c r="AC3072">
        <v>0</v>
      </c>
      <c r="AD3072">
        <v>0</v>
      </c>
      <c r="AE3072">
        <v>70</v>
      </c>
      <c r="AF3072">
        <v>-299.98</v>
      </c>
      <c r="AG3072">
        <v>-12.31</v>
      </c>
      <c r="AH3072">
        <v>-10.89</v>
      </c>
      <c r="AI3072">
        <v>-0.01</v>
      </c>
      <c r="AJ3072">
        <v>-0.01</v>
      </c>
      <c r="AK3072">
        <v>61</v>
      </c>
      <c r="AL3072">
        <v>0</v>
      </c>
      <c r="AM3072">
        <v>0</v>
      </c>
      <c r="AN3072">
        <v>-5.27</v>
      </c>
      <c r="AO3072">
        <v>-0.48</v>
      </c>
      <c r="AP3072">
        <v>9</v>
      </c>
      <c r="AQ3072">
        <v>5</v>
      </c>
      <c r="AR3072">
        <v>10.84</v>
      </c>
      <c r="AS3072">
        <v>19</v>
      </c>
      <c r="AT3072">
        <v>4.05</v>
      </c>
      <c r="AU3072">
        <v>21</v>
      </c>
      <c r="AV3072">
        <v>0.6</v>
      </c>
      <c r="AW3072">
        <v>44</v>
      </c>
      <c r="AX3072">
        <v>1.28</v>
      </c>
      <c r="AY3072">
        <v>37</v>
      </c>
      <c r="AZ3072">
        <v>6.15</v>
      </c>
      <c r="BA3072">
        <v>4</v>
      </c>
      <c r="BB3072">
        <v>5.04</v>
      </c>
      <c r="BC3072">
        <v>10</v>
      </c>
      <c r="BD3072">
        <v>0</v>
      </c>
      <c r="BE3072">
        <v>0.01</v>
      </c>
      <c r="BF3072">
        <v>0.05</v>
      </c>
      <c r="BG3072">
        <v>85</v>
      </c>
      <c r="BH3072">
        <v>-0.11</v>
      </c>
      <c r="BI3072">
        <v>7.25</v>
      </c>
      <c r="BJ3072">
        <v>0</v>
      </c>
      <c r="BK3072">
        <v>0</v>
      </c>
      <c r="BL3072">
        <v>-1.3</v>
      </c>
      <c r="BM3072">
        <v>2.77</v>
      </c>
      <c r="BN3072">
        <v>-0.18</v>
      </c>
      <c r="BO3072">
        <v>-1.87</v>
      </c>
      <c r="BP3072">
        <v>1.98</v>
      </c>
      <c r="BQ3072">
        <v>1.1000000000000001</v>
      </c>
      <c r="BR3072">
        <v>-1.1399999999999999</v>
      </c>
      <c r="BS3072">
        <v>-0.31</v>
      </c>
      <c r="BT3072">
        <v>-0.21</v>
      </c>
      <c r="BU3072">
        <v>-1.1499999999999999</v>
      </c>
      <c r="BV3072">
        <v>-3.54</v>
      </c>
      <c r="BW3072">
        <v>-2.2799999999999998</v>
      </c>
      <c r="BX3072">
        <v>-0.93</v>
      </c>
      <c r="BY3072">
        <v>0.22</v>
      </c>
      <c r="BZ3072">
        <v>-0.78</v>
      </c>
      <c r="CA3072">
        <v>-1.7</v>
      </c>
      <c r="CB3072">
        <v>-1.87</v>
      </c>
      <c r="CC3072">
        <v>-0.52</v>
      </c>
      <c r="CD3072">
        <v>1.34</v>
      </c>
      <c r="CE3072">
        <v>-1.45</v>
      </c>
      <c r="CF3072">
        <v>-0.72</v>
      </c>
      <c r="CG3072">
        <v>0</v>
      </c>
      <c r="CH3072">
        <v>-0.53</v>
      </c>
      <c r="CI3072">
        <v>0</v>
      </c>
      <c r="CJ3072">
        <v>7.1</v>
      </c>
      <c r="CK3072">
        <v>43</v>
      </c>
      <c r="CL3072">
        <v>0.55000000000000004</v>
      </c>
      <c r="CM3072">
        <v>35</v>
      </c>
      <c r="CN3072">
        <v>0.13</v>
      </c>
      <c r="CO3072">
        <v>32</v>
      </c>
      <c r="CP3072">
        <v>-1.7</v>
      </c>
      <c r="CQ3072">
        <v>26</v>
      </c>
      <c r="CR3072">
        <v>0</v>
      </c>
      <c r="CS3072">
        <v>0</v>
      </c>
      <c r="CT3072">
        <v>-7.3</v>
      </c>
      <c r="CU3072">
        <v>19</v>
      </c>
      <c r="CV3072">
        <v>-0.1</v>
      </c>
      <c r="CW3072">
        <v>10</v>
      </c>
      <c r="CX3072" t="s">
        <v>4212</v>
      </c>
    </row>
    <row r="3073" spans="1:102" x14ac:dyDescent="0.3">
      <c r="A3073" t="str">
        <f>HYPERLINK("https://webapp.icbf.com/v2/app/bull-search/view/720507534","S2180")</f>
        <v>S2180</v>
      </c>
      <c r="B3073" t="s">
        <v>5804</v>
      </c>
      <c r="C3073" t="s">
        <v>5805</v>
      </c>
      <c r="D3073" s="1">
        <v>38505</v>
      </c>
      <c r="E3073" t="s">
        <v>227</v>
      </c>
      <c r="F3073">
        <v>0</v>
      </c>
      <c r="G3073" t="s">
        <v>109</v>
      </c>
      <c r="H3073">
        <v>-8.98</v>
      </c>
      <c r="I3073">
        <v>63</v>
      </c>
      <c r="J3073">
        <v>-32.82</v>
      </c>
      <c r="K3073">
        <v>84</v>
      </c>
      <c r="L3073">
        <v>11.17</v>
      </c>
      <c r="M3073">
        <v>76</v>
      </c>
      <c r="N3073">
        <v>4.6399999999999997</v>
      </c>
      <c r="O3073">
        <v>45</v>
      </c>
      <c r="P3073">
        <v>-43.37</v>
      </c>
      <c r="Q3073">
        <v>41</v>
      </c>
      <c r="R3073">
        <v>3.68</v>
      </c>
      <c r="S3073">
        <v>25</v>
      </c>
      <c r="T3073">
        <v>43.87</v>
      </c>
      <c r="U3073">
        <v>11</v>
      </c>
      <c r="V3073">
        <v>3.85</v>
      </c>
      <c r="W3073">
        <v>16</v>
      </c>
      <c r="X3073" t="s">
        <v>234</v>
      </c>
      <c r="Y3073" t="s">
        <v>367</v>
      </c>
      <c r="Z3073">
        <v>0</v>
      </c>
      <c r="AA3073" t="s">
        <v>5806</v>
      </c>
      <c r="AB3073" t="s">
        <v>5807</v>
      </c>
      <c r="AC3073">
        <v>0</v>
      </c>
      <c r="AD3073">
        <v>0</v>
      </c>
      <c r="AE3073">
        <v>84</v>
      </c>
      <c r="AF3073">
        <v>-701.32</v>
      </c>
      <c r="AG3073">
        <v>-3.04</v>
      </c>
      <c r="AH3073">
        <v>-15.24</v>
      </c>
      <c r="AI3073">
        <v>0.46</v>
      </c>
      <c r="AJ3073">
        <v>0.17</v>
      </c>
      <c r="AK3073">
        <v>76</v>
      </c>
      <c r="AL3073">
        <v>0</v>
      </c>
      <c r="AM3073">
        <v>0</v>
      </c>
      <c r="AN3073">
        <v>0.9</v>
      </c>
      <c r="AO3073">
        <v>1.81</v>
      </c>
      <c r="AP3073">
        <v>26</v>
      </c>
      <c r="AQ3073">
        <v>0</v>
      </c>
      <c r="AR3073">
        <v>5.43</v>
      </c>
      <c r="AS3073">
        <v>41</v>
      </c>
      <c r="AT3073">
        <v>2.7</v>
      </c>
      <c r="AU3073">
        <v>35</v>
      </c>
      <c r="AV3073">
        <v>0.49</v>
      </c>
      <c r="AW3073">
        <v>68</v>
      </c>
      <c r="AX3073">
        <v>0.12</v>
      </c>
      <c r="AY3073">
        <v>41</v>
      </c>
      <c r="AZ3073">
        <v>6.41</v>
      </c>
      <c r="BA3073">
        <v>14</v>
      </c>
      <c r="BB3073">
        <v>4.9800000000000004</v>
      </c>
      <c r="BC3073">
        <v>5</v>
      </c>
      <c r="BD3073">
        <v>-0.04</v>
      </c>
      <c r="BE3073">
        <v>-0.02</v>
      </c>
      <c r="BF3073">
        <v>0.02</v>
      </c>
      <c r="BG3073">
        <v>33</v>
      </c>
      <c r="BH3073">
        <v>7.0000000000000007E-2</v>
      </c>
      <c r="BI3073">
        <v>-4.32</v>
      </c>
      <c r="BJ3073">
        <v>4</v>
      </c>
      <c r="BK3073">
        <v>3</v>
      </c>
      <c r="BL3073">
        <v>-7.0000000000000007E-2</v>
      </c>
      <c r="BM3073">
        <v>-0.38</v>
      </c>
      <c r="BN3073">
        <v>0.68</v>
      </c>
      <c r="BO3073">
        <v>1.2</v>
      </c>
      <c r="BP3073">
        <v>-0.71</v>
      </c>
      <c r="BQ3073">
        <v>-2.5299999999999998</v>
      </c>
      <c r="BR3073">
        <v>0.77</v>
      </c>
      <c r="BS3073">
        <v>6.43</v>
      </c>
      <c r="BT3073">
        <v>-0.41</v>
      </c>
      <c r="BU3073">
        <v>1.55</v>
      </c>
      <c r="BV3073">
        <v>1.8</v>
      </c>
      <c r="BW3073">
        <v>-0.28000000000000003</v>
      </c>
      <c r="BX3073">
        <v>-1.06</v>
      </c>
      <c r="BY3073">
        <v>0.11</v>
      </c>
      <c r="BZ3073">
        <v>1.36</v>
      </c>
      <c r="CA3073">
        <v>2.34</v>
      </c>
      <c r="CB3073">
        <v>1.1399999999999999</v>
      </c>
      <c r="CC3073">
        <v>3.74</v>
      </c>
      <c r="CD3073">
        <v>-1.17</v>
      </c>
      <c r="CE3073">
        <v>1.44</v>
      </c>
      <c r="CF3073">
        <v>0.48</v>
      </c>
      <c r="CG3073">
        <v>0</v>
      </c>
      <c r="CH3073">
        <v>-0.09</v>
      </c>
      <c r="CI3073">
        <v>0</v>
      </c>
      <c r="CJ3073">
        <v>-22.7</v>
      </c>
      <c r="CK3073">
        <v>45</v>
      </c>
      <c r="CL3073">
        <v>-0.92</v>
      </c>
      <c r="CM3073">
        <v>40</v>
      </c>
      <c r="CN3073">
        <v>-0.17</v>
      </c>
      <c r="CO3073">
        <v>37</v>
      </c>
      <c r="CP3073">
        <v>-30.3</v>
      </c>
      <c r="CQ3073">
        <v>17</v>
      </c>
      <c r="CR3073">
        <v>0</v>
      </c>
      <c r="CS3073">
        <v>0</v>
      </c>
      <c r="CT3073">
        <v>-45.5</v>
      </c>
      <c r="CU3073">
        <v>11</v>
      </c>
      <c r="CV3073">
        <v>-0.23</v>
      </c>
      <c r="CW3073">
        <v>11</v>
      </c>
      <c r="CX3073" t="s">
        <v>337</v>
      </c>
    </row>
    <row r="3074" spans="1:102" x14ac:dyDescent="0.3">
      <c r="A3074" t="str">
        <f>HYPERLINK("https://webapp.icbf.com/v2/app/bull-search/view/1260962928","MO2100")</f>
        <v>MO2100</v>
      </c>
      <c r="B3074" t="s">
        <v>3109</v>
      </c>
      <c r="C3074" t="s">
        <v>3110</v>
      </c>
      <c r="D3074" s="1">
        <v>41195</v>
      </c>
      <c r="E3074" t="s">
        <v>140</v>
      </c>
      <c r="F3074">
        <v>0</v>
      </c>
      <c r="G3074" t="s">
        <v>109</v>
      </c>
      <c r="H3074">
        <v>-9.11</v>
      </c>
      <c r="I3074">
        <v>46</v>
      </c>
      <c r="J3074">
        <v>-39.450000000000003</v>
      </c>
      <c r="K3074">
        <v>73</v>
      </c>
      <c r="L3074">
        <v>35.29</v>
      </c>
      <c r="M3074">
        <v>21</v>
      </c>
      <c r="N3074">
        <v>-35.840000000000003</v>
      </c>
      <c r="O3074">
        <v>60</v>
      </c>
      <c r="P3074">
        <v>29.67</v>
      </c>
      <c r="Q3074">
        <v>66</v>
      </c>
      <c r="R3074">
        <v>6</v>
      </c>
      <c r="S3074">
        <v>18</v>
      </c>
      <c r="T3074">
        <v>3.91</v>
      </c>
      <c r="U3074">
        <v>22</v>
      </c>
      <c r="V3074">
        <v>-8.69</v>
      </c>
      <c r="W3074">
        <v>21</v>
      </c>
      <c r="X3074" t="s">
        <v>94</v>
      </c>
      <c r="Y3074" t="s">
        <v>405</v>
      </c>
      <c r="Z3074">
        <v>0</v>
      </c>
      <c r="AA3074" t="s">
        <v>3111</v>
      </c>
      <c r="AB3074" t="s">
        <v>3112</v>
      </c>
      <c r="AC3074">
        <v>0</v>
      </c>
      <c r="AD3074">
        <v>0</v>
      </c>
      <c r="AE3074">
        <v>73</v>
      </c>
      <c r="AF3074">
        <v>-234.44</v>
      </c>
      <c r="AG3074">
        <v>-7.09</v>
      </c>
      <c r="AH3074">
        <v>-7.79</v>
      </c>
      <c r="AI3074">
        <v>0.04</v>
      </c>
      <c r="AJ3074">
        <v>0</v>
      </c>
      <c r="AK3074">
        <v>21</v>
      </c>
      <c r="AL3074">
        <v>6</v>
      </c>
      <c r="AM3074">
        <v>3</v>
      </c>
      <c r="AN3074">
        <v>-2.25</v>
      </c>
      <c r="AO3074">
        <v>0.56000000000000005</v>
      </c>
      <c r="AP3074">
        <v>78</v>
      </c>
      <c r="AQ3074">
        <v>0</v>
      </c>
      <c r="AR3074">
        <v>9.26</v>
      </c>
      <c r="AS3074">
        <v>32</v>
      </c>
      <c r="AT3074">
        <v>4.7300000000000004</v>
      </c>
      <c r="AU3074">
        <v>60</v>
      </c>
      <c r="AV3074">
        <v>2.91</v>
      </c>
      <c r="AW3074">
        <v>89</v>
      </c>
      <c r="AX3074">
        <v>-0.73</v>
      </c>
      <c r="AY3074">
        <v>50</v>
      </c>
      <c r="AZ3074">
        <v>5.17</v>
      </c>
      <c r="BA3074">
        <v>18</v>
      </c>
      <c r="BB3074">
        <v>3.91</v>
      </c>
      <c r="BC3074">
        <v>6</v>
      </c>
      <c r="BD3074">
        <v>0</v>
      </c>
      <c r="BE3074">
        <v>-0.02</v>
      </c>
      <c r="BF3074">
        <v>-0.1</v>
      </c>
      <c r="BG3074">
        <v>23</v>
      </c>
      <c r="BH3074">
        <v>-0.36</v>
      </c>
      <c r="BI3074">
        <v>-13.61</v>
      </c>
      <c r="BJ3074">
        <v>0</v>
      </c>
      <c r="BK3074">
        <v>0</v>
      </c>
      <c r="BL3074">
        <v>-0.89</v>
      </c>
      <c r="BM3074">
        <v>3.25</v>
      </c>
      <c r="BN3074">
        <v>-1.67</v>
      </c>
      <c r="BO3074">
        <v>-2.86</v>
      </c>
      <c r="BP3074">
        <v>4.2699999999999996</v>
      </c>
      <c r="BQ3074">
        <v>-2.2599999999999998</v>
      </c>
      <c r="BR3074">
        <v>-2.65</v>
      </c>
      <c r="BS3074">
        <v>-0.36</v>
      </c>
      <c r="BT3074">
        <v>2.5099999999999998</v>
      </c>
      <c r="BU3074">
        <v>-3.3</v>
      </c>
      <c r="BV3074">
        <v>-3.73</v>
      </c>
      <c r="BW3074">
        <v>-2.92</v>
      </c>
      <c r="BX3074">
        <v>-2.73</v>
      </c>
      <c r="BY3074">
        <v>-2.02</v>
      </c>
      <c r="BZ3074">
        <v>1.19</v>
      </c>
      <c r="CA3074">
        <v>-2.35</v>
      </c>
      <c r="CB3074">
        <v>-3.06</v>
      </c>
      <c r="CC3074">
        <v>-0.28000000000000003</v>
      </c>
      <c r="CD3074">
        <v>3.72</v>
      </c>
      <c r="CE3074">
        <v>-2.87</v>
      </c>
      <c r="CF3074">
        <v>-1.18</v>
      </c>
      <c r="CG3074">
        <v>0</v>
      </c>
      <c r="CH3074">
        <v>-2.5499999999999998</v>
      </c>
      <c r="CI3074">
        <v>0</v>
      </c>
      <c r="CJ3074">
        <v>11.8</v>
      </c>
      <c r="CK3074">
        <v>72</v>
      </c>
      <c r="CL3074">
        <v>0.56999999999999995</v>
      </c>
      <c r="CM3074">
        <v>66</v>
      </c>
      <c r="CN3074">
        <v>-0.56000000000000005</v>
      </c>
      <c r="CO3074">
        <v>63</v>
      </c>
      <c r="CP3074">
        <v>6.3</v>
      </c>
      <c r="CQ3074">
        <v>32</v>
      </c>
      <c r="CR3074">
        <v>0</v>
      </c>
      <c r="CS3074">
        <v>0</v>
      </c>
      <c r="CT3074">
        <v>8.5</v>
      </c>
      <c r="CU3074">
        <v>22</v>
      </c>
      <c r="CV3074">
        <v>-7.0000000000000007E-2</v>
      </c>
      <c r="CW3074">
        <v>19</v>
      </c>
      <c r="CX3074" t="s">
        <v>1806</v>
      </c>
    </row>
    <row r="3075" spans="1:102" x14ac:dyDescent="0.3">
      <c r="A3075" t="str">
        <f>HYPERLINK("https://webapp.icbf.com/v2/app/bull-search/view/815248217","S1321")</f>
        <v>S1321</v>
      </c>
      <c r="B3075" t="s">
        <v>7234</v>
      </c>
      <c r="C3075" t="s">
        <v>7235</v>
      </c>
      <c r="D3075" s="1">
        <v>39428</v>
      </c>
      <c r="E3075" t="s">
        <v>1061</v>
      </c>
      <c r="F3075">
        <v>0</v>
      </c>
      <c r="G3075" t="s">
        <v>109</v>
      </c>
      <c r="H3075">
        <v>-9.1199999999999992</v>
      </c>
      <c r="I3075">
        <v>50</v>
      </c>
      <c r="J3075">
        <v>4.04</v>
      </c>
      <c r="K3075">
        <v>73</v>
      </c>
      <c r="L3075">
        <v>3.62</v>
      </c>
      <c r="M3075">
        <v>43</v>
      </c>
      <c r="N3075">
        <v>-13.46</v>
      </c>
      <c r="O3075">
        <v>29</v>
      </c>
      <c r="P3075">
        <v>-12.06</v>
      </c>
      <c r="Q3075">
        <v>39</v>
      </c>
      <c r="R3075">
        <v>-4.84</v>
      </c>
      <c r="S3075">
        <v>16</v>
      </c>
      <c r="T3075">
        <v>14.71</v>
      </c>
      <c r="U3075">
        <v>59</v>
      </c>
      <c r="V3075">
        <v>-1.1299999999999999</v>
      </c>
      <c r="W3075">
        <v>12</v>
      </c>
      <c r="X3075" t="s">
        <v>1645</v>
      </c>
      <c r="Y3075" t="s">
        <v>342</v>
      </c>
      <c r="Z3075">
        <v>0</v>
      </c>
      <c r="AA3075" t="s">
        <v>5408</v>
      </c>
      <c r="AB3075" t="s">
        <v>7236</v>
      </c>
      <c r="AC3075">
        <v>0</v>
      </c>
      <c r="AD3075">
        <v>0</v>
      </c>
      <c r="AE3075">
        <v>73</v>
      </c>
      <c r="AF3075">
        <v>-47.27</v>
      </c>
      <c r="AG3075">
        <v>-2.93</v>
      </c>
      <c r="AH3075">
        <v>1</v>
      </c>
      <c r="AI3075">
        <v>-0.02</v>
      </c>
      <c r="AJ3075">
        <v>0.04</v>
      </c>
      <c r="AK3075">
        <v>43</v>
      </c>
      <c r="AL3075">
        <v>0</v>
      </c>
      <c r="AM3075">
        <v>0</v>
      </c>
      <c r="AN3075">
        <v>-7.0000000000000007E-2</v>
      </c>
      <c r="AO3075">
        <v>0.22</v>
      </c>
      <c r="AP3075">
        <v>18</v>
      </c>
      <c r="AQ3075">
        <v>0</v>
      </c>
      <c r="AR3075">
        <v>9.17</v>
      </c>
      <c r="AS3075">
        <v>29</v>
      </c>
      <c r="AT3075">
        <v>3.95</v>
      </c>
      <c r="AU3075">
        <v>35</v>
      </c>
      <c r="AV3075">
        <v>-0.78</v>
      </c>
      <c r="AW3075">
        <v>29</v>
      </c>
      <c r="AX3075">
        <v>-0.7</v>
      </c>
      <c r="AY3075">
        <v>30</v>
      </c>
      <c r="AZ3075">
        <v>7.99</v>
      </c>
      <c r="BA3075">
        <v>18</v>
      </c>
      <c r="BB3075">
        <v>6.18</v>
      </c>
      <c r="BC3075">
        <v>17</v>
      </c>
      <c r="BD3075">
        <v>0.02</v>
      </c>
      <c r="BE3075">
        <v>0.02</v>
      </c>
      <c r="BF3075">
        <v>0.04</v>
      </c>
      <c r="BG3075">
        <v>20</v>
      </c>
      <c r="BH3075">
        <v>-0.04</v>
      </c>
      <c r="BI3075">
        <v>-0.98</v>
      </c>
      <c r="BJ3075">
        <v>0</v>
      </c>
      <c r="BK3075">
        <v>0</v>
      </c>
      <c r="BL3075">
        <v>0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-6.2</v>
      </c>
      <c r="CK3075">
        <v>41</v>
      </c>
      <c r="CL3075">
        <v>-0.48</v>
      </c>
      <c r="CM3075">
        <v>35</v>
      </c>
      <c r="CN3075">
        <v>-0.26</v>
      </c>
      <c r="CO3075">
        <v>29</v>
      </c>
      <c r="CP3075">
        <v>-10.6</v>
      </c>
      <c r="CQ3075">
        <v>52</v>
      </c>
      <c r="CR3075">
        <v>0</v>
      </c>
      <c r="CS3075">
        <v>0</v>
      </c>
      <c r="CT3075">
        <v>-6.1</v>
      </c>
      <c r="CU3075">
        <v>59</v>
      </c>
      <c r="CV3075">
        <v>-0.08</v>
      </c>
      <c r="CW3075">
        <v>9</v>
      </c>
      <c r="CX3075" t="s">
        <v>3734</v>
      </c>
    </row>
    <row r="3076" spans="1:102" x14ac:dyDescent="0.3">
      <c r="A3076" t="str">
        <f>HYPERLINK("https://webapp.icbf.com/v2/app/bull-search/view/389210230","LCU")</f>
        <v>LCU</v>
      </c>
      <c r="B3076" t="s">
        <v>4421</v>
      </c>
      <c r="C3076" t="s">
        <v>4422</v>
      </c>
      <c r="D3076" s="1">
        <v>35016</v>
      </c>
      <c r="E3076" t="s">
        <v>140</v>
      </c>
      <c r="F3076">
        <v>0</v>
      </c>
      <c r="G3076" t="s">
        <v>109</v>
      </c>
      <c r="H3076">
        <v>-9.31</v>
      </c>
      <c r="I3076">
        <v>57</v>
      </c>
      <c r="J3076">
        <v>-7.64</v>
      </c>
      <c r="K3076">
        <v>76</v>
      </c>
      <c r="L3076">
        <v>32.47</v>
      </c>
      <c r="M3076">
        <v>40</v>
      </c>
      <c r="N3076">
        <v>-50.88</v>
      </c>
      <c r="O3076">
        <v>51</v>
      </c>
      <c r="P3076">
        <v>23.95</v>
      </c>
      <c r="Q3076">
        <v>70</v>
      </c>
      <c r="R3076">
        <v>7.84</v>
      </c>
      <c r="S3076">
        <v>42</v>
      </c>
      <c r="T3076">
        <v>-1.42</v>
      </c>
      <c r="U3076">
        <v>61</v>
      </c>
      <c r="V3076">
        <v>-13.63</v>
      </c>
      <c r="W3076">
        <v>32</v>
      </c>
      <c r="X3076" t="s">
        <v>102</v>
      </c>
      <c r="Y3076" t="s">
        <v>95</v>
      </c>
      <c r="Z3076">
        <v>0</v>
      </c>
      <c r="AA3076" t="s">
        <v>1177</v>
      </c>
      <c r="AB3076" t="s">
        <v>4423</v>
      </c>
      <c r="AC3076">
        <v>0</v>
      </c>
      <c r="AD3076">
        <v>0</v>
      </c>
      <c r="AE3076">
        <v>76</v>
      </c>
      <c r="AF3076">
        <v>-30.44</v>
      </c>
      <c r="AG3076">
        <v>-3.89</v>
      </c>
      <c r="AH3076">
        <v>-0.39</v>
      </c>
      <c r="AI3076">
        <v>-0.04</v>
      </c>
      <c r="AJ3076">
        <v>0.01</v>
      </c>
      <c r="AK3076">
        <v>40</v>
      </c>
      <c r="AL3076">
        <v>18</v>
      </c>
      <c r="AM3076">
        <v>10</v>
      </c>
      <c r="AN3076">
        <v>-1.75</v>
      </c>
      <c r="AO3076">
        <v>0.84</v>
      </c>
      <c r="AP3076">
        <v>18</v>
      </c>
      <c r="AQ3076">
        <v>3</v>
      </c>
      <c r="AR3076">
        <v>13.33</v>
      </c>
      <c r="AS3076">
        <v>36</v>
      </c>
      <c r="AT3076">
        <v>5.94</v>
      </c>
      <c r="AU3076">
        <v>43</v>
      </c>
      <c r="AV3076">
        <v>0.85</v>
      </c>
      <c r="AW3076">
        <v>67</v>
      </c>
      <c r="AX3076">
        <v>-0.16</v>
      </c>
      <c r="AY3076">
        <v>51</v>
      </c>
      <c r="AZ3076">
        <v>4.84</v>
      </c>
      <c r="BA3076">
        <v>30</v>
      </c>
      <c r="BB3076">
        <v>3.51</v>
      </c>
      <c r="BC3076">
        <v>31</v>
      </c>
      <c r="BD3076">
        <v>0.01</v>
      </c>
      <c r="BE3076">
        <v>-0.03</v>
      </c>
      <c r="BF3076">
        <v>-0.14000000000000001</v>
      </c>
      <c r="BG3076">
        <v>47</v>
      </c>
      <c r="BH3076">
        <v>-0.33</v>
      </c>
      <c r="BI3076">
        <v>5.81</v>
      </c>
      <c r="BJ3076">
        <v>0</v>
      </c>
      <c r="BK3076">
        <v>0</v>
      </c>
      <c r="BL3076">
        <v>-0.84</v>
      </c>
      <c r="BM3076">
        <v>3.22</v>
      </c>
      <c r="BN3076">
        <v>-1.42</v>
      </c>
      <c r="BO3076">
        <v>-2.68</v>
      </c>
      <c r="BP3076">
        <v>4</v>
      </c>
      <c r="BQ3076">
        <v>-1.83</v>
      </c>
      <c r="BR3076">
        <v>-2.39</v>
      </c>
      <c r="BS3076">
        <v>-0.32</v>
      </c>
      <c r="BT3076">
        <v>2.2599999999999998</v>
      </c>
      <c r="BU3076">
        <v>-3.07</v>
      </c>
      <c r="BV3076">
        <v>-3.42</v>
      </c>
      <c r="BW3076">
        <v>-2.7</v>
      </c>
      <c r="BX3076">
        <v>-2.67</v>
      </c>
      <c r="BY3076">
        <v>-1.83</v>
      </c>
      <c r="BZ3076">
        <v>1.27</v>
      </c>
      <c r="CA3076">
        <v>-2.16</v>
      </c>
      <c r="CB3076">
        <v>-2.8</v>
      </c>
      <c r="CC3076">
        <v>-0.25</v>
      </c>
      <c r="CD3076">
        <v>3.58</v>
      </c>
      <c r="CE3076">
        <v>-2.62</v>
      </c>
      <c r="CF3076">
        <v>-1</v>
      </c>
      <c r="CG3076">
        <v>0</v>
      </c>
      <c r="CH3076">
        <v>-2.25</v>
      </c>
      <c r="CI3076">
        <v>0</v>
      </c>
      <c r="CJ3076">
        <v>9.6999999999999993</v>
      </c>
      <c r="CK3076">
        <v>73</v>
      </c>
      <c r="CL3076">
        <v>0.55000000000000004</v>
      </c>
      <c r="CM3076">
        <v>68</v>
      </c>
      <c r="CN3076">
        <v>-0.28000000000000003</v>
      </c>
      <c r="CO3076">
        <v>65</v>
      </c>
      <c r="CP3076">
        <v>10.7</v>
      </c>
      <c r="CQ3076">
        <v>68</v>
      </c>
      <c r="CR3076">
        <v>0</v>
      </c>
      <c r="CS3076">
        <v>0</v>
      </c>
      <c r="CT3076">
        <v>15.7</v>
      </c>
      <c r="CU3076">
        <v>61</v>
      </c>
      <c r="CV3076">
        <v>-0.16</v>
      </c>
      <c r="CW3076">
        <v>20</v>
      </c>
      <c r="CX3076" t="s">
        <v>1179</v>
      </c>
    </row>
    <row r="3077" spans="1:102" x14ac:dyDescent="0.3">
      <c r="A3077" t="str">
        <f>HYPERLINK("https://webapp.icbf.com/v2/app/bull-search/view/77859097","CPM")</f>
        <v>CPM</v>
      </c>
      <c r="B3077" t="s">
        <v>3434</v>
      </c>
      <c r="C3077" t="s">
        <v>3035</v>
      </c>
      <c r="D3077" s="1">
        <v>34163</v>
      </c>
      <c r="E3077" t="s">
        <v>92</v>
      </c>
      <c r="F3077">
        <v>100</v>
      </c>
      <c r="G3077" t="s">
        <v>93</v>
      </c>
      <c r="H3077">
        <v>-9.35</v>
      </c>
      <c r="I3077">
        <v>96</v>
      </c>
      <c r="J3077">
        <v>-8.9</v>
      </c>
      <c r="K3077">
        <v>99</v>
      </c>
      <c r="L3077">
        <v>-48</v>
      </c>
      <c r="M3077">
        <v>95</v>
      </c>
      <c r="N3077">
        <v>35.17</v>
      </c>
      <c r="O3077">
        <v>96</v>
      </c>
      <c r="P3077">
        <v>-3.93</v>
      </c>
      <c r="Q3077">
        <v>97</v>
      </c>
      <c r="R3077">
        <v>9.81</v>
      </c>
      <c r="S3077">
        <v>91</v>
      </c>
      <c r="T3077">
        <v>6.8</v>
      </c>
      <c r="U3077">
        <v>95</v>
      </c>
      <c r="V3077">
        <v>-0.3</v>
      </c>
      <c r="W3077">
        <v>88</v>
      </c>
      <c r="X3077" t="s">
        <v>94</v>
      </c>
      <c r="Y3077" t="s">
        <v>95</v>
      </c>
      <c r="Z3077" t="s">
        <v>96</v>
      </c>
      <c r="AA3077" t="s">
        <v>1185</v>
      </c>
      <c r="AB3077" t="s">
        <v>2840</v>
      </c>
      <c r="AC3077">
        <v>340</v>
      </c>
      <c r="AD3077">
        <v>187</v>
      </c>
      <c r="AE3077">
        <v>99</v>
      </c>
      <c r="AF3077">
        <v>357.15</v>
      </c>
      <c r="AG3077">
        <v>5.55</v>
      </c>
      <c r="AH3077">
        <v>1.99</v>
      </c>
      <c r="AI3077">
        <v>-0.14000000000000001</v>
      </c>
      <c r="AJ3077">
        <v>-0.17</v>
      </c>
      <c r="AK3077">
        <v>95</v>
      </c>
      <c r="AL3077">
        <v>320</v>
      </c>
      <c r="AM3077">
        <v>138</v>
      </c>
      <c r="AN3077">
        <v>4.01</v>
      </c>
      <c r="AO3077">
        <v>0.2</v>
      </c>
      <c r="AP3077">
        <v>373</v>
      </c>
      <c r="AQ3077">
        <v>1</v>
      </c>
      <c r="AR3077">
        <v>6.12</v>
      </c>
      <c r="AS3077">
        <v>94</v>
      </c>
      <c r="AT3077">
        <v>2.4700000000000002</v>
      </c>
      <c r="AU3077">
        <v>99</v>
      </c>
      <c r="AV3077">
        <v>-3.02</v>
      </c>
      <c r="AW3077">
        <v>97</v>
      </c>
      <c r="AX3077">
        <v>-0.48</v>
      </c>
      <c r="AY3077">
        <v>94</v>
      </c>
      <c r="AZ3077">
        <v>6.25</v>
      </c>
      <c r="BA3077">
        <v>88</v>
      </c>
      <c r="BB3077">
        <v>4.84</v>
      </c>
      <c r="BC3077">
        <v>90</v>
      </c>
      <c r="BD3077">
        <v>-0.01</v>
      </c>
      <c r="BE3077">
        <v>-0.01</v>
      </c>
      <c r="BF3077">
        <v>-0.19</v>
      </c>
      <c r="BG3077">
        <v>97</v>
      </c>
      <c r="BH3077">
        <v>0.12</v>
      </c>
      <c r="BI3077">
        <v>14.84</v>
      </c>
      <c r="BJ3077">
        <v>134</v>
      </c>
      <c r="BK3077">
        <v>64</v>
      </c>
      <c r="BL3077">
        <v>0.3</v>
      </c>
      <c r="BM3077">
        <v>0.1</v>
      </c>
      <c r="BN3077">
        <v>0.56999999999999995</v>
      </c>
      <c r="BO3077">
        <v>0.45</v>
      </c>
      <c r="BP3077">
        <v>1.55</v>
      </c>
      <c r="BQ3077">
        <v>1.38</v>
      </c>
      <c r="BR3077">
        <v>-1.1399999999999999</v>
      </c>
      <c r="BS3077">
        <v>3.07</v>
      </c>
      <c r="BT3077">
        <v>1.76</v>
      </c>
      <c r="BU3077">
        <v>0.54</v>
      </c>
      <c r="BV3077">
        <v>1.1000000000000001</v>
      </c>
      <c r="BW3077">
        <v>1.1000000000000001</v>
      </c>
      <c r="BX3077">
        <v>0.21</v>
      </c>
      <c r="BY3077">
        <v>0.74</v>
      </c>
      <c r="BZ3077">
        <v>-0.61</v>
      </c>
      <c r="CA3077">
        <v>1.58</v>
      </c>
      <c r="CB3077">
        <v>1.06</v>
      </c>
      <c r="CC3077">
        <v>2.11</v>
      </c>
      <c r="CD3077">
        <v>0.26</v>
      </c>
      <c r="CE3077">
        <v>0.83</v>
      </c>
      <c r="CF3077">
        <v>0.9</v>
      </c>
      <c r="CG3077">
        <v>0</v>
      </c>
      <c r="CH3077">
        <v>0.57999999999999996</v>
      </c>
      <c r="CI3077">
        <v>0</v>
      </c>
      <c r="CJ3077">
        <v>-1.9</v>
      </c>
      <c r="CK3077">
        <v>97</v>
      </c>
      <c r="CL3077">
        <v>-0.78</v>
      </c>
      <c r="CM3077">
        <v>97</v>
      </c>
      <c r="CN3077">
        <v>-0.59</v>
      </c>
      <c r="CO3077">
        <v>97</v>
      </c>
      <c r="CP3077">
        <v>-1.1000000000000001</v>
      </c>
      <c r="CQ3077">
        <v>97</v>
      </c>
      <c r="CR3077">
        <v>0</v>
      </c>
      <c r="CS3077">
        <v>0</v>
      </c>
      <c r="CT3077">
        <v>4.5999999999999996</v>
      </c>
      <c r="CU3077">
        <v>95</v>
      </c>
      <c r="CV3077">
        <v>0.06</v>
      </c>
      <c r="CW3077">
        <v>46</v>
      </c>
      <c r="CX3077" t="s">
        <v>111</v>
      </c>
    </row>
    <row r="3078" spans="1:102" x14ac:dyDescent="0.3">
      <c r="A3078" t="str">
        <f>HYPERLINK("https://webapp.icbf.com/v2/app/bull-search/view/221961665","MDU")</f>
        <v>MDU</v>
      </c>
      <c r="B3078" t="s">
        <v>8095</v>
      </c>
      <c r="C3078" t="s">
        <v>8096</v>
      </c>
      <c r="D3078" s="1">
        <v>36983</v>
      </c>
      <c r="E3078" t="s">
        <v>92</v>
      </c>
      <c r="F3078">
        <v>100</v>
      </c>
      <c r="G3078" t="s">
        <v>93</v>
      </c>
      <c r="H3078">
        <v>-9.3800000000000008</v>
      </c>
      <c r="I3078">
        <v>92</v>
      </c>
      <c r="J3078">
        <v>8.9600000000000009</v>
      </c>
      <c r="K3078">
        <v>98</v>
      </c>
      <c r="L3078">
        <v>-34.33</v>
      </c>
      <c r="M3078">
        <v>88</v>
      </c>
      <c r="N3078">
        <v>9.73</v>
      </c>
      <c r="O3078">
        <v>90</v>
      </c>
      <c r="P3078">
        <v>-8.19</v>
      </c>
      <c r="Q3078">
        <v>95</v>
      </c>
      <c r="R3078">
        <v>-0.33</v>
      </c>
      <c r="S3078">
        <v>84</v>
      </c>
      <c r="T3078">
        <v>5.24</v>
      </c>
      <c r="U3078">
        <v>94</v>
      </c>
      <c r="V3078">
        <v>9.5399999999999991</v>
      </c>
      <c r="W3078">
        <v>79</v>
      </c>
      <c r="X3078" t="s">
        <v>276</v>
      </c>
      <c r="Y3078" t="s">
        <v>171</v>
      </c>
      <c r="Z3078" t="s">
        <v>96</v>
      </c>
      <c r="AA3078" t="s">
        <v>311</v>
      </c>
      <c r="AB3078" t="s">
        <v>1032</v>
      </c>
      <c r="AC3078">
        <v>228</v>
      </c>
      <c r="AD3078">
        <v>114</v>
      </c>
      <c r="AE3078">
        <v>98</v>
      </c>
      <c r="AF3078">
        <v>96.45</v>
      </c>
      <c r="AG3078">
        <v>0.31</v>
      </c>
      <c r="AH3078">
        <v>2.89</v>
      </c>
      <c r="AI3078">
        <v>-0.06</v>
      </c>
      <c r="AJ3078">
        <v>-0.01</v>
      </c>
      <c r="AK3078">
        <v>88</v>
      </c>
      <c r="AL3078">
        <v>211</v>
      </c>
      <c r="AM3078">
        <v>105</v>
      </c>
      <c r="AN3078">
        <v>1.69</v>
      </c>
      <c r="AO3078">
        <v>-1.05</v>
      </c>
      <c r="AP3078">
        <v>358</v>
      </c>
      <c r="AQ3078">
        <v>7</v>
      </c>
      <c r="AR3078">
        <v>8.33</v>
      </c>
      <c r="AS3078">
        <v>87</v>
      </c>
      <c r="AT3078">
        <v>3.92</v>
      </c>
      <c r="AU3078">
        <v>90</v>
      </c>
      <c r="AV3078">
        <v>-2.2999999999999998</v>
      </c>
      <c r="AW3078">
        <v>96</v>
      </c>
      <c r="AX3078">
        <v>-0.06</v>
      </c>
      <c r="AY3078">
        <v>91</v>
      </c>
      <c r="AZ3078">
        <v>5.92</v>
      </c>
      <c r="BA3078">
        <v>76</v>
      </c>
      <c r="BB3078">
        <v>4.99</v>
      </c>
      <c r="BC3078">
        <v>77</v>
      </c>
      <c r="BD3078">
        <v>-0.05</v>
      </c>
      <c r="BE3078">
        <v>-0.01</v>
      </c>
      <c r="BF3078">
        <v>0.11</v>
      </c>
      <c r="BG3078">
        <v>93</v>
      </c>
      <c r="BH3078">
        <v>0.19</v>
      </c>
      <c r="BI3078">
        <v>-8.7799999999999994</v>
      </c>
      <c r="BJ3078">
        <v>86</v>
      </c>
      <c r="BK3078">
        <v>49</v>
      </c>
      <c r="BL3078">
        <v>0.88</v>
      </c>
      <c r="BM3078">
        <v>0.15</v>
      </c>
      <c r="BN3078">
        <v>1.01</v>
      </c>
      <c r="BO3078">
        <v>0.51</v>
      </c>
      <c r="BP3078">
        <v>-1.87</v>
      </c>
      <c r="BQ3078">
        <v>1.68</v>
      </c>
      <c r="BR3078">
        <v>0.74</v>
      </c>
      <c r="BS3078">
        <v>0.02</v>
      </c>
      <c r="BT3078">
        <v>0.66</v>
      </c>
      <c r="BU3078">
        <v>1.19</v>
      </c>
      <c r="BV3078">
        <v>1.07</v>
      </c>
      <c r="BW3078">
        <v>1.76</v>
      </c>
      <c r="BX3078">
        <v>1.03</v>
      </c>
      <c r="BY3078">
        <v>-0.32</v>
      </c>
      <c r="BZ3078">
        <v>1.23</v>
      </c>
      <c r="CA3078">
        <v>0.88</v>
      </c>
      <c r="CB3078">
        <v>0.89</v>
      </c>
      <c r="CC3078">
        <v>0.55000000000000004</v>
      </c>
      <c r="CD3078">
        <v>-0.28999999999999998</v>
      </c>
      <c r="CE3078">
        <v>0.65</v>
      </c>
      <c r="CF3078">
        <v>0.8</v>
      </c>
      <c r="CG3078">
        <v>0</v>
      </c>
      <c r="CH3078">
        <v>1.1299999999999999</v>
      </c>
      <c r="CI3078">
        <v>0</v>
      </c>
      <c r="CJ3078">
        <v>-2</v>
      </c>
      <c r="CK3078">
        <v>95</v>
      </c>
      <c r="CL3078">
        <v>-1.1399999999999999</v>
      </c>
      <c r="CM3078">
        <v>95</v>
      </c>
      <c r="CN3078">
        <v>-0.54</v>
      </c>
      <c r="CO3078">
        <v>94</v>
      </c>
      <c r="CP3078">
        <v>0.1</v>
      </c>
      <c r="CQ3078">
        <v>95</v>
      </c>
      <c r="CR3078">
        <v>0</v>
      </c>
      <c r="CS3078">
        <v>0</v>
      </c>
      <c r="CT3078">
        <v>6.7</v>
      </c>
      <c r="CU3078">
        <v>94</v>
      </c>
      <c r="CV3078">
        <v>0.3</v>
      </c>
      <c r="CW3078">
        <v>29</v>
      </c>
      <c r="CX3078" t="s">
        <v>111</v>
      </c>
    </row>
    <row r="3079" spans="1:102" x14ac:dyDescent="0.3">
      <c r="A3079" t="str">
        <f>HYPERLINK("https://webapp.icbf.com/v2/app/bull-search/view/1236663774","S2293")</f>
        <v>S2293</v>
      </c>
      <c r="B3079" t="s">
        <v>2697</v>
      </c>
      <c r="C3079" t="s">
        <v>2698</v>
      </c>
      <c r="D3079" s="1">
        <v>41122</v>
      </c>
      <c r="E3079" t="s">
        <v>92</v>
      </c>
      <c r="F3079">
        <v>100</v>
      </c>
      <c r="G3079" t="s">
        <v>109</v>
      </c>
      <c r="H3079">
        <v>-9.42</v>
      </c>
      <c r="I3079">
        <v>56</v>
      </c>
      <c r="J3079">
        <v>-25.82</v>
      </c>
      <c r="K3079">
        <v>76</v>
      </c>
      <c r="L3079">
        <v>2.59</v>
      </c>
      <c r="M3079">
        <v>63</v>
      </c>
      <c r="N3079">
        <v>13.38</v>
      </c>
      <c r="O3079">
        <v>41</v>
      </c>
      <c r="P3079">
        <v>-9.14</v>
      </c>
      <c r="Q3079">
        <v>25</v>
      </c>
      <c r="R3079">
        <v>3.09</v>
      </c>
      <c r="S3079">
        <v>51</v>
      </c>
      <c r="T3079">
        <v>7.46</v>
      </c>
      <c r="U3079">
        <v>17</v>
      </c>
      <c r="V3079">
        <v>-0.98</v>
      </c>
      <c r="W3079">
        <v>14</v>
      </c>
      <c r="X3079" t="s">
        <v>1645</v>
      </c>
      <c r="Y3079" t="s">
        <v>367</v>
      </c>
      <c r="Z3079" t="s">
        <v>96</v>
      </c>
      <c r="AA3079" t="s">
        <v>2699</v>
      </c>
      <c r="AB3079" t="s">
        <v>2700</v>
      </c>
      <c r="AC3079">
        <v>0</v>
      </c>
      <c r="AD3079">
        <v>0</v>
      </c>
      <c r="AE3079">
        <v>76</v>
      </c>
      <c r="AF3079">
        <v>181.27</v>
      </c>
      <c r="AG3079">
        <v>0.69</v>
      </c>
      <c r="AH3079">
        <v>-1.86</v>
      </c>
      <c r="AI3079">
        <v>-0.1</v>
      </c>
      <c r="AJ3079">
        <v>-0.13</v>
      </c>
      <c r="AK3079">
        <v>63</v>
      </c>
      <c r="AL3079">
        <v>0</v>
      </c>
      <c r="AM3079">
        <v>0</v>
      </c>
      <c r="AN3079">
        <v>0.14000000000000001</v>
      </c>
      <c r="AO3079">
        <v>0.35</v>
      </c>
      <c r="AP3079">
        <v>4</v>
      </c>
      <c r="AQ3079">
        <v>0</v>
      </c>
      <c r="AR3079">
        <v>6.68</v>
      </c>
      <c r="AS3079">
        <v>19</v>
      </c>
      <c r="AT3079">
        <v>2.98</v>
      </c>
      <c r="AU3079">
        <v>80</v>
      </c>
      <c r="AV3079">
        <v>-1.66</v>
      </c>
      <c r="AW3079">
        <v>39</v>
      </c>
      <c r="AX3079">
        <v>1.52</v>
      </c>
      <c r="AY3079">
        <v>20</v>
      </c>
      <c r="AZ3079">
        <v>6.24</v>
      </c>
      <c r="BA3079">
        <v>14</v>
      </c>
      <c r="BB3079">
        <v>4.95</v>
      </c>
      <c r="BC3079">
        <v>13</v>
      </c>
      <c r="BD3079">
        <v>0</v>
      </c>
      <c r="BE3079">
        <v>0.01</v>
      </c>
      <c r="BF3079">
        <v>-0.09</v>
      </c>
      <c r="BG3079">
        <v>81</v>
      </c>
      <c r="BH3079">
        <v>-0.05</v>
      </c>
      <c r="BI3079">
        <v>-2.61</v>
      </c>
      <c r="BJ3079">
        <v>0</v>
      </c>
      <c r="BK3079">
        <v>0</v>
      </c>
      <c r="BL3079">
        <v>0.67</v>
      </c>
      <c r="BM3079">
        <v>1</v>
      </c>
      <c r="BN3079">
        <v>-7.0000000000000007E-2</v>
      </c>
      <c r="BO3079">
        <v>0.05</v>
      </c>
      <c r="BP3079">
        <v>-0.05</v>
      </c>
      <c r="BQ3079">
        <v>0.2</v>
      </c>
      <c r="BR3079">
        <v>-1.29</v>
      </c>
      <c r="BS3079">
        <v>1.69</v>
      </c>
      <c r="BT3079">
        <v>1</v>
      </c>
      <c r="BU3079">
        <v>2.46</v>
      </c>
      <c r="BV3079">
        <v>1.92</v>
      </c>
      <c r="BW3079">
        <v>-0.1</v>
      </c>
      <c r="BX3079">
        <v>1.7</v>
      </c>
      <c r="BY3079">
        <v>0.91</v>
      </c>
      <c r="BZ3079">
        <v>-0.5</v>
      </c>
      <c r="CA3079">
        <v>1.99</v>
      </c>
      <c r="CB3079">
        <v>1.74</v>
      </c>
      <c r="CC3079">
        <v>1.44</v>
      </c>
      <c r="CD3079">
        <v>0.99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-4</v>
      </c>
      <c r="CK3079">
        <v>27</v>
      </c>
      <c r="CL3079">
        <v>-0.89</v>
      </c>
      <c r="CM3079">
        <v>23</v>
      </c>
      <c r="CN3079">
        <v>-0.51</v>
      </c>
      <c r="CO3079">
        <v>22</v>
      </c>
      <c r="CP3079">
        <v>-2.7</v>
      </c>
      <c r="CQ3079">
        <v>19</v>
      </c>
      <c r="CR3079">
        <v>0</v>
      </c>
      <c r="CS3079">
        <v>0</v>
      </c>
      <c r="CT3079">
        <v>3.7</v>
      </c>
      <c r="CU3079">
        <v>17</v>
      </c>
      <c r="CV3079">
        <v>0.18</v>
      </c>
      <c r="CW3079">
        <v>8</v>
      </c>
      <c r="CX3079" t="s">
        <v>2701</v>
      </c>
    </row>
    <row r="3080" spans="1:102" x14ac:dyDescent="0.3">
      <c r="A3080" t="str">
        <f>HYPERLINK("https://webapp.icbf.com/v2/app/bull-search/view/108375240","VIT")</f>
        <v>VIT</v>
      </c>
      <c r="B3080" t="s">
        <v>144</v>
      </c>
      <c r="C3080" t="s">
        <v>1297</v>
      </c>
      <c r="D3080" s="1">
        <v>32517</v>
      </c>
      <c r="E3080" t="s">
        <v>895</v>
      </c>
      <c r="F3080">
        <v>0</v>
      </c>
      <c r="G3080" t="s">
        <v>116</v>
      </c>
      <c r="H3080">
        <v>-9.61</v>
      </c>
      <c r="I3080">
        <v>29</v>
      </c>
      <c r="J3080">
        <v>-4.7699999999999996</v>
      </c>
      <c r="K3080">
        <v>49</v>
      </c>
      <c r="L3080">
        <v>-10.97</v>
      </c>
      <c r="M3080">
        <v>15</v>
      </c>
      <c r="N3080">
        <v>-13.27</v>
      </c>
      <c r="O3080">
        <v>17</v>
      </c>
      <c r="P3080">
        <v>-21.81</v>
      </c>
      <c r="Q3080">
        <v>35</v>
      </c>
      <c r="R3080">
        <v>11.34</v>
      </c>
      <c r="S3080">
        <v>20</v>
      </c>
      <c r="T3080">
        <v>32.03</v>
      </c>
      <c r="U3080">
        <v>33</v>
      </c>
      <c r="V3080">
        <v>-2.16</v>
      </c>
      <c r="W3080">
        <v>6</v>
      </c>
      <c r="X3080" t="s">
        <v>94</v>
      </c>
      <c r="Y3080" t="s">
        <v>95</v>
      </c>
      <c r="Z3080">
        <v>0</v>
      </c>
      <c r="AA3080" t="s">
        <v>1298</v>
      </c>
      <c r="AB3080" t="s">
        <v>1299</v>
      </c>
      <c r="AC3080">
        <v>5</v>
      </c>
      <c r="AD3080">
        <v>4</v>
      </c>
      <c r="AE3080">
        <v>49</v>
      </c>
      <c r="AF3080">
        <v>-395.87</v>
      </c>
      <c r="AG3080">
        <v>-2.1800000000000002</v>
      </c>
      <c r="AH3080">
        <v>-6.1</v>
      </c>
      <c r="AI3080">
        <v>0.24</v>
      </c>
      <c r="AJ3080">
        <v>0.13</v>
      </c>
      <c r="AK3080">
        <v>15</v>
      </c>
      <c r="AL3080">
        <v>4</v>
      </c>
      <c r="AM3080">
        <v>3</v>
      </c>
      <c r="AN3080">
        <v>1.77</v>
      </c>
      <c r="AO3080">
        <v>0.91</v>
      </c>
      <c r="AP3080">
        <v>1</v>
      </c>
      <c r="AQ3080">
        <v>0</v>
      </c>
      <c r="AR3080">
        <v>8.14</v>
      </c>
      <c r="AS3080">
        <v>10</v>
      </c>
      <c r="AT3080">
        <v>3.78</v>
      </c>
      <c r="AU3080">
        <v>20</v>
      </c>
      <c r="AV3080">
        <v>1.95</v>
      </c>
      <c r="AW3080">
        <v>18</v>
      </c>
      <c r="AX3080">
        <v>-0.48</v>
      </c>
      <c r="AY3080">
        <v>19</v>
      </c>
      <c r="AZ3080">
        <v>4.45</v>
      </c>
      <c r="BA3080">
        <v>6</v>
      </c>
      <c r="BB3080">
        <v>3.66</v>
      </c>
      <c r="BC3080">
        <v>10</v>
      </c>
      <c r="BD3080">
        <v>-0.01</v>
      </c>
      <c r="BE3080">
        <v>-0.06</v>
      </c>
      <c r="BF3080">
        <v>-0.13</v>
      </c>
      <c r="BG3080">
        <v>24</v>
      </c>
      <c r="BH3080">
        <v>-0.02</v>
      </c>
      <c r="BI3080">
        <v>4.6399999999999997</v>
      </c>
      <c r="BJ3080">
        <v>0</v>
      </c>
      <c r="BK3080">
        <v>0</v>
      </c>
      <c r="BL3080">
        <v>-0.96</v>
      </c>
      <c r="BM3080">
        <v>0.65</v>
      </c>
      <c r="BN3080">
        <v>-0.78</v>
      </c>
      <c r="BO3080">
        <v>-1.01</v>
      </c>
      <c r="BP3080">
        <v>0.46</v>
      </c>
      <c r="BQ3080">
        <v>-0.28000000000000003</v>
      </c>
      <c r="BR3080">
        <v>0.4</v>
      </c>
      <c r="BS3080">
        <v>-0.38</v>
      </c>
      <c r="BT3080">
        <v>-0.24</v>
      </c>
      <c r="BU3080">
        <v>-0.71</v>
      </c>
      <c r="BV3080">
        <v>-1.32</v>
      </c>
      <c r="BW3080">
        <v>-1.1499999999999999</v>
      </c>
      <c r="BX3080">
        <v>-0.49</v>
      </c>
      <c r="BY3080">
        <v>-0.69</v>
      </c>
      <c r="BZ3080">
        <v>-0.16</v>
      </c>
      <c r="CA3080">
        <v>-1.04</v>
      </c>
      <c r="CB3080">
        <v>-1.0900000000000001</v>
      </c>
      <c r="CC3080">
        <v>-0.55000000000000004</v>
      </c>
      <c r="CD3080">
        <v>0.83</v>
      </c>
      <c r="CE3080">
        <v>-1.06</v>
      </c>
      <c r="CF3080">
        <v>-1.1000000000000001</v>
      </c>
      <c r="CG3080">
        <v>0</v>
      </c>
      <c r="CH3080">
        <v>-1.1000000000000001</v>
      </c>
      <c r="CI3080">
        <v>0</v>
      </c>
      <c r="CJ3080">
        <v>-13.2</v>
      </c>
      <c r="CK3080">
        <v>37</v>
      </c>
      <c r="CL3080">
        <v>-0.28000000000000003</v>
      </c>
      <c r="CM3080">
        <v>32</v>
      </c>
      <c r="CN3080">
        <v>-0.14000000000000001</v>
      </c>
      <c r="CO3080">
        <v>28</v>
      </c>
      <c r="CP3080">
        <v>-15.6</v>
      </c>
      <c r="CQ3080">
        <v>38</v>
      </c>
      <c r="CR3080">
        <v>0</v>
      </c>
      <c r="CS3080">
        <v>0</v>
      </c>
      <c r="CT3080">
        <v>-29.5</v>
      </c>
      <c r="CU3080">
        <v>33</v>
      </c>
      <c r="CV3080">
        <v>-0.23</v>
      </c>
      <c r="CW3080">
        <v>9</v>
      </c>
      <c r="CX3080" t="s">
        <v>1300</v>
      </c>
    </row>
    <row r="3081" spans="1:102" x14ac:dyDescent="0.3">
      <c r="A3081" t="str">
        <f>HYPERLINK("https://webapp.icbf.com/v2/app/bull-search/view/146357919","MGZ")</f>
        <v>MGZ</v>
      </c>
      <c r="B3081" t="s">
        <v>4090</v>
      </c>
      <c r="C3081" t="s">
        <v>4091</v>
      </c>
      <c r="D3081" s="1">
        <v>35348</v>
      </c>
      <c r="E3081" t="s">
        <v>140</v>
      </c>
      <c r="F3081">
        <v>0</v>
      </c>
      <c r="G3081" t="s">
        <v>109</v>
      </c>
      <c r="H3081">
        <v>-9.65</v>
      </c>
      <c r="I3081">
        <v>61</v>
      </c>
      <c r="J3081">
        <v>-24.01</v>
      </c>
      <c r="K3081">
        <v>76</v>
      </c>
      <c r="L3081">
        <v>61.24</v>
      </c>
      <c r="M3081">
        <v>44</v>
      </c>
      <c r="N3081">
        <v>-69.709999999999994</v>
      </c>
      <c r="O3081">
        <v>60</v>
      </c>
      <c r="P3081">
        <v>21.96</v>
      </c>
      <c r="Q3081">
        <v>81</v>
      </c>
      <c r="R3081">
        <v>7.7</v>
      </c>
      <c r="S3081">
        <v>46</v>
      </c>
      <c r="T3081">
        <v>3.61</v>
      </c>
      <c r="U3081">
        <v>66</v>
      </c>
      <c r="V3081">
        <v>-10.44</v>
      </c>
      <c r="W3081">
        <v>37</v>
      </c>
      <c r="X3081" t="s">
        <v>102</v>
      </c>
      <c r="Y3081" t="s">
        <v>95</v>
      </c>
      <c r="Z3081">
        <v>0</v>
      </c>
      <c r="AA3081" t="s">
        <v>1177</v>
      </c>
      <c r="AB3081" t="s">
        <v>4092</v>
      </c>
      <c r="AC3081">
        <v>0</v>
      </c>
      <c r="AD3081">
        <v>0</v>
      </c>
      <c r="AE3081">
        <v>76</v>
      </c>
      <c r="AF3081">
        <v>-177.92</v>
      </c>
      <c r="AG3081">
        <v>-6.89</v>
      </c>
      <c r="AH3081">
        <v>-4.37</v>
      </c>
      <c r="AI3081">
        <v>0</v>
      </c>
      <c r="AJ3081">
        <v>0.03</v>
      </c>
      <c r="AK3081">
        <v>44</v>
      </c>
      <c r="AL3081">
        <v>21</v>
      </c>
      <c r="AM3081">
        <v>19</v>
      </c>
      <c r="AN3081">
        <v>-3.62</v>
      </c>
      <c r="AO3081">
        <v>1.26</v>
      </c>
      <c r="AP3081">
        <v>35</v>
      </c>
      <c r="AQ3081">
        <v>0</v>
      </c>
      <c r="AR3081">
        <v>13.08</v>
      </c>
      <c r="AS3081">
        <v>31</v>
      </c>
      <c r="AT3081">
        <v>5.78</v>
      </c>
      <c r="AU3081">
        <v>56</v>
      </c>
      <c r="AV3081">
        <v>3.2</v>
      </c>
      <c r="AW3081">
        <v>79</v>
      </c>
      <c r="AX3081">
        <v>1.29</v>
      </c>
      <c r="AY3081">
        <v>57</v>
      </c>
      <c r="AZ3081">
        <v>4.8600000000000003</v>
      </c>
      <c r="BA3081">
        <v>32</v>
      </c>
      <c r="BB3081">
        <v>3.47</v>
      </c>
      <c r="BC3081">
        <v>36</v>
      </c>
      <c r="BD3081">
        <v>0</v>
      </c>
      <c r="BE3081">
        <v>-0.03</v>
      </c>
      <c r="BF3081">
        <v>-0.12</v>
      </c>
      <c r="BG3081">
        <v>54</v>
      </c>
      <c r="BH3081">
        <v>-0.25</v>
      </c>
      <c r="BI3081">
        <v>4.7699999999999996</v>
      </c>
      <c r="BJ3081">
        <v>0</v>
      </c>
      <c r="BK3081">
        <v>0</v>
      </c>
      <c r="BL3081">
        <v>-0.84</v>
      </c>
      <c r="BM3081">
        <v>3.23</v>
      </c>
      <c r="BN3081">
        <v>-1.42</v>
      </c>
      <c r="BO3081">
        <v>-2.68</v>
      </c>
      <c r="BP3081">
        <v>4</v>
      </c>
      <c r="BQ3081">
        <v>-1.82</v>
      </c>
      <c r="BR3081">
        <v>-2.39</v>
      </c>
      <c r="BS3081">
        <v>-0.32</v>
      </c>
      <c r="BT3081">
        <v>2.2599999999999998</v>
      </c>
      <c r="BU3081">
        <v>-3.07</v>
      </c>
      <c r="BV3081">
        <v>-3.41</v>
      </c>
      <c r="BW3081">
        <v>-2.7</v>
      </c>
      <c r="BX3081">
        <v>-2.68</v>
      </c>
      <c r="BY3081">
        <v>-1.83</v>
      </c>
      <c r="BZ3081">
        <v>1.27</v>
      </c>
      <c r="CA3081">
        <v>-2.16</v>
      </c>
      <c r="CB3081">
        <v>-2.8</v>
      </c>
      <c r="CC3081">
        <v>-0.25</v>
      </c>
      <c r="CD3081">
        <v>3.59</v>
      </c>
      <c r="CE3081">
        <v>-2.62</v>
      </c>
      <c r="CF3081">
        <v>-0.99</v>
      </c>
      <c r="CG3081">
        <v>0</v>
      </c>
      <c r="CH3081">
        <v>-2.25</v>
      </c>
      <c r="CI3081">
        <v>0</v>
      </c>
      <c r="CJ3081">
        <v>10.199999999999999</v>
      </c>
      <c r="CK3081">
        <v>83</v>
      </c>
      <c r="CL3081">
        <v>0.39</v>
      </c>
      <c r="CM3081">
        <v>79</v>
      </c>
      <c r="CN3081">
        <v>-0.18</v>
      </c>
      <c r="CO3081">
        <v>77</v>
      </c>
      <c r="CP3081">
        <v>11.7</v>
      </c>
      <c r="CQ3081">
        <v>75</v>
      </c>
      <c r="CR3081">
        <v>0</v>
      </c>
      <c r="CS3081">
        <v>0</v>
      </c>
      <c r="CT3081">
        <v>8.9</v>
      </c>
      <c r="CU3081">
        <v>66</v>
      </c>
      <c r="CV3081">
        <v>-0.05</v>
      </c>
      <c r="CW3081">
        <v>23</v>
      </c>
      <c r="CX3081" t="s">
        <v>1179</v>
      </c>
    </row>
    <row r="3082" spans="1:102" x14ac:dyDescent="0.3">
      <c r="A3082" t="str">
        <f>HYPERLINK("https://webapp.icbf.com/v2/app/bull-search/view/492415088","BZK")</f>
        <v>BZK</v>
      </c>
      <c r="B3082" t="s">
        <v>1408</v>
      </c>
      <c r="C3082" t="s">
        <v>1409</v>
      </c>
      <c r="D3082" s="1">
        <v>38523</v>
      </c>
      <c r="E3082" t="s">
        <v>108</v>
      </c>
      <c r="F3082">
        <v>0</v>
      </c>
      <c r="G3082" t="s">
        <v>93</v>
      </c>
      <c r="H3082">
        <v>-9.6999999999999993</v>
      </c>
      <c r="I3082">
        <v>91</v>
      </c>
      <c r="J3082">
        <v>-73.150000000000006</v>
      </c>
      <c r="K3082">
        <v>98</v>
      </c>
      <c r="L3082">
        <v>46.67</v>
      </c>
      <c r="M3082">
        <v>83</v>
      </c>
      <c r="N3082">
        <v>8</v>
      </c>
      <c r="O3082">
        <v>90</v>
      </c>
      <c r="P3082">
        <v>-9.2799999999999994</v>
      </c>
      <c r="Q3082">
        <v>97</v>
      </c>
      <c r="R3082">
        <v>10.08</v>
      </c>
      <c r="S3082">
        <v>85</v>
      </c>
      <c r="T3082">
        <v>10.57</v>
      </c>
      <c r="U3082">
        <v>95</v>
      </c>
      <c r="V3082">
        <v>-2.59</v>
      </c>
      <c r="W3082">
        <v>89</v>
      </c>
      <c r="X3082" t="s">
        <v>94</v>
      </c>
      <c r="Y3082" t="s">
        <v>1251</v>
      </c>
      <c r="Z3082" t="s">
        <v>96</v>
      </c>
      <c r="AA3082" t="s">
        <v>823</v>
      </c>
      <c r="AB3082" t="s">
        <v>1410</v>
      </c>
      <c r="AC3082">
        <v>136</v>
      </c>
      <c r="AD3082">
        <v>96</v>
      </c>
      <c r="AE3082">
        <v>98</v>
      </c>
      <c r="AF3082">
        <v>-166.93</v>
      </c>
      <c r="AG3082">
        <v>-13.33</v>
      </c>
      <c r="AH3082">
        <v>-10.28</v>
      </c>
      <c r="AI3082">
        <v>-0.12</v>
      </c>
      <c r="AJ3082">
        <v>-0.08</v>
      </c>
      <c r="AK3082">
        <v>83</v>
      </c>
      <c r="AL3082">
        <v>249</v>
      </c>
      <c r="AM3082">
        <v>134</v>
      </c>
      <c r="AN3082">
        <v>-4.24</v>
      </c>
      <c r="AO3082">
        <v>-0.54</v>
      </c>
      <c r="AP3082">
        <v>293</v>
      </c>
      <c r="AQ3082">
        <v>5</v>
      </c>
      <c r="AR3082">
        <v>7.47</v>
      </c>
      <c r="AS3082">
        <v>78</v>
      </c>
      <c r="AT3082">
        <v>3.37</v>
      </c>
      <c r="AU3082">
        <v>91</v>
      </c>
      <c r="AV3082">
        <v>-1.66</v>
      </c>
      <c r="AW3082">
        <v>97</v>
      </c>
      <c r="AX3082">
        <v>-0.73</v>
      </c>
      <c r="AY3082">
        <v>91</v>
      </c>
      <c r="AZ3082">
        <v>7.29</v>
      </c>
      <c r="BA3082">
        <v>75</v>
      </c>
      <c r="BB3082">
        <v>5.74</v>
      </c>
      <c r="BC3082">
        <v>79</v>
      </c>
      <c r="BD3082">
        <v>-0.01</v>
      </c>
      <c r="BE3082">
        <v>-0.05</v>
      </c>
      <c r="BF3082">
        <v>-0.12</v>
      </c>
      <c r="BG3082">
        <v>90</v>
      </c>
      <c r="BH3082">
        <v>-0.05</v>
      </c>
      <c r="BI3082">
        <v>2.56</v>
      </c>
      <c r="BJ3082">
        <v>12</v>
      </c>
      <c r="BK3082">
        <v>7</v>
      </c>
      <c r="BL3082">
        <v>-3</v>
      </c>
      <c r="BM3082">
        <v>2.69</v>
      </c>
      <c r="BN3082">
        <v>-2.66</v>
      </c>
      <c r="BO3082">
        <v>-3.71</v>
      </c>
      <c r="BP3082">
        <v>0.04</v>
      </c>
      <c r="BQ3082">
        <v>1.8</v>
      </c>
      <c r="BR3082">
        <v>-2.99</v>
      </c>
      <c r="BS3082">
        <v>1.64</v>
      </c>
      <c r="BT3082">
        <v>1.4</v>
      </c>
      <c r="BU3082">
        <v>-1.46</v>
      </c>
      <c r="BV3082">
        <v>-1.99</v>
      </c>
      <c r="BW3082">
        <v>-1.19</v>
      </c>
      <c r="BX3082">
        <v>-0.14000000000000001</v>
      </c>
      <c r="BY3082">
        <v>-0.25</v>
      </c>
      <c r="BZ3082">
        <v>-1.75</v>
      </c>
      <c r="CA3082">
        <v>-0.83</v>
      </c>
      <c r="CB3082">
        <v>-1.64</v>
      </c>
      <c r="CC3082">
        <v>0.47</v>
      </c>
      <c r="CD3082">
        <v>3.63</v>
      </c>
      <c r="CE3082">
        <v>-2.5</v>
      </c>
      <c r="CF3082">
        <v>-1.47</v>
      </c>
      <c r="CG3082">
        <v>0</v>
      </c>
      <c r="CH3082">
        <v>1.46</v>
      </c>
      <c r="CI3082">
        <v>0</v>
      </c>
      <c r="CJ3082">
        <v>-4</v>
      </c>
      <c r="CK3082">
        <v>97</v>
      </c>
      <c r="CL3082">
        <v>-0.27</v>
      </c>
      <c r="CM3082">
        <v>97</v>
      </c>
      <c r="CN3082">
        <v>0.01</v>
      </c>
      <c r="CO3082">
        <v>96</v>
      </c>
      <c r="CP3082">
        <v>-5.7</v>
      </c>
      <c r="CQ3082">
        <v>95</v>
      </c>
      <c r="CR3082">
        <v>0</v>
      </c>
      <c r="CS3082">
        <v>0</v>
      </c>
      <c r="CT3082">
        <v>-0.5</v>
      </c>
      <c r="CU3082">
        <v>95</v>
      </c>
      <c r="CV3082">
        <v>0.05</v>
      </c>
      <c r="CW3082">
        <v>45</v>
      </c>
      <c r="CX3082" t="s">
        <v>1411</v>
      </c>
    </row>
    <row r="3083" spans="1:102" x14ac:dyDescent="0.3">
      <c r="A3083" t="str">
        <f>HYPERLINK("https://webapp.icbf.com/v2/app/bull-search/view/586162893","NTM")</f>
        <v>NTM</v>
      </c>
      <c r="B3083" t="s">
        <v>10121</v>
      </c>
      <c r="C3083" t="s">
        <v>10122</v>
      </c>
      <c r="D3083" s="1">
        <v>38886</v>
      </c>
      <c r="E3083" t="s">
        <v>92</v>
      </c>
      <c r="F3083">
        <v>100</v>
      </c>
      <c r="G3083" t="s">
        <v>93</v>
      </c>
      <c r="H3083">
        <v>-9.7100000000000009</v>
      </c>
      <c r="I3083">
        <v>90</v>
      </c>
      <c r="J3083">
        <v>48.24</v>
      </c>
      <c r="K3083">
        <v>98</v>
      </c>
      <c r="L3083">
        <v>-48.95</v>
      </c>
      <c r="M3083">
        <v>89</v>
      </c>
      <c r="N3083">
        <v>-4.68</v>
      </c>
      <c r="O3083">
        <v>85</v>
      </c>
      <c r="P3083">
        <v>-4.3899999999999997</v>
      </c>
      <c r="Q3083">
        <v>89</v>
      </c>
      <c r="R3083">
        <v>1.26</v>
      </c>
      <c r="S3083">
        <v>80</v>
      </c>
      <c r="T3083">
        <v>-7.63</v>
      </c>
      <c r="U3083">
        <v>85</v>
      </c>
      <c r="V3083">
        <v>6.44</v>
      </c>
      <c r="W3083">
        <v>62</v>
      </c>
      <c r="X3083" t="s">
        <v>251</v>
      </c>
      <c r="Y3083" t="s">
        <v>1756</v>
      </c>
      <c r="Z3083" t="s">
        <v>96</v>
      </c>
      <c r="AA3083" t="s">
        <v>350</v>
      </c>
      <c r="AB3083" t="s">
        <v>10123</v>
      </c>
      <c r="AC3083">
        <v>139</v>
      </c>
      <c r="AD3083">
        <v>39</v>
      </c>
      <c r="AE3083">
        <v>98</v>
      </c>
      <c r="AF3083">
        <v>351.15</v>
      </c>
      <c r="AG3083">
        <v>11.67</v>
      </c>
      <c r="AH3083">
        <v>9.4499999999999993</v>
      </c>
      <c r="AI3083">
        <v>-0.03</v>
      </c>
      <c r="AJ3083">
        <v>-0.04</v>
      </c>
      <c r="AK3083">
        <v>89</v>
      </c>
      <c r="AL3083">
        <v>126</v>
      </c>
      <c r="AM3083">
        <v>36</v>
      </c>
      <c r="AN3083">
        <v>2.94</v>
      </c>
      <c r="AO3083">
        <v>-0.96</v>
      </c>
      <c r="AP3083">
        <v>189</v>
      </c>
      <c r="AQ3083">
        <v>1</v>
      </c>
      <c r="AR3083">
        <v>8.75</v>
      </c>
      <c r="AS3083">
        <v>79</v>
      </c>
      <c r="AT3083">
        <v>3.91</v>
      </c>
      <c r="AU3083">
        <v>90</v>
      </c>
      <c r="AV3083">
        <v>-0.45</v>
      </c>
      <c r="AW3083">
        <v>92</v>
      </c>
      <c r="AX3083">
        <v>-0.16</v>
      </c>
      <c r="AY3083">
        <v>83</v>
      </c>
      <c r="AZ3083">
        <v>5.83</v>
      </c>
      <c r="BA3083">
        <v>67</v>
      </c>
      <c r="BB3083">
        <v>4.76</v>
      </c>
      <c r="BC3083">
        <v>63</v>
      </c>
      <c r="BD3083">
        <v>0.03</v>
      </c>
      <c r="BE3083">
        <v>-0.01</v>
      </c>
      <c r="BF3083">
        <v>-0.06</v>
      </c>
      <c r="BG3083">
        <v>92</v>
      </c>
      <c r="BH3083">
        <v>0.14000000000000001</v>
      </c>
      <c r="BI3083">
        <v>-4.57</v>
      </c>
      <c r="BJ3083">
        <v>40</v>
      </c>
      <c r="BK3083">
        <v>21</v>
      </c>
      <c r="BL3083">
        <v>1.38</v>
      </c>
      <c r="BM3083">
        <v>0.37</v>
      </c>
      <c r="BN3083">
        <v>1.96</v>
      </c>
      <c r="BO3083">
        <v>1.33</v>
      </c>
      <c r="BP3083">
        <v>0.46</v>
      </c>
      <c r="BQ3083">
        <v>3.62</v>
      </c>
      <c r="BR3083">
        <v>0.43</v>
      </c>
      <c r="BS3083">
        <v>0.48</v>
      </c>
      <c r="BT3083">
        <v>0.12</v>
      </c>
      <c r="BU3083">
        <v>2.13</v>
      </c>
      <c r="BV3083">
        <v>2.44</v>
      </c>
      <c r="BW3083">
        <v>2.33</v>
      </c>
      <c r="BX3083">
        <v>1.55</v>
      </c>
      <c r="BY3083">
        <v>2.0699999999999998</v>
      </c>
      <c r="BZ3083">
        <v>0.24</v>
      </c>
      <c r="CA3083">
        <v>1.93</v>
      </c>
      <c r="CB3083">
        <v>2.0699999999999998</v>
      </c>
      <c r="CC3083">
        <v>0.78</v>
      </c>
      <c r="CD3083">
        <v>-0.49</v>
      </c>
      <c r="CE3083">
        <v>1.43</v>
      </c>
      <c r="CF3083">
        <v>1.66</v>
      </c>
      <c r="CG3083">
        <v>0</v>
      </c>
      <c r="CH3083">
        <v>2.17</v>
      </c>
      <c r="CI3083">
        <v>0</v>
      </c>
      <c r="CJ3083">
        <v>0.4</v>
      </c>
      <c r="CK3083">
        <v>90</v>
      </c>
      <c r="CL3083">
        <v>-1.21</v>
      </c>
      <c r="CM3083">
        <v>88</v>
      </c>
      <c r="CN3083">
        <v>-0.56000000000000005</v>
      </c>
      <c r="CO3083">
        <v>87</v>
      </c>
      <c r="CP3083">
        <v>6.6</v>
      </c>
      <c r="CQ3083">
        <v>87</v>
      </c>
      <c r="CR3083">
        <v>0</v>
      </c>
      <c r="CS3083">
        <v>0</v>
      </c>
      <c r="CT3083">
        <v>24.1</v>
      </c>
      <c r="CU3083">
        <v>85</v>
      </c>
      <c r="CV3083">
        <v>0.21</v>
      </c>
      <c r="CW3083">
        <v>44</v>
      </c>
      <c r="CX3083" t="s">
        <v>8032</v>
      </c>
    </row>
    <row r="3084" spans="1:102" x14ac:dyDescent="0.3">
      <c r="A3084" t="str">
        <f>HYPERLINK("https://webapp.icbf.com/v2/app/bull-search/view/660262042","UWJ")</f>
        <v>UWJ</v>
      </c>
      <c r="B3084" t="s">
        <v>5359</v>
      </c>
      <c r="C3084" t="s">
        <v>5360</v>
      </c>
      <c r="D3084" s="1">
        <v>37834</v>
      </c>
      <c r="E3084" t="s">
        <v>140</v>
      </c>
      <c r="F3084">
        <v>0</v>
      </c>
      <c r="G3084" t="s">
        <v>109</v>
      </c>
      <c r="H3084">
        <v>-9.76</v>
      </c>
      <c r="I3084">
        <v>73</v>
      </c>
      <c r="J3084">
        <v>16.600000000000001</v>
      </c>
      <c r="K3084">
        <v>85</v>
      </c>
      <c r="L3084">
        <v>15.33</v>
      </c>
      <c r="M3084">
        <v>65</v>
      </c>
      <c r="N3084">
        <v>-45.14</v>
      </c>
      <c r="O3084">
        <v>72</v>
      </c>
      <c r="P3084">
        <v>24.53</v>
      </c>
      <c r="Q3084">
        <v>84</v>
      </c>
      <c r="R3084">
        <v>-5.13</v>
      </c>
      <c r="S3084">
        <v>60</v>
      </c>
      <c r="T3084">
        <v>-2.6</v>
      </c>
      <c r="U3084">
        <v>66</v>
      </c>
      <c r="V3084">
        <v>-13.35</v>
      </c>
      <c r="W3084">
        <v>57</v>
      </c>
      <c r="X3084" t="s">
        <v>94</v>
      </c>
      <c r="Y3084" t="s">
        <v>235</v>
      </c>
      <c r="Z3084">
        <v>0</v>
      </c>
      <c r="AA3084" t="s">
        <v>5361</v>
      </c>
      <c r="AB3084" t="s">
        <v>5362</v>
      </c>
      <c r="AC3084">
        <v>0</v>
      </c>
      <c r="AD3084">
        <v>0</v>
      </c>
      <c r="AE3084">
        <v>85</v>
      </c>
      <c r="AF3084">
        <v>150.19</v>
      </c>
      <c r="AG3084">
        <v>-1.83</v>
      </c>
      <c r="AH3084">
        <v>5.77</v>
      </c>
      <c r="AI3084">
        <v>-0.13</v>
      </c>
      <c r="AJ3084">
        <v>0.01</v>
      </c>
      <c r="AK3084">
        <v>65</v>
      </c>
      <c r="AL3084">
        <v>44</v>
      </c>
      <c r="AM3084">
        <v>23</v>
      </c>
      <c r="AN3084">
        <v>-0.26</v>
      </c>
      <c r="AO3084">
        <v>0.97</v>
      </c>
      <c r="AP3084">
        <v>38</v>
      </c>
      <c r="AQ3084">
        <v>1</v>
      </c>
      <c r="AR3084">
        <v>9.73</v>
      </c>
      <c r="AS3084">
        <v>49</v>
      </c>
      <c r="AT3084">
        <v>5.35</v>
      </c>
      <c r="AU3084">
        <v>66</v>
      </c>
      <c r="AV3084">
        <v>2.44</v>
      </c>
      <c r="AW3084">
        <v>91</v>
      </c>
      <c r="AX3084">
        <v>-0.13</v>
      </c>
      <c r="AY3084">
        <v>65</v>
      </c>
      <c r="AZ3084">
        <v>5.56</v>
      </c>
      <c r="BA3084">
        <v>47</v>
      </c>
      <c r="BB3084">
        <v>4.33</v>
      </c>
      <c r="BC3084">
        <v>47</v>
      </c>
      <c r="BD3084">
        <v>0</v>
      </c>
      <c r="BE3084">
        <v>0.02</v>
      </c>
      <c r="BF3084">
        <v>0.08</v>
      </c>
      <c r="BG3084">
        <v>68</v>
      </c>
      <c r="BH3084">
        <v>-0.36</v>
      </c>
      <c r="BI3084">
        <v>1.42</v>
      </c>
      <c r="BJ3084">
        <v>0</v>
      </c>
      <c r="BK3084">
        <v>0</v>
      </c>
      <c r="BL3084">
        <v>-0.94</v>
      </c>
      <c r="BM3084">
        <v>2.93</v>
      </c>
      <c r="BN3084">
        <v>-1.79</v>
      </c>
      <c r="BO3084">
        <v>-2.75</v>
      </c>
      <c r="BP3084">
        <v>4.09</v>
      </c>
      <c r="BQ3084">
        <v>-2.46</v>
      </c>
      <c r="BR3084">
        <v>-2.7</v>
      </c>
      <c r="BS3084">
        <v>-0.4</v>
      </c>
      <c r="BT3084">
        <v>2.54</v>
      </c>
      <c r="BU3084">
        <v>-3.26</v>
      </c>
      <c r="BV3084">
        <v>-3.75</v>
      </c>
      <c r="BW3084">
        <v>-2.91</v>
      </c>
      <c r="BX3084">
        <v>-2.65</v>
      </c>
      <c r="BY3084">
        <v>-2.11</v>
      </c>
      <c r="BZ3084">
        <v>1.2</v>
      </c>
      <c r="CA3084">
        <v>-2.34</v>
      </c>
      <c r="CB3084">
        <v>-2.99</v>
      </c>
      <c r="CC3084">
        <v>-0.39</v>
      </c>
      <c r="CD3084">
        <v>3.53</v>
      </c>
      <c r="CE3084">
        <v>-2.74</v>
      </c>
      <c r="CF3084">
        <v>-1.22</v>
      </c>
      <c r="CG3084">
        <v>0</v>
      </c>
      <c r="CH3084">
        <v>-2.44</v>
      </c>
      <c r="CI3084">
        <v>0</v>
      </c>
      <c r="CJ3084">
        <v>9.8000000000000007</v>
      </c>
      <c r="CK3084">
        <v>86</v>
      </c>
      <c r="CL3084">
        <v>0.48</v>
      </c>
      <c r="CM3084">
        <v>83</v>
      </c>
      <c r="CN3084">
        <v>-0.38</v>
      </c>
      <c r="CO3084">
        <v>81</v>
      </c>
      <c r="CP3084">
        <v>10.7</v>
      </c>
      <c r="CQ3084">
        <v>73</v>
      </c>
      <c r="CR3084">
        <v>0</v>
      </c>
      <c r="CS3084">
        <v>0</v>
      </c>
      <c r="CT3084">
        <v>17.3</v>
      </c>
      <c r="CU3084">
        <v>66</v>
      </c>
      <c r="CV3084">
        <v>0.09</v>
      </c>
      <c r="CW3084">
        <v>43</v>
      </c>
      <c r="CX3084" t="s">
        <v>141</v>
      </c>
    </row>
    <row r="3085" spans="1:102" x14ac:dyDescent="0.3">
      <c r="A3085" t="str">
        <f>HYPERLINK("https://webapp.icbf.com/v2/app/bull-search/view/348459362","PVF")</f>
        <v>PVF</v>
      </c>
      <c r="B3085" t="s">
        <v>1619</v>
      </c>
      <c r="C3085" t="s">
        <v>314</v>
      </c>
      <c r="D3085" s="1">
        <v>36126</v>
      </c>
      <c r="E3085" t="s">
        <v>92</v>
      </c>
      <c r="F3085">
        <v>100</v>
      </c>
      <c r="G3085" t="s">
        <v>93</v>
      </c>
      <c r="H3085">
        <v>-9.85</v>
      </c>
      <c r="I3085">
        <v>97</v>
      </c>
      <c r="J3085">
        <v>29.26</v>
      </c>
      <c r="K3085">
        <v>99</v>
      </c>
      <c r="L3085">
        <v>-54.77</v>
      </c>
      <c r="M3085">
        <v>95</v>
      </c>
      <c r="N3085">
        <v>6.8</v>
      </c>
      <c r="O3085">
        <v>97</v>
      </c>
      <c r="P3085">
        <v>-3.8</v>
      </c>
      <c r="Q3085">
        <v>98</v>
      </c>
      <c r="R3085">
        <v>3.1</v>
      </c>
      <c r="S3085">
        <v>93</v>
      </c>
      <c r="T3085">
        <v>8.35</v>
      </c>
      <c r="U3085">
        <v>95</v>
      </c>
      <c r="V3085">
        <v>1.21</v>
      </c>
      <c r="W3085">
        <v>93</v>
      </c>
      <c r="X3085" t="s">
        <v>251</v>
      </c>
      <c r="Y3085" t="s">
        <v>95</v>
      </c>
      <c r="Z3085" t="s">
        <v>96</v>
      </c>
      <c r="AA3085" t="s">
        <v>1620</v>
      </c>
      <c r="AB3085" t="s">
        <v>1621</v>
      </c>
      <c r="AC3085">
        <v>593</v>
      </c>
      <c r="AD3085">
        <v>174</v>
      </c>
      <c r="AE3085">
        <v>99</v>
      </c>
      <c r="AF3085">
        <v>274.06</v>
      </c>
      <c r="AG3085">
        <v>4.33</v>
      </c>
      <c r="AH3085">
        <v>7.64</v>
      </c>
      <c r="AI3085">
        <v>-0.11</v>
      </c>
      <c r="AJ3085">
        <v>-0.03</v>
      </c>
      <c r="AK3085">
        <v>95</v>
      </c>
      <c r="AL3085">
        <v>578</v>
      </c>
      <c r="AM3085">
        <v>181</v>
      </c>
      <c r="AN3085">
        <v>3.59</v>
      </c>
      <c r="AO3085">
        <v>-0.77</v>
      </c>
      <c r="AP3085">
        <v>984</v>
      </c>
      <c r="AQ3085">
        <v>0</v>
      </c>
      <c r="AR3085">
        <v>8.9499999999999993</v>
      </c>
      <c r="AS3085">
        <v>97</v>
      </c>
      <c r="AT3085">
        <v>4.24</v>
      </c>
      <c r="AU3085">
        <v>99</v>
      </c>
      <c r="AV3085">
        <v>-2.04</v>
      </c>
      <c r="AW3085">
        <v>99</v>
      </c>
      <c r="AX3085">
        <v>-0.64</v>
      </c>
      <c r="AY3085">
        <v>96</v>
      </c>
      <c r="AZ3085">
        <v>5.74</v>
      </c>
      <c r="BA3085">
        <v>91</v>
      </c>
      <c r="BB3085">
        <v>4.42</v>
      </c>
      <c r="BC3085">
        <v>90</v>
      </c>
      <c r="BD3085">
        <v>-0.02</v>
      </c>
      <c r="BE3085">
        <v>-0.02</v>
      </c>
      <c r="BF3085">
        <v>0</v>
      </c>
      <c r="BG3085">
        <v>98</v>
      </c>
      <c r="BH3085">
        <v>0.05</v>
      </c>
      <c r="BI3085">
        <v>1.88</v>
      </c>
      <c r="BJ3085">
        <v>129</v>
      </c>
      <c r="BK3085">
        <v>53</v>
      </c>
      <c r="BL3085">
        <v>0.45</v>
      </c>
      <c r="BM3085">
        <v>-0.79</v>
      </c>
      <c r="BN3085">
        <v>0.12</v>
      </c>
      <c r="BO3085">
        <v>0.92</v>
      </c>
      <c r="BP3085">
        <v>-1.2</v>
      </c>
      <c r="BQ3085">
        <v>0.09</v>
      </c>
      <c r="BR3085">
        <v>1.2</v>
      </c>
      <c r="BS3085">
        <v>-0.45</v>
      </c>
      <c r="BT3085">
        <v>-0.71</v>
      </c>
      <c r="BU3085">
        <v>1.87</v>
      </c>
      <c r="BV3085">
        <v>1.48</v>
      </c>
      <c r="BW3085">
        <v>2.73</v>
      </c>
      <c r="BX3085">
        <v>1.42</v>
      </c>
      <c r="BY3085">
        <v>2.85</v>
      </c>
      <c r="BZ3085">
        <v>0.97</v>
      </c>
      <c r="CA3085">
        <v>1.17</v>
      </c>
      <c r="CB3085">
        <v>1.84</v>
      </c>
      <c r="CC3085">
        <v>-0.62</v>
      </c>
      <c r="CD3085">
        <v>-1.1200000000000001</v>
      </c>
      <c r="CE3085">
        <v>0.68</v>
      </c>
      <c r="CF3085">
        <v>0.43</v>
      </c>
      <c r="CG3085">
        <v>0</v>
      </c>
      <c r="CH3085">
        <v>2.86</v>
      </c>
      <c r="CI3085">
        <v>0</v>
      </c>
      <c r="CJ3085">
        <v>-1.5</v>
      </c>
      <c r="CK3085">
        <v>98</v>
      </c>
      <c r="CL3085">
        <v>-0.87</v>
      </c>
      <c r="CM3085">
        <v>98</v>
      </c>
      <c r="CN3085">
        <v>-0.65</v>
      </c>
      <c r="CO3085">
        <v>98</v>
      </c>
      <c r="CP3085">
        <v>-2.4</v>
      </c>
      <c r="CQ3085">
        <v>98</v>
      </c>
      <c r="CR3085">
        <v>0</v>
      </c>
      <c r="CS3085">
        <v>0</v>
      </c>
      <c r="CT3085">
        <v>2.5</v>
      </c>
      <c r="CU3085">
        <v>95</v>
      </c>
      <c r="CV3085">
        <v>0.14000000000000001</v>
      </c>
      <c r="CW3085">
        <v>46</v>
      </c>
      <c r="CX3085" t="s">
        <v>1622</v>
      </c>
    </row>
    <row r="3086" spans="1:102" x14ac:dyDescent="0.3">
      <c r="A3086" t="str">
        <f>HYPERLINK("https://webapp.icbf.com/v2/app/bull-search/view/77858329","DFR")</f>
        <v>DFR</v>
      </c>
      <c r="B3086" t="s">
        <v>8029</v>
      </c>
      <c r="C3086" t="s">
        <v>8030</v>
      </c>
      <c r="D3086" s="1">
        <v>34773</v>
      </c>
      <c r="E3086" t="s">
        <v>108</v>
      </c>
      <c r="F3086">
        <v>31</v>
      </c>
      <c r="G3086" t="s">
        <v>93</v>
      </c>
      <c r="H3086">
        <v>-9.89</v>
      </c>
      <c r="I3086">
        <v>93</v>
      </c>
      <c r="J3086">
        <v>9.52</v>
      </c>
      <c r="K3086">
        <v>98</v>
      </c>
      <c r="L3086">
        <v>4.79</v>
      </c>
      <c r="M3086">
        <v>88</v>
      </c>
      <c r="N3086">
        <v>-19.440000000000001</v>
      </c>
      <c r="O3086">
        <v>91</v>
      </c>
      <c r="P3086">
        <v>-8.4499999999999993</v>
      </c>
      <c r="Q3086">
        <v>98</v>
      </c>
      <c r="R3086">
        <v>-16.16</v>
      </c>
      <c r="S3086">
        <v>88</v>
      </c>
      <c r="T3086">
        <v>22.85</v>
      </c>
      <c r="U3086">
        <v>95</v>
      </c>
      <c r="V3086">
        <v>-3</v>
      </c>
      <c r="W3086">
        <v>87</v>
      </c>
      <c r="X3086" t="s">
        <v>102</v>
      </c>
      <c r="Y3086" t="s">
        <v>95</v>
      </c>
      <c r="Z3086" t="s">
        <v>96</v>
      </c>
      <c r="AA3086" t="s">
        <v>672</v>
      </c>
      <c r="AB3086" t="s">
        <v>981</v>
      </c>
      <c r="AC3086">
        <v>182</v>
      </c>
      <c r="AD3086">
        <v>95</v>
      </c>
      <c r="AE3086">
        <v>98</v>
      </c>
      <c r="AF3086">
        <v>-83.81</v>
      </c>
      <c r="AG3086">
        <v>2.62</v>
      </c>
      <c r="AH3086">
        <v>-0.59</v>
      </c>
      <c r="AI3086">
        <v>0.1</v>
      </c>
      <c r="AJ3086">
        <v>0.04</v>
      </c>
      <c r="AK3086">
        <v>88</v>
      </c>
      <c r="AL3086">
        <v>331</v>
      </c>
      <c r="AM3086">
        <v>163</v>
      </c>
      <c r="AN3086">
        <v>-0.43</v>
      </c>
      <c r="AO3086">
        <v>-0.05</v>
      </c>
      <c r="AP3086">
        <v>171</v>
      </c>
      <c r="AQ3086">
        <v>0</v>
      </c>
      <c r="AR3086">
        <v>9.59</v>
      </c>
      <c r="AS3086">
        <v>84</v>
      </c>
      <c r="AT3086">
        <v>4.04</v>
      </c>
      <c r="AU3086">
        <v>89</v>
      </c>
      <c r="AV3086">
        <v>0.92</v>
      </c>
      <c r="AW3086">
        <v>96</v>
      </c>
      <c r="AX3086">
        <v>-0.6</v>
      </c>
      <c r="AY3086">
        <v>93</v>
      </c>
      <c r="AZ3086">
        <v>6.31</v>
      </c>
      <c r="BA3086">
        <v>78</v>
      </c>
      <c r="BB3086">
        <v>4.8099999999999996</v>
      </c>
      <c r="BC3086">
        <v>83</v>
      </c>
      <c r="BD3086">
        <v>7.0000000000000007E-2</v>
      </c>
      <c r="BE3086">
        <v>0.05</v>
      </c>
      <c r="BF3086">
        <v>0.16</v>
      </c>
      <c r="BG3086">
        <v>94</v>
      </c>
      <c r="BH3086">
        <v>-0.15</v>
      </c>
      <c r="BI3086">
        <v>-7.68</v>
      </c>
      <c r="BJ3086">
        <v>7</v>
      </c>
      <c r="BK3086">
        <v>6</v>
      </c>
      <c r="BL3086">
        <v>-2.77</v>
      </c>
      <c r="BM3086">
        <v>0.55000000000000004</v>
      </c>
      <c r="BN3086">
        <v>-2.2999999999999998</v>
      </c>
      <c r="BO3086">
        <v>-2.06</v>
      </c>
      <c r="BP3086">
        <v>1.1399999999999999</v>
      </c>
      <c r="BQ3086">
        <v>0.19</v>
      </c>
      <c r="BR3086">
        <v>0.57999999999999996</v>
      </c>
      <c r="BS3086">
        <v>-0.2</v>
      </c>
      <c r="BT3086">
        <v>-0.64</v>
      </c>
      <c r="BU3086">
        <v>-2.08</v>
      </c>
      <c r="BV3086">
        <v>-2.0499999999999998</v>
      </c>
      <c r="BW3086">
        <v>-3.03</v>
      </c>
      <c r="BX3086">
        <v>-1.87</v>
      </c>
      <c r="BY3086">
        <v>-1.46</v>
      </c>
      <c r="BZ3086">
        <v>-2.48</v>
      </c>
      <c r="CA3086">
        <v>-2.21</v>
      </c>
      <c r="CB3086">
        <v>-2.5099999999999998</v>
      </c>
      <c r="CC3086">
        <v>-1.54</v>
      </c>
      <c r="CD3086">
        <v>2.12</v>
      </c>
      <c r="CE3086">
        <v>-1.87</v>
      </c>
      <c r="CF3086">
        <v>-2.04</v>
      </c>
      <c r="CG3086">
        <v>0</v>
      </c>
      <c r="CH3086">
        <v>-2.44</v>
      </c>
      <c r="CI3086">
        <v>0</v>
      </c>
      <c r="CJ3086">
        <v>-4</v>
      </c>
      <c r="CK3086">
        <v>98</v>
      </c>
      <c r="CL3086">
        <v>0.02</v>
      </c>
      <c r="CM3086">
        <v>98</v>
      </c>
      <c r="CN3086">
        <v>0.1</v>
      </c>
      <c r="CO3086">
        <v>97</v>
      </c>
      <c r="CP3086">
        <v>-13.1</v>
      </c>
      <c r="CQ3086">
        <v>97</v>
      </c>
      <c r="CR3086">
        <v>0</v>
      </c>
      <c r="CS3086">
        <v>0</v>
      </c>
      <c r="CT3086">
        <v>-17.100000000000001</v>
      </c>
      <c r="CU3086">
        <v>95</v>
      </c>
      <c r="CV3086">
        <v>-0.13</v>
      </c>
      <c r="CW3086">
        <v>46</v>
      </c>
      <c r="CX3086" t="s">
        <v>982</v>
      </c>
    </row>
    <row r="3087" spans="1:102" x14ac:dyDescent="0.3">
      <c r="A3087" t="str">
        <f>HYPERLINK("https://webapp.icbf.com/v2/app/bull-search/view/581737737","LBR")</f>
        <v>LBR</v>
      </c>
      <c r="B3087" t="s">
        <v>7823</v>
      </c>
      <c r="C3087" t="s">
        <v>7824</v>
      </c>
      <c r="D3087" s="1">
        <v>39531</v>
      </c>
      <c r="E3087" t="s">
        <v>92</v>
      </c>
      <c r="F3087">
        <v>100</v>
      </c>
      <c r="G3087" t="s">
        <v>93</v>
      </c>
      <c r="H3087">
        <v>-9.9</v>
      </c>
      <c r="I3087">
        <v>86</v>
      </c>
      <c r="J3087">
        <v>2.7</v>
      </c>
      <c r="K3087">
        <v>96</v>
      </c>
      <c r="L3087">
        <v>6.35</v>
      </c>
      <c r="M3087">
        <v>78</v>
      </c>
      <c r="N3087">
        <v>-10.86</v>
      </c>
      <c r="O3087">
        <v>85</v>
      </c>
      <c r="P3087">
        <v>-15.17</v>
      </c>
      <c r="Q3087">
        <v>93</v>
      </c>
      <c r="R3087">
        <v>1.51</v>
      </c>
      <c r="S3087">
        <v>78</v>
      </c>
      <c r="T3087">
        <v>8.42</v>
      </c>
      <c r="U3087">
        <v>83</v>
      </c>
      <c r="V3087">
        <v>-2.85</v>
      </c>
      <c r="W3087">
        <v>74</v>
      </c>
      <c r="X3087" t="s">
        <v>102</v>
      </c>
      <c r="Y3087" t="s">
        <v>329</v>
      </c>
      <c r="Z3087" t="s">
        <v>96</v>
      </c>
      <c r="AA3087" t="s">
        <v>5124</v>
      </c>
      <c r="AB3087" t="s">
        <v>7825</v>
      </c>
      <c r="AC3087">
        <v>77</v>
      </c>
      <c r="AD3087">
        <v>41</v>
      </c>
      <c r="AE3087">
        <v>96</v>
      </c>
      <c r="AF3087">
        <v>32.04</v>
      </c>
      <c r="AG3087">
        <v>-3.42</v>
      </c>
      <c r="AH3087">
        <v>2.16</v>
      </c>
      <c r="AI3087">
        <v>-0.08</v>
      </c>
      <c r="AJ3087">
        <v>0.02</v>
      </c>
      <c r="AK3087">
        <v>78</v>
      </c>
      <c r="AL3087">
        <v>89</v>
      </c>
      <c r="AM3087">
        <v>42</v>
      </c>
      <c r="AN3087">
        <v>-2.41</v>
      </c>
      <c r="AO3087">
        <v>-1.93</v>
      </c>
      <c r="AP3087">
        <v>213</v>
      </c>
      <c r="AQ3087">
        <v>4</v>
      </c>
      <c r="AR3087">
        <v>11.01</v>
      </c>
      <c r="AS3087">
        <v>71</v>
      </c>
      <c r="AT3087">
        <v>4.41</v>
      </c>
      <c r="AU3087">
        <v>88</v>
      </c>
      <c r="AV3087">
        <v>-1.58</v>
      </c>
      <c r="AW3087">
        <v>95</v>
      </c>
      <c r="AX3087">
        <v>0.34</v>
      </c>
      <c r="AY3087">
        <v>84</v>
      </c>
      <c r="AZ3087">
        <v>6.3</v>
      </c>
      <c r="BA3087">
        <v>62</v>
      </c>
      <c r="BB3087">
        <v>4.79</v>
      </c>
      <c r="BC3087">
        <v>63</v>
      </c>
      <c r="BD3087">
        <v>-0.01</v>
      </c>
      <c r="BE3087">
        <v>-0.02</v>
      </c>
      <c r="BF3087">
        <v>0.02</v>
      </c>
      <c r="BG3087">
        <v>87</v>
      </c>
      <c r="BH3087">
        <v>-0.09</v>
      </c>
      <c r="BI3087">
        <v>-1.22</v>
      </c>
      <c r="BJ3087">
        <v>16</v>
      </c>
      <c r="BK3087">
        <v>10</v>
      </c>
      <c r="BL3087">
        <v>0.02</v>
      </c>
      <c r="BM3087">
        <v>1.1100000000000001</v>
      </c>
      <c r="BN3087">
        <v>0.53</v>
      </c>
      <c r="BO3087">
        <v>-0.3</v>
      </c>
      <c r="BP3087">
        <v>1.03</v>
      </c>
      <c r="BQ3087">
        <v>2.65</v>
      </c>
      <c r="BR3087">
        <v>-0.67</v>
      </c>
      <c r="BS3087">
        <v>0.61</v>
      </c>
      <c r="BT3087">
        <v>0.35</v>
      </c>
      <c r="BU3087">
        <v>-0.36</v>
      </c>
      <c r="BV3087">
        <v>0.41</v>
      </c>
      <c r="BW3087">
        <v>0.59</v>
      </c>
      <c r="BX3087">
        <v>-0.76</v>
      </c>
      <c r="BY3087">
        <v>-0.95</v>
      </c>
      <c r="BZ3087">
        <v>0.45</v>
      </c>
      <c r="CA3087">
        <v>0.28999999999999998</v>
      </c>
      <c r="CB3087">
        <v>-0.02</v>
      </c>
      <c r="CC3087">
        <v>1.35</v>
      </c>
      <c r="CD3087">
        <v>1.1200000000000001</v>
      </c>
      <c r="CE3087">
        <v>-0.41</v>
      </c>
      <c r="CF3087">
        <v>1.21</v>
      </c>
      <c r="CG3087">
        <v>0</v>
      </c>
      <c r="CH3087">
        <v>-2.1</v>
      </c>
      <c r="CI3087">
        <v>0</v>
      </c>
      <c r="CJ3087">
        <v>-7.4</v>
      </c>
      <c r="CK3087">
        <v>94</v>
      </c>
      <c r="CL3087">
        <v>-1.03</v>
      </c>
      <c r="CM3087">
        <v>93</v>
      </c>
      <c r="CN3087">
        <v>-0.52</v>
      </c>
      <c r="CO3087">
        <v>92</v>
      </c>
      <c r="CP3087">
        <v>-2.8</v>
      </c>
      <c r="CQ3087">
        <v>88</v>
      </c>
      <c r="CR3087">
        <v>0</v>
      </c>
      <c r="CS3087">
        <v>0</v>
      </c>
      <c r="CT3087">
        <v>2.4</v>
      </c>
      <c r="CU3087">
        <v>83</v>
      </c>
      <c r="CV3087">
        <v>0.09</v>
      </c>
      <c r="CW3087">
        <v>45</v>
      </c>
      <c r="CX3087" t="s">
        <v>2032</v>
      </c>
    </row>
    <row r="3088" spans="1:102" x14ac:dyDescent="0.3">
      <c r="A3088" t="str">
        <f>HYPERLINK("https://webapp.icbf.com/v2/app/bull-search/view/77854309","PWL")</f>
        <v>PWL</v>
      </c>
      <c r="B3088" t="s">
        <v>10409</v>
      </c>
      <c r="C3088" t="s">
        <v>10410</v>
      </c>
      <c r="D3088" s="1">
        <v>35391</v>
      </c>
      <c r="E3088" t="s">
        <v>92</v>
      </c>
      <c r="F3088">
        <v>97</v>
      </c>
      <c r="G3088" t="s">
        <v>93</v>
      </c>
      <c r="H3088">
        <v>-10.06</v>
      </c>
      <c r="I3088">
        <v>96</v>
      </c>
      <c r="J3088">
        <v>38.159999999999997</v>
      </c>
      <c r="K3088">
        <v>99</v>
      </c>
      <c r="L3088">
        <v>-55.6</v>
      </c>
      <c r="M3088">
        <v>92</v>
      </c>
      <c r="N3088">
        <v>15.23</v>
      </c>
      <c r="O3088">
        <v>96</v>
      </c>
      <c r="P3088">
        <v>-5.71</v>
      </c>
      <c r="Q3088">
        <v>99</v>
      </c>
      <c r="R3088">
        <v>-5.73</v>
      </c>
      <c r="S3088">
        <v>93</v>
      </c>
      <c r="T3088">
        <v>3.91</v>
      </c>
      <c r="U3088">
        <v>99</v>
      </c>
      <c r="V3088">
        <v>-0.32</v>
      </c>
      <c r="W3088">
        <v>92</v>
      </c>
      <c r="X3088" t="s">
        <v>94</v>
      </c>
      <c r="Y3088" t="s">
        <v>95</v>
      </c>
      <c r="Z3088" t="s">
        <v>96</v>
      </c>
      <c r="AA3088" t="s">
        <v>2594</v>
      </c>
      <c r="AB3088" t="s">
        <v>10411</v>
      </c>
      <c r="AC3088">
        <v>725</v>
      </c>
      <c r="AD3088">
        <v>496</v>
      </c>
      <c r="AE3088">
        <v>99</v>
      </c>
      <c r="AF3088">
        <v>143.76</v>
      </c>
      <c r="AG3088">
        <v>7.35</v>
      </c>
      <c r="AH3088">
        <v>6.09</v>
      </c>
      <c r="AI3088">
        <v>0.03</v>
      </c>
      <c r="AJ3088">
        <v>0.02</v>
      </c>
      <c r="AK3088">
        <v>92</v>
      </c>
      <c r="AL3088">
        <v>870</v>
      </c>
      <c r="AM3088">
        <v>593</v>
      </c>
      <c r="AN3088">
        <v>2.56</v>
      </c>
      <c r="AO3088">
        <v>-1.88</v>
      </c>
      <c r="AP3088">
        <v>999</v>
      </c>
      <c r="AQ3088">
        <v>3</v>
      </c>
      <c r="AR3088">
        <v>8.91</v>
      </c>
      <c r="AS3088">
        <v>96</v>
      </c>
      <c r="AT3088">
        <v>3.27</v>
      </c>
      <c r="AU3088">
        <v>96</v>
      </c>
      <c r="AV3088">
        <v>-1.99</v>
      </c>
      <c r="AW3088">
        <v>99</v>
      </c>
      <c r="AX3088">
        <v>-0.6</v>
      </c>
      <c r="AY3088">
        <v>97</v>
      </c>
      <c r="AZ3088">
        <v>6.08</v>
      </c>
      <c r="BA3088">
        <v>89</v>
      </c>
      <c r="BB3088">
        <v>4.5199999999999996</v>
      </c>
      <c r="BC3088">
        <v>92</v>
      </c>
      <c r="BD3088">
        <v>-0.02</v>
      </c>
      <c r="BE3088">
        <v>0.05</v>
      </c>
      <c r="BF3088">
        <v>7.0000000000000007E-2</v>
      </c>
      <c r="BG3088">
        <v>98</v>
      </c>
      <c r="BH3088">
        <v>0.02</v>
      </c>
      <c r="BI3088">
        <v>3.33</v>
      </c>
      <c r="BJ3088">
        <v>36</v>
      </c>
      <c r="BK3088">
        <v>30</v>
      </c>
      <c r="BL3088">
        <v>0.72</v>
      </c>
      <c r="BM3088">
        <v>-0.31</v>
      </c>
      <c r="BN3088">
        <v>0.83</v>
      </c>
      <c r="BO3088">
        <v>0.78</v>
      </c>
      <c r="BP3088">
        <v>1.1499999999999999</v>
      </c>
      <c r="BQ3088">
        <v>-1.43</v>
      </c>
      <c r="BR3088">
        <v>2.33</v>
      </c>
      <c r="BS3088">
        <v>-2.88</v>
      </c>
      <c r="BT3088">
        <v>-2.67</v>
      </c>
      <c r="BU3088">
        <v>0.47</v>
      </c>
      <c r="BV3088">
        <v>0.6</v>
      </c>
      <c r="BW3088">
        <v>0.48</v>
      </c>
      <c r="BX3088">
        <v>-0.39</v>
      </c>
      <c r="BY3088">
        <v>0.36</v>
      </c>
      <c r="BZ3088">
        <v>-1.48</v>
      </c>
      <c r="CA3088">
        <v>-0.8</v>
      </c>
      <c r="CB3088">
        <v>0.4</v>
      </c>
      <c r="CC3088">
        <v>-2.94</v>
      </c>
      <c r="CD3088">
        <v>-1.36</v>
      </c>
      <c r="CE3088">
        <v>1.25</v>
      </c>
      <c r="CF3088">
        <v>0.77</v>
      </c>
      <c r="CG3088">
        <v>0</v>
      </c>
      <c r="CH3088">
        <v>0.05</v>
      </c>
      <c r="CI3088">
        <v>0</v>
      </c>
      <c r="CJ3088">
        <v>0.7</v>
      </c>
      <c r="CK3088">
        <v>99</v>
      </c>
      <c r="CL3088">
        <v>-0.76</v>
      </c>
      <c r="CM3088">
        <v>99</v>
      </c>
      <c r="CN3088">
        <v>-0.12</v>
      </c>
      <c r="CO3088">
        <v>99</v>
      </c>
      <c r="CP3088">
        <v>-1.6</v>
      </c>
      <c r="CQ3088">
        <v>99</v>
      </c>
      <c r="CR3088">
        <v>0</v>
      </c>
      <c r="CS3088">
        <v>0</v>
      </c>
      <c r="CT3088">
        <v>8.5</v>
      </c>
      <c r="CU3088">
        <v>99</v>
      </c>
      <c r="CV3088">
        <v>0.22</v>
      </c>
      <c r="CW3088">
        <v>46</v>
      </c>
      <c r="CX3088" t="s">
        <v>193</v>
      </c>
    </row>
    <row r="3089" spans="1:102" x14ac:dyDescent="0.3">
      <c r="A3089" t="str">
        <f>HYPERLINK("https://webapp.icbf.com/v2/app/bull-search/view/495513743","SXB")</f>
        <v>SXB</v>
      </c>
      <c r="B3089" t="s">
        <v>12595</v>
      </c>
      <c r="C3089" t="s">
        <v>12596</v>
      </c>
      <c r="D3089" s="1">
        <v>36986</v>
      </c>
      <c r="E3089" t="s">
        <v>92</v>
      </c>
      <c r="F3089">
        <v>100</v>
      </c>
      <c r="G3089" t="s">
        <v>93</v>
      </c>
      <c r="H3089">
        <v>-10.08</v>
      </c>
      <c r="I3089">
        <v>88</v>
      </c>
      <c r="J3089">
        <v>4.84</v>
      </c>
      <c r="K3089">
        <v>96</v>
      </c>
      <c r="L3089">
        <v>-33.67</v>
      </c>
      <c r="M3089">
        <v>85</v>
      </c>
      <c r="N3089">
        <v>16.809999999999999</v>
      </c>
      <c r="O3089">
        <v>84</v>
      </c>
      <c r="P3089">
        <v>-6.36</v>
      </c>
      <c r="Q3089">
        <v>91</v>
      </c>
      <c r="R3089">
        <v>3.31</v>
      </c>
      <c r="S3089">
        <v>79</v>
      </c>
      <c r="T3089">
        <v>8.65</v>
      </c>
      <c r="U3089">
        <v>86</v>
      </c>
      <c r="V3089">
        <v>-3.66</v>
      </c>
      <c r="W3089">
        <v>65</v>
      </c>
      <c r="X3089" t="s">
        <v>102</v>
      </c>
      <c r="Y3089" t="s">
        <v>270</v>
      </c>
      <c r="Z3089" t="s">
        <v>96</v>
      </c>
      <c r="AA3089" t="s">
        <v>2032</v>
      </c>
      <c r="AB3089" t="s">
        <v>12597</v>
      </c>
      <c r="AC3089">
        <v>60</v>
      </c>
      <c r="AD3089">
        <v>32</v>
      </c>
      <c r="AE3089">
        <v>96</v>
      </c>
      <c r="AF3089">
        <v>217.21</v>
      </c>
      <c r="AG3089">
        <v>6.61</v>
      </c>
      <c r="AH3089">
        <v>1.81</v>
      </c>
      <c r="AI3089">
        <v>-0.03</v>
      </c>
      <c r="AJ3089">
        <v>-0.09</v>
      </c>
      <c r="AK3089">
        <v>85</v>
      </c>
      <c r="AL3089">
        <v>0</v>
      </c>
      <c r="AM3089">
        <v>0</v>
      </c>
      <c r="AN3089">
        <v>2.23</v>
      </c>
      <c r="AO3089">
        <v>-0.45</v>
      </c>
      <c r="AP3089">
        <v>189</v>
      </c>
      <c r="AQ3089">
        <v>1</v>
      </c>
      <c r="AR3089">
        <v>6.9</v>
      </c>
      <c r="AS3089">
        <v>75</v>
      </c>
      <c r="AT3089">
        <v>3.28</v>
      </c>
      <c r="AU3089">
        <v>89</v>
      </c>
      <c r="AV3089">
        <v>-1.78</v>
      </c>
      <c r="AW3089">
        <v>92</v>
      </c>
      <c r="AX3089">
        <v>-0.03</v>
      </c>
      <c r="AY3089">
        <v>82</v>
      </c>
      <c r="AZ3089">
        <v>6.38</v>
      </c>
      <c r="BA3089">
        <v>64</v>
      </c>
      <c r="BB3089">
        <v>4.59</v>
      </c>
      <c r="BC3089">
        <v>62</v>
      </c>
      <c r="BD3089">
        <v>0</v>
      </c>
      <c r="BE3089">
        <v>-0.04</v>
      </c>
      <c r="BF3089">
        <v>0</v>
      </c>
      <c r="BG3089">
        <v>92</v>
      </c>
      <c r="BH3089">
        <v>-0.06</v>
      </c>
      <c r="BI3089">
        <v>4.8499999999999996</v>
      </c>
      <c r="BJ3089">
        <v>34</v>
      </c>
      <c r="BK3089">
        <v>14</v>
      </c>
      <c r="BL3089">
        <v>-0.05</v>
      </c>
      <c r="BM3089">
        <v>-0.28999999999999998</v>
      </c>
      <c r="BN3089">
        <v>-0.04</v>
      </c>
      <c r="BO3089">
        <v>0.1</v>
      </c>
      <c r="BP3089">
        <v>-1.81</v>
      </c>
      <c r="BQ3089">
        <v>-1.64</v>
      </c>
      <c r="BR3089">
        <v>0.96</v>
      </c>
      <c r="BS3089">
        <v>0.18</v>
      </c>
      <c r="BT3089">
        <v>0.03</v>
      </c>
      <c r="BU3089">
        <v>1.07</v>
      </c>
      <c r="BV3089">
        <v>-7.0000000000000007E-2</v>
      </c>
      <c r="BW3089">
        <v>-1.5</v>
      </c>
      <c r="BX3089">
        <v>1.2</v>
      </c>
      <c r="BY3089">
        <v>0.63</v>
      </c>
      <c r="BZ3089">
        <v>-0.76</v>
      </c>
      <c r="CA3089">
        <v>-7.0000000000000007E-2</v>
      </c>
      <c r="CB3089">
        <v>0.02</v>
      </c>
      <c r="CC3089">
        <v>-0.23</v>
      </c>
      <c r="CD3089">
        <v>0.42</v>
      </c>
      <c r="CE3089">
        <v>-0.31</v>
      </c>
      <c r="CF3089">
        <v>0.9</v>
      </c>
      <c r="CG3089">
        <v>0</v>
      </c>
      <c r="CH3089">
        <v>0.19</v>
      </c>
      <c r="CI3089">
        <v>0</v>
      </c>
      <c r="CJ3089">
        <v>-3.5</v>
      </c>
      <c r="CK3089">
        <v>92</v>
      </c>
      <c r="CL3089">
        <v>-0.68</v>
      </c>
      <c r="CM3089">
        <v>91</v>
      </c>
      <c r="CN3089">
        <v>-0.51</v>
      </c>
      <c r="CO3089">
        <v>89</v>
      </c>
      <c r="CP3089">
        <v>-3.2</v>
      </c>
      <c r="CQ3089">
        <v>87</v>
      </c>
      <c r="CR3089">
        <v>0</v>
      </c>
      <c r="CS3089">
        <v>0</v>
      </c>
      <c r="CT3089">
        <v>2.1</v>
      </c>
      <c r="CU3089">
        <v>86</v>
      </c>
      <c r="CV3089">
        <v>0.06</v>
      </c>
      <c r="CW3089">
        <v>44</v>
      </c>
      <c r="CX3089" t="s">
        <v>12229</v>
      </c>
    </row>
    <row r="3090" spans="1:102" x14ac:dyDescent="0.3">
      <c r="A3090" t="str">
        <f>HYPERLINK("https://webapp.icbf.com/v2/app/bull-search/view/1004839919","S1408")</f>
        <v>S1408</v>
      </c>
      <c r="B3090" t="s">
        <v>8290</v>
      </c>
      <c r="C3090" t="s">
        <v>8291</v>
      </c>
      <c r="D3090" s="1">
        <v>40667</v>
      </c>
      <c r="E3090" t="s">
        <v>92</v>
      </c>
      <c r="F3090">
        <v>100</v>
      </c>
      <c r="G3090" t="s">
        <v>109</v>
      </c>
      <c r="H3090">
        <v>-10.72</v>
      </c>
      <c r="I3090">
        <v>84</v>
      </c>
      <c r="J3090">
        <v>90.24</v>
      </c>
      <c r="K3090">
        <v>95</v>
      </c>
      <c r="L3090">
        <v>-101.13</v>
      </c>
      <c r="M3090">
        <v>88</v>
      </c>
      <c r="N3090">
        <v>10.95</v>
      </c>
      <c r="O3090">
        <v>77</v>
      </c>
      <c r="P3090">
        <v>-7.97</v>
      </c>
      <c r="Q3090">
        <v>78</v>
      </c>
      <c r="R3090">
        <v>2.75</v>
      </c>
      <c r="S3090">
        <v>77</v>
      </c>
      <c r="T3090">
        <v>-8.9700000000000006</v>
      </c>
      <c r="U3090">
        <v>50</v>
      </c>
      <c r="V3090">
        <v>3.41</v>
      </c>
      <c r="W3090">
        <v>59</v>
      </c>
      <c r="X3090" t="s">
        <v>94</v>
      </c>
      <c r="Y3090" t="s">
        <v>342</v>
      </c>
      <c r="Z3090" t="s">
        <v>96</v>
      </c>
      <c r="AA3090" t="s">
        <v>353</v>
      </c>
      <c r="AB3090" t="s">
        <v>8292</v>
      </c>
      <c r="AC3090">
        <v>28</v>
      </c>
      <c r="AD3090">
        <v>17</v>
      </c>
      <c r="AE3090">
        <v>95</v>
      </c>
      <c r="AF3090">
        <v>686.89</v>
      </c>
      <c r="AG3090">
        <v>13.77</v>
      </c>
      <c r="AH3090">
        <v>20.99</v>
      </c>
      <c r="AI3090">
        <v>-0.2</v>
      </c>
      <c r="AJ3090">
        <v>-0.04</v>
      </c>
      <c r="AK3090">
        <v>88</v>
      </c>
      <c r="AL3090">
        <v>22</v>
      </c>
      <c r="AM3090">
        <v>15</v>
      </c>
      <c r="AN3090">
        <v>7.43</v>
      </c>
      <c r="AO3090">
        <v>-0.61</v>
      </c>
      <c r="AP3090">
        <v>66</v>
      </c>
      <c r="AQ3090">
        <v>0</v>
      </c>
      <c r="AR3090">
        <v>10.85</v>
      </c>
      <c r="AS3090">
        <v>71</v>
      </c>
      <c r="AT3090">
        <v>4.55</v>
      </c>
      <c r="AU3090">
        <v>93</v>
      </c>
      <c r="AV3090">
        <v>-4.17</v>
      </c>
      <c r="AW3090">
        <v>83</v>
      </c>
      <c r="AX3090">
        <v>-0.33</v>
      </c>
      <c r="AY3090">
        <v>69</v>
      </c>
      <c r="AZ3090">
        <v>6.76</v>
      </c>
      <c r="BA3090">
        <v>52</v>
      </c>
      <c r="BB3090">
        <v>4.53</v>
      </c>
      <c r="BC3090">
        <v>45</v>
      </c>
      <c r="BD3090">
        <v>-0.05</v>
      </c>
      <c r="BE3090">
        <v>0</v>
      </c>
      <c r="BF3090">
        <v>0.02</v>
      </c>
      <c r="BG3090">
        <v>93</v>
      </c>
      <c r="BH3090">
        <v>-0.08</v>
      </c>
      <c r="BI3090">
        <v>-20.239999999999998</v>
      </c>
      <c r="BJ3090">
        <v>19</v>
      </c>
      <c r="BK3090">
        <v>9</v>
      </c>
      <c r="BL3090">
        <v>1.96</v>
      </c>
      <c r="BM3090">
        <v>0.28000000000000003</v>
      </c>
      <c r="BN3090">
        <v>1.86</v>
      </c>
      <c r="BO3090">
        <v>1.74</v>
      </c>
      <c r="BP3090">
        <v>1.4</v>
      </c>
      <c r="BQ3090">
        <v>2.92</v>
      </c>
      <c r="BR3090">
        <v>-1.1499999999999999</v>
      </c>
      <c r="BS3090">
        <v>1.39</v>
      </c>
      <c r="BT3090">
        <v>1.41</v>
      </c>
      <c r="BU3090">
        <v>3.18</v>
      </c>
      <c r="BV3090">
        <v>4.1399999999999997</v>
      </c>
      <c r="BW3090">
        <v>2.0499999999999998</v>
      </c>
      <c r="BX3090">
        <v>1.96</v>
      </c>
      <c r="BY3090">
        <v>1.7</v>
      </c>
      <c r="BZ3090">
        <v>1.73</v>
      </c>
      <c r="CA3090">
        <v>2.99</v>
      </c>
      <c r="CB3090">
        <v>2.84</v>
      </c>
      <c r="CC3090">
        <v>1.83</v>
      </c>
      <c r="CD3090">
        <v>-0.98</v>
      </c>
      <c r="CE3090">
        <v>2.2400000000000002</v>
      </c>
      <c r="CF3090">
        <v>2.14</v>
      </c>
      <c r="CG3090">
        <v>0</v>
      </c>
      <c r="CH3090">
        <v>1.43</v>
      </c>
      <c r="CI3090">
        <v>0</v>
      </c>
      <c r="CJ3090">
        <v>-1.4</v>
      </c>
      <c r="CK3090">
        <v>81</v>
      </c>
      <c r="CL3090">
        <v>-1.1100000000000001</v>
      </c>
      <c r="CM3090">
        <v>77</v>
      </c>
      <c r="CN3090">
        <v>-0.47</v>
      </c>
      <c r="CO3090">
        <v>76</v>
      </c>
      <c r="CP3090">
        <v>-0.6</v>
      </c>
      <c r="CQ3090">
        <v>60</v>
      </c>
      <c r="CR3090">
        <v>0</v>
      </c>
      <c r="CS3090">
        <v>0</v>
      </c>
      <c r="CT3090">
        <v>25.9</v>
      </c>
      <c r="CU3090">
        <v>50</v>
      </c>
      <c r="CV3090">
        <v>0.26</v>
      </c>
      <c r="CW3090">
        <v>42</v>
      </c>
      <c r="CX3090" t="s">
        <v>1962</v>
      </c>
    </row>
    <row r="3091" spans="1:102" x14ac:dyDescent="0.3">
      <c r="A3091" t="str">
        <f>HYPERLINK("https://webapp.icbf.com/v2/app/bull-search/view/440201079","RLV")</f>
        <v>RLV</v>
      </c>
      <c r="B3091" t="s">
        <v>12217</v>
      </c>
      <c r="C3091" t="s">
        <v>12218</v>
      </c>
      <c r="D3091" s="1">
        <v>37497</v>
      </c>
      <c r="E3091" t="s">
        <v>108</v>
      </c>
      <c r="F3091">
        <v>0</v>
      </c>
      <c r="G3091" t="s">
        <v>93</v>
      </c>
      <c r="H3091">
        <v>-10.78</v>
      </c>
      <c r="I3091">
        <v>98</v>
      </c>
      <c r="J3091">
        <v>-5.72</v>
      </c>
      <c r="K3091">
        <v>99</v>
      </c>
      <c r="L3091">
        <v>-7.28</v>
      </c>
      <c r="M3091">
        <v>97</v>
      </c>
      <c r="N3091">
        <v>19.940000000000001</v>
      </c>
      <c r="O3091">
        <v>99</v>
      </c>
      <c r="P3091">
        <v>-14.18</v>
      </c>
      <c r="Q3091">
        <v>99</v>
      </c>
      <c r="R3091">
        <v>-12.83</v>
      </c>
      <c r="S3091">
        <v>97</v>
      </c>
      <c r="T3091">
        <v>10.35</v>
      </c>
      <c r="U3091">
        <v>99</v>
      </c>
      <c r="V3091">
        <v>-1.06</v>
      </c>
      <c r="W3091">
        <v>97</v>
      </c>
      <c r="X3091" t="s">
        <v>102</v>
      </c>
      <c r="Y3091" t="s">
        <v>1164</v>
      </c>
      <c r="Z3091" t="s">
        <v>96</v>
      </c>
      <c r="AA3091" t="s">
        <v>12219</v>
      </c>
      <c r="AB3091" t="s">
        <v>4528</v>
      </c>
      <c r="AC3091">
        <v>1819</v>
      </c>
      <c r="AD3091">
        <v>550</v>
      </c>
      <c r="AE3091">
        <v>99</v>
      </c>
      <c r="AF3091">
        <v>-161.04</v>
      </c>
      <c r="AG3091">
        <v>-2.14</v>
      </c>
      <c r="AH3091">
        <v>-2.68</v>
      </c>
      <c r="AI3091">
        <v>7.0000000000000007E-2</v>
      </c>
      <c r="AJ3091">
        <v>0.05</v>
      </c>
      <c r="AK3091">
        <v>97</v>
      </c>
      <c r="AL3091">
        <v>3324</v>
      </c>
      <c r="AM3091">
        <v>1002</v>
      </c>
      <c r="AN3091">
        <v>-1.1100000000000001</v>
      </c>
      <c r="AO3091">
        <v>-1.71</v>
      </c>
      <c r="AP3091">
        <v>4519</v>
      </c>
      <c r="AQ3091">
        <v>44</v>
      </c>
      <c r="AR3091">
        <v>4.83</v>
      </c>
      <c r="AS3091">
        <v>99</v>
      </c>
      <c r="AT3091">
        <v>2.0299999999999998</v>
      </c>
      <c r="AU3091">
        <v>99</v>
      </c>
      <c r="AV3091">
        <v>-3.89</v>
      </c>
      <c r="AW3091">
        <v>99</v>
      </c>
      <c r="AX3091">
        <v>-0.68</v>
      </c>
      <c r="AY3091">
        <v>99</v>
      </c>
      <c r="AZ3091">
        <v>10.82</v>
      </c>
      <c r="BA3091">
        <v>97</v>
      </c>
      <c r="BB3091">
        <v>8.0299999999999994</v>
      </c>
      <c r="BC3091">
        <v>97</v>
      </c>
      <c r="BD3091">
        <v>0</v>
      </c>
      <c r="BE3091">
        <v>0.05</v>
      </c>
      <c r="BF3091">
        <v>0.2</v>
      </c>
      <c r="BG3091">
        <v>99</v>
      </c>
      <c r="BH3091">
        <v>-0.16</v>
      </c>
      <c r="BI3091">
        <v>-15.09</v>
      </c>
      <c r="BJ3091">
        <v>66</v>
      </c>
      <c r="BK3091">
        <v>39</v>
      </c>
      <c r="BL3091">
        <v>-3.2</v>
      </c>
      <c r="BM3091">
        <v>1.89</v>
      </c>
      <c r="BN3091">
        <v>-1.26</v>
      </c>
      <c r="BO3091">
        <v>-2.58</v>
      </c>
      <c r="BP3091">
        <v>-2.4700000000000002</v>
      </c>
      <c r="BQ3091">
        <v>1.6</v>
      </c>
      <c r="BR3091">
        <v>-1.79</v>
      </c>
      <c r="BS3091">
        <v>2.57</v>
      </c>
      <c r="BT3091">
        <v>1.1499999999999999</v>
      </c>
      <c r="BU3091">
        <v>-2.29</v>
      </c>
      <c r="BV3091">
        <v>-3.07</v>
      </c>
      <c r="BW3091">
        <v>-2.41</v>
      </c>
      <c r="BX3091">
        <v>-2.6</v>
      </c>
      <c r="BY3091">
        <v>-1.57</v>
      </c>
      <c r="BZ3091">
        <v>-0.94</v>
      </c>
      <c r="CA3091">
        <v>-1.45</v>
      </c>
      <c r="CB3091">
        <v>-2.46</v>
      </c>
      <c r="CC3091">
        <v>1.17</v>
      </c>
      <c r="CD3091">
        <v>3.36</v>
      </c>
      <c r="CE3091">
        <v>-2.0099999999999998</v>
      </c>
      <c r="CF3091">
        <v>-2.1800000000000002</v>
      </c>
      <c r="CG3091">
        <v>0</v>
      </c>
      <c r="CH3091">
        <v>-1.71</v>
      </c>
      <c r="CI3091">
        <v>0</v>
      </c>
      <c r="CJ3091">
        <v>-9.6</v>
      </c>
      <c r="CK3091">
        <v>99</v>
      </c>
      <c r="CL3091">
        <v>0.11</v>
      </c>
      <c r="CM3091">
        <v>99</v>
      </c>
      <c r="CN3091">
        <v>7.0000000000000007E-2</v>
      </c>
      <c r="CO3091">
        <v>99</v>
      </c>
      <c r="CP3091">
        <v>-8.3000000000000007</v>
      </c>
      <c r="CQ3091">
        <v>99</v>
      </c>
      <c r="CR3091">
        <v>0</v>
      </c>
      <c r="CS3091">
        <v>0</v>
      </c>
      <c r="CT3091">
        <v>-0.2</v>
      </c>
      <c r="CU3091">
        <v>99</v>
      </c>
      <c r="CV3091">
        <v>-0.04</v>
      </c>
      <c r="CW3091">
        <v>46</v>
      </c>
      <c r="CX3091" t="s">
        <v>4529</v>
      </c>
    </row>
    <row r="3092" spans="1:102" x14ac:dyDescent="0.3">
      <c r="A3092" t="str">
        <f>HYPERLINK("https://webapp.icbf.com/v2/app/bull-search/view/760393811","S2007")</f>
        <v>S2007</v>
      </c>
      <c r="B3092" t="s">
        <v>6813</v>
      </c>
      <c r="C3092" t="s">
        <v>6814</v>
      </c>
      <c r="D3092" s="1">
        <v>39618</v>
      </c>
      <c r="E3092" t="s">
        <v>92</v>
      </c>
      <c r="F3092">
        <v>100</v>
      </c>
      <c r="G3092" t="s">
        <v>93</v>
      </c>
      <c r="H3092">
        <v>-10.86</v>
      </c>
      <c r="I3092">
        <v>87</v>
      </c>
      <c r="J3092">
        <v>6.88</v>
      </c>
      <c r="K3092">
        <v>96</v>
      </c>
      <c r="L3092">
        <v>-31.65</v>
      </c>
      <c r="M3092">
        <v>91</v>
      </c>
      <c r="N3092">
        <v>4.03</v>
      </c>
      <c r="O3092">
        <v>83</v>
      </c>
      <c r="P3092">
        <v>-20.94</v>
      </c>
      <c r="Q3092">
        <v>77</v>
      </c>
      <c r="R3092">
        <v>22.8</v>
      </c>
      <c r="S3092">
        <v>83</v>
      </c>
      <c r="T3092">
        <v>2.87</v>
      </c>
      <c r="U3092">
        <v>62</v>
      </c>
      <c r="V3092">
        <v>5.15</v>
      </c>
      <c r="W3092">
        <v>70</v>
      </c>
      <c r="X3092" t="s">
        <v>276</v>
      </c>
      <c r="Y3092" t="s">
        <v>362</v>
      </c>
      <c r="Z3092" t="s">
        <v>96</v>
      </c>
      <c r="AA3092" t="s">
        <v>309</v>
      </c>
      <c r="AB3092" t="s">
        <v>5131</v>
      </c>
      <c r="AC3092">
        <v>57</v>
      </c>
      <c r="AD3092">
        <v>28</v>
      </c>
      <c r="AE3092">
        <v>96</v>
      </c>
      <c r="AF3092">
        <v>266.12</v>
      </c>
      <c r="AG3092">
        <v>7.16</v>
      </c>
      <c r="AH3092">
        <v>2.71</v>
      </c>
      <c r="AI3092">
        <v>-0.05</v>
      </c>
      <c r="AJ3092">
        <v>-0.11</v>
      </c>
      <c r="AK3092">
        <v>91</v>
      </c>
      <c r="AL3092">
        <v>41</v>
      </c>
      <c r="AM3092">
        <v>20</v>
      </c>
      <c r="AN3092">
        <v>2.06</v>
      </c>
      <c r="AO3092">
        <v>-0.46</v>
      </c>
      <c r="AP3092">
        <v>109</v>
      </c>
      <c r="AQ3092">
        <v>0</v>
      </c>
      <c r="AR3092">
        <v>9.1</v>
      </c>
      <c r="AS3092">
        <v>82</v>
      </c>
      <c r="AT3092">
        <v>3.47</v>
      </c>
      <c r="AU3092">
        <v>92</v>
      </c>
      <c r="AV3092">
        <v>-1.57</v>
      </c>
      <c r="AW3092">
        <v>88</v>
      </c>
      <c r="AX3092">
        <v>-0.73</v>
      </c>
      <c r="AY3092">
        <v>75</v>
      </c>
      <c r="AZ3092">
        <v>6.73</v>
      </c>
      <c r="BA3092">
        <v>62</v>
      </c>
      <c r="BB3092">
        <v>5.49</v>
      </c>
      <c r="BC3092">
        <v>60</v>
      </c>
      <c r="BD3092">
        <v>-0.08</v>
      </c>
      <c r="BE3092">
        <v>-0.09</v>
      </c>
      <c r="BF3092">
        <v>-0.22</v>
      </c>
      <c r="BG3092">
        <v>95</v>
      </c>
      <c r="BH3092">
        <v>0</v>
      </c>
      <c r="BI3092">
        <v>-16.62</v>
      </c>
      <c r="BJ3092">
        <v>25</v>
      </c>
      <c r="BK3092">
        <v>14</v>
      </c>
      <c r="BL3092">
        <v>2.83</v>
      </c>
      <c r="BM3092">
        <v>-2.66</v>
      </c>
      <c r="BN3092">
        <v>-0.87</v>
      </c>
      <c r="BO3092">
        <v>1.34</v>
      </c>
      <c r="BP3092">
        <v>0.7</v>
      </c>
      <c r="BQ3092">
        <v>2.0299999999999998</v>
      </c>
      <c r="BR3092">
        <v>-2.37</v>
      </c>
      <c r="BS3092">
        <v>1.48</v>
      </c>
      <c r="BT3092">
        <v>2.76</v>
      </c>
      <c r="BU3092">
        <v>3.32</v>
      </c>
      <c r="BV3092">
        <v>3.47</v>
      </c>
      <c r="BW3092">
        <v>3.62</v>
      </c>
      <c r="BX3092">
        <v>3.7</v>
      </c>
      <c r="BY3092">
        <v>2.14</v>
      </c>
      <c r="BZ3092">
        <v>0.54</v>
      </c>
      <c r="CA3092">
        <v>2.76</v>
      </c>
      <c r="CB3092">
        <v>2.76</v>
      </c>
      <c r="CC3092">
        <v>1.1100000000000001</v>
      </c>
      <c r="CD3092">
        <v>-1.1200000000000001</v>
      </c>
      <c r="CE3092">
        <v>1.07</v>
      </c>
      <c r="CF3092">
        <v>1.08</v>
      </c>
      <c r="CG3092">
        <v>0</v>
      </c>
      <c r="CH3092">
        <v>2.34</v>
      </c>
      <c r="CI3092">
        <v>0</v>
      </c>
      <c r="CJ3092">
        <v>-9.6999999999999993</v>
      </c>
      <c r="CK3092">
        <v>80</v>
      </c>
      <c r="CL3092">
        <v>-1.58</v>
      </c>
      <c r="CM3092">
        <v>76</v>
      </c>
      <c r="CN3092">
        <v>-0.84</v>
      </c>
      <c r="CO3092">
        <v>75</v>
      </c>
      <c r="CP3092">
        <v>-7.2</v>
      </c>
      <c r="CQ3092">
        <v>63</v>
      </c>
      <c r="CR3092">
        <v>0</v>
      </c>
      <c r="CS3092">
        <v>0</v>
      </c>
      <c r="CT3092">
        <v>9.9</v>
      </c>
      <c r="CU3092">
        <v>62</v>
      </c>
      <c r="CV3092">
        <v>0.15</v>
      </c>
      <c r="CW3092">
        <v>41</v>
      </c>
      <c r="CX3092" t="s">
        <v>311</v>
      </c>
    </row>
    <row r="3093" spans="1:102" x14ac:dyDescent="0.3">
      <c r="A3093" t="str">
        <f>HYPERLINK("https://webapp.icbf.com/v2/app/bull-search/view/437084274","PNA")</f>
        <v>PNA</v>
      </c>
      <c r="B3093" t="s">
        <v>11926</v>
      </c>
      <c r="C3093" t="s">
        <v>1995</v>
      </c>
      <c r="D3093" s="1">
        <v>36444</v>
      </c>
      <c r="E3093" t="s">
        <v>140</v>
      </c>
      <c r="F3093">
        <v>0</v>
      </c>
      <c r="G3093" t="s">
        <v>93</v>
      </c>
      <c r="H3093">
        <v>-11.01</v>
      </c>
      <c r="I3093">
        <v>92</v>
      </c>
      <c r="J3093">
        <v>-2.73</v>
      </c>
      <c r="K3093">
        <v>98</v>
      </c>
      <c r="L3093">
        <v>16.14</v>
      </c>
      <c r="M3093">
        <v>85</v>
      </c>
      <c r="N3093">
        <v>-33.130000000000003</v>
      </c>
      <c r="O3093">
        <v>91</v>
      </c>
      <c r="P3093">
        <v>20.86</v>
      </c>
      <c r="Q3093">
        <v>98</v>
      </c>
      <c r="R3093">
        <v>2.09</v>
      </c>
      <c r="S3093">
        <v>86</v>
      </c>
      <c r="T3093">
        <v>-8.89</v>
      </c>
      <c r="U3093">
        <v>93</v>
      </c>
      <c r="V3093">
        <v>-5.35</v>
      </c>
      <c r="W3093">
        <v>91</v>
      </c>
      <c r="X3093" t="s">
        <v>102</v>
      </c>
      <c r="Y3093" t="s">
        <v>95</v>
      </c>
      <c r="Z3093">
        <v>0</v>
      </c>
      <c r="AA3093" t="s">
        <v>295</v>
      </c>
      <c r="AB3093" t="s">
        <v>11927</v>
      </c>
      <c r="AC3093">
        <v>178</v>
      </c>
      <c r="AD3093">
        <v>41</v>
      </c>
      <c r="AE3093">
        <v>98</v>
      </c>
      <c r="AF3093">
        <v>18.39</v>
      </c>
      <c r="AG3093">
        <v>-5.86</v>
      </c>
      <c r="AH3093">
        <v>1.89</v>
      </c>
      <c r="AI3093">
        <v>-0.11</v>
      </c>
      <c r="AJ3093">
        <v>0.02</v>
      </c>
      <c r="AK3093">
        <v>85</v>
      </c>
      <c r="AL3093">
        <v>261</v>
      </c>
      <c r="AM3093">
        <v>65</v>
      </c>
      <c r="AN3093">
        <v>-0.63</v>
      </c>
      <c r="AO3093">
        <v>0.66</v>
      </c>
      <c r="AP3093">
        <v>345</v>
      </c>
      <c r="AQ3093">
        <v>3</v>
      </c>
      <c r="AR3093">
        <v>9.3699999999999992</v>
      </c>
      <c r="AS3093">
        <v>85</v>
      </c>
      <c r="AT3093">
        <v>5.44</v>
      </c>
      <c r="AU3093">
        <v>92</v>
      </c>
      <c r="AV3093">
        <v>1.29</v>
      </c>
      <c r="AW3093">
        <v>97</v>
      </c>
      <c r="AX3093">
        <v>0.41</v>
      </c>
      <c r="AY3093">
        <v>92</v>
      </c>
      <c r="AZ3093">
        <v>4.4400000000000004</v>
      </c>
      <c r="BA3093">
        <v>76</v>
      </c>
      <c r="BB3093">
        <v>3.7</v>
      </c>
      <c r="BC3093">
        <v>81</v>
      </c>
      <c r="BD3093">
        <v>0</v>
      </c>
      <c r="BE3093">
        <v>-0.02</v>
      </c>
      <c r="BF3093">
        <v>-0.01</v>
      </c>
      <c r="BG3093">
        <v>92</v>
      </c>
      <c r="BH3093">
        <v>-0.16</v>
      </c>
      <c r="BI3093">
        <v>-1.25</v>
      </c>
      <c r="BJ3093">
        <v>0</v>
      </c>
      <c r="BK3093">
        <v>0</v>
      </c>
      <c r="BL3093">
        <v>-0.62</v>
      </c>
      <c r="BM3093">
        <v>4.4000000000000004</v>
      </c>
      <c r="BN3093">
        <v>-1.45</v>
      </c>
      <c r="BO3093">
        <v>-3.39</v>
      </c>
      <c r="BP3093">
        <v>4.0199999999999996</v>
      </c>
      <c r="BQ3093">
        <v>-1.59</v>
      </c>
      <c r="BR3093">
        <v>-3.02</v>
      </c>
      <c r="BS3093">
        <v>-0.28999999999999998</v>
      </c>
      <c r="BT3093">
        <v>2.87</v>
      </c>
      <c r="BU3093">
        <v>-3.61</v>
      </c>
      <c r="BV3093">
        <v>-4.24</v>
      </c>
      <c r="BW3093">
        <v>-3.19</v>
      </c>
      <c r="BX3093">
        <v>-2.73</v>
      </c>
      <c r="BY3093">
        <v>-2.1800000000000002</v>
      </c>
      <c r="BZ3093">
        <v>1.1000000000000001</v>
      </c>
      <c r="CA3093">
        <v>-2.81</v>
      </c>
      <c r="CB3093">
        <v>-3.55</v>
      </c>
      <c r="CC3093">
        <v>-0.5</v>
      </c>
      <c r="CD3093">
        <v>4.41</v>
      </c>
      <c r="CE3093">
        <v>-3.29</v>
      </c>
      <c r="CF3093">
        <v>-0.73</v>
      </c>
      <c r="CG3093">
        <v>0</v>
      </c>
      <c r="CH3093">
        <v>-3.18</v>
      </c>
      <c r="CI3093">
        <v>0</v>
      </c>
      <c r="CJ3093">
        <v>9.6</v>
      </c>
      <c r="CK3093">
        <v>98</v>
      </c>
      <c r="CL3093">
        <v>0</v>
      </c>
      <c r="CM3093">
        <v>98</v>
      </c>
      <c r="CN3093">
        <v>-0.5</v>
      </c>
      <c r="CO3093">
        <v>97</v>
      </c>
      <c r="CP3093">
        <v>11.7</v>
      </c>
      <c r="CQ3093">
        <v>95</v>
      </c>
      <c r="CR3093">
        <v>0</v>
      </c>
      <c r="CS3093">
        <v>0</v>
      </c>
      <c r="CT3093">
        <v>25.8</v>
      </c>
      <c r="CU3093">
        <v>93</v>
      </c>
      <c r="CV3093">
        <v>0.27</v>
      </c>
      <c r="CW3093">
        <v>45</v>
      </c>
      <c r="CX3093" t="s">
        <v>141</v>
      </c>
    </row>
    <row r="3094" spans="1:102" x14ac:dyDescent="0.3">
      <c r="A3094" t="str">
        <f>HYPERLINK("https://webapp.icbf.com/v2/app/bull-search/view/77858659","CVC")</f>
        <v>CVC</v>
      </c>
      <c r="B3094" t="s">
        <v>7472</v>
      </c>
      <c r="C3094" t="s">
        <v>7473</v>
      </c>
      <c r="D3094" s="1">
        <v>31507</v>
      </c>
      <c r="E3094" t="s">
        <v>108</v>
      </c>
      <c r="F3094">
        <v>25</v>
      </c>
      <c r="G3094" t="s">
        <v>93</v>
      </c>
      <c r="H3094">
        <v>-11.09</v>
      </c>
      <c r="I3094">
        <v>90</v>
      </c>
      <c r="J3094">
        <v>-58.71</v>
      </c>
      <c r="K3094">
        <v>98</v>
      </c>
      <c r="L3094">
        <v>16.32</v>
      </c>
      <c r="M3094">
        <v>83</v>
      </c>
      <c r="N3094">
        <v>16.18</v>
      </c>
      <c r="O3094">
        <v>88</v>
      </c>
      <c r="P3094">
        <v>-13.67</v>
      </c>
      <c r="Q3094">
        <v>96</v>
      </c>
      <c r="R3094">
        <v>-3.25</v>
      </c>
      <c r="S3094">
        <v>84</v>
      </c>
      <c r="T3094">
        <v>30.03</v>
      </c>
      <c r="U3094">
        <v>94</v>
      </c>
      <c r="V3094">
        <v>2.0099999999999998</v>
      </c>
      <c r="W3094">
        <v>82</v>
      </c>
      <c r="X3094" t="s">
        <v>276</v>
      </c>
      <c r="Y3094" t="s">
        <v>95</v>
      </c>
      <c r="Z3094" t="s">
        <v>96</v>
      </c>
      <c r="AA3094" t="s">
        <v>911</v>
      </c>
      <c r="AB3094" t="s">
        <v>7474</v>
      </c>
      <c r="AC3094">
        <v>125</v>
      </c>
      <c r="AD3094">
        <v>84</v>
      </c>
      <c r="AE3094">
        <v>98</v>
      </c>
      <c r="AF3094">
        <v>-179.8</v>
      </c>
      <c r="AG3094">
        <v>-14.41</v>
      </c>
      <c r="AH3094">
        <v>-7.64</v>
      </c>
      <c r="AI3094">
        <v>-0.13</v>
      </c>
      <c r="AJ3094">
        <v>-0.03</v>
      </c>
      <c r="AK3094">
        <v>83</v>
      </c>
      <c r="AL3094">
        <v>186</v>
      </c>
      <c r="AM3094">
        <v>122</v>
      </c>
      <c r="AN3094">
        <v>-2.54</v>
      </c>
      <c r="AO3094">
        <v>-1.26</v>
      </c>
      <c r="AP3094">
        <v>192</v>
      </c>
      <c r="AQ3094">
        <v>2</v>
      </c>
      <c r="AR3094">
        <v>5.8</v>
      </c>
      <c r="AS3094">
        <v>72</v>
      </c>
      <c r="AT3094">
        <v>2.2000000000000002</v>
      </c>
      <c r="AU3094">
        <v>89</v>
      </c>
      <c r="AV3094">
        <v>-1.18</v>
      </c>
      <c r="AW3094">
        <v>96</v>
      </c>
      <c r="AX3094">
        <v>-0.89</v>
      </c>
      <c r="AY3094">
        <v>90</v>
      </c>
      <c r="AZ3094">
        <v>8.39</v>
      </c>
      <c r="BA3094">
        <v>70</v>
      </c>
      <c r="BB3094">
        <v>5.72</v>
      </c>
      <c r="BC3094">
        <v>77</v>
      </c>
      <c r="BD3094">
        <v>7.0000000000000007E-2</v>
      </c>
      <c r="BE3094">
        <v>0.02</v>
      </c>
      <c r="BF3094">
        <v>-0.08</v>
      </c>
      <c r="BG3094">
        <v>92</v>
      </c>
      <c r="BH3094">
        <v>-0.08</v>
      </c>
      <c r="BI3094">
        <v>-15.73</v>
      </c>
      <c r="BJ3094">
        <v>5</v>
      </c>
      <c r="BK3094">
        <v>5</v>
      </c>
      <c r="BL3094">
        <v>-2.73</v>
      </c>
      <c r="BM3094">
        <v>0.5</v>
      </c>
      <c r="BN3094">
        <v>-2.67</v>
      </c>
      <c r="BO3094">
        <v>-2.5499999999999998</v>
      </c>
      <c r="BP3094">
        <v>0.76</v>
      </c>
      <c r="BQ3094">
        <v>-0.88</v>
      </c>
      <c r="BR3094">
        <v>0.06</v>
      </c>
      <c r="BS3094">
        <v>-0.47</v>
      </c>
      <c r="BT3094">
        <v>-0.51</v>
      </c>
      <c r="BU3094">
        <v>-1.82</v>
      </c>
      <c r="BV3094">
        <v>-2.4700000000000002</v>
      </c>
      <c r="BW3094">
        <v>-2.57</v>
      </c>
      <c r="BX3094">
        <v>-2.82</v>
      </c>
      <c r="BY3094">
        <v>-1.52</v>
      </c>
      <c r="BZ3094">
        <v>-2.91</v>
      </c>
      <c r="CA3094">
        <v>-2.31</v>
      </c>
      <c r="CB3094">
        <v>-2.54</v>
      </c>
      <c r="CC3094">
        <v>-1.23</v>
      </c>
      <c r="CD3094">
        <v>2.17</v>
      </c>
      <c r="CE3094">
        <v>-1.91</v>
      </c>
      <c r="CF3094">
        <v>-2.82</v>
      </c>
      <c r="CG3094">
        <v>0</v>
      </c>
      <c r="CH3094">
        <v>-1.03</v>
      </c>
      <c r="CI3094">
        <v>0</v>
      </c>
      <c r="CJ3094">
        <v>-7.3</v>
      </c>
      <c r="CK3094">
        <v>97</v>
      </c>
      <c r="CL3094">
        <v>-0.26</v>
      </c>
      <c r="CM3094">
        <v>96</v>
      </c>
      <c r="CN3094">
        <v>-0.11</v>
      </c>
      <c r="CO3094">
        <v>96</v>
      </c>
      <c r="CP3094">
        <v>-14.7</v>
      </c>
      <c r="CQ3094">
        <v>95</v>
      </c>
      <c r="CR3094">
        <v>0</v>
      </c>
      <c r="CS3094">
        <v>0</v>
      </c>
      <c r="CT3094">
        <v>-26.8</v>
      </c>
      <c r="CU3094">
        <v>94</v>
      </c>
      <c r="CV3094">
        <v>-0.08</v>
      </c>
      <c r="CW3094">
        <v>45</v>
      </c>
      <c r="CX3094" t="s">
        <v>7475</v>
      </c>
    </row>
    <row r="3095" spans="1:102" x14ac:dyDescent="0.3">
      <c r="A3095" t="str">
        <f>HYPERLINK("https://webapp.icbf.com/v2/app/bull-search/view/345343312","UBX")</f>
        <v>UBX</v>
      </c>
      <c r="B3095" t="s">
        <v>144</v>
      </c>
      <c r="C3095" t="s">
        <v>4195</v>
      </c>
      <c r="D3095" s="1">
        <v>34788</v>
      </c>
      <c r="E3095" t="s">
        <v>92</v>
      </c>
      <c r="F3095">
        <v>100</v>
      </c>
      <c r="G3095" t="s">
        <v>116</v>
      </c>
      <c r="H3095">
        <v>-11.4</v>
      </c>
      <c r="I3095">
        <v>31</v>
      </c>
      <c r="J3095">
        <v>-18.73</v>
      </c>
      <c r="K3095">
        <v>56</v>
      </c>
      <c r="L3095">
        <v>17.28</v>
      </c>
      <c r="M3095">
        <v>18</v>
      </c>
      <c r="N3095">
        <v>-16.739999999999998</v>
      </c>
      <c r="O3095">
        <v>27</v>
      </c>
      <c r="P3095">
        <v>5.83</v>
      </c>
      <c r="Q3095">
        <v>22</v>
      </c>
      <c r="R3095">
        <v>-1.46</v>
      </c>
      <c r="S3095">
        <v>19</v>
      </c>
      <c r="T3095">
        <v>5.61</v>
      </c>
      <c r="U3095">
        <v>11</v>
      </c>
      <c r="V3095">
        <v>-3.19</v>
      </c>
      <c r="W3095">
        <v>1</v>
      </c>
      <c r="X3095" t="s">
        <v>276</v>
      </c>
      <c r="Y3095" t="s">
        <v>95</v>
      </c>
      <c r="Z3095" t="s">
        <v>96</v>
      </c>
      <c r="AA3095" t="s">
        <v>4196</v>
      </c>
      <c r="AB3095" t="s">
        <v>4197</v>
      </c>
      <c r="AC3095">
        <v>5</v>
      </c>
      <c r="AD3095">
        <v>5</v>
      </c>
      <c r="AE3095">
        <v>56</v>
      </c>
      <c r="AF3095">
        <v>34.46</v>
      </c>
      <c r="AG3095">
        <v>-0.39</v>
      </c>
      <c r="AH3095">
        <v>-2.52</v>
      </c>
      <c r="AI3095">
        <v>-0.03</v>
      </c>
      <c r="AJ3095">
        <v>-0.06</v>
      </c>
      <c r="AK3095">
        <v>18</v>
      </c>
      <c r="AL3095">
        <v>8</v>
      </c>
      <c r="AM3095">
        <v>7</v>
      </c>
      <c r="AN3095">
        <v>-0.82</v>
      </c>
      <c r="AO3095">
        <v>0.56000000000000005</v>
      </c>
      <c r="AP3095">
        <v>7</v>
      </c>
      <c r="AQ3095">
        <v>1</v>
      </c>
      <c r="AR3095">
        <v>8.67</v>
      </c>
      <c r="AS3095">
        <v>7</v>
      </c>
      <c r="AT3095">
        <v>3.82</v>
      </c>
      <c r="AU3095">
        <v>29</v>
      </c>
      <c r="AV3095">
        <v>0.9</v>
      </c>
      <c r="AW3095">
        <v>37</v>
      </c>
      <c r="AX3095">
        <v>0.34</v>
      </c>
      <c r="AY3095">
        <v>22</v>
      </c>
      <c r="AZ3095">
        <v>5.94</v>
      </c>
      <c r="BA3095">
        <v>7</v>
      </c>
      <c r="BB3095">
        <v>4.96</v>
      </c>
      <c r="BC3095">
        <v>13</v>
      </c>
      <c r="BD3095">
        <v>0.04</v>
      </c>
      <c r="BE3095">
        <v>0.03</v>
      </c>
      <c r="BF3095">
        <v>-0.09</v>
      </c>
      <c r="BG3095">
        <v>25</v>
      </c>
      <c r="BH3095">
        <v>-0.02</v>
      </c>
      <c r="BI3095">
        <v>7.98</v>
      </c>
      <c r="BJ3095">
        <v>1</v>
      </c>
      <c r="BK3095">
        <v>1</v>
      </c>
      <c r="BL3095">
        <v>0.09</v>
      </c>
      <c r="BM3095">
        <v>2.82</v>
      </c>
      <c r="BN3095">
        <v>0.16</v>
      </c>
      <c r="BO3095">
        <v>-1.46</v>
      </c>
      <c r="BP3095">
        <v>0.16</v>
      </c>
      <c r="BQ3095">
        <v>2.21</v>
      </c>
      <c r="BR3095">
        <v>-0.24</v>
      </c>
      <c r="BS3095">
        <v>-0.3</v>
      </c>
      <c r="BT3095">
        <v>0.26</v>
      </c>
      <c r="BU3095">
        <v>-0.59</v>
      </c>
      <c r="BV3095">
        <v>-1.41</v>
      </c>
      <c r="BW3095">
        <v>-1.46</v>
      </c>
      <c r="BX3095">
        <v>-7.0000000000000007E-2</v>
      </c>
      <c r="BY3095">
        <v>-0.69</v>
      </c>
      <c r="BZ3095">
        <v>-0.98</v>
      </c>
      <c r="CA3095">
        <v>-1.26</v>
      </c>
      <c r="CB3095">
        <v>-1.32</v>
      </c>
      <c r="CC3095">
        <v>-0.61</v>
      </c>
      <c r="CD3095">
        <v>1.88</v>
      </c>
      <c r="CE3095">
        <v>-1.0900000000000001</v>
      </c>
      <c r="CF3095">
        <v>0.67</v>
      </c>
      <c r="CG3095">
        <v>0</v>
      </c>
      <c r="CH3095">
        <v>-1.21</v>
      </c>
      <c r="CI3095">
        <v>0</v>
      </c>
      <c r="CJ3095">
        <v>3</v>
      </c>
      <c r="CK3095">
        <v>24</v>
      </c>
      <c r="CL3095">
        <v>-0.08</v>
      </c>
      <c r="CM3095">
        <v>20</v>
      </c>
      <c r="CN3095">
        <v>-0.18</v>
      </c>
      <c r="CO3095">
        <v>17</v>
      </c>
      <c r="CP3095">
        <v>2.7</v>
      </c>
      <c r="CQ3095">
        <v>20</v>
      </c>
      <c r="CR3095">
        <v>0</v>
      </c>
      <c r="CS3095">
        <v>0</v>
      </c>
      <c r="CT3095">
        <v>6.2</v>
      </c>
      <c r="CU3095">
        <v>11</v>
      </c>
      <c r="CV3095">
        <v>0.05</v>
      </c>
      <c r="CW3095">
        <v>5</v>
      </c>
      <c r="CX3095" t="s">
        <v>4198</v>
      </c>
    </row>
    <row r="3096" spans="1:102" x14ac:dyDescent="0.3">
      <c r="A3096" t="str">
        <f>HYPERLINK("https://webapp.icbf.com/v2/app/bull-search/view/529828230","MNV")</f>
        <v>MNV</v>
      </c>
      <c r="B3096" t="s">
        <v>4667</v>
      </c>
      <c r="C3096" t="s">
        <v>4668</v>
      </c>
      <c r="D3096" s="1">
        <v>37476</v>
      </c>
      <c r="E3096" t="s">
        <v>92</v>
      </c>
      <c r="F3096">
        <v>100</v>
      </c>
      <c r="G3096" t="s">
        <v>93</v>
      </c>
      <c r="H3096">
        <v>-11.4</v>
      </c>
      <c r="I3096">
        <v>89</v>
      </c>
      <c r="J3096">
        <v>15.88</v>
      </c>
      <c r="K3096">
        <v>97</v>
      </c>
      <c r="L3096">
        <v>-16.63</v>
      </c>
      <c r="M3096">
        <v>90</v>
      </c>
      <c r="N3096">
        <v>-1.76</v>
      </c>
      <c r="O3096">
        <v>85</v>
      </c>
      <c r="P3096">
        <v>-1.74</v>
      </c>
      <c r="Q3096">
        <v>89</v>
      </c>
      <c r="R3096">
        <v>-2.52</v>
      </c>
      <c r="S3096">
        <v>79</v>
      </c>
      <c r="T3096">
        <v>0.14000000000000001</v>
      </c>
      <c r="U3096">
        <v>71</v>
      </c>
      <c r="V3096">
        <v>-4.7699999999999996</v>
      </c>
      <c r="W3096">
        <v>72</v>
      </c>
      <c r="X3096" t="s">
        <v>94</v>
      </c>
      <c r="Y3096" t="s">
        <v>270</v>
      </c>
      <c r="Z3096" t="s">
        <v>96</v>
      </c>
      <c r="AA3096" t="s">
        <v>4669</v>
      </c>
      <c r="AB3096" t="s">
        <v>4670</v>
      </c>
      <c r="AC3096">
        <v>90</v>
      </c>
      <c r="AD3096">
        <v>38</v>
      </c>
      <c r="AE3096">
        <v>97</v>
      </c>
      <c r="AF3096">
        <v>325.98</v>
      </c>
      <c r="AG3096">
        <v>8.3699999999999992</v>
      </c>
      <c r="AH3096">
        <v>4.7300000000000004</v>
      </c>
      <c r="AI3096">
        <v>-7.0000000000000007E-2</v>
      </c>
      <c r="AJ3096">
        <v>-0.1</v>
      </c>
      <c r="AK3096">
        <v>90</v>
      </c>
      <c r="AL3096">
        <v>81</v>
      </c>
      <c r="AM3096">
        <v>30</v>
      </c>
      <c r="AN3096">
        <v>1.42</v>
      </c>
      <c r="AO3096">
        <v>0.1</v>
      </c>
      <c r="AP3096">
        <v>112</v>
      </c>
      <c r="AQ3096">
        <v>2</v>
      </c>
      <c r="AR3096">
        <v>6.74</v>
      </c>
      <c r="AS3096">
        <v>80</v>
      </c>
      <c r="AT3096">
        <v>3.01</v>
      </c>
      <c r="AU3096">
        <v>95</v>
      </c>
      <c r="AV3096">
        <v>-0.09</v>
      </c>
      <c r="AW3096">
        <v>93</v>
      </c>
      <c r="AX3096">
        <v>1.27</v>
      </c>
      <c r="AY3096">
        <v>82</v>
      </c>
      <c r="AZ3096">
        <v>6.4</v>
      </c>
      <c r="BA3096">
        <v>59</v>
      </c>
      <c r="BB3096">
        <v>5.48</v>
      </c>
      <c r="BC3096">
        <v>57</v>
      </c>
      <c r="BD3096">
        <v>0.03</v>
      </c>
      <c r="BE3096">
        <v>0.02</v>
      </c>
      <c r="BF3096">
        <v>-0.03</v>
      </c>
      <c r="BG3096">
        <v>94</v>
      </c>
      <c r="BH3096">
        <v>-0.17</v>
      </c>
      <c r="BI3096">
        <v>-4.28</v>
      </c>
      <c r="BJ3096">
        <v>38</v>
      </c>
      <c r="BK3096">
        <v>21</v>
      </c>
      <c r="BL3096">
        <v>0.69</v>
      </c>
      <c r="BM3096">
        <v>-1.44</v>
      </c>
      <c r="BN3096">
        <v>-0.7</v>
      </c>
      <c r="BO3096">
        <v>0.49</v>
      </c>
      <c r="BP3096">
        <v>1.1299999999999999</v>
      </c>
      <c r="BQ3096">
        <v>0.23</v>
      </c>
      <c r="BR3096">
        <v>-0.56999999999999995</v>
      </c>
      <c r="BS3096">
        <v>-1.1599999999999999</v>
      </c>
      <c r="BT3096">
        <v>0.51</v>
      </c>
      <c r="BU3096">
        <v>3.11</v>
      </c>
      <c r="BV3096">
        <v>2.81</v>
      </c>
      <c r="BW3096">
        <v>2.11</v>
      </c>
      <c r="BX3096">
        <v>3.41</v>
      </c>
      <c r="BY3096">
        <v>1.31</v>
      </c>
      <c r="BZ3096">
        <v>-0.75</v>
      </c>
      <c r="CA3096">
        <v>1.71</v>
      </c>
      <c r="CB3096">
        <v>2.2999999999999998</v>
      </c>
      <c r="CC3096">
        <v>-0.71</v>
      </c>
      <c r="CD3096">
        <v>-0.36</v>
      </c>
      <c r="CE3096">
        <v>1.21</v>
      </c>
      <c r="CF3096">
        <v>0.8</v>
      </c>
      <c r="CG3096">
        <v>0</v>
      </c>
      <c r="CH3096">
        <v>1.26</v>
      </c>
      <c r="CI3096">
        <v>0</v>
      </c>
      <c r="CJ3096">
        <v>-0.1</v>
      </c>
      <c r="CK3096">
        <v>90</v>
      </c>
      <c r="CL3096">
        <v>-0.86</v>
      </c>
      <c r="CM3096">
        <v>89</v>
      </c>
      <c r="CN3096">
        <v>-0.64</v>
      </c>
      <c r="CO3096">
        <v>87</v>
      </c>
      <c r="CP3096">
        <v>-1.5</v>
      </c>
      <c r="CQ3096">
        <v>84</v>
      </c>
      <c r="CR3096">
        <v>0</v>
      </c>
      <c r="CS3096">
        <v>0</v>
      </c>
      <c r="CT3096">
        <v>13.6</v>
      </c>
      <c r="CU3096">
        <v>71</v>
      </c>
      <c r="CV3096">
        <v>0.21</v>
      </c>
      <c r="CW3096">
        <v>43</v>
      </c>
      <c r="CX3096" t="s">
        <v>4558</v>
      </c>
    </row>
    <row r="3097" spans="1:102" x14ac:dyDescent="0.3">
      <c r="A3097" t="str">
        <f>HYPERLINK("https://webapp.icbf.com/v2/app/bull-search/view/492818767","RZE")</f>
        <v>RZE</v>
      </c>
      <c r="B3097" t="s">
        <v>1412</v>
      </c>
      <c r="C3097" t="s">
        <v>1413</v>
      </c>
      <c r="D3097" s="1">
        <v>39097</v>
      </c>
      <c r="E3097" t="s">
        <v>92</v>
      </c>
      <c r="F3097">
        <v>88</v>
      </c>
      <c r="G3097" t="s">
        <v>93</v>
      </c>
      <c r="H3097">
        <v>-11.46</v>
      </c>
      <c r="I3097">
        <v>87</v>
      </c>
      <c r="J3097">
        <v>0.86</v>
      </c>
      <c r="K3097">
        <v>96</v>
      </c>
      <c r="L3097">
        <v>-20.74</v>
      </c>
      <c r="M3097">
        <v>79</v>
      </c>
      <c r="N3097">
        <v>-1.71</v>
      </c>
      <c r="O3097">
        <v>86</v>
      </c>
      <c r="P3097">
        <v>-5.35</v>
      </c>
      <c r="Q3097">
        <v>91</v>
      </c>
      <c r="R3097">
        <v>3.64</v>
      </c>
      <c r="S3097">
        <v>82</v>
      </c>
      <c r="T3097">
        <v>12.35</v>
      </c>
      <c r="U3097">
        <v>87</v>
      </c>
      <c r="V3097">
        <v>-0.51</v>
      </c>
      <c r="W3097">
        <v>79</v>
      </c>
      <c r="X3097" t="s">
        <v>94</v>
      </c>
      <c r="Y3097" t="s">
        <v>1405</v>
      </c>
      <c r="Z3097" t="s">
        <v>96</v>
      </c>
      <c r="AA3097" t="s">
        <v>1414</v>
      </c>
      <c r="AB3097" t="s">
        <v>1415</v>
      </c>
      <c r="AC3097">
        <v>83</v>
      </c>
      <c r="AD3097">
        <v>63</v>
      </c>
      <c r="AE3097">
        <v>96</v>
      </c>
      <c r="AF3097">
        <v>-107.7</v>
      </c>
      <c r="AG3097">
        <v>5.73</v>
      </c>
      <c r="AH3097">
        <v>-3.53</v>
      </c>
      <c r="AI3097">
        <v>0.18</v>
      </c>
      <c r="AJ3097">
        <v>0</v>
      </c>
      <c r="AK3097">
        <v>79</v>
      </c>
      <c r="AL3097">
        <v>72</v>
      </c>
      <c r="AM3097">
        <v>54</v>
      </c>
      <c r="AN3097">
        <v>1.44</v>
      </c>
      <c r="AO3097">
        <v>-0.21</v>
      </c>
      <c r="AP3097">
        <v>191</v>
      </c>
      <c r="AQ3097">
        <v>4</v>
      </c>
      <c r="AR3097">
        <v>8.9700000000000006</v>
      </c>
      <c r="AS3097">
        <v>69</v>
      </c>
      <c r="AT3097">
        <v>4.09</v>
      </c>
      <c r="AU3097">
        <v>88</v>
      </c>
      <c r="AV3097">
        <v>-1.97</v>
      </c>
      <c r="AW3097">
        <v>96</v>
      </c>
      <c r="AX3097">
        <v>0.52</v>
      </c>
      <c r="AY3097">
        <v>80</v>
      </c>
      <c r="AZ3097">
        <v>6.37</v>
      </c>
      <c r="BA3097">
        <v>66</v>
      </c>
      <c r="BB3097">
        <v>5.55</v>
      </c>
      <c r="BC3097">
        <v>67</v>
      </c>
      <c r="BD3097">
        <v>-0.01</v>
      </c>
      <c r="BE3097">
        <v>-0.03</v>
      </c>
      <c r="BF3097">
        <v>-0.01</v>
      </c>
      <c r="BG3097">
        <v>88</v>
      </c>
      <c r="BH3097">
        <v>-0.02</v>
      </c>
      <c r="BI3097">
        <v>-0.66</v>
      </c>
      <c r="BJ3097">
        <v>6</v>
      </c>
      <c r="BK3097">
        <v>5</v>
      </c>
      <c r="BL3097">
        <v>-0.51</v>
      </c>
      <c r="BM3097">
        <v>0.35</v>
      </c>
      <c r="BN3097">
        <v>-0.7</v>
      </c>
      <c r="BO3097">
        <v>-0.53</v>
      </c>
      <c r="BP3097">
        <v>-0.43</v>
      </c>
      <c r="BQ3097">
        <v>0.7</v>
      </c>
      <c r="BR3097">
        <v>-1</v>
      </c>
      <c r="BS3097">
        <v>0.31</v>
      </c>
      <c r="BT3097">
        <v>0.26</v>
      </c>
      <c r="BU3097">
        <v>0.27</v>
      </c>
      <c r="BV3097">
        <v>0.02</v>
      </c>
      <c r="BW3097">
        <v>-0.54</v>
      </c>
      <c r="BX3097">
        <v>0.96</v>
      </c>
      <c r="BY3097">
        <v>-0.85</v>
      </c>
      <c r="BZ3097">
        <v>0.48</v>
      </c>
      <c r="CA3097">
        <v>-0.05</v>
      </c>
      <c r="CB3097">
        <v>-0.19</v>
      </c>
      <c r="CC3097">
        <v>-0.27</v>
      </c>
      <c r="CD3097">
        <v>0.5</v>
      </c>
      <c r="CE3097">
        <v>-0.46</v>
      </c>
      <c r="CF3097">
        <v>0.15</v>
      </c>
      <c r="CG3097">
        <v>0</v>
      </c>
      <c r="CH3097">
        <v>-1.77</v>
      </c>
      <c r="CI3097">
        <v>0</v>
      </c>
      <c r="CJ3097">
        <v>-1</v>
      </c>
      <c r="CK3097">
        <v>92</v>
      </c>
      <c r="CL3097">
        <v>-0.73</v>
      </c>
      <c r="CM3097">
        <v>90</v>
      </c>
      <c r="CN3097">
        <v>-0.37</v>
      </c>
      <c r="CO3097">
        <v>89</v>
      </c>
      <c r="CP3097">
        <v>-5.0999999999999996</v>
      </c>
      <c r="CQ3097">
        <v>89</v>
      </c>
      <c r="CR3097">
        <v>0</v>
      </c>
      <c r="CS3097">
        <v>0</v>
      </c>
      <c r="CT3097">
        <v>-2.9</v>
      </c>
      <c r="CU3097">
        <v>87</v>
      </c>
      <c r="CV3097">
        <v>0.18</v>
      </c>
      <c r="CW3097">
        <v>45</v>
      </c>
      <c r="CX3097" t="s">
        <v>1165</v>
      </c>
    </row>
    <row r="3098" spans="1:102" x14ac:dyDescent="0.3">
      <c r="A3098" t="str">
        <f>HYPERLINK("https://webapp.icbf.com/v2/app/bull-search/view/77853985","RIT")</f>
        <v>RIT</v>
      </c>
      <c r="B3098" t="s">
        <v>10817</v>
      </c>
      <c r="C3098" t="s">
        <v>3383</v>
      </c>
      <c r="D3098" s="1">
        <v>32793</v>
      </c>
      <c r="E3098" t="s">
        <v>92</v>
      </c>
      <c r="F3098">
        <v>100</v>
      </c>
      <c r="G3098" t="s">
        <v>93</v>
      </c>
      <c r="H3098">
        <v>-11.49</v>
      </c>
      <c r="I3098">
        <v>89</v>
      </c>
      <c r="J3098">
        <v>6.74</v>
      </c>
      <c r="K3098">
        <v>97</v>
      </c>
      <c r="L3098">
        <v>5.92</v>
      </c>
      <c r="M3098">
        <v>91</v>
      </c>
      <c r="N3098">
        <v>-13.9</v>
      </c>
      <c r="O3098">
        <v>80</v>
      </c>
      <c r="P3098">
        <v>-6.46</v>
      </c>
      <c r="Q3098">
        <v>84</v>
      </c>
      <c r="R3098">
        <v>-11.58</v>
      </c>
      <c r="S3098">
        <v>83</v>
      </c>
      <c r="T3098">
        <v>8.8699999999999992</v>
      </c>
      <c r="U3098">
        <v>82</v>
      </c>
      <c r="V3098">
        <v>-1.08</v>
      </c>
      <c r="W3098">
        <v>71</v>
      </c>
      <c r="X3098" t="s">
        <v>276</v>
      </c>
      <c r="Y3098" t="s">
        <v>95</v>
      </c>
      <c r="Z3098" t="s">
        <v>96</v>
      </c>
      <c r="AA3098" t="s">
        <v>166</v>
      </c>
      <c r="AB3098" t="s">
        <v>4165</v>
      </c>
      <c r="AC3098">
        <v>97</v>
      </c>
      <c r="AD3098">
        <v>81</v>
      </c>
      <c r="AE3098">
        <v>97</v>
      </c>
      <c r="AF3098">
        <v>251.09</v>
      </c>
      <c r="AG3098">
        <v>1.44</v>
      </c>
      <c r="AH3098">
        <v>4.4800000000000004</v>
      </c>
      <c r="AI3098">
        <v>-0.14000000000000001</v>
      </c>
      <c r="AJ3098">
        <v>-7.0000000000000007E-2</v>
      </c>
      <c r="AK3098">
        <v>91</v>
      </c>
      <c r="AL3098">
        <v>100</v>
      </c>
      <c r="AM3098">
        <v>66</v>
      </c>
      <c r="AN3098">
        <v>0.31</v>
      </c>
      <c r="AO3098">
        <v>0.79</v>
      </c>
      <c r="AP3098">
        <v>6</v>
      </c>
      <c r="AQ3098">
        <v>0</v>
      </c>
      <c r="AR3098">
        <v>11.18</v>
      </c>
      <c r="AS3098">
        <v>67</v>
      </c>
      <c r="AT3098">
        <v>3.94</v>
      </c>
      <c r="AU3098">
        <v>93</v>
      </c>
      <c r="AV3098">
        <v>-0.06</v>
      </c>
      <c r="AW3098">
        <v>78</v>
      </c>
      <c r="AX3098">
        <v>-0.7</v>
      </c>
      <c r="AY3098">
        <v>81</v>
      </c>
      <c r="AZ3098">
        <v>6.39</v>
      </c>
      <c r="BA3098">
        <v>63</v>
      </c>
      <c r="BB3098">
        <v>4.4400000000000004</v>
      </c>
      <c r="BC3098">
        <v>73</v>
      </c>
      <c r="BD3098">
        <v>0.02</v>
      </c>
      <c r="BE3098">
        <v>7.0000000000000007E-2</v>
      </c>
      <c r="BF3098">
        <v>0.1</v>
      </c>
      <c r="BG3098">
        <v>95</v>
      </c>
      <c r="BH3098">
        <v>-0.02</v>
      </c>
      <c r="BI3098">
        <v>1.18</v>
      </c>
      <c r="BJ3098">
        <v>39</v>
      </c>
      <c r="BK3098">
        <v>26</v>
      </c>
      <c r="BL3098">
        <v>-0.18</v>
      </c>
      <c r="BM3098">
        <v>-0.84</v>
      </c>
      <c r="BN3098">
        <v>-1.95</v>
      </c>
      <c r="BO3098">
        <v>-0.96</v>
      </c>
      <c r="BP3098">
        <v>2.5</v>
      </c>
      <c r="BQ3098">
        <v>-1.72</v>
      </c>
      <c r="BR3098">
        <v>1.69</v>
      </c>
      <c r="BS3098">
        <v>-2.58</v>
      </c>
      <c r="BT3098">
        <v>-2.27</v>
      </c>
      <c r="BU3098">
        <v>1.17</v>
      </c>
      <c r="BV3098">
        <v>-0.37</v>
      </c>
      <c r="BW3098">
        <v>-0.1</v>
      </c>
      <c r="BX3098">
        <v>2.08</v>
      </c>
      <c r="BY3098">
        <v>-0.56999999999999995</v>
      </c>
      <c r="BZ3098">
        <v>-0.57999999999999996</v>
      </c>
      <c r="CA3098">
        <v>-0.45</v>
      </c>
      <c r="CB3098">
        <v>0.27</v>
      </c>
      <c r="CC3098">
        <v>-2.37</v>
      </c>
      <c r="CD3098">
        <v>0.39</v>
      </c>
      <c r="CE3098">
        <v>-0.22</v>
      </c>
      <c r="CF3098">
        <v>-0.44</v>
      </c>
      <c r="CG3098">
        <v>0</v>
      </c>
      <c r="CH3098">
        <v>-0.46</v>
      </c>
      <c r="CI3098">
        <v>0</v>
      </c>
      <c r="CJ3098">
        <v>-4.2</v>
      </c>
      <c r="CK3098">
        <v>85</v>
      </c>
      <c r="CL3098">
        <v>-0.67</v>
      </c>
      <c r="CM3098">
        <v>83</v>
      </c>
      <c r="CN3098">
        <v>-0.6</v>
      </c>
      <c r="CO3098">
        <v>81</v>
      </c>
      <c r="CP3098">
        <v>-5.2</v>
      </c>
      <c r="CQ3098">
        <v>89</v>
      </c>
      <c r="CR3098">
        <v>0</v>
      </c>
      <c r="CS3098">
        <v>0</v>
      </c>
      <c r="CT3098">
        <v>1.8</v>
      </c>
      <c r="CU3098">
        <v>82</v>
      </c>
      <c r="CV3098">
        <v>-0.03</v>
      </c>
      <c r="CW3098">
        <v>43</v>
      </c>
      <c r="CX3098" t="s">
        <v>543</v>
      </c>
    </row>
    <row r="3099" spans="1:102" x14ac:dyDescent="0.3">
      <c r="A3099" t="str">
        <f>HYPERLINK("https://webapp.icbf.com/v2/app/bull-search/view/77855596","MDN")</f>
        <v>MDN</v>
      </c>
      <c r="B3099" t="s">
        <v>3564</v>
      </c>
      <c r="C3099" t="s">
        <v>3565</v>
      </c>
      <c r="D3099" s="1">
        <v>35596</v>
      </c>
      <c r="E3099" t="s">
        <v>92</v>
      </c>
      <c r="F3099">
        <v>94</v>
      </c>
      <c r="G3099" t="s">
        <v>93</v>
      </c>
      <c r="H3099">
        <v>-11.53</v>
      </c>
      <c r="I3099">
        <v>81</v>
      </c>
      <c r="J3099">
        <v>25.34</v>
      </c>
      <c r="K3099">
        <v>95</v>
      </c>
      <c r="L3099">
        <v>-52.01</v>
      </c>
      <c r="M3099">
        <v>76</v>
      </c>
      <c r="N3099">
        <v>3.32</v>
      </c>
      <c r="O3099">
        <v>70</v>
      </c>
      <c r="P3099">
        <v>-15.77</v>
      </c>
      <c r="Q3099">
        <v>79</v>
      </c>
      <c r="R3099">
        <v>2.88</v>
      </c>
      <c r="S3099">
        <v>75</v>
      </c>
      <c r="T3099">
        <v>28.4</v>
      </c>
      <c r="U3099">
        <v>70</v>
      </c>
      <c r="V3099">
        <v>-3.69</v>
      </c>
      <c r="W3099">
        <v>67</v>
      </c>
      <c r="X3099" t="s">
        <v>94</v>
      </c>
      <c r="Y3099" t="s">
        <v>95</v>
      </c>
      <c r="Z3099" t="s">
        <v>96</v>
      </c>
      <c r="AA3099" t="s">
        <v>188</v>
      </c>
      <c r="AB3099" t="s">
        <v>3566</v>
      </c>
      <c r="AC3099">
        <v>47</v>
      </c>
      <c r="AD3099">
        <v>38</v>
      </c>
      <c r="AE3099">
        <v>95</v>
      </c>
      <c r="AF3099">
        <v>283.12</v>
      </c>
      <c r="AG3099">
        <v>7.84</v>
      </c>
      <c r="AH3099">
        <v>5.87</v>
      </c>
      <c r="AI3099">
        <v>-0.05</v>
      </c>
      <c r="AJ3099">
        <v>-0.06</v>
      </c>
      <c r="AK3099">
        <v>76</v>
      </c>
      <c r="AL3099">
        <v>41</v>
      </c>
      <c r="AM3099">
        <v>32</v>
      </c>
      <c r="AN3099">
        <v>4.2</v>
      </c>
      <c r="AO3099">
        <v>7.0000000000000007E-2</v>
      </c>
      <c r="AP3099">
        <v>7</v>
      </c>
      <c r="AQ3099">
        <v>0</v>
      </c>
      <c r="AR3099">
        <v>7.38</v>
      </c>
      <c r="AS3099">
        <v>61</v>
      </c>
      <c r="AT3099">
        <v>3.04</v>
      </c>
      <c r="AU3099">
        <v>73</v>
      </c>
      <c r="AV3099">
        <v>-0.38</v>
      </c>
      <c r="AW3099">
        <v>77</v>
      </c>
      <c r="AX3099">
        <v>0.91</v>
      </c>
      <c r="AY3099">
        <v>68</v>
      </c>
      <c r="AZ3099">
        <v>5.75</v>
      </c>
      <c r="BA3099">
        <v>53</v>
      </c>
      <c r="BB3099">
        <v>4.93</v>
      </c>
      <c r="BC3099">
        <v>58</v>
      </c>
      <c r="BD3099">
        <v>-0.05</v>
      </c>
      <c r="BE3099">
        <v>0.03</v>
      </c>
      <c r="BF3099">
        <v>-0.04</v>
      </c>
      <c r="BG3099">
        <v>85</v>
      </c>
      <c r="BH3099">
        <v>-0.1</v>
      </c>
      <c r="BI3099">
        <v>0.35</v>
      </c>
      <c r="BJ3099">
        <v>3</v>
      </c>
      <c r="BK3099">
        <v>3</v>
      </c>
      <c r="BL3099">
        <v>0.71</v>
      </c>
      <c r="BM3099">
        <v>-2.72</v>
      </c>
      <c r="BN3099">
        <v>-1.34</v>
      </c>
      <c r="BO3099">
        <v>1.0900000000000001</v>
      </c>
      <c r="BP3099">
        <v>0.93</v>
      </c>
      <c r="BQ3099">
        <v>-0.55000000000000004</v>
      </c>
      <c r="BR3099">
        <v>0.57999999999999996</v>
      </c>
      <c r="BS3099">
        <v>-0.25</v>
      </c>
      <c r="BT3099">
        <v>-0.77</v>
      </c>
      <c r="BU3099">
        <v>0</v>
      </c>
      <c r="BV3099">
        <v>0.15</v>
      </c>
      <c r="BW3099">
        <v>0.18</v>
      </c>
      <c r="BX3099">
        <v>0.04</v>
      </c>
      <c r="BY3099">
        <v>0.44</v>
      </c>
      <c r="BZ3099">
        <v>-0.94</v>
      </c>
      <c r="CA3099">
        <v>0.76</v>
      </c>
      <c r="CB3099">
        <v>0.46</v>
      </c>
      <c r="CC3099">
        <v>0.87</v>
      </c>
      <c r="CD3099">
        <v>-1.85</v>
      </c>
      <c r="CE3099">
        <v>1.1299999999999999</v>
      </c>
      <c r="CF3099">
        <v>0.02</v>
      </c>
      <c r="CG3099">
        <v>0</v>
      </c>
      <c r="CH3099">
        <v>-0.21</v>
      </c>
      <c r="CI3099">
        <v>0</v>
      </c>
      <c r="CJ3099">
        <v>-6.3</v>
      </c>
      <c r="CK3099">
        <v>80</v>
      </c>
      <c r="CL3099">
        <v>-0.88</v>
      </c>
      <c r="CM3099">
        <v>77</v>
      </c>
      <c r="CN3099">
        <v>-0.34</v>
      </c>
      <c r="CO3099">
        <v>74</v>
      </c>
      <c r="CP3099">
        <v>-13.2</v>
      </c>
      <c r="CQ3099">
        <v>81</v>
      </c>
      <c r="CR3099">
        <v>0</v>
      </c>
      <c r="CS3099">
        <v>0</v>
      </c>
      <c r="CT3099">
        <v>-24.6</v>
      </c>
      <c r="CU3099">
        <v>70</v>
      </c>
      <c r="CV3099">
        <v>0.09</v>
      </c>
      <c r="CW3099">
        <v>41</v>
      </c>
      <c r="CX3099" t="s">
        <v>193</v>
      </c>
    </row>
    <row r="3100" spans="1:102" x14ac:dyDescent="0.3">
      <c r="A3100" t="str">
        <f>HYPERLINK("https://webapp.icbf.com/v2/app/bull-search/view/77853481","SSO")</f>
        <v>SSO</v>
      </c>
      <c r="B3100" t="s">
        <v>11170</v>
      </c>
      <c r="C3100" t="s">
        <v>11171</v>
      </c>
      <c r="D3100" s="1">
        <v>34559</v>
      </c>
      <c r="E3100" t="s">
        <v>92</v>
      </c>
      <c r="F3100">
        <v>100</v>
      </c>
      <c r="G3100" t="s">
        <v>93</v>
      </c>
      <c r="H3100">
        <v>-11.57</v>
      </c>
      <c r="I3100">
        <v>79</v>
      </c>
      <c r="J3100">
        <v>9.4</v>
      </c>
      <c r="K3100">
        <v>95</v>
      </c>
      <c r="L3100">
        <v>-42.69</v>
      </c>
      <c r="M3100">
        <v>69</v>
      </c>
      <c r="N3100">
        <v>13.97</v>
      </c>
      <c r="O3100">
        <v>70</v>
      </c>
      <c r="P3100">
        <v>-12.75</v>
      </c>
      <c r="Q3100">
        <v>83</v>
      </c>
      <c r="R3100">
        <v>-2.87</v>
      </c>
      <c r="S3100">
        <v>71</v>
      </c>
      <c r="T3100">
        <v>22.11</v>
      </c>
      <c r="U3100">
        <v>82</v>
      </c>
      <c r="V3100">
        <v>1.26</v>
      </c>
      <c r="W3100">
        <v>43</v>
      </c>
      <c r="X3100" t="s">
        <v>94</v>
      </c>
      <c r="Y3100" t="s">
        <v>95</v>
      </c>
      <c r="Z3100" t="s">
        <v>96</v>
      </c>
      <c r="AA3100" t="s">
        <v>7042</v>
      </c>
      <c r="AB3100" t="s">
        <v>11172</v>
      </c>
      <c r="AC3100">
        <v>95</v>
      </c>
      <c r="AD3100">
        <v>81</v>
      </c>
      <c r="AE3100">
        <v>95</v>
      </c>
      <c r="AF3100">
        <v>264.16000000000003</v>
      </c>
      <c r="AG3100">
        <v>5.97</v>
      </c>
      <c r="AH3100">
        <v>3.53</v>
      </c>
      <c r="AI3100">
        <v>-7.0000000000000007E-2</v>
      </c>
      <c r="AJ3100">
        <v>-0.09</v>
      </c>
      <c r="AK3100">
        <v>69</v>
      </c>
      <c r="AL3100">
        <v>113</v>
      </c>
      <c r="AM3100">
        <v>87</v>
      </c>
      <c r="AN3100">
        <v>3.48</v>
      </c>
      <c r="AO3100">
        <v>0.09</v>
      </c>
      <c r="AP3100">
        <v>1</v>
      </c>
      <c r="AQ3100">
        <v>0</v>
      </c>
      <c r="AR3100">
        <v>6.95</v>
      </c>
      <c r="AS3100">
        <v>40</v>
      </c>
      <c r="AT3100">
        <v>3.39</v>
      </c>
      <c r="AU3100">
        <v>68</v>
      </c>
      <c r="AV3100">
        <v>-1.08</v>
      </c>
      <c r="AW3100">
        <v>77</v>
      </c>
      <c r="AX3100">
        <v>-0.54</v>
      </c>
      <c r="AY3100">
        <v>82</v>
      </c>
      <c r="AZ3100">
        <v>5.23</v>
      </c>
      <c r="BA3100">
        <v>43</v>
      </c>
      <c r="BB3100">
        <v>4.37</v>
      </c>
      <c r="BC3100">
        <v>66</v>
      </c>
      <c r="BD3100">
        <v>0</v>
      </c>
      <c r="BE3100">
        <v>0.04</v>
      </c>
      <c r="BF3100">
        <v>-0.01</v>
      </c>
      <c r="BG3100">
        <v>87</v>
      </c>
      <c r="BH3100">
        <v>-0.01</v>
      </c>
      <c r="BI3100">
        <v>-5.23</v>
      </c>
      <c r="BJ3100">
        <v>18</v>
      </c>
      <c r="BK3100">
        <v>17</v>
      </c>
      <c r="BL3100">
        <v>-0.59</v>
      </c>
      <c r="BM3100">
        <v>-2.09</v>
      </c>
      <c r="BN3100">
        <v>-1.62</v>
      </c>
      <c r="BO3100">
        <v>-0.08</v>
      </c>
      <c r="BP3100">
        <v>0.51</v>
      </c>
      <c r="BQ3100">
        <v>-3.64</v>
      </c>
      <c r="BR3100">
        <v>0.47</v>
      </c>
      <c r="BS3100">
        <v>-0.89</v>
      </c>
      <c r="BT3100">
        <v>-1.19</v>
      </c>
      <c r="BU3100">
        <v>-0.21</v>
      </c>
      <c r="BV3100">
        <v>-0.11</v>
      </c>
      <c r="BW3100">
        <v>-0.76</v>
      </c>
      <c r="BX3100">
        <v>-0.08</v>
      </c>
      <c r="BY3100">
        <v>-0.71</v>
      </c>
      <c r="BZ3100">
        <v>1.88</v>
      </c>
      <c r="CA3100">
        <v>-0.22</v>
      </c>
      <c r="CB3100">
        <v>-0.16</v>
      </c>
      <c r="CC3100">
        <v>-0.52</v>
      </c>
      <c r="CD3100">
        <v>-0.65</v>
      </c>
      <c r="CE3100">
        <v>0.34</v>
      </c>
      <c r="CF3100">
        <v>-1.03</v>
      </c>
      <c r="CG3100">
        <v>0</v>
      </c>
      <c r="CH3100">
        <v>0.01</v>
      </c>
      <c r="CI3100">
        <v>0</v>
      </c>
      <c r="CJ3100">
        <v>-5.7</v>
      </c>
      <c r="CK3100">
        <v>84</v>
      </c>
      <c r="CL3100">
        <v>-0.47</v>
      </c>
      <c r="CM3100">
        <v>82</v>
      </c>
      <c r="CN3100">
        <v>-0.18</v>
      </c>
      <c r="CO3100">
        <v>79</v>
      </c>
      <c r="CP3100">
        <v>-14.3</v>
      </c>
      <c r="CQ3100">
        <v>89</v>
      </c>
      <c r="CR3100">
        <v>0</v>
      </c>
      <c r="CS3100">
        <v>0</v>
      </c>
      <c r="CT3100">
        <v>-16.100000000000001</v>
      </c>
      <c r="CU3100">
        <v>82</v>
      </c>
      <c r="CV3100">
        <v>0.02</v>
      </c>
      <c r="CW3100">
        <v>24</v>
      </c>
      <c r="CX3100" t="s">
        <v>99</v>
      </c>
    </row>
    <row r="3101" spans="1:102" x14ac:dyDescent="0.3">
      <c r="A3101" t="str">
        <f>HYPERLINK("https://webapp.icbf.com/v2/app/bull-search/view/1525245089","FR4318")</f>
        <v>FR4318</v>
      </c>
      <c r="B3101" t="s">
        <v>10274</v>
      </c>
      <c r="C3101" t="s">
        <v>10275</v>
      </c>
      <c r="D3101" s="1">
        <v>42019</v>
      </c>
      <c r="E3101" t="s">
        <v>108</v>
      </c>
      <c r="F3101">
        <v>0</v>
      </c>
      <c r="G3101" t="s">
        <v>435</v>
      </c>
      <c r="H3101">
        <v>-11.83</v>
      </c>
      <c r="I3101">
        <v>46</v>
      </c>
      <c r="J3101">
        <v>-51.03</v>
      </c>
      <c r="K3101">
        <v>64</v>
      </c>
      <c r="L3101">
        <v>35.11</v>
      </c>
      <c r="M3101">
        <v>35</v>
      </c>
      <c r="N3101">
        <v>-1.8</v>
      </c>
      <c r="O3101">
        <v>55</v>
      </c>
      <c r="P3101">
        <v>-2.11</v>
      </c>
      <c r="Q3101">
        <v>31</v>
      </c>
      <c r="R3101">
        <v>-7.8</v>
      </c>
      <c r="S3101">
        <v>35</v>
      </c>
      <c r="T3101">
        <v>17.899999999999999</v>
      </c>
      <c r="U3101">
        <v>30</v>
      </c>
      <c r="V3101">
        <v>-2.1</v>
      </c>
      <c r="W3101">
        <v>32</v>
      </c>
      <c r="X3101" t="s">
        <v>102</v>
      </c>
      <c r="Y3101" t="s">
        <v>2261</v>
      </c>
      <c r="Z3101" t="s">
        <v>96</v>
      </c>
      <c r="AA3101" t="s">
        <v>10276</v>
      </c>
      <c r="AB3101" t="s">
        <v>10277</v>
      </c>
      <c r="AC3101">
        <v>0</v>
      </c>
      <c r="AD3101">
        <v>0</v>
      </c>
      <c r="AE3101">
        <v>64</v>
      </c>
      <c r="AF3101">
        <v>-231.83</v>
      </c>
      <c r="AG3101">
        <v>-8.64</v>
      </c>
      <c r="AH3101">
        <v>-9.17</v>
      </c>
      <c r="AI3101">
        <v>0</v>
      </c>
      <c r="AJ3101">
        <v>-0.02</v>
      </c>
      <c r="AK3101">
        <v>35</v>
      </c>
      <c r="AL3101">
        <v>0</v>
      </c>
      <c r="AM3101">
        <v>0</v>
      </c>
      <c r="AN3101">
        <v>-1.92</v>
      </c>
      <c r="AO3101">
        <v>0.88</v>
      </c>
      <c r="AP3101">
        <v>29</v>
      </c>
      <c r="AQ3101">
        <v>0</v>
      </c>
      <c r="AR3101">
        <v>6.86</v>
      </c>
      <c r="AS3101">
        <v>26</v>
      </c>
      <c r="AT3101">
        <v>3.75</v>
      </c>
      <c r="AU3101">
        <v>53</v>
      </c>
      <c r="AV3101">
        <v>-0.71</v>
      </c>
      <c r="AW3101">
        <v>78</v>
      </c>
      <c r="AX3101">
        <v>-0.01</v>
      </c>
      <c r="AY3101">
        <v>51</v>
      </c>
      <c r="AZ3101">
        <v>6.73</v>
      </c>
      <c r="BA3101">
        <v>15</v>
      </c>
      <c r="BB3101">
        <v>5.64</v>
      </c>
      <c r="BC3101">
        <v>16</v>
      </c>
      <c r="BD3101">
        <v>0.08</v>
      </c>
      <c r="BE3101">
        <v>0.04</v>
      </c>
      <c r="BF3101">
        <v>-0.03</v>
      </c>
      <c r="BG3101">
        <v>42</v>
      </c>
      <c r="BH3101">
        <v>-0.02</v>
      </c>
      <c r="BI3101">
        <v>4.45</v>
      </c>
      <c r="BJ3101">
        <v>0</v>
      </c>
      <c r="BK3101">
        <v>0</v>
      </c>
      <c r="BL3101">
        <v>-2.59</v>
      </c>
      <c r="BM3101">
        <v>0.79</v>
      </c>
      <c r="BN3101">
        <v>-2.09</v>
      </c>
      <c r="BO3101">
        <v>-2.33</v>
      </c>
      <c r="BP3101">
        <v>0.21</v>
      </c>
      <c r="BQ3101">
        <v>0.39</v>
      </c>
      <c r="BR3101">
        <v>-0.87</v>
      </c>
      <c r="BS3101">
        <v>7.0000000000000007E-2</v>
      </c>
      <c r="BT3101">
        <v>0.08</v>
      </c>
      <c r="BU3101">
        <v>-2.6</v>
      </c>
      <c r="BV3101">
        <v>-2.72</v>
      </c>
      <c r="BW3101">
        <v>-2.3199999999999998</v>
      </c>
      <c r="BX3101">
        <v>-1.9</v>
      </c>
      <c r="BY3101">
        <v>-0.66</v>
      </c>
      <c r="BZ3101">
        <v>-0.75</v>
      </c>
      <c r="CA3101">
        <v>-2.04</v>
      </c>
      <c r="CB3101">
        <v>-2.4900000000000002</v>
      </c>
      <c r="CC3101">
        <v>-0.91</v>
      </c>
      <c r="CD3101">
        <v>2.19</v>
      </c>
      <c r="CE3101">
        <v>-1.56</v>
      </c>
      <c r="CF3101">
        <v>-1.61</v>
      </c>
      <c r="CG3101">
        <v>0</v>
      </c>
      <c r="CH3101">
        <v>-0.73</v>
      </c>
      <c r="CI3101">
        <v>0</v>
      </c>
      <c r="CJ3101">
        <v>1.1000000000000001</v>
      </c>
      <c r="CK3101">
        <v>32</v>
      </c>
      <c r="CL3101">
        <v>0.2</v>
      </c>
      <c r="CM3101">
        <v>31</v>
      </c>
      <c r="CN3101">
        <v>0.39</v>
      </c>
      <c r="CO3101">
        <v>30</v>
      </c>
      <c r="CP3101">
        <v>-7.5</v>
      </c>
      <c r="CQ3101">
        <v>31</v>
      </c>
      <c r="CR3101">
        <v>0</v>
      </c>
      <c r="CS3101">
        <v>0</v>
      </c>
      <c r="CT3101">
        <v>-10.4</v>
      </c>
      <c r="CU3101">
        <v>30</v>
      </c>
      <c r="CV3101">
        <v>0.1</v>
      </c>
      <c r="CW3101">
        <v>30</v>
      </c>
      <c r="CX3101" t="s">
        <v>10278</v>
      </c>
    </row>
    <row r="3102" spans="1:102" x14ac:dyDescent="0.3">
      <c r="A3102" t="str">
        <f>HYPERLINK("https://webapp.icbf.com/v2/app/bull-search/view/77857930","FLK")</f>
        <v>FLK</v>
      </c>
      <c r="B3102" t="s">
        <v>10698</v>
      </c>
      <c r="C3102" t="s">
        <v>10699</v>
      </c>
      <c r="D3102" s="1">
        <v>34550</v>
      </c>
      <c r="E3102" t="s">
        <v>108</v>
      </c>
      <c r="F3102">
        <v>0</v>
      </c>
      <c r="G3102" t="s">
        <v>93</v>
      </c>
      <c r="H3102">
        <v>-11.85</v>
      </c>
      <c r="I3102">
        <v>94</v>
      </c>
      <c r="J3102">
        <v>-15.59</v>
      </c>
      <c r="K3102">
        <v>99</v>
      </c>
      <c r="L3102">
        <v>20.170000000000002</v>
      </c>
      <c r="M3102">
        <v>89</v>
      </c>
      <c r="N3102">
        <v>-12.72</v>
      </c>
      <c r="O3102">
        <v>94</v>
      </c>
      <c r="P3102">
        <v>-19.72</v>
      </c>
      <c r="Q3102">
        <v>99</v>
      </c>
      <c r="R3102">
        <v>-15.38</v>
      </c>
      <c r="S3102">
        <v>90</v>
      </c>
      <c r="T3102">
        <v>26.55</v>
      </c>
      <c r="U3102">
        <v>97</v>
      </c>
      <c r="V3102">
        <v>4.84</v>
      </c>
      <c r="W3102">
        <v>91</v>
      </c>
      <c r="X3102" t="s">
        <v>102</v>
      </c>
      <c r="Y3102" t="s">
        <v>95</v>
      </c>
      <c r="Z3102" t="s">
        <v>96</v>
      </c>
      <c r="AA3102" t="s">
        <v>10700</v>
      </c>
      <c r="AB3102" t="s">
        <v>10701</v>
      </c>
      <c r="AC3102">
        <v>351</v>
      </c>
      <c r="AD3102">
        <v>216</v>
      </c>
      <c r="AE3102">
        <v>99</v>
      </c>
      <c r="AF3102">
        <v>-103.18</v>
      </c>
      <c r="AG3102">
        <v>-2.15</v>
      </c>
      <c r="AH3102">
        <v>-3.47</v>
      </c>
      <c r="AI3102">
        <v>0.03</v>
      </c>
      <c r="AJ3102">
        <v>0</v>
      </c>
      <c r="AK3102">
        <v>89</v>
      </c>
      <c r="AL3102">
        <v>524</v>
      </c>
      <c r="AM3102">
        <v>316</v>
      </c>
      <c r="AN3102">
        <v>-2.5299999999999998</v>
      </c>
      <c r="AO3102">
        <v>-0.94</v>
      </c>
      <c r="AP3102">
        <v>448</v>
      </c>
      <c r="AQ3102">
        <v>1</v>
      </c>
      <c r="AR3102">
        <v>6.29</v>
      </c>
      <c r="AS3102">
        <v>82</v>
      </c>
      <c r="AT3102">
        <v>3.01</v>
      </c>
      <c r="AU3102">
        <v>95</v>
      </c>
      <c r="AV3102">
        <v>-0.69</v>
      </c>
      <c r="AW3102">
        <v>98</v>
      </c>
      <c r="AX3102">
        <v>-0.28000000000000003</v>
      </c>
      <c r="AY3102">
        <v>95</v>
      </c>
      <c r="AZ3102">
        <v>8.52</v>
      </c>
      <c r="BA3102">
        <v>81</v>
      </c>
      <c r="BB3102">
        <v>8.18</v>
      </c>
      <c r="BC3102">
        <v>88</v>
      </c>
      <c r="BD3102">
        <v>0.13</v>
      </c>
      <c r="BE3102">
        <v>0.03</v>
      </c>
      <c r="BF3102">
        <v>0.08</v>
      </c>
      <c r="BG3102">
        <v>96</v>
      </c>
      <c r="BH3102">
        <v>0.03</v>
      </c>
      <c r="BI3102">
        <v>-12.14</v>
      </c>
      <c r="BJ3102">
        <v>18</v>
      </c>
      <c r="BK3102">
        <v>15</v>
      </c>
      <c r="BL3102">
        <v>-2.6</v>
      </c>
      <c r="BM3102">
        <v>-0.22</v>
      </c>
      <c r="BN3102">
        <v>-3.38</v>
      </c>
      <c r="BO3102">
        <v>-2.41</v>
      </c>
      <c r="BP3102">
        <v>0.38</v>
      </c>
      <c r="BQ3102">
        <v>1.83</v>
      </c>
      <c r="BR3102">
        <v>-1.71</v>
      </c>
      <c r="BS3102">
        <v>-1.46</v>
      </c>
      <c r="BT3102">
        <v>0.43</v>
      </c>
      <c r="BU3102">
        <v>-2.06</v>
      </c>
      <c r="BV3102">
        <v>-3.06</v>
      </c>
      <c r="BW3102">
        <v>-3.34</v>
      </c>
      <c r="BX3102">
        <v>0.49</v>
      </c>
      <c r="BY3102">
        <v>-0.82</v>
      </c>
      <c r="BZ3102">
        <v>0.98</v>
      </c>
      <c r="CA3102">
        <v>-2.85</v>
      </c>
      <c r="CB3102">
        <v>-2.7</v>
      </c>
      <c r="CC3102">
        <v>-2.0299999999999998</v>
      </c>
      <c r="CD3102">
        <v>1.98</v>
      </c>
      <c r="CE3102">
        <v>-1.88</v>
      </c>
      <c r="CF3102">
        <v>-2.0299999999999998</v>
      </c>
      <c r="CG3102">
        <v>0</v>
      </c>
      <c r="CH3102">
        <v>-0.99</v>
      </c>
      <c r="CI3102">
        <v>0</v>
      </c>
      <c r="CJ3102">
        <v>-10.199999999999999</v>
      </c>
      <c r="CK3102">
        <v>99</v>
      </c>
      <c r="CL3102">
        <v>-0.22</v>
      </c>
      <c r="CM3102">
        <v>98</v>
      </c>
      <c r="CN3102">
        <v>0.05</v>
      </c>
      <c r="CO3102">
        <v>98</v>
      </c>
      <c r="CP3102">
        <v>-18.600000000000001</v>
      </c>
      <c r="CQ3102">
        <v>98</v>
      </c>
      <c r="CR3102">
        <v>0</v>
      </c>
      <c r="CS3102">
        <v>0</v>
      </c>
      <c r="CT3102">
        <v>-22.1</v>
      </c>
      <c r="CU3102">
        <v>97</v>
      </c>
      <c r="CV3102">
        <v>-0.01</v>
      </c>
      <c r="CW3102">
        <v>46</v>
      </c>
      <c r="CX3102" t="s">
        <v>8022</v>
      </c>
    </row>
    <row r="3103" spans="1:102" x14ac:dyDescent="0.3">
      <c r="A3103" t="str">
        <f>HYPERLINK("https://webapp.icbf.com/v2/app/bull-search/view/401980253","RWE")</f>
        <v>RWE</v>
      </c>
      <c r="B3103" t="s">
        <v>4754</v>
      </c>
      <c r="C3103" t="s">
        <v>4755</v>
      </c>
      <c r="D3103" s="1">
        <v>38414</v>
      </c>
      <c r="E3103" t="s">
        <v>92</v>
      </c>
      <c r="F3103">
        <v>91</v>
      </c>
      <c r="G3103" t="s">
        <v>116</v>
      </c>
      <c r="H3103">
        <v>-11.89</v>
      </c>
      <c r="I3103">
        <v>43</v>
      </c>
      <c r="J3103">
        <v>35.82</v>
      </c>
      <c r="K3103">
        <v>51</v>
      </c>
      <c r="L3103">
        <v>-41.26</v>
      </c>
      <c r="M3103">
        <v>35</v>
      </c>
      <c r="N3103">
        <v>17.62</v>
      </c>
      <c r="O3103">
        <v>47</v>
      </c>
      <c r="P3103">
        <v>5.6</v>
      </c>
      <c r="Q3103">
        <v>43</v>
      </c>
      <c r="R3103">
        <v>-5.13</v>
      </c>
      <c r="S3103">
        <v>40</v>
      </c>
      <c r="T3103">
        <v>-14.07</v>
      </c>
      <c r="U3103">
        <v>44</v>
      </c>
      <c r="V3103">
        <v>-10.47</v>
      </c>
      <c r="W3103">
        <v>33</v>
      </c>
      <c r="X3103" t="s">
        <v>94</v>
      </c>
      <c r="Y3103" t="s">
        <v>1164</v>
      </c>
      <c r="Z3103" t="s">
        <v>96</v>
      </c>
      <c r="AA3103" t="s">
        <v>4756</v>
      </c>
      <c r="AB3103" t="s">
        <v>4757</v>
      </c>
      <c r="AC3103">
        <v>4</v>
      </c>
      <c r="AD3103">
        <v>5</v>
      </c>
      <c r="AE3103">
        <v>51</v>
      </c>
      <c r="AF3103">
        <v>-88.85</v>
      </c>
      <c r="AG3103">
        <v>5.12</v>
      </c>
      <c r="AH3103">
        <v>2.92</v>
      </c>
      <c r="AI3103">
        <v>0.14000000000000001</v>
      </c>
      <c r="AJ3103">
        <v>0.1</v>
      </c>
      <c r="AK3103">
        <v>35</v>
      </c>
      <c r="AL3103">
        <v>4</v>
      </c>
      <c r="AM3103">
        <v>4</v>
      </c>
      <c r="AN3103">
        <v>1.52</v>
      </c>
      <c r="AO3103">
        <v>-1.78</v>
      </c>
      <c r="AP3103">
        <v>5</v>
      </c>
      <c r="AQ3103">
        <v>0</v>
      </c>
      <c r="AR3103">
        <v>6.28</v>
      </c>
      <c r="AS3103">
        <v>31</v>
      </c>
      <c r="AT3103">
        <v>2.78</v>
      </c>
      <c r="AU3103">
        <v>40</v>
      </c>
      <c r="AV3103">
        <v>-0.94</v>
      </c>
      <c r="AW3103">
        <v>62</v>
      </c>
      <c r="AX3103">
        <v>-0.34</v>
      </c>
      <c r="AY3103">
        <v>37</v>
      </c>
      <c r="AZ3103">
        <v>5.65</v>
      </c>
      <c r="BA3103">
        <v>32</v>
      </c>
      <c r="BB3103">
        <v>4.57</v>
      </c>
      <c r="BC3103">
        <v>32</v>
      </c>
      <c r="BD3103">
        <v>0</v>
      </c>
      <c r="BE3103">
        <v>0.02</v>
      </c>
      <c r="BF3103">
        <v>0.08</v>
      </c>
      <c r="BG3103">
        <v>43</v>
      </c>
      <c r="BH3103">
        <v>-0.03</v>
      </c>
      <c r="BI3103">
        <v>30.29</v>
      </c>
      <c r="BJ3103">
        <v>0</v>
      </c>
      <c r="BK3103">
        <v>0</v>
      </c>
      <c r="BL3103">
        <v>0.42</v>
      </c>
      <c r="BM3103">
        <v>2.29</v>
      </c>
      <c r="BN3103">
        <v>0.64</v>
      </c>
      <c r="BO3103">
        <v>-0.89</v>
      </c>
      <c r="BP3103">
        <v>1.74</v>
      </c>
      <c r="BQ3103">
        <v>0.01</v>
      </c>
      <c r="BR3103">
        <v>-0.42</v>
      </c>
      <c r="BS3103">
        <v>0.13</v>
      </c>
      <c r="BT3103">
        <v>0.62</v>
      </c>
      <c r="BU3103">
        <v>-0.64</v>
      </c>
      <c r="BV3103">
        <v>-1.22</v>
      </c>
      <c r="BW3103">
        <v>-0.8</v>
      </c>
      <c r="BX3103">
        <v>-0.69</v>
      </c>
      <c r="BY3103">
        <v>-0.61</v>
      </c>
      <c r="BZ3103">
        <v>1.23</v>
      </c>
      <c r="CA3103">
        <v>-0.82</v>
      </c>
      <c r="CB3103">
        <v>-1.1399999999999999</v>
      </c>
      <c r="CC3103">
        <v>-7.0000000000000007E-2</v>
      </c>
      <c r="CD3103">
        <v>1.48</v>
      </c>
      <c r="CE3103">
        <v>-1.1599999999999999</v>
      </c>
      <c r="CF3103">
        <v>0.93</v>
      </c>
      <c r="CG3103">
        <v>0</v>
      </c>
      <c r="CH3103">
        <v>-0.53</v>
      </c>
      <c r="CI3103">
        <v>0</v>
      </c>
      <c r="CJ3103">
        <v>4.0999999999999996</v>
      </c>
      <c r="CK3103">
        <v>44</v>
      </c>
      <c r="CL3103">
        <v>-0.36</v>
      </c>
      <c r="CM3103">
        <v>41</v>
      </c>
      <c r="CN3103">
        <v>-0.16</v>
      </c>
      <c r="CO3103">
        <v>38</v>
      </c>
      <c r="CP3103">
        <v>11.9</v>
      </c>
      <c r="CQ3103">
        <v>48</v>
      </c>
      <c r="CR3103">
        <v>0</v>
      </c>
      <c r="CS3103">
        <v>0</v>
      </c>
      <c r="CT3103">
        <v>32.799999999999997</v>
      </c>
      <c r="CU3103">
        <v>44</v>
      </c>
      <c r="CV3103">
        <v>0.09</v>
      </c>
      <c r="CW3103">
        <v>12</v>
      </c>
      <c r="CX3103" t="s">
        <v>1254</v>
      </c>
    </row>
    <row r="3104" spans="1:102" x14ac:dyDescent="0.3">
      <c r="A3104" t="str">
        <f>HYPERLINK("https://webapp.icbf.com/v2/app/bull-search/view/108897557","VIB")</f>
        <v>VIB</v>
      </c>
      <c r="B3104" t="s">
        <v>15715</v>
      </c>
      <c r="C3104" t="s">
        <v>15716</v>
      </c>
      <c r="D3104" s="1">
        <v>35027</v>
      </c>
      <c r="E3104" t="s">
        <v>895</v>
      </c>
      <c r="F3104">
        <v>0</v>
      </c>
      <c r="G3104" t="s">
        <v>116</v>
      </c>
      <c r="H3104">
        <v>-11.91</v>
      </c>
      <c r="I3104">
        <v>30</v>
      </c>
      <c r="J3104">
        <v>-1.77</v>
      </c>
      <c r="K3104">
        <v>50</v>
      </c>
      <c r="L3104">
        <v>-14.84</v>
      </c>
      <c r="M3104">
        <v>13</v>
      </c>
      <c r="N3104">
        <v>-8.07</v>
      </c>
      <c r="O3104">
        <v>18</v>
      </c>
      <c r="P3104">
        <v>1.65</v>
      </c>
      <c r="Q3104">
        <v>43</v>
      </c>
      <c r="R3104">
        <v>0.72</v>
      </c>
      <c r="S3104">
        <v>16</v>
      </c>
      <c r="T3104">
        <v>21.89</v>
      </c>
      <c r="U3104">
        <v>30</v>
      </c>
      <c r="V3104">
        <v>-11.49</v>
      </c>
      <c r="W3104">
        <v>12</v>
      </c>
      <c r="X3104" t="s">
        <v>234</v>
      </c>
      <c r="Y3104" t="s">
        <v>95</v>
      </c>
      <c r="Z3104">
        <v>0</v>
      </c>
      <c r="AA3104" t="s">
        <v>144</v>
      </c>
      <c r="AB3104" t="s">
        <v>144</v>
      </c>
      <c r="AC3104">
        <v>5</v>
      </c>
      <c r="AD3104">
        <v>5</v>
      </c>
      <c r="AE3104">
        <v>50</v>
      </c>
      <c r="AF3104">
        <v>-125.2</v>
      </c>
      <c r="AG3104">
        <v>1.31</v>
      </c>
      <c r="AH3104">
        <v>-2.68</v>
      </c>
      <c r="AI3104">
        <v>0.1</v>
      </c>
      <c r="AJ3104">
        <v>0.03</v>
      </c>
      <c r="AK3104">
        <v>13</v>
      </c>
      <c r="AL3104">
        <v>6</v>
      </c>
      <c r="AM3104">
        <v>6</v>
      </c>
      <c r="AN3104">
        <v>2.61</v>
      </c>
      <c r="AO3104">
        <v>1.45</v>
      </c>
      <c r="AP3104">
        <v>5</v>
      </c>
      <c r="AQ3104">
        <v>2</v>
      </c>
      <c r="AR3104">
        <v>7.58</v>
      </c>
      <c r="AS3104">
        <v>6</v>
      </c>
      <c r="AT3104">
        <v>3.5</v>
      </c>
      <c r="AU3104">
        <v>16</v>
      </c>
      <c r="AV3104">
        <v>1.26</v>
      </c>
      <c r="AW3104">
        <v>24</v>
      </c>
      <c r="AX3104">
        <v>0.79</v>
      </c>
      <c r="AY3104">
        <v>22</v>
      </c>
      <c r="AZ3104">
        <v>4.7300000000000004</v>
      </c>
      <c r="BA3104">
        <v>7</v>
      </c>
      <c r="BB3104">
        <v>3.88</v>
      </c>
      <c r="BC3104">
        <v>8</v>
      </c>
      <c r="BD3104">
        <v>-0.01</v>
      </c>
      <c r="BE3104">
        <v>0</v>
      </c>
      <c r="BF3104">
        <v>0</v>
      </c>
      <c r="BG3104">
        <v>20</v>
      </c>
      <c r="BH3104">
        <v>-0.03</v>
      </c>
      <c r="BI3104">
        <v>33.6</v>
      </c>
      <c r="BJ3104">
        <v>0</v>
      </c>
      <c r="BK3104">
        <v>0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2.1</v>
      </c>
      <c r="CK3104">
        <v>47</v>
      </c>
      <c r="CL3104">
        <v>-0.05</v>
      </c>
      <c r="CM3104">
        <v>41</v>
      </c>
      <c r="CN3104">
        <v>-0.03</v>
      </c>
      <c r="CO3104">
        <v>37</v>
      </c>
      <c r="CP3104">
        <v>-7.2</v>
      </c>
      <c r="CQ3104">
        <v>34</v>
      </c>
      <c r="CR3104">
        <v>0</v>
      </c>
      <c r="CS3104">
        <v>0</v>
      </c>
      <c r="CT3104">
        <v>-15.8</v>
      </c>
      <c r="CU3104">
        <v>30</v>
      </c>
      <c r="CV3104">
        <v>-0.03</v>
      </c>
      <c r="CW3104">
        <v>12</v>
      </c>
      <c r="CX3104">
        <v>0</v>
      </c>
    </row>
    <row r="3105" spans="1:102" x14ac:dyDescent="0.3">
      <c r="A3105" t="str">
        <f>HYPERLINK("https://webapp.icbf.com/v2/app/bull-search/view/69092875","VEN")</f>
        <v>VEN</v>
      </c>
      <c r="B3105" t="s">
        <v>15558</v>
      </c>
      <c r="C3105" t="s">
        <v>15559</v>
      </c>
      <c r="D3105" s="1">
        <v>32143</v>
      </c>
      <c r="E3105" t="s">
        <v>197</v>
      </c>
      <c r="F3105">
        <v>0</v>
      </c>
      <c r="G3105" t="s">
        <v>93</v>
      </c>
      <c r="H3105">
        <v>-11.94</v>
      </c>
      <c r="I3105">
        <v>81</v>
      </c>
      <c r="J3105">
        <v>-47.92</v>
      </c>
      <c r="K3105">
        <v>96</v>
      </c>
      <c r="L3105">
        <v>64.36</v>
      </c>
      <c r="M3105">
        <v>72</v>
      </c>
      <c r="N3105">
        <v>-23.24</v>
      </c>
      <c r="O3105">
        <v>72</v>
      </c>
      <c r="P3105">
        <v>-7.06</v>
      </c>
      <c r="Q3105">
        <v>88</v>
      </c>
      <c r="R3105">
        <v>-16.03</v>
      </c>
      <c r="S3105">
        <v>71</v>
      </c>
      <c r="T3105">
        <v>25.44</v>
      </c>
      <c r="U3105">
        <v>86</v>
      </c>
      <c r="V3105">
        <v>-7.49</v>
      </c>
      <c r="W3105">
        <v>40</v>
      </c>
      <c r="X3105" t="s">
        <v>94</v>
      </c>
      <c r="Y3105" t="s">
        <v>95</v>
      </c>
      <c r="Z3105" t="s">
        <v>96</v>
      </c>
      <c r="AA3105" t="s">
        <v>15560</v>
      </c>
      <c r="AB3105" t="s">
        <v>15561</v>
      </c>
      <c r="AC3105">
        <v>133</v>
      </c>
      <c r="AD3105">
        <v>76</v>
      </c>
      <c r="AE3105">
        <v>96</v>
      </c>
      <c r="AF3105">
        <v>-395.56</v>
      </c>
      <c r="AG3105">
        <v>-14.94</v>
      </c>
      <c r="AH3105">
        <v>-8.92</v>
      </c>
      <c r="AI3105">
        <v>0.01</v>
      </c>
      <c r="AJ3105">
        <v>0.08</v>
      </c>
      <c r="AK3105">
        <v>72</v>
      </c>
      <c r="AL3105">
        <v>187</v>
      </c>
      <c r="AM3105">
        <v>111</v>
      </c>
      <c r="AN3105">
        <v>-4.4800000000000004</v>
      </c>
      <c r="AO3105">
        <v>0.64</v>
      </c>
      <c r="AP3105">
        <v>5</v>
      </c>
      <c r="AQ3105">
        <v>1</v>
      </c>
      <c r="AR3105">
        <v>5.5</v>
      </c>
      <c r="AS3105">
        <v>30</v>
      </c>
      <c r="AT3105">
        <v>5.26</v>
      </c>
      <c r="AU3105">
        <v>69</v>
      </c>
      <c r="AV3105">
        <v>2.06</v>
      </c>
      <c r="AW3105">
        <v>83</v>
      </c>
      <c r="AX3105">
        <v>-0.03</v>
      </c>
      <c r="AY3105">
        <v>84</v>
      </c>
      <c r="AZ3105">
        <v>6.32</v>
      </c>
      <c r="BA3105">
        <v>34</v>
      </c>
      <c r="BB3105">
        <v>3.28</v>
      </c>
      <c r="BC3105">
        <v>67</v>
      </c>
      <c r="BD3105">
        <v>7.0000000000000007E-2</v>
      </c>
      <c r="BE3105">
        <v>0.08</v>
      </c>
      <c r="BF3105">
        <v>0.1</v>
      </c>
      <c r="BG3105">
        <v>90</v>
      </c>
      <c r="BH3105">
        <v>-0.02</v>
      </c>
      <c r="BI3105">
        <v>21.85</v>
      </c>
      <c r="BJ3105">
        <v>0</v>
      </c>
      <c r="BK3105">
        <v>0</v>
      </c>
      <c r="BL3105">
        <v>-1.1100000000000001</v>
      </c>
      <c r="BM3105">
        <v>1.38</v>
      </c>
      <c r="BN3105">
        <v>-1.1200000000000001</v>
      </c>
      <c r="BO3105">
        <v>-1.68</v>
      </c>
      <c r="BP3105">
        <v>1.19</v>
      </c>
      <c r="BQ3105">
        <v>0.35</v>
      </c>
      <c r="BR3105">
        <v>-0.36</v>
      </c>
      <c r="BS3105">
        <v>-0.15</v>
      </c>
      <c r="BT3105">
        <v>-0.2</v>
      </c>
      <c r="BU3105">
        <v>-1.36</v>
      </c>
      <c r="BV3105">
        <v>-1.5</v>
      </c>
      <c r="BW3105">
        <v>-1.54</v>
      </c>
      <c r="BX3105">
        <v>-0.86</v>
      </c>
      <c r="BY3105">
        <v>-1.07</v>
      </c>
      <c r="BZ3105">
        <v>-0.08</v>
      </c>
      <c r="CA3105">
        <v>-1.89</v>
      </c>
      <c r="CB3105">
        <v>-1.7</v>
      </c>
      <c r="CC3105">
        <v>-1.53</v>
      </c>
      <c r="CD3105">
        <v>1.6</v>
      </c>
      <c r="CE3105">
        <v>-1.92</v>
      </c>
      <c r="CF3105">
        <v>-1.29</v>
      </c>
      <c r="CG3105">
        <v>0</v>
      </c>
      <c r="CH3105">
        <v>-1.47</v>
      </c>
      <c r="CI3105">
        <v>0</v>
      </c>
      <c r="CJ3105">
        <v>-3.2</v>
      </c>
      <c r="CK3105">
        <v>89</v>
      </c>
      <c r="CL3105">
        <v>0.04</v>
      </c>
      <c r="CM3105">
        <v>87</v>
      </c>
      <c r="CN3105">
        <v>0.11</v>
      </c>
      <c r="CO3105">
        <v>85</v>
      </c>
      <c r="CP3105">
        <v>-11.8</v>
      </c>
      <c r="CQ3105">
        <v>90</v>
      </c>
      <c r="CR3105">
        <v>0</v>
      </c>
      <c r="CS3105">
        <v>0</v>
      </c>
      <c r="CT3105">
        <v>-20.6</v>
      </c>
      <c r="CU3105">
        <v>86</v>
      </c>
      <c r="CV3105">
        <v>-0.18</v>
      </c>
      <c r="CW3105">
        <v>25</v>
      </c>
      <c r="CX3105" t="s">
        <v>15562</v>
      </c>
    </row>
    <row r="3106" spans="1:102" x14ac:dyDescent="0.3">
      <c r="A3106" t="str">
        <f>HYPERLINK("https://webapp.icbf.com/v2/app/bull-search/view/910795416","CYG")</f>
        <v>CYG</v>
      </c>
      <c r="B3106" t="s">
        <v>9138</v>
      </c>
      <c r="C3106" t="s">
        <v>6411</v>
      </c>
      <c r="D3106" s="1">
        <v>40060</v>
      </c>
      <c r="E3106" t="s">
        <v>92</v>
      </c>
      <c r="F3106">
        <v>100</v>
      </c>
      <c r="G3106" t="s">
        <v>93</v>
      </c>
      <c r="H3106">
        <v>-11.98</v>
      </c>
      <c r="I3106">
        <v>92</v>
      </c>
      <c r="J3106">
        <v>2.2200000000000002</v>
      </c>
      <c r="K3106">
        <v>98</v>
      </c>
      <c r="L3106">
        <v>-60.37</v>
      </c>
      <c r="M3106">
        <v>91</v>
      </c>
      <c r="N3106">
        <v>37.79</v>
      </c>
      <c r="O3106">
        <v>90</v>
      </c>
      <c r="P3106">
        <v>-3.83</v>
      </c>
      <c r="Q3106">
        <v>92</v>
      </c>
      <c r="R3106">
        <v>16.12</v>
      </c>
      <c r="S3106">
        <v>83</v>
      </c>
      <c r="T3106">
        <v>-9.6300000000000008</v>
      </c>
      <c r="U3106">
        <v>85</v>
      </c>
      <c r="V3106">
        <v>5.72</v>
      </c>
      <c r="W3106">
        <v>72</v>
      </c>
      <c r="X3106" t="s">
        <v>276</v>
      </c>
      <c r="Y3106" t="s">
        <v>329</v>
      </c>
      <c r="Z3106" t="s">
        <v>96</v>
      </c>
      <c r="AA3106" t="s">
        <v>309</v>
      </c>
      <c r="AB3106" t="s">
        <v>8333</v>
      </c>
      <c r="AC3106">
        <v>180</v>
      </c>
      <c r="AD3106">
        <v>68</v>
      </c>
      <c r="AE3106">
        <v>98</v>
      </c>
      <c r="AF3106">
        <v>413.94</v>
      </c>
      <c r="AG3106">
        <v>5.55</v>
      </c>
      <c r="AH3106">
        <v>4.75</v>
      </c>
      <c r="AI3106">
        <v>-0.17</v>
      </c>
      <c r="AJ3106">
        <v>-0.15</v>
      </c>
      <c r="AK3106">
        <v>91</v>
      </c>
      <c r="AL3106">
        <v>129</v>
      </c>
      <c r="AM3106">
        <v>57</v>
      </c>
      <c r="AN3106">
        <v>5.19</v>
      </c>
      <c r="AO3106">
        <v>0.4</v>
      </c>
      <c r="AP3106">
        <v>266</v>
      </c>
      <c r="AQ3106">
        <v>2</v>
      </c>
      <c r="AR3106">
        <v>3.94</v>
      </c>
      <c r="AS3106">
        <v>90</v>
      </c>
      <c r="AT3106">
        <v>1.89</v>
      </c>
      <c r="AU3106">
        <v>97</v>
      </c>
      <c r="AV3106">
        <v>-2.0299999999999998</v>
      </c>
      <c r="AW3106">
        <v>95</v>
      </c>
      <c r="AX3106">
        <v>-0.55000000000000004</v>
      </c>
      <c r="AY3106">
        <v>89</v>
      </c>
      <c r="AZ3106">
        <v>5.59</v>
      </c>
      <c r="BA3106">
        <v>74</v>
      </c>
      <c r="BB3106">
        <v>4.5599999999999996</v>
      </c>
      <c r="BC3106">
        <v>66</v>
      </c>
      <c r="BD3106">
        <v>-0.04</v>
      </c>
      <c r="BE3106">
        <v>-0.06</v>
      </c>
      <c r="BF3106">
        <v>-0.19</v>
      </c>
      <c r="BG3106">
        <v>96</v>
      </c>
      <c r="BH3106">
        <v>7.0000000000000007E-2</v>
      </c>
      <c r="BI3106">
        <v>-10.34</v>
      </c>
      <c r="BJ3106">
        <v>118</v>
      </c>
      <c r="BK3106">
        <v>59</v>
      </c>
      <c r="BL3106">
        <v>2.52</v>
      </c>
      <c r="BM3106">
        <v>-1.52</v>
      </c>
      <c r="BN3106">
        <v>0.12</v>
      </c>
      <c r="BO3106">
        <v>1.35</v>
      </c>
      <c r="BP3106">
        <v>1.2</v>
      </c>
      <c r="BQ3106">
        <v>1.1399999999999999</v>
      </c>
      <c r="BR3106">
        <v>-1.1599999999999999</v>
      </c>
      <c r="BS3106">
        <v>3.57</v>
      </c>
      <c r="BT3106">
        <v>1.49</v>
      </c>
      <c r="BU3106">
        <v>3.43</v>
      </c>
      <c r="BV3106">
        <v>3.09</v>
      </c>
      <c r="BW3106">
        <v>3</v>
      </c>
      <c r="BX3106">
        <v>3.63</v>
      </c>
      <c r="BY3106">
        <v>1.41</v>
      </c>
      <c r="BZ3106">
        <v>1.1599999999999999</v>
      </c>
      <c r="CA3106">
        <v>3.16</v>
      </c>
      <c r="CB3106">
        <v>2.57</v>
      </c>
      <c r="CC3106">
        <v>2.61</v>
      </c>
      <c r="CD3106">
        <v>-0.71</v>
      </c>
      <c r="CE3106">
        <v>1.21</v>
      </c>
      <c r="CF3106">
        <v>1.63</v>
      </c>
      <c r="CG3106">
        <v>0</v>
      </c>
      <c r="CH3106">
        <v>1.46</v>
      </c>
      <c r="CI3106">
        <v>0</v>
      </c>
      <c r="CJ3106">
        <v>1.4</v>
      </c>
      <c r="CK3106">
        <v>93</v>
      </c>
      <c r="CL3106">
        <v>-1.52</v>
      </c>
      <c r="CM3106">
        <v>91</v>
      </c>
      <c r="CN3106">
        <v>-0.76</v>
      </c>
      <c r="CO3106">
        <v>90</v>
      </c>
      <c r="CP3106">
        <v>6.8</v>
      </c>
      <c r="CQ3106">
        <v>86</v>
      </c>
      <c r="CR3106">
        <v>0</v>
      </c>
      <c r="CS3106">
        <v>0</v>
      </c>
      <c r="CT3106">
        <v>26.8</v>
      </c>
      <c r="CU3106">
        <v>85</v>
      </c>
      <c r="CV3106">
        <v>0.31</v>
      </c>
      <c r="CW3106">
        <v>44</v>
      </c>
      <c r="CX3106" t="s">
        <v>350</v>
      </c>
    </row>
    <row r="3107" spans="1:102" x14ac:dyDescent="0.3">
      <c r="A3107" t="str">
        <f>HYPERLINK("https://webapp.icbf.com/v2/app/bull-search/view/77855500","MAM")</f>
        <v>MAM</v>
      </c>
      <c r="B3107" t="s">
        <v>3927</v>
      </c>
      <c r="C3107" t="s">
        <v>3928</v>
      </c>
      <c r="D3107" s="1">
        <v>33706</v>
      </c>
      <c r="E3107" t="s">
        <v>92</v>
      </c>
      <c r="F3107">
        <v>100</v>
      </c>
      <c r="G3107" t="s">
        <v>93</v>
      </c>
      <c r="H3107">
        <v>-12.12</v>
      </c>
      <c r="I3107">
        <v>68</v>
      </c>
      <c r="J3107">
        <v>-11.17</v>
      </c>
      <c r="K3107">
        <v>91</v>
      </c>
      <c r="L3107">
        <v>2.66</v>
      </c>
      <c r="M3107">
        <v>61</v>
      </c>
      <c r="N3107">
        <v>-1.8</v>
      </c>
      <c r="O3107">
        <v>46</v>
      </c>
      <c r="P3107">
        <v>-18.59</v>
      </c>
      <c r="Q3107">
        <v>63</v>
      </c>
      <c r="R3107">
        <v>-0.88</v>
      </c>
      <c r="S3107">
        <v>65</v>
      </c>
      <c r="T3107">
        <v>22.34</v>
      </c>
      <c r="U3107">
        <v>59</v>
      </c>
      <c r="V3107">
        <v>-4.68</v>
      </c>
      <c r="W3107">
        <v>30</v>
      </c>
      <c r="X3107" t="s">
        <v>94</v>
      </c>
      <c r="Y3107" t="s">
        <v>95</v>
      </c>
      <c r="Z3107" t="s">
        <v>96</v>
      </c>
      <c r="AA3107" t="s">
        <v>132</v>
      </c>
      <c r="AB3107" t="s">
        <v>3929</v>
      </c>
      <c r="AC3107">
        <v>56</v>
      </c>
      <c r="AD3107">
        <v>53</v>
      </c>
      <c r="AE3107">
        <v>91</v>
      </c>
      <c r="AF3107">
        <v>-160.82</v>
      </c>
      <c r="AG3107">
        <v>-2.3199999999999998</v>
      </c>
      <c r="AH3107">
        <v>-3.54</v>
      </c>
      <c r="AI3107">
        <v>7.0000000000000007E-2</v>
      </c>
      <c r="AJ3107">
        <v>0.03</v>
      </c>
      <c r="AK3107">
        <v>61</v>
      </c>
      <c r="AL3107">
        <v>79</v>
      </c>
      <c r="AM3107">
        <v>63</v>
      </c>
      <c r="AN3107">
        <v>-1.08</v>
      </c>
      <c r="AO3107">
        <v>-0.88</v>
      </c>
      <c r="AP3107">
        <v>2</v>
      </c>
      <c r="AQ3107">
        <v>0</v>
      </c>
      <c r="AR3107">
        <v>6.7</v>
      </c>
      <c r="AS3107">
        <v>28</v>
      </c>
      <c r="AT3107">
        <v>2.87</v>
      </c>
      <c r="AU3107">
        <v>42</v>
      </c>
      <c r="AV3107">
        <v>0.71</v>
      </c>
      <c r="AW3107">
        <v>52</v>
      </c>
      <c r="AX3107">
        <v>-0.26</v>
      </c>
      <c r="AY3107">
        <v>60</v>
      </c>
      <c r="AZ3107">
        <v>6.91</v>
      </c>
      <c r="BA3107">
        <v>29</v>
      </c>
      <c r="BB3107">
        <v>5.12</v>
      </c>
      <c r="BC3107">
        <v>40</v>
      </c>
      <c r="BD3107">
        <v>0.05</v>
      </c>
      <c r="BE3107">
        <v>0.03</v>
      </c>
      <c r="BF3107">
        <v>-0.12</v>
      </c>
      <c r="BG3107">
        <v>82</v>
      </c>
      <c r="BH3107">
        <v>-0.08</v>
      </c>
      <c r="BI3107">
        <v>5.83</v>
      </c>
      <c r="BJ3107">
        <v>13</v>
      </c>
      <c r="BK3107">
        <v>13</v>
      </c>
      <c r="BL3107">
        <v>-0.02</v>
      </c>
      <c r="BM3107">
        <v>0.17</v>
      </c>
      <c r="BN3107">
        <v>-0.33</v>
      </c>
      <c r="BO3107">
        <v>-0.52</v>
      </c>
      <c r="BP3107">
        <v>-0.9</v>
      </c>
      <c r="BQ3107">
        <v>-0.93</v>
      </c>
      <c r="BR3107">
        <v>-0.89</v>
      </c>
      <c r="BS3107">
        <v>0.83</v>
      </c>
      <c r="BT3107">
        <v>0.42</v>
      </c>
      <c r="BU3107">
        <v>-0.87</v>
      </c>
      <c r="BV3107">
        <v>-0.46</v>
      </c>
      <c r="BW3107">
        <v>-0.88</v>
      </c>
      <c r="BX3107">
        <v>-0.77</v>
      </c>
      <c r="BY3107">
        <v>-0.52</v>
      </c>
      <c r="BZ3107">
        <v>1.03</v>
      </c>
      <c r="CA3107">
        <v>-0.09</v>
      </c>
      <c r="CB3107">
        <v>-0.35</v>
      </c>
      <c r="CC3107">
        <v>1.32</v>
      </c>
      <c r="CD3107">
        <v>0.45</v>
      </c>
      <c r="CE3107">
        <v>-0.25</v>
      </c>
      <c r="CF3107">
        <v>-0.12</v>
      </c>
      <c r="CG3107">
        <v>0</v>
      </c>
      <c r="CH3107">
        <v>0.01</v>
      </c>
      <c r="CI3107">
        <v>0</v>
      </c>
      <c r="CJ3107">
        <v>-9.4</v>
      </c>
      <c r="CK3107">
        <v>64</v>
      </c>
      <c r="CL3107">
        <v>-0.65</v>
      </c>
      <c r="CM3107">
        <v>60</v>
      </c>
      <c r="CN3107">
        <v>-0.24</v>
      </c>
      <c r="CO3107">
        <v>54</v>
      </c>
      <c r="CP3107">
        <v>-11.5</v>
      </c>
      <c r="CQ3107">
        <v>75</v>
      </c>
      <c r="CR3107">
        <v>0</v>
      </c>
      <c r="CS3107">
        <v>0</v>
      </c>
      <c r="CT3107">
        <v>-16.399999999999999</v>
      </c>
      <c r="CU3107">
        <v>59</v>
      </c>
      <c r="CV3107">
        <v>-0.01</v>
      </c>
      <c r="CW3107">
        <v>17</v>
      </c>
      <c r="CX3107" t="s">
        <v>166</v>
      </c>
    </row>
    <row r="3108" spans="1:102" x14ac:dyDescent="0.3">
      <c r="A3108" t="str">
        <f>HYPERLINK("https://webapp.icbf.com/v2/app/bull-search/view/76543280","LOV")</f>
        <v>LOV</v>
      </c>
      <c r="B3108" t="s">
        <v>4915</v>
      </c>
      <c r="C3108" t="s">
        <v>4916</v>
      </c>
      <c r="D3108" s="1">
        <v>36582</v>
      </c>
      <c r="E3108" t="s">
        <v>108</v>
      </c>
      <c r="F3108">
        <v>0</v>
      </c>
      <c r="G3108" t="s">
        <v>93</v>
      </c>
      <c r="H3108">
        <v>-12.12</v>
      </c>
      <c r="I3108">
        <v>90</v>
      </c>
      <c r="J3108">
        <v>-60.39</v>
      </c>
      <c r="K3108">
        <v>98</v>
      </c>
      <c r="L3108">
        <v>26.63</v>
      </c>
      <c r="M3108">
        <v>81</v>
      </c>
      <c r="N3108">
        <v>12.72</v>
      </c>
      <c r="O3108">
        <v>89</v>
      </c>
      <c r="P3108">
        <v>-0.98</v>
      </c>
      <c r="Q3108">
        <v>98</v>
      </c>
      <c r="R3108">
        <v>-8.32</v>
      </c>
      <c r="S3108">
        <v>82</v>
      </c>
      <c r="T3108">
        <v>17.53</v>
      </c>
      <c r="U3108">
        <v>92</v>
      </c>
      <c r="V3108">
        <v>0.69</v>
      </c>
      <c r="W3108">
        <v>79</v>
      </c>
      <c r="X3108" t="s">
        <v>102</v>
      </c>
      <c r="Y3108" t="s">
        <v>95</v>
      </c>
      <c r="Z3108" t="s">
        <v>96</v>
      </c>
      <c r="AA3108" t="s">
        <v>4917</v>
      </c>
      <c r="AB3108" t="s">
        <v>4918</v>
      </c>
      <c r="AC3108">
        <v>207</v>
      </c>
      <c r="AD3108">
        <v>120</v>
      </c>
      <c r="AE3108">
        <v>98</v>
      </c>
      <c r="AF3108">
        <v>-301.76</v>
      </c>
      <c r="AG3108">
        <v>-14.47</v>
      </c>
      <c r="AH3108">
        <v>-9.77</v>
      </c>
      <c r="AI3108">
        <v>-0.05</v>
      </c>
      <c r="AJ3108">
        <v>0.01</v>
      </c>
      <c r="AK3108">
        <v>81</v>
      </c>
      <c r="AL3108">
        <v>253</v>
      </c>
      <c r="AM3108">
        <v>155</v>
      </c>
      <c r="AN3108">
        <v>-0.97</v>
      </c>
      <c r="AO3108">
        <v>1.1599999999999999</v>
      </c>
      <c r="AP3108">
        <v>299</v>
      </c>
      <c r="AQ3108">
        <v>1</v>
      </c>
      <c r="AR3108">
        <v>5.94</v>
      </c>
      <c r="AS3108">
        <v>77</v>
      </c>
      <c r="AT3108">
        <v>2.52</v>
      </c>
      <c r="AU3108">
        <v>91</v>
      </c>
      <c r="AV3108">
        <v>-1.5</v>
      </c>
      <c r="AW3108">
        <v>94</v>
      </c>
      <c r="AX3108">
        <v>-0.01</v>
      </c>
      <c r="AY3108">
        <v>92</v>
      </c>
      <c r="AZ3108">
        <v>6.49</v>
      </c>
      <c r="BA3108">
        <v>74</v>
      </c>
      <c r="BB3108">
        <v>6.48</v>
      </c>
      <c r="BC3108">
        <v>80</v>
      </c>
      <c r="BD3108">
        <v>0.02</v>
      </c>
      <c r="BE3108">
        <v>0.02</v>
      </c>
      <c r="BF3108">
        <v>0.12</v>
      </c>
      <c r="BG3108">
        <v>92</v>
      </c>
      <c r="BH3108">
        <v>0.06</v>
      </c>
      <c r="BI3108">
        <v>4.72</v>
      </c>
      <c r="BJ3108">
        <v>46</v>
      </c>
      <c r="BK3108">
        <v>28</v>
      </c>
      <c r="BL3108">
        <v>-2.79</v>
      </c>
      <c r="BM3108">
        <v>2.42</v>
      </c>
      <c r="BN3108">
        <v>-1.58</v>
      </c>
      <c r="BO3108">
        <v>-2.8</v>
      </c>
      <c r="BP3108">
        <v>0.55000000000000004</v>
      </c>
      <c r="BQ3108">
        <v>2.17</v>
      </c>
      <c r="BR3108">
        <v>-1.31</v>
      </c>
      <c r="BS3108">
        <v>-1.17</v>
      </c>
      <c r="BT3108">
        <v>-0.13</v>
      </c>
      <c r="BU3108">
        <v>-2.88</v>
      </c>
      <c r="BV3108">
        <v>-2.82</v>
      </c>
      <c r="BW3108">
        <v>-2</v>
      </c>
      <c r="BX3108">
        <v>-2.16</v>
      </c>
      <c r="BY3108">
        <v>-0.23</v>
      </c>
      <c r="BZ3108">
        <v>0.82</v>
      </c>
      <c r="CA3108">
        <v>-2.83</v>
      </c>
      <c r="CB3108">
        <v>-2.58</v>
      </c>
      <c r="CC3108">
        <v>-2.02</v>
      </c>
      <c r="CD3108">
        <v>3.75</v>
      </c>
      <c r="CE3108">
        <v>-2.8</v>
      </c>
      <c r="CF3108">
        <v>-1.93</v>
      </c>
      <c r="CG3108">
        <v>0</v>
      </c>
      <c r="CH3108">
        <v>-1.26</v>
      </c>
      <c r="CI3108">
        <v>0</v>
      </c>
      <c r="CJ3108">
        <v>-2.6</v>
      </c>
      <c r="CK3108">
        <v>98</v>
      </c>
      <c r="CL3108">
        <v>0.19</v>
      </c>
      <c r="CM3108">
        <v>97</v>
      </c>
      <c r="CN3108">
        <v>-0.2</v>
      </c>
      <c r="CO3108">
        <v>97</v>
      </c>
      <c r="CP3108">
        <v>-11.3</v>
      </c>
      <c r="CQ3108">
        <v>97</v>
      </c>
      <c r="CR3108">
        <v>0</v>
      </c>
      <c r="CS3108">
        <v>0</v>
      </c>
      <c r="CT3108">
        <v>-9.9</v>
      </c>
      <c r="CU3108">
        <v>92</v>
      </c>
      <c r="CV3108">
        <v>-0.14000000000000001</v>
      </c>
      <c r="CW3108">
        <v>28</v>
      </c>
      <c r="CX3108" t="s">
        <v>479</v>
      </c>
    </row>
    <row r="3109" spans="1:102" x14ac:dyDescent="0.3">
      <c r="A3109" t="str">
        <f>HYPERLINK("https://webapp.icbf.com/v2/app/bull-search/view/77855332","MPC")</f>
        <v>MPC</v>
      </c>
      <c r="B3109" t="s">
        <v>3602</v>
      </c>
      <c r="C3109" t="s">
        <v>3603</v>
      </c>
      <c r="D3109" s="1">
        <v>35684</v>
      </c>
      <c r="E3109" t="s">
        <v>92</v>
      </c>
      <c r="F3109">
        <v>100</v>
      </c>
      <c r="G3109" t="s">
        <v>93</v>
      </c>
      <c r="H3109">
        <v>-12.22</v>
      </c>
      <c r="I3109">
        <v>89</v>
      </c>
      <c r="J3109">
        <v>-10.29</v>
      </c>
      <c r="K3109">
        <v>98</v>
      </c>
      <c r="L3109">
        <v>-20.6</v>
      </c>
      <c r="M3109">
        <v>83</v>
      </c>
      <c r="N3109">
        <v>1.62</v>
      </c>
      <c r="O3109">
        <v>84</v>
      </c>
      <c r="P3109">
        <v>-1.32</v>
      </c>
      <c r="Q3109">
        <v>91</v>
      </c>
      <c r="R3109">
        <v>9.23</v>
      </c>
      <c r="S3109">
        <v>82</v>
      </c>
      <c r="T3109">
        <v>6.57</v>
      </c>
      <c r="U3109">
        <v>87</v>
      </c>
      <c r="V3109">
        <v>2.57</v>
      </c>
      <c r="W3109">
        <v>76</v>
      </c>
      <c r="X3109" t="s">
        <v>94</v>
      </c>
      <c r="Y3109" t="s">
        <v>95</v>
      </c>
      <c r="Z3109" t="s">
        <v>96</v>
      </c>
      <c r="AA3109" t="s">
        <v>751</v>
      </c>
      <c r="AB3109" t="s">
        <v>3604</v>
      </c>
      <c r="AC3109">
        <v>145</v>
      </c>
      <c r="AD3109">
        <v>124</v>
      </c>
      <c r="AE3109">
        <v>98</v>
      </c>
      <c r="AF3109">
        <v>105.95</v>
      </c>
      <c r="AG3109">
        <v>-4.29</v>
      </c>
      <c r="AH3109">
        <v>1.39</v>
      </c>
      <c r="AI3109">
        <v>-0.14000000000000001</v>
      </c>
      <c r="AJ3109">
        <v>-0.04</v>
      </c>
      <c r="AK3109">
        <v>83</v>
      </c>
      <c r="AL3109">
        <v>144</v>
      </c>
      <c r="AM3109">
        <v>121</v>
      </c>
      <c r="AN3109">
        <v>0.56000000000000005</v>
      </c>
      <c r="AO3109">
        <v>-1.0900000000000001</v>
      </c>
      <c r="AP3109">
        <v>26</v>
      </c>
      <c r="AQ3109">
        <v>0</v>
      </c>
      <c r="AR3109">
        <v>9.24</v>
      </c>
      <c r="AS3109">
        <v>73</v>
      </c>
      <c r="AT3109">
        <v>4.0999999999999996</v>
      </c>
      <c r="AU3109">
        <v>85</v>
      </c>
      <c r="AV3109">
        <v>-1.64</v>
      </c>
      <c r="AW3109">
        <v>88</v>
      </c>
      <c r="AX3109">
        <v>-0.34</v>
      </c>
      <c r="AY3109">
        <v>85</v>
      </c>
      <c r="AZ3109">
        <v>5.91</v>
      </c>
      <c r="BA3109">
        <v>69</v>
      </c>
      <c r="BB3109">
        <v>4.75</v>
      </c>
      <c r="BC3109">
        <v>77</v>
      </c>
      <c r="BD3109">
        <v>-0.02</v>
      </c>
      <c r="BE3109">
        <v>-0.01</v>
      </c>
      <c r="BF3109">
        <v>-0.16</v>
      </c>
      <c r="BG3109">
        <v>92</v>
      </c>
      <c r="BH3109">
        <v>0.05</v>
      </c>
      <c r="BI3109">
        <v>-2.5099999999999998</v>
      </c>
      <c r="BJ3109">
        <v>28</v>
      </c>
      <c r="BK3109">
        <v>25</v>
      </c>
      <c r="BL3109">
        <v>-0.6</v>
      </c>
      <c r="BM3109">
        <v>0.75</v>
      </c>
      <c r="BN3109">
        <v>0.06</v>
      </c>
      <c r="BO3109">
        <v>-0.63</v>
      </c>
      <c r="BP3109">
        <v>-0.28000000000000003</v>
      </c>
      <c r="BQ3109">
        <v>0.74</v>
      </c>
      <c r="BR3109">
        <v>2.81</v>
      </c>
      <c r="BS3109">
        <v>-2.3199999999999998</v>
      </c>
      <c r="BT3109">
        <v>-1.87</v>
      </c>
      <c r="BU3109">
        <v>-0.94</v>
      </c>
      <c r="BV3109">
        <v>-0.08</v>
      </c>
      <c r="BW3109">
        <v>-1.25</v>
      </c>
      <c r="BX3109">
        <v>-1.18</v>
      </c>
      <c r="BY3109">
        <v>-1.07</v>
      </c>
      <c r="BZ3109">
        <v>-1.94</v>
      </c>
      <c r="CA3109">
        <v>-1.35</v>
      </c>
      <c r="CB3109">
        <v>-0.69</v>
      </c>
      <c r="CC3109">
        <v>-2.13</v>
      </c>
      <c r="CD3109">
        <v>0.24</v>
      </c>
      <c r="CE3109">
        <v>-1.1100000000000001</v>
      </c>
      <c r="CF3109">
        <v>-1.1100000000000001</v>
      </c>
      <c r="CG3109">
        <v>0</v>
      </c>
      <c r="CH3109">
        <v>-1.0900000000000001</v>
      </c>
      <c r="CI3109">
        <v>0</v>
      </c>
      <c r="CJ3109">
        <v>1.7</v>
      </c>
      <c r="CK3109">
        <v>92</v>
      </c>
      <c r="CL3109">
        <v>-0.52</v>
      </c>
      <c r="CM3109">
        <v>90</v>
      </c>
      <c r="CN3109">
        <v>-0.2</v>
      </c>
      <c r="CO3109">
        <v>89</v>
      </c>
      <c r="CP3109">
        <v>-4.3</v>
      </c>
      <c r="CQ3109">
        <v>93</v>
      </c>
      <c r="CR3109">
        <v>0</v>
      </c>
      <c r="CS3109">
        <v>0</v>
      </c>
      <c r="CT3109">
        <v>4.9000000000000004</v>
      </c>
      <c r="CU3109">
        <v>87</v>
      </c>
      <c r="CV3109">
        <v>0.18</v>
      </c>
      <c r="CW3109">
        <v>44</v>
      </c>
      <c r="CX3109" t="s">
        <v>485</v>
      </c>
    </row>
    <row r="3110" spans="1:102" x14ac:dyDescent="0.3">
      <c r="A3110" t="str">
        <f>HYPERLINK("https://webapp.icbf.com/v2/app/bull-search/view/660260615","S1038")</f>
        <v>S1038</v>
      </c>
      <c r="B3110" t="s">
        <v>7851</v>
      </c>
      <c r="C3110" t="s">
        <v>3101</v>
      </c>
      <c r="D3110" s="1">
        <v>38687</v>
      </c>
      <c r="E3110" t="s">
        <v>92</v>
      </c>
      <c r="F3110">
        <v>100</v>
      </c>
      <c r="G3110" t="s">
        <v>93</v>
      </c>
      <c r="H3110">
        <v>-12.25</v>
      </c>
      <c r="I3110">
        <v>93</v>
      </c>
      <c r="J3110">
        <v>39.14</v>
      </c>
      <c r="K3110">
        <v>98</v>
      </c>
      <c r="L3110">
        <v>-55.55</v>
      </c>
      <c r="M3110">
        <v>92</v>
      </c>
      <c r="N3110">
        <v>2.1800000000000002</v>
      </c>
      <c r="O3110">
        <v>92</v>
      </c>
      <c r="P3110">
        <v>-4.07</v>
      </c>
      <c r="Q3110">
        <v>95</v>
      </c>
      <c r="R3110">
        <v>16.760000000000002</v>
      </c>
      <c r="S3110">
        <v>83</v>
      </c>
      <c r="T3110">
        <v>-10.96</v>
      </c>
      <c r="U3110">
        <v>88</v>
      </c>
      <c r="V3110">
        <v>0.25</v>
      </c>
      <c r="W3110">
        <v>75</v>
      </c>
      <c r="X3110" t="s">
        <v>276</v>
      </c>
      <c r="Y3110" t="s">
        <v>336</v>
      </c>
      <c r="Z3110" t="s">
        <v>96</v>
      </c>
      <c r="AA3110" t="s">
        <v>309</v>
      </c>
      <c r="AB3110" t="s">
        <v>7852</v>
      </c>
      <c r="AC3110">
        <v>355</v>
      </c>
      <c r="AD3110">
        <v>118</v>
      </c>
      <c r="AE3110">
        <v>98</v>
      </c>
      <c r="AF3110">
        <v>164.97</v>
      </c>
      <c r="AG3110">
        <v>7.13</v>
      </c>
      <c r="AH3110">
        <v>6.66</v>
      </c>
      <c r="AI3110">
        <v>0.01</v>
      </c>
      <c r="AJ3110">
        <v>0.02</v>
      </c>
      <c r="AK3110">
        <v>92</v>
      </c>
      <c r="AL3110">
        <v>213</v>
      </c>
      <c r="AM3110">
        <v>85</v>
      </c>
      <c r="AN3110">
        <v>3.83</v>
      </c>
      <c r="AO3110">
        <v>-0.59</v>
      </c>
      <c r="AP3110">
        <v>621</v>
      </c>
      <c r="AQ3110">
        <v>2</v>
      </c>
      <c r="AR3110">
        <v>7.37</v>
      </c>
      <c r="AS3110">
        <v>88</v>
      </c>
      <c r="AT3110">
        <v>3.93</v>
      </c>
      <c r="AU3110">
        <v>96</v>
      </c>
      <c r="AV3110">
        <v>-1.23</v>
      </c>
      <c r="AW3110">
        <v>98</v>
      </c>
      <c r="AX3110">
        <v>-0.15</v>
      </c>
      <c r="AY3110">
        <v>93</v>
      </c>
      <c r="AZ3110">
        <v>6.33</v>
      </c>
      <c r="BA3110">
        <v>80</v>
      </c>
      <c r="BB3110">
        <v>5.27</v>
      </c>
      <c r="BC3110">
        <v>71</v>
      </c>
      <c r="BD3110">
        <v>-0.05</v>
      </c>
      <c r="BE3110">
        <v>-0.08</v>
      </c>
      <c r="BF3110">
        <v>-0.15</v>
      </c>
      <c r="BG3110">
        <v>95</v>
      </c>
      <c r="BH3110">
        <v>-0.05</v>
      </c>
      <c r="BI3110">
        <v>-6.58</v>
      </c>
      <c r="BJ3110">
        <v>164</v>
      </c>
      <c r="BK3110">
        <v>84</v>
      </c>
      <c r="BL3110">
        <v>2.48</v>
      </c>
      <c r="BM3110">
        <v>-0.42</v>
      </c>
      <c r="BN3110">
        <v>1.37</v>
      </c>
      <c r="BO3110">
        <v>1.54</v>
      </c>
      <c r="BP3110">
        <v>0.75</v>
      </c>
      <c r="BQ3110">
        <v>1.72</v>
      </c>
      <c r="BR3110">
        <v>-0.86</v>
      </c>
      <c r="BS3110">
        <v>2.5499999999999998</v>
      </c>
      <c r="BT3110">
        <v>1.89</v>
      </c>
      <c r="BU3110">
        <v>2.74</v>
      </c>
      <c r="BV3110">
        <v>3.01</v>
      </c>
      <c r="BW3110">
        <v>2.76</v>
      </c>
      <c r="BX3110">
        <v>2.4</v>
      </c>
      <c r="BY3110">
        <v>1.1499999999999999</v>
      </c>
      <c r="BZ3110">
        <v>-0.98</v>
      </c>
      <c r="CA3110">
        <v>2.64</v>
      </c>
      <c r="CB3110">
        <v>2.2999999999999998</v>
      </c>
      <c r="CC3110">
        <v>2.17</v>
      </c>
      <c r="CD3110">
        <v>-0.5</v>
      </c>
      <c r="CE3110">
        <v>1.45</v>
      </c>
      <c r="CF3110">
        <v>2.06</v>
      </c>
      <c r="CG3110">
        <v>0</v>
      </c>
      <c r="CH3110">
        <v>1.1100000000000001</v>
      </c>
      <c r="CI3110">
        <v>0</v>
      </c>
      <c r="CJ3110">
        <v>1.3</v>
      </c>
      <c r="CK3110">
        <v>96</v>
      </c>
      <c r="CL3110">
        <v>-1.39</v>
      </c>
      <c r="CM3110">
        <v>96</v>
      </c>
      <c r="CN3110">
        <v>-0.64</v>
      </c>
      <c r="CO3110">
        <v>95</v>
      </c>
      <c r="CP3110">
        <v>6.6</v>
      </c>
      <c r="CQ3110">
        <v>90</v>
      </c>
      <c r="CR3110">
        <v>0</v>
      </c>
      <c r="CS3110">
        <v>0</v>
      </c>
      <c r="CT3110">
        <v>28.6</v>
      </c>
      <c r="CU3110">
        <v>88</v>
      </c>
      <c r="CV3110">
        <v>0.34</v>
      </c>
      <c r="CW3110">
        <v>45</v>
      </c>
      <c r="CX3110" t="s">
        <v>7361</v>
      </c>
    </row>
    <row r="3111" spans="1:102" x14ac:dyDescent="0.3">
      <c r="A3111" t="str">
        <f>HYPERLINK("https://webapp.icbf.com/v2/app/bull-search/view/395533501","TKZ")</f>
        <v>TKZ</v>
      </c>
      <c r="B3111" t="s">
        <v>1364</v>
      </c>
      <c r="C3111" t="s">
        <v>1365</v>
      </c>
      <c r="D3111" s="1">
        <v>35930</v>
      </c>
      <c r="E3111" t="s">
        <v>92</v>
      </c>
      <c r="F3111">
        <v>100</v>
      </c>
      <c r="G3111" t="s">
        <v>93</v>
      </c>
      <c r="H3111">
        <v>-12.3</v>
      </c>
      <c r="I3111">
        <v>87</v>
      </c>
      <c r="J3111">
        <v>39.57</v>
      </c>
      <c r="K3111">
        <v>95</v>
      </c>
      <c r="L3111">
        <v>-63.92</v>
      </c>
      <c r="M3111">
        <v>86</v>
      </c>
      <c r="N3111">
        <v>20.41</v>
      </c>
      <c r="O3111">
        <v>81</v>
      </c>
      <c r="P3111">
        <v>-10.23</v>
      </c>
      <c r="Q3111">
        <v>89</v>
      </c>
      <c r="R3111">
        <v>6.97</v>
      </c>
      <c r="S3111">
        <v>79</v>
      </c>
      <c r="T3111">
        <v>-2.31</v>
      </c>
      <c r="U3111">
        <v>80</v>
      </c>
      <c r="V3111">
        <v>-2.79</v>
      </c>
      <c r="W3111">
        <v>70</v>
      </c>
      <c r="X3111" t="s">
        <v>276</v>
      </c>
      <c r="Y3111" t="s">
        <v>95</v>
      </c>
      <c r="Z3111" t="s">
        <v>96</v>
      </c>
      <c r="AA3111" t="s">
        <v>1366</v>
      </c>
      <c r="AB3111" t="s">
        <v>1367</v>
      </c>
      <c r="AC3111">
        <v>61</v>
      </c>
      <c r="AD3111">
        <v>36</v>
      </c>
      <c r="AE3111">
        <v>95</v>
      </c>
      <c r="AF3111">
        <v>-144.56</v>
      </c>
      <c r="AG3111">
        <v>10.34</v>
      </c>
      <c r="AH3111">
        <v>0.86</v>
      </c>
      <c r="AI3111">
        <v>0.28999999999999998</v>
      </c>
      <c r="AJ3111">
        <v>0.1</v>
      </c>
      <c r="AK3111">
        <v>86</v>
      </c>
      <c r="AL3111">
        <v>60</v>
      </c>
      <c r="AM3111">
        <v>38</v>
      </c>
      <c r="AN3111">
        <v>4.09</v>
      </c>
      <c r="AO3111">
        <v>-1</v>
      </c>
      <c r="AP3111">
        <v>111</v>
      </c>
      <c r="AQ3111">
        <v>1</v>
      </c>
      <c r="AR3111">
        <v>5.45</v>
      </c>
      <c r="AS3111">
        <v>64</v>
      </c>
      <c r="AT3111">
        <v>2.25</v>
      </c>
      <c r="AU3111">
        <v>91</v>
      </c>
      <c r="AV3111">
        <v>-0.84</v>
      </c>
      <c r="AW3111">
        <v>90</v>
      </c>
      <c r="AX3111">
        <v>-0.84</v>
      </c>
      <c r="AY3111">
        <v>76</v>
      </c>
      <c r="AZ3111">
        <v>6.26</v>
      </c>
      <c r="BA3111">
        <v>54</v>
      </c>
      <c r="BB3111">
        <v>5.1100000000000003</v>
      </c>
      <c r="BC3111">
        <v>55</v>
      </c>
      <c r="BD3111">
        <v>-0.02</v>
      </c>
      <c r="BE3111">
        <v>-0.03</v>
      </c>
      <c r="BF3111">
        <v>-7.0000000000000007E-2</v>
      </c>
      <c r="BG3111">
        <v>91</v>
      </c>
      <c r="BH3111">
        <v>-0.05</v>
      </c>
      <c r="BI3111">
        <v>3.23</v>
      </c>
      <c r="BJ3111">
        <v>6</v>
      </c>
      <c r="BK3111">
        <v>2</v>
      </c>
      <c r="BL3111">
        <v>-0.21</v>
      </c>
      <c r="BM3111">
        <v>1.35</v>
      </c>
      <c r="BN3111">
        <v>1.2</v>
      </c>
      <c r="BO3111">
        <v>-0.3</v>
      </c>
      <c r="BP3111">
        <v>-0.74</v>
      </c>
      <c r="BQ3111">
        <v>-0.25</v>
      </c>
      <c r="BR3111">
        <v>1.7</v>
      </c>
      <c r="BS3111">
        <v>-0.55000000000000004</v>
      </c>
      <c r="BT3111">
        <v>-1.64</v>
      </c>
      <c r="BU3111">
        <v>0.49</v>
      </c>
      <c r="BV3111">
        <v>0.71</v>
      </c>
      <c r="BW3111">
        <v>-0.87</v>
      </c>
      <c r="BX3111">
        <v>-0.13</v>
      </c>
      <c r="BY3111">
        <v>-0.28000000000000003</v>
      </c>
      <c r="BZ3111">
        <v>-0.51</v>
      </c>
      <c r="CA3111">
        <v>-0.13</v>
      </c>
      <c r="CB3111">
        <v>0.39</v>
      </c>
      <c r="CC3111">
        <v>-0.93</v>
      </c>
      <c r="CD3111">
        <v>0.72</v>
      </c>
      <c r="CE3111">
        <v>-0.23</v>
      </c>
      <c r="CF3111">
        <v>0.25</v>
      </c>
      <c r="CG3111">
        <v>0</v>
      </c>
      <c r="CH3111">
        <v>-0.11</v>
      </c>
      <c r="CI3111">
        <v>0</v>
      </c>
      <c r="CJ3111">
        <v>-1.8</v>
      </c>
      <c r="CK3111">
        <v>90</v>
      </c>
      <c r="CL3111">
        <v>-0.87</v>
      </c>
      <c r="CM3111">
        <v>88</v>
      </c>
      <c r="CN3111">
        <v>-0.05</v>
      </c>
      <c r="CO3111">
        <v>86</v>
      </c>
      <c r="CP3111">
        <v>4.3</v>
      </c>
      <c r="CQ3111">
        <v>86</v>
      </c>
      <c r="CR3111">
        <v>0</v>
      </c>
      <c r="CS3111">
        <v>0</v>
      </c>
      <c r="CT3111">
        <v>16.899999999999999</v>
      </c>
      <c r="CU3111">
        <v>80</v>
      </c>
      <c r="CV3111">
        <v>0.18</v>
      </c>
      <c r="CW3111">
        <v>43</v>
      </c>
      <c r="CX3111" t="s">
        <v>1368</v>
      </c>
    </row>
    <row r="3112" spans="1:102" x14ac:dyDescent="0.3">
      <c r="A3112" t="str">
        <f>HYPERLINK("https://webapp.icbf.com/v2/app/bull-search/view/1455647943","MO4144")</f>
        <v>MO4144</v>
      </c>
      <c r="B3112" t="s">
        <v>13799</v>
      </c>
      <c r="C3112" t="s">
        <v>13800</v>
      </c>
      <c r="D3112" s="1">
        <v>41629</v>
      </c>
      <c r="E3112" t="s">
        <v>140</v>
      </c>
      <c r="F3112">
        <v>0</v>
      </c>
      <c r="G3112" t="s">
        <v>109</v>
      </c>
      <c r="H3112">
        <v>-12.3</v>
      </c>
      <c r="I3112">
        <v>61</v>
      </c>
      <c r="J3112">
        <v>16.8</v>
      </c>
      <c r="K3112">
        <v>81</v>
      </c>
      <c r="L3112">
        <v>-20.62</v>
      </c>
      <c r="M3112">
        <v>47</v>
      </c>
      <c r="N3112">
        <v>-32.07</v>
      </c>
      <c r="O3112">
        <v>74</v>
      </c>
      <c r="P3112">
        <v>22.82</v>
      </c>
      <c r="Q3112">
        <v>63</v>
      </c>
      <c r="R3112">
        <v>5.63</v>
      </c>
      <c r="S3112">
        <v>46</v>
      </c>
      <c r="T3112">
        <v>1.76</v>
      </c>
      <c r="U3112">
        <v>39</v>
      </c>
      <c r="V3112">
        <v>-6.62</v>
      </c>
      <c r="W3112">
        <v>44</v>
      </c>
      <c r="X3112" t="s">
        <v>102</v>
      </c>
      <c r="Y3112" t="s">
        <v>1775</v>
      </c>
      <c r="Z3112">
        <v>0</v>
      </c>
      <c r="AA3112" t="s">
        <v>13801</v>
      </c>
      <c r="AB3112" t="s">
        <v>13802</v>
      </c>
      <c r="AC3112">
        <v>0</v>
      </c>
      <c r="AD3112">
        <v>0</v>
      </c>
      <c r="AE3112">
        <v>81</v>
      </c>
      <c r="AF3112">
        <v>136.43</v>
      </c>
      <c r="AG3112">
        <v>2.9</v>
      </c>
      <c r="AH3112">
        <v>3.92</v>
      </c>
      <c r="AI3112">
        <v>-0.05</v>
      </c>
      <c r="AJ3112">
        <v>-0.01</v>
      </c>
      <c r="AK3112">
        <v>47</v>
      </c>
      <c r="AL3112">
        <v>0</v>
      </c>
      <c r="AM3112">
        <v>0</v>
      </c>
      <c r="AN3112">
        <v>2.99</v>
      </c>
      <c r="AO3112">
        <v>1.37</v>
      </c>
      <c r="AP3112">
        <v>180</v>
      </c>
      <c r="AQ3112">
        <v>0</v>
      </c>
      <c r="AR3112">
        <v>9.84</v>
      </c>
      <c r="AS3112">
        <v>59</v>
      </c>
      <c r="AT3112">
        <v>5.17</v>
      </c>
      <c r="AU3112">
        <v>81</v>
      </c>
      <c r="AV3112">
        <v>1.51</v>
      </c>
      <c r="AW3112">
        <v>93</v>
      </c>
      <c r="AX3112">
        <v>-0.11</v>
      </c>
      <c r="AY3112">
        <v>74</v>
      </c>
      <c r="AZ3112">
        <v>5</v>
      </c>
      <c r="BA3112">
        <v>28</v>
      </c>
      <c r="BB3112">
        <v>3.57</v>
      </c>
      <c r="BC3112">
        <v>26</v>
      </c>
      <c r="BD3112">
        <v>0.04</v>
      </c>
      <c r="BE3112">
        <v>-0.04</v>
      </c>
      <c r="BF3112">
        <v>-0.12</v>
      </c>
      <c r="BG3112">
        <v>51</v>
      </c>
      <c r="BH3112">
        <v>-0.32</v>
      </c>
      <c r="BI3112">
        <v>-15.65</v>
      </c>
      <c r="BJ3112">
        <v>0</v>
      </c>
      <c r="BK3112">
        <v>0</v>
      </c>
      <c r="BL3112">
        <v>-0.74</v>
      </c>
      <c r="BM3112">
        <v>3.57</v>
      </c>
      <c r="BN3112">
        <v>-1.51</v>
      </c>
      <c r="BO3112">
        <v>-2.93</v>
      </c>
      <c r="BP3112">
        <v>4.07</v>
      </c>
      <c r="BQ3112">
        <v>-1.7</v>
      </c>
      <c r="BR3112">
        <v>-2.48</v>
      </c>
      <c r="BS3112">
        <v>-0.28000000000000003</v>
      </c>
      <c r="BT3112">
        <v>2.39</v>
      </c>
      <c r="BU3112">
        <v>-3.29</v>
      </c>
      <c r="BV3112">
        <v>-3.73</v>
      </c>
      <c r="BW3112">
        <v>-2.81</v>
      </c>
      <c r="BX3112">
        <v>-2.7</v>
      </c>
      <c r="BY3112">
        <v>-1.89</v>
      </c>
      <c r="BZ3112">
        <v>1.1100000000000001</v>
      </c>
      <c r="CA3112">
        <v>-2.37</v>
      </c>
      <c r="CB3112">
        <v>-3.06</v>
      </c>
      <c r="CC3112">
        <v>-0.32</v>
      </c>
      <c r="CD3112">
        <v>3.83</v>
      </c>
      <c r="CE3112">
        <v>-2.86</v>
      </c>
      <c r="CF3112">
        <v>-0.93</v>
      </c>
      <c r="CG3112">
        <v>0</v>
      </c>
      <c r="CH3112">
        <v>-2.5099999999999998</v>
      </c>
      <c r="CI3112">
        <v>0</v>
      </c>
      <c r="CJ3112">
        <v>10.8</v>
      </c>
      <c r="CK3112">
        <v>68</v>
      </c>
      <c r="CL3112">
        <v>0.14000000000000001</v>
      </c>
      <c r="CM3112">
        <v>62</v>
      </c>
      <c r="CN3112">
        <v>-0.45</v>
      </c>
      <c r="CO3112">
        <v>59</v>
      </c>
      <c r="CP3112">
        <v>8</v>
      </c>
      <c r="CQ3112">
        <v>43</v>
      </c>
      <c r="CR3112">
        <v>0</v>
      </c>
      <c r="CS3112">
        <v>0</v>
      </c>
      <c r="CT3112">
        <v>11.4</v>
      </c>
      <c r="CU3112">
        <v>39</v>
      </c>
      <c r="CV3112">
        <v>0.24</v>
      </c>
      <c r="CW3112">
        <v>39</v>
      </c>
      <c r="CX3112" t="s">
        <v>13803</v>
      </c>
    </row>
    <row r="3113" spans="1:102" x14ac:dyDescent="0.3">
      <c r="A3113" t="str">
        <f>HYPERLINK("https://webapp.icbf.com/v2/app/bull-search/view/379835230","BWK")</f>
        <v>BWK</v>
      </c>
      <c r="B3113" t="s">
        <v>8956</v>
      </c>
      <c r="C3113" t="s">
        <v>8957</v>
      </c>
      <c r="D3113" s="1">
        <v>35993</v>
      </c>
      <c r="E3113" t="s">
        <v>92</v>
      </c>
      <c r="F3113">
        <v>88</v>
      </c>
      <c r="G3113" t="s">
        <v>109</v>
      </c>
      <c r="H3113">
        <v>-12.33</v>
      </c>
      <c r="I3113">
        <v>80</v>
      </c>
      <c r="J3113">
        <v>20.100000000000001</v>
      </c>
      <c r="K3113">
        <v>93</v>
      </c>
      <c r="L3113">
        <v>-61.07</v>
      </c>
      <c r="M3113">
        <v>80</v>
      </c>
      <c r="N3113">
        <v>20.52</v>
      </c>
      <c r="O3113">
        <v>69</v>
      </c>
      <c r="P3113">
        <v>-12.87</v>
      </c>
      <c r="Q3113">
        <v>66</v>
      </c>
      <c r="R3113">
        <v>-9.34</v>
      </c>
      <c r="S3113">
        <v>78</v>
      </c>
      <c r="T3113">
        <v>21.6</v>
      </c>
      <c r="U3113">
        <v>66</v>
      </c>
      <c r="V3113">
        <v>8.73</v>
      </c>
      <c r="W3113">
        <v>69</v>
      </c>
      <c r="X3113" t="s">
        <v>302</v>
      </c>
      <c r="Y3113" t="s">
        <v>95</v>
      </c>
      <c r="Z3113" t="s">
        <v>96</v>
      </c>
      <c r="AA3113" t="s">
        <v>2438</v>
      </c>
      <c r="AB3113" t="s">
        <v>6714</v>
      </c>
      <c r="AC3113">
        <v>0</v>
      </c>
      <c r="AD3113">
        <v>0</v>
      </c>
      <c r="AE3113">
        <v>93</v>
      </c>
      <c r="AF3113">
        <v>-114.77</v>
      </c>
      <c r="AG3113">
        <v>0.77</v>
      </c>
      <c r="AH3113">
        <v>1.39</v>
      </c>
      <c r="AI3113">
        <v>0.09</v>
      </c>
      <c r="AJ3113">
        <v>0.09</v>
      </c>
      <c r="AK3113">
        <v>80</v>
      </c>
      <c r="AL3113">
        <v>0</v>
      </c>
      <c r="AM3113">
        <v>0</v>
      </c>
      <c r="AN3113">
        <v>2.59</v>
      </c>
      <c r="AO3113">
        <v>-2.29</v>
      </c>
      <c r="AP3113">
        <v>11</v>
      </c>
      <c r="AQ3113">
        <v>0</v>
      </c>
      <c r="AR3113">
        <v>4.84</v>
      </c>
      <c r="AS3113">
        <v>61</v>
      </c>
      <c r="AT3113">
        <v>2.4500000000000002</v>
      </c>
      <c r="AU3113">
        <v>82</v>
      </c>
      <c r="AV3113">
        <v>-1.62</v>
      </c>
      <c r="AW3113">
        <v>72</v>
      </c>
      <c r="AX3113">
        <v>-0.1</v>
      </c>
      <c r="AY3113">
        <v>58</v>
      </c>
      <c r="AZ3113">
        <v>8.06</v>
      </c>
      <c r="BA3113">
        <v>53</v>
      </c>
      <c r="BB3113">
        <v>5.35</v>
      </c>
      <c r="BC3113">
        <v>55</v>
      </c>
      <c r="BD3113">
        <v>-0.02</v>
      </c>
      <c r="BE3113">
        <v>0.02</v>
      </c>
      <c r="BF3113">
        <v>0.21</v>
      </c>
      <c r="BG3113">
        <v>90</v>
      </c>
      <c r="BH3113">
        <v>0.32</v>
      </c>
      <c r="BI3113">
        <v>8.84</v>
      </c>
      <c r="BJ3113">
        <v>0</v>
      </c>
      <c r="BK3113">
        <v>0</v>
      </c>
      <c r="BL3113">
        <v>-1.1100000000000001</v>
      </c>
      <c r="BM3113">
        <v>0</v>
      </c>
      <c r="BN3113">
        <v>-0.39</v>
      </c>
      <c r="BO3113">
        <v>-0.05</v>
      </c>
      <c r="BP3113">
        <v>-1.07</v>
      </c>
      <c r="BQ3113">
        <v>-1.1399999999999999</v>
      </c>
      <c r="BR3113">
        <v>-0.06</v>
      </c>
      <c r="BS3113">
        <v>-0.45</v>
      </c>
      <c r="BT3113">
        <v>-0.16</v>
      </c>
      <c r="BU3113">
        <v>-1.27</v>
      </c>
      <c r="BV3113">
        <v>-0.79</v>
      </c>
      <c r="BW3113">
        <v>-0.73</v>
      </c>
      <c r="BX3113">
        <v>-3.11</v>
      </c>
      <c r="BY3113">
        <v>-0.11</v>
      </c>
      <c r="BZ3113">
        <v>-1.49</v>
      </c>
      <c r="CA3113">
        <v>-0.81</v>
      </c>
      <c r="CB3113">
        <v>-0.76</v>
      </c>
      <c r="CC3113">
        <v>-0.71</v>
      </c>
      <c r="CD3113">
        <v>-0.51</v>
      </c>
      <c r="CE3113">
        <v>-0.34</v>
      </c>
      <c r="CF3113">
        <v>-0.63</v>
      </c>
      <c r="CG3113">
        <v>0</v>
      </c>
      <c r="CH3113">
        <v>0.16</v>
      </c>
      <c r="CI3113">
        <v>0</v>
      </c>
      <c r="CJ3113">
        <v>-4.4000000000000004</v>
      </c>
      <c r="CK3113">
        <v>68</v>
      </c>
      <c r="CL3113">
        <v>-0.63</v>
      </c>
      <c r="CM3113">
        <v>64</v>
      </c>
      <c r="CN3113">
        <v>-0.18</v>
      </c>
      <c r="CO3113">
        <v>61</v>
      </c>
      <c r="CP3113">
        <v>-16</v>
      </c>
      <c r="CQ3113">
        <v>70</v>
      </c>
      <c r="CR3113">
        <v>0</v>
      </c>
      <c r="CS3113">
        <v>0</v>
      </c>
      <c r="CT3113">
        <v>-15.4</v>
      </c>
      <c r="CU3113">
        <v>66</v>
      </c>
      <c r="CV3113">
        <v>0.17</v>
      </c>
      <c r="CW3113">
        <v>39</v>
      </c>
      <c r="CX3113" t="s">
        <v>1625</v>
      </c>
    </row>
    <row r="3114" spans="1:102" x14ac:dyDescent="0.3">
      <c r="A3114" t="str">
        <f>HYPERLINK("https://webapp.icbf.com/v2/app/bull-search/view/77858938","CJS")</f>
        <v>CJS</v>
      </c>
      <c r="B3114" t="s">
        <v>258</v>
      </c>
      <c r="C3114" t="s">
        <v>259</v>
      </c>
      <c r="D3114" s="1">
        <v>32815</v>
      </c>
      <c r="E3114" t="s">
        <v>92</v>
      </c>
      <c r="F3114">
        <v>63</v>
      </c>
      <c r="G3114" t="s">
        <v>93</v>
      </c>
      <c r="H3114">
        <v>-12.36</v>
      </c>
      <c r="I3114">
        <v>61</v>
      </c>
      <c r="J3114">
        <v>-28.19</v>
      </c>
      <c r="K3114">
        <v>78</v>
      </c>
      <c r="L3114">
        <v>9.31</v>
      </c>
      <c r="M3114">
        <v>59</v>
      </c>
      <c r="N3114">
        <v>23.72</v>
      </c>
      <c r="O3114">
        <v>41</v>
      </c>
      <c r="P3114">
        <v>-14.32</v>
      </c>
      <c r="Q3114">
        <v>57</v>
      </c>
      <c r="R3114">
        <v>-3.45</v>
      </c>
      <c r="S3114">
        <v>60</v>
      </c>
      <c r="T3114">
        <v>4.28</v>
      </c>
      <c r="U3114">
        <v>50</v>
      </c>
      <c r="V3114">
        <v>-3.71</v>
      </c>
      <c r="W3114">
        <v>23</v>
      </c>
      <c r="X3114" t="s">
        <v>94</v>
      </c>
      <c r="Y3114" t="s">
        <v>95</v>
      </c>
      <c r="Z3114" t="s">
        <v>96</v>
      </c>
      <c r="AA3114" t="s">
        <v>260</v>
      </c>
      <c r="AB3114" t="s">
        <v>261</v>
      </c>
      <c r="AC3114">
        <v>22</v>
      </c>
      <c r="AD3114">
        <v>22</v>
      </c>
      <c r="AE3114">
        <v>78</v>
      </c>
      <c r="AF3114">
        <v>81.41</v>
      </c>
      <c r="AG3114">
        <v>1.73</v>
      </c>
      <c r="AH3114">
        <v>-4.16</v>
      </c>
      <c r="AI3114">
        <v>-0.02</v>
      </c>
      <c r="AJ3114">
        <v>-0.11</v>
      </c>
      <c r="AK3114">
        <v>59</v>
      </c>
      <c r="AL3114">
        <v>73</v>
      </c>
      <c r="AM3114">
        <v>58</v>
      </c>
      <c r="AN3114">
        <v>-1.48</v>
      </c>
      <c r="AO3114">
        <v>-0.75</v>
      </c>
      <c r="AP3114">
        <v>1</v>
      </c>
      <c r="AQ3114">
        <v>0</v>
      </c>
      <c r="AR3114">
        <v>5.35</v>
      </c>
      <c r="AS3114">
        <v>28</v>
      </c>
      <c r="AT3114">
        <v>2.4900000000000002</v>
      </c>
      <c r="AU3114">
        <v>38</v>
      </c>
      <c r="AV3114">
        <v>-1.1200000000000001</v>
      </c>
      <c r="AW3114">
        <v>46</v>
      </c>
      <c r="AX3114">
        <v>-0.36</v>
      </c>
      <c r="AY3114">
        <v>55</v>
      </c>
      <c r="AZ3114">
        <v>5.19</v>
      </c>
      <c r="BA3114">
        <v>25</v>
      </c>
      <c r="BB3114">
        <v>4.63</v>
      </c>
      <c r="BC3114">
        <v>36</v>
      </c>
      <c r="BD3114">
        <v>-0.01</v>
      </c>
      <c r="BE3114">
        <v>0.04</v>
      </c>
      <c r="BF3114">
        <v>0.02</v>
      </c>
      <c r="BG3114">
        <v>81</v>
      </c>
      <c r="BH3114">
        <v>-0.1</v>
      </c>
      <c r="BI3114">
        <v>0.41</v>
      </c>
      <c r="BJ3114">
        <v>17</v>
      </c>
      <c r="BK3114">
        <v>14</v>
      </c>
      <c r="BL3114">
        <v>-0.82</v>
      </c>
      <c r="BM3114">
        <v>2.14</v>
      </c>
      <c r="BN3114">
        <v>0.55000000000000004</v>
      </c>
      <c r="BO3114">
        <v>-1.27</v>
      </c>
      <c r="BP3114">
        <v>-3.02</v>
      </c>
      <c r="BQ3114">
        <v>1.64</v>
      </c>
      <c r="BR3114">
        <v>0.95</v>
      </c>
      <c r="BS3114">
        <v>0.3</v>
      </c>
      <c r="BT3114">
        <v>0.08</v>
      </c>
      <c r="BU3114">
        <v>0.09</v>
      </c>
      <c r="BV3114">
        <v>-0.86</v>
      </c>
      <c r="BW3114">
        <v>-1.06</v>
      </c>
      <c r="BX3114">
        <v>-0.51</v>
      </c>
      <c r="BY3114">
        <v>-0.38</v>
      </c>
      <c r="BZ3114">
        <v>-0.15</v>
      </c>
      <c r="CA3114">
        <v>-0.96</v>
      </c>
      <c r="CB3114">
        <v>-0.94</v>
      </c>
      <c r="CC3114">
        <v>-0.95</v>
      </c>
      <c r="CD3114">
        <v>1.85</v>
      </c>
      <c r="CE3114">
        <v>-1.17</v>
      </c>
      <c r="CF3114">
        <v>-0.34</v>
      </c>
      <c r="CG3114">
        <v>0</v>
      </c>
      <c r="CH3114">
        <v>-1.88</v>
      </c>
      <c r="CI3114">
        <v>0</v>
      </c>
      <c r="CJ3114">
        <v>-5.9</v>
      </c>
      <c r="CK3114">
        <v>58</v>
      </c>
      <c r="CL3114">
        <v>-0.52</v>
      </c>
      <c r="CM3114">
        <v>55</v>
      </c>
      <c r="CN3114">
        <v>0.05</v>
      </c>
      <c r="CO3114">
        <v>50</v>
      </c>
      <c r="CP3114">
        <v>-1.5</v>
      </c>
      <c r="CQ3114">
        <v>63</v>
      </c>
      <c r="CR3114">
        <v>0</v>
      </c>
      <c r="CS3114">
        <v>0</v>
      </c>
      <c r="CT3114">
        <v>8</v>
      </c>
      <c r="CU3114">
        <v>50</v>
      </c>
      <c r="CV3114">
        <v>0</v>
      </c>
      <c r="CW3114">
        <v>15</v>
      </c>
      <c r="CX3114" t="s">
        <v>262</v>
      </c>
    </row>
    <row r="3115" spans="1:102" x14ac:dyDescent="0.3">
      <c r="A3115" t="str">
        <f>HYPERLINK("https://webapp.icbf.com/v2/app/bull-search/view/668124810","SLG")</f>
        <v>SLG</v>
      </c>
      <c r="B3115" t="s">
        <v>5363</v>
      </c>
      <c r="C3115" t="s">
        <v>5364</v>
      </c>
      <c r="D3115" s="1">
        <v>39842</v>
      </c>
      <c r="E3115" t="s">
        <v>92</v>
      </c>
      <c r="F3115">
        <v>63</v>
      </c>
      <c r="G3115" t="s">
        <v>93</v>
      </c>
      <c r="H3115">
        <v>-12.36</v>
      </c>
      <c r="I3115">
        <v>86</v>
      </c>
      <c r="J3115">
        <v>-25.48</v>
      </c>
      <c r="K3115">
        <v>96</v>
      </c>
      <c r="L3115">
        <v>-30.46</v>
      </c>
      <c r="M3115">
        <v>74</v>
      </c>
      <c r="N3115">
        <v>26.21</v>
      </c>
      <c r="O3115">
        <v>87</v>
      </c>
      <c r="P3115">
        <v>-16.64</v>
      </c>
      <c r="Q3115">
        <v>96</v>
      </c>
      <c r="R3115">
        <v>9.89</v>
      </c>
      <c r="S3115">
        <v>76</v>
      </c>
      <c r="T3115">
        <v>28.11</v>
      </c>
      <c r="U3115">
        <v>93</v>
      </c>
      <c r="V3115">
        <v>-3.99</v>
      </c>
      <c r="W3115">
        <v>79</v>
      </c>
      <c r="X3115" t="s">
        <v>102</v>
      </c>
      <c r="Y3115" t="s">
        <v>1727</v>
      </c>
      <c r="Z3115" t="s">
        <v>96</v>
      </c>
      <c r="AA3115" t="s">
        <v>1376</v>
      </c>
      <c r="AB3115" t="s">
        <v>5365</v>
      </c>
      <c r="AC3115">
        <v>132</v>
      </c>
      <c r="AD3115">
        <v>91</v>
      </c>
      <c r="AE3115">
        <v>96</v>
      </c>
      <c r="AF3115">
        <v>24.49</v>
      </c>
      <c r="AG3115">
        <v>-7.57</v>
      </c>
      <c r="AH3115">
        <v>-1.28</v>
      </c>
      <c r="AI3115">
        <v>-0.14000000000000001</v>
      </c>
      <c r="AJ3115">
        <v>-0.04</v>
      </c>
      <c r="AK3115">
        <v>74</v>
      </c>
      <c r="AL3115">
        <v>157</v>
      </c>
      <c r="AM3115">
        <v>104</v>
      </c>
      <c r="AN3115">
        <v>0.82</v>
      </c>
      <c r="AO3115">
        <v>-1.62</v>
      </c>
      <c r="AP3115">
        <v>330</v>
      </c>
      <c r="AQ3115">
        <v>7</v>
      </c>
      <c r="AR3115">
        <v>7.65</v>
      </c>
      <c r="AS3115">
        <v>70</v>
      </c>
      <c r="AT3115">
        <v>2.96</v>
      </c>
      <c r="AU3115">
        <v>89</v>
      </c>
      <c r="AV3115">
        <v>-3.47</v>
      </c>
      <c r="AW3115">
        <v>97</v>
      </c>
      <c r="AX3115">
        <v>0.38</v>
      </c>
      <c r="AY3115">
        <v>87</v>
      </c>
      <c r="AZ3115">
        <v>6.38</v>
      </c>
      <c r="BA3115">
        <v>68</v>
      </c>
      <c r="BB3115">
        <v>5.34</v>
      </c>
      <c r="BC3115">
        <v>68</v>
      </c>
      <c r="BD3115">
        <v>-0.05</v>
      </c>
      <c r="BE3115">
        <v>-0.06</v>
      </c>
      <c r="BF3115">
        <v>-0.03</v>
      </c>
      <c r="BG3115">
        <v>86</v>
      </c>
      <c r="BH3115">
        <v>-0.02</v>
      </c>
      <c r="BI3115">
        <v>10.56</v>
      </c>
      <c r="BJ3115">
        <v>22</v>
      </c>
      <c r="BK3115">
        <v>13</v>
      </c>
      <c r="BL3115">
        <v>-1.49</v>
      </c>
      <c r="BM3115">
        <v>-0.14000000000000001</v>
      </c>
      <c r="BN3115">
        <v>-1.66</v>
      </c>
      <c r="BO3115">
        <v>-1.27</v>
      </c>
      <c r="BP3115">
        <v>-3.56</v>
      </c>
      <c r="BQ3115">
        <v>-1.66</v>
      </c>
      <c r="BR3115">
        <v>0.18</v>
      </c>
      <c r="BS3115">
        <v>-1.2</v>
      </c>
      <c r="BT3115">
        <v>-0.43</v>
      </c>
      <c r="BU3115">
        <v>-0.57999999999999996</v>
      </c>
      <c r="BV3115">
        <v>-0.94</v>
      </c>
      <c r="BW3115">
        <v>-0.98</v>
      </c>
      <c r="BX3115">
        <v>0.02</v>
      </c>
      <c r="BY3115">
        <v>-1.85</v>
      </c>
      <c r="BZ3115">
        <v>1.93</v>
      </c>
      <c r="CA3115">
        <v>-1.49</v>
      </c>
      <c r="CB3115">
        <v>-1.3</v>
      </c>
      <c r="CC3115">
        <v>-1.5</v>
      </c>
      <c r="CD3115">
        <v>0.62</v>
      </c>
      <c r="CE3115">
        <v>-1.61</v>
      </c>
      <c r="CF3115">
        <v>-2.17</v>
      </c>
      <c r="CG3115">
        <v>0</v>
      </c>
      <c r="CH3115">
        <v>-2.98</v>
      </c>
      <c r="CI3115">
        <v>0</v>
      </c>
      <c r="CJ3115">
        <v>-10.1</v>
      </c>
      <c r="CK3115">
        <v>97</v>
      </c>
      <c r="CL3115">
        <v>-0.47</v>
      </c>
      <c r="CM3115">
        <v>96</v>
      </c>
      <c r="CN3115">
        <v>-0.39</v>
      </c>
      <c r="CO3115">
        <v>95</v>
      </c>
      <c r="CP3115">
        <v>-16.100000000000001</v>
      </c>
      <c r="CQ3115">
        <v>92</v>
      </c>
      <c r="CR3115">
        <v>0</v>
      </c>
      <c r="CS3115">
        <v>0</v>
      </c>
      <c r="CT3115">
        <v>-24.2</v>
      </c>
      <c r="CU3115">
        <v>93</v>
      </c>
      <c r="CV3115">
        <v>-0.06</v>
      </c>
      <c r="CW3115">
        <v>29</v>
      </c>
      <c r="CX3115" t="s">
        <v>738</v>
      </c>
    </row>
    <row r="3116" spans="1:102" x14ac:dyDescent="0.3">
      <c r="A3116" t="str">
        <f>HYPERLINK("https://webapp.icbf.com/v2/app/bull-search/view/355535240","SYA")</f>
        <v>SYA</v>
      </c>
      <c r="B3116" t="s">
        <v>11303</v>
      </c>
      <c r="C3116" t="s">
        <v>11304</v>
      </c>
      <c r="D3116" s="1">
        <v>37513</v>
      </c>
      <c r="E3116" t="s">
        <v>92</v>
      </c>
      <c r="F3116">
        <v>100</v>
      </c>
      <c r="G3116" t="s">
        <v>109</v>
      </c>
      <c r="H3116">
        <v>-12.5</v>
      </c>
      <c r="I3116">
        <v>84</v>
      </c>
      <c r="J3116">
        <v>53</v>
      </c>
      <c r="K3116">
        <v>94</v>
      </c>
      <c r="L3116">
        <v>-75.61</v>
      </c>
      <c r="M3116">
        <v>79</v>
      </c>
      <c r="N3116">
        <v>17.02</v>
      </c>
      <c r="O3116">
        <v>77</v>
      </c>
      <c r="P3116">
        <v>-13.13</v>
      </c>
      <c r="Q3116">
        <v>86</v>
      </c>
      <c r="R3116">
        <v>-4.49</v>
      </c>
      <c r="S3116">
        <v>77</v>
      </c>
      <c r="T3116">
        <v>8.1999999999999993</v>
      </c>
      <c r="U3116">
        <v>81</v>
      </c>
      <c r="V3116">
        <v>2.5099999999999998</v>
      </c>
      <c r="W3116">
        <v>72</v>
      </c>
      <c r="X3116" t="s">
        <v>94</v>
      </c>
      <c r="Y3116" t="s">
        <v>171</v>
      </c>
      <c r="Z3116" t="s">
        <v>96</v>
      </c>
      <c r="AA3116" t="s">
        <v>4532</v>
      </c>
      <c r="AB3116" t="s">
        <v>11305</v>
      </c>
      <c r="AC3116">
        <v>33</v>
      </c>
      <c r="AD3116">
        <v>27</v>
      </c>
      <c r="AE3116">
        <v>94</v>
      </c>
      <c r="AF3116">
        <v>22.67</v>
      </c>
      <c r="AG3116">
        <v>10.94</v>
      </c>
      <c r="AH3116">
        <v>5.49</v>
      </c>
      <c r="AI3116">
        <v>0.17</v>
      </c>
      <c r="AJ3116">
        <v>0.08</v>
      </c>
      <c r="AK3116">
        <v>79</v>
      </c>
      <c r="AL3116">
        <v>36</v>
      </c>
      <c r="AM3116">
        <v>30</v>
      </c>
      <c r="AN3116">
        <v>4.8600000000000003</v>
      </c>
      <c r="AO3116">
        <v>-1.1599999999999999</v>
      </c>
      <c r="AP3116">
        <v>76</v>
      </c>
      <c r="AQ3116">
        <v>1</v>
      </c>
      <c r="AR3116">
        <v>7.18</v>
      </c>
      <c r="AS3116">
        <v>60</v>
      </c>
      <c r="AT3116">
        <v>3.52</v>
      </c>
      <c r="AU3116">
        <v>79</v>
      </c>
      <c r="AV3116">
        <v>-2.2200000000000002</v>
      </c>
      <c r="AW3116">
        <v>90</v>
      </c>
      <c r="AX3116">
        <v>0.56000000000000005</v>
      </c>
      <c r="AY3116">
        <v>71</v>
      </c>
      <c r="AZ3116">
        <v>5.45</v>
      </c>
      <c r="BA3116">
        <v>53</v>
      </c>
      <c r="BB3116">
        <v>4.62</v>
      </c>
      <c r="BC3116">
        <v>56</v>
      </c>
      <c r="BD3116">
        <v>-0.01</v>
      </c>
      <c r="BE3116">
        <v>0</v>
      </c>
      <c r="BF3116">
        <v>0.12</v>
      </c>
      <c r="BG3116">
        <v>86</v>
      </c>
      <c r="BH3116">
        <v>0.03</v>
      </c>
      <c r="BI3116">
        <v>-4.63</v>
      </c>
      <c r="BJ3116">
        <v>10</v>
      </c>
      <c r="BK3116">
        <v>8</v>
      </c>
      <c r="BL3116">
        <v>-0.12</v>
      </c>
      <c r="BM3116">
        <v>2.11</v>
      </c>
      <c r="BN3116">
        <v>0.81</v>
      </c>
      <c r="BO3116">
        <v>-0.38</v>
      </c>
      <c r="BP3116">
        <v>0.89</v>
      </c>
      <c r="BQ3116">
        <v>1.43</v>
      </c>
      <c r="BR3116">
        <v>-0.24</v>
      </c>
      <c r="BS3116">
        <v>-1.51</v>
      </c>
      <c r="BT3116">
        <v>-0.28000000000000003</v>
      </c>
      <c r="BU3116">
        <v>0.26</v>
      </c>
      <c r="BV3116">
        <v>-1.32</v>
      </c>
      <c r="BW3116">
        <v>-0.89</v>
      </c>
      <c r="BX3116">
        <v>-0.33</v>
      </c>
      <c r="BY3116">
        <v>-1.1000000000000001</v>
      </c>
      <c r="BZ3116">
        <v>-2.64</v>
      </c>
      <c r="CA3116">
        <v>-0.78</v>
      </c>
      <c r="CB3116">
        <v>-0.78</v>
      </c>
      <c r="CC3116">
        <v>-0.7</v>
      </c>
      <c r="CD3116">
        <v>0.1</v>
      </c>
      <c r="CE3116">
        <v>-0.11</v>
      </c>
      <c r="CF3116">
        <v>-0.28999999999999998</v>
      </c>
      <c r="CG3116">
        <v>0</v>
      </c>
      <c r="CH3116">
        <v>-0.91</v>
      </c>
      <c r="CI3116">
        <v>0</v>
      </c>
      <c r="CJ3116">
        <v>-4.4000000000000004</v>
      </c>
      <c r="CK3116">
        <v>87</v>
      </c>
      <c r="CL3116">
        <v>-0.8</v>
      </c>
      <c r="CM3116">
        <v>85</v>
      </c>
      <c r="CN3116">
        <v>-0.17</v>
      </c>
      <c r="CO3116">
        <v>83</v>
      </c>
      <c r="CP3116">
        <v>-5.3</v>
      </c>
      <c r="CQ3116">
        <v>82</v>
      </c>
      <c r="CR3116">
        <v>0</v>
      </c>
      <c r="CS3116">
        <v>0</v>
      </c>
      <c r="CT3116">
        <v>2.7</v>
      </c>
      <c r="CU3116">
        <v>81</v>
      </c>
      <c r="CV3116">
        <v>0.13</v>
      </c>
      <c r="CW3116">
        <v>44</v>
      </c>
      <c r="CX3116" t="s">
        <v>218</v>
      </c>
    </row>
    <row r="3117" spans="1:102" x14ac:dyDescent="0.3">
      <c r="A3117" t="str">
        <f>HYPERLINK("https://webapp.icbf.com/v2/app/bull-search/view/444518520","RZN")</f>
        <v>RZN</v>
      </c>
      <c r="B3117" t="s">
        <v>12225</v>
      </c>
      <c r="C3117" t="s">
        <v>2101</v>
      </c>
      <c r="D3117" s="1">
        <v>36672</v>
      </c>
      <c r="E3117" t="s">
        <v>140</v>
      </c>
      <c r="F3117">
        <v>0</v>
      </c>
      <c r="G3117" t="s">
        <v>93</v>
      </c>
      <c r="H3117">
        <v>-12.6</v>
      </c>
      <c r="I3117">
        <v>93</v>
      </c>
      <c r="J3117">
        <v>8.43</v>
      </c>
      <c r="K3117">
        <v>99</v>
      </c>
      <c r="L3117">
        <v>-3.68</v>
      </c>
      <c r="M3117">
        <v>87</v>
      </c>
      <c r="N3117">
        <v>-25.81</v>
      </c>
      <c r="O3117">
        <v>95</v>
      </c>
      <c r="P3117">
        <v>18.89</v>
      </c>
      <c r="Q3117">
        <v>98</v>
      </c>
      <c r="R3117">
        <v>11.38</v>
      </c>
      <c r="S3117">
        <v>87</v>
      </c>
      <c r="T3117">
        <v>-11.93</v>
      </c>
      <c r="U3117">
        <v>94</v>
      </c>
      <c r="V3117">
        <v>-9.8800000000000008</v>
      </c>
      <c r="W3117">
        <v>89</v>
      </c>
      <c r="X3117" t="s">
        <v>102</v>
      </c>
      <c r="Y3117" t="s">
        <v>221</v>
      </c>
      <c r="Z3117">
        <v>0</v>
      </c>
      <c r="AA3117" t="s">
        <v>222</v>
      </c>
      <c r="AB3117" t="s">
        <v>12226</v>
      </c>
      <c r="AC3117">
        <v>295</v>
      </c>
      <c r="AD3117">
        <v>64</v>
      </c>
      <c r="AE3117">
        <v>99</v>
      </c>
      <c r="AF3117">
        <v>73.16</v>
      </c>
      <c r="AG3117">
        <v>-0.47</v>
      </c>
      <c r="AH3117">
        <v>2.72</v>
      </c>
      <c r="AI3117">
        <v>-0.06</v>
      </c>
      <c r="AJ3117">
        <v>0</v>
      </c>
      <c r="AK3117">
        <v>87</v>
      </c>
      <c r="AL3117">
        <v>353</v>
      </c>
      <c r="AM3117">
        <v>113</v>
      </c>
      <c r="AN3117">
        <v>0.48</v>
      </c>
      <c r="AO3117">
        <v>0.19</v>
      </c>
      <c r="AP3117">
        <v>743</v>
      </c>
      <c r="AQ3117">
        <v>10</v>
      </c>
      <c r="AR3117">
        <v>8.82</v>
      </c>
      <c r="AS3117">
        <v>89</v>
      </c>
      <c r="AT3117">
        <v>5.07</v>
      </c>
      <c r="AU3117">
        <v>96</v>
      </c>
      <c r="AV3117">
        <v>0.52</v>
      </c>
      <c r="AW3117">
        <v>99</v>
      </c>
      <c r="AX3117">
        <v>0.62</v>
      </c>
      <c r="AY3117">
        <v>94</v>
      </c>
      <c r="AZ3117">
        <v>6.2</v>
      </c>
      <c r="BA3117">
        <v>85</v>
      </c>
      <c r="BB3117">
        <v>4.3</v>
      </c>
      <c r="BC3117">
        <v>85</v>
      </c>
      <c r="BD3117">
        <v>0.02</v>
      </c>
      <c r="BE3117">
        <v>-0.05</v>
      </c>
      <c r="BF3117">
        <v>-0.2</v>
      </c>
      <c r="BG3117">
        <v>95</v>
      </c>
      <c r="BH3117">
        <v>-0.28000000000000003</v>
      </c>
      <c r="BI3117">
        <v>-0.51</v>
      </c>
      <c r="BJ3117">
        <v>0</v>
      </c>
      <c r="BK3117">
        <v>0</v>
      </c>
      <c r="BL3117">
        <v>-1</v>
      </c>
      <c r="BM3117">
        <v>3.6</v>
      </c>
      <c r="BN3117">
        <v>-1.7</v>
      </c>
      <c r="BO3117">
        <v>-3.13</v>
      </c>
      <c r="BP3117">
        <v>4.22</v>
      </c>
      <c r="BQ3117">
        <v>-2.0699999999999998</v>
      </c>
      <c r="BR3117">
        <v>-2.57</v>
      </c>
      <c r="BS3117">
        <v>-0.34</v>
      </c>
      <c r="BT3117">
        <v>2.5</v>
      </c>
      <c r="BU3117">
        <v>-3.3</v>
      </c>
      <c r="BV3117">
        <v>-3.64</v>
      </c>
      <c r="BW3117">
        <v>-2.84</v>
      </c>
      <c r="BX3117">
        <v>-2.83</v>
      </c>
      <c r="BY3117">
        <v>-2.06</v>
      </c>
      <c r="BZ3117">
        <v>1.04</v>
      </c>
      <c r="CA3117">
        <v>-2.34</v>
      </c>
      <c r="CB3117">
        <v>-3</v>
      </c>
      <c r="CC3117">
        <v>-0.38</v>
      </c>
      <c r="CD3117">
        <v>4</v>
      </c>
      <c r="CE3117">
        <v>-3.13</v>
      </c>
      <c r="CF3117">
        <v>-1.34</v>
      </c>
      <c r="CG3117">
        <v>0</v>
      </c>
      <c r="CH3117">
        <v>-2.65</v>
      </c>
      <c r="CI3117">
        <v>0</v>
      </c>
      <c r="CJ3117">
        <v>7</v>
      </c>
      <c r="CK3117">
        <v>99</v>
      </c>
      <c r="CL3117">
        <v>0.08</v>
      </c>
      <c r="CM3117">
        <v>98</v>
      </c>
      <c r="CN3117">
        <v>-0.5</v>
      </c>
      <c r="CO3117">
        <v>98</v>
      </c>
      <c r="CP3117">
        <v>17</v>
      </c>
      <c r="CQ3117">
        <v>95</v>
      </c>
      <c r="CR3117">
        <v>0</v>
      </c>
      <c r="CS3117">
        <v>0</v>
      </c>
      <c r="CT3117">
        <v>29.9</v>
      </c>
      <c r="CU3117">
        <v>94</v>
      </c>
      <c r="CV3117">
        <v>0.2</v>
      </c>
      <c r="CW3117">
        <v>47</v>
      </c>
      <c r="CX3117" t="s">
        <v>224</v>
      </c>
    </row>
    <row r="3118" spans="1:102" x14ac:dyDescent="0.3">
      <c r="A3118" t="str">
        <f>HYPERLINK("https://webapp.icbf.com/v2/app/bull-search/view/1001392207","S1573")</f>
        <v>S1573</v>
      </c>
      <c r="B3118" t="s">
        <v>8330</v>
      </c>
      <c r="C3118" t="s">
        <v>8331</v>
      </c>
      <c r="D3118" s="1">
        <v>40855</v>
      </c>
      <c r="E3118" t="s">
        <v>92</v>
      </c>
      <c r="F3118">
        <v>100</v>
      </c>
      <c r="G3118" t="s">
        <v>109</v>
      </c>
      <c r="H3118">
        <v>-12.69</v>
      </c>
      <c r="I3118">
        <v>78</v>
      </c>
      <c r="J3118">
        <v>12.3</v>
      </c>
      <c r="K3118">
        <v>93</v>
      </c>
      <c r="L3118">
        <v>-42.03</v>
      </c>
      <c r="M3118">
        <v>84</v>
      </c>
      <c r="N3118">
        <v>13.07</v>
      </c>
      <c r="O3118">
        <v>61</v>
      </c>
      <c r="P3118">
        <v>1.1000000000000001</v>
      </c>
      <c r="Q3118">
        <v>55</v>
      </c>
      <c r="R3118">
        <v>14.57</v>
      </c>
      <c r="S3118">
        <v>73</v>
      </c>
      <c r="T3118">
        <v>-22.06</v>
      </c>
      <c r="U3118">
        <v>47</v>
      </c>
      <c r="V3118">
        <v>10.36</v>
      </c>
      <c r="W3118">
        <v>57</v>
      </c>
      <c r="X3118" t="s">
        <v>234</v>
      </c>
      <c r="Y3118" t="s">
        <v>362</v>
      </c>
      <c r="Z3118" t="s">
        <v>96</v>
      </c>
      <c r="AA3118" t="s">
        <v>8332</v>
      </c>
      <c r="AB3118" t="s">
        <v>8333</v>
      </c>
      <c r="AC3118">
        <v>0</v>
      </c>
      <c r="AD3118">
        <v>0</v>
      </c>
      <c r="AE3118">
        <v>93</v>
      </c>
      <c r="AF3118">
        <v>566.41</v>
      </c>
      <c r="AG3118">
        <v>5.12</v>
      </c>
      <c r="AH3118">
        <v>8.9499999999999993</v>
      </c>
      <c r="AI3118">
        <v>-0.27</v>
      </c>
      <c r="AJ3118">
        <v>-0.16</v>
      </c>
      <c r="AK3118">
        <v>84</v>
      </c>
      <c r="AL3118">
        <v>0</v>
      </c>
      <c r="AM3118">
        <v>0</v>
      </c>
      <c r="AN3118">
        <v>3.2</v>
      </c>
      <c r="AO3118">
        <v>-0.14000000000000001</v>
      </c>
      <c r="AP3118">
        <v>9</v>
      </c>
      <c r="AQ3118">
        <v>0</v>
      </c>
      <c r="AR3118">
        <v>8.15</v>
      </c>
      <c r="AS3118">
        <v>53</v>
      </c>
      <c r="AT3118">
        <v>3.65</v>
      </c>
      <c r="AU3118">
        <v>89</v>
      </c>
      <c r="AV3118">
        <v>-2.5499999999999998</v>
      </c>
      <c r="AW3118">
        <v>59</v>
      </c>
      <c r="AX3118">
        <v>0.28999999999999998</v>
      </c>
      <c r="AY3118">
        <v>45</v>
      </c>
      <c r="AZ3118">
        <v>5.85</v>
      </c>
      <c r="BA3118">
        <v>40</v>
      </c>
      <c r="BB3118">
        <v>5.17</v>
      </c>
      <c r="BC3118">
        <v>40</v>
      </c>
      <c r="BD3118">
        <v>-0.09</v>
      </c>
      <c r="BE3118">
        <v>-0.05</v>
      </c>
      <c r="BF3118">
        <v>-0.09</v>
      </c>
      <c r="BG3118">
        <v>91</v>
      </c>
      <c r="BH3118">
        <v>0.06</v>
      </c>
      <c r="BI3118">
        <v>-26.47</v>
      </c>
      <c r="BJ3118">
        <v>1</v>
      </c>
      <c r="BK3118">
        <v>1</v>
      </c>
      <c r="BL3118">
        <v>1.27</v>
      </c>
      <c r="BM3118">
        <v>-1.37</v>
      </c>
      <c r="BN3118">
        <v>-0.91</v>
      </c>
      <c r="BO3118">
        <v>0.26</v>
      </c>
      <c r="BP3118">
        <v>1.89</v>
      </c>
      <c r="BQ3118">
        <v>-0.38</v>
      </c>
      <c r="BR3118">
        <v>-2.4</v>
      </c>
      <c r="BS3118">
        <v>0.8</v>
      </c>
      <c r="BT3118">
        <v>1.43</v>
      </c>
      <c r="BU3118">
        <v>4.43</v>
      </c>
      <c r="BV3118">
        <v>3.75</v>
      </c>
      <c r="BW3118">
        <v>1.9</v>
      </c>
      <c r="BX3118">
        <v>3.2</v>
      </c>
      <c r="BY3118">
        <v>1.96</v>
      </c>
      <c r="BZ3118">
        <v>0.38</v>
      </c>
      <c r="CA3118">
        <v>3.03</v>
      </c>
      <c r="CB3118">
        <v>3.06</v>
      </c>
      <c r="CC3118">
        <v>1.1100000000000001</v>
      </c>
      <c r="CD3118">
        <v>0.48</v>
      </c>
      <c r="CE3118">
        <v>1.03</v>
      </c>
      <c r="CF3118">
        <v>0.89</v>
      </c>
      <c r="CG3118">
        <v>0</v>
      </c>
      <c r="CH3118">
        <v>2.2000000000000002</v>
      </c>
      <c r="CI3118">
        <v>0</v>
      </c>
      <c r="CJ3118">
        <v>2.1</v>
      </c>
      <c r="CK3118">
        <v>57</v>
      </c>
      <c r="CL3118">
        <v>-1.66</v>
      </c>
      <c r="CM3118">
        <v>54</v>
      </c>
      <c r="CN3118">
        <v>-1.1399999999999999</v>
      </c>
      <c r="CO3118">
        <v>53</v>
      </c>
      <c r="CP3118">
        <v>13.2</v>
      </c>
      <c r="CQ3118">
        <v>48</v>
      </c>
      <c r="CR3118">
        <v>0</v>
      </c>
      <c r="CS3118">
        <v>0</v>
      </c>
      <c r="CT3118">
        <v>43.6</v>
      </c>
      <c r="CU3118">
        <v>47</v>
      </c>
      <c r="CV3118">
        <v>0.19</v>
      </c>
      <c r="CW3118">
        <v>36</v>
      </c>
      <c r="CX3118" t="s">
        <v>350</v>
      </c>
    </row>
    <row r="3119" spans="1:102" x14ac:dyDescent="0.3">
      <c r="A3119" t="str">
        <f>HYPERLINK("https://webapp.icbf.com/v2/app/bull-search/view/77857309","HAA")</f>
        <v>HAA</v>
      </c>
      <c r="B3119" t="s">
        <v>503</v>
      </c>
      <c r="C3119" t="s">
        <v>504</v>
      </c>
      <c r="D3119" s="1">
        <v>33165</v>
      </c>
      <c r="E3119" t="s">
        <v>108</v>
      </c>
      <c r="F3119">
        <v>0</v>
      </c>
      <c r="G3119" t="s">
        <v>93</v>
      </c>
      <c r="H3119">
        <v>-12.71</v>
      </c>
      <c r="I3119">
        <v>66</v>
      </c>
      <c r="J3119">
        <v>-40.89</v>
      </c>
      <c r="K3119">
        <v>86</v>
      </c>
      <c r="L3119">
        <v>11.01</v>
      </c>
      <c r="M3119">
        <v>58</v>
      </c>
      <c r="N3119">
        <v>11.83</v>
      </c>
      <c r="O3119">
        <v>37</v>
      </c>
      <c r="P3119">
        <v>-8.8699999999999992</v>
      </c>
      <c r="Q3119">
        <v>79</v>
      </c>
      <c r="R3119">
        <v>-7.7</v>
      </c>
      <c r="S3119">
        <v>61</v>
      </c>
      <c r="T3119">
        <v>21.67</v>
      </c>
      <c r="U3119">
        <v>56</v>
      </c>
      <c r="V3119">
        <v>0.24</v>
      </c>
      <c r="W3119">
        <v>26</v>
      </c>
      <c r="X3119" t="s">
        <v>102</v>
      </c>
      <c r="Y3119" t="s">
        <v>95</v>
      </c>
      <c r="Z3119" t="s">
        <v>96</v>
      </c>
      <c r="AA3119" t="s">
        <v>505</v>
      </c>
      <c r="AB3119" t="s">
        <v>506</v>
      </c>
      <c r="AC3119">
        <v>36</v>
      </c>
      <c r="AD3119">
        <v>30</v>
      </c>
      <c r="AE3119">
        <v>86</v>
      </c>
      <c r="AF3119">
        <v>-340.16</v>
      </c>
      <c r="AG3119">
        <v>-9.4700000000000006</v>
      </c>
      <c r="AH3119">
        <v>-8.81</v>
      </c>
      <c r="AI3119">
        <v>7.0000000000000007E-2</v>
      </c>
      <c r="AJ3119">
        <v>0.05</v>
      </c>
      <c r="AK3119">
        <v>58</v>
      </c>
      <c r="AL3119">
        <v>90</v>
      </c>
      <c r="AM3119">
        <v>61</v>
      </c>
      <c r="AN3119">
        <v>-1.97</v>
      </c>
      <c r="AO3119">
        <v>-1.1100000000000001</v>
      </c>
      <c r="AP3119">
        <v>1</v>
      </c>
      <c r="AQ3119">
        <v>0</v>
      </c>
      <c r="AR3119">
        <v>5.33</v>
      </c>
      <c r="AS3119">
        <v>20</v>
      </c>
      <c r="AT3119">
        <v>2.27</v>
      </c>
      <c r="AU3119">
        <v>39</v>
      </c>
      <c r="AV3119">
        <v>0.03</v>
      </c>
      <c r="AW3119">
        <v>35</v>
      </c>
      <c r="AX3119">
        <v>-0.12</v>
      </c>
      <c r="AY3119">
        <v>61</v>
      </c>
      <c r="AZ3119">
        <v>5.77</v>
      </c>
      <c r="BA3119">
        <v>18</v>
      </c>
      <c r="BB3119">
        <v>5.25</v>
      </c>
      <c r="BC3119">
        <v>32</v>
      </c>
      <c r="BD3119">
        <v>0.03</v>
      </c>
      <c r="BE3119">
        <v>0.03</v>
      </c>
      <c r="BF3119">
        <v>7.0000000000000007E-2</v>
      </c>
      <c r="BG3119">
        <v>84</v>
      </c>
      <c r="BH3119">
        <v>0.13</v>
      </c>
      <c r="BI3119">
        <v>14.26</v>
      </c>
      <c r="BJ3119">
        <v>16</v>
      </c>
      <c r="BK3119">
        <v>13</v>
      </c>
      <c r="BL3119">
        <v>-3.25</v>
      </c>
      <c r="BM3119">
        <v>2.97</v>
      </c>
      <c r="BN3119">
        <v>-2.2400000000000002</v>
      </c>
      <c r="BO3119">
        <v>-3.74</v>
      </c>
      <c r="BP3119">
        <v>-2.92</v>
      </c>
      <c r="BQ3119">
        <v>1.9</v>
      </c>
      <c r="BR3119">
        <v>-1.07</v>
      </c>
      <c r="BS3119">
        <v>-0.5</v>
      </c>
      <c r="BT3119">
        <v>-0.05</v>
      </c>
      <c r="BU3119">
        <v>-2.4900000000000002</v>
      </c>
      <c r="BV3119">
        <v>-2.71</v>
      </c>
      <c r="BW3119">
        <v>-3.49</v>
      </c>
      <c r="BX3119">
        <v>-1.72</v>
      </c>
      <c r="BY3119">
        <v>-0.69</v>
      </c>
      <c r="BZ3119">
        <v>-0.38</v>
      </c>
      <c r="CA3119">
        <v>-2.5</v>
      </c>
      <c r="CB3119">
        <v>-2.64</v>
      </c>
      <c r="CC3119">
        <v>-0.96</v>
      </c>
      <c r="CD3119">
        <v>3.72</v>
      </c>
      <c r="CE3119">
        <v>-3.48</v>
      </c>
      <c r="CF3119">
        <v>-2.44</v>
      </c>
      <c r="CG3119">
        <v>0</v>
      </c>
      <c r="CH3119">
        <v>-2.17</v>
      </c>
      <c r="CI3119">
        <v>0</v>
      </c>
      <c r="CJ3119">
        <v>-1.7</v>
      </c>
      <c r="CK3119">
        <v>81</v>
      </c>
      <c r="CL3119">
        <v>-7.0000000000000007E-2</v>
      </c>
      <c r="CM3119">
        <v>77</v>
      </c>
      <c r="CN3119">
        <v>0.37</v>
      </c>
      <c r="CO3119">
        <v>74</v>
      </c>
      <c r="CP3119">
        <v>-9.8000000000000007</v>
      </c>
      <c r="CQ3119">
        <v>75</v>
      </c>
      <c r="CR3119">
        <v>0</v>
      </c>
      <c r="CS3119">
        <v>0</v>
      </c>
      <c r="CT3119">
        <v>-15.5</v>
      </c>
      <c r="CU3119">
        <v>56</v>
      </c>
      <c r="CV3119">
        <v>0.06</v>
      </c>
      <c r="CW3119">
        <v>23</v>
      </c>
      <c r="CX3119" t="s">
        <v>507</v>
      </c>
    </row>
    <row r="3120" spans="1:102" x14ac:dyDescent="0.3">
      <c r="A3120" t="str">
        <f>HYPERLINK("https://webapp.icbf.com/v2/app/bull-search/view/77859172","ACW")</f>
        <v>ACW</v>
      </c>
      <c r="B3120" t="s">
        <v>3815</v>
      </c>
      <c r="C3120" t="s">
        <v>3816</v>
      </c>
      <c r="D3120" s="1">
        <v>35446</v>
      </c>
      <c r="E3120" t="s">
        <v>92</v>
      </c>
      <c r="F3120">
        <v>100</v>
      </c>
      <c r="G3120" t="s">
        <v>93</v>
      </c>
      <c r="H3120">
        <v>-12.86</v>
      </c>
      <c r="I3120">
        <v>87</v>
      </c>
      <c r="J3120">
        <v>-0.49</v>
      </c>
      <c r="K3120">
        <v>98</v>
      </c>
      <c r="L3120">
        <v>5.62</v>
      </c>
      <c r="M3120">
        <v>81</v>
      </c>
      <c r="N3120">
        <v>-15.87</v>
      </c>
      <c r="O3120">
        <v>81</v>
      </c>
      <c r="P3120">
        <v>-0.06</v>
      </c>
      <c r="Q3120">
        <v>90</v>
      </c>
      <c r="R3120">
        <v>-5.58</v>
      </c>
      <c r="S3120">
        <v>80</v>
      </c>
      <c r="T3120">
        <v>-1.34</v>
      </c>
      <c r="U3120">
        <v>85</v>
      </c>
      <c r="V3120">
        <v>4.8600000000000003</v>
      </c>
      <c r="W3120">
        <v>71</v>
      </c>
      <c r="X3120" t="s">
        <v>94</v>
      </c>
      <c r="Y3120" t="s">
        <v>95</v>
      </c>
      <c r="Z3120" t="s">
        <v>96</v>
      </c>
      <c r="AA3120" t="s">
        <v>2903</v>
      </c>
      <c r="AB3120" t="s">
        <v>3817</v>
      </c>
      <c r="AC3120">
        <v>124</v>
      </c>
      <c r="AD3120">
        <v>110</v>
      </c>
      <c r="AE3120">
        <v>98</v>
      </c>
      <c r="AF3120">
        <v>242.69</v>
      </c>
      <c r="AG3120">
        <v>-3.84</v>
      </c>
      <c r="AH3120">
        <v>4.99</v>
      </c>
      <c r="AI3120">
        <v>-0.22</v>
      </c>
      <c r="AJ3120">
        <v>-0.05</v>
      </c>
      <c r="AK3120">
        <v>81</v>
      </c>
      <c r="AL3120">
        <v>122</v>
      </c>
      <c r="AM3120">
        <v>101</v>
      </c>
      <c r="AN3120">
        <v>-0.15</v>
      </c>
      <c r="AO3120">
        <v>0.3</v>
      </c>
      <c r="AP3120">
        <v>8</v>
      </c>
      <c r="AQ3120">
        <v>0</v>
      </c>
      <c r="AR3120">
        <v>8.59</v>
      </c>
      <c r="AS3120">
        <v>70</v>
      </c>
      <c r="AT3120">
        <v>4.24</v>
      </c>
      <c r="AU3120">
        <v>82</v>
      </c>
      <c r="AV3120">
        <v>-0.68</v>
      </c>
      <c r="AW3120">
        <v>87</v>
      </c>
      <c r="AX3120">
        <v>1.26</v>
      </c>
      <c r="AY3120">
        <v>83</v>
      </c>
      <c r="AZ3120">
        <v>7.64</v>
      </c>
      <c r="BA3120">
        <v>65</v>
      </c>
      <c r="BB3120">
        <v>5.47</v>
      </c>
      <c r="BC3120">
        <v>73</v>
      </c>
      <c r="BD3120">
        <v>0.05</v>
      </c>
      <c r="BE3120">
        <v>0.05</v>
      </c>
      <c r="BF3120">
        <v>-0.05</v>
      </c>
      <c r="BG3120">
        <v>91</v>
      </c>
      <c r="BH3120">
        <v>0.05</v>
      </c>
      <c r="BI3120">
        <v>-9.9</v>
      </c>
      <c r="BJ3120">
        <v>32</v>
      </c>
      <c r="BK3120">
        <v>29</v>
      </c>
      <c r="BL3120">
        <v>0.28999999999999998</v>
      </c>
      <c r="BM3120">
        <v>-0.59</v>
      </c>
      <c r="BN3120">
        <v>-1.2</v>
      </c>
      <c r="BO3120">
        <v>-0.56999999999999995</v>
      </c>
      <c r="BP3120">
        <v>-0.03</v>
      </c>
      <c r="BQ3120">
        <v>-1.34</v>
      </c>
      <c r="BR3120">
        <v>-1.56</v>
      </c>
      <c r="BS3120">
        <v>-2.0499999999999998</v>
      </c>
      <c r="BT3120">
        <v>1.9</v>
      </c>
      <c r="BU3120">
        <v>-0.56999999999999995</v>
      </c>
      <c r="BV3120">
        <v>-0.49</v>
      </c>
      <c r="BW3120">
        <v>-0.6</v>
      </c>
      <c r="BX3120">
        <v>0.44</v>
      </c>
      <c r="BY3120">
        <v>-1.61</v>
      </c>
      <c r="BZ3120">
        <v>1.18</v>
      </c>
      <c r="CA3120">
        <v>-0.8</v>
      </c>
      <c r="CB3120">
        <v>-0.68</v>
      </c>
      <c r="CC3120">
        <v>-0.96</v>
      </c>
      <c r="CD3120">
        <v>0.09</v>
      </c>
      <c r="CE3120">
        <v>-0.39</v>
      </c>
      <c r="CF3120">
        <v>-0.63</v>
      </c>
      <c r="CG3120">
        <v>0</v>
      </c>
      <c r="CH3120">
        <v>-2.04</v>
      </c>
      <c r="CI3120">
        <v>0</v>
      </c>
      <c r="CJ3120">
        <v>0.9</v>
      </c>
      <c r="CK3120">
        <v>90</v>
      </c>
      <c r="CL3120">
        <v>-0.36</v>
      </c>
      <c r="CM3120">
        <v>89</v>
      </c>
      <c r="CN3120">
        <v>-0.25</v>
      </c>
      <c r="CO3120">
        <v>87</v>
      </c>
      <c r="CP3120">
        <v>-3.4</v>
      </c>
      <c r="CQ3120">
        <v>92</v>
      </c>
      <c r="CR3120">
        <v>0</v>
      </c>
      <c r="CS3120">
        <v>0</v>
      </c>
      <c r="CT3120">
        <v>15.6</v>
      </c>
      <c r="CU3120">
        <v>85</v>
      </c>
      <c r="CV3120">
        <v>0.11</v>
      </c>
      <c r="CW3120">
        <v>44</v>
      </c>
      <c r="CX3120" t="s">
        <v>485</v>
      </c>
    </row>
    <row r="3121" spans="1:102" x14ac:dyDescent="0.3">
      <c r="A3121" t="str">
        <f>HYPERLINK("https://webapp.icbf.com/v2/app/bull-search/view/77852746","XEA")</f>
        <v>XEA</v>
      </c>
      <c r="B3121" t="s">
        <v>10963</v>
      </c>
      <c r="C3121" t="s">
        <v>10964</v>
      </c>
      <c r="D3121" s="1">
        <v>35006</v>
      </c>
      <c r="E3121" t="s">
        <v>92</v>
      </c>
      <c r="F3121">
        <v>100</v>
      </c>
      <c r="G3121" t="s">
        <v>93</v>
      </c>
      <c r="H3121">
        <v>-12.87</v>
      </c>
      <c r="I3121">
        <v>86</v>
      </c>
      <c r="J3121">
        <v>10.5</v>
      </c>
      <c r="K3121">
        <v>97</v>
      </c>
      <c r="L3121">
        <v>-40.26</v>
      </c>
      <c r="M3121">
        <v>81</v>
      </c>
      <c r="N3121">
        <v>22.85</v>
      </c>
      <c r="O3121">
        <v>79</v>
      </c>
      <c r="P3121">
        <v>-16.23</v>
      </c>
      <c r="Q3121">
        <v>87</v>
      </c>
      <c r="R3121">
        <v>-10.61</v>
      </c>
      <c r="S3121">
        <v>79</v>
      </c>
      <c r="T3121">
        <v>19.45</v>
      </c>
      <c r="U3121">
        <v>87</v>
      </c>
      <c r="V3121">
        <v>1.43</v>
      </c>
      <c r="W3121">
        <v>66</v>
      </c>
      <c r="X3121" t="s">
        <v>94</v>
      </c>
      <c r="Y3121" t="s">
        <v>95</v>
      </c>
      <c r="Z3121" t="s">
        <v>96</v>
      </c>
      <c r="AA3121" t="s">
        <v>2855</v>
      </c>
      <c r="AB3121" t="s">
        <v>10965</v>
      </c>
      <c r="AC3121">
        <v>142</v>
      </c>
      <c r="AD3121">
        <v>131</v>
      </c>
      <c r="AE3121">
        <v>97</v>
      </c>
      <c r="AF3121">
        <v>-163.66999999999999</v>
      </c>
      <c r="AG3121">
        <v>-0.45</v>
      </c>
      <c r="AH3121">
        <v>-0.56000000000000005</v>
      </c>
      <c r="AI3121">
        <v>0.11</v>
      </c>
      <c r="AJ3121">
        <v>0.09</v>
      </c>
      <c r="AK3121">
        <v>81</v>
      </c>
      <c r="AL3121">
        <v>146</v>
      </c>
      <c r="AM3121">
        <v>128</v>
      </c>
      <c r="AN3121">
        <v>2.25</v>
      </c>
      <c r="AO3121">
        <v>-0.96</v>
      </c>
      <c r="AP3121">
        <v>2</v>
      </c>
      <c r="AQ3121">
        <v>0</v>
      </c>
      <c r="AR3121">
        <v>5.54</v>
      </c>
      <c r="AS3121">
        <v>60</v>
      </c>
      <c r="AT3121">
        <v>2.39</v>
      </c>
      <c r="AU3121">
        <v>80</v>
      </c>
      <c r="AV3121">
        <v>-1.85</v>
      </c>
      <c r="AW3121">
        <v>84</v>
      </c>
      <c r="AX3121">
        <v>0.8</v>
      </c>
      <c r="AY3121">
        <v>85</v>
      </c>
      <c r="AZ3121">
        <v>6.87</v>
      </c>
      <c r="BA3121">
        <v>54</v>
      </c>
      <c r="BB3121">
        <v>4.97</v>
      </c>
      <c r="BC3121">
        <v>73</v>
      </c>
      <c r="BD3121">
        <v>0</v>
      </c>
      <c r="BE3121">
        <v>0.06</v>
      </c>
      <c r="BF3121">
        <v>0.13</v>
      </c>
      <c r="BG3121">
        <v>92</v>
      </c>
      <c r="BH3121">
        <v>0.08</v>
      </c>
      <c r="BI3121">
        <v>4.6500000000000004</v>
      </c>
      <c r="BJ3121">
        <v>5</v>
      </c>
      <c r="BK3121">
        <v>4</v>
      </c>
      <c r="BL3121">
        <v>0.01</v>
      </c>
      <c r="BM3121">
        <v>-0.65</v>
      </c>
      <c r="BN3121">
        <v>1.1499999999999999</v>
      </c>
      <c r="BO3121">
        <v>0.75</v>
      </c>
      <c r="BP3121">
        <v>-0.12</v>
      </c>
      <c r="BQ3121">
        <v>-0.04</v>
      </c>
      <c r="BR3121">
        <v>1.5</v>
      </c>
      <c r="BS3121">
        <v>-1.32</v>
      </c>
      <c r="BT3121">
        <v>-0.64</v>
      </c>
      <c r="BU3121">
        <v>-0.33</v>
      </c>
      <c r="BV3121">
        <v>0.39</v>
      </c>
      <c r="BW3121">
        <v>-0.02</v>
      </c>
      <c r="BX3121">
        <v>-1.78</v>
      </c>
      <c r="BY3121">
        <v>1.04</v>
      </c>
      <c r="BZ3121">
        <v>0.84</v>
      </c>
      <c r="CA3121">
        <v>-0.42</v>
      </c>
      <c r="CB3121">
        <v>0.03</v>
      </c>
      <c r="CC3121">
        <v>-0.6</v>
      </c>
      <c r="CD3121">
        <v>-1.19</v>
      </c>
      <c r="CE3121">
        <v>0.01</v>
      </c>
      <c r="CF3121">
        <v>-1.22</v>
      </c>
      <c r="CG3121">
        <v>0</v>
      </c>
      <c r="CH3121">
        <v>1.25</v>
      </c>
      <c r="CI3121">
        <v>0</v>
      </c>
      <c r="CJ3121">
        <v>-7.2</v>
      </c>
      <c r="CK3121">
        <v>88</v>
      </c>
      <c r="CL3121">
        <v>-0.72</v>
      </c>
      <c r="CM3121">
        <v>86</v>
      </c>
      <c r="CN3121">
        <v>-0.27</v>
      </c>
      <c r="CO3121">
        <v>84</v>
      </c>
      <c r="CP3121">
        <v>-13.5</v>
      </c>
      <c r="CQ3121">
        <v>91</v>
      </c>
      <c r="CR3121">
        <v>0</v>
      </c>
      <c r="CS3121">
        <v>0</v>
      </c>
      <c r="CT3121">
        <v>-12.5</v>
      </c>
      <c r="CU3121">
        <v>87</v>
      </c>
      <c r="CV3121">
        <v>0.04</v>
      </c>
      <c r="CW3121">
        <v>43</v>
      </c>
      <c r="CX3121" t="s">
        <v>180</v>
      </c>
    </row>
    <row r="3122" spans="1:102" x14ac:dyDescent="0.3">
      <c r="A3122" t="str">
        <f>HYPERLINK("https://webapp.icbf.com/v2/app/bull-search/view/69091612","ETK")</f>
        <v>ETK</v>
      </c>
      <c r="B3122" t="s">
        <v>3218</v>
      </c>
      <c r="C3122" t="s">
        <v>3219</v>
      </c>
      <c r="D3122" s="1">
        <v>34868</v>
      </c>
      <c r="E3122" t="s">
        <v>92</v>
      </c>
      <c r="F3122">
        <v>100</v>
      </c>
      <c r="G3122" t="s">
        <v>93</v>
      </c>
      <c r="H3122">
        <v>-12.9</v>
      </c>
      <c r="I3122">
        <v>86</v>
      </c>
      <c r="J3122">
        <v>43.51</v>
      </c>
      <c r="K3122">
        <v>95</v>
      </c>
      <c r="L3122">
        <v>-53.69</v>
      </c>
      <c r="M3122">
        <v>84</v>
      </c>
      <c r="N3122">
        <v>12.55</v>
      </c>
      <c r="O3122">
        <v>78</v>
      </c>
      <c r="P3122">
        <v>-4.54</v>
      </c>
      <c r="Q3122">
        <v>92</v>
      </c>
      <c r="R3122">
        <v>-1.17</v>
      </c>
      <c r="S3122">
        <v>74</v>
      </c>
      <c r="T3122">
        <v>6.57</v>
      </c>
      <c r="U3122">
        <v>84</v>
      </c>
      <c r="V3122">
        <v>-16.13</v>
      </c>
      <c r="W3122">
        <v>55</v>
      </c>
      <c r="X3122" t="s">
        <v>251</v>
      </c>
      <c r="Y3122" t="s">
        <v>95</v>
      </c>
      <c r="Z3122" t="s">
        <v>96</v>
      </c>
      <c r="AA3122" t="s">
        <v>105</v>
      </c>
      <c r="AB3122" t="s">
        <v>3217</v>
      </c>
      <c r="AC3122">
        <v>74</v>
      </c>
      <c r="AD3122">
        <v>47</v>
      </c>
      <c r="AE3122">
        <v>95</v>
      </c>
      <c r="AF3122">
        <v>216.9</v>
      </c>
      <c r="AG3122">
        <v>6.64</v>
      </c>
      <c r="AH3122">
        <v>8.3699999999999992</v>
      </c>
      <c r="AI3122">
        <v>-0.03</v>
      </c>
      <c r="AJ3122">
        <v>0.01</v>
      </c>
      <c r="AK3122">
        <v>84</v>
      </c>
      <c r="AL3122">
        <v>93</v>
      </c>
      <c r="AM3122">
        <v>60</v>
      </c>
      <c r="AN3122">
        <v>3.07</v>
      </c>
      <c r="AO3122">
        <v>-1.21</v>
      </c>
      <c r="AP3122">
        <v>91</v>
      </c>
      <c r="AQ3122">
        <v>0</v>
      </c>
      <c r="AR3122">
        <v>6.27</v>
      </c>
      <c r="AS3122">
        <v>54</v>
      </c>
      <c r="AT3122">
        <v>3.13</v>
      </c>
      <c r="AU3122">
        <v>81</v>
      </c>
      <c r="AV3122">
        <v>-0.46</v>
      </c>
      <c r="AW3122">
        <v>88</v>
      </c>
      <c r="AX3122">
        <v>-0.34</v>
      </c>
      <c r="AY3122">
        <v>79</v>
      </c>
      <c r="AZ3122">
        <v>5.23</v>
      </c>
      <c r="BA3122">
        <v>54</v>
      </c>
      <c r="BB3122">
        <v>4.37</v>
      </c>
      <c r="BC3122">
        <v>59</v>
      </c>
      <c r="BD3122">
        <v>0.03</v>
      </c>
      <c r="BE3122">
        <v>0.03</v>
      </c>
      <c r="BF3122">
        <v>-0.08</v>
      </c>
      <c r="BG3122">
        <v>87</v>
      </c>
      <c r="BH3122">
        <v>-0.22</v>
      </c>
      <c r="BI3122">
        <v>26.59</v>
      </c>
      <c r="BJ3122">
        <v>3</v>
      </c>
      <c r="BK3122">
        <v>3</v>
      </c>
      <c r="BL3122">
        <v>-0.59</v>
      </c>
      <c r="BM3122">
        <v>-0.28999999999999998</v>
      </c>
      <c r="BN3122">
        <v>-0.48</v>
      </c>
      <c r="BO3122">
        <v>-0.75</v>
      </c>
      <c r="BP3122">
        <v>2.0299999999999998</v>
      </c>
      <c r="BQ3122">
        <v>-1.54</v>
      </c>
      <c r="BR3122">
        <v>-0.21</v>
      </c>
      <c r="BS3122">
        <v>-0.9</v>
      </c>
      <c r="BT3122">
        <v>-0.75</v>
      </c>
      <c r="BU3122">
        <v>-0.42</v>
      </c>
      <c r="BV3122">
        <v>-0.88</v>
      </c>
      <c r="BW3122">
        <v>-0.25</v>
      </c>
      <c r="BX3122">
        <v>-0.4</v>
      </c>
      <c r="BY3122">
        <v>0.72</v>
      </c>
      <c r="BZ3122">
        <v>0.21</v>
      </c>
      <c r="CA3122">
        <v>-0.31</v>
      </c>
      <c r="CB3122">
        <v>-0.14000000000000001</v>
      </c>
      <c r="CC3122">
        <v>-0.57999999999999996</v>
      </c>
      <c r="CD3122">
        <v>-1.04</v>
      </c>
      <c r="CE3122">
        <v>1.08</v>
      </c>
      <c r="CF3122">
        <v>0.64</v>
      </c>
      <c r="CG3122">
        <v>0</v>
      </c>
      <c r="CH3122">
        <v>1.62</v>
      </c>
      <c r="CI3122">
        <v>0</v>
      </c>
      <c r="CJ3122">
        <v>-1.4</v>
      </c>
      <c r="CK3122">
        <v>93</v>
      </c>
      <c r="CL3122">
        <v>-0.62</v>
      </c>
      <c r="CM3122">
        <v>92</v>
      </c>
      <c r="CN3122">
        <v>-0.42</v>
      </c>
      <c r="CO3122">
        <v>91</v>
      </c>
      <c r="CP3122">
        <v>-7.5</v>
      </c>
      <c r="CQ3122">
        <v>90</v>
      </c>
      <c r="CR3122">
        <v>0</v>
      </c>
      <c r="CS3122">
        <v>0</v>
      </c>
      <c r="CT3122">
        <v>4.9000000000000004</v>
      </c>
      <c r="CU3122">
        <v>84</v>
      </c>
      <c r="CV3122">
        <v>0.14000000000000001</v>
      </c>
      <c r="CW3122">
        <v>27</v>
      </c>
      <c r="CX3122" t="s">
        <v>564</v>
      </c>
    </row>
    <row r="3123" spans="1:102" x14ac:dyDescent="0.3">
      <c r="A3123" t="str">
        <f>HYPERLINK("https://webapp.icbf.com/v2/app/bull-search/view/495514742","KYT")</f>
        <v>KYT</v>
      </c>
      <c r="B3123" t="s">
        <v>9712</v>
      </c>
      <c r="C3123" t="s">
        <v>9713</v>
      </c>
      <c r="D3123" s="1">
        <v>36649</v>
      </c>
      <c r="E3123" t="s">
        <v>92</v>
      </c>
      <c r="F3123">
        <v>100</v>
      </c>
      <c r="G3123" t="s">
        <v>93</v>
      </c>
      <c r="H3123">
        <v>-12.95</v>
      </c>
      <c r="I3123">
        <v>96</v>
      </c>
      <c r="J3123">
        <v>49.17</v>
      </c>
      <c r="K3123">
        <v>99</v>
      </c>
      <c r="L3123">
        <v>-89.95</v>
      </c>
      <c r="M3123">
        <v>94</v>
      </c>
      <c r="N3123">
        <v>20.56</v>
      </c>
      <c r="O3123">
        <v>96</v>
      </c>
      <c r="P3123">
        <v>-9.3699999999999992</v>
      </c>
      <c r="Q3123">
        <v>99</v>
      </c>
      <c r="R3123">
        <v>9.73</v>
      </c>
      <c r="S3123">
        <v>93</v>
      </c>
      <c r="T3123">
        <v>12.72</v>
      </c>
      <c r="U3123">
        <v>97</v>
      </c>
      <c r="V3123">
        <v>-5.81</v>
      </c>
      <c r="W3123">
        <v>94</v>
      </c>
      <c r="X3123" t="s">
        <v>251</v>
      </c>
      <c r="Y3123" t="s">
        <v>221</v>
      </c>
      <c r="Z3123" t="s">
        <v>96</v>
      </c>
      <c r="AA3123" t="s">
        <v>1682</v>
      </c>
      <c r="AB3123" t="s">
        <v>4103</v>
      </c>
      <c r="AC3123">
        <v>552</v>
      </c>
      <c r="AD3123">
        <v>186</v>
      </c>
      <c r="AE3123">
        <v>99</v>
      </c>
      <c r="AF3123">
        <v>201.99</v>
      </c>
      <c r="AG3123">
        <v>13.58</v>
      </c>
      <c r="AH3123">
        <v>6.65</v>
      </c>
      <c r="AI3123">
        <v>0.1</v>
      </c>
      <c r="AJ3123">
        <v>0</v>
      </c>
      <c r="AK3123">
        <v>94</v>
      </c>
      <c r="AL3123">
        <v>621</v>
      </c>
      <c r="AM3123">
        <v>212</v>
      </c>
      <c r="AN3123">
        <v>5.19</v>
      </c>
      <c r="AO3123">
        <v>-1.98</v>
      </c>
      <c r="AP3123">
        <v>1206</v>
      </c>
      <c r="AQ3123">
        <v>5</v>
      </c>
      <c r="AR3123">
        <v>8.66</v>
      </c>
      <c r="AS3123">
        <v>96</v>
      </c>
      <c r="AT3123">
        <v>3.36</v>
      </c>
      <c r="AU3123">
        <v>96</v>
      </c>
      <c r="AV3123">
        <v>-2.77</v>
      </c>
      <c r="AW3123">
        <v>99</v>
      </c>
      <c r="AX3123">
        <v>0.14000000000000001</v>
      </c>
      <c r="AY3123">
        <v>96</v>
      </c>
      <c r="AZ3123">
        <v>5.57</v>
      </c>
      <c r="BA3123">
        <v>89</v>
      </c>
      <c r="BB3123">
        <v>4.42</v>
      </c>
      <c r="BC3123">
        <v>89</v>
      </c>
      <c r="BD3123">
        <v>-0.04</v>
      </c>
      <c r="BE3123">
        <v>-0.03</v>
      </c>
      <c r="BF3123">
        <v>-0.1</v>
      </c>
      <c r="BG3123">
        <v>97</v>
      </c>
      <c r="BH3123">
        <v>-0.12</v>
      </c>
      <c r="BI3123">
        <v>4.87</v>
      </c>
      <c r="BJ3123">
        <v>70</v>
      </c>
      <c r="BK3123">
        <v>28</v>
      </c>
      <c r="BL3123">
        <v>-0.23</v>
      </c>
      <c r="BM3123">
        <v>-1.26</v>
      </c>
      <c r="BN3123">
        <v>-0.75</v>
      </c>
      <c r="BO3123">
        <v>0.55000000000000004</v>
      </c>
      <c r="BP3123">
        <v>0.2</v>
      </c>
      <c r="BQ3123">
        <v>-1.05</v>
      </c>
      <c r="BR3123">
        <v>1</v>
      </c>
      <c r="BS3123">
        <v>1.1299999999999999</v>
      </c>
      <c r="BT3123">
        <v>-1.71</v>
      </c>
      <c r="BU3123">
        <v>1.6</v>
      </c>
      <c r="BV3123">
        <v>1.17</v>
      </c>
      <c r="BW3123">
        <v>0.84</v>
      </c>
      <c r="BX3123">
        <v>0.85</v>
      </c>
      <c r="BY3123">
        <v>1.91</v>
      </c>
      <c r="BZ3123">
        <v>-1.9</v>
      </c>
      <c r="CA3123">
        <v>1.42</v>
      </c>
      <c r="CB3123">
        <v>1.45</v>
      </c>
      <c r="CC3123">
        <v>0.56000000000000005</v>
      </c>
      <c r="CD3123">
        <v>-1.02</v>
      </c>
      <c r="CE3123">
        <v>0.54</v>
      </c>
      <c r="CF3123">
        <v>-0.56000000000000005</v>
      </c>
      <c r="CG3123">
        <v>0</v>
      </c>
      <c r="CH3123">
        <v>1.85</v>
      </c>
      <c r="CI3123">
        <v>0</v>
      </c>
      <c r="CJ3123">
        <v>-1.8</v>
      </c>
      <c r="CK3123">
        <v>99</v>
      </c>
      <c r="CL3123">
        <v>-0.78</v>
      </c>
      <c r="CM3123">
        <v>98</v>
      </c>
      <c r="CN3123">
        <v>-0.19</v>
      </c>
      <c r="CO3123">
        <v>98</v>
      </c>
      <c r="CP3123">
        <v>-7.1</v>
      </c>
      <c r="CQ3123">
        <v>98</v>
      </c>
      <c r="CR3123">
        <v>0</v>
      </c>
      <c r="CS3123">
        <v>0</v>
      </c>
      <c r="CT3123">
        <v>-3.4</v>
      </c>
      <c r="CU3123">
        <v>97</v>
      </c>
      <c r="CV3123">
        <v>0.17</v>
      </c>
      <c r="CW3123">
        <v>46</v>
      </c>
      <c r="CX3123" t="s">
        <v>188</v>
      </c>
    </row>
    <row r="3124" spans="1:102" x14ac:dyDescent="0.3">
      <c r="A3124" t="str">
        <f>HYPERLINK("https://webapp.icbf.com/v2/app/bull-search/view/108367930","WOU")</f>
        <v>WOU</v>
      </c>
      <c r="B3124" t="s">
        <v>2885</v>
      </c>
      <c r="C3124" t="s">
        <v>2886</v>
      </c>
      <c r="D3124" s="1">
        <v>36475</v>
      </c>
      <c r="E3124" t="s">
        <v>92</v>
      </c>
      <c r="F3124">
        <v>97</v>
      </c>
      <c r="G3124" t="s">
        <v>93</v>
      </c>
      <c r="H3124">
        <v>-12.97</v>
      </c>
      <c r="I3124">
        <v>95</v>
      </c>
      <c r="J3124">
        <v>18.32</v>
      </c>
      <c r="K3124">
        <v>99</v>
      </c>
      <c r="L3124">
        <v>-52.57</v>
      </c>
      <c r="M3124">
        <v>90</v>
      </c>
      <c r="N3124">
        <v>20.079999999999998</v>
      </c>
      <c r="O3124">
        <v>96</v>
      </c>
      <c r="P3124">
        <v>-21.81</v>
      </c>
      <c r="Q3124">
        <v>99</v>
      </c>
      <c r="R3124">
        <v>11.61</v>
      </c>
      <c r="S3124">
        <v>91</v>
      </c>
      <c r="T3124">
        <v>27.52</v>
      </c>
      <c r="U3124">
        <v>98</v>
      </c>
      <c r="V3124">
        <v>-16.12</v>
      </c>
      <c r="W3124">
        <v>91</v>
      </c>
      <c r="X3124" t="s">
        <v>94</v>
      </c>
      <c r="Y3124" t="s">
        <v>95</v>
      </c>
      <c r="Z3124" t="s">
        <v>96</v>
      </c>
      <c r="AA3124" t="s">
        <v>594</v>
      </c>
      <c r="AB3124" t="s">
        <v>2887</v>
      </c>
      <c r="AC3124">
        <v>631</v>
      </c>
      <c r="AD3124">
        <v>433</v>
      </c>
      <c r="AE3124">
        <v>99</v>
      </c>
      <c r="AF3124">
        <v>-83.17</v>
      </c>
      <c r="AG3124">
        <v>4.9000000000000004</v>
      </c>
      <c r="AH3124">
        <v>0.11</v>
      </c>
      <c r="AI3124">
        <v>0.14000000000000001</v>
      </c>
      <c r="AJ3124">
        <v>0.05</v>
      </c>
      <c r="AK3124">
        <v>90</v>
      </c>
      <c r="AL3124">
        <v>668</v>
      </c>
      <c r="AM3124">
        <v>443</v>
      </c>
      <c r="AN3124">
        <v>3.82</v>
      </c>
      <c r="AO3124">
        <v>-0.36</v>
      </c>
      <c r="AP3124">
        <v>1075</v>
      </c>
      <c r="AQ3124">
        <v>2</v>
      </c>
      <c r="AR3124">
        <v>6.07</v>
      </c>
      <c r="AS3124">
        <v>89</v>
      </c>
      <c r="AT3124">
        <v>2.52</v>
      </c>
      <c r="AU3124">
        <v>97</v>
      </c>
      <c r="AV3124">
        <v>-1.06</v>
      </c>
      <c r="AW3124">
        <v>99</v>
      </c>
      <c r="AX3124">
        <v>-0.67</v>
      </c>
      <c r="AY3124">
        <v>96</v>
      </c>
      <c r="AZ3124">
        <v>5.69</v>
      </c>
      <c r="BA3124">
        <v>89</v>
      </c>
      <c r="BB3124">
        <v>4.95</v>
      </c>
      <c r="BC3124">
        <v>91</v>
      </c>
      <c r="BD3124">
        <v>-0.03</v>
      </c>
      <c r="BE3124">
        <v>-0.03</v>
      </c>
      <c r="BF3124">
        <v>-0.16</v>
      </c>
      <c r="BG3124">
        <v>97</v>
      </c>
      <c r="BH3124">
        <v>-0.37</v>
      </c>
      <c r="BI3124">
        <v>9.2100000000000009</v>
      </c>
      <c r="BJ3124">
        <v>79</v>
      </c>
      <c r="BK3124">
        <v>54</v>
      </c>
      <c r="BL3124">
        <v>-1</v>
      </c>
      <c r="BM3124">
        <v>-0.98</v>
      </c>
      <c r="BN3124">
        <v>-1.1599999999999999</v>
      </c>
      <c r="BO3124">
        <v>-0.46</v>
      </c>
      <c r="BP3124">
        <v>-1.58</v>
      </c>
      <c r="BQ3124">
        <v>-2.02</v>
      </c>
      <c r="BR3124">
        <v>1.04</v>
      </c>
      <c r="BS3124">
        <v>-0.91</v>
      </c>
      <c r="BT3124">
        <v>-1.99</v>
      </c>
      <c r="BU3124">
        <v>-1.62</v>
      </c>
      <c r="BV3124">
        <v>-0.33</v>
      </c>
      <c r="BW3124">
        <v>-1.29</v>
      </c>
      <c r="BX3124">
        <v>-2.34</v>
      </c>
      <c r="BY3124">
        <v>-1.3</v>
      </c>
      <c r="BZ3124">
        <v>-0.94</v>
      </c>
      <c r="CA3124">
        <v>-1.23</v>
      </c>
      <c r="CB3124">
        <v>-0.99</v>
      </c>
      <c r="CC3124">
        <v>-1.19</v>
      </c>
      <c r="CD3124">
        <v>-1.1399999999999999</v>
      </c>
      <c r="CE3124">
        <v>-0.32</v>
      </c>
      <c r="CF3124">
        <v>-1.79</v>
      </c>
      <c r="CG3124">
        <v>0</v>
      </c>
      <c r="CH3124">
        <v>-1.0900000000000001</v>
      </c>
      <c r="CI3124">
        <v>0</v>
      </c>
      <c r="CJ3124">
        <v>-10.9</v>
      </c>
      <c r="CK3124">
        <v>99</v>
      </c>
      <c r="CL3124">
        <v>-0.59</v>
      </c>
      <c r="CM3124">
        <v>99</v>
      </c>
      <c r="CN3124">
        <v>-0.18</v>
      </c>
      <c r="CO3124">
        <v>99</v>
      </c>
      <c r="CP3124">
        <v>-18.600000000000001</v>
      </c>
      <c r="CQ3124">
        <v>98</v>
      </c>
      <c r="CR3124">
        <v>0</v>
      </c>
      <c r="CS3124">
        <v>0</v>
      </c>
      <c r="CT3124">
        <v>-23.4</v>
      </c>
      <c r="CU3124">
        <v>98</v>
      </c>
      <c r="CV3124">
        <v>-0.04</v>
      </c>
      <c r="CW3124">
        <v>46</v>
      </c>
      <c r="CX3124" t="s">
        <v>193</v>
      </c>
    </row>
    <row r="3125" spans="1:102" x14ac:dyDescent="0.3">
      <c r="A3125" t="str">
        <f>HYPERLINK("https://webapp.icbf.com/v2/app/bull-search/view/77855197","MJP")</f>
        <v>MJP</v>
      </c>
      <c r="B3125" t="s">
        <v>11775</v>
      </c>
      <c r="C3125" t="s">
        <v>11776</v>
      </c>
      <c r="D3125" s="1">
        <v>32467</v>
      </c>
      <c r="E3125" t="s">
        <v>108</v>
      </c>
      <c r="F3125">
        <v>0</v>
      </c>
      <c r="G3125" t="s">
        <v>93</v>
      </c>
      <c r="H3125">
        <v>-12.97</v>
      </c>
      <c r="I3125">
        <v>87</v>
      </c>
      <c r="J3125">
        <v>-17.89</v>
      </c>
      <c r="K3125">
        <v>98</v>
      </c>
      <c r="L3125">
        <v>6.94</v>
      </c>
      <c r="M3125">
        <v>84</v>
      </c>
      <c r="N3125">
        <v>-1.52</v>
      </c>
      <c r="O3125">
        <v>75</v>
      </c>
      <c r="P3125">
        <v>-9.65</v>
      </c>
      <c r="Q3125">
        <v>89</v>
      </c>
      <c r="R3125">
        <v>-11.53</v>
      </c>
      <c r="S3125">
        <v>81</v>
      </c>
      <c r="T3125">
        <v>23.89</v>
      </c>
      <c r="U3125">
        <v>81</v>
      </c>
      <c r="V3125">
        <v>-3.21</v>
      </c>
      <c r="W3125">
        <v>62</v>
      </c>
      <c r="X3125" t="s">
        <v>94</v>
      </c>
      <c r="Y3125" t="s">
        <v>95</v>
      </c>
      <c r="Z3125" t="s">
        <v>96</v>
      </c>
      <c r="AA3125" t="s">
        <v>11777</v>
      </c>
      <c r="AB3125" t="s">
        <v>11778</v>
      </c>
      <c r="AC3125">
        <v>178</v>
      </c>
      <c r="AD3125">
        <v>76</v>
      </c>
      <c r="AE3125">
        <v>98</v>
      </c>
      <c r="AF3125">
        <v>-386.67</v>
      </c>
      <c r="AG3125">
        <v>-4.9800000000000004</v>
      </c>
      <c r="AH3125">
        <v>-7.2</v>
      </c>
      <c r="AI3125">
        <v>0.19</v>
      </c>
      <c r="AJ3125">
        <v>0.11</v>
      </c>
      <c r="AK3125">
        <v>84</v>
      </c>
      <c r="AL3125">
        <v>339</v>
      </c>
      <c r="AM3125">
        <v>147</v>
      </c>
      <c r="AN3125">
        <v>-0.63</v>
      </c>
      <c r="AO3125">
        <v>-0.08</v>
      </c>
      <c r="AP3125">
        <v>2</v>
      </c>
      <c r="AQ3125">
        <v>0</v>
      </c>
      <c r="AR3125">
        <v>6.78</v>
      </c>
      <c r="AS3125">
        <v>47</v>
      </c>
      <c r="AT3125">
        <v>2.71</v>
      </c>
      <c r="AU3125">
        <v>74</v>
      </c>
      <c r="AV3125">
        <v>-0.31</v>
      </c>
      <c r="AW3125">
        <v>83</v>
      </c>
      <c r="AX3125">
        <v>-0.12</v>
      </c>
      <c r="AY3125">
        <v>85</v>
      </c>
      <c r="AZ3125">
        <v>7.12</v>
      </c>
      <c r="BA3125">
        <v>44</v>
      </c>
      <c r="BB3125">
        <v>6.57</v>
      </c>
      <c r="BC3125">
        <v>69</v>
      </c>
      <c r="BD3125">
        <v>0.06</v>
      </c>
      <c r="BE3125">
        <v>0.05</v>
      </c>
      <c r="BF3125">
        <v>7.0000000000000007E-2</v>
      </c>
      <c r="BG3125">
        <v>96</v>
      </c>
      <c r="BH3125">
        <v>-0.17</v>
      </c>
      <c r="BI3125">
        <v>-9.31</v>
      </c>
      <c r="BJ3125">
        <v>13</v>
      </c>
      <c r="BK3125">
        <v>8</v>
      </c>
      <c r="BL3125">
        <v>-3.36</v>
      </c>
      <c r="BM3125">
        <v>0.99</v>
      </c>
      <c r="BN3125">
        <v>-3.33</v>
      </c>
      <c r="BO3125">
        <v>-3.23</v>
      </c>
      <c r="BP3125">
        <v>-0.69</v>
      </c>
      <c r="BQ3125">
        <v>0.59</v>
      </c>
      <c r="BR3125">
        <v>-0.68</v>
      </c>
      <c r="BS3125">
        <v>-1.7</v>
      </c>
      <c r="BT3125">
        <v>-0.11</v>
      </c>
      <c r="BU3125">
        <v>-3.37</v>
      </c>
      <c r="BV3125">
        <v>-3.39</v>
      </c>
      <c r="BW3125">
        <v>-2.97</v>
      </c>
      <c r="BX3125">
        <v>-2.96</v>
      </c>
      <c r="BY3125">
        <v>-2.25</v>
      </c>
      <c r="BZ3125">
        <v>-0.09</v>
      </c>
      <c r="CA3125">
        <v>-3.26</v>
      </c>
      <c r="CB3125">
        <v>-3.46</v>
      </c>
      <c r="CC3125">
        <v>-2.71</v>
      </c>
      <c r="CD3125">
        <v>3.15</v>
      </c>
      <c r="CE3125">
        <v>-3</v>
      </c>
      <c r="CF3125">
        <v>-2.92</v>
      </c>
      <c r="CG3125">
        <v>0</v>
      </c>
      <c r="CH3125">
        <v>-0.56000000000000005</v>
      </c>
      <c r="CI3125">
        <v>0</v>
      </c>
      <c r="CJ3125">
        <v>-5.2</v>
      </c>
      <c r="CK3125">
        <v>90</v>
      </c>
      <c r="CL3125">
        <v>0.12</v>
      </c>
      <c r="CM3125">
        <v>88</v>
      </c>
      <c r="CN3125">
        <v>0.18</v>
      </c>
      <c r="CO3125">
        <v>87</v>
      </c>
      <c r="CP3125">
        <v>-10.7</v>
      </c>
      <c r="CQ3125">
        <v>93</v>
      </c>
      <c r="CR3125">
        <v>0</v>
      </c>
      <c r="CS3125">
        <v>0</v>
      </c>
      <c r="CT3125">
        <v>-18.5</v>
      </c>
      <c r="CU3125">
        <v>81</v>
      </c>
      <c r="CV3125">
        <v>0.08</v>
      </c>
      <c r="CW3125">
        <v>44</v>
      </c>
      <c r="CX3125" t="s">
        <v>8024</v>
      </c>
    </row>
    <row r="3126" spans="1:102" x14ac:dyDescent="0.3">
      <c r="A3126" t="str">
        <f>HYPERLINK("https://webapp.icbf.com/v2/app/bull-search/view/1196690704","RW2472")</f>
        <v>RW2472</v>
      </c>
      <c r="B3126" t="s">
        <v>7894</v>
      </c>
      <c r="C3126" t="s">
        <v>7895</v>
      </c>
      <c r="D3126" s="1">
        <v>40978</v>
      </c>
      <c r="E3126" t="s">
        <v>59</v>
      </c>
      <c r="F3126">
        <v>0</v>
      </c>
      <c r="G3126" t="s">
        <v>109</v>
      </c>
      <c r="H3126">
        <v>-13</v>
      </c>
      <c r="I3126">
        <v>59</v>
      </c>
      <c r="J3126">
        <v>-85.53</v>
      </c>
      <c r="K3126">
        <v>80</v>
      </c>
      <c r="L3126">
        <v>65.760000000000005</v>
      </c>
      <c r="M3126">
        <v>61</v>
      </c>
      <c r="N3126">
        <v>5.15</v>
      </c>
      <c r="O3126">
        <v>42</v>
      </c>
      <c r="P3126">
        <v>-29.32</v>
      </c>
      <c r="Q3126">
        <v>35</v>
      </c>
      <c r="R3126">
        <v>1.8</v>
      </c>
      <c r="S3126">
        <v>30</v>
      </c>
      <c r="T3126">
        <v>34.47</v>
      </c>
      <c r="U3126">
        <v>33</v>
      </c>
      <c r="V3126">
        <v>-5.33</v>
      </c>
      <c r="W3126">
        <v>29</v>
      </c>
      <c r="X3126" t="s">
        <v>428</v>
      </c>
      <c r="Y3126" t="s">
        <v>429</v>
      </c>
      <c r="Z3126">
        <v>0</v>
      </c>
      <c r="AA3126" t="s">
        <v>6017</v>
      </c>
      <c r="AB3126" t="s">
        <v>7896</v>
      </c>
      <c r="AC3126">
        <v>0</v>
      </c>
      <c r="AD3126">
        <v>0</v>
      </c>
      <c r="AE3126">
        <v>80</v>
      </c>
      <c r="AF3126">
        <v>-489.18</v>
      </c>
      <c r="AG3126">
        <v>-16.52</v>
      </c>
      <c r="AH3126">
        <v>-16.190000000000001</v>
      </c>
      <c r="AI3126">
        <v>0.04</v>
      </c>
      <c r="AJ3126">
        <v>0.01</v>
      </c>
      <c r="AK3126">
        <v>61</v>
      </c>
      <c r="AL3126">
        <v>0</v>
      </c>
      <c r="AM3126">
        <v>0</v>
      </c>
      <c r="AN3126">
        <v>-3.14</v>
      </c>
      <c r="AO3126">
        <v>2.11</v>
      </c>
      <c r="AP3126">
        <v>1</v>
      </c>
      <c r="AQ3126">
        <v>0</v>
      </c>
      <c r="AR3126">
        <v>7.28</v>
      </c>
      <c r="AS3126">
        <v>24</v>
      </c>
      <c r="AT3126">
        <v>2.72</v>
      </c>
      <c r="AU3126">
        <v>77</v>
      </c>
      <c r="AV3126">
        <v>-0.73</v>
      </c>
      <c r="AW3126">
        <v>38</v>
      </c>
      <c r="AX3126">
        <v>0.05</v>
      </c>
      <c r="AY3126">
        <v>35</v>
      </c>
      <c r="AZ3126">
        <v>6.95</v>
      </c>
      <c r="BA3126">
        <v>15</v>
      </c>
      <c r="BB3126">
        <v>5.75</v>
      </c>
      <c r="BC3126">
        <v>15</v>
      </c>
      <c r="BD3126">
        <v>-0.02</v>
      </c>
      <c r="BE3126">
        <v>-0.02</v>
      </c>
      <c r="BF3126">
        <v>0.03</v>
      </c>
      <c r="BG3126">
        <v>36</v>
      </c>
      <c r="BH3126">
        <v>-0.03</v>
      </c>
      <c r="BI3126">
        <v>13.72</v>
      </c>
      <c r="BJ3126">
        <v>0</v>
      </c>
      <c r="BK3126">
        <v>0</v>
      </c>
      <c r="BL3126">
        <v>0</v>
      </c>
      <c r="BM3126">
        <v>0</v>
      </c>
      <c r="BN3126">
        <v>0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  <c r="CI3126">
        <v>0</v>
      </c>
      <c r="CJ3126">
        <v>-12.4</v>
      </c>
      <c r="CK3126">
        <v>36</v>
      </c>
      <c r="CL3126">
        <v>-0.95</v>
      </c>
      <c r="CM3126">
        <v>35</v>
      </c>
      <c r="CN3126">
        <v>-0.1</v>
      </c>
      <c r="CO3126">
        <v>35</v>
      </c>
      <c r="CP3126">
        <v>-23.8</v>
      </c>
      <c r="CQ3126">
        <v>34</v>
      </c>
      <c r="CR3126">
        <v>0</v>
      </c>
      <c r="CS3126">
        <v>0</v>
      </c>
      <c r="CT3126">
        <v>-32.799999999999997</v>
      </c>
      <c r="CU3126">
        <v>33</v>
      </c>
      <c r="CV3126">
        <v>-0.1</v>
      </c>
      <c r="CW3126">
        <v>32</v>
      </c>
      <c r="CX3126" t="s">
        <v>4509</v>
      </c>
    </row>
    <row r="3127" spans="1:102" x14ac:dyDescent="0.3">
      <c r="A3127" t="str">
        <f>HYPERLINK("https://webapp.icbf.com/v2/app/bull-search/view/444473029","RTU")</f>
        <v>RTU</v>
      </c>
      <c r="B3127" t="s">
        <v>219</v>
      </c>
      <c r="C3127" t="s">
        <v>220</v>
      </c>
      <c r="D3127" s="1">
        <v>36621</v>
      </c>
      <c r="E3127" t="s">
        <v>140</v>
      </c>
      <c r="F3127">
        <v>0</v>
      </c>
      <c r="G3127" t="s">
        <v>109</v>
      </c>
      <c r="H3127">
        <v>-13.06</v>
      </c>
      <c r="I3127">
        <v>65</v>
      </c>
      <c r="J3127">
        <v>-2.5299999999999998</v>
      </c>
      <c r="K3127">
        <v>73</v>
      </c>
      <c r="L3127">
        <v>-22.96</v>
      </c>
      <c r="M3127">
        <v>51</v>
      </c>
      <c r="N3127">
        <v>3.1</v>
      </c>
      <c r="O3127">
        <v>72</v>
      </c>
      <c r="P3127">
        <v>7.88</v>
      </c>
      <c r="Q3127">
        <v>87</v>
      </c>
      <c r="R3127">
        <v>4.5999999999999996</v>
      </c>
      <c r="S3127">
        <v>50</v>
      </c>
      <c r="T3127">
        <v>7.76</v>
      </c>
      <c r="U3127">
        <v>76</v>
      </c>
      <c r="V3127">
        <v>-10.91</v>
      </c>
      <c r="W3127">
        <v>44</v>
      </c>
      <c r="X3127" t="s">
        <v>102</v>
      </c>
      <c r="Y3127" t="s">
        <v>221</v>
      </c>
      <c r="Z3127">
        <v>0</v>
      </c>
      <c r="AA3127" t="s">
        <v>222</v>
      </c>
      <c r="AB3127" t="s">
        <v>223</v>
      </c>
      <c r="AC3127">
        <v>0</v>
      </c>
      <c r="AD3127">
        <v>0</v>
      </c>
      <c r="AE3127">
        <v>73</v>
      </c>
      <c r="AF3127">
        <v>16.39</v>
      </c>
      <c r="AG3127">
        <v>-0.79</v>
      </c>
      <c r="AH3127">
        <v>0.1</v>
      </c>
      <c r="AI3127">
        <v>-0.02</v>
      </c>
      <c r="AJ3127">
        <v>-0.01</v>
      </c>
      <c r="AK3127">
        <v>51</v>
      </c>
      <c r="AL3127">
        <v>41</v>
      </c>
      <c r="AM3127">
        <v>20</v>
      </c>
      <c r="AN3127">
        <v>1.31</v>
      </c>
      <c r="AO3127">
        <v>-0.52</v>
      </c>
      <c r="AP3127">
        <v>79</v>
      </c>
      <c r="AQ3127">
        <v>3</v>
      </c>
      <c r="AR3127">
        <v>5.92</v>
      </c>
      <c r="AS3127">
        <v>59</v>
      </c>
      <c r="AT3127">
        <v>3.4</v>
      </c>
      <c r="AU3127">
        <v>67</v>
      </c>
      <c r="AV3127">
        <v>0</v>
      </c>
      <c r="AW3127">
        <v>91</v>
      </c>
      <c r="AX3127">
        <v>0.54</v>
      </c>
      <c r="AY3127">
        <v>66</v>
      </c>
      <c r="AZ3127">
        <v>6</v>
      </c>
      <c r="BA3127">
        <v>41</v>
      </c>
      <c r="BB3127">
        <v>4.6100000000000003</v>
      </c>
      <c r="BC3127">
        <v>45</v>
      </c>
      <c r="BD3127">
        <v>0.02</v>
      </c>
      <c r="BE3127">
        <v>-0.01</v>
      </c>
      <c r="BF3127">
        <v>-0.12</v>
      </c>
      <c r="BG3127">
        <v>56</v>
      </c>
      <c r="BH3127">
        <v>-0.21</v>
      </c>
      <c r="BI3127">
        <v>10.9</v>
      </c>
      <c r="BJ3127">
        <v>0</v>
      </c>
      <c r="BK3127">
        <v>0</v>
      </c>
      <c r="BL3127">
        <v>-0.92</v>
      </c>
      <c r="BM3127">
        <v>3.35</v>
      </c>
      <c r="BN3127">
        <v>-1.53</v>
      </c>
      <c r="BO3127">
        <v>-2.9</v>
      </c>
      <c r="BP3127">
        <v>3.82</v>
      </c>
      <c r="BQ3127">
        <v>-1.72</v>
      </c>
      <c r="BR3127">
        <v>-2.2400000000000002</v>
      </c>
      <c r="BS3127">
        <v>-0.37</v>
      </c>
      <c r="BT3127">
        <v>2.25</v>
      </c>
      <c r="BU3127">
        <v>-3.05</v>
      </c>
      <c r="BV3127">
        <v>-3.39</v>
      </c>
      <c r="BW3127">
        <v>-2.64</v>
      </c>
      <c r="BX3127">
        <v>-2.54</v>
      </c>
      <c r="BY3127">
        <v>-1.99</v>
      </c>
      <c r="BZ3127">
        <v>0.92</v>
      </c>
      <c r="CA3127">
        <v>-2.25</v>
      </c>
      <c r="CB3127">
        <v>-2.83</v>
      </c>
      <c r="CC3127">
        <v>-0.46</v>
      </c>
      <c r="CD3127">
        <v>3.66</v>
      </c>
      <c r="CE3127">
        <v>-2.88</v>
      </c>
      <c r="CF3127">
        <v>-1.24</v>
      </c>
      <c r="CG3127">
        <v>0</v>
      </c>
      <c r="CH3127">
        <v>-2.5499999999999998</v>
      </c>
      <c r="CI3127">
        <v>0</v>
      </c>
      <c r="CJ3127">
        <v>3.8</v>
      </c>
      <c r="CK3127">
        <v>89</v>
      </c>
      <c r="CL3127">
        <v>0.28999999999999998</v>
      </c>
      <c r="CM3127">
        <v>87</v>
      </c>
      <c r="CN3127">
        <v>0.06</v>
      </c>
      <c r="CO3127">
        <v>86</v>
      </c>
      <c r="CP3127">
        <v>2.2999999999999998</v>
      </c>
      <c r="CQ3127">
        <v>80</v>
      </c>
      <c r="CR3127">
        <v>0</v>
      </c>
      <c r="CS3127">
        <v>0</v>
      </c>
      <c r="CT3127">
        <v>3.3</v>
      </c>
      <c r="CU3127">
        <v>76</v>
      </c>
      <c r="CV3127">
        <v>-0.11</v>
      </c>
      <c r="CW3127">
        <v>25</v>
      </c>
      <c r="CX3127" t="s">
        <v>224</v>
      </c>
    </row>
    <row r="3128" spans="1:102" x14ac:dyDescent="0.3">
      <c r="A3128" t="str">
        <f>HYPERLINK("https://webapp.icbf.com/v2/app/bull-search/view/77859421","AVV")</f>
        <v>AVV</v>
      </c>
      <c r="B3128" t="s">
        <v>636</v>
      </c>
      <c r="C3128" t="s">
        <v>637</v>
      </c>
      <c r="D3128" s="1">
        <v>32770</v>
      </c>
      <c r="E3128" t="s">
        <v>92</v>
      </c>
      <c r="F3128">
        <v>100</v>
      </c>
      <c r="G3128" t="s">
        <v>93</v>
      </c>
      <c r="H3128">
        <v>-13.06</v>
      </c>
      <c r="I3128">
        <v>88</v>
      </c>
      <c r="J3128">
        <v>-35.01</v>
      </c>
      <c r="K3128">
        <v>98</v>
      </c>
      <c r="L3128">
        <v>8.6</v>
      </c>
      <c r="M3128">
        <v>82</v>
      </c>
      <c r="N3128">
        <v>13.86</v>
      </c>
      <c r="O3128">
        <v>81</v>
      </c>
      <c r="P3128">
        <v>-17.13</v>
      </c>
      <c r="Q3128">
        <v>92</v>
      </c>
      <c r="R3128">
        <v>-2.91</v>
      </c>
      <c r="S3128">
        <v>81</v>
      </c>
      <c r="T3128">
        <v>23.96</v>
      </c>
      <c r="U3128">
        <v>91</v>
      </c>
      <c r="V3128">
        <v>-4.43</v>
      </c>
      <c r="W3128">
        <v>69</v>
      </c>
      <c r="X3128" t="s">
        <v>94</v>
      </c>
      <c r="Y3128" t="s">
        <v>95</v>
      </c>
      <c r="Z3128" t="s">
        <v>96</v>
      </c>
      <c r="AA3128" t="s">
        <v>638</v>
      </c>
      <c r="AB3128" t="s">
        <v>639</v>
      </c>
      <c r="AC3128">
        <v>245</v>
      </c>
      <c r="AD3128">
        <v>163</v>
      </c>
      <c r="AE3128">
        <v>98</v>
      </c>
      <c r="AF3128">
        <v>-274.58999999999997</v>
      </c>
      <c r="AG3128">
        <v>-4.91</v>
      </c>
      <c r="AH3128">
        <v>-8.42</v>
      </c>
      <c r="AI3128">
        <v>0.1</v>
      </c>
      <c r="AJ3128">
        <v>0.02</v>
      </c>
      <c r="AK3128">
        <v>82</v>
      </c>
      <c r="AL3128">
        <v>419</v>
      </c>
      <c r="AM3128">
        <v>273</v>
      </c>
      <c r="AN3128">
        <v>-0.94</v>
      </c>
      <c r="AO3128">
        <v>-0.26</v>
      </c>
      <c r="AP3128">
        <v>20</v>
      </c>
      <c r="AQ3128">
        <v>0</v>
      </c>
      <c r="AR3128">
        <v>4.91</v>
      </c>
      <c r="AS3128">
        <v>48</v>
      </c>
      <c r="AT3128">
        <v>2.21</v>
      </c>
      <c r="AU3128">
        <v>80</v>
      </c>
      <c r="AV3128">
        <v>-0.09</v>
      </c>
      <c r="AW3128">
        <v>89</v>
      </c>
      <c r="AX3128">
        <v>-0.45</v>
      </c>
      <c r="AY3128">
        <v>90</v>
      </c>
      <c r="AZ3128">
        <v>6.23</v>
      </c>
      <c r="BA3128">
        <v>50</v>
      </c>
      <c r="BB3128">
        <v>5.31</v>
      </c>
      <c r="BC3128">
        <v>78</v>
      </c>
      <c r="BD3128">
        <v>0.03</v>
      </c>
      <c r="BE3128">
        <v>0.03</v>
      </c>
      <c r="BF3128">
        <v>-0.04</v>
      </c>
      <c r="BG3128">
        <v>96</v>
      </c>
      <c r="BH3128">
        <v>0.06</v>
      </c>
      <c r="BI3128">
        <v>21.24</v>
      </c>
      <c r="BJ3128">
        <v>49</v>
      </c>
      <c r="BK3128">
        <v>36</v>
      </c>
      <c r="BL3128">
        <v>-1.1299999999999999</v>
      </c>
      <c r="BM3128">
        <v>-2.2599999999999998</v>
      </c>
      <c r="BN3128">
        <v>-1.68</v>
      </c>
      <c r="BO3128">
        <v>7.0000000000000007E-2</v>
      </c>
      <c r="BP3128">
        <v>-1.08</v>
      </c>
      <c r="BQ3128">
        <v>-2.61</v>
      </c>
      <c r="BR3128">
        <v>-0.62</v>
      </c>
      <c r="BS3128">
        <v>-0.2</v>
      </c>
      <c r="BT3128">
        <v>0.5</v>
      </c>
      <c r="BU3128">
        <v>0.06</v>
      </c>
      <c r="BV3128">
        <v>-0.85</v>
      </c>
      <c r="BW3128">
        <v>-1.1599999999999999</v>
      </c>
      <c r="BX3128">
        <v>1.1100000000000001</v>
      </c>
      <c r="BY3128">
        <v>0.77</v>
      </c>
      <c r="BZ3128">
        <v>-0.28999999999999998</v>
      </c>
      <c r="CA3128">
        <v>-0.38</v>
      </c>
      <c r="CB3128">
        <v>-0.42</v>
      </c>
      <c r="CC3128">
        <v>-0.3</v>
      </c>
      <c r="CD3128">
        <v>-1.28</v>
      </c>
      <c r="CE3128">
        <v>0.24</v>
      </c>
      <c r="CF3128">
        <v>-1.46</v>
      </c>
      <c r="CG3128">
        <v>0</v>
      </c>
      <c r="CH3128">
        <v>-1.1599999999999999</v>
      </c>
      <c r="CI3128">
        <v>0</v>
      </c>
      <c r="CJ3128">
        <v>-10.1</v>
      </c>
      <c r="CK3128">
        <v>92</v>
      </c>
      <c r="CL3128">
        <v>-0.39</v>
      </c>
      <c r="CM3128">
        <v>91</v>
      </c>
      <c r="CN3128">
        <v>-0.32</v>
      </c>
      <c r="CO3128">
        <v>89</v>
      </c>
      <c r="CP3128">
        <v>-19.399999999999999</v>
      </c>
      <c r="CQ3128">
        <v>95</v>
      </c>
      <c r="CR3128">
        <v>0</v>
      </c>
      <c r="CS3128">
        <v>0</v>
      </c>
      <c r="CT3128">
        <v>-18.600000000000001</v>
      </c>
      <c r="CU3128">
        <v>91</v>
      </c>
      <c r="CV3128">
        <v>-0.13</v>
      </c>
      <c r="CW3128">
        <v>26</v>
      </c>
      <c r="CX3128" t="s">
        <v>640</v>
      </c>
    </row>
    <row r="3129" spans="1:102" x14ac:dyDescent="0.3">
      <c r="A3129" t="str">
        <f>HYPERLINK("https://webapp.icbf.com/v2/app/bull-search/view/77855950","KLF")</f>
        <v>KLF</v>
      </c>
      <c r="B3129" t="s">
        <v>11043</v>
      </c>
      <c r="C3129" t="s">
        <v>11044</v>
      </c>
      <c r="D3129" s="1">
        <v>33202</v>
      </c>
      <c r="E3129" t="s">
        <v>92</v>
      </c>
      <c r="F3129">
        <v>88</v>
      </c>
      <c r="G3129" t="s">
        <v>93</v>
      </c>
      <c r="H3129">
        <v>-13.07</v>
      </c>
      <c r="I3129">
        <v>70</v>
      </c>
      <c r="J3129">
        <v>-31.03</v>
      </c>
      <c r="K3129">
        <v>90</v>
      </c>
      <c r="L3129">
        <v>7.09</v>
      </c>
      <c r="M3129">
        <v>64</v>
      </c>
      <c r="N3129">
        <v>16.23</v>
      </c>
      <c r="O3129">
        <v>51</v>
      </c>
      <c r="P3129">
        <v>-16.260000000000002</v>
      </c>
      <c r="Q3129">
        <v>68</v>
      </c>
      <c r="R3129">
        <v>-2.78</v>
      </c>
      <c r="S3129">
        <v>66</v>
      </c>
      <c r="T3129">
        <v>18.78</v>
      </c>
      <c r="U3129">
        <v>62</v>
      </c>
      <c r="V3129">
        <v>-5.0999999999999996</v>
      </c>
      <c r="W3129">
        <v>33</v>
      </c>
      <c r="X3129" t="s">
        <v>94</v>
      </c>
      <c r="Y3129" t="s">
        <v>95</v>
      </c>
      <c r="Z3129" t="s">
        <v>96</v>
      </c>
      <c r="AA3129" t="s">
        <v>537</v>
      </c>
      <c r="AB3129" t="s">
        <v>11045</v>
      </c>
      <c r="AC3129">
        <v>52</v>
      </c>
      <c r="AD3129">
        <v>40</v>
      </c>
      <c r="AE3129">
        <v>90</v>
      </c>
      <c r="AF3129">
        <v>-277.14</v>
      </c>
      <c r="AG3129">
        <v>-2.23</v>
      </c>
      <c r="AH3129">
        <v>-8.73</v>
      </c>
      <c r="AI3129">
        <v>0.15</v>
      </c>
      <c r="AJ3129">
        <v>0.01</v>
      </c>
      <c r="AK3129">
        <v>64</v>
      </c>
      <c r="AL3129">
        <v>102</v>
      </c>
      <c r="AM3129">
        <v>81</v>
      </c>
      <c r="AN3129">
        <v>-0.78</v>
      </c>
      <c r="AO3129">
        <v>-0.22</v>
      </c>
      <c r="AP3129">
        <v>7</v>
      </c>
      <c r="AQ3129">
        <v>1</v>
      </c>
      <c r="AR3129">
        <v>5.94</v>
      </c>
      <c r="AS3129">
        <v>26</v>
      </c>
      <c r="AT3129">
        <v>2.87</v>
      </c>
      <c r="AU3129">
        <v>48</v>
      </c>
      <c r="AV3129">
        <v>-1.1200000000000001</v>
      </c>
      <c r="AW3129">
        <v>59</v>
      </c>
      <c r="AX3129">
        <v>-0.61</v>
      </c>
      <c r="AY3129">
        <v>61</v>
      </c>
      <c r="AZ3129">
        <v>6.49</v>
      </c>
      <c r="BA3129">
        <v>28</v>
      </c>
      <c r="BB3129">
        <v>5.07</v>
      </c>
      <c r="BC3129">
        <v>42</v>
      </c>
      <c r="BD3129">
        <v>0</v>
      </c>
      <c r="BE3129">
        <v>0.06</v>
      </c>
      <c r="BF3129">
        <v>-0.05</v>
      </c>
      <c r="BG3129">
        <v>86</v>
      </c>
      <c r="BH3129">
        <v>-0.08</v>
      </c>
      <c r="BI3129">
        <v>7.2</v>
      </c>
      <c r="BJ3129">
        <v>14</v>
      </c>
      <c r="BK3129">
        <v>12</v>
      </c>
      <c r="BL3129">
        <v>-1.26</v>
      </c>
      <c r="BM3129">
        <v>0.04</v>
      </c>
      <c r="BN3129">
        <v>-1.89</v>
      </c>
      <c r="BO3129">
        <v>-1.44</v>
      </c>
      <c r="BP3129">
        <v>-0.04</v>
      </c>
      <c r="BQ3129">
        <v>-2.4700000000000002</v>
      </c>
      <c r="BR3129">
        <v>0</v>
      </c>
      <c r="BS3129">
        <v>0.22</v>
      </c>
      <c r="BT3129">
        <v>-0.81</v>
      </c>
      <c r="BU3129">
        <v>-1.02</v>
      </c>
      <c r="BV3129">
        <v>-0.7</v>
      </c>
      <c r="BW3129">
        <v>-0.84</v>
      </c>
      <c r="BX3129">
        <v>-0.83</v>
      </c>
      <c r="BY3129">
        <v>-1.86</v>
      </c>
      <c r="BZ3129">
        <v>1.1599999999999999</v>
      </c>
      <c r="CA3129">
        <v>-0.9</v>
      </c>
      <c r="CB3129">
        <v>-1.02</v>
      </c>
      <c r="CC3129">
        <v>-0.28000000000000003</v>
      </c>
      <c r="CD3129">
        <v>0.84</v>
      </c>
      <c r="CE3129">
        <v>-1.19</v>
      </c>
      <c r="CF3129">
        <v>-2.0499999999999998</v>
      </c>
      <c r="CG3129">
        <v>0</v>
      </c>
      <c r="CH3129">
        <v>-1.02</v>
      </c>
      <c r="CI3129">
        <v>0</v>
      </c>
      <c r="CJ3129">
        <v>-7.3</v>
      </c>
      <c r="CK3129">
        <v>70</v>
      </c>
      <c r="CL3129">
        <v>-0.63</v>
      </c>
      <c r="CM3129">
        <v>66</v>
      </c>
      <c r="CN3129">
        <v>-0.14000000000000001</v>
      </c>
      <c r="CO3129">
        <v>61</v>
      </c>
      <c r="CP3129">
        <v>-8.8000000000000007</v>
      </c>
      <c r="CQ3129">
        <v>76</v>
      </c>
      <c r="CR3129">
        <v>0</v>
      </c>
      <c r="CS3129">
        <v>0</v>
      </c>
      <c r="CT3129">
        <v>-11.6</v>
      </c>
      <c r="CU3129">
        <v>62</v>
      </c>
      <c r="CV3129">
        <v>0.06</v>
      </c>
      <c r="CW3129">
        <v>19</v>
      </c>
      <c r="CX3129" t="s">
        <v>3715</v>
      </c>
    </row>
    <row r="3130" spans="1:102" x14ac:dyDescent="0.3">
      <c r="A3130" t="str">
        <f>HYPERLINK("https://webapp.icbf.com/v2/app/bull-search/view/77858131","EDY")</f>
        <v>EDY</v>
      </c>
      <c r="B3130" t="s">
        <v>3416</v>
      </c>
      <c r="C3130" t="s">
        <v>3417</v>
      </c>
      <c r="D3130" s="1">
        <v>33948</v>
      </c>
      <c r="E3130" t="s">
        <v>92</v>
      </c>
      <c r="F3130">
        <v>100</v>
      </c>
      <c r="G3130" t="s">
        <v>109</v>
      </c>
      <c r="H3130">
        <v>-13.16</v>
      </c>
      <c r="I3130">
        <v>86</v>
      </c>
      <c r="J3130">
        <v>7.09</v>
      </c>
      <c r="K3130">
        <v>95</v>
      </c>
      <c r="L3130">
        <v>-33.08</v>
      </c>
      <c r="M3130">
        <v>87</v>
      </c>
      <c r="N3130">
        <v>-1.94</v>
      </c>
      <c r="O3130">
        <v>74</v>
      </c>
      <c r="P3130">
        <v>0.67</v>
      </c>
      <c r="Q3130">
        <v>84</v>
      </c>
      <c r="R3130">
        <v>-8.77</v>
      </c>
      <c r="S3130">
        <v>80</v>
      </c>
      <c r="T3130">
        <v>15.38</v>
      </c>
      <c r="U3130">
        <v>77</v>
      </c>
      <c r="V3130">
        <v>7.49</v>
      </c>
      <c r="W3130">
        <v>70</v>
      </c>
      <c r="X3130" t="s">
        <v>102</v>
      </c>
      <c r="Y3130" t="s">
        <v>95</v>
      </c>
      <c r="Z3130" t="s">
        <v>96</v>
      </c>
      <c r="AA3130" t="s">
        <v>1463</v>
      </c>
      <c r="AB3130" t="s">
        <v>3418</v>
      </c>
      <c r="AC3130">
        <v>31</v>
      </c>
      <c r="AD3130">
        <v>22</v>
      </c>
      <c r="AE3130">
        <v>95</v>
      </c>
      <c r="AF3130">
        <v>-21.41</v>
      </c>
      <c r="AG3130">
        <v>-0.46</v>
      </c>
      <c r="AH3130">
        <v>1.04</v>
      </c>
      <c r="AI3130">
        <v>0.01</v>
      </c>
      <c r="AJ3130">
        <v>0.03</v>
      </c>
      <c r="AK3130">
        <v>87</v>
      </c>
      <c r="AL3130">
        <v>42</v>
      </c>
      <c r="AM3130">
        <v>23</v>
      </c>
      <c r="AN3130">
        <v>1.68</v>
      </c>
      <c r="AO3130">
        <v>-0.96</v>
      </c>
      <c r="AP3130">
        <v>6</v>
      </c>
      <c r="AQ3130">
        <v>11</v>
      </c>
      <c r="AR3130">
        <v>7.48</v>
      </c>
      <c r="AS3130">
        <v>62</v>
      </c>
      <c r="AT3130">
        <v>3.53</v>
      </c>
      <c r="AU3130">
        <v>87</v>
      </c>
      <c r="AV3130">
        <v>0.09</v>
      </c>
      <c r="AW3130">
        <v>75</v>
      </c>
      <c r="AX3130">
        <v>-0.54</v>
      </c>
      <c r="AY3130">
        <v>71</v>
      </c>
      <c r="AZ3130">
        <v>6.02</v>
      </c>
      <c r="BA3130">
        <v>55</v>
      </c>
      <c r="BB3130">
        <v>4.9800000000000004</v>
      </c>
      <c r="BC3130">
        <v>62</v>
      </c>
      <c r="BD3130">
        <v>0.04</v>
      </c>
      <c r="BE3130">
        <v>0.05</v>
      </c>
      <c r="BF3130">
        <v>0.04</v>
      </c>
      <c r="BG3130">
        <v>92</v>
      </c>
      <c r="BH3130">
        <v>0.22</v>
      </c>
      <c r="BI3130">
        <v>1.29</v>
      </c>
      <c r="BJ3130">
        <v>1</v>
      </c>
      <c r="BK3130">
        <v>1</v>
      </c>
      <c r="BL3130">
        <v>-0.03</v>
      </c>
      <c r="BM3130">
        <v>-0.91</v>
      </c>
      <c r="BN3130">
        <v>-0.6</v>
      </c>
      <c r="BO3130">
        <v>-0.05</v>
      </c>
      <c r="BP3130">
        <v>0.69</v>
      </c>
      <c r="BQ3130">
        <v>-0.52</v>
      </c>
      <c r="BR3130">
        <v>1.36</v>
      </c>
      <c r="BS3130">
        <v>-1.05</v>
      </c>
      <c r="BT3130">
        <v>-0.9</v>
      </c>
      <c r="BU3130">
        <v>0.04</v>
      </c>
      <c r="BV3130">
        <v>0.08</v>
      </c>
      <c r="BW3130">
        <v>-1.35</v>
      </c>
      <c r="BX3130">
        <v>0.31</v>
      </c>
      <c r="BY3130">
        <v>0.2</v>
      </c>
      <c r="BZ3130">
        <v>-1.18</v>
      </c>
      <c r="CA3130">
        <v>-0.67</v>
      </c>
      <c r="CB3130">
        <v>-0.48</v>
      </c>
      <c r="CC3130">
        <v>-0.82</v>
      </c>
      <c r="CD3130">
        <v>-0.98</v>
      </c>
      <c r="CE3130">
        <v>0.08</v>
      </c>
      <c r="CF3130">
        <v>-0.38</v>
      </c>
      <c r="CG3130">
        <v>0</v>
      </c>
      <c r="CH3130">
        <v>-0.15</v>
      </c>
      <c r="CI3130">
        <v>0</v>
      </c>
      <c r="CJ3130">
        <v>-1.3</v>
      </c>
      <c r="CK3130">
        <v>85</v>
      </c>
      <c r="CL3130">
        <v>-0.06</v>
      </c>
      <c r="CM3130">
        <v>83</v>
      </c>
      <c r="CN3130">
        <v>-0.39</v>
      </c>
      <c r="CO3130">
        <v>80</v>
      </c>
      <c r="CP3130">
        <v>-9.9</v>
      </c>
      <c r="CQ3130">
        <v>84</v>
      </c>
      <c r="CR3130">
        <v>0</v>
      </c>
      <c r="CS3130">
        <v>0</v>
      </c>
      <c r="CT3130">
        <v>-7</v>
      </c>
      <c r="CU3130">
        <v>77</v>
      </c>
      <c r="CV3130">
        <v>-0.15</v>
      </c>
      <c r="CW3130">
        <v>43</v>
      </c>
      <c r="CX3130" t="s">
        <v>166</v>
      </c>
    </row>
    <row r="3131" spans="1:102" x14ac:dyDescent="0.3">
      <c r="A3131" t="str">
        <f>HYPERLINK("https://webapp.icbf.com/v2/app/bull-search/view/77854180","RVG")</f>
        <v>RVG</v>
      </c>
      <c r="B3131" t="s">
        <v>10658</v>
      </c>
      <c r="C3131" t="s">
        <v>10659</v>
      </c>
      <c r="D3131" s="1">
        <v>32553</v>
      </c>
      <c r="E3131" t="s">
        <v>92</v>
      </c>
      <c r="F3131">
        <v>81</v>
      </c>
      <c r="G3131" t="s">
        <v>93</v>
      </c>
      <c r="H3131">
        <v>-13.23</v>
      </c>
      <c r="I3131">
        <v>66</v>
      </c>
      <c r="J3131">
        <v>-56.71</v>
      </c>
      <c r="K3131">
        <v>77</v>
      </c>
      <c r="L3131">
        <v>42.38</v>
      </c>
      <c r="M3131">
        <v>63</v>
      </c>
      <c r="N3131">
        <v>-0.68</v>
      </c>
      <c r="O3131">
        <v>53</v>
      </c>
      <c r="P3131">
        <v>-14.94</v>
      </c>
      <c r="Q3131">
        <v>73</v>
      </c>
      <c r="R3131">
        <v>-4.42</v>
      </c>
      <c r="S3131">
        <v>61</v>
      </c>
      <c r="T3131">
        <v>23.67</v>
      </c>
      <c r="U3131">
        <v>61</v>
      </c>
      <c r="V3131">
        <v>-2.5299999999999998</v>
      </c>
      <c r="W3131">
        <v>30</v>
      </c>
      <c r="X3131" t="s">
        <v>94</v>
      </c>
      <c r="Y3131" t="s">
        <v>95</v>
      </c>
      <c r="Z3131" t="s">
        <v>96</v>
      </c>
      <c r="AA3131" t="s">
        <v>620</v>
      </c>
      <c r="AB3131" t="s">
        <v>9849</v>
      </c>
      <c r="AC3131">
        <v>20</v>
      </c>
      <c r="AD3131">
        <v>19</v>
      </c>
      <c r="AE3131">
        <v>77</v>
      </c>
      <c r="AF3131">
        <v>-273.16000000000003</v>
      </c>
      <c r="AG3131">
        <v>-2.0499999999999998</v>
      </c>
      <c r="AH3131">
        <v>-13.1</v>
      </c>
      <c r="AI3131">
        <v>0.15</v>
      </c>
      <c r="AJ3131">
        <v>-0.06</v>
      </c>
      <c r="AK3131">
        <v>63</v>
      </c>
      <c r="AL3131">
        <v>81</v>
      </c>
      <c r="AM3131">
        <v>57</v>
      </c>
      <c r="AN3131">
        <v>-3.85</v>
      </c>
      <c r="AO3131">
        <v>-0.49</v>
      </c>
      <c r="AP3131">
        <v>20</v>
      </c>
      <c r="AQ3131">
        <v>2</v>
      </c>
      <c r="AR3131">
        <v>6.57</v>
      </c>
      <c r="AS3131">
        <v>36</v>
      </c>
      <c r="AT3131">
        <v>3.42</v>
      </c>
      <c r="AU3131">
        <v>48</v>
      </c>
      <c r="AV3131">
        <v>0.17</v>
      </c>
      <c r="AW3131">
        <v>63</v>
      </c>
      <c r="AX3131">
        <v>-0.06</v>
      </c>
      <c r="AY3131">
        <v>65</v>
      </c>
      <c r="AZ3131">
        <v>5.65</v>
      </c>
      <c r="BA3131">
        <v>26</v>
      </c>
      <c r="BB3131">
        <v>5.17</v>
      </c>
      <c r="BC3131">
        <v>39</v>
      </c>
      <c r="BD3131">
        <v>0.04</v>
      </c>
      <c r="BE3131">
        <v>0.05</v>
      </c>
      <c r="BF3131">
        <v>-0.06</v>
      </c>
      <c r="BG3131">
        <v>83</v>
      </c>
      <c r="BH3131">
        <v>-0.03</v>
      </c>
      <c r="BI3131">
        <v>4.68</v>
      </c>
      <c r="BJ3131">
        <v>11</v>
      </c>
      <c r="BK3131">
        <v>11</v>
      </c>
      <c r="BL3131">
        <v>-1.05</v>
      </c>
      <c r="BM3131">
        <v>-0.89</v>
      </c>
      <c r="BN3131">
        <v>-1.5</v>
      </c>
      <c r="BO3131">
        <v>-0.52</v>
      </c>
      <c r="BP3131">
        <v>-1.57</v>
      </c>
      <c r="BQ3131">
        <v>-1.22</v>
      </c>
      <c r="BR3131">
        <v>0.42</v>
      </c>
      <c r="BS3131">
        <v>-1.47</v>
      </c>
      <c r="BT3131">
        <v>-0.4</v>
      </c>
      <c r="BU3131">
        <v>-0.15</v>
      </c>
      <c r="BV3131">
        <v>-0.53</v>
      </c>
      <c r="BW3131">
        <v>-0.54</v>
      </c>
      <c r="BX3131">
        <v>0.93</v>
      </c>
      <c r="BY3131">
        <v>0.36</v>
      </c>
      <c r="BZ3131">
        <v>-1.1399999999999999</v>
      </c>
      <c r="CA3131">
        <v>-0.5</v>
      </c>
      <c r="CB3131">
        <v>-0.37</v>
      </c>
      <c r="CC3131">
        <v>-0.72</v>
      </c>
      <c r="CD3131">
        <v>-0.12</v>
      </c>
      <c r="CE3131">
        <v>-0.9</v>
      </c>
      <c r="CF3131">
        <v>-1.39</v>
      </c>
      <c r="CG3131">
        <v>0</v>
      </c>
      <c r="CH3131">
        <v>-0.49</v>
      </c>
      <c r="CI3131">
        <v>0</v>
      </c>
      <c r="CJ3131">
        <v>-6.4</v>
      </c>
      <c r="CK3131">
        <v>75</v>
      </c>
      <c r="CL3131">
        <v>-0.53</v>
      </c>
      <c r="CM3131">
        <v>71</v>
      </c>
      <c r="CN3131">
        <v>-0.14000000000000001</v>
      </c>
      <c r="CO3131">
        <v>67</v>
      </c>
      <c r="CP3131">
        <v>-15.2</v>
      </c>
      <c r="CQ3131">
        <v>69</v>
      </c>
      <c r="CR3131">
        <v>0</v>
      </c>
      <c r="CS3131">
        <v>0</v>
      </c>
      <c r="CT3131">
        <v>-18.2</v>
      </c>
      <c r="CU3131">
        <v>61</v>
      </c>
      <c r="CV3131">
        <v>0</v>
      </c>
      <c r="CW3131">
        <v>21</v>
      </c>
      <c r="CX3131" t="s">
        <v>7352</v>
      </c>
    </row>
    <row r="3132" spans="1:102" x14ac:dyDescent="0.3">
      <c r="A3132" t="str">
        <f>HYPERLINK("https://webapp.icbf.com/v2/app/bull-search/view/1028736975","S1543")</f>
        <v>S1543</v>
      </c>
      <c r="B3132" t="s">
        <v>9754</v>
      </c>
      <c r="C3132" t="s">
        <v>9755</v>
      </c>
      <c r="D3132" s="1">
        <v>40699</v>
      </c>
      <c r="E3132" t="s">
        <v>92</v>
      </c>
      <c r="F3132">
        <v>100</v>
      </c>
      <c r="G3132" t="s">
        <v>116</v>
      </c>
      <c r="H3132">
        <v>-13.3</v>
      </c>
      <c r="I3132">
        <v>32</v>
      </c>
      <c r="J3132">
        <v>29.22</v>
      </c>
      <c r="K3132">
        <v>21</v>
      </c>
      <c r="L3132">
        <v>-55.57</v>
      </c>
      <c r="M3132">
        <v>46</v>
      </c>
      <c r="N3132">
        <v>19.18</v>
      </c>
      <c r="O3132">
        <v>26</v>
      </c>
      <c r="P3132">
        <v>-3.97</v>
      </c>
      <c r="Q3132">
        <v>43</v>
      </c>
      <c r="R3132">
        <v>7.12</v>
      </c>
      <c r="S3132">
        <v>22</v>
      </c>
      <c r="T3132">
        <v>-9.26</v>
      </c>
      <c r="U3132">
        <v>31</v>
      </c>
      <c r="V3132">
        <v>-0.02</v>
      </c>
      <c r="W3132">
        <v>12</v>
      </c>
      <c r="X3132" t="s">
        <v>276</v>
      </c>
      <c r="Y3132" t="s">
        <v>362</v>
      </c>
      <c r="Z3132" t="s">
        <v>96</v>
      </c>
      <c r="AA3132" t="s">
        <v>9095</v>
      </c>
      <c r="AB3132" t="s">
        <v>9756</v>
      </c>
      <c r="AC3132">
        <v>0</v>
      </c>
      <c r="AD3132">
        <v>0</v>
      </c>
      <c r="AE3132">
        <v>21</v>
      </c>
      <c r="AF3132">
        <v>245.69</v>
      </c>
      <c r="AG3132">
        <v>4.24</v>
      </c>
      <c r="AH3132">
        <v>7.23</v>
      </c>
      <c r="AI3132">
        <v>-0.08</v>
      </c>
      <c r="AJ3132">
        <v>-0.02</v>
      </c>
      <c r="AK3132">
        <v>46</v>
      </c>
      <c r="AL3132">
        <v>0</v>
      </c>
      <c r="AM3132">
        <v>0</v>
      </c>
      <c r="AN3132">
        <v>4.7300000000000004</v>
      </c>
      <c r="AO3132">
        <v>0.32</v>
      </c>
      <c r="AP3132">
        <v>14</v>
      </c>
      <c r="AQ3132">
        <v>1</v>
      </c>
      <c r="AR3132">
        <v>6.45</v>
      </c>
      <c r="AS3132">
        <v>20</v>
      </c>
      <c r="AT3132">
        <v>3.07</v>
      </c>
      <c r="AU3132">
        <v>43</v>
      </c>
      <c r="AV3132">
        <v>-2.21</v>
      </c>
      <c r="AW3132">
        <v>18</v>
      </c>
      <c r="AX3132">
        <v>-0.22</v>
      </c>
      <c r="AY3132">
        <v>28</v>
      </c>
      <c r="AZ3132">
        <v>6.82</v>
      </c>
      <c r="BA3132">
        <v>20</v>
      </c>
      <c r="BB3132">
        <v>5.34</v>
      </c>
      <c r="BC3132">
        <v>19</v>
      </c>
      <c r="BD3132">
        <v>-0.01</v>
      </c>
      <c r="BE3132">
        <v>-0.03</v>
      </c>
      <c r="BF3132">
        <v>-0.09</v>
      </c>
      <c r="BG3132">
        <v>30</v>
      </c>
      <c r="BH3132">
        <v>0</v>
      </c>
      <c r="BI3132">
        <v>0.05</v>
      </c>
      <c r="BJ3132">
        <v>0</v>
      </c>
      <c r="BK3132">
        <v>0</v>
      </c>
      <c r="BL3132">
        <v>2.1800000000000002</v>
      </c>
      <c r="BM3132">
        <v>-0.28000000000000003</v>
      </c>
      <c r="BN3132">
        <v>0.86</v>
      </c>
      <c r="BO3132">
        <v>1.04</v>
      </c>
      <c r="BP3132">
        <v>-2.4500000000000002</v>
      </c>
      <c r="BQ3132">
        <v>1.33</v>
      </c>
      <c r="BR3132">
        <v>0.61</v>
      </c>
      <c r="BS3132">
        <v>1.67</v>
      </c>
      <c r="BT3132">
        <v>-0.89</v>
      </c>
      <c r="BU3132">
        <v>1.99</v>
      </c>
      <c r="BV3132">
        <v>2.4700000000000002</v>
      </c>
      <c r="BW3132">
        <v>0.8</v>
      </c>
      <c r="BX3132">
        <v>2.31</v>
      </c>
      <c r="BY3132">
        <v>-2.0499999999999998</v>
      </c>
      <c r="BZ3132">
        <v>3.15</v>
      </c>
      <c r="CA3132">
        <v>1.44</v>
      </c>
      <c r="CB3132">
        <v>1.1200000000000001</v>
      </c>
      <c r="CC3132">
        <v>1.33</v>
      </c>
      <c r="CD3132">
        <v>-0.77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1.3</v>
      </c>
      <c r="CK3132">
        <v>46</v>
      </c>
      <c r="CL3132">
        <v>-1.24</v>
      </c>
      <c r="CM3132">
        <v>41</v>
      </c>
      <c r="CN3132">
        <v>-0.56999999999999995</v>
      </c>
      <c r="CO3132">
        <v>39</v>
      </c>
      <c r="CP3132">
        <v>2.4</v>
      </c>
      <c r="CQ3132">
        <v>31</v>
      </c>
      <c r="CR3132">
        <v>0</v>
      </c>
      <c r="CS3132">
        <v>0</v>
      </c>
      <c r="CT3132">
        <v>26.3</v>
      </c>
      <c r="CU3132">
        <v>31</v>
      </c>
      <c r="CV3132">
        <v>0.37</v>
      </c>
      <c r="CW3132">
        <v>12</v>
      </c>
      <c r="CX3132" t="s">
        <v>2358</v>
      </c>
    </row>
    <row r="3133" spans="1:102" x14ac:dyDescent="0.3">
      <c r="A3133" t="str">
        <f>HYPERLINK("https://webapp.icbf.com/v2/app/bull-search/view/367291569","PVI")</f>
        <v>PVI</v>
      </c>
      <c r="B3133" t="s">
        <v>1151</v>
      </c>
      <c r="C3133" t="s">
        <v>1152</v>
      </c>
      <c r="D3133" s="1">
        <v>38171</v>
      </c>
      <c r="E3133" t="s">
        <v>92</v>
      </c>
      <c r="F3133">
        <v>100</v>
      </c>
      <c r="G3133" t="s">
        <v>116</v>
      </c>
      <c r="H3133">
        <v>-13.38</v>
      </c>
      <c r="I3133">
        <v>29</v>
      </c>
      <c r="J3133">
        <v>47.55</v>
      </c>
      <c r="K3133">
        <v>10</v>
      </c>
      <c r="L3133">
        <v>-71.790000000000006</v>
      </c>
      <c r="M3133">
        <v>34</v>
      </c>
      <c r="N3133">
        <v>4.8899999999999997</v>
      </c>
      <c r="O3133">
        <v>37</v>
      </c>
      <c r="P3133">
        <v>-11.73</v>
      </c>
      <c r="Q3133">
        <v>54</v>
      </c>
      <c r="R3133">
        <v>5.67</v>
      </c>
      <c r="S3133">
        <v>39</v>
      </c>
      <c r="T3133">
        <v>14.2</v>
      </c>
      <c r="U3133">
        <v>39</v>
      </c>
      <c r="V3133">
        <v>-2.17</v>
      </c>
      <c r="W3133">
        <v>38</v>
      </c>
      <c r="X3133" t="s">
        <v>94</v>
      </c>
      <c r="Y3133" t="s">
        <v>1153</v>
      </c>
      <c r="Z3133" t="s">
        <v>96</v>
      </c>
      <c r="AA3133" t="s">
        <v>771</v>
      </c>
      <c r="AB3133" t="s">
        <v>1154</v>
      </c>
      <c r="AC3133">
        <v>1</v>
      </c>
      <c r="AD3133">
        <v>1</v>
      </c>
      <c r="AE3133">
        <v>10</v>
      </c>
      <c r="AF3133">
        <v>133.47</v>
      </c>
      <c r="AG3133">
        <v>6.7</v>
      </c>
      <c r="AH3133">
        <v>7.76</v>
      </c>
      <c r="AI3133">
        <v>0.02</v>
      </c>
      <c r="AJ3133">
        <v>0.05</v>
      </c>
      <c r="AK3133">
        <v>34</v>
      </c>
      <c r="AL3133">
        <v>2</v>
      </c>
      <c r="AM3133">
        <v>2</v>
      </c>
      <c r="AN3133">
        <v>4.3099999999999996</v>
      </c>
      <c r="AO3133">
        <v>-1.41</v>
      </c>
      <c r="AP3133">
        <v>3</v>
      </c>
      <c r="AQ3133">
        <v>0</v>
      </c>
      <c r="AR3133">
        <v>8.8699999999999992</v>
      </c>
      <c r="AS3133">
        <v>35</v>
      </c>
      <c r="AT3133">
        <v>3.59</v>
      </c>
      <c r="AU3133">
        <v>37</v>
      </c>
      <c r="AV3133">
        <v>-1.21</v>
      </c>
      <c r="AW3133">
        <v>39</v>
      </c>
      <c r="AX3133">
        <v>-0.61</v>
      </c>
      <c r="AY3133">
        <v>35</v>
      </c>
      <c r="AZ3133">
        <v>6.19</v>
      </c>
      <c r="BA3133">
        <v>33</v>
      </c>
      <c r="BB3133">
        <v>4.76</v>
      </c>
      <c r="BC3133">
        <v>33</v>
      </c>
      <c r="BD3133">
        <v>-0.05</v>
      </c>
      <c r="BE3133">
        <v>-0.03</v>
      </c>
      <c r="BF3133">
        <v>0.01</v>
      </c>
      <c r="BG3133">
        <v>42</v>
      </c>
      <c r="BH3133">
        <v>0.03</v>
      </c>
      <c r="BI3133">
        <v>10.47</v>
      </c>
      <c r="BJ3133">
        <v>0</v>
      </c>
      <c r="BK3133">
        <v>0</v>
      </c>
      <c r="BL3133">
        <v>-0.17</v>
      </c>
      <c r="BM3133">
        <v>0.34</v>
      </c>
      <c r="BN3133">
        <v>0.57999999999999996</v>
      </c>
      <c r="BO3133">
        <v>0.18</v>
      </c>
      <c r="BP3133">
        <v>0.1</v>
      </c>
      <c r="BQ3133">
        <v>-0.66</v>
      </c>
      <c r="BR3133">
        <v>-0.41</v>
      </c>
      <c r="BS3133">
        <v>-0.9</v>
      </c>
      <c r="BT3133">
        <v>0.06</v>
      </c>
      <c r="BU3133">
        <v>-0.31</v>
      </c>
      <c r="BV3133">
        <v>-0.05</v>
      </c>
      <c r="BW3133">
        <v>-0.01</v>
      </c>
      <c r="BX3133">
        <v>-1.03</v>
      </c>
      <c r="BY3133">
        <v>0.43</v>
      </c>
      <c r="BZ3133">
        <v>-0.61</v>
      </c>
      <c r="CA3133">
        <v>-0.21</v>
      </c>
      <c r="CB3133">
        <v>7.0000000000000007E-2</v>
      </c>
      <c r="CC3133">
        <v>-0.57999999999999996</v>
      </c>
      <c r="CD3133">
        <v>-0.15</v>
      </c>
      <c r="CE3133">
        <v>0.08</v>
      </c>
      <c r="CF3133">
        <v>-0.21</v>
      </c>
      <c r="CG3133">
        <v>0</v>
      </c>
      <c r="CH3133">
        <v>0.35</v>
      </c>
      <c r="CI3133">
        <v>0</v>
      </c>
      <c r="CJ3133">
        <v>-4.0999999999999996</v>
      </c>
      <c r="CK3133">
        <v>57</v>
      </c>
      <c r="CL3133">
        <v>-0.9</v>
      </c>
      <c r="CM3133">
        <v>53</v>
      </c>
      <c r="CN3133">
        <v>-0.35</v>
      </c>
      <c r="CO3133">
        <v>51</v>
      </c>
      <c r="CP3133">
        <v>-5.9</v>
      </c>
      <c r="CQ3133">
        <v>44</v>
      </c>
      <c r="CR3133">
        <v>0</v>
      </c>
      <c r="CS3133">
        <v>0</v>
      </c>
      <c r="CT3133">
        <v>-5.4</v>
      </c>
      <c r="CU3133">
        <v>39</v>
      </c>
      <c r="CV3133">
        <v>0.22</v>
      </c>
      <c r="CW3133">
        <v>19</v>
      </c>
      <c r="CX3133" t="s">
        <v>751</v>
      </c>
    </row>
    <row r="3134" spans="1:102" x14ac:dyDescent="0.3">
      <c r="A3134" t="str">
        <f>HYPERLINK("https://webapp.icbf.com/v2/app/bull-search/view/1619514066","FR4700")</f>
        <v>FR4700</v>
      </c>
      <c r="B3134" t="s">
        <v>6408</v>
      </c>
      <c r="C3134" t="s">
        <v>6409</v>
      </c>
      <c r="D3134" s="1">
        <v>42605</v>
      </c>
      <c r="E3134" t="s">
        <v>92</v>
      </c>
      <c r="F3134">
        <v>100</v>
      </c>
      <c r="G3134" t="s">
        <v>435</v>
      </c>
      <c r="H3134">
        <v>-13.64</v>
      </c>
      <c r="I3134">
        <v>68</v>
      </c>
      <c r="J3134">
        <v>24.01</v>
      </c>
      <c r="K3134">
        <v>88</v>
      </c>
      <c r="L3134">
        <v>-58.75</v>
      </c>
      <c r="M3134">
        <v>68</v>
      </c>
      <c r="N3134">
        <v>12.53</v>
      </c>
      <c r="O3134">
        <v>60</v>
      </c>
      <c r="P3134">
        <v>-2.2400000000000002</v>
      </c>
      <c r="Q3134">
        <v>37</v>
      </c>
      <c r="R3134">
        <v>28.86</v>
      </c>
      <c r="S3134">
        <v>64</v>
      </c>
      <c r="T3134">
        <v>-17.920000000000002</v>
      </c>
      <c r="U3134">
        <v>36</v>
      </c>
      <c r="V3134">
        <v>-0.13</v>
      </c>
      <c r="W3134">
        <v>57</v>
      </c>
      <c r="X3134" t="s">
        <v>428</v>
      </c>
      <c r="Y3134" t="s">
        <v>442</v>
      </c>
      <c r="Z3134" t="s">
        <v>96</v>
      </c>
      <c r="AA3134" t="s">
        <v>2403</v>
      </c>
      <c r="AB3134" t="s">
        <v>6410</v>
      </c>
      <c r="AC3134">
        <v>0</v>
      </c>
      <c r="AD3134">
        <v>0</v>
      </c>
      <c r="AE3134">
        <v>88</v>
      </c>
      <c r="AF3134">
        <v>308.79000000000002</v>
      </c>
      <c r="AG3134">
        <v>3.76</v>
      </c>
      <c r="AH3134">
        <v>7.48</v>
      </c>
      <c r="AI3134">
        <v>-0.14000000000000001</v>
      </c>
      <c r="AJ3134">
        <v>-0.05</v>
      </c>
      <c r="AK3134">
        <v>68</v>
      </c>
      <c r="AL3134">
        <v>0</v>
      </c>
      <c r="AM3134">
        <v>0</v>
      </c>
      <c r="AN3134">
        <v>5.17</v>
      </c>
      <c r="AO3134">
        <v>0.51</v>
      </c>
      <c r="AP3134">
        <v>29</v>
      </c>
      <c r="AQ3134">
        <v>0</v>
      </c>
      <c r="AR3134">
        <v>7.18</v>
      </c>
      <c r="AS3134">
        <v>61</v>
      </c>
      <c r="AT3134">
        <v>3.09</v>
      </c>
      <c r="AU3134">
        <v>89</v>
      </c>
      <c r="AV3134">
        <v>-1.22</v>
      </c>
      <c r="AW3134">
        <v>54</v>
      </c>
      <c r="AX3134">
        <v>0.28000000000000003</v>
      </c>
      <c r="AY3134">
        <v>49</v>
      </c>
      <c r="AZ3134">
        <v>5.84</v>
      </c>
      <c r="BA3134">
        <v>37</v>
      </c>
      <c r="BB3134">
        <v>4.74</v>
      </c>
      <c r="BC3134">
        <v>37</v>
      </c>
      <c r="BD3134">
        <v>-0.13</v>
      </c>
      <c r="BE3134">
        <v>-0.13</v>
      </c>
      <c r="BF3134">
        <v>-0.2</v>
      </c>
      <c r="BG3134">
        <v>76</v>
      </c>
      <c r="BH3134">
        <v>0.06</v>
      </c>
      <c r="BI3134">
        <v>7.36</v>
      </c>
      <c r="BJ3134">
        <v>0</v>
      </c>
      <c r="BK3134">
        <v>0</v>
      </c>
      <c r="BL3134">
        <v>2.52</v>
      </c>
      <c r="BM3134">
        <v>-1.19</v>
      </c>
      <c r="BN3134">
        <v>1.77</v>
      </c>
      <c r="BO3134">
        <v>1.96</v>
      </c>
      <c r="BP3134">
        <v>-0.14000000000000001</v>
      </c>
      <c r="BQ3134">
        <v>4.74</v>
      </c>
      <c r="BR3134">
        <v>2.2400000000000002</v>
      </c>
      <c r="BS3134">
        <v>1.77</v>
      </c>
      <c r="BT3134">
        <v>0.05</v>
      </c>
      <c r="BU3134">
        <v>5.27</v>
      </c>
      <c r="BV3134">
        <v>4.9800000000000004</v>
      </c>
      <c r="BW3134">
        <v>3.37</v>
      </c>
      <c r="BX3134">
        <v>4.4000000000000004</v>
      </c>
      <c r="BY3134">
        <v>1.35</v>
      </c>
      <c r="BZ3134">
        <v>-2.2599999999999998</v>
      </c>
      <c r="CA3134">
        <v>3.61</v>
      </c>
      <c r="CB3134">
        <v>3.68</v>
      </c>
      <c r="CC3134">
        <v>1.27</v>
      </c>
      <c r="CD3134">
        <v>-1.52</v>
      </c>
      <c r="CE3134">
        <v>1.22</v>
      </c>
      <c r="CF3134">
        <v>2.2599999999999998</v>
      </c>
      <c r="CG3134">
        <v>0</v>
      </c>
      <c r="CH3134">
        <v>2.42</v>
      </c>
      <c r="CI3134">
        <v>0</v>
      </c>
      <c r="CJ3134">
        <v>0.6</v>
      </c>
      <c r="CK3134">
        <v>37</v>
      </c>
      <c r="CL3134">
        <v>-2.0099999999999998</v>
      </c>
      <c r="CM3134">
        <v>37</v>
      </c>
      <c r="CN3134">
        <v>-1.37</v>
      </c>
      <c r="CO3134">
        <v>37</v>
      </c>
      <c r="CP3134">
        <v>10.9</v>
      </c>
      <c r="CQ3134">
        <v>36</v>
      </c>
      <c r="CR3134">
        <v>0</v>
      </c>
      <c r="CS3134">
        <v>0</v>
      </c>
      <c r="CT3134">
        <v>38</v>
      </c>
      <c r="CU3134">
        <v>36</v>
      </c>
      <c r="CV3134">
        <v>0.22</v>
      </c>
      <c r="CW3134">
        <v>32</v>
      </c>
      <c r="CX3134" t="s">
        <v>6411</v>
      </c>
    </row>
    <row r="3135" spans="1:102" x14ac:dyDescent="0.3">
      <c r="A3135" t="str">
        <f>HYPERLINK("https://webapp.icbf.com/v2/app/bull-search/view/403238546","JGE")</f>
        <v>JGE</v>
      </c>
      <c r="B3135" t="s">
        <v>1231</v>
      </c>
      <c r="C3135" t="s">
        <v>1232</v>
      </c>
      <c r="D3135" s="1">
        <v>36036</v>
      </c>
      <c r="E3135" t="s">
        <v>92</v>
      </c>
      <c r="F3135">
        <v>97</v>
      </c>
      <c r="G3135" t="s">
        <v>93</v>
      </c>
      <c r="H3135">
        <v>-13.72</v>
      </c>
      <c r="I3135">
        <v>91</v>
      </c>
      <c r="J3135">
        <v>47.13</v>
      </c>
      <c r="K3135">
        <v>97</v>
      </c>
      <c r="L3135">
        <v>-72.62</v>
      </c>
      <c r="M3135">
        <v>89</v>
      </c>
      <c r="N3135">
        <v>-0.41</v>
      </c>
      <c r="O3135">
        <v>84</v>
      </c>
      <c r="P3135">
        <v>-17.28</v>
      </c>
      <c r="Q3135">
        <v>92</v>
      </c>
      <c r="R3135">
        <v>4.84</v>
      </c>
      <c r="S3135">
        <v>82</v>
      </c>
      <c r="T3135">
        <v>22.63</v>
      </c>
      <c r="U3135">
        <v>89</v>
      </c>
      <c r="V3135">
        <v>1.99</v>
      </c>
      <c r="W3135">
        <v>80</v>
      </c>
      <c r="X3135" t="s">
        <v>234</v>
      </c>
      <c r="Y3135" t="s">
        <v>95</v>
      </c>
      <c r="Z3135" t="s">
        <v>96</v>
      </c>
      <c r="AA3135" t="s">
        <v>1233</v>
      </c>
      <c r="AB3135" t="s">
        <v>1234</v>
      </c>
      <c r="AC3135">
        <v>103</v>
      </c>
      <c r="AD3135">
        <v>36</v>
      </c>
      <c r="AE3135">
        <v>97</v>
      </c>
      <c r="AF3135">
        <v>239.06</v>
      </c>
      <c r="AG3135">
        <v>10.19</v>
      </c>
      <c r="AH3135">
        <v>8.07</v>
      </c>
      <c r="AI3135">
        <v>0.01</v>
      </c>
      <c r="AJ3135">
        <v>0</v>
      </c>
      <c r="AK3135">
        <v>89</v>
      </c>
      <c r="AL3135">
        <v>120</v>
      </c>
      <c r="AM3135">
        <v>49</v>
      </c>
      <c r="AN3135">
        <v>4.8099999999999996</v>
      </c>
      <c r="AO3135">
        <v>-0.97</v>
      </c>
      <c r="AP3135">
        <v>131</v>
      </c>
      <c r="AQ3135">
        <v>0</v>
      </c>
      <c r="AR3135">
        <v>11.46</v>
      </c>
      <c r="AS3135">
        <v>70</v>
      </c>
      <c r="AT3135">
        <v>4.33</v>
      </c>
      <c r="AU3135">
        <v>90</v>
      </c>
      <c r="AV3135">
        <v>-2.39</v>
      </c>
      <c r="AW3135">
        <v>91</v>
      </c>
      <c r="AX3135">
        <v>-0.84</v>
      </c>
      <c r="AY3135">
        <v>84</v>
      </c>
      <c r="AZ3135">
        <v>5.68</v>
      </c>
      <c r="BA3135">
        <v>62</v>
      </c>
      <c r="BB3135">
        <v>4.6399999999999997</v>
      </c>
      <c r="BC3135">
        <v>69</v>
      </c>
      <c r="BD3135">
        <v>-0.05</v>
      </c>
      <c r="BE3135">
        <v>-0.02</v>
      </c>
      <c r="BF3135">
        <v>0.01</v>
      </c>
      <c r="BG3135">
        <v>92</v>
      </c>
      <c r="BH3135">
        <v>-0.17</v>
      </c>
      <c r="BI3135">
        <v>-26.08</v>
      </c>
      <c r="BJ3135">
        <v>1</v>
      </c>
      <c r="BK3135">
        <v>1</v>
      </c>
      <c r="BL3135">
        <v>-0.44</v>
      </c>
      <c r="BM3135">
        <v>-2.11</v>
      </c>
      <c r="BN3135">
        <v>-1.19</v>
      </c>
      <c r="BO3135">
        <v>-0.1</v>
      </c>
      <c r="BP3135">
        <v>-1.31</v>
      </c>
      <c r="BQ3135">
        <v>-2.57</v>
      </c>
      <c r="BR3135">
        <v>-1.26</v>
      </c>
      <c r="BS3135">
        <v>0.67</v>
      </c>
      <c r="BT3135">
        <v>1.1299999999999999</v>
      </c>
      <c r="BU3135">
        <v>0.15</v>
      </c>
      <c r="BV3135">
        <v>-0.28000000000000003</v>
      </c>
      <c r="BW3135">
        <v>0.24</v>
      </c>
      <c r="BX3135">
        <v>0.52</v>
      </c>
      <c r="BY3135">
        <v>-0.69</v>
      </c>
      <c r="BZ3135">
        <v>0.82</v>
      </c>
      <c r="CA3135">
        <v>0.59</v>
      </c>
      <c r="CB3135">
        <v>0.01</v>
      </c>
      <c r="CC3135">
        <v>1.2</v>
      </c>
      <c r="CD3135">
        <v>-0.86</v>
      </c>
      <c r="CE3135">
        <v>0.22</v>
      </c>
      <c r="CF3135">
        <v>-0.33</v>
      </c>
      <c r="CG3135">
        <v>0</v>
      </c>
      <c r="CH3135">
        <v>-0.68</v>
      </c>
      <c r="CI3135">
        <v>0</v>
      </c>
      <c r="CJ3135">
        <v>-5.9</v>
      </c>
      <c r="CK3135">
        <v>93</v>
      </c>
      <c r="CL3135">
        <v>-0.79</v>
      </c>
      <c r="CM3135">
        <v>92</v>
      </c>
      <c r="CN3135">
        <v>-7.0000000000000007E-2</v>
      </c>
      <c r="CO3135">
        <v>91</v>
      </c>
      <c r="CP3135">
        <v>-12</v>
      </c>
      <c r="CQ3135">
        <v>91</v>
      </c>
      <c r="CR3135">
        <v>0</v>
      </c>
      <c r="CS3135">
        <v>0</v>
      </c>
      <c r="CT3135">
        <v>-16.8</v>
      </c>
      <c r="CU3135">
        <v>89</v>
      </c>
      <c r="CV3135">
        <v>0.12</v>
      </c>
      <c r="CW3135">
        <v>45</v>
      </c>
      <c r="CX3135" t="s">
        <v>193</v>
      </c>
    </row>
    <row r="3136" spans="1:102" x14ac:dyDescent="0.3">
      <c r="A3136" t="str">
        <f>HYPERLINK("https://webapp.icbf.com/v2/app/bull-search/view/77858167","EIL")</f>
        <v>EIL</v>
      </c>
      <c r="B3136" t="s">
        <v>660</v>
      </c>
      <c r="C3136" t="s">
        <v>661</v>
      </c>
      <c r="D3136" s="1">
        <v>32547</v>
      </c>
      <c r="E3136" t="s">
        <v>92</v>
      </c>
      <c r="F3136">
        <v>100</v>
      </c>
      <c r="G3136" t="s">
        <v>93</v>
      </c>
      <c r="H3136">
        <v>-13.73</v>
      </c>
      <c r="I3136">
        <v>91</v>
      </c>
      <c r="J3136">
        <v>21.94</v>
      </c>
      <c r="K3136">
        <v>98</v>
      </c>
      <c r="L3136">
        <v>-35.11</v>
      </c>
      <c r="M3136">
        <v>91</v>
      </c>
      <c r="N3136">
        <v>8.98</v>
      </c>
      <c r="O3136">
        <v>83</v>
      </c>
      <c r="P3136">
        <v>-2.41</v>
      </c>
      <c r="Q3136">
        <v>91</v>
      </c>
      <c r="R3136">
        <v>-9.89</v>
      </c>
      <c r="S3136">
        <v>84</v>
      </c>
      <c r="T3136">
        <v>5.32</v>
      </c>
      <c r="U3136">
        <v>86</v>
      </c>
      <c r="V3136">
        <v>-2.56</v>
      </c>
      <c r="W3136">
        <v>72</v>
      </c>
      <c r="X3136" t="s">
        <v>94</v>
      </c>
      <c r="Y3136" t="s">
        <v>95</v>
      </c>
      <c r="Z3136" t="s">
        <v>96</v>
      </c>
      <c r="AA3136" t="s">
        <v>166</v>
      </c>
      <c r="AB3136" t="s">
        <v>662</v>
      </c>
      <c r="AC3136">
        <v>259</v>
      </c>
      <c r="AD3136">
        <v>150</v>
      </c>
      <c r="AE3136">
        <v>98</v>
      </c>
      <c r="AF3136">
        <v>113.88</v>
      </c>
      <c r="AG3136">
        <v>10.16</v>
      </c>
      <c r="AH3136">
        <v>1.88</v>
      </c>
      <c r="AI3136">
        <v>0.1</v>
      </c>
      <c r="AJ3136">
        <v>-0.03</v>
      </c>
      <c r="AK3136">
        <v>91</v>
      </c>
      <c r="AL3136">
        <v>345</v>
      </c>
      <c r="AM3136">
        <v>170</v>
      </c>
      <c r="AN3136">
        <v>3.45</v>
      </c>
      <c r="AO3136">
        <v>0.67</v>
      </c>
      <c r="AP3136">
        <v>8</v>
      </c>
      <c r="AQ3136">
        <v>0</v>
      </c>
      <c r="AR3136">
        <v>5.76</v>
      </c>
      <c r="AS3136">
        <v>66</v>
      </c>
      <c r="AT3136">
        <v>3.05</v>
      </c>
      <c r="AU3136">
        <v>85</v>
      </c>
      <c r="AV3136">
        <v>0.13</v>
      </c>
      <c r="AW3136">
        <v>87</v>
      </c>
      <c r="AX3136">
        <v>-0.3</v>
      </c>
      <c r="AY3136">
        <v>89</v>
      </c>
      <c r="AZ3136">
        <v>5.26</v>
      </c>
      <c r="BA3136">
        <v>62</v>
      </c>
      <c r="BB3136">
        <v>4.5199999999999996</v>
      </c>
      <c r="BC3136">
        <v>79</v>
      </c>
      <c r="BD3136">
        <v>0.05</v>
      </c>
      <c r="BE3136">
        <v>0.06</v>
      </c>
      <c r="BF3136">
        <v>0.03</v>
      </c>
      <c r="BG3136">
        <v>96</v>
      </c>
      <c r="BH3136">
        <v>0.12</v>
      </c>
      <c r="BI3136">
        <v>22.14</v>
      </c>
      <c r="BJ3136">
        <v>20</v>
      </c>
      <c r="BK3136">
        <v>11</v>
      </c>
      <c r="BL3136">
        <v>-0.56000000000000005</v>
      </c>
      <c r="BM3136">
        <v>-0.68</v>
      </c>
      <c r="BN3136">
        <v>-1.94</v>
      </c>
      <c r="BO3136">
        <v>-0.88</v>
      </c>
      <c r="BP3136">
        <v>2.4500000000000002</v>
      </c>
      <c r="BQ3136">
        <v>-0.06</v>
      </c>
      <c r="BR3136">
        <v>0.05</v>
      </c>
      <c r="BS3136">
        <v>-0.7</v>
      </c>
      <c r="BT3136">
        <v>0.86</v>
      </c>
      <c r="BU3136">
        <v>-1.72</v>
      </c>
      <c r="BV3136">
        <v>-1.8</v>
      </c>
      <c r="BW3136">
        <v>0.12</v>
      </c>
      <c r="BX3136">
        <v>-1.1200000000000001</v>
      </c>
      <c r="BY3136">
        <v>-0.2</v>
      </c>
      <c r="BZ3136">
        <v>0.17</v>
      </c>
      <c r="CA3136">
        <v>-0.81</v>
      </c>
      <c r="CB3136">
        <v>-0.57999999999999996</v>
      </c>
      <c r="CC3136">
        <v>-0.44</v>
      </c>
      <c r="CD3136">
        <v>-0.06</v>
      </c>
      <c r="CE3136">
        <v>-0.28999999999999998</v>
      </c>
      <c r="CF3136">
        <v>-1.36</v>
      </c>
      <c r="CG3136">
        <v>0</v>
      </c>
      <c r="CH3136">
        <v>-0.11</v>
      </c>
      <c r="CI3136">
        <v>0</v>
      </c>
      <c r="CJ3136">
        <v>-0.3</v>
      </c>
      <c r="CK3136">
        <v>92</v>
      </c>
      <c r="CL3136">
        <v>-0.45</v>
      </c>
      <c r="CM3136">
        <v>90</v>
      </c>
      <c r="CN3136">
        <v>-0.27</v>
      </c>
      <c r="CO3136">
        <v>89</v>
      </c>
      <c r="CP3136">
        <v>-3.4</v>
      </c>
      <c r="CQ3136">
        <v>95</v>
      </c>
      <c r="CR3136">
        <v>0</v>
      </c>
      <c r="CS3136">
        <v>0</v>
      </c>
      <c r="CT3136">
        <v>6.6</v>
      </c>
      <c r="CU3136">
        <v>86</v>
      </c>
      <c r="CV3136">
        <v>-0.01</v>
      </c>
      <c r="CW3136">
        <v>44</v>
      </c>
      <c r="CX3136" t="s">
        <v>663</v>
      </c>
    </row>
    <row r="3137" spans="1:102" x14ac:dyDescent="0.3">
      <c r="A3137" t="str">
        <f>HYPERLINK("https://webapp.icbf.com/v2/app/bull-search/view/77858320","DFC")</f>
        <v>DFC</v>
      </c>
      <c r="B3137" t="s">
        <v>3628</v>
      </c>
      <c r="C3137" t="s">
        <v>3629</v>
      </c>
      <c r="D3137" s="1">
        <v>33297</v>
      </c>
      <c r="E3137" t="s">
        <v>92</v>
      </c>
      <c r="F3137">
        <v>75</v>
      </c>
      <c r="G3137" t="s">
        <v>93</v>
      </c>
      <c r="H3137">
        <v>-13.74</v>
      </c>
      <c r="I3137">
        <v>65</v>
      </c>
      <c r="J3137">
        <v>-35.74</v>
      </c>
      <c r="K3137">
        <v>81</v>
      </c>
      <c r="L3137">
        <v>39.619999999999997</v>
      </c>
      <c r="M3137">
        <v>59</v>
      </c>
      <c r="N3137">
        <v>-2.97</v>
      </c>
      <c r="O3137">
        <v>43</v>
      </c>
      <c r="P3137">
        <v>-3.68</v>
      </c>
      <c r="Q3137">
        <v>67</v>
      </c>
      <c r="R3137">
        <v>-20.02</v>
      </c>
      <c r="S3137">
        <v>61</v>
      </c>
      <c r="T3137">
        <v>13.6</v>
      </c>
      <c r="U3137">
        <v>73</v>
      </c>
      <c r="V3137">
        <v>-4.55</v>
      </c>
      <c r="W3137">
        <v>27</v>
      </c>
      <c r="X3137" t="s">
        <v>94</v>
      </c>
      <c r="Y3137" t="s">
        <v>95</v>
      </c>
      <c r="Z3137" t="s">
        <v>96</v>
      </c>
      <c r="AA3137" t="s">
        <v>537</v>
      </c>
      <c r="AB3137" t="s">
        <v>3630</v>
      </c>
      <c r="AC3137">
        <v>26</v>
      </c>
      <c r="AD3137">
        <v>20</v>
      </c>
      <c r="AE3137">
        <v>81</v>
      </c>
      <c r="AF3137">
        <v>-12.55</v>
      </c>
      <c r="AG3137">
        <v>-0.31</v>
      </c>
      <c r="AH3137">
        <v>-6.16</v>
      </c>
      <c r="AI3137">
        <v>0</v>
      </c>
      <c r="AJ3137">
        <v>-0.1</v>
      </c>
      <c r="AK3137">
        <v>59</v>
      </c>
      <c r="AL3137">
        <v>64</v>
      </c>
      <c r="AM3137">
        <v>54</v>
      </c>
      <c r="AN3137">
        <v>-2.11</v>
      </c>
      <c r="AO3137">
        <v>1.05</v>
      </c>
      <c r="AP3137">
        <v>1</v>
      </c>
      <c r="AQ3137">
        <v>0</v>
      </c>
      <c r="AR3137">
        <v>8.6999999999999993</v>
      </c>
      <c r="AS3137">
        <v>28</v>
      </c>
      <c r="AT3137">
        <v>3.94</v>
      </c>
      <c r="AU3137">
        <v>40</v>
      </c>
      <c r="AV3137">
        <v>-1.46</v>
      </c>
      <c r="AW3137">
        <v>47</v>
      </c>
      <c r="AX3137">
        <v>-0.4</v>
      </c>
      <c r="AY3137">
        <v>61</v>
      </c>
      <c r="AZ3137">
        <v>7.43</v>
      </c>
      <c r="BA3137">
        <v>27</v>
      </c>
      <c r="BB3137">
        <v>5.61</v>
      </c>
      <c r="BC3137">
        <v>38</v>
      </c>
      <c r="BD3137">
        <v>0.05</v>
      </c>
      <c r="BE3137">
        <v>0.13</v>
      </c>
      <c r="BF3137">
        <v>0.13</v>
      </c>
      <c r="BG3137">
        <v>80</v>
      </c>
      <c r="BH3137">
        <v>-0.11</v>
      </c>
      <c r="BI3137">
        <v>1.96</v>
      </c>
      <c r="BJ3137">
        <v>9</v>
      </c>
      <c r="BK3137">
        <v>9</v>
      </c>
      <c r="BL3137">
        <v>-1.01</v>
      </c>
      <c r="BM3137">
        <v>-7.0000000000000007E-2</v>
      </c>
      <c r="BN3137">
        <v>-1.34</v>
      </c>
      <c r="BO3137">
        <v>-1.04</v>
      </c>
      <c r="BP3137">
        <v>1.27</v>
      </c>
      <c r="BQ3137">
        <v>-0.97</v>
      </c>
      <c r="BR3137">
        <v>0.59</v>
      </c>
      <c r="BS3137">
        <v>-0.25</v>
      </c>
      <c r="BT3137">
        <v>-1.2</v>
      </c>
      <c r="BU3137">
        <v>-1.1499999999999999</v>
      </c>
      <c r="BV3137">
        <v>-1.51</v>
      </c>
      <c r="BW3137">
        <v>-1.21</v>
      </c>
      <c r="BX3137">
        <v>-0.84</v>
      </c>
      <c r="BY3137">
        <v>-1.39</v>
      </c>
      <c r="BZ3137">
        <v>-1.23</v>
      </c>
      <c r="CA3137">
        <v>-1.54</v>
      </c>
      <c r="CB3137">
        <v>-1.71</v>
      </c>
      <c r="CC3137">
        <v>-0.62</v>
      </c>
      <c r="CD3137">
        <v>0.97</v>
      </c>
      <c r="CE3137">
        <v>-0.91</v>
      </c>
      <c r="CF3137">
        <v>-1.46</v>
      </c>
      <c r="CG3137">
        <v>0</v>
      </c>
      <c r="CH3137">
        <v>-1.59</v>
      </c>
      <c r="CI3137">
        <v>0</v>
      </c>
      <c r="CJ3137">
        <v>-0.2</v>
      </c>
      <c r="CK3137">
        <v>69</v>
      </c>
      <c r="CL3137">
        <v>-0.16</v>
      </c>
      <c r="CM3137">
        <v>65</v>
      </c>
      <c r="CN3137">
        <v>7.0000000000000007E-2</v>
      </c>
      <c r="CO3137">
        <v>61</v>
      </c>
      <c r="CP3137">
        <v>-6.2</v>
      </c>
      <c r="CQ3137">
        <v>73</v>
      </c>
      <c r="CR3137">
        <v>0</v>
      </c>
      <c r="CS3137">
        <v>0</v>
      </c>
      <c r="CT3137">
        <v>-4.5999999999999996</v>
      </c>
      <c r="CU3137">
        <v>73</v>
      </c>
      <c r="CV3137">
        <v>0.02</v>
      </c>
      <c r="CW3137">
        <v>18</v>
      </c>
      <c r="CX3137" t="s">
        <v>622</v>
      </c>
    </row>
    <row r="3138" spans="1:102" x14ac:dyDescent="0.3">
      <c r="A3138" t="str">
        <f>HYPERLINK("https://webapp.icbf.com/v2/app/bull-search/view/152163428","GJO")</f>
        <v>GJO</v>
      </c>
      <c r="B3138" t="s">
        <v>11560</v>
      </c>
      <c r="C3138" t="s">
        <v>11561</v>
      </c>
      <c r="D3138" s="1">
        <v>35164</v>
      </c>
      <c r="E3138" t="s">
        <v>92</v>
      </c>
      <c r="F3138">
        <v>97</v>
      </c>
      <c r="G3138" t="s">
        <v>93</v>
      </c>
      <c r="H3138">
        <v>-14.03</v>
      </c>
      <c r="I3138">
        <v>98</v>
      </c>
      <c r="J3138">
        <v>23.57</v>
      </c>
      <c r="K3138">
        <v>99</v>
      </c>
      <c r="L3138">
        <v>-70.31</v>
      </c>
      <c r="M3138">
        <v>96</v>
      </c>
      <c r="N3138">
        <v>25.99</v>
      </c>
      <c r="O3138">
        <v>99</v>
      </c>
      <c r="P3138">
        <v>-4.0599999999999996</v>
      </c>
      <c r="Q3138">
        <v>99</v>
      </c>
      <c r="R3138">
        <v>5.03</v>
      </c>
      <c r="S3138">
        <v>98</v>
      </c>
      <c r="T3138">
        <v>4.95</v>
      </c>
      <c r="U3138">
        <v>99</v>
      </c>
      <c r="V3138">
        <v>0.8</v>
      </c>
      <c r="W3138">
        <v>99</v>
      </c>
      <c r="X3138" t="s">
        <v>94</v>
      </c>
      <c r="Y3138" t="s">
        <v>95</v>
      </c>
      <c r="Z3138" t="s">
        <v>96</v>
      </c>
      <c r="AA3138" t="s">
        <v>2594</v>
      </c>
      <c r="AB3138" t="s">
        <v>11562</v>
      </c>
      <c r="AC3138">
        <v>2532</v>
      </c>
      <c r="AD3138">
        <v>968</v>
      </c>
      <c r="AE3138">
        <v>99</v>
      </c>
      <c r="AF3138">
        <v>-87.73</v>
      </c>
      <c r="AG3138">
        <v>4.03</v>
      </c>
      <c r="AH3138">
        <v>1.24</v>
      </c>
      <c r="AI3138">
        <v>0.13</v>
      </c>
      <c r="AJ3138">
        <v>0.08</v>
      </c>
      <c r="AK3138">
        <v>96</v>
      </c>
      <c r="AL3138">
        <v>2796</v>
      </c>
      <c r="AM3138">
        <v>1164</v>
      </c>
      <c r="AN3138">
        <v>3.62</v>
      </c>
      <c r="AO3138">
        <v>-1.99</v>
      </c>
      <c r="AP3138">
        <v>4774</v>
      </c>
      <c r="AQ3138">
        <v>9</v>
      </c>
      <c r="AR3138">
        <v>5.52</v>
      </c>
      <c r="AS3138">
        <v>99</v>
      </c>
      <c r="AT3138">
        <v>2.37</v>
      </c>
      <c r="AU3138">
        <v>99</v>
      </c>
      <c r="AV3138">
        <v>-1.73</v>
      </c>
      <c r="AW3138">
        <v>99</v>
      </c>
      <c r="AX3138">
        <v>0.28999999999999998</v>
      </c>
      <c r="AY3138">
        <v>99</v>
      </c>
      <c r="AZ3138">
        <v>5.39</v>
      </c>
      <c r="BA3138">
        <v>97</v>
      </c>
      <c r="BB3138">
        <v>4.88</v>
      </c>
      <c r="BC3138">
        <v>97</v>
      </c>
      <c r="BD3138">
        <v>-7.0000000000000007E-2</v>
      </c>
      <c r="BE3138">
        <v>-0.01</v>
      </c>
      <c r="BF3138">
        <v>0.02</v>
      </c>
      <c r="BG3138">
        <v>99</v>
      </c>
      <c r="BH3138">
        <v>0.12</v>
      </c>
      <c r="BI3138">
        <v>11.31</v>
      </c>
      <c r="BJ3138">
        <v>135</v>
      </c>
      <c r="BK3138">
        <v>74</v>
      </c>
      <c r="BL3138">
        <v>0.42</v>
      </c>
      <c r="BM3138">
        <v>-0.06</v>
      </c>
      <c r="BN3138">
        <v>0.74</v>
      </c>
      <c r="BO3138">
        <v>0.83</v>
      </c>
      <c r="BP3138">
        <v>-0.65</v>
      </c>
      <c r="BQ3138">
        <v>0.14000000000000001</v>
      </c>
      <c r="BR3138">
        <v>1.5</v>
      </c>
      <c r="BS3138">
        <v>-1</v>
      </c>
      <c r="BT3138">
        <v>-1.46</v>
      </c>
      <c r="BU3138">
        <v>0.27</v>
      </c>
      <c r="BV3138">
        <v>1.17</v>
      </c>
      <c r="BW3138">
        <v>0.3</v>
      </c>
      <c r="BX3138">
        <v>-0.61</v>
      </c>
      <c r="BY3138">
        <v>1.02</v>
      </c>
      <c r="BZ3138">
        <v>-0.94</v>
      </c>
      <c r="CA3138">
        <v>0.16</v>
      </c>
      <c r="CB3138">
        <v>0.44</v>
      </c>
      <c r="CC3138">
        <v>-0.32</v>
      </c>
      <c r="CD3138">
        <v>-0.97</v>
      </c>
      <c r="CE3138">
        <v>0.99</v>
      </c>
      <c r="CF3138">
        <v>0.1</v>
      </c>
      <c r="CG3138">
        <v>0</v>
      </c>
      <c r="CH3138">
        <v>0.96</v>
      </c>
      <c r="CI3138">
        <v>0</v>
      </c>
      <c r="CJ3138">
        <v>0.4</v>
      </c>
      <c r="CK3138">
        <v>99</v>
      </c>
      <c r="CL3138">
        <v>-0.9</v>
      </c>
      <c r="CM3138">
        <v>99</v>
      </c>
      <c r="CN3138">
        <v>-0.42</v>
      </c>
      <c r="CO3138">
        <v>99</v>
      </c>
      <c r="CP3138">
        <v>-1.6</v>
      </c>
      <c r="CQ3138">
        <v>99</v>
      </c>
      <c r="CR3138">
        <v>0</v>
      </c>
      <c r="CS3138">
        <v>0</v>
      </c>
      <c r="CT3138">
        <v>7.1</v>
      </c>
      <c r="CU3138">
        <v>99</v>
      </c>
      <c r="CV3138">
        <v>0.25</v>
      </c>
      <c r="CW3138">
        <v>46</v>
      </c>
      <c r="CX3138" t="s">
        <v>193</v>
      </c>
    </row>
    <row r="3139" spans="1:102" x14ac:dyDescent="0.3">
      <c r="A3139" t="str">
        <f>HYPERLINK("https://webapp.icbf.com/v2/app/bull-search/view/77854177","RVE")</f>
        <v>RVE</v>
      </c>
      <c r="B3139" t="s">
        <v>10758</v>
      </c>
      <c r="C3139" t="s">
        <v>10759</v>
      </c>
      <c r="D3139" s="1">
        <v>33096</v>
      </c>
      <c r="E3139" t="s">
        <v>92</v>
      </c>
      <c r="F3139">
        <v>100</v>
      </c>
      <c r="G3139" t="s">
        <v>93</v>
      </c>
      <c r="H3139">
        <v>-14.08</v>
      </c>
      <c r="I3139">
        <v>91</v>
      </c>
      <c r="J3139">
        <v>-36.659999999999997</v>
      </c>
      <c r="K3139">
        <v>98</v>
      </c>
      <c r="L3139">
        <v>-5.74</v>
      </c>
      <c r="M3139">
        <v>92</v>
      </c>
      <c r="N3139">
        <v>11.03</v>
      </c>
      <c r="O3139">
        <v>82</v>
      </c>
      <c r="P3139">
        <v>1.64</v>
      </c>
      <c r="Q3139">
        <v>87</v>
      </c>
      <c r="R3139">
        <v>1.58</v>
      </c>
      <c r="S3139">
        <v>83</v>
      </c>
      <c r="T3139">
        <v>17.010000000000002</v>
      </c>
      <c r="U3139">
        <v>84</v>
      </c>
      <c r="V3139">
        <v>-2.94</v>
      </c>
      <c r="W3139">
        <v>72</v>
      </c>
      <c r="X3139" t="s">
        <v>558</v>
      </c>
      <c r="Y3139" t="s">
        <v>95</v>
      </c>
      <c r="Z3139" t="s">
        <v>96</v>
      </c>
      <c r="AA3139" t="s">
        <v>111</v>
      </c>
      <c r="AB3139" t="s">
        <v>10760</v>
      </c>
      <c r="AC3139">
        <v>156</v>
      </c>
      <c r="AD3139">
        <v>97</v>
      </c>
      <c r="AE3139">
        <v>98</v>
      </c>
      <c r="AF3139">
        <v>291.62</v>
      </c>
      <c r="AG3139">
        <v>-4.78</v>
      </c>
      <c r="AH3139">
        <v>-0.08</v>
      </c>
      <c r="AI3139">
        <v>-0.27</v>
      </c>
      <c r="AJ3139">
        <v>-0.17</v>
      </c>
      <c r="AK3139">
        <v>92</v>
      </c>
      <c r="AL3139">
        <v>169</v>
      </c>
      <c r="AM3139">
        <v>85</v>
      </c>
      <c r="AN3139">
        <v>2.48</v>
      </c>
      <c r="AO3139">
        <v>2.0499999999999998</v>
      </c>
      <c r="AP3139">
        <v>7</v>
      </c>
      <c r="AQ3139">
        <v>0</v>
      </c>
      <c r="AR3139">
        <v>6.64</v>
      </c>
      <c r="AS3139">
        <v>68</v>
      </c>
      <c r="AT3139">
        <v>3.39</v>
      </c>
      <c r="AU3139">
        <v>91</v>
      </c>
      <c r="AV3139">
        <v>-0.6</v>
      </c>
      <c r="AW3139">
        <v>83</v>
      </c>
      <c r="AX3139">
        <v>-0.09</v>
      </c>
      <c r="AY3139">
        <v>85</v>
      </c>
      <c r="AZ3139">
        <v>4.7300000000000004</v>
      </c>
      <c r="BA3139">
        <v>63</v>
      </c>
      <c r="BB3139">
        <v>4.2300000000000004</v>
      </c>
      <c r="BC3139">
        <v>76</v>
      </c>
      <c r="BD3139">
        <v>0.01</v>
      </c>
      <c r="BE3139">
        <v>0.03</v>
      </c>
      <c r="BF3139">
        <v>-0.11</v>
      </c>
      <c r="BG3139">
        <v>94</v>
      </c>
      <c r="BH3139">
        <v>0.05</v>
      </c>
      <c r="BI3139">
        <v>15.28</v>
      </c>
      <c r="BJ3139">
        <v>19</v>
      </c>
      <c r="BK3139">
        <v>11</v>
      </c>
      <c r="BL3139">
        <v>-0.27</v>
      </c>
      <c r="BM3139">
        <v>0.1</v>
      </c>
      <c r="BN3139">
        <v>-0.12</v>
      </c>
      <c r="BO3139">
        <v>-0.26</v>
      </c>
      <c r="BP3139">
        <v>2.0699999999999998</v>
      </c>
      <c r="BQ3139">
        <v>-0.59</v>
      </c>
      <c r="BR3139">
        <v>-0.19</v>
      </c>
      <c r="BS3139">
        <v>-0.99</v>
      </c>
      <c r="BT3139">
        <v>0.46</v>
      </c>
      <c r="BU3139">
        <v>0.04</v>
      </c>
      <c r="BV3139">
        <v>-1.1200000000000001</v>
      </c>
      <c r="BW3139">
        <v>0.34</v>
      </c>
      <c r="BX3139">
        <v>0.35</v>
      </c>
      <c r="BY3139">
        <v>-0.03</v>
      </c>
      <c r="BZ3139">
        <v>-0.01</v>
      </c>
      <c r="CA3139">
        <v>-0.19</v>
      </c>
      <c r="CB3139">
        <v>-0.16</v>
      </c>
      <c r="CC3139">
        <v>-0.01</v>
      </c>
      <c r="CD3139">
        <v>0.34</v>
      </c>
      <c r="CE3139">
        <v>-0.16</v>
      </c>
      <c r="CF3139">
        <v>-0.09</v>
      </c>
      <c r="CG3139">
        <v>0</v>
      </c>
      <c r="CH3139">
        <v>-0.05</v>
      </c>
      <c r="CI3139">
        <v>0</v>
      </c>
      <c r="CJ3139">
        <v>1.9</v>
      </c>
      <c r="CK3139">
        <v>87</v>
      </c>
      <c r="CL3139">
        <v>-0.41</v>
      </c>
      <c r="CM3139">
        <v>86</v>
      </c>
      <c r="CN3139">
        <v>-0.33</v>
      </c>
      <c r="CO3139">
        <v>84</v>
      </c>
      <c r="CP3139">
        <v>-4.0999999999999996</v>
      </c>
      <c r="CQ3139">
        <v>91</v>
      </c>
      <c r="CR3139">
        <v>0</v>
      </c>
      <c r="CS3139">
        <v>0</v>
      </c>
      <c r="CT3139">
        <v>-9.1999999999999993</v>
      </c>
      <c r="CU3139">
        <v>84</v>
      </c>
      <c r="CV3139">
        <v>0.11</v>
      </c>
      <c r="CW3139">
        <v>43</v>
      </c>
      <c r="CX3139" t="s">
        <v>3805</v>
      </c>
    </row>
    <row r="3140" spans="1:102" x14ac:dyDescent="0.3">
      <c r="A3140" t="str">
        <f>HYPERLINK("https://webapp.icbf.com/v2/app/bull-search/view/69091600","ENT")</f>
        <v>ENT</v>
      </c>
      <c r="B3140" t="s">
        <v>10558</v>
      </c>
      <c r="C3140" t="s">
        <v>10559</v>
      </c>
      <c r="D3140" s="1">
        <v>32863</v>
      </c>
      <c r="E3140" t="s">
        <v>197</v>
      </c>
      <c r="F3140">
        <v>0</v>
      </c>
      <c r="G3140" t="s">
        <v>93</v>
      </c>
      <c r="H3140">
        <v>-14.16</v>
      </c>
      <c r="I3140">
        <v>51</v>
      </c>
      <c r="J3140">
        <v>-50.01</v>
      </c>
      <c r="K3140">
        <v>74</v>
      </c>
      <c r="L3140">
        <v>37.79</v>
      </c>
      <c r="M3140">
        <v>30</v>
      </c>
      <c r="N3140">
        <v>-27.45</v>
      </c>
      <c r="O3140">
        <v>36</v>
      </c>
      <c r="P3140">
        <v>23.28</v>
      </c>
      <c r="Q3140">
        <v>63</v>
      </c>
      <c r="R3140">
        <v>4.51</v>
      </c>
      <c r="S3140">
        <v>35</v>
      </c>
      <c r="T3140">
        <v>0.21</v>
      </c>
      <c r="U3140">
        <v>75</v>
      </c>
      <c r="V3140">
        <v>-2.4900000000000002</v>
      </c>
      <c r="W3140">
        <v>14</v>
      </c>
      <c r="X3140" t="s">
        <v>94</v>
      </c>
      <c r="Y3140" t="s">
        <v>95</v>
      </c>
      <c r="Z3140">
        <v>0</v>
      </c>
      <c r="AA3140" t="s">
        <v>3263</v>
      </c>
      <c r="AB3140" t="s">
        <v>10560</v>
      </c>
      <c r="AC3140">
        <v>15</v>
      </c>
      <c r="AD3140">
        <v>7</v>
      </c>
      <c r="AE3140">
        <v>74</v>
      </c>
      <c r="AF3140">
        <v>-367.87</v>
      </c>
      <c r="AG3140">
        <v>-13.22</v>
      </c>
      <c r="AH3140">
        <v>-9.4600000000000009</v>
      </c>
      <c r="AI3140">
        <v>0.02</v>
      </c>
      <c r="AJ3140">
        <v>0.06</v>
      </c>
      <c r="AK3140">
        <v>30</v>
      </c>
      <c r="AL3140">
        <v>17</v>
      </c>
      <c r="AM3140">
        <v>8</v>
      </c>
      <c r="AN3140">
        <v>-3.91</v>
      </c>
      <c r="AO3140">
        <v>-0.92</v>
      </c>
      <c r="AP3140">
        <v>3</v>
      </c>
      <c r="AQ3140">
        <v>0</v>
      </c>
      <c r="AR3140">
        <v>5.67</v>
      </c>
      <c r="AS3140">
        <v>10</v>
      </c>
      <c r="AT3140">
        <v>5.64</v>
      </c>
      <c r="AU3140">
        <v>27</v>
      </c>
      <c r="AV3140">
        <v>2.02</v>
      </c>
      <c r="AW3140">
        <v>53</v>
      </c>
      <c r="AX3140">
        <v>-0.17</v>
      </c>
      <c r="AY3140">
        <v>43</v>
      </c>
      <c r="AZ3140">
        <v>5.97</v>
      </c>
      <c r="BA3140">
        <v>9</v>
      </c>
      <c r="BB3140">
        <v>3.42</v>
      </c>
      <c r="BC3140">
        <v>16</v>
      </c>
      <c r="BD3140">
        <v>-0.01</v>
      </c>
      <c r="BE3140">
        <v>-0.03</v>
      </c>
      <c r="BF3140">
        <v>-0.03</v>
      </c>
      <c r="BG3140">
        <v>46</v>
      </c>
      <c r="BH3140">
        <v>-0.13</v>
      </c>
      <c r="BI3140">
        <v>-7</v>
      </c>
      <c r="BJ3140">
        <v>0</v>
      </c>
      <c r="BK3140">
        <v>0</v>
      </c>
      <c r="BL3140">
        <v>-1.7</v>
      </c>
      <c r="BM3140">
        <v>0.82</v>
      </c>
      <c r="BN3140">
        <v>-1.81</v>
      </c>
      <c r="BO3140">
        <v>-1.9</v>
      </c>
      <c r="BP3140">
        <v>0.73</v>
      </c>
      <c r="BQ3140">
        <v>-0.27</v>
      </c>
      <c r="BR3140">
        <v>-0.81</v>
      </c>
      <c r="BS3140">
        <v>0.28000000000000003</v>
      </c>
      <c r="BT3140">
        <v>0.2</v>
      </c>
      <c r="BU3140">
        <v>-1.21</v>
      </c>
      <c r="BV3140">
        <v>-1.61</v>
      </c>
      <c r="BW3140">
        <v>-1.58</v>
      </c>
      <c r="BX3140">
        <v>-0.63</v>
      </c>
      <c r="BY3140">
        <v>-1.8</v>
      </c>
      <c r="BZ3140">
        <v>0.1</v>
      </c>
      <c r="CA3140">
        <v>-1.68</v>
      </c>
      <c r="CB3140">
        <v>-1.81</v>
      </c>
      <c r="CC3140">
        <v>-0.84</v>
      </c>
      <c r="CD3140">
        <v>1.5</v>
      </c>
      <c r="CE3140">
        <v>-2.09</v>
      </c>
      <c r="CF3140">
        <v>-1.79</v>
      </c>
      <c r="CG3140">
        <v>0</v>
      </c>
      <c r="CH3140">
        <v>-1.66</v>
      </c>
      <c r="CI3140">
        <v>0</v>
      </c>
      <c r="CJ3140">
        <v>14.2</v>
      </c>
      <c r="CK3140">
        <v>66</v>
      </c>
      <c r="CL3140">
        <v>0.4</v>
      </c>
      <c r="CM3140">
        <v>59</v>
      </c>
      <c r="CN3140">
        <v>0.16</v>
      </c>
      <c r="CO3140">
        <v>55</v>
      </c>
      <c r="CP3140">
        <v>9.5</v>
      </c>
      <c r="CQ3140">
        <v>68</v>
      </c>
      <c r="CR3140">
        <v>0</v>
      </c>
      <c r="CS3140">
        <v>0</v>
      </c>
      <c r="CT3140">
        <v>13.5</v>
      </c>
      <c r="CU3140">
        <v>75</v>
      </c>
      <c r="CV3140">
        <v>0.06</v>
      </c>
      <c r="CW3140">
        <v>17</v>
      </c>
      <c r="CX3140" t="s">
        <v>693</v>
      </c>
    </row>
    <row r="3141" spans="1:102" x14ac:dyDescent="0.3">
      <c r="A3141" t="str">
        <f>HYPERLINK("https://webapp.icbf.com/v2/app/bull-search/view/714745101","S2038")</f>
        <v>S2038</v>
      </c>
      <c r="B3141" t="s">
        <v>7869</v>
      </c>
      <c r="C3141" t="s">
        <v>7870</v>
      </c>
      <c r="D3141" s="1">
        <v>39553</v>
      </c>
      <c r="E3141" t="s">
        <v>92</v>
      </c>
      <c r="F3141">
        <v>100</v>
      </c>
      <c r="G3141" t="s">
        <v>109</v>
      </c>
      <c r="H3141">
        <v>-14.26</v>
      </c>
      <c r="I3141">
        <v>75</v>
      </c>
      <c r="J3141">
        <v>35.42</v>
      </c>
      <c r="K3141">
        <v>91</v>
      </c>
      <c r="L3141">
        <v>-37.61</v>
      </c>
      <c r="M3141">
        <v>82</v>
      </c>
      <c r="N3141">
        <v>8.7200000000000006</v>
      </c>
      <c r="O3141">
        <v>55</v>
      </c>
      <c r="P3141">
        <v>-9.11</v>
      </c>
      <c r="Q3141">
        <v>47</v>
      </c>
      <c r="R3141">
        <v>-6.44</v>
      </c>
      <c r="S3141">
        <v>71</v>
      </c>
      <c r="T3141">
        <v>3.02</v>
      </c>
      <c r="U3141">
        <v>44</v>
      </c>
      <c r="V3141">
        <v>-8.26</v>
      </c>
      <c r="W3141">
        <v>54</v>
      </c>
      <c r="X3141" t="s">
        <v>1645</v>
      </c>
      <c r="Y3141" t="s">
        <v>367</v>
      </c>
      <c r="Z3141" t="s">
        <v>96</v>
      </c>
      <c r="AA3141" t="s">
        <v>5289</v>
      </c>
      <c r="AB3141" t="s">
        <v>7871</v>
      </c>
      <c r="AC3141">
        <v>0</v>
      </c>
      <c r="AD3141">
        <v>0</v>
      </c>
      <c r="AE3141">
        <v>91</v>
      </c>
      <c r="AF3141">
        <v>201.82</v>
      </c>
      <c r="AG3141">
        <v>1.79</v>
      </c>
      <c r="AH3141">
        <v>8.48</v>
      </c>
      <c r="AI3141">
        <v>-0.1</v>
      </c>
      <c r="AJ3141">
        <v>0.03</v>
      </c>
      <c r="AK3141">
        <v>82</v>
      </c>
      <c r="AL3141">
        <v>0</v>
      </c>
      <c r="AM3141">
        <v>0</v>
      </c>
      <c r="AN3141">
        <v>2</v>
      </c>
      <c r="AO3141">
        <v>-1</v>
      </c>
      <c r="AP3141">
        <v>3</v>
      </c>
      <c r="AQ3141">
        <v>0</v>
      </c>
      <c r="AR3141">
        <v>7.32</v>
      </c>
      <c r="AS3141">
        <v>52</v>
      </c>
      <c r="AT3141">
        <v>3.61</v>
      </c>
      <c r="AU3141">
        <v>89</v>
      </c>
      <c r="AV3141">
        <v>-2.44</v>
      </c>
      <c r="AW3141">
        <v>45</v>
      </c>
      <c r="AX3141">
        <v>0.3</v>
      </c>
      <c r="AY3141">
        <v>45</v>
      </c>
      <c r="AZ3141">
        <v>7.54</v>
      </c>
      <c r="BA3141">
        <v>40</v>
      </c>
      <c r="BB3141">
        <v>5.85</v>
      </c>
      <c r="BC3141">
        <v>39</v>
      </c>
      <c r="BD3141">
        <v>0.03</v>
      </c>
      <c r="BE3141">
        <v>0.02</v>
      </c>
      <c r="BF3141">
        <v>0.06</v>
      </c>
      <c r="BG3141">
        <v>90</v>
      </c>
      <c r="BH3141">
        <v>-0.13</v>
      </c>
      <c r="BI3141">
        <v>11.6</v>
      </c>
      <c r="BJ3141">
        <v>0</v>
      </c>
      <c r="BK3141">
        <v>0</v>
      </c>
      <c r="BL3141">
        <v>1.01</v>
      </c>
      <c r="BM3141">
        <v>-0.76</v>
      </c>
      <c r="BN3141">
        <v>0.6</v>
      </c>
      <c r="BO3141">
        <v>1.1100000000000001</v>
      </c>
      <c r="BP3141">
        <v>-0.96</v>
      </c>
      <c r="BQ3141">
        <v>-1.27</v>
      </c>
      <c r="BR3141">
        <v>-0.03</v>
      </c>
      <c r="BS3141">
        <v>2.5499999999999998</v>
      </c>
      <c r="BT3141">
        <v>1.22</v>
      </c>
      <c r="BU3141">
        <v>1.04</v>
      </c>
      <c r="BV3141">
        <v>0.87</v>
      </c>
      <c r="BW3141">
        <v>0.88</v>
      </c>
      <c r="BX3141">
        <v>0.89</v>
      </c>
      <c r="BY3141">
        <v>0.27</v>
      </c>
      <c r="BZ3141">
        <v>-7.0000000000000007E-2</v>
      </c>
      <c r="CA3141">
        <v>1.55</v>
      </c>
      <c r="CB3141">
        <v>0.9</v>
      </c>
      <c r="CC3141">
        <v>2.27</v>
      </c>
      <c r="CD3141">
        <v>-1.05</v>
      </c>
      <c r="CE3141">
        <v>1.32</v>
      </c>
      <c r="CF3141">
        <v>0.86</v>
      </c>
      <c r="CG3141">
        <v>0</v>
      </c>
      <c r="CH3141">
        <v>0.28999999999999998</v>
      </c>
      <c r="CI3141">
        <v>0</v>
      </c>
      <c r="CJ3141">
        <v>-3.4</v>
      </c>
      <c r="CK3141">
        <v>48</v>
      </c>
      <c r="CL3141">
        <v>-1.17</v>
      </c>
      <c r="CM3141">
        <v>47</v>
      </c>
      <c r="CN3141">
        <v>-0.61</v>
      </c>
      <c r="CO3141">
        <v>47</v>
      </c>
      <c r="CP3141">
        <v>3.4</v>
      </c>
      <c r="CQ3141">
        <v>44</v>
      </c>
      <c r="CR3141">
        <v>0</v>
      </c>
      <c r="CS3141">
        <v>0</v>
      </c>
      <c r="CT3141">
        <v>9.6999999999999993</v>
      </c>
      <c r="CU3141">
        <v>44</v>
      </c>
      <c r="CV3141">
        <v>0.14000000000000001</v>
      </c>
      <c r="CW3141">
        <v>35</v>
      </c>
      <c r="CX3141" t="s">
        <v>2577</v>
      </c>
    </row>
    <row r="3142" spans="1:102" x14ac:dyDescent="0.3">
      <c r="A3142" t="str">
        <f>HYPERLINK("https://webapp.icbf.com/v2/app/bull-search/view/586052269","S986")</f>
        <v>S986</v>
      </c>
      <c r="B3142" t="s">
        <v>9001</v>
      </c>
      <c r="C3142" t="s">
        <v>9002</v>
      </c>
      <c r="D3142" s="1">
        <v>38978</v>
      </c>
      <c r="E3142" t="s">
        <v>92</v>
      </c>
      <c r="F3142">
        <v>100</v>
      </c>
      <c r="G3142" t="s">
        <v>93</v>
      </c>
      <c r="H3142">
        <v>-14.26</v>
      </c>
      <c r="I3142">
        <v>85</v>
      </c>
      <c r="J3142">
        <v>60.99</v>
      </c>
      <c r="K3142">
        <v>95</v>
      </c>
      <c r="L3142">
        <v>-44.16</v>
      </c>
      <c r="M3142">
        <v>87</v>
      </c>
      <c r="N3142">
        <v>-1.52</v>
      </c>
      <c r="O3142">
        <v>76</v>
      </c>
      <c r="P3142">
        <v>-13</v>
      </c>
      <c r="Q3142">
        <v>83</v>
      </c>
      <c r="R3142">
        <v>-3.04</v>
      </c>
      <c r="S3142">
        <v>70</v>
      </c>
      <c r="T3142">
        <v>-9.48</v>
      </c>
      <c r="U3142">
        <v>77</v>
      </c>
      <c r="V3142">
        <v>-4.05</v>
      </c>
      <c r="W3142">
        <v>52</v>
      </c>
      <c r="X3142" t="s">
        <v>288</v>
      </c>
      <c r="Y3142" t="s">
        <v>303</v>
      </c>
      <c r="Z3142" t="s">
        <v>96</v>
      </c>
      <c r="AA3142" t="s">
        <v>8177</v>
      </c>
      <c r="AB3142" t="s">
        <v>9003</v>
      </c>
      <c r="AC3142">
        <v>88</v>
      </c>
      <c r="AD3142">
        <v>34</v>
      </c>
      <c r="AE3142">
        <v>95</v>
      </c>
      <c r="AF3142">
        <v>516.16999999999996</v>
      </c>
      <c r="AG3142">
        <v>8.4600000000000009</v>
      </c>
      <c r="AH3142">
        <v>15.28</v>
      </c>
      <c r="AI3142">
        <v>-0.18</v>
      </c>
      <c r="AJ3142">
        <v>-0.04</v>
      </c>
      <c r="AK3142">
        <v>87</v>
      </c>
      <c r="AL3142">
        <v>88</v>
      </c>
      <c r="AM3142">
        <v>37</v>
      </c>
      <c r="AN3142">
        <v>2.57</v>
      </c>
      <c r="AO3142">
        <v>-0.95</v>
      </c>
      <c r="AP3142">
        <v>97</v>
      </c>
      <c r="AQ3142">
        <v>0</v>
      </c>
      <c r="AR3142">
        <v>8.5399999999999991</v>
      </c>
      <c r="AS3142">
        <v>75</v>
      </c>
      <c r="AT3142">
        <v>4.51</v>
      </c>
      <c r="AU3142">
        <v>87</v>
      </c>
      <c r="AV3142">
        <v>-1.1299999999999999</v>
      </c>
      <c r="AW3142">
        <v>80</v>
      </c>
      <c r="AX3142">
        <v>-0.71</v>
      </c>
      <c r="AY3142">
        <v>74</v>
      </c>
      <c r="AZ3142">
        <v>5.27</v>
      </c>
      <c r="BA3142">
        <v>56</v>
      </c>
      <c r="BB3142">
        <v>4.46</v>
      </c>
      <c r="BC3142">
        <v>50</v>
      </c>
      <c r="BD3142">
        <v>0</v>
      </c>
      <c r="BE3142">
        <v>0</v>
      </c>
      <c r="BF3142">
        <v>7.0000000000000007E-2</v>
      </c>
      <c r="BG3142">
        <v>90</v>
      </c>
      <c r="BH3142">
        <v>-0.22</v>
      </c>
      <c r="BI3142">
        <v>-12.39</v>
      </c>
      <c r="BJ3142">
        <v>35</v>
      </c>
      <c r="BK3142">
        <v>14</v>
      </c>
      <c r="BL3142">
        <v>1.27</v>
      </c>
      <c r="BM3142">
        <v>-0.85</v>
      </c>
      <c r="BN3142">
        <v>0.44</v>
      </c>
      <c r="BO3142">
        <v>1.24</v>
      </c>
      <c r="BP3142">
        <v>0.39</v>
      </c>
      <c r="BQ3142">
        <v>1.48</v>
      </c>
      <c r="BR3142">
        <v>1.05</v>
      </c>
      <c r="BS3142">
        <v>-0.43</v>
      </c>
      <c r="BT3142">
        <v>-0.97</v>
      </c>
      <c r="BU3142">
        <v>2.76</v>
      </c>
      <c r="BV3142">
        <v>2.1800000000000002</v>
      </c>
      <c r="BW3142">
        <v>2.59</v>
      </c>
      <c r="BX3142">
        <v>2.11</v>
      </c>
      <c r="BY3142">
        <v>3.92</v>
      </c>
      <c r="BZ3142">
        <v>-0.54</v>
      </c>
      <c r="CA3142">
        <v>2.0499999999999998</v>
      </c>
      <c r="CB3142">
        <v>2.4900000000000002</v>
      </c>
      <c r="CC3142">
        <v>0.3</v>
      </c>
      <c r="CD3142">
        <v>-0.91</v>
      </c>
      <c r="CE3142">
        <v>1.03</v>
      </c>
      <c r="CF3142">
        <v>0.9</v>
      </c>
      <c r="CG3142">
        <v>0</v>
      </c>
      <c r="CH3142">
        <v>1.98</v>
      </c>
      <c r="CI3142">
        <v>0</v>
      </c>
      <c r="CJ3142">
        <v>-0.8</v>
      </c>
      <c r="CK3142">
        <v>85</v>
      </c>
      <c r="CL3142">
        <v>-1.28</v>
      </c>
      <c r="CM3142">
        <v>82</v>
      </c>
      <c r="CN3142">
        <v>-0.09</v>
      </c>
      <c r="CO3142">
        <v>79</v>
      </c>
      <c r="CP3142">
        <v>1.7</v>
      </c>
      <c r="CQ3142">
        <v>82</v>
      </c>
      <c r="CR3142">
        <v>0</v>
      </c>
      <c r="CS3142">
        <v>0</v>
      </c>
      <c r="CT3142">
        <v>26.6</v>
      </c>
      <c r="CU3142">
        <v>77</v>
      </c>
      <c r="CV3142">
        <v>0.48</v>
      </c>
      <c r="CW3142">
        <v>24</v>
      </c>
      <c r="CX3142" t="s">
        <v>9000</v>
      </c>
    </row>
    <row r="3143" spans="1:102" x14ac:dyDescent="0.3">
      <c r="A3143" t="str">
        <f>HYPERLINK("https://webapp.icbf.com/v2/app/bull-search/view/77854786","PMD")</f>
        <v>PMD</v>
      </c>
      <c r="B3143" t="s">
        <v>10751</v>
      </c>
      <c r="C3143" t="s">
        <v>10752</v>
      </c>
      <c r="D3143" s="1">
        <v>35740</v>
      </c>
      <c r="E3143" t="s">
        <v>92</v>
      </c>
      <c r="F3143">
        <v>94</v>
      </c>
      <c r="G3143" t="s">
        <v>93</v>
      </c>
      <c r="H3143">
        <v>-14.26</v>
      </c>
      <c r="I3143">
        <v>88</v>
      </c>
      <c r="J3143">
        <v>32.03</v>
      </c>
      <c r="K3143">
        <v>97</v>
      </c>
      <c r="L3143">
        <v>-68.87</v>
      </c>
      <c r="M3143">
        <v>81</v>
      </c>
      <c r="N3143">
        <v>25.23</v>
      </c>
      <c r="O3143">
        <v>83</v>
      </c>
      <c r="P3143">
        <v>2.69</v>
      </c>
      <c r="Q3143">
        <v>91</v>
      </c>
      <c r="R3143">
        <v>-12.31</v>
      </c>
      <c r="S3143">
        <v>80</v>
      </c>
      <c r="T3143">
        <v>0.14000000000000001</v>
      </c>
      <c r="U3143">
        <v>92</v>
      </c>
      <c r="V3143">
        <v>6.83</v>
      </c>
      <c r="W3143">
        <v>70</v>
      </c>
      <c r="X3143" t="s">
        <v>94</v>
      </c>
      <c r="Y3143" t="s">
        <v>95</v>
      </c>
      <c r="Z3143" t="s">
        <v>96</v>
      </c>
      <c r="AA3143" t="s">
        <v>751</v>
      </c>
      <c r="AB3143" t="s">
        <v>8641</v>
      </c>
      <c r="AC3143">
        <v>103</v>
      </c>
      <c r="AD3143">
        <v>88</v>
      </c>
      <c r="AE3143">
        <v>97</v>
      </c>
      <c r="AF3143">
        <v>204.65</v>
      </c>
      <c r="AG3143">
        <v>4.8899999999999997</v>
      </c>
      <c r="AH3143">
        <v>6.85</v>
      </c>
      <c r="AI3143">
        <v>-0.05</v>
      </c>
      <c r="AJ3143">
        <v>0</v>
      </c>
      <c r="AK3143">
        <v>81</v>
      </c>
      <c r="AL3143">
        <v>120</v>
      </c>
      <c r="AM3143">
        <v>96</v>
      </c>
      <c r="AN3143">
        <v>3.14</v>
      </c>
      <c r="AO3143">
        <v>-2.36</v>
      </c>
      <c r="AP3143">
        <v>65</v>
      </c>
      <c r="AQ3143">
        <v>3</v>
      </c>
      <c r="AR3143">
        <v>7.35</v>
      </c>
      <c r="AS3143">
        <v>74</v>
      </c>
      <c r="AT3143">
        <v>2.84</v>
      </c>
      <c r="AU3143">
        <v>82</v>
      </c>
      <c r="AV3143">
        <v>-3.14</v>
      </c>
      <c r="AW3143">
        <v>92</v>
      </c>
      <c r="AX3143">
        <v>0.06</v>
      </c>
      <c r="AY3143">
        <v>84</v>
      </c>
      <c r="AZ3143">
        <v>7.59</v>
      </c>
      <c r="BA3143">
        <v>65</v>
      </c>
      <c r="BB3143">
        <v>5.16</v>
      </c>
      <c r="BC3143">
        <v>70</v>
      </c>
      <c r="BD3143">
        <v>0.03</v>
      </c>
      <c r="BE3143">
        <v>7.0000000000000007E-2</v>
      </c>
      <c r="BF3143">
        <v>0.1</v>
      </c>
      <c r="BG3143">
        <v>91</v>
      </c>
      <c r="BH3143">
        <v>0.09</v>
      </c>
      <c r="BI3143">
        <v>-11.61</v>
      </c>
      <c r="BJ3143">
        <v>32</v>
      </c>
      <c r="BK3143">
        <v>20</v>
      </c>
      <c r="BL3143">
        <v>0.59</v>
      </c>
      <c r="BM3143">
        <v>2.6</v>
      </c>
      <c r="BN3143">
        <v>2.1</v>
      </c>
      <c r="BO3143">
        <v>0.28999999999999998</v>
      </c>
      <c r="BP3143">
        <v>0.11</v>
      </c>
      <c r="BQ3143">
        <v>2.11</v>
      </c>
      <c r="BR3143">
        <v>-0.74</v>
      </c>
      <c r="BS3143">
        <v>0.45</v>
      </c>
      <c r="BT3143">
        <v>-0.19</v>
      </c>
      <c r="BU3143">
        <v>-0.28999999999999998</v>
      </c>
      <c r="BV3143">
        <v>0.28000000000000003</v>
      </c>
      <c r="BW3143">
        <v>0.19</v>
      </c>
      <c r="BX3143">
        <v>-2.1</v>
      </c>
      <c r="BY3143">
        <v>-0.41</v>
      </c>
      <c r="BZ3143">
        <v>-0.69</v>
      </c>
      <c r="CA3143">
        <v>-0.02</v>
      </c>
      <c r="CB3143">
        <v>-0.22</v>
      </c>
      <c r="CC3143">
        <v>0.83</v>
      </c>
      <c r="CD3143">
        <v>1.24</v>
      </c>
      <c r="CE3143">
        <v>0.31</v>
      </c>
      <c r="CF3143">
        <v>0.78</v>
      </c>
      <c r="CG3143">
        <v>0</v>
      </c>
      <c r="CH3143">
        <v>-0.54</v>
      </c>
      <c r="CI3143">
        <v>0</v>
      </c>
      <c r="CJ3143">
        <v>2</v>
      </c>
      <c r="CK3143">
        <v>92</v>
      </c>
      <c r="CL3143">
        <v>-0.62</v>
      </c>
      <c r="CM3143">
        <v>91</v>
      </c>
      <c r="CN3143">
        <v>-0.53</v>
      </c>
      <c r="CO3143">
        <v>89</v>
      </c>
      <c r="CP3143">
        <v>0.8</v>
      </c>
      <c r="CQ3143">
        <v>92</v>
      </c>
      <c r="CR3143">
        <v>0</v>
      </c>
      <c r="CS3143">
        <v>0</v>
      </c>
      <c r="CT3143">
        <v>13.6</v>
      </c>
      <c r="CU3143">
        <v>92</v>
      </c>
      <c r="CV3143">
        <v>0.19</v>
      </c>
      <c r="CW3143">
        <v>44</v>
      </c>
      <c r="CX3143" t="s">
        <v>193</v>
      </c>
    </row>
    <row r="3144" spans="1:102" x14ac:dyDescent="0.3">
      <c r="A3144" t="str">
        <f>HYPERLINK("https://webapp.icbf.com/v2/app/bull-search/view/1132394669","S2025")</f>
        <v>S2025</v>
      </c>
      <c r="B3144" t="s">
        <v>15146</v>
      </c>
      <c r="C3144" t="s">
        <v>15147</v>
      </c>
      <c r="D3144" s="1">
        <v>40198</v>
      </c>
      <c r="E3144" t="s">
        <v>140</v>
      </c>
      <c r="F3144">
        <v>0</v>
      </c>
      <c r="G3144" t="s">
        <v>109</v>
      </c>
      <c r="H3144">
        <v>-14.42</v>
      </c>
      <c r="I3144">
        <v>74</v>
      </c>
      <c r="J3144">
        <v>29.15</v>
      </c>
      <c r="K3144">
        <v>89</v>
      </c>
      <c r="L3144">
        <v>-10.68</v>
      </c>
      <c r="M3144">
        <v>61</v>
      </c>
      <c r="N3144">
        <v>-54.89</v>
      </c>
      <c r="O3144">
        <v>72</v>
      </c>
      <c r="P3144">
        <v>23.55</v>
      </c>
      <c r="Q3144">
        <v>83</v>
      </c>
      <c r="R3144">
        <v>6.1</v>
      </c>
      <c r="S3144">
        <v>62</v>
      </c>
      <c r="T3144">
        <v>4.0599999999999996</v>
      </c>
      <c r="U3144">
        <v>69</v>
      </c>
      <c r="V3144">
        <v>-11.71</v>
      </c>
      <c r="W3144">
        <v>63</v>
      </c>
      <c r="X3144" t="s">
        <v>102</v>
      </c>
      <c r="Y3144" t="s">
        <v>367</v>
      </c>
      <c r="Z3144">
        <v>0</v>
      </c>
      <c r="AA3144" t="s">
        <v>14174</v>
      </c>
      <c r="AB3144" t="s">
        <v>9904</v>
      </c>
      <c r="AC3144">
        <v>0</v>
      </c>
      <c r="AD3144">
        <v>0</v>
      </c>
      <c r="AE3144">
        <v>89</v>
      </c>
      <c r="AF3144">
        <v>21.76</v>
      </c>
      <c r="AG3144">
        <v>-1.24</v>
      </c>
      <c r="AH3144">
        <v>5.73</v>
      </c>
      <c r="AI3144">
        <v>-0.04</v>
      </c>
      <c r="AJ3144">
        <v>0.09</v>
      </c>
      <c r="AK3144">
        <v>61</v>
      </c>
      <c r="AL3144">
        <v>26</v>
      </c>
      <c r="AM3144">
        <v>13</v>
      </c>
      <c r="AN3144">
        <v>0.72</v>
      </c>
      <c r="AO3144">
        <v>-0.13</v>
      </c>
      <c r="AP3144">
        <v>72</v>
      </c>
      <c r="AQ3144">
        <v>0</v>
      </c>
      <c r="AR3144">
        <v>10.45</v>
      </c>
      <c r="AS3144">
        <v>67</v>
      </c>
      <c r="AT3144">
        <v>5.83</v>
      </c>
      <c r="AU3144">
        <v>69</v>
      </c>
      <c r="AV3144">
        <v>1.8</v>
      </c>
      <c r="AW3144">
        <v>89</v>
      </c>
      <c r="AX3144">
        <v>1.0900000000000001</v>
      </c>
      <c r="AY3144">
        <v>61</v>
      </c>
      <c r="AZ3144">
        <v>6.31</v>
      </c>
      <c r="BA3144">
        <v>49</v>
      </c>
      <c r="BB3144">
        <v>4.7</v>
      </c>
      <c r="BC3144">
        <v>38</v>
      </c>
      <c r="BD3144">
        <v>0.01</v>
      </c>
      <c r="BE3144">
        <v>-0.03</v>
      </c>
      <c r="BF3144">
        <v>-0.1</v>
      </c>
      <c r="BG3144">
        <v>71</v>
      </c>
      <c r="BH3144">
        <v>-0.5</v>
      </c>
      <c r="BI3144">
        <v>-20.05</v>
      </c>
      <c r="BJ3144">
        <v>0</v>
      </c>
      <c r="BK3144">
        <v>0</v>
      </c>
      <c r="BL3144">
        <v>-0.81</v>
      </c>
      <c r="BM3144">
        <v>3.54</v>
      </c>
      <c r="BN3144">
        <v>-1.65</v>
      </c>
      <c r="BO3144">
        <v>-2.99</v>
      </c>
      <c r="BP3144">
        <v>4.21</v>
      </c>
      <c r="BQ3144">
        <v>-2.04</v>
      </c>
      <c r="BR3144">
        <v>-2.68</v>
      </c>
      <c r="BS3144">
        <v>-0.36</v>
      </c>
      <c r="BT3144">
        <v>2.5099999999999998</v>
      </c>
      <c r="BU3144">
        <v>-3.43</v>
      </c>
      <c r="BV3144">
        <v>-3.86</v>
      </c>
      <c r="BW3144">
        <v>-2.93</v>
      </c>
      <c r="BX3144">
        <v>-2.79</v>
      </c>
      <c r="BY3144">
        <v>-1.95</v>
      </c>
      <c r="BZ3144">
        <v>1.1399999999999999</v>
      </c>
      <c r="CA3144">
        <v>-2.42</v>
      </c>
      <c r="CB3144">
        <v>-3.12</v>
      </c>
      <c r="CC3144">
        <v>-0.36</v>
      </c>
      <c r="CD3144">
        <v>3.91</v>
      </c>
      <c r="CE3144">
        <v>-2.94</v>
      </c>
      <c r="CF3144">
        <v>-1.03</v>
      </c>
      <c r="CG3144">
        <v>0</v>
      </c>
      <c r="CH3144">
        <v>-2.57</v>
      </c>
      <c r="CI3144">
        <v>0</v>
      </c>
      <c r="CJ3144">
        <v>10.199999999999999</v>
      </c>
      <c r="CK3144">
        <v>86</v>
      </c>
      <c r="CL3144">
        <v>0.23</v>
      </c>
      <c r="CM3144">
        <v>82</v>
      </c>
      <c r="CN3144">
        <v>-0.5</v>
      </c>
      <c r="CO3144">
        <v>81</v>
      </c>
      <c r="CP3144">
        <v>8.3000000000000007</v>
      </c>
      <c r="CQ3144">
        <v>62</v>
      </c>
      <c r="CR3144">
        <v>0</v>
      </c>
      <c r="CS3144">
        <v>0</v>
      </c>
      <c r="CT3144">
        <v>8.3000000000000007</v>
      </c>
      <c r="CU3144">
        <v>69</v>
      </c>
      <c r="CV3144">
        <v>0.21</v>
      </c>
      <c r="CW3144">
        <v>43</v>
      </c>
      <c r="CX3144" t="s">
        <v>2101</v>
      </c>
    </row>
    <row r="3145" spans="1:102" x14ac:dyDescent="0.3">
      <c r="A3145" t="str">
        <f>HYPERLINK("https://webapp.icbf.com/v2/app/bull-search/view/77853652","SMZ")</f>
        <v>SMZ</v>
      </c>
      <c r="B3145" t="s">
        <v>9877</v>
      </c>
      <c r="C3145" t="s">
        <v>4218</v>
      </c>
      <c r="D3145" s="1">
        <v>36276</v>
      </c>
      <c r="E3145" t="s">
        <v>108</v>
      </c>
      <c r="F3145">
        <v>0</v>
      </c>
      <c r="G3145" t="s">
        <v>93</v>
      </c>
      <c r="H3145">
        <v>-14.53</v>
      </c>
      <c r="I3145">
        <v>98</v>
      </c>
      <c r="J3145">
        <v>-18.7</v>
      </c>
      <c r="K3145">
        <v>99</v>
      </c>
      <c r="L3145">
        <v>2.79</v>
      </c>
      <c r="M3145">
        <v>97</v>
      </c>
      <c r="N3145">
        <v>-0.84</v>
      </c>
      <c r="O3145">
        <v>99</v>
      </c>
      <c r="P3145">
        <v>-3.7</v>
      </c>
      <c r="Q3145">
        <v>99</v>
      </c>
      <c r="R3145">
        <v>3.84</v>
      </c>
      <c r="S3145">
        <v>98</v>
      </c>
      <c r="T3145">
        <v>9.5299999999999994</v>
      </c>
      <c r="U3145">
        <v>99</v>
      </c>
      <c r="V3145">
        <v>-7.45</v>
      </c>
      <c r="W3145">
        <v>99</v>
      </c>
      <c r="X3145" t="s">
        <v>102</v>
      </c>
      <c r="Y3145" t="s">
        <v>95</v>
      </c>
      <c r="Z3145" t="s">
        <v>96</v>
      </c>
      <c r="AA3145" t="s">
        <v>9878</v>
      </c>
      <c r="AB3145" t="s">
        <v>4001</v>
      </c>
      <c r="AC3145">
        <v>2553</v>
      </c>
      <c r="AD3145">
        <v>683</v>
      </c>
      <c r="AE3145">
        <v>99</v>
      </c>
      <c r="AF3145">
        <v>-302.72000000000003</v>
      </c>
      <c r="AG3145">
        <v>-7.36</v>
      </c>
      <c r="AH3145">
        <v>-5.21</v>
      </c>
      <c r="AI3145">
        <v>0.08</v>
      </c>
      <c r="AJ3145">
        <v>0.09</v>
      </c>
      <c r="AK3145">
        <v>97</v>
      </c>
      <c r="AL3145">
        <v>3814</v>
      </c>
      <c r="AM3145">
        <v>1083</v>
      </c>
      <c r="AN3145">
        <v>-1.1100000000000001</v>
      </c>
      <c r="AO3145">
        <v>-0.9</v>
      </c>
      <c r="AP3145">
        <v>4460</v>
      </c>
      <c r="AQ3145">
        <v>20</v>
      </c>
      <c r="AR3145">
        <v>7.86</v>
      </c>
      <c r="AS3145">
        <v>98</v>
      </c>
      <c r="AT3145">
        <v>3.39</v>
      </c>
      <c r="AU3145">
        <v>99</v>
      </c>
      <c r="AV3145">
        <v>-0.24</v>
      </c>
      <c r="AW3145">
        <v>99</v>
      </c>
      <c r="AX3145">
        <v>-0.64</v>
      </c>
      <c r="AY3145">
        <v>99</v>
      </c>
      <c r="AZ3145">
        <v>6.92</v>
      </c>
      <c r="BA3145">
        <v>98</v>
      </c>
      <c r="BB3145">
        <v>5.12</v>
      </c>
      <c r="BC3145">
        <v>98</v>
      </c>
      <c r="BD3145">
        <v>0.01</v>
      </c>
      <c r="BE3145">
        <v>-0.05</v>
      </c>
      <c r="BF3145">
        <v>-0.01</v>
      </c>
      <c r="BG3145">
        <v>99</v>
      </c>
      <c r="BH3145">
        <v>-0.19</v>
      </c>
      <c r="BI3145">
        <v>2.04</v>
      </c>
      <c r="BJ3145">
        <v>141</v>
      </c>
      <c r="BK3145">
        <v>72</v>
      </c>
      <c r="BL3145">
        <v>-2.11</v>
      </c>
      <c r="BM3145">
        <v>1.56</v>
      </c>
      <c r="BN3145">
        <v>-2.2200000000000002</v>
      </c>
      <c r="BO3145">
        <v>-2.2999999999999998</v>
      </c>
      <c r="BP3145">
        <v>-7.0000000000000007E-2</v>
      </c>
      <c r="BQ3145">
        <v>2.46</v>
      </c>
      <c r="BR3145">
        <v>-0.48</v>
      </c>
      <c r="BS3145">
        <v>0.74</v>
      </c>
      <c r="BT3145">
        <v>-0.7</v>
      </c>
      <c r="BU3145">
        <v>-2.5299999999999998</v>
      </c>
      <c r="BV3145">
        <v>-2.95</v>
      </c>
      <c r="BW3145">
        <v>-3.04</v>
      </c>
      <c r="BX3145">
        <v>-0.54</v>
      </c>
      <c r="BY3145">
        <v>-0.89</v>
      </c>
      <c r="BZ3145">
        <v>1.42</v>
      </c>
      <c r="CA3145">
        <v>-1.99</v>
      </c>
      <c r="CB3145">
        <v>-2.64</v>
      </c>
      <c r="CC3145">
        <v>0.06</v>
      </c>
      <c r="CD3145">
        <v>1.81</v>
      </c>
      <c r="CE3145">
        <v>-2.36</v>
      </c>
      <c r="CF3145">
        <v>-0.69</v>
      </c>
      <c r="CG3145">
        <v>0</v>
      </c>
      <c r="CH3145">
        <v>-0.84</v>
      </c>
      <c r="CI3145">
        <v>0</v>
      </c>
      <c r="CJ3145">
        <v>-2.4</v>
      </c>
      <c r="CK3145">
        <v>99</v>
      </c>
      <c r="CL3145">
        <v>-0.2</v>
      </c>
      <c r="CM3145">
        <v>99</v>
      </c>
      <c r="CN3145">
        <v>-0.18</v>
      </c>
      <c r="CO3145">
        <v>99</v>
      </c>
      <c r="CP3145">
        <v>-2.9</v>
      </c>
      <c r="CQ3145">
        <v>99</v>
      </c>
      <c r="CR3145">
        <v>0</v>
      </c>
      <c r="CS3145">
        <v>0</v>
      </c>
      <c r="CT3145">
        <v>0.9</v>
      </c>
      <c r="CU3145">
        <v>99</v>
      </c>
      <c r="CV3145">
        <v>0.1</v>
      </c>
      <c r="CW3145">
        <v>46</v>
      </c>
      <c r="CX3145" t="s">
        <v>4002</v>
      </c>
    </row>
    <row r="3146" spans="1:102" x14ac:dyDescent="0.3">
      <c r="A3146" t="str">
        <f>HYPERLINK("https://webapp.icbf.com/v2/app/bull-search/view/83002298","JIK")</f>
        <v>JIK</v>
      </c>
      <c r="B3146" t="s">
        <v>11531</v>
      </c>
      <c r="C3146" t="s">
        <v>11532</v>
      </c>
      <c r="D3146" s="1">
        <v>37207</v>
      </c>
      <c r="E3146" t="s">
        <v>92</v>
      </c>
      <c r="F3146">
        <v>69</v>
      </c>
      <c r="G3146" t="s">
        <v>93</v>
      </c>
      <c r="H3146">
        <v>-14.56</v>
      </c>
      <c r="I3146">
        <v>90</v>
      </c>
      <c r="J3146">
        <v>18.579999999999998</v>
      </c>
      <c r="K3146">
        <v>98</v>
      </c>
      <c r="L3146">
        <v>-59.66</v>
      </c>
      <c r="M3146">
        <v>82</v>
      </c>
      <c r="N3146">
        <v>28.37</v>
      </c>
      <c r="O3146">
        <v>89</v>
      </c>
      <c r="P3146">
        <v>-27.34</v>
      </c>
      <c r="Q3146">
        <v>95</v>
      </c>
      <c r="R3146">
        <v>-1.36</v>
      </c>
      <c r="S3146">
        <v>83</v>
      </c>
      <c r="T3146">
        <v>28.48</v>
      </c>
      <c r="U3146">
        <v>92</v>
      </c>
      <c r="V3146">
        <v>-1.63</v>
      </c>
      <c r="W3146">
        <v>80</v>
      </c>
      <c r="X3146" t="s">
        <v>94</v>
      </c>
      <c r="Y3146" t="s">
        <v>95</v>
      </c>
      <c r="Z3146" t="s">
        <v>96</v>
      </c>
      <c r="AA3146" t="s">
        <v>792</v>
      </c>
      <c r="AB3146" t="s">
        <v>11533</v>
      </c>
      <c r="AC3146">
        <v>134</v>
      </c>
      <c r="AD3146">
        <v>107</v>
      </c>
      <c r="AE3146">
        <v>98</v>
      </c>
      <c r="AF3146">
        <v>16.079999999999998</v>
      </c>
      <c r="AG3146">
        <v>7.28</v>
      </c>
      <c r="AH3146">
        <v>0.83</v>
      </c>
      <c r="AI3146">
        <v>0.12</v>
      </c>
      <c r="AJ3146">
        <v>0.01</v>
      </c>
      <c r="AK3146">
        <v>82</v>
      </c>
      <c r="AL3146">
        <v>134</v>
      </c>
      <c r="AM3146">
        <v>96</v>
      </c>
      <c r="AN3146">
        <v>3.86</v>
      </c>
      <c r="AO3146">
        <v>-0.89</v>
      </c>
      <c r="AP3146">
        <v>268</v>
      </c>
      <c r="AQ3146">
        <v>1</v>
      </c>
      <c r="AR3146">
        <v>5.85</v>
      </c>
      <c r="AS3146">
        <v>75</v>
      </c>
      <c r="AT3146">
        <v>2.34</v>
      </c>
      <c r="AU3146">
        <v>90</v>
      </c>
      <c r="AV3146">
        <v>-2.44</v>
      </c>
      <c r="AW3146">
        <v>97</v>
      </c>
      <c r="AX3146">
        <v>0</v>
      </c>
      <c r="AY3146">
        <v>87</v>
      </c>
      <c r="AZ3146">
        <v>6.77</v>
      </c>
      <c r="BA3146">
        <v>71</v>
      </c>
      <c r="BB3146">
        <v>5.17</v>
      </c>
      <c r="BC3146">
        <v>73</v>
      </c>
      <c r="BD3146">
        <v>-0.01</v>
      </c>
      <c r="BE3146">
        <v>0.02</v>
      </c>
      <c r="BF3146">
        <v>0.01</v>
      </c>
      <c r="BG3146">
        <v>91</v>
      </c>
      <c r="BH3146">
        <v>0.13</v>
      </c>
      <c r="BI3146">
        <v>20.29</v>
      </c>
      <c r="BJ3146">
        <v>42</v>
      </c>
      <c r="BK3146">
        <v>21</v>
      </c>
      <c r="BL3146">
        <v>-1.58</v>
      </c>
      <c r="BM3146">
        <v>-1.61</v>
      </c>
      <c r="BN3146">
        <v>-0.2</v>
      </c>
      <c r="BO3146">
        <v>0.48</v>
      </c>
      <c r="BP3146">
        <v>-1.73</v>
      </c>
      <c r="BQ3146">
        <v>-2.98</v>
      </c>
      <c r="BR3146">
        <v>1.3</v>
      </c>
      <c r="BS3146">
        <v>-0.76</v>
      </c>
      <c r="BT3146">
        <v>-1.59</v>
      </c>
      <c r="BU3146">
        <v>-0.28000000000000003</v>
      </c>
      <c r="BV3146">
        <v>0.38</v>
      </c>
      <c r="BW3146">
        <v>0.15</v>
      </c>
      <c r="BX3146">
        <v>-0.93</v>
      </c>
      <c r="BY3146">
        <v>0.3</v>
      </c>
      <c r="BZ3146">
        <v>-1.01</v>
      </c>
      <c r="CA3146">
        <v>-0.35</v>
      </c>
      <c r="CB3146">
        <v>0.27</v>
      </c>
      <c r="CC3146">
        <v>-1.29</v>
      </c>
      <c r="CD3146">
        <v>-0.98</v>
      </c>
      <c r="CE3146">
        <v>0.09</v>
      </c>
      <c r="CF3146">
        <v>-2</v>
      </c>
      <c r="CG3146">
        <v>0</v>
      </c>
      <c r="CH3146">
        <v>0.64</v>
      </c>
      <c r="CI3146">
        <v>0</v>
      </c>
      <c r="CJ3146">
        <v>-13.7</v>
      </c>
      <c r="CK3146">
        <v>96</v>
      </c>
      <c r="CL3146">
        <v>-0.67</v>
      </c>
      <c r="CM3146">
        <v>95</v>
      </c>
      <c r="CN3146">
        <v>-0.12</v>
      </c>
      <c r="CO3146">
        <v>95</v>
      </c>
      <c r="CP3146">
        <v>-19.5</v>
      </c>
      <c r="CQ3146">
        <v>93</v>
      </c>
      <c r="CR3146">
        <v>0</v>
      </c>
      <c r="CS3146">
        <v>0</v>
      </c>
      <c r="CT3146">
        <v>-24.7</v>
      </c>
      <c r="CU3146">
        <v>92</v>
      </c>
      <c r="CV3146">
        <v>-0.05</v>
      </c>
      <c r="CW3146">
        <v>47</v>
      </c>
      <c r="CX3146" t="s">
        <v>1037</v>
      </c>
    </row>
    <row r="3147" spans="1:102" x14ac:dyDescent="0.3">
      <c r="A3147" t="str">
        <f>HYPERLINK("https://webapp.icbf.com/v2/app/bull-search/view/82546972","MFM")</f>
        <v>MFM</v>
      </c>
      <c r="B3147" t="s">
        <v>11321</v>
      </c>
      <c r="C3147" t="s">
        <v>11322</v>
      </c>
      <c r="D3147" s="1">
        <v>31431</v>
      </c>
      <c r="E3147" t="s">
        <v>92</v>
      </c>
      <c r="F3147">
        <v>50</v>
      </c>
      <c r="G3147" t="s">
        <v>93</v>
      </c>
      <c r="H3147">
        <v>-14.6</v>
      </c>
      <c r="I3147">
        <v>69</v>
      </c>
      <c r="J3147">
        <v>-94.44</v>
      </c>
      <c r="K3147">
        <v>87</v>
      </c>
      <c r="L3147">
        <v>35.22</v>
      </c>
      <c r="M3147">
        <v>66</v>
      </c>
      <c r="N3147">
        <v>32.090000000000003</v>
      </c>
      <c r="O3147">
        <v>47</v>
      </c>
      <c r="P3147">
        <v>-1.56</v>
      </c>
      <c r="Q3147">
        <v>75</v>
      </c>
      <c r="R3147">
        <v>-3.84</v>
      </c>
      <c r="S3147">
        <v>64</v>
      </c>
      <c r="T3147">
        <v>18.41</v>
      </c>
      <c r="U3147">
        <v>62</v>
      </c>
      <c r="V3147">
        <v>-0.48</v>
      </c>
      <c r="W3147">
        <v>19</v>
      </c>
      <c r="X3147" t="s">
        <v>94</v>
      </c>
      <c r="Y3147" t="s">
        <v>95</v>
      </c>
      <c r="Z3147" t="s">
        <v>96</v>
      </c>
      <c r="AA3147" t="s">
        <v>2970</v>
      </c>
      <c r="AB3147" t="s">
        <v>11323</v>
      </c>
      <c r="AC3147">
        <v>40</v>
      </c>
      <c r="AD3147">
        <v>30</v>
      </c>
      <c r="AE3147">
        <v>87</v>
      </c>
      <c r="AF3147">
        <v>-523.9</v>
      </c>
      <c r="AG3147">
        <v>-21.06</v>
      </c>
      <c r="AH3147">
        <v>-16.63</v>
      </c>
      <c r="AI3147">
        <v>-0.01</v>
      </c>
      <c r="AJ3147">
        <v>0.02</v>
      </c>
      <c r="AK3147">
        <v>66</v>
      </c>
      <c r="AL3147">
        <v>125</v>
      </c>
      <c r="AM3147">
        <v>81</v>
      </c>
      <c r="AN3147">
        <v>-1.07</v>
      </c>
      <c r="AO3147">
        <v>1.75</v>
      </c>
      <c r="AP3147">
        <v>1</v>
      </c>
      <c r="AQ3147">
        <v>0</v>
      </c>
      <c r="AR3147">
        <v>5.32</v>
      </c>
      <c r="AS3147">
        <v>21</v>
      </c>
      <c r="AT3147">
        <v>2.38</v>
      </c>
      <c r="AU3147">
        <v>39</v>
      </c>
      <c r="AV3147">
        <v>-2.0699999999999998</v>
      </c>
      <c r="AW3147">
        <v>57</v>
      </c>
      <c r="AX3147">
        <v>-0.56999999999999995</v>
      </c>
      <c r="AY3147">
        <v>62</v>
      </c>
      <c r="AZ3147">
        <v>6.07</v>
      </c>
      <c r="BA3147">
        <v>20</v>
      </c>
      <c r="BB3147">
        <v>4.49</v>
      </c>
      <c r="BC3147">
        <v>38</v>
      </c>
      <c r="BD3147">
        <v>0.05</v>
      </c>
      <c r="BE3147">
        <v>0.05</v>
      </c>
      <c r="BF3147">
        <v>-0.09</v>
      </c>
      <c r="BG3147">
        <v>87</v>
      </c>
      <c r="BH3147">
        <v>0</v>
      </c>
      <c r="BI3147">
        <v>1.54</v>
      </c>
      <c r="BJ3147">
        <v>10</v>
      </c>
      <c r="BK3147">
        <v>8</v>
      </c>
      <c r="BL3147">
        <v>-1.95</v>
      </c>
      <c r="BM3147">
        <v>3.47</v>
      </c>
      <c r="BN3147">
        <v>-1.08</v>
      </c>
      <c r="BO3147">
        <v>-3.2</v>
      </c>
      <c r="BP3147">
        <v>-1.38</v>
      </c>
      <c r="BQ3147">
        <v>1.38</v>
      </c>
      <c r="BR3147">
        <v>-0.77</v>
      </c>
      <c r="BS3147">
        <v>-0.79</v>
      </c>
      <c r="BT3147">
        <v>0.16</v>
      </c>
      <c r="BU3147">
        <v>-1.64</v>
      </c>
      <c r="BV3147">
        <v>-2.25</v>
      </c>
      <c r="BW3147">
        <v>-2.1</v>
      </c>
      <c r="BX3147">
        <v>-1.56</v>
      </c>
      <c r="BY3147">
        <v>-1.32</v>
      </c>
      <c r="BZ3147">
        <v>0.21</v>
      </c>
      <c r="CA3147">
        <v>-2.36</v>
      </c>
      <c r="CB3147">
        <v>-2.1800000000000002</v>
      </c>
      <c r="CC3147">
        <v>-1.81</v>
      </c>
      <c r="CD3147">
        <v>3.41</v>
      </c>
      <c r="CE3147">
        <v>-3.36</v>
      </c>
      <c r="CF3147">
        <v>-1.8</v>
      </c>
      <c r="CG3147">
        <v>0</v>
      </c>
      <c r="CH3147">
        <v>-1.58</v>
      </c>
      <c r="CI3147">
        <v>0</v>
      </c>
      <c r="CJ3147">
        <v>-0.9</v>
      </c>
      <c r="CK3147">
        <v>78</v>
      </c>
      <c r="CL3147">
        <v>-7.0000000000000007E-2</v>
      </c>
      <c r="CM3147">
        <v>72</v>
      </c>
      <c r="CN3147">
        <v>-0.12</v>
      </c>
      <c r="CO3147">
        <v>68</v>
      </c>
      <c r="CP3147">
        <v>-6.7</v>
      </c>
      <c r="CQ3147">
        <v>75</v>
      </c>
      <c r="CR3147">
        <v>0</v>
      </c>
      <c r="CS3147">
        <v>0</v>
      </c>
      <c r="CT3147">
        <v>-11.1</v>
      </c>
      <c r="CU3147">
        <v>62</v>
      </c>
      <c r="CV3147">
        <v>0.01</v>
      </c>
      <c r="CW3147">
        <v>22</v>
      </c>
      <c r="CX3147" t="s">
        <v>11324</v>
      </c>
    </row>
    <row r="3148" spans="1:102" x14ac:dyDescent="0.3">
      <c r="A3148" t="str">
        <f>HYPERLINK("https://webapp.icbf.com/v2/app/bull-search/view/1312502298","S3059")</f>
        <v>S3059</v>
      </c>
      <c r="B3148" t="s">
        <v>9373</v>
      </c>
      <c r="C3148" t="s">
        <v>9374</v>
      </c>
      <c r="D3148" s="1">
        <v>41762</v>
      </c>
      <c r="E3148" t="s">
        <v>92</v>
      </c>
      <c r="F3148">
        <v>100</v>
      </c>
      <c r="G3148" t="s">
        <v>109</v>
      </c>
      <c r="H3148">
        <v>-14.91</v>
      </c>
      <c r="I3148">
        <v>54</v>
      </c>
      <c r="J3148">
        <v>46.42</v>
      </c>
      <c r="K3148">
        <v>73</v>
      </c>
      <c r="L3148">
        <v>-43.61</v>
      </c>
      <c r="M3148">
        <v>66</v>
      </c>
      <c r="N3148">
        <v>-16.18</v>
      </c>
      <c r="O3148">
        <v>27</v>
      </c>
      <c r="P3148">
        <v>-0.02</v>
      </c>
      <c r="Q3148">
        <v>25</v>
      </c>
      <c r="R3148">
        <v>-0.13</v>
      </c>
      <c r="S3148">
        <v>50</v>
      </c>
      <c r="T3148">
        <v>-1.64</v>
      </c>
      <c r="U3148">
        <v>13</v>
      </c>
      <c r="V3148">
        <v>0.25</v>
      </c>
      <c r="W3148">
        <v>8</v>
      </c>
      <c r="X3148" t="s">
        <v>110</v>
      </c>
      <c r="Y3148" t="s">
        <v>411</v>
      </c>
      <c r="Z3148" t="s">
        <v>96</v>
      </c>
      <c r="AA3148" t="s">
        <v>9375</v>
      </c>
      <c r="AB3148" t="s">
        <v>9376</v>
      </c>
      <c r="AC3148">
        <v>0</v>
      </c>
      <c r="AD3148">
        <v>0</v>
      </c>
      <c r="AE3148">
        <v>73</v>
      </c>
      <c r="AF3148">
        <v>719.66</v>
      </c>
      <c r="AG3148">
        <v>9.61</v>
      </c>
      <c r="AH3148">
        <v>15.51</v>
      </c>
      <c r="AI3148">
        <v>-0.27</v>
      </c>
      <c r="AJ3148">
        <v>-0.14000000000000001</v>
      </c>
      <c r="AK3148">
        <v>66</v>
      </c>
      <c r="AL3148">
        <v>0</v>
      </c>
      <c r="AM3148">
        <v>0</v>
      </c>
      <c r="AN3148">
        <v>5.31</v>
      </c>
      <c r="AO3148">
        <v>1.87</v>
      </c>
      <c r="AP3148">
        <v>5</v>
      </c>
      <c r="AQ3148">
        <v>0</v>
      </c>
      <c r="AR3148">
        <v>12.55</v>
      </c>
      <c r="AS3148">
        <v>10</v>
      </c>
      <c r="AT3148">
        <v>5.26</v>
      </c>
      <c r="AU3148">
        <v>76</v>
      </c>
      <c r="AV3148">
        <v>-2.59</v>
      </c>
      <c r="AW3148">
        <v>12</v>
      </c>
      <c r="AX3148">
        <v>-0.38</v>
      </c>
      <c r="AY3148">
        <v>14</v>
      </c>
      <c r="AZ3148">
        <v>5.92</v>
      </c>
      <c r="BA3148">
        <v>9</v>
      </c>
      <c r="BB3148">
        <v>4.6100000000000003</v>
      </c>
      <c r="BC3148">
        <v>7</v>
      </c>
      <c r="BD3148">
        <v>-0.03</v>
      </c>
      <c r="BE3148">
        <v>-0.03</v>
      </c>
      <c r="BF3148">
        <v>0.11</v>
      </c>
      <c r="BG3148">
        <v>85</v>
      </c>
      <c r="BH3148">
        <v>0.03</v>
      </c>
      <c r="BI3148">
        <v>2.66</v>
      </c>
      <c r="BJ3148">
        <v>0</v>
      </c>
      <c r="BK3148">
        <v>0</v>
      </c>
      <c r="BL3148">
        <v>1.76</v>
      </c>
      <c r="BM3148">
        <v>-1.3</v>
      </c>
      <c r="BN3148">
        <v>-0.4</v>
      </c>
      <c r="BO3148">
        <v>0.94</v>
      </c>
      <c r="BP3148">
        <v>1.72</v>
      </c>
      <c r="BQ3148">
        <v>-0.33</v>
      </c>
      <c r="BR3148">
        <v>-0.98</v>
      </c>
      <c r="BS3148">
        <v>0.7</v>
      </c>
      <c r="BT3148">
        <v>-0.16</v>
      </c>
      <c r="BU3148">
        <v>1.35</v>
      </c>
      <c r="BV3148">
        <v>2.58</v>
      </c>
      <c r="BW3148">
        <v>2.48</v>
      </c>
      <c r="BX3148">
        <v>2.84</v>
      </c>
      <c r="BY3148">
        <v>0.25</v>
      </c>
      <c r="BZ3148">
        <v>1.78</v>
      </c>
      <c r="CA3148">
        <v>1.8</v>
      </c>
      <c r="CB3148">
        <v>1.79</v>
      </c>
      <c r="CC3148">
        <v>0.8</v>
      </c>
      <c r="CD3148">
        <v>-0.41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4.0999999999999996</v>
      </c>
      <c r="CK3148">
        <v>27</v>
      </c>
      <c r="CL3148">
        <v>-1.03</v>
      </c>
      <c r="CM3148">
        <v>23</v>
      </c>
      <c r="CN3148">
        <v>-0.4</v>
      </c>
      <c r="CO3148">
        <v>22</v>
      </c>
      <c r="CP3148">
        <v>1.8</v>
      </c>
      <c r="CQ3148">
        <v>15</v>
      </c>
      <c r="CR3148">
        <v>0</v>
      </c>
      <c r="CS3148">
        <v>0</v>
      </c>
      <c r="CT3148">
        <v>16</v>
      </c>
      <c r="CU3148">
        <v>13</v>
      </c>
      <c r="CV3148">
        <v>0.38</v>
      </c>
      <c r="CW3148">
        <v>7</v>
      </c>
      <c r="CX3148" t="s">
        <v>2187</v>
      </c>
    </row>
    <row r="3149" spans="1:102" x14ac:dyDescent="0.3">
      <c r="A3149" t="str">
        <f>HYPERLINK("https://webapp.icbf.com/v2/app/bull-search/view/108367884","CIC")</f>
        <v>CIC</v>
      </c>
      <c r="B3149" t="s">
        <v>15205</v>
      </c>
      <c r="C3149" t="s">
        <v>15206</v>
      </c>
      <c r="D3149" s="1">
        <v>36796</v>
      </c>
      <c r="E3149" t="s">
        <v>140</v>
      </c>
      <c r="F3149">
        <v>0</v>
      </c>
      <c r="G3149" t="s">
        <v>93</v>
      </c>
      <c r="H3149">
        <v>-15.02</v>
      </c>
      <c r="I3149">
        <v>92</v>
      </c>
      <c r="J3149">
        <v>-67.819999999999993</v>
      </c>
      <c r="K3149">
        <v>98</v>
      </c>
      <c r="L3149">
        <v>42.46</v>
      </c>
      <c r="M3149">
        <v>86</v>
      </c>
      <c r="N3149">
        <v>-19.059999999999999</v>
      </c>
      <c r="O3149">
        <v>92</v>
      </c>
      <c r="P3149">
        <v>17.09</v>
      </c>
      <c r="Q3149">
        <v>97</v>
      </c>
      <c r="R3149">
        <v>5.34</v>
      </c>
      <c r="S3149">
        <v>89</v>
      </c>
      <c r="T3149">
        <v>17.010000000000002</v>
      </c>
      <c r="U3149">
        <v>94</v>
      </c>
      <c r="V3149">
        <v>-10.039999999999999</v>
      </c>
      <c r="W3149">
        <v>88</v>
      </c>
      <c r="X3149" t="s">
        <v>276</v>
      </c>
      <c r="Y3149" t="s">
        <v>95</v>
      </c>
      <c r="Z3149">
        <v>0</v>
      </c>
      <c r="AA3149" t="s">
        <v>6697</v>
      </c>
      <c r="AB3149" t="s">
        <v>15207</v>
      </c>
      <c r="AC3149">
        <v>237</v>
      </c>
      <c r="AD3149">
        <v>94</v>
      </c>
      <c r="AE3149">
        <v>98</v>
      </c>
      <c r="AF3149">
        <v>-289.54000000000002</v>
      </c>
      <c r="AG3149">
        <v>-15.76</v>
      </c>
      <c r="AH3149">
        <v>-10.39</v>
      </c>
      <c r="AI3149">
        <v>-0.08</v>
      </c>
      <c r="AJ3149">
        <v>-0.01</v>
      </c>
      <c r="AK3149">
        <v>86</v>
      </c>
      <c r="AL3149">
        <v>258</v>
      </c>
      <c r="AM3149">
        <v>118</v>
      </c>
      <c r="AN3149">
        <v>-2.78</v>
      </c>
      <c r="AO3149">
        <v>0.6</v>
      </c>
      <c r="AP3149">
        <v>392</v>
      </c>
      <c r="AQ3149">
        <v>6</v>
      </c>
      <c r="AR3149">
        <v>9.16</v>
      </c>
      <c r="AS3149">
        <v>80</v>
      </c>
      <c r="AT3149">
        <v>4.8600000000000003</v>
      </c>
      <c r="AU3149">
        <v>93</v>
      </c>
      <c r="AV3149">
        <v>0.85</v>
      </c>
      <c r="AW3149">
        <v>97</v>
      </c>
      <c r="AX3149">
        <v>-0.73</v>
      </c>
      <c r="AY3149">
        <v>92</v>
      </c>
      <c r="AZ3149">
        <v>4.13</v>
      </c>
      <c r="BA3149">
        <v>78</v>
      </c>
      <c r="BB3149">
        <v>3.8</v>
      </c>
      <c r="BC3149">
        <v>84</v>
      </c>
      <c r="BD3149">
        <v>-0.01</v>
      </c>
      <c r="BE3149">
        <v>-0.04</v>
      </c>
      <c r="BF3149">
        <v>-0.03</v>
      </c>
      <c r="BG3149">
        <v>95</v>
      </c>
      <c r="BH3149">
        <v>-0.15</v>
      </c>
      <c r="BI3149">
        <v>15.05</v>
      </c>
      <c r="BJ3149">
        <v>2</v>
      </c>
      <c r="BK3149">
        <v>2</v>
      </c>
      <c r="BL3149">
        <v>-0.56000000000000005</v>
      </c>
      <c r="BM3149">
        <v>3.49</v>
      </c>
      <c r="BN3149">
        <v>-1.1599999999999999</v>
      </c>
      <c r="BO3149">
        <v>-2.61</v>
      </c>
      <c r="BP3149">
        <v>3.54</v>
      </c>
      <c r="BQ3149">
        <v>-2.13</v>
      </c>
      <c r="BR3149">
        <v>-2.5499999999999998</v>
      </c>
      <c r="BS3149">
        <v>-0.62</v>
      </c>
      <c r="BT3149">
        <v>2.71</v>
      </c>
      <c r="BU3149">
        <v>-3.84</v>
      </c>
      <c r="BV3149">
        <v>-4.3600000000000003</v>
      </c>
      <c r="BW3149">
        <v>-3.32</v>
      </c>
      <c r="BX3149">
        <v>-2.7</v>
      </c>
      <c r="BY3149">
        <v>-3.07</v>
      </c>
      <c r="BZ3149">
        <v>2.06</v>
      </c>
      <c r="CA3149">
        <v>-2.72</v>
      </c>
      <c r="CB3149">
        <v>-3.48</v>
      </c>
      <c r="CC3149">
        <v>-0.33</v>
      </c>
      <c r="CD3149">
        <v>3.71</v>
      </c>
      <c r="CE3149">
        <v>-2.91</v>
      </c>
      <c r="CF3149">
        <v>-0.9</v>
      </c>
      <c r="CG3149">
        <v>0</v>
      </c>
      <c r="CH3149">
        <v>-3.25</v>
      </c>
      <c r="CI3149">
        <v>0</v>
      </c>
      <c r="CJ3149">
        <v>4.2</v>
      </c>
      <c r="CK3149">
        <v>98</v>
      </c>
      <c r="CL3149">
        <v>0.53</v>
      </c>
      <c r="CM3149">
        <v>97</v>
      </c>
      <c r="CN3149">
        <v>-0.5</v>
      </c>
      <c r="CO3149">
        <v>97</v>
      </c>
      <c r="CP3149">
        <v>-0.2</v>
      </c>
      <c r="CQ3149">
        <v>95</v>
      </c>
      <c r="CR3149">
        <v>0</v>
      </c>
      <c r="CS3149">
        <v>0</v>
      </c>
      <c r="CT3149">
        <v>-9.1999999999999993</v>
      </c>
      <c r="CU3149">
        <v>94</v>
      </c>
      <c r="CV3149">
        <v>0.04</v>
      </c>
      <c r="CW3149">
        <v>46</v>
      </c>
      <c r="CX3149" t="s">
        <v>224</v>
      </c>
    </row>
    <row r="3150" spans="1:102" x14ac:dyDescent="0.3">
      <c r="A3150" t="str">
        <f>HYPERLINK("https://webapp.icbf.com/v2/app/bull-search/view/77853220","TTF")</f>
        <v>TTF</v>
      </c>
      <c r="B3150" t="s">
        <v>2826</v>
      </c>
      <c r="C3150" t="s">
        <v>2827</v>
      </c>
      <c r="D3150" s="1">
        <v>35243</v>
      </c>
      <c r="E3150" t="s">
        <v>108</v>
      </c>
      <c r="F3150">
        <v>0</v>
      </c>
      <c r="G3150" t="s">
        <v>93</v>
      </c>
      <c r="H3150">
        <v>-15.04</v>
      </c>
      <c r="I3150">
        <v>98</v>
      </c>
      <c r="J3150">
        <v>-63.59</v>
      </c>
      <c r="K3150">
        <v>99</v>
      </c>
      <c r="L3150">
        <v>60.79</v>
      </c>
      <c r="M3150">
        <v>96</v>
      </c>
      <c r="N3150">
        <v>7.06</v>
      </c>
      <c r="O3150">
        <v>98</v>
      </c>
      <c r="P3150">
        <v>-8.84</v>
      </c>
      <c r="Q3150">
        <v>99</v>
      </c>
      <c r="R3150">
        <v>-7.62</v>
      </c>
      <c r="S3150">
        <v>97</v>
      </c>
      <c r="T3150">
        <v>1.84</v>
      </c>
      <c r="U3150">
        <v>99</v>
      </c>
      <c r="V3150">
        <v>-4.68</v>
      </c>
      <c r="W3150">
        <v>98</v>
      </c>
      <c r="X3150" t="s">
        <v>102</v>
      </c>
      <c r="Y3150" t="s">
        <v>95</v>
      </c>
      <c r="Z3150" t="s">
        <v>96</v>
      </c>
      <c r="AA3150" t="s">
        <v>2779</v>
      </c>
      <c r="AB3150" t="s">
        <v>2780</v>
      </c>
      <c r="AC3150">
        <v>1470</v>
      </c>
      <c r="AD3150">
        <v>448</v>
      </c>
      <c r="AE3150">
        <v>99</v>
      </c>
      <c r="AF3150">
        <v>-365.31</v>
      </c>
      <c r="AG3150">
        <v>-13.19</v>
      </c>
      <c r="AH3150">
        <v>-11.74</v>
      </c>
      <c r="AI3150">
        <v>0.02</v>
      </c>
      <c r="AJ3150">
        <v>0.01</v>
      </c>
      <c r="AK3150">
        <v>96</v>
      </c>
      <c r="AL3150">
        <v>2028</v>
      </c>
      <c r="AM3150">
        <v>667</v>
      </c>
      <c r="AN3150">
        <v>-4.71</v>
      </c>
      <c r="AO3150">
        <v>0.12</v>
      </c>
      <c r="AP3150">
        <v>1791</v>
      </c>
      <c r="AQ3150">
        <v>7</v>
      </c>
      <c r="AR3150">
        <v>7.94</v>
      </c>
      <c r="AS3150">
        <v>96</v>
      </c>
      <c r="AT3150">
        <v>3.45</v>
      </c>
      <c r="AU3150">
        <v>99</v>
      </c>
      <c r="AV3150">
        <v>-1.26</v>
      </c>
      <c r="AW3150">
        <v>99</v>
      </c>
      <c r="AX3150">
        <v>-0.28999999999999998</v>
      </c>
      <c r="AY3150">
        <v>99</v>
      </c>
      <c r="AZ3150">
        <v>5.73</v>
      </c>
      <c r="BA3150">
        <v>96</v>
      </c>
      <c r="BB3150">
        <v>5.19</v>
      </c>
      <c r="BC3150">
        <v>97</v>
      </c>
      <c r="BD3150">
        <v>0.11</v>
      </c>
      <c r="BE3150">
        <v>-0.02</v>
      </c>
      <c r="BF3150">
        <v>0.03</v>
      </c>
      <c r="BG3150">
        <v>99</v>
      </c>
      <c r="BH3150">
        <v>0.01</v>
      </c>
      <c r="BI3150">
        <v>16.260000000000002</v>
      </c>
      <c r="BJ3150">
        <v>103</v>
      </c>
      <c r="BK3150">
        <v>46</v>
      </c>
      <c r="BL3150">
        <v>-1.99</v>
      </c>
      <c r="BM3150">
        <v>3.97</v>
      </c>
      <c r="BN3150">
        <v>-0.83</v>
      </c>
      <c r="BO3150">
        <v>-2.72</v>
      </c>
      <c r="BP3150">
        <v>0.22</v>
      </c>
      <c r="BQ3150">
        <v>4</v>
      </c>
      <c r="BR3150">
        <v>-1.69</v>
      </c>
      <c r="BS3150">
        <v>1.79</v>
      </c>
      <c r="BT3150">
        <v>0.5</v>
      </c>
      <c r="BU3150">
        <v>-1.74</v>
      </c>
      <c r="BV3150">
        <v>-1.88</v>
      </c>
      <c r="BW3150">
        <v>-1.19</v>
      </c>
      <c r="BX3150">
        <v>-1.62</v>
      </c>
      <c r="BY3150">
        <v>1.19</v>
      </c>
      <c r="BZ3150">
        <v>0.6</v>
      </c>
      <c r="CA3150">
        <v>-1.08</v>
      </c>
      <c r="CB3150">
        <v>-1.65</v>
      </c>
      <c r="CC3150">
        <v>0.63</v>
      </c>
      <c r="CD3150">
        <v>3.47</v>
      </c>
      <c r="CE3150">
        <v>-2.34</v>
      </c>
      <c r="CF3150">
        <v>0.44</v>
      </c>
      <c r="CG3150">
        <v>0</v>
      </c>
      <c r="CH3150">
        <v>1.17</v>
      </c>
      <c r="CI3150">
        <v>0</v>
      </c>
      <c r="CJ3150">
        <v>-4.0999999999999996</v>
      </c>
      <c r="CK3150">
        <v>99</v>
      </c>
      <c r="CL3150">
        <v>-0.18</v>
      </c>
      <c r="CM3150">
        <v>99</v>
      </c>
      <c r="CN3150">
        <v>0.09</v>
      </c>
      <c r="CO3150">
        <v>99</v>
      </c>
      <c r="CP3150">
        <v>-1.8</v>
      </c>
      <c r="CQ3150">
        <v>99</v>
      </c>
      <c r="CR3150">
        <v>0</v>
      </c>
      <c r="CS3150">
        <v>0</v>
      </c>
      <c r="CT3150">
        <v>11.3</v>
      </c>
      <c r="CU3150">
        <v>99</v>
      </c>
      <c r="CV3150">
        <v>0.1</v>
      </c>
      <c r="CW3150">
        <v>47</v>
      </c>
      <c r="CX3150" t="s">
        <v>2781</v>
      </c>
    </row>
    <row r="3151" spans="1:102" x14ac:dyDescent="0.3">
      <c r="A3151" t="str">
        <f>HYPERLINK("https://webapp.icbf.com/v2/app/bull-search/view/77855017","NKB")</f>
        <v>NKB</v>
      </c>
      <c r="B3151" t="s">
        <v>11710</v>
      </c>
      <c r="C3151" t="s">
        <v>11711</v>
      </c>
      <c r="D3151" s="1">
        <v>35610</v>
      </c>
      <c r="E3151" t="s">
        <v>92</v>
      </c>
      <c r="F3151">
        <v>97</v>
      </c>
      <c r="G3151" t="s">
        <v>93</v>
      </c>
      <c r="H3151">
        <v>-15.05</v>
      </c>
      <c r="I3151">
        <v>73</v>
      </c>
      <c r="J3151">
        <v>6.93</v>
      </c>
      <c r="K3151">
        <v>92</v>
      </c>
      <c r="L3151">
        <v>-40.65</v>
      </c>
      <c r="M3151">
        <v>61</v>
      </c>
      <c r="N3151">
        <v>17.48</v>
      </c>
      <c r="O3151">
        <v>62</v>
      </c>
      <c r="P3151">
        <v>-5.15</v>
      </c>
      <c r="Q3151">
        <v>75</v>
      </c>
      <c r="R3151">
        <v>-5.15</v>
      </c>
      <c r="S3151">
        <v>64</v>
      </c>
      <c r="T3151">
        <v>15.82</v>
      </c>
      <c r="U3151">
        <v>74</v>
      </c>
      <c r="V3151">
        <v>-4.33</v>
      </c>
      <c r="W3151">
        <v>35</v>
      </c>
      <c r="X3151" t="s">
        <v>558</v>
      </c>
      <c r="Y3151" t="s">
        <v>95</v>
      </c>
      <c r="Z3151" t="s">
        <v>96</v>
      </c>
      <c r="AA3151" t="s">
        <v>753</v>
      </c>
      <c r="AB3151" t="s">
        <v>6552</v>
      </c>
      <c r="AC3151">
        <v>43</v>
      </c>
      <c r="AD3151">
        <v>46</v>
      </c>
      <c r="AE3151">
        <v>92</v>
      </c>
      <c r="AF3151">
        <v>-20.23</v>
      </c>
      <c r="AG3151">
        <v>2.37</v>
      </c>
      <c r="AH3151">
        <v>0.03</v>
      </c>
      <c r="AI3151">
        <v>0.05</v>
      </c>
      <c r="AJ3151">
        <v>0.01</v>
      </c>
      <c r="AK3151">
        <v>61</v>
      </c>
      <c r="AL3151">
        <v>45</v>
      </c>
      <c r="AM3151">
        <v>38</v>
      </c>
      <c r="AN3151">
        <v>0.82</v>
      </c>
      <c r="AO3151">
        <v>-2.44</v>
      </c>
      <c r="AP3151">
        <v>2</v>
      </c>
      <c r="AQ3151">
        <v>0</v>
      </c>
      <c r="AR3151">
        <v>7.23</v>
      </c>
      <c r="AS3151">
        <v>49</v>
      </c>
      <c r="AT3151">
        <v>2.68</v>
      </c>
      <c r="AU3151">
        <v>57</v>
      </c>
      <c r="AV3151">
        <v>-1.96</v>
      </c>
      <c r="AW3151">
        <v>69</v>
      </c>
      <c r="AX3151">
        <v>0.4</v>
      </c>
      <c r="AY3151">
        <v>68</v>
      </c>
      <c r="AZ3151">
        <v>6.78</v>
      </c>
      <c r="BA3151">
        <v>49</v>
      </c>
      <c r="BB3151">
        <v>5.23</v>
      </c>
      <c r="BC3151">
        <v>54</v>
      </c>
      <c r="BD3151">
        <v>-0.01</v>
      </c>
      <c r="BE3151">
        <v>0.05</v>
      </c>
      <c r="BF3151">
        <v>0.04</v>
      </c>
      <c r="BG3151">
        <v>76</v>
      </c>
      <c r="BH3151">
        <v>-0.1</v>
      </c>
      <c r="BI3151">
        <v>2.39</v>
      </c>
      <c r="BJ3151">
        <v>17</v>
      </c>
      <c r="BK3151">
        <v>15</v>
      </c>
      <c r="BL3151">
        <v>0.28999999999999998</v>
      </c>
      <c r="BM3151">
        <v>-7.0000000000000007E-2</v>
      </c>
      <c r="BN3151">
        <v>-0.54</v>
      </c>
      <c r="BO3151">
        <v>-0.44</v>
      </c>
      <c r="BP3151">
        <v>0.63</v>
      </c>
      <c r="BQ3151">
        <v>-1.37</v>
      </c>
      <c r="BR3151">
        <v>0.16</v>
      </c>
      <c r="BS3151">
        <v>-1.25</v>
      </c>
      <c r="BT3151">
        <v>-1.63</v>
      </c>
      <c r="BU3151">
        <v>-0.62</v>
      </c>
      <c r="BV3151">
        <v>-0.91</v>
      </c>
      <c r="BW3151">
        <v>-1.06</v>
      </c>
      <c r="BX3151">
        <v>-0.76</v>
      </c>
      <c r="BY3151">
        <v>-1.62</v>
      </c>
      <c r="BZ3151">
        <v>0.06</v>
      </c>
      <c r="CA3151">
        <v>-1.48</v>
      </c>
      <c r="CB3151">
        <v>-1.2</v>
      </c>
      <c r="CC3151">
        <v>-1.56</v>
      </c>
      <c r="CD3151">
        <v>0.36</v>
      </c>
      <c r="CE3151">
        <v>-0.28999999999999998</v>
      </c>
      <c r="CF3151">
        <v>-0.34</v>
      </c>
      <c r="CG3151">
        <v>0</v>
      </c>
      <c r="CH3151">
        <v>-0.93</v>
      </c>
      <c r="CI3151">
        <v>0</v>
      </c>
      <c r="CJ3151">
        <v>0.2</v>
      </c>
      <c r="CK3151">
        <v>76</v>
      </c>
      <c r="CL3151">
        <v>-0.47</v>
      </c>
      <c r="CM3151">
        <v>73</v>
      </c>
      <c r="CN3151">
        <v>-0.06</v>
      </c>
      <c r="CO3151">
        <v>69</v>
      </c>
      <c r="CP3151">
        <v>-8.5</v>
      </c>
      <c r="CQ3151">
        <v>82</v>
      </c>
      <c r="CR3151">
        <v>0</v>
      </c>
      <c r="CS3151">
        <v>0</v>
      </c>
      <c r="CT3151">
        <v>-7.6</v>
      </c>
      <c r="CU3151">
        <v>74</v>
      </c>
      <c r="CV3151">
        <v>0.12</v>
      </c>
      <c r="CW3151">
        <v>21</v>
      </c>
      <c r="CX3151" t="s">
        <v>529</v>
      </c>
    </row>
    <row r="3152" spans="1:102" x14ac:dyDescent="0.3">
      <c r="A3152" t="str">
        <f>HYPERLINK("https://webapp.icbf.com/v2/app/bull-search/view/392507379","KFO")</f>
        <v>KFO</v>
      </c>
      <c r="B3152" t="s">
        <v>12543</v>
      </c>
      <c r="C3152" t="s">
        <v>12544</v>
      </c>
      <c r="D3152" s="1">
        <v>38375</v>
      </c>
      <c r="E3152" t="s">
        <v>92</v>
      </c>
      <c r="F3152">
        <v>100</v>
      </c>
      <c r="G3152" t="s">
        <v>93</v>
      </c>
      <c r="H3152">
        <v>-15.09</v>
      </c>
      <c r="I3152">
        <v>87</v>
      </c>
      <c r="J3152">
        <v>11.51</v>
      </c>
      <c r="K3152">
        <v>96</v>
      </c>
      <c r="L3152">
        <v>-53.96</v>
      </c>
      <c r="M3152">
        <v>81</v>
      </c>
      <c r="N3152">
        <v>33.69</v>
      </c>
      <c r="O3152">
        <v>84</v>
      </c>
      <c r="P3152">
        <v>-7.83</v>
      </c>
      <c r="Q3152">
        <v>88</v>
      </c>
      <c r="R3152">
        <v>0.77</v>
      </c>
      <c r="S3152">
        <v>82</v>
      </c>
      <c r="T3152">
        <v>4.87</v>
      </c>
      <c r="U3152">
        <v>82</v>
      </c>
      <c r="V3152">
        <v>-4.1399999999999997</v>
      </c>
      <c r="W3152">
        <v>81</v>
      </c>
      <c r="X3152" t="s">
        <v>94</v>
      </c>
      <c r="Y3152" t="s">
        <v>95</v>
      </c>
      <c r="Z3152" t="s">
        <v>96</v>
      </c>
      <c r="AA3152" t="s">
        <v>316</v>
      </c>
      <c r="AB3152" t="s">
        <v>12545</v>
      </c>
      <c r="AC3152">
        <v>51</v>
      </c>
      <c r="AD3152">
        <v>44</v>
      </c>
      <c r="AE3152">
        <v>96</v>
      </c>
      <c r="AF3152">
        <v>171.66</v>
      </c>
      <c r="AG3152">
        <v>1.68</v>
      </c>
      <c r="AH3152">
        <v>3.99</v>
      </c>
      <c r="AI3152">
        <v>-0.09</v>
      </c>
      <c r="AJ3152">
        <v>-0.03</v>
      </c>
      <c r="AK3152">
        <v>81</v>
      </c>
      <c r="AL3152">
        <v>47</v>
      </c>
      <c r="AM3152">
        <v>38</v>
      </c>
      <c r="AN3152">
        <v>3.19</v>
      </c>
      <c r="AO3152">
        <v>-1.1100000000000001</v>
      </c>
      <c r="AP3152">
        <v>134</v>
      </c>
      <c r="AQ3152">
        <v>1</v>
      </c>
      <c r="AR3152">
        <v>5.23</v>
      </c>
      <c r="AS3152">
        <v>69</v>
      </c>
      <c r="AT3152">
        <v>1.96</v>
      </c>
      <c r="AU3152">
        <v>87</v>
      </c>
      <c r="AV3152">
        <v>-3.02</v>
      </c>
      <c r="AW3152">
        <v>93</v>
      </c>
      <c r="AX3152">
        <v>-0.84</v>
      </c>
      <c r="AY3152">
        <v>77</v>
      </c>
      <c r="AZ3152">
        <v>7.28</v>
      </c>
      <c r="BA3152">
        <v>64</v>
      </c>
      <c r="BB3152">
        <v>5.99</v>
      </c>
      <c r="BC3152">
        <v>67</v>
      </c>
      <c r="BD3152">
        <v>-0.01</v>
      </c>
      <c r="BE3152">
        <v>0.01</v>
      </c>
      <c r="BF3152">
        <v>-0.02</v>
      </c>
      <c r="BG3152">
        <v>88</v>
      </c>
      <c r="BH3152">
        <v>-0.03</v>
      </c>
      <c r="BI3152">
        <v>9.9</v>
      </c>
      <c r="BJ3152">
        <v>24</v>
      </c>
      <c r="BK3152">
        <v>17</v>
      </c>
      <c r="BL3152">
        <v>0.33</v>
      </c>
      <c r="BM3152">
        <v>1.29</v>
      </c>
      <c r="BN3152">
        <v>0.33</v>
      </c>
      <c r="BO3152">
        <v>-0.79</v>
      </c>
      <c r="BP3152">
        <v>1.03</v>
      </c>
      <c r="BQ3152">
        <v>0.42</v>
      </c>
      <c r="BR3152">
        <v>-0.99</v>
      </c>
      <c r="BS3152">
        <v>-0.51</v>
      </c>
      <c r="BT3152">
        <v>0.8</v>
      </c>
      <c r="BU3152">
        <v>-1.1499999999999999</v>
      </c>
      <c r="BV3152">
        <v>-1.48</v>
      </c>
      <c r="BW3152">
        <v>-0.04</v>
      </c>
      <c r="BX3152">
        <v>-0.05</v>
      </c>
      <c r="BY3152">
        <v>0.27</v>
      </c>
      <c r="BZ3152">
        <v>-0.82</v>
      </c>
      <c r="CA3152">
        <v>-0.38</v>
      </c>
      <c r="CB3152">
        <v>-0.45</v>
      </c>
      <c r="CC3152">
        <v>0.24</v>
      </c>
      <c r="CD3152">
        <v>1.08</v>
      </c>
      <c r="CE3152">
        <v>-0.31</v>
      </c>
      <c r="CF3152">
        <v>0.81</v>
      </c>
      <c r="CG3152">
        <v>0</v>
      </c>
      <c r="CH3152">
        <v>0.65</v>
      </c>
      <c r="CI3152">
        <v>0</v>
      </c>
      <c r="CJ3152">
        <v>-1.9</v>
      </c>
      <c r="CK3152">
        <v>89</v>
      </c>
      <c r="CL3152">
        <v>-0.88</v>
      </c>
      <c r="CM3152">
        <v>87</v>
      </c>
      <c r="CN3152">
        <v>-0.34</v>
      </c>
      <c r="CO3152">
        <v>85</v>
      </c>
      <c r="CP3152">
        <v>-0.7</v>
      </c>
      <c r="CQ3152">
        <v>85</v>
      </c>
      <c r="CR3152">
        <v>0</v>
      </c>
      <c r="CS3152">
        <v>0</v>
      </c>
      <c r="CT3152">
        <v>7.2</v>
      </c>
      <c r="CU3152">
        <v>82</v>
      </c>
      <c r="CV3152">
        <v>0.24</v>
      </c>
      <c r="CW3152">
        <v>46</v>
      </c>
      <c r="CX3152" t="s">
        <v>2743</v>
      </c>
    </row>
    <row r="3153" spans="1:102" x14ac:dyDescent="0.3">
      <c r="A3153" t="str">
        <f>HYPERLINK("https://webapp.icbf.com/v2/app/bull-search/view/660318256","S1231")</f>
        <v>S1231</v>
      </c>
      <c r="B3153" t="s">
        <v>15455</v>
      </c>
      <c r="C3153" t="s">
        <v>15456</v>
      </c>
      <c r="D3153" s="1">
        <v>38796</v>
      </c>
      <c r="E3153" t="s">
        <v>92</v>
      </c>
      <c r="F3153">
        <v>100</v>
      </c>
      <c r="G3153" t="s">
        <v>93</v>
      </c>
      <c r="H3153">
        <v>-15.1</v>
      </c>
      <c r="I3153">
        <v>81</v>
      </c>
      <c r="J3153">
        <v>35.6</v>
      </c>
      <c r="K3153">
        <v>91</v>
      </c>
      <c r="L3153">
        <v>-60.85</v>
      </c>
      <c r="M3153">
        <v>83</v>
      </c>
      <c r="N3153">
        <v>22.11</v>
      </c>
      <c r="O3153">
        <v>73</v>
      </c>
      <c r="P3153">
        <v>-6.43</v>
      </c>
      <c r="Q3153">
        <v>82</v>
      </c>
      <c r="R3153">
        <v>6.83</v>
      </c>
      <c r="S3153">
        <v>69</v>
      </c>
      <c r="T3153">
        <v>-15.03</v>
      </c>
      <c r="U3153">
        <v>65</v>
      </c>
      <c r="V3153">
        <v>2.67</v>
      </c>
      <c r="W3153">
        <v>37</v>
      </c>
      <c r="X3153" t="s">
        <v>234</v>
      </c>
      <c r="Y3153" t="s">
        <v>336</v>
      </c>
      <c r="Z3153" t="s">
        <v>96</v>
      </c>
      <c r="AA3153" t="s">
        <v>309</v>
      </c>
      <c r="AB3153" t="s">
        <v>15457</v>
      </c>
      <c r="AC3153">
        <v>49</v>
      </c>
      <c r="AD3153">
        <v>29</v>
      </c>
      <c r="AE3153">
        <v>91</v>
      </c>
      <c r="AF3153">
        <v>295.5</v>
      </c>
      <c r="AG3153">
        <v>5.76</v>
      </c>
      <c r="AH3153">
        <v>8.5399999999999991</v>
      </c>
      <c r="AI3153">
        <v>-0.09</v>
      </c>
      <c r="AJ3153">
        <v>-0.03</v>
      </c>
      <c r="AK3153">
        <v>83</v>
      </c>
      <c r="AL3153">
        <v>42</v>
      </c>
      <c r="AM3153">
        <v>28</v>
      </c>
      <c r="AN3153">
        <v>3.5</v>
      </c>
      <c r="AO3153">
        <v>-1.35</v>
      </c>
      <c r="AP3153">
        <v>107</v>
      </c>
      <c r="AQ3153">
        <v>0</v>
      </c>
      <c r="AR3153">
        <v>5.65</v>
      </c>
      <c r="AS3153">
        <v>58</v>
      </c>
      <c r="AT3153">
        <v>2.68</v>
      </c>
      <c r="AU3153">
        <v>88</v>
      </c>
      <c r="AV3153">
        <v>-1.63</v>
      </c>
      <c r="AW3153">
        <v>81</v>
      </c>
      <c r="AX3153">
        <v>0.12</v>
      </c>
      <c r="AY3153">
        <v>70</v>
      </c>
      <c r="AZ3153">
        <v>6.25</v>
      </c>
      <c r="BA3153">
        <v>47</v>
      </c>
      <c r="BB3153">
        <v>4.83</v>
      </c>
      <c r="BC3153">
        <v>38</v>
      </c>
      <c r="BD3153">
        <v>-0.03</v>
      </c>
      <c r="BE3153">
        <v>-0.03</v>
      </c>
      <c r="BF3153">
        <v>-0.05</v>
      </c>
      <c r="BG3153">
        <v>89</v>
      </c>
      <c r="BH3153">
        <v>-7.0000000000000007E-2</v>
      </c>
      <c r="BI3153">
        <v>-16.71</v>
      </c>
      <c r="BJ3153">
        <v>18</v>
      </c>
      <c r="BK3153">
        <v>15</v>
      </c>
      <c r="BL3153">
        <v>2.69</v>
      </c>
      <c r="BM3153">
        <v>-1.35</v>
      </c>
      <c r="BN3153">
        <v>0.16</v>
      </c>
      <c r="BO3153">
        <v>1.43</v>
      </c>
      <c r="BP3153">
        <v>1.7</v>
      </c>
      <c r="BQ3153">
        <v>1.26</v>
      </c>
      <c r="BR3153">
        <v>-0.12</v>
      </c>
      <c r="BS3153">
        <v>0.72</v>
      </c>
      <c r="BT3153">
        <v>0.18</v>
      </c>
      <c r="BU3153">
        <v>2.29</v>
      </c>
      <c r="BV3153">
        <v>2.14</v>
      </c>
      <c r="BW3153">
        <v>2.59</v>
      </c>
      <c r="BX3153">
        <v>2.16</v>
      </c>
      <c r="BY3153">
        <v>1.17</v>
      </c>
      <c r="BZ3153">
        <v>-0.13</v>
      </c>
      <c r="CA3153">
        <v>1.85</v>
      </c>
      <c r="CB3153">
        <v>2.06</v>
      </c>
      <c r="CC3153">
        <v>0.44</v>
      </c>
      <c r="CD3153">
        <v>-1.05</v>
      </c>
      <c r="CE3153">
        <v>0.92</v>
      </c>
      <c r="CF3153">
        <v>1.07</v>
      </c>
      <c r="CG3153">
        <v>0</v>
      </c>
      <c r="CH3153">
        <v>2.2599999999999998</v>
      </c>
      <c r="CI3153">
        <v>0</v>
      </c>
      <c r="CJ3153">
        <v>-1.1000000000000001</v>
      </c>
      <c r="CK3153">
        <v>84</v>
      </c>
      <c r="CL3153">
        <v>-1.53</v>
      </c>
      <c r="CM3153">
        <v>81</v>
      </c>
      <c r="CN3153">
        <v>-0.81</v>
      </c>
      <c r="CO3153">
        <v>78</v>
      </c>
      <c r="CP3153">
        <v>9.3000000000000007</v>
      </c>
      <c r="CQ3153">
        <v>72</v>
      </c>
      <c r="CR3153">
        <v>0</v>
      </c>
      <c r="CS3153">
        <v>0</v>
      </c>
      <c r="CT3153">
        <v>34.1</v>
      </c>
      <c r="CU3153">
        <v>65</v>
      </c>
      <c r="CV3153">
        <v>0.42</v>
      </c>
      <c r="CW3153">
        <v>24</v>
      </c>
      <c r="CX3153" t="s">
        <v>311</v>
      </c>
    </row>
    <row r="3154" spans="1:102" x14ac:dyDescent="0.3">
      <c r="A3154" t="str">
        <f>HYPERLINK("https://webapp.icbf.com/v2/app/bull-search/view/77856397","KBC")</f>
        <v>KBC</v>
      </c>
      <c r="B3154" t="s">
        <v>11318</v>
      </c>
      <c r="C3154" t="s">
        <v>11319</v>
      </c>
      <c r="D3154" s="1">
        <v>34192</v>
      </c>
      <c r="E3154" t="s">
        <v>92</v>
      </c>
      <c r="F3154">
        <v>91</v>
      </c>
      <c r="G3154" t="s">
        <v>93</v>
      </c>
      <c r="H3154">
        <v>-15.19</v>
      </c>
      <c r="I3154">
        <v>91</v>
      </c>
      <c r="J3154">
        <v>40.83</v>
      </c>
      <c r="K3154">
        <v>99</v>
      </c>
      <c r="L3154">
        <v>-58.52</v>
      </c>
      <c r="M3154">
        <v>85</v>
      </c>
      <c r="N3154">
        <v>3.83</v>
      </c>
      <c r="O3154">
        <v>89</v>
      </c>
      <c r="P3154">
        <v>-4.41</v>
      </c>
      <c r="Q3154">
        <v>97</v>
      </c>
      <c r="R3154">
        <v>-1.76</v>
      </c>
      <c r="S3154">
        <v>84</v>
      </c>
      <c r="T3154">
        <v>4.0599999999999996</v>
      </c>
      <c r="U3154">
        <v>98</v>
      </c>
      <c r="V3154">
        <v>0.78</v>
      </c>
      <c r="W3154">
        <v>70</v>
      </c>
      <c r="X3154" t="s">
        <v>94</v>
      </c>
      <c r="Y3154" t="s">
        <v>95</v>
      </c>
      <c r="Z3154" t="s">
        <v>96</v>
      </c>
      <c r="AA3154" t="s">
        <v>531</v>
      </c>
      <c r="AB3154" t="s">
        <v>11320</v>
      </c>
      <c r="AC3154">
        <v>381</v>
      </c>
      <c r="AD3154">
        <v>204</v>
      </c>
      <c r="AE3154">
        <v>99</v>
      </c>
      <c r="AF3154">
        <v>282.95</v>
      </c>
      <c r="AG3154">
        <v>-1.26</v>
      </c>
      <c r="AH3154">
        <v>11.72</v>
      </c>
      <c r="AI3154">
        <v>-0.19</v>
      </c>
      <c r="AJ3154">
        <v>0.03</v>
      </c>
      <c r="AK3154">
        <v>85</v>
      </c>
      <c r="AL3154">
        <v>457</v>
      </c>
      <c r="AM3154">
        <v>250</v>
      </c>
      <c r="AN3154">
        <v>3.74</v>
      </c>
      <c r="AO3154">
        <v>-0.92</v>
      </c>
      <c r="AP3154">
        <v>135</v>
      </c>
      <c r="AQ3154">
        <v>1</v>
      </c>
      <c r="AR3154">
        <v>6.59</v>
      </c>
      <c r="AS3154">
        <v>73</v>
      </c>
      <c r="AT3154">
        <v>2.8</v>
      </c>
      <c r="AU3154">
        <v>89</v>
      </c>
      <c r="AV3154">
        <v>0.59</v>
      </c>
      <c r="AW3154">
        <v>94</v>
      </c>
      <c r="AX3154">
        <v>0.01</v>
      </c>
      <c r="AY3154">
        <v>93</v>
      </c>
      <c r="AZ3154">
        <v>5.42</v>
      </c>
      <c r="BA3154">
        <v>76</v>
      </c>
      <c r="BB3154">
        <v>4.63</v>
      </c>
      <c r="BC3154">
        <v>84</v>
      </c>
      <c r="BD3154">
        <v>-0.04</v>
      </c>
      <c r="BE3154">
        <v>0.03</v>
      </c>
      <c r="BF3154">
        <v>0.05</v>
      </c>
      <c r="BG3154">
        <v>95</v>
      </c>
      <c r="BH3154">
        <v>-0.03</v>
      </c>
      <c r="BI3154">
        <v>-6</v>
      </c>
      <c r="BJ3154">
        <v>29</v>
      </c>
      <c r="BK3154">
        <v>22</v>
      </c>
      <c r="BL3154">
        <v>-0.68</v>
      </c>
      <c r="BM3154">
        <v>0.84</v>
      </c>
      <c r="BN3154">
        <v>-0.4</v>
      </c>
      <c r="BO3154">
        <v>-0.77</v>
      </c>
      <c r="BP3154">
        <v>-1.1200000000000001</v>
      </c>
      <c r="BQ3154">
        <v>-0.52</v>
      </c>
      <c r="BR3154">
        <v>1.57</v>
      </c>
      <c r="BS3154">
        <v>0.17</v>
      </c>
      <c r="BT3154">
        <v>-1.56</v>
      </c>
      <c r="BU3154">
        <v>-1.39</v>
      </c>
      <c r="BV3154">
        <v>-0.6</v>
      </c>
      <c r="BW3154">
        <v>-1.2</v>
      </c>
      <c r="BX3154">
        <v>-0.54</v>
      </c>
      <c r="BY3154">
        <v>-1.98</v>
      </c>
      <c r="BZ3154">
        <v>0</v>
      </c>
      <c r="CA3154">
        <v>-1.47</v>
      </c>
      <c r="CB3154">
        <v>-1.51</v>
      </c>
      <c r="CC3154">
        <v>-0.59</v>
      </c>
      <c r="CD3154">
        <v>0.14000000000000001</v>
      </c>
      <c r="CE3154">
        <v>-0.93</v>
      </c>
      <c r="CF3154">
        <v>-1.26</v>
      </c>
      <c r="CG3154">
        <v>0</v>
      </c>
      <c r="CH3154">
        <v>-1.76</v>
      </c>
      <c r="CI3154">
        <v>0</v>
      </c>
      <c r="CJ3154">
        <v>2.6</v>
      </c>
      <c r="CK3154">
        <v>97</v>
      </c>
      <c r="CL3154">
        <v>-0.68</v>
      </c>
      <c r="CM3154">
        <v>96</v>
      </c>
      <c r="CN3154">
        <v>0.03</v>
      </c>
      <c r="CO3154">
        <v>95</v>
      </c>
      <c r="CP3154">
        <v>-4.2</v>
      </c>
      <c r="CQ3154">
        <v>97</v>
      </c>
      <c r="CR3154">
        <v>0</v>
      </c>
      <c r="CS3154">
        <v>0</v>
      </c>
      <c r="CT3154">
        <v>8.3000000000000007</v>
      </c>
      <c r="CU3154">
        <v>98</v>
      </c>
      <c r="CV3154">
        <v>0.31</v>
      </c>
      <c r="CW3154">
        <v>29</v>
      </c>
      <c r="CX3154" t="s">
        <v>193</v>
      </c>
    </row>
    <row r="3155" spans="1:102" x14ac:dyDescent="0.3">
      <c r="A3155" t="str">
        <f>HYPERLINK("https://webapp.icbf.com/v2/app/bull-search/view/759840476","YKL")</f>
        <v>YKL</v>
      </c>
      <c r="B3155" t="s">
        <v>8285</v>
      </c>
      <c r="C3155" t="s">
        <v>8286</v>
      </c>
      <c r="D3155" s="1">
        <v>40241</v>
      </c>
      <c r="E3155" t="s">
        <v>92</v>
      </c>
      <c r="F3155">
        <v>100</v>
      </c>
      <c r="G3155" t="s">
        <v>93</v>
      </c>
      <c r="H3155">
        <v>-15.37</v>
      </c>
      <c r="I3155">
        <v>84</v>
      </c>
      <c r="J3155">
        <v>34.950000000000003</v>
      </c>
      <c r="K3155">
        <v>96</v>
      </c>
      <c r="L3155">
        <v>-62.54</v>
      </c>
      <c r="M3155">
        <v>76</v>
      </c>
      <c r="N3155">
        <v>15.32</v>
      </c>
      <c r="O3155">
        <v>81</v>
      </c>
      <c r="P3155">
        <v>-16.53</v>
      </c>
      <c r="Q3155">
        <v>90</v>
      </c>
      <c r="R3155">
        <v>11.28</v>
      </c>
      <c r="S3155">
        <v>76</v>
      </c>
      <c r="T3155">
        <v>6.72</v>
      </c>
      <c r="U3155">
        <v>79</v>
      </c>
      <c r="V3155">
        <v>-4.57</v>
      </c>
      <c r="W3155">
        <v>69</v>
      </c>
      <c r="X3155" t="s">
        <v>94</v>
      </c>
      <c r="Y3155" t="s">
        <v>1685</v>
      </c>
      <c r="Z3155" t="s">
        <v>96</v>
      </c>
      <c r="AA3155" t="s">
        <v>5124</v>
      </c>
      <c r="AB3155" t="s">
        <v>8287</v>
      </c>
      <c r="AC3155">
        <v>70</v>
      </c>
      <c r="AD3155">
        <v>48</v>
      </c>
      <c r="AE3155">
        <v>96</v>
      </c>
      <c r="AF3155">
        <v>290.57</v>
      </c>
      <c r="AG3155">
        <v>1.7</v>
      </c>
      <c r="AH3155">
        <v>9.7899999999999991</v>
      </c>
      <c r="AI3155">
        <v>-0.16</v>
      </c>
      <c r="AJ3155">
        <v>0</v>
      </c>
      <c r="AK3155">
        <v>76</v>
      </c>
      <c r="AL3155">
        <v>69</v>
      </c>
      <c r="AM3155">
        <v>52</v>
      </c>
      <c r="AN3155">
        <v>3.99</v>
      </c>
      <c r="AO3155">
        <v>-0.99</v>
      </c>
      <c r="AP3155">
        <v>113</v>
      </c>
      <c r="AQ3155">
        <v>1</v>
      </c>
      <c r="AR3155">
        <v>8.74</v>
      </c>
      <c r="AS3155">
        <v>67</v>
      </c>
      <c r="AT3155">
        <v>3.63</v>
      </c>
      <c r="AU3155">
        <v>83</v>
      </c>
      <c r="AV3155">
        <v>-2.5299999999999998</v>
      </c>
      <c r="AW3155">
        <v>94</v>
      </c>
      <c r="AX3155">
        <v>-0.08</v>
      </c>
      <c r="AY3155">
        <v>76</v>
      </c>
      <c r="AZ3155">
        <v>5.57</v>
      </c>
      <c r="BA3155">
        <v>59</v>
      </c>
      <c r="BB3155">
        <v>4.63</v>
      </c>
      <c r="BC3155">
        <v>57</v>
      </c>
      <c r="BD3155">
        <v>-0.05</v>
      </c>
      <c r="BE3155">
        <v>-0.04</v>
      </c>
      <c r="BF3155">
        <v>-0.1</v>
      </c>
      <c r="BG3155">
        <v>86</v>
      </c>
      <c r="BH3155">
        <v>-0.12</v>
      </c>
      <c r="BI3155">
        <v>0.86</v>
      </c>
      <c r="BJ3155">
        <v>7</v>
      </c>
      <c r="BK3155">
        <v>5</v>
      </c>
      <c r="BL3155">
        <v>1.32</v>
      </c>
      <c r="BM3155">
        <v>0.22</v>
      </c>
      <c r="BN3155">
        <v>0.53</v>
      </c>
      <c r="BO3155">
        <v>0.71</v>
      </c>
      <c r="BP3155">
        <v>1.1200000000000001</v>
      </c>
      <c r="BQ3155">
        <v>0.37</v>
      </c>
      <c r="BR3155">
        <v>-1.29</v>
      </c>
      <c r="BS3155">
        <v>-0.74</v>
      </c>
      <c r="BT3155">
        <v>0.59</v>
      </c>
      <c r="BU3155">
        <v>0.84</v>
      </c>
      <c r="BV3155">
        <v>1.41</v>
      </c>
      <c r="BW3155">
        <v>1.1200000000000001</v>
      </c>
      <c r="BX3155">
        <v>0.27</v>
      </c>
      <c r="BY3155">
        <v>0.72</v>
      </c>
      <c r="BZ3155">
        <v>-0.34</v>
      </c>
      <c r="CA3155">
        <v>0.78</v>
      </c>
      <c r="CB3155">
        <v>0.83</v>
      </c>
      <c r="CC3155">
        <v>0.36</v>
      </c>
      <c r="CD3155">
        <v>-0.37</v>
      </c>
      <c r="CE3155">
        <v>0.61</v>
      </c>
      <c r="CF3155">
        <v>0.95</v>
      </c>
      <c r="CG3155">
        <v>0</v>
      </c>
      <c r="CH3155">
        <v>-0.04</v>
      </c>
      <c r="CI3155">
        <v>0</v>
      </c>
      <c r="CJ3155">
        <v>-3.3</v>
      </c>
      <c r="CK3155">
        <v>92</v>
      </c>
      <c r="CL3155">
        <v>-1.36</v>
      </c>
      <c r="CM3155">
        <v>90</v>
      </c>
      <c r="CN3155">
        <v>-0.25</v>
      </c>
      <c r="CO3155">
        <v>89</v>
      </c>
      <c r="CP3155">
        <v>-5.8</v>
      </c>
      <c r="CQ3155">
        <v>80</v>
      </c>
      <c r="CR3155">
        <v>0</v>
      </c>
      <c r="CS3155">
        <v>0</v>
      </c>
      <c r="CT3155">
        <v>4.7</v>
      </c>
      <c r="CU3155">
        <v>79</v>
      </c>
      <c r="CV3155">
        <v>0.3</v>
      </c>
      <c r="CW3155">
        <v>44</v>
      </c>
      <c r="CX3155" t="s">
        <v>2454</v>
      </c>
    </row>
    <row r="3156" spans="1:102" x14ac:dyDescent="0.3">
      <c r="A3156" t="str">
        <f>HYPERLINK("https://webapp.icbf.com/v2/app/bull-search/view/444464712","STH")</f>
        <v>STH</v>
      </c>
      <c r="B3156" t="s">
        <v>1391</v>
      </c>
      <c r="C3156" t="s">
        <v>1392</v>
      </c>
      <c r="D3156" s="1">
        <v>36761</v>
      </c>
      <c r="E3156" t="s">
        <v>92</v>
      </c>
      <c r="F3156">
        <v>100</v>
      </c>
      <c r="G3156" t="s">
        <v>93</v>
      </c>
      <c r="H3156">
        <v>-15.4</v>
      </c>
      <c r="I3156">
        <v>89</v>
      </c>
      <c r="J3156">
        <v>25.44</v>
      </c>
      <c r="K3156">
        <v>96</v>
      </c>
      <c r="L3156">
        <v>-89.41</v>
      </c>
      <c r="M3156">
        <v>88</v>
      </c>
      <c r="N3156">
        <v>29.19</v>
      </c>
      <c r="O3156">
        <v>84</v>
      </c>
      <c r="P3156">
        <v>-1.95</v>
      </c>
      <c r="Q3156">
        <v>83</v>
      </c>
      <c r="R3156">
        <v>12.96</v>
      </c>
      <c r="S3156">
        <v>81</v>
      </c>
      <c r="T3156">
        <v>-1.64</v>
      </c>
      <c r="U3156">
        <v>83</v>
      </c>
      <c r="V3156">
        <v>10.01</v>
      </c>
      <c r="W3156">
        <v>75</v>
      </c>
      <c r="X3156" t="s">
        <v>102</v>
      </c>
      <c r="Y3156" t="s">
        <v>270</v>
      </c>
      <c r="Z3156" t="s">
        <v>96</v>
      </c>
      <c r="AA3156" t="s">
        <v>174</v>
      </c>
      <c r="AB3156" t="s">
        <v>1393</v>
      </c>
      <c r="AC3156">
        <v>68</v>
      </c>
      <c r="AD3156">
        <v>19</v>
      </c>
      <c r="AE3156">
        <v>96</v>
      </c>
      <c r="AF3156">
        <v>454.12</v>
      </c>
      <c r="AG3156">
        <v>1.97</v>
      </c>
      <c r="AH3156">
        <v>10.58</v>
      </c>
      <c r="AI3156">
        <v>-0.25</v>
      </c>
      <c r="AJ3156">
        <v>-0.08</v>
      </c>
      <c r="AK3156">
        <v>88</v>
      </c>
      <c r="AL3156">
        <v>74</v>
      </c>
      <c r="AM3156">
        <v>25</v>
      </c>
      <c r="AN3156">
        <v>4.92</v>
      </c>
      <c r="AO3156">
        <v>-2.21</v>
      </c>
      <c r="AP3156">
        <v>107</v>
      </c>
      <c r="AQ3156">
        <v>0</v>
      </c>
      <c r="AR3156">
        <v>6.6</v>
      </c>
      <c r="AS3156">
        <v>82</v>
      </c>
      <c r="AT3156">
        <v>3.24</v>
      </c>
      <c r="AU3156">
        <v>88</v>
      </c>
      <c r="AV3156">
        <v>-3.03</v>
      </c>
      <c r="AW3156">
        <v>91</v>
      </c>
      <c r="AX3156">
        <v>-0.84</v>
      </c>
      <c r="AY3156">
        <v>75</v>
      </c>
      <c r="AZ3156">
        <v>5.91</v>
      </c>
      <c r="BA3156">
        <v>64</v>
      </c>
      <c r="BB3156">
        <v>4.88</v>
      </c>
      <c r="BC3156">
        <v>65</v>
      </c>
      <c r="BD3156">
        <v>-0.06</v>
      </c>
      <c r="BE3156">
        <v>-0.02</v>
      </c>
      <c r="BF3156">
        <v>-0.16</v>
      </c>
      <c r="BG3156">
        <v>91</v>
      </c>
      <c r="BH3156">
        <v>0.3</v>
      </c>
      <c r="BI3156">
        <v>2.41</v>
      </c>
      <c r="BJ3156">
        <v>3</v>
      </c>
      <c r="BK3156">
        <v>1</v>
      </c>
      <c r="BL3156">
        <v>0.44</v>
      </c>
      <c r="BM3156">
        <v>2.89</v>
      </c>
      <c r="BN3156">
        <v>1.42</v>
      </c>
      <c r="BO3156">
        <v>-0.81</v>
      </c>
      <c r="BP3156">
        <v>2.4</v>
      </c>
      <c r="BQ3156">
        <v>0.36</v>
      </c>
      <c r="BR3156">
        <v>0.49</v>
      </c>
      <c r="BS3156">
        <v>-3.13</v>
      </c>
      <c r="BT3156">
        <v>1.34</v>
      </c>
      <c r="BU3156">
        <v>0.71</v>
      </c>
      <c r="BV3156">
        <v>-0.12</v>
      </c>
      <c r="BW3156">
        <v>1.1000000000000001</v>
      </c>
      <c r="BX3156">
        <v>0.28999999999999998</v>
      </c>
      <c r="BY3156">
        <v>1.43</v>
      </c>
      <c r="BZ3156">
        <v>1.1399999999999999</v>
      </c>
      <c r="CA3156">
        <v>-0.52</v>
      </c>
      <c r="CB3156">
        <v>0.28999999999999998</v>
      </c>
      <c r="CC3156">
        <v>-1.59</v>
      </c>
      <c r="CD3156">
        <v>1.95</v>
      </c>
      <c r="CE3156">
        <v>0.31</v>
      </c>
      <c r="CF3156">
        <v>0.33</v>
      </c>
      <c r="CG3156">
        <v>0</v>
      </c>
      <c r="CH3156">
        <v>1.36</v>
      </c>
      <c r="CI3156">
        <v>0</v>
      </c>
      <c r="CJ3156">
        <v>3.3</v>
      </c>
      <c r="CK3156">
        <v>84</v>
      </c>
      <c r="CL3156">
        <v>-0.7</v>
      </c>
      <c r="CM3156">
        <v>82</v>
      </c>
      <c r="CN3156">
        <v>0</v>
      </c>
      <c r="CO3156">
        <v>79</v>
      </c>
      <c r="CP3156">
        <v>4.8</v>
      </c>
      <c r="CQ3156">
        <v>87</v>
      </c>
      <c r="CR3156">
        <v>0</v>
      </c>
      <c r="CS3156">
        <v>0</v>
      </c>
      <c r="CT3156">
        <v>16</v>
      </c>
      <c r="CU3156">
        <v>83</v>
      </c>
      <c r="CV3156">
        <v>0.1</v>
      </c>
      <c r="CW3156">
        <v>42</v>
      </c>
      <c r="CX3156" t="s">
        <v>1278</v>
      </c>
    </row>
    <row r="3157" spans="1:102" x14ac:dyDescent="0.3">
      <c r="A3157" t="str">
        <f>HYPERLINK("https://webapp.icbf.com/v2/app/bull-search/view/77856157","LCY")</f>
        <v>LCY</v>
      </c>
      <c r="B3157" t="s">
        <v>5231</v>
      </c>
      <c r="C3157" t="s">
        <v>5232</v>
      </c>
      <c r="D3157" s="1">
        <v>33953</v>
      </c>
      <c r="E3157" t="s">
        <v>92</v>
      </c>
      <c r="F3157">
        <v>100</v>
      </c>
      <c r="G3157" t="s">
        <v>93</v>
      </c>
      <c r="H3157">
        <v>-15.49</v>
      </c>
      <c r="I3157">
        <v>71</v>
      </c>
      <c r="J3157">
        <v>-7.22</v>
      </c>
      <c r="K3157">
        <v>91</v>
      </c>
      <c r="L3157">
        <v>-31.85</v>
      </c>
      <c r="M3157">
        <v>59</v>
      </c>
      <c r="N3157">
        <v>20.07</v>
      </c>
      <c r="O3157">
        <v>57</v>
      </c>
      <c r="P3157">
        <v>-9.07</v>
      </c>
      <c r="Q3157">
        <v>74</v>
      </c>
      <c r="R3157">
        <v>-8.6300000000000008</v>
      </c>
      <c r="S3157">
        <v>66</v>
      </c>
      <c r="T3157">
        <v>19.97</v>
      </c>
      <c r="U3157">
        <v>66</v>
      </c>
      <c r="V3157">
        <v>1.24</v>
      </c>
      <c r="W3157">
        <v>38</v>
      </c>
      <c r="X3157" t="s">
        <v>94</v>
      </c>
      <c r="Y3157" t="s">
        <v>95</v>
      </c>
      <c r="Z3157" t="s">
        <v>96</v>
      </c>
      <c r="AA3157" t="s">
        <v>161</v>
      </c>
      <c r="AB3157" t="s">
        <v>5233</v>
      </c>
      <c r="AC3157">
        <v>56</v>
      </c>
      <c r="AD3157">
        <v>46</v>
      </c>
      <c r="AE3157">
        <v>91</v>
      </c>
      <c r="AF3157">
        <v>97.61</v>
      </c>
      <c r="AG3157">
        <v>0.5</v>
      </c>
      <c r="AH3157">
        <v>0.09</v>
      </c>
      <c r="AI3157">
        <v>-0.05</v>
      </c>
      <c r="AJ3157">
        <v>-0.05</v>
      </c>
      <c r="AK3157">
        <v>59</v>
      </c>
      <c r="AL3157">
        <v>63</v>
      </c>
      <c r="AM3157">
        <v>51</v>
      </c>
      <c r="AN3157">
        <v>3.28</v>
      </c>
      <c r="AO3157">
        <v>0.76</v>
      </c>
      <c r="AP3157">
        <v>11</v>
      </c>
      <c r="AQ3157">
        <v>0</v>
      </c>
      <c r="AR3157">
        <v>6.03</v>
      </c>
      <c r="AS3157">
        <v>33</v>
      </c>
      <c r="AT3157">
        <v>2.85</v>
      </c>
      <c r="AU3157">
        <v>53</v>
      </c>
      <c r="AV3157">
        <v>-1.57</v>
      </c>
      <c r="AW3157">
        <v>68</v>
      </c>
      <c r="AX3157">
        <v>-0.19</v>
      </c>
      <c r="AY3157">
        <v>60</v>
      </c>
      <c r="AZ3157">
        <v>6.34</v>
      </c>
      <c r="BA3157">
        <v>35</v>
      </c>
      <c r="BB3157">
        <v>4.8499999999999996</v>
      </c>
      <c r="BC3157">
        <v>46</v>
      </c>
      <c r="BD3157">
        <v>0.05</v>
      </c>
      <c r="BE3157">
        <v>0.05</v>
      </c>
      <c r="BF3157">
        <v>0.02</v>
      </c>
      <c r="BG3157">
        <v>82</v>
      </c>
      <c r="BH3157">
        <v>0.02</v>
      </c>
      <c r="BI3157">
        <v>-1.69</v>
      </c>
      <c r="BJ3157">
        <v>14</v>
      </c>
      <c r="BK3157">
        <v>14</v>
      </c>
      <c r="BL3157">
        <v>-0.53</v>
      </c>
      <c r="BM3157">
        <v>-1.21</v>
      </c>
      <c r="BN3157">
        <v>-1.17</v>
      </c>
      <c r="BO3157">
        <v>-0.22</v>
      </c>
      <c r="BP3157">
        <v>0.64</v>
      </c>
      <c r="BQ3157">
        <v>-1.79</v>
      </c>
      <c r="BR3157">
        <v>0.03</v>
      </c>
      <c r="BS3157">
        <v>-0.15</v>
      </c>
      <c r="BT3157">
        <v>-0.14000000000000001</v>
      </c>
      <c r="BU3157">
        <v>-0.7</v>
      </c>
      <c r="BV3157">
        <v>0.23</v>
      </c>
      <c r="BW3157">
        <v>0.65</v>
      </c>
      <c r="BX3157">
        <v>0.49</v>
      </c>
      <c r="BY3157">
        <v>-1.46</v>
      </c>
      <c r="BZ3157">
        <v>2.02</v>
      </c>
      <c r="CA3157">
        <v>-0.19</v>
      </c>
      <c r="CB3157">
        <v>-0.09</v>
      </c>
      <c r="CC3157">
        <v>0.18</v>
      </c>
      <c r="CD3157">
        <v>-0.62</v>
      </c>
      <c r="CE3157">
        <v>-0.22</v>
      </c>
      <c r="CF3157">
        <v>-0.81</v>
      </c>
      <c r="CG3157">
        <v>0</v>
      </c>
      <c r="CH3157">
        <v>-0.11</v>
      </c>
      <c r="CI3157">
        <v>0</v>
      </c>
      <c r="CJ3157">
        <v>-3.1</v>
      </c>
      <c r="CK3157">
        <v>75</v>
      </c>
      <c r="CL3157">
        <v>-0.54</v>
      </c>
      <c r="CM3157">
        <v>72</v>
      </c>
      <c r="CN3157">
        <v>-0.11</v>
      </c>
      <c r="CO3157">
        <v>68</v>
      </c>
      <c r="CP3157">
        <v>-3.4</v>
      </c>
      <c r="CQ3157">
        <v>78</v>
      </c>
      <c r="CR3157">
        <v>0</v>
      </c>
      <c r="CS3157">
        <v>0</v>
      </c>
      <c r="CT3157">
        <v>-13.2</v>
      </c>
      <c r="CU3157">
        <v>66</v>
      </c>
      <c r="CV3157">
        <v>0.15</v>
      </c>
      <c r="CW3157">
        <v>20</v>
      </c>
      <c r="CX3157" t="s">
        <v>2615</v>
      </c>
    </row>
    <row r="3158" spans="1:102" x14ac:dyDescent="0.3">
      <c r="A3158" t="str">
        <f>HYPERLINK("https://webapp.icbf.com/v2/app/bull-search/view/77854600","OPD")</f>
        <v>OPD</v>
      </c>
      <c r="B3158" t="s">
        <v>11084</v>
      </c>
      <c r="C3158" t="s">
        <v>4030</v>
      </c>
      <c r="D3158" s="1">
        <v>34178</v>
      </c>
      <c r="E3158" t="s">
        <v>92</v>
      </c>
      <c r="F3158">
        <v>100</v>
      </c>
      <c r="G3158" t="s">
        <v>93</v>
      </c>
      <c r="H3158">
        <v>-15.59</v>
      </c>
      <c r="I3158">
        <v>86</v>
      </c>
      <c r="J3158">
        <v>72.41</v>
      </c>
      <c r="K3158">
        <v>95</v>
      </c>
      <c r="L3158">
        <v>-81.06</v>
      </c>
      <c r="M3158">
        <v>87</v>
      </c>
      <c r="N3158">
        <v>1.93</v>
      </c>
      <c r="O3158">
        <v>76</v>
      </c>
      <c r="P3158">
        <v>-3.1</v>
      </c>
      <c r="Q3158">
        <v>85</v>
      </c>
      <c r="R3158">
        <v>-16.57</v>
      </c>
      <c r="S3158">
        <v>78</v>
      </c>
      <c r="T3158">
        <v>10.72</v>
      </c>
      <c r="U3158">
        <v>78</v>
      </c>
      <c r="V3158">
        <v>0.08</v>
      </c>
      <c r="W3158">
        <v>64</v>
      </c>
      <c r="X3158" t="s">
        <v>94</v>
      </c>
      <c r="Y3158" t="s">
        <v>95</v>
      </c>
      <c r="Z3158" t="s">
        <v>96</v>
      </c>
      <c r="AA3158" t="s">
        <v>11014</v>
      </c>
      <c r="AB3158" t="s">
        <v>11085</v>
      </c>
      <c r="AC3158">
        <v>68</v>
      </c>
      <c r="AD3158">
        <v>36</v>
      </c>
      <c r="AE3158">
        <v>95</v>
      </c>
      <c r="AF3158">
        <v>190.95</v>
      </c>
      <c r="AG3158">
        <v>17.010000000000002</v>
      </c>
      <c r="AH3158">
        <v>9.2200000000000006</v>
      </c>
      <c r="AI3158">
        <v>0.16</v>
      </c>
      <c r="AJ3158">
        <v>0.05</v>
      </c>
      <c r="AK3158">
        <v>87</v>
      </c>
      <c r="AL3158">
        <v>65</v>
      </c>
      <c r="AM3158">
        <v>37</v>
      </c>
      <c r="AN3158">
        <v>3.96</v>
      </c>
      <c r="AO3158">
        <v>-2.5099999999999998</v>
      </c>
      <c r="AP3158">
        <v>4</v>
      </c>
      <c r="AQ3158">
        <v>1</v>
      </c>
      <c r="AR3158">
        <v>8.01</v>
      </c>
      <c r="AS3158">
        <v>61</v>
      </c>
      <c r="AT3158">
        <v>2.75</v>
      </c>
      <c r="AU3158">
        <v>86</v>
      </c>
      <c r="AV3158">
        <v>-0.43</v>
      </c>
      <c r="AW3158">
        <v>81</v>
      </c>
      <c r="AX3158">
        <v>-0.28000000000000003</v>
      </c>
      <c r="AY3158">
        <v>74</v>
      </c>
      <c r="AZ3158">
        <v>8.08</v>
      </c>
      <c r="BA3158">
        <v>56</v>
      </c>
      <c r="BB3158">
        <v>5.35</v>
      </c>
      <c r="BC3158">
        <v>60</v>
      </c>
      <c r="BD3158">
        <v>0.06</v>
      </c>
      <c r="BE3158">
        <v>0.09</v>
      </c>
      <c r="BF3158">
        <v>0.11</v>
      </c>
      <c r="BG3158">
        <v>92</v>
      </c>
      <c r="BH3158">
        <v>-0.01</v>
      </c>
      <c r="BI3158">
        <v>-1.43</v>
      </c>
      <c r="BJ3158">
        <v>3</v>
      </c>
      <c r="BK3158">
        <v>2</v>
      </c>
      <c r="BL3158">
        <v>-0.5</v>
      </c>
      <c r="BM3158">
        <v>1.89</v>
      </c>
      <c r="BN3158">
        <v>1.02</v>
      </c>
      <c r="BO3158">
        <v>-0.37</v>
      </c>
      <c r="BP3158">
        <v>1.61</v>
      </c>
      <c r="BQ3158">
        <v>-1.0900000000000001</v>
      </c>
      <c r="BR3158">
        <v>0.01</v>
      </c>
      <c r="BS3158">
        <v>0</v>
      </c>
      <c r="BT3158">
        <v>-0.65</v>
      </c>
      <c r="BU3158">
        <v>-2.74</v>
      </c>
      <c r="BV3158">
        <v>-1.84</v>
      </c>
      <c r="BW3158">
        <v>-2.2400000000000002</v>
      </c>
      <c r="BX3158">
        <v>-3.13</v>
      </c>
      <c r="BY3158">
        <v>-1.51</v>
      </c>
      <c r="BZ3158">
        <v>-0.09</v>
      </c>
      <c r="CA3158">
        <v>-1.96</v>
      </c>
      <c r="CB3158">
        <v>-2.39</v>
      </c>
      <c r="CC3158">
        <v>-0.59</v>
      </c>
      <c r="CD3158">
        <v>0.74</v>
      </c>
      <c r="CE3158">
        <v>-0.49</v>
      </c>
      <c r="CF3158">
        <v>-1.43</v>
      </c>
      <c r="CG3158">
        <v>0</v>
      </c>
      <c r="CH3158">
        <v>-1.48</v>
      </c>
      <c r="CI3158">
        <v>0</v>
      </c>
      <c r="CJ3158">
        <v>-1</v>
      </c>
      <c r="CK3158">
        <v>86</v>
      </c>
      <c r="CL3158">
        <v>-0.46</v>
      </c>
      <c r="CM3158">
        <v>83</v>
      </c>
      <c r="CN3158">
        <v>-0.38</v>
      </c>
      <c r="CO3158">
        <v>81</v>
      </c>
      <c r="CP3158">
        <v>-9.5</v>
      </c>
      <c r="CQ3158">
        <v>89</v>
      </c>
      <c r="CR3158">
        <v>0</v>
      </c>
      <c r="CS3158">
        <v>0</v>
      </c>
      <c r="CT3158">
        <v>-0.7</v>
      </c>
      <c r="CU3158">
        <v>78</v>
      </c>
      <c r="CV3158">
        <v>0.17</v>
      </c>
      <c r="CW3158">
        <v>43</v>
      </c>
      <c r="CX3158" t="s">
        <v>10853</v>
      </c>
    </row>
    <row r="3159" spans="1:102" x14ac:dyDescent="0.3">
      <c r="A3159" t="str">
        <f>HYPERLINK("https://webapp.icbf.com/v2/app/bull-search/view/388952328","OVA")</f>
        <v>OVA</v>
      </c>
      <c r="B3159" t="s">
        <v>12535</v>
      </c>
      <c r="C3159" t="s">
        <v>12534</v>
      </c>
      <c r="D3159" s="1">
        <v>36128</v>
      </c>
      <c r="E3159" t="s">
        <v>140</v>
      </c>
      <c r="F3159">
        <v>0</v>
      </c>
      <c r="G3159" t="s">
        <v>109</v>
      </c>
      <c r="H3159">
        <v>-15.61</v>
      </c>
      <c r="I3159">
        <v>70</v>
      </c>
      <c r="J3159">
        <v>-9.91</v>
      </c>
      <c r="K3159">
        <v>77</v>
      </c>
      <c r="L3159">
        <v>58.03</v>
      </c>
      <c r="M3159">
        <v>58</v>
      </c>
      <c r="N3159">
        <v>-102.37</v>
      </c>
      <c r="O3159">
        <v>73</v>
      </c>
      <c r="P3159">
        <v>15.17</v>
      </c>
      <c r="Q3159">
        <v>90</v>
      </c>
      <c r="R3159">
        <v>17.670000000000002</v>
      </c>
      <c r="S3159">
        <v>59</v>
      </c>
      <c r="T3159">
        <v>9.98</v>
      </c>
      <c r="U3159">
        <v>79</v>
      </c>
      <c r="V3159">
        <v>-4.18</v>
      </c>
      <c r="W3159">
        <v>55</v>
      </c>
      <c r="X3159" t="s">
        <v>102</v>
      </c>
      <c r="Y3159" t="s">
        <v>95</v>
      </c>
      <c r="Z3159">
        <v>0</v>
      </c>
      <c r="AA3159" t="s">
        <v>247</v>
      </c>
      <c r="AB3159" t="s">
        <v>12536</v>
      </c>
      <c r="AC3159">
        <v>0</v>
      </c>
      <c r="AD3159">
        <v>0</v>
      </c>
      <c r="AE3159">
        <v>77</v>
      </c>
      <c r="AF3159">
        <v>-39.25</v>
      </c>
      <c r="AG3159">
        <v>-4.74</v>
      </c>
      <c r="AH3159">
        <v>-0.61</v>
      </c>
      <c r="AI3159">
        <v>-0.05</v>
      </c>
      <c r="AJ3159">
        <v>0.01</v>
      </c>
      <c r="AK3159">
        <v>58</v>
      </c>
      <c r="AL3159">
        <v>43</v>
      </c>
      <c r="AM3159">
        <v>27</v>
      </c>
      <c r="AN3159">
        <v>-3.75</v>
      </c>
      <c r="AO3159">
        <v>0.87</v>
      </c>
      <c r="AP3159">
        <v>82</v>
      </c>
      <c r="AQ3159">
        <v>1</v>
      </c>
      <c r="AR3159">
        <v>17.37</v>
      </c>
      <c r="AS3159">
        <v>61</v>
      </c>
      <c r="AT3159">
        <v>7.25</v>
      </c>
      <c r="AU3159">
        <v>73</v>
      </c>
      <c r="AV3159">
        <v>1.1100000000000001</v>
      </c>
      <c r="AW3159">
        <v>84</v>
      </c>
      <c r="AX3159">
        <v>0.89</v>
      </c>
      <c r="AY3159">
        <v>73</v>
      </c>
      <c r="AZ3159">
        <v>6.39</v>
      </c>
      <c r="BA3159">
        <v>44</v>
      </c>
      <c r="BB3159">
        <v>4.38</v>
      </c>
      <c r="BC3159">
        <v>54</v>
      </c>
      <c r="BD3159">
        <v>-0.05</v>
      </c>
      <c r="BE3159">
        <v>-7.0000000000000007E-2</v>
      </c>
      <c r="BF3159">
        <v>-0.19</v>
      </c>
      <c r="BG3159">
        <v>67</v>
      </c>
      <c r="BH3159">
        <v>-0.17</v>
      </c>
      <c r="BI3159">
        <v>-6.19</v>
      </c>
      <c r="BJ3159">
        <v>0</v>
      </c>
      <c r="BK3159">
        <v>0</v>
      </c>
      <c r="BL3159">
        <v>-0.77</v>
      </c>
      <c r="BM3159">
        <v>3.83</v>
      </c>
      <c r="BN3159">
        <v>-1.88</v>
      </c>
      <c r="BO3159">
        <v>-3.3</v>
      </c>
      <c r="BP3159">
        <v>4.38</v>
      </c>
      <c r="BQ3159">
        <v>-1.54</v>
      </c>
      <c r="BR3159">
        <v>-2.91</v>
      </c>
      <c r="BS3159">
        <v>-0.35</v>
      </c>
      <c r="BT3159">
        <v>2.82</v>
      </c>
      <c r="BU3159">
        <v>-3.82</v>
      </c>
      <c r="BV3159">
        <v>-4.2699999999999996</v>
      </c>
      <c r="BW3159">
        <v>-3.18</v>
      </c>
      <c r="BX3159">
        <v>-3</v>
      </c>
      <c r="BY3159">
        <v>-2.0699999999999998</v>
      </c>
      <c r="BZ3159">
        <v>1.68</v>
      </c>
      <c r="CA3159">
        <v>-2.73</v>
      </c>
      <c r="CB3159">
        <v>-3.44</v>
      </c>
      <c r="CC3159">
        <v>-0.53</v>
      </c>
      <c r="CD3159">
        <v>4.08</v>
      </c>
      <c r="CE3159">
        <v>-3.15</v>
      </c>
      <c r="CF3159">
        <v>-1.23</v>
      </c>
      <c r="CG3159">
        <v>0</v>
      </c>
      <c r="CH3159">
        <v>-2.38</v>
      </c>
      <c r="CI3159">
        <v>0</v>
      </c>
      <c r="CJ3159">
        <v>6.7</v>
      </c>
      <c r="CK3159">
        <v>91</v>
      </c>
      <c r="CL3159">
        <v>0.32</v>
      </c>
      <c r="CM3159">
        <v>89</v>
      </c>
      <c r="CN3159">
        <v>-0.22</v>
      </c>
      <c r="CO3159">
        <v>88</v>
      </c>
      <c r="CP3159">
        <v>0.3</v>
      </c>
      <c r="CQ3159">
        <v>83</v>
      </c>
      <c r="CR3159">
        <v>0</v>
      </c>
      <c r="CS3159">
        <v>0</v>
      </c>
      <c r="CT3159">
        <v>0.3</v>
      </c>
      <c r="CU3159">
        <v>79</v>
      </c>
      <c r="CV3159">
        <v>-0.04</v>
      </c>
      <c r="CW3159">
        <v>26</v>
      </c>
      <c r="CX3159" t="s">
        <v>1177</v>
      </c>
    </row>
    <row r="3160" spans="1:102" x14ac:dyDescent="0.3">
      <c r="A3160" t="str">
        <f>HYPERLINK("https://webapp.icbf.com/v2/app/bull-search/view/68232778","MPE")</f>
        <v>MPE</v>
      </c>
      <c r="B3160" t="s">
        <v>14996</v>
      </c>
      <c r="C3160" t="s">
        <v>14997</v>
      </c>
      <c r="D3160" s="1">
        <v>32706</v>
      </c>
      <c r="E3160" t="s">
        <v>108</v>
      </c>
      <c r="F3160">
        <v>0</v>
      </c>
      <c r="G3160" t="s">
        <v>93</v>
      </c>
      <c r="H3160">
        <v>-15.72</v>
      </c>
      <c r="I3160">
        <v>96</v>
      </c>
      <c r="J3160">
        <v>-50.92</v>
      </c>
      <c r="K3160">
        <v>99</v>
      </c>
      <c r="L3160">
        <v>95.52</v>
      </c>
      <c r="M3160">
        <v>92</v>
      </c>
      <c r="N3160">
        <v>-55.97</v>
      </c>
      <c r="O3160">
        <v>96</v>
      </c>
      <c r="P3160">
        <v>-15.46</v>
      </c>
      <c r="Q3160">
        <v>99</v>
      </c>
      <c r="R3160">
        <v>-1.1599999999999999</v>
      </c>
      <c r="S3160">
        <v>92</v>
      </c>
      <c r="T3160">
        <v>21.15</v>
      </c>
      <c r="U3160">
        <v>98</v>
      </c>
      <c r="V3160">
        <v>-8.8800000000000008</v>
      </c>
      <c r="W3160">
        <v>94</v>
      </c>
      <c r="X3160" t="s">
        <v>94</v>
      </c>
      <c r="Y3160" t="s">
        <v>95</v>
      </c>
      <c r="Z3160" t="s">
        <v>96</v>
      </c>
      <c r="AA3160" t="s">
        <v>607</v>
      </c>
      <c r="AB3160" t="s">
        <v>14998</v>
      </c>
      <c r="AC3160">
        <v>335</v>
      </c>
      <c r="AD3160">
        <v>125</v>
      </c>
      <c r="AE3160">
        <v>99</v>
      </c>
      <c r="AF3160">
        <v>-43.87</v>
      </c>
      <c r="AG3160">
        <v>-11.2</v>
      </c>
      <c r="AH3160">
        <v>-5.37</v>
      </c>
      <c r="AI3160">
        <v>-0.17</v>
      </c>
      <c r="AJ3160">
        <v>-7.0000000000000007E-2</v>
      </c>
      <c r="AK3160">
        <v>92</v>
      </c>
      <c r="AL3160">
        <v>660</v>
      </c>
      <c r="AM3160">
        <v>253</v>
      </c>
      <c r="AN3160">
        <v>-4.99</v>
      </c>
      <c r="AO3160">
        <v>2.63</v>
      </c>
      <c r="AP3160">
        <v>597</v>
      </c>
      <c r="AQ3160">
        <v>11</v>
      </c>
      <c r="AR3160">
        <v>14.88</v>
      </c>
      <c r="AS3160">
        <v>89</v>
      </c>
      <c r="AT3160">
        <v>5.28</v>
      </c>
      <c r="AU3160">
        <v>96</v>
      </c>
      <c r="AV3160">
        <v>0.34</v>
      </c>
      <c r="AW3160">
        <v>99</v>
      </c>
      <c r="AX3160">
        <v>-0.18</v>
      </c>
      <c r="AY3160">
        <v>96</v>
      </c>
      <c r="AZ3160">
        <v>7.06</v>
      </c>
      <c r="BA3160">
        <v>86</v>
      </c>
      <c r="BB3160">
        <v>5.47</v>
      </c>
      <c r="BC3160">
        <v>91</v>
      </c>
      <c r="BD3160">
        <v>-0.02</v>
      </c>
      <c r="BE3160">
        <v>0</v>
      </c>
      <c r="BF3160">
        <v>0.06</v>
      </c>
      <c r="BG3160">
        <v>95</v>
      </c>
      <c r="BH3160">
        <v>-0.22</v>
      </c>
      <c r="BI3160">
        <v>3.19</v>
      </c>
      <c r="BJ3160">
        <v>9</v>
      </c>
      <c r="BK3160">
        <v>7</v>
      </c>
      <c r="BL3160">
        <v>-3.23</v>
      </c>
      <c r="BM3160">
        <v>1.08</v>
      </c>
      <c r="BN3160">
        <v>-1.9</v>
      </c>
      <c r="BO3160">
        <v>-2.3199999999999998</v>
      </c>
      <c r="BP3160">
        <v>0.11</v>
      </c>
      <c r="BQ3160">
        <v>0.52</v>
      </c>
      <c r="BR3160">
        <v>-2.48</v>
      </c>
      <c r="BS3160">
        <v>1.65</v>
      </c>
      <c r="BT3160">
        <v>1.1399999999999999</v>
      </c>
      <c r="BU3160">
        <v>-2.5299999999999998</v>
      </c>
      <c r="BV3160">
        <v>-3.28</v>
      </c>
      <c r="BW3160">
        <v>-2.75</v>
      </c>
      <c r="BX3160">
        <v>-1.79</v>
      </c>
      <c r="BY3160">
        <v>-2.16</v>
      </c>
      <c r="BZ3160">
        <v>0.33</v>
      </c>
      <c r="CA3160">
        <v>-1.97</v>
      </c>
      <c r="CB3160">
        <v>-3.1</v>
      </c>
      <c r="CC3160">
        <v>0.55000000000000004</v>
      </c>
      <c r="CD3160">
        <v>2.06</v>
      </c>
      <c r="CE3160">
        <v>-1.92</v>
      </c>
      <c r="CF3160">
        <v>-1.95</v>
      </c>
      <c r="CG3160">
        <v>0</v>
      </c>
      <c r="CH3160">
        <v>-1.6</v>
      </c>
      <c r="CI3160">
        <v>0</v>
      </c>
      <c r="CJ3160">
        <v>-9.6999999999999993</v>
      </c>
      <c r="CK3160">
        <v>99</v>
      </c>
      <c r="CL3160">
        <v>-0.04</v>
      </c>
      <c r="CM3160">
        <v>99</v>
      </c>
      <c r="CN3160">
        <v>-0.1</v>
      </c>
      <c r="CO3160">
        <v>99</v>
      </c>
      <c r="CP3160">
        <v>-18.899999999999999</v>
      </c>
      <c r="CQ3160">
        <v>98</v>
      </c>
      <c r="CR3160">
        <v>0</v>
      </c>
      <c r="CS3160">
        <v>0</v>
      </c>
      <c r="CT3160">
        <v>-14.8</v>
      </c>
      <c r="CU3160">
        <v>98</v>
      </c>
      <c r="CV3160">
        <v>-0.13</v>
      </c>
      <c r="CW3160">
        <v>46</v>
      </c>
      <c r="CX3160" t="s">
        <v>14999</v>
      </c>
    </row>
    <row r="3161" spans="1:102" x14ac:dyDescent="0.3">
      <c r="A3161" t="str">
        <f>HYPERLINK("https://webapp.icbf.com/v2/app/bull-search/view/137158243","KED")</f>
        <v>KED</v>
      </c>
      <c r="B3161" t="s">
        <v>12187</v>
      </c>
      <c r="C3161" t="s">
        <v>12188</v>
      </c>
      <c r="D3161" s="1">
        <v>35494</v>
      </c>
      <c r="E3161" t="s">
        <v>92</v>
      </c>
      <c r="F3161">
        <v>100</v>
      </c>
      <c r="G3161" t="s">
        <v>93</v>
      </c>
      <c r="H3161">
        <v>-15.93</v>
      </c>
      <c r="I3161">
        <v>92</v>
      </c>
      <c r="J3161">
        <v>-3.85</v>
      </c>
      <c r="K3161">
        <v>98</v>
      </c>
      <c r="L3161">
        <v>-21.29</v>
      </c>
      <c r="M3161">
        <v>89</v>
      </c>
      <c r="N3161">
        <v>13.19</v>
      </c>
      <c r="O3161">
        <v>90</v>
      </c>
      <c r="P3161">
        <v>-6.31</v>
      </c>
      <c r="Q3161">
        <v>95</v>
      </c>
      <c r="R3161">
        <v>3.83</v>
      </c>
      <c r="S3161">
        <v>85</v>
      </c>
      <c r="T3161">
        <v>-6.23</v>
      </c>
      <c r="U3161">
        <v>88</v>
      </c>
      <c r="V3161">
        <v>4.7300000000000004</v>
      </c>
      <c r="W3161">
        <v>81</v>
      </c>
      <c r="X3161" t="s">
        <v>276</v>
      </c>
      <c r="Y3161" t="s">
        <v>95</v>
      </c>
      <c r="Z3161" t="s">
        <v>96</v>
      </c>
      <c r="AA3161" t="s">
        <v>4543</v>
      </c>
      <c r="AB3161" t="s">
        <v>10478</v>
      </c>
      <c r="AC3161">
        <v>191</v>
      </c>
      <c r="AD3161">
        <v>86</v>
      </c>
      <c r="AE3161">
        <v>98</v>
      </c>
      <c r="AF3161">
        <v>201.63</v>
      </c>
      <c r="AG3161">
        <v>-1.07</v>
      </c>
      <c r="AH3161">
        <v>2.81</v>
      </c>
      <c r="AI3161">
        <v>-0.15</v>
      </c>
      <c r="AJ3161">
        <v>-7.0000000000000007E-2</v>
      </c>
      <c r="AK3161">
        <v>89</v>
      </c>
      <c r="AL3161">
        <v>190</v>
      </c>
      <c r="AM3161">
        <v>81</v>
      </c>
      <c r="AN3161">
        <v>1.02</v>
      </c>
      <c r="AO3161">
        <v>-0.68</v>
      </c>
      <c r="AP3161">
        <v>339</v>
      </c>
      <c r="AQ3161">
        <v>0</v>
      </c>
      <c r="AR3161">
        <v>4.08</v>
      </c>
      <c r="AS3161">
        <v>90</v>
      </c>
      <c r="AT3161">
        <v>3.27</v>
      </c>
      <c r="AU3161">
        <v>90</v>
      </c>
      <c r="AV3161">
        <v>-1.03</v>
      </c>
      <c r="AW3161">
        <v>97</v>
      </c>
      <c r="AX3161">
        <v>-0.23</v>
      </c>
      <c r="AY3161">
        <v>89</v>
      </c>
      <c r="AZ3161">
        <v>6.3</v>
      </c>
      <c r="BA3161">
        <v>75</v>
      </c>
      <c r="BB3161">
        <v>5.62</v>
      </c>
      <c r="BC3161">
        <v>76</v>
      </c>
      <c r="BD3161">
        <v>-0.06</v>
      </c>
      <c r="BE3161">
        <v>-0.02</v>
      </c>
      <c r="BF3161">
        <v>0.05</v>
      </c>
      <c r="BG3161">
        <v>93</v>
      </c>
      <c r="BH3161">
        <v>0.24</v>
      </c>
      <c r="BI3161">
        <v>12.52</v>
      </c>
      <c r="BJ3161">
        <v>26</v>
      </c>
      <c r="BK3161">
        <v>15</v>
      </c>
      <c r="BL3161">
        <v>1.1200000000000001</v>
      </c>
      <c r="BM3161">
        <v>0.06</v>
      </c>
      <c r="BN3161">
        <v>1.01</v>
      </c>
      <c r="BO3161">
        <v>0.88</v>
      </c>
      <c r="BP3161">
        <v>1.19</v>
      </c>
      <c r="BQ3161">
        <v>0.96</v>
      </c>
      <c r="BR3161">
        <v>1.1399999999999999</v>
      </c>
      <c r="BS3161">
        <v>-0.97</v>
      </c>
      <c r="BT3161">
        <v>-1.28</v>
      </c>
      <c r="BU3161">
        <v>0.93</v>
      </c>
      <c r="BV3161">
        <v>1.87</v>
      </c>
      <c r="BW3161">
        <v>1.58</v>
      </c>
      <c r="BX3161">
        <v>0.73</v>
      </c>
      <c r="BY3161">
        <v>0.16</v>
      </c>
      <c r="BZ3161">
        <v>3.25</v>
      </c>
      <c r="CA3161">
        <v>0.52</v>
      </c>
      <c r="CB3161">
        <v>0.99</v>
      </c>
      <c r="CC3161">
        <v>-0.47</v>
      </c>
      <c r="CD3161">
        <v>-0.42</v>
      </c>
      <c r="CE3161">
        <v>0.82</v>
      </c>
      <c r="CF3161">
        <v>0.57999999999999996</v>
      </c>
      <c r="CG3161">
        <v>0</v>
      </c>
      <c r="CH3161">
        <v>0.27</v>
      </c>
      <c r="CI3161">
        <v>0</v>
      </c>
      <c r="CJ3161">
        <v>1.5</v>
      </c>
      <c r="CK3161">
        <v>96</v>
      </c>
      <c r="CL3161">
        <v>-1.05</v>
      </c>
      <c r="CM3161">
        <v>95</v>
      </c>
      <c r="CN3161">
        <v>-0.18</v>
      </c>
      <c r="CO3161">
        <v>94</v>
      </c>
      <c r="CP3161">
        <v>2.2999999999999998</v>
      </c>
      <c r="CQ3161">
        <v>94</v>
      </c>
      <c r="CR3161">
        <v>0</v>
      </c>
      <c r="CS3161">
        <v>0</v>
      </c>
      <c r="CT3161">
        <v>22.2</v>
      </c>
      <c r="CU3161">
        <v>88</v>
      </c>
      <c r="CV3161">
        <v>0.3</v>
      </c>
      <c r="CW3161">
        <v>45</v>
      </c>
      <c r="CX3161" t="s">
        <v>564</v>
      </c>
    </row>
    <row r="3162" spans="1:102" x14ac:dyDescent="0.3">
      <c r="A3162" t="str">
        <f>HYPERLINK("https://webapp.icbf.com/v2/app/bull-search/view/77855746","LKC")</f>
        <v>LKC</v>
      </c>
      <c r="B3162" t="s">
        <v>6901</v>
      </c>
      <c r="C3162" t="s">
        <v>6902</v>
      </c>
      <c r="D3162" s="1">
        <v>35285</v>
      </c>
      <c r="E3162" t="s">
        <v>92</v>
      </c>
      <c r="F3162">
        <v>97</v>
      </c>
      <c r="G3162" t="s">
        <v>93</v>
      </c>
      <c r="H3162">
        <v>-15.99</v>
      </c>
      <c r="I3162">
        <v>84</v>
      </c>
      <c r="J3162">
        <v>-23.26</v>
      </c>
      <c r="K3162">
        <v>96</v>
      </c>
      <c r="L3162">
        <v>-7.51</v>
      </c>
      <c r="M3162">
        <v>80</v>
      </c>
      <c r="N3162">
        <v>19.38</v>
      </c>
      <c r="O3162">
        <v>73</v>
      </c>
      <c r="P3162">
        <v>-0.61</v>
      </c>
      <c r="Q3162">
        <v>81</v>
      </c>
      <c r="R3162">
        <v>-11.29</v>
      </c>
      <c r="S3162">
        <v>79</v>
      </c>
      <c r="T3162">
        <v>9.31</v>
      </c>
      <c r="U3162">
        <v>79</v>
      </c>
      <c r="V3162">
        <v>-2.0099999999999998</v>
      </c>
      <c r="W3162">
        <v>70</v>
      </c>
      <c r="X3162" t="s">
        <v>94</v>
      </c>
      <c r="Y3162" t="s">
        <v>95</v>
      </c>
      <c r="Z3162" t="s">
        <v>96</v>
      </c>
      <c r="AA3162" t="s">
        <v>753</v>
      </c>
      <c r="AB3162" t="s">
        <v>1371</v>
      </c>
      <c r="AC3162">
        <v>61</v>
      </c>
      <c r="AD3162">
        <v>48</v>
      </c>
      <c r="AE3162">
        <v>96</v>
      </c>
      <c r="AF3162">
        <v>-65.88</v>
      </c>
      <c r="AG3162">
        <v>-4.6500000000000004</v>
      </c>
      <c r="AH3162">
        <v>-3.32</v>
      </c>
      <c r="AI3162">
        <v>-0.04</v>
      </c>
      <c r="AJ3162">
        <v>-0.02</v>
      </c>
      <c r="AK3162">
        <v>80</v>
      </c>
      <c r="AL3162">
        <v>62</v>
      </c>
      <c r="AM3162">
        <v>53</v>
      </c>
      <c r="AN3162">
        <v>1.1000000000000001</v>
      </c>
      <c r="AO3162">
        <v>0.51</v>
      </c>
      <c r="AP3162">
        <v>8</v>
      </c>
      <c r="AQ3162">
        <v>0</v>
      </c>
      <c r="AR3162">
        <v>7.78</v>
      </c>
      <c r="AS3162">
        <v>63</v>
      </c>
      <c r="AT3162">
        <v>2.71</v>
      </c>
      <c r="AU3162">
        <v>76</v>
      </c>
      <c r="AV3162">
        <v>-2.4500000000000002</v>
      </c>
      <c r="AW3162">
        <v>75</v>
      </c>
      <c r="AX3162">
        <v>-0.25</v>
      </c>
      <c r="AY3162">
        <v>76</v>
      </c>
      <c r="AZ3162">
        <v>7.71</v>
      </c>
      <c r="BA3162">
        <v>56</v>
      </c>
      <c r="BB3162">
        <v>5.34</v>
      </c>
      <c r="BC3162">
        <v>66</v>
      </c>
      <c r="BD3162">
        <v>0.04</v>
      </c>
      <c r="BE3162">
        <v>7.0000000000000007E-2</v>
      </c>
      <c r="BF3162">
        <v>0.06</v>
      </c>
      <c r="BG3162">
        <v>88</v>
      </c>
      <c r="BH3162">
        <v>-0.03</v>
      </c>
      <c r="BI3162">
        <v>3.01</v>
      </c>
      <c r="BJ3162">
        <v>14</v>
      </c>
      <c r="BK3162">
        <v>11</v>
      </c>
      <c r="BL3162">
        <v>0.15</v>
      </c>
      <c r="BM3162">
        <v>0.36</v>
      </c>
      <c r="BN3162">
        <v>-0.06</v>
      </c>
      <c r="BO3162">
        <v>0.21</v>
      </c>
      <c r="BP3162">
        <v>-0.65</v>
      </c>
      <c r="BQ3162">
        <v>-0.46</v>
      </c>
      <c r="BR3162">
        <v>0.39</v>
      </c>
      <c r="BS3162">
        <v>-0.02</v>
      </c>
      <c r="BT3162">
        <v>-1.25</v>
      </c>
      <c r="BU3162">
        <v>-1.1200000000000001</v>
      </c>
      <c r="BV3162">
        <v>-1.39</v>
      </c>
      <c r="BW3162">
        <v>-0.56999999999999995</v>
      </c>
      <c r="BX3162">
        <v>0.51</v>
      </c>
      <c r="BY3162">
        <v>-1.22</v>
      </c>
      <c r="BZ3162">
        <v>1.1100000000000001</v>
      </c>
      <c r="CA3162">
        <v>-0.54</v>
      </c>
      <c r="CB3162">
        <v>-1.1200000000000001</v>
      </c>
      <c r="CC3162">
        <v>0.25</v>
      </c>
      <c r="CD3162">
        <v>-0.22</v>
      </c>
      <c r="CE3162">
        <v>0.52</v>
      </c>
      <c r="CF3162">
        <v>0.21</v>
      </c>
      <c r="CG3162">
        <v>0</v>
      </c>
      <c r="CH3162">
        <v>-2.1800000000000002</v>
      </c>
      <c r="CI3162">
        <v>0</v>
      </c>
      <c r="CJ3162">
        <v>2.5</v>
      </c>
      <c r="CK3162">
        <v>82</v>
      </c>
      <c r="CL3162">
        <v>-0.56000000000000005</v>
      </c>
      <c r="CM3162">
        <v>80</v>
      </c>
      <c r="CN3162">
        <v>-0.16</v>
      </c>
      <c r="CO3162">
        <v>77</v>
      </c>
      <c r="CP3162">
        <v>-1</v>
      </c>
      <c r="CQ3162">
        <v>86</v>
      </c>
      <c r="CR3162">
        <v>0</v>
      </c>
      <c r="CS3162">
        <v>0</v>
      </c>
      <c r="CT3162">
        <v>1.2</v>
      </c>
      <c r="CU3162">
        <v>79</v>
      </c>
      <c r="CV3162">
        <v>0.2</v>
      </c>
      <c r="CW3162">
        <v>42</v>
      </c>
      <c r="CX3162" t="s">
        <v>161</v>
      </c>
    </row>
    <row r="3163" spans="1:102" x14ac:dyDescent="0.3">
      <c r="A3163" t="str">
        <f>HYPERLINK("https://webapp.icbf.com/v2/app/bull-search/view/804576307","DPB")</f>
        <v>DPB</v>
      </c>
      <c r="B3163" t="s">
        <v>5277</v>
      </c>
      <c r="C3163" t="s">
        <v>5278</v>
      </c>
      <c r="D3163" s="1">
        <v>39591</v>
      </c>
      <c r="E3163" t="s">
        <v>92</v>
      </c>
      <c r="F3163">
        <v>100</v>
      </c>
      <c r="G3163" t="s">
        <v>116</v>
      </c>
      <c r="H3163">
        <v>-16.100000000000001</v>
      </c>
      <c r="I3163">
        <v>44</v>
      </c>
      <c r="J3163">
        <v>22.35</v>
      </c>
      <c r="K3163">
        <v>42</v>
      </c>
      <c r="L3163">
        <v>-50.6</v>
      </c>
      <c r="M3163">
        <v>40</v>
      </c>
      <c r="N3163">
        <v>14.64</v>
      </c>
      <c r="O3163">
        <v>50</v>
      </c>
      <c r="P3163">
        <v>-1.38</v>
      </c>
      <c r="Q3163">
        <v>53</v>
      </c>
      <c r="R3163">
        <v>4.16</v>
      </c>
      <c r="S3163">
        <v>44</v>
      </c>
      <c r="T3163">
        <v>-12</v>
      </c>
      <c r="U3163">
        <v>49</v>
      </c>
      <c r="V3163">
        <v>6.73</v>
      </c>
      <c r="W3163">
        <v>42</v>
      </c>
      <c r="X3163" t="s">
        <v>251</v>
      </c>
      <c r="Y3163" t="s">
        <v>329</v>
      </c>
      <c r="Z3163" t="s">
        <v>96</v>
      </c>
      <c r="AA3163" t="s">
        <v>4548</v>
      </c>
      <c r="AB3163" t="s">
        <v>5279</v>
      </c>
      <c r="AC3163">
        <v>7</v>
      </c>
      <c r="AD3163">
        <v>3</v>
      </c>
      <c r="AE3163">
        <v>42</v>
      </c>
      <c r="AF3163">
        <v>244.99</v>
      </c>
      <c r="AG3163">
        <v>3.51</v>
      </c>
      <c r="AH3163">
        <v>6.31</v>
      </c>
      <c r="AI3163">
        <v>-0.1</v>
      </c>
      <c r="AJ3163">
        <v>-0.03</v>
      </c>
      <c r="AK3163">
        <v>40</v>
      </c>
      <c r="AL3163">
        <v>9</v>
      </c>
      <c r="AM3163">
        <v>4</v>
      </c>
      <c r="AN3163">
        <v>3.95</v>
      </c>
      <c r="AO3163">
        <v>-7.0000000000000007E-2</v>
      </c>
      <c r="AP3163">
        <v>7</v>
      </c>
      <c r="AQ3163">
        <v>0</v>
      </c>
      <c r="AR3163">
        <v>7.43</v>
      </c>
      <c r="AS3163">
        <v>45</v>
      </c>
      <c r="AT3163">
        <v>3.96</v>
      </c>
      <c r="AU3163">
        <v>88</v>
      </c>
      <c r="AV3163">
        <v>-2.44</v>
      </c>
      <c r="AW3163">
        <v>35</v>
      </c>
      <c r="AX3163">
        <v>0.18</v>
      </c>
      <c r="AY3163">
        <v>51</v>
      </c>
      <c r="AZ3163">
        <v>6.23</v>
      </c>
      <c r="BA3163">
        <v>34</v>
      </c>
      <c r="BB3163">
        <v>4.42</v>
      </c>
      <c r="BC3163">
        <v>31</v>
      </c>
      <c r="BD3163">
        <v>-0.04</v>
      </c>
      <c r="BE3163">
        <v>-0.01</v>
      </c>
      <c r="BF3163">
        <v>-0.01</v>
      </c>
      <c r="BG3163">
        <v>52</v>
      </c>
      <c r="BH3163">
        <v>0.14000000000000001</v>
      </c>
      <c r="BI3163">
        <v>-5.51</v>
      </c>
      <c r="BJ3163">
        <v>0</v>
      </c>
      <c r="BK3163">
        <v>0</v>
      </c>
      <c r="BL3163">
        <v>1.21</v>
      </c>
      <c r="BM3163">
        <v>-1.67</v>
      </c>
      <c r="BN3163">
        <v>-0.26</v>
      </c>
      <c r="BO3163">
        <v>1.33</v>
      </c>
      <c r="BP3163">
        <v>1.48</v>
      </c>
      <c r="BQ3163">
        <v>-0.01</v>
      </c>
      <c r="BR3163">
        <v>-0.16</v>
      </c>
      <c r="BS3163">
        <v>2.42</v>
      </c>
      <c r="BT3163">
        <v>-0.01</v>
      </c>
      <c r="BU3163">
        <v>2.96</v>
      </c>
      <c r="BV3163">
        <v>3.09</v>
      </c>
      <c r="BW3163">
        <v>1.7</v>
      </c>
      <c r="BX3163">
        <v>1.27</v>
      </c>
      <c r="BY3163">
        <v>2.9</v>
      </c>
      <c r="BZ3163">
        <v>0.1</v>
      </c>
      <c r="CA3163">
        <v>2.66</v>
      </c>
      <c r="CB3163">
        <v>2.39</v>
      </c>
      <c r="CC3163">
        <v>1.93</v>
      </c>
      <c r="CD3163">
        <v>-1.19</v>
      </c>
      <c r="CE3163">
        <v>1.31</v>
      </c>
      <c r="CF3163">
        <v>1.24</v>
      </c>
      <c r="CG3163">
        <v>0</v>
      </c>
      <c r="CH3163">
        <v>2.4300000000000002</v>
      </c>
      <c r="CI3163">
        <v>0</v>
      </c>
      <c r="CJ3163">
        <v>-0.4</v>
      </c>
      <c r="CK3163">
        <v>54</v>
      </c>
      <c r="CL3163">
        <v>-0.98</v>
      </c>
      <c r="CM3163">
        <v>52</v>
      </c>
      <c r="CN3163">
        <v>-0.68</v>
      </c>
      <c r="CO3163">
        <v>50</v>
      </c>
      <c r="CP3163">
        <v>8.8000000000000007</v>
      </c>
      <c r="CQ3163">
        <v>53</v>
      </c>
      <c r="CR3163">
        <v>0</v>
      </c>
      <c r="CS3163">
        <v>0</v>
      </c>
      <c r="CT3163">
        <v>30</v>
      </c>
      <c r="CU3163">
        <v>49</v>
      </c>
      <c r="CV3163">
        <v>0.18</v>
      </c>
      <c r="CW3163">
        <v>15</v>
      </c>
      <c r="CX3163" t="s">
        <v>309</v>
      </c>
    </row>
    <row r="3164" spans="1:102" x14ac:dyDescent="0.3">
      <c r="A3164" t="str">
        <f>HYPERLINK("https://webapp.icbf.com/v2/app/bull-search/view/77859058","COE")</f>
        <v>COE</v>
      </c>
      <c r="B3164" t="s">
        <v>2831</v>
      </c>
      <c r="C3164" t="s">
        <v>2832</v>
      </c>
      <c r="D3164" s="1">
        <v>31799</v>
      </c>
      <c r="E3164" t="s">
        <v>92</v>
      </c>
      <c r="F3164">
        <v>100</v>
      </c>
      <c r="G3164" t="s">
        <v>93</v>
      </c>
      <c r="H3164">
        <v>-16.11</v>
      </c>
      <c r="I3164">
        <v>94</v>
      </c>
      <c r="J3164">
        <v>-25.55</v>
      </c>
      <c r="K3164">
        <v>99</v>
      </c>
      <c r="L3164">
        <v>-14.39</v>
      </c>
      <c r="M3164">
        <v>92</v>
      </c>
      <c r="N3164">
        <v>11.38</v>
      </c>
      <c r="O3164">
        <v>90</v>
      </c>
      <c r="P3164">
        <v>-5.19</v>
      </c>
      <c r="Q3164">
        <v>97</v>
      </c>
      <c r="R3164">
        <v>4.78</v>
      </c>
      <c r="S3164">
        <v>88</v>
      </c>
      <c r="T3164">
        <v>7.91</v>
      </c>
      <c r="U3164">
        <v>95</v>
      </c>
      <c r="V3164">
        <v>4.95</v>
      </c>
      <c r="W3164">
        <v>79</v>
      </c>
      <c r="X3164" t="s">
        <v>94</v>
      </c>
      <c r="Y3164" t="s">
        <v>95</v>
      </c>
      <c r="Z3164" t="s">
        <v>96</v>
      </c>
      <c r="AA3164" t="s">
        <v>128</v>
      </c>
      <c r="AB3164" t="s">
        <v>2833</v>
      </c>
      <c r="AC3164">
        <v>566</v>
      </c>
      <c r="AD3164">
        <v>311</v>
      </c>
      <c r="AE3164">
        <v>99</v>
      </c>
      <c r="AF3164">
        <v>-156.08000000000001</v>
      </c>
      <c r="AG3164">
        <v>4.2300000000000004</v>
      </c>
      <c r="AH3164">
        <v>-8.23</v>
      </c>
      <c r="AI3164">
        <v>0.19</v>
      </c>
      <c r="AJ3164">
        <v>-0.05</v>
      </c>
      <c r="AK3164">
        <v>92</v>
      </c>
      <c r="AL3164">
        <v>763</v>
      </c>
      <c r="AM3164">
        <v>390</v>
      </c>
      <c r="AN3164">
        <v>0.61</v>
      </c>
      <c r="AO3164">
        <v>-0.54</v>
      </c>
      <c r="AP3164">
        <v>32</v>
      </c>
      <c r="AQ3164">
        <v>0</v>
      </c>
      <c r="AR3164">
        <v>6.3</v>
      </c>
      <c r="AS3164">
        <v>73</v>
      </c>
      <c r="AT3164">
        <v>2.56</v>
      </c>
      <c r="AU3164">
        <v>91</v>
      </c>
      <c r="AV3164">
        <v>7.0000000000000007E-2</v>
      </c>
      <c r="AW3164">
        <v>94</v>
      </c>
      <c r="AX3164">
        <v>-0.16</v>
      </c>
      <c r="AY3164">
        <v>95</v>
      </c>
      <c r="AZ3164">
        <v>5.13</v>
      </c>
      <c r="BA3164">
        <v>71</v>
      </c>
      <c r="BB3164">
        <v>4.6100000000000003</v>
      </c>
      <c r="BC3164">
        <v>89</v>
      </c>
      <c r="BD3164">
        <v>0.03</v>
      </c>
      <c r="BE3164">
        <v>0</v>
      </c>
      <c r="BF3164">
        <v>-0.16</v>
      </c>
      <c r="BG3164">
        <v>98</v>
      </c>
      <c r="BH3164">
        <v>0.03</v>
      </c>
      <c r="BI3164">
        <v>-12.51</v>
      </c>
      <c r="BJ3164">
        <v>30</v>
      </c>
      <c r="BK3164">
        <v>22</v>
      </c>
      <c r="BL3164">
        <v>-7.0000000000000007E-2</v>
      </c>
      <c r="BM3164">
        <v>0.12</v>
      </c>
      <c r="BN3164">
        <v>-1</v>
      </c>
      <c r="BO3164">
        <v>-0.79</v>
      </c>
      <c r="BP3164">
        <v>1.61</v>
      </c>
      <c r="BQ3164">
        <v>-0.39</v>
      </c>
      <c r="BR3164">
        <v>0.97</v>
      </c>
      <c r="BS3164">
        <v>0.72</v>
      </c>
      <c r="BT3164">
        <v>0.87</v>
      </c>
      <c r="BU3164">
        <v>-7.0000000000000007E-2</v>
      </c>
      <c r="BV3164">
        <v>-0.21</v>
      </c>
      <c r="BW3164">
        <v>-1.19</v>
      </c>
      <c r="BX3164">
        <v>0.83</v>
      </c>
      <c r="BY3164">
        <v>-0.37</v>
      </c>
      <c r="BZ3164">
        <v>-2.19</v>
      </c>
      <c r="CA3164">
        <v>0.11</v>
      </c>
      <c r="CB3164">
        <v>-0.42</v>
      </c>
      <c r="CC3164">
        <v>0.36</v>
      </c>
      <c r="CD3164">
        <v>-0.09</v>
      </c>
      <c r="CE3164">
        <v>-0.67</v>
      </c>
      <c r="CF3164">
        <v>-0.84</v>
      </c>
      <c r="CG3164">
        <v>0</v>
      </c>
      <c r="CH3164">
        <v>-0.3</v>
      </c>
      <c r="CI3164">
        <v>0</v>
      </c>
      <c r="CJ3164">
        <v>-1.3</v>
      </c>
      <c r="CK3164">
        <v>97</v>
      </c>
      <c r="CL3164">
        <v>-0.49</v>
      </c>
      <c r="CM3164">
        <v>96</v>
      </c>
      <c r="CN3164">
        <v>-0.18</v>
      </c>
      <c r="CO3164">
        <v>96</v>
      </c>
      <c r="CP3164">
        <v>-3</v>
      </c>
      <c r="CQ3164">
        <v>97</v>
      </c>
      <c r="CR3164">
        <v>0</v>
      </c>
      <c r="CS3164">
        <v>0</v>
      </c>
      <c r="CT3164">
        <v>3.1</v>
      </c>
      <c r="CU3164">
        <v>95</v>
      </c>
      <c r="CV3164">
        <v>0.1</v>
      </c>
      <c r="CW3164">
        <v>45</v>
      </c>
      <c r="CX3164" t="s">
        <v>113</v>
      </c>
    </row>
    <row r="3165" spans="1:102" x14ac:dyDescent="0.3">
      <c r="A3165" t="str">
        <f>HYPERLINK("https://webapp.icbf.com/v2/app/bull-search/view/108379577","LTI")</f>
        <v>LTI</v>
      </c>
      <c r="B3165" t="s">
        <v>1293</v>
      </c>
      <c r="C3165" t="s">
        <v>1294</v>
      </c>
      <c r="D3165" s="1">
        <v>35034</v>
      </c>
      <c r="E3165" t="s">
        <v>140</v>
      </c>
      <c r="F3165">
        <v>0</v>
      </c>
      <c r="G3165" t="s">
        <v>93</v>
      </c>
      <c r="H3165">
        <v>-16.12</v>
      </c>
      <c r="I3165">
        <v>80</v>
      </c>
      <c r="J3165">
        <v>-13.94</v>
      </c>
      <c r="K3165">
        <v>93</v>
      </c>
      <c r="L3165">
        <v>15.42</v>
      </c>
      <c r="M3165">
        <v>67</v>
      </c>
      <c r="N3165">
        <v>-31.21</v>
      </c>
      <c r="O3165">
        <v>78</v>
      </c>
      <c r="P3165">
        <v>15.53</v>
      </c>
      <c r="Q3165">
        <v>92</v>
      </c>
      <c r="R3165">
        <v>3</v>
      </c>
      <c r="S3165">
        <v>66</v>
      </c>
      <c r="T3165">
        <v>4.72</v>
      </c>
      <c r="U3165">
        <v>87</v>
      </c>
      <c r="V3165">
        <v>-9.64</v>
      </c>
      <c r="W3165">
        <v>60</v>
      </c>
      <c r="X3165" t="s">
        <v>94</v>
      </c>
      <c r="Y3165" t="s">
        <v>95</v>
      </c>
      <c r="Z3165">
        <v>0</v>
      </c>
      <c r="AA3165" t="s">
        <v>224</v>
      </c>
      <c r="AB3165" t="s">
        <v>1295</v>
      </c>
      <c r="AC3165">
        <v>56</v>
      </c>
      <c r="AD3165">
        <v>27</v>
      </c>
      <c r="AE3165">
        <v>93</v>
      </c>
      <c r="AF3165">
        <v>-74.64</v>
      </c>
      <c r="AG3165">
        <v>-1.65</v>
      </c>
      <c r="AH3165">
        <v>-2.93</v>
      </c>
      <c r="AI3165">
        <v>0.02</v>
      </c>
      <c r="AJ3165">
        <v>-0.01</v>
      </c>
      <c r="AK3165">
        <v>67</v>
      </c>
      <c r="AL3165">
        <v>80</v>
      </c>
      <c r="AM3165">
        <v>43</v>
      </c>
      <c r="AN3165">
        <v>-0.85</v>
      </c>
      <c r="AO3165">
        <v>0.38</v>
      </c>
      <c r="AP3165">
        <v>68</v>
      </c>
      <c r="AQ3165">
        <v>1</v>
      </c>
      <c r="AR3165">
        <v>10.029999999999999</v>
      </c>
      <c r="AS3165">
        <v>55</v>
      </c>
      <c r="AT3165">
        <v>4.92</v>
      </c>
      <c r="AU3165">
        <v>73</v>
      </c>
      <c r="AV3165">
        <v>1.99</v>
      </c>
      <c r="AW3165">
        <v>94</v>
      </c>
      <c r="AX3165">
        <v>-0.17</v>
      </c>
      <c r="AY3165">
        <v>80</v>
      </c>
      <c r="AZ3165">
        <v>4.01</v>
      </c>
      <c r="BA3165">
        <v>53</v>
      </c>
      <c r="BB3165">
        <v>3.24</v>
      </c>
      <c r="BC3165">
        <v>56</v>
      </c>
      <c r="BD3165">
        <v>0.06</v>
      </c>
      <c r="BE3165">
        <v>-0.01</v>
      </c>
      <c r="BF3165">
        <v>-0.15</v>
      </c>
      <c r="BG3165">
        <v>77</v>
      </c>
      <c r="BH3165">
        <v>-0.26</v>
      </c>
      <c r="BI3165">
        <v>1.02</v>
      </c>
      <c r="BJ3165">
        <v>0</v>
      </c>
      <c r="BK3165">
        <v>0</v>
      </c>
      <c r="BL3165">
        <v>-0.71</v>
      </c>
      <c r="BM3165">
        <v>3.91</v>
      </c>
      <c r="BN3165">
        <v>-1.52</v>
      </c>
      <c r="BO3165">
        <v>-3.15</v>
      </c>
      <c r="BP3165">
        <v>4.8499999999999996</v>
      </c>
      <c r="BQ3165">
        <v>-2.04</v>
      </c>
      <c r="BR3165">
        <v>-2.64</v>
      </c>
      <c r="BS3165">
        <v>-0.46</v>
      </c>
      <c r="BT3165">
        <v>2.72</v>
      </c>
      <c r="BU3165">
        <v>-3.28</v>
      </c>
      <c r="BV3165">
        <v>-3.62</v>
      </c>
      <c r="BW3165">
        <v>-2.71</v>
      </c>
      <c r="BX3165">
        <v>-2.56</v>
      </c>
      <c r="BY3165">
        <v>-2.15</v>
      </c>
      <c r="BZ3165">
        <v>0.78</v>
      </c>
      <c r="CA3165">
        <v>-2.36</v>
      </c>
      <c r="CB3165">
        <v>-3.08</v>
      </c>
      <c r="CC3165">
        <v>-0.28000000000000003</v>
      </c>
      <c r="CD3165">
        <v>4.18</v>
      </c>
      <c r="CE3165">
        <v>-3.18</v>
      </c>
      <c r="CF3165">
        <v>-1.04</v>
      </c>
      <c r="CG3165">
        <v>0</v>
      </c>
      <c r="CH3165">
        <v>-2.66</v>
      </c>
      <c r="CI3165">
        <v>0</v>
      </c>
      <c r="CJ3165">
        <v>4.8</v>
      </c>
      <c r="CK3165">
        <v>93</v>
      </c>
      <c r="CL3165">
        <v>0.21</v>
      </c>
      <c r="CM3165">
        <v>92</v>
      </c>
      <c r="CN3165">
        <v>-0.46</v>
      </c>
      <c r="CO3165">
        <v>91</v>
      </c>
      <c r="CP3165">
        <v>9</v>
      </c>
      <c r="CQ3165">
        <v>91</v>
      </c>
      <c r="CR3165">
        <v>0</v>
      </c>
      <c r="CS3165">
        <v>0</v>
      </c>
      <c r="CT3165">
        <v>7.4</v>
      </c>
      <c r="CU3165">
        <v>87</v>
      </c>
      <c r="CV3165">
        <v>-0.11</v>
      </c>
      <c r="CW3165">
        <v>27</v>
      </c>
      <c r="CX3165" t="s">
        <v>1296</v>
      </c>
    </row>
    <row r="3166" spans="1:102" x14ac:dyDescent="0.3">
      <c r="A3166" t="str">
        <f>HYPERLINK("https://webapp.icbf.com/v2/app/bull-search/view/77855143","MGS")</f>
        <v>MGS</v>
      </c>
      <c r="B3166" t="s">
        <v>1458</v>
      </c>
      <c r="C3166" t="s">
        <v>1459</v>
      </c>
      <c r="D3166" s="1">
        <v>34692</v>
      </c>
      <c r="E3166" t="s">
        <v>92</v>
      </c>
      <c r="F3166">
        <v>100</v>
      </c>
      <c r="G3166" t="s">
        <v>93</v>
      </c>
      <c r="H3166">
        <v>-16.16</v>
      </c>
      <c r="I3166">
        <v>72</v>
      </c>
      <c r="J3166">
        <v>22.21</v>
      </c>
      <c r="K3166">
        <v>92</v>
      </c>
      <c r="L3166">
        <v>-39.9</v>
      </c>
      <c r="M3166">
        <v>61</v>
      </c>
      <c r="N3166">
        <v>17.39</v>
      </c>
      <c r="O3166">
        <v>57</v>
      </c>
      <c r="P3166">
        <v>-11.97</v>
      </c>
      <c r="Q3166">
        <v>74</v>
      </c>
      <c r="R3166">
        <v>-17.64</v>
      </c>
      <c r="S3166">
        <v>66</v>
      </c>
      <c r="T3166">
        <v>16.489999999999998</v>
      </c>
      <c r="U3166">
        <v>73</v>
      </c>
      <c r="V3166">
        <v>-2.74</v>
      </c>
      <c r="W3166">
        <v>40</v>
      </c>
      <c r="X3166" t="s">
        <v>94</v>
      </c>
      <c r="Y3166" t="s">
        <v>95</v>
      </c>
      <c r="Z3166" t="s">
        <v>96</v>
      </c>
      <c r="AA3166" t="s">
        <v>954</v>
      </c>
      <c r="AB3166" t="s">
        <v>1460</v>
      </c>
      <c r="AC3166">
        <v>55</v>
      </c>
      <c r="AD3166">
        <v>60</v>
      </c>
      <c r="AE3166">
        <v>92</v>
      </c>
      <c r="AF3166">
        <v>183.51</v>
      </c>
      <c r="AG3166">
        <v>5.16</v>
      </c>
      <c r="AH3166">
        <v>4.76</v>
      </c>
      <c r="AI3166">
        <v>-0.03</v>
      </c>
      <c r="AJ3166">
        <v>-0.02</v>
      </c>
      <c r="AK3166">
        <v>61</v>
      </c>
      <c r="AL3166">
        <v>59</v>
      </c>
      <c r="AM3166">
        <v>51</v>
      </c>
      <c r="AN3166">
        <v>3.1</v>
      </c>
      <c r="AO3166">
        <v>-7.0000000000000007E-2</v>
      </c>
      <c r="AP3166">
        <v>5</v>
      </c>
      <c r="AQ3166">
        <v>0</v>
      </c>
      <c r="AR3166">
        <v>6.27</v>
      </c>
      <c r="AS3166">
        <v>37</v>
      </c>
      <c r="AT3166">
        <v>2.81</v>
      </c>
      <c r="AU3166">
        <v>53</v>
      </c>
      <c r="AV3166">
        <v>-0.75</v>
      </c>
      <c r="AW3166">
        <v>64</v>
      </c>
      <c r="AX3166">
        <v>-0.35</v>
      </c>
      <c r="AY3166">
        <v>70</v>
      </c>
      <c r="AZ3166">
        <v>5.23</v>
      </c>
      <c r="BA3166">
        <v>36</v>
      </c>
      <c r="BB3166">
        <v>4.37</v>
      </c>
      <c r="BC3166">
        <v>50</v>
      </c>
      <c r="BD3166">
        <v>0.04</v>
      </c>
      <c r="BE3166">
        <v>0.11</v>
      </c>
      <c r="BF3166">
        <v>0.13</v>
      </c>
      <c r="BG3166">
        <v>80</v>
      </c>
      <c r="BH3166">
        <v>-0.01</v>
      </c>
      <c r="BI3166">
        <v>7.67</v>
      </c>
      <c r="BJ3166">
        <v>17</v>
      </c>
      <c r="BK3166">
        <v>17</v>
      </c>
      <c r="BL3166">
        <v>-0.31</v>
      </c>
      <c r="BM3166">
        <v>0.47</v>
      </c>
      <c r="BN3166">
        <v>0.16</v>
      </c>
      <c r="BO3166">
        <v>-0.1</v>
      </c>
      <c r="BP3166">
        <v>1.73</v>
      </c>
      <c r="BQ3166">
        <v>-0.49</v>
      </c>
      <c r="BR3166">
        <v>0.47</v>
      </c>
      <c r="BS3166">
        <v>-1.01</v>
      </c>
      <c r="BT3166">
        <v>-0.59</v>
      </c>
      <c r="BU3166">
        <v>-0.19</v>
      </c>
      <c r="BV3166">
        <v>0.86</v>
      </c>
      <c r="BW3166">
        <v>0.59</v>
      </c>
      <c r="BX3166">
        <v>-0.48</v>
      </c>
      <c r="BY3166">
        <v>0.69</v>
      </c>
      <c r="BZ3166">
        <v>-2.0499999999999998</v>
      </c>
      <c r="CA3166">
        <v>0.05</v>
      </c>
      <c r="CB3166">
        <v>0.74</v>
      </c>
      <c r="CC3166">
        <v>-1.29</v>
      </c>
      <c r="CD3166">
        <v>0.5</v>
      </c>
      <c r="CE3166">
        <v>0.06</v>
      </c>
      <c r="CF3166">
        <v>-0.75</v>
      </c>
      <c r="CG3166">
        <v>0</v>
      </c>
      <c r="CH3166">
        <v>0.55000000000000004</v>
      </c>
      <c r="CI3166">
        <v>0</v>
      </c>
      <c r="CJ3166">
        <v>-4.4000000000000004</v>
      </c>
      <c r="CK3166">
        <v>75</v>
      </c>
      <c r="CL3166">
        <v>-0.56999999999999995</v>
      </c>
      <c r="CM3166">
        <v>72</v>
      </c>
      <c r="CN3166">
        <v>-0.12</v>
      </c>
      <c r="CO3166">
        <v>68</v>
      </c>
      <c r="CP3166">
        <v>-9.5</v>
      </c>
      <c r="CQ3166">
        <v>80</v>
      </c>
      <c r="CR3166">
        <v>0</v>
      </c>
      <c r="CS3166">
        <v>0</v>
      </c>
      <c r="CT3166">
        <v>-8.5</v>
      </c>
      <c r="CU3166">
        <v>73</v>
      </c>
      <c r="CV3166">
        <v>0.08</v>
      </c>
      <c r="CW3166">
        <v>21</v>
      </c>
      <c r="CX3166" t="s">
        <v>166</v>
      </c>
    </row>
    <row r="3167" spans="1:102" x14ac:dyDescent="0.3">
      <c r="A3167" t="str">
        <f>HYPERLINK("https://webapp.icbf.com/v2/app/bull-search/view/69091837","HAP")</f>
        <v>HAP</v>
      </c>
      <c r="B3167" t="s">
        <v>521</v>
      </c>
      <c r="C3167" t="s">
        <v>522</v>
      </c>
      <c r="D3167" s="1">
        <v>33917</v>
      </c>
      <c r="E3167" t="s">
        <v>140</v>
      </c>
      <c r="F3167">
        <v>0</v>
      </c>
      <c r="G3167" t="s">
        <v>93</v>
      </c>
      <c r="H3167">
        <v>-16.22</v>
      </c>
      <c r="I3167">
        <v>79</v>
      </c>
      <c r="J3167">
        <v>-121.32</v>
      </c>
      <c r="K3167">
        <v>95</v>
      </c>
      <c r="L3167">
        <v>76.400000000000006</v>
      </c>
      <c r="M3167">
        <v>67</v>
      </c>
      <c r="N3167">
        <v>3.58</v>
      </c>
      <c r="O3167">
        <v>71</v>
      </c>
      <c r="P3167">
        <v>28.96</v>
      </c>
      <c r="Q3167">
        <v>90</v>
      </c>
      <c r="R3167">
        <v>14.19</v>
      </c>
      <c r="S3167">
        <v>71</v>
      </c>
      <c r="T3167">
        <v>1.1000000000000001</v>
      </c>
      <c r="U3167">
        <v>84</v>
      </c>
      <c r="V3167">
        <v>-19.13</v>
      </c>
      <c r="W3167">
        <v>52</v>
      </c>
      <c r="X3167" t="s">
        <v>102</v>
      </c>
      <c r="Y3167" t="s">
        <v>95</v>
      </c>
      <c r="Z3167">
        <v>0</v>
      </c>
      <c r="AA3167" t="s">
        <v>523</v>
      </c>
      <c r="AB3167" t="s">
        <v>524</v>
      </c>
      <c r="AC3167">
        <v>97</v>
      </c>
      <c r="AD3167">
        <v>28</v>
      </c>
      <c r="AE3167">
        <v>95</v>
      </c>
      <c r="AF3167">
        <v>-556.04</v>
      </c>
      <c r="AG3167">
        <v>-26.13</v>
      </c>
      <c r="AH3167">
        <v>-19.899999999999999</v>
      </c>
      <c r="AI3167">
        <v>-0.08</v>
      </c>
      <c r="AJ3167">
        <v>-0.01</v>
      </c>
      <c r="AK3167">
        <v>67</v>
      </c>
      <c r="AL3167">
        <v>128</v>
      </c>
      <c r="AM3167">
        <v>37</v>
      </c>
      <c r="AN3167">
        <v>-4.41</v>
      </c>
      <c r="AO3167">
        <v>1.68</v>
      </c>
      <c r="AP3167">
        <v>11</v>
      </c>
      <c r="AQ3167">
        <v>0</v>
      </c>
      <c r="AR3167">
        <v>5.92</v>
      </c>
      <c r="AS3167">
        <v>42</v>
      </c>
      <c r="AT3167">
        <v>3.29</v>
      </c>
      <c r="AU3167">
        <v>65</v>
      </c>
      <c r="AV3167">
        <v>1.1000000000000001</v>
      </c>
      <c r="AW3167">
        <v>84</v>
      </c>
      <c r="AX3167">
        <v>-0.38</v>
      </c>
      <c r="AY3167">
        <v>79</v>
      </c>
      <c r="AZ3167">
        <v>4.87</v>
      </c>
      <c r="BA3167">
        <v>40</v>
      </c>
      <c r="BB3167">
        <v>3.57</v>
      </c>
      <c r="BC3167">
        <v>59</v>
      </c>
      <c r="BD3167">
        <v>-0.02</v>
      </c>
      <c r="BE3167">
        <v>-7.0000000000000007E-2</v>
      </c>
      <c r="BF3167">
        <v>-0.16</v>
      </c>
      <c r="BG3167">
        <v>85</v>
      </c>
      <c r="BH3167">
        <v>-0.39</v>
      </c>
      <c r="BI3167">
        <v>16.579999999999998</v>
      </c>
      <c r="BJ3167">
        <v>0</v>
      </c>
      <c r="BK3167">
        <v>0</v>
      </c>
      <c r="BL3167">
        <v>-1</v>
      </c>
      <c r="BM3167">
        <v>3.17</v>
      </c>
      <c r="BN3167">
        <v>-2.0499999999999998</v>
      </c>
      <c r="BO3167">
        <v>-3.08</v>
      </c>
      <c r="BP3167">
        <v>4.28</v>
      </c>
      <c r="BQ3167">
        <v>-2.63</v>
      </c>
      <c r="BR3167">
        <v>-2.57</v>
      </c>
      <c r="BS3167">
        <v>-0.43</v>
      </c>
      <c r="BT3167">
        <v>2.56</v>
      </c>
      <c r="BU3167">
        <v>-3.79</v>
      </c>
      <c r="BV3167">
        <v>-4.41</v>
      </c>
      <c r="BW3167">
        <v>-3.16</v>
      </c>
      <c r="BX3167">
        <v>-2.98</v>
      </c>
      <c r="BY3167">
        <v>-1.95</v>
      </c>
      <c r="BZ3167">
        <v>0.24</v>
      </c>
      <c r="CA3167">
        <v>-2.63</v>
      </c>
      <c r="CB3167">
        <v>-3.48</v>
      </c>
      <c r="CC3167">
        <v>-0.21</v>
      </c>
      <c r="CD3167">
        <v>3.9</v>
      </c>
      <c r="CE3167">
        <v>-3.06</v>
      </c>
      <c r="CF3167">
        <v>-1.18</v>
      </c>
      <c r="CG3167">
        <v>0</v>
      </c>
      <c r="CH3167">
        <v>-2.5</v>
      </c>
      <c r="CI3167">
        <v>0</v>
      </c>
      <c r="CJ3167">
        <v>13.5</v>
      </c>
      <c r="CK3167">
        <v>91</v>
      </c>
      <c r="CL3167">
        <v>0.72</v>
      </c>
      <c r="CM3167">
        <v>89</v>
      </c>
      <c r="CN3167">
        <v>-0.02</v>
      </c>
      <c r="CO3167">
        <v>88</v>
      </c>
      <c r="CP3167">
        <v>17.8</v>
      </c>
      <c r="CQ3167">
        <v>91</v>
      </c>
      <c r="CR3167">
        <v>0</v>
      </c>
      <c r="CS3167">
        <v>0</v>
      </c>
      <c r="CT3167">
        <v>12.3</v>
      </c>
      <c r="CU3167">
        <v>84</v>
      </c>
      <c r="CV3167">
        <v>-0.12</v>
      </c>
      <c r="CW3167">
        <v>26</v>
      </c>
      <c r="CX3167" t="s">
        <v>525</v>
      </c>
    </row>
    <row r="3168" spans="1:102" x14ac:dyDescent="0.3">
      <c r="A3168" t="str">
        <f>HYPERLINK("https://webapp.icbf.com/v2/app/bull-search/view/77853475","SSL")</f>
        <v>SSL</v>
      </c>
      <c r="B3168" t="s">
        <v>877</v>
      </c>
      <c r="C3168" t="s">
        <v>878</v>
      </c>
      <c r="D3168" s="1">
        <v>32864</v>
      </c>
      <c r="E3168" t="s">
        <v>92</v>
      </c>
      <c r="F3168">
        <v>100</v>
      </c>
      <c r="G3168" t="s">
        <v>93</v>
      </c>
      <c r="H3168">
        <v>-16.25</v>
      </c>
      <c r="I3168">
        <v>61</v>
      </c>
      <c r="J3168">
        <v>-50.67</v>
      </c>
      <c r="K3168">
        <v>75</v>
      </c>
      <c r="L3168">
        <v>17.72</v>
      </c>
      <c r="M3168">
        <v>48</v>
      </c>
      <c r="N3168">
        <v>11.03</v>
      </c>
      <c r="O3168">
        <v>57</v>
      </c>
      <c r="P3168">
        <v>-3.89</v>
      </c>
      <c r="Q3168">
        <v>72</v>
      </c>
      <c r="R3168">
        <v>-6.06</v>
      </c>
      <c r="S3168">
        <v>50</v>
      </c>
      <c r="T3168">
        <v>14.27</v>
      </c>
      <c r="U3168">
        <v>67</v>
      </c>
      <c r="V3168">
        <v>1.35</v>
      </c>
      <c r="W3168">
        <v>46</v>
      </c>
      <c r="X3168" t="s">
        <v>276</v>
      </c>
      <c r="Y3168" t="s">
        <v>117</v>
      </c>
      <c r="Z3168" t="s">
        <v>96</v>
      </c>
      <c r="AA3168" t="s">
        <v>111</v>
      </c>
      <c r="AB3168" t="s">
        <v>879</v>
      </c>
      <c r="AC3168">
        <v>17</v>
      </c>
      <c r="AD3168">
        <v>10</v>
      </c>
      <c r="AE3168">
        <v>75</v>
      </c>
      <c r="AF3168">
        <v>-188.78</v>
      </c>
      <c r="AG3168">
        <v>-10.65</v>
      </c>
      <c r="AH3168">
        <v>-7.74</v>
      </c>
      <c r="AI3168">
        <v>-0.06</v>
      </c>
      <c r="AJ3168">
        <v>-0.02</v>
      </c>
      <c r="AK3168">
        <v>48</v>
      </c>
      <c r="AL3168">
        <v>19</v>
      </c>
      <c r="AM3168">
        <v>12</v>
      </c>
      <c r="AN3168">
        <v>-2.0099999999999998</v>
      </c>
      <c r="AO3168">
        <v>-0.61</v>
      </c>
      <c r="AP3168">
        <v>17</v>
      </c>
      <c r="AQ3168">
        <v>4</v>
      </c>
      <c r="AR3168">
        <v>7.42</v>
      </c>
      <c r="AS3168">
        <v>36</v>
      </c>
      <c r="AT3168">
        <v>3.66</v>
      </c>
      <c r="AU3168">
        <v>51</v>
      </c>
      <c r="AV3168">
        <v>-1.76</v>
      </c>
      <c r="AW3168">
        <v>72</v>
      </c>
      <c r="AX3168">
        <v>-0.68</v>
      </c>
      <c r="AY3168">
        <v>55</v>
      </c>
      <c r="AZ3168">
        <v>6.25</v>
      </c>
      <c r="BA3168">
        <v>35</v>
      </c>
      <c r="BB3168">
        <v>5.13</v>
      </c>
      <c r="BC3168">
        <v>40</v>
      </c>
      <c r="BD3168">
        <v>0.02</v>
      </c>
      <c r="BE3168">
        <v>0.04</v>
      </c>
      <c r="BF3168">
        <v>0.03</v>
      </c>
      <c r="BG3168">
        <v>59</v>
      </c>
      <c r="BH3168">
        <v>0.05</v>
      </c>
      <c r="BI3168">
        <v>1.43</v>
      </c>
      <c r="BJ3168">
        <v>1</v>
      </c>
      <c r="BK3168">
        <v>1</v>
      </c>
      <c r="BL3168">
        <v>0.85</v>
      </c>
      <c r="BM3168">
        <v>-0.03</v>
      </c>
      <c r="BN3168">
        <v>1.08</v>
      </c>
      <c r="BO3168">
        <v>0.48</v>
      </c>
      <c r="BP3168">
        <v>-0.82</v>
      </c>
      <c r="BQ3168">
        <v>-1.87</v>
      </c>
      <c r="BR3168">
        <v>2.0299999999999998</v>
      </c>
      <c r="BS3168">
        <v>-0.3</v>
      </c>
      <c r="BT3168">
        <v>-2.2000000000000002</v>
      </c>
      <c r="BU3168">
        <v>0.87</v>
      </c>
      <c r="BV3168">
        <v>-0.33</v>
      </c>
      <c r="BW3168">
        <v>0.04</v>
      </c>
      <c r="BX3168">
        <v>1.43</v>
      </c>
      <c r="BY3168">
        <v>0.47</v>
      </c>
      <c r="BZ3168">
        <v>1.36</v>
      </c>
      <c r="CA3168">
        <v>0.23</v>
      </c>
      <c r="CB3168">
        <v>0.13</v>
      </c>
      <c r="CC3168">
        <v>0.31</v>
      </c>
      <c r="CD3168">
        <v>-0.28999999999999998</v>
      </c>
      <c r="CE3168">
        <v>0.12</v>
      </c>
      <c r="CF3168">
        <v>-0.59</v>
      </c>
      <c r="CG3168">
        <v>0</v>
      </c>
      <c r="CH3168">
        <v>-0.76</v>
      </c>
      <c r="CI3168">
        <v>0</v>
      </c>
      <c r="CJ3168">
        <v>-0.9</v>
      </c>
      <c r="CK3168">
        <v>75</v>
      </c>
      <c r="CL3168">
        <v>-0.31</v>
      </c>
      <c r="CM3168">
        <v>70</v>
      </c>
      <c r="CN3168">
        <v>-0.13</v>
      </c>
      <c r="CO3168">
        <v>67</v>
      </c>
      <c r="CP3168">
        <v>-6.5</v>
      </c>
      <c r="CQ3168">
        <v>69</v>
      </c>
      <c r="CR3168">
        <v>0</v>
      </c>
      <c r="CS3168">
        <v>0</v>
      </c>
      <c r="CT3168">
        <v>-5.5</v>
      </c>
      <c r="CU3168">
        <v>67</v>
      </c>
      <c r="CV3168">
        <v>0.09</v>
      </c>
      <c r="CW3168">
        <v>21</v>
      </c>
      <c r="CX3168" t="s">
        <v>113</v>
      </c>
    </row>
    <row r="3169" spans="1:102" x14ac:dyDescent="0.3">
      <c r="A3169" t="str">
        <f>HYPERLINK("https://webapp.icbf.com/v2/app/bull-search/view/678698537","OGB")</f>
        <v>OGB</v>
      </c>
      <c r="B3169" t="s">
        <v>1805</v>
      </c>
      <c r="C3169" t="s">
        <v>1806</v>
      </c>
      <c r="D3169" s="1">
        <v>38944</v>
      </c>
      <c r="E3169" t="s">
        <v>140</v>
      </c>
      <c r="F3169">
        <v>0</v>
      </c>
      <c r="G3169" t="s">
        <v>109</v>
      </c>
      <c r="H3169">
        <v>-16.25</v>
      </c>
      <c r="I3169">
        <v>53</v>
      </c>
      <c r="J3169">
        <v>-11.69</v>
      </c>
      <c r="K3169">
        <v>76</v>
      </c>
      <c r="L3169">
        <v>17.28</v>
      </c>
      <c r="M3169">
        <v>34</v>
      </c>
      <c r="N3169">
        <v>-44.64</v>
      </c>
      <c r="O3169">
        <v>52</v>
      </c>
      <c r="P3169">
        <v>19.920000000000002</v>
      </c>
      <c r="Q3169">
        <v>64</v>
      </c>
      <c r="R3169">
        <v>5.86</v>
      </c>
      <c r="S3169">
        <v>38</v>
      </c>
      <c r="T3169">
        <v>6.13</v>
      </c>
      <c r="U3169">
        <v>42</v>
      </c>
      <c r="V3169">
        <v>-9.11</v>
      </c>
      <c r="W3169">
        <v>33</v>
      </c>
      <c r="X3169" t="s">
        <v>94</v>
      </c>
      <c r="Y3169" t="s">
        <v>1756</v>
      </c>
      <c r="Z3169">
        <v>0</v>
      </c>
      <c r="AA3169" t="s">
        <v>139</v>
      </c>
      <c r="AB3169" t="s">
        <v>1807</v>
      </c>
      <c r="AC3169">
        <v>0</v>
      </c>
      <c r="AD3169">
        <v>0</v>
      </c>
      <c r="AE3169">
        <v>76</v>
      </c>
      <c r="AF3169">
        <v>-86.06</v>
      </c>
      <c r="AG3169">
        <v>-6.63</v>
      </c>
      <c r="AH3169">
        <v>-0.96</v>
      </c>
      <c r="AI3169">
        <v>-0.05</v>
      </c>
      <c r="AJ3169">
        <v>0.03</v>
      </c>
      <c r="AK3169">
        <v>34</v>
      </c>
      <c r="AL3169">
        <v>12</v>
      </c>
      <c r="AM3169">
        <v>8</v>
      </c>
      <c r="AN3169">
        <v>-1.57</v>
      </c>
      <c r="AO3169">
        <v>-0.2</v>
      </c>
      <c r="AP3169">
        <v>21</v>
      </c>
      <c r="AQ3169">
        <v>0</v>
      </c>
      <c r="AR3169">
        <v>12.41</v>
      </c>
      <c r="AS3169">
        <v>38</v>
      </c>
      <c r="AT3169">
        <v>5.57</v>
      </c>
      <c r="AU3169">
        <v>42</v>
      </c>
      <c r="AV3169">
        <v>0.77</v>
      </c>
      <c r="AW3169">
        <v>73</v>
      </c>
      <c r="AX3169">
        <v>-0.55000000000000004</v>
      </c>
      <c r="AY3169">
        <v>43</v>
      </c>
      <c r="AZ3169">
        <v>6.05</v>
      </c>
      <c r="BA3169">
        <v>26</v>
      </c>
      <c r="BB3169">
        <v>4.28</v>
      </c>
      <c r="BC3169">
        <v>25</v>
      </c>
      <c r="BD3169">
        <v>-0.01</v>
      </c>
      <c r="BE3169">
        <v>-0.02</v>
      </c>
      <c r="BF3169">
        <v>-0.08</v>
      </c>
      <c r="BG3169">
        <v>46</v>
      </c>
      <c r="BH3169">
        <v>-0.39</v>
      </c>
      <c r="BI3169">
        <v>-15.73</v>
      </c>
      <c r="BJ3169">
        <v>0</v>
      </c>
      <c r="BK3169">
        <v>0</v>
      </c>
      <c r="BL3169">
        <v>-0.9</v>
      </c>
      <c r="BM3169">
        <v>3.04</v>
      </c>
      <c r="BN3169">
        <v>-1.83</v>
      </c>
      <c r="BO3169">
        <v>-2.84</v>
      </c>
      <c r="BP3169">
        <v>4.37</v>
      </c>
      <c r="BQ3169">
        <v>-2.56</v>
      </c>
      <c r="BR3169">
        <v>-2.85</v>
      </c>
      <c r="BS3169">
        <v>-0.5</v>
      </c>
      <c r="BT3169">
        <v>2.66</v>
      </c>
      <c r="BU3169">
        <v>-3.35</v>
      </c>
      <c r="BV3169">
        <v>-3.94</v>
      </c>
      <c r="BW3169">
        <v>-3.03</v>
      </c>
      <c r="BX3169">
        <v>-2.59</v>
      </c>
      <c r="BY3169">
        <v>-2.2999999999999998</v>
      </c>
      <c r="BZ3169">
        <v>1.36</v>
      </c>
      <c r="CA3169">
        <v>-2.42</v>
      </c>
      <c r="CB3169">
        <v>-3.14</v>
      </c>
      <c r="CC3169">
        <v>-0.34</v>
      </c>
      <c r="CD3169">
        <v>3.68</v>
      </c>
      <c r="CE3169">
        <v>-2.83</v>
      </c>
      <c r="CF3169">
        <v>-1.2</v>
      </c>
      <c r="CG3169">
        <v>0</v>
      </c>
      <c r="CH3169">
        <v>-2.5499999999999998</v>
      </c>
      <c r="CI3169">
        <v>0</v>
      </c>
      <c r="CJ3169">
        <v>8.6</v>
      </c>
      <c r="CK3169">
        <v>67</v>
      </c>
      <c r="CL3169">
        <v>0.18</v>
      </c>
      <c r="CM3169">
        <v>62</v>
      </c>
      <c r="CN3169">
        <v>-0.52</v>
      </c>
      <c r="CO3169">
        <v>59</v>
      </c>
      <c r="CP3169">
        <v>0.7</v>
      </c>
      <c r="CQ3169">
        <v>53</v>
      </c>
      <c r="CR3169">
        <v>0</v>
      </c>
      <c r="CS3169">
        <v>0</v>
      </c>
      <c r="CT3169">
        <v>5.5</v>
      </c>
      <c r="CU3169">
        <v>42</v>
      </c>
      <c r="CV3169">
        <v>0.03</v>
      </c>
      <c r="CW3169">
        <v>18</v>
      </c>
      <c r="CX3169" t="s">
        <v>1808</v>
      </c>
    </row>
    <row r="3170" spans="1:102" x14ac:dyDescent="0.3">
      <c r="A3170" t="str">
        <f>HYPERLINK("https://webapp.icbf.com/v2/app/bull-search/view/77859652","BGF")</f>
        <v>BGF</v>
      </c>
      <c r="B3170" t="s">
        <v>6628</v>
      </c>
      <c r="C3170" t="s">
        <v>6629</v>
      </c>
      <c r="D3170" s="1">
        <v>33097</v>
      </c>
      <c r="E3170" t="s">
        <v>92</v>
      </c>
      <c r="F3170">
        <v>88</v>
      </c>
      <c r="G3170" t="s">
        <v>93</v>
      </c>
      <c r="H3170">
        <v>-16.28</v>
      </c>
      <c r="I3170">
        <v>56</v>
      </c>
      <c r="J3170">
        <v>-11.59</v>
      </c>
      <c r="K3170">
        <v>69</v>
      </c>
      <c r="L3170">
        <v>-14.08</v>
      </c>
      <c r="M3170">
        <v>53</v>
      </c>
      <c r="N3170">
        <v>15.29</v>
      </c>
      <c r="O3170">
        <v>43</v>
      </c>
      <c r="P3170">
        <v>-6.64</v>
      </c>
      <c r="Q3170">
        <v>54</v>
      </c>
      <c r="R3170">
        <v>-12.7</v>
      </c>
      <c r="S3170">
        <v>53</v>
      </c>
      <c r="T3170">
        <v>14.64</v>
      </c>
      <c r="U3170">
        <v>44</v>
      </c>
      <c r="V3170">
        <v>-1.2</v>
      </c>
      <c r="W3170">
        <v>39</v>
      </c>
      <c r="X3170" t="s">
        <v>94</v>
      </c>
      <c r="Y3170" t="s">
        <v>95</v>
      </c>
      <c r="Z3170" t="s">
        <v>96</v>
      </c>
      <c r="AA3170" t="s">
        <v>537</v>
      </c>
      <c r="AB3170" t="s">
        <v>6630</v>
      </c>
      <c r="AC3170">
        <v>12</v>
      </c>
      <c r="AD3170">
        <v>11</v>
      </c>
      <c r="AE3170">
        <v>69</v>
      </c>
      <c r="AF3170">
        <v>-99.11</v>
      </c>
      <c r="AG3170">
        <v>-1.21</v>
      </c>
      <c r="AH3170">
        <v>-3.06</v>
      </c>
      <c r="AI3170">
        <v>0.04</v>
      </c>
      <c r="AJ3170">
        <v>0.01</v>
      </c>
      <c r="AK3170">
        <v>53</v>
      </c>
      <c r="AL3170">
        <v>46</v>
      </c>
      <c r="AM3170">
        <v>30</v>
      </c>
      <c r="AN3170">
        <v>1</v>
      </c>
      <c r="AO3170">
        <v>-0.12</v>
      </c>
      <c r="AP3170">
        <v>7</v>
      </c>
      <c r="AQ3170">
        <v>0</v>
      </c>
      <c r="AR3170">
        <v>6.2</v>
      </c>
      <c r="AS3170">
        <v>28</v>
      </c>
      <c r="AT3170">
        <v>3.15</v>
      </c>
      <c r="AU3170">
        <v>36</v>
      </c>
      <c r="AV3170">
        <v>-0.91</v>
      </c>
      <c r="AW3170">
        <v>55</v>
      </c>
      <c r="AX3170">
        <v>-0.02</v>
      </c>
      <c r="AY3170">
        <v>45</v>
      </c>
      <c r="AZ3170">
        <v>5.37</v>
      </c>
      <c r="BA3170">
        <v>25</v>
      </c>
      <c r="BB3170">
        <v>4.33</v>
      </c>
      <c r="BC3170">
        <v>30</v>
      </c>
      <c r="BD3170">
        <v>0.03</v>
      </c>
      <c r="BE3170">
        <v>0.08</v>
      </c>
      <c r="BF3170">
        <v>0.09</v>
      </c>
      <c r="BG3170">
        <v>72</v>
      </c>
      <c r="BH3170">
        <v>-7.0000000000000007E-2</v>
      </c>
      <c r="BI3170">
        <v>-4.22</v>
      </c>
      <c r="BJ3170">
        <v>11</v>
      </c>
      <c r="BK3170">
        <v>7</v>
      </c>
      <c r="BL3170">
        <v>-1.17</v>
      </c>
      <c r="BM3170">
        <v>0.85</v>
      </c>
      <c r="BN3170">
        <v>-1.22</v>
      </c>
      <c r="BO3170">
        <v>-1.61</v>
      </c>
      <c r="BP3170">
        <v>0.15</v>
      </c>
      <c r="BQ3170">
        <v>-0.34</v>
      </c>
      <c r="BR3170">
        <v>0.57999999999999996</v>
      </c>
      <c r="BS3170">
        <v>-0.27</v>
      </c>
      <c r="BT3170">
        <v>-1.06</v>
      </c>
      <c r="BU3170">
        <v>-0.75</v>
      </c>
      <c r="BV3170">
        <v>-0.67</v>
      </c>
      <c r="BW3170">
        <v>-0.64</v>
      </c>
      <c r="BX3170">
        <v>-0.37</v>
      </c>
      <c r="BY3170">
        <v>-1.93</v>
      </c>
      <c r="BZ3170">
        <v>1.62</v>
      </c>
      <c r="CA3170">
        <v>-1</v>
      </c>
      <c r="CB3170">
        <v>-1.03</v>
      </c>
      <c r="CC3170">
        <v>-0.65</v>
      </c>
      <c r="CD3170">
        <v>1.1299999999999999</v>
      </c>
      <c r="CE3170">
        <v>-1.61</v>
      </c>
      <c r="CF3170">
        <v>-1.72</v>
      </c>
      <c r="CG3170">
        <v>0</v>
      </c>
      <c r="CH3170">
        <v>-1.26</v>
      </c>
      <c r="CI3170">
        <v>0</v>
      </c>
      <c r="CJ3170">
        <v>-2.7</v>
      </c>
      <c r="CK3170">
        <v>57</v>
      </c>
      <c r="CL3170">
        <v>-0.35</v>
      </c>
      <c r="CM3170">
        <v>50</v>
      </c>
      <c r="CN3170">
        <v>-0.09</v>
      </c>
      <c r="CO3170">
        <v>46</v>
      </c>
      <c r="CP3170">
        <v>-2.4</v>
      </c>
      <c r="CQ3170">
        <v>56</v>
      </c>
      <c r="CR3170">
        <v>0</v>
      </c>
      <c r="CS3170">
        <v>0</v>
      </c>
      <c r="CT3170">
        <v>-6</v>
      </c>
      <c r="CU3170">
        <v>44</v>
      </c>
      <c r="CV3170">
        <v>7.0000000000000007E-2</v>
      </c>
      <c r="CW3170">
        <v>15</v>
      </c>
      <c r="CX3170" t="s">
        <v>1353</v>
      </c>
    </row>
    <row r="3171" spans="1:102" x14ac:dyDescent="0.3">
      <c r="A3171" t="str">
        <f>HYPERLINK("https://webapp.icbf.com/v2/app/bull-search/view/366626578","PVT")</f>
        <v>PVT</v>
      </c>
      <c r="B3171" t="s">
        <v>8777</v>
      </c>
      <c r="C3171" t="s">
        <v>8778</v>
      </c>
      <c r="D3171" s="1">
        <v>38173</v>
      </c>
      <c r="E3171" t="s">
        <v>92</v>
      </c>
      <c r="F3171">
        <v>100</v>
      </c>
      <c r="G3171" t="s">
        <v>93</v>
      </c>
      <c r="H3171">
        <v>-16.420000000000002</v>
      </c>
      <c r="I3171">
        <v>80</v>
      </c>
      <c r="J3171">
        <v>58.76</v>
      </c>
      <c r="K3171">
        <v>94</v>
      </c>
      <c r="L3171">
        <v>-74.95</v>
      </c>
      <c r="M3171">
        <v>75</v>
      </c>
      <c r="N3171">
        <v>2.0499999999999998</v>
      </c>
      <c r="O3171">
        <v>74</v>
      </c>
      <c r="P3171">
        <v>6.56</v>
      </c>
      <c r="Q3171">
        <v>74</v>
      </c>
      <c r="R3171">
        <v>-0.39</v>
      </c>
      <c r="S3171">
        <v>75</v>
      </c>
      <c r="T3171">
        <v>3.24</v>
      </c>
      <c r="U3171">
        <v>65</v>
      </c>
      <c r="V3171">
        <v>-11.69</v>
      </c>
      <c r="W3171">
        <v>70</v>
      </c>
      <c r="X3171" t="s">
        <v>94</v>
      </c>
      <c r="Y3171" t="s">
        <v>1164</v>
      </c>
      <c r="Z3171" t="s">
        <v>96</v>
      </c>
      <c r="AA3171" t="s">
        <v>771</v>
      </c>
      <c r="AB3171" t="s">
        <v>8779</v>
      </c>
      <c r="AC3171">
        <v>26</v>
      </c>
      <c r="AD3171">
        <v>20</v>
      </c>
      <c r="AE3171">
        <v>94</v>
      </c>
      <c r="AF3171">
        <v>231.95</v>
      </c>
      <c r="AG3171">
        <v>6.71</v>
      </c>
      <c r="AH3171">
        <v>11.17</v>
      </c>
      <c r="AI3171">
        <v>-0.04</v>
      </c>
      <c r="AJ3171">
        <v>0.06</v>
      </c>
      <c r="AK3171">
        <v>75</v>
      </c>
      <c r="AL3171">
        <v>21</v>
      </c>
      <c r="AM3171">
        <v>18</v>
      </c>
      <c r="AN3171">
        <v>3.09</v>
      </c>
      <c r="AO3171">
        <v>-2.9</v>
      </c>
      <c r="AP3171">
        <v>30</v>
      </c>
      <c r="AQ3171">
        <v>0</v>
      </c>
      <c r="AR3171">
        <v>8.99</v>
      </c>
      <c r="AS3171">
        <v>60</v>
      </c>
      <c r="AT3171">
        <v>3.59</v>
      </c>
      <c r="AU3171">
        <v>75</v>
      </c>
      <c r="AV3171">
        <v>-1.81</v>
      </c>
      <c r="AW3171">
        <v>86</v>
      </c>
      <c r="AX3171">
        <v>0.51</v>
      </c>
      <c r="AY3171">
        <v>59</v>
      </c>
      <c r="AZ3171">
        <v>7.06</v>
      </c>
      <c r="BA3171">
        <v>52</v>
      </c>
      <c r="BB3171">
        <v>5.36</v>
      </c>
      <c r="BC3171">
        <v>56</v>
      </c>
      <c r="BD3171">
        <v>0</v>
      </c>
      <c r="BE3171">
        <v>0.01</v>
      </c>
      <c r="BF3171">
        <v>-0.01</v>
      </c>
      <c r="BG3171">
        <v>83</v>
      </c>
      <c r="BH3171">
        <v>-7.0000000000000007E-2</v>
      </c>
      <c r="BI3171">
        <v>29.62</v>
      </c>
      <c r="BJ3171">
        <v>3</v>
      </c>
      <c r="BK3171">
        <v>3</v>
      </c>
      <c r="BL3171">
        <v>-0.2</v>
      </c>
      <c r="BM3171">
        <v>0.21</v>
      </c>
      <c r="BN3171">
        <v>0.28000000000000003</v>
      </c>
      <c r="BO3171">
        <v>-0.15</v>
      </c>
      <c r="BP3171">
        <v>1.1299999999999999</v>
      </c>
      <c r="BQ3171">
        <v>-0.79</v>
      </c>
      <c r="BR3171">
        <v>-1.66</v>
      </c>
      <c r="BS3171">
        <v>-0.89</v>
      </c>
      <c r="BT3171">
        <v>0.74</v>
      </c>
      <c r="BU3171">
        <v>-1.3</v>
      </c>
      <c r="BV3171">
        <v>-0.33</v>
      </c>
      <c r="BW3171">
        <v>-0.48</v>
      </c>
      <c r="BX3171">
        <v>-2.38</v>
      </c>
      <c r="BY3171">
        <v>0.66</v>
      </c>
      <c r="BZ3171">
        <v>-0.99</v>
      </c>
      <c r="CA3171">
        <v>-0.99</v>
      </c>
      <c r="CB3171">
        <v>-0.56000000000000005</v>
      </c>
      <c r="CC3171">
        <v>-0.99</v>
      </c>
      <c r="CD3171">
        <v>0.2</v>
      </c>
      <c r="CE3171">
        <v>-0.45</v>
      </c>
      <c r="CF3171">
        <v>-0.57999999999999996</v>
      </c>
      <c r="CG3171">
        <v>0</v>
      </c>
      <c r="CH3171">
        <v>7.0000000000000007E-2</v>
      </c>
      <c r="CI3171">
        <v>0</v>
      </c>
      <c r="CJ3171">
        <v>6.4</v>
      </c>
      <c r="CK3171">
        <v>75</v>
      </c>
      <c r="CL3171">
        <v>-0.51</v>
      </c>
      <c r="CM3171">
        <v>72</v>
      </c>
      <c r="CN3171">
        <v>-0.23</v>
      </c>
      <c r="CO3171">
        <v>69</v>
      </c>
      <c r="CP3171">
        <v>2</v>
      </c>
      <c r="CQ3171">
        <v>75</v>
      </c>
      <c r="CR3171">
        <v>0</v>
      </c>
      <c r="CS3171">
        <v>0</v>
      </c>
      <c r="CT3171">
        <v>9.4</v>
      </c>
      <c r="CU3171">
        <v>65</v>
      </c>
      <c r="CV3171">
        <v>0.2</v>
      </c>
      <c r="CW3171">
        <v>42</v>
      </c>
      <c r="CX3171" t="s">
        <v>174</v>
      </c>
    </row>
    <row r="3172" spans="1:102" x14ac:dyDescent="0.3">
      <c r="A3172" t="str">
        <f>HYPERLINK("https://webapp.icbf.com/v2/app/bull-search/view/403252572","NNI")</f>
        <v>NNI</v>
      </c>
      <c r="B3172" t="s">
        <v>7445</v>
      </c>
      <c r="C3172" t="s">
        <v>7446</v>
      </c>
      <c r="D3172" s="1">
        <v>35538</v>
      </c>
      <c r="E3172" t="s">
        <v>140</v>
      </c>
      <c r="F3172">
        <v>0</v>
      </c>
      <c r="G3172" t="s">
        <v>93</v>
      </c>
      <c r="H3172">
        <v>-16.46</v>
      </c>
      <c r="I3172">
        <v>91</v>
      </c>
      <c r="J3172">
        <v>11.78</v>
      </c>
      <c r="K3172">
        <v>98</v>
      </c>
      <c r="L3172">
        <v>-11.73</v>
      </c>
      <c r="M3172">
        <v>83</v>
      </c>
      <c r="N3172">
        <v>-29.41</v>
      </c>
      <c r="O3172">
        <v>89</v>
      </c>
      <c r="P3172">
        <v>16.850000000000001</v>
      </c>
      <c r="Q3172">
        <v>97</v>
      </c>
      <c r="R3172">
        <v>3.25</v>
      </c>
      <c r="S3172">
        <v>87</v>
      </c>
      <c r="T3172">
        <v>2.8</v>
      </c>
      <c r="U3172">
        <v>91</v>
      </c>
      <c r="V3172">
        <v>-10</v>
      </c>
      <c r="W3172">
        <v>90</v>
      </c>
      <c r="X3172" t="s">
        <v>94</v>
      </c>
      <c r="Y3172" t="s">
        <v>95</v>
      </c>
      <c r="Z3172">
        <v>0</v>
      </c>
      <c r="AA3172" t="s">
        <v>141</v>
      </c>
      <c r="AB3172" t="s">
        <v>7447</v>
      </c>
      <c r="AC3172">
        <v>144</v>
      </c>
      <c r="AD3172">
        <v>36</v>
      </c>
      <c r="AE3172">
        <v>98</v>
      </c>
      <c r="AF3172">
        <v>124.79</v>
      </c>
      <c r="AG3172">
        <v>-3.07</v>
      </c>
      <c r="AH3172">
        <v>5</v>
      </c>
      <c r="AI3172">
        <v>-0.14000000000000001</v>
      </c>
      <c r="AJ3172">
        <v>0.01</v>
      </c>
      <c r="AK3172">
        <v>83</v>
      </c>
      <c r="AL3172">
        <v>194</v>
      </c>
      <c r="AM3172">
        <v>66</v>
      </c>
      <c r="AN3172">
        <v>-0.5</v>
      </c>
      <c r="AO3172">
        <v>-1.45</v>
      </c>
      <c r="AP3172">
        <v>221</v>
      </c>
      <c r="AQ3172">
        <v>4</v>
      </c>
      <c r="AR3172">
        <v>10.68</v>
      </c>
      <c r="AS3172">
        <v>80</v>
      </c>
      <c r="AT3172">
        <v>4.97</v>
      </c>
      <c r="AU3172">
        <v>89</v>
      </c>
      <c r="AV3172">
        <v>1.4</v>
      </c>
      <c r="AW3172">
        <v>96</v>
      </c>
      <c r="AX3172">
        <v>-0.34</v>
      </c>
      <c r="AY3172">
        <v>90</v>
      </c>
      <c r="AZ3172">
        <v>4.5</v>
      </c>
      <c r="BA3172">
        <v>72</v>
      </c>
      <c r="BB3172">
        <v>3.23</v>
      </c>
      <c r="BC3172">
        <v>78</v>
      </c>
      <c r="BD3172">
        <v>-0.01</v>
      </c>
      <c r="BE3172">
        <v>-0.02</v>
      </c>
      <c r="BF3172">
        <v>-0.02</v>
      </c>
      <c r="BG3172">
        <v>92</v>
      </c>
      <c r="BH3172">
        <v>-0.34</v>
      </c>
      <c r="BI3172">
        <v>-7.06</v>
      </c>
      <c r="BJ3172">
        <v>0</v>
      </c>
      <c r="BK3172">
        <v>0</v>
      </c>
      <c r="BL3172">
        <v>-0.76</v>
      </c>
      <c r="BM3172">
        <v>2.77</v>
      </c>
      <c r="BN3172">
        <v>-1.67</v>
      </c>
      <c r="BO3172">
        <v>-2.56</v>
      </c>
      <c r="BP3172">
        <v>3.95</v>
      </c>
      <c r="BQ3172">
        <v>-2.2799999999999998</v>
      </c>
      <c r="BR3172">
        <v>-2.58</v>
      </c>
      <c r="BS3172">
        <v>-0.65</v>
      </c>
      <c r="BT3172">
        <v>2.4900000000000002</v>
      </c>
      <c r="BU3172">
        <v>-3</v>
      </c>
      <c r="BV3172">
        <v>-3.55</v>
      </c>
      <c r="BW3172">
        <v>-2.68</v>
      </c>
      <c r="BX3172">
        <v>-2.13</v>
      </c>
      <c r="BY3172">
        <v>-2.3199999999999998</v>
      </c>
      <c r="BZ3172">
        <v>0.94</v>
      </c>
      <c r="CA3172">
        <v>-2.23</v>
      </c>
      <c r="CB3172">
        <v>-2.81</v>
      </c>
      <c r="CC3172">
        <v>-0.48</v>
      </c>
      <c r="CD3172">
        <v>3.34</v>
      </c>
      <c r="CE3172">
        <v>-2.4900000000000002</v>
      </c>
      <c r="CF3172">
        <v>-0.99</v>
      </c>
      <c r="CG3172">
        <v>0</v>
      </c>
      <c r="CH3172">
        <v>-2.2799999999999998</v>
      </c>
      <c r="CI3172">
        <v>0</v>
      </c>
      <c r="CJ3172">
        <v>6</v>
      </c>
      <c r="CK3172">
        <v>97</v>
      </c>
      <c r="CL3172">
        <v>0.38</v>
      </c>
      <c r="CM3172">
        <v>97</v>
      </c>
      <c r="CN3172">
        <v>-0.37</v>
      </c>
      <c r="CO3172">
        <v>96</v>
      </c>
      <c r="CP3172">
        <v>2.1</v>
      </c>
      <c r="CQ3172">
        <v>95</v>
      </c>
      <c r="CR3172">
        <v>0</v>
      </c>
      <c r="CS3172">
        <v>0</v>
      </c>
      <c r="CT3172">
        <v>10</v>
      </c>
      <c r="CU3172">
        <v>91</v>
      </c>
      <c r="CV3172">
        <v>0.08</v>
      </c>
      <c r="CW3172">
        <v>45</v>
      </c>
      <c r="CX3172" t="s">
        <v>1296</v>
      </c>
    </row>
    <row r="3173" spans="1:102" x14ac:dyDescent="0.3">
      <c r="A3173" t="str">
        <f>HYPERLINK("https://webapp.icbf.com/v2/app/bull-search/view/146356370","IOG")</f>
        <v>IOG</v>
      </c>
      <c r="B3173" t="s">
        <v>14121</v>
      </c>
      <c r="C3173" t="s">
        <v>14122</v>
      </c>
      <c r="D3173" s="1">
        <v>33970</v>
      </c>
      <c r="E3173" t="s">
        <v>140</v>
      </c>
      <c r="F3173">
        <v>0</v>
      </c>
      <c r="G3173" t="s">
        <v>109</v>
      </c>
      <c r="H3173">
        <v>-16.47</v>
      </c>
      <c r="I3173">
        <v>56</v>
      </c>
      <c r="J3173">
        <v>-55.88</v>
      </c>
      <c r="K3173">
        <v>75</v>
      </c>
      <c r="L3173">
        <v>36.130000000000003</v>
      </c>
      <c r="M3173">
        <v>38</v>
      </c>
      <c r="N3173">
        <v>-22.43</v>
      </c>
      <c r="O3173">
        <v>49</v>
      </c>
      <c r="P3173">
        <v>14.23</v>
      </c>
      <c r="Q3173">
        <v>76</v>
      </c>
      <c r="R3173">
        <v>7.76</v>
      </c>
      <c r="S3173">
        <v>40</v>
      </c>
      <c r="T3173">
        <v>14.64</v>
      </c>
      <c r="U3173">
        <v>70</v>
      </c>
      <c r="V3173">
        <v>-10.92</v>
      </c>
      <c r="W3173">
        <v>25</v>
      </c>
      <c r="X3173" t="s">
        <v>102</v>
      </c>
      <c r="Y3173" t="s">
        <v>95</v>
      </c>
      <c r="Z3173">
        <v>0</v>
      </c>
      <c r="AA3173" t="s">
        <v>14123</v>
      </c>
      <c r="AB3173" t="s">
        <v>14124</v>
      </c>
      <c r="AC3173">
        <v>0</v>
      </c>
      <c r="AD3173">
        <v>0</v>
      </c>
      <c r="AE3173">
        <v>75</v>
      </c>
      <c r="AF3173">
        <v>-217.15</v>
      </c>
      <c r="AG3173">
        <v>-13.22</v>
      </c>
      <c r="AH3173">
        <v>-8.15</v>
      </c>
      <c r="AI3173">
        <v>-0.08</v>
      </c>
      <c r="AJ3173">
        <v>-0.01</v>
      </c>
      <c r="AK3173">
        <v>38</v>
      </c>
      <c r="AL3173">
        <v>18</v>
      </c>
      <c r="AM3173">
        <v>14</v>
      </c>
      <c r="AN3173">
        <v>-2.82</v>
      </c>
      <c r="AO3173">
        <v>0.05</v>
      </c>
      <c r="AP3173">
        <v>13</v>
      </c>
      <c r="AQ3173">
        <v>0</v>
      </c>
      <c r="AR3173">
        <v>7.61</v>
      </c>
      <c r="AS3173">
        <v>21</v>
      </c>
      <c r="AT3173">
        <v>4.01</v>
      </c>
      <c r="AU3173">
        <v>38</v>
      </c>
      <c r="AV3173">
        <v>2.5499999999999998</v>
      </c>
      <c r="AW3173">
        <v>69</v>
      </c>
      <c r="AX3173">
        <v>-0.8</v>
      </c>
      <c r="AY3173">
        <v>51</v>
      </c>
      <c r="AZ3173">
        <v>6.23</v>
      </c>
      <c r="BA3173">
        <v>17</v>
      </c>
      <c r="BB3173">
        <v>4.21</v>
      </c>
      <c r="BC3173">
        <v>27</v>
      </c>
      <c r="BD3173">
        <v>0.01</v>
      </c>
      <c r="BE3173">
        <v>-0.05</v>
      </c>
      <c r="BF3173">
        <v>-0.1</v>
      </c>
      <c r="BG3173">
        <v>50</v>
      </c>
      <c r="BH3173">
        <v>-0.15</v>
      </c>
      <c r="BI3173">
        <v>17.88</v>
      </c>
      <c r="BJ3173">
        <v>0</v>
      </c>
      <c r="BK3173">
        <v>0</v>
      </c>
      <c r="BL3173">
        <v>-0.94</v>
      </c>
      <c r="BM3173">
        <v>3.17</v>
      </c>
      <c r="BN3173">
        <v>-1.6</v>
      </c>
      <c r="BO3173">
        <v>-2.8</v>
      </c>
      <c r="BP3173">
        <v>3.88</v>
      </c>
      <c r="BQ3173">
        <v>-1.98</v>
      </c>
      <c r="BR3173">
        <v>-2.3199999999999998</v>
      </c>
      <c r="BS3173">
        <v>-0.3</v>
      </c>
      <c r="BT3173">
        <v>2.19</v>
      </c>
      <c r="BU3173">
        <v>-3.34</v>
      </c>
      <c r="BV3173">
        <v>-3.76</v>
      </c>
      <c r="BW3173">
        <v>-2.91</v>
      </c>
      <c r="BX3173">
        <v>-2.68</v>
      </c>
      <c r="BY3173">
        <v>-2.06</v>
      </c>
      <c r="BZ3173">
        <v>1.36</v>
      </c>
      <c r="CA3173">
        <v>-2.46</v>
      </c>
      <c r="CB3173">
        <v>-3.11</v>
      </c>
      <c r="CC3173">
        <v>-0.43</v>
      </c>
      <c r="CD3173">
        <v>3.63</v>
      </c>
      <c r="CE3173">
        <v>-2.82</v>
      </c>
      <c r="CF3173">
        <v>-1.1200000000000001</v>
      </c>
      <c r="CG3173">
        <v>0</v>
      </c>
      <c r="CH3173">
        <v>-2.59</v>
      </c>
      <c r="CI3173">
        <v>0</v>
      </c>
      <c r="CJ3173">
        <v>3</v>
      </c>
      <c r="CK3173">
        <v>79</v>
      </c>
      <c r="CL3173">
        <v>0.75</v>
      </c>
      <c r="CM3173">
        <v>74</v>
      </c>
      <c r="CN3173">
        <v>-0.18</v>
      </c>
      <c r="CO3173">
        <v>71</v>
      </c>
      <c r="CP3173">
        <v>1.6</v>
      </c>
      <c r="CQ3173">
        <v>71</v>
      </c>
      <c r="CR3173">
        <v>0</v>
      </c>
      <c r="CS3173">
        <v>0</v>
      </c>
      <c r="CT3173">
        <v>-6</v>
      </c>
      <c r="CU3173">
        <v>70</v>
      </c>
      <c r="CV3173">
        <v>-0.34</v>
      </c>
      <c r="CW3173">
        <v>21</v>
      </c>
      <c r="CX3173" t="s">
        <v>14125</v>
      </c>
    </row>
    <row r="3174" spans="1:102" x14ac:dyDescent="0.3">
      <c r="A3174" t="str">
        <f>HYPERLINK("https://webapp.icbf.com/v2/app/bull-search/view/77856028","KSD")</f>
        <v>KSD</v>
      </c>
      <c r="B3174" t="s">
        <v>14401</v>
      </c>
      <c r="C3174" t="s">
        <v>14402</v>
      </c>
      <c r="D3174" s="1">
        <v>33656</v>
      </c>
      <c r="E3174" t="s">
        <v>92</v>
      </c>
      <c r="F3174">
        <v>88</v>
      </c>
      <c r="G3174" t="s">
        <v>93</v>
      </c>
      <c r="H3174">
        <v>-16.5</v>
      </c>
      <c r="I3174">
        <v>88</v>
      </c>
      <c r="J3174">
        <v>39.380000000000003</v>
      </c>
      <c r="K3174">
        <v>98</v>
      </c>
      <c r="L3174">
        <v>-49.03</v>
      </c>
      <c r="M3174">
        <v>79</v>
      </c>
      <c r="N3174">
        <v>20.82</v>
      </c>
      <c r="O3174">
        <v>86</v>
      </c>
      <c r="P3174">
        <v>-2.1800000000000002</v>
      </c>
      <c r="Q3174">
        <v>96</v>
      </c>
      <c r="R3174">
        <v>-18.850000000000001</v>
      </c>
      <c r="S3174">
        <v>80</v>
      </c>
      <c r="T3174">
        <v>1.99</v>
      </c>
      <c r="U3174">
        <v>90</v>
      </c>
      <c r="V3174">
        <v>-8.6300000000000008</v>
      </c>
      <c r="W3174">
        <v>63</v>
      </c>
      <c r="X3174" t="s">
        <v>94</v>
      </c>
      <c r="Y3174" t="s">
        <v>95</v>
      </c>
      <c r="Z3174" t="s">
        <v>96</v>
      </c>
      <c r="AA3174" t="s">
        <v>118</v>
      </c>
      <c r="AB3174" t="s">
        <v>4346</v>
      </c>
      <c r="AC3174">
        <v>201</v>
      </c>
      <c r="AD3174">
        <v>145</v>
      </c>
      <c r="AE3174">
        <v>98</v>
      </c>
      <c r="AF3174">
        <v>292.77</v>
      </c>
      <c r="AG3174">
        <v>8.9</v>
      </c>
      <c r="AH3174">
        <v>8.0299999999999994</v>
      </c>
      <c r="AI3174">
        <v>-0.04</v>
      </c>
      <c r="AJ3174">
        <v>-0.03</v>
      </c>
      <c r="AK3174">
        <v>79</v>
      </c>
      <c r="AL3174">
        <v>244</v>
      </c>
      <c r="AM3174">
        <v>181</v>
      </c>
      <c r="AN3174">
        <v>4.22</v>
      </c>
      <c r="AO3174">
        <v>0.33</v>
      </c>
      <c r="AP3174">
        <v>139</v>
      </c>
      <c r="AQ3174">
        <v>0</v>
      </c>
      <c r="AR3174">
        <v>6.74</v>
      </c>
      <c r="AS3174">
        <v>67</v>
      </c>
      <c r="AT3174">
        <v>3.14</v>
      </c>
      <c r="AU3174">
        <v>84</v>
      </c>
      <c r="AV3174">
        <v>-1.69</v>
      </c>
      <c r="AW3174">
        <v>96</v>
      </c>
      <c r="AX3174">
        <v>-0.03</v>
      </c>
      <c r="AY3174">
        <v>89</v>
      </c>
      <c r="AZ3174">
        <v>5.12</v>
      </c>
      <c r="BA3174">
        <v>62</v>
      </c>
      <c r="BB3174">
        <v>4.26</v>
      </c>
      <c r="BC3174">
        <v>75</v>
      </c>
      <c r="BD3174">
        <v>0.08</v>
      </c>
      <c r="BE3174">
        <v>0.1</v>
      </c>
      <c r="BF3174">
        <v>0.11</v>
      </c>
      <c r="BG3174">
        <v>92</v>
      </c>
      <c r="BH3174">
        <v>-0.22</v>
      </c>
      <c r="BI3174">
        <v>2.38</v>
      </c>
      <c r="BJ3174">
        <v>13</v>
      </c>
      <c r="BK3174">
        <v>13</v>
      </c>
      <c r="BL3174">
        <v>0.49</v>
      </c>
      <c r="BM3174">
        <v>0.82</v>
      </c>
      <c r="BN3174">
        <v>0.67</v>
      </c>
      <c r="BO3174">
        <v>-0.14000000000000001</v>
      </c>
      <c r="BP3174">
        <v>0.49</v>
      </c>
      <c r="BQ3174">
        <v>-0.23</v>
      </c>
      <c r="BR3174">
        <v>-2.2400000000000002</v>
      </c>
      <c r="BS3174">
        <v>0.79</v>
      </c>
      <c r="BT3174">
        <v>1.31</v>
      </c>
      <c r="BU3174">
        <v>-1.22</v>
      </c>
      <c r="BV3174">
        <v>-1.1499999999999999</v>
      </c>
      <c r="BW3174">
        <v>-0.49</v>
      </c>
      <c r="BX3174">
        <v>-0.75</v>
      </c>
      <c r="BY3174">
        <v>-0.51</v>
      </c>
      <c r="BZ3174">
        <v>-0.88</v>
      </c>
      <c r="CA3174">
        <v>-0.34</v>
      </c>
      <c r="CB3174">
        <v>-0.88</v>
      </c>
      <c r="CC3174">
        <v>0.73</v>
      </c>
      <c r="CD3174">
        <v>0.54</v>
      </c>
      <c r="CE3174">
        <v>-0.03</v>
      </c>
      <c r="CF3174">
        <v>0.51</v>
      </c>
      <c r="CG3174">
        <v>0</v>
      </c>
      <c r="CH3174">
        <v>-0.71</v>
      </c>
      <c r="CI3174">
        <v>0</v>
      </c>
      <c r="CJ3174">
        <v>2.1</v>
      </c>
      <c r="CK3174">
        <v>96</v>
      </c>
      <c r="CL3174">
        <v>-0.78</v>
      </c>
      <c r="CM3174">
        <v>95</v>
      </c>
      <c r="CN3174">
        <v>-0.24</v>
      </c>
      <c r="CO3174">
        <v>95</v>
      </c>
      <c r="CP3174">
        <v>1.1000000000000001</v>
      </c>
      <c r="CQ3174">
        <v>95</v>
      </c>
      <c r="CR3174">
        <v>0</v>
      </c>
      <c r="CS3174">
        <v>0</v>
      </c>
      <c r="CT3174">
        <v>11.1</v>
      </c>
      <c r="CU3174">
        <v>90</v>
      </c>
      <c r="CV3174">
        <v>0.32</v>
      </c>
      <c r="CW3174">
        <v>28</v>
      </c>
      <c r="CX3174" t="s">
        <v>4347</v>
      </c>
    </row>
    <row r="3175" spans="1:102" x14ac:dyDescent="0.3">
      <c r="A3175" t="str">
        <f>HYPERLINK("https://webapp.icbf.com/v2/app/bull-search/view/604328317","S821")</f>
        <v>S821</v>
      </c>
      <c r="B3175" t="s">
        <v>5331</v>
      </c>
      <c r="C3175" t="s">
        <v>5332</v>
      </c>
      <c r="D3175" s="1">
        <v>37939</v>
      </c>
      <c r="E3175" t="s">
        <v>140</v>
      </c>
      <c r="F3175">
        <v>0</v>
      </c>
      <c r="G3175" t="s">
        <v>93</v>
      </c>
      <c r="H3175">
        <v>-16.690000000000001</v>
      </c>
      <c r="I3175">
        <v>80</v>
      </c>
      <c r="J3175">
        <v>-5.28</v>
      </c>
      <c r="K3175">
        <v>96</v>
      </c>
      <c r="L3175">
        <v>38.64</v>
      </c>
      <c r="M3175">
        <v>70</v>
      </c>
      <c r="N3175">
        <v>-51.92</v>
      </c>
      <c r="O3175">
        <v>73</v>
      </c>
      <c r="P3175">
        <v>-3.73</v>
      </c>
      <c r="Q3175">
        <v>88</v>
      </c>
      <c r="R3175">
        <v>10.37</v>
      </c>
      <c r="S3175">
        <v>72</v>
      </c>
      <c r="T3175">
        <v>15.01</v>
      </c>
      <c r="U3175">
        <v>73</v>
      </c>
      <c r="V3175">
        <v>-19.78</v>
      </c>
      <c r="W3175">
        <v>59</v>
      </c>
      <c r="X3175" t="s">
        <v>251</v>
      </c>
      <c r="Y3175" t="s">
        <v>1494</v>
      </c>
      <c r="Z3175">
        <v>0</v>
      </c>
      <c r="AA3175" t="s">
        <v>1021</v>
      </c>
      <c r="AB3175" t="s">
        <v>5333</v>
      </c>
      <c r="AC3175">
        <v>60</v>
      </c>
      <c r="AD3175">
        <v>12</v>
      </c>
      <c r="AE3175">
        <v>96</v>
      </c>
      <c r="AF3175">
        <v>21.63</v>
      </c>
      <c r="AG3175">
        <v>0.83</v>
      </c>
      <c r="AH3175">
        <v>-0.86</v>
      </c>
      <c r="AI3175">
        <v>0</v>
      </c>
      <c r="AJ3175">
        <v>-0.03</v>
      </c>
      <c r="AK3175">
        <v>70</v>
      </c>
      <c r="AL3175">
        <v>59</v>
      </c>
      <c r="AM3175">
        <v>12</v>
      </c>
      <c r="AN3175">
        <v>-1.42</v>
      </c>
      <c r="AO3175">
        <v>1.67</v>
      </c>
      <c r="AP3175">
        <v>31</v>
      </c>
      <c r="AQ3175">
        <v>0</v>
      </c>
      <c r="AR3175">
        <v>11.45</v>
      </c>
      <c r="AS3175">
        <v>58</v>
      </c>
      <c r="AT3175">
        <v>5.69</v>
      </c>
      <c r="AU3175">
        <v>69</v>
      </c>
      <c r="AV3175">
        <v>2.61</v>
      </c>
      <c r="AW3175">
        <v>86</v>
      </c>
      <c r="AX3175">
        <v>-0.57999999999999996</v>
      </c>
      <c r="AY3175">
        <v>73</v>
      </c>
      <c r="AZ3175">
        <v>4.68</v>
      </c>
      <c r="BA3175">
        <v>51</v>
      </c>
      <c r="BB3175">
        <v>3.5</v>
      </c>
      <c r="BC3175">
        <v>53</v>
      </c>
      <c r="BD3175">
        <v>-0.02</v>
      </c>
      <c r="BE3175">
        <v>-0.05</v>
      </c>
      <c r="BF3175">
        <v>-0.11</v>
      </c>
      <c r="BG3175">
        <v>82</v>
      </c>
      <c r="BH3175">
        <v>-0.47</v>
      </c>
      <c r="BI3175">
        <v>9.4499999999999993</v>
      </c>
      <c r="BJ3175">
        <v>0</v>
      </c>
      <c r="BK3175">
        <v>0</v>
      </c>
      <c r="BL3175">
        <v>-0.95</v>
      </c>
      <c r="BM3175">
        <v>3.41</v>
      </c>
      <c r="BN3175">
        <v>-1.82</v>
      </c>
      <c r="BO3175">
        <v>-3.07</v>
      </c>
      <c r="BP3175">
        <v>4.41</v>
      </c>
      <c r="BQ3175">
        <v>-2.39</v>
      </c>
      <c r="BR3175">
        <v>-2.79</v>
      </c>
      <c r="BS3175">
        <v>-0.35</v>
      </c>
      <c r="BT3175">
        <v>2.75</v>
      </c>
      <c r="BU3175">
        <v>-3.54</v>
      </c>
      <c r="BV3175">
        <v>-4.01</v>
      </c>
      <c r="BW3175">
        <v>-3.05</v>
      </c>
      <c r="BX3175">
        <v>-2.91</v>
      </c>
      <c r="BY3175">
        <v>-2.2000000000000002</v>
      </c>
      <c r="BZ3175">
        <v>1.07</v>
      </c>
      <c r="CA3175">
        <v>-2.52</v>
      </c>
      <c r="CB3175">
        <v>-3.27</v>
      </c>
      <c r="CC3175">
        <v>-0.34</v>
      </c>
      <c r="CD3175">
        <v>3.94</v>
      </c>
      <c r="CE3175">
        <v>-3.05</v>
      </c>
      <c r="CF3175">
        <v>-1.23</v>
      </c>
      <c r="CG3175">
        <v>0</v>
      </c>
      <c r="CH3175">
        <v>-2.86</v>
      </c>
      <c r="CI3175">
        <v>0</v>
      </c>
      <c r="CJ3175">
        <v>-3.1</v>
      </c>
      <c r="CK3175">
        <v>90</v>
      </c>
      <c r="CL3175">
        <v>-0.14000000000000001</v>
      </c>
      <c r="CM3175">
        <v>88</v>
      </c>
      <c r="CN3175">
        <v>-0.2</v>
      </c>
      <c r="CO3175">
        <v>87</v>
      </c>
      <c r="CP3175">
        <v>-2.2999999999999998</v>
      </c>
      <c r="CQ3175">
        <v>80</v>
      </c>
      <c r="CR3175">
        <v>0</v>
      </c>
      <c r="CS3175">
        <v>0</v>
      </c>
      <c r="CT3175">
        <v>-6.5</v>
      </c>
      <c r="CU3175">
        <v>73</v>
      </c>
      <c r="CV3175">
        <v>0.14000000000000001</v>
      </c>
      <c r="CW3175">
        <v>44</v>
      </c>
      <c r="CX3175" t="s">
        <v>141</v>
      </c>
    </row>
    <row r="3176" spans="1:102" x14ac:dyDescent="0.3">
      <c r="A3176" t="str">
        <f>HYPERLINK("https://webapp.icbf.com/v2/app/bull-search/view/815254107","S1322")</f>
        <v>S1322</v>
      </c>
      <c r="B3176" t="s">
        <v>13047</v>
      </c>
      <c r="C3176" t="s">
        <v>13048</v>
      </c>
      <c r="D3176" s="1">
        <v>38008</v>
      </c>
      <c r="E3176" t="s">
        <v>1061</v>
      </c>
      <c r="F3176">
        <v>13</v>
      </c>
      <c r="G3176" t="s">
        <v>109</v>
      </c>
      <c r="H3176">
        <v>-16.8</v>
      </c>
      <c r="I3176">
        <v>57</v>
      </c>
      <c r="J3176">
        <v>-54</v>
      </c>
      <c r="K3176">
        <v>74</v>
      </c>
      <c r="L3176">
        <v>50.9</v>
      </c>
      <c r="M3176">
        <v>62</v>
      </c>
      <c r="N3176">
        <v>-17.260000000000002</v>
      </c>
      <c r="O3176">
        <v>31</v>
      </c>
      <c r="P3176">
        <v>-31.04</v>
      </c>
      <c r="Q3176">
        <v>48</v>
      </c>
      <c r="R3176">
        <v>5.86</v>
      </c>
      <c r="S3176">
        <v>27</v>
      </c>
      <c r="T3176">
        <v>34.770000000000003</v>
      </c>
      <c r="U3176">
        <v>46</v>
      </c>
      <c r="V3176">
        <v>-6.03</v>
      </c>
      <c r="W3176">
        <v>13</v>
      </c>
      <c r="X3176" t="s">
        <v>1645</v>
      </c>
      <c r="Y3176" t="s">
        <v>342</v>
      </c>
      <c r="Z3176">
        <v>0</v>
      </c>
      <c r="AA3176" t="s">
        <v>1646</v>
      </c>
      <c r="AB3176" t="s">
        <v>13049</v>
      </c>
      <c r="AC3176">
        <v>0</v>
      </c>
      <c r="AD3176">
        <v>0</v>
      </c>
      <c r="AE3176">
        <v>74</v>
      </c>
      <c r="AF3176">
        <v>-186.87</v>
      </c>
      <c r="AG3176">
        <v>-9.31</v>
      </c>
      <c r="AH3176">
        <v>-8.75</v>
      </c>
      <c r="AI3176">
        <v>-0.03</v>
      </c>
      <c r="AJ3176">
        <v>-0.04</v>
      </c>
      <c r="AK3176">
        <v>62</v>
      </c>
      <c r="AL3176">
        <v>0</v>
      </c>
      <c r="AM3176">
        <v>0</v>
      </c>
      <c r="AN3176">
        <v>-1.95</v>
      </c>
      <c r="AO3176">
        <v>2.12</v>
      </c>
      <c r="AP3176">
        <v>43</v>
      </c>
      <c r="AQ3176">
        <v>0</v>
      </c>
      <c r="AR3176">
        <v>9.4499999999999993</v>
      </c>
      <c r="AS3176">
        <v>58</v>
      </c>
      <c r="AT3176">
        <v>3.68</v>
      </c>
      <c r="AU3176">
        <v>37</v>
      </c>
      <c r="AV3176">
        <v>0.82</v>
      </c>
      <c r="AW3176">
        <v>26</v>
      </c>
      <c r="AX3176">
        <v>0.67</v>
      </c>
      <c r="AY3176">
        <v>39</v>
      </c>
      <c r="AZ3176">
        <v>5.94</v>
      </c>
      <c r="BA3176">
        <v>20</v>
      </c>
      <c r="BB3176">
        <v>4.83</v>
      </c>
      <c r="BC3176">
        <v>18</v>
      </c>
      <c r="BD3176">
        <v>0.02</v>
      </c>
      <c r="BE3176">
        <v>-0.02</v>
      </c>
      <c r="BF3176">
        <v>-0.13</v>
      </c>
      <c r="BG3176">
        <v>34</v>
      </c>
      <c r="BH3176">
        <v>-0.03</v>
      </c>
      <c r="BI3176">
        <v>15.97</v>
      </c>
      <c r="BJ3176">
        <v>0</v>
      </c>
      <c r="BK3176">
        <v>0</v>
      </c>
      <c r="BL3176">
        <v>0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0</v>
      </c>
      <c r="CJ3176">
        <v>-15.8</v>
      </c>
      <c r="CK3176">
        <v>52</v>
      </c>
      <c r="CL3176">
        <v>-0.8</v>
      </c>
      <c r="CM3176">
        <v>44</v>
      </c>
      <c r="CN3176">
        <v>-0.18</v>
      </c>
      <c r="CO3176">
        <v>40</v>
      </c>
      <c r="CP3176">
        <v>-20.6</v>
      </c>
      <c r="CQ3176">
        <v>45</v>
      </c>
      <c r="CR3176">
        <v>0</v>
      </c>
      <c r="CS3176">
        <v>0</v>
      </c>
      <c r="CT3176">
        <v>-33.200000000000003</v>
      </c>
      <c r="CU3176">
        <v>46</v>
      </c>
      <c r="CV3176">
        <v>-0.11</v>
      </c>
      <c r="CW3176">
        <v>13</v>
      </c>
      <c r="CX3176" t="s">
        <v>13050</v>
      </c>
    </row>
    <row r="3177" spans="1:102" x14ac:dyDescent="0.3">
      <c r="A3177" t="str">
        <f>HYPERLINK("https://webapp.icbf.com/v2/app/bull-search/view/740348506","S3051")</f>
        <v>S3051</v>
      </c>
      <c r="B3177" t="s">
        <v>10229</v>
      </c>
      <c r="C3177" t="s">
        <v>10230</v>
      </c>
      <c r="D3177" s="1">
        <v>39330</v>
      </c>
      <c r="E3177" t="s">
        <v>92</v>
      </c>
      <c r="F3177">
        <v>100</v>
      </c>
      <c r="G3177" t="s">
        <v>109</v>
      </c>
      <c r="H3177">
        <v>-16.829999999999998</v>
      </c>
      <c r="I3177">
        <v>67</v>
      </c>
      <c r="J3177">
        <v>19.59</v>
      </c>
      <c r="K3177">
        <v>84</v>
      </c>
      <c r="L3177">
        <v>-33.83</v>
      </c>
      <c r="M3177">
        <v>81</v>
      </c>
      <c r="N3177">
        <v>-0.03</v>
      </c>
      <c r="O3177">
        <v>45</v>
      </c>
      <c r="P3177">
        <v>-3.32</v>
      </c>
      <c r="Q3177">
        <v>33</v>
      </c>
      <c r="R3177">
        <v>-2.3199999999999998</v>
      </c>
      <c r="S3177">
        <v>60</v>
      </c>
      <c r="T3177">
        <v>-1.05</v>
      </c>
      <c r="U3177">
        <v>29</v>
      </c>
      <c r="V3177">
        <v>4.13</v>
      </c>
      <c r="W3177">
        <v>26</v>
      </c>
      <c r="X3177" t="s">
        <v>110</v>
      </c>
      <c r="Y3177" t="s">
        <v>411</v>
      </c>
      <c r="Z3177" t="s">
        <v>96</v>
      </c>
      <c r="AA3177" t="s">
        <v>4548</v>
      </c>
      <c r="AB3177" t="s">
        <v>10231</v>
      </c>
      <c r="AC3177">
        <v>0</v>
      </c>
      <c r="AD3177">
        <v>0</v>
      </c>
      <c r="AE3177">
        <v>84</v>
      </c>
      <c r="AF3177">
        <v>413.07</v>
      </c>
      <c r="AG3177">
        <v>6.26</v>
      </c>
      <c r="AH3177">
        <v>7.44</v>
      </c>
      <c r="AI3177">
        <v>-0.15</v>
      </c>
      <c r="AJ3177">
        <v>-0.1</v>
      </c>
      <c r="AK3177">
        <v>81</v>
      </c>
      <c r="AL3177">
        <v>0</v>
      </c>
      <c r="AM3177">
        <v>0</v>
      </c>
      <c r="AN3177">
        <v>3.23</v>
      </c>
      <c r="AO3177">
        <v>0.55000000000000004</v>
      </c>
      <c r="AP3177">
        <v>5</v>
      </c>
      <c r="AQ3177">
        <v>0</v>
      </c>
      <c r="AR3177">
        <v>8.7899999999999991</v>
      </c>
      <c r="AS3177">
        <v>35</v>
      </c>
      <c r="AT3177">
        <v>4.3899999999999997</v>
      </c>
      <c r="AU3177">
        <v>89</v>
      </c>
      <c r="AV3177">
        <v>-1.53</v>
      </c>
      <c r="AW3177">
        <v>32</v>
      </c>
      <c r="AX3177">
        <v>7.0000000000000007E-2</v>
      </c>
      <c r="AY3177">
        <v>32</v>
      </c>
      <c r="AZ3177">
        <v>5.76</v>
      </c>
      <c r="BA3177">
        <v>26</v>
      </c>
      <c r="BB3177">
        <v>4.37</v>
      </c>
      <c r="BC3177">
        <v>26</v>
      </c>
      <c r="BD3177">
        <v>-0.01</v>
      </c>
      <c r="BE3177">
        <v>0</v>
      </c>
      <c r="BF3177">
        <v>7.0000000000000007E-2</v>
      </c>
      <c r="BG3177">
        <v>89</v>
      </c>
      <c r="BH3177">
        <v>0.09</v>
      </c>
      <c r="BI3177">
        <v>-2.92</v>
      </c>
      <c r="BJ3177">
        <v>1</v>
      </c>
      <c r="BK3177">
        <v>1</v>
      </c>
      <c r="BL3177">
        <v>1.3</v>
      </c>
      <c r="BM3177">
        <v>-0.26</v>
      </c>
      <c r="BN3177">
        <v>-0.74</v>
      </c>
      <c r="BO3177">
        <v>0.87</v>
      </c>
      <c r="BP3177">
        <v>0.45</v>
      </c>
      <c r="BQ3177">
        <v>0.74</v>
      </c>
      <c r="BR3177">
        <v>-1.9</v>
      </c>
      <c r="BS3177">
        <v>2.89</v>
      </c>
      <c r="BT3177">
        <v>3.07</v>
      </c>
      <c r="BU3177">
        <v>3.31</v>
      </c>
      <c r="BV3177">
        <v>3.08</v>
      </c>
      <c r="BW3177">
        <v>3.15</v>
      </c>
      <c r="BX3177">
        <v>3.22</v>
      </c>
      <c r="BY3177">
        <v>3.57</v>
      </c>
      <c r="BZ3177">
        <v>-1.84</v>
      </c>
      <c r="CA3177">
        <v>3.33</v>
      </c>
      <c r="CB3177">
        <v>2.88</v>
      </c>
      <c r="CC3177">
        <v>2.4900000000000002</v>
      </c>
      <c r="CD3177">
        <v>-0.18</v>
      </c>
      <c r="CE3177">
        <v>1.1499999999999999</v>
      </c>
      <c r="CF3177">
        <v>1.1599999999999999</v>
      </c>
      <c r="CG3177">
        <v>0</v>
      </c>
      <c r="CH3177">
        <v>1.4</v>
      </c>
      <c r="CI3177">
        <v>0</v>
      </c>
      <c r="CJ3177">
        <v>-1.6</v>
      </c>
      <c r="CK3177">
        <v>34</v>
      </c>
      <c r="CL3177">
        <v>-0.91</v>
      </c>
      <c r="CM3177">
        <v>33</v>
      </c>
      <c r="CN3177">
        <v>-0.69</v>
      </c>
      <c r="CO3177">
        <v>33</v>
      </c>
      <c r="CP3177">
        <v>1.3</v>
      </c>
      <c r="CQ3177">
        <v>31</v>
      </c>
      <c r="CR3177">
        <v>0</v>
      </c>
      <c r="CS3177">
        <v>0</v>
      </c>
      <c r="CT3177">
        <v>15.2</v>
      </c>
      <c r="CU3177">
        <v>29</v>
      </c>
      <c r="CV3177">
        <v>0.22</v>
      </c>
      <c r="CW3177">
        <v>10</v>
      </c>
      <c r="CX3177" t="s">
        <v>1439</v>
      </c>
    </row>
    <row r="3178" spans="1:102" x14ac:dyDescent="0.3">
      <c r="A3178" t="str">
        <f>HYPERLINK("https://webapp.icbf.com/v2/app/bull-search/view/1408299541","FR4064")</f>
        <v>FR4064</v>
      </c>
      <c r="B3178" t="s">
        <v>9436</v>
      </c>
      <c r="C3178" t="s">
        <v>9437</v>
      </c>
      <c r="D3178" s="1">
        <v>42032</v>
      </c>
      <c r="E3178" t="s">
        <v>108</v>
      </c>
      <c r="F3178">
        <v>0</v>
      </c>
      <c r="G3178" t="s">
        <v>435</v>
      </c>
      <c r="H3178">
        <v>-16.84</v>
      </c>
      <c r="I3178">
        <v>50</v>
      </c>
      <c r="J3178">
        <v>-58.17</v>
      </c>
      <c r="K3178">
        <v>63</v>
      </c>
      <c r="L3178">
        <v>33.65</v>
      </c>
      <c r="M3178">
        <v>34</v>
      </c>
      <c r="N3178">
        <v>2.5499999999999998</v>
      </c>
      <c r="O3178">
        <v>73</v>
      </c>
      <c r="P3178">
        <v>-2.8</v>
      </c>
      <c r="Q3178">
        <v>65</v>
      </c>
      <c r="R3178">
        <v>-5.42</v>
      </c>
      <c r="S3178">
        <v>35</v>
      </c>
      <c r="T3178">
        <v>21.23</v>
      </c>
      <c r="U3178">
        <v>40</v>
      </c>
      <c r="V3178">
        <v>-7.88</v>
      </c>
      <c r="W3178">
        <v>32</v>
      </c>
      <c r="X3178" t="s">
        <v>102</v>
      </c>
      <c r="Y3178" t="s">
        <v>429</v>
      </c>
      <c r="Z3178" t="s">
        <v>96</v>
      </c>
      <c r="AA3178" t="s">
        <v>9438</v>
      </c>
      <c r="AB3178" t="s">
        <v>9439</v>
      </c>
      <c r="AC3178">
        <v>0</v>
      </c>
      <c r="AD3178">
        <v>0</v>
      </c>
      <c r="AE3178">
        <v>63</v>
      </c>
      <c r="AF3178">
        <v>-249.04</v>
      </c>
      <c r="AG3178">
        <v>-8.27</v>
      </c>
      <c r="AH3178">
        <v>-10.78</v>
      </c>
      <c r="AI3178">
        <v>0.02</v>
      </c>
      <c r="AJ3178">
        <v>-0.04</v>
      </c>
      <c r="AK3178">
        <v>34</v>
      </c>
      <c r="AL3178">
        <v>0</v>
      </c>
      <c r="AM3178">
        <v>0</v>
      </c>
      <c r="AN3178">
        <v>-2.12</v>
      </c>
      <c r="AO3178">
        <v>0.56000000000000005</v>
      </c>
      <c r="AP3178">
        <v>211</v>
      </c>
      <c r="AQ3178">
        <v>0</v>
      </c>
      <c r="AR3178">
        <v>9.9700000000000006</v>
      </c>
      <c r="AS3178">
        <v>41</v>
      </c>
      <c r="AT3178">
        <v>3.71</v>
      </c>
      <c r="AU3178">
        <v>83</v>
      </c>
      <c r="AV3178">
        <v>-1.65</v>
      </c>
      <c r="AW3178">
        <v>94</v>
      </c>
      <c r="AX3178">
        <v>-0.61</v>
      </c>
      <c r="AY3178">
        <v>78</v>
      </c>
      <c r="AZ3178">
        <v>7.1</v>
      </c>
      <c r="BA3178">
        <v>17</v>
      </c>
      <c r="BB3178">
        <v>4.74</v>
      </c>
      <c r="BC3178">
        <v>18</v>
      </c>
      <c r="BD3178">
        <v>7.0000000000000007E-2</v>
      </c>
      <c r="BE3178">
        <v>0.02</v>
      </c>
      <c r="BF3178">
        <v>-0.03</v>
      </c>
      <c r="BG3178">
        <v>41</v>
      </c>
      <c r="BH3178">
        <v>-0.12</v>
      </c>
      <c r="BI3178">
        <v>11.55</v>
      </c>
      <c r="BJ3178">
        <v>0</v>
      </c>
      <c r="BK3178">
        <v>0</v>
      </c>
      <c r="BL3178">
        <v>-3.5</v>
      </c>
      <c r="BM3178">
        <v>2.06</v>
      </c>
      <c r="BN3178">
        <v>-2.35</v>
      </c>
      <c r="BO3178">
        <v>-3.56</v>
      </c>
      <c r="BP3178">
        <v>0.21</v>
      </c>
      <c r="BQ3178">
        <v>-0.17</v>
      </c>
      <c r="BR3178">
        <v>-0.89</v>
      </c>
      <c r="BS3178">
        <v>-0.28999999999999998</v>
      </c>
      <c r="BT3178">
        <v>0.5</v>
      </c>
      <c r="BU3178">
        <v>-3.67</v>
      </c>
      <c r="BV3178">
        <v>-3.88</v>
      </c>
      <c r="BW3178">
        <v>-3.84</v>
      </c>
      <c r="BX3178">
        <v>-3.38</v>
      </c>
      <c r="BY3178">
        <v>-3.48</v>
      </c>
      <c r="BZ3178">
        <v>0.77</v>
      </c>
      <c r="CA3178">
        <v>-3.63</v>
      </c>
      <c r="CB3178">
        <v>-4.0599999999999996</v>
      </c>
      <c r="CC3178">
        <v>-0.95</v>
      </c>
      <c r="CD3178">
        <v>3.03</v>
      </c>
      <c r="CE3178">
        <v>-2.65</v>
      </c>
      <c r="CF3178">
        <v>-2.06</v>
      </c>
      <c r="CG3178">
        <v>0</v>
      </c>
      <c r="CH3178">
        <v>-2.85</v>
      </c>
      <c r="CI3178">
        <v>0</v>
      </c>
      <c r="CJ3178">
        <v>-3.4</v>
      </c>
      <c r="CK3178">
        <v>69</v>
      </c>
      <c r="CL3178">
        <v>0.27</v>
      </c>
      <c r="CM3178">
        <v>64</v>
      </c>
      <c r="CN3178">
        <v>0.01</v>
      </c>
      <c r="CO3178">
        <v>62</v>
      </c>
      <c r="CP3178">
        <v>-5.2</v>
      </c>
      <c r="CQ3178">
        <v>44</v>
      </c>
      <c r="CR3178">
        <v>0</v>
      </c>
      <c r="CS3178">
        <v>0</v>
      </c>
      <c r="CT3178">
        <v>-14.9</v>
      </c>
      <c r="CU3178">
        <v>40</v>
      </c>
      <c r="CV3178">
        <v>-0.05</v>
      </c>
      <c r="CW3178">
        <v>39</v>
      </c>
      <c r="CX3178" t="s">
        <v>4211</v>
      </c>
    </row>
    <row r="3179" spans="1:102" x14ac:dyDescent="0.3">
      <c r="A3179" t="str">
        <f>HYPERLINK("https://webapp.icbf.com/v2/app/bull-search/view/327521357","BUI")</f>
        <v>BUI</v>
      </c>
      <c r="B3179" t="s">
        <v>14126</v>
      </c>
      <c r="C3179" t="s">
        <v>14127</v>
      </c>
      <c r="D3179" s="1">
        <v>38026</v>
      </c>
      <c r="E3179" t="s">
        <v>92</v>
      </c>
      <c r="F3179">
        <v>97</v>
      </c>
      <c r="G3179" t="s">
        <v>116</v>
      </c>
      <c r="H3179">
        <v>-16.86</v>
      </c>
      <c r="I3179">
        <v>53</v>
      </c>
      <c r="J3179">
        <v>34.659999999999997</v>
      </c>
      <c r="K3179">
        <v>64</v>
      </c>
      <c r="L3179">
        <v>-52.75</v>
      </c>
      <c r="M3179">
        <v>40</v>
      </c>
      <c r="N3179">
        <v>15.22</v>
      </c>
      <c r="O3179">
        <v>56</v>
      </c>
      <c r="P3179">
        <v>-17.18</v>
      </c>
      <c r="Q3179">
        <v>63</v>
      </c>
      <c r="R3179">
        <v>-7.12</v>
      </c>
      <c r="S3179">
        <v>43</v>
      </c>
      <c r="T3179">
        <v>8.2799999999999994</v>
      </c>
      <c r="U3179">
        <v>60</v>
      </c>
      <c r="V3179">
        <v>2.0299999999999998</v>
      </c>
      <c r="W3179">
        <v>41</v>
      </c>
      <c r="X3179" t="s">
        <v>14128</v>
      </c>
      <c r="Y3179" t="s">
        <v>1153</v>
      </c>
      <c r="Z3179" t="s">
        <v>96</v>
      </c>
      <c r="AA3179" t="s">
        <v>1254</v>
      </c>
      <c r="AB3179" t="s">
        <v>14129</v>
      </c>
      <c r="AC3179">
        <v>9</v>
      </c>
      <c r="AD3179">
        <v>6</v>
      </c>
      <c r="AE3179">
        <v>64</v>
      </c>
      <c r="AF3179">
        <v>141</v>
      </c>
      <c r="AG3179">
        <v>8.6</v>
      </c>
      <c r="AH3179">
        <v>5.01</v>
      </c>
      <c r="AI3179">
        <v>0.05</v>
      </c>
      <c r="AJ3179">
        <v>0</v>
      </c>
      <c r="AK3179">
        <v>40</v>
      </c>
      <c r="AL3179">
        <v>10</v>
      </c>
      <c r="AM3179">
        <v>7</v>
      </c>
      <c r="AN3179">
        <v>3.38</v>
      </c>
      <c r="AO3179">
        <v>-0.82</v>
      </c>
      <c r="AP3179">
        <v>22</v>
      </c>
      <c r="AQ3179">
        <v>0</v>
      </c>
      <c r="AR3179">
        <v>5.25</v>
      </c>
      <c r="AS3179">
        <v>42</v>
      </c>
      <c r="AT3179">
        <v>2.61</v>
      </c>
      <c r="AU3179">
        <v>49</v>
      </c>
      <c r="AV3179">
        <v>-0.72</v>
      </c>
      <c r="AW3179">
        <v>74</v>
      </c>
      <c r="AX3179">
        <v>-0.01</v>
      </c>
      <c r="AY3179">
        <v>49</v>
      </c>
      <c r="AZ3179">
        <v>6.27</v>
      </c>
      <c r="BA3179">
        <v>33</v>
      </c>
      <c r="BB3179">
        <v>5.0999999999999996</v>
      </c>
      <c r="BC3179">
        <v>36</v>
      </c>
      <c r="BD3179">
        <v>0.04</v>
      </c>
      <c r="BE3179">
        <v>0.03</v>
      </c>
      <c r="BF3179">
        <v>0.04</v>
      </c>
      <c r="BG3179">
        <v>48</v>
      </c>
      <c r="BH3179">
        <v>0.05</v>
      </c>
      <c r="BI3179">
        <v>-0.75</v>
      </c>
      <c r="BJ3179">
        <v>1</v>
      </c>
      <c r="BK3179">
        <v>1</v>
      </c>
      <c r="BL3179">
        <v>0.05</v>
      </c>
      <c r="BM3179">
        <v>0.79</v>
      </c>
      <c r="BN3179">
        <v>0.43</v>
      </c>
      <c r="BO3179">
        <v>-0.06</v>
      </c>
      <c r="BP3179">
        <v>0.97</v>
      </c>
      <c r="BQ3179">
        <v>0.09</v>
      </c>
      <c r="BR3179">
        <v>1.1599999999999999</v>
      </c>
      <c r="BS3179">
        <v>-0.82</v>
      </c>
      <c r="BT3179">
        <v>-0.56999999999999995</v>
      </c>
      <c r="BU3179">
        <v>-1.06</v>
      </c>
      <c r="BV3179">
        <v>-0.41</v>
      </c>
      <c r="BW3179">
        <v>-0.91</v>
      </c>
      <c r="BX3179">
        <v>-1.89</v>
      </c>
      <c r="BY3179">
        <v>0.18</v>
      </c>
      <c r="BZ3179">
        <v>-1.08</v>
      </c>
      <c r="CA3179">
        <v>-0.54</v>
      </c>
      <c r="CB3179">
        <v>-0.35</v>
      </c>
      <c r="CC3179">
        <v>-0.61</v>
      </c>
      <c r="CD3179">
        <v>0.22</v>
      </c>
      <c r="CE3179">
        <v>0.36</v>
      </c>
      <c r="CF3179">
        <v>0.09</v>
      </c>
      <c r="CG3179">
        <v>0</v>
      </c>
      <c r="CH3179">
        <v>-0.54</v>
      </c>
      <c r="CI3179">
        <v>0</v>
      </c>
      <c r="CJ3179">
        <v>-8.6</v>
      </c>
      <c r="CK3179">
        <v>65</v>
      </c>
      <c r="CL3179">
        <v>-0.54</v>
      </c>
      <c r="CM3179">
        <v>61</v>
      </c>
      <c r="CN3179">
        <v>-0.12</v>
      </c>
      <c r="CO3179">
        <v>57</v>
      </c>
      <c r="CP3179">
        <v>-7.6</v>
      </c>
      <c r="CQ3179">
        <v>64</v>
      </c>
      <c r="CR3179">
        <v>0</v>
      </c>
      <c r="CS3179">
        <v>0</v>
      </c>
      <c r="CT3179">
        <v>2.6</v>
      </c>
      <c r="CU3179">
        <v>60</v>
      </c>
      <c r="CV3179">
        <v>-0.01</v>
      </c>
      <c r="CW3179">
        <v>18</v>
      </c>
      <c r="CX3179" t="s">
        <v>872</v>
      </c>
    </row>
    <row r="3180" spans="1:102" x14ac:dyDescent="0.3">
      <c r="A3180" t="str">
        <f>HYPERLINK("https://webapp.icbf.com/v2/app/bull-search/view/69092401","PNR")</f>
        <v>PNR</v>
      </c>
      <c r="B3180" t="s">
        <v>10474</v>
      </c>
      <c r="C3180" t="s">
        <v>10475</v>
      </c>
      <c r="D3180" s="1">
        <v>34145</v>
      </c>
      <c r="E3180" t="s">
        <v>92</v>
      </c>
      <c r="F3180">
        <v>94</v>
      </c>
      <c r="G3180" t="s">
        <v>109</v>
      </c>
      <c r="H3180">
        <v>-17.12</v>
      </c>
      <c r="I3180">
        <v>71</v>
      </c>
      <c r="J3180">
        <v>24.41</v>
      </c>
      <c r="K3180">
        <v>80</v>
      </c>
      <c r="L3180">
        <v>-65.63</v>
      </c>
      <c r="M3180">
        <v>77</v>
      </c>
      <c r="N3180">
        <v>31.71</v>
      </c>
      <c r="O3180">
        <v>54</v>
      </c>
      <c r="P3180">
        <v>-13.09</v>
      </c>
      <c r="Q3180">
        <v>64</v>
      </c>
      <c r="R3180">
        <v>-5.39</v>
      </c>
      <c r="S3180">
        <v>67</v>
      </c>
      <c r="T3180">
        <v>15.16</v>
      </c>
      <c r="U3180">
        <v>51</v>
      </c>
      <c r="V3180">
        <v>-4.29</v>
      </c>
      <c r="W3180">
        <v>38</v>
      </c>
      <c r="X3180" t="s">
        <v>94</v>
      </c>
      <c r="Y3180" t="s">
        <v>95</v>
      </c>
      <c r="Z3180" t="s">
        <v>96</v>
      </c>
      <c r="AA3180" t="s">
        <v>1185</v>
      </c>
      <c r="AB3180" t="s">
        <v>3556</v>
      </c>
      <c r="AC3180">
        <v>0</v>
      </c>
      <c r="AD3180">
        <v>0</v>
      </c>
      <c r="AE3180">
        <v>80</v>
      </c>
      <c r="AF3180">
        <v>25.43</v>
      </c>
      <c r="AG3180">
        <v>10.29</v>
      </c>
      <c r="AH3180">
        <v>0.9</v>
      </c>
      <c r="AI3180">
        <v>0.15</v>
      </c>
      <c r="AJ3180">
        <v>0</v>
      </c>
      <c r="AK3180">
        <v>77</v>
      </c>
      <c r="AL3180">
        <v>0</v>
      </c>
      <c r="AM3180">
        <v>0</v>
      </c>
      <c r="AN3180">
        <v>5.44</v>
      </c>
      <c r="AO3180">
        <v>0.23</v>
      </c>
      <c r="AP3180">
        <v>8</v>
      </c>
      <c r="AQ3180">
        <v>0</v>
      </c>
      <c r="AR3180">
        <v>5.54</v>
      </c>
      <c r="AS3180">
        <v>35</v>
      </c>
      <c r="AT3180">
        <v>2.4900000000000002</v>
      </c>
      <c r="AU3180">
        <v>81</v>
      </c>
      <c r="AV3180">
        <v>-2.39</v>
      </c>
      <c r="AW3180">
        <v>49</v>
      </c>
      <c r="AX3180">
        <v>-0.64</v>
      </c>
      <c r="AY3180">
        <v>49</v>
      </c>
      <c r="AZ3180">
        <v>5.93</v>
      </c>
      <c r="BA3180">
        <v>34</v>
      </c>
      <c r="BB3180">
        <v>4.93</v>
      </c>
      <c r="BC3180">
        <v>38</v>
      </c>
      <c r="BD3180">
        <v>0.03</v>
      </c>
      <c r="BE3180">
        <v>0.06</v>
      </c>
      <c r="BF3180">
        <v>-0.04</v>
      </c>
      <c r="BG3180">
        <v>89</v>
      </c>
      <c r="BH3180">
        <v>0.01</v>
      </c>
      <c r="BI3180">
        <v>15</v>
      </c>
      <c r="BJ3180">
        <v>1</v>
      </c>
      <c r="BK3180">
        <v>1</v>
      </c>
      <c r="BL3180">
        <v>-0.65</v>
      </c>
      <c r="BM3180">
        <v>-1.86</v>
      </c>
      <c r="BN3180">
        <v>-1.4</v>
      </c>
      <c r="BO3180">
        <v>-0.06</v>
      </c>
      <c r="BP3180">
        <v>1.1299999999999999</v>
      </c>
      <c r="BQ3180">
        <v>-1.61</v>
      </c>
      <c r="BR3180">
        <v>-1.82</v>
      </c>
      <c r="BS3180">
        <v>1.85</v>
      </c>
      <c r="BT3180">
        <v>1.53</v>
      </c>
      <c r="BU3180">
        <v>-0.34</v>
      </c>
      <c r="BV3180">
        <v>0.25</v>
      </c>
      <c r="BW3180">
        <v>0.78</v>
      </c>
      <c r="BX3180">
        <v>0.09</v>
      </c>
      <c r="BY3180">
        <v>1.06</v>
      </c>
      <c r="BZ3180">
        <v>-1.48</v>
      </c>
      <c r="CA3180">
        <v>0.73</v>
      </c>
      <c r="CB3180">
        <v>0.04</v>
      </c>
      <c r="CC3180">
        <v>1.64</v>
      </c>
      <c r="CD3180">
        <v>-0.12</v>
      </c>
      <c r="CE3180">
        <v>-0.12</v>
      </c>
      <c r="CF3180">
        <v>-0.06</v>
      </c>
      <c r="CG3180">
        <v>0</v>
      </c>
      <c r="CH3180">
        <v>-0.15</v>
      </c>
      <c r="CI3180">
        <v>0</v>
      </c>
      <c r="CJ3180">
        <v>-7.4</v>
      </c>
      <c r="CK3180">
        <v>66</v>
      </c>
      <c r="CL3180">
        <v>-0.64</v>
      </c>
      <c r="CM3180">
        <v>63</v>
      </c>
      <c r="CN3180">
        <v>-0.45</v>
      </c>
      <c r="CO3180">
        <v>59</v>
      </c>
      <c r="CP3180">
        <v>-10.3</v>
      </c>
      <c r="CQ3180">
        <v>64</v>
      </c>
      <c r="CR3180">
        <v>0</v>
      </c>
      <c r="CS3180">
        <v>0</v>
      </c>
      <c r="CT3180">
        <v>-6.7</v>
      </c>
      <c r="CU3180">
        <v>51</v>
      </c>
      <c r="CV3180">
        <v>0.05</v>
      </c>
      <c r="CW3180">
        <v>18</v>
      </c>
      <c r="CX3180" t="s">
        <v>707</v>
      </c>
    </row>
    <row r="3181" spans="1:102" x14ac:dyDescent="0.3">
      <c r="A3181" t="str">
        <f>HYPERLINK("https://webapp.icbf.com/v2/app/bull-search/view/77856469","KFK")</f>
        <v>KFK</v>
      </c>
      <c r="B3181" t="s">
        <v>4344</v>
      </c>
      <c r="C3181" t="s">
        <v>4345</v>
      </c>
      <c r="D3181" s="1">
        <v>34019</v>
      </c>
      <c r="E3181" t="s">
        <v>92</v>
      </c>
      <c r="F3181">
        <v>88</v>
      </c>
      <c r="G3181" t="s">
        <v>93</v>
      </c>
      <c r="H3181">
        <v>-17.16</v>
      </c>
      <c r="I3181">
        <v>67</v>
      </c>
      <c r="J3181">
        <v>-27.03</v>
      </c>
      <c r="K3181">
        <v>86</v>
      </c>
      <c r="L3181">
        <v>4.2</v>
      </c>
      <c r="M3181">
        <v>58</v>
      </c>
      <c r="N3181">
        <v>12.53</v>
      </c>
      <c r="O3181">
        <v>55</v>
      </c>
      <c r="P3181">
        <v>-13.14</v>
      </c>
      <c r="Q3181">
        <v>68</v>
      </c>
      <c r="R3181">
        <v>-3.6</v>
      </c>
      <c r="S3181">
        <v>63</v>
      </c>
      <c r="T3181">
        <v>15.68</v>
      </c>
      <c r="U3181">
        <v>59</v>
      </c>
      <c r="V3181">
        <v>-5.8</v>
      </c>
      <c r="W3181">
        <v>37</v>
      </c>
      <c r="X3181" t="s">
        <v>94</v>
      </c>
      <c r="Y3181" t="s">
        <v>95</v>
      </c>
      <c r="Z3181" t="s">
        <v>96</v>
      </c>
      <c r="AA3181" t="s">
        <v>111</v>
      </c>
      <c r="AB3181" t="s">
        <v>4346</v>
      </c>
      <c r="AC3181">
        <v>31</v>
      </c>
      <c r="AD3181">
        <v>32</v>
      </c>
      <c r="AE3181">
        <v>86</v>
      </c>
      <c r="AF3181">
        <v>128.05000000000001</v>
      </c>
      <c r="AG3181">
        <v>-1.63</v>
      </c>
      <c r="AH3181">
        <v>-2.06</v>
      </c>
      <c r="AI3181">
        <v>-0.11</v>
      </c>
      <c r="AJ3181">
        <v>-0.1</v>
      </c>
      <c r="AK3181">
        <v>58</v>
      </c>
      <c r="AL3181">
        <v>56</v>
      </c>
      <c r="AM3181">
        <v>43</v>
      </c>
      <c r="AN3181">
        <v>0.17</v>
      </c>
      <c r="AO3181">
        <v>0.51</v>
      </c>
      <c r="AP3181">
        <v>3</v>
      </c>
      <c r="AQ3181">
        <v>0</v>
      </c>
      <c r="AR3181">
        <v>6.57</v>
      </c>
      <c r="AS3181">
        <v>33</v>
      </c>
      <c r="AT3181">
        <v>3.07</v>
      </c>
      <c r="AU3181">
        <v>45</v>
      </c>
      <c r="AV3181">
        <v>-0.57999999999999996</v>
      </c>
      <c r="AW3181">
        <v>70</v>
      </c>
      <c r="AX3181">
        <v>-0.28999999999999998</v>
      </c>
      <c r="AY3181">
        <v>58</v>
      </c>
      <c r="AZ3181">
        <v>5.31</v>
      </c>
      <c r="BA3181">
        <v>33</v>
      </c>
      <c r="BB3181">
        <v>4.46</v>
      </c>
      <c r="BC3181">
        <v>42</v>
      </c>
      <c r="BD3181">
        <v>0.04</v>
      </c>
      <c r="BE3181">
        <v>0.04</v>
      </c>
      <c r="BF3181">
        <v>-0.06</v>
      </c>
      <c r="BG3181">
        <v>78</v>
      </c>
      <c r="BH3181">
        <v>0</v>
      </c>
      <c r="BI3181">
        <v>18.7</v>
      </c>
      <c r="BJ3181">
        <v>16</v>
      </c>
      <c r="BK3181">
        <v>16</v>
      </c>
      <c r="BL3181">
        <v>0.6</v>
      </c>
      <c r="BM3181">
        <v>-0.05</v>
      </c>
      <c r="BN3181">
        <v>0.88</v>
      </c>
      <c r="BO3181">
        <v>0.54</v>
      </c>
      <c r="BP3181">
        <v>0.82</v>
      </c>
      <c r="BQ3181">
        <v>-0.47</v>
      </c>
      <c r="BR3181">
        <v>-0.5</v>
      </c>
      <c r="BS3181">
        <v>1.1499999999999999</v>
      </c>
      <c r="BT3181">
        <v>-0.25</v>
      </c>
      <c r="BU3181">
        <v>0</v>
      </c>
      <c r="BV3181">
        <v>-0.38</v>
      </c>
      <c r="BW3181">
        <v>0.51</v>
      </c>
      <c r="BX3181">
        <v>0.13</v>
      </c>
      <c r="BY3181">
        <v>-0.2</v>
      </c>
      <c r="BZ3181">
        <v>-1.58</v>
      </c>
      <c r="CA3181">
        <v>0.44</v>
      </c>
      <c r="CB3181">
        <v>0.17</v>
      </c>
      <c r="CC3181">
        <v>0.92</v>
      </c>
      <c r="CD3181">
        <v>-0.23</v>
      </c>
      <c r="CE3181">
        <v>0.51</v>
      </c>
      <c r="CF3181">
        <v>0.82</v>
      </c>
      <c r="CG3181">
        <v>0</v>
      </c>
      <c r="CH3181">
        <v>0</v>
      </c>
      <c r="CI3181">
        <v>0</v>
      </c>
      <c r="CJ3181">
        <v>-2.6</v>
      </c>
      <c r="CK3181">
        <v>70</v>
      </c>
      <c r="CL3181">
        <v>-0.81</v>
      </c>
      <c r="CM3181">
        <v>66</v>
      </c>
      <c r="CN3181">
        <v>0.03</v>
      </c>
      <c r="CO3181">
        <v>62</v>
      </c>
      <c r="CP3181">
        <v>-5.6</v>
      </c>
      <c r="CQ3181">
        <v>71</v>
      </c>
      <c r="CR3181">
        <v>0</v>
      </c>
      <c r="CS3181">
        <v>0</v>
      </c>
      <c r="CT3181">
        <v>-7.4</v>
      </c>
      <c r="CU3181">
        <v>59</v>
      </c>
      <c r="CV3181">
        <v>0.22</v>
      </c>
      <c r="CW3181">
        <v>19</v>
      </c>
      <c r="CX3181" t="s">
        <v>4347</v>
      </c>
    </row>
    <row r="3182" spans="1:102" x14ac:dyDescent="0.3">
      <c r="A3182" t="str">
        <f>HYPERLINK("https://webapp.icbf.com/v2/app/bull-search/view/68418049","AHD")</f>
        <v>AHD</v>
      </c>
      <c r="B3182" t="s">
        <v>7987</v>
      </c>
      <c r="C3182" t="s">
        <v>4342</v>
      </c>
      <c r="D3182" s="1">
        <v>33866</v>
      </c>
      <c r="E3182" t="s">
        <v>92</v>
      </c>
      <c r="F3182">
        <v>100</v>
      </c>
      <c r="G3182" t="s">
        <v>93</v>
      </c>
      <c r="H3182">
        <v>-17.190000000000001</v>
      </c>
      <c r="I3182">
        <v>99</v>
      </c>
      <c r="J3182">
        <v>-11.03</v>
      </c>
      <c r="K3182">
        <v>99</v>
      </c>
      <c r="L3182">
        <v>1.86</v>
      </c>
      <c r="M3182">
        <v>99</v>
      </c>
      <c r="N3182">
        <v>-10.65</v>
      </c>
      <c r="O3182">
        <v>99</v>
      </c>
      <c r="P3182">
        <v>4.2300000000000004</v>
      </c>
      <c r="Q3182">
        <v>99</v>
      </c>
      <c r="R3182">
        <v>-7.61</v>
      </c>
      <c r="S3182">
        <v>99</v>
      </c>
      <c r="T3182">
        <v>5.0199999999999996</v>
      </c>
      <c r="U3182">
        <v>99</v>
      </c>
      <c r="V3182">
        <v>0.99</v>
      </c>
      <c r="W3182">
        <v>99</v>
      </c>
      <c r="X3182" t="s">
        <v>94</v>
      </c>
      <c r="Y3182" t="s">
        <v>95</v>
      </c>
      <c r="Z3182" t="s">
        <v>96</v>
      </c>
      <c r="AA3182" t="s">
        <v>132</v>
      </c>
      <c r="AB3182" t="s">
        <v>7988</v>
      </c>
      <c r="AC3182">
        <v>13378</v>
      </c>
      <c r="AD3182">
        <v>3544</v>
      </c>
      <c r="AE3182">
        <v>99</v>
      </c>
      <c r="AF3182">
        <v>18.39</v>
      </c>
      <c r="AG3182">
        <v>-7.25</v>
      </c>
      <c r="AH3182">
        <v>0.97</v>
      </c>
      <c r="AI3182">
        <v>-0.14000000000000001</v>
      </c>
      <c r="AJ3182">
        <v>0.01</v>
      </c>
      <c r="AK3182">
        <v>99</v>
      </c>
      <c r="AL3182">
        <v>14792</v>
      </c>
      <c r="AM3182">
        <v>4496</v>
      </c>
      <c r="AN3182">
        <v>0.02</v>
      </c>
      <c r="AO3182">
        <v>0.17</v>
      </c>
      <c r="AP3182">
        <v>17067</v>
      </c>
      <c r="AQ3182">
        <v>30</v>
      </c>
      <c r="AR3182">
        <v>8.4</v>
      </c>
      <c r="AS3182">
        <v>99</v>
      </c>
      <c r="AT3182">
        <v>3.78</v>
      </c>
      <c r="AU3182">
        <v>99</v>
      </c>
      <c r="AV3182">
        <v>0.46</v>
      </c>
      <c r="AW3182">
        <v>99</v>
      </c>
      <c r="AX3182">
        <v>-0.46</v>
      </c>
      <c r="AY3182">
        <v>99</v>
      </c>
      <c r="AZ3182">
        <v>7.03</v>
      </c>
      <c r="BA3182">
        <v>99</v>
      </c>
      <c r="BB3182">
        <v>4.8</v>
      </c>
      <c r="BC3182">
        <v>99</v>
      </c>
      <c r="BD3182">
        <v>0.03</v>
      </c>
      <c r="BE3182">
        <v>0.05</v>
      </c>
      <c r="BF3182">
        <v>0.03</v>
      </c>
      <c r="BG3182">
        <v>99</v>
      </c>
      <c r="BH3182">
        <v>7.0000000000000007E-2</v>
      </c>
      <c r="BI3182">
        <v>4.9000000000000004</v>
      </c>
      <c r="BJ3182">
        <v>577</v>
      </c>
      <c r="BK3182">
        <v>306</v>
      </c>
      <c r="BL3182">
        <v>0.1</v>
      </c>
      <c r="BM3182">
        <v>-0.56000000000000005</v>
      </c>
      <c r="BN3182">
        <v>-1.06</v>
      </c>
      <c r="BO3182">
        <v>-0.18</v>
      </c>
      <c r="BP3182">
        <v>3.11</v>
      </c>
      <c r="BQ3182">
        <v>-0.7</v>
      </c>
      <c r="BR3182">
        <v>-1.81</v>
      </c>
      <c r="BS3182">
        <v>3</v>
      </c>
      <c r="BT3182">
        <v>1.27</v>
      </c>
      <c r="BU3182">
        <v>-1</v>
      </c>
      <c r="BV3182">
        <v>-0.14000000000000001</v>
      </c>
      <c r="BW3182">
        <v>-0.51</v>
      </c>
      <c r="BX3182">
        <v>-0.75</v>
      </c>
      <c r="BY3182">
        <v>-1.03</v>
      </c>
      <c r="BZ3182">
        <v>-0.04</v>
      </c>
      <c r="CA3182">
        <v>0.56999999999999995</v>
      </c>
      <c r="CB3182">
        <v>-0.53</v>
      </c>
      <c r="CC3182">
        <v>2.37</v>
      </c>
      <c r="CD3182">
        <v>-0.04</v>
      </c>
      <c r="CE3182">
        <v>0.09</v>
      </c>
      <c r="CF3182">
        <v>-0.05</v>
      </c>
      <c r="CG3182">
        <v>0</v>
      </c>
      <c r="CH3182">
        <v>-1.01</v>
      </c>
      <c r="CI3182">
        <v>0</v>
      </c>
      <c r="CJ3182">
        <v>3.1</v>
      </c>
      <c r="CK3182">
        <v>99</v>
      </c>
      <c r="CL3182">
        <v>-0.35</v>
      </c>
      <c r="CM3182">
        <v>99</v>
      </c>
      <c r="CN3182">
        <v>-0.28000000000000003</v>
      </c>
      <c r="CO3182">
        <v>99</v>
      </c>
      <c r="CP3182">
        <v>1.9</v>
      </c>
      <c r="CQ3182">
        <v>99</v>
      </c>
      <c r="CR3182">
        <v>0</v>
      </c>
      <c r="CS3182">
        <v>0</v>
      </c>
      <c r="CT3182">
        <v>7</v>
      </c>
      <c r="CU3182">
        <v>99</v>
      </c>
      <c r="CV3182">
        <v>0.11</v>
      </c>
      <c r="CW3182">
        <v>48</v>
      </c>
      <c r="CX3182" t="s">
        <v>111</v>
      </c>
    </row>
    <row r="3183" spans="1:102" x14ac:dyDescent="0.3">
      <c r="A3183" t="str">
        <f>HYPERLINK("https://webapp.icbf.com/v2/app/bull-search/view/77853547","SWK")</f>
        <v>SWK</v>
      </c>
      <c r="B3183" t="s">
        <v>8055</v>
      </c>
      <c r="C3183" t="s">
        <v>8056</v>
      </c>
      <c r="D3183" s="1">
        <v>33480</v>
      </c>
      <c r="E3183" t="s">
        <v>92</v>
      </c>
      <c r="F3183">
        <v>100</v>
      </c>
      <c r="G3183" t="s">
        <v>93</v>
      </c>
      <c r="H3183">
        <v>-17.29</v>
      </c>
      <c r="I3183">
        <v>71</v>
      </c>
      <c r="J3183">
        <v>43.36</v>
      </c>
      <c r="K3183">
        <v>88</v>
      </c>
      <c r="L3183">
        <v>-44.53</v>
      </c>
      <c r="M3183">
        <v>63</v>
      </c>
      <c r="N3183">
        <v>-19.34</v>
      </c>
      <c r="O3183">
        <v>60</v>
      </c>
      <c r="P3183">
        <v>-21.11</v>
      </c>
      <c r="Q3183">
        <v>73</v>
      </c>
      <c r="R3183">
        <v>0.23</v>
      </c>
      <c r="S3183">
        <v>66</v>
      </c>
      <c r="T3183">
        <v>22.48</v>
      </c>
      <c r="U3183">
        <v>69</v>
      </c>
      <c r="V3183">
        <v>1.62</v>
      </c>
      <c r="W3183">
        <v>39</v>
      </c>
      <c r="X3183" t="s">
        <v>94</v>
      </c>
      <c r="Y3183" t="s">
        <v>95</v>
      </c>
      <c r="Z3183" t="s">
        <v>96</v>
      </c>
      <c r="AA3183" t="s">
        <v>118</v>
      </c>
      <c r="AB3183" t="s">
        <v>8057</v>
      </c>
      <c r="AC3183">
        <v>40</v>
      </c>
      <c r="AD3183">
        <v>32</v>
      </c>
      <c r="AE3183">
        <v>88</v>
      </c>
      <c r="AF3183">
        <v>-133.09</v>
      </c>
      <c r="AG3183">
        <v>11.61</v>
      </c>
      <c r="AH3183">
        <v>1.23</v>
      </c>
      <c r="AI3183">
        <v>0.28000000000000003</v>
      </c>
      <c r="AJ3183">
        <v>0.1</v>
      </c>
      <c r="AK3183">
        <v>63</v>
      </c>
      <c r="AL3183">
        <v>77</v>
      </c>
      <c r="AM3183">
        <v>50</v>
      </c>
      <c r="AN3183">
        <v>2.5499999999999998</v>
      </c>
      <c r="AO3183">
        <v>-1</v>
      </c>
      <c r="AP3183">
        <v>14</v>
      </c>
      <c r="AQ3183">
        <v>0</v>
      </c>
      <c r="AR3183">
        <v>11.22</v>
      </c>
      <c r="AS3183">
        <v>37</v>
      </c>
      <c r="AT3183">
        <v>4.6500000000000004</v>
      </c>
      <c r="AU3183">
        <v>53</v>
      </c>
      <c r="AV3183">
        <v>-1.49</v>
      </c>
      <c r="AW3183">
        <v>73</v>
      </c>
      <c r="AX3183">
        <v>-0.16</v>
      </c>
      <c r="AY3183">
        <v>67</v>
      </c>
      <c r="AZ3183">
        <v>7.45</v>
      </c>
      <c r="BA3183">
        <v>37</v>
      </c>
      <c r="BB3183">
        <v>5.52</v>
      </c>
      <c r="BC3183">
        <v>45</v>
      </c>
      <c r="BD3183">
        <v>0.01</v>
      </c>
      <c r="BE3183">
        <v>0.02</v>
      </c>
      <c r="BF3183">
        <v>-0.06</v>
      </c>
      <c r="BG3183">
        <v>83</v>
      </c>
      <c r="BH3183">
        <v>-0.01</v>
      </c>
      <c r="BI3183">
        <v>-6.39</v>
      </c>
      <c r="BJ3183">
        <v>13</v>
      </c>
      <c r="BK3183">
        <v>11</v>
      </c>
      <c r="BL3183">
        <v>-0.15</v>
      </c>
      <c r="BM3183">
        <v>1.04</v>
      </c>
      <c r="BN3183">
        <v>0.96</v>
      </c>
      <c r="BO3183">
        <v>-0.21</v>
      </c>
      <c r="BP3183">
        <v>0.28999999999999998</v>
      </c>
      <c r="BQ3183">
        <v>0.74</v>
      </c>
      <c r="BR3183">
        <v>-0.77</v>
      </c>
      <c r="BS3183">
        <v>-0.56999999999999995</v>
      </c>
      <c r="BT3183">
        <v>0.87</v>
      </c>
      <c r="BU3183">
        <v>-0.74</v>
      </c>
      <c r="BV3183">
        <v>-0.49</v>
      </c>
      <c r="BW3183">
        <v>-0.25</v>
      </c>
      <c r="BX3183">
        <v>-1.1000000000000001</v>
      </c>
      <c r="BY3183">
        <v>-1.01</v>
      </c>
      <c r="BZ3183">
        <v>-0.65</v>
      </c>
      <c r="CA3183">
        <v>-0.45</v>
      </c>
      <c r="CB3183">
        <v>-0.6</v>
      </c>
      <c r="CC3183">
        <v>0.23</v>
      </c>
      <c r="CD3183">
        <v>7.0000000000000007E-2</v>
      </c>
      <c r="CE3183">
        <v>-0.37</v>
      </c>
      <c r="CF3183">
        <v>-0.05</v>
      </c>
      <c r="CG3183">
        <v>0</v>
      </c>
      <c r="CH3183">
        <v>-0.06</v>
      </c>
      <c r="CI3183">
        <v>0</v>
      </c>
      <c r="CJ3183">
        <v>-9.4</v>
      </c>
      <c r="CK3183">
        <v>75</v>
      </c>
      <c r="CL3183">
        <v>-0.72</v>
      </c>
      <c r="CM3183">
        <v>71</v>
      </c>
      <c r="CN3183">
        <v>-0.1</v>
      </c>
      <c r="CO3183">
        <v>67</v>
      </c>
      <c r="CP3183">
        <v>-12.5</v>
      </c>
      <c r="CQ3183">
        <v>76</v>
      </c>
      <c r="CR3183">
        <v>0</v>
      </c>
      <c r="CS3183">
        <v>0</v>
      </c>
      <c r="CT3183">
        <v>-16.600000000000001</v>
      </c>
      <c r="CU3183">
        <v>69</v>
      </c>
      <c r="CV3183">
        <v>0.1</v>
      </c>
      <c r="CW3183">
        <v>21</v>
      </c>
      <c r="CX3183" t="s">
        <v>2792</v>
      </c>
    </row>
    <row r="3184" spans="1:102" x14ac:dyDescent="0.3">
      <c r="A3184" t="str">
        <f>HYPERLINK("https://webapp.icbf.com/v2/app/bull-search/view/69092872","VEE")</f>
        <v>VEE</v>
      </c>
      <c r="B3184" t="s">
        <v>6891</v>
      </c>
      <c r="C3184" t="s">
        <v>6892</v>
      </c>
      <c r="D3184" s="1">
        <v>34005</v>
      </c>
      <c r="E3184" t="s">
        <v>108</v>
      </c>
      <c r="F3184">
        <v>0</v>
      </c>
      <c r="G3184" t="s">
        <v>116</v>
      </c>
      <c r="H3184">
        <v>-17.3</v>
      </c>
      <c r="I3184">
        <v>39</v>
      </c>
      <c r="J3184">
        <v>9.67</v>
      </c>
      <c r="K3184">
        <v>57</v>
      </c>
      <c r="L3184">
        <v>-9.93</v>
      </c>
      <c r="M3184">
        <v>28</v>
      </c>
      <c r="N3184">
        <v>-11.07</v>
      </c>
      <c r="O3184">
        <v>24</v>
      </c>
      <c r="P3184">
        <v>-15.11</v>
      </c>
      <c r="Q3184">
        <v>36</v>
      </c>
      <c r="R3184">
        <v>-9.99</v>
      </c>
      <c r="S3184">
        <v>35</v>
      </c>
      <c r="T3184">
        <v>19.3</v>
      </c>
      <c r="U3184">
        <v>41</v>
      </c>
      <c r="V3184">
        <v>-0.17</v>
      </c>
      <c r="W3184">
        <v>13</v>
      </c>
      <c r="X3184" t="s">
        <v>94</v>
      </c>
      <c r="Y3184" t="s">
        <v>3298</v>
      </c>
      <c r="Z3184" t="s">
        <v>96</v>
      </c>
      <c r="AA3184" t="s">
        <v>5859</v>
      </c>
      <c r="AB3184" t="s">
        <v>6893</v>
      </c>
      <c r="AC3184">
        <v>7</v>
      </c>
      <c r="AD3184">
        <v>7</v>
      </c>
      <c r="AE3184">
        <v>57</v>
      </c>
      <c r="AF3184">
        <v>-31.16</v>
      </c>
      <c r="AG3184">
        <v>1.32</v>
      </c>
      <c r="AH3184">
        <v>0.7</v>
      </c>
      <c r="AI3184">
        <v>0.04</v>
      </c>
      <c r="AJ3184">
        <v>0.03</v>
      </c>
      <c r="AK3184">
        <v>28</v>
      </c>
      <c r="AL3184">
        <v>11</v>
      </c>
      <c r="AM3184">
        <v>10</v>
      </c>
      <c r="AN3184">
        <v>1.45</v>
      </c>
      <c r="AO3184">
        <v>0.67</v>
      </c>
      <c r="AP3184">
        <v>1</v>
      </c>
      <c r="AQ3184">
        <v>0</v>
      </c>
      <c r="AR3184">
        <v>10.26</v>
      </c>
      <c r="AS3184">
        <v>12</v>
      </c>
      <c r="AT3184">
        <v>4.0999999999999996</v>
      </c>
      <c r="AU3184">
        <v>33</v>
      </c>
      <c r="AV3184">
        <v>-0.81</v>
      </c>
      <c r="AW3184">
        <v>23</v>
      </c>
      <c r="AX3184">
        <v>-0.1</v>
      </c>
      <c r="AY3184">
        <v>31</v>
      </c>
      <c r="AZ3184">
        <v>6.27</v>
      </c>
      <c r="BA3184">
        <v>12</v>
      </c>
      <c r="BB3184">
        <v>5.07</v>
      </c>
      <c r="BC3184">
        <v>18</v>
      </c>
      <c r="BD3184">
        <v>0.04</v>
      </c>
      <c r="BE3184">
        <v>7.0000000000000007E-2</v>
      </c>
      <c r="BF3184">
        <v>0.03</v>
      </c>
      <c r="BG3184">
        <v>46</v>
      </c>
      <c r="BH3184">
        <v>0.11</v>
      </c>
      <c r="BI3184">
        <v>13.26</v>
      </c>
      <c r="BJ3184">
        <v>0</v>
      </c>
      <c r="BK3184">
        <v>0</v>
      </c>
      <c r="BL3184">
        <v>-0.22</v>
      </c>
      <c r="BM3184">
        <v>0.02</v>
      </c>
      <c r="BN3184">
        <v>-0.36</v>
      </c>
      <c r="BO3184">
        <v>-0.18</v>
      </c>
      <c r="BP3184">
        <v>0.73</v>
      </c>
      <c r="BQ3184">
        <v>7.0000000000000007E-2</v>
      </c>
      <c r="BR3184">
        <v>-0.08</v>
      </c>
      <c r="BS3184">
        <v>-0.54</v>
      </c>
      <c r="BT3184">
        <v>7.0000000000000007E-2</v>
      </c>
      <c r="BU3184">
        <v>-0.7</v>
      </c>
      <c r="BV3184">
        <v>-0.33</v>
      </c>
      <c r="BW3184">
        <v>-0.28000000000000003</v>
      </c>
      <c r="BX3184">
        <v>-0.59</v>
      </c>
      <c r="BY3184">
        <v>-0.23</v>
      </c>
      <c r="BZ3184">
        <v>-1.27</v>
      </c>
      <c r="CA3184">
        <v>-0.32</v>
      </c>
      <c r="CB3184">
        <v>-0.35</v>
      </c>
      <c r="CC3184">
        <v>-0.15</v>
      </c>
      <c r="CD3184">
        <v>0.02</v>
      </c>
      <c r="CE3184">
        <v>-0.25</v>
      </c>
      <c r="CF3184">
        <v>-0.39</v>
      </c>
      <c r="CG3184">
        <v>0</v>
      </c>
      <c r="CH3184">
        <v>-0.13</v>
      </c>
      <c r="CI3184">
        <v>0</v>
      </c>
      <c r="CJ3184">
        <v>-6.1</v>
      </c>
      <c r="CK3184">
        <v>37</v>
      </c>
      <c r="CL3184">
        <v>-0.45</v>
      </c>
      <c r="CM3184">
        <v>33</v>
      </c>
      <c r="CN3184">
        <v>0.01</v>
      </c>
      <c r="CO3184">
        <v>28</v>
      </c>
      <c r="CP3184">
        <v>-12.9</v>
      </c>
      <c r="CQ3184">
        <v>45</v>
      </c>
      <c r="CR3184">
        <v>0</v>
      </c>
      <c r="CS3184">
        <v>0</v>
      </c>
      <c r="CT3184">
        <v>-12.3</v>
      </c>
      <c r="CU3184">
        <v>41</v>
      </c>
      <c r="CV3184">
        <v>0.13</v>
      </c>
      <c r="CW3184">
        <v>9</v>
      </c>
      <c r="CX3184" t="s">
        <v>128</v>
      </c>
    </row>
    <row r="3185" spans="1:102" x14ac:dyDescent="0.3">
      <c r="A3185" t="str">
        <f>HYPERLINK("https://webapp.icbf.com/v2/app/bull-search/view/77856133","LBT")</f>
        <v>LBT</v>
      </c>
      <c r="B3185" t="s">
        <v>4897</v>
      </c>
      <c r="C3185" t="s">
        <v>4898</v>
      </c>
      <c r="D3185" s="1">
        <v>33150</v>
      </c>
      <c r="E3185" t="s">
        <v>92</v>
      </c>
      <c r="F3185">
        <v>81</v>
      </c>
      <c r="G3185" t="s">
        <v>93</v>
      </c>
      <c r="H3185">
        <v>-17.39</v>
      </c>
      <c r="I3185">
        <v>81</v>
      </c>
      <c r="J3185">
        <v>-21.53</v>
      </c>
      <c r="K3185">
        <v>96</v>
      </c>
      <c r="L3185">
        <v>56.46</v>
      </c>
      <c r="M3185">
        <v>75</v>
      </c>
      <c r="N3185">
        <v>-44.36</v>
      </c>
      <c r="O3185">
        <v>70</v>
      </c>
      <c r="P3185">
        <v>-11.09</v>
      </c>
      <c r="Q3185">
        <v>86</v>
      </c>
      <c r="R3185">
        <v>-5.05</v>
      </c>
      <c r="S3185">
        <v>74</v>
      </c>
      <c r="T3185">
        <v>5.61</v>
      </c>
      <c r="U3185">
        <v>81</v>
      </c>
      <c r="V3185">
        <v>2.57</v>
      </c>
      <c r="W3185">
        <v>42</v>
      </c>
      <c r="X3185" t="s">
        <v>94</v>
      </c>
      <c r="Y3185" t="s">
        <v>95</v>
      </c>
      <c r="Z3185" t="s">
        <v>96</v>
      </c>
      <c r="AA3185" t="s">
        <v>1347</v>
      </c>
      <c r="AB3185" t="s">
        <v>4899</v>
      </c>
      <c r="AC3185">
        <v>117</v>
      </c>
      <c r="AD3185">
        <v>79</v>
      </c>
      <c r="AE3185">
        <v>96</v>
      </c>
      <c r="AF3185">
        <v>142.63</v>
      </c>
      <c r="AG3185">
        <v>-2.85</v>
      </c>
      <c r="AH3185">
        <v>-0.47</v>
      </c>
      <c r="AI3185">
        <v>-0.14000000000000001</v>
      </c>
      <c r="AJ3185">
        <v>-0.09</v>
      </c>
      <c r="AK3185">
        <v>75</v>
      </c>
      <c r="AL3185">
        <v>216</v>
      </c>
      <c r="AM3185">
        <v>140</v>
      </c>
      <c r="AN3185">
        <v>-3.26</v>
      </c>
      <c r="AO3185">
        <v>1.24</v>
      </c>
      <c r="AP3185">
        <v>23</v>
      </c>
      <c r="AQ3185">
        <v>0</v>
      </c>
      <c r="AR3185">
        <v>12.64</v>
      </c>
      <c r="AS3185">
        <v>57</v>
      </c>
      <c r="AT3185">
        <v>4.76</v>
      </c>
      <c r="AU3185">
        <v>66</v>
      </c>
      <c r="AV3185">
        <v>1.38</v>
      </c>
      <c r="AW3185">
        <v>75</v>
      </c>
      <c r="AX3185">
        <v>0.54</v>
      </c>
      <c r="AY3185">
        <v>83</v>
      </c>
      <c r="AZ3185">
        <v>5.77</v>
      </c>
      <c r="BA3185">
        <v>45</v>
      </c>
      <c r="BB3185">
        <v>4.8</v>
      </c>
      <c r="BC3185">
        <v>65</v>
      </c>
      <c r="BD3185">
        <v>0.03</v>
      </c>
      <c r="BE3185">
        <v>0.04</v>
      </c>
      <c r="BF3185">
        <v>-0.01</v>
      </c>
      <c r="BG3185">
        <v>93</v>
      </c>
      <c r="BH3185">
        <v>0.09</v>
      </c>
      <c r="BI3185">
        <v>2.12</v>
      </c>
      <c r="BJ3185">
        <v>22</v>
      </c>
      <c r="BK3185">
        <v>19</v>
      </c>
      <c r="BL3185">
        <v>-0.38</v>
      </c>
      <c r="BM3185">
        <v>1.62</v>
      </c>
      <c r="BN3185">
        <v>0.6</v>
      </c>
      <c r="BO3185">
        <v>-0.76</v>
      </c>
      <c r="BP3185">
        <v>-0.13</v>
      </c>
      <c r="BQ3185">
        <v>1.02</v>
      </c>
      <c r="BR3185">
        <v>0.05</v>
      </c>
      <c r="BS3185">
        <v>-0.23</v>
      </c>
      <c r="BT3185">
        <v>0.43</v>
      </c>
      <c r="BU3185">
        <v>-0.33</v>
      </c>
      <c r="BV3185">
        <v>-0.96</v>
      </c>
      <c r="BW3185">
        <v>-0.24</v>
      </c>
      <c r="BX3185">
        <v>-0.98</v>
      </c>
      <c r="BY3185">
        <v>0.48</v>
      </c>
      <c r="BZ3185">
        <v>-0.36</v>
      </c>
      <c r="CA3185">
        <v>-0.72</v>
      </c>
      <c r="CB3185">
        <v>-0.69</v>
      </c>
      <c r="CC3185">
        <v>-0.52</v>
      </c>
      <c r="CD3185">
        <v>0.98</v>
      </c>
      <c r="CE3185">
        <v>-0.56000000000000005</v>
      </c>
      <c r="CF3185">
        <v>7.0000000000000007E-2</v>
      </c>
      <c r="CG3185">
        <v>0</v>
      </c>
      <c r="CH3185">
        <v>-0.66</v>
      </c>
      <c r="CI3185">
        <v>0</v>
      </c>
      <c r="CJ3185">
        <v>-3.6</v>
      </c>
      <c r="CK3185">
        <v>87</v>
      </c>
      <c r="CL3185">
        <v>-0.54</v>
      </c>
      <c r="CM3185">
        <v>84</v>
      </c>
      <c r="CN3185">
        <v>0.03</v>
      </c>
      <c r="CO3185">
        <v>82</v>
      </c>
      <c r="CP3185">
        <v>-1.3</v>
      </c>
      <c r="CQ3185">
        <v>90</v>
      </c>
      <c r="CR3185">
        <v>0</v>
      </c>
      <c r="CS3185">
        <v>0</v>
      </c>
      <c r="CT3185">
        <v>6.2</v>
      </c>
      <c r="CU3185">
        <v>81</v>
      </c>
      <c r="CV3185">
        <v>0.13</v>
      </c>
      <c r="CW3185">
        <v>24</v>
      </c>
      <c r="CX3185" t="s">
        <v>1485</v>
      </c>
    </row>
    <row r="3186" spans="1:102" x14ac:dyDescent="0.3">
      <c r="A3186" t="str">
        <f>HYPERLINK("https://webapp.icbf.com/v2/app/bull-search/view/77859352","ARH")</f>
        <v>ARH</v>
      </c>
      <c r="B3186" t="s">
        <v>14974</v>
      </c>
      <c r="C3186" t="s">
        <v>14975</v>
      </c>
      <c r="D3186" s="1">
        <v>31861</v>
      </c>
      <c r="E3186" t="s">
        <v>92</v>
      </c>
      <c r="F3186">
        <v>50</v>
      </c>
      <c r="G3186" t="s">
        <v>116</v>
      </c>
      <c r="H3186">
        <v>-17.39</v>
      </c>
      <c r="I3186">
        <v>45</v>
      </c>
      <c r="J3186">
        <v>-57.69</v>
      </c>
      <c r="K3186">
        <v>48</v>
      </c>
      <c r="L3186">
        <v>12.81</v>
      </c>
      <c r="M3186">
        <v>48</v>
      </c>
      <c r="N3186">
        <v>19.05</v>
      </c>
      <c r="O3186">
        <v>27</v>
      </c>
      <c r="P3186">
        <v>-16.04</v>
      </c>
      <c r="Q3186">
        <v>44</v>
      </c>
      <c r="R3186">
        <v>-5.48</v>
      </c>
      <c r="S3186">
        <v>46</v>
      </c>
      <c r="T3186">
        <v>29.81</v>
      </c>
      <c r="U3186">
        <v>56</v>
      </c>
      <c r="V3186">
        <v>0.15</v>
      </c>
      <c r="W3186">
        <v>19</v>
      </c>
      <c r="X3186" t="s">
        <v>94</v>
      </c>
      <c r="Y3186" t="s">
        <v>95</v>
      </c>
      <c r="Z3186" t="s">
        <v>96</v>
      </c>
      <c r="AA3186" t="s">
        <v>493</v>
      </c>
      <c r="AB3186" t="s">
        <v>14976</v>
      </c>
      <c r="AC3186">
        <v>7</v>
      </c>
      <c r="AD3186">
        <v>5</v>
      </c>
      <c r="AE3186">
        <v>48</v>
      </c>
      <c r="AF3186">
        <v>-346.13</v>
      </c>
      <c r="AG3186">
        <v>-8.9600000000000009</v>
      </c>
      <c r="AH3186">
        <v>-11.94</v>
      </c>
      <c r="AI3186">
        <v>0.08</v>
      </c>
      <c r="AJ3186">
        <v>0</v>
      </c>
      <c r="AK3186">
        <v>48</v>
      </c>
      <c r="AL3186">
        <v>25</v>
      </c>
      <c r="AM3186">
        <v>22</v>
      </c>
      <c r="AN3186">
        <v>-1.61</v>
      </c>
      <c r="AO3186">
        <v>-0.6</v>
      </c>
      <c r="AP3186">
        <v>2</v>
      </c>
      <c r="AQ3186">
        <v>1</v>
      </c>
      <c r="AR3186">
        <v>6.74</v>
      </c>
      <c r="AS3186">
        <v>14</v>
      </c>
      <c r="AT3186">
        <v>2.9</v>
      </c>
      <c r="AU3186">
        <v>23</v>
      </c>
      <c r="AV3186">
        <v>-2.2200000000000002</v>
      </c>
      <c r="AW3186">
        <v>30</v>
      </c>
      <c r="AX3186">
        <v>-0.25</v>
      </c>
      <c r="AY3186">
        <v>47</v>
      </c>
      <c r="AZ3186">
        <v>6.71</v>
      </c>
      <c r="BA3186">
        <v>13</v>
      </c>
      <c r="BB3186">
        <v>5.57</v>
      </c>
      <c r="BC3186">
        <v>19</v>
      </c>
      <c r="BD3186">
        <v>0.03</v>
      </c>
      <c r="BE3186">
        <v>0.04</v>
      </c>
      <c r="BF3186">
        <v>0</v>
      </c>
      <c r="BG3186">
        <v>66</v>
      </c>
      <c r="BH3186">
        <v>0.04</v>
      </c>
      <c r="BI3186">
        <v>4.13</v>
      </c>
      <c r="BJ3186">
        <v>1</v>
      </c>
      <c r="BK3186">
        <v>1</v>
      </c>
      <c r="BL3186">
        <v>-1.81</v>
      </c>
      <c r="BM3186">
        <v>1.44</v>
      </c>
      <c r="BN3186">
        <v>-1.44</v>
      </c>
      <c r="BO3186">
        <v>-2.08</v>
      </c>
      <c r="BP3186">
        <v>-0.49</v>
      </c>
      <c r="BQ3186">
        <v>0.06</v>
      </c>
      <c r="BR3186">
        <v>-0.13</v>
      </c>
      <c r="BS3186">
        <v>-0.06</v>
      </c>
      <c r="BT3186">
        <v>7.0000000000000007E-2</v>
      </c>
      <c r="BU3186">
        <v>-1.02</v>
      </c>
      <c r="BV3186">
        <v>-1.62</v>
      </c>
      <c r="BW3186">
        <v>-2.12</v>
      </c>
      <c r="BX3186">
        <v>-0.24</v>
      </c>
      <c r="BY3186">
        <v>-1.87</v>
      </c>
      <c r="BZ3186">
        <v>-1.88</v>
      </c>
      <c r="CA3186">
        <v>-1.65</v>
      </c>
      <c r="CB3186">
        <v>-1.77</v>
      </c>
      <c r="CC3186">
        <v>-0.82</v>
      </c>
      <c r="CD3186">
        <v>2</v>
      </c>
      <c r="CE3186">
        <v>-2.16</v>
      </c>
      <c r="CF3186">
        <v>-2.09</v>
      </c>
      <c r="CG3186">
        <v>0</v>
      </c>
      <c r="CH3186">
        <v>-2.2799999999999998</v>
      </c>
      <c r="CI3186">
        <v>0</v>
      </c>
      <c r="CJ3186">
        <v>-9</v>
      </c>
      <c r="CK3186">
        <v>46</v>
      </c>
      <c r="CL3186">
        <v>-0.21</v>
      </c>
      <c r="CM3186">
        <v>41</v>
      </c>
      <c r="CN3186">
        <v>-0.08</v>
      </c>
      <c r="CO3186">
        <v>36</v>
      </c>
      <c r="CP3186">
        <v>-15.9</v>
      </c>
      <c r="CQ3186">
        <v>52</v>
      </c>
      <c r="CR3186">
        <v>0</v>
      </c>
      <c r="CS3186">
        <v>0</v>
      </c>
      <c r="CT3186">
        <v>-26.5</v>
      </c>
      <c r="CU3186">
        <v>56</v>
      </c>
      <c r="CV3186">
        <v>-0.04</v>
      </c>
      <c r="CW3186">
        <v>11</v>
      </c>
      <c r="CX3186" t="s">
        <v>4159</v>
      </c>
    </row>
    <row r="3187" spans="1:102" x14ac:dyDescent="0.3">
      <c r="A3187" t="str">
        <f>HYPERLINK("https://webapp.icbf.com/v2/app/bull-search/view/77859400","ATF")</f>
        <v>ATF</v>
      </c>
      <c r="B3187" t="s">
        <v>14476</v>
      </c>
      <c r="C3187" t="s">
        <v>14477</v>
      </c>
      <c r="D3187" s="1">
        <v>33817</v>
      </c>
      <c r="E3187" t="s">
        <v>92</v>
      </c>
      <c r="F3187">
        <v>100</v>
      </c>
      <c r="G3187" t="s">
        <v>93</v>
      </c>
      <c r="H3187">
        <v>-17.52</v>
      </c>
      <c r="I3187">
        <v>86</v>
      </c>
      <c r="J3187">
        <v>30.15</v>
      </c>
      <c r="K3187">
        <v>95</v>
      </c>
      <c r="L3187">
        <v>-32.770000000000003</v>
      </c>
      <c r="M3187">
        <v>86</v>
      </c>
      <c r="N3187">
        <v>-15.13</v>
      </c>
      <c r="O3187">
        <v>73</v>
      </c>
      <c r="P3187">
        <v>-6.1</v>
      </c>
      <c r="Q3187">
        <v>83</v>
      </c>
      <c r="R3187">
        <v>7.41</v>
      </c>
      <c r="S3187">
        <v>79</v>
      </c>
      <c r="T3187">
        <v>3.32</v>
      </c>
      <c r="U3187">
        <v>77</v>
      </c>
      <c r="V3187">
        <v>-4.4000000000000004</v>
      </c>
      <c r="W3187">
        <v>67</v>
      </c>
      <c r="X3187" t="s">
        <v>94</v>
      </c>
      <c r="Y3187" t="s">
        <v>95</v>
      </c>
      <c r="Z3187" t="s">
        <v>96</v>
      </c>
      <c r="AA3187" t="s">
        <v>561</v>
      </c>
      <c r="AB3187" t="s">
        <v>14478</v>
      </c>
      <c r="AC3187">
        <v>49</v>
      </c>
      <c r="AD3187">
        <v>29</v>
      </c>
      <c r="AE3187">
        <v>95</v>
      </c>
      <c r="AF3187">
        <v>-32.090000000000003</v>
      </c>
      <c r="AG3187">
        <v>12.71</v>
      </c>
      <c r="AH3187">
        <v>0.14000000000000001</v>
      </c>
      <c r="AI3187">
        <v>0.24</v>
      </c>
      <c r="AJ3187">
        <v>0.02</v>
      </c>
      <c r="AK3187">
        <v>86</v>
      </c>
      <c r="AL3187">
        <v>42</v>
      </c>
      <c r="AM3187">
        <v>19</v>
      </c>
      <c r="AN3187">
        <v>2.0499999999999998</v>
      </c>
      <c r="AO3187">
        <v>-0.56000000000000005</v>
      </c>
      <c r="AP3187">
        <v>16</v>
      </c>
      <c r="AQ3187">
        <v>1</v>
      </c>
      <c r="AR3187">
        <v>8.9600000000000009</v>
      </c>
      <c r="AS3187">
        <v>62</v>
      </c>
      <c r="AT3187">
        <v>3.67</v>
      </c>
      <c r="AU3187">
        <v>86</v>
      </c>
      <c r="AV3187">
        <v>0.77</v>
      </c>
      <c r="AW3187">
        <v>72</v>
      </c>
      <c r="AX3187">
        <v>-0.23</v>
      </c>
      <c r="AY3187">
        <v>72</v>
      </c>
      <c r="AZ3187">
        <v>6.42</v>
      </c>
      <c r="BA3187">
        <v>58</v>
      </c>
      <c r="BB3187">
        <v>5.14</v>
      </c>
      <c r="BC3187">
        <v>61</v>
      </c>
      <c r="BD3187">
        <v>0.01</v>
      </c>
      <c r="BE3187">
        <v>-0.03</v>
      </c>
      <c r="BF3187">
        <v>-0.13</v>
      </c>
      <c r="BG3187">
        <v>91</v>
      </c>
      <c r="BH3187">
        <v>0.03</v>
      </c>
      <c r="BI3187">
        <v>17.670000000000002</v>
      </c>
      <c r="BJ3187">
        <v>3</v>
      </c>
      <c r="BK3187">
        <v>3</v>
      </c>
      <c r="BL3187">
        <v>0.88</v>
      </c>
      <c r="BM3187">
        <v>-1.51</v>
      </c>
      <c r="BN3187">
        <v>0.27</v>
      </c>
      <c r="BO3187">
        <v>0.76</v>
      </c>
      <c r="BP3187">
        <v>0.76</v>
      </c>
      <c r="BQ3187">
        <v>0.08</v>
      </c>
      <c r="BR3187">
        <v>3.11</v>
      </c>
      <c r="BS3187">
        <v>-1.1100000000000001</v>
      </c>
      <c r="BT3187">
        <v>-1.91</v>
      </c>
      <c r="BU3187">
        <v>0.7</v>
      </c>
      <c r="BV3187">
        <v>1.25</v>
      </c>
      <c r="BW3187">
        <v>-0.05</v>
      </c>
      <c r="BX3187">
        <v>1.24</v>
      </c>
      <c r="BY3187">
        <v>-0.37</v>
      </c>
      <c r="BZ3187">
        <v>-0.92</v>
      </c>
      <c r="CA3187">
        <v>0.21</v>
      </c>
      <c r="CB3187">
        <v>0.46</v>
      </c>
      <c r="CC3187">
        <v>-0.35</v>
      </c>
      <c r="CD3187">
        <v>-1.42</v>
      </c>
      <c r="CE3187">
        <v>0.83</v>
      </c>
      <c r="CF3187">
        <v>0.49</v>
      </c>
      <c r="CG3187">
        <v>0</v>
      </c>
      <c r="CH3187">
        <v>-0.36</v>
      </c>
      <c r="CI3187">
        <v>0</v>
      </c>
      <c r="CJ3187">
        <v>-1.9</v>
      </c>
      <c r="CK3187">
        <v>84</v>
      </c>
      <c r="CL3187">
        <v>-0.94</v>
      </c>
      <c r="CM3187">
        <v>82</v>
      </c>
      <c r="CN3187">
        <v>-0.52</v>
      </c>
      <c r="CO3187">
        <v>79</v>
      </c>
      <c r="CP3187">
        <v>0.9</v>
      </c>
      <c r="CQ3187">
        <v>86</v>
      </c>
      <c r="CR3187">
        <v>0</v>
      </c>
      <c r="CS3187">
        <v>0</v>
      </c>
      <c r="CT3187">
        <v>9.3000000000000007</v>
      </c>
      <c r="CU3187">
        <v>77</v>
      </c>
      <c r="CV3187">
        <v>0.17</v>
      </c>
      <c r="CW3187">
        <v>42</v>
      </c>
      <c r="CX3187" t="s">
        <v>543</v>
      </c>
    </row>
    <row r="3188" spans="1:102" x14ac:dyDescent="0.3">
      <c r="A3188" t="str">
        <f>HYPERLINK("https://webapp.icbf.com/v2/app/bull-search/view/583213323","S622")</f>
        <v>S622</v>
      </c>
      <c r="B3188" t="s">
        <v>144</v>
      </c>
      <c r="C3188" t="s">
        <v>12603</v>
      </c>
      <c r="D3188" s="1">
        <v>35788</v>
      </c>
      <c r="E3188" t="s">
        <v>895</v>
      </c>
      <c r="F3188">
        <v>0</v>
      </c>
      <c r="G3188" t="s">
        <v>116</v>
      </c>
      <c r="H3188">
        <v>-17.53</v>
      </c>
      <c r="I3188">
        <v>29</v>
      </c>
      <c r="J3188">
        <v>-16.239999999999998</v>
      </c>
      <c r="K3188">
        <v>47</v>
      </c>
      <c r="L3188">
        <v>-18.86</v>
      </c>
      <c r="M3188">
        <v>10</v>
      </c>
      <c r="N3188">
        <v>-6.73</v>
      </c>
      <c r="O3188">
        <v>20</v>
      </c>
      <c r="P3188">
        <v>-3.02</v>
      </c>
      <c r="Q3188">
        <v>47</v>
      </c>
      <c r="R3188">
        <v>8.67</v>
      </c>
      <c r="S3188">
        <v>13</v>
      </c>
      <c r="T3188">
        <v>22.85</v>
      </c>
      <c r="U3188">
        <v>43</v>
      </c>
      <c r="V3188">
        <v>-4.2</v>
      </c>
      <c r="W3188">
        <v>1</v>
      </c>
      <c r="X3188" t="s">
        <v>251</v>
      </c>
      <c r="Y3188" t="s">
        <v>1122</v>
      </c>
      <c r="Z3188">
        <v>0</v>
      </c>
      <c r="AA3188" t="s">
        <v>12604</v>
      </c>
      <c r="AB3188" t="s">
        <v>12605</v>
      </c>
      <c r="AC3188">
        <v>3</v>
      </c>
      <c r="AD3188">
        <v>1</v>
      </c>
      <c r="AE3188">
        <v>47</v>
      </c>
      <c r="AF3188">
        <v>-247.56</v>
      </c>
      <c r="AG3188">
        <v>-0.85</v>
      </c>
      <c r="AH3188">
        <v>-6.25</v>
      </c>
      <c r="AI3188">
        <v>0.15</v>
      </c>
      <c r="AJ3188">
        <v>0.04</v>
      </c>
      <c r="AK3188">
        <v>10</v>
      </c>
      <c r="AL3188">
        <v>3</v>
      </c>
      <c r="AM3188">
        <v>1</v>
      </c>
      <c r="AN3188">
        <v>2.15</v>
      </c>
      <c r="AO3188">
        <v>0.66</v>
      </c>
      <c r="AP3188">
        <v>8</v>
      </c>
      <c r="AQ3188">
        <v>0</v>
      </c>
      <c r="AR3188">
        <v>6.87</v>
      </c>
      <c r="AS3188">
        <v>5</v>
      </c>
      <c r="AT3188">
        <v>3.25</v>
      </c>
      <c r="AU3188">
        <v>18</v>
      </c>
      <c r="AV3188">
        <v>1.88</v>
      </c>
      <c r="AW3188">
        <v>31</v>
      </c>
      <c r="AX3188">
        <v>-0.46</v>
      </c>
      <c r="AY3188">
        <v>18</v>
      </c>
      <c r="AZ3188">
        <v>5.0199999999999996</v>
      </c>
      <c r="BA3188">
        <v>5</v>
      </c>
      <c r="BB3188">
        <v>4.08</v>
      </c>
      <c r="BC3188">
        <v>5</v>
      </c>
      <c r="BD3188">
        <v>-0.02</v>
      </c>
      <c r="BE3188">
        <v>-0.04</v>
      </c>
      <c r="BF3188">
        <v>-0.09</v>
      </c>
      <c r="BG3188">
        <v>17</v>
      </c>
      <c r="BH3188">
        <v>-0.1</v>
      </c>
      <c r="BI3188">
        <v>1.99</v>
      </c>
      <c r="BJ3188">
        <v>0</v>
      </c>
      <c r="BK3188">
        <v>0</v>
      </c>
      <c r="BL3188">
        <v>0</v>
      </c>
      <c r="BM3188">
        <v>0</v>
      </c>
      <c r="BN3188">
        <v>0</v>
      </c>
      <c r="BO3188">
        <v>0</v>
      </c>
      <c r="BP3188">
        <v>0</v>
      </c>
      <c r="BQ3188">
        <v>0</v>
      </c>
      <c r="BR3188">
        <v>0</v>
      </c>
      <c r="BS3188">
        <v>0</v>
      </c>
      <c r="BT3188">
        <v>0</v>
      </c>
      <c r="BU3188">
        <v>0</v>
      </c>
      <c r="BV3188">
        <v>0</v>
      </c>
      <c r="BW3188">
        <v>0</v>
      </c>
      <c r="BX3188">
        <v>0</v>
      </c>
      <c r="BY3188">
        <v>0</v>
      </c>
      <c r="BZ3188">
        <v>0</v>
      </c>
      <c r="CA3188">
        <v>0</v>
      </c>
      <c r="CB3188">
        <v>0</v>
      </c>
      <c r="CC3188">
        <v>0</v>
      </c>
      <c r="CD3188">
        <v>0</v>
      </c>
      <c r="CE3188">
        <v>0</v>
      </c>
      <c r="CF3188">
        <v>0</v>
      </c>
      <c r="CG3188">
        <v>0</v>
      </c>
      <c r="CH3188">
        <v>0</v>
      </c>
      <c r="CI3188">
        <v>0</v>
      </c>
      <c r="CJ3188">
        <v>-1.4</v>
      </c>
      <c r="CK3188">
        <v>51</v>
      </c>
      <c r="CL3188">
        <v>-0.22</v>
      </c>
      <c r="CM3188">
        <v>45</v>
      </c>
      <c r="CN3188">
        <v>-0.21</v>
      </c>
      <c r="CO3188">
        <v>40</v>
      </c>
      <c r="CP3188">
        <v>-8.5</v>
      </c>
      <c r="CQ3188">
        <v>40</v>
      </c>
      <c r="CR3188">
        <v>0</v>
      </c>
      <c r="CS3188">
        <v>0</v>
      </c>
      <c r="CT3188">
        <v>-17.100000000000001</v>
      </c>
      <c r="CU3188">
        <v>43</v>
      </c>
      <c r="CV3188">
        <v>-0.03</v>
      </c>
      <c r="CW3188">
        <v>13</v>
      </c>
      <c r="CX3188" t="s">
        <v>1297</v>
      </c>
    </row>
    <row r="3189" spans="1:102" x14ac:dyDescent="0.3">
      <c r="A3189" t="str">
        <f>HYPERLINK("https://webapp.icbf.com/v2/app/bull-search/view/444418397","CZA")</f>
        <v>CZA</v>
      </c>
      <c r="B3189" t="s">
        <v>11955</v>
      </c>
      <c r="C3189" t="s">
        <v>11956</v>
      </c>
      <c r="D3189" s="1">
        <v>36969</v>
      </c>
      <c r="E3189" t="s">
        <v>92</v>
      </c>
      <c r="F3189">
        <v>100</v>
      </c>
      <c r="G3189" t="s">
        <v>93</v>
      </c>
      <c r="H3189">
        <v>-17.600000000000001</v>
      </c>
      <c r="I3189">
        <v>85</v>
      </c>
      <c r="J3189">
        <v>36.1</v>
      </c>
      <c r="K3189">
        <v>95</v>
      </c>
      <c r="L3189">
        <v>-55.2</v>
      </c>
      <c r="M3189">
        <v>83</v>
      </c>
      <c r="N3189">
        <v>16.649999999999999</v>
      </c>
      <c r="O3189">
        <v>81</v>
      </c>
      <c r="P3189">
        <v>-16.98</v>
      </c>
      <c r="Q3189">
        <v>88</v>
      </c>
      <c r="R3189">
        <v>-8.3800000000000008</v>
      </c>
      <c r="S3189">
        <v>72</v>
      </c>
      <c r="T3189">
        <v>12.79</v>
      </c>
      <c r="U3189">
        <v>75</v>
      </c>
      <c r="V3189">
        <v>-2.58</v>
      </c>
      <c r="W3189">
        <v>66</v>
      </c>
      <c r="X3189" t="s">
        <v>251</v>
      </c>
      <c r="Y3189" t="s">
        <v>1208</v>
      </c>
      <c r="Z3189" t="s">
        <v>96</v>
      </c>
      <c r="AA3189" t="s">
        <v>7330</v>
      </c>
      <c r="AB3189" t="s">
        <v>11957</v>
      </c>
      <c r="AC3189">
        <v>73</v>
      </c>
      <c r="AD3189">
        <v>30</v>
      </c>
      <c r="AE3189">
        <v>95</v>
      </c>
      <c r="AF3189">
        <v>363.93</v>
      </c>
      <c r="AG3189">
        <v>3.93</v>
      </c>
      <c r="AH3189">
        <v>10.32</v>
      </c>
      <c r="AI3189">
        <v>-0.16</v>
      </c>
      <c r="AJ3189">
        <v>-0.03</v>
      </c>
      <c r="AK3189">
        <v>83</v>
      </c>
      <c r="AL3189">
        <v>77</v>
      </c>
      <c r="AM3189">
        <v>28</v>
      </c>
      <c r="AN3189">
        <v>3.2</v>
      </c>
      <c r="AO3189">
        <v>-1.2</v>
      </c>
      <c r="AP3189">
        <v>157</v>
      </c>
      <c r="AQ3189">
        <v>1</v>
      </c>
      <c r="AR3189">
        <v>7.5</v>
      </c>
      <c r="AS3189">
        <v>62</v>
      </c>
      <c r="AT3189">
        <v>3.96</v>
      </c>
      <c r="AU3189">
        <v>89</v>
      </c>
      <c r="AV3189">
        <v>-2.86</v>
      </c>
      <c r="AW3189">
        <v>94</v>
      </c>
      <c r="AX3189">
        <v>-0.84</v>
      </c>
      <c r="AY3189">
        <v>75</v>
      </c>
      <c r="AZ3189">
        <v>6.23</v>
      </c>
      <c r="BA3189">
        <v>54</v>
      </c>
      <c r="BB3189">
        <v>5.22</v>
      </c>
      <c r="BC3189">
        <v>51</v>
      </c>
      <c r="BD3189">
        <v>0.04</v>
      </c>
      <c r="BE3189">
        <v>0.04</v>
      </c>
      <c r="BF3189">
        <v>0.05</v>
      </c>
      <c r="BG3189">
        <v>88</v>
      </c>
      <c r="BH3189">
        <v>-0.16</v>
      </c>
      <c r="BI3189">
        <v>-10.199999999999999</v>
      </c>
      <c r="BJ3189">
        <v>15</v>
      </c>
      <c r="BK3189">
        <v>5</v>
      </c>
      <c r="BL3189">
        <v>0.73</v>
      </c>
      <c r="BM3189">
        <v>-1.7</v>
      </c>
      <c r="BN3189">
        <v>-0.84</v>
      </c>
      <c r="BO3189">
        <v>0.67</v>
      </c>
      <c r="BP3189">
        <v>-0.53</v>
      </c>
      <c r="BQ3189">
        <v>-0.51</v>
      </c>
      <c r="BR3189">
        <v>1.34</v>
      </c>
      <c r="BS3189">
        <v>-0.37</v>
      </c>
      <c r="BT3189">
        <v>-0.44</v>
      </c>
      <c r="BU3189">
        <v>1.04</v>
      </c>
      <c r="BV3189">
        <v>0.44</v>
      </c>
      <c r="BW3189">
        <v>1.04</v>
      </c>
      <c r="BX3189">
        <v>1.68</v>
      </c>
      <c r="BY3189">
        <v>1.57</v>
      </c>
      <c r="BZ3189">
        <v>-0.14000000000000001</v>
      </c>
      <c r="CA3189">
        <v>1.01</v>
      </c>
      <c r="CB3189">
        <v>1.27</v>
      </c>
      <c r="CC3189">
        <v>-0.17</v>
      </c>
      <c r="CD3189">
        <v>-1.35</v>
      </c>
      <c r="CE3189">
        <v>0.2</v>
      </c>
      <c r="CF3189">
        <v>-0.23</v>
      </c>
      <c r="CG3189">
        <v>0</v>
      </c>
      <c r="CH3189">
        <v>1.17</v>
      </c>
      <c r="CI3189">
        <v>0</v>
      </c>
      <c r="CJ3189">
        <v>-8.6</v>
      </c>
      <c r="CK3189">
        <v>89</v>
      </c>
      <c r="CL3189">
        <v>-0.94</v>
      </c>
      <c r="CM3189">
        <v>87</v>
      </c>
      <c r="CN3189">
        <v>-0.52</v>
      </c>
      <c r="CO3189">
        <v>85</v>
      </c>
      <c r="CP3189">
        <v>-10</v>
      </c>
      <c r="CQ3189">
        <v>85</v>
      </c>
      <c r="CR3189">
        <v>0</v>
      </c>
      <c r="CS3189">
        <v>0</v>
      </c>
      <c r="CT3189">
        <v>-3.5</v>
      </c>
      <c r="CU3189">
        <v>75</v>
      </c>
      <c r="CV3189">
        <v>0.14000000000000001</v>
      </c>
      <c r="CW3189">
        <v>25</v>
      </c>
      <c r="CX3189" t="s">
        <v>2903</v>
      </c>
    </row>
    <row r="3190" spans="1:102" x14ac:dyDescent="0.3">
      <c r="A3190" t="str">
        <f>HYPERLINK("https://webapp.icbf.com/v2/app/bull-search/view/77853493","STB")</f>
        <v>STB</v>
      </c>
      <c r="B3190" t="s">
        <v>10860</v>
      </c>
      <c r="C3190" t="s">
        <v>10861</v>
      </c>
      <c r="D3190" s="1">
        <v>32924</v>
      </c>
      <c r="E3190" t="s">
        <v>92</v>
      </c>
      <c r="F3190">
        <v>50</v>
      </c>
      <c r="G3190" t="s">
        <v>93</v>
      </c>
      <c r="H3190">
        <v>-17.72</v>
      </c>
      <c r="I3190">
        <v>81</v>
      </c>
      <c r="J3190">
        <v>-34.15</v>
      </c>
      <c r="K3190">
        <v>92</v>
      </c>
      <c r="L3190">
        <v>27.34</v>
      </c>
      <c r="M3190">
        <v>71</v>
      </c>
      <c r="N3190">
        <v>-9.15</v>
      </c>
      <c r="O3190">
        <v>71</v>
      </c>
      <c r="P3190">
        <v>-7.91</v>
      </c>
      <c r="Q3190">
        <v>92</v>
      </c>
      <c r="R3190">
        <v>-5.92</v>
      </c>
      <c r="S3190">
        <v>72</v>
      </c>
      <c r="T3190">
        <v>19.89</v>
      </c>
      <c r="U3190">
        <v>86</v>
      </c>
      <c r="V3190">
        <v>-7.82</v>
      </c>
      <c r="W3190">
        <v>65</v>
      </c>
      <c r="X3190" t="s">
        <v>94</v>
      </c>
      <c r="Y3190" t="s">
        <v>95</v>
      </c>
      <c r="Z3190" t="s">
        <v>96</v>
      </c>
      <c r="AA3190" t="s">
        <v>3826</v>
      </c>
      <c r="AB3190" t="s">
        <v>3827</v>
      </c>
      <c r="AC3190">
        <v>58</v>
      </c>
      <c r="AD3190">
        <v>31</v>
      </c>
      <c r="AE3190">
        <v>92</v>
      </c>
      <c r="AF3190">
        <v>-139.28</v>
      </c>
      <c r="AG3190">
        <v>-7.18</v>
      </c>
      <c r="AH3190">
        <v>-5.4</v>
      </c>
      <c r="AI3190">
        <v>-0.03</v>
      </c>
      <c r="AJ3190">
        <v>-0.01</v>
      </c>
      <c r="AK3190">
        <v>71</v>
      </c>
      <c r="AL3190">
        <v>131</v>
      </c>
      <c r="AM3190">
        <v>64</v>
      </c>
      <c r="AN3190">
        <v>-2.2999999999999998</v>
      </c>
      <c r="AO3190">
        <v>-0.13</v>
      </c>
      <c r="AP3190">
        <v>17</v>
      </c>
      <c r="AQ3190">
        <v>20</v>
      </c>
      <c r="AR3190">
        <v>6.48</v>
      </c>
      <c r="AS3190">
        <v>48</v>
      </c>
      <c r="AT3190">
        <v>3.24</v>
      </c>
      <c r="AU3190">
        <v>60</v>
      </c>
      <c r="AV3190">
        <v>0.94</v>
      </c>
      <c r="AW3190">
        <v>87</v>
      </c>
      <c r="AX3190">
        <v>-0.8</v>
      </c>
      <c r="AY3190">
        <v>87</v>
      </c>
      <c r="AZ3190">
        <v>7.42</v>
      </c>
      <c r="BA3190">
        <v>40</v>
      </c>
      <c r="BB3190">
        <v>5.77</v>
      </c>
      <c r="BC3190">
        <v>56</v>
      </c>
      <c r="BD3190">
        <v>0.03</v>
      </c>
      <c r="BE3190">
        <v>0.04</v>
      </c>
      <c r="BF3190">
        <v>0.01</v>
      </c>
      <c r="BG3190">
        <v>86</v>
      </c>
      <c r="BH3190">
        <v>-0.11</v>
      </c>
      <c r="BI3190">
        <v>12.49</v>
      </c>
      <c r="BJ3190">
        <v>6</v>
      </c>
      <c r="BK3190">
        <v>5</v>
      </c>
      <c r="BL3190">
        <v>-1.28</v>
      </c>
      <c r="BM3190">
        <v>0.84</v>
      </c>
      <c r="BN3190">
        <v>-0.56999999999999995</v>
      </c>
      <c r="BO3190">
        <v>-1.02</v>
      </c>
      <c r="BP3190">
        <v>1.06</v>
      </c>
      <c r="BQ3190">
        <v>0.31</v>
      </c>
      <c r="BR3190">
        <v>0.76</v>
      </c>
      <c r="BS3190">
        <v>-0.44</v>
      </c>
      <c r="BT3190">
        <v>-0.65</v>
      </c>
      <c r="BU3190">
        <v>-1.31</v>
      </c>
      <c r="BV3190">
        <v>-1.58</v>
      </c>
      <c r="BW3190">
        <v>-1.75</v>
      </c>
      <c r="BX3190">
        <v>-2.1800000000000002</v>
      </c>
      <c r="BY3190">
        <v>-1.21</v>
      </c>
      <c r="BZ3190">
        <v>0.22</v>
      </c>
      <c r="CA3190">
        <v>-2.2000000000000002</v>
      </c>
      <c r="CB3190">
        <v>-1.77</v>
      </c>
      <c r="CC3190">
        <v>-2</v>
      </c>
      <c r="CD3190">
        <v>1.1200000000000001</v>
      </c>
      <c r="CE3190">
        <v>-1.24</v>
      </c>
      <c r="CF3190">
        <v>-1.1399999999999999</v>
      </c>
      <c r="CG3190">
        <v>0</v>
      </c>
      <c r="CH3190">
        <v>-1.88</v>
      </c>
      <c r="CI3190">
        <v>0</v>
      </c>
      <c r="CJ3190">
        <v>-4.5999999999999996</v>
      </c>
      <c r="CK3190">
        <v>93</v>
      </c>
      <c r="CL3190">
        <v>-0.21</v>
      </c>
      <c r="CM3190">
        <v>92</v>
      </c>
      <c r="CN3190">
        <v>-0.23</v>
      </c>
      <c r="CO3190">
        <v>90</v>
      </c>
      <c r="CP3190">
        <v>-13.9</v>
      </c>
      <c r="CQ3190">
        <v>89</v>
      </c>
      <c r="CR3190">
        <v>0</v>
      </c>
      <c r="CS3190">
        <v>0</v>
      </c>
      <c r="CT3190">
        <v>-13.1</v>
      </c>
      <c r="CU3190">
        <v>86</v>
      </c>
      <c r="CV3190">
        <v>-0.05</v>
      </c>
      <c r="CW3190">
        <v>26</v>
      </c>
      <c r="CX3190" t="s">
        <v>3180</v>
      </c>
    </row>
    <row r="3191" spans="1:102" x14ac:dyDescent="0.3">
      <c r="A3191" t="str">
        <f>HYPERLINK("https://webapp.icbf.com/v2/app/bull-search/view/77853409","SPR")</f>
        <v>SPR</v>
      </c>
      <c r="B3191" t="s">
        <v>15676</v>
      </c>
      <c r="C3191" t="s">
        <v>15677</v>
      </c>
      <c r="D3191" s="1">
        <v>33662</v>
      </c>
      <c r="E3191" t="s">
        <v>92</v>
      </c>
      <c r="F3191">
        <v>94</v>
      </c>
      <c r="G3191" t="s">
        <v>93</v>
      </c>
      <c r="H3191">
        <v>-17.809999999999999</v>
      </c>
      <c r="I3191">
        <v>81</v>
      </c>
      <c r="J3191">
        <v>28.9</v>
      </c>
      <c r="K3191">
        <v>96</v>
      </c>
      <c r="L3191">
        <v>-37.99</v>
      </c>
      <c r="M3191">
        <v>75</v>
      </c>
      <c r="N3191">
        <v>0.98</v>
      </c>
      <c r="O3191">
        <v>64</v>
      </c>
      <c r="P3191">
        <v>-9.9499999999999993</v>
      </c>
      <c r="Q3191">
        <v>84</v>
      </c>
      <c r="R3191">
        <v>-17.75</v>
      </c>
      <c r="S3191">
        <v>74</v>
      </c>
      <c r="T3191">
        <v>18.27</v>
      </c>
      <c r="U3191">
        <v>92</v>
      </c>
      <c r="V3191">
        <v>-0.27</v>
      </c>
      <c r="W3191">
        <v>36</v>
      </c>
      <c r="X3191" t="s">
        <v>94</v>
      </c>
      <c r="Y3191" t="s">
        <v>95</v>
      </c>
      <c r="Z3191" t="s">
        <v>96</v>
      </c>
      <c r="AA3191" t="s">
        <v>193</v>
      </c>
      <c r="AB3191" t="s">
        <v>15678</v>
      </c>
      <c r="AC3191">
        <v>134</v>
      </c>
      <c r="AD3191">
        <v>77</v>
      </c>
      <c r="AE3191">
        <v>96</v>
      </c>
      <c r="AF3191">
        <v>167.55</v>
      </c>
      <c r="AG3191">
        <v>8.51</v>
      </c>
      <c r="AH3191">
        <v>4.47</v>
      </c>
      <c r="AI3191">
        <v>0.03</v>
      </c>
      <c r="AJ3191">
        <v>-0.02</v>
      </c>
      <c r="AK3191">
        <v>75</v>
      </c>
      <c r="AL3191">
        <v>221</v>
      </c>
      <c r="AM3191">
        <v>124</v>
      </c>
      <c r="AN3191">
        <v>2.02</v>
      </c>
      <c r="AO3191">
        <v>-1.01</v>
      </c>
      <c r="AP3191">
        <v>1</v>
      </c>
      <c r="AQ3191">
        <v>0</v>
      </c>
      <c r="AR3191">
        <v>5.89</v>
      </c>
      <c r="AS3191">
        <v>35</v>
      </c>
      <c r="AT3191">
        <v>2.21</v>
      </c>
      <c r="AU3191">
        <v>62</v>
      </c>
      <c r="AV3191">
        <v>0.4</v>
      </c>
      <c r="AW3191">
        <v>69</v>
      </c>
      <c r="AX3191">
        <v>-0.31</v>
      </c>
      <c r="AY3191">
        <v>80</v>
      </c>
      <c r="AZ3191">
        <v>7.67</v>
      </c>
      <c r="BA3191">
        <v>37</v>
      </c>
      <c r="BB3191">
        <v>6.09</v>
      </c>
      <c r="BC3191">
        <v>61</v>
      </c>
      <c r="BD3191">
        <v>0.06</v>
      </c>
      <c r="BE3191">
        <v>0.12</v>
      </c>
      <c r="BF3191">
        <v>0.08</v>
      </c>
      <c r="BG3191">
        <v>93</v>
      </c>
      <c r="BH3191">
        <v>0.08</v>
      </c>
      <c r="BI3191">
        <v>10.130000000000001</v>
      </c>
      <c r="BJ3191">
        <v>18</v>
      </c>
      <c r="BK3191">
        <v>16</v>
      </c>
      <c r="BL3191">
        <v>-0.67</v>
      </c>
      <c r="BM3191">
        <v>0.02</v>
      </c>
      <c r="BN3191">
        <v>-1.79</v>
      </c>
      <c r="BO3191">
        <v>-1.03</v>
      </c>
      <c r="BP3191">
        <v>0.36</v>
      </c>
      <c r="BQ3191">
        <v>0.17</v>
      </c>
      <c r="BR3191">
        <v>1.39</v>
      </c>
      <c r="BS3191">
        <v>-0.5</v>
      </c>
      <c r="BT3191">
        <v>-2.37</v>
      </c>
      <c r="BU3191">
        <v>-1.21</v>
      </c>
      <c r="BV3191">
        <v>-0.89</v>
      </c>
      <c r="BW3191">
        <v>-0.24</v>
      </c>
      <c r="BX3191">
        <v>-0.43</v>
      </c>
      <c r="BY3191">
        <v>-2.4</v>
      </c>
      <c r="BZ3191">
        <v>1.61</v>
      </c>
      <c r="CA3191">
        <v>-1.78</v>
      </c>
      <c r="CB3191">
        <v>-1.22</v>
      </c>
      <c r="CC3191">
        <v>-2.41</v>
      </c>
      <c r="CD3191">
        <v>0.69</v>
      </c>
      <c r="CE3191">
        <v>-1.3</v>
      </c>
      <c r="CF3191">
        <v>-0.77</v>
      </c>
      <c r="CG3191">
        <v>0</v>
      </c>
      <c r="CH3191">
        <v>0.14000000000000001</v>
      </c>
      <c r="CI3191">
        <v>0</v>
      </c>
      <c r="CJ3191">
        <v>-2.9</v>
      </c>
      <c r="CK3191">
        <v>85</v>
      </c>
      <c r="CL3191">
        <v>-0.43</v>
      </c>
      <c r="CM3191">
        <v>82</v>
      </c>
      <c r="CN3191">
        <v>0.01</v>
      </c>
      <c r="CO3191">
        <v>79</v>
      </c>
      <c r="CP3191">
        <v>-9.3000000000000007</v>
      </c>
      <c r="CQ3191">
        <v>89</v>
      </c>
      <c r="CR3191">
        <v>0</v>
      </c>
      <c r="CS3191">
        <v>0</v>
      </c>
      <c r="CT3191">
        <v>-10.9</v>
      </c>
      <c r="CU3191">
        <v>92</v>
      </c>
      <c r="CV3191">
        <v>0.15</v>
      </c>
      <c r="CW3191">
        <v>24</v>
      </c>
      <c r="CX3191" t="s">
        <v>539</v>
      </c>
    </row>
    <row r="3192" spans="1:102" x14ac:dyDescent="0.3">
      <c r="A3192" t="str">
        <f>HYPERLINK("https://webapp.icbf.com/v2/app/bull-search/view/77854744","PIE")</f>
        <v>PIE</v>
      </c>
      <c r="B3192" t="s">
        <v>3879</v>
      </c>
      <c r="C3192" t="s">
        <v>3880</v>
      </c>
      <c r="D3192" s="1">
        <v>34006</v>
      </c>
      <c r="E3192" t="s">
        <v>146</v>
      </c>
      <c r="F3192">
        <v>0</v>
      </c>
      <c r="G3192" t="s">
        <v>93</v>
      </c>
      <c r="H3192">
        <v>-17.850000000000001</v>
      </c>
      <c r="I3192">
        <v>45</v>
      </c>
      <c r="J3192">
        <v>-34.9</v>
      </c>
      <c r="K3192">
        <v>72</v>
      </c>
      <c r="L3192">
        <v>-5.0599999999999996</v>
      </c>
      <c r="M3192">
        <v>31</v>
      </c>
      <c r="N3192">
        <v>9.5500000000000007</v>
      </c>
      <c r="O3192">
        <v>29</v>
      </c>
      <c r="P3192">
        <v>14.74</v>
      </c>
      <c r="Q3192">
        <v>47</v>
      </c>
      <c r="R3192">
        <v>-6.06</v>
      </c>
      <c r="S3192">
        <v>36</v>
      </c>
      <c r="T3192">
        <v>10.57</v>
      </c>
      <c r="U3192">
        <v>29</v>
      </c>
      <c r="V3192">
        <v>-6.69</v>
      </c>
      <c r="W3192">
        <v>12</v>
      </c>
      <c r="X3192" t="s">
        <v>94</v>
      </c>
      <c r="Y3192" t="s">
        <v>95</v>
      </c>
      <c r="Z3192" t="s">
        <v>96</v>
      </c>
      <c r="AA3192" t="s">
        <v>3881</v>
      </c>
      <c r="AB3192" t="s">
        <v>3882</v>
      </c>
      <c r="AC3192">
        <v>16</v>
      </c>
      <c r="AD3192">
        <v>15</v>
      </c>
      <c r="AE3192">
        <v>72</v>
      </c>
      <c r="AF3192">
        <v>-100.67</v>
      </c>
      <c r="AG3192">
        <v>-9.43</v>
      </c>
      <c r="AH3192">
        <v>-4.1399999999999997</v>
      </c>
      <c r="AI3192">
        <v>-0.09</v>
      </c>
      <c r="AJ3192">
        <v>-0.01</v>
      </c>
      <c r="AK3192">
        <v>31</v>
      </c>
      <c r="AL3192">
        <v>18</v>
      </c>
      <c r="AM3192">
        <v>17</v>
      </c>
      <c r="AN3192">
        <v>-0.24</v>
      </c>
      <c r="AO3192">
        <v>-0.65</v>
      </c>
      <c r="AP3192">
        <v>3</v>
      </c>
      <c r="AQ3192">
        <v>3</v>
      </c>
      <c r="AR3192">
        <v>6.38</v>
      </c>
      <c r="AS3192">
        <v>4</v>
      </c>
      <c r="AT3192">
        <v>2.57</v>
      </c>
      <c r="AU3192">
        <v>31</v>
      </c>
      <c r="AV3192">
        <v>0.23</v>
      </c>
      <c r="AW3192">
        <v>39</v>
      </c>
      <c r="AX3192">
        <v>-0.66</v>
      </c>
      <c r="AY3192">
        <v>35</v>
      </c>
      <c r="AZ3192">
        <v>5.81</v>
      </c>
      <c r="BA3192">
        <v>5</v>
      </c>
      <c r="BB3192">
        <v>4.74</v>
      </c>
      <c r="BC3192">
        <v>10</v>
      </c>
      <c r="BD3192">
        <v>0.02</v>
      </c>
      <c r="BE3192">
        <v>0.04</v>
      </c>
      <c r="BF3192">
        <v>0.03</v>
      </c>
      <c r="BG3192">
        <v>50</v>
      </c>
      <c r="BH3192">
        <v>-0.1</v>
      </c>
      <c r="BI3192">
        <v>10.02</v>
      </c>
      <c r="BJ3192">
        <v>7</v>
      </c>
      <c r="BK3192">
        <v>7</v>
      </c>
      <c r="BL3192">
        <v>-0.33</v>
      </c>
      <c r="BM3192">
        <v>1.06</v>
      </c>
      <c r="BN3192">
        <v>-0.61</v>
      </c>
      <c r="BO3192">
        <v>-1</v>
      </c>
      <c r="BP3192">
        <v>0.64</v>
      </c>
      <c r="BQ3192">
        <v>-0.2</v>
      </c>
      <c r="BR3192">
        <v>0.31</v>
      </c>
      <c r="BS3192">
        <v>0.21</v>
      </c>
      <c r="BT3192">
        <v>0.28000000000000003</v>
      </c>
      <c r="BU3192">
        <v>-1.07</v>
      </c>
      <c r="BV3192">
        <v>-1.52</v>
      </c>
      <c r="BW3192">
        <v>-1.0900000000000001</v>
      </c>
      <c r="BX3192">
        <v>-0.78</v>
      </c>
      <c r="BY3192">
        <v>-1.31</v>
      </c>
      <c r="BZ3192">
        <v>1.1499999999999999</v>
      </c>
      <c r="CA3192">
        <v>-1.17</v>
      </c>
      <c r="CB3192">
        <v>-1.32</v>
      </c>
      <c r="CC3192">
        <v>-0.46</v>
      </c>
      <c r="CD3192">
        <v>1.06</v>
      </c>
      <c r="CE3192">
        <v>-0.97</v>
      </c>
      <c r="CF3192">
        <v>-0.18</v>
      </c>
      <c r="CG3192">
        <v>0</v>
      </c>
      <c r="CH3192">
        <v>-1.02</v>
      </c>
      <c r="CI3192">
        <v>0</v>
      </c>
      <c r="CJ3192">
        <v>7.3</v>
      </c>
      <c r="CK3192">
        <v>50</v>
      </c>
      <c r="CL3192">
        <v>0.22</v>
      </c>
      <c r="CM3192">
        <v>44</v>
      </c>
      <c r="CN3192">
        <v>-0.21</v>
      </c>
      <c r="CO3192">
        <v>38</v>
      </c>
      <c r="CP3192">
        <v>-0.4</v>
      </c>
      <c r="CQ3192">
        <v>47</v>
      </c>
      <c r="CR3192">
        <v>0</v>
      </c>
      <c r="CS3192">
        <v>0</v>
      </c>
      <c r="CT3192">
        <v>-0.5</v>
      </c>
      <c r="CU3192">
        <v>29</v>
      </c>
      <c r="CV3192">
        <v>-0.11</v>
      </c>
      <c r="CW3192">
        <v>12</v>
      </c>
      <c r="CX3192" t="s">
        <v>185</v>
      </c>
    </row>
    <row r="3193" spans="1:102" x14ac:dyDescent="0.3">
      <c r="A3193" t="str">
        <f>HYPERLINK("https://webapp.icbf.com/v2/app/bull-search/view/77856799","ISU")</f>
        <v>ISU</v>
      </c>
      <c r="B3193" t="s">
        <v>10994</v>
      </c>
      <c r="C3193" t="s">
        <v>10995</v>
      </c>
      <c r="D3193" s="1">
        <v>34228</v>
      </c>
      <c r="E3193" t="s">
        <v>92</v>
      </c>
      <c r="F3193">
        <v>100</v>
      </c>
      <c r="G3193" t="s">
        <v>93</v>
      </c>
      <c r="H3193">
        <v>-17.87</v>
      </c>
      <c r="I3193">
        <v>74</v>
      </c>
      <c r="J3193">
        <v>-19.079999999999998</v>
      </c>
      <c r="K3193">
        <v>92</v>
      </c>
      <c r="L3193">
        <v>-6.38</v>
      </c>
      <c r="M3193">
        <v>64</v>
      </c>
      <c r="N3193">
        <v>13.21</v>
      </c>
      <c r="O3193">
        <v>62</v>
      </c>
      <c r="P3193">
        <v>-21.98</v>
      </c>
      <c r="Q3193">
        <v>76</v>
      </c>
      <c r="R3193">
        <v>-2.44</v>
      </c>
      <c r="S3193">
        <v>68</v>
      </c>
      <c r="T3193">
        <v>22.93</v>
      </c>
      <c r="U3193">
        <v>75</v>
      </c>
      <c r="V3193">
        <v>-4.13</v>
      </c>
      <c r="W3193">
        <v>36</v>
      </c>
      <c r="X3193" t="s">
        <v>94</v>
      </c>
      <c r="Y3193" t="s">
        <v>95</v>
      </c>
      <c r="Z3193" t="s">
        <v>96</v>
      </c>
      <c r="AA3193" t="s">
        <v>1185</v>
      </c>
      <c r="AB3193" t="s">
        <v>10996</v>
      </c>
      <c r="AC3193">
        <v>58</v>
      </c>
      <c r="AD3193">
        <v>53</v>
      </c>
      <c r="AE3193">
        <v>92</v>
      </c>
      <c r="AF3193">
        <v>107.26</v>
      </c>
      <c r="AG3193">
        <v>4.46</v>
      </c>
      <c r="AH3193">
        <v>-3.18</v>
      </c>
      <c r="AI3193">
        <v>0</v>
      </c>
      <c r="AJ3193">
        <v>-0.11</v>
      </c>
      <c r="AK3193">
        <v>64</v>
      </c>
      <c r="AL3193">
        <v>83</v>
      </c>
      <c r="AM3193">
        <v>62</v>
      </c>
      <c r="AN3193">
        <v>1.02</v>
      </c>
      <c r="AO3193">
        <v>0.52</v>
      </c>
      <c r="AP3193">
        <v>1</v>
      </c>
      <c r="AQ3193">
        <v>0</v>
      </c>
      <c r="AR3193">
        <v>7.22</v>
      </c>
      <c r="AS3193">
        <v>35</v>
      </c>
      <c r="AT3193">
        <v>3.72</v>
      </c>
      <c r="AU3193">
        <v>57</v>
      </c>
      <c r="AV3193">
        <v>-1.52</v>
      </c>
      <c r="AW3193">
        <v>72</v>
      </c>
      <c r="AX3193">
        <v>-0.37</v>
      </c>
      <c r="AY3193">
        <v>70</v>
      </c>
      <c r="AZ3193">
        <v>5.23</v>
      </c>
      <c r="BA3193">
        <v>37</v>
      </c>
      <c r="BB3193">
        <v>4.37</v>
      </c>
      <c r="BC3193">
        <v>55</v>
      </c>
      <c r="BD3193">
        <v>0</v>
      </c>
      <c r="BE3193">
        <v>0.04</v>
      </c>
      <c r="BF3193">
        <v>-0.02</v>
      </c>
      <c r="BG3193">
        <v>84</v>
      </c>
      <c r="BH3193">
        <v>0.05</v>
      </c>
      <c r="BI3193">
        <v>19.12</v>
      </c>
      <c r="BJ3193">
        <v>20</v>
      </c>
      <c r="BK3193">
        <v>17</v>
      </c>
      <c r="BL3193">
        <v>-0.25</v>
      </c>
      <c r="BM3193">
        <v>-0.93</v>
      </c>
      <c r="BN3193">
        <v>-0.91</v>
      </c>
      <c r="BO3193">
        <v>0</v>
      </c>
      <c r="BP3193">
        <v>2.78</v>
      </c>
      <c r="BQ3193">
        <v>-0.4</v>
      </c>
      <c r="BR3193">
        <v>-0.68</v>
      </c>
      <c r="BS3193">
        <v>1.59</v>
      </c>
      <c r="BT3193">
        <v>-0.12</v>
      </c>
      <c r="BU3193">
        <v>-0.81</v>
      </c>
      <c r="BV3193">
        <v>-0.31</v>
      </c>
      <c r="BW3193">
        <v>-0.25</v>
      </c>
      <c r="BX3193">
        <v>-0.01</v>
      </c>
      <c r="BY3193">
        <v>-0.54</v>
      </c>
      <c r="BZ3193">
        <v>0.25</v>
      </c>
      <c r="CA3193">
        <v>0.3</v>
      </c>
      <c r="CB3193">
        <v>-0.35</v>
      </c>
      <c r="CC3193">
        <v>1.44</v>
      </c>
      <c r="CD3193">
        <v>-0.3</v>
      </c>
      <c r="CE3193">
        <v>-0.12</v>
      </c>
      <c r="CF3193">
        <v>-0.41</v>
      </c>
      <c r="CG3193">
        <v>0</v>
      </c>
      <c r="CH3193">
        <v>0.01</v>
      </c>
      <c r="CI3193">
        <v>0</v>
      </c>
      <c r="CJ3193">
        <v>-13.8</v>
      </c>
      <c r="CK3193">
        <v>77</v>
      </c>
      <c r="CL3193">
        <v>-0.6</v>
      </c>
      <c r="CM3193">
        <v>74</v>
      </c>
      <c r="CN3193">
        <v>-0.45</v>
      </c>
      <c r="CO3193">
        <v>70</v>
      </c>
      <c r="CP3193">
        <v>-13.4</v>
      </c>
      <c r="CQ3193">
        <v>83</v>
      </c>
      <c r="CR3193">
        <v>0</v>
      </c>
      <c r="CS3193">
        <v>0</v>
      </c>
      <c r="CT3193">
        <v>-17.2</v>
      </c>
      <c r="CU3193">
        <v>75</v>
      </c>
      <c r="CV3193">
        <v>-0.15</v>
      </c>
      <c r="CW3193">
        <v>22</v>
      </c>
      <c r="CX3193" t="s">
        <v>99</v>
      </c>
    </row>
    <row r="3194" spans="1:102" x14ac:dyDescent="0.3">
      <c r="A3194" t="str">
        <f>HYPERLINK("https://webapp.icbf.com/v2/app/bull-search/view/1237655888","S2278")</f>
        <v>S2278</v>
      </c>
      <c r="B3194" t="s">
        <v>13402</v>
      </c>
      <c r="C3194" t="s">
        <v>13403</v>
      </c>
      <c r="D3194" s="1">
        <v>37977</v>
      </c>
      <c r="E3194" t="s">
        <v>895</v>
      </c>
      <c r="F3194">
        <v>0</v>
      </c>
      <c r="G3194" t="s">
        <v>93</v>
      </c>
      <c r="H3194">
        <v>-17.87</v>
      </c>
      <c r="I3194">
        <v>41</v>
      </c>
      <c r="J3194">
        <v>49.3</v>
      </c>
      <c r="K3194">
        <v>67</v>
      </c>
      <c r="L3194">
        <v>-38.71</v>
      </c>
      <c r="M3194">
        <v>20</v>
      </c>
      <c r="N3194">
        <v>-50.96</v>
      </c>
      <c r="O3194">
        <v>47</v>
      </c>
      <c r="P3194">
        <v>10.34</v>
      </c>
      <c r="Q3194">
        <v>55</v>
      </c>
      <c r="R3194">
        <v>-1.1200000000000001</v>
      </c>
      <c r="S3194">
        <v>23</v>
      </c>
      <c r="T3194">
        <v>16.559999999999999</v>
      </c>
      <c r="U3194">
        <v>15</v>
      </c>
      <c r="V3194">
        <v>-3.28</v>
      </c>
      <c r="W3194">
        <v>15</v>
      </c>
      <c r="X3194" t="s">
        <v>102</v>
      </c>
      <c r="Y3194" t="s">
        <v>367</v>
      </c>
      <c r="Z3194">
        <v>0</v>
      </c>
      <c r="AA3194" t="s">
        <v>7881</v>
      </c>
      <c r="AB3194" t="s">
        <v>5198</v>
      </c>
      <c r="AC3194">
        <v>12</v>
      </c>
      <c r="AD3194">
        <v>6</v>
      </c>
      <c r="AE3194">
        <v>67</v>
      </c>
      <c r="AF3194">
        <v>164.47</v>
      </c>
      <c r="AG3194">
        <v>10.18</v>
      </c>
      <c r="AH3194">
        <v>7.3</v>
      </c>
      <c r="AI3194">
        <v>0.06</v>
      </c>
      <c r="AJ3194">
        <v>0.03</v>
      </c>
      <c r="AK3194">
        <v>20</v>
      </c>
      <c r="AL3194">
        <v>10</v>
      </c>
      <c r="AM3194">
        <v>5</v>
      </c>
      <c r="AN3194">
        <v>4.21</v>
      </c>
      <c r="AO3194">
        <v>1.1499999999999999</v>
      </c>
      <c r="AP3194">
        <v>41</v>
      </c>
      <c r="AQ3194">
        <v>0</v>
      </c>
      <c r="AR3194">
        <v>12.64</v>
      </c>
      <c r="AS3194">
        <v>14</v>
      </c>
      <c r="AT3194">
        <v>5.45</v>
      </c>
      <c r="AU3194">
        <v>46</v>
      </c>
      <c r="AV3194">
        <v>1.62</v>
      </c>
      <c r="AW3194">
        <v>74</v>
      </c>
      <c r="AX3194">
        <v>0.18</v>
      </c>
      <c r="AY3194">
        <v>35</v>
      </c>
      <c r="AZ3194">
        <v>5.4</v>
      </c>
      <c r="BA3194">
        <v>9</v>
      </c>
      <c r="BB3194">
        <v>4.12</v>
      </c>
      <c r="BC3194">
        <v>3</v>
      </c>
      <c r="BD3194">
        <v>0.01</v>
      </c>
      <c r="BE3194">
        <v>0.01</v>
      </c>
      <c r="BF3194">
        <v>-0.01</v>
      </c>
      <c r="BG3194">
        <v>31</v>
      </c>
      <c r="BH3194">
        <v>-0.14000000000000001</v>
      </c>
      <c r="BI3194">
        <v>-5.6</v>
      </c>
      <c r="BJ3194">
        <v>0</v>
      </c>
      <c r="BK3194">
        <v>0</v>
      </c>
      <c r="BL3194">
        <v>0</v>
      </c>
      <c r="BM3194">
        <v>0</v>
      </c>
      <c r="BN3194">
        <v>0</v>
      </c>
      <c r="BO3194">
        <v>0</v>
      </c>
      <c r="BP3194">
        <v>0</v>
      </c>
      <c r="BQ3194">
        <v>0</v>
      </c>
      <c r="BR3194">
        <v>0</v>
      </c>
      <c r="BS3194">
        <v>0</v>
      </c>
      <c r="BT3194">
        <v>0</v>
      </c>
      <c r="BU3194">
        <v>0</v>
      </c>
      <c r="BV3194">
        <v>0</v>
      </c>
      <c r="BW3194">
        <v>0</v>
      </c>
      <c r="BX3194">
        <v>0</v>
      </c>
      <c r="BY3194">
        <v>0</v>
      </c>
      <c r="BZ3194">
        <v>0</v>
      </c>
      <c r="CA3194">
        <v>0</v>
      </c>
      <c r="CB3194">
        <v>0</v>
      </c>
      <c r="CC3194">
        <v>0</v>
      </c>
      <c r="CD3194">
        <v>0</v>
      </c>
      <c r="CE3194">
        <v>0</v>
      </c>
      <c r="CF3194">
        <v>0</v>
      </c>
      <c r="CG3194">
        <v>0</v>
      </c>
      <c r="CH3194">
        <v>0</v>
      </c>
      <c r="CI3194">
        <v>0</v>
      </c>
      <c r="CJ3194">
        <v>7.5</v>
      </c>
      <c r="CK3194">
        <v>61</v>
      </c>
      <c r="CL3194">
        <v>0.01</v>
      </c>
      <c r="CM3194">
        <v>55</v>
      </c>
      <c r="CN3194">
        <v>0.01</v>
      </c>
      <c r="CO3194">
        <v>52</v>
      </c>
      <c r="CP3194">
        <v>0</v>
      </c>
      <c r="CQ3194">
        <v>23</v>
      </c>
      <c r="CR3194">
        <v>0</v>
      </c>
      <c r="CS3194">
        <v>0</v>
      </c>
      <c r="CT3194">
        <v>-8.6</v>
      </c>
      <c r="CU3194">
        <v>15</v>
      </c>
      <c r="CV3194">
        <v>0.08</v>
      </c>
      <c r="CW3194">
        <v>16</v>
      </c>
      <c r="CX3194" t="s">
        <v>2945</v>
      </c>
    </row>
    <row r="3195" spans="1:102" x14ac:dyDescent="0.3">
      <c r="A3195" t="str">
        <f>HYPERLINK("https://webapp.icbf.com/v2/app/bull-search/view/124414933","NDY")</f>
        <v>NDY</v>
      </c>
      <c r="B3195" t="s">
        <v>11497</v>
      </c>
      <c r="C3195" t="s">
        <v>11498</v>
      </c>
      <c r="D3195" s="1">
        <v>31426</v>
      </c>
      <c r="E3195" t="s">
        <v>92</v>
      </c>
      <c r="F3195">
        <v>63</v>
      </c>
      <c r="G3195" t="s">
        <v>93</v>
      </c>
      <c r="H3195">
        <v>-18.010000000000002</v>
      </c>
      <c r="I3195">
        <v>59</v>
      </c>
      <c r="J3195">
        <v>-39.44</v>
      </c>
      <c r="K3195">
        <v>69</v>
      </c>
      <c r="L3195">
        <v>26.63</v>
      </c>
      <c r="M3195">
        <v>61</v>
      </c>
      <c r="N3195">
        <v>-12.36</v>
      </c>
      <c r="O3195">
        <v>44</v>
      </c>
      <c r="P3195">
        <v>-5.73</v>
      </c>
      <c r="Q3195">
        <v>54</v>
      </c>
      <c r="R3195">
        <v>-1.96</v>
      </c>
      <c r="S3195">
        <v>58</v>
      </c>
      <c r="T3195">
        <v>18.190000000000001</v>
      </c>
      <c r="U3195">
        <v>57</v>
      </c>
      <c r="V3195">
        <v>-3.34</v>
      </c>
      <c r="W3195">
        <v>20</v>
      </c>
      <c r="X3195" t="s">
        <v>110</v>
      </c>
      <c r="Y3195" t="s">
        <v>95</v>
      </c>
      <c r="Z3195" t="s">
        <v>96</v>
      </c>
      <c r="AA3195" t="s">
        <v>2585</v>
      </c>
      <c r="AB3195" t="s">
        <v>11499</v>
      </c>
      <c r="AC3195">
        <v>15</v>
      </c>
      <c r="AD3195">
        <v>12</v>
      </c>
      <c r="AE3195">
        <v>69</v>
      </c>
      <c r="AF3195">
        <v>-249.61</v>
      </c>
      <c r="AG3195">
        <v>-3.84</v>
      </c>
      <c r="AH3195">
        <v>-9.17</v>
      </c>
      <c r="AI3195">
        <v>0.1</v>
      </c>
      <c r="AJ3195">
        <v>-0.01</v>
      </c>
      <c r="AK3195">
        <v>61</v>
      </c>
      <c r="AL3195">
        <v>93</v>
      </c>
      <c r="AM3195">
        <v>28</v>
      </c>
      <c r="AN3195">
        <v>-2.54</v>
      </c>
      <c r="AO3195">
        <v>-0.43</v>
      </c>
      <c r="AP3195">
        <v>4</v>
      </c>
      <c r="AQ3195">
        <v>0</v>
      </c>
      <c r="AR3195">
        <v>9.6300000000000008</v>
      </c>
      <c r="AS3195">
        <v>29</v>
      </c>
      <c r="AT3195">
        <v>4.2699999999999996</v>
      </c>
      <c r="AU3195">
        <v>33</v>
      </c>
      <c r="AV3195">
        <v>-0.4</v>
      </c>
      <c r="AW3195">
        <v>53</v>
      </c>
      <c r="AX3195">
        <v>0.89</v>
      </c>
      <c r="AY3195">
        <v>74</v>
      </c>
      <c r="AZ3195">
        <v>5.97</v>
      </c>
      <c r="BA3195">
        <v>24</v>
      </c>
      <c r="BB3195">
        <v>4.2699999999999996</v>
      </c>
      <c r="BC3195">
        <v>32</v>
      </c>
      <c r="BD3195">
        <v>0.03</v>
      </c>
      <c r="BE3195">
        <v>0.05</v>
      </c>
      <c r="BF3195">
        <v>-0.1</v>
      </c>
      <c r="BG3195">
        <v>79</v>
      </c>
      <c r="BH3195">
        <v>0</v>
      </c>
      <c r="BI3195">
        <v>10.77</v>
      </c>
      <c r="BJ3195">
        <v>16</v>
      </c>
      <c r="BK3195">
        <v>2</v>
      </c>
      <c r="BL3195">
        <v>-0.91</v>
      </c>
      <c r="BM3195">
        <v>0.76</v>
      </c>
      <c r="BN3195">
        <v>-0.01</v>
      </c>
      <c r="BO3195">
        <v>-0.84</v>
      </c>
      <c r="BP3195">
        <v>-1.89</v>
      </c>
      <c r="BQ3195">
        <v>-0.77</v>
      </c>
      <c r="BR3195">
        <v>-1.07</v>
      </c>
      <c r="BS3195">
        <v>0.85</v>
      </c>
      <c r="BT3195">
        <v>0.54</v>
      </c>
      <c r="BU3195">
        <v>-0.68</v>
      </c>
      <c r="BV3195">
        <v>-1.19</v>
      </c>
      <c r="BW3195">
        <v>-1.1200000000000001</v>
      </c>
      <c r="BX3195">
        <v>-0.56000000000000005</v>
      </c>
      <c r="BY3195">
        <v>-0.95</v>
      </c>
      <c r="BZ3195">
        <v>0.06</v>
      </c>
      <c r="CA3195">
        <v>-0.5</v>
      </c>
      <c r="CB3195">
        <v>-0.93</v>
      </c>
      <c r="CC3195">
        <v>0.54</v>
      </c>
      <c r="CD3195">
        <v>0.79</v>
      </c>
      <c r="CE3195">
        <v>-0.88</v>
      </c>
      <c r="CF3195">
        <v>-0.53</v>
      </c>
      <c r="CG3195">
        <v>0</v>
      </c>
      <c r="CH3195">
        <v>-0.95</v>
      </c>
      <c r="CI3195">
        <v>0</v>
      </c>
      <c r="CJ3195">
        <v>-2.7</v>
      </c>
      <c r="CK3195">
        <v>55</v>
      </c>
      <c r="CL3195">
        <v>-0.28999999999999998</v>
      </c>
      <c r="CM3195">
        <v>51</v>
      </c>
      <c r="CN3195">
        <v>-0.16</v>
      </c>
      <c r="CO3195">
        <v>45</v>
      </c>
      <c r="CP3195">
        <v>-5.9</v>
      </c>
      <c r="CQ3195">
        <v>65</v>
      </c>
      <c r="CR3195">
        <v>0</v>
      </c>
      <c r="CS3195">
        <v>0</v>
      </c>
      <c r="CT3195">
        <v>-10.8</v>
      </c>
      <c r="CU3195">
        <v>57</v>
      </c>
      <c r="CV3195">
        <v>0.08</v>
      </c>
      <c r="CW3195">
        <v>14</v>
      </c>
      <c r="CX3195" t="s">
        <v>11500</v>
      </c>
    </row>
    <row r="3196" spans="1:102" x14ac:dyDescent="0.3">
      <c r="A3196" t="str">
        <f>HYPERLINK("https://webapp.icbf.com/v2/app/bull-search/view/77859505","BBU")</f>
        <v>BBU</v>
      </c>
      <c r="B3196" t="s">
        <v>5220</v>
      </c>
      <c r="C3196" t="s">
        <v>1100</v>
      </c>
      <c r="D3196" s="1">
        <v>31421</v>
      </c>
      <c r="E3196" t="s">
        <v>92</v>
      </c>
      <c r="F3196">
        <v>100</v>
      </c>
      <c r="G3196" t="s">
        <v>93</v>
      </c>
      <c r="H3196">
        <v>-18.02</v>
      </c>
      <c r="I3196">
        <v>95</v>
      </c>
      <c r="J3196">
        <v>53.09</v>
      </c>
      <c r="K3196">
        <v>99</v>
      </c>
      <c r="L3196">
        <v>-53.1</v>
      </c>
      <c r="M3196">
        <v>94</v>
      </c>
      <c r="N3196">
        <v>-2.75</v>
      </c>
      <c r="O3196">
        <v>92</v>
      </c>
      <c r="P3196">
        <v>2.12</v>
      </c>
      <c r="Q3196">
        <v>97</v>
      </c>
      <c r="R3196">
        <v>-12.02</v>
      </c>
      <c r="S3196">
        <v>89</v>
      </c>
      <c r="T3196">
        <v>-0.38</v>
      </c>
      <c r="U3196">
        <v>94</v>
      </c>
      <c r="V3196">
        <v>-4.9800000000000004</v>
      </c>
      <c r="W3196">
        <v>83</v>
      </c>
      <c r="X3196" t="s">
        <v>276</v>
      </c>
      <c r="Y3196" t="s">
        <v>95</v>
      </c>
      <c r="Z3196" t="s">
        <v>96</v>
      </c>
      <c r="AA3196" t="s">
        <v>5221</v>
      </c>
      <c r="AB3196" t="s">
        <v>5222</v>
      </c>
      <c r="AC3196">
        <v>480</v>
      </c>
      <c r="AD3196">
        <v>215</v>
      </c>
      <c r="AE3196">
        <v>99</v>
      </c>
      <c r="AF3196">
        <v>251.69</v>
      </c>
      <c r="AG3196">
        <v>3.68</v>
      </c>
      <c r="AH3196">
        <v>11.58</v>
      </c>
      <c r="AI3196">
        <v>-0.1</v>
      </c>
      <c r="AJ3196">
        <v>0.05</v>
      </c>
      <c r="AK3196">
        <v>94</v>
      </c>
      <c r="AL3196">
        <v>572</v>
      </c>
      <c r="AM3196">
        <v>259</v>
      </c>
      <c r="AN3196">
        <v>4.0599999999999996</v>
      </c>
      <c r="AO3196">
        <v>-0.16</v>
      </c>
      <c r="AP3196">
        <v>202</v>
      </c>
      <c r="AQ3196">
        <v>4</v>
      </c>
      <c r="AR3196">
        <v>8.6</v>
      </c>
      <c r="AS3196">
        <v>79</v>
      </c>
      <c r="AT3196">
        <v>3.58</v>
      </c>
      <c r="AU3196">
        <v>93</v>
      </c>
      <c r="AV3196">
        <v>-0.09</v>
      </c>
      <c r="AW3196">
        <v>96</v>
      </c>
      <c r="AX3196">
        <v>-0.11</v>
      </c>
      <c r="AY3196">
        <v>94</v>
      </c>
      <c r="AZ3196">
        <v>5.87</v>
      </c>
      <c r="BA3196">
        <v>79</v>
      </c>
      <c r="BB3196">
        <v>4.5</v>
      </c>
      <c r="BC3196">
        <v>89</v>
      </c>
      <c r="BD3196">
        <v>0.08</v>
      </c>
      <c r="BE3196">
        <v>7.0000000000000007E-2</v>
      </c>
      <c r="BF3196">
        <v>0.01</v>
      </c>
      <c r="BG3196">
        <v>98</v>
      </c>
      <c r="BH3196">
        <v>-0.1</v>
      </c>
      <c r="BI3196">
        <v>4.49</v>
      </c>
      <c r="BJ3196">
        <v>16</v>
      </c>
      <c r="BK3196">
        <v>11</v>
      </c>
      <c r="BL3196">
        <v>0.35</v>
      </c>
      <c r="BM3196">
        <v>1.32</v>
      </c>
      <c r="BN3196">
        <v>1.25</v>
      </c>
      <c r="BO3196">
        <v>-0.18</v>
      </c>
      <c r="BP3196">
        <v>-1.27</v>
      </c>
      <c r="BQ3196">
        <v>0.86</v>
      </c>
      <c r="BR3196">
        <v>0.94</v>
      </c>
      <c r="BS3196">
        <v>-3.07</v>
      </c>
      <c r="BT3196">
        <v>-1.68</v>
      </c>
      <c r="BU3196">
        <v>-1.61</v>
      </c>
      <c r="BV3196">
        <v>-1.35</v>
      </c>
      <c r="BW3196">
        <v>-0.1</v>
      </c>
      <c r="BX3196">
        <v>-1.06</v>
      </c>
      <c r="BY3196">
        <v>-1.66</v>
      </c>
      <c r="BZ3196">
        <v>1.49</v>
      </c>
      <c r="CA3196">
        <v>-1.66</v>
      </c>
      <c r="CB3196">
        <v>-1.0900000000000001</v>
      </c>
      <c r="CC3196">
        <v>-2.34</v>
      </c>
      <c r="CD3196">
        <v>0.46</v>
      </c>
      <c r="CE3196">
        <v>0.1</v>
      </c>
      <c r="CF3196">
        <v>1.33</v>
      </c>
      <c r="CG3196">
        <v>0</v>
      </c>
      <c r="CH3196">
        <v>-1.62</v>
      </c>
      <c r="CI3196">
        <v>0</v>
      </c>
      <c r="CJ3196">
        <v>3.6</v>
      </c>
      <c r="CK3196">
        <v>97</v>
      </c>
      <c r="CL3196">
        <v>-0.64</v>
      </c>
      <c r="CM3196">
        <v>97</v>
      </c>
      <c r="CN3196">
        <v>-0.27</v>
      </c>
      <c r="CO3196">
        <v>96</v>
      </c>
      <c r="CP3196">
        <v>4</v>
      </c>
      <c r="CQ3196">
        <v>97</v>
      </c>
      <c r="CR3196">
        <v>0</v>
      </c>
      <c r="CS3196">
        <v>0</v>
      </c>
      <c r="CT3196">
        <v>14.3</v>
      </c>
      <c r="CU3196">
        <v>94</v>
      </c>
      <c r="CV3196">
        <v>0.23</v>
      </c>
      <c r="CW3196">
        <v>45</v>
      </c>
      <c r="CX3196" t="s">
        <v>5223</v>
      </c>
    </row>
    <row r="3197" spans="1:102" x14ac:dyDescent="0.3">
      <c r="A3197" t="str">
        <f>HYPERLINK("https://webapp.icbf.com/v2/app/bull-search/view/77858155","EGH")</f>
        <v>EGH</v>
      </c>
      <c r="B3197" t="s">
        <v>4008</v>
      </c>
      <c r="C3197" t="s">
        <v>1618</v>
      </c>
      <c r="D3197" s="1">
        <v>32303</v>
      </c>
      <c r="E3197" t="s">
        <v>92</v>
      </c>
      <c r="F3197">
        <v>100</v>
      </c>
      <c r="G3197" t="s">
        <v>93</v>
      </c>
      <c r="H3197">
        <v>-18.16</v>
      </c>
      <c r="I3197">
        <v>86</v>
      </c>
      <c r="J3197">
        <v>43.53</v>
      </c>
      <c r="K3197">
        <v>96</v>
      </c>
      <c r="L3197">
        <v>-92.73</v>
      </c>
      <c r="M3197">
        <v>88</v>
      </c>
      <c r="N3197">
        <v>47.31</v>
      </c>
      <c r="O3197">
        <v>73</v>
      </c>
      <c r="P3197">
        <v>-10.29</v>
      </c>
      <c r="Q3197">
        <v>80</v>
      </c>
      <c r="R3197">
        <v>-25.53</v>
      </c>
      <c r="S3197">
        <v>79</v>
      </c>
      <c r="T3197">
        <v>19.45</v>
      </c>
      <c r="U3197">
        <v>78</v>
      </c>
      <c r="V3197">
        <v>0.1</v>
      </c>
      <c r="W3197">
        <v>64</v>
      </c>
      <c r="X3197" t="s">
        <v>94</v>
      </c>
      <c r="Y3197" t="s">
        <v>95</v>
      </c>
      <c r="Z3197" t="s">
        <v>96</v>
      </c>
      <c r="AA3197" t="s">
        <v>4009</v>
      </c>
      <c r="AB3197" t="s">
        <v>4010</v>
      </c>
      <c r="AC3197">
        <v>64</v>
      </c>
      <c r="AD3197">
        <v>35</v>
      </c>
      <c r="AE3197">
        <v>96</v>
      </c>
      <c r="AF3197">
        <v>423.82</v>
      </c>
      <c r="AG3197">
        <v>7.35</v>
      </c>
      <c r="AH3197">
        <v>11.29</v>
      </c>
      <c r="AI3197">
        <v>-0.15</v>
      </c>
      <c r="AJ3197">
        <v>-0.05</v>
      </c>
      <c r="AK3197">
        <v>88</v>
      </c>
      <c r="AL3197">
        <v>72</v>
      </c>
      <c r="AM3197">
        <v>43</v>
      </c>
      <c r="AN3197">
        <v>6.23</v>
      </c>
      <c r="AO3197">
        <v>-1.1499999999999999</v>
      </c>
      <c r="AP3197">
        <v>1</v>
      </c>
      <c r="AQ3197">
        <v>0</v>
      </c>
      <c r="AR3197">
        <v>5.44</v>
      </c>
      <c r="AS3197">
        <v>56</v>
      </c>
      <c r="AT3197">
        <v>1.76</v>
      </c>
      <c r="AU3197">
        <v>90</v>
      </c>
      <c r="AV3197">
        <v>-3.69</v>
      </c>
      <c r="AW3197">
        <v>70</v>
      </c>
      <c r="AX3197">
        <v>-0.84</v>
      </c>
      <c r="AY3197">
        <v>75</v>
      </c>
      <c r="AZ3197">
        <v>5.79</v>
      </c>
      <c r="BA3197">
        <v>48</v>
      </c>
      <c r="BB3197">
        <v>5.0199999999999996</v>
      </c>
      <c r="BC3197">
        <v>63</v>
      </c>
      <c r="BD3197">
        <v>0.03</v>
      </c>
      <c r="BE3197">
        <v>0.13</v>
      </c>
      <c r="BF3197">
        <v>0.28999999999999998</v>
      </c>
      <c r="BG3197">
        <v>93</v>
      </c>
      <c r="BH3197">
        <v>7.0000000000000007E-2</v>
      </c>
      <c r="BI3197">
        <v>7.77</v>
      </c>
      <c r="BJ3197">
        <v>0</v>
      </c>
      <c r="BK3197">
        <v>0</v>
      </c>
      <c r="BL3197">
        <v>-0.54</v>
      </c>
      <c r="BM3197">
        <v>0.1</v>
      </c>
      <c r="BN3197">
        <v>0.25</v>
      </c>
      <c r="BO3197">
        <v>-0.57999999999999996</v>
      </c>
      <c r="BP3197">
        <v>4.17</v>
      </c>
      <c r="BQ3197">
        <v>-2.09</v>
      </c>
      <c r="BR3197">
        <v>-0.66</v>
      </c>
      <c r="BS3197">
        <v>-2.97</v>
      </c>
      <c r="BT3197">
        <v>-0.56999999999999995</v>
      </c>
      <c r="BU3197">
        <v>-3.22</v>
      </c>
      <c r="BV3197">
        <v>-1.1299999999999999</v>
      </c>
      <c r="BW3197">
        <v>-1.29</v>
      </c>
      <c r="BX3197">
        <v>-2.86</v>
      </c>
      <c r="BY3197">
        <v>-2.78</v>
      </c>
      <c r="BZ3197">
        <v>1.25</v>
      </c>
      <c r="CA3197">
        <v>-2.14</v>
      </c>
      <c r="CB3197">
        <v>-2.44</v>
      </c>
      <c r="CC3197">
        <v>-2.04</v>
      </c>
      <c r="CD3197">
        <v>-0.09</v>
      </c>
      <c r="CE3197">
        <v>0.28999999999999998</v>
      </c>
      <c r="CF3197">
        <v>-0.31</v>
      </c>
      <c r="CG3197">
        <v>0</v>
      </c>
      <c r="CH3197">
        <v>-2.58</v>
      </c>
      <c r="CI3197">
        <v>0</v>
      </c>
      <c r="CJ3197">
        <v>-6.5</v>
      </c>
      <c r="CK3197">
        <v>81</v>
      </c>
      <c r="CL3197">
        <v>-0.43</v>
      </c>
      <c r="CM3197">
        <v>79</v>
      </c>
      <c r="CN3197">
        <v>-0.42</v>
      </c>
      <c r="CO3197">
        <v>76</v>
      </c>
      <c r="CP3197">
        <v>-12</v>
      </c>
      <c r="CQ3197">
        <v>87</v>
      </c>
      <c r="CR3197">
        <v>0</v>
      </c>
      <c r="CS3197">
        <v>0</v>
      </c>
      <c r="CT3197">
        <v>-12.5</v>
      </c>
      <c r="CU3197">
        <v>78</v>
      </c>
      <c r="CV3197">
        <v>-0.03</v>
      </c>
      <c r="CW3197">
        <v>42</v>
      </c>
      <c r="CX3197" t="s">
        <v>707</v>
      </c>
    </row>
    <row r="3198" spans="1:102" x14ac:dyDescent="0.3">
      <c r="A3198" t="str">
        <f>HYPERLINK("https://webapp.icbf.com/v2/app/bull-search/view/499914569","BPU")</f>
        <v>BPU</v>
      </c>
      <c r="B3198" t="s">
        <v>3003</v>
      </c>
      <c r="C3198" t="s">
        <v>3004</v>
      </c>
      <c r="D3198" s="1">
        <v>39138</v>
      </c>
      <c r="E3198" t="s">
        <v>92</v>
      </c>
      <c r="F3198">
        <v>91</v>
      </c>
      <c r="G3198" t="s">
        <v>93</v>
      </c>
      <c r="H3198">
        <v>-18.190000000000001</v>
      </c>
      <c r="I3198">
        <v>87</v>
      </c>
      <c r="J3198">
        <v>4.66</v>
      </c>
      <c r="K3198">
        <v>96</v>
      </c>
      <c r="L3198">
        <v>-56.12</v>
      </c>
      <c r="M3198">
        <v>78</v>
      </c>
      <c r="N3198">
        <v>39.229999999999997</v>
      </c>
      <c r="O3198">
        <v>86</v>
      </c>
      <c r="P3198">
        <v>-9.86</v>
      </c>
      <c r="Q3198">
        <v>90</v>
      </c>
      <c r="R3198">
        <v>-2.2799999999999998</v>
      </c>
      <c r="S3198">
        <v>82</v>
      </c>
      <c r="T3198">
        <v>17.82</v>
      </c>
      <c r="U3198">
        <v>88</v>
      </c>
      <c r="V3198">
        <v>-11.64</v>
      </c>
      <c r="W3198">
        <v>83</v>
      </c>
      <c r="X3198" t="s">
        <v>94</v>
      </c>
      <c r="Y3198" t="s">
        <v>1113</v>
      </c>
      <c r="Z3198" t="s">
        <v>96</v>
      </c>
      <c r="AA3198" t="s">
        <v>204</v>
      </c>
      <c r="AB3198" t="s">
        <v>3005</v>
      </c>
      <c r="AC3198">
        <v>87</v>
      </c>
      <c r="AD3198">
        <v>61</v>
      </c>
      <c r="AE3198">
        <v>96</v>
      </c>
      <c r="AF3198">
        <v>-30.5</v>
      </c>
      <c r="AG3198">
        <v>0.92</v>
      </c>
      <c r="AH3198">
        <v>0</v>
      </c>
      <c r="AI3198">
        <v>0.04</v>
      </c>
      <c r="AJ3198">
        <v>0.02</v>
      </c>
      <c r="AK3198">
        <v>78</v>
      </c>
      <c r="AL3198">
        <v>91</v>
      </c>
      <c r="AM3198">
        <v>66</v>
      </c>
      <c r="AN3198">
        <v>1.1299999999999999</v>
      </c>
      <c r="AO3198">
        <v>-3.37</v>
      </c>
      <c r="AP3198">
        <v>202</v>
      </c>
      <c r="AQ3198">
        <v>1</v>
      </c>
      <c r="AR3198">
        <v>4.8</v>
      </c>
      <c r="AS3198">
        <v>69</v>
      </c>
      <c r="AT3198">
        <v>2.19</v>
      </c>
      <c r="AU3198">
        <v>88</v>
      </c>
      <c r="AV3198">
        <v>-4.09</v>
      </c>
      <c r="AW3198">
        <v>96</v>
      </c>
      <c r="AX3198">
        <v>0.3</v>
      </c>
      <c r="AY3198">
        <v>81</v>
      </c>
      <c r="AZ3198">
        <v>7.08</v>
      </c>
      <c r="BA3198">
        <v>66</v>
      </c>
      <c r="BB3198">
        <v>5.94</v>
      </c>
      <c r="BC3198">
        <v>66</v>
      </c>
      <c r="BD3198">
        <v>-0.01</v>
      </c>
      <c r="BE3198">
        <v>0.01</v>
      </c>
      <c r="BF3198">
        <v>0.05</v>
      </c>
      <c r="BG3198">
        <v>88</v>
      </c>
      <c r="BH3198">
        <v>-0.12</v>
      </c>
      <c r="BI3198">
        <v>23.66</v>
      </c>
      <c r="BJ3198">
        <v>25</v>
      </c>
      <c r="BK3198">
        <v>19</v>
      </c>
      <c r="BL3198">
        <v>-1.07</v>
      </c>
      <c r="BM3198">
        <v>-1.97</v>
      </c>
      <c r="BN3198">
        <v>-2.91</v>
      </c>
      <c r="BO3198">
        <v>-0.9</v>
      </c>
      <c r="BP3198">
        <v>-1.2</v>
      </c>
      <c r="BQ3198">
        <v>-2.21</v>
      </c>
      <c r="BR3198">
        <v>-0.65</v>
      </c>
      <c r="BS3198">
        <v>0.51</v>
      </c>
      <c r="BT3198">
        <v>0</v>
      </c>
      <c r="BU3198">
        <v>-0.54</v>
      </c>
      <c r="BV3198">
        <v>-0.22</v>
      </c>
      <c r="BW3198">
        <v>-0.39</v>
      </c>
      <c r="BX3198">
        <v>-0.45</v>
      </c>
      <c r="BY3198">
        <v>-1.35</v>
      </c>
      <c r="BZ3198">
        <v>1.1000000000000001</v>
      </c>
      <c r="CA3198">
        <v>-0.91</v>
      </c>
      <c r="CB3198">
        <v>-0.88</v>
      </c>
      <c r="CC3198">
        <v>-0.59</v>
      </c>
      <c r="CD3198">
        <v>-0.37</v>
      </c>
      <c r="CE3198">
        <v>-0.81</v>
      </c>
      <c r="CF3198">
        <v>-2.7</v>
      </c>
      <c r="CG3198">
        <v>0</v>
      </c>
      <c r="CH3198">
        <v>-0.41</v>
      </c>
      <c r="CI3198">
        <v>0</v>
      </c>
      <c r="CJ3198">
        <v>-2.5</v>
      </c>
      <c r="CK3198">
        <v>91</v>
      </c>
      <c r="CL3198">
        <v>-0.42</v>
      </c>
      <c r="CM3198">
        <v>89</v>
      </c>
      <c r="CN3198">
        <v>0.1</v>
      </c>
      <c r="CO3198">
        <v>88</v>
      </c>
      <c r="CP3198">
        <v>-6</v>
      </c>
      <c r="CQ3198">
        <v>89</v>
      </c>
      <c r="CR3198">
        <v>0</v>
      </c>
      <c r="CS3198">
        <v>0</v>
      </c>
      <c r="CT3198">
        <v>-10.3</v>
      </c>
      <c r="CU3198">
        <v>88</v>
      </c>
      <c r="CV3198">
        <v>0.03</v>
      </c>
      <c r="CW3198">
        <v>46</v>
      </c>
      <c r="CX3198" t="s">
        <v>3006</v>
      </c>
    </row>
    <row r="3199" spans="1:102" x14ac:dyDescent="0.3">
      <c r="A3199" t="str">
        <f>HYPERLINK("https://webapp.icbf.com/v2/app/bull-search/view/77853970","RHZ")</f>
        <v>RHZ</v>
      </c>
      <c r="B3199" t="s">
        <v>10922</v>
      </c>
      <c r="C3199" t="s">
        <v>5410</v>
      </c>
      <c r="D3199" s="1">
        <v>33201</v>
      </c>
      <c r="E3199" t="s">
        <v>92</v>
      </c>
      <c r="F3199">
        <v>100</v>
      </c>
      <c r="G3199" t="s">
        <v>109</v>
      </c>
      <c r="H3199">
        <v>-18.559999999999999</v>
      </c>
      <c r="I3199">
        <v>86</v>
      </c>
      <c r="J3199">
        <v>-0.21</v>
      </c>
      <c r="K3199">
        <v>94</v>
      </c>
      <c r="L3199">
        <v>-20.82</v>
      </c>
      <c r="M3199">
        <v>87</v>
      </c>
      <c r="N3199">
        <v>9.84</v>
      </c>
      <c r="O3199">
        <v>78</v>
      </c>
      <c r="P3199">
        <v>-8.59</v>
      </c>
      <c r="Q3199">
        <v>84</v>
      </c>
      <c r="R3199">
        <v>-0.91</v>
      </c>
      <c r="S3199">
        <v>77</v>
      </c>
      <c r="T3199">
        <v>8.57</v>
      </c>
      <c r="U3199">
        <v>76</v>
      </c>
      <c r="V3199">
        <v>-6.44</v>
      </c>
      <c r="W3199">
        <v>65</v>
      </c>
      <c r="X3199" t="s">
        <v>251</v>
      </c>
      <c r="Y3199" t="s">
        <v>95</v>
      </c>
      <c r="Z3199" t="s">
        <v>96</v>
      </c>
      <c r="AA3199" t="s">
        <v>1077</v>
      </c>
      <c r="AB3199" t="s">
        <v>3785</v>
      </c>
      <c r="AC3199">
        <v>0</v>
      </c>
      <c r="AD3199">
        <v>0</v>
      </c>
      <c r="AE3199">
        <v>94</v>
      </c>
      <c r="AF3199">
        <v>52.09</v>
      </c>
      <c r="AG3199">
        <v>6.9</v>
      </c>
      <c r="AH3199">
        <v>-1.68</v>
      </c>
      <c r="AI3199">
        <v>0.08</v>
      </c>
      <c r="AJ3199">
        <v>-0.06</v>
      </c>
      <c r="AK3199">
        <v>87</v>
      </c>
      <c r="AL3199">
        <v>0</v>
      </c>
      <c r="AM3199">
        <v>0</v>
      </c>
      <c r="AN3199">
        <v>2.7</v>
      </c>
      <c r="AO3199">
        <v>1.06</v>
      </c>
      <c r="AP3199">
        <v>44</v>
      </c>
      <c r="AQ3199">
        <v>7</v>
      </c>
      <c r="AR3199">
        <v>8.27</v>
      </c>
      <c r="AS3199">
        <v>62</v>
      </c>
      <c r="AT3199">
        <v>3.1</v>
      </c>
      <c r="AU3199">
        <v>91</v>
      </c>
      <c r="AV3199">
        <v>-1.22</v>
      </c>
      <c r="AW3199">
        <v>86</v>
      </c>
      <c r="AX3199">
        <v>-0.81</v>
      </c>
      <c r="AY3199">
        <v>73</v>
      </c>
      <c r="AZ3199">
        <v>6.58</v>
      </c>
      <c r="BA3199">
        <v>52</v>
      </c>
      <c r="BB3199">
        <v>5.04</v>
      </c>
      <c r="BC3199">
        <v>53</v>
      </c>
      <c r="BD3199">
        <v>0</v>
      </c>
      <c r="BE3199">
        <v>-0.01</v>
      </c>
      <c r="BF3199">
        <v>0.04</v>
      </c>
      <c r="BG3199">
        <v>93</v>
      </c>
      <c r="BH3199">
        <v>-0.02</v>
      </c>
      <c r="BI3199">
        <v>18.46</v>
      </c>
      <c r="BJ3199">
        <v>6</v>
      </c>
      <c r="BK3199">
        <v>4</v>
      </c>
      <c r="BL3199">
        <v>0.26</v>
      </c>
      <c r="BM3199">
        <v>0.52</v>
      </c>
      <c r="BN3199">
        <v>1.1299999999999999</v>
      </c>
      <c r="BO3199">
        <v>-0.26</v>
      </c>
      <c r="BP3199">
        <v>-0.33</v>
      </c>
      <c r="BQ3199">
        <v>0.21</v>
      </c>
      <c r="BR3199">
        <v>-1.28</v>
      </c>
      <c r="BS3199">
        <v>-0.26</v>
      </c>
      <c r="BT3199">
        <v>0.91</v>
      </c>
      <c r="BU3199">
        <v>0.71</v>
      </c>
      <c r="BV3199">
        <v>-0.57999999999999996</v>
      </c>
      <c r="BW3199">
        <v>0.23</v>
      </c>
      <c r="BX3199">
        <v>0.46</v>
      </c>
      <c r="BY3199">
        <v>2.52</v>
      </c>
      <c r="BZ3199">
        <v>-0.13</v>
      </c>
      <c r="CA3199">
        <v>0.27</v>
      </c>
      <c r="CB3199">
        <v>0.3</v>
      </c>
      <c r="CC3199">
        <v>-0.28000000000000003</v>
      </c>
      <c r="CD3199">
        <v>0.42</v>
      </c>
      <c r="CE3199">
        <v>-0.26</v>
      </c>
      <c r="CF3199">
        <v>0.13</v>
      </c>
      <c r="CG3199">
        <v>0</v>
      </c>
      <c r="CH3199">
        <v>2.39</v>
      </c>
      <c r="CI3199">
        <v>0</v>
      </c>
      <c r="CJ3199">
        <v>-4.2</v>
      </c>
      <c r="CK3199">
        <v>86</v>
      </c>
      <c r="CL3199">
        <v>-0.69</v>
      </c>
      <c r="CM3199">
        <v>83</v>
      </c>
      <c r="CN3199">
        <v>-0.39</v>
      </c>
      <c r="CO3199">
        <v>81</v>
      </c>
      <c r="CP3199">
        <v>-1.6</v>
      </c>
      <c r="CQ3199">
        <v>81</v>
      </c>
      <c r="CR3199">
        <v>0</v>
      </c>
      <c r="CS3199">
        <v>0</v>
      </c>
      <c r="CT3199">
        <v>2.2000000000000002</v>
      </c>
      <c r="CU3199">
        <v>76</v>
      </c>
      <c r="CV3199">
        <v>0.02</v>
      </c>
      <c r="CW3199">
        <v>42</v>
      </c>
      <c r="CX3199" t="s">
        <v>543</v>
      </c>
    </row>
    <row r="3200" spans="1:102" x14ac:dyDescent="0.3">
      <c r="A3200" t="str">
        <f>HYPERLINK("https://webapp.icbf.com/v2/app/bull-search/view/69091564","EGO")</f>
        <v>EGO</v>
      </c>
      <c r="B3200" t="s">
        <v>7754</v>
      </c>
      <c r="C3200" t="s">
        <v>7755</v>
      </c>
      <c r="D3200" s="1">
        <v>32793</v>
      </c>
      <c r="E3200" t="s">
        <v>140</v>
      </c>
      <c r="F3200">
        <v>0</v>
      </c>
      <c r="G3200" t="s">
        <v>93</v>
      </c>
      <c r="H3200">
        <v>-18.68</v>
      </c>
      <c r="I3200">
        <v>83</v>
      </c>
      <c r="J3200">
        <v>-63.79</v>
      </c>
      <c r="K3200">
        <v>96</v>
      </c>
      <c r="L3200">
        <v>93.15</v>
      </c>
      <c r="M3200">
        <v>71</v>
      </c>
      <c r="N3200">
        <v>-77.64</v>
      </c>
      <c r="O3200">
        <v>79</v>
      </c>
      <c r="P3200">
        <v>5.28</v>
      </c>
      <c r="Q3200">
        <v>91</v>
      </c>
      <c r="R3200">
        <v>15.4</v>
      </c>
      <c r="S3200">
        <v>72</v>
      </c>
      <c r="T3200">
        <v>15.45</v>
      </c>
      <c r="U3200">
        <v>92</v>
      </c>
      <c r="V3200">
        <v>-6.53</v>
      </c>
      <c r="W3200">
        <v>53</v>
      </c>
      <c r="X3200" t="s">
        <v>94</v>
      </c>
      <c r="Y3200" t="s">
        <v>95</v>
      </c>
      <c r="Z3200" t="s">
        <v>96</v>
      </c>
      <c r="AA3200" t="s">
        <v>1179</v>
      </c>
      <c r="AB3200" t="s">
        <v>7756</v>
      </c>
      <c r="AC3200">
        <v>119</v>
      </c>
      <c r="AD3200">
        <v>64</v>
      </c>
      <c r="AE3200">
        <v>96</v>
      </c>
      <c r="AF3200">
        <v>-285.26</v>
      </c>
      <c r="AG3200">
        <v>-14.32</v>
      </c>
      <c r="AH3200">
        <v>-10.15</v>
      </c>
      <c r="AI3200">
        <v>-0.06</v>
      </c>
      <c r="AJ3200">
        <v>-0.01</v>
      </c>
      <c r="AK3200">
        <v>71</v>
      </c>
      <c r="AL3200">
        <v>130</v>
      </c>
      <c r="AM3200">
        <v>69</v>
      </c>
      <c r="AN3200">
        <v>-4.1900000000000004</v>
      </c>
      <c r="AO3200">
        <v>3.25</v>
      </c>
      <c r="AP3200">
        <v>1</v>
      </c>
      <c r="AQ3200">
        <v>0</v>
      </c>
      <c r="AR3200">
        <v>14.98</v>
      </c>
      <c r="AS3200">
        <v>54</v>
      </c>
      <c r="AT3200">
        <v>6.87</v>
      </c>
      <c r="AU3200">
        <v>74</v>
      </c>
      <c r="AV3200">
        <v>0.98</v>
      </c>
      <c r="AW3200">
        <v>92</v>
      </c>
      <c r="AX3200">
        <v>-0.1</v>
      </c>
      <c r="AY3200">
        <v>84</v>
      </c>
      <c r="AZ3200">
        <v>4.99</v>
      </c>
      <c r="BA3200">
        <v>48</v>
      </c>
      <c r="BB3200">
        <v>4.2699999999999996</v>
      </c>
      <c r="BC3200">
        <v>70</v>
      </c>
      <c r="BD3200">
        <v>-0.03</v>
      </c>
      <c r="BE3200">
        <v>-0.06</v>
      </c>
      <c r="BF3200">
        <v>-0.19</v>
      </c>
      <c r="BG3200">
        <v>87</v>
      </c>
      <c r="BH3200">
        <v>-0.16</v>
      </c>
      <c r="BI3200">
        <v>2.57</v>
      </c>
      <c r="BJ3200">
        <v>1</v>
      </c>
      <c r="BK3200">
        <v>1</v>
      </c>
      <c r="BL3200">
        <v>-0.61</v>
      </c>
      <c r="BM3200">
        <v>3.03</v>
      </c>
      <c r="BN3200">
        <v>-1.56</v>
      </c>
      <c r="BO3200">
        <v>-2.46</v>
      </c>
      <c r="BP3200">
        <v>4.46</v>
      </c>
      <c r="BQ3200">
        <v>-2.2200000000000002</v>
      </c>
      <c r="BR3200">
        <v>-2.98</v>
      </c>
      <c r="BS3200">
        <v>0.12</v>
      </c>
      <c r="BT3200">
        <v>2.75</v>
      </c>
      <c r="BU3200">
        <v>-3.25</v>
      </c>
      <c r="BV3200">
        <v>-3.54</v>
      </c>
      <c r="BW3200">
        <v>-3.08</v>
      </c>
      <c r="BX3200">
        <v>-3.44</v>
      </c>
      <c r="BY3200">
        <v>-1.48</v>
      </c>
      <c r="BZ3200">
        <v>1.48</v>
      </c>
      <c r="CA3200">
        <v>-2.1800000000000002</v>
      </c>
      <c r="CB3200">
        <v>-2.94</v>
      </c>
      <c r="CC3200">
        <v>-0.06</v>
      </c>
      <c r="CD3200">
        <v>3.82</v>
      </c>
      <c r="CE3200">
        <v>-2.41</v>
      </c>
      <c r="CF3200">
        <v>-0.77</v>
      </c>
      <c r="CG3200">
        <v>0</v>
      </c>
      <c r="CH3200">
        <v>-2.56</v>
      </c>
      <c r="CI3200">
        <v>0</v>
      </c>
      <c r="CJ3200">
        <v>-1.1000000000000001</v>
      </c>
      <c r="CK3200">
        <v>92</v>
      </c>
      <c r="CL3200">
        <v>0.36</v>
      </c>
      <c r="CM3200">
        <v>90</v>
      </c>
      <c r="CN3200">
        <v>-0.32</v>
      </c>
      <c r="CO3200">
        <v>89</v>
      </c>
      <c r="CP3200">
        <v>-4.4000000000000004</v>
      </c>
      <c r="CQ3200">
        <v>92</v>
      </c>
      <c r="CR3200">
        <v>0</v>
      </c>
      <c r="CS3200">
        <v>0</v>
      </c>
      <c r="CT3200">
        <v>-7.1</v>
      </c>
      <c r="CU3200">
        <v>92</v>
      </c>
      <c r="CV3200">
        <v>-0.33</v>
      </c>
      <c r="CW3200">
        <v>26</v>
      </c>
      <c r="CX3200" t="s">
        <v>7757</v>
      </c>
    </row>
    <row r="3201" spans="1:102" x14ac:dyDescent="0.3">
      <c r="A3201" t="str">
        <f>HYPERLINK("https://webapp.icbf.com/v2/app/bull-search/view/910808271","S2219")</f>
        <v>S2219</v>
      </c>
      <c r="B3201" t="s">
        <v>5910</v>
      </c>
      <c r="C3201" t="s">
        <v>5911</v>
      </c>
      <c r="D3201" s="1">
        <v>40019</v>
      </c>
      <c r="E3201" t="s">
        <v>92</v>
      </c>
      <c r="F3201">
        <v>100</v>
      </c>
      <c r="G3201" t="s">
        <v>109</v>
      </c>
      <c r="H3201">
        <v>-18.739999999999998</v>
      </c>
      <c r="I3201">
        <v>71</v>
      </c>
      <c r="J3201">
        <v>47.82</v>
      </c>
      <c r="K3201">
        <v>88</v>
      </c>
      <c r="L3201">
        <v>-103.99</v>
      </c>
      <c r="M3201">
        <v>83</v>
      </c>
      <c r="N3201">
        <v>15.18</v>
      </c>
      <c r="O3201">
        <v>48</v>
      </c>
      <c r="P3201">
        <v>-2.62</v>
      </c>
      <c r="Q3201">
        <v>40</v>
      </c>
      <c r="R3201">
        <v>9.67</v>
      </c>
      <c r="S3201">
        <v>61</v>
      </c>
      <c r="T3201">
        <v>11.46</v>
      </c>
      <c r="U3201">
        <v>38</v>
      </c>
      <c r="V3201">
        <v>3.74</v>
      </c>
      <c r="W3201">
        <v>22</v>
      </c>
      <c r="X3201" t="s">
        <v>94</v>
      </c>
      <c r="Y3201" t="s">
        <v>367</v>
      </c>
      <c r="Z3201" t="s">
        <v>96</v>
      </c>
      <c r="AA3201" t="s">
        <v>2453</v>
      </c>
      <c r="AB3201" t="s">
        <v>5663</v>
      </c>
      <c r="AC3201">
        <v>0</v>
      </c>
      <c r="AD3201">
        <v>0</v>
      </c>
      <c r="AE3201">
        <v>88</v>
      </c>
      <c r="AF3201">
        <v>383.79</v>
      </c>
      <c r="AG3201">
        <v>20.74</v>
      </c>
      <c r="AH3201">
        <v>6.67</v>
      </c>
      <c r="AI3201">
        <v>0.09</v>
      </c>
      <c r="AJ3201">
        <v>-0.1</v>
      </c>
      <c r="AK3201">
        <v>83</v>
      </c>
      <c r="AL3201">
        <v>0</v>
      </c>
      <c r="AM3201">
        <v>0</v>
      </c>
      <c r="AN3201">
        <v>5.93</v>
      </c>
      <c r="AO3201">
        <v>-2.36</v>
      </c>
      <c r="AP3201">
        <v>7</v>
      </c>
      <c r="AQ3201">
        <v>0</v>
      </c>
      <c r="AR3201">
        <v>6.61</v>
      </c>
      <c r="AS3201">
        <v>33</v>
      </c>
      <c r="AT3201">
        <v>3.39</v>
      </c>
      <c r="AU3201">
        <v>90</v>
      </c>
      <c r="AV3201">
        <v>-1.45</v>
      </c>
      <c r="AW3201">
        <v>38</v>
      </c>
      <c r="AX3201">
        <v>-0.08</v>
      </c>
      <c r="AY3201">
        <v>41</v>
      </c>
      <c r="AZ3201">
        <v>5.77</v>
      </c>
      <c r="BA3201">
        <v>24</v>
      </c>
      <c r="BB3201">
        <v>4.53</v>
      </c>
      <c r="BC3201">
        <v>22</v>
      </c>
      <c r="BD3201">
        <v>-0.02</v>
      </c>
      <c r="BE3201">
        <v>-0.01</v>
      </c>
      <c r="BF3201">
        <v>-0.17</v>
      </c>
      <c r="BG3201">
        <v>90</v>
      </c>
      <c r="BH3201">
        <v>0.11</v>
      </c>
      <c r="BI3201">
        <v>0.66</v>
      </c>
      <c r="BJ3201">
        <v>0</v>
      </c>
      <c r="BK3201">
        <v>0</v>
      </c>
      <c r="BL3201">
        <v>1.61</v>
      </c>
      <c r="BM3201">
        <v>-0.02</v>
      </c>
      <c r="BN3201">
        <v>1.49</v>
      </c>
      <c r="BO3201">
        <v>1.55</v>
      </c>
      <c r="BP3201">
        <v>0.51</v>
      </c>
      <c r="BQ3201">
        <v>2.99</v>
      </c>
      <c r="BR3201">
        <v>-1.0900000000000001</v>
      </c>
      <c r="BS3201">
        <v>2.09</v>
      </c>
      <c r="BT3201">
        <v>2.69</v>
      </c>
      <c r="BU3201">
        <v>2.46</v>
      </c>
      <c r="BV3201">
        <v>2.35</v>
      </c>
      <c r="BW3201">
        <v>2.0299999999999998</v>
      </c>
      <c r="BX3201">
        <v>2.0099999999999998</v>
      </c>
      <c r="BY3201">
        <v>1.6</v>
      </c>
      <c r="BZ3201">
        <v>-1.71</v>
      </c>
      <c r="CA3201">
        <v>2.5</v>
      </c>
      <c r="CB3201">
        <v>2.16</v>
      </c>
      <c r="CC3201">
        <v>2.29</v>
      </c>
      <c r="CD3201">
        <v>-0.84</v>
      </c>
      <c r="CE3201">
        <v>0</v>
      </c>
      <c r="CF3201">
        <v>0</v>
      </c>
      <c r="CG3201">
        <v>0</v>
      </c>
      <c r="CH3201">
        <v>0</v>
      </c>
      <c r="CI3201">
        <v>0</v>
      </c>
      <c r="CJ3201">
        <v>3.9</v>
      </c>
      <c r="CK3201">
        <v>42</v>
      </c>
      <c r="CL3201">
        <v>-1.22</v>
      </c>
      <c r="CM3201">
        <v>39</v>
      </c>
      <c r="CN3201">
        <v>-0.47</v>
      </c>
      <c r="CO3201">
        <v>38</v>
      </c>
      <c r="CP3201">
        <v>-6.1</v>
      </c>
      <c r="CQ3201">
        <v>37</v>
      </c>
      <c r="CR3201">
        <v>0</v>
      </c>
      <c r="CS3201">
        <v>0</v>
      </c>
      <c r="CT3201">
        <v>-1.7</v>
      </c>
      <c r="CU3201">
        <v>38</v>
      </c>
      <c r="CV3201">
        <v>0.45</v>
      </c>
      <c r="CW3201">
        <v>11</v>
      </c>
      <c r="CX3201" t="s">
        <v>350</v>
      </c>
    </row>
    <row r="3202" spans="1:102" x14ac:dyDescent="0.3">
      <c r="A3202" t="str">
        <f>HYPERLINK("https://webapp.icbf.com/v2/app/bull-search/view/77853802","SGM")</f>
        <v>SGM</v>
      </c>
      <c r="B3202" t="s">
        <v>8601</v>
      </c>
      <c r="C3202" t="s">
        <v>8602</v>
      </c>
      <c r="D3202" s="1">
        <v>33871</v>
      </c>
      <c r="E3202" t="s">
        <v>92</v>
      </c>
      <c r="F3202">
        <v>100</v>
      </c>
      <c r="G3202" t="s">
        <v>93</v>
      </c>
      <c r="H3202">
        <v>-18.739999999999998</v>
      </c>
      <c r="I3202">
        <v>79</v>
      </c>
      <c r="J3202">
        <v>42.86</v>
      </c>
      <c r="K3202">
        <v>91</v>
      </c>
      <c r="L3202">
        <v>-54.61</v>
      </c>
      <c r="M3202">
        <v>79</v>
      </c>
      <c r="N3202">
        <v>3.42</v>
      </c>
      <c r="O3202">
        <v>63</v>
      </c>
      <c r="P3202">
        <v>-2.35</v>
      </c>
      <c r="Q3202">
        <v>83</v>
      </c>
      <c r="R3202">
        <v>-13.66</v>
      </c>
      <c r="S3202">
        <v>66</v>
      </c>
      <c r="T3202">
        <v>4.87</v>
      </c>
      <c r="U3202">
        <v>75</v>
      </c>
      <c r="V3202">
        <v>0.73</v>
      </c>
      <c r="W3202">
        <v>44</v>
      </c>
      <c r="X3202" t="s">
        <v>276</v>
      </c>
      <c r="Y3202" t="s">
        <v>95</v>
      </c>
      <c r="Z3202" t="s">
        <v>96</v>
      </c>
      <c r="AA3202" t="s">
        <v>8529</v>
      </c>
      <c r="AB3202" t="s">
        <v>8603</v>
      </c>
      <c r="AC3202">
        <v>52</v>
      </c>
      <c r="AD3202">
        <v>30</v>
      </c>
      <c r="AE3202">
        <v>91</v>
      </c>
      <c r="AF3202">
        <v>-90.14</v>
      </c>
      <c r="AG3202">
        <v>5.0599999999999996</v>
      </c>
      <c r="AH3202">
        <v>4.12</v>
      </c>
      <c r="AI3202">
        <v>0.14000000000000001</v>
      </c>
      <c r="AJ3202">
        <v>0.12</v>
      </c>
      <c r="AK3202">
        <v>79</v>
      </c>
      <c r="AL3202">
        <v>54</v>
      </c>
      <c r="AM3202">
        <v>26</v>
      </c>
      <c r="AN3202">
        <v>3.39</v>
      </c>
      <c r="AO3202">
        <v>-0.96</v>
      </c>
      <c r="AP3202">
        <v>28</v>
      </c>
      <c r="AQ3202">
        <v>0</v>
      </c>
      <c r="AR3202">
        <v>6.58</v>
      </c>
      <c r="AS3202">
        <v>36</v>
      </c>
      <c r="AT3202">
        <v>2.96</v>
      </c>
      <c r="AU3202">
        <v>74</v>
      </c>
      <c r="AV3202">
        <v>-0.54</v>
      </c>
      <c r="AW3202">
        <v>71</v>
      </c>
      <c r="AX3202">
        <v>-0.71</v>
      </c>
      <c r="AY3202">
        <v>67</v>
      </c>
      <c r="AZ3202">
        <v>7.29</v>
      </c>
      <c r="BA3202">
        <v>30</v>
      </c>
      <c r="BB3202">
        <v>6</v>
      </c>
      <c r="BC3202">
        <v>42</v>
      </c>
      <c r="BD3202">
        <v>0.03</v>
      </c>
      <c r="BE3202">
        <v>0.06</v>
      </c>
      <c r="BF3202">
        <v>0.15</v>
      </c>
      <c r="BG3202">
        <v>87</v>
      </c>
      <c r="BH3202">
        <v>0.03</v>
      </c>
      <c r="BI3202">
        <v>1.1299999999999999</v>
      </c>
      <c r="BJ3202">
        <v>1</v>
      </c>
      <c r="BK3202">
        <v>1</v>
      </c>
      <c r="BL3202">
        <v>-0.44</v>
      </c>
      <c r="BM3202">
        <v>0.51</v>
      </c>
      <c r="BN3202">
        <v>0.75</v>
      </c>
      <c r="BO3202">
        <v>-0.62</v>
      </c>
      <c r="BP3202">
        <v>-1.32</v>
      </c>
      <c r="BQ3202">
        <v>1.3</v>
      </c>
      <c r="BR3202">
        <v>7.0000000000000007E-2</v>
      </c>
      <c r="BS3202">
        <v>-0.32</v>
      </c>
      <c r="BT3202">
        <v>-2.0099999999999998</v>
      </c>
      <c r="BU3202">
        <v>-0.95</v>
      </c>
      <c r="BV3202">
        <v>-0.18</v>
      </c>
      <c r="BW3202">
        <v>-1.08</v>
      </c>
      <c r="BX3202">
        <v>-1.37</v>
      </c>
      <c r="BY3202">
        <v>-0.16</v>
      </c>
      <c r="BZ3202">
        <v>-0.72</v>
      </c>
      <c r="CA3202">
        <v>-0.86</v>
      </c>
      <c r="CB3202">
        <v>-0.83</v>
      </c>
      <c r="CC3202">
        <v>-0.38</v>
      </c>
      <c r="CD3202">
        <v>0.22</v>
      </c>
      <c r="CE3202">
        <v>-0.55000000000000004</v>
      </c>
      <c r="CF3202">
        <v>0.16</v>
      </c>
      <c r="CG3202">
        <v>0</v>
      </c>
      <c r="CH3202">
        <v>-2.41</v>
      </c>
      <c r="CI3202">
        <v>0</v>
      </c>
      <c r="CJ3202">
        <v>1.5</v>
      </c>
      <c r="CK3202">
        <v>84</v>
      </c>
      <c r="CL3202">
        <v>-0.37</v>
      </c>
      <c r="CM3202">
        <v>81</v>
      </c>
      <c r="CN3202">
        <v>0.06</v>
      </c>
      <c r="CO3202">
        <v>78</v>
      </c>
      <c r="CP3202">
        <v>0.7</v>
      </c>
      <c r="CQ3202">
        <v>84</v>
      </c>
      <c r="CR3202">
        <v>0</v>
      </c>
      <c r="CS3202">
        <v>0</v>
      </c>
      <c r="CT3202">
        <v>7.2</v>
      </c>
      <c r="CU3202">
        <v>75</v>
      </c>
      <c r="CV3202">
        <v>0.19</v>
      </c>
      <c r="CW3202">
        <v>23</v>
      </c>
      <c r="CX3202" t="s">
        <v>1077</v>
      </c>
    </row>
    <row r="3203" spans="1:102" x14ac:dyDescent="0.3">
      <c r="A3203" t="str">
        <f>HYPERLINK("https://webapp.icbf.com/v2/app/bull-search/view/350270098","DUZ")</f>
        <v>DUZ</v>
      </c>
      <c r="B3203" t="s">
        <v>3861</v>
      </c>
      <c r="C3203" t="s">
        <v>3862</v>
      </c>
      <c r="D3203" s="1">
        <v>38055</v>
      </c>
      <c r="E3203" t="s">
        <v>108</v>
      </c>
      <c r="F3203">
        <v>0</v>
      </c>
      <c r="G3203" t="s">
        <v>93</v>
      </c>
      <c r="H3203">
        <v>-18.850000000000001</v>
      </c>
      <c r="I3203">
        <v>84</v>
      </c>
      <c r="J3203">
        <v>-72.45</v>
      </c>
      <c r="K3203">
        <v>95</v>
      </c>
      <c r="L3203">
        <v>68.400000000000006</v>
      </c>
      <c r="M3203">
        <v>75</v>
      </c>
      <c r="N3203">
        <v>-14.39</v>
      </c>
      <c r="O3203">
        <v>82</v>
      </c>
      <c r="P3203">
        <v>-20.23</v>
      </c>
      <c r="Q3203">
        <v>89</v>
      </c>
      <c r="R3203">
        <v>2.87</v>
      </c>
      <c r="S3203">
        <v>79</v>
      </c>
      <c r="T3203">
        <v>28.33</v>
      </c>
      <c r="U3203">
        <v>84</v>
      </c>
      <c r="V3203">
        <v>-11.38</v>
      </c>
      <c r="W3203">
        <v>78</v>
      </c>
      <c r="X3203" t="s">
        <v>94</v>
      </c>
      <c r="Y3203" t="s">
        <v>95</v>
      </c>
      <c r="Z3203" t="s">
        <v>96</v>
      </c>
      <c r="AA3203" t="s">
        <v>3863</v>
      </c>
      <c r="AB3203" t="s">
        <v>3864</v>
      </c>
      <c r="AC3203">
        <v>50</v>
      </c>
      <c r="AD3203">
        <v>42</v>
      </c>
      <c r="AE3203">
        <v>95</v>
      </c>
      <c r="AF3203">
        <v>-412.1</v>
      </c>
      <c r="AG3203">
        <v>-11.56</v>
      </c>
      <c r="AH3203">
        <v>-14.54</v>
      </c>
      <c r="AI3203">
        <v>0.09</v>
      </c>
      <c r="AJ3203">
        <v>-0.01</v>
      </c>
      <c r="AK3203">
        <v>75</v>
      </c>
      <c r="AL3203">
        <v>52</v>
      </c>
      <c r="AM3203">
        <v>40</v>
      </c>
      <c r="AN3203">
        <v>-4.09</v>
      </c>
      <c r="AO3203">
        <v>1.36</v>
      </c>
      <c r="AP3203">
        <v>126</v>
      </c>
      <c r="AQ3203">
        <v>1</v>
      </c>
      <c r="AR3203">
        <v>9.64</v>
      </c>
      <c r="AS3203">
        <v>65</v>
      </c>
      <c r="AT3203">
        <v>4.04</v>
      </c>
      <c r="AU3203">
        <v>84</v>
      </c>
      <c r="AV3203">
        <v>-0.74</v>
      </c>
      <c r="AW3203">
        <v>93</v>
      </c>
      <c r="AX3203">
        <v>2.54</v>
      </c>
      <c r="AY3203">
        <v>78</v>
      </c>
      <c r="AZ3203">
        <v>5.82</v>
      </c>
      <c r="BA3203">
        <v>61</v>
      </c>
      <c r="BB3203">
        <v>4.9400000000000004</v>
      </c>
      <c r="BC3203">
        <v>64</v>
      </c>
      <c r="BD3203">
        <v>0</v>
      </c>
      <c r="BE3203">
        <v>-0.04</v>
      </c>
      <c r="BF3203">
        <v>0.01</v>
      </c>
      <c r="BG3203">
        <v>85</v>
      </c>
      <c r="BH3203">
        <v>-0.2</v>
      </c>
      <c r="BI3203">
        <v>13.57</v>
      </c>
      <c r="BJ3203">
        <v>16</v>
      </c>
      <c r="BK3203">
        <v>14</v>
      </c>
      <c r="BL3203">
        <v>-2.58</v>
      </c>
      <c r="BM3203">
        <v>1.81</v>
      </c>
      <c r="BN3203">
        <v>-2.2400000000000002</v>
      </c>
      <c r="BO3203">
        <v>-2.87</v>
      </c>
      <c r="BP3203">
        <v>-2.95</v>
      </c>
      <c r="BQ3203">
        <v>1.44</v>
      </c>
      <c r="BR3203">
        <v>-1.19</v>
      </c>
      <c r="BS3203">
        <v>-0.78</v>
      </c>
      <c r="BT3203">
        <v>-0.87</v>
      </c>
      <c r="BU3203">
        <v>-2.37</v>
      </c>
      <c r="BV3203">
        <v>-3.52</v>
      </c>
      <c r="BW3203">
        <v>-2.92</v>
      </c>
      <c r="BX3203">
        <v>-2.16</v>
      </c>
      <c r="BY3203">
        <v>-1.1000000000000001</v>
      </c>
      <c r="BZ3203">
        <v>0.76</v>
      </c>
      <c r="CA3203">
        <v>-2.44</v>
      </c>
      <c r="CB3203">
        <v>-2.79</v>
      </c>
      <c r="CC3203">
        <v>-1.68</v>
      </c>
      <c r="CD3203">
        <v>2.73</v>
      </c>
      <c r="CE3203">
        <v>-1.98</v>
      </c>
      <c r="CF3203">
        <v>-1.83</v>
      </c>
      <c r="CG3203">
        <v>0</v>
      </c>
      <c r="CH3203">
        <v>-1</v>
      </c>
      <c r="CI3203">
        <v>0</v>
      </c>
      <c r="CJ3203">
        <v>-10.8</v>
      </c>
      <c r="CK3203">
        <v>90</v>
      </c>
      <c r="CL3203">
        <v>-0.24</v>
      </c>
      <c r="CM3203">
        <v>88</v>
      </c>
      <c r="CN3203">
        <v>-0.01</v>
      </c>
      <c r="CO3203">
        <v>87</v>
      </c>
      <c r="CP3203">
        <v>-19.8</v>
      </c>
      <c r="CQ3203">
        <v>86</v>
      </c>
      <c r="CR3203">
        <v>0</v>
      </c>
      <c r="CS3203">
        <v>0</v>
      </c>
      <c r="CT3203">
        <v>-24.5</v>
      </c>
      <c r="CU3203">
        <v>84</v>
      </c>
      <c r="CV3203">
        <v>0.04</v>
      </c>
      <c r="CW3203">
        <v>44</v>
      </c>
      <c r="CX3203" t="s">
        <v>3865</v>
      </c>
    </row>
    <row r="3204" spans="1:102" x14ac:dyDescent="0.3">
      <c r="A3204" t="str">
        <f>HYPERLINK("https://webapp.icbf.com/v2/app/bull-search/view/137158180","DCD")</f>
        <v>DCD</v>
      </c>
      <c r="B3204" t="s">
        <v>6471</v>
      </c>
      <c r="C3204" t="s">
        <v>3868</v>
      </c>
      <c r="D3204" s="1">
        <v>35685</v>
      </c>
      <c r="E3204" t="s">
        <v>92</v>
      </c>
      <c r="F3204">
        <v>100</v>
      </c>
      <c r="G3204" t="s">
        <v>93</v>
      </c>
      <c r="H3204">
        <v>-18.88</v>
      </c>
      <c r="I3204">
        <v>95</v>
      </c>
      <c r="J3204">
        <v>28.14</v>
      </c>
      <c r="K3204">
        <v>99</v>
      </c>
      <c r="L3204">
        <v>-80.55</v>
      </c>
      <c r="M3204">
        <v>91</v>
      </c>
      <c r="N3204">
        <v>26.67</v>
      </c>
      <c r="O3204">
        <v>93</v>
      </c>
      <c r="P3204">
        <v>7.23</v>
      </c>
      <c r="Q3204">
        <v>98</v>
      </c>
      <c r="R3204">
        <v>-2.19</v>
      </c>
      <c r="S3204">
        <v>89</v>
      </c>
      <c r="T3204">
        <v>11.24</v>
      </c>
      <c r="U3204">
        <v>96</v>
      </c>
      <c r="V3204">
        <v>-9.42</v>
      </c>
      <c r="W3204">
        <v>90</v>
      </c>
      <c r="X3204" t="s">
        <v>94</v>
      </c>
      <c r="Y3204" t="s">
        <v>95</v>
      </c>
      <c r="Z3204" t="s">
        <v>96</v>
      </c>
      <c r="AA3204" t="s">
        <v>2824</v>
      </c>
      <c r="AB3204" t="s">
        <v>6472</v>
      </c>
      <c r="AC3204">
        <v>303</v>
      </c>
      <c r="AD3204">
        <v>154</v>
      </c>
      <c r="AE3204">
        <v>99</v>
      </c>
      <c r="AF3204">
        <v>190.86</v>
      </c>
      <c r="AG3204">
        <v>10.34</v>
      </c>
      <c r="AH3204">
        <v>4.05</v>
      </c>
      <c r="AI3204">
        <v>0.05</v>
      </c>
      <c r="AJ3204">
        <v>-0.04</v>
      </c>
      <c r="AK3204">
        <v>91</v>
      </c>
      <c r="AL3204">
        <v>359</v>
      </c>
      <c r="AM3204">
        <v>179</v>
      </c>
      <c r="AN3204">
        <v>3.92</v>
      </c>
      <c r="AO3204">
        <v>-2.5099999999999998</v>
      </c>
      <c r="AP3204">
        <v>523</v>
      </c>
      <c r="AQ3204">
        <v>1</v>
      </c>
      <c r="AR3204">
        <v>7.57</v>
      </c>
      <c r="AS3204">
        <v>94</v>
      </c>
      <c r="AT3204">
        <v>2.9</v>
      </c>
      <c r="AU3204">
        <v>92</v>
      </c>
      <c r="AV3204">
        <v>-2.23</v>
      </c>
      <c r="AW3204">
        <v>98</v>
      </c>
      <c r="AX3204">
        <v>-0.79</v>
      </c>
      <c r="AY3204">
        <v>93</v>
      </c>
      <c r="AZ3204">
        <v>5.22</v>
      </c>
      <c r="BA3204">
        <v>82</v>
      </c>
      <c r="BB3204">
        <v>4.33</v>
      </c>
      <c r="BC3204">
        <v>85</v>
      </c>
      <c r="BD3204">
        <v>-0.01</v>
      </c>
      <c r="BE3204">
        <v>0.03</v>
      </c>
      <c r="BF3204">
        <v>0.01</v>
      </c>
      <c r="BG3204">
        <v>95</v>
      </c>
      <c r="BH3204">
        <v>-0.27</v>
      </c>
      <c r="BI3204">
        <v>-0.85</v>
      </c>
      <c r="BJ3204">
        <v>17</v>
      </c>
      <c r="BK3204">
        <v>12</v>
      </c>
      <c r="BL3204">
        <v>7.0000000000000007E-2</v>
      </c>
      <c r="BM3204">
        <v>1.01</v>
      </c>
      <c r="BN3204">
        <v>0.74</v>
      </c>
      <c r="BO3204">
        <v>-0.04</v>
      </c>
      <c r="BP3204">
        <v>1.1399999999999999</v>
      </c>
      <c r="BQ3204">
        <v>1.46</v>
      </c>
      <c r="BR3204">
        <v>-0.92</v>
      </c>
      <c r="BS3204">
        <v>0.04</v>
      </c>
      <c r="BT3204">
        <v>0.9</v>
      </c>
      <c r="BU3204">
        <v>-1.44</v>
      </c>
      <c r="BV3204">
        <v>-1.5</v>
      </c>
      <c r="BW3204">
        <v>-0.74</v>
      </c>
      <c r="BX3204">
        <v>-1.99</v>
      </c>
      <c r="BY3204">
        <v>-0.63</v>
      </c>
      <c r="BZ3204">
        <v>-0.36</v>
      </c>
      <c r="CA3204">
        <v>-1.23</v>
      </c>
      <c r="CB3204">
        <v>-1.1499999999999999</v>
      </c>
      <c r="CC3204">
        <v>-0.97</v>
      </c>
      <c r="CD3204">
        <v>0.44</v>
      </c>
      <c r="CE3204">
        <v>0.02</v>
      </c>
      <c r="CF3204">
        <v>-0.26</v>
      </c>
      <c r="CG3204">
        <v>0</v>
      </c>
      <c r="CH3204">
        <v>-0.93</v>
      </c>
      <c r="CI3204">
        <v>0</v>
      </c>
      <c r="CJ3204">
        <v>6.1</v>
      </c>
      <c r="CK3204">
        <v>98</v>
      </c>
      <c r="CL3204">
        <v>-0.41</v>
      </c>
      <c r="CM3204">
        <v>97</v>
      </c>
      <c r="CN3204">
        <v>-0.23</v>
      </c>
      <c r="CO3204">
        <v>97</v>
      </c>
      <c r="CP3204">
        <v>2.2999999999999998</v>
      </c>
      <c r="CQ3204">
        <v>97</v>
      </c>
      <c r="CR3204">
        <v>0</v>
      </c>
      <c r="CS3204">
        <v>0</v>
      </c>
      <c r="CT3204">
        <v>-1.4</v>
      </c>
      <c r="CU3204">
        <v>96</v>
      </c>
      <c r="CV3204">
        <v>0.23</v>
      </c>
      <c r="CW3204">
        <v>45</v>
      </c>
      <c r="CX3204" t="s">
        <v>3177</v>
      </c>
    </row>
    <row r="3205" spans="1:102" x14ac:dyDescent="0.3">
      <c r="A3205" t="str">
        <f>HYPERLINK("https://webapp.icbf.com/v2/app/bull-search/view/77855995","KOE")</f>
        <v>KOE</v>
      </c>
      <c r="B3205" t="s">
        <v>6908</v>
      </c>
      <c r="C3205" t="s">
        <v>6909</v>
      </c>
      <c r="D3205" s="1">
        <v>33909</v>
      </c>
      <c r="E3205" t="s">
        <v>92</v>
      </c>
      <c r="F3205">
        <v>72</v>
      </c>
      <c r="G3205" t="s">
        <v>93</v>
      </c>
      <c r="H3205">
        <v>-19.07</v>
      </c>
      <c r="I3205">
        <v>94</v>
      </c>
      <c r="J3205">
        <v>5.79</v>
      </c>
      <c r="K3205">
        <v>99</v>
      </c>
      <c r="L3205">
        <v>-31.9</v>
      </c>
      <c r="M3205">
        <v>89</v>
      </c>
      <c r="N3205">
        <v>-1.73</v>
      </c>
      <c r="O3205">
        <v>94</v>
      </c>
      <c r="P3205">
        <v>-14.8</v>
      </c>
      <c r="Q3205">
        <v>99</v>
      </c>
      <c r="R3205">
        <v>1.35</v>
      </c>
      <c r="S3205">
        <v>90</v>
      </c>
      <c r="T3205">
        <v>22.26</v>
      </c>
      <c r="U3205">
        <v>97</v>
      </c>
      <c r="V3205">
        <v>-0.04</v>
      </c>
      <c r="W3205">
        <v>88</v>
      </c>
      <c r="X3205" t="s">
        <v>94</v>
      </c>
      <c r="Y3205" t="s">
        <v>95</v>
      </c>
      <c r="Z3205" t="s">
        <v>96</v>
      </c>
      <c r="AA3205" t="s">
        <v>152</v>
      </c>
      <c r="AB3205" t="s">
        <v>6910</v>
      </c>
      <c r="AC3205">
        <v>466</v>
      </c>
      <c r="AD3205">
        <v>279</v>
      </c>
      <c r="AE3205">
        <v>99</v>
      </c>
      <c r="AF3205">
        <v>-37.450000000000003</v>
      </c>
      <c r="AG3205">
        <v>0.56999999999999995</v>
      </c>
      <c r="AH3205">
        <v>0.21</v>
      </c>
      <c r="AI3205">
        <v>0.04</v>
      </c>
      <c r="AJ3205">
        <v>0.03</v>
      </c>
      <c r="AK3205">
        <v>89</v>
      </c>
      <c r="AL3205">
        <v>573</v>
      </c>
      <c r="AM3205">
        <v>326</v>
      </c>
      <c r="AN3205">
        <v>1.26</v>
      </c>
      <c r="AO3205">
        <v>-1.29</v>
      </c>
      <c r="AP3205">
        <v>575</v>
      </c>
      <c r="AQ3205">
        <v>1</v>
      </c>
      <c r="AR3205">
        <v>8.81</v>
      </c>
      <c r="AS3205">
        <v>88</v>
      </c>
      <c r="AT3205">
        <v>3.46</v>
      </c>
      <c r="AU3205">
        <v>95</v>
      </c>
      <c r="AV3205">
        <v>-1.45</v>
      </c>
      <c r="AW3205">
        <v>98</v>
      </c>
      <c r="AX3205">
        <v>-0.14000000000000001</v>
      </c>
      <c r="AY3205">
        <v>96</v>
      </c>
      <c r="AZ3205">
        <v>7.22</v>
      </c>
      <c r="BA3205">
        <v>84</v>
      </c>
      <c r="BB3205">
        <v>6.1</v>
      </c>
      <c r="BC3205">
        <v>88</v>
      </c>
      <c r="BD3205">
        <v>-0.03</v>
      </c>
      <c r="BE3205">
        <v>0.01</v>
      </c>
      <c r="BF3205">
        <v>0</v>
      </c>
      <c r="BG3205">
        <v>97</v>
      </c>
      <c r="BH3205">
        <v>0.03</v>
      </c>
      <c r="BI3205">
        <v>3.59</v>
      </c>
      <c r="BJ3205">
        <v>40</v>
      </c>
      <c r="BK3205">
        <v>28</v>
      </c>
      <c r="BL3205">
        <v>-0.03</v>
      </c>
      <c r="BM3205">
        <v>-1.99</v>
      </c>
      <c r="BN3205">
        <v>-1.37</v>
      </c>
      <c r="BO3205">
        <v>0.18</v>
      </c>
      <c r="BP3205">
        <v>-2</v>
      </c>
      <c r="BQ3205">
        <v>-0.46</v>
      </c>
      <c r="BR3205">
        <v>-0.44</v>
      </c>
      <c r="BS3205">
        <v>0.39</v>
      </c>
      <c r="BT3205">
        <v>-0.16</v>
      </c>
      <c r="BU3205">
        <v>0.43</v>
      </c>
      <c r="BV3205">
        <v>-0.02</v>
      </c>
      <c r="BW3205">
        <v>0.51</v>
      </c>
      <c r="BX3205">
        <v>1.24</v>
      </c>
      <c r="BY3205">
        <v>0.38</v>
      </c>
      <c r="BZ3205">
        <v>2.48</v>
      </c>
      <c r="CA3205">
        <v>0.42</v>
      </c>
      <c r="CB3205">
        <v>0.08</v>
      </c>
      <c r="CC3205">
        <v>0.3</v>
      </c>
      <c r="CD3205">
        <v>-1.37</v>
      </c>
      <c r="CE3205">
        <v>0.08</v>
      </c>
      <c r="CF3205">
        <v>-0.88</v>
      </c>
      <c r="CG3205">
        <v>0</v>
      </c>
      <c r="CH3205">
        <v>0.54</v>
      </c>
      <c r="CI3205">
        <v>0</v>
      </c>
      <c r="CJ3205">
        <v>-8.9</v>
      </c>
      <c r="CK3205">
        <v>99</v>
      </c>
      <c r="CL3205">
        <v>-0.61</v>
      </c>
      <c r="CM3205">
        <v>98</v>
      </c>
      <c r="CN3205">
        <v>-0.47</v>
      </c>
      <c r="CO3205">
        <v>98</v>
      </c>
      <c r="CP3205">
        <v>-11.5</v>
      </c>
      <c r="CQ3205">
        <v>98</v>
      </c>
      <c r="CR3205">
        <v>0</v>
      </c>
      <c r="CS3205">
        <v>0</v>
      </c>
      <c r="CT3205">
        <v>-16.3</v>
      </c>
      <c r="CU3205">
        <v>97</v>
      </c>
      <c r="CV3205">
        <v>0.01</v>
      </c>
      <c r="CW3205">
        <v>46</v>
      </c>
      <c r="CX3205" t="s">
        <v>1473</v>
      </c>
    </row>
    <row r="3206" spans="1:102" x14ac:dyDescent="0.3">
      <c r="A3206" t="str">
        <f>HYPERLINK("https://webapp.icbf.com/v2/app/bull-search/view/375647497","BJX")</f>
        <v>BJX</v>
      </c>
      <c r="B3206" t="s">
        <v>4279</v>
      </c>
      <c r="C3206" t="s">
        <v>4280</v>
      </c>
      <c r="D3206" s="1">
        <v>36419</v>
      </c>
      <c r="E3206" t="s">
        <v>92</v>
      </c>
      <c r="F3206">
        <v>100</v>
      </c>
      <c r="G3206" t="s">
        <v>109</v>
      </c>
      <c r="H3206">
        <v>-19.09</v>
      </c>
      <c r="I3206">
        <v>72</v>
      </c>
      <c r="J3206">
        <v>-41.52</v>
      </c>
      <c r="K3206">
        <v>83</v>
      </c>
      <c r="L3206">
        <v>19.989999999999998</v>
      </c>
      <c r="M3206">
        <v>79</v>
      </c>
      <c r="N3206">
        <v>3.59</v>
      </c>
      <c r="O3206">
        <v>58</v>
      </c>
      <c r="P3206">
        <v>-8</v>
      </c>
      <c r="Q3206">
        <v>54</v>
      </c>
      <c r="R3206">
        <v>-2.42</v>
      </c>
      <c r="S3206">
        <v>63</v>
      </c>
      <c r="T3206">
        <v>9.02</v>
      </c>
      <c r="U3206">
        <v>56</v>
      </c>
      <c r="V3206">
        <v>0.25</v>
      </c>
      <c r="W3206">
        <v>32</v>
      </c>
      <c r="X3206" t="s">
        <v>131</v>
      </c>
      <c r="Y3206" t="s">
        <v>95</v>
      </c>
      <c r="Z3206" t="s">
        <v>96</v>
      </c>
      <c r="AA3206" t="s">
        <v>4248</v>
      </c>
      <c r="AB3206" t="s">
        <v>4281</v>
      </c>
      <c r="AC3206">
        <v>0</v>
      </c>
      <c r="AD3206">
        <v>0</v>
      </c>
      <c r="AE3206">
        <v>83</v>
      </c>
      <c r="AF3206">
        <v>69.41</v>
      </c>
      <c r="AG3206">
        <v>-5.65</v>
      </c>
      <c r="AH3206">
        <v>-4</v>
      </c>
      <c r="AI3206">
        <v>-0.14000000000000001</v>
      </c>
      <c r="AJ3206">
        <v>-0.1</v>
      </c>
      <c r="AK3206">
        <v>79</v>
      </c>
      <c r="AL3206">
        <v>0</v>
      </c>
      <c r="AM3206">
        <v>0</v>
      </c>
      <c r="AN3206">
        <v>0.17</v>
      </c>
      <c r="AO3206">
        <v>1.78</v>
      </c>
      <c r="AP3206">
        <v>13</v>
      </c>
      <c r="AQ3206">
        <v>1</v>
      </c>
      <c r="AR3206">
        <v>8.61</v>
      </c>
      <c r="AS3206">
        <v>33</v>
      </c>
      <c r="AT3206">
        <v>4.16</v>
      </c>
      <c r="AU3206">
        <v>85</v>
      </c>
      <c r="AV3206">
        <v>-1.4</v>
      </c>
      <c r="AW3206">
        <v>60</v>
      </c>
      <c r="AX3206">
        <v>-0.68</v>
      </c>
      <c r="AY3206">
        <v>41</v>
      </c>
      <c r="AZ3206">
        <v>5.23</v>
      </c>
      <c r="BA3206">
        <v>31</v>
      </c>
      <c r="BB3206">
        <v>4.6100000000000003</v>
      </c>
      <c r="BC3206">
        <v>33</v>
      </c>
      <c r="BD3206">
        <v>-0.02</v>
      </c>
      <c r="BE3206">
        <v>0.01</v>
      </c>
      <c r="BF3206">
        <v>7.0000000000000007E-2</v>
      </c>
      <c r="BG3206">
        <v>88</v>
      </c>
      <c r="BH3206">
        <v>0.08</v>
      </c>
      <c r="BI3206">
        <v>8.4499999999999993</v>
      </c>
      <c r="BJ3206">
        <v>2</v>
      </c>
      <c r="BK3206">
        <v>2</v>
      </c>
      <c r="BL3206">
        <v>0.56999999999999995</v>
      </c>
      <c r="BM3206">
        <v>-1.64</v>
      </c>
      <c r="BN3206">
        <v>-0.81</v>
      </c>
      <c r="BO3206">
        <v>0.52</v>
      </c>
      <c r="BP3206">
        <v>2.0099999999999998</v>
      </c>
      <c r="BQ3206">
        <v>-1.43</v>
      </c>
      <c r="BR3206">
        <v>0.3</v>
      </c>
      <c r="BS3206">
        <v>2.1</v>
      </c>
      <c r="BT3206">
        <v>-0.53</v>
      </c>
      <c r="BU3206">
        <v>1.07</v>
      </c>
      <c r="BV3206">
        <v>0.78</v>
      </c>
      <c r="BW3206">
        <v>0.12</v>
      </c>
      <c r="BX3206">
        <v>1.53</v>
      </c>
      <c r="BY3206">
        <v>0.76</v>
      </c>
      <c r="BZ3206">
        <v>-0.51</v>
      </c>
      <c r="CA3206">
        <v>1.38</v>
      </c>
      <c r="CB3206">
        <v>0.78</v>
      </c>
      <c r="CC3206">
        <v>1.79</v>
      </c>
      <c r="CD3206">
        <v>-0.11</v>
      </c>
      <c r="CE3206">
        <v>0.47</v>
      </c>
      <c r="CF3206">
        <v>0.75</v>
      </c>
      <c r="CG3206">
        <v>0</v>
      </c>
      <c r="CH3206">
        <v>0.61</v>
      </c>
      <c r="CI3206">
        <v>0</v>
      </c>
      <c r="CJ3206">
        <v>-1.2</v>
      </c>
      <c r="CK3206">
        <v>56</v>
      </c>
      <c r="CL3206">
        <v>-0.84</v>
      </c>
      <c r="CM3206">
        <v>51</v>
      </c>
      <c r="CN3206">
        <v>-0.21</v>
      </c>
      <c r="CO3206">
        <v>47</v>
      </c>
      <c r="CP3206">
        <v>-0.9</v>
      </c>
      <c r="CQ3206">
        <v>57</v>
      </c>
      <c r="CR3206">
        <v>0</v>
      </c>
      <c r="CS3206">
        <v>0</v>
      </c>
      <c r="CT3206">
        <v>1.6</v>
      </c>
      <c r="CU3206">
        <v>56</v>
      </c>
      <c r="CV3206">
        <v>0.25</v>
      </c>
      <c r="CW3206">
        <v>14</v>
      </c>
      <c r="CX3206" t="s">
        <v>596</v>
      </c>
    </row>
    <row r="3207" spans="1:102" x14ac:dyDescent="0.3">
      <c r="A3207" t="str">
        <f>HYPERLINK("https://webapp.icbf.com/v2/app/bull-search/view/537990607","LYF")</f>
        <v>LYF</v>
      </c>
      <c r="B3207" t="s">
        <v>12369</v>
      </c>
      <c r="C3207" t="s">
        <v>12370</v>
      </c>
      <c r="D3207" s="1">
        <v>39366</v>
      </c>
      <c r="E3207" t="s">
        <v>92</v>
      </c>
      <c r="F3207">
        <v>100</v>
      </c>
      <c r="G3207" t="s">
        <v>93</v>
      </c>
      <c r="H3207">
        <v>-19.190000000000001</v>
      </c>
      <c r="I3207">
        <v>97</v>
      </c>
      <c r="J3207">
        <v>73.23</v>
      </c>
      <c r="K3207">
        <v>99</v>
      </c>
      <c r="L3207">
        <v>-82.92</v>
      </c>
      <c r="M3207">
        <v>94</v>
      </c>
      <c r="N3207">
        <v>21.44</v>
      </c>
      <c r="O3207">
        <v>98</v>
      </c>
      <c r="P3207">
        <v>-11.73</v>
      </c>
      <c r="Q3207">
        <v>99</v>
      </c>
      <c r="R3207">
        <v>-3.97</v>
      </c>
      <c r="S3207">
        <v>93</v>
      </c>
      <c r="T3207">
        <v>-15.48</v>
      </c>
      <c r="U3207">
        <v>99</v>
      </c>
      <c r="V3207">
        <v>0.24</v>
      </c>
      <c r="W3207">
        <v>94</v>
      </c>
      <c r="X3207" t="s">
        <v>94</v>
      </c>
      <c r="Y3207" t="s">
        <v>1513</v>
      </c>
      <c r="Z3207" t="s">
        <v>96</v>
      </c>
      <c r="AA3207" t="s">
        <v>5124</v>
      </c>
      <c r="AB3207" t="s">
        <v>12371</v>
      </c>
      <c r="AC3207">
        <v>1305</v>
      </c>
      <c r="AD3207">
        <v>565</v>
      </c>
      <c r="AE3207">
        <v>99</v>
      </c>
      <c r="AF3207">
        <v>466.14</v>
      </c>
      <c r="AG3207">
        <v>8.56</v>
      </c>
      <c r="AH3207">
        <v>16.559999999999999</v>
      </c>
      <c r="AI3207">
        <v>-0.16</v>
      </c>
      <c r="AJ3207">
        <v>0.01</v>
      </c>
      <c r="AK3207">
        <v>94</v>
      </c>
      <c r="AL3207">
        <v>1423</v>
      </c>
      <c r="AM3207">
        <v>662</v>
      </c>
      <c r="AN3207">
        <v>3.19</v>
      </c>
      <c r="AO3207">
        <v>-3.44</v>
      </c>
      <c r="AP3207">
        <v>2567</v>
      </c>
      <c r="AQ3207">
        <v>20</v>
      </c>
      <c r="AR3207">
        <v>7.68</v>
      </c>
      <c r="AS3207">
        <v>96</v>
      </c>
      <c r="AT3207">
        <v>2.88</v>
      </c>
      <c r="AU3207">
        <v>98</v>
      </c>
      <c r="AV3207">
        <v>-2.38</v>
      </c>
      <c r="AW3207">
        <v>99</v>
      </c>
      <c r="AX3207">
        <v>0.05</v>
      </c>
      <c r="AY3207">
        <v>98</v>
      </c>
      <c r="AZ3207">
        <v>6</v>
      </c>
      <c r="BA3207">
        <v>94</v>
      </c>
      <c r="BB3207">
        <v>4.99</v>
      </c>
      <c r="BC3207">
        <v>93</v>
      </c>
      <c r="BD3207">
        <v>0.02</v>
      </c>
      <c r="BE3207">
        <v>0.02</v>
      </c>
      <c r="BF3207">
        <v>0.02</v>
      </c>
      <c r="BG3207">
        <v>98</v>
      </c>
      <c r="BH3207">
        <v>0.17</v>
      </c>
      <c r="BI3207">
        <v>18.88</v>
      </c>
      <c r="BJ3207">
        <v>203</v>
      </c>
      <c r="BK3207">
        <v>93</v>
      </c>
      <c r="BL3207">
        <v>1.42</v>
      </c>
      <c r="BM3207">
        <v>3.06</v>
      </c>
      <c r="BN3207">
        <v>3.33</v>
      </c>
      <c r="BO3207">
        <v>0.57999999999999996</v>
      </c>
      <c r="BP3207">
        <v>-1.85</v>
      </c>
      <c r="BQ3207">
        <v>2.82</v>
      </c>
      <c r="BR3207">
        <v>-1.44</v>
      </c>
      <c r="BS3207">
        <v>-1.89</v>
      </c>
      <c r="BT3207">
        <v>1.86</v>
      </c>
      <c r="BU3207">
        <v>-0.71</v>
      </c>
      <c r="BV3207">
        <v>-0.08</v>
      </c>
      <c r="BW3207">
        <v>0.23</v>
      </c>
      <c r="BX3207">
        <v>-1.31</v>
      </c>
      <c r="BY3207">
        <v>-0.53</v>
      </c>
      <c r="BZ3207">
        <v>0.97</v>
      </c>
      <c r="CA3207">
        <v>-0.11</v>
      </c>
      <c r="CB3207">
        <v>0.3</v>
      </c>
      <c r="CC3207">
        <v>-0.74</v>
      </c>
      <c r="CD3207">
        <v>1.65</v>
      </c>
      <c r="CE3207">
        <v>0.57999999999999996</v>
      </c>
      <c r="CF3207">
        <v>2.12</v>
      </c>
      <c r="CG3207">
        <v>0</v>
      </c>
      <c r="CH3207">
        <v>-0.57999999999999996</v>
      </c>
      <c r="CI3207">
        <v>0</v>
      </c>
      <c r="CJ3207">
        <v>-3.3</v>
      </c>
      <c r="CK3207">
        <v>99</v>
      </c>
      <c r="CL3207">
        <v>-1.35</v>
      </c>
      <c r="CM3207">
        <v>99</v>
      </c>
      <c r="CN3207">
        <v>-0.5</v>
      </c>
      <c r="CO3207">
        <v>99</v>
      </c>
      <c r="CP3207">
        <v>6</v>
      </c>
      <c r="CQ3207">
        <v>99</v>
      </c>
      <c r="CR3207">
        <v>0</v>
      </c>
      <c r="CS3207">
        <v>0</v>
      </c>
      <c r="CT3207">
        <v>34.700000000000003</v>
      </c>
      <c r="CU3207">
        <v>99</v>
      </c>
      <c r="CV3207">
        <v>0.28000000000000003</v>
      </c>
      <c r="CW3207">
        <v>48</v>
      </c>
      <c r="CX3207" t="s">
        <v>316</v>
      </c>
    </row>
    <row r="3208" spans="1:102" x14ac:dyDescent="0.3">
      <c r="A3208" t="str">
        <f>HYPERLINK("https://webapp.icbf.com/v2/app/bull-search/view/77857798","FAG")</f>
        <v>FAG</v>
      </c>
      <c r="B3208" t="s">
        <v>11215</v>
      </c>
      <c r="C3208" t="s">
        <v>11216</v>
      </c>
      <c r="D3208" s="1">
        <v>33442</v>
      </c>
      <c r="E3208" t="s">
        <v>92</v>
      </c>
      <c r="F3208">
        <v>100</v>
      </c>
      <c r="G3208" t="s">
        <v>109</v>
      </c>
      <c r="H3208">
        <v>-19.41</v>
      </c>
      <c r="I3208">
        <v>68</v>
      </c>
      <c r="J3208">
        <v>-12.11</v>
      </c>
      <c r="K3208">
        <v>84</v>
      </c>
      <c r="L3208">
        <v>-34.81</v>
      </c>
      <c r="M3208">
        <v>79</v>
      </c>
      <c r="N3208">
        <v>24.8</v>
      </c>
      <c r="O3208">
        <v>45</v>
      </c>
      <c r="P3208">
        <v>-8.9700000000000006</v>
      </c>
      <c r="Q3208">
        <v>40</v>
      </c>
      <c r="R3208">
        <v>0.48</v>
      </c>
      <c r="S3208">
        <v>62</v>
      </c>
      <c r="T3208">
        <v>13.38</v>
      </c>
      <c r="U3208">
        <v>44</v>
      </c>
      <c r="V3208">
        <v>-2.1800000000000002</v>
      </c>
      <c r="W3208">
        <v>23</v>
      </c>
      <c r="X3208" t="s">
        <v>558</v>
      </c>
      <c r="Y3208" t="s">
        <v>95</v>
      </c>
      <c r="Z3208" t="s">
        <v>96</v>
      </c>
      <c r="AA3208" t="s">
        <v>564</v>
      </c>
      <c r="AB3208" t="s">
        <v>11217</v>
      </c>
      <c r="AC3208">
        <v>0</v>
      </c>
      <c r="AD3208">
        <v>0</v>
      </c>
      <c r="AE3208">
        <v>84</v>
      </c>
      <c r="AF3208">
        <v>-86.9</v>
      </c>
      <c r="AG3208">
        <v>-1.61</v>
      </c>
      <c r="AH3208">
        <v>-2.82</v>
      </c>
      <c r="AI3208">
        <v>0.03</v>
      </c>
      <c r="AJ3208">
        <v>0</v>
      </c>
      <c r="AK3208">
        <v>79</v>
      </c>
      <c r="AL3208">
        <v>0</v>
      </c>
      <c r="AM3208">
        <v>0</v>
      </c>
      <c r="AN3208">
        <v>0.83</v>
      </c>
      <c r="AO3208">
        <v>-1.96</v>
      </c>
      <c r="AP3208">
        <v>1</v>
      </c>
      <c r="AQ3208">
        <v>0</v>
      </c>
      <c r="AR3208">
        <v>6.44</v>
      </c>
      <c r="AS3208">
        <v>28</v>
      </c>
      <c r="AT3208">
        <v>2.92</v>
      </c>
      <c r="AU3208">
        <v>84</v>
      </c>
      <c r="AV3208">
        <v>-2.1800000000000002</v>
      </c>
      <c r="AW3208">
        <v>35</v>
      </c>
      <c r="AX3208">
        <v>-0.75</v>
      </c>
      <c r="AY3208">
        <v>35</v>
      </c>
      <c r="AZ3208">
        <v>6.35</v>
      </c>
      <c r="BA3208">
        <v>26</v>
      </c>
      <c r="BB3208">
        <v>4.84</v>
      </c>
      <c r="BC3208">
        <v>28</v>
      </c>
      <c r="BD3208">
        <v>-0.03</v>
      </c>
      <c r="BE3208">
        <v>0.01</v>
      </c>
      <c r="BF3208">
        <v>0.02</v>
      </c>
      <c r="BG3208">
        <v>89</v>
      </c>
      <c r="BH3208">
        <v>-7.0000000000000007E-2</v>
      </c>
      <c r="BI3208">
        <v>-1.08</v>
      </c>
      <c r="BJ3208">
        <v>1</v>
      </c>
      <c r="BK3208">
        <v>1</v>
      </c>
      <c r="BL3208">
        <v>0.48</v>
      </c>
      <c r="BM3208">
        <v>-1.52</v>
      </c>
      <c r="BN3208">
        <v>-1.54</v>
      </c>
      <c r="BO3208">
        <v>-0.23</v>
      </c>
      <c r="BP3208">
        <v>0.18</v>
      </c>
      <c r="BQ3208">
        <v>-2.88</v>
      </c>
      <c r="BR3208">
        <v>-3</v>
      </c>
      <c r="BS3208">
        <v>-0.06</v>
      </c>
      <c r="BT3208">
        <v>2.88</v>
      </c>
      <c r="BU3208">
        <v>0.32</v>
      </c>
      <c r="BV3208">
        <v>-0.78</v>
      </c>
      <c r="BW3208">
        <v>0.65</v>
      </c>
      <c r="BX3208">
        <v>2.0099999999999998</v>
      </c>
      <c r="BY3208">
        <v>1.37</v>
      </c>
      <c r="BZ3208">
        <v>0.3</v>
      </c>
      <c r="CA3208">
        <v>0.41</v>
      </c>
      <c r="CB3208">
        <v>0.36</v>
      </c>
      <c r="CC3208">
        <v>-0.11</v>
      </c>
      <c r="CD3208">
        <v>-0.54</v>
      </c>
      <c r="CE3208">
        <v>0.42</v>
      </c>
      <c r="CF3208">
        <v>-0.73</v>
      </c>
      <c r="CG3208">
        <v>0</v>
      </c>
      <c r="CH3208">
        <v>0.81</v>
      </c>
      <c r="CI3208">
        <v>0</v>
      </c>
      <c r="CJ3208">
        <v>-2.6</v>
      </c>
      <c r="CK3208">
        <v>41</v>
      </c>
      <c r="CL3208">
        <v>-0.74</v>
      </c>
      <c r="CM3208">
        <v>38</v>
      </c>
      <c r="CN3208">
        <v>-0.3</v>
      </c>
      <c r="CO3208">
        <v>35</v>
      </c>
      <c r="CP3208">
        <v>-8.4</v>
      </c>
      <c r="CQ3208">
        <v>48</v>
      </c>
      <c r="CR3208">
        <v>0</v>
      </c>
      <c r="CS3208">
        <v>0</v>
      </c>
      <c r="CT3208">
        <v>-4.3</v>
      </c>
      <c r="CU3208">
        <v>44</v>
      </c>
      <c r="CV3208">
        <v>0.18</v>
      </c>
      <c r="CW3208">
        <v>11</v>
      </c>
      <c r="CX3208" t="s">
        <v>166</v>
      </c>
    </row>
    <row r="3209" spans="1:102" x14ac:dyDescent="0.3">
      <c r="A3209" t="str">
        <f>HYPERLINK("https://webapp.icbf.com/v2/app/bull-search/view/1250820573","MO4196")</f>
        <v>MO4196</v>
      </c>
      <c r="B3209" t="s">
        <v>13826</v>
      </c>
      <c r="C3209" t="s">
        <v>13674</v>
      </c>
      <c r="D3209" s="1">
        <v>40449</v>
      </c>
      <c r="E3209" t="s">
        <v>140</v>
      </c>
      <c r="F3209">
        <v>0</v>
      </c>
      <c r="G3209" t="s">
        <v>109</v>
      </c>
      <c r="H3209">
        <v>-19.64</v>
      </c>
      <c r="I3209">
        <v>67</v>
      </c>
      <c r="J3209">
        <v>59.44</v>
      </c>
      <c r="K3209">
        <v>87</v>
      </c>
      <c r="L3209">
        <v>-12.96</v>
      </c>
      <c r="M3209">
        <v>61</v>
      </c>
      <c r="N3209">
        <v>-58.57</v>
      </c>
      <c r="O3209">
        <v>63</v>
      </c>
      <c r="P3209">
        <v>16.79</v>
      </c>
      <c r="Q3209">
        <v>48</v>
      </c>
      <c r="R3209">
        <v>0.35</v>
      </c>
      <c r="S3209">
        <v>61</v>
      </c>
      <c r="T3209">
        <v>-9.26</v>
      </c>
      <c r="U3209">
        <v>45</v>
      </c>
      <c r="V3209">
        <v>-15.43</v>
      </c>
      <c r="W3209">
        <v>59</v>
      </c>
      <c r="X3209" t="s">
        <v>94</v>
      </c>
      <c r="Y3209" t="s">
        <v>1923</v>
      </c>
      <c r="Z3209">
        <v>0</v>
      </c>
      <c r="AA3209" t="s">
        <v>6053</v>
      </c>
      <c r="AB3209" t="s">
        <v>13827</v>
      </c>
      <c r="AC3209">
        <v>0</v>
      </c>
      <c r="AD3209">
        <v>0</v>
      </c>
      <c r="AE3209">
        <v>87</v>
      </c>
      <c r="AF3209">
        <v>167.71</v>
      </c>
      <c r="AG3209">
        <v>6.97</v>
      </c>
      <c r="AH3209">
        <v>10.210000000000001</v>
      </c>
      <c r="AI3209">
        <v>0.01</v>
      </c>
      <c r="AJ3209">
        <v>0.08</v>
      </c>
      <c r="AK3209">
        <v>61</v>
      </c>
      <c r="AL3209">
        <v>0</v>
      </c>
      <c r="AM3209">
        <v>0</v>
      </c>
      <c r="AN3209">
        <v>1</v>
      </c>
      <c r="AO3209">
        <v>-0.03</v>
      </c>
      <c r="AP3209">
        <v>20</v>
      </c>
      <c r="AQ3209">
        <v>0</v>
      </c>
      <c r="AR3209">
        <v>10.68</v>
      </c>
      <c r="AS3209">
        <v>50</v>
      </c>
      <c r="AT3209">
        <v>5.98</v>
      </c>
      <c r="AU3209">
        <v>66</v>
      </c>
      <c r="AV3209">
        <v>2.94</v>
      </c>
      <c r="AW3209">
        <v>72</v>
      </c>
      <c r="AX3209">
        <v>0.64</v>
      </c>
      <c r="AY3209">
        <v>58</v>
      </c>
      <c r="AZ3209">
        <v>4.7699999999999996</v>
      </c>
      <c r="BA3209">
        <v>45</v>
      </c>
      <c r="BB3209">
        <v>3.47</v>
      </c>
      <c r="BC3209">
        <v>44</v>
      </c>
      <c r="BD3209">
        <v>0.03</v>
      </c>
      <c r="BE3209">
        <v>-0.02</v>
      </c>
      <c r="BF3209">
        <v>-0.02</v>
      </c>
      <c r="BG3209">
        <v>67</v>
      </c>
      <c r="BH3209">
        <v>-0.35</v>
      </c>
      <c r="BI3209">
        <v>9.3000000000000007</v>
      </c>
      <c r="BJ3209">
        <v>0</v>
      </c>
      <c r="BK3209">
        <v>0</v>
      </c>
      <c r="BL3209">
        <v>-0.51</v>
      </c>
      <c r="BM3209">
        <v>3.81</v>
      </c>
      <c r="BN3209">
        <v>-1.36</v>
      </c>
      <c r="BO3209">
        <v>-2.89</v>
      </c>
      <c r="BP3209">
        <v>4.2699999999999996</v>
      </c>
      <c r="BQ3209">
        <v>-1.62</v>
      </c>
      <c r="BR3209">
        <v>-2.6</v>
      </c>
      <c r="BS3209">
        <v>-0.44</v>
      </c>
      <c r="BT3209">
        <v>2.5</v>
      </c>
      <c r="BU3209">
        <v>-2.99</v>
      </c>
      <c r="BV3209">
        <v>-3.43</v>
      </c>
      <c r="BW3209">
        <v>-2.63</v>
      </c>
      <c r="BX3209">
        <v>-2.3199999999999998</v>
      </c>
      <c r="BY3209">
        <v>-1.66</v>
      </c>
      <c r="BZ3209">
        <v>1.1100000000000001</v>
      </c>
      <c r="CA3209">
        <v>-2.09</v>
      </c>
      <c r="CB3209">
        <v>-2.73</v>
      </c>
      <c r="CC3209">
        <v>-0.27</v>
      </c>
      <c r="CD3209">
        <v>3.99</v>
      </c>
      <c r="CE3209">
        <v>-2.69</v>
      </c>
      <c r="CF3209">
        <v>-0.67</v>
      </c>
      <c r="CG3209">
        <v>0</v>
      </c>
      <c r="CH3209">
        <v>-2.0099999999999998</v>
      </c>
      <c r="CI3209">
        <v>0</v>
      </c>
      <c r="CJ3209">
        <v>6.8</v>
      </c>
      <c r="CK3209">
        <v>49</v>
      </c>
      <c r="CL3209">
        <v>0.01</v>
      </c>
      <c r="CM3209">
        <v>48</v>
      </c>
      <c r="CN3209">
        <v>-0.42</v>
      </c>
      <c r="CO3209">
        <v>48</v>
      </c>
      <c r="CP3209">
        <v>15.9</v>
      </c>
      <c r="CQ3209">
        <v>46</v>
      </c>
      <c r="CR3209">
        <v>0</v>
      </c>
      <c r="CS3209">
        <v>0</v>
      </c>
      <c r="CT3209">
        <v>26.3</v>
      </c>
      <c r="CU3209">
        <v>45</v>
      </c>
      <c r="CV3209">
        <v>0.3</v>
      </c>
      <c r="CW3209">
        <v>35</v>
      </c>
      <c r="CX3209" t="s">
        <v>2101</v>
      </c>
    </row>
    <row r="3210" spans="1:102" x14ac:dyDescent="0.3">
      <c r="A3210" t="str">
        <f>HYPERLINK("https://webapp.icbf.com/v2/app/bull-search/view/124414625","DUI")</f>
        <v>DUI</v>
      </c>
      <c r="B3210" t="s">
        <v>1357</v>
      </c>
      <c r="C3210" t="s">
        <v>1358</v>
      </c>
      <c r="D3210" s="1">
        <v>35104</v>
      </c>
      <c r="E3210" t="s">
        <v>92</v>
      </c>
      <c r="F3210">
        <v>97</v>
      </c>
      <c r="G3210" t="s">
        <v>93</v>
      </c>
      <c r="H3210">
        <v>-19.649999999999999</v>
      </c>
      <c r="I3210">
        <v>91</v>
      </c>
      <c r="J3210">
        <v>16.010000000000002</v>
      </c>
      <c r="K3210">
        <v>98</v>
      </c>
      <c r="L3210">
        <v>-22.59</v>
      </c>
      <c r="M3210">
        <v>87</v>
      </c>
      <c r="N3210">
        <v>3.04</v>
      </c>
      <c r="O3210">
        <v>88</v>
      </c>
      <c r="P3210">
        <v>-9.4600000000000009</v>
      </c>
      <c r="Q3210">
        <v>96</v>
      </c>
      <c r="R3210">
        <v>-16.8</v>
      </c>
      <c r="S3210">
        <v>86</v>
      </c>
      <c r="T3210">
        <v>22.85</v>
      </c>
      <c r="U3210">
        <v>90</v>
      </c>
      <c r="V3210">
        <v>-12.7</v>
      </c>
      <c r="W3210">
        <v>81</v>
      </c>
      <c r="X3210" t="s">
        <v>102</v>
      </c>
      <c r="Y3210" t="s">
        <v>95</v>
      </c>
      <c r="Z3210" t="s">
        <v>96</v>
      </c>
      <c r="AA3210" t="s">
        <v>265</v>
      </c>
      <c r="AB3210" t="s">
        <v>772</v>
      </c>
      <c r="AC3210">
        <v>202</v>
      </c>
      <c r="AD3210">
        <v>88</v>
      </c>
      <c r="AE3210">
        <v>98</v>
      </c>
      <c r="AF3210">
        <v>-141.94999999999999</v>
      </c>
      <c r="AG3210">
        <v>2.74</v>
      </c>
      <c r="AH3210">
        <v>-0.42</v>
      </c>
      <c r="AI3210">
        <v>0.15</v>
      </c>
      <c r="AJ3210">
        <v>0.08</v>
      </c>
      <c r="AK3210">
        <v>87</v>
      </c>
      <c r="AL3210">
        <v>241</v>
      </c>
      <c r="AM3210">
        <v>113</v>
      </c>
      <c r="AN3210">
        <v>2.9</v>
      </c>
      <c r="AO3210">
        <v>1.1200000000000001</v>
      </c>
      <c r="AP3210">
        <v>118</v>
      </c>
      <c r="AQ3210">
        <v>1</v>
      </c>
      <c r="AR3210">
        <v>6.66</v>
      </c>
      <c r="AS3210">
        <v>78</v>
      </c>
      <c r="AT3210">
        <v>3.16</v>
      </c>
      <c r="AU3210">
        <v>90</v>
      </c>
      <c r="AV3210">
        <v>-0.46</v>
      </c>
      <c r="AW3210">
        <v>92</v>
      </c>
      <c r="AX3210">
        <v>-0.36</v>
      </c>
      <c r="AY3210">
        <v>90</v>
      </c>
      <c r="AZ3210">
        <v>6.91</v>
      </c>
      <c r="BA3210">
        <v>76</v>
      </c>
      <c r="BB3210">
        <v>5.56</v>
      </c>
      <c r="BC3210">
        <v>83</v>
      </c>
      <c r="BD3210">
        <v>0.05</v>
      </c>
      <c r="BE3210">
        <v>7.0000000000000007E-2</v>
      </c>
      <c r="BF3210">
        <v>0.17</v>
      </c>
      <c r="BG3210">
        <v>94</v>
      </c>
      <c r="BH3210">
        <v>-0.26</v>
      </c>
      <c r="BI3210">
        <v>10.89</v>
      </c>
      <c r="BJ3210">
        <v>8</v>
      </c>
      <c r="BK3210">
        <v>8</v>
      </c>
      <c r="BL3210">
        <v>-1.02</v>
      </c>
      <c r="BM3210">
        <v>-3.22</v>
      </c>
      <c r="BN3210">
        <v>-2.0499999999999998</v>
      </c>
      <c r="BO3210">
        <v>-0.12</v>
      </c>
      <c r="BP3210">
        <v>1.61</v>
      </c>
      <c r="BQ3210">
        <v>-4.37</v>
      </c>
      <c r="BR3210">
        <v>-0.41</v>
      </c>
      <c r="BS3210">
        <v>1.29</v>
      </c>
      <c r="BT3210">
        <v>0.66</v>
      </c>
      <c r="BU3210">
        <v>-1.77</v>
      </c>
      <c r="BV3210">
        <v>-1.56</v>
      </c>
      <c r="BW3210">
        <v>-0.69</v>
      </c>
      <c r="BX3210">
        <v>-1.28</v>
      </c>
      <c r="BY3210">
        <v>0.9</v>
      </c>
      <c r="BZ3210">
        <v>1.1299999999999999</v>
      </c>
      <c r="CA3210">
        <v>-1.04</v>
      </c>
      <c r="CB3210">
        <v>-1.59</v>
      </c>
      <c r="CC3210">
        <v>0.1</v>
      </c>
      <c r="CD3210">
        <v>-1.45</v>
      </c>
      <c r="CE3210">
        <v>0.22</v>
      </c>
      <c r="CF3210">
        <v>-1.77</v>
      </c>
      <c r="CG3210">
        <v>0</v>
      </c>
      <c r="CH3210">
        <v>-0.49</v>
      </c>
      <c r="CI3210">
        <v>0</v>
      </c>
      <c r="CJ3210">
        <v>-5.7</v>
      </c>
      <c r="CK3210">
        <v>96</v>
      </c>
      <c r="CL3210">
        <v>-0.37</v>
      </c>
      <c r="CM3210">
        <v>95</v>
      </c>
      <c r="CN3210">
        <v>-0.34</v>
      </c>
      <c r="CO3210">
        <v>95</v>
      </c>
      <c r="CP3210">
        <v>-11.7</v>
      </c>
      <c r="CQ3210">
        <v>96</v>
      </c>
      <c r="CR3210">
        <v>0</v>
      </c>
      <c r="CS3210">
        <v>0</v>
      </c>
      <c r="CT3210">
        <v>-17.100000000000001</v>
      </c>
      <c r="CU3210">
        <v>90</v>
      </c>
      <c r="CV3210">
        <v>-0.04</v>
      </c>
      <c r="CW3210">
        <v>46</v>
      </c>
      <c r="CX3210" t="s">
        <v>724</v>
      </c>
    </row>
    <row r="3211" spans="1:102" x14ac:dyDescent="0.3">
      <c r="A3211" t="str">
        <f>HYPERLINK("https://webapp.icbf.com/v2/app/bull-search/view/77854711","PEL")</f>
        <v>PEL</v>
      </c>
      <c r="B3211" t="s">
        <v>2750</v>
      </c>
      <c r="C3211" t="s">
        <v>2751</v>
      </c>
      <c r="D3211" s="1">
        <v>35099</v>
      </c>
      <c r="E3211" t="s">
        <v>92</v>
      </c>
      <c r="F3211">
        <v>100</v>
      </c>
      <c r="G3211" t="s">
        <v>93</v>
      </c>
      <c r="H3211">
        <v>-19.79</v>
      </c>
      <c r="I3211">
        <v>73</v>
      </c>
      <c r="J3211">
        <v>-10.41</v>
      </c>
      <c r="K3211">
        <v>93</v>
      </c>
      <c r="L3211">
        <v>-44.08</v>
      </c>
      <c r="M3211">
        <v>60</v>
      </c>
      <c r="N3211">
        <v>31.84</v>
      </c>
      <c r="O3211">
        <v>62</v>
      </c>
      <c r="P3211">
        <v>-4.21</v>
      </c>
      <c r="Q3211">
        <v>78</v>
      </c>
      <c r="R3211">
        <v>-4.96</v>
      </c>
      <c r="S3211">
        <v>65</v>
      </c>
      <c r="T3211">
        <v>17.82</v>
      </c>
      <c r="U3211">
        <v>73</v>
      </c>
      <c r="V3211">
        <v>-5.79</v>
      </c>
      <c r="W3211">
        <v>34</v>
      </c>
      <c r="X3211" t="s">
        <v>94</v>
      </c>
      <c r="Y3211" t="s">
        <v>95</v>
      </c>
      <c r="Z3211" t="s">
        <v>96</v>
      </c>
      <c r="AA3211" t="s">
        <v>529</v>
      </c>
      <c r="AB3211" t="s">
        <v>2752</v>
      </c>
      <c r="AC3211">
        <v>65</v>
      </c>
      <c r="AD3211">
        <v>57</v>
      </c>
      <c r="AE3211">
        <v>93</v>
      </c>
      <c r="AF3211">
        <v>88.97</v>
      </c>
      <c r="AG3211">
        <v>1.02</v>
      </c>
      <c r="AH3211">
        <v>-0.77</v>
      </c>
      <c r="AI3211">
        <v>-0.04</v>
      </c>
      <c r="AJ3211">
        <v>-0.06</v>
      </c>
      <c r="AK3211">
        <v>60</v>
      </c>
      <c r="AL3211">
        <v>60</v>
      </c>
      <c r="AM3211">
        <v>50</v>
      </c>
      <c r="AN3211">
        <v>2.84</v>
      </c>
      <c r="AO3211">
        <v>-0.67</v>
      </c>
      <c r="AP3211">
        <v>21</v>
      </c>
      <c r="AQ3211">
        <v>0</v>
      </c>
      <c r="AR3211">
        <v>4.54</v>
      </c>
      <c r="AS3211">
        <v>53</v>
      </c>
      <c r="AT3211">
        <v>2.31</v>
      </c>
      <c r="AU3211">
        <v>55</v>
      </c>
      <c r="AV3211">
        <v>-1.48</v>
      </c>
      <c r="AW3211">
        <v>69</v>
      </c>
      <c r="AX3211">
        <v>-0.84</v>
      </c>
      <c r="AY3211">
        <v>78</v>
      </c>
      <c r="AZ3211">
        <v>5.24</v>
      </c>
      <c r="BA3211">
        <v>33</v>
      </c>
      <c r="BB3211">
        <v>4.37</v>
      </c>
      <c r="BC3211">
        <v>51</v>
      </c>
      <c r="BD3211">
        <v>0</v>
      </c>
      <c r="BE3211">
        <v>0.06</v>
      </c>
      <c r="BF3211">
        <v>0</v>
      </c>
      <c r="BG3211">
        <v>80</v>
      </c>
      <c r="BH3211">
        <v>-0.14000000000000001</v>
      </c>
      <c r="BI3211">
        <v>2.48</v>
      </c>
      <c r="BJ3211">
        <v>6</v>
      </c>
      <c r="BK3211">
        <v>6</v>
      </c>
      <c r="BL3211">
        <v>-0.2</v>
      </c>
      <c r="BM3211">
        <v>0.59</v>
      </c>
      <c r="BN3211">
        <v>-0.11</v>
      </c>
      <c r="BO3211">
        <v>-0.53</v>
      </c>
      <c r="BP3211">
        <v>0.43</v>
      </c>
      <c r="BQ3211">
        <v>-0.96</v>
      </c>
      <c r="BR3211">
        <v>-1.34</v>
      </c>
      <c r="BS3211">
        <v>-1.41</v>
      </c>
      <c r="BT3211">
        <v>0.24</v>
      </c>
      <c r="BU3211">
        <v>-1.47</v>
      </c>
      <c r="BV3211">
        <v>-1.1000000000000001</v>
      </c>
      <c r="BW3211">
        <v>-1</v>
      </c>
      <c r="BX3211">
        <v>-1.23</v>
      </c>
      <c r="BY3211">
        <v>-0.23</v>
      </c>
      <c r="BZ3211">
        <v>-0.91</v>
      </c>
      <c r="CA3211">
        <v>-1.57</v>
      </c>
      <c r="CB3211">
        <v>-1.42</v>
      </c>
      <c r="CC3211">
        <v>-1.23</v>
      </c>
      <c r="CD3211">
        <v>0.71</v>
      </c>
      <c r="CE3211">
        <v>0.49</v>
      </c>
      <c r="CF3211">
        <v>0.21</v>
      </c>
      <c r="CG3211">
        <v>0</v>
      </c>
      <c r="CH3211">
        <v>-1.1499999999999999</v>
      </c>
      <c r="CI3211">
        <v>0</v>
      </c>
      <c r="CJ3211">
        <v>-2.7</v>
      </c>
      <c r="CK3211">
        <v>80</v>
      </c>
      <c r="CL3211">
        <v>-0.3</v>
      </c>
      <c r="CM3211">
        <v>76</v>
      </c>
      <c r="CN3211">
        <v>-0.34</v>
      </c>
      <c r="CO3211">
        <v>73</v>
      </c>
      <c r="CP3211">
        <v>-9.1</v>
      </c>
      <c r="CQ3211">
        <v>82</v>
      </c>
      <c r="CR3211">
        <v>0</v>
      </c>
      <c r="CS3211">
        <v>0</v>
      </c>
      <c r="CT3211">
        <v>-10.3</v>
      </c>
      <c r="CU3211">
        <v>73</v>
      </c>
      <c r="CV3211">
        <v>0</v>
      </c>
      <c r="CW3211">
        <v>23</v>
      </c>
      <c r="CX3211" t="s">
        <v>118</v>
      </c>
    </row>
    <row r="3212" spans="1:102" x14ac:dyDescent="0.3">
      <c r="A3212" t="str">
        <f>HYPERLINK("https://webapp.icbf.com/v2/app/bull-search/view/77855875","LOS")</f>
        <v>LOS</v>
      </c>
      <c r="B3212" t="s">
        <v>9675</v>
      </c>
      <c r="C3212" t="s">
        <v>9676</v>
      </c>
      <c r="D3212" s="1">
        <v>34202</v>
      </c>
      <c r="E3212" t="s">
        <v>108</v>
      </c>
      <c r="F3212">
        <v>0</v>
      </c>
      <c r="G3212" t="s">
        <v>93</v>
      </c>
      <c r="H3212">
        <v>-19.82</v>
      </c>
      <c r="I3212">
        <v>72</v>
      </c>
      <c r="J3212">
        <v>-47.24</v>
      </c>
      <c r="K3212">
        <v>92</v>
      </c>
      <c r="L3212">
        <v>24.96</v>
      </c>
      <c r="M3212">
        <v>60</v>
      </c>
      <c r="N3212">
        <v>1.1499999999999999</v>
      </c>
      <c r="O3212">
        <v>54</v>
      </c>
      <c r="P3212">
        <v>-13.16</v>
      </c>
      <c r="Q3212">
        <v>85</v>
      </c>
      <c r="R3212">
        <v>-13.41</v>
      </c>
      <c r="S3212">
        <v>63</v>
      </c>
      <c r="T3212">
        <v>26.11</v>
      </c>
      <c r="U3212">
        <v>70</v>
      </c>
      <c r="V3212">
        <v>1.77</v>
      </c>
      <c r="W3212">
        <v>31</v>
      </c>
      <c r="X3212" t="s">
        <v>102</v>
      </c>
      <c r="Y3212" t="s">
        <v>95</v>
      </c>
      <c r="Z3212" t="s">
        <v>96</v>
      </c>
      <c r="AA3212" t="s">
        <v>9677</v>
      </c>
      <c r="AB3212" t="s">
        <v>9678</v>
      </c>
      <c r="AC3212">
        <v>55</v>
      </c>
      <c r="AD3212">
        <v>46</v>
      </c>
      <c r="AE3212">
        <v>92</v>
      </c>
      <c r="AF3212">
        <v>-367.66</v>
      </c>
      <c r="AG3212">
        <v>-10.83</v>
      </c>
      <c r="AH3212">
        <v>-9.83</v>
      </c>
      <c r="AI3212">
        <v>0.06</v>
      </c>
      <c r="AJ3212">
        <v>0.05</v>
      </c>
      <c r="AK3212">
        <v>60</v>
      </c>
      <c r="AL3212">
        <v>82</v>
      </c>
      <c r="AM3212">
        <v>62</v>
      </c>
      <c r="AN3212">
        <v>-1.4</v>
      </c>
      <c r="AO3212">
        <v>0.59</v>
      </c>
      <c r="AP3212">
        <v>4</v>
      </c>
      <c r="AQ3212">
        <v>0</v>
      </c>
      <c r="AR3212">
        <v>6.97</v>
      </c>
      <c r="AS3212">
        <v>24</v>
      </c>
      <c r="AT3212">
        <v>2.99</v>
      </c>
      <c r="AU3212">
        <v>53</v>
      </c>
      <c r="AV3212">
        <v>-2.15</v>
      </c>
      <c r="AW3212">
        <v>59</v>
      </c>
      <c r="AX3212">
        <v>-0.08</v>
      </c>
      <c r="AY3212">
        <v>73</v>
      </c>
      <c r="AZ3212">
        <v>8.35</v>
      </c>
      <c r="BA3212">
        <v>23</v>
      </c>
      <c r="BB3212">
        <v>7.61</v>
      </c>
      <c r="BC3212">
        <v>49</v>
      </c>
      <c r="BD3212">
        <v>0.08</v>
      </c>
      <c r="BE3212">
        <v>0.05</v>
      </c>
      <c r="BF3212">
        <v>0.08</v>
      </c>
      <c r="BG3212">
        <v>81</v>
      </c>
      <c r="BH3212">
        <v>-0.11</v>
      </c>
      <c r="BI3212">
        <v>-18.45</v>
      </c>
      <c r="BJ3212">
        <v>18</v>
      </c>
      <c r="BK3212">
        <v>14</v>
      </c>
      <c r="BL3212">
        <v>-2.54</v>
      </c>
      <c r="BM3212">
        <v>0.17</v>
      </c>
      <c r="BN3212">
        <v>-3.67</v>
      </c>
      <c r="BO3212">
        <v>-2.81</v>
      </c>
      <c r="BP3212">
        <v>-0.86</v>
      </c>
      <c r="BQ3212">
        <v>0.19</v>
      </c>
      <c r="BR3212">
        <v>-3.01</v>
      </c>
      <c r="BS3212">
        <v>0.15</v>
      </c>
      <c r="BT3212">
        <v>1.52</v>
      </c>
      <c r="BU3212">
        <v>-2.31</v>
      </c>
      <c r="BV3212">
        <v>-3.11</v>
      </c>
      <c r="BW3212">
        <v>-2.4500000000000002</v>
      </c>
      <c r="BX3212">
        <v>-1.1599999999999999</v>
      </c>
      <c r="BY3212">
        <v>-0.37</v>
      </c>
      <c r="BZ3212">
        <v>-1.06</v>
      </c>
      <c r="CA3212">
        <v>-2</v>
      </c>
      <c r="CB3212">
        <v>-2.29</v>
      </c>
      <c r="CC3212">
        <v>-0.39</v>
      </c>
      <c r="CD3212">
        <v>2.15</v>
      </c>
      <c r="CE3212">
        <v>-2.79</v>
      </c>
      <c r="CF3212">
        <v>-2.4700000000000002</v>
      </c>
      <c r="CG3212">
        <v>0</v>
      </c>
      <c r="CH3212">
        <v>-1.84</v>
      </c>
      <c r="CI3212">
        <v>0</v>
      </c>
      <c r="CJ3212">
        <v>-6.9</v>
      </c>
      <c r="CK3212">
        <v>86</v>
      </c>
      <c r="CL3212">
        <v>-0.06</v>
      </c>
      <c r="CM3212">
        <v>83</v>
      </c>
      <c r="CN3212">
        <v>0.1</v>
      </c>
      <c r="CO3212">
        <v>81</v>
      </c>
      <c r="CP3212">
        <v>-12.3</v>
      </c>
      <c r="CQ3212">
        <v>85</v>
      </c>
      <c r="CR3212">
        <v>0</v>
      </c>
      <c r="CS3212">
        <v>0</v>
      </c>
      <c r="CT3212">
        <v>-21.5</v>
      </c>
      <c r="CU3212">
        <v>70</v>
      </c>
      <c r="CV3212">
        <v>-0.11</v>
      </c>
      <c r="CW3212">
        <v>25</v>
      </c>
      <c r="CX3212" t="s">
        <v>2781</v>
      </c>
    </row>
    <row r="3213" spans="1:102" x14ac:dyDescent="0.3">
      <c r="A3213" t="str">
        <f>HYPERLINK("https://webapp.icbf.com/v2/app/bull-search/view/77858536","DRE")</f>
        <v>DRE</v>
      </c>
      <c r="B3213" t="s">
        <v>3157</v>
      </c>
      <c r="C3213" t="s">
        <v>3158</v>
      </c>
      <c r="D3213" s="1">
        <v>31846</v>
      </c>
      <c r="E3213" t="s">
        <v>108</v>
      </c>
      <c r="F3213">
        <v>25</v>
      </c>
      <c r="G3213" t="s">
        <v>93</v>
      </c>
      <c r="H3213">
        <v>-19.96</v>
      </c>
      <c r="I3213">
        <v>53</v>
      </c>
      <c r="J3213">
        <v>-59.43</v>
      </c>
      <c r="K3213">
        <v>66</v>
      </c>
      <c r="L3213">
        <v>33.22</v>
      </c>
      <c r="M3213">
        <v>52</v>
      </c>
      <c r="N3213">
        <v>-2.21</v>
      </c>
      <c r="O3213">
        <v>39</v>
      </c>
      <c r="P3213">
        <v>-6.21</v>
      </c>
      <c r="Q3213">
        <v>47</v>
      </c>
      <c r="R3213">
        <v>-2.15</v>
      </c>
      <c r="S3213">
        <v>51</v>
      </c>
      <c r="T3213">
        <v>16.27</v>
      </c>
      <c r="U3213">
        <v>45</v>
      </c>
      <c r="V3213">
        <v>0.55000000000000004</v>
      </c>
      <c r="W3213">
        <v>21</v>
      </c>
      <c r="X3213" t="s">
        <v>110</v>
      </c>
      <c r="Y3213" t="s">
        <v>95</v>
      </c>
      <c r="Z3213" t="s">
        <v>96</v>
      </c>
      <c r="AA3213" t="s">
        <v>911</v>
      </c>
      <c r="AB3213" t="s">
        <v>3159</v>
      </c>
      <c r="AC3213">
        <v>15</v>
      </c>
      <c r="AD3213">
        <v>11</v>
      </c>
      <c r="AE3213">
        <v>66</v>
      </c>
      <c r="AF3213">
        <v>-188.26</v>
      </c>
      <c r="AG3213">
        <v>-8.6199999999999992</v>
      </c>
      <c r="AH3213">
        <v>-9.94</v>
      </c>
      <c r="AI3213">
        <v>-0.02</v>
      </c>
      <c r="AJ3213">
        <v>-0.06</v>
      </c>
      <c r="AK3213">
        <v>52</v>
      </c>
      <c r="AL3213">
        <v>34</v>
      </c>
      <c r="AM3213">
        <v>15</v>
      </c>
      <c r="AN3213">
        <v>-1.78</v>
      </c>
      <c r="AO3213">
        <v>0.87</v>
      </c>
      <c r="AP3213">
        <v>3</v>
      </c>
      <c r="AQ3213">
        <v>0</v>
      </c>
      <c r="AR3213">
        <v>6.21</v>
      </c>
      <c r="AS3213">
        <v>26</v>
      </c>
      <c r="AT3213">
        <v>2.44</v>
      </c>
      <c r="AU3213">
        <v>32</v>
      </c>
      <c r="AV3213">
        <v>0.92</v>
      </c>
      <c r="AW3213">
        <v>45</v>
      </c>
      <c r="AX3213">
        <v>0.55000000000000004</v>
      </c>
      <c r="AY3213">
        <v>52</v>
      </c>
      <c r="AZ3213">
        <v>6.88</v>
      </c>
      <c r="BA3213">
        <v>22</v>
      </c>
      <c r="BB3213">
        <v>5.34</v>
      </c>
      <c r="BC3213">
        <v>31</v>
      </c>
      <c r="BD3213">
        <v>0.02</v>
      </c>
      <c r="BE3213">
        <v>0.04</v>
      </c>
      <c r="BF3213">
        <v>-0.06</v>
      </c>
      <c r="BG3213">
        <v>68</v>
      </c>
      <c r="BH3213">
        <v>0.02</v>
      </c>
      <c r="BI3213">
        <v>0.54</v>
      </c>
      <c r="BJ3213">
        <v>1</v>
      </c>
      <c r="BK3213">
        <v>1</v>
      </c>
      <c r="BL3213">
        <v>-1.96</v>
      </c>
      <c r="BM3213">
        <v>1.42</v>
      </c>
      <c r="BN3213">
        <v>-1.43</v>
      </c>
      <c r="BO3213">
        <v>-2.1</v>
      </c>
      <c r="BP3213">
        <v>0.37</v>
      </c>
      <c r="BQ3213">
        <v>-0.23</v>
      </c>
      <c r="BR3213">
        <v>0.14000000000000001</v>
      </c>
      <c r="BS3213">
        <v>-0.56999999999999995</v>
      </c>
      <c r="BT3213">
        <v>-0.38</v>
      </c>
      <c r="BU3213">
        <v>-1.74</v>
      </c>
      <c r="BV3213">
        <v>-2.1800000000000002</v>
      </c>
      <c r="BW3213">
        <v>-2.23</v>
      </c>
      <c r="BX3213">
        <v>-2.4500000000000002</v>
      </c>
      <c r="BY3213">
        <v>-0.18</v>
      </c>
      <c r="BZ3213">
        <v>-2.06</v>
      </c>
      <c r="CA3213">
        <v>-2.2599999999999998</v>
      </c>
      <c r="CB3213">
        <v>-2.13</v>
      </c>
      <c r="CC3213">
        <v>-1.6</v>
      </c>
      <c r="CD3213">
        <v>2.25</v>
      </c>
      <c r="CE3213">
        <v>-2.2599999999999998</v>
      </c>
      <c r="CF3213">
        <v>-1.92</v>
      </c>
      <c r="CG3213">
        <v>0</v>
      </c>
      <c r="CH3213">
        <v>-1.72</v>
      </c>
      <c r="CI3213">
        <v>0</v>
      </c>
      <c r="CJ3213">
        <v>-2.6</v>
      </c>
      <c r="CK3213">
        <v>48</v>
      </c>
      <c r="CL3213">
        <v>-0.08</v>
      </c>
      <c r="CM3213">
        <v>45</v>
      </c>
      <c r="CN3213">
        <v>0.06</v>
      </c>
      <c r="CO3213">
        <v>40</v>
      </c>
      <c r="CP3213">
        <v>-7.3</v>
      </c>
      <c r="CQ3213">
        <v>56</v>
      </c>
      <c r="CR3213">
        <v>0</v>
      </c>
      <c r="CS3213">
        <v>0</v>
      </c>
      <c r="CT3213">
        <v>-8.1999999999999993</v>
      </c>
      <c r="CU3213">
        <v>45</v>
      </c>
      <c r="CV3213">
        <v>-0.01</v>
      </c>
      <c r="CW3213">
        <v>12</v>
      </c>
      <c r="CX3213" t="s">
        <v>3160</v>
      </c>
    </row>
    <row r="3214" spans="1:102" x14ac:dyDescent="0.3">
      <c r="A3214" t="str">
        <f>HYPERLINK("https://webapp.icbf.com/v2/app/bull-search/view/660012539","GOG")</f>
        <v>GOG</v>
      </c>
      <c r="B3214" t="s">
        <v>12981</v>
      </c>
      <c r="C3214" t="s">
        <v>12982</v>
      </c>
      <c r="D3214" s="1">
        <v>38713</v>
      </c>
      <c r="E3214" t="s">
        <v>92</v>
      </c>
      <c r="F3214">
        <v>100</v>
      </c>
      <c r="G3214" t="s">
        <v>93</v>
      </c>
      <c r="H3214">
        <v>-20</v>
      </c>
      <c r="I3214">
        <v>90</v>
      </c>
      <c r="J3214">
        <v>47.72</v>
      </c>
      <c r="K3214">
        <v>97</v>
      </c>
      <c r="L3214">
        <v>-84.5</v>
      </c>
      <c r="M3214">
        <v>90</v>
      </c>
      <c r="N3214">
        <v>22.06</v>
      </c>
      <c r="O3214">
        <v>86</v>
      </c>
      <c r="P3214">
        <v>-3.75</v>
      </c>
      <c r="Q3214">
        <v>92</v>
      </c>
      <c r="R3214">
        <v>3.19</v>
      </c>
      <c r="S3214">
        <v>82</v>
      </c>
      <c r="T3214">
        <v>-2.5299999999999998</v>
      </c>
      <c r="U3214">
        <v>85</v>
      </c>
      <c r="V3214">
        <v>-2.19</v>
      </c>
      <c r="W3214">
        <v>66</v>
      </c>
      <c r="X3214" t="s">
        <v>276</v>
      </c>
      <c r="Y3214" t="s">
        <v>1756</v>
      </c>
      <c r="Z3214" t="s">
        <v>96</v>
      </c>
      <c r="AA3214" t="s">
        <v>309</v>
      </c>
      <c r="AB3214" t="s">
        <v>12983</v>
      </c>
      <c r="AC3214">
        <v>103</v>
      </c>
      <c r="AD3214">
        <v>42</v>
      </c>
      <c r="AE3214">
        <v>97</v>
      </c>
      <c r="AF3214">
        <v>328.87</v>
      </c>
      <c r="AG3214">
        <v>9.64</v>
      </c>
      <c r="AH3214">
        <v>9.74</v>
      </c>
      <c r="AI3214">
        <v>-0.05</v>
      </c>
      <c r="AJ3214">
        <v>-0.02</v>
      </c>
      <c r="AK3214">
        <v>90</v>
      </c>
      <c r="AL3214">
        <v>105</v>
      </c>
      <c r="AM3214">
        <v>45</v>
      </c>
      <c r="AN3214">
        <v>5.26</v>
      </c>
      <c r="AO3214">
        <v>-1.47</v>
      </c>
      <c r="AP3214">
        <v>232</v>
      </c>
      <c r="AQ3214">
        <v>0</v>
      </c>
      <c r="AR3214">
        <v>4.5599999999999996</v>
      </c>
      <c r="AS3214">
        <v>88</v>
      </c>
      <c r="AT3214">
        <v>2.4</v>
      </c>
      <c r="AU3214">
        <v>89</v>
      </c>
      <c r="AV3214">
        <v>-1.52</v>
      </c>
      <c r="AW3214">
        <v>94</v>
      </c>
      <c r="AX3214">
        <v>-0.31</v>
      </c>
      <c r="AY3214">
        <v>83</v>
      </c>
      <c r="AZ3214">
        <v>6.79</v>
      </c>
      <c r="BA3214">
        <v>66</v>
      </c>
      <c r="BB3214">
        <v>5.55</v>
      </c>
      <c r="BC3214">
        <v>62</v>
      </c>
      <c r="BD3214">
        <v>-0.02</v>
      </c>
      <c r="BE3214">
        <v>0</v>
      </c>
      <c r="BF3214">
        <v>-0.04</v>
      </c>
      <c r="BG3214">
        <v>94</v>
      </c>
      <c r="BH3214">
        <v>-0.19</v>
      </c>
      <c r="BI3214">
        <v>-14.92</v>
      </c>
      <c r="BJ3214">
        <v>28</v>
      </c>
      <c r="BK3214">
        <v>15</v>
      </c>
      <c r="BL3214">
        <v>1.89</v>
      </c>
      <c r="BM3214">
        <v>-1.52</v>
      </c>
      <c r="BN3214">
        <v>0.22</v>
      </c>
      <c r="BO3214">
        <v>1.64</v>
      </c>
      <c r="BP3214">
        <v>-0.39</v>
      </c>
      <c r="BQ3214">
        <v>0.63</v>
      </c>
      <c r="BR3214">
        <v>-1.92</v>
      </c>
      <c r="BS3214">
        <v>3.37</v>
      </c>
      <c r="BT3214">
        <v>1.89</v>
      </c>
      <c r="BU3214">
        <v>1.64</v>
      </c>
      <c r="BV3214">
        <v>2.66</v>
      </c>
      <c r="BW3214">
        <v>2.0699999999999998</v>
      </c>
      <c r="BX3214">
        <v>1.52</v>
      </c>
      <c r="BY3214">
        <v>2.74</v>
      </c>
      <c r="BZ3214">
        <v>-1.92</v>
      </c>
      <c r="CA3214">
        <v>2.58</v>
      </c>
      <c r="CB3214">
        <v>1.8</v>
      </c>
      <c r="CC3214">
        <v>3.08</v>
      </c>
      <c r="CD3214">
        <v>-1.1599999999999999</v>
      </c>
      <c r="CE3214">
        <v>1.43</v>
      </c>
      <c r="CF3214">
        <v>0.42</v>
      </c>
      <c r="CG3214">
        <v>0</v>
      </c>
      <c r="CH3214">
        <v>2.6</v>
      </c>
      <c r="CI3214">
        <v>0</v>
      </c>
      <c r="CJ3214">
        <v>0.7</v>
      </c>
      <c r="CK3214">
        <v>93</v>
      </c>
      <c r="CL3214">
        <v>-1.23</v>
      </c>
      <c r="CM3214">
        <v>92</v>
      </c>
      <c r="CN3214">
        <v>-0.68</v>
      </c>
      <c r="CO3214">
        <v>91</v>
      </c>
      <c r="CP3214">
        <v>0.1</v>
      </c>
      <c r="CQ3214">
        <v>88</v>
      </c>
      <c r="CR3214">
        <v>0</v>
      </c>
      <c r="CS3214">
        <v>0</v>
      </c>
      <c r="CT3214">
        <v>17.2</v>
      </c>
      <c r="CU3214">
        <v>85</v>
      </c>
      <c r="CV3214">
        <v>0.22</v>
      </c>
      <c r="CW3214">
        <v>44</v>
      </c>
      <c r="CX3214" t="s">
        <v>1216</v>
      </c>
    </row>
    <row r="3215" spans="1:102" x14ac:dyDescent="0.3">
      <c r="A3215" t="str">
        <f>HYPERLINK("https://webapp.icbf.com/v2/app/bull-search/view/1270976365","MO2115")</f>
        <v>MO2115</v>
      </c>
      <c r="B3215" t="s">
        <v>13526</v>
      </c>
      <c r="C3215" t="s">
        <v>13527</v>
      </c>
      <c r="D3215" s="1">
        <v>40639</v>
      </c>
      <c r="E3215" t="s">
        <v>140</v>
      </c>
      <c r="F3215">
        <v>0</v>
      </c>
      <c r="G3215" t="s">
        <v>109</v>
      </c>
      <c r="H3215">
        <v>-20.059999999999999</v>
      </c>
      <c r="I3215">
        <v>38</v>
      </c>
      <c r="J3215">
        <v>-10.99</v>
      </c>
      <c r="K3215">
        <v>73</v>
      </c>
      <c r="L3215">
        <v>-4.1399999999999997</v>
      </c>
      <c r="M3215">
        <v>15</v>
      </c>
      <c r="N3215">
        <v>-24.52</v>
      </c>
      <c r="O3215">
        <v>27</v>
      </c>
      <c r="P3215">
        <v>11.97</v>
      </c>
      <c r="Q3215">
        <v>39</v>
      </c>
      <c r="R3215">
        <v>3.15</v>
      </c>
      <c r="S3215">
        <v>16</v>
      </c>
      <c r="T3215">
        <v>12.86</v>
      </c>
      <c r="U3215">
        <v>22</v>
      </c>
      <c r="V3215">
        <v>-8.39</v>
      </c>
      <c r="W3215">
        <v>18</v>
      </c>
      <c r="X3215" t="s">
        <v>102</v>
      </c>
      <c r="Y3215" t="s">
        <v>422</v>
      </c>
      <c r="Z3215">
        <v>0</v>
      </c>
      <c r="AA3215" t="s">
        <v>13528</v>
      </c>
      <c r="AB3215" t="s">
        <v>13529</v>
      </c>
      <c r="AC3215">
        <v>0</v>
      </c>
      <c r="AD3215">
        <v>0</v>
      </c>
      <c r="AE3215">
        <v>73</v>
      </c>
      <c r="AF3215">
        <v>-128.69</v>
      </c>
      <c r="AG3215">
        <v>-9.44</v>
      </c>
      <c r="AH3215">
        <v>-0.5</v>
      </c>
      <c r="AI3215">
        <v>-7.0000000000000007E-2</v>
      </c>
      <c r="AJ3215">
        <v>7.0000000000000007E-2</v>
      </c>
      <c r="AK3215">
        <v>15</v>
      </c>
      <c r="AL3215">
        <v>4</v>
      </c>
      <c r="AM3215">
        <v>3</v>
      </c>
      <c r="AN3215">
        <v>0.25</v>
      </c>
      <c r="AO3215">
        <v>-0.08</v>
      </c>
      <c r="AP3215">
        <v>5</v>
      </c>
      <c r="AQ3215">
        <v>0</v>
      </c>
      <c r="AR3215">
        <v>9.5399999999999991</v>
      </c>
      <c r="AS3215">
        <v>15</v>
      </c>
      <c r="AT3215">
        <v>4.8099999999999996</v>
      </c>
      <c r="AU3215">
        <v>18</v>
      </c>
      <c r="AV3215">
        <v>0.56999999999999995</v>
      </c>
      <c r="AW3215">
        <v>44</v>
      </c>
      <c r="AX3215">
        <v>0.59</v>
      </c>
      <c r="AY3215">
        <v>23</v>
      </c>
      <c r="AZ3215">
        <v>5.6</v>
      </c>
      <c r="BA3215">
        <v>10</v>
      </c>
      <c r="BB3215">
        <v>4.22</v>
      </c>
      <c r="BC3215">
        <v>9</v>
      </c>
      <c r="BD3215">
        <v>0.01</v>
      </c>
      <c r="BE3215">
        <v>-0.01</v>
      </c>
      <c r="BF3215">
        <v>-7.0000000000000007E-2</v>
      </c>
      <c r="BG3215">
        <v>17</v>
      </c>
      <c r="BH3215">
        <v>-0.39</v>
      </c>
      <c r="BI3215">
        <v>-18.05</v>
      </c>
      <c r="BJ3215">
        <v>0</v>
      </c>
      <c r="BK3215">
        <v>0</v>
      </c>
      <c r="BL3215">
        <v>-0.82</v>
      </c>
      <c r="BM3215">
        <v>3.46</v>
      </c>
      <c r="BN3215">
        <v>-1.76</v>
      </c>
      <c r="BO3215">
        <v>-3.02</v>
      </c>
      <c r="BP3215">
        <v>4.38</v>
      </c>
      <c r="BQ3215">
        <v>-2.13</v>
      </c>
      <c r="BR3215">
        <v>-2.71</v>
      </c>
      <c r="BS3215">
        <v>-0.43</v>
      </c>
      <c r="BT3215">
        <v>2.6</v>
      </c>
      <c r="BU3215">
        <v>-3.47</v>
      </c>
      <c r="BV3215">
        <v>-3.97</v>
      </c>
      <c r="BW3215">
        <v>-3</v>
      </c>
      <c r="BX3215">
        <v>-2.71</v>
      </c>
      <c r="BY3215">
        <v>-2.08</v>
      </c>
      <c r="BZ3215">
        <v>1.33</v>
      </c>
      <c r="CA3215">
        <v>-2.54</v>
      </c>
      <c r="CB3215">
        <v>-3.24</v>
      </c>
      <c r="CC3215">
        <v>-0.45</v>
      </c>
      <c r="CD3215">
        <v>3.88</v>
      </c>
      <c r="CE3215">
        <v>-2.97</v>
      </c>
      <c r="CF3215">
        <v>-1.1200000000000001</v>
      </c>
      <c r="CG3215">
        <v>0</v>
      </c>
      <c r="CH3215">
        <v>-2.61</v>
      </c>
      <c r="CI3215">
        <v>0</v>
      </c>
      <c r="CJ3215">
        <v>4.7</v>
      </c>
      <c r="CK3215">
        <v>42</v>
      </c>
      <c r="CL3215">
        <v>0.09</v>
      </c>
      <c r="CM3215">
        <v>37</v>
      </c>
      <c r="CN3215">
        <v>-0.39</v>
      </c>
      <c r="CO3215">
        <v>36</v>
      </c>
      <c r="CP3215">
        <v>-0.1</v>
      </c>
      <c r="CQ3215">
        <v>23</v>
      </c>
      <c r="CR3215">
        <v>0</v>
      </c>
      <c r="CS3215">
        <v>0</v>
      </c>
      <c r="CT3215">
        <v>-3.6</v>
      </c>
      <c r="CU3215">
        <v>22</v>
      </c>
      <c r="CV3215">
        <v>-0.02</v>
      </c>
      <c r="CW3215">
        <v>11</v>
      </c>
      <c r="CX3215" t="s">
        <v>139</v>
      </c>
    </row>
    <row r="3216" spans="1:102" x14ac:dyDescent="0.3">
      <c r="A3216" t="str">
        <f>HYPERLINK("https://webapp.icbf.com/v2/app/bull-search/view/566826359","NYS")</f>
        <v>NYS</v>
      </c>
      <c r="B3216" t="s">
        <v>14135</v>
      </c>
      <c r="C3216" t="s">
        <v>14136</v>
      </c>
      <c r="D3216" s="1">
        <v>39510</v>
      </c>
      <c r="E3216" t="s">
        <v>92</v>
      </c>
      <c r="F3216">
        <v>84</v>
      </c>
      <c r="G3216" t="s">
        <v>93</v>
      </c>
      <c r="H3216">
        <v>-20.12</v>
      </c>
      <c r="I3216">
        <v>86</v>
      </c>
      <c r="J3216">
        <v>24.07</v>
      </c>
      <c r="K3216">
        <v>96</v>
      </c>
      <c r="L3216">
        <v>-39.93</v>
      </c>
      <c r="M3216">
        <v>76</v>
      </c>
      <c r="N3216">
        <v>-0.22</v>
      </c>
      <c r="O3216">
        <v>84</v>
      </c>
      <c r="P3216">
        <v>-20.61</v>
      </c>
      <c r="Q3216">
        <v>90</v>
      </c>
      <c r="R3216">
        <v>-1.7</v>
      </c>
      <c r="S3216">
        <v>80</v>
      </c>
      <c r="T3216">
        <v>25.3</v>
      </c>
      <c r="U3216">
        <v>87</v>
      </c>
      <c r="V3216">
        <v>-7.03</v>
      </c>
      <c r="W3216">
        <v>82</v>
      </c>
      <c r="X3216" t="s">
        <v>94</v>
      </c>
      <c r="Y3216" t="s">
        <v>1113</v>
      </c>
      <c r="Z3216" t="s">
        <v>96</v>
      </c>
      <c r="AA3216" t="s">
        <v>6487</v>
      </c>
      <c r="AB3216" t="s">
        <v>14137</v>
      </c>
      <c r="AC3216">
        <v>79</v>
      </c>
      <c r="AD3216">
        <v>61</v>
      </c>
      <c r="AE3216">
        <v>96</v>
      </c>
      <c r="AF3216">
        <v>146.22999999999999</v>
      </c>
      <c r="AG3216">
        <v>3.2</v>
      </c>
      <c r="AH3216">
        <v>5.2</v>
      </c>
      <c r="AI3216">
        <v>-0.04</v>
      </c>
      <c r="AJ3216">
        <v>0</v>
      </c>
      <c r="AK3216">
        <v>76</v>
      </c>
      <c r="AL3216">
        <v>77</v>
      </c>
      <c r="AM3216">
        <v>60</v>
      </c>
      <c r="AN3216">
        <v>2.5299999999999998</v>
      </c>
      <c r="AO3216">
        <v>-0.65</v>
      </c>
      <c r="AP3216">
        <v>192</v>
      </c>
      <c r="AQ3216">
        <v>3</v>
      </c>
      <c r="AR3216">
        <v>11.82</v>
      </c>
      <c r="AS3216">
        <v>69</v>
      </c>
      <c r="AT3216">
        <v>4.38</v>
      </c>
      <c r="AU3216">
        <v>86</v>
      </c>
      <c r="AV3216">
        <v>-3.06</v>
      </c>
      <c r="AW3216">
        <v>96</v>
      </c>
      <c r="AX3216">
        <v>0.56000000000000005</v>
      </c>
      <c r="AY3216">
        <v>80</v>
      </c>
      <c r="AZ3216">
        <v>5.44</v>
      </c>
      <c r="BA3216">
        <v>62</v>
      </c>
      <c r="BB3216">
        <v>4.6399999999999997</v>
      </c>
      <c r="BC3216">
        <v>64</v>
      </c>
      <c r="BD3216">
        <v>0</v>
      </c>
      <c r="BE3216">
        <v>0.01</v>
      </c>
      <c r="BF3216">
        <v>0.02</v>
      </c>
      <c r="BG3216">
        <v>87</v>
      </c>
      <c r="BH3216">
        <v>-0.41</v>
      </c>
      <c r="BI3216">
        <v>-24.76</v>
      </c>
      <c r="BJ3216">
        <v>14</v>
      </c>
      <c r="BK3216">
        <v>9</v>
      </c>
      <c r="BL3216">
        <v>-1</v>
      </c>
      <c r="BM3216">
        <v>0.96</v>
      </c>
      <c r="BN3216">
        <v>-0.49</v>
      </c>
      <c r="BO3216">
        <v>-1.02</v>
      </c>
      <c r="BP3216">
        <v>-2.4</v>
      </c>
      <c r="BQ3216">
        <v>0.28999999999999998</v>
      </c>
      <c r="BR3216">
        <v>0.65</v>
      </c>
      <c r="BS3216">
        <v>-2.33</v>
      </c>
      <c r="BT3216">
        <v>-1.79</v>
      </c>
      <c r="BU3216">
        <v>-1.64</v>
      </c>
      <c r="BV3216">
        <v>-1.23</v>
      </c>
      <c r="BW3216">
        <v>-1.95</v>
      </c>
      <c r="BX3216">
        <v>-1.66</v>
      </c>
      <c r="BY3216">
        <v>-3.04</v>
      </c>
      <c r="BZ3216">
        <v>-0.26</v>
      </c>
      <c r="CA3216">
        <v>-2.16</v>
      </c>
      <c r="CB3216">
        <v>-1.72</v>
      </c>
      <c r="CC3216">
        <v>-2.66</v>
      </c>
      <c r="CD3216">
        <v>0.3</v>
      </c>
      <c r="CE3216">
        <v>-0.67</v>
      </c>
      <c r="CF3216">
        <v>-1.54</v>
      </c>
      <c r="CG3216">
        <v>0</v>
      </c>
      <c r="CH3216">
        <v>-3.96</v>
      </c>
      <c r="CI3216">
        <v>0</v>
      </c>
      <c r="CJ3216">
        <v>-11.3</v>
      </c>
      <c r="CK3216">
        <v>91</v>
      </c>
      <c r="CL3216">
        <v>-0.34</v>
      </c>
      <c r="CM3216">
        <v>89</v>
      </c>
      <c r="CN3216">
        <v>-0.09</v>
      </c>
      <c r="CO3216">
        <v>88</v>
      </c>
      <c r="CP3216">
        <v>-17.100000000000001</v>
      </c>
      <c r="CQ3216">
        <v>87</v>
      </c>
      <c r="CR3216">
        <v>0</v>
      </c>
      <c r="CS3216">
        <v>0</v>
      </c>
      <c r="CT3216">
        <v>-20.399999999999999</v>
      </c>
      <c r="CU3216">
        <v>87</v>
      </c>
      <c r="CV3216">
        <v>-0.17</v>
      </c>
      <c r="CW3216">
        <v>44</v>
      </c>
      <c r="CX3216" t="s">
        <v>1390</v>
      </c>
    </row>
    <row r="3217" spans="1:102" x14ac:dyDescent="0.3">
      <c r="A3217" t="str">
        <f>HYPERLINK("https://webapp.icbf.com/v2/app/bull-search/view/130498813","ANB")</f>
        <v>ANB</v>
      </c>
      <c r="B3217" t="s">
        <v>1290</v>
      </c>
      <c r="C3217" t="s">
        <v>180</v>
      </c>
      <c r="D3217" s="1">
        <v>31653</v>
      </c>
      <c r="E3217" t="s">
        <v>92</v>
      </c>
      <c r="F3217">
        <v>100</v>
      </c>
      <c r="G3217" t="s">
        <v>109</v>
      </c>
      <c r="H3217">
        <v>-20.149999999999999</v>
      </c>
      <c r="I3217">
        <v>90</v>
      </c>
      <c r="J3217">
        <v>18.77</v>
      </c>
      <c r="K3217">
        <v>96</v>
      </c>
      <c r="L3217">
        <v>-42.38</v>
      </c>
      <c r="M3217">
        <v>92</v>
      </c>
      <c r="N3217">
        <v>-0.94</v>
      </c>
      <c r="O3217">
        <v>84</v>
      </c>
      <c r="P3217">
        <v>-15.79</v>
      </c>
      <c r="Q3217">
        <v>85</v>
      </c>
      <c r="R3217">
        <v>4.97</v>
      </c>
      <c r="S3217">
        <v>83</v>
      </c>
      <c r="T3217">
        <v>9.61</v>
      </c>
      <c r="U3217">
        <v>80</v>
      </c>
      <c r="V3217">
        <v>5.61</v>
      </c>
      <c r="W3217">
        <v>74</v>
      </c>
      <c r="X3217" t="s">
        <v>110</v>
      </c>
      <c r="Y3217" t="s">
        <v>95</v>
      </c>
      <c r="Z3217" t="s">
        <v>96</v>
      </c>
      <c r="AA3217" t="s">
        <v>128</v>
      </c>
      <c r="AB3217" t="s">
        <v>1291</v>
      </c>
      <c r="AC3217">
        <v>32</v>
      </c>
      <c r="AD3217">
        <v>20</v>
      </c>
      <c r="AE3217">
        <v>96</v>
      </c>
      <c r="AF3217">
        <v>380.86</v>
      </c>
      <c r="AG3217">
        <v>4.3600000000000003</v>
      </c>
      <c r="AH3217">
        <v>7.48</v>
      </c>
      <c r="AI3217">
        <v>-0.17</v>
      </c>
      <c r="AJ3217">
        <v>-0.09</v>
      </c>
      <c r="AK3217">
        <v>92</v>
      </c>
      <c r="AL3217">
        <v>31</v>
      </c>
      <c r="AM3217">
        <v>17</v>
      </c>
      <c r="AN3217">
        <v>3.04</v>
      </c>
      <c r="AO3217">
        <v>-0.33</v>
      </c>
      <c r="AP3217">
        <v>18</v>
      </c>
      <c r="AQ3217">
        <v>0</v>
      </c>
      <c r="AR3217">
        <v>8.5299999999999994</v>
      </c>
      <c r="AS3217">
        <v>71</v>
      </c>
      <c r="AT3217">
        <v>3.85</v>
      </c>
      <c r="AU3217">
        <v>98</v>
      </c>
      <c r="AV3217">
        <v>-0.63</v>
      </c>
      <c r="AW3217">
        <v>85</v>
      </c>
      <c r="AX3217">
        <v>0.5</v>
      </c>
      <c r="AY3217">
        <v>79</v>
      </c>
      <c r="AZ3217">
        <v>5.4</v>
      </c>
      <c r="BA3217">
        <v>65</v>
      </c>
      <c r="BB3217">
        <v>4.2699999999999996</v>
      </c>
      <c r="BC3217">
        <v>71</v>
      </c>
      <c r="BD3217">
        <v>-0.02</v>
      </c>
      <c r="BE3217">
        <v>0.01</v>
      </c>
      <c r="BF3217">
        <v>-0.1</v>
      </c>
      <c r="BG3217">
        <v>94</v>
      </c>
      <c r="BH3217">
        <v>0.31</v>
      </c>
      <c r="BI3217">
        <v>17.75</v>
      </c>
      <c r="BJ3217">
        <v>1</v>
      </c>
      <c r="BK3217">
        <v>1</v>
      </c>
      <c r="BL3217">
        <v>-0.35</v>
      </c>
      <c r="BM3217">
        <v>2.0499999999999998</v>
      </c>
      <c r="BN3217">
        <v>0.95</v>
      </c>
      <c r="BO3217">
        <v>-0.67</v>
      </c>
      <c r="BP3217">
        <v>0.63</v>
      </c>
      <c r="BQ3217">
        <v>-0.59</v>
      </c>
      <c r="BR3217">
        <v>1.45</v>
      </c>
      <c r="BS3217">
        <v>-1.19</v>
      </c>
      <c r="BT3217">
        <v>-0.2</v>
      </c>
      <c r="BU3217">
        <v>-2.16</v>
      </c>
      <c r="BV3217">
        <v>-0.74</v>
      </c>
      <c r="BW3217">
        <v>-1.1000000000000001</v>
      </c>
      <c r="BX3217">
        <v>-2.4300000000000002</v>
      </c>
      <c r="BY3217">
        <v>0.05</v>
      </c>
      <c r="BZ3217">
        <v>-0.73</v>
      </c>
      <c r="CA3217">
        <v>-1.66</v>
      </c>
      <c r="CB3217">
        <v>-1.23</v>
      </c>
      <c r="CC3217">
        <v>-1.31</v>
      </c>
      <c r="CD3217">
        <v>1.18</v>
      </c>
      <c r="CE3217">
        <v>-0.82</v>
      </c>
      <c r="CF3217">
        <v>-1.1000000000000001</v>
      </c>
      <c r="CG3217">
        <v>0</v>
      </c>
      <c r="CH3217">
        <v>-0.06</v>
      </c>
      <c r="CI3217">
        <v>0</v>
      </c>
      <c r="CJ3217">
        <v>-8.1999999999999993</v>
      </c>
      <c r="CK3217">
        <v>86</v>
      </c>
      <c r="CL3217">
        <v>-0.62</v>
      </c>
      <c r="CM3217">
        <v>85</v>
      </c>
      <c r="CN3217">
        <v>-0.23</v>
      </c>
      <c r="CO3217">
        <v>83</v>
      </c>
      <c r="CP3217">
        <v>-5.0999999999999996</v>
      </c>
      <c r="CQ3217">
        <v>85</v>
      </c>
      <c r="CR3217">
        <v>0</v>
      </c>
      <c r="CS3217">
        <v>0</v>
      </c>
      <c r="CT3217">
        <v>0.8</v>
      </c>
      <c r="CU3217">
        <v>80</v>
      </c>
      <c r="CV3217">
        <v>-0.04</v>
      </c>
      <c r="CW3217">
        <v>43</v>
      </c>
      <c r="CX3217" t="s">
        <v>1292</v>
      </c>
    </row>
    <row r="3218" spans="1:102" x14ac:dyDescent="0.3">
      <c r="A3218" t="str">
        <f>HYPERLINK("https://webapp.icbf.com/v2/app/bull-search/view/69092746","TAP")</f>
        <v>TAP</v>
      </c>
      <c r="B3218" t="s">
        <v>144</v>
      </c>
      <c r="C3218" t="s">
        <v>10582</v>
      </c>
      <c r="D3218" s="1">
        <v>32121</v>
      </c>
      <c r="E3218" t="s">
        <v>895</v>
      </c>
      <c r="F3218">
        <v>0</v>
      </c>
      <c r="G3218" t="s">
        <v>116</v>
      </c>
      <c r="H3218">
        <v>-20.2</v>
      </c>
      <c r="I3218">
        <v>35</v>
      </c>
      <c r="J3218">
        <v>-8.82</v>
      </c>
      <c r="K3218">
        <v>60</v>
      </c>
      <c r="L3218">
        <v>-15.3</v>
      </c>
      <c r="M3218">
        <v>20</v>
      </c>
      <c r="N3218">
        <v>-7.09</v>
      </c>
      <c r="O3218">
        <v>19</v>
      </c>
      <c r="P3218">
        <v>-13.88</v>
      </c>
      <c r="Q3218">
        <v>42</v>
      </c>
      <c r="R3218">
        <v>7.45</v>
      </c>
      <c r="S3218">
        <v>24</v>
      </c>
      <c r="T3218">
        <v>24.19</v>
      </c>
      <c r="U3218">
        <v>26</v>
      </c>
      <c r="V3218">
        <v>-6.75</v>
      </c>
      <c r="W3218">
        <v>6</v>
      </c>
      <c r="X3218" t="s">
        <v>747</v>
      </c>
      <c r="Y3218" t="s">
        <v>95</v>
      </c>
      <c r="Z3218">
        <v>0</v>
      </c>
      <c r="AA3218" t="s">
        <v>898</v>
      </c>
      <c r="AB3218" t="s">
        <v>8098</v>
      </c>
      <c r="AC3218">
        <v>8</v>
      </c>
      <c r="AD3218">
        <v>6</v>
      </c>
      <c r="AE3218">
        <v>60</v>
      </c>
      <c r="AF3218">
        <v>-77.45</v>
      </c>
      <c r="AG3218">
        <v>-2.08</v>
      </c>
      <c r="AH3218">
        <v>-1.95</v>
      </c>
      <c r="AI3218">
        <v>0.02</v>
      </c>
      <c r="AJ3218">
        <v>0.01</v>
      </c>
      <c r="AK3218">
        <v>20</v>
      </c>
      <c r="AL3218">
        <v>8</v>
      </c>
      <c r="AM3218">
        <v>5</v>
      </c>
      <c r="AN3218">
        <v>2.38</v>
      </c>
      <c r="AO3218">
        <v>1.18</v>
      </c>
      <c r="AP3218">
        <v>4</v>
      </c>
      <c r="AQ3218">
        <v>1</v>
      </c>
      <c r="AR3218">
        <v>6.61</v>
      </c>
      <c r="AS3218">
        <v>8</v>
      </c>
      <c r="AT3218">
        <v>3.05</v>
      </c>
      <c r="AU3218">
        <v>23</v>
      </c>
      <c r="AV3218">
        <v>1.93</v>
      </c>
      <c r="AW3218">
        <v>19</v>
      </c>
      <c r="AX3218">
        <v>0.38</v>
      </c>
      <c r="AY3218">
        <v>31</v>
      </c>
      <c r="AZ3218">
        <v>5.34</v>
      </c>
      <c r="BA3218">
        <v>9</v>
      </c>
      <c r="BB3218">
        <v>4.01</v>
      </c>
      <c r="BC3218">
        <v>12</v>
      </c>
      <c r="BD3218">
        <v>-0.02</v>
      </c>
      <c r="BE3218">
        <v>-0.02</v>
      </c>
      <c r="BF3218">
        <v>-0.1</v>
      </c>
      <c r="BG3218">
        <v>31</v>
      </c>
      <c r="BH3218">
        <v>-0.16</v>
      </c>
      <c r="BI3218">
        <v>3.27</v>
      </c>
      <c r="BJ3218">
        <v>0</v>
      </c>
      <c r="BK3218">
        <v>0</v>
      </c>
      <c r="BL3218">
        <v>-1.07</v>
      </c>
      <c r="BM3218">
        <v>1.04</v>
      </c>
      <c r="BN3218">
        <v>-0.88</v>
      </c>
      <c r="BO3218">
        <v>-1.32</v>
      </c>
      <c r="BP3218">
        <v>0.42</v>
      </c>
      <c r="BQ3218">
        <v>0.08</v>
      </c>
      <c r="BR3218">
        <v>-0.19</v>
      </c>
      <c r="BS3218">
        <v>-0.01</v>
      </c>
      <c r="BT3218">
        <v>-0.04</v>
      </c>
      <c r="BU3218">
        <v>-1.05</v>
      </c>
      <c r="BV3218">
        <v>-1.35</v>
      </c>
      <c r="BW3218">
        <v>-1.26</v>
      </c>
      <c r="BX3218">
        <v>-0.78</v>
      </c>
      <c r="BY3218">
        <v>-1</v>
      </c>
      <c r="BZ3218">
        <v>0</v>
      </c>
      <c r="CA3218">
        <v>-1.26</v>
      </c>
      <c r="CB3218">
        <v>-1.33</v>
      </c>
      <c r="CC3218">
        <v>-0.63</v>
      </c>
      <c r="CD3218">
        <v>1.19</v>
      </c>
      <c r="CE3218">
        <v>-1.24</v>
      </c>
      <c r="CF3218">
        <v>-1.01</v>
      </c>
      <c r="CG3218">
        <v>0</v>
      </c>
      <c r="CH3218">
        <v>-1.24</v>
      </c>
      <c r="CI3218">
        <v>0</v>
      </c>
      <c r="CJ3218">
        <v>-7.4</v>
      </c>
      <c r="CK3218">
        <v>44</v>
      </c>
      <c r="CL3218">
        <v>-0.28999999999999998</v>
      </c>
      <c r="CM3218">
        <v>40</v>
      </c>
      <c r="CN3218">
        <v>-0.1</v>
      </c>
      <c r="CO3218">
        <v>36</v>
      </c>
      <c r="CP3218">
        <v>-12.3</v>
      </c>
      <c r="CQ3218">
        <v>38</v>
      </c>
      <c r="CR3218">
        <v>0</v>
      </c>
      <c r="CS3218">
        <v>0</v>
      </c>
      <c r="CT3218">
        <v>-18.899999999999999</v>
      </c>
      <c r="CU3218">
        <v>26</v>
      </c>
      <c r="CV3218">
        <v>-0.13</v>
      </c>
      <c r="CW3218">
        <v>11</v>
      </c>
      <c r="CX3218" t="s">
        <v>8099</v>
      </c>
    </row>
    <row r="3219" spans="1:102" x14ac:dyDescent="0.3">
      <c r="A3219" t="str">
        <f>HYPERLINK("https://webapp.icbf.com/v2/app/bull-search/view/743135827","DVY")</f>
        <v>DVY</v>
      </c>
      <c r="B3219" t="s">
        <v>15105</v>
      </c>
      <c r="C3219" t="s">
        <v>15106</v>
      </c>
      <c r="D3219" s="1">
        <v>39587</v>
      </c>
      <c r="E3219" t="s">
        <v>108</v>
      </c>
      <c r="F3219">
        <v>0</v>
      </c>
      <c r="G3219" t="s">
        <v>93</v>
      </c>
      <c r="H3219">
        <v>-20.28</v>
      </c>
      <c r="I3219">
        <v>87</v>
      </c>
      <c r="J3219">
        <v>-33.5</v>
      </c>
      <c r="K3219">
        <v>97</v>
      </c>
      <c r="L3219">
        <v>15.21</v>
      </c>
      <c r="M3219">
        <v>78</v>
      </c>
      <c r="N3219">
        <v>-6.62</v>
      </c>
      <c r="O3219">
        <v>86</v>
      </c>
      <c r="P3219">
        <v>-21.11</v>
      </c>
      <c r="Q3219">
        <v>93</v>
      </c>
      <c r="R3219">
        <v>0.06</v>
      </c>
      <c r="S3219">
        <v>79</v>
      </c>
      <c r="T3219">
        <v>22.11</v>
      </c>
      <c r="U3219">
        <v>90</v>
      </c>
      <c r="V3219">
        <v>3.57</v>
      </c>
      <c r="W3219">
        <v>79</v>
      </c>
      <c r="X3219" t="s">
        <v>102</v>
      </c>
      <c r="Y3219" t="s">
        <v>319</v>
      </c>
      <c r="Z3219" t="s">
        <v>96</v>
      </c>
      <c r="AA3219" t="s">
        <v>15107</v>
      </c>
      <c r="AB3219" t="s">
        <v>15108</v>
      </c>
      <c r="AC3219">
        <v>96</v>
      </c>
      <c r="AD3219">
        <v>66</v>
      </c>
      <c r="AE3219">
        <v>97</v>
      </c>
      <c r="AF3219">
        <v>69.41</v>
      </c>
      <c r="AG3219">
        <v>-3.01</v>
      </c>
      <c r="AH3219">
        <v>-3.57</v>
      </c>
      <c r="AI3219">
        <v>-0.1</v>
      </c>
      <c r="AJ3219">
        <v>-0.1</v>
      </c>
      <c r="AK3219">
        <v>78</v>
      </c>
      <c r="AL3219">
        <v>107</v>
      </c>
      <c r="AM3219">
        <v>76</v>
      </c>
      <c r="AN3219">
        <v>-1.84</v>
      </c>
      <c r="AO3219">
        <v>-0.64</v>
      </c>
      <c r="AP3219">
        <v>212</v>
      </c>
      <c r="AQ3219">
        <v>3</v>
      </c>
      <c r="AR3219">
        <v>7.95</v>
      </c>
      <c r="AS3219">
        <v>71</v>
      </c>
      <c r="AT3219">
        <v>3.41</v>
      </c>
      <c r="AU3219">
        <v>88</v>
      </c>
      <c r="AV3219">
        <v>-0.78</v>
      </c>
      <c r="AW3219">
        <v>96</v>
      </c>
      <c r="AX3219">
        <v>-0.32</v>
      </c>
      <c r="AY3219">
        <v>83</v>
      </c>
      <c r="AZ3219">
        <v>6.97</v>
      </c>
      <c r="BA3219">
        <v>66</v>
      </c>
      <c r="BB3219">
        <v>6.68</v>
      </c>
      <c r="BC3219">
        <v>70</v>
      </c>
      <c r="BD3219">
        <v>0.01</v>
      </c>
      <c r="BE3219">
        <v>-0.02</v>
      </c>
      <c r="BF3219">
        <v>0.02</v>
      </c>
      <c r="BG3219">
        <v>88</v>
      </c>
      <c r="BH3219">
        <v>0.05</v>
      </c>
      <c r="BI3219">
        <v>-5.72</v>
      </c>
      <c r="BJ3219">
        <v>31</v>
      </c>
      <c r="BK3219">
        <v>15</v>
      </c>
      <c r="BL3219">
        <v>-2.33</v>
      </c>
      <c r="BM3219">
        <v>2.04</v>
      </c>
      <c r="BN3219">
        <v>-2.17</v>
      </c>
      <c r="BO3219">
        <v>-2.48</v>
      </c>
      <c r="BP3219">
        <v>-0.48</v>
      </c>
      <c r="BQ3219">
        <v>2.21</v>
      </c>
      <c r="BR3219">
        <v>-1.38</v>
      </c>
      <c r="BS3219">
        <v>-0.49</v>
      </c>
      <c r="BT3219">
        <v>0.96</v>
      </c>
      <c r="BU3219">
        <v>-2.0499999999999998</v>
      </c>
      <c r="BV3219">
        <v>-2.33</v>
      </c>
      <c r="BW3219">
        <v>-2.0699999999999998</v>
      </c>
      <c r="BX3219">
        <v>-1.77</v>
      </c>
      <c r="BY3219">
        <v>-1.05</v>
      </c>
      <c r="BZ3219">
        <v>-0.22</v>
      </c>
      <c r="CA3219">
        <v>-1.01</v>
      </c>
      <c r="CB3219">
        <v>-1.3</v>
      </c>
      <c r="CC3219">
        <v>-0.53</v>
      </c>
      <c r="CD3219">
        <v>3.03</v>
      </c>
      <c r="CE3219">
        <v>-1.99</v>
      </c>
      <c r="CF3219">
        <v>-1.31</v>
      </c>
      <c r="CG3219">
        <v>0</v>
      </c>
      <c r="CH3219">
        <v>-1.23</v>
      </c>
      <c r="CI3219">
        <v>0</v>
      </c>
      <c r="CJ3219">
        <v>-10.8</v>
      </c>
      <c r="CK3219">
        <v>94</v>
      </c>
      <c r="CL3219">
        <v>-0.3</v>
      </c>
      <c r="CM3219">
        <v>93</v>
      </c>
      <c r="CN3219">
        <v>0.05</v>
      </c>
      <c r="CO3219">
        <v>92</v>
      </c>
      <c r="CP3219">
        <v>-16.8</v>
      </c>
      <c r="CQ3219">
        <v>89</v>
      </c>
      <c r="CR3219">
        <v>0</v>
      </c>
      <c r="CS3219">
        <v>0</v>
      </c>
      <c r="CT3219">
        <v>-16.100000000000001</v>
      </c>
      <c r="CU3219">
        <v>90</v>
      </c>
      <c r="CV3219">
        <v>0.03</v>
      </c>
      <c r="CW3219">
        <v>44</v>
      </c>
      <c r="CX3219" t="s">
        <v>6463</v>
      </c>
    </row>
    <row r="3220" spans="1:102" x14ac:dyDescent="0.3">
      <c r="A3220" t="str">
        <f>HYPERLINK("https://webapp.icbf.com/v2/app/bull-search/view/73468434","COK")</f>
        <v>COK</v>
      </c>
      <c r="B3220" t="s">
        <v>8568</v>
      </c>
      <c r="C3220" t="s">
        <v>8569</v>
      </c>
      <c r="D3220" s="1">
        <v>32052</v>
      </c>
      <c r="E3220" t="s">
        <v>92</v>
      </c>
      <c r="F3220">
        <v>75</v>
      </c>
      <c r="G3220" t="s">
        <v>93</v>
      </c>
      <c r="H3220">
        <v>-20.29</v>
      </c>
      <c r="I3220">
        <v>95</v>
      </c>
      <c r="J3220">
        <v>-43.26</v>
      </c>
      <c r="K3220">
        <v>99</v>
      </c>
      <c r="L3220">
        <v>28.38</v>
      </c>
      <c r="M3220">
        <v>92</v>
      </c>
      <c r="N3220">
        <v>-8.01</v>
      </c>
      <c r="O3220">
        <v>92</v>
      </c>
      <c r="P3220">
        <v>-9.08</v>
      </c>
      <c r="Q3220">
        <v>98</v>
      </c>
      <c r="R3220">
        <v>-10.28</v>
      </c>
      <c r="S3220">
        <v>88</v>
      </c>
      <c r="T3220">
        <v>25.96</v>
      </c>
      <c r="U3220">
        <v>98</v>
      </c>
      <c r="V3220">
        <v>-4</v>
      </c>
      <c r="W3220">
        <v>81</v>
      </c>
      <c r="X3220" t="s">
        <v>94</v>
      </c>
      <c r="Y3220" t="s">
        <v>95</v>
      </c>
      <c r="Z3220" t="s">
        <v>96</v>
      </c>
      <c r="AA3220" t="s">
        <v>154</v>
      </c>
      <c r="AB3220" t="s">
        <v>8570</v>
      </c>
      <c r="AC3220">
        <v>744</v>
      </c>
      <c r="AD3220">
        <v>393</v>
      </c>
      <c r="AE3220">
        <v>99</v>
      </c>
      <c r="AF3220">
        <v>-136.68</v>
      </c>
      <c r="AG3220">
        <v>-6.5</v>
      </c>
      <c r="AH3220">
        <v>-7.15</v>
      </c>
      <c r="AI3220">
        <v>-0.02</v>
      </c>
      <c r="AJ3220">
        <v>-0.05</v>
      </c>
      <c r="AK3220">
        <v>92</v>
      </c>
      <c r="AL3220">
        <v>999</v>
      </c>
      <c r="AM3220">
        <v>581</v>
      </c>
      <c r="AN3220">
        <v>-1.05</v>
      </c>
      <c r="AO3220">
        <v>1.22</v>
      </c>
      <c r="AP3220">
        <v>4</v>
      </c>
      <c r="AQ3220">
        <v>0</v>
      </c>
      <c r="AR3220">
        <v>6.78</v>
      </c>
      <c r="AS3220">
        <v>74</v>
      </c>
      <c r="AT3220">
        <v>3.59</v>
      </c>
      <c r="AU3220">
        <v>91</v>
      </c>
      <c r="AV3220">
        <v>0.56999999999999995</v>
      </c>
      <c r="AW3220">
        <v>96</v>
      </c>
      <c r="AX3220">
        <v>-0.15</v>
      </c>
      <c r="AY3220">
        <v>97</v>
      </c>
      <c r="AZ3220">
        <v>7.41</v>
      </c>
      <c r="BA3220">
        <v>72</v>
      </c>
      <c r="BB3220">
        <v>5.0999999999999996</v>
      </c>
      <c r="BC3220">
        <v>91</v>
      </c>
      <c r="BD3220">
        <v>0.05</v>
      </c>
      <c r="BE3220">
        <v>7.0000000000000007E-2</v>
      </c>
      <c r="BF3220">
        <v>0.02</v>
      </c>
      <c r="BG3220">
        <v>98</v>
      </c>
      <c r="BH3220">
        <v>-0.02</v>
      </c>
      <c r="BI3220">
        <v>10.6</v>
      </c>
      <c r="BJ3220">
        <v>29</v>
      </c>
      <c r="BK3220">
        <v>21</v>
      </c>
      <c r="BL3220">
        <v>-1.42</v>
      </c>
      <c r="BM3220">
        <v>-7.0000000000000007E-2</v>
      </c>
      <c r="BN3220">
        <v>-1.73</v>
      </c>
      <c r="BO3220">
        <v>-1.65</v>
      </c>
      <c r="BP3220">
        <v>2.16</v>
      </c>
      <c r="BQ3220">
        <v>-1.78</v>
      </c>
      <c r="BR3220">
        <v>-1.08</v>
      </c>
      <c r="BS3220">
        <v>-1.01</v>
      </c>
      <c r="BT3220">
        <v>0.9</v>
      </c>
      <c r="BU3220">
        <v>-2.02</v>
      </c>
      <c r="BV3220">
        <v>-1.95</v>
      </c>
      <c r="BW3220">
        <v>-1.79</v>
      </c>
      <c r="BX3220">
        <v>-1.19</v>
      </c>
      <c r="BY3220">
        <v>-1.53</v>
      </c>
      <c r="BZ3220">
        <v>1.1499999999999999</v>
      </c>
      <c r="CA3220">
        <v>-1.85</v>
      </c>
      <c r="CB3220">
        <v>-1.98</v>
      </c>
      <c r="CC3220">
        <v>-1.06</v>
      </c>
      <c r="CD3220">
        <v>1.29</v>
      </c>
      <c r="CE3220">
        <v>-1.69</v>
      </c>
      <c r="CF3220">
        <v>-1.39</v>
      </c>
      <c r="CG3220">
        <v>0</v>
      </c>
      <c r="CH3220">
        <v>-1.79</v>
      </c>
      <c r="CI3220">
        <v>0</v>
      </c>
      <c r="CJ3220">
        <v>-5.3</v>
      </c>
      <c r="CK3220">
        <v>98</v>
      </c>
      <c r="CL3220">
        <v>-0.2</v>
      </c>
      <c r="CM3220">
        <v>97</v>
      </c>
      <c r="CN3220">
        <v>-0.22</v>
      </c>
      <c r="CO3220">
        <v>97</v>
      </c>
      <c r="CP3220">
        <v>-15.2</v>
      </c>
      <c r="CQ3220">
        <v>99</v>
      </c>
      <c r="CR3220">
        <v>0</v>
      </c>
      <c r="CS3220">
        <v>0</v>
      </c>
      <c r="CT3220">
        <v>-21.3</v>
      </c>
      <c r="CU3220">
        <v>98</v>
      </c>
      <c r="CV3220">
        <v>-0.09</v>
      </c>
      <c r="CW3220">
        <v>46</v>
      </c>
      <c r="CX3220" t="s">
        <v>8571</v>
      </c>
    </row>
    <row r="3221" spans="1:102" x14ac:dyDescent="0.3">
      <c r="A3221" t="str">
        <f>HYPERLINK("https://webapp.icbf.com/v2/app/bull-search/view/69091744","GDK")</f>
        <v>GDK</v>
      </c>
      <c r="B3221" t="s">
        <v>556</v>
      </c>
      <c r="C3221" t="s">
        <v>557</v>
      </c>
      <c r="D3221" s="1">
        <v>34907</v>
      </c>
      <c r="E3221" t="s">
        <v>92</v>
      </c>
      <c r="F3221">
        <v>100</v>
      </c>
      <c r="G3221" t="s">
        <v>93</v>
      </c>
      <c r="H3221">
        <v>-20.34</v>
      </c>
      <c r="I3221">
        <v>84</v>
      </c>
      <c r="J3221">
        <v>11</v>
      </c>
      <c r="K3221">
        <v>96</v>
      </c>
      <c r="L3221">
        <v>-29.53</v>
      </c>
      <c r="M3221">
        <v>78</v>
      </c>
      <c r="N3221">
        <v>1.37</v>
      </c>
      <c r="O3221">
        <v>79</v>
      </c>
      <c r="P3221">
        <v>4.54</v>
      </c>
      <c r="Q3221">
        <v>91</v>
      </c>
      <c r="R3221">
        <v>-1.1200000000000001</v>
      </c>
      <c r="S3221">
        <v>63</v>
      </c>
      <c r="T3221">
        <v>-2.5299999999999998</v>
      </c>
      <c r="U3221">
        <v>80</v>
      </c>
      <c r="V3221">
        <v>-4.07</v>
      </c>
      <c r="W3221">
        <v>50</v>
      </c>
      <c r="X3221" t="s">
        <v>558</v>
      </c>
      <c r="Y3221" t="s">
        <v>95</v>
      </c>
      <c r="Z3221" t="s">
        <v>96</v>
      </c>
      <c r="AA3221" t="s">
        <v>559</v>
      </c>
      <c r="AB3221" t="s">
        <v>560</v>
      </c>
      <c r="AC3221">
        <v>93</v>
      </c>
      <c r="AD3221">
        <v>47</v>
      </c>
      <c r="AE3221">
        <v>96</v>
      </c>
      <c r="AF3221">
        <v>108.57</v>
      </c>
      <c r="AG3221">
        <v>-4.49</v>
      </c>
      <c r="AH3221">
        <v>5.12</v>
      </c>
      <c r="AI3221">
        <v>-0.14000000000000001</v>
      </c>
      <c r="AJ3221">
        <v>0.02</v>
      </c>
      <c r="AK3221">
        <v>78</v>
      </c>
      <c r="AL3221">
        <v>0</v>
      </c>
      <c r="AM3221">
        <v>0</v>
      </c>
      <c r="AN3221">
        <v>2.76</v>
      </c>
      <c r="AO3221">
        <v>0.42</v>
      </c>
      <c r="AP3221">
        <v>132</v>
      </c>
      <c r="AQ3221">
        <v>0</v>
      </c>
      <c r="AR3221">
        <v>7.61</v>
      </c>
      <c r="AS3221">
        <v>57</v>
      </c>
      <c r="AT3221">
        <v>3.42</v>
      </c>
      <c r="AU3221">
        <v>82</v>
      </c>
      <c r="AV3221">
        <v>0.01</v>
      </c>
      <c r="AW3221">
        <v>88</v>
      </c>
      <c r="AX3221">
        <v>0.22</v>
      </c>
      <c r="AY3221">
        <v>78</v>
      </c>
      <c r="AZ3221">
        <v>5.23</v>
      </c>
      <c r="BA3221">
        <v>54</v>
      </c>
      <c r="BB3221">
        <v>4.37</v>
      </c>
      <c r="BC3221">
        <v>64</v>
      </c>
      <c r="BD3221">
        <v>-0.02</v>
      </c>
      <c r="BE3221">
        <v>0.01</v>
      </c>
      <c r="BF3221">
        <v>0.04</v>
      </c>
      <c r="BG3221">
        <v>71</v>
      </c>
      <c r="BH3221">
        <v>-0.13</v>
      </c>
      <c r="BI3221">
        <v>-1.91</v>
      </c>
      <c r="BJ3221">
        <v>9</v>
      </c>
      <c r="BK3221">
        <v>4</v>
      </c>
      <c r="BL3221">
        <v>0.23</v>
      </c>
      <c r="BM3221">
        <v>0.12</v>
      </c>
      <c r="BN3221">
        <v>0.32</v>
      </c>
      <c r="BO3221">
        <v>0.12</v>
      </c>
      <c r="BP3221">
        <v>-0.65</v>
      </c>
      <c r="BQ3221">
        <v>-0.96</v>
      </c>
      <c r="BR3221">
        <v>0.23</v>
      </c>
      <c r="BS3221">
        <v>-1.04</v>
      </c>
      <c r="BT3221">
        <v>0.06</v>
      </c>
      <c r="BU3221">
        <v>-0.43</v>
      </c>
      <c r="BV3221">
        <v>0.12</v>
      </c>
      <c r="BW3221">
        <v>-0.23</v>
      </c>
      <c r="BX3221">
        <v>-0.51</v>
      </c>
      <c r="BY3221">
        <v>-1.2</v>
      </c>
      <c r="BZ3221">
        <v>-0.36</v>
      </c>
      <c r="CA3221">
        <v>-0.36</v>
      </c>
      <c r="CB3221">
        <v>-0.22</v>
      </c>
      <c r="CC3221">
        <v>-0.51</v>
      </c>
      <c r="CD3221">
        <v>-0.08</v>
      </c>
      <c r="CE3221">
        <v>-0.02</v>
      </c>
      <c r="CF3221">
        <v>-0.1</v>
      </c>
      <c r="CG3221">
        <v>0</v>
      </c>
      <c r="CH3221">
        <v>-1.42</v>
      </c>
      <c r="CI3221">
        <v>0</v>
      </c>
      <c r="CJ3221">
        <v>3.6</v>
      </c>
      <c r="CK3221">
        <v>92</v>
      </c>
      <c r="CL3221">
        <v>-0.5</v>
      </c>
      <c r="CM3221">
        <v>90</v>
      </c>
      <c r="CN3221">
        <v>-0.3</v>
      </c>
      <c r="CO3221">
        <v>89</v>
      </c>
      <c r="CP3221">
        <v>8.1</v>
      </c>
      <c r="CQ3221">
        <v>90</v>
      </c>
      <c r="CR3221">
        <v>0</v>
      </c>
      <c r="CS3221">
        <v>0</v>
      </c>
      <c r="CT3221">
        <v>17.2</v>
      </c>
      <c r="CU3221">
        <v>80</v>
      </c>
      <c r="CV3221">
        <v>0.22</v>
      </c>
      <c r="CW3221">
        <v>26</v>
      </c>
      <c r="CX3221" t="s">
        <v>561</v>
      </c>
    </row>
    <row r="3222" spans="1:102" x14ac:dyDescent="0.3">
      <c r="A3222" t="str">
        <f>HYPERLINK("https://webapp.icbf.com/v2/app/bull-search/view/852164900","S1020")</f>
        <v>S1020</v>
      </c>
      <c r="B3222" t="s">
        <v>9024</v>
      </c>
      <c r="C3222" t="s">
        <v>9025</v>
      </c>
      <c r="D3222" s="1">
        <v>39705</v>
      </c>
      <c r="E3222" t="s">
        <v>140</v>
      </c>
      <c r="F3222">
        <v>0</v>
      </c>
      <c r="G3222" t="s">
        <v>109</v>
      </c>
      <c r="H3222">
        <v>-20.37</v>
      </c>
      <c r="I3222">
        <v>51</v>
      </c>
      <c r="J3222">
        <v>-8.39</v>
      </c>
      <c r="K3222">
        <v>72</v>
      </c>
      <c r="L3222">
        <v>-6.99</v>
      </c>
      <c r="M3222">
        <v>31</v>
      </c>
      <c r="N3222">
        <v>-37.659999999999997</v>
      </c>
      <c r="O3222">
        <v>54</v>
      </c>
      <c r="P3222">
        <v>27.13</v>
      </c>
      <c r="Q3222">
        <v>67</v>
      </c>
      <c r="R3222">
        <v>2.23</v>
      </c>
      <c r="S3222">
        <v>30</v>
      </c>
      <c r="T3222">
        <v>11.98</v>
      </c>
      <c r="U3222">
        <v>52</v>
      </c>
      <c r="V3222">
        <v>-8.67</v>
      </c>
      <c r="W3222">
        <v>34</v>
      </c>
      <c r="X3222" t="s">
        <v>102</v>
      </c>
      <c r="Y3222" t="s">
        <v>303</v>
      </c>
      <c r="Z3222">
        <v>0</v>
      </c>
      <c r="AA3222" t="s">
        <v>7553</v>
      </c>
      <c r="AB3222" t="s">
        <v>9026</v>
      </c>
      <c r="AC3222">
        <v>0</v>
      </c>
      <c r="AD3222">
        <v>0</v>
      </c>
      <c r="AE3222">
        <v>72</v>
      </c>
      <c r="AF3222">
        <v>-160.47999999999999</v>
      </c>
      <c r="AG3222">
        <v>-5.04</v>
      </c>
      <c r="AH3222">
        <v>-2.1</v>
      </c>
      <c r="AI3222">
        <v>0.02</v>
      </c>
      <c r="AJ3222">
        <v>0.06</v>
      </c>
      <c r="AK3222">
        <v>31</v>
      </c>
      <c r="AL3222">
        <v>13</v>
      </c>
      <c r="AM3222">
        <v>12</v>
      </c>
      <c r="AN3222">
        <v>0.94</v>
      </c>
      <c r="AO3222">
        <v>0.39</v>
      </c>
      <c r="AP3222">
        <v>34</v>
      </c>
      <c r="AQ3222">
        <v>0</v>
      </c>
      <c r="AR3222">
        <v>9.0299999999999994</v>
      </c>
      <c r="AS3222">
        <v>33</v>
      </c>
      <c r="AT3222">
        <v>4.96</v>
      </c>
      <c r="AU3222">
        <v>47</v>
      </c>
      <c r="AV3222">
        <v>2.4900000000000002</v>
      </c>
      <c r="AW3222">
        <v>78</v>
      </c>
      <c r="AX3222">
        <v>-0.02</v>
      </c>
      <c r="AY3222">
        <v>40</v>
      </c>
      <c r="AZ3222">
        <v>5.13</v>
      </c>
      <c r="BA3222">
        <v>22</v>
      </c>
      <c r="BB3222">
        <v>4.25</v>
      </c>
      <c r="BC3222">
        <v>23</v>
      </c>
      <c r="BD3222">
        <v>0.01</v>
      </c>
      <c r="BE3222">
        <v>-0.02</v>
      </c>
      <c r="BF3222">
        <v>-0.03</v>
      </c>
      <c r="BG3222">
        <v>36</v>
      </c>
      <c r="BH3222">
        <v>-0.3</v>
      </c>
      <c r="BI3222">
        <v>-6.75</v>
      </c>
      <c r="BJ3222">
        <v>0</v>
      </c>
      <c r="BK3222">
        <v>0</v>
      </c>
      <c r="BL3222">
        <v>-0.86</v>
      </c>
      <c r="BM3222">
        <v>3.83</v>
      </c>
      <c r="BN3222">
        <v>-1.64</v>
      </c>
      <c r="BO3222">
        <v>-3.21</v>
      </c>
      <c r="BP3222">
        <v>4.2300000000000004</v>
      </c>
      <c r="BQ3222">
        <v>-1.84</v>
      </c>
      <c r="BR3222">
        <v>-2.5099999999999998</v>
      </c>
      <c r="BS3222">
        <v>-0.3</v>
      </c>
      <c r="BT3222">
        <v>2.54</v>
      </c>
      <c r="BU3222">
        <v>-3.55</v>
      </c>
      <c r="BV3222">
        <v>-3.94</v>
      </c>
      <c r="BW3222">
        <v>-3</v>
      </c>
      <c r="BX3222">
        <v>-2.87</v>
      </c>
      <c r="BY3222">
        <v>-1.93</v>
      </c>
      <c r="BZ3222">
        <v>1.1399999999999999</v>
      </c>
      <c r="CA3222">
        <v>-2.57</v>
      </c>
      <c r="CB3222">
        <v>-3.27</v>
      </c>
      <c r="CC3222">
        <v>-0.42</v>
      </c>
      <c r="CD3222">
        <v>4.0999999999999996</v>
      </c>
      <c r="CE3222">
        <v>-3.08</v>
      </c>
      <c r="CF3222">
        <v>-1.1399999999999999</v>
      </c>
      <c r="CG3222">
        <v>0</v>
      </c>
      <c r="CH3222">
        <v>-2.89</v>
      </c>
      <c r="CI3222">
        <v>0</v>
      </c>
      <c r="CJ3222">
        <v>10.5</v>
      </c>
      <c r="CK3222">
        <v>71</v>
      </c>
      <c r="CL3222">
        <v>0.52</v>
      </c>
      <c r="CM3222">
        <v>65</v>
      </c>
      <c r="CN3222">
        <v>-0.56999999999999995</v>
      </c>
      <c r="CO3222">
        <v>61</v>
      </c>
      <c r="CP3222">
        <v>4</v>
      </c>
      <c r="CQ3222">
        <v>55</v>
      </c>
      <c r="CR3222">
        <v>0</v>
      </c>
      <c r="CS3222">
        <v>0</v>
      </c>
      <c r="CT3222">
        <v>-2.4</v>
      </c>
      <c r="CU3222">
        <v>52</v>
      </c>
      <c r="CV3222">
        <v>-0.12</v>
      </c>
      <c r="CW3222">
        <v>19</v>
      </c>
      <c r="CX3222" t="s">
        <v>3108</v>
      </c>
    </row>
    <row r="3223" spans="1:102" x14ac:dyDescent="0.3">
      <c r="A3223" t="str">
        <f>HYPERLINK("https://webapp.icbf.com/v2/app/bull-search/view/122808917","LAV")</f>
        <v>LAV</v>
      </c>
      <c r="B3223" t="s">
        <v>3953</v>
      </c>
      <c r="C3223" t="s">
        <v>3954</v>
      </c>
      <c r="D3223" s="1">
        <v>35358</v>
      </c>
      <c r="E3223" t="s">
        <v>108</v>
      </c>
      <c r="F3223">
        <v>0</v>
      </c>
      <c r="G3223" t="s">
        <v>109</v>
      </c>
      <c r="H3223">
        <v>-20.47</v>
      </c>
      <c r="I3223">
        <v>83</v>
      </c>
      <c r="J3223">
        <v>-64.05</v>
      </c>
      <c r="K3223">
        <v>93</v>
      </c>
      <c r="L3223">
        <v>40.96</v>
      </c>
      <c r="M3223">
        <v>77</v>
      </c>
      <c r="N3223">
        <v>4.3499999999999996</v>
      </c>
      <c r="O3223">
        <v>72</v>
      </c>
      <c r="P3223">
        <v>-4.6900000000000004</v>
      </c>
      <c r="Q3223">
        <v>91</v>
      </c>
      <c r="R3223">
        <v>5.67</v>
      </c>
      <c r="S3223">
        <v>72</v>
      </c>
      <c r="T3223">
        <v>3.61</v>
      </c>
      <c r="U3223">
        <v>79</v>
      </c>
      <c r="V3223">
        <v>-6.32</v>
      </c>
      <c r="W3223">
        <v>68</v>
      </c>
      <c r="X3223" t="s">
        <v>94</v>
      </c>
      <c r="Y3223" t="s">
        <v>95</v>
      </c>
      <c r="Z3223" t="s">
        <v>96</v>
      </c>
      <c r="AA3223" t="s">
        <v>3955</v>
      </c>
      <c r="AB3223" t="s">
        <v>3956</v>
      </c>
      <c r="AC3223">
        <v>45</v>
      </c>
      <c r="AD3223">
        <v>22</v>
      </c>
      <c r="AE3223">
        <v>93</v>
      </c>
      <c r="AF3223">
        <v>-349.14</v>
      </c>
      <c r="AG3223">
        <v>-13.73</v>
      </c>
      <c r="AH3223">
        <v>-11.38</v>
      </c>
      <c r="AI3223">
        <v>0</v>
      </c>
      <c r="AJ3223">
        <v>0.01</v>
      </c>
      <c r="AK3223">
        <v>77</v>
      </c>
      <c r="AL3223">
        <v>59</v>
      </c>
      <c r="AM3223">
        <v>31</v>
      </c>
      <c r="AN3223">
        <v>-3.52</v>
      </c>
      <c r="AO3223">
        <v>-0.27</v>
      </c>
      <c r="AP3223">
        <v>86</v>
      </c>
      <c r="AQ3223">
        <v>0</v>
      </c>
      <c r="AR3223">
        <v>8.33</v>
      </c>
      <c r="AS3223">
        <v>74</v>
      </c>
      <c r="AT3223">
        <v>2.74</v>
      </c>
      <c r="AU3223">
        <v>71</v>
      </c>
      <c r="AV3223">
        <v>-0.61</v>
      </c>
      <c r="AW3223">
        <v>81</v>
      </c>
      <c r="AX3223">
        <v>0.92</v>
      </c>
      <c r="AY3223">
        <v>74</v>
      </c>
      <c r="AZ3223">
        <v>7.62</v>
      </c>
      <c r="BA3223">
        <v>48</v>
      </c>
      <c r="BB3223">
        <v>4.55</v>
      </c>
      <c r="BC3223">
        <v>51</v>
      </c>
      <c r="BD3223">
        <v>-0.02</v>
      </c>
      <c r="BE3223">
        <v>-0.03</v>
      </c>
      <c r="BF3223">
        <v>-0.04</v>
      </c>
      <c r="BG3223">
        <v>83</v>
      </c>
      <c r="BH3223">
        <v>-0.12</v>
      </c>
      <c r="BI3223">
        <v>6.51</v>
      </c>
      <c r="BJ3223">
        <v>6</v>
      </c>
      <c r="BK3223">
        <v>3</v>
      </c>
      <c r="BL3223">
        <v>-3.03</v>
      </c>
      <c r="BM3223">
        <v>1.69</v>
      </c>
      <c r="BN3223">
        <v>-2.65</v>
      </c>
      <c r="BO3223">
        <v>-3.33</v>
      </c>
      <c r="BP3223">
        <v>0.16</v>
      </c>
      <c r="BQ3223">
        <v>-0.12</v>
      </c>
      <c r="BR3223">
        <v>-1.55</v>
      </c>
      <c r="BS3223">
        <v>0.68</v>
      </c>
      <c r="BT3223">
        <v>1.32</v>
      </c>
      <c r="BU3223">
        <v>-1.44</v>
      </c>
      <c r="BV3223">
        <v>-2.5499999999999998</v>
      </c>
      <c r="BW3223">
        <v>-2.74</v>
      </c>
      <c r="BX3223">
        <v>-1.54</v>
      </c>
      <c r="BY3223">
        <v>-2.8</v>
      </c>
      <c r="BZ3223">
        <v>-0.23</v>
      </c>
      <c r="CA3223">
        <v>-1.6</v>
      </c>
      <c r="CB3223">
        <v>-2.58</v>
      </c>
      <c r="CC3223">
        <v>0.23</v>
      </c>
      <c r="CD3223">
        <v>3.22</v>
      </c>
      <c r="CE3223">
        <v>-2.37</v>
      </c>
      <c r="CF3223">
        <v>-2.06</v>
      </c>
      <c r="CG3223">
        <v>0</v>
      </c>
      <c r="CH3223">
        <v>-1.34</v>
      </c>
      <c r="CI3223">
        <v>0</v>
      </c>
      <c r="CJ3223">
        <v>-1.4</v>
      </c>
      <c r="CK3223">
        <v>92</v>
      </c>
      <c r="CL3223">
        <v>-0.21</v>
      </c>
      <c r="CM3223">
        <v>90</v>
      </c>
      <c r="CN3223">
        <v>0.08</v>
      </c>
      <c r="CO3223">
        <v>89</v>
      </c>
      <c r="CP3223">
        <v>2.2999999999999998</v>
      </c>
      <c r="CQ3223">
        <v>85</v>
      </c>
      <c r="CR3223">
        <v>0</v>
      </c>
      <c r="CS3223">
        <v>0</v>
      </c>
      <c r="CT3223">
        <v>8.9</v>
      </c>
      <c r="CU3223">
        <v>79</v>
      </c>
      <c r="CV3223">
        <v>0.06</v>
      </c>
      <c r="CW3223">
        <v>44</v>
      </c>
      <c r="CX3223" t="s">
        <v>3957</v>
      </c>
    </row>
    <row r="3224" spans="1:102" x14ac:dyDescent="0.3">
      <c r="A3224" t="str">
        <f>HYPERLINK("https://webapp.icbf.com/v2/app/bull-search/view/256082063","KFW")</f>
        <v>KFW</v>
      </c>
      <c r="B3224" t="s">
        <v>14397</v>
      </c>
      <c r="C3224" t="s">
        <v>14398</v>
      </c>
      <c r="D3224" s="1">
        <v>37895</v>
      </c>
      <c r="E3224" t="s">
        <v>92</v>
      </c>
      <c r="F3224">
        <v>100</v>
      </c>
      <c r="G3224" t="s">
        <v>93</v>
      </c>
      <c r="H3224">
        <v>-20.53</v>
      </c>
      <c r="I3224">
        <v>67</v>
      </c>
      <c r="J3224">
        <v>43.89</v>
      </c>
      <c r="K3224">
        <v>84</v>
      </c>
      <c r="L3224">
        <v>-78.39</v>
      </c>
      <c r="M3224">
        <v>53</v>
      </c>
      <c r="N3224">
        <v>22.54</v>
      </c>
      <c r="O3224">
        <v>65</v>
      </c>
      <c r="P3224">
        <v>-16.88</v>
      </c>
      <c r="Q3224">
        <v>73</v>
      </c>
      <c r="R3224">
        <v>-1.1599999999999999</v>
      </c>
      <c r="S3224">
        <v>59</v>
      </c>
      <c r="T3224">
        <v>6.87</v>
      </c>
      <c r="U3224">
        <v>67</v>
      </c>
      <c r="V3224">
        <v>2.6</v>
      </c>
      <c r="W3224">
        <v>44</v>
      </c>
      <c r="X3224" t="s">
        <v>94</v>
      </c>
      <c r="Y3224" t="s">
        <v>95</v>
      </c>
      <c r="Z3224" t="s">
        <v>96</v>
      </c>
      <c r="AA3224" t="s">
        <v>10920</v>
      </c>
      <c r="AB3224" t="s">
        <v>14399</v>
      </c>
      <c r="AC3224">
        <v>23</v>
      </c>
      <c r="AD3224">
        <v>16</v>
      </c>
      <c r="AE3224">
        <v>84</v>
      </c>
      <c r="AF3224">
        <v>156.77000000000001</v>
      </c>
      <c r="AG3224">
        <v>7.05</v>
      </c>
      <c r="AH3224">
        <v>7.37</v>
      </c>
      <c r="AI3224">
        <v>0.01</v>
      </c>
      <c r="AJ3224">
        <v>0.03</v>
      </c>
      <c r="AK3224">
        <v>53</v>
      </c>
      <c r="AL3224">
        <v>26</v>
      </c>
      <c r="AM3224">
        <v>17</v>
      </c>
      <c r="AN3224">
        <v>5.17</v>
      </c>
      <c r="AO3224">
        <v>-1.07</v>
      </c>
      <c r="AP3224">
        <v>29</v>
      </c>
      <c r="AQ3224">
        <v>0</v>
      </c>
      <c r="AR3224">
        <v>5.82</v>
      </c>
      <c r="AS3224">
        <v>47</v>
      </c>
      <c r="AT3224">
        <v>2.4300000000000002</v>
      </c>
      <c r="AU3224">
        <v>59</v>
      </c>
      <c r="AV3224">
        <v>-1.9</v>
      </c>
      <c r="AW3224">
        <v>83</v>
      </c>
      <c r="AX3224">
        <v>0.2</v>
      </c>
      <c r="AY3224">
        <v>58</v>
      </c>
      <c r="AZ3224">
        <v>6.46</v>
      </c>
      <c r="BA3224">
        <v>41</v>
      </c>
      <c r="BB3224">
        <v>5.36</v>
      </c>
      <c r="BC3224">
        <v>43</v>
      </c>
      <c r="BD3224">
        <v>0.01</v>
      </c>
      <c r="BE3224">
        <v>0</v>
      </c>
      <c r="BF3224">
        <v>0.01</v>
      </c>
      <c r="BG3224">
        <v>67</v>
      </c>
      <c r="BH3224">
        <v>7.0000000000000007E-2</v>
      </c>
      <c r="BI3224">
        <v>-0.28000000000000003</v>
      </c>
      <c r="BJ3224">
        <v>6</v>
      </c>
      <c r="BK3224">
        <v>4</v>
      </c>
      <c r="BL3224">
        <v>0.02</v>
      </c>
      <c r="BM3224">
        <v>0.19</v>
      </c>
      <c r="BN3224">
        <v>0.44</v>
      </c>
      <c r="BO3224">
        <v>0.45</v>
      </c>
      <c r="BP3224">
        <v>-0.81</v>
      </c>
      <c r="BQ3224">
        <v>-0.32</v>
      </c>
      <c r="BR3224">
        <v>0.14000000000000001</v>
      </c>
      <c r="BS3224">
        <v>-0.06</v>
      </c>
      <c r="BT3224">
        <v>-0.5</v>
      </c>
      <c r="BU3224">
        <v>-0.21</v>
      </c>
      <c r="BV3224">
        <v>-0.25</v>
      </c>
      <c r="BW3224">
        <v>-0.14000000000000001</v>
      </c>
      <c r="BX3224">
        <v>-0.3</v>
      </c>
      <c r="BY3224">
        <v>0.78</v>
      </c>
      <c r="BZ3224">
        <v>1.1100000000000001</v>
      </c>
      <c r="CA3224">
        <v>0.24</v>
      </c>
      <c r="CB3224">
        <v>0.24</v>
      </c>
      <c r="CC3224">
        <v>0.18</v>
      </c>
      <c r="CD3224">
        <v>-0.38</v>
      </c>
      <c r="CE3224">
        <v>0.47</v>
      </c>
      <c r="CF3224">
        <v>0.1</v>
      </c>
      <c r="CG3224">
        <v>0</v>
      </c>
      <c r="CH3224">
        <v>-0.47</v>
      </c>
      <c r="CI3224">
        <v>0</v>
      </c>
      <c r="CJ3224">
        <v>-8.5</v>
      </c>
      <c r="CK3224">
        <v>74</v>
      </c>
      <c r="CL3224">
        <v>-0.74</v>
      </c>
      <c r="CM3224">
        <v>71</v>
      </c>
      <c r="CN3224">
        <v>-0.33</v>
      </c>
      <c r="CO3224">
        <v>67</v>
      </c>
      <c r="CP3224">
        <v>-9.1999999999999993</v>
      </c>
      <c r="CQ3224">
        <v>77</v>
      </c>
      <c r="CR3224">
        <v>0</v>
      </c>
      <c r="CS3224">
        <v>0</v>
      </c>
      <c r="CT3224">
        <v>4.5</v>
      </c>
      <c r="CU3224">
        <v>67</v>
      </c>
      <c r="CV3224">
        <v>0.09</v>
      </c>
      <c r="CW3224">
        <v>20</v>
      </c>
      <c r="CX3224" t="s">
        <v>216</v>
      </c>
    </row>
    <row r="3225" spans="1:102" x14ac:dyDescent="0.3">
      <c r="A3225" t="str">
        <f>HYPERLINK("https://webapp.icbf.com/v2/app/bull-search/view/170371304","JOX")</f>
        <v>JOX</v>
      </c>
      <c r="B3225" t="s">
        <v>1052</v>
      </c>
      <c r="C3225" t="s">
        <v>1053</v>
      </c>
      <c r="D3225" s="1">
        <v>34665</v>
      </c>
      <c r="E3225" t="s">
        <v>197</v>
      </c>
      <c r="F3225">
        <v>0</v>
      </c>
      <c r="G3225" t="s">
        <v>93</v>
      </c>
      <c r="H3225">
        <v>-20.54</v>
      </c>
      <c r="I3225">
        <v>62</v>
      </c>
      <c r="J3225">
        <v>-2.2599999999999998</v>
      </c>
      <c r="K3225">
        <v>81</v>
      </c>
      <c r="L3225">
        <v>42.69</v>
      </c>
      <c r="M3225">
        <v>45</v>
      </c>
      <c r="N3225">
        <v>-52.93</v>
      </c>
      <c r="O3225">
        <v>59</v>
      </c>
      <c r="P3225">
        <v>9.8699999999999992</v>
      </c>
      <c r="Q3225">
        <v>82</v>
      </c>
      <c r="R3225">
        <v>-11.71</v>
      </c>
      <c r="S3225">
        <v>45</v>
      </c>
      <c r="T3225">
        <v>1.39</v>
      </c>
      <c r="U3225">
        <v>65</v>
      </c>
      <c r="V3225">
        <v>-7.59</v>
      </c>
      <c r="W3225">
        <v>26</v>
      </c>
      <c r="X3225" t="s">
        <v>94</v>
      </c>
      <c r="Y3225" t="s">
        <v>95</v>
      </c>
      <c r="Z3225">
        <v>0</v>
      </c>
      <c r="AA3225" t="s">
        <v>202</v>
      </c>
      <c r="AB3225" t="s">
        <v>1054</v>
      </c>
      <c r="AC3225">
        <v>18</v>
      </c>
      <c r="AD3225">
        <v>8</v>
      </c>
      <c r="AE3225">
        <v>81</v>
      </c>
      <c r="AF3225">
        <v>-57.72</v>
      </c>
      <c r="AG3225">
        <v>-1.01</v>
      </c>
      <c r="AH3225">
        <v>-0.91</v>
      </c>
      <c r="AI3225">
        <v>0.02</v>
      </c>
      <c r="AJ3225">
        <v>0.02</v>
      </c>
      <c r="AK3225">
        <v>45</v>
      </c>
      <c r="AL3225">
        <v>26</v>
      </c>
      <c r="AM3225">
        <v>10</v>
      </c>
      <c r="AN3225">
        <v>-4.99</v>
      </c>
      <c r="AO3225">
        <v>-1.62</v>
      </c>
      <c r="AP3225">
        <v>26</v>
      </c>
      <c r="AQ3225">
        <v>1</v>
      </c>
      <c r="AR3225">
        <v>8.4499999999999993</v>
      </c>
      <c r="AS3225">
        <v>31</v>
      </c>
      <c r="AT3225">
        <v>7.19</v>
      </c>
      <c r="AU3225">
        <v>50</v>
      </c>
      <c r="AV3225">
        <v>1.55</v>
      </c>
      <c r="AW3225">
        <v>82</v>
      </c>
      <c r="AX3225">
        <v>0.03</v>
      </c>
      <c r="AY3225">
        <v>59</v>
      </c>
      <c r="AZ3225">
        <v>5.12</v>
      </c>
      <c r="BA3225">
        <v>26</v>
      </c>
      <c r="BB3225">
        <v>3.17</v>
      </c>
      <c r="BC3225">
        <v>31</v>
      </c>
      <c r="BD3225">
        <v>0.08</v>
      </c>
      <c r="BE3225">
        <v>0.04</v>
      </c>
      <c r="BF3225">
        <v>0.06</v>
      </c>
      <c r="BG3225">
        <v>54</v>
      </c>
      <c r="BH3225">
        <v>-0.18</v>
      </c>
      <c r="BI3225">
        <v>3.67</v>
      </c>
      <c r="BJ3225">
        <v>0</v>
      </c>
      <c r="BK3225">
        <v>0</v>
      </c>
      <c r="BL3225">
        <v>-1.1100000000000001</v>
      </c>
      <c r="BM3225">
        <v>1.0900000000000001</v>
      </c>
      <c r="BN3225">
        <v>-0.93</v>
      </c>
      <c r="BO3225">
        <v>-1.52</v>
      </c>
      <c r="BP3225">
        <v>0.22</v>
      </c>
      <c r="BQ3225">
        <v>0.18</v>
      </c>
      <c r="BR3225">
        <v>-0.17</v>
      </c>
      <c r="BS3225">
        <v>0.23</v>
      </c>
      <c r="BT3225">
        <v>-0.18</v>
      </c>
      <c r="BU3225">
        <v>-1.02</v>
      </c>
      <c r="BV3225">
        <v>-1.44</v>
      </c>
      <c r="BW3225">
        <v>-1.53</v>
      </c>
      <c r="BX3225">
        <v>-0.71</v>
      </c>
      <c r="BY3225">
        <v>-1.4</v>
      </c>
      <c r="BZ3225">
        <v>0.09</v>
      </c>
      <c r="CA3225">
        <v>-1.38</v>
      </c>
      <c r="CB3225">
        <v>-1.4</v>
      </c>
      <c r="CC3225">
        <v>-0.8</v>
      </c>
      <c r="CD3225">
        <v>1.49</v>
      </c>
      <c r="CE3225">
        <v>-1.44</v>
      </c>
      <c r="CF3225">
        <v>-0.98</v>
      </c>
      <c r="CG3225">
        <v>0</v>
      </c>
      <c r="CH3225">
        <v>-1.39</v>
      </c>
      <c r="CI3225">
        <v>0</v>
      </c>
      <c r="CJ3225">
        <v>7</v>
      </c>
      <c r="CK3225">
        <v>84</v>
      </c>
      <c r="CL3225">
        <v>-0.16</v>
      </c>
      <c r="CM3225">
        <v>80</v>
      </c>
      <c r="CN3225">
        <v>-0.05</v>
      </c>
      <c r="CO3225">
        <v>78</v>
      </c>
      <c r="CP3225">
        <v>8.5</v>
      </c>
      <c r="CQ3225">
        <v>77</v>
      </c>
      <c r="CR3225">
        <v>0</v>
      </c>
      <c r="CS3225">
        <v>0</v>
      </c>
      <c r="CT3225">
        <v>11.9</v>
      </c>
      <c r="CU3225">
        <v>65</v>
      </c>
      <c r="CV3225">
        <v>0.1</v>
      </c>
      <c r="CW3225">
        <v>23</v>
      </c>
      <c r="CX3225" t="s">
        <v>1055</v>
      </c>
    </row>
    <row r="3226" spans="1:102" x14ac:dyDescent="0.3">
      <c r="A3226" t="str">
        <f>HYPERLINK("https://webapp.icbf.com/v2/app/bull-search/view/77858395","DIY")</f>
        <v>DIY</v>
      </c>
      <c r="B3226" t="s">
        <v>8906</v>
      </c>
      <c r="C3226" t="s">
        <v>8907</v>
      </c>
      <c r="D3226" s="1">
        <v>31576</v>
      </c>
      <c r="E3226" t="s">
        <v>92</v>
      </c>
      <c r="F3226">
        <v>75</v>
      </c>
      <c r="G3226" t="s">
        <v>116</v>
      </c>
      <c r="H3226">
        <v>-20.55</v>
      </c>
      <c r="I3226">
        <v>36</v>
      </c>
      <c r="J3226">
        <v>-44.03</v>
      </c>
      <c r="K3226">
        <v>7</v>
      </c>
      <c r="L3226">
        <v>26.39</v>
      </c>
      <c r="M3226">
        <v>59</v>
      </c>
      <c r="N3226">
        <v>-7.63</v>
      </c>
      <c r="O3226">
        <v>28</v>
      </c>
      <c r="P3226">
        <v>1.94</v>
      </c>
      <c r="Q3226">
        <v>71</v>
      </c>
      <c r="R3226">
        <v>-6.58</v>
      </c>
      <c r="S3226">
        <v>53</v>
      </c>
      <c r="T3226">
        <v>10.94</v>
      </c>
      <c r="U3226">
        <v>42</v>
      </c>
      <c r="V3226">
        <v>-1.58</v>
      </c>
      <c r="W3226">
        <v>13</v>
      </c>
      <c r="X3226" t="s">
        <v>94</v>
      </c>
      <c r="Y3226" t="s">
        <v>95</v>
      </c>
      <c r="Z3226" t="s">
        <v>96</v>
      </c>
      <c r="AA3226" t="s">
        <v>3715</v>
      </c>
      <c r="AB3226" t="s">
        <v>8908</v>
      </c>
      <c r="AC3226">
        <v>1</v>
      </c>
      <c r="AD3226">
        <v>1</v>
      </c>
      <c r="AE3226">
        <v>7</v>
      </c>
      <c r="AF3226">
        <v>-302.52999999999997</v>
      </c>
      <c r="AG3226">
        <v>-3.05</v>
      </c>
      <c r="AH3226">
        <v>-11.04</v>
      </c>
      <c r="AI3226">
        <v>0.15</v>
      </c>
      <c r="AJ3226">
        <v>-0.01</v>
      </c>
      <c r="AK3226">
        <v>59</v>
      </c>
      <c r="AL3226">
        <v>76</v>
      </c>
      <c r="AM3226">
        <v>39</v>
      </c>
      <c r="AN3226">
        <v>-1.04</v>
      </c>
      <c r="AO3226">
        <v>1.07</v>
      </c>
      <c r="AP3226">
        <v>1</v>
      </c>
      <c r="AQ3226">
        <v>1</v>
      </c>
      <c r="AR3226">
        <v>7.37</v>
      </c>
      <c r="AS3226">
        <v>14</v>
      </c>
      <c r="AT3226">
        <v>3</v>
      </c>
      <c r="AU3226">
        <v>25</v>
      </c>
      <c r="AV3226">
        <v>0.41</v>
      </c>
      <c r="AW3226">
        <v>29</v>
      </c>
      <c r="AX3226">
        <v>0.24</v>
      </c>
      <c r="AY3226">
        <v>56</v>
      </c>
      <c r="AZ3226">
        <v>7.14</v>
      </c>
      <c r="BA3226">
        <v>14</v>
      </c>
      <c r="BB3226">
        <v>5.82</v>
      </c>
      <c r="BC3226">
        <v>23</v>
      </c>
      <c r="BD3226">
        <v>-0.01</v>
      </c>
      <c r="BE3226">
        <v>0.02</v>
      </c>
      <c r="BF3226">
        <v>0.13</v>
      </c>
      <c r="BG3226">
        <v>79</v>
      </c>
      <c r="BH3226">
        <v>0.01</v>
      </c>
      <c r="BI3226">
        <v>6.26</v>
      </c>
      <c r="BJ3226">
        <v>15</v>
      </c>
      <c r="BK3226">
        <v>10</v>
      </c>
      <c r="BL3226">
        <v>-0.64</v>
      </c>
      <c r="BM3226">
        <v>1.37</v>
      </c>
      <c r="BN3226">
        <v>-0.24</v>
      </c>
      <c r="BO3226">
        <v>-1.07</v>
      </c>
      <c r="BP3226">
        <v>-1.0900000000000001</v>
      </c>
      <c r="BQ3226">
        <v>0.7</v>
      </c>
      <c r="BR3226">
        <v>0.03</v>
      </c>
      <c r="BS3226">
        <v>0.28999999999999998</v>
      </c>
      <c r="BT3226">
        <v>0.89</v>
      </c>
      <c r="BU3226">
        <v>0.51</v>
      </c>
      <c r="BV3226">
        <v>-0.51</v>
      </c>
      <c r="BW3226">
        <v>-0.7</v>
      </c>
      <c r="BX3226">
        <v>2.08</v>
      </c>
      <c r="BY3226">
        <v>-0.77</v>
      </c>
      <c r="BZ3226">
        <v>-1.1599999999999999</v>
      </c>
      <c r="CA3226">
        <v>-0.74</v>
      </c>
      <c r="CB3226">
        <v>-0.78</v>
      </c>
      <c r="CC3226">
        <v>-0.65</v>
      </c>
      <c r="CD3226">
        <v>1.33</v>
      </c>
      <c r="CE3226">
        <v>-1.36</v>
      </c>
      <c r="CF3226">
        <v>-0.24</v>
      </c>
      <c r="CG3226">
        <v>0</v>
      </c>
      <c r="CH3226">
        <v>-0.39</v>
      </c>
      <c r="CI3226">
        <v>0</v>
      </c>
      <c r="CJ3226">
        <v>2.2000000000000002</v>
      </c>
      <c r="CK3226">
        <v>74</v>
      </c>
      <c r="CL3226">
        <v>-0.5</v>
      </c>
      <c r="CM3226">
        <v>70</v>
      </c>
      <c r="CN3226">
        <v>-0.36</v>
      </c>
      <c r="CO3226">
        <v>67</v>
      </c>
      <c r="CP3226">
        <v>-1</v>
      </c>
      <c r="CQ3226">
        <v>55</v>
      </c>
      <c r="CR3226">
        <v>0</v>
      </c>
      <c r="CS3226">
        <v>0</v>
      </c>
      <c r="CT3226">
        <v>-1</v>
      </c>
      <c r="CU3226">
        <v>42</v>
      </c>
      <c r="CV3226">
        <v>0.22</v>
      </c>
      <c r="CW3226">
        <v>20</v>
      </c>
      <c r="CX3226" t="s">
        <v>622</v>
      </c>
    </row>
    <row r="3227" spans="1:102" x14ac:dyDescent="0.3">
      <c r="A3227" t="str">
        <f>HYPERLINK("https://webapp.icbf.com/v2/app/bull-search/view/1241735136","S2309")</f>
        <v>S2309</v>
      </c>
      <c r="B3227" t="s">
        <v>13538</v>
      </c>
      <c r="C3227" t="s">
        <v>13539</v>
      </c>
      <c r="D3227" s="1">
        <v>39229</v>
      </c>
      <c r="E3227" t="s">
        <v>895</v>
      </c>
      <c r="F3227">
        <v>0</v>
      </c>
      <c r="G3227" t="s">
        <v>116</v>
      </c>
      <c r="H3227">
        <v>-20.55</v>
      </c>
      <c r="I3227">
        <v>27</v>
      </c>
      <c r="J3227">
        <v>4.41</v>
      </c>
      <c r="K3227">
        <v>48</v>
      </c>
      <c r="L3227">
        <v>-12.39</v>
      </c>
      <c r="M3227">
        <v>11</v>
      </c>
      <c r="N3227">
        <v>-22.32</v>
      </c>
      <c r="O3227">
        <v>32</v>
      </c>
      <c r="P3227">
        <v>-17.48</v>
      </c>
      <c r="Q3227">
        <v>29</v>
      </c>
      <c r="R3227">
        <v>3.25</v>
      </c>
      <c r="S3227">
        <v>13</v>
      </c>
      <c r="T3227">
        <v>26.55</v>
      </c>
      <c r="U3227">
        <v>8</v>
      </c>
      <c r="V3227">
        <v>-2.57</v>
      </c>
      <c r="W3227">
        <v>19</v>
      </c>
      <c r="X3227" t="s">
        <v>428</v>
      </c>
      <c r="Y3227" t="s">
        <v>411</v>
      </c>
      <c r="Z3227">
        <v>0</v>
      </c>
      <c r="AA3227" t="s">
        <v>13540</v>
      </c>
      <c r="AB3227" t="s">
        <v>13541</v>
      </c>
      <c r="AC3227">
        <v>7</v>
      </c>
      <c r="AD3227">
        <v>3</v>
      </c>
      <c r="AE3227">
        <v>48</v>
      </c>
      <c r="AF3227">
        <v>-121.91</v>
      </c>
      <c r="AG3227">
        <v>0.69</v>
      </c>
      <c r="AH3227">
        <v>-1.36</v>
      </c>
      <c r="AI3227">
        <v>0.09</v>
      </c>
      <c r="AJ3227">
        <v>0.05</v>
      </c>
      <c r="AK3227">
        <v>11</v>
      </c>
      <c r="AL3227">
        <v>2</v>
      </c>
      <c r="AM3227">
        <v>1</v>
      </c>
      <c r="AN3227">
        <v>2.11</v>
      </c>
      <c r="AO3227">
        <v>1.1399999999999999</v>
      </c>
      <c r="AP3227">
        <v>21</v>
      </c>
      <c r="AQ3227">
        <v>0</v>
      </c>
      <c r="AR3227">
        <v>9.41</v>
      </c>
      <c r="AS3227">
        <v>19</v>
      </c>
      <c r="AT3227">
        <v>4.05</v>
      </c>
      <c r="AU3227">
        <v>27</v>
      </c>
      <c r="AV3227">
        <v>1.92</v>
      </c>
      <c r="AW3227">
        <v>53</v>
      </c>
      <c r="AX3227">
        <v>-0.54</v>
      </c>
      <c r="AY3227">
        <v>22</v>
      </c>
      <c r="AZ3227">
        <v>5.28</v>
      </c>
      <c r="BA3227">
        <v>9</v>
      </c>
      <c r="BB3227">
        <v>4.0999999999999996</v>
      </c>
      <c r="BC3227">
        <v>1</v>
      </c>
      <c r="BD3227">
        <v>-0.01</v>
      </c>
      <c r="BE3227">
        <v>-0.02</v>
      </c>
      <c r="BF3227">
        <v>-0.02</v>
      </c>
      <c r="BG3227">
        <v>17</v>
      </c>
      <c r="BH3227">
        <v>-0.16</v>
      </c>
      <c r="BI3227">
        <v>-10.210000000000001</v>
      </c>
      <c r="BJ3227">
        <v>0</v>
      </c>
      <c r="BK3227">
        <v>0</v>
      </c>
      <c r="BL3227">
        <v>-0.56000000000000005</v>
      </c>
      <c r="BM3227">
        <v>0.36</v>
      </c>
      <c r="BN3227">
        <v>-0.46</v>
      </c>
      <c r="BO3227">
        <v>-0.56999999999999995</v>
      </c>
      <c r="BP3227">
        <v>0.27</v>
      </c>
      <c r="BQ3227">
        <v>-0.17</v>
      </c>
      <c r="BR3227">
        <v>0.23</v>
      </c>
      <c r="BS3227">
        <v>-0.22</v>
      </c>
      <c r="BT3227">
        <v>-0.14000000000000001</v>
      </c>
      <c r="BU3227">
        <v>-0.41</v>
      </c>
      <c r="BV3227">
        <v>-0.74</v>
      </c>
      <c r="BW3227">
        <v>-0.65</v>
      </c>
      <c r="BX3227">
        <v>-0.28999999999999998</v>
      </c>
      <c r="BY3227">
        <v>-0.38</v>
      </c>
      <c r="BZ3227">
        <v>-0.11</v>
      </c>
      <c r="CA3227">
        <v>-0.59</v>
      </c>
      <c r="CB3227">
        <v>-0.61</v>
      </c>
      <c r="CC3227">
        <v>-0.32</v>
      </c>
      <c r="CD3227">
        <v>0.47</v>
      </c>
      <c r="CE3227">
        <v>-0.59</v>
      </c>
      <c r="CF3227">
        <v>-0.64</v>
      </c>
      <c r="CG3227">
        <v>0</v>
      </c>
      <c r="CH3227">
        <v>-0.61</v>
      </c>
      <c r="CI3227">
        <v>0</v>
      </c>
      <c r="CJ3227">
        <v>-9.6999999999999993</v>
      </c>
      <c r="CK3227">
        <v>33</v>
      </c>
      <c r="CL3227">
        <v>-0.45</v>
      </c>
      <c r="CM3227">
        <v>27</v>
      </c>
      <c r="CN3227">
        <v>-0.21</v>
      </c>
      <c r="CO3227">
        <v>25</v>
      </c>
      <c r="CP3227">
        <v>-12.7</v>
      </c>
      <c r="CQ3227">
        <v>12</v>
      </c>
      <c r="CR3227">
        <v>0</v>
      </c>
      <c r="CS3227">
        <v>0</v>
      </c>
      <c r="CT3227">
        <v>-22.1</v>
      </c>
      <c r="CU3227">
        <v>8</v>
      </c>
      <c r="CV3227">
        <v>-0.17</v>
      </c>
      <c r="CW3227">
        <v>8</v>
      </c>
      <c r="CX3227" t="s">
        <v>13542</v>
      </c>
    </row>
    <row r="3228" spans="1:102" x14ac:dyDescent="0.3">
      <c r="A3228" t="str">
        <f>HYPERLINK("https://webapp.icbf.com/v2/app/bull-search/view/1592310447","FR4630")</f>
        <v>FR4630</v>
      </c>
      <c r="B3228" t="s">
        <v>14014</v>
      </c>
      <c r="C3228" t="s">
        <v>14015</v>
      </c>
      <c r="D3228" s="1">
        <v>42583</v>
      </c>
      <c r="E3228" t="s">
        <v>92</v>
      </c>
      <c r="F3228">
        <v>100</v>
      </c>
      <c r="G3228" t="s">
        <v>435</v>
      </c>
      <c r="H3228">
        <v>-20.55</v>
      </c>
      <c r="I3228">
        <v>68</v>
      </c>
      <c r="J3228">
        <v>75.430000000000007</v>
      </c>
      <c r="K3228">
        <v>87</v>
      </c>
      <c r="L3228">
        <v>-92.21</v>
      </c>
      <c r="M3228">
        <v>65</v>
      </c>
      <c r="N3228">
        <v>-2.41</v>
      </c>
      <c r="O3228">
        <v>70</v>
      </c>
      <c r="P3228">
        <v>-8.5</v>
      </c>
      <c r="Q3228">
        <v>39</v>
      </c>
      <c r="R3228">
        <v>11.65</v>
      </c>
      <c r="S3228">
        <v>62</v>
      </c>
      <c r="T3228">
        <v>-9.0399999999999991</v>
      </c>
      <c r="U3228">
        <v>34</v>
      </c>
      <c r="V3228">
        <v>4.53</v>
      </c>
      <c r="W3228">
        <v>53</v>
      </c>
      <c r="X3228" t="s">
        <v>234</v>
      </c>
      <c r="Y3228" t="s">
        <v>442</v>
      </c>
      <c r="Z3228" t="s">
        <v>96</v>
      </c>
      <c r="AA3228" t="s">
        <v>448</v>
      </c>
      <c r="AB3228" t="s">
        <v>14016</v>
      </c>
      <c r="AC3228">
        <v>0</v>
      </c>
      <c r="AD3228">
        <v>0</v>
      </c>
      <c r="AE3228">
        <v>87</v>
      </c>
      <c r="AF3228">
        <v>851.07</v>
      </c>
      <c r="AG3228">
        <v>14.26</v>
      </c>
      <c r="AH3228">
        <v>20.81</v>
      </c>
      <c r="AI3228">
        <v>-0.28999999999999998</v>
      </c>
      <c r="AJ3228">
        <v>-0.12</v>
      </c>
      <c r="AK3228">
        <v>65</v>
      </c>
      <c r="AL3228">
        <v>0</v>
      </c>
      <c r="AM3228">
        <v>0</v>
      </c>
      <c r="AN3228">
        <v>7.62</v>
      </c>
      <c r="AO3228">
        <v>0.3</v>
      </c>
      <c r="AP3228">
        <v>35</v>
      </c>
      <c r="AQ3228">
        <v>0</v>
      </c>
      <c r="AR3228">
        <v>10.08</v>
      </c>
      <c r="AS3228">
        <v>53</v>
      </c>
      <c r="AT3228">
        <v>4.63</v>
      </c>
      <c r="AU3228">
        <v>84</v>
      </c>
      <c r="AV3228">
        <v>-2.52</v>
      </c>
      <c r="AW3228">
        <v>84</v>
      </c>
      <c r="AX3228">
        <v>-0.37</v>
      </c>
      <c r="AY3228">
        <v>55</v>
      </c>
      <c r="AZ3228">
        <v>6.15</v>
      </c>
      <c r="BA3228">
        <v>33</v>
      </c>
      <c r="BB3228">
        <v>5.16</v>
      </c>
      <c r="BC3228">
        <v>32</v>
      </c>
      <c r="BD3228">
        <v>-0.06</v>
      </c>
      <c r="BE3228">
        <v>-0.02</v>
      </c>
      <c r="BF3228">
        <v>-0.13</v>
      </c>
      <c r="BG3228">
        <v>75</v>
      </c>
      <c r="BH3228">
        <v>0.02</v>
      </c>
      <c r="BI3228">
        <v>-12.3</v>
      </c>
      <c r="BJ3228">
        <v>0</v>
      </c>
      <c r="BK3228">
        <v>0</v>
      </c>
      <c r="BL3228">
        <v>1.54</v>
      </c>
      <c r="BM3228">
        <v>0.13</v>
      </c>
      <c r="BN3228">
        <v>1.22</v>
      </c>
      <c r="BO3228">
        <v>1.54</v>
      </c>
      <c r="BP3228">
        <v>1.1599999999999999</v>
      </c>
      <c r="BQ3228">
        <v>2.0099999999999998</v>
      </c>
      <c r="BR3228">
        <v>-1.28</v>
      </c>
      <c r="BS3228">
        <v>0.35</v>
      </c>
      <c r="BT3228">
        <v>2.0499999999999998</v>
      </c>
      <c r="BU3228">
        <v>2.04</v>
      </c>
      <c r="BV3228">
        <v>2.72</v>
      </c>
      <c r="BW3228">
        <v>3.6</v>
      </c>
      <c r="BX3228">
        <v>0.57999999999999996</v>
      </c>
      <c r="BY3228">
        <v>2.95</v>
      </c>
      <c r="BZ3228">
        <v>-0.48</v>
      </c>
      <c r="CA3228">
        <v>2.21</v>
      </c>
      <c r="CB3228">
        <v>2.4</v>
      </c>
      <c r="CC3228">
        <v>1.29</v>
      </c>
      <c r="CD3228">
        <v>-0.56000000000000005</v>
      </c>
      <c r="CE3228">
        <v>2.1</v>
      </c>
      <c r="CF3228">
        <v>2.4</v>
      </c>
      <c r="CG3228">
        <v>0</v>
      </c>
      <c r="CH3228">
        <v>1.81</v>
      </c>
      <c r="CI3228">
        <v>0</v>
      </c>
      <c r="CJ3228">
        <v>-1.6</v>
      </c>
      <c r="CK3228">
        <v>39</v>
      </c>
      <c r="CL3228">
        <v>-1.46</v>
      </c>
      <c r="CM3228">
        <v>39</v>
      </c>
      <c r="CN3228">
        <v>-0.71</v>
      </c>
      <c r="CO3228">
        <v>38</v>
      </c>
      <c r="CP3228">
        <v>3.1</v>
      </c>
      <c r="CQ3228">
        <v>35</v>
      </c>
      <c r="CR3228">
        <v>0</v>
      </c>
      <c r="CS3228">
        <v>0</v>
      </c>
      <c r="CT3228">
        <v>26</v>
      </c>
      <c r="CU3228">
        <v>34</v>
      </c>
      <c r="CV3228">
        <v>0.25</v>
      </c>
      <c r="CW3228">
        <v>33</v>
      </c>
      <c r="CX3228" t="s">
        <v>7656</v>
      </c>
    </row>
    <row r="3229" spans="1:102" x14ac:dyDescent="0.3">
      <c r="A3229" t="str">
        <f>HYPERLINK("https://webapp.icbf.com/v2/app/bull-search/view/82443327","CAU")</f>
        <v>CAU</v>
      </c>
      <c r="B3229" t="s">
        <v>4982</v>
      </c>
      <c r="C3229" t="s">
        <v>612</v>
      </c>
      <c r="D3229" s="1">
        <v>32339</v>
      </c>
      <c r="E3229" t="s">
        <v>92</v>
      </c>
      <c r="F3229">
        <v>100</v>
      </c>
      <c r="G3229" t="s">
        <v>93</v>
      </c>
      <c r="H3229">
        <v>-20.59</v>
      </c>
      <c r="I3229">
        <v>98</v>
      </c>
      <c r="J3229">
        <v>-4.42</v>
      </c>
      <c r="K3229">
        <v>99</v>
      </c>
      <c r="L3229">
        <v>-36.18</v>
      </c>
      <c r="M3229">
        <v>97</v>
      </c>
      <c r="N3229">
        <v>27.67</v>
      </c>
      <c r="O3229">
        <v>98</v>
      </c>
      <c r="P3229">
        <v>-15.58</v>
      </c>
      <c r="Q3229">
        <v>99</v>
      </c>
      <c r="R3229">
        <v>-5.34</v>
      </c>
      <c r="S3229">
        <v>96</v>
      </c>
      <c r="T3229">
        <v>14.27</v>
      </c>
      <c r="U3229">
        <v>99</v>
      </c>
      <c r="V3229">
        <v>-1.01</v>
      </c>
      <c r="W3229">
        <v>96</v>
      </c>
      <c r="X3229" t="s">
        <v>94</v>
      </c>
      <c r="Y3229" t="s">
        <v>95</v>
      </c>
      <c r="Z3229" t="s">
        <v>96</v>
      </c>
      <c r="AA3229" t="s">
        <v>3720</v>
      </c>
      <c r="AB3229" t="s">
        <v>4983</v>
      </c>
      <c r="AC3229">
        <v>4641</v>
      </c>
      <c r="AD3229">
        <v>1831</v>
      </c>
      <c r="AE3229">
        <v>99</v>
      </c>
      <c r="AF3229">
        <v>97</v>
      </c>
      <c r="AG3229">
        <v>-5.08</v>
      </c>
      <c r="AH3229">
        <v>2.5299999999999998</v>
      </c>
      <c r="AI3229">
        <v>-0.15</v>
      </c>
      <c r="AJ3229">
        <v>-0.01</v>
      </c>
      <c r="AK3229">
        <v>97</v>
      </c>
      <c r="AL3229">
        <v>6037</v>
      </c>
      <c r="AM3229">
        <v>2330</v>
      </c>
      <c r="AN3229">
        <v>2.41</v>
      </c>
      <c r="AO3229">
        <v>-0.47</v>
      </c>
      <c r="AP3229">
        <v>56</v>
      </c>
      <c r="AQ3229">
        <v>2</v>
      </c>
      <c r="AR3229">
        <v>4.2</v>
      </c>
      <c r="AS3229">
        <v>94</v>
      </c>
      <c r="AT3229">
        <v>1.89</v>
      </c>
      <c r="AU3229">
        <v>99</v>
      </c>
      <c r="AV3229">
        <v>-0.77</v>
      </c>
      <c r="AW3229">
        <v>99</v>
      </c>
      <c r="AX3229">
        <v>-0.27</v>
      </c>
      <c r="AY3229">
        <v>99</v>
      </c>
      <c r="AZ3229">
        <v>5.27</v>
      </c>
      <c r="BA3229">
        <v>95</v>
      </c>
      <c r="BB3229">
        <v>4.43</v>
      </c>
      <c r="BC3229">
        <v>98</v>
      </c>
      <c r="BD3229">
        <v>0.01</v>
      </c>
      <c r="BE3229">
        <v>0.04</v>
      </c>
      <c r="BF3229">
        <v>0.03</v>
      </c>
      <c r="BG3229">
        <v>99</v>
      </c>
      <c r="BH3229">
        <v>0.13</v>
      </c>
      <c r="BI3229">
        <v>18.28</v>
      </c>
      <c r="BJ3229">
        <v>326</v>
      </c>
      <c r="BK3229">
        <v>216</v>
      </c>
      <c r="BL3229">
        <v>-7.0000000000000007E-2</v>
      </c>
      <c r="BM3229">
        <v>-0.01</v>
      </c>
      <c r="BN3229">
        <v>-0.43</v>
      </c>
      <c r="BO3229">
        <v>-0.02</v>
      </c>
      <c r="BP3229">
        <v>0.84</v>
      </c>
      <c r="BQ3229">
        <v>-1.22</v>
      </c>
      <c r="BR3229">
        <v>0.5</v>
      </c>
      <c r="BS3229">
        <v>-0.73</v>
      </c>
      <c r="BT3229">
        <v>0.22</v>
      </c>
      <c r="BU3229">
        <v>-0.13</v>
      </c>
      <c r="BV3229">
        <v>-0.53</v>
      </c>
      <c r="BW3229">
        <v>-0.86</v>
      </c>
      <c r="BX3229">
        <v>-0.92</v>
      </c>
      <c r="BY3229">
        <v>1.43</v>
      </c>
      <c r="BZ3229">
        <v>-0.21</v>
      </c>
      <c r="CA3229">
        <v>-0.38</v>
      </c>
      <c r="CB3229">
        <v>-0.2</v>
      </c>
      <c r="CC3229">
        <v>-0.66</v>
      </c>
      <c r="CD3229">
        <v>-0.42</v>
      </c>
      <c r="CE3229">
        <v>-0.09</v>
      </c>
      <c r="CF3229">
        <v>-0.9</v>
      </c>
      <c r="CG3229">
        <v>0</v>
      </c>
      <c r="CH3229">
        <v>1.44</v>
      </c>
      <c r="CI3229">
        <v>0</v>
      </c>
      <c r="CJ3229">
        <v>-5.5</v>
      </c>
      <c r="CK3229">
        <v>99</v>
      </c>
      <c r="CL3229">
        <v>-0.64</v>
      </c>
      <c r="CM3229">
        <v>99</v>
      </c>
      <c r="CN3229">
        <v>-0.02</v>
      </c>
      <c r="CO3229">
        <v>99</v>
      </c>
      <c r="CP3229">
        <v>-10.8</v>
      </c>
      <c r="CQ3229">
        <v>99</v>
      </c>
      <c r="CR3229">
        <v>0</v>
      </c>
      <c r="CS3229">
        <v>0</v>
      </c>
      <c r="CT3229">
        <v>-5.5</v>
      </c>
      <c r="CU3229">
        <v>99</v>
      </c>
      <c r="CV3229">
        <v>0.05</v>
      </c>
      <c r="CW3229">
        <v>47</v>
      </c>
      <c r="CX3229" t="s">
        <v>128</v>
      </c>
    </row>
    <row r="3230" spans="1:102" x14ac:dyDescent="0.3">
      <c r="A3230" t="str">
        <f>HYPERLINK("https://webapp.icbf.com/v2/app/bull-search/view/1057111482","FR2292")</f>
        <v>FR2292</v>
      </c>
      <c r="B3230" t="s">
        <v>9380</v>
      </c>
      <c r="C3230" t="s">
        <v>9381</v>
      </c>
      <c r="D3230" s="1">
        <v>40398</v>
      </c>
      <c r="E3230" t="s">
        <v>92</v>
      </c>
      <c r="F3230">
        <v>100</v>
      </c>
      <c r="G3230" t="s">
        <v>109</v>
      </c>
      <c r="H3230">
        <v>-20.83</v>
      </c>
      <c r="I3230">
        <v>76</v>
      </c>
      <c r="J3230">
        <v>50.81</v>
      </c>
      <c r="K3230">
        <v>90</v>
      </c>
      <c r="L3230">
        <v>-76.53</v>
      </c>
      <c r="M3230">
        <v>75</v>
      </c>
      <c r="N3230">
        <v>5.87</v>
      </c>
      <c r="O3230">
        <v>79</v>
      </c>
      <c r="P3230">
        <v>5.26</v>
      </c>
      <c r="Q3230">
        <v>63</v>
      </c>
      <c r="R3230">
        <v>0.1</v>
      </c>
      <c r="S3230">
        <v>68</v>
      </c>
      <c r="T3230">
        <v>-1.49</v>
      </c>
      <c r="U3230">
        <v>46</v>
      </c>
      <c r="V3230">
        <v>-4.8499999999999996</v>
      </c>
      <c r="W3230">
        <v>55</v>
      </c>
      <c r="X3230" t="s">
        <v>102</v>
      </c>
      <c r="Y3230" t="s">
        <v>422</v>
      </c>
      <c r="Z3230" t="s">
        <v>96</v>
      </c>
      <c r="AA3230" t="s">
        <v>9382</v>
      </c>
      <c r="AB3230" t="s">
        <v>9383</v>
      </c>
      <c r="AC3230">
        <v>0</v>
      </c>
      <c r="AD3230">
        <v>0</v>
      </c>
      <c r="AE3230">
        <v>90</v>
      </c>
      <c r="AF3230">
        <v>167.16</v>
      </c>
      <c r="AG3230">
        <v>15.69</v>
      </c>
      <c r="AH3230">
        <v>5.65</v>
      </c>
      <c r="AI3230">
        <v>0.16</v>
      </c>
      <c r="AJ3230">
        <v>0</v>
      </c>
      <c r="AK3230">
        <v>75</v>
      </c>
      <c r="AL3230">
        <v>0</v>
      </c>
      <c r="AM3230">
        <v>0</v>
      </c>
      <c r="AN3230">
        <v>4.41</v>
      </c>
      <c r="AO3230">
        <v>-1.69</v>
      </c>
      <c r="AP3230">
        <v>157</v>
      </c>
      <c r="AQ3230">
        <v>1</v>
      </c>
      <c r="AR3230">
        <v>8.23</v>
      </c>
      <c r="AS3230">
        <v>73</v>
      </c>
      <c r="AT3230">
        <v>3.89</v>
      </c>
      <c r="AU3230">
        <v>88</v>
      </c>
      <c r="AV3230">
        <v>-1.1599999999999999</v>
      </c>
      <c r="AW3230">
        <v>92</v>
      </c>
      <c r="AX3230">
        <v>-0.73</v>
      </c>
      <c r="AY3230">
        <v>82</v>
      </c>
      <c r="AZ3230">
        <v>5.59</v>
      </c>
      <c r="BA3230">
        <v>38</v>
      </c>
      <c r="BB3230">
        <v>4.46</v>
      </c>
      <c r="BC3230">
        <v>35</v>
      </c>
      <c r="BD3230">
        <v>0.01</v>
      </c>
      <c r="BE3230">
        <v>-0.01</v>
      </c>
      <c r="BF3230">
        <v>0</v>
      </c>
      <c r="BG3230">
        <v>86</v>
      </c>
      <c r="BH3230">
        <v>0</v>
      </c>
      <c r="BI3230">
        <v>15.66</v>
      </c>
      <c r="BJ3230">
        <v>0</v>
      </c>
      <c r="BK3230">
        <v>0</v>
      </c>
      <c r="BL3230">
        <v>0.26</v>
      </c>
      <c r="BM3230">
        <v>0.63</v>
      </c>
      <c r="BN3230">
        <v>1</v>
      </c>
      <c r="BO3230">
        <v>0.18</v>
      </c>
      <c r="BP3230">
        <v>-0.57999999999999996</v>
      </c>
      <c r="BQ3230">
        <v>1.45</v>
      </c>
      <c r="BR3230">
        <v>-0.38</v>
      </c>
      <c r="BS3230">
        <v>2</v>
      </c>
      <c r="BT3230">
        <v>0.82</v>
      </c>
      <c r="BU3230">
        <v>1.84</v>
      </c>
      <c r="BV3230">
        <v>0.64</v>
      </c>
      <c r="BW3230">
        <v>0.96</v>
      </c>
      <c r="BX3230">
        <v>0.43</v>
      </c>
      <c r="BY3230">
        <v>3.19</v>
      </c>
      <c r="BZ3230">
        <v>-1.38</v>
      </c>
      <c r="CA3230">
        <v>1.57</v>
      </c>
      <c r="CB3230">
        <v>1.53</v>
      </c>
      <c r="CC3230">
        <v>1.01</v>
      </c>
      <c r="CD3230">
        <v>0.56999999999999995</v>
      </c>
      <c r="CE3230">
        <v>0.28999999999999998</v>
      </c>
      <c r="CF3230">
        <v>0.65</v>
      </c>
      <c r="CG3230">
        <v>0</v>
      </c>
      <c r="CH3230">
        <v>3.46</v>
      </c>
      <c r="CI3230">
        <v>0</v>
      </c>
      <c r="CJ3230">
        <v>6.4</v>
      </c>
      <c r="CK3230">
        <v>67</v>
      </c>
      <c r="CL3230">
        <v>-0.94</v>
      </c>
      <c r="CM3230">
        <v>61</v>
      </c>
      <c r="CN3230">
        <v>-0.45</v>
      </c>
      <c r="CO3230">
        <v>59</v>
      </c>
      <c r="CP3230">
        <v>5.7</v>
      </c>
      <c r="CQ3230">
        <v>49</v>
      </c>
      <c r="CR3230">
        <v>0</v>
      </c>
      <c r="CS3230">
        <v>0</v>
      </c>
      <c r="CT3230">
        <v>15.8</v>
      </c>
      <c r="CU3230">
        <v>46</v>
      </c>
      <c r="CV3230">
        <v>0.27</v>
      </c>
      <c r="CW3230">
        <v>39</v>
      </c>
      <c r="CX3230" t="s">
        <v>3073</v>
      </c>
    </row>
    <row r="3231" spans="1:102" x14ac:dyDescent="0.3">
      <c r="A3231" t="str">
        <f>HYPERLINK("https://webapp.icbf.com/v2/app/bull-search/view/69091654","FDF")</f>
        <v>FDF</v>
      </c>
      <c r="B3231" t="s">
        <v>15213</v>
      </c>
      <c r="C3231" t="s">
        <v>15214</v>
      </c>
      <c r="D3231" s="1">
        <v>34191</v>
      </c>
      <c r="E3231" t="s">
        <v>92</v>
      </c>
      <c r="F3231">
        <v>63</v>
      </c>
      <c r="G3231" t="s">
        <v>109</v>
      </c>
      <c r="H3231">
        <v>-20.86</v>
      </c>
      <c r="I3231">
        <v>67</v>
      </c>
      <c r="J3231">
        <v>18.3</v>
      </c>
      <c r="K3231">
        <v>86</v>
      </c>
      <c r="L3231">
        <v>-55.42</v>
      </c>
      <c r="M3231">
        <v>69</v>
      </c>
      <c r="N3231">
        <v>21.11</v>
      </c>
      <c r="O3231">
        <v>51</v>
      </c>
      <c r="P3231">
        <v>-13.51</v>
      </c>
      <c r="Q3231">
        <v>43</v>
      </c>
      <c r="R3231">
        <v>-7.09</v>
      </c>
      <c r="S3231">
        <v>65</v>
      </c>
      <c r="T3231">
        <v>18.34</v>
      </c>
      <c r="U3231">
        <v>37</v>
      </c>
      <c r="V3231">
        <v>-2.59</v>
      </c>
      <c r="W3231">
        <v>47</v>
      </c>
      <c r="X3231" t="s">
        <v>302</v>
      </c>
      <c r="Y3231" t="s">
        <v>95</v>
      </c>
      <c r="Z3231" t="s">
        <v>96</v>
      </c>
      <c r="AA3231" t="s">
        <v>15215</v>
      </c>
      <c r="AB3231" t="s">
        <v>15216</v>
      </c>
      <c r="AC3231">
        <v>0</v>
      </c>
      <c r="AD3231">
        <v>0</v>
      </c>
      <c r="AE3231">
        <v>86</v>
      </c>
      <c r="AF3231">
        <v>83.71</v>
      </c>
      <c r="AG3231">
        <v>4.3899999999999997</v>
      </c>
      <c r="AH3231">
        <v>2.84</v>
      </c>
      <c r="AI3231">
        <v>0.02</v>
      </c>
      <c r="AJ3231">
        <v>0</v>
      </c>
      <c r="AK3231">
        <v>69</v>
      </c>
      <c r="AL3231">
        <v>0</v>
      </c>
      <c r="AM3231">
        <v>0</v>
      </c>
      <c r="AN3231">
        <v>3.77</v>
      </c>
      <c r="AO3231">
        <v>-0.64</v>
      </c>
      <c r="AP3231">
        <v>5</v>
      </c>
      <c r="AQ3231">
        <v>0</v>
      </c>
      <c r="AR3231">
        <v>7.57</v>
      </c>
      <c r="AS3231">
        <v>37</v>
      </c>
      <c r="AT3231">
        <v>1.74</v>
      </c>
      <c r="AU3231">
        <v>76</v>
      </c>
      <c r="AV3231">
        <v>-1.58</v>
      </c>
      <c r="AW3231">
        <v>49</v>
      </c>
      <c r="AX3231">
        <v>-0.35</v>
      </c>
      <c r="AY3231">
        <v>40</v>
      </c>
      <c r="AZ3231">
        <v>6.38</v>
      </c>
      <c r="BA3231">
        <v>28</v>
      </c>
      <c r="BB3231">
        <v>5.66</v>
      </c>
      <c r="BC3231">
        <v>30</v>
      </c>
      <c r="BD3231">
        <v>0</v>
      </c>
      <c r="BE3231">
        <v>7.0000000000000007E-2</v>
      </c>
      <c r="BF3231">
        <v>0.03</v>
      </c>
      <c r="BG3231">
        <v>87</v>
      </c>
      <c r="BH3231">
        <v>0.01</v>
      </c>
      <c r="BI3231">
        <v>9.52</v>
      </c>
      <c r="BJ3231">
        <v>0</v>
      </c>
      <c r="BK3231">
        <v>0</v>
      </c>
      <c r="BL3231">
        <v>-1.26</v>
      </c>
      <c r="BM3231">
        <v>0.19</v>
      </c>
      <c r="BN3231">
        <v>-0.65</v>
      </c>
      <c r="BO3231">
        <v>-0.53</v>
      </c>
      <c r="BP3231">
        <v>-0.95</v>
      </c>
      <c r="BQ3231">
        <v>-0.22</v>
      </c>
      <c r="BR3231">
        <v>-1.63</v>
      </c>
      <c r="BS3231">
        <v>-0.31</v>
      </c>
      <c r="BT3231">
        <v>-0.1</v>
      </c>
      <c r="BU3231">
        <v>-1.39</v>
      </c>
      <c r="BV3231">
        <v>-2.11</v>
      </c>
      <c r="BW3231">
        <v>-2.19</v>
      </c>
      <c r="BX3231">
        <v>-2.02</v>
      </c>
      <c r="BY3231">
        <v>-1.03</v>
      </c>
      <c r="BZ3231">
        <v>0.28999999999999998</v>
      </c>
      <c r="CA3231">
        <v>-1.47</v>
      </c>
      <c r="CB3231">
        <v>-1.93</v>
      </c>
      <c r="CC3231">
        <v>-0.48</v>
      </c>
      <c r="CD3231">
        <v>0.33</v>
      </c>
      <c r="CE3231">
        <v>0.16</v>
      </c>
      <c r="CF3231">
        <v>-0.68</v>
      </c>
      <c r="CG3231">
        <v>0</v>
      </c>
      <c r="CH3231">
        <v>-1.1100000000000001</v>
      </c>
      <c r="CI3231">
        <v>0</v>
      </c>
      <c r="CJ3231">
        <v>-4.7</v>
      </c>
      <c r="CK3231">
        <v>44</v>
      </c>
      <c r="CL3231">
        <v>-0.72</v>
      </c>
      <c r="CM3231">
        <v>42</v>
      </c>
      <c r="CN3231">
        <v>-0.19</v>
      </c>
      <c r="CO3231">
        <v>42</v>
      </c>
      <c r="CP3231">
        <v>-12.1</v>
      </c>
      <c r="CQ3231">
        <v>38</v>
      </c>
      <c r="CR3231">
        <v>0</v>
      </c>
      <c r="CS3231">
        <v>0</v>
      </c>
      <c r="CT3231">
        <v>-11</v>
      </c>
      <c r="CU3231">
        <v>37</v>
      </c>
      <c r="CV3231">
        <v>0.15</v>
      </c>
      <c r="CW3231">
        <v>34</v>
      </c>
      <c r="CX3231" t="s">
        <v>2844</v>
      </c>
    </row>
    <row r="3232" spans="1:102" x14ac:dyDescent="0.3">
      <c r="A3232" t="str">
        <f>HYPERLINK("https://webapp.icbf.com/v2/app/bull-search/view/1260973415","MO2096")</f>
        <v>MO2096</v>
      </c>
      <c r="B3232" t="s">
        <v>15166</v>
      </c>
      <c r="C3232" t="s">
        <v>15167</v>
      </c>
      <c r="D3232" s="1">
        <v>41438</v>
      </c>
      <c r="E3232" t="s">
        <v>140</v>
      </c>
      <c r="F3232">
        <v>0</v>
      </c>
      <c r="G3232" t="s">
        <v>109</v>
      </c>
      <c r="H3232">
        <v>-20.89</v>
      </c>
      <c r="I3232">
        <v>42</v>
      </c>
      <c r="J3232">
        <v>5.33</v>
      </c>
      <c r="K3232">
        <v>74</v>
      </c>
      <c r="L3232">
        <v>25.34</v>
      </c>
      <c r="M3232">
        <v>21</v>
      </c>
      <c r="N3232">
        <v>-67.39</v>
      </c>
      <c r="O3232">
        <v>41</v>
      </c>
      <c r="P3232">
        <v>23.24</v>
      </c>
      <c r="Q3232">
        <v>36</v>
      </c>
      <c r="R3232">
        <v>-0.52</v>
      </c>
      <c r="S3232">
        <v>9</v>
      </c>
      <c r="T3232">
        <v>1.25</v>
      </c>
      <c r="U3232">
        <v>27</v>
      </c>
      <c r="V3232">
        <v>-8.14</v>
      </c>
      <c r="W3232">
        <v>23</v>
      </c>
      <c r="X3232" t="s">
        <v>94</v>
      </c>
      <c r="Y3232" t="s">
        <v>405</v>
      </c>
      <c r="Z3232">
        <v>0</v>
      </c>
      <c r="AA3232" t="s">
        <v>7147</v>
      </c>
      <c r="AB3232" t="s">
        <v>15168</v>
      </c>
      <c r="AC3232">
        <v>0</v>
      </c>
      <c r="AD3232">
        <v>0</v>
      </c>
      <c r="AE3232">
        <v>74</v>
      </c>
      <c r="AF3232">
        <v>-55.8</v>
      </c>
      <c r="AG3232">
        <v>-5.59</v>
      </c>
      <c r="AH3232">
        <v>2.0299999999999998</v>
      </c>
      <c r="AI3232">
        <v>-0.06</v>
      </c>
      <c r="AJ3232">
        <v>7.0000000000000007E-2</v>
      </c>
      <c r="AK3232">
        <v>21</v>
      </c>
      <c r="AL3232">
        <v>0</v>
      </c>
      <c r="AM3232">
        <v>0</v>
      </c>
      <c r="AN3232">
        <v>-1.43</v>
      </c>
      <c r="AO3232">
        <v>0.59</v>
      </c>
      <c r="AP3232">
        <v>13</v>
      </c>
      <c r="AQ3232">
        <v>0</v>
      </c>
      <c r="AR3232">
        <v>13.56</v>
      </c>
      <c r="AS3232">
        <v>27</v>
      </c>
      <c r="AT3232">
        <v>6.48</v>
      </c>
      <c r="AU3232">
        <v>37</v>
      </c>
      <c r="AV3232">
        <v>0.89</v>
      </c>
      <c r="AW3232">
        <v>57</v>
      </c>
      <c r="AX3232">
        <v>0.04</v>
      </c>
      <c r="AY3232">
        <v>34</v>
      </c>
      <c r="AZ3232">
        <v>6.65</v>
      </c>
      <c r="BA3232">
        <v>23</v>
      </c>
      <c r="BB3232">
        <v>4.5</v>
      </c>
      <c r="BC3232">
        <v>17</v>
      </c>
      <c r="BD3232">
        <v>0.03</v>
      </c>
      <c r="BE3232">
        <v>-0.02</v>
      </c>
      <c r="BF3232">
        <v>0</v>
      </c>
      <c r="BG3232">
        <v>0</v>
      </c>
      <c r="BH3232">
        <v>-0.32</v>
      </c>
      <c r="BI3232">
        <v>-10.75</v>
      </c>
      <c r="BJ3232">
        <v>0</v>
      </c>
      <c r="BK3232">
        <v>0</v>
      </c>
      <c r="BL3232">
        <v>-0.78</v>
      </c>
      <c r="BM3232">
        <v>3.54</v>
      </c>
      <c r="BN3232">
        <v>-1.69</v>
      </c>
      <c r="BO3232">
        <v>-3.04</v>
      </c>
      <c r="BP3232">
        <v>4.3499999999999996</v>
      </c>
      <c r="BQ3232">
        <v>-1.93</v>
      </c>
      <c r="BR3232">
        <v>-2.65</v>
      </c>
      <c r="BS3232">
        <v>-0.4</v>
      </c>
      <c r="BT3232">
        <v>2.54</v>
      </c>
      <c r="BU3232">
        <v>-3.4</v>
      </c>
      <c r="BV3232">
        <v>-3.86</v>
      </c>
      <c r="BW3232">
        <v>-2.93</v>
      </c>
      <c r="BX3232">
        <v>-2.73</v>
      </c>
      <c r="BY3232">
        <v>-2.0499999999999998</v>
      </c>
      <c r="BZ3232">
        <v>1.36</v>
      </c>
      <c r="CA3232">
        <v>-2.4700000000000002</v>
      </c>
      <c r="CB3232">
        <v>-3.16</v>
      </c>
      <c r="CC3232">
        <v>-0.41</v>
      </c>
      <c r="CD3232">
        <v>3.9</v>
      </c>
      <c r="CE3232">
        <v>-2.96</v>
      </c>
      <c r="CF3232">
        <v>-1.1100000000000001</v>
      </c>
      <c r="CG3232">
        <v>0</v>
      </c>
      <c r="CH3232">
        <v>-2.4500000000000002</v>
      </c>
      <c r="CI3232">
        <v>0</v>
      </c>
      <c r="CJ3232">
        <v>11.1</v>
      </c>
      <c r="CK3232">
        <v>38</v>
      </c>
      <c r="CL3232">
        <v>0.38</v>
      </c>
      <c r="CM3232">
        <v>36</v>
      </c>
      <c r="CN3232">
        <v>-0.24</v>
      </c>
      <c r="CO3232">
        <v>34</v>
      </c>
      <c r="CP3232">
        <v>7.9</v>
      </c>
      <c r="CQ3232">
        <v>28</v>
      </c>
      <c r="CR3232">
        <v>0</v>
      </c>
      <c r="CS3232">
        <v>0</v>
      </c>
      <c r="CT3232">
        <v>12.1</v>
      </c>
      <c r="CU3232">
        <v>27</v>
      </c>
      <c r="CV3232">
        <v>0.01</v>
      </c>
      <c r="CW3232">
        <v>12</v>
      </c>
      <c r="CX3232" t="s">
        <v>15169</v>
      </c>
    </row>
    <row r="3233" spans="1:102" x14ac:dyDescent="0.3">
      <c r="A3233" t="str">
        <f>HYPERLINK("https://webapp.icbf.com/v2/app/bull-search/view/108379574","JUD")</f>
        <v>JUD</v>
      </c>
      <c r="B3233" t="s">
        <v>1608</v>
      </c>
      <c r="C3233" t="s">
        <v>1609</v>
      </c>
      <c r="D3233" s="1">
        <v>34570</v>
      </c>
      <c r="E3233" t="s">
        <v>140</v>
      </c>
      <c r="F3233">
        <v>0</v>
      </c>
      <c r="G3233" t="s">
        <v>93</v>
      </c>
      <c r="H3233">
        <v>-20.93</v>
      </c>
      <c r="I3233">
        <v>85</v>
      </c>
      <c r="J3233">
        <v>-48.43</v>
      </c>
      <c r="K3233">
        <v>96</v>
      </c>
      <c r="L3233">
        <v>34.17</v>
      </c>
      <c r="M3233">
        <v>73</v>
      </c>
      <c r="N3233">
        <v>-41.41</v>
      </c>
      <c r="O3233">
        <v>86</v>
      </c>
      <c r="P3233">
        <v>14.21</v>
      </c>
      <c r="Q3233">
        <v>95</v>
      </c>
      <c r="R3233">
        <v>7.18</v>
      </c>
      <c r="S3233">
        <v>77</v>
      </c>
      <c r="T3233">
        <v>25.22</v>
      </c>
      <c r="U3233">
        <v>90</v>
      </c>
      <c r="V3233">
        <v>-11.87</v>
      </c>
      <c r="W3233">
        <v>73</v>
      </c>
      <c r="X3233" t="s">
        <v>94</v>
      </c>
      <c r="Y3233" t="s">
        <v>95</v>
      </c>
      <c r="Z3233">
        <v>0</v>
      </c>
      <c r="AA3233" t="s">
        <v>1610</v>
      </c>
      <c r="AB3233" t="s">
        <v>1611</v>
      </c>
      <c r="AC3233">
        <v>108</v>
      </c>
      <c r="AD3233">
        <v>60</v>
      </c>
      <c r="AE3233">
        <v>96</v>
      </c>
      <c r="AF3233">
        <v>-252.25</v>
      </c>
      <c r="AG3233">
        <v>-11.5</v>
      </c>
      <c r="AH3233">
        <v>-8.0299999999999994</v>
      </c>
      <c r="AI3233">
        <v>-0.03</v>
      </c>
      <c r="AJ3233">
        <v>0.01</v>
      </c>
      <c r="AK3233">
        <v>73</v>
      </c>
      <c r="AL3233">
        <v>129</v>
      </c>
      <c r="AM3233">
        <v>67</v>
      </c>
      <c r="AN3233">
        <v>-1.45</v>
      </c>
      <c r="AO3233">
        <v>1.28</v>
      </c>
      <c r="AP3233">
        <v>168</v>
      </c>
      <c r="AQ3233">
        <v>2</v>
      </c>
      <c r="AR3233">
        <v>9.6</v>
      </c>
      <c r="AS3233">
        <v>75</v>
      </c>
      <c r="AT3233">
        <v>5.14</v>
      </c>
      <c r="AU3233">
        <v>85</v>
      </c>
      <c r="AV3233">
        <v>2.44</v>
      </c>
      <c r="AW3233">
        <v>95</v>
      </c>
      <c r="AX3233">
        <v>0.65</v>
      </c>
      <c r="AY3233">
        <v>86</v>
      </c>
      <c r="AZ3233">
        <v>5.61</v>
      </c>
      <c r="BA3233">
        <v>65</v>
      </c>
      <c r="BB3233">
        <v>3.67</v>
      </c>
      <c r="BC3233">
        <v>71</v>
      </c>
      <c r="BD3233">
        <v>-0.06</v>
      </c>
      <c r="BE3233">
        <v>-0.05</v>
      </c>
      <c r="BF3233">
        <v>0.03</v>
      </c>
      <c r="BG3233">
        <v>87</v>
      </c>
      <c r="BH3233">
        <v>-0.38</v>
      </c>
      <c r="BI3233">
        <v>-5.66</v>
      </c>
      <c r="BJ3233">
        <v>0</v>
      </c>
      <c r="BK3233">
        <v>0</v>
      </c>
      <c r="BL3233">
        <v>-1.03</v>
      </c>
      <c r="BM3233">
        <v>2.97</v>
      </c>
      <c r="BN3233">
        <v>-1.69</v>
      </c>
      <c r="BO3233">
        <v>-2.7</v>
      </c>
      <c r="BP3233">
        <v>4.04</v>
      </c>
      <c r="BQ3233">
        <v>-2.36</v>
      </c>
      <c r="BR3233">
        <v>-2.65</v>
      </c>
      <c r="BS3233">
        <v>-0.47</v>
      </c>
      <c r="BT3233">
        <v>2.37</v>
      </c>
      <c r="BU3233">
        <v>-3.72</v>
      </c>
      <c r="BV3233">
        <v>-4.26</v>
      </c>
      <c r="BW3233">
        <v>-3.23</v>
      </c>
      <c r="BX3233">
        <v>-2.81</v>
      </c>
      <c r="BY3233">
        <v>-1.68</v>
      </c>
      <c r="BZ3233">
        <v>0.96</v>
      </c>
      <c r="CA3233">
        <v>-2.5</v>
      </c>
      <c r="CB3233">
        <v>-3.32</v>
      </c>
      <c r="CC3233">
        <v>-0.1</v>
      </c>
      <c r="CD3233">
        <v>3.47</v>
      </c>
      <c r="CE3233">
        <v>-2.72</v>
      </c>
      <c r="CF3233">
        <v>-1.26</v>
      </c>
      <c r="CG3233">
        <v>0</v>
      </c>
      <c r="CH3233">
        <v>-2.81</v>
      </c>
      <c r="CI3233">
        <v>0</v>
      </c>
      <c r="CJ3233">
        <v>5.3</v>
      </c>
      <c r="CK3233">
        <v>96</v>
      </c>
      <c r="CL3233">
        <v>0.42</v>
      </c>
      <c r="CM3233">
        <v>95</v>
      </c>
      <c r="CN3233">
        <v>-0.36</v>
      </c>
      <c r="CO3233">
        <v>95</v>
      </c>
      <c r="CP3233">
        <v>-11</v>
      </c>
      <c r="CQ3233">
        <v>93</v>
      </c>
      <c r="CR3233">
        <v>0</v>
      </c>
      <c r="CS3233">
        <v>0</v>
      </c>
      <c r="CT3233">
        <v>-20.3</v>
      </c>
      <c r="CU3233">
        <v>90</v>
      </c>
      <c r="CV3233">
        <v>-0.17</v>
      </c>
      <c r="CW3233">
        <v>27</v>
      </c>
      <c r="CX3233" t="s">
        <v>1179</v>
      </c>
    </row>
    <row r="3234" spans="1:102" x14ac:dyDescent="0.3">
      <c r="A3234" t="str">
        <f>HYPERLINK("https://webapp.icbf.com/v2/app/bull-search/view/77854537","OAC")</f>
        <v>OAC</v>
      </c>
      <c r="B3234" t="s">
        <v>10789</v>
      </c>
      <c r="C3234" t="s">
        <v>10790</v>
      </c>
      <c r="D3234" s="1">
        <v>35530</v>
      </c>
      <c r="E3234" t="s">
        <v>92</v>
      </c>
      <c r="F3234">
        <v>100</v>
      </c>
      <c r="G3234" t="s">
        <v>93</v>
      </c>
      <c r="H3234">
        <v>-21.09</v>
      </c>
      <c r="I3234">
        <v>82</v>
      </c>
      <c r="J3234">
        <v>17.03</v>
      </c>
      <c r="K3234">
        <v>96</v>
      </c>
      <c r="L3234">
        <v>-64.77</v>
      </c>
      <c r="M3234">
        <v>72</v>
      </c>
      <c r="N3234">
        <v>26.02</v>
      </c>
      <c r="O3234">
        <v>73</v>
      </c>
      <c r="P3234">
        <v>-3.06</v>
      </c>
      <c r="Q3234">
        <v>87</v>
      </c>
      <c r="R3234">
        <v>-6.99</v>
      </c>
      <c r="S3234">
        <v>75</v>
      </c>
      <c r="T3234">
        <v>12.72</v>
      </c>
      <c r="U3234">
        <v>93</v>
      </c>
      <c r="V3234">
        <v>-2.04</v>
      </c>
      <c r="W3234">
        <v>52</v>
      </c>
      <c r="X3234" t="s">
        <v>94</v>
      </c>
      <c r="Y3234" t="s">
        <v>95</v>
      </c>
      <c r="Z3234" t="s">
        <v>96</v>
      </c>
      <c r="AA3234" t="s">
        <v>753</v>
      </c>
      <c r="AB3234" t="s">
        <v>10791</v>
      </c>
      <c r="AC3234">
        <v>127</v>
      </c>
      <c r="AD3234">
        <v>95</v>
      </c>
      <c r="AE3234">
        <v>96</v>
      </c>
      <c r="AF3234">
        <v>270.86</v>
      </c>
      <c r="AG3234">
        <v>2.72</v>
      </c>
      <c r="AH3234">
        <v>6.08</v>
      </c>
      <c r="AI3234">
        <v>-0.12</v>
      </c>
      <c r="AJ3234">
        <v>-0.05</v>
      </c>
      <c r="AK3234">
        <v>72</v>
      </c>
      <c r="AL3234">
        <v>124</v>
      </c>
      <c r="AM3234">
        <v>85</v>
      </c>
      <c r="AN3234">
        <v>3.94</v>
      </c>
      <c r="AO3234">
        <v>-1.22</v>
      </c>
      <c r="AP3234">
        <v>7</v>
      </c>
      <c r="AQ3234">
        <v>0</v>
      </c>
      <c r="AR3234">
        <v>6</v>
      </c>
      <c r="AS3234">
        <v>57</v>
      </c>
      <c r="AT3234">
        <v>2.27</v>
      </c>
      <c r="AU3234">
        <v>68</v>
      </c>
      <c r="AV3234">
        <v>-2.11</v>
      </c>
      <c r="AW3234">
        <v>80</v>
      </c>
      <c r="AX3234">
        <v>-0.24</v>
      </c>
      <c r="AY3234">
        <v>83</v>
      </c>
      <c r="AZ3234">
        <v>6.97</v>
      </c>
      <c r="BA3234">
        <v>61</v>
      </c>
      <c r="BB3234">
        <v>5.22</v>
      </c>
      <c r="BC3234">
        <v>66</v>
      </c>
      <c r="BD3234">
        <v>0.04</v>
      </c>
      <c r="BE3234">
        <v>0.06</v>
      </c>
      <c r="BF3234">
        <v>-0.02</v>
      </c>
      <c r="BG3234">
        <v>87</v>
      </c>
      <c r="BH3234">
        <v>0.14000000000000001</v>
      </c>
      <c r="BI3234">
        <v>22.77</v>
      </c>
      <c r="BJ3234">
        <v>37</v>
      </c>
      <c r="BK3234">
        <v>28</v>
      </c>
      <c r="BL3234">
        <v>0.25</v>
      </c>
      <c r="BM3234">
        <v>0.32</v>
      </c>
      <c r="BN3234">
        <v>-0.86</v>
      </c>
      <c r="BO3234">
        <v>-0.59</v>
      </c>
      <c r="BP3234">
        <v>-0.87</v>
      </c>
      <c r="BQ3234">
        <v>-1.04</v>
      </c>
      <c r="BR3234">
        <v>0.5</v>
      </c>
      <c r="BS3234">
        <v>-0.47</v>
      </c>
      <c r="BT3234">
        <v>-0.36</v>
      </c>
      <c r="BU3234">
        <v>1.08</v>
      </c>
      <c r="BV3234">
        <v>0.43</v>
      </c>
      <c r="BW3234">
        <v>-0.08</v>
      </c>
      <c r="BX3234">
        <v>0.59</v>
      </c>
      <c r="BY3234">
        <v>-0.69</v>
      </c>
      <c r="BZ3234">
        <v>0.4</v>
      </c>
      <c r="CA3234">
        <v>0.18</v>
      </c>
      <c r="CB3234">
        <v>0.65</v>
      </c>
      <c r="CC3234">
        <v>-1.1499999999999999</v>
      </c>
      <c r="CD3234">
        <v>0.98</v>
      </c>
      <c r="CE3234">
        <v>-0.89</v>
      </c>
      <c r="CF3234">
        <v>-0.87</v>
      </c>
      <c r="CG3234">
        <v>0</v>
      </c>
      <c r="CH3234">
        <v>0.71</v>
      </c>
      <c r="CI3234">
        <v>0</v>
      </c>
      <c r="CJ3234">
        <v>4.0999999999999996</v>
      </c>
      <c r="CK3234">
        <v>88</v>
      </c>
      <c r="CL3234">
        <v>-0.47</v>
      </c>
      <c r="CM3234">
        <v>86</v>
      </c>
      <c r="CN3234">
        <v>0.26</v>
      </c>
      <c r="CO3234">
        <v>85</v>
      </c>
      <c r="CP3234">
        <v>-5.5</v>
      </c>
      <c r="CQ3234">
        <v>92</v>
      </c>
      <c r="CR3234">
        <v>0</v>
      </c>
      <c r="CS3234">
        <v>0</v>
      </c>
      <c r="CT3234">
        <v>-3.4</v>
      </c>
      <c r="CU3234">
        <v>93</v>
      </c>
      <c r="CV3234">
        <v>0.23</v>
      </c>
      <c r="CW3234">
        <v>26</v>
      </c>
      <c r="CX3234" t="s">
        <v>485</v>
      </c>
    </row>
    <row r="3235" spans="1:102" x14ac:dyDescent="0.3">
      <c r="A3235" t="str">
        <f>HYPERLINK("https://webapp.icbf.com/v2/app/bull-search/view/933740553","S1202")</f>
        <v>S1202</v>
      </c>
      <c r="B3235" t="s">
        <v>8282</v>
      </c>
      <c r="C3235" t="s">
        <v>8283</v>
      </c>
      <c r="D3235" s="1">
        <v>38705</v>
      </c>
      <c r="E3235" t="s">
        <v>92</v>
      </c>
      <c r="F3235">
        <v>100</v>
      </c>
      <c r="G3235" t="s">
        <v>435</v>
      </c>
      <c r="H3235">
        <v>-21.19</v>
      </c>
      <c r="I3235">
        <v>72</v>
      </c>
      <c r="J3235">
        <v>26.07</v>
      </c>
      <c r="K3235">
        <v>89</v>
      </c>
      <c r="L3235">
        <v>-80.959999999999994</v>
      </c>
      <c r="M3235">
        <v>71</v>
      </c>
      <c r="N3235">
        <v>30.68</v>
      </c>
      <c r="O3235">
        <v>58</v>
      </c>
      <c r="P3235">
        <v>-18.8</v>
      </c>
      <c r="Q3235">
        <v>54</v>
      </c>
      <c r="R3235">
        <v>7.64</v>
      </c>
      <c r="S3235">
        <v>68</v>
      </c>
      <c r="T3235">
        <v>13.75</v>
      </c>
      <c r="U3235">
        <v>51</v>
      </c>
      <c r="V3235">
        <v>0.43</v>
      </c>
      <c r="W3235">
        <v>61</v>
      </c>
      <c r="X3235" t="s">
        <v>276</v>
      </c>
      <c r="Y3235" t="s">
        <v>336</v>
      </c>
      <c r="Z3235" t="s">
        <v>96</v>
      </c>
      <c r="AA3235" t="s">
        <v>309</v>
      </c>
      <c r="AB3235" t="s">
        <v>8284</v>
      </c>
      <c r="AC3235">
        <v>1</v>
      </c>
      <c r="AD3235">
        <v>1</v>
      </c>
      <c r="AE3235">
        <v>89</v>
      </c>
      <c r="AF3235">
        <v>192.96</v>
      </c>
      <c r="AG3235">
        <v>6.1</v>
      </c>
      <c r="AH3235">
        <v>5.23</v>
      </c>
      <c r="AI3235">
        <v>-0.03</v>
      </c>
      <c r="AJ3235">
        <v>-0.02</v>
      </c>
      <c r="AK3235">
        <v>71</v>
      </c>
      <c r="AL3235">
        <v>1</v>
      </c>
      <c r="AM3235">
        <v>1</v>
      </c>
      <c r="AN3235">
        <v>5.69</v>
      </c>
      <c r="AO3235">
        <v>-0.75</v>
      </c>
      <c r="AP3235">
        <v>5</v>
      </c>
      <c r="AQ3235">
        <v>0</v>
      </c>
      <c r="AR3235">
        <v>5.35</v>
      </c>
      <c r="AS3235">
        <v>60</v>
      </c>
      <c r="AT3235">
        <v>1.94</v>
      </c>
      <c r="AU3235">
        <v>72</v>
      </c>
      <c r="AV3235">
        <v>-2.15</v>
      </c>
      <c r="AW3235">
        <v>55</v>
      </c>
      <c r="AX3235">
        <v>-0.67</v>
      </c>
      <c r="AY3235">
        <v>51</v>
      </c>
      <c r="AZ3235">
        <v>6.26</v>
      </c>
      <c r="BA3235">
        <v>45</v>
      </c>
      <c r="BB3235">
        <v>5.49</v>
      </c>
      <c r="BC3235">
        <v>46</v>
      </c>
      <c r="BD3235">
        <v>-0.01</v>
      </c>
      <c r="BE3235">
        <v>-0.01</v>
      </c>
      <c r="BF3235">
        <v>-0.14000000000000001</v>
      </c>
      <c r="BG3235">
        <v>78</v>
      </c>
      <c r="BH3235">
        <v>0</v>
      </c>
      <c r="BI3235">
        <v>-1.39</v>
      </c>
      <c r="BJ3235">
        <v>0</v>
      </c>
      <c r="BK3235">
        <v>0</v>
      </c>
      <c r="BL3235">
        <v>0.37</v>
      </c>
      <c r="BM3235">
        <v>-1.1200000000000001</v>
      </c>
      <c r="BN3235">
        <v>0.01</v>
      </c>
      <c r="BO3235">
        <v>0.72</v>
      </c>
      <c r="BP3235">
        <v>-0.67</v>
      </c>
      <c r="BQ3235">
        <v>-1</v>
      </c>
      <c r="BR3235">
        <v>-2.31</v>
      </c>
      <c r="BS3235">
        <v>0.56999999999999995</v>
      </c>
      <c r="BT3235">
        <v>1.0900000000000001</v>
      </c>
      <c r="BU3235">
        <v>1.44</v>
      </c>
      <c r="BV3235">
        <v>1.3</v>
      </c>
      <c r="BW3235">
        <v>1.23</v>
      </c>
      <c r="BX3235">
        <v>0.95</v>
      </c>
      <c r="BY3235">
        <v>0.15</v>
      </c>
      <c r="BZ3235">
        <v>0.55000000000000004</v>
      </c>
      <c r="CA3235">
        <v>1.17</v>
      </c>
      <c r="CB3235">
        <v>1.1200000000000001</v>
      </c>
      <c r="CC3235">
        <v>0.9</v>
      </c>
      <c r="CD3235">
        <v>-0.83</v>
      </c>
      <c r="CE3235">
        <v>1.07</v>
      </c>
      <c r="CF3235">
        <v>0.65</v>
      </c>
      <c r="CG3235">
        <v>0</v>
      </c>
      <c r="CH3235">
        <v>0.83</v>
      </c>
      <c r="CI3235">
        <v>0</v>
      </c>
      <c r="CJ3235">
        <v>-7.1</v>
      </c>
      <c r="CK3235">
        <v>55</v>
      </c>
      <c r="CL3235">
        <v>-1.38</v>
      </c>
      <c r="CM3235">
        <v>54</v>
      </c>
      <c r="CN3235">
        <v>-0.56000000000000005</v>
      </c>
      <c r="CO3235">
        <v>54</v>
      </c>
      <c r="CP3235">
        <v>-8.8000000000000007</v>
      </c>
      <c r="CQ3235">
        <v>50</v>
      </c>
      <c r="CR3235">
        <v>0</v>
      </c>
      <c r="CS3235">
        <v>0</v>
      </c>
      <c r="CT3235">
        <v>-4.8</v>
      </c>
      <c r="CU3235">
        <v>51</v>
      </c>
      <c r="CV3235">
        <v>0.24</v>
      </c>
      <c r="CW3235">
        <v>37</v>
      </c>
      <c r="CX3235" t="s">
        <v>842</v>
      </c>
    </row>
    <row r="3236" spans="1:102" x14ac:dyDescent="0.3">
      <c r="A3236" t="str">
        <f>HYPERLINK("https://webapp.icbf.com/v2/app/bull-search/view/345264976","ODU")</f>
        <v>ODU</v>
      </c>
      <c r="B3236" t="s">
        <v>15661</v>
      </c>
      <c r="C3236" t="s">
        <v>15662</v>
      </c>
      <c r="D3236" s="1">
        <v>35422</v>
      </c>
      <c r="E3236" t="s">
        <v>2634</v>
      </c>
      <c r="F3236">
        <v>0</v>
      </c>
      <c r="G3236" t="s">
        <v>116</v>
      </c>
      <c r="H3236">
        <v>-21.41</v>
      </c>
      <c r="I3236">
        <v>32</v>
      </c>
      <c r="J3236">
        <v>-50.04</v>
      </c>
      <c r="K3236">
        <v>44</v>
      </c>
      <c r="L3236">
        <v>45.96</v>
      </c>
      <c r="M3236">
        <v>22</v>
      </c>
      <c r="N3236">
        <v>-32.19</v>
      </c>
      <c r="O3236">
        <v>24</v>
      </c>
      <c r="P3236">
        <v>4.32</v>
      </c>
      <c r="Q3236">
        <v>46</v>
      </c>
      <c r="R3236">
        <v>3.73</v>
      </c>
      <c r="S3236">
        <v>18</v>
      </c>
      <c r="T3236">
        <v>12.86</v>
      </c>
      <c r="U3236">
        <v>38</v>
      </c>
      <c r="V3236">
        <v>-6.05</v>
      </c>
      <c r="W3236">
        <v>15</v>
      </c>
      <c r="X3236" t="s">
        <v>276</v>
      </c>
      <c r="Y3236" t="s">
        <v>95</v>
      </c>
      <c r="Z3236">
        <v>0</v>
      </c>
      <c r="AA3236" t="s">
        <v>15249</v>
      </c>
      <c r="AB3236" t="s">
        <v>15402</v>
      </c>
      <c r="AC3236">
        <v>4</v>
      </c>
      <c r="AD3236">
        <v>3</v>
      </c>
      <c r="AE3236">
        <v>44</v>
      </c>
      <c r="AF3236">
        <v>-421.42</v>
      </c>
      <c r="AG3236">
        <v>-13.4</v>
      </c>
      <c r="AH3236">
        <v>-10.220000000000001</v>
      </c>
      <c r="AI3236">
        <v>0.05</v>
      </c>
      <c r="AJ3236">
        <v>0.08</v>
      </c>
      <c r="AK3236">
        <v>22</v>
      </c>
      <c r="AL3236">
        <v>5</v>
      </c>
      <c r="AM3236">
        <v>2</v>
      </c>
      <c r="AN3236">
        <v>-2.94</v>
      </c>
      <c r="AO3236">
        <v>0.72</v>
      </c>
      <c r="AP3236">
        <v>1</v>
      </c>
      <c r="AQ3236">
        <v>2</v>
      </c>
      <c r="AR3236">
        <v>11.81</v>
      </c>
      <c r="AS3236">
        <v>15</v>
      </c>
      <c r="AT3236">
        <v>5.08</v>
      </c>
      <c r="AU3236">
        <v>28</v>
      </c>
      <c r="AV3236">
        <v>0.78</v>
      </c>
      <c r="AW3236">
        <v>25</v>
      </c>
      <c r="AX3236">
        <v>-1.03</v>
      </c>
      <c r="AY3236">
        <v>33</v>
      </c>
      <c r="AZ3236">
        <v>5.44</v>
      </c>
      <c r="BA3236">
        <v>10</v>
      </c>
      <c r="BB3236">
        <v>3.91</v>
      </c>
      <c r="BC3236">
        <v>19</v>
      </c>
      <c r="BD3236">
        <v>-0.01</v>
      </c>
      <c r="BE3236">
        <v>-0.01</v>
      </c>
      <c r="BF3236">
        <v>-0.05</v>
      </c>
      <c r="BG3236">
        <v>21</v>
      </c>
      <c r="BH3236">
        <v>-0.16</v>
      </c>
      <c r="BI3236">
        <v>1.01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v>0</v>
      </c>
      <c r="BV3236">
        <v>0</v>
      </c>
      <c r="BW3236">
        <v>0</v>
      </c>
      <c r="BX3236">
        <v>0</v>
      </c>
      <c r="BY3236">
        <v>0</v>
      </c>
      <c r="BZ3236">
        <v>0</v>
      </c>
      <c r="CA3236">
        <v>0</v>
      </c>
      <c r="CB3236">
        <v>0</v>
      </c>
      <c r="CC3236">
        <v>0</v>
      </c>
      <c r="CD3236">
        <v>0</v>
      </c>
      <c r="CE3236">
        <v>0</v>
      </c>
      <c r="CF3236">
        <v>0</v>
      </c>
      <c r="CG3236">
        <v>0</v>
      </c>
      <c r="CH3236">
        <v>0</v>
      </c>
      <c r="CI3236">
        <v>0</v>
      </c>
      <c r="CJ3236">
        <v>-0.1</v>
      </c>
      <c r="CK3236">
        <v>48</v>
      </c>
      <c r="CL3236">
        <v>0.25</v>
      </c>
      <c r="CM3236">
        <v>45</v>
      </c>
      <c r="CN3236">
        <v>-0.15</v>
      </c>
      <c r="CO3236">
        <v>42</v>
      </c>
      <c r="CP3236">
        <v>0.8</v>
      </c>
      <c r="CQ3236">
        <v>46</v>
      </c>
      <c r="CR3236">
        <v>0</v>
      </c>
      <c r="CS3236">
        <v>0</v>
      </c>
      <c r="CT3236">
        <v>-3.6</v>
      </c>
      <c r="CU3236">
        <v>38</v>
      </c>
      <c r="CV3236">
        <v>-0.25</v>
      </c>
      <c r="CW3236">
        <v>12</v>
      </c>
      <c r="CX3236">
        <v>0</v>
      </c>
    </row>
    <row r="3237" spans="1:102" x14ac:dyDescent="0.3">
      <c r="A3237" t="str">
        <f>HYPERLINK("https://webapp.icbf.com/v2/app/bull-search/view/69091327","CDO")</f>
        <v>CDO</v>
      </c>
      <c r="B3237" t="s">
        <v>1339</v>
      </c>
      <c r="C3237" t="s">
        <v>1177</v>
      </c>
      <c r="D3237" s="1">
        <v>32028</v>
      </c>
      <c r="E3237" t="s">
        <v>140</v>
      </c>
      <c r="F3237">
        <v>0</v>
      </c>
      <c r="G3237" t="s">
        <v>93</v>
      </c>
      <c r="H3237">
        <v>-21.51</v>
      </c>
      <c r="I3237">
        <v>86</v>
      </c>
      <c r="J3237">
        <v>-20.72</v>
      </c>
      <c r="K3237">
        <v>95</v>
      </c>
      <c r="L3237">
        <v>44.3</v>
      </c>
      <c r="M3237">
        <v>78</v>
      </c>
      <c r="N3237">
        <v>-66.38</v>
      </c>
      <c r="O3237">
        <v>85</v>
      </c>
      <c r="P3237">
        <v>19</v>
      </c>
      <c r="Q3237">
        <v>93</v>
      </c>
      <c r="R3237">
        <v>9.92</v>
      </c>
      <c r="S3237">
        <v>80</v>
      </c>
      <c r="T3237">
        <v>3.32</v>
      </c>
      <c r="U3237">
        <v>92</v>
      </c>
      <c r="V3237">
        <v>-10.95</v>
      </c>
      <c r="W3237">
        <v>71</v>
      </c>
      <c r="X3237" t="s">
        <v>110</v>
      </c>
      <c r="Y3237" t="s">
        <v>95</v>
      </c>
      <c r="Z3237">
        <v>0</v>
      </c>
      <c r="AA3237" t="s">
        <v>763</v>
      </c>
      <c r="AB3237" t="s">
        <v>1340</v>
      </c>
      <c r="AC3237">
        <v>100</v>
      </c>
      <c r="AD3237">
        <v>56</v>
      </c>
      <c r="AE3237">
        <v>95</v>
      </c>
      <c r="AF3237">
        <v>-117.82</v>
      </c>
      <c r="AG3237">
        <v>-8.19</v>
      </c>
      <c r="AH3237">
        <v>-2.4300000000000002</v>
      </c>
      <c r="AI3237">
        <v>-0.06</v>
      </c>
      <c r="AJ3237">
        <v>0.03</v>
      </c>
      <c r="AK3237">
        <v>78</v>
      </c>
      <c r="AL3237">
        <v>117</v>
      </c>
      <c r="AM3237">
        <v>61</v>
      </c>
      <c r="AN3237">
        <v>-1.85</v>
      </c>
      <c r="AO3237">
        <v>1.69</v>
      </c>
      <c r="AP3237">
        <v>15</v>
      </c>
      <c r="AQ3237">
        <v>0</v>
      </c>
      <c r="AR3237">
        <v>14.97</v>
      </c>
      <c r="AS3237">
        <v>70</v>
      </c>
      <c r="AT3237">
        <v>6.02</v>
      </c>
      <c r="AU3237">
        <v>83</v>
      </c>
      <c r="AV3237">
        <v>1.8</v>
      </c>
      <c r="AW3237">
        <v>93</v>
      </c>
      <c r="AX3237">
        <v>-0.09</v>
      </c>
      <c r="AY3237">
        <v>88</v>
      </c>
      <c r="AZ3237">
        <v>4.75</v>
      </c>
      <c r="BA3237">
        <v>67</v>
      </c>
      <c r="BB3237">
        <v>3.32</v>
      </c>
      <c r="BC3237">
        <v>78</v>
      </c>
      <c r="BD3237">
        <v>0.03</v>
      </c>
      <c r="BE3237">
        <v>-0.02</v>
      </c>
      <c r="BF3237">
        <v>-0.24</v>
      </c>
      <c r="BG3237">
        <v>90</v>
      </c>
      <c r="BH3237">
        <v>-0.27</v>
      </c>
      <c r="BI3237">
        <v>4.08</v>
      </c>
      <c r="BJ3237">
        <v>0</v>
      </c>
      <c r="BK3237">
        <v>0</v>
      </c>
      <c r="BL3237">
        <v>-1.06</v>
      </c>
      <c r="BM3237">
        <v>3.35</v>
      </c>
      <c r="BN3237">
        <v>-1.77</v>
      </c>
      <c r="BO3237">
        <v>-3.02</v>
      </c>
      <c r="BP3237">
        <v>4.38</v>
      </c>
      <c r="BQ3237">
        <v>-2.4</v>
      </c>
      <c r="BR3237">
        <v>-2.74</v>
      </c>
      <c r="BS3237">
        <v>-0.56999999999999995</v>
      </c>
      <c r="BT3237">
        <v>2.68</v>
      </c>
      <c r="BU3237">
        <v>-3.41</v>
      </c>
      <c r="BV3237">
        <v>-3.68</v>
      </c>
      <c r="BW3237">
        <v>-2.76</v>
      </c>
      <c r="BX3237">
        <v>-2.88</v>
      </c>
      <c r="BY3237">
        <v>-2.34</v>
      </c>
      <c r="BZ3237">
        <v>1.1200000000000001</v>
      </c>
      <c r="CA3237">
        <v>-2.29</v>
      </c>
      <c r="CB3237">
        <v>-2.93</v>
      </c>
      <c r="CC3237">
        <v>-0.38</v>
      </c>
      <c r="CD3237">
        <v>3.92</v>
      </c>
      <c r="CE3237">
        <v>-2.92</v>
      </c>
      <c r="CF3237">
        <v>-1.29</v>
      </c>
      <c r="CG3237">
        <v>0</v>
      </c>
      <c r="CH3237">
        <v>-2.4</v>
      </c>
      <c r="CI3237">
        <v>0</v>
      </c>
      <c r="CJ3237">
        <v>6.6</v>
      </c>
      <c r="CK3237">
        <v>93</v>
      </c>
      <c r="CL3237">
        <v>0.55000000000000004</v>
      </c>
      <c r="CM3237">
        <v>92</v>
      </c>
      <c r="CN3237">
        <v>-0.24</v>
      </c>
      <c r="CO3237">
        <v>91</v>
      </c>
      <c r="CP3237">
        <v>9.4</v>
      </c>
      <c r="CQ3237">
        <v>93</v>
      </c>
      <c r="CR3237">
        <v>0</v>
      </c>
      <c r="CS3237">
        <v>0</v>
      </c>
      <c r="CT3237">
        <v>9.3000000000000007</v>
      </c>
      <c r="CU3237">
        <v>92</v>
      </c>
      <c r="CV3237">
        <v>-0.17</v>
      </c>
      <c r="CW3237">
        <v>27</v>
      </c>
      <c r="CX3237" t="s">
        <v>1341</v>
      </c>
    </row>
    <row r="3238" spans="1:102" x14ac:dyDescent="0.3">
      <c r="A3238" t="str">
        <f>HYPERLINK("https://webapp.icbf.com/v2/app/bull-search/view/120554544","VEO")</f>
        <v>VEO</v>
      </c>
      <c r="B3238" t="s">
        <v>15382</v>
      </c>
      <c r="C3238" t="s">
        <v>1418</v>
      </c>
      <c r="D3238" s="1">
        <v>36763</v>
      </c>
      <c r="E3238" t="s">
        <v>92</v>
      </c>
      <c r="F3238">
        <v>97</v>
      </c>
      <c r="G3238" t="s">
        <v>93</v>
      </c>
      <c r="H3238">
        <v>-21.6</v>
      </c>
      <c r="I3238">
        <v>98</v>
      </c>
      <c r="J3238">
        <v>28.72</v>
      </c>
      <c r="K3238">
        <v>99</v>
      </c>
      <c r="L3238">
        <v>-72.41</v>
      </c>
      <c r="M3238">
        <v>97</v>
      </c>
      <c r="N3238">
        <v>20.38</v>
      </c>
      <c r="O3238">
        <v>99</v>
      </c>
      <c r="P3238">
        <v>-8.91</v>
      </c>
      <c r="Q3238">
        <v>99</v>
      </c>
      <c r="R3238">
        <v>11.82</v>
      </c>
      <c r="S3238">
        <v>99</v>
      </c>
      <c r="T3238">
        <v>4.87</v>
      </c>
      <c r="U3238">
        <v>99</v>
      </c>
      <c r="V3238">
        <v>-6.07</v>
      </c>
      <c r="W3238">
        <v>99</v>
      </c>
      <c r="X3238" t="s">
        <v>94</v>
      </c>
      <c r="Y3238" t="s">
        <v>95</v>
      </c>
      <c r="Z3238" t="s">
        <v>96</v>
      </c>
      <c r="AA3238" t="s">
        <v>2570</v>
      </c>
      <c r="AB3238" t="s">
        <v>15383</v>
      </c>
      <c r="AC3238">
        <v>5567</v>
      </c>
      <c r="AD3238">
        <v>1844</v>
      </c>
      <c r="AE3238">
        <v>99</v>
      </c>
      <c r="AF3238">
        <v>-87.25</v>
      </c>
      <c r="AG3238">
        <v>2.85</v>
      </c>
      <c r="AH3238">
        <v>2.54</v>
      </c>
      <c r="AI3238">
        <v>0.11</v>
      </c>
      <c r="AJ3238">
        <v>0.1</v>
      </c>
      <c r="AK3238">
        <v>97</v>
      </c>
      <c r="AL3238">
        <v>6388</v>
      </c>
      <c r="AM3238">
        <v>2383</v>
      </c>
      <c r="AN3238">
        <v>2.77</v>
      </c>
      <c r="AO3238">
        <v>-3.02</v>
      </c>
      <c r="AP3238">
        <v>10357</v>
      </c>
      <c r="AQ3238">
        <v>61</v>
      </c>
      <c r="AR3238">
        <v>7.54</v>
      </c>
      <c r="AS3238">
        <v>99</v>
      </c>
      <c r="AT3238">
        <v>3.02</v>
      </c>
      <c r="AU3238">
        <v>99</v>
      </c>
      <c r="AV3238">
        <v>-2.0099999999999998</v>
      </c>
      <c r="AW3238">
        <v>99</v>
      </c>
      <c r="AX3238">
        <v>-0.56000000000000005</v>
      </c>
      <c r="AY3238">
        <v>99</v>
      </c>
      <c r="AZ3238">
        <v>5.26</v>
      </c>
      <c r="BA3238">
        <v>98</v>
      </c>
      <c r="BB3238">
        <v>4.96</v>
      </c>
      <c r="BC3238">
        <v>99</v>
      </c>
      <c r="BD3238">
        <v>-0.04</v>
      </c>
      <c r="BE3238">
        <v>-0.05</v>
      </c>
      <c r="BF3238">
        <v>-0.11</v>
      </c>
      <c r="BG3238">
        <v>99</v>
      </c>
      <c r="BH3238">
        <v>-0.1</v>
      </c>
      <c r="BI3238">
        <v>8.01</v>
      </c>
      <c r="BJ3238">
        <v>231</v>
      </c>
      <c r="BK3238">
        <v>127</v>
      </c>
      <c r="BL3238">
        <v>0.18</v>
      </c>
      <c r="BM3238">
        <v>1.31</v>
      </c>
      <c r="BN3238">
        <v>0.75</v>
      </c>
      <c r="BO3238">
        <v>-0.22</v>
      </c>
      <c r="BP3238">
        <v>-2.06</v>
      </c>
      <c r="BQ3238">
        <v>-0.51</v>
      </c>
      <c r="BR3238">
        <v>-1.83</v>
      </c>
      <c r="BS3238">
        <v>1.06</v>
      </c>
      <c r="BT3238">
        <v>1.23</v>
      </c>
      <c r="BU3238">
        <v>0.45</v>
      </c>
      <c r="BV3238">
        <v>0.15</v>
      </c>
      <c r="BW3238">
        <v>0.26</v>
      </c>
      <c r="BX3238">
        <v>0.23</v>
      </c>
      <c r="BY3238">
        <v>0.98</v>
      </c>
      <c r="BZ3238">
        <v>0.04</v>
      </c>
      <c r="CA3238">
        <v>1.1100000000000001</v>
      </c>
      <c r="CB3238">
        <v>0.7</v>
      </c>
      <c r="CC3238">
        <v>1.45</v>
      </c>
      <c r="CD3238">
        <v>0.15</v>
      </c>
      <c r="CE3238">
        <v>-0.25</v>
      </c>
      <c r="CF3238">
        <v>0.41</v>
      </c>
      <c r="CG3238">
        <v>0</v>
      </c>
      <c r="CH3238">
        <v>1.01</v>
      </c>
      <c r="CI3238">
        <v>0</v>
      </c>
      <c r="CJ3238">
        <v>-1.8</v>
      </c>
      <c r="CK3238">
        <v>99</v>
      </c>
      <c r="CL3238">
        <v>-0.81</v>
      </c>
      <c r="CM3238">
        <v>99</v>
      </c>
      <c r="CN3238">
        <v>-0.21</v>
      </c>
      <c r="CO3238">
        <v>99</v>
      </c>
      <c r="CP3238">
        <v>-3.5</v>
      </c>
      <c r="CQ3238">
        <v>99</v>
      </c>
      <c r="CR3238">
        <v>0</v>
      </c>
      <c r="CS3238">
        <v>0</v>
      </c>
      <c r="CT3238">
        <v>7.2</v>
      </c>
      <c r="CU3238">
        <v>99</v>
      </c>
      <c r="CV3238">
        <v>0.21</v>
      </c>
      <c r="CW3238">
        <v>47</v>
      </c>
      <c r="CX3238" t="s">
        <v>753</v>
      </c>
    </row>
    <row r="3239" spans="1:102" x14ac:dyDescent="0.3">
      <c r="A3239" t="str">
        <f>HYPERLINK("https://webapp.icbf.com/v2/app/bull-search/view/381913110","EAZ")</f>
        <v>EAZ</v>
      </c>
      <c r="B3239" t="s">
        <v>14420</v>
      </c>
      <c r="C3239" t="s">
        <v>14421</v>
      </c>
      <c r="D3239" s="1">
        <v>35779</v>
      </c>
      <c r="E3239" t="s">
        <v>92</v>
      </c>
      <c r="F3239">
        <v>100</v>
      </c>
      <c r="G3239" t="s">
        <v>93</v>
      </c>
      <c r="H3239">
        <v>-21.76</v>
      </c>
      <c r="I3239">
        <v>92</v>
      </c>
      <c r="J3239">
        <v>-0.88</v>
      </c>
      <c r="K3239">
        <v>98</v>
      </c>
      <c r="L3239">
        <v>-23.42</v>
      </c>
      <c r="M3239">
        <v>90</v>
      </c>
      <c r="N3239">
        <v>10.76</v>
      </c>
      <c r="O3239">
        <v>89</v>
      </c>
      <c r="P3239">
        <v>-5.04</v>
      </c>
      <c r="Q3239">
        <v>94</v>
      </c>
      <c r="R3239">
        <v>8.86</v>
      </c>
      <c r="S3239">
        <v>85</v>
      </c>
      <c r="T3239">
        <v>1.17</v>
      </c>
      <c r="U3239">
        <v>91</v>
      </c>
      <c r="V3239">
        <v>-13.21</v>
      </c>
      <c r="W3239">
        <v>81</v>
      </c>
      <c r="X3239" t="s">
        <v>102</v>
      </c>
      <c r="Y3239" t="s">
        <v>95</v>
      </c>
      <c r="Z3239" t="s">
        <v>96</v>
      </c>
      <c r="AA3239" t="s">
        <v>3195</v>
      </c>
      <c r="AB3239" t="s">
        <v>14422</v>
      </c>
      <c r="AC3239">
        <v>199</v>
      </c>
      <c r="AD3239">
        <v>64</v>
      </c>
      <c r="AE3239">
        <v>98</v>
      </c>
      <c r="AF3239">
        <v>133.44</v>
      </c>
      <c r="AG3239">
        <v>-0.67</v>
      </c>
      <c r="AH3239">
        <v>2.13</v>
      </c>
      <c r="AI3239">
        <v>-0.1</v>
      </c>
      <c r="AJ3239">
        <v>-0.04</v>
      </c>
      <c r="AK3239">
        <v>90</v>
      </c>
      <c r="AL3239">
        <v>194</v>
      </c>
      <c r="AM3239">
        <v>68</v>
      </c>
      <c r="AN3239">
        <v>1.07</v>
      </c>
      <c r="AO3239">
        <v>-0.8</v>
      </c>
      <c r="AP3239">
        <v>345</v>
      </c>
      <c r="AQ3239">
        <v>1</v>
      </c>
      <c r="AR3239">
        <v>7.26</v>
      </c>
      <c r="AS3239">
        <v>83</v>
      </c>
      <c r="AT3239">
        <v>2.98</v>
      </c>
      <c r="AU3239">
        <v>93</v>
      </c>
      <c r="AV3239">
        <v>-0.84</v>
      </c>
      <c r="AW3239">
        <v>94</v>
      </c>
      <c r="AX3239">
        <v>-0.19</v>
      </c>
      <c r="AY3239">
        <v>89</v>
      </c>
      <c r="AZ3239">
        <v>5.58</v>
      </c>
      <c r="BA3239">
        <v>74</v>
      </c>
      <c r="BB3239">
        <v>4.97</v>
      </c>
      <c r="BC3239">
        <v>75</v>
      </c>
      <c r="BD3239">
        <v>-0.01</v>
      </c>
      <c r="BE3239">
        <v>-0.03</v>
      </c>
      <c r="BF3239">
        <v>-0.13</v>
      </c>
      <c r="BG3239">
        <v>93</v>
      </c>
      <c r="BH3239">
        <v>-0.28999999999999998</v>
      </c>
      <c r="BI3239">
        <v>9.06</v>
      </c>
      <c r="BJ3239">
        <v>51</v>
      </c>
      <c r="BK3239">
        <v>13</v>
      </c>
      <c r="BL3239">
        <v>1.26</v>
      </c>
      <c r="BM3239">
        <v>0.03</v>
      </c>
      <c r="BN3239">
        <v>0.4</v>
      </c>
      <c r="BO3239">
        <v>0.31</v>
      </c>
      <c r="BP3239">
        <v>1.28</v>
      </c>
      <c r="BQ3239">
        <v>-0.33</v>
      </c>
      <c r="BR3239">
        <v>0.89</v>
      </c>
      <c r="BS3239">
        <v>-1.9</v>
      </c>
      <c r="BT3239">
        <v>-0.7</v>
      </c>
      <c r="BU3239">
        <v>0.2</v>
      </c>
      <c r="BV3239">
        <v>0.56999999999999995</v>
      </c>
      <c r="BW3239">
        <v>1.39</v>
      </c>
      <c r="BX3239">
        <v>1.35</v>
      </c>
      <c r="BY3239">
        <v>-0.89</v>
      </c>
      <c r="BZ3239">
        <v>3.78</v>
      </c>
      <c r="CA3239">
        <v>-0.01</v>
      </c>
      <c r="CB3239">
        <v>0.22</v>
      </c>
      <c r="CC3239">
        <v>-0.82</v>
      </c>
      <c r="CD3239">
        <v>-0.14000000000000001</v>
      </c>
      <c r="CE3239">
        <v>0.38</v>
      </c>
      <c r="CF3239">
        <v>0.66</v>
      </c>
      <c r="CG3239">
        <v>0</v>
      </c>
      <c r="CH3239">
        <v>-1.05</v>
      </c>
      <c r="CI3239">
        <v>0</v>
      </c>
      <c r="CJ3239">
        <v>-0.2</v>
      </c>
      <c r="CK3239">
        <v>94</v>
      </c>
      <c r="CL3239">
        <v>-1.03</v>
      </c>
      <c r="CM3239">
        <v>93</v>
      </c>
      <c r="CN3239">
        <v>-0.45</v>
      </c>
      <c r="CO3239">
        <v>92</v>
      </c>
      <c r="CP3239">
        <v>4</v>
      </c>
      <c r="CQ3239">
        <v>94</v>
      </c>
      <c r="CR3239">
        <v>0</v>
      </c>
      <c r="CS3239">
        <v>0</v>
      </c>
      <c r="CT3239">
        <v>12.2</v>
      </c>
      <c r="CU3239">
        <v>91</v>
      </c>
      <c r="CV3239">
        <v>0.28999999999999998</v>
      </c>
      <c r="CW3239">
        <v>44</v>
      </c>
      <c r="CX3239" t="s">
        <v>161</v>
      </c>
    </row>
    <row r="3240" spans="1:102" x14ac:dyDescent="0.3">
      <c r="A3240" t="str">
        <f>HYPERLINK("https://webapp.icbf.com/v2/app/bull-search/view/77856241","IVG")</f>
        <v>IVG</v>
      </c>
      <c r="B3240" t="s">
        <v>11347</v>
      </c>
      <c r="C3240" t="s">
        <v>11348</v>
      </c>
      <c r="D3240" s="1">
        <v>34174</v>
      </c>
      <c r="E3240" t="s">
        <v>92</v>
      </c>
      <c r="F3240">
        <v>100</v>
      </c>
      <c r="G3240" t="s">
        <v>93</v>
      </c>
      <c r="H3240">
        <v>-21.78</v>
      </c>
      <c r="I3240">
        <v>69</v>
      </c>
      <c r="J3240">
        <v>-36.049999999999997</v>
      </c>
      <c r="K3240">
        <v>92</v>
      </c>
      <c r="L3240">
        <v>26.43</v>
      </c>
      <c r="M3240">
        <v>59</v>
      </c>
      <c r="N3240">
        <v>3.82</v>
      </c>
      <c r="O3240">
        <v>52</v>
      </c>
      <c r="P3240">
        <v>-10.52</v>
      </c>
      <c r="Q3240">
        <v>69</v>
      </c>
      <c r="R3240">
        <v>-6.76</v>
      </c>
      <c r="S3240">
        <v>64</v>
      </c>
      <c r="T3240">
        <v>2.73</v>
      </c>
      <c r="U3240">
        <v>61</v>
      </c>
      <c r="V3240">
        <v>-1.43</v>
      </c>
      <c r="W3240">
        <v>32</v>
      </c>
      <c r="X3240" t="s">
        <v>94</v>
      </c>
      <c r="Y3240" t="s">
        <v>95</v>
      </c>
      <c r="Z3240" t="s">
        <v>96</v>
      </c>
      <c r="AA3240" t="s">
        <v>1488</v>
      </c>
      <c r="AB3240" t="s">
        <v>11349</v>
      </c>
      <c r="AC3240">
        <v>57</v>
      </c>
      <c r="AD3240">
        <v>54</v>
      </c>
      <c r="AE3240">
        <v>92</v>
      </c>
      <c r="AF3240">
        <v>330</v>
      </c>
      <c r="AG3240">
        <v>-10.91</v>
      </c>
      <c r="AH3240">
        <v>2.78</v>
      </c>
      <c r="AI3240">
        <v>-0.37</v>
      </c>
      <c r="AJ3240">
        <v>-0.13</v>
      </c>
      <c r="AK3240">
        <v>59</v>
      </c>
      <c r="AL3240">
        <v>63</v>
      </c>
      <c r="AM3240">
        <v>51</v>
      </c>
      <c r="AN3240">
        <v>-0.46</v>
      </c>
      <c r="AO3240">
        <v>1.66</v>
      </c>
      <c r="AP3240">
        <v>1</v>
      </c>
      <c r="AQ3240">
        <v>0</v>
      </c>
      <c r="AR3240">
        <v>7.34</v>
      </c>
      <c r="AS3240">
        <v>26</v>
      </c>
      <c r="AT3240">
        <v>3.34</v>
      </c>
      <c r="AU3240">
        <v>46</v>
      </c>
      <c r="AV3240">
        <v>-0.35</v>
      </c>
      <c r="AW3240">
        <v>64</v>
      </c>
      <c r="AX3240">
        <v>-0.25</v>
      </c>
      <c r="AY3240">
        <v>63</v>
      </c>
      <c r="AZ3240">
        <v>5.78</v>
      </c>
      <c r="BA3240">
        <v>27</v>
      </c>
      <c r="BB3240">
        <v>4.87</v>
      </c>
      <c r="BC3240">
        <v>42</v>
      </c>
      <c r="BD3240">
        <v>0.05</v>
      </c>
      <c r="BE3240">
        <v>0.08</v>
      </c>
      <c r="BF3240">
        <v>-0.08</v>
      </c>
      <c r="BG3240">
        <v>80</v>
      </c>
      <c r="BH3240">
        <v>-0.02</v>
      </c>
      <c r="BI3240">
        <v>2.29</v>
      </c>
      <c r="BJ3240">
        <v>21</v>
      </c>
      <c r="BK3240">
        <v>20</v>
      </c>
      <c r="BL3240">
        <v>0.52</v>
      </c>
      <c r="BM3240">
        <v>0.69</v>
      </c>
      <c r="BN3240">
        <v>0.23</v>
      </c>
      <c r="BO3240">
        <v>-0.1</v>
      </c>
      <c r="BP3240">
        <v>-0.05</v>
      </c>
      <c r="BQ3240">
        <v>0.93</v>
      </c>
      <c r="BR3240">
        <v>-0.21</v>
      </c>
      <c r="BS3240">
        <v>0.14000000000000001</v>
      </c>
      <c r="BT3240">
        <v>0.28999999999999998</v>
      </c>
      <c r="BU3240">
        <v>-1.2</v>
      </c>
      <c r="BV3240">
        <v>-1.56</v>
      </c>
      <c r="BW3240">
        <v>-1.07</v>
      </c>
      <c r="BX3240">
        <v>-0.52</v>
      </c>
      <c r="BY3240">
        <v>-1.21</v>
      </c>
      <c r="BZ3240">
        <v>2.23</v>
      </c>
      <c r="CA3240">
        <v>-0.66</v>
      </c>
      <c r="CB3240">
        <v>-1</v>
      </c>
      <c r="CC3240">
        <v>0.42</v>
      </c>
      <c r="CD3240">
        <v>0.15</v>
      </c>
      <c r="CE3240">
        <v>-0.11</v>
      </c>
      <c r="CF3240">
        <v>0.56999999999999995</v>
      </c>
      <c r="CG3240">
        <v>0</v>
      </c>
      <c r="CH3240">
        <v>-1.44</v>
      </c>
      <c r="CI3240">
        <v>0</v>
      </c>
      <c r="CJ3240">
        <v>-4.0999999999999996</v>
      </c>
      <c r="CK3240">
        <v>70</v>
      </c>
      <c r="CL3240">
        <v>-0.7</v>
      </c>
      <c r="CM3240">
        <v>67</v>
      </c>
      <c r="CN3240">
        <v>-0.13</v>
      </c>
      <c r="CO3240">
        <v>62</v>
      </c>
      <c r="CP3240">
        <v>5.6</v>
      </c>
      <c r="CQ3240">
        <v>79</v>
      </c>
      <c r="CR3240">
        <v>0</v>
      </c>
      <c r="CS3240">
        <v>0</v>
      </c>
      <c r="CT3240">
        <v>10.1</v>
      </c>
      <c r="CU3240">
        <v>61</v>
      </c>
      <c r="CV3240">
        <v>0.13</v>
      </c>
      <c r="CW3240">
        <v>19</v>
      </c>
      <c r="CX3240" t="s">
        <v>154</v>
      </c>
    </row>
    <row r="3241" spans="1:102" x14ac:dyDescent="0.3">
      <c r="A3241" t="str">
        <f>HYPERLINK("https://webapp.icbf.com/v2/app/bull-search/view/130499599","ETO")</f>
        <v>ETO</v>
      </c>
      <c r="B3241" t="s">
        <v>1024</v>
      </c>
      <c r="C3241" t="s">
        <v>1025</v>
      </c>
      <c r="D3241" s="1">
        <v>34710</v>
      </c>
      <c r="E3241" t="s">
        <v>92</v>
      </c>
      <c r="F3241">
        <v>100</v>
      </c>
      <c r="G3241" t="s">
        <v>93</v>
      </c>
      <c r="H3241">
        <v>-21.87</v>
      </c>
      <c r="I3241">
        <v>78</v>
      </c>
      <c r="J3241">
        <v>-22.78</v>
      </c>
      <c r="K3241">
        <v>95</v>
      </c>
      <c r="L3241">
        <v>12.41</v>
      </c>
      <c r="M3241">
        <v>69</v>
      </c>
      <c r="N3241">
        <v>-16.79</v>
      </c>
      <c r="O3241">
        <v>67</v>
      </c>
      <c r="P3241">
        <v>-4.1900000000000004</v>
      </c>
      <c r="Q3241">
        <v>84</v>
      </c>
      <c r="R3241">
        <v>-6.89</v>
      </c>
      <c r="S3241">
        <v>71</v>
      </c>
      <c r="T3241">
        <v>11.98</v>
      </c>
      <c r="U3241">
        <v>76</v>
      </c>
      <c r="V3241">
        <v>4.3899999999999997</v>
      </c>
      <c r="W3241">
        <v>44</v>
      </c>
      <c r="X3241" t="s">
        <v>110</v>
      </c>
      <c r="Y3241" t="s">
        <v>95</v>
      </c>
      <c r="Z3241" t="s">
        <v>96</v>
      </c>
      <c r="AA3241" t="s">
        <v>743</v>
      </c>
      <c r="AB3241" t="s">
        <v>1026</v>
      </c>
      <c r="AC3241">
        <v>90</v>
      </c>
      <c r="AD3241">
        <v>72</v>
      </c>
      <c r="AE3241">
        <v>95</v>
      </c>
      <c r="AF3241">
        <v>65.37</v>
      </c>
      <c r="AG3241">
        <v>-7.19</v>
      </c>
      <c r="AH3241">
        <v>-0.33</v>
      </c>
      <c r="AI3241">
        <v>-0.16</v>
      </c>
      <c r="AJ3241">
        <v>-0.04</v>
      </c>
      <c r="AK3241">
        <v>69</v>
      </c>
      <c r="AL3241">
        <v>105</v>
      </c>
      <c r="AM3241">
        <v>80</v>
      </c>
      <c r="AN3241">
        <v>0.15</v>
      </c>
      <c r="AO3241">
        <v>1.1499999999999999</v>
      </c>
      <c r="AP3241">
        <v>8</v>
      </c>
      <c r="AQ3241">
        <v>2</v>
      </c>
      <c r="AR3241">
        <v>10.76</v>
      </c>
      <c r="AS3241">
        <v>38</v>
      </c>
      <c r="AT3241">
        <v>4.63</v>
      </c>
      <c r="AU3241">
        <v>63</v>
      </c>
      <c r="AV3241">
        <v>-0.63</v>
      </c>
      <c r="AW3241">
        <v>77</v>
      </c>
      <c r="AX3241">
        <v>0.38</v>
      </c>
      <c r="AY3241">
        <v>79</v>
      </c>
      <c r="AZ3241">
        <v>5.23</v>
      </c>
      <c r="BA3241">
        <v>41</v>
      </c>
      <c r="BB3241">
        <v>4.37</v>
      </c>
      <c r="BC3241">
        <v>60</v>
      </c>
      <c r="BD3241">
        <v>0.02</v>
      </c>
      <c r="BE3241">
        <v>0.05</v>
      </c>
      <c r="BF3241">
        <v>0.03</v>
      </c>
      <c r="BG3241">
        <v>86</v>
      </c>
      <c r="BH3241">
        <v>0.17</v>
      </c>
      <c r="BI3241">
        <v>5.51</v>
      </c>
      <c r="BJ3241">
        <v>10</v>
      </c>
      <c r="BK3241">
        <v>9</v>
      </c>
      <c r="BL3241">
        <v>0.15</v>
      </c>
      <c r="BM3241">
        <v>0.15</v>
      </c>
      <c r="BN3241">
        <v>0.13</v>
      </c>
      <c r="BO3241">
        <v>0.17</v>
      </c>
      <c r="BP3241">
        <v>1.06</v>
      </c>
      <c r="BQ3241">
        <v>-0.39</v>
      </c>
      <c r="BR3241">
        <v>1.2</v>
      </c>
      <c r="BS3241">
        <v>-0.39</v>
      </c>
      <c r="BT3241">
        <v>-0.79</v>
      </c>
      <c r="BU3241">
        <v>0.53</v>
      </c>
      <c r="BV3241">
        <v>0.45</v>
      </c>
      <c r="BW3241">
        <v>0.12</v>
      </c>
      <c r="BX3241">
        <v>0.16</v>
      </c>
      <c r="BY3241">
        <v>0.26</v>
      </c>
      <c r="BZ3241">
        <v>1.49</v>
      </c>
      <c r="CA3241">
        <v>0.3</v>
      </c>
      <c r="CB3241">
        <v>0.65</v>
      </c>
      <c r="CC3241">
        <v>-0.53</v>
      </c>
      <c r="CD3241">
        <v>-0.04</v>
      </c>
      <c r="CE3241">
        <v>-0.32</v>
      </c>
      <c r="CF3241">
        <v>0.1</v>
      </c>
      <c r="CG3241">
        <v>0</v>
      </c>
      <c r="CH3241">
        <v>-0.2</v>
      </c>
      <c r="CI3241">
        <v>0</v>
      </c>
      <c r="CJ3241">
        <v>-0.9</v>
      </c>
      <c r="CK3241">
        <v>85</v>
      </c>
      <c r="CL3241">
        <v>-0.45</v>
      </c>
      <c r="CM3241">
        <v>83</v>
      </c>
      <c r="CN3241">
        <v>-0.22</v>
      </c>
      <c r="CO3241">
        <v>80</v>
      </c>
      <c r="CP3241">
        <v>-5.9</v>
      </c>
      <c r="CQ3241">
        <v>88</v>
      </c>
      <c r="CR3241">
        <v>0</v>
      </c>
      <c r="CS3241">
        <v>0</v>
      </c>
      <c r="CT3241">
        <v>-2.4</v>
      </c>
      <c r="CU3241">
        <v>76</v>
      </c>
      <c r="CV3241">
        <v>0.05</v>
      </c>
      <c r="CW3241">
        <v>24</v>
      </c>
      <c r="CX3241" t="s">
        <v>485</v>
      </c>
    </row>
    <row r="3242" spans="1:102" x14ac:dyDescent="0.3">
      <c r="A3242" t="str">
        <f>HYPERLINK("https://webapp.icbf.com/v2/app/bull-search/view/660350864","KPF")</f>
        <v>KPF</v>
      </c>
      <c r="B3242" t="s">
        <v>2480</v>
      </c>
      <c r="C3242" t="s">
        <v>2481</v>
      </c>
      <c r="D3242" s="1">
        <v>39308</v>
      </c>
      <c r="E3242" t="s">
        <v>92</v>
      </c>
      <c r="F3242">
        <v>100</v>
      </c>
      <c r="G3242" t="s">
        <v>109</v>
      </c>
      <c r="H3242">
        <v>-22.03</v>
      </c>
      <c r="I3242">
        <v>77</v>
      </c>
      <c r="J3242">
        <v>13.85</v>
      </c>
      <c r="K3242">
        <v>92</v>
      </c>
      <c r="L3242">
        <v>-54.26</v>
      </c>
      <c r="M3242">
        <v>79</v>
      </c>
      <c r="N3242">
        <v>9.5299999999999994</v>
      </c>
      <c r="O3242">
        <v>62</v>
      </c>
      <c r="P3242">
        <v>-16.84</v>
      </c>
      <c r="Q3242">
        <v>54</v>
      </c>
      <c r="R3242">
        <v>11.67</v>
      </c>
      <c r="S3242">
        <v>74</v>
      </c>
      <c r="T3242">
        <v>13.01</v>
      </c>
      <c r="U3242">
        <v>53</v>
      </c>
      <c r="V3242">
        <v>1.01</v>
      </c>
      <c r="W3242">
        <v>62</v>
      </c>
      <c r="X3242" t="s">
        <v>251</v>
      </c>
      <c r="Y3242" t="s">
        <v>1128</v>
      </c>
      <c r="Z3242" t="s">
        <v>96</v>
      </c>
      <c r="AA3242" t="s">
        <v>358</v>
      </c>
      <c r="AB3242" t="s">
        <v>2482</v>
      </c>
      <c r="AC3242">
        <v>0</v>
      </c>
      <c r="AD3242">
        <v>0</v>
      </c>
      <c r="AE3242">
        <v>92</v>
      </c>
      <c r="AF3242">
        <v>58.52</v>
      </c>
      <c r="AG3242">
        <v>4.13</v>
      </c>
      <c r="AH3242">
        <v>1.79</v>
      </c>
      <c r="AI3242">
        <v>0.03</v>
      </c>
      <c r="AJ3242">
        <v>0</v>
      </c>
      <c r="AK3242">
        <v>79</v>
      </c>
      <c r="AL3242">
        <v>0</v>
      </c>
      <c r="AM3242">
        <v>0</v>
      </c>
      <c r="AN3242">
        <v>4.3099999999999996</v>
      </c>
      <c r="AO3242">
        <v>0</v>
      </c>
      <c r="AP3242">
        <v>12</v>
      </c>
      <c r="AQ3242">
        <v>0</v>
      </c>
      <c r="AR3242">
        <v>7.95</v>
      </c>
      <c r="AS3242">
        <v>57</v>
      </c>
      <c r="AT3242">
        <v>3.02</v>
      </c>
      <c r="AU3242">
        <v>79</v>
      </c>
      <c r="AV3242">
        <v>-1.38</v>
      </c>
      <c r="AW3242">
        <v>60</v>
      </c>
      <c r="AX3242">
        <v>0.2</v>
      </c>
      <c r="AY3242">
        <v>51</v>
      </c>
      <c r="AZ3242">
        <v>6.67</v>
      </c>
      <c r="BA3242">
        <v>48</v>
      </c>
      <c r="BB3242">
        <v>5.13</v>
      </c>
      <c r="BC3242">
        <v>49</v>
      </c>
      <c r="BD3242">
        <v>0.01</v>
      </c>
      <c r="BE3242">
        <v>-0.05</v>
      </c>
      <c r="BF3242">
        <v>-0.19</v>
      </c>
      <c r="BG3242">
        <v>88</v>
      </c>
      <c r="BH3242">
        <v>-0.06</v>
      </c>
      <c r="BI3242">
        <v>-10.210000000000001</v>
      </c>
      <c r="BJ3242">
        <v>1</v>
      </c>
      <c r="BK3242">
        <v>1</v>
      </c>
      <c r="BL3242">
        <v>0.77</v>
      </c>
      <c r="BM3242">
        <v>-2.5299999999999998</v>
      </c>
      <c r="BN3242">
        <v>0.09</v>
      </c>
      <c r="BO3242">
        <v>1.47</v>
      </c>
      <c r="BP3242">
        <v>1.19</v>
      </c>
      <c r="BQ3242">
        <v>0.79</v>
      </c>
      <c r="BR3242">
        <v>1.64</v>
      </c>
      <c r="BS3242">
        <v>1.22</v>
      </c>
      <c r="BT3242">
        <v>-0.71</v>
      </c>
      <c r="BU3242">
        <v>1</v>
      </c>
      <c r="BV3242">
        <v>1.01</v>
      </c>
      <c r="BW3242">
        <v>0.51</v>
      </c>
      <c r="BX3242">
        <v>1.52</v>
      </c>
      <c r="BY3242">
        <v>1.72</v>
      </c>
      <c r="BZ3242">
        <v>0.36</v>
      </c>
      <c r="CA3242">
        <v>1.77</v>
      </c>
      <c r="CB3242">
        <v>1.66</v>
      </c>
      <c r="CC3242">
        <v>1.21</v>
      </c>
      <c r="CD3242">
        <v>-2.2999999999999998</v>
      </c>
      <c r="CE3242">
        <v>0.96</v>
      </c>
      <c r="CF3242">
        <v>0.62</v>
      </c>
      <c r="CG3242">
        <v>0</v>
      </c>
      <c r="CH3242">
        <v>2.21</v>
      </c>
      <c r="CI3242">
        <v>0</v>
      </c>
      <c r="CJ3242">
        <v>-9.8000000000000007</v>
      </c>
      <c r="CK3242">
        <v>55</v>
      </c>
      <c r="CL3242">
        <v>-1.1100000000000001</v>
      </c>
      <c r="CM3242">
        <v>53</v>
      </c>
      <c r="CN3242">
        <v>-0.76</v>
      </c>
      <c r="CO3242">
        <v>51</v>
      </c>
      <c r="CP3242">
        <v>-5.0999999999999996</v>
      </c>
      <c r="CQ3242">
        <v>55</v>
      </c>
      <c r="CR3242">
        <v>0</v>
      </c>
      <c r="CS3242">
        <v>0</v>
      </c>
      <c r="CT3242">
        <v>-3.8</v>
      </c>
      <c r="CU3242">
        <v>53</v>
      </c>
      <c r="CV3242">
        <v>-0.02</v>
      </c>
      <c r="CW3242">
        <v>36</v>
      </c>
      <c r="CX3242" t="s">
        <v>923</v>
      </c>
    </row>
    <row r="3243" spans="1:102" x14ac:dyDescent="0.3">
      <c r="A3243" t="str">
        <f>HYPERLINK("https://webapp.icbf.com/v2/app/bull-search/view/69091756","GFT")</f>
        <v>GFT</v>
      </c>
      <c r="B3243" t="s">
        <v>14262</v>
      </c>
      <c r="C3243" t="s">
        <v>14263</v>
      </c>
      <c r="D3243" s="1">
        <v>33271</v>
      </c>
      <c r="E3243" t="s">
        <v>140</v>
      </c>
      <c r="F3243">
        <v>0</v>
      </c>
      <c r="G3243" t="s">
        <v>109</v>
      </c>
      <c r="H3243">
        <v>-22.09</v>
      </c>
      <c r="I3243">
        <v>62</v>
      </c>
      <c r="J3243">
        <v>-13.3</v>
      </c>
      <c r="K3243">
        <v>76</v>
      </c>
      <c r="L3243">
        <v>14.65</v>
      </c>
      <c r="M3243">
        <v>49</v>
      </c>
      <c r="N3243">
        <v>-38.880000000000003</v>
      </c>
      <c r="O3243">
        <v>55</v>
      </c>
      <c r="P3243">
        <v>8.3699999999999992</v>
      </c>
      <c r="Q3243">
        <v>80</v>
      </c>
      <c r="R3243">
        <v>2.0299999999999998</v>
      </c>
      <c r="S3243">
        <v>52</v>
      </c>
      <c r="T3243">
        <v>16.489999999999998</v>
      </c>
      <c r="U3243">
        <v>67</v>
      </c>
      <c r="V3243">
        <v>-11.45</v>
      </c>
      <c r="W3243">
        <v>30</v>
      </c>
      <c r="X3243" t="s">
        <v>558</v>
      </c>
      <c r="Y3243" t="s">
        <v>95</v>
      </c>
      <c r="Z3243">
        <v>0</v>
      </c>
      <c r="AA3243" t="s">
        <v>2464</v>
      </c>
      <c r="AB3243" t="s">
        <v>14264</v>
      </c>
      <c r="AC3243">
        <v>0</v>
      </c>
      <c r="AD3243">
        <v>0</v>
      </c>
      <c r="AE3243">
        <v>76</v>
      </c>
      <c r="AF3243">
        <v>-51.68</v>
      </c>
      <c r="AG3243">
        <v>-2.61</v>
      </c>
      <c r="AH3243">
        <v>-2.13</v>
      </c>
      <c r="AI3243">
        <v>-0.01</v>
      </c>
      <c r="AJ3243">
        <v>-0.01</v>
      </c>
      <c r="AK3243">
        <v>49</v>
      </c>
      <c r="AL3243">
        <v>29</v>
      </c>
      <c r="AM3243">
        <v>13</v>
      </c>
      <c r="AN3243">
        <v>-1.43</v>
      </c>
      <c r="AO3243">
        <v>-0.27</v>
      </c>
      <c r="AP3243">
        <v>8</v>
      </c>
      <c r="AQ3243">
        <v>0</v>
      </c>
      <c r="AR3243">
        <v>11.12</v>
      </c>
      <c r="AS3243">
        <v>27</v>
      </c>
      <c r="AT3243">
        <v>5.28</v>
      </c>
      <c r="AU3243">
        <v>47</v>
      </c>
      <c r="AV3243">
        <v>1.42</v>
      </c>
      <c r="AW3243">
        <v>72</v>
      </c>
      <c r="AX3243">
        <v>0.01</v>
      </c>
      <c r="AY3243">
        <v>64</v>
      </c>
      <c r="AZ3243">
        <v>5.07</v>
      </c>
      <c r="BA3243">
        <v>27</v>
      </c>
      <c r="BB3243">
        <v>3.8</v>
      </c>
      <c r="BC3243">
        <v>37</v>
      </c>
      <c r="BD3243">
        <v>0.02</v>
      </c>
      <c r="BE3243">
        <v>0</v>
      </c>
      <c r="BF3243">
        <v>-0.08</v>
      </c>
      <c r="BG3243">
        <v>62</v>
      </c>
      <c r="BH3243">
        <v>-0.15</v>
      </c>
      <c r="BI3243">
        <v>19.59</v>
      </c>
      <c r="BJ3243">
        <v>0</v>
      </c>
      <c r="BK3243">
        <v>0</v>
      </c>
      <c r="BL3243">
        <v>-0.89</v>
      </c>
      <c r="BM3243">
        <v>3.44</v>
      </c>
      <c r="BN3243">
        <v>-1.89</v>
      </c>
      <c r="BO3243">
        <v>-3.15</v>
      </c>
      <c r="BP3243">
        <v>4.5599999999999996</v>
      </c>
      <c r="BQ3243">
        <v>-2.37</v>
      </c>
      <c r="BR3243">
        <v>-2.86</v>
      </c>
      <c r="BS3243">
        <v>-0.4</v>
      </c>
      <c r="BT3243">
        <v>2.75</v>
      </c>
      <c r="BU3243">
        <v>-3.55</v>
      </c>
      <c r="BV3243">
        <v>-3.87</v>
      </c>
      <c r="BW3243">
        <v>-2.91</v>
      </c>
      <c r="BX3243">
        <v>-3.03</v>
      </c>
      <c r="BY3243">
        <v>-2.46</v>
      </c>
      <c r="BZ3243">
        <v>0.97</v>
      </c>
      <c r="CA3243">
        <v>-2.42</v>
      </c>
      <c r="CB3243">
        <v>-3.12</v>
      </c>
      <c r="CC3243">
        <v>-0.38</v>
      </c>
      <c r="CD3243">
        <v>3.85</v>
      </c>
      <c r="CE3243">
        <v>-3.05</v>
      </c>
      <c r="CF3243">
        <v>-1.2</v>
      </c>
      <c r="CG3243">
        <v>0</v>
      </c>
      <c r="CH3243">
        <v>-2.5499999999999998</v>
      </c>
      <c r="CI3243">
        <v>0</v>
      </c>
      <c r="CJ3243">
        <v>2.8</v>
      </c>
      <c r="CK3243">
        <v>82</v>
      </c>
      <c r="CL3243">
        <v>0.31</v>
      </c>
      <c r="CM3243">
        <v>79</v>
      </c>
      <c r="CN3243">
        <v>-0.16</v>
      </c>
      <c r="CO3243">
        <v>77</v>
      </c>
      <c r="CP3243">
        <v>-3.8</v>
      </c>
      <c r="CQ3243">
        <v>77</v>
      </c>
      <c r="CR3243">
        <v>0</v>
      </c>
      <c r="CS3243">
        <v>0</v>
      </c>
      <c r="CT3243">
        <v>-8.5</v>
      </c>
      <c r="CU3243">
        <v>67</v>
      </c>
      <c r="CV3243">
        <v>-0.14000000000000001</v>
      </c>
      <c r="CW3243">
        <v>23</v>
      </c>
      <c r="CX3243" t="s">
        <v>763</v>
      </c>
    </row>
    <row r="3244" spans="1:102" x14ac:dyDescent="0.3">
      <c r="A3244" t="str">
        <f>HYPERLINK("https://webapp.icbf.com/v2/app/bull-search/view/69092341","ORN")</f>
        <v>ORN</v>
      </c>
      <c r="B3244" t="s">
        <v>15248</v>
      </c>
      <c r="C3244" t="s">
        <v>10132</v>
      </c>
      <c r="D3244" s="1">
        <v>35491</v>
      </c>
      <c r="E3244" t="s">
        <v>146</v>
      </c>
      <c r="F3244">
        <v>38</v>
      </c>
      <c r="G3244" t="s">
        <v>93</v>
      </c>
      <c r="H3244">
        <v>-22.1</v>
      </c>
      <c r="I3244">
        <v>92</v>
      </c>
      <c r="J3244">
        <v>-31.17</v>
      </c>
      <c r="K3244">
        <v>99</v>
      </c>
      <c r="L3244">
        <v>-12.03</v>
      </c>
      <c r="M3244">
        <v>84</v>
      </c>
      <c r="N3244">
        <v>14.69</v>
      </c>
      <c r="O3244">
        <v>92</v>
      </c>
      <c r="P3244">
        <v>18.89</v>
      </c>
      <c r="Q3244">
        <v>98</v>
      </c>
      <c r="R3244">
        <v>7.7</v>
      </c>
      <c r="S3244">
        <v>86</v>
      </c>
      <c r="T3244">
        <v>-13.85</v>
      </c>
      <c r="U3244">
        <v>94</v>
      </c>
      <c r="V3244">
        <v>-6.33</v>
      </c>
      <c r="W3244">
        <v>86</v>
      </c>
      <c r="X3244" t="s">
        <v>276</v>
      </c>
      <c r="Y3244" t="s">
        <v>1333</v>
      </c>
      <c r="Z3244">
        <v>0</v>
      </c>
      <c r="AA3244" t="s">
        <v>15249</v>
      </c>
      <c r="AB3244" t="s">
        <v>15250</v>
      </c>
      <c r="AC3244">
        <v>353</v>
      </c>
      <c r="AD3244">
        <v>165</v>
      </c>
      <c r="AE3244">
        <v>99</v>
      </c>
      <c r="AF3244">
        <v>-133.51</v>
      </c>
      <c r="AG3244">
        <v>-7.22</v>
      </c>
      <c r="AH3244">
        <v>-4.79</v>
      </c>
      <c r="AI3244">
        <v>-0.03</v>
      </c>
      <c r="AJ3244">
        <v>0</v>
      </c>
      <c r="AK3244">
        <v>84</v>
      </c>
      <c r="AL3244">
        <v>387</v>
      </c>
      <c r="AM3244">
        <v>175</v>
      </c>
      <c r="AN3244">
        <v>-0.16</v>
      </c>
      <c r="AO3244">
        <v>-1.1299999999999999</v>
      </c>
      <c r="AP3244">
        <v>513</v>
      </c>
      <c r="AQ3244">
        <v>3</v>
      </c>
      <c r="AR3244">
        <v>6.17</v>
      </c>
      <c r="AS3244">
        <v>81</v>
      </c>
      <c r="AT3244">
        <v>2.97</v>
      </c>
      <c r="AU3244">
        <v>94</v>
      </c>
      <c r="AV3244">
        <v>-1.5</v>
      </c>
      <c r="AW3244">
        <v>96</v>
      </c>
      <c r="AX3244">
        <v>0.61</v>
      </c>
      <c r="AY3244">
        <v>94</v>
      </c>
      <c r="AZ3244">
        <v>6.03</v>
      </c>
      <c r="BA3244">
        <v>80</v>
      </c>
      <c r="BB3244">
        <v>5.22</v>
      </c>
      <c r="BC3244">
        <v>85</v>
      </c>
      <c r="BD3244">
        <v>-0.03</v>
      </c>
      <c r="BE3244">
        <v>-0.03</v>
      </c>
      <c r="BF3244">
        <v>-7.0000000000000007E-2</v>
      </c>
      <c r="BG3244">
        <v>94</v>
      </c>
      <c r="BH3244">
        <v>0.1</v>
      </c>
      <c r="BI3244">
        <v>32</v>
      </c>
      <c r="BJ3244">
        <v>4</v>
      </c>
      <c r="BK3244">
        <v>4</v>
      </c>
      <c r="BL3244">
        <v>-0.96</v>
      </c>
      <c r="BM3244">
        <v>3.51</v>
      </c>
      <c r="BN3244">
        <v>0.51</v>
      </c>
      <c r="BO3244">
        <v>-0.79</v>
      </c>
      <c r="BP3244">
        <v>2.59</v>
      </c>
      <c r="BQ3244">
        <v>1.45</v>
      </c>
      <c r="BR3244">
        <v>-1.29</v>
      </c>
      <c r="BS3244">
        <v>-0.05</v>
      </c>
      <c r="BT3244">
        <v>0.6</v>
      </c>
      <c r="BU3244">
        <v>-0.81</v>
      </c>
      <c r="BV3244">
        <v>-3.02</v>
      </c>
      <c r="BW3244">
        <v>-2.8</v>
      </c>
      <c r="BX3244">
        <v>-1.02</v>
      </c>
      <c r="BY3244">
        <v>-1.01</v>
      </c>
      <c r="BZ3244">
        <v>-0.42</v>
      </c>
      <c r="CA3244">
        <v>-1.4</v>
      </c>
      <c r="CB3244">
        <v>-1.54</v>
      </c>
      <c r="CC3244">
        <v>-0.27</v>
      </c>
      <c r="CD3244">
        <v>2.8</v>
      </c>
      <c r="CE3244">
        <v>-2.27</v>
      </c>
      <c r="CF3244">
        <v>-0.99</v>
      </c>
      <c r="CG3244">
        <v>0</v>
      </c>
      <c r="CH3244">
        <v>-1.86</v>
      </c>
      <c r="CI3244">
        <v>0</v>
      </c>
      <c r="CJ3244">
        <v>10.9</v>
      </c>
      <c r="CK3244">
        <v>99</v>
      </c>
      <c r="CL3244">
        <v>0.23</v>
      </c>
      <c r="CM3244">
        <v>98</v>
      </c>
      <c r="CN3244">
        <v>0.05</v>
      </c>
      <c r="CO3244">
        <v>98</v>
      </c>
      <c r="CP3244">
        <v>13.7</v>
      </c>
      <c r="CQ3244">
        <v>97</v>
      </c>
      <c r="CR3244">
        <v>0</v>
      </c>
      <c r="CS3244">
        <v>0</v>
      </c>
      <c r="CT3244">
        <v>32.5</v>
      </c>
      <c r="CU3244">
        <v>94</v>
      </c>
      <c r="CV3244">
        <v>0.05</v>
      </c>
      <c r="CW3244">
        <v>46</v>
      </c>
      <c r="CX3244" t="s">
        <v>3523</v>
      </c>
    </row>
    <row r="3245" spans="1:102" x14ac:dyDescent="0.3">
      <c r="A3245" t="str">
        <f>HYPERLINK("https://webapp.icbf.com/v2/app/bull-search/view/306857041","CCX")</f>
        <v>CCX</v>
      </c>
      <c r="B3245" t="s">
        <v>9598</v>
      </c>
      <c r="C3245" t="s">
        <v>9599</v>
      </c>
      <c r="D3245" s="1">
        <v>37860</v>
      </c>
      <c r="E3245" t="s">
        <v>92</v>
      </c>
      <c r="F3245">
        <v>100</v>
      </c>
      <c r="G3245" t="s">
        <v>93</v>
      </c>
      <c r="H3245">
        <v>-22.4</v>
      </c>
      <c r="I3245">
        <v>71</v>
      </c>
      <c r="J3245">
        <v>18.02</v>
      </c>
      <c r="K3245">
        <v>89</v>
      </c>
      <c r="L3245">
        <v>-60.85</v>
      </c>
      <c r="M3245">
        <v>53</v>
      </c>
      <c r="N3245">
        <v>19.79</v>
      </c>
      <c r="O3245">
        <v>69</v>
      </c>
      <c r="P3245">
        <v>-8.07</v>
      </c>
      <c r="Q3245">
        <v>79</v>
      </c>
      <c r="R3245">
        <v>-8.67</v>
      </c>
      <c r="S3245">
        <v>59</v>
      </c>
      <c r="T3245">
        <v>20.93</v>
      </c>
      <c r="U3245">
        <v>72</v>
      </c>
      <c r="V3245">
        <v>-3.55</v>
      </c>
      <c r="W3245">
        <v>62</v>
      </c>
      <c r="X3245" t="s">
        <v>276</v>
      </c>
      <c r="Y3245" t="s">
        <v>95</v>
      </c>
      <c r="Z3245" t="s">
        <v>96</v>
      </c>
      <c r="AA3245" t="s">
        <v>5208</v>
      </c>
      <c r="AB3245" t="s">
        <v>5209</v>
      </c>
      <c r="AC3245">
        <v>34</v>
      </c>
      <c r="AD3245">
        <v>19</v>
      </c>
      <c r="AE3245">
        <v>89</v>
      </c>
      <c r="AF3245">
        <v>85.48</v>
      </c>
      <c r="AG3245">
        <v>2.75</v>
      </c>
      <c r="AH3245">
        <v>3.4</v>
      </c>
      <c r="AI3245">
        <v>-0.01</v>
      </c>
      <c r="AJ3245">
        <v>0.01</v>
      </c>
      <c r="AK3245">
        <v>53</v>
      </c>
      <c r="AL3245">
        <v>33</v>
      </c>
      <c r="AM3245">
        <v>15</v>
      </c>
      <c r="AN3245">
        <v>3.55</v>
      </c>
      <c r="AO3245">
        <v>-1.3</v>
      </c>
      <c r="AP3245">
        <v>68</v>
      </c>
      <c r="AQ3245">
        <v>0</v>
      </c>
      <c r="AR3245">
        <v>6.36</v>
      </c>
      <c r="AS3245">
        <v>49</v>
      </c>
      <c r="AT3245">
        <v>2.42</v>
      </c>
      <c r="AU3245">
        <v>67</v>
      </c>
      <c r="AV3245">
        <v>-2.11</v>
      </c>
      <c r="AW3245">
        <v>85</v>
      </c>
      <c r="AX3245">
        <v>1.55</v>
      </c>
      <c r="AY3245">
        <v>63</v>
      </c>
      <c r="AZ3245">
        <v>6.66</v>
      </c>
      <c r="BA3245">
        <v>41</v>
      </c>
      <c r="BB3245">
        <v>5.26</v>
      </c>
      <c r="BC3245">
        <v>43</v>
      </c>
      <c r="BD3245">
        <v>0.05</v>
      </c>
      <c r="BE3245">
        <v>0.04</v>
      </c>
      <c r="BF3245">
        <v>0.04</v>
      </c>
      <c r="BG3245">
        <v>69</v>
      </c>
      <c r="BH3245">
        <v>-0.09</v>
      </c>
      <c r="BI3245">
        <v>1.04</v>
      </c>
      <c r="BJ3245">
        <v>7</v>
      </c>
      <c r="BK3245">
        <v>5</v>
      </c>
      <c r="BL3245">
        <v>0.21</v>
      </c>
      <c r="BM3245">
        <v>0.43</v>
      </c>
      <c r="BN3245">
        <v>0.79</v>
      </c>
      <c r="BO3245">
        <v>0.23</v>
      </c>
      <c r="BP3245">
        <v>-0.22</v>
      </c>
      <c r="BQ3245">
        <v>0.31</v>
      </c>
      <c r="BR3245">
        <v>1.01</v>
      </c>
      <c r="BS3245">
        <v>0.13</v>
      </c>
      <c r="BT3245">
        <v>-1.26</v>
      </c>
      <c r="BU3245">
        <v>-0.32</v>
      </c>
      <c r="BV3245">
        <v>0.26</v>
      </c>
      <c r="BW3245">
        <v>0.37</v>
      </c>
      <c r="BX3245">
        <v>-1.42</v>
      </c>
      <c r="BY3245">
        <v>1.61</v>
      </c>
      <c r="BZ3245">
        <v>0.73</v>
      </c>
      <c r="CA3245">
        <v>0.47</v>
      </c>
      <c r="CB3245">
        <v>0.17</v>
      </c>
      <c r="CC3245">
        <v>0.95</v>
      </c>
      <c r="CD3245">
        <v>-0.52</v>
      </c>
      <c r="CE3245">
        <v>0</v>
      </c>
      <c r="CF3245">
        <v>0.6</v>
      </c>
      <c r="CG3245">
        <v>0</v>
      </c>
      <c r="CH3245">
        <v>1.05</v>
      </c>
      <c r="CI3245">
        <v>0</v>
      </c>
      <c r="CJ3245">
        <v>-4.0999999999999996</v>
      </c>
      <c r="CK3245">
        <v>81</v>
      </c>
      <c r="CL3245">
        <v>-0.62</v>
      </c>
      <c r="CM3245">
        <v>78</v>
      </c>
      <c r="CN3245">
        <v>-0.41</v>
      </c>
      <c r="CO3245">
        <v>75</v>
      </c>
      <c r="CP3245">
        <v>-5.4</v>
      </c>
      <c r="CQ3245">
        <v>77</v>
      </c>
      <c r="CR3245">
        <v>0</v>
      </c>
      <c r="CS3245">
        <v>0</v>
      </c>
      <c r="CT3245">
        <v>-14.5</v>
      </c>
      <c r="CU3245">
        <v>72</v>
      </c>
      <c r="CV3245">
        <v>0.11</v>
      </c>
      <c r="CW3245">
        <v>22</v>
      </c>
      <c r="CX3245" t="s">
        <v>834</v>
      </c>
    </row>
    <row r="3246" spans="1:102" x14ac:dyDescent="0.3">
      <c r="A3246" t="str">
        <f>HYPERLINK("https://webapp.icbf.com/v2/app/bull-search/view/760394795","MPJ")</f>
        <v>MPJ</v>
      </c>
      <c r="B3246" t="s">
        <v>5411</v>
      </c>
      <c r="C3246" t="s">
        <v>5412</v>
      </c>
      <c r="D3246" s="1">
        <v>40036</v>
      </c>
      <c r="E3246" t="s">
        <v>92</v>
      </c>
      <c r="F3246">
        <v>75</v>
      </c>
      <c r="G3246" t="s">
        <v>109</v>
      </c>
      <c r="H3246">
        <v>-22.6</v>
      </c>
      <c r="I3246">
        <v>71</v>
      </c>
      <c r="J3246">
        <v>70.16</v>
      </c>
      <c r="K3246">
        <v>90</v>
      </c>
      <c r="L3246">
        <v>-95.45</v>
      </c>
      <c r="M3246">
        <v>78</v>
      </c>
      <c r="N3246">
        <v>18.3</v>
      </c>
      <c r="O3246">
        <v>49</v>
      </c>
      <c r="P3246">
        <v>-26.64</v>
      </c>
      <c r="Q3246">
        <v>39</v>
      </c>
      <c r="R3246">
        <v>-14.28</v>
      </c>
      <c r="S3246">
        <v>69</v>
      </c>
      <c r="T3246">
        <v>17.97</v>
      </c>
      <c r="U3246">
        <v>37</v>
      </c>
      <c r="V3246">
        <v>7.34</v>
      </c>
      <c r="W3246">
        <v>51</v>
      </c>
      <c r="X3246" t="s">
        <v>276</v>
      </c>
      <c r="Y3246" t="s">
        <v>329</v>
      </c>
      <c r="Z3246" t="s">
        <v>330</v>
      </c>
      <c r="AA3246" t="s">
        <v>2045</v>
      </c>
      <c r="AB3246" t="s">
        <v>5413</v>
      </c>
      <c r="AC3246">
        <v>0</v>
      </c>
      <c r="AD3246">
        <v>0</v>
      </c>
      <c r="AE3246">
        <v>90</v>
      </c>
      <c r="AF3246">
        <v>136.12</v>
      </c>
      <c r="AG3246">
        <v>8.4700000000000006</v>
      </c>
      <c r="AH3246">
        <v>11.02</v>
      </c>
      <c r="AI3246">
        <v>0.05</v>
      </c>
      <c r="AJ3246">
        <v>0.11</v>
      </c>
      <c r="AK3246">
        <v>78</v>
      </c>
      <c r="AL3246">
        <v>0</v>
      </c>
      <c r="AM3246">
        <v>0</v>
      </c>
      <c r="AN3246">
        <v>6.16</v>
      </c>
      <c r="AO3246">
        <v>-1.44</v>
      </c>
      <c r="AP3246">
        <v>1</v>
      </c>
      <c r="AQ3246">
        <v>0</v>
      </c>
      <c r="AR3246">
        <v>8.15</v>
      </c>
      <c r="AS3246">
        <v>41</v>
      </c>
      <c r="AT3246">
        <v>2.82</v>
      </c>
      <c r="AU3246">
        <v>79</v>
      </c>
      <c r="AV3246">
        <v>-2.09</v>
      </c>
      <c r="AW3246">
        <v>43</v>
      </c>
      <c r="AX3246">
        <v>0.39</v>
      </c>
      <c r="AY3246">
        <v>38</v>
      </c>
      <c r="AZ3246">
        <v>5.8</v>
      </c>
      <c r="BA3246">
        <v>31</v>
      </c>
      <c r="BB3246">
        <v>4.88</v>
      </c>
      <c r="BC3246">
        <v>32</v>
      </c>
      <c r="BD3246">
        <v>0.02</v>
      </c>
      <c r="BE3246">
        <v>0.05</v>
      </c>
      <c r="BF3246">
        <v>0.2</v>
      </c>
      <c r="BG3246">
        <v>90</v>
      </c>
      <c r="BH3246">
        <v>0.09</v>
      </c>
      <c r="BI3246">
        <v>-13.27</v>
      </c>
      <c r="BJ3246">
        <v>0</v>
      </c>
      <c r="BK3246">
        <v>0</v>
      </c>
      <c r="BL3246">
        <v>-0.23</v>
      </c>
      <c r="BM3246">
        <v>-0.81</v>
      </c>
      <c r="BN3246">
        <v>-0.68</v>
      </c>
      <c r="BO3246">
        <v>0.9</v>
      </c>
      <c r="BP3246">
        <v>-1.02</v>
      </c>
      <c r="BQ3246">
        <v>3.19</v>
      </c>
      <c r="BR3246">
        <v>1.95</v>
      </c>
      <c r="BS3246">
        <v>-1.58</v>
      </c>
      <c r="BT3246">
        <v>-0.15</v>
      </c>
      <c r="BU3246">
        <v>-0.33</v>
      </c>
      <c r="BV3246">
        <v>0.66</v>
      </c>
      <c r="BW3246">
        <v>0.53</v>
      </c>
      <c r="BX3246">
        <v>-0.65</v>
      </c>
      <c r="BY3246">
        <v>0.83</v>
      </c>
      <c r="BZ3246">
        <v>0.26</v>
      </c>
      <c r="CA3246">
        <v>-0.89</v>
      </c>
      <c r="CB3246">
        <v>0.23</v>
      </c>
      <c r="CC3246">
        <v>-1.1299999999999999</v>
      </c>
      <c r="CD3246">
        <v>-1.31</v>
      </c>
      <c r="CE3246">
        <v>0.09</v>
      </c>
      <c r="CF3246">
        <v>-0.01</v>
      </c>
      <c r="CG3246">
        <v>0</v>
      </c>
      <c r="CH3246">
        <v>0.84</v>
      </c>
      <c r="CI3246">
        <v>0</v>
      </c>
      <c r="CJ3246">
        <v>-10.9</v>
      </c>
      <c r="CK3246">
        <v>39</v>
      </c>
      <c r="CL3246">
        <v>-1.1200000000000001</v>
      </c>
      <c r="CM3246">
        <v>38</v>
      </c>
      <c r="CN3246">
        <v>-0.23</v>
      </c>
      <c r="CO3246">
        <v>38</v>
      </c>
      <c r="CP3246">
        <v>-18.2</v>
      </c>
      <c r="CQ3246">
        <v>38</v>
      </c>
      <c r="CR3246">
        <v>0</v>
      </c>
      <c r="CS3246">
        <v>0</v>
      </c>
      <c r="CT3246">
        <v>-10.5</v>
      </c>
      <c r="CU3246">
        <v>37</v>
      </c>
      <c r="CV3246">
        <v>0.13</v>
      </c>
      <c r="CW3246">
        <v>33</v>
      </c>
      <c r="CX3246" t="s">
        <v>1091</v>
      </c>
    </row>
    <row r="3247" spans="1:102" x14ac:dyDescent="0.3">
      <c r="A3247" t="str">
        <f>HYPERLINK("https://webapp.icbf.com/v2/app/bull-search/view/660310090","APJ")</f>
        <v>APJ</v>
      </c>
      <c r="B3247" t="s">
        <v>12964</v>
      </c>
      <c r="C3247" t="s">
        <v>12965</v>
      </c>
      <c r="D3247" s="1">
        <v>38640</v>
      </c>
      <c r="E3247" t="s">
        <v>140</v>
      </c>
      <c r="F3247">
        <v>0</v>
      </c>
      <c r="G3247" t="s">
        <v>109</v>
      </c>
      <c r="H3247">
        <v>-22.68</v>
      </c>
      <c r="I3247">
        <v>54</v>
      </c>
      <c r="J3247">
        <v>-15.33</v>
      </c>
      <c r="K3247">
        <v>72</v>
      </c>
      <c r="L3247">
        <v>-3.56</v>
      </c>
      <c r="M3247">
        <v>34</v>
      </c>
      <c r="N3247">
        <v>-8.7200000000000006</v>
      </c>
      <c r="O3247">
        <v>56</v>
      </c>
      <c r="P3247">
        <v>21.8</v>
      </c>
      <c r="Q3247">
        <v>80</v>
      </c>
      <c r="R3247">
        <v>-1.1599999999999999</v>
      </c>
      <c r="S3247">
        <v>30</v>
      </c>
      <c r="T3247">
        <v>-5.64</v>
      </c>
      <c r="U3247">
        <v>58</v>
      </c>
      <c r="V3247">
        <v>-10.07</v>
      </c>
      <c r="W3247">
        <v>20</v>
      </c>
      <c r="X3247" t="s">
        <v>94</v>
      </c>
      <c r="Y3247" t="s">
        <v>1756</v>
      </c>
      <c r="Z3247">
        <v>0</v>
      </c>
      <c r="AA3247" t="s">
        <v>6804</v>
      </c>
      <c r="AB3247" t="s">
        <v>12966</v>
      </c>
      <c r="AC3247">
        <v>0</v>
      </c>
      <c r="AD3247">
        <v>0</v>
      </c>
      <c r="AE3247">
        <v>72</v>
      </c>
      <c r="AF3247">
        <v>-137.55000000000001</v>
      </c>
      <c r="AG3247">
        <v>-9.76</v>
      </c>
      <c r="AH3247">
        <v>-1.26</v>
      </c>
      <c r="AI3247">
        <v>-7.0000000000000007E-2</v>
      </c>
      <c r="AJ3247">
        <v>0.06</v>
      </c>
      <c r="AK3247">
        <v>34</v>
      </c>
      <c r="AL3247">
        <v>11</v>
      </c>
      <c r="AM3247">
        <v>7</v>
      </c>
      <c r="AN3247">
        <v>0.49</v>
      </c>
      <c r="AO3247">
        <v>0.21</v>
      </c>
      <c r="AP3247">
        <v>22</v>
      </c>
      <c r="AQ3247">
        <v>0</v>
      </c>
      <c r="AR3247">
        <v>7.87</v>
      </c>
      <c r="AS3247">
        <v>26</v>
      </c>
      <c r="AT3247">
        <v>4.3600000000000003</v>
      </c>
      <c r="AU3247">
        <v>47</v>
      </c>
      <c r="AV3247">
        <v>-0.09</v>
      </c>
      <c r="AW3247">
        <v>85</v>
      </c>
      <c r="AX3247">
        <v>0.39</v>
      </c>
      <c r="AY3247">
        <v>49</v>
      </c>
      <c r="AZ3247">
        <v>5.38</v>
      </c>
      <c r="BA3247">
        <v>24</v>
      </c>
      <c r="BB3247">
        <v>4.4000000000000004</v>
      </c>
      <c r="BC3247">
        <v>18</v>
      </c>
      <c r="BD3247">
        <v>0.01</v>
      </c>
      <c r="BE3247">
        <v>0</v>
      </c>
      <c r="BF3247">
        <v>0.01</v>
      </c>
      <c r="BG3247">
        <v>36</v>
      </c>
      <c r="BH3247">
        <v>-0.34</v>
      </c>
      <c r="BI3247">
        <v>-6.84</v>
      </c>
      <c r="BJ3247">
        <v>0</v>
      </c>
      <c r="BK3247">
        <v>0</v>
      </c>
      <c r="BL3247">
        <v>-0.77</v>
      </c>
      <c r="BM3247">
        <v>3.53</v>
      </c>
      <c r="BN3247">
        <v>-1.59</v>
      </c>
      <c r="BO3247">
        <v>-2.96</v>
      </c>
      <c r="BP3247">
        <v>4.25</v>
      </c>
      <c r="BQ3247">
        <v>-1.95</v>
      </c>
      <c r="BR3247">
        <v>-2.6</v>
      </c>
      <c r="BS3247">
        <v>-0.31</v>
      </c>
      <c r="BT3247">
        <v>2.5499999999999998</v>
      </c>
      <c r="BU3247">
        <v>-3.32</v>
      </c>
      <c r="BV3247">
        <v>-3.74</v>
      </c>
      <c r="BW3247">
        <v>-2.86</v>
      </c>
      <c r="BX3247">
        <v>-2.74</v>
      </c>
      <c r="BY3247">
        <v>-1.95</v>
      </c>
      <c r="BZ3247">
        <v>1.03</v>
      </c>
      <c r="CA3247">
        <v>-2.4</v>
      </c>
      <c r="CB3247">
        <v>-3.07</v>
      </c>
      <c r="CC3247">
        <v>-0.38</v>
      </c>
      <c r="CD3247">
        <v>3.89</v>
      </c>
      <c r="CE3247">
        <v>-2.92</v>
      </c>
      <c r="CF3247">
        <v>-1.01</v>
      </c>
      <c r="CG3247">
        <v>0</v>
      </c>
      <c r="CH3247">
        <v>-2.76</v>
      </c>
      <c r="CI3247">
        <v>0</v>
      </c>
      <c r="CJ3247">
        <v>8.6</v>
      </c>
      <c r="CK3247">
        <v>83</v>
      </c>
      <c r="CL3247">
        <v>0.42</v>
      </c>
      <c r="CM3247">
        <v>80</v>
      </c>
      <c r="CN3247">
        <v>-0.31</v>
      </c>
      <c r="CO3247">
        <v>77</v>
      </c>
      <c r="CP3247">
        <v>13.1</v>
      </c>
      <c r="CQ3247">
        <v>70</v>
      </c>
      <c r="CR3247">
        <v>0</v>
      </c>
      <c r="CS3247">
        <v>0</v>
      </c>
      <c r="CT3247">
        <v>21.4</v>
      </c>
      <c r="CU3247">
        <v>58</v>
      </c>
      <c r="CV3247">
        <v>-0.16</v>
      </c>
      <c r="CW3247">
        <v>23</v>
      </c>
      <c r="CX3247" t="s">
        <v>12967</v>
      </c>
    </row>
    <row r="3248" spans="1:102" x14ac:dyDescent="0.3">
      <c r="A3248" t="str">
        <f>HYPERLINK("https://webapp.icbf.com/v2/app/bull-search/view/444598566","S802")</f>
        <v>S802</v>
      </c>
      <c r="B3248" t="s">
        <v>1694</v>
      </c>
      <c r="C3248" t="s">
        <v>1695</v>
      </c>
      <c r="D3248" s="1">
        <v>35967</v>
      </c>
      <c r="E3248" t="s">
        <v>92</v>
      </c>
      <c r="F3248">
        <v>100</v>
      </c>
      <c r="G3248" t="s">
        <v>109</v>
      </c>
      <c r="H3248">
        <v>-22.92</v>
      </c>
      <c r="I3248">
        <v>83</v>
      </c>
      <c r="J3248">
        <v>11.2</v>
      </c>
      <c r="K3248">
        <v>93</v>
      </c>
      <c r="L3248">
        <v>-41.83</v>
      </c>
      <c r="M3248">
        <v>88</v>
      </c>
      <c r="N3248">
        <v>19.5</v>
      </c>
      <c r="O3248">
        <v>72</v>
      </c>
      <c r="P3248">
        <v>-9.86</v>
      </c>
      <c r="Q3248">
        <v>71</v>
      </c>
      <c r="R3248">
        <v>-0.93</v>
      </c>
      <c r="S3248">
        <v>77</v>
      </c>
      <c r="T3248">
        <v>4.3499999999999996</v>
      </c>
      <c r="U3248">
        <v>63</v>
      </c>
      <c r="V3248">
        <v>-5.35</v>
      </c>
      <c r="W3248">
        <v>65</v>
      </c>
      <c r="X3248" t="s">
        <v>251</v>
      </c>
      <c r="Y3248" t="s">
        <v>1494</v>
      </c>
      <c r="Z3248" t="s">
        <v>96</v>
      </c>
      <c r="AA3248" t="s">
        <v>1696</v>
      </c>
      <c r="AB3248" t="s">
        <v>1697</v>
      </c>
      <c r="AC3248">
        <v>0</v>
      </c>
      <c r="AD3248">
        <v>0</v>
      </c>
      <c r="AE3248">
        <v>93</v>
      </c>
      <c r="AF3248">
        <v>217.9</v>
      </c>
      <c r="AG3248">
        <v>3.25</v>
      </c>
      <c r="AH3248">
        <v>4.09</v>
      </c>
      <c r="AI3248">
        <v>-0.09</v>
      </c>
      <c r="AJ3248">
        <v>-0.06</v>
      </c>
      <c r="AK3248">
        <v>88</v>
      </c>
      <c r="AL3248">
        <v>0</v>
      </c>
      <c r="AM3248">
        <v>0</v>
      </c>
      <c r="AN3248">
        <v>2.73</v>
      </c>
      <c r="AO3248">
        <v>-0.6</v>
      </c>
      <c r="AP3248">
        <v>22</v>
      </c>
      <c r="AQ3248">
        <v>0</v>
      </c>
      <c r="AR3248">
        <v>7.15</v>
      </c>
      <c r="AS3248">
        <v>58</v>
      </c>
      <c r="AT3248">
        <v>3.75</v>
      </c>
      <c r="AU3248">
        <v>91</v>
      </c>
      <c r="AV3248">
        <v>-2.79</v>
      </c>
      <c r="AW3248">
        <v>77</v>
      </c>
      <c r="AX3248">
        <v>-0.08</v>
      </c>
      <c r="AY3248">
        <v>58</v>
      </c>
      <c r="AZ3248">
        <v>6.43</v>
      </c>
      <c r="BA3248">
        <v>48</v>
      </c>
      <c r="BB3248">
        <v>4.68</v>
      </c>
      <c r="BC3248">
        <v>51</v>
      </c>
      <c r="BD3248">
        <v>0.02</v>
      </c>
      <c r="BE3248">
        <v>0.02</v>
      </c>
      <c r="BF3248">
        <v>-0.05</v>
      </c>
      <c r="BG3248">
        <v>93</v>
      </c>
      <c r="BH3248">
        <v>-0.17</v>
      </c>
      <c r="BI3248">
        <v>-2.4</v>
      </c>
      <c r="BJ3248">
        <v>0</v>
      </c>
      <c r="BK3248">
        <v>0</v>
      </c>
      <c r="BL3248">
        <v>0.61</v>
      </c>
      <c r="BM3248">
        <v>-0.14000000000000001</v>
      </c>
      <c r="BN3248">
        <v>0.1</v>
      </c>
      <c r="BO3248">
        <v>0.39</v>
      </c>
      <c r="BP3248">
        <v>1.52</v>
      </c>
      <c r="BQ3248">
        <v>-1.62</v>
      </c>
      <c r="BR3248">
        <v>-0.02</v>
      </c>
      <c r="BS3248">
        <v>2.39</v>
      </c>
      <c r="BT3248">
        <v>-0.14000000000000001</v>
      </c>
      <c r="BU3248">
        <v>0.94</v>
      </c>
      <c r="BV3248">
        <v>0.54</v>
      </c>
      <c r="BW3248">
        <v>0.55000000000000004</v>
      </c>
      <c r="BX3248">
        <v>1.17</v>
      </c>
      <c r="BY3248">
        <v>1.98</v>
      </c>
      <c r="BZ3248">
        <v>-1.67</v>
      </c>
      <c r="CA3248">
        <v>1.65</v>
      </c>
      <c r="CB3248">
        <v>1.1200000000000001</v>
      </c>
      <c r="CC3248">
        <v>1.53</v>
      </c>
      <c r="CD3248">
        <v>-0.3</v>
      </c>
      <c r="CE3248">
        <v>0.55000000000000004</v>
      </c>
      <c r="CF3248">
        <v>0.55000000000000004</v>
      </c>
      <c r="CG3248">
        <v>0</v>
      </c>
      <c r="CH3248">
        <v>1.79</v>
      </c>
      <c r="CI3248">
        <v>0</v>
      </c>
      <c r="CJ3248">
        <v>-2.2999999999999998</v>
      </c>
      <c r="CK3248">
        <v>73</v>
      </c>
      <c r="CL3248">
        <v>-1.03</v>
      </c>
      <c r="CM3248">
        <v>70</v>
      </c>
      <c r="CN3248">
        <v>-0.36</v>
      </c>
      <c r="CO3248">
        <v>68</v>
      </c>
      <c r="CP3248">
        <v>-1.8</v>
      </c>
      <c r="CQ3248">
        <v>66</v>
      </c>
      <c r="CR3248">
        <v>0</v>
      </c>
      <c r="CS3248">
        <v>0</v>
      </c>
      <c r="CT3248">
        <v>7.9</v>
      </c>
      <c r="CU3248">
        <v>63</v>
      </c>
      <c r="CV3248">
        <v>0.13</v>
      </c>
      <c r="CW3248">
        <v>40</v>
      </c>
      <c r="CX3248" t="s">
        <v>573</v>
      </c>
    </row>
    <row r="3249" spans="1:102" x14ac:dyDescent="0.3">
      <c r="A3249" t="str">
        <f>HYPERLINK("https://webapp.icbf.com/v2/app/bull-search/view/192724955","IOU")</f>
        <v>IOU</v>
      </c>
      <c r="B3249" t="s">
        <v>8727</v>
      </c>
      <c r="C3249" t="s">
        <v>8728</v>
      </c>
      <c r="D3249" s="1">
        <v>35988</v>
      </c>
      <c r="E3249" t="s">
        <v>92</v>
      </c>
      <c r="F3249">
        <v>100</v>
      </c>
      <c r="G3249" t="s">
        <v>109</v>
      </c>
      <c r="H3249">
        <v>-22.98</v>
      </c>
      <c r="I3249">
        <v>84</v>
      </c>
      <c r="J3249">
        <v>51.85</v>
      </c>
      <c r="K3249">
        <v>94</v>
      </c>
      <c r="L3249">
        <v>-64.31</v>
      </c>
      <c r="M3249">
        <v>87</v>
      </c>
      <c r="N3249">
        <v>4.03</v>
      </c>
      <c r="O3249">
        <v>74</v>
      </c>
      <c r="P3249">
        <v>-12.86</v>
      </c>
      <c r="Q3249">
        <v>76</v>
      </c>
      <c r="R3249">
        <v>-12.15</v>
      </c>
      <c r="S3249">
        <v>80</v>
      </c>
      <c r="T3249">
        <v>9.61</v>
      </c>
      <c r="U3249">
        <v>66</v>
      </c>
      <c r="V3249">
        <v>0.85</v>
      </c>
      <c r="W3249">
        <v>66</v>
      </c>
      <c r="X3249" t="s">
        <v>288</v>
      </c>
      <c r="Y3249" t="s">
        <v>95</v>
      </c>
      <c r="Z3249" t="s">
        <v>96</v>
      </c>
      <c r="AA3249" t="s">
        <v>6632</v>
      </c>
      <c r="AB3249" t="s">
        <v>8729</v>
      </c>
      <c r="AC3249">
        <v>0</v>
      </c>
      <c r="AD3249">
        <v>0</v>
      </c>
      <c r="AE3249">
        <v>94</v>
      </c>
      <c r="AF3249">
        <v>48.44</v>
      </c>
      <c r="AG3249">
        <v>9.61</v>
      </c>
      <c r="AH3249">
        <v>6.16</v>
      </c>
      <c r="AI3249">
        <v>0.13</v>
      </c>
      <c r="AJ3249">
        <v>0.08</v>
      </c>
      <c r="AK3249">
        <v>87</v>
      </c>
      <c r="AL3249">
        <v>0</v>
      </c>
      <c r="AM3249">
        <v>0</v>
      </c>
      <c r="AN3249">
        <v>3.39</v>
      </c>
      <c r="AO3249">
        <v>-1.74</v>
      </c>
      <c r="AP3249">
        <v>52</v>
      </c>
      <c r="AQ3249">
        <v>1</v>
      </c>
      <c r="AR3249">
        <v>9.26</v>
      </c>
      <c r="AS3249">
        <v>64</v>
      </c>
      <c r="AT3249">
        <v>3.7</v>
      </c>
      <c r="AU3249">
        <v>90</v>
      </c>
      <c r="AV3249">
        <v>-0.82</v>
      </c>
      <c r="AW3249">
        <v>77</v>
      </c>
      <c r="AX3249">
        <v>-0.84</v>
      </c>
      <c r="AY3249">
        <v>65</v>
      </c>
      <c r="AZ3249">
        <v>5.15</v>
      </c>
      <c r="BA3249">
        <v>54</v>
      </c>
      <c r="BB3249">
        <v>4.1900000000000004</v>
      </c>
      <c r="BC3249">
        <v>56</v>
      </c>
      <c r="BD3249">
        <v>0.02</v>
      </c>
      <c r="BE3249">
        <v>0.04</v>
      </c>
      <c r="BF3249">
        <v>0.17</v>
      </c>
      <c r="BG3249">
        <v>93</v>
      </c>
      <c r="BH3249">
        <v>0.12</v>
      </c>
      <c r="BI3249">
        <v>11.15</v>
      </c>
      <c r="BJ3249">
        <v>2</v>
      </c>
      <c r="BK3249">
        <v>2</v>
      </c>
      <c r="BL3249">
        <v>0.45</v>
      </c>
      <c r="BM3249">
        <v>-1.87</v>
      </c>
      <c r="BN3249">
        <v>-0.87</v>
      </c>
      <c r="BO3249">
        <v>0.72</v>
      </c>
      <c r="BP3249">
        <v>-0.46</v>
      </c>
      <c r="BQ3249">
        <v>-1.42</v>
      </c>
      <c r="BR3249">
        <v>0.03</v>
      </c>
      <c r="BS3249">
        <v>-0.12</v>
      </c>
      <c r="BT3249">
        <v>0.36</v>
      </c>
      <c r="BU3249">
        <v>0.21</v>
      </c>
      <c r="BV3249">
        <v>1.22</v>
      </c>
      <c r="BW3249">
        <v>1.1200000000000001</v>
      </c>
      <c r="BX3249">
        <v>-0.13</v>
      </c>
      <c r="BY3249">
        <v>-1.08</v>
      </c>
      <c r="BZ3249">
        <v>0.36</v>
      </c>
      <c r="CA3249">
        <v>0.03</v>
      </c>
      <c r="CB3249">
        <v>0.03</v>
      </c>
      <c r="CC3249">
        <v>-0.05</v>
      </c>
      <c r="CD3249">
        <v>-1.1100000000000001</v>
      </c>
      <c r="CE3249">
        <v>1.1499999999999999</v>
      </c>
      <c r="CF3249">
        <v>0.83</v>
      </c>
      <c r="CG3249">
        <v>0</v>
      </c>
      <c r="CH3249">
        <v>-0.89</v>
      </c>
      <c r="CI3249">
        <v>0</v>
      </c>
      <c r="CJ3249">
        <v>-3.8</v>
      </c>
      <c r="CK3249">
        <v>78</v>
      </c>
      <c r="CL3249">
        <v>-0.96</v>
      </c>
      <c r="CM3249">
        <v>75</v>
      </c>
      <c r="CN3249">
        <v>-0.31</v>
      </c>
      <c r="CO3249">
        <v>72</v>
      </c>
      <c r="CP3249">
        <v>-8.9</v>
      </c>
      <c r="CQ3249">
        <v>77</v>
      </c>
      <c r="CR3249">
        <v>0</v>
      </c>
      <c r="CS3249">
        <v>0</v>
      </c>
      <c r="CT3249">
        <v>0.8</v>
      </c>
      <c r="CU3249">
        <v>66</v>
      </c>
      <c r="CV3249">
        <v>0.17</v>
      </c>
      <c r="CW3249">
        <v>41</v>
      </c>
      <c r="CX3249" t="s">
        <v>743</v>
      </c>
    </row>
    <row r="3250" spans="1:102" x14ac:dyDescent="0.3">
      <c r="A3250" t="str">
        <f>HYPERLINK("https://webapp.icbf.com/v2/app/bull-search/view/586036062","S1112")</f>
        <v>S1112</v>
      </c>
      <c r="B3250" t="s">
        <v>7558</v>
      </c>
      <c r="C3250" t="s">
        <v>7559</v>
      </c>
      <c r="D3250" s="1">
        <v>38671</v>
      </c>
      <c r="E3250" t="s">
        <v>92</v>
      </c>
      <c r="F3250">
        <v>100</v>
      </c>
      <c r="G3250" t="s">
        <v>109</v>
      </c>
      <c r="H3250">
        <v>-23.09</v>
      </c>
      <c r="I3250">
        <v>84</v>
      </c>
      <c r="J3250">
        <v>40.5</v>
      </c>
      <c r="K3250">
        <v>95</v>
      </c>
      <c r="L3250">
        <v>-66.48</v>
      </c>
      <c r="M3250">
        <v>86</v>
      </c>
      <c r="N3250">
        <v>-5.01</v>
      </c>
      <c r="O3250">
        <v>74</v>
      </c>
      <c r="P3250">
        <v>-7.1</v>
      </c>
      <c r="Q3250">
        <v>73</v>
      </c>
      <c r="R3250">
        <v>15.4</v>
      </c>
      <c r="S3250">
        <v>79</v>
      </c>
      <c r="T3250">
        <v>0.14000000000000001</v>
      </c>
      <c r="U3250">
        <v>70</v>
      </c>
      <c r="V3250">
        <v>-0.54</v>
      </c>
      <c r="W3250">
        <v>69</v>
      </c>
      <c r="X3250" t="s">
        <v>251</v>
      </c>
      <c r="Y3250" t="s">
        <v>336</v>
      </c>
      <c r="Z3250" t="s">
        <v>96</v>
      </c>
      <c r="AA3250" t="s">
        <v>1680</v>
      </c>
      <c r="AB3250" t="s">
        <v>7560</v>
      </c>
      <c r="AC3250">
        <v>0</v>
      </c>
      <c r="AD3250">
        <v>0</v>
      </c>
      <c r="AE3250">
        <v>95</v>
      </c>
      <c r="AF3250">
        <v>146.91</v>
      </c>
      <c r="AG3250">
        <v>14.35</v>
      </c>
      <c r="AH3250">
        <v>4.0599999999999996</v>
      </c>
      <c r="AI3250">
        <v>0.15</v>
      </c>
      <c r="AJ3250">
        <v>-0.02</v>
      </c>
      <c r="AK3250">
        <v>86</v>
      </c>
      <c r="AL3250">
        <v>37</v>
      </c>
      <c r="AM3250">
        <v>15</v>
      </c>
      <c r="AN3250">
        <v>4.54</v>
      </c>
      <c r="AO3250">
        <v>-0.75</v>
      </c>
      <c r="AP3250">
        <v>48</v>
      </c>
      <c r="AQ3250">
        <v>0</v>
      </c>
      <c r="AR3250">
        <v>9.77</v>
      </c>
      <c r="AS3250">
        <v>77</v>
      </c>
      <c r="AT3250">
        <v>5.08</v>
      </c>
      <c r="AU3250">
        <v>77</v>
      </c>
      <c r="AV3250">
        <v>-2.77</v>
      </c>
      <c r="AW3250">
        <v>82</v>
      </c>
      <c r="AX3250">
        <v>1.1200000000000001</v>
      </c>
      <c r="AY3250">
        <v>63</v>
      </c>
      <c r="AZ3250">
        <v>5.6</v>
      </c>
      <c r="BA3250">
        <v>57</v>
      </c>
      <c r="BB3250">
        <v>4.57</v>
      </c>
      <c r="BC3250">
        <v>57</v>
      </c>
      <c r="BD3250">
        <v>-0.06</v>
      </c>
      <c r="BE3250">
        <v>-0.06</v>
      </c>
      <c r="BF3250">
        <v>-0.14000000000000001</v>
      </c>
      <c r="BG3250">
        <v>92</v>
      </c>
      <c r="BH3250">
        <v>-0.05</v>
      </c>
      <c r="BI3250">
        <v>-4.05</v>
      </c>
      <c r="BJ3250">
        <v>10</v>
      </c>
      <c r="BK3250">
        <v>5</v>
      </c>
      <c r="BL3250">
        <v>1.38</v>
      </c>
      <c r="BM3250">
        <v>-0.95</v>
      </c>
      <c r="BN3250">
        <v>1.08</v>
      </c>
      <c r="BO3250">
        <v>1.61</v>
      </c>
      <c r="BP3250">
        <v>0.64</v>
      </c>
      <c r="BQ3250">
        <v>2.68</v>
      </c>
      <c r="BR3250">
        <v>0.3</v>
      </c>
      <c r="BS3250">
        <v>2.0499999999999998</v>
      </c>
      <c r="BT3250">
        <v>0.36</v>
      </c>
      <c r="BU3250">
        <v>2.95</v>
      </c>
      <c r="BV3250">
        <v>3.6</v>
      </c>
      <c r="BW3250">
        <v>3.45</v>
      </c>
      <c r="BX3250">
        <v>2.5</v>
      </c>
      <c r="BY3250">
        <v>2.34</v>
      </c>
      <c r="BZ3250">
        <v>-1.92</v>
      </c>
      <c r="CA3250">
        <v>3.13</v>
      </c>
      <c r="CB3250">
        <v>2.72</v>
      </c>
      <c r="CC3250">
        <v>2.16</v>
      </c>
      <c r="CD3250">
        <v>-1.17</v>
      </c>
      <c r="CE3250">
        <v>1.1399999999999999</v>
      </c>
      <c r="CF3250">
        <v>1.5</v>
      </c>
      <c r="CG3250">
        <v>0</v>
      </c>
      <c r="CH3250">
        <v>2.5299999999999998</v>
      </c>
      <c r="CI3250">
        <v>0</v>
      </c>
      <c r="CJ3250">
        <v>-3.9</v>
      </c>
      <c r="CK3250">
        <v>75</v>
      </c>
      <c r="CL3250">
        <v>-1.18</v>
      </c>
      <c r="CM3250">
        <v>70</v>
      </c>
      <c r="CN3250">
        <v>-0.93</v>
      </c>
      <c r="CO3250">
        <v>67</v>
      </c>
      <c r="CP3250">
        <v>-2.9</v>
      </c>
      <c r="CQ3250">
        <v>74</v>
      </c>
      <c r="CR3250">
        <v>0</v>
      </c>
      <c r="CS3250">
        <v>0</v>
      </c>
      <c r="CT3250">
        <v>13.6</v>
      </c>
      <c r="CU3250">
        <v>70</v>
      </c>
      <c r="CV3250">
        <v>0.16</v>
      </c>
      <c r="CW3250">
        <v>41</v>
      </c>
      <c r="CX3250" t="s">
        <v>3035</v>
      </c>
    </row>
    <row r="3251" spans="1:102" x14ac:dyDescent="0.3">
      <c r="A3251" t="str">
        <f>HYPERLINK("https://webapp.icbf.com/v2/app/bull-search/view/974324259","S1348")</f>
        <v>S1348</v>
      </c>
      <c r="B3251" t="s">
        <v>144</v>
      </c>
      <c r="C3251" t="s">
        <v>13113</v>
      </c>
      <c r="D3251" s="1">
        <v>38709</v>
      </c>
      <c r="E3251" t="s">
        <v>895</v>
      </c>
      <c r="F3251">
        <v>0</v>
      </c>
      <c r="G3251" t="s">
        <v>93</v>
      </c>
      <c r="H3251">
        <v>-23.24</v>
      </c>
      <c r="I3251">
        <v>44</v>
      </c>
      <c r="J3251">
        <v>-13.92</v>
      </c>
      <c r="K3251">
        <v>69</v>
      </c>
      <c r="L3251">
        <v>-8.32</v>
      </c>
      <c r="M3251">
        <v>26</v>
      </c>
      <c r="N3251">
        <v>-27.39</v>
      </c>
      <c r="O3251">
        <v>45</v>
      </c>
      <c r="P3251">
        <v>6.5</v>
      </c>
      <c r="Q3251">
        <v>51</v>
      </c>
      <c r="R3251">
        <v>1.3</v>
      </c>
      <c r="S3251">
        <v>25</v>
      </c>
      <c r="T3251">
        <v>22.93</v>
      </c>
      <c r="U3251">
        <v>20</v>
      </c>
      <c r="V3251">
        <v>-4.34</v>
      </c>
      <c r="W3251">
        <v>27</v>
      </c>
      <c r="X3251" t="s">
        <v>94</v>
      </c>
      <c r="Y3251" t="s">
        <v>342</v>
      </c>
      <c r="Z3251">
        <v>0</v>
      </c>
      <c r="AA3251" t="s">
        <v>13114</v>
      </c>
      <c r="AB3251" t="s">
        <v>13115</v>
      </c>
      <c r="AC3251">
        <v>11</v>
      </c>
      <c r="AD3251">
        <v>6</v>
      </c>
      <c r="AE3251">
        <v>69</v>
      </c>
      <c r="AF3251">
        <v>-222.77</v>
      </c>
      <c r="AG3251">
        <v>-5.28</v>
      </c>
      <c r="AH3251">
        <v>-3.91</v>
      </c>
      <c r="AI3251">
        <v>0.06</v>
      </c>
      <c r="AJ3251">
        <v>0.06</v>
      </c>
      <c r="AK3251">
        <v>26</v>
      </c>
      <c r="AL3251">
        <v>18</v>
      </c>
      <c r="AM3251">
        <v>7</v>
      </c>
      <c r="AN3251">
        <v>2.31</v>
      </c>
      <c r="AO3251">
        <v>1.67</v>
      </c>
      <c r="AP3251">
        <v>32</v>
      </c>
      <c r="AQ3251">
        <v>0</v>
      </c>
      <c r="AR3251">
        <v>8.9499999999999993</v>
      </c>
      <c r="AS3251">
        <v>24</v>
      </c>
      <c r="AT3251">
        <v>4.07</v>
      </c>
      <c r="AU3251">
        <v>37</v>
      </c>
      <c r="AV3251">
        <v>1.91</v>
      </c>
      <c r="AW3251">
        <v>74</v>
      </c>
      <c r="AX3251">
        <v>0.28000000000000003</v>
      </c>
      <c r="AY3251">
        <v>32</v>
      </c>
      <c r="AZ3251">
        <v>6.21</v>
      </c>
      <c r="BA3251">
        <v>8</v>
      </c>
      <c r="BB3251">
        <v>4.7699999999999996</v>
      </c>
      <c r="BC3251">
        <v>6</v>
      </c>
      <c r="BD3251">
        <v>0</v>
      </c>
      <c r="BE3251">
        <v>0</v>
      </c>
      <c r="BF3251">
        <v>-0.03</v>
      </c>
      <c r="BG3251">
        <v>32</v>
      </c>
      <c r="BH3251">
        <v>-0.18</v>
      </c>
      <c r="BI3251">
        <v>-6.82</v>
      </c>
      <c r="BJ3251">
        <v>0</v>
      </c>
      <c r="BK3251">
        <v>0</v>
      </c>
      <c r="BL3251">
        <v>0</v>
      </c>
      <c r="BM3251">
        <v>0</v>
      </c>
      <c r="BN3251">
        <v>0</v>
      </c>
      <c r="BO3251">
        <v>0</v>
      </c>
      <c r="BP3251">
        <v>0</v>
      </c>
      <c r="BQ3251">
        <v>0</v>
      </c>
      <c r="BR3251">
        <v>0</v>
      </c>
      <c r="BS3251">
        <v>0</v>
      </c>
      <c r="BT3251">
        <v>0</v>
      </c>
      <c r="BU3251">
        <v>0</v>
      </c>
      <c r="BV3251">
        <v>0</v>
      </c>
      <c r="BW3251">
        <v>0</v>
      </c>
      <c r="BX3251">
        <v>0</v>
      </c>
      <c r="BY3251">
        <v>0</v>
      </c>
      <c r="BZ3251">
        <v>0</v>
      </c>
      <c r="CA3251">
        <v>0</v>
      </c>
      <c r="CB3251">
        <v>0</v>
      </c>
      <c r="CC3251">
        <v>0</v>
      </c>
      <c r="CD3251">
        <v>0</v>
      </c>
      <c r="CE3251">
        <v>0</v>
      </c>
      <c r="CF3251">
        <v>0</v>
      </c>
      <c r="CG3251">
        <v>0</v>
      </c>
      <c r="CH3251">
        <v>0</v>
      </c>
      <c r="CI3251">
        <v>0</v>
      </c>
      <c r="CJ3251">
        <v>4.5999999999999996</v>
      </c>
      <c r="CK3251">
        <v>57</v>
      </c>
      <c r="CL3251">
        <v>0.06</v>
      </c>
      <c r="CM3251">
        <v>46</v>
      </c>
      <c r="CN3251">
        <v>-0.06</v>
      </c>
      <c r="CO3251">
        <v>42</v>
      </c>
      <c r="CP3251">
        <v>-7.8</v>
      </c>
      <c r="CQ3251">
        <v>35</v>
      </c>
      <c r="CR3251">
        <v>0</v>
      </c>
      <c r="CS3251">
        <v>0</v>
      </c>
      <c r="CT3251">
        <v>-17.2</v>
      </c>
      <c r="CU3251">
        <v>20</v>
      </c>
      <c r="CV3251">
        <v>0.02</v>
      </c>
      <c r="CW3251">
        <v>15</v>
      </c>
      <c r="CX3251" t="s">
        <v>13116</v>
      </c>
    </row>
    <row r="3252" spans="1:102" x14ac:dyDescent="0.3">
      <c r="A3252" t="str">
        <f>HYPERLINK("https://webapp.icbf.com/v2/app/bull-search/view/77856355","JSO")</f>
        <v>JSO</v>
      </c>
      <c r="B3252" t="s">
        <v>919</v>
      </c>
      <c r="C3252" t="s">
        <v>920</v>
      </c>
      <c r="D3252" s="1">
        <v>32688</v>
      </c>
      <c r="E3252" t="s">
        <v>92</v>
      </c>
      <c r="F3252">
        <v>100</v>
      </c>
      <c r="G3252" t="s">
        <v>93</v>
      </c>
      <c r="H3252">
        <v>-23.34</v>
      </c>
      <c r="I3252">
        <v>91</v>
      </c>
      <c r="J3252">
        <v>30.72</v>
      </c>
      <c r="K3252">
        <v>98</v>
      </c>
      <c r="L3252">
        <v>-53.8</v>
      </c>
      <c r="M3252">
        <v>90</v>
      </c>
      <c r="N3252">
        <v>13.49</v>
      </c>
      <c r="O3252">
        <v>84</v>
      </c>
      <c r="P3252">
        <v>-1.41</v>
      </c>
      <c r="Q3252">
        <v>94</v>
      </c>
      <c r="R3252">
        <v>-13.32</v>
      </c>
      <c r="S3252">
        <v>79</v>
      </c>
      <c r="T3252">
        <v>4.28</v>
      </c>
      <c r="U3252">
        <v>90</v>
      </c>
      <c r="V3252">
        <v>-3.3</v>
      </c>
      <c r="W3252">
        <v>58</v>
      </c>
      <c r="X3252" t="s">
        <v>276</v>
      </c>
      <c r="Y3252" t="s">
        <v>95</v>
      </c>
      <c r="Z3252" t="s">
        <v>96</v>
      </c>
      <c r="AA3252" t="s">
        <v>724</v>
      </c>
      <c r="AB3252" t="s">
        <v>921</v>
      </c>
      <c r="AC3252">
        <v>279</v>
      </c>
      <c r="AD3252">
        <v>162</v>
      </c>
      <c r="AE3252">
        <v>98</v>
      </c>
      <c r="AF3252">
        <v>-45.77</v>
      </c>
      <c r="AG3252">
        <v>2.95</v>
      </c>
      <c r="AH3252">
        <v>3.48</v>
      </c>
      <c r="AI3252">
        <v>0.08</v>
      </c>
      <c r="AJ3252">
        <v>0.08</v>
      </c>
      <c r="AK3252">
        <v>90</v>
      </c>
      <c r="AL3252">
        <v>317</v>
      </c>
      <c r="AM3252">
        <v>171</v>
      </c>
      <c r="AN3252">
        <v>2.95</v>
      </c>
      <c r="AO3252">
        <v>-1.34</v>
      </c>
      <c r="AP3252">
        <v>53</v>
      </c>
      <c r="AQ3252">
        <v>0</v>
      </c>
      <c r="AR3252">
        <v>6.22</v>
      </c>
      <c r="AS3252">
        <v>67</v>
      </c>
      <c r="AT3252">
        <v>3.27</v>
      </c>
      <c r="AU3252">
        <v>86</v>
      </c>
      <c r="AV3252">
        <v>-1.37</v>
      </c>
      <c r="AW3252">
        <v>87</v>
      </c>
      <c r="AX3252">
        <v>-0.22</v>
      </c>
      <c r="AY3252">
        <v>91</v>
      </c>
      <c r="AZ3252">
        <v>5.72</v>
      </c>
      <c r="BA3252">
        <v>64</v>
      </c>
      <c r="BB3252">
        <v>5.26</v>
      </c>
      <c r="BC3252">
        <v>78</v>
      </c>
      <c r="BD3252">
        <v>0.11</v>
      </c>
      <c r="BE3252">
        <v>7.0000000000000007E-2</v>
      </c>
      <c r="BF3252">
        <v>-0.01</v>
      </c>
      <c r="BG3252">
        <v>94</v>
      </c>
      <c r="BH3252">
        <v>0.09</v>
      </c>
      <c r="BI3252">
        <v>21.05</v>
      </c>
      <c r="BJ3252">
        <v>30</v>
      </c>
      <c r="BK3252">
        <v>23</v>
      </c>
      <c r="BL3252">
        <v>0.09</v>
      </c>
      <c r="BM3252">
        <v>-1.62</v>
      </c>
      <c r="BN3252">
        <v>-1.25</v>
      </c>
      <c r="BO3252">
        <v>7.0000000000000007E-2</v>
      </c>
      <c r="BP3252">
        <v>0.37</v>
      </c>
      <c r="BQ3252">
        <v>-1.1499999999999999</v>
      </c>
      <c r="BR3252">
        <v>2.14</v>
      </c>
      <c r="BS3252">
        <v>-2.62</v>
      </c>
      <c r="BT3252">
        <v>-1.47</v>
      </c>
      <c r="BU3252">
        <v>0.89</v>
      </c>
      <c r="BV3252">
        <v>-0.6</v>
      </c>
      <c r="BW3252">
        <v>0.51</v>
      </c>
      <c r="BX3252">
        <v>1.06</v>
      </c>
      <c r="BY3252">
        <v>1.1499999999999999</v>
      </c>
      <c r="BZ3252">
        <v>-1.04</v>
      </c>
      <c r="CA3252">
        <v>-0.7</v>
      </c>
      <c r="CB3252">
        <v>0.36</v>
      </c>
      <c r="CC3252">
        <v>-2.71</v>
      </c>
      <c r="CD3252">
        <v>-0.87</v>
      </c>
      <c r="CE3252">
        <v>-0.49</v>
      </c>
      <c r="CF3252">
        <v>-1.38</v>
      </c>
      <c r="CG3252">
        <v>0</v>
      </c>
      <c r="CH3252">
        <v>-0.63</v>
      </c>
      <c r="CI3252">
        <v>0</v>
      </c>
      <c r="CJ3252">
        <v>2</v>
      </c>
      <c r="CK3252">
        <v>94</v>
      </c>
      <c r="CL3252">
        <v>-0.55000000000000004</v>
      </c>
      <c r="CM3252">
        <v>93</v>
      </c>
      <c r="CN3252">
        <v>-0.15</v>
      </c>
      <c r="CO3252">
        <v>92</v>
      </c>
      <c r="CP3252">
        <v>-1.7</v>
      </c>
      <c r="CQ3252">
        <v>95</v>
      </c>
      <c r="CR3252">
        <v>0</v>
      </c>
      <c r="CS3252">
        <v>0</v>
      </c>
      <c r="CT3252">
        <v>8</v>
      </c>
      <c r="CU3252">
        <v>90</v>
      </c>
      <c r="CV3252">
        <v>0.24</v>
      </c>
      <c r="CW3252">
        <v>27</v>
      </c>
      <c r="CX3252" t="s">
        <v>120</v>
      </c>
    </row>
    <row r="3253" spans="1:102" x14ac:dyDescent="0.3">
      <c r="A3253" t="str">
        <f>HYPERLINK("https://webapp.icbf.com/v2/app/bull-search/view/77858803","DBK")</f>
        <v>DBK</v>
      </c>
      <c r="B3253" t="s">
        <v>11282</v>
      </c>
      <c r="C3253" t="s">
        <v>11283</v>
      </c>
      <c r="D3253" s="1">
        <v>32897</v>
      </c>
      <c r="E3253" t="s">
        <v>92</v>
      </c>
      <c r="F3253">
        <v>100</v>
      </c>
      <c r="G3253" t="s">
        <v>109</v>
      </c>
      <c r="H3253">
        <v>-23.36</v>
      </c>
      <c r="I3253">
        <v>79</v>
      </c>
      <c r="J3253">
        <v>-21.67</v>
      </c>
      <c r="K3253">
        <v>92</v>
      </c>
      <c r="L3253">
        <v>-16.07</v>
      </c>
      <c r="M3253">
        <v>81</v>
      </c>
      <c r="N3253">
        <v>18.86</v>
      </c>
      <c r="O3253">
        <v>63</v>
      </c>
      <c r="P3253">
        <v>-2.4300000000000002</v>
      </c>
      <c r="Q3253">
        <v>63</v>
      </c>
      <c r="R3253">
        <v>-1.38</v>
      </c>
      <c r="S3253">
        <v>76</v>
      </c>
      <c r="T3253">
        <v>6.13</v>
      </c>
      <c r="U3253">
        <v>61</v>
      </c>
      <c r="V3253">
        <v>-6.8</v>
      </c>
      <c r="W3253">
        <v>65</v>
      </c>
      <c r="X3253" t="s">
        <v>102</v>
      </c>
      <c r="Y3253" t="s">
        <v>95</v>
      </c>
      <c r="Z3253" t="s">
        <v>96</v>
      </c>
      <c r="AA3253" t="s">
        <v>111</v>
      </c>
      <c r="AB3253" t="s">
        <v>10769</v>
      </c>
      <c r="AC3253">
        <v>0</v>
      </c>
      <c r="AD3253">
        <v>0</v>
      </c>
      <c r="AE3253">
        <v>92</v>
      </c>
      <c r="AF3253">
        <v>-139.03</v>
      </c>
      <c r="AG3253">
        <v>-5.38</v>
      </c>
      <c r="AH3253">
        <v>-3.91</v>
      </c>
      <c r="AI3253">
        <v>0</v>
      </c>
      <c r="AJ3253">
        <v>0.01</v>
      </c>
      <c r="AK3253">
        <v>81</v>
      </c>
      <c r="AL3253">
        <v>0</v>
      </c>
      <c r="AM3253">
        <v>0</v>
      </c>
      <c r="AN3253">
        <v>1.77</v>
      </c>
      <c r="AO3253">
        <v>0.5</v>
      </c>
      <c r="AP3253">
        <v>5</v>
      </c>
      <c r="AQ3253">
        <v>0</v>
      </c>
      <c r="AR3253">
        <v>5.52</v>
      </c>
      <c r="AS3253">
        <v>57</v>
      </c>
      <c r="AT3253">
        <v>2.73</v>
      </c>
      <c r="AU3253">
        <v>82</v>
      </c>
      <c r="AV3253">
        <v>-0.94</v>
      </c>
      <c r="AW3253">
        <v>58</v>
      </c>
      <c r="AX3253">
        <v>-0.56000000000000005</v>
      </c>
      <c r="AY3253">
        <v>59</v>
      </c>
      <c r="AZ3253">
        <v>5.89</v>
      </c>
      <c r="BA3253">
        <v>49</v>
      </c>
      <c r="BB3253">
        <v>4.82</v>
      </c>
      <c r="BC3253">
        <v>54</v>
      </c>
      <c r="BD3253">
        <v>-0.02</v>
      </c>
      <c r="BE3253">
        <v>0.05</v>
      </c>
      <c r="BF3253">
        <v>-0.03</v>
      </c>
      <c r="BG3253">
        <v>88</v>
      </c>
      <c r="BH3253">
        <v>-0.02</v>
      </c>
      <c r="BI3253">
        <v>19.63</v>
      </c>
      <c r="BJ3253">
        <v>2</v>
      </c>
      <c r="BK3253">
        <v>1</v>
      </c>
      <c r="BL3253">
        <v>0.63</v>
      </c>
      <c r="BM3253">
        <v>0.76</v>
      </c>
      <c r="BN3253">
        <v>0.72</v>
      </c>
      <c r="BO3253">
        <v>0.12</v>
      </c>
      <c r="BP3253">
        <v>-0.69</v>
      </c>
      <c r="BQ3253">
        <v>-2</v>
      </c>
      <c r="BR3253">
        <v>-2.25</v>
      </c>
      <c r="BS3253">
        <v>0.9</v>
      </c>
      <c r="BT3253">
        <v>0.08</v>
      </c>
      <c r="BU3253">
        <v>0.52</v>
      </c>
      <c r="BV3253">
        <v>0.01</v>
      </c>
      <c r="BW3253">
        <v>-0.21</v>
      </c>
      <c r="BX3253">
        <v>0.56000000000000005</v>
      </c>
      <c r="BY3253">
        <v>0.44</v>
      </c>
      <c r="BZ3253">
        <v>-1.5</v>
      </c>
      <c r="CA3253">
        <v>0.66</v>
      </c>
      <c r="CB3253">
        <v>0.37</v>
      </c>
      <c r="CC3253">
        <v>0.9</v>
      </c>
      <c r="CD3253">
        <v>0.38</v>
      </c>
      <c r="CE3253">
        <v>0.3</v>
      </c>
      <c r="CF3253">
        <v>-0.14000000000000001</v>
      </c>
      <c r="CG3253">
        <v>0</v>
      </c>
      <c r="CH3253">
        <v>0.28000000000000003</v>
      </c>
      <c r="CI3253">
        <v>0</v>
      </c>
      <c r="CJ3253">
        <v>1.8</v>
      </c>
      <c r="CK3253">
        <v>64</v>
      </c>
      <c r="CL3253">
        <v>-0.54</v>
      </c>
      <c r="CM3253">
        <v>61</v>
      </c>
      <c r="CN3253">
        <v>-7.0000000000000007E-2</v>
      </c>
      <c r="CO3253">
        <v>59</v>
      </c>
      <c r="CP3253">
        <v>-1.1000000000000001</v>
      </c>
      <c r="CQ3253">
        <v>67</v>
      </c>
      <c r="CR3253">
        <v>0</v>
      </c>
      <c r="CS3253">
        <v>0</v>
      </c>
      <c r="CT3253">
        <v>5.5</v>
      </c>
      <c r="CU3253">
        <v>61</v>
      </c>
      <c r="CV3253">
        <v>0.1</v>
      </c>
      <c r="CW3253">
        <v>38</v>
      </c>
      <c r="CX3253" t="s">
        <v>707</v>
      </c>
    </row>
    <row r="3254" spans="1:102" x14ac:dyDescent="0.3">
      <c r="A3254" t="str">
        <f>HYPERLINK("https://webapp.icbf.com/v2/app/bull-search/view/77854804","NWL")</f>
        <v>NWL</v>
      </c>
      <c r="B3254" t="s">
        <v>14273</v>
      </c>
      <c r="C3254" t="s">
        <v>643</v>
      </c>
      <c r="D3254" s="1">
        <v>33659</v>
      </c>
      <c r="E3254" t="s">
        <v>92</v>
      </c>
      <c r="F3254">
        <v>100</v>
      </c>
      <c r="G3254" t="s">
        <v>93</v>
      </c>
      <c r="H3254">
        <v>-23.36</v>
      </c>
      <c r="I3254">
        <v>96</v>
      </c>
      <c r="J3254">
        <v>17.32</v>
      </c>
      <c r="K3254">
        <v>99</v>
      </c>
      <c r="L3254">
        <v>-15.92</v>
      </c>
      <c r="M3254">
        <v>93</v>
      </c>
      <c r="N3254">
        <v>-6.42</v>
      </c>
      <c r="O3254">
        <v>96</v>
      </c>
      <c r="P3254">
        <v>-10.57</v>
      </c>
      <c r="Q3254">
        <v>98</v>
      </c>
      <c r="R3254">
        <v>-1.61</v>
      </c>
      <c r="S3254">
        <v>92</v>
      </c>
      <c r="T3254">
        <v>14.2</v>
      </c>
      <c r="U3254">
        <v>97</v>
      </c>
      <c r="V3254">
        <v>-20.36</v>
      </c>
      <c r="W3254">
        <v>90</v>
      </c>
      <c r="X3254" t="s">
        <v>276</v>
      </c>
      <c r="Y3254" t="s">
        <v>95</v>
      </c>
      <c r="Z3254" t="s">
        <v>96</v>
      </c>
      <c r="AA3254" t="s">
        <v>132</v>
      </c>
      <c r="AB3254" t="s">
        <v>772</v>
      </c>
      <c r="AC3254">
        <v>857</v>
      </c>
      <c r="AD3254">
        <v>426</v>
      </c>
      <c r="AE3254">
        <v>99</v>
      </c>
      <c r="AF3254">
        <v>51.49</v>
      </c>
      <c r="AG3254">
        <v>1.96</v>
      </c>
      <c r="AH3254">
        <v>3.04</v>
      </c>
      <c r="AI3254">
        <v>0</v>
      </c>
      <c r="AJ3254">
        <v>0.02</v>
      </c>
      <c r="AK3254">
        <v>93</v>
      </c>
      <c r="AL3254">
        <v>831</v>
      </c>
      <c r="AM3254">
        <v>376</v>
      </c>
      <c r="AN3254">
        <v>0.84</v>
      </c>
      <c r="AO3254">
        <v>-0.43</v>
      </c>
      <c r="AP3254">
        <v>44</v>
      </c>
      <c r="AQ3254">
        <v>2</v>
      </c>
      <c r="AR3254">
        <v>8.75</v>
      </c>
      <c r="AS3254">
        <v>91</v>
      </c>
      <c r="AT3254">
        <v>3.92</v>
      </c>
      <c r="AU3254">
        <v>98</v>
      </c>
      <c r="AV3254">
        <v>-0.27</v>
      </c>
      <c r="AW3254">
        <v>97</v>
      </c>
      <c r="AX3254">
        <v>-0.14000000000000001</v>
      </c>
      <c r="AY3254">
        <v>97</v>
      </c>
      <c r="AZ3254">
        <v>6.39</v>
      </c>
      <c r="BA3254">
        <v>92</v>
      </c>
      <c r="BB3254">
        <v>4.62</v>
      </c>
      <c r="BC3254">
        <v>94</v>
      </c>
      <c r="BD3254">
        <v>0</v>
      </c>
      <c r="BE3254">
        <v>0.03</v>
      </c>
      <c r="BF3254">
        <v>-0.02</v>
      </c>
      <c r="BG3254">
        <v>98</v>
      </c>
      <c r="BH3254">
        <v>-0.38</v>
      </c>
      <c r="BI3254">
        <v>21.73</v>
      </c>
      <c r="BJ3254">
        <v>71</v>
      </c>
      <c r="BK3254">
        <v>35</v>
      </c>
      <c r="BL3254">
        <v>-0.15</v>
      </c>
      <c r="BM3254">
        <v>-1.96</v>
      </c>
      <c r="BN3254">
        <v>-1.32</v>
      </c>
      <c r="BO3254">
        <v>0.22</v>
      </c>
      <c r="BP3254">
        <v>2.7</v>
      </c>
      <c r="BQ3254">
        <v>-2.54</v>
      </c>
      <c r="BR3254">
        <v>-1.32</v>
      </c>
      <c r="BS3254">
        <v>1.64</v>
      </c>
      <c r="BT3254">
        <v>1.07</v>
      </c>
      <c r="BU3254">
        <v>-0.2</v>
      </c>
      <c r="BV3254">
        <v>1.06</v>
      </c>
      <c r="BW3254">
        <v>1.1399999999999999</v>
      </c>
      <c r="BX3254">
        <v>-0.49</v>
      </c>
      <c r="BY3254">
        <v>0.28000000000000003</v>
      </c>
      <c r="BZ3254">
        <v>2.0499999999999998</v>
      </c>
      <c r="CA3254">
        <v>0.98</v>
      </c>
      <c r="CB3254">
        <v>0.42</v>
      </c>
      <c r="CC3254">
        <v>1.47</v>
      </c>
      <c r="CD3254">
        <v>-0.86</v>
      </c>
      <c r="CE3254">
        <v>0.56999999999999995</v>
      </c>
      <c r="CF3254">
        <v>-0.64</v>
      </c>
      <c r="CG3254">
        <v>0</v>
      </c>
      <c r="CH3254">
        <v>1.54</v>
      </c>
      <c r="CI3254">
        <v>0</v>
      </c>
      <c r="CJ3254">
        <v>-5.4</v>
      </c>
      <c r="CK3254">
        <v>98</v>
      </c>
      <c r="CL3254">
        <v>-0.49</v>
      </c>
      <c r="CM3254">
        <v>98</v>
      </c>
      <c r="CN3254">
        <v>-0.3</v>
      </c>
      <c r="CO3254">
        <v>98</v>
      </c>
      <c r="CP3254">
        <v>-10.5</v>
      </c>
      <c r="CQ3254">
        <v>99</v>
      </c>
      <c r="CR3254">
        <v>0</v>
      </c>
      <c r="CS3254">
        <v>0</v>
      </c>
      <c r="CT3254">
        <v>-5.4</v>
      </c>
      <c r="CU3254">
        <v>97</v>
      </c>
      <c r="CV3254">
        <v>7.0000000000000007E-2</v>
      </c>
      <c r="CW3254">
        <v>31</v>
      </c>
      <c r="CX3254" t="s">
        <v>724</v>
      </c>
    </row>
    <row r="3255" spans="1:102" x14ac:dyDescent="0.3">
      <c r="A3255" t="str">
        <f>HYPERLINK("https://webapp.icbf.com/v2/app/bull-search/view/462660398","S430")</f>
        <v>S430</v>
      </c>
      <c r="B3255" t="s">
        <v>8176</v>
      </c>
      <c r="C3255" t="s">
        <v>8177</v>
      </c>
      <c r="D3255" s="1">
        <v>37018</v>
      </c>
      <c r="E3255" t="s">
        <v>92</v>
      </c>
      <c r="F3255">
        <v>100</v>
      </c>
      <c r="G3255" t="s">
        <v>93</v>
      </c>
      <c r="H3255">
        <v>-23.5</v>
      </c>
      <c r="I3255">
        <v>97</v>
      </c>
      <c r="J3255">
        <v>31.71</v>
      </c>
      <c r="K3255">
        <v>99</v>
      </c>
      <c r="L3255">
        <v>-80.13</v>
      </c>
      <c r="M3255">
        <v>95</v>
      </c>
      <c r="N3255">
        <v>35.76</v>
      </c>
      <c r="O3255">
        <v>97</v>
      </c>
      <c r="P3255">
        <v>-7.66</v>
      </c>
      <c r="Q3255">
        <v>99</v>
      </c>
      <c r="R3255">
        <v>-0.83</v>
      </c>
      <c r="S3255">
        <v>92</v>
      </c>
      <c r="T3255">
        <v>-2.08</v>
      </c>
      <c r="U3255">
        <v>97</v>
      </c>
      <c r="V3255">
        <v>-0.27</v>
      </c>
      <c r="W3255">
        <v>90</v>
      </c>
      <c r="X3255" t="s">
        <v>102</v>
      </c>
      <c r="Y3255" t="s">
        <v>545</v>
      </c>
      <c r="Z3255" t="s">
        <v>96</v>
      </c>
      <c r="AA3255" t="s">
        <v>289</v>
      </c>
      <c r="AB3255" t="s">
        <v>4809</v>
      </c>
      <c r="AC3255">
        <v>1004</v>
      </c>
      <c r="AD3255">
        <v>239</v>
      </c>
      <c r="AE3255">
        <v>99</v>
      </c>
      <c r="AF3255">
        <v>495.5</v>
      </c>
      <c r="AG3255">
        <v>7.54</v>
      </c>
      <c r="AH3255">
        <v>10.31</v>
      </c>
      <c r="AI3255">
        <v>-0.19</v>
      </c>
      <c r="AJ3255">
        <v>-0.1</v>
      </c>
      <c r="AK3255">
        <v>95</v>
      </c>
      <c r="AL3255">
        <v>967</v>
      </c>
      <c r="AM3255">
        <v>247</v>
      </c>
      <c r="AN3255">
        <v>4.3899999999999997</v>
      </c>
      <c r="AO3255">
        <v>-2</v>
      </c>
      <c r="AP3255">
        <v>1759</v>
      </c>
      <c r="AQ3255">
        <v>13</v>
      </c>
      <c r="AR3255">
        <v>5.24</v>
      </c>
      <c r="AS3255">
        <v>97</v>
      </c>
      <c r="AT3255">
        <v>2.93</v>
      </c>
      <c r="AU3255">
        <v>99</v>
      </c>
      <c r="AV3255">
        <v>-3.22</v>
      </c>
      <c r="AW3255">
        <v>99</v>
      </c>
      <c r="AX3255">
        <v>-0.11</v>
      </c>
      <c r="AY3255">
        <v>97</v>
      </c>
      <c r="AZ3255">
        <v>6.05</v>
      </c>
      <c r="BA3255">
        <v>92</v>
      </c>
      <c r="BB3255">
        <v>4.5999999999999996</v>
      </c>
      <c r="BC3255">
        <v>90</v>
      </c>
      <c r="BD3255">
        <v>0</v>
      </c>
      <c r="BE3255">
        <v>0.01</v>
      </c>
      <c r="BF3255">
        <v>0</v>
      </c>
      <c r="BG3255">
        <v>98</v>
      </c>
      <c r="BH3255">
        <v>-0.09</v>
      </c>
      <c r="BI3255">
        <v>-9.5500000000000007</v>
      </c>
      <c r="BJ3255">
        <v>462</v>
      </c>
      <c r="BK3255">
        <v>126</v>
      </c>
      <c r="BL3255">
        <v>1.41</v>
      </c>
      <c r="BM3255">
        <v>-0.35</v>
      </c>
      <c r="BN3255">
        <v>0.57999999999999996</v>
      </c>
      <c r="BO3255">
        <v>0.98</v>
      </c>
      <c r="BP3255">
        <v>1.18</v>
      </c>
      <c r="BQ3255">
        <v>0.94</v>
      </c>
      <c r="BR3255">
        <v>0.37</v>
      </c>
      <c r="BS3255">
        <v>-0.84</v>
      </c>
      <c r="BT3255">
        <v>-0.62</v>
      </c>
      <c r="BU3255">
        <v>2.16</v>
      </c>
      <c r="BV3255">
        <v>2.13</v>
      </c>
      <c r="BW3255">
        <v>1.98</v>
      </c>
      <c r="BX3255">
        <v>1.55</v>
      </c>
      <c r="BY3255">
        <v>2.68</v>
      </c>
      <c r="BZ3255">
        <v>0.6</v>
      </c>
      <c r="CA3255">
        <v>1.46</v>
      </c>
      <c r="CB3255">
        <v>2.0699999999999998</v>
      </c>
      <c r="CC3255">
        <v>-0.53</v>
      </c>
      <c r="CD3255">
        <v>-0.77</v>
      </c>
      <c r="CE3255">
        <v>1.1499999999999999</v>
      </c>
      <c r="CF3255">
        <v>0.86</v>
      </c>
      <c r="CG3255">
        <v>0</v>
      </c>
      <c r="CH3255">
        <v>2.63</v>
      </c>
      <c r="CI3255">
        <v>0</v>
      </c>
      <c r="CJ3255">
        <v>1.4</v>
      </c>
      <c r="CK3255">
        <v>99</v>
      </c>
      <c r="CL3255">
        <v>-1.36</v>
      </c>
      <c r="CM3255">
        <v>99</v>
      </c>
      <c r="CN3255">
        <v>-0.34</v>
      </c>
      <c r="CO3255">
        <v>99</v>
      </c>
      <c r="CP3255">
        <v>3.1</v>
      </c>
      <c r="CQ3255">
        <v>98</v>
      </c>
      <c r="CR3255">
        <v>0</v>
      </c>
      <c r="CS3255">
        <v>0</v>
      </c>
      <c r="CT3255">
        <v>16.600000000000001</v>
      </c>
      <c r="CU3255">
        <v>97</v>
      </c>
      <c r="CV3255">
        <v>0.44</v>
      </c>
      <c r="CW3255">
        <v>46</v>
      </c>
      <c r="CX3255" t="s">
        <v>1278</v>
      </c>
    </row>
    <row r="3256" spans="1:102" x14ac:dyDescent="0.3">
      <c r="A3256" t="str">
        <f>HYPERLINK("https://webapp.icbf.com/v2/app/bull-search/view/77858206","ELB")</f>
        <v>ELB</v>
      </c>
      <c r="B3256" t="s">
        <v>3618</v>
      </c>
      <c r="C3256" t="s">
        <v>529</v>
      </c>
      <c r="D3256" s="1">
        <v>32778</v>
      </c>
      <c r="E3256" t="s">
        <v>92</v>
      </c>
      <c r="F3256">
        <v>100</v>
      </c>
      <c r="G3256" t="s">
        <v>93</v>
      </c>
      <c r="H3256">
        <v>-23.51</v>
      </c>
      <c r="I3256">
        <v>96</v>
      </c>
      <c r="J3256">
        <v>38.479999999999997</v>
      </c>
      <c r="K3256">
        <v>98</v>
      </c>
      <c r="L3256">
        <v>-81.239999999999995</v>
      </c>
      <c r="M3256">
        <v>96</v>
      </c>
      <c r="N3256">
        <v>22.81</v>
      </c>
      <c r="O3256">
        <v>94</v>
      </c>
      <c r="P3256">
        <v>-6.6</v>
      </c>
      <c r="Q3256">
        <v>96</v>
      </c>
      <c r="R3256">
        <v>-2.87</v>
      </c>
      <c r="S3256">
        <v>93</v>
      </c>
      <c r="T3256">
        <v>16.79</v>
      </c>
      <c r="U3256">
        <v>95</v>
      </c>
      <c r="V3256">
        <v>-10.88</v>
      </c>
      <c r="W3256">
        <v>89</v>
      </c>
      <c r="X3256" t="s">
        <v>110</v>
      </c>
      <c r="Y3256" t="s">
        <v>95</v>
      </c>
      <c r="Z3256" t="s">
        <v>96</v>
      </c>
      <c r="AA3256" t="s">
        <v>3209</v>
      </c>
      <c r="AB3256" t="s">
        <v>3619</v>
      </c>
      <c r="AC3256">
        <v>279</v>
      </c>
      <c r="AD3256">
        <v>160</v>
      </c>
      <c r="AE3256">
        <v>98</v>
      </c>
      <c r="AF3256">
        <v>274.73</v>
      </c>
      <c r="AG3256">
        <v>11.76</v>
      </c>
      <c r="AH3256">
        <v>6.59</v>
      </c>
      <c r="AI3256">
        <v>0.02</v>
      </c>
      <c r="AJ3256">
        <v>-0.05</v>
      </c>
      <c r="AK3256">
        <v>96</v>
      </c>
      <c r="AL3256">
        <v>298</v>
      </c>
      <c r="AM3256">
        <v>130</v>
      </c>
      <c r="AN3256">
        <v>5.12</v>
      </c>
      <c r="AO3256">
        <v>-1.35</v>
      </c>
      <c r="AP3256">
        <v>34</v>
      </c>
      <c r="AQ3256">
        <v>1</v>
      </c>
      <c r="AR3256">
        <v>7.28</v>
      </c>
      <c r="AS3256">
        <v>88</v>
      </c>
      <c r="AT3256">
        <v>2.8</v>
      </c>
      <c r="AU3256">
        <v>99</v>
      </c>
      <c r="AV3256">
        <v>-2.0499999999999998</v>
      </c>
      <c r="AW3256">
        <v>93</v>
      </c>
      <c r="AX3256">
        <v>-0.56999999999999995</v>
      </c>
      <c r="AY3256">
        <v>94</v>
      </c>
      <c r="AZ3256">
        <v>5.72</v>
      </c>
      <c r="BA3256">
        <v>86</v>
      </c>
      <c r="BB3256">
        <v>4.92</v>
      </c>
      <c r="BC3256">
        <v>91</v>
      </c>
      <c r="BD3256">
        <v>-0.03</v>
      </c>
      <c r="BE3256">
        <v>0.04</v>
      </c>
      <c r="BF3256">
        <v>0.04</v>
      </c>
      <c r="BG3256">
        <v>97</v>
      </c>
      <c r="BH3256">
        <v>-0.28999999999999998</v>
      </c>
      <c r="BI3256">
        <v>1.56</v>
      </c>
      <c r="BJ3256">
        <v>51</v>
      </c>
      <c r="BK3256">
        <v>29</v>
      </c>
      <c r="BL3256">
        <v>0.01</v>
      </c>
      <c r="BM3256">
        <v>-0.76</v>
      </c>
      <c r="BN3256">
        <v>-0.5</v>
      </c>
      <c r="BO3256">
        <v>0.28999999999999998</v>
      </c>
      <c r="BP3256">
        <v>-0.52</v>
      </c>
      <c r="BQ3256">
        <v>-0.6</v>
      </c>
      <c r="BR3256">
        <v>-1.46</v>
      </c>
      <c r="BS3256">
        <v>0.02</v>
      </c>
      <c r="BT3256">
        <v>-0.95</v>
      </c>
      <c r="BU3256">
        <v>-1.1200000000000001</v>
      </c>
      <c r="BV3256">
        <v>0.33</v>
      </c>
      <c r="BW3256">
        <v>0.05</v>
      </c>
      <c r="BX3256">
        <v>-1.25</v>
      </c>
      <c r="BY3256">
        <v>-0.92</v>
      </c>
      <c r="BZ3256">
        <v>-0.41</v>
      </c>
      <c r="CA3256">
        <v>-0.67</v>
      </c>
      <c r="CB3256">
        <v>-0.5</v>
      </c>
      <c r="CC3256">
        <v>-0.42</v>
      </c>
      <c r="CD3256">
        <v>-0.53</v>
      </c>
      <c r="CE3256">
        <v>0.42</v>
      </c>
      <c r="CF3256">
        <v>-0.23</v>
      </c>
      <c r="CG3256">
        <v>0</v>
      </c>
      <c r="CH3256">
        <v>-0.89</v>
      </c>
      <c r="CI3256">
        <v>0</v>
      </c>
      <c r="CJ3256">
        <v>0.5</v>
      </c>
      <c r="CK3256">
        <v>96</v>
      </c>
      <c r="CL3256">
        <v>-0.67</v>
      </c>
      <c r="CM3256">
        <v>95</v>
      </c>
      <c r="CN3256">
        <v>-7.0000000000000007E-2</v>
      </c>
      <c r="CO3256">
        <v>95</v>
      </c>
      <c r="CP3256">
        <v>-8</v>
      </c>
      <c r="CQ3256">
        <v>97</v>
      </c>
      <c r="CR3256">
        <v>0</v>
      </c>
      <c r="CS3256">
        <v>0</v>
      </c>
      <c r="CT3256">
        <v>-8.9</v>
      </c>
      <c r="CU3256">
        <v>95</v>
      </c>
      <c r="CV3256">
        <v>0.16</v>
      </c>
      <c r="CW3256">
        <v>48</v>
      </c>
      <c r="CX3256" t="s">
        <v>707</v>
      </c>
    </row>
    <row r="3257" spans="1:102" x14ac:dyDescent="0.3">
      <c r="A3257" t="str">
        <f>HYPERLINK("https://webapp.icbf.com/v2/app/bull-search/view/124414913","MOT")</f>
        <v>MOT</v>
      </c>
      <c r="B3257" t="s">
        <v>15035</v>
      </c>
      <c r="C3257" t="s">
        <v>15036</v>
      </c>
      <c r="D3257" s="1">
        <v>32051</v>
      </c>
      <c r="E3257" t="s">
        <v>92</v>
      </c>
      <c r="F3257">
        <v>50</v>
      </c>
      <c r="G3257" t="s">
        <v>93</v>
      </c>
      <c r="H3257">
        <v>-23.58</v>
      </c>
      <c r="I3257">
        <v>92</v>
      </c>
      <c r="J3257">
        <v>-51.99</v>
      </c>
      <c r="K3257">
        <v>99</v>
      </c>
      <c r="L3257">
        <v>28.27</v>
      </c>
      <c r="M3257">
        <v>88</v>
      </c>
      <c r="N3257">
        <v>11.44</v>
      </c>
      <c r="O3257">
        <v>86</v>
      </c>
      <c r="P3257">
        <v>-10.8</v>
      </c>
      <c r="Q3257">
        <v>96</v>
      </c>
      <c r="R3257">
        <v>-14.92</v>
      </c>
      <c r="S3257">
        <v>83</v>
      </c>
      <c r="T3257">
        <v>19.079999999999998</v>
      </c>
      <c r="U3257">
        <v>94</v>
      </c>
      <c r="V3257">
        <v>-4.66</v>
      </c>
      <c r="W3257">
        <v>70</v>
      </c>
      <c r="X3257" t="s">
        <v>110</v>
      </c>
      <c r="Y3257" t="s">
        <v>95</v>
      </c>
      <c r="Z3257" t="s">
        <v>96</v>
      </c>
      <c r="AA3257" t="s">
        <v>2585</v>
      </c>
      <c r="AB3257" t="s">
        <v>8970</v>
      </c>
      <c r="AC3257">
        <v>399</v>
      </c>
      <c r="AD3257">
        <v>234</v>
      </c>
      <c r="AE3257">
        <v>99</v>
      </c>
      <c r="AF3257">
        <v>-395.87</v>
      </c>
      <c r="AG3257">
        <v>-9.5299999999999994</v>
      </c>
      <c r="AH3257">
        <v>-11.53</v>
      </c>
      <c r="AI3257">
        <v>0.11</v>
      </c>
      <c r="AJ3257">
        <v>0.04</v>
      </c>
      <c r="AK3257">
        <v>88</v>
      </c>
      <c r="AL3257">
        <v>573</v>
      </c>
      <c r="AM3257">
        <v>343</v>
      </c>
      <c r="AN3257">
        <v>-3.46</v>
      </c>
      <c r="AO3257">
        <v>-1.23</v>
      </c>
      <c r="AP3257">
        <v>19</v>
      </c>
      <c r="AQ3257">
        <v>4</v>
      </c>
      <c r="AR3257">
        <v>4.4400000000000004</v>
      </c>
      <c r="AS3257">
        <v>63</v>
      </c>
      <c r="AT3257">
        <v>2.41</v>
      </c>
      <c r="AU3257">
        <v>85</v>
      </c>
      <c r="AV3257">
        <v>-0.54</v>
      </c>
      <c r="AW3257">
        <v>92</v>
      </c>
      <c r="AX3257">
        <v>-0.25</v>
      </c>
      <c r="AY3257">
        <v>93</v>
      </c>
      <c r="AZ3257">
        <v>7.7</v>
      </c>
      <c r="BA3257">
        <v>63</v>
      </c>
      <c r="BB3257">
        <v>5.8</v>
      </c>
      <c r="BC3257">
        <v>82</v>
      </c>
      <c r="BD3257">
        <v>0.06</v>
      </c>
      <c r="BE3257">
        <v>7.0000000000000007E-2</v>
      </c>
      <c r="BF3257">
        <v>0.11</v>
      </c>
      <c r="BG3257">
        <v>97</v>
      </c>
      <c r="BH3257">
        <v>-0.12</v>
      </c>
      <c r="BI3257">
        <v>1.1499999999999999</v>
      </c>
      <c r="BJ3257">
        <v>24</v>
      </c>
      <c r="BK3257">
        <v>21</v>
      </c>
      <c r="BL3257">
        <v>-1.61</v>
      </c>
      <c r="BM3257">
        <v>0.1</v>
      </c>
      <c r="BN3257">
        <v>-0.53</v>
      </c>
      <c r="BO3257">
        <v>-0.72</v>
      </c>
      <c r="BP3257">
        <v>-2.1</v>
      </c>
      <c r="BQ3257">
        <v>-1.07</v>
      </c>
      <c r="BR3257">
        <v>0.13</v>
      </c>
      <c r="BS3257">
        <v>0.94</v>
      </c>
      <c r="BT3257">
        <v>0.34</v>
      </c>
      <c r="BU3257">
        <v>0.11</v>
      </c>
      <c r="BV3257">
        <v>-1.06</v>
      </c>
      <c r="BW3257">
        <v>-1.68</v>
      </c>
      <c r="BX3257">
        <v>-1.71</v>
      </c>
      <c r="BY3257">
        <v>-0.6</v>
      </c>
      <c r="BZ3257">
        <v>-1.74</v>
      </c>
      <c r="CA3257">
        <v>-0.38</v>
      </c>
      <c r="CB3257">
        <v>-0.79</v>
      </c>
      <c r="CC3257">
        <v>0.71</v>
      </c>
      <c r="CD3257">
        <v>0.86</v>
      </c>
      <c r="CE3257">
        <v>-0.88</v>
      </c>
      <c r="CF3257">
        <v>-1.1299999999999999</v>
      </c>
      <c r="CG3257">
        <v>0</v>
      </c>
      <c r="CH3257">
        <v>-0.34</v>
      </c>
      <c r="CI3257">
        <v>0</v>
      </c>
      <c r="CJ3257">
        <v>-4</v>
      </c>
      <c r="CK3257">
        <v>96</v>
      </c>
      <c r="CL3257">
        <v>-0.34</v>
      </c>
      <c r="CM3257">
        <v>95</v>
      </c>
      <c r="CN3257">
        <v>0.05</v>
      </c>
      <c r="CO3257">
        <v>94</v>
      </c>
      <c r="CP3257">
        <v>-7.9</v>
      </c>
      <c r="CQ3257">
        <v>97</v>
      </c>
      <c r="CR3257">
        <v>0</v>
      </c>
      <c r="CS3257">
        <v>0</v>
      </c>
      <c r="CT3257">
        <v>-12</v>
      </c>
      <c r="CU3257">
        <v>94</v>
      </c>
      <c r="CV3257">
        <v>0.06</v>
      </c>
      <c r="CW3257">
        <v>45</v>
      </c>
      <c r="CX3257" t="s">
        <v>8971</v>
      </c>
    </row>
    <row r="3258" spans="1:102" x14ac:dyDescent="0.3">
      <c r="A3258" t="str">
        <f>HYPERLINK("https://webapp.icbf.com/v2/app/bull-search/view/108367924","DMV")</f>
        <v>DMV</v>
      </c>
      <c r="B3258" t="s">
        <v>7779</v>
      </c>
      <c r="C3258" t="s">
        <v>7780</v>
      </c>
      <c r="D3258" s="1">
        <v>36614</v>
      </c>
      <c r="E3258" t="s">
        <v>92</v>
      </c>
      <c r="F3258">
        <v>100</v>
      </c>
      <c r="G3258" t="s">
        <v>93</v>
      </c>
      <c r="H3258">
        <v>-23.75</v>
      </c>
      <c r="I3258">
        <v>89</v>
      </c>
      <c r="J3258">
        <v>58.55</v>
      </c>
      <c r="K3258">
        <v>98</v>
      </c>
      <c r="L3258">
        <v>-109.06</v>
      </c>
      <c r="M3258">
        <v>83</v>
      </c>
      <c r="N3258">
        <v>8.17</v>
      </c>
      <c r="O3258">
        <v>86</v>
      </c>
      <c r="P3258">
        <v>-8.0399999999999991</v>
      </c>
      <c r="Q3258">
        <v>93</v>
      </c>
      <c r="R3258">
        <v>5.65</v>
      </c>
      <c r="S3258">
        <v>84</v>
      </c>
      <c r="T3258">
        <v>16.27</v>
      </c>
      <c r="U3258">
        <v>89</v>
      </c>
      <c r="V3258">
        <v>4.71</v>
      </c>
      <c r="W3258">
        <v>78</v>
      </c>
      <c r="X3258" t="s">
        <v>94</v>
      </c>
      <c r="Y3258" t="s">
        <v>95</v>
      </c>
      <c r="Z3258" t="s">
        <v>96</v>
      </c>
      <c r="AA3258" t="s">
        <v>174</v>
      </c>
      <c r="AB3258" t="s">
        <v>7781</v>
      </c>
      <c r="AC3258">
        <v>127</v>
      </c>
      <c r="AD3258">
        <v>85</v>
      </c>
      <c r="AE3258">
        <v>98</v>
      </c>
      <c r="AF3258">
        <v>252.27</v>
      </c>
      <c r="AG3258">
        <v>4.21</v>
      </c>
      <c r="AH3258">
        <v>12.33</v>
      </c>
      <c r="AI3258">
        <v>-0.09</v>
      </c>
      <c r="AJ3258">
        <v>0.06</v>
      </c>
      <c r="AK3258">
        <v>83</v>
      </c>
      <c r="AL3258">
        <v>108</v>
      </c>
      <c r="AM3258">
        <v>65</v>
      </c>
      <c r="AN3258">
        <v>5.73</v>
      </c>
      <c r="AO3258">
        <v>-2.97</v>
      </c>
      <c r="AP3258">
        <v>181</v>
      </c>
      <c r="AQ3258">
        <v>0</v>
      </c>
      <c r="AR3258">
        <v>7.21</v>
      </c>
      <c r="AS3258">
        <v>78</v>
      </c>
      <c r="AT3258">
        <v>2.76</v>
      </c>
      <c r="AU3258">
        <v>89</v>
      </c>
      <c r="AV3258">
        <v>-1.5</v>
      </c>
      <c r="AW3258">
        <v>92</v>
      </c>
      <c r="AX3258">
        <v>0.21</v>
      </c>
      <c r="AY3258">
        <v>84</v>
      </c>
      <c r="AZ3258">
        <v>8.61</v>
      </c>
      <c r="BA3258">
        <v>70</v>
      </c>
      <c r="BB3258">
        <v>5.71</v>
      </c>
      <c r="BC3258">
        <v>73</v>
      </c>
      <c r="BD3258">
        <v>-0.06</v>
      </c>
      <c r="BE3258">
        <v>0</v>
      </c>
      <c r="BF3258">
        <v>-0.03</v>
      </c>
      <c r="BG3258">
        <v>92</v>
      </c>
      <c r="BH3258">
        <v>0.16</v>
      </c>
      <c r="BI3258">
        <v>3.31</v>
      </c>
      <c r="BJ3258">
        <v>37</v>
      </c>
      <c r="BK3258">
        <v>19</v>
      </c>
      <c r="BL3258">
        <v>-0.98</v>
      </c>
      <c r="BM3258">
        <v>-1.26</v>
      </c>
      <c r="BN3258">
        <v>-1.36</v>
      </c>
      <c r="BO3258">
        <v>-0.2</v>
      </c>
      <c r="BP3258">
        <v>2.72</v>
      </c>
      <c r="BQ3258">
        <v>-0.42</v>
      </c>
      <c r="BR3258">
        <v>1.37</v>
      </c>
      <c r="BS3258">
        <v>-2.78</v>
      </c>
      <c r="BT3258">
        <v>-2.67</v>
      </c>
      <c r="BU3258">
        <v>0.26</v>
      </c>
      <c r="BV3258">
        <v>0.63</v>
      </c>
      <c r="BW3258">
        <v>0.15</v>
      </c>
      <c r="BX3258">
        <v>-0.62</v>
      </c>
      <c r="BY3258">
        <v>3.47</v>
      </c>
      <c r="BZ3258">
        <v>-1.08</v>
      </c>
      <c r="CA3258">
        <v>-0.68</v>
      </c>
      <c r="CB3258">
        <v>0.44</v>
      </c>
      <c r="CC3258">
        <v>-2.87</v>
      </c>
      <c r="CD3258">
        <v>-0.74</v>
      </c>
      <c r="CE3258">
        <v>-0.42</v>
      </c>
      <c r="CF3258">
        <v>-1.52</v>
      </c>
      <c r="CG3258">
        <v>0</v>
      </c>
      <c r="CH3258">
        <v>3.61</v>
      </c>
      <c r="CI3258">
        <v>0</v>
      </c>
      <c r="CJ3258">
        <v>-0.5</v>
      </c>
      <c r="CK3258">
        <v>94</v>
      </c>
      <c r="CL3258">
        <v>-0.56000000000000005</v>
      </c>
      <c r="CM3258">
        <v>93</v>
      </c>
      <c r="CN3258">
        <v>0.02</v>
      </c>
      <c r="CO3258">
        <v>92</v>
      </c>
      <c r="CP3258">
        <v>-8.9</v>
      </c>
      <c r="CQ3258">
        <v>92</v>
      </c>
      <c r="CR3258">
        <v>0</v>
      </c>
      <c r="CS3258">
        <v>0</v>
      </c>
      <c r="CT3258">
        <v>-8.1999999999999993</v>
      </c>
      <c r="CU3258">
        <v>89</v>
      </c>
      <c r="CV3258">
        <v>0.12</v>
      </c>
      <c r="CW3258">
        <v>45</v>
      </c>
      <c r="CX3258" t="s">
        <v>2438</v>
      </c>
    </row>
    <row r="3259" spans="1:102" x14ac:dyDescent="0.3">
      <c r="A3259" t="str">
        <f>HYPERLINK("https://webapp.icbf.com/v2/app/bull-search/view/77860090","BZO")</f>
        <v>BZO</v>
      </c>
      <c r="B3259" t="s">
        <v>7339</v>
      </c>
      <c r="C3259" t="s">
        <v>7340</v>
      </c>
      <c r="D3259" s="1">
        <v>31747</v>
      </c>
      <c r="E3259" t="s">
        <v>92</v>
      </c>
      <c r="F3259">
        <v>100</v>
      </c>
      <c r="G3259" t="s">
        <v>93</v>
      </c>
      <c r="H3259">
        <v>-23.8</v>
      </c>
      <c r="I3259">
        <v>94</v>
      </c>
      <c r="J3259">
        <v>-2.88</v>
      </c>
      <c r="K3259">
        <v>99</v>
      </c>
      <c r="L3259">
        <v>-45.39</v>
      </c>
      <c r="M3259">
        <v>93</v>
      </c>
      <c r="N3259">
        <v>22.06</v>
      </c>
      <c r="O3259">
        <v>89</v>
      </c>
      <c r="P3259">
        <v>1.37</v>
      </c>
      <c r="Q3259">
        <v>96</v>
      </c>
      <c r="R3259">
        <v>-10.37</v>
      </c>
      <c r="S3259">
        <v>87</v>
      </c>
      <c r="T3259">
        <v>6.8</v>
      </c>
      <c r="U3259">
        <v>92</v>
      </c>
      <c r="V3259">
        <v>4.6100000000000003</v>
      </c>
      <c r="W3259">
        <v>76</v>
      </c>
      <c r="X3259" t="s">
        <v>94</v>
      </c>
      <c r="Y3259" t="s">
        <v>95</v>
      </c>
      <c r="Z3259" t="s">
        <v>96</v>
      </c>
      <c r="AA3259" t="s">
        <v>128</v>
      </c>
      <c r="AB3259" t="s">
        <v>7320</v>
      </c>
      <c r="AC3259">
        <v>516</v>
      </c>
      <c r="AD3259">
        <v>281</v>
      </c>
      <c r="AE3259">
        <v>99</v>
      </c>
      <c r="AF3259">
        <v>76.290000000000006</v>
      </c>
      <c r="AG3259">
        <v>1.83</v>
      </c>
      <c r="AH3259">
        <v>0.03</v>
      </c>
      <c r="AI3259">
        <v>-0.02</v>
      </c>
      <c r="AJ3259">
        <v>-0.04</v>
      </c>
      <c r="AK3259">
        <v>93</v>
      </c>
      <c r="AL3259">
        <v>726</v>
      </c>
      <c r="AM3259">
        <v>383</v>
      </c>
      <c r="AN3259">
        <v>3.22</v>
      </c>
      <c r="AO3259">
        <v>-0.39</v>
      </c>
      <c r="AP3259">
        <v>14</v>
      </c>
      <c r="AQ3259">
        <v>0</v>
      </c>
      <c r="AR3259">
        <v>5.86</v>
      </c>
      <c r="AS3259">
        <v>76</v>
      </c>
      <c r="AT3259">
        <v>2.6</v>
      </c>
      <c r="AU3259">
        <v>90</v>
      </c>
      <c r="AV3259">
        <v>-1.01</v>
      </c>
      <c r="AW3259">
        <v>93</v>
      </c>
      <c r="AX3259">
        <v>-0.38</v>
      </c>
      <c r="AY3259">
        <v>94</v>
      </c>
      <c r="AZ3259">
        <v>4.97</v>
      </c>
      <c r="BA3259">
        <v>71</v>
      </c>
      <c r="BB3259">
        <v>4.46</v>
      </c>
      <c r="BC3259">
        <v>87</v>
      </c>
      <c r="BD3259">
        <v>0.08</v>
      </c>
      <c r="BE3259">
        <v>0.05</v>
      </c>
      <c r="BF3259">
        <v>0.01</v>
      </c>
      <c r="BG3259">
        <v>98</v>
      </c>
      <c r="BH3259">
        <v>0.04</v>
      </c>
      <c r="BI3259">
        <v>-10.25</v>
      </c>
      <c r="BJ3259">
        <v>60</v>
      </c>
      <c r="BK3259">
        <v>40</v>
      </c>
      <c r="BL3259">
        <v>0.78</v>
      </c>
      <c r="BM3259">
        <v>0.34</v>
      </c>
      <c r="BN3259">
        <v>-0.18</v>
      </c>
      <c r="BO3259">
        <v>-0.14000000000000001</v>
      </c>
      <c r="BP3259">
        <v>-0.11</v>
      </c>
      <c r="BQ3259">
        <v>1</v>
      </c>
      <c r="BR3259">
        <v>0.05</v>
      </c>
      <c r="BS3259">
        <v>-0.15</v>
      </c>
      <c r="BT3259">
        <v>0.77</v>
      </c>
      <c r="BU3259">
        <v>-0.13</v>
      </c>
      <c r="BV3259">
        <v>-0.67</v>
      </c>
      <c r="BW3259">
        <v>-0.72</v>
      </c>
      <c r="BX3259">
        <v>0.9</v>
      </c>
      <c r="BY3259">
        <v>-0.45</v>
      </c>
      <c r="BZ3259">
        <v>-1.57</v>
      </c>
      <c r="CA3259">
        <v>-0.64</v>
      </c>
      <c r="CB3259">
        <v>-0.56999999999999995</v>
      </c>
      <c r="CC3259">
        <v>-0.6</v>
      </c>
      <c r="CD3259">
        <v>-0.13</v>
      </c>
      <c r="CE3259">
        <v>0.02</v>
      </c>
      <c r="CF3259">
        <v>0.21</v>
      </c>
      <c r="CG3259">
        <v>0</v>
      </c>
      <c r="CH3259">
        <v>-0.25</v>
      </c>
      <c r="CI3259">
        <v>0</v>
      </c>
      <c r="CJ3259">
        <v>0.8</v>
      </c>
      <c r="CK3259">
        <v>96</v>
      </c>
      <c r="CL3259">
        <v>-0.38</v>
      </c>
      <c r="CM3259">
        <v>95</v>
      </c>
      <c r="CN3259">
        <v>-0.34</v>
      </c>
      <c r="CO3259">
        <v>94</v>
      </c>
      <c r="CP3259">
        <v>1.4</v>
      </c>
      <c r="CQ3259">
        <v>97</v>
      </c>
      <c r="CR3259">
        <v>0</v>
      </c>
      <c r="CS3259">
        <v>0</v>
      </c>
      <c r="CT3259">
        <v>4.5999999999999996</v>
      </c>
      <c r="CU3259">
        <v>92</v>
      </c>
      <c r="CV3259">
        <v>0</v>
      </c>
      <c r="CW3259">
        <v>45</v>
      </c>
      <c r="CX3259" t="s">
        <v>120</v>
      </c>
    </row>
    <row r="3260" spans="1:102" x14ac:dyDescent="0.3">
      <c r="A3260" t="str">
        <f>HYPERLINK("https://webapp.icbf.com/v2/app/bull-search/view/516049641","TZE")</f>
        <v>TZE</v>
      </c>
      <c r="B3260" t="s">
        <v>8751</v>
      </c>
      <c r="C3260" t="s">
        <v>8752</v>
      </c>
      <c r="D3260" s="1">
        <v>37543</v>
      </c>
      <c r="E3260" t="s">
        <v>92</v>
      </c>
      <c r="F3260">
        <v>100</v>
      </c>
      <c r="G3260" t="s">
        <v>93</v>
      </c>
      <c r="H3260">
        <v>-23.92</v>
      </c>
      <c r="I3260">
        <v>93</v>
      </c>
      <c r="J3260">
        <v>5.96</v>
      </c>
      <c r="K3260">
        <v>98</v>
      </c>
      <c r="L3260">
        <v>-61.85</v>
      </c>
      <c r="M3260">
        <v>90</v>
      </c>
      <c r="N3260">
        <v>36.340000000000003</v>
      </c>
      <c r="O3260">
        <v>91</v>
      </c>
      <c r="P3260">
        <v>-12.79</v>
      </c>
      <c r="Q3260">
        <v>95</v>
      </c>
      <c r="R3260">
        <v>6.15</v>
      </c>
      <c r="S3260">
        <v>86</v>
      </c>
      <c r="T3260">
        <v>9.76</v>
      </c>
      <c r="U3260">
        <v>90</v>
      </c>
      <c r="V3260">
        <v>-7.49</v>
      </c>
      <c r="W3260">
        <v>85</v>
      </c>
      <c r="X3260" t="s">
        <v>94</v>
      </c>
      <c r="Y3260" t="s">
        <v>221</v>
      </c>
      <c r="Z3260" t="s">
        <v>96</v>
      </c>
      <c r="AA3260" t="s">
        <v>1801</v>
      </c>
      <c r="AB3260" t="s">
        <v>8753</v>
      </c>
      <c r="AC3260">
        <v>225</v>
      </c>
      <c r="AD3260">
        <v>63</v>
      </c>
      <c r="AE3260">
        <v>98</v>
      </c>
      <c r="AF3260">
        <v>7.43</v>
      </c>
      <c r="AG3260">
        <v>-2.89</v>
      </c>
      <c r="AH3260">
        <v>2.15</v>
      </c>
      <c r="AI3260">
        <v>-0.06</v>
      </c>
      <c r="AJ3260">
        <v>0.03</v>
      </c>
      <c r="AK3260">
        <v>90</v>
      </c>
      <c r="AL3260">
        <v>186</v>
      </c>
      <c r="AM3260">
        <v>58</v>
      </c>
      <c r="AN3260">
        <v>2.02</v>
      </c>
      <c r="AO3260">
        <v>-2.93</v>
      </c>
      <c r="AP3260">
        <v>442</v>
      </c>
      <c r="AQ3260">
        <v>0</v>
      </c>
      <c r="AR3260">
        <v>6.27</v>
      </c>
      <c r="AS3260">
        <v>92</v>
      </c>
      <c r="AT3260">
        <v>2.86</v>
      </c>
      <c r="AU3260">
        <v>92</v>
      </c>
      <c r="AV3260">
        <v>-3.73</v>
      </c>
      <c r="AW3260">
        <v>98</v>
      </c>
      <c r="AX3260">
        <v>-0.27</v>
      </c>
      <c r="AY3260">
        <v>89</v>
      </c>
      <c r="AZ3260">
        <v>5.88</v>
      </c>
      <c r="BA3260">
        <v>77</v>
      </c>
      <c r="BB3260">
        <v>5.08</v>
      </c>
      <c r="BC3260">
        <v>75</v>
      </c>
      <c r="BD3260">
        <v>-0.02</v>
      </c>
      <c r="BE3260">
        <v>-0.02</v>
      </c>
      <c r="BF3260">
        <v>-7.0000000000000007E-2</v>
      </c>
      <c r="BG3260">
        <v>93</v>
      </c>
      <c r="BH3260">
        <v>-0.17</v>
      </c>
      <c r="BI3260">
        <v>4.49</v>
      </c>
      <c r="BJ3260">
        <v>65</v>
      </c>
      <c r="BK3260">
        <v>20</v>
      </c>
      <c r="BL3260">
        <v>1.03</v>
      </c>
      <c r="BM3260">
        <v>-0.79</v>
      </c>
      <c r="BN3260">
        <v>1.02</v>
      </c>
      <c r="BO3260">
        <v>1.33</v>
      </c>
      <c r="BP3260">
        <v>2.21</v>
      </c>
      <c r="BQ3260">
        <v>0.62</v>
      </c>
      <c r="BR3260">
        <v>-0.42</v>
      </c>
      <c r="BS3260">
        <v>1.42</v>
      </c>
      <c r="BT3260">
        <v>1.3</v>
      </c>
      <c r="BU3260">
        <v>1.2</v>
      </c>
      <c r="BV3260">
        <v>1.68</v>
      </c>
      <c r="BW3260">
        <v>1.1200000000000001</v>
      </c>
      <c r="BX3260">
        <v>0.32</v>
      </c>
      <c r="BY3260">
        <v>0.98</v>
      </c>
      <c r="BZ3260">
        <v>-1.67</v>
      </c>
      <c r="CA3260">
        <v>1.62</v>
      </c>
      <c r="CB3260">
        <v>1.25</v>
      </c>
      <c r="CC3260">
        <v>1.81</v>
      </c>
      <c r="CD3260">
        <v>-1.49</v>
      </c>
      <c r="CE3260">
        <v>1.26</v>
      </c>
      <c r="CF3260">
        <v>0.78</v>
      </c>
      <c r="CG3260">
        <v>0</v>
      </c>
      <c r="CH3260">
        <v>1.07</v>
      </c>
      <c r="CI3260">
        <v>0</v>
      </c>
      <c r="CJ3260">
        <v>-4</v>
      </c>
      <c r="CK3260">
        <v>96</v>
      </c>
      <c r="CL3260">
        <v>-1.08</v>
      </c>
      <c r="CM3260">
        <v>95</v>
      </c>
      <c r="CN3260">
        <v>-0.35</v>
      </c>
      <c r="CO3260">
        <v>94</v>
      </c>
      <c r="CP3260">
        <v>-1.5</v>
      </c>
      <c r="CQ3260">
        <v>94</v>
      </c>
      <c r="CR3260">
        <v>0</v>
      </c>
      <c r="CS3260">
        <v>0</v>
      </c>
      <c r="CT3260">
        <v>0.6</v>
      </c>
      <c r="CU3260">
        <v>90</v>
      </c>
      <c r="CV3260">
        <v>0.14000000000000001</v>
      </c>
      <c r="CW3260">
        <v>45</v>
      </c>
      <c r="CX3260" t="s">
        <v>596</v>
      </c>
    </row>
    <row r="3261" spans="1:102" x14ac:dyDescent="0.3">
      <c r="A3261" t="str">
        <f>HYPERLINK("https://webapp.icbf.com/v2/app/bull-search/view/77859799","BMN")</f>
        <v>BMN</v>
      </c>
      <c r="B3261" t="s">
        <v>824</v>
      </c>
      <c r="C3261" t="s">
        <v>207</v>
      </c>
      <c r="D3261" s="1">
        <v>32128</v>
      </c>
      <c r="E3261" t="s">
        <v>92</v>
      </c>
      <c r="F3261">
        <v>100</v>
      </c>
      <c r="G3261" t="s">
        <v>93</v>
      </c>
      <c r="H3261">
        <v>-23.98</v>
      </c>
      <c r="I3261">
        <v>96</v>
      </c>
      <c r="J3261">
        <v>-11.24</v>
      </c>
      <c r="K3261">
        <v>99</v>
      </c>
      <c r="L3261">
        <v>-6.68</v>
      </c>
      <c r="M3261">
        <v>95</v>
      </c>
      <c r="N3261">
        <v>-19.97</v>
      </c>
      <c r="O3261">
        <v>95</v>
      </c>
      <c r="P3261">
        <v>5.52</v>
      </c>
      <c r="Q3261">
        <v>96</v>
      </c>
      <c r="R3261">
        <v>-3.99</v>
      </c>
      <c r="S3261">
        <v>94</v>
      </c>
      <c r="T3261">
        <v>8.7200000000000006</v>
      </c>
      <c r="U3261">
        <v>95</v>
      </c>
      <c r="V3261">
        <v>3.66</v>
      </c>
      <c r="W3261">
        <v>91</v>
      </c>
      <c r="X3261" t="s">
        <v>131</v>
      </c>
      <c r="Y3261" t="s">
        <v>95</v>
      </c>
      <c r="Z3261" t="s">
        <v>96</v>
      </c>
      <c r="AA3261" t="s">
        <v>825</v>
      </c>
      <c r="AB3261" t="s">
        <v>826</v>
      </c>
      <c r="AC3261">
        <v>338</v>
      </c>
      <c r="AD3261">
        <v>192</v>
      </c>
      <c r="AE3261">
        <v>99</v>
      </c>
      <c r="AF3261">
        <v>242.22</v>
      </c>
      <c r="AG3261">
        <v>-4.79</v>
      </c>
      <c r="AH3261">
        <v>3.49</v>
      </c>
      <c r="AI3261">
        <v>-0.24</v>
      </c>
      <c r="AJ3261">
        <v>-0.08</v>
      </c>
      <c r="AK3261">
        <v>95</v>
      </c>
      <c r="AL3261">
        <v>365</v>
      </c>
      <c r="AM3261">
        <v>176</v>
      </c>
      <c r="AN3261">
        <v>1.34</v>
      </c>
      <c r="AO3261">
        <v>0.82</v>
      </c>
      <c r="AP3261">
        <v>12</v>
      </c>
      <c r="AQ3261">
        <v>2</v>
      </c>
      <c r="AR3261">
        <v>11.02</v>
      </c>
      <c r="AS3261">
        <v>90</v>
      </c>
      <c r="AT3261">
        <v>4.7300000000000004</v>
      </c>
      <c r="AU3261">
        <v>99</v>
      </c>
      <c r="AV3261">
        <v>-1.1299999999999999</v>
      </c>
      <c r="AW3261">
        <v>95</v>
      </c>
      <c r="AX3261">
        <v>-0.26</v>
      </c>
      <c r="AY3261">
        <v>95</v>
      </c>
      <c r="AZ3261">
        <v>7.55</v>
      </c>
      <c r="BA3261">
        <v>89</v>
      </c>
      <c r="BB3261">
        <v>5.0599999999999996</v>
      </c>
      <c r="BC3261">
        <v>92</v>
      </c>
      <c r="BD3261">
        <v>-0.02</v>
      </c>
      <c r="BE3261">
        <v>0.05</v>
      </c>
      <c r="BF3261">
        <v>0.03</v>
      </c>
      <c r="BG3261">
        <v>98</v>
      </c>
      <c r="BH3261">
        <v>0.18</v>
      </c>
      <c r="BI3261">
        <v>9.0299999999999994</v>
      </c>
      <c r="BJ3261">
        <v>73</v>
      </c>
      <c r="BK3261">
        <v>46</v>
      </c>
      <c r="BL3261">
        <v>0.09</v>
      </c>
      <c r="BM3261">
        <v>0.59</v>
      </c>
      <c r="BN3261">
        <v>-0.24</v>
      </c>
      <c r="BO3261">
        <v>-0.21</v>
      </c>
      <c r="BP3261">
        <v>2.27</v>
      </c>
      <c r="BQ3261">
        <v>-0.1</v>
      </c>
      <c r="BR3261">
        <v>-0.41</v>
      </c>
      <c r="BS3261">
        <v>-1.9</v>
      </c>
      <c r="BT3261">
        <v>0.89</v>
      </c>
      <c r="BU3261">
        <v>-1.47</v>
      </c>
      <c r="BV3261">
        <v>-0.92</v>
      </c>
      <c r="BW3261">
        <v>-0.27</v>
      </c>
      <c r="BX3261">
        <v>-0.96</v>
      </c>
      <c r="BY3261">
        <v>0.86</v>
      </c>
      <c r="BZ3261">
        <v>-0.74</v>
      </c>
      <c r="CA3261">
        <v>-0.87</v>
      </c>
      <c r="CB3261">
        <v>-0.44</v>
      </c>
      <c r="CC3261">
        <v>-1.34</v>
      </c>
      <c r="CD3261">
        <v>0.19</v>
      </c>
      <c r="CE3261">
        <v>-0.12</v>
      </c>
      <c r="CF3261">
        <v>0.13</v>
      </c>
      <c r="CG3261">
        <v>0</v>
      </c>
      <c r="CH3261">
        <v>0.86</v>
      </c>
      <c r="CI3261">
        <v>0</v>
      </c>
      <c r="CJ3261">
        <v>7.9</v>
      </c>
      <c r="CK3261">
        <v>96</v>
      </c>
      <c r="CL3261">
        <v>-0.4</v>
      </c>
      <c r="CM3261">
        <v>96</v>
      </c>
      <c r="CN3261">
        <v>0.12</v>
      </c>
      <c r="CO3261">
        <v>95</v>
      </c>
      <c r="CP3261">
        <v>1</v>
      </c>
      <c r="CQ3261">
        <v>97</v>
      </c>
      <c r="CR3261">
        <v>0</v>
      </c>
      <c r="CS3261">
        <v>0</v>
      </c>
      <c r="CT3261">
        <v>2</v>
      </c>
      <c r="CU3261">
        <v>95</v>
      </c>
      <c r="CV3261">
        <v>0.13</v>
      </c>
      <c r="CW3261">
        <v>47</v>
      </c>
      <c r="CX3261" t="s">
        <v>663</v>
      </c>
    </row>
    <row r="3262" spans="1:102" x14ac:dyDescent="0.3">
      <c r="A3262" t="str">
        <f>HYPERLINK("https://webapp.icbf.com/v2/app/bull-search/view/1337271689","S3284")</f>
        <v>S3284</v>
      </c>
      <c r="B3262" t="s">
        <v>2392</v>
      </c>
      <c r="C3262" t="s">
        <v>2393</v>
      </c>
      <c r="D3262" s="1">
        <v>41699</v>
      </c>
      <c r="E3262" t="s">
        <v>92</v>
      </c>
      <c r="F3262">
        <v>100</v>
      </c>
      <c r="G3262" t="s">
        <v>109</v>
      </c>
      <c r="H3262">
        <v>-24.11</v>
      </c>
      <c r="I3262">
        <v>67</v>
      </c>
      <c r="J3262">
        <v>26.39</v>
      </c>
      <c r="K3262">
        <v>89</v>
      </c>
      <c r="L3262">
        <v>-31.02</v>
      </c>
      <c r="M3262">
        <v>67</v>
      </c>
      <c r="N3262">
        <v>-15.26</v>
      </c>
      <c r="O3262">
        <v>52</v>
      </c>
      <c r="P3262">
        <v>-9.76</v>
      </c>
      <c r="Q3262">
        <v>37</v>
      </c>
      <c r="R3262">
        <v>13.26</v>
      </c>
      <c r="S3262">
        <v>66</v>
      </c>
      <c r="T3262">
        <v>-19.18</v>
      </c>
      <c r="U3262">
        <v>35</v>
      </c>
      <c r="V3262">
        <v>11.46</v>
      </c>
      <c r="W3262">
        <v>53</v>
      </c>
      <c r="X3262" t="s">
        <v>110</v>
      </c>
      <c r="Y3262" t="s">
        <v>2394</v>
      </c>
      <c r="Z3262" t="s">
        <v>96</v>
      </c>
      <c r="AA3262" t="s">
        <v>2395</v>
      </c>
      <c r="AB3262" t="s">
        <v>2396</v>
      </c>
      <c r="AC3262">
        <v>0</v>
      </c>
      <c r="AD3262">
        <v>0</v>
      </c>
      <c r="AE3262">
        <v>89</v>
      </c>
      <c r="AF3262">
        <v>402.45</v>
      </c>
      <c r="AG3262">
        <v>8.36</v>
      </c>
      <c r="AH3262">
        <v>7.69</v>
      </c>
      <c r="AI3262">
        <v>-0.12</v>
      </c>
      <c r="AJ3262">
        <v>-0.09</v>
      </c>
      <c r="AK3262">
        <v>67</v>
      </c>
      <c r="AL3262">
        <v>0</v>
      </c>
      <c r="AM3262">
        <v>0</v>
      </c>
      <c r="AN3262">
        <v>2.77</v>
      </c>
      <c r="AO3262">
        <v>0.31</v>
      </c>
      <c r="AP3262">
        <v>19</v>
      </c>
      <c r="AQ3262">
        <v>0</v>
      </c>
      <c r="AR3262">
        <v>11.69</v>
      </c>
      <c r="AS3262">
        <v>48</v>
      </c>
      <c r="AT3262">
        <v>5.27</v>
      </c>
      <c r="AU3262">
        <v>90</v>
      </c>
      <c r="AV3262">
        <v>-2.94</v>
      </c>
      <c r="AW3262">
        <v>40</v>
      </c>
      <c r="AX3262">
        <v>-0.25</v>
      </c>
      <c r="AY3262">
        <v>47</v>
      </c>
      <c r="AZ3262">
        <v>6.81</v>
      </c>
      <c r="BA3262">
        <v>33</v>
      </c>
      <c r="BB3262">
        <v>5.32</v>
      </c>
      <c r="BC3262">
        <v>33</v>
      </c>
      <c r="BD3262">
        <v>-0.06</v>
      </c>
      <c r="BE3262">
        <v>-0.05</v>
      </c>
      <c r="BF3262">
        <v>-0.11</v>
      </c>
      <c r="BG3262">
        <v>82</v>
      </c>
      <c r="BH3262">
        <v>0.05</v>
      </c>
      <c r="BI3262">
        <v>-31.19</v>
      </c>
      <c r="BJ3262">
        <v>0</v>
      </c>
      <c r="BK3262">
        <v>0</v>
      </c>
      <c r="BL3262">
        <v>2.2799999999999998</v>
      </c>
      <c r="BM3262">
        <v>0.33</v>
      </c>
      <c r="BN3262">
        <v>2.12</v>
      </c>
      <c r="BO3262">
        <v>1.52</v>
      </c>
      <c r="BP3262">
        <v>0.89</v>
      </c>
      <c r="BQ3262">
        <v>3.62</v>
      </c>
      <c r="BR3262">
        <v>0.31</v>
      </c>
      <c r="BS3262">
        <v>3.12</v>
      </c>
      <c r="BT3262">
        <v>1.19</v>
      </c>
      <c r="BU3262">
        <v>3.21</v>
      </c>
      <c r="BV3262">
        <v>3.57</v>
      </c>
      <c r="BW3262">
        <v>2.64</v>
      </c>
      <c r="BX3262">
        <v>2.88</v>
      </c>
      <c r="BY3262">
        <v>1</v>
      </c>
      <c r="BZ3262">
        <v>0.4</v>
      </c>
      <c r="CA3262">
        <v>3.22</v>
      </c>
      <c r="CB3262">
        <v>2.74</v>
      </c>
      <c r="CC3262">
        <v>2.57</v>
      </c>
      <c r="CD3262">
        <v>-0.48</v>
      </c>
      <c r="CE3262">
        <v>0.8</v>
      </c>
      <c r="CF3262">
        <v>0.75</v>
      </c>
      <c r="CG3262">
        <v>0</v>
      </c>
      <c r="CH3262">
        <v>1.58</v>
      </c>
      <c r="CI3262">
        <v>0</v>
      </c>
      <c r="CJ3262">
        <v>-1.7</v>
      </c>
      <c r="CK3262">
        <v>37</v>
      </c>
      <c r="CL3262">
        <v>-1.7</v>
      </c>
      <c r="CM3262">
        <v>37</v>
      </c>
      <c r="CN3262">
        <v>-0.76</v>
      </c>
      <c r="CO3262">
        <v>36</v>
      </c>
      <c r="CP3262">
        <v>8.1999999999999993</v>
      </c>
      <c r="CQ3262">
        <v>36</v>
      </c>
      <c r="CR3262">
        <v>0</v>
      </c>
      <c r="CS3262">
        <v>0</v>
      </c>
      <c r="CT3262">
        <v>39.700000000000003</v>
      </c>
      <c r="CU3262">
        <v>35</v>
      </c>
      <c r="CV3262">
        <v>0.18</v>
      </c>
      <c r="CW3262">
        <v>32</v>
      </c>
      <c r="CX3262" t="s">
        <v>2397</v>
      </c>
    </row>
    <row r="3263" spans="1:102" x14ac:dyDescent="0.3">
      <c r="A3263" t="str">
        <f>HYPERLINK("https://webapp.icbf.com/v2/app/bull-search/view/1028749139","S1612")</f>
        <v>S1612</v>
      </c>
      <c r="B3263" t="s">
        <v>1989</v>
      </c>
      <c r="C3263" t="s">
        <v>1990</v>
      </c>
      <c r="D3263" s="1">
        <v>40678</v>
      </c>
      <c r="E3263" t="s">
        <v>92</v>
      </c>
      <c r="F3263">
        <v>100</v>
      </c>
      <c r="G3263" t="s">
        <v>109</v>
      </c>
      <c r="H3263">
        <v>-24.26</v>
      </c>
      <c r="I3263">
        <v>79</v>
      </c>
      <c r="J3263">
        <v>24.09</v>
      </c>
      <c r="K3263">
        <v>93</v>
      </c>
      <c r="L3263">
        <v>-38.19</v>
      </c>
      <c r="M3263">
        <v>82</v>
      </c>
      <c r="N3263">
        <v>3.96</v>
      </c>
      <c r="O3263">
        <v>74</v>
      </c>
      <c r="P3263">
        <v>2.7</v>
      </c>
      <c r="Q3263">
        <v>64</v>
      </c>
      <c r="R3263">
        <v>-0.54</v>
      </c>
      <c r="S3263">
        <v>73</v>
      </c>
      <c r="T3263">
        <v>-15.7</v>
      </c>
      <c r="U3263">
        <v>51</v>
      </c>
      <c r="V3263">
        <v>-0.57999999999999996</v>
      </c>
      <c r="W3263">
        <v>55</v>
      </c>
      <c r="X3263" t="s">
        <v>276</v>
      </c>
      <c r="Y3263" t="s">
        <v>362</v>
      </c>
      <c r="Z3263" t="s">
        <v>96</v>
      </c>
      <c r="AA3263" t="s">
        <v>1924</v>
      </c>
      <c r="AB3263" t="s">
        <v>1991</v>
      </c>
      <c r="AC3263">
        <v>21</v>
      </c>
      <c r="AD3263">
        <v>11</v>
      </c>
      <c r="AE3263">
        <v>93</v>
      </c>
      <c r="AF3263">
        <v>411.08</v>
      </c>
      <c r="AG3263">
        <v>-2.1800000000000002</v>
      </c>
      <c r="AH3263">
        <v>11.16</v>
      </c>
      <c r="AI3263">
        <v>-0.3</v>
      </c>
      <c r="AJ3263">
        <v>-0.05</v>
      </c>
      <c r="AK3263">
        <v>82</v>
      </c>
      <c r="AL3263">
        <v>30</v>
      </c>
      <c r="AM3263">
        <v>11</v>
      </c>
      <c r="AN3263">
        <v>2.5</v>
      </c>
      <c r="AO3263">
        <v>-0.54</v>
      </c>
      <c r="AP3263">
        <v>54</v>
      </c>
      <c r="AQ3263">
        <v>0</v>
      </c>
      <c r="AR3263">
        <v>8.52</v>
      </c>
      <c r="AS3263">
        <v>71</v>
      </c>
      <c r="AT3263">
        <v>3.43</v>
      </c>
      <c r="AU3263">
        <v>84</v>
      </c>
      <c r="AV3263">
        <v>-2.67</v>
      </c>
      <c r="AW3263">
        <v>84</v>
      </c>
      <c r="AX3263">
        <v>3.27</v>
      </c>
      <c r="AY3263">
        <v>63</v>
      </c>
      <c r="AZ3263">
        <v>7.08</v>
      </c>
      <c r="BA3263">
        <v>49</v>
      </c>
      <c r="BB3263">
        <v>5.48</v>
      </c>
      <c r="BC3263">
        <v>43</v>
      </c>
      <c r="BD3263">
        <v>0.02</v>
      </c>
      <c r="BE3263">
        <v>0.01</v>
      </c>
      <c r="BF3263">
        <v>-0.04</v>
      </c>
      <c r="BG3263">
        <v>90</v>
      </c>
      <c r="BH3263">
        <v>-0.05</v>
      </c>
      <c r="BI3263">
        <v>-3.92</v>
      </c>
      <c r="BJ3263">
        <v>7</v>
      </c>
      <c r="BK3263">
        <v>5</v>
      </c>
      <c r="BL3263">
        <v>0.75</v>
      </c>
      <c r="BM3263">
        <v>2.1800000000000002</v>
      </c>
      <c r="BN3263">
        <v>1.17</v>
      </c>
      <c r="BO3263">
        <v>0.17</v>
      </c>
      <c r="BP3263">
        <v>-1.39</v>
      </c>
      <c r="BQ3263">
        <v>4.59</v>
      </c>
      <c r="BR3263">
        <v>-0.02</v>
      </c>
      <c r="BS3263">
        <v>0.54</v>
      </c>
      <c r="BT3263">
        <v>0.25</v>
      </c>
      <c r="BU3263">
        <v>2.0299999999999998</v>
      </c>
      <c r="BV3263">
        <v>2.4700000000000002</v>
      </c>
      <c r="BW3263">
        <v>1.04</v>
      </c>
      <c r="BX3263">
        <v>1.41</v>
      </c>
      <c r="BY3263">
        <v>1.3</v>
      </c>
      <c r="BZ3263">
        <v>0.18</v>
      </c>
      <c r="CA3263">
        <v>2.08</v>
      </c>
      <c r="CB3263">
        <v>2</v>
      </c>
      <c r="CC3263">
        <v>1</v>
      </c>
      <c r="CD3263">
        <v>0.55000000000000004</v>
      </c>
      <c r="CE3263">
        <v>0.91</v>
      </c>
      <c r="CF3263">
        <v>1.53</v>
      </c>
      <c r="CG3263">
        <v>0</v>
      </c>
      <c r="CH3263">
        <v>1.28</v>
      </c>
      <c r="CI3263">
        <v>0</v>
      </c>
      <c r="CJ3263">
        <v>3.1</v>
      </c>
      <c r="CK3263">
        <v>67</v>
      </c>
      <c r="CL3263">
        <v>-0.93</v>
      </c>
      <c r="CM3263">
        <v>63</v>
      </c>
      <c r="CN3263">
        <v>-0.52</v>
      </c>
      <c r="CO3263">
        <v>61</v>
      </c>
      <c r="CP3263">
        <v>12.9</v>
      </c>
      <c r="CQ3263">
        <v>54</v>
      </c>
      <c r="CR3263">
        <v>0</v>
      </c>
      <c r="CS3263">
        <v>0</v>
      </c>
      <c r="CT3263">
        <v>35</v>
      </c>
      <c r="CU3263">
        <v>51</v>
      </c>
      <c r="CV3263">
        <v>0.27</v>
      </c>
      <c r="CW3263">
        <v>39</v>
      </c>
      <c r="CX3263" t="s">
        <v>1992</v>
      </c>
    </row>
    <row r="3264" spans="1:102" x14ac:dyDescent="0.3">
      <c r="A3264" t="str">
        <f>HYPERLINK("https://webapp.icbf.com/v2/app/bull-search/view/77853988","RIV")</f>
        <v>RIV</v>
      </c>
      <c r="B3264" t="s">
        <v>14968</v>
      </c>
      <c r="C3264" t="s">
        <v>6793</v>
      </c>
      <c r="D3264" s="1">
        <v>33262</v>
      </c>
      <c r="E3264" t="s">
        <v>108</v>
      </c>
      <c r="F3264">
        <v>0</v>
      </c>
      <c r="G3264" t="s">
        <v>93</v>
      </c>
      <c r="H3264">
        <v>-24.28</v>
      </c>
      <c r="I3264">
        <v>84</v>
      </c>
      <c r="J3264">
        <v>-27.55</v>
      </c>
      <c r="K3264">
        <v>93</v>
      </c>
      <c r="L3264">
        <v>-1.27</v>
      </c>
      <c r="M3264">
        <v>81</v>
      </c>
      <c r="N3264">
        <v>-3.65</v>
      </c>
      <c r="O3264">
        <v>75</v>
      </c>
      <c r="P3264">
        <v>-2.42</v>
      </c>
      <c r="Q3264">
        <v>91</v>
      </c>
      <c r="R3264">
        <v>-6.96</v>
      </c>
      <c r="S3264">
        <v>67</v>
      </c>
      <c r="T3264">
        <v>18.78</v>
      </c>
      <c r="U3264">
        <v>83</v>
      </c>
      <c r="V3264">
        <v>-1.21</v>
      </c>
      <c r="W3264">
        <v>60</v>
      </c>
      <c r="X3264" t="s">
        <v>276</v>
      </c>
      <c r="Y3264" t="s">
        <v>95</v>
      </c>
      <c r="Z3264" t="s">
        <v>96</v>
      </c>
      <c r="AA3264" t="s">
        <v>4162</v>
      </c>
      <c r="AB3264" t="s">
        <v>14969</v>
      </c>
      <c r="AC3264">
        <v>58</v>
      </c>
      <c r="AD3264">
        <v>38</v>
      </c>
      <c r="AE3264">
        <v>93</v>
      </c>
      <c r="AF3264">
        <v>-270.11</v>
      </c>
      <c r="AG3264">
        <v>-3.22</v>
      </c>
      <c r="AH3264">
        <v>-7.68</v>
      </c>
      <c r="AI3264">
        <v>0.13</v>
      </c>
      <c r="AJ3264">
        <v>0.03</v>
      </c>
      <c r="AK3264">
        <v>81</v>
      </c>
      <c r="AL3264">
        <v>76</v>
      </c>
      <c r="AM3264">
        <v>45</v>
      </c>
      <c r="AN3264">
        <v>0.18</v>
      </c>
      <c r="AO3264">
        <v>0.08</v>
      </c>
      <c r="AP3264">
        <v>45</v>
      </c>
      <c r="AQ3264">
        <v>1</v>
      </c>
      <c r="AR3264">
        <v>8.9499999999999993</v>
      </c>
      <c r="AS3264">
        <v>60</v>
      </c>
      <c r="AT3264">
        <v>3.93</v>
      </c>
      <c r="AU3264">
        <v>74</v>
      </c>
      <c r="AV3264">
        <v>-2.2799999999999998</v>
      </c>
      <c r="AW3264">
        <v>84</v>
      </c>
      <c r="AX3264">
        <v>0.02</v>
      </c>
      <c r="AY3264">
        <v>80</v>
      </c>
      <c r="AZ3264">
        <v>8.08</v>
      </c>
      <c r="BA3264">
        <v>52</v>
      </c>
      <c r="BB3264">
        <v>6.35</v>
      </c>
      <c r="BC3264">
        <v>61</v>
      </c>
      <c r="BD3264">
        <v>0</v>
      </c>
      <c r="BE3264">
        <v>0</v>
      </c>
      <c r="BF3264">
        <v>0.16</v>
      </c>
      <c r="BG3264">
        <v>79</v>
      </c>
      <c r="BH3264">
        <v>-0.24</v>
      </c>
      <c r="BI3264">
        <v>-23.86</v>
      </c>
      <c r="BJ3264">
        <v>3</v>
      </c>
      <c r="BK3264">
        <v>2</v>
      </c>
      <c r="BL3264">
        <v>-3.94</v>
      </c>
      <c r="BM3264">
        <v>0.21</v>
      </c>
      <c r="BN3264">
        <v>-2.91</v>
      </c>
      <c r="BO3264">
        <v>-1.92</v>
      </c>
      <c r="BP3264">
        <v>-2.87</v>
      </c>
      <c r="BQ3264">
        <v>1.01</v>
      </c>
      <c r="BR3264">
        <v>-0.91</v>
      </c>
      <c r="BS3264">
        <v>1.1599999999999999</v>
      </c>
      <c r="BT3264">
        <v>0.16</v>
      </c>
      <c r="BU3264">
        <v>-2.4500000000000002</v>
      </c>
      <c r="BV3264">
        <v>-3.35</v>
      </c>
      <c r="BW3264">
        <v>-1.94</v>
      </c>
      <c r="BX3264">
        <v>-1.3</v>
      </c>
      <c r="BY3264">
        <v>-1.1399999999999999</v>
      </c>
      <c r="BZ3264">
        <v>-0.8</v>
      </c>
      <c r="CA3264">
        <v>-2.64</v>
      </c>
      <c r="CB3264">
        <v>-2.34</v>
      </c>
      <c r="CC3264">
        <v>-0.24</v>
      </c>
      <c r="CD3264">
        <v>1.65</v>
      </c>
      <c r="CE3264">
        <v>-1.82</v>
      </c>
      <c r="CF3264">
        <v>-1.39</v>
      </c>
      <c r="CG3264">
        <v>0</v>
      </c>
      <c r="CH3264">
        <v>-1.7</v>
      </c>
      <c r="CI3264">
        <v>0</v>
      </c>
      <c r="CJ3264">
        <v>-3.5</v>
      </c>
      <c r="CK3264">
        <v>92</v>
      </c>
      <c r="CL3264">
        <v>0.31</v>
      </c>
      <c r="CM3264">
        <v>90</v>
      </c>
      <c r="CN3264">
        <v>-0.1</v>
      </c>
      <c r="CO3264">
        <v>89</v>
      </c>
      <c r="CP3264">
        <v>-13.1</v>
      </c>
      <c r="CQ3264">
        <v>90</v>
      </c>
      <c r="CR3264">
        <v>0</v>
      </c>
      <c r="CS3264">
        <v>0</v>
      </c>
      <c r="CT3264">
        <v>-11.6</v>
      </c>
      <c r="CU3264">
        <v>83</v>
      </c>
      <c r="CV3264">
        <v>-0.19</v>
      </c>
      <c r="CW3264">
        <v>25</v>
      </c>
      <c r="CX3264" t="s">
        <v>14970</v>
      </c>
    </row>
    <row r="3265" spans="1:102" x14ac:dyDescent="0.3">
      <c r="A3265" t="str">
        <f>HYPERLINK("https://webapp.icbf.com/v2/app/bull-search/view/355563828","SGZ")</f>
        <v>SGZ</v>
      </c>
      <c r="B3265" t="s">
        <v>903</v>
      </c>
      <c r="C3265" t="s">
        <v>904</v>
      </c>
      <c r="D3265" s="1">
        <v>37451</v>
      </c>
      <c r="E3265" t="s">
        <v>92</v>
      </c>
      <c r="F3265">
        <v>50</v>
      </c>
      <c r="G3265" t="s">
        <v>109</v>
      </c>
      <c r="H3265">
        <v>-24.36</v>
      </c>
      <c r="I3265">
        <v>76</v>
      </c>
      <c r="J3265">
        <v>101.58</v>
      </c>
      <c r="K3265">
        <v>89</v>
      </c>
      <c r="L3265">
        <v>-88.44</v>
      </c>
      <c r="M3265">
        <v>69</v>
      </c>
      <c r="N3265">
        <v>-43.13</v>
      </c>
      <c r="O3265">
        <v>71</v>
      </c>
      <c r="P3265">
        <v>-2.84</v>
      </c>
      <c r="Q3265">
        <v>82</v>
      </c>
      <c r="R3265">
        <v>-7.8</v>
      </c>
      <c r="S3265">
        <v>65</v>
      </c>
      <c r="T3265">
        <v>14.34</v>
      </c>
      <c r="U3265">
        <v>77</v>
      </c>
      <c r="V3265">
        <v>1.93</v>
      </c>
      <c r="W3265">
        <v>46</v>
      </c>
      <c r="X3265" t="s">
        <v>94</v>
      </c>
      <c r="Y3265" t="s">
        <v>95</v>
      </c>
      <c r="Z3265" t="s">
        <v>528</v>
      </c>
      <c r="AA3265" t="s">
        <v>792</v>
      </c>
      <c r="AB3265" t="s">
        <v>905</v>
      </c>
      <c r="AC3265">
        <v>37</v>
      </c>
      <c r="AD3265">
        <v>21</v>
      </c>
      <c r="AE3265">
        <v>89</v>
      </c>
      <c r="AF3265">
        <v>204.79</v>
      </c>
      <c r="AG3265">
        <v>27.11</v>
      </c>
      <c r="AH3265">
        <v>10.82</v>
      </c>
      <c r="AI3265">
        <v>0.31</v>
      </c>
      <c r="AJ3265">
        <v>0.06</v>
      </c>
      <c r="AK3265">
        <v>69</v>
      </c>
      <c r="AL3265">
        <v>37</v>
      </c>
      <c r="AM3265">
        <v>25</v>
      </c>
      <c r="AN3265">
        <v>4.29</v>
      </c>
      <c r="AO3265">
        <v>-2.77</v>
      </c>
      <c r="AP3265">
        <v>76</v>
      </c>
      <c r="AQ3265">
        <v>0</v>
      </c>
      <c r="AR3265">
        <v>14.73</v>
      </c>
      <c r="AS3265">
        <v>43</v>
      </c>
      <c r="AT3265">
        <v>5.25</v>
      </c>
      <c r="AU3265">
        <v>69</v>
      </c>
      <c r="AV3265">
        <v>-1.08</v>
      </c>
      <c r="AW3265">
        <v>90</v>
      </c>
      <c r="AX3265">
        <v>0.1</v>
      </c>
      <c r="AY3265">
        <v>65</v>
      </c>
      <c r="AZ3265">
        <v>7.58</v>
      </c>
      <c r="BA3265">
        <v>44</v>
      </c>
      <c r="BB3265">
        <v>5.0999999999999996</v>
      </c>
      <c r="BC3265">
        <v>44</v>
      </c>
      <c r="BD3265">
        <v>0.02</v>
      </c>
      <c r="BE3265">
        <v>0.04</v>
      </c>
      <c r="BF3265">
        <v>7.0000000000000007E-2</v>
      </c>
      <c r="BG3265">
        <v>79</v>
      </c>
      <c r="BH3265">
        <v>0</v>
      </c>
      <c r="BI3265">
        <v>-6.24</v>
      </c>
      <c r="BJ3265">
        <v>3</v>
      </c>
      <c r="BK3265">
        <v>1</v>
      </c>
      <c r="BL3265">
        <v>-1.02</v>
      </c>
      <c r="BM3265">
        <v>0.08</v>
      </c>
      <c r="BN3265">
        <v>-0.41</v>
      </c>
      <c r="BO3265">
        <v>-0.59</v>
      </c>
      <c r="BP3265">
        <v>-0.12</v>
      </c>
      <c r="BQ3265">
        <v>-1.58</v>
      </c>
      <c r="BR3265">
        <v>0.28999999999999998</v>
      </c>
      <c r="BS3265">
        <v>-0.03</v>
      </c>
      <c r="BT3265">
        <v>-1.72</v>
      </c>
      <c r="BU3265">
        <v>-1.2</v>
      </c>
      <c r="BV3265">
        <v>-0.95</v>
      </c>
      <c r="BW3265">
        <v>-0.97</v>
      </c>
      <c r="BX3265">
        <v>-2.35</v>
      </c>
      <c r="BY3265">
        <v>-2.12</v>
      </c>
      <c r="BZ3265">
        <v>0.95</v>
      </c>
      <c r="CA3265">
        <v>-1.21</v>
      </c>
      <c r="CB3265">
        <v>-1.19</v>
      </c>
      <c r="CC3265">
        <v>-0.48</v>
      </c>
      <c r="CD3265">
        <v>0.48</v>
      </c>
      <c r="CE3265">
        <v>-0.05</v>
      </c>
      <c r="CF3265">
        <v>-0.56999999999999995</v>
      </c>
      <c r="CG3265">
        <v>0</v>
      </c>
      <c r="CH3265">
        <v>-2.14</v>
      </c>
      <c r="CI3265">
        <v>0</v>
      </c>
      <c r="CJ3265">
        <v>-1.2</v>
      </c>
      <c r="CK3265">
        <v>84</v>
      </c>
      <c r="CL3265">
        <v>-0.22</v>
      </c>
      <c r="CM3265">
        <v>81</v>
      </c>
      <c r="CN3265">
        <v>-0.17</v>
      </c>
      <c r="CO3265">
        <v>78</v>
      </c>
      <c r="CP3265">
        <v>-6</v>
      </c>
      <c r="CQ3265">
        <v>82</v>
      </c>
      <c r="CR3265">
        <v>0</v>
      </c>
      <c r="CS3265">
        <v>0</v>
      </c>
      <c r="CT3265">
        <v>-5.6</v>
      </c>
      <c r="CU3265">
        <v>77</v>
      </c>
      <c r="CV3265">
        <v>0.03</v>
      </c>
      <c r="CW3265">
        <v>25</v>
      </c>
      <c r="CX3265" t="s">
        <v>906</v>
      </c>
    </row>
    <row r="3266" spans="1:102" x14ac:dyDescent="0.3">
      <c r="A3266" t="str">
        <f>HYPERLINK("https://webapp.icbf.com/v2/app/bull-search/view/77858323","DFK")</f>
        <v>DFK</v>
      </c>
      <c r="B3266" t="s">
        <v>11015</v>
      </c>
      <c r="C3266" t="s">
        <v>11016</v>
      </c>
      <c r="D3266" s="1">
        <v>34765</v>
      </c>
      <c r="E3266" t="s">
        <v>108</v>
      </c>
      <c r="F3266">
        <v>31</v>
      </c>
      <c r="G3266" t="s">
        <v>93</v>
      </c>
      <c r="H3266">
        <v>-24.41</v>
      </c>
      <c r="I3266">
        <v>80</v>
      </c>
      <c r="J3266">
        <v>-67.67</v>
      </c>
      <c r="K3266">
        <v>94</v>
      </c>
      <c r="L3266">
        <v>43.42</v>
      </c>
      <c r="M3266">
        <v>70</v>
      </c>
      <c r="N3266">
        <v>0.97</v>
      </c>
      <c r="O3266">
        <v>70</v>
      </c>
      <c r="P3266">
        <v>-12.32</v>
      </c>
      <c r="Q3266">
        <v>88</v>
      </c>
      <c r="R3266">
        <v>-6.83</v>
      </c>
      <c r="S3266">
        <v>72</v>
      </c>
      <c r="T3266">
        <v>24.48</v>
      </c>
      <c r="U3266">
        <v>83</v>
      </c>
      <c r="V3266">
        <v>-6.46</v>
      </c>
      <c r="W3266">
        <v>57</v>
      </c>
      <c r="X3266" t="s">
        <v>102</v>
      </c>
      <c r="Y3266" t="s">
        <v>95</v>
      </c>
      <c r="Z3266" t="s">
        <v>96</v>
      </c>
      <c r="AA3266" t="s">
        <v>3366</v>
      </c>
      <c r="AB3266" t="s">
        <v>981</v>
      </c>
      <c r="AC3266">
        <v>80</v>
      </c>
      <c r="AD3266">
        <v>57</v>
      </c>
      <c r="AE3266">
        <v>94</v>
      </c>
      <c r="AF3266">
        <v>-282.48</v>
      </c>
      <c r="AG3266">
        <v>-18.04</v>
      </c>
      <c r="AH3266">
        <v>-9.4499999999999993</v>
      </c>
      <c r="AI3266">
        <v>-0.12</v>
      </c>
      <c r="AJ3266">
        <v>0</v>
      </c>
      <c r="AK3266">
        <v>70</v>
      </c>
      <c r="AL3266">
        <v>96</v>
      </c>
      <c r="AM3266">
        <v>72</v>
      </c>
      <c r="AN3266">
        <v>-3.35</v>
      </c>
      <c r="AO3266">
        <v>0.1</v>
      </c>
      <c r="AP3266">
        <v>8</v>
      </c>
      <c r="AQ3266">
        <v>6</v>
      </c>
      <c r="AR3266">
        <v>5.73</v>
      </c>
      <c r="AS3266">
        <v>46</v>
      </c>
      <c r="AT3266">
        <v>2.78</v>
      </c>
      <c r="AU3266">
        <v>67</v>
      </c>
      <c r="AV3266">
        <v>0.41</v>
      </c>
      <c r="AW3266">
        <v>77</v>
      </c>
      <c r="AX3266">
        <v>0.16</v>
      </c>
      <c r="AY3266">
        <v>82</v>
      </c>
      <c r="AZ3266">
        <v>5.61</v>
      </c>
      <c r="BA3266">
        <v>48</v>
      </c>
      <c r="BB3266">
        <v>5.79</v>
      </c>
      <c r="BC3266">
        <v>64</v>
      </c>
      <c r="BD3266">
        <v>0.03</v>
      </c>
      <c r="BE3266">
        <v>0.03</v>
      </c>
      <c r="BF3266">
        <v>0.05</v>
      </c>
      <c r="BG3266">
        <v>85</v>
      </c>
      <c r="BH3266">
        <v>-0.05</v>
      </c>
      <c r="BI3266">
        <v>15.07</v>
      </c>
      <c r="BJ3266">
        <v>15</v>
      </c>
      <c r="BK3266">
        <v>12</v>
      </c>
      <c r="BL3266">
        <v>-2.21</v>
      </c>
      <c r="BM3266">
        <v>0.25</v>
      </c>
      <c r="BN3266">
        <v>-2.91</v>
      </c>
      <c r="BO3266">
        <v>-2.5099999999999998</v>
      </c>
      <c r="BP3266">
        <v>-1.2</v>
      </c>
      <c r="BQ3266">
        <v>0.54</v>
      </c>
      <c r="BR3266">
        <v>-0.12</v>
      </c>
      <c r="BS3266">
        <v>-1.0900000000000001</v>
      </c>
      <c r="BT3266">
        <v>-0.89</v>
      </c>
      <c r="BU3266">
        <v>-2.4700000000000002</v>
      </c>
      <c r="BV3266">
        <v>-1.87</v>
      </c>
      <c r="BW3266">
        <v>-3.17</v>
      </c>
      <c r="BX3266">
        <v>-2.0299999999999998</v>
      </c>
      <c r="BY3266">
        <v>-2.06</v>
      </c>
      <c r="BZ3266">
        <v>-0.28000000000000003</v>
      </c>
      <c r="CA3266">
        <v>-2.65</v>
      </c>
      <c r="CB3266">
        <v>-2.66</v>
      </c>
      <c r="CC3266">
        <v>-1.75</v>
      </c>
      <c r="CD3266">
        <v>2</v>
      </c>
      <c r="CE3266">
        <v>-2.39</v>
      </c>
      <c r="CF3266">
        <v>-2.61</v>
      </c>
      <c r="CG3266">
        <v>0</v>
      </c>
      <c r="CH3266">
        <v>-2.66</v>
      </c>
      <c r="CI3266">
        <v>0</v>
      </c>
      <c r="CJ3266">
        <v>-7.3</v>
      </c>
      <c r="CK3266">
        <v>89</v>
      </c>
      <c r="CL3266">
        <v>0.16</v>
      </c>
      <c r="CM3266">
        <v>87</v>
      </c>
      <c r="CN3266">
        <v>0.12</v>
      </c>
      <c r="CO3266">
        <v>85</v>
      </c>
      <c r="CP3266">
        <v>-16.600000000000001</v>
      </c>
      <c r="CQ3266">
        <v>89</v>
      </c>
      <c r="CR3266">
        <v>0</v>
      </c>
      <c r="CS3266">
        <v>0</v>
      </c>
      <c r="CT3266">
        <v>-19.3</v>
      </c>
      <c r="CU3266">
        <v>83</v>
      </c>
      <c r="CV3266">
        <v>-0.2</v>
      </c>
      <c r="CW3266">
        <v>26</v>
      </c>
      <c r="CX3266" t="s">
        <v>982</v>
      </c>
    </row>
    <row r="3267" spans="1:102" x14ac:dyDescent="0.3">
      <c r="A3267" t="str">
        <f>HYPERLINK("https://webapp.icbf.com/v2/app/bull-search/view/1049254330","F263")</f>
        <v>F263</v>
      </c>
      <c r="B3267" t="s">
        <v>13578</v>
      </c>
      <c r="C3267" t="s">
        <v>13579</v>
      </c>
      <c r="D3267" s="1">
        <v>41328</v>
      </c>
      <c r="E3267" t="s">
        <v>92</v>
      </c>
      <c r="F3267">
        <v>100</v>
      </c>
      <c r="G3267" t="s">
        <v>93</v>
      </c>
      <c r="H3267">
        <v>-24.41</v>
      </c>
      <c r="I3267">
        <v>71</v>
      </c>
      <c r="J3267">
        <v>11.27</v>
      </c>
      <c r="K3267">
        <v>88</v>
      </c>
      <c r="L3267">
        <v>-53.72</v>
      </c>
      <c r="M3267">
        <v>63</v>
      </c>
      <c r="N3267">
        <v>28.02</v>
      </c>
      <c r="O3267">
        <v>66</v>
      </c>
      <c r="P3267">
        <v>2.02</v>
      </c>
      <c r="Q3267">
        <v>67</v>
      </c>
      <c r="R3267">
        <v>-6.64</v>
      </c>
      <c r="S3267">
        <v>61</v>
      </c>
      <c r="T3267">
        <v>-5.71</v>
      </c>
      <c r="U3267">
        <v>62</v>
      </c>
      <c r="V3267">
        <v>0.35</v>
      </c>
      <c r="W3267">
        <v>50</v>
      </c>
      <c r="X3267" t="s">
        <v>110</v>
      </c>
      <c r="Y3267" t="s">
        <v>13563</v>
      </c>
      <c r="Z3267" t="s">
        <v>96</v>
      </c>
      <c r="AA3267" t="s">
        <v>2474</v>
      </c>
      <c r="AB3267" t="s">
        <v>13580</v>
      </c>
      <c r="AC3267">
        <v>20</v>
      </c>
      <c r="AD3267">
        <v>3</v>
      </c>
      <c r="AE3267">
        <v>88</v>
      </c>
      <c r="AF3267">
        <v>784.82</v>
      </c>
      <c r="AG3267">
        <v>7.8</v>
      </c>
      <c r="AH3267">
        <v>11.17</v>
      </c>
      <c r="AI3267">
        <v>-0.35</v>
      </c>
      <c r="AJ3267">
        <v>-0.24</v>
      </c>
      <c r="AK3267">
        <v>63</v>
      </c>
      <c r="AL3267">
        <v>4</v>
      </c>
      <c r="AM3267">
        <v>2</v>
      </c>
      <c r="AN3267">
        <v>4.03</v>
      </c>
      <c r="AO3267">
        <v>-0.24</v>
      </c>
      <c r="AP3267">
        <v>18</v>
      </c>
      <c r="AQ3267">
        <v>0</v>
      </c>
      <c r="AR3267">
        <v>6.13</v>
      </c>
      <c r="AS3267">
        <v>59</v>
      </c>
      <c r="AT3267">
        <v>2.67</v>
      </c>
      <c r="AU3267">
        <v>61</v>
      </c>
      <c r="AV3267">
        <v>-3.19</v>
      </c>
      <c r="AW3267">
        <v>86</v>
      </c>
      <c r="AX3267">
        <v>-0.54</v>
      </c>
      <c r="AY3267">
        <v>57</v>
      </c>
      <c r="AZ3267">
        <v>7.96</v>
      </c>
      <c r="BA3267">
        <v>33</v>
      </c>
      <c r="BB3267">
        <v>5.67</v>
      </c>
      <c r="BC3267">
        <v>33</v>
      </c>
      <c r="BD3267">
        <v>-0.02</v>
      </c>
      <c r="BE3267">
        <v>0.04</v>
      </c>
      <c r="BF3267">
        <v>0.11</v>
      </c>
      <c r="BG3267">
        <v>72</v>
      </c>
      <c r="BH3267">
        <v>-0.14000000000000001</v>
      </c>
      <c r="BI3267">
        <v>-17.309999999999999</v>
      </c>
      <c r="BJ3267">
        <v>0</v>
      </c>
      <c r="BK3267">
        <v>0</v>
      </c>
      <c r="BL3267">
        <v>1.43</v>
      </c>
      <c r="BM3267">
        <v>-0.74</v>
      </c>
      <c r="BN3267">
        <v>0.46</v>
      </c>
      <c r="BO3267">
        <v>1.18</v>
      </c>
      <c r="BP3267">
        <v>7.0000000000000007E-2</v>
      </c>
      <c r="BQ3267">
        <v>1.07</v>
      </c>
      <c r="BR3267">
        <v>-1.1299999999999999</v>
      </c>
      <c r="BS3267">
        <v>3.1</v>
      </c>
      <c r="BT3267">
        <v>1.88</v>
      </c>
      <c r="BU3267">
        <v>2.87</v>
      </c>
      <c r="BV3267">
        <v>2.27</v>
      </c>
      <c r="BW3267">
        <v>2.02</v>
      </c>
      <c r="BX3267">
        <v>2.27</v>
      </c>
      <c r="BY3267">
        <v>0.89</v>
      </c>
      <c r="BZ3267">
        <v>-1.49</v>
      </c>
      <c r="CA3267">
        <v>3.12</v>
      </c>
      <c r="CB3267">
        <v>2.57</v>
      </c>
      <c r="CC3267">
        <v>2.69</v>
      </c>
      <c r="CD3267">
        <v>-0.35</v>
      </c>
      <c r="CE3267">
        <v>1.61</v>
      </c>
      <c r="CF3267">
        <v>1.49</v>
      </c>
      <c r="CG3267">
        <v>0</v>
      </c>
      <c r="CH3267">
        <v>2.2200000000000002</v>
      </c>
      <c r="CI3267">
        <v>0</v>
      </c>
      <c r="CJ3267">
        <v>1.7</v>
      </c>
      <c r="CK3267">
        <v>70</v>
      </c>
      <c r="CL3267">
        <v>-1.08</v>
      </c>
      <c r="CM3267">
        <v>64</v>
      </c>
      <c r="CN3267">
        <v>-0.82</v>
      </c>
      <c r="CO3267">
        <v>62</v>
      </c>
      <c r="CP3267">
        <v>8.1</v>
      </c>
      <c r="CQ3267">
        <v>59</v>
      </c>
      <c r="CR3267">
        <v>0</v>
      </c>
      <c r="CS3267">
        <v>0</v>
      </c>
      <c r="CT3267">
        <v>21.5</v>
      </c>
      <c r="CU3267">
        <v>62</v>
      </c>
      <c r="CV3267">
        <v>0.28000000000000003</v>
      </c>
      <c r="CW3267">
        <v>39</v>
      </c>
      <c r="CX3267" t="s">
        <v>3033</v>
      </c>
    </row>
    <row r="3268" spans="1:102" x14ac:dyDescent="0.3">
      <c r="A3268" t="str">
        <f>HYPERLINK("https://webapp.icbf.com/v2/app/bull-search/view/77859322","AON")</f>
        <v>AON</v>
      </c>
      <c r="B3268" t="s">
        <v>191</v>
      </c>
      <c r="C3268" t="s">
        <v>192</v>
      </c>
      <c r="D3268" s="1">
        <v>34321</v>
      </c>
      <c r="E3268" t="s">
        <v>92</v>
      </c>
      <c r="F3268">
        <v>100</v>
      </c>
      <c r="G3268" t="s">
        <v>93</v>
      </c>
      <c r="H3268">
        <v>-24.58</v>
      </c>
      <c r="I3268">
        <v>84</v>
      </c>
      <c r="J3268">
        <v>-16.05</v>
      </c>
      <c r="K3268">
        <v>97</v>
      </c>
      <c r="L3268">
        <v>-31.04</v>
      </c>
      <c r="M3268">
        <v>76</v>
      </c>
      <c r="N3268">
        <v>18.649999999999999</v>
      </c>
      <c r="O3268">
        <v>73</v>
      </c>
      <c r="P3268">
        <v>-3.8</v>
      </c>
      <c r="Q3268">
        <v>88</v>
      </c>
      <c r="R3268">
        <v>-7.52</v>
      </c>
      <c r="S3268">
        <v>77</v>
      </c>
      <c r="T3268">
        <v>15.53</v>
      </c>
      <c r="U3268">
        <v>89</v>
      </c>
      <c r="V3268">
        <v>-0.35</v>
      </c>
      <c r="W3268">
        <v>50</v>
      </c>
      <c r="X3268" t="s">
        <v>94</v>
      </c>
      <c r="Y3268" t="s">
        <v>95</v>
      </c>
      <c r="Z3268" t="s">
        <v>96</v>
      </c>
      <c r="AA3268" t="s">
        <v>193</v>
      </c>
      <c r="AB3268" t="s">
        <v>194</v>
      </c>
      <c r="AC3268">
        <v>155</v>
      </c>
      <c r="AD3268">
        <v>129</v>
      </c>
      <c r="AE3268">
        <v>97</v>
      </c>
      <c r="AF3268">
        <v>-88.08</v>
      </c>
      <c r="AG3268">
        <v>-2.34</v>
      </c>
      <c r="AH3268">
        <v>-3.25</v>
      </c>
      <c r="AI3268">
        <v>0.02</v>
      </c>
      <c r="AJ3268">
        <v>0</v>
      </c>
      <c r="AK3268">
        <v>76</v>
      </c>
      <c r="AL3268">
        <v>210</v>
      </c>
      <c r="AM3268">
        <v>157</v>
      </c>
      <c r="AN3268">
        <v>2.1</v>
      </c>
      <c r="AO3268">
        <v>-0.37</v>
      </c>
      <c r="AP3268">
        <v>3</v>
      </c>
      <c r="AQ3268">
        <v>0</v>
      </c>
      <c r="AR3268">
        <v>5.19</v>
      </c>
      <c r="AS3268">
        <v>44</v>
      </c>
      <c r="AT3268">
        <v>2.15</v>
      </c>
      <c r="AU3268">
        <v>70</v>
      </c>
      <c r="AV3268">
        <v>-0.7</v>
      </c>
      <c r="AW3268">
        <v>80</v>
      </c>
      <c r="AX3268">
        <v>-0.19</v>
      </c>
      <c r="AY3268">
        <v>85</v>
      </c>
      <c r="AZ3268">
        <v>6.09</v>
      </c>
      <c r="BA3268">
        <v>46</v>
      </c>
      <c r="BB3268">
        <v>5.2</v>
      </c>
      <c r="BC3268">
        <v>70</v>
      </c>
      <c r="BD3268">
        <v>0.03</v>
      </c>
      <c r="BE3268">
        <v>7.0000000000000007E-2</v>
      </c>
      <c r="BF3268">
        <v>-0.01</v>
      </c>
      <c r="BG3268">
        <v>92</v>
      </c>
      <c r="BH3268">
        <v>0.12</v>
      </c>
      <c r="BI3268">
        <v>15.01</v>
      </c>
      <c r="BJ3268">
        <v>31</v>
      </c>
      <c r="BK3268">
        <v>28</v>
      </c>
      <c r="BL3268">
        <v>0.26</v>
      </c>
      <c r="BM3268">
        <v>0.36</v>
      </c>
      <c r="BN3268">
        <v>0.5</v>
      </c>
      <c r="BO3268">
        <v>0.12</v>
      </c>
      <c r="BP3268">
        <v>0.51</v>
      </c>
      <c r="BQ3268">
        <v>-0.98</v>
      </c>
      <c r="BR3268">
        <v>1.02</v>
      </c>
      <c r="BS3268">
        <v>-0.54</v>
      </c>
      <c r="BT3268">
        <v>-0.81</v>
      </c>
      <c r="BU3268">
        <v>-0.35</v>
      </c>
      <c r="BV3268">
        <v>0.09</v>
      </c>
      <c r="BW3268">
        <v>-0.14000000000000001</v>
      </c>
      <c r="BX3268">
        <v>0.39</v>
      </c>
      <c r="BY3268">
        <v>-0.57999999999999996</v>
      </c>
      <c r="BZ3268">
        <v>0.65</v>
      </c>
      <c r="CA3268">
        <v>-0.31</v>
      </c>
      <c r="CB3268">
        <v>-0.26</v>
      </c>
      <c r="CC3268">
        <v>-0.16</v>
      </c>
      <c r="CD3268">
        <v>-0.41</v>
      </c>
      <c r="CE3268">
        <v>0.39</v>
      </c>
      <c r="CF3268">
        <v>0.2</v>
      </c>
      <c r="CG3268">
        <v>0</v>
      </c>
      <c r="CH3268">
        <v>-1.34</v>
      </c>
      <c r="CI3268">
        <v>0</v>
      </c>
      <c r="CJ3268">
        <v>-0.6</v>
      </c>
      <c r="CK3268">
        <v>89</v>
      </c>
      <c r="CL3268">
        <v>-0.48</v>
      </c>
      <c r="CM3268">
        <v>87</v>
      </c>
      <c r="CN3268">
        <v>-0.25</v>
      </c>
      <c r="CO3268">
        <v>86</v>
      </c>
      <c r="CP3268">
        <v>-6.3</v>
      </c>
      <c r="CQ3268">
        <v>92</v>
      </c>
      <c r="CR3268">
        <v>0</v>
      </c>
      <c r="CS3268">
        <v>0</v>
      </c>
      <c r="CT3268">
        <v>-7.2</v>
      </c>
      <c r="CU3268">
        <v>89</v>
      </c>
      <c r="CV3268">
        <v>0.19</v>
      </c>
      <c r="CW3268">
        <v>27</v>
      </c>
      <c r="CX3268" t="s">
        <v>118</v>
      </c>
    </row>
    <row r="3269" spans="1:102" x14ac:dyDescent="0.3">
      <c r="A3269" t="str">
        <f>HYPERLINK("https://webapp.icbf.com/v2/app/bull-search/view/714743310","SAZ")</f>
        <v>SAZ</v>
      </c>
      <c r="B3269" t="s">
        <v>6520</v>
      </c>
      <c r="C3269" t="s">
        <v>6521</v>
      </c>
      <c r="D3269" s="1">
        <v>39449</v>
      </c>
      <c r="E3269" t="s">
        <v>92</v>
      </c>
      <c r="F3269">
        <v>100</v>
      </c>
      <c r="G3269" t="s">
        <v>116</v>
      </c>
      <c r="H3269">
        <v>-24.69</v>
      </c>
      <c r="I3269">
        <v>34</v>
      </c>
      <c r="J3269">
        <v>42.71</v>
      </c>
      <c r="K3269">
        <v>38</v>
      </c>
      <c r="L3269">
        <v>-46.87</v>
      </c>
      <c r="M3269">
        <v>26</v>
      </c>
      <c r="N3269">
        <v>-15.43</v>
      </c>
      <c r="O3269">
        <v>50</v>
      </c>
      <c r="P3269">
        <v>6.58</v>
      </c>
      <c r="Q3269">
        <v>43</v>
      </c>
      <c r="R3269">
        <v>-5.96</v>
      </c>
      <c r="S3269">
        <v>28</v>
      </c>
      <c r="T3269">
        <v>-4.45</v>
      </c>
      <c r="U3269">
        <v>34</v>
      </c>
      <c r="V3269">
        <v>-1.27</v>
      </c>
      <c r="W3269">
        <v>17</v>
      </c>
      <c r="X3269" t="s">
        <v>288</v>
      </c>
      <c r="Y3269" t="s">
        <v>329</v>
      </c>
      <c r="Z3269" t="s">
        <v>96</v>
      </c>
      <c r="AA3269" t="s">
        <v>5289</v>
      </c>
      <c r="AB3269" t="s">
        <v>6522</v>
      </c>
      <c r="AC3269">
        <v>2</v>
      </c>
      <c r="AD3269">
        <v>2</v>
      </c>
      <c r="AE3269">
        <v>38</v>
      </c>
      <c r="AF3269">
        <v>283.67</v>
      </c>
      <c r="AG3269">
        <v>7.82</v>
      </c>
      <c r="AH3269">
        <v>8.84</v>
      </c>
      <c r="AI3269">
        <v>-0.05</v>
      </c>
      <c r="AJ3269">
        <v>-0.01</v>
      </c>
      <c r="AK3269">
        <v>26</v>
      </c>
      <c r="AL3269">
        <v>3</v>
      </c>
      <c r="AM3269">
        <v>3</v>
      </c>
      <c r="AN3269">
        <v>3.14</v>
      </c>
      <c r="AO3269">
        <v>-0.59</v>
      </c>
      <c r="AP3269">
        <v>5</v>
      </c>
      <c r="AQ3269">
        <v>1</v>
      </c>
      <c r="AR3269">
        <v>11.16</v>
      </c>
      <c r="AS3269">
        <v>27</v>
      </c>
      <c r="AT3269">
        <v>4.5599999999999996</v>
      </c>
      <c r="AU3269">
        <v>87</v>
      </c>
      <c r="AV3269">
        <v>-2.66</v>
      </c>
      <c r="AW3269">
        <v>48</v>
      </c>
      <c r="AX3269">
        <v>1.39</v>
      </c>
      <c r="AY3269">
        <v>36</v>
      </c>
      <c r="AZ3269">
        <v>8.0299999999999994</v>
      </c>
      <c r="BA3269">
        <v>23</v>
      </c>
      <c r="BB3269">
        <v>5.81</v>
      </c>
      <c r="BC3269">
        <v>20</v>
      </c>
      <c r="BD3269">
        <v>0.03</v>
      </c>
      <c r="BE3269">
        <v>0.03</v>
      </c>
      <c r="BF3269">
        <v>0.03</v>
      </c>
      <c r="BG3269">
        <v>36</v>
      </c>
      <c r="BH3269">
        <v>-0.01</v>
      </c>
      <c r="BI3269">
        <v>2.94</v>
      </c>
      <c r="BJ3269">
        <v>1</v>
      </c>
      <c r="BK3269">
        <v>1</v>
      </c>
      <c r="BL3269">
        <v>2.12</v>
      </c>
      <c r="BM3269">
        <v>-1.73</v>
      </c>
      <c r="BN3269">
        <v>0.98</v>
      </c>
      <c r="BO3269">
        <v>1.87</v>
      </c>
      <c r="BP3269">
        <v>1.2</v>
      </c>
      <c r="BQ3269">
        <v>1.28</v>
      </c>
      <c r="BR3269">
        <v>-0.68</v>
      </c>
      <c r="BS3269">
        <v>1.02</v>
      </c>
      <c r="BT3269">
        <v>1.99</v>
      </c>
      <c r="BU3269">
        <v>1.34</v>
      </c>
      <c r="BV3269">
        <v>2.93</v>
      </c>
      <c r="BW3269">
        <v>1.21</v>
      </c>
      <c r="BX3269">
        <v>1.02</v>
      </c>
      <c r="BY3269">
        <v>1.1000000000000001</v>
      </c>
      <c r="BZ3269">
        <v>-0.67</v>
      </c>
      <c r="CA3269">
        <v>1.89</v>
      </c>
      <c r="CB3269">
        <v>1.62</v>
      </c>
      <c r="CC3269">
        <v>1.68</v>
      </c>
      <c r="CD3269">
        <v>-2.04</v>
      </c>
      <c r="CE3269">
        <v>1.03</v>
      </c>
      <c r="CF3269">
        <v>1.67</v>
      </c>
      <c r="CG3269">
        <v>0</v>
      </c>
      <c r="CH3269">
        <v>0.59</v>
      </c>
      <c r="CI3269">
        <v>0</v>
      </c>
      <c r="CJ3269">
        <v>6.2</v>
      </c>
      <c r="CK3269">
        <v>45</v>
      </c>
      <c r="CL3269">
        <v>-0.92</v>
      </c>
      <c r="CM3269">
        <v>43</v>
      </c>
      <c r="CN3269">
        <v>-0.56000000000000005</v>
      </c>
      <c r="CO3269">
        <v>41</v>
      </c>
      <c r="CP3269">
        <v>6.4</v>
      </c>
      <c r="CQ3269">
        <v>37</v>
      </c>
      <c r="CR3269">
        <v>0</v>
      </c>
      <c r="CS3269">
        <v>0</v>
      </c>
      <c r="CT3269">
        <v>19.8</v>
      </c>
      <c r="CU3269">
        <v>34</v>
      </c>
      <c r="CV3269">
        <v>0.41</v>
      </c>
      <c r="CW3269">
        <v>12</v>
      </c>
      <c r="CX3269" t="s">
        <v>2597</v>
      </c>
    </row>
    <row r="3270" spans="1:102" x14ac:dyDescent="0.3">
      <c r="A3270" t="str">
        <f>HYPERLINK("https://webapp.icbf.com/v2/app/bull-search/view/77857429","FSY")</f>
        <v>FSY</v>
      </c>
      <c r="B3270" t="s">
        <v>955</v>
      </c>
      <c r="C3270" t="s">
        <v>956</v>
      </c>
      <c r="D3270" s="1">
        <v>33030</v>
      </c>
      <c r="E3270" t="s">
        <v>92</v>
      </c>
      <c r="F3270">
        <v>100</v>
      </c>
      <c r="G3270" t="s">
        <v>109</v>
      </c>
      <c r="H3270">
        <v>-24.73</v>
      </c>
      <c r="I3270">
        <v>75</v>
      </c>
      <c r="J3270">
        <v>0.01</v>
      </c>
      <c r="K3270">
        <v>90</v>
      </c>
      <c r="L3270">
        <v>-25.71</v>
      </c>
      <c r="M3270">
        <v>81</v>
      </c>
      <c r="N3270">
        <v>16.98</v>
      </c>
      <c r="O3270">
        <v>56</v>
      </c>
      <c r="P3270">
        <v>-4.7699999999999996</v>
      </c>
      <c r="Q3270">
        <v>58</v>
      </c>
      <c r="R3270">
        <v>-13.47</v>
      </c>
      <c r="S3270">
        <v>66</v>
      </c>
      <c r="T3270">
        <v>4.8</v>
      </c>
      <c r="U3270">
        <v>57</v>
      </c>
      <c r="V3270">
        <v>-2.57</v>
      </c>
      <c r="W3270">
        <v>28</v>
      </c>
      <c r="X3270" t="s">
        <v>276</v>
      </c>
      <c r="Y3270" t="s">
        <v>95</v>
      </c>
      <c r="Z3270" t="s">
        <v>96</v>
      </c>
      <c r="AA3270" t="s">
        <v>111</v>
      </c>
      <c r="AB3270" t="s">
        <v>957</v>
      </c>
      <c r="AC3270">
        <v>29</v>
      </c>
      <c r="AD3270">
        <v>17</v>
      </c>
      <c r="AE3270">
        <v>90</v>
      </c>
      <c r="AF3270">
        <v>84.11</v>
      </c>
      <c r="AG3270">
        <v>0.76</v>
      </c>
      <c r="AH3270">
        <v>1.02</v>
      </c>
      <c r="AI3270">
        <v>-0.04</v>
      </c>
      <c r="AJ3270">
        <v>-0.03</v>
      </c>
      <c r="AK3270">
        <v>81</v>
      </c>
      <c r="AL3270">
        <v>31</v>
      </c>
      <c r="AM3270">
        <v>17</v>
      </c>
      <c r="AN3270">
        <v>2.19</v>
      </c>
      <c r="AO3270">
        <v>0.15</v>
      </c>
      <c r="AP3270">
        <v>0</v>
      </c>
      <c r="AQ3270">
        <v>1</v>
      </c>
      <c r="AR3270">
        <v>5.91</v>
      </c>
      <c r="AS3270">
        <v>31</v>
      </c>
      <c r="AT3270">
        <v>2.85</v>
      </c>
      <c r="AU3270">
        <v>87</v>
      </c>
      <c r="AV3270">
        <v>-1.55</v>
      </c>
      <c r="AW3270">
        <v>49</v>
      </c>
      <c r="AX3270">
        <v>-0.53</v>
      </c>
      <c r="AY3270">
        <v>59</v>
      </c>
      <c r="AZ3270">
        <v>6.96</v>
      </c>
      <c r="BA3270">
        <v>31</v>
      </c>
      <c r="BB3270">
        <v>5.47</v>
      </c>
      <c r="BC3270">
        <v>37</v>
      </c>
      <c r="BD3270">
        <v>0.04</v>
      </c>
      <c r="BE3270">
        <v>7.0000000000000007E-2</v>
      </c>
      <c r="BF3270">
        <v>0.11</v>
      </c>
      <c r="BG3270">
        <v>85</v>
      </c>
      <c r="BH3270">
        <v>-0.03</v>
      </c>
      <c r="BI3270">
        <v>4.82</v>
      </c>
      <c r="BJ3270">
        <v>4</v>
      </c>
      <c r="BK3270">
        <v>4</v>
      </c>
      <c r="BL3270">
        <v>0.66</v>
      </c>
      <c r="BM3270">
        <v>0.16</v>
      </c>
      <c r="BN3270">
        <v>0.93</v>
      </c>
      <c r="BO3270">
        <v>0.61</v>
      </c>
      <c r="BP3270">
        <v>2.15</v>
      </c>
      <c r="BQ3270">
        <v>0.28000000000000003</v>
      </c>
      <c r="BR3270">
        <v>0.9</v>
      </c>
      <c r="BS3270">
        <v>0.42</v>
      </c>
      <c r="BT3270">
        <v>-0.41</v>
      </c>
      <c r="BU3270">
        <v>-0.97</v>
      </c>
      <c r="BV3270">
        <v>-0.85</v>
      </c>
      <c r="BW3270">
        <v>0.21</v>
      </c>
      <c r="BX3270">
        <v>-0.87</v>
      </c>
      <c r="BY3270">
        <v>-1.33</v>
      </c>
      <c r="BZ3270">
        <v>-0.6</v>
      </c>
      <c r="CA3270">
        <v>-0.09</v>
      </c>
      <c r="CB3270">
        <v>-0.43</v>
      </c>
      <c r="CC3270">
        <v>0.79</v>
      </c>
      <c r="CD3270">
        <v>-0.75</v>
      </c>
      <c r="CE3270">
        <v>0.39</v>
      </c>
      <c r="CF3270">
        <v>-0.24</v>
      </c>
      <c r="CG3270">
        <v>0</v>
      </c>
      <c r="CH3270">
        <v>0.36</v>
      </c>
      <c r="CI3270">
        <v>0</v>
      </c>
      <c r="CJ3270">
        <v>-2.5</v>
      </c>
      <c r="CK3270">
        <v>59</v>
      </c>
      <c r="CL3270">
        <v>-0.39</v>
      </c>
      <c r="CM3270">
        <v>56</v>
      </c>
      <c r="CN3270">
        <v>-0.24</v>
      </c>
      <c r="CO3270">
        <v>50</v>
      </c>
      <c r="CP3270">
        <v>-0.7</v>
      </c>
      <c r="CQ3270">
        <v>70</v>
      </c>
      <c r="CR3270">
        <v>0</v>
      </c>
      <c r="CS3270">
        <v>0</v>
      </c>
      <c r="CT3270">
        <v>7.3</v>
      </c>
      <c r="CU3270">
        <v>57</v>
      </c>
      <c r="CV3270">
        <v>0.01</v>
      </c>
      <c r="CW3270">
        <v>16</v>
      </c>
      <c r="CX3270" t="s">
        <v>958</v>
      </c>
    </row>
    <row r="3271" spans="1:102" x14ac:dyDescent="0.3">
      <c r="A3271" t="str">
        <f>HYPERLINK("https://webapp.icbf.com/v2/app/bull-search/view/69091870","HIH")</f>
        <v>HIH</v>
      </c>
      <c r="B3271" t="s">
        <v>14255</v>
      </c>
      <c r="C3271" t="s">
        <v>12462</v>
      </c>
      <c r="D3271" s="1">
        <v>33849</v>
      </c>
      <c r="E3271" t="s">
        <v>197</v>
      </c>
      <c r="F3271">
        <v>0</v>
      </c>
      <c r="G3271" t="s">
        <v>93</v>
      </c>
      <c r="H3271">
        <v>-24.75</v>
      </c>
      <c r="I3271">
        <v>64</v>
      </c>
      <c r="J3271">
        <v>-42.93</v>
      </c>
      <c r="K3271">
        <v>82</v>
      </c>
      <c r="L3271">
        <v>15.95</v>
      </c>
      <c r="M3271">
        <v>48</v>
      </c>
      <c r="N3271">
        <v>-21.26</v>
      </c>
      <c r="O3271">
        <v>55</v>
      </c>
      <c r="P3271">
        <v>10.63</v>
      </c>
      <c r="Q3271">
        <v>85</v>
      </c>
      <c r="R3271">
        <v>-7.02</v>
      </c>
      <c r="S3271">
        <v>41</v>
      </c>
      <c r="T3271">
        <v>18.12</v>
      </c>
      <c r="U3271">
        <v>82</v>
      </c>
      <c r="V3271">
        <v>1.76</v>
      </c>
      <c r="W3271">
        <v>16</v>
      </c>
      <c r="X3271" t="s">
        <v>94</v>
      </c>
      <c r="Y3271" t="s">
        <v>95</v>
      </c>
      <c r="Z3271">
        <v>0</v>
      </c>
      <c r="AA3271" t="s">
        <v>4406</v>
      </c>
      <c r="AB3271" t="s">
        <v>14256</v>
      </c>
      <c r="AC3271">
        <v>22</v>
      </c>
      <c r="AD3271">
        <v>5</v>
      </c>
      <c r="AE3271">
        <v>82</v>
      </c>
      <c r="AF3271">
        <v>-274.58</v>
      </c>
      <c r="AG3271">
        <v>-12.73</v>
      </c>
      <c r="AH3271">
        <v>-7</v>
      </c>
      <c r="AI3271">
        <v>-0.03</v>
      </c>
      <c r="AJ3271">
        <v>0.04</v>
      </c>
      <c r="AK3271">
        <v>48</v>
      </c>
      <c r="AL3271">
        <v>46</v>
      </c>
      <c r="AM3271">
        <v>8</v>
      </c>
      <c r="AN3271">
        <v>-2.5499999999999998</v>
      </c>
      <c r="AO3271">
        <v>-1.3</v>
      </c>
      <c r="AP3271">
        <v>27</v>
      </c>
      <c r="AQ3271">
        <v>1</v>
      </c>
      <c r="AR3271">
        <v>4.8</v>
      </c>
      <c r="AS3271">
        <v>25</v>
      </c>
      <c r="AT3271">
        <v>5.04</v>
      </c>
      <c r="AU3271">
        <v>47</v>
      </c>
      <c r="AV3271">
        <v>2.54</v>
      </c>
      <c r="AW3271">
        <v>75</v>
      </c>
      <c r="AX3271">
        <v>-0.36</v>
      </c>
      <c r="AY3271">
        <v>63</v>
      </c>
      <c r="AZ3271">
        <v>5.77</v>
      </c>
      <c r="BA3271">
        <v>23</v>
      </c>
      <c r="BB3271">
        <v>3.37</v>
      </c>
      <c r="BC3271">
        <v>25</v>
      </c>
      <c r="BD3271">
        <v>0.05</v>
      </c>
      <c r="BE3271">
        <v>0.02</v>
      </c>
      <c r="BF3271">
        <v>0.04</v>
      </c>
      <c r="BG3271">
        <v>51</v>
      </c>
      <c r="BH3271">
        <v>0.12</v>
      </c>
      <c r="BI3271">
        <v>8.19</v>
      </c>
      <c r="BJ3271">
        <v>1</v>
      </c>
      <c r="BK3271">
        <v>1</v>
      </c>
      <c r="BL3271">
        <v>-0.96</v>
      </c>
      <c r="BM3271">
        <v>0.35</v>
      </c>
      <c r="BN3271">
        <v>-0.78</v>
      </c>
      <c r="BO3271">
        <v>-1.25</v>
      </c>
      <c r="BP3271">
        <v>1.01</v>
      </c>
      <c r="BQ3271">
        <v>-0.15</v>
      </c>
      <c r="BR3271">
        <v>0.19</v>
      </c>
      <c r="BS3271">
        <v>0.65</v>
      </c>
      <c r="BT3271">
        <v>-0.25</v>
      </c>
      <c r="BU3271">
        <v>-0.77</v>
      </c>
      <c r="BV3271">
        <v>-1.79</v>
      </c>
      <c r="BW3271">
        <v>-1.82</v>
      </c>
      <c r="BX3271">
        <v>0.12</v>
      </c>
      <c r="BY3271">
        <v>-2.38</v>
      </c>
      <c r="BZ3271">
        <v>-0.78</v>
      </c>
      <c r="CA3271">
        <v>-1.39</v>
      </c>
      <c r="CB3271">
        <v>-1.44</v>
      </c>
      <c r="CC3271">
        <v>-0.72</v>
      </c>
      <c r="CD3271">
        <v>1.1399999999999999</v>
      </c>
      <c r="CE3271">
        <v>-1.49</v>
      </c>
      <c r="CF3271">
        <v>-0.89</v>
      </c>
      <c r="CG3271">
        <v>0</v>
      </c>
      <c r="CH3271">
        <v>-1.52</v>
      </c>
      <c r="CI3271">
        <v>0</v>
      </c>
      <c r="CJ3271">
        <v>4.7</v>
      </c>
      <c r="CK3271">
        <v>87</v>
      </c>
      <c r="CL3271">
        <v>0.42</v>
      </c>
      <c r="CM3271">
        <v>84</v>
      </c>
      <c r="CN3271">
        <v>0.01</v>
      </c>
      <c r="CO3271">
        <v>82</v>
      </c>
      <c r="CP3271">
        <v>-0.5</v>
      </c>
      <c r="CQ3271">
        <v>84</v>
      </c>
      <c r="CR3271">
        <v>0</v>
      </c>
      <c r="CS3271">
        <v>0</v>
      </c>
      <c r="CT3271">
        <v>-10.7</v>
      </c>
      <c r="CU3271">
        <v>82</v>
      </c>
      <c r="CV3271">
        <v>-0.12</v>
      </c>
      <c r="CW3271">
        <v>24</v>
      </c>
      <c r="CX3271" t="s">
        <v>1055</v>
      </c>
    </row>
    <row r="3272" spans="1:102" x14ac:dyDescent="0.3">
      <c r="A3272" t="str">
        <f>HYPERLINK("https://webapp.icbf.com/v2/app/bull-search/view/77857225","GSB")</f>
        <v>GSB</v>
      </c>
      <c r="B3272" t="s">
        <v>14251</v>
      </c>
      <c r="C3272" t="s">
        <v>14252</v>
      </c>
      <c r="D3272" s="1">
        <v>32704</v>
      </c>
      <c r="E3272" t="s">
        <v>108</v>
      </c>
      <c r="F3272">
        <v>25</v>
      </c>
      <c r="G3272" t="s">
        <v>93</v>
      </c>
      <c r="H3272">
        <v>-24.86</v>
      </c>
      <c r="I3272">
        <v>72</v>
      </c>
      <c r="J3272">
        <v>-48.15</v>
      </c>
      <c r="K3272">
        <v>89</v>
      </c>
      <c r="L3272">
        <v>60.82</v>
      </c>
      <c r="M3272">
        <v>68</v>
      </c>
      <c r="N3272">
        <v>-29.43</v>
      </c>
      <c r="O3272">
        <v>51</v>
      </c>
      <c r="P3272">
        <v>-1.1299999999999999</v>
      </c>
      <c r="Q3272">
        <v>75</v>
      </c>
      <c r="R3272">
        <v>-6.6</v>
      </c>
      <c r="S3272">
        <v>67</v>
      </c>
      <c r="T3272">
        <v>5.17</v>
      </c>
      <c r="U3272">
        <v>63</v>
      </c>
      <c r="V3272">
        <v>-5.54</v>
      </c>
      <c r="W3272">
        <v>32</v>
      </c>
      <c r="X3272" t="s">
        <v>102</v>
      </c>
      <c r="Y3272" t="s">
        <v>95</v>
      </c>
      <c r="Z3272" t="s">
        <v>96</v>
      </c>
      <c r="AA3272" t="s">
        <v>607</v>
      </c>
      <c r="AB3272" t="s">
        <v>8141</v>
      </c>
      <c r="AC3272">
        <v>46</v>
      </c>
      <c r="AD3272">
        <v>35</v>
      </c>
      <c r="AE3272">
        <v>89</v>
      </c>
      <c r="AF3272">
        <v>-85.03</v>
      </c>
      <c r="AG3272">
        <v>-8.14</v>
      </c>
      <c r="AH3272">
        <v>-6.61</v>
      </c>
      <c r="AI3272">
        <v>-0.08</v>
      </c>
      <c r="AJ3272">
        <v>-0.06</v>
      </c>
      <c r="AK3272">
        <v>68</v>
      </c>
      <c r="AL3272">
        <v>129</v>
      </c>
      <c r="AM3272">
        <v>63</v>
      </c>
      <c r="AN3272">
        <v>-2.57</v>
      </c>
      <c r="AO3272">
        <v>2.29</v>
      </c>
      <c r="AP3272">
        <v>2</v>
      </c>
      <c r="AQ3272">
        <v>1</v>
      </c>
      <c r="AR3272">
        <v>12.17</v>
      </c>
      <c r="AS3272">
        <v>30</v>
      </c>
      <c r="AT3272">
        <v>4.6500000000000004</v>
      </c>
      <c r="AU3272">
        <v>48</v>
      </c>
      <c r="AV3272">
        <v>-0.05</v>
      </c>
      <c r="AW3272">
        <v>56</v>
      </c>
      <c r="AX3272">
        <v>-0.17</v>
      </c>
      <c r="AY3272">
        <v>69</v>
      </c>
      <c r="AZ3272">
        <v>5.94</v>
      </c>
      <c r="BA3272">
        <v>31</v>
      </c>
      <c r="BB3272">
        <v>5.03</v>
      </c>
      <c r="BC3272">
        <v>46</v>
      </c>
      <c r="BD3272">
        <v>0.01</v>
      </c>
      <c r="BE3272">
        <v>0.05</v>
      </c>
      <c r="BF3272">
        <v>0.04</v>
      </c>
      <c r="BG3272">
        <v>88</v>
      </c>
      <c r="BH3272">
        <v>-0.17</v>
      </c>
      <c r="BI3272">
        <v>-1.79</v>
      </c>
      <c r="BJ3272">
        <v>18</v>
      </c>
      <c r="BK3272">
        <v>13</v>
      </c>
      <c r="BL3272">
        <v>-2.71</v>
      </c>
      <c r="BM3272">
        <v>1.1299999999999999</v>
      </c>
      <c r="BN3272">
        <v>-1.56</v>
      </c>
      <c r="BO3272">
        <v>-2.29</v>
      </c>
      <c r="BP3272">
        <v>0.05</v>
      </c>
      <c r="BQ3272">
        <v>0.73</v>
      </c>
      <c r="BR3272">
        <v>-1.1200000000000001</v>
      </c>
      <c r="BS3272">
        <v>0.52</v>
      </c>
      <c r="BT3272">
        <v>0.41</v>
      </c>
      <c r="BU3272">
        <v>-0.88</v>
      </c>
      <c r="BV3272">
        <v>-2.0099999999999998</v>
      </c>
      <c r="BW3272">
        <v>-1.72</v>
      </c>
      <c r="BX3272">
        <v>-1.4</v>
      </c>
      <c r="BY3272">
        <v>-2.46</v>
      </c>
      <c r="BZ3272">
        <v>-0.96</v>
      </c>
      <c r="CA3272">
        <v>-1.19</v>
      </c>
      <c r="CB3272">
        <v>-1.72</v>
      </c>
      <c r="CC3272">
        <v>0.08</v>
      </c>
      <c r="CD3272">
        <v>2.13</v>
      </c>
      <c r="CE3272">
        <v>-2.34</v>
      </c>
      <c r="CF3272">
        <v>-2.65</v>
      </c>
      <c r="CG3272">
        <v>0</v>
      </c>
      <c r="CH3272">
        <v>-1.07</v>
      </c>
      <c r="CI3272">
        <v>0</v>
      </c>
      <c r="CJ3272">
        <v>2.5</v>
      </c>
      <c r="CK3272">
        <v>76</v>
      </c>
      <c r="CL3272">
        <v>-0.14000000000000001</v>
      </c>
      <c r="CM3272">
        <v>73</v>
      </c>
      <c r="CN3272">
        <v>0.17</v>
      </c>
      <c r="CO3272">
        <v>70</v>
      </c>
      <c r="CP3272">
        <v>-7.6</v>
      </c>
      <c r="CQ3272">
        <v>79</v>
      </c>
      <c r="CR3272">
        <v>0</v>
      </c>
      <c r="CS3272">
        <v>0</v>
      </c>
      <c r="CT3272">
        <v>6.8</v>
      </c>
      <c r="CU3272">
        <v>63</v>
      </c>
      <c r="CV3272">
        <v>0.15</v>
      </c>
      <c r="CW3272">
        <v>21</v>
      </c>
      <c r="CX3272" t="s">
        <v>622</v>
      </c>
    </row>
    <row r="3273" spans="1:102" x14ac:dyDescent="0.3">
      <c r="A3273" t="str">
        <f>HYPERLINK("https://webapp.icbf.com/v2/app/bull-search/view/1128466955","S2002")</f>
        <v>S2002</v>
      </c>
      <c r="B3273" t="s">
        <v>13200</v>
      </c>
      <c r="C3273" t="s">
        <v>13201</v>
      </c>
      <c r="D3273" s="1">
        <v>40828</v>
      </c>
      <c r="E3273" t="s">
        <v>92</v>
      </c>
      <c r="F3273">
        <v>100</v>
      </c>
      <c r="G3273" t="s">
        <v>109</v>
      </c>
      <c r="H3273">
        <v>-24.88</v>
      </c>
      <c r="I3273">
        <v>75</v>
      </c>
      <c r="J3273">
        <v>25.78</v>
      </c>
      <c r="K3273">
        <v>90</v>
      </c>
      <c r="L3273">
        <v>-53.11</v>
      </c>
      <c r="M3273">
        <v>77</v>
      </c>
      <c r="N3273">
        <v>-2.92</v>
      </c>
      <c r="O3273">
        <v>65</v>
      </c>
      <c r="P3273">
        <v>-9.36</v>
      </c>
      <c r="Q3273">
        <v>63</v>
      </c>
      <c r="R3273">
        <v>18.059999999999999</v>
      </c>
      <c r="S3273">
        <v>69</v>
      </c>
      <c r="T3273">
        <v>-2.5299999999999998</v>
      </c>
      <c r="U3273">
        <v>42</v>
      </c>
      <c r="V3273">
        <v>-0.8</v>
      </c>
      <c r="W3273">
        <v>53</v>
      </c>
      <c r="X3273" t="s">
        <v>276</v>
      </c>
      <c r="Y3273" t="s">
        <v>362</v>
      </c>
      <c r="Z3273" t="s">
        <v>96</v>
      </c>
      <c r="AA3273" t="s">
        <v>8332</v>
      </c>
      <c r="AB3273" t="s">
        <v>13202</v>
      </c>
      <c r="AC3273">
        <v>0</v>
      </c>
      <c r="AD3273">
        <v>0</v>
      </c>
      <c r="AE3273">
        <v>90</v>
      </c>
      <c r="AF3273">
        <v>229.66</v>
      </c>
      <c r="AG3273">
        <v>6.5</v>
      </c>
      <c r="AH3273">
        <v>5.6</v>
      </c>
      <c r="AI3273">
        <v>-0.04</v>
      </c>
      <c r="AJ3273">
        <v>-0.04</v>
      </c>
      <c r="AK3273">
        <v>77</v>
      </c>
      <c r="AL3273">
        <v>0</v>
      </c>
      <c r="AM3273">
        <v>0</v>
      </c>
      <c r="AN3273">
        <v>4.88</v>
      </c>
      <c r="AO3273">
        <v>0.67</v>
      </c>
      <c r="AP3273">
        <v>22</v>
      </c>
      <c r="AQ3273">
        <v>0</v>
      </c>
      <c r="AR3273">
        <v>8.8800000000000008</v>
      </c>
      <c r="AS3273">
        <v>52</v>
      </c>
      <c r="AT3273">
        <v>4</v>
      </c>
      <c r="AU3273">
        <v>83</v>
      </c>
      <c r="AV3273">
        <v>-1.9</v>
      </c>
      <c r="AW3273">
        <v>73</v>
      </c>
      <c r="AX3273">
        <v>-0.1</v>
      </c>
      <c r="AY3273">
        <v>51</v>
      </c>
      <c r="AZ3273">
        <v>6.77</v>
      </c>
      <c r="BA3273">
        <v>34</v>
      </c>
      <c r="BB3273">
        <v>6.07</v>
      </c>
      <c r="BC3273">
        <v>36</v>
      </c>
      <c r="BD3273">
        <v>-0.08</v>
      </c>
      <c r="BE3273">
        <v>-0.08</v>
      </c>
      <c r="BF3273">
        <v>-0.13</v>
      </c>
      <c r="BG3273">
        <v>86</v>
      </c>
      <c r="BH3273">
        <v>0.05</v>
      </c>
      <c r="BI3273">
        <v>8.35</v>
      </c>
      <c r="BJ3273">
        <v>1</v>
      </c>
      <c r="BK3273">
        <v>1</v>
      </c>
      <c r="BL3273">
        <v>1.57</v>
      </c>
      <c r="BM3273">
        <v>-1.57</v>
      </c>
      <c r="BN3273">
        <v>0.05</v>
      </c>
      <c r="BO3273">
        <v>0.41</v>
      </c>
      <c r="BP3273">
        <v>-0.56999999999999995</v>
      </c>
      <c r="BQ3273">
        <v>0.76</v>
      </c>
      <c r="BR3273">
        <v>-1.1000000000000001</v>
      </c>
      <c r="BS3273">
        <v>1.33</v>
      </c>
      <c r="BT3273">
        <v>1.1299999999999999</v>
      </c>
      <c r="BU3273">
        <v>3.83</v>
      </c>
      <c r="BV3273">
        <v>2.65</v>
      </c>
      <c r="BW3273">
        <v>1.61</v>
      </c>
      <c r="BX3273">
        <v>2.7</v>
      </c>
      <c r="BY3273">
        <v>2.4500000000000002</v>
      </c>
      <c r="BZ3273">
        <v>-0.02</v>
      </c>
      <c r="CA3273">
        <v>2.08</v>
      </c>
      <c r="CB3273">
        <v>2.31</v>
      </c>
      <c r="CC3273">
        <v>0.76</v>
      </c>
      <c r="CD3273">
        <v>-0.28999999999999998</v>
      </c>
      <c r="CE3273">
        <v>0.28999999999999998</v>
      </c>
      <c r="CF3273">
        <v>0.37</v>
      </c>
      <c r="CG3273">
        <v>0</v>
      </c>
      <c r="CH3273">
        <v>3.06</v>
      </c>
      <c r="CI3273">
        <v>0</v>
      </c>
      <c r="CJ3273">
        <v>-5</v>
      </c>
      <c r="CK3273">
        <v>66</v>
      </c>
      <c r="CL3273">
        <v>-1.39</v>
      </c>
      <c r="CM3273">
        <v>62</v>
      </c>
      <c r="CN3273">
        <v>-0.97</v>
      </c>
      <c r="CO3273">
        <v>61</v>
      </c>
      <c r="CP3273">
        <v>3.5</v>
      </c>
      <c r="CQ3273">
        <v>46</v>
      </c>
      <c r="CR3273">
        <v>0</v>
      </c>
      <c r="CS3273">
        <v>0</v>
      </c>
      <c r="CT3273">
        <v>17.2</v>
      </c>
      <c r="CU3273">
        <v>42</v>
      </c>
      <c r="CV3273">
        <v>0.19</v>
      </c>
      <c r="CW3273">
        <v>38</v>
      </c>
      <c r="CX3273" t="s">
        <v>1752</v>
      </c>
    </row>
    <row r="3274" spans="1:102" x14ac:dyDescent="0.3">
      <c r="A3274" t="str">
        <f>HYPERLINK("https://webapp.icbf.com/v2/app/bull-search/view/660328345","S813")</f>
        <v>S813</v>
      </c>
      <c r="B3274" t="s">
        <v>12783</v>
      </c>
      <c r="C3274" t="s">
        <v>12784</v>
      </c>
      <c r="D3274" s="1">
        <v>37692</v>
      </c>
      <c r="E3274" t="s">
        <v>140</v>
      </c>
      <c r="F3274">
        <v>0</v>
      </c>
      <c r="G3274" t="s">
        <v>93</v>
      </c>
      <c r="H3274">
        <v>-24.89</v>
      </c>
      <c r="I3274">
        <v>85</v>
      </c>
      <c r="J3274">
        <v>-5.4</v>
      </c>
      <c r="K3274">
        <v>95</v>
      </c>
      <c r="L3274">
        <v>14.13</v>
      </c>
      <c r="M3274">
        <v>77</v>
      </c>
      <c r="N3274">
        <v>-32.85</v>
      </c>
      <c r="O3274">
        <v>85</v>
      </c>
      <c r="P3274">
        <v>19.760000000000002</v>
      </c>
      <c r="Q3274">
        <v>92</v>
      </c>
      <c r="R3274">
        <v>-9.48</v>
      </c>
      <c r="S3274">
        <v>77</v>
      </c>
      <c r="T3274">
        <v>0.43</v>
      </c>
      <c r="U3274">
        <v>84</v>
      </c>
      <c r="V3274">
        <v>-11.48</v>
      </c>
      <c r="W3274">
        <v>76</v>
      </c>
      <c r="X3274" t="s">
        <v>102</v>
      </c>
      <c r="Y3274" t="s">
        <v>1494</v>
      </c>
      <c r="Z3274">
        <v>0</v>
      </c>
      <c r="AA3274" t="s">
        <v>10009</v>
      </c>
      <c r="AB3274" t="s">
        <v>12785</v>
      </c>
      <c r="AC3274">
        <v>65</v>
      </c>
      <c r="AD3274">
        <v>27</v>
      </c>
      <c r="AE3274">
        <v>95</v>
      </c>
      <c r="AF3274">
        <v>-144.88999999999999</v>
      </c>
      <c r="AG3274">
        <v>-4.2</v>
      </c>
      <c r="AH3274">
        <v>-1.65</v>
      </c>
      <c r="AI3274">
        <v>0.03</v>
      </c>
      <c r="AJ3274">
        <v>0.06</v>
      </c>
      <c r="AK3274">
        <v>77</v>
      </c>
      <c r="AL3274">
        <v>91</v>
      </c>
      <c r="AM3274">
        <v>39</v>
      </c>
      <c r="AN3274">
        <v>-2.11</v>
      </c>
      <c r="AO3274">
        <v>-1</v>
      </c>
      <c r="AP3274">
        <v>158</v>
      </c>
      <c r="AQ3274">
        <v>5</v>
      </c>
      <c r="AR3274">
        <v>12.3</v>
      </c>
      <c r="AS3274">
        <v>69</v>
      </c>
      <c r="AT3274">
        <v>5.64</v>
      </c>
      <c r="AU3274">
        <v>86</v>
      </c>
      <c r="AV3274">
        <v>-0.28999999999999998</v>
      </c>
      <c r="AW3274">
        <v>95</v>
      </c>
      <c r="AX3274">
        <v>-0.3</v>
      </c>
      <c r="AY3274">
        <v>80</v>
      </c>
      <c r="AZ3274">
        <v>4.63</v>
      </c>
      <c r="BA3274">
        <v>65</v>
      </c>
      <c r="BB3274">
        <v>3.6</v>
      </c>
      <c r="BC3274">
        <v>67</v>
      </c>
      <c r="BD3274">
        <v>0.06</v>
      </c>
      <c r="BE3274">
        <v>0.02</v>
      </c>
      <c r="BF3274">
        <v>0.08</v>
      </c>
      <c r="BG3274">
        <v>85</v>
      </c>
      <c r="BH3274">
        <v>-0.25</v>
      </c>
      <c r="BI3274">
        <v>8.1</v>
      </c>
      <c r="BJ3274">
        <v>0</v>
      </c>
      <c r="BK3274">
        <v>0</v>
      </c>
      <c r="BL3274">
        <v>-0.84</v>
      </c>
      <c r="BM3274">
        <v>3.62</v>
      </c>
      <c r="BN3274">
        <v>-1.47</v>
      </c>
      <c r="BO3274">
        <v>-2.97</v>
      </c>
      <c r="BP3274">
        <v>4.4400000000000004</v>
      </c>
      <c r="BQ3274">
        <v>-1.81</v>
      </c>
      <c r="BR3274">
        <v>-2.4500000000000002</v>
      </c>
      <c r="BS3274">
        <v>-0.33</v>
      </c>
      <c r="BT3274">
        <v>2.42</v>
      </c>
      <c r="BU3274">
        <v>-3.24</v>
      </c>
      <c r="BV3274">
        <v>-3.58</v>
      </c>
      <c r="BW3274">
        <v>-2.75</v>
      </c>
      <c r="BX3274">
        <v>-2.73</v>
      </c>
      <c r="BY3274">
        <v>-1.9</v>
      </c>
      <c r="BZ3274">
        <v>1.0900000000000001</v>
      </c>
      <c r="CA3274">
        <v>-2.3199999999999998</v>
      </c>
      <c r="CB3274">
        <v>-3</v>
      </c>
      <c r="CC3274">
        <v>-0.28999999999999998</v>
      </c>
      <c r="CD3274">
        <v>3.85</v>
      </c>
      <c r="CE3274">
        <v>-2.92</v>
      </c>
      <c r="CF3274">
        <v>-1.1000000000000001</v>
      </c>
      <c r="CG3274">
        <v>0</v>
      </c>
      <c r="CH3274">
        <v>-2.5299999999999998</v>
      </c>
      <c r="CI3274">
        <v>0</v>
      </c>
      <c r="CJ3274">
        <v>9.1</v>
      </c>
      <c r="CK3274">
        <v>93</v>
      </c>
      <c r="CL3274">
        <v>0.4</v>
      </c>
      <c r="CM3274">
        <v>92</v>
      </c>
      <c r="CN3274">
        <v>-0.17</v>
      </c>
      <c r="CO3274">
        <v>91</v>
      </c>
      <c r="CP3274">
        <v>7.2</v>
      </c>
      <c r="CQ3274">
        <v>87</v>
      </c>
      <c r="CR3274">
        <v>0</v>
      </c>
      <c r="CS3274">
        <v>0</v>
      </c>
      <c r="CT3274">
        <v>13.2</v>
      </c>
      <c r="CU3274">
        <v>84</v>
      </c>
      <c r="CV3274">
        <v>0.24</v>
      </c>
      <c r="CW3274">
        <v>44</v>
      </c>
      <c r="CX3274" t="s">
        <v>224</v>
      </c>
    </row>
    <row r="3275" spans="1:102" x14ac:dyDescent="0.3">
      <c r="A3275" t="str">
        <f>HYPERLINK("https://webapp.icbf.com/v2/app/bull-search/view/499358488","BXB")</f>
        <v>BXB</v>
      </c>
      <c r="B3275" t="s">
        <v>14446</v>
      </c>
      <c r="C3275" t="s">
        <v>14447</v>
      </c>
      <c r="D3275" s="1">
        <v>39130</v>
      </c>
      <c r="E3275" t="s">
        <v>92</v>
      </c>
      <c r="F3275">
        <v>81</v>
      </c>
      <c r="G3275" t="s">
        <v>435</v>
      </c>
      <c r="H3275">
        <v>-24.95</v>
      </c>
      <c r="I3275">
        <v>72</v>
      </c>
      <c r="J3275">
        <v>-10.91</v>
      </c>
      <c r="K3275">
        <v>88</v>
      </c>
      <c r="L3275">
        <v>-42.7</v>
      </c>
      <c r="M3275">
        <v>66</v>
      </c>
      <c r="N3275">
        <v>14.99</v>
      </c>
      <c r="O3275">
        <v>61</v>
      </c>
      <c r="P3275">
        <v>-23.48</v>
      </c>
      <c r="Q3275">
        <v>64</v>
      </c>
      <c r="R3275">
        <v>10.84</v>
      </c>
      <c r="S3275">
        <v>66</v>
      </c>
      <c r="T3275">
        <v>20.78</v>
      </c>
      <c r="U3275">
        <v>56</v>
      </c>
      <c r="V3275">
        <v>5.53</v>
      </c>
      <c r="W3275">
        <v>61</v>
      </c>
      <c r="X3275" t="s">
        <v>94</v>
      </c>
      <c r="Y3275" t="s">
        <v>1374</v>
      </c>
      <c r="Z3275" t="s">
        <v>96</v>
      </c>
      <c r="AA3275" t="s">
        <v>1418</v>
      </c>
      <c r="AB3275" t="s">
        <v>14448</v>
      </c>
      <c r="AC3275">
        <v>2</v>
      </c>
      <c r="AD3275">
        <v>2</v>
      </c>
      <c r="AE3275">
        <v>88</v>
      </c>
      <c r="AF3275">
        <v>-163.38999999999999</v>
      </c>
      <c r="AG3275">
        <v>-3.55</v>
      </c>
      <c r="AH3275">
        <v>-3.1</v>
      </c>
      <c r="AI3275">
        <v>0.05</v>
      </c>
      <c r="AJ3275">
        <v>0.04</v>
      </c>
      <c r="AK3275">
        <v>66</v>
      </c>
      <c r="AL3275">
        <v>3</v>
      </c>
      <c r="AM3275">
        <v>3</v>
      </c>
      <c r="AN3275">
        <v>2.73</v>
      </c>
      <c r="AO3275">
        <v>-0.67</v>
      </c>
      <c r="AP3275">
        <v>4</v>
      </c>
      <c r="AQ3275">
        <v>1</v>
      </c>
      <c r="AR3275">
        <v>7.44</v>
      </c>
      <c r="AS3275">
        <v>53</v>
      </c>
      <c r="AT3275">
        <v>2.93</v>
      </c>
      <c r="AU3275">
        <v>64</v>
      </c>
      <c r="AV3275">
        <v>-1.1599999999999999</v>
      </c>
      <c r="AW3275">
        <v>70</v>
      </c>
      <c r="AX3275">
        <v>-0.84</v>
      </c>
      <c r="AY3275">
        <v>51</v>
      </c>
      <c r="AZ3275">
        <v>5.98</v>
      </c>
      <c r="BA3275">
        <v>45</v>
      </c>
      <c r="BB3275">
        <v>4.82</v>
      </c>
      <c r="BC3275">
        <v>47</v>
      </c>
      <c r="BD3275">
        <v>-0.02</v>
      </c>
      <c r="BE3275">
        <v>-0.04</v>
      </c>
      <c r="BF3275">
        <v>-0.14000000000000001</v>
      </c>
      <c r="BG3275">
        <v>74</v>
      </c>
      <c r="BH3275">
        <v>0.01</v>
      </c>
      <c r="BI3275">
        <v>-16.68</v>
      </c>
      <c r="BJ3275">
        <v>0</v>
      </c>
      <c r="BK3275">
        <v>0</v>
      </c>
      <c r="BL3275">
        <v>-1.0900000000000001</v>
      </c>
      <c r="BM3275">
        <v>1.61</v>
      </c>
      <c r="BN3275">
        <v>0.9</v>
      </c>
      <c r="BO3275">
        <v>-0.73</v>
      </c>
      <c r="BP3275">
        <v>-2.5299999999999998</v>
      </c>
      <c r="BQ3275">
        <v>0.03</v>
      </c>
      <c r="BR3275">
        <v>0.18</v>
      </c>
      <c r="BS3275">
        <v>-0.69</v>
      </c>
      <c r="BT3275">
        <v>-0.89</v>
      </c>
      <c r="BU3275">
        <v>-0.18</v>
      </c>
      <c r="BV3275">
        <v>-0.4</v>
      </c>
      <c r="BW3275">
        <v>0.35</v>
      </c>
      <c r="BX3275">
        <v>-1.55</v>
      </c>
      <c r="BY3275">
        <v>1.04</v>
      </c>
      <c r="BZ3275">
        <v>-1.1599999999999999</v>
      </c>
      <c r="CA3275">
        <v>-0.31</v>
      </c>
      <c r="CB3275">
        <v>0.34</v>
      </c>
      <c r="CC3275">
        <v>-1.19</v>
      </c>
      <c r="CD3275">
        <v>0.73</v>
      </c>
      <c r="CE3275">
        <v>-0.61</v>
      </c>
      <c r="CF3275">
        <v>-0.53</v>
      </c>
      <c r="CG3275">
        <v>0</v>
      </c>
      <c r="CH3275">
        <v>1.69</v>
      </c>
      <c r="CI3275">
        <v>0</v>
      </c>
      <c r="CJ3275">
        <v>-9.6</v>
      </c>
      <c r="CK3275">
        <v>66</v>
      </c>
      <c r="CL3275">
        <v>-0.77</v>
      </c>
      <c r="CM3275">
        <v>62</v>
      </c>
      <c r="CN3275">
        <v>0.03</v>
      </c>
      <c r="CO3275">
        <v>60</v>
      </c>
      <c r="CP3275">
        <v>-12.9</v>
      </c>
      <c r="CQ3275">
        <v>59</v>
      </c>
      <c r="CR3275">
        <v>0</v>
      </c>
      <c r="CS3275">
        <v>0</v>
      </c>
      <c r="CT3275">
        <v>-14.3</v>
      </c>
      <c r="CU3275">
        <v>56</v>
      </c>
      <c r="CV3275">
        <v>0.08</v>
      </c>
      <c r="CW3275">
        <v>39</v>
      </c>
      <c r="CX3275" t="s">
        <v>1037</v>
      </c>
    </row>
    <row r="3276" spans="1:102" x14ac:dyDescent="0.3">
      <c r="A3276" t="str">
        <f>HYPERLINK("https://webapp.icbf.com/v2/app/bull-search/view/586201186","RIX")</f>
        <v>RIX</v>
      </c>
      <c r="B3276" t="s">
        <v>1678</v>
      </c>
      <c r="C3276" t="s">
        <v>1679</v>
      </c>
      <c r="D3276" s="1">
        <v>38575</v>
      </c>
      <c r="E3276" t="s">
        <v>92</v>
      </c>
      <c r="F3276">
        <v>100</v>
      </c>
      <c r="G3276" t="s">
        <v>93</v>
      </c>
      <c r="H3276">
        <v>-25.06</v>
      </c>
      <c r="I3276">
        <v>94</v>
      </c>
      <c r="J3276">
        <v>85.25</v>
      </c>
      <c r="K3276">
        <v>99</v>
      </c>
      <c r="L3276">
        <v>-102.89</v>
      </c>
      <c r="M3276">
        <v>92</v>
      </c>
      <c r="N3276">
        <v>0.99</v>
      </c>
      <c r="O3276">
        <v>94</v>
      </c>
      <c r="P3276">
        <v>-4.8099999999999996</v>
      </c>
      <c r="Q3276">
        <v>97</v>
      </c>
      <c r="R3276">
        <v>-1.99</v>
      </c>
      <c r="S3276">
        <v>87</v>
      </c>
      <c r="T3276">
        <v>2.13</v>
      </c>
      <c r="U3276">
        <v>95</v>
      </c>
      <c r="V3276">
        <v>-3.74</v>
      </c>
      <c r="W3276">
        <v>80</v>
      </c>
      <c r="X3276" t="s">
        <v>276</v>
      </c>
      <c r="Y3276" t="s">
        <v>282</v>
      </c>
      <c r="Z3276" t="s">
        <v>96</v>
      </c>
      <c r="AA3276" t="s">
        <v>1680</v>
      </c>
      <c r="AB3276" t="s">
        <v>1681</v>
      </c>
      <c r="AC3276">
        <v>376</v>
      </c>
      <c r="AD3276">
        <v>145</v>
      </c>
      <c r="AE3276">
        <v>99</v>
      </c>
      <c r="AF3276">
        <v>436.08</v>
      </c>
      <c r="AG3276">
        <v>11.77</v>
      </c>
      <c r="AH3276">
        <v>17.010000000000002</v>
      </c>
      <c r="AI3276">
        <v>-0.09</v>
      </c>
      <c r="AJ3276">
        <v>0.04</v>
      </c>
      <c r="AK3276">
        <v>92</v>
      </c>
      <c r="AL3276">
        <v>402</v>
      </c>
      <c r="AM3276">
        <v>168</v>
      </c>
      <c r="AN3276">
        <v>6.02</v>
      </c>
      <c r="AO3276">
        <v>-2.1800000000000002</v>
      </c>
      <c r="AP3276">
        <v>664</v>
      </c>
      <c r="AQ3276">
        <v>5</v>
      </c>
      <c r="AR3276">
        <v>9.85</v>
      </c>
      <c r="AS3276">
        <v>94</v>
      </c>
      <c r="AT3276">
        <v>4.2300000000000004</v>
      </c>
      <c r="AU3276">
        <v>94</v>
      </c>
      <c r="AV3276">
        <v>-2</v>
      </c>
      <c r="AW3276">
        <v>98</v>
      </c>
      <c r="AX3276">
        <v>0.48</v>
      </c>
      <c r="AY3276">
        <v>93</v>
      </c>
      <c r="AZ3276">
        <v>5.5</v>
      </c>
      <c r="BA3276">
        <v>85</v>
      </c>
      <c r="BB3276">
        <v>4.4400000000000004</v>
      </c>
      <c r="BC3276">
        <v>82</v>
      </c>
      <c r="BD3276">
        <v>0.01</v>
      </c>
      <c r="BE3276">
        <v>0.01</v>
      </c>
      <c r="BF3276">
        <v>0.01</v>
      </c>
      <c r="BG3276">
        <v>96</v>
      </c>
      <c r="BH3276">
        <v>-0.19</v>
      </c>
      <c r="BI3276">
        <v>-9.92</v>
      </c>
      <c r="BJ3276">
        <v>95</v>
      </c>
      <c r="BK3276">
        <v>46</v>
      </c>
      <c r="BL3276">
        <v>1.03</v>
      </c>
      <c r="BM3276">
        <v>-1.26</v>
      </c>
      <c r="BN3276">
        <v>7.0000000000000007E-2</v>
      </c>
      <c r="BO3276">
        <v>1.1100000000000001</v>
      </c>
      <c r="BP3276">
        <v>0.21</v>
      </c>
      <c r="BQ3276">
        <v>0.15</v>
      </c>
      <c r="BR3276">
        <v>3.18</v>
      </c>
      <c r="BS3276">
        <v>-1.73</v>
      </c>
      <c r="BT3276">
        <v>-1.93</v>
      </c>
      <c r="BU3276">
        <v>1.01</v>
      </c>
      <c r="BV3276">
        <v>1.21</v>
      </c>
      <c r="BW3276">
        <v>1.22</v>
      </c>
      <c r="BX3276">
        <v>0.33</v>
      </c>
      <c r="BY3276">
        <v>1.89</v>
      </c>
      <c r="BZ3276">
        <v>-2.2200000000000002</v>
      </c>
      <c r="CA3276">
        <v>0.26</v>
      </c>
      <c r="CB3276">
        <v>0.86</v>
      </c>
      <c r="CC3276">
        <v>-1.1599999999999999</v>
      </c>
      <c r="CD3276">
        <v>-1.26</v>
      </c>
      <c r="CE3276">
        <v>0.53</v>
      </c>
      <c r="CF3276">
        <v>7.0000000000000007E-2</v>
      </c>
      <c r="CG3276">
        <v>0</v>
      </c>
      <c r="CH3276">
        <v>1.94</v>
      </c>
      <c r="CI3276">
        <v>0</v>
      </c>
      <c r="CJ3276">
        <v>-0.1</v>
      </c>
      <c r="CK3276">
        <v>97</v>
      </c>
      <c r="CL3276">
        <v>-1.05</v>
      </c>
      <c r="CM3276">
        <v>97</v>
      </c>
      <c r="CN3276">
        <v>-0.48</v>
      </c>
      <c r="CO3276">
        <v>96</v>
      </c>
      <c r="CP3276">
        <v>3.6</v>
      </c>
      <c r="CQ3276">
        <v>95</v>
      </c>
      <c r="CR3276">
        <v>0</v>
      </c>
      <c r="CS3276">
        <v>0</v>
      </c>
      <c r="CT3276">
        <v>10.9</v>
      </c>
      <c r="CU3276">
        <v>95</v>
      </c>
      <c r="CV3276">
        <v>0.26</v>
      </c>
      <c r="CW3276">
        <v>45</v>
      </c>
      <c r="CX3276" t="s">
        <v>1682</v>
      </c>
    </row>
    <row r="3277" spans="1:102" x14ac:dyDescent="0.3">
      <c r="A3277" t="str">
        <f>HYPERLINK("https://webapp.icbf.com/v2/app/bull-search/view/77857771","EZF")</f>
        <v>EZF</v>
      </c>
      <c r="B3277" t="s">
        <v>8580</v>
      </c>
      <c r="C3277" t="s">
        <v>3775</v>
      </c>
      <c r="D3277" s="1">
        <v>32439</v>
      </c>
      <c r="E3277" t="s">
        <v>92</v>
      </c>
      <c r="F3277">
        <v>100</v>
      </c>
      <c r="G3277" t="s">
        <v>93</v>
      </c>
      <c r="H3277">
        <v>-25.06</v>
      </c>
      <c r="I3277">
        <v>97</v>
      </c>
      <c r="J3277">
        <v>26.29</v>
      </c>
      <c r="K3277">
        <v>99</v>
      </c>
      <c r="L3277">
        <v>-59.32</v>
      </c>
      <c r="M3277">
        <v>96</v>
      </c>
      <c r="N3277">
        <v>16.940000000000001</v>
      </c>
      <c r="O3277">
        <v>96</v>
      </c>
      <c r="P3277">
        <v>-2</v>
      </c>
      <c r="Q3277">
        <v>99</v>
      </c>
      <c r="R3277">
        <v>-11.48</v>
      </c>
      <c r="S3277">
        <v>93</v>
      </c>
      <c r="T3277">
        <v>7.02</v>
      </c>
      <c r="U3277">
        <v>98</v>
      </c>
      <c r="V3277">
        <v>-2.5099999999999998</v>
      </c>
      <c r="W3277">
        <v>91</v>
      </c>
      <c r="X3277" t="s">
        <v>110</v>
      </c>
      <c r="Y3277" t="s">
        <v>95</v>
      </c>
      <c r="Z3277" t="s">
        <v>96</v>
      </c>
      <c r="AA3277" t="s">
        <v>552</v>
      </c>
      <c r="AB3277" t="s">
        <v>8581</v>
      </c>
      <c r="AC3277">
        <v>1913</v>
      </c>
      <c r="AD3277">
        <v>919</v>
      </c>
      <c r="AE3277">
        <v>99</v>
      </c>
      <c r="AF3277">
        <v>4.82</v>
      </c>
      <c r="AG3277">
        <v>7.62</v>
      </c>
      <c r="AH3277">
        <v>1.85</v>
      </c>
      <c r="AI3277">
        <v>0.13</v>
      </c>
      <c r="AJ3277">
        <v>0.03</v>
      </c>
      <c r="AK3277">
        <v>96</v>
      </c>
      <c r="AL3277">
        <v>2907</v>
      </c>
      <c r="AM3277">
        <v>1174</v>
      </c>
      <c r="AN3277">
        <v>3.28</v>
      </c>
      <c r="AO3277">
        <v>-1.45</v>
      </c>
      <c r="AP3277">
        <v>23</v>
      </c>
      <c r="AQ3277">
        <v>2</v>
      </c>
      <c r="AR3277">
        <v>4.29</v>
      </c>
      <c r="AS3277">
        <v>88</v>
      </c>
      <c r="AT3277">
        <v>1.8</v>
      </c>
      <c r="AU3277">
        <v>97</v>
      </c>
      <c r="AV3277">
        <v>-0.35</v>
      </c>
      <c r="AW3277">
        <v>98</v>
      </c>
      <c r="AX3277">
        <v>-0.48</v>
      </c>
      <c r="AY3277">
        <v>98</v>
      </c>
      <c r="AZ3277">
        <v>7.29</v>
      </c>
      <c r="BA3277">
        <v>89</v>
      </c>
      <c r="BB3277">
        <v>5.51</v>
      </c>
      <c r="BC3277">
        <v>96</v>
      </c>
      <c r="BD3277">
        <v>0.06</v>
      </c>
      <c r="BE3277">
        <v>0.06</v>
      </c>
      <c r="BF3277">
        <v>0.05</v>
      </c>
      <c r="BG3277">
        <v>99</v>
      </c>
      <c r="BH3277">
        <v>-0.05</v>
      </c>
      <c r="BI3277">
        <v>2.31</v>
      </c>
      <c r="BJ3277">
        <v>265</v>
      </c>
      <c r="BK3277">
        <v>153</v>
      </c>
      <c r="BL3277">
        <v>0.19</v>
      </c>
      <c r="BM3277">
        <v>-0.13</v>
      </c>
      <c r="BN3277">
        <v>-0.2</v>
      </c>
      <c r="BO3277">
        <v>-0.14000000000000001</v>
      </c>
      <c r="BP3277">
        <v>2.0299999999999998</v>
      </c>
      <c r="BQ3277">
        <v>-0.02</v>
      </c>
      <c r="BR3277">
        <v>-1.51</v>
      </c>
      <c r="BS3277">
        <v>0.09</v>
      </c>
      <c r="BT3277">
        <v>1.52</v>
      </c>
      <c r="BU3277">
        <v>0.4</v>
      </c>
      <c r="BV3277">
        <v>-0.37</v>
      </c>
      <c r="BW3277">
        <v>0.62</v>
      </c>
      <c r="BX3277">
        <v>0.97</v>
      </c>
      <c r="BY3277">
        <v>1.31</v>
      </c>
      <c r="BZ3277">
        <v>0.57999999999999996</v>
      </c>
      <c r="CA3277">
        <v>0.28999999999999998</v>
      </c>
      <c r="CB3277">
        <v>-0.1</v>
      </c>
      <c r="CC3277">
        <v>0.78</v>
      </c>
      <c r="CD3277">
        <v>-0.35</v>
      </c>
      <c r="CE3277">
        <v>0.02</v>
      </c>
      <c r="CF3277">
        <v>-0.61</v>
      </c>
      <c r="CG3277">
        <v>0</v>
      </c>
      <c r="CH3277">
        <v>1.18</v>
      </c>
      <c r="CI3277">
        <v>0</v>
      </c>
      <c r="CJ3277">
        <v>1.9</v>
      </c>
      <c r="CK3277">
        <v>99</v>
      </c>
      <c r="CL3277">
        <v>-0.48</v>
      </c>
      <c r="CM3277">
        <v>99</v>
      </c>
      <c r="CN3277">
        <v>-0.06</v>
      </c>
      <c r="CO3277">
        <v>98</v>
      </c>
      <c r="CP3277">
        <v>-2.5</v>
      </c>
      <c r="CQ3277">
        <v>99</v>
      </c>
      <c r="CR3277">
        <v>0</v>
      </c>
      <c r="CS3277">
        <v>0</v>
      </c>
      <c r="CT3277">
        <v>4.3</v>
      </c>
      <c r="CU3277">
        <v>98</v>
      </c>
      <c r="CV3277">
        <v>0.19</v>
      </c>
      <c r="CW3277">
        <v>46</v>
      </c>
      <c r="CX3277" t="s">
        <v>707</v>
      </c>
    </row>
    <row r="3278" spans="1:102" x14ac:dyDescent="0.3">
      <c r="A3278" t="str">
        <f>HYPERLINK("https://webapp.icbf.com/v2/app/bull-search/view/529827160","TUC")</f>
        <v>TUC</v>
      </c>
      <c r="B3278" t="s">
        <v>15580</v>
      </c>
      <c r="C3278" t="s">
        <v>15581</v>
      </c>
      <c r="D3278" s="1">
        <v>37284</v>
      </c>
      <c r="E3278" t="s">
        <v>92</v>
      </c>
      <c r="F3278">
        <v>100</v>
      </c>
      <c r="G3278" t="s">
        <v>93</v>
      </c>
      <c r="H3278">
        <v>-25.29</v>
      </c>
      <c r="I3278">
        <v>93</v>
      </c>
      <c r="J3278">
        <v>23.85</v>
      </c>
      <c r="K3278">
        <v>98</v>
      </c>
      <c r="L3278">
        <v>-78.77</v>
      </c>
      <c r="M3278">
        <v>90</v>
      </c>
      <c r="N3278">
        <v>24.12</v>
      </c>
      <c r="O3278">
        <v>90</v>
      </c>
      <c r="P3278">
        <v>-2.99</v>
      </c>
      <c r="Q3278">
        <v>95</v>
      </c>
      <c r="R3278">
        <v>4.5999999999999996</v>
      </c>
      <c r="S3278">
        <v>86</v>
      </c>
      <c r="T3278">
        <v>3.98</v>
      </c>
      <c r="U3278">
        <v>94</v>
      </c>
      <c r="V3278">
        <v>-0.08</v>
      </c>
      <c r="W3278">
        <v>85</v>
      </c>
      <c r="X3278" t="s">
        <v>94</v>
      </c>
      <c r="Y3278" t="s">
        <v>221</v>
      </c>
      <c r="Z3278" t="s">
        <v>96</v>
      </c>
      <c r="AA3278" t="s">
        <v>838</v>
      </c>
      <c r="AB3278" t="s">
        <v>15582</v>
      </c>
      <c r="AC3278">
        <v>183</v>
      </c>
      <c r="AD3278">
        <v>70</v>
      </c>
      <c r="AE3278">
        <v>98</v>
      </c>
      <c r="AF3278">
        <v>307.47000000000003</v>
      </c>
      <c r="AG3278">
        <v>2.92</v>
      </c>
      <c r="AH3278">
        <v>7.73</v>
      </c>
      <c r="AI3278">
        <v>-0.15</v>
      </c>
      <c r="AJ3278">
        <v>-0.04</v>
      </c>
      <c r="AK3278">
        <v>90</v>
      </c>
      <c r="AL3278">
        <v>193</v>
      </c>
      <c r="AM3278">
        <v>88</v>
      </c>
      <c r="AN3278">
        <v>4.4400000000000004</v>
      </c>
      <c r="AO3278">
        <v>-1.84</v>
      </c>
      <c r="AP3278">
        <v>351</v>
      </c>
      <c r="AQ3278">
        <v>0</v>
      </c>
      <c r="AR3278">
        <v>6.43</v>
      </c>
      <c r="AS3278">
        <v>88</v>
      </c>
      <c r="AT3278">
        <v>2.96</v>
      </c>
      <c r="AU3278">
        <v>93</v>
      </c>
      <c r="AV3278">
        <v>-2.4900000000000002</v>
      </c>
      <c r="AW3278">
        <v>95</v>
      </c>
      <c r="AX3278">
        <v>-0.41</v>
      </c>
      <c r="AY3278">
        <v>90</v>
      </c>
      <c r="AZ3278">
        <v>6.16</v>
      </c>
      <c r="BA3278">
        <v>76</v>
      </c>
      <c r="BB3278">
        <v>5.29</v>
      </c>
      <c r="BC3278">
        <v>75</v>
      </c>
      <c r="BD3278">
        <v>-0.01</v>
      </c>
      <c r="BE3278">
        <v>-0.01</v>
      </c>
      <c r="BF3278">
        <v>-7.0000000000000007E-2</v>
      </c>
      <c r="BG3278">
        <v>93</v>
      </c>
      <c r="BH3278">
        <v>-0.06</v>
      </c>
      <c r="BI3278">
        <v>-6.69</v>
      </c>
      <c r="BJ3278">
        <v>31</v>
      </c>
      <c r="BK3278">
        <v>19</v>
      </c>
      <c r="BL3278">
        <v>0.7</v>
      </c>
      <c r="BM3278">
        <v>0.69</v>
      </c>
      <c r="BN3278">
        <v>1.85</v>
      </c>
      <c r="BO3278">
        <v>0.88</v>
      </c>
      <c r="BP3278">
        <v>0.77</v>
      </c>
      <c r="BQ3278">
        <v>0.55000000000000004</v>
      </c>
      <c r="BR3278">
        <v>1.95</v>
      </c>
      <c r="BS3278">
        <v>-2.9</v>
      </c>
      <c r="BT3278">
        <v>-1.1599999999999999</v>
      </c>
      <c r="BU3278">
        <v>2.5499999999999998</v>
      </c>
      <c r="BV3278">
        <v>2.35</v>
      </c>
      <c r="BW3278">
        <v>1.96</v>
      </c>
      <c r="BX3278">
        <v>1.45</v>
      </c>
      <c r="BY3278">
        <v>1.48</v>
      </c>
      <c r="BZ3278">
        <v>1.81</v>
      </c>
      <c r="CA3278">
        <v>1.19</v>
      </c>
      <c r="CB3278">
        <v>2.2599999999999998</v>
      </c>
      <c r="CC3278">
        <v>-1.33</v>
      </c>
      <c r="CD3278">
        <v>0.02</v>
      </c>
      <c r="CE3278">
        <v>0.51</v>
      </c>
      <c r="CF3278">
        <v>0.45</v>
      </c>
      <c r="CG3278">
        <v>0</v>
      </c>
      <c r="CH3278">
        <v>1.74</v>
      </c>
      <c r="CI3278">
        <v>0</v>
      </c>
      <c r="CJ3278">
        <v>1.8</v>
      </c>
      <c r="CK3278">
        <v>96</v>
      </c>
      <c r="CL3278">
        <v>-0.92</v>
      </c>
      <c r="CM3278">
        <v>95</v>
      </c>
      <c r="CN3278">
        <v>-0.35</v>
      </c>
      <c r="CO3278">
        <v>94</v>
      </c>
      <c r="CP3278">
        <v>-0.5</v>
      </c>
      <c r="CQ3278">
        <v>94</v>
      </c>
      <c r="CR3278">
        <v>0</v>
      </c>
      <c r="CS3278">
        <v>0</v>
      </c>
      <c r="CT3278">
        <v>8.4</v>
      </c>
      <c r="CU3278">
        <v>94</v>
      </c>
      <c r="CV3278">
        <v>0.25</v>
      </c>
      <c r="CW3278">
        <v>45</v>
      </c>
      <c r="CX3278" t="s">
        <v>4619</v>
      </c>
    </row>
    <row r="3279" spans="1:102" x14ac:dyDescent="0.3">
      <c r="A3279" t="str">
        <f>HYPERLINK("https://webapp.icbf.com/v2/app/bull-search/view/77855116","MFX")</f>
        <v>MFX</v>
      </c>
      <c r="B3279" t="s">
        <v>10840</v>
      </c>
      <c r="C3279" t="s">
        <v>1254</v>
      </c>
      <c r="D3279" s="1">
        <v>34363</v>
      </c>
      <c r="E3279" t="s">
        <v>92</v>
      </c>
      <c r="F3279">
        <v>100</v>
      </c>
      <c r="G3279" t="s">
        <v>93</v>
      </c>
      <c r="H3279">
        <v>-25.38</v>
      </c>
      <c r="I3279">
        <v>99</v>
      </c>
      <c r="J3279">
        <v>49.58</v>
      </c>
      <c r="K3279">
        <v>99</v>
      </c>
      <c r="L3279">
        <v>-76.48</v>
      </c>
      <c r="M3279">
        <v>99</v>
      </c>
      <c r="N3279">
        <v>4.54</v>
      </c>
      <c r="O3279">
        <v>99</v>
      </c>
      <c r="P3279">
        <v>-6.83</v>
      </c>
      <c r="Q3279">
        <v>99</v>
      </c>
      <c r="R3279">
        <v>-2.0699999999999998</v>
      </c>
      <c r="S3279">
        <v>99</v>
      </c>
      <c r="T3279">
        <v>4.3499999999999996</v>
      </c>
      <c r="U3279">
        <v>99</v>
      </c>
      <c r="V3279">
        <v>1.53</v>
      </c>
      <c r="W3279">
        <v>99</v>
      </c>
      <c r="X3279" t="s">
        <v>94</v>
      </c>
      <c r="Y3279" t="s">
        <v>95</v>
      </c>
      <c r="Z3279" t="s">
        <v>96</v>
      </c>
      <c r="AA3279" t="s">
        <v>612</v>
      </c>
      <c r="AB3279" t="s">
        <v>8533</v>
      </c>
      <c r="AC3279">
        <v>28131</v>
      </c>
      <c r="AD3279">
        <v>4959</v>
      </c>
      <c r="AE3279">
        <v>99</v>
      </c>
      <c r="AF3279">
        <v>55.61</v>
      </c>
      <c r="AG3279">
        <v>3.71</v>
      </c>
      <c r="AH3279">
        <v>7.97</v>
      </c>
      <c r="AI3279">
        <v>0.03</v>
      </c>
      <c r="AJ3279">
        <v>0.11</v>
      </c>
      <c r="AK3279">
        <v>99</v>
      </c>
      <c r="AL3279">
        <v>32622</v>
      </c>
      <c r="AM3279">
        <v>7687</v>
      </c>
      <c r="AN3279">
        <v>4.1100000000000003</v>
      </c>
      <c r="AO3279">
        <v>-1.99</v>
      </c>
      <c r="AP3279">
        <v>24464</v>
      </c>
      <c r="AQ3279">
        <v>53</v>
      </c>
      <c r="AR3279">
        <v>7.06</v>
      </c>
      <c r="AS3279">
        <v>99</v>
      </c>
      <c r="AT3279">
        <v>3.03</v>
      </c>
      <c r="AU3279">
        <v>99</v>
      </c>
      <c r="AV3279">
        <v>-0.77</v>
      </c>
      <c r="AW3279">
        <v>99</v>
      </c>
      <c r="AX3279">
        <v>-0.19</v>
      </c>
      <c r="AY3279">
        <v>99</v>
      </c>
      <c r="AZ3279">
        <v>6.81</v>
      </c>
      <c r="BA3279">
        <v>99</v>
      </c>
      <c r="BB3279">
        <v>5.7</v>
      </c>
      <c r="BC3279">
        <v>99</v>
      </c>
      <c r="BD3279">
        <v>7.0000000000000007E-2</v>
      </c>
      <c r="BE3279">
        <v>-0.01</v>
      </c>
      <c r="BF3279">
        <v>-0.05</v>
      </c>
      <c r="BG3279">
        <v>99</v>
      </c>
      <c r="BH3279">
        <v>0.24</v>
      </c>
      <c r="BI3279">
        <v>22.82</v>
      </c>
      <c r="BJ3279">
        <v>895</v>
      </c>
      <c r="BK3279">
        <v>470</v>
      </c>
      <c r="BL3279">
        <v>-0.05</v>
      </c>
      <c r="BM3279">
        <v>0.89</v>
      </c>
      <c r="BN3279">
        <v>0.08</v>
      </c>
      <c r="BO3279">
        <v>-0.17</v>
      </c>
      <c r="BP3279">
        <v>2.67</v>
      </c>
      <c r="BQ3279">
        <v>-0.57999999999999996</v>
      </c>
      <c r="BR3279">
        <v>1.62</v>
      </c>
      <c r="BS3279">
        <v>-0.95</v>
      </c>
      <c r="BT3279">
        <v>-0.6</v>
      </c>
      <c r="BU3279">
        <v>-1.25</v>
      </c>
      <c r="BV3279">
        <v>-0.8</v>
      </c>
      <c r="BW3279">
        <v>-1.47</v>
      </c>
      <c r="BX3279">
        <v>-1.92</v>
      </c>
      <c r="BY3279">
        <v>-0.85</v>
      </c>
      <c r="BZ3279">
        <v>-7.0000000000000007E-2</v>
      </c>
      <c r="CA3279">
        <v>-1.0900000000000001</v>
      </c>
      <c r="CB3279">
        <v>-0.92</v>
      </c>
      <c r="CC3279">
        <v>-0.87</v>
      </c>
      <c r="CD3279">
        <v>0.18</v>
      </c>
      <c r="CE3279">
        <v>-0.28999999999999998</v>
      </c>
      <c r="CF3279">
        <v>-0.25</v>
      </c>
      <c r="CG3279">
        <v>0</v>
      </c>
      <c r="CH3279">
        <v>-0.84</v>
      </c>
      <c r="CI3279">
        <v>0</v>
      </c>
      <c r="CJ3279">
        <v>-0.3</v>
      </c>
      <c r="CK3279">
        <v>99</v>
      </c>
      <c r="CL3279">
        <v>-0.64</v>
      </c>
      <c r="CM3279">
        <v>99</v>
      </c>
      <c r="CN3279">
        <v>-0.03</v>
      </c>
      <c r="CO3279">
        <v>99</v>
      </c>
      <c r="CP3279">
        <v>-1.1000000000000001</v>
      </c>
      <c r="CQ3279">
        <v>99</v>
      </c>
      <c r="CR3279">
        <v>0</v>
      </c>
      <c r="CS3279">
        <v>0</v>
      </c>
      <c r="CT3279">
        <v>7.9</v>
      </c>
      <c r="CU3279">
        <v>99</v>
      </c>
      <c r="CV3279">
        <v>0.16</v>
      </c>
      <c r="CW3279">
        <v>48</v>
      </c>
      <c r="CX3279" t="s">
        <v>724</v>
      </c>
    </row>
    <row r="3280" spans="1:102" x14ac:dyDescent="0.3">
      <c r="A3280" t="str">
        <f>HYPERLINK("https://webapp.icbf.com/v2/app/bull-search/view/678701871","MPQ")</f>
        <v>MPQ</v>
      </c>
      <c r="B3280" t="s">
        <v>5250</v>
      </c>
      <c r="C3280" t="s">
        <v>5251</v>
      </c>
      <c r="D3280" s="1">
        <v>39147</v>
      </c>
      <c r="E3280" t="s">
        <v>92</v>
      </c>
      <c r="F3280">
        <v>100</v>
      </c>
      <c r="G3280" t="s">
        <v>93</v>
      </c>
      <c r="H3280">
        <v>-25.49</v>
      </c>
      <c r="I3280">
        <v>87</v>
      </c>
      <c r="J3280">
        <v>18.91</v>
      </c>
      <c r="K3280">
        <v>97</v>
      </c>
      <c r="L3280">
        <v>-56.47</v>
      </c>
      <c r="M3280">
        <v>87</v>
      </c>
      <c r="N3280">
        <v>17.059999999999999</v>
      </c>
      <c r="O3280">
        <v>83</v>
      </c>
      <c r="P3280">
        <v>-16.48</v>
      </c>
      <c r="Q3280">
        <v>86</v>
      </c>
      <c r="R3280">
        <v>9.5399999999999991</v>
      </c>
      <c r="S3280">
        <v>73</v>
      </c>
      <c r="T3280">
        <v>0.14000000000000001</v>
      </c>
      <c r="U3280">
        <v>83</v>
      </c>
      <c r="V3280">
        <v>1.81</v>
      </c>
      <c r="W3280">
        <v>46</v>
      </c>
      <c r="X3280" t="s">
        <v>276</v>
      </c>
      <c r="Y3280" t="s">
        <v>1524</v>
      </c>
      <c r="Z3280" t="s">
        <v>96</v>
      </c>
      <c r="AA3280" t="s">
        <v>309</v>
      </c>
      <c r="AB3280" t="s">
        <v>5131</v>
      </c>
      <c r="AC3280">
        <v>143</v>
      </c>
      <c r="AD3280">
        <v>50</v>
      </c>
      <c r="AE3280">
        <v>97</v>
      </c>
      <c r="AF3280">
        <v>481.36</v>
      </c>
      <c r="AG3280">
        <v>2.33</v>
      </c>
      <c r="AH3280">
        <v>9.76</v>
      </c>
      <c r="AI3280">
        <v>-0.25</v>
      </c>
      <c r="AJ3280">
        <v>-0.1</v>
      </c>
      <c r="AK3280">
        <v>87</v>
      </c>
      <c r="AL3280">
        <v>113</v>
      </c>
      <c r="AM3280">
        <v>44</v>
      </c>
      <c r="AN3280">
        <v>4.1500000000000004</v>
      </c>
      <c r="AO3280">
        <v>-0.34</v>
      </c>
      <c r="AP3280">
        <v>162</v>
      </c>
      <c r="AQ3280">
        <v>0</v>
      </c>
      <c r="AR3280">
        <v>5.72</v>
      </c>
      <c r="AS3280">
        <v>81</v>
      </c>
      <c r="AT3280">
        <v>2.63</v>
      </c>
      <c r="AU3280">
        <v>89</v>
      </c>
      <c r="AV3280">
        <v>-1.73</v>
      </c>
      <c r="AW3280">
        <v>90</v>
      </c>
      <c r="AX3280">
        <v>0.33</v>
      </c>
      <c r="AY3280">
        <v>80</v>
      </c>
      <c r="AZ3280">
        <v>7.8</v>
      </c>
      <c r="BA3280">
        <v>64</v>
      </c>
      <c r="BB3280">
        <v>5.43</v>
      </c>
      <c r="BC3280">
        <v>58</v>
      </c>
      <c r="BD3280">
        <v>-0.02</v>
      </c>
      <c r="BE3280">
        <v>-0.04</v>
      </c>
      <c r="BF3280">
        <v>-0.11</v>
      </c>
      <c r="BG3280">
        <v>88</v>
      </c>
      <c r="BH3280">
        <v>-0.11</v>
      </c>
      <c r="BI3280">
        <v>-18.55</v>
      </c>
      <c r="BJ3280">
        <v>65</v>
      </c>
      <c r="BK3280">
        <v>26</v>
      </c>
      <c r="BL3280">
        <v>1.39</v>
      </c>
      <c r="BM3280">
        <v>-1.36</v>
      </c>
      <c r="BN3280">
        <v>0.78</v>
      </c>
      <c r="BO3280">
        <v>1.28</v>
      </c>
      <c r="BP3280">
        <v>-1.26</v>
      </c>
      <c r="BQ3280">
        <v>0.63</v>
      </c>
      <c r="BR3280">
        <v>0.13</v>
      </c>
      <c r="BS3280">
        <v>1.4</v>
      </c>
      <c r="BT3280">
        <v>-0.3</v>
      </c>
      <c r="BU3280">
        <v>3.11</v>
      </c>
      <c r="BV3280">
        <v>3.2</v>
      </c>
      <c r="BW3280">
        <v>1.91</v>
      </c>
      <c r="BX3280">
        <v>2.2999999999999998</v>
      </c>
      <c r="BY3280">
        <v>1.55</v>
      </c>
      <c r="BZ3280">
        <v>0.03</v>
      </c>
      <c r="CA3280">
        <v>2.21</v>
      </c>
      <c r="CB3280">
        <v>2.25</v>
      </c>
      <c r="CC3280">
        <v>1.1499999999999999</v>
      </c>
      <c r="CD3280">
        <v>-0.74</v>
      </c>
      <c r="CE3280">
        <v>1.03</v>
      </c>
      <c r="CF3280">
        <v>1.06</v>
      </c>
      <c r="CG3280">
        <v>0</v>
      </c>
      <c r="CH3280">
        <v>0.71</v>
      </c>
      <c r="CI3280">
        <v>0</v>
      </c>
      <c r="CJ3280">
        <v>-5.4</v>
      </c>
      <c r="CK3280">
        <v>88</v>
      </c>
      <c r="CL3280">
        <v>-1.31</v>
      </c>
      <c r="CM3280">
        <v>85</v>
      </c>
      <c r="CN3280">
        <v>-0.44</v>
      </c>
      <c r="CO3280">
        <v>83</v>
      </c>
      <c r="CP3280">
        <v>-4.4000000000000004</v>
      </c>
      <c r="CQ3280">
        <v>85</v>
      </c>
      <c r="CR3280">
        <v>0</v>
      </c>
      <c r="CS3280">
        <v>0</v>
      </c>
      <c r="CT3280">
        <v>13.6</v>
      </c>
      <c r="CU3280">
        <v>83</v>
      </c>
      <c r="CV3280">
        <v>0.31</v>
      </c>
      <c r="CW3280">
        <v>25</v>
      </c>
      <c r="CX3280" t="s">
        <v>311</v>
      </c>
    </row>
    <row r="3281" spans="1:102" x14ac:dyDescent="0.3">
      <c r="A3281" t="str">
        <f>HYPERLINK("https://webapp.icbf.com/v2/app/bull-search/view/76489433","LIK")</f>
        <v>LIK</v>
      </c>
      <c r="B3281" t="s">
        <v>6442</v>
      </c>
      <c r="C3281" t="s">
        <v>4263</v>
      </c>
      <c r="D3281" s="1">
        <v>36790</v>
      </c>
      <c r="E3281" t="s">
        <v>108</v>
      </c>
      <c r="F3281">
        <v>3</v>
      </c>
      <c r="G3281" t="s">
        <v>93</v>
      </c>
      <c r="H3281">
        <v>-25.64</v>
      </c>
      <c r="I3281">
        <v>98</v>
      </c>
      <c r="J3281">
        <v>-32.6</v>
      </c>
      <c r="K3281">
        <v>99</v>
      </c>
      <c r="L3281">
        <v>3.77</v>
      </c>
      <c r="M3281">
        <v>96</v>
      </c>
      <c r="N3281">
        <v>6.82</v>
      </c>
      <c r="O3281">
        <v>98</v>
      </c>
      <c r="P3281">
        <v>-8.0299999999999994</v>
      </c>
      <c r="Q3281">
        <v>99</v>
      </c>
      <c r="R3281">
        <v>-0.1</v>
      </c>
      <c r="S3281">
        <v>97</v>
      </c>
      <c r="T3281">
        <v>11.61</v>
      </c>
      <c r="U3281">
        <v>99</v>
      </c>
      <c r="V3281">
        <v>-7.11</v>
      </c>
      <c r="W3281">
        <v>99</v>
      </c>
      <c r="X3281" t="s">
        <v>276</v>
      </c>
      <c r="Y3281" t="s">
        <v>95</v>
      </c>
      <c r="Z3281" t="s">
        <v>96</v>
      </c>
      <c r="AA3281" t="s">
        <v>2906</v>
      </c>
      <c r="AB3281" t="s">
        <v>6443</v>
      </c>
      <c r="AC3281">
        <v>1804</v>
      </c>
      <c r="AD3281">
        <v>607</v>
      </c>
      <c r="AE3281">
        <v>99</v>
      </c>
      <c r="AF3281">
        <v>-264.33</v>
      </c>
      <c r="AG3281">
        <v>-7.35</v>
      </c>
      <c r="AH3281">
        <v>-6.99</v>
      </c>
      <c r="AI3281">
        <v>0.05</v>
      </c>
      <c r="AJ3281">
        <v>0.04</v>
      </c>
      <c r="AK3281">
        <v>96</v>
      </c>
      <c r="AL3281">
        <v>2320</v>
      </c>
      <c r="AM3281">
        <v>845</v>
      </c>
      <c r="AN3281">
        <v>-1.78</v>
      </c>
      <c r="AO3281">
        <v>-1.5</v>
      </c>
      <c r="AP3281">
        <v>2998</v>
      </c>
      <c r="AQ3281">
        <v>17</v>
      </c>
      <c r="AR3281">
        <v>9.01</v>
      </c>
      <c r="AS3281">
        <v>96</v>
      </c>
      <c r="AT3281">
        <v>4.1500000000000004</v>
      </c>
      <c r="AU3281">
        <v>99</v>
      </c>
      <c r="AV3281">
        <v>-1.78</v>
      </c>
      <c r="AW3281">
        <v>99</v>
      </c>
      <c r="AX3281">
        <v>-0.47</v>
      </c>
      <c r="AY3281">
        <v>99</v>
      </c>
      <c r="AZ3281">
        <v>5.2</v>
      </c>
      <c r="BA3281">
        <v>96</v>
      </c>
      <c r="BB3281">
        <v>4.16</v>
      </c>
      <c r="BC3281">
        <v>97</v>
      </c>
      <c r="BD3281">
        <v>0.02</v>
      </c>
      <c r="BE3281">
        <v>0.01</v>
      </c>
      <c r="BF3281">
        <v>-0.05</v>
      </c>
      <c r="BG3281">
        <v>99</v>
      </c>
      <c r="BH3281">
        <v>-0.08</v>
      </c>
      <c r="BI3281">
        <v>13.68</v>
      </c>
      <c r="BJ3281">
        <v>94</v>
      </c>
      <c r="BK3281">
        <v>49</v>
      </c>
      <c r="BL3281">
        <v>-1.88</v>
      </c>
      <c r="BM3281">
        <v>2.2400000000000002</v>
      </c>
      <c r="BN3281">
        <v>-2.15</v>
      </c>
      <c r="BO3281">
        <v>-2.89</v>
      </c>
      <c r="BP3281">
        <v>2.0499999999999998</v>
      </c>
      <c r="BQ3281">
        <v>0.26</v>
      </c>
      <c r="BR3281">
        <v>-2.13</v>
      </c>
      <c r="BS3281">
        <v>2.2000000000000002</v>
      </c>
      <c r="BT3281">
        <v>2.56</v>
      </c>
      <c r="BU3281">
        <v>-1.56</v>
      </c>
      <c r="BV3281">
        <v>-2.67</v>
      </c>
      <c r="BW3281">
        <v>-2.61</v>
      </c>
      <c r="BX3281">
        <v>-1.58</v>
      </c>
      <c r="BY3281">
        <v>-2.41</v>
      </c>
      <c r="BZ3281">
        <v>0.39</v>
      </c>
      <c r="CA3281">
        <v>-1.67</v>
      </c>
      <c r="CB3281">
        <v>-2.78</v>
      </c>
      <c r="CC3281">
        <v>1</v>
      </c>
      <c r="CD3281">
        <v>2.57</v>
      </c>
      <c r="CE3281">
        <v>-3.03</v>
      </c>
      <c r="CF3281">
        <v>-0.67</v>
      </c>
      <c r="CG3281">
        <v>0</v>
      </c>
      <c r="CH3281">
        <v>-2.61</v>
      </c>
      <c r="CI3281">
        <v>0</v>
      </c>
      <c r="CJ3281">
        <v>-2.2999999999999998</v>
      </c>
      <c r="CK3281">
        <v>99</v>
      </c>
      <c r="CL3281">
        <v>-0.14000000000000001</v>
      </c>
      <c r="CM3281">
        <v>99</v>
      </c>
      <c r="CN3281">
        <v>0.23</v>
      </c>
      <c r="CO3281">
        <v>99</v>
      </c>
      <c r="CP3281">
        <v>-4.8</v>
      </c>
      <c r="CQ3281">
        <v>99</v>
      </c>
      <c r="CR3281">
        <v>0</v>
      </c>
      <c r="CS3281">
        <v>0</v>
      </c>
      <c r="CT3281">
        <v>-1.9</v>
      </c>
      <c r="CU3281">
        <v>99</v>
      </c>
      <c r="CV3281">
        <v>0.03</v>
      </c>
      <c r="CW3281">
        <v>47</v>
      </c>
      <c r="CX3281" t="s">
        <v>3741</v>
      </c>
    </row>
    <row r="3282" spans="1:102" x14ac:dyDescent="0.3">
      <c r="A3282" t="str">
        <f>HYPERLINK("https://webapp.icbf.com/v2/app/bull-search/view/585757574","GVL")</f>
        <v>GVL</v>
      </c>
      <c r="B3282" t="s">
        <v>14653</v>
      </c>
      <c r="C3282" t="s">
        <v>14654</v>
      </c>
      <c r="D3282" s="1">
        <v>37684</v>
      </c>
      <c r="E3282" t="s">
        <v>92</v>
      </c>
      <c r="F3282">
        <v>100</v>
      </c>
      <c r="G3282" t="s">
        <v>109</v>
      </c>
      <c r="H3282">
        <v>-25.89</v>
      </c>
      <c r="I3282">
        <v>74</v>
      </c>
      <c r="J3282">
        <v>34.85</v>
      </c>
      <c r="K3282">
        <v>86</v>
      </c>
      <c r="L3282">
        <v>-62.65</v>
      </c>
      <c r="M3282">
        <v>82</v>
      </c>
      <c r="N3282">
        <v>17.36</v>
      </c>
      <c r="O3282">
        <v>63</v>
      </c>
      <c r="P3282">
        <v>-11.54</v>
      </c>
      <c r="Q3282">
        <v>53</v>
      </c>
      <c r="R3282">
        <v>-7.07</v>
      </c>
      <c r="S3282">
        <v>64</v>
      </c>
      <c r="T3282">
        <v>7.17</v>
      </c>
      <c r="U3282">
        <v>55</v>
      </c>
      <c r="V3282">
        <v>-4.01</v>
      </c>
      <c r="W3282">
        <v>30</v>
      </c>
      <c r="X3282" t="s">
        <v>94</v>
      </c>
      <c r="Y3282" t="s">
        <v>270</v>
      </c>
      <c r="Z3282" t="s">
        <v>96</v>
      </c>
      <c r="AA3282" t="s">
        <v>1431</v>
      </c>
      <c r="AB3282" t="s">
        <v>14655</v>
      </c>
      <c r="AC3282">
        <v>0</v>
      </c>
      <c r="AD3282">
        <v>0</v>
      </c>
      <c r="AE3282">
        <v>86</v>
      </c>
      <c r="AF3282">
        <v>253.16</v>
      </c>
      <c r="AG3282">
        <v>10.41</v>
      </c>
      <c r="AH3282">
        <v>6.12</v>
      </c>
      <c r="AI3282">
        <v>0.01</v>
      </c>
      <c r="AJ3282">
        <v>-0.04</v>
      </c>
      <c r="AK3282">
        <v>82</v>
      </c>
      <c r="AL3282">
        <v>0</v>
      </c>
      <c r="AM3282">
        <v>0</v>
      </c>
      <c r="AN3282">
        <v>3.91</v>
      </c>
      <c r="AO3282">
        <v>-1.08</v>
      </c>
      <c r="AP3282">
        <v>25</v>
      </c>
      <c r="AQ3282">
        <v>0</v>
      </c>
      <c r="AR3282">
        <v>7.87</v>
      </c>
      <c r="AS3282">
        <v>41</v>
      </c>
      <c r="AT3282">
        <v>3.52</v>
      </c>
      <c r="AU3282">
        <v>87</v>
      </c>
      <c r="AV3282">
        <v>-2.9</v>
      </c>
      <c r="AW3282">
        <v>72</v>
      </c>
      <c r="AX3282">
        <v>-0.38</v>
      </c>
      <c r="AY3282">
        <v>49</v>
      </c>
      <c r="AZ3282">
        <v>6.85</v>
      </c>
      <c r="BA3282">
        <v>26</v>
      </c>
      <c r="BB3282">
        <v>5.33</v>
      </c>
      <c r="BC3282">
        <v>24</v>
      </c>
      <c r="BD3282">
        <v>0.04</v>
      </c>
      <c r="BE3282">
        <v>0.04</v>
      </c>
      <c r="BF3282">
        <v>0.02</v>
      </c>
      <c r="BG3282">
        <v>89</v>
      </c>
      <c r="BH3282">
        <v>-0.01</v>
      </c>
      <c r="BI3282">
        <v>11.78</v>
      </c>
      <c r="BJ3282">
        <v>13</v>
      </c>
      <c r="BK3282">
        <v>9</v>
      </c>
      <c r="BL3282">
        <v>1.24</v>
      </c>
      <c r="BM3282">
        <v>-3.02</v>
      </c>
      <c r="BN3282">
        <v>-1.06</v>
      </c>
      <c r="BO3282">
        <v>1.44</v>
      </c>
      <c r="BP3282">
        <v>1.1200000000000001</v>
      </c>
      <c r="BQ3282">
        <v>-0.39</v>
      </c>
      <c r="BR3282">
        <v>0.68</v>
      </c>
      <c r="BS3282">
        <v>-1.77</v>
      </c>
      <c r="BT3282">
        <v>-1.46</v>
      </c>
      <c r="BU3282">
        <v>1.21</v>
      </c>
      <c r="BV3282">
        <v>2.21</v>
      </c>
      <c r="BW3282">
        <v>7.0000000000000007E-2</v>
      </c>
      <c r="BX3282">
        <v>2.16</v>
      </c>
      <c r="BY3282">
        <v>-0.14000000000000001</v>
      </c>
      <c r="BZ3282">
        <v>2.9</v>
      </c>
      <c r="CA3282">
        <v>0.54</v>
      </c>
      <c r="CB3282">
        <v>1.28</v>
      </c>
      <c r="CC3282">
        <v>-1.35</v>
      </c>
      <c r="CD3282">
        <v>-2.2200000000000002</v>
      </c>
      <c r="CE3282">
        <v>0.7</v>
      </c>
      <c r="CF3282">
        <v>0.59</v>
      </c>
      <c r="CG3282">
        <v>0</v>
      </c>
      <c r="CH3282">
        <v>-0.18</v>
      </c>
      <c r="CI3282">
        <v>0</v>
      </c>
      <c r="CJ3282">
        <v>-5</v>
      </c>
      <c r="CK3282">
        <v>55</v>
      </c>
      <c r="CL3282">
        <v>-1.1599999999999999</v>
      </c>
      <c r="CM3282">
        <v>51</v>
      </c>
      <c r="CN3282">
        <v>-0.7</v>
      </c>
      <c r="CO3282">
        <v>45</v>
      </c>
      <c r="CP3282">
        <v>-5.8</v>
      </c>
      <c r="CQ3282">
        <v>62</v>
      </c>
      <c r="CR3282">
        <v>0</v>
      </c>
      <c r="CS3282">
        <v>0</v>
      </c>
      <c r="CT3282">
        <v>4.0999999999999996</v>
      </c>
      <c r="CU3282">
        <v>55</v>
      </c>
      <c r="CV3282">
        <v>0.14000000000000001</v>
      </c>
      <c r="CW3282">
        <v>14</v>
      </c>
      <c r="CX3282" t="s">
        <v>596</v>
      </c>
    </row>
    <row r="3283" spans="1:102" x14ac:dyDescent="0.3">
      <c r="A3283" t="str">
        <f>HYPERLINK("https://webapp.icbf.com/v2/app/bull-search/view/496458569","AVH")</f>
        <v>AVH</v>
      </c>
      <c r="B3283" t="s">
        <v>4868</v>
      </c>
      <c r="C3283" t="s">
        <v>4869</v>
      </c>
      <c r="D3283" s="1">
        <v>39122</v>
      </c>
      <c r="E3283" t="s">
        <v>92</v>
      </c>
      <c r="F3283">
        <v>91</v>
      </c>
      <c r="G3283" t="s">
        <v>435</v>
      </c>
      <c r="H3283">
        <v>-25.98</v>
      </c>
      <c r="I3283">
        <v>71</v>
      </c>
      <c r="J3283">
        <v>-7.23</v>
      </c>
      <c r="K3283">
        <v>89</v>
      </c>
      <c r="L3283">
        <v>-45.96</v>
      </c>
      <c r="M3283">
        <v>69</v>
      </c>
      <c r="N3283">
        <v>19.52</v>
      </c>
      <c r="O3283">
        <v>59</v>
      </c>
      <c r="P3283">
        <v>-3.53</v>
      </c>
      <c r="Q3283">
        <v>49</v>
      </c>
      <c r="R3283">
        <v>0.68</v>
      </c>
      <c r="S3283">
        <v>68</v>
      </c>
      <c r="T3283">
        <v>12.12</v>
      </c>
      <c r="U3283">
        <v>48</v>
      </c>
      <c r="V3283">
        <v>-1.58</v>
      </c>
      <c r="W3283">
        <v>63</v>
      </c>
      <c r="X3283" t="s">
        <v>94</v>
      </c>
      <c r="Y3283" t="s">
        <v>1374</v>
      </c>
      <c r="Z3283" t="s">
        <v>96</v>
      </c>
      <c r="AA3283" t="s">
        <v>1418</v>
      </c>
      <c r="AB3283" t="s">
        <v>4870</v>
      </c>
      <c r="AC3283">
        <v>1</v>
      </c>
      <c r="AD3283">
        <v>1</v>
      </c>
      <c r="AE3283">
        <v>89</v>
      </c>
      <c r="AF3283">
        <v>-71.83</v>
      </c>
      <c r="AG3283">
        <v>0.4</v>
      </c>
      <c r="AH3283">
        <v>-2.4700000000000002</v>
      </c>
      <c r="AI3283">
        <v>0.05</v>
      </c>
      <c r="AJ3283">
        <v>0</v>
      </c>
      <c r="AK3283">
        <v>69</v>
      </c>
      <c r="AL3283">
        <v>0</v>
      </c>
      <c r="AM3283">
        <v>0</v>
      </c>
      <c r="AN3283">
        <v>2.92</v>
      </c>
      <c r="AO3283">
        <v>-0.74</v>
      </c>
      <c r="AP3283">
        <v>3</v>
      </c>
      <c r="AQ3283">
        <v>0</v>
      </c>
      <c r="AR3283">
        <v>6.37</v>
      </c>
      <c r="AS3283">
        <v>54</v>
      </c>
      <c r="AT3283">
        <v>3.16</v>
      </c>
      <c r="AU3283">
        <v>66</v>
      </c>
      <c r="AV3283">
        <v>-2.13</v>
      </c>
      <c r="AW3283">
        <v>64</v>
      </c>
      <c r="AX3283">
        <v>-0.78</v>
      </c>
      <c r="AY3283">
        <v>49</v>
      </c>
      <c r="AZ3283">
        <v>6.25</v>
      </c>
      <c r="BA3283">
        <v>45</v>
      </c>
      <c r="BB3283">
        <v>5.5</v>
      </c>
      <c r="BC3283">
        <v>48</v>
      </c>
      <c r="BD3283">
        <v>0.02</v>
      </c>
      <c r="BE3283">
        <v>-0.01</v>
      </c>
      <c r="BF3283">
        <v>-0.03</v>
      </c>
      <c r="BG3283">
        <v>76</v>
      </c>
      <c r="BH3283">
        <v>0.02</v>
      </c>
      <c r="BI3283">
        <v>7.4</v>
      </c>
      <c r="BJ3283">
        <v>0</v>
      </c>
      <c r="BK3283">
        <v>0</v>
      </c>
      <c r="BL3283">
        <v>-0.06</v>
      </c>
      <c r="BM3283">
        <v>0.94</v>
      </c>
      <c r="BN3283">
        <v>0.72</v>
      </c>
      <c r="BO3283">
        <v>-0.39</v>
      </c>
      <c r="BP3283">
        <v>-1.06</v>
      </c>
      <c r="BQ3283">
        <v>-0.52</v>
      </c>
      <c r="BR3283">
        <v>-1.05</v>
      </c>
      <c r="BS3283">
        <v>0.65</v>
      </c>
      <c r="BT3283">
        <v>0.94</v>
      </c>
      <c r="BU3283">
        <v>0.08</v>
      </c>
      <c r="BV3283">
        <v>-0.2</v>
      </c>
      <c r="BW3283">
        <v>0.22</v>
      </c>
      <c r="BX3283">
        <v>0.36</v>
      </c>
      <c r="BY3283">
        <v>0.22</v>
      </c>
      <c r="BZ3283">
        <v>0.66</v>
      </c>
      <c r="CA3283">
        <v>0.46</v>
      </c>
      <c r="CB3283">
        <v>0.03</v>
      </c>
      <c r="CC3283">
        <v>1.1200000000000001</v>
      </c>
      <c r="CD3283">
        <v>0.36</v>
      </c>
      <c r="CE3283">
        <v>-0.43</v>
      </c>
      <c r="CF3283">
        <v>-0.39</v>
      </c>
      <c r="CG3283">
        <v>0</v>
      </c>
      <c r="CH3283">
        <v>0.43</v>
      </c>
      <c r="CI3283">
        <v>0</v>
      </c>
      <c r="CJ3283">
        <v>1.1000000000000001</v>
      </c>
      <c r="CK3283">
        <v>49</v>
      </c>
      <c r="CL3283">
        <v>-0.53</v>
      </c>
      <c r="CM3283">
        <v>48</v>
      </c>
      <c r="CN3283">
        <v>-0.15</v>
      </c>
      <c r="CO3283">
        <v>47</v>
      </c>
      <c r="CP3283">
        <v>-8.9</v>
      </c>
      <c r="CQ3283">
        <v>50</v>
      </c>
      <c r="CR3283">
        <v>0</v>
      </c>
      <c r="CS3283">
        <v>0</v>
      </c>
      <c r="CT3283">
        <v>-2.6</v>
      </c>
      <c r="CU3283">
        <v>48</v>
      </c>
      <c r="CV3283">
        <v>0.22</v>
      </c>
      <c r="CW3283">
        <v>35</v>
      </c>
      <c r="CX3283" t="s">
        <v>2775</v>
      </c>
    </row>
    <row r="3284" spans="1:102" x14ac:dyDescent="0.3">
      <c r="A3284" t="str">
        <f>HYPERLINK("https://webapp.icbf.com/v2/app/bull-search/view/604327962","TII")</f>
        <v>TII</v>
      </c>
      <c r="B3284" t="s">
        <v>14455</v>
      </c>
      <c r="C3284" t="s">
        <v>14456</v>
      </c>
      <c r="D3284" s="1">
        <v>37532</v>
      </c>
      <c r="E3284" t="s">
        <v>140</v>
      </c>
      <c r="F3284">
        <v>0</v>
      </c>
      <c r="G3284" t="s">
        <v>93</v>
      </c>
      <c r="H3284">
        <v>-26.14</v>
      </c>
      <c r="I3284">
        <v>82</v>
      </c>
      <c r="J3284">
        <v>-23.3</v>
      </c>
      <c r="K3284">
        <v>94</v>
      </c>
      <c r="L3284">
        <v>30.89</v>
      </c>
      <c r="M3284">
        <v>72</v>
      </c>
      <c r="N3284">
        <v>-43.75</v>
      </c>
      <c r="O3284">
        <v>79</v>
      </c>
      <c r="P3284">
        <v>8.57</v>
      </c>
      <c r="Q3284">
        <v>89</v>
      </c>
      <c r="R3284">
        <v>15.21</v>
      </c>
      <c r="S3284">
        <v>73</v>
      </c>
      <c r="T3284">
        <v>3.32</v>
      </c>
      <c r="U3284">
        <v>78</v>
      </c>
      <c r="V3284">
        <v>-17.079999999999998</v>
      </c>
      <c r="W3284">
        <v>72</v>
      </c>
      <c r="X3284" t="s">
        <v>102</v>
      </c>
      <c r="Y3284" t="s">
        <v>235</v>
      </c>
      <c r="Z3284">
        <v>0</v>
      </c>
      <c r="AA3284" t="s">
        <v>298</v>
      </c>
      <c r="AB3284" t="s">
        <v>14457</v>
      </c>
      <c r="AC3284">
        <v>41</v>
      </c>
      <c r="AD3284">
        <v>13</v>
      </c>
      <c r="AE3284">
        <v>94</v>
      </c>
      <c r="AF3284">
        <v>19.2</v>
      </c>
      <c r="AG3284">
        <v>-8.59</v>
      </c>
      <c r="AH3284">
        <v>-0.63</v>
      </c>
      <c r="AI3284">
        <v>-0.16</v>
      </c>
      <c r="AJ3284">
        <v>-0.02</v>
      </c>
      <c r="AK3284">
        <v>72</v>
      </c>
      <c r="AL3284">
        <v>46</v>
      </c>
      <c r="AM3284">
        <v>17</v>
      </c>
      <c r="AN3284">
        <v>-1.97</v>
      </c>
      <c r="AO3284">
        <v>0.49</v>
      </c>
      <c r="AP3284">
        <v>91</v>
      </c>
      <c r="AQ3284">
        <v>2</v>
      </c>
      <c r="AR3284">
        <v>9.68</v>
      </c>
      <c r="AS3284">
        <v>69</v>
      </c>
      <c r="AT3284">
        <v>4.83</v>
      </c>
      <c r="AU3284">
        <v>79</v>
      </c>
      <c r="AV3284">
        <v>2.67</v>
      </c>
      <c r="AW3284">
        <v>91</v>
      </c>
      <c r="AX3284">
        <v>2.2599999999999998</v>
      </c>
      <c r="AY3284">
        <v>73</v>
      </c>
      <c r="AZ3284">
        <v>4.7</v>
      </c>
      <c r="BA3284">
        <v>58</v>
      </c>
      <c r="BB3284">
        <v>3.9</v>
      </c>
      <c r="BC3284">
        <v>60</v>
      </c>
      <c r="BD3284">
        <v>-0.01</v>
      </c>
      <c r="BE3284">
        <v>-7.0000000000000007E-2</v>
      </c>
      <c r="BF3284">
        <v>-0.2</v>
      </c>
      <c r="BG3284">
        <v>81</v>
      </c>
      <c r="BH3284">
        <v>-0.41</v>
      </c>
      <c r="BI3284">
        <v>7.68</v>
      </c>
      <c r="BJ3284">
        <v>0</v>
      </c>
      <c r="BK3284">
        <v>0</v>
      </c>
      <c r="BL3284">
        <v>-0.42</v>
      </c>
      <c r="BM3284">
        <v>3.86</v>
      </c>
      <c r="BN3284">
        <v>-1.23</v>
      </c>
      <c r="BO3284">
        <v>-2.83</v>
      </c>
      <c r="BP3284">
        <v>4.3</v>
      </c>
      <c r="BQ3284">
        <v>-1.51</v>
      </c>
      <c r="BR3284">
        <v>-2.59</v>
      </c>
      <c r="BS3284">
        <v>-0.41</v>
      </c>
      <c r="BT3284">
        <v>2.4300000000000002</v>
      </c>
      <c r="BU3284">
        <v>-3.07</v>
      </c>
      <c r="BV3284">
        <v>-3.57</v>
      </c>
      <c r="BW3284">
        <v>-2.66</v>
      </c>
      <c r="BX3284">
        <v>-2.23</v>
      </c>
      <c r="BY3284">
        <v>-1.73</v>
      </c>
      <c r="BZ3284">
        <v>0.81</v>
      </c>
      <c r="CA3284">
        <v>-2.19</v>
      </c>
      <c r="CB3284">
        <v>-2.89</v>
      </c>
      <c r="CC3284">
        <v>-0.2</v>
      </c>
      <c r="CD3284">
        <v>3.98</v>
      </c>
      <c r="CE3284">
        <v>-2.74</v>
      </c>
      <c r="CF3284">
        <v>-0.41</v>
      </c>
      <c r="CG3284">
        <v>0</v>
      </c>
      <c r="CH3284">
        <v>-2.4</v>
      </c>
      <c r="CI3284">
        <v>0</v>
      </c>
      <c r="CJ3284">
        <v>2</v>
      </c>
      <c r="CK3284">
        <v>91</v>
      </c>
      <c r="CL3284">
        <v>7.0000000000000007E-2</v>
      </c>
      <c r="CM3284">
        <v>89</v>
      </c>
      <c r="CN3284">
        <v>-0.35</v>
      </c>
      <c r="CO3284">
        <v>88</v>
      </c>
      <c r="CP3284">
        <v>6.6</v>
      </c>
      <c r="CQ3284">
        <v>79</v>
      </c>
      <c r="CR3284">
        <v>0</v>
      </c>
      <c r="CS3284">
        <v>0</v>
      </c>
      <c r="CT3284">
        <v>9.3000000000000007</v>
      </c>
      <c r="CU3284">
        <v>78</v>
      </c>
      <c r="CV3284">
        <v>0.14000000000000001</v>
      </c>
      <c r="CW3284">
        <v>44</v>
      </c>
      <c r="CX3284" t="s">
        <v>295</v>
      </c>
    </row>
    <row r="3285" spans="1:102" x14ac:dyDescent="0.3">
      <c r="A3285" t="str">
        <f>HYPERLINK("https://webapp.icbf.com/v2/app/bull-search/view/77858833","CGP")</f>
        <v>CGP</v>
      </c>
      <c r="B3285" t="s">
        <v>3399</v>
      </c>
      <c r="C3285" t="s">
        <v>3400</v>
      </c>
      <c r="D3285" s="1">
        <v>31774</v>
      </c>
      <c r="E3285" t="s">
        <v>92</v>
      </c>
      <c r="F3285">
        <v>50</v>
      </c>
      <c r="G3285" t="s">
        <v>116</v>
      </c>
      <c r="H3285">
        <v>-26.17</v>
      </c>
      <c r="I3285">
        <v>33</v>
      </c>
      <c r="J3285">
        <v>-98.57</v>
      </c>
      <c r="K3285">
        <v>33</v>
      </c>
      <c r="L3285">
        <v>67.16</v>
      </c>
      <c r="M3285">
        <v>40</v>
      </c>
      <c r="N3285">
        <v>3.21</v>
      </c>
      <c r="O3285">
        <v>25</v>
      </c>
      <c r="P3285">
        <v>-5.92</v>
      </c>
      <c r="Q3285">
        <v>26</v>
      </c>
      <c r="R3285">
        <v>-9.41</v>
      </c>
      <c r="S3285">
        <v>37</v>
      </c>
      <c r="T3285">
        <v>21.08</v>
      </c>
      <c r="U3285">
        <v>33</v>
      </c>
      <c r="V3285">
        <v>-3.72</v>
      </c>
      <c r="W3285">
        <v>17</v>
      </c>
      <c r="X3285" t="s">
        <v>110</v>
      </c>
      <c r="Y3285" t="s">
        <v>95</v>
      </c>
      <c r="Z3285" t="s">
        <v>96</v>
      </c>
      <c r="AA3285" t="s">
        <v>3401</v>
      </c>
      <c r="AB3285" t="s">
        <v>3402</v>
      </c>
      <c r="AC3285">
        <v>5</v>
      </c>
      <c r="AD3285">
        <v>3</v>
      </c>
      <c r="AE3285">
        <v>33</v>
      </c>
      <c r="AF3285">
        <v>-329.53</v>
      </c>
      <c r="AG3285">
        <v>-14.24</v>
      </c>
      <c r="AH3285">
        <v>-16.77</v>
      </c>
      <c r="AI3285">
        <v>-0.02</v>
      </c>
      <c r="AJ3285">
        <v>-0.1</v>
      </c>
      <c r="AK3285">
        <v>40</v>
      </c>
      <c r="AL3285">
        <v>21</v>
      </c>
      <c r="AM3285">
        <v>3</v>
      </c>
      <c r="AN3285">
        <v>-4.13</v>
      </c>
      <c r="AO3285">
        <v>1.22</v>
      </c>
      <c r="AP3285">
        <v>5</v>
      </c>
      <c r="AQ3285">
        <v>0</v>
      </c>
      <c r="AR3285">
        <v>8.3000000000000007</v>
      </c>
      <c r="AS3285">
        <v>13</v>
      </c>
      <c r="AT3285">
        <v>3.34</v>
      </c>
      <c r="AU3285">
        <v>27</v>
      </c>
      <c r="AV3285">
        <v>-1.24</v>
      </c>
      <c r="AW3285">
        <v>26</v>
      </c>
      <c r="AX3285">
        <v>-0.37</v>
      </c>
      <c r="AY3285">
        <v>43</v>
      </c>
      <c r="AZ3285">
        <v>7.11</v>
      </c>
      <c r="BA3285">
        <v>11</v>
      </c>
      <c r="BB3285">
        <v>5.52</v>
      </c>
      <c r="BC3285">
        <v>15</v>
      </c>
      <c r="BD3285">
        <v>0.08</v>
      </c>
      <c r="BE3285">
        <v>7.0000000000000007E-2</v>
      </c>
      <c r="BF3285">
        <v>-0.05</v>
      </c>
      <c r="BG3285">
        <v>53</v>
      </c>
      <c r="BH3285">
        <v>-0.02</v>
      </c>
      <c r="BI3285">
        <v>9.69</v>
      </c>
      <c r="BJ3285">
        <v>0</v>
      </c>
      <c r="BK3285">
        <v>0</v>
      </c>
      <c r="BL3285">
        <v>-1.05</v>
      </c>
      <c r="BM3285">
        <v>0.84</v>
      </c>
      <c r="BN3285">
        <v>-0.66</v>
      </c>
      <c r="BO3285">
        <v>-1.1499999999999999</v>
      </c>
      <c r="BP3285">
        <v>0.26</v>
      </c>
      <c r="BQ3285">
        <v>0.93</v>
      </c>
      <c r="BR3285">
        <v>0.62</v>
      </c>
      <c r="BS3285">
        <v>-0.28999999999999998</v>
      </c>
      <c r="BT3285">
        <v>-1.02</v>
      </c>
      <c r="BU3285">
        <v>-0.75</v>
      </c>
      <c r="BV3285">
        <v>-1.46</v>
      </c>
      <c r="BW3285">
        <v>-1.62</v>
      </c>
      <c r="BX3285">
        <v>-0.61</v>
      </c>
      <c r="BY3285">
        <v>-1.59</v>
      </c>
      <c r="BZ3285">
        <v>-0.87</v>
      </c>
      <c r="CA3285">
        <v>-1.74</v>
      </c>
      <c r="CB3285">
        <v>-1.42</v>
      </c>
      <c r="CC3285">
        <v>-1.47</v>
      </c>
      <c r="CD3285">
        <v>1.19</v>
      </c>
      <c r="CE3285">
        <v>-1.06</v>
      </c>
      <c r="CF3285">
        <v>-0.72</v>
      </c>
      <c r="CG3285">
        <v>0</v>
      </c>
      <c r="CH3285">
        <v>-1.9</v>
      </c>
      <c r="CI3285">
        <v>0</v>
      </c>
      <c r="CJ3285">
        <v>-1.2</v>
      </c>
      <c r="CK3285">
        <v>27</v>
      </c>
      <c r="CL3285">
        <v>-0.24</v>
      </c>
      <c r="CM3285">
        <v>24</v>
      </c>
      <c r="CN3285">
        <v>0.03</v>
      </c>
      <c r="CO3285">
        <v>22</v>
      </c>
      <c r="CP3285">
        <v>-9.6</v>
      </c>
      <c r="CQ3285">
        <v>33</v>
      </c>
      <c r="CR3285">
        <v>0</v>
      </c>
      <c r="CS3285">
        <v>0</v>
      </c>
      <c r="CT3285">
        <v>-14.7</v>
      </c>
      <c r="CU3285">
        <v>33</v>
      </c>
      <c r="CV3285">
        <v>0.1</v>
      </c>
      <c r="CW3285">
        <v>6</v>
      </c>
      <c r="CX3285" t="s">
        <v>3403</v>
      </c>
    </row>
    <row r="3286" spans="1:102" x14ac:dyDescent="0.3">
      <c r="A3286" t="str">
        <f>HYPERLINK("https://webapp.icbf.com/v2/app/bull-search/view/77859853","BOH")</f>
        <v>BOH</v>
      </c>
      <c r="B3286" t="s">
        <v>8843</v>
      </c>
      <c r="C3286" t="s">
        <v>8844</v>
      </c>
      <c r="D3286" s="1">
        <v>31761</v>
      </c>
      <c r="E3286" t="s">
        <v>92</v>
      </c>
      <c r="F3286">
        <v>50</v>
      </c>
      <c r="G3286" t="s">
        <v>116</v>
      </c>
      <c r="H3286">
        <v>-26.18</v>
      </c>
      <c r="I3286">
        <v>53</v>
      </c>
      <c r="J3286">
        <v>-76.540000000000006</v>
      </c>
      <c r="K3286">
        <v>58</v>
      </c>
      <c r="L3286">
        <v>28.16</v>
      </c>
      <c r="M3286">
        <v>55</v>
      </c>
      <c r="N3286">
        <v>7.73</v>
      </c>
      <c r="O3286">
        <v>37</v>
      </c>
      <c r="P3286">
        <v>6.4</v>
      </c>
      <c r="Q3286">
        <v>58</v>
      </c>
      <c r="R3286">
        <v>-2.15</v>
      </c>
      <c r="S3286">
        <v>52</v>
      </c>
      <c r="T3286">
        <v>10.199999999999999</v>
      </c>
      <c r="U3286">
        <v>50</v>
      </c>
      <c r="V3286">
        <v>0.02</v>
      </c>
      <c r="W3286">
        <v>22</v>
      </c>
      <c r="X3286" t="s">
        <v>94</v>
      </c>
      <c r="Y3286" t="s">
        <v>95</v>
      </c>
      <c r="Z3286" t="s">
        <v>96</v>
      </c>
      <c r="AA3286" t="s">
        <v>493</v>
      </c>
      <c r="AB3286" t="s">
        <v>8845</v>
      </c>
      <c r="AC3286">
        <v>7</v>
      </c>
      <c r="AD3286">
        <v>7</v>
      </c>
      <c r="AE3286">
        <v>58</v>
      </c>
      <c r="AF3286">
        <v>-387.78</v>
      </c>
      <c r="AG3286">
        <v>-11.2</v>
      </c>
      <c r="AH3286">
        <v>-14.99</v>
      </c>
      <c r="AI3286">
        <v>7.0000000000000007E-2</v>
      </c>
      <c r="AJ3286">
        <v>-0.03</v>
      </c>
      <c r="AK3286">
        <v>55</v>
      </c>
      <c r="AL3286">
        <v>69</v>
      </c>
      <c r="AM3286">
        <v>45</v>
      </c>
      <c r="AN3286">
        <v>-2.77</v>
      </c>
      <c r="AO3286">
        <v>-0.54</v>
      </c>
      <c r="AP3286">
        <v>7</v>
      </c>
      <c r="AQ3286">
        <v>1</v>
      </c>
      <c r="AR3286">
        <v>8.14</v>
      </c>
      <c r="AS3286">
        <v>29</v>
      </c>
      <c r="AT3286">
        <v>3.26</v>
      </c>
      <c r="AU3286">
        <v>24</v>
      </c>
      <c r="AV3286">
        <v>-1.46</v>
      </c>
      <c r="AW3286">
        <v>49</v>
      </c>
      <c r="AX3286">
        <v>-0.05</v>
      </c>
      <c r="AY3286">
        <v>52</v>
      </c>
      <c r="AZ3286">
        <v>6.39</v>
      </c>
      <c r="BA3286">
        <v>14</v>
      </c>
      <c r="BB3286">
        <v>5.29</v>
      </c>
      <c r="BC3286">
        <v>21</v>
      </c>
      <c r="BD3286">
        <v>0.02</v>
      </c>
      <c r="BE3286">
        <v>0.04</v>
      </c>
      <c r="BF3286">
        <v>-0.06</v>
      </c>
      <c r="BG3286">
        <v>76</v>
      </c>
      <c r="BH3286">
        <v>0</v>
      </c>
      <c r="BI3286">
        <v>-0.08</v>
      </c>
      <c r="BJ3286">
        <v>11</v>
      </c>
      <c r="BK3286">
        <v>10</v>
      </c>
      <c r="BL3286">
        <v>-1.49</v>
      </c>
      <c r="BM3286">
        <v>1.1100000000000001</v>
      </c>
      <c r="BN3286">
        <v>-1.38</v>
      </c>
      <c r="BO3286">
        <v>-1.69</v>
      </c>
      <c r="BP3286">
        <v>0.92</v>
      </c>
      <c r="BQ3286">
        <v>-0.08</v>
      </c>
      <c r="BR3286">
        <v>0.42</v>
      </c>
      <c r="BS3286">
        <v>-0.46</v>
      </c>
      <c r="BT3286">
        <v>-0.13</v>
      </c>
      <c r="BU3286">
        <v>-1.37</v>
      </c>
      <c r="BV3286">
        <v>-1.71</v>
      </c>
      <c r="BW3286">
        <v>-2.0499999999999998</v>
      </c>
      <c r="BX3286">
        <v>-0.75</v>
      </c>
      <c r="BY3286">
        <v>-2.08</v>
      </c>
      <c r="BZ3286">
        <v>-1.22</v>
      </c>
      <c r="CA3286">
        <v>-1.89</v>
      </c>
      <c r="CB3286">
        <v>-1.76</v>
      </c>
      <c r="CC3286">
        <v>-1.42</v>
      </c>
      <c r="CD3286">
        <v>1.59</v>
      </c>
      <c r="CE3286">
        <v>-1.75</v>
      </c>
      <c r="CF3286">
        <v>-1.86</v>
      </c>
      <c r="CG3286">
        <v>0</v>
      </c>
      <c r="CH3286">
        <v>-2.2200000000000002</v>
      </c>
      <c r="CI3286">
        <v>0</v>
      </c>
      <c r="CJ3286">
        <v>0.9</v>
      </c>
      <c r="CK3286">
        <v>60</v>
      </c>
      <c r="CL3286">
        <v>0.21</v>
      </c>
      <c r="CM3286">
        <v>55</v>
      </c>
      <c r="CN3286">
        <v>-0.24</v>
      </c>
      <c r="CO3286">
        <v>50</v>
      </c>
      <c r="CP3286">
        <v>1.2</v>
      </c>
      <c r="CQ3286">
        <v>61</v>
      </c>
      <c r="CR3286">
        <v>0</v>
      </c>
      <c r="CS3286">
        <v>0</v>
      </c>
      <c r="CT3286">
        <v>0</v>
      </c>
      <c r="CU3286">
        <v>50</v>
      </c>
      <c r="CV3286">
        <v>-0.12</v>
      </c>
      <c r="CW3286">
        <v>16</v>
      </c>
      <c r="CX3286" t="s">
        <v>8846</v>
      </c>
    </row>
    <row r="3287" spans="1:102" x14ac:dyDescent="0.3">
      <c r="A3287" t="str">
        <f>HYPERLINK("https://webapp.icbf.com/v2/app/bull-search/view/77858041","DUU")</f>
        <v>DUU</v>
      </c>
      <c r="B3287" t="s">
        <v>10660</v>
      </c>
      <c r="C3287" t="s">
        <v>10661</v>
      </c>
      <c r="D3287" s="1">
        <v>32211</v>
      </c>
      <c r="E3287" t="s">
        <v>92</v>
      </c>
      <c r="F3287">
        <v>100</v>
      </c>
      <c r="G3287" t="s">
        <v>93</v>
      </c>
      <c r="H3287">
        <v>-26.18</v>
      </c>
      <c r="I3287">
        <v>88</v>
      </c>
      <c r="J3287">
        <v>12.98</v>
      </c>
      <c r="K3287">
        <v>95</v>
      </c>
      <c r="L3287">
        <v>-11.27</v>
      </c>
      <c r="M3287">
        <v>90</v>
      </c>
      <c r="N3287">
        <v>-16.39</v>
      </c>
      <c r="O3287">
        <v>78</v>
      </c>
      <c r="P3287">
        <v>-5.72</v>
      </c>
      <c r="Q3287">
        <v>84</v>
      </c>
      <c r="R3287">
        <v>-14.98</v>
      </c>
      <c r="S3287">
        <v>78</v>
      </c>
      <c r="T3287">
        <v>11.98</v>
      </c>
      <c r="U3287">
        <v>87</v>
      </c>
      <c r="V3287">
        <v>-2.78</v>
      </c>
      <c r="W3287">
        <v>55</v>
      </c>
      <c r="X3287" t="s">
        <v>276</v>
      </c>
      <c r="Y3287" t="s">
        <v>95</v>
      </c>
      <c r="Z3287" t="s">
        <v>96</v>
      </c>
      <c r="AA3287" t="s">
        <v>724</v>
      </c>
      <c r="AB3287" t="s">
        <v>10662</v>
      </c>
      <c r="AC3287">
        <v>84</v>
      </c>
      <c r="AD3287">
        <v>64</v>
      </c>
      <c r="AE3287">
        <v>95</v>
      </c>
      <c r="AF3287">
        <v>172.94</v>
      </c>
      <c r="AG3287">
        <v>0.35</v>
      </c>
      <c r="AH3287">
        <v>4.7300000000000004</v>
      </c>
      <c r="AI3287">
        <v>-0.11</v>
      </c>
      <c r="AJ3287">
        <v>-0.02</v>
      </c>
      <c r="AK3287">
        <v>90</v>
      </c>
      <c r="AL3287">
        <v>117</v>
      </c>
      <c r="AM3287">
        <v>60</v>
      </c>
      <c r="AN3287">
        <v>1.27</v>
      </c>
      <c r="AO3287">
        <v>0.38</v>
      </c>
      <c r="AP3287">
        <v>6</v>
      </c>
      <c r="AQ3287">
        <v>0</v>
      </c>
      <c r="AR3287">
        <v>9.6999999999999993</v>
      </c>
      <c r="AS3287">
        <v>56</v>
      </c>
      <c r="AT3287">
        <v>4.84</v>
      </c>
      <c r="AU3287">
        <v>94</v>
      </c>
      <c r="AV3287">
        <v>-0.22</v>
      </c>
      <c r="AW3287">
        <v>78</v>
      </c>
      <c r="AX3287">
        <v>-0.51</v>
      </c>
      <c r="AY3287">
        <v>81</v>
      </c>
      <c r="AZ3287">
        <v>5.2</v>
      </c>
      <c r="BA3287">
        <v>49</v>
      </c>
      <c r="BB3287">
        <v>4.3600000000000003</v>
      </c>
      <c r="BC3287">
        <v>66</v>
      </c>
      <c r="BD3287">
        <v>0.08</v>
      </c>
      <c r="BE3287">
        <v>0.09</v>
      </c>
      <c r="BF3287">
        <v>0.04</v>
      </c>
      <c r="BG3287">
        <v>95</v>
      </c>
      <c r="BH3287">
        <v>-0.1</v>
      </c>
      <c r="BI3287">
        <v>-2.6</v>
      </c>
      <c r="BJ3287">
        <v>15</v>
      </c>
      <c r="BK3287">
        <v>10</v>
      </c>
      <c r="BL3287">
        <v>0.6</v>
      </c>
      <c r="BM3287">
        <v>-1.65</v>
      </c>
      <c r="BN3287">
        <v>-1.74</v>
      </c>
      <c r="BO3287">
        <v>0</v>
      </c>
      <c r="BP3287">
        <v>1.35</v>
      </c>
      <c r="BQ3287">
        <v>-0.66</v>
      </c>
      <c r="BR3287">
        <v>1.57</v>
      </c>
      <c r="BS3287">
        <v>-2.3199999999999998</v>
      </c>
      <c r="BT3287">
        <v>-0.1</v>
      </c>
      <c r="BU3287">
        <v>-1.3</v>
      </c>
      <c r="BV3287">
        <v>-0.48</v>
      </c>
      <c r="BW3287">
        <v>-0.38</v>
      </c>
      <c r="BX3287">
        <v>0.01</v>
      </c>
      <c r="BY3287">
        <v>-1.31</v>
      </c>
      <c r="BZ3287">
        <v>-1.44</v>
      </c>
      <c r="CA3287">
        <v>-1.42</v>
      </c>
      <c r="CB3287">
        <v>-0.98</v>
      </c>
      <c r="CC3287">
        <v>-2.19</v>
      </c>
      <c r="CD3287">
        <v>-0.92</v>
      </c>
      <c r="CE3287">
        <v>0.23</v>
      </c>
      <c r="CF3287">
        <v>0.17</v>
      </c>
      <c r="CG3287">
        <v>0</v>
      </c>
      <c r="CH3287">
        <v>-1.27</v>
      </c>
      <c r="CI3287">
        <v>0</v>
      </c>
      <c r="CJ3287">
        <v>-1</v>
      </c>
      <c r="CK3287">
        <v>85</v>
      </c>
      <c r="CL3287">
        <v>-0.43</v>
      </c>
      <c r="CM3287">
        <v>83</v>
      </c>
      <c r="CN3287">
        <v>-0.13</v>
      </c>
      <c r="CO3287">
        <v>81</v>
      </c>
      <c r="CP3287">
        <v>-9.5</v>
      </c>
      <c r="CQ3287">
        <v>89</v>
      </c>
      <c r="CR3287">
        <v>0</v>
      </c>
      <c r="CS3287">
        <v>0</v>
      </c>
      <c r="CT3287">
        <v>-2.4</v>
      </c>
      <c r="CU3287">
        <v>87</v>
      </c>
      <c r="CV3287">
        <v>0.11</v>
      </c>
      <c r="CW3287">
        <v>43</v>
      </c>
      <c r="CX3287" t="s">
        <v>10663</v>
      </c>
    </row>
    <row r="3288" spans="1:102" x14ac:dyDescent="0.3">
      <c r="A3288" t="str">
        <f>HYPERLINK("https://webapp.icbf.com/v2/app/bull-search/view/77856118","LBH")</f>
        <v>LBH</v>
      </c>
      <c r="B3288" t="s">
        <v>11239</v>
      </c>
      <c r="C3288" t="s">
        <v>11240</v>
      </c>
      <c r="D3288" s="1">
        <v>33506</v>
      </c>
      <c r="E3288" t="s">
        <v>92</v>
      </c>
      <c r="F3288">
        <v>88</v>
      </c>
      <c r="G3288" t="s">
        <v>93</v>
      </c>
      <c r="H3288">
        <v>-26.25</v>
      </c>
      <c r="I3288">
        <v>79</v>
      </c>
      <c r="J3288">
        <v>-22.69</v>
      </c>
      <c r="K3288">
        <v>92</v>
      </c>
      <c r="L3288">
        <v>24.5</v>
      </c>
      <c r="M3288">
        <v>73</v>
      </c>
      <c r="N3288">
        <v>-37.880000000000003</v>
      </c>
      <c r="O3288">
        <v>64</v>
      </c>
      <c r="P3288">
        <v>-4.57</v>
      </c>
      <c r="Q3288">
        <v>78</v>
      </c>
      <c r="R3288">
        <v>-4.07</v>
      </c>
      <c r="S3288">
        <v>72</v>
      </c>
      <c r="T3288">
        <v>18.559999999999999</v>
      </c>
      <c r="U3288">
        <v>81</v>
      </c>
      <c r="V3288">
        <v>-0.1</v>
      </c>
      <c r="W3288">
        <v>60</v>
      </c>
      <c r="X3288" t="s">
        <v>94</v>
      </c>
      <c r="Y3288" t="s">
        <v>95</v>
      </c>
      <c r="Z3288" t="s">
        <v>96</v>
      </c>
      <c r="AA3288" t="s">
        <v>537</v>
      </c>
      <c r="AB3288" t="s">
        <v>11241</v>
      </c>
      <c r="AC3288">
        <v>37</v>
      </c>
      <c r="AD3288">
        <v>23</v>
      </c>
      <c r="AE3288">
        <v>92</v>
      </c>
      <c r="AF3288">
        <v>-170.86</v>
      </c>
      <c r="AG3288">
        <v>-3.49</v>
      </c>
      <c r="AH3288">
        <v>-5.24</v>
      </c>
      <c r="AI3288">
        <v>0.06</v>
      </c>
      <c r="AJ3288">
        <v>0.01</v>
      </c>
      <c r="AK3288">
        <v>73</v>
      </c>
      <c r="AL3288">
        <v>66</v>
      </c>
      <c r="AM3288">
        <v>34</v>
      </c>
      <c r="AN3288">
        <v>-1.66</v>
      </c>
      <c r="AO3288">
        <v>0.28999999999999998</v>
      </c>
      <c r="AP3288">
        <v>50</v>
      </c>
      <c r="AQ3288">
        <v>1</v>
      </c>
      <c r="AR3288">
        <v>10.26</v>
      </c>
      <c r="AS3288">
        <v>55</v>
      </c>
      <c r="AT3288">
        <v>3.95</v>
      </c>
      <c r="AU3288">
        <v>75</v>
      </c>
      <c r="AV3288">
        <v>2.68</v>
      </c>
      <c r="AW3288">
        <v>63</v>
      </c>
      <c r="AX3288">
        <v>-0.49</v>
      </c>
      <c r="AY3288">
        <v>72</v>
      </c>
      <c r="AZ3288">
        <v>6.95</v>
      </c>
      <c r="BA3288">
        <v>47</v>
      </c>
      <c r="BB3288">
        <v>5.23</v>
      </c>
      <c r="BC3288">
        <v>55</v>
      </c>
      <c r="BD3288">
        <v>0.01</v>
      </c>
      <c r="BE3288">
        <v>0.03</v>
      </c>
      <c r="BF3288">
        <v>0.02</v>
      </c>
      <c r="BG3288">
        <v>85</v>
      </c>
      <c r="BH3288">
        <v>0.04</v>
      </c>
      <c r="BI3288">
        <v>4.96</v>
      </c>
      <c r="BJ3288">
        <v>4</v>
      </c>
      <c r="BK3288">
        <v>4</v>
      </c>
      <c r="BL3288">
        <v>-0.76</v>
      </c>
      <c r="BM3288">
        <v>-0.09</v>
      </c>
      <c r="BN3288">
        <v>-1</v>
      </c>
      <c r="BO3288">
        <v>-0.99</v>
      </c>
      <c r="BP3288">
        <v>0.65</v>
      </c>
      <c r="BQ3288">
        <v>-0.35</v>
      </c>
      <c r="BR3288">
        <v>0.54</v>
      </c>
      <c r="BS3288">
        <v>-0.08</v>
      </c>
      <c r="BT3288">
        <v>-1.1599999999999999</v>
      </c>
      <c r="BU3288">
        <v>-1.72</v>
      </c>
      <c r="BV3288">
        <v>-0.46</v>
      </c>
      <c r="BW3288">
        <v>-0.61</v>
      </c>
      <c r="BX3288">
        <v>-1.83</v>
      </c>
      <c r="BY3288">
        <v>-0.78</v>
      </c>
      <c r="BZ3288">
        <v>-0.67</v>
      </c>
      <c r="CA3288">
        <v>-1.1499999999999999</v>
      </c>
      <c r="CB3288">
        <v>-1.3</v>
      </c>
      <c r="CC3288">
        <v>-1.08</v>
      </c>
      <c r="CD3288">
        <v>0.67</v>
      </c>
      <c r="CE3288">
        <v>-0.39</v>
      </c>
      <c r="CF3288">
        <v>-0.12</v>
      </c>
      <c r="CG3288">
        <v>0</v>
      </c>
      <c r="CH3288">
        <v>-1.05</v>
      </c>
      <c r="CI3288">
        <v>0</v>
      </c>
      <c r="CJ3288">
        <v>-1.9</v>
      </c>
      <c r="CK3288">
        <v>79</v>
      </c>
      <c r="CL3288">
        <v>-0.03</v>
      </c>
      <c r="CM3288">
        <v>76</v>
      </c>
      <c r="CN3288">
        <v>0.04</v>
      </c>
      <c r="CO3288">
        <v>73</v>
      </c>
      <c r="CP3288">
        <v>-7.8</v>
      </c>
      <c r="CQ3288">
        <v>85</v>
      </c>
      <c r="CR3288">
        <v>0</v>
      </c>
      <c r="CS3288">
        <v>0</v>
      </c>
      <c r="CT3288">
        <v>-11.3</v>
      </c>
      <c r="CU3288">
        <v>81</v>
      </c>
      <c r="CV3288">
        <v>-0.09</v>
      </c>
      <c r="CW3288">
        <v>41</v>
      </c>
      <c r="CX3288" t="s">
        <v>1485</v>
      </c>
    </row>
    <row r="3289" spans="1:102" x14ac:dyDescent="0.3">
      <c r="A3289" t="str">
        <f>HYPERLINK("https://webapp.icbf.com/v2/app/bull-search/view/1196709851","S3070")</f>
        <v>S3070</v>
      </c>
      <c r="B3289" t="s">
        <v>2222</v>
      </c>
      <c r="C3289" t="s">
        <v>2223</v>
      </c>
      <c r="D3289" s="1">
        <v>41250</v>
      </c>
      <c r="E3289" t="s">
        <v>92</v>
      </c>
      <c r="F3289">
        <v>100</v>
      </c>
      <c r="G3289" t="s">
        <v>109</v>
      </c>
      <c r="H3289">
        <v>-26.28</v>
      </c>
      <c r="I3289">
        <v>61</v>
      </c>
      <c r="J3289">
        <v>3.37</v>
      </c>
      <c r="K3289">
        <v>81</v>
      </c>
      <c r="L3289">
        <v>-57.29</v>
      </c>
      <c r="M3289">
        <v>75</v>
      </c>
      <c r="N3289">
        <v>25.72</v>
      </c>
      <c r="O3289">
        <v>44</v>
      </c>
      <c r="P3289">
        <v>-0.87</v>
      </c>
      <c r="Q3289">
        <v>17</v>
      </c>
      <c r="R3289">
        <v>10.66</v>
      </c>
      <c r="S3289">
        <v>54</v>
      </c>
      <c r="T3289">
        <v>-9.11</v>
      </c>
      <c r="U3289">
        <v>12</v>
      </c>
      <c r="V3289">
        <v>1.24</v>
      </c>
      <c r="W3289">
        <v>8</v>
      </c>
      <c r="X3289" t="s">
        <v>110</v>
      </c>
      <c r="Y3289" t="s">
        <v>411</v>
      </c>
      <c r="Z3289" t="s">
        <v>96</v>
      </c>
      <c r="AA3289" t="s">
        <v>2224</v>
      </c>
      <c r="AB3289" t="s">
        <v>2225</v>
      </c>
      <c r="AC3289">
        <v>0</v>
      </c>
      <c r="AD3289">
        <v>0</v>
      </c>
      <c r="AE3289">
        <v>81</v>
      </c>
      <c r="AF3289">
        <v>442.88</v>
      </c>
      <c r="AG3289">
        <v>0.43</v>
      </c>
      <c r="AH3289">
        <v>7.2</v>
      </c>
      <c r="AI3289">
        <v>-0.26</v>
      </c>
      <c r="AJ3289">
        <v>-0.12</v>
      </c>
      <c r="AK3289">
        <v>75</v>
      </c>
      <c r="AL3289">
        <v>0</v>
      </c>
      <c r="AM3289">
        <v>0</v>
      </c>
      <c r="AN3289">
        <v>3.8</v>
      </c>
      <c r="AO3289">
        <v>-0.76</v>
      </c>
      <c r="AP3289">
        <v>48</v>
      </c>
      <c r="AQ3289">
        <v>0</v>
      </c>
      <c r="AR3289">
        <v>6.89</v>
      </c>
      <c r="AS3289">
        <v>49</v>
      </c>
      <c r="AT3289">
        <v>3.08</v>
      </c>
      <c r="AU3289">
        <v>86</v>
      </c>
      <c r="AV3289">
        <v>-3.14</v>
      </c>
      <c r="AW3289">
        <v>32</v>
      </c>
      <c r="AX3289">
        <v>1.1299999999999999</v>
      </c>
      <c r="AY3289">
        <v>42</v>
      </c>
      <c r="AZ3289">
        <v>6.35</v>
      </c>
      <c r="BA3289">
        <v>16</v>
      </c>
      <c r="BB3289">
        <v>4.71</v>
      </c>
      <c r="BC3289">
        <v>9</v>
      </c>
      <c r="BD3289">
        <v>-0.03</v>
      </c>
      <c r="BE3289">
        <v>-0.05</v>
      </c>
      <c r="BF3289">
        <v>-0.1</v>
      </c>
      <c r="BG3289">
        <v>86</v>
      </c>
      <c r="BH3289">
        <v>0</v>
      </c>
      <c r="BI3289">
        <v>-3.99</v>
      </c>
      <c r="BJ3289">
        <v>0</v>
      </c>
      <c r="BK3289">
        <v>0</v>
      </c>
      <c r="BL3289">
        <v>3.01</v>
      </c>
      <c r="BM3289">
        <v>-1.34</v>
      </c>
      <c r="BN3289">
        <v>0.69</v>
      </c>
      <c r="BO3289">
        <v>1.31</v>
      </c>
      <c r="BP3289">
        <v>-0.21</v>
      </c>
      <c r="BQ3289">
        <v>1.82</v>
      </c>
      <c r="BR3289">
        <v>0.45</v>
      </c>
      <c r="BS3289">
        <v>2.67</v>
      </c>
      <c r="BT3289">
        <v>-0.28000000000000003</v>
      </c>
      <c r="BU3289">
        <v>4.84</v>
      </c>
      <c r="BV3289">
        <v>3.82</v>
      </c>
      <c r="BW3289">
        <v>3.47</v>
      </c>
      <c r="BX3289">
        <v>4.6500000000000004</v>
      </c>
      <c r="BY3289">
        <v>2.34</v>
      </c>
      <c r="BZ3289">
        <v>-0.63</v>
      </c>
      <c r="CA3289">
        <v>3.43</v>
      </c>
      <c r="CB3289">
        <v>3.4</v>
      </c>
      <c r="CC3289">
        <v>1.76</v>
      </c>
      <c r="CD3289">
        <v>-0.84</v>
      </c>
      <c r="CE3289">
        <v>0</v>
      </c>
      <c r="CF3289">
        <v>0</v>
      </c>
      <c r="CG3289">
        <v>0</v>
      </c>
      <c r="CH3289">
        <v>0</v>
      </c>
      <c r="CI3289">
        <v>0</v>
      </c>
      <c r="CJ3289">
        <v>2.8</v>
      </c>
      <c r="CK3289">
        <v>18</v>
      </c>
      <c r="CL3289">
        <v>-1.25</v>
      </c>
      <c r="CM3289">
        <v>17</v>
      </c>
      <c r="CN3289">
        <v>-0.59</v>
      </c>
      <c r="CO3289">
        <v>16</v>
      </c>
      <c r="CP3289">
        <v>8.4</v>
      </c>
      <c r="CQ3289">
        <v>14</v>
      </c>
      <c r="CR3289">
        <v>0</v>
      </c>
      <c r="CS3289">
        <v>0</v>
      </c>
      <c r="CT3289">
        <v>26.1</v>
      </c>
      <c r="CU3289">
        <v>12</v>
      </c>
      <c r="CV3289">
        <v>0.43</v>
      </c>
      <c r="CW3289">
        <v>5</v>
      </c>
      <c r="CX3289" t="s">
        <v>2220</v>
      </c>
    </row>
    <row r="3290" spans="1:102" x14ac:dyDescent="0.3">
      <c r="A3290" t="str">
        <f>HYPERLINK("https://webapp.icbf.com/v2/app/bull-search/view/660040310","S2046")</f>
        <v>S2046</v>
      </c>
      <c r="B3290" t="s">
        <v>13213</v>
      </c>
      <c r="C3290" t="s">
        <v>13214</v>
      </c>
      <c r="D3290" s="1">
        <v>39105</v>
      </c>
      <c r="E3290" t="s">
        <v>92</v>
      </c>
      <c r="F3290">
        <v>100</v>
      </c>
      <c r="G3290" t="s">
        <v>109</v>
      </c>
      <c r="H3290">
        <v>-26.29</v>
      </c>
      <c r="I3290">
        <v>68</v>
      </c>
      <c r="J3290">
        <v>35.130000000000003</v>
      </c>
      <c r="K3290">
        <v>85</v>
      </c>
      <c r="L3290">
        <v>-73.63</v>
      </c>
      <c r="M3290">
        <v>76</v>
      </c>
      <c r="N3290">
        <v>0.52</v>
      </c>
      <c r="O3290">
        <v>56</v>
      </c>
      <c r="P3290">
        <v>2.59</v>
      </c>
      <c r="Q3290">
        <v>38</v>
      </c>
      <c r="R3290">
        <v>2.42</v>
      </c>
      <c r="S3290">
        <v>61</v>
      </c>
      <c r="T3290">
        <v>-0.83</v>
      </c>
      <c r="U3290">
        <v>36</v>
      </c>
      <c r="V3290">
        <v>7.51</v>
      </c>
      <c r="W3290">
        <v>29</v>
      </c>
      <c r="X3290" t="s">
        <v>102</v>
      </c>
      <c r="Y3290" t="s">
        <v>367</v>
      </c>
      <c r="Z3290" t="s">
        <v>96</v>
      </c>
      <c r="AA3290" t="s">
        <v>350</v>
      </c>
      <c r="AB3290" t="s">
        <v>2687</v>
      </c>
      <c r="AC3290">
        <v>0</v>
      </c>
      <c r="AD3290">
        <v>0</v>
      </c>
      <c r="AE3290">
        <v>85</v>
      </c>
      <c r="AF3290">
        <v>324.83</v>
      </c>
      <c r="AG3290">
        <v>7.82</v>
      </c>
      <c r="AH3290">
        <v>8.18</v>
      </c>
      <c r="AI3290">
        <v>-0.08</v>
      </c>
      <c r="AJ3290">
        <v>-0.05</v>
      </c>
      <c r="AK3290">
        <v>76</v>
      </c>
      <c r="AL3290">
        <v>0</v>
      </c>
      <c r="AM3290">
        <v>0</v>
      </c>
      <c r="AN3290">
        <v>4.93</v>
      </c>
      <c r="AO3290">
        <v>-0.93</v>
      </c>
      <c r="AP3290">
        <v>8</v>
      </c>
      <c r="AQ3290">
        <v>0</v>
      </c>
      <c r="AR3290">
        <v>8.8699999999999992</v>
      </c>
      <c r="AS3290">
        <v>30</v>
      </c>
      <c r="AT3290">
        <v>3.92</v>
      </c>
      <c r="AU3290">
        <v>87</v>
      </c>
      <c r="AV3290">
        <v>-1.62</v>
      </c>
      <c r="AW3290">
        <v>58</v>
      </c>
      <c r="AX3290">
        <v>0.33</v>
      </c>
      <c r="AY3290">
        <v>37</v>
      </c>
      <c r="AZ3290">
        <v>6.71</v>
      </c>
      <c r="BA3290">
        <v>29</v>
      </c>
      <c r="BB3290">
        <v>4.97</v>
      </c>
      <c r="BC3290">
        <v>28</v>
      </c>
      <c r="BD3290">
        <v>-0.01</v>
      </c>
      <c r="BE3290">
        <v>-0.01</v>
      </c>
      <c r="BF3290">
        <v>-0.02</v>
      </c>
      <c r="BG3290">
        <v>88</v>
      </c>
      <c r="BH3290">
        <v>0.19</v>
      </c>
      <c r="BI3290">
        <v>-2.25</v>
      </c>
      <c r="BJ3290">
        <v>0</v>
      </c>
      <c r="BK3290">
        <v>0</v>
      </c>
      <c r="BL3290">
        <v>1.72</v>
      </c>
      <c r="BM3290">
        <v>1.47</v>
      </c>
      <c r="BN3290">
        <v>2.58</v>
      </c>
      <c r="BO3290">
        <v>1.64</v>
      </c>
      <c r="BP3290">
        <v>2.0699999999999998</v>
      </c>
      <c r="BQ3290">
        <v>1.66</v>
      </c>
      <c r="BR3290">
        <v>-0.84</v>
      </c>
      <c r="BS3290">
        <v>1.88</v>
      </c>
      <c r="BT3290">
        <v>2.61</v>
      </c>
      <c r="BU3290">
        <v>2.46</v>
      </c>
      <c r="BV3290">
        <v>1.93</v>
      </c>
      <c r="BW3290">
        <v>1.6</v>
      </c>
      <c r="BX3290">
        <v>0.91</v>
      </c>
      <c r="BY3290">
        <v>2.21</v>
      </c>
      <c r="BZ3290">
        <v>1.61</v>
      </c>
      <c r="CA3290">
        <v>1.63</v>
      </c>
      <c r="CB3290">
        <v>1.52</v>
      </c>
      <c r="CC3290">
        <v>1.47</v>
      </c>
      <c r="CD3290">
        <v>0.39</v>
      </c>
      <c r="CE3290">
        <v>0</v>
      </c>
      <c r="CF3290">
        <v>0</v>
      </c>
      <c r="CG3290">
        <v>0</v>
      </c>
      <c r="CH3290">
        <v>0</v>
      </c>
      <c r="CI3290">
        <v>0</v>
      </c>
      <c r="CJ3290">
        <v>3.4</v>
      </c>
      <c r="CK3290">
        <v>39</v>
      </c>
      <c r="CL3290">
        <v>-0.87</v>
      </c>
      <c r="CM3290">
        <v>37</v>
      </c>
      <c r="CN3290">
        <v>-0.55000000000000004</v>
      </c>
      <c r="CO3290">
        <v>34</v>
      </c>
      <c r="CP3290">
        <v>2.9</v>
      </c>
      <c r="CQ3290">
        <v>43</v>
      </c>
      <c r="CR3290">
        <v>0</v>
      </c>
      <c r="CS3290">
        <v>0</v>
      </c>
      <c r="CT3290">
        <v>14.9</v>
      </c>
      <c r="CU3290">
        <v>36</v>
      </c>
      <c r="CV3290">
        <v>0.28999999999999998</v>
      </c>
      <c r="CW3290">
        <v>10</v>
      </c>
      <c r="CX3290" t="s">
        <v>1752</v>
      </c>
    </row>
    <row r="3291" spans="1:102" x14ac:dyDescent="0.3">
      <c r="A3291" t="str">
        <f>HYPERLINK("https://webapp.icbf.com/v2/app/bull-search/view/77859139","ABC")</f>
        <v>ABC</v>
      </c>
      <c r="B3291" t="s">
        <v>8588</v>
      </c>
      <c r="C3291" t="s">
        <v>2960</v>
      </c>
      <c r="D3291" s="1">
        <v>31645</v>
      </c>
      <c r="E3291" t="s">
        <v>108</v>
      </c>
      <c r="F3291">
        <v>38</v>
      </c>
      <c r="G3291" t="s">
        <v>109</v>
      </c>
      <c r="H3291">
        <v>-26.34</v>
      </c>
      <c r="I3291">
        <v>70</v>
      </c>
      <c r="J3291">
        <v>2.4700000000000002</v>
      </c>
      <c r="K3291">
        <v>88</v>
      </c>
      <c r="L3291">
        <v>-25.39</v>
      </c>
      <c r="M3291">
        <v>70</v>
      </c>
      <c r="N3291">
        <v>-2.88</v>
      </c>
      <c r="O3291">
        <v>51</v>
      </c>
      <c r="P3291">
        <v>-13.45</v>
      </c>
      <c r="Q3291">
        <v>53</v>
      </c>
      <c r="R3291">
        <v>-3.93</v>
      </c>
      <c r="S3291">
        <v>67</v>
      </c>
      <c r="T3291">
        <v>20.12</v>
      </c>
      <c r="U3291">
        <v>52</v>
      </c>
      <c r="V3291">
        <v>-3.28</v>
      </c>
      <c r="W3291">
        <v>46</v>
      </c>
      <c r="X3291" t="s">
        <v>302</v>
      </c>
      <c r="Y3291" t="s">
        <v>95</v>
      </c>
      <c r="Z3291" t="s">
        <v>96</v>
      </c>
      <c r="AA3291" t="s">
        <v>2844</v>
      </c>
      <c r="AB3291" t="s">
        <v>8589</v>
      </c>
      <c r="AC3291">
        <v>0</v>
      </c>
      <c r="AD3291">
        <v>0</v>
      </c>
      <c r="AE3291">
        <v>88</v>
      </c>
      <c r="AF3291">
        <v>332.88</v>
      </c>
      <c r="AG3291">
        <v>9.26</v>
      </c>
      <c r="AH3291">
        <v>2.2400000000000002</v>
      </c>
      <c r="AI3291">
        <v>-0.06</v>
      </c>
      <c r="AJ3291">
        <v>-0.15</v>
      </c>
      <c r="AK3291">
        <v>70</v>
      </c>
      <c r="AL3291">
        <v>0</v>
      </c>
      <c r="AM3291">
        <v>0</v>
      </c>
      <c r="AN3291">
        <v>2.52</v>
      </c>
      <c r="AO3291">
        <v>0.51</v>
      </c>
      <c r="AP3291">
        <v>2</v>
      </c>
      <c r="AQ3291">
        <v>0</v>
      </c>
      <c r="AR3291">
        <v>7.46</v>
      </c>
      <c r="AS3291">
        <v>37</v>
      </c>
      <c r="AT3291">
        <v>2.71</v>
      </c>
      <c r="AU3291">
        <v>78</v>
      </c>
      <c r="AV3291">
        <v>0.28999999999999998</v>
      </c>
      <c r="AW3291">
        <v>46</v>
      </c>
      <c r="AX3291">
        <v>-0.32</v>
      </c>
      <c r="AY3291">
        <v>47</v>
      </c>
      <c r="AZ3291">
        <v>7.13</v>
      </c>
      <c r="BA3291">
        <v>29</v>
      </c>
      <c r="BB3291">
        <v>5.8</v>
      </c>
      <c r="BC3291">
        <v>34</v>
      </c>
      <c r="BD3291">
        <v>0.02</v>
      </c>
      <c r="BE3291">
        <v>0.03</v>
      </c>
      <c r="BF3291">
        <v>0</v>
      </c>
      <c r="BG3291">
        <v>88</v>
      </c>
      <c r="BH3291">
        <v>-0.08</v>
      </c>
      <c r="BI3291">
        <v>1.32</v>
      </c>
      <c r="BJ3291">
        <v>0</v>
      </c>
      <c r="BK3291">
        <v>0</v>
      </c>
      <c r="BL3291">
        <v>-1.46</v>
      </c>
      <c r="BM3291">
        <v>1.31</v>
      </c>
      <c r="BN3291">
        <v>-0.08</v>
      </c>
      <c r="BO3291">
        <v>-1.72</v>
      </c>
      <c r="BP3291">
        <v>-0.11</v>
      </c>
      <c r="BQ3291">
        <v>-0.27</v>
      </c>
      <c r="BR3291">
        <v>2.06</v>
      </c>
      <c r="BS3291">
        <v>-1.93</v>
      </c>
      <c r="BT3291">
        <v>-2.16</v>
      </c>
      <c r="BU3291">
        <v>-1.83</v>
      </c>
      <c r="BV3291">
        <v>-1.81</v>
      </c>
      <c r="BW3291">
        <v>-2.44</v>
      </c>
      <c r="BX3291">
        <v>-3.85</v>
      </c>
      <c r="BY3291">
        <v>-2.17</v>
      </c>
      <c r="BZ3291">
        <v>1.1399999999999999</v>
      </c>
      <c r="CA3291">
        <v>-1.84</v>
      </c>
      <c r="CB3291">
        <v>-2.21</v>
      </c>
      <c r="CC3291">
        <v>-2.36</v>
      </c>
      <c r="CD3291">
        <v>1.55</v>
      </c>
      <c r="CE3291">
        <v>-1.8</v>
      </c>
      <c r="CF3291">
        <v>-2.09</v>
      </c>
      <c r="CG3291">
        <v>0</v>
      </c>
      <c r="CH3291">
        <v>-2.4500000000000002</v>
      </c>
      <c r="CI3291">
        <v>0</v>
      </c>
      <c r="CJ3291">
        <v>-8.5</v>
      </c>
      <c r="CK3291">
        <v>55</v>
      </c>
      <c r="CL3291">
        <v>-0.22</v>
      </c>
      <c r="CM3291">
        <v>52</v>
      </c>
      <c r="CN3291">
        <v>-0.26</v>
      </c>
      <c r="CO3291">
        <v>50</v>
      </c>
      <c r="CP3291">
        <v>-16.600000000000001</v>
      </c>
      <c r="CQ3291">
        <v>51</v>
      </c>
      <c r="CR3291">
        <v>0</v>
      </c>
      <c r="CS3291">
        <v>0</v>
      </c>
      <c r="CT3291">
        <v>-13.4</v>
      </c>
      <c r="CU3291">
        <v>52</v>
      </c>
      <c r="CV3291">
        <v>-0.04</v>
      </c>
      <c r="CW3291">
        <v>36</v>
      </c>
      <c r="CX3291" t="s">
        <v>8590</v>
      </c>
    </row>
    <row r="3292" spans="1:102" x14ac:dyDescent="0.3">
      <c r="A3292" t="str">
        <f>HYPERLINK("https://webapp.icbf.com/v2/app/bull-search/view/423412543","KBF")</f>
        <v>KBF</v>
      </c>
      <c r="B3292" t="s">
        <v>4441</v>
      </c>
      <c r="C3292" t="s">
        <v>4442</v>
      </c>
      <c r="D3292" s="1">
        <v>38226</v>
      </c>
      <c r="E3292" t="s">
        <v>92</v>
      </c>
      <c r="F3292">
        <v>100</v>
      </c>
      <c r="G3292" t="s">
        <v>93</v>
      </c>
      <c r="H3292">
        <v>-26.35</v>
      </c>
      <c r="I3292">
        <v>82</v>
      </c>
      <c r="J3292">
        <v>51.51</v>
      </c>
      <c r="K3292">
        <v>96</v>
      </c>
      <c r="L3292">
        <v>-107.89</v>
      </c>
      <c r="M3292">
        <v>67</v>
      </c>
      <c r="N3292">
        <v>27.37</v>
      </c>
      <c r="O3292">
        <v>80</v>
      </c>
      <c r="P3292">
        <v>-6.59</v>
      </c>
      <c r="Q3292">
        <v>92</v>
      </c>
      <c r="R3292">
        <v>-3.25</v>
      </c>
      <c r="S3292">
        <v>74</v>
      </c>
      <c r="T3292">
        <v>13.46</v>
      </c>
      <c r="U3292">
        <v>89</v>
      </c>
      <c r="V3292">
        <v>-0.96</v>
      </c>
      <c r="W3292">
        <v>70</v>
      </c>
      <c r="X3292" t="s">
        <v>94</v>
      </c>
      <c r="Y3292" t="s">
        <v>1164</v>
      </c>
      <c r="Z3292" t="s">
        <v>96</v>
      </c>
      <c r="AA3292" t="s">
        <v>1207</v>
      </c>
      <c r="AB3292" t="s">
        <v>4443</v>
      </c>
      <c r="AC3292">
        <v>92</v>
      </c>
      <c r="AD3292">
        <v>59</v>
      </c>
      <c r="AE3292">
        <v>96</v>
      </c>
      <c r="AF3292">
        <v>230.04</v>
      </c>
      <c r="AG3292">
        <v>9.5299999999999994</v>
      </c>
      <c r="AH3292">
        <v>8.91</v>
      </c>
      <c r="AI3292">
        <v>0.01</v>
      </c>
      <c r="AJ3292">
        <v>0.02</v>
      </c>
      <c r="AK3292">
        <v>67</v>
      </c>
      <c r="AL3292">
        <v>94</v>
      </c>
      <c r="AM3292">
        <v>66</v>
      </c>
      <c r="AN3292">
        <v>5.43</v>
      </c>
      <c r="AO3292">
        <v>-3.18</v>
      </c>
      <c r="AP3292">
        <v>154</v>
      </c>
      <c r="AQ3292">
        <v>0</v>
      </c>
      <c r="AR3292">
        <v>5.26</v>
      </c>
      <c r="AS3292">
        <v>56</v>
      </c>
      <c r="AT3292">
        <v>2.56</v>
      </c>
      <c r="AU3292">
        <v>82</v>
      </c>
      <c r="AV3292">
        <v>-1.32</v>
      </c>
      <c r="AW3292">
        <v>92</v>
      </c>
      <c r="AX3292">
        <v>-0.84</v>
      </c>
      <c r="AY3292">
        <v>80</v>
      </c>
      <c r="AZ3292">
        <v>5.23</v>
      </c>
      <c r="BA3292">
        <v>59</v>
      </c>
      <c r="BB3292">
        <v>4.37</v>
      </c>
      <c r="BC3292">
        <v>59</v>
      </c>
      <c r="BD3292">
        <v>-0.02</v>
      </c>
      <c r="BE3292">
        <v>0.02</v>
      </c>
      <c r="BF3292">
        <v>7.0000000000000007E-2</v>
      </c>
      <c r="BG3292">
        <v>83</v>
      </c>
      <c r="BH3292">
        <v>0.1</v>
      </c>
      <c r="BI3292">
        <v>14.66</v>
      </c>
      <c r="BJ3292">
        <v>9</v>
      </c>
      <c r="BK3292">
        <v>8</v>
      </c>
      <c r="BL3292">
        <v>0.76</v>
      </c>
      <c r="BM3292">
        <v>-0.63</v>
      </c>
      <c r="BN3292">
        <v>-0.56000000000000005</v>
      </c>
      <c r="BO3292">
        <v>0.27</v>
      </c>
      <c r="BP3292">
        <v>1.47</v>
      </c>
      <c r="BQ3292">
        <v>-1.71</v>
      </c>
      <c r="BR3292">
        <v>-0.65</v>
      </c>
      <c r="BS3292">
        <v>0.11</v>
      </c>
      <c r="BT3292">
        <v>0.27</v>
      </c>
      <c r="BU3292">
        <v>-0.06</v>
      </c>
      <c r="BV3292">
        <v>-0.63</v>
      </c>
      <c r="BW3292">
        <v>-1.02</v>
      </c>
      <c r="BX3292">
        <v>-0.25</v>
      </c>
      <c r="BY3292">
        <v>1.04</v>
      </c>
      <c r="BZ3292">
        <v>-1.65</v>
      </c>
      <c r="CA3292">
        <v>0</v>
      </c>
      <c r="CB3292">
        <v>-0.23</v>
      </c>
      <c r="CC3292">
        <v>0.28000000000000003</v>
      </c>
      <c r="CD3292">
        <v>-0.45</v>
      </c>
      <c r="CE3292">
        <v>0.66</v>
      </c>
      <c r="CF3292">
        <v>7.0000000000000007E-2</v>
      </c>
      <c r="CG3292">
        <v>0</v>
      </c>
      <c r="CH3292">
        <v>0.4</v>
      </c>
      <c r="CI3292">
        <v>0</v>
      </c>
      <c r="CJ3292">
        <v>-4.4000000000000004</v>
      </c>
      <c r="CK3292">
        <v>93</v>
      </c>
      <c r="CL3292">
        <v>-0.85</v>
      </c>
      <c r="CM3292">
        <v>92</v>
      </c>
      <c r="CN3292">
        <v>-0.77</v>
      </c>
      <c r="CO3292">
        <v>91</v>
      </c>
      <c r="CP3292">
        <v>-5.0999999999999996</v>
      </c>
      <c r="CQ3292">
        <v>91</v>
      </c>
      <c r="CR3292">
        <v>0</v>
      </c>
      <c r="CS3292">
        <v>0</v>
      </c>
      <c r="CT3292">
        <v>-4.4000000000000004</v>
      </c>
      <c r="CU3292">
        <v>89</v>
      </c>
      <c r="CV3292">
        <v>0.16</v>
      </c>
      <c r="CW3292">
        <v>26</v>
      </c>
      <c r="CX3292" t="s">
        <v>2570</v>
      </c>
    </row>
    <row r="3293" spans="1:102" x14ac:dyDescent="0.3">
      <c r="A3293" t="str">
        <f>HYPERLINK("https://webapp.icbf.com/v2/app/bull-search/view/138814749","HOZ")</f>
        <v>HOZ</v>
      </c>
      <c r="B3293" t="s">
        <v>4730</v>
      </c>
      <c r="C3293" t="s">
        <v>2589</v>
      </c>
      <c r="D3293" s="1">
        <v>35865</v>
      </c>
      <c r="E3293" t="s">
        <v>92</v>
      </c>
      <c r="F3293">
        <v>100</v>
      </c>
      <c r="G3293" t="s">
        <v>93</v>
      </c>
      <c r="H3293">
        <v>-26.37</v>
      </c>
      <c r="I3293">
        <v>94</v>
      </c>
      <c r="J3293">
        <v>32.090000000000003</v>
      </c>
      <c r="K3293">
        <v>98</v>
      </c>
      <c r="L3293">
        <v>-69.5</v>
      </c>
      <c r="M3293">
        <v>92</v>
      </c>
      <c r="N3293">
        <v>20.32</v>
      </c>
      <c r="O3293">
        <v>91</v>
      </c>
      <c r="P3293">
        <v>-1.91</v>
      </c>
      <c r="Q3293">
        <v>94</v>
      </c>
      <c r="R3293">
        <v>-7.6</v>
      </c>
      <c r="S3293">
        <v>88</v>
      </c>
      <c r="T3293">
        <v>14.49</v>
      </c>
      <c r="U3293">
        <v>94</v>
      </c>
      <c r="V3293">
        <v>-14.26</v>
      </c>
      <c r="W3293">
        <v>86</v>
      </c>
      <c r="X3293" t="s">
        <v>94</v>
      </c>
      <c r="Y3293" t="s">
        <v>95</v>
      </c>
      <c r="Z3293" t="s">
        <v>96</v>
      </c>
      <c r="AA3293" t="s">
        <v>643</v>
      </c>
      <c r="AB3293" t="s">
        <v>4268</v>
      </c>
      <c r="AC3293">
        <v>161</v>
      </c>
      <c r="AD3293">
        <v>83</v>
      </c>
      <c r="AE3293">
        <v>98</v>
      </c>
      <c r="AF3293">
        <v>-41.82</v>
      </c>
      <c r="AG3293">
        <v>2.2799999999999998</v>
      </c>
      <c r="AH3293">
        <v>4.01</v>
      </c>
      <c r="AI3293">
        <v>7.0000000000000007E-2</v>
      </c>
      <c r="AJ3293">
        <v>0.1</v>
      </c>
      <c r="AK3293">
        <v>92</v>
      </c>
      <c r="AL3293">
        <v>174</v>
      </c>
      <c r="AM3293">
        <v>76</v>
      </c>
      <c r="AN3293">
        <v>3.99</v>
      </c>
      <c r="AO3293">
        <v>-1.55</v>
      </c>
      <c r="AP3293">
        <v>237</v>
      </c>
      <c r="AQ3293">
        <v>1</v>
      </c>
      <c r="AR3293">
        <v>6.18</v>
      </c>
      <c r="AS3293">
        <v>85</v>
      </c>
      <c r="AT3293">
        <v>2.7</v>
      </c>
      <c r="AU3293">
        <v>95</v>
      </c>
      <c r="AV3293">
        <v>-1.54</v>
      </c>
      <c r="AW3293">
        <v>95</v>
      </c>
      <c r="AX3293">
        <v>-0.24</v>
      </c>
      <c r="AY3293">
        <v>89</v>
      </c>
      <c r="AZ3293">
        <v>6.3</v>
      </c>
      <c r="BA3293">
        <v>77</v>
      </c>
      <c r="BB3293">
        <v>4.95</v>
      </c>
      <c r="BC3293">
        <v>80</v>
      </c>
      <c r="BD3293">
        <v>0.01</v>
      </c>
      <c r="BE3293">
        <v>0.02</v>
      </c>
      <c r="BF3293">
        <v>0.12</v>
      </c>
      <c r="BG3293">
        <v>94</v>
      </c>
      <c r="BH3293">
        <v>-0.26</v>
      </c>
      <c r="BI3293">
        <v>15.93</v>
      </c>
      <c r="BJ3293">
        <v>24</v>
      </c>
      <c r="BK3293">
        <v>17</v>
      </c>
      <c r="BL3293">
        <v>0.12</v>
      </c>
      <c r="BM3293">
        <v>-1.62</v>
      </c>
      <c r="BN3293">
        <v>-0.66</v>
      </c>
      <c r="BO3293">
        <v>0.63</v>
      </c>
      <c r="BP3293">
        <v>1.62</v>
      </c>
      <c r="BQ3293">
        <v>-2.1</v>
      </c>
      <c r="BR3293">
        <v>-0.03</v>
      </c>
      <c r="BS3293">
        <v>-0.32</v>
      </c>
      <c r="BT3293">
        <v>0.71</v>
      </c>
      <c r="BU3293">
        <v>0.09</v>
      </c>
      <c r="BV3293">
        <v>1.24</v>
      </c>
      <c r="BW3293">
        <v>1.1499999999999999</v>
      </c>
      <c r="BX3293">
        <v>0.13</v>
      </c>
      <c r="BY3293">
        <v>0.1</v>
      </c>
      <c r="BZ3293">
        <v>1.1599999999999999</v>
      </c>
      <c r="CA3293">
        <v>0.62</v>
      </c>
      <c r="CB3293">
        <v>0.55000000000000004</v>
      </c>
      <c r="CC3293">
        <v>0.26</v>
      </c>
      <c r="CD3293">
        <v>-1.1100000000000001</v>
      </c>
      <c r="CE3293">
        <v>0.81</v>
      </c>
      <c r="CF3293">
        <v>-0.39</v>
      </c>
      <c r="CG3293">
        <v>0</v>
      </c>
      <c r="CH3293">
        <v>0.03</v>
      </c>
      <c r="CI3293">
        <v>0</v>
      </c>
      <c r="CJ3293">
        <v>0.6</v>
      </c>
      <c r="CK3293">
        <v>95</v>
      </c>
      <c r="CL3293">
        <v>-0.51</v>
      </c>
      <c r="CM3293">
        <v>94</v>
      </c>
      <c r="CN3293">
        <v>-0.28000000000000003</v>
      </c>
      <c r="CO3293">
        <v>93</v>
      </c>
      <c r="CP3293">
        <v>-5</v>
      </c>
      <c r="CQ3293">
        <v>94</v>
      </c>
      <c r="CR3293">
        <v>0</v>
      </c>
      <c r="CS3293">
        <v>0</v>
      </c>
      <c r="CT3293">
        <v>-5.8</v>
      </c>
      <c r="CU3293">
        <v>94</v>
      </c>
      <c r="CV3293">
        <v>0.14000000000000001</v>
      </c>
      <c r="CW3293">
        <v>45</v>
      </c>
      <c r="CX3293" t="s">
        <v>105</v>
      </c>
    </row>
    <row r="3294" spans="1:102" x14ac:dyDescent="0.3">
      <c r="A3294" t="str">
        <f>HYPERLINK("https://webapp.icbf.com/v2/app/bull-search/view/69092422","PTH")</f>
        <v>PTH</v>
      </c>
      <c r="B3294" t="s">
        <v>15649</v>
      </c>
      <c r="C3294" t="s">
        <v>15650</v>
      </c>
      <c r="D3294" s="1">
        <v>33430</v>
      </c>
      <c r="E3294" t="s">
        <v>895</v>
      </c>
      <c r="F3294">
        <v>0</v>
      </c>
      <c r="G3294" t="s">
        <v>116</v>
      </c>
      <c r="H3294">
        <v>-26.43</v>
      </c>
      <c r="I3294">
        <v>41</v>
      </c>
      <c r="J3294">
        <v>4.49</v>
      </c>
      <c r="K3294">
        <v>67</v>
      </c>
      <c r="L3294">
        <v>-31.5</v>
      </c>
      <c r="M3294">
        <v>23</v>
      </c>
      <c r="N3294">
        <v>-12.16</v>
      </c>
      <c r="O3294">
        <v>25</v>
      </c>
      <c r="P3294">
        <v>7.83</v>
      </c>
      <c r="Q3294">
        <v>48</v>
      </c>
      <c r="R3294">
        <v>-8.0500000000000007</v>
      </c>
      <c r="S3294">
        <v>26</v>
      </c>
      <c r="T3294">
        <v>15.82</v>
      </c>
      <c r="U3294">
        <v>39</v>
      </c>
      <c r="V3294">
        <v>-2.86</v>
      </c>
      <c r="W3294">
        <v>22</v>
      </c>
      <c r="X3294" t="s">
        <v>94</v>
      </c>
      <c r="Y3294" t="s">
        <v>95</v>
      </c>
      <c r="Z3294">
        <v>0</v>
      </c>
      <c r="AA3294" t="s">
        <v>144</v>
      </c>
      <c r="AB3294" t="s">
        <v>144</v>
      </c>
      <c r="AC3294">
        <v>8</v>
      </c>
      <c r="AD3294">
        <v>1</v>
      </c>
      <c r="AE3294">
        <v>67</v>
      </c>
      <c r="AF3294">
        <v>-214.34</v>
      </c>
      <c r="AG3294">
        <v>-0.16</v>
      </c>
      <c r="AH3294">
        <v>-2.46</v>
      </c>
      <c r="AI3294">
        <v>0.14000000000000001</v>
      </c>
      <c r="AJ3294">
        <v>0.08</v>
      </c>
      <c r="AK3294">
        <v>23</v>
      </c>
      <c r="AL3294">
        <v>8</v>
      </c>
      <c r="AM3294">
        <v>2</v>
      </c>
      <c r="AN3294">
        <v>1.89</v>
      </c>
      <c r="AO3294">
        <v>-0.62</v>
      </c>
      <c r="AP3294">
        <v>4</v>
      </c>
      <c r="AQ3294">
        <v>3</v>
      </c>
      <c r="AR3294">
        <v>8.19</v>
      </c>
      <c r="AS3294">
        <v>10</v>
      </c>
      <c r="AT3294">
        <v>3.56</v>
      </c>
      <c r="AU3294">
        <v>18</v>
      </c>
      <c r="AV3294">
        <v>0.54</v>
      </c>
      <c r="AW3294">
        <v>34</v>
      </c>
      <c r="AX3294">
        <v>1.38</v>
      </c>
      <c r="AY3294">
        <v>36</v>
      </c>
      <c r="AZ3294">
        <v>6.59</v>
      </c>
      <c r="BA3294">
        <v>12</v>
      </c>
      <c r="BB3294">
        <v>4.71</v>
      </c>
      <c r="BC3294">
        <v>13</v>
      </c>
      <c r="BD3294">
        <v>0.03</v>
      </c>
      <c r="BE3294">
        <v>0.05</v>
      </c>
      <c r="BF3294">
        <v>0.04</v>
      </c>
      <c r="BG3294">
        <v>32</v>
      </c>
      <c r="BH3294">
        <v>-0.03</v>
      </c>
      <c r="BI3294">
        <v>5.77</v>
      </c>
      <c r="BJ3294">
        <v>0</v>
      </c>
      <c r="BK3294">
        <v>0</v>
      </c>
      <c r="BL3294">
        <v>-1.17</v>
      </c>
      <c r="BM3294">
        <v>1.31</v>
      </c>
      <c r="BN3294">
        <v>-1.4</v>
      </c>
      <c r="BO3294">
        <v>-1.81</v>
      </c>
      <c r="BP3294">
        <v>0.97</v>
      </c>
      <c r="BQ3294">
        <v>0.23</v>
      </c>
      <c r="BR3294">
        <v>-0.18</v>
      </c>
      <c r="BS3294">
        <v>-0.33</v>
      </c>
      <c r="BT3294">
        <v>0.06</v>
      </c>
      <c r="BU3294">
        <v>-2.1800000000000002</v>
      </c>
      <c r="BV3294">
        <v>-1.82</v>
      </c>
      <c r="BW3294">
        <v>-1.85</v>
      </c>
      <c r="BX3294">
        <v>-1.42</v>
      </c>
      <c r="BY3294">
        <v>-1.56</v>
      </c>
      <c r="BZ3294">
        <v>-0.13</v>
      </c>
      <c r="CA3294">
        <v>-2.1800000000000002</v>
      </c>
      <c r="CB3294">
        <v>-2.33</v>
      </c>
      <c r="CC3294">
        <v>-1.05</v>
      </c>
      <c r="CD3294">
        <v>1.93</v>
      </c>
      <c r="CE3294">
        <v>-1.95</v>
      </c>
      <c r="CF3294">
        <v>-1.27</v>
      </c>
      <c r="CG3294">
        <v>0</v>
      </c>
      <c r="CH3294">
        <v>-2.52</v>
      </c>
      <c r="CI3294">
        <v>0</v>
      </c>
      <c r="CJ3294">
        <v>0.6</v>
      </c>
      <c r="CK3294">
        <v>51</v>
      </c>
      <c r="CL3294">
        <v>0.36</v>
      </c>
      <c r="CM3294">
        <v>45</v>
      </c>
      <c r="CN3294">
        <v>-0.24</v>
      </c>
      <c r="CO3294">
        <v>38</v>
      </c>
      <c r="CP3294">
        <v>3.2</v>
      </c>
      <c r="CQ3294">
        <v>53</v>
      </c>
      <c r="CR3294">
        <v>0</v>
      </c>
      <c r="CS3294">
        <v>0</v>
      </c>
      <c r="CT3294">
        <v>-7.6</v>
      </c>
      <c r="CU3294">
        <v>39</v>
      </c>
      <c r="CV3294">
        <v>-0.24</v>
      </c>
      <c r="CW3294">
        <v>13</v>
      </c>
      <c r="CX3294">
        <v>0</v>
      </c>
    </row>
    <row r="3295" spans="1:102" x14ac:dyDescent="0.3">
      <c r="A3295" t="str">
        <f>HYPERLINK("https://webapp.icbf.com/v2/app/bull-search/view/77856763","INU")</f>
        <v>INU</v>
      </c>
      <c r="B3295" t="s">
        <v>11259</v>
      </c>
      <c r="C3295" t="s">
        <v>531</v>
      </c>
      <c r="D3295" s="1">
        <v>31682</v>
      </c>
      <c r="E3295" t="s">
        <v>92</v>
      </c>
      <c r="F3295">
        <v>100</v>
      </c>
      <c r="G3295" t="s">
        <v>93</v>
      </c>
      <c r="H3295">
        <v>-26.46</v>
      </c>
      <c r="I3295">
        <v>97</v>
      </c>
      <c r="J3295">
        <v>15.48</v>
      </c>
      <c r="K3295">
        <v>99</v>
      </c>
      <c r="L3295">
        <v>-40.06</v>
      </c>
      <c r="M3295">
        <v>95</v>
      </c>
      <c r="N3295">
        <v>-4.51</v>
      </c>
      <c r="O3295">
        <v>97</v>
      </c>
      <c r="P3295">
        <v>-5.77</v>
      </c>
      <c r="Q3295">
        <v>99</v>
      </c>
      <c r="R3295">
        <v>-6.21</v>
      </c>
      <c r="S3295">
        <v>94</v>
      </c>
      <c r="T3295">
        <v>14.2</v>
      </c>
      <c r="U3295">
        <v>99</v>
      </c>
      <c r="V3295">
        <v>0.41</v>
      </c>
      <c r="W3295">
        <v>91</v>
      </c>
      <c r="X3295" t="s">
        <v>94</v>
      </c>
      <c r="Y3295" t="s">
        <v>95</v>
      </c>
      <c r="Z3295" t="s">
        <v>96</v>
      </c>
      <c r="AA3295" t="s">
        <v>128</v>
      </c>
      <c r="AB3295" t="s">
        <v>9674</v>
      </c>
      <c r="AC3295">
        <v>1524</v>
      </c>
      <c r="AD3295">
        <v>733</v>
      </c>
      <c r="AE3295">
        <v>99</v>
      </c>
      <c r="AF3295">
        <v>184.55</v>
      </c>
      <c r="AG3295">
        <v>-4.08</v>
      </c>
      <c r="AH3295">
        <v>6.9</v>
      </c>
      <c r="AI3295">
        <v>-0.19</v>
      </c>
      <c r="AJ3295">
        <v>0.01</v>
      </c>
      <c r="AK3295">
        <v>95</v>
      </c>
      <c r="AL3295">
        <v>1990</v>
      </c>
      <c r="AM3295">
        <v>890</v>
      </c>
      <c r="AN3295">
        <v>2.56</v>
      </c>
      <c r="AO3295">
        <v>-0.63</v>
      </c>
      <c r="AP3295">
        <v>104</v>
      </c>
      <c r="AQ3295">
        <v>0</v>
      </c>
      <c r="AR3295">
        <v>10</v>
      </c>
      <c r="AS3295">
        <v>91</v>
      </c>
      <c r="AT3295">
        <v>3.59</v>
      </c>
      <c r="AU3295">
        <v>99</v>
      </c>
      <c r="AV3295">
        <v>-0.32</v>
      </c>
      <c r="AW3295">
        <v>98</v>
      </c>
      <c r="AX3295">
        <v>-0.05</v>
      </c>
      <c r="AY3295">
        <v>98</v>
      </c>
      <c r="AZ3295">
        <v>5.53</v>
      </c>
      <c r="BA3295">
        <v>90</v>
      </c>
      <c r="BB3295">
        <v>4.41</v>
      </c>
      <c r="BC3295">
        <v>95</v>
      </c>
      <c r="BD3295">
        <v>0.01</v>
      </c>
      <c r="BE3295">
        <v>0.04</v>
      </c>
      <c r="BF3295">
        <v>0.05</v>
      </c>
      <c r="BG3295">
        <v>99</v>
      </c>
      <c r="BH3295">
        <v>-0.05</v>
      </c>
      <c r="BI3295">
        <v>-7.11</v>
      </c>
      <c r="BJ3295">
        <v>94</v>
      </c>
      <c r="BK3295">
        <v>73</v>
      </c>
      <c r="BL3295">
        <v>-1.05</v>
      </c>
      <c r="BM3295">
        <v>-0.38</v>
      </c>
      <c r="BN3295">
        <v>-0.74</v>
      </c>
      <c r="BO3295">
        <v>-0.43</v>
      </c>
      <c r="BP3295">
        <v>-2.71</v>
      </c>
      <c r="BQ3295">
        <v>-0.85</v>
      </c>
      <c r="BR3295">
        <v>2.2799999999999998</v>
      </c>
      <c r="BS3295">
        <v>-1.42</v>
      </c>
      <c r="BT3295">
        <v>-3.1</v>
      </c>
      <c r="BU3295">
        <v>-0.95</v>
      </c>
      <c r="BV3295">
        <v>-0.01</v>
      </c>
      <c r="BW3295">
        <v>-0.21</v>
      </c>
      <c r="BX3295">
        <v>-1.1599999999999999</v>
      </c>
      <c r="BY3295">
        <v>-1.6</v>
      </c>
      <c r="BZ3295">
        <v>1.0900000000000001</v>
      </c>
      <c r="CA3295">
        <v>-1.25</v>
      </c>
      <c r="CB3295">
        <v>-0.84</v>
      </c>
      <c r="CC3295">
        <v>-1.68</v>
      </c>
      <c r="CD3295">
        <v>-0.44</v>
      </c>
      <c r="CE3295">
        <v>-0.34</v>
      </c>
      <c r="CF3295">
        <v>-1.82</v>
      </c>
      <c r="CG3295">
        <v>0</v>
      </c>
      <c r="CH3295">
        <v>-1.68</v>
      </c>
      <c r="CI3295">
        <v>0</v>
      </c>
      <c r="CJ3295">
        <v>-0.6</v>
      </c>
      <c r="CK3295">
        <v>99</v>
      </c>
      <c r="CL3295">
        <v>-0.39</v>
      </c>
      <c r="CM3295">
        <v>98</v>
      </c>
      <c r="CN3295">
        <v>-0.06</v>
      </c>
      <c r="CO3295">
        <v>98</v>
      </c>
      <c r="CP3295">
        <v>-10.8</v>
      </c>
      <c r="CQ3295">
        <v>99</v>
      </c>
      <c r="CR3295">
        <v>0</v>
      </c>
      <c r="CS3295">
        <v>0</v>
      </c>
      <c r="CT3295">
        <v>-5.4</v>
      </c>
      <c r="CU3295">
        <v>99</v>
      </c>
      <c r="CV3295">
        <v>0.09</v>
      </c>
      <c r="CW3295">
        <v>47</v>
      </c>
      <c r="CX3295" t="s">
        <v>120</v>
      </c>
    </row>
    <row r="3296" spans="1:102" x14ac:dyDescent="0.3">
      <c r="A3296" t="str">
        <f>HYPERLINK("https://webapp.icbf.com/v2/app/bull-search/view/423417585","TMO")</f>
        <v>TMO</v>
      </c>
      <c r="B3296" t="s">
        <v>12003</v>
      </c>
      <c r="C3296" t="s">
        <v>12004</v>
      </c>
      <c r="D3296" s="1">
        <v>38170</v>
      </c>
      <c r="E3296" t="s">
        <v>92</v>
      </c>
      <c r="F3296">
        <v>100</v>
      </c>
      <c r="G3296" t="s">
        <v>93</v>
      </c>
      <c r="H3296">
        <v>-26.46</v>
      </c>
      <c r="I3296">
        <v>87</v>
      </c>
      <c r="J3296">
        <v>41.18</v>
      </c>
      <c r="K3296">
        <v>96</v>
      </c>
      <c r="L3296">
        <v>-75.650000000000006</v>
      </c>
      <c r="M3296">
        <v>84</v>
      </c>
      <c r="N3296">
        <v>18.55</v>
      </c>
      <c r="O3296">
        <v>83</v>
      </c>
      <c r="P3296">
        <v>-10.47</v>
      </c>
      <c r="Q3296">
        <v>88</v>
      </c>
      <c r="R3296">
        <v>-5.96</v>
      </c>
      <c r="S3296">
        <v>81</v>
      </c>
      <c r="T3296">
        <v>6.35</v>
      </c>
      <c r="U3296">
        <v>77</v>
      </c>
      <c r="V3296">
        <v>-0.46</v>
      </c>
      <c r="W3296">
        <v>78</v>
      </c>
      <c r="X3296" t="s">
        <v>94</v>
      </c>
      <c r="Y3296" t="s">
        <v>2643</v>
      </c>
      <c r="Z3296" t="s">
        <v>96</v>
      </c>
      <c r="AA3296" t="s">
        <v>316</v>
      </c>
      <c r="AB3296" t="s">
        <v>1733</v>
      </c>
      <c r="AC3296">
        <v>51</v>
      </c>
      <c r="AD3296">
        <v>39</v>
      </c>
      <c r="AE3296">
        <v>96</v>
      </c>
      <c r="AF3296">
        <v>217.48</v>
      </c>
      <c r="AG3296">
        <v>6.34</v>
      </c>
      <c r="AH3296">
        <v>8.09</v>
      </c>
      <c r="AI3296">
        <v>-0.04</v>
      </c>
      <c r="AJ3296">
        <v>0.01</v>
      </c>
      <c r="AK3296">
        <v>84</v>
      </c>
      <c r="AL3296">
        <v>47</v>
      </c>
      <c r="AM3296">
        <v>38</v>
      </c>
      <c r="AN3296">
        <v>2.79</v>
      </c>
      <c r="AO3296">
        <v>-3.26</v>
      </c>
      <c r="AP3296">
        <v>121</v>
      </c>
      <c r="AQ3296">
        <v>2</v>
      </c>
      <c r="AR3296">
        <v>7.08</v>
      </c>
      <c r="AS3296">
        <v>73</v>
      </c>
      <c r="AT3296">
        <v>2.63</v>
      </c>
      <c r="AU3296">
        <v>86</v>
      </c>
      <c r="AV3296">
        <v>-2.35</v>
      </c>
      <c r="AW3296">
        <v>92</v>
      </c>
      <c r="AX3296">
        <v>-0.24</v>
      </c>
      <c r="AY3296">
        <v>75</v>
      </c>
      <c r="AZ3296">
        <v>7.55</v>
      </c>
      <c r="BA3296">
        <v>64</v>
      </c>
      <c r="BB3296">
        <v>5.83</v>
      </c>
      <c r="BC3296">
        <v>66</v>
      </c>
      <c r="BD3296">
        <v>0.03</v>
      </c>
      <c r="BE3296">
        <v>0.03</v>
      </c>
      <c r="BF3296">
        <v>0.03</v>
      </c>
      <c r="BG3296">
        <v>88</v>
      </c>
      <c r="BH3296">
        <v>-0.04</v>
      </c>
      <c r="BI3296">
        <v>-3.14</v>
      </c>
      <c r="BJ3296">
        <v>22</v>
      </c>
      <c r="BK3296">
        <v>19</v>
      </c>
      <c r="BL3296">
        <v>0.91</v>
      </c>
      <c r="BM3296">
        <v>1.5</v>
      </c>
      <c r="BN3296">
        <v>1.05</v>
      </c>
      <c r="BO3296">
        <v>-0.12</v>
      </c>
      <c r="BP3296">
        <v>0.14000000000000001</v>
      </c>
      <c r="BQ3296">
        <v>1.34</v>
      </c>
      <c r="BR3296">
        <v>-1.94</v>
      </c>
      <c r="BS3296">
        <v>-0.01</v>
      </c>
      <c r="BT3296">
        <v>1.65</v>
      </c>
      <c r="BU3296">
        <v>0.49</v>
      </c>
      <c r="BV3296">
        <v>-0.04</v>
      </c>
      <c r="BW3296">
        <v>-0.41</v>
      </c>
      <c r="BX3296">
        <v>0.54</v>
      </c>
      <c r="BY3296">
        <v>1.05</v>
      </c>
      <c r="BZ3296">
        <v>0.09</v>
      </c>
      <c r="CA3296">
        <v>0.68</v>
      </c>
      <c r="CB3296">
        <v>0.32</v>
      </c>
      <c r="CC3296">
        <v>1.22</v>
      </c>
      <c r="CD3296">
        <v>1.29</v>
      </c>
      <c r="CE3296">
        <v>0.23</v>
      </c>
      <c r="CF3296">
        <v>1.22</v>
      </c>
      <c r="CG3296">
        <v>0</v>
      </c>
      <c r="CH3296">
        <v>0.56000000000000005</v>
      </c>
      <c r="CI3296">
        <v>0</v>
      </c>
      <c r="CJ3296">
        <v>0</v>
      </c>
      <c r="CK3296">
        <v>90</v>
      </c>
      <c r="CL3296">
        <v>-0.86</v>
      </c>
      <c r="CM3296">
        <v>88</v>
      </c>
      <c r="CN3296">
        <v>0.14000000000000001</v>
      </c>
      <c r="CO3296">
        <v>86</v>
      </c>
      <c r="CP3296">
        <v>0.3</v>
      </c>
      <c r="CQ3296">
        <v>83</v>
      </c>
      <c r="CR3296">
        <v>0</v>
      </c>
      <c r="CS3296">
        <v>0</v>
      </c>
      <c r="CT3296">
        <v>5.2</v>
      </c>
      <c r="CU3296">
        <v>77</v>
      </c>
      <c r="CV3296">
        <v>0.28000000000000003</v>
      </c>
      <c r="CW3296">
        <v>46</v>
      </c>
      <c r="CX3296" t="s">
        <v>834</v>
      </c>
    </row>
    <row r="3297" spans="1:102" x14ac:dyDescent="0.3">
      <c r="A3297" t="str">
        <f>HYPERLINK("https://webapp.icbf.com/v2/app/bull-search/view/77859343","APT")</f>
        <v>APT</v>
      </c>
      <c r="B3297" t="s">
        <v>10933</v>
      </c>
      <c r="C3297" t="s">
        <v>10934</v>
      </c>
      <c r="D3297" s="1">
        <v>32507</v>
      </c>
      <c r="E3297" t="s">
        <v>92</v>
      </c>
      <c r="F3297">
        <v>100</v>
      </c>
      <c r="G3297" t="s">
        <v>116</v>
      </c>
      <c r="H3297">
        <v>-26.5</v>
      </c>
      <c r="I3297">
        <v>55</v>
      </c>
      <c r="J3297">
        <v>-30.02</v>
      </c>
      <c r="K3297">
        <v>61</v>
      </c>
      <c r="L3297">
        <v>3.42</v>
      </c>
      <c r="M3297">
        <v>56</v>
      </c>
      <c r="N3297">
        <v>-3.9</v>
      </c>
      <c r="O3297">
        <v>36</v>
      </c>
      <c r="P3297">
        <v>-8.2899999999999991</v>
      </c>
      <c r="Q3297">
        <v>72</v>
      </c>
      <c r="R3297">
        <v>-4.07</v>
      </c>
      <c r="S3297">
        <v>57</v>
      </c>
      <c r="T3297">
        <v>16.559999999999999</v>
      </c>
      <c r="U3297">
        <v>54</v>
      </c>
      <c r="V3297">
        <v>-0.2</v>
      </c>
      <c r="W3297">
        <v>20</v>
      </c>
      <c r="X3297" t="s">
        <v>94</v>
      </c>
      <c r="Y3297" t="s">
        <v>95</v>
      </c>
      <c r="Z3297" t="s">
        <v>96</v>
      </c>
      <c r="AA3297" t="s">
        <v>3941</v>
      </c>
      <c r="AB3297" t="s">
        <v>10935</v>
      </c>
      <c r="AC3297">
        <v>9</v>
      </c>
      <c r="AD3297">
        <v>9</v>
      </c>
      <c r="AE3297">
        <v>61</v>
      </c>
      <c r="AF3297">
        <v>-391.17</v>
      </c>
      <c r="AG3297">
        <v>-2.75</v>
      </c>
      <c r="AH3297">
        <v>-10.119999999999999</v>
      </c>
      <c r="AI3297">
        <v>0.22</v>
      </c>
      <c r="AJ3297">
        <v>0.06</v>
      </c>
      <c r="AK3297">
        <v>56</v>
      </c>
      <c r="AL3297">
        <v>73</v>
      </c>
      <c r="AM3297">
        <v>52</v>
      </c>
      <c r="AN3297">
        <v>-0.4</v>
      </c>
      <c r="AO3297">
        <v>-0.13</v>
      </c>
      <c r="AP3297">
        <v>1</v>
      </c>
      <c r="AQ3297">
        <v>0</v>
      </c>
      <c r="AR3297">
        <v>8.19</v>
      </c>
      <c r="AS3297">
        <v>17</v>
      </c>
      <c r="AT3297">
        <v>3.54</v>
      </c>
      <c r="AU3297">
        <v>34</v>
      </c>
      <c r="AV3297">
        <v>-0.68</v>
      </c>
      <c r="AW3297">
        <v>41</v>
      </c>
      <c r="AX3297">
        <v>0.18</v>
      </c>
      <c r="AY3297">
        <v>49</v>
      </c>
      <c r="AZ3297">
        <v>6.89</v>
      </c>
      <c r="BA3297">
        <v>18</v>
      </c>
      <c r="BB3297">
        <v>5.52</v>
      </c>
      <c r="BC3297">
        <v>27</v>
      </c>
      <c r="BD3297">
        <v>-0.02</v>
      </c>
      <c r="BE3297">
        <v>0.03</v>
      </c>
      <c r="BF3297">
        <v>7.0000000000000007E-2</v>
      </c>
      <c r="BG3297">
        <v>80</v>
      </c>
      <c r="BH3297">
        <v>0.08</v>
      </c>
      <c r="BI3297">
        <v>9.91</v>
      </c>
      <c r="BJ3297">
        <v>9</v>
      </c>
      <c r="BK3297">
        <v>7</v>
      </c>
      <c r="BL3297">
        <v>-0.46</v>
      </c>
      <c r="BM3297">
        <v>0.96</v>
      </c>
      <c r="BN3297">
        <v>0.14000000000000001</v>
      </c>
      <c r="BO3297">
        <v>-0.51</v>
      </c>
      <c r="BP3297">
        <v>0.43</v>
      </c>
      <c r="BQ3297">
        <v>0.53</v>
      </c>
      <c r="BR3297">
        <v>0.52</v>
      </c>
      <c r="BS3297">
        <v>-0.05</v>
      </c>
      <c r="BT3297">
        <v>0.4</v>
      </c>
      <c r="BU3297">
        <v>-0.26</v>
      </c>
      <c r="BV3297">
        <v>-0.33</v>
      </c>
      <c r="BW3297">
        <v>-0.22</v>
      </c>
      <c r="BX3297">
        <v>0.4</v>
      </c>
      <c r="BY3297">
        <v>0.52</v>
      </c>
      <c r="BZ3297">
        <v>-1.37</v>
      </c>
      <c r="CA3297">
        <v>-0.12</v>
      </c>
      <c r="CB3297">
        <v>0.03</v>
      </c>
      <c r="CC3297">
        <v>-0.31</v>
      </c>
      <c r="CD3297">
        <v>0.45</v>
      </c>
      <c r="CE3297">
        <v>-0.49</v>
      </c>
      <c r="CF3297">
        <v>-0.52</v>
      </c>
      <c r="CG3297">
        <v>0</v>
      </c>
      <c r="CH3297">
        <v>-0.56999999999999995</v>
      </c>
      <c r="CI3297">
        <v>0</v>
      </c>
      <c r="CJ3297">
        <v>-3.3</v>
      </c>
      <c r="CK3297">
        <v>75</v>
      </c>
      <c r="CL3297">
        <v>-0.65</v>
      </c>
      <c r="CM3297">
        <v>71</v>
      </c>
      <c r="CN3297">
        <v>-0.32</v>
      </c>
      <c r="CO3297">
        <v>69</v>
      </c>
      <c r="CP3297">
        <v>-5.2</v>
      </c>
      <c r="CQ3297">
        <v>58</v>
      </c>
      <c r="CR3297">
        <v>0</v>
      </c>
      <c r="CS3297">
        <v>0</v>
      </c>
      <c r="CT3297">
        <v>-8.6</v>
      </c>
      <c r="CU3297">
        <v>54</v>
      </c>
      <c r="CV3297">
        <v>0.16</v>
      </c>
      <c r="CW3297">
        <v>20</v>
      </c>
      <c r="CX3297" t="s">
        <v>2792</v>
      </c>
    </row>
    <row r="3298" spans="1:102" x14ac:dyDescent="0.3">
      <c r="A3298" t="str">
        <f>HYPERLINK("https://webapp.icbf.com/v2/app/bull-search/view/365207436","LXO")</f>
        <v>LXO</v>
      </c>
      <c r="B3298" t="s">
        <v>11277</v>
      </c>
      <c r="C3298" t="s">
        <v>11278</v>
      </c>
      <c r="D3298" s="1">
        <v>38155</v>
      </c>
      <c r="E3298" t="s">
        <v>92</v>
      </c>
      <c r="F3298">
        <v>100</v>
      </c>
      <c r="G3298" t="s">
        <v>93</v>
      </c>
      <c r="H3298">
        <v>-26.52</v>
      </c>
      <c r="I3298">
        <v>87</v>
      </c>
      <c r="J3298">
        <v>64.75</v>
      </c>
      <c r="K3298">
        <v>96</v>
      </c>
      <c r="L3298">
        <v>-91.17</v>
      </c>
      <c r="M3298">
        <v>81</v>
      </c>
      <c r="N3298">
        <v>15.03</v>
      </c>
      <c r="O3298">
        <v>84</v>
      </c>
      <c r="P3298">
        <v>-8.84</v>
      </c>
      <c r="Q3298">
        <v>90</v>
      </c>
      <c r="R3298">
        <v>-17.63</v>
      </c>
      <c r="S3298">
        <v>82</v>
      </c>
      <c r="T3298">
        <v>5.24</v>
      </c>
      <c r="U3298">
        <v>80</v>
      </c>
      <c r="V3298">
        <v>6.1</v>
      </c>
      <c r="W3298">
        <v>77</v>
      </c>
      <c r="X3298" t="s">
        <v>94</v>
      </c>
      <c r="Y3298" t="s">
        <v>1153</v>
      </c>
      <c r="Z3298" t="s">
        <v>96</v>
      </c>
      <c r="AA3298" t="s">
        <v>283</v>
      </c>
      <c r="AB3298" t="s">
        <v>4287</v>
      </c>
      <c r="AC3298">
        <v>61</v>
      </c>
      <c r="AD3298">
        <v>47</v>
      </c>
      <c r="AE3298">
        <v>96</v>
      </c>
      <c r="AF3298">
        <v>305.67</v>
      </c>
      <c r="AG3298">
        <v>11.28</v>
      </c>
      <c r="AH3298">
        <v>11.7</v>
      </c>
      <c r="AI3298">
        <v>-0.01</v>
      </c>
      <c r="AJ3298">
        <v>0.02</v>
      </c>
      <c r="AK3298">
        <v>81</v>
      </c>
      <c r="AL3298">
        <v>60</v>
      </c>
      <c r="AM3298">
        <v>45</v>
      </c>
      <c r="AN3298">
        <v>4.25</v>
      </c>
      <c r="AO3298">
        <v>-3.03</v>
      </c>
      <c r="AP3298">
        <v>140</v>
      </c>
      <c r="AQ3298">
        <v>0</v>
      </c>
      <c r="AR3298">
        <v>6.76</v>
      </c>
      <c r="AS3298">
        <v>72</v>
      </c>
      <c r="AT3298">
        <v>3.45</v>
      </c>
      <c r="AU3298">
        <v>87</v>
      </c>
      <c r="AV3298">
        <v>-1.81</v>
      </c>
      <c r="AW3298">
        <v>93</v>
      </c>
      <c r="AX3298">
        <v>0.98</v>
      </c>
      <c r="AY3298">
        <v>76</v>
      </c>
      <c r="AZ3298">
        <v>5.17</v>
      </c>
      <c r="BA3298">
        <v>66</v>
      </c>
      <c r="BB3298">
        <v>4.57</v>
      </c>
      <c r="BC3298">
        <v>67</v>
      </c>
      <c r="BD3298">
        <v>0.02</v>
      </c>
      <c r="BE3298">
        <v>0.08</v>
      </c>
      <c r="BF3298">
        <v>0.22</v>
      </c>
      <c r="BG3298">
        <v>89</v>
      </c>
      <c r="BH3298">
        <v>0.14000000000000001</v>
      </c>
      <c r="BI3298">
        <v>-3.47</v>
      </c>
      <c r="BJ3298">
        <v>19</v>
      </c>
      <c r="BK3298">
        <v>15</v>
      </c>
      <c r="BL3298">
        <v>0.56000000000000005</v>
      </c>
      <c r="BM3298">
        <v>-0.09</v>
      </c>
      <c r="BN3298">
        <v>0.41</v>
      </c>
      <c r="BO3298">
        <v>0.68</v>
      </c>
      <c r="BP3298">
        <v>0.75</v>
      </c>
      <c r="BQ3298">
        <v>-0.41</v>
      </c>
      <c r="BR3298">
        <v>1.08</v>
      </c>
      <c r="BS3298">
        <v>-1.53</v>
      </c>
      <c r="BT3298">
        <v>-1.1599999999999999</v>
      </c>
      <c r="BU3298">
        <v>-0.35</v>
      </c>
      <c r="BV3298">
        <v>0.97</v>
      </c>
      <c r="BW3298">
        <v>0.99</v>
      </c>
      <c r="BX3298">
        <v>-0.54</v>
      </c>
      <c r="BY3298">
        <v>-0.67</v>
      </c>
      <c r="BZ3298">
        <v>0.86</v>
      </c>
      <c r="CA3298">
        <v>-0.19</v>
      </c>
      <c r="CB3298">
        <v>0.52</v>
      </c>
      <c r="CC3298">
        <v>-1.35</v>
      </c>
      <c r="CD3298">
        <v>-0.73</v>
      </c>
      <c r="CE3298">
        <v>0.84</v>
      </c>
      <c r="CF3298">
        <v>1.08</v>
      </c>
      <c r="CG3298">
        <v>0</v>
      </c>
      <c r="CH3298">
        <v>-0.48</v>
      </c>
      <c r="CI3298">
        <v>0</v>
      </c>
      <c r="CJ3298">
        <v>-0.9</v>
      </c>
      <c r="CK3298">
        <v>91</v>
      </c>
      <c r="CL3298">
        <v>-1.07</v>
      </c>
      <c r="CM3298">
        <v>89</v>
      </c>
      <c r="CN3298">
        <v>-0.28000000000000003</v>
      </c>
      <c r="CO3298">
        <v>88</v>
      </c>
      <c r="CP3298">
        <v>1.1000000000000001</v>
      </c>
      <c r="CQ3298">
        <v>87</v>
      </c>
      <c r="CR3298">
        <v>0</v>
      </c>
      <c r="CS3298">
        <v>0</v>
      </c>
      <c r="CT3298">
        <v>6.7</v>
      </c>
      <c r="CU3298">
        <v>80</v>
      </c>
      <c r="CV3298">
        <v>0.24</v>
      </c>
      <c r="CW3298">
        <v>44</v>
      </c>
      <c r="CX3298" t="s">
        <v>1278</v>
      </c>
    </row>
    <row r="3299" spans="1:102" x14ac:dyDescent="0.3">
      <c r="A3299" t="str">
        <f>HYPERLINK("https://webapp.icbf.com/v2/app/bull-search/view/77859064","COI")</f>
        <v>COI</v>
      </c>
      <c r="B3299" t="s">
        <v>3430</v>
      </c>
      <c r="C3299" t="s">
        <v>3431</v>
      </c>
      <c r="D3299" s="1">
        <v>32781</v>
      </c>
      <c r="E3299" t="s">
        <v>92</v>
      </c>
      <c r="F3299">
        <v>100</v>
      </c>
      <c r="G3299" t="s">
        <v>93</v>
      </c>
      <c r="H3299">
        <v>-26.55</v>
      </c>
      <c r="I3299">
        <v>88</v>
      </c>
      <c r="J3299">
        <v>-30.52</v>
      </c>
      <c r="K3299">
        <v>98</v>
      </c>
      <c r="L3299">
        <v>24.3</v>
      </c>
      <c r="M3299">
        <v>83</v>
      </c>
      <c r="N3299">
        <v>-22.55</v>
      </c>
      <c r="O3299">
        <v>82</v>
      </c>
      <c r="P3299">
        <v>-5.44</v>
      </c>
      <c r="Q3299">
        <v>92</v>
      </c>
      <c r="R3299">
        <v>-6.65</v>
      </c>
      <c r="S3299">
        <v>80</v>
      </c>
      <c r="T3299">
        <v>18.71</v>
      </c>
      <c r="U3299">
        <v>91</v>
      </c>
      <c r="V3299">
        <v>-4.4000000000000004</v>
      </c>
      <c r="W3299">
        <v>56</v>
      </c>
      <c r="X3299" t="s">
        <v>251</v>
      </c>
      <c r="Y3299" t="s">
        <v>95</v>
      </c>
      <c r="Z3299" t="s">
        <v>96</v>
      </c>
      <c r="AA3299" t="s">
        <v>113</v>
      </c>
      <c r="AB3299" t="s">
        <v>3432</v>
      </c>
      <c r="AC3299">
        <v>235</v>
      </c>
      <c r="AD3299">
        <v>146</v>
      </c>
      <c r="AE3299">
        <v>98</v>
      </c>
      <c r="AF3299">
        <v>-48.94</v>
      </c>
      <c r="AG3299">
        <v>-2.4</v>
      </c>
      <c r="AH3299">
        <v>-5.09</v>
      </c>
      <c r="AI3299">
        <v>-0.01</v>
      </c>
      <c r="AJ3299">
        <v>-0.06</v>
      </c>
      <c r="AK3299">
        <v>83</v>
      </c>
      <c r="AL3299">
        <v>428</v>
      </c>
      <c r="AM3299">
        <v>200</v>
      </c>
      <c r="AN3299">
        <v>-1.1599999999999999</v>
      </c>
      <c r="AO3299">
        <v>0.78</v>
      </c>
      <c r="AP3299">
        <v>54</v>
      </c>
      <c r="AQ3299">
        <v>2</v>
      </c>
      <c r="AR3299">
        <v>9.32</v>
      </c>
      <c r="AS3299">
        <v>61</v>
      </c>
      <c r="AT3299">
        <v>4.57</v>
      </c>
      <c r="AU3299">
        <v>81</v>
      </c>
      <c r="AV3299">
        <v>0.39</v>
      </c>
      <c r="AW3299">
        <v>87</v>
      </c>
      <c r="AX3299">
        <v>-0.33</v>
      </c>
      <c r="AY3299">
        <v>92</v>
      </c>
      <c r="AZ3299">
        <v>5.84</v>
      </c>
      <c r="BA3299">
        <v>61</v>
      </c>
      <c r="BB3299">
        <v>5.31</v>
      </c>
      <c r="BC3299">
        <v>76</v>
      </c>
      <c r="BD3299">
        <v>0.03</v>
      </c>
      <c r="BE3299">
        <v>7.0000000000000007E-2</v>
      </c>
      <c r="BF3299">
        <v>-0.03</v>
      </c>
      <c r="BG3299">
        <v>96</v>
      </c>
      <c r="BH3299">
        <v>-0.1</v>
      </c>
      <c r="BI3299">
        <v>2.62</v>
      </c>
      <c r="BJ3299">
        <v>85</v>
      </c>
      <c r="BK3299">
        <v>44</v>
      </c>
      <c r="BL3299">
        <v>-0.61</v>
      </c>
      <c r="BM3299">
        <v>0.24</v>
      </c>
      <c r="BN3299">
        <v>-1.1000000000000001</v>
      </c>
      <c r="BO3299">
        <v>-1.04</v>
      </c>
      <c r="BP3299">
        <v>2.8</v>
      </c>
      <c r="BQ3299">
        <v>-1.08</v>
      </c>
      <c r="BR3299">
        <v>0.4</v>
      </c>
      <c r="BS3299">
        <v>0.46</v>
      </c>
      <c r="BT3299">
        <v>0.88</v>
      </c>
      <c r="BU3299">
        <v>0.28000000000000003</v>
      </c>
      <c r="BV3299">
        <v>-0.37</v>
      </c>
      <c r="BW3299">
        <v>-0.52</v>
      </c>
      <c r="BX3299">
        <v>0.8</v>
      </c>
      <c r="BY3299">
        <v>-0.88</v>
      </c>
      <c r="BZ3299">
        <v>-0.57999999999999996</v>
      </c>
      <c r="CA3299">
        <v>-0.28000000000000003</v>
      </c>
      <c r="CB3299">
        <v>-0.56000000000000005</v>
      </c>
      <c r="CC3299">
        <v>0.27</v>
      </c>
      <c r="CD3299">
        <v>0.85</v>
      </c>
      <c r="CE3299">
        <v>-0.98</v>
      </c>
      <c r="CF3299">
        <v>-0.88</v>
      </c>
      <c r="CG3299">
        <v>0</v>
      </c>
      <c r="CH3299">
        <v>-0.99</v>
      </c>
      <c r="CI3299">
        <v>0</v>
      </c>
      <c r="CJ3299">
        <v>-3.6</v>
      </c>
      <c r="CK3299">
        <v>92</v>
      </c>
      <c r="CL3299">
        <v>-0.36</v>
      </c>
      <c r="CM3299">
        <v>91</v>
      </c>
      <c r="CN3299">
        <v>-0.28999999999999998</v>
      </c>
      <c r="CO3299">
        <v>90</v>
      </c>
      <c r="CP3299">
        <v>-1</v>
      </c>
      <c r="CQ3299">
        <v>94</v>
      </c>
      <c r="CR3299">
        <v>0</v>
      </c>
      <c r="CS3299">
        <v>0</v>
      </c>
      <c r="CT3299">
        <v>-11.5</v>
      </c>
      <c r="CU3299">
        <v>91</v>
      </c>
      <c r="CV3299">
        <v>0</v>
      </c>
      <c r="CW3299">
        <v>27</v>
      </c>
      <c r="CX3299" t="s">
        <v>3433</v>
      </c>
    </row>
    <row r="3300" spans="1:102" x14ac:dyDescent="0.3">
      <c r="A3300" t="str">
        <f>HYPERLINK("https://webapp.icbf.com/v2/app/bull-search/view/77852641","WNS")</f>
        <v>WNS</v>
      </c>
      <c r="B3300" t="s">
        <v>6603</v>
      </c>
      <c r="C3300" t="s">
        <v>6604</v>
      </c>
      <c r="D3300" s="1">
        <v>34553</v>
      </c>
      <c r="E3300" t="s">
        <v>92</v>
      </c>
      <c r="F3300">
        <v>100</v>
      </c>
      <c r="G3300" t="s">
        <v>93</v>
      </c>
      <c r="H3300">
        <v>-26.71</v>
      </c>
      <c r="I3300">
        <v>71</v>
      </c>
      <c r="J3300">
        <v>-29.84</v>
      </c>
      <c r="K3300">
        <v>91</v>
      </c>
      <c r="L3300">
        <v>3.17</v>
      </c>
      <c r="M3300">
        <v>59</v>
      </c>
      <c r="N3300">
        <v>-4.8499999999999996</v>
      </c>
      <c r="O3300">
        <v>57</v>
      </c>
      <c r="P3300">
        <v>10.08</v>
      </c>
      <c r="Q3300">
        <v>76</v>
      </c>
      <c r="R3300">
        <v>-9.9499999999999993</v>
      </c>
      <c r="S3300">
        <v>64</v>
      </c>
      <c r="T3300">
        <v>1.99</v>
      </c>
      <c r="U3300">
        <v>68</v>
      </c>
      <c r="V3300">
        <v>2.69</v>
      </c>
      <c r="W3300">
        <v>36</v>
      </c>
      <c r="X3300" t="s">
        <v>94</v>
      </c>
      <c r="Y3300" t="s">
        <v>95</v>
      </c>
      <c r="Z3300" t="s">
        <v>96</v>
      </c>
      <c r="AA3300" t="s">
        <v>207</v>
      </c>
      <c r="AB3300" t="s">
        <v>6605</v>
      </c>
      <c r="AC3300">
        <v>51</v>
      </c>
      <c r="AD3300">
        <v>46</v>
      </c>
      <c r="AE3300">
        <v>91</v>
      </c>
      <c r="AF3300">
        <v>-89.47</v>
      </c>
      <c r="AG3300">
        <v>-8.58</v>
      </c>
      <c r="AH3300">
        <v>-3.41</v>
      </c>
      <c r="AI3300">
        <v>-0.09</v>
      </c>
      <c r="AJ3300">
        <v>-0.01</v>
      </c>
      <c r="AK3300">
        <v>59</v>
      </c>
      <c r="AL3300">
        <v>50</v>
      </c>
      <c r="AM3300">
        <v>41</v>
      </c>
      <c r="AN3300">
        <v>-0.37</v>
      </c>
      <c r="AO3300">
        <v>-0.12</v>
      </c>
      <c r="AP3300">
        <v>2</v>
      </c>
      <c r="AQ3300">
        <v>0</v>
      </c>
      <c r="AR3300">
        <v>9.1300000000000008</v>
      </c>
      <c r="AS3300">
        <v>33</v>
      </c>
      <c r="AT3300">
        <v>4.05</v>
      </c>
      <c r="AU3300">
        <v>55</v>
      </c>
      <c r="AV3300">
        <v>-0.72</v>
      </c>
      <c r="AW3300">
        <v>64</v>
      </c>
      <c r="AX3300">
        <v>-0.15</v>
      </c>
      <c r="AY3300">
        <v>68</v>
      </c>
      <c r="AZ3300">
        <v>6.43</v>
      </c>
      <c r="BA3300">
        <v>34</v>
      </c>
      <c r="BB3300">
        <v>4.5</v>
      </c>
      <c r="BC3300">
        <v>51</v>
      </c>
      <c r="BD3300">
        <v>0.01</v>
      </c>
      <c r="BE3300">
        <v>0.08</v>
      </c>
      <c r="BF3300">
        <v>0.06</v>
      </c>
      <c r="BG3300">
        <v>78</v>
      </c>
      <c r="BH3300">
        <v>0.11</v>
      </c>
      <c r="BI3300">
        <v>4.05</v>
      </c>
      <c r="BJ3300">
        <v>1</v>
      </c>
      <c r="BK3300">
        <v>1</v>
      </c>
      <c r="BL3300">
        <v>0.4</v>
      </c>
      <c r="BM3300">
        <v>-0.1</v>
      </c>
      <c r="BN3300">
        <v>-0.33</v>
      </c>
      <c r="BO3300">
        <v>0.02</v>
      </c>
      <c r="BP3300">
        <v>1.25</v>
      </c>
      <c r="BQ3300">
        <v>-0.68</v>
      </c>
      <c r="BR3300">
        <v>-0.15</v>
      </c>
      <c r="BS3300">
        <v>-1.26</v>
      </c>
      <c r="BT3300">
        <v>0.33</v>
      </c>
      <c r="BU3300">
        <v>-0.45</v>
      </c>
      <c r="BV3300">
        <v>-0.7</v>
      </c>
      <c r="BW3300">
        <v>-0.13</v>
      </c>
      <c r="BX3300">
        <v>0.86</v>
      </c>
      <c r="BY3300">
        <v>0.16</v>
      </c>
      <c r="BZ3300">
        <v>-0.45</v>
      </c>
      <c r="CA3300">
        <v>-0.63</v>
      </c>
      <c r="CB3300">
        <v>-0.36</v>
      </c>
      <c r="CC3300">
        <v>-0.96</v>
      </c>
      <c r="CD3300">
        <v>-0.08</v>
      </c>
      <c r="CE3300">
        <v>0</v>
      </c>
      <c r="CF3300">
        <v>-0.11</v>
      </c>
      <c r="CG3300">
        <v>0</v>
      </c>
      <c r="CH3300">
        <v>-0.38</v>
      </c>
      <c r="CI3300">
        <v>0</v>
      </c>
      <c r="CJ3300">
        <v>8.1</v>
      </c>
      <c r="CK3300">
        <v>77</v>
      </c>
      <c r="CL3300">
        <v>-0.51</v>
      </c>
      <c r="CM3300">
        <v>74</v>
      </c>
      <c r="CN3300">
        <v>-0.24</v>
      </c>
      <c r="CO3300">
        <v>71</v>
      </c>
      <c r="CP3300">
        <v>9</v>
      </c>
      <c r="CQ3300">
        <v>77</v>
      </c>
      <c r="CR3300">
        <v>0</v>
      </c>
      <c r="CS3300">
        <v>0</v>
      </c>
      <c r="CT3300">
        <v>11.1</v>
      </c>
      <c r="CU3300">
        <v>68</v>
      </c>
      <c r="CV3300">
        <v>0.28999999999999998</v>
      </c>
      <c r="CW3300">
        <v>22</v>
      </c>
      <c r="CX3300" t="s">
        <v>724</v>
      </c>
    </row>
    <row r="3301" spans="1:102" x14ac:dyDescent="0.3">
      <c r="A3301" t="str">
        <f>HYPERLINK("https://webapp.icbf.com/v2/app/bull-search/view/659997056","S1029")</f>
        <v>S1029</v>
      </c>
      <c r="B3301" t="s">
        <v>9030</v>
      </c>
      <c r="C3301" t="s">
        <v>9031</v>
      </c>
      <c r="D3301" s="1">
        <v>38660</v>
      </c>
      <c r="E3301" t="s">
        <v>92</v>
      </c>
      <c r="F3301">
        <v>100</v>
      </c>
      <c r="G3301" t="s">
        <v>109</v>
      </c>
      <c r="H3301">
        <v>-26.75</v>
      </c>
      <c r="I3301">
        <v>81</v>
      </c>
      <c r="J3301">
        <v>-21.54</v>
      </c>
      <c r="K3301">
        <v>93</v>
      </c>
      <c r="L3301">
        <v>-29.64</v>
      </c>
      <c r="M3301">
        <v>83</v>
      </c>
      <c r="N3301">
        <v>27.57</v>
      </c>
      <c r="O3301">
        <v>72</v>
      </c>
      <c r="P3301">
        <v>-11.41</v>
      </c>
      <c r="Q3301">
        <v>70</v>
      </c>
      <c r="R3301">
        <v>2.2799999999999998</v>
      </c>
      <c r="S3301">
        <v>78</v>
      </c>
      <c r="T3301">
        <v>7.17</v>
      </c>
      <c r="U3301">
        <v>54</v>
      </c>
      <c r="V3301">
        <v>-1.18</v>
      </c>
      <c r="W3301">
        <v>66</v>
      </c>
      <c r="X3301" t="s">
        <v>102</v>
      </c>
      <c r="Y3301" t="s">
        <v>336</v>
      </c>
      <c r="Z3301" t="s">
        <v>96</v>
      </c>
      <c r="AA3301" t="s">
        <v>277</v>
      </c>
      <c r="AB3301" t="s">
        <v>9032</v>
      </c>
      <c r="AC3301">
        <v>0</v>
      </c>
      <c r="AD3301">
        <v>0</v>
      </c>
      <c r="AE3301">
        <v>93</v>
      </c>
      <c r="AF3301">
        <v>274.45</v>
      </c>
      <c r="AG3301">
        <v>-7.33</v>
      </c>
      <c r="AH3301">
        <v>3.13</v>
      </c>
      <c r="AI3301">
        <v>-0.3</v>
      </c>
      <c r="AJ3301">
        <v>-0.1</v>
      </c>
      <c r="AK3301">
        <v>83</v>
      </c>
      <c r="AL3301">
        <v>0</v>
      </c>
      <c r="AM3301">
        <v>0</v>
      </c>
      <c r="AN3301">
        <v>1.1599999999999999</v>
      </c>
      <c r="AO3301">
        <v>-1.21</v>
      </c>
      <c r="AP3301">
        <v>28</v>
      </c>
      <c r="AQ3301">
        <v>0</v>
      </c>
      <c r="AR3301">
        <v>8.74</v>
      </c>
      <c r="AS3301">
        <v>64</v>
      </c>
      <c r="AT3301">
        <v>3.53</v>
      </c>
      <c r="AU3301">
        <v>89</v>
      </c>
      <c r="AV3301">
        <v>-4.33</v>
      </c>
      <c r="AW3301">
        <v>75</v>
      </c>
      <c r="AX3301">
        <v>-0.23</v>
      </c>
      <c r="AY3301">
        <v>57</v>
      </c>
      <c r="AZ3301">
        <v>5.8</v>
      </c>
      <c r="BA3301">
        <v>52</v>
      </c>
      <c r="BB3301">
        <v>5.28</v>
      </c>
      <c r="BC3301">
        <v>54</v>
      </c>
      <c r="BD3301">
        <v>-0.02</v>
      </c>
      <c r="BE3301">
        <v>-0.01</v>
      </c>
      <c r="BF3301">
        <v>0</v>
      </c>
      <c r="BG3301">
        <v>91</v>
      </c>
      <c r="BH3301">
        <v>0.02</v>
      </c>
      <c r="BI3301">
        <v>6.12</v>
      </c>
      <c r="BJ3301">
        <v>6</v>
      </c>
      <c r="BK3301">
        <v>4</v>
      </c>
      <c r="BL3301">
        <v>0.34</v>
      </c>
      <c r="BM3301">
        <v>-2.2000000000000002</v>
      </c>
      <c r="BN3301">
        <v>-0.51</v>
      </c>
      <c r="BO3301">
        <v>0.57999999999999996</v>
      </c>
      <c r="BP3301">
        <v>-2.1800000000000002</v>
      </c>
      <c r="BQ3301">
        <v>-0.1</v>
      </c>
      <c r="BR3301">
        <v>-0.04</v>
      </c>
      <c r="BS3301">
        <v>1.44</v>
      </c>
      <c r="BT3301">
        <v>0.93</v>
      </c>
      <c r="BU3301">
        <v>1.78</v>
      </c>
      <c r="BV3301">
        <v>2.0499999999999998</v>
      </c>
      <c r="BW3301">
        <v>1.73</v>
      </c>
      <c r="BX3301">
        <v>1.7</v>
      </c>
      <c r="BY3301">
        <v>1.22</v>
      </c>
      <c r="BZ3301">
        <v>0.77</v>
      </c>
      <c r="CA3301">
        <v>1.8</v>
      </c>
      <c r="CB3301">
        <v>1.62</v>
      </c>
      <c r="CC3301">
        <v>1.28</v>
      </c>
      <c r="CD3301">
        <v>-0.98</v>
      </c>
      <c r="CE3301">
        <v>1.06</v>
      </c>
      <c r="CF3301">
        <v>0.28999999999999998</v>
      </c>
      <c r="CG3301">
        <v>0</v>
      </c>
      <c r="CH3301">
        <v>1.08</v>
      </c>
      <c r="CI3301">
        <v>0</v>
      </c>
      <c r="CJ3301">
        <v>-3.2</v>
      </c>
      <c r="CK3301">
        <v>72</v>
      </c>
      <c r="CL3301">
        <v>-0.92</v>
      </c>
      <c r="CM3301">
        <v>69</v>
      </c>
      <c r="CN3301">
        <v>-0.23</v>
      </c>
      <c r="CO3301">
        <v>67</v>
      </c>
      <c r="CP3301">
        <v>-1.3</v>
      </c>
      <c r="CQ3301">
        <v>62</v>
      </c>
      <c r="CR3301">
        <v>0</v>
      </c>
      <c r="CS3301">
        <v>0</v>
      </c>
      <c r="CT3301">
        <v>4.0999999999999996</v>
      </c>
      <c r="CU3301">
        <v>54</v>
      </c>
      <c r="CV3301">
        <v>0.1</v>
      </c>
      <c r="CW3301">
        <v>40</v>
      </c>
      <c r="CX3301" t="s">
        <v>1574</v>
      </c>
    </row>
    <row r="3302" spans="1:102" x14ac:dyDescent="0.3">
      <c r="A3302" t="str">
        <f>HYPERLINK("https://webapp.icbf.com/v2/app/bull-search/view/77859223","AHL")</f>
        <v>AHL</v>
      </c>
      <c r="B3302" t="s">
        <v>3818</v>
      </c>
      <c r="C3302" t="s">
        <v>3819</v>
      </c>
      <c r="D3302" s="1">
        <v>36007</v>
      </c>
      <c r="E3302" t="s">
        <v>92</v>
      </c>
      <c r="F3302">
        <v>100</v>
      </c>
      <c r="G3302" t="s">
        <v>93</v>
      </c>
      <c r="H3302">
        <v>-26.8</v>
      </c>
      <c r="I3302">
        <v>80</v>
      </c>
      <c r="J3302">
        <v>16.84</v>
      </c>
      <c r="K3302">
        <v>96</v>
      </c>
      <c r="L3302">
        <v>-55.69</v>
      </c>
      <c r="M3302">
        <v>68</v>
      </c>
      <c r="N3302">
        <v>7.58</v>
      </c>
      <c r="O3302">
        <v>73</v>
      </c>
      <c r="P3302">
        <v>-2.75</v>
      </c>
      <c r="Q3302">
        <v>90</v>
      </c>
      <c r="R3302">
        <v>-3.74</v>
      </c>
      <c r="S3302">
        <v>74</v>
      </c>
      <c r="T3302">
        <v>12.05</v>
      </c>
      <c r="U3302">
        <v>85</v>
      </c>
      <c r="V3302">
        <v>-1.0900000000000001</v>
      </c>
      <c r="W3302">
        <v>50</v>
      </c>
      <c r="X3302" t="s">
        <v>94</v>
      </c>
      <c r="Y3302" t="s">
        <v>95</v>
      </c>
      <c r="Z3302" t="s">
        <v>96</v>
      </c>
      <c r="AA3302" t="s">
        <v>753</v>
      </c>
      <c r="AB3302" t="s">
        <v>3820</v>
      </c>
      <c r="AC3302">
        <v>96</v>
      </c>
      <c r="AD3302">
        <v>72</v>
      </c>
      <c r="AE3302">
        <v>96</v>
      </c>
      <c r="AF3302">
        <v>-21.54</v>
      </c>
      <c r="AG3302">
        <v>1.88</v>
      </c>
      <c r="AH3302">
        <v>1.87</v>
      </c>
      <c r="AI3302">
        <v>0.05</v>
      </c>
      <c r="AJ3302">
        <v>0.04</v>
      </c>
      <c r="AK3302">
        <v>68</v>
      </c>
      <c r="AL3302">
        <v>88</v>
      </c>
      <c r="AM3302">
        <v>67</v>
      </c>
      <c r="AN3302">
        <v>2.33</v>
      </c>
      <c r="AO3302">
        <v>-2.12</v>
      </c>
      <c r="AP3302">
        <v>24</v>
      </c>
      <c r="AQ3302">
        <v>1</v>
      </c>
      <c r="AR3302">
        <v>7.57</v>
      </c>
      <c r="AS3302">
        <v>55</v>
      </c>
      <c r="AT3302">
        <v>2.79</v>
      </c>
      <c r="AU3302">
        <v>69</v>
      </c>
      <c r="AV3302">
        <v>-1.27</v>
      </c>
      <c r="AW3302">
        <v>82</v>
      </c>
      <c r="AX3302">
        <v>-0.01</v>
      </c>
      <c r="AY3302">
        <v>79</v>
      </c>
      <c r="AZ3302">
        <v>7.55</v>
      </c>
      <c r="BA3302">
        <v>57</v>
      </c>
      <c r="BB3302">
        <v>5.7</v>
      </c>
      <c r="BC3302">
        <v>63</v>
      </c>
      <c r="BD3302">
        <v>0.03</v>
      </c>
      <c r="BE3302">
        <v>0.04</v>
      </c>
      <c r="BF3302">
        <v>-0.04</v>
      </c>
      <c r="BG3302">
        <v>85</v>
      </c>
      <c r="BH3302">
        <v>-7.0000000000000007E-2</v>
      </c>
      <c r="BI3302">
        <v>-4.58</v>
      </c>
      <c r="BJ3302">
        <v>24</v>
      </c>
      <c r="BK3302">
        <v>17</v>
      </c>
      <c r="BL3302">
        <v>0.93</v>
      </c>
      <c r="BM3302">
        <v>-0.51</v>
      </c>
      <c r="BN3302">
        <v>0.43</v>
      </c>
      <c r="BO3302">
        <v>0.81</v>
      </c>
      <c r="BP3302">
        <v>1.45</v>
      </c>
      <c r="BQ3302">
        <v>-1.26</v>
      </c>
      <c r="BR3302">
        <v>-0.03</v>
      </c>
      <c r="BS3302">
        <v>-0.25</v>
      </c>
      <c r="BT3302">
        <v>-0.26</v>
      </c>
      <c r="BU3302">
        <v>1.44</v>
      </c>
      <c r="BV3302">
        <v>0.33</v>
      </c>
      <c r="BW3302">
        <v>0.03</v>
      </c>
      <c r="BX3302">
        <v>1.46</v>
      </c>
      <c r="BY3302">
        <v>0.66</v>
      </c>
      <c r="BZ3302">
        <v>1.66</v>
      </c>
      <c r="CA3302">
        <v>0.92</v>
      </c>
      <c r="CB3302">
        <v>1.05</v>
      </c>
      <c r="CC3302">
        <v>0.21</v>
      </c>
      <c r="CD3302">
        <v>-0.64</v>
      </c>
      <c r="CE3302">
        <v>1.02</v>
      </c>
      <c r="CF3302">
        <v>0.75</v>
      </c>
      <c r="CG3302">
        <v>0</v>
      </c>
      <c r="CH3302">
        <v>0.55000000000000004</v>
      </c>
      <c r="CI3302">
        <v>0</v>
      </c>
      <c r="CJ3302">
        <v>1.3</v>
      </c>
      <c r="CK3302">
        <v>91</v>
      </c>
      <c r="CL3302">
        <v>-0.49</v>
      </c>
      <c r="CM3302">
        <v>89</v>
      </c>
      <c r="CN3302">
        <v>-0.16</v>
      </c>
      <c r="CO3302">
        <v>88</v>
      </c>
      <c r="CP3302">
        <v>-9.1</v>
      </c>
      <c r="CQ3302">
        <v>90</v>
      </c>
      <c r="CR3302">
        <v>0</v>
      </c>
      <c r="CS3302">
        <v>0</v>
      </c>
      <c r="CT3302">
        <v>-2.5</v>
      </c>
      <c r="CU3302">
        <v>85</v>
      </c>
      <c r="CV3302">
        <v>0.18</v>
      </c>
      <c r="CW3302">
        <v>27</v>
      </c>
      <c r="CX3302" t="s">
        <v>485</v>
      </c>
    </row>
    <row r="3303" spans="1:102" x14ac:dyDescent="0.3">
      <c r="A3303" t="str">
        <f>HYPERLINK("https://webapp.icbf.com/v2/app/bull-search/view/69092503","RLO")</f>
        <v>RLO</v>
      </c>
      <c r="B3303" t="s">
        <v>10479</v>
      </c>
      <c r="C3303" t="s">
        <v>147</v>
      </c>
      <c r="D3303" s="1">
        <v>32146</v>
      </c>
      <c r="E3303" t="s">
        <v>146</v>
      </c>
      <c r="F3303">
        <v>0</v>
      </c>
      <c r="G3303" t="s">
        <v>109</v>
      </c>
      <c r="H3303">
        <v>-26.86</v>
      </c>
      <c r="I3303">
        <v>70</v>
      </c>
      <c r="J3303">
        <v>-49.11</v>
      </c>
      <c r="K3303">
        <v>77</v>
      </c>
      <c r="L3303">
        <v>-9.27</v>
      </c>
      <c r="M3303">
        <v>68</v>
      </c>
      <c r="N3303">
        <v>30.48</v>
      </c>
      <c r="O3303">
        <v>68</v>
      </c>
      <c r="P3303">
        <v>15.45</v>
      </c>
      <c r="Q3303">
        <v>72</v>
      </c>
      <c r="R3303">
        <v>-6.48</v>
      </c>
      <c r="S3303">
        <v>67</v>
      </c>
      <c r="T3303">
        <v>2.8</v>
      </c>
      <c r="U3303">
        <v>64</v>
      </c>
      <c r="V3303">
        <v>-10.73</v>
      </c>
      <c r="W3303">
        <v>53</v>
      </c>
      <c r="X3303" t="s">
        <v>94</v>
      </c>
      <c r="Y3303" t="s">
        <v>95</v>
      </c>
      <c r="Z3303">
        <v>0</v>
      </c>
      <c r="AA3303" t="s">
        <v>10480</v>
      </c>
      <c r="AB3303" t="s">
        <v>10481</v>
      </c>
      <c r="AC3303">
        <v>0</v>
      </c>
      <c r="AD3303">
        <v>0</v>
      </c>
      <c r="AE3303">
        <v>77</v>
      </c>
      <c r="AF3303">
        <v>-298.14</v>
      </c>
      <c r="AG3303">
        <v>-14.63</v>
      </c>
      <c r="AH3303">
        <v>-7.74</v>
      </c>
      <c r="AI3303">
        <v>-0.05</v>
      </c>
      <c r="AJ3303">
        <v>0.04</v>
      </c>
      <c r="AK3303">
        <v>68</v>
      </c>
      <c r="AL3303">
        <v>0</v>
      </c>
      <c r="AM3303">
        <v>0</v>
      </c>
      <c r="AN3303">
        <v>-0.34</v>
      </c>
      <c r="AO3303">
        <v>-1.0900000000000001</v>
      </c>
      <c r="AP3303">
        <v>4</v>
      </c>
      <c r="AQ3303">
        <v>0</v>
      </c>
      <c r="AR3303">
        <v>7.09</v>
      </c>
      <c r="AS3303">
        <v>47</v>
      </c>
      <c r="AT3303">
        <v>3.1</v>
      </c>
      <c r="AU3303">
        <v>88</v>
      </c>
      <c r="AV3303">
        <v>-2.82</v>
      </c>
      <c r="AW3303">
        <v>70</v>
      </c>
      <c r="AX3303">
        <v>-0.41</v>
      </c>
      <c r="AY3303">
        <v>66</v>
      </c>
      <c r="AZ3303">
        <v>5.18</v>
      </c>
      <c r="BA3303">
        <v>39</v>
      </c>
      <c r="BB3303">
        <v>4.18</v>
      </c>
      <c r="BC3303">
        <v>47</v>
      </c>
      <c r="BD3303">
        <v>0</v>
      </c>
      <c r="BE3303">
        <v>0.01</v>
      </c>
      <c r="BF3303">
        <v>0.13</v>
      </c>
      <c r="BG3303">
        <v>85</v>
      </c>
      <c r="BH3303">
        <v>-0.15</v>
      </c>
      <c r="BI3303">
        <v>17.25</v>
      </c>
      <c r="BJ3303">
        <v>0</v>
      </c>
      <c r="BK3303">
        <v>0</v>
      </c>
      <c r="BL3303">
        <v>-1.98</v>
      </c>
      <c r="BM3303">
        <v>4.38</v>
      </c>
      <c r="BN3303">
        <v>0.4</v>
      </c>
      <c r="BO3303">
        <v>-1.91</v>
      </c>
      <c r="BP3303">
        <v>3.3</v>
      </c>
      <c r="BQ3303">
        <v>1.67</v>
      </c>
      <c r="BR3303">
        <v>-0.03</v>
      </c>
      <c r="BS3303">
        <v>0.66</v>
      </c>
      <c r="BT3303">
        <v>0.86</v>
      </c>
      <c r="BU3303">
        <v>-2.98</v>
      </c>
      <c r="BV3303">
        <v>-3.95</v>
      </c>
      <c r="BW3303">
        <v>-2.58</v>
      </c>
      <c r="BX3303">
        <v>-3.09</v>
      </c>
      <c r="BY3303">
        <v>-1.58</v>
      </c>
      <c r="BZ3303">
        <v>0.28000000000000003</v>
      </c>
      <c r="CA3303">
        <v>-2.2200000000000002</v>
      </c>
      <c r="CB3303">
        <v>-3.1</v>
      </c>
      <c r="CC3303">
        <v>-0.01</v>
      </c>
      <c r="CD3303">
        <v>2.93</v>
      </c>
      <c r="CE3303">
        <v>-2.2200000000000002</v>
      </c>
      <c r="CF3303">
        <v>-1.1000000000000001</v>
      </c>
      <c r="CG3303">
        <v>0</v>
      </c>
      <c r="CH3303">
        <v>-0.53</v>
      </c>
      <c r="CI3303">
        <v>0</v>
      </c>
      <c r="CJ3303">
        <v>5.7</v>
      </c>
      <c r="CK3303">
        <v>73</v>
      </c>
      <c r="CL3303">
        <v>0.4</v>
      </c>
      <c r="CM3303">
        <v>72</v>
      </c>
      <c r="CN3303">
        <v>-0.23</v>
      </c>
      <c r="CO3303">
        <v>71</v>
      </c>
      <c r="CP3303">
        <v>5.0999999999999996</v>
      </c>
      <c r="CQ3303">
        <v>72</v>
      </c>
      <c r="CR3303">
        <v>0</v>
      </c>
      <c r="CS3303">
        <v>0</v>
      </c>
      <c r="CT3303">
        <v>10</v>
      </c>
      <c r="CU3303">
        <v>64</v>
      </c>
      <c r="CV3303">
        <v>-0.15</v>
      </c>
      <c r="CW3303">
        <v>20</v>
      </c>
      <c r="CX3303" t="s">
        <v>8538</v>
      </c>
    </row>
    <row r="3304" spans="1:102" x14ac:dyDescent="0.3">
      <c r="A3304" t="str">
        <f>HYPERLINK("https://webapp.icbf.com/v2/app/bull-search/view/529827613","S1290")</f>
        <v>S1290</v>
      </c>
      <c r="B3304" t="s">
        <v>13104</v>
      </c>
      <c r="C3304" t="s">
        <v>13105</v>
      </c>
      <c r="D3304" s="1">
        <v>37330</v>
      </c>
      <c r="E3304" t="s">
        <v>92</v>
      </c>
      <c r="F3304">
        <v>100</v>
      </c>
      <c r="G3304" t="s">
        <v>109</v>
      </c>
      <c r="H3304">
        <v>-26.99</v>
      </c>
      <c r="I3304">
        <v>80</v>
      </c>
      <c r="J3304">
        <v>-1.56</v>
      </c>
      <c r="K3304">
        <v>91</v>
      </c>
      <c r="L3304">
        <v>-18.03</v>
      </c>
      <c r="M3304">
        <v>81</v>
      </c>
      <c r="N3304">
        <v>-13.93</v>
      </c>
      <c r="O3304">
        <v>73</v>
      </c>
      <c r="P3304">
        <v>1.06</v>
      </c>
      <c r="Q3304">
        <v>72</v>
      </c>
      <c r="R3304">
        <v>1.94</v>
      </c>
      <c r="S3304">
        <v>74</v>
      </c>
      <c r="T3304">
        <v>0.43</v>
      </c>
      <c r="U3304">
        <v>53</v>
      </c>
      <c r="V3304">
        <v>3.1</v>
      </c>
      <c r="W3304">
        <v>62</v>
      </c>
      <c r="X3304" t="s">
        <v>102</v>
      </c>
      <c r="Y3304" t="s">
        <v>342</v>
      </c>
      <c r="Z3304" t="s">
        <v>96</v>
      </c>
      <c r="AA3304" t="s">
        <v>4584</v>
      </c>
      <c r="AB3304" t="s">
        <v>13106</v>
      </c>
      <c r="AC3304">
        <v>0</v>
      </c>
      <c r="AD3304">
        <v>0</v>
      </c>
      <c r="AE3304">
        <v>91</v>
      </c>
      <c r="AF3304">
        <v>43.3</v>
      </c>
      <c r="AG3304">
        <v>2.85</v>
      </c>
      <c r="AH3304">
        <v>-0.61</v>
      </c>
      <c r="AI3304">
        <v>0.02</v>
      </c>
      <c r="AJ3304">
        <v>-0.04</v>
      </c>
      <c r="AK3304">
        <v>81</v>
      </c>
      <c r="AL3304">
        <v>0</v>
      </c>
      <c r="AM3304">
        <v>0</v>
      </c>
      <c r="AN3304">
        <v>1.62</v>
      </c>
      <c r="AO3304">
        <v>0.19</v>
      </c>
      <c r="AP3304">
        <v>57</v>
      </c>
      <c r="AQ3304">
        <v>0</v>
      </c>
      <c r="AR3304">
        <v>7.64</v>
      </c>
      <c r="AS3304">
        <v>55</v>
      </c>
      <c r="AT3304">
        <v>3.96</v>
      </c>
      <c r="AU3304">
        <v>87</v>
      </c>
      <c r="AV3304">
        <v>0.26</v>
      </c>
      <c r="AW3304">
        <v>81</v>
      </c>
      <c r="AX3304">
        <v>-0.21</v>
      </c>
      <c r="AY3304">
        <v>59</v>
      </c>
      <c r="AZ3304">
        <v>7.14</v>
      </c>
      <c r="BA3304">
        <v>47</v>
      </c>
      <c r="BB3304">
        <v>5.64</v>
      </c>
      <c r="BC3304">
        <v>46</v>
      </c>
      <c r="BD3304">
        <v>-0.01</v>
      </c>
      <c r="BE3304">
        <v>-0.02</v>
      </c>
      <c r="BF3304">
        <v>0.01</v>
      </c>
      <c r="BG3304">
        <v>91</v>
      </c>
      <c r="BH3304">
        <v>0.09</v>
      </c>
      <c r="BI3304">
        <v>0.4</v>
      </c>
      <c r="BJ3304">
        <v>3</v>
      </c>
      <c r="BK3304">
        <v>3</v>
      </c>
      <c r="BL3304">
        <v>-0.48</v>
      </c>
      <c r="BM3304">
        <v>-0.42</v>
      </c>
      <c r="BN3304">
        <v>-0.85</v>
      </c>
      <c r="BO3304">
        <v>-0.21</v>
      </c>
      <c r="BP3304">
        <v>0.35</v>
      </c>
      <c r="BQ3304">
        <v>-0.78</v>
      </c>
      <c r="BR3304">
        <v>-2.52</v>
      </c>
      <c r="BS3304">
        <v>2.82</v>
      </c>
      <c r="BT3304">
        <v>1.7</v>
      </c>
      <c r="BU3304">
        <v>1.07</v>
      </c>
      <c r="BV3304">
        <v>0.91</v>
      </c>
      <c r="BW3304">
        <v>-0.04</v>
      </c>
      <c r="BX3304">
        <v>0.41</v>
      </c>
      <c r="BY3304">
        <v>7.0000000000000007E-2</v>
      </c>
      <c r="BZ3304">
        <v>0.71</v>
      </c>
      <c r="CA3304">
        <v>1.39</v>
      </c>
      <c r="CB3304">
        <v>0.67</v>
      </c>
      <c r="CC3304">
        <v>2.2000000000000002</v>
      </c>
      <c r="CD3304">
        <v>0.5</v>
      </c>
      <c r="CE3304">
        <v>-0.35</v>
      </c>
      <c r="CF3304">
        <v>0.64</v>
      </c>
      <c r="CG3304">
        <v>0</v>
      </c>
      <c r="CH3304">
        <v>-0.18</v>
      </c>
      <c r="CI3304">
        <v>0</v>
      </c>
      <c r="CJ3304">
        <v>0.9</v>
      </c>
      <c r="CK3304">
        <v>75</v>
      </c>
      <c r="CL3304">
        <v>-0.62</v>
      </c>
      <c r="CM3304">
        <v>71</v>
      </c>
      <c r="CN3304">
        <v>-0.43</v>
      </c>
      <c r="CO3304">
        <v>68</v>
      </c>
      <c r="CP3304">
        <v>7.9</v>
      </c>
      <c r="CQ3304">
        <v>63</v>
      </c>
      <c r="CR3304">
        <v>0</v>
      </c>
      <c r="CS3304">
        <v>0</v>
      </c>
      <c r="CT3304">
        <v>13.2</v>
      </c>
      <c r="CU3304">
        <v>53</v>
      </c>
      <c r="CV3304">
        <v>0.03</v>
      </c>
      <c r="CW3304">
        <v>40</v>
      </c>
      <c r="CX3304" t="s">
        <v>1334</v>
      </c>
    </row>
    <row r="3305" spans="1:102" x14ac:dyDescent="0.3">
      <c r="A3305" t="str">
        <f>HYPERLINK("https://webapp.icbf.com/v2/app/bull-search/view/77856004","KPW")</f>
        <v>KPW</v>
      </c>
      <c r="B3305" t="s">
        <v>7036</v>
      </c>
      <c r="C3305" t="s">
        <v>1097</v>
      </c>
      <c r="D3305" s="1">
        <v>32770</v>
      </c>
      <c r="E3305" t="s">
        <v>108</v>
      </c>
      <c r="F3305">
        <v>31</v>
      </c>
      <c r="G3305" t="s">
        <v>93</v>
      </c>
      <c r="H3305">
        <v>-27</v>
      </c>
      <c r="I3305">
        <v>95</v>
      </c>
      <c r="J3305">
        <v>29.85</v>
      </c>
      <c r="K3305">
        <v>99</v>
      </c>
      <c r="L3305">
        <v>-44.98</v>
      </c>
      <c r="M3305">
        <v>94</v>
      </c>
      <c r="N3305">
        <v>-3.7</v>
      </c>
      <c r="O3305">
        <v>93</v>
      </c>
      <c r="P3305">
        <v>-36.96</v>
      </c>
      <c r="Q3305">
        <v>97</v>
      </c>
      <c r="R3305">
        <v>-18.21</v>
      </c>
      <c r="S3305">
        <v>89</v>
      </c>
      <c r="T3305">
        <v>42.91</v>
      </c>
      <c r="U3305">
        <v>97</v>
      </c>
      <c r="V3305">
        <v>4.09</v>
      </c>
      <c r="W3305">
        <v>85</v>
      </c>
      <c r="X3305" t="s">
        <v>302</v>
      </c>
      <c r="Y3305" t="s">
        <v>95</v>
      </c>
      <c r="Z3305" t="s">
        <v>96</v>
      </c>
      <c r="AA3305" t="s">
        <v>4295</v>
      </c>
      <c r="AB3305" t="s">
        <v>7037</v>
      </c>
      <c r="AC3305">
        <v>556</v>
      </c>
      <c r="AD3305">
        <v>155</v>
      </c>
      <c r="AE3305">
        <v>99</v>
      </c>
      <c r="AF3305">
        <v>-88.73</v>
      </c>
      <c r="AG3305">
        <v>10.029999999999999</v>
      </c>
      <c r="AH3305">
        <v>0.17</v>
      </c>
      <c r="AI3305">
        <v>0.24</v>
      </c>
      <c r="AJ3305">
        <v>0.06</v>
      </c>
      <c r="AK3305">
        <v>94</v>
      </c>
      <c r="AL3305">
        <v>652</v>
      </c>
      <c r="AM3305">
        <v>189</v>
      </c>
      <c r="AN3305">
        <v>1.48</v>
      </c>
      <c r="AO3305">
        <v>-2.12</v>
      </c>
      <c r="AP3305">
        <v>13</v>
      </c>
      <c r="AQ3305">
        <v>1</v>
      </c>
      <c r="AR3305">
        <v>5.39</v>
      </c>
      <c r="AS3305">
        <v>82</v>
      </c>
      <c r="AT3305">
        <v>1.81</v>
      </c>
      <c r="AU3305">
        <v>94</v>
      </c>
      <c r="AV3305">
        <v>-0.8</v>
      </c>
      <c r="AW3305">
        <v>96</v>
      </c>
      <c r="AX3305">
        <v>1.65</v>
      </c>
      <c r="AY3305">
        <v>96</v>
      </c>
      <c r="AZ3305">
        <v>8.7100000000000009</v>
      </c>
      <c r="BA3305">
        <v>83</v>
      </c>
      <c r="BB3305">
        <v>7.76</v>
      </c>
      <c r="BC3305">
        <v>90</v>
      </c>
      <c r="BD3305">
        <v>0.01</v>
      </c>
      <c r="BE3305">
        <v>0.08</v>
      </c>
      <c r="BF3305">
        <v>0.25</v>
      </c>
      <c r="BG3305">
        <v>98</v>
      </c>
      <c r="BH3305">
        <v>0.09</v>
      </c>
      <c r="BI3305">
        <v>-2.78</v>
      </c>
      <c r="BJ3305">
        <v>11</v>
      </c>
      <c r="BK3305">
        <v>6</v>
      </c>
      <c r="BL3305">
        <v>-2.25</v>
      </c>
      <c r="BM3305">
        <v>-0.51</v>
      </c>
      <c r="BN3305">
        <v>-2.35</v>
      </c>
      <c r="BO3305">
        <v>-0.96</v>
      </c>
      <c r="BP3305">
        <v>-0.84</v>
      </c>
      <c r="BQ3305">
        <v>-2.77</v>
      </c>
      <c r="BR3305">
        <v>1.31</v>
      </c>
      <c r="BS3305">
        <v>-1.02</v>
      </c>
      <c r="BT3305">
        <v>-1.46</v>
      </c>
      <c r="BU3305">
        <v>-3.39</v>
      </c>
      <c r="BV3305">
        <v>-1.82</v>
      </c>
      <c r="BW3305">
        <v>-2.19</v>
      </c>
      <c r="BX3305">
        <v>-3.05</v>
      </c>
      <c r="BY3305">
        <v>-3.03</v>
      </c>
      <c r="BZ3305">
        <v>3.81</v>
      </c>
      <c r="CA3305">
        <v>-2.74</v>
      </c>
      <c r="CB3305">
        <v>-2.83</v>
      </c>
      <c r="CC3305">
        <v>-1.26</v>
      </c>
      <c r="CD3305">
        <v>-0.69</v>
      </c>
      <c r="CE3305">
        <v>-1.33</v>
      </c>
      <c r="CF3305">
        <v>-3.05</v>
      </c>
      <c r="CG3305">
        <v>0</v>
      </c>
      <c r="CH3305">
        <v>-3.23</v>
      </c>
      <c r="CI3305">
        <v>0</v>
      </c>
      <c r="CJ3305">
        <v>-17.2</v>
      </c>
      <c r="CK3305">
        <v>97</v>
      </c>
      <c r="CL3305">
        <v>-0.63</v>
      </c>
      <c r="CM3305">
        <v>96</v>
      </c>
      <c r="CN3305">
        <v>0.11</v>
      </c>
      <c r="CO3305">
        <v>96</v>
      </c>
      <c r="CP3305">
        <v>-36.200000000000003</v>
      </c>
      <c r="CQ3305">
        <v>98</v>
      </c>
      <c r="CR3305">
        <v>0</v>
      </c>
      <c r="CS3305">
        <v>0</v>
      </c>
      <c r="CT3305">
        <v>-44.2</v>
      </c>
      <c r="CU3305">
        <v>97</v>
      </c>
      <c r="CV3305">
        <v>0</v>
      </c>
      <c r="CW3305">
        <v>45</v>
      </c>
      <c r="CX3305" t="s">
        <v>2543</v>
      </c>
    </row>
    <row r="3306" spans="1:102" x14ac:dyDescent="0.3">
      <c r="A3306" t="str">
        <f>HYPERLINK("https://webapp.icbf.com/v2/app/bull-search/view/1361575626","FR4231")</f>
        <v>FR4231</v>
      </c>
      <c r="B3306" t="s">
        <v>6304</v>
      </c>
      <c r="C3306" t="s">
        <v>6305</v>
      </c>
      <c r="D3306" s="1">
        <v>42171</v>
      </c>
      <c r="E3306" t="s">
        <v>92</v>
      </c>
      <c r="F3306">
        <v>100</v>
      </c>
      <c r="G3306" t="s">
        <v>116</v>
      </c>
      <c r="H3306">
        <v>-27.22</v>
      </c>
      <c r="I3306">
        <v>39</v>
      </c>
      <c r="J3306">
        <v>39.17</v>
      </c>
      <c r="K3306">
        <v>54</v>
      </c>
      <c r="L3306">
        <v>-76.55</v>
      </c>
      <c r="M3306">
        <v>28</v>
      </c>
      <c r="N3306">
        <v>15.68</v>
      </c>
      <c r="O3306">
        <v>59</v>
      </c>
      <c r="P3306">
        <v>-1.1299999999999999</v>
      </c>
      <c r="Q3306">
        <v>25</v>
      </c>
      <c r="R3306">
        <v>5.38</v>
      </c>
      <c r="S3306">
        <v>33</v>
      </c>
      <c r="T3306">
        <v>-11.48</v>
      </c>
      <c r="U3306">
        <v>19</v>
      </c>
      <c r="V3306">
        <v>1.71</v>
      </c>
      <c r="W3306">
        <v>21</v>
      </c>
      <c r="X3306" t="s">
        <v>428</v>
      </c>
      <c r="Y3306" t="s">
        <v>2261</v>
      </c>
      <c r="Z3306" t="s">
        <v>96</v>
      </c>
      <c r="AA3306" t="s">
        <v>6211</v>
      </c>
      <c r="AB3306" t="s">
        <v>6306</v>
      </c>
      <c r="AC3306">
        <v>0</v>
      </c>
      <c r="AD3306">
        <v>0</v>
      </c>
      <c r="AE3306">
        <v>54</v>
      </c>
      <c r="AF3306">
        <v>446.41</v>
      </c>
      <c r="AG3306">
        <v>11.66</v>
      </c>
      <c r="AH3306">
        <v>9.3699999999999992</v>
      </c>
      <c r="AI3306">
        <v>-0.09</v>
      </c>
      <c r="AJ3306">
        <v>-0.09</v>
      </c>
      <c r="AK3306">
        <v>28</v>
      </c>
      <c r="AL3306">
        <v>0</v>
      </c>
      <c r="AM3306">
        <v>0</v>
      </c>
      <c r="AN3306">
        <v>5.34</v>
      </c>
      <c r="AO3306">
        <v>-0.75</v>
      </c>
      <c r="AP3306">
        <v>32</v>
      </c>
      <c r="AQ3306">
        <v>0</v>
      </c>
      <c r="AR3306">
        <v>7.42</v>
      </c>
      <c r="AS3306">
        <v>35</v>
      </c>
      <c r="AT3306">
        <v>3.39</v>
      </c>
      <c r="AU3306">
        <v>80</v>
      </c>
      <c r="AV3306">
        <v>-2.44</v>
      </c>
      <c r="AW3306">
        <v>75</v>
      </c>
      <c r="AX3306">
        <v>1.01</v>
      </c>
      <c r="AY3306">
        <v>41</v>
      </c>
      <c r="AZ3306">
        <v>6.12</v>
      </c>
      <c r="BA3306">
        <v>13</v>
      </c>
      <c r="BB3306">
        <v>4.93</v>
      </c>
      <c r="BC3306">
        <v>9</v>
      </c>
      <c r="BD3306">
        <v>-0.01</v>
      </c>
      <c r="BE3306">
        <v>-0.03</v>
      </c>
      <c r="BF3306">
        <v>-0.05</v>
      </c>
      <c r="BG3306">
        <v>48</v>
      </c>
      <c r="BH3306">
        <v>0.03</v>
      </c>
      <c r="BI3306">
        <v>-2.0299999999999998</v>
      </c>
      <c r="BJ3306">
        <v>0</v>
      </c>
      <c r="BK3306">
        <v>0</v>
      </c>
      <c r="BL3306">
        <v>2.87</v>
      </c>
      <c r="BM3306">
        <v>-0.25</v>
      </c>
      <c r="BN3306">
        <v>1.33</v>
      </c>
      <c r="BO3306">
        <v>1.74</v>
      </c>
      <c r="BP3306">
        <v>0.75</v>
      </c>
      <c r="BQ3306">
        <v>2.65</v>
      </c>
      <c r="BR3306">
        <v>-0.77</v>
      </c>
      <c r="BS3306">
        <v>2.04</v>
      </c>
      <c r="BT3306">
        <v>1.42</v>
      </c>
      <c r="BU3306">
        <v>3.36</v>
      </c>
      <c r="BV3306">
        <v>3.43</v>
      </c>
      <c r="BW3306">
        <v>2.41</v>
      </c>
      <c r="BX3306">
        <v>3.15</v>
      </c>
      <c r="BY3306">
        <v>2.04</v>
      </c>
      <c r="BZ3306">
        <v>-1.17</v>
      </c>
      <c r="CA3306">
        <v>2.86</v>
      </c>
      <c r="CB3306">
        <v>2.68</v>
      </c>
      <c r="CC3306">
        <v>1.68</v>
      </c>
      <c r="CD3306">
        <v>-0.88</v>
      </c>
      <c r="CE3306">
        <v>1.56</v>
      </c>
      <c r="CF3306">
        <v>2.23</v>
      </c>
      <c r="CG3306">
        <v>0</v>
      </c>
      <c r="CH3306">
        <v>1.93</v>
      </c>
      <c r="CI3306">
        <v>0</v>
      </c>
      <c r="CJ3306">
        <v>5</v>
      </c>
      <c r="CK3306">
        <v>27</v>
      </c>
      <c r="CL3306">
        <v>-1.48</v>
      </c>
      <c r="CM3306">
        <v>24</v>
      </c>
      <c r="CN3306">
        <v>-0.5</v>
      </c>
      <c r="CO3306">
        <v>24</v>
      </c>
      <c r="CP3306">
        <v>9.25</v>
      </c>
      <c r="CQ3306">
        <v>21</v>
      </c>
      <c r="CR3306">
        <v>0</v>
      </c>
      <c r="CS3306">
        <v>0</v>
      </c>
      <c r="CT3306">
        <v>29.3</v>
      </c>
      <c r="CU3306">
        <v>19</v>
      </c>
      <c r="CV3306">
        <v>0.42</v>
      </c>
      <c r="CW3306">
        <v>13</v>
      </c>
      <c r="CX3306" t="s">
        <v>6307</v>
      </c>
    </row>
    <row r="3307" spans="1:102" x14ac:dyDescent="0.3">
      <c r="A3307" t="str">
        <f>HYPERLINK("https://webapp.icbf.com/v2/app/bull-search/view/77854324","QBO")</f>
        <v>QBO</v>
      </c>
      <c r="B3307" t="s">
        <v>3554</v>
      </c>
      <c r="C3307" t="s">
        <v>3555</v>
      </c>
      <c r="D3307" s="1">
        <v>34007</v>
      </c>
      <c r="E3307" t="s">
        <v>92</v>
      </c>
      <c r="F3307">
        <v>94</v>
      </c>
      <c r="G3307" t="s">
        <v>93</v>
      </c>
      <c r="H3307">
        <v>-27.25</v>
      </c>
      <c r="I3307">
        <v>91</v>
      </c>
      <c r="J3307">
        <v>29.7</v>
      </c>
      <c r="K3307">
        <v>98</v>
      </c>
      <c r="L3307">
        <v>-36.39</v>
      </c>
      <c r="M3307">
        <v>86</v>
      </c>
      <c r="N3307">
        <v>-16.96</v>
      </c>
      <c r="O3307">
        <v>89</v>
      </c>
      <c r="P3307">
        <v>-7.28</v>
      </c>
      <c r="Q3307">
        <v>96</v>
      </c>
      <c r="R3307">
        <v>-0.93</v>
      </c>
      <c r="S3307">
        <v>86</v>
      </c>
      <c r="T3307">
        <v>5.76</v>
      </c>
      <c r="U3307">
        <v>94</v>
      </c>
      <c r="V3307">
        <v>-1.1499999999999999</v>
      </c>
      <c r="W3307">
        <v>80</v>
      </c>
      <c r="X3307" t="s">
        <v>94</v>
      </c>
      <c r="Y3307" t="s">
        <v>95</v>
      </c>
      <c r="Z3307" t="s">
        <v>96</v>
      </c>
      <c r="AA3307" t="s">
        <v>531</v>
      </c>
      <c r="AB3307" t="s">
        <v>3556</v>
      </c>
      <c r="AC3307">
        <v>195</v>
      </c>
      <c r="AD3307">
        <v>116</v>
      </c>
      <c r="AE3307">
        <v>98</v>
      </c>
      <c r="AF3307">
        <v>131.01</v>
      </c>
      <c r="AG3307">
        <v>3.21</v>
      </c>
      <c r="AH3307">
        <v>5.92</v>
      </c>
      <c r="AI3307">
        <v>-0.03</v>
      </c>
      <c r="AJ3307">
        <v>0.03</v>
      </c>
      <c r="AK3307">
        <v>86</v>
      </c>
      <c r="AL3307">
        <v>237</v>
      </c>
      <c r="AM3307">
        <v>138</v>
      </c>
      <c r="AN3307">
        <v>2.13</v>
      </c>
      <c r="AO3307">
        <v>-0.77</v>
      </c>
      <c r="AP3307">
        <v>207</v>
      </c>
      <c r="AQ3307">
        <v>0</v>
      </c>
      <c r="AR3307">
        <v>8.8699999999999992</v>
      </c>
      <c r="AS3307">
        <v>77</v>
      </c>
      <c r="AT3307">
        <v>3.89</v>
      </c>
      <c r="AU3307">
        <v>90</v>
      </c>
      <c r="AV3307">
        <v>0.86</v>
      </c>
      <c r="AW3307">
        <v>95</v>
      </c>
      <c r="AX3307">
        <v>-0.14000000000000001</v>
      </c>
      <c r="AY3307">
        <v>89</v>
      </c>
      <c r="AZ3307">
        <v>5.66</v>
      </c>
      <c r="BA3307">
        <v>72</v>
      </c>
      <c r="BB3307">
        <v>5.14</v>
      </c>
      <c r="BC3307">
        <v>78</v>
      </c>
      <c r="BD3307">
        <v>-0.04</v>
      </c>
      <c r="BE3307">
        <v>0.02</v>
      </c>
      <c r="BF3307">
        <v>0.05</v>
      </c>
      <c r="BG3307">
        <v>95</v>
      </c>
      <c r="BH3307">
        <v>-0.03</v>
      </c>
      <c r="BI3307">
        <v>0.23</v>
      </c>
      <c r="BJ3307">
        <v>36</v>
      </c>
      <c r="BK3307">
        <v>27</v>
      </c>
      <c r="BL3307">
        <v>-0.28999999999999998</v>
      </c>
      <c r="BM3307">
        <v>0.03</v>
      </c>
      <c r="BN3307">
        <v>-1.55</v>
      </c>
      <c r="BO3307">
        <v>-1.18</v>
      </c>
      <c r="BP3307">
        <v>-0.3</v>
      </c>
      <c r="BQ3307">
        <v>-0.25</v>
      </c>
      <c r="BR3307">
        <v>0.6</v>
      </c>
      <c r="BS3307">
        <v>-2.1800000000000002</v>
      </c>
      <c r="BT3307">
        <v>-1.38</v>
      </c>
      <c r="BU3307">
        <v>-1.37</v>
      </c>
      <c r="BV3307">
        <v>-0.85</v>
      </c>
      <c r="BW3307">
        <v>-0.7</v>
      </c>
      <c r="BX3307">
        <v>-0.1</v>
      </c>
      <c r="BY3307">
        <v>-0.71</v>
      </c>
      <c r="BZ3307">
        <v>1.31</v>
      </c>
      <c r="CA3307">
        <v>-1.44</v>
      </c>
      <c r="CB3307">
        <v>-1.66</v>
      </c>
      <c r="CC3307">
        <v>-1.32</v>
      </c>
      <c r="CD3307">
        <v>0.24</v>
      </c>
      <c r="CE3307">
        <v>-0.95</v>
      </c>
      <c r="CF3307">
        <v>-1.2</v>
      </c>
      <c r="CG3307">
        <v>0</v>
      </c>
      <c r="CH3307">
        <v>-1.81</v>
      </c>
      <c r="CI3307">
        <v>0</v>
      </c>
      <c r="CJ3307">
        <v>-1.2</v>
      </c>
      <c r="CK3307">
        <v>96</v>
      </c>
      <c r="CL3307">
        <v>-0.53</v>
      </c>
      <c r="CM3307">
        <v>95</v>
      </c>
      <c r="CN3307">
        <v>-0.08</v>
      </c>
      <c r="CO3307">
        <v>95</v>
      </c>
      <c r="CP3307">
        <v>-7.3</v>
      </c>
      <c r="CQ3307">
        <v>95</v>
      </c>
      <c r="CR3307">
        <v>0</v>
      </c>
      <c r="CS3307">
        <v>0</v>
      </c>
      <c r="CT3307">
        <v>6</v>
      </c>
      <c r="CU3307">
        <v>94</v>
      </c>
      <c r="CV3307">
        <v>0.11</v>
      </c>
      <c r="CW3307">
        <v>45</v>
      </c>
      <c r="CX3307" t="s">
        <v>707</v>
      </c>
    </row>
    <row r="3308" spans="1:102" x14ac:dyDescent="0.3">
      <c r="A3308" t="str">
        <f>HYPERLINK("https://webapp.icbf.com/v2/app/bull-search/view/124414945","NOE")</f>
        <v>NOE</v>
      </c>
      <c r="B3308" t="s">
        <v>1304</v>
      </c>
      <c r="C3308" t="s">
        <v>1305</v>
      </c>
      <c r="D3308" s="1">
        <v>36626</v>
      </c>
      <c r="E3308" t="s">
        <v>108</v>
      </c>
      <c r="F3308">
        <v>0</v>
      </c>
      <c r="G3308" t="s">
        <v>93</v>
      </c>
      <c r="H3308">
        <v>-27.28</v>
      </c>
      <c r="I3308">
        <v>84</v>
      </c>
      <c r="J3308">
        <v>6.67</v>
      </c>
      <c r="K3308">
        <v>94</v>
      </c>
      <c r="L3308">
        <v>-29.67</v>
      </c>
      <c r="M3308">
        <v>78</v>
      </c>
      <c r="N3308">
        <v>6.26</v>
      </c>
      <c r="O3308">
        <v>78</v>
      </c>
      <c r="P3308">
        <v>-22.4</v>
      </c>
      <c r="Q3308">
        <v>92</v>
      </c>
      <c r="R3308">
        <v>-16.02</v>
      </c>
      <c r="S3308">
        <v>79</v>
      </c>
      <c r="T3308">
        <v>29.22</v>
      </c>
      <c r="U3308">
        <v>80</v>
      </c>
      <c r="V3308">
        <v>-1.34</v>
      </c>
      <c r="W3308">
        <v>72</v>
      </c>
      <c r="X3308" t="s">
        <v>102</v>
      </c>
      <c r="Y3308" t="s">
        <v>95</v>
      </c>
      <c r="Z3308" t="s">
        <v>96</v>
      </c>
      <c r="AA3308" t="s">
        <v>479</v>
      </c>
      <c r="AB3308" t="s">
        <v>1306</v>
      </c>
      <c r="AC3308">
        <v>38</v>
      </c>
      <c r="AD3308">
        <v>35</v>
      </c>
      <c r="AE3308">
        <v>94</v>
      </c>
      <c r="AF3308">
        <v>-43.04</v>
      </c>
      <c r="AG3308">
        <v>1.57</v>
      </c>
      <c r="AH3308">
        <v>-0.08</v>
      </c>
      <c r="AI3308">
        <v>0.06</v>
      </c>
      <c r="AJ3308">
        <v>0.02</v>
      </c>
      <c r="AK3308">
        <v>78</v>
      </c>
      <c r="AL3308">
        <v>50</v>
      </c>
      <c r="AM3308">
        <v>40</v>
      </c>
      <c r="AN3308">
        <v>1.29</v>
      </c>
      <c r="AO3308">
        <v>-1.08</v>
      </c>
      <c r="AP3308">
        <v>70</v>
      </c>
      <c r="AQ3308">
        <v>0</v>
      </c>
      <c r="AR3308">
        <v>5.67</v>
      </c>
      <c r="AS3308">
        <v>71</v>
      </c>
      <c r="AT3308">
        <v>2.2000000000000002</v>
      </c>
      <c r="AU3308">
        <v>80</v>
      </c>
      <c r="AV3308">
        <v>-2.04</v>
      </c>
      <c r="AW3308">
        <v>84</v>
      </c>
      <c r="AX3308">
        <v>-0.66</v>
      </c>
      <c r="AY3308">
        <v>79</v>
      </c>
      <c r="AZ3308">
        <v>9.06</v>
      </c>
      <c r="BA3308">
        <v>62</v>
      </c>
      <c r="BB3308">
        <v>8.0299999999999994</v>
      </c>
      <c r="BC3308">
        <v>66</v>
      </c>
      <c r="BD3308">
        <v>0.08</v>
      </c>
      <c r="BE3308">
        <v>0.05</v>
      </c>
      <c r="BF3308">
        <v>0.14000000000000001</v>
      </c>
      <c r="BG3308">
        <v>85</v>
      </c>
      <c r="BH3308">
        <v>-0.01</v>
      </c>
      <c r="BI3308">
        <v>3.15</v>
      </c>
      <c r="BJ3308">
        <v>16</v>
      </c>
      <c r="BK3308">
        <v>13</v>
      </c>
      <c r="BL3308">
        <v>-2.85</v>
      </c>
      <c r="BM3308">
        <v>1.0900000000000001</v>
      </c>
      <c r="BN3308">
        <v>-2.78</v>
      </c>
      <c r="BO3308">
        <v>-2.8</v>
      </c>
      <c r="BP3308">
        <v>-0.14000000000000001</v>
      </c>
      <c r="BQ3308">
        <v>2.56</v>
      </c>
      <c r="BR3308">
        <v>-1.61</v>
      </c>
      <c r="BS3308">
        <v>-1.86</v>
      </c>
      <c r="BT3308">
        <v>-0.06</v>
      </c>
      <c r="BU3308">
        <v>-2.84</v>
      </c>
      <c r="BV3308">
        <v>-1.66</v>
      </c>
      <c r="BW3308">
        <v>-2.0299999999999998</v>
      </c>
      <c r="BX3308">
        <v>-1.76</v>
      </c>
      <c r="BY3308">
        <v>-0.09</v>
      </c>
      <c r="BZ3308">
        <v>-1.95</v>
      </c>
      <c r="CA3308">
        <v>-2.79</v>
      </c>
      <c r="CB3308">
        <v>-2.14</v>
      </c>
      <c r="CC3308">
        <v>-3.08</v>
      </c>
      <c r="CD3308">
        <v>2.0299999999999998</v>
      </c>
      <c r="CE3308">
        <v>-2.37</v>
      </c>
      <c r="CF3308">
        <v>-1.94</v>
      </c>
      <c r="CG3308">
        <v>0</v>
      </c>
      <c r="CH3308">
        <v>0.43</v>
      </c>
      <c r="CI3308">
        <v>0</v>
      </c>
      <c r="CJ3308">
        <v>-12.7</v>
      </c>
      <c r="CK3308">
        <v>93</v>
      </c>
      <c r="CL3308">
        <v>-0.27</v>
      </c>
      <c r="CM3308">
        <v>91</v>
      </c>
      <c r="CN3308">
        <v>-0.12</v>
      </c>
      <c r="CO3308">
        <v>90</v>
      </c>
      <c r="CP3308">
        <v>-23.3</v>
      </c>
      <c r="CQ3308">
        <v>87</v>
      </c>
      <c r="CR3308">
        <v>0</v>
      </c>
      <c r="CS3308">
        <v>0</v>
      </c>
      <c r="CT3308">
        <v>-25.7</v>
      </c>
      <c r="CU3308">
        <v>80</v>
      </c>
      <c r="CV3308">
        <v>-0.03</v>
      </c>
      <c r="CW3308">
        <v>45</v>
      </c>
      <c r="CX3308" t="s">
        <v>1307</v>
      </c>
    </row>
    <row r="3309" spans="1:102" x14ac:dyDescent="0.3">
      <c r="A3309" t="str">
        <f>HYPERLINK("https://webapp.icbf.com/v2/app/bull-search/view/366626426","PGY")</f>
        <v>PGY</v>
      </c>
      <c r="B3309" t="s">
        <v>11803</v>
      </c>
      <c r="C3309" t="s">
        <v>11804</v>
      </c>
      <c r="D3309" s="1">
        <v>38172</v>
      </c>
      <c r="E3309" t="s">
        <v>92</v>
      </c>
      <c r="F3309">
        <v>100</v>
      </c>
      <c r="G3309" t="s">
        <v>93</v>
      </c>
      <c r="H3309">
        <v>-27.43</v>
      </c>
      <c r="I3309">
        <v>82</v>
      </c>
      <c r="J3309">
        <v>45.93</v>
      </c>
      <c r="K3309">
        <v>94</v>
      </c>
      <c r="L3309">
        <v>-74.37</v>
      </c>
      <c r="M3309">
        <v>76</v>
      </c>
      <c r="N3309">
        <v>-10</v>
      </c>
      <c r="O3309">
        <v>78</v>
      </c>
      <c r="P3309">
        <v>-5.61</v>
      </c>
      <c r="Q3309">
        <v>82</v>
      </c>
      <c r="R3309">
        <v>8.86</v>
      </c>
      <c r="S3309">
        <v>76</v>
      </c>
      <c r="T3309">
        <v>9.31</v>
      </c>
      <c r="U3309">
        <v>74</v>
      </c>
      <c r="V3309">
        <v>-1.55</v>
      </c>
      <c r="W3309">
        <v>72</v>
      </c>
      <c r="X3309" t="s">
        <v>94</v>
      </c>
      <c r="Y3309" t="s">
        <v>1164</v>
      </c>
      <c r="Z3309" t="s">
        <v>96</v>
      </c>
      <c r="AA3309" t="s">
        <v>771</v>
      </c>
      <c r="AB3309" t="s">
        <v>1154</v>
      </c>
      <c r="AC3309">
        <v>31</v>
      </c>
      <c r="AD3309">
        <v>22</v>
      </c>
      <c r="AE3309">
        <v>94</v>
      </c>
      <c r="AF3309">
        <v>-17.690000000000001</v>
      </c>
      <c r="AG3309">
        <v>6.42</v>
      </c>
      <c r="AH3309">
        <v>5.27</v>
      </c>
      <c r="AI3309">
        <v>0.12</v>
      </c>
      <c r="AJ3309">
        <v>0.1</v>
      </c>
      <c r="AK3309">
        <v>76</v>
      </c>
      <c r="AL3309">
        <v>32</v>
      </c>
      <c r="AM3309">
        <v>26</v>
      </c>
      <c r="AN3309">
        <v>4.8899999999999997</v>
      </c>
      <c r="AO3309">
        <v>-1.03</v>
      </c>
      <c r="AP3309">
        <v>54</v>
      </c>
      <c r="AQ3309">
        <v>0</v>
      </c>
      <c r="AR3309">
        <v>10.9</v>
      </c>
      <c r="AS3309">
        <v>65</v>
      </c>
      <c r="AT3309">
        <v>4.09</v>
      </c>
      <c r="AU3309">
        <v>80</v>
      </c>
      <c r="AV3309">
        <v>-1.22</v>
      </c>
      <c r="AW3309">
        <v>88</v>
      </c>
      <c r="AX3309">
        <v>-0.53</v>
      </c>
      <c r="AY3309">
        <v>68</v>
      </c>
      <c r="AZ3309">
        <v>6.71</v>
      </c>
      <c r="BA3309">
        <v>59</v>
      </c>
      <c r="BB3309">
        <v>5.19</v>
      </c>
      <c r="BC3309">
        <v>60</v>
      </c>
      <c r="BD3309">
        <v>-7.0000000000000007E-2</v>
      </c>
      <c r="BE3309">
        <v>-0.03</v>
      </c>
      <c r="BF3309">
        <v>-0.03</v>
      </c>
      <c r="BG3309">
        <v>84</v>
      </c>
      <c r="BH3309">
        <v>0.04</v>
      </c>
      <c r="BI3309">
        <v>9.6300000000000008</v>
      </c>
      <c r="BJ3309">
        <v>0</v>
      </c>
      <c r="BK3309">
        <v>0</v>
      </c>
      <c r="BL3309">
        <v>0.86</v>
      </c>
      <c r="BM3309">
        <v>0.64</v>
      </c>
      <c r="BN3309">
        <v>1.3</v>
      </c>
      <c r="BO3309">
        <v>0.43</v>
      </c>
      <c r="BP3309">
        <v>1.1499999999999999</v>
      </c>
      <c r="BQ3309">
        <v>-7.0000000000000007E-2</v>
      </c>
      <c r="BR3309">
        <v>-0.59</v>
      </c>
      <c r="BS3309">
        <v>-1.93</v>
      </c>
      <c r="BT3309">
        <v>0.37</v>
      </c>
      <c r="BU3309">
        <v>0.57999999999999996</v>
      </c>
      <c r="BV3309">
        <v>-0.4</v>
      </c>
      <c r="BW3309">
        <v>1.06</v>
      </c>
      <c r="BX3309">
        <v>-7.0000000000000007E-2</v>
      </c>
      <c r="BY3309">
        <v>1.08</v>
      </c>
      <c r="BZ3309">
        <v>-0.59</v>
      </c>
      <c r="CA3309">
        <v>0.06</v>
      </c>
      <c r="CB3309">
        <v>0.55000000000000004</v>
      </c>
      <c r="CC3309">
        <v>-0.78</v>
      </c>
      <c r="CD3309">
        <v>-0.01</v>
      </c>
      <c r="CE3309">
        <v>0.06</v>
      </c>
      <c r="CF3309">
        <v>-0.19</v>
      </c>
      <c r="CG3309">
        <v>0</v>
      </c>
      <c r="CH3309">
        <v>0.48</v>
      </c>
      <c r="CI3309">
        <v>0</v>
      </c>
      <c r="CJ3309">
        <v>-1</v>
      </c>
      <c r="CK3309">
        <v>84</v>
      </c>
      <c r="CL3309">
        <v>-0.77</v>
      </c>
      <c r="CM3309">
        <v>81</v>
      </c>
      <c r="CN3309">
        <v>-0.37</v>
      </c>
      <c r="CO3309">
        <v>79</v>
      </c>
      <c r="CP3309">
        <v>-4.0999999999999996</v>
      </c>
      <c r="CQ3309">
        <v>81</v>
      </c>
      <c r="CR3309">
        <v>0</v>
      </c>
      <c r="CS3309">
        <v>0</v>
      </c>
      <c r="CT3309">
        <v>1.2</v>
      </c>
      <c r="CU3309">
        <v>74</v>
      </c>
      <c r="CV3309">
        <v>0.19</v>
      </c>
      <c r="CW3309">
        <v>44</v>
      </c>
      <c r="CX3309" t="s">
        <v>751</v>
      </c>
    </row>
    <row r="3310" spans="1:102" x14ac:dyDescent="0.3">
      <c r="A3310" t="str">
        <f>HYPERLINK("https://webapp.icbf.com/v2/app/bull-search/view/586059526","S2108")</f>
        <v>S2108</v>
      </c>
      <c r="B3310" t="s">
        <v>2007</v>
      </c>
      <c r="C3310" t="s">
        <v>2008</v>
      </c>
      <c r="D3310" s="1">
        <v>37930</v>
      </c>
      <c r="E3310" t="s">
        <v>92</v>
      </c>
      <c r="F3310">
        <v>100</v>
      </c>
      <c r="G3310" t="s">
        <v>109</v>
      </c>
      <c r="H3310">
        <v>-27.45</v>
      </c>
      <c r="I3310">
        <v>81</v>
      </c>
      <c r="J3310">
        <v>47.68</v>
      </c>
      <c r="K3310">
        <v>93</v>
      </c>
      <c r="L3310">
        <v>-66.39</v>
      </c>
      <c r="M3310">
        <v>85</v>
      </c>
      <c r="N3310">
        <v>2.0099999999999998</v>
      </c>
      <c r="O3310">
        <v>72</v>
      </c>
      <c r="P3310">
        <v>-0.3</v>
      </c>
      <c r="Q3310">
        <v>65</v>
      </c>
      <c r="R3310">
        <v>-5.61</v>
      </c>
      <c r="S3310">
        <v>74</v>
      </c>
      <c r="T3310">
        <v>3.02</v>
      </c>
      <c r="U3310">
        <v>52</v>
      </c>
      <c r="V3310">
        <v>-7.86</v>
      </c>
      <c r="W3310">
        <v>61</v>
      </c>
      <c r="X3310" t="s">
        <v>110</v>
      </c>
      <c r="Y3310" t="s">
        <v>367</v>
      </c>
      <c r="Z3310" t="s">
        <v>96</v>
      </c>
      <c r="AA3310" t="s">
        <v>2009</v>
      </c>
      <c r="AB3310" t="s">
        <v>2010</v>
      </c>
      <c r="AC3310">
        <v>0</v>
      </c>
      <c r="AD3310">
        <v>0</v>
      </c>
      <c r="AE3310">
        <v>93</v>
      </c>
      <c r="AF3310">
        <v>158.41</v>
      </c>
      <c r="AG3310">
        <v>7.05</v>
      </c>
      <c r="AH3310">
        <v>8.0399999999999991</v>
      </c>
      <c r="AI3310">
        <v>0.02</v>
      </c>
      <c r="AJ3310">
        <v>0.05</v>
      </c>
      <c r="AK3310">
        <v>85</v>
      </c>
      <c r="AL3310">
        <v>0</v>
      </c>
      <c r="AM3310">
        <v>0</v>
      </c>
      <c r="AN3310">
        <v>3.2</v>
      </c>
      <c r="AO3310">
        <v>-2.1</v>
      </c>
      <c r="AP3310">
        <v>30</v>
      </c>
      <c r="AQ3310">
        <v>1</v>
      </c>
      <c r="AR3310">
        <v>8.6</v>
      </c>
      <c r="AS3310">
        <v>55</v>
      </c>
      <c r="AT3310">
        <v>3.68</v>
      </c>
      <c r="AU3310">
        <v>91</v>
      </c>
      <c r="AV3310">
        <v>-1.23</v>
      </c>
      <c r="AW3310">
        <v>78</v>
      </c>
      <c r="AX3310">
        <v>-0.84</v>
      </c>
      <c r="AY3310">
        <v>58</v>
      </c>
      <c r="AZ3310">
        <v>6.28</v>
      </c>
      <c r="BA3310">
        <v>46</v>
      </c>
      <c r="BB3310">
        <v>5.43</v>
      </c>
      <c r="BC3310">
        <v>42</v>
      </c>
      <c r="BD3310">
        <v>0</v>
      </c>
      <c r="BE3310">
        <v>0.01</v>
      </c>
      <c r="BF3310">
        <v>0.11</v>
      </c>
      <c r="BG3310">
        <v>91</v>
      </c>
      <c r="BH3310">
        <v>-0.28000000000000003</v>
      </c>
      <c r="BI3310">
        <v>-7.03</v>
      </c>
      <c r="BJ3310">
        <v>4</v>
      </c>
      <c r="BK3310">
        <v>2</v>
      </c>
      <c r="BL3310">
        <v>0.86</v>
      </c>
      <c r="BM3310">
        <v>-0.09</v>
      </c>
      <c r="BN3310">
        <v>-0.33</v>
      </c>
      <c r="BO3310">
        <v>0.56999999999999995</v>
      </c>
      <c r="BP3310">
        <v>-0.34</v>
      </c>
      <c r="BQ3310">
        <v>0.55000000000000004</v>
      </c>
      <c r="BR3310">
        <v>-2.2000000000000002</v>
      </c>
      <c r="BS3310">
        <v>-0.03</v>
      </c>
      <c r="BT3310">
        <v>2.2200000000000002</v>
      </c>
      <c r="BU3310">
        <v>0.52</v>
      </c>
      <c r="BV3310">
        <v>1.2</v>
      </c>
      <c r="BW3310">
        <v>0.15</v>
      </c>
      <c r="BX3310">
        <v>1.54</v>
      </c>
      <c r="BY3310">
        <v>-2.19</v>
      </c>
      <c r="BZ3310">
        <v>-1.64</v>
      </c>
      <c r="CA3310">
        <v>0.41</v>
      </c>
      <c r="CB3310">
        <v>0.38</v>
      </c>
      <c r="CC3310">
        <v>-7.0000000000000007E-2</v>
      </c>
      <c r="CD3310">
        <v>-0.13</v>
      </c>
      <c r="CE3310">
        <v>1.1100000000000001</v>
      </c>
      <c r="CF3310">
        <v>1</v>
      </c>
      <c r="CG3310">
        <v>0</v>
      </c>
      <c r="CH3310">
        <v>-1.9</v>
      </c>
      <c r="CI3310">
        <v>0</v>
      </c>
      <c r="CJ3310">
        <v>-0.8</v>
      </c>
      <c r="CK3310">
        <v>69</v>
      </c>
      <c r="CL3310">
        <v>-0.45</v>
      </c>
      <c r="CM3310">
        <v>62</v>
      </c>
      <c r="CN3310">
        <v>-0.51</v>
      </c>
      <c r="CO3310">
        <v>60</v>
      </c>
      <c r="CP3310">
        <v>-3.5</v>
      </c>
      <c r="CQ3310">
        <v>57</v>
      </c>
      <c r="CR3310">
        <v>0</v>
      </c>
      <c r="CS3310">
        <v>0</v>
      </c>
      <c r="CT3310">
        <v>9.6999999999999993</v>
      </c>
      <c r="CU3310">
        <v>52</v>
      </c>
      <c r="CV3310">
        <v>0.06</v>
      </c>
      <c r="CW3310">
        <v>40</v>
      </c>
      <c r="CX3310" t="s">
        <v>643</v>
      </c>
    </row>
    <row r="3311" spans="1:102" x14ac:dyDescent="0.3">
      <c r="A3311" t="str">
        <f>HYPERLINK("https://webapp.icbf.com/v2/app/bull-search/view/77856940","HIR")</f>
        <v>HIR</v>
      </c>
      <c r="B3311" t="s">
        <v>641</v>
      </c>
      <c r="C3311" t="s">
        <v>642</v>
      </c>
      <c r="D3311" s="1">
        <v>35969</v>
      </c>
      <c r="E3311" t="s">
        <v>92</v>
      </c>
      <c r="F3311">
        <v>97</v>
      </c>
      <c r="G3311" t="s">
        <v>93</v>
      </c>
      <c r="H3311">
        <v>-27.49</v>
      </c>
      <c r="I3311">
        <v>71</v>
      </c>
      <c r="J3311">
        <v>8.07</v>
      </c>
      <c r="K3311">
        <v>89</v>
      </c>
      <c r="L3311">
        <v>-21.36</v>
      </c>
      <c r="M3311">
        <v>57</v>
      </c>
      <c r="N3311">
        <v>-12.88</v>
      </c>
      <c r="O3311">
        <v>64</v>
      </c>
      <c r="P3311">
        <v>-4.95</v>
      </c>
      <c r="Q3311">
        <v>84</v>
      </c>
      <c r="R3311">
        <v>-0.64</v>
      </c>
      <c r="S3311">
        <v>60</v>
      </c>
      <c r="T3311">
        <v>12.79</v>
      </c>
      <c r="U3311">
        <v>73</v>
      </c>
      <c r="V3311">
        <v>-8.52</v>
      </c>
      <c r="W3311">
        <v>39</v>
      </c>
      <c r="X3311" t="s">
        <v>558</v>
      </c>
      <c r="Y3311" t="s">
        <v>95</v>
      </c>
      <c r="Z3311" t="s">
        <v>96</v>
      </c>
      <c r="AA3311" t="s">
        <v>643</v>
      </c>
      <c r="AB3311" t="s">
        <v>644</v>
      </c>
      <c r="AC3311">
        <v>42</v>
      </c>
      <c r="AD3311">
        <v>34</v>
      </c>
      <c r="AE3311">
        <v>89</v>
      </c>
      <c r="AF3311">
        <v>14.09</v>
      </c>
      <c r="AG3311">
        <v>2.71</v>
      </c>
      <c r="AH3311">
        <v>0.63</v>
      </c>
      <c r="AI3311">
        <v>0.04</v>
      </c>
      <c r="AJ3311">
        <v>0</v>
      </c>
      <c r="AK3311">
        <v>57</v>
      </c>
      <c r="AL3311">
        <v>43</v>
      </c>
      <c r="AM3311">
        <v>30</v>
      </c>
      <c r="AN3311">
        <v>-0.1</v>
      </c>
      <c r="AO3311">
        <v>-1.82</v>
      </c>
      <c r="AP3311">
        <v>22</v>
      </c>
      <c r="AQ3311">
        <v>4</v>
      </c>
      <c r="AR3311">
        <v>10.66</v>
      </c>
      <c r="AS3311">
        <v>47</v>
      </c>
      <c r="AT3311">
        <v>4.49</v>
      </c>
      <c r="AU3311">
        <v>69</v>
      </c>
      <c r="AV3311">
        <v>-1.29</v>
      </c>
      <c r="AW3311">
        <v>69</v>
      </c>
      <c r="AX3311">
        <v>-0.78</v>
      </c>
      <c r="AY3311">
        <v>66</v>
      </c>
      <c r="AZ3311">
        <v>6.97</v>
      </c>
      <c r="BA3311">
        <v>48</v>
      </c>
      <c r="BB3311">
        <v>5.18</v>
      </c>
      <c r="BC3311">
        <v>49</v>
      </c>
      <c r="BD3311">
        <v>-0.02</v>
      </c>
      <c r="BE3311">
        <v>0.02</v>
      </c>
      <c r="BF3311">
        <v>0.01</v>
      </c>
      <c r="BG3311">
        <v>71</v>
      </c>
      <c r="BH3311">
        <v>-0.17</v>
      </c>
      <c r="BI3311">
        <v>7.82</v>
      </c>
      <c r="BJ3311">
        <v>24</v>
      </c>
      <c r="BK3311">
        <v>13</v>
      </c>
      <c r="BL3311">
        <v>-0.39</v>
      </c>
      <c r="BM3311">
        <v>-1.56</v>
      </c>
      <c r="BN3311">
        <v>-1.37</v>
      </c>
      <c r="BO3311">
        <v>-0.15</v>
      </c>
      <c r="BP3311">
        <v>2.2200000000000002</v>
      </c>
      <c r="BQ3311">
        <v>-2.97</v>
      </c>
      <c r="BR3311">
        <v>1.87</v>
      </c>
      <c r="BS3311">
        <v>-0.92</v>
      </c>
      <c r="BT3311">
        <v>-2.0699999999999998</v>
      </c>
      <c r="BU3311">
        <v>0.13</v>
      </c>
      <c r="BV3311">
        <v>0.8</v>
      </c>
      <c r="BW3311">
        <v>1.0900000000000001</v>
      </c>
      <c r="BX3311">
        <v>0.82</v>
      </c>
      <c r="BY3311">
        <v>0.11</v>
      </c>
      <c r="BZ3311">
        <v>-0.15</v>
      </c>
      <c r="CA3311">
        <v>0.06</v>
      </c>
      <c r="CB3311">
        <v>0.55000000000000004</v>
      </c>
      <c r="CC3311">
        <v>-1.1599999999999999</v>
      </c>
      <c r="CD3311">
        <v>-0.33</v>
      </c>
      <c r="CE3311">
        <v>0.26</v>
      </c>
      <c r="CF3311">
        <v>-0.88</v>
      </c>
      <c r="CG3311">
        <v>0</v>
      </c>
      <c r="CH3311">
        <v>1.1000000000000001</v>
      </c>
      <c r="CI3311">
        <v>0</v>
      </c>
      <c r="CJ3311">
        <v>-0.9</v>
      </c>
      <c r="CK3311">
        <v>85</v>
      </c>
      <c r="CL3311">
        <v>-0.53</v>
      </c>
      <c r="CM3311">
        <v>82</v>
      </c>
      <c r="CN3311">
        <v>-0.23</v>
      </c>
      <c r="CO3311">
        <v>80</v>
      </c>
      <c r="CP3311">
        <v>-6.2</v>
      </c>
      <c r="CQ3311">
        <v>83</v>
      </c>
      <c r="CR3311">
        <v>0</v>
      </c>
      <c r="CS3311">
        <v>0</v>
      </c>
      <c r="CT3311">
        <v>-3.5</v>
      </c>
      <c r="CU3311">
        <v>73</v>
      </c>
      <c r="CV3311">
        <v>0.22</v>
      </c>
      <c r="CW3311">
        <v>25</v>
      </c>
      <c r="CX3311" t="s">
        <v>193</v>
      </c>
    </row>
    <row r="3312" spans="1:102" x14ac:dyDescent="0.3">
      <c r="A3312" t="str">
        <f>HYPERLINK("https://webapp.icbf.com/v2/app/bull-search/view/159238506","JIX")</f>
        <v>JIX</v>
      </c>
      <c r="B3312" t="s">
        <v>8733</v>
      </c>
      <c r="C3312" t="s">
        <v>8734</v>
      </c>
      <c r="D3312" s="1">
        <v>34367</v>
      </c>
      <c r="E3312" t="s">
        <v>197</v>
      </c>
      <c r="F3312">
        <v>0</v>
      </c>
      <c r="G3312" t="s">
        <v>116</v>
      </c>
      <c r="H3312">
        <v>-27.6</v>
      </c>
      <c r="I3312">
        <v>47</v>
      </c>
      <c r="J3312">
        <v>-16.82</v>
      </c>
      <c r="K3312">
        <v>69</v>
      </c>
      <c r="L3312">
        <v>26.12</v>
      </c>
      <c r="M3312">
        <v>27</v>
      </c>
      <c r="N3312">
        <v>-57.24</v>
      </c>
      <c r="O3312">
        <v>47</v>
      </c>
      <c r="P3312">
        <v>17.07</v>
      </c>
      <c r="Q3312">
        <v>62</v>
      </c>
      <c r="R3312">
        <v>3.83</v>
      </c>
      <c r="S3312">
        <v>32</v>
      </c>
      <c r="T3312">
        <v>3.24</v>
      </c>
      <c r="U3312">
        <v>46</v>
      </c>
      <c r="V3312">
        <v>-3.8</v>
      </c>
      <c r="W3312">
        <v>17</v>
      </c>
      <c r="X3312" t="s">
        <v>102</v>
      </c>
      <c r="Y3312" t="s">
        <v>95</v>
      </c>
      <c r="Z3312">
        <v>0</v>
      </c>
      <c r="AA3312" t="s">
        <v>202</v>
      </c>
      <c r="AB3312" t="s">
        <v>524</v>
      </c>
      <c r="AC3312">
        <v>8</v>
      </c>
      <c r="AD3312">
        <v>3</v>
      </c>
      <c r="AE3312">
        <v>69</v>
      </c>
      <c r="AF3312">
        <v>-165.99</v>
      </c>
      <c r="AG3312">
        <v>-4.13</v>
      </c>
      <c r="AH3312">
        <v>-3.94</v>
      </c>
      <c r="AI3312">
        <v>0.04</v>
      </c>
      <c r="AJ3312">
        <v>0.03</v>
      </c>
      <c r="AK3312">
        <v>27</v>
      </c>
      <c r="AL3312">
        <v>6</v>
      </c>
      <c r="AM3312">
        <v>5</v>
      </c>
      <c r="AN3312">
        <v>-3.2</v>
      </c>
      <c r="AO3312">
        <v>-1.1399999999999999</v>
      </c>
      <c r="AP3312">
        <v>19</v>
      </c>
      <c r="AQ3312">
        <v>0</v>
      </c>
      <c r="AR3312">
        <v>7.84</v>
      </c>
      <c r="AS3312">
        <v>28</v>
      </c>
      <c r="AT3312">
        <v>6.76</v>
      </c>
      <c r="AU3312">
        <v>39</v>
      </c>
      <c r="AV3312">
        <v>2.98</v>
      </c>
      <c r="AW3312">
        <v>69</v>
      </c>
      <c r="AX3312">
        <v>-0.2</v>
      </c>
      <c r="AY3312">
        <v>38</v>
      </c>
      <c r="AZ3312">
        <v>6.07</v>
      </c>
      <c r="BA3312">
        <v>19</v>
      </c>
      <c r="BB3312">
        <v>3.45</v>
      </c>
      <c r="BC3312">
        <v>22</v>
      </c>
      <c r="BD3312">
        <v>0.03</v>
      </c>
      <c r="BE3312">
        <v>-0.02</v>
      </c>
      <c r="BF3312">
        <v>-0.1</v>
      </c>
      <c r="BG3312">
        <v>40</v>
      </c>
      <c r="BH3312">
        <v>-0.14000000000000001</v>
      </c>
      <c r="BI3312">
        <v>-3.94</v>
      </c>
      <c r="BJ3312">
        <v>0</v>
      </c>
      <c r="BK3312">
        <v>0</v>
      </c>
      <c r="BL3312">
        <v>-0.83</v>
      </c>
      <c r="BM3312">
        <v>0.95</v>
      </c>
      <c r="BN3312">
        <v>-0.77</v>
      </c>
      <c r="BO3312">
        <v>-1.28</v>
      </c>
      <c r="BP3312">
        <v>0.32</v>
      </c>
      <c r="BQ3312">
        <v>0.27</v>
      </c>
      <c r="BR3312">
        <v>-0.28000000000000003</v>
      </c>
      <c r="BS3312">
        <v>0.4</v>
      </c>
      <c r="BT3312">
        <v>-0.06</v>
      </c>
      <c r="BU3312">
        <v>-0.74</v>
      </c>
      <c r="BV3312">
        <v>-1.1499999999999999</v>
      </c>
      <c r="BW3312">
        <v>-1.2</v>
      </c>
      <c r="BX3312">
        <v>-0.38</v>
      </c>
      <c r="BY3312">
        <v>-1.17</v>
      </c>
      <c r="BZ3312">
        <v>0.13</v>
      </c>
      <c r="CA3312">
        <v>-1.1000000000000001</v>
      </c>
      <c r="CB3312">
        <v>-1.1499999999999999</v>
      </c>
      <c r="CC3312">
        <v>-0.57999999999999996</v>
      </c>
      <c r="CD3312">
        <v>1.25</v>
      </c>
      <c r="CE3312">
        <v>-1.26</v>
      </c>
      <c r="CF3312">
        <v>-0.64</v>
      </c>
      <c r="CG3312">
        <v>0</v>
      </c>
      <c r="CH3312">
        <v>-0.93</v>
      </c>
      <c r="CI3312">
        <v>0</v>
      </c>
      <c r="CJ3312">
        <v>9.6999999999999993</v>
      </c>
      <c r="CK3312">
        <v>65</v>
      </c>
      <c r="CL3312">
        <v>0.2</v>
      </c>
      <c r="CM3312">
        <v>61</v>
      </c>
      <c r="CN3312">
        <v>-0.05</v>
      </c>
      <c r="CO3312">
        <v>57</v>
      </c>
      <c r="CP3312">
        <v>6.9</v>
      </c>
      <c r="CQ3312">
        <v>56</v>
      </c>
      <c r="CR3312">
        <v>0</v>
      </c>
      <c r="CS3312">
        <v>0</v>
      </c>
      <c r="CT3312">
        <v>9.4</v>
      </c>
      <c r="CU3312">
        <v>46</v>
      </c>
      <c r="CV3312">
        <v>0.05</v>
      </c>
      <c r="CW3312">
        <v>17</v>
      </c>
      <c r="CX3312" t="s">
        <v>3263</v>
      </c>
    </row>
    <row r="3313" spans="1:102" x14ac:dyDescent="0.3">
      <c r="A3313" t="str">
        <f>HYPERLINK("https://webapp.icbf.com/v2/app/bull-search/view/77854303","PUD")</f>
        <v>PUD</v>
      </c>
      <c r="B3313" t="s">
        <v>6646</v>
      </c>
      <c r="C3313" t="s">
        <v>6647</v>
      </c>
      <c r="D3313" s="1">
        <v>32095</v>
      </c>
      <c r="E3313" t="s">
        <v>108</v>
      </c>
      <c r="F3313">
        <v>38</v>
      </c>
      <c r="G3313" t="s">
        <v>435</v>
      </c>
      <c r="H3313">
        <v>-27.62</v>
      </c>
      <c r="I3313">
        <v>65</v>
      </c>
      <c r="J3313">
        <v>-70.819999999999993</v>
      </c>
      <c r="K3313">
        <v>81</v>
      </c>
      <c r="L3313">
        <v>47.16</v>
      </c>
      <c r="M3313">
        <v>62</v>
      </c>
      <c r="N3313">
        <v>-7.21</v>
      </c>
      <c r="O3313">
        <v>53</v>
      </c>
      <c r="P3313">
        <v>-20.11</v>
      </c>
      <c r="Q3313">
        <v>50</v>
      </c>
      <c r="R3313">
        <v>-0.3</v>
      </c>
      <c r="S3313">
        <v>60</v>
      </c>
      <c r="T3313">
        <v>24.63</v>
      </c>
      <c r="U3313">
        <v>48</v>
      </c>
      <c r="V3313">
        <v>-0.97</v>
      </c>
      <c r="W3313">
        <v>47</v>
      </c>
      <c r="X3313" t="s">
        <v>102</v>
      </c>
      <c r="Y3313" t="s">
        <v>95</v>
      </c>
      <c r="Z3313" t="s">
        <v>96</v>
      </c>
      <c r="AA3313" t="s">
        <v>911</v>
      </c>
      <c r="AB3313" t="s">
        <v>6648</v>
      </c>
      <c r="AC3313">
        <v>4</v>
      </c>
      <c r="AD3313">
        <v>1</v>
      </c>
      <c r="AE3313">
        <v>81</v>
      </c>
      <c r="AF3313">
        <v>-230.45</v>
      </c>
      <c r="AG3313">
        <v>-9.8699999999999992</v>
      </c>
      <c r="AH3313">
        <v>-12.08</v>
      </c>
      <c r="AI3313">
        <v>-0.02</v>
      </c>
      <c r="AJ3313">
        <v>-0.08</v>
      </c>
      <c r="AK3313">
        <v>62</v>
      </c>
      <c r="AL3313">
        <v>18</v>
      </c>
      <c r="AM3313">
        <v>10</v>
      </c>
      <c r="AN3313">
        <v>-3.44</v>
      </c>
      <c r="AO3313">
        <v>0.31</v>
      </c>
      <c r="AP3313">
        <v>10</v>
      </c>
      <c r="AQ3313">
        <v>1</v>
      </c>
      <c r="AR3313">
        <v>5.44</v>
      </c>
      <c r="AS3313">
        <v>49</v>
      </c>
      <c r="AT3313">
        <v>2.0099999999999998</v>
      </c>
      <c r="AU3313">
        <v>55</v>
      </c>
      <c r="AV3313">
        <v>2.23</v>
      </c>
      <c r="AW3313">
        <v>57</v>
      </c>
      <c r="AX3313">
        <v>-0.68</v>
      </c>
      <c r="AY3313">
        <v>55</v>
      </c>
      <c r="AZ3313">
        <v>7.33</v>
      </c>
      <c r="BA3313">
        <v>36</v>
      </c>
      <c r="BB3313">
        <v>5.64</v>
      </c>
      <c r="BC3313">
        <v>42</v>
      </c>
      <c r="BD3313">
        <v>0.03</v>
      </c>
      <c r="BE3313">
        <v>0.03</v>
      </c>
      <c r="BF3313">
        <v>-0.1</v>
      </c>
      <c r="BG3313">
        <v>74</v>
      </c>
      <c r="BH3313">
        <v>-0.05</v>
      </c>
      <c r="BI3313">
        <v>-2.64</v>
      </c>
      <c r="BJ3313">
        <v>3</v>
      </c>
      <c r="BK3313">
        <v>2</v>
      </c>
      <c r="BL3313">
        <v>-1.64</v>
      </c>
      <c r="BM3313">
        <v>0.79</v>
      </c>
      <c r="BN3313">
        <v>-2.48</v>
      </c>
      <c r="BO3313">
        <v>-2.82</v>
      </c>
      <c r="BP3313">
        <v>-0.15</v>
      </c>
      <c r="BQ3313">
        <v>0.18</v>
      </c>
      <c r="BR3313">
        <v>-0.39</v>
      </c>
      <c r="BS3313">
        <v>-0.3</v>
      </c>
      <c r="BT3313">
        <v>0.7</v>
      </c>
      <c r="BU3313">
        <v>-0.45</v>
      </c>
      <c r="BV3313">
        <v>-0.94</v>
      </c>
      <c r="BW3313">
        <v>-1.37</v>
      </c>
      <c r="BX3313">
        <v>-1.6</v>
      </c>
      <c r="BY3313">
        <v>-0.77</v>
      </c>
      <c r="BZ3313">
        <v>-2.73</v>
      </c>
      <c r="CA3313">
        <v>-0.98</v>
      </c>
      <c r="CB3313">
        <v>-1.1299999999999999</v>
      </c>
      <c r="CC3313">
        <v>-1.03</v>
      </c>
      <c r="CD3313">
        <v>2.4900000000000002</v>
      </c>
      <c r="CE3313">
        <v>-2.58</v>
      </c>
      <c r="CF3313">
        <v>-2.2200000000000002</v>
      </c>
      <c r="CG3313">
        <v>0</v>
      </c>
      <c r="CH3313">
        <v>-0.26</v>
      </c>
      <c r="CI3313">
        <v>0</v>
      </c>
      <c r="CJ3313">
        <v>-11</v>
      </c>
      <c r="CK3313">
        <v>51</v>
      </c>
      <c r="CL3313">
        <v>-0.3</v>
      </c>
      <c r="CM3313">
        <v>50</v>
      </c>
      <c r="CN3313">
        <v>-0.02</v>
      </c>
      <c r="CO3313">
        <v>48</v>
      </c>
      <c r="CP3313">
        <v>-13.8</v>
      </c>
      <c r="CQ3313">
        <v>51</v>
      </c>
      <c r="CR3313">
        <v>0</v>
      </c>
      <c r="CS3313">
        <v>0</v>
      </c>
      <c r="CT3313">
        <v>-19.5</v>
      </c>
      <c r="CU3313">
        <v>48</v>
      </c>
      <c r="CV3313">
        <v>-0.15</v>
      </c>
      <c r="CW3313">
        <v>35</v>
      </c>
      <c r="CX3313" t="s">
        <v>6649</v>
      </c>
    </row>
    <row r="3314" spans="1:102" x14ac:dyDescent="0.3">
      <c r="A3314" t="str">
        <f>HYPERLINK("https://webapp.icbf.com/v2/app/bull-search/view/1592649547","MO4455")</f>
        <v>MO4455</v>
      </c>
      <c r="B3314" t="s">
        <v>440</v>
      </c>
      <c r="C3314" t="s">
        <v>441</v>
      </c>
      <c r="D3314" s="1">
        <v>42315</v>
      </c>
      <c r="E3314" t="s">
        <v>140</v>
      </c>
      <c r="F3314">
        <v>0</v>
      </c>
      <c r="G3314" t="s">
        <v>435</v>
      </c>
      <c r="H3314">
        <v>-27.75</v>
      </c>
      <c r="I3314">
        <v>55</v>
      </c>
      <c r="J3314">
        <v>-0.31</v>
      </c>
      <c r="K3314">
        <v>71</v>
      </c>
      <c r="L3314">
        <v>-34.71</v>
      </c>
      <c r="M3314">
        <v>50</v>
      </c>
      <c r="N3314">
        <v>-11.69</v>
      </c>
      <c r="O3314">
        <v>63</v>
      </c>
      <c r="P3314">
        <v>10.73</v>
      </c>
      <c r="Q3314">
        <v>34</v>
      </c>
      <c r="R3314">
        <v>6.31</v>
      </c>
      <c r="S3314">
        <v>49</v>
      </c>
      <c r="T3314">
        <v>18.71</v>
      </c>
      <c r="U3314">
        <v>32</v>
      </c>
      <c r="V3314">
        <v>-16.79</v>
      </c>
      <c r="W3314">
        <v>47</v>
      </c>
      <c r="X3314" t="s">
        <v>102</v>
      </c>
      <c r="Y3314" t="s">
        <v>442</v>
      </c>
      <c r="Z3314">
        <v>0</v>
      </c>
      <c r="AA3314" t="s">
        <v>443</v>
      </c>
      <c r="AB3314" t="s">
        <v>444</v>
      </c>
      <c r="AC3314">
        <v>0</v>
      </c>
      <c r="AD3314">
        <v>0</v>
      </c>
      <c r="AE3314">
        <v>71</v>
      </c>
      <c r="AF3314">
        <v>-40.1</v>
      </c>
      <c r="AG3314">
        <v>-3.07</v>
      </c>
      <c r="AH3314">
        <v>0.42</v>
      </c>
      <c r="AI3314">
        <v>-0.03</v>
      </c>
      <c r="AJ3314">
        <v>0.04</v>
      </c>
      <c r="AK3314">
        <v>50</v>
      </c>
      <c r="AL3314">
        <v>0</v>
      </c>
      <c r="AM3314">
        <v>0</v>
      </c>
      <c r="AN3314">
        <v>2.5299999999999998</v>
      </c>
      <c r="AO3314">
        <v>-0.23</v>
      </c>
      <c r="AP3314">
        <v>83</v>
      </c>
      <c r="AQ3314">
        <v>0</v>
      </c>
      <c r="AR3314">
        <v>8.84</v>
      </c>
      <c r="AS3314">
        <v>36</v>
      </c>
      <c r="AT3314">
        <v>3.7</v>
      </c>
      <c r="AU3314">
        <v>73</v>
      </c>
      <c r="AV3314">
        <v>1.6</v>
      </c>
      <c r="AW3314">
        <v>77</v>
      </c>
      <c r="AX3314">
        <v>-0.31</v>
      </c>
      <c r="AY3314">
        <v>55</v>
      </c>
      <c r="AZ3314">
        <v>5.32</v>
      </c>
      <c r="BA3314">
        <v>30</v>
      </c>
      <c r="BB3314">
        <v>3.25</v>
      </c>
      <c r="BC3314">
        <v>30</v>
      </c>
      <c r="BD3314">
        <v>0</v>
      </c>
      <c r="BE3314">
        <v>-0.05</v>
      </c>
      <c r="BF3314">
        <v>-0.05</v>
      </c>
      <c r="BG3314">
        <v>53</v>
      </c>
      <c r="BH3314">
        <v>-0.44</v>
      </c>
      <c r="BI3314">
        <v>3.26</v>
      </c>
      <c r="BJ3314">
        <v>0</v>
      </c>
      <c r="BK3314">
        <v>0</v>
      </c>
      <c r="BL3314">
        <v>-0.57999999999999996</v>
      </c>
      <c r="BM3314">
        <v>2.5099999999999998</v>
      </c>
      <c r="BN3314">
        <v>-1.25</v>
      </c>
      <c r="BO3314">
        <v>-2.16</v>
      </c>
      <c r="BP3314">
        <v>3.19</v>
      </c>
      <c r="BQ3314">
        <v>-1.53</v>
      </c>
      <c r="BR3314">
        <v>-1.98</v>
      </c>
      <c r="BS3314">
        <v>-0.34</v>
      </c>
      <c r="BT3314">
        <v>1.87</v>
      </c>
      <c r="BU3314">
        <v>-2.54</v>
      </c>
      <c r="BV3314">
        <v>-2.88</v>
      </c>
      <c r="BW3314">
        <v>-2.19</v>
      </c>
      <c r="BX3314">
        <v>-1.99</v>
      </c>
      <c r="BY3314">
        <v>-1.5</v>
      </c>
      <c r="BZ3314">
        <v>0.84</v>
      </c>
      <c r="CA3314">
        <v>-1.81</v>
      </c>
      <c r="CB3314">
        <v>-2.34</v>
      </c>
      <c r="CC3314">
        <v>-0.25</v>
      </c>
      <c r="CD3314">
        <v>2.85</v>
      </c>
      <c r="CE3314">
        <v>-2.12</v>
      </c>
      <c r="CF3314">
        <v>-0.76</v>
      </c>
      <c r="CG3314">
        <v>0</v>
      </c>
      <c r="CH3314">
        <v>-1.87</v>
      </c>
      <c r="CI3314">
        <v>0</v>
      </c>
      <c r="CJ3314">
        <v>4.8</v>
      </c>
      <c r="CK3314">
        <v>34</v>
      </c>
      <c r="CL3314">
        <v>0.21</v>
      </c>
      <c r="CM3314">
        <v>34</v>
      </c>
      <c r="CN3314">
        <v>-0.19</v>
      </c>
      <c r="CO3314">
        <v>32</v>
      </c>
      <c r="CP3314">
        <v>-1.9</v>
      </c>
      <c r="CQ3314">
        <v>32</v>
      </c>
      <c r="CR3314">
        <v>0</v>
      </c>
      <c r="CS3314">
        <v>0</v>
      </c>
      <c r="CT3314">
        <v>-11.5</v>
      </c>
      <c r="CU3314">
        <v>32</v>
      </c>
      <c r="CV3314">
        <v>0.25</v>
      </c>
      <c r="CW3314">
        <v>31</v>
      </c>
      <c r="CX3314" t="s">
        <v>445</v>
      </c>
    </row>
    <row r="3315" spans="1:102" x14ac:dyDescent="0.3">
      <c r="A3315" t="str">
        <f>HYPERLINK("https://webapp.icbf.com/v2/app/bull-search/view/442088418","EZD")</f>
        <v>EZD</v>
      </c>
      <c r="B3315" t="s">
        <v>11941</v>
      </c>
      <c r="C3315" t="s">
        <v>11942</v>
      </c>
      <c r="D3315" s="1">
        <v>38746</v>
      </c>
      <c r="E3315" t="s">
        <v>92</v>
      </c>
      <c r="F3315">
        <v>97</v>
      </c>
      <c r="G3315" t="s">
        <v>116</v>
      </c>
      <c r="H3315">
        <v>-27.75</v>
      </c>
      <c r="I3315">
        <v>53</v>
      </c>
      <c r="J3315">
        <v>39.979999999999997</v>
      </c>
      <c r="K3315">
        <v>65</v>
      </c>
      <c r="L3315">
        <v>-74.81</v>
      </c>
      <c r="M3315">
        <v>38</v>
      </c>
      <c r="N3315">
        <v>17.940000000000001</v>
      </c>
      <c r="O3315">
        <v>55</v>
      </c>
      <c r="P3315">
        <v>2.56</v>
      </c>
      <c r="Q3315">
        <v>64</v>
      </c>
      <c r="R3315">
        <v>-1.51</v>
      </c>
      <c r="S3315">
        <v>45</v>
      </c>
      <c r="T3315">
        <v>-9.85</v>
      </c>
      <c r="U3315">
        <v>59</v>
      </c>
      <c r="V3315">
        <v>-2.06</v>
      </c>
      <c r="W3315">
        <v>36</v>
      </c>
      <c r="X3315" t="s">
        <v>94</v>
      </c>
      <c r="Y3315" t="s">
        <v>1251</v>
      </c>
      <c r="Z3315" t="s">
        <v>96</v>
      </c>
      <c r="AA3315" t="s">
        <v>4490</v>
      </c>
      <c r="AB3315" t="s">
        <v>11943</v>
      </c>
      <c r="AC3315">
        <v>9</v>
      </c>
      <c r="AD3315">
        <v>7</v>
      </c>
      <c r="AE3315">
        <v>65</v>
      </c>
      <c r="AF3315">
        <v>39.200000000000003</v>
      </c>
      <c r="AG3315">
        <v>2.4300000000000002</v>
      </c>
      <c r="AH3315">
        <v>6.54</v>
      </c>
      <c r="AI3315">
        <v>0.01</v>
      </c>
      <c r="AJ3315">
        <v>0.09</v>
      </c>
      <c r="AK3315">
        <v>38</v>
      </c>
      <c r="AL3315">
        <v>10</v>
      </c>
      <c r="AM3315">
        <v>8</v>
      </c>
      <c r="AN3315">
        <v>3.76</v>
      </c>
      <c r="AO3315">
        <v>-2.21</v>
      </c>
      <c r="AP3315">
        <v>23</v>
      </c>
      <c r="AQ3315">
        <v>0</v>
      </c>
      <c r="AR3315">
        <v>7.05</v>
      </c>
      <c r="AS3315">
        <v>33</v>
      </c>
      <c r="AT3315">
        <v>3</v>
      </c>
      <c r="AU3315">
        <v>49</v>
      </c>
      <c r="AV3315">
        <v>-2.1800000000000002</v>
      </c>
      <c r="AW3315">
        <v>74</v>
      </c>
      <c r="AX3315">
        <v>0.48</v>
      </c>
      <c r="AY3315">
        <v>50</v>
      </c>
      <c r="AZ3315">
        <v>6.95</v>
      </c>
      <c r="BA3315">
        <v>34</v>
      </c>
      <c r="BB3315">
        <v>4.9800000000000004</v>
      </c>
      <c r="BC3315">
        <v>33</v>
      </c>
      <c r="BD3315">
        <v>0.01</v>
      </c>
      <c r="BE3315">
        <v>0.02</v>
      </c>
      <c r="BF3315">
        <v>-0.02</v>
      </c>
      <c r="BG3315">
        <v>49</v>
      </c>
      <c r="BH3315">
        <v>-0.11</v>
      </c>
      <c r="BI3315">
        <v>-6.09</v>
      </c>
      <c r="BJ3315">
        <v>2</v>
      </c>
      <c r="BK3315">
        <v>2</v>
      </c>
      <c r="BL3315">
        <v>0.53</v>
      </c>
      <c r="BM3315">
        <v>-0.51</v>
      </c>
      <c r="BN3315">
        <v>-0.39</v>
      </c>
      <c r="BO3315">
        <v>0.13</v>
      </c>
      <c r="BP3315">
        <v>2.36</v>
      </c>
      <c r="BQ3315">
        <v>-1.43</v>
      </c>
      <c r="BR3315">
        <v>-0.92</v>
      </c>
      <c r="BS3315">
        <v>-1.04</v>
      </c>
      <c r="BT3315">
        <v>0.62</v>
      </c>
      <c r="BU3315">
        <v>0.26</v>
      </c>
      <c r="BV3315">
        <v>-0.03</v>
      </c>
      <c r="BW3315">
        <v>0.35</v>
      </c>
      <c r="BX3315">
        <v>0.63</v>
      </c>
      <c r="BY3315">
        <v>1.1599999999999999</v>
      </c>
      <c r="BZ3315">
        <v>-1.41</v>
      </c>
      <c r="CA3315">
        <v>-0.28999999999999998</v>
      </c>
      <c r="CB3315">
        <v>0.23</v>
      </c>
      <c r="CC3315">
        <v>-1.36</v>
      </c>
      <c r="CD3315">
        <v>-0.21</v>
      </c>
      <c r="CE3315">
        <v>-0.17</v>
      </c>
      <c r="CF3315">
        <v>-0.15</v>
      </c>
      <c r="CG3315">
        <v>0</v>
      </c>
      <c r="CH3315">
        <v>1.48</v>
      </c>
      <c r="CI3315">
        <v>0</v>
      </c>
      <c r="CJ3315">
        <v>3.9</v>
      </c>
      <c r="CK3315">
        <v>67</v>
      </c>
      <c r="CL3315">
        <v>-0.56000000000000005</v>
      </c>
      <c r="CM3315">
        <v>62</v>
      </c>
      <c r="CN3315">
        <v>-0.08</v>
      </c>
      <c r="CO3315">
        <v>58</v>
      </c>
      <c r="CP3315">
        <v>13.5</v>
      </c>
      <c r="CQ3315">
        <v>64</v>
      </c>
      <c r="CR3315">
        <v>0</v>
      </c>
      <c r="CS3315">
        <v>0</v>
      </c>
      <c r="CT3315">
        <v>27.1</v>
      </c>
      <c r="CU3315">
        <v>59</v>
      </c>
      <c r="CV3315">
        <v>0.12</v>
      </c>
      <c r="CW3315">
        <v>19</v>
      </c>
      <c r="CX3315" t="s">
        <v>1037</v>
      </c>
    </row>
    <row r="3316" spans="1:102" x14ac:dyDescent="0.3">
      <c r="A3316" t="str">
        <f>HYPERLINK("https://webapp.icbf.com/v2/app/bull-search/view/77855599","MDY")</f>
        <v>MDY</v>
      </c>
      <c r="B3316" t="s">
        <v>11089</v>
      </c>
      <c r="C3316" t="s">
        <v>11090</v>
      </c>
      <c r="D3316" s="1">
        <v>32250</v>
      </c>
      <c r="E3316" t="s">
        <v>92</v>
      </c>
      <c r="F3316">
        <v>100</v>
      </c>
      <c r="G3316" t="s">
        <v>93</v>
      </c>
      <c r="H3316">
        <v>-27.79</v>
      </c>
      <c r="I3316">
        <v>95</v>
      </c>
      <c r="J3316">
        <v>-13.39</v>
      </c>
      <c r="K3316">
        <v>99</v>
      </c>
      <c r="L3316">
        <v>-20.399999999999999</v>
      </c>
      <c r="M3316">
        <v>93</v>
      </c>
      <c r="N3316">
        <v>-2.0299999999999998</v>
      </c>
      <c r="O3316">
        <v>92</v>
      </c>
      <c r="P3316">
        <v>-8.74</v>
      </c>
      <c r="Q3316">
        <v>98</v>
      </c>
      <c r="R3316">
        <v>-7.94</v>
      </c>
      <c r="S3316">
        <v>89</v>
      </c>
      <c r="T3316">
        <v>16.86</v>
      </c>
      <c r="U3316">
        <v>96</v>
      </c>
      <c r="V3316">
        <v>7.85</v>
      </c>
      <c r="W3316">
        <v>81</v>
      </c>
      <c r="X3316" t="s">
        <v>94</v>
      </c>
      <c r="Y3316" t="s">
        <v>95</v>
      </c>
      <c r="Z3316" t="s">
        <v>96</v>
      </c>
      <c r="AA3316" t="s">
        <v>128</v>
      </c>
      <c r="AB3316" t="s">
        <v>8057</v>
      </c>
      <c r="AC3316">
        <v>899</v>
      </c>
      <c r="AD3316">
        <v>420</v>
      </c>
      <c r="AE3316">
        <v>99</v>
      </c>
      <c r="AF3316">
        <v>-382.36</v>
      </c>
      <c r="AG3316">
        <v>0.82</v>
      </c>
      <c r="AH3316">
        <v>-8.42</v>
      </c>
      <c r="AI3316">
        <v>0.28999999999999998</v>
      </c>
      <c r="AJ3316">
        <v>0.09</v>
      </c>
      <c r="AK3316">
        <v>93</v>
      </c>
      <c r="AL3316">
        <v>1506</v>
      </c>
      <c r="AM3316">
        <v>699</v>
      </c>
      <c r="AN3316">
        <v>-0.7</v>
      </c>
      <c r="AO3316">
        <v>-2.35</v>
      </c>
      <c r="AP3316">
        <v>23</v>
      </c>
      <c r="AQ3316">
        <v>1</v>
      </c>
      <c r="AR3316">
        <v>7.51</v>
      </c>
      <c r="AS3316">
        <v>75</v>
      </c>
      <c r="AT3316">
        <v>2.89</v>
      </c>
      <c r="AU3316">
        <v>91</v>
      </c>
      <c r="AV3316">
        <v>0.68</v>
      </c>
      <c r="AW3316">
        <v>96</v>
      </c>
      <c r="AX3316">
        <v>-0.08</v>
      </c>
      <c r="AY3316">
        <v>97</v>
      </c>
      <c r="AZ3316">
        <v>5.99</v>
      </c>
      <c r="BA3316">
        <v>75</v>
      </c>
      <c r="BB3316">
        <v>4.97</v>
      </c>
      <c r="BC3316">
        <v>90</v>
      </c>
      <c r="BD3316">
        <v>7.0000000000000007E-2</v>
      </c>
      <c r="BE3316">
        <v>0.04</v>
      </c>
      <c r="BF3316">
        <v>-0.01</v>
      </c>
      <c r="BG3316">
        <v>98</v>
      </c>
      <c r="BH3316">
        <v>0.31</v>
      </c>
      <c r="BI3316">
        <v>10.55</v>
      </c>
      <c r="BJ3316">
        <v>53</v>
      </c>
      <c r="BK3316">
        <v>35</v>
      </c>
      <c r="BL3316">
        <v>-2.2400000000000002</v>
      </c>
      <c r="BM3316">
        <v>-0.51</v>
      </c>
      <c r="BN3316">
        <v>-2.93</v>
      </c>
      <c r="BO3316">
        <v>-1.99</v>
      </c>
      <c r="BP3316">
        <v>-1</v>
      </c>
      <c r="BQ3316">
        <v>-1.88</v>
      </c>
      <c r="BR3316">
        <v>1.04</v>
      </c>
      <c r="BS3316">
        <v>-1.61</v>
      </c>
      <c r="BT3316">
        <v>-0.59</v>
      </c>
      <c r="BU3316">
        <v>-1.95</v>
      </c>
      <c r="BV3316">
        <v>-1.36</v>
      </c>
      <c r="BW3316">
        <v>-1.19</v>
      </c>
      <c r="BX3316">
        <v>-1.58</v>
      </c>
      <c r="BY3316">
        <v>-1.59</v>
      </c>
      <c r="BZ3316">
        <v>-0.46</v>
      </c>
      <c r="CA3316">
        <v>-2.5299999999999998</v>
      </c>
      <c r="CB3316">
        <v>-2.2200000000000002</v>
      </c>
      <c r="CC3316">
        <v>-2.2000000000000002</v>
      </c>
      <c r="CD3316">
        <v>1.05</v>
      </c>
      <c r="CE3316">
        <v>-2.0499999999999998</v>
      </c>
      <c r="CF3316">
        <v>-2.8</v>
      </c>
      <c r="CG3316">
        <v>0</v>
      </c>
      <c r="CH3316">
        <v>-1.39</v>
      </c>
      <c r="CI3316">
        <v>0</v>
      </c>
      <c r="CJ3316">
        <v>-5.0999999999999996</v>
      </c>
      <c r="CK3316">
        <v>98</v>
      </c>
      <c r="CL3316">
        <v>-0.34</v>
      </c>
      <c r="CM3316">
        <v>98</v>
      </c>
      <c r="CN3316">
        <v>-0.25</v>
      </c>
      <c r="CO3316">
        <v>98</v>
      </c>
      <c r="CP3316">
        <v>-7.5</v>
      </c>
      <c r="CQ3316">
        <v>99</v>
      </c>
      <c r="CR3316">
        <v>0</v>
      </c>
      <c r="CS3316">
        <v>0</v>
      </c>
      <c r="CT3316">
        <v>-9</v>
      </c>
      <c r="CU3316">
        <v>96</v>
      </c>
      <c r="CV3316">
        <v>-0.05</v>
      </c>
      <c r="CW3316">
        <v>46</v>
      </c>
      <c r="CX3316" t="s">
        <v>11091</v>
      </c>
    </row>
    <row r="3317" spans="1:102" x14ac:dyDescent="0.3">
      <c r="A3317" t="str">
        <f>HYPERLINK("https://webapp.icbf.com/v2/app/bull-search/view/660319001","VGA")</f>
        <v>VGA</v>
      </c>
      <c r="B3317" t="s">
        <v>12994</v>
      </c>
      <c r="C3317" t="s">
        <v>12995</v>
      </c>
      <c r="D3317" s="1">
        <v>38998</v>
      </c>
      <c r="E3317" t="s">
        <v>92</v>
      </c>
      <c r="F3317">
        <v>100</v>
      </c>
      <c r="G3317" t="s">
        <v>109</v>
      </c>
      <c r="H3317">
        <v>-27.8</v>
      </c>
      <c r="I3317">
        <v>78</v>
      </c>
      <c r="J3317">
        <v>25.05</v>
      </c>
      <c r="K3317">
        <v>93</v>
      </c>
      <c r="L3317">
        <v>-70.150000000000006</v>
      </c>
      <c r="M3317">
        <v>84</v>
      </c>
      <c r="N3317">
        <v>17.04</v>
      </c>
      <c r="O3317">
        <v>58</v>
      </c>
      <c r="P3317">
        <v>5.98</v>
      </c>
      <c r="Q3317">
        <v>57</v>
      </c>
      <c r="R3317">
        <v>7.99</v>
      </c>
      <c r="S3317">
        <v>76</v>
      </c>
      <c r="T3317">
        <v>-12.44</v>
      </c>
      <c r="U3317">
        <v>50</v>
      </c>
      <c r="V3317">
        <v>-1.27</v>
      </c>
      <c r="W3317">
        <v>64</v>
      </c>
      <c r="X3317" t="s">
        <v>288</v>
      </c>
      <c r="Y3317" t="s">
        <v>1756</v>
      </c>
      <c r="Z3317" t="s">
        <v>96</v>
      </c>
      <c r="AA3317" t="s">
        <v>309</v>
      </c>
      <c r="AB3317" t="s">
        <v>12996</v>
      </c>
      <c r="AC3317">
        <v>0</v>
      </c>
      <c r="AD3317">
        <v>0</v>
      </c>
      <c r="AE3317">
        <v>93</v>
      </c>
      <c r="AF3317">
        <v>252.09</v>
      </c>
      <c r="AG3317">
        <v>3.33</v>
      </c>
      <c r="AH3317">
        <v>6.94</v>
      </c>
      <c r="AI3317">
        <v>-0.11</v>
      </c>
      <c r="AJ3317">
        <v>-0.03</v>
      </c>
      <c r="AK3317">
        <v>84</v>
      </c>
      <c r="AL3317">
        <v>0</v>
      </c>
      <c r="AM3317">
        <v>0</v>
      </c>
      <c r="AN3317">
        <v>3.41</v>
      </c>
      <c r="AO3317">
        <v>-2.19</v>
      </c>
      <c r="AP3317">
        <v>2</v>
      </c>
      <c r="AQ3317">
        <v>0</v>
      </c>
      <c r="AR3317">
        <v>4.68</v>
      </c>
      <c r="AS3317">
        <v>58</v>
      </c>
      <c r="AT3317">
        <v>2.75</v>
      </c>
      <c r="AU3317">
        <v>85</v>
      </c>
      <c r="AV3317">
        <v>-1.55</v>
      </c>
      <c r="AW3317">
        <v>48</v>
      </c>
      <c r="AX3317">
        <v>-0.74</v>
      </c>
      <c r="AY3317">
        <v>48</v>
      </c>
      <c r="AZ3317">
        <v>8.06</v>
      </c>
      <c r="BA3317">
        <v>49</v>
      </c>
      <c r="BB3317">
        <v>5.85</v>
      </c>
      <c r="BC3317">
        <v>49</v>
      </c>
      <c r="BD3317">
        <v>-0.01</v>
      </c>
      <c r="BE3317">
        <v>-0.03</v>
      </c>
      <c r="BF3317">
        <v>-0.11</v>
      </c>
      <c r="BG3317">
        <v>90</v>
      </c>
      <c r="BH3317">
        <v>-0.15</v>
      </c>
      <c r="BI3317">
        <v>-13.27</v>
      </c>
      <c r="BJ3317">
        <v>0</v>
      </c>
      <c r="BK3317">
        <v>0</v>
      </c>
      <c r="BL3317">
        <v>2.92</v>
      </c>
      <c r="BM3317">
        <v>-0.1</v>
      </c>
      <c r="BN3317">
        <v>0.63</v>
      </c>
      <c r="BO3317">
        <v>0.94</v>
      </c>
      <c r="BP3317">
        <v>2.02</v>
      </c>
      <c r="BQ3317">
        <v>2.74</v>
      </c>
      <c r="BR3317">
        <v>0.27</v>
      </c>
      <c r="BS3317">
        <v>1.81</v>
      </c>
      <c r="BT3317">
        <v>0.08</v>
      </c>
      <c r="BU3317">
        <v>4.01</v>
      </c>
      <c r="BV3317">
        <v>2.46</v>
      </c>
      <c r="BW3317">
        <v>2.04</v>
      </c>
      <c r="BX3317">
        <v>3.38</v>
      </c>
      <c r="BY3317">
        <v>2.48</v>
      </c>
      <c r="BZ3317">
        <v>-0.18</v>
      </c>
      <c r="CA3317">
        <v>2.87</v>
      </c>
      <c r="CB3317">
        <v>2.75</v>
      </c>
      <c r="CC3317">
        <v>0.6</v>
      </c>
      <c r="CD3317">
        <v>-0.24</v>
      </c>
      <c r="CE3317">
        <v>0.11</v>
      </c>
      <c r="CF3317">
        <v>-0.09</v>
      </c>
      <c r="CG3317">
        <v>0</v>
      </c>
      <c r="CH3317">
        <v>2.3199999999999998</v>
      </c>
      <c r="CI3317">
        <v>0</v>
      </c>
      <c r="CJ3317">
        <v>5.6</v>
      </c>
      <c r="CK3317">
        <v>58</v>
      </c>
      <c r="CL3317">
        <v>-1.23</v>
      </c>
      <c r="CM3317">
        <v>56</v>
      </c>
      <c r="CN3317">
        <v>-0.8</v>
      </c>
      <c r="CO3317">
        <v>54</v>
      </c>
      <c r="CP3317">
        <v>10.5</v>
      </c>
      <c r="CQ3317">
        <v>56</v>
      </c>
      <c r="CR3317">
        <v>0</v>
      </c>
      <c r="CS3317">
        <v>0</v>
      </c>
      <c r="CT3317">
        <v>30.6</v>
      </c>
      <c r="CU3317">
        <v>50</v>
      </c>
      <c r="CV3317">
        <v>0.3</v>
      </c>
      <c r="CW3317">
        <v>37</v>
      </c>
      <c r="CX3317" t="s">
        <v>9000</v>
      </c>
    </row>
    <row r="3318" spans="1:102" x14ac:dyDescent="0.3">
      <c r="A3318" t="str">
        <f>HYPERLINK("https://webapp.icbf.com/v2/app/bull-search/view/77854834","MSG")</f>
        <v>MSG</v>
      </c>
      <c r="B3318" t="s">
        <v>14092</v>
      </c>
      <c r="C3318" t="s">
        <v>14093</v>
      </c>
      <c r="D3318" s="1">
        <v>32286</v>
      </c>
      <c r="E3318" t="s">
        <v>108</v>
      </c>
      <c r="F3318">
        <v>0</v>
      </c>
      <c r="G3318" t="s">
        <v>109</v>
      </c>
      <c r="H3318">
        <v>-27.81</v>
      </c>
      <c r="I3318">
        <v>69</v>
      </c>
      <c r="J3318">
        <v>-86.06</v>
      </c>
      <c r="K3318">
        <v>71</v>
      </c>
      <c r="L3318">
        <v>44.61</v>
      </c>
      <c r="M3318">
        <v>74</v>
      </c>
      <c r="N3318">
        <v>13.71</v>
      </c>
      <c r="O3318">
        <v>56</v>
      </c>
      <c r="P3318">
        <v>-25.17</v>
      </c>
      <c r="Q3318">
        <v>73</v>
      </c>
      <c r="R3318">
        <v>-5.96</v>
      </c>
      <c r="S3318">
        <v>61</v>
      </c>
      <c r="T3318">
        <v>23.3</v>
      </c>
      <c r="U3318">
        <v>71</v>
      </c>
      <c r="V3318">
        <v>7.76</v>
      </c>
      <c r="W3318">
        <v>46</v>
      </c>
      <c r="X3318" t="s">
        <v>747</v>
      </c>
      <c r="Y3318" t="s">
        <v>95</v>
      </c>
      <c r="Z3318" t="s">
        <v>96</v>
      </c>
      <c r="AA3318" t="s">
        <v>262</v>
      </c>
      <c r="AB3318" t="s">
        <v>7085</v>
      </c>
      <c r="AC3318">
        <v>0</v>
      </c>
      <c r="AD3318">
        <v>0</v>
      </c>
      <c r="AE3318">
        <v>71</v>
      </c>
      <c r="AF3318">
        <v>-450.22</v>
      </c>
      <c r="AG3318">
        <v>-15.2</v>
      </c>
      <c r="AH3318">
        <v>-16.149999999999999</v>
      </c>
      <c r="AI3318">
        <v>0.04</v>
      </c>
      <c r="AJ3318">
        <v>-0.01</v>
      </c>
      <c r="AK3318">
        <v>74</v>
      </c>
      <c r="AL3318">
        <v>23</v>
      </c>
      <c r="AM3318">
        <v>14</v>
      </c>
      <c r="AN3318">
        <v>-3.04</v>
      </c>
      <c r="AO3318">
        <v>0.51</v>
      </c>
      <c r="AP3318">
        <v>12</v>
      </c>
      <c r="AQ3318">
        <v>2</v>
      </c>
      <c r="AR3318">
        <v>4.8099999999999996</v>
      </c>
      <c r="AS3318">
        <v>35</v>
      </c>
      <c r="AT3318">
        <v>2.0299999999999998</v>
      </c>
      <c r="AU3318">
        <v>53</v>
      </c>
      <c r="AV3318">
        <v>0.52</v>
      </c>
      <c r="AW3318">
        <v>67</v>
      </c>
      <c r="AX3318">
        <v>-0.57999999999999996</v>
      </c>
      <c r="AY3318">
        <v>62</v>
      </c>
      <c r="AZ3318">
        <v>5.65</v>
      </c>
      <c r="BA3318">
        <v>32</v>
      </c>
      <c r="BB3318">
        <v>4.87</v>
      </c>
      <c r="BC3318">
        <v>39</v>
      </c>
      <c r="BD3318">
        <v>0.03</v>
      </c>
      <c r="BE3318">
        <v>0.03</v>
      </c>
      <c r="BF3318">
        <v>0.03</v>
      </c>
      <c r="BG3318">
        <v>82</v>
      </c>
      <c r="BH3318">
        <v>-0.08</v>
      </c>
      <c r="BI3318">
        <v>-34.29</v>
      </c>
      <c r="BJ3318">
        <v>0</v>
      </c>
      <c r="BK3318">
        <v>0</v>
      </c>
      <c r="BL3318">
        <v>-2.0299999999999998</v>
      </c>
      <c r="BM3318">
        <v>1.3</v>
      </c>
      <c r="BN3318">
        <v>-0.85</v>
      </c>
      <c r="BO3318">
        <v>-1.92</v>
      </c>
      <c r="BP3318">
        <v>-7.0000000000000007E-2</v>
      </c>
      <c r="BQ3318">
        <v>0.85</v>
      </c>
      <c r="BR3318">
        <v>-0.48</v>
      </c>
      <c r="BS3318">
        <v>-0.03</v>
      </c>
      <c r="BT3318">
        <v>1.32</v>
      </c>
      <c r="BU3318">
        <v>-0.26</v>
      </c>
      <c r="BV3318">
        <v>-1.19</v>
      </c>
      <c r="BW3318">
        <v>-0.7</v>
      </c>
      <c r="BX3318">
        <v>-0.41</v>
      </c>
      <c r="BY3318">
        <v>0.34</v>
      </c>
      <c r="BZ3318">
        <v>-1.94</v>
      </c>
      <c r="CA3318">
        <v>-0.99</v>
      </c>
      <c r="CB3318">
        <v>-0.82</v>
      </c>
      <c r="CC3318">
        <v>-0.84</v>
      </c>
      <c r="CD3318">
        <v>2.08</v>
      </c>
      <c r="CE3318">
        <v>-1.78</v>
      </c>
      <c r="CF3318">
        <v>-1.78</v>
      </c>
      <c r="CG3318">
        <v>0</v>
      </c>
      <c r="CH3318">
        <v>-0.16</v>
      </c>
      <c r="CI3318">
        <v>0</v>
      </c>
      <c r="CJ3318">
        <v>-10.8</v>
      </c>
      <c r="CK3318">
        <v>74</v>
      </c>
      <c r="CL3318">
        <v>-0.51</v>
      </c>
      <c r="CM3318">
        <v>72</v>
      </c>
      <c r="CN3318">
        <v>0.19</v>
      </c>
      <c r="CO3318">
        <v>68</v>
      </c>
      <c r="CP3318">
        <v>-18.5</v>
      </c>
      <c r="CQ3318">
        <v>77</v>
      </c>
      <c r="CR3318">
        <v>0</v>
      </c>
      <c r="CS3318">
        <v>0</v>
      </c>
      <c r="CT3318">
        <v>-17.7</v>
      </c>
      <c r="CU3318">
        <v>71</v>
      </c>
      <c r="CV3318">
        <v>0.01</v>
      </c>
      <c r="CW3318">
        <v>20</v>
      </c>
      <c r="CX3318" t="s">
        <v>609</v>
      </c>
    </row>
    <row r="3319" spans="1:102" x14ac:dyDescent="0.3">
      <c r="A3319" t="str">
        <f>HYPERLINK("https://webapp.icbf.com/v2/app/bull-search/view/77859439","AXX")</f>
        <v>AXX</v>
      </c>
      <c r="B3319" t="s">
        <v>10938</v>
      </c>
      <c r="C3319" t="s">
        <v>10939</v>
      </c>
      <c r="D3319" s="1">
        <v>34298</v>
      </c>
      <c r="E3319" t="s">
        <v>92</v>
      </c>
      <c r="F3319">
        <v>97</v>
      </c>
      <c r="G3319" t="s">
        <v>93</v>
      </c>
      <c r="H3319">
        <v>-27.87</v>
      </c>
      <c r="I3319">
        <v>77</v>
      </c>
      <c r="J3319">
        <v>-25.15</v>
      </c>
      <c r="K3319">
        <v>95</v>
      </c>
      <c r="L3319">
        <v>-12.7</v>
      </c>
      <c r="M3319">
        <v>67</v>
      </c>
      <c r="N3319">
        <v>13.3</v>
      </c>
      <c r="O3319">
        <v>65</v>
      </c>
      <c r="P3319">
        <v>-4.01</v>
      </c>
      <c r="Q3319">
        <v>83</v>
      </c>
      <c r="R3319">
        <v>4.54</v>
      </c>
      <c r="S3319">
        <v>69</v>
      </c>
      <c r="T3319">
        <v>-0.9</v>
      </c>
      <c r="U3319">
        <v>78</v>
      </c>
      <c r="V3319">
        <v>-2.95</v>
      </c>
      <c r="W3319">
        <v>37</v>
      </c>
      <c r="X3319" t="s">
        <v>94</v>
      </c>
      <c r="Y3319" t="s">
        <v>95</v>
      </c>
      <c r="Z3319" t="s">
        <v>96</v>
      </c>
      <c r="AA3319" t="s">
        <v>3446</v>
      </c>
      <c r="AB3319" t="s">
        <v>8533</v>
      </c>
      <c r="AC3319">
        <v>103</v>
      </c>
      <c r="AD3319">
        <v>78</v>
      </c>
      <c r="AE3319">
        <v>95</v>
      </c>
      <c r="AF3319">
        <v>-157.61000000000001</v>
      </c>
      <c r="AG3319">
        <v>0.96</v>
      </c>
      <c r="AH3319">
        <v>-7.03</v>
      </c>
      <c r="AI3319">
        <v>0.12</v>
      </c>
      <c r="AJ3319">
        <v>-0.03</v>
      </c>
      <c r="AK3319">
        <v>67</v>
      </c>
      <c r="AL3319">
        <v>127</v>
      </c>
      <c r="AM3319">
        <v>97</v>
      </c>
      <c r="AN3319">
        <v>2.44</v>
      </c>
      <c r="AO3319">
        <v>1.45</v>
      </c>
      <c r="AP3319">
        <v>4</v>
      </c>
      <c r="AQ3319">
        <v>0</v>
      </c>
      <c r="AR3319">
        <v>6.62</v>
      </c>
      <c r="AS3319">
        <v>30</v>
      </c>
      <c r="AT3319">
        <v>2.93</v>
      </c>
      <c r="AU3319">
        <v>63</v>
      </c>
      <c r="AV3319">
        <v>-1.35</v>
      </c>
      <c r="AW3319">
        <v>74</v>
      </c>
      <c r="AX3319">
        <v>-0.35</v>
      </c>
      <c r="AY3319">
        <v>78</v>
      </c>
      <c r="AZ3319">
        <v>7.19</v>
      </c>
      <c r="BA3319">
        <v>31</v>
      </c>
      <c r="BB3319">
        <v>5.25</v>
      </c>
      <c r="BC3319">
        <v>59</v>
      </c>
      <c r="BD3319">
        <v>-0.02</v>
      </c>
      <c r="BE3319">
        <v>0.01</v>
      </c>
      <c r="BF3319">
        <v>-0.09</v>
      </c>
      <c r="BG3319">
        <v>89</v>
      </c>
      <c r="BH3319">
        <v>0</v>
      </c>
      <c r="BI3319">
        <v>9.52</v>
      </c>
      <c r="BJ3319">
        <v>24</v>
      </c>
      <c r="BK3319">
        <v>19</v>
      </c>
      <c r="BL3319">
        <v>-0.23</v>
      </c>
      <c r="BM3319">
        <v>-0.43</v>
      </c>
      <c r="BN3319">
        <v>0.04</v>
      </c>
      <c r="BO3319">
        <v>-0.05</v>
      </c>
      <c r="BP3319">
        <v>0.05</v>
      </c>
      <c r="BQ3319">
        <v>-1.34</v>
      </c>
      <c r="BR3319">
        <v>0.47</v>
      </c>
      <c r="BS3319">
        <v>-0.3</v>
      </c>
      <c r="BT3319">
        <v>0.14000000000000001</v>
      </c>
      <c r="BU3319">
        <v>-1.03</v>
      </c>
      <c r="BV3319">
        <v>-1.02</v>
      </c>
      <c r="BW3319">
        <v>-1.04</v>
      </c>
      <c r="BX3319">
        <v>-1.56</v>
      </c>
      <c r="BY3319">
        <v>-0.72</v>
      </c>
      <c r="BZ3319">
        <v>-0.45</v>
      </c>
      <c r="CA3319">
        <v>-1.1000000000000001</v>
      </c>
      <c r="CB3319">
        <v>-1.22</v>
      </c>
      <c r="CC3319">
        <v>-0.26</v>
      </c>
      <c r="CD3319">
        <v>-0.22</v>
      </c>
      <c r="CE3319">
        <v>0.15</v>
      </c>
      <c r="CF3319">
        <v>-0.62</v>
      </c>
      <c r="CG3319">
        <v>0</v>
      </c>
      <c r="CH3319">
        <v>-0.94</v>
      </c>
      <c r="CI3319">
        <v>0</v>
      </c>
      <c r="CJ3319">
        <v>0.7</v>
      </c>
      <c r="CK3319">
        <v>84</v>
      </c>
      <c r="CL3319">
        <v>-0.73</v>
      </c>
      <c r="CM3319">
        <v>81</v>
      </c>
      <c r="CN3319">
        <v>-0.22</v>
      </c>
      <c r="CO3319">
        <v>79</v>
      </c>
      <c r="CP3319">
        <v>-0.1</v>
      </c>
      <c r="CQ3319">
        <v>87</v>
      </c>
      <c r="CR3319">
        <v>0</v>
      </c>
      <c r="CS3319">
        <v>0</v>
      </c>
      <c r="CT3319">
        <v>15</v>
      </c>
      <c r="CU3319">
        <v>78</v>
      </c>
      <c r="CV3319">
        <v>0.24</v>
      </c>
      <c r="CW3319">
        <v>23</v>
      </c>
      <c r="CX3319" t="s">
        <v>3720</v>
      </c>
    </row>
    <row r="3320" spans="1:102" x14ac:dyDescent="0.3">
      <c r="A3320" t="str">
        <f>HYPERLINK("https://webapp.icbf.com/v2/app/bull-search/view/69091618","EVB")</f>
        <v>EVB</v>
      </c>
      <c r="B3320" t="s">
        <v>8547</v>
      </c>
      <c r="C3320" t="s">
        <v>8548</v>
      </c>
      <c r="D3320" s="1">
        <v>34588</v>
      </c>
      <c r="E3320" t="s">
        <v>92</v>
      </c>
      <c r="F3320">
        <v>100</v>
      </c>
      <c r="G3320" t="s">
        <v>109</v>
      </c>
      <c r="H3320">
        <v>-27.92</v>
      </c>
      <c r="I3320">
        <v>68</v>
      </c>
      <c r="J3320">
        <v>5.29</v>
      </c>
      <c r="K3320">
        <v>84</v>
      </c>
      <c r="L3320">
        <v>-46.11</v>
      </c>
      <c r="M3320">
        <v>81</v>
      </c>
      <c r="N3320">
        <v>21.81</v>
      </c>
      <c r="O3320">
        <v>47</v>
      </c>
      <c r="P3320">
        <v>-5.74</v>
      </c>
      <c r="Q3320">
        <v>29</v>
      </c>
      <c r="R3320">
        <v>-8.19</v>
      </c>
      <c r="S3320">
        <v>59</v>
      </c>
      <c r="T3320">
        <v>8.1300000000000008</v>
      </c>
      <c r="U3320">
        <v>40</v>
      </c>
      <c r="V3320">
        <v>-3.11</v>
      </c>
      <c r="W3320">
        <v>17</v>
      </c>
      <c r="X3320" t="s">
        <v>94</v>
      </c>
      <c r="Y3320" t="s">
        <v>95</v>
      </c>
      <c r="Z3320" t="s">
        <v>96</v>
      </c>
      <c r="AA3320" t="s">
        <v>254</v>
      </c>
      <c r="AB3320" t="s">
        <v>3666</v>
      </c>
      <c r="AC3320">
        <v>0</v>
      </c>
      <c r="AD3320">
        <v>0</v>
      </c>
      <c r="AE3320">
        <v>84</v>
      </c>
      <c r="AF3320">
        <v>39.51</v>
      </c>
      <c r="AG3320">
        <v>6.77</v>
      </c>
      <c r="AH3320">
        <v>-0.89</v>
      </c>
      <c r="AI3320">
        <v>0.09</v>
      </c>
      <c r="AJ3320">
        <v>-0.04</v>
      </c>
      <c r="AK3320">
        <v>81</v>
      </c>
      <c r="AL3320">
        <v>0</v>
      </c>
      <c r="AM3320">
        <v>0</v>
      </c>
      <c r="AN3320">
        <v>3.07</v>
      </c>
      <c r="AO3320">
        <v>-0.6</v>
      </c>
      <c r="AP3320">
        <v>3</v>
      </c>
      <c r="AQ3320">
        <v>1</v>
      </c>
      <c r="AR3320">
        <v>5.1100000000000003</v>
      </c>
      <c r="AS3320">
        <v>22</v>
      </c>
      <c r="AT3320">
        <v>2.4500000000000002</v>
      </c>
      <c r="AU3320">
        <v>84</v>
      </c>
      <c r="AV3320">
        <v>-1.38</v>
      </c>
      <c r="AW3320">
        <v>45</v>
      </c>
      <c r="AX3320">
        <v>-0.27</v>
      </c>
      <c r="AY3320">
        <v>30</v>
      </c>
      <c r="AZ3320">
        <v>6.76</v>
      </c>
      <c r="BA3320">
        <v>18</v>
      </c>
      <c r="BB3320">
        <v>5.1100000000000003</v>
      </c>
      <c r="BC3320">
        <v>21</v>
      </c>
      <c r="BD3320">
        <v>0.02</v>
      </c>
      <c r="BE3320">
        <v>0.05</v>
      </c>
      <c r="BF3320">
        <v>0.06</v>
      </c>
      <c r="BG3320">
        <v>90</v>
      </c>
      <c r="BH3320">
        <v>0</v>
      </c>
      <c r="BI3320">
        <v>10.02</v>
      </c>
      <c r="BJ3320">
        <v>0</v>
      </c>
      <c r="BK3320">
        <v>0</v>
      </c>
      <c r="BL3320">
        <v>0.63</v>
      </c>
      <c r="BM3320">
        <v>-1.19</v>
      </c>
      <c r="BN3320">
        <v>7.0000000000000007E-2</v>
      </c>
      <c r="BO3320">
        <v>0.69</v>
      </c>
      <c r="BP3320">
        <v>-0.35</v>
      </c>
      <c r="BQ3320">
        <v>-0.19</v>
      </c>
      <c r="BR3320">
        <v>-0.28999999999999998</v>
      </c>
      <c r="BS3320">
        <v>0.45</v>
      </c>
      <c r="BT3320">
        <v>0.36</v>
      </c>
      <c r="BU3320">
        <v>0.38</v>
      </c>
      <c r="BV3320">
        <v>0.26</v>
      </c>
      <c r="BW3320">
        <v>0.99</v>
      </c>
      <c r="BX3320">
        <v>1.24</v>
      </c>
      <c r="BY3320">
        <v>0.85</v>
      </c>
      <c r="BZ3320">
        <v>-1.78</v>
      </c>
      <c r="CA3320">
        <v>0.77</v>
      </c>
      <c r="CB3320">
        <v>0.41</v>
      </c>
      <c r="CC3320">
        <v>1.1299999999999999</v>
      </c>
      <c r="CD3320">
        <v>-0.98</v>
      </c>
      <c r="CE3320">
        <v>0</v>
      </c>
      <c r="CF3320">
        <v>0</v>
      </c>
      <c r="CG3320">
        <v>0</v>
      </c>
      <c r="CH3320">
        <v>0</v>
      </c>
      <c r="CI3320">
        <v>0</v>
      </c>
      <c r="CJ3320">
        <v>-1.5</v>
      </c>
      <c r="CK3320">
        <v>30</v>
      </c>
      <c r="CL3320">
        <v>-0.61</v>
      </c>
      <c r="CM3320">
        <v>28</v>
      </c>
      <c r="CN3320">
        <v>-0.27</v>
      </c>
      <c r="CO3320">
        <v>23</v>
      </c>
      <c r="CP3320">
        <v>-3.6</v>
      </c>
      <c r="CQ3320">
        <v>41</v>
      </c>
      <c r="CR3320">
        <v>0</v>
      </c>
      <c r="CS3320">
        <v>0</v>
      </c>
      <c r="CT3320">
        <v>2.8</v>
      </c>
      <c r="CU3320">
        <v>40</v>
      </c>
      <c r="CV3320">
        <v>0.19</v>
      </c>
      <c r="CW3320">
        <v>7</v>
      </c>
      <c r="CX3320" t="s">
        <v>111</v>
      </c>
    </row>
    <row r="3321" spans="1:102" x14ac:dyDescent="0.3">
      <c r="A3321" t="str">
        <f>HYPERLINK("https://webapp.icbf.com/v2/app/bull-search/view/388952225","OUE")</f>
        <v>OUE</v>
      </c>
      <c r="B3321" t="s">
        <v>4418</v>
      </c>
      <c r="C3321" t="s">
        <v>4419</v>
      </c>
      <c r="D3321" s="1">
        <v>35805</v>
      </c>
      <c r="E3321" t="s">
        <v>140</v>
      </c>
      <c r="F3321">
        <v>0</v>
      </c>
      <c r="G3321" t="s">
        <v>109</v>
      </c>
      <c r="H3321">
        <v>-27.94</v>
      </c>
      <c r="I3321">
        <v>60</v>
      </c>
      <c r="J3321">
        <v>-18.73</v>
      </c>
      <c r="K3321">
        <v>71</v>
      </c>
      <c r="L3321">
        <v>9.2799999999999994</v>
      </c>
      <c r="M3321">
        <v>45</v>
      </c>
      <c r="N3321">
        <v>-25.86</v>
      </c>
      <c r="O3321">
        <v>62</v>
      </c>
      <c r="P3321">
        <v>14.88</v>
      </c>
      <c r="Q3321">
        <v>79</v>
      </c>
      <c r="R3321">
        <v>8.09</v>
      </c>
      <c r="S3321">
        <v>45</v>
      </c>
      <c r="T3321">
        <v>0.65</v>
      </c>
      <c r="U3321">
        <v>68</v>
      </c>
      <c r="V3321">
        <v>-16.25</v>
      </c>
      <c r="W3321">
        <v>52</v>
      </c>
      <c r="X3321" t="s">
        <v>102</v>
      </c>
      <c r="Y3321" t="s">
        <v>95</v>
      </c>
      <c r="Z3321">
        <v>0</v>
      </c>
      <c r="AA3321" t="s">
        <v>141</v>
      </c>
      <c r="AB3321" t="s">
        <v>4420</v>
      </c>
      <c r="AC3321">
        <v>0</v>
      </c>
      <c r="AD3321">
        <v>0</v>
      </c>
      <c r="AE3321">
        <v>71</v>
      </c>
      <c r="AF3321">
        <v>-93.68</v>
      </c>
      <c r="AG3321">
        <v>-4.24</v>
      </c>
      <c r="AH3321">
        <v>-3.12</v>
      </c>
      <c r="AI3321">
        <v>-0.01</v>
      </c>
      <c r="AJ3321">
        <v>0</v>
      </c>
      <c r="AK3321">
        <v>45</v>
      </c>
      <c r="AL3321">
        <v>22</v>
      </c>
      <c r="AM3321">
        <v>15</v>
      </c>
      <c r="AN3321">
        <v>1.06</v>
      </c>
      <c r="AO3321">
        <v>1.82</v>
      </c>
      <c r="AP3321">
        <v>32</v>
      </c>
      <c r="AQ3321">
        <v>0</v>
      </c>
      <c r="AR3321">
        <v>9.4700000000000006</v>
      </c>
      <c r="AS3321">
        <v>34</v>
      </c>
      <c r="AT3321">
        <v>4.67</v>
      </c>
      <c r="AU3321">
        <v>55</v>
      </c>
      <c r="AV3321">
        <v>1.69</v>
      </c>
      <c r="AW3321">
        <v>82</v>
      </c>
      <c r="AX3321">
        <v>-0.19</v>
      </c>
      <c r="AY3321">
        <v>56</v>
      </c>
      <c r="AZ3321">
        <v>4.6900000000000004</v>
      </c>
      <c r="BA3321">
        <v>34</v>
      </c>
      <c r="BB3321">
        <v>3.62</v>
      </c>
      <c r="BC3321">
        <v>38</v>
      </c>
      <c r="BD3321">
        <v>-0.03</v>
      </c>
      <c r="BE3321">
        <v>-0.04</v>
      </c>
      <c r="BF3321">
        <v>-0.06</v>
      </c>
      <c r="BG3321">
        <v>50</v>
      </c>
      <c r="BH3321">
        <v>-0.33</v>
      </c>
      <c r="BI3321">
        <v>14.23</v>
      </c>
      <c r="BJ3321">
        <v>0</v>
      </c>
      <c r="BK3321">
        <v>0</v>
      </c>
      <c r="BL3321">
        <v>-0.92</v>
      </c>
      <c r="BM3321">
        <v>3.38</v>
      </c>
      <c r="BN3321">
        <v>-1.64</v>
      </c>
      <c r="BO3321">
        <v>-2.91</v>
      </c>
      <c r="BP3321">
        <v>4.3899999999999997</v>
      </c>
      <c r="BQ3321">
        <v>-2.0099999999999998</v>
      </c>
      <c r="BR3321">
        <v>-2.57</v>
      </c>
      <c r="BS3321">
        <v>-0.6</v>
      </c>
      <c r="BT3321">
        <v>2.65</v>
      </c>
      <c r="BU3321">
        <v>-2.92</v>
      </c>
      <c r="BV3321">
        <v>-3.66</v>
      </c>
      <c r="BW3321">
        <v>-2.89</v>
      </c>
      <c r="BX3321">
        <v>-2.2999999999999998</v>
      </c>
      <c r="BY3321">
        <v>-2.2000000000000002</v>
      </c>
      <c r="BZ3321">
        <v>1.21</v>
      </c>
      <c r="CA3321">
        <v>-2.33</v>
      </c>
      <c r="CB3321">
        <v>-2.92</v>
      </c>
      <c r="CC3321">
        <v>-0.49</v>
      </c>
      <c r="CD3321">
        <v>3.77</v>
      </c>
      <c r="CE3321">
        <v>-2.82</v>
      </c>
      <c r="CF3321">
        <v>-1.1499999999999999</v>
      </c>
      <c r="CG3321">
        <v>0</v>
      </c>
      <c r="CH3321">
        <v>-2.75</v>
      </c>
      <c r="CI3321">
        <v>0</v>
      </c>
      <c r="CJ3321">
        <v>6.1</v>
      </c>
      <c r="CK3321">
        <v>81</v>
      </c>
      <c r="CL3321">
        <v>0.48</v>
      </c>
      <c r="CM3321">
        <v>78</v>
      </c>
      <c r="CN3321">
        <v>-0.06</v>
      </c>
      <c r="CO3321">
        <v>75</v>
      </c>
      <c r="CP3321">
        <v>5.4</v>
      </c>
      <c r="CQ3321">
        <v>74</v>
      </c>
      <c r="CR3321">
        <v>0</v>
      </c>
      <c r="CS3321">
        <v>0</v>
      </c>
      <c r="CT3321">
        <v>12.9</v>
      </c>
      <c r="CU3321">
        <v>68</v>
      </c>
      <c r="CV3321">
        <v>-0.13</v>
      </c>
      <c r="CW3321">
        <v>23</v>
      </c>
      <c r="CX3321" t="s">
        <v>224</v>
      </c>
    </row>
    <row r="3322" spans="1:102" x14ac:dyDescent="0.3">
      <c r="A3322" t="str">
        <f>HYPERLINK("https://webapp.icbf.com/v2/app/bull-search/view/660256761","S1395")</f>
        <v>S1395</v>
      </c>
      <c r="B3322" t="s">
        <v>10134</v>
      </c>
      <c r="C3322" t="s">
        <v>10135</v>
      </c>
      <c r="D3322" s="1">
        <v>39029</v>
      </c>
      <c r="E3322" t="s">
        <v>92</v>
      </c>
      <c r="F3322">
        <v>100</v>
      </c>
      <c r="G3322" t="s">
        <v>93</v>
      </c>
      <c r="H3322">
        <v>-27.99</v>
      </c>
      <c r="I3322">
        <v>84</v>
      </c>
      <c r="J3322">
        <v>-21.77</v>
      </c>
      <c r="K3322">
        <v>94</v>
      </c>
      <c r="L3322">
        <v>-52.61</v>
      </c>
      <c r="M3322">
        <v>82</v>
      </c>
      <c r="N3322">
        <v>33.020000000000003</v>
      </c>
      <c r="O3322">
        <v>81</v>
      </c>
      <c r="P3322">
        <v>-0.96</v>
      </c>
      <c r="Q3322">
        <v>88</v>
      </c>
      <c r="R3322">
        <v>7.61</v>
      </c>
      <c r="S3322">
        <v>71</v>
      </c>
      <c r="T3322">
        <v>2.87</v>
      </c>
      <c r="U3322">
        <v>62</v>
      </c>
      <c r="V3322">
        <v>3.85</v>
      </c>
      <c r="W3322">
        <v>64</v>
      </c>
      <c r="X3322" t="s">
        <v>234</v>
      </c>
      <c r="Y3322" t="s">
        <v>342</v>
      </c>
      <c r="Z3322" t="s">
        <v>96</v>
      </c>
      <c r="AA3322" t="s">
        <v>350</v>
      </c>
      <c r="AB3322" t="s">
        <v>9993</v>
      </c>
      <c r="AC3322">
        <v>105</v>
      </c>
      <c r="AD3322">
        <v>28</v>
      </c>
      <c r="AE3322">
        <v>94</v>
      </c>
      <c r="AF3322">
        <v>122.84</v>
      </c>
      <c r="AG3322">
        <v>0.36</v>
      </c>
      <c r="AH3322">
        <v>-1.95</v>
      </c>
      <c r="AI3322">
        <v>-7.0000000000000007E-2</v>
      </c>
      <c r="AJ3322">
        <v>-0.1</v>
      </c>
      <c r="AK3322">
        <v>82</v>
      </c>
      <c r="AL3322">
        <v>79</v>
      </c>
      <c r="AM3322">
        <v>28</v>
      </c>
      <c r="AN3322">
        <v>4.07</v>
      </c>
      <c r="AO3322">
        <v>-0.11</v>
      </c>
      <c r="AP3322">
        <v>232</v>
      </c>
      <c r="AQ3322">
        <v>0</v>
      </c>
      <c r="AR3322">
        <v>5.9</v>
      </c>
      <c r="AS3322">
        <v>66</v>
      </c>
      <c r="AT3322">
        <v>3.01</v>
      </c>
      <c r="AU3322">
        <v>85</v>
      </c>
      <c r="AV3322">
        <v>-3.64</v>
      </c>
      <c r="AW3322">
        <v>93</v>
      </c>
      <c r="AX3322">
        <v>0.37</v>
      </c>
      <c r="AY3322">
        <v>80</v>
      </c>
      <c r="AZ3322">
        <v>6.62</v>
      </c>
      <c r="BA3322">
        <v>60</v>
      </c>
      <c r="BB3322">
        <v>4.99</v>
      </c>
      <c r="BC3322">
        <v>49</v>
      </c>
      <c r="BD3322">
        <v>-0.03</v>
      </c>
      <c r="BE3322">
        <v>-0.05</v>
      </c>
      <c r="BF3322">
        <v>-0.03</v>
      </c>
      <c r="BG3322">
        <v>89</v>
      </c>
      <c r="BH3322">
        <v>0.23</v>
      </c>
      <c r="BI3322">
        <v>14.19</v>
      </c>
      <c r="BJ3322">
        <v>20</v>
      </c>
      <c r="BK3322">
        <v>16</v>
      </c>
      <c r="BL3322">
        <v>1.28</v>
      </c>
      <c r="BM3322">
        <v>-0.48</v>
      </c>
      <c r="BN3322">
        <v>0.61</v>
      </c>
      <c r="BO3322">
        <v>1.24</v>
      </c>
      <c r="BP3322">
        <v>0.8</v>
      </c>
      <c r="BQ3322">
        <v>1.59</v>
      </c>
      <c r="BR3322">
        <v>-0.61</v>
      </c>
      <c r="BS3322">
        <v>1.2</v>
      </c>
      <c r="BT3322">
        <v>1.1100000000000001</v>
      </c>
      <c r="BU3322">
        <v>1.27</v>
      </c>
      <c r="BV3322">
        <v>1.88</v>
      </c>
      <c r="BW3322">
        <v>1.0900000000000001</v>
      </c>
      <c r="BX3322">
        <v>0.68</v>
      </c>
      <c r="BY3322">
        <v>1.37</v>
      </c>
      <c r="BZ3322">
        <v>-0.43</v>
      </c>
      <c r="CA3322">
        <v>1.54</v>
      </c>
      <c r="CB3322">
        <v>1.37</v>
      </c>
      <c r="CC3322">
        <v>1.29</v>
      </c>
      <c r="CD3322">
        <v>-1.26</v>
      </c>
      <c r="CE3322">
        <v>1.36</v>
      </c>
      <c r="CF3322">
        <v>2.04</v>
      </c>
      <c r="CG3322">
        <v>0</v>
      </c>
      <c r="CH3322">
        <v>2.15</v>
      </c>
      <c r="CI3322">
        <v>0</v>
      </c>
      <c r="CJ3322">
        <v>0.8</v>
      </c>
      <c r="CK3322">
        <v>90</v>
      </c>
      <c r="CL3322">
        <v>-1.1100000000000001</v>
      </c>
      <c r="CM3322">
        <v>88</v>
      </c>
      <c r="CN3322">
        <v>-0.72</v>
      </c>
      <c r="CO3322">
        <v>87</v>
      </c>
      <c r="CP3322">
        <v>6.4</v>
      </c>
      <c r="CQ3322">
        <v>77</v>
      </c>
      <c r="CR3322">
        <v>0</v>
      </c>
      <c r="CS3322">
        <v>0</v>
      </c>
      <c r="CT3322">
        <v>9.9</v>
      </c>
      <c r="CU3322">
        <v>62</v>
      </c>
      <c r="CV3322">
        <v>0.25</v>
      </c>
      <c r="CW3322">
        <v>25</v>
      </c>
      <c r="CX3322" t="s">
        <v>4248</v>
      </c>
    </row>
    <row r="3323" spans="1:102" x14ac:dyDescent="0.3">
      <c r="A3323" t="str">
        <f>HYPERLINK("https://webapp.icbf.com/v2/app/bull-search/view/355390966","NOY")</f>
        <v>NOY</v>
      </c>
      <c r="B3323" t="s">
        <v>11299</v>
      </c>
      <c r="C3323" t="s">
        <v>11300</v>
      </c>
      <c r="D3323" s="1">
        <v>35656</v>
      </c>
      <c r="E3323" t="s">
        <v>197</v>
      </c>
      <c r="F3323">
        <v>0</v>
      </c>
      <c r="G3323" t="s">
        <v>116</v>
      </c>
      <c r="H3323">
        <v>-28.07</v>
      </c>
      <c r="I3323">
        <v>32</v>
      </c>
      <c r="J3323">
        <v>2.78</v>
      </c>
      <c r="K3323">
        <v>53</v>
      </c>
      <c r="L3323">
        <v>-11.04</v>
      </c>
      <c r="M3323">
        <v>15</v>
      </c>
      <c r="N3323">
        <v>-39.24</v>
      </c>
      <c r="O3323">
        <v>30</v>
      </c>
      <c r="P3323">
        <v>22.12</v>
      </c>
      <c r="Q3323">
        <v>40</v>
      </c>
      <c r="R3323">
        <v>-1.41</v>
      </c>
      <c r="S3323">
        <v>20</v>
      </c>
      <c r="T3323">
        <v>2.4300000000000002</v>
      </c>
      <c r="U3323">
        <v>29</v>
      </c>
      <c r="V3323">
        <v>-3.71</v>
      </c>
      <c r="W3323">
        <v>6</v>
      </c>
      <c r="X3323" t="s">
        <v>94</v>
      </c>
      <c r="Y3323" t="s">
        <v>95</v>
      </c>
      <c r="Z3323">
        <v>0</v>
      </c>
      <c r="AA3323" t="s">
        <v>5065</v>
      </c>
      <c r="AB3323" t="s">
        <v>11301</v>
      </c>
      <c r="AC3323">
        <v>5</v>
      </c>
      <c r="AD3323">
        <v>3</v>
      </c>
      <c r="AE3323">
        <v>53</v>
      </c>
      <c r="AF3323">
        <v>-259.98</v>
      </c>
      <c r="AG3323">
        <v>-3.61</v>
      </c>
      <c r="AH3323">
        <v>-2.23</v>
      </c>
      <c r="AI3323">
        <v>0.11</v>
      </c>
      <c r="AJ3323">
        <v>0.12</v>
      </c>
      <c r="AK3323">
        <v>15</v>
      </c>
      <c r="AL3323">
        <v>3</v>
      </c>
      <c r="AM3323">
        <v>1</v>
      </c>
      <c r="AN3323">
        <v>-0.12</v>
      </c>
      <c r="AO3323">
        <v>-1.01</v>
      </c>
      <c r="AP3323">
        <v>7</v>
      </c>
      <c r="AQ3323">
        <v>0</v>
      </c>
      <c r="AR3323">
        <v>8.19</v>
      </c>
      <c r="AS3323">
        <v>11</v>
      </c>
      <c r="AT3323">
        <v>6.97</v>
      </c>
      <c r="AU3323">
        <v>21</v>
      </c>
      <c r="AV3323">
        <v>-0.13</v>
      </c>
      <c r="AW3323">
        <v>51</v>
      </c>
      <c r="AX3323">
        <v>-0.65</v>
      </c>
      <c r="AY3323">
        <v>22</v>
      </c>
      <c r="AZ3323">
        <v>6.85</v>
      </c>
      <c r="BA3323">
        <v>8</v>
      </c>
      <c r="BB3323">
        <v>4.05</v>
      </c>
      <c r="BC3323">
        <v>7</v>
      </c>
      <c r="BD3323">
        <v>0.02</v>
      </c>
      <c r="BE3323">
        <v>0.01</v>
      </c>
      <c r="BF3323">
        <v>-0.02</v>
      </c>
      <c r="BG3323">
        <v>25</v>
      </c>
      <c r="BH3323">
        <v>-0.11</v>
      </c>
      <c r="BI3323">
        <v>-0.76</v>
      </c>
      <c r="BJ3323">
        <v>0</v>
      </c>
      <c r="BK3323">
        <v>0</v>
      </c>
      <c r="BL3323">
        <v>0</v>
      </c>
      <c r="BM3323">
        <v>0</v>
      </c>
      <c r="BN3323">
        <v>0</v>
      </c>
      <c r="BO3323">
        <v>0</v>
      </c>
      <c r="BP3323">
        <v>0</v>
      </c>
      <c r="BQ3323">
        <v>0</v>
      </c>
      <c r="BR3323">
        <v>0</v>
      </c>
      <c r="BS3323">
        <v>0</v>
      </c>
      <c r="BT3323">
        <v>0</v>
      </c>
      <c r="BU3323">
        <v>0</v>
      </c>
      <c r="BV3323">
        <v>0</v>
      </c>
      <c r="BW3323">
        <v>0</v>
      </c>
      <c r="BX3323">
        <v>0</v>
      </c>
      <c r="BY3323">
        <v>0</v>
      </c>
      <c r="BZ3323">
        <v>0</v>
      </c>
      <c r="CA3323">
        <v>0</v>
      </c>
      <c r="CB3323">
        <v>0</v>
      </c>
      <c r="CC3323">
        <v>0</v>
      </c>
      <c r="CD3323">
        <v>0</v>
      </c>
      <c r="CE3323">
        <v>0</v>
      </c>
      <c r="CF3323">
        <v>0</v>
      </c>
      <c r="CG3323">
        <v>0</v>
      </c>
      <c r="CH3323">
        <v>0</v>
      </c>
      <c r="CI3323">
        <v>0</v>
      </c>
      <c r="CJ3323">
        <v>15.7</v>
      </c>
      <c r="CK3323">
        <v>43</v>
      </c>
      <c r="CL3323">
        <v>-0.15</v>
      </c>
      <c r="CM3323">
        <v>38</v>
      </c>
      <c r="CN3323">
        <v>-0.08</v>
      </c>
      <c r="CO3323">
        <v>34</v>
      </c>
      <c r="CP3323">
        <v>7.1</v>
      </c>
      <c r="CQ3323">
        <v>39</v>
      </c>
      <c r="CR3323">
        <v>0</v>
      </c>
      <c r="CS3323">
        <v>0</v>
      </c>
      <c r="CT3323">
        <v>10.5</v>
      </c>
      <c r="CU3323">
        <v>29</v>
      </c>
      <c r="CV3323">
        <v>0.27</v>
      </c>
      <c r="CW3323">
        <v>10</v>
      </c>
      <c r="CX3323" t="s">
        <v>11302</v>
      </c>
    </row>
    <row r="3324" spans="1:102" x14ac:dyDescent="0.3">
      <c r="A3324" t="str">
        <f>HYPERLINK("https://webapp.icbf.com/v2/app/bull-search/view/1373367548","FR2453")</f>
        <v>FR2453</v>
      </c>
      <c r="B3324" t="s">
        <v>9428</v>
      </c>
      <c r="C3324" t="s">
        <v>9429</v>
      </c>
      <c r="D3324" s="1">
        <v>39976</v>
      </c>
      <c r="E3324" t="s">
        <v>108</v>
      </c>
      <c r="F3324">
        <v>0</v>
      </c>
      <c r="G3324" t="s">
        <v>435</v>
      </c>
      <c r="H3324">
        <v>-28.1</v>
      </c>
      <c r="I3324">
        <v>57</v>
      </c>
      <c r="J3324">
        <v>-82.53</v>
      </c>
      <c r="K3324">
        <v>77</v>
      </c>
      <c r="L3324">
        <v>57.26</v>
      </c>
      <c r="M3324">
        <v>52</v>
      </c>
      <c r="N3324">
        <v>-2.08</v>
      </c>
      <c r="O3324">
        <v>46</v>
      </c>
      <c r="P3324">
        <v>-7.11</v>
      </c>
      <c r="Q3324">
        <v>40</v>
      </c>
      <c r="R3324">
        <v>-5.23</v>
      </c>
      <c r="S3324">
        <v>52</v>
      </c>
      <c r="T3324">
        <v>9.61</v>
      </c>
      <c r="U3324">
        <v>33</v>
      </c>
      <c r="V3324">
        <v>1.98</v>
      </c>
      <c r="W3324">
        <v>50</v>
      </c>
      <c r="X3324" t="s">
        <v>102</v>
      </c>
      <c r="Y3324" t="s">
        <v>1775</v>
      </c>
      <c r="Z3324" t="s">
        <v>96</v>
      </c>
      <c r="AA3324" t="s">
        <v>9430</v>
      </c>
      <c r="AB3324" t="s">
        <v>9431</v>
      </c>
      <c r="AC3324">
        <v>2</v>
      </c>
      <c r="AD3324">
        <v>2</v>
      </c>
      <c r="AE3324">
        <v>77</v>
      </c>
      <c r="AF3324">
        <v>-524.75</v>
      </c>
      <c r="AG3324">
        <v>-19.13</v>
      </c>
      <c r="AH3324">
        <v>-15.3</v>
      </c>
      <c r="AI3324">
        <v>0.02</v>
      </c>
      <c r="AJ3324">
        <v>0.05</v>
      </c>
      <c r="AK3324">
        <v>52</v>
      </c>
      <c r="AL3324">
        <v>0</v>
      </c>
      <c r="AM3324">
        <v>0</v>
      </c>
      <c r="AN3324">
        <v>-4.37</v>
      </c>
      <c r="AO3324">
        <v>0.18</v>
      </c>
      <c r="AP3324">
        <v>12</v>
      </c>
      <c r="AQ3324">
        <v>0</v>
      </c>
      <c r="AR3324">
        <v>6.3</v>
      </c>
      <c r="AS3324">
        <v>38</v>
      </c>
      <c r="AT3324">
        <v>2.37</v>
      </c>
      <c r="AU3324">
        <v>51</v>
      </c>
      <c r="AV3324">
        <v>-0.35</v>
      </c>
      <c r="AW3324">
        <v>52</v>
      </c>
      <c r="AX3324">
        <v>-0.35</v>
      </c>
      <c r="AY3324">
        <v>38</v>
      </c>
      <c r="AZ3324">
        <v>9.39</v>
      </c>
      <c r="BA3324">
        <v>32</v>
      </c>
      <c r="BB3324">
        <v>6.73</v>
      </c>
      <c r="BC3324">
        <v>29</v>
      </c>
      <c r="BD3324">
        <v>0.02</v>
      </c>
      <c r="BE3324">
        <v>0.03</v>
      </c>
      <c r="BF3324">
        <v>0.03</v>
      </c>
      <c r="BG3324">
        <v>58</v>
      </c>
      <c r="BH3324">
        <v>-0.06</v>
      </c>
      <c r="BI3324">
        <v>-13.34</v>
      </c>
      <c r="BJ3324">
        <v>0</v>
      </c>
      <c r="BK3324">
        <v>0</v>
      </c>
      <c r="BL3324">
        <v>-4.16</v>
      </c>
      <c r="BM3324">
        <v>2.5299999999999998</v>
      </c>
      <c r="BN3324">
        <v>-3.41</v>
      </c>
      <c r="BO3324">
        <v>-3.95</v>
      </c>
      <c r="BP3324">
        <v>-0.91</v>
      </c>
      <c r="BQ3324">
        <v>0.93</v>
      </c>
      <c r="BR3324">
        <v>-2.3199999999999998</v>
      </c>
      <c r="BS3324">
        <v>0.61</v>
      </c>
      <c r="BT3324">
        <v>0.26</v>
      </c>
      <c r="BU3324">
        <v>-3.12</v>
      </c>
      <c r="BV3324">
        <v>-4.5199999999999996</v>
      </c>
      <c r="BW3324">
        <v>-3.66</v>
      </c>
      <c r="BX3324">
        <v>-3.06</v>
      </c>
      <c r="BY3324">
        <v>-1.83</v>
      </c>
      <c r="BZ3324">
        <v>0.22</v>
      </c>
      <c r="CA3324">
        <v>-3.16</v>
      </c>
      <c r="CB3324">
        <v>-3.59</v>
      </c>
      <c r="CC3324">
        <v>-0.64</v>
      </c>
      <c r="CD3324">
        <v>3.96</v>
      </c>
      <c r="CE3324">
        <v>-3.76</v>
      </c>
      <c r="CF3324">
        <v>-2.83</v>
      </c>
      <c r="CG3324">
        <v>0</v>
      </c>
      <c r="CH3324">
        <v>-1.91</v>
      </c>
      <c r="CI3324">
        <v>0</v>
      </c>
      <c r="CJ3324">
        <v>-5</v>
      </c>
      <c r="CK3324">
        <v>42</v>
      </c>
      <c r="CL3324">
        <v>0.23</v>
      </c>
      <c r="CM3324">
        <v>39</v>
      </c>
      <c r="CN3324">
        <v>0.1</v>
      </c>
      <c r="CO3324">
        <v>38</v>
      </c>
      <c r="CP3324">
        <v>-9.4</v>
      </c>
      <c r="CQ3324">
        <v>34</v>
      </c>
      <c r="CR3324">
        <v>0</v>
      </c>
      <c r="CS3324">
        <v>0</v>
      </c>
      <c r="CT3324">
        <v>0.8</v>
      </c>
      <c r="CU3324">
        <v>33</v>
      </c>
      <c r="CV3324">
        <v>0.03</v>
      </c>
      <c r="CW3324">
        <v>33</v>
      </c>
      <c r="CX3324" t="s">
        <v>9432</v>
      </c>
    </row>
    <row r="3325" spans="1:102" x14ac:dyDescent="0.3">
      <c r="A3325" t="str">
        <f>HYPERLINK("https://webapp.icbf.com/v2/app/bull-search/view/77856532","HPV")</f>
        <v>HPV</v>
      </c>
      <c r="B3325" t="s">
        <v>2528</v>
      </c>
      <c r="C3325" t="s">
        <v>2529</v>
      </c>
      <c r="D3325" s="1">
        <v>34737</v>
      </c>
      <c r="E3325" t="s">
        <v>92</v>
      </c>
      <c r="F3325">
        <v>100</v>
      </c>
      <c r="G3325" t="s">
        <v>93</v>
      </c>
      <c r="H3325">
        <v>-28.17</v>
      </c>
      <c r="I3325">
        <v>77</v>
      </c>
      <c r="J3325">
        <v>31.17</v>
      </c>
      <c r="K3325">
        <v>94</v>
      </c>
      <c r="L3325">
        <v>-60.35</v>
      </c>
      <c r="M3325">
        <v>75</v>
      </c>
      <c r="N3325">
        <v>-1.81</v>
      </c>
      <c r="O3325">
        <v>60</v>
      </c>
      <c r="P3325">
        <v>-3.07</v>
      </c>
      <c r="Q3325">
        <v>63</v>
      </c>
      <c r="R3325">
        <v>-9.08</v>
      </c>
      <c r="S3325">
        <v>75</v>
      </c>
      <c r="T3325">
        <v>15.53</v>
      </c>
      <c r="U3325">
        <v>60</v>
      </c>
      <c r="V3325">
        <v>-0.56000000000000005</v>
      </c>
      <c r="W3325">
        <v>65</v>
      </c>
      <c r="X3325" t="s">
        <v>94</v>
      </c>
      <c r="Y3325" t="s">
        <v>95</v>
      </c>
      <c r="Z3325" t="s">
        <v>96</v>
      </c>
      <c r="AA3325" t="s">
        <v>743</v>
      </c>
      <c r="AB3325" t="s">
        <v>2530</v>
      </c>
      <c r="AC3325">
        <v>30</v>
      </c>
      <c r="AD3325">
        <v>28</v>
      </c>
      <c r="AE3325">
        <v>94</v>
      </c>
      <c r="AF3325">
        <v>155.76</v>
      </c>
      <c r="AG3325">
        <v>5.33</v>
      </c>
      <c r="AH3325">
        <v>5.8</v>
      </c>
      <c r="AI3325">
        <v>-0.01</v>
      </c>
      <c r="AJ3325">
        <v>0.01</v>
      </c>
      <c r="AK3325">
        <v>75</v>
      </c>
      <c r="AL3325">
        <v>30</v>
      </c>
      <c r="AM3325">
        <v>29</v>
      </c>
      <c r="AN3325">
        <v>2.74</v>
      </c>
      <c r="AO3325">
        <v>-2.08</v>
      </c>
      <c r="AP3325">
        <v>1</v>
      </c>
      <c r="AQ3325">
        <v>0</v>
      </c>
      <c r="AR3325">
        <v>8.43</v>
      </c>
      <c r="AS3325">
        <v>56</v>
      </c>
      <c r="AT3325">
        <v>4.0999999999999996</v>
      </c>
      <c r="AU3325">
        <v>69</v>
      </c>
      <c r="AV3325">
        <v>-0.99</v>
      </c>
      <c r="AW3325">
        <v>58</v>
      </c>
      <c r="AX3325">
        <v>-0.54</v>
      </c>
      <c r="AY3325">
        <v>65</v>
      </c>
      <c r="AZ3325">
        <v>5.88</v>
      </c>
      <c r="BA3325">
        <v>48</v>
      </c>
      <c r="BB3325">
        <v>5.0199999999999996</v>
      </c>
      <c r="BC3325">
        <v>54</v>
      </c>
      <c r="BD3325">
        <v>0.04</v>
      </c>
      <c r="BE3325">
        <v>0.08</v>
      </c>
      <c r="BF3325">
        <v>-0.01</v>
      </c>
      <c r="BG3325">
        <v>85</v>
      </c>
      <c r="BH3325">
        <v>0.08</v>
      </c>
      <c r="BI3325">
        <v>11.07</v>
      </c>
      <c r="BJ3325">
        <v>12</v>
      </c>
      <c r="BK3325">
        <v>10</v>
      </c>
      <c r="BL3325">
        <v>-7.0000000000000007E-2</v>
      </c>
      <c r="BM3325">
        <v>7.0000000000000007E-2</v>
      </c>
      <c r="BN3325">
        <v>-0.5</v>
      </c>
      <c r="BO3325">
        <v>-0.54</v>
      </c>
      <c r="BP3325">
        <v>-2.81</v>
      </c>
      <c r="BQ3325">
        <v>-1.1100000000000001</v>
      </c>
      <c r="BR3325">
        <v>0.3</v>
      </c>
      <c r="BS3325">
        <v>1.29</v>
      </c>
      <c r="BT3325">
        <v>-0.52</v>
      </c>
      <c r="BU3325">
        <v>-1.7</v>
      </c>
      <c r="BV3325">
        <v>-1.57</v>
      </c>
      <c r="BW3325">
        <v>-1.5</v>
      </c>
      <c r="BX3325">
        <v>-1.48</v>
      </c>
      <c r="BY3325">
        <v>-1.67</v>
      </c>
      <c r="BZ3325">
        <v>2.21</v>
      </c>
      <c r="CA3325">
        <v>-1.31</v>
      </c>
      <c r="CB3325">
        <v>-1.94</v>
      </c>
      <c r="CC3325">
        <v>0.01</v>
      </c>
      <c r="CD3325">
        <v>0.57999999999999996</v>
      </c>
      <c r="CE3325">
        <v>-0.62</v>
      </c>
      <c r="CF3325">
        <v>-0.56999999999999995</v>
      </c>
      <c r="CG3325">
        <v>0</v>
      </c>
      <c r="CH3325">
        <v>-2.0499999999999998</v>
      </c>
      <c r="CI3325">
        <v>0</v>
      </c>
      <c r="CJ3325">
        <v>-0.3</v>
      </c>
      <c r="CK3325">
        <v>64</v>
      </c>
      <c r="CL3325">
        <v>-0.45</v>
      </c>
      <c r="CM3325">
        <v>62</v>
      </c>
      <c r="CN3325">
        <v>-0.28000000000000003</v>
      </c>
      <c r="CO3325">
        <v>58</v>
      </c>
      <c r="CP3325">
        <v>-8.6</v>
      </c>
      <c r="CQ3325">
        <v>68</v>
      </c>
      <c r="CR3325">
        <v>0</v>
      </c>
      <c r="CS3325">
        <v>0</v>
      </c>
      <c r="CT3325">
        <v>-7.2</v>
      </c>
      <c r="CU3325">
        <v>60</v>
      </c>
      <c r="CV3325">
        <v>0.05</v>
      </c>
      <c r="CW3325">
        <v>38</v>
      </c>
      <c r="CX3325" t="s">
        <v>132</v>
      </c>
    </row>
    <row r="3326" spans="1:102" x14ac:dyDescent="0.3">
      <c r="A3326" t="str">
        <f>HYPERLINK("https://webapp.icbf.com/v2/app/bull-search/view/77853766","SEL")</f>
        <v>SEL</v>
      </c>
      <c r="B3326" t="s">
        <v>10675</v>
      </c>
      <c r="C3326" t="s">
        <v>10676</v>
      </c>
      <c r="D3326" s="1">
        <v>33574</v>
      </c>
      <c r="E3326" t="s">
        <v>92</v>
      </c>
      <c r="F3326">
        <v>100</v>
      </c>
      <c r="G3326" t="s">
        <v>109</v>
      </c>
      <c r="H3326">
        <v>-28.26</v>
      </c>
      <c r="I3326">
        <v>85</v>
      </c>
      <c r="J3326">
        <v>-1.83</v>
      </c>
      <c r="K3326">
        <v>95</v>
      </c>
      <c r="L3326">
        <v>-45.56</v>
      </c>
      <c r="M3326">
        <v>89</v>
      </c>
      <c r="N3326">
        <v>9.86</v>
      </c>
      <c r="O3326">
        <v>69</v>
      </c>
      <c r="P3326">
        <v>-6.51</v>
      </c>
      <c r="Q3326">
        <v>70</v>
      </c>
      <c r="R3326">
        <v>-3.39</v>
      </c>
      <c r="S3326">
        <v>81</v>
      </c>
      <c r="T3326">
        <v>17.23</v>
      </c>
      <c r="U3326">
        <v>69</v>
      </c>
      <c r="V3326">
        <v>1.94</v>
      </c>
      <c r="W3326">
        <v>70</v>
      </c>
      <c r="X3326" t="s">
        <v>131</v>
      </c>
      <c r="Y3326" t="s">
        <v>95</v>
      </c>
      <c r="Z3326" t="s">
        <v>96</v>
      </c>
      <c r="AA3326" t="s">
        <v>161</v>
      </c>
      <c r="AB3326" t="s">
        <v>10348</v>
      </c>
      <c r="AC3326">
        <v>0</v>
      </c>
      <c r="AD3326">
        <v>0</v>
      </c>
      <c r="AE3326">
        <v>95</v>
      </c>
      <c r="AF3326">
        <v>-1.01</v>
      </c>
      <c r="AG3326">
        <v>0.52</v>
      </c>
      <c r="AH3326">
        <v>-0.51</v>
      </c>
      <c r="AI3326">
        <v>0.01</v>
      </c>
      <c r="AJ3326">
        <v>-0.01</v>
      </c>
      <c r="AK3326">
        <v>89</v>
      </c>
      <c r="AL3326">
        <v>0</v>
      </c>
      <c r="AM3326">
        <v>0</v>
      </c>
      <c r="AN3326">
        <v>1.19</v>
      </c>
      <c r="AO3326">
        <v>-2.46</v>
      </c>
      <c r="AP3326">
        <v>3</v>
      </c>
      <c r="AQ3326">
        <v>4</v>
      </c>
      <c r="AR3326">
        <v>6.37</v>
      </c>
      <c r="AS3326">
        <v>64</v>
      </c>
      <c r="AT3326">
        <v>2.71</v>
      </c>
      <c r="AU3326">
        <v>91</v>
      </c>
      <c r="AV3326">
        <v>-1.68</v>
      </c>
      <c r="AW3326">
        <v>62</v>
      </c>
      <c r="AX3326">
        <v>-0.76</v>
      </c>
      <c r="AY3326">
        <v>62</v>
      </c>
      <c r="AZ3326">
        <v>8.9</v>
      </c>
      <c r="BA3326">
        <v>56</v>
      </c>
      <c r="BB3326">
        <v>6.39</v>
      </c>
      <c r="BC3326">
        <v>60</v>
      </c>
      <c r="BD3326">
        <v>0.03</v>
      </c>
      <c r="BE3326">
        <v>0.02</v>
      </c>
      <c r="BF3326">
        <v>-0.01</v>
      </c>
      <c r="BG3326">
        <v>94</v>
      </c>
      <c r="BH3326">
        <v>0.02</v>
      </c>
      <c r="BI3326">
        <v>-3.95</v>
      </c>
      <c r="BJ3326">
        <v>1</v>
      </c>
      <c r="BK3326">
        <v>1</v>
      </c>
      <c r="BL3326">
        <v>0.41</v>
      </c>
      <c r="BM3326">
        <v>-0.11</v>
      </c>
      <c r="BN3326">
        <v>0.34</v>
      </c>
      <c r="BO3326">
        <v>0.35</v>
      </c>
      <c r="BP3326">
        <v>-0.97</v>
      </c>
      <c r="BQ3326">
        <v>-0.86</v>
      </c>
      <c r="BR3326">
        <v>0.57999999999999996</v>
      </c>
      <c r="BS3326">
        <v>-1.1599999999999999</v>
      </c>
      <c r="BT3326">
        <v>-1.27</v>
      </c>
      <c r="BU3326">
        <v>0.14000000000000001</v>
      </c>
      <c r="BV3326">
        <v>0.5</v>
      </c>
      <c r="BW3326">
        <v>0.25</v>
      </c>
      <c r="BX3326">
        <v>0.46</v>
      </c>
      <c r="BY3326">
        <v>-0.18</v>
      </c>
      <c r="BZ3326">
        <v>0.13</v>
      </c>
      <c r="CA3326">
        <v>-0.13</v>
      </c>
      <c r="CB3326">
        <v>-0.09</v>
      </c>
      <c r="CC3326">
        <v>-0.19</v>
      </c>
      <c r="CD3326">
        <v>-0.56000000000000005</v>
      </c>
      <c r="CE3326">
        <v>0.44</v>
      </c>
      <c r="CF3326">
        <v>-0.04</v>
      </c>
      <c r="CG3326">
        <v>0</v>
      </c>
      <c r="CH3326">
        <v>-0.41</v>
      </c>
      <c r="CI3326">
        <v>0</v>
      </c>
      <c r="CJ3326">
        <v>-2.4</v>
      </c>
      <c r="CK3326">
        <v>71</v>
      </c>
      <c r="CL3326">
        <v>-0.76</v>
      </c>
      <c r="CM3326">
        <v>68</v>
      </c>
      <c r="CN3326">
        <v>-0.44</v>
      </c>
      <c r="CO3326">
        <v>65</v>
      </c>
      <c r="CP3326">
        <v>-3.4</v>
      </c>
      <c r="CQ3326">
        <v>75</v>
      </c>
      <c r="CR3326">
        <v>0</v>
      </c>
      <c r="CS3326">
        <v>0</v>
      </c>
      <c r="CT3326">
        <v>-9.5</v>
      </c>
      <c r="CU3326">
        <v>69</v>
      </c>
      <c r="CV3326">
        <v>0.09</v>
      </c>
      <c r="CW3326">
        <v>39</v>
      </c>
      <c r="CX3326" t="s">
        <v>4347</v>
      </c>
    </row>
    <row r="3327" spans="1:102" x14ac:dyDescent="0.3">
      <c r="A3327" t="str">
        <f>HYPERLINK("https://webapp.icbf.com/v2/app/bull-search/view/487001859","KPH")</f>
        <v>KPH</v>
      </c>
      <c r="B3327" t="s">
        <v>4798</v>
      </c>
      <c r="C3327" t="s">
        <v>4799</v>
      </c>
      <c r="D3327" s="1">
        <v>38595</v>
      </c>
      <c r="E3327" t="s">
        <v>92</v>
      </c>
      <c r="F3327">
        <v>81</v>
      </c>
      <c r="G3327" t="s">
        <v>109</v>
      </c>
      <c r="H3327">
        <v>-28.33</v>
      </c>
      <c r="I3327">
        <v>74</v>
      </c>
      <c r="J3327">
        <v>42.05</v>
      </c>
      <c r="K3327">
        <v>90</v>
      </c>
      <c r="L3327">
        <v>-101.46</v>
      </c>
      <c r="M3327">
        <v>69</v>
      </c>
      <c r="N3327">
        <v>22.87</v>
      </c>
      <c r="O3327">
        <v>67</v>
      </c>
      <c r="P3327">
        <v>-17.3</v>
      </c>
      <c r="Q3327">
        <v>57</v>
      </c>
      <c r="R3327">
        <v>-4.99</v>
      </c>
      <c r="S3327">
        <v>70</v>
      </c>
      <c r="T3327">
        <v>21.08</v>
      </c>
      <c r="U3327">
        <v>66</v>
      </c>
      <c r="V3327">
        <v>9.42</v>
      </c>
      <c r="W3327">
        <v>66</v>
      </c>
      <c r="X3327" t="s">
        <v>276</v>
      </c>
      <c r="Y3327" t="s">
        <v>435</v>
      </c>
      <c r="Z3327" t="s">
        <v>330</v>
      </c>
      <c r="AA3327" t="s">
        <v>1662</v>
      </c>
      <c r="AB3327" t="s">
        <v>144</v>
      </c>
      <c r="AC3327">
        <v>0</v>
      </c>
      <c r="AD3327">
        <v>0</v>
      </c>
      <c r="AE3327">
        <v>90</v>
      </c>
      <c r="AF3327">
        <v>249.11</v>
      </c>
      <c r="AG3327">
        <v>7.73</v>
      </c>
      <c r="AH3327">
        <v>8.23</v>
      </c>
      <c r="AI3327">
        <v>-0.03</v>
      </c>
      <c r="AJ3327">
        <v>0</v>
      </c>
      <c r="AK3327">
        <v>69</v>
      </c>
      <c r="AL3327">
        <v>0</v>
      </c>
      <c r="AM3327">
        <v>0</v>
      </c>
      <c r="AN3327">
        <v>4.87</v>
      </c>
      <c r="AO3327">
        <v>-3.23</v>
      </c>
      <c r="AP3327">
        <v>28</v>
      </c>
      <c r="AQ3327">
        <v>0</v>
      </c>
      <c r="AR3327">
        <v>6.19</v>
      </c>
      <c r="AS3327">
        <v>48</v>
      </c>
      <c r="AT3327">
        <v>2.4500000000000002</v>
      </c>
      <c r="AU3327">
        <v>70</v>
      </c>
      <c r="AV3327">
        <v>-1.52</v>
      </c>
      <c r="AW3327">
        <v>82</v>
      </c>
      <c r="AX3327">
        <v>0.48</v>
      </c>
      <c r="AY3327">
        <v>55</v>
      </c>
      <c r="AZ3327">
        <v>5.76</v>
      </c>
      <c r="BA3327">
        <v>40</v>
      </c>
      <c r="BB3327">
        <v>4.54</v>
      </c>
      <c r="BC3327">
        <v>40</v>
      </c>
      <c r="BD3327">
        <v>0.01</v>
      </c>
      <c r="BE3327">
        <v>0.02</v>
      </c>
      <c r="BF3327">
        <v>0.06</v>
      </c>
      <c r="BG3327">
        <v>82</v>
      </c>
      <c r="BH3327">
        <v>0.15</v>
      </c>
      <c r="BI3327">
        <v>-13.02</v>
      </c>
      <c r="BJ3327">
        <v>0</v>
      </c>
      <c r="BK3327">
        <v>0</v>
      </c>
      <c r="BL3327">
        <v>-1.8</v>
      </c>
      <c r="BM3327">
        <v>0.33</v>
      </c>
      <c r="BN3327">
        <v>0.02</v>
      </c>
      <c r="BO3327">
        <v>-0.25</v>
      </c>
      <c r="BP3327">
        <v>-0.92</v>
      </c>
      <c r="BQ3327">
        <v>-1.05</v>
      </c>
      <c r="BR3327">
        <v>3.72</v>
      </c>
      <c r="BS3327">
        <v>-2.09</v>
      </c>
      <c r="BT3327">
        <v>-3.33</v>
      </c>
      <c r="BU3327">
        <v>-2.04</v>
      </c>
      <c r="BV3327">
        <v>-2.0299999999999998</v>
      </c>
      <c r="BW3327">
        <v>-2.96</v>
      </c>
      <c r="BX3327">
        <v>-3.22</v>
      </c>
      <c r="BY3327">
        <v>-0.56999999999999995</v>
      </c>
      <c r="BZ3327">
        <v>0.01</v>
      </c>
      <c r="CA3327">
        <v>-2.36</v>
      </c>
      <c r="CB3327">
        <v>-1.83</v>
      </c>
      <c r="CC3327">
        <v>-2.3199999999999998</v>
      </c>
      <c r="CD3327">
        <v>0.41</v>
      </c>
      <c r="CE3327">
        <v>-0.21</v>
      </c>
      <c r="CF3327">
        <v>-1.17</v>
      </c>
      <c r="CG3327">
        <v>0</v>
      </c>
      <c r="CH3327">
        <v>-0.69</v>
      </c>
      <c r="CI3327">
        <v>0</v>
      </c>
      <c r="CJ3327">
        <v>-5.7</v>
      </c>
      <c r="CK3327">
        <v>58</v>
      </c>
      <c r="CL3327">
        <v>-0.46</v>
      </c>
      <c r="CM3327">
        <v>54</v>
      </c>
      <c r="CN3327">
        <v>0.24</v>
      </c>
      <c r="CO3327">
        <v>50</v>
      </c>
      <c r="CP3327">
        <v>-12.5</v>
      </c>
      <c r="CQ3327">
        <v>65</v>
      </c>
      <c r="CR3327">
        <v>0</v>
      </c>
      <c r="CS3327">
        <v>0</v>
      </c>
      <c r="CT3327">
        <v>-14.7</v>
      </c>
      <c r="CU3327">
        <v>66</v>
      </c>
      <c r="CV3327">
        <v>0.06</v>
      </c>
      <c r="CW3327">
        <v>36</v>
      </c>
      <c r="CX3327" t="s">
        <v>1436</v>
      </c>
    </row>
    <row r="3328" spans="1:102" x14ac:dyDescent="0.3">
      <c r="A3328" t="str">
        <f>HYPERLINK("https://webapp.icbf.com/v2/app/bull-search/view/77855680","LFN")</f>
        <v>LFN</v>
      </c>
      <c r="B3328" t="s">
        <v>816</v>
      </c>
      <c r="C3328" t="s">
        <v>817</v>
      </c>
      <c r="D3328" s="1">
        <v>31791</v>
      </c>
      <c r="E3328" t="s">
        <v>92</v>
      </c>
      <c r="F3328">
        <v>50</v>
      </c>
      <c r="G3328" t="s">
        <v>116</v>
      </c>
      <c r="H3328">
        <v>-28.35</v>
      </c>
      <c r="I3328">
        <v>45</v>
      </c>
      <c r="J3328">
        <v>-51.54</v>
      </c>
      <c r="K3328">
        <v>47</v>
      </c>
      <c r="L3328">
        <v>20.7</v>
      </c>
      <c r="M3328">
        <v>47</v>
      </c>
      <c r="N3328">
        <v>-12.25</v>
      </c>
      <c r="O3328">
        <v>42</v>
      </c>
      <c r="P3328">
        <v>7.25</v>
      </c>
      <c r="Q3328">
        <v>51</v>
      </c>
      <c r="R3328">
        <v>1.97</v>
      </c>
      <c r="S3328">
        <v>44</v>
      </c>
      <c r="T3328">
        <v>10.5</v>
      </c>
      <c r="U3328">
        <v>41</v>
      </c>
      <c r="V3328">
        <v>-4.9800000000000004</v>
      </c>
      <c r="W3328">
        <v>21</v>
      </c>
      <c r="X3328" t="s">
        <v>94</v>
      </c>
      <c r="Y3328" t="s">
        <v>95</v>
      </c>
      <c r="Z3328" t="s">
        <v>96</v>
      </c>
      <c r="AA3328" t="s">
        <v>622</v>
      </c>
      <c r="AB3328" t="s">
        <v>818</v>
      </c>
      <c r="AC3328">
        <v>5</v>
      </c>
      <c r="AD3328">
        <v>5</v>
      </c>
      <c r="AE3328">
        <v>47</v>
      </c>
      <c r="AF3328">
        <v>-44.89</v>
      </c>
      <c r="AG3328">
        <v>-6.96</v>
      </c>
      <c r="AH3328">
        <v>-6.99</v>
      </c>
      <c r="AI3328">
        <v>-0.09</v>
      </c>
      <c r="AJ3328">
        <v>-0.09</v>
      </c>
      <c r="AK3328">
        <v>47</v>
      </c>
      <c r="AL3328">
        <v>20</v>
      </c>
      <c r="AM3328">
        <v>15</v>
      </c>
      <c r="AN3328">
        <v>-1.17</v>
      </c>
      <c r="AO3328">
        <v>0.48</v>
      </c>
      <c r="AP3328">
        <v>5</v>
      </c>
      <c r="AQ3328">
        <v>0</v>
      </c>
      <c r="AR3328">
        <v>8.7899999999999991</v>
      </c>
      <c r="AS3328">
        <v>23</v>
      </c>
      <c r="AT3328">
        <v>3.49</v>
      </c>
      <c r="AU3328">
        <v>34</v>
      </c>
      <c r="AV3328">
        <v>0.14000000000000001</v>
      </c>
      <c r="AW3328">
        <v>57</v>
      </c>
      <c r="AX3328">
        <v>0.81</v>
      </c>
      <c r="AY3328">
        <v>41</v>
      </c>
      <c r="AZ3328">
        <v>6.7</v>
      </c>
      <c r="BA3328">
        <v>23</v>
      </c>
      <c r="BB3328">
        <v>5.39</v>
      </c>
      <c r="BC3328">
        <v>29</v>
      </c>
      <c r="BD3328">
        <v>0.01</v>
      </c>
      <c r="BE3328">
        <v>0.02</v>
      </c>
      <c r="BF3328">
        <v>-0.1</v>
      </c>
      <c r="BG3328">
        <v>59</v>
      </c>
      <c r="BH3328">
        <v>-0.13</v>
      </c>
      <c r="BI3328">
        <v>1.04</v>
      </c>
      <c r="BJ3328">
        <v>2</v>
      </c>
      <c r="BK3328">
        <v>2</v>
      </c>
      <c r="BL3328">
        <v>-2.02</v>
      </c>
      <c r="BM3328">
        <v>0.7</v>
      </c>
      <c r="BN3328">
        <v>-1.2</v>
      </c>
      <c r="BO3328">
        <v>-1.67</v>
      </c>
      <c r="BP3328">
        <v>-0.61</v>
      </c>
      <c r="BQ3328">
        <v>-0.1</v>
      </c>
      <c r="BR3328">
        <v>0.22</v>
      </c>
      <c r="BS3328">
        <v>-0.15</v>
      </c>
      <c r="BT3328">
        <v>-0.76</v>
      </c>
      <c r="BU3328">
        <v>-0.12</v>
      </c>
      <c r="BV3328">
        <v>-1.55</v>
      </c>
      <c r="BW3328">
        <v>-2.31</v>
      </c>
      <c r="BX3328">
        <v>-0.62</v>
      </c>
      <c r="BY3328">
        <v>-0.8</v>
      </c>
      <c r="BZ3328">
        <v>-1.7</v>
      </c>
      <c r="CA3328">
        <v>-1.06</v>
      </c>
      <c r="CB3328">
        <v>-1.1299999999999999</v>
      </c>
      <c r="CC3328">
        <v>-0.5</v>
      </c>
      <c r="CD3328">
        <v>1.58</v>
      </c>
      <c r="CE3328">
        <v>-1.84</v>
      </c>
      <c r="CF3328">
        <v>-1.64</v>
      </c>
      <c r="CG3328">
        <v>0</v>
      </c>
      <c r="CH3328">
        <v>-1.54</v>
      </c>
      <c r="CI3328">
        <v>0</v>
      </c>
      <c r="CJ3328">
        <v>4.5</v>
      </c>
      <c r="CK3328">
        <v>54</v>
      </c>
      <c r="CL3328">
        <v>0.22</v>
      </c>
      <c r="CM3328">
        <v>48</v>
      </c>
      <c r="CN3328">
        <v>0.11</v>
      </c>
      <c r="CO3328">
        <v>45</v>
      </c>
      <c r="CP3328">
        <v>0.4</v>
      </c>
      <c r="CQ3328">
        <v>48</v>
      </c>
      <c r="CR3328">
        <v>0</v>
      </c>
      <c r="CS3328">
        <v>0</v>
      </c>
      <c r="CT3328">
        <v>-0.4</v>
      </c>
      <c r="CU3328">
        <v>41</v>
      </c>
      <c r="CV3328">
        <v>-0.01</v>
      </c>
      <c r="CW3328">
        <v>15</v>
      </c>
      <c r="CX3328" t="s">
        <v>819</v>
      </c>
    </row>
    <row r="3329" spans="1:102" x14ac:dyDescent="0.3">
      <c r="A3329" t="str">
        <f>HYPERLINK("https://webapp.icbf.com/v2/app/bull-search/view/147125998","ARK")</f>
        <v>ARK</v>
      </c>
      <c r="B3329" t="s">
        <v>11590</v>
      </c>
      <c r="C3329" t="s">
        <v>11591</v>
      </c>
      <c r="D3329" s="1">
        <v>35924</v>
      </c>
      <c r="E3329" t="s">
        <v>108</v>
      </c>
      <c r="F3329">
        <v>0</v>
      </c>
      <c r="G3329" t="s">
        <v>116</v>
      </c>
      <c r="H3329">
        <v>-28.59</v>
      </c>
      <c r="I3329">
        <v>52</v>
      </c>
      <c r="J3329">
        <v>-39</v>
      </c>
      <c r="K3329">
        <v>71</v>
      </c>
      <c r="L3329">
        <v>40.130000000000003</v>
      </c>
      <c r="M3329">
        <v>31</v>
      </c>
      <c r="N3329">
        <v>-27.36</v>
      </c>
      <c r="O3329">
        <v>49</v>
      </c>
      <c r="P3329">
        <v>-9.67</v>
      </c>
      <c r="Q3329">
        <v>72</v>
      </c>
      <c r="R3329">
        <v>-9.68</v>
      </c>
      <c r="S3329">
        <v>37</v>
      </c>
      <c r="T3329">
        <v>12.2</v>
      </c>
      <c r="U3329">
        <v>57</v>
      </c>
      <c r="V3329">
        <v>4.79</v>
      </c>
      <c r="W3329">
        <v>35</v>
      </c>
      <c r="X3329" t="s">
        <v>276</v>
      </c>
      <c r="Y3329" t="s">
        <v>95</v>
      </c>
      <c r="Z3329" t="s">
        <v>96</v>
      </c>
      <c r="AA3329" t="s">
        <v>10955</v>
      </c>
      <c r="AB3329" t="s">
        <v>11592</v>
      </c>
      <c r="AC3329">
        <v>9</v>
      </c>
      <c r="AD3329">
        <v>6</v>
      </c>
      <c r="AE3329">
        <v>71</v>
      </c>
      <c r="AF3329">
        <v>-159.07</v>
      </c>
      <c r="AG3329">
        <v>-11.02</v>
      </c>
      <c r="AH3329">
        <v>-5.17</v>
      </c>
      <c r="AI3329">
        <v>-0.08</v>
      </c>
      <c r="AJ3329">
        <v>0</v>
      </c>
      <c r="AK3329">
        <v>31</v>
      </c>
      <c r="AL3329">
        <v>16</v>
      </c>
      <c r="AM3329">
        <v>10</v>
      </c>
      <c r="AN3329">
        <v>-1.44</v>
      </c>
      <c r="AO3329">
        <v>1.77</v>
      </c>
      <c r="AP3329">
        <v>26</v>
      </c>
      <c r="AQ3329">
        <v>0</v>
      </c>
      <c r="AR3329">
        <v>8.32</v>
      </c>
      <c r="AS3329">
        <v>18</v>
      </c>
      <c r="AT3329">
        <v>3.31</v>
      </c>
      <c r="AU3329">
        <v>45</v>
      </c>
      <c r="AV3329">
        <v>1.68</v>
      </c>
      <c r="AW3329">
        <v>68</v>
      </c>
      <c r="AX3329">
        <v>0.23</v>
      </c>
      <c r="AY3329">
        <v>44</v>
      </c>
      <c r="AZ3329">
        <v>8.68</v>
      </c>
      <c r="BA3329">
        <v>16</v>
      </c>
      <c r="BB3329">
        <v>6.12</v>
      </c>
      <c r="BC3329">
        <v>24</v>
      </c>
      <c r="BD3329">
        <v>7.0000000000000007E-2</v>
      </c>
      <c r="BE3329">
        <v>0.04</v>
      </c>
      <c r="BF3329">
        <v>0.03</v>
      </c>
      <c r="BG3329">
        <v>42</v>
      </c>
      <c r="BH3329">
        <v>0.18</v>
      </c>
      <c r="BI3329">
        <v>5.38</v>
      </c>
      <c r="BJ3329">
        <v>0</v>
      </c>
      <c r="BK3329">
        <v>0</v>
      </c>
      <c r="BL3329">
        <v>-1.18</v>
      </c>
      <c r="BM3329">
        <v>0.44</v>
      </c>
      <c r="BN3329">
        <v>-0.78</v>
      </c>
      <c r="BO3329">
        <v>-0.93</v>
      </c>
      <c r="BP3329">
        <v>-0.48</v>
      </c>
      <c r="BQ3329">
        <v>-0.27</v>
      </c>
      <c r="BR3329">
        <v>0.49</v>
      </c>
      <c r="BS3329">
        <v>-0.79</v>
      </c>
      <c r="BT3329">
        <v>-0.38</v>
      </c>
      <c r="BU3329">
        <v>-0.49</v>
      </c>
      <c r="BV3329">
        <v>-1.17</v>
      </c>
      <c r="BW3329">
        <v>-1.0900000000000001</v>
      </c>
      <c r="BX3329">
        <v>-0.26</v>
      </c>
      <c r="BY3329">
        <v>-0.73</v>
      </c>
      <c r="BZ3329">
        <v>-0.92</v>
      </c>
      <c r="CA3329">
        <v>-1.17</v>
      </c>
      <c r="CB3329">
        <v>-1.03</v>
      </c>
      <c r="CC3329">
        <v>-0.96</v>
      </c>
      <c r="CD3329">
        <v>0.65</v>
      </c>
      <c r="CE3329">
        <v>-1.24</v>
      </c>
      <c r="CF3329">
        <v>-1.25</v>
      </c>
      <c r="CG3329">
        <v>0</v>
      </c>
      <c r="CH3329">
        <v>-0.97</v>
      </c>
      <c r="CI3329">
        <v>0</v>
      </c>
      <c r="CJ3329">
        <v>-4.8</v>
      </c>
      <c r="CK3329">
        <v>75</v>
      </c>
      <c r="CL3329">
        <v>-0.19</v>
      </c>
      <c r="CM3329">
        <v>71</v>
      </c>
      <c r="CN3329">
        <v>0.02</v>
      </c>
      <c r="CO3329">
        <v>68</v>
      </c>
      <c r="CP3329">
        <v>-5.7</v>
      </c>
      <c r="CQ3329">
        <v>63</v>
      </c>
      <c r="CR3329">
        <v>0</v>
      </c>
      <c r="CS3329">
        <v>0</v>
      </c>
      <c r="CT3329">
        <v>-2.7</v>
      </c>
      <c r="CU3329">
        <v>57</v>
      </c>
      <c r="CV3329">
        <v>0</v>
      </c>
      <c r="CW3329">
        <v>20</v>
      </c>
      <c r="CX3329" t="s">
        <v>11593</v>
      </c>
    </row>
    <row r="3330" spans="1:102" x14ac:dyDescent="0.3">
      <c r="A3330" t="str">
        <f>HYPERLINK("https://webapp.icbf.com/v2/app/bull-search/view/69091927","IAB")</f>
        <v>IAB</v>
      </c>
      <c r="B3330" t="s">
        <v>10500</v>
      </c>
      <c r="C3330" t="s">
        <v>10501</v>
      </c>
      <c r="D3330" s="1">
        <v>34233</v>
      </c>
      <c r="E3330" t="s">
        <v>197</v>
      </c>
      <c r="F3330">
        <v>0</v>
      </c>
      <c r="G3330" t="s">
        <v>116</v>
      </c>
      <c r="H3330">
        <v>-28.65</v>
      </c>
      <c r="I3330">
        <v>47</v>
      </c>
      <c r="J3330">
        <v>-19.12</v>
      </c>
      <c r="K3330">
        <v>70</v>
      </c>
      <c r="L3330">
        <v>19.28</v>
      </c>
      <c r="M3330">
        <v>28</v>
      </c>
      <c r="N3330">
        <v>-34.17</v>
      </c>
      <c r="O3330">
        <v>40</v>
      </c>
      <c r="P3330">
        <v>11.54</v>
      </c>
      <c r="Q3330">
        <v>63</v>
      </c>
      <c r="R3330">
        <v>-4.8</v>
      </c>
      <c r="S3330">
        <v>29</v>
      </c>
      <c r="T3330">
        <v>4.6500000000000004</v>
      </c>
      <c r="U3330">
        <v>50</v>
      </c>
      <c r="V3330">
        <v>-6.03</v>
      </c>
      <c r="W3330">
        <v>7</v>
      </c>
      <c r="X3330" t="s">
        <v>94</v>
      </c>
      <c r="Y3330" t="s">
        <v>95</v>
      </c>
      <c r="Z3330">
        <v>0</v>
      </c>
      <c r="AA3330" t="s">
        <v>1055</v>
      </c>
      <c r="AB3330" t="s">
        <v>10502</v>
      </c>
      <c r="AC3330">
        <v>9</v>
      </c>
      <c r="AD3330">
        <v>3</v>
      </c>
      <c r="AE3330">
        <v>70</v>
      </c>
      <c r="AF3330">
        <v>-150.4</v>
      </c>
      <c r="AG3330">
        <v>-1.65</v>
      </c>
      <c r="AH3330">
        <v>-4.97</v>
      </c>
      <c r="AI3330">
        <v>7.0000000000000007E-2</v>
      </c>
      <c r="AJ3330">
        <v>0</v>
      </c>
      <c r="AK3330">
        <v>28</v>
      </c>
      <c r="AL3330">
        <v>11</v>
      </c>
      <c r="AM3330">
        <v>5</v>
      </c>
      <c r="AN3330">
        <v>-3.19</v>
      </c>
      <c r="AO3330">
        <v>-1.68</v>
      </c>
      <c r="AP3330">
        <v>12</v>
      </c>
      <c r="AQ3330">
        <v>0</v>
      </c>
      <c r="AR3330">
        <v>5.82</v>
      </c>
      <c r="AS3330">
        <v>17</v>
      </c>
      <c r="AT3330">
        <v>5.43</v>
      </c>
      <c r="AU3330">
        <v>33</v>
      </c>
      <c r="AV3330">
        <v>2.78</v>
      </c>
      <c r="AW3330">
        <v>59</v>
      </c>
      <c r="AX3330">
        <v>0.47</v>
      </c>
      <c r="AY3330">
        <v>33</v>
      </c>
      <c r="AZ3330">
        <v>6.46</v>
      </c>
      <c r="BA3330">
        <v>18</v>
      </c>
      <c r="BB3330">
        <v>3.51</v>
      </c>
      <c r="BC3330">
        <v>19</v>
      </c>
      <c r="BD3330">
        <v>0.05</v>
      </c>
      <c r="BE3330">
        <v>0.03</v>
      </c>
      <c r="BF3330">
        <v>-0.03</v>
      </c>
      <c r="BG3330">
        <v>36</v>
      </c>
      <c r="BH3330">
        <v>-0.14000000000000001</v>
      </c>
      <c r="BI3330">
        <v>3.27</v>
      </c>
      <c r="BJ3330">
        <v>0</v>
      </c>
      <c r="BK3330">
        <v>0</v>
      </c>
      <c r="BL3330">
        <v>-0.96</v>
      </c>
      <c r="BM3330">
        <v>0.94</v>
      </c>
      <c r="BN3330">
        <v>-0.88</v>
      </c>
      <c r="BO3330">
        <v>-1.32</v>
      </c>
      <c r="BP3330">
        <v>0.34</v>
      </c>
      <c r="BQ3330">
        <v>0</v>
      </c>
      <c r="BR3330">
        <v>0.03</v>
      </c>
      <c r="BS3330">
        <v>-0.49</v>
      </c>
      <c r="BT3330">
        <v>-0.43</v>
      </c>
      <c r="BU3330">
        <v>-1.03</v>
      </c>
      <c r="BV3330">
        <v>-1.32</v>
      </c>
      <c r="BW3330">
        <v>-1.36</v>
      </c>
      <c r="BX3330">
        <v>-0.74</v>
      </c>
      <c r="BY3330">
        <v>-1.1000000000000001</v>
      </c>
      <c r="BZ3330">
        <v>-0.06</v>
      </c>
      <c r="CA3330">
        <v>-1.33</v>
      </c>
      <c r="CB3330">
        <v>-1.29</v>
      </c>
      <c r="CC3330">
        <v>-0.91</v>
      </c>
      <c r="CD3330">
        <v>1.21</v>
      </c>
      <c r="CE3330">
        <v>-1.28</v>
      </c>
      <c r="CF3330">
        <v>-1.03</v>
      </c>
      <c r="CG3330">
        <v>0</v>
      </c>
      <c r="CH3330">
        <v>-1.2</v>
      </c>
      <c r="CI3330">
        <v>0</v>
      </c>
      <c r="CJ3330">
        <v>4.7</v>
      </c>
      <c r="CK3330">
        <v>66</v>
      </c>
      <c r="CL3330">
        <v>0.12</v>
      </c>
      <c r="CM3330">
        <v>61</v>
      </c>
      <c r="CN3330">
        <v>-0.28999999999999998</v>
      </c>
      <c r="CO3330">
        <v>56</v>
      </c>
      <c r="CP3330">
        <v>2.8</v>
      </c>
      <c r="CQ3330">
        <v>63</v>
      </c>
      <c r="CR3330">
        <v>0</v>
      </c>
      <c r="CS3330">
        <v>0</v>
      </c>
      <c r="CT3330">
        <v>7.5</v>
      </c>
      <c r="CU3330">
        <v>50</v>
      </c>
      <c r="CV3330">
        <v>-7.0000000000000007E-2</v>
      </c>
      <c r="CW3330">
        <v>17</v>
      </c>
      <c r="CX3330" t="s">
        <v>10503</v>
      </c>
    </row>
    <row r="3331" spans="1:102" x14ac:dyDescent="0.3">
      <c r="A3331" t="str">
        <f>HYPERLINK("https://webapp.icbf.com/v2/app/bull-search/view/974306526","S1346")</f>
        <v>S1346</v>
      </c>
      <c r="B3331" t="s">
        <v>144</v>
      </c>
      <c r="C3331" t="s">
        <v>13058</v>
      </c>
      <c r="D3331" s="1">
        <v>37919</v>
      </c>
      <c r="E3331" t="s">
        <v>895</v>
      </c>
      <c r="F3331">
        <v>0</v>
      </c>
      <c r="G3331" t="s">
        <v>93</v>
      </c>
      <c r="H3331">
        <v>-28.68</v>
      </c>
      <c r="I3331">
        <v>64</v>
      </c>
      <c r="J3331">
        <v>-26.62</v>
      </c>
      <c r="K3331">
        <v>90</v>
      </c>
      <c r="L3331">
        <v>-4</v>
      </c>
      <c r="M3331">
        <v>40</v>
      </c>
      <c r="N3331">
        <v>-31.94</v>
      </c>
      <c r="O3331">
        <v>71</v>
      </c>
      <c r="P3331">
        <v>-7.78</v>
      </c>
      <c r="Q3331">
        <v>68</v>
      </c>
      <c r="R3331">
        <v>18.309999999999999</v>
      </c>
      <c r="S3331">
        <v>46</v>
      </c>
      <c r="T3331">
        <v>30.11</v>
      </c>
      <c r="U3331">
        <v>70</v>
      </c>
      <c r="V3331">
        <v>-6.76</v>
      </c>
      <c r="W3331">
        <v>33</v>
      </c>
      <c r="X3331" t="s">
        <v>94</v>
      </c>
      <c r="Y3331" t="s">
        <v>342</v>
      </c>
      <c r="Z3331">
        <v>0</v>
      </c>
      <c r="AA3331" t="s">
        <v>13059</v>
      </c>
      <c r="AB3331" t="s">
        <v>13060</v>
      </c>
      <c r="AC3331">
        <v>38</v>
      </c>
      <c r="AD3331">
        <v>4</v>
      </c>
      <c r="AE3331">
        <v>90</v>
      </c>
      <c r="AF3331">
        <v>-240.59</v>
      </c>
      <c r="AG3331">
        <v>-7.63</v>
      </c>
      <c r="AH3331">
        <v>-5.51</v>
      </c>
      <c r="AI3331">
        <v>0.03</v>
      </c>
      <c r="AJ3331">
        <v>0.05</v>
      </c>
      <c r="AK3331">
        <v>40</v>
      </c>
      <c r="AL3331">
        <v>37</v>
      </c>
      <c r="AM3331">
        <v>6</v>
      </c>
      <c r="AN3331">
        <v>1.7</v>
      </c>
      <c r="AO3331">
        <v>1.4</v>
      </c>
      <c r="AP3331">
        <v>71</v>
      </c>
      <c r="AQ3331">
        <v>0</v>
      </c>
      <c r="AR3331">
        <v>8.93</v>
      </c>
      <c r="AS3331">
        <v>59</v>
      </c>
      <c r="AT3331">
        <v>4.26</v>
      </c>
      <c r="AU3331">
        <v>70</v>
      </c>
      <c r="AV3331">
        <v>2.35</v>
      </c>
      <c r="AW3331">
        <v>90</v>
      </c>
      <c r="AX3331">
        <v>0.67</v>
      </c>
      <c r="AY3331">
        <v>61</v>
      </c>
      <c r="AZ3331">
        <v>4.9000000000000004</v>
      </c>
      <c r="BA3331">
        <v>44</v>
      </c>
      <c r="BB3331">
        <v>4.76</v>
      </c>
      <c r="BC3331">
        <v>40</v>
      </c>
      <c r="BD3331">
        <v>-0.03</v>
      </c>
      <c r="BE3331">
        <v>-0.09</v>
      </c>
      <c r="BF3331">
        <v>-0.2</v>
      </c>
      <c r="BG3331">
        <v>62</v>
      </c>
      <c r="BH3331">
        <v>-0.05</v>
      </c>
      <c r="BI3331">
        <v>16.03</v>
      </c>
      <c r="BJ3331">
        <v>0</v>
      </c>
      <c r="BK3331">
        <v>0</v>
      </c>
      <c r="BL3331">
        <v>0</v>
      </c>
      <c r="BM3331">
        <v>0</v>
      </c>
      <c r="BN3331">
        <v>0</v>
      </c>
      <c r="BO3331">
        <v>0</v>
      </c>
      <c r="BP3331">
        <v>0</v>
      </c>
      <c r="BQ3331">
        <v>0</v>
      </c>
      <c r="BR3331">
        <v>0</v>
      </c>
      <c r="BS3331">
        <v>0</v>
      </c>
      <c r="BT3331">
        <v>0</v>
      </c>
      <c r="BU3331">
        <v>0</v>
      </c>
      <c r="BV3331">
        <v>0</v>
      </c>
      <c r="BW3331">
        <v>0</v>
      </c>
      <c r="BX3331">
        <v>0</v>
      </c>
      <c r="BY3331">
        <v>0</v>
      </c>
      <c r="BZ3331">
        <v>0</v>
      </c>
      <c r="CA3331">
        <v>0</v>
      </c>
      <c r="CB3331">
        <v>0</v>
      </c>
      <c r="CC3331">
        <v>0</v>
      </c>
      <c r="CD3331">
        <v>0</v>
      </c>
      <c r="CE3331">
        <v>0</v>
      </c>
      <c r="CF3331">
        <v>0</v>
      </c>
      <c r="CG3331">
        <v>0</v>
      </c>
      <c r="CH3331">
        <v>0</v>
      </c>
      <c r="CI3331">
        <v>0</v>
      </c>
      <c r="CJ3331">
        <v>-3</v>
      </c>
      <c r="CK3331">
        <v>71</v>
      </c>
      <c r="CL3331">
        <v>-0.37</v>
      </c>
      <c r="CM3331">
        <v>66</v>
      </c>
      <c r="CN3331">
        <v>-0.25</v>
      </c>
      <c r="CO3331">
        <v>63</v>
      </c>
      <c r="CP3331">
        <v>-18.3</v>
      </c>
      <c r="CQ3331">
        <v>66</v>
      </c>
      <c r="CR3331">
        <v>0</v>
      </c>
      <c r="CS3331">
        <v>0</v>
      </c>
      <c r="CT3331">
        <v>-26.9</v>
      </c>
      <c r="CU3331">
        <v>70</v>
      </c>
      <c r="CV3331">
        <v>0.09</v>
      </c>
      <c r="CW3331">
        <v>39</v>
      </c>
      <c r="CX3331" t="s">
        <v>12298</v>
      </c>
    </row>
    <row r="3332" spans="1:102" x14ac:dyDescent="0.3">
      <c r="A3332" t="str">
        <f>HYPERLINK("https://webapp.icbf.com/v2/app/bull-search/view/357436062","JYX")</f>
        <v>JYX</v>
      </c>
      <c r="B3332" t="s">
        <v>12630</v>
      </c>
      <c r="C3332" t="s">
        <v>12631</v>
      </c>
      <c r="D3332" s="1">
        <v>36178</v>
      </c>
      <c r="E3332" t="s">
        <v>92</v>
      </c>
      <c r="F3332">
        <v>100</v>
      </c>
      <c r="G3332" t="s">
        <v>93</v>
      </c>
      <c r="H3332">
        <v>-28.75</v>
      </c>
      <c r="I3332">
        <v>97</v>
      </c>
      <c r="J3332">
        <v>-25.45</v>
      </c>
      <c r="K3332">
        <v>99</v>
      </c>
      <c r="L3332">
        <v>20.36</v>
      </c>
      <c r="M3332">
        <v>93</v>
      </c>
      <c r="N3332">
        <v>-34.46</v>
      </c>
      <c r="O3332">
        <v>97</v>
      </c>
      <c r="P3332">
        <v>-6.25</v>
      </c>
      <c r="Q3332">
        <v>99</v>
      </c>
      <c r="R3332">
        <v>9.7899999999999991</v>
      </c>
      <c r="S3332">
        <v>96</v>
      </c>
      <c r="T3332">
        <v>3.61</v>
      </c>
      <c r="U3332">
        <v>98</v>
      </c>
      <c r="V3332">
        <v>3.65</v>
      </c>
      <c r="W3332">
        <v>97</v>
      </c>
      <c r="X3332" t="s">
        <v>7125</v>
      </c>
      <c r="Y3332" t="s">
        <v>95</v>
      </c>
      <c r="Z3332" t="s">
        <v>96</v>
      </c>
      <c r="AA3332" t="s">
        <v>10972</v>
      </c>
      <c r="AB3332" t="s">
        <v>12632</v>
      </c>
      <c r="AC3332">
        <v>906</v>
      </c>
      <c r="AD3332">
        <v>339</v>
      </c>
      <c r="AE3332">
        <v>99</v>
      </c>
      <c r="AF3332">
        <v>55.63</v>
      </c>
      <c r="AG3332">
        <v>-3.27</v>
      </c>
      <c r="AH3332">
        <v>-2.3199999999999998</v>
      </c>
      <c r="AI3332">
        <v>-0.09</v>
      </c>
      <c r="AJ3332">
        <v>-7.0000000000000007E-2</v>
      </c>
      <c r="AK3332">
        <v>93</v>
      </c>
      <c r="AL3332">
        <v>865</v>
      </c>
      <c r="AM3332">
        <v>320</v>
      </c>
      <c r="AN3332">
        <v>0.13</v>
      </c>
      <c r="AO3332">
        <v>1.77</v>
      </c>
      <c r="AP3332">
        <v>1794</v>
      </c>
      <c r="AQ3332">
        <v>4</v>
      </c>
      <c r="AR3332">
        <v>11.66</v>
      </c>
      <c r="AS3332">
        <v>94</v>
      </c>
      <c r="AT3332">
        <v>4.96</v>
      </c>
      <c r="AU3332">
        <v>98</v>
      </c>
      <c r="AV3332">
        <v>0.49</v>
      </c>
      <c r="AW3332">
        <v>99</v>
      </c>
      <c r="AX3332">
        <v>-0.4</v>
      </c>
      <c r="AY3332">
        <v>97</v>
      </c>
      <c r="AZ3332">
        <v>7.67</v>
      </c>
      <c r="BA3332">
        <v>93</v>
      </c>
      <c r="BB3332">
        <v>4.3899999999999997</v>
      </c>
      <c r="BC3332">
        <v>94</v>
      </c>
      <c r="BD3332">
        <v>-0.06</v>
      </c>
      <c r="BE3332">
        <v>-0.05</v>
      </c>
      <c r="BF3332">
        <v>-0.03</v>
      </c>
      <c r="BG3332">
        <v>98</v>
      </c>
      <c r="BH3332">
        <v>0</v>
      </c>
      <c r="BI3332">
        <v>-11.77</v>
      </c>
      <c r="BJ3332">
        <v>178</v>
      </c>
      <c r="BK3332">
        <v>79</v>
      </c>
      <c r="BL3332">
        <v>0.25</v>
      </c>
      <c r="BM3332">
        <v>-0.25</v>
      </c>
      <c r="BN3332">
        <v>0.66</v>
      </c>
      <c r="BO3332">
        <v>0.27</v>
      </c>
      <c r="BP3332">
        <v>-0.87</v>
      </c>
      <c r="BQ3332">
        <v>0.27</v>
      </c>
      <c r="BR3332">
        <v>0.33</v>
      </c>
      <c r="BS3332">
        <v>0.57999999999999996</v>
      </c>
      <c r="BT3332">
        <v>0.2</v>
      </c>
      <c r="BU3332">
        <v>1.64</v>
      </c>
      <c r="BV3332">
        <v>1.5</v>
      </c>
      <c r="BW3332">
        <v>1.05</v>
      </c>
      <c r="BX3332">
        <v>1.25</v>
      </c>
      <c r="BY3332">
        <v>1.3</v>
      </c>
      <c r="BZ3332">
        <v>-3.63</v>
      </c>
      <c r="CA3332">
        <v>1.19</v>
      </c>
      <c r="CB3332">
        <v>1.1200000000000001</v>
      </c>
      <c r="CC3332">
        <v>0.76</v>
      </c>
      <c r="CD3332">
        <v>-0.15</v>
      </c>
      <c r="CE3332">
        <v>0.28000000000000003</v>
      </c>
      <c r="CF3332">
        <v>7.0000000000000007E-2</v>
      </c>
      <c r="CG3332">
        <v>0</v>
      </c>
      <c r="CH3332">
        <v>1.28</v>
      </c>
      <c r="CI3332">
        <v>0</v>
      </c>
      <c r="CJ3332">
        <v>-0.6</v>
      </c>
      <c r="CK3332">
        <v>99</v>
      </c>
      <c r="CL3332">
        <v>-0.82</v>
      </c>
      <c r="CM3332">
        <v>99</v>
      </c>
      <c r="CN3332">
        <v>-0.27</v>
      </c>
      <c r="CO3332">
        <v>99</v>
      </c>
      <c r="CP3332">
        <v>-0.8</v>
      </c>
      <c r="CQ3332">
        <v>99</v>
      </c>
      <c r="CR3332">
        <v>0</v>
      </c>
      <c r="CS3332">
        <v>0</v>
      </c>
      <c r="CT3332">
        <v>8.9</v>
      </c>
      <c r="CU3332">
        <v>98</v>
      </c>
      <c r="CV3332">
        <v>0.19</v>
      </c>
      <c r="CW3332">
        <v>46</v>
      </c>
      <c r="CX3332" t="s">
        <v>682</v>
      </c>
    </row>
    <row r="3333" spans="1:102" x14ac:dyDescent="0.3">
      <c r="A3333" t="str">
        <f>HYPERLINK("https://webapp.icbf.com/v2/app/bull-search/view/678696539","FTA")</f>
        <v>FTA</v>
      </c>
      <c r="B3333" t="s">
        <v>10108</v>
      </c>
      <c r="C3333" t="s">
        <v>10109</v>
      </c>
      <c r="D3333" s="1">
        <v>39499</v>
      </c>
      <c r="E3333" t="s">
        <v>92</v>
      </c>
      <c r="F3333">
        <v>100</v>
      </c>
      <c r="G3333" t="s">
        <v>93</v>
      </c>
      <c r="H3333">
        <v>-28.82</v>
      </c>
      <c r="I3333">
        <v>83</v>
      </c>
      <c r="J3333">
        <v>-7.52</v>
      </c>
      <c r="K3333">
        <v>96</v>
      </c>
      <c r="L3333">
        <v>-34</v>
      </c>
      <c r="M3333">
        <v>77</v>
      </c>
      <c r="N3333">
        <v>16.940000000000001</v>
      </c>
      <c r="O3333">
        <v>77</v>
      </c>
      <c r="P3333">
        <v>-5.14</v>
      </c>
      <c r="Q3333">
        <v>81</v>
      </c>
      <c r="R3333">
        <v>10.26</v>
      </c>
      <c r="S3333">
        <v>76</v>
      </c>
      <c r="T3333">
        <v>-9.6300000000000008</v>
      </c>
      <c r="U3333">
        <v>77</v>
      </c>
      <c r="V3333">
        <v>0.27</v>
      </c>
      <c r="W3333">
        <v>65</v>
      </c>
      <c r="X3333" t="s">
        <v>288</v>
      </c>
      <c r="Y3333" t="s">
        <v>329</v>
      </c>
      <c r="Z3333" t="s">
        <v>96</v>
      </c>
      <c r="AA3333" t="s">
        <v>9253</v>
      </c>
      <c r="AB3333" t="s">
        <v>10110</v>
      </c>
      <c r="AC3333">
        <v>52</v>
      </c>
      <c r="AD3333">
        <v>24</v>
      </c>
      <c r="AE3333">
        <v>96</v>
      </c>
      <c r="AF3333">
        <v>161.34</v>
      </c>
      <c r="AG3333">
        <v>0.54</v>
      </c>
      <c r="AH3333">
        <v>1</v>
      </c>
      <c r="AI3333">
        <v>-0.1</v>
      </c>
      <c r="AJ3333">
        <v>-0.08</v>
      </c>
      <c r="AK3333">
        <v>77</v>
      </c>
      <c r="AL3333">
        <v>43</v>
      </c>
      <c r="AM3333">
        <v>22</v>
      </c>
      <c r="AN3333">
        <v>1.22</v>
      </c>
      <c r="AO3333">
        <v>-1.5</v>
      </c>
      <c r="AP3333">
        <v>56</v>
      </c>
      <c r="AQ3333">
        <v>0</v>
      </c>
      <c r="AR3333">
        <v>8.4499999999999993</v>
      </c>
      <c r="AS3333">
        <v>68</v>
      </c>
      <c r="AT3333">
        <v>3.61</v>
      </c>
      <c r="AU3333">
        <v>81</v>
      </c>
      <c r="AV3333">
        <v>-2.57</v>
      </c>
      <c r="AW3333">
        <v>88</v>
      </c>
      <c r="AX3333">
        <v>0.16</v>
      </c>
      <c r="AY3333">
        <v>70</v>
      </c>
      <c r="AZ3333">
        <v>6.24</v>
      </c>
      <c r="BA3333">
        <v>53</v>
      </c>
      <c r="BB3333">
        <v>4.26</v>
      </c>
      <c r="BC3333">
        <v>52</v>
      </c>
      <c r="BD3333">
        <v>-0.06</v>
      </c>
      <c r="BE3333">
        <v>-0.04</v>
      </c>
      <c r="BF3333">
        <v>-0.06</v>
      </c>
      <c r="BG3333">
        <v>87</v>
      </c>
      <c r="BH3333">
        <v>-7.0000000000000007E-2</v>
      </c>
      <c r="BI3333">
        <v>-8.9700000000000006</v>
      </c>
      <c r="BJ3333">
        <v>18</v>
      </c>
      <c r="BK3333">
        <v>9</v>
      </c>
      <c r="BL3333">
        <v>2.2000000000000002</v>
      </c>
      <c r="BM3333">
        <v>-1.86</v>
      </c>
      <c r="BN3333">
        <v>-0.6</v>
      </c>
      <c r="BO3333">
        <v>1.1100000000000001</v>
      </c>
      <c r="BP3333">
        <v>-0.83</v>
      </c>
      <c r="BQ3333">
        <v>3.46</v>
      </c>
      <c r="BR3333">
        <v>-0.73</v>
      </c>
      <c r="BS3333">
        <v>0.74</v>
      </c>
      <c r="BT3333">
        <v>1.95</v>
      </c>
      <c r="BU3333">
        <v>3.72</v>
      </c>
      <c r="BV3333">
        <v>3.45</v>
      </c>
      <c r="BW3333">
        <v>2.2000000000000002</v>
      </c>
      <c r="BX3333">
        <v>3</v>
      </c>
      <c r="BY3333">
        <v>1.55</v>
      </c>
      <c r="BZ3333">
        <v>0.13</v>
      </c>
      <c r="CA3333">
        <v>2.87</v>
      </c>
      <c r="CB3333">
        <v>2.78</v>
      </c>
      <c r="CC3333">
        <v>0.64</v>
      </c>
      <c r="CD3333">
        <v>-0.78</v>
      </c>
      <c r="CE3333">
        <v>1.1599999999999999</v>
      </c>
      <c r="CF3333">
        <v>0.48</v>
      </c>
      <c r="CG3333">
        <v>0</v>
      </c>
      <c r="CH3333">
        <v>1.36</v>
      </c>
      <c r="CI3333">
        <v>0</v>
      </c>
      <c r="CJ3333">
        <v>-0.1</v>
      </c>
      <c r="CK3333">
        <v>83</v>
      </c>
      <c r="CL3333">
        <v>-1.41</v>
      </c>
      <c r="CM3333">
        <v>80</v>
      </c>
      <c r="CN3333">
        <v>-0.73</v>
      </c>
      <c r="CO3333">
        <v>77</v>
      </c>
      <c r="CP3333">
        <v>6.7</v>
      </c>
      <c r="CQ3333">
        <v>82</v>
      </c>
      <c r="CR3333">
        <v>0</v>
      </c>
      <c r="CS3333">
        <v>0</v>
      </c>
      <c r="CT3333">
        <v>26.8</v>
      </c>
      <c r="CU3333">
        <v>77</v>
      </c>
      <c r="CV3333">
        <v>0.31</v>
      </c>
      <c r="CW3333">
        <v>42</v>
      </c>
      <c r="CX3333" t="s">
        <v>350</v>
      </c>
    </row>
    <row r="3334" spans="1:102" x14ac:dyDescent="0.3">
      <c r="A3334" t="str">
        <f>HYPERLINK("https://webapp.icbf.com/v2/app/bull-search/view/77856073","KYW")</f>
        <v>KYW</v>
      </c>
      <c r="B3334" t="s">
        <v>4303</v>
      </c>
      <c r="C3334" t="s">
        <v>4304</v>
      </c>
      <c r="D3334" s="1">
        <v>32696</v>
      </c>
      <c r="E3334" t="s">
        <v>92</v>
      </c>
      <c r="F3334">
        <v>100</v>
      </c>
      <c r="G3334" t="s">
        <v>93</v>
      </c>
      <c r="H3334">
        <v>-28.89</v>
      </c>
      <c r="I3334">
        <v>77</v>
      </c>
      <c r="J3334">
        <v>-31.17</v>
      </c>
      <c r="K3334">
        <v>91</v>
      </c>
      <c r="L3334">
        <v>-26.31</v>
      </c>
      <c r="M3334">
        <v>83</v>
      </c>
      <c r="N3334">
        <v>30.34</v>
      </c>
      <c r="O3334">
        <v>58</v>
      </c>
      <c r="P3334">
        <v>-5.74</v>
      </c>
      <c r="Q3334">
        <v>66</v>
      </c>
      <c r="R3334">
        <v>-6.55</v>
      </c>
      <c r="S3334">
        <v>64</v>
      </c>
      <c r="T3334">
        <v>11.98</v>
      </c>
      <c r="U3334">
        <v>62</v>
      </c>
      <c r="V3334">
        <v>-1.44</v>
      </c>
      <c r="W3334">
        <v>13</v>
      </c>
      <c r="X3334" t="s">
        <v>747</v>
      </c>
      <c r="Y3334" t="s">
        <v>95</v>
      </c>
      <c r="Z3334" t="s">
        <v>96</v>
      </c>
      <c r="AA3334" t="s">
        <v>4305</v>
      </c>
      <c r="AB3334" t="s">
        <v>4306</v>
      </c>
      <c r="AC3334">
        <v>46</v>
      </c>
      <c r="AD3334">
        <v>33</v>
      </c>
      <c r="AE3334">
        <v>91</v>
      </c>
      <c r="AF3334">
        <v>32.83</v>
      </c>
      <c r="AG3334">
        <v>-3.53</v>
      </c>
      <c r="AH3334">
        <v>-3.55</v>
      </c>
      <c r="AI3334">
        <v>-0.08</v>
      </c>
      <c r="AJ3334">
        <v>-0.08</v>
      </c>
      <c r="AK3334">
        <v>83</v>
      </c>
      <c r="AL3334">
        <v>43</v>
      </c>
      <c r="AM3334">
        <v>30</v>
      </c>
      <c r="AN3334">
        <v>2.06</v>
      </c>
      <c r="AO3334">
        <v>-0.03</v>
      </c>
      <c r="AP3334">
        <v>12</v>
      </c>
      <c r="AQ3334">
        <v>0</v>
      </c>
      <c r="AR3334">
        <v>4.7300000000000004</v>
      </c>
      <c r="AS3334">
        <v>27</v>
      </c>
      <c r="AT3334">
        <v>2.2400000000000002</v>
      </c>
      <c r="AU3334">
        <v>83</v>
      </c>
      <c r="AV3334">
        <v>-1.88</v>
      </c>
      <c r="AW3334">
        <v>61</v>
      </c>
      <c r="AX3334">
        <v>-0.39</v>
      </c>
      <c r="AY3334">
        <v>56</v>
      </c>
      <c r="AZ3334">
        <v>6.15</v>
      </c>
      <c r="BA3334">
        <v>16</v>
      </c>
      <c r="BB3334">
        <v>4.88</v>
      </c>
      <c r="BC3334">
        <v>32</v>
      </c>
      <c r="BD3334">
        <v>0.04</v>
      </c>
      <c r="BE3334">
        <v>0.06</v>
      </c>
      <c r="BF3334">
        <v>-0.03</v>
      </c>
      <c r="BG3334">
        <v>89</v>
      </c>
      <c r="BH3334">
        <v>0.04</v>
      </c>
      <c r="BI3334">
        <v>9.27</v>
      </c>
      <c r="BJ3334">
        <v>1</v>
      </c>
      <c r="BK3334">
        <v>1</v>
      </c>
      <c r="BL3334">
        <v>0.65</v>
      </c>
      <c r="BM3334">
        <v>0.34</v>
      </c>
      <c r="BN3334">
        <v>-0.48</v>
      </c>
      <c r="BO3334">
        <v>-0.62</v>
      </c>
      <c r="BP3334">
        <v>-0.56999999999999995</v>
      </c>
      <c r="BQ3334">
        <v>-0.2</v>
      </c>
      <c r="BR3334">
        <v>-1.07</v>
      </c>
      <c r="BS3334">
        <v>-0.5</v>
      </c>
      <c r="BT3334">
        <v>1.08</v>
      </c>
      <c r="BU3334">
        <v>-0.38</v>
      </c>
      <c r="BV3334">
        <v>-0.57999999999999996</v>
      </c>
      <c r="BW3334">
        <v>0.71</v>
      </c>
      <c r="BX3334">
        <v>0.77</v>
      </c>
      <c r="BY3334">
        <v>-1.7</v>
      </c>
      <c r="BZ3334">
        <v>0.16</v>
      </c>
      <c r="CA3334">
        <v>-0.62</v>
      </c>
      <c r="CB3334">
        <v>-0.99</v>
      </c>
      <c r="CC3334">
        <v>0.17</v>
      </c>
      <c r="CD3334">
        <v>0.84</v>
      </c>
      <c r="CE3334">
        <v>-1.53</v>
      </c>
      <c r="CF3334">
        <v>-1.18</v>
      </c>
      <c r="CG3334">
        <v>0</v>
      </c>
      <c r="CH3334">
        <v>-1.03</v>
      </c>
      <c r="CI3334">
        <v>0</v>
      </c>
      <c r="CJ3334">
        <v>-1.1000000000000001</v>
      </c>
      <c r="CK3334">
        <v>68</v>
      </c>
      <c r="CL3334">
        <v>-0.48</v>
      </c>
      <c r="CM3334">
        <v>64</v>
      </c>
      <c r="CN3334">
        <v>-0.12</v>
      </c>
      <c r="CO3334">
        <v>58</v>
      </c>
      <c r="CP3334">
        <v>-4.5</v>
      </c>
      <c r="CQ3334">
        <v>74</v>
      </c>
      <c r="CR3334">
        <v>0</v>
      </c>
      <c r="CS3334">
        <v>0</v>
      </c>
      <c r="CT3334">
        <v>-2.4</v>
      </c>
      <c r="CU3334">
        <v>62</v>
      </c>
      <c r="CV3334">
        <v>0.14000000000000001</v>
      </c>
      <c r="CW3334">
        <v>17</v>
      </c>
      <c r="CX3334" t="s">
        <v>707</v>
      </c>
    </row>
    <row r="3335" spans="1:102" x14ac:dyDescent="0.3">
      <c r="A3335" t="str">
        <f>HYPERLINK("https://webapp.icbf.com/v2/app/bull-search/view/299674766","HIE")</f>
        <v>HIE</v>
      </c>
      <c r="B3335" t="s">
        <v>6933</v>
      </c>
      <c r="C3335" t="s">
        <v>6934</v>
      </c>
      <c r="D3335" s="1">
        <v>36080</v>
      </c>
      <c r="E3335" t="s">
        <v>92</v>
      </c>
      <c r="F3335">
        <v>100</v>
      </c>
      <c r="G3335" t="s">
        <v>109</v>
      </c>
      <c r="H3335">
        <v>-28.94</v>
      </c>
      <c r="I3335">
        <v>79</v>
      </c>
      <c r="J3335">
        <v>22.8</v>
      </c>
      <c r="K3335">
        <v>93</v>
      </c>
      <c r="L3335">
        <v>-58.56</v>
      </c>
      <c r="M3335">
        <v>85</v>
      </c>
      <c r="N3335">
        <v>7.38</v>
      </c>
      <c r="O3335">
        <v>62</v>
      </c>
      <c r="P3335">
        <v>2.2000000000000002</v>
      </c>
      <c r="Q3335">
        <v>57</v>
      </c>
      <c r="R3335">
        <v>3.52</v>
      </c>
      <c r="S3335">
        <v>77</v>
      </c>
      <c r="T3335">
        <v>8.35</v>
      </c>
      <c r="U3335">
        <v>48</v>
      </c>
      <c r="V3335">
        <v>-14.63</v>
      </c>
      <c r="W3335">
        <v>65</v>
      </c>
      <c r="X3335" t="s">
        <v>94</v>
      </c>
      <c r="Y3335" t="s">
        <v>95</v>
      </c>
      <c r="Z3335" t="s">
        <v>96</v>
      </c>
      <c r="AA3335" t="s">
        <v>643</v>
      </c>
      <c r="AB3335" t="s">
        <v>6935</v>
      </c>
      <c r="AC3335">
        <v>0</v>
      </c>
      <c r="AD3335">
        <v>0</v>
      </c>
      <c r="AE3335">
        <v>93</v>
      </c>
      <c r="AF3335">
        <v>12.4</v>
      </c>
      <c r="AG3335">
        <v>1.52</v>
      </c>
      <c r="AH3335">
        <v>3.53</v>
      </c>
      <c r="AI3335">
        <v>0.02</v>
      </c>
      <c r="AJ3335">
        <v>0.05</v>
      </c>
      <c r="AK3335">
        <v>85</v>
      </c>
      <c r="AL3335">
        <v>0</v>
      </c>
      <c r="AM3335">
        <v>0</v>
      </c>
      <c r="AN3335">
        <v>3.96</v>
      </c>
      <c r="AO3335">
        <v>-0.7</v>
      </c>
      <c r="AP3335">
        <v>4</v>
      </c>
      <c r="AQ3335">
        <v>0</v>
      </c>
      <c r="AR3335">
        <v>6.51</v>
      </c>
      <c r="AS3335">
        <v>57</v>
      </c>
      <c r="AT3335">
        <v>3.2</v>
      </c>
      <c r="AU3335">
        <v>91</v>
      </c>
      <c r="AV3335">
        <v>-1.2</v>
      </c>
      <c r="AW3335">
        <v>54</v>
      </c>
      <c r="AX3335">
        <v>-0.22</v>
      </c>
      <c r="AY3335">
        <v>49</v>
      </c>
      <c r="AZ3335">
        <v>7.39</v>
      </c>
      <c r="BA3335">
        <v>48</v>
      </c>
      <c r="BB3335">
        <v>5.65</v>
      </c>
      <c r="BC3335">
        <v>51</v>
      </c>
      <c r="BD3335">
        <v>0</v>
      </c>
      <c r="BE3335">
        <v>0.01</v>
      </c>
      <c r="BF3335">
        <v>-0.1</v>
      </c>
      <c r="BG3335">
        <v>92</v>
      </c>
      <c r="BH3335">
        <v>-0.22</v>
      </c>
      <c r="BI3335">
        <v>21.73</v>
      </c>
      <c r="BJ3335">
        <v>0</v>
      </c>
      <c r="BK3335">
        <v>0</v>
      </c>
      <c r="BL3335">
        <v>-0.57999999999999996</v>
      </c>
      <c r="BM3335">
        <v>-1.79</v>
      </c>
      <c r="BN3335">
        <v>-0.45</v>
      </c>
      <c r="BO3335">
        <v>0.46</v>
      </c>
      <c r="BP3335">
        <v>0.5</v>
      </c>
      <c r="BQ3335">
        <v>-2.96</v>
      </c>
      <c r="BR3335">
        <v>0.88</v>
      </c>
      <c r="BS3335">
        <v>1.83</v>
      </c>
      <c r="BT3335">
        <v>0.79</v>
      </c>
      <c r="BU3335">
        <v>-1.29</v>
      </c>
      <c r="BV3335">
        <v>-0.38</v>
      </c>
      <c r="BW3335">
        <v>0.66</v>
      </c>
      <c r="BX3335">
        <v>-1.1100000000000001</v>
      </c>
      <c r="BY3335">
        <v>2.13</v>
      </c>
      <c r="BZ3335">
        <v>0.72</v>
      </c>
      <c r="CA3335">
        <v>-0.16</v>
      </c>
      <c r="CB3335">
        <v>-0.45</v>
      </c>
      <c r="CC3335">
        <v>0.83</v>
      </c>
      <c r="CD3335">
        <v>-1.05</v>
      </c>
      <c r="CE3335">
        <v>0.33</v>
      </c>
      <c r="CF3335">
        <v>-1.06</v>
      </c>
      <c r="CG3335">
        <v>0</v>
      </c>
      <c r="CH3335">
        <v>2.0099999999999998</v>
      </c>
      <c r="CI3335">
        <v>0</v>
      </c>
      <c r="CJ3335">
        <v>3.6</v>
      </c>
      <c r="CK3335">
        <v>58</v>
      </c>
      <c r="CL3335">
        <v>-0.43</v>
      </c>
      <c r="CM3335">
        <v>56</v>
      </c>
      <c r="CN3335">
        <v>-0.2</v>
      </c>
      <c r="CO3335">
        <v>56</v>
      </c>
      <c r="CP3335">
        <v>-4.5</v>
      </c>
      <c r="CQ3335">
        <v>50</v>
      </c>
      <c r="CR3335">
        <v>0</v>
      </c>
      <c r="CS3335">
        <v>0</v>
      </c>
      <c r="CT3335">
        <v>2.5</v>
      </c>
      <c r="CU3335">
        <v>48</v>
      </c>
      <c r="CV3335">
        <v>0.17</v>
      </c>
      <c r="CW3335">
        <v>37</v>
      </c>
      <c r="CX3335" t="s">
        <v>265</v>
      </c>
    </row>
    <row r="3336" spans="1:102" x14ac:dyDescent="0.3">
      <c r="A3336" t="str">
        <f>HYPERLINK("https://webapp.icbf.com/v2/app/bull-search/view/143379382","LPT")</f>
        <v>LPT</v>
      </c>
      <c r="B3336" t="s">
        <v>8712</v>
      </c>
      <c r="C3336" t="s">
        <v>8713</v>
      </c>
      <c r="D3336" s="1">
        <v>34832</v>
      </c>
      <c r="E3336" t="s">
        <v>197</v>
      </c>
      <c r="F3336">
        <v>0</v>
      </c>
      <c r="G3336" t="s">
        <v>116</v>
      </c>
      <c r="H3336">
        <v>-28.96</v>
      </c>
      <c r="I3336">
        <v>45</v>
      </c>
      <c r="J3336">
        <v>-25.54</v>
      </c>
      <c r="K3336">
        <v>69</v>
      </c>
      <c r="L3336">
        <v>39.79</v>
      </c>
      <c r="M3336">
        <v>29</v>
      </c>
      <c r="N3336">
        <v>-62.3</v>
      </c>
      <c r="O3336">
        <v>30</v>
      </c>
      <c r="P3336">
        <v>15.55</v>
      </c>
      <c r="Q3336">
        <v>58</v>
      </c>
      <c r="R3336">
        <v>-0.72</v>
      </c>
      <c r="S3336">
        <v>33</v>
      </c>
      <c r="T3336">
        <v>7.83</v>
      </c>
      <c r="U3336">
        <v>44</v>
      </c>
      <c r="V3336">
        <v>-3.57</v>
      </c>
      <c r="W3336">
        <v>15</v>
      </c>
      <c r="X3336" t="s">
        <v>102</v>
      </c>
      <c r="Y3336" t="s">
        <v>95</v>
      </c>
      <c r="Z3336">
        <v>0</v>
      </c>
      <c r="AA3336" t="s">
        <v>202</v>
      </c>
      <c r="AB3336" t="s">
        <v>8714</v>
      </c>
      <c r="AC3336">
        <v>9</v>
      </c>
      <c r="AD3336">
        <v>3</v>
      </c>
      <c r="AE3336">
        <v>69</v>
      </c>
      <c r="AF3336">
        <v>-222.77</v>
      </c>
      <c r="AG3336">
        <v>-6.54</v>
      </c>
      <c r="AH3336">
        <v>-5.44</v>
      </c>
      <c r="AI3336">
        <v>0.04</v>
      </c>
      <c r="AJ3336">
        <v>0.04</v>
      </c>
      <c r="AK3336">
        <v>29</v>
      </c>
      <c r="AL3336">
        <v>9</v>
      </c>
      <c r="AM3336">
        <v>6</v>
      </c>
      <c r="AN3336">
        <v>-4</v>
      </c>
      <c r="AO3336">
        <v>-0.85</v>
      </c>
      <c r="AP3336">
        <v>9</v>
      </c>
      <c r="AQ3336">
        <v>0</v>
      </c>
      <c r="AR3336">
        <v>8.68</v>
      </c>
      <c r="AS3336">
        <v>21</v>
      </c>
      <c r="AT3336">
        <v>7.37</v>
      </c>
      <c r="AU3336">
        <v>31</v>
      </c>
      <c r="AV3336">
        <v>1.78</v>
      </c>
      <c r="AW3336">
        <v>33</v>
      </c>
      <c r="AX3336">
        <v>0.37</v>
      </c>
      <c r="AY3336">
        <v>34</v>
      </c>
      <c r="AZ3336">
        <v>6.06</v>
      </c>
      <c r="BA3336">
        <v>18</v>
      </c>
      <c r="BB3336">
        <v>3.68</v>
      </c>
      <c r="BC3336">
        <v>20</v>
      </c>
      <c r="BD3336">
        <v>0.04</v>
      </c>
      <c r="BE3336">
        <v>0</v>
      </c>
      <c r="BF3336">
        <v>-0.05</v>
      </c>
      <c r="BG3336">
        <v>41</v>
      </c>
      <c r="BH3336">
        <v>-0.08</v>
      </c>
      <c r="BI3336">
        <v>2.2599999999999998</v>
      </c>
      <c r="BJ3336">
        <v>0</v>
      </c>
      <c r="BK3336">
        <v>0</v>
      </c>
      <c r="BL3336">
        <v>0</v>
      </c>
      <c r="BM3336">
        <v>0</v>
      </c>
      <c r="BN3336">
        <v>0</v>
      </c>
      <c r="BO3336">
        <v>0</v>
      </c>
      <c r="BP3336">
        <v>0</v>
      </c>
      <c r="BQ3336">
        <v>0</v>
      </c>
      <c r="BR3336">
        <v>0</v>
      </c>
      <c r="BS3336">
        <v>0</v>
      </c>
      <c r="BT3336">
        <v>0</v>
      </c>
      <c r="BU3336">
        <v>0</v>
      </c>
      <c r="BV3336">
        <v>0</v>
      </c>
      <c r="BW3336">
        <v>0</v>
      </c>
      <c r="BX3336">
        <v>0</v>
      </c>
      <c r="BY3336">
        <v>0</v>
      </c>
      <c r="BZ3336">
        <v>0</v>
      </c>
      <c r="CA3336">
        <v>0</v>
      </c>
      <c r="CB3336">
        <v>0</v>
      </c>
      <c r="CC3336">
        <v>0</v>
      </c>
      <c r="CD3336">
        <v>0</v>
      </c>
      <c r="CE3336">
        <v>0</v>
      </c>
      <c r="CF3336">
        <v>0</v>
      </c>
      <c r="CG3336">
        <v>0</v>
      </c>
      <c r="CH3336">
        <v>0</v>
      </c>
      <c r="CI3336">
        <v>0</v>
      </c>
      <c r="CJ3336">
        <v>11.4</v>
      </c>
      <c r="CK3336">
        <v>60</v>
      </c>
      <c r="CL3336">
        <v>0.01</v>
      </c>
      <c r="CM3336">
        <v>56</v>
      </c>
      <c r="CN3336">
        <v>0.09</v>
      </c>
      <c r="CO3336">
        <v>52</v>
      </c>
      <c r="CP3336">
        <v>5.0999999999999996</v>
      </c>
      <c r="CQ3336">
        <v>55</v>
      </c>
      <c r="CR3336">
        <v>0</v>
      </c>
      <c r="CS3336">
        <v>0</v>
      </c>
      <c r="CT3336">
        <v>3.2</v>
      </c>
      <c r="CU3336">
        <v>44</v>
      </c>
      <c r="CV3336">
        <v>0.16</v>
      </c>
      <c r="CW3336">
        <v>15</v>
      </c>
      <c r="CX3336" t="s">
        <v>4136</v>
      </c>
    </row>
    <row r="3337" spans="1:102" x14ac:dyDescent="0.3">
      <c r="A3337" t="str">
        <f>HYPERLINK("https://webapp.icbf.com/v2/app/bull-search/view/122368961","QGU")</f>
        <v>QGU</v>
      </c>
      <c r="B3337" t="s">
        <v>1301</v>
      </c>
      <c r="C3337" t="s">
        <v>1302</v>
      </c>
      <c r="D3337" s="1">
        <v>36948</v>
      </c>
      <c r="E3337" t="s">
        <v>92</v>
      </c>
      <c r="F3337">
        <v>94</v>
      </c>
      <c r="G3337" t="s">
        <v>93</v>
      </c>
      <c r="H3337">
        <v>-29.06</v>
      </c>
      <c r="I3337">
        <v>86</v>
      </c>
      <c r="J3337">
        <v>13.81</v>
      </c>
      <c r="K3337">
        <v>96</v>
      </c>
      <c r="L3337">
        <v>-49.52</v>
      </c>
      <c r="M3337">
        <v>80</v>
      </c>
      <c r="N3337">
        <v>6.24</v>
      </c>
      <c r="O3337">
        <v>82</v>
      </c>
      <c r="P3337">
        <v>-4.32</v>
      </c>
      <c r="Q3337">
        <v>90</v>
      </c>
      <c r="R3337">
        <v>1.7</v>
      </c>
      <c r="S3337">
        <v>81</v>
      </c>
      <c r="T3337">
        <v>9.39</v>
      </c>
      <c r="U3337">
        <v>76</v>
      </c>
      <c r="V3337">
        <v>-6.36</v>
      </c>
      <c r="W3337">
        <v>73</v>
      </c>
      <c r="X3337" t="s">
        <v>94</v>
      </c>
      <c r="Y3337" t="s">
        <v>95</v>
      </c>
      <c r="Z3337" t="s">
        <v>96</v>
      </c>
      <c r="AA3337" t="s">
        <v>834</v>
      </c>
      <c r="AB3337" t="s">
        <v>1007</v>
      </c>
      <c r="AC3337">
        <v>68</v>
      </c>
      <c r="AD3337">
        <v>56</v>
      </c>
      <c r="AE3337">
        <v>96</v>
      </c>
      <c r="AF3337">
        <v>10.11</v>
      </c>
      <c r="AG3337">
        <v>2.81</v>
      </c>
      <c r="AH3337">
        <v>1.51</v>
      </c>
      <c r="AI3337">
        <v>0.04</v>
      </c>
      <c r="AJ3337">
        <v>0.02</v>
      </c>
      <c r="AK3337">
        <v>80</v>
      </c>
      <c r="AL3337">
        <v>63</v>
      </c>
      <c r="AM3337">
        <v>52</v>
      </c>
      <c r="AN3337">
        <v>1.87</v>
      </c>
      <c r="AO3337">
        <v>-2.09</v>
      </c>
      <c r="AP3337">
        <v>127</v>
      </c>
      <c r="AQ3337">
        <v>0</v>
      </c>
      <c r="AR3337">
        <v>8.92</v>
      </c>
      <c r="AS3337">
        <v>72</v>
      </c>
      <c r="AT3337">
        <v>3.02</v>
      </c>
      <c r="AU3337">
        <v>86</v>
      </c>
      <c r="AV3337">
        <v>-0.77</v>
      </c>
      <c r="AW3337">
        <v>90</v>
      </c>
      <c r="AX3337">
        <v>-0.28000000000000003</v>
      </c>
      <c r="AY3337">
        <v>76</v>
      </c>
      <c r="AZ3337">
        <v>5.6</v>
      </c>
      <c r="BA3337">
        <v>64</v>
      </c>
      <c r="BB3337">
        <v>4.83</v>
      </c>
      <c r="BC3337">
        <v>67</v>
      </c>
      <c r="BD3337">
        <v>0</v>
      </c>
      <c r="BE3337">
        <v>-0.01</v>
      </c>
      <c r="BF3337">
        <v>-0.02</v>
      </c>
      <c r="BG3337">
        <v>89</v>
      </c>
      <c r="BH3337">
        <v>-0.06</v>
      </c>
      <c r="BI3337">
        <v>13.58</v>
      </c>
      <c r="BJ3337">
        <v>14</v>
      </c>
      <c r="BK3337">
        <v>11</v>
      </c>
      <c r="BL3337">
        <v>0.56000000000000005</v>
      </c>
      <c r="BM3337">
        <v>1.31</v>
      </c>
      <c r="BN3337">
        <v>1.52</v>
      </c>
      <c r="BO3337">
        <v>0.45</v>
      </c>
      <c r="BP3337">
        <v>-3.96</v>
      </c>
      <c r="BQ3337">
        <v>1.95</v>
      </c>
      <c r="BR3337">
        <v>0.34</v>
      </c>
      <c r="BS3337">
        <v>0.02</v>
      </c>
      <c r="BT3337">
        <v>0.12</v>
      </c>
      <c r="BU3337">
        <v>0.17</v>
      </c>
      <c r="BV3337">
        <v>-1.04</v>
      </c>
      <c r="BW3337">
        <v>0.52</v>
      </c>
      <c r="BX3337">
        <v>1.07</v>
      </c>
      <c r="BY3337">
        <v>-1.06</v>
      </c>
      <c r="BZ3337">
        <v>1.49</v>
      </c>
      <c r="CA3337">
        <v>0.02</v>
      </c>
      <c r="CB3337">
        <v>-0.25</v>
      </c>
      <c r="CC3337">
        <v>0.49</v>
      </c>
      <c r="CD3337">
        <v>0.4</v>
      </c>
      <c r="CE3337">
        <v>0.14000000000000001</v>
      </c>
      <c r="CF3337">
        <v>0.94</v>
      </c>
      <c r="CG3337">
        <v>0</v>
      </c>
      <c r="CH3337">
        <v>-0.73</v>
      </c>
      <c r="CI3337">
        <v>0</v>
      </c>
      <c r="CJ3337">
        <v>1.8</v>
      </c>
      <c r="CK3337">
        <v>91</v>
      </c>
      <c r="CL3337">
        <v>-0.78</v>
      </c>
      <c r="CM3337">
        <v>89</v>
      </c>
      <c r="CN3337">
        <v>-0.15</v>
      </c>
      <c r="CO3337">
        <v>87</v>
      </c>
      <c r="CP3337">
        <v>-3.4</v>
      </c>
      <c r="CQ3337">
        <v>86</v>
      </c>
      <c r="CR3337">
        <v>0</v>
      </c>
      <c r="CS3337">
        <v>0</v>
      </c>
      <c r="CT3337">
        <v>1.1000000000000001</v>
      </c>
      <c r="CU3337">
        <v>76</v>
      </c>
      <c r="CV3337">
        <v>0.22</v>
      </c>
      <c r="CW3337">
        <v>44</v>
      </c>
      <c r="CX3337" t="s">
        <v>1008</v>
      </c>
    </row>
    <row r="3338" spans="1:102" x14ac:dyDescent="0.3">
      <c r="A3338" t="str">
        <f>HYPERLINK("https://webapp.icbf.com/v2/app/bull-search/view/77857675","GMM")</f>
        <v>GMM</v>
      </c>
      <c r="B3338" t="s">
        <v>11386</v>
      </c>
      <c r="C3338" t="s">
        <v>11387</v>
      </c>
      <c r="D3338" s="1">
        <v>34434</v>
      </c>
      <c r="E3338" t="s">
        <v>92</v>
      </c>
      <c r="F3338">
        <v>100</v>
      </c>
      <c r="G3338" t="s">
        <v>93</v>
      </c>
      <c r="H3338">
        <v>-29.09</v>
      </c>
      <c r="I3338">
        <v>92</v>
      </c>
      <c r="J3338">
        <v>3.4</v>
      </c>
      <c r="K3338">
        <v>98</v>
      </c>
      <c r="L3338">
        <v>-28.51</v>
      </c>
      <c r="M3338">
        <v>88</v>
      </c>
      <c r="N3338">
        <v>-3.93</v>
      </c>
      <c r="O3338">
        <v>90</v>
      </c>
      <c r="P3338">
        <v>-13.86</v>
      </c>
      <c r="Q3338">
        <v>97</v>
      </c>
      <c r="R3338">
        <v>1.84</v>
      </c>
      <c r="S3338">
        <v>86</v>
      </c>
      <c r="T3338">
        <v>11.9</v>
      </c>
      <c r="U3338">
        <v>93</v>
      </c>
      <c r="V3338">
        <v>7.0000000000000007E-2</v>
      </c>
      <c r="W3338">
        <v>81</v>
      </c>
      <c r="X3338" t="s">
        <v>276</v>
      </c>
      <c r="Y3338" t="s">
        <v>95</v>
      </c>
      <c r="Z3338" t="s">
        <v>96</v>
      </c>
      <c r="AA3338" t="s">
        <v>207</v>
      </c>
      <c r="AB3338" t="s">
        <v>11388</v>
      </c>
      <c r="AC3338">
        <v>236</v>
      </c>
      <c r="AD3338">
        <v>121</v>
      </c>
      <c r="AE3338">
        <v>98</v>
      </c>
      <c r="AF3338">
        <v>-155.55000000000001</v>
      </c>
      <c r="AG3338">
        <v>-1.59</v>
      </c>
      <c r="AH3338">
        <v>-1.24</v>
      </c>
      <c r="AI3338">
        <v>0.08</v>
      </c>
      <c r="AJ3338">
        <v>7.0000000000000007E-2</v>
      </c>
      <c r="AK3338">
        <v>88</v>
      </c>
      <c r="AL3338">
        <v>252</v>
      </c>
      <c r="AM3338">
        <v>134</v>
      </c>
      <c r="AN3338">
        <v>1.85</v>
      </c>
      <c r="AO3338">
        <v>-0.42</v>
      </c>
      <c r="AP3338">
        <v>346</v>
      </c>
      <c r="AQ3338">
        <v>2</v>
      </c>
      <c r="AR3338">
        <v>9.4600000000000009</v>
      </c>
      <c r="AS3338">
        <v>77</v>
      </c>
      <c r="AT3338">
        <v>3.84</v>
      </c>
      <c r="AU3338">
        <v>92</v>
      </c>
      <c r="AV3338">
        <v>-1.24</v>
      </c>
      <c r="AW3338">
        <v>95</v>
      </c>
      <c r="AX3338">
        <v>-0.28000000000000003</v>
      </c>
      <c r="AY3338">
        <v>91</v>
      </c>
      <c r="AZ3338">
        <v>8.14</v>
      </c>
      <c r="BA3338">
        <v>76</v>
      </c>
      <c r="BB3338">
        <v>4.9400000000000004</v>
      </c>
      <c r="BC3338">
        <v>81</v>
      </c>
      <c r="BD3338">
        <v>-0.05</v>
      </c>
      <c r="BE3338">
        <v>-0.01</v>
      </c>
      <c r="BF3338">
        <v>0.06</v>
      </c>
      <c r="BG3338">
        <v>94</v>
      </c>
      <c r="BH3338">
        <v>0.06</v>
      </c>
      <c r="BI3338">
        <v>6.71</v>
      </c>
      <c r="BJ3338">
        <v>6</v>
      </c>
      <c r="BK3338">
        <v>5</v>
      </c>
      <c r="BL3338">
        <v>0.48</v>
      </c>
      <c r="BM3338">
        <v>1.27</v>
      </c>
      <c r="BN3338">
        <v>1.21</v>
      </c>
      <c r="BO3338">
        <v>0.4</v>
      </c>
      <c r="BP3338">
        <v>0.62</v>
      </c>
      <c r="BQ3338">
        <v>-0.01</v>
      </c>
      <c r="BR3338">
        <v>0.73</v>
      </c>
      <c r="BS3338">
        <v>-0.35</v>
      </c>
      <c r="BT3338">
        <v>-0.97</v>
      </c>
      <c r="BU3338">
        <v>-1.54</v>
      </c>
      <c r="BV3338">
        <v>-0.68</v>
      </c>
      <c r="BW3338">
        <v>0.57999999999999996</v>
      </c>
      <c r="BX3338">
        <v>-1.47</v>
      </c>
      <c r="BY3338">
        <v>1.06</v>
      </c>
      <c r="BZ3338">
        <v>-0.24</v>
      </c>
      <c r="CA3338">
        <v>-0.44</v>
      </c>
      <c r="CB3338">
        <v>-0.56000000000000005</v>
      </c>
      <c r="CC3338">
        <v>-0.42</v>
      </c>
      <c r="CD3338">
        <v>-0.51</v>
      </c>
      <c r="CE3338">
        <v>-0.81</v>
      </c>
      <c r="CF3338">
        <v>-1.18</v>
      </c>
      <c r="CG3338">
        <v>0</v>
      </c>
      <c r="CH3338">
        <v>0.61</v>
      </c>
      <c r="CI3338">
        <v>0</v>
      </c>
      <c r="CJ3338">
        <v>-4</v>
      </c>
      <c r="CK3338">
        <v>97</v>
      </c>
      <c r="CL3338">
        <v>-0.87</v>
      </c>
      <c r="CM3338">
        <v>97</v>
      </c>
      <c r="CN3338">
        <v>-0.13</v>
      </c>
      <c r="CO3338">
        <v>97</v>
      </c>
      <c r="CP3338">
        <v>-5.9</v>
      </c>
      <c r="CQ3338">
        <v>96</v>
      </c>
      <c r="CR3338">
        <v>0</v>
      </c>
      <c r="CS3338">
        <v>0</v>
      </c>
      <c r="CT3338">
        <v>-2.2999999999999998</v>
      </c>
      <c r="CU3338">
        <v>93</v>
      </c>
      <c r="CV3338">
        <v>0.1</v>
      </c>
      <c r="CW3338">
        <v>46</v>
      </c>
      <c r="CX3338" t="s">
        <v>531</v>
      </c>
    </row>
    <row r="3339" spans="1:102" x14ac:dyDescent="0.3">
      <c r="A3339" t="str">
        <f>HYPERLINK("https://webapp.icbf.com/v2/app/bull-search/view/492685530","MUY")</f>
        <v>MUY</v>
      </c>
      <c r="B3339" t="s">
        <v>12340</v>
      </c>
      <c r="C3339" t="s">
        <v>12341</v>
      </c>
      <c r="D3339" s="1">
        <v>39094</v>
      </c>
      <c r="E3339" t="s">
        <v>92</v>
      </c>
      <c r="F3339">
        <v>94</v>
      </c>
      <c r="G3339" t="s">
        <v>93</v>
      </c>
      <c r="H3339">
        <v>-29.2</v>
      </c>
      <c r="I3339">
        <v>88</v>
      </c>
      <c r="J3339">
        <v>17.87</v>
      </c>
      <c r="K3339">
        <v>97</v>
      </c>
      <c r="L3339">
        <v>-47.6</v>
      </c>
      <c r="M3339">
        <v>81</v>
      </c>
      <c r="N3339">
        <v>3.88</v>
      </c>
      <c r="O3339">
        <v>87</v>
      </c>
      <c r="P3339">
        <v>-3.08</v>
      </c>
      <c r="Q3339">
        <v>92</v>
      </c>
      <c r="R3339">
        <v>-2.2799999999999998</v>
      </c>
      <c r="S3339">
        <v>84</v>
      </c>
      <c r="T3339">
        <v>1.91</v>
      </c>
      <c r="U3339">
        <v>87</v>
      </c>
      <c r="V3339">
        <v>0.1</v>
      </c>
      <c r="W3339">
        <v>83</v>
      </c>
      <c r="X3339" t="s">
        <v>94</v>
      </c>
      <c r="Y3339" t="s">
        <v>1405</v>
      </c>
      <c r="Z3339" t="s">
        <v>96</v>
      </c>
      <c r="AA3339" t="s">
        <v>204</v>
      </c>
      <c r="AB3339" t="s">
        <v>12342</v>
      </c>
      <c r="AC3339">
        <v>95</v>
      </c>
      <c r="AD3339">
        <v>72</v>
      </c>
      <c r="AE3339">
        <v>97</v>
      </c>
      <c r="AF3339">
        <v>38.869999999999997</v>
      </c>
      <c r="AG3339">
        <v>3.83</v>
      </c>
      <c r="AH3339">
        <v>2.2799999999999998</v>
      </c>
      <c r="AI3339">
        <v>0.04</v>
      </c>
      <c r="AJ3339">
        <v>0.02</v>
      </c>
      <c r="AK3339">
        <v>81</v>
      </c>
      <c r="AL3339">
        <v>99</v>
      </c>
      <c r="AM3339">
        <v>72</v>
      </c>
      <c r="AN3339">
        <v>1.5</v>
      </c>
      <c r="AO3339">
        <v>-2.31</v>
      </c>
      <c r="AP3339">
        <v>221</v>
      </c>
      <c r="AQ3339">
        <v>7</v>
      </c>
      <c r="AR3339">
        <v>11.89</v>
      </c>
      <c r="AS3339">
        <v>72</v>
      </c>
      <c r="AT3339">
        <v>4.1100000000000003</v>
      </c>
      <c r="AU3339">
        <v>89</v>
      </c>
      <c r="AV3339">
        <v>-3.65</v>
      </c>
      <c r="AW3339">
        <v>96</v>
      </c>
      <c r="AX3339">
        <v>0.7</v>
      </c>
      <c r="AY3339">
        <v>82</v>
      </c>
      <c r="AZ3339">
        <v>6.32</v>
      </c>
      <c r="BA3339">
        <v>68</v>
      </c>
      <c r="BB3339">
        <v>5.03</v>
      </c>
      <c r="BC3339">
        <v>71</v>
      </c>
      <c r="BD3339">
        <v>-0.01</v>
      </c>
      <c r="BE3339">
        <v>0.01</v>
      </c>
      <c r="BF3339">
        <v>0.05</v>
      </c>
      <c r="BG3339">
        <v>89</v>
      </c>
      <c r="BH3339">
        <v>7.0000000000000007E-2</v>
      </c>
      <c r="BI3339">
        <v>7.79</v>
      </c>
      <c r="BJ3339">
        <v>13</v>
      </c>
      <c r="BK3339">
        <v>9</v>
      </c>
      <c r="BL3339">
        <v>0.54</v>
      </c>
      <c r="BM3339">
        <v>-1.01</v>
      </c>
      <c r="BN3339">
        <v>-0.68</v>
      </c>
      <c r="BO3339">
        <v>-0.04</v>
      </c>
      <c r="BP3339">
        <v>-1.62</v>
      </c>
      <c r="BQ3339">
        <v>-0.19</v>
      </c>
      <c r="BR3339">
        <v>-0.6</v>
      </c>
      <c r="BS3339">
        <v>-0.23</v>
      </c>
      <c r="BT3339">
        <v>0.09</v>
      </c>
      <c r="BU3339">
        <v>-0.51</v>
      </c>
      <c r="BV3339">
        <v>1</v>
      </c>
      <c r="BW3339">
        <v>-0.34</v>
      </c>
      <c r="BX3339">
        <v>-0.84</v>
      </c>
      <c r="BY3339">
        <v>-0.66</v>
      </c>
      <c r="BZ3339">
        <v>2.2000000000000002</v>
      </c>
      <c r="CA3339">
        <v>-0.06</v>
      </c>
      <c r="CB3339">
        <v>-0.15</v>
      </c>
      <c r="CC3339">
        <v>0.56999999999999995</v>
      </c>
      <c r="CD3339">
        <v>-0.52</v>
      </c>
      <c r="CE3339">
        <v>0.22</v>
      </c>
      <c r="CF3339">
        <v>-0.06</v>
      </c>
      <c r="CG3339">
        <v>0</v>
      </c>
      <c r="CH3339">
        <v>-1.49</v>
      </c>
      <c r="CI3339">
        <v>0</v>
      </c>
      <c r="CJ3339">
        <v>-0.2</v>
      </c>
      <c r="CK3339">
        <v>93</v>
      </c>
      <c r="CL3339">
        <v>-0.77</v>
      </c>
      <c r="CM3339">
        <v>92</v>
      </c>
      <c r="CN3339">
        <v>-0.43</v>
      </c>
      <c r="CO3339">
        <v>91</v>
      </c>
      <c r="CP3339">
        <v>0.7</v>
      </c>
      <c r="CQ3339">
        <v>90</v>
      </c>
      <c r="CR3339">
        <v>0</v>
      </c>
      <c r="CS3339">
        <v>0</v>
      </c>
      <c r="CT3339">
        <v>11.2</v>
      </c>
      <c r="CU3339">
        <v>87</v>
      </c>
      <c r="CV3339">
        <v>0.17</v>
      </c>
      <c r="CW3339">
        <v>46</v>
      </c>
      <c r="CX3339" t="s">
        <v>7994</v>
      </c>
    </row>
    <row r="3340" spans="1:102" x14ac:dyDescent="0.3">
      <c r="A3340" t="str">
        <f>HYPERLINK("https://webapp.icbf.com/v2/app/bull-search/view/720496691","S2086")</f>
        <v>S2086</v>
      </c>
      <c r="B3340" t="s">
        <v>13465</v>
      </c>
      <c r="C3340" t="s">
        <v>2076</v>
      </c>
      <c r="D3340" s="1">
        <v>37512</v>
      </c>
      <c r="E3340" t="s">
        <v>227</v>
      </c>
      <c r="F3340">
        <v>0</v>
      </c>
      <c r="G3340" t="s">
        <v>109</v>
      </c>
      <c r="H3340">
        <v>-29.4</v>
      </c>
      <c r="I3340">
        <v>75</v>
      </c>
      <c r="J3340">
        <v>-58.76</v>
      </c>
      <c r="K3340">
        <v>91</v>
      </c>
      <c r="L3340">
        <v>9.68</v>
      </c>
      <c r="M3340">
        <v>85</v>
      </c>
      <c r="N3340">
        <v>8.85</v>
      </c>
      <c r="O3340">
        <v>55</v>
      </c>
      <c r="P3340">
        <v>-55.31</v>
      </c>
      <c r="Q3340">
        <v>39</v>
      </c>
      <c r="R3340">
        <v>2.61</v>
      </c>
      <c r="S3340">
        <v>63</v>
      </c>
      <c r="T3340">
        <v>60.08</v>
      </c>
      <c r="U3340">
        <v>38</v>
      </c>
      <c r="V3340">
        <v>3.45</v>
      </c>
      <c r="W3340">
        <v>57</v>
      </c>
      <c r="X3340" t="s">
        <v>94</v>
      </c>
      <c r="Y3340" t="s">
        <v>367</v>
      </c>
      <c r="Z3340">
        <v>0</v>
      </c>
      <c r="AA3340" t="s">
        <v>3058</v>
      </c>
      <c r="AB3340" t="s">
        <v>7516</v>
      </c>
      <c r="AC3340">
        <v>0</v>
      </c>
      <c r="AD3340">
        <v>0</v>
      </c>
      <c r="AE3340">
        <v>91</v>
      </c>
      <c r="AF3340">
        <v>-585.70000000000005</v>
      </c>
      <c r="AG3340">
        <v>-6.24</v>
      </c>
      <c r="AH3340">
        <v>-16.75</v>
      </c>
      <c r="AI3340">
        <v>0.32</v>
      </c>
      <c r="AJ3340">
        <v>0.06</v>
      </c>
      <c r="AK3340">
        <v>85</v>
      </c>
      <c r="AL3340">
        <v>0</v>
      </c>
      <c r="AM3340">
        <v>0</v>
      </c>
      <c r="AN3340">
        <v>0.9</v>
      </c>
      <c r="AO3340">
        <v>1.69</v>
      </c>
      <c r="AP3340">
        <v>7</v>
      </c>
      <c r="AQ3340">
        <v>0</v>
      </c>
      <c r="AR3340">
        <v>4.21</v>
      </c>
      <c r="AS3340">
        <v>50</v>
      </c>
      <c r="AT3340">
        <v>2.0499999999999998</v>
      </c>
      <c r="AU3340">
        <v>55</v>
      </c>
      <c r="AV3340">
        <v>0.05</v>
      </c>
      <c r="AW3340">
        <v>63</v>
      </c>
      <c r="AX3340">
        <v>0.67</v>
      </c>
      <c r="AY3340">
        <v>46</v>
      </c>
      <c r="AZ3340">
        <v>7.63</v>
      </c>
      <c r="BA3340">
        <v>42</v>
      </c>
      <c r="BB3340">
        <v>5.51</v>
      </c>
      <c r="BC3340">
        <v>39</v>
      </c>
      <c r="BD3340">
        <v>-0.09</v>
      </c>
      <c r="BE3340">
        <v>0</v>
      </c>
      <c r="BF3340">
        <v>0.09</v>
      </c>
      <c r="BG3340">
        <v>70</v>
      </c>
      <c r="BH3340">
        <v>7.0000000000000007E-2</v>
      </c>
      <c r="BI3340">
        <v>-3.02</v>
      </c>
      <c r="BJ3340">
        <v>2</v>
      </c>
      <c r="BK3340">
        <v>2</v>
      </c>
      <c r="BL3340">
        <v>0.48</v>
      </c>
      <c r="BM3340">
        <v>0.81</v>
      </c>
      <c r="BN3340">
        <v>0.63</v>
      </c>
      <c r="BO3340">
        <v>0.5</v>
      </c>
      <c r="BP3340">
        <v>-0.85</v>
      </c>
      <c r="BQ3340">
        <v>-0.48</v>
      </c>
      <c r="BR3340">
        <v>0.85</v>
      </c>
      <c r="BS3340">
        <v>3.53</v>
      </c>
      <c r="BT3340">
        <v>-0.32</v>
      </c>
      <c r="BU3340">
        <v>1.25</v>
      </c>
      <c r="BV3340">
        <v>1.28</v>
      </c>
      <c r="BW3340">
        <v>-0.36</v>
      </c>
      <c r="BX3340">
        <v>-0.97</v>
      </c>
      <c r="BY3340">
        <v>0.33</v>
      </c>
      <c r="BZ3340">
        <v>1.62</v>
      </c>
      <c r="CA3340">
        <v>1.89</v>
      </c>
      <c r="CB3340">
        <v>1.22</v>
      </c>
      <c r="CC3340">
        <v>2.35</v>
      </c>
      <c r="CD3340">
        <v>-0.08</v>
      </c>
      <c r="CE3340">
        <v>1.02</v>
      </c>
      <c r="CF3340">
        <v>1.38</v>
      </c>
      <c r="CG3340">
        <v>0</v>
      </c>
      <c r="CH3340">
        <v>-0.1</v>
      </c>
      <c r="CI3340">
        <v>0</v>
      </c>
      <c r="CJ3340">
        <v>-31.4</v>
      </c>
      <c r="CK3340">
        <v>39</v>
      </c>
      <c r="CL3340">
        <v>-1.18</v>
      </c>
      <c r="CM3340">
        <v>38</v>
      </c>
      <c r="CN3340">
        <v>-0.6</v>
      </c>
      <c r="CO3340">
        <v>37</v>
      </c>
      <c r="CP3340">
        <v>-45.5</v>
      </c>
      <c r="CQ3340">
        <v>39</v>
      </c>
      <c r="CR3340">
        <v>0</v>
      </c>
      <c r="CS3340">
        <v>0</v>
      </c>
      <c r="CT3340">
        <v>-67.400000000000006</v>
      </c>
      <c r="CU3340">
        <v>38</v>
      </c>
      <c r="CV3340">
        <v>-0.3</v>
      </c>
      <c r="CW3340">
        <v>32</v>
      </c>
      <c r="CX3340" t="s">
        <v>7517</v>
      </c>
    </row>
    <row r="3341" spans="1:102" x14ac:dyDescent="0.3">
      <c r="A3341" t="str">
        <f>HYPERLINK("https://webapp.icbf.com/v2/app/bull-search/view/77855965","KLV")</f>
        <v>KLV</v>
      </c>
      <c r="B3341" t="s">
        <v>8034</v>
      </c>
      <c r="C3341" t="s">
        <v>8035</v>
      </c>
      <c r="D3341" s="1">
        <v>33319</v>
      </c>
      <c r="E3341" t="s">
        <v>92</v>
      </c>
      <c r="F3341">
        <v>75</v>
      </c>
      <c r="G3341" t="s">
        <v>116</v>
      </c>
      <c r="H3341">
        <v>-29.49</v>
      </c>
      <c r="I3341">
        <v>35</v>
      </c>
      <c r="J3341">
        <v>-58.42</v>
      </c>
      <c r="K3341">
        <v>34</v>
      </c>
      <c r="L3341">
        <v>16.850000000000001</v>
      </c>
      <c r="M3341">
        <v>30</v>
      </c>
      <c r="N3341">
        <v>4.09</v>
      </c>
      <c r="O3341">
        <v>35</v>
      </c>
      <c r="P3341">
        <v>7.96</v>
      </c>
      <c r="Q3341">
        <v>56</v>
      </c>
      <c r="R3341">
        <v>-5.92</v>
      </c>
      <c r="S3341">
        <v>30</v>
      </c>
      <c r="T3341">
        <v>5.69</v>
      </c>
      <c r="U3341">
        <v>51</v>
      </c>
      <c r="V3341">
        <v>0.26</v>
      </c>
      <c r="W3341">
        <v>14</v>
      </c>
      <c r="X3341" t="s">
        <v>94</v>
      </c>
      <c r="Y3341" t="s">
        <v>117</v>
      </c>
      <c r="Z3341" t="s">
        <v>96</v>
      </c>
      <c r="AA3341" t="s">
        <v>2561</v>
      </c>
      <c r="AB3341" t="s">
        <v>8036</v>
      </c>
      <c r="AC3341">
        <v>2</v>
      </c>
      <c r="AD3341">
        <v>3</v>
      </c>
      <c r="AE3341">
        <v>34</v>
      </c>
      <c r="AF3341">
        <v>-312.05</v>
      </c>
      <c r="AG3341">
        <v>-7.07</v>
      </c>
      <c r="AH3341">
        <v>-12.21</v>
      </c>
      <c r="AI3341">
        <v>0.09</v>
      </c>
      <c r="AJ3341">
        <v>-0.03</v>
      </c>
      <c r="AK3341">
        <v>30</v>
      </c>
      <c r="AL3341">
        <v>4</v>
      </c>
      <c r="AM3341">
        <v>4</v>
      </c>
      <c r="AN3341">
        <v>-1.23</v>
      </c>
      <c r="AO3341">
        <v>0.11</v>
      </c>
      <c r="AP3341">
        <v>4</v>
      </c>
      <c r="AQ3341">
        <v>10</v>
      </c>
      <c r="AR3341">
        <v>7.96</v>
      </c>
      <c r="AS3341">
        <v>19</v>
      </c>
      <c r="AT3341">
        <v>3.27</v>
      </c>
      <c r="AU3341">
        <v>30</v>
      </c>
      <c r="AV3341">
        <v>-1.1000000000000001</v>
      </c>
      <c r="AW3341">
        <v>47</v>
      </c>
      <c r="AX3341">
        <v>-0.16</v>
      </c>
      <c r="AY3341">
        <v>38</v>
      </c>
      <c r="AZ3341">
        <v>7</v>
      </c>
      <c r="BA3341">
        <v>17</v>
      </c>
      <c r="BB3341">
        <v>5.38</v>
      </c>
      <c r="BC3341">
        <v>22</v>
      </c>
      <c r="BD3341">
        <v>0</v>
      </c>
      <c r="BE3341">
        <v>0.04</v>
      </c>
      <c r="BF3341">
        <v>0.06</v>
      </c>
      <c r="BG3341">
        <v>39</v>
      </c>
      <c r="BH3341">
        <v>0.01</v>
      </c>
      <c r="BI3341">
        <v>0.32</v>
      </c>
      <c r="BJ3341">
        <v>1</v>
      </c>
      <c r="BK3341">
        <v>1</v>
      </c>
      <c r="BL3341">
        <v>-0.17</v>
      </c>
      <c r="BM3341">
        <v>-0.05</v>
      </c>
      <c r="BN3341">
        <v>-0.57999999999999996</v>
      </c>
      <c r="BO3341">
        <v>-0.41</v>
      </c>
      <c r="BP3341">
        <v>0.06</v>
      </c>
      <c r="BQ3341">
        <v>-0.1</v>
      </c>
      <c r="BR3341">
        <v>-0.15</v>
      </c>
      <c r="BS3341">
        <v>-0.27</v>
      </c>
      <c r="BT3341">
        <v>0.51</v>
      </c>
      <c r="BU3341">
        <v>0</v>
      </c>
      <c r="BV3341">
        <v>-0.36</v>
      </c>
      <c r="BW3341">
        <v>0.21</v>
      </c>
      <c r="BX3341">
        <v>0.76</v>
      </c>
      <c r="BY3341">
        <v>-0.28999999999999998</v>
      </c>
      <c r="BZ3341">
        <v>-7.0000000000000007E-2</v>
      </c>
      <c r="CA3341">
        <v>-7.0000000000000007E-2</v>
      </c>
      <c r="CB3341">
        <v>-0.15</v>
      </c>
      <c r="CC3341">
        <v>0.01</v>
      </c>
      <c r="CD3341">
        <v>0.23</v>
      </c>
      <c r="CE3341">
        <v>-0.39</v>
      </c>
      <c r="CF3341">
        <v>0.02</v>
      </c>
      <c r="CG3341">
        <v>0</v>
      </c>
      <c r="CH3341">
        <v>-0.24</v>
      </c>
      <c r="CI3341">
        <v>0</v>
      </c>
      <c r="CJ3341">
        <v>3</v>
      </c>
      <c r="CK3341">
        <v>59</v>
      </c>
      <c r="CL3341">
        <v>0.13</v>
      </c>
      <c r="CM3341">
        <v>53</v>
      </c>
      <c r="CN3341">
        <v>-0.18</v>
      </c>
      <c r="CO3341">
        <v>50</v>
      </c>
      <c r="CP3341">
        <v>2.5</v>
      </c>
      <c r="CQ3341">
        <v>49</v>
      </c>
      <c r="CR3341">
        <v>0</v>
      </c>
      <c r="CS3341">
        <v>0</v>
      </c>
      <c r="CT3341">
        <v>6.1</v>
      </c>
      <c r="CU3341">
        <v>51</v>
      </c>
      <c r="CV3341">
        <v>-0.06</v>
      </c>
      <c r="CW3341">
        <v>16</v>
      </c>
      <c r="CX3341" t="s">
        <v>3715</v>
      </c>
    </row>
    <row r="3342" spans="1:102" x14ac:dyDescent="0.3">
      <c r="A3342" t="str">
        <f>HYPERLINK("https://webapp.icbf.com/v2/app/bull-search/view/586202328","S1012")</f>
        <v>S1012</v>
      </c>
      <c r="B3342" t="s">
        <v>9015</v>
      </c>
      <c r="C3342" t="s">
        <v>9016</v>
      </c>
      <c r="D3342" s="1">
        <v>38431</v>
      </c>
      <c r="E3342" t="s">
        <v>92</v>
      </c>
      <c r="F3342">
        <v>100</v>
      </c>
      <c r="G3342" t="s">
        <v>93</v>
      </c>
      <c r="H3342">
        <v>-29.62</v>
      </c>
      <c r="I3342">
        <v>86</v>
      </c>
      <c r="J3342">
        <v>31.55</v>
      </c>
      <c r="K3342">
        <v>95</v>
      </c>
      <c r="L3342">
        <v>-68.8</v>
      </c>
      <c r="M3342">
        <v>88</v>
      </c>
      <c r="N3342">
        <v>11.34</v>
      </c>
      <c r="O3342">
        <v>80</v>
      </c>
      <c r="P3342">
        <v>-22.92</v>
      </c>
      <c r="Q3342">
        <v>79</v>
      </c>
      <c r="R3342">
        <v>2.42</v>
      </c>
      <c r="S3342">
        <v>78</v>
      </c>
      <c r="T3342">
        <v>16.559999999999999</v>
      </c>
      <c r="U3342">
        <v>72</v>
      </c>
      <c r="V3342">
        <v>0.23</v>
      </c>
      <c r="W3342">
        <v>64</v>
      </c>
      <c r="X3342" t="s">
        <v>102</v>
      </c>
      <c r="Y3342" t="s">
        <v>303</v>
      </c>
      <c r="Z3342" t="s">
        <v>96</v>
      </c>
      <c r="AA3342" t="s">
        <v>476</v>
      </c>
      <c r="AB3342" t="s">
        <v>9017</v>
      </c>
      <c r="AC3342">
        <v>38</v>
      </c>
      <c r="AD3342">
        <v>14</v>
      </c>
      <c r="AE3342">
        <v>95</v>
      </c>
      <c r="AF3342">
        <v>236.51</v>
      </c>
      <c r="AG3342">
        <v>2.9</v>
      </c>
      <c r="AH3342">
        <v>7.96</v>
      </c>
      <c r="AI3342">
        <v>-0.11</v>
      </c>
      <c r="AJ3342">
        <v>0</v>
      </c>
      <c r="AK3342">
        <v>88</v>
      </c>
      <c r="AL3342">
        <v>36</v>
      </c>
      <c r="AM3342">
        <v>15</v>
      </c>
      <c r="AN3342">
        <v>5.04</v>
      </c>
      <c r="AO3342">
        <v>-0.43</v>
      </c>
      <c r="AP3342">
        <v>76</v>
      </c>
      <c r="AQ3342">
        <v>1</v>
      </c>
      <c r="AR3342">
        <v>6.32</v>
      </c>
      <c r="AS3342">
        <v>74</v>
      </c>
      <c r="AT3342">
        <v>2.83</v>
      </c>
      <c r="AU3342">
        <v>93</v>
      </c>
      <c r="AV3342">
        <v>-1.22</v>
      </c>
      <c r="AW3342">
        <v>86</v>
      </c>
      <c r="AX3342">
        <v>0.83</v>
      </c>
      <c r="AY3342">
        <v>70</v>
      </c>
      <c r="AZ3342">
        <v>6.84</v>
      </c>
      <c r="BA3342">
        <v>55</v>
      </c>
      <c r="BB3342">
        <v>5.26</v>
      </c>
      <c r="BC3342">
        <v>53</v>
      </c>
      <c r="BD3342">
        <v>0.02</v>
      </c>
      <c r="BE3342">
        <v>-0.01</v>
      </c>
      <c r="BF3342">
        <v>-7.0000000000000007E-2</v>
      </c>
      <c r="BG3342">
        <v>93</v>
      </c>
      <c r="BH3342">
        <v>0.01</v>
      </c>
      <c r="BI3342">
        <v>0.4</v>
      </c>
      <c r="BJ3342">
        <v>14</v>
      </c>
      <c r="BK3342">
        <v>7</v>
      </c>
      <c r="BL3342">
        <v>1</v>
      </c>
      <c r="BM3342">
        <v>-1.65</v>
      </c>
      <c r="BN3342">
        <v>-0.23</v>
      </c>
      <c r="BO3342">
        <v>1.1599999999999999</v>
      </c>
      <c r="BP3342">
        <v>0.25</v>
      </c>
      <c r="BQ3342">
        <v>-2.64</v>
      </c>
      <c r="BR3342">
        <v>-0.14000000000000001</v>
      </c>
      <c r="BS3342">
        <v>1.04</v>
      </c>
      <c r="BT3342">
        <v>0.98</v>
      </c>
      <c r="BU3342">
        <v>0.33</v>
      </c>
      <c r="BV3342">
        <v>0.69</v>
      </c>
      <c r="BW3342">
        <v>1.28</v>
      </c>
      <c r="BX3342">
        <v>1.93</v>
      </c>
      <c r="BY3342">
        <v>1.28</v>
      </c>
      <c r="BZ3342">
        <v>-1.42</v>
      </c>
      <c r="CA3342">
        <v>1.47</v>
      </c>
      <c r="CB3342">
        <v>1.29</v>
      </c>
      <c r="CC3342">
        <v>1.37</v>
      </c>
      <c r="CD3342">
        <v>-1.0900000000000001</v>
      </c>
      <c r="CE3342">
        <v>1.02</v>
      </c>
      <c r="CF3342">
        <v>0.35</v>
      </c>
      <c r="CG3342">
        <v>0</v>
      </c>
      <c r="CH3342">
        <v>1.0900000000000001</v>
      </c>
      <c r="CI3342">
        <v>0</v>
      </c>
      <c r="CJ3342">
        <v>-8.8000000000000007</v>
      </c>
      <c r="CK3342">
        <v>81</v>
      </c>
      <c r="CL3342">
        <v>-1.1299999999999999</v>
      </c>
      <c r="CM3342">
        <v>78</v>
      </c>
      <c r="CN3342">
        <v>-0.15</v>
      </c>
      <c r="CO3342">
        <v>76</v>
      </c>
      <c r="CP3342">
        <v>-5.8</v>
      </c>
      <c r="CQ3342">
        <v>78</v>
      </c>
      <c r="CR3342">
        <v>0</v>
      </c>
      <c r="CS3342">
        <v>0</v>
      </c>
      <c r="CT3342">
        <v>-8.6</v>
      </c>
      <c r="CU3342">
        <v>72</v>
      </c>
      <c r="CV3342">
        <v>0.09</v>
      </c>
      <c r="CW3342">
        <v>42</v>
      </c>
      <c r="CX3342" t="s">
        <v>1109</v>
      </c>
    </row>
    <row r="3343" spans="1:102" x14ac:dyDescent="0.3">
      <c r="A3343" t="str">
        <f>HYPERLINK("https://webapp.icbf.com/v2/app/bull-search/view/77855461","LXT")</f>
        <v>LXT</v>
      </c>
      <c r="B3343" t="s">
        <v>10873</v>
      </c>
      <c r="C3343" t="s">
        <v>10874</v>
      </c>
      <c r="D3343" s="1">
        <v>35526</v>
      </c>
      <c r="E3343" t="s">
        <v>92</v>
      </c>
      <c r="F3343">
        <v>97</v>
      </c>
      <c r="G3343" t="s">
        <v>93</v>
      </c>
      <c r="H3343">
        <v>-29.68</v>
      </c>
      <c r="I3343">
        <v>84</v>
      </c>
      <c r="J3343">
        <v>-24.29</v>
      </c>
      <c r="K3343">
        <v>96</v>
      </c>
      <c r="L3343">
        <v>-3.35</v>
      </c>
      <c r="M3343">
        <v>80</v>
      </c>
      <c r="N3343">
        <v>-20.100000000000001</v>
      </c>
      <c r="O3343">
        <v>75</v>
      </c>
      <c r="P3343">
        <v>-2.97</v>
      </c>
      <c r="Q3343">
        <v>83</v>
      </c>
      <c r="R3343">
        <v>-4.13</v>
      </c>
      <c r="S3343">
        <v>79</v>
      </c>
      <c r="T3343">
        <v>18.71</v>
      </c>
      <c r="U3343">
        <v>79</v>
      </c>
      <c r="V3343">
        <v>6.45</v>
      </c>
      <c r="W3343">
        <v>69</v>
      </c>
      <c r="X3343" t="s">
        <v>94</v>
      </c>
      <c r="Y3343" t="s">
        <v>95</v>
      </c>
      <c r="Z3343" t="s">
        <v>96</v>
      </c>
      <c r="AA3343" t="s">
        <v>753</v>
      </c>
      <c r="AB3343" t="s">
        <v>6597</v>
      </c>
      <c r="AC3343">
        <v>75</v>
      </c>
      <c r="AD3343">
        <v>64</v>
      </c>
      <c r="AE3343">
        <v>96</v>
      </c>
      <c r="AF3343">
        <v>114.88</v>
      </c>
      <c r="AG3343">
        <v>-1.96</v>
      </c>
      <c r="AH3343">
        <v>-1.68</v>
      </c>
      <c r="AI3343">
        <v>-0.11</v>
      </c>
      <c r="AJ3343">
        <v>-0.1</v>
      </c>
      <c r="AK3343">
        <v>80</v>
      </c>
      <c r="AL3343">
        <v>72</v>
      </c>
      <c r="AM3343">
        <v>61</v>
      </c>
      <c r="AN3343">
        <v>-0.04</v>
      </c>
      <c r="AO3343">
        <v>-0.31</v>
      </c>
      <c r="AP3343">
        <v>4</v>
      </c>
      <c r="AQ3343">
        <v>1</v>
      </c>
      <c r="AR3343">
        <v>9.1300000000000008</v>
      </c>
      <c r="AS3343">
        <v>63</v>
      </c>
      <c r="AT3343">
        <v>3.34</v>
      </c>
      <c r="AU3343">
        <v>77</v>
      </c>
      <c r="AV3343">
        <v>0.75</v>
      </c>
      <c r="AW3343">
        <v>79</v>
      </c>
      <c r="AX3343">
        <v>0.43</v>
      </c>
      <c r="AY3343">
        <v>77</v>
      </c>
      <c r="AZ3343">
        <v>7.85</v>
      </c>
      <c r="BA3343">
        <v>56</v>
      </c>
      <c r="BB3343">
        <v>5.86</v>
      </c>
      <c r="BC3343">
        <v>66</v>
      </c>
      <c r="BD3343">
        <v>0</v>
      </c>
      <c r="BE3343">
        <v>0.05</v>
      </c>
      <c r="BF3343">
        <v>0</v>
      </c>
      <c r="BG3343">
        <v>89</v>
      </c>
      <c r="BH3343">
        <v>0.23</v>
      </c>
      <c r="BI3343">
        <v>5.81</v>
      </c>
      <c r="BJ3343">
        <v>3</v>
      </c>
      <c r="BK3343">
        <v>3</v>
      </c>
      <c r="BL3343">
        <v>-0.5</v>
      </c>
      <c r="BM3343">
        <v>1.41</v>
      </c>
      <c r="BN3343">
        <v>-0.54</v>
      </c>
      <c r="BO3343">
        <v>-1.47</v>
      </c>
      <c r="BP3343">
        <v>-0.74</v>
      </c>
      <c r="BQ3343">
        <v>-0.25</v>
      </c>
      <c r="BR3343">
        <v>-0.01</v>
      </c>
      <c r="BS3343">
        <v>-1.67</v>
      </c>
      <c r="BT3343">
        <v>0.79</v>
      </c>
      <c r="BU3343">
        <v>1.71</v>
      </c>
      <c r="BV3343">
        <v>-0.53</v>
      </c>
      <c r="BW3343">
        <v>-0.25</v>
      </c>
      <c r="BX3343">
        <v>0.83</v>
      </c>
      <c r="BY3343">
        <v>-0.75</v>
      </c>
      <c r="BZ3343">
        <v>-0.81</v>
      </c>
      <c r="CA3343">
        <v>0.38</v>
      </c>
      <c r="CB3343">
        <v>0.52</v>
      </c>
      <c r="CC3343">
        <v>-0.68</v>
      </c>
      <c r="CD3343">
        <v>1.74</v>
      </c>
      <c r="CE3343">
        <v>-0.87</v>
      </c>
      <c r="CF3343">
        <v>-1.54</v>
      </c>
      <c r="CG3343">
        <v>0</v>
      </c>
      <c r="CH3343">
        <v>0.91</v>
      </c>
      <c r="CI3343">
        <v>0</v>
      </c>
      <c r="CJ3343">
        <v>-2.9</v>
      </c>
      <c r="CK3343">
        <v>84</v>
      </c>
      <c r="CL3343">
        <v>-0.3</v>
      </c>
      <c r="CM3343">
        <v>81</v>
      </c>
      <c r="CN3343">
        <v>-0.46</v>
      </c>
      <c r="CO3343">
        <v>79</v>
      </c>
      <c r="CP3343">
        <v>-8.4</v>
      </c>
      <c r="CQ3343">
        <v>88</v>
      </c>
      <c r="CR3343">
        <v>0</v>
      </c>
      <c r="CS3343">
        <v>0</v>
      </c>
      <c r="CT3343">
        <v>-11.5</v>
      </c>
      <c r="CU3343">
        <v>79</v>
      </c>
      <c r="CV3343">
        <v>-0.03</v>
      </c>
      <c r="CW3343">
        <v>43</v>
      </c>
      <c r="CX3343" t="s">
        <v>485</v>
      </c>
    </row>
    <row r="3344" spans="1:102" x14ac:dyDescent="0.3">
      <c r="A3344" t="str">
        <f>HYPERLINK("https://webapp.icbf.com/v2/app/bull-search/view/77858023","DTV")</f>
        <v>DTV</v>
      </c>
      <c r="B3344" t="s">
        <v>3751</v>
      </c>
      <c r="C3344" t="s">
        <v>3752</v>
      </c>
      <c r="D3344" s="1">
        <v>33229</v>
      </c>
      <c r="E3344" t="s">
        <v>92</v>
      </c>
      <c r="F3344">
        <v>100</v>
      </c>
      <c r="G3344" t="s">
        <v>93</v>
      </c>
      <c r="H3344">
        <v>-29.7</v>
      </c>
      <c r="I3344">
        <v>96</v>
      </c>
      <c r="J3344">
        <v>15.82</v>
      </c>
      <c r="K3344">
        <v>99</v>
      </c>
      <c r="L3344">
        <v>-44.68</v>
      </c>
      <c r="M3344">
        <v>93</v>
      </c>
      <c r="N3344">
        <v>8.1999999999999993</v>
      </c>
      <c r="O3344">
        <v>95</v>
      </c>
      <c r="P3344">
        <v>-7.06</v>
      </c>
      <c r="Q3344">
        <v>98</v>
      </c>
      <c r="R3344">
        <v>-6.35</v>
      </c>
      <c r="S3344">
        <v>92</v>
      </c>
      <c r="T3344">
        <v>9.31</v>
      </c>
      <c r="U3344">
        <v>98</v>
      </c>
      <c r="V3344">
        <v>-4.9400000000000004</v>
      </c>
      <c r="W3344">
        <v>89</v>
      </c>
      <c r="X3344" t="s">
        <v>110</v>
      </c>
      <c r="Y3344" t="s">
        <v>95</v>
      </c>
      <c r="Z3344" t="s">
        <v>96</v>
      </c>
      <c r="AA3344" t="s">
        <v>99</v>
      </c>
      <c r="AB3344" t="s">
        <v>1460</v>
      </c>
      <c r="AC3344">
        <v>776</v>
      </c>
      <c r="AD3344">
        <v>335</v>
      </c>
      <c r="AE3344">
        <v>99</v>
      </c>
      <c r="AF3344">
        <v>19.96</v>
      </c>
      <c r="AG3344">
        <v>2.2799999999999998</v>
      </c>
      <c r="AH3344">
        <v>2.19</v>
      </c>
      <c r="AI3344">
        <v>0.03</v>
      </c>
      <c r="AJ3344">
        <v>0.03</v>
      </c>
      <c r="AK3344">
        <v>93</v>
      </c>
      <c r="AL3344">
        <v>760</v>
      </c>
      <c r="AM3344">
        <v>314</v>
      </c>
      <c r="AN3344">
        <v>3.45</v>
      </c>
      <c r="AO3344">
        <v>-0.1</v>
      </c>
      <c r="AP3344">
        <v>131</v>
      </c>
      <c r="AQ3344">
        <v>0</v>
      </c>
      <c r="AR3344">
        <v>7.39</v>
      </c>
      <c r="AS3344">
        <v>89</v>
      </c>
      <c r="AT3344">
        <v>3.55</v>
      </c>
      <c r="AU3344">
        <v>96</v>
      </c>
      <c r="AV3344">
        <v>-1.39</v>
      </c>
      <c r="AW3344">
        <v>97</v>
      </c>
      <c r="AX3344">
        <v>-0.22</v>
      </c>
      <c r="AY3344">
        <v>96</v>
      </c>
      <c r="AZ3344">
        <v>6.41</v>
      </c>
      <c r="BA3344">
        <v>88</v>
      </c>
      <c r="BB3344">
        <v>5.04</v>
      </c>
      <c r="BC3344">
        <v>92</v>
      </c>
      <c r="BD3344">
        <v>0</v>
      </c>
      <c r="BE3344">
        <v>0.04</v>
      </c>
      <c r="BF3344">
        <v>7.0000000000000007E-2</v>
      </c>
      <c r="BG3344">
        <v>98</v>
      </c>
      <c r="BH3344">
        <v>-0.1</v>
      </c>
      <c r="BI3344">
        <v>4.3600000000000003</v>
      </c>
      <c r="BJ3344">
        <v>55</v>
      </c>
      <c r="BK3344">
        <v>30</v>
      </c>
      <c r="BL3344">
        <v>-0.4</v>
      </c>
      <c r="BM3344">
        <v>0.19</v>
      </c>
      <c r="BN3344">
        <v>-0.28999999999999998</v>
      </c>
      <c r="BO3344">
        <v>-0.47</v>
      </c>
      <c r="BP3344">
        <v>-2.2999999999999998</v>
      </c>
      <c r="BQ3344">
        <v>-2.62</v>
      </c>
      <c r="BR3344">
        <v>0.83</v>
      </c>
      <c r="BS3344">
        <v>-0.09</v>
      </c>
      <c r="BT3344">
        <v>-1.39</v>
      </c>
      <c r="BU3344">
        <v>1.63</v>
      </c>
      <c r="BV3344">
        <v>0.69</v>
      </c>
      <c r="BW3344">
        <v>0.72</v>
      </c>
      <c r="BX3344">
        <v>1.05</v>
      </c>
      <c r="BY3344">
        <v>1.54</v>
      </c>
      <c r="BZ3344">
        <v>-0.83</v>
      </c>
      <c r="CA3344">
        <v>0.8</v>
      </c>
      <c r="CB3344">
        <v>1.08</v>
      </c>
      <c r="CC3344">
        <v>-0.55000000000000004</v>
      </c>
      <c r="CD3344">
        <v>0.82</v>
      </c>
      <c r="CE3344">
        <v>-0.18</v>
      </c>
      <c r="CF3344">
        <v>-1</v>
      </c>
      <c r="CG3344">
        <v>0</v>
      </c>
      <c r="CH3344">
        <v>1.37</v>
      </c>
      <c r="CI3344">
        <v>0</v>
      </c>
      <c r="CJ3344">
        <v>-3.7</v>
      </c>
      <c r="CK3344">
        <v>98</v>
      </c>
      <c r="CL3344">
        <v>-0.62</v>
      </c>
      <c r="CM3344">
        <v>97</v>
      </c>
      <c r="CN3344">
        <v>-0.46</v>
      </c>
      <c r="CO3344">
        <v>97</v>
      </c>
      <c r="CP3344">
        <v>-6.3</v>
      </c>
      <c r="CQ3344">
        <v>98</v>
      </c>
      <c r="CR3344">
        <v>0</v>
      </c>
      <c r="CS3344">
        <v>0</v>
      </c>
      <c r="CT3344">
        <v>1.2</v>
      </c>
      <c r="CU3344">
        <v>98</v>
      </c>
      <c r="CV3344">
        <v>7.0000000000000007E-2</v>
      </c>
      <c r="CW3344">
        <v>46</v>
      </c>
      <c r="CX3344" t="s">
        <v>166</v>
      </c>
    </row>
    <row r="3345" spans="1:102" x14ac:dyDescent="0.3">
      <c r="A3345" t="str">
        <f>HYPERLINK("https://webapp.icbf.com/v2/app/bull-search/view/77853910","SLY")</f>
        <v>SLY</v>
      </c>
      <c r="B3345" t="s">
        <v>653</v>
      </c>
      <c r="C3345" t="s">
        <v>654</v>
      </c>
      <c r="D3345" s="1">
        <v>34446</v>
      </c>
      <c r="E3345" t="s">
        <v>92</v>
      </c>
      <c r="F3345">
        <v>100</v>
      </c>
      <c r="G3345" t="s">
        <v>93</v>
      </c>
      <c r="H3345">
        <v>-29.79</v>
      </c>
      <c r="I3345">
        <v>89</v>
      </c>
      <c r="J3345">
        <v>17.87</v>
      </c>
      <c r="K3345">
        <v>98</v>
      </c>
      <c r="L3345">
        <v>-50.44</v>
      </c>
      <c r="M3345">
        <v>85</v>
      </c>
      <c r="N3345">
        <v>-22.83</v>
      </c>
      <c r="O3345">
        <v>81</v>
      </c>
      <c r="P3345">
        <v>-0.11</v>
      </c>
      <c r="Q3345">
        <v>91</v>
      </c>
      <c r="R3345">
        <v>7.1</v>
      </c>
      <c r="S3345">
        <v>83</v>
      </c>
      <c r="T3345">
        <v>14.05</v>
      </c>
      <c r="U3345">
        <v>87</v>
      </c>
      <c r="V3345">
        <v>4.57</v>
      </c>
      <c r="W3345">
        <v>73</v>
      </c>
      <c r="X3345" t="s">
        <v>94</v>
      </c>
      <c r="Y3345" t="s">
        <v>95</v>
      </c>
      <c r="Z3345" t="s">
        <v>96</v>
      </c>
      <c r="AA3345" t="s">
        <v>207</v>
      </c>
      <c r="AB3345" t="s">
        <v>655</v>
      </c>
      <c r="AC3345">
        <v>182</v>
      </c>
      <c r="AD3345">
        <v>128</v>
      </c>
      <c r="AE3345">
        <v>98</v>
      </c>
      <c r="AF3345">
        <v>-33.479999999999997</v>
      </c>
      <c r="AG3345">
        <v>7.51</v>
      </c>
      <c r="AH3345">
        <v>-0.13</v>
      </c>
      <c r="AI3345">
        <v>0.16</v>
      </c>
      <c r="AJ3345">
        <v>0.02</v>
      </c>
      <c r="AK3345">
        <v>85</v>
      </c>
      <c r="AL3345">
        <v>222</v>
      </c>
      <c r="AM3345">
        <v>127</v>
      </c>
      <c r="AN3345">
        <v>4.5</v>
      </c>
      <c r="AO3345">
        <v>0.5</v>
      </c>
      <c r="AP3345">
        <v>7</v>
      </c>
      <c r="AQ3345">
        <v>8</v>
      </c>
      <c r="AR3345">
        <v>9.1199999999999992</v>
      </c>
      <c r="AS3345">
        <v>66</v>
      </c>
      <c r="AT3345">
        <v>4.5</v>
      </c>
      <c r="AU3345">
        <v>83</v>
      </c>
      <c r="AV3345">
        <v>0.12</v>
      </c>
      <c r="AW3345">
        <v>84</v>
      </c>
      <c r="AX3345">
        <v>-0.01</v>
      </c>
      <c r="AY3345">
        <v>89</v>
      </c>
      <c r="AZ3345">
        <v>7.86</v>
      </c>
      <c r="BA3345">
        <v>61</v>
      </c>
      <c r="BB3345">
        <v>5.29</v>
      </c>
      <c r="BC3345">
        <v>76</v>
      </c>
      <c r="BD3345">
        <v>-0.02</v>
      </c>
      <c r="BE3345">
        <v>0</v>
      </c>
      <c r="BF3345">
        <v>-0.13</v>
      </c>
      <c r="BG3345">
        <v>94</v>
      </c>
      <c r="BH3345">
        <v>0.12</v>
      </c>
      <c r="BI3345">
        <v>-0.87</v>
      </c>
      <c r="BJ3345">
        <v>21</v>
      </c>
      <c r="BK3345">
        <v>14</v>
      </c>
      <c r="BL3345">
        <v>-0.7</v>
      </c>
      <c r="BM3345">
        <v>-0.61</v>
      </c>
      <c r="BN3345">
        <v>-1.76</v>
      </c>
      <c r="BO3345">
        <v>-0.83</v>
      </c>
      <c r="BP3345">
        <v>0.68</v>
      </c>
      <c r="BQ3345">
        <v>-1.86</v>
      </c>
      <c r="BR3345">
        <v>-0.15</v>
      </c>
      <c r="BS3345">
        <v>-2.4500000000000002</v>
      </c>
      <c r="BT3345">
        <v>0.87</v>
      </c>
      <c r="BU3345">
        <v>-1.1599999999999999</v>
      </c>
      <c r="BV3345">
        <v>-0.88</v>
      </c>
      <c r="BW3345">
        <v>-2.02</v>
      </c>
      <c r="BX3345">
        <v>-1.23</v>
      </c>
      <c r="BY3345">
        <v>-0.78</v>
      </c>
      <c r="BZ3345">
        <v>0.27</v>
      </c>
      <c r="CA3345">
        <v>-2.2400000000000002</v>
      </c>
      <c r="CB3345">
        <v>-1.65</v>
      </c>
      <c r="CC3345">
        <v>-2.34</v>
      </c>
      <c r="CD3345">
        <v>0.09</v>
      </c>
      <c r="CE3345">
        <v>-1.05</v>
      </c>
      <c r="CF3345">
        <v>-1.64</v>
      </c>
      <c r="CG3345">
        <v>0</v>
      </c>
      <c r="CH3345">
        <v>-1.68</v>
      </c>
      <c r="CI3345">
        <v>0</v>
      </c>
      <c r="CJ3345">
        <v>1.4</v>
      </c>
      <c r="CK3345">
        <v>91</v>
      </c>
      <c r="CL3345">
        <v>-0.41</v>
      </c>
      <c r="CM3345">
        <v>90</v>
      </c>
      <c r="CN3345">
        <v>-0.32</v>
      </c>
      <c r="CO3345">
        <v>88</v>
      </c>
      <c r="CP3345">
        <v>-10.4</v>
      </c>
      <c r="CQ3345">
        <v>93</v>
      </c>
      <c r="CR3345">
        <v>0</v>
      </c>
      <c r="CS3345">
        <v>0</v>
      </c>
      <c r="CT3345">
        <v>-5.2</v>
      </c>
      <c r="CU3345">
        <v>87</v>
      </c>
      <c r="CV3345">
        <v>0.08</v>
      </c>
      <c r="CW3345">
        <v>44</v>
      </c>
      <c r="CX3345" t="s">
        <v>168</v>
      </c>
    </row>
    <row r="3346" spans="1:102" x14ac:dyDescent="0.3">
      <c r="A3346" t="str">
        <f>HYPERLINK("https://webapp.icbf.com/v2/app/bull-search/view/69091642","FAM")</f>
        <v>FAM</v>
      </c>
      <c r="B3346" t="s">
        <v>549</v>
      </c>
      <c r="C3346" t="s">
        <v>550</v>
      </c>
      <c r="D3346" s="1">
        <v>33317</v>
      </c>
      <c r="E3346" t="s">
        <v>108</v>
      </c>
      <c r="F3346">
        <v>0</v>
      </c>
      <c r="G3346" t="s">
        <v>109</v>
      </c>
      <c r="H3346">
        <v>-29.81</v>
      </c>
      <c r="I3346">
        <v>78</v>
      </c>
      <c r="J3346">
        <v>-39.47</v>
      </c>
      <c r="K3346">
        <v>93</v>
      </c>
      <c r="L3346">
        <v>18.48</v>
      </c>
      <c r="M3346">
        <v>86</v>
      </c>
      <c r="N3346">
        <v>-12.3</v>
      </c>
      <c r="O3346">
        <v>58</v>
      </c>
      <c r="P3346">
        <v>-3.16</v>
      </c>
      <c r="Q3346">
        <v>46</v>
      </c>
      <c r="R3346">
        <v>-2.62</v>
      </c>
      <c r="S3346">
        <v>75</v>
      </c>
      <c r="T3346">
        <v>11.01</v>
      </c>
      <c r="U3346">
        <v>47</v>
      </c>
      <c r="V3346">
        <v>-1.75</v>
      </c>
      <c r="W3346">
        <v>60</v>
      </c>
      <c r="X3346" t="s">
        <v>110</v>
      </c>
      <c r="Y3346" t="s">
        <v>95</v>
      </c>
      <c r="Z3346" t="s">
        <v>96</v>
      </c>
      <c r="AA3346" t="s">
        <v>132</v>
      </c>
      <c r="AB3346" t="s">
        <v>551</v>
      </c>
      <c r="AC3346">
        <v>0</v>
      </c>
      <c r="AD3346">
        <v>0</v>
      </c>
      <c r="AE3346">
        <v>93</v>
      </c>
      <c r="AF3346">
        <v>9.06</v>
      </c>
      <c r="AG3346">
        <v>-9.51</v>
      </c>
      <c r="AH3346">
        <v>-3.21</v>
      </c>
      <c r="AI3346">
        <v>-0.17</v>
      </c>
      <c r="AJ3346">
        <v>-0.06</v>
      </c>
      <c r="AK3346">
        <v>86</v>
      </c>
      <c r="AL3346">
        <v>0</v>
      </c>
      <c r="AM3346">
        <v>0</v>
      </c>
      <c r="AN3346">
        <v>-0.52</v>
      </c>
      <c r="AO3346">
        <v>0.96</v>
      </c>
      <c r="AP3346">
        <v>5</v>
      </c>
      <c r="AQ3346">
        <v>0</v>
      </c>
      <c r="AR3346">
        <v>8.26</v>
      </c>
      <c r="AS3346">
        <v>58</v>
      </c>
      <c r="AT3346">
        <v>3.56</v>
      </c>
      <c r="AU3346">
        <v>88</v>
      </c>
      <c r="AV3346">
        <v>0.01</v>
      </c>
      <c r="AW3346">
        <v>46</v>
      </c>
      <c r="AX3346">
        <v>1.0900000000000001</v>
      </c>
      <c r="AY3346">
        <v>49</v>
      </c>
      <c r="AZ3346">
        <v>6.53</v>
      </c>
      <c r="BA3346">
        <v>44</v>
      </c>
      <c r="BB3346">
        <v>5.67</v>
      </c>
      <c r="BC3346">
        <v>47</v>
      </c>
      <c r="BD3346">
        <v>0.02</v>
      </c>
      <c r="BE3346">
        <v>0.03</v>
      </c>
      <c r="BF3346">
        <v>-0.03</v>
      </c>
      <c r="BG3346">
        <v>91</v>
      </c>
      <c r="BH3346">
        <v>-0.04</v>
      </c>
      <c r="BI3346">
        <v>1.01</v>
      </c>
      <c r="BJ3346">
        <v>1</v>
      </c>
      <c r="BK3346">
        <v>1</v>
      </c>
      <c r="BL3346">
        <v>0.84</v>
      </c>
      <c r="BM3346">
        <v>0.3</v>
      </c>
      <c r="BN3346">
        <v>-0.21</v>
      </c>
      <c r="BO3346">
        <v>-0.51</v>
      </c>
      <c r="BP3346">
        <v>-0.16</v>
      </c>
      <c r="BQ3346">
        <v>-0.3</v>
      </c>
      <c r="BR3346">
        <v>-2.54</v>
      </c>
      <c r="BS3346">
        <v>2.33</v>
      </c>
      <c r="BT3346">
        <v>1.78</v>
      </c>
      <c r="BU3346">
        <v>1.22</v>
      </c>
      <c r="BV3346">
        <v>-0.03</v>
      </c>
      <c r="BW3346">
        <v>-7.0000000000000007E-2</v>
      </c>
      <c r="BX3346">
        <v>1.62</v>
      </c>
      <c r="BY3346">
        <v>-0.61</v>
      </c>
      <c r="BZ3346">
        <v>1.1499999999999999</v>
      </c>
      <c r="CA3346">
        <v>1.1100000000000001</v>
      </c>
      <c r="CB3346">
        <v>0.26</v>
      </c>
      <c r="CC3346">
        <v>2.0499999999999998</v>
      </c>
      <c r="CD3346">
        <v>0.8</v>
      </c>
      <c r="CE3346">
        <v>0.44</v>
      </c>
      <c r="CF3346">
        <v>-0.12</v>
      </c>
      <c r="CG3346">
        <v>0</v>
      </c>
      <c r="CH3346">
        <v>-0.28000000000000003</v>
      </c>
      <c r="CI3346">
        <v>0</v>
      </c>
      <c r="CJ3346">
        <v>3.3</v>
      </c>
      <c r="CK3346">
        <v>46</v>
      </c>
      <c r="CL3346">
        <v>-0.85</v>
      </c>
      <c r="CM3346">
        <v>46</v>
      </c>
      <c r="CN3346">
        <v>-0.14000000000000001</v>
      </c>
      <c r="CO3346">
        <v>45</v>
      </c>
      <c r="CP3346">
        <v>-3.9</v>
      </c>
      <c r="CQ3346">
        <v>48</v>
      </c>
      <c r="CR3346">
        <v>0</v>
      </c>
      <c r="CS3346">
        <v>0</v>
      </c>
      <c r="CT3346">
        <v>-1.1000000000000001</v>
      </c>
      <c r="CU3346">
        <v>47</v>
      </c>
      <c r="CV3346">
        <v>0.35</v>
      </c>
      <c r="CW3346">
        <v>35</v>
      </c>
      <c r="CX3346" t="s">
        <v>552</v>
      </c>
    </row>
    <row r="3347" spans="1:102" x14ac:dyDescent="0.3">
      <c r="A3347" t="str">
        <f>HYPERLINK("https://webapp.icbf.com/v2/app/bull-search/view/1196697126","FR2231")</f>
        <v>FR2231</v>
      </c>
      <c r="B3347" t="s">
        <v>13640</v>
      </c>
      <c r="C3347" t="s">
        <v>13641</v>
      </c>
      <c r="D3347" s="1">
        <v>41163</v>
      </c>
      <c r="E3347" t="s">
        <v>92</v>
      </c>
      <c r="F3347">
        <v>100</v>
      </c>
      <c r="G3347" t="s">
        <v>109</v>
      </c>
      <c r="H3347">
        <v>-29.82</v>
      </c>
      <c r="I3347">
        <v>73</v>
      </c>
      <c r="J3347">
        <v>66.319999999999993</v>
      </c>
      <c r="K3347">
        <v>88</v>
      </c>
      <c r="L3347">
        <v>-85.34</v>
      </c>
      <c r="M3347">
        <v>72</v>
      </c>
      <c r="N3347">
        <v>-7.31</v>
      </c>
      <c r="O3347">
        <v>76</v>
      </c>
      <c r="P3347">
        <v>-15.78</v>
      </c>
      <c r="Q3347">
        <v>77</v>
      </c>
      <c r="R3347">
        <v>8.92</v>
      </c>
      <c r="S3347">
        <v>62</v>
      </c>
      <c r="T3347">
        <v>-0.09</v>
      </c>
      <c r="U3347">
        <v>37</v>
      </c>
      <c r="V3347">
        <v>3.46</v>
      </c>
      <c r="W3347">
        <v>23</v>
      </c>
      <c r="X3347" t="s">
        <v>428</v>
      </c>
      <c r="Y3347" t="s">
        <v>405</v>
      </c>
      <c r="Z3347" t="s">
        <v>96</v>
      </c>
      <c r="AA3347" t="s">
        <v>412</v>
      </c>
      <c r="AB3347" t="s">
        <v>13299</v>
      </c>
      <c r="AC3347">
        <v>46</v>
      </c>
      <c r="AD3347">
        <v>19</v>
      </c>
      <c r="AE3347">
        <v>88</v>
      </c>
      <c r="AF3347">
        <v>537.77</v>
      </c>
      <c r="AG3347">
        <v>17.98</v>
      </c>
      <c r="AH3347">
        <v>13.15</v>
      </c>
      <c r="AI3347">
        <v>-0.05</v>
      </c>
      <c r="AJ3347">
        <v>-0.08</v>
      </c>
      <c r="AK3347">
        <v>72</v>
      </c>
      <c r="AL3347">
        <v>0</v>
      </c>
      <c r="AM3347">
        <v>0</v>
      </c>
      <c r="AN3347">
        <v>6.68</v>
      </c>
      <c r="AO3347">
        <v>-0.1</v>
      </c>
      <c r="AP3347">
        <v>207</v>
      </c>
      <c r="AQ3347">
        <v>0</v>
      </c>
      <c r="AR3347">
        <v>11.72</v>
      </c>
      <c r="AS3347">
        <v>65</v>
      </c>
      <c r="AT3347">
        <v>4.49</v>
      </c>
      <c r="AU3347">
        <v>90</v>
      </c>
      <c r="AV3347">
        <v>-1.95</v>
      </c>
      <c r="AW3347">
        <v>90</v>
      </c>
      <c r="AX3347">
        <v>-0.56000000000000005</v>
      </c>
      <c r="AY3347">
        <v>74</v>
      </c>
      <c r="AZ3347">
        <v>5.31</v>
      </c>
      <c r="BA3347">
        <v>46</v>
      </c>
      <c r="BB3347">
        <v>4.7300000000000004</v>
      </c>
      <c r="BC3347">
        <v>20</v>
      </c>
      <c r="BD3347">
        <v>-0.03</v>
      </c>
      <c r="BE3347">
        <v>-0.05</v>
      </c>
      <c r="BF3347">
        <v>-0.06</v>
      </c>
      <c r="BG3347">
        <v>86</v>
      </c>
      <c r="BH3347">
        <v>0</v>
      </c>
      <c r="BI3347">
        <v>-11.15</v>
      </c>
      <c r="BJ3347">
        <v>6</v>
      </c>
      <c r="BK3347">
        <v>3</v>
      </c>
      <c r="BL3347">
        <v>2.31</v>
      </c>
      <c r="BM3347">
        <v>-0.06</v>
      </c>
      <c r="BN3347">
        <v>0.46</v>
      </c>
      <c r="BO3347">
        <v>1.26</v>
      </c>
      <c r="BP3347">
        <v>-0.23</v>
      </c>
      <c r="BQ3347">
        <v>2.08</v>
      </c>
      <c r="BR3347">
        <v>-1.97</v>
      </c>
      <c r="BS3347">
        <v>2.92</v>
      </c>
      <c r="BT3347">
        <v>3.52</v>
      </c>
      <c r="BU3347">
        <v>3.04</v>
      </c>
      <c r="BV3347">
        <v>3.59</v>
      </c>
      <c r="BW3347">
        <v>3.05</v>
      </c>
      <c r="BX3347">
        <v>2.99</v>
      </c>
      <c r="BY3347">
        <v>2.69</v>
      </c>
      <c r="BZ3347">
        <v>-0.69</v>
      </c>
      <c r="CA3347">
        <v>3.04</v>
      </c>
      <c r="CB3347">
        <v>2.66</v>
      </c>
      <c r="CC3347">
        <v>2.3199999999999998</v>
      </c>
      <c r="CD3347">
        <v>-7.0000000000000007E-2</v>
      </c>
      <c r="CE3347">
        <v>1.37</v>
      </c>
      <c r="CF3347">
        <v>1.48</v>
      </c>
      <c r="CG3347">
        <v>0</v>
      </c>
      <c r="CH3347">
        <v>1.87</v>
      </c>
      <c r="CI3347">
        <v>0</v>
      </c>
      <c r="CJ3347">
        <v>-5</v>
      </c>
      <c r="CK3347">
        <v>81</v>
      </c>
      <c r="CL3347">
        <v>-1.51</v>
      </c>
      <c r="CM3347">
        <v>77</v>
      </c>
      <c r="CN3347">
        <v>-0.56999999999999995</v>
      </c>
      <c r="CO3347">
        <v>75</v>
      </c>
      <c r="CP3347">
        <v>0.2</v>
      </c>
      <c r="CQ3347">
        <v>46</v>
      </c>
      <c r="CR3347">
        <v>0</v>
      </c>
      <c r="CS3347">
        <v>0</v>
      </c>
      <c r="CT3347">
        <v>13.9</v>
      </c>
      <c r="CU3347">
        <v>37</v>
      </c>
      <c r="CV3347">
        <v>0.36</v>
      </c>
      <c r="CW3347">
        <v>22</v>
      </c>
      <c r="CX3347" t="s">
        <v>309</v>
      </c>
    </row>
    <row r="3348" spans="1:102" x14ac:dyDescent="0.3">
      <c r="A3348" t="str">
        <f>HYPERLINK("https://webapp.icbf.com/v2/app/bull-search/view/77855482","MAB")</f>
        <v>MAB</v>
      </c>
      <c r="B3348" t="s">
        <v>10351</v>
      </c>
      <c r="C3348" t="s">
        <v>10352</v>
      </c>
      <c r="D3348" s="1">
        <v>32193</v>
      </c>
      <c r="E3348" t="s">
        <v>92</v>
      </c>
      <c r="F3348">
        <v>50</v>
      </c>
      <c r="G3348" t="s">
        <v>116</v>
      </c>
      <c r="H3348">
        <v>-29.84</v>
      </c>
      <c r="I3348">
        <v>41</v>
      </c>
      <c r="J3348">
        <v>-58.19</v>
      </c>
      <c r="K3348">
        <v>41</v>
      </c>
      <c r="L3348">
        <v>24.87</v>
      </c>
      <c r="M3348">
        <v>39</v>
      </c>
      <c r="N3348">
        <v>-2.44</v>
      </c>
      <c r="O3348">
        <v>40</v>
      </c>
      <c r="P3348">
        <v>-10.52</v>
      </c>
      <c r="Q3348">
        <v>56</v>
      </c>
      <c r="R3348">
        <v>-10.61</v>
      </c>
      <c r="S3348">
        <v>40</v>
      </c>
      <c r="T3348">
        <v>24.63</v>
      </c>
      <c r="U3348">
        <v>50</v>
      </c>
      <c r="V3348">
        <v>2.42</v>
      </c>
      <c r="W3348">
        <v>20</v>
      </c>
      <c r="X3348" t="s">
        <v>276</v>
      </c>
      <c r="Y3348" t="s">
        <v>282</v>
      </c>
      <c r="Z3348" t="s">
        <v>96</v>
      </c>
      <c r="AA3348" t="s">
        <v>620</v>
      </c>
      <c r="AB3348" t="s">
        <v>7085</v>
      </c>
      <c r="AC3348">
        <v>4</v>
      </c>
      <c r="AD3348">
        <v>4</v>
      </c>
      <c r="AE3348">
        <v>41</v>
      </c>
      <c r="AF3348">
        <v>-242.87</v>
      </c>
      <c r="AG3348">
        <v>-6.74</v>
      </c>
      <c r="AH3348">
        <v>-11.23</v>
      </c>
      <c r="AI3348">
        <v>0.05</v>
      </c>
      <c r="AJ3348">
        <v>-0.05</v>
      </c>
      <c r="AK3348">
        <v>39</v>
      </c>
      <c r="AL3348">
        <v>12</v>
      </c>
      <c r="AM3348">
        <v>8</v>
      </c>
      <c r="AN3348">
        <v>-2.39</v>
      </c>
      <c r="AO3348">
        <v>-0.42</v>
      </c>
      <c r="AP3348">
        <v>7</v>
      </c>
      <c r="AQ3348">
        <v>18</v>
      </c>
      <c r="AR3348">
        <v>6.59</v>
      </c>
      <c r="AS3348">
        <v>26</v>
      </c>
      <c r="AT3348">
        <v>3.28</v>
      </c>
      <c r="AU3348">
        <v>33</v>
      </c>
      <c r="AV3348">
        <v>0.77</v>
      </c>
      <c r="AW3348">
        <v>50</v>
      </c>
      <c r="AX3348">
        <v>0.34</v>
      </c>
      <c r="AY3348">
        <v>54</v>
      </c>
      <c r="AZ3348">
        <v>5.34</v>
      </c>
      <c r="BA3348">
        <v>20</v>
      </c>
      <c r="BB3348">
        <v>4.6500000000000004</v>
      </c>
      <c r="BC3348">
        <v>28</v>
      </c>
      <c r="BD3348">
        <v>0.06</v>
      </c>
      <c r="BE3348">
        <v>0.06</v>
      </c>
      <c r="BF3348">
        <v>0.03</v>
      </c>
      <c r="BG3348">
        <v>53</v>
      </c>
      <c r="BH3348">
        <v>0.02</v>
      </c>
      <c r="BI3348">
        <v>-5.49</v>
      </c>
      <c r="BJ3348">
        <v>0</v>
      </c>
      <c r="BK3348">
        <v>0</v>
      </c>
      <c r="BL3348">
        <v>-1.28</v>
      </c>
      <c r="BM3348">
        <v>0.01</v>
      </c>
      <c r="BN3348">
        <v>-1.59</v>
      </c>
      <c r="BO3348">
        <v>-1.31</v>
      </c>
      <c r="BP3348">
        <v>-0.27</v>
      </c>
      <c r="BQ3348">
        <v>-0.6</v>
      </c>
      <c r="BR3348">
        <v>0.1</v>
      </c>
      <c r="BS3348">
        <v>-0.93</v>
      </c>
      <c r="BT3348">
        <v>-0.05</v>
      </c>
      <c r="BU3348">
        <v>-0.35</v>
      </c>
      <c r="BV3348">
        <v>-0.75</v>
      </c>
      <c r="BW3348">
        <v>-0.55000000000000004</v>
      </c>
      <c r="BX3348">
        <v>0.47</v>
      </c>
      <c r="BY3348">
        <v>1.26</v>
      </c>
      <c r="BZ3348">
        <v>-1.37</v>
      </c>
      <c r="CA3348">
        <v>-0.96</v>
      </c>
      <c r="CB3348">
        <v>-0.64</v>
      </c>
      <c r="CC3348">
        <v>-1.36</v>
      </c>
      <c r="CD3348">
        <v>0.97</v>
      </c>
      <c r="CE3348">
        <v>-1.34</v>
      </c>
      <c r="CF3348">
        <v>-1.73</v>
      </c>
      <c r="CG3348">
        <v>0</v>
      </c>
      <c r="CH3348">
        <v>-0.23</v>
      </c>
      <c r="CI3348">
        <v>0</v>
      </c>
      <c r="CJ3348">
        <v>-3.2</v>
      </c>
      <c r="CK3348">
        <v>58</v>
      </c>
      <c r="CL3348">
        <v>-0.35</v>
      </c>
      <c r="CM3348">
        <v>54</v>
      </c>
      <c r="CN3348">
        <v>0.04</v>
      </c>
      <c r="CO3348">
        <v>51</v>
      </c>
      <c r="CP3348">
        <v>-13.5</v>
      </c>
      <c r="CQ3348">
        <v>52</v>
      </c>
      <c r="CR3348">
        <v>0</v>
      </c>
      <c r="CS3348">
        <v>0</v>
      </c>
      <c r="CT3348">
        <v>-19.5</v>
      </c>
      <c r="CU3348">
        <v>50</v>
      </c>
      <c r="CV3348">
        <v>0.09</v>
      </c>
      <c r="CW3348">
        <v>15</v>
      </c>
      <c r="CX3348" t="s">
        <v>609</v>
      </c>
    </row>
    <row r="3349" spans="1:102" x14ac:dyDescent="0.3">
      <c r="A3349" t="str">
        <f>HYPERLINK("https://webapp.icbf.com/v2/app/bull-search/view/77853214","TSX")</f>
        <v>TSX</v>
      </c>
      <c r="B3349" t="s">
        <v>10847</v>
      </c>
      <c r="C3349" t="s">
        <v>10848</v>
      </c>
      <c r="D3349" s="1">
        <v>31805</v>
      </c>
      <c r="E3349" t="s">
        <v>92</v>
      </c>
      <c r="F3349">
        <v>100</v>
      </c>
      <c r="G3349" t="s">
        <v>93</v>
      </c>
      <c r="H3349">
        <v>-30.05</v>
      </c>
      <c r="I3349">
        <v>90</v>
      </c>
      <c r="J3349">
        <v>-6.85</v>
      </c>
      <c r="K3349">
        <v>98</v>
      </c>
      <c r="L3349">
        <v>-4.26</v>
      </c>
      <c r="M3349">
        <v>91</v>
      </c>
      <c r="N3349">
        <v>-16.260000000000002</v>
      </c>
      <c r="O3349">
        <v>82</v>
      </c>
      <c r="P3349">
        <v>-5.26</v>
      </c>
      <c r="Q3349">
        <v>89</v>
      </c>
      <c r="R3349">
        <v>-7.0000000000000007E-2</v>
      </c>
      <c r="S3349">
        <v>82</v>
      </c>
      <c r="T3349">
        <v>7.09</v>
      </c>
      <c r="U3349">
        <v>83</v>
      </c>
      <c r="V3349">
        <v>-4.4400000000000004</v>
      </c>
      <c r="W3349">
        <v>67</v>
      </c>
      <c r="X3349" t="s">
        <v>110</v>
      </c>
      <c r="Y3349" t="s">
        <v>95</v>
      </c>
      <c r="Z3349" t="s">
        <v>96</v>
      </c>
      <c r="AA3349" t="s">
        <v>113</v>
      </c>
      <c r="AB3349" t="s">
        <v>10849</v>
      </c>
      <c r="AC3349">
        <v>227</v>
      </c>
      <c r="AD3349">
        <v>125</v>
      </c>
      <c r="AE3349">
        <v>98</v>
      </c>
      <c r="AF3349">
        <v>33.380000000000003</v>
      </c>
      <c r="AG3349">
        <v>-3.01</v>
      </c>
      <c r="AH3349">
        <v>0.41</v>
      </c>
      <c r="AI3349">
        <v>-0.08</v>
      </c>
      <c r="AJ3349">
        <v>-0.01</v>
      </c>
      <c r="AK3349">
        <v>91</v>
      </c>
      <c r="AL3349">
        <v>332</v>
      </c>
      <c r="AM3349">
        <v>157</v>
      </c>
      <c r="AN3349">
        <v>0.22</v>
      </c>
      <c r="AO3349">
        <v>-0.12</v>
      </c>
      <c r="AP3349">
        <v>8</v>
      </c>
      <c r="AQ3349">
        <v>0</v>
      </c>
      <c r="AR3349">
        <v>8.6999999999999993</v>
      </c>
      <c r="AS3349">
        <v>65</v>
      </c>
      <c r="AT3349">
        <v>3.34</v>
      </c>
      <c r="AU3349">
        <v>86</v>
      </c>
      <c r="AV3349">
        <v>-0.11</v>
      </c>
      <c r="AW3349">
        <v>84</v>
      </c>
      <c r="AX3349">
        <v>0.01</v>
      </c>
      <c r="AY3349">
        <v>89</v>
      </c>
      <c r="AZ3349">
        <v>8.3800000000000008</v>
      </c>
      <c r="BA3349">
        <v>60</v>
      </c>
      <c r="BB3349">
        <v>6.59</v>
      </c>
      <c r="BC3349">
        <v>75</v>
      </c>
      <c r="BD3349">
        <v>0.01</v>
      </c>
      <c r="BE3349">
        <v>0.05</v>
      </c>
      <c r="BF3349">
        <v>-0.11</v>
      </c>
      <c r="BG3349">
        <v>96</v>
      </c>
      <c r="BH3349">
        <v>0.04</v>
      </c>
      <c r="BI3349">
        <v>18.96</v>
      </c>
      <c r="BJ3349">
        <v>46</v>
      </c>
      <c r="BK3349">
        <v>29</v>
      </c>
      <c r="BL3349">
        <v>1.19</v>
      </c>
      <c r="BM3349">
        <v>0.27</v>
      </c>
      <c r="BN3349">
        <v>1.61</v>
      </c>
      <c r="BO3349">
        <v>0.66</v>
      </c>
      <c r="BP3349">
        <v>0.93</v>
      </c>
      <c r="BQ3349">
        <v>1.77</v>
      </c>
      <c r="BR3349">
        <v>-0.02</v>
      </c>
      <c r="BS3349">
        <v>0.17</v>
      </c>
      <c r="BT3349">
        <v>0.94</v>
      </c>
      <c r="BU3349">
        <v>-1.1200000000000001</v>
      </c>
      <c r="BV3349">
        <v>0.22</v>
      </c>
      <c r="BW3349">
        <v>-0.45</v>
      </c>
      <c r="BX3349">
        <v>-0.72</v>
      </c>
      <c r="BY3349">
        <v>-2.2000000000000002</v>
      </c>
      <c r="BZ3349">
        <v>1.29</v>
      </c>
      <c r="CA3349">
        <v>-0.06</v>
      </c>
      <c r="CB3349">
        <v>-0.76</v>
      </c>
      <c r="CC3349">
        <v>1.31</v>
      </c>
      <c r="CD3349">
        <v>-1.01</v>
      </c>
      <c r="CE3349">
        <v>0.79</v>
      </c>
      <c r="CF3349">
        <v>1.1299999999999999</v>
      </c>
      <c r="CG3349">
        <v>0</v>
      </c>
      <c r="CH3349">
        <v>-2.44</v>
      </c>
      <c r="CI3349">
        <v>0</v>
      </c>
      <c r="CJ3349">
        <v>-1.8</v>
      </c>
      <c r="CK3349">
        <v>90</v>
      </c>
      <c r="CL3349">
        <v>-0.56000000000000005</v>
      </c>
      <c r="CM3349">
        <v>88</v>
      </c>
      <c r="CN3349">
        <v>-0.26</v>
      </c>
      <c r="CO3349">
        <v>86</v>
      </c>
      <c r="CP3349">
        <v>-0.3</v>
      </c>
      <c r="CQ3349">
        <v>93</v>
      </c>
      <c r="CR3349">
        <v>0</v>
      </c>
      <c r="CS3349">
        <v>0</v>
      </c>
      <c r="CT3349">
        <v>4.2</v>
      </c>
      <c r="CU3349">
        <v>83</v>
      </c>
      <c r="CV3349">
        <v>0.05</v>
      </c>
      <c r="CW3349">
        <v>43</v>
      </c>
      <c r="CX3349" t="s">
        <v>617</v>
      </c>
    </row>
    <row r="3350" spans="1:102" x14ac:dyDescent="0.3">
      <c r="A3350" t="str">
        <f>HYPERLINK("https://webapp.icbf.com/v2/app/bull-search/view/586064994","S933")</f>
        <v>S933</v>
      </c>
      <c r="B3350" t="s">
        <v>7529</v>
      </c>
      <c r="C3350" t="s">
        <v>7530</v>
      </c>
      <c r="D3350" s="1">
        <v>38644</v>
      </c>
      <c r="E3350" t="s">
        <v>92</v>
      </c>
      <c r="F3350">
        <v>100</v>
      </c>
      <c r="G3350" t="s">
        <v>93</v>
      </c>
      <c r="H3350">
        <v>-30.12</v>
      </c>
      <c r="I3350">
        <v>94</v>
      </c>
      <c r="J3350">
        <v>29.51</v>
      </c>
      <c r="K3350">
        <v>99</v>
      </c>
      <c r="L3350">
        <v>-66.959999999999994</v>
      </c>
      <c r="M3350">
        <v>93</v>
      </c>
      <c r="N3350">
        <v>10.039999999999999</v>
      </c>
      <c r="O3350">
        <v>92</v>
      </c>
      <c r="P3350">
        <v>-4.63</v>
      </c>
      <c r="Q3350">
        <v>97</v>
      </c>
      <c r="R3350">
        <v>2.71</v>
      </c>
      <c r="S3350">
        <v>84</v>
      </c>
      <c r="T3350">
        <v>2.5</v>
      </c>
      <c r="U3350">
        <v>93</v>
      </c>
      <c r="V3350">
        <v>-3.29</v>
      </c>
      <c r="W3350">
        <v>74</v>
      </c>
      <c r="X3350" t="s">
        <v>251</v>
      </c>
      <c r="Y3350" t="s">
        <v>303</v>
      </c>
      <c r="Z3350" t="s">
        <v>96</v>
      </c>
      <c r="AA3350" t="s">
        <v>350</v>
      </c>
      <c r="AB3350" t="s">
        <v>1655</v>
      </c>
      <c r="AC3350">
        <v>346</v>
      </c>
      <c r="AD3350">
        <v>89</v>
      </c>
      <c r="AE3350">
        <v>99</v>
      </c>
      <c r="AF3350">
        <v>332.73</v>
      </c>
      <c r="AG3350">
        <v>5.15</v>
      </c>
      <c r="AH3350">
        <v>8.2899999999999991</v>
      </c>
      <c r="AI3350">
        <v>-0.13</v>
      </c>
      <c r="AJ3350">
        <v>-0.05</v>
      </c>
      <c r="AK3350">
        <v>93</v>
      </c>
      <c r="AL3350">
        <v>312</v>
      </c>
      <c r="AM3350">
        <v>92</v>
      </c>
      <c r="AN3350">
        <v>5.2</v>
      </c>
      <c r="AO3350">
        <v>-0.12</v>
      </c>
      <c r="AP3350">
        <v>496</v>
      </c>
      <c r="AQ3350">
        <v>0</v>
      </c>
      <c r="AR3350">
        <v>8.8800000000000008</v>
      </c>
      <c r="AS3350">
        <v>92</v>
      </c>
      <c r="AT3350">
        <v>3.46</v>
      </c>
      <c r="AU3350">
        <v>94</v>
      </c>
      <c r="AV3350">
        <v>-1.72</v>
      </c>
      <c r="AW3350">
        <v>97</v>
      </c>
      <c r="AX3350">
        <v>0.02</v>
      </c>
      <c r="AY3350">
        <v>93</v>
      </c>
      <c r="AZ3350">
        <v>5.4</v>
      </c>
      <c r="BA3350">
        <v>81</v>
      </c>
      <c r="BB3350">
        <v>4.66</v>
      </c>
      <c r="BC3350">
        <v>77</v>
      </c>
      <c r="BD3350">
        <v>-0.02</v>
      </c>
      <c r="BE3350">
        <v>-0.01</v>
      </c>
      <c r="BF3350">
        <v>-0.01</v>
      </c>
      <c r="BG3350">
        <v>95</v>
      </c>
      <c r="BH3350">
        <v>-0.04</v>
      </c>
      <c r="BI3350">
        <v>5.97</v>
      </c>
      <c r="BJ3350">
        <v>146</v>
      </c>
      <c r="BK3350">
        <v>47</v>
      </c>
      <c r="BL3350">
        <v>1.6</v>
      </c>
      <c r="BM3350">
        <v>-0.23</v>
      </c>
      <c r="BN3350">
        <v>1.65</v>
      </c>
      <c r="BO3350">
        <v>1.7</v>
      </c>
      <c r="BP3350">
        <v>1.18</v>
      </c>
      <c r="BQ3350">
        <v>2.77</v>
      </c>
      <c r="BR3350">
        <v>-0.12</v>
      </c>
      <c r="BS3350">
        <v>-0.53</v>
      </c>
      <c r="BT3350">
        <v>0.83</v>
      </c>
      <c r="BU3350">
        <v>2.2799999999999998</v>
      </c>
      <c r="BV3350">
        <v>1.1599999999999999</v>
      </c>
      <c r="BW3350">
        <v>1.0900000000000001</v>
      </c>
      <c r="BX3350">
        <v>1.64</v>
      </c>
      <c r="BY3350">
        <v>1.71</v>
      </c>
      <c r="BZ3350">
        <v>1.08</v>
      </c>
      <c r="CA3350">
        <v>1.37</v>
      </c>
      <c r="CB3350">
        <v>1.65</v>
      </c>
      <c r="CC3350">
        <v>0.57999999999999996</v>
      </c>
      <c r="CD3350">
        <v>-0.97</v>
      </c>
      <c r="CE3350">
        <v>1.19</v>
      </c>
      <c r="CF3350">
        <v>2</v>
      </c>
      <c r="CG3350">
        <v>0</v>
      </c>
      <c r="CH3350">
        <v>1.68</v>
      </c>
      <c r="CI3350">
        <v>0</v>
      </c>
      <c r="CJ3350">
        <v>-1</v>
      </c>
      <c r="CK3350">
        <v>98</v>
      </c>
      <c r="CL3350">
        <v>-1.1299999999999999</v>
      </c>
      <c r="CM3350">
        <v>97</v>
      </c>
      <c r="CN3350">
        <v>-0.63</v>
      </c>
      <c r="CO3350">
        <v>97</v>
      </c>
      <c r="CP3350">
        <v>6.9</v>
      </c>
      <c r="CQ3350">
        <v>95</v>
      </c>
      <c r="CR3350">
        <v>0</v>
      </c>
      <c r="CS3350">
        <v>0</v>
      </c>
      <c r="CT3350">
        <v>10.4</v>
      </c>
      <c r="CU3350">
        <v>93</v>
      </c>
      <c r="CV3350">
        <v>0.19</v>
      </c>
      <c r="CW3350">
        <v>45</v>
      </c>
      <c r="CX3350" t="s">
        <v>1656</v>
      </c>
    </row>
    <row r="3351" spans="1:102" x14ac:dyDescent="0.3">
      <c r="A3351" t="str">
        <f>HYPERLINK("https://webapp.icbf.com/v2/app/bull-search/view/469256051","SZK")</f>
        <v>SZK</v>
      </c>
      <c r="B3351" t="s">
        <v>8889</v>
      </c>
      <c r="C3351" t="s">
        <v>8890</v>
      </c>
      <c r="D3351" s="1">
        <v>38331</v>
      </c>
      <c r="E3351" t="s">
        <v>92</v>
      </c>
      <c r="F3351">
        <v>100</v>
      </c>
      <c r="G3351" t="s">
        <v>116</v>
      </c>
      <c r="H3351">
        <v>-30.13</v>
      </c>
      <c r="I3351">
        <v>32</v>
      </c>
      <c r="J3351">
        <v>43.22</v>
      </c>
      <c r="K3351">
        <v>31</v>
      </c>
      <c r="L3351">
        <v>-72.97</v>
      </c>
      <c r="M3351">
        <v>28</v>
      </c>
      <c r="N3351">
        <v>5.89</v>
      </c>
      <c r="O3351">
        <v>39</v>
      </c>
      <c r="P3351">
        <v>-14.37</v>
      </c>
      <c r="Q3351">
        <v>42</v>
      </c>
      <c r="R3351">
        <v>-7.9</v>
      </c>
      <c r="S3351">
        <v>31</v>
      </c>
      <c r="T3351">
        <v>20.49</v>
      </c>
      <c r="U3351">
        <v>34</v>
      </c>
      <c r="V3351">
        <v>-4.49</v>
      </c>
      <c r="W3351">
        <v>30</v>
      </c>
      <c r="X3351" t="s">
        <v>94</v>
      </c>
      <c r="Y3351" t="s">
        <v>1164</v>
      </c>
      <c r="Z3351" t="s">
        <v>96</v>
      </c>
      <c r="AA3351" t="s">
        <v>283</v>
      </c>
      <c r="AB3351" t="s">
        <v>8891</v>
      </c>
      <c r="AC3351">
        <v>0</v>
      </c>
      <c r="AD3351">
        <v>0</v>
      </c>
      <c r="AE3351">
        <v>31</v>
      </c>
      <c r="AF3351">
        <v>232.42</v>
      </c>
      <c r="AG3351">
        <v>7.57</v>
      </c>
      <c r="AH3351">
        <v>8.23</v>
      </c>
      <c r="AI3351">
        <v>-0.02</v>
      </c>
      <c r="AJ3351">
        <v>0</v>
      </c>
      <c r="AK3351">
        <v>28</v>
      </c>
      <c r="AL3351">
        <v>1</v>
      </c>
      <c r="AM3351">
        <v>1</v>
      </c>
      <c r="AN3351">
        <v>3.89</v>
      </c>
      <c r="AO3351">
        <v>-1.93</v>
      </c>
      <c r="AP3351">
        <v>3</v>
      </c>
      <c r="AQ3351">
        <v>0</v>
      </c>
      <c r="AR3351">
        <v>7.35</v>
      </c>
      <c r="AS3351">
        <v>28</v>
      </c>
      <c r="AT3351">
        <v>3.23</v>
      </c>
      <c r="AU3351">
        <v>36</v>
      </c>
      <c r="AV3351">
        <v>-0.43</v>
      </c>
      <c r="AW3351">
        <v>48</v>
      </c>
      <c r="AX3351">
        <v>-0.4</v>
      </c>
      <c r="AY3351">
        <v>34</v>
      </c>
      <c r="AZ3351">
        <v>5.76</v>
      </c>
      <c r="BA3351">
        <v>27</v>
      </c>
      <c r="BB3351">
        <v>4.8499999999999996</v>
      </c>
      <c r="BC3351">
        <v>27</v>
      </c>
      <c r="BD3351">
        <v>0.01</v>
      </c>
      <c r="BE3351">
        <v>0.05</v>
      </c>
      <c r="BF3351">
        <v>7.0000000000000007E-2</v>
      </c>
      <c r="BG3351">
        <v>33</v>
      </c>
      <c r="BH3351">
        <v>-0.03</v>
      </c>
      <c r="BI3351">
        <v>11.02</v>
      </c>
      <c r="BJ3351">
        <v>0</v>
      </c>
      <c r="BK3351">
        <v>0</v>
      </c>
      <c r="BL3351">
        <v>0.37</v>
      </c>
      <c r="BM3351">
        <v>-0.9</v>
      </c>
      <c r="BN3351">
        <v>-0.43</v>
      </c>
      <c r="BO3351">
        <v>0.55000000000000004</v>
      </c>
      <c r="BP3351">
        <v>1.07</v>
      </c>
      <c r="BQ3351">
        <v>-0.42</v>
      </c>
      <c r="BR3351">
        <v>0.39</v>
      </c>
      <c r="BS3351">
        <v>0.12</v>
      </c>
      <c r="BT3351">
        <v>-0.31</v>
      </c>
      <c r="BU3351">
        <v>-0.12</v>
      </c>
      <c r="BV3351">
        <v>0.98</v>
      </c>
      <c r="BW3351">
        <v>0.49</v>
      </c>
      <c r="BX3351">
        <v>-0.46</v>
      </c>
      <c r="BY3351">
        <v>-0.14000000000000001</v>
      </c>
      <c r="BZ3351">
        <v>1.27</v>
      </c>
      <c r="CA3351">
        <v>0.22</v>
      </c>
      <c r="CB3351">
        <v>0.31</v>
      </c>
      <c r="CC3351">
        <v>-0.13</v>
      </c>
      <c r="CD3351">
        <v>-0.63</v>
      </c>
      <c r="CE3351">
        <v>0.62</v>
      </c>
      <c r="CF3351">
        <v>0.06</v>
      </c>
      <c r="CG3351">
        <v>0</v>
      </c>
      <c r="CH3351">
        <v>0.57999999999999996</v>
      </c>
      <c r="CI3351">
        <v>0</v>
      </c>
      <c r="CJ3351">
        <v>-5.3</v>
      </c>
      <c r="CK3351">
        <v>44</v>
      </c>
      <c r="CL3351">
        <v>-0.88</v>
      </c>
      <c r="CM3351">
        <v>42</v>
      </c>
      <c r="CN3351">
        <v>-0.32</v>
      </c>
      <c r="CO3351">
        <v>40</v>
      </c>
      <c r="CP3351">
        <v>-11.5</v>
      </c>
      <c r="CQ3351">
        <v>37</v>
      </c>
      <c r="CR3351">
        <v>0</v>
      </c>
      <c r="CS3351">
        <v>0</v>
      </c>
      <c r="CT3351">
        <v>-13.9</v>
      </c>
      <c r="CU3351">
        <v>34</v>
      </c>
      <c r="CV3351">
        <v>0.2</v>
      </c>
      <c r="CW3351">
        <v>12</v>
      </c>
      <c r="CX3351" t="s">
        <v>1184</v>
      </c>
    </row>
    <row r="3352" spans="1:102" x14ac:dyDescent="0.3">
      <c r="A3352" t="str">
        <f>HYPERLINK("https://webapp.icbf.com/v2/app/bull-search/view/77858611","CSZ")</f>
        <v>CSZ</v>
      </c>
      <c r="B3352" t="s">
        <v>12156</v>
      </c>
      <c r="C3352" t="s">
        <v>3310</v>
      </c>
      <c r="D3352" s="1">
        <v>33213</v>
      </c>
      <c r="E3352" t="s">
        <v>92</v>
      </c>
      <c r="F3352">
        <v>100</v>
      </c>
      <c r="G3352" t="s">
        <v>93</v>
      </c>
      <c r="H3352">
        <v>-30.2</v>
      </c>
      <c r="I3352">
        <v>93</v>
      </c>
      <c r="J3352">
        <v>22.25</v>
      </c>
      <c r="K3352">
        <v>98</v>
      </c>
      <c r="L3352">
        <v>-55.83</v>
      </c>
      <c r="M3352">
        <v>93</v>
      </c>
      <c r="N3352">
        <v>-2.66</v>
      </c>
      <c r="O3352">
        <v>88</v>
      </c>
      <c r="P3352">
        <v>4.4400000000000004</v>
      </c>
      <c r="Q3352">
        <v>92</v>
      </c>
      <c r="R3352">
        <v>7.87</v>
      </c>
      <c r="S3352">
        <v>87</v>
      </c>
      <c r="T3352">
        <v>-4.08</v>
      </c>
      <c r="U3352">
        <v>88</v>
      </c>
      <c r="V3352">
        <v>-2.19</v>
      </c>
      <c r="W3352">
        <v>80</v>
      </c>
      <c r="X3352" t="s">
        <v>110</v>
      </c>
      <c r="Y3352" t="s">
        <v>95</v>
      </c>
      <c r="Z3352" t="s">
        <v>96</v>
      </c>
      <c r="AA3352" t="s">
        <v>118</v>
      </c>
      <c r="AB3352" t="s">
        <v>12157</v>
      </c>
      <c r="AC3352">
        <v>212</v>
      </c>
      <c r="AD3352">
        <v>137</v>
      </c>
      <c r="AE3352">
        <v>98</v>
      </c>
      <c r="AF3352">
        <v>182.74</v>
      </c>
      <c r="AG3352">
        <v>7.38</v>
      </c>
      <c r="AH3352">
        <v>3.97</v>
      </c>
      <c r="AI3352">
        <v>0</v>
      </c>
      <c r="AJ3352">
        <v>-0.04</v>
      </c>
      <c r="AK3352">
        <v>93</v>
      </c>
      <c r="AL3352">
        <v>230</v>
      </c>
      <c r="AM3352">
        <v>135</v>
      </c>
      <c r="AN3352">
        <v>4</v>
      </c>
      <c r="AO3352">
        <v>-0.44</v>
      </c>
      <c r="AP3352">
        <v>16</v>
      </c>
      <c r="AQ3352">
        <v>2</v>
      </c>
      <c r="AR3352">
        <v>10.34</v>
      </c>
      <c r="AS3352">
        <v>79</v>
      </c>
      <c r="AT3352">
        <v>3.94</v>
      </c>
      <c r="AU3352">
        <v>95</v>
      </c>
      <c r="AV3352">
        <v>-1.6</v>
      </c>
      <c r="AW3352">
        <v>88</v>
      </c>
      <c r="AX3352">
        <v>-0.47</v>
      </c>
      <c r="AY3352">
        <v>89</v>
      </c>
      <c r="AZ3352">
        <v>6.44</v>
      </c>
      <c r="BA3352">
        <v>74</v>
      </c>
      <c r="BB3352">
        <v>5.0999999999999996</v>
      </c>
      <c r="BC3352">
        <v>82</v>
      </c>
      <c r="BD3352">
        <v>0</v>
      </c>
      <c r="BE3352">
        <v>0.01</v>
      </c>
      <c r="BF3352">
        <v>-0.2</v>
      </c>
      <c r="BG3352">
        <v>96</v>
      </c>
      <c r="BH3352">
        <v>-0.15</v>
      </c>
      <c r="BI3352">
        <v>-10.29</v>
      </c>
      <c r="BJ3352">
        <v>35</v>
      </c>
      <c r="BK3352">
        <v>26</v>
      </c>
      <c r="BL3352">
        <v>0.42</v>
      </c>
      <c r="BM3352">
        <v>2.16</v>
      </c>
      <c r="BN3352">
        <v>1.45</v>
      </c>
      <c r="BO3352">
        <v>-0.45</v>
      </c>
      <c r="BP3352">
        <v>-1.18</v>
      </c>
      <c r="BQ3352">
        <v>0.19</v>
      </c>
      <c r="BR3352">
        <v>-0.49</v>
      </c>
      <c r="BS3352">
        <v>-0.47</v>
      </c>
      <c r="BT3352">
        <v>-0.02</v>
      </c>
      <c r="BU3352">
        <v>0.4</v>
      </c>
      <c r="BV3352">
        <v>-0.47</v>
      </c>
      <c r="BW3352">
        <v>0.3</v>
      </c>
      <c r="BX3352">
        <v>-0.42</v>
      </c>
      <c r="BY3352">
        <v>0.87</v>
      </c>
      <c r="BZ3352">
        <v>-2.2799999999999998</v>
      </c>
      <c r="CA3352">
        <v>0.34</v>
      </c>
      <c r="CB3352">
        <v>0.3</v>
      </c>
      <c r="CC3352">
        <v>0.13</v>
      </c>
      <c r="CD3352">
        <v>1.18</v>
      </c>
      <c r="CE3352">
        <v>0.17</v>
      </c>
      <c r="CF3352">
        <v>1.4</v>
      </c>
      <c r="CG3352">
        <v>0</v>
      </c>
      <c r="CH3352">
        <v>1.1200000000000001</v>
      </c>
      <c r="CI3352">
        <v>0</v>
      </c>
      <c r="CJ3352">
        <v>4</v>
      </c>
      <c r="CK3352">
        <v>92</v>
      </c>
      <c r="CL3352">
        <v>-0.71</v>
      </c>
      <c r="CM3352">
        <v>91</v>
      </c>
      <c r="CN3352">
        <v>-0.4</v>
      </c>
      <c r="CO3352">
        <v>90</v>
      </c>
      <c r="CP3352">
        <v>10.4</v>
      </c>
      <c r="CQ3352">
        <v>94</v>
      </c>
      <c r="CR3352">
        <v>0</v>
      </c>
      <c r="CS3352">
        <v>0</v>
      </c>
      <c r="CT3352">
        <v>19.3</v>
      </c>
      <c r="CU3352">
        <v>88</v>
      </c>
      <c r="CV3352">
        <v>0.27</v>
      </c>
      <c r="CW3352">
        <v>45</v>
      </c>
      <c r="CX3352" t="s">
        <v>543</v>
      </c>
    </row>
    <row r="3353" spans="1:102" x14ac:dyDescent="0.3">
      <c r="A3353" t="str">
        <f>HYPERLINK("https://webapp.icbf.com/v2/app/bull-search/view/77856535","HPZ")</f>
        <v>HPZ</v>
      </c>
      <c r="B3353" t="s">
        <v>3939</v>
      </c>
      <c r="C3353" t="s">
        <v>3940</v>
      </c>
      <c r="D3353" s="1">
        <v>32440</v>
      </c>
      <c r="E3353" t="s">
        <v>92</v>
      </c>
      <c r="F3353">
        <v>78</v>
      </c>
      <c r="G3353" t="s">
        <v>93</v>
      </c>
      <c r="H3353">
        <v>-30.24</v>
      </c>
      <c r="I3353">
        <v>53</v>
      </c>
      <c r="J3353">
        <v>-37.07</v>
      </c>
      <c r="K3353">
        <v>64</v>
      </c>
      <c r="L3353">
        <v>-9.49</v>
      </c>
      <c r="M3353">
        <v>49</v>
      </c>
      <c r="N3353">
        <v>10.87</v>
      </c>
      <c r="O3353">
        <v>43</v>
      </c>
      <c r="P3353">
        <v>-21.18</v>
      </c>
      <c r="Q3353">
        <v>54</v>
      </c>
      <c r="R3353">
        <v>-4.96</v>
      </c>
      <c r="S3353">
        <v>54</v>
      </c>
      <c r="T3353">
        <v>32.99</v>
      </c>
      <c r="U3353">
        <v>48</v>
      </c>
      <c r="V3353">
        <v>-1.4</v>
      </c>
      <c r="W3353">
        <v>23</v>
      </c>
      <c r="X3353" t="s">
        <v>94</v>
      </c>
      <c r="Y3353" t="s">
        <v>95</v>
      </c>
      <c r="Z3353" t="s">
        <v>96</v>
      </c>
      <c r="AA3353" t="s">
        <v>3941</v>
      </c>
      <c r="AB3353" t="s">
        <v>3942</v>
      </c>
      <c r="AC3353">
        <v>11</v>
      </c>
      <c r="AD3353">
        <v>12</v>
      </c>
      <c r="AE3353">
        <v>64</v>
      </c>
      <c r="AF3353">
        <v>-146.29</v>
      </c>
      <c r="AG3353">
        <v>-6.57</v>
      </c>
      <c r="AH3353">
        <v>-6.22</v>
      </c>
      <c r="AI3353">
        <v>-0.01</v>
      </c>
      <c r="AJ3353">
        <v>-0.02</v>
      </c>
      <c r="AK3353">
        <v>49</v>
      </c>
      <c r="AL3353">
        <v>33</v>
      </c>
      <c r="AM3353">
        <v>24</v>
      </c>
      <c r="AN3353">
        <v>1.07</v>
      </c>
      <c r="AO3353">
        <v>0.32</v>
      </c>
      <c r="AP3353">
        <v>2</v>
      </c>
      <c r="AQ3353">
        <v>0</v>
      </c>
      <c r="AR3353">
        <v>7.66</v>
      </c>
      <c r="AS3353">
        <v>22</v>
      </c>
      <c r="AT3353">
        <v>3.48</v>
      </c>
      <c r="AU3353">
        <v>37</v>
      </c>
      <c r="AV3353">
        <v>-2.2400000000000002</v>
      </c>
      <c r="AW3353">
        <v>56</v>
      </c>
      <c r="AX3353">
        <v>-0.08</v>
      </c>
      <c r="AY3353">
        <v>46</v>
      </c>
      <c r="AZ3353">
        <v>6.77</v>
      </c>
      <c r="BA3353">
        <v>21</v>
      </c>
      <c r="BB3353">
        <v>5.63</v>
      </c>
      <c r="BC3353">
        <v>30</v>
      </c>
      <c r="BD3353">
        <v>0</v>
      </c>
      <c r="BE3353">
        <v>0.06</v>
      </c>
      <c r="BF3353">
        <v>0</v>
      </c>
      <c r="BG3353">
        <v>73</v>
      </c>
      <c r="BH3353">
        <v>0.02</v>
      </c>
      <c r="BI3353">
        <v>6.83</v>
      </c>
      <c r="BJ3353">
        <v>4</v>
      </c>
      <c r="BK3353">
        <v>4</v>
      </c>
      <c r="BL3353">
        <v>-0.56000000000000005</v>
      </c>
      <c r="BM3353">
        <v>0.46</v>
      </c>
      <c r="BN3353">
        <v>-0.22</v>
      </c>
      <c r="BO3353">
        <v>-0.42</v>
      </c>
      <c r="BP3353">
        <v>-0.53</v>
      </c>
      <c r="BQ3353">
        <v>0.3</v>
      </c>
      <c r="BR3353">
        <v>-0.51</v>
      </c>
      <c r="BS3353">
        <v>0.43</v>
      </c>
      <c r="BT3353">
        <v>1.39</v>
      </c>
      <c r="BU3353">
        <v>-0.69</v>
      </c>
      <c r="BV3353">
        <v>-0.38</v>
      </c>
      <c r="BW3353">
        <v>-0.46</v>
      </c>
      <c r="BX3353">
        <v>-0.96</v>
      </c>
      <c r="BY3353">
        <v>-0.12</v>
      </c>
      <c r="BZ3353">
        <v>-0.28000000000000003</v>
      </c>
      <c r="CA3353">
        <v>-0.28000000000000003</v>
      </c>
      <c r="CB3353">
        <v>-0.35</v>
      </c>
      <c r="CC3353">
        <v>-0.01</v>
      </c>
      <c r="CD3353">
        <v>0.51</v>
      </c>
      <c r="CE3353">
        <v>-0.28999999999999998</v>
      </c>
      <c r="CF3353">
        <v>-0.28999999999999998</v>
      </c>
      <c r="CG3353">
        <v>0</v>
      </c>
      <c r="CH3353">
        <v>-0.51</v>
      </c>
      <c r="CI3353">
        <v>0</v>
      </c>
      <c r="CJ3353">
        <v>-11</v>
      </c>
      <c r="CK3353">
        <v>57</v>
      </c>
      <c r="CL3353">
        <v>-0.51</v>
      </c>
      <c r="CM3353">
        <v>52</v>
      </c>
      <c r="CN3353">
        <v>-0.17</v>
      </c>
      <c r="CO3353">
        <v>49</v>
      </c>
      <c r="CP3353">
        <v>-18.2</v>
      </c>
      <c r="CQ3353">
        <v>51</v>
      </c>
      <c r="CR3353">
        <v>0</v>
      </c>
      <c r="CS3353">
        <v>0</v>
      </c>
      <c r="CT3353">
        <v>-30.8</v>
      </c>
      <c r="CU3353">
        <v>48</v>
      </c>
      <c r="CV3353">
        <v>-0.03</v>
      </c>
      <c r="CW3353">
        <v>15</v>
      </c>
      <c r="CX3353" t="s">
        <v>2585</v>
      </c>
    </row>
    <row r="3354" spans="1:102" x14ac:dyDescent="0.3">
      <c r="A3354" t="str">
        <f>HYPERLINK("https://webapp.icbf.com/v2/app/bull-search/view/77852848","VPM")</f>
        <v>VPM</v>
      </c>
      <c r="B3354" t="s">
        <v>11164</v>
      </c>
      <c r="C3354" t="s">
        <v>11165</v>
      </c>
      <c r="D3354" s="1">
        <v>34146</v>
      </c>
      <c r="E3354" t="s">
        <v>92</v>
      </c>
      <c r="F3354">
        <v>100</v>
      </c>
      <c r="G3354" t="s">
        <v>109</v>
      </c>
      <c r="H3354">
        <v>-30.36</v>
      </c>
      <c r="I3354">
        <v>80</v>
      </c>
      <c r="J3354">
        <v>9</v>
      </c>
      <c r="K3354">
        <v>94</v>
      </c>
      <c r="L3354">
        <v>-44.63</v>
      </c>
      <c r="M3354">
        <v>86</v>
      </c>
      <c r="N3354">
        <v>-5.5</v>
      </c>
      <c r="O3354">
        <v>63</v>
      </c>
      <c r="P3354">
        <v>2.52</v>
      </c>
      <c r="Q3354">
        <v>56</v>
      </c>
      <c r="R3354">
        <v>-7.61</v>
      </c>
      <c r="S3354">
        <v>77</v>
      </c>
      <c r="T3354">
        <v>15.23</v>
      </c>
      <c r="U3354">
        <v>50</v>
      </c>
      <c r="V3354">
        <v>0.63</v>
      </c>
      <c r="W3354">
        <v>65</v>
      </c>
      <c r="X3354" t="s">
        <v>94</v>
      </c>
      <c r="Y3354" t="s">
        <v>95</v>
      </c>
      <c r="Z3354" t="s">
        <v>96</v>
      </c>
      <c r="AA3354" t="s">
        <v>485</v>
      </c>
      <c r="AB3354" t="s">
        <v>11166</v>
      </c>
      <c r="AC3354">
        <v>0</v>
      </c>
      <c r="AD3354">
        <v>0</v>
      </c>
      <c r="AE3354">
        <v>94</v>
      </c>
      <c r="AF3354">
        <v>73.91</v>
      </c>
      <c r="AG3354">
        <v>1.36</v>
      </c>
      <c r="AH3354">
        <v>2.1800000000000002</v>
      </c>
      <c r="AI3354">
        <v>-0.03</v>
      </c>
      <c r="AJ3354">
        <v>-0.01</v>
      </c>
      <c r="AK3354">
        <v>86</v>
      </c>
      <c r="AL3354">
        <v>0</v>
      </c>
      <c r="AM3354">
        <v>0</v>
      </c>
      <c r="AN3354">
        <v>1.62</v>
      </c>
      <c r="AO3354">
        <v>-1.95</v>
      </c>
      <c r="AP3354">
        <v>0</v>
      </c>
      <c r="AQ3354">
        <v>2</v>
      </c>
      <c r="AR3354">
        <v>8.85</v>
      </c>
      <c r="AS3354">
        <v>56</v>
      </c>
      <c r="AT3354">
        <v>3.96</v>
      </c>
      <c r="AU3354">
        <v>90</v>
      </c>
      <c r="AV3354">
        <v>-0.4</v>
      </c>
      <c r="AW3354">
        <v>56</v>
      </c>
      <c r="AX3354">
        <v>-0.84</v>
      </c>
      <c r="AY3354">
        <v>50</v>
      </c>
      <c r="AZ3354">
        <v>6.48</v>
      </c>
      <c r="BA3354">
        <v>47</v>
      </c>
      <c r="BB3354">
        <v>4.8600000000000003</v>
      </c>
      <c r="BC3354">
        <v>50</v>
      </c>
      <c r="BD3354">
        <v>0.06</v>
      </c>
      <c r="BE3354">
        <v>0.05</v>
      </c>
      <c r="BF3354">
        <v>-0.02</v>
      </c>
      <c r="BG3354">
        <v>92</v>
      </c>
      <c r="BH3354">
        <v>0.15</v>
      </c>
      <c r="BI3354">
        <v>15.33</v>
      </c>
      <c r="BJ3354">
        <v>0</v>
      </c>
      <c r="BK3354">
        <v>0</v>
      </c>
      <c r="BL3354">
        <v>0.23</v>
      </c>
      <c r="BM3354">
        <v>0.4</v>
      </c>
      <c r="BN3354">
        <v>0.92</v>
      </c>
      <c r="BO3354">
        <v>-0.16</v>
      </c>
      <c r="BP3354">
        <v>0.93</v>
      </c>
      <c r="BQ3354">
        <v>-0.4</v>
      </c>
      <c r="BR3354">
        <v>-0.15</v>
      </c>
      <c r="BS3354">
        <v>-1.04</v>
      </c>
      <c r="BT3354">
        <v>-0.39</v>
      </c>
      <c r="BU3354">
        <v>-0.32</v>
      </c>
      <c r="BV3354">
        <v>-0.7</v>
      </c>
      <c r="BW3354">
        <v>-0.56999999999999995</v>
      </c>
      <c r="BX3354">
        <v>-0.85</v>
      </c>
      <c r="BY3354">
        <v>-0.03</v>
      </c>
      <c r="BZ3354">
        <v>-1.24</v>
      </c>
      <c r="CA3354">
        <v>-0.67</v>
      </c>
      <c r="CB3354">
        <v>-0.25</v>
      </c>
      <c r="CC3354">
        <v>-0.89</v>
      </c>
      <c r="CD3354">
        <v>0.42</v>
      </c>
      <c r="CE3354">
        <v>0.1</v>
      </c>
      <c r="CF3354">
        <v>0.28999999999999998</v>
      </c>
      <c r="CG3354">
        <v>0</v>
      </c>
      <c r="CH3354">
        <v>-0.18</v>
      </c>
      <c r="CI3354">
        <v>0</v>
      </c>
      <c r="CJ3354">
        <v>-1.4</v>
      </c>
      <c r="CK3354">
        <v>57</v>
      </c>
      <c r="CL3354">
        <v>-0.16</v>
      </c>
      <c r="CM3354">
        <v>55</v>
      </c>
      <c r="CN3354">
        <v>-0.59</v>
      </c>
      <c r="CO3354">
        <v>54</v>
      </c>
      <c r="CP3354">
        <v>-5.4</v>
      </c>
      <c r="CQ3354">
        <v>52</v>
      </c>
      <c r="CR3354">
        <v>0</v>
      </c>
      <c r="CS3354">
        <v>0</v>
      </c>
      <c r="CT3354">
        <v>-6.8</v>
      </c>
      <c r="CU3354">
        <v>50</v>
      </c>
      <c r="CV3354">
        <v>0.02</v>
      </c>
      <c r="CW3354">
        <v>38</v>
      </c>
      <c r="CX3354" t="s">
        <v>166</v>
      </c>
    </row>
    <row r="3355" spans="1:102" x14ac:dyDescent="0.3">
      <c r="A3355" t="str">
        <f>HYPERLINK("https://webapp.icbf.com/v2/app/bull-search/view/444526477","JDI")</f>
        <v>JDI</v>
      </c>
      <c r="B3355" t="s">
        <v>8827</v>
      </c>
      <c r="C3355" t="s">
        <v>363</v>
      </c>
      <c r="D3355" s="1">
        <v>36908</v>
      </c>
      <c r="E3355" t="s">
        <v>92</v>
      </c>
      <c r="F3355">
        <v>100</v>
      </c>
      <c r="G3355" t="s">
        <v>93</v>
      </c>
      <c r="H3355">
        <v>-30.37</v>
      </c>
      <c r="I3355">
        <v>97</v>
      </c>
      <c r="J3355">
        <v>89.46</v>
      </c>
      <c r="K3355">
        <v>99</v>
      </c>
      <c r="L3355">
        <v>-143.27000000000001</v>
      </c>
      <c r="M3355">
        <v>95</v>
      </c>
      <c r="N3355">
        <v>25.39</v>
      </c>
      <c r="O3355">
        <v>96</v>
      </c>
      <c r="P3355">
        <v>-3.54</v>
      </c>
      <c r="Q3355">
        <v>99</v>
      </c>
      <c r="R3355">
        <v>-7.89</v>
      </c>
      <c r="S3355">
        <v>92</v>
      </c>
      <c r="T3355">
        <v>7.09</v>
      </c>
      <c r="U3355">
        <v>97</v>
      </c>
      <c r="V3355">
        <v>2.39</v>
      </c>
      <c r="W3355">
        <v>92</v>
      </c>
      <c r="X3355" t="s">
        <v>102</v>
      </c>
      <c r="Y3355" t="s">
        <v>221</v>
      </c>
      <c r="Z3355" t="s">
        <v>96</v>
      </c>
      <c r="AA3355" t="s">
        <v>273</v>
      </c>
      <c r="AB3355" t="s">
        <v>8828</v>
      </c>
      <c r="AC3355">
        <v>612</v>
      </c>
      <c r="AD3355">
        <v>172</v>
      </c>
      <c r="AE3355">
        <v>99</v>
      </c>
      <c r="AF3355">
        <v>491.93</v>
      </c>
      <c r="AG3355">
        <v>11.43</v>
      </c>
      <c r="AH3355">
        <v>18.7</v>
      </c>
      <c r="AI3355">
        <v>-0.12</v>
      </c>
      <c r="AJ3355">
        <v>0.03</v>
      </c>
      <c r="AK3355">
        <v>95</v>
      </c>
      <c r="AL3355">
        <v>638</v>
      </c>
      <c r="AM3355">
        <v>212</v>
      </c>
      <c r="AN3355">
        <v>8.25</v>
      </c>
      <c r="AO3355">
        <v>-3.17</v>
      </c>
      <c r="AP3355">
        <v>1182</v>
      </c>
      <c r="AQ3355">
        <v>9</v>
      </c>
      <c r="AR3355">
        <v>7.26</v>
      </c>
      <c r="AS3355">
        <v>95</v>
      </c>
      <c r="AT3355">
        <v>2.94</v>
      </c>
      <c r="AU3355">
        <v>98</v>
      </c>
      <c r="AV3355">
        <v>-2.68</v>
      </c>
      <c r="AW3355">
        <v>99</v>
      </c>
      <c r="AX3355">
        <v>0.42</v>
      </c>
      <c r="AY3355">
        <v>96</v>
      </c>
      <c r="AZ3355">
        <v>5.39</v>
      </c>
      <c r="BA3355">
        <v>90</v>
      </c>
      <c r="BB3355">
        <v>4.76</v>
      </c>
      <c r="BC3355">
        <v>89</v>
      </c>
      <c r="BD3355">
        <v>0.02</v>
      </c>
      <c r="BE3355">
        <v>0.02</v>
      </c>
      <c r="BF3355">
        <v>0.11</v>
      </c>
      <c r="BG3355">
        <v>98</v>
      </c>
      <c r="BH3355">
        <v>0.16</v>
      </c>
      <c r="BI3355">
        <v>10.8</v>
      </c>
      <c r="BJ3355">
        <v>169</v>
      </c>
      <c r="BK3355">
        <v>61</v>
      </c>
      <c r="BL3355">
        <v>0.75</v>
      </c>
      <c r="BM3355">
        <v>-0.61</v>
      </c>
      <c r="BN3355">
        <v>0.06</v>
      </c>
      <c r="BO3355">
        <v>0.68</v>
      </c>
      <c r="BP3355">
        <v>-2.06</v>
      </c>
      <c r="BQ3355">
        <v>1</v>
      </c>
      <c r="BR3355">
        <v>-1.78</v>
      </c>
      <c r="BS3355">
        <v>-1.08</v>
      </c>
      <c r="BT3355">
        <v>0.56999999999999995</v>
      </c>
      <c r="BU3355">
        <v>0.75</v>
      </c>
      <c r="BV3355">
        <v>1.52</v>
      </c>
      <c r="BW3355">
        <v>2.2799999999999998</v>
      </c>
      <c r="BX3355">
        <v>1.22</v>
      </c>
      <c r="BY3355">
        <v>3.27</v>
      </c>
      <c r="BZ3355">
        <v>-1.51</v>
      </c>
      <c r="CA3355">
        <v>1.17</v>
      </c>
      <c r="CB3355">
        <v>1.56</v>
      </c>
      <c r="CC3355">
        <v>-0.24</v>
      </c>
      <c r="CD3355">
        <v>-0.91</v>
      </c>
      <c r="CE3355">
        <v>0.78</v>
      </c>
      <c r="CF3355">
        <v>0.21</v>
      </c>
      <c r="CG3355">
        <v>0</v>
      </c>
      <c r="CH3355">
        <v>3.17</v>
      </c>
      <c r="CI3355">
        <v>0</v>
      </c>
      <c r="CJ3355">
        <v>2.1</v>
      </c>
      <c r="CK3355">
        <v>99</v>
      </c>
      <c r="CL3355">
        <v>-1.04</v>
      </c>
      <c r="CM3355">
        <v>98</v>
      </c>
      <c r="CN3355">
        <v>-0.34</v>
      </c>
      <c r="CO3355">
        <v>98</v>
      </c>
      <c r="CP3355">
        <v>2.1</v>
      </c>
      <c r="CQ3355">
        <v>98</v>
      </c>
      <c r="CR3355">
        <v>0</v>
      </c>
      <c r="CS3355">
        <v>0</v>
      </c>
      <c r="CT3355">
        <v>4.2</v>
      </c>
      <c r="CU3355">
        <v>97</v>
      </c>
      <c r="CV3355">
        <v>0.28000000000000003</v>
      </c>
      <c r="CW3355">
        <v>46</v>
      </c>
      <c r="CX3355" t="s">
        <v>743</v>
      </c>
    </row>
    <row r="3356" spans="1:102" x14ac:dyDescent="0.3">
      <c r="A3356" t="str">
        <f>HYPERLINK("https://webapp.icbf.com/v2/app/bull-search/view/77855230","MLB")</f>
        <v>MLB</v>
      </c>
      <c r="B3356" t="s">
        <v>8605</v>
      </c>
      <c r="C3356" t="s">
        <v>8606</v>
      </c>
      <c r="D3356" s="1">
        <v>32693</v>
      </c>
      <c r="E3356" t="s">
        <v>92</v>
      </c>
      <c r="F3356">
        <v>100</v>
      </c>
      <c r="G3356" t="s">
        <v>109</v>
      </c>
      <c r="H3356">
        <v>-30.52</v>
      </c>
      <c r="I3356">
        <v>62</v>
      </c>
      <c r="J3356">
        <v>-0.33</v>
      </c>
      <c r="K3356">
        <v>72</v>
      </c>
      <c r="L3356">
        <v>-35.9</v>
      </c>
      <c r="M3356">
        <v>74</v>
      </c>
      <c r="N3356">
        <v>-0.6</v>
      </c>
      <c r="O3356">
        <v>37</v>
      </c>
      <c r="P3356">
        <v>4.5599999999999996</v>
      </c>
      <c r="Q3356">
        <v>36</v>
      </c>
      <c r="R3356">
        <v>-5.83</v>
      </c>
      <c r="S3356">
        <v>60</v>
      </c>
      <c r="T3356">
        <v>9.9</v>
      </c>
      <c r="U3356">
        <v>40</v>
      </c>
      <c r="V3356">
        <v>-2.3199999999999998</v>
      </c>
      <c r="W3356">
        <v>30</v>
      </c>
      <c r="X3356" t="s">
        <v>94</v>
      </c>
      <c r="Y3356" t="s">
        <v>95</v>
      </c>
      <c r="Z3356" t="s">
        <v>96</v>
      </c>
      <c r="AA3356" t="s">
        <v>166</v>
      </c>
      <c r="AB3356" t="s">
        <v>8607</v>
      </c>
      <c r="AC3356">
        <v>0</v>
      </c>
      <c r="AD3356">
        <v>0</v>
      </c>
      <c r="AE3356">
        <v>72</v>
      </c>
      <c r="AF3356">
        <v>-93.19</v>
      </c>
      <c r="AG3356">
        <v>2.62</v>
      </c>
      <c r="AH3356">
        <v>-2.41</v>
      </c>
      <c r="AI3356">
        <v>0.11</v>
      </c>
      <c r="AJ3356">
        <v>0.01</v>
      </c>
      <c r="AK3356">
        <v>74</v>
      </c>
      <c r="AL3356">
        <v>0</v>
      </c>
      <c r="AM3356">
        <v>0</v>
      </c>
      <c r="AN3356">
        <v>2.96</v>
      </c>
      <c r="AO3356">
        <v>0.11</v>
      </c>
      <c r="AP3356">
        <v>4</v>
      </c>
      <c r="AQ3356">
        <v>2</v>
      </c>
      <c r="AR3356">
        <v>6.58</v>
      </c>
      <c r="AS3356">
        <v>25</v>
      </c>
      <c r="AT3356">
        <v>3.22</v>
      </c>
      <c r="AU3356">
        <v>33</v>
      </c>
      <c r="AV3356">
        <v>0.66</v>
      </c>
      <c r="AW3356">
        <v>47</v>
      </c>
      <c r="AX3356">
        <v>-0.31</v>
      </c>
      <c r="AY3356">
        <v>37</v>
      </c>
      <c r="AZ3356">
        <v>6.14</v>
      </c>
      <c r="BA3356">
        <v>26</v>
      </c>
      <c r="BB3356">
        <v>4.68</v>
      </c>
      <c r="BC3356">
        <v>26</v>
      </c>
      <c r="BD3356">
        <v>0.03</v>
      </c>
      <c r="BE3356">
        <v>0.06</v>
      </c>
      <c r="BF3356">
        <v>-0.03</v>
      </c>
      <c r="BG3356">
        <v>86</v>
      </c>
      <c r="BH3356">
        <v>0.02</v>
      </c>
      <c r="BI3356">
        <v>9.81</v>
      </c>
      <c r="BJ3356">
        <v>0</v>
      </c>
      <c r="BK3356">
        <v>0</v>
      </c>
      <c r="BL3356">
        <v>7.0000000000000007E-2</v>
      </c>
      <c r="BM3356">
        <v>-1.71</v>
      </c>
      <c r="BN3356">
        <v>-0.48</v>
      </c>
      <c r="BO3356">
        <v>0.36</v>
      </c>
      <c r="BP3356">
        <v>1.02</v>
      </c>
      <c r="BQ3356">
        <v>-1.91</v>
      </c>
      <c r="BR3356">
        <v>-0.87</v>
      </c>
      <c r="BS3356">
        <v>-0.73</v>
      </c>
      <c r="BT3356">
        <v>1.75</v>
      </c>
      <c r="BU3356">
        <v>0.51</v>
      </c>
      <c r="BV3356">
        <v>-0.73</v>
      </c>
      <c r="BW3356">
        <v>-0.27</v>
      </c>
      <c r="BX3356">
        <v>0.77</v>
      </c>
      <c r="BY3356">
        <v>0.56000000000000005</v>
      </c>
      <c r="BZ3356">
        <v>-3.21</v>
      </c>
      <c r="CA3356">
        <v>0.27</v>
      </c>
      <c r="CB3356">
        <v>0.26</v>
      </c>
      <c r="CC3356">
        <v>0.08</v>
      </c>
      <c r="CD3356">
        <v>-0.6</v>
      </c>
      <c r="CE3356">
        <v>0.15</v>
      </c>
      <c r="CF3356">
        <v>-0.47</v>
      </c>
      <c r="CG3356">
        <v>0</v>
      </c>
      <c r="CH3356">
        <v>-0.06</v>
      </c>
      <c r="CI3356">
        <v>0</v>
      </c>
      <c r="CJ3356">
        <v>2.4</v>
      </c>
      <c r="CK3356">
        <v>37</v>
      </c>
      <c r="CL3356">
        <v>-0.25</v>
      </c>
      <c r="CM3356">
        <v>34</v>
      </c>
      <c r="CN3356">
        <v>-0.35</v>
      </c>
      <c r="CO3356">
        <v>31</v>
      </c>
      <c r="CP3356">
        <v>-1.8</v>
      </c>
      <c r="CQ3356">
        <v>44</v>
      </c>
      <c r="CR3356">
        <v>0</v>
      </c>
      <c r="CS3356">
        <v>0</v>
      </c>
      <c r="CT3356">
        <v>0.4</v>
      </c>
      <c r="CU3356">
        <v>40</v>
      </c>
      <c r="CV3356">
        <v>0.08</v>
      </c>
      <c r="CW3356">
        <v>10</v>
      </c>
      <c r="CX3356" t="s">
        <v>8608</v>
      </c>
    </row>
    <row r="3357" spans="1:102" x14ac:dyDescent="0.3">
      <c r="A3357" t="str">
        <f>HYPERLINK("https://webapp.icbf.com/v2/app/bull-search/view/69092758","TBK")</f>
        <v>TBK</v>
      </c>
      <c r="B3357" t="s">
        <v>9795</v>
      </c>
      <c r="C3357" t="s">
        <v>9739</v>
      </c>
      <c r="D3357" s="1">
        <v>35025</v>
      </c>
      <c r="E3357" t="s">
        <v>146</v>
      </c>
      <c r="F3357">
        <v>0</v>
      </c>
      <c r="G3357" t="s">
        <v>93</v>
      </c>
      <c r="H3357">
        <v>-30.6</v>
      </c>
      <c r="I3357">
        <v>88</v>
      </c>
      <c r="J3357">
        <v>-46.34</v>
      </c>
      <c r="K3357">
        <v>98</v>
      </c>
      <c r="L3357">
        <v>34.99</v>
      </c>
      <c r="M3357">
        <v>77</v>
      </c>
      <c r="N3357">
        <v>-29.62</v>
      </c>
      <c r="O3357">
        <v>88</v>
      </c>
      <c r="P3357">
        <v>0.09</v>
      </c>
      <c r="Q3357">
        <v>97</v>
      </c>
      <c r="R3357">
        <v>2.17</v>
      </c>
      <c r="S3357">
        <v>79</v>
      </c>
      <c r="T3357">
        <v>15.31</v>
      </c>
      <c r="U3357">
        <v>89</v>
      </c>
      <c r="V3357">
        <v>-7.2</v>
      </c>
      <c r="W3357">
        <v>76</v>
      </c>
      <c r="X3357" t="s">
        <v>276</v>
      </c>
      <c r="Y3357" t="s">
        <v>95</v>
      </c>
      <c r="Z3357">
        <v>0</v>
      </c>
      <c r="AA3357" t="s">
        <v>9796</v>
      </c>
      <c r="AB3357" t="s">
        <v>9797</v>
      </c>
      <c r="AC3357">
        <v>178</v>
      </c>
      <c r="AD3357">
        <v>82</v>
      </c>
      <c r="AE3357">
        <v>98</v>
      </c>
      <c r="AF3357">
        <v>-52.89</v>
      </c>
      <c r="AG3357">
        <v>-6.9</v>
      </c>
      <c r="AH3357">
        <v>-6.25</v>
      </c>
      <c r="AI3357">
        <v>-0.08</v>
      </c>
      <c r="AJ3357">
        <v>-7.0000000000000007E-2</v>
      </c>
      <c r="AK3357">
        <v>77</v>
      </c>
      <c r="AL3357">
        <v>207</v>
      </c>
      <c r="AM3357">
        <v>102</v>
      </c>
      <c r="AN3357">
        <v>-1.92</v>
      </c>
      <c r="AO3357">
        <v>0.87</v>
      </c>
      <c r="AP3357">
        <v>172</v>
      </c>
      <c r="AQ3357">
        <v>8</v>
      </c>
      <c r="AR3357">
        <v>12.13</v>
      </c>
      <c r="AS3357">
        <v>75</v>
      </c>
      <c r="AT3357">
        <v>3.79</v>
      </c>
      <c r="AU3357">
        <v>88</v>
      </c>
      <c r="AV3357">
        <v>0.62</v>
      </c>
      <c r="AW3357">
        <v>95</v>
      </c>
      <c r="AX3357">
        <v>0.15</v>
      </c>
      <c r="AY3357">
        <v>91</v>
      </c>
      <c r="AZ3357">
        <v>7.74</v>
      </c>
      <c r="BA3357">
        <v>69</v>
      </c>
      <c r="BB3357">
        <v>5.36</v>
      </c>
      <c r="BC3357">
        <v>76</v>
      </c>
      <c r="BD3357">
        <v>-0.03</v>
      </c>
      <c r="BE3357">
        <v>0</v>
      </c>
      <c r="BF3357">
        <v>0</v>
      </c>
      <c r="BG3357">
        <v>90</v>
      </c>
      <c r="BH3357">
        <v>-0.06</v>
      </c>
      <c r="BI3357">
        <v>16.29</v>
      </c>
      <c r="BJ3357">
        <v>3</v>
      </c>
      <c r="BK3357">
        <v>2</v>
      </c>
      <c r="BL3357">
        <v>-2.73</v>
      </c>
      <c r="BM3357">
        <v>2.12</v>
      </c>
      <c r="BN3357">
        <v>-1.1200000000000001</v>
      </c>
      <c r="BO3357">
        <v>-1.82</v>
      </c>
      <c r="BP3357">
        <v>2.68</v>
      </c>
      <c r="BQ3357">
        <v>-0.18</v>
      </c>
      <c r="BR3357">
        <v>-0.2</v>
      </c>
      <c r="BS3357">
        <v>-0.64</v>
      </c>
      <c r="BT3357">
        <v>-0.02</v>
      </c>
      <c r="BU3357">
        <v>-2.36</v>
      </c>
      <c r="BV3357">
        <v>-3.03</v>
      </c>
      <c r="BW3357">
        <v>-3.07</v>
      </c>
      <c r="BX3357">
        <v>-2.21</v>
      </c>
      <c r="BY3357">
        <v>-3.03</v>
      </c>
      <c r="BZ3357">
        <v>1.88</v>
      </c>
      <c r="CA3357">
        <v>-3.14</v>
      </c>
      <c r="CB3357">
        <v>-3.1</v>
      </c>
      <c r="CC3357">
        <v>-1.68</v>
      </c>
      <c r="CD3357">
        <v>2.17</v>
      </c>
      <c r="CE3357">
        <v>-2.58</v>
      </c>
      <c r="CF3357">
        <v>-1.72</v>
      </c>
      <c r="CG3357">
        <v>0</v>
      </c>
      <c r="CH3357">
        <v>-0.32</v>
      </c>
      <c r="CI3357">
        <v>0</v>
      </c>
      <c r="CJ3357">
        <v>-0.1</v>
      </c>
      <c r="CK3357">
        <v>97</v>
      </c>
      <c r="CL3357">
        <v>0.26</v>
      </c>
      <c r="CM3357">
        <v>97</v>
      </c>
      <c r="CN3357">
        <v>0.17</v>
      </c>
      <c r="CO3357">
        <v>96</v>
      </c>
      <c r="CP3357">
        <v>-3.1</v>
      </c>
      <c r="CQ3357">
        <v>94</v>
      </c>
      <c r="CR3357">
        <v>0</v>
      </c>
      <c r="CS3357">
        <v>0</v>
      </c>
      <c r="CT3357">
        <v>-6.9</v>
      </c>
      <c r="CU3357">
        <v>89</v>
      </c>
      <c r="CV3357">
        <v>-0.14000000000000001</v>
      </c>
      <c r="CW3357">
        <v>45</v>
      </c>
      <c r="CX3357" t="s">
        <v>9798</v>
      </c>
    </row>
    <row r="3358" spans="1:102" x14ac:dyDescent="0.3">
      <c r="A3358" t="str">
        <f>HYPERLINK("https://webapp.icbf.com/v2/app/bull-search/view/108379588","QUE")</f>
        <v>QUE</v>
      </c>
      <c r="B3358" t="s">
        <v>9697</v>
      </c>
      <c r="C3358" t="s">
        <v>9698</v>
      </c>
      <c r="D3358" s="1">
        <v>36065</v>
      </c>
      <c r="E3358" t="s">
        <v>140</v>
      </c>
      <c r="F3358">
        <v>0</v>
      </c>
      <c r="G3358" t="s">
        <v>93</v>
      </c>
      <c r="H3358">
        <v>-30.63</v>
      </c>
      <c r="I3358">
        <v>76</v>
      </c>
      <c r="J3358">
        <v>-45.55</v>
      </c>
      <c r="K3358">
        <v>93</v>
      </c>
      <c r="L3358">
        <v>38.56</v>
      </c>
      <c r="M3358">
        <v>60</v>
      </c>
      <c r="N3358">
        <v>-55.55</v>
      </c>
      <c r="O3358">
        <v>75</v>
      </c>
      <c r="P3358">
        <v>29.04</v>
      </c>
      <c r="Q3358">
        <v>91</v>
      </c>
      <c r="R3358">
        <v>11.82</v>
      </c>
      <c r="S3358">
        <v>65</v>
      </c>
      <c r="T3358">
        <v>-1.71</v>
      </c>
      <c r="U3358">
        <v>79</v>
      </c>
      <c r="V3358">
        <v>-7.24</v>
      </c>
      <c r="W3358">
        <v>50</v>
      </c>
      <c r="X3358" t="s">
        <v>102</v>
      </c>
      <c r="Y3358" t="s">
        <v>95</v>
      </c>
      <c r="Z3358">
        <v>0</v>
      </c>
      <c r="AA3358" t="s">
        <v>6697</v>
      </c>
      <c r="AB3358" t="s">
        <v>9699</v>
      </c>
      <c r="AC3358">
        <v>55</v>
      </c>
      <c r="AD3358">
        <v>38</v>
      </c>
      <c r="AE3358">
        <v>93</v>
      </c>
      <c r="AF3358">
        <v>-98.12</v>
      </c>
      <c r="AG3358">
        <v>-7.43</v>
      </c>
      <c r="AH3358">
        <v>-6.62</v>
      </c>
      <c r="AI3358">
        <v>-0.06</v>
      </c>
      <c r="AJ3358">
        <v>-0.05</v>
      </c>
      <c r="AK3358">
        <v>60</v>
      </c>
      <c r="AL3358">
        <v>70</v>
      </c>
      <c r="AM3358">
        <v>53</v>
      </c>
      <c r="AN3358">
        <v>-4.8</v>
      </c>
      <c r="AO3358">
        <v>-1.76</v>
      </c>
      <c r="AP3358">
        <v>94</v>
      </c>
      <c r="AQ3358">
        <v>3</v>
      </c>
      <c r="AR3358">
        <v>12.24</v>
      </c>
      <c r="AS3358">
        <v>43</v>
      </c>
      <c r="AT3358">
        <v>5.81</v>
      </c>
      <c r="AU3358">
        <v>76</v>
      </c>
      <c r="AV3358">
        <v>1.97</v>
      </c>
      <c r="AW3358">
        <v>90</v>
      </c>
      <c r="AX3358">
        <v>-0.03</v>
      </c>
      <c r="AY3358">
        <v>74</v>
      </c>
      <c r="AZ3358">
        <v>5.23</v>
      </c>
      <c r="BA3358">
        <v>43</v>
      </c>
      <c r="BB3358">
        <v>3.9</v>
      </c>
      <c r="BC3358">
        <v>57</v>
      </c>
      <c r="BD3358">
        <v>-0.01</v>
      </c>
      <c r="BE3358">
        <v>-0.05</v>
      </c>
      <c r="BF3358">
        <v>-0.16</v>
      </c>
      <c r="BG3358">
        <v>75</v>
      </c>
      <c r="BH3358">
        <v>-0.09</v>
      </c>
      <c r="BI3358">
        <v>12.94</v>
      </c>
      <c r="BJ3358">
        <v>0</v>
      </c>
      <c r="BK3358">
        <v>0</v>
      </c>
      <c r="BL3358">
        <v>-0.79</v>
      </c>
      <c r="BM3358">
        <v>2.99</v>
      </c>
      <c r="BN3358">
        <v>-1.64</v>
      </c>
      <c r="BO3358">
        <v>-2.68</v>
      </c>
      <c r="BP3358">
        <v>4.37</v>
      </c>
      <c r="BQ3358">
        <v>-2.69</v>
      </c>
      <c r="BR3358">
        <v>-2.7</v>
      </c>
      <c r="BS3358">
        <v>-0.4</v>
      </c>
      <c r="BT3358">
        <v>2.61</v>
      </c>
      <c r="BU3358">
        <v>-3.72</v>
      </c>
      <c r="BV3358">
        <v>-4.16</v>
      </c>
      <c r="BW3358">
        <v>-3.18</v>
      </c>
      <c r="BX3358">
        <v>-2.87</v>
      </c>
      <c r="BY3358">
        <v>-2.78</v>
      </c>
      <c r="BZ3358">
        <v>0.78</v>
      </c>
      <c r="CA3358">
        <v>-2.61</v>
      </c>
      <c r="CB3358">
        <v>-3.36</v>
      </c>
      <c r="CC3358">
        <v>-0.34</v>
      </c>
      <c r="CD3358">
        <v>3.52</v>
      </c>
      <c r="CE3358">
        <v>-2.77</v>
      </c>
      <c r="CF3358">
        <v>-0.93</v>
      </c>
      <c r="CG3358">
        <v>0</v>
      </c>
      <c r="CH3358">
        <v>-2.61</v>
      </c>
      <c r="CI3358">
        <v>0</v>
      </c>
      <c r="CJ3358">
        <v>13.5</v>
      </c>
      <c r="CK3358">
        <v>92</v>
      </c>
      <c r="CL3358">
        <v>0.48</v>
      </c>
      <c r="CM3358">
        <v>90</v>
      </c>
      <c r="CN3358">
        <v>-0.32</v>
      </c>
      <c r="CO3358">
        <v>89</v>
      </c>
      <c r="CP3358">
        <v>11.4</v>
      </c>
      <c r="CQ3358">
        <v>88</v>
      </c>
      <c r="CR3358">
        <v>0</v>
      </c>
      <c r="CS3358">
        <v>0</v>
      </c>
      <c r="CT3358">
        <v>16.100000000000001</v>
      </c>
      <c r="CU3358">
        <v>79</v>
      </c>
      <c r="CV3358">
        <v>0</v>
      </c>
      <c r="CW3358">
        <v>26</v>
      </c>
      <c r="CX3358" t="s">
        <v>523</v>
      </c>
    </row>
    <row r="3359" spans="1:102" x14ac:dyDescent="0.3">
      <c r="A3359" t="str">
        <f>HYPERLINK("https://webapp.icbf.com/v2/app/bull-search/view/307644697","BNZ")</f>
        <v>BNZ</v>
      </c>
      <c r="B3359" t="s">
        <v>8948</v>
      </c>
      <c r="C3359" t="s">
        <v>8949</v>
      </c>
      <c r="D3359" s="1">
        <v>37450</v>
      </c>
      <c r="E3359" t="s">
        <v>92</v>
      </c>
      <c r="F3359">
        <v>100</v>
      </c>
      <c r="G3359" t="s">
        <v>93</v>
      </c>
      <c r="H3359">
        <v>-30.64</v>
      </c>
      <c r="I3359">
        <v>92</v>
      </c>
      <c r="J3359">
        <v>6.29</v>
      </c>
      <c r="K3359">
        <v>98</v>
      </c>
      <c r="L3359">
        <v>-48.41</v>
      </c>
      <c r="M3359">
        <v>90</v>
      </c>
      <c r="N3359">
        <v>7.66</v>
      </c>
      <c r="O3359">
        <v>87</v>
      </c>
      <c r="P3359">
        <v>4.45</v>
      </c>
      <c r="Q3359">
        <v>94</v>
      </c>
      <c r="R3359">
        <v>-3.58</v>
      </c>
      <c r="S3359">
        <v>84</v>
      </c>
      <c r="T3359">
        <v>5.69</v>
      </c>
      <c r="U3359">
        <v>89</v>
      </c>
      <c r="V3359">
        <v>-2.74</v>
      </c>
      <c r="W3359">
        <v>79</v>
      </c>
      <c r="X3359" t="s">
        <v>94</v>
      </c>
      <c r="Y3359" t="s">
        <v>171</v>
      </c>
      <c r="Z3359" t="s">
        <v>96</v>
      </c>
      <c r="AA3359" t="s">
        <v>8716</v>
      </c>
      <c r="AB3359" t="s">
        <v>8950</v>
      </c>
      <c r="AC3359">
        <v>121</v>
      </c>
      <c r="AD3359">
        <v>86</v>
      </c>
      <c r="AE3359">
        <v>98</v>
      </c>
      <c r="AF3359">
        <v>257.85000000000002</v>
      </c>
      <c r="AG3359">
        <v>1.43</v>
      </c>
      <c r="AH3359">
        <v>4.51</v>
      </c>
      <c r="AI3359">
        <v>-0.14000000000000001</v>
      </c>
      <c r="AJ3359">
        <v>-7.0000000000000007E-2</v>
      </c>
      <c r="AK3359">
        <v>90</v>
      </c>
      <c r="AL3359">
        <v>121</v>
      </c>
      <c r="AM3359">
        <v>85</v>
      </c>
      <c r="AN3359">
        <v>1.9</v>
      </c>
      <c r="AO3359">
        <v>-1.97</v>
      </c>
      <c r="AP3359">
        <v>222</v>
      </c>
      <c r="AQ3359">
        <v>2</v>
      </c>
      <c r="AR3359">
        <v>9.7799999999999994</v>
      </c>
      <c r="AS3359">
        <v>73</v>
      </c>
      <c r="AT3359">
        <v>3.67</v>
      </c>
      <c r="AU3359">
        <v>94</v>
      </c>
      <c r="AV3359">
        <v>-1.95</v>
      </c>
      <c r="AW3359">
        <v>95</v>
      </c>
      <c r="AX3359">
        <v>-0.04</v>
      </c>
      <c r="AY3359">
        <v>84</v>
      </c>
      <c r="AZ3359">
        <v>5.7</v>
      </c>
      <c r="BA3359">
        <v>66</v>
      </c>
      <c r="BB3359">
        <v>4.46</v>
      </c>
      <c r="BC3359">
        <v>68</v>
      </c>
      <c r="BD3359">
        <v>-0.01</v>
      </c>
      <c r="BE3359">
        <v>0.01</v>
      </c>
      <c r="BF3359">
        <v>0.08</v>
      </c>
      <c r="BG3359">
        <v>95</v>
      </c>
      <c r="BH3359">
        <v>0</v>
      </c>
      <c r="BI3359">
        <v>8.84</v>
      </c>
      <c r="BJ3359">
        <v>41</v>
      </c>
      <c r="BK3359">
        <v>23</v>
      </c>
      <c r="BL3359">
        <v>0.59</v>
      </c>
      <c r="BM3359">
        <v>0.21</v>
      </c>
      <c r="BN3359">
        <v>-0.4</v>
      </c>
      <c r="BO3359">
        <v>-0.23</v>
      </c>
      <c r="BP3359">
        <v>3.35</v>
      </c>
      <c r="BQ3359">
        <v>1.95</v>
      </c>
      <c r="BR3359">
        <v>0.83</v>
      </c>
      <c r="BS3359">
        <v>-0.42</v>
      </c>
      <c r="BT3359">
        <v>0.33</v>
      </c>
      <c r="BU3359">
        <v>0.11</v>
      </c>
      <c r="BV3359">
        <v>0.22</v>
      </c>
      <c r="BW3359">
        <v>1.95</v>
      </c>
      <c r="BX3359">
        <v>0.34</v>
      </c>
      <c r="BY3359">
        <v>-0.05</v>
      </c>
      <c r="BZ3359">
        <v>1.23</v>
      </c>
      <c r="CA3359">
        <v>0.3</v>
      </c>
      <c r="CB3359">
        <v>0.52</v>
      </c>
      <c r="CC3359">
        <v>-0.27</v>
      </c>
      <c r="CD3359">
        <v>0.44</v>
      </c>
      <c r="CE3359">
        <v>0.39</v>
      </c>
      <c r="CF3359">
        <v>-0.26</v>
      </c>
      <c r="CG3359">
        <v>0</v>
      </c>
      <c r="CH3359">
        <v>0.13</v>
      </c>
      <c r="CI3359">
        <v>0</v>
      </c>
      <c r="CJ3359">
        <v>2.7</v>
      </c>
      <c r="CK3359">
        <v>95</v>
      </c>
      <c r="CL3359">
        <v>-0.42</v>
      </c>
      <c r="CM3359">
        <v>94</v>
      </c>
      <c r="CN3359">
        <v>-0.45</v>
      </c>
      <c r="CO3359">
        <v>93</v>
      </c>
      <c r="CP3359">
        <v>-1.4</v>
      </c>
      <c r="CQ3359">
        <v>92</v>
      </c>
      <c r="CR3359">
        <v>0</v>
      </c>
      <c r="CS3359">
        <v>0</v>
      </c>
      <c r="CT3359">
        <v>6.1</v>
      </c>
      <c r="CU3359">
        <v>89</v>
      </c>
      <c r="CV3359">
        <v>0.14000000000000001</v>
      </c>
      <c r="CW3359">
        <v>44</v>
      </c>
      <c r="CX3359" t="s">
        <v>643</v>
      </c>
    </row>
    <row r="3360" spans="1:102" x14ac:dyDescent="0.3">
      <c r="A3360" t="str">
        <f>HYPERLINK("https://webapp.icbf.com/v2/app/bull-search/view/77853463","SSA")</f>
        <v>SSA</v>
      </c>
      <c r="B3360" t="s">
        <v>4929</v>
      </c>
      <c r="C3360" t="s">
        <v>4930</v>
      </c>
      <c r="D3360" s="1">
        <v>33565</v>
      </c>
      <c r="E3360" t="s">
        <v>92</v>
      </c>
      <c r="F3360">
        <v>97</v>
      </c>
      <c r="G3360" t="s">
        <v>93</v>
      </c>
      <c r="H3360">
        <v>-30.72</v>
      </c>
      <c r="I3360">
        <v>90</v>
      </c>
      <c r="J3360">
        <v>-24.66</v>
      </c>
      <c r="K3360">
        <v>98</v>
      </c>
      <c r="L3360">
        <v>-49.23</v>
      </c>
      <c r="M3360">
        <v>84</v>
      </c>
      <c r="N3360">
        <v>26.92</v>
      </c>
      <c r="O3360">
        <v>84</v>
      </c>
      <c r="P3360">
        <v>-2.2000000000000002</v>
      </c>
      <c r="Q3360">
        <v>95</v>
      </c>
      <c r="R3360">
        <v>-9.9499999999999993</v>
      </c>
      <c r="S3360">
        <v>81</v>
      </c>
      <c r="T3360">
        <v>24.85</v>
      </c>
      <c r="U3360">
        <v>98</v>
      </c>
      <c r="V3360">
        <v>3.55</v>
      </c>
      <c r="W3360">
        <v>59</v>
      </c>
      <c r="X3360" t="s">
        <v>94</v>
      </c>
      <c r="Y3360" t="s">
        <v>95</v>
      </c>
      <c r="Z3360" t="s">
        <v>96</v>
      </c>
      <c r="AA3360" t="s">
        <v>118</v>
      </c>
      <c r="AB3360" t="s">
        <v>4931</v>
      </c>
      <c r="AC3360">
        <v>307</v>
      </c>
      <c r="AD3360">
        <v>211</v>
      </c>
      <c r="AE3360">
        <v>98</v>
      </c>
      <c r="AF3360">
        <v>-66.41</v>
      </c>
      <c r="AG3360">
        <v>0.82</v>
      </c>
      <c r="AH3360">
        <v>-5.5</v>
      </c>
      <c r="AI3360">
        <v>0.06</v>
      </c>
      <c r="AJ3360">
        <v>-0.05</v>
      </c>
      <c r="AK3360">
        <v>84</v>
      </c>
      <c r="AL3360">
        <v>510</v>
      </c>
      <c r="AM3360">
        <v>328</v>
      </c>
      <c r="AN3360">
        <v>3.13</v>
      </c>
      <c r="AO3360">
        <v>-0.79</v>
      </c>
      <c r="AP3360">
        <v>3</v>
      </c>
      <c r="AQ3360">
        <v>0</v>
      </c>
      <c r="AR3360">
        <v>5.43</v>
      </c>
      <c r="AS3360">
        <v>61</v>
      </c>
      <c r="AT3360">
        <v>2.65</v>
      </c>
      <c r="AU3360">
        <v>80</v>
      </c>
      <c r="AV3360">
        <v>-1.99</v>
      </c>
      <c r="AW3360">
        <v>91</v>
      </c>
      <c r="AX3360">
        <v>0.36</v>
      </c>
      <c r="AY3360">
        <v>94</v>
      </c>
      <c r="AZ3360">
        <v>5.23</v>
      </c>
      <c r="BA3360">
        <v>63</v>
      </c>
      <c r="BB3360">
        <v>4.7300000000000004</v>
      </c>
      <c r="BC3360">
        <v>79</v>
      </c>
      <c r="BD3360">
        <v>7.0000000000000007E-2</v>
      </c>
      <c r="BE3360">
        <v>0.08</v>
      </c>
      <c r="BF3360">
        <v>-0.04</v>
      </c>
      <c r="BG3360">
        <v>95</v>
      </c>
      <c r="BH3360">
        <v>0.14000000000000001</v>
      </c>
      <c r="BI3360">
        <v>4.74</v>
      </c>
      <c r="BJ3360">
        <v>36</v>
      </c>
      <c r="BK3360">
        <v>31</v>
      </c>
      <c r="BL3360">
        <v>-0.03</v>
      </c>
      <c r="BM3360">
        <v>-7.0000000000000007E-2</v>
      </c>
      <c r="BN3360">
        <v>-0.63</v>
      </c>
      <c r="BO3360">
        <v>-0.34</v>
      </c>
      <c r="BP3360">
        <v>-1.0900000000000001</v>
      </c>
      <c r="BQ3360">
        <v>0.33</v>
      </c>
      <c r="BR3360">
        <v>-1.06</v>
      </c>
      <c r="BS3360">
        <v>-0.22</v>
      </c>
      <c r="BT3360">
        <v>1.65</v>
      </c>
      <c r="BU3360">
        <v>0.52</v>
      </c>
      <c r="BV3360">
        <v>0.47</v>
      </c>
      <c r="BW3360">
        <v>0.45</v>
      </c>
      <c r="BX3360">
        <v>0.73</v>
      </c>
      <c r="BY3360">
        <v>0.08</v>
      </c>
      <c r="BZ3360">
        <v>-1.48</v>
      </c>
      <c r="CA3360">
        <v>0.04</v>
      </c>
      <c r="CB3360">
        <v>0.39</v>
      </c>
      <c r="CC3360">
        <v>-0.82</v>
      </c>
      <c r="CD3360">
        <v>-0.1</v>
      </c>
      <c r="CE3360">
        <v>-0.11</v>
      </c>
      <c r="CF3360">
        <v>-0.4</v>
      </c>
      <c r="CG3360">
        <v>0</v>
      </c>
      <c r="CH3360">
        <v>1.07</v>
      </c>
      <c r="CI3360">
        <v>0</v>
      </c>
      <c r="CJ3360">
        <v>1.1000000000000001</v>
      </c>
      <c r="CK3360">
        <v>95</v>
      </c>
      <c r="CL3360">
        <v>-0.3</v>
      </c>
      <c r="CM3360">
        <v>94</v>
      </c>
      <c r="CN3360">
        <v>-0.08</v>
      </c>
      <c r="CO3360">
        <v>94</v>
      </c>
      <c r="CP3360">
        <v>-10.4</v>
      </c>
      <c r="CQ3360">
        <v>97</v>
      </c>
      <c r="CR3360">
        <v>0</v>
      </c>
      <c r="CS3360">
        <v>0</v>
      </c>
      <c r="CT3360">
        <v>-19.8</v>
      </c>
      <c r="CU3360">
        <v>98</v>
      </c>
      <c r="CV3360">
        <v>0.15</v>
      </c>
      <c r="CW3360">
        <v>29</v>
      </c>
      <c r="CX3360" t="s">
        <v>617</v>
      </c>
    </row>
    <row r="3361" spans="1:102" x14ac:dyDescent="0.3">
      <c r="A3361" t="str">
        <f>HYPERLINK("https://webapp.icbf.com/v2/app/bull-search/view/108897550","PEI")</f>
        <v>PEI</v>
      </c>
      <c r="B3361" t="s">
        <v>15669</v>
      </c>
      <c r="C3361" t="s">
        <v>15670</v>
      </c>
      <c r="D3361" s="1">
        <v>34541</v>
      </c>
      <c r="E3361" t="s">
        <v>895</v>
      </c>
      <c r="F3361">
        <v>0</v>
      </c>
      <c r="G3361" t="s">
        <v>116</v>
      </c>
      <c r="H3361">
        <v>-30.81</v>
      </c>
      <c r="I3361">
        <v>28</v>
      </c>
      <c r="J3361">
        <v>-46.4</v>
      </c>
      <c r="K3361">
        <v>50</v>
      </c>
      <c r="L3361">
        <v>2.23</v>
      </c>
      <c r="M3361">
        <v>12</v>
      </c>
      <c r="N3361">
        <v>-7.92</v>
      </c>
      <c r="O3361">
        <v>20</v>
      </c>
      <c r="P3361">
        <v>-11.08</v>
      </c>
      <c r="Q3361">
        <v>26</v>
      </c>
      <c r="R3361">
        <v>0.04</v>
      </c>
      <c r="S3361">
        <v>17</v>
      </c>
      <c r="T3361">
        <v>34.619999999999997</v>
      </c>
      <c r="U3361">
        <v>27</v>
      </c>
      <c r="V3361">
        <v>-2.2999999999999998</v>
      </c>
      <c r="W3361">
        <v>4</v>
      </c>
      <c r="X3361" t="s">
        <v>234</v>
      </c>
      <c r="Y3361" t="s">
        <v>95</v>
      </c>
      <c r="Z3361">
        <v>0</v>
      </c>
      <c r="AA3361" t="s">
        <v>15671</v>
      </c>
      <c r="AB3361" t="s">
        <v>144</v>
      </c>
      <c r="AC3361">
        <v>5</v>
      </c>
      <c r="AD3361">
        <v>5</v>
      </c>
      <c r="AE3361">
        <v>50</v>
      </c>
      <c r="AF3361">
        <v>-307.11</v>
      </c>
      <c r="AG3361">
        <v>-11</v>
      </c>
      <c r="AH3361">
        <v>-8.6999999999999993</v>
      </c>
      <c r="AI3361">
        <v>0.02</v>
      </c>
      <c r="AJ3361">
        <v>0.03</v>
      </c>
      <c r="AK3361">
        <v>12</v>
      </c>
      <c r="AL3361">
        <v>3</v>
      </c>
      <c r="AM3361">
        <v>3</v>
      </c>
      <c r="AN3361">
        <v>0.82</v>
      </c>
      <c r="AO3361">
        <v>1.01</v>
      </c>
      <c r="AP3361">
        <v>10</v>
      </c>
      <c r="AQ3361">
        <v>2</v>
      </c>
      <c r="AR3361">
        <v>6.95</v>
      </c>
      <c r="AS3361">
        <v>8</v>
      </c>
      <c r="AT3361">
        <v>3.23</v>
      </c>
      <c r="AU3361">
        <v>22</v>
      </c>
      <c r="AV3361">
        <v>1.47</v>
      </c>
      <c r="AW3361">
        <v>23</v>
      </c>
      <c r="AX3361">
        <v>0.46</v>
      </c>
      <c r="AY3361">
        <v>29</v>
      </c>
      <c r="AZ3361">
        <v>5.65</v>
      </c>
      <c r="BA3361">
        <v>6</v>
      </c>
      <c r="BB3361">
        <v>4.3499999999999996</v>
      </c>
      <c r="BC3361">
        <v>8</v>
      </c>
      <c r="BD3361">
        <v>0</v>
      </c>
      <c r="BE3361">
        <v>0.01</v>
      </c>
      <c r="BF3361">
        <v>-0.02</v>
      </c>
      <c r="BG3361">
        <v>21</v>
      </c>
      <c r="BH3361">
        <v>0.02</v>
      </c>
      <c r="BI3361">
        <v>9.74</v>
      </c>
      <c r="BJ3361">
        <v>0</v>
      </c>
      <c r="BK3361">
        <v>0</v>
      </c>
      <c r="BL3361">
        <v>0</v>
      </c>
      <c r="BM3361">
        <v>0</v>
      </c>
      <c r="BN3361">
        <v>0</v>
      </c>
      <c r="BO3361">
        <v>0</v>
      </c>
      <c r="BP3361">
        <v>0</v>
      </c>
      <c r="BQ3361">
        <v>0</v>
      </c>
      <c r="BR3361">
        <v>0</v>
      </c>
      <c r="BS3361">
        <v>0</v>
      </c>
      <c r="BT3361">
        <v>0</v>
      </c>
      <c r="BU3361">
        <v>0</v>
      </c>
      <c r="BV3361">
        <v>0</v>
      </c>
      <c r="BW3361">
        <v>0</v>
      </c>
      <c r="BX3361">
        <v>0</v>
      </c>
      <c r="BY3361">
        <v>0</v>
      </c>
      <c r="BZ3361">
        <v>0</v>
      </c>
      <c r="CA3361">
        <v>0</v>
      </c>
      <c r="CB3361">
        <v>0</v>
      </c>
      <c r="CC3361">
        <v>0</v>
      </c>
      <c r="CD3361">
        <v>0</v>
      </c>
      <c r="CE3361">
        <v>0</v>
      </c>
      <c r="CF3361">
        <v>0</v>
      </c>
      <c r="CG3361">
        <v>0</v>
      </c>
      <c r="CH3361">
        <v>0</v>
      </c>
      <c r="CI3361">
        <v>0</v>
      </c>
      <c r="CJ3361">
        <v>-8.6999999999999993</v>
      </c>
      <c r="CK3361">
        <v>29</v>
      </c>
      <c r="CL3361">
        <v>0</v>
      </c>
      <c r="CM3361">
        <v>24</v>
      </c>
      <c r="CN3361">
        <v>-0.28000000000000003</v>
      </c>
      <c r="CO3361">
        <v>20</v>
      </c>
      <c r="CP3361">
        <v>-15.7</v>
      </c>
      <c r="CQ3361">
        <v>25</v>
      </c>
      <c r="CR3361">
        <v>0</v>
      </c>
      <c r="CS3361">
        <v>0</v>
      </c>
      <c r="CT3361">
        <v>-33</v>
      </c>
      <c r="CU3361">
        <v>27</v>
      </c>
      <c r="CV3361">
        <v>-0.26</v>
      </c>
      <c r="CW3361">
        <v>7</v>
      </c>
      <c r="CX3361">
        <v>0</v>
      </c>
    </row>
    <row r="3362" spans="1:102" x14ac:dyDescent="0.3">
      <c r="A3362" t="str">
        <f>HYPERLINK("https://webapp.icbf.com/v2/app/bull-search/view/77856805","HDM")</f>
        <v>HDM</v>
      </c>
      <c r="B3362" t="s">
        <v>4922</v>
      </c>
      <c r="C3362" t="s">
        <v>4923</v>
      </c>
      <c r="D3362" s="1">
        <v>36095</v>
      </c>
      <c r="E3362" t="s">
        <v>92</v>
      </c>
      <c r="F3362">
        <v>100</v>
      </c>
      <c r="G3362" t="s">
        <v>116</v>
      </c>
      <c r="H3362">
        <v>-30.82</v>
      </c>
      <c r="I3362">
        <v>33</v>
      </c>
      <c r="J3362">
        <v>53.87</v>
      </c>
      <c r="K3362">
        <v>42</v>
      </c>
      <c r="L3362">
        <v>-80.38</v>
      </c>
      <c r="M3362">
        <v>26</v>
      </c>
      <c r="N3362">
        <v>-6.36</v>
      </c>
      <c r="O3362">
        <v>30</v>
      </c>
      <c r="P3362">
        <v>-8.4600000000000009</v>
      </c>
      <c r="Q3362">
        <v>38</v>
      </c>
      <c r="R3362">
        <v>-4.9000000000000004</v>
      </c>
      <c r="S3362">
        <v>28</v>
      </c>
      <c r="T3362">
        <v>16.27</v>
      </c>
      <c r="U3362">
        <v>33</v>
      </c>
      <c r="V3362">
        <v>-0.86</v>
      </c>
      <c r="W3362">
        <v>19</v>
      </c>
      <c r="X3362" t="s">
        <v>94</v>
      </c>
      <c r="Y3362" t="s">
        <v>3278</v>
      </c>
      <c r="Z3362" t="s">
        <v>96</v>
      </c>
      <c r="AA3362" t="s">
        <v>961</v>
      </c>
      <c r="AB3362" t="s">
        <v>4924</v>
      </c>
      <c r="AC3362">
        <v>3</v>
      </c>
      <c r="AD3362">
        <v>2</v>
      </c>
      <c r="AE3362">
        <v>42</v>
      </c>
      <c r="AF3362">
        <v>222.11</v>
      </c>
      <c r="AG3362">
        <v>7.55</v>
      </c>
      <c r="AH3362">
        <v>9.89</v>
      </c>
      <c r="AI3362">
        <v>-0.02</v>
      </c>
      <c r="AJ3362">
        <v>0.04</v>
      </c>
      <c r="AK3362">
        <v>26</v>
      </c>
      <c r="AL3362">
        <v>3</v>
      </c>
      <c r="AM3362">
        <v>2</v>
      </c>
      <c r="AN3362">
        <v>4.38</v>
      </c>
      <c r="AO3362">
        <v>-2.0299999999999998</v>
      </c>
      <c r="AP3362">
        <v>1</v>
      </c>
      <c r="AQ3362">
        <v>0</v>
      </c>
      <c r="AR3362">
        <v>9.17</v>
      </c>
      <c r="AS3362">
        <v>21</v>
      </c>
      <c r="AT3362">
        <v>4.0599999999999996</v>
      </c>
      <c r="AU3362">
        <v>30</v>
      </c>
      <c r="AV3362">
        <v>-0.34</v>
      </c>
      <c r="AW3362">
        <v>34</v>
      </c>
      <c r="AX3362">
        <v>-0.22</v>
      </c>
      <c r="AY3362">
        <v>31</v>
      </c>
      <c r="AZ3362">
        <v>5.22</v>
      </c>
      <c r="BA3362">
        <v>20</v>
      </c>
      <c r="BB3362">
        <v>4.51</v>
      </c>
      <c r="BC3362">
        <v>23</v>
      </c>
      <c r="BD3362">
        <v>0.01</v>
      </c>
      <c r="BE3362">
        <v>0.04</v>
      </c>
      <c r="BF3362">
        <v>0.02</v>
      </c>
      <c r="BG3362">
        <v>32</v>
      </c>
      <c r="BH3362">
        <v>0.01</v>
      </c>
      <c r="BI3362">
        <v>3.92</v>
      </c>
      <c r="BJ3362">
        <v>0</v>
      </c>
      <c r="BK3362">
        <v>0</v>
      </c>
      <c r="BL3362">
        <v>-0.06</v>
      </c>
      <c r="BM3362">
        <v>-0.16</v>
      </c>
      <c r="BN3362">
        <v>-0.41</v>
      </c>
      <c r="BO3362">
        <v>-0.02</v>
      </c>
      <c r="BP3362">
        <v>0.27</v>
      </c>
      <c r="BQ3362">
        <v>-0.95</v>
      </c>
      <c r="BR3362">
        <v>0.11</v>
      </c>
      <c r="BS3362">
        <v>0.01</v>
      </c>
      <c r="BT3362">
        <v>-0.04</v>
      </c>
      <c r="BU3362">
        <v>-0.5</v>
      </c>
      <c r="BV3362">
        <v>-0.24</v>
      </c>
      <c r="BW3362">
        <v>-0.35</v>
      </c>
      <c r="BX3362">
        <v>-0.27</v>
      </c>
      <c r="BY3362">
        <v>-0.31</v>
      </c>
      <c r="BZ3362">
        <v>-0.49</v>
      </c>
      <c r="CA3362">
        <v>-0.1</v>
      </c>
      <c r="CB3362">
        <v>-0.16</v>
      </c>
      <c r="CC3362">
        <v>-0.01</v>
      </c>
      <c r="CD3362">
        <v>-0.18</v>
      </c>
      <c r="CE3362">
        <v>0.01</v>
      </c>
      <c r="CF3362">
        <v>-0.3</v>
      </c>
      <c r="CG3362">
        <v>0</v>
      </c>
      <c r="CH3362">
        <v>0.01</v>
      </c>
      <c r="CI3362">
        <v>0</v>
      </c>
      <c r="CJ3362">
        <v>-2.8</v>
      </c>
      <c r="CK3362">
        <v>39</v>
      </c>
      <c r="CL3362">
        <v>-0.56000000000000005</v>
      </c>
      <c r="CM3362">
        <v>36</v>
      </c>
      <c r="CN3362">
        <v>-0.22</v>
      </c>
      <c r="CO3362">
        <v>32</v>
      </c>
      <c r="CP3362">
        <v>-9.3000000000000007</v>
      </c>
      <c r="CQ3362">
        <v>43</v>
      </c>
      <c r="CR3362">
        <v>0</v>
      </c>
      <c r="CS3362">
        <v>0</v>
      </c>
      <c r="CT3362">
        <v>-8.1999999999999993</v>
      </c>
      <c r="CU3362">
        <v>33</v>
      </c>
      <c r="CV3362">
        <v>0.13</v>
      </c>
      <c r="CW3362">
        <v>10</v>
      </c>
      <c r="CX3362" t="s">
        <v>218</v>
      </c>
    </row>
    <row r="3363" spans="1:102" x14ac:dyDescent="0.3">
      <c r="A3363" t="str">
        <f>HYPERLINK("https://webapp.icbf.com/v2/app/bull-search/view/77858287","DEC")</f>
        <v>DEC</v>
      </c>
      <c r="B3363" t="s">
        <v>11013</v>
      </c>
      <c r="C3363" t="s">
        <v>11014</v>
      </c>
      <c r="D3363" s="1">
        <v>33090</v>
      </c>
      <c r="E3363" t="s">
        <v>92</v>
      </c>
      <c r="F3363">
        <v>100</v>
      </c>
      <c r="G3363" t="s">
        <v>93</v>
      </c>
      <c r="H3363">
        <v>-30.96</v>
      </c>
      <c r="I3363">
        <v>96</v>
      </c>
      <c r="J3363">
        <v>73.02</v>
      </c>
      <c r="K3363">
        <v>99</v>
      </c>
      <c r="L3363">
        <v>-109.96</v>
      </c>
      <c r="M3363">
        <v>94</v>
      </c>
      <c r="N3363">
        <v>5.9</v>
      </c>
      <c r="O3363">
        <v>93</v>
      </c>
      <c r="P3363">
        <v>-14.35</v>
      </c>
      <c r="Q3363">
        <v>97</v>
      </c>
      <c r="R3363">
        <v>-1.28</v>
      </c>
      <c r="S3363">
        <v>90</v>
      </c>
      <c r="T3363">
        <v>11.46</v>
      </c>
      <c r="U3363">
        <v>97</v>
      </c>
      <c r="V3363">
        <v>4.25</v>
      </c>
      <c r="W3363">
        <v>85</v>
      </c>
      <c r="X3363" t="s">
        <v>94</v>
      </c>
      <c r="Y3363" t="s">
        <v>95</v>
      </c>
      <c r="Z3363" t="s">
        <v>96</v>
      </c>
      <c r="AA3363" t="s">
        <v>118</v>
      </c>
      <c r="AB3363" t="s">
        <v>655</v>
      </c>
      <c r="AC3363">
        <v>811</v>
      </c>
      <c r="AD3363">
        <v>392</v>
      </c>
      <c r="AE3363">
        <v>99</v>
      </c>
      <c r="AF3363">
        <v>103.23</v>
      </c>
      <c r="AG3363">
        <v>16.93</v>
      </c>
      <c r="AH3363">
        <v>8.01</v>
      </c>
      <c r="AI3363">
        <v>0.22</v>
      </c>
      <c r="AJ3363">
        <v>0.08</v>
      </c>
      <c r="AK3363">
        <v>94</v>
      </c>
      <c r="AL3363">
        <v>859</v>
      </c>
      <c r="AM3363">
        <v>420</v>
      </c>
      <c r="AN3363">
        <v>7.46</v>
      </c>
      <c r="AO3363">
        <v>-1.29</v>
      </c>
      <c r="AP3363">
        <v>61</v>
      </c>
      <c r="AQ3363">
        <v>2</v>
      </c>
      <c r="AR3363">
        <v>6.63</v>
      </c>
      <c r="AS3363">
        <v>82</v>
      </c>
      <c r="AT3363">
        <v>3.32</v>
      </c>
      <c r="AU3363">
        <v>94</v>
      </c>
      <c r="AV3363">
        <v>-1.1299999999999999</v>
      </c>
      <c r="AW3363">
        <v>96</v>
      </c>
      <c r="AX3363">
        <v>0.09</v>
      </c>
      <c r="AY3363">
        <v>97</v>
      </c>
      <c r="AZ3363">
        <v>7.69</v>
      </c>
      <c r="BA3363">
        <v>81</v>
      </c>
      <c r="BB3363">
        <v>5.34</v>
      </c>
      <c r="BC3363">
        <v>92</v>
      </c>
      <c r="BD3363">
        <v>0.02</v>
      </c>
      <c r="BE3363">
        <v>0.04</v>
      </c>
      <c r="BF3363">
        <v>-0.08</v>
      </c>
      <c r="BG3363">
        <v>98</v>
      </c>
      <c r="BH3363">
        <v>0.05</v>
      </c>
      <c r="BI3363">
        <v>-7.94</v>
      </c>
      <c r="BJ3363">
        <v>27</v>
      </c>
      <c r="BK3363">
        <v>14</v>
      </c>
      <c r="BL3363">
        <v>-0.56000000000000005</v>
      </c>
      <c r="BM3363">
        <v>-0.88</v>
      </c>
      <c r="BN3363">
        <v>-0.44</v>
      </c>
      <c r="BO3363">
        <v>0.06</v>
      </c>
      <c r="BP3363">
        <v>-1.1299999999999999</v>
      </c>
      <c r="BQ3363">
        <v>-2.57</v>
      </c>
      <c r="BR3363">
        <v>-2.42</v>
      </c>
      <c r="BS3363">
        <v>-0.4</v>
      </c>
      <c r="BT3363">
        <v>1.01</v>
      </c>
      <c r="BU3363">
        <v>-2.08</v>
      </c>
      <c r="BV3363">
        <v>-0.56000000000000005</v>
      </c>
      <c r="BW3363">
        <v>-0.95</v>
      </c>
      <c r="BX3363">
        <v>-1.99</v>
      </c>
      <c r="BY3363">
        <v>-2.99</v>
      </c>
      <c r="BZ3363">
        <v>0.55000000000000004</v>
      </c>
      <c r="CA3363">
        <v>-1.33</v>
      </c>
      <c r="CB3363">
        <v>-1.72</v>
      </c>
      <c r="CC3363">
        <v>0.1</v>
      </c>
      <c r="CD3363">
        <v>0.15</v>
      </c>
      <c r="CE3363">
        <v>-0.2</v>
      </c>
      <c r="CF3363">
        <v>-1.53</v>
      </c>
      <c r="CG3363">
        <v>0</v>
      </c>
      <c r="CH3363">
        <v>-2.78</v>
      </c>
      <c r="CI3363">
        <v>0</v>
      </c>
      <c r="CJ3363">
        <v>-5.0999999999999996</v>
      </c>
      <c r="CK3363">
        <v>97</v>
      </c>
      <c r="CL3363">
        <v>-0.69</v>
      </c>
      <c r="CM3363">
        <v>97</v>
      </c>
      <c r="CN3363">
        <v>-0.15</v>
      </c>
      <c r="CO3363">
        <v>97</v>
      </c>
      <c r="CP3363">
        <v>-13</v>
      </c>
      <c r="CQ3363">
        <v>98</v>
      </c>
      <c r="CR3363">
        <v>0</v>
      </c>
      <c r="CS3363">
        <v>0</v>
      </c>
      <c r="CT3363">
        <v>-1.7</v>
      </c>
      <c r="CU3363">
        <v>97</v>
      </c>
      <c r="CV3363">
        <v>0.15</v>
      </c>
      <c r="CW3363">
        <v>46</v>
      </c>
      <c r="CX3363" t="s">
        <v>168</v>
      </c>
    </row>
    <row r="3364" spans="1:102" x14ac:dyDescent="0.3">
      <c r="A3364" t="str">
        <f>HYPERLINK("https://webapp.icbf.com/v2/app/bull-search/view/69091777","GML")</f>
        <v>GML</v>
      </c>
      <c r="B3364" t="s">
        <v>3272</v>
      </c>
      <c r="C3364" t="s">
        <v>3273</v>
      </c>
      <c r="D3364" s="1">
        <v>33583</v>
      </c>
      <c r="E3364" t="s">
        <v>140</v>
      </c>
      <c r="F3364">
        <v>0</v>
      </c>
      <c r="G3364" t="s">
        <v>93</v>
      </c>
      <c r="H3364">
        <v>-31.01</v>
      </c>
      <c r="I3364">
        <v>88</v>
      </c>
      <c r="J3364">
        <v>-61.6</v>
      </c>
      <c r="K3364">
        <v>98</v>
      </c>
      <c r="L3364">
        <v>49</v>
      </c>
      <c r="M3364">
        <v>78</v>
      </c>
      <c r="N3364">
        <v>-15.4</v>
      </c>
      <c r="O3364">
        <v>87</v>
      </c>
      <c r="P3364">
        <v>18.649999999999999</v>
      </c>
      <c r="Q3364">
        <v>97</v>
      </c>
      <c r="R3364">
        <v>6.77</v>
      </c>
      <c r="S3364">
        <v>79</v>
      </c>
      <c r="T3364">
        <v>-2.97</v>
      </c>
      <c r="U3364">
        <v>92</v>
      </c>
      <c r="V3364">
        <v>-25.46</v>
      </c>
      <c r="W3364">
        <v>72</v>
      </c>
      <c r="X3364" t="s">
        <v>94</v>
      </c>
      <c r="Y3364" t="s">
        <v>95</v>
      </c>
      <c r="Z3364" t="s">
        <v>96</v>
      </c>
      <c r="AA3364" t="s">
        <v>3274</v>
      </c>
      <c r="AB3364" t="s">
        <v>3275</v>
      </c>
      <c r="AC3364">
        <v>197</v>
      </c>
      <c r="AD3364">
        <v>116</v>
      </c>
      <c r="AE3364">
        <v>98</v>
      </c>
      <c r="AF3364">
        <v>-314.74</v>
      </c>
      <c r="AG3364">
        <v>-11.09</v>
      </c>
      <c r="AH3364">
        <v>-11.37</v>
      </c>
      <c r="AI3364">
        <v>0.02</v>
      </c>
      <c r="AJ3364">
        <v>-0.01</v>
      </c>
      <c r="AK3364">
        <v>78</v>
      </c>
      <c r="AL3364">
        <v>231</v>
      </c>
      <c r="AM3364">
        <v>137</v>
      </c>
      <c r="AN3364">
        <v>-2.4900000000000002</v>
      </c>
      <c r="AO3364">
        <v>1.42</v>
      </c>
      <c r="AP3364">
        <v>115</v>
      </c>
      <c r="AQ3364">
        <v>0</v>
      </c>
      <c r="AR3364">
        <v>9.69</v>
      </c>
      <c r="AS3364">
        <v>66</v>
      </c>
      <c r="AT3364">
        <v>4.5599999999999996</v>
      </c>
      <c r="AU3364">
        <v>85</v>
      </c>
      <c r="AV3364">
        <v>0.13</v>
      </c>
      <c r="AW3364">
        <v>96</v>
      </c>
      <c r="AX3364">
        <v>-0.12</v>
      </c>
      <c r="AY3364">
        <v>90</v>
      </c>
      <c r="AZ3364">
        <v>5.85</v>
      </c>
      <c r="BA3364">
        <v>65</v>
      </c>
      <c r="BB3364">
        <v>3.83</v>
      </c>
      <c r="BC3364">
        <v>77</v>
      </c>
      <c r="BD3364">
        <v>-0.01</v>
      </c>
      <c r="BE3364">
        <v>-0.01</v>
      </c>
      <c r="BF3364">
        <v>-0.12</v>
      </c>
      <c r="BG3364">
        <v>91</v>
      </c>
      <c r="BH3364">
        <v>-0.28999999999999998</v>
      </c>
      <c r="BI3364">
        <v>48.57</v>
      </c>
      <c r="BJ3364">
        <v>0</v>
      </c>
      <c r="BK3364">
        <v>0</v>
      </c>
      <c r="BL3364">
        <v>-1.0900000000000001</v>
      </c>
      <c r="BM3364">
        <v>3.38</v>
      </c>
      <c r="BN3364">
        <v>-1.58</v>
      </c>
      <c r="BO3364">
        <v>-2.95</v>
      </c>
      <c r="BP3364">
        <v>3.92</v>
      </c>
      <c r="BQ3364">
        <v>-1.58</v>
      </c>
      <c r="BR3364">
        <v>-1.97</v>
      </c>
      <c r="BS3364">
        <v>-0.46</v>
      </c>
      <c r="BT3364">
        <v>1.97</v>
      </c>
      <c r="BU3364">
        <v>-3.43</v>
      </c>
      <c r="BV3364">
        <v>-3.81</v>
      </c>
      <c r="BW3364">
        <v>-3.05</v>
      </c>
      <c r="BX3364">
        <v>-2.78</v>
      </c>
      <c r="BY3364">
        <v>-2.34</v>
      </c>
      <c r="BZ3364">
        <v>1.69</v>
      </c>
      <c r="CA3364">
        <v>-2.67</v>
      </c>
      <c r="CB3364">
        <v>-3.21</v>
      </c>
      <c r="CC3364">
        <v>-0.73</v>
      </c>
      <c r="CD3364">
        <v>3.71</v>
      </c>
      <c r="CE3364">
        <v>-3.07</v>
      </c>
      <c r="CF3364">
        <v>-1.3</v>
      </c>
      <c r="CG3364">
        <v>0</v>
      </c>
      <c r="CH3364">
        <v>-2.4</v>
      </c>
      <c r="CI3364">
        <v>0</v>
      </c>
      <c r="CJ3364">
        <v>5.7</v>
      </c>
      <c r="CK3364">
        <v>97</v>
      </c>
      <c r="CL3364">
        <v>0.51</v>
      </c>
      <c r="CM3364">
        <v>96</v>
      </c>
      <c r="CN3364">
        <v>-0.36</v>
      </c>
      <c r="CO3364">
        <v>96</v>
      </c>
      <c r="CP3364">
        <v>8.6999999999999993</v>
      </c>
      <c r="CQ3364">
        <v>96</v>
      </c>
      <c r="CR3364">
        <v>0</v>
      </c>
      <c r="CS3364">
        <v>0</v>
      </c>
      <c r="CT3364">
        <v>17.8</v>
      </c>
      <c r="CU3364">
        <v>92</v>
      </c>
      <c r="CV3364">
        <v>-0.16</v>
      </c>
      <c r="CW3364">
        <v>28</v>
      </c>
      <c r="CX3364" t="s">
        <v>763</v>
      </c>
    </row>
    <row r="3365" spans="1:102" x14ac:dyDescent="0.3">
      <c r="A3365" t="str">
        <f>HYPERLINK("https://webapp.icbf.com/v2/app/bull-search/view/77858560","CRL")</f>
        <v>CRL</v>
      </c>
      <c r="B3365" t="s">
        <v>6569</v>
      </c>
      <c r="C3365" t="s">
        <v>6570</v>
      </c>
      <c r="D3365" s="1">
        <v>31774</v>
      </c>
      <c r="E3365" t="s">
        <v>108</v>
      </c>
      <c r="F3365">
        <v>0</v>
      </c>
      <c r="G3365" t="s">
        <v>116</v>
      </c>
      <c r="H3365">
        <v>-31.07</v>
      </c>
      <c r="I3365">
        <v>51</v>
      </c>
      <c r="J3365">
        <v>-75.680000000000007</v>
      </c>
      <c r="K3365">
        <v>59</v>
      </c>
      <c r="L3365">
        <v>31.48</v>
      </c>
      <c r="M3365">
        <v>45</v>
      </c>
      <c r="N3365">
        <v>19</v>
      </c>
      <c r="O3365">
        <v>35</v>
      </c>
      <c r="P3365">
        <v>-13.13</v>
      </c>
      <c r="Q3365">
        <v>63</v>
      </c>
      <c r="R3365">
        <v>-5.44</v>
      </c>
      <c r="S3365">
        <v>44</v>
      </c>
      <c r="T3365">
        <v>22.48</v>
      </c>
      <c r="U3365">
        <v>71</v>
      </c>
      <c r="V3365">
        <v>-9.7799999999999994</v>
      </c>
      <c r="W3365">
        <v>26</v>
      </c>
      <c r="X3365" t="s">
        <v>276</v>
      </c>
      <c r="Y3365" t="s">
        <v>95</v>
      </c>
      <c r="Z3365" t="s">
        <v>96</v>
      </c>
      <c r="AA3365" t="s">
        <v>587</v>
      </c>
      <c r="AB3365" t="s">
        <v>6571</v>
      </c>
      <c r="AC3365">
        <v>8</v>
      </c>
      <c r="AD3365">
        <v>9</v>
      </c>
      <c r="AE3365">
        <v>59</v>
      </c>
      <c r="AF3365">
        <v>-302.14</v>
      </c>
      <c r="AG3365">
        <v>-13.3</v>
      </c>
      <c r="AH3365">
        <v>-12.79</v>
      </c>
      <c r="AI3365">
        <v>-0.03</v>
      </c>
      <c r="AJ3365">
        <v>-0.04</v>
      </c>
      <c r="AK3365">
        <v>45</v>
      </c>
      <c r="AL3365">
        <v>24</v>
      </c>
      <c r="AM3365">
        <v>14</v>
      </c>
      <c r="AN3365">
        <v>-2.5099999999999998</v>
      </c>
      <c r="AO3365">
        <v>-0.01</v>
      </c>
      <c r="AP3365">
        <v>6</v>
      </c>
      <c r="AQ3365">
        <v>0</v>
      </c>
      <c r="AR3365">
        <v>6.04</v>
      </c>
      <c r="AS3365">
        <v>31</v>
      </c>
      <c r="AT3365">
        <v>2.52</v>
      </c>
      <c r="AU3365">
        <v>30</v>
      </c>
      <c r="AV3365">
        <v>-1.17</v>
      </c>
      <c r="AW3365">
        <v>39</v>
      </c>
      <c r="AX3365">
        <v>-0.22</v>
      </c>
      <c r="AY3365">
        <v>53</v>
      </c>
      <c r="AZ3365">
        <v>6.52</v>
      </c>
      <c r="BA3365">
        <v>18</v>
      </c>
      <c r="BB3365">
        <v>4.88</v>
      </c>
      <c r="BC3365">
        <v>28</v>
      </c>
      <c r="BD3365">
        <v>0.03</v>
      </c>
      <c r="BE3365">
        <v>0.05</v>
      </c>
      <c r="BF3365">
        <v>-0.02</v>
      </c>
      <c r="BG3365">
        <v>58</v>
      </c>
      <c r="BH3365">
        <v>-0.3</v>
      </c>
      <c r="BI3365">
        <v>-3.14</v>
      </c>
      <c r="BJ3365">
        <v>1</v>
      </c>
      <c r="BK3365">
        <v>1</v>
      </c>
      <c r="BL3365">
        <v>-3.01</v>
      </c>
      <c r="BM3365">
        <v>0.97</v>
      </c>
      <c r="BN3365">
        <v>-2.2599999999999998</v>
      </c>
      <c r="BO3365">
        <v>-2.5499999999999998</v>
      </c>
      <c r="BP3365">
        <v>0.84</v>
      </c>
      <c r="BQ3365">
        <v>-0.6</v>
      </c>
      <c r="BR3365">
        <v>-0.45</v>
      </c>
      <c r="BS3365">
        <v>-0.05</v>
      </c>
      <c r="BT3365">
        <v>-0.23</v>
      </c>
      <c r="BU3365">
        <v>-1.68</v>
      </c>
      <c r="BV3365">
        <v>-2.34</v>
      </c>
      <c r="BW3365">
        <v>-2.14</v>
      </c>
      <c r="BX3365">
        <v>-1.59</v>
      </c>
      <c r="BY3365">
        <v>-1.54</v>
      </c>
      <c r="BZ3365">
        <v>-3.19</v>
      </c>
      <c r="CA3365">
        <v>-2.34</v>
      </c>
      <c r="CB3365">
        <v>-2.52</v>
      </c>
      <c r="CC3365">
        <v>-1.02</v>
      </c>
      <c r="CD3365">
        <v>2.33</v>
      </c>
      <c r="CE3365">
        <v>-2.64</v>
      </c>
      <c r="CF3365">
        <v>-3.02</v>
      </c>
      <c r="CG3365">
        <v>0</v>
      </c>
      <c r="CH3365">
        <v>-1.76</v>
      </c>
      <c r="CI3365">
        <v>0</v>
      </c>
      <c r="CJ3365">
        <v>-9.1</v>
      </c>
      <c r="CK3365">
        <v>65</v>
      </c>
      <c r="CL3365">
        <v>-0.04</v>
      </c>
      <c r="CM3365">
        <v>60</v>
      </c>
      <c r="CN3365">
        <v>-0.17</v>
      </c>
      <c r="CO3365">
        <v>55</v>
      </c>
      <c r="CP3365">
        <v>-14.3</v>
      </c>
      <c r="CQ3365">
        <v>71</v>
      </c>
      <c r="CR3365">
        <v>0</v>
      </c>
      <c r="CS3365">
        <v>0</v>
      </c>
      <c r="CT3365">
        <v>-16.600000000000001</v>
      </c>
      <c r="CU3365">
        <v>71</v>
      </c>
      <c r="CV3365">
        <v>-0.18</v>
      </c>
      <c r="CW3365">
        <v>17</v>
      </c>
      <c r="CX3365" t="s">
        <v>6572</v>
      </c>
    </row>
    <row r="3366" spans="1:102" x14ac:dyDescent="0.3">
      <c r="A3366" t="str">
        <f>HYPERLINK("https://webapp.icbf.com/v2/app/bull-search/view/124415044","OYB")</f>
        <v>OYB</v>
      </c>
      <c r="B3366" t="s">
        <v>178</v>
      </c>
      <c r="C3366" t="s">
        <v>179</v>
      </c>
      <c r="D3366" s="1">
        <v>34325</v>
      </c>
      <c r="E3366" t="s">
        <v>92</v>
      </c>
      <c r="F3366">
        <v>100</v>
      </c>
      <c r="G3366" t="s">
        <v>109</v>
      </c>
      <c r="H3366">
        <v>-31.22</v>
      </c>
      <c r="I3366">
        <v>75</v>
      </c>
      <c r="J3366">
        <v>10.210000000000001</v>
      </c>
      <c r="K3366">
        <v>91</v>
      </c>
      <c r="L3366">
        <v>-36.11</v>
      </c>
      <c r="M3366">
        <v>71</v>
      </c>
      <c r="N3366">
        <v>-10.42</v>
      </c>
      <c r="O3366">
        <v>60</v>
      </c>
      <c r="P3366">
        <v>1.31</v>
      </c>
      <c r="Q3366">
        <v>73</v>
      </c>
      <c r="R3366">
        <v>-2.58</v>
      </c>
      <c r="S3366">
        <v>68</v>
      </c>
      <c r="T3366">
        <v>6.5</v>
      </c>
      <c r="U3366">
        <v>66</v>
      </c>
      <c r="V3366">
        <v>-0.13</v>
      </c>
      <c r="W3366">
        <v>54</v>
      </c>
      <c r="X3366" t="s">
        <v>110</v>
      </c>
      <c r="Y3366" t="s">
        <v>95</v>
      </c>
      <c r="Z3366" t="s">
        <v>96</v>
      </c>
      <c r="AA3366" t="s">
        <v>180</v>
      </c>
      <c r="AB3366" t="s">
        <v>181</v>
      </c>
      <c r="AC3366">
        <v>0</v>
      </c>
      <c r="AD3366">
        <v>0</v>
      </c>
      <c r="AE3366">
        <v>91</v>
      </c>
      <c r="AF3366">
        <v>115.25</v>
      </c>
      <c r="AG3366">
        <v>3.28</v>
      </c>
      <c r="AH3366">
        <v>2.34</v>
      </c>
      <c r="AI3366">
        <v>-0.02</v>
      </c>
      <c r="AJ3366">
        <v>-0.03</v>
      </c>
      <c r="AK3366">
        <v>71</v>
      </c>
      <c r="AL3366">
        <v>0</v>
      </c>
      <c r="AM3366">
        <v>0</v>
      </c>
      <c r="AN3366">
        <v>1.1499999999999999</v>
      </c>
      <c r="AO3366">
        <v>-1.74</v>
      </c>
      <c r="AP3366">
        <v>10</v>
      </c>
      <c r="AQ3366">
        <v>0</v>
      </c>
      <c r="AR3366">
        <v>7.29</v>
      </c>
      <c r="AS3366">
        <v>49</v>
      </c>
      <c r="AT3366">
        <v>3.71</v>
      </c>
      <c r="AU3366">
        <v>70</v>
      </c>
      <c r="AV3366">
        <v>1.07</v>
      </c>
      <c r="AW3366">
        <v>61</v>
      </c>
      <c r="AX3366">
        <v>0.22</v>
      </c>
      <c r="AY3366">
        <v>60</v>
      </c>
      <c r="AZ3366">
        <v>5.26</v>
      </c>
      <c r="BA3366">
        <v>41</v>
      </c>
      <c r="BB3366">
        <v>4.72</v>
      </c>
      <c r="BC3366">
        <v>48</v>
      </c>
      <c r="BD3366">
        <v>-0.01</v>
      </c>
      <c r="BE3366">
        <v>0.04</v>
      </c>
      <c r="BF3366">
        <v>0</v>
      </c>
      <c r="BG3366">
        <v>82</v>
      </c>
      <c r="BH3366">
        <v>0.04</v>
      </c>
      <c r="BI3366">
        <v>5.04</v>
      </c>
      <c r="BJ3366">
        <v>0</v>
      </c>
      <c r="BK3366">
        <v>0</v>
      </c>
      <c r="BL3366">
        <v>-0.12</v>
      </c>
      <c r="BM3366">
        <v>1.61</v>
      </c>
      <c r="BN3366">
        <v>0.34</v>
      </c>
      <c r="BO3366">
        <v>-0.4</v>
      </c>
      <c r="BP3366">
        <v>2.34</v>
      </c>
      <c r="BQ3366">
        <v>1.32</v>
      </c>
      <c r="BR3366">
        <v>1.68</v>
      </c>
      <c r="BS3366">
        <v>-1.3</v>
      </c>
      <c r="BT3366">
        <v>-1.5</v>
      </c>
      <c r="BU3366">
        <v>-0.8</v>
      </c>
      <c r="BV3366">
        <v>-0.79</v>
      </c>
      <c r="BW3366">
        <v>-0.68</v>
      </c>
      <c r="BX3366">
        <v>-0.37</v>
      </c>
      <c r="BY3366">
        <v>-0.76</v>
      </c>
      <c r="BZ3366">
        <v>1.37</v>
      </c>
      <c r="CA3366">
        <v>-1.34</v>
      </c>
      <c r="CB3366">
        <v>-0.97</v>
      </c>
      <c r="CC3366">
        <v>-1.82</v>
      </c>
      <c r="CD3366">
        <v>0.7</v>
      </c>
      <c r="CE3366">
        <v>-0.19</v>
      </c>
      <c r="CF3366">
        <v>0.02</v>
      </c>
      <c r="CG3366">
        <v>0</v>
      </c>
      <c r="CH3366">
        <v>-0.15</v>
      </c>
      <c r="CI3366">
        <v>0</v>
      </c>
      <c r="CJ3366">
        <v>1.5</v>
      </c>
      <c r="CK3366">
        <v>75</v>
      </c>
      <c r="CL3366">
        <v>-0.48</v>
      </c>
      <c r="CM3366">
        <v>72</v>
      </c>
      <c r="CN3366">
        <v>-0.32</v>
      </c>
      <c r="CO3366">
        <v>69</v>
      </c>
      <c r="CP3366">
        <v>3</v>
      </c>
      <c r="CQ3366">
        <v>73</v>
      </c>
      <c r="CR3366">
        <v>0</v>
      </c>
      <c r="CS3366">
        <v>0</v>
      </c>
      <c r="CT3366">
        <v>5</v>
      </c>
      <c r="CU3366">
        <v>66</v>
      </c>
      <c r="CV3366">
        <v>0.06</v>
      </c>
      <c r="CW3366">
        <v>40</v>
      </c>
      <c r="CX3366" t="s">
        <v>163</v>
      </c>
    </row>
    <row r="3367" spans="1:102" x14ac:dyDescent="0.3">
      <c r="A3367" t="str">
        <f>HYPERLINK("https://webapp.icbf.com/v2/app/bull-search/view/77853103","TJK")</f>
        <v>TJK</v>
      </c>
      <c r="B3367" t="s">
        <v>7397</v>
      </c>
      <c r="C3367" t="s">
        <v>7398</v>
      </c>
      <c r="D3367" s="1">
        <v>34731</v>
      </c>
      <c r="E3367" t="s">
        <v>92</v>
      </c>
      <c r="F3367">
        <v>100</v>
      </c>
      <c r="G3367" t="s">
        <v>93</v>
      </c>
      <c r="H3367">
        <v>-31.29</v>
      </c>
      <c r="I3367">
        <v>84</v>
      </c>
      <c r="J3367">
        <v>13.07</v>
      </c>
      <c r="K3367">
        <v>96</v>
      </c>
      <c r="L3367">
        <v>-34.43</v>
      </c>
      <c r="M3367">
        <v>79</v>
      </c>
      <c r="N3367">
        <v>0.94</v>
      </c>
      <c r="O3367">
        <v>77</v>
      </c>
      <c r="P3367">
        <v>0.02</v>
      </c>
      <c r="Q3367">
        <v>84</v>
      </c>
      <c r="R3367">
        <v>-12.5</v>
      </c>
      <c r="S3367">
        <v>79</v>
      </c>
      <c r="T3367">
        <v>2.87</v>
      </c>
      <c r="U3367">
        <v>76</v>
      </c>
      <c r="V3367">
        <v>-1.26</v>
      </c>
      <c r="W3367">
        <v>68</v>
      </c>
      <c r="X3367" t="s">
        <v>94</v>
      </c>
      <c r="Y3367" t="s">
        <v>95</v>
      </c>
      <c r="Z3367" t="s">
        <v>96</v>
      </c>
      <c r="AA3367" t="s">
        <v>743</v>
      </c>
      <c r="AB3367" t="s">
        <v>7399</v>
      </c>
      <c r="AC3367">
        <v>90</v>
      </c>
      <c r="AD3367">
        <v>75</v>
      </c>
      <c r="AE3367">
        <v>96</v>
      </c>
      <c r="AF3367">
        <v>44.7</v>
      </c>
      <c r="AG3367">
        <v>-1.82</v>
      </c>
      <c r="AH3367">
        <v>3.55</v>
      </c>
      <c r="AI3367">
        <v>-0.06</v>
      </c>
      <c r="AJ3367">
        <v>0.04</v>
      </c>
      <c r="AK3367">
        <v>79</v>
      </c>
      <c r="AL3367">
        <v>92</v>
      </c>
      <c r="AM3367">
        <v>74</v>
      </c>
      <c r="AN3367">
        <v>2.2999999999999998</v>
      </c>
      <c r="AO3367">
        <v>-0.44</v>
      </c>
      <c r="AP3367">
        <v>11</v>
      </c>
      <c r="AQ3367">
        <v>0</v>
      </c>
      <c r="AR3367">
        <v>8.34</v>
      </c>
      <c r="AS3367">
        <v>60</v>
      </c>
      <c r="AT3367">
        <v>3.85</v>
      </c>
      <c r="AU3367">
        <v>79</v>
      </c>
      <c r="AV3367">
        <v>-0.91</v>
      </c>
      <c r="AW3367">
        <v>83</v>
      </c>
      <c r="AX3367">
        <v>7.0000000000000007E-2</v>
      </c>
      <c r="AY3367">
        <v>79</v>
      </c>
      <c r="AZ3367">
        <v>5.8</v>
      </c>
      <c r="BA3367">
        <v>54</v>
      </c>
      <c r="BB3367">
        <v>4.62</v>
      </c>
      <c r="BC3367">
        <v>67</v>
      </c>
      <c r="BD3367">
        <v>0.05</v>
      </c>
      <c r="BE3367">
        <v>0.06</v>
      </c>
      <c r="BF3367">
        <v>0.09</v>
      </c>
      <c r="BG3367">
        <v>90</v>
      </c>
      <c r="BH3367">
        <v>-0.05</v>
      </c>
      <c r="BI3367">
        <v>-1.71</v>
      </c>
      <c r="BJ3367">
        <v>5</v>
      </c>
      <c r="BK3367">
        <v>5</v>
      </c>
      <c r="BL3367">
        <v>0.13</v>
      </c>
      <c r="BM3367">
        <v>-1.1200000000000001</v>
      </c>
      <c r="BN3367">
        <v>-1.24</v>
      </c>
      <c r="BO3367">
        <v>-0.01</v>
      </c>
      <c r="BP3367">
        <v>0.26</v>
      </c>
      <c r="BQ3367">
        <v>-0.4</v>
      </c>
      <c r="BR3367">
        <v>0.56000000000000005</v>
      </c>
      <c r="BS3367">
        <v>-0.73</v>
      </c>
      <c r="BT3367">
        <v>-0.97</v>
      </c>
      <c r="BU3367">
        <v>0.31</v>
      </c>
      <c r="BV3367">
        <v>0.09</v>
      </c>
      <c r="BW3367">
        <v>-0.27</v>
      </c>
      <c r="BX3367">
        <v>0.41</v>
      </c>
      <c r="BY3367">
        <v>-0.84</v>
      </c>
      <c r="BZ3367">
        <v>1.1499999999999999</v>
      </c>
      <c r="CA3367">
        <v>-0.34</v>
      </c>
      <c r="CB3367">
        <v>-0.32</v>
      </c>
      <c r="CC3367">
        <v>-0.23</v>
      </c>
      <c r="CD3367">
        <v>-0.26</v>
      </c>
      <c r="CE3367">
        <v>-0.28000000000000003</v>
      </c>
      <c r="CF3367">
        <v>0.66</v>
      </c>
      <c r="CG3367">
        <v>0</v>
      </c>
      <c r="CH3367">
        <v>-1.1299999999999999</v>
      </c>
      <c r="CI3367">
        <v>0</v>
      </c>
      <c r="CJ3367">
        <v>2.1</v>
      </c>
      <c r="CK3367">
        <v>85</v>
      </c>
      <c r="CL3367">
        <v>-0.48</v>
      </c>
      <c r="CM3367">
        <v>83</v>
      </c>
      <c r="CN3367">
        <v>-0.18</v>
      </c>
      <c r="CO3367">
        <v>81</v>
      </c>
      <c r="CP3367">
        <v>-0.2</v>
      </c>
      <c r="CQ3367">
        <v>87</v>
      </c>
      <c r="CR3367">
        <v>0</v>
      </c>
      <c r="CS3367">
        <v>0</v>
      </c>
      <c r="CT3367">
        <v>9.9</v>
      </c>
      <c r="CU3367">
        <v>76</v>
      </c>
      <c r="CV3367">
        <v>0.11</v>
      </c>
      <c r="CW3367">
        <v>43</v>
      </c>
      <c r="CX3367" t="s">
        <v>485</v>
      </c>
    </row>
    <row r="3368" spans="1:102" x14ac:dyDescent="0.3">
      <c r="A3368" t="str">
        <f>HYPERLINK("https://webapp.icbf.com/v2/app/bull-search/view/77858719","CXR")</f>
        <v>CXR</v>
      </c>
      <c r="B3368" t="s">
        <v>1482</v>
      </c>
      <c r="C3368" t="s">
        <v>1483</v>
      </c>
      <c r="D3368" s="1">
        <v>33379</v>
      </c>
      <c r="E3368" t="s">
        <v>92</v>
      </c>
      <c r="F3368">
        <v>69</v>
      </c>
      <c r="G3368" t="s">
        <v>93</v>
      </c>
      <c r="H3368">
        <v>-31.37</v>
      </c>
      <c r="I3368">
        <v>86</v>
      </c>
      <c r="J3368">
        <v>5.12</v>
      </c>
      <c r="K3368">
        <v>97</v>
      </c>
      <c r="L3368">
        <v>-17.75</v>
      </c>
      <c r="M3368">
        <v>81</v>
      </c>
      <c r="N3368">
        <v>-16.32</v>
      </c>
      <c r="O3368">
        <v>80</v>
      </c>
      <c r="P3368">
        <v>-14.23</v>
      </c>
      <c r="Q3368">
        <v>91</v>
      </c>
      <c r="R3368">
        <v>-11.87</v>
      </c>
      <c r="S3368">
        <v>80</v>
      </c>
      <c r="T3368">
        <v>32.33</v>
      </c>
      <c r="U3368">
        <v>82</v>
      </c>
      <c r="V3368">
        <v>-8.65</v>
      </c>
      <c r="W3368">
        <v>64</v>
      </c>
      <c r="X3368" t="s">
        <v>94</v>
      </c>
      <c r="Y3368" t="s">
        <v>95</v>
      </c>
      <c r="Z3368" t="s">
        <v>96</v>
      </c>
      <c r="AA3368" t="s">
        <v>1473</v>
      </c>
      <c r="AB3368" t="s">
        <v>1484</v>
      </c>
      <c r="AC3368">
        <v>158</v>
      </c>
      <c r="AD3368">
        <v>100</v>
      </c>
      <c r="AE3368">
        <v>97</v>
      </c>
      <c r="AF3368">
        <v>-13.55</v>
      </c>
      <c r="AG3368">
        <v>0.18</v>
      </c>
      <c r="AH3368">
        <v>0.6</v>
      </c>
      <c r="AI3368">
        <v>0.01</v>
      </c>
      <c r="AJ3368">
        <v>0.02</v>
      </c>
      <c r="AK3368">
        <v>81</v>
      </c>
      <c r="AL3368">
        <v>214</v>
      </c>
      <c r="AM3368">
        <v>132</v>
      </c>
      <c r="AN3368">
        <v>0.63</v>
      </c>
      <c r="AO3368">
        <v>-0.79</v>
      </c>
      <c r="AP3368">
        <v>41</v>
      </c>
      <c r="AQ3368">
        <v>1</v>
      </c>
      <c r="AR3368">
        <v>7.63</v>
      </c>
      <c r="AS3368">
        <v>67</v>
      </c>
      <c r="AT3368">
        <v>3.02</v>
      </c>
      <c r="AU3368">
        <v>77</v>
      </c>
      <c r="AV3368">
        <v>-0.61</v>
      </c>
      <c r="AW3368">
        <v>88</v>
      </c>
      <c r="AX3368">
        <v>0.56000000000000005</v>
      </c>
      <c r="AY3368">
        <v>84</v>
      </c>
      <c r="AZ3368">
        <v>10.97</v>
      </c>
      <c r="BA3368">
        <v>55</v>
      </c>
      <c r="BB3368">
        <v>7.08</v>
      </c>
      <c r="BC3368">
        <v>69</v>
      </c>
      <c r="BD3368">
        <v>0.09</v>
      </c>
      <c r="BE3368">
        <v>7.0000000000000007E-2</v>
      </c>
      <c r="BF3368">
        <v>-0.01</v>
      </c>
      <c r="BG3368">
        <v>94</v>
      </c>
      <c r="BH3368">
        <v>-0.03</v>
      </c>
      <c r="BI3368">
        <v>24.42</v>
      </c>
      <c r="BJ3368">
        <v>29</v>
      </c>
      <c r="BK3368">
        <v>22</v>
      </c>
      <c r="BL3368">
        <v>-1.59</v>
      </c>
      <c r="BM3368">
        <v>-1.1299999999999999</v>
      </c>
      <c r="BN3368">
        <v>-2.4</v>
      </c>
      <c r="BO3368">
        <v>-1.3</v>
      </c>
      <c r="BP3368">
        <v>2.2999999999999998</v>
      </c>
      <c r="BQ3368">
        <v>-1.2</v>
      </c>
      <c r="BR3368">
        <v>0.92</v>
      </c>
      <c r="BS3368">
        <v>-2.33</v>
      </c>
      <c r="BT3368">
        <v>-1.19</v>
      </c>
      <c r="BU3368">
        <v>-1.01</v>
      </c>
      <c r="BV3368">
        <v>-0.67</v>
      </c>
      <c r="BW3368">
        <v>0.14000000000000001</v>
      </c>
      <c r="BX3368">
        <v>-0.28000000000000003</v>
      </c>
      <c r="BY3368">
        <v>0.05</v>
      </c>
      <c r="BZ3368">
        <v>-2.35</v>
      </c>
      <c r="CA3368">
        <v>-1.42</v>
      </c>
      <c r="CB3368">
        <v>-0.99</v>
      </c>
      <c r="CC3368">
        <v>-2.42</v>
      </c>
      <c r="CD3368">
        <v>0.86</v>
      </c>
      <c r="CE3368">
        <v>-1.53</v>
      </c>
      <c r="CF3368">
        <v>-2.4300000000000002</v>
      </c>
      <c r="CG3368">
        <v>0</v>
      </c>
      <c r="CH3368">
        <v>-0.31</v>
      </c>
      <c r="CI3368">
        <v>0</v>
      </c>
      <c r="CJ3368">
        <v>-7.4</v>
      </c>
      <c r="CK3368">
        <v>92</v>
      </c>
      <c r="CL3368">
        <v>-0.36</v>
      </c>
      <c r="CM3368">
        <v>90</v>
      </c>
      <c r="CN3368">
        <v>-0.22</v>
      </c>
      <c r="CO3368">
        <v>89</v>
      </c>
      <c r="CP3368">
        <v>-19.2</v>
      </c>
      <c r="CQ3368">
        <v>92</v>
      </c>
      <c r="CR3368">
        <v>0</v>
      </c>
      <c r="CS3368">
        <v>0</v>
      </c>
      <c r="CT3368">
        <v>-29.9</v>
      </c>
      <c r="CU3368">
        <v>82</v>
      </c>
      <c r="CV3368">
        <v>-7.0000000000000007E-2</v>
      </c>
      <c r="CW3368">
        <v>44</v>
      </c>
      <c r="CX3368" t="s">
        <v>1485</v>
      </c>
    </row>
    <row r="3369" spans="1:102" x14ac:dyDescent="0.3">
      <c r="A3369" t="str">
        <f>HYPERLINK("https://webapp.icbf.com/v2/app/bull-search/view/390655514","KKX")</f>
        <v>KKX</v>
      </c>
      <c r="B3369" t="s">
        <v>4396</v>
      </c>
      <c r="C3369" t="s">
        <v>4397</v>
      </c>
      <c r="D3369" s="1">
        <v>38368</v>
      </c>
      <c r="E3369" t="s">
        <v>92</v>
      </c>
      <c r="F3369">
        <v>94</v>
      </c>
      <c r="G3369" t="s">
        <v>93</v>
      </c>
      <c r="H3369">
        <v>-31.41</v>
      </c>
      <c r="I3369">
        <v>84</v>
      </c>
      <c r="J3369">
        <v>6.65</v>
      </c>
      <c r="K3369">
        <v>95</v>
      </c>
      <c r="L3369">
        <v>-49.84</v>
      </c>
      <c r="M3369">
        <v>77</v>
      </c>
      <c r="N3369">
        <v>16.53</v>
      </c>
      <c r="O3369">
        <v>80</v>
      </c>
      <c r="P3369">
        <v>-17.16</v>
      </c>
      <c r="Q3369">
        <v>85</v>
      </c>
      <c r="R3369">
        <v>-10.119999999999999</v>
      </c>
      <c r="S3369">
        <v>78</v>
      </c>
      <c r="T3369">
        <v>25.89</v>
      </c>
      <c r="U3369">
        <v>76</v>
      </c>
      <c r="V3369">
        <v>-3.36</v>
      </c>
      <c r="W3369">
        <v>74</v>
      </c>
      <c r="X3369" t="s">
        <v>94</v>
      </c>
      <c r="Y3369" t="s">
        <v>228</v>
      </c>
      <c r="Z3369" t="s">
        <v>96</v>
      </c>
      <c r="AA3369" t="s">
        <v>4398</v>
      </c>
      <c r="AB3369" t="s">
        <v>4399</v>
      </c>
      <c r="AC3369">
        <v>43</v>
      </c>
      <c r="AD3369">
        <v>33</v>
      </c>
      <c r="AE3369">
        <v>95</v>
      </c>
      <c r="AF3369">
        <v>45.42</v>
      </c>
      <c r="AG3369">
        <v>0.81</v>
      </c>
      <c r="AH3369">
        <v>1.54</v>
      </c>
      <c r="AI3369">
        <v>-0.02</v>
      </c>
      <c r="AJ3369">
        <v>0</v>
      </c>
      <c r="AK3369">
        <v>77</v>
      </c>
      <c r="AL3369">
        <v>45</v>
      </c>
      <c r="AM3369">
        <v>33</v>
      </c>
      <c r="AN3369">
        <v>3.07</v>
      </c>
      <c r="AO3369">
        <v>-0.9</v>
      </c>
      <c r="AP3369">
        <v>90</v>
      </c>
      <c r="AQ3369">
        <v>1</v>
      </c>
      <c r="AR3369">
        <v>8.56</v>
      </c>
      <c r="AS3369">
        <v>67</v>
      </c>
      <c r="AT3369">
        <v>3.5</v>
      </c>
      <c r="AU3369">
        <v>82</v>
      </c>
      <c r="AV3369">
        <v>-3.3</v>
      </c>
      <c r="AW3369">
        <v>91</v>
      </c>
      <c r="AX3369">
        <v>-0.84</v>
      </c>
      <c r="AY3369">
        <v>72</v>
      </c>
      <c r="AZ3369">
        <v>7.63</v>
      </c>
      <c r="BA3369">
        <v>61</v>
      </c>
      <c r="BB3369">
        <v>5.73</v>
      </c>
      <c r="BC3369">
        <v>60</v>
      </c>
      <c r="BD3369">
        <v>0.04</v>
      </c>
      <c r="BE3369">
        <v>0.04</v>
      </c>
      <c r="BF3369">
        <v>0.09</v>
      </c>
      <c r="BG3369">
        <v>86</v>
      </c>
      <c r="BH3369">
        <v>0.01</v>
      </c>
      <c r="BI3369">
        <v>11.98</v>
      </c>
      <c r="BJ3369">
        <v>4</v>
      </c>
      <c r="BK3369">
        <v>4</v>
      </c>
      <c r="BL3369">
        <v>-0.2</v>
      </c>
      <c r="BM3369">
        <v>-0.78</v>
      </c>
      <c r="BN3369">
        <v>-1.1399999999999999</v>
      </c>
      <c r="BO3369">
        <v>-0.5</v>
      </c>
      <c r="BP3369">
        <v>2.82</v>
      </c>
      <c r="BQ3369">
        <v>-2.16</v>
      </c>
      <c r="BR3369">
        <v>-0.3</v>
      </c>
      <c r="BS3369">
        <v>0.38</v>
      </c>
      <c r="BT3369">
        <v>-0.56000000000000005</v>
      </c>
      <c r="BU3369">
        <v>-3.91</v>
      </c>
      <c r="BV3369">
        <v>-2.42</v>
      </c>
      <c r="BW3369">
        <v>-2.4300000000000002</v>
      </c>
      <c r="BX3369">
        <v>-3.44</v>
      </c>
      <c r="BY3369">
        <v>-2.41</v>
      </c>
      <c r="BZ3369">
        <v>-0.4</v>
      </c>
      <c r="CA3369">
        <v>-2.29</v>
      </c>
      <c r="CB3369">
        <v>-2.97</v>
      </c>
      <c r="CC3369">
        <v>0.05</v>
      </c>
      <c r="CD3369">
        <v>0.11</v>
      </c>
      <c r="CE3369">
        <v>-0.17</v>
      </c>
      <c r="CF3369">
        <v>-0.32</v>
      </c>
      <c r="CG3369">
        <v>0</v>
      </c>
      <c r="CH3369">
        <v>-1.89</v>
      </c>
      <c r="CI3369">
        <v>0</v>
      </c>
      <c r="CJ3369">
        <v>-5.8</v>
      </c>
      <c r="CK3369">
        <v>86</v>
      </c>
      <c r="CL3369">
        <v>-0.77</v>
      </c>
      <c r="CM3369">
        <v>84</v>
      </c>
      <c r="CN3369">
        <v>-0.12</v>
      </c>
      <c r="CO3369">
        <v>81</v>
      </c>
      <c r="CP3369">
        <v>-17.399999999999999</v>
      </c>
      <c r="CQ3369">
        <v>86</v>
      </c>
      <c r="CR3369">
        <v>0</v>
      </c>
      <c r="CS3369">
        <v>0</v>
      </c>
      <c r="CT3369">
        <v>-21.2</v>
      </c>
      <c r="CU3369">
        <v>76</v>
      </c>
      <c r="CV3369">
        <v>0.17</v>
      </c>
      <c r="CW3369">
        <v>43</v>
      </c>
      <c r="CX3369" t="s">
        <v>743</v>
      </c>
    </row>
    <row r="3370" spans="1:102" x14ac:dyDescent="0.3">
      <c r="A3370" t="str">
        <f>HYPERLINK("https://webapp.icbf.com/v2/app/bull-search/view/124414549","DDX")</f>
        <v>DDX</v>
      </c>
      <c r="B3370" t="s">
        <v>8163</v>
      </c>
      <c r="C3370" t="s">
        <v>8164</v>
      </c>
      <c r="D3370" s="1">
        <v>35501</v>
      </c>
      <c r="E3370" t="s">
        <v>108</v>
      </c>
      <c r="F3370">
        <v>6</v>
      </c>
      <c r="G3370" t="s">
        <v>93</v>
      </c>
      <c r="H3370">
        <v>-31.44</v>
      </c>
      <c r="I3370">
        <v>87</v>
      </c>
      <c r="J3370">
        <v>-8.82</v>
      </c>
      <c r="K3370">
        <v>96</v>
      </c>
      <c r="L3370">
        <v>-3.83</v>
      </c>
      <c r="M3370">
        <v>82</v>
      </c>
      <c r="N3370">
        <v>-18.55</v>
      </c>
      <c r="O3370">
        <v>80</v>
      </c>
      <c r="P3370">
        <v>-10.55</v>
      </c>
      <c r="Q3370">
        <v>92</v>
      </c>
      <c r="R3370">
        <v>-11.32</v>
      </c>
      <c r="S3370">
        <v>81</v>
      </c>
      <c r="T3370">
        <v>19.079999999999998</v>
      </c>
      <c r="U3370">
        <v>87</v>
      </c>
      <c r="V3370">
        <v>2.5499999999999998</v>
      </c>
      <c r="W3370">
        <v>76</v>
      </c>
      <c r="X3370" t="s">
        <v>102</v>
      </c>
      <c r="Y3370" t="s">
        <v>95</v>
      </c>
      <c r="Z3370" t="s">
        <v>96</v>
      </c>
      <c r="AA3370" t="s">
        <v>672</v>
      </c>
      <c r="AB3370" t="s">
        <v>1317</v>
      </c>
      <c r="AC3370">
        <v>94</v>
      </c>
      <c r="AD3370">
        <v>63</v>
      </c>
      <c r="AE3370">
        <v>96</v>
      </c>
      <c r="AF3370">
        <v>9.74</v>
      </c>
      <c r="AG3370">
        <v>2.2599999999999998</v>
      </c>
      <c r="AH3370">
        <v>-2.15</v>
      </c>
      <c r="AI3370">
        <v>0.03</v>
      </c>
      <c r="AJ3370">
        <v>-0.04</v>
      </c>
      <c r="AK3370">
        <v>82</v>
      </c>
      <c r="AL3370">
        <v>145</v>
      </c>
      <c r="AM3370">
        <v>94</v>
      </c>
      <c r="AN3370">
        <v>-0.17</v>
      </c>
      <c r="AO3370">
        <v>-0.48</v>
      </c>
      <c r="AP3370">
        <v>17</v>
      </c>
      <c r="AQ3370">
        <v>0</v>
      </c>
      <c r="AR3370">
        <v>6.75</v>
      </c>
      <c r="AS3370">
        <v>70</v>
      </c>
      <c r="AT3370">
        <v>3.19</v>
      </c>
      <c r="AU3370">
        <v>78</v>
      </c>
      <c r="AV3370">
        <v>1.58</v>
      </c>
      <c r="AW3370">
        <v>85</v>
      </c>
      <c r="AX3370">
        <v>-0.34</v>
      </c>
      <c r="AY3370">
        <v>86</v>
      </c>
      <c r="AZ3370">
        <v>8.33</v>
      </c>
      <c r="BA3370">
        <v>67</v>
      </c>
      <c r="BB3370">
        <v>6.01</v>
      </c>
      <c r="BC3370">
        <v>73</v>
      </c>
      <c r="BD3370">
        <v>0.05</v>
      </c>
      <c r="BE3370">
        <v>0.03</v>
      </c>
      <c r="BF3370">
        <v>0.12</v>
      </c>
      <c r="BG3370">
        <v>89</v>
      </c>
      <c r="BH3370">
        <v>0.06</v>
      </c>
      <c r="BI3370">
        <v>-1.29</v>
      </c>
      <c r="BJ3370">
        <v>3</v>
      </c>
      <c r="BK3370">
        <v>2</v>
      </c>
      <c r="BL3370">
        <v>-2.63</v>
      </c>
      <c r="BM3370">
        <v>0.6</v>
      </c>
      <c r="BN3370">
        <v>-1.66</v>
      </c>
      <c r="BO3370">
        <v>-1.58</v>
      </c>
      <c r="BP3370">
        <v>-0.77</v>
      </c>
      <c r="BQ3370">
        <v>0.89</v>
      </c>
      <c r="BR3370">
        <v>0.14000000000000001</v>
      </c>
      <c r="BS3370">
        <v>-0.39</v>
      </c>
      <c r="BT3370">
        <v>-0.5</v>
      </c>
      <c r="BU3370">
        <v>-0.83</v>
      </c>
      <c r="BV3370">
        <v>-1.34</v>
      </c>
      <c r="BW3370">
        <v>-1.46</v>
      </c>
      <c r="BX3370">
        <v>-0.88</v>
      </c>
      <c r="BY3370">
        <v>-0.35</v>
      </c>
      <c r="BZ3370">
        <v>-4.6900000000000004</v>
      </c>
      <c r="CA3370">
        <v>-1.7</v>
      </c>
      <c r="CB3370">
        <v>-1.48</v>
      </c>
      <c r="CC3370">
        <v>-1.55</v>
      </c>
      <c r="CD3370">
        <v>1.64</v>
      </c>
      <c r="CE3370">
        <v>-1.53</v>
      </c>
      <c r="CF3370">
        <v>-0.88</v>
      </c>
      <c r="CG3370">
        <v>0</v>
      </c>
      <c r="CH3370">
        <v>-0.79</v>
      </c>
      <c r="CI3370">
        <v>0</v>
      </c>
      <c r="CJ3370">
        <v>-4</v>
      </c>
      <c r="CK3370">
        <v>93</v>
      </c>
      <c r="CL3370">
        <v>0.04</v>
      </c>
      <c r="CM3370">
        <v>91</v>
      </c>
      <c r="CN3370">
        <v>0.28000000000000003</v>
      </c>
      <c r="CO3370">
        <v>90</v>
      </c>
      <c r="CP3370">
        <v>-14.4</v>
      </c>
      <c r="CQ3370">
        <v>94</v>
      </c>
      <c r="CR3370">
        <v>0</v>
      </c>
      <c r="CS3370">
        <v>0</v>
      </c>
      <c r="CT3370">
        <v>-12</v>
      </c>
      <c r="CU3370">
        <v>87</v>
      </c>
      <c r="CV3370">
        <v>-0.01</v>
      </c>
      <c r="CW3370">
        <v>44</v>
      </c>
      <c r="CX3370" t="s">
        <v>1318</v>
      </c>
    </row>
    <row r="3371" spans="1:102" x14ac:dyDescent="0.3">
      <c r="A3371" t="str">
        <f>HYPERLINK("https://webapp.icbf.com/v2/app/bull-search/view/678698577","S1435")</f>
        <v>S1435</v>
      </c>
      <c r="B3371" t="s">
        <v>5631</v>
      </c>
      <c r="C3371" t="s">
        <v>5632</v>
      </c>
      <c r="D3371" s="1">
        <v>39048</v>
      </c>
      <c r="E3371" t="s">
        <v>92</v>
      </c>
      <c r="F3371">
        <v>100</v>
      </c>
      <c r="G3371" t="s">
        <v>109</v>
      </c>
      <c r="H3371">
        <v>-31.52</v>
      </c>
      <c r="I3371">
        <v>82</v>
      </c>
      <c r="J3371">
        <v>58.79</v>
      </c>
      <c r="K3371">
        <v>95</v>
      </c>
      <c r="L3371">
        <v>-77.739999999999995</v>
      </c>
      <c r="M3371">
        <v>88</v>
      </c>
      <c r="N3371">
        <v>-3.29</v>
      </c>
      <c r="O3371">
        <v>69</v>
      </c>
      <c r="P3371">
        <v>-13.33</v>
      </c>
      <c r="Q3371">
        <v>58</v>
      </c>
      <c r="R3371">
        <v>9.73</v>
      </c>
      <c r="S3371">
        <v>80</v>
      </c>
      <c r="T3371">
        <v>-8.52</v>
      </c>
      <c r="U3371">
        <v>58</v>
      </c>
      <c r="V3371">
        <v>2.84</v>
      </c>
      <c r="W3371">
        <v>67</v>
      </c>
      <c r="X3371" t="s">
        <v>94</v>
      </c>
      <c r="Y3371" t="s">
        <v>342</v>
      </c>
      <c r="Z3371" t="s">
        <v>96</v>
      </c>
      <c r="AA3371" t="s">
        <v>309</v>
      </c>
      <c r="AB3371" t="s">
        <v>5633</v>
      </c>
      <c r="AC3371">
        <v>0</v>
      </c>
      <c r="AD3371">
        <v>0</v>
      </c>
      <c r="AE3371">
        <v>95</v>
      </c>
      <c r="AF3371">
        <v>448.69</v>
      </c>
      <c r="AG3371">
        <v>8.27</v>
      </c>
      <c r="AH3371">
        <v>13.94</v>
      </c>
      <c r="AI3371">
        <v>-0.15</v>
      </c>
      <c r="AJ3371">
        <v>-0.02</v>
      </c>
      <c r="AK3371">
        <v>88</v>
      </c>
      <c r="AL3371">
        <v>0</v>
      </c>
      <c r="AM3371">
        <v>0</v>
      </c>
      <c r="AN3371">
        <v>4.22</v>
      </c>
      <c r="AO3371">
        <v>-1.98</v>
      </c>
      <c r="AP3371">
        <v>9</v>
      </c>
      <c r="AQ3371">
        <v>0</v>
      </c>
      <c r="AR3371">
        <v>9.8699999999999992</v>
      </c>
      <c r="AS3371">
        <v>65</v>
      </c>
      <c r="AT3371">
        <v>4.3499999999999996</v>
      </c>
      <c r="AU3371">
        <v>92</v>
      </c>
      <c r="AV3371">
        <v>-1.6</v>
      </c>
      <c r="AW3371">
        <v>66</v>
      </c>
      <c r="AX3371">
        <v>0.3</v>
      </c>
      <c r="AY3371">
        <v>56</v>
      </c>
      <c r="AZ3371">
        <v>6.02</v>
      </c>
      <c r="BA3371">
        <v>54</v>
      </c>
      <c r="BB3371">
        <v>4.3</v>
      </c>
      <c r="BC3371">
        <v>53</v>
      </c>
      <c r="BD3371">
        <v>-0.04</v>
      </c>
      <c r="BE3371">
        <v>-0.03</v>
      </c>
      <c r="BF3371">
        <v>-0.1</v>
      </c>
      <c r="BG3371">
        <v>93</v>
      </c>
      <c r="BH3371">
        <v>-0.05</v>
      </c>
      <c r="BI3371">
        <v>-14.95</v>
      </c>
      <c r="BJ3371">
        <v>5</v>
      </c>
      <c r="BK3371">
        <v>4</v>
      </c>
      <c r="BL3371">
        <v>2.1800000000000002</v>
      </c>
      <c r="BM3371">
        <v>-1</v>
      </c>
      <c r="BN3371">
        <v>1.42</v>
      </c>
      <c r="BO3371">
        <v>1.89</v>
      </c>
      <c r="BP3371">
        <v>1.1399999999999999</v>
      </c>
      <c r="BQ3371">
        <v>-0.26</v>
      </c>
      <c r="BR3371">
        <v>2.0699999999999998</v>
      </c>
      <c r="BS3371">
        <v>0.18</v>
      </c>
      <c r="BT3371">
        <v>-1.1499999999999999</v>
      </c>
      <c r="BU3371">
        <v>2.2999999999999998</v>
      </c>
      <c r="BV3371">
        <v>2.96</v>
      </c>
      <c r="BW3371">
        <v>3.5</v>
      </c>
      <c r="BX3371">
        <v>2.29</v>
      </c>
      <c r="BY3371">
        <v>1.81</v>
      </c>
      <c r="BZ3371">
        <v>-0.48</v>
      </c>
      <c r="CA3371">
        <v>2.33</v>
      </c>
      <c r="CB3371">
        <v>2.35</v>
      </c>
      <c r="CC3371">
        <v>0.85</v>
      </c>
      <c r="CD3371">
        <v>-1.37</v>
      </c>
      <c r="CE3371">
        <v>1.82</v>
      </c>
      <c r="CF3371">
        <v>1.97</v>
      </c>
      <c r="CG3371">
        <v>0</v>
      </c>
      <c r="CH3371">
        <v>1.91</v>
      </c>
      <c r="CI3371">
        <v>0</v>
      </c>
      <c r="CJ3371">
        <v>-7.1</v>
      </c>
      <c r="CK3371">
        <v>61</v>
      </c>
      <c r="CL3371">
        <v>-1.54</v>
      </c>
      <c r="CM3371">
        <v>54</v>
      </c>
      <c r="CN3371">
        <v>-1.04</v>
      </c>
      <c r="CO3371">
        <v>51</v>
      </c>
      <c r="CP3371">
        <v>1.2</v>
      </c>
      <c r="CQ3371">
        <v>63</v>
      </c>
      <c r="CR3371">
        <v>0</v>
      </c>
      <c r="CS3371">
        <v>0</v>
      </c>
      <c r="CT3371">
        <v>25.3</v>
      </c>
      <c r="CU3371">
        <v>58</v>
      </c>
      <c r="CV3371">
        <v>0.14000000000000001</v>
      </c>
      <c r="CW3371">
        <v>38</v>
      </c>
      <c r="CX3371" t="s">
        <v>311</v>
      </c>
    </row>
    <row r="3372" spans="1:102" x14ac:dyDescent="0.3">
      <c r="A3372" t="str">
        <f>HYPERLINK("https://webapp.icbf.com/v2/app/bull-search/view/77856556","HRL")</f>
        <v>HRL</v>
      </c>
      <c r="B3372" t="s">
        <v>8510</v>
      </c>
      <c r="C3372" t="s">
        <v>8511</v>
      </c>
      <c r="D3372" s="1">
        <v>35559</v>
      </c>
      <c r="E3372" t="s">
        <v>92</v>
      </c>
      <c r="F3372">
        <v>100</v>
      </c>
      <c r="G3372" t="s">
        <v>93</v>
      </c>
      <c r="H3372">
        <v>-31.97</v>
      </c>
      <c r="I3372">
        <v>84</v>
      </c>
      <c r="J3372">
        <v>48.3</v>
      </c>
      <c r="K3372">
        <v>96</v>
      </c>
      <c r="L3372">
        <v>-99.2</v>
      </c>
      <c r="M3372">
        <v>79</v>
      </c>
      <c r="N3372">
        <v>18.71</v>
      </c>
      <c r="O3372">
        <v>72</v>
      </c>
      <c r="P3372">
        <v>1.21</v>
      </c>
      <c r="Q3372">
        <v>80</v>
      </c>
      <c r="R3372">
        <v>-2.33</v>
      </c>
      <c r="S3372">
        <v>79</v>
      </c>
      <c r="T3372">
        <v>9.02</v>
      </c>
      <c r="U3372">
        <v>80</v>
      </c>
      <c r="V3372">
        <v>-7.68</v>
      </c>
      <c r="W3372">
        <v>70</v>
      </c>
      <c r="X3372" t="s">
        <v>94</v>
      </c>
      <c r="Y3372" t="s">
        <v>95</v>
      </c>
      <c r="Z3372" t="s">
        <v>96</v>
      </c>
      <c r="AA3372" t="s">
        <v>188</v>
      </c>
      <c r="AB3372" t="s">
        <v>3843</v>
      </c>
      <c r="AC3372">
        <v>49</v>
      </c>
      <c r="AD3372">
        <v>40</v>
      </c>
      <c r="AE3372">
        <v>96</v>
      </c>
      <c r="AF3372">
        <v>123.71</v>
      </c>
      <c r="AG3372">
        <v>10.51</v>
      </c>
      <c r="AH3372">
        <v>6.39</v>
      </c>
      <c r="AI3372">
        <v>0.1</v>
      </c>
      <c r="AJ3372">
        <v>0.04</v>
      </c>
      <c r="AK3372">
        <v>79</v>
      </c>
      <c r="AL3372">
        <v>50</v>
      </c>
      <c r="AM3372">
        <v>38</v>
      </c>
      <c r="AN3372">
        <v>5.49</v>
      </c>
      <c r="AO3372">
        <v>-2.42</v>
      </c>
      <c r="AP3372">
        <v>11</v>
      </c>
      <c r="AQ3372">
        <v>3</v>
      </c>
      <c r="AR3372">
        <v>7.65</v>
      </c>
      <c r="AS3372">
        <v>64</v>
      </c>
      <c r="AT3372">
        <v>3.53</v>
      </c>
      <c r="AU3372">
        <v>77</v>
      </c>
      <c r="AV3372">
        <v>-2.96</v>
      </c>
      <c r="AW3372">
        <v>74</v>
      </c>
      <c r="AX3372">
        <v>0.17</v>
      </c>
      <c r="AY3372">
        <v>71</v>
      </c>
      <c r="AZ3372">
        <v>6.3</v>
      </c>
      <c r="BA3372">
        <v>57</v>
      </c>
      <c r="BB3372">
        <v>5.14</v>
      </c>
      <c r="BC3372">
        <v>63</v>
      </c>
      <c r="BD3372">
        <v>0.01</v>
      </c>
      <c r="BE3372">
        <v>0.03</v>
      </c>
      <c r="BF3372">
        <v>-0.02</v>
      </c>
      <c r="BG3372">
        <v>88</v>
      </c>
      <c r="BH3372">
        <v>-0.03</v>
      </c>
      <c r="BI3372">
        <v>21.3</v>
      </c>
      <c r="BJ3372">
        <v>22</v>
      </c>
      <c r="BK3372">
        <v>19</v>
      </c>
      <c r="BL3372">
        <v>-0.49</v>
      </c>
      <c r="BM3372">
        <v>-0.71</v>
      </c>
      <c r="BN3372">
        <v>-0.53</v>
      </c>
      <c r="BO3372">
        <v>-0.17</v>
      </c>
      <c r="BP3372">
        <v>1.93</v>
      </c>
      <c r="BQ3372">
        <v>-1.21</v>
      </c>
      <c r="BR3372">
        <v>1.37</v>
      </c>
      <c r="BS3372">
        <v>-1.4</v>
      </c>
      <c r="BT3372">
        <v>-1.97</v>
      </c>
      <c r="BU3372">
        <v>-3.25</v>
      </c>
      <c r="BV3372">
        <v>-1.08</v>
      </c>
      <c r="BW3372">
        <v>-1.58</v>
      </c>
      <c r="BX3372">
        <v>-3.48</v>
      </c>
      <c r="BY3372">
        <v>-1.71</v>
      </c>
      <c r="BZ3372">
        <v>1.21</v>
      </c>
      <c r="CA3372">
        <v>-2.2999999999999998</v>
      </c>
      <c r="CB3372">
        <v>-1.92</v>
      </c>
      <c r="CC3372">
        <v>-1.93</v>
      </c>
      <c r="CD3372">
        <v>-0.71</v>
      </c>
      <c r="CE3372">
        <v>-0.32</v>
      </c>
      <c r="CF3372">
        <v>-1.71</v>
      </c>
      <c r="CG3372">
        <v>0</v>
      </c>
      <c r="CH3372">
        <v>-1.64</v>
      </c>
      <c r="CI3372">
        <v>0</v>
      </c>
      <c r="CJ3372">
        <v>2.8</v>
      </c>
      <c r="CK3372">
        <v>81</v>
      </c>
      <c r="CL3372">
        <v>-0.57999999999999996</v>
      </c>
      <c r="CM3372">
        <v>78</v>
      </c>
      <c r="CN3372">
        <v>-0.3</v>
      </c>
      <c r="CO3372">
        <v>75</v>
      </c>
      <c r="CP3372">
        <v>-1.2</v>
      </c>
      <c r="CQ3372">
        <v>85</v>
      </c>
      <c r="CR3372">
        <v>0</v>
      </c>
      <c r="CS3372">
        <v>0</v>
      </c>
      <c r="CT3372">
        <v>1.6</v>
      </c>
      <c r="CU3372">
        <v>80</v>
      </c>
      <c r="CV3372">
        <v>0.22</v>
      </c>
      <c r="CW3372">
        <v>42</v>
      </c>
      <c r="CX3372" t="s">
        <v>193</v>
      </c>
    </row>
    <row r="3373" spans="1:102" x14ac:dyDescent="0.3">
      <c r="A3373" t="str">
        <f>HYPERLINK("https://webapp.icbf.com/v2/app/bull-search/view/77854534","NYK")</f>
        <v>NYK</v>
      </c>
      <c r="B3373" t="s">
        <v>2834</v>
      </c>
      <c r="C3373" t="s">
        <v>2835</v>
      </c>
      <c r="D3373" s="1">
        <v>31525</v>
      </c>
      <c r="E3373" t="s">
        <v>92</v>
      </c>
      <c r="F3373">
        <v>88</v>
      </c>
      <c r="G3373" t="s">
        <v>109</v>
      </c>
      <c r="H3373">
        <v>-32.130000000000003</v>
      </c>
      <c r="I3373">
        <v>72</v>
      </c>
      <c r="J3373">
        <v>-19.05</v>
      </c>
      <c r="K3373">
        <v>90</v>
      </c>
      <c r="L3373">
        <v>-16.07</v>
      </c>
      <c r="M3373">
        <v>77</v>
      </c>
      <c r="N3373">
        <v>2.95</v>
      </c>
      <c r="O3373">
        <v>52</v>
      </c>
      <c r="P3373">
        <v>-4.68</v>
      </c>
      <c r="Q3373">
        <v>58</v>
      </c>
      <c r="R3373">
        <v>-10.82</v>
      </c>
      <c r="S3373">
        <v>60</v>
      </c>
      <c r="T3373">
        <v>18.27</v>
      </c>
      <c r="U3373">
        <v>48</v>
      </c>
      <c r="V3373">
        <v>-2.73</v>
      </c>
      <c r="W3373">
        <v>17</v>
      </c>
      <c r="X3373" t="s">
        <v>110</v>
      </c>
      <c r="Y3373" t="s">
        <v>95</v>
      </c>
      <c r="Z3373" t="s">
        <v>96</v>
      </c>
      <c r="AA3373" t="s">
        <v>2836</v>
      </c>
      <c r="AB3373" t="s">
        <v>2837</v>
      </c>
      <c r="AC3373">
        <v>53</v>
      </c>
      <c r="AD3373">
        <v>33</v>
      </c>
      <c r="AE3373">
        <v>90</v>
      </c>
      <c r="AF3373">
        <v>-82.78</v>
      </c>
      <c r="AG3373">
        <v>-1.8</v>
      </c>
      <c r="AH3373">
        <v>-3.87</v>
      </c>
      <c r="AI3373">
        <v>0.02</v>
      </c>
      <c r="AJ3373">
        <v>-0.02</v>
      </c>
      <c r="AK3373">
        <v>77</v>
      </c>
      <c r="AL3373">
        <v>75</v>
      </c>
      <c r="AM3373">
        <v>42</v>
      </c>
      <c r="AN3373">
        <v>0.99</v>
      </c>
      <c r="AO3373">
        <v>-0.28999999999999998</v>
      </c>
      <c r="AP3373">
        <v>5</v>
      </c>
      <c r="AQ3373">
        <v>0</v>
      </c>
      <c r="AR3373">
        <v>4.66</v>
      </c>
      <c r="AS3373">
        <v>14</v>
      </c>
      <c r="AT3373">
        <v>2.08</v>
      </c>
      <c r="AU3373">
        <v>79</v>
      </c>
      <c r="AV3373">
        <v>0.31</v>
      </c>
      <c r="AW3373">
        <v>56</v>
      </c>
      <c r="AX3373">
        <v>0.82</v>
      </c>
      <c r="AY3373">
        <v>49</v>
      </c>
      <c r="AZ3373">
        <v>7.02</v>
      </c>
      <c r="BA3373">
        <v>16</v>
      </c>
      <c r="BB3373">
        <v>6.14</v>
      </c>
      <c r="BC3373">
        <v>27</v>
      </c>
      <c r="BD3373">
        <v>0.01</v>
      </c>
      <c r="BE3373">
        <v>0.08</v>
      </c>
      <c r="BF3373">
        <v>0.08</v>
      </c>
      <c r="BG3373">
        <v>81</v>
      </c>
      <c r="BH3373">
        <v>-0.08</v>
      </c>
      <c r="BI3373">
        <v>-0.44</v>
      </c>
      <c r="BJ3373">
        <v>0</v>
      </c>
      <c r="BK3373">
        <v>0</v>
      </c>
      <c r="BL3373">
        <v>-0.17</v>
      </c>
      <c r="BM3373">
        <v>-1.1200000000000001</v>
      </c>
      <c r="BN3373">
        <v>-0.61</v>
      </c>
      <c r="BO3373">
        <v>-0.01</v>
      </c>
      <c r="BP3373">
        <v>1.58</v>
      </c>
      <c r="BQ3373">
        <v>-2.31</v>
      </c>
      <c r="BR3373">
        <v>1.1399999999999999</v>
      </c>
      <c r="BS3373">
        <v>-0.67</v>
      </c>
      <c r="BT3373">
        <v>0.74</v>
      </c>
      <c r="BU3373">
        <v>-0.84</v>
      </c>
      <c r="BV3373">
        <v>-0.53</v>
      </c>
      <c r="BW3373">
        <v>-0.03</v>
      </c>
      <c r="BX3373">
        <v>0.06</v>
      </c>
      <c r="BY3373">
        <v>0.18</v>
      </c>
      <c r="BZ3373">
        <v>-0.88</v>
      </c>
      <c r="CA3373">
        <v>-0.15</v>
      </c>
      <c r="CB3373">
        <v>-0.42</v>
      </c>
      <c r="CC3373">
        <v>0.36</v>
      </c>
      <c r="CD3373">
        <v>-0.34</v>
      </c>
      <c r="CE3373">
        <v>-0.28999999999999998</v>
      </c>
      <c r="CF3373">
        <v>-0.82</v>
      </c>
      <c r="CG3373">
        <v>0</v>
      </c>
      <c r="CH3373">
        <v>-1.28</v>
      </c>
      <c r="CI3373">
        <v>0</v>
      </c>
      <c r="CJ3373">
        <v>-0.1</v>
      </c>
      <c r="CK3373">
        <v>60</v>
      </c>
      <c r="CL3373">
        <v>-0.52</v>
      </c>
      <c r="CM3373">
        <v>55</v>
      </c>
      <c r="CN3373">
        <v>-0.21</v>
      </c>
      <c r="CO3373">
        <v>49</v>
      </c>
      <c r="CP3373">
        <v>-10.9</v>
      </c>
      <c r="CQ3373">
        <v>67</v>
      </c>
      <c r="CR3373">
        <v>0</v>
      </c>
      <c r="CS3373">
        <v>0</v>
      </c>
      <c r="CT3373">
        <v>-10.9</v>
      </c>
      <c r="CU3373">
        <v>48</v>
      </c>
      <c r="CV3373">
        <v>0.18</v>
      </c>
      <c r="CW3373">
        <v>15</v>
      </c>
      <c r="CX3373" t="s">
        <v>617</v>
      </c>
    </row>
    <row r="3374" spans="1:102" x14ac:dyDescent="0.3">
      <c r="A3374" t="str">
        <f>HYPERLINK("https://webapp.icbf.com/v2/app/bull-search/view/77858779","DAJ")</f>
        <v>DAJ</v>
      </c>
      <c r="B3374" t="s">
        <v>3392</v>
      </c>
      <c r="C3374" t="s">
        <v>3393</v>
      </c>
      <c r="D3374" s="1">
        <v>32576</v>
      </c>
      <c r="E3374" t="s">
        <v>92</v>
      </c>
      <c r="F3374">
        <v>100</v>
      </c>
      <c r="G3374" t="s">
        <v>109</v>
      </c>
      <c r="H3374">
        <v>-32.17</v>
      </c>
      <c r="I3374">
        <v>85</v>
      </c>
      <c r="J3374">
        <v>3.75</v>
      </c>
      <c r="K3374">
        <v>95</v>
      </c>
      <c r="L3374">
        <v>-21.66</v>
      </c>
      <c r="M3374">
        <v>88</v>
      </c>
      <c r="N3374">
        <v>-22.86</v>
      </c>
      <c r="O3374">
        <v>69</v>
      </c>
      <c r="P3374">
        <v>-0.8</v>
      </c>
      <c r="Q3374">
        <v>75</v>
      </c>
      <c r="R3374">
        <v>-7.13</v>
      </c>
      <c r="S3374">
        <v>79</v>
      </c>
      <c r="T3374">
        <v>17.38</v>
      </c>
      <c r="U3374">
        <v>68</v>
      </c>
      <c r="V3374">
        <v>-0.85</v>
      </c>
      <c r="W3374">
        <v>67</v>
      </c>
      <c r="X3374" t="s">
        <v>276</v>
      </c>
      <c r="Y3374" t="s">
        <v>95</v>
      </c>
      <c r="Z3374" t="s">
        <v>96</v>
      </c>
      <c r="AA3374" t="s">
        <v>166</v>
      </c>
      <c r="AB3374" t="s">
        <v>3394</v>
      </c>
      <c r="AC3374">
        <v>26</v>
      </c>
      <c r="AD3374">
        <v>24</v>
      </c>
      <c r="AE3374">
        <v>95</v>
      </c>
      <c r="AF3374">
        <v>-39.14</v>
      </c>
      <c r="AG3374">
        <v>3.16</v>
      </c>
      <c r="AH3374">
        <v>-1.08</v>
      </c>
      <c r="AI3374">
        <v>0.08</v>
      </c>
      <c r="AJ3374">
        <v>0</v>
      </c>
      <c r="AK3374">
        <v>88</v>
      </c>
      <c r="AL3374">
        <v>36</v>
      </c>
      <c r="AM3374">
        <v>26</v>
      </c>
      <c r="AN3374">
        <v>1.74</v>
      </c>
      <c r="AO3374">
        <v>0.02</v>
      </c>
      <c r="AP3374">
        <v>5</v>
      </c>
      <c r="AQ3374">
        <v>0</v>
      </c>
      <c r="AR3374">
        <v>9.36</v>
      </c>
      <c r="AS3374">
        <v>60</v>
      </c>
      <c r="AT3374">
        <v>4.34</v>
      </c>
      <c r="AU3374">
        <v>87</v>
      </c>
      <c r="AV3374">
        <v>0.81</v>
      </c>
      <c r="AW3374">
        <v>65</v>
      </c>
      <c r="AX3374">
        <v>-0.62</v>
      </c>
      <c r="AY3374">
        <v>68</v>
      </c>
      <c r="AZ3374">
        <v>6.77</v>
      </c>
      <c r="BA3374">
        <v>52</v>
      </c>
      <c r="BB3374">
        <v>5.07</v>
      </c>
      <c r="BC3374">
        <v>60</v>
      </c>
      <c r="BD3374">
        <v>-0.03</v>
      </c>
      <c r="BE3374">
        <v>0.06</v>
      </c>
      <c r="BF3374">
        <v>0.1</v>
      </c>
      <c r="BG3374">
        <v>92</v>
      </c>
      <c r="BH3374">
        <v>-0.11</v>
      </c>
      <c r="BI3374">
        <v>-9.98</v>
      </c>
      <c r="BJ3374">
        <v>6</v>
      </c>
      <c r="BK3374">
        <v>5</v>
      </c>
      <c r="BL3374">
        <v>-0.27</v>
      </c>
      <c r="BM3374">
        <v>0.83</v>
      </c>
      <c r="BN3374">
        <v>0.06</v>
      </c>
      <c r="BO3374">
        <v>-0.18</v>
      </c>
      <c r="BP3374">
        <v>-0.59</v>
      </c>
      <c r="BQ3374">
        <v>-0.28999999999999998</v>
      </c>
      <c r="BR3374">
        <v>0.1</v>
      </c>
      <c r="BS3374">
        <v>7.0000000000000007E-2</v>
      </c>
      <c r="BT3374">
        <v>-1.03</v>
      </c>
      <c r="BU3374">
        <v>-0.54</v>
      </c>
      <c r="BV3374">
        <v>-0.78</v>
      </c>
      <c r="BW3374">
        <v>-1.1499999999999999</v>
      </c>
      <c r="BX3374">
        <v>-1.08</v>
      </c>
      <c r="BY3374">
        <v>-1.1000000000000001</v>
      </c>
      <c r="BZ3374">
        <v>1.01</v>
      </c>
      <c r="CA3374">
        <v>0.14000000000000001</v>
      </c>
      <c r="CB3374">
        <v>-0.54</v>
      </c>
      <c r="CC3374">
        <v>0.61</v>
      </c>
      <c r="CD3374">
        <v>0.57999999999999996</v>
      </c>
      <c r="CE3374">
        <v>-0.19</v>
      </c>
      <c r="CF3374">
        <v>-0.06</v>
      </c>
      <c r="CG3374">
        <v>0</v>
      </c>
      <c r="CH3374">
        <v>-1.07</v>
      </c>
      <c r="CI3374">
        <v>0</v>
      </c>
      <c r="CJ3374">
        <v>1</v>
      </c>
      <c r="CK3374">
        <v>76</v>
      </c>
      <c r="CL3374">
        <v>-0.41</v>
      </c>
      <c r="CM3374">
        <v>73</v>
      </c>
      <c r="CN3374">
        <v>-0.26</v>
      </c>
      <c r="CO3374">
        <v>70</v>
      </c>
      <c r="CP3374">
        <v>-6.6</v>
      </c>
      <c r="CQ3374">
        <v>76</v>
      </c>
      <c r="CR3374">
        <v>0</v>
      </c>
      <c r="CS3374">
        <v>0</v>
      </c>
      <c r="CT3374">
        <v>-9.6999999999999993</v>
      </c>
      <c r="CU3374">
        <v>68</v>
      </c>
      <c r="CV3374">
        <v>0.12</v>
      </c>
      <c r="CW3374">
        <v>41</v>
      </c>
      <c r="CX3374" t="s">
        <v>707</v>
      </c>
    </row>
    <row r="3375" spans="1:102" x14ac:dyDescent="0.3">
      <c r="A3375" t="str">
        <f>HYPERLINK("https://webapp.icbf.com/v2/app/bull-search/view/108372558","LII")</f>
        <v>LII</v>
      </c>
      <c r="B3375" t="s">
        <v>4333</v>
      </c>
      <c r="C3375" t="s">
        <v>4334</v>
      </c>
      <c r="D3375" s="1">
        <v>34925</v>
      </c>
      <c r="E3375" t="s">
        <v>140</v>
      </c>
      <c r="F3375">
        <v>0</v>
      </c>
      <c r="G3375" t="s">
        <v>93</v>
      </c>
      <c r="H3375">
        <v>-32.229999999999997</v>
      </c>
      <c r="I3375">
        <v>79</v>
      </c>
      <c r="J3375">
        <v>-20.13</v>
      </c>
      <c r="K3375">
        <v>94</v>
      </c>
      <c r="L3375">
        <v>52.16</v>
      </c>
      <c r="M3375">
        <v>65</v>
      </c>
      <c r="N3375">
        <v>-83.06</v>
      </c>
      <c r="O3375">
        <v>78</v>
      </c>
      <c r="P3375">
        <v>19.690000000000001</v>
      </c>
      <c r="Q3375">
        <v>95</v>
      </c>
      <c r="R3375">
        <v>8.77</v>
      </c>
      <c r="S3375">
        <v>68</v>
      </c>
      <c r="T3375">
        <v>8.42</v>
      </c>
      <c r="U3375">
        <v>80</v>
      </c>
      <c r="V3375">
        <v>-18.079999999999998</v>
      </c>
      <c r="W3375">
        <v>57</v>
      </c>
      <c r="X3375" t="s">
        <v>102</v>
      </c>
      <c r="Y3375" t="s">
        <v>95</v>
      </c>
      <c r="Z3375">
        <v>0</v>
      </c>
      <c r="AA3375" t="s">
        <v>1610</v>
      </c>
      <c r="AB3375" t="s">
        <v>4335</v>
      </c>
      <c r="AC3375">
        <v>80</v>
      </c>
      <c r="AD3375">
        <v>41</v>
      </c>
      <c r="AE3375">
        <v>94</v>
      </c>
      <c r="AF3375">
        <v>-53.26</v>
      </c>
      <c r="AG3375">
        <v>-9.24</v>
      </c>
      <c r="AH3375">
        <v>-0.97</v>
      </c>
      <c r="AI3375">
        <v>-0.12</v>
      </c>
      <c r="AJ3375">
        <v>0.01</v>
      </c>
      <c r="AK3375">
        <v>65</v>
      </c>
      <c r="AL3375">
        <v>90</v>
      </c>
      <c r="AM3375">
        <v>49</v>
      </c>
      <c r="AN3375">
        <v>-2.81</v>
      </c>
      <c r="AO3375">
        <v>1.35</v>
      </c>
      <c r="AP3375">
        <v>132</v>
      </c>
      <c r="AQ3375">
        <v>8</v>
      </c>
      <c r="AR3375">
        <v>14.2</v>
      </c>
      <c r="AS3375">
        <v>47</v>
      </c>
      <c r="AT3375">
        <v>6.95</v>
      </c>
      <c r="AU3375">
        <v>80</v>
      </c>
      <c r="AV3375">
        <v>2.27</v>
      </c>
      <c r="AW3375">
        <v>90</v>
      </c>
      <c r="AX3375">
        <v>-0.56999999999999995</v>
      </c>
      <c r="AY3375">
        <v>81</v>
      </c>
      <c r="AZ3375">
        <v>5.44</v>
      </c>
      <c r="BA3375">
        <v>50</v>
      </c>
      <c r="BB3375">
        <v>3.89</v>
      </c>
      <c r="BC3375">
        <v>58</v>
      </c>
      <c r="BD3375">
        <v>-0.01</v>
      </c>
      <c r="BE3375">
        <v>-0.05</v>
      </c>
      <c r="BF3375">
        <v>-0.09</v>
      </c>
      <c r="BG3375">
        <v>80</v>
      </c>
      <c r="BH3375">
        <v>-0.53</v>
      </c>
      <c r="BI3375">
        <v>-3</v>
      </c>
      <c r="BJ3375">
        <v>1</v>
      </c>
      <c r="BK3375">
        <v>1</v>
      </c>
      <c r="BL3375">
        <v>-1.07</v>
      </c>
      <c r="BM3375">
        <v>3.29</v>
      </c>
      <c r="BN3375">
        <v>-1.72</v>
      </c>
      <c r="BO3375">
        <v>-2.95</v>
      </c>
      <c r="BP3375">
        <v>4.33</v>
      </c>
      <c r="BQ3375">
        <v>-2.5299999999999998</v>
      </c>
      <c r="BR3375">
        <v>-2.48</v>
      </c>
      <c r="BS3375">
        <v>-0.57999999999999996</v>
      </c>
      <c r="BT3375">
        <v>2.2400000000000002</v>
      </c>
      <c r="BU3375">
        <v>-3.89</v>
      </c>
      <c r="BV3375">
        <v>-4.34</v>
      </c>
      <c r="BW3375">
        <v>-3.34</v>
      </c>
      <c r="BX3375">
        <v>-2.89</v>
      </c>
      <c r="BY3375">
        <v>-1.77</v>
      </c>
      <c r="BZ3375">
        <v>1.31</v>
      </c>
      <c r="CA3375">
        <v>-2.79</v>
      </c>
      <c r="CB3375">
        <v>-3.57</v>
      </c>
      <c r="CC3375">
        <v>-0.37</v>
      </c>
      <c r="CD3375">
        <v>3.65</v>
      </c>
      <c r="CE3375">
        <v>-2.9</v>
      </c>
      <c r="CF3375">
        <v>-1.3</v>
      </c>
      <c r="CG3375">
        <v>0</v>
      </c>
      <c r="CH3375">
        <v>-2.63</v>
      </c>
      <c r="CI3375">
        <v>0</v>
      </c>
      <c r="CJ3375">
        <v>7.8</v>
      </c>
      <c r="CK3375">
        <v>96</v>
      </c>
      <c r="CL3375">
        <v>0.69</v>
      </c>
      <c r="CM3375">
        <v>95</v>
      </c>
      <c r="CN3375">
        <v>-0.04</v>
      </c>
      <c r="CO3375">
        <v>94</v>
      </c>
      <c r="CP3375">
        <v>8.9</v>
      </c>
      <c r="CQ3375">
        <v>90</v>
      </c>
      <c r="CR3375">
        <v>0</v>
      </c>
      <c r="CS3375">
        <v>0</v>
      </c>
      <c r="CT3375">
        <v>2.4</v>
      </c>
      <c r="CU3375">
        <v>80</v>
      </c>
      <c r="CV3375">
        <v>-0.2</v>
      </c>
      <c r="CW3375">
        <v>27</v>
      </c>
      <c r="CX3375" t="s">
        <v>1179</v>
      </c>
    </row>
    <row r="3376" spans="1:102" x14ac:dyDescent="0.3">
      <c r="A3376" t="str">
        <f>HYPERLINK("https://webapp.icbf.com/v2/app/bull-search/view/108379912","S102")</f>
        <v>S102</v>
      </c>
      <c r="B3376" t="s">
        <v>144</v>
      </c>
      <c r="C3376" t="s">
        <v>10786</v>
      </c>
      <c r="D3376" s="1">
        <v>34598</v>
      </c>
      <c r="E3376" t="s">
        <v>146</v>
      </c>
      <c r="F3376">
        <v>0</v>
      </c>
      <c r="G3376" t="s">
        <v>93</v>
      </c>
      <c r="H3376">
        <v>-32.43</v>
      </c>
      <c r="I3376">
        <v>72</v>
      </c>
      <c r="J3376">
        <v>-65.13</v>
      </c>
      <c r="K3376">
        <v>91</v>
      </c>
      <c r="L3376">
        <v>23.76</v>
      </c>
      <c r="M3376">
        <v>55</v>
      </c>
      <c r="N3376">
        <v>1.67</v>
      </c>
      <c r="O3376">
        <v>67</v>
      </c>
      <c r="P3376">
        <v>27.17</v>
      </c>
      <c r="Q3376">
        <v>88</v>
      </c>
      <c r="R3376">
        <v>-2.86</v>
      </c>
      <c r="S3376">
        <v>58</v>
      </c>
      <c r="T3376">
        <v>-6.52</v>
      </c>
      <c r="U3376">
        <v>71</v>
      </c>
      <c r="V3376">
        <v>-10.52</v>
      </c>
      <c r="W3376">
        <v>45</v>
      </c>
      <c r="X3376" t="s">
        <v>110</v>
      </c>
      <c r="Y3376" t="s">
        <v>95</v>
      </c>
      <c r="Z3376">
        <v>0</v>
      </c>
      <c r="AA3376" t="s">
        <v>147</v>
      </c>
      <c r="AB3376" t="s">
        <v>10787</v>
      </c>
      <c r="AC3376">
        <v>46</v>
      </c>
      <c r="AD3376">
        <v>32</v>
      </c>
      <c r="AE3376">
        <v>91</v>
      </c>
      <c r="AF3376">
        <v>-422.7</v>
      </c>
      <c r="AG3376">
        <v>-12.85</v>
      </c>
      <c r="AH3376">
        <v>-13</v>
      </c>
      <c r="AI3376">
        <v>7.0000000000000007E-2</v>
      </c>
      <c r="AJ3376">
        <v>0.03</v>
      </c>
      <c r="AK3376">
        <v>55</v>
      </c>
      <c r="AL3376">
        <v>56</v>
      </c>
      <c r="AM3376">
        <v>36</v>
      </c>
      <c r="AN3376">
        <v>-0.88</v>
      </c>
      <c r="AO3376">
        <v>1.02</v>
      </c>
      <c r="AP3376">
        <v>42</v>
      </c>
      <c r="AQ3376">
        <v>12</v>
      </c>
      <c r="AR3376">
        <v>7.64</v>
      </c>
      <c r="AS3376">
        <v>37</v>
      </c>
      <c r="AT3376">
        <v>3.08</v>
      </c>
      <c r="AU3376">
        <v>68</v>
      </c>
      <c r="AV3376">
        <v>0.84</v>
      </c>
      <c r="AW3376">
        <v>80</v>
      </c>
      <c r="AX3376">
        <v>-0.03</v>
      </c>
      <c r="AY3376">
        <v>70</v>
      </c>
      <c r="AZ3376">
        <v>4.74</v>
      </c>
      <c r="BA3376">
        <v>37</v>
      </c>
      <c r="BB3376">
        <v>3.71</v>
      </c>
      <c r="BC3376">
        <v>51</v>
      </c>
      <c r="BD3376">
        <v>0.01</v>
      </c>
      <c r="BE3376">
        <v>0.01</v>
      </c>
      <c r="BF3376">
        <v>0.03</v>
      </c>
      <c r="BG3376">
        <v>72</v>
      </c>
      <c r="BH3376">
        <v>-0.09</v>
      </c>
      <c r="BI3376">
        <v>23.54</v>
      </c>
      <c r="BJ3376">
        <v>0</v>
      </c>
      <c r="BK3376">
        <v>0</v>
      </c>
      <c r="BL3376">
        <v>-0.76</v>
      </c>
      <c r="BM3376">
        <v>1.25</v>
      </c>
      <c r="BN3376">
        <v>-0.72</v>
      </c>
      <c r="BO3376">
        <v>-1.57</v>
      </c>
      <c r="BP3376">
        <v>1.41</v>
      </c>
      <c r="BQ3376">
        <v>0.1</v>
      </c>
      <c r="BR3376">
        <v>0.44</v>
      </c>
      <c r="BS3376">
        <v>-0.26</v>
      </c>
      <c r="BT3376">
        <v>-0.66</v>
      </c>
      <c r="BU3376">
        <v>-0.65</v>
      </c>
      <c r="BV3376">
        <v>-1.59</v>
      </c>
      <c r="BW3376">
        <v>-1.65</v>
      </c>
      <c r="BX3376">
        <v>-0.4</v>
      </c>
      <c r="BY3376">
        <v>-0.81</v>
      </c>
      <c r="BZ3376">
        <v>0.35</v>
      </c>
      <c r="CA3376">
        <v>-1.56</v>
      </c>
      <c r="CB3376">
        <v>-1.51</v>
      </c>
      <c r="CC3376">
        <v>-1.06</v>
      </c>
      <c r="CD3376">
        <v>1.65</v>
      </c>
      <c r="CE3376">
        <v>-1.75</v>
      </c>
      <c r="CF3376">
        <v>-0.67</v>
      </c>
      <c r="CG3376">
        <v>0</v>
      </c>
      <c r="CH3376">
        <v>-0.6</v>
      </c>
      <c r="CI3376">
        <v>0</v>
      </c>
      <c r="CJ3376">
        <v>10.3</v>
      </c>
      <c r="CK3376">
        <v>90</v>
      </c>
      <c r="CL3376">
        <v>0.49</v>
      </c>
      <c r="CM3376">
        <v>88</v>
      </c>
      <c r="CN3376">
        <v>-0.48</v>
      </c>
      <c r="CO3376">
        <v>86</v>
      </c>
      <c r="CP3376">
        <v>15.2</v>
      </c>
      <c r="CQ3376">
        <v>83</v>
      </c>
      <c r="CR3376">
        <v>0</v>
      </c>
      <c r="CS3376">
        <v>0</v>
      </c>
      <c r="CT3376">
        <v>22.6</v>
      </c>
      <c r="CU3376">
        <v>71</v>
      </c>
      <c r="CV3376">
        <v>-7.0000000000000007E-2</v>
      </c>
      <c r="CW3376">
        <v>25</v>
      </c>
      <c r="CX3376" t="s">
        <v>10788</v>
      </c>
    </row>
    <row r="3377" spans="1:102" x14ac:dyDescent="0.3">
      <c r="A3377" t="str">
        <f>HYPERLINK("https://webapp.icbf.com/v2/app/bull-search/view/77854588","OMR")</f>
        <v>OMR</v>
      </c>
      <c r="B3377" t="s">
        <v>14764</v>
      </c>
      <c r="C3377" t="s">
        <v>12432</v>
      </c>
      <c r="D3377" s="1">
        <v>31546</v>
      </c>
      <c r="E3377" t="s">
        <v>92</v>
      </c>
      <c r="F3377">
        <v>88</v>
      </c>
      <c r="G3377" t="s">
        <v>93</v>
      </c>
      <c r="H3377">
        <v>-32.43</v>
      </c>
      <c r="I3377">
        <v>98</v>
      </c>
      <c r="J3377">
        <v>-9.1</v>
      </c>
      <c r="K3377">
        <v>99</v>
      </c>
      <c r="L3377">
        <v>-22.8</v>
      </c>
      <c r="M3377">
        <v>98</v>
      </c>
      <c r="N3377">
        <v>11.62</v>
      </c>
      <c r="O3377">
        <v>98</v>
      </c>
      <c r="P3377">
        <v>-2.42</v>
      </c>
      <c r="Q3377">
        <v>99</v>
      </c>
      <c r="R3377">
        <v>-9.99</v>
      </c>
      <c r="S3377">
        <v>96</v>
      </c>
      <c r="T3377">
        <v>1.32</v>
      </c>
      <c r="U3377">
        <v>99</v>
      </c>
      <c r="V3377">
        <v>-1.06</v>
      </c>
      <c r="W3377">
        <v>96</v>
      </c>
      <c r="X3377" t="s">
        <v>110</v>
      </c>
      <c r="Y3377" t="s">
        <v>95</v>
      </c>
      <c r="Z3377" t="s">
        <v>96</v>
      </c>
      <c r="AA3377" t="s">
        <v>128</v>
      </c>
      <c r="AB3377" t="s">
        <v>14765</v>
      </c>
      <c r="AC3377">
        <v>5142</v>
      </c>
      <c r="AD3377">
        <v>1765</v>
      </c>
      <c r="AE3377">
        <v>99</v>
      </c>
      <c r="AF3377">
        <v>47.86</v>
      </c>
      <c r="AG3377">
        <v>-0.89</v>
      </c>
      <c r="AH3377">
        <v>-0.5</v>
      </c>
      <c r="AI3377">
        <v>-0.05</v>
      </c>
      <c r="AJ3377">
        <v>-0.04</v>
      </c>
      <c r="AK3377">
        <v>98</v>
      </c>
      <c r="AL3377">
        <v>8164</v>
      </c>
      <c r="AM3377">
        <v>2594</v>
      </c>
      <c r="AN3377">
        <v>1.1000000000000001</v>
      </c>
      <c r="AO3377">
        <v>-0.72</v>
      </c>
      <c r="AP3377">
        <v>206</v>
      </c>
      <c r="AQ3377">
        <v>37</v>
      </c>
      <c r="AR3377">
        <v>5.43</v>
      </c>
      <c r="AS3377">
        <v>95</v>
      </c>
      <c r="AT3377">
        <v>2.33</v>
      </c>
      <c r="AU3377">
        <v>99</v>
      </c>
      <c r="AV3377">
        <v>0.23</v>
      </c>
      <c r="AW3377">
        <v>99</v>
      </c>
      <c r="AX3377">
        <v>-0.13</v>
      </c>
      <c r="AY3377">
        <v>99</v>
      </c>
      <c r="AZ3377">
        <v>6.6</v>
      </c>
      <c r="BA3377">
        <v>95</v>
      </c>
      <c r="BB3377">
        <v>4.5999999999999996</v>
      </c>
      <c r="BC3377">
        <v>98</v>
      </c>
      <c r="BD3377">
        <v>0.1</v>
      </c>
      <c r="BE3377">
        <v>7.0000000000000007E-2</v>
      </c>
      <c r="BF3377">
        <v>-7.0000000000000007E-2</v>
      </c>
      <c r="BG3377">
        <v>99</v>
      </c>
      <c r="BH3377">
        <v>0.05</v>
      </c>
      <c r="BI3377">
        <v>9.2100000000000009</v>
      </c>
      <c r="BJ3377">
        <v>399</v>
      </c>
      <c r="BK3377">
        <v>251</v>
      </c>
      <c r="BL3377">
        <v>-0.42</v>
      </c>
      <c r="BM3377">
        <v>2.2999999999999998</v>
      </c>
      <c r="BN3377">
        <v>0.13</v>
      </c>
      <c r="BO3377">
        <v>-1.63</v>
      </c>
      <c r="BP3377">
        <v>-0.98</v>
      </c>
      <c r="BQ3377">
        <v>0.92</v>
      </c>
      <c r="BR3377">
        <v>-1.06</v>
      </c>
      <c r="BS3377">
        <v>-0.79</v>
      </c>
      <c r="BT3377">
        <v>1.41</v>
      </c>
      <c r="BU3377">
        <v>-0.64</v>
      </c>
      <c r="BV3377">
        <v>-0.88</v>
      </c>
      <c r="BW3377">
        <v>-0.5</v>
      </c>
      <c r="BX3377">
        <v>-0.16</v>
      </c>
      <c r="BY3377">
        <v>-0.54</v>
      </c>
      <c r="BZ3377">
        <v>1.07</v>
      </c>
      <c r="CA3377">
        <v>-1.24</v>
      </c>
      <c r="CB3377">
        <v>-1.39</v>
      </c>
      <c r="CC3377">
        <v>-0.37</v>
      </c>
      <c r="CD3377">
        <v>1.71</v>
      </c>
      <c r="CE3377">
        <v>-1.72</v>
      </c>
      <c r="CF3377">
        <v>-0.81</v>
      </c>
      <c r="CG3377">
        <v>0</v>
      </c>
      <c r="CH3377">
        <v>-0.62</v>
      </c>
      <c r="CI3377">
        <v>0</v>
      </c>
      <c r="CJ3377">
        <v>0.6</v>
      </c>
      <c r="CK3377">
        <v>99</v>
      </c>
      <c r="CL3377">
        <v>-0.34</v>
      </c>
      <c r="CM3377">
        <v>99</v>
      </c>
      <c r="CN3377">
        <v>-0.03</v>
      </c>
      <c r="CO3377">
        <v>99</v>
      </c>
      <c r="CP3377">
        <v>-0.6</v>
      </c>
      <c r="CQ3377">
        <v>99</v>
      </c>
      <c r="CR3377">
        <v>0</v>
      </c>
      <c r="CS3377">
        <v>0</v>
      </c>
      <c r="CT3377">
        <v>12</v>
      </c>
      <c r="CU3377">
        <v>99</v>
      </c>
      <c r="CV3377">
        <v>0.04</v>
      </c>
      <c r="CW3377">
        <v>47</v>
      </c>
      <c r="CX3377" t="s">
        <v>14766</v>
      </c>
    </row>
    <row r="3378" spans="1:102" x14ac:dyDescent="0.3">
      <c r="A3378" t="str">
        <f>HYPERLINK("https://webapp.icbf.com/v2/app/bull-search/view/77858290","DEF")</f>
        <v>DEF</v>
      </c>
      <c r="B3378" t="s">
        <v>11439</v>
      </c>
      <c r="C3378" t="s">
        <v>3865</v>
      </c>
      <c r="D3378" s="1">
        <v>32878</v>
      </c>
      <c r="E3378" t="s">
        <v>108</v>
      </c>
      <c r="F3378">
        <v>0</v>
      </c>
      <c r="G3378" t="s">
        <v>93</v>
      </c>
      <c r="H3378">
        <v>-32.51</v>
      </c>
      <c r="I3378">
        <v>98</v>
      </c>
      <c r="J3378">
        <v>-52.84</v>
      </c>
      <c r="K3378">
        <v>99</v>
      </c>
      <c r="L3378">
        <v>50.91</v>
      </c>
      <c r="M3378">
        <v>96</v>
      </c>
      <c r="N3378">
        <v>-24.24</v>
      </c>
      <c r="O3378">
        <v>98</v>
      </c>
      <c r="P3378">
        <v>-7.9</v>
      </c>
      <c r="Q3378">
        <v>99</v>
      </c>
      <c r="R3378">
        <v>-11.51</v>
      </c>
      <c r="S3378">
        <v>95</v>
      </c>
      <c r="T3378">
        <v>14.34</v>
      </c>
      <c r="U3378">
        <v>99</v>
      </c>
      <c r="V3378">
        <v>-1.27</v>
      </c>
      <c r="W3378">
        <v>95</v>
      </c>
      <c r="X3378" t="s">
        <v>102</v>
      </c>
      <c r="Y3378" t="s">
        <v>95</v>
      </c>
      <c r="Z3378" t="s">
        <v>96</v>
      </c>
      <c r="AA3378" t="s">
        <v>2781</v>
      </c>
      <c r="AB3378" t="s">
        <v>11063</v>
      </c>
      <c r="AC3378">
        <v>1542</v>
      </c>
      <c r="AD3378">
        <v>550</v>
      </c>
      <c r="AE3378">
        <v>99</v>
      </c>
      <c r="AF3378">
        <v>-332.79</v>
      </c>
      <c r="AG3378">
        <v>-11.79</v>
      </c>
      <c r="AH3378">
        <v>-9.91</v>
      </c>
      <c r="AI3378">
        <v>0.02</v>
      </c>
      <c r="AJ3378">
        <v>0.03</v>
      </c>
      <c r="AK3378">
        <v>96</v>
      </c>
      <c r="AL3378">
        <v>2731</v>
      </c>
      <c r="AM3378">
        <v>1080</v>
      </c>
      <c r="AN3378">
        <v>-2.8</v>
      </c>
      <c r="AO3378">
        <v>1.26</v>
      </c>
      <c r="AP3378">
        <v>188</v>
      </c>
      <c r="AQ3378">
        <v>2</v>
      </c>
      <c r="AR3378">
        <v>8.86</v>
      </c>
      <c r="AS3378">
        <v>93</v>
      </c>
      <c r="AT3378">
        <v>3.91</v>
      </c>
      <c r="AU3378">
        <v>97</v>
      </c>
      <c r="AV3378">
        <v>0.76</v>
      </c>
      <c r="AW3378">
        <v>99</v>
      </c>
      <c r="AX3378">
        <v>0.21</v>
      </c>
      <c r="AY3378">
        <v>99</v>
      </c>
      <c r="AZ3378">
        <v>5.59</v>
      </c>
      <c r="BA3378">
        <v>92</v>
      </c>
      <c r="BB3378">
        <v>6.49</v>
      </c>
      <c r="BC3378">
        <v>97</v>
      </c>
      <c r="BD3378">
        <v>0.13</v>
      </c>
      <c r="BE3378">
        <v>0.02</v>
      </c>
      <c r="BF3378">
        <v>0.01</v>
      </c>
      <c r="BG3378">
        <v>99</v>
      </c>
      <c r="BH3378">
        <v>0.14000000000000001</v>
      </c>
      <c r="BI3378">
        <v>20.3</v>
      </c>
      <c r="BJ3378">
        <v>63</v>
      </c>
      <c r="BK3378">
        <v>42</v>
      </c>
      <c r="BL3378">
        <v>-2.62</v>
      </c>
      <c r="BM3378">
        <v>1.86</v>
      </c>
      <c r="BN3378">
        <v>-2.82</v>
      </c>
      <c r="BO3378">
        <v>-3.26</v>
      </c>
      <c r="BP3378">
        <v>-2.17</v>
      </c>
      <c r="BQ3378">
        <v>2.0699999999999998</v>
      </c>
      <c r="BR3378">
        <v>-2.64</v>
      </c>
      <c r="BS3378">
        <v>0.62</v>
      </c>
      <c r="BT3378">
        <v>0.56000000000000005</v>
      </c>
      <c r="BU3378">
        <v>-3.5</v>
      </c>
      <c r="BV3378">
        <v>-3.84</v>
      </c>
      <c r="BW3378">
        <v>-2.33</v>
      </c>
      <c r="BX3378">
        <v>-3.13</v>
      </c>
      <c r="BY3378">
        <v>-0.7</v>
      </c>
      <c r="BZ3378">
        <v>0.03</v>
      </c>
      <c r="CA3378">
        <v>-2.2999999999999998</v>
      </c>
      <c r="CB3378">
        <v>-2.98</v>
      </c>
      <c r="CC3378">
        <v>-0.35</v>
      </c>
      <c r="CD3378">
        <v>3.76</v>
      </c>
      <c r="CE3378">
        <v>-2.68</v>
      </c>
      <c r="CF3378">
        <v>-1.1299999999999999</v>
      </c>
      <c r="CG3378">
        <v>0</v>
      </c>
      <c r="CH3378">
        <v>-0.87</v>
      </c>
      <c r="CI3378">
        <v>0</v>
      </c>
      <c r="CJ3378">
        <v>-1.6</v>
      </c>
      <c r="CK3378">
        <v>99</v>
      </c>
      <c r="CL3378">
        <v>0.01</v>
      </c>
      <c r="CM3378">
        <v>99</v>
      </c>
      <c r="CN3378">
        <v>0.41</v>
      </c>
      <c r="CO3378">
        <v>99</v>
      </c>
      <c r="CP3378">
        <v>-6.6</v>
      </c>
      <c r="CQ3378">
        <v>99</v>
      </c>
      <c r="CR3378">
        <v>0</v>
      </c>
      <c r="CS3378">
        <v>0</v>
      </c>
      <c r="CT3378">
        <v>-5.6</v>
      </c>
      <c r="CU3378">
        <v>99</v>
      </c>
      <c r="CV3378">
        <v>0.12</v>
      </c>
      <c r="CW3378">
        <v>47</v>
      </c>
      <c r="CX3378" t="s">
        <v>2980</v>
      </c>
    </row>
    <row r="3379" spans="1:102" x14ac:dyDescent="0.3">
      <c r="A3379" t="str">
        <f>HYPERLINK("https://webapp.icbf.com/v2/app/bull-search/view/742430213","YSD")</f>
        <v>YSD</v>
      </c>
      <c r="B3379" t="s">
        <v>5523</v>
      </c>
      <c r="C3379" t="s">
        <v>5524</v>
      </c>
      <c r="D3379" s="1">
        <v>40188</v>
      </c>
      <c r="E3379" t="s">
        <v>108</v>
      </c>
      <c r="F3379">
        <v>3</v>
      </c>
      <c r="G3379" t="s">
        <v>93</v>
      </c>
      <c r="H3379">
        <v>-32.520000000000003</v>
      </c>
      <c r="I3379">
        <v>87</v>
      </c>
      <c r="J3379">
        <v>-81.010000000000005</v>
      </c>
      <c r="K3379">
        <v>97</v>
      </c>
      <c r="L3379">
        <v>26.48</v>
      </c>
      <c r="M3379">
        <v>78</v>
      </c>
      <c r="N3379">
        <v>15.29</v>
      </c>
      <c r="O3379">
        <v>85</v>
      </c>
      <c r="P3379">
        <v>-17.12</v>
      </c>
      <c r="Q3379">
        <v>94</v>
      </c>
      <c r="R3379">
        <v>3.6</v>
      </c>
      <c r="S3379">
        <v>78</v>
      </c>
      <c r="T3379">
        <v>16.71</v>
      </c>
      <c r="U3379">
        <v>84</v>
      </c>
      <c r="V3379">
        <v>3.53</v>
      </c>
      <c r="W3379">
        <v>78</v>
      </c>
      <c r="X3379" t="s">
        <v>94</v>
      </c>
      <c r="Y3379" t="s">
        <v>1685</v>
      </c>
      <c r="Z3379" t="s">
        <v>96</v>
      </c>
      <c r="AA3379" t="s">
        <v>5087</v>
      </c>
      <c r="AB3379" t="s">
        <v>5525</v>
      </c>
      <c r="AC3379">
        <v>102</v>
      </c>
      <c r="AD3379">
        <v>61</v>
      </c>
      <c r="AE3379">
        <v>97</v>
      </c>
      <c r="AF3379">
        <v>-300.85000000000002</v>
      </c>
      <c r="AG3379">
        <v>-13.35</v>
      </c>
      <c r="AH3379">
        <v>-13.66</v>
      </c>
      <c r="AI3379">
        <v>-0.03</v>
      </c>
      <c r="AJ3379">
        <v>-0.06</v>
      </c>
      <c r="AK3379">
        <v>78</v>
      </c>
      <c r="AL3379">
        <v>128</v>
      </c>
      <c r="AM3379">
        <v>73</v>
      </c>
      <c r="AN3379">
        <v>-3.13</v>
      </c>
      <c r="AO3379">
        <v>-1.04</v>
      </c>
      <c r="AP3379">
        <v>175</v>
      </c>
      <c r="AQ3379">
        <v>1</v>
      </c>
      <c r="AR3379">
        <v>8.43</v>
      </c>
      <c r="AS3379">
        <v>67</v>
      </c>
      <c r="AT3379">
        <v>3.44</v>
      </c>
      <c r="AU3379">
        <v>86</v>
      </c>
      <c r="AV3379">
        <v>-2.76</v>
      </c>
      <c r="AW3379">
        <v>97</v>
      </c>
      <c r="AX3379">
        <v>-0.34</v>
      </c>
      <c r="AY3379">
        <v>85</v>
      </c>
      <c r="AZ3379">
        <v>6.27</v>
      </c>
      <c r="BA3379">
        <v>65</v>
      </c>
      <c r="BB3379">
        <v>5.51</v>
      </c>
      <c r="BC3379">
        <v>63</v>
      </c>
      <c r="BD3379">
        <v>0.02</v>
      </c>
      <c r="BE3379">
        <v>-0.04</v>
      </c>
      <c r="BF3379">
        <v>-0.04</v>
      </c>
      <c r="BG3379">
        <v>87</v>
      </c>
      <c r="BH3379">
        <v>-0.12</v>
      </c>
      <c r="BI3379">
        <v>-25.26</v>
      </c>
      <c r="BJ3379">
        <v>8</v>
      </c>
      <c r="BK3379">
        <v>8</v>
      </c>
      <c r="BL3379">
        <v>-2.4500000000000002</v>
      </c>
      <c r="BM3379">
        <v>2.0299999999999998</v>
      </c>
      <c r="BN3379">
        <v>-1.08</v>
      </c>
      <c r="BO3379">
        <v>-2.12</v>
      </c>
      <c r="BP3379">
        <v>1.5</v>
      </c>
      <c r="BQ3379">
        <v>2.5</v>
      </c>
      <c r="BR3379">
        <v>0.54</v>
      </c>
      <c r="BS3379">
        <v>0.66</v>
      </c>
      <c r="BT3379">
        <v>-0.33</v>
      </c>
      <c r="BU3379">
        <v>-0.17</v>
      </c>
      <c r="BV3379">
        <v>-1.35</v>
      </c>
      <c r="BW3379">
        <v>-1.54</v>
      </c>
      <c r="BX3379">
        <v>-0.17</v>
      </c>
      <c r="BY3379">
        <v>-0.95</v>
      </c>
      <c r="BZ3379">
        <v>-2.06</v>
      </c>
      <c r="CA3379">
        <v>-0.99</v>
      </c>
      <c r="CB3379">
        <v>-1.08</v>
      </c>
      <c r="CC3379">
        <v>-0.62</v>
      </c>
      <c r="CD3379">
        <v>2.37</v>
      </c>
      <c r="CE3379">
        <v>-1.81</v>
      </c>
      <c r="CF3379">
        <v>-0.09</v>
      </c>
      <c r="CG3379">
        <v>0</v>
      </c>
      <c r="CH3379">
        <v>0.38</v>
      </c>
      <c r="CI3379">
        <v>0</v>
      </c>
      <c r="CJ3379">
        <v>-8.6999999999999993</v>
      </c>
      <c r="CK3379">
        <v>95</v>
      </c>
      <c r="CL3379">
        <v>-0.46</v>
      </c>
      <c r="CM3379">
        <v>94</v>
      </c>
      <c r="CN3379">
        <v>-7.0000000000000007E-2</v>
      </c>
      <c r="CO3379">
        <v>93</v>
      </c>
      <c r="CP3379">
        <v>-7.9</v>
      </c>
      <c r="CQ3379">
        <v>88</v>
      </c>
      <c r="CR3379">
        <v>0</v>
      </c>
      <c r="CS3379">
        <v>0</v>
      </c>
      <c r="CT3379">
        <v>-8.8000000000000007</v>
      </c>
      <c r="CU3379">
        <v>84</v>
      </c>
      <c r="CV3379">
        <v>-0.02</v>
      </c>
      <c r="CW3379">
        <v>45</v>
      </c>
      <c r="CX3379" t="s">
        <v>863</v>
      </c>
    </row>
    <row r="3380" spans="1:102" x14ac:dyDescent="0.3">
      <c r="A3380" t="str">
        <f>HYPERLINK("https://webapp.icbf.com/v2/app/bull-search/view/69091303","BVN")</f>
        <v>BVN</v>
      </c>
      <c r="B3380" t="s">
        <v>4627</v>
      </c>
      <c r="C3380" t="s">
        <v>224</v>
      </c>
      <c r="D3380" s="1">
        <v>31654</v>
      </c>
      <c r="E3380" t="s">
        <v>140</v>
      </c>
      <c r="F3380">
        <v>0</v>
      </c>
      <c r="G3380" t="s">
        <v>93</v>
      </c>
      <c r="H3380">
        <v>-32.61</v>
      </c>
      <c r="I3380">
        <v>91</v>
      </c>
      <c r="J3380">
        <v>-36.369999999999997</v>
      </c>
      <c r="K3380">
        <v>96</v>
      </c>
      <c r="L3380">
        <v>19.309999999999999</v>
      </c>
      <c r="M3380">
        <v>86</v>
      </c>
      <c r="N3380">
        <v>-27.61</v>
      </c>
      <c r="O3380">
        <v>91</v>
      </c>
      <c r="P3380">
        <v>15.55</v>
      </c>
      <c r="Q3380">
        <v>95</v>
      </c>
      <c r="R3380">
        <v>-3.39</v>
      </c>
      <c r="S3380">
        <v>87</v>
      </c>
      <c r="T3380">
        <v>9.83</v>
      </c>
      <c r="U3380">
        <v>94</v>
      </c>
      <c r="V3380">
        <v>-9.93</v>
      </c>
      <c r="W3380">
        <v>82</v>
      </c>
      <c r="X3380" t="s">
        <v>110</v>
      </c>
      <c r="Y3380" t="s">
        <v>95</v>
      </c>
      <c r="Z3380" t="s">
        <v>96</v>
      </c>
      <c r="AA3380" t="s">
        <v>763</v>
      </c>
      <c r="AB3380" t="s">
        <v>4628</v>
      </c>
      <c r="AC3380">
        <v>141</v>
      </c>
      <c r="AD3380">
        <v>58</v>
      </c>
      <c r="AE3380">
        <v>96</v>
      </c>
      <c r="AF3380">
        <v>-87.46</v>
      </c>
      <c r="AG3380">
        <v>-6.6</v>
      </c>
      <c r="AH3380">
        <v>-5.19</v>
      </c>
      <c r="AI3380">
        <v>-0.05</v>
      </c>
      <c r="AJ3380">
        <v>-0.04</v>
      </c>
      <c r="AK3380">
        <v>86</v>
      </c>
      <c r="AL3380">
        <v>146</v>
      </c>
      <c r="AM3380">
        <v>60</v>
      </c>
      <c r="AN3380">
        <v>-0.25</v>
      </c>
      <c r="AO3380">
        <v>1.3</v>
      </c>
      <c r="AP3380">
        <v>4</v>
      </c>
      <c r="AQ3380">
        <v>0</v>
      </c>
      <c r="AR3380">
        <v>10.75</v>
      </c>
      <c r="AS3380">
        <v>81</v>
      </c>
      <c r="AT3380">
        <v>5.19</v>
      </c>
      <c r="AU3380">
        <v>90</v>
      </c>
      <c r="AV3380">
        <v>0.22</v>
      </c>
      <c r="AW3380">
        <v>96</v>
      </c>
      <c r="AX3380">
        <v>0.18</v>
      </c>
      <c r="AY3380">
        <v>93</v>
      </c>
      <c r="AZ3380">
        <v>5.05</v>
      </c>
      <c r="BA3380">
        <v>79</v>
      </c>
      <c r="BB3380">
        <v>3.88</v>
      </c>
      <c r="BC3380">
        <v>86</v>
      </c>
      <c r="BD3380">
        <v>0.06</v>
      </c>
      <c r="BE3380">
        <v>0.02</v>
      </c>
      <c r="BF3380">
        <v>-0.06</v>
      </c>
      <c r="BG3380">
        <v>94</v>
      </c>
      <c r="BH3380">
        <v>-0.09</v>
      </c>
      <c r="BI3380">
        <v>21.61</v>
      </c>
      <c r="BJ3380">
        <v>0</v>
      </c>
      <c r="BK3380">
        <v>0</v>
      </c>
      <c r="BL3380">
        <v>-0.72</v>
      </c>
      <c r="BM3380">
        <v>4.7</v>
      </c>
      <c r="BN3380">
        <v>-1.29</v>
      </c>
      <c r="BO3380">
        <v>-3.47</v>
      </c>
      <c r="BP3380">
        <v>5.35</v>
      </c>
      <c r="BQ3380">
        <v>-1.62</v>
      </c>
      <c r="BR3380">
        <v>-2.5299999999999998</v>
      </c>
      <c r="BS3380">
        <v>-0.33</v>
      </c>
      <c r="BT3380">
        <v>2.89</v>
      </c>
      <c r="BU3380">
        <v>-3.29</v>
      </c>
      <c r="BV3380">
        <v>-3.58</v>
      </c>
      <c r="BW3380">
        <v>-2.7</v>
      </c>
      <c r="BX3380">
        <v>-2.62</v>
      </c>
      <c r="BY3380">
        <v>-1.94</v>
      </c>
      <c r="BZ3380">
        <v>0.7</v>
      </c>
      <c r="CA3380">
        <v>-2.46</v>
      </c>
      <c r="CB3380">
        <v>-3.23</v>
      </c>
      <c r="CC3380">
        <v>-0.2</v>
      </c>
      <c r="CD3380">
        <v>4.7</v>
      </c>
      <c r="CE3380">
        <v>-3.62</v>
      </c>
      <c r="CF3380">
        <v>-1.1599999999999999</v>
      </c>
      <c r="CG3380">
        <v>0</v>
      </c>
      <c r="CH3380">
        <v>-3.15</v>
      </c>
      <c r="CI3380">
        <v>0</v>
      </c>
      <c r="CJ3380">
        <v>5</v>
      </c>
      <c r="CK3380">
        <v>95</v>
      </c>
      <c r="CL3380">
        <v>0.51</v>
      </c>
      <c r="CM3380">
        <v>94</v>
      </c>
      <c r="CN3380">
        <v>-0.27</v>
      </c>
      <c r="CO3380">
        <v>94</v>
      </c>
      <c r="CP3380">
        <v>1.5</v>
      </c>
      <c r="CQ3380">
        <v>95</v>
      </c>
      <c r="CR3380">
        <v>0</v>
      </c>
      <c r="CS3380">
        <v>0</v>
      </c>
      <c r="CT3380">
        <v>0.5</v>
      </c>
      <c r="CU3380">
        <v>94</v>
      </c>
      <c r="CV3380">
        <v>-0.22</v>
      </c>
      <c r="CW3380">
        <v>29</v>
      </c>
      <c r="CX3380" t="s">
        <v>4629</v>
      </c>
    </row>
    <row r="3381" spans="1:102" x14ac:dyDescent="0.3">
      <c r="A3381" t="str">
        <f>HYPERLINK("https://webapp.icbf.com/v2/app/bull-search/view/586045846","S1003")</f>
        <v>S1003</v>
      </c>
      <c r="B3381" t="s">
        <v>9011</v>
      </c>
      <c r="C3381" t="s">
        <v>9012</v>
      </c>
      <c r="D3381" s="1">
        <v>37841</v>
      </c>
      <c r="E3381" t="s">
        <v>92</v>
      </c>
      <c r="F3381">
        <v>100</v>
      </c>
      <c r="G3381" t="s">
        <v>93</v>
      </c>
      <c r="H3381">
        <v>-32.61</v>
      </c>
      <c r="I3381">
        <v>90</v>
      </c>
      <c r="J3381">
        <v>28.22</v>
      </c>
      <c r="K3381">
        <v>98</v>
      </c>
      <c r="L3381">
        <v>-81.19</v>
      </c>
      <c r="M3381">
        <v>89</v>
      </c>
      <c r="N3381">
        <v>16.21</v>
      </c>
      <c r="O3381">
        <v>88</v>
      </c>
      <c r="P3381">
        <v>-2.96</v>
      </c>
      <c r="Q3381">
        <v>92</v>
      </c>
      <c r="R3381">
        <v>3.15</v>
      </c>
      <c r="S3381">
        <v>81</v>
      </c>
      <c r="T3381">
        <v>3.1</v>
      </c>
      <c r="U3381">
        <v>84</v>
      </c>
      <c r="V3381">
        <v>0.86</v>
      </c>
      <c r="W3381">
        <v>66</v>
      </c>
      <c r="X3381" t="s">
        <v>102</v>
      </c>
      <c r="Y3381" t="s">
        <v>303</v>
      </c>
      <c r="Z3381" t="s">
        <v>96</v>
      </c>
      <c r="AA3381" t="s">
        <v>9013</v>
      </c>
      <c r="AB3381" t="s">
        <v>9014</v>
      </c>
      <c r="AC3381">
        <v>152</v>
      </c>
      <c r="AD3381">
        <v>47</v>
      </c>
      <c r="AE3381">
        <v>98</v>
      </c>
      <c r="AF3381">
        <v>243</v>
      </c>
      <c r="AG3381">
        <v>6.02</v>
      </c>
      <c r="AH3381">
        <v>6.39</v>
      </c>
      <c r="AI3381">
        <v>-0.06</v>
      </c>
      <c r="AJ3381">
        <v>-0.03</v>
      </c>
      <c r="AK3381">
        <v>89</v>
      </c>
      <c r="AL3381">
        <v>139</v>
      </c>
      <c r="AM3381">
        <v>54</v>
      </c>
      <c r="AN3381">
        <v>4.8</v>
      </c>
      <c r="AO3381">
        <v>-1.67</v>
      </c>
      <c r="AP3381">
        <v>277</v>
      </c>
      <c r="AQ3381">
        <v>1</v>
      </c>
      <c r="AR3381">
        <v>8.3699999999999992</v>
      </c>
      <c r="AS3381">
        <v>80</v>
      </c>
      <c r="AT3381">
        <v>3.39</v>
      </c>
      <c r="AU3381">
        <v>93</v>
      </c>
      <c r="AV3381">
        <v>-2.8</v>
      </c>
      <c r="AW3381">
        <v>95</v>
      </c>
      <c r="AX3381">
        <v>0.49</v>
      </c>
      <c r="AY3381">
        <v>85</v>
      </c>
      <c r="AZ3381">
        <v>5.77</v>
      </c>
      <c r="BA3381">
        <v>74</v>
      </c>
      <c r="BB3381">
        <v>5.24</v>
      </c>
      <c r="BC3381">
        <v>69</v>
      </c>
      <c r="BD3381">
        <v>0.01</v>
      </c>
      <c r="BE3381">
        <v>-0.01</v>
      </c>
      <c r="BF3381">
        <v>-7.0000000000000007E-2</v>
      </c>
      <c r="BG3381">
        <v>95</v>
      </c>
      <c r="BH3381">
        <v>-0.03</v>
      </c>
      <c r="BI3381">
        <v>-6.25</v>
      </c>
      <c r="BJ3381">
        <v>77</v>
      </c>
      <c r="BK3381">
        <v>32</v>
      </c>
      <c r="BL3381">
        <v>1.47</v>
      </c>
      <c r="BM3381">
        <v>1.36</v>
      </c>
      <c r="BN3381">
        <v>1.72</v>
      </c>
      <c r="BO3381">
        <v>0.6</v>
      </c>
      <c r="BP3381">
        <v>2.54</v>
      </c>
      <c r="BQ3381">
        <v>1.66</v>
      </c>
      <c r="BR3381">
        <v>-0.99</v>
      </c>
      <c r="BS3381">
        <v>1.38</v>
      </c>
      <c r="BT3381">
        <v>2.42</v>
      </c>
      <c r="BU3381">
        <v>1.55</v>
      </c>
      <c r="BV3381">
        <v>1.03</v>
      </c>
      <c r="BW3381">
        <v>0.74</v>
      </c>
      <c r="BX3381">
        <v>1.02</v>
      </c>
      <c r="BY3381">
        <v>0.46</v>
      </c>
      <c r="BZ3381">
        <v>-0.36</v>
      </c>
      <c r="CA3381">
        <v>1.59</v>
      </c>
      <c r="CB3381">
        <v>1.44</v>
      </c>
      <c r="CC3381">
        <v>1.3</v>
      </c>
      <c r="CD3381">
        <v>0.37</v>
      </c>
      <c r="CE3381">
        <v>0.8</v>
      </c>
      <c r="CF3381">
        <v>1.96</v>
      </c>
      <c r="CG3381">
        <v>0</v>
      </c>
      <c r="CH3381">
        <v>0.64</v>
      </c>
      <c r="CI3381">
        <v>0</v>
      </c>
      <c r="CJ3381">
        <v>1.2</v>
      </c>
      <c r="CK3381">
        <v>93</v>
      </c>
      <c r="CL3381">
        <v>-1.1200000000000001</v>
      </c>
      <c r="CM3381">
        <v>91</v>
      </c>
      <c r="CN3381">
        <v>-0.52</v>
      </c>
      <c r="CO3381">
        <v>90</v>
      </c>
      <c r="CP3381">
        <v>5.7</v>
      </c>
      <c r="CQ3381">
        <v>88</v>
      </c>
      <c r="CR3381">
        <v>0</v>
      </c>
      <c r="CS3381">
        <v>0</v>
      </c>
      <c r="CT3381">
        <v>9.6</v>
      </c>
      <c r="CU3381">
        <v>84</v>
      </c>
      <c r="CV3381">
        <v>0.17</v>
      </c>
      <c r="CW3381">
        <v>45</v>
      </c>
      <c r="CX3381" t="s">
        <v>596</v>
      </c>
    </row>
    <row r="3382" spans="1:102" x14ac:dyDescent="0.3">
      <c r="A3382" t="str">
        <f>HYPERLINK("https://webapp.icbf.com/v2/app/bull-search/view/77859658","BGI")</f>
        <v>BGI</v>
      </c>
      <c r="B3382" t="s">
        <v>3736</v>
      </c>
      <c r="C3382" t="s">
        <v>3737</v>
      </c>
      <c r="D3382" s="1">
        <v>31872</v>
      </c>
      <c r="E3382" t="s">
        <v>92</v>
      </c>
      <c r="F3382">
        <v>100</v>
      </c>
      <c r="G3382" t="s">
        <v>93</v>
      </c>
      <c r="H3382">
        <v>-32.700000000000003</v>
      </c>
      <c r="I3382">
        <v>97</v>
      </c>
      <c r="J3382">
        <v>24.89</v>
      </c>
      <c r="K3382">
        <v>99</v>
      </c>
      <c r="L3382">
        <v>-47.23</v>
      </c>
      <c r="M3382">
        <v>96</v>
      </c>
      <c r="N3382">
        <v>-3.67</v>
      </c>
      <c r="O3382">
        <v>97</v>
      </c>
      <c r="P3382">
        <v>-12.63</v>
      </c>
      <c r="Q3382">
        <v>99</v>
      </c>
      <c r="R3382">
        <v>-14.4</v>
      </c>
      <c r="S3382">
        <v>94</v>
      </c>
      <c r="T3382">
        <v>25.3</v>
      </c>
      <c r="U3382">
        <v>99</v>
      </c>
      <c r="V3382">
        <v>-4.96</v>
      </c>
      <c r="W3382">
        <v>93</v>
      </c>
      <c r="X3382" t="s">
        <v>251</v>
      </c>
      <c r="Y3382" t="s">
        <v>95</v>
      </c>
      <c r="Z3382" t="s">
        <v>96</v>
      </c>
      <c r="AA3382" t="s">
        <v>3586</v>
      </c>
      <c r="AB3382" t="s">
        <v>3738</v>
      </c>
      <c r="AC3382">
        <v>1915</v>
      </c>
      <c r="AD3382">
        <v>573</v>
      </c>
      <c r="AE3382">
        <v>99</v>
      </c>
      <c r="AF3382">
        <v>-1.56</v>
      </c>
      <c r="AG3382">
        <v>-1.81</v>
      </c>
      <c r="AH3382">
        <v>4.8499999999999996</v>
      </c>
      <c r="AI3382">
        <v>-0.03</v>
      </c>
      <c r="AJ3382">
        <v>0.09</v>
      </c>
      <c r="AK3382">
        <v>96</v>
      </c>
      <c r="AL3382">
        <v>2416</v>
      </c>
      <c r="AM3382">
        <v>683</v>
      </c>
      <c r="AN3382">
        <v>3.88</v>
      </c>
      <c r="AO3382">
        <v>0.13</v>
      </c>
      <c r="AP3382">
        <v>162</v>
      </c>
      <c r="AQ3382">
        <v>0</v>
      </c>
      <c r="AR3382">
        <v>5.53</v>
      </c>
      <c r="AS3382">
        <v>92</v>
      </c>
      <c r="AT3382">
        <v>2.15</v>
      </c>
      <c r="AU3382">
        <v>97</v>
      </c>
      <c r="AV3382">
        <v>0.56000000000000005</v>
      </c>
      <c r="AW3382">
        <v>99</v>
      </c>
      <c r="AX3382">
        <v>0.08</v>
      </c>
      <c r="AY3382">
        <v>98</v>
      </c>
      <c r="AZ3382">
        <v>8.66</v>
      </c>
      <c r="BA3382">
        <v>91</v>
      </c>
      <c r="BB3382">
        <v>6.38</v>
      </c>
      <c r="BC3382">
        <v>97</v>
      </c>
      <c r="BD3382">
        <v>0.03</v>
      </c>
      <c r="BE3382">
        <v>0.09</v>
      </c>
      <c r="BF3382">
        <v>0.11</v>
      </c>
      <c r="BG3382">
        <v>99</v>
      </c>
      <c r="BH3382">
        <v>0.06</v>
      </c>
      <c r="BI3382">
        <v>22.93</v>
      </c>
      <c r="BJ3382">
        <v>64</v>
      </c>
      <c r="BK3382">
        <v>38</v>
      </c>
      <c r="BL3382">
        <v>-1.81</v>
      </c>
      <c r="BM3382">
        <v>-0.54</v>
      </c>
      <c r="BN3382">
        <v>-1.1499999999999999</v>
      </c>
      <c r="BO3382">
        <v>-0.55000000000000004</v>
      </c>
      <c r="BP3382">
        <v>-0.22</v>
      </c>
      <c r="BQ3382">
        <v>-3.25</v>
      </c>
      <c r="BR3382">
        <v>1.47</v>
      </c>
      <c r="BS3382">
        <v>-2.58</v>
      </c>
      <c r="BT3382">
        <v>-2.68</v>
      </c>
      <c r="BU3382">
        <v>-1.08</v>
      </c>
      <c r="BV3382">
        <v>-1.23</v>
      </c>
      <c r="BW3382">
        <v>-0.23</v>
      </c>
      <c r="BX3382">
        <v>-1.89</v>
      </c>
      <c r="BY3382">
        <v>-0.53</v>
      </c>
      <c r="BZ3382">
        <v>-1.48</v>
      </c>
      <c r="CA3382">
        <v>-1.44</v>
      </c>
      <c r="CB3382">
        <v>-0.75</v>
      </c>
      <c r="CC3382">
        <v>-1.91</v>
      </c>
      <c r="CD3382">
        <v>0.56999999999999995</v>
      </c>
      <c r="CE3382">
        <v>-0.93</v>
      </c>
      <c r="CF3382">
        <v>-2.59</v>
      </c>
      <c r="CG3382">
        <v>0</v>
      </c>
      <c r="CH3382">
        <v>-0.42</v>
      </c>
      <c r="CI3382">
        <v>0</v>
      </c>
      <c r="CJ3382">
        <v>-4</v>
      </c>
      <c r="CK3382">
        <v>99</v>
      </c>
      <c r="CL3382">
        <v>-0.28999999999999998</v>
      </c>
      <c r="CM3382">
        <v>99</v>
      </c>
      <c r="CN3382">
        <v>0.17</v>
      </c>
      <c r="CO3382">
        <v>99</v>
      </c>
      <c r="CP3382">
        <v>-14.2</v>
      </c>
      <c r="CQ3382">
        <v>99</v>
      </c>
      <c r="CR3382">
        <v>0</v>
      </c>
      <c r="CS3382">
        <v>0</v>
      </c>
      <c r="CT3382">
        <v>-20.399999999999999</v>
      </c>
      <c r="CU3382">
        <v>99</v>
      </c>
      <c r="CV3382">
        <v>-0.04</v>
      </c>
      <c r="CW3382">
        <v>46</v>
      </c>
      <c r="CX3382" t="s">
        <v>707</v>
      </c>
    </row>
    <row r="3383" spans="1:102" x14ac:dyDescent="0.3">
      <c r="A3383" t="str">
        <f>HYPERLINK("https://webapp.icbf.com/v2/app/bull-search/view/77860126","CAP")</f>
        <v>CAP</v>
      </c>
      <c r="B3383" t="s">
        <v>10618</v>
      </c>
      <c r="C3383" t="s">
        <v>10619</v>
      </c>
      <c r="D3383" s="1">
        <v>33248</v>
      </c>
      <c r="E3383" t="s">
        <v>92</v>
      </c>
      <c r="F3383">
        <v>100</v>
      </c>
      <c r="G3383" t="s">
        <v>93</v>
      </c>
      <c r="H3383">
        <v>-32.700000000000003</v>
      </c>
      <c r="I3383">
        <v>83</v>
      </c>
      <c r="J3383">
        <v>-22.67</v>
      </c>
      <c r="K3383">
        <v>96</v>
      </c>
      <c r="L3383">
        <v>-15.38</v>
      </c>
      <c r="M3383">
        <v>73</v>
      </c>
      <c r="N3383">
        <v>3.92</v>
      </c>
      <c r="O3383">
        <v>73</v>
      </c>
      <c r="P3383">
        <v>-8.25</v>
      </c>
      <c r="Q3383">
        <v>93</v>
      </c>
      <c r="R3383">
        <v>3.96</v>
      </c>
      <c r="S3383">
        <v>71</v>
      </c>
      <c r="T3383">
        <v>12.72</v>
      </c>
      <c r="U3383">
        <v>88</v>
      </c>
      <c r="V3383">
        <v>-7</v>
      </c>
      <c r="W3383">
        <v>65</v>
      </c>
      <c r="X3383" t="s">
        <v>94</v>
      </c>
      <c r="Y3383" t="s">
        <v>95</v>
      </c>
      <c r="Z3383" t="s">
        <v>96</v>
      </c>
      <c r="AA3383" t="s">
        <v>260</v>
      </c>
      <c r="AB3383" t="s">
        <v>10620</v>
      </c>
      <c r="AC3383">
        <v>114</v>
      </c>
      <c r="AD3383">
        <v>71</v>
      </c>
      <c r="AE3383">
        <v>96</v>
      </c>
      <c r="AF3383">
        <v>-106</v>
      </c>
      <c r="AG3383">
        <v>-3.02</v>
      </c>
      <c r="AH3383">
        <v>-4.41</v>
      </c>
      <c r="AI3383">
        <v>0.02</v>
      </c>
      <c r="AJ3383">
        <v>-0.01</v>
      </c>
      <c r="AK3383">
        <v>73</v>
      </c>
      <c r="AL3383">
        <v>164</v>
      </c>
      <c r="AM3383">
        <v>103</v>
      </c>
      <c r="AN3383">
        <v>0.59</v>
      </c>
      <c r="AO3383">
        <v>-0.64</v>
      </c>
      <c r="AP3383">
        <v>52</v>
      </c>
      <c r="AQ3383">
        <v>1</v>
      </c>
      <c r="AR3383">
        <v>7.89</v>
      </c>
      <c r="AS3383">
        <v>60</v>
      </c>
      <c r="AT3383">
        <v>3.72</v>
      </c>
      <c r="AU3383">
        <v>68</v>
      </c>
      <c r="AV3383">
        <v>-1.31</v>
      </c>
      <c r="AW3383">
        <v>84</v>
      </c>
      <c r="AX3383">
        <v>-0.8</v>
      </c>
      <c r="AY3383">
        <v>84</v>
      </c>
      <c r="AZ3383">
        <v>6.19</v>
      </c>
      <c r="BA3383">
        <v>41</v>
      </c>
      <c r="BB3383">
        <v>5.51</v>
      </c>
      <c r="BC3383">
        <v>61</v>
      </c>
      <c r="BD3383">
        <v>-0.03</v>
      </c>
      <c r="BE3383">
        <v>0.01</v>
      </c>
      <c r="BF3383">
        <v>-0.06</v>
      </c>
      <c r="BG3383">
        <v>89</v>
      </c>
      <c r="BH3383">
        <v>-0.2</v>
      </c>
      <c r="BI3383">
        <v>-0.54</v>
      </c>
      <c r="BJ3383">
        <v>11</v>
      </c>
      <c r="BK3383">
        <v>10</v>
      </c>
      <c r="BL3383">
        <v>0.9</v>
      </c>
      <c r="BM3383">
        <v>1.45</v>
      </c>
      <c r="BN3383">
        <v>1.33</v>
      </c>
      <c r="BO3383">
        <v>-0.11</v>
      </c>
      <c r="BP3383">
        <v>0.16</v>
      </c>
      <c r="BQ3383">
        <v>2.31</v>
      </c>
      <c r="BR3383">
        <v>2.2599999999999998</v>
      </c>
      <c r="BS3383">
        <v>-0.2</v>
      </c>
      <c r="BT3383">
        <v>-0.9</v>
      </c>
      <c r="BU3383">
        <v>0.1</v>
      </c>
      <c r="BV3383">
        <v>-0.63</v>
      </c>
      <c r="BW3383">
        <v>-1.3</v>
      </c>
      <c r="BX3383">
        <v>0.71</v>
      </c>
      <c r="BY3383">
        <v>-1.52</v>
      </c>
      <c r="BZ3383">
        <v>-0.65</v>
      </c>
      <c r="CA3383">
        <v>-1.36</v>
      </c>
      <c r="CB3383">
        <v>-0.94</v>
      </c>
      <c r="CC3383">
        <v>-1.4</v>
      </c>
      <c r="CD3383">
        <v>0.68</v>
      </c>
      <c r="CE3383">
        <v>-0.28000000000000003</v>
      </c>
      <c r="CF3383">
        <v>1.48</v>
      </c>
      <c r="CG3383">
        <v>0</v>
      </c>
      <c r="CH3383">
        <v>-2.04</v>
      </c>
      <c r="CI3383">
        <v>0</v>
      </c>
      <c r="CJ3383">
        <v>-3.5</v>
      </c>
      <c r="CK3383">
        <v>94</v>
      </c>
      <c r="CL3383">
        <v>-0.27</v>
      </c>
      <c r="CM3383">
        <v>93</v>
      </c>
      <c r="CN3383">
        <v>-0.06</v>
      </c>
      <c r="CO3383">
        <v>92</v>
      </c>
      <c r="CP3383">
        <v>-8.9</v>
      </c>
      <c r="CQ3383">
        <v>92</v>
      </c>
      <c r="CR3383">
        <v>0</v>
      </c>
      <c r="CS3383">
        <v>0</v>
      </c>
      <c r="CT3383">
        <v>-3.4</v>
      </c>
      <c r="CU3383">
        <v>88</v>
      </c>
      <c r="CV3383">
        <v>0.04</v>
      </c>
      <c r="CW3383">
        <v>27</v>
      </c>
      <c r="CX3383" t="s">
        <v>10621</v>
      </c>
    </row>
    <row r="3384" spans="1:102" x14ac:dyDescent="0.3">
      <c r="A3384" t="str">
        <f>HYPERLINK("https://webapp.icbf.com/v2/app/bull-search/view/314188562","KUY")</f>
        <v>KUY</v>
      </c>
      <c r="B3384" t="s">
        <v>1090</v>
      </c>
      <c r="C3384" t="s">
        <v>1091</v>
      </c>
      <c r="D3384" s="1">
        <v>36362</v>
      </c>
      <c r="E3384" t="s">
        <v>92</v>
      </c>
      <c r="F3384">
        <v>100</v>
      </c>
      <c r="G3384" t="s">
        <v>93</v>
      </c>
      <c r="H3384">
        <v>-32.76</v>
      </c>
      <c r="I3384">
        <v>94</v>
      </c>
      <c r="J3384">
        <v>62.87</v>
      </c>
      <c r="K3384">
        <v>98</v>
      </c>
      <c r="L3384">
        <v>-115.71</v>
      </c>
      <c r="M3384">
        <v>91</v>
      </c>
      <c r="N3384">
        <v>15.49</v>
      </c>
      <c r="O3384">
        <v>92</v>
      </c>
      <c r="P3384">
        <v>-21.32</v>
      </c>
      <c r="Q3384">
        <v>96</v>
      </c>
      <c r="R3384">
        <v>-2.42</v>
      </c>
      <c r="S3384">
        <v>88</v>
      </c>
      <c r="T3384">
        <v>21.97</v>
      </c>
      <c r="U3384">
        <v>95</v>
      </c>
      <c r="V3384">
        <v>6.36</v>
      </c>
      <c r="W3384">
        <v>88</v>
      </c>
      <c r="X3384" t="s">
        <v>302</v>
      </c>
      <c r="Y3384" t="s">
        <v>95</v>
      </c>
      <c r="Z3384" t="s">
        <v>96</v>
      </c>
      <c r="AA3384" t="s">
        <v>985</v>
      </c>
      <c r="AB3384" t="s">
        <v>1092</v>
      </c>
      <c r="AC3384">
        <v>240</v>
      </c>
      <c r="AD3384">
        <v>94</v>
      </c>
      <c r="AE3384">
        <v>98</v>
      </c>
      <c r="AF3384">
        <v>87.1</v>
      </c>
      <c r="AG3384">
        <v>14.94</v>
      </c>
      <c r="AH3384">
        <v>6.74</v>
      </c>
      <c r="AI3384">
        <v>0.2</v>
      </c>
      <c r="AJ3384">
        <v>7.0000000000000007E-2</v>
      </c>
      <c r="AK3384">
        <v>91</v>
      </c>
      <c r="AL3384">
        <v>253</v>
      </c>
      <c r="AM3384">
        <v>103</v>
      </c>
      <c r="AN3384">
        <v>6.15</v>
      </c>
      <c r="AO3384">
        <v>-3.08</v>
      </c>
      <c r="AP3384">
        <v>431</v>
      </c>
      <c r="AQ3384">
        <v>3</v>
      </c>
      <c r="AR3384">
        <v>8.15</v>
      </c>
      <c r="AS3384">
        <v>83</v>
      </c>
      <c r="AT3384">
        <v>3.05</v>
      </c>
      <c r="AU3384">
        <v>95</v>
      </c>
      <c r="AV3384">
        <v>-2.0499999999999998</v>
      </c>
      <c r="AW3384">
        <v>97</v>
      </c>
      <c r="AX3384">
        <v>-0.31</v>
      </c>
      <c r="AY3384">
        <v>91</v>
      </c>
      <c r="AZ3384">
        <v>6.3</v>
      </c>
      <c r="BA3384">
        <v>80</v>
      </c>
      <c r="BB3384">
        <v>5.21</v>
      </c>
      <c r="BC3384">
        <v>81</v>
      </c>
      <c r="BD3384">
        <v>-0.05</v>
      </c>
      <c r="BE3384">
        <v>0.01</v>
      </c>
      <c r="BF3384">
        <v>0.12</v>
      </c>
      <c r="BG3384">
        <v>94</v>
      </c>
      <c r="BH3384">
        <v>0.11</v>
      </c>
      <c r="BI3384">
        <v>-7.8</v>
      </c>
      <c r="BJ3384">
        <v>10</v>
      </c>
      <c r="BK3384">
        <v>6</v>
      </c>
      <c r="BL3384">
        <v>-1.35</v>
      </c>
      <c r="BM3384">
        <v>-0.38</v>
      </c>
      <c r="BN3384">
        <v>-0.57999999999999996</v>
      </c>
      <c r="BO3384">
        <v>-0.54</v>
      </c>
      <c r="BP3384">
        <v>-1.06</v>
      </c>
      <c r="BQ3384">
        <v>-0.79</v>
      </c>
      <c r="BR3384">
        <v>2.2200000000000002</v>
      </c>
      <c r="BS3384">
        <v>-2.0299999999999998</v>
      </c>
      <c r="BT3384">
        <v>-3.04</v>
      </c>
      <c r="BU3384">
        <v>-0.73</v>
      </c>
      <c r="BV3384">
        <v>-0.46</v>
      </c>
      <c r="BW3384">
        <v>-0.24</v>
      </c>
      <c r="BX3384">
        <v>-0.8</v>
      </c>
      <c r="BY3384">
        <v>0.38</v>
      </c>
      <c r="BZ3384">
        <v>2.37</v>
      </c>
      <c r="CA3384">
        <v>-1.1499999999999999</v>
      </c>
      <c r="CB3384">
        <v>-0.57999999999999996</v>
      </c>
      <c r="CC3384">
        <v>-2.15</v>
      </c>
      <c r="CD3384">
        <v>-0.77</v>
      </c>
      <c r="CE3384">
        <v>-0.74</v>
      </c>
      <c r="CF3384">
        <v>-0.44</v>
      </c>
      <c r="CG3384">
        <v>0</v>
      </c>
      <c r="CH3384">
        <v>0.38</v>
      </c>
      <c r="CI3384">
        <v>0</v>
      </c>
      <c r="CJ3384">
        <v>-9.1</v>
      </c>
      <c r="CK3384">
        <v>97</v>
      </c>
      <c r="CL3384">
        <v>-0.81</v>
      </c>
      <c r="CM3384">
        <v>96</v>
      </c>
      <c r="CN3384">
        <v>-0.21</v>
      </c>
      <c r="CO3384">
        <v>95</v>
      </c>
      <c r="CP3384">
        <v>-19.100000000000001</v>
      </c>
      <c r="CQ3384">
        <v>96</v>
      </c>
      <c r="CR3384">
        <v>0</v>
      </c>
      <c r="CS3384">
        <v>0</v>
      </c>
      <c r="CT3384">
        <v>-15.9</v>
      </c>
      <c r="CU3384">
        <v>95</v>
      </c>
      <c r="CV3384">
        <v>0.02</v>
      </c>
      <c r="CW3384">
        <v>45</v>
      </c>
      <c r="CX3384" t="s">
        <v>531</v>
      </c>
    </row>
    <row r="3385" spans="1:102" x14ac:dyDescent="0.3">
      <c r="A3385" t="str">
        <f>HYPERLINK("https://webapp.icbf.com/v2/app/bull-search/view/119051196","TNT")</f>
        <v>TNT</v>
      </c>
      <c r="B3385" t="s">
        <v>7388</v>
      </c>
      <c r="C3385" t="s">
        <v>172</v>
      </c>
      <c r="D3385" s="1">
        <v>35331</v>
      </c>
      <c r="E3385" t="s">
        <v>92</v>
      </c>
      <c r="F3385">
        <v>100</v>
      </c>
      <c r="G3385" t="s">
        <v>93</v>
      </c>
      <c r="H3385">
        <v>-32.89</v>
      </c>
      <c r="I3385">
        <v>92</v>
      </c>
      <c r="J3385">
        <v>49.53</v>
      </c>
      <c r="K3385">
        <v>97</v>
      </c>
      <c r="L3385">
        <v>-89.18</v>
      </c>
      <c r="M3385">
        <v>92</v>
      </c>
      <c r="N3385">
        <v>5.85</v>
      </c>
      <c r="O3385">
        <v>88</v>
      </c>
      <c r="P3385">
        <v>5.3</v>
      </c>
      <c r="Q3385">
        <v>93</v>
      </c>
      <c r="R3385">
        <v>-1.94</v>
      </c>
      <c r="S3385">
        <v>85</v>
      </c>
      <c r="T3385">
        <v>3.84</v>
      </c>
      <c r="U3385">
        <v>87</v>
      </c>
      <c r="V3385">
        <v>-6.29</v>
      </c>
      <c r="W3385">
        <v>79</v>
      </c>
      <c r="X3385" t="s">
        <v>94</v>
      </c>
      <c r="Y3385" t="s">
        <v>95</v>
      </c>
      <c r="Z3385" t="s">
        <v>96</v>
      </c>
      <c r="AA3385" t="s">
        <v>1106</v>
      </c>
      <c r="AB3385" t="s">
        <v>7389</v>
      </c>
      <c r="AC3385">
        <v>88</v>
      </c>
      <c r="AD3385">
        <v>50</v>
      </c>
      <c r="AE3385">
        <v>97</v>
      </c>
      <c r="AF3385">
        <v>429.5</v>
      </c>
      <c r="AG3385">
        <v>13.28</v>
      </c>
      <c r="AH3385">
        <v>10.3</v>
      </c>
      <c r="AI3385">
        <v>-0.06</v>
      </c>
      <c r="AJ3385">
        <v>-7.0000000000000007E-2</v>
      </c>
      <c r="AK3385">
        <v>92</v>
      </c>
      <c r="AL3385">
        <v>78</v>
      </c>
      <c r="AM3385">
        <v>39</v>
      </c>
      <c r="AN3385">
        <v>5.77</v>
      </c>
      <c r="AO3385">
        <v>-1.33</v>
      </c>
      <c r="AP3385">
        <v>147</v>
      </c>
      <c r="AQ3385">
        <v>1</v>
      </c>
      <c r="AR3385">
        <v>8.11</v>
      </c>
      <c r="AS3385">
        <v>83</v>
      </c>
      <c r="AT3385">
        <v>3.46</v>
      </c>
      <c r="AU3385">
        <v>97</v>
      </c>
      <c r="AV3385">
        <v>-2.11</v>
      </c>
      <c r="AW3385">
        <v>90</v>
      </c>
      <c r="AX3385">
        <v>0.52</v>
      </c>
      <c r="AY3385">
        <v>85</v>
      </c>
      <c r="AZ3385">
        <v>7.75</v>
      </c>
      <c r="BA3385">
        <v>70</v>
      </c>
      <c r="BB3385">
        <v>5.58</v>
      </c>
      <c r="BC3385">
        <v>73</v>
      </c>
      <c r="BD3385">
        <v>0.01</v>
      </c>
      <c r="BE3385">
        <v>0.02</v>
      </c>
      <c r="BF3385">
        <v>-0.01</v>
      </c>
      <c r="BG3385">
        <v>93</v>
      </c>
      <c r="BH3385">
        <v>-0.08</v>
      </c>
      <c r="BI3385">
        <v>11.05</v>
      </c>
      <c r="BJ3385">
        <v>19</v>
      </c>
      <c r="BK3385">
        <v>11</v>
      </c>
      <c r="BL3385">
        <v>1.19</v>
      </c>
      <c r="BM3385">
        <v>0.18</v>
      </c>
      <c r="BN3385">
        <v>0.65</v>
      </c>
      <c r="BO3385">
        <v>0.67</v>
      </c>
      <c r="BP3385">
        <v>3.54</v>
      </c>
      <c r="BQ3385">
        <v>1.48</v>
      </c>
      <c r="BR3385">
        <v>0.89</v>
      </c>
      <c r="BS3385">
        <v>-3.56</v>
      </c>
      <c r="BT3385">
        <v>-0.25</v>
      </c>
      <c r="BU3385">
        <v>-0.85</v>
      </c>
      <c r="BV3385">
        <v>-0.5</v>
      </c>
      <c r="BW3385">
        <v>-0.18</v>
      </c>
      <c r="BX3385">
        <v>-0.9</v>
      </c>
      <c r="BY3385">
        <v>0.31</v>
      </c>
      <c r="BZ3385">
        <v>0.26</v>
      </c>
      <c r="CA3385">
        <v>-1.35</v>
      </c>
      <c r="CB3385">
        <v>-0.7</v>
      </c>
      <c r="CC3385">
        <v>-2.17</v>
      </c>
      <c r="CD3385">
        <v>-0.18</v>
      </c>
      <c r="CE3385">
        <v>0.16</v>
      </c>
      <c r="CF3385">
        <v>0.98</v>
      </c>
      <c r="CG3385">
        <v>0</v>
      </c>
      <c r="CH3385">
        <v>0.14000000000000001</v>
      </c>
      <c r="CI3385">
        <v>0</v>
      </c>
      <c r="CJ3385">
        <v>6.9</v>
      </c>
      <c r="CK3385">
        <v>94</v>
      </c>
      <c r="CL3385">
        <v>-0.6</v>
      </c>
      <c r="CM3385">
        <v>92</v>
      </c>
      <c r="CN3385">
        <v>-0.14000000000000001</v>
      </c>
      <c r="CO3385">
        <v>92</v>
      </c>
      <c r="CP3385">
        <v>2.2000000000000002</v>
      </c>
      <c r="CQ3385">
        <v>91</v>
      </c>
      <c r="CR3385">
        <v>0</v>
      </c>
      <c r="CS3385">
        <v>0</v>
      </c>
      <c r="CT3385">
        <v>8.6</v>
      </c>
      <c r="CU3385">
        <v>87</v>
      </c>
      <c r="CV3385">
        <v>0.22</v>
      </c>
      <c r="CW3385">
        <v>44</v>
      </c>
      <c r="CX3385" t="s">
        <v>207</v>
      </c>
    </row>
    <row r="3386" spans="1:102" x14ac:dyDescent="0.3">
      <c r="A3386" t="str">
        <f>HYPERLINK("https://webapp.icbf.com/v2/app/bull-search/view/69092011","JPC")</f>
        <v>JPC</v>
      </c>
      <c r="B3386" t="s">
        <v>9652</v>
      </c>
      <c r="C3386" t="s">
        <v>9653</v>
      </c>
      <c r="D3386" s="1">
        <v>34619</v>
      </c>
      <c r="E3386" t="s">
        <v>140</v>
      </c>
      <c r="F3386">
        <v>0</v>
      </c>
      <c r="G3386" t="s">
        <v>93</v>
      </c>
      <c r="H3386">
        <v>-32.9</v>
      </c>
      <c r="I3386">
        <v>85</v>
      </c>
      <c r="J3386">
        <v>-18.850000000000001</v>
      </c>
      <c r="K3386">
        <v>96</v>
      </c>
      <c r="L3386">
        <v>49.99</v>
      </c>
      <c r="M3386">
        <v>74</v>
      </c>
      <c r="N3386">
        <v>-77.78</v>
      </c>
      <c r="O3386">
        <v>86</v>
      </c>
      <c r="P3386">
        <v>5.87</v>
      </c>
      <c r="Q3386">
        <v>97</v>
      </c>
      <c r="R3386">
        <v>5.18</v>
      </c>
      <c r="S3386">
        <v>76</v>
      </c>
      <c r="T3386">
        <v>13.68</v>
      </c>
      <c r="U3386">
        <v>90</v>
      </c>
      <c r="V3386">
        <v>-10.99</v>
      </c>
      <c r="W3386">
        <v>67</v>
      </c>
      <c r="X3386" t="s">
        <v>94</v>
      </c>
      <c r="Y3386" t="s">
        <v>95</v>
      </c>
      <c r="Z3386" t="s">
        <v>96</v>
      </c>
      <c r="AA3386" t="s">
        <v>1177</v>
      </c>
      <c r="AB3386" t="s">
        <v>9654</v>
      </c>
      <c r="AC3386">
        <v>114</v>
      </c>
      <c r="AD3386">
        <v>72</v>
      </c>
      <c r="AE3386">
        <v>96</v>
      </c>
      <c r="AF3386">
        <v>-21.97</v>
      </c>
      <c r="AG3386">
        <v>-1.22</v>
      </c>
      <c r="AH3386">
        <v>-3.11</v>
      </c>
      <c r="AI3386">
        <v>-0.01</v>
      </c>
      <c r="AJ3386">
        <v>-0.04</v>
      </c>
      <c r="AK3386">
        <v>74</v>
      </c>
      <c r="AL3386">
        <v>148</v>
      </c>
      <c r="AM3386">
        <v>91</v>
      </c>
      <c r="AN3386">
        <v>-1.69</v>
      </c>
      <c r="AO3386">
        <v>2.31</v>
      </c>
      <c r="AP3386">
        <v>169</v>
      </c>
      <c r="AQ3386">
        <v>8</v>
      </c>
      <c r="AR3386">
        <v>16.53</v>
      </c>
      <c r="AS3386">
        <v>64</v>
      </c>
      <c r="AT3386">
        <v>6.5</v>
      </c>
      <c r="AU3386">
        <v>86</v>
      </c>
      <c r="AV3386">
        <v>1.1399999999999999</v>
      </c>
      <c r="AW3386">
        <v>96</v>
      </c>
      <c r="AX3386">
        <v>0.04</v>
      </c>
      <c r="AY3386">
        <v>87</v>
      </c>
      <c r="AZ3386">
        <v>4.9800000000000004</v>
      </c>
      <c r="BA3386">
        <v>61</v>
      </c>
      <c r="BB3386">
        <v>3.54</v>
      </c>
      <c r="BC3386">
        <v>72</v>
      </c>
      <c r="BD3386">
        <v>0.03</v>
      </c>
      <c r="BE3386">
        <v>-0.01</v>
      </c>
      <c r="BF3386">
        <v>-0.15</v>
      </c>
      <c r="BG3386">
        <v>86</v>
      </c>
      <c r="BH3386">
        <v>-0.26</v>
      </c>
      <c r="BI3386">
        <v>5.37</v>
      </c>
      <c r="BJ3386">
        <v>0</v>
      </c>
      <c r="BK3386">
        <v>0</v>
      </c>
      <c r="BL3386">
        <v>-1.06</v>
      </c>
      <c r="BM3386">
        <v>3.19</v>
      </c>
      <c r="BN3386">
        <v>-1.87</v>
      </c>
      <c r="BO3386">
        <v>-2.99</v>
      </c>
      <c r="BP3386">
        <v>4.29</v>
      </c>
      <c r="BQ3386">
        <v>-2.5099999999999998</v>
      </c>
      <c r="BR3386">
        <v>-2.75</v>
      </c>
      <c r="BS3386">
        <v>-0.53</v>
      </c>
      <c r="BT3386">
        <v>2.66</v>
      </c>
      <c r="BU3386">
        <v>-3.41</v>
      </c>
      <c r="BV3386">
        <v>-3.78</v>
      </c>
      <c r="BW3386">
        <v>-2.85</v>
      </c>
      <c r="BX3386">
        <v>-2.81</v>
      </c>
      <c r="BY3386">
        <v>-2.35</v>
      </c>
      <c r="BZ3386">
        <v>1.1100000000000001</v>
      </c>
      <c r="CA3386">
        <v>-2.37</v>
      </c>
      <c r="CB3386">
        <v>-3.01</v>
      </c>
      <c r="CC3386">
        <v>-0.44</v>
      </c>
      <c r="CD3386">
        <v>3.78</v>
      </c>
      <c r="CE3386">
        <v>-2.93</v>
      </c>
      <c r="CF3386">
        <v>-1.35</v>
      </c>
      <c r="CG3386">
        <v>0</v>
      </c>
      <c r="CH3386">
        <v>-2.5</v>
      </c>
      <c r="CI3386">
        <v>0</v>
      </c>
      <c r="CJ3386">
        <v>0.4</v>
      </c>
      <c r="CK3386">
        <v>97</v>
      </c>
      <c r="CL3386">
        <v>0.33</v>
      </c>
      <c r="CM3386">
        <v>97</v>
      </c>
      <c r="CN3386">
        <v>-0.22</v>
      </c>
      <c r="CO3386">
        <v>96</v>
      </c>
      <c r="CP3386">
        <v>-4.4000000000000004</v>
      </c>
      <c r="CQ3386">
        <v>95</v>
      </c>
      <c r="CR3386">
        <v>0</v>
      </c>
      <c r="CS3386">
        <v>0</v>
      </c>
      <c r="CT3386">
        <v>-4.7</v>
      </c>
      <c r="CU3386">
        <v>90</v>
      </c>
      <c r="CV3386">
        <v>-0.2</v>
      </c>
      <c r="CW3386">
        <v>28</v>
      </c>
      <c r="CX3386" t="s">
        <v>9655</v>
      </c>
    </row>
    <row r="3387" spans="1:102" x14ac:dyDescent="0.3">
      <c r="A3387" t="str">
        <f>HYPERLINK("https://webapp.icbf.com/v2/app/bull-search/view/77858014","DTK")</f>
        <v>DTK</v>
      </c>
      <c r="B3387" t="s">
        <v>150</v>
      </c>
      <c r="C3387" t="s">
        <v>151</v>
      </c>
      <c r="D3387" s="1">
        <v>34318</v>
      </c>
      <c r="E3387" t="s">
        <v>92</v>
      </c>
      <c r="F3387">
        <v>88</v>
      </c>
      <c r="G3387" t="s">
        <v>93</v>
      </c>
      <c r="H3387">
        <v>-32.93</v>
      </c>
      <c r="I3387">
        <v>77</v>
      </c>
      <c r="J3387">
        <v>-38.590000000000003</v>
      </c>
      <c r="K3387">
        <v>93</v>
      </c>
      <c r="L3387">
        <v>-18.36</v>
      </c>
      <c r="M3387">
        <v>66</v>
      </c>
      <c r="N3387">
        <v>9.6300000000000008</v>
      </c>
      <c r="O3387">
        <v>65</v>
      </c>
      <c r="P3387">
        <v>2.97</v>
      </c>
      <c r="Q3387">
        <v>87</v>
      </c>
      <c r="R3387">
        <v>-0.93</v>
      </c>
      <c r="S3387">
        <v>66</v>
      </c>
      <c r="T3387">
        <v>15.08</v>
      </c>
      <c r="U3387">
        <v>87</v>
      </c>
      <c r="V3387">
        <v>-2.73</v>
      </c>
      <c r="W3387">
        <v>44</v>
      </c>
      <c r="X3387" t="s">
        <v>94</v>
      </c>
      <c r="Y3387" t="s">
        <v>95</v>
      </c>
      <c r="Z3387" t="s">
        <v>96</v>
      </c>
      <c r="AA3387" t="s">
        <v>152</v>
      </c>
      <c r="AB3387" t="s">
        <v>153</v>
      </c>
      <c r="AC3387">
        <v>66</v>
      </c>
      <c r="AD3387">
        <v>32</v>
      </c>
      <c r="AE3387">
        <v>93</v>
      </c>
      <c r="AF3387">
        <v>-95.45</v>
      </c>
      <c r="AG3387">
        <v>-7.25</v>
      </c>
      <c r="AH3387">
        <v>-5.46</v>
      </c>
      <c r="AI3387">
        <v>-0.06</v>
      </c>
      <c r="AJ3387">
        <v>-0.04</v>
      </c>
      <c r="AK3387">
        <v>66</v>
      </c>
      <c r="AL3387">
        <v>115</v>
      </c>
      <c r="AM3387">
        <v>65</v>
      </c>
      <c r="AN3387">
        <v>-0.25</v>
      </c>
      <c r="AO3387">
        <v>-1.73</v>
      </c>
      <c r="AP3387">
        <v>11</v>
      </c>
      <c r="AQ3387">
        <v>0</v>
      </c>
      <c r="AR3387">
        <v>6.49</v>
      </c>
      <c r="AS3387">
        <v>38</v>
      </c>
      <c r="AT3387">
        <v>2.97</v>
      </c>
      <c r="AU3387">
        <v>66</v>
      </c>
      <c r="AV3387">
        <v>-1.66</v>
      </c>
      <c r="AW3387">
        <v>70</v>
      </c>
      <c r="AX3387">
        <v>0.51</v>
      </c>
      <c r="AY3387">
        <v>81</v>
      </c>
      <c r="AZ3387">
        <v>7.39</v>
      </c>
      <c r="BA3387">
        <v>39</v>
      </c>
      <c r="BB3387">
        <v>5.91</v>
      </c>
      <c r="BC3387">
        <v>60</v>
      </c>
      <c r="BD3387">
        <v>-0.01</v>
      </c>
      <c r="BE3387">
        <v>0.02</v>
      </c>
      <c r="BF3387">
        <v>0</v>
      </c>
      <c r="BG3387">
        <v>79</v>
      </c>
      <c r="BH3387">
        <v>-0.05</v>
      </c>
      <c r="BI3387">
        <v>3.02</v>
      </c>
      <c r="BJ3387">
        <v>14</v>
      </c>
      <c r="BK3387">
        <v>13</v>
      </c>
      <c r="BL3387">
        <v>-0.28999999999999998</v>
      </c>
      <c r="BM3387">
        <v>1.02</v>
      </c>
      <c r="BN3387">
        <v>0.9</v>
      </c>
      <c r="BO3387">
        <v>-0.06</v>
      </c>
      <c r="BP3387">
        <v>-1.79</v>
      </c>
      <c r="BQ3387">
        <v>-0.3</v>
      </c>
      <c r="BR3387">
        <v>1.05</v>
      </c>
      <c r="BS3387">
        <v>-0.96</v>
      </c>
      <c r="BT3387">
        <v>-1.2</v>
      </c>
      <c r="BU3387">
        <v>-0.82</v>
      </c>
      <c r="BV3387">
        <v>0.77</v>
      </c>
      <c r="BW3387">
        <v>0.61</v>
      </c>
      <c r="BX3387">
        <v>-1.66</v>
      </c>
      <c r="BY3387">
        <v>-0.4</v>
      </c>
      <c r="BZ3387">
        <v>0.38</v>
      </c>
      <c r="CA3387">
        <v>-0.64</v>
      </c>
      <c r="CB3387">
        <v>-0.48</v>
      </c>
      <c r="CC3387">
        <v>-0.57999999999999996</v>
      </c>
      <c r="CD3387">
        <v>0.22</v>
      </c>
      <c r="CE3387">
        <v>-0.68</v>
      </c>
      <c r="CF3387">
        <v>-0.83</v>
      </c>
      <c r="CG3387">
        <v>0</v>
      </c>
      <c r="CH3387">
        <v>-0.1</v>
      </c>
      <c r="CI3387">
        <v>0</v>
      </c>
      <c r="CJ3387">
        <v>0.8</v>
      </c>
      <c r="CK3387">
        <v>88</v>
      </c>
      <c r="CL3387">
        <v>-0.26</v>
      </c>
      <c r="CM3387">
        <v>86</v>
      </c>
      <c r="CN3387">
        <v>-0.5</v>
      </c>
      <c r="CO3387">
        <v>84</v>
      </c>
      <c r="CP3387">
        <v>-8.6999999999999993</v>
      </c>
      <c r="CQ3387">
        <v>91</v>
      </c>
      <c r="CR3387">
        <v>0</v>
      </c>
      <c r="CS3387">
        <v>0</v>
      </c>
      <c r="CT3387">
        <v>-6.6</v>
      </c>
      <c r="CU3387">
        <v>87</v>
      </c>
      <c r="CV3387">
        <v>0.08</v>
      </c>
      <c r="CW3387">
        <v>25</v>
      </c>
      <c r="CX3387" t="s">
        <v>154</v>
      </c>
    </row>
    <row r="3388" spans="1:102" x14ac:dyDescent="0.3">
      <c r="A3388" t="str">
        <f>HYPERLINK("https://webapp.icbf.com/v2/app/bull-search/view/77858032","DUG")</f>
        <v>DUG</v>
      </c>
      <c r="B3388" t="s">
        <v>15420</v>
      </c>
      <c r="C3388" t="s">
        <v>15421</v>
      </c>
      <c r="D3388" s="1">
        <v>31771</v>
      </c>
      <c r="E3388" t="s">
        <v>108</v>
      </c>
      <c r="F3388">
        <v>0</v>
      </c>
      <c r="G3388" t="s">
        <v>435</v>
      </c>
      <c r="H3388">
        <v>-32.94</v>
      </c>
      <c r="I3388">
        <v>78</v>
      </c>
      <c r="J3388">
        <v>46.43</v>
      </c>
      <c r="K3388">
        <v>91</v>
      </c>
      <c r="L3388">
        <v>-86.3</v>
      </c>
      <c r="M3388">
        <v>77</v>
      </c>
      <c r="N3388">
        <v>16.45</v>
      </c>
      <c r="O3388">
        <v>62</v>
      </c>
      <c r="P3388">
        <v>-13.26</v>
      </c>
      <c r="Q3388">
        <v>75</v>
      </c>
      <c r="R3388">
        <v>1.83</v>
      </c>
      <c r="S3388">
        <v>75</v>
      </c>
      <c r="T3388">
        <v>3.69</v>
      </c>
      <c r="U3388">
        <v>64</v>
      </c>
      <c r="V3388">
        <v>-1.78</v>
      </c>
      <c r="W3388">
        <v>66</v>
      </c>
      <c r="X3388" t="s">
        <v>276</v>
      </c>
      <c r="Y3388" t="s">
        <v>95</v>
      </c>
      <c r="Z3388" t="s">
        <v>96</v>
      </c>
      <c r="AA3388" t="s">
        <v>15422</v>
      </c>
      <c r="AB3388" t="s">
        <v>15423</v>
      </c>
      <c r="AC3388">
        <v>9</v>
      </c>
      <c r="AD3388">
        <v>8</v>
      </c>
      <c r="AE3388">
        <v>91</v>
      </c>
      <c r="AF3388">
        <v>216.66</v>
      </c>
      <c r="AG3388">
        <v>8.74</v>
      </c>
      <c r="AH3388">
        <v>8.1199999999999992</v>
      </c>
      <c r="AI3388">
        <v>0.01</v>
      </c>
      <c r="AJ3388">
        <v>0.01</v>
      </c>
      <c r="AK3388">
        <v>77</v>
      </c>
      <c r="AL3388">
        <v>62</v>
      </c>
      <c r="AM3388">
        <v>40</v>
      </c>
      <c r="AN3388">
        <v>3.33</v>
      </c>
      <c r="AO3388">
        <v>-3.57</v>
      </c>
      <c r="AP3388">
        <v>15</v>
      </c>
      <c r="AQ3388">
        <v>0</v>
      </c>
      <c r="AR3388">
        <v>6.02</v>
      </c>
      <c r="AS3388">
        <v>53</v>
      </c>
      <c r="AT3388">
        <v>2.88</v>
      </c>
      <c r="AU3388">
        <v>69</v>
      </c>
      <c r="AV3388">
        <v>-1.39</v>
      </c>
      <c r="AW3388">
        <v>64</v>
      </c>
      <c r="AX3388">
        <v>-0.2</v>
      </c>
      <c r="AY3388">
        <v>69</v>
      </c>
      <c r="AZ3388">
        <v>6.97</v>
      </c>
      <c r="BA3388">
        <v>45</v>
      </c>
      <c r="BB3388">
        <v>5.0599999999999996</v>
      </c>
      <c r="BC3388">
        <v>50</v>
      </c>
      <c r="BD3388">
        <v>-0.03</v>
      </c>
      <c r="BE3388">
        <v>0.02</v>
      </c>
      <c r="BF3388">
        <v>-0.03</v>
      </c>
      <c r="BG3388">
        <v>87</v>
      </c>
      <c r="BH3388">
        <v>-0.05</v>
      </c>
      <c r="BI3388">
        <v>-0.04</v>
      </c>
      <c r="BJ3388">
        <v>12</v>
      </c>
      <c r="BK3388">
        <v>4</v>
      </c>
      <c r="BL3388">
        <v>-0.69</v>
      </c>
      <c r="BM3388">
        <v>1.66</v>
      </c>
      <c r="BN3388">
        <v>0.28999999999999998</v>
      </c>
      <c r="BO3388">
        <v>-1</v>
      </c>
      <c r="BP3388">
        <v>-0.18</v>
      </c>
      <c r="BQ3388">
        <v>1.63</v>
      </c>
      <c r="BR3388">
        <v>0.92</v>
      </c>
      <c r="BS3388">
        <v>0.69</v>
      </c>
      <c r="BT3388">
        <v>0.37</v>
      </c>
      <c r="BU3388">
        <v>0.4</v>
      </c>
      <c r="BV3388">
        <v>0.16</v>
      </c>
      <c r="BW3388">
        <v>0.65</v>
      </c>
      <c r="BX3388">
        <v>-0.32</v>
      </c>
      <c r="BY3388">
        <v>0.69</v>
      </c>
      <c r="BZ3388">
        <v>1.21</v>
      </c>
      <c r="CA3388">
        <v>-0.1</v>
      </c>
      <c r="CB3388">
        <v>0.36</v>
      </c>
      <c r="CC3388">
        <v>0.19</v>
      </c>
      <c r="CD3388">
        <v>1.25</v>
      </c>
      <c r="CE3388">
        <v>-1.53</v>
      </c>
      <c r="CF3388">
        <v>-1.65</v>
      </c>
      <c r="CG3388">
        <v>0</v>
      </c>
      <c r="CH3388">
        <v>0</v>
      </c>
      <c r="CI3388">
        <v>0</v>
      </c>
      <c r="CJ3388">
        <v>-5.0999999999999996</v>
      </c>
      <c r="CK3388">
        <v>77</v>
      </c>
      <c r="CL3388">
        <v>-0.87</v>
      </c>
      <c r="CM3388">
        <v>74</v>
      </c>
      <c r="CN3388">
        <v>-0.22</v>
      </c>
      <c r="CO3388">
        <v>71</v>
      </c>
      <c r="CP3388">
        <v>1.2</v>
      </c>
      <c r="CQ3388">
        <v>73</v>
      </c>
      <c r="CR3388">
        <v>0</v>
      </c>
      <c r="CS3388">
        <v>0</v>
      </c>
      <c r="CT3388">
        <v>8.8000000000000007</v>
      </c>
      <c r="CU3388">
        <v>64</v>
      </c>
      <c r="CV3388">
        <v>0.18</v>
      </c>
      <c r="CW3388">
        <v>41</v>
      </c>
      <c r="CX3388" t="s">
        <v>15424</v>
      </c>
    </row>
    <row r="3389" spans="1:102" x14ac:dyDescent="0.3">
      <c r="A3389" t="str">
        <f>HYPERLINK("https://webapp.icbf.com/v2/app/bull-search/view/77854057","RNB")</f>
        <v>RNB</v>
      </c>
      <c r="B3389" t="s">
        <v>3653</v>
      </c>
      <c r="C3389" t="s">
        <v>3654</v>
      </c>
      <c r="D3389" s="1">
        <v>33503</v>
      </c>
      <c r="E3389" t="s">
        <v>92</v>
      </c>
      <c r="F3389">
        <v>94</v>
      </c>
      <c r="G3389" t="s">
        <v>109</v>
      </c>
      <c r="H3389">
        <v>-32.97</v>
      </c>
      <c r="I3389">
        <v>71</v>
      </c>
      <c r="J3389">
        <v>1.71</v>
      </c>
      <c r="K3389">
        <v>85</v>
      </c>
      <c r="L3389">
        <v>-24.14</v>
      </c>
      <c r="M3389">
        <v>78</v>
      </c>
      <c r="N3389">
        <v>5.0199999999999996</v>
      </c>
      <c r="O3389">
        <v>51</v>
      </c>
      <c r="P3389">
        <v>2.73</v>
      </c>
      <c r="Q3389">
        <v>59</v>
      </c>
      <c r="R3389">
        <v>-5.81</v>
      </c>
      <c r="S3389">
        <v>61</v>
      </c>
      <c r="T3389">
        <v>-7.49</v>
      </c>
      <c r="U3389">
        <v>53</v>
      </c>
      <c r="V3389">
        <v>-4.99</v>
      </c>
      <c r="W3389">
        <v>11</v>
      </c>
      <c r="X3389" t="s">
        <v>94</v>
      </c>
      <c r="Y3389" t="s">
        <v>95</v>
      </c>
      <c r="Z3389" t="s">
        <v>96</v>
      </c>
      <c r="AA3389" t="s">
        <v>3655</v>
      </c>
      <c r="AB3389" t="s">
        <v>3656</v>
      </c>
      <c r="AC3389">
        <v>0</v>
      </c>
      <c r="AD3389">
        <v>0</v>
      </c>
      <c r="AE3389">
        <v>85</v>
      </c>
      <c r="AF3389">
        <v>-38.26</v>
      </c>
      <c r="AG3389">
        <v>-1.74</v>
      </c>
      <c r="AH3389">
        <v>0.32</v>
      </c>
      <c r="AI3389">
        <v>0</v>
      </c>
      <c r="AJ3389">
        <v>0.03</v>
      </c>
      <c r="AK3389">
        <v>78</v>
      </c>
      <c r="AL3389">
        <v>0</v>
      </c>
      <c r="AM3389">
        <v>0</v>
      </c>
      <c r="AN3389">
        <v>1.69</v>
      </c>
      <c r="AO3389">
        <v>-0.23</v>
      </c>
      <c r="AP3389">
        <v>6</v>
      </c>
      <c r="AQ3389">
        <v>0</v>
      </c>
      <c r="AR3389">
        <v>7.75</v>
      </c>
      <c r="AS3389">
        <v>13</v>
      </c>
      <c r="AT3389">
        <v>3.18</v>
      </c>
      <c r="AU3389">
        <v>88</v>
      </c>
      <c r="AV3389">
        <v>-0.97</v>
      </c>
      <c r="AW3389">
        <v>52</v>
      </c>
      <c r="AX3389">
        <v>-0.78</v>
      </c>
      <c r="AY3389">
        <v>37</v>
      </c>
      <c r="AZ3389">
        <v>7.3</v>
      </c>
      <c r="BA3389">
        <v>14</v>
      </c>
      <c r="BB3389">
        <v>5.48</v>
      </c>
      <c r="BC3389">
        <v>18</v>
      </c>
      <c r="BD3389">
        <v>0.04</v>
      </c>
      <c r="BE3389">
        <v>0.03</v>
      </c>
      <c r="BF3389">
        <v>0.01</v>
      </c>
      <c r="BG3389">
        <v>88</v>
      </c>
      <c r="BH3389">
        <v>-0.11</v>
      </c>
      <c r="BI3389">
        <v>3.36</v>
      </c>
      <c r="BJ3389">
        <v>4</v>
      </c>
      <c r="BK3389">
        <v>1</v>
      </c>
      <c r="BL3389">
        <v>-0.22</v>
      </c>
      <c r="BM3389">
        <v>2.2599999999999998</v>
      </c>
      <c r="BN3389">
        <v>2.08</v>
      </c>
      <c r="BO3389">
        <v>-0.11</v>
      </c>
      <c r="BP3389">
        <v>0.2</v>
      </c>
      <c r="BQ3389">
        <v>0.61</v>
      </c>
      <c r="BR3389">
        <v>0.67</v>
      </c>
      <c r="BS3389">
        <v>1.17</v>
      </c>
      <c r="BT3389">
        <v>-1.22</v>
      </c>
      <c r="BU3389">
        <v>-0.94</v>
      </c>
      <c r="BV3389">
        <v>-0.04</v>
      </c>
      <c r="BW3389">
        <v>-0.66</v>
      </c>
      <c r="BX3389">
        <v>-1.38</v>
      </c>
      <c r="BY3389">
        <v>0.33</v>
      </c>
      <c r="BZ3389">
        <v>-1.05</v>
      </c>
      <c r="CA3389">
        <v>-0.84</v>
      </c>
      <c r="CB3389">
        <v>-1.01</v>
      </c>
      <c r="CC3389">
        <v>0.22</v>
      </c>
      <c r="CD3389">
        <v>1.1200000000000001</v>
      </c>
      <c r="CE3389">
        <v>0.05</v>
      </c>
      <c r="CF3389">
        <v>1.68</v>
      </c>
      <c r="CG3389">
        <v>0</v>
      </c>
      <c r="CH3389">
        <v>-1.1399999999999999</v>
      </c>
      <c r="CI3389">
        <v>0</v>
      </c>
      <c r="CJ3389">
        <v>2.7</v>
      </c>
      <c r="CK3389">
        <v>62</v>
      </c>
      <c r="CL3389">
        <v>-0.62</v>
      </c>
      <c r="CM3389">
        <v>56</v>
      </c>
      <c r="CN3389">
        <v>-0.45</v>
      </c>
      <c r="CO3389">
        <v>51</v>
      </c>
      <c r="CP3389">
        <v>0.9</v>
      </c>
      <c r="CQ3389">
        <v>61</v>
      </c>
      <c r="CR3389">
        <v>0</v>
      </c>
      <c r="CS3389">
        <v>0</v>
      </c>
      <c r="CT3389">
        <v>23.9</v>
      </c>
      <c r="CU3389">
        <v>53</v>
      </c>
      <c r="CV3389">
        <v>0.22</v>
      </c>
      <c r="CW3389">
        <v>15</v>
      </c>
      <c r="CX3389" t="s">
        <v>1368</v>
      </c>
    </row>
    <row r="3390" spans="1:102" x14ac:dyDescent="0.3">
      <c r="A3390" t="str">
        <f>HYPERLINK("https://webapp.icbf.com/v2/app/bull-search/view/586141759","S1164")</f>
        <v>S1164</v>
      </c>
      <c r="B3390" t="s">
        <v>5533</v>
      </c>
      <c r="C3390" t="s">
        <v>5534</v>
      </c>
      <c r="D3390" s="1">
        <v>38810</v>
      </c>
      <c r="E3390" t="s">
        <v>92</v>
      </c>
      <c r="F3390">
        <v>100</v>
      </c>
      <c r="G3390" t="s">
        <v>93</v>
      </c>
      <c r="H3390">
        <v>-32.99</v>
      </c>
      <c r="I3390">
        <v>89</v>
      </c>
      <c r="J3390">
        <v>7.37</v>
      </c>
      <c r="K3390">
        <v>97</v>
      </c>
      <c r="L3390">
        <v>-53.06</v>
      </c>
      <c r="M3390">
        <v>91</v>
      </c>
      <c r="N3390">
        <v>13.17</v>
      </c>
      <c r="O3390">
        <v>84</v>
      </c>
      <c r="P3390">
        <v>-7.53</v>
      </c>
      <c r="Q3390">
        <v>89</v>
      </c>
      <c r="R3390">
        <v>8.86</v>
      </c>
      <c r="S3390">
        <v>81</v>
      </c>
      <c r="T3390">
        <v>-9.7100000000000009</v>
      </c>
      <c r="U3390">
        <v>73</v>
      </c>
      <c r="V3390">
        <v>7.91</v>
      </c>
      <c r="W3390">
        <v>68</v>
      </c>
      <c r="X3390" t="s">
        <v>251</v>
      </c>
      <c r="Y3390" t="s">
        <v>336</v>
      </c>
      <c r="Z3390" t="s">
        <v>96</v>
      </c>
      <c r="AA3390" t="s">
        <v>309</v>
      </c>
      <c r="AB3390" t="s">
        <v>5535</v>
      </c>
      <c r="AC3390">
        <v>134</v>
      </c>
      <c r="AD3390">
        <v>48</v>
      </c>
      <c r="AE3390">
        <v>97</v>
      </c>
      <c r="AF3390">
        <v>359.89</v>
      </c>
      <c r="AG3390">
        <v>3.68</v>
      </c>
      <c r="AH3390">
        <v>5.46</v>
      </c>
      <c r="AI3390">
        <v>-0.17</v>
      </c>
      <c r="AJ3390">
        <v>-0.11</v>
      </c>
      <c r="AK3390">
        <v>91</v>
      </c>
      <c r="AL3390">
        <v>108</v>
      </c>
      <c r="AM3390">
        <v>45</v>
      </c>
      <c r="AN3390">
        <v>3.02</v>
      </c>
      <c r="AO3390">
        <v>-1.21</v>
      </c>
      <c r="AP3390">
        <v>206</v>
      </c>
      <c r="AQ3390">
        <v>0</v>
      </c>
      <c r="AR3390">
        <v>7.76</v>
      </c>
      <c r="AS3390">
        <v>85</v>
      </c>
      <c r="AT3390">
        <v>2.87</v>
      </c>
      <c r="AU3390">
        <v>86</v>
      </c>
      <c r="AV3390">
        <v>-1.43</v>
      </c>
      <c r="AW3390">
        <v>92</v>
      </c>
      <c r="AX3390">
        <v>7.0000000000000007E-2</v>
      </c>
      <c r="AY3390">
        <v>83</v>
      </c>
      <c r="AZ3390">
        <v>5.82</v>
      </c>
      <c r="BA3390">
        <v>70</v>
      </c>
      <c r="BB3390">
        <v>5.16</v>
      </c>
      <c r="BC3390">
        <v>61</v>
      </c>
      <c r="BD3390">
        <v>-0.01</v>
      </c>
      <c r="BE3390">
        <v>-0.03</v>
      </c>
      <c r="BF3390">
        <v>-0.13</v>
      </c>
      <c r="BG3390">
        <v>95</v>
      </c>
      <c r="BH3390">
        <v>0.17</v>
      </c>
      <c r="BI3390">
        <v>-5.85</v>
      </c>
      <c r="BJ3390">
        <v>73</v>
      </c>
      <c r="BK3390">
        <v>32</v>
      </c>
      <c r="BL3390">
        <v>2.62</v>
      </c>
      <c r="BM3390">
        <v>-1.17</v>
      </c>
      <c r="BN3390">
        <v>-0.2</v>
      </c>
      <c r="BO3390">
        <v>0.95</v>
      </c>
      <c r="BP3390">
        <v>1.63</v>
      </c>
      <c r="BQ3390">
        <v>2.16</v>
      </c>
      <c r="BR3390">
        <v>-1.66</v>
      </c>
      <c r="BS3390">
        <v>2.2000000000000002</v>
      </c>
      <c r="BT3390">
        <v>1.1200000000000001</v>
      </c>
      <c r="BU3390">
        <v>2.9</v>
      </c>
      <c r="BV3390">
        <v>2.3199999999999998</v>
      </c>
      <c r="BW3390">
        <v>2.44</v>
      </c>
      <c r="BX3390">
        <v>3.51</v>
      </c>
      <c r="BY3390">
        <v>0.62</v>
      </c>
      <c r="BZ3390">
        <v>1.74</v>
      </c>
      <c r="CA3390">
        <v>2.67</v>
      </c>
      <c r="CB3390">
        <v>2.2000000000000002</v>
      </c>
      <c r="CC3390">
        <v>1.37</v>
      </c>
      <c r="CD3390">
        <v>-0.64</v>
      </c>
      <c r="CE3390">
        <v>1.17</v>
      </c>
      <c r="CF3390">
        <v>1.2</v>
      </c>
      <c r="CG3390">
        <v>0</v>
      </c>
      <c r="CH3390">
        <v>0.76</v>
      </c>
      <c r="CI3390">
        <v>0</v>
      </c>
      <c r="CJ3390">
        <v>-0.3</v>
      </c>
      <c r="CK3390">
        <v>90</v>
      </c>
      <c r="CL3390">
        <v>-1.4</v>
      </c>
      <c r="CM3390">
        <v>88</v>
      </c>
      <c r="CN3390">
        <v>-0.56999999999999995</v>
      </c>
      <c r="CO3390">
        <v>87</v>
      </c>
      <c r="CP3390">
        <v>4.4000000000000004</v>
      </c>
      <c r="CQ3390">
        <v>85</v>
      </c>
      <c r="CR3390">
        <v>0</v>
      </c>
      <c r="CS3390">
        <v>0</v>
      </c>
      <c r="CT3390">
        <v>26.9</v>
      </c>
      <c r="CU3390">
        <v>73</v>
      </c>
      <c r="CV3390">
        <v>0.22</v>
      </c>
      <c r="CW3390">
        <v>44</v>
      </c>
      <c r="CX3390" t="s">
        <v>1574</v>
      </c>
    </row>
    <row r="3391" spans="1:102" x14ac:dyDescent="0.3">
      <c r="A3391" t="str">
        <f>HYPERLINK("https://webapp.icbf.com/v2/app/bull-search/view/77858152","EGG")</f>
        <v>EGG</v>
      </c>
      <c r="B3391" t="s">
        <v>8618</v>
      </c>
      <c r="C3391" t="s">
        <v>8619</v>
      </c>
      <c r="D3391" s="1">
        <v>32706</v>
      </c>
      <c r="E3391" t="s">
        <v>108</v>
      </c>
      <c r="F3391">
        <v>16</v>
      </c>
      <c r="G3391" t="s">
        <v>93</v>
      </c>
      <c r="H3391">
        <v>-33.159999999999997</v>
      </c>
      <c r="I3391">
        <v>83</v>
      </c>
      <c r="J3391">
        <v>-64.58</v>
      </c>
      <c r="K3391">
        <v>96</v>
      </c>
      <c r="L3391">
        <v>41.41</v>
      </c>
      <c r="M3391">
        <v>79</v>
      </c>
      <c r="N3391">
        <v>-35.25</v>
      </c>
      <c r="O3391">
        <v>70</v>
      </c>
      <c r="P3391">
        <v>-8.93</v>
      </c>
      <c r="Q3391">
        <v>87</v>
      </c>
      <c r="R3391">
        <v>-2.0499999999999998</v>
      </c>
      <c r="S3391">
        <v>75</v>
      </c>
      <c r="T3391">
        <v>29.29</v>
      </c>
      <c r="U3391">
        <v>83</v>
      </c>
      <c r="V3391">
        <v>6.95</v>
      </c>
      <c r="W3391">
        <v>46</v>
      </c>
      <c r="X3391" t="s">
        <v>94</v>
      </c>
      <c r="Y3391" t="s">
        <v>95</v>
      </c>
      <c r="Z3391" t="s">
        <v>96</v>
      </c>
      <c r="AA3391" t="s">
        <v>8620</v>
      </c>
      <c r="AB3391" t="s">
        <v>910</v>
      </c>
      <c r="AC3391">
        <v>135</v>
      </c>
      <c r="AD3391">
        <v>105</v>
      </c>
      <c r="AE3391">
        <v>96</v>
      </c>
      <c r="AF3391">
        <v>-377.89</v>
      </c>
      <c r="AG3391">
        <v>-13.76</v>
      </c>
      <c r="AH3391">
        <v>-11.9</v>
      </c>
      <c r="AI3391">
        <v>0.02</v>
      </c>
      <c r="AJ3391">
        <v>0.02</v>
      </c>
      <c r="AK3391">
        <v>79</v>
      </c>
      <c r="AL3391">
        <v>337</v>
      </c>
      <c r="AM3391">
        <v>190</v>
      </c>
      <c r="AN3391">
        <v>-4.8</v>
      </c>
      <c r="AO3391">
        <v>-1.53</v>
      </c>
      <c r="AP3391">
        <v>6</v>
      </c>
      <c r="AQ3391">
        <v>2</v>
      </c>
      <c r="AR3391">
        <v>6.97</v>
      </c>
      <c r="AS3391">
        <v>43</v>
      </c>
      <c r="AT3391">
        <v>2.76</v>
      </c>
      <c r="AU3391">
        <v>66</v>
      </c>
      <c r="AV3391">
        <v>2.91</v>
      </c>
      <c r="AW3391">
        <v>78</v>
      </c>
      <c r="AX3391">
        <v>0.21</v>
      </c>
      <c r="AY3391">
        <v>84</v>
      </c>
      <c r="AZ3391">
        <v>8.93</v>
      </c>
      <c r="BA3391">
        <v>44</v>
      </c>
      <c r="BB3391">
        <v>7.06</v>
      </c>
      <c r="BC3391">
        <v>65</v>
      </c>
      <c r="BD3391">
        <v>-0.03</v>
      </c>
      <c r="BE3391">
        <v>0.03</v>
      </c>
      <c r="BF3391">
        <v>0.04</v>
      </c>
      <c r="BG3391">
        <v>95</v>
      </c>
      <c r="BH3391">
        <v>0.24</v>
      </c>
      <c r="BI3391">
        <v>5.35</v>
      </c>
      <c r="BJ3391">
        <v>31</v>
      </c>
      <c r="BK3391">
        <v>24</v>
      </c>
      <c r="BL3391">
        <v>-1.58</v>
      </c>
      <c r="BM3391">
        <v>1.05</v>
      </c>
      <c r="BN3391">
        <v>-1.54</v>
      </c>
      <c r="BO3391">
        <v>-1.92</v>
      </c>
      <c r="BP3391">
        <v>-1.52</v>
      </c>
      <c r="BQ3391">
        <v>-1.53</v>
      </c>
      <c r="BR3391">
        <v>-0.56999999999999995</v>
      </c>
      <c r="BS3391">
        <v>-0.43</v>
      </c>
      <c r="BT3391">
        <v>0.73</v>
      </c>
      <c r="BU3391">
        <v>-1.42</v>
      </c>
      <c r="BV3391">
        <v>-0.98</v>
      </c>
      <c r="BW3391">
        <v>-0.84</v>
      </c>
      <c r="BX3391">
        <v>-0.15</v>
      </c>
      <c r="BY3391">
        <v>0.99</v>
      </c>
      <c r="BZ3391">
        <v>-1.41</v>
      </c>
      <c r="CA3391">
        <v>-1.04</v>
      </c>
      <c r="CB3391">
        <v>-1.35</v>
      </c>
      <c r="CC3391">
        <v>-0.23</v>
      </c>
      <c r="CD3391">
        <v>1.84</v>
      </c>
      <c r="CE3391">
        <v>-1.87</v>
      </c>
      <c r="CF3391">
        <v>-2.2200000000000002</v>
      </c>
      <c r="CG3391">
        <v>0</v>
      </c>
      <c r="CH3391">
        <v>-0.68</v>
      </c>
      <c r="CI3391">
        <v>0</v>
      </c>
      <c r="CJ3391">
        <v>-2.1</v>
      </c>
      <c r="CK3391">
        <v>88</v>
      </c>
      <c r="CL3391">
        <v>-0.46</v>
      </c>
      <c r="CM3391">
        <v>85</v>
      </c>
      <c r="CN3391">
        <v>-0.04</v>
      </c>
      <c r="CO3391">
        <v>83</v>
      </c>
      <c r="CP3391">
        <v>-11.7</v>
      </c>
      <c r="CQ3391">
        <v>89</v>
      </c>
      <c r="CR3391">
        <v>0</v>
      </c>
      <c r="CS3391">
        <v>0</v>
      </c>
      <c r="CT3391">
        <v>-25.8</v>
      </c>
      <c r="CU3391">
        <v>83</v>
      </c>
      <c r="CV3391">
        <v>0.16</v>
      </c>
      <c r="CW3391">
        <v>26</v>
      </c>
      <c r="CX3391" t="s">
        <v>911</v>
      </c>
    </row>
    <row r="3392" spans="1:102" x14ac:dyDescent="0.3">
      <c r="A3392" t="str">
        <f>HYPERLINK("https://webapp.icbf.com/v2/app/bull-search/view/137158407","KTT")</f>
        <v>KTT</v>
      </c>
      <c r="B3392" t="s">
        <v>11473</v>
      </c>
      <c r="C3392" t="s">
        <v>11474</v>
      </c>
      <c r="D3392" s="1">
        <v>36425</v>
      </c>
      <c r="E3392" t="s">
        <v>92</v>
      </c>
      <c r="F3392">
        <v>100</v>
      </c>
      <c r="G3392" t="s">
        <v>109</v>
      </c>
      <c r="H3392">
        <v>-33.200000000000003</v>
      </c>
      <c r="I3392">
        <v>79</v>
      </c>
      <c r="J3392">
        <v>9.31</v>
      </c>
      <c r="K3392">
        <v>90</v>
      </c>
      <c r="L3392">
        <v>-63.94</v>
      </c>
      <c r="M3392">
        <v>78</v>
      </c>
      <c r="N3392">
        <v>20.13</v>
      </c>
      <c r="O3392">
        <v>70</v>
      </c>
      <c r="P3392">
        <v>-17.84</v>
      </c>
      <c r="Q3392">
        <v>82</v>
      </c>
      <c r="R3392">
        <v>12.79</v>
      </c>
      <c r="S3392">
        <v>65</v>
      </c>
      <c r="T3392">
        <v>3.32</v>
      </c>
      <c r="U3392">
        <v>74</v>
      </c>
      <c r="V3392">
        <v>3.03</v>
      </c>
      <c r="W3392">
        <v>27</v>
      </c>
      <c r="X3392" t="s">
        <v>970</v>
      </c>
      <c r="Y3392" t="s">
        <v>95</v>
      </c>
      <c r="Z3392" t="s">
        <v>96</v>
      </c>
      <c r="AA3392" t="s">
        <v>1366</v>
      </c>
      <c r="AB3392" t="s">
        <v>11475</v>
      </c>
      <c r="AC3392">
        <v>32</v>
      </c>
      <c r="AD3392">
        <v>18</v>
      </c>
      <c r="AE3392">
        <v>90</v>
      </c>
      <c r="AF3392">
        <v>-63.88</v>
      </c>
      <c r="AG3392">
        <v>6.12</v>
      </c>
      <c r="AH3392">
        <v>-1.56</v>
      </c>
      <c r="AI3392">
        <v>0.14000000000000001</v>
      </c>
      <c r="AJ3392">
        <v>0.01</v>
      </c>
      <c r="AK3392">
        <v>78</v>
      </c>
      <c r="AL3392">
        <v>34</v>
      </c>
      <c r="AM3392">
        <v>13</v>
      </c>
      <c r="AN3392">
        <v>4.18</v>
      </c>
      <c r="AO3392">
        <v>-0.91</v>
      </c>
      <c r="AP3392">
        <v>57</v>
      </c>
      <c r="AQ3392">
        <v>1</v>
      </c>
      <c r="AR3392">
        <v>7.92</v>
      </c>
      <c r="AS3392">
        <v>53</v>
      </c>
      <c r="AT3392">
        <v>3.46</v>
      </c>
      <c r="AU3392">
        <v>66</v>
      </c>
      <c r="AV3392">
        <v>-2.5099999999999998</v>
      </c>
      <c r="AW3392">
        <v>88</v>
      </c>
      <c r="AX3392">
        <v>-0.02</v>
      </c>
      <c r="AY3392">
        <v>66</v>
      </c>
      <c r="AZ3392">
        <v>5.23</v>
      </c>
      <c r="BA3392">
        <v>42</v>
      </c>
      <c r="BB3392">
        <v>4.49</v>
      </c>
      <c r="BC3392">
        <v>41</v>
      </c>
      <c r="BD3392">
        <v>0</v>
      </c>
      <c r="BE3392">
        <v>-0.06</v>
      </c>
      <c r="BF3392">
        <v>-0.18</v>
      </c>
      <c r="BG3392">
        <v>86</v>
      </c>
      <c r="BH3392">
        <v>0.05</v>
      </c>
      <c r="BI3392">
        <v>-3.99</v>
      </c>
      <c r="BJ3392">
        <v>14</v>
      </c>
      <c r="BK3392">
        <v>4</v>
      </c>
      <c r="BL3392">
        <v>0.37</v>
      </c>
      <c r="BM3392">
        <v>0.68</v>
      </c>
      <c r="BN3392">
        <v>0.65</v>
      </c>
      <c r="BO3392">
        <v>-0.34</v>
      </c>
      <c r="BP3392">
        <v>-1.36</v>
      </c>
      <c r="BQ3392">
        <v>0.96</v>
      </c>
      <c r="BR3392">
        <v>-0.34</v>
      </c>
      <c r="BS3392">
        <v>-1.89</v>
      </c>
      <c r="BT3392">
        <v>-0.01</v>
      </c>
      <c r="BU3392">
        <v>2.63</v>
      </c>
      <c r="BV3392">
        <v>0.94</v>
      </c>
      <c r="BW3392">
        <v>0.51</v>
      </c>
      <c r="BX3392">
        <v>2.77</v>
      </c>
      <c r="BY3392">
        <v>1.53</v>
      </c>
      <c r="BZ3392">
        <v>-1.48</v>
      </c>
      <c r="CA3392">
        <v>0.81</v>
      </c>
      <c r="CB3392">
        <v>1.8</v>
      </c>
      <c r="CC3392">
        <v>-1.54</v>
      </c>
      <c r="CD3392">
        <v>0.26</v>
      </c>
      <c r="CE3392">
        <v>0.97</v>
      </c>
      <c r="CF3392">
        <v>1.56</v>
      </c>
      <c r="CG3392">
        <v>0</v>
      </c>
      <c r="CH3392">
        <v>1.45</v>
      </c>
      <c r="CI3392">
        <v>0</v>
      </c>
      <c r="CJ3392">
        <v>-8.8000000000000007</v>
      </c>
      <c r="CK3392">
        <v>84</v>
      </c>
      <c r="CL3392">
        <v>-0.77</v>
      </c>
      <c r="CM3392">
        <v>81</v>
      </c>
      <c r="CN3392">
        <v>-0.17</v>
      </c>
      <c r="CO3392">
        <v>78</v>
      </c>
      <c r="CP3392">
        <v>1.7</v>
      </c>
      <c r="CQ3392">
        <v>81</v>
      </c>
      <c r="CR3392">
        <v>0</v>
      </c>
      <c r="CS3392">
        <v>0</v>
      </c>
      <c r="CT3392">
        <v>9.3000000000000007</v>
      </c>
      <c r="CU3392">
        <v>74</v>
      </c>
      <c r="CV3392">
        <v>0</v>
      </c>
      <c r="CW3392">
        <v>23</v>
      </c>
      <c r="CX3392" t="s">
        <v>4021</v>
      </c>
    </row>
    <row r="3393" spans="1:102" x14ac:dyDescent="0.3">
      <c r="A3393" t="str">
        <f>HYPERLINK("https://webapp.icbf.com/v2/app/bull-search/view/77857909","FKA")</f>
        <v>FKA</v>
      </c>
      <c r="B3393" t="s">
        <v>11061</v>
      </c>
      <c r="C3393" t="s">
        <v>3440</v>
      </c>
      <c r="D3393" s="1">
        <v>33276</v>
      </c>
      <c r="E3393" t="s">
        <v>108</v>
      </c>
      <c r="F3393">
        <v>0</v>
      </c>
      <c r="G3393" t="s">
        <v>93</v>
      </c>
      <c r="H3393">
        <v>-33.4</v>
      </c>
      <c r="I3393">
        <v>99</v>
      </c>
      <c r="J3393">
        <v>-35.74</v>
      </c>
      <c r="K3393">
        <v>99</v>
      </c>
      <c r="L3393">
        <v>12.59</v>
      </c>
      <c r="M3393">
        <v>98</v>
      </c>
      <c r="N3393">
        <v>0.82</v>
      </c>
      <c r="O3393">
        <v>99</v>
      </c>
      <c r="P3393">
        <v>-13.25</v>
      </c>
      <c r="Q3393">
        <v>99</v>
      </c>
      <c r="R3393">
        <v>-8.94</v>
      </c>
      <c r="S3393">
        <v>98</v>
      </c>
      <c r="T3393">
        <v>17.38</v>
      </c>
      <c r="U3393">
        <v>99</v>
      </c>
      <c r="V3393">
        <v>-6.26</v>
      </c>
      <c r="W3393">
        <v>99</v>
      </c>
      <c r="X3393" t="s">
        <v>102</v>
      </c>
      <c r="Y3393" t="s">
        <v>95</v>
      </c>
      <c r="Z3393" t="s">
        <v>96</v>
      </c>
      <c r="AA3393" t="s">
        <v>11062</v>
      </c>
      <c r="AB3393" t="s">
        <v>11063</v>
      </c>
      <c r="AC3393">
        <v>5900</v>
      </c>
      <c r="AD3393">
        <v>1251</v>
      </c>
      <c r="AE3393">
        <v>99</v>
      </c>
      <c r="AF3393">
        <v>-222.8</v>
      </c>
      <c r="AG3393">
        <v>-6.98</v>
      </c>
      <c r="AH3393">
        <v>-7.02</v>
      </c>
      <c r="AI3393">
        <v>0.03</v>
      </c>
      <c r="AJ3393">
        <v>0.01</v>
      </c>
      <c r="AK3393">
        <v>98</v>
      </c>
      <c r="AL3393">
        <v>9889</v>
      </c>
      <c r="AM3393">
        <v>2868</v>
      </c>
      <c r="AN3393">
        <v>-0.99</v>
      </c>
      <c r="AO3393">
        <v>0.01</v>
      </c>
      <c r="AP3393">
        <v>1175</v>
      </c>
      <c r="AQ3393">
        <v>10</v>
      </c>
      <c r="AR3393">
        <v>5.36</v>
      </c>
      <c r="AS3393">
        <v>98</v>
      </c>
      <c r="AT3393">
        <v>2.13</v>
      </c>
      <c r="AU3393">
        <v>99</v>
      </c>
      <c r="AV3393">
        <v>0.09</v>
      </c>
      <c r="AW3393">
        <v>99</v>
      </c>
      <c r="AX3393">
        <v>-0.23</v>
      </c>
      <c r="AY3393">
        <v>99</v>
      </c>
      <c r="AZ3393">
        <v>7.18</v>
      </c>
      <c r="BA3393">
        <v>98</v>
      </c>
      <c r="BB3393">
        <v>6.91</v>
      </c>
      <c r="BC3393">
        <v>99</v>
      </c>
      <c r="BD3393">
        <v>7.0000000000000007E-2</v>
      </c>
      <c r="BE3393">
        <v>0.01</v>
      </c>
      <c r="BF3393">
        <v>7.0000000000000007E-2</v>
      </c>
      <c r="BG3393">
        <v>99</v>
      </c>
      <c r="BH3393">
        <v>-0.09</v>
      </c>
      <c r="BI3393">
        <v>9.77</v>
      </c>
      <c r="BJ3393">
        <v>95</v>
      </c>
      <c r="BK3393">
        <v>63</v>
      </c>
      <c r="BL3393">
        <v>-2.74</v>
      </c>
      <c r="BM3393">
        <v>1.59</v>
      </c>
      <c r="BN3393">
        <v>-2.17</v>
      </c>
      <c r="BO3393">
        <v>-2.63</v>
      </c>
      <c r="BP3393">
        <v>-1.66</v>
      </c>
      <c r="BQ3393">
        <v>1.92</v>
      </c>
      <c r="BR3393">
        <v>-2.3199999999999998</v>
      </c>
      <c r="BS3393">
        <v>-0.57999999999999996</v>
      </c>
      <c r="BT3393">
        <v>-0.08</v>
      </c>
      <c r="BU3393">
        <v>-2.39</v>
      </c>
      <c r="BV3393">
        <v>-2.46</v>
      </c>
      <c r="BW3393">
        <v>-2.12</v>
      </c>
      <c r="BX3393">
        <v>-1.43</v>
      </c>
      <c r="BY3393">
        <v>-2.35</v>
      </c>
      <c r="BZ3393">
        <v>0.6</v>
      </c>
      <c r="CA3393">
        <v>-2.37</v>
      </c>
      <c r="CB3393">
        <v>-2.33</v>
      </c>
      <c r="CC3393">
        <v>-1.55</v>
      </c>
      <c r="CD3393">
        <v>2.68</v>
      </c>
      <c r="CE3393">
        <v>-2.71</v>
      </c>
      <c r="CF3393">
        <v>-1.57</v>
      </c>
      <c r="CG3393">
        <v>0</v>
      </c>
      <c r="CH3393">
        <v>-2.36</v>
      </c>
      <c r="CI3393">
        <v>0</v>
      </c>
      <c r="CJ3393">
        <v>-6.4</v>
      </c>
      <c r="CK3393">
        <v>99</v>
      </c>
      <c r="CL3393">
        <v>-7.0000000000000007E-2</v>
      </c>
      <c r="CM3393">
        <v>99</v>
      </c>
      <c r="CN3393">
        <v>0.18</v>
      </c>
      <c r="CO3393">
        <v>99</v>
      </c>
      <c r="CP3393">
        <v>-10.6</v>
      </c>
      <c r="CQ3393">
        <v>99</v>
      </c>
      <c r="CR3393">
        <v>0</v>
      </c>
      <c r="CS3393">
        <v>0</v>
      </c>
      <c r="CT3393">
        <v>-9.6999999999999993</v>
      </c>
      <c r="CU3393">
        <v>99</v>
      </c>
      <c r="CV3393">
        <v>0.05</v>
      </c>
      <c r="CW3393">
        <v>48</v>
      </c>
      <c r="CX3393" t="s">
        <v>2980</v>
      </c>
    </row>
    <row r="3394" spans="1:102" x14ac:dyDescent="0.3">
      <c r="A3394" t="str">
        <f>HYPERLINK("https://webapp.icbf.com/v2/app/bull-search/view/77855350","MPS")</f>
        <v>MPS</v>
      </c>
      <c r="B3394" t="s">
        <v>7083</v>
      </c>
      <c r="C3394" t="s">
        <v>7084</v>
      </c>
      <c r="D3394" s="1">
        <v>32281</v>
      </c>
      <c r="E3394" t="s">
        <v>108</v>
      </c>
      <c r="F3394">
        <v>0</v>
      </c>
      <c r="G3394" t="s">
        <v>93</v>
      </c>
      <c r="H3394">
        <v>-33.47</v>
      </c>
      <c r="I3394">
        <v>61</v>
      </c>
      <c r="J3394">
        <v>-90.98</v>
      </c>
      <c r="K3394">
        <v>75</v>
      </c>
      <c r="L3394">
        <v>40.49</v>
      </c>
      <c r="M3394">
        <v>57</v>
      </c>
      <c r="N3394">
        <v>17.04</v>
      </c>
      <c r="O3394">
        <v>45</v>
      </c>
      <c r="P3394">
        <v>-13.95</v>
      </c>
      <c r="Q3394">
        <v>62</v>
      </c>
      <c r="R3394">
        <v>-9.8699999999999992</v>
      </c>
      <c r="S3394">
        <v>59</v>
      </c>
      <c r="T3394">
        <v>17.16</v>
      </c>
      <c r="U3394">
        <v>57</v>
      </c>
      <c r="V3394">
        <v>6.64</v>
      </c>
      <c r="W3394">
        <v>25</v>
      </c>
      <c r="X3394" t="s">
        <v>110</v>
      </c>
      <c r="Y3394" t="s">
        <v>95</v>
      </c>
      <c r="Z3394" t="s">
        <v>96</v>
      </c>
      <c r="AA3394" t="s">
        <v>262</v>
      </c>
      <c r="AB3394" t="s">
        <v>7085</v>
      </c>
      <c r="AC3394">
        <v>20</v>
      </c>
      <c r="AD3394">
        <v>15</v>
      </c>
      <c r="AE3394">
        <v>75</v>
      </c>
      <c r="AF3394">
        <v>-395.43</v>
      </c>
      <c r="AG3394">
        <v>-14.32</v>
      </c>
      <c r="AH3394">
        <v>-16.46</v>
      </c>
      <c r="AI3394">
        <v>0.02</v>
      </c>
      <c r="AJ3394">
        <v>-0.05</v>
      </c>
      <c r="AK3394">
        <v>57</v>
      </c>
      <c r="AL3394">
        <v>64</v>
      </c>
      <c r="AM3394">
        <v>30</v>
      </c>
      <c r="AN3394">
        <v>-2.93</v>
      </c>
      <c r="AO3394">
        <v>0.28999999999999998</v>
      </c>
      <c r="AP3394">
        <v>1</v>
      </c>
      <c r="AQ3394">
        <v>2</v>
      </c>
      <c r="AR3394">
        <v>5.12</v>
      </c>
      <c r="AS3394">
        <v>27</v>
      </c>
      <c r="AT3394">
        <v>2.12</v>
      </c>
      <c r="AU3394">
        <v>39</v>
      </c>
      <c r="AV3394">
        <v>-0.16</v>
      </c>
      <c r="AW3394">
        <v>53</v>
      </c>
      <c r="AX3394">
        <v>-0.28000000000000003</v>
      </c>
      <c r="AY3394">
        <v>63</v>
      </c>
      <c r="AZ3394">
        <v>5.55</v>
      </c>
      <c r="BA3394">
        <v>26</v>
      </c>
      <c r="BB3394">
        <v>4.93</v>
      </c>
      <c r="BC3394">
        <v>36</v>
      </c>
      <c r="BD3394">
        <v>0.03</v>
      </c>
      <c r="BE3394">
        <v>0.03</v>
      </c>
      <c r="BF3394">
        <v>0.12</v>
      </c>
      <c r="BG3394">
        <v>79</v>
      </c>
      <c r="BH3394">
        <v>-0.02</v>
      </c>
      <c r="BI3394">
        <v>-23.72</v>
      </c>
      <c r="BJ3394">
        <v>4</v>
      </c>
      <c r="BK3394">
        <v>2</v>
      </c>
      <c r="BL3394">
        <v>-1.99</v>
      </c>
      <c r="BM3394">
        <v>2.13</v>
      </c>
      <c r="BN3394">
        <v>-0.7</v>
      </c>
      <c r="BO3394">
        <v>-2.31</v>
      </c>
      <c r="BP3394">
        <v>-1.34</v>
      </c>
      <c r="BQ3394">
        <v>1.27</v>
      </c>
      <c r="BR3394">
        <v>-0.08</v>
      </c>
      <c r="BS3394">
        <v>0.73</v>
      </c>
      <c r="BT3394">
        <v>1.64</v>
      </c>
      <c r="BU3394">
        <v>-1.26</v>
      </c>
      <c r="BV3394">
        <v>-1.49</v>
      </c>
      <c r="BW3394">
        <v>-0.42</v>
      </c>
      <c r="BX3394">
        <v>-0.6</v>
      </c>
      <c r="BY3394">
        <v>0.41</v>
      </c>
      <c r="BZ3394">
        <v>-0.69</v>
      </c>
      <c r="CA3394">
        <v>-1.1000000000000001</v>
      </c>
      <c r="CB3394">
        <v>-1.05</v>
      </c>
      <c r="CC3394">
        <v>-0.73</v>
      </c>
      <c r="CD3394">
        <v>2.41</v>
      </c>
      <c r="CE3394">
        <v>-1.61</v>
      </c>
      <c r="CF3394">
        <v>-1.59</v>
      </c>
      <c r="CG3394">
        <v>0</v>
      </c>
      <c r="CH3394">
        <v>-0.19</v>
      </c>
      <c r="CI3394">
        <v>0</v>
      </c>
      <c r="CJ3394">
        <v>-5.2</v>
      </c>
      <c r="CK3394">
        <v>64</v>
      </c>
      <c r="CL3394">
        <v>-0.17</v>
      </c>
      <c r="CM3394">
        <v>60</v>
      </c>
      <c r="CN3394">
        <v>0.27</v>
      </c>
      <c r="CO3394">
        <v>57</v>
      </c>
      <c r="CP3394">
        <v>-12.4</v>
      </c>
      <c r="CQ3394">
        <v>63</v>
      </c>
      <c r="CR3394">
        <v>0</v>
      </c>
      <c r="CS3394">
        <v>0</v>
      </c>
      <c r="CT3394">
        <v>-9.4</v>
      </c>
      <c r="CU3394">
        <v>57</v>
      </c>
      <c r="CV3394">
        <v>0.01</v>
      </c>
      <c r="CW3394">
        <v>17</v>
      </c>
      <c r="CX3394" t="s">
        <v>609</v>
      </c>
    </row>
    <row r="3395" spans="1:102" x14ac:dyDescent="0.3">
      <c r="A3395" t="str">
        <f>HYPERLINK("https://webapp.icbf.com/v2/app/bull-search/view/77859976","BTN")</f>
        <v>BTN</v>
      </c>
      <c r="B3395" t="s">
        <v>10386</v>
      </c>
      <c r="C3395" t="s">
        <v>10387</v>
      </c>
      <c r="D3395" s="1">
        <v>32148</v>
      </c>
      <c r="E3395" t="s">
        <v>108</v>
      </c>
      <c r="F3395">
        <v>3</v>
      </c>
      <c r="G3395" t="s">
        <v>116</v>
      </c>
      <c r="H3395">
        <v>-33.479999999999997</v>
      </c>
      <c r="I3395">
        <v>41</v>
      </c>
      <c r="J3395">
        <v>-67.14</v>
      </c>
      <c r="K3395">
        <v>50</v>
      </c>
      <c r="L3395">
        <v>27.8</v>
      </c>
      <c r="M3395">
        <v>37</v>
      </c>
      <c r="N3395">
        <v>2.29</v>
      </c>
      <c r="O3395">
        <v>32</v>
      </c>
      <c r="P3395">
        <v>-0.47</v>
      </c>
      <c r="Q3395">
        <v>47</v>
      </c>
      <c r="R3395">
        <v>-10.57</v>
      </c>
      <c r="S3395">
        <v>34</v>
      </c>
      <c r="T3395">
        <v>15.97</v>
      </c>
      <c r="U3395">
        <v>40</v>
      </c>
      <c r="V3395">
        <v>-1.36</v>
      </c>
      <c r="W3395">
        <v>15</v>
      </c>
      <c r="X3395" t="s">
        <v>94</v>
      </c>
      <c r="Y3395" t="s">
        <v>117</v>
      </c>
      <c r="Z3395" t="s">
        <v>96</v>
      </c>
      <c r="AA3395" t="s">
        <v>10388</v>
      </c>
      <c r="AB3395" t="s">
        <v>10389</v>
      </c>
      <c r="AC3395">
        <v>5</v>
      </c>
      <c r="AD3395">
        <v>5</v>
      </c>
      <c r="AE3395">
        <v>50</v>
      </c>
      <c r="AF3395">
        <v>-197.02</v>
      </c>
      <c r="AG3395">
        <v>-11.66</v>
      </c>
      <c r="AH3395">
        <v>-10.31</v>
      </c>
      <c r="AI3395">
        <v>-7.0000000000000007E-2</v>
      </c>
      <c r="AJ3395">
        <v>-0.06</v>
      </c>
      <c r="AK3395">
        <v>37</v>
      </c>
      <c r="AL3395">
        <v>12</v>
      </c>
      <c r="AM3395">
        <v>11</v>
      </c>
      <c r="AN3395">
        <v>-2.08</v>
      </c>
      <c r="AO3395">
        <v>0.13</v>
      </c>
      <c r="AP3395">
        <v>0</v>
      </c>
      <c r="AQ3395">
        <v>1</v>
      </c>
      <c r="AR3395">
        <v>7.72</v>
      </c>
      <c r="AS3395">
        <v>18</v>
      </c>
      <c r="AT3395">
        <v>3.16</v>
      </c>
      <c r="AU3395">
        <v>26</v>
      </c>
      <c r="AV3395">
        <v>-0.09</v>
      </c>
      <c r="AW3395">
        <v>38</v>
      </c>
      <c r="AX3395">
        <v>0.03</v>
      </c>
      <c r="AY3395">
        <v>45</v>
      </c>
      <c r="AZ3395">
        <v>5.72</v>
      </c>
      <c r="BA3395">
        <v>19</v>
      </c>
      <c r="BB3395">
        <v>4.75</v>
      </c>
      <c r="BC3395">
        <v>26</v>
      </c>
      <c r="BD3395">
        <v>0.06</v>
      </c>
      <c r="BE3395">
        <v>7.0000000000000007E-2</v>
      </c>
      <c r="BF3395">
        <v>0.01</v>
      </c>
      <c r="BG3395">
        <v>44</v>
      </c>
      <c r="BH3395">
        <v>0.02</v>
      </c>
      <c r="BI3395">
        <v>6.71</v>
      </c>
      <c r="BJ3395">
        <v>0</v>
      </c>
      <c r="BK3395">
        <v>0</v>
      </c>
      <c r="BL3395">
        <v>-2.4900000000000002</v>
      </c>
      <c r="BM3395">
        <v>1.71</v>
      </c>
      <c r="BN3395">
        <v>-1.95</v>
      </c>
      <c r="BO3395">
        <v>-2.58</v>
      </c>
      <c r="BP3395">
        <v>0.44</v>
      </c>
      <c r="BQ3395">
        <v>0.24</v>
      </c>
      <c r="BR3395">
        <v>0.05</v>
      </c>
      <c r="BS3395">
        <v>-0.89</v>
      </c>
      <c r="BT3395">
        <v>-1.22</v>
      </c>
      <c r="BU3395">
        <v>-0.77</v>
      </c>
      <c r="BV3395">
        <v>-1.81</v>
      </c>
      <c r="BW3395">
        <v>-2.39</v>
      </c>
      <c r="BX3395">
        <v>-1.1100000000000001</v>
      </c>
      <c r="BY3395">
        <v>-1.94</v>
      </c>
      <c r="BZ3395">
        <v>-0.63</v>
      </c>
      <c r="CA3395">
        <v>-1.87</v>
      </c>
      <c r="CB3395">
        <v>-1.7</v>
      </c>
      <c r="CC3395">
        <v>-1.51</v>
      </c>
      <c r="CD3395">
        <v>2.5299999999999998</v>
      </c>
      <c r="CE3395">
        <v>-2.66</v>
      </c>
      <c r="CF3395">
        <v>-2.2999999999999998</v>
      </c>
      <c r="CG3395">
        <v>0</v>
      </c>
      <c r="CH3395">
        <v>-1.74</v>
      </c>
      <c r="CI3395">
        <v>0</v>
      </c>
      <c r="CJ3395">
        <v>-1.2</v>
      </c>
      <c r="CK3395">
        <v>48</v>
      </c>
      <c r="CL3395">
        <v>0.16</v>
      </c>
      <c r="CM3395">
        <v>45</v>
      </c>
      <c r="CN3395">
        <v>0</v>
      </c>
      <c r="CO3395">
        <v>40</v>
      </c>
      <c r="CP3395">
        <v>-3.1</v>
      </c>
      <c r="CQ3395">
        <v>54</v>
      </c>
      <c r="CR3395">
        <v>0</v>
      </c>
      <c r="CS3395">
        <v>0</v>
      </c>
      <c r="CT3395">
        <v>-7.8</v>
      </c>
      <c r="CU3395">
        <v>40</v>
      </c>
      <c r="CV3395">
        <v>-0.1</v>
      </c>
      <c r="CW3395">
        <v>12</v>
      </c>
      <c r="CX3395" t="s">
        <v>10390</v>
      </c>
    </row>
    <row r="3396" spans="1:102" x14ac:dyDescent="0.3">
      <c r="A3396" t="str">
        <f>HYPERLINK("https://webapp.icbf.com/v2/app/bull-search/view/1511412225","F358")</f>
        <v>F358</v>
      </c>
      <c r="B3396" t="s">
        <v>3138</v>
      </c>
      <c r="C3396" t="s">
        <v>3139</v>
      </c>
      <c r="D3396" s="1">
        <v>42653</v>
      </c>
      <c r="E3396" t="s">
        <v>108</v>
      </c>
      <c r="F3396">
        <v>3</v>
      </c>
      <c r="G3396" t="s">
        <v>435</v>
      </c>
      <c r="H3396">
        <v>-33.51</v>
      </c>
      <c r="I3396">
        <v>55</v>
      </c>
      <c r="J3396">
        <v>-80.599999999999994</v>
      </c>
      <c r="K3396">
        <v>75</v>
      </c>
      <c r="L3396">
        <v>20.8</v>
      </c>
      <c r="M3396">
        <v>47</v>
      </c>
      <c r="N3396">
        <v>18.89</v>
      </c>
      <c r="O3396">
        <v>56</v>
      </c>
      <c r="P3396">
        <v>-9.2200000000000006</v>
      </c>
      <c r="Q3396">
        <v>37</v>
      </c>
      <c r="R3396">
        <v>8.3800000000000008</v>
      </c>
      <c r="S3396">
        <v>47</v>
      </c>
      <c r="T3396">
        <v>10.199999999999999</v>
      </c>
      <c r="U3396">
        <v>36</v>
      </c>
      <c r="V3396">
        <v>-1.96</v>
      </c>
      <c r="W3396">
        <v>43</v>
      </c>
      <c r="X3396" t="s">
        <v>110</v>
      </c>
      <c r="Y3396" t="s">
        <v>2410</v>
      </c>
      <c r="Z3396" t="s">
        <v>96</v>
      </c>
      <c r="AA3396" t="s">
        <v>3140</v>
      </c>
      <c r="AB3396" t="s">
        <v>3141</v>
      </c>
      <c r="AC3396">
        <v>0</v>
      </c>
      <c r="AD3396">
        <v>0</v>
      </c>
      <c r="AE3396">
        <v>75</v>
      </c>
      <c r="AF3396">
        <v>-262.06</v>
      </c>
      <c r="AG3396">
        <v>-18.88</v>
      </c>
      <c r="AH3396">
        <v>-11.04</v>
      </c>
      <c r="AI3396">
        <v>-0.16</v>
      </c>
      <c r="AJ3396">
        <v>-0.04</v>
      </c>
      <c r="AK3396">
        <v>47</v>
      </c>
      <c r="AL3396">
        <v>0</v>
      </c>
      <c r="AM3396">
        <v>0</v>
      </c>
      <c r="AN3396">
        <v>-0.25</v>
      </c>
      <c r="AO3396">
        <v>1.42</v>
      </c>
      <c r="AP3396">
        <v>47</v>
      </c>
      <c r="AQ3396">
        <v>0</v>
      </c>
      <c r="AR3396">
        <v>6.14</v>
      </c>
      <c r="AS3396">
        <v>34</v>
      </c>
      <c r="AT3396">
        <v>2.21</v>
      </c>
      <c r="AU3396">
        <v>65</v>
      </c>
      <c r="AV3396">
        <v>-1.34</v>
      </c>
      <c r="AW3396">
        <v>66</v>
      </c>
      <c r="AX3396">
        <v>7.0000000000000007E-2</v>
      </c>
      <c r="AY3396">
        <v>53</v>
      </c>
      <c r="AZ3396">
        <v>6.67</v>
      </c>
      <c r="BA3396">
        <v>26</v>
      </c>
      <c r="BB3396">
        <v>5.39</v>
      </c>
      <c r="BC3396">
        <v>27</v>
      </c>
      <c r="BD3396">
        <v>0.02</v>
      </c>
      <c r="BE3396">
        <v>-0.04</v>
      </c>
      <c r="BF3396">
        <v>-0.15</v>
      </c>
      <c r="BG3396">
        <v>55</v>
      </c>
      <c r="BH3396">
        <v>-0.04</v>
      </c>
      <c r="BI3396">
        <v>1.68</v>
      </c>
      <c r="BJ3396">
        <v>0</v>
      </c>
      <c r="BK3396">
        <v>0</v>
      </c>
      <c r="BL3396">
        <v>-3.38</v>
      </c>
      <c r="BM3396">
        <v>1.52</v>
      </c>
      <c r="BN3396">
        <v>-2.31</v>
      </c>
      <c r="BO3396">
        <v>-2.87</v>
      </c>
      <c r="BP3396">
        <v>-0.53</v>
      </c>
      <c r="BQ3396">
        <v>0.71</v>
      </c>
      <c r="BR3396">
        <v>-1.08</v>
      </c>
      <c r="BS3396">
        <v>-0.41</v>
      </c>
      <c r="BT3396">
        <v>-0.03</v>
      </c>
      <c r="BU3396">
        <v>-1.07</v>
      </c>
      <c r="BV3396">
        <v>-2.64</v>
      </c>
      <c r="BW3396">
        <v>-1.61</v>
      </c>
      <c r="BX3396">
        <v>-0.42</v>
      </c>
      <c r="BY3396">
        <v>-1.59</v>
      </c>
      <c r="BZ3396">
        <v>-3.77</v>
      </c>
      <c r="CA3396">
        <v>-1.88</v>
      </c>
      <c r="CB3396">
        <v>-1.67</v>
      </c>
      <c r="CC3396">
        <v>-1.41</v>
      </c>
      <c r="CD3396">
        <v>2.93</v>
      </c>
      <c r="CE3396">
        <v>-2.81</v>
      </c>
      <c r="CF3396">
        <v>-2.1</v>
      </c>
      <c r="CG3396">
        <v>0</v>
      </c>
      <c r="CH3396">
        <v>-0.32</v>
      </c>
      <c r="CI3396">
        <v>0</v>
      </c>
      <c r="CJ3396">
        <v>-5.3</v>
      </c>
      <c r="CK3396">
        <v>37</v>
      </c>
      <c r="CL3396">
        <v>-0.18</v>
      </c>
      <c r="CM3396">
        <v>37</v>
      </c>
      <c r="CN3396">
        <v>-0.01</v>
      </c>
      <c r="CO3396">
        <v>37</v>
      </c>
      <c r="CP3396">
        <v>-1.1000000000000001</v>
      </c>
      <c r="CQ3396">
        <v>37</v>
      </c>
      <c r="CR3396">
        <v>0</v>
      </c>
      <c r="CS3396">
        <v>0</v>
      </c>
      <c r="CT3396">
        <v>0</v>
      </c>
      <c r="CU3396">
        <v>36</v>
      </c>
      <c r="CV3396">
        <v>0</v>
      </c>
      <c r="CW3396">
        <v>32</v>
      </c>
      <c r="CX3396" t="s">
        <v>1543</v>
      </c>
    </row>
    <row r="3397" spans="1:102" x14ac:dyDescent="0.3">
      <c r="A3397" t="str">
        <f>HYPERLINK("https://webapp.icbf.com/v2/app/bull-search/view/77856466","KFF")</f>
        <v>KFF</v>
      </c>
      <c r="B3397" t="s">
        <v>11031</v>
      </c>
      <c r="C3397" t="s">
        <v>11032</v>
      </c>
      <c r="D3397" s="1">
        <v>32881</v>
      </c>
      <c r="E3397" t="s">
        <v>92</v>
      </c>
      <c r="F3397">
        <v>88</v>
      </c>
      <c r="G3397" t="s">
        <v>93</v>
      </c>
      <c r="H3397">
        <v>-33.56</v>
      </c>
      <c r="I3397">
        <v>51</v>
      </c>
      <c r="J3397">
        <v>-21.2</v>
      </c>
      <c r="K3397">
        <v>60</v>
      </c>
      <c r="L3397">
        <v>9.1199999999999992</v>
      </c>
      <c r="M3397">
        <v>49</v>
      </c>
      <c r="N3397">
        <v>-2.71</v>
      </c>
      <c r="O3397">
        <v>34</v>
      </c>
      <c r="P3397">
        <v>-10.28</v>
      </c>
      <c r="Q3397">
        <v>50</v>
      </c>
      <c r="R3397">
        <v>-15.9</v>
      </c>
      <c r="S3397">
        <v>53</v>
      </c>
      <c r="T3397">
        <v>13.38</v>
      </c>
      <c r="U3397">
        <v>54</v>
      </c>
      <c r="V3397">
        <v>-5.97</v>
      </c>
      <c r="W3397">
        <v>19</v>
      </c>
      <c r="X3397" t="s">
        <v>94</v>
      </c>
      <c r="Y3397" t="s">
        <v>95</v>
      </c>
      <c r="Z3397" t="s">
        <v>96</v>
      </c>
      <c r="AA3397" t="s">
        <v>163</v>
      </c>
      <c r="AB3397" t="s">
        <v>4346</v>
      </c>
      <c r="AC3397">
        <v>11</v>
      </c>
      <c r="AD3397">
        <v>11</v>
      </c>
      <c r="AE3397">
        <v>60</v>
      </c>
      <c r="AF3397">
        <v>148.30000000000001</v>
      </c>
      <c r="AG3397">
        <v>3.49</v>
      </c>
      <c r="AH3397">
        <v>-2.57</v>
      </c>
      <c r="AI3397">
        <v>-0.04</v>
      </c>
      <c r="AJ3397">
        <v>-0.12</v>
      </c>
      <c r="AK3397">
        <v>49</v>
      </c>
      <c r="AL3397">
        <v>33</v>
      </c>
      <c r="AM3397">
        <v>23</v>
      </c>
      <c r="AN3397">
        <v>0.46</v>
      </c>
      <c r="AO3397">
        <v>1.2</v>
      </c>
      <c r="AP3397">
        <v>2</v>
      </c>
      <c r="AQ3397">
        <v>0</v>
      </c>
      <c r="AR3397">
        <v>7.32</v>
      </c>
      <c r="AS3397">
        <v>22</v>
      </c>
      <c r="AT3397">
        <v>3.15</v>
      </c>
      <c r="AU3397">
        <v>36</v>
      </c>
      <c r="AV3397">
        <v>0</v>
      </c>
      <c r="AW3397">
        <v>37</v>
      </c>
      <c r="AX3397">
        <v>0.33</v>
      </c>
      <c r="AY3397">
        <v>41</v>
      </c>
      <c r="AZ3397">
        <v>6.01</v>
      </c>
      <c r="BA3397">
        <v>22</v>
      </c>
      <c r="BB3397">
        <v>5.6</v>
      </c>
      <c r="BC3397">
        <v>28</v>
      </c>
      <c r="BD3397">
        <v>7.0000000000000007E-2</v>
      </c>
      <c r="BE3397">
        <v>0.11</v>
      </c>
      <c r="BF3397">
        <v>0.04</v>
      </c>
      <c r="BG3397">
        <v>74</v>
      </c>
      <c r="BH3397">
        <v>-7.0000000000000007E-2</v>
      </c>
      <c r="BI3397">
        <v>11.17</v>
      </c>
      <c r="BJ3397">
        <v>6</v>
      </c>
      <c r="BK3397">
        <v>6</v>
      </c>
      <c r="BL3397">
        <v>-0.2</v>
      </c>
      <c r="BM3397">
        <v>0.56000000000000005</v>
      </c>
      <c r="BN3397">
        <v>0.38</v>
      </c>
      <c r="BO3397">
        <v>-0.25</v>
      </c>
      <c r="BP3397">
        <v>0.31</v>
      </c>
      <c r="BQ3397">
        <v>0.11</v>
      </c>
      <c r="BR3397">
        <v>0.92</v>
      </c>
      <c r="BS3397">
        <v>-0.65</v>
      </c>
      <c r="BT3397">
        <v>-1.62</v>
      </c>
      <c r="BU3397">
        <v>-0.52</v>
      </c>
      <c r="BV3397">
        <v>-0.76</v>
      </c>
      <c r="BW3397">
        <v>-0.94</v>
      </c>
      <c r="BX3397">
        <v>-1.3</v>
      </c>
      <c r="BY3397">
        <v>-1.68</v>
      </c>
      <c r="BZ3397">
        <v>1.65</v>
      </c>
      <c r="CA3397">
        <v>-1</v>
      </c>
      <c r="CB3397">
        <v>-0.81</v>
      </c>
      <c r="CC3397">
        <v>-0.84</v>
      </c>
      <c r="CD3397">
        <v>0.43</v>
      </c>
      <c r="CE3397">
        <v>-0.31</v>
      </c>
      <c r="CF3397">
        <v>0.28000000000000003</v>
      </c>
      <c r="CG3397">
        <v>0</v>
      </c>
      <c r="CH3397">
        <v>-2</v>
      </c>
      <c r="CI3397">
        <v>0</v>
      </c>
      <c r="CJ3397">
        <v>0</v>
      </c>
      <c r="CK3397">
        <v>52</v>
      </c>
      <c r="CL3397">
        <v>-0.7</v>
      </c>
      <c r="CM3397">
        <v>47</v>
      </c>
      <c r="CN3397">
        <v>0.22</v>
      </c>
      <c r="CO3397">
        <v>44</v>
      </c>
      <c r="CP3397">
        <v>-3.2</v>
      </c>
      <c r="CQ3397">
        <v>53</v>
      </c>
      <c r="CR3397">
        <v>0</v>
      </c>
      <c r="CS3397">
        <v>0</v>
      </c>
      <c r="CT3397">
        <v>-4.3</v>
      </c>
      <c r="CU3397">
        <v>54</v>
      </c>
      <c r="CV3397">
        <v>0.31</v>
      </c>
      <c r="CW3397">
        <v>13</v>
      </c>
      <c r="CX3397" t="s">
        <v>4347</v>
      </c>
    </row>
    <row r="3398" spans="1:102" x14ac:dyDescent="0.3">
      <c r="A3398" t="str">
        <f>HYPERLINK("https://webapp.icbf.com/v2/app/bull-search/view/77853751","SDT")</f>
        <v>SDT</v>
      </c>
      <c r="B3398" t="s">
        <v>4912</v>
      </c>
      <c r="C3398" t="s">
        <v>4913</v>
      </c>
      <c r="D3398" s="1">
        <v>33401</v>
      </c>
      <c r="E3398" t="s">
        <v>92</v>
      </c>
      <c r="F3398">
        <v>100</v>
      </c>
      <c r="G3398" t="s">
        <v>93</v>
      </c>
      <c r="H3398">
        <v>-33.770000000000003</v>
      </c>
      <c r="I3398">
        <v>93</v>
      </c>
      <c r="J3398">
        <v>-11.54</v>
      </c>
      <c r="K3398">
        <v>98</v>
      </c>
      <c r="L3398">
        <v>-21.33</v>
      </c>
      <c r="M3398">
        <v>92</v>
      </c>
      <c r="N3398">
        <v>12.77</v>
      </c>
      <c r="O3398">
        <v>87</v>
      </c>
      <c r="P3398">
        <v>-8.84</v>
      </c>
      <c r="Q3398">
        <v>93</v>
      </c>
      <c r="R3398">
        <v>-13.18</v>
      </c>
      <c r="S3398">
        <v>85</v>
      </c>
      <c r="T3398">
        <v>16.64</v>
      </c>
      <c r="U3398">
        <v>92</v>
      </c>
      <c r="V3398">
        <v>-8.2899999999999991</v>
      </c>
      <c r="W3398">
        <v>75</v>
      </c>
      <c r="X3398" t="s">
        <v>558</v>
      </c>
      <c r="Y3398" t="s">
        <v>95</v>
      </c>
      <c r="Z3398" t="s">
        <v>96</v>
      </c>
      <c r="AA3398" t="s">
        <v>161</v>
      </c>
      <c r="AB3398" t="s">
        <v>4914</v>
      </c>
      <c r="AC3398">
        <v>278</v>
      </c>
      <c r="AD3398">
        <v>123</v>
      </c>
      <c r="AE3398">
        <v>98</v>
      </c>
      <c r="AF3398">
        <v>80.59</v>
      </c>
      <c r="AG3398">
        <v>-1.61</v>
      </c>
      <c r="AH3398">
        <v>-0.16</v>
      </c>
      <c r="AI3398">
        <v>-0.08</v>
      </c>
      <c r="AJ3398">
        <v>-0.05</v>
      </c>
      <c r="AK3398">
        <v>92</v>
      </c>
      <c r="AL3398">
        <v>274</v>
      </c>
      <c r="AM3398">
        <v>115</v>
      </c>
      <c r="AN3398">
        <v>2.0099999999999998</v>
      </c>
      <c r="AO3398">
        <v>0.32</v>
      </c>
      <c r="AP3398">
        <v>16</v>
      </c>
      <c r="AQ3398">
        <v>0</v>
      </c>
      <c r="AR3398">
        <v>6.13</v>
      </c>
      <c r="AS3398">
        <v>75</v>
      </c>
      <c r="AT3398">
        <v>2.88</v>
      </c>
      <c r="AU3398">
        <v>90</v>
      </c>
      <c r="AV3398">
        <v>-0.78</v>
      </c>
      <c r="AW3398">
        <v>89</v>
      </c>
      <c r="AX3398">
        <v>-1</v>
      </c>
      <c r="AY3398">
        <v>90</v>
      </c>
      <c r="AZ3398">
        <v>6.78</v>
      </c>
      <c r="BA3398">
        <v>71</v>
      </c>
      <c r="BB3398">
        <v>5.24</v>
      </c>
      <c r="BC3398">
        <v>83</v>
      </c>
      <c r="BD3398">
        <v>0.06</v>
      </c>
      <c r="BE3398">
        <v>7.0000000000000007E-2</v>
      </c>
      <c r="BF3398">
        <v>7.0000000000000007E-2</v>
      </c>
      <c r="BG3398">
        <v>95</v>
      </c>
      <c r="BH3398">
        <v>-0.05</v>
      </c>
      <c r="BI3398">
        <v>20.97</v>
      </c>
      <c r="BJ3398">
        <v>20</v>
      </c>
      <c r="BK3398">
        <v>17</v>
      </c>
      <c r="BL3398">
        <v>1.03</v>
      </c>
      <c r="BM3398">
        <v>-2.2400000000000002</v>
      </c>
      <c r="BN3398">
        <v>-1.25</v>
      </c>
      <c r="BO3398">
        <v>0.54</v>
      </c>
      <c r="BP3398">
        <v>0.72</v>
      </c>
      <c r="BQ3398">
        <v>0.25</v>
      </c>
      <c r="BR3398">
        <v>-0.74</v>
      </c>
      <c r="BS3398">
        <v>-0.02</v>
      </c>
      <c r="BT3398">
        <v>-0.7</v>
      </c>
      <c r="BU3398">
        <v>0.21</v>
      </c>
      <c r="BV3398">
        <v>1.41</v>
      </c>
      <c r="BW3398">
        <v>1.96</v>
      </c>
      <c r="BX3398">
        <v>2.27</v>
      </c>
      <c r="BY3398">
        <v>-0.04</v>
      </c>
      <c r="BZ3398">
        <v>1.84</v>
      </c>
      <c r="CA3398">
        <v>0.7</v>
      </c>
      <c r="CB3398">
        <v>0.54</v>
      </c>
      <c r="CC3398">
        <v>0.65</v>
      </c>
      <c r="CD3398">
        <v>-1</v>
      </c>
      <c r="CE3398">
        <v>0.98</v>
      </c>
      <c r="CF3398">
        <v>-0.16</v>
      </c>
      <c r="CG3398">
        <v>0</v>
      </c>
      <c r="CH3398">
        <v>0.01</v>
      </c>
      <c r="CI3398">
        <v>0</v>
      </c>
      <c r="CJ3398">
        <v>-3.5</v>
      </c>
      <c r="CK3398">
        <v>93</v>
      </c>
      <c r="CL3398">
        <v>-0.83</v>
      </c>
      <c r="CM3398">
        <v>92</v>
      </c>
      <c r="CN3398">
        <v>-0.49</v>
      </c>
      <c r="CO3398">
        <v>91</v>
      </c>
      <c r="CP3398">
        <v>-7.9</v>
      </c>
      <c r="CQ3398">
        <v>95</v>
      </c>
      <c r="CR3398">
        <v>0</v>
      </c>
      <c r="CS3398">
        <v>0</v>
      </c>
      <c r="CT3398">
        <v>-8.6999999999999993</v>
      </c>
      <c r="CU3398">
        <v>92</v>
      </c>
      <c r="CV3398">
        <v>0.12</v>
      </c>
      <c r="CW3398">
        <v>44</v>
      </c>
      <c r="CX3398" t="s">
        <v>707</v>
      </c>
    </row>
    <row r="3399" spans="1:102" x14ac:dyDescent="0.3">
      <c r="A3399" t="str">
        <f>HYPERLINK("https://webapp.icbf.com/v2/app/bull-search/view/77856226","KKT")</f>
        <v>KKT</v>
      </c>
      <c r="B3399" t="s">
        <v>6573</v>
      </c>
      <c r="C3399" t="s">
        <v>6574</v>
      </c>
      <c r="D3399" s="1">
        <v>35072</v>
      </c>
      <c r="E3399" t="s">
        <v>92</v>
      </c>
      <c r="F3399">
        <v>94</v>
      </c>
      <c r="G3399" t="s">
        <v>93</v>
      </c>
      <c r="H3399">
        <v>-33.79</v>
      </c>
      <c r="I3399">
        <v>79</v>
      </c>
      <c r="J3399">
        <v>75.010000000000005</v>
      </c>
      <c r="K3399">
        <v>94</v>
      </c>
      <c r="L3399">
        <v>-96.49</v>
      </c>
      <c r="M3399">
        <v>74</v>
      </c>
      <c r="N3399">
        <v>-10.6</v>
      </c>
      <c r="O3399">
        <v>65</v>
      </c>
      <c r="P3399">
        <v>-6.31</v>
      </c>
      <c r="Q3399">
        <v>75</v>
      </c>
      <c r="R3399">
        <v>0.19</v>
      </c>
      <c r="S3399">
        <v>73</v>
      </c>
      <c r="T3399">
        <v>12.79</v>
      </c>
      <c r="U3399">
        <v>72</v>
      </c>
      <c r="V3399">
        <v>-8.3800000000000008</v>
      </c>
      <c r="W3399">
        <v>61</v>
      </c>
      <c r="X3399" t="s">
        <v>94</v>
      </c>
      <c r="Y3399" t="s">
        <v>95</v>
      </c>
      <c r="Z3399" t="s">
        <v>96</v>
      </c>
      <c r="AA3399" t="s">
        <v>529</v>
      </c>
      <c r="AB3399" t="s">
        <v>6575</v>
      </c>
      <c r="AC3399">
        <v>45</v>
      </c>
      <c r="AD3399">
        <v>40</v>
      </c>
      <c r="AE3399">
        <v>94</v>
      </c>
      <c r="AF3399">
        <v>200.05</v>
      </c>
      <c r="AG3399">
        <v>14.19</v>
      </c>
      <c r="AH3399">
        <v>10.8</v>
      </c>
      <c r="AI3399">
        <v>0.11</v>
      </c>
      <c r="AJ3399">
        <v>7.0000000000000007E-2</v>
      </c>
      <c r="AK3399">
        <v>74</v>
      </c>
      <c r="AL3399">
        <v>42</v>
      </c>
      <c r="AM3399">
        <v>36</v>
      </c>
      <c r="AN3399">
        <v>4.8899999999999997</v>
      </c>
      <c r="AO3399">
        <v>-2.81</v>
      </c>
      <c r="AP3399">
        <v>6</v>
      </c>
      <c r="AQ3399">
        <v>2</v>
      </c>
      <c r="AR3399">
        <v>9.94</v>
      </c>
      <c r="AS3399">
        <v>52</v>
      </c>
      <c r="AT3399">
        <v>4.46</v>
      </c>
      <c r="AU3399">
        <v>69</v>
      </c>
      <c r="AV3399">
        <v>-1.26</v>
      </c>
      <c r="AW3399">
        <v>71</v>
      </c>
      <c r="AX3399">
        <v>-0.26</v>
      </c>
      <c r="AY3399">
        <v>66</v>
      </c>
      <c r="AZ3399">
        <v>6.33</v>
      </c>
      <c r="BA3399">
        <v>44</v>
      </c>
      <c r="BB3399">
        <v>5.18</v>
      </c>
      <c r="BC3399">
        <v>54</v>
      </c>
      <c r="BD3399">
        <v>-0.02</v>
      </c>
      <c r="BE3399">
        <v>0.01</v>
      </c>
      <c r="BF3399">
        <v>0.01</v>
      </c>
      <c r="BG3399">
        <v>84</v>
      </c>
      <c r="BH3399">
        <v>-0.21</v>
      </c>
      <c r="BI3399">
        <v>2.73</v>
      </c>
      <c r="BJ3399">
        <v>1</v>
      </c>
      <c r="BK3399">
        <v>1</v>
      </c>
      <c r="BL3399">
        <v>-0.76</v>
      </c>
      <c r="BM3399">
        <v>0.16</v>
      </c>
      <c r="BN3399">
        <v>0.11</v>
      </c>
      <c r="BO3399">
        <v>-0.11</v>
      </c>
      <c r="BP3399">
        <v>1.01</v>
      </c>
      <c r="BQ3399">
        <v>-0.56999999999999995</v>
      </c>
      <c r="BR3399">
        <v>1.2</v>
      </c>
      <c r="BS3399">
        <v>-2.67</v>
      </c>
      <c r="BT3399">
        <v>-2.11</v>
      </c>
      <c r="BU3399">
        <v>-1.02</v>
      </c>
      <c r="BV3399">
        <v>0.41</v>
      </c>
      <c r="BW3399">
        <v>-1.47</v>
      </c>
      <c r="BX3399">
        <v>-0.95</v>
      </c>
      <c r="BY3399">
        <v>-0.73</v>
      </c>
      <c r="BZ3399">
        <v>-0.41</v>
      </c>
      <c r="CA3399">
        <v>-1.63</v>
      </c>
      <c r="CB3399">
        <v>-0.98</v>
      </c>
      <c r="CC3399">
        <v>-2.15</v>
      </c>
      <c r="CD3399">
        <v>7.0000000000000007E-2</v>
      </c>
      <c r="CE3399">
        <v>0.05</v>
      </c>
      <c r="CF3399">
        <v>-0.87</v>
      </c>
      <c r="CG3399">
        <v>0</v>
      </c>
      <c r="CH3399">
        <v>-1.45</v>
      </c>
      <c r="CI3399">
        <v>0</v>
      </c>
      <c r="CJ3399">
        <v>-0.4</v>
      </c>
      <c r="CK3399">
        <v>76</v>
      </c>
      <c r="CL3399">
        <v>-0.55000000000000004</v>
      </c>
      <c r="CM3399">
        <v>73</v>
      </c>
      <c r="CN3399">
        <v>-0.14000000000000001</v>
      </c>
      <c r="CO3399">
        <v>69</v>
      </c>
      <c r="CP3399">
        <v>-11.5</v>
      </c>
      <c r="CQ3399">
        <v>80</v>
      </c>
      <c r="CR3399">
        <v>0</v>
      </c>
      <c r="CS3399">
        <v>0</v>
      </c>
      <c r="CT3399">
        <v>-3.5</v>
      </c>
      <c r="CU3399">
        <v>72</v>
      </c>
      <c r="CV3399">
        <v>0.14000000000000001</v>
      </c>
      <c r="CW3399">
        <v>41</v>
      </c>
      <c r="CX3399" t="s">
        <v>4289</v>
      </c>
    </row>
    <row r="3400" spans="1:102" x14ac:dyDescent="0.3">
      <c r="A3400" t="str">
        <f>HYPERLINK("https://webapp.icbf.com/v2/app/bull-search/view/403259949","LXL")</f>
        <v>LXL</v>
      </c>
      <c r="B3400" t="s">
        <v>144</v>
      </c>
      <c r="C3400" t="s">
        <v>7451</v>
      </c>
      <c r="D3400" s="1">
        <v>34702</v>
      </c>
      <c r="E3400" t="s">
        <v>895</v>
      </c>
      <c r="F3400">
        <v>0</v>
      </c>
      <c r="G3400" t="s">
        <v>93</v>
      </c>
      <c r="H3400">
        <v>-33.89</v>
      </c>
      <c r="I3400">
        <v>60</v>
      </c>
      <c r="J3400">
        <v>6.95</v>
      </c>
      <c r="K3400">
        <v>85</v>
      </c>
      <c r="L3400">
        <v>-56.98</v>
      </c>
      <c r="M3400">
        <v>41</v>
      </c>
      <c r="N3400">
        <v>-2.88</v>
      </c>
      <c r="O3400">
        <v>46</v>
      </c>
      <c r="P3400">
        <v>-19.66</v>
      </c>
      <c r="Q3400">
        <v>78</v>
      </c>
      <c r="R3400">
        <v>5.71</v>
      </c>
      <c r="S3400">
        <v>46</v>
      </c>
      <c r="T3400">
        <v>43.57</v>
      </c>
      <c r="U3400">
        <v>57</v>
      </c>
      <c r="V3400">
        <v>-10.6</v>
      </c>
      <c r="W3400">
        <v>33</v>
      </c>
      <c r="X3400" t="s">
        <v>94</v>
      </c>
      <c r="Y3400" t="s">
        <v>95</v>
      </c>
      <c r="Z3400">
        <v>0</v>
      </c>
      <c r="AA3400" t="s">
        <v>7452</v>
      </c>
      <c r="AB3400" t="s">
        <v>7453</v>
      </c>
      <c r="AC3400">
        <v>38</v>
      </c>
      <c r="AD3400">
        <v>13</v>
      </c>
      <c r="AE3400">
        <v>85</v>
      </c>
      <c r="AF3400">
        <v>-0.01</v>
      </c>
      <c r="AG3400">
        <v>-0.22</v>
      </c>
      <c r="AH3400">
        <v>1.26</v>
      </c>
      <c r="AI3400">
        <v>0</v>
      </c>
      <c r="AJ3400">
        <v>0.02</v>
      </c>
      <c r="AK3400">
        <v>41</v>
      </c>
      <c r="AL3400">
        <v>35</v>
      </c>
      <c r="AM3400">
        <v>13</v>
      </c>
      <c r="AN3400">
        <v>3.42</v>
      </c>
      <c r="AO3400">
        <v>-1.1200000000000001</v>
      </c>
      <c r="AP3400">
        <v>12</v>
      </c>
      <c r="AQ3400">
        <v>0</v>
      </c>
      <c r="AR3400">
        <v>7.77</v>
      </c>
      <c r="AS3400">
        <v>19</v>
      </c>
      <c r="AT3400">
        <v>3.69</v>
      </c>
      <c r="AU3400">
        <v>36</v>
      </c>
      <c r="AV3400">
        <v>0.47</v>
      </c>
      <c r="AW3400">
        <v>65</v>
      </c>
      <c r="AX3400">
        <v>0.02</v>
      </c>
      <c r="AY3400">
        <v>53</v>
      </c>
      <c r="AZ3400">
        <v>4.71</v>
      </c>
      <c r="BA3400">
        <v>17</v>
      </c>
      <c r="BB3400">
        <v>4.07</v>
      </c>
      <c r="BC3400">
        <v>26</v>
      </c>
      <c r="BD3400">
        <v>0.01</v>
      </c>
      <c r="BE3400">
        <v>-0.02</v>
      </c>
      <c r="BF3400">
        <v>-0.11</v>
      </c>
      <c r="BG3400">
        <v>57</v>
      </c>
      <c r="BH3400">
        <v>-0.25</v>
      </c>
      <c r="BI3400">
        <v>5.26</v>
      </c>
      <c r="BJ3400">
        <v>0</v>
      </c>
      <c r="BK3400">
        <v>0</v>
      </c>
      <c r="BL3400">
        <v>0</v>
      </c>
      <c r="BM3400">
        <v>0</v>
      </c>
      <c r="BN3400">
        <v>0</v>
      </c>
      <c r="BO3400">
        <v>0</v>
      </c>
      <c r="BP3400">
        <v>0</v>
      </c>
      <c r="BQ3400">
        <v>0</v>
      </c>
      <c r="BR3400">
        <v>0</v>
      </c>
      <c r="BS3400">
        <v>0</v>
      </c>
      <c r="BT3400">
        <v>0</v>
      </c>
      <c r="BU3400">
        <v>0</v>
      </c>
      <c r="BV3400">
        <v>0</v>
      </c>
      <c r="BW3400">
        <v>0</v>
      </c>
      <c r="BX3400">
        <v>0</v>
      </c>
      <c r="BY3400">
        <v>0</v>
      </c>
      <c r="BZ3400">
        <v>0</v>
      </c>
      <c r="CA3400">
        <v>0</v>
      </c>
      <c r="CB3400">
        <v>0</v>
      </c>
      <c r="CC3400">
        <v>0</v>
      </c>
      <c r="CD3400">
        <v>0</v>
      </c>
      <c r="CE3400">
        <v>0</v>
      </c>
      <c r="CF3400">
        <v>0</v>
      </c>
      <c r="CG3400">
        <v>0</v>
      </c>
      <c r="CH3400">
        <v>0</v>
      </c>
      <c r="CI3400">
        <v>0</v>
      </c>
      <c r="CJ3400">
        <v>-13.6</v>
      </c>
      <c r="CK3400">
        <v>80</v>
      </c>
      <c r="CL3400">
        <v>-0.24</v>
      </c>
      <c r="CM3400">
        <v>77</v>
      </c>
      <c r="CN3400">
        <v>-0.44</v>
      </c>
      <c r="CO3400">
        <v>74</v>
      </c>
      <c r="CP3400">
        <v>-23.8</v>
      </c>
      <c r="CQ3400">
        <v>71</v>
      </c>
      <c r="CR3400">
        <v>0</v>
      </c>
      <c r="CS3400">
        <v>0</v>
      </c>
      <c r="CT3400">
        <v>-45.1</v>
      </c>
      <c r="CU3400">
        <v>57</v>
      </c>
      <c r="CV3400">
        <v>-0.25</v>
      </c>
      <c r="CW3400">
        <v>21</v>
      </c>
      <c r="CX3400" t="s">
        <v>7454</v>
      </c>
    </row>
    <row r="3401" spans="1:102" x14ac:dyDescent="0.3">
      <c r="A3401" t="str">
        <f>HYPERLINK("https://webapp.icbf.com/v2/app/bull-search/view/69092692","SOB")</f>
        <v>SOB</v>
      </c>
      <c r="B3401" t="s">
        <v>3233</v>
      </c>
      <c r="C3401" t="s">
        <v>3234</v>
      </c>
      <c r="D3401" s="1">
        <v>34993</v>
      </c>
      <c r="E3401" t="s">
        <v>92</v>
      </c>
      <c r="F3401">
        <v>100</v>
      </c>
      <c r="G3401" t="s">
        <v>116</v>
      </c>
      <c r="H3401">
        <v>-33.950000000000003</v>
      </c>
      <c r="I3401">
        <v>45</v>
      </c>
      <c r="J3401">
        <v>-15.45</v>
      </c>
      <c r="K3401">
        <v>63</v>
      </c>
      <c r="L3401">
        <v>-60.89</v>
      </c>
      <c r="M3401">
        <v>30</v>
      </c>
      <c r="N3401">
        <v>36.72</v>
      </c>
      <c r="O3401">
        <v>45</v>
      </c>
      <c r="P3401">
        <v>3.69</v>
      </c>
      <c r="Q3401">
        <v>41</v>
      </c>
      <c r="R3401">
        <v>-8.23</v>
      </c>
      <c r="S3401">
        <v>37</v>
      </c>
      <c r="T3401">
        <v>10.199999999999999</v>
      </c>
      <c r="U3401">
        <v>47</v>
      </c>
      <c r="V3401">
        <v>0.01</v>
      </c>
      <c r="W3401">
        <v>31</v>
      </c>
      <c r="X3401" t="s">
        <v>94</v>
      </c>
      <c r="Y3401" t="s">
        <v>1499</v>
      </c>
      <c r="Z3401" t="s">
        <v>96</v>
      </c>
      <c r="AA3401" t="s">
        <v>3235</v>
      </c>
      <c r="AB3401" t="s">
        <v>1460</v>
      </c>
      <c r="AC3401">
        <v>9</v>
      </c>
      <c r="AD3401">
        <v>4</v>
      </c>
      <c r="AE3401">
        <v>63</v>
      </c>
      <c r="AF3401">
        <v>-116.63</v>
      </c>
      <c r="AG3401">
        <v>-3.09</v>
      </c>
      <c r="AH3401">
        <v>-3.32</v>
      </c>
      <c r="AI3401">
        <v>0.02</v>
      </c>
      <c r="AJ3401">
        <v>0.01</v>
      </c>
      <c r="AK3401">
        <v>30</v>
      </c>
      <c r="AL3401">
        <v>7</v>
      </c>
      <c r="AM3401">
        <v>4</v>
      </c>
      <c r="AN3401">
        <v>3.76</v>
      </c>
      <c r="AO3401">
        <v>-1.0900000000000001</v>
      </c>
      <c r="AP3401">
        <v>60</v>
      </c>
      <c r="AQ3401">
        <v>0</v>
      </c>
      <c r="AR3401">
        <v>3.88</v>
      </c>
      <c r="AS3401">
        <v>52</v>
      </c>
      <c r="AT3401">
        <v>2</v>
      </c>
      <c r="AU3401">
        <v>57</v>
      </c>
      <c r="AV3401">
        <v>-2.33</v>
      </c>
      <c r="AW3401">
        <v>45</v>
      </c>
      <c r="AX3401">
        <v>-0.84</v>
      </c>
      <c r="AY3401">
        <v>53</v>
      </c>
      <c r="AZ3401">
        <v>6.58</v>
      </c>
      <c r="BA3401">
        <v>20</v>
      </c>
      <c r="BB3401">
        <v>5.04</v>
      </c>
      <c r="BC3401">
        <v>22</v>
      </c>
      <c r="BD3401">
        <v>0.02</v>
      </c>
      <c r="BE3401">
        <v>0.04</v>
      </c>
      <c r="BF3401">
        <v>0.08</v>
      </c>
      <c r="BG3401">
        <v>42</v>
      </c>
      <c r="BH3401">
        <v>0.03</v>
      </c>
      <c r="BI3401">
        <v>3.44</v>
      </c>
      <c r="BJ3401">
        <v>0</v>
      </c>
      <c r="BK3401">
        <v>0</v>
      </c>
      <c r="BL3401">
        <v>-0.54</v>
      </c>
      <c r="BM3401">
        <v>-0.21</v>
      </c>
      <c r="BN3401">
        <v>-0.05</v>
      </c>
      <c r="BO3401">
        <v>-0.37</v>
      </c>
      <c r="BP3401">
        <v>-0.28000000000000003</v>
      </c>
      <c r="BQ3401">
        <v>-1.94</v>
      </c>
      <c r="BR3401">
        <v>-0.98</v>
      </c>
      <c r="BS3401">
        <v>-0.71</v>
      </c>
      <c r="BT3401">
        <v>0.13</v>
      </c>
      <c r="BU3401">
        <v>-0.53</v>
      </c>
      <c r="BV3401">
        <v>-0.14000000000000001</v>
      </c>
      <c r="BW3401">
        <v>-0.37</v>
      </c>
      <c r="BX3401">
        <v>-1.08</v>
      </c>
      <c r="BY3401">
        <v>-0.16</v>
      </c>
      <c r="BZ3401">
        <v>0.51</v>
      </c>
      <c r="CA3401">
        <v>-0.38</v>
      </c>
      <c r="CB3401">
        <v>-0.3</v>
      </c>
      <c r="CC3401">
        <v>-0.54</v>
      </c>
      <c r="CD3401">
        <v>-0.09</v>
      </c>
      <c r="CE3401">
        <v>0.01</v>
      </c>
      <c r="CF3401">
        <v>-0.96</v>
      </c>
      <c r="CG3401">
        <v>0</v>
      </c>
      <c r="CH3401">
        <v>0</v>
      </c>
      <c r="CI3401">
        <v>0</v>
      </c>
      <c r="CJ3401">
        <v>3.7</v>
      </c>
      <c r="CK3401">
        <v>42</v>
      </c>
      <c r="CL3401">
        <v>-0.51</v>
      </c>
      <c r="CM3401">
        <v>38</v>
      </c>
      <c r="CN3401">
        <v>-0.33</v>
      </c>
      <c r="CO3401">
        <v>34</v>
      </c>
      <c r="CP3401">
        <v>-0.1</v>
      </c>
      <c r="CQ3401">
        <v>49</v>
      </c>
      <c r="CR3401">
        <v>0</v>
      </c>
      <c r="CS3401">
        <v>0</v>
      </c>
      <c r="CT3401">
        <v>0</v>
      </c>
      <c r="CU3401">
        <v>47</v>
      </c>
      <c r="CV3401">
        <v>0.22</v>
      </c>
      <c r="CW3401">
        <v>11</v>
      </c>
      <c r="CX3401" t="s">
        <v>166</v>
      </c>
    </row>
    <row r="3402" spans="1:102" x14ac:dyDescent="0.3">
      <c r="A3402" t="str">
        <f>HYPERLINK("https://webapp.icbf.com/v2/app/bull-search/view/77859511","BBY")</f>
        <v>BBY</v>
      </c>
      <c r="B3402" t="s">
        <v>8052</v>
      </c>
      <c r="C3402" t="s">
        <v>8053</v>
      </c>
      <c r="D3402" s="1">
        <v>32935</v>
      </c>
      <c r="E3402" t="s">
        <v>92</v>
      </c>
      <c r="F3402">
        <v>100</v>
      </c>
      <c r="G3402" t="s">
        <v>93</v>
      </c>
      <c r="H3402">
        <v>-33.979999999999997</v>
      </c>
      <c r="I3402">
        <v>92</v>
      </c>
      <c r="J3402">
        <v>-45.73</v>
      </c>
      <c r="K3402">
        <v>99</v>
      </c>
      <c r="L3402">
        <v>9.51</v>
      </c>
      <c r="M3402">
        <v>90</v>
      </c>
      <c r="N3402">
        <v>5.31</v>
      </c>
      <c r="O3402">
        <v>88</v>
      </c>
      <c r="P3402">
        <v>-14.6</v>
      </c>
      <c r="Q3402">
        <v>94</v>
      </c>
      <c r="R3402">
        <v>-9.76</v>
      </c>
      <c r="S3402">
        <v>86</v>
      </c>
      <c r="T3402">
        <v>22.19</v>
      </c>
      <c r="U3402">
        <v>91</v>
      </c>
      <c r="V3402">
        <v>-0.9</v>
      </c>
      <c r="W3402">
        <v>74</v>
      </c>
      <c r="X3402" t="s">
        <v>94</v>
      </c>
      <c r="Y3402" t="s">
        <v>95</v>
      </c>
      <c r="Z3402" t="s">
        <v>96</v>
      </c>
      <c r="AA3402" t="s">
        <v>111</v>
      </c>
      <c r="AB3402" t="s">
        <v>8054</v>
      </c>
      <c r="AC3402">
        <v>464</v>
      </c>
      <c r="AD3402">
        <v>294</v>
      </c>
      <c r="AE3402">
        <v>99</v>
      </c>
      <c r="AF3402">
        <v>62.04</v>
      </c>
      <c r="AG3402">
        <v>-5.93</v>
      </c>
      <c r="AH3402">
        <v>-4.7300000000000004</v>
      </c>
      <c r="AI3402">
        <v>-0.14000000000000001</v>
      </c>
      <c r="AJ3402">
        <v>-0.12</v>
      </c>
      <c r="AK3402">
        <v>90</v>
      </c>
      <c r="AL3402">
        <v>735</v>
      </c>
      <c r="AM3402">
        <v>385</v>
      </c>
      <c r="AN3402">
        <v>0.36</v>
      </c>
      <c r="AO3402">
        <v>1.1299999999999999</v>
      </c>
      <c r="AP3402">
        <v>17</v>
      </c>
      <c r="AQ3402">
        <v>4</v>
      </c>
      <c r="AR3402">
        <v>6.24</v>
      </c>
      <c r="AS3402">
        <v>73</v>
      </c>
      <c r="AT3402">
        <v>3.27</v>
      </c>
      <c r="AU3402">
        <v>88</v>
      </c>
      <c r="AV3402">
        <v>-0.31</v>
      </c>
      <c r="AW3402">
        <v>91</v>
      </c>
      <c r="AX3402">
        <v>-0.23</v>
      </c>
      <c r="AY3402">
        <v>94</v>
      </c>
      <c r="AZ3402">
        <v>6.6</v>
      </c>
      <c r="BA3402">
        <v>70</v>
      </c>
      <c r="BB3402">
        <v>4.96</v>
      </c>
      <c r="BC3402">
        <v>84</v>
      </c>
      <c r="BD3402">
        <v>0.08</v>
      </c>
      <c r="BE3402">
        <v>0.09</v>
      </c>
      <c r="BF3402">
        <v>-0.08</v>
      </c>
      <c r="BG3402">
        <v>98</v>
      </c>
      <c r="BH3402">
        <v>0.08</v>
      </c>
      <c r="BI3402">
        <v>12.15</v>
      </c>
      <c r="BJ3402">
        <v>90</v>
      </c>
      <c r="BK3402">
        <v>68</v>
      </c>
      <c r="BL3402">
        <v>0.04</v>
      </c>
      <c r="BM3402">
        <v>-1.22</v>
      </c>
      <c r="BN3402">
        <v>-0.92</v>
      </c>
      <c r="BO3402">
        <v>-0.24</v>
      </c>
      <c r="BP3402">
        <v>-0.49</v>
      </c>
      <c r="BQ3402">
        <v>-0.81</v>
      </c>
      <c r="BR3402">
        <v>1.17</v>
      </c>
      <c r="BS3402">
        <v>-0.22</v>
      </c>
      <c r="BT3402">
        <v>-0.79</v>
      </c>
      <c r="BU3402">
        <v>0.28000000000000003</v>
      </c>
      <c r="BV3402">
        <v>-1.1299999999999999</v>
      </c>
      <c r="BW3402">
        <v>-0.11</v>
      </c>
      <c r="BX3402">
        <v>0.5</v>
      </c>
      <c r="BY3402">
        <v>0.52</v>
      </c>
      <c r="BZ3402">
        <v>0.56999999999999995</v>
      </c>
      <c r="CA3402">
        <v>-0.45</v>
      </c>
      <c r="CB3402">
        <v>-0.63</v>
      </c>
      <c r="CC3402">
        <v>0.11</v>
      </c>
      <c r="CD3402">
        <v>-0.46</v>
      </c>
      <c r="CE3402">
        <v>-0.15</v>
      </c>
      <c r="CF3402">
        <v>-0.99</v>
      </c>
      <c r="CG3402">
        <v>0</v>
      </c>
      <c r="CH3402">
        <v>0.42</v>
      </c>
      <c r="CI3402">
        <v>0</v>
      </c>
      <c r="CJ3402">
        <v>-6.2</v>
      </c>
      <c r="CK3402">
        <v>94</v>
      </c>
      <c r="CL3402">
        <v>-0.61</v>
      </c>
      <c r="CM3402">
        <v>93</v>
      </c>
      <c r="CN3402">
        <v>-0.16</v>
      </c>
      <c r="CO3402">
        <v>92</v>
      </c>
      <c r="CP3402">
        <v>-10.8</v>
      </c>
      <c r="CQ3402">
        <v>96</v>
      </c>
      <c r="CR3402">
        <v>0</v>
      </c>
      <c r="CS3402">
        <v>0</v>
      </c>
      <c r="CT3402">
        <v>-16.2</v>
      </c>
      <c r="CU3402">
        <v>91</v>
      </c>
      <c r="CV3402">
        <v>0.04</v>
      </c>
      <c r="CW3402">
        <v>45</v>
      </c>
      <c r="CX3402" t="s">
        <v>120</v>
      </c>
    </row>
    <row r="3403" spans="1:102" x14ac:dyDescent="0.3">
      <c r="A3403" t="str">
        <f>HYPERLINK("https://webapp.icbf.com/v2/app/bull-search/view/77857261","GTD")</f>
        <v>GTD</v>
      </c>
      <c r="B3403" t="s">
        <v>7771</v>
      </c>
      <c r="C3403" t="s">
        <v>7772</v>
      </c>
      <c r="D3403" s="1">
        <v>35645</v>
      </c>
      <c r="E3403" t="s">
        <v>92</v>
      </c>
      <c r="F3403">
        <v>100</v>
      </c>
      <c r="G3403" t="s">
        <v>93</v>
      </c>
      <c r="H3403">
        <v>-34.090000000000003</v>
      </c>
      <c r="I3403">
        <v>96</v>
      </c>
      <c r="J3403">
        <v>-6.75</v>
      </c>
      <c r="K3403">
        <v>99</v>
      </c>
      <c r="L3403">
        <v>-38.76</v>
      </c>
      <c r="M3403">
        <v>92</v>
      </c>
      <c r="N3403">
        <v>-6.23</v>
      </c>
      <c r="O3403">
        <v>97</v>
      </c>
      <c r="P3403">
        <v>-18.97</v>
      </c>
      <c r="Q3403">
        <v>99</v>
      </c>
      <c r="R3403">
        <v>12.73</v>
      </c>
      <c r="S3403">
        <v>94</v>
      </c>
      <c r="T3403">
        <v>18.41</v>
      </c>
      <c r="U3403">
        <v>98</v>
      </c>
      <c r="V3403">
        <v>5.48</v>
      </c>
      <c r="W3403">
        <v>94</v>
      </c>
      <c r="X3403" t="s">
        <v>94</v>
      </c>
      <c r="Y3403" t="s">
        <v>95</v>
      </c>
      <c r="Z3403" t="s">
        <v>96</v>
      </c>
      <c r="AA3403" t="s">
        <v>856</v>
      </c>
      <c r="AB3403" t="s">
        <v>7773</v>
      </c>
      <c r="AC3403">
        <v>810</v>
      </c>
      <c r="AD3403">
        <v>534</v>
      </c>
      <c r="AE3403">
        <v>99</v>
      </c>
      <c r="AF3403">
        <v>122.09</v>
      </c>
      <c r="AG3403">
        <v>-5.48</v>
      </c>
      <c r="AH3403">
        <v>2.66</v>
      </c>
      <c r="AI3403">
        <v>-0.18</v>
      </c>
      <c r="AJ3403">
        <v>-0.03</v>
      </c>
      <c r="AK3403">
        <v>92</v>
      </c>
      <c r="AL3403">
        <v>912</v>
      </c>
      <c r="AM3403">
        <v>594</v>
      </c>
      <c r="AN3403">
        <v>3.72</v>
      </c>
      <c r="AO3403">
        <v>0.65</v>
      </c>
      <c r="AP3403">
        <v>1187</v>
      </c>
      <c r="AQ3403">
        <v>3</v>
      </c>
      <c r="AR3403">
        <v>10.59</v>
      </c>
      <c r="AS3403">
        <v>97</v>
      </c>
      <c r="AT3403">
        <v>4.21</v>
      </c>
      <c r="AU3403">
        <v>97</v>
      </c>
      <c r="AV3403">
        <v>-1.51</v>
      </c>
      <c r="AW3403">
        <v>99</v>
      </c>
      <c r="AX3403">
        <v>1</v>
      </c>
      <c r="AY3403">
        <v>97</v>
      </c>
      <c r="AZ3403">
        <v>5.38</v>
      </c>
      <c r="BA3403">
        <v>90</v>
      </c>
      <c r="BB3403">
        <v>4.3899999999999997</v>
      </c>
      <c r="BC3403">
        <v>93</v>
      </c>
      <c r="BD3403">
        <v>-0.1</v>
      </c>
      <c r="BE3403">
        <v>-0.04</v>
      </c>
      <c r="BF3403">
        <v>-0.05</v>
      </c>
      <c r="BG3403">
        <v>98</v>
      </c>
      <c r="BH3403">
        <v>0.06</v>
      </c>
      <c r="BI3403">
        <v>-10.74</v>
      </c>
      <c r="BJ3403">
        <v>90</v>
      </c>
      <c r="BK3403">
        <v>56</v>
      </c>
      <c r="BL3403">
        <v>0.23</v>
      </c>
      <c r="BM3403">
        <v>0.34</v>
      </c>
      <c r="BN3403">
        <v>0.65</v>
      </c>
      <c r="BO3403">
        <v>0.16</v>
      </c>
      <c r="BP3403">
        <v>0.71</v>
      </c>
      <c r="BQ3403">
        <v>-0.17</v>
      </c>
      <c r="BR3403">
        <v>1.58</v>
      </c>
      <c r="BS3403">
        <v>-0.66</v>
      </c>
      <c r="BT3403">
        <v>-1.02</v>
      </c>
      <c r="BU3403">
        <v>1.53</v>
      </c>
      <c r="BV3403">
        <v>0.26</v>
      </c>
      <c r="BW3403">
        <v>1.39</v>
      </c>
      <c r="BX3403">
        <v>2.31</v>
      </c>
      <c r="BY3403">
        <v>2.0699999999999998</v>
      </c>
      <c r="BZ3403">
        <v>-1.65</v>
      </c>
      <c r="CA3403">
        <v>0.94</v>
      </c>
      <c r="CB3403">
        <v>1.32</v>
      </c>
      <c r="CC3403">
        <v>0.06</v>
      </c>
      <c r="CD3403">
        <v>-0.03</v>
      </c>
      <c r="CE3403">
        <v>0.11</v>
      </c>
      <c r="CF3403">
        <v>0.49</v>
      </c>
      <c r="CG3403">
        <v>0</v>
      </c>
      <c r="CH3403">
        <v>1.97</v>
      </c>
      <c r="CI3403">
        <v>0</v>
      </c>
      <c r="CJ3403">
        <v>-7.8</v>
      </c>
      <c r="CK3403">
        <v>99</v>
      </c>
      <c r="CL3403">
        <v>-0.99</v>
      </c>
      <c r="CM3403">
        <v>99</v>
      </c>
      <c r="CN3403">
        <v>-0.31</v>
      </c>
      <c r="CO3403">
        <v>99</v>
      </c>
      <c r="CP3403">
        <v>-10.8</v>
      </c>
      <c r="CQ3403">
        <v>99</v>
      </c>
      <c r="CR3403">
        <v>0</v>
      </c>
      <c r="CS3403">
        <v>0</v>
      </c>
      <c r="CT3403">
        <v>-11.1</v>
      </c>
      <c r="CU3403">
        <v>98</v>
      </c>
      <c r="CV3403">
        <v>0.13</v>
      </c>
      <c r="CW3403">
        <v>46</v>
      </c>
      <c r="CX3403" t="s">
        <v>152</v>
      </c>
    </row>
    <row r="3404" spans="1:102" x14ac:dyDescent="0.3">
      <c r="A3404" t="str">
        <f>HYPERLINK("https://webapp.icbf.com/v2/app/bull-search/view/69092794","TLO")</f>
        <v>TLO</v>
      </c>
      <c r="B3404" t="s">
        <v>9807</v>
      </c>
      <c r="C3404" t="s">
        <v>9808</v>
      </c>
      <c r="D3404" s="1">
        <v>35000</v>
      </c>
      <c r="E3404" t="s">
        <v>92</v>
      </c>
      <c r="F3404">
        <v>100</v>
      </c>
      <c r="G3404" t="s">
        <v>116</v>
      </c>
      <c r="H3404">
        <v>-34.119999999999997</v>
      </c>
      <c r="I3404">
        <v>27</v>
      </c>
      <c r="J3404">
        <v>-7.56</v>
      </c>
      <c r="K3404">
        <v>9</v>
      </c>
      <c r="L3404">
        <v>-19.3</v>
      </c>
      <c r="M3404">
        <v>32</v>
      </c>
      <c r="N3404">
        <v>2.58</v>
      </c>
      <c r="O3404">
        <v>34</v>
      </c>
      <c r="P3404">
        <v>1.36</v>
      </c>
      <c r="Q3404">
        <v>51</v>
      </c>
      <c r="R3404">
        <v>-9.1</v>
      </c>
      <c r="S3404">
        <v>31</v>
      </c>
      <c r="T3404">
        <v>0.43</v>
      </c>
      <c r="U3404">
        <v>49</v>
      </c>
      <c r="V3404">
        <v>-2.5299999999999998</v>
      </c>
      <c r="W3404">
        <v>24</v>
      </c>
      <c r="X3404" t="s">
        <v>94</v>
      </c>
      <c r="Y3404" t="s">
        <v>1499</v>
      </c>
      <c r="Z3404" t="s">
        <v>96</v>
      </c>
      <c r="AA3404" t="s">
        <v>3383</v>
      </c>
      <c r="AB3404" t="s">
        <v>9809</v>
      </c>
      <c r="AC3404">
        <v>1</v>
      </c>
      <c r="AD3404">
        <v>1</v>
      </c>
      <c r="AE3404">
        <v>9</v>
      </c>
      <c r="AF3404">
        <v>70.930000000000007</v>
      </c>
      <c r="AG3404">
        <v>-1.1599999999999999</v>
      </c>
      <c r="AH3404">
        <v>0.21</v>
      </c>
      <c r="AI3404">
        <v>-0.06</v>
      </c>
      <c r="AJ3404">
        <v>-0.04</v>
      </c>
      <c r="AK3404">
        <v>32</v>
      </c>
      <c r="AL3404">
        <v>9</v>
      </c>
      <c r="AM3404">
        <v>2</v>
      </c>
      <c r="AN3404">
        <v>2.52</v>
      </c>
      <c r="AO3404">
        <v>1</v>
      </c>
      <c r="AP3404">
        <v>8</v>
      </c>
      <c r="AQ3404">
        <v>0</v>
      </c>
      <c r="AR3404">
        <v>7.22</v>
      </c>
      <c r="AS3404">
        <v>21</v>
      </c>
      <c r="AT3404">
        <v>3.82</v>
      </c>
      <c r="AU3404">
        <v>44</v>
      </c>
      <c r="AV3404">
        <v>-0.31</v>
      </c>
      <c r="AW3404">
        <v>32</v>
      </c>
      <c r="AX3404">
        <v>-0.82</v>
      </c>
      <c r="AY3404">
        <v>38</v>
      </c>
      <c r="AZ3404">
        <v>6.14</v>
      </c>
      <c r="BA3404">
        <v>23</v>
      </c>
      <c r="BB3404">
        <v>4.4000000000000004</v>
      </c>
      <c r="BC3404">
        <v>29</v>
      </c>
      <c r="BD3404">
        <v>0.02</v>
      </c>
      <c r="BE3404">
        <v>0.04</v>
      </c>
      <c r="BF3404">
        <v>0.1</v>
      </c>
      <c r="BG3404">
        <v>35</v>
      </c>
      <c r="BH3404">
        <v>-0.02</v>
      </c>
      <c r="BI3404">
        <v>5.86</v>
      </c>
      <c r="BJ3404">
        <v>0</v>
      </c>
      <c r="BK3404">
        <v>0</v>
      </c>
      <c r="BL3404">
        <v>0.02</v>
      </c>
      <c r="BM3404">
        <v>-0.7</v>
      </c>
      <c r="BN3404">
        <v>-0.92</v>
      </c>
      <c r="BO3404">
        <v>-0.25</v>
      </c>
      <c r="BP3404">
        <v>0.86</v>
      </c>
      <c r="BQ3404">
        <v>-1.18</v>
      </c>
      <c r="BR3404">
        <v>0.74</v>
      </c>
      <c r="BS3404">
        <v>-1.1399999999999999</v>
      </c>
      <c r="BT3404">
        <v>-0.75</v>
      </c>
      <c r="BU3404">
        <v>0.7</v>
      </c>
      <c r="BV3404">
        <v>0.16</v>
      </c>
      <c r="BW3404">
        <v>0.15</v>
      </c>
      <c r="BX3404">
        <v>1</v>
      </c>
      <c r="BY3404">
        <v>-0.18</v>
      </c>
      <c r="BZ3404">
        <v>-0.19</v>
      </c>
      <c r="CA3404">
        <v>0</v>
      </c>
      <c r="CB3404">
        <v>0.39</v>
      </c>
      <c r="CC3404">
        <v>-1.1000000000000001</v>
      </c>
      <c r="CD3404">
        <v>-0.12</v>
      </c>
      <c r="CE3404">
        <v>0.18</v>
      </c>
      <c r="CF3404">
        <v>-0.3</v>
      </c>
      <c r="CG3404">
        <v>0</v>
      </c>
      <c r="CH3404">
        <v>-0.15</v>
      </c>
      <c r="CI3404">
        <v>0</v>
      </c>
      <c r="CJ3404">
        <v>0.9</v>
      </c>
      <c r="CK3404">
        <v>53</v>
      </c>
      <c r="CL3404">
        <v>-0.45</v>
      </c>
      <c r="CM3404">
        <v>49</v>
      </c>
      <c r="CN3404">
        <v>-0.4</v>
      </c>
      <c r="CO3404">
        <v>45</v>
      </c>
      <c r="CP3404">
        <v>0.5</v>
      </c>
      <c r="CQ3404">
        <v>55</v>
      </c>
      <c r="CR3404">
        <v>0</v>
      </c>
      <c r="CS3404">
        <v>0</v>
      </c>
      <c r="CT3404">
        <v>13.2</v>
      </c>
      <c r="CU3404">
        <v>49</v>
      </c>
      <c r="CV3404">
        <v>0.09</v>
      </c>
      <c r="CW3404">
        <v>13</v>
      </c>
      <c r="CX3404" t="s">
        <v>2745</v>
      </c>
    </row>
    <row r="3405" spans="1:102" x14ac:dyDescent="0.3">
      <c r="A3405" t="str">
        <f>HYPERLINK("https://webapp.icbf.com/v2/app/bull-search/view/77859583","BEL")</f>
        <v>BEL</v>
      </c>
      <c r="B3405" t="s">
        <v>15011</v>
      </c>
      <c r="C3405" t="s">
        <v>15012</v>
      </c>
      <c r="D3405" s="1">
        <v>32943</v>
      </c>
      <c r="E3405" t="s">
        <v>92</v>
      </c>
      <c r="F3405">
        <v>88</v>
      </c>
      <c r="G3405" t="s">
        <v>93</v>
      </c>
      <c r="H3405">
        <v>-34.15</v>
      </c>
      <c r="I3405">
        <v>63</v>
      </c>
      <c r="J3405">
        <v>1.9</v>
      </c>
      <c r="K3405">
        <v>72</v>
      </c>
      <c r="L3405">
        <v>5.61</v>
      </c>
      <c r="M3405">
        <v>50</v>
      </c>
      <c r="N3405">
        <v>-22.09</v>
      </c>
      <c r="O3405">
        <v>69</v>
      </c>
      <c r="P3405">
        <v>-17.95</v>
      </c>
      <c r="Q3405">
        <v>85</v>
      </c>
      <c r="R3405">
        <v>-3.2</v>
      </c>
      <c r="S3405">
        <v>45</v>
      </c>
      <c r="T3405">
        <v>7.39</v>
      </c>
      <c r="U3405">
        <v>71</v>
      </c>
      <c r="V3405">
        <v>-5.81</v>
      </c>
      <c r="W3405">
        <v>49</v>
      </c>
      <c r="X3405" t="s">
        <v>94</v>
      </c>
      <c r="Y3405" t="s">
        <v>117</v>
      </c>
      <c r="Z3405" t="s">
        <v>96</v>
      </c>
      <c r="AA3405" t="s">
        <v>260</v>
      </c>
      <c r="AB3405" t="s">
        <v>4957</v>
      </c>
      <c r="AC3405">
        <v>14</v>
      </c>
      <c r="AD3405">
        <v>11</v>
      </c>
      <c r="AE3405">
        <v>72</v>
      </c>
      <c r="AF3405">
        <v>71.87</v>
      </c>
      <c r="AG3405">
        <v>2.75</v>
      </c>
      <c r="AH3405">
        <v>0.45</v>
      </c>
      <c r="AI3405">
        <v>0</v>
      </c>
      <c r="AJ3405">
        <v>-0.03</v>
      </c>
      <c r="AK3405">
        <v>50</v>
      </c>
      <c r="AL3405">
        <v>28</v>
      </c>
      <c r="AM3405">
        <v>19</v>
      </c>
      <c r="AN3405">
        <v>-0.89</v>
      </c>
      <c r="AO3405">
        <v>-0.45</v>
      </c>
      <c r="AP3405">
        <v>60</v>
      </c>
      <c r="AQ3405">
        <v>2</v>
      </c>
      <c r="AR3405">
        <v>10.86</v>
      </c>
      <c r="AS3405">
        <v>39</v>
      </c>
      <c r="AT3405">
        <v>4.76</v>
      </c>
      <c r="AU3405">
        <v>64</v>
      </c>
      <c r="AV3405">
        <v>-0.94</v>
      </c>
      <c r="AW3405">
        <v>89</v>
      </c>
      <c r="AX3405">
        <v>-0.84</v>
      </c>
      <c r="AY3405">
        <v>70</v>
      </c>
      <c r="AZ3405">
        <v>6.6</v>
      </c>
      <c r="BA3405">
        <v>30</v>
      </c>
      <c r="BB3405">
        <v>5.79</v>
      </c>
      <c r="BC3405">
        <v>42</v>
      </c>
      <c r="BD3405">
        <v>-0.02</v>
      </c>
      <c r="BE3405">
        <v>0.03</v>
      </c>
      <c r="BF3405">
        <v>0.05</v>
      </c>
      <c r="BG3405">
        <v>55</v>
      </c>
      <c r="BH3405">
        <v>-0.1</v>
      </c>
      <c r="BI3405">
        <v>7.16</v>
      </c>
      <c r="BJ3405">
        <v>0</v>
      </c>
      <c r="BK3405">
        <v>0</v>
      </c>
      <c r="BL3405">
        <v>-0.28999999999999998</v>
      </c>
      <c r="BM3405">
        <v>1.1100000000000001</v>
      </c>
      <c r="BN3405">
        <v>0.49</v>
      </c>
      <c r="BO3405">
        <v>-0.57999999999999996</v>
      </c>
      <c r="BP3405">
        <v>-1.78</v>
      </c>
      <c r="BQ3405">
        <v>1.08</v>
      </c>
      <c r="BR3405">
        <v>1.1100000000000001</v>
      </c>
      <c r="BS3405">
        <v>-0.38</v>
      </c>
      <c r="BT3405">
        <v>-0.67</v>
      </c>
      <c r="BU3405">
        <v>-0.26</v>
      </c>
      <c r="BV3405">
        <v>-0.9</v>
      </c>
      <c r="BW3405">
        <v>-1.25</v>
      </c>
      <c r="BX3405">
        <v>-0.45</v>
      </c>
      <c r="BY3405">
        <v>-1.31</v>
      </c>
      <c r="BZ3405">
        <v>0.64</v>
      </c>
      <c r="CA3405">
        <v>-1.26</v>
      </c>
      <c r="CB3405">
        <v>-0.85</v>
      </c>
      <c r="CC3405">
        <v>-1.45</v>
      </c>
      <c r="CD3405">
        <v>0.97</v>
      </c>
      <c r="CE3405">
        <v>-0.63</v>
      </c>
      <c r="CF3405">
        <v>0.06</v>
      </c>
      <c r="CG3405">
        <v>0</v>
      </c>
      <c r="CH3405">
        <v>-1.89</v>
      </c>
      <c r="CI3405">
        <v>0</v>
      </c>
      <c r="CJ3405">
        <v>-9.4</v>
      </c>
      <c r="CK3405">
        <v>87</v>
      </c>
      <c r="CL3405">
        <v>-0.49</v>
      </c>
      <c r="CM3405">
        <v>85</v>
      </c>
      <c r="CN3405">
        <v>-0.09</v>
      </c>
      <c r="CO3405">
        <v>83</v>
      </c>
      <c r="CP3405">
        <v>-6.5</v>
      </c>
      <c r="CQ3405">
        <v>70</v>
      </c>
      <c r="CR3405">
        <v>0</v>
      </c>
      <c r="CS3405">
        <v>0</v>
      </c>
      <c r="CT3405">
        <v>3.8</v>
      </c>
      <c r="CU3405">
        <v>71</v>
      </c>
      <c r="CV3405">
        <v>-0.04</v>
      </c>
      <c r="CW3405">
        <v>24</v>
      </c>
      <c r="CX3405" t="s">
        <v>891</v>
      </c>
    </row>
    <row r="3406" spans="1:102" x14ac:dyDescent="0.3">
      <c r="A3406" t="str">
        <f>HYPERLINK("https://webapp.icbf.com/v2/app/bull-search/view/153596277","RVR")</f>
        <v>RVR</v>
      </c>
      <c r="B3406" t="s">
        <v>11557</v>
      </c>
      <c r="C3406" t="s">
        <v>11558</v>
      </c>
      <c r="D3406" s="1">
        <v>37704</v>
      </c>
      <c r="E3406" t="s">
        <v>92</v>
      </c>
      <c r="F3406">
        <v>100</v>
      </c>
      <c r="G3406" t="s">
        <v>93</v>
      </c>
      <c r="H3406">
        <v>-34.19</v>
      </c>
      <c r="I3406">
        <v>87</v>
      </c>
      <c r="J3406">
        <v>-29.14</v>
      </c>
      <c r="K3406">
        <v>97</v>
      </c>
      <c r="L3406">
        <v>-46.55</v>
      </c>
      <c r="M3406">
        <v>81</v>
      </c>
      <c r="N3406">
        <v>23.16</v>
      </c>
      <c r="O3406">
        <v>84</v>
      </c>
      <c r="P3406">
        <v>-4.92</v>
      </c>
      <c r="Q3406">
        <v>91</v>
      </c>
      <c r="R3406">
        <v>7.76</v>
      </c>
      <c r="S3406">
        <v>81</v>
      </c>
      <c r="T3406">
        <v>14.27</v>
      </c>
      <c r="U3406">
        <v>84</v>
      </c>
      <c r="V3406">
        <v>1.23</v>
      </c>
      <c r="W3406">
        <v>74</v>
      </c>
      <c r="X3406" t="s">
        <v>94</v>
      </c>
      <c r="Y3406" t="s">
        <v>95</v>
      </c>
      <c r="Z3406" t="s">
        <v>96</v>
      </c>
      <c r="AA3406" t="s">
        <v>596</v>
      </c>
      <c r="AB3406" t="s">
        <v>11559</v>
      </c>
      <c r="AC3406">
        <v>105</v>
      </c>
      <c r="AD3406">
        <v>71</v>
      </c>
      <c r="AE3406">
        <v>97</v>
      </c>
      <c r="AF3406">
        <v>4.37</v>
      </c>
      <c r="AG3406">
        <v>-6.84</v>
      </c>
      <c r="AH3406">
        <v>-2.4700000000000002</v>
      </c>
      <c r="AI3406">
        <v>-0.12</v>
      </c>
      <c r="AJ3406">
        <v>-0.05</v>
      </c>
      <c r="AK3406">
        <v>81</v>
      </c>
      <c r="AL3406">
        <v>100</v>
      </c>
      <c r="AM3406">
        <v>58</v>
      </c>
      <c r="AN3406">
        <v>1.93</v>
      </c>
      <c r="AO3406">
        <v>-1.79</v>
      </c>
      <c r="AP3406">
        <v>133</v>
      </c>
      <c r="AQ3406">
        <v>1</v>
      </c>
      <c r="AR3406">
        <v>6.18</v>
      </c>
      <c r="AS3406">
        <v>74</v>
      </c>
      <c r="AT3406">
        <v>2.68</v>
      </c>
      <c r="AU3406">
        <v>86</v>
      </c>
      <c r="AV3406">
        <v>-1.84</v>
      </c>
      <c r="AW3406">
        <v>93</v>
      </c>
      <c r="AX3406">
        <v>-0.38</v>
      </c>
      <c r="AY3406">
        <v>80</v>
      </c>
      <c r="AZ3406">
        <v>6.01</v>
      </c>
      <c r="BA3406">
        <v>64</v>
      </c>
      <c r="BB3406">
        <v>5.03</v>
      </c>
      <c r="BC3406">
        <v>67</v>
      </c>
      <c r="BD3406">
        <v>0.01</v>
      </c>
      <c r="BE3406">
        <v>-0.05</v>
      </c>
      <c r="BF3406">
        <v>-0.1</v>
      </c>
      <c r="BG3406">
        <v>91</v>
      </c>
      <c r="BH3406">
        <v>0.04</v>
      </c>
      <c r="BI3406">
        <v>0.65</v>
      </c>
      <c r="BJ3406">
        <v>31</v>
      </c>
      <c r="BK3406">
        <v>19</v>
      </c>
      <c r="BL3406">
        <v>1.01</v>
      </c>
      <c r="BM3406">
        <v>-1.81</v>
      </c>
      <c r="BN3406">
        <v>-0.72</v>
      </c>
      <c r="BO3406">
        <v>0.8</v>
      </c>
      <c r="BP3406">
        <v>0.33</v>
      </c>
      <c r="BQ3406">
        <v>0.54</v>
      </c>
      <c r="BR3406">
        <v>2.82</v>
      </c>
      <c r="BS3406">
        <v>-1.29</v>
      </c>
      <c r="BT3406">
        <v>-1.43</v>
      </c>
      <c r="BU3406">
        <v>1.19</v>
      </c>
      <c r="BV3406">
        <v>0.87</v>
      </c>
      <c r="BW3406">
        <v>-0.03</v>
      </c>
      <c r="BX3406">
        <v>2.12</v>
      </c>
      <c r="BY3406">
        <v>0.44</v>
      </c>
      <c r="BZ3406">
        <v>-2.5299999999999998</v>
      </c>
      <c r="CA3406">
        <v>0.26</v>
      </c>
      <c r="CB3406">
        <v>0.89</v>
      </c>
      <c r="CC3406">
        <v>-1.2</v>
      </c>
      <c r="CD3406">
        <v>-1.77</v>
      </c>
      <c r="CE3406">
        <v>0.75</v>
      </c>
      <c r="CF3406">
        <v>0.3</v>
      </c>
      <c r="CG3406">
        <v>0</v>
      </c>
      <c r="CH3406">
        <v>0.2</v>
      </c>
      <c r="CI3406">
        <v>0</v>
      </c>
      <c r="CJ3406">
        <v>0</v>
      </c>
      <c r="CK3406">
        <v>92</v>
      </c>
      <c r="CL3406">
        <v>-0.96</v>
      </c>
      <c r="CM3406">
        <v>90</v>
      </c>
      <c r="CN3406">
        <v>-0.48</v>
      </c>
      <c r="CO3406">
        <v>89</v>
      </c>
      <c r="CP3406">
        <v>-4.2</v>
      </c>
      <c r="CQ3406">
        <v>90</v>
      </c>
      <c r="CR3406">
        <v>0</v>
      </c>
      <c r="CS3406">
        <v>0</v>
      </c>
      <c r="CT3406">
        <v>-5.5</v>
      </c>
      <c r="CU3406">
        <v>84</v>
      </c>
      <c r="CV3406">
        <v>0.17</v>
      </c>
      <c r="CW3406">
        <v>44</v>
      </c>
      <c r="CX3406" t="s">
        <v>1574</v>
      </c>
    </row>
    <row r="3407" spans="1:102" x14ac:dyDescent="0.3">
      <c r="A3407" t="str">
        <f>HYPERLINK("https://webapp.icbf.com/v2/app/bull-search/view/446663912","DJK")</f>
        <v>DJK</v>
      </c>
      <c r="B3407" t="s">
        <v>1249</v>
      </c>
      <c r="C3407" t="s">
        <v>1250</v>
      </c>
      <c r="D3407" s="1">
        <v>38742</v>
      </c>
      <c r="E3407" t="s">
        <v>92</v>
      </c>
      <c r="F3407">
        <v>97</v>
      </c>
      <c r="G3407" t="s">
        <v>93</v>
      </c>
      <c r="H3407">
        <v>-34.24</v>
      </c>
      <c r="I3407">
        <v>88</v>
      </c>
      <c r="J3407">
        <v>27.84</v>
      </c>
      <c r="K3407">
        <v>97</v>
      </c>
      <c r="L3407">
        <v>-43.97</v>
      </c>
      <c r="M3407">
        <v>80</v>
      </c>
      <c r="N3407">
        <v>-1.82</v>
      </c>
      <c r="O3407">
        <v>86</v>
      </c>
      <c r="P3407">
        <v>-8.1199999999999992</v>
      </c>
      <c r="Q3407">
        <v>92</v>
      </c>
      <c r="R3407">
        <v>-10.95</v>
      </c>
      <c r="S3407">
        <v>83</v>
      </c>
      <c r="T3407">
        <v>6.87</v>
      </c>
      <c r="U3407">
        <v>88</v>
      </c>
      <c r="V3407">
        <v>-4.09</v>
      </c>
      <c r="W3407">
        <v>82</v>
      </c>
      <c r="X3407" t="s">
        <v>94</v>
      </c>
      <c r="Y3407" t="s">
        <v>1251</v>
      </c>
      <c r="Z3407" t="s">
        <v>96</v>
      </c>
      <c r="AA3407" t="s">
        <v>1252</v>
      </c>
      <c r="AB3407" t="s">
        <v>1253</v>
      </c>
      <c r="AC3407">
        <v>84</v>
      </c>
      <c r="AD3407">
        <v>61</v>
      </c>
      <c r="AE3407">
        <v>97</v>
      </c>
      <c r="AF3407">
        <v>-52.34</v>
      </c>
      <c r="AG3407">
        <v>-4.8499999999999996</v>
      </c>
      <c r="AH3407">
        <v>5.65</v>
      </c>
      <c r="AI3407">
        <v>-0.05</v>
      </c>
      <c r="AJ3407">
        <v>0.13</v>
      </c>
      <c r="AK3407">
        <v>80</v>
      </c>
      <c r="AL3407">
        <v>86</v>
      </c>
      <c r="AM3407">
        <v>63</v>
      </c>
      <c r="AN3407">
        <v>2.15</v>
      </c>
      <c r="AO3407">
        <v>-1.36</v>
      </c>
      <c r="AP3407">
        <v>233</v>
      </c>
      <c r="AQ3407">
        <v>1</v>
      </c>
      <c r="AR3407">
        <v>9.32</v>
      </c>
      <c r="AS3407">
        <v>68</v>
      </c>
      <c r="AT3407">
        <v>3.91</v>
      </c>
      <c r="AU3407">
        <v>89</v>
      </c>
      <c r="AV3407">
        <v>-1</v>
      </c>
      <c r="AW3407">
        <v>96</v>
      </c>
      <c r="AX3407">
        <v>-0.21</v>
      </c>
      <c r="AY3407">
        <v>81</v>
      </c>
      <c r="AZ3407">
        <v>6.26</v>
      </c>
      <c r="BA3407">
        <v>65</v>
      </c>
      <c r="BB3407">
        <v>4.6100000000000003</v>
      </c>
      <c r="BC3407">
        <v>68</v>
      </c>
      <c r="BD3407">
        <v>0.01</v>
      </c>
      <c r="BE3407">
        <v>0.05</v>
      </c>
      <c r="BF3407">
        <v>0.14000000000000001</v>
      </c>
      <c r="BG3407">
        <v>89</v>
      </c>
      <c r="BH3407">
        <v>-0.1</v>
      </c>
      <c r="BI3407">
        <v>1.61</v>
      </c>
      <c r="BJ3407">
        <v>9</v>
      </c>
      <c r="BK3407">
        <v>6</v>
      </c>
      <c r="BL3407">
        <v>0.28999999999999998</v>
      </c>
      <c r="BM3407">
        <v>0.35</v>
      </c>
      <c r="BN3407">
        <v>7.0000000000000007E-2</v>
      </c>
      <c r="BO3407">
        <v>0.19</v>
      </c>
      <c r="BP3407">
        <v>2.96</v>
      </c>
      <c r="BQ3407">
        <v>0.81</v>
      </c>
      <c r="BR3407">
        <v>2.1</v>
      </c>
      <c r="BS3407">
        <v>-2.13</v>
      </c>
      <c r="BT3407">
        <v>-1.9</v>
      </c>
      <c r="BU3407">
        <v>-1.66</v>
      </c>
      <c r="BV3407">
        <v>-0.63</v>
      </c>
      <c r="BW3407">
        <v>-0.19</v>
      </c>
      <c r="BX3407">
        <v>-2.54</v>
      </c>
      <c r="BY3407">
        <v>1.1000000000000001</v>
      </c>
      <c r="BZ3407">
        <v>-0.65</v>
      </c>
      <c r="CA3407">
        <v>-1.02</v>
      </c>
      <c r="CB3407">
        <v>-0.44</v>
      </c>
      <c r="CC3407">
        <v>-1.4</v>
      </c>
      <c r="CD3407">
        <v>-0.21</v>
      </c>
      <c r="CE3407">
        <v>7.0000000000000007E-2</v>
      </c>
      <c r="CF3407">
        <v>0.13</v>
      </c>
      <c r="CG3407">
        <v>0</v>
      </c>
      <c r="CH3407">
        <v>0.61</v>
      </c>
      <c r="CI3407">
        <v>0</v>
      </c>
      <c r="CJ3407">
        <v>-2.1</v>
      </c>
      <c r="CK3407">
        <v>93</v>
      </c>
      <c r="CL3407">
        <v>-0.59</v>
      </c>
      <c r="CM3407">
        <v>92</v>
      </c>
      <c r="CN3407">
        <v>-0.15</v>
      </c>
      <c r="CO3407">
        <v>91</v>
      </c>
      <c r="CP3407">
        <v>-5.9</v>
      </c>
      <c r="CQ3407">
        <v>90</v>
      </c>
      <c r="CR3407">
        <v>0</v>
      </c>
      <c r="CS3407">
        <v>0</v>
      </c>
      <c r="CT3407">
        <v>4.5</v>
      </c>
      <c r="CU3407">
        <v>88</v>
      </c>
      <c r="CV3407">
        <v>0.05</v>
      </c>
      <c r="CW3407">
        <v>45</v>
      </c>
      <c r="CX3407" t="s">
        <v>1254</v>
      </c>
    </row>
    <row r="3408" spans="1:102" x14ac:dyDescent="0.3">
      <c r="A3408" t="str">
        <f>HYPERLINK("https://webapp.icbf.com/v2/app/bull-search/view/77856778","IQE")</f>
        <v>IQE</v>
      </c>
      <c r="B3408" t="s">
        <v>12412</v>
      </c>
      <c r="C3408" t="s">
        <v>12413</v>
      </c>
      <c r="D3408" s="1">
        <v>34121</v>
      </c>
      <c r="E3408" t="s">
        <v>92</v>
      </c>
      <c r="F3408">
        <v>100</v>
      </c>
      <c r="G3408" t="s">
        <v>93</v>
      </c>
      <c r="H3408">
        <v>-34.47</v>
      </c>
      <c r="I3408">
        <v>73</v>
      </c>
      <c r="J3408">
        <v>1.77</v>
      </c>
      <c r="K3408">
        <v>93</v>
      </c>
      <c r="L3408">
        <v>-24.92</v>
      </c>
      <c r="M3408">
        <v>64</v>
      </c>
      <c r="N3408">
        <v>8.17</v>
      </c>
      <c r="O3408">
        <v>56</v>
      </c>
      <c r="P3408">
        <v>-11.94</v>
      </c>
      <c r="Q3408">
        <v>73</v>
      </c>
      <c r="R3408">
        <v>-12.99</v>
      </c>
      <c r="S3408">
        <v>68</v>
      </c>
      <c r="T3408">
        <v>5.0199999999999996</v>
      </c>
      <c r="U3408">
        <v>66</v>
      </c>
      <c r="V3408">
        <v>0.42</v>
      </c>
      <c r="W3408">
        <v>35</v>
      </c>
      <c r="X3408" t="s">
        <v>94</v>
      </c>
      <c r="Y3408" t="s">
        <v>95</v>
      </c>
      <c r="Z3408" t="s">
        <v>96</v>
      </c>
      <c r="AA3408" t="s">
        <v>531</v>
      </c>
      <c r="AB3408" t="s">
        <v>7055</v>
      </c>
      <c r="AC3408">
        <v>73</v>
      </c>
      <c r="AD3408">
        <v>60</v>
      </c>
      <c r="AE3408">
        <v>93</v>
      </c>
      <c r="AF3408">
        <v>-18.850000000000001</v>
      </c>
      <c r="AG3408">
        <v>-0.33</v>
      </c>
      <c r="AH3408">
        <v>0.13</v>
      </c>
      <c r="AI3408">
        <v>0.01</v>
      </c>
      <c r="AJ3408">
        <v>0.01</v>
      </c>
      <c r="AK3408">
        <v>64</v>
      </c>
      <c r="AL3408">
        <v>86</v>
      </c>
      <c r="AM3408">
        <v>64</v>
      </c>
      <c r="AN3408">
        <v>1.1599999999999999</v>
      </c>
      <c r="AO3408">
        <v>-0.83</v>
      </c>
      <c r="AP3408">
        <v>2</v>
      </c>
      <c r="AQ3408">
        <v>0</v>
      </c>
      <c r="AR3408">
        <v>6.73</v>
      </c>
      <c r="AS3408">
        <v>33</v>
      </c>
      <c r="AT3408">
        <v>2.97</v>
      </c>
      <c r="AU3408">
        <v>52</v>
      </c>
      <c r="AV3408">
        <v>0.14000000000000001</v>
      </c>
      <c r="AW3408">
        <v>64</v>
      </c>
      <c r="AX3408">
        <v>-0.47</v>
      </c>
      <c r="AY3408">
        <v>66</v>
      </c>
      <c r="AZ3408">
        <v>5.36</v>
      </c>
      <c r="BA3408">
        <v>34</v>
      </c>
      <c r="BB3408">
        <v>4.37</v>
      </c>
      <c r="BC3408">
        <v>46</v>
      </c>
      <c r="BD3408">
        <v>0.01</v>
      </c>
      <c r="BE3408">
        <v>0.08</v>
      </c>
      <c r="BF3408">
        <v>0.13</v>
      </c>
      <c r="BG3408">
        <v>84</v>
      </c>
      <c r="BH3408">
        <v>0.1</v>
      </c>
      <c r="BI3408">
        <v>10.220000000000001</v>
      </c>
      <c r="BJ3408">
        <v>37</v>
      </c>
      <c r="BK3408">
        <v>30</v>
      </c>
      <c r="BL3408">
        <v>-0.69</v>
      </c>
      <c r="BM3408">
        <v>-0.32</v>
      </c>
      <c r="BN3408">
        <v>-0.43</v>
      </c>
      <c r="BO3408">
        <v>-0.43</v>
      </c>
      <c r="BP3408">
        <v>-0.89</v>
      </c>
      <c r="BQ3408">
        <v>-0.62</v>
      </c>
      <c r="BR3408">
        <v>1.64</v>
      </c>
      <c r="BS3408">
        <v>-1.25</v>
      </c>
      <c r="BT3408">
        <v>-2.23</v>
      </c>
      <c r="BU3408">
        <v>-0.63</v>
      </c>
      <c r="BV3408">
        <v>-0.22</v>
      </c>
      <c r="BW3408">
        <v>-0.09</v>
      </c>
      <c r="BX3408">
        <v>-0.33</v>
      </c>
      <c r="BY3408">
        <v>-0.99</v>
      </c>
      <c r="BZ3408">
        <v>0.01</v>
      </c>
      <c r="CA3408">
        <v>-0.94</v>
      </c>
      <c r="CB3408">
        <v>-0.61</v>
      </c>
      <c r="CC3408">
        <v>-1.21</v>
      </c>
      <c r="CD3408">
        <v>0.1</v>
      </c>
      <c r="CE3408">
        <v>-0.56000000000000005</v>
      </c>
      <c r="CF3408">
        <v>-1.1000000000000001</v>
      </c>
      <c r="CG3408">
        <v>0</v>
      </c>
      <c r="CH3408">
        <v>-0.14000000000000001</v>
      </c>
      <c r="CI3408">
        <v>0</v>
      </c>
      <c r="CJ3408">
        <v>-4.9000000000000004</v>
      </c>
      <c r="CK3408">
        <v>74</v>
      </c>
      <c r="CL3408">
        <v>-0.6</v>
      </c>
      <c r="CM3408">
        <v>71</v>
      </c>
      <c r="CN3408">
        <v>-0.12</v>
      </c>
      <c r="CO3408">
        <v>67</v>
      </c>
      <c r="CP3408">
        <v>-2.6</v>
      </c>
      <c r="CQ3408">
        <v>80</v>
      </c>
      <c r="CR3408">
        <v>0</v>
      </c>
      <c r="CS3408">
        <v>0</v>
      </c>
      <c r="CT3408">
        <v>7</v>
      </c>
      <c r="CU3408">
        <v>66</v>
      </c>
      <c r="CV3408">
        <v>0.05</v>
      </c>
      <c r="CW3408">
        <v>21</v>
      </c>
      <c r="CX3408" t="s">
        <v>166</v>
      </c>
    </row>
    <row r="3409" spans="1:102" x14ac:dyDescent="0.3">
      <c r="A3409" t="str">
        <f>HYPERLINK("https://webapp.icbf.com/v2/app/bull-search/view/604328411","S3008")</f>
        <v>S3008</v>
      </c>
      <c r="B3409" t="s">
        <v>13498</v>
      </c>
      <c r="C3409" t="s">
        <v>13499</v>
      </c>
      <c r="D3409" s="1">
        <v>37504</v>
      </c>
      <c r="E3409" t="s">
        <v>140</v>
      </c>
      <c r="F3409">
        <v>0</v>
      </c>
      <c r="G3409" t="s">
        <v>109</v>
      </c>
      <c r="H3409">
        <v>-34.47</v>
      </c>
      <c r="I3409">
        <v>36</v>
      </c>
      <c r="J3409">
        <v>-8.1199999999999992</v>
      </c>
      <c r="K3409">
        <v>74</v>
      </c>
      <c r="L3409">
        <v>29.63</v>
      </c>
      <c r="M3409">
        <v>12</v>
      </c>
      <c r="N3409">
        <v>-71.06</v>
      </c>
      <c r="O3409">
        <v>16</v>
      </c>
      <c r="P3409">
        <v>8.81</v>
      </c>
      <c r="Q3409">
        <v>36</v>
      </c>
      <c r="R3409">
        <v>6</v>
      </c>
      <c r="S3409">
        <v>14</v>
      </c>
      <c r="T3409">
        <v>8.7200000000000006</v>
      </c>
      <c r="U3409">
        <v>22</v>
      </c>
      <c r="V3409">
        <v>-8.4499999999999993</v>
      </c>
      <c r="W3409">
        <v>8</v>
      </c>
      <c r="X3409" t="s">
        <v>110</v>
      </c>
      <c r="Y3409" t="s">
        <v>411</v>
      </c>
      <c r="Z3409">
        <v>0</v>
      </c>
      <c r="AA3409" t="s">
        <v>13500</v>
      </c>
      <c r="AB3409" t="s">
        <v>13501</v>
      </c>
      <c r="AC3409">
        <v>0</v>
      </c>
      <c r="AD3409">
        <v>0</v>
      </c>
      <c r="AE3409">
        <v>74</v>
      </c>
      <c r="AF3409">
        <v>142.01</v>
      </c>
      <c r="AG3409">
        <v>-2.99</v>
      </c>
      <c r="AH3409">
        <v>1.85</v>
      </c>
      <c r="AI3409">
        <v>-0.14000000000000001</v>
      </c>
      <c r="AJ3409">
        <v>-0.05</v>
      </c>
      <c r="AK3409">
        <v>12</v>
      </c>
      <c r="AL3409">
        <v>0</v>
      </c>
      <c r="AM3409">
        <v>0</v>
      </c>
      <c r="AN3409">
        <v>-1.82</v>
      </c>
      <c r="AO3409">
        <v>0.54</v>
      </c>
      <c r="AP3409">
        <v>9</v>
      </c>
      <c r="AQ3409">
        <v>0</v>
      </c>
      <c r="AR3409">
        <v>12.85</v>
      </c>
      <c r="AS3409">
        <v>9</v>
      </c>
      <c r="AT3409">
        <v>6.39</v>
      </c>
      <c r="AU3409">
        <v>23</v>
      </c>
      <c r="AV3409">
        <v>2.48</v>
      </c>
      <c r="AW3409">
        <v>15</v>
      </c>
      <c r="AX3409">
        <v>-0.09</v>
      </c>
      <c r="AY3409">
        <v>18</v>
      </c>
      <c r="AZ3409">
        <v>5.18</v>
      </c>
      <c r="BA3409">
        <v>8</v>
      </c>
      <c r="BB3409">
        <v>4.0199999999999996</v>
      </c>
      <c r="BC3409">
        <v>7</v>
      </c>
      <c r="BD3409">
        <v>0</v>
      </c>
      <c r="BE3409">
        <v>-0.02</v>
      </c>
      <c r="BF3409">
        <v>-0.1</v>
      </c>
      <c r="BG3409">
        <v>17</v>
      </c>
      <c r="BH3409">
        <v>-0.22</v>
      </c>
      <c r="BI3409">
        <v>1.8</v>
      </c>
      <c r="BJ3409">
        <v>0</v>
      </c>
      <c r="BK3409">
        <v>0</v>
      </c>
      <c r="BL3409">
        <v>-0.86</v>
      </c>
      <c r="BM3409">
        <v>3.37</v>
      </c>
      <c r="BN3409">
        <v>-1.71</v>
      </c>
      <c r="BO3409">
        <v>-2.95</v>
      </c>
      <c r="BP3409">
        <v>4.2</v>
      </c>
      <c r="BQ3409">
        <v>-2.2400000000000002</v>
      </c>
      <c r="BR3409">
        <v>-2.71</v>
      </c>
      <c r="BS3409">
        <v>-0.3</v>
      </c>
      <c r="BT3409">
        <v>2.58</v>
      </c>
      <c r="BU3409">
        <v>-3.51</v>
      </c>
      <c r="BV3409">
        <v>-3.98</v>
      </c>
      <c r="BW3409">
        <v>-3.01</v>
      </c>
      <c r="BX3409">
        <v>-2.85</v>
      </c>
      <c r="BY3409">
        <v>-1.98</v>
      </c>
      <c r="BZ3409">
        <v>1.1499999999999999</v>
      </c>
      <c r="CA3409">
        <v>-2.54</v>
      </c>
      <c r="CB3409">
        <v>-3.23</v>
      </c>
      <c r="CC3409">
        <v>-0.42</v>
      </c>
      <c r="CD3409">
        <v>3.83</v>
      </c>
      <c r="CE3409">
        <v>-2.97</v>
      </c>
      <c r="CF3409">
        <v>-1.1000000000000001</v>
      </c>
      <c r="CG3409">
        <v>0</v>
      </c>
      <c r="CH3409">
        <v>-2.8</v>
      </c>
      <c r="CI3409">
        <v>0</v>
      </c>
      <c r="CJ3409">
        <v>2.6</v>
      </c>
      <c r="CK3409">
        <v>39</v>
      </c>
      <c r="CL3409">
        <v>0</v>
      </c>
      <c r="CM3409">
        <v>34</v>
      </c>
      <c r="CN3409">
        <v>-0.39</v>
      </c>
      <c r="CO3409">
        <v>32</v>
      </c>
      <c r="CP3409">
        <v>4.4000000000000004</v>
      </c>
      <c r="CQ3409">
        <v>27</v>
      </c>
      <c r="CR3409">
        <v>0</v>
      </c>
      <c r="CS3409">
        <v>0</v>
      </c>
      <c r="CT3409">
        <v>2</v>
      </c>
      <c r="CU3409">
        <v>22</v>
      </c>
      <c r="CV3409">
        <v>-0.13</v>
      </c>
      <c r="CW3409">
        <v>10</v>
      </c>
      <c r="CX3409" t="s">
        <v>295</v>
      </c>
    </row>
    <row r="3410" spans="1:102" x14ac:dyDescent="0.3">
      <c r="A3410" t="str">
        <f>HYPERLINK("https://webapp.icbf.com/v2/app/bull-search/view/77860036","BVR")</f>
        <v>BVR</v>
      </c>
      <c r="B3410" t="s">
        <v>1345</v>
      </c>
      <c r="C3410" t="s">
        <v>1346</v>
      </c>
      <c r="D3410" s="1">
        <v>33307</v>
      </c>
      <c r="E3410" t="s">
        <v>92</v>
      </c>
      <c r="F3410">
        <v>75</v>
      </c>
      <c r="G3410" t="s">
        <v>93</v>
      </c>
      <c r="H3410">
        <v>-34.51</v>
      </c>
      <c r="I3410">
        <v>71</v>
      </c>
      <c r="J3410">
        <v>-5.45</v>
      </c>
      <c r="K3410">
        <v>86</v>
      </c>
      <c r="L3410">
        <v>8.84</v>
      </c>
      <c r="M3410">
        <v>65</v>
      </c>
      <c r="N3410">
        <v>-22.83</v>
      </c>
      <c r="O3410">
        <v>57</v>
      </c>
      <c r="P3410">
        <v>-23.39</v>
      </c>
      <c r="Q3410">
        <v>72</v>
      </c>
      <c r="R3410">
        <v>-11.54</v>
      </c>
      <c r="S3410">
        <v>66</v>
      </c>
      <c r="T3410">
        <v>15.08</v>
      </c>
      <c r="U3410">
        <v>69</v>
      </c>
      <c r="V3410">
        <v>4.78</v>
      </c>
      <c r="W3410">
        <v>29</v>
      </c>
      <c r="X3410" t="s">
        <v>94</v>
      </c>
      <c r="Y3410" t="s">
        <v>95</v>
      </c>
      <c r="Z3410" t="s">
        <v>96</v>
      </c>
      <c r="AA3410" t="s">
        <v>1347</v>
      </c>
      <c r="AB3410" t="s">
        <v>1348</v>
      </c>
      <c r="AC3410">
        <v>39</v>
      </c>
      <c r="AD3410">
        <v>37</v>
      </c>
      <c r="AE3410">
        <v>86</v>
      </c>
      <c r="AF3410">
        <v>134.31</v>
      </c>
      <c r="AG3410">
        <v>-2.8</v>
      </c>
      <c r="AH3410">
        <v>2.12</v>
      </c>
      <c r="AI3410">
        <v>-0.13</v>
      </c>
      <c r="AJ3410">
        <v>-0.04</v>
      </c>
      <c r="AK3410">
        <v>65</v>
      </c>
      <c r="AL3410">
        <v>80</v>
      </c>
      <c r="AM3410">
        <v>68</v>
      </c>
      <c r="AN3410">
        <v>0.69</v>
      </c>
      <c r="AO3410">
        <v>1.41</v>
      </c>
      <c r="AP3410">
        <v>7</v>
      </c>
      <c r="AQ3410">
        <v>0</v>
      </c>
      <c r="AR3410">
        <v>10.91</v>
      </c>
      <c r="AS3410">
        <v>34</v>
      </c>
      <c r="AT3410">
        <v>4.58</v>
      </c>
      <c r="AU3410">
        <v>56</v>
      </c>
      <c r="AV3410">
        <v>0.24</v>
      </c>
      <c r="AW3410">
        <v>64</v>
      </c>
      <c r="AX3410">
        <v>-0.04</v>
      </c>
      <c r="AY3410">
        <v>66</v>
      </c>
      <c r="AZ3410">
        <v>5.2</v>
      </c>
      <c r="BA3410">
        <v>34</v>
      </c>
      <c r="BB3410">
        <v>4.43</v>
      </c>
      <c r="BC3410">
        <v>52</v>
      </c>
      <c r="BD3410">
        <v>0.05</v>
      </c>
      <c r="BE3410">
        <v>0.08</v>
      </c>
      <c r="BF3410">
        <v>0.03</v>
      </c>
      <c r="BG3410">
        <v>85</v>
      </c>
      <c r="BH3410">
        <v>0.16</v>
      </c>
      <c r="BI3410">
        <v>3.08</v>
      </c>
      <c r="BJ3410">
        <v>8</v>
      </c>
      <c r="BK3410">
        <v>6</v>
      </c>
      <c r="BL3410">
        <v>-0.94</v>
      </c>
      <c r="BM3410">
        <v>0.86</v>
      </c>
      <c r="BN3410">
        <v>-0.25</v>
      </c>
      <c r="BO3410">
        <v>-0.88</v>
      </c>
      <c r="BP3410">
        <v>-0.11</v>
      </c>
      <c r="BQ3410">
        <v>-1.29</v>
      </c>
      <c r="BR3410">
        <v>-0.65</v>
      </c>
      <c r="BS3410">
        <v>-0.79</v>
      </c>
      <c r="BT3410">
        <v>-0.09</v>
      </c>
      <c r="BU3410">
        <v>-0.67</v>
      </c>
      <c r="BV3410">
        <v>-0.7</v>
      </c>
      <c r="BW3410">
        <v>-0.3</v>
      </c>
      <c r="BX3410">
        <v>-1.17</v>
      </c>
      <c r="BY3410">
        <v>-0.3</v>
      </c>
      <c r="BZ3410">
        <v>-0.67</v>
      </c>
      <c r="CA3410">
        <v>-0.5</v>
      </c>
      <c r="CB3410">
        <v>-0.6</v>
      </c>
      <c r="CC3410">
        <v>-0.14000000000000001</v>
      </c>
      <c r="CD3410">
        <v>0.46</v>
      </c>
      <c r="CE3410">
        <v>-0.94</v>
      </c>
      <c r="CF3410">
        <v>-1.1599999999999999</v>
      </c>
      <c r="CG3410">
        <v>0</v>
      </c>
      <c r="CH3410">
        <v>-0.62</v>
      </c>
      <c r="CI3410">
        <v>0</v>
      </c>
      <c r="CJ3410">
        <v>-13.7</v>
      </c>
      <c r="CK3410">
        <v>73</v>
      </c>
      <c r="CL3410">
        <v>-0.35</v>
      </c>
      <c r="CM3410">
        <v>70</v>
      </c>
      <c r="CN3410">
        <v>-0.12</v>
      </c>
      <c r="CO3410">
        <v>67</v>
      </c>
      <c r="CP3410">
        <v>-15.2</v>
      </c>
      <c r="CQ3410">
        <v>76</v>
      </c>
      <c r="CR3410">
        <v>0</v>
      </c>
      <c r="CS3410">
        <v>0</v>
      </c>
      <c r="CT3410">
        <v>-6.6</v>
      </c>
      <c r="CU3410">
        <v>69</v>
      </c>
      <c r="CV3410">
        <v>-0.17</v>
      </c>
      <c r="CW3410">
        <v>20</v>
      </c>
      <c r="CX3410" t="s">
        <v>1349</v>
      </c>
    </row>
    <row r="3411" spans="1:102" x14ac:dyDescent="0.3">
      <c r="A3411" t="str">
        <f>HYPERLINK("https://webapp.icbf.com/v2/app/bull-search/view/444535144","NHY")</f>
        <v>NHY</v>
      </c>
      <c r="B3411" t="s">
        <v>8863</v>
      </c>
      <c r="C3411" t="s">
        <v>8864</v>
      </c>
      <c r="D3411" s="1">
        <v>36997</v>
      </c>
      <c r="E3411" t="s">
        <v>92</v>
      </c>
      <c r="F3411">
        <v>100</v>
      </c>
      <c r="G3411" t="s">
        <v>109</v>
      </c>
      <c r="H3411">
        <v>-34.57</v>
      </c>
      <c r="I3411">
        <v>64</v>
      </c>
      <c r="J3411">
        <v>43.13</v>
      </c>
      <c r="K3411">
        <v>79</v>
      </c>
      <c r="L3411">
        <v>-74.84</v>
      </c>
      <c r="M3411">
        <v>77</v>
      </c>
      <c r="N3411">
        <v>0.55000000000000004</v>
      </c>
      <c r="O3411">
        <v>42</v>
      </c>
      <c r="P3411">
        <v>-16.309999999999999</v>
      </c>
      <c r="Q3411">
        <v>33</v>
      </c>
      <c r="R3411">
        <v>-0.32</v>
      </c>
      <c r="S3411">
        <v>55</v>
      </c>
      <c r="T3411">
        <v>22.11</v>
      </c>
      <c r="U3411">
        <v>39</v>
      </c>
      <c r="V3411">
        <v>-8.89</v>
      </c>
      <c r="W3411">
        <v>15</v>
      </c>
      <c r="X3411" t="s">
        <v>94</v>
      </c>
      <c r="Y3411" t="s">
        <v>270</v>
      </c>
      <c r="Z3411" t="s">
        <v>96</v>
      </c>
      <c r="AA3411" t="s">
        <v>5321</v>
      </c>
      <c r="AB3411" t="s">
        <v>8865</v>
      </c>
      <c r="AC3411">
        <v>0</v>
      </c>
      <c r="AD3411">
        <v>0</v>
      </c>
      <c r="AE3411">
        <v>79</v>
      </c>
      <c r="AF3411">
        <v>59.56</v>
      </c>
      <c r="AG3411">
        <v>12.77</v>
      </c>
      <c r="AH3411">
        <v>3.73</v>
      </c>
      <c r="AI3411">
        <v>0.17</v>
      </c>
      <c r="AJ3411">
        <v>0.03</v>
      </c>
      <c r="AK3411">
        <v>77</v>
      </c>
      <c r="AL3411">
        <v>0</v>
      </c>
      <c r="AM3411">
        <v>0</v>
      </c>
      <c r="AN3411">
        <v>4.75</v>
      </c>
      <c r="AO3411">
        <v>-1.21</v>
      </c>
      <c r="AP3411">
        <v>3</v>
      </c>
      <c r="AQ3411">
        <v>0</v>
      </c>
      <c r="AR3411">
        <v>9.48</v>
      </c>
      <c r="AS3411">
        <v>18</v>
      </c>
      <c r="AT3411">
        <v>4.09</v>
      </c>
      <c r="AU3411">
        <v>89</v>
      </c>
      <c r="AV3411">
        <v>-2.15</v>
      </c>
      <c r="AW3411">
        <v>33</v>
      </c>
      <c r="AX3411">
        <v>-0.42</v>
      </c>
      <c r="AY3411">
        <v>20</v>
      </c>
      <c r="AZ3411">
        <v>6.71</v>
      </c>
      <c r="BA3411">
        <v>14</v>
      </c>
      <c r="BB3411">
        <v>5.44</v>
      </c>
      <c r="BC3411">
        <v>16</v>
      </c>
      <c r="BD3411">
        <v>-0.01</v>
      </c>
      <c r="BE3411">
        <v>0.06</v>
      </c>
      <c r="BF3411">
        <v>-0.09</v>
      </c>
      <c r="BG3411">
        <v>86</v>
      </c>
      <c r="BH3411">
        <v>-0.2</v>
      </c>
      <c r="BI3411">
        <v>5.55</v>
      </c>
      <c r="BJ3411">
        <v>1</v>
      </c>
      <c r="BK3411">
        <v>1</v>
      </c>
      <c r="BL3411">
        <v>1.07</v>
      </c>
      <c r="BM3411">
        <v>-0.41</v>
      </c>
      <c r="BN3411">
        <v>-0.06</v>
      </c>
      <c r="BO3411">
        <v>0.9</v>
      </c>
      <c r="BP3411">
        <v>0.01</v>
      </c>
      <c r="BQ3411">
        <v>0.65</v>
      </c>
      <c r="BR3411">
        <v>-1.08</v>
      </c>
      <c r="BS3411">
        <v>2.42</v>
      </c>
      <c r="BT3411">
        <v>0.12</v>
      </c>
      <c r="BU3411">
        <v>1.7</v>
      </c>
      <c r="BV3411">
        <v>2.31</v>
      </c>
      <c r="BW3411">
        <v>-0.56999999999999995</v>
      </c>
      <c r="BX3411">
        <v>1.77</v>
      </c>
      <c r="BY3411">
        <v>0.18</v>
      </c>
      <c r="BZ3411">
        <v>1.87</v>
      </c>
      <c r="CA3411">
        <v>1.92</v>
      </c>
      <c r="CB3411">
        <v>1.47</v>
      </c>
      <c r="CC3411">
        <v>1.89</v>
      </c>
      <c r="CD3411">
        <v>-0.89</v>
      </c>
      <c r="CE3411">
        <v>0.48</v>
      </c>
      <c r="CF3411">
        <v>-0.48</v>
      </c>
      <c r="CG3411">
        <v>0</v>
      </c>
      <c r="CH3411">
        <v>-0.45</v>
      </c>
      <c r="CI3411">
        <v>0</v>
      </c>
      <c r="CJ3411">
        <v>-6.8</v>
      </c>
      <c r="CK3411">
        <v>35</v>
      </c>
      <c r="CL3411">
        <v>-0.69</v>
      </c>
      <c r="CM3411">
        <v>30</v>
      </c>
      <c r="CN3411">
        <v>-0.2</v>
      </c>
      <c r="CO3411">
        <v>27</v>
      </c>
      <c r="CP3411">
        <v>-14.3</v>
      </c>
      <c r="CQ3411">
        <v>36</v>
      </c>
      <c r="CR3411">
        <v>0</v>
      </c>
      <c r="CS3411">
        <v>0</v>
      </c>
      <c r="CT3411">
        <v>-16.100000000000001</v>
      </c>
      <c r="CU3411">
        <v>39</v>
      </c>
      <c r="CV3411">
        <v>0.17</v>
      </c>
      <c r="CW3411">
        <v>9</v>
      </c>
      <c r="CX3411" t="s">
        <v>218</v>
      </c>
    </row>
    <row r="3412" spans="1:102" x14ac:dyDescent="0.3">
      <c r="A3412" t="str">
        <f>HYPERLINK("https://webapp.icbf.com/v2/app/bull-search/view/77859856","BOJ")</f>
        <v>BOJ</v>
      </c>
      <c r="B3412" t="s">
        <v>3855</v>
      </c>
      <c r="C3412" t="s">
        <v>3856</v>
      </c>
      <c r="D3412" s="1">
        <v>34602</v>
      </c>
      <c r="E3412" t="s">
        <v>92</v>
      </c>
      <c r="F3412">
        <v>100</v>
      </c>
      <c r="G3412" t="s">
        <v>93</v>
      </c>
      <c r="H3412">
        <v>-34.65</v>
      </c>
      <c r="I3412">
        <v>88</v>
      </c>
      <c r="J3412">
        <v>69.790000000000006</v>
      </c>
      <c r="K3412">
        <v>95</v>
      </c>
      <c r="L3412">
        <v>-88.46</v>
      </c>
      <c r="M3412">
        <v>87</v>
      </c>
      <c r="N3412">
        <v>-21.45</v>
      </c>
      <c r="O3412">
        <v>80</v>
      </c>
      <c r="P3412">
        <v>-5</v>
      </c>
      <c r="Q3412">
        <v>90</v>
      </c>
      <c r="R3412">
        <v>3.52</v>
      </c>
      <c r="S3412">
        <v>79</v>
      </c>
      <c r="T3412">
        <v>12.94</v>
      </c>
      <c r="U3412">
        <v>86</v>
      </c>
      <c r="V3412">
        <v>-5.99</v>
      </c>
      <c r="W3412">
        <v>68</v>
      </c>
      <c r="X3412" t="s">
        <v>102</v>
      </c>
      <c r="Y3412" t="s">
        <v>95</v>
      </c>
      <c r="Z3412" t="s">
        <v>96</v>
      </c>
      <c r="AA3412" t="s">
        <v>105</v>
      </c>
      <c r="AB3412" t="s">
        <v>3857</v>
      </c>
      <c r="AC3412">
        <v>57</v>
      </c>
      <c r="AD3412">
        <v>34</v>
      </c>
      <c r="AE3412">
        <v>95</v>
      </c>
      <c r="AF3412">
        <v>16.7</v>
      </c>
      <c r="AG3412">
        <v>13.75</v>
      </c>
      <c r="AH3412">
        <v>7.26</v>
      </c>
      <c r="AI3412">
        <v>0.23</v>
      </c>
      <c r="AJ3412">
        <v>0.12</v>
      </c>
      <c r="AK3412">
        <v>87</v>
      </c>
      <c r="AL3412">
        <v>70</v>
      </c>
      <c r="AM3412">
        <v>38</v>
      </c>
      <c r="AN3412">
        <v>6.73</v>
      </c>
      <c r="AO3412">
        <v>-0.3</v>
      </c>
      <c r="AP3412">
        <v>39</v>
      </c>
      <c r="AQ3412">
        <v>7</v>
      </c>
      <c r="AR3412">
        <v>8.85</v>
      </c>
      <c r="AS3412">
        <v>68</v>
      </c>
      <c r="AT3412">
        <v>4.38</v>
      </c>
      <c r="AU3412">
        <v>89</v>
      </c>
      <c r="AV3412">
        <v>1.42</v>
      </c>
      <c r="AW3412">
        <v>84</v>
      </c>
      <c r="AX3412">
        <v>-0.56999999999999995</v>
      </c>
      <c r="AY3412">
        <v>79</v>
      </c>
      <c r="AZ3412">
        <v>5.36</v>
      </c>
      <c r="BA3412">
        <v>61</v>
      </c>
      <c r="BB3412">
        <v>4.3899999999999997</v>
      </c>
      <c r="BC3412">
        <v>66</v>
      </c>
      <c r="BD3412">
        <v>0.03</v>
      </c>
      <c r="BE3412">
        <v>0.01</v>
      </c>
      <c r="BF3412">
        <v>-0.15</v>
      </c>
      <c r="BG3412">
        <v>90</v>
      </c>
      <c r="BH3412">
        <v>-0.13</v>
      </c>
      <c r="BI3412">
        <v>4.2699999999999996</v>
      </c>
      <c r="BJ3412">
        <v>3</v>
      </c>
      <c r="BK3412">
        <v>3</v>
      </c>
      <c r="BL3412">
        <v>0.56000000000000005</v>
      </c>
      <c r="BM3412">
        <v>0.01</v>
      </c>
      <c r="BN3412">
        <v>0.21</v>
      </c>
      <c r="BO3412">
        <v>0.79</v>
      </c>
      <c r="BP3412">
        <v>0.75</v>
      </c>
      <c r="BQ3412">
        <v>-0.78</v>
      </c>
      <c r="BR3412">
        <v>0.45</v>
      </c>
      <c r="BS3412">
        <v>-1.68</v>
      </c>
      <c r="BT3412">
        <v>0.38</v>
      </c>
      <c r="BU3412">
        <v>-0.41</v>
      </c>
      <c r="BV3412">
        <v>0.4</v>
      </c>
      <c r="BW3412">
        <v>-0.5</v>
      </c>
      <c r="BX3412">
        <v>-0.32</v>
      </c>
      <c r="BY3412">
        <v>0.2</v>
      </c>
      <c r="BZ3412">
        <v>1.1499999999999999</v>
      </c>
      <c r="CA3412">
        <v>-0.31</v>
      </c>
      <c r="CB3412">
        <v>0.2</v>
      </c>
      <c r="CC3412">
        <v>-1.01</v>
      </c>
      <c r="CD3412">
        <v>-0.95</v>
      </c>
      <c r="CE3412">
        <v>0.57999999999999996</v>
      </c>
      <c r="CF3412">
        <v>-0.24</v>
      </c>
      <c r="CG3412">
        <v>0</v>
      </c>
      <c r="CH3412">
        <v>7.0000000000000007E-2</v>
      </c>
      <c r="CI3412">
        <v>0</v>
      </c>
      <c r="CJ3412">
        <v>0.4</v>
      </c>
      <c r="CK3412">
        <v>91</v>
      </c>
      <c r="CL3412">
        <v>-0.79</v>
      </c>
      <c r="CM3412">
        <v>89</v>
      </c>
      <c r="CN3412">
        <v>-0.28999999999999998</v>
      </c>
      <c r="CO3412">
        <v>88</v>
      </c>
      <c r="CP3412">
        <v>-5.3</v>
      </c>
      <c r="CQ3412">
        <v>89</v>
      </c>
      <c r="CR3412">
        <v>0</v>
      </c>
      <c r="CS3412">
        <v>0</v>
      </c>
      <c r="CT3412">
        <v>-3.7</v>
      </c>
      <c r="CU3412">
        <v>86</v>
      </c>
      <c r="CV3412">
        <v>0.24</v>
      </c>
      <c r="CW3412">
        <v>44</v>
      </c>
      <c r="CX3412" t="s">
        <v>1488</v>
      </c>
    </row>
    <row r="3413" spans="1:102" x14ac:dyDescent="0.3">
      <c r="A3413" t="str">
        <f>HYPERLINK("https://webapp.icbf.com/v2/app/bull-search/view/464132390","DFY")</f>
        <v>DFY</v>
      </c>
      <c r="B3413" t="s">
        <v>12031</v>
      </c>
      <c r="C3413" t="s">
        <v>12032</v>
      </c>
      <c r="D3413" s="1">
        <v>36952</v>
      </c>
      <c r="E3413" t="s">
        <v>92</v>
      </c>
      <c r="F3413">
        <v>100</v>
      </c>
      <c r="G3413" t="s">
        <v>93</v>
      </c>
      <c r="H3413">
        <v>-34.74</v>
      </c>
      <c r="I3413">
        <v>84</v>
      </c>
      <c r="J3413">
        <v>47.08</v>
      </c>
      <c r="K3413">
        <v>91</v>
      </c>
      <c r="L3413">
        <v>-103.08</v>
      </c>
      <c r="M3413">
        <v>85</v>
      </c>
      <c r="N3413">
        <v>33.880000000000003</v>
      </c>
      <c r="O3413">
        <v>75</v>
      </c>
      <c r="P3413">
        <v>-12.27</v>
      </c>
      <c r="Q3413">
        <v>86</v>
      </c>
      <c r="R3413">
        <v>4.97</v>
      </c>
      <c r="S3413">
        <v>70</v>
      </c>
      <c r="T3413">
        <v>1.32</v>
      </c>
      <c r="U3413">
        <v>71</v>
      </c>
      <c r="V3413">
        <v>-6.64</v>
      </c>
      <c r="W3413">
        <v>64</v>
      </c>
      <c r="X3413" t="s">
        <v>131</v>
      </c>
      <c r="Y3413" t="s">
        <v>95</v>
      </c>
      <c r="Z3413" t="s">
        <v>96</v>
      </c>
      <c r="AA3413" t="s">
        <v>289</v>
      </c>
      <c r="AB3413" t="s">
        <v>12033</v>
      </c>
      <c r="AC3413">
        <v>47</v>
      </c>
      <c r="AD3413">
        <v>20</v>
      </c>
      <c r="AE3413">
        <v>91</v>
      </c>
      <c r="AF3413">
        <v>551.54</v>
      </c>
      <c r="AG3413">
        <v>13</v>
      </c>
      <c r="AH3413">
        <v>11.85</v>
      </c>
      <c r="AI3413">
        <v>-0.13</v>
      </c>
      <c r="AJ3413">
        <v>-0.11</v>
      </c>
      <c r="AK3413">
        <v>85</v>
      </c>
      <c r="AL3413">
        <v>63</v>
      </c>
      <c r="AM3413">
        <v>22</v>
      </c>
      <c r="AN3413">
        <v>6.43</v>
      </c>
      <c r="AO3413">
        <v>-1.78</v>
      </c>
      <c r="AP3413">
        <v>145</v>
      </c>
      <c r="AQ3413">
        <v>2</v>
      </c>
      <c r="AR3413">
        <v>7.53</v>
      </c>
      <c r="AS3413">
        <v>54</v>
      </c>
      <c r="AT3413">
        <v>3.56</v>
      </c>
      <c r="AU3413">
        <v>94</v>
      </c>
      <c r="AV3413">
        <v>-4.34</v>
      </c>
      <c r="AW3413">
        <v>82</v>
      </c>
      <c r="AX3413">
        <v>-0.68</v>
      </c>
      <c r="AY3413">
        <v>67</v>
      </c>
      <c r="AZ3413">
        <v>6.02</v>
      </c>
      <c r="BA3413">
        <v>52</v>
      </c>
      <c r="BB3413">
        <v>4.84</v>
      </c>
      <c r="BC3413">
        <v>44</v>
      </c>
      <c r="BD3413">
        <v>0.01</v>
      </c>
      <c r="BE3413">
        <v>0.01</v>
      </c>
      <c r="BF3413">
        <v>-0.15</v>
      </c>
      <c r="BG3413">
        <v>89</v>
      </c>
      <c r="BH3413">
        <v>-0.27</v>
      </c>
      <c r="BI3413">
        <v>-9.8000000000000007</v>
      </c>
      <c r="BJ3413">
        <v>14</v>
      </c>
      <c r="BK3413">
        <v>5</v>
      </c>
      <c r="BL3413">
        <v>1.1100000000000001</v>
      </c>
      <c r="BM3413">
        <v>-1.02</v>
      </c>
      <c r="BN3413">
        <v>-0.43</v>
      </c>
      <c r="BO3413">
        <v>0.95</v>
      </c>
      <c r="BP3413">
        <v>-1.22</v>
      </c>
      <c r="BQ3413">
        <v>0.05</v>
      </c>
      <c r="BR3413">
        <v>0.27</v>
      </c>
      <c r="BS3413">
        <v>0.53</v>
      </c>
      <c r="BT3413">
        <v>1.35</v>
      </c>
      <c r="BU3413">
        <v>0.55000000000000004</v>
      </c>
      <c r="BV3413">
        <v>1.3</v>
      </c>
      <c r="BW3413">
        <v>1.32</v>
      </c>
      <c r="BX3413">
        <v>0.95</v>
      </c>
      <c r="BY3413">
        <v>1.36</v>
      </c>
      <c r="BZ3413">
        <v>-0.08</v>
      </c>
      <c r="CA3413">
        <v>0.75</v>
      </c>
      <c r="CB3413">
        <v>0.68</v>
      </c>
      <c r="CC3413">
        <v>0.38</v>
      </c>
      <c r="CD3413">
        <v>-1.0900000000000001</v>
      </c>
      <c r="CE3413">
        <v>0.95</v>
      </c>
      <c r="CF3413">
        <v>0.62</v>
      </c>
      <c r="CG3413">
        <v>0</v>
      </c>
      <c r="CH3413">
        <v>1.77</v>
      </c>
      <c r="CI3413">
        <v>0</v>
      </c>
      <c r="CJ3413">
        <v>-1.1000000000000001</v>
      </c>
      <c r="CK3413">
        <v>88</v>
      </c>
      <c r="CL3413">
        <v>-1.3</v>
      </c>
      <c r="CM3413">
        <v>85</v>
      </c>
      <c r="CN3413">
        <v>-0.27</v>
      </c>
      <c r="CO3413">
        <v>83</v>
      </c>
      <c r="CP3413">
        <v>-3.3</v>
      </c>
      <c r="CQ3413">
        <v>84</v>
      </c>
      <c r="CR3413">
        <v>0</v>
      </c>
      <c r="CS3413">
        <v>0</v>
      </c>
      <c r="CT3413">
        <v>12</v>
      </c>
      <c r="CU3413">
        <v>71</v>
      </c>
      <c r="CV3413">
        <v>0.45</v>
      </c>
      <c r="CW3413">
        <v>24</v>
      </c>
      <c r="CX3413" t="s">
        <v>3553</v>
      </c>
    </row>
    <row r="3414" spans="1:102" x14ac:dyDescent="0.3">
      <c r="A3414" t="str">
        <f>HYPERLINK("https://webapp.icbf.com/v2/app/bull-search/view/77853913","SMB")</f>
        <v>SMB</v>
      </c>
      <c r="B3414" t="s">
        <v>3727</v>
      </c>
      <c r="C3414" t="s">
        <v>3728</v>
      </c>
      <c r="D3414" s="1">
        <v>34005</v>
      </c>
      <c r="E3414" t="s">
        <v>92</v>
      </c>
      <c r="F3414">
        <v>69</v>
      </c>
      <c r="G3414" t="s">
        <v>93</v>
      </c>
      <c r="H3414">
        <v>-34.85</v>
      </c>
      <c r="I3414">
        <v>71</v>
      </c>
      <c r="J3414">
        <v>23.49</v>
      </c>
      <c r="K3414">
        <v>89</v>
      </c>
      <c r="L3414">
        <v>-72.680000000000007</v>
      </c>
      <c r="M3414">
        <v>62</v>
      </c>
      <c r="N3414">
        <v>12.89</v>
      </c>
      <c r="O3414">
        <v>57</v>
      </c>
      <c r="P3414">
        <v>-2.78</v>
      </c>
      <c r="Q3414">
        <v>74</v>
      </c>
      <c r="R3414">
        <v>-4.7699999999999996</v>
      </c>
      <c r="S3414">
        <v>67</v>
      </c>
      <c r="T3414">
        <v>10.199999999999999</v>
      </c>
      <c r="U3414">
        <v>70</v>
      </c>
      <c r="V3414">
        <v>-1.2</v>
      </c>
      <c r="W3414">
        <v>33</v>
      </c>
      <c r="X3414" t="s">
        <v>94</v>
      </c>
      <c r="Y3414" t="s">
        <v>95</v>
      </c>
      <c r="Z3414" t="s">
        <v>96</v>
      </c>
      <c r="AA3414" t="s">
        <v>193</v>
      </c>
      <c r="AB3414" t="s">
        <v>3729</v>
      </c>
      <c r="AC3414">
        <v>41</v>
      </c>
      <c r="AD3414">
        <v>34</v>
      </c>
      <c r="AE3414">
        <v>89</v>
      </c>
      <c r="AF3414">
        <v>275.66000000000003</v>
      </c>
      <c r="AG3414">
        <v>5.24</v>
      </c>
      <c r="AH3414">
        <v>6.36</v>
      </c>
      <c r="AI3414">
        <v>-0.09</v>
      </c>
      <c r="AJ3414">
        <v>-0.05</v>
      </c>
      <c r="AK3414">
        <v>62</v>
      </c>
      <c r="AL3414">
        <v>80</v>
      </c>
      <c r="AM3414">
        <v>61</v>
      </c>
      <c r="AN3414">
        <v>4.45</v>
      </c>
      <c r="AO3414">
        <v>-1.34</v>
      </c>
      <c r="AP3414">
        <v>14</v>
      </c>
      <c r="AQ3414">
        <v>0</v>
      </c>
      <c r="AR3414">
        <v>7.8</v>
      </c>
      <c r="AS3414">
        <v>36</v>
      </c>
      <c r="AT3414">
        <v>2.82</v>
      </c>
      <c r="AU3414">
        <v>55</v>
      </c>
      <c r="AV3414">
        <v>-1.87</v>
      </c>
      <c r="AW3414">
        <v>64</v>
      </c>
      <c r="AX3414">
        <v>-0.31</v>
      </c>
      <c r="AY3414">
        <v>67</v>
      </c>
      <c r="AZ3414">
        <v>6.93</v>
      </c>
      <c r="BA3414">
        <v>36</v>
      </c>
      <c r="BB3414">
        <v>5.77</v>
      </c>
      <c r="BC3414">
        <v>48</v>
      </c>
      <c r="BD3414">
        <v>0.01</v>
      </c>
      <c r="BE3414">
        <v>7.0000000000000007E-2</v>
      </c>
      <c r="BF3414">
        <v>-0.04</v>
      </c>
      <c r="BG3414">
        <v>83</v>
      </c>
      <c r="BH3414">
        <v>0.02</v>
      </c>
      <c r="BI3414">
        <v>6.19</v>
      </c>
      <c r="BJ3414">
        <v>16</v>
      </c>
      <c r="BK3414">
        <v>14</v>
      </c>
      <c r="BL3414">
        <v>-0.03</v>
      </c>
      <c r="BM3414">
        <v>0.52</v>
      </c>
      <c r="BN3414">
        <v>0.31</v>
      </c>
      <c r="BO3414">
        <v>-0.03</v>
      </c>
      <c r="BP3414">
        <v>0.32</v>
      </c>
      <c r="BQ3414">
        <v>-0.56999999999999995</v>
      </c>
      <c r="BR3414">
        <v>1.5</v>
      </c>
      <c r="BS3414">
        <v>-1.1599999999999999</v>
      </c>
      <c r="BT3414">
        <v>-1.88</v>
      </c>
      <c r="BU3414">
        <v>-0.9</v>
      </c>
      <c r="BV3414">
        <v>-0.33</v>
      </c>
      <c r="BW3414">
        <v>-0.37</v>
      </c>
      <c r="BX3414">
        <v>-0.74</v>
      </c>
      <c r="BY3414">
        <v>-0.04</v>
      </c>
      <c r="BZ3414">
        <v>0.8</v>
      </c>
      <c r="CA3414">
        <v>-0.94</v>
      </c>
      <c r="CB3414">
        <v>-0.63</v>
      </c>
      <c r="CC3414">
        <v>-1.08</v>
      </c>
      <c r="CD3414">
        <v>0.06</v>
      </c>
      <c r="CE3414">
        <v>0.12</v>
      </c>
      <c r="CF3414">
        <v>0.19</v>
      </c>
      <c r="CG3414">
        <v>0</v>
      </c>
      <c r="CH3414">
        <v>-1.36</v>
      </c>
      <c r="CI3414">
        <v>0</v>
      </c>
      <c r="CJ3414">
        <v>0.9</v>
      </c>
      <c r="CK3414">
        <v>76</v>
      </c>
      <c r="CL3414">
        <v>-0.65</v>
      </c>
      <c r="CM3414">
        <v>72</v>
      </c>
      <c r="CN3414">
        <v>-0.3</v>
      </c>
      <c r="CO3414">
        <v>68</v>
      </c>
      <c r="CP3414">
        <v>-5.5</v>
      </c>
      <c r="CQ3414">
        <v>77</v>
      </c>
      <c r="CR3414">
        <v>0</v>
      </c>
      <c r="CS3414">
        <v>0</v>
      </c>
      <c r="CT3414">
        <v>0</v>
      </c>
      <c r="CU3414">
        <v>70</v>
      </c>
      <c r="CV3414">
        <v>0.27</v>
      </c>
      <c r="CW3414">
        <v>21</v>
      </c>
      <c r="CX3414" t="s">
        <v>128</v>
      </c>
    </row>
    <row r="3415" spans="1:102" x14ac:dyDescent="0.3">
      <c r="A3415" t="str">
        <f>HYPERLINK("https://webapp.icbf.com/v2/app/bull-search/view/77852977","WEB")</f>
        <v>WEB</v>
      </c>
      <c r="B3415" t="s">
        <v>7086</v>
      </c>
      <c r="C3415" t="s">
        <v>7087</v>
      </c>
      <c r="D3415" s="1">
        <v>34635</v>
      </c>
      <c r="E3415" t="s">
        <v>92</v>
      </c>
      <c r="F3415">
        <v>100</v>
      </c>
      <c r="G3415" t="s">
        <v>93</v>
      </c>
      <c r="H3415">
        <v>-34.94</v>
      </c>
      <c r="I3415">
        <v>94</v>
      </c>
      <c r="J3415">
        <v>-29.86</v>
      </c>
      <c r="K3415">
        <v>99</v>
      </c>
      <c r="L3415">
        <v>-26.26</v>
      </c>
      <c r="M3415">
        <v>92</v>
      </c>
      <c r="N3415">
        <v>28.05</v>
      </c>
      <c r="O3415">
        <v>92</v>
      </c>
      <c r="P3415">
        <v>5.34</v>
      </c>
      <c r="Q3415">
        <v>97</v>
      </c>
      <c r="R3415">
        <v>-4.84</v>
      </c>
      <c r="S3415">
        <v>87</v>
      </c>
      <c r="T3415">
        <v>-5.12</v>
      </c>
      <c r="U3415">
        <v>94</v>
      </c>
      <c r="V3415">
        <v>-2.25</v>
      </c>
      <c r="W3415">
        <v>80</v>
      </c>
      <c r="X3415" t="s">
        <v>558</v>
      </c>
      <c r="Y3415" t="s">
        <v>95</v>
      </c>
      <c r="Z3415" t="s">
        <v>96</v>
      </c>
      <c r="AA3415" t="s">
        <v>564</v>
      </c>
      <c r="AB3415" t="s">
        <v>7088</v>
      </c>
      <c r="AC3415">
        <v>341</v>
      </c>
      <c r="AD3415">
        <v>159</v>
      </c>
      <c r="AE3415">
        <v>99</v>
      </c>
      <c r="AF3415">
        <v>-45.09</v>
      </c>
      <c r="AG3415">
        <v>-11.36</v>
      </c>
      <c r="AH3415">
        <v>-1.75</v>
      </c>
      <c r="AI3415">
        <v>-0.17</v>
      </c>
      <c r="AJ3415">
        <v>0</v>
      </c>
      <c r="AK3415">
        <v>92</v>
      </c>
      <c r="AL3415">
        <v>314</v>
      </c>
      <c r="AM3415">
        <v>129</v>
      </c>
      <c r="AN3415">
        <v>0.21</v>
      </c>
      <c r="AO3415">
        <v>-1.9</v>
      </c>
      <c r="AP3415">
        <v>204</v>
      </c>
      <c r="AQ3415">
        <v>1</v>
      </c>
      <c r="AR3415">
        <v>6.38</v>
      </c>
      <c r="AS3415">
        <v>91</v>
      </c>
      <c r="AT3415">
        <v>2.93</v>
      </c>
      <c r="AU3415">
        <v>91</v>
      </c>
      <c r="AV3415">
        <v>-2.35</v>
      </c>
      <c r="AW3415">
        <v>95</v>
      </c>
      <c r="AX3415">
        <v>-0.16</v>
      </c>
      <c r="AY3415">
        <v>93</v>
      </c>
      <c r="AZ3415">
        <v>5.16</v>
      </c>
      <c r="BA3415">
        <v>84</v>
      </c>
      <c r="BB3415">
        <v>4.4800000000000004</v>
      </c>
      <c r="BC3415">
        <v>85</v>
      </c>
      <c r="BD3415">
        <v>-0.01</v>
      </c>
      <c r="BE3415">
        <v>0.02</v>
      </c>
      <c r="BF3415">
        <v>0.09</v>
      </c>
      <c r="BG3415">
        <v>96</v>
      </c>
      <c r="BH3415">
        <v>-0.06</v>
      </c>
      <c r="BI3415">
        <v>0.33</v>
      </c>
      <c r="BJ3415">
        <v>76</v>
      </c>
      <c r="BK3415">
        <v>32</v>
      </c>
      <c r="BL3415">
        <v>0.54</v>
      </c>
      <c r="BM3415">
        <v>-0.8</v>
      </c>
      <c r="BN3415">
        <v>-0.57999999999999996</v>
      </c>
      <c r="BO3415">
        <v>0.28000000000000003</v>
      </c>
      <c r="BP3415">
        <v>0.71</v>
      </c>
      <c r="BQ3415">
        <v>0.86</v>
      </c>
      <c r="BR3415">
        <v>-1.33</v>
      </c>
      <c r="BS3415">
        <v>0.44</v>
      </c>
      <c r="BT3415">
        <v>-0.49</v>
      </c>
      <c r="BU3415">
        <v>-0.2</v>
      </c>
      <c r="BV3415">
        <v>0.1</v>
      </c>
      <c r="BW3415">
        <v>0.97</v>
      </c>
      <c r="BX3415">
        <v>1.67</v>
      </c>
      <c r="BY3415">
        <v>-2.17</v>
      </c>
      <c r="BZ3415">
        <v>2.0099999999999998</v>
      </c>
      <c r="CA3415">
        <v>-0.56999999999999995</v>
      </c>
      <c r="CB3415">
        <v>-1.1499999999999999</v>
      </c>
      <c r="CC3415">
        <v>0.74</v>
      </c>
      <c r="CD3415">
        <v>-0.45</v>
      </c>
      <c r="CE3415">
        <v>0.43</v>
      </c>
      <c r="CF3415">
        <v>-0.38</v>
      </c>
      <c r="CG3415">
        <v>0</v>
      </c>
      <c r="CH3415">
        <v>-1.91</v>
      </c>
      <c r="CI3415">
        <v>0</v>
      </c>
      <c r="CJ3415">
        <v>4.5999999999999996</v>
      </c>
      <c r="CK3415">
        <v>97</v>
      </c>
      <c r="CL3415">
        <v>-0.69</v>
      </c>
      <c r="CM3415">
        <v>96</v>
      </c>
      <c r="CN3415">
        <v>-0.44</v>
      </c>
      <c r="CO3415">
        <v>96</v>
      </c>
      <c r="CP3415">
        <v>6.4</v>
      </c>
      <c r="CQ3415">
        <v>97</v>
      </c>
      <c r="CR3415">
        <v>0</v>
      </c>
      <c r="CS3415">
        <v>0</v>
      </c>
      <c r="CT3415">
        <v>20.7</v>
      </c>
      <c r="CU3415">
        <v>94</v>
      </c>
      <c r="CV3415">
        <v>0.19</v>
      </c>
      <c r="CW3415">
        <v>46</v>
      </c>
      <c r="CX3415" t="s">
        <v>161</v>
      </c>
    </row>
    <row r="3416" spans="1:102" x14ac:dyDescent="0.3">
      <c r="A3416" t="str">
        <f>HYPERLINK("https://webapp.icbf.com/v2/app/bull-search/view/124415008","REO")</f>
        <v>REO</v>
      </c>
      <c r="B3416" t="s">
        <v>4014</v>
      </c>
      <c r="C3416" t="s">
        <v>4015</v>
      </c>
      <c r="D3416" s="1">
        <v>36496</v>
      </c>
      <c r="E3416" t="s">
        <v>92</v>
      </c>
      <c r="F3416">
        <v>100</v>
      </c>
      <c r="G3416" t="s">
        <v>93</v>
      </c>
      <c r="H3416">
        <v>-35.07</v>
      </c>
      <c r="I3416">
        <v>74</v>
      </c>
      <c r="J3416">
        <v>13.68</v>
      </c>
      <c r="K3416">
        <v>92</v>
      </c>
      <c r="L3416">
        <v>-59.37</v>
      </c>
      <c r="M3416">
        <v>58</v>
      </c>
      <c r="N3416">
        <v>-1.85</v>
      </c>
      <c r="O3416">
        <v>67</v>
      </c>
      <c r="P3416">
        <v>-7.55</v>
      </c>
      <c r="Q3416">
        <v>89</v>
      </c>
      <c r="R3416">
        <v>2.75</v>
      </c>
      <c r="S3416">
        <v>63</v>
      </c>
      <c r="T3416">
        <v>21.23</v>
      </c>
      <c r="U3416">
        <v>83</v>
      </c>
      <c r="V3416">
        <v>-3.96</v>
      </c>
      <c r="W3416">
        <v>45</v>
      </c>
      <c r="X3416" t="s">
        <v>102</v>
      </c>
      <c r="Y3416" t="s">
        <v>95</v>
      </c>
      <c r="Z3416" t="s">
        <v>96</v>
      </c>
      <c r="AA3416" t="s">
        <v>4016</v>
      </c>
      <c r="AB3416" t="s">
        <v>4017</v>
      </c>
      <c r="AC3416">
        <v>45</v>
      </c>
      <c r="AD3416">
        <v>34</v>
      </c>
      <c r="AE3416">
        <v>92</v>
      </c>
      <c r="AF3416">
        <v>112.82</v>
      </c>
      <c r="AG3416">
        <v>-2.2799999999999998</v>
      </c>
      <c r="AH3416">
        <v>4.8600000000000003</v>
      </c>
      <c r="AI3416">
        <v>-0.11</v>
      </c>
      <c r="AJ3416">
        <v>0.02</v>
      </c>
      <c r="AK3416">
        <v>58</v>
      </c>
      <c r="AL3416">
        <v>45</v>
      </c>
      <c r="AM3416">
        <v>36</v>
      </c>
      <c r="AN3416">
        <v>4.37</v>
      </c>
      <c r="AO3416">
        <v>-0.35</v>
      </c>
      <c r="AP3416">
        <v>69</v>
      </c>
      <c r="AQ3416">
        <v>14</v>
      </c>
      <c r="AR3416">
        <v>7.91</v>
      </c>
      <c r="AS3416">
        <v>57</v>
      </c>
      <c r="AT3416">
        <v>3.48</v>
      </c>
      <c r="AU3416">
        <v>68</v>
      </c>
      <c r="AV3416">
        <v>0.18</v>
      </c>
      <c r="AW3416">
        <v>75</v>
      </c>
      <c r="AX3416">
        <v>-0.84</v>
      </c>
      <c r="AY3416">
        <v>72</v>
      </c>
      <c r="AZ3416">
        <v>6.59</v>
      </c>
      <c r="BA3416">
        <v>45</v>
      </c>
      <c r="BB3416">
        <v>4.66</v>
      </c>
      <c r="BC3416">
        <v>50</v>
      </c>
      <c r="BD3416">
        <v>0.01</v>
      </c>
      <c r="BE3416">
        <v>0</v>
      </c>
      <c r="BF3416">
        <v>-0.08</v>
      </c>
      <c r="BG3416">
        <v>74</v>
      </c>
      <c r="BH3416">
        <v>0</v>
      </c>
      <c r="BI3416">
        <v>12.76</v>
      </c>
      <c r="BJ3416">
        <v>7</v>
      </c>
      <c r="BK3416">
        <v>6</v>
      </c>
      <c r="BL3416">
        <v>0.71</v>
      </c>
      <c r="BM3416">
        <v>-2.5099999999999998</v>
      </c>
      <c r="BN3416">
        <v>-1.61</v>
      </c>
      <c r="BO3416">
        <v>1.19</v>
      </c>
      <c r="BP3416">
        <v>1.3</v>
      </c>
      <c r="BQ3416">
        <v>-0.08</v>
      </c>
      <c r="BR3416">
        <v>1.32</v>
      </c>
      <c r="BS3416">
        <v>-0.19</v>
      </c>
      <c r="BT3416">
        <v>-0.94</v>
      </c>
      <c r="BU3416">
        <v>0.24</v>
      </c>
      <c r="BV3416">
        <v>0.18</v>
      </c>
      <c r="BW3416">
        <v>1.74</v>
      </c>
      <c r="BX3416">
        <v>0.93</v>
      </c>
      <c r="BY3416">
        <v>0.45</v>
      </c>
      <c r="BZ3416">
        <v>0.57999999999999996</v>
      </c>
      <c r="CA3416">
        <v>0.43</v>
      </c>
      <c r="CB3416">
        <v>0.46</v>
      </c>
      <c r="CC3416">
        <v>0.02</v>
      </c>
      <c r="CD3416">
        <v>-1.73</v>
      </c>
      <c r="CE3416">
        <v>-0.39</v>
      </c>
      <c r="CF3416">
        <v>-0.27</v>
      </c>
      <c r="CG3416">
        <v>0</v>
      </c>
      <c r="CH3416">
        <v>-0.37</v>
      </c>
      <c r="CI3416">
        <v>0</v>
      </c>
      <c r="CJ3416">
        <v>-3.2</v>
      </c>
      <c r="CK3416">
        <v>90</v>
      </c>
      <c r="CL3416">
        <v>-0.62</v>
      </c>
      <c r="CM3416">
        <v>88</v>
      </c>
      <c r="CN3416">
        <v>-0.42</v>
      </c>
      <c r="CO3416">
        <v>86</v>
      </c>
      <c r="CP3416">
        <v>-11</v>
      </c>
      <c r="CQ3416">
        <v>84</v>
      </c>
      <c r="CR3416">
        <v>0</v>
      </c>
      <c r="CS3416">
        <v>0</v>
      </c>
      <c r="CT3416">
        <v>-14.9</v>
      </c>
      <c r="CU3416">
        <v>83</v>
      </c>
      <c r="CV3416">
        <v>0.15</v>
      </c>
      <c r="CW3416">
        <v>25</v>
      </c>
      <c r="CX3416" t="s">
        <v>678</v>
      </c>
    </row>
    <row r="3417" spans="1:102" x14ac:dyDescent="0.3">
      <c r="A3417" t="str">
        <f>HYPERLINK("https://webapp.icbf.com/v2/app/bull-search/view/910798548","S1661")</f>
        <v>S1661</v>
      </c>
      <c r="B3417" t="s">
        <v>13314</v>
      </c>
      <c r="C3417" t="s">
        <v>13315</v>
      </c>
      <c r="D3417" s="1">
        <v>40253</v>
      </c>
      <c r="E3417" t="s">
        <v>92</v>
      </c>
      <c r="F3417">
        <v>100</v>
      </c>
      <c r="G3417" t="s">
        <v>109</v>
      </c>
      <c r="H3417">
        <v>-35.369999999999997</v>
      </c>
      <c r="I3417">
        <v>84</v>
      </c>
      <c r="J3417">
        <v>64.95</v>
      </c>
      <c r="K3417">
        <v>94</v>
      </c>
      <c r="L3417">
        <v>-95.45</v>
      </c>
      <c r="M3417">
        <v>87</v>
      </c>
      <c r="N3417">
        <v>9.42</v>
      </c>
      <c r="O3417">
        <v>76</v>
      </c>
      <c r="P3417">
        <v>-2.59</v>
      </c>
      <c r="Q3417">
        <v>73</v>
      </c>
      <c r="R3417">
        <v>4.7</v>
      </c>
      <c r="S3417">
        <v>78</v>
      </c>
      <c r="T3417">
        <v>-18.59</v>
      </c>
      <c r="U3417">
        <v>60</v>
      </c>
      <c r="V3417">
        <v>2.19</v>
      </c>
      <c r="W3417">
        <v>62</v>
      </c>
      <c r="X3417" t="s">
        <v>276</v>
      </c>
      <c r="Y3417" t="s">
        <v>362</v>
      </c>
      <c r="Z3417" t="s">
        <v>96</v>
      </c>
      <c r="AA3417" t="s">
        <v>2220</v>
      </c>
      <c r="AB3417" t="s">
        <v>13316</v>
      </c>
      <c r="AC3417">
        <v>0</v>
      </c>
      <c r="AD3417">
        <v>0</v>
      </c>
      <c r="AE3417">
        <v>94</v>
      </c>
      <c r="AF3417">
        <v>442.76</v>
      </c>
      <c r="AG3417">
        <v>12.73</v>
      </c>
      <c r="AH3417">
        <v>13.32</v>
      </c>
      <c r="AI3417">
        <v>-7.0000000000000007E-2</v>
      </c>
      <c r="AJ3417">
        <v>-0.03</v>
      </c>
      <c r="AK3417">
        <v>87</v>
      </c>
      <c r="AL3417">
        <v>0</v>
      </c>
      <c r="AM3417">
        <v>0</v>
      </c>
      <c r="AN3417">
        <v>5.37</v>
      </c>
      <c r="AO3417">
        <v>-2.2400000000000002</v>
      </c>
      <c r="AP3417">
        <v>52</v>
      </c>
      <c r="AQ3417">
        <v>0</v>
      </c>
      <c r="AR3417">
        <v>11.2</v>
      </c>
      <c r="AS3417">
        <v>71</v>
      </c>
      <c r="AT3417">
        <v>4.62</v>
      </c>
      <c r="AU3417">
        <v>91</v>
      </c>
      <c r="AV3417">
        <v>-4.4400000000000004</v>
      </c>
      <c r="AW3417">
        <v>82</v>
      </c>
      <c r="AX3417">
        <v>-0.81</v>
      </c>
      <c r="AY3417">
        <v>65</v>
      </c>
      <c r="AZ3417">
        <v>6.48</v>
      </c>
      <c r="BA3417">
        <v>52</v>
      </c>
      <c r="BB3417">
        <v>5.2</v>
      </c>
      <c r="BC3417">
        <v>49</v>
      </c>
      <c r="BD3417">
        <v>-0.06</v>
      </c>
      <c r="BE3417">
        <v>-0.02</v>
      </c>
      <c r="BF3417">
        <v>0.03</v>
      </c>
      <c r="BG3417">
        <v>93</v>
      </c>
      <c r="BH3417">
        <v>0.09</v>
      </c>
      <c r="BI3417">
        <v>3.35</v>
      </c>
      <c r="BJ3417">
        <v>18</v>
      </c>
      <c r="BK3417">
        <v>13</v>
      </c>
      <c r="BL3417">
        <v>3.35</v>
      </c>
      <c r="BM3417">
        <v>-0.99</v>
      </c>
      <c r="BN3417">
        <v>1.58</v>
      </c>
      <c r="BO3417">
        <v>2.0099999999999998</v>
      </c>
      <c r="BP3417">
        <v>-0.05</v>
      </c>
      <c r="BQ3417">
        <v>3.16</v>
      </c>
      <c r="BR3417">
        <v>0.39</v>
      </c>
      <c r="BS3417">
        <v>1.47</v>
      </c>
      <c r="BT3417">
        <v>0.35</v>
      </c>
      <c r="BU3417">
        <v>4.09</v>
      </c>
      <c r="BV3417">
        <v>3.96</v>
      </c>
      <c r="BW3417">
        <v>2.79</v>
      </c>
      <c r="BX3417">
        <v>3.34</v>
      </c>
      <c r="BY3417">
        <v>2.36</v>
      </c>
      <c r="BZ3417">
        <v>0.84</v>
      </c>
      <c r="CA3417">
        <v>3.18</v>
      </c>
      <c r="CB3417">
        <v>3.08</v>
      </c>
      <c r="CC3417">
        <v>1.04</v>
      </c>
      <c r="CD3417">
        <v>-1.32</v>
      </c>
      <c r="CE3417">
        <v>2.09</v>
      </c>
      <c r="CF3417">
        <v>2.84</v>
      </c>
      <c r="CG3417">
        <v>0</v>
      </c>
      <c r="CH3417">
        <v>2.71</v>
      </c>
      <c r="CI3417">
        <v>0</v>
      </c>
      <c r="CJ3417">
        <v>2.1</v>
      </c>
      <c r="CK3417">
        <v>75</v>
      </c>
      <c r="CL3417">
        <v>-1.82</v>
      </c>
      <c r="CM3417">
        <v>72</v>
      </c>
      <c r="CN3417">
        <v>-0.93</v>
      </c>
      <c r="CO3417">
        <v>69</v>
      </c>
      <c r="CP3417">
        <v>16</v>
      </c>
      <c r="CQ3417">
        <v>65</v>
      </c>
      <c r="CR3417">
        <v>0</v>
      </c>
      <c r="CS3417">
        <v>0</v>
      </c>
      <c r="CT3417">
        <v>38.9</v>
      </c>
      <c r="CU3417">
        <v>60</v>
      </c>
      <c r="CV3417">
        <v>0.38</v>
      </c>
      <c r="CW3417">
        <v>40</v>
      </c>
      <c r="CX3417" t="s">
        <v>9253</v>
      </c>
    </row>
    <row r="3418" spans="1:102" x14ac:dyDescent="0.3">
      <c r="A3418" t="str">
        <f>HYPERLINK("https://webapp.icbf.com/v2/app/bull-search/view/77858929","CJB")</f>
        <v>CJB</v>
      </c>
      <c r="B3418" t="s">
        <v>8555</v>
      </c>
      <c r="C3418" t="s">
        <v>8556</v>
      </c>
      <c r="D3418" s="1">
        <v>32383</v>
      </c>
      <c r="E3418" t="s">
        <v>92</v>
      </c>
      <c r="F3418">
        <v>100</v>
      </c>
      <c r="G3418" t="s">
        <v>116</v>
      </c>
      <c r="H3418">
        <v>-35.42</v>
      </c>
      <c r="I3418">
        <v>43</v>
      </c>
      <c r="J3418">
        <v>-17.88</v>
      </c>
      <c r="K3418">
        <v>48</v>
      </c>
      <c r="L3418">
        <v>-14.27</v>
      </c>
      <c r="M3418">
        <v>37</v>
      </c>
      <c r="N3418">
        <v>8.18</v>
      </c>
      <c r="O3418">
        <v>39</v>
      </c>
      <c r="P3418">
        <v>-15.61</v>
      </c>
      <c r="Q3418">
        <v>62</v>
      </c>
      <c r="R3418">
        <v>-10.32</v>
      </c>
      <c r="S3418">
        <v>40</v>
      </c>
      <c r="T3418">
        <v>14.49</v>
      </c>
      <c r="U3418">
        <v>41</v>
      </c>
      <c r="V3418">
        <v>-0.01</v>
      </c>
      <c r="W3418">
        <v>24</v>
      </c>
      <c r="X3418" t="s">
        <v>276</v>
      </c>
      <c r="Y3418" t="s">
        <v>95</v>
      </c>
      <c r="Z3418" t="s">
        <v>96</v>
      </c>
      <c r="AA3418" t="s">
        <v>3549</v>
      </c>
      <c r="AB3418" t="s">
        <v>8557</v>
      </c>
      <c r="AC3418">
        <v>5</v>
      </c>
      <c r="AD3418">
        <v>5</v>
      </c>
      <c r="AE3418">
        <v>48</v>
      </c>
      <c r="AF3418">
        <v>21.97</v>
      </c>
      <c r="AG3418">
        <v>7.0000000000000007E-2</v>
      </c>
      <c r="AH3418">
        <v>-2.73</v>
      </c>
      <c r="AI3418">
        <v>-0.01</v>
      </c>
      <c r="AJ3418">
        <v>-0.06</v>
      </c>
      <c r="AK3418">
        <v>37</v>
      </c>
      <c r="AL3418">
        <v>12</v>
      </c>
      <c r="AM3418">
        <v>8</v>
      </c>
      <c r="AN3418">
        <v>0.63</v>
      </c>
      <c r="AO3418">
        <v>-0.51</v>
      </c>
      <c r="AP3418">
        <v>2</v>
      </c>
      <c r="AQ3418">
        <v>2</v>
      </c>
      <c r="AR3418">
        <v>5.0199999999999996</v>
      </c>
      <c r="AS3418">
        <v>20</v>
      </c>
      <c r="AT3418">
        <v>2.85</v>
      </c>
      <c r="AU3418">
        <v>37</v>
      </c>
      <c r="AV3418">
        <v>-0.01</v>
      </c>
      <c r="AW3418">
        <v>49</v>
      </c>
      <c r="AX3418">
        <v>-0.17</v>
      </c>
      <c r="AY3418">
        <v>43</v>
      </c>
      <c r="AZ3418">
        <v>6.15</v>
      </c>
      <c r="BA3418">
        <v>20</v>
      </c>
      <c r="BB3418">
        <v>5.25</v>
      </c>
      <c r="BC3418">
        <v>26</v>
      </c>
      <c r="BD3418">
        <v>0.05</v>
      </c>
      <c r="BE3418">
        <v>0.06</v>
      </c>
      <c r="BF3418">
        <v>0.04</v>
      </c>
      <c r="BG3418">
        <v>53</v>
      </c>
      <c r="BH3418">
        <v>0.02</v>
      </c>
      <c r="BI3418">
        <v>2.33</v>
      </c>
      <c r="BJ3418">
        <v>2</v>
      </c>
      <c r="BK3418">
        <v>2</v>
      </c>
      <c r="BL3418">
        <v>0.3</v>
      </c>
      <c r="BM3418">
        <v>-0.63</v>
      </c>
      <c r="BN3418">
        <v>0.24</v>
      </c>
      <c r="BO3418">
        <v>0.37</v>
      </c>
      <c r="BP3418">
        <v>0.47</v>
      </c>
      <c r="BQ3418">
        <v>-0.5</v>
      </c>
      <c r="BR3418">
        <v>0.48</v>
      </c>
      <c r="BS3418">
        <v>0.18</v>
      </c>
      <c r="BT3418">
        <v>-1.43</v>
      </c>
      <c r="BU3418">
        <v>0.11</v>
      </c>
      <c r="BV3418">
        <v>0.27</v>
      </c>
      <c r="BW3418">
        <v>-1.34</v>
      </c>
      <c r="BX3418">
        <v>0.14000000000000001</v>
      </c>
      <c r="BY3418">
        <v>-0.96</v>
      </c>
      <c r="BZ3418">
        <v>1.66</v>
      </c>
      <c r="CA3418">
        <v>-0.44</v>
      </c>
      <c r="CB3418">
        <v>-0.38</v>
      </c>
      <c r="CC3418">
        <v>-0.34</v>
      </c>
      <c r="CD3418">
        <v>-0.35</v>
      </c>
      <c r="CE3418">
        <v>0.06</v>
      </c>
      <c r="CF3418">
        <v>-0.35</v>
      </c>
      <c r="CG3418">
        <v>0</v>
      </c>
      <c r="CH3418">
        <v>0.02</v>
      </c>
      <c r="CI3418">
        <v>0</v>
      </c>
      <c r="CJ3418">
        <v>-8.9</v>
      </c>
      <c r="CK3418">
        <v>65</v>
      </c>
      <c r="CL3418">
        <v>-0.23</v>
      </c>
      <c r="CM3418">
        <v>61</v>
      </c>
      <c r="CN3418">
        <v>-0.02</v>
      </c>
      <c r="CO3418">
        <v>58</v>
      </c>
      <c r="CP3418">
        <v>-7.9</v>
      </c>
      <c r="CQ3418">
        <v>53</v>
      </c>
      <c r="CR3418">
        <v>0</v>
      </c>
      <c r="CS3418">
        <v>0</v>
      </c>
      <c r="CT3418">
        <v>-5.8</v>
      </c>
      <c r="CU3418">
        <v>41</v>
      </c>
      <c r="CV3418">
        <v>-0.11</v>
      </c>
      <c r="CW3418">
        <v>17</v>
      </c>
      <c r="CX3418" t="s">
        <v>3854</v>
      </c>
    </row>
    <row r="3419" spans="1:102" x14ac:dyDescent="0.3">
      <c r="A3419" t="str">
        <f>HYPERLINK("https://webapp.icbf.com/v2/app/bull-search/view/77854372","QNP")</f>
        <v>QNP</v>
      </c>
      <c r="B3419" t="s">
        <v>10412</v>
      </c>
      <c r="C3419" t="s">
        <v>10413</v>
      </c>
      <c r="D3419" s="1">
        <v>35521</v>
      </c>
      <c r="E3419" t="s">
        <v>92</v>
      </c>
      <c r="F3419">
        <v>97</v>
      </c>
      <c r="G3419" t="s">
        <v>93</v>
      </c>
      <c r="H3419">
        <v>-35.549999999999997</v>
      </c>
      <c r="I3419">
        <v>86</v>
      </c>
      <c r="J3419">
        <v>11.78</v>
      </c>
      <c r="K3419">
        <v>97</v>
      </c>
      <c r="L3419">
        <v>7.39</v>
      </c>
      <c r="M3419">
        <v>83</v>
      </c>
      <c r="N3419">
        <v>-41.97</v>
      </c>
      <c r="O3419">
        <v>77</v>
      </c>
      <c r="P3419">
        <v>-12.13</v>
      </c>
      <c r="Q3419">
        <v>82</v>
      </c>
      <c r="R3419">
        <v>3.33</v>
      </c>
      <c r="S3419">
        <v>82</v>
      </c>
      <c r="T3419">
        <v>3.02</v>
      </c>
      <c r="U3419">
        <v>81</v>
      </c>
      <c r="V3419">
        <v>-6.97</v>
      </c>
      <c r="W3419">
        <v>75</v>
      </c>
      <c r="X3419" t="s">
        <v>558</v>
      </c>
      <c r="Y3419" t="s">
        <v>95</v>
      </c>
      <c r="Z3419" t="s">
        <v>96</v>
      </c>
      <c r="AA3419" t="s">
        <v>218</v>
      </c>
      <c r="AB3419" t="s">
        <v>10414</v>
      </c>
      <c r="AC3419">
        <v>63</v>
      </c>
      <c r="AD3419">
        <v>59</v>
      </c>
      <c r="AE3419">
        <v>97</v>
      </c>
      <c r="AF3419">
        <v>91.57</v>
      </c>
      <c r="AG3419">
        <v>-2.19</v>
      </c>
      <c r="AH3419">
        <v>4.18</v>
      </c>
      <c r="AI3419">
        <v>-0.1</v>
      </c>
      <c r="AJ3419">
        <v>0.02</v>
      </c>
      <c r="AK3419">
        <v>83</v>
      </c>
      <c r="AL3419">
        <v>64</v>
      </c>
      <c r="AM3419">
        <v>49</v>
      </c>
      <c r="AN3419">
        <v>-0.38</v>
      </c>
      <c r="AO3419">
        <v>0.21</v>
      </c>
      <c r="AP3419">
        <v>14</v>
      </c>
      <c r="AQ3419">
        <v>0</v>
      </c>
      <c r="AR3419">
        <v>12.7</v>
      </c>
      <c r="AS3419">
        <v>71</v>
      </c>
      <c r="AT3419">
        <v>5.41</v>
      </c>
      <c r="AU3419">
        <v>80</v>
      </c>
      <c r="AV3419">
        <v>-0.42</v>
      </c>
      <c r="AW3419">
        <v>79</v>
      </c>
      <c r="AX3419">
        <v>0.13</v>
      </c>
      <c r="AY3419">
        <v>77</v>
      </c>
      <c r="AZ3419">
        <v>6.4</v>
      </c>
      <c r="BA3419">
        <v>66</v>
      </c>
      <c r="BB3419">
        <v>5.4</v>
      </c>
      <c r="BC3419">
        <v>69</v>
      </c>
      <c r="BD3419">
        <v>-0.01</v>
      </c>
      <c r="BE3419">
        <v>0</v>
      </c>
      <c r="BF3419">
        <v>-0.06</v>
      </c>
      <c r="BG3419">
        <v>90</v>
      </c>
      <c r="BH3419">
        <v>-0.19</v>
      </c>
      <c r="BI3419">
        <v>0.5</v>
      </c>
      <c r="BJ3419">
        <v>15</v>
      </c>
      <c r="BK3419">
        <v>11</v>
      </c>
      <c r="BL3419">
        <v>0.61</v>
      </c>
      <c r="BM3419">
        <v>0.06</v>
      </c>
      <c r="BN3419">
        <v>0.02</v>
      </c>
      <c r="BO3419">
        <v>-7.0000000000000007E-2</v>
      </c>
      <c r="BP3419">
        <v>0.39</v>
      </c>
      <c r="BQ3419">
        <v>0.31</v>
      </c>
      <c r="BR3419">
        <v>-1.65</v>
      </c>
      <c r="BS3419">
        <v>1.58</v>
      </c>
      <c r="BT3419">
        <v>1.17</v>
      </c>
      <c r="BU3419">
        <v>0.84</v>
      </c>
      <c r="BV3419">
        <v>1.03</v>
      </c>
      <c r="BW3419">
        <v>1.1100000000000001</v>
      </c>
      <c r="BX3419">
        <v>1.42</v>
      </c>
      <c r="BY3419">
        <v>1.26</v>
      </c>
      <c r="BZ3419">
        <v>-0.98</v>
      </c>
      <c r="CA3419">
        <v>1.26</v>
      </c>
      <c r="CB3419">
        <v>1.01</v>
      </c>
      <c r="CC3419">
        <v>1.36</v>
      </c>
      <c r="CD3419">
        <v>-0.08</v>
      </c>
      <c r="CE3419">
        <v>0</v>
      </c>
      <c r="CF3419">
        <v>0.72</v>
      </c>
      <c r="CG3419">
        <v>0</v>
      </c>
      <c r="CH3419">
        <v>1.46</v>
      </c>
      <c r="CI3419">
        <v>0</v>
      </c>
      <c r="CJ3419">
        <v>-4.8</v>
      </c>
      <c r="CK3419">
        <v>83</v>
      </c>
      <c r="CL3419">
        <v>-0.75</v>
      </c>
      <c r="CM3419">
        <v>81</v>
      </c>
      <c r="CN3419">
        <v>-0.21</v>
      </c>
      <c r="CO3419">
        <v>78</v>
      </c>
      <c r="CP3419">
        <v>-1.5</v>
      </c>
      <c r="CQ3419">
        <v>87</v>
      </c>
      <c r="CR3419">
        <v>0</v>
      </c>
      <c r="CS3419">
        <v>0</v>
      </c>
      <c r="CT3419">
        <v>9.6999999999999993</v>
      </c>
      <c r="CU3419">
        <v>81</v>
      </c>
      <c r="CV3419">
        <v>0.16</v>
      </c>
      <c r="CW3419">
        <v>42</v>
      </c>
      <c r="CX3419" t="s">
        <v>132</v>
      </c>
    </row>
    <row r="3420" spans="1:102" x14ac:dyDescent="0.3">
      <c r="A3420" t="str">
        <f>HYPERLINK("https://webapp.icbf.com/v2/app/bull-search/view/77853574","SYS")</f>
        <v>SYS</v>
      </c>
      <c r="B3420" t="s">
        <v>4376</v>
      </c>
      <c r="C3420" t="s">
        <v>4377</v>
      </c>
      <c r="D3420" s="1">
        <v>35086</v>
      </c>
      <c r="E3420" t="s">
        <v>92</v>
      </c>
      <c r="F3420">
        <v>97</v>
      </c>
      <c r="G3420" t="s">
        <v>93</v>
      </c>
      <c r="H3420">
        <v>-35.630000000000003</v>
      </c>
      <c r="I3420">
        <v>84</v>
      </c>
      <c r="J3420">
        <v>-2.57</v>
      </c>
      <c r="K3420">
        <v>97</v>
      </c>
      <c r="L3420">
        <v>-33.51</v>
      </c>
      <c r="M3420">
        <v>80</v>
      </c>
      <c r="N3420">
        <v>10.78</v>
      </c>
      <c r="O3420">
        <v>71</v>
      </c>
      <c r="P3420">
        <v>-3.36</v>
      </c>
      <c r="Q3420">
        <v>79</v>
      </c>
      <c r="R3420">
        <v>-21.18</v>
      </c>
      <c r="S3420">
        <v>80</v>
      </c>
      <c r="T3420">
        <v>19.23</v>
      </c>
      <c r="U3420">
        <v>79</v>
      </c>
      <c r="V3420">
        <v>-5.0199999999999996</v>
      </c>
      <c r="W3420">
        <v>69</v>
      </c>
      <c r="X3420" t="s">
        <v>94</v>
      </c>
      <c r="Y3420" t="s">
        <v>95</v>
      </c>
      <c r="Z3420" t="s">
        <v>96</v>
      </c>
      <c r="AA3420" t="s">
        <v>529</v>
      </c>
      <c r="AB3420" t="s">
        <v>4378</v>
      </c>
      <c r="AC3420">
        <v>78</v>
      </c>
      <c r="AD3420">
        <v>73</v>
      </c>
      <c r="AE3420">
        <v>97</v>
      </c>
      <c r="AF3420">
        <v>96.72</v>
      </c>
      <c r="AG3420">
        <v>1.82</v>
      </c>
      <c r="AH3420">
        <v>0.4</v>
      </c>
      <c r="AI3420">
        <v>-0.03</v>
      </c>
      <c r="AJ3420">
        <v>-0.05</v>
      </c>
      <c r="AK3420">
        <v>80</v>
      </c>
      <c r="AL3420">
        <v>81</v>
      </c>
      <c r="AM3420">
        <v>64</v>
      </c>
      <c r="AN3420">
        <v>2.0099999999999998</v>
      </c>
      <c r="AO3420">
        <v>-0.66</v>
      </c>
      <c r="AP3420">
        <v>1</v>
      </c>
      <c r="AQ3420">
        <v>0</v>
      </c>
      <c r="AR3420">
        <v>7.82</v>
      </c>
      <c r="AS3420">
        <v>59</v>
      </c>
      <c r="AT3420">
        <v>2.71</v>
      </c>
      <c r="AU3420">
        <v>76</v>
      </c>
      <c r="AV3420">
        <v>-1.23</v>
      </c>
      <c r="AW3420">
        <v>73</v>
      </c>
      <c r="AX3420">
        <v>-0.49</v>
      </c>
      <c r="AY3420">
        <v>75</v>
      </c>
      <c r="AZ3420">
        <v>6.81</v>
      </c>
      <c r="BA3420">
        <v>53</v>
      </c>
      <c r="BB3420">
        <v>5.51</v>
      </c>
      <c r="BC3420">
        <v>65</v>
      </c>
      <c r="BD3420">
        <v>0.03</v>
      </c>
      <c r="BE3420">
        <v>0.13</v>
      </c>
      <c r="BF3420">
        <v>0.19</v>
      </c>
      <c r="BG3420">
        <v>90</v>
      </c>
      <c r="BH3420">
        <v>0</v>
      </c>
      <c r="BI3420">
        <v>16.190000000000001</v>
      </c>
      <c r="BJ3420">
        <v>7</v>
      </c>
      <c r="BK3420">
        <v>5</v>
      </c>
      <c r="BL3420">
        <v>0.22</v>
      </c>
      <c r="BM3420">
        <v>0.01</v>
      </c>
      <c r="BN3420">
        <v>-7.0000000000000007E-2</v>
      </c>
      <c r="BO3420">
        <v>-0.08</v>
      </c>
      <c r="BP3420">
        <v>-0.27</v>
      </c>
      <c r="BQ3420">
        <v>-0.26</v>
      </c>
      <c r="BR3420">
        <v>-0.25</v>
      </c>
      <c r="BS3420">
        <v>-1.07</v>
      </c>
      <c r="BT3420">
        <v>-1.0900000000000001</v>
      </c>
      <c r="BU3420">
        <v>-0.19</v>
      </c>
      <c r="BV3420">
        <v>0.06</v>
      </c>
      <c r="BW3420">
        <v>-0.44</v>
      </c>
      <c r="BX3420">
        <v>-0.73</v>
      </c>
      <c r="BY3420">
        <v>-0.86</v>
      </c>
      <c r="BZ3420">
        <v>-0.35</v>
      </c>
      <c r="CA3420">
        <v>-0.35</v>
      </c>
      <c r="CB3420">
        <v>-0.21</v>
      </c>
      <c r="CC3420">
        <v>-0.73</v>
      </c>
      <c r="CD3420">
        <v>0.09</v>
      </c>
      <c r="CE3420">
        <v>0.62</v>
      </c>
      <c r="CF3420">
        <v>0.19</v>
      </c>
      <c r="CG3420">
        <v>0</v>
      </c>
      <c r="CH3420">
        <v>-0.87</v>
      </c>
      <c r="CI3420">
        <v>0</v>
      </c>
      <c r="CJ3420">
        <v>1.1000000000000001</v>
      </c>
      <c r="CK3420">
        <v>80</v>
      </c>
      <c r="CL3420">
        <v>-0.72</v>
      </c>
      <c r="CM3420">
        <v>77</v>
      </c>
      <c r="CN3420">
        <v>-0.31</v>
      </c>
      <c r="CO3420">
        <v>74</v>
      </c>
      <c r="CP3420">
        <v>-7.2</v>
      </c>
      <c r="CQ3420">
        <v>84</v>
      </c>
      <c r="CR3420">
        <v>0</v>
      </c>
      <c r="CS3420">
        <v>0</v>
      </c>
      <c r="CT3420">
        <v>-12.2</v>
      </c>
      <c r="CU3420">
        <v>79</v>
      </c>
      <c r="CV3420">
        <v>0.22</v>
      </c>
      <c r="CW3420">
        <v>42</v>
      </c>
      <c r="CX3420" t="s">
        <v>193</v>
      </c>
    </row>
    <row r="3421" spans="1:102" x14ac:dyDescent="0.3">
      <c r="A3421" t="str">
        <f>HYPERLINK("https://webapp.icbf.com/v2/app/bull-search/view/678696412","S1403")</f>
        <v>S1403</v>
      </c>
      <c r="B3421" t="s">
        <v>7149</v>
      </c>
      <c r="C3421" t="s">
        <v>7150</v>
      </c>
      <c r="D3421" s="1">
        <v>39235</v>
      </c>
      <c r="E3421" t="s">
        <v>92</v>
      </c>
      <c r="F3421">
        <v>100</v>
      </c>
      <c r="G3421" t="s">
        <v>93</v>
      </c>
      <c r="H3421">
        <v>-35.96</v>
      </c>
      <c r="I3421">
        <v>88</v>
      </c>
      <c r="J3421">
        <v>34.04</v>
      </c>
      <c r="K3421">
        <v>96</v>
      </c>
      <c r="L3421">
        <v>-70.42</v>
      </c>
      <c r="M3421">
        <v>87</v>
      </c>
      <c r="N3421">
        <v>-0.05</v>
      </c>
      <c r="O3421">
        <v>83</v>
      </c>
      <c r="P3421">
        <v>-10.53</v>
      </c>
      <c r="Q3421">
        <v>89</v>
      </c>
      <c r="R3421">
        <v>5.52</v>
      </c>
      <c r="S3421">
        <v>81</v>
      </c>
      <c r="T3421">
        <v>7.17</v>
      </c>
      <c r="U3421">
        <v>72</v>
      </c>
      <c r="V3421">
        <v>-1.69</v>
      </c>
      <c r="W3421">
        <v>71</v>
      </c>
      <c r="X3421" t="s">
        <v>251</v>
      </c>
      <c r="Y3421" t="s">
        <v>342</v>
      </c>
      <c r="Z3421" t="s">
        <v>96</v>
      </c>
      <c r="AA3421" t="s">
        <v>309</v>
      </c>
      <c r="AB3421" t="s">
        <v>7151</v>
      </c>
      <c r="AC3421">
        <v>74</v>
      </c>
      <c r="AD3421">
        <v>35</v>
      </c>
      <c r="AE3421">
        <v>96</v>
      </c>
      <c r="AF3421">
        <v>132.86000000000001</v>
      </c>
      <c r="AG3421">
        <v>9.59</v>
      </c>
      <c r="AH3421">
        <v>4.43</v>
      </c>
      <c r="AI3421">
        <v>0.08</v>
      </c>
      <c r="AJ3421">
        <v>0</v>
      </c>
      <c r="AK3421">
        <v>87</v>
      </c>
      <c r="AL3421">
        <v>55</v>
      </c>
      <c r="AM3421">
        <v>30</v>
      </c>
      <c r="AN3421">
        <v>5.05</v>
      </c>
      <c r="AO3421">
        <v>-0.55000000000000004</v>
      </c>
      <c r="AP3421">
        <v>221</v>
      </c>
      <c r="AQ3421">
        <v>0</v>
      </c>
      <c r="AR3421">
        <v>7.81</v>
      </c>
      <c r="AS3421">
        <v>72</v>
      </c>
      <c r="AT3421">
        <v>4.13</v>
      </c>
      <c r="AU3421">
        <v>88</v>
      </c>
      <c r="AV3421">
        <v>-1.38</v>
      </c>
      <c r="AW3421">
        <v>94</v>
      </c>
      <c r="AX3421">
        <v>1.06</v>
      </c>
      <c r="AY3421">
        <v>79</v>
      </c>
      <c r="AZ3421">
        <v>5.97</v>
      </c>
      <c r="BA3421">
        <v>65</v>
      </c>
      <c r="BB3421">
        <v>4.75</v>
      </c>
      <c r="BC3421">
        <v>57</v>
      </c>
      <c r="BD3421">
        <v>0</v>
      </c>
      <c r="BE3421">
        <v>-0.03</v>
      </c>
      <c r="BF3421">
        <v>-7.0000000000000007E-2</v>
      </c>
      <c r="BG3421">
        <v>93</v>
      </c>
      <c r="BH3421">
        <v>0.08</v>
      </c>
      <c r="BI3421">
        <v>14.69</v>
      </c>
      <c r="BJ3421">
        <v>45</v>
      </c>
      <c r="BK3421">
        <v>21</v>
      </c>
      <c r="BL3421">
        <v>1.68</v>
      </c>
      <c r="BM3421">
        <v>-1.37</v>
      </c>
      <c r="BN3421">
        <v>1.3</v>
      </c>
      <c r="BO3421">
        <v>1.48</v>
      </c>
      <c r="BP3421">
        <v>2.58</v>
      </c>
      <c r="BQ3421">
        <v>0.97</v>
      </c>
      <c r="BR3421">
        <v>0.08</v>
      </c>
      <c r="BS3421">
        <v>0.67</v>
      </c>
      <c r="BT3421">
        <v>0.12</v>
      </c>
      <c r="BU3421">
        <v>2.5099999999999998</v>
      </c>
      <c r="BV3421">
        <v>2.12</v>
      </c>
      <c r="BW3421">
        <v>1.74</v>
      </c>
      <c r="BX3421">
        <v>1.63</v>
      </c>
      <c r="BY3421">
        <v>1.27</v>
      </c>
      <c r="BZ3421">
        <v>0.99</v>
      </c>
      <c r="CA3421">
        <v>1.21</v>
      </c>
      <c r="CB3421">
        <v>1.74</v>
      </c>
      <c r="CC3421">
        <v>0.78</v>
      </c>
      <c r="CD3421">
        <v>-0.97</v>
      </c>
      <c r="CE3421">
        <v>1.26</v>
      </c>
      <c r="CF3421">
        <v>1.54</v>
      </c>
      <c r="CG3421">
        <v>0</v>
      </c>
      <c r="CH3421">
        <v>1.32</v>
      </c>
      <c r="CI3421">
        <v>0</v>
      </c>
      <c r="CJ3421">
        <v>-3</v>
      </c>
      <c r="CK3421">
        <v>91</v>
      </c>
      <c r="CL3421">
        <v>-1.37</v>
      </c>
      <c r="CM3421">
        <v>89</v>
      </c>
      <c r="CN3421">
        <v>-0.68</v>
      </c>
      <c r="CO3421">
        <v>88</v>
      </c>
      <c r="CP3421">
        <v>-1.4</v>
      </c>
      <c r="CQ3421">
        <v>78</v>
      </c>
      <c r="CR3421">
        <v>0</v>
      </c>
      <c r="CS3421">
        <v>0</v>
      </c>
      <c r="CT3421">
        <v>4.0999999999999996</v>
      </c>
      <c r="CU3421">
        <v>72</v>
      </c>
      <c r="CV3421">
        <v>0.22</v>
      </c>
      <c r="CW3421">
        <v>44</v>
      </c>
      <c r="CX3421" t="s">
        <v>4248</v>
      </c>
    </row>
    <row r="3422" spans="1:102" x14ac:dyDescent="0.3">
      <c r="A3422" t="str">
        <f>HYPERLINK("https://webapp.icbf.com/v2/app/bull-search/view/69091492","DLZ")</f>
        <v>DLZ</v>
      </c>
      <c r="B3422" t="s">
        <v>3284</v>
      </c>
      <c r="C3422" t="s">
        <v>3285</v>
      </c>
      <c r="D3422" s="1">
        <v>36307</v>
      </c>
      <c r="E3422" t="s">
        <v>92</v>
      </c>
      <c r="F3422">
        <v>100</v>
      </c>
      <c r="G3422" t="s">
        <v>93</v>
      </c>
      <c r="H3422">
        <v>-35.97</v>
      </c>
      <c r="I3422">
        <v>92</v>
      </c>
      <c r="J3422">
        <v>29.48</v>
      </c>
      <c r="K3422">
        <v>98</v>
      </c>
      <c r="L3422">
        <v>-57.93</v>
      </c>
      <c r="M3422">
        <v>87</v>
      </c>
      <c r="N3422">
        <v>18.260000000000002</v>
      </c>
      <c r="O3422">
        <v>91</v>
      </c>
      <c r="P3422">
        <v>-18.14</v>
      </c>
      <c r="Q3422">
        <v>97</v>
      </c>
      <c r="R3422">
        <v>-12.11</v>
      </c>
      <c r="S3422">
        <v>86</v>
      </c>
      <c r="T3422">
        <v>6.87</v>
      </c>
      <c r="U3422">
        <v>94</v>
      </c>
      <c r="V3422">
        <v>-2.4</v>
      </c>
      <c r="W3422">
        <v>82</v>
      </c>
      <c r="X3422" t="s">
        <v>94</v>
      </c>
      <c r="Y3422" t="s">
        <v>95</v>
      </c>
      <c r="Z3422" t="s">
        <v>96</v>
      </c>
      <c r="AA3422" t="s">
        <v>216</v>
      </c>
      <c r="AB3422" t="s">
        <v>2854</v>
      </c>
      <c r="AC3422">
        <v>230</v>
      </c>
      <c r="AD3422">
        <v>176</v>
      </c>
      <c r="AE3422">
        <v>98</v>
      </c>
      <c r="AF3422">
        <v>112.23</v>
      </c>
      <c r="AG3422">
        <v>9.84</v>
      </c>
      <c r="AH3422">
        <v>3.25</v>
      </c>
      <c r="AI3422">
        <v>0.09</v>
      </c>
      <c r="AJ3422">
        <v>-0.01</v>
      </c>
      <c r="AK3422">
        <v>87</v>
      </c>
      <c r="AL3422">
        <v>234</v>
      </c>
      <c r="AM3422">
        <v>187</v>
      </c>
      <c r="AN3422">
        <v>3.12</v>
      </c>
      <c r="AO3422">
        <v>-1.5</v>
      </c>
      <c r="AP3422">
        <v>354</v>
      </c>
      <c r="AQ3422">
        <v>0</v>
      </c>
      <c r="AR3422">
        <v>5.95</v>
      </c>
      <c r="AS3422">
        <v>82</v>
      </c>
      <c r="AT3422">
        <v>2.38</v>
      </c>
      <c r="AU3422">
        <v>93</v>
      </c>
      <c r="AV3422">
        <v>-2.2000000000000002</v>
      </c>
      <c r="AW3422">
        <v>96</v>
      </c>
      <c r="AX3422">
        <v>0.13</v>
      </c>
      <c r="AY3422">
        <v>91</v>
      </c>
      <c r="AZ3422">
        <v>7.62</v>
      </c>
      <c r="BA3422">
        <v>78</v>
      </c>
      <c r="BB3422">
        <v>6.25</v>
      </c>
      <c r="BC3422">
        <v>81</v>
      </c>
      <c r="BD3422">
        <v>0.05</v>
      </c>
      <c r="BE3422">
        <v>0.05</v>
      </c>
      <c r="BF3422">
        <v>0.1</v>
      </c>
      <c r="BG3422">
        <v>94</v>
      </c>
      <c r="BH3422">
        <v>0.1</v>
      </c>
      <c r="BI3422">
        <v>19.32</v>
      </c>
      <c r="BJ3422">
        <v>46</v>
      </c>
      <c r="BK3422">
        <v>36</v>
      </c>
      <c r="BL3422">
        <v>-0.28999999999999998</v>
      </c>
      <c r="BM3422">
        <v>0.05</v>
      </c>
      <c r="BN3422">
        <v>0.91</v>
      </c>
      <c r="BO3422">
        <v>0.28999999999999998</v>
      </c>
      <c r="BP3422">
        <v>-0.5</v>
      </c>
      <c r="BQ3422">
        <v>-0.63</v>
      </c>
      <c r="BR3422">
        <v>0.82</v>
      </c>
      <c r="BS3422">
        <v>-2.16</v>
      </c>
      <c r="BT3422">
        <v>-2.29</v>
      </c>
      <c r="BU3422">
        <v>-1.69</v>
      </c>
      <c r="BV3422">
        <v>-0.79</v>
      </c>
      <c r="BW3422">
        <v>-0.84</v>
      </c>
      <c r="BX3422">
        <v>-2.73</v>
      </c>
      <c r="BY3422">
        <v>-2.09</v>
      </c>
      <c r="BZ3422">
        <v>2.82</v>
      </c>
      <c r="CA3422">
        <v>-2.16</v>
      </c>
      <c r="CB3422">
        <v>-1.61</v>
      </c>
      <c r="CC3422">
        <v>-2.0299999999999998</v>
      </c>
      <c r="CD3422">
        <v>0.3</v>
      </c>
      <c r="CE3422">
        <v>0.27</v>
      </c>
      <c r="CF3422">
        <v>0.06</v>
      </c>
      <c r="CG3422">
        <v>0</v>
      </c>
      <c r="CH3422">
        <v>-2.41</v>
      </c>
      <c r="CI3422">
        <v>0</v>
      </c>
      <c r="CJ3422">
        <v>-6.6</v>
      </c>
      <c r="CK3422">
        <v>97</v>
      </c>
      <c r="CL3422">
        <v>-0.9</v>
      </c>
      <c r="CM3422">
        <v>97</v>
      </c>
      <c r="CN3422">
        <v>-0.16</v>
      </c>
      <c r="CO3422">
        <v>96</v>
      </c>
      <c r="CP3422">
        <v>-10.8</v>
      </c>
      <c r="CQ3422">
        <v>96</v>
      </c>
      <c r="CR3422">
        <v>0</v>
      </c>
      <c r="CS3422">
        <v>0</v>
      </c>
      <c r="CT3422">
        <v>4.5</v>
      </c>
      <c r="CU3422">
        <v>94</v>
      </c>
      <c r="CV3422">
        <v>0.15</v>
      </c>
      <c r="CW3422">
        <v>46</v>
      </c>
      <c r="CX3422" t="s">
        <v>2855</v>
      </c>
    </row>
    <row r="3423" spans="1:102" x14ac:dyDescent="0.3">
      <c r="A3423" t="str">
        <f>HYPERLINK("https://webapp.icbf.com/v2/app/bull-search/view/444592871","S548")</f>
        <v>S548</v>
      </c>
      <c r="B3423" t="s">
        <v>11970</v>
      </c>
      <c r="C3423" t="s">
        <v>3073</v>
      </c>
      <c r="D3423" s="1">
        <v>36438</v>
      </c>
      <c r="E3423" t="s">
        <v>92</v>
      </c>
      <c r="F3423">
        <v>100</v>
      </c>
      <c r="G3423" t="s">
        <v>93</v>
      </c>
      <c r="H3423">
        <v>-35.99</v>
      </c>
      <c r="I3423">
        <v>91</v>
      </c>
      <c r="J3423">
        <v>8.16</v>
      </c>
      <c r="K3423">
        <v>97</v>
      </c>
      <c r="L3423">
        <v>-64.31</v>
      </c>
      <c r="M3423">
        <v>90</v>
      </c>
      <c r="N3423">
        <v>30.2</v>
      </c>
      <c r="O3423">
        <v>88</v>
      </c>
      <c r="P3423">
        <v>-2.0699999999999998</v>
      </c>
      <c r="Q3423">
        <v>90</v>
      </c>
      <c r="R3423">
        <v>-3.17</v>
      </c>
      <c r="S3423">
        <v>80</v>
      </c>
      <c r="T3423">
        <v>-3.86</v>
      </c>
      <c r="U3423">
        <v>85</v>
      </c>
      <c r="V3423">
        <v>-0.94</v>
      </c>
      <c r="W3423">
        <v>71</v>
      </c>
      <c r="X3423" t="s">
        <v>110</v>
      </c>
      <c r="Y3423" t="s">
        <v>95</v>
      </c>
      <c r="Z3423" t="s">
        <v>96</v>
      </c>
      <c r="AA3423" t="s">
        <v>2032</v>
      </c>
      <c r="AB3423" t="s">
        <v>11971</v>
      </c>
      <c r="AC3423">
        <v>105</v>
      </c>
      <c r="AD3423">
        <v>50</v>
      </c>
      <c r="AE3423">
        <v>97</v>
      </c>
      <c r="AF3423">
        <v>148.05000000000001</v>
      </c>
      <c r="AG3423">
        <v>-1.63</v>
      </c>
      <c r="AH3423">
        <v>4.2300000000000004</v>
      </c>
      <c r="AI3423">
        <v>-0.13</v>
      </c>
      <c r="AJ3423">
        <v>-0.01</v>
      </c>
      <c r="AK3423">
        <v>90</v>
      </c>
      <c r="AL3423">
        <v>98</v>
      </c>
      <c r="AM3423">
        <v>52</v>
      </c>
      <c r="AN3423">
        <v>5.72</v>
      </c>
      <c r="AO3423">
        <v>0.62</v>
      </c>
      <c r="AP3423">
        <v>165</v>
      </c>
      <c r="AQ3423">
        <v>0</v>
      </c>
      <c r="AR3423">
        <v>5.85</v>
      </c>
      <c r="AS3423">
        <v>82</v>
      </c>
      <c r="AT3423">
        <v>3.05</v>
      </c>
      <c r="AU3423">
        <v>97</v>
      </c>
      <c r="AV3423">
        <v>-3.14</v>
      </c>
      <c r="AW3423">
        <v>95</v>
      </c>
      <c r="AX3423">
        <v>0.22</v>
      </c>
      <c r="AY3423">
        <v>84</v>
      </c>
      <c r="AZ3423">
        <v>6.38</v>
      </c>
      <c r="BA3423">
        <v>66</v>
      </c>
      <c r="BB3423">
        <v>4.8600000000000003</v>
      </c>
      <c r="BC3423">
        <v>64</v>
      </c>
      <c r="BD3423">
        <v>0.03</v>
      </c>
      <c r="BE3423">
        <v>-0.03</v>
      </c>
      <c r="BF3423">
        <v>0.08</v>
      </c>
      <c r="BG3423">
        <v>94</v>
      </c>
      <c r="BH3423">
        <v>0.13</v>
      </c>
      <c r="BI3423">
        <v>18.07</v>
      </c>
      <c r="BJ3423">
        <v>58</v>
      </c>
      <c r="BK3423">
        <v>27</v>
      </c>
      <c r="BL3423">
        <v>0.87</v>
      </c>
      <c r="BM3423">
        <v>0.61</v>
      </c>
      <c r="BN3423">
        <v>0.7</v>
      </c>
      <c r="BO3423">
        <v>0.41</v>
      </c>
      <c r="BP3423">
        <v>0.7</v>
      </c>
      <c r="BQ3423">
        <v>2.34</v>
      </c>
      <c r="BR3423">
        <v>-1.1599999999999999</v>
      </c>
      <c r="BS3423">
        <v>2.29</v>
      </c>
      <c r="BT3423">
        <v>1.41</v>
      </c>
      <c r="BU3423">
        <v>1.64</v>
      </c>
      <c r="BV3423">
        <v>1.1599999999999999</v>
      </c>
      <c r="BW3423">
        <v>0.71</v>
      </c>
      <c r="BX3423">
        <v>1.45</v>
      </c>
      <c r="BY3423">
        <v>1.08</v>
      </c>
      <c r="BZ3423">
        <v>-0.64</v>
      </c>
      <c r="CA3423">
        <v>2.16</v>
      </c>
      <c r="CB3423">
        <v>1.65</v>
      </c>
      <c r="CC3423">
        <v>2</v>
      </c>
      <c r="CD3423">
        <v>0.48</v>
      </c>
      <c r="CE3423">
        <v>0.71</v>
      </c>
      <c r="CF3423">
        <v>2.04</v>
      </c>
      <c r="CG3423">
        <v>0</v>
      </c>
      <c r="CH3423">
        <v>1.17</v>
      </c>
      <c r="CI3423">
        <v>0</v>
      </c>
      <c r="CJ3423">
        <v>0.5</v>
      </c>
      <c r="CK3423">
        <v>91</v>
      </c>
      <c r="CL3423">
        <v>-0.91</v>
      </c>
      <c r="CM3423">
        <v>90</v>
      </c>
      <c r="CN3423">
        <v>-0.5</v>
      </c>
      <c r="CO3423">
        <v>88</v>
      </c>
      <c r="CP3423">
        <v>5.2</v>
      </c>
      <c r="CQ3423">
        <v>88</v>
      </c>
      <c r="CR3423">
        <v>0</v>
      </c>
      <c r="CS3423">
        <v>0</v>
      </c>
      <c r="CT3423">
        <v>19</v>
      </c>
      <c r="CU3423">
        <v>85</v>
      </c>
      <c r="CV3423">
        <v>0.12</v>
      </c>
      <c r="CW3423">
        <v>44</v>
      </c>
      <c r="CX3423" t="s">
        <v>3655</v>
      </c>
    </row>
    <row r="3424" spans="1:102" x14ac:dyDescent="0.3">
      <c r="A3424" t="str">
        <f>HYPERLINK("https://webapp.icbf.com/v2/app/bull-search/view/462433097","S530")</f>
        <v>S530</v>
      </c>
      <c r="B3424" t="s">
        <v>10030</v>
      </c>
      <c r="C3424" t="s">
        <v>10031</v>
      </c>
      <c r="D3424" s="1">
        <v>36800</v>
      </c>
      <c r="E3424" t="s">
        <v>92</v>
      </c>
      <c r="F3424">
        <v>100</v>
      </c>
      <c r="G3424" t="s">
        <v>109</v>
      </c>
      <c r="H3424">
        <v>-36.04</v>
      </c>
      <c r="I3424">
        <v>74</v>
      </c>
      <c r="J3424">
        <v>-11.46</v>
      </c>
      <c r="K3424">
        <v>80</v>
      </c>
      <c r="L3424">
        <v>-56.16</v>
      </c>
      <c r="M3424">
        <v>79</v>
      </c>
      <c r="N3424">
        <v>33.39</v>
      </c>
      <c r="O3424">
        <v>65</v>
      </c>
      <c r="P3424">
        <v>-15.34</v>
      </c>
      <c r="Q3424">
        <v>67</v>
      </c>
      <c r="R3424">
        <v>7.31</v>
      </c>
      <c r="S3424">
        <v>68</v>
      </c>
      <c r="T3424">
        <v>6.2</v>
      </c>
      <c r="U3424">
        <v>64</v>
      </c>
      <c r="V3424">
        <v>0.02</v>
      </c>
      <c r="W3424">
        <v>34</v>
      </c>
      <c r="X3424" t="s">
        <v>747</v>
      </c>
      <c r="Y3424" t="s">
        <v>95</v>
      </c>
      <c r="Z3424" t="s">
        <v>96</v>
      </c>
      <c r="AA3424" t="s">
        <v>311</v>
      </c>
      <c r="AB3424" t="s">
        <v>10032</v>
      </c>
      <c r="AC3424">
        <v>0</v>
      </c>
      <c r="AD3424">
        <v>0</v>
      </c>
      <c r="AE3424">
        <v>80</v>
      </c>
      <c r="AF3424">
        <v>182.62</v>
      </c>
      <c r="AG3424">
        <v>-8.9700000000000006</v>
      </c>
      <c r="AH3424">
        <v>4.0199999999999996</v>
      </c>
      <c r="AI3424">
        <v>-0.26</v>
      </c>
      <c r="AJ3424">
        <v>-0.04</v>
      </c>
      <c r="AK3424">
        <v>79</v>
      </c>
      <c r="AL3424">
        <v>0</v>
      </c>
      <c r="AM3424">
        <v>0</v>
      </c>
      <c r="AN3424">
        <v>2.19</v>
      </c>
      <c r="AO3424">
        <v>-2.2999999999999998</v>
      </c>
      <c r="AP3424">
        <v>14</v>
      </c>
      <c r="AQ3424">
        <v>0</v>
      </c>
      <c r="AR3424">
        <v>5.65</v>
      </c>
      <c r="AS3424">
        <v>40</v>
      </c>
      <c r="AT3424">
        <v>2.71</v>
      </c>
      <c r="AU3424">
        <v>86</v>
      </c>
      <c r="AV3424">
        <v>-2.61</v>
      </c>
      <c r="AW3424">
        <v>73</v>
      </c>
      <c r="AX3424">
        <v>-0.78</v>
      </c>
      <c r="AY3424">
        <v>52</v>
      </c>
      <c r="AZ3424">
        <v>6.16</v>
      </c>
      <c r="BA3424">
        <v>36</v>
      </c>
      <c r="BB3424">
        <v>4.55</v>
      </c>
      <c r="BC3424">
        <v>37</v>
      </c>
      <c r="BD3424">
        <v>-0.03</v>
      </c>
      <c r="BE3424">
        <v>-0.02</v>
      </c>
      <c r="BF3424">
        <v>-0.08</v>
      </c>
      <c r="BG3424">
        <v>88</v>
      </c>
      <c r="BH3424">
        <v>-0.09</v>
      </c>
      <c r="BI3424">
        <v>-10.49</v>
      </c>
      <c r="BJ3424">
        <v>9</v>
      </c>
      <c r="BK3424">
        <v>6</v>
      </c>
      <c r="BL3424">
        <v>0.85</v>
      </c>
      <c r="BM3424">
        <v>-0.9</v>
      </c>
      <c r="BN3424">
        <v>-0.71</v>
      </c>
      <c r="BO3424">
        <v>0.05</v>
      </c>
      <c r="BP3424">
        <v>1.44</v>
      </c>
      <c r="BQ3424">
        <v>0.1</v>
      </c>
      <c r="BR3424">
        <v>-1.65</v>
      </c>
      <c r="BS3424">
        <v>1</v>
      </c>
      <c r="BT3424">
        <v>1.47</v>
      </c>
      <c r="BU3424">
        <v>0.61</v>
      </c>
      <c r="BV3424">
        <v>1.1599999999999999</v>
      </c>
      <c r="BW3424">
        <v>2.1800000000000002</v>
      </c>
      <c r="BX3424">
        <v>1.2</v>
      </c>
      <c r="BY3424">
        <v>3.02</v>
      </c>
      <c r="BZ3424">
        <v>0.14000000000000001</v>
      </c>
      <c r="CA3424">
        <v>1.2</v>
      </c>
      <c r="CB3424">
        <v>0.83</v>
      </c>
      <c r="CC3424">
        <v>1.22</v>
      </c>
      <c r="CD3424">
        <v>0.5</v>
      </c>
      <c r="CE3424">
        <v>0.72</v>
      </c>
      <c r="CF3424">
        <v>0.28999999999999998</v>
      </c>
      <c r="CG3424">
        <v>0</v>
      </c>
      <c r="CH3424">
        <v>1</v>
      </c>
      <c r="CI3424">
        <v>0</v>
      </c>
      <c r="CJ3424">
        <v>-8.6</v>
      </c>
      <c r="CK3424">
        <v>69</v>
      </c>
      <c r="CL3424">
        <v>-0.83</v>
      </c>
      <c r="CM3424">
        <v>66</v>
      </c>
      <c r="CN3424">
        <v>-0.45</v>
      </c>
      <c r="CO3424">
        <v>62</v>
      </c>
      <c r="CP3424">
        <v>-1.2</v>
      </c>
      <c r="CQ3424">
        <v>69</v>
      </c>
      <c r="CR3424">
        <v>0</v>
      </c>
      <c r="CS3424">
        <v>0</v>
      </c>
      <c r="CT3424">
        <v>5.4</v>
      </c>
      <c r="CU3424">
        <v>64</v>
      </c>
      <c r="CV3424">
        <v>0.08</v>
      </c>
      <c r="CW3424">
        <v>19</v>
      </c>
      <c r="CX3424" t="s">
        <v>161</v>
      </c>
    </row>
    <row r="3425" spans="1:102" x14ac:dyDescent="0.3">
      <c r="A3425" t="str">
        <f>HYPERLINK("https://webapp.icbf.com/v2/app/bull-search/view/77854366","QGV")</f>
        <v>QGV</v>
      </c>
      <c r="B3425" t="s">
        <v>4681</v>
      </c>
      <c r="C3425" t="s">
        <v>4682</v>
      </c>
      <c r="D3425" s="1">
        <v>35463</v>
      </c>
      <c r="E3425" t="s">
        <v>92</v>
      </c>
      <c r="F3425">
        <v>100</v>
      </c>
      <c r="G3425" t="s">
        <v>93</v>
      </c>
      <c r="H3425">
        <v>-36.18</v>
      </c>
      <c r="I3425">
        <v>74</v>
      </c>
      <c r="J3425">
        <v>9.48</v>
      </c>
      <c r="K3425">
        <v>94</v>
      </c>
      <c r="L3425">
        <v>-68.72</v>
      </c>
      <c r="M3425">
        <v>62</v>
      </c>
      <c r="N3425">
        <v>13.11</v>
      </c>
      <c r="O3425">
        <v>64</v>
      </c>
      <c r="P3425">
        <v>0.9</v>
      </c>
      <c r="Q3425">
        <v>79</v>
      </c>
      <c r="R3425">
        <v>2.99</v>
      </c>
      <c r="S3425">
        <v>67</v>
      </c>
      <c r="T3425">
        <v>5.39</v>
      </c>
      <c r="U3425">
        <v>73</v>
      </c>
      <c r="V3425">
        <v>0.67</v>
      </c>
      <c r="W3425">
        <v>38</v>
      </c>
      <c r="X3425" t="s">
        <v>94</v>
      </c>
      <c r="Y3425" t="s">
        <v>95</v>
      </c>
      <c r="Z3425" t="s">
        <v>96</v>
      </c>
      <c r="AA3425" t="s">
        <v>188</v>
      </c>
      <c r="AB3425" t="s">
        <v>4683</v>
      </c>
      <c r="AC3425">
        <v>62</v>
      </c>
      <c r="AD3425">
        <v>54</v>
      </c>
      <c r="AE3425">
        <v>94</v>
      </c>
      <c r="AF3425">
        <v>86.82</v>
      </c>
      <c r="AG3425">
        <v>2.63</v>
      </c>
      <c r="AH3425">
        <v>2.0099999999999998</v>
      </c>
      <c r="AI3425">
        <v>-0.01</v>
      </c>
      <c r="AJ3425">
        <v>-0.02</v>
      </c>
      <c r="AK3425">
        <v>62</v>
      </c>
      <c r="AL3425">
        <v>61</v>
      </c>
      <c r="AM3425">
        <v>52</v>
      </c>
      <c r="AN3425">
        <v>4.5199999999999996</v>
      </c>
      <c r="AO3425">
        <v>-0.95</v>
      </c>
      <c r="AP3425">
        <v>9</v>
      </c>
      <c r="AQ3425">
        <v>0</v>
      </c>
      <c r="AR3425">
        <v>6.23</v>
      </c>
      <c r="AS3425">
        <v>45</v>
      </c>
      <c r="AT3425">
        <v>2.81</v>
      </c>
      <c r="AU3425">
        <v>58</v>
      </c>
      <c r="AV3425">
        <v>-0.35</v>
      </c>
      <c r="AW3425">
        <v>75</v>
      </c>
      <c r="AX3425">
        <v>-0.84</v>
      </c>
      <c r="AY3425">
        <v>68</v>
      </c>
      <c r="AZ3425">
        <v>6.47</v>
      </c>
      <c r="BA3425">
        <v>47</v>
      </c>
      <c r="BB3425">
        <v>4.55</v>
      </c>
      <c r="BC3425">
        <v>53</v>
      </c>
      <c r="BD3425">
        <v>0.02</v>
      </c>
      <c r="BE3425">
        <v>0.02</v>
      </c>
      <c r="BF3425">
        <v>-0.14000000000000001</v>
      </c>
      <c r="BG3425">
        <v>79</v>
      </c>
      <c r="BH3425">
        <v>7.0000000000000007E-2</v>
      </c>
      <c r="BI3425">
        <v>5.95</v>
      </c>
      <c r="BJ3425">
        <v>15</v>
      </c>
      <c r="BK3425">
        <v>12</v>
      </c>
      <c r="BL3425">
        <v>0.28000000000000003</v>
      </c>
      <c r="BM3425">
        <v>0.95</v>
      </c>
      <c r="BN3425">
        <v>0.51</v>
      </c>
      <c r="BO3425">
        <v>-0.01</v>
      </c>
      <c r="BP3425">
        <v>-0.22</v>
      </c>
      <c r="BQ3425">
        <v>0.03</v>
      </c>
      <c r="BR3425">
        <v>0.52</v>
      </c>
      <c r="BS3425">
        <v>0.69</v>
      </c>
      <c r="BT3425">
        <v>0.44</v>
      </c>
      <c r="BU3425">
        <v>-0.13</v>
      </c>
      <c r="BV3425">
        <v>0.08</v>
      </c>
      <c r="BW3425">
        <v>-0.05</v>
      </c>
      <c r="BX3425">
        <v>-0.12</v>
      </c>
      <c r="BY3425">
        <v>-0.27</v>
      </c>
      <c r="BZ3425">
        <v>0.14000000000000001</v>
      </c>
      <c r="CA3425">
        <v>0.01</v>
      </c>
      <c r="CB3425">
        <v>-0.03</v>
      </c>
      <c r="CC3425">
        <v>0.09</v>
      </c>
      <c r="CD3425">
        <v>0.76</v>
      </c>
      <c r="CE3425">
        <v>-0.33</v>
      </c>
      <c r="CF3425">
        <v>0.17</v>
      </c>
      <c r="CG3425">
        <v>0</v>
      </c>
      <c r="CH3425">
        <v>-1.05</v>
      </c>
      <c r="CI3425">
        <v>0</v>
      </c>
      <c r="CJ3425">
        <v>-0.1</v>
      </c>
      <c r="CK3425">
        <v>80</v>
      </c>
      <c r="CL3425">
        <v>-0.36</v>
      </c>
      <c r="CM3425">
        <v>77</v>
      </c>
      <c r="CN3425">
        <v>-0.41</v>
      </c>
      <c r="CO3425">
        <v>73</v>
      </c>
      <c r="CP3425">
        <v>-0.3</v>
      </c>
      <c r="CQ3425">
        <v>86</v>
      </c>
      <c r="CR3425">
        <v>0</v>
      </c>
      <c r="CS3425">
        <v>0</v>
      </c>
      <c r="CT3425">
        <v>6.5</v>
      </c>
      <c r="CU3425">
        <v>73</v>
      </c>
      <c r="CV3425">
        <v>0.05</v>
      </c>
      <c r="CW3425">
        <v>22</v>
      </c>
      <c r="CX3425" t="s">
        <v>485</v>
      </c>
    </row>
    <row r="3426" spans="1:102" x14ac:dyDescent="0.3">
      <c r="A3426" t="str">
        <f>HYPERLINK("https://webapp.icbf.com/v2/app/bull-search/view/346303814","RYT")</f>
        <v>RYT</v>
      </c>
      <c r="B3426" t="s">
        <v>11292</v>
      </c>
      <c r="C3426" t="s">
        <v>11293</v>
      </c>
      <c r="D3426" s="1">
        <v>38039</v>
      </c>
      <c r="E3426" t="s">
        <v>108</v>
      </c>
      <c r="F3426">
        <v>0</v>
      </c>
      <c r="G3426" t="s">
        <v>93</v>
      </c>
      <c r="H3426">
        <v>-36.25</v>
      </c>
      <c r="I3426">
        <v>86</v>
      </c>
      <c r="J3426">
        <v>-24.18</v>
      </c>
      <c r="K3426">
        <v>96</v>
      </c>
      <c r="L3426">
        <v>45.83</v>
      </c>
      <c r="M3426">
        <v>76</v>
      </c>
      <c r="N3426">
        <v>-53.16</v>
      </c>
      <c r="O3426">
        <v>83</v>
      </c>
      <c r="P3426">
        <v>-2.36</v>
      </c>
      <c r="Q3426">
        <v>90</v>
      </c>
      <c r="R3426">
        <v>-4.54</v>
      </c>
      <c r="S3426">
        <v>81</v>
      </c>
      <c r="T3426">
        <v>2.13</v>
      </c>
      <c r="U3426">
        <v>87</v>
      </c>
      <c r="V3426">
        <v>0.03</v>
      </c>
      <c r="W3426">
        <v>77</v>
      </c>
      <c r="X3426" t="s">
        <v>11294</v>
      </c>
      <c r="Y3426" t="s">
        <v>1153</v>
      </c>
      <c r="Z3426" t="s">
        <v>96</v>
      </c>
      <c r="AA3426" t="s">
        <v>4220</v>
      </c>
      <c r="AB3426" t="s">
        <v>11295</v>
      </c>
      <c r="AC3426">
        <v>64</v>
      </c>
      <c r="AD3426">
        <v>51</v>
      </c>
      <c r="AE3426">
        <v>96</v>
      </c>
      <c r="AF3426">
        <v>-101.09</v>
      </c>
      <c r="AG3426">
        <v>-6.67</v>
      </c>
      <c r="AH3426">
        <v>-3.3</v>
      </c>
      <c r="AI3426">
        <v>-0.05</v>
      </c>
      <c r="AJ3426">
        <v>0</v>
      </c>
      <c r="AK3426">
        <v>76</v>
      </c>
      <c r="AL3426">
        <v>65</v>
      </c>
      <c r="AM3426">
        <v>52</v>
      </c>
      <c r="AN3426">
        <v>-4.45</v>
      </c>
      <c r="AO3426">
        <v>-0.82</v>
      </c>
      <c r="AP3426">
        <v>129</v>
      </c>
      <c r="AQ3426">
        <v>2</v>
      </c>
      <c r="AR3426">
        <v>14.34</v>
      </c>
      <c r="AS3426">
        <v>67</v>
      </c>
      <c r="AT3426">
        <v>5.22</v>
      </c>
      <c r="AU3426">
        <v>85</v>
      </c>
      <c r="AV3426">
        <v>-1</v>
      </c>
      <c r="AW3426">
        <v>94</v>
      </c>
      <c r="AX3426">
        <v>1.02</v>
      </c>
      <c r="AY3426">
        <v>78</v>
      </c>
      <c r="AZ3426">
        <v>9.1199999999999992</v>
      </c>
      <c r="BA3426">
        <v>62</v>
      </c>
      <c r="BB3426">
        <v>6.22</v>
      </c>
      <c r="BC3426">
        <v>66</v>
      </c>
      <c r="BD3426">
        <v>0.08</v>
      </c>
      <c r="BE3426">
        <v>-0.01</v>
      </c>
      <c r="BF3426">
        <v>-0.01</v>
      </c>
      <c r="BG3426">
        <v>87</v>
      </c>
      <c r="BH3426">
        <v>0.06</v>
      </c>
      <c r="BI3426">
        <v>6.83</v>
      </c>
      <c r="BJ3426">
        <v>24</v>
      </c>
      <c r="BK3426">
        <v>16</v>
      </c>
      <c r="BL3426">
        <v>-2.37</v>
      </c>
      <c r="BM3426">
        <v>3.9</v>
      </c>
      <c r="BN3426">
        <v>-2.5</v>
      </c>
      <c r="BO3426">
        <v>-3.85</v>
      </c>
      <c r="BP3426">
        <v>-0.89</v>
      </c>
      <c r="BQ3426">
        <v>2.9</v>
      </c>
      <c r="BR3426">
        <v>-0.42</v>
      </c>
      <c r="BS3426">
        <v>-1.1399999999999999</v>
      </c>
      <c r="BT3426">
        <v>-0.01</v>
      </c>
      <c r="BU3426">
        <v>-3.02</v>
      </c>
      <c r="BV3426">
        <v>-3.13</v>
      </c>
      <c r="BW3426">
        <v>-1.74</v>
      </c>
      <c r="BX3426">
        <v>-2.2999999999999998</v>
      </c>
      <c r="BY3426">
        <v>-1.02</v>
      </c>
      <c r="BZ3426">
        <v>1.77</v>
      </c>
      <c r="CA3426">
        <v>-2.65</v>
      </c>
      <c r="CB3426">
        <v>-2.74</v>
      </c>
      <c r="CC3426">
        <v>-1.9</v>
      </c>
      <c r="CD3426">
        <v>3.66</v>
      </c>
      <c r="CE3426">
        <v>-2.92</v>
      </c>
      <c r="CF3426">
        <v>-0.79</v>
      </c>
      <c r="CG3426">
        <v>0</v>
      </c>
      <c r="CH3426">
        <v>-1.44</v>
      </c>
      <c r="CI3426">
        <v>0</v>
      </c>
      <c r="CJ3426">
        <v>-2.2000000000000002</v>
      </c>
      <c r="CK3426">
        <v>91</v>
      </c>
      <c r="CL3426">
        <v>-0.16</v>
      </c>
      <c r="CM3426">
        <v>89</v>
      </c>
      <c r="CN3426">
        <v>-0.2</v>
      </c>
      <c r="CO3426">
        <v>88</v>
      </c>
      <c r="CP3426">
        <v>-0.1</v>
      </c>
      <c r="CQ3426">
        <v>88</v>
      </c>
      <c r="CR3426">
        <v>0</v>
      </c>
      <c r="CS3426">
        <v>0</v>
      </c>
      <c r="CT3426">
        <v>10.9</v>
      </c>
      <c r="CU3426">
        <v>87</v>
      </c>
      <c r="CV3426">
        <v>0.14000000000000001</v>
      </c>
      <c r="CW3426">
        <v>44</v>
      </c>
      <c r="CX3426" t="s">
        <v>2827</v>
      </c>
    </row>
    <row r="3427" spans="1:102" x14ac:dyDescent="0.3">
      <c r="A3427" t="str">
        <f>HYPERLINK("https://webapp.icbf.com/v2/app/bull-search/view/678696948","S1177")</f>
        <v>S1177</v>
      </c>
      <c r="B3427" t="s">
        <v>1798</v>
      </c>
      <c r="C3427" t="s">
        <v>1799</v>
      </c>
      <c r="D3427" s="1">
        <v>38887</v>
      </c>
      <c r="E3427" t="s">
        <v>92</v>
      </c>
      <c r="F3427">
        <v>100</v>
      </c>
      <c r="G3427" t="s">
        <v>93</v>
      </c>
      <c r="H3427">
        <v>-36.35</v>
      </c>
      <c r="I3427">
        <v>87</v>
      </c>
      <c r="J3427">
        <v>55.64</v>
      </c>
      <c r="K3427">
        <v>95</v>
      </c>
      <c r="L3427">
        <v>-93.6</v>
      </c>
      <c r="M3427">
        <v>89</v>
      </c>
      <c r="N3427">
        <v>8.6199999999999992</v>
      </c>
      <c r="O3427">
        <v>80</v>
      </c>
      <c r="P3427">
        <v>-5.99</v>
      </c>
      <c r="Q3427">
        <v>80</v>
      </c>
      <c r="R3427">
        <v>5.42</v>
      </c>
      <c r="S3427">
        <v>80</v>
      </c>
      <c r="T3427">
        <v>-5.78</v>
      </c>
      <c r="U3427">
        <v>69</v>
      </c>
      <c r="V3427">
        <v>-0.66</v>
      </c>
      <c r="W3427">
        <v>67</v>
      </c>
      <c r="X3427" t="s">
        <v>94</v>
      </c>
      <c r="Y3427" t="s">
        <v>336</v>
      </c>
      <c r="Z3427" t="s">
        <v>96</v>
      </c>
      <c r="AA3427" t="s">
        <v>309</v>
      </c>
      <c r="AB3427" t="s">
        <v>1800</v>
      </c>
      <c r="AC3427">
        <v>45</v>
      </c>
      <c r="AD3427">
        <v>17</v>
      </c>
      <c r="AE3427">
        <v>95</v>
      </c>
      <c r="AF3427">
        <v>467.48</v>
      </c>
      <c r="AG3427">
        <v>15.43</v>
      </c>
      <c r="AH3427">
        <v>11.16</v>
      </c>
      <c r="AI3427">
        <v>-0.05</v>
      </c>
      <c r="AJ3427">
        <v>-0.08</v>
      </c>
      <c r="AK3427">
        <v>89</v>
      </c>
      <c r="AL3427">
        <v>40</v>
      </c>
      <c r="AM3427">
        <v>18</v>
      </c>
      <c r="AN3427">
        <v>6.25</v>
      </c>
      <c r="AO3427">
        <v>-1.2</v>
      </c>
      <c r="AP3427">
        <v>61</v>
      </c>
      <c r="AQ3427">
        <v>0</v>
      </c>
      <c r="AR3427">
        <v>6.91</v>
      </c>
      <c r="AS3427">
        <v>69</v>
      </c>
      <c r="AT3427">
        <v>3.09</v>
      </c>
      <c r="AU3427">
        <v>91</v>
      </c>
      <c r="AV3427">
        <v>-0.79</v>
      </c>
      <c r="AW3427">
        <v>88</v>
      </c>
      <c r="AX3427">
        <v>-0.84</v>
      </c>
      <c r="AY3427">
        <v>70</v>
      </c>
      <c r="AZ3427">
        <v>6.54</v>
      </c>
      <c r="BA3427">
        <v>57</v>
      </c>
      <c r="BB3427">
        <v>5.35</v>
      </c>
      <c r="BC3427">
        <v>56</v>
      </c>
      <c r="BD3427">
        <v>-0.01</v>
      </c>
      <c r="BE3427">
        <v>-0.02</v>
      </c>
      <c r="BF3427">
        <v>-7.0000000000000007E-2</v>
      </c>
      <c r="BG3427">
        <v>94</v>
      </c>
      <c r="BH3427">
        <v>-0.06</v>
      </c>
      <c r="BI3427">
        <v>-4.82</v>
      </c>
      <c r="BJ3427">
        <v>16</v>
      </c>
      <c r="BK3427">
        <v>8</v>
      </c>
      <c r="BL3427">
        <v>0.92</v>
      </c>
      <c r="BM3427">
        <v>-0.79</v>
      </c>
      <c r="BN3427">
        <v>1.3</v>
      </c>
      <c r="BO3427">
        <v>1.29</v>
      </c>
      <c r="BP3427">
        <v>-1.28</v>
      </c>
      <c r="BQ3427">
        <v>-0.01</v>
      </c>
      <c r="BR3427">
        <v>0.15</v>
      </c>
      <c r="BS3427">
        <v>0.9</v>
      </c>
      <c r="BT3427">
        <v>-0.26</v>
      </c>
      <c r="BU3427">
        <v>2.99</v>
      </c>
      <c r="BV3427">
        <v>2.2999999999999998</v>
      </c>
      <c r="BW3427">
        <v>2.0299999999999998</v>
      </c>
      <c r="BX3427">
        <v>1.5</v>
      </c>
      <c r="BY3427">
        <v>2.35</v>
      </c>
      <c r="BZ3427">
        <v>-2.5099999999999998</v>
      </c>
      <c r="CA3427">
        <v>2.15</v>
      </c>
      <c r="CB3427">
        <v>2.19</v>
      </c>
      <c r="CC3427">
        <v>0.89</v>
      </c>
      <c r="CD3427">
        <v>-1.0900000000000001</v>
      </c>
      <c r="CE3427">
        <v>1.26</v>
      </c>
      <c r="CF3427">
        <v>0.77</v>
      </c>
      <c r="CG3427">
        <v>0</v>
      </c>
      <c r="CH3427">
        <v>2.35</v>
      </c>
      <c r="CI3427">
        <v>0</v>
      </c>
      <c r="CJ3427">
        <v>0</v>
      </c>
      <c r="CK3427">
        <v>82</v>
      </c>
      <c r="CL3427">
        <v>-1.33</v>
      </c>
      <c r="CM3427">
        <v>79</v>
      </c>
      <c r="CN3427">
        <v>-0.64</v>
      </c>
      <c r="CO3427">
        <v>77</v>
      </c>
      <c r="CP3427">
        <v>1.6</v>
      </c>
      <c r="CQ3427">
        <v>76</v>
      </c>
      <c r="CR3427">
        <v>0</v>
      </c>
      <c r="CS3427">
        <v>0</v>
      </c>
      <c r="CT3427">
        <v>21.6</v>
      </c>
      <c r="CU3427">
        <v>69</v>
      </c>
      <c r="CV3427">
        <v>0.23</v>
      </c>
      <c r="CW3427">
        <v>42</v>
      </c>
      <c r="CX3427" t="s">
        <v>1801</v>
      </c>
    </row>
    <row r="3428" spans="1:102" x14ac:dyDescent="0.3">
      <c r="A3428" t="str">
        <f>HYPERLINK("https://webapp.icbf.com/v2/app/bull-search/view/77855167","MIA")</f>
        <v>MIA</v>
      </c>
      <c r="B3428" t="s">
        <v>15361</v>
      </c>
      <c r="C3428" t="s">
        <v>15362</v>
      </c>
      <c r="D3428" s="1">
        <v>33904</v>
      </c>
      <c r="E3428" t="s">
        <v>92</v>
      </c>
      <c r="F3428">
        <v>88</v>
      </c>
      <c r="G3428" t="s">
        <v>93</v>
      </c>
      <c r="H3428">
        <v>-36.36</v>
      </c>
      <c r="I3428">
        <v>74</v>
      </c>
      <c r="J3428">
        <v>20.3</v>
      </c>
      <c r="K3428">
        <v>93</v>
      </c>
      <c r="L3428">
        <v>-52.68</v>
      </c>
      <c r="M3428">
        <v>67</v>
      </c>
      <c r="N3428">
        <v>-2.77</v>
      </c>
      <c r="O3428">
        <v>57</v>
      </c>
      <c r="P3428">
        <v>-5.0599999999999996</v>
      </c>
      <c r="Q3428">
        <v>77</v>
      </c>
      <c r="R3428">
        <v>-11.83</v>
      </c>
      <c r="S3428">
        <v>69</v>
      </c>
      <c r="T3428">
        <v>15.31</v>
      </c>
      <c r="U3428">
        <v>67</v>
      </c>
      <c r="V3428">
        <v>0.37</v>
      </c>
      <c r="W3428">
        <v>33</v>
      </c>
      <c r="X3428" t="s">
        <v>94</v>
      </c>
      <c r="Y3428" t="s">
        <v>95</v>
      </c>
      <c r="Z3428" t="s">
        <v>96</v>
      </c>
      <c r="AA3428" t="s">
        <v>3584</v>
      </c>
      <c r="AB3428" t="s">
        <v>10937</v>
      </c>
      <c r="AC3428">
        <v>72</v>
      </c>
      <c r="AD3428">
        <v>61</v>
      </c>
      <c r="AE3428">
        <v>93</v>
      </c>
      <c r="AF3428">
        <v>214.09</v>
      </c>
      <c r="AG3428">
        <v>9.89</v>
      </c>
      <c r="AH3428">
        <v>3.23</v>
      </c>
      <c r="AI3428">
        <v>0.02</v>
      </c>
      <c r="AJ3428">
        <v>-7.0000000000000007E-2</v>
      </c>
      <c r="AK3428">
        <v>67</v>
      </c>
      <c r="AL3428">
        <v>118</v>
      </c>
      <c r="AM3428">
        <v>91</v>
      </c>
      <c r="AN3428">
        <v>3.72</v>
      </c>
      <c r="AO3428">
        <v>-0.47</v>
      </c>
      <c r="AP3428">
        <v>15</v>
      </c>
      <c r="AQ3428">
        <v>0</v>
      </c>
      <c r="AR3428">
        <v>5.93</v>
      </c>
      <c r="AS3428">
        <v>34</v>
      </c>
      <c r="AT3428">
        <v>3.13</v>
      </c>
      <c r="AU3428">
        <v>56</v>
      </c>
      <c r="AV3428">
        <v>0.28999999999999998</v>
      </c>
      <c r="AW3428">
        <v>63</v>
      </c>
      <c r="AX3428">
        <v>0.04</v>
      </c>
      <c r="AY3428">
        <v>68</v>
      </c>
      <c r="AZ3428">
        <v>6.76</v>
      </c>
      <c r="BA3428">
        <v>32</v>
      </c>
      <c r="BB3428">
        <v>5.78</v>
      </c>
      <c r="BC3428">
        <v>49</v>
      </c>
      <c r="BD3428">
        <v>0.03</v>
      </c>
      <c r="BE3428">
        <v>0.08</v>
      </c>
      <c r="BF3428">
        <v>7.0000000000000007E-2</v>
      </c>
      <c r="BG3428">
        <v>88</v>
      </c>
      <c r="BH3428">
        <v>0.13</v>
      </c>
      <c r="BI3428">
        <v>13.84</v>
      </c>
      <c r="BJ3428">
        <v>20</v>
      </c>
      <c r="BK3428">
        <v>18</v>
      </c>
      <c r="BL3428">
        <v>0.28999999999999998</v>
      </c>
      <c r="BM3428">
        <v>-1.37</v>
      </c>
      <c r="BN3428">
        <v>-0.62</v>
      </c>
      <c r="BO3428">
        <v>0.69</v>
      </c>
      <c r="BP3428">
        <v>0.98</v>
      </c>
      <c r="BQ3428">
        <v>-1.42</v>
      </c>
      <c r="BR3428">
        <v>0.32</v>
      </c>
      <c r="BS3428">
        <v>0.48</v>
      </c>
      <c r="BT3428">
        <v>0.1</v>
      </c>
      <c r="BU3428">
        <v>-1.17</v>
      </c>
      <c r="BV3428">
        <v>-0.28999999999999998</v>
      </c>
      <c r="BW3428">
        <v>0.26</v>
      </c>
      <c r="BX3428">
        <v>-0.97</v>
      </c>
      <c r="BY3428">
        <v>0.44</v>
      </c>
      <c r="BZ3428">
        <v>0.48</v>
      </c>
      <c r="CA3428">
        <v>0.28000000000000003</v>
      </c>
      <c r="CB3428">
        <v>0.11</v>
      </c>
      <c r="CC3428">
        <v>0.61</v>
      </c>
      <c r="CD3428">
        <v>-1.06</v>
      </c>
      <c r="CE3428">
        <v>0.6</v>
      </c>
      <c r="CF3428">
        <v>0</v>
      </c>
      <c r="CG3428">
        <v>0</v>
      </c>
      <c r="CH3428">
        <v>0.64</v>
      </c>
      <c r="CI3428">
        <v>0</v>
      </c>
      <c r="CJ3428">
        <v>-2.6</v>
      </c>
      <c r="CK3428">
        <v>79</v>
      </c>
      <c r="CL3428">
        <v>-0.49</v>
      </c>
      <c r="CM3428">
        <v>75</v>
      </c>
      <c r="CN3428">
        <v>-0.41</v>
      </c>
      <c r="CO3428">
        <v>72</v>
      </c>
      <c r="CP3428">
        <v>-8.1</v>
      </c>
      <c r="CQ3428">
        <v>80</v>
      </c>
      <c r="CR3428">
        <v>0</v>
      </c>
      <c r="CS3428">
        <v>0</v>
      </c>
      <c r="CT3428">
        <v>-6.9</v>
      </c>
      <c r="CU3428">
        <v>67</v>
      </c>
      <c r="CV3428">
        <v>0.08</v>
      </c>
      <c r="CW3428">
        <v>22</v>
      </c>
      <c r="CX3428" t="s">
        <v>724</v>
      </c>
    </row>
    <row r="3429" spans="1:102" x14ac:dyDescent="0.3">
      <c r="A3429" t="str">
        <f>HYPERLINK("https://webapp.icbf.com/v2/app/bull-search/view/69091966","JBI")</f>
        <v>JBI</v>
      </c>
      <c r="B3429" t="s">
        <v>14388</v>
      </c>
      <c r="C3429" t="s">
        <v>14182</v>
      </c>
      <c r="D3429" s="1">
        <v>34552</v>
      </c>
      <c r="E3429" t="s">
        <v>140</v>
      </c>
      <c r="F3429">
        <v>0</v>
      </c>
      <c r="G3429" t="s">
        <v>93</v>
      </c>
      <c r="H3429">
        <v>-36.49</v>
      </c>
      <c r="I3429">
        <v>92</v>
      </c>
      <c r="J3429">
        <v>-49.34</v>
      </c>
      <c r="K3429">
        <v>98</v>
      </c>
      <c r="L3429">
        <v>36.159999999999997</v>
      </c>
      <c r="M3429">
        <v>86</v>
      </c>
      <c r="N3429">
        <v>-46.84</v>
      </c>
      <c r="O3429">
        <v>92</v>
      </c>
      <c r="P3429">
        <v>15.59</v>
      </c>
      <c r="Q3429">
        <v>98</v>
      </c>
      <c r="R3429">
        <v>5.96</v>
      </c>
      <c r="S3429">
        <v>87</v>
      </c>
      <c r="T3429">
        <v>14.57</v>
      </c>
      <c r="U3429">
        <v>96</v>
      </c>
      <c r="V3429">
        <v>-12.59</v>
      </c>
      <c r="W3429">
        <v>86</v>
      </c>
      <c r="X3429" t="s">
        <v>94</v>
      </c>
      <c r="Y3429" t="s">
        <v>95</v>
      </c>
      <c r="Z3429">
        <v>0</v>
      </c>
      <c r="AA3429" t="s">
        <v>14123</v>
      </c>
      <c r="AB3429" t="s">
        <v>14389</v>
      </c>
      <c r="AC3429">
        <v>212</v>
      </c>
      <c r="AD3429">
        <v>89</v>
      </c>
      <c r="AE3429">
        <v>98</v>
      </c>
      <c r="AF3429">
        <v>-220.64</v>
      </c>
      <c r="AG3429">
        <v>-11.7</v>
      </c>
      <c r="AH3429">
        <v>-7.63</v>
      </c>
      <c r="AI3429">
        <v>-0.06</v>
      </c>
      <c r="AJ3429">
        <v>0</v>
      </c>
      <c r="AK3429">
        <v>86</v>
      </c>
      <c r="AL3429">
        <v>235</v>
      </c>
      <c r="AM3429">
        <v>110</v>
      </c>
      <c r="AN3429">
        <v>-1.48</v>
      </c>
      <c r="AO3429">
        <v>1.41</v>
      </c>
      <c r="AP3429">
        <v>248</v>
      </c>
      <c r="AQ3429">
        <v>0</v>
      </c>
      <c r="AR3429">
        <v>11.9</v>
      </c>
      <c r="AS3429">
        <v>88</v>
      </c>
      <c r="AT3429">
        <v>4.8600000000000003</v>
      </c>
      <c r="AU3429">
        <v>91</v>
      </c>
      <c r="AV3429">
        <v>1.92</v>
      </c>
      <c r="AW3429">
        <v>97</v>
      </c>
      <c r="AX3429">
        <v>0.47</v>
      </c>
      <c r="AY3429">
        <v>93</v>
      </c>
      <c r="AZ3429">
        <v>7.16</v>
      </c>
      <c r="BA3429">
        <v>78</v>
      </c>
      <c r="BB3429">
        <v>4.3600000000000003</v>
      </c>
      <c r="BC3429">
        <v>83</v>
      </c>
      <c r="BD3429">
        <v>0</v>
      </c>
      <c r="BE3429">
        <v>-0.03</v>
      </c>
      <c r="BF3429">
        <v>-0.08</v>
      </c>
      <c r="BG3429">
        <v>94</v>
      </c>
      <c r="BH3429">
        <v>-0.21</v>
      </c>
      <c r="BI3429">
        <v>16.309999999999999</v>
      </c>
      <c r="BJ3429">
        <v>3</v>
      </c>
      <c r="BK3429">
        <v>3</v>
      </c>
      <c r="BL3429">
        <v>-0.65</v>
      </c>
      <c r="BM3429">
        <v>3.54</v>
      </c>
      <c r="BN3429">
        <v>-1.32</v>
      </c>
      <c r="BO3429">
        <v>-2.77</v>
      </c>
      <c r="BP3429">
        <v>4.55</v>
      </c>
      <c r="BQ3429">
        <v>-1.93</v>
      </c>
      <c r="BR3429">
        <v>-2</v>
      </c>
      <c r="BS3429">
        <v>-0.76</v>
      </c>
      <c r="BT3429">
        <v>2.12</v>
      </c>
      <c r="BU3429">
        <v>-3.31</v>
      </c>
      <c r="BV3429">
        <v>-3.55</v>
      </c>
      <c r="BW3429">
        <v>-2.5099999999999998</v>
      </c>
      <c r="BX3429">
        <v>-2.09</v>
      </c>
      <c r="BY3429">
        <v>-2.98</v>
      </c>
      <c r="BZ3429">
        <v>1.68</v>
      </c>
      <c r="CA3429">
        <v>-2.76</v>
      </c>
      <c r="CB3429">
        <v>-3.39</v>
      </c>
      <c r="CC3429">
        <v>-0.62</v>
      </c>
      <c r="CD3429">
        <v>3.8</v>
      </c>
      <c r="CE3429">
        <v>-2.94</v>
      </c>
      <c r="CF3429">
        <v>-0.76</v>
      </c>
      <c r="CG3429">
        <v>0</v>
      </c>
      <c r="CH3429">
        <v>-2.4500000000000002</v>
      </c>
      <c r="CI3429">
        <v>0</v>
      </c>
      <c r="CJ3429">
        <v>5.5</v>
      </c>
      <c r="CK3429">
        <v>98</v>
      </c>
      <c r="CL3429">
        <v>0.5</v>
      </c>
      <c r="CM3429">
        <v>97</v>
      </c>
      <c r="CN3429">
        <v>-0.19</v>
      </c>
      <c r="CO3429">
        <v>97</v>
      </c>
      <c r="CP3429">
        <v>4.0999999999999996</v>
      </c>
      <c r="CQ3429">
        <v>97</v>
      </c>
      <c r="CR3429">
        <v>0</v>
      </c>
      <c r="CS3429">
        <v>0</v>
      </c>
      <c r="CT3429">
        <v>-5.9</v>
      </c>
      <c r="CU3429">
        <v>96</v>
      </c>
      <c r="CV3429">
        <v>0.05</v>
      </c>
      <c r="CW3429">
        <v>45</v>
      </c>
      <c r="CX3429" t="s">
        <v>763</v>
      </c>
    </row>
    <row r="3430" spans="1:102" x14ac:dyDescent="0.3">
      <c r="A3430" t="str">
        <f>HYPERLINK("https://webapp.icbf.com/v2/app/bull-search/view/69091348","CGI")</f>
        <v>CGI</v>
      </c>
      <c r="B3430" t="s">
        <v>144</v>
      </c>
      <c r="C3430" t="s">
        <v>2765</v>
      </c>
      <c r="D3430" s="1">
        <v>32706</v>
      </c>
      <c r="E3430" t="s">
        <v>1061</v>
      </c>
      <c r="F3430">
        <v>0</v>
      </c>
      <c r="G3430" t="s">
        <v>116</v>
      </c>
      <c r="H3430">
        <v>-36.520000000000003</v>
      </c>
      <c r="I3430">
        <v>27</v>
      </c>
      <c r="J3430">
        <v>-75.89</v>
      </c>
      <c r="K3430">
        <v>48</v>
      </c>
      <c r="L3430">
        <v>28.16</v>
      </c>
      <c r="M3430">
        <v>14</v>
      </c>
      <c r="N3430">
        <v>7.13</v>
      </c>
      <c r="O3430">
        <v>16</v>
      </c>
      <c r="P3430">
        <v>-9.01</v>
      </c>
      <c r="Q3430">
        <v>31</v>
      </c>
      <c r="R3430">
        <v>-8.7100000000000009</v>
      </c>
      <c r="S3430">
        <v>17</v>
      </c>
      <c r="T3430">
        <v>25.59</v>
      </c>
      <c r="U3430">
        <v>17</v>
      </c>
      <c r="V3430">
        <v>-3.79</v>
      </c>
      <c r="W3430">
        <v>2</v>
      </c>
      <c r="X3430" t="s">
        <v>94</v>
      </c>
      <c r="Y3430" t="s">
        <v>95</v>
      </c>
      <c r="Z3430">
        <v>0</v>
      </c>
      <c r="AA3430" t="s">
        <v>2766</v>
      </c>
      <c r="AB3430" t="s">
        <v>144</v>
      </c>
      <c r="AC3430">
        <v>4</v>
      </c>
      <c r="AD3430">
        <v>5</v>
      </c>
      <c r="AE3430">
        <v>48</v>
      </c>
      <c r="AF3430">
        <v>-458.12</v>
      </c>
      <c r="AG3430">
        <v>-15.6</v>
      </c>
      <c r="AH3430">
        <v>-14.4</v>
      </c>
      <c r="AI3430">
        <v>0.04</v>
      </c>
      <c r="AJ3430">
        <v>0.02</v>
      </c>
      <c r="AK3430">
        <v>14</v>
      </c>
      <c r="AL3430">
        <v>4</v>
      </c>
      <c r="AM3430">
        <v>4</v>
      </c>
      <c r="AN3430">
        <v>-1.2</v>
      </c>
      <c r="AO3430">
        <v>1.05</v>
      </c>
      <c r="AP3430">
        <v>2</v>
      </c>
      <c r="AQ3430">
        <v>0</v>
      </c>
      <c r="AR3430">
        <v>6.63</v>
      </c>
      <c r="AS3430">
        <v>3</v>
      </c>
      <c r="AT3430">
        <v>2.69</v>
      </c>
      <c r="AU3430">
        <v>27</v>
      </c>
      <c r="AV3430">
        <v>0.36</v>
      </c>
      <c r="AW3430">
        <v>17</v>
      </c>
      <c r="AX3430">
        <v>-0.47</v>
      </c>
      <c r="AY3430">
        <v>14</v>
      </c>
      <c r="AZ3430">
        <v>6.15</v>
      </c>
      <c r="BA3430">
        <v>3</v>
      </c>
      <c r="BB3430">
        <v>4.5199999999999996</v>
      </c>
      <c r="BC3430">
        <v>6</v>
      </c>
      <c r="BD3430">
        <v>0.02</v>
      </c>
      <c r="BE3430">
        <v>0.03</v>
      </c>
      <c r="BF3430">
        <v>0.11</v>
      </c>
      <c r="BG3430">
        <v>23</v>
      </c>
      <c r="BH3430">
        <v>-0.03</v>
      </c>
      <c r="BI3430">
        <v>8.76</v>
      </c>
      <c r="BJ3430">
        <v>0</v>
      </c>
      <c r="BK3430">
        <v>0</v>
      </c>
      <c r="BL3430">
        <v>0</v>
      </c>
      <c r="BM3430">
        <v>0</v>
      </c>
      <c r="BN3430">
        <v>0</v>
      </c>
      <c r="BO3430">
        <v>0</v>
      </c>
      <c r="BP3430">
        <v>0</v>
      </c>
      <c r="BQ3430">
        <v>0</v>
      </c>
      <c r="BR3430">
        <v>0</v>
      </c>
      <c r="BS3430">
        <v>0</v>
      </c>
      <c r="BT3430">
        <v>0</v>
      </c>
      <c r="BU3430">
        <v>0</v>
      </c>
      <c r="BV3430">
        <v>0</v>
      </c>
      <c r="BW3430">
        <v>0</v>
      </c>
      <c r="BX3430">
        <v>0</v>
      </c>
      <c r="BY3430">
        <v>0</v>
      </c>
      <c r="BZ3430">
        <v>0</v>
      </c>
      <c r="CA3430">
        <v>0</v>
      </c>
      <c r="CB3430">
        <v>0</v>
      </c>
      <c r="CC3430">
        <v>0</v>
      </c>
      <c r="CD3430">
        <v>0</v>
      </c>
      <c r="CE3430">
        <v>0</v>
      </c>
      <c r="CF3430">
        <v>0</v>
      </c>
      <c r="CG3430">
        <v>0</v>
      </c>
      <c r="CH3430">
        <v>0</v>
      </c>
      <c r="CI3430">
        <v>0</v>
      </c>
      <c r="CJ3430">
        <v>-5.2</v>
      </c>
      <c r="CK3430">
        <v>34</v>
      </c>
      <c r="CL3430">
        <v>0.04</v>
      </c>
      <c r="CM3430">
        <v>27</v>
      </c>
      <c r="CN3430">
        <v>0</v>
      </c>
      <c r="CO3430">
        <v>23</v>
      </c>
      <c r="CP3430">
        <v>-15</v>
      </c>
      <c r="CQ3430">
        <v>28</v>
      </c>
      <c r="CR3430">
        <v>0</v>
      </c>
      <c r="CS3430">
        <v>0</v>
      </c>
      <c r="CT3430">
        <v>-20.8</v>
      </c>
      <c r="CU3430">
        <v>17</v>
      </c>
      <c r="CV3430">
        <v>-0.2</v>
      </c>
      <c r="CW3430">
        <v>7</v>
      </c>
      <c r="CX3430">
        <v>0</v>
      </c>
    </row>
    <row r="3431" spans="1:102" x14ac:dyDescent="0.3">
      <c r="A3431" t="str">
        <f>HYPERLINK("https://webapp.icbf.com/v2/app/bull-search/view/77854033","RMB")</f>
        <v>RMB</v>
      </c>
      <c r="B3431" t="s">
        <v>6499</v>
      </c>
      <c r="C3431" t="s">
        <v>6500</v>
      </c>
      <c r="D3431" s="1">
        <v>35922</v>
      </c>
      <c r="E3431" t="s">
        <v>92</v>
      </c>
      <c r="F3431">
        <v>100</v>
      </c>
      <c r="G3431" t="s">
        <v>93</v>
      </c>
      <c r="H3431">
        <v>-36.69</v>
      </c>
      <c r="I3431">
        <v>98</v>
      </c>
      <c r="J3431">
        <v>68.989999999999995</v>
      </c>
      <c r="K3431">
        <v>99</v>
      </c>
      <c r="L3431">
        <v>-82.2</v>
      </c>
      <c r="M3431">
        <v>97</v>
      </c>
      <c r="N3431">
        <v>-28.15</v>
      </c>
      <c r="O3431">
        <v>99</v>
      </c>
      <c r="P3431">
        <v>-3.25</v>
      </c>
      <c r="Q3431">
        <v>99</v>
      </c>
      <c r="R3431">
        <v>1.93</v>
      </c>
      <c r="S3431">
        <v>98</v>
      </c>
      <c r="T3431">
        <v>0.14000000000000001</v>
      </c>
      <c r="U3431">
        <v>99</v>
      </c>
      <c r="V3431">
        <v>5.85</v>
      </c>
      <c r="W3431">
        <v>98</v>
      </c>
      <c r="X3431" t="s">
        <v>94</v>
      </c>
      <c r="Y3431" t="s">
        <v>95</v>
      </c>
      <c r="Z3431" t="s">
        <v>96</v>
      </c>
      <c r="AA3431" t="s">
        <v>2438</v>
      </c>
      <c r="AB3431" t="s">
        <v>6501</v>
      </c>
      <c r="AC3431">
        <v>4023</v>
      </c>
      <c r="AD3431">
        <v>1481</v>
      </c>
      <c r="AE3431">
        <v>99</v>
      </c>
      <c r="AF3431">
        <v>160.27000000000001</v>
      </c>
      <c r="AG3431">
        <v>5.56</v>
      </c>
      <c r="AH3431">
        <v>12.22</v>
      </c>
      <c r="AI3431">
        <v>-0.01</v>
      </c>
      <c r="AJ3431">
        <v>0.12</v>
      </c>
      <c r="AK3431">
        <v>97</v>
      </c>
      <c r="AL3431">
        <v>4239</v>
      </c>
      <c r="AM3431">
        <v>1714</v>
      </c>
      <c r="AN3431">
        <v>4.9000000000000004</v>
      </c>
      <c r="AO3431">
        <v>-1.65</v>
      </c>
      <c r="AP3431">
        <v>6191</v>
      </c>
      <c r="AQ3431">
        <v>18</v>
      </c>
      <c r="AR3431">
        <v>10.33</v>
      </c>
      <c r="AS3431">
        <v>98</v>
      </c>
      <c r="AT3431">
        <v>5.01</v>
      </c>
      <c r="AU3431">
        <v>99</v>
      </c>
      <c r="AV3431">
        <v>-0.08</v>
      </c>
      <c r="AW3431">
        <v>99</v>
      </c>
      <c r="AX3431">
        <v>-0.01</v>
      </c>
      <c r="AY3431">
        <v>99</v>
      </c>
      <c r="AZ3431">
        <v>7.46</v>
      </c>
      <c r="BA3431">
        <v>98</v>
      </c>
      <c r="BB3431">
        <v>4.7699999999999996</v>
      </c>
      <c r="BC3431">
        <v>98</v>
      </c>
      <c r="BD3431">
        <v>-0.05</v>
      </c>
      <c r="BE3431">
        <v>0.01</v>
      </c>
      <c r="BF3431">
        <v>0.02</v>
      </c>
      <c r="BG3431">
        <v>99</v>
      </c>
      <c r="BH3431">
        <v>0.24</v>
      </c>
      <c r="BI3431">
        <v>8.89</v>
      </c>
      <c r="BJ3431">
        <v>322</v>
      </c>
      <c r="BK3431">
        <v>150</v>
      </c>
      <c r="BL3431">
        <v>7.0000000000000007E-2</v>
      </c>
      <c r="BM3431">
        <v>1.29</v>
      </c>
      <c r="BN3431">
        <v>0.24</v>
      </c>
      <c r="BO3431">
        <v>-0.45</v>
      </c>
      <c r="BP3431">
        <v>-0.87</v>
      </c>
      <c r="BQ3431">
        <v>0.48</v>
      </c>
      <c r="BR3431">
        <v>0.88</v>
      </c>
      <c r="BS3431">
        <v>-1.56</v>
      </c>
      <c r="BT3431">
        <v>-0.13</v>
      </c>
      <c r="BU3431">
        <v>0.94</v>
      </c>
      <c r="BV3431">
        <v>0.02</v>
      </c>
      <c r="BW3431">
        <v>0.19</v>
      </c>
      <c r="BX3431">
        <v>0.51</v>
      </c>
      <c r="BY3431">
        <v>0.8</v>
      </c>
      <c r="BZ3431">
        <v>-1.3</v>
      </c>
      <c r="CA3431">
        <v>0.17</v>
      </c>
      <c r="CB3431">
        <v>0.56000000000000005</v>
      </c>
      <c r="CC3431">
        <v>-0.75</v>
      </c>
      <c r="CD3431">
        <v>0.19</v>
      </c>
      <c r="CE3431">
        <v>-0.56999999999999995</v>
      </c>
      <c r="CF3431">
        <v>0</v>
      </c>
      <c r="CG3431">
        <v>0</v>
      </c>
      <c r="CH3431">
        <v>0.81</v>
      </c>
      <c r="CI3431">
        <v>0</v>
      </c>
      <c r="CJ3431">
        <v>-0.9</v>
      </c>
      <c r="CK3431">
        <v>99</v>
      </c>
      <c r="CL3431">
        <v>-0.76</v>
      </c>
      <c r="CM3431">
        <v>99</v>
      </c>
      <c r="CN3431">
        <v>-0.47</v>
      </c>
      <c r="CO3431">
        <v>99</v>
      </c>
      <c r="CP3431">
        <v>2.2000000000000002</v>
      </c>
      <c r="CQ3431">
        <v>99</v>
      </c>
      <c r="CR3431">
        <v>0</v>
      </c>
      <c r="CS3431">
        <v>0</v>
      </c>
      <c r="CT3431">
        <v>13.6</v>
      </c>
      <c r="CU3431">
        <v>99</v>
      </c>
      <c r="CV3431">
        <v>0.15</v>
      </c>
      <c r="CW3431">
        <v>47</v>
      </c>
      <c r="CX3431" t="s">
        <v>1506</v>
      </c>
    </row>
    <row r="3432" spans="1:102" x14ac:dyDescent="0.3">
      <c r="A3432" t="str">
        <f>HYPERLINK("https://webapp.icbf.com/v2/app/bull-search/view/77853337","USE")</f>
        <v>USE</v>
      </c>
      <c r="B3432" t="s">
        <v>10850</v>
      </c>
      <c r="C3432" t="s">
        <v>10851</v>
      </c>
      <c r="D3432" s="1">
        <v>33811</v>
      </c>
      <c r="E3432" t="s">
        <v>92</v>
      </c>
      <c r="F3432">
        <v>100</v>
      </c>
      <c r="G3432" t="s">
        <v>109</v>
      </c>
      <c r="H3432">
        <v>-36.83</v>
      </c>
      <c r="I3432">
        <v>82</v>
      </c>
      <c r="J3432">
        <v>-7.74</v>
      </c>
      <c r="K3432">
        <v>93</v>
      </c>
      <c r="L3432">
        <v>-35.58</v>
      </c>
      <c r="M3432">
        <v>82</v>
      </c>
      <c r="N3432">
        <v>18.87</v>
      </c>
      <c r="O3432">
        <v>65</v>
      </c>
      <c r="P3432">
        <v>-9.3699999999999992</v>
      </c>
      <c r="Q3432">
        <v>75</v>
      </c>
      <c r="R3432">
        <v>-27.95</v>
      </c>
      <c r="S3432">
        <v>72</v>
      </c>
      <c r="T3432">
        <v>27.07</v>
      </c>
      <c r="U3432">
        <v>80</v>
      </c>
      <c r="V3432">
        <v>-2.13</v>
      </c>
      <c r="W3432">
        <v>53</v>
      </c>
      <c r="X3432" t="s">
        <v>302</v>
      </c>
      <c r="Y3432" t="s">
        <v>95</v>
      </c>
      <c r="Z3432" t="s">
        <v>96</v>
      </c>
      <c r="AA3432" t="s">
        <v>1363</v>
      </c>
      <c r="AB3432" t="s">
        <v>10852</v>
      </c>
      <c r="AC3432">
        <v>46</v>
      </c>
      <c r="AD3432">
        <v>19</v>
      </c>
      <c r="AE3432">
        <v>93</v>
      </c>
      <c r="AF3432">
        <v>16.38</v>
      </c>
      <c r="AG3432">
        <v>-0.47</v>
      </c>
      <c r="AH3432">
        <v>-0.9</v>
      </c>
      <c r="AI3432">
        <v>-0.02</v>
      </c>
      <c r="AJ3432">
        <v>-0.03</v>
      </c>
      <c r="AK3432">
        <v>82</v>
      </c>
      <c r="AL3432">
        <v>42</v>
      </c>
      <c r="AM3432">
        <v>14</v>
      </c>
      <c r="AN3432">
        <v>1.77</v>
      </c>
      <c r="AO3432">
        <v>-1.07</v>
      </c>
      <c r="AP3432">
        <v>10</v>
      </c>
      <c r="AQ3432">
        <v>2</v>
      </c>
      <c r="AR3432">
        <v>7.22</v>
      </c>
      <c r="AS3432">
        <v>49</v>
      </c>
      <c r="AT3432">
        <v>2.57</v>
      </c>
      <c r="AU3432">
        <v>69</v>
      </c>
      <c r="AV3432">
        <v>-1.21</v>
      </c>
      <c r="AW3432">
        <v>71</v>
      </c>
      <c r="AX3432">
        <v>-0.66</v>
      </c>
      <c r="AY3432">
        <v>68</v>
      </c>
      <c r="AZ3432">
        <v>5.67</v>
      </c>
      <c r="BA3432">
        <v>40</v>
      </c>
      <c r="BB3432">
        <v>4.82</v>
      </c>
      <c r="BC3432">
        <v>50</v>
      </c>
      <c r="BD3432">
        <v>7.0000000000000007E-2</v>
      </c>
      <c r="BE3432">
        <v>0.14000000000000001</v>
      </c>
      <c r="BF3432">
        <v>0.26</v>
      </c>
      <c r="BG3432">
        <v>86</v>
      </c>
      <c r="BH3432">
        <v>-0.01</v>
      </c>
      <c r="BI3432">
        <v>5.73</v>
      </c>
      <c r="BJ3432">
        <v>0</v>
      </c>
      <c r="BK3432">
        <v>0</v>
      </c>
      <c r="BL3432">
        <v>-0.55000000000000004</v>
      </c>
      <c r="BM3432">
        <v>-0.76</v>
      </c>
      <c r="BN3432">
        <v>-0.9</v>
      </c>
      <c r="BO3432">
        <v>-0.37</v>
      </c>
      <c r="BP3432">
        <v>0.89</v>
      </c>
      <c r="BQ3432">
        <v>-3.36</v>
      </c>
      <c r="BR3432">
        <v>-0.48</v>
      </c>
      <c r="BS3432">
        <v>-0.7</v>
      </c>
      <c r="BT3432">
        <v>-1.08</v>
      </c>
      <c r="BU3432">
        <v>-1.34</v>
      </c>
      <c r="BV3432">
        <v>-1.59</v>
      </c>
      <c r="BW3432">
        <v>-0.48</v>
      </c>
      <c r="BX3432">
        <v>-1.7</v>
      </c>
      <c r="BY3432">
        <v>-1.46</v>
      </c>
      <c r="BZ3432">
        <v>0.28999999999999998</v>
      </c>
      <c r="CA3432">
        <v>-1.59</v>
      </c>
      <c r="CB3432">
        <v>-1.36</v>
      </c>
      <c r="CC3432">
        <v>-0.94</v>
      </c>
      <c r="CD3432">
        <v>-0.1</v>
      </c>
      <c r="CE3432">
        <v>-0.48</v>
      </c>
      <c r="CF3432">
        <v>-1.1000000000000001</v>
      </c>
      <c r="CG3432">
        <v>0</v>
      </c>
      <c r="CH3432">
        <v>-1.5</v>
      </c>
      <c r="CI3432">
        <v>0</v>
      </c>
      <c r="CJ3432">
        <v>-2.1</v>
      </c>
      <c r="CK3432">
        <v>76</v>
      </c>
      <c r="CL3432">
        <v>-0.28999999999999998</v>
      </c>
      <c r="CM3432">
        <v>73</v>
      </c>
      <c r="CN3432">
        <v>7.0000000000000007E-2</v>
      </c>
      <c r="CO3432">
        <v>69</v>
      </c>
      <c r="CP3432">
        <v>-17.7</v>
      </c>
      <c r="CQ3432">
        <v>81</v>
      </c>
      <c r="CR3432">
        <v>0</v>
      </c>
      <c r="CS3432">
        <v>0</v>
      </c>
      <c r="CT3432">
        <v>-22.8</v>
      </c>
      <c r="CU3432">
        <v>80</v>
      </c>
      <c r="CV3432">
        <v>0.05</v>
      </c>
      <c r="CW3432">
        <v>40</v>
      </c>
      <c r="CX3432" t="s">
        <v>10853</v>
      </c>
    </row>
    <row r="3433" spans="1:102" x14ac:dyDescent="0.3">
      <c r="A3433" t="str">
        <f>HYPERLINK("https://webapp.icbf.com/v2/app/bull-search/view/77856199","LDS")</f>
        <v>LDS</v>
      </c>
      <c r="B3433" t="s">
        <v>3455</v>
      </c>
      <c r="C3433" t="s">
        <v>3456</v>
      </c>
      <c r="D3433" s="1">
        <v>31518</v>
      </c>
      <c r="E3433" t="s">
        <v>92</v>
      </c>
      <c r="F3433">
        <v>50</v>
      </c>
      <c r="G3433" t="s">
        <v>93</v>
      </c>
      <c r="H3433">
        <v>-36.840000000000003</v>
      </c>
      <c r="I3433">
        <v>58</v>
      </c>
      <c r="J3433">
        <v>-46.66</v>
      </c>
      <c r="K3433">
        <v>65</v>
      </c>
      <c r="L3433">
        <v>18.649999999999999</v>
      </c>
      <c r="M3433">
        <v>58</v>
      </c>
      <c r="N3433">
        <v>-5.7</v>
      </c>
      <c r="O3433">
        <v>40</v>
      </c>
      <c r="P3433">
        <v>-6.35</v>
      </c>
      <c r="Q3433">
        <v>79</v>
      </c>
      <c r="R3433">
        <v>-1.96</v>
      </c>
      <c r="S3433">
        <v>56</v>
      </c>
      <c r="T3433">
        <v>11.68</v>
      </c>
      <c r="U3433">
        <v>49</v>
      </c>
      <c r="V3433">
        <v>-6.5</v>
      </c>
      <c r="W3433">
        <v>28</v>
      </c>
      <c r="X3433" t="s">
        <v>94</v>
      </c>
      <c r="Y3433" t="s">
        <v>95</v>
      </c>
      <c r="Z3433" t="s">
        <v>96</v>
      </c>
      <c r="AA3433" t="s">
        <v>622</v>
      </c>
      <c r="AB3433" t="s">
        <v>2811</v>
      </c>
      <c r="AC3433">
        <v>11</v>
      </c>
      <c r="AD3433">
        <v>10</v>
      </c>
      <c r="AE3433">
        <v>65</v>
      </c>
      <c r="AF3433">
        <v>-69.34</v>
      </c>
      <c r="AG3433">
        <v>-2.62</v>
      </c>
      <c r="AH3433">
        <v>-8.07</v>
      </c>
      <c r="AI3433">
        <v>0</v>
      </c>
      <c r="AJ3433">
        <v>-0.1</v>
      </c>
      <c r="AK3433">
        <v>58</v>
      </c>
      <c r="AL3433">
        <v>62</v>
      </c>
      <c r="AM3433">
        <v>51</v>
      </c>
      <c r="AN3433">
        <v>-1.58</v>
      </c>
      <c r="AO3433">
        <v>-0.1</v>
      </c>
      <c r="AP3433">
        <v>4</v>
      </c>
      <c r="AQ3433">
        <v>1</v>
      </c>
      <c r="AR3433">
        <v>9.49</v>
      </c>
      <c r="AS3433">
        <v>21</v>
      </c>
      <c r="AT3433">
        <v>3.76</v>
      </c>
      <c r="AU3433">
        <v>37</v>
      </c>
      <c r="AV3433">
        <v>-1.36</v>
      </c>
      <c r="AW3433">
        <v>44</v>
      </c>
      <c r="AX3433">
        <v>-0.19</v>
      </c>
      <c r="AY3433">
        <v>59</v>
      </c>
      <c r="AZ3433">
        <v>7.18</v>
      </c>
      <c r="BA3433">
        <v>21</v>
      </c>
      <c r="BB3433">
        <v>5.81</v>
      </c>
      <c r="BC3433">
        <v>33</v>
      </c>
      <c r="BD3433">
        <v>0.03</v>
      </c>
      <c r="BE3433">
        <v>0.05</v>
      </c>
      <c r="BF3433">
        <v>-0.1</v>
      </c>
      <c r="BG3433">
        <v>76</v>
      </c>
      <c r="BH3433">
        <v>-0.11</v>
      </c>
      <c r="BI3433">
        <v>8.23</v>
      </c>
      <c r="BJ3433">
        <v>11</v>
      </c>
      <c r="BK3433">
        <v>9</v>
      </c>
      <c r="BL3433">
        <v>-1.89</v>
      </c>
      <c r="BM3433">
        <v>-0.28999999999999998</v>
      </c>
      <c r="BN3433">
        <v>-1.48</v>
      </c>
      <c r="BO3433">
        <v>-1.08</v>
      </c>
      <c r="BP3433">
        <v>-0.18</v>
      </c>
      <c r="BQ3433">
        <v>0.27</v>
      </c>
      <c r="BR3433">
        <v>1.18</v>
      </c>
      <c r="BS3433">
        <v>-0.73</v>
      </c>
      <c r="BT3433">
        <v>-1.86</v>
      </c>
      <c r="BU3433">
        <v>-0.23</v>
      </c>
      <c r="BV3433">
        <v>-1.66</v>
      </c>
      <c r="BW3433">
        <v>-2.04</v>
      </c>
      <c r="BX3433">
        <v>-0.61</v>
      </c>
      <c r="BY3433">
        <v>-1.38</v>
      </c>
      <c r="BZ3433">
        <v>-0.73</v>
      </c>
      <c r="CA3433">
        <v>-1.66</v>
      </c>
      <c r="CB3433">
        <v>-1.3</v>
      </c>
      <c r="CC3433">
        <v>-1.61</v>
      </c>
      <c r="CD3433">
        <v>0.84</v>
      </c>
      <c r="CE3433">
        <v>-0.79</v>
      </c>
      <c r="CF3433">
        <v>-1.53</v>
      </c>
      <c r="CG3433">
        <v>0</v>
      </c>
      <c r="CH3433">
        <v>-1.45</v>
      </c>
      <c r="CI3433">
        <v>0</v>
      </c>
      <c r="CJ3433">
        <v>-2.2999999999999998</v>
      </c>
      <c r="CK3433">
        <v>82</v>
      </c>
      <c r="CL3433">
        <v>-0.23</v>
      </c>
      <c r="CM3433">
        <v>78</v>
      </c>
      <c r="CN3433">
        <v>-0.02</v>
      </c>
      <c r="CO3433">
        <v>76</v>
      </c>
      <c r="CP3433">
        <v>-6.9</v>
      </c>
      <c r="CQ3433">
        <v>64</v>
      </c>
      <c r="CR3433">
        <v>0</v>
      </c>
      <c r="CS3433">
        <v>0</v>
      </c>
      <c r="CT3433">
        <v>-2</v>
      </c>
      <c r="CU3433">
        <v>49</v>
      </c>
      <c r="CV3433">
        <v>0.01</v>
      </c>
      <c r="CW3433">
        <v>24</v>
      </c>
      <c r="CX3433" t="s">
        <v>2812</v>
      </c>
    </row>
    <row r="3434" spans="1:102" x14ac:dyDescent="0.3">
      <c r="A3434" t="str">
        <f>HYPERLINK("https://webapp.icbf.com/v2/app/bull-search/view/77858455","DMD")</f>
        <v>DMD</v>
      </c>
      <c r="B3434" t="s">
        <v>8636</v>
      </c>
      <c r="C3434" t="s">
        <v>8637</v>
      </c>
      <c r="D3434" s="1">
        <v>35005</v>
      </c>
      <c r="E3434" t="s">
        <v>92</v>
      </c>
      <c r="F3434">
        <v>100</v>
      </c>
      <c r="G3434" t="s">
        <v>93</v>
      </c>
      <c r="H3434">
        <v>-36.880000000000003</v>
      </c>
      <c r="I3434">
        <v>94</v>
      </c>
      <c r="J3434">
        <v>46.71</v>
      </c>
      <c r="K3434">
        <v>99</v>
      </c>
      <c r="L3434">
        <v>-90.11</v>
      </c>
      <c r="M3434">
        <v>90</v>
      </c>
      <c r="N3434">
        <v>10.119999999999999</v>
      </c>
      <c r="O3434">
        <v>94</v>
      </c>
      <c r="P3434">
        <v>-3.19</v>
      </c>
      <c r="Q3434">
        <v>98</v>
      </c>
      <c r="R3434">
        <v>-2.91</v>
      </c>
      <c r="S3434">
        <v>90</v>
      </c>
      <c r="T3434">
        <v>7.83</v>
      </c>
      <c r="U3434">
        <v>95</v>
      </c>
      <c r="V3434">
        <v>-5.33</v>
      </c>
      <c r="W3434">
        <v>90</v>
      </c>
      <c r="X3434" t="s">
        <v>102</v>
      </c>
      <c r="Y3434" t="s">
        <v>95</v>
      </c>
      <c r="Z3434" t="s">
        <v>96</v>
      </c>
      <c r="AA3434" t="s">
        <v>529</v>
      </c>
      <c r="AB3434" t="s">
        <v>8638</v>
      </c>
      <c r="AC3434">
        <v>352</v>
      </c>
      <c r="AD3434">
        <v>160</v>
      </c>
      <c r="AE3434">
        <v>99</v>
      </c>
      <c r="AF3434">
        <v>449.79</v>
      </c>
      <c r="AG3434">
        <v>13.99</v>
      </c>
      <c r="AH3434">
        <v>9.8800000000000008</v>
      </c>
      <c r="AI3434">
        <v>-0.06</v>
      </c>
      <c r="AJ3434">
        <v>-0.09</v>
      </c>
      <c r="AK3434">
        <v>90</v>
      </c>
      <c r="AL3434">
        <v>448</v>
      </c>
      <c r="AM3434">
        <v>205</v>
      </c>
      <c r="AN3434">
        <v>5.38</v>
      </c>
      <c r="AO3434">
        <v>-1.8</v>
      </c>
      <c r="AP3434">
        <v>489</v>
      </c>
      <c r="AQ3434">
        <v>0</v>
      </c>
      <c r="AR3434">
        <v>7.66</v>
      </c>
      <c r="AS3434">
        <v>86</v>
      </c>
      <c r="AT3434">
        <v>2.98</v>
      </c>
      <c r="AU3434">
        <v>95</v>
      </c>
      <c r="AV3434">
        <v>-1.1399999999999999</v>
      </c>
      <c r="AW3434">
        <v>98</v>
      </c>
      <c r="AX3434">
        <v>-0.32</v>
      </c>
      <c r="AY3434">
        <v>94</v>
      </c>
      <c r="AZ3434">
        <v>6.48</v>
      </c>
      <c r="BA3434">
        <v>83</v>
      </c>
      <c r="BB3434">
        <v>5.15</v>
      </c>
      <c r="BC3434">
        <v>87</v>
      </c>
      <c r="BD3434">
        <v>-0.03</v>
      </c>
      <c r="BE3434">
        <v>0.03</v>
      </c>
      <c r="BF3434">
        <v>0.06</v>
      </c>
      <c r="BG3434">
        <v>96</v>
      </c>
      <c r="BH3434">
        <v>-0.17</v>
      </c>
      <c r="BI3434">
        <v>-2.4700000000000002</v>
      </c>
      <c r="BJ3434">
        <v>23</v>
      </c>
      <c r="BK3434">
        <v>15</v>
      </c>
      <c r="BL3434">
        <v>-0.32</v>
      </c>
      <c r="BM3434">
        <v>0.27</v>
      </c>
      <c r="BN3434">
        <v>-0.28000000000000003</v>
      </c>
      <c r="BO3434">
        <v>-0.2</v>
      </c>
      <c r="BP3434">
        <v>-0.97</v>
      </c>
      <c r="BQ3434">
        <v>0.24</v>
      </c>
      <c r="BR3434">
        <v>-1.26</v>
      </c>
      <c r="BS3434">
        <v>0</v>
      </c>
      <c r="BT3434">
        <v>0.62</v>
      </c>
      <c r="BU3434">
        <v>-1.54</v>
      </c>
      <c r="BV3434">
        <v>-0.62</v>
      </c>
      <c r="BW3434">
        <v>-0.94</v>
      </c>
      <c r="BX3434">
        <v>-1.67</v>
      </c>
      <c r="BY3434">
        <v>-1.1299999999999999</v>
      </c>
      <c r="BZ3434">
        <v>0.18</v>
      </c>
      <c r="CA3434">
        <v>-1.21</v>
      </c>
      <c r="CB3434">
        <v>-1.51</v>
      </c>
      <c r="CC3434">
        <v>0</v>
      </c>
      <c r="CD3434">
        <v>-0.01</v>
      </c>
      <c r="CE3434">
        <v>-0.71</v>
      </c>
      <c r="CF3434">
        <v>-0.84</v>
      </c>
      <c r="CG3434">
        <v>0</v>
      </c>
      <c r="CH3434">
        <v>-0.68</v>
      </c>
      <c r="CI3434">
        <v>0</v>
      </c>
      <c r="CJ3434">
        <v>2.9</v>
      </c>
      <c r="CK3434">
        <v>98</v>
      </c>
      <c r="CL3434">
        <v>-0.46</v>
      </c>
      <c r="CM3434">
        <v>98</v>
      </c>
      <c r="CN3434">
        <v>0.17</v>
      </c>
      <c r="CO3434">
        <v>98</v>
      </c>
      <c r="CP3434">
        <v>-3</v>
      </c>
      <c r="CQ3434">
        <v>98</v>
      </c>
      <c r="CR3434">
        <v>0</v>
      </c>
      <c r="CS3434">
        <v>0</v>
      </c>
      <c r="CT3434">
        <v>3.2</v>
      </c>
      <c r="CU3434">
        <v>95</v>
      </c>
      <c r="CV3434">
        <v>0.13</v>
      </c>
      <c r="CW3434">
        <v>46</v>
      </c>
      <c r="CX3434" t="s">
        <v>3842</v>
      </c>
    </row>
    <row r="3435" spans="1:102" x14ac:dyDescent="0.3">
      <c r="A3435" t="str">
        <f>HYPERLINK("https://webapp.icbf.com/v2/app/bull-search/view/1157657625","S2114")</f>
        <v>S2114</v>
      </c>
      <c r="B3435" t="s">
        <v>13247</v>
      </c>
      <c r="C3435" t="s">
        <v>13248</v>
      </c>
      <c r="D3435" s="1">
        <v>40587</v>
      </c>
      <c r="E3435" t="s">
        <v>1061</v>
      </c>
      <c r="F3435">
        <v>0</v>
      </c>
      <c r="G3435" t="s">
        <v>109</v>
      </c>
      <c r="H3435">
        <v>-36.89</v>
      </c>
      <c r="I3435">
        <v>55</v>
      </c>
      <c r="J3435">
        <v>-16.78</v>
      </c>
      <c r="K3435">
        <v>79</v>
      </c>
      <c r="L3435">
        <v>6.59</v>
      </c>
      <c r="M3435">
        <v>64</v>
      </c>
      <c r="N3435">
        <v>-30.84</v>
      </c>
      <c r="O3435">
        <v>48</v>
      </c>
      <c r="P3435">
        <v>-16.09</v>
      </c>
      <c r="Q3435">
        <v>25</v>
      </c>
      <c r="R3435">
        <v>-0.68</v>
      </c>
      <c r="S3435">
        <v>12</v>
      </c>
      <c r="T3435">
        <v>23.82</v>
      </c>
      <c r="U3435">
        <v>8</v>
      </c>
      <c r="V3435">
        <v>-2.91</v>
      </c>
      <c r="W3435">
        <v>9</v>
      </c>
      <c r="X3435" t="s">
        <v>94</v>
      </c>
      <c r="Y3435" t="s">
        <v>367</v>
      </c>
      <c r="Z3435">
        <v>0</v>
      </c>
      <c r="AA3435" t="s">
        <v>13249</v>
      </c>
      <c r="AB3435" t="s">
        <v>13250</v>
      </c>
      <c r="AC3435">
        <v>0</v>
      </c>
      <c r="AD3435">
        <v>0</v>
      </c>
      <c r="AE3435">
        <v>79</v>
      </c>
      <c r="AF3435">
        <v>15.48</v>
      </c>
      <c r="AG3435">
        <v>0.18</v>
      </c>
      <c r="AH3435">
        <v>-2.68</v>
      </c>
      <c r="AI3435">
        <v>-0.01</v>
      </c>
      <c r="AJ3435">
        <v>-0.05</v>
      </c>
      <c r="AK3435">
        <v>64</v>
      </c>
      <c r="AL3435">
        <v>0</v>
      </c>
      <c r="AM3435">
        <v>0</v>
      </c>
      <c r="AN3435">
        <v>-0.04</v>
      </c>
      <c r="AO3435">
        <v>0.49</v>
      </c>
      <c r="AP3435">
        <v>18</v>
      </c>
      <c r="AQ3435">
        <v>0</v>
      </c>
      <c r="AR3435">
        <v>11.64</v>
      </c>
      <c r="AS3435">
        <v>18</v>
      </c>
      <c r="AT3435">
        <v>4.3499999999999996</v>
      </c>
      <c r="AU3435">
        <v>69</v>
      </c>
      <c r="AV3435">
        <v>0.17</v>
      </c>
      <c r="AW3435">
        <v>67</v>
      </c>
      <c r="AX3435">
        <v>1.1299999999999999</v>
      </c>
      <c r="AY3435">
        <v>24</v>
      </c>
      <c r="AZ3435">
        <v>6.55</v>
      </c>
      <c r="BA3435">
        <v>4</v>
      </c>
      <c r="BB3435">
        <v>5.22</v>
      </c>
      <c r="BC3435">
        <v>1</v>
      </c>
      <c r="BD3435">
        <v>0.01</v>
      </c>
      <c r="BE3435">
        <v>0.01</v>
      </c>
      <c r="BF3435">
        <v>-0.02</v>
      </c>
      <c r="BG3435">
        <v>14</v>
      </c>
      <c r="BH3435">
        <v>-0.13</v>
      </c>
      <c r="BI3435">
        <v>-5.64</v>
      </c>
      <c r="BJ3435">
        <v>0</v>
      </c>
      <c r="BK3435">
        <v>0</v>
      </c>
      <c r="BL3435">
        <v>0</v>
      </c>
      <c r="BM3435">
        <v>0</v>
      </c>
      <c r="BN3435">
        <v>0</v>
      </c>
      <c r="BO3435">
        <v>0</v>
      </c>
      <c r="BP3435">
        <v>0</v>
      </c>
      <c r="BQ3435">
        <v>0</v>
      </c>
      <c r="BR3435">
        <v>0</v>
      </c>
      <c r="BS3435">
        <v>0</v>
      </c>
      <c r="BT3435">
        <v>0</v>
      </c>
      <c r="BU3435">
        <v>0</v>
      </c>
      <c r="BV3435">
        <v>0</v>
      </c>
      <c r="BW3435">
        <v>0</v>
      </c>
      <c r="BX3435">
        <v>0</v>
      </c>
      <c r="BY3435">
        <v>0</v>
      </c>
      <c r="BZ3435">
        <v>0</v>
      </c>
      <c r="CA3435">
        <v>0</v>
      </c>
      <c r="CB3435">
        <v>0</v>
      </c>
      <c r="CC3435">
        <v>0</v>
      </c>
      <c r="CD3435">
        <v>0</v>
      </c>
      <c r="CE3435">
        <v>0</v>
      </c>
      <c r="CF3435">
        <v>0</v>
      </c>
      <c r="CG3435">
        <v>0</v>
      </c>
      <c r="CH3435">
        <v>0</v>
      </c>
      <c r="CI3435">
        <v>0</v>
      </c>
      <c r="CJ3435">
        <v>-9.1</v>
      </c>
      <c r="CK3435">
        <v>28</v>
      </c>
      <c r="CL3435">
        <v>-0.51</v>
      </c>
      <c r="CM3435">
        <v>24</v>
      </c>
      <c r="CN3435">
        <v>-0.33</v>
      </c>
      <c r="CO3435">
        <v>22</v>
      </c>
      <c r="CP3435">
        <v>-14.2</v>
      </c>
      <c r="CQ3435">
        <v>12</v>
      </c>
      <c r="CR3435">
        <v>0</v>
      </c>
      <c r="CS3435">
        <v>0</v>
      </c>
      <c r="CT3435">
        <v>-18.399999999999999</v>
      </c>
      <c r="CU3435">
        <v>8</v>
      </c>
      <c r="CV3435">
        <v>-0.14000000000000001</v>
      </c>
      <c r="CW3435">
        <v>7</v>
      </c>
      <c r="CX3435" t="s">
        <v>5265</v>
      </c>
    </row>
    <row r="3436" spans="1:102" x14ac:dyDescent="0.3">
      <c r="A3436" t="str">
        <f>HYPERLINK("https://webapp.icbf.com/v2/app/bull-search/view/297557084","NTX")</f>
        <v>NTX</v>
      </c>
      <c r="B3436" t="s">
        <v>11690</v>
      </c>
      <c r="C3436" t="s">
        <v>11691</v>
      </c>
      <c r="D3436" s="1">
        <v>35687</v>
      </c>
      <c r="E3436" t="s">
        <v>140</v>
      </c>
      <c r="F3436">
        <v>0</v>
      </c>
      <c r="G3436" t="s">
        <v>109</v>
      </c>
      <c r="H3436">
        <v>-36.92</v>
      </c>
      <c r="I3436">
        <v>47</v>
      </c>
      <c r="J3436">
        <v>-53.26</v>
      </c>
      <c r="K3436">
        <v>75</v>
      </c>
      <c r="L3436">
        <v>30.52</v>
      </c>
      <c r="M3436">
        <v>28</v>
      </c>
      <c r="N3436">
        <v>-30.62</v>
      </c>
      <c r="O3436">
        <v>42</v>
      </c>
      <c r="P3436">
        <v>16.59</v>
      </c>
      <c r="Q3436">
        <v>47</v>
      </c>
      <c r="R3436">
        <v>0.44</v>
      </c>
      <c r="S3436">
        <v>32</v>
      </c>
      <c r="T3436">
        <v>6.2</v>
      </c>
      <c r="U3436">
        <v>35</v>
      </c>
      <c r="V3436">
        <v>-6.79</v>
      </c>
      <c r="W3436">
        <v>33</v>
      </c>
      <c r="X3436" t="s">
        <v>94</v>
      </c>
      <c r="Y3436" t="s">
        <v>95</v>
      </c>
      <c r="Z3436">
        <v>0</v>
      </c>
      <c r="AA3436" t="s">
        <v>295</v>
      </c>
      <c r="AB3436" t="s">
        <v>11692</v>
      </c>
      <c r="AC3436">
        <v>0</v>
      </c>
      <c r="AD3436">
        <v>0</v>
      </c>
      <c r="AE3436">
        <v>75</v>
      </c>
      <c r="AF3436">
        <v>-198.24</v>
      </c>
      <c r="AG3436">
        <v>-14.11</v>
      </c>
      <c r="AH3436">
        <v>-7.1</v>
      </c>
      <c r="AI3436">
        <v>-0.11</v>
      </c>
      <c r="AJ3436">
        <v>-0.01</v>
      </c>
      <c r="AK3436">
        <v>28</v>
      </c>
      <c r="AL3436">
        <v>6</v>
      </c>
      <c r="AM3436">
        <v>6</v>
      </c>
      <c r="AN3436">
        <v>-1.22</v>
      </c>
      <c r="AO3436">
        <v>1.22</v>
      </c>
      <c r="AP3436">
        <v>6</v>
      </c>
      <c r="AQ3436">
        <v>2</v>
      </c>
      <c r="AR3436">
        <v>9.01</v>
      </c>
      <c r="AS3436">
        <v>21</v>
      </c>
      <c r="AT3436">
        <v>4.8</v>
      </c>
      <c r="AU3436">
        <v>33</v>
      </c>
      <c r="AV3436">
        <v>2.21</v>
      </c>
      <c r="AW3436">
        <v>60</v>
      </c>
      <c r="AX3436">
        <v>-0.02</v>
      </c>
      <c r="AY3436">
        <v>37</v>
      </c>
      <c r="AZ3436">
        <v>4.72</v>
      </c>
      <c r="BA3436">
        <v>20</v>
      </c>
      <c r="BB3436">
        <v>3.67</v>
      </c>
      <c r="BC3436">
        <v>25</v>
      </c>
      <c r="BD3436">
        <v>0.03</v>
      </c>
      <c r="BE3436">
        <v>0</v>
      </c>
      <c r="BF3436">
        <v>-0.06</v>
      </c>
      <c r="BG3436">
        <v>38</v>
      </c>
      <c r="BH3436">
        <v>-0.2</v>
      </c>
      <c r="BI3436">
        <v>-1.24</v>
      </c>
      <c r="BJ3436">
        <v>0</v>
      </c>
      <c r="BK3436">
        <v>0</v>
      </c>
      <c r="BL3436">
        <v>-0.68</v>
      </c>
      <c r="BM3436">
        <v>3.78</v>
      </c>
      <c r="BN3436">
        <v>-1.56</v>
      </c>
      <c r="BO3436">
        <v>-3.04</v>
      </c>
      <c r="BP3436">
        <v>4.3</v>
      </c>
      <c r="BQ3436">
        <v>-1.93</v>
      </c>
      <c r="BR3436">
        <v>-2.77</v>
      </c>
      <c r="BS3436">
        <v>-0.25</v>
      </c>
      <c r="BT3436">
        <v>2.62</v>
      </c>
      <c r="BU3436">
        <v>-3.53</v>
      </c>
      <c r="BV3436">
        <v>-3.98</v>
      </c>
      <c r="BW3436">
        <v>-2.98</v>
      </c>
      <c r="BX3436">
        <v>-2.91</v>
      </c>
      <c r="BY3436">
        <v>-1.9</v>
      </c>
      <c r="BZ3436">
        <v>1.1399999999999999</v>
      </c>
      <c r="CA3436">
        <v>-2.5499999999999998</v>
      </c>
      <c r="CB3436">
        <v>-3.27</v>
      </c>
      <c r="CC3436">
        <v>-0.37</v>
      </c>
      <c r="CD3436">
        <v>4.09</v>
      </c>
      <c r="CE3436">
        <v>-3.01</v>
      </c>
      <c r="CF3436">
        <v>-0.8</v>
      </c>
      <c r="CG3436">
        <v>0</v>
      </c>
      <c r="CH3436">
        <v>-2.8</v>
      </c>
      <c r="CI3436">
        <v>0</v>
      </c>
      <c r="CJ3436">
        <v>7</v>
      </c>
      <c r="CK3436">
        <v>50</v>
      </c>
      <c r="CL3436">
        <v>0.16</v>
      </c>
      <c r="CM3436">
        <v>45</v>
      </c>
      <c r="CN3436">
        <v>-0.37</v>
      </c>
      <c r="CO3436">
        <v>43</v>
      </c>
      <c r="CP3436">
        <v>6.3</v>
      </c>
      <c r="CQ3436">
        <v>41</v>
      </c>
      <c r="CR3436">
        <v>0</v>
      </c>
      <c r="CS3436">
        <v>0</v>
      </c>
      <c r="CT3436">
        <v>5.4</v>
      </c>
      <c r="CU3436">
        <v>35</v>
      </c>
      <c r="CV3436">
        <v>-0.02</v>
      </c>
      <c r="CW3436">
        <v>13</v>
      </c>
      <c r="CX3436" t="s">
        <v>1177</v>
      </c>
    </row>
    <row r="3437" spans="1:102" x14ac:dyDescent="0.3">
      <c r="A3437" t="str">
        <f>HYPERLINK("https://webapp.icbf.com/v2/app/bull-search/view/714778828","S1185")</f>
        <v>S1185</v>
      </c>
      <c r="B3437" t="s">
        <v>2671</v>
      </c>
      <c r="C3437" t="s">
        <v>2672</v>
      </c>
      <c r="D3437" s="1">
        <v>39066</v>
      </c>
      <c r="E3437" t="s">
        <v>92</v>
      </c>
      <c r="F3437">
        <v>100</v>
      </c>
      <c r="G3437" t="s">
        <v>93</v>
      </c>
      <c r="H3437">
        <v>-36.950000000000003</v>
      </c>
      <c r="I3437">
        <v>87</v>
      </c>
      <c r="J3437">
        <v>26.48</v>
      </c>
      <c r="K3437">
        <v>96</v>
      </c>
      <c r="L3437">
        <v>-61.96</v>
      </c>
      <c r="M3437">
        <v>85</v>
      </c>
      <c r="N3437">
        <v>-6.81</v>
      </c>
      <c r="O3437">
        <v>82</v>
      </c>
      <c r="P3437">
        <v>-6.13</v>
      </c>
      <c r="Q3437">
        <v>90</v>
      </c>
      <c r="R3437">
        <v>8.9600000000000009</v>
      </c>
      <c r="S3437">
        <v>79</v>
      </c>
      <c r="T3437">
        <v>0.88</v>
      </c>
      <c r="U3437">
        <v>81</v>
      </c>
      <c r="V3437">
        <v>1.63</v>
      </c>
      <c r="W3437">
        <v>67</v>
      </c>
      <c r="X3437" t="s">
        <v>102</v>
      </c>
      <c r="Y3437" t="s">
        <v>336</v>
      </c>
      <c r="Z3437" t="s">
        <v>96</v>
      </c>
      <c r="AA3437" t="s">
        <v>358</v>
      </c>
      <c r="AB3437" t="s">
        <v>2673</v>
      </c>
      <c r="AC3437">
        <v>100</v>
      </c>
      <c r="AD3437">
        <v>33</v>
      </c>
      <c r="AE3437">
        <v>96</v>
      </c>
      <c r="AF3437">
        <v>81.16</v>
      </c>
      <c r="AG3437">
        <v>-1.54</v>
      </c>
      <c r="AH3437">
        <v>6.29</v>
      </c>
      <c r="AI3437">
        <v>-0.08</v>
      </c>
      <c r="AJ3437">
        <v>0.06</v>
      </c>
      <c r="AK3437">
        <v>85</v>
      </c>
      <c r="AL3437">
        <v>96</v>
      </c>
      <c r="AM3437">
        <v>38</v>
      </c>
      <c r="AN3437">
        <v>4.28</v>
      </c>
      <c r="AO3437">
        <v>-0.65</v>
      </c>
      <c r="AP3437">
        <v>171</v>
      </c>
      <c r="AQ3437">
        <v>2</v>
      </c>
      <c r="AR3437">
        <v>9.3000000000000007</v>
      </c>
      <c r="AS3437">
        <v>70</v>
      </c>
      <c r="AT3437">
        <v>3.88</v>
      </c>
      <c r="AU3437">
        <v>86</v>
      </c>
      <c r="AV3437">
        <v>-0.95</v>
      </c>
      <c r="AW3437">
        <v>92</v>
      </c>
      <c r="AX3437">
        <v>1.02</v>
      </c>
      <c r="AY3437">
        <v>81</v>
      </c>
      <c r="AZ3437">
        <v>5.7</v>
      </c>
      <c r="BA3437">
        <v>63</v>
      </c>
      <c r="BB3437">
        <v>5.13</v>
      </c>
      <c r="BC3437">
        <v>58</v>
      </c>
      <c r="BD3437">
        <v>-0.03</v>
      </c>
      <c r="BE3437">
        <v>-0.04</v>
      </c>
      <c r="BF3437">
        <v>-0.08</v>
      </c>
      <c r="BG3437">
        <v>93</v>
      </c>
      <c r="BH3437">
        <v>-0.13</v>
      </c>
      <c r="BI3437">
        <v>-20.29</v>
      </c>
      <c r="BJ3437">
        <v>22</v>
      </c>
      <c r="BK3437">
        <v>10</v>
      </c>
      <c r="BL3437">
        <v>0.31</v>
      </c>
      <c r="BM3437">
        <v>-0.89</v>
      </c>
      <c r="BN3437">
        <v>0.21</v>
      </c>
      <c r="BO3437">
        <v>0.92</v>
      </c>
      <c r="BP3437">
        <v>-2.2200000000000002</v>
      </c>
      <c r="BQ3437">
        <v>-0.17</v>
      </c>
      <c r="BR3437">
        <v>1.59</v>
      </c>
      <c r="BS3437">
        <v>1.91</v>
      </c>
      <c r="BT3437">
        <v>-0.09</v>
      </c>
      <c r="BU3437">
        <v>1.18</v>
      </c>
      <c r="BV3437">
        <v>2.0099999999999998</v>
      </c>
      <c r="BW3437">
        <v>1.06</v>
      </c>
      <c r="BX3437">
        <v>1.39</v>
      </c>
      <c r="BY3437">
        <v>0.54</v>
      </c>
      <c r="BZ3437">
        <v>0.45</v>
      </c>
      <c r="CA3437">
        <v>2.0099999999999998</v>
      </c>
      <c r="CB3437">
        <v>1.72</v>
      </c>
      <c r="CC3437">
        <v>1.51</v>
      </c>
      <c r="CD3437">
        <v>-1.1299999999999999</v>
      </c>
      <c r="CE3437">
        <v>0.31</v>
      </c>
      <c r="CF3437">
        <v>-0.37</v>
      </c>
      <c r="CG3437">
        <v>0</v>
      </c>
      <c r="CH3437">
        <v>0.52</v>
      </c>
      <c r="CI3437">
        <v>0</v>
      </c>
      <c r="CJ3437">
        <v>-2</v>
      </c>
      <c r="CK3437">
        <v>91</v>
      </c>
      <c r="CL3437">
        <v>-0.88</v>
      </c>
      <c r="CM3437">
        <v>89</v>
      </c>
      <c r="CN3437">
        <v>-0.41</v>
      </c>
      <c r="CO3437">
        <v>88</v>
      </c>
      <c r="CP3437">
        <v>6.1</v>
      </c>
      <c r="CQ3437">
        <v>83</v>
      </c>
      <c r="CR3437">
        <v>0</v>
      </c>
      <c r="CS3437">
        <v>0</v>
      </c>
      <c r="CT3437">
        <v>12.6</v>
      </c>
      <c r="CU3437">
        <v>81</v>
      </c>
      <c r="CV3437">
        <v>0.11</v>
      </c>
      <c r="CW3437">
        <v>44</v>
      </c>
      <c r="CX3437" t="s">
        <v>2674</v>
      </c>
    </row>
    <row r="3438" spans="1:102" x14ac:dyDescent="0.3">
      <c r="A3438" t="str">
        <f>HYPERLINK("https://webapp.icbf.com/v2/app/bull-search/view/69092518","RRD")</f>
        <v>RRD</v>
      </c>
      <c r="B3438" t="s">
        <v>3245</v>
      </c>
      <c r="C3438" t="s">
        <v>3246</v>
      </c>
      <c r="D3438" s="1">
        <v>35117</v>
      </c>
      <c r="E3438" t="s">
        <v>108</v>
      </c>
      <c r="F3438">
        <v>6</v>
      </c>
      <c r="G3438" t="s">
        <v>93</v>
      </c>
      <c r="H3438">
        <v>-36.99</v>
      </c>
      <c r="I3438">
        <v>66</v>
      </c>
      <c r="J3438">
        <v>-37.020000000000003</v>
      </c>
      <c r="K3438">
        <v>82</v>
      </c>
      <c r="L3438">
        <v>50.63</v>
      </c>
      <c r="M3438">
        <v>54</v>
      </c>
      <c r="N3438">
        <v>-48.99</v>
      </c>
      <c r="O3438">
        <v>61</v>
      </c>
      <c r="P3438">
        <v>-9.0299999999999994</v>
      </c>
      <c r="Q3438">
        <v>84</v>
      </c>
      <c r="R3438">
        <v>-5.18</v>
      </c>
      <c r="S3438">
        <v>51</v>
      </c>
      <c r="T3438">
        <v>12.2</v>
      </c>
      <c r="U3438">
        <v>59</v>
      </c>
      <c r="V3438">
        <v>0.4</v>
      </c>
      <c r="W3438">
        <v>38</v>
      </c>
      <c r="X3438" t="s">
        <v>102</v>
      </c>
      <c r="Y3438" t="s">
        <v>1499</v>
      </c>
      <c r="Z3438" t="s">
        <v>96</v>
      </c>
      <c r="AA3438" t="s">
        <v>672</v>
      </c>
      <c r="AB3438" t="s">
        <v>3247</v>
      </c>
      <c r="AC3438">
        <v>20</v>
      </c>
      <c r="AD3438">
        <v>5</v>
      </c>
      <c r="AE3438">
        <v>82</v>
      </c>
      <c r="AF3438">
        <v>-329.2</v>
      </c>
      <c r="AG3438">
        <v>-6.26</v>
      </c>
      <c r="AH3438">
        <v>-9.1199999999999992</v>
      </c>
      <c r="AI3438">
        <v>0.12</v>
      </c>
      <c r="AJ3438">
        <v>0.04</v>
      </c>
      <c r="AK3438">
        <v>54</v>
      </c>
      <c r="AL3438">
        <v>30</v>
      </c>
      <c r="AM3438">
        <v>10</v>
      </c>
      <c r="AN3438">
        <v>-2.61</v>
      </c>
      <c r="AO3438">
        <v>1.43</v>
      </c>
      <c r="AP3438">
        <v>67</v>
      </c>
      <c r="AQ3438">
        <v>2</v>
      </c>
      <c r="AR3438">
        <v>14.15</v>
      </c>
      <c r="AS3438">
        <v>37</v>
      </c>
      <c r="AT3438">
        <v>5.23</v>
      </c>
      <c r="AU3438">
        <v>68</v>
      </c>
      <c r="AV3438">
        <v>0.54</v>
      </c>
      <c r="AW3438">
        <v>66</v>
      </c>
      <c r="AX3438">
        <v>7.0000000000000007E-2</v>
      </c>
      <c r="AY3438">
        <v>65</v>
      </c>
      <c r="AZ3438">
        <v>5.98</v>
      </c>
      <c r="BA3438">
        <v>38</v>
      </c>
      <c r="BB3438">
        <v>4.74</v>
      </c>
      <c r="BC3438">
        <v>46</v>
      </c>
      <c r="BD3438">
        <v>0.03</v>
      </c>
      <c r="BE3438">
        <v>0.01</v>
      </c>
      <c r="BF3438">
        <v>0.05</v>
      </c>
      <c r="BG3438">
        <v>58</v>
      </c>
      <c r="BH3438">
        <v>-0.1</v>
      </c>
      <c r="BI3438">
        <v>-12.85</v>
      </c>
      <c r="BJ3438">
        <v>0</v>
      </c>
      <c r="BK3438">
        <v>0</v>
      </c>
      <c r="BL3438">
        <v>-2.37</v>
      </c>
      <c r="BM3438">
        <v>1.33</v>
      </c>
      <c r="BN3438">
        <v>-1.86</v>
      </c>
      <c r="BO3438">
        <v>-2.1800000000000002</v>
      </c>
      <c r="BP3438">
        <v>0.67</v>
      </c>
      <c r="BQ3438">
        <v>1.29</v>
      </c>
      <c r="BR3438">
        <v>-0.17</v>
      </c>
      <c r="BS3438">
        <v>-1.0900000000000001</v>
      </c>
      <c r="BT3438">
        <v>0.28999999999999998</v>
      </c>
      <c r="BU3438">
        <v>-2.02</v>
      </c>
      <c r="BV3438">
        <v>-1.96</v>
      </c>
      <c r="BW3438">
        <v>-1.9</v>
      </c>
      <c r="BX3438">
        <v>-1.8</v>
      </c>
      <c r="BY3438">
        <v>-1.26</v>
      </c>
      <c r="BZ3438">
        <v>-1.45</v>
      </c>
      <c r="CA3438">
        <v>-2.1</v>
      </c>
      <c r="CB3438">
        <v>-1.95</v>
      </c>
      <c r="CC3438">
        <v>-1.45</v>
      </c>
      <c r="CD3438">
        <v>2.2599999999999998</v>
      </c>
      <c r="CE3438">
        <v>-2.25</v>
      </c>
      <c r="CF3438">
        <v>-1.54</v>
      </c>
      <c r="CG3438">
        <v>0</v>
      </c>
      <c r="CH3438">
        <v>-1.1499999999999999</v>
      </c>
      <c r="CI3438">
        <v>0</v>
      </c>
      <c r="CJ3438">
        <v>-5.5</v>
      </c>
      <c r="CK3438">
        <v>87</v>
      </c>
      <c r="CL3438">
        <v>-0.08</v>
      </c>
      <c r="CM3438">
        <v>84</v>
      </c>
      <c r="CN3438">
        <v>-0.05</v>
      </c>
      <c r="CO3438">
        <v>83</v>
      </c>
      <c r="CP3438">
        <v>-8</v>
      </c>
      <c r="CQ3438">
        <v>61</v>
      </c>
      <c r="CR3438">
        <v>0</v>
      </c>
      <c r="CS3438">
        <v>0</v>
      </c>
      <c r="CT3438">
        <v>-2.7</v>
      </c>
      <c r="CU3438">
        <v>59</v>
      </c>
      <c r="CV3438">
        <v>-0.14000000000000001</v>
      </c>
      <c r="CW3438">
        <v>24</v>
      </c>
      <c r="CX3438" t="s">
        <v>3248</v>
      </c>
    </row>
    <row r="3439" spans="1:102" x14ac:dyDescent="0.3">
      <c r="A3439" t="str">
        <f>HYPERLINK("https://webapp.icbf.com/v2/app/bull-search/view/77859643","BFZ")</f>
        <v>BFZ</v>
      </c>
      <c r="B3439" t="s">
        <v>11262</v>
      </c>
      <c r="C3439" t="s">
        <v>11263</v>
      </c>
      <c r="D3439" s="1">
        <v>33596</v>
      </c>
      <c r="E3439" t="s">
        <v>92</v>
      </c>
      <c r="F3439">
        <v>100</v>
      </c>
      <c r="G3439" t="s">
        <v>93</v>
      </c>
      <c r="H3439">
        <v>-37.03</v>
      </c>
      <c r="I3439">
        <v>78</v>
      </c>
      <c r="J3439">
        <v>-31.64</v>
      </c>
      <c r="K3439">
        <v>94</v>
      </c>
      <c r="L3439">
        <v>-14.58</v>
      </c>
      <c r="M3439">
        <v>72</v>
      </c>
      <c r="N3439">
        <v>18.25</v>
      </c>
      <c r="O3439">
        <v>63</v>
      </c>
      <c r="P3439">
        <v>-13.46</v>
      </c>
      <c r="Q3439">
        <v>79</v>
      </c>
      <c r="R3439">
        <v>-3.12</v>
      </c>
      <c r="S3439">
        <v>71</v>
      </c>
      <c r="T3439">
        <v>10.87</v>
      </c>
      <c r="U3439">
        <v>73</v>
      </c>
      <c r="V3439">
        <v>-3.35</v>
      </c>
      <c r="W3439">
        <v>39</v>
      </c>
      <c r="X3439" t="s">
        <v>94</v>
      </c>
      <c r="Y3439" t="s">
        <v>95</v>
      </c>
      <c r="Z3439" t="s">
        <v>96</v>
      </c>
      <c r="AA3439" t="s">
        <v>161</v>
      </c>
      <c r="AB3439" t="s">
        <v>11264</v>
      </c>
      <c r="AC3439">
        <v>83</v>
      </c>
      <c r="AD3439">
        <v>69</v>
      </c>
      <c r="AE3439">
        <v>94</v>
      </c>
      <c r="AF3439">
        <v>98.74</v>
      </c>
      <c r="AG3439">
        <v>-2.74</v>
      </c>
      <c r="AH3439">
        <v>-2.9</v>
      </c>
      <c r="AI3439">
        <v>-0.11</v>
      </c>
      <c r="AJ3439">
        <v>-0.1</v>
      </c>
      <c r="AK3439">
        <v>72</v>
      </c>
      <c r="AL3439">
        <v>159</v>
      </c>
      <c r="AM3439">
        <v>110</v>
      </c>
      <c r="AN3439">
        <v>2.57</v>
      </c>
      <c r="AO3439">
        <v>1.43</v>
      </c>
      <c r="AP3439">
        <v>2</v>
      </c>
      <c r="AQ3439">
        <v>0</v>
      </c>
      <c r="AR3439">
        <v>6.48</v>
      </c>
      <c r="AS3439">
        <v>36</v>
      </c>
      <c r="AT3439">
        <v>3.15</v>
      </c>
      <c r="AU3439">
        <v>60</v>
      </c>
      <c r="AV3439">
        <v>-2.1</v>
      </c>
      <c r="AW3439">
        <v>72</v>
      </c>
      <c r="AX3439">
        <v>-0.1</v>
      </c>
      <c r="AY3439">
        <v>75</v>
      </c>
      <c r="AZ3439">
        <v>6.33</v>
      </c>
      <c r="BA3439">
        <v>38</v>
      </c>
      <c r="BB3439">
        <v>5.29</v>
      </c>
      <c r="BC3439">
        <v>56</v>
      </c>
      <c r="BD3439">
        <v>0.01</v>
      </c>
      <c r="BE3439">
        <v>0.05</v>
      </c>
      <c r="BF3439">
        <v>-0.04</v>
      </c>
      <c r="BG3439">
        <v>90</v>
      </c>
      <c r="BH3439">
        <v>-0.08</v>
      </c>
      <c r="BI3439">
        <v>1.54</v>
      </c>
      <c r="BJ3439">
        <v>42</v>
      </c>
      <c r="BK3439">
        <v>30</v>
      </c>
      <c r="BL3439">
        <v>-0.69</v>
      </c>
      <c r="BM3439">
        <v>-1.26</v>
      </c>
      <c r="BN3439">
        <v>-0.99</v>
      </c>
      <c r="BO3439">
        <v>-0.13</v>
      </c>
      <c r="BP3439">
        <v>0.4</v>
      </c>
      <c r="BQ3439">
        <v>-1.81</v>
      </c>
      <c r="BR3439">
        <v>-0.95</v>
      </c>
      <c r="BS3439">
        <v>0.02</v>
      </c>
      <c r="BT3439">
        <v>0.71</v>
      </c>
      <c r="BU3439">
        <v>-1.07</v>
      </c>
      <c r="BV3439">
        <v>0.16</v>
      </c>
      <c r="BW3439">
        <v>0.42</v>
      </c>
      <c r="BX3439">
        <v>-0.64</v>
      </c>
      <c r="BY3439">
        <v>-0.14000000000000001</v>
      </c>
      <c r="BZ3439">
        <v>0.94</v>
      </c>
      <c r="CA3439">
        <v>-0.02</v>
      </c>
      <c r="CB3439">
        <v>-0.45</v>
      </c>
      <c r="CC3439">
        <v>1.27</v>
      </c>
      <c r="CD3439">
        <v>-0.48</v>
      </c>
      <c r="CE3439">
        <v>0.27</v>
      </c>
      <c r="CF3439">
        <v>-0.96</v>
      </c>
      <c r="CG3439">
        <v>0</v>
      </c>
      <c r="CH3439">
        <v>-0.69</v>
      </c>
      <c r="CI3439">
        <v>0</v>
      </c>
      <c r="CJ3439">
        <v>-4.7</v>
      </c>
      <c r="CK3439">
        <v>80</v>
      </c>
      <c r="CL3439">
        <v>-0.42</v>
      </c>
      <c r="CM3439">
        <v>77</v>
      </c>
      <c r="CN3439">
        <v>7.0000000000000007E-2</v>
      </c>
      <c r="CO3439">
        <v>74</v>
      </c>
      <c r="CP3439">
        <v>-12.1</v>
      </c>
      <c r="CQ3439">
        <v>83</v>
      </c>
      <c r="CR3439">
        <v>0</v>
      </c>
      <c r="CS3439">
        <v>0</v>
      </c>
      <c r="CT3439">
        <v>-0.9</v>
      </c>
      <c r="CU3439">
        <v>73</v>
      </c>
      <c r="CV3439">
        <v>0.14000000000000001</v>
      </c>
      <c r="CW3439">
        <v>22</v>
      </c>
      <c r="CX3439" t="s">
        <v>552</v>
      </c>
    </row>
    <row r="3440" spans="1:102" x14ac:dyDescent="0.3">
      <c r="A3440" t="str">
        <f>HYPERLINK("https://webapp.icbf.com/v2/app/bull-search/view/365432645","MDZ")</f>
        <v>MDZ</v>
      </c>
      <c r="B3440" t="s">
        <v>144</v>
      </c>
      <c r="C3440" t="s">
        <v>1155</v>
      </c>
      <c r="D3440" s="1">
        <v>35836</v>
      </c>
      <c r="E3440" t="s">
        <v>146</v>
      </c>
      <c r="F3440">
        <v>25</v>
      </c>
      <c r="G3440" t="s">
        <v>116</v>
      </c>
      <c r="H3440">
        <v>-37.07</v>
      </c>
      <c r="I3440">
        <v>55</v>
      </c>
      <c r="J3440">
        <v>-11.79</v>
      </c>
      <c r="K3440">
        <v>71</v>
      </c>
      <c r="L3440">
        <v>-47.76</v>
      </c>
      <c r="M3440">
        <v>41</v>
      </c>
      <c r="N3440">
        <v>17.14</v>
      </c>
      <c r="O3440">
        <v>51</v>
      </c>
      <c r="P3440">
        <v>-5.65</v>
      </c>
      <c r="Q3440">
        <v>71</v>
      </c>
      <c r="R3440">
        <v>-1.55</v>
      </c>
      <c r="S3440">
        <v>40</v>
      </c>
      <c r="T3440">
        <v>19.23</v>
      </c>
      <c r="U3440">
        <v>59</v>
      </c>
      <c r="V3440">
        <v>-6.69</v>
      </c>
      <c r="W3440">
        <v>27</v>
      </c>
      <c r="X3440" t="s">
        <v>276</v>
      </c>
      <c r="Y3440" t="s">
        <v>95</v>
      </c>
      <c r="Z3440">
        <v>0</v>
      </c>
      <c r="AA3440" t="s">
        <v>1156</v>
      </c>
      <c r="AB3440" t="s">
        <v>1157</v>
      </c>
      <c r="AC3440">
        <v>10</v>
      </c>
      <c r="AD3440">
        <v>5</v>
      </c>
      <c r="AE3440">
        <v>71</v>
      </c>
      <c r="AF3440">
        <v>-16.68</v>
      </c>
      <c r="AG3440">
        <v>-5.0599999999999996</v>
      </c>
      <c r="AH3440">
        <v>-0.47</v>
      </c>
      <c r="AI3440">
        <v>-7.0000000000000007E-2</v>
      </c>
      <c r="AJ3440">
        <v>0</v>
      </c>
      <c r="AK3440">
        <v>41</v>
      </c>
      <c r="AL3440">
        <v>9</v>
      </c>
      <c r="AM3440">
        <v>5</v>
      </c>
      <c r="AN3440">
        <v>2.52</v>
      </c>
      <c r="AO3440">
        <v>-1.29</v>
      </c>
      <c r="AP3440">
        <v>4</v>
      </c>
      <c r="AQ3440">
        <v>0</v>
      </c>
      <c r="AR3440">
        <v>7.11</v>
      </c>
      <c r="AS3440">
        <v>35</v>
      </c>
      <c r="AT3440">
        <v>3.11</v>
      </c>
      <c r="AU3440">
        <v>56</v>
      </c>
      <c r="AV3440">
        <v>-1.34</v>
      </c>
      <c r="AW3440">
        <v>57</v>
      </c>
      <c r="AX3440">
        <v>-0.79</v>
      </c>
      <c r="AY3440">
        <v>55</v>
      </c>
      <c r="AZ3440">
        <v>5.68</v>
      </c>
      <c r="BA3440">
        <v>29</v>
      </c>
      <c r="BB3440">
        <v>4.59</v>
      </c>
      <c r="BC3440">
        <v>33</v>
      </c>
      <c r="BD3440">
        <v>0.01</v>
      </c>
      <c r="BE3440">
        <v>0.01</v>
      </c>
      <c r="BF3440">
        <v>0</v>
      </c>
      <c r="BG3440">
        <v>46</v>
      </c>
      <c r="BH3440">
        <v>-0.23</v>
      </c>
      <c r="BI3440">
        <v>-5.0199999999999996</v>
      </c>
      <c r="BJ3440">
        <v>0</v>
      </c>
      <c r="BK3440">
        <v>0</v>
      </c>
      <c r="BL3440">
        <v>-0.72</v>
      </c>
      <c r="BM3440">
        <v>1.57</v>
      </c>
      <c r="BN3440">
        <v>-0.12</v>
      </c>
      <c r="BO3440">
        <v>-1.27</v>
      </c>
      <c r="BP3440">
        <v>0.86</v>
      </c>
      <c r="BQ3440">
        <v>1.23</v>
      </c>
      <c r="BR3440">
        <v>0.05</v>
      </c>
      <c r="BS3440">
        <v>0.41</v>
      </c>
      <c r="BT3440">
        <v>-7.0000000000000007E-2</v>
      </c>
      <c r="BU3440">
        <v>-0.71</v>
      </c>
      <c r="BV3440">
        <v>-1.62</v>
      </c>
      <c r="BW3440">
        <v>-1.29</v>
      </c>
      <c r="BX3440">
        <v>-0.53</v>
      </c>
      <c r="BY3440">
        <v>-1.22</v>
      </c>
      <c r="BZ3440">
        <v>0.49</v>
      </c>
      <c r="CA3440">
        <v>-1.36</v>
      </c>
      <c r="CB3440">
        <v>-1.36</v>
      </c>
      <c r="CC3440">
        <v>-0.7</v>
      </c>
      <c r="CD3440">
        <v>1.58</v>
      </c>
      <c r="CE3440">
        <v>-1.81</v>
      </c>
      <c r="CF3440">
        <v>-0.24</v>
      </c>
      <c r="CG3440">
        <v>0</v>
      </c>
      <c r="CH3440">
        <v>-0.36</v>
      </c>
      <c r="CI3440">
        <v>0</v>
      </c>
      <c r="CJ3440">
        <v>-7</v>
      </c>
      <c r="CK3440">
        <v>73</v>
      </c>
      <c r="CL3440">
        <v>0.14000000000000001</v>
      </c>
      <c r="CM3440">
        <v>70</v>
      </c>
      <c r="CN3440">
        <v>-0.31</v>
      </c>
      <c r="CO3440">
        <v>68</v>
      </c>
      <c r="CP3440">
        <v>-7.1</v>
      </c>
      <c r="CQ3440">
        <v>68</v>
      </c>
      <c r="CR3440">
        <v>0</v>
      </c>
      <c r="CS3440">
        <v>0</v>
      </c>
      <c r="CT3440">
        <v>-12.2</v>
      </c>
      <c r="CU3440">
        <v>59</v>
      </c>
      <c r="CV3440">
        <v>-0.3</v>
      </c>
      <c r="CW3440">
        <v>20</v>
      </c>
      <c r="CX3440" t="s">
        <v>1158</v>
      </c>
    </row>
    <row r="3441" spans="1:102" x14ac:dyDescent="0.3">
      <c r="A3441" t="str">
        <f>HYPERLINK("https://webapp.icbf.com/v2/app/bull-search/view/940164797","S1236")</f>
        <v>S1236</v>
      </c>
      <c r="B3441" t="s">
        <v>12973</v>
      </c>
      <c r="C3441" t="s">
        <v>12974</v>
      </c>
      <c r="D3441" s="1">
        <v>39111</v>
      </c>
      <c r="E3441" t="s">
        <v>197</v>
      </c>
      <c r="F3441">
        <v>0</v>
      </c>
      <c r="G3441" t="s">
        <v>116</v>
      </c>
      <c r="H3441">
        <v>-37.090000000000003</v>
      </c>
      <c r="I3441">
        <v>40</v>
      </c>
      <c r="J3441">
        <v>7.86</v>
      </c>
      <c r="K3441">
        <v>60</v>
      </c>
      <c r="L3441">
        <v>21.15</v>
      </c>
      <c r="M3441">
        <v>18</v>
      </c>
      <c r="N3441">
        <v>-76.599999999999994</v>
      </c>
      <c r="O3441">
        <v>49</v>
      </c>
      <c r="P3441">
        <v>2.2200000000000002</v>
      </c>
      <c r="Q3441">
        <v>72</v>
      </c>
      <c r="R3441">
        <v>-1.84</v>
      </c>
      <c r="S3441">
        <v>20</v>
      </c>
      <c r="T3441">
        <v>12.12</v>
      </c>
      <c r="U3441">
        <v>25</v>
      </c>
      <c r="V3441">
        <v>-2</v>
      </c>
      <c r="W3441">
        <v>23</v>
      </c>
      <c r="X3441" t="s">
        <v>198</v>
      </c>
      <c r="Y3441" t="s">
        <v>336</v>
      </c>
      <c r="Z3441">
        <v>0</v>
      </c>
      <c r="AA3441" t="s">
        <v>6545</v>
      </c>
      <c r="AB3441" t="s">
        <v>12975</v>
      </c>
      <c r="AC3441">
        <v>8</v>
      </c>
      <c r="AD3441">
        <v>2</v>
      </c>
      <c r="AE3441">
        <v>60</v>
      </c>
      <c r="AF3441">
        <v>-111.73</v>
      </c>
      <c r="AG3441">
        <v>-0.46</v>
      </c>
      <c r="AH3441">
        <v>-0.21</v>
      </c>
      <c r="AI3441">
        <v>7.0000000000000007E-2</v>
      </c>
      <c r="AJ3441">
        <v>0.06</v>
      </c>
      <c r="AK3441">
        <v>18</v>
      </c>
      <c r="AL3441">
        <v>7</v>
      </c>
      <c r="AM3441">
        <v>3</v>
      </c>
      <c r="AN3441">
        <v>-2.42</v>
      </c>
      <c r="AO3441">
        <v>-0.75</v>
      </c>
      <c r="AP3441">
        <v>25</v>
      </c>
      <c r="AQ3441">
        <v>0</v>
      </c>
      <c r="AR3441">
        <v>9.57</v>
      </c>
      <c r="AS3441">
        <v>9</v>
      </c>
      <c r="AT3441">
        <v>7.72</v>
      </c>
      <c r="AU3441">
        <v>45</v>
      </c>
      <c r="AV3441">
        <v>2.2000000000000002</v>
      </c>
      <c r="AW3441">
        <v>78</v>
      </c>
      <c r="AX3441">
        <v>0.71</v>
      </c>
      <c r="AY3441">
        <v>32</v>
      </c>
      <c r="AZ3441">
        <v>6.28</v>
      </c>
      <c r="BA3441">
        <v>10</v>
      </c>
      <c r="BB3441">
        <v>3.77</v>
      </c>
      <c r="BC3441">
        <v>10</v>
      </c>
      <c r="BD3441">
        <v>0.02</v>
      </c>
      <c r="BE3441">
        <v>0.01</v>
      </c>
      <c r="BF3441">
        <v>-0.01</v>
      </c>
      <c r="BG3441">
        <v>24</v>
      </c>
      <c r="BH3441">
        <v>-0.18</v>
      </c>
      <c r="BI3441">
        <v>-14.36</v>
      </c>
      <c r="BJ3441">
        <v>0</v>
      </c>
      <c r="BK3441">
        <v>0</v>
      </c>
      <c r="BL3441">
        <v>0</v>
      </c>
      <c r="BM3441">
        <v>0</v>
      </c>
      <c r="BN3441">
        <v>0</v>
      </c>
      <c r="BO3441">
        <v>0</v>
      </c>
      <c r="BP3441">
        <v>0</v>
      </c>
      <c r="BQ3441">
        <v>0</v>
      </c>
      <c r="BR3441">
        <v>0</v>
      </c>
      <c r="BS3441">
        <v>0</v>
      </c>
      <c r="BT3441">
        <v>0</v>
      </c>
      <c r="BU3441">
        <v>0</v>
      </c>
      <c r="BV3441">
        <v>0</v>
      </c>
      <c r="BW3441">
        <v>0</v>
      </c>
      <c r="BX3441">
        <v>0</v>
      </c>
      <c r="BY3441">
        <v>0</v>
      </c>
      <c r="BZ3441">
        <v>0</v>
      </c>
      <c r="CA3441">
        <v>0</v>
      </c>
      <c r="CB3441">
        <v>0</v>
      </c>
      <c r="CC3441">
        <v>0</v>
      </c>
      <c r="CD3441">
        <v>0</v>
      </c>
      <c r="CE3441">
        <v>0</v>
      </c>
      <c r="CF3441">
        <v>0</v>
      </c>
      <c r="CG3441">
        <v>0</v>
      </c>
      <c r="CH3441">
        <v>0</v>
      </c>
      <c r="CI3441">
        <v>0</v>
      </c>
      <c r="CJ3441">
        <v>2.8</v>
      </c>
      <c r="CK3441">
        <v>77</v>
      </c>
      <c r="CL3441">
        <v>-0.11</v>
      </c>
      <c r="CM3441">
        <v>73</v>
      </c>
      <c r="CN3441">
        <v>0.04</v>
      </c>
      <c r="CO3441">
        <v>71</v>
      </c>
      <c r="CP3441">
        <v>-0.3</v>
      </c>
      <c r="CQ3441">
        <v>39</v>
      </c>
      <c r="CR3441">
        <v>0</v>
      </c>
      <c r="CS3441">
        <v>0</v>
      </c>
      <c r="CT3441">
        <v>-2.6</v>
      </c>
      <c r="CU3441">
        <v>25</v>
      </c>
      <c r="CV3441">
        <v>0</v>
      </c>
      <c r="CW3441">
        <v>20</v>
      </c>
      <c r="CX3441" t="s">
        <v>10204</v>
      </c>
    </row>
    <row r="3442" spans="1:102" x14ac:dyDescent="0.3">
      <c r="A3442" t="str">
        <f>HYPERLINK("https://webapp.icbf.com/v2/app/bull-search/view/543640938","S558")</f>
        <v>S558</v>
      </c>
      <c r="B3442" t="s">
        <v>9991</v>
      </c>
      <c r="C3442" t="s">
        <v>9992</v>
      </c>
      <c r="D3442" s="1">
        <v>38446</v>
      </c>
      <c r="E3442" t="s">
        <v>92</v>
      </c>
      <c r="F3442">
        <v>100</v>
      </c>
      <c r="G3442" t="s">
        <v>93</v>
      </c>
      <c r="H3442">
        <v>-37.1</v>
      </c>
      <c r="I3442">
        <v>78</v>
      </c>
      <c r="J3442">
        <v>-6.55</v>
      </c>
      <c r="K3442">
        <v>91</v>
      </c>
      <c r="L3442">
        <v>-49.99</v>
      </c>
      <c r="M3442">
        <v>82</v>
      </c>
      <c r="N3442">
        <v>14.58</v>
      </c>
      <c r="O3442">
        <v>58</v>
      </c>
      <c r="P3442">
        <v>7.0000000000000007E-2</v>
      </c>
      <c r="Q3442">
        <v>67</v>
      </c>
      <c r="R3442">
        <v>3.44</v>
      </c>
      <c r="S3442">
        <v>67</v>
      </c>
      <c r="T3442">
        <v>5.09</v>
      </c>
      <c r="U3442">
        <v>71</v>
      </c>
      <c r="V3442">
        <v>-3.74</v>
      </c>
      <c r="W3442">
        <v>28</v>
      </c>
      <c r="X3442" t="s">
        <v>110</v>
      </c>
      <c r="Y3442" t="s">
        <v>545</v>
      </c>
      <c r="Z3442" t="s">
        <v>96</v>
      </c>
      <c r="AA3442" t="s">
        <v>1566</v>
      </c>
      <c r="AB3442" t="s">
        <v>9993</v>
      </c>
      <c r="AC3442">
        <v>43</v>
      </c>
      <c r="AD3442">
        <v>11</v>
      </c>
      <c r="AE3442">
        <v>91</v>
      </c>
      <c r="AF3442">
        <v>306.79000000000002</v>
      </c>
      <c r="AG3442">
        <v>2.04</v>
      </c>
      <c r="AH3442">
        <v>2.86</v>
      </c>
      <c r="AI3442">
        <v>-0.16</v>
      </c>
      <c r="AJ3442">
        <v>-0.12</v>
      </c>
      <c r="AK3442">
        <v>82</v>
      </c>
      <c r="AL3442">
        <v>43</v>
      </c>
      <c r="AM3442">
        <v>15</v>
      </c>
      <c r="AN3442">
        <v>2.4900000000000002</v>
      </c>
      <c r="AO3442">
        <v>-1.5</v>
      </c>
      <c r="AP3442">
        <v>26</v>
      </c>
      <c r="AQ3442">
        <v>0</v>
      </c>
      <c r="AR3442">
        <v>5.35</v>
      </c>
      <c r="AS3442">
        <v>46</v>
      </c>
      <c r="AT3442">
        <v>2.84</v>
      </c>
      <c r="AU3442">
        <v>79</v>
      </c>
      <c r="AV3442">
        <v>-1.31</v>
      </c>
      <c r="AW3442">
        <v>56</v>
      </c>
      <c r="AX3442">
        <v>0</v>
      </c>
      <c r="AY3442">
        <v>61</v>
      </c>
      <c r="AZ3442">
        <v>6.93</v>
      </c>
      <c r="BA3442">
        <v>35</v>
      </c>
      <c r="BB3442">
        <v>5.55</v>
      </c>
      <c r="BC3442">
        <v>34</v>
      </c>
      <c r="BD3442">
        <v>-0.03</v>
      </c>
      <c r="BE3442">
        <v>-0.01</v>
      </c>
      <c r="BF3442">
        <v>-0.01</v>
      </c>
      <c r="BG3442">
        <v>88</v>
      </c>
      <c r="BH3442">
        <v>-0.06</v>
      </c>
      <c r="BI3442">
        <v>5.1100000000000003</v>
      </c>
      <c r="BJ3442">
        <v>29</v>
      </c>
      <c r="BK3442">
        <v>9</v>
      </c>
      <c r="BL3442">
        <v>1.98</v>
      </c>
      <c r="BM3442">
        <v>-0.13</v>
      </c>
      <c r="BN3442">
        <v>0.9</v>
      </c>
      <c r="BO3442">
        <v>1.1299999999999999</v>
      </c>
      <c r="BP3442">
        <v>0.01</v>
      </c>
      <c r="BQ3442">
        <v>0.37</v>
      </c>
      <c r="BR3442">
        <v>-4.0599999999999996</v>
      </c>
      <c r="BS3442">
        <v>1.92</v>
      </c>
      <c r="BT3442">
        <v>3.22</v>
      </c>
      <c r="BU3442">
        <v>0.57999999999999996</v>
      </c>
      <c r="BV3442">
        <v>1.91</v>
      </c>
      <c r="BW3442">
        <v>1.98</v>
      </c>
      <c r="BX3442">
        <v>0.83</v>
      </c>
      <c r="BY3442">
        <v>2.11</v>
      </c>
      <c r="BZ3442">
        <v>-0.99</v>
      </c>
      <c r="CA3442">
        <v>2.04</v>
      </c>
      <c r="CB3442">
        <v>1.59</v>
      </c>
      <c r="CC3442">
        <v>1.95</v>
      </c>
      <c r="CD3442">
        <v>-0.41</v>
      </c>
      <c r="CE3442">
        <v>0.93</v>
      </c>
      <c r="CF3442">
        <v>0.9</v>
      </c>
      <c r="CG3442">
        <v>0</v>
      </c>
      <c r="CH3442">
        <v>0.76</v>
      </c>
      <c r="CI3442">
        <v>0</v>
      </c>
      <c r="CJ3442">
        <v>2.7</v>
      </c>
      <c r="CK3442">
        <v>69</v>
      </c>
      <c r="CL3442">
        <v>-1.07</v>
      </c>
      <c r="CM3442">
        <v>65</v>
      </c>
      <c r="CN3442">
        <v>-0.64</v>
      </c>
      <c r="CO3442">
        <v>61</v>
      </c>
      <c r="CP3442">
        <v>-0.7</v>
      </c>
      <c r="CQ3442">
        <v>74</v>
      </c>
      <c r="CR3442">
        <v>0</v>
      </c>
      <c r="CS3442">
        <v>0</v>
      </c>
      <c r="CT3442">
        <v>6.9</v>
      </c>
      <c r="CU3442">
        <v>71</v>
      </c>
      <c r="CV3442">
        <v>0.42</v>
      </c>
      <c r="CW3442">
        <v>18</v>
      </c>
      <c r="CX3442" t="s">
        <v>4248</v>
      </c>
    </row>
    <row r="3443" spans="1:102" x14ac:dyDescent="0.3">
      <c r="A3443" t="str">
        <f>HYPERLINK("https://webapp.icbf.com/v2/app/bull-search/view/77859598","BEU")</f>
        <v>BEU</v>
      </c>
      <c r="B3443" t="s">
        <v>10899</v>
      </c>
      <c r="C3443" t="s">
        <v>10900</v>
      </c>
      <c r="D3443" s="1">
        <v>35144</v>
      </c>
      <c r="E3443" t="s">
        <v>92</v>
      </c>
      <c r="F3443">
        <v>100</v>
      </c>
      <c r="G3443" t="s">
        <v>116</v>
      </c>
      <c r="H3443">
        <v>-37.1</v>
      </c>
      <c r="I3443">
        <v>50</v>
      </c>
      <c r="J3443">
        <v>27.55</v>
      </c>
      <c r="K3443">
        <v>62</v>
      </c>
      <c r="L3443">
        <v>-50.6</v>
      </c>
      <c r="M3443">
        <v>39</v>
      </c>
      <c r="N3443">
        <v>-10.9</v>
      </c>
      <c r="O3443">
        <v>50</v>
      </c>
      <c r="P3443">
        <v>-6.23</v>
      </c>
      <c r="Q3443">
        <v>61</v>
      </c>
      <c r="R3443">
        <v>-0.64</v>
      </c>
      <c r="S3443">
        <v>42</v>
      </c>
      <c r="T3443">
        <v>13.46</v>
      </c>
      <c r="U3443">
        <v>49</v>
      </c>
      <c r="V3443">
        <v>-9.74</v>
      </c>
      <c r="W3443">
        <v>36</v>
      </c>
      <c r="X3443" t="s">
        <v>94</v>
      </c>
      <c r="Y3443" t="s">
        <v>1499</v>
      </c>
      <c r="Z3443" t="s">
        <v>96</v>
      </c>
      <c r="AA3443" t="s">
        <v>97</v>
      </c>
      <c r="AB3443" t="s">
        <v>10901</v>
      </c>
      <c r="AC3443">
        <v>6</v>
      </c>
      <c r="AD3443">
        <v>5</v>
      </c>
      <c r="AE3443">
        <v>62</v>
      </c>
      <c r="AF3443">
        <v>96.43</v>
      </c>
      <c r="AG3443">
        <v>9.39</v>
      </c>
      <c r="AH3443">
        <v>2.84</v>
      </c>
      <c r="AI3443">
        <v>0.09</v>
      </c>
      <c r="AJ3443">
        <v>-0.01</v>
      </c>
      <c r="AK3443">
        <v>39</v>
      </c>
      <c r="AL3443">
        <v>11</v>
      </c>
      <c r="AM3443">
        <v>9</v>
      </c>
      <c r="AN3443">
        <v>2.37</v>
      </c>
      <c r="AO3443">
        <v>-1.67</v>
      </c>
      <c r="AP3443">
        <v>10</v>
      </c>
      <c r="AQ3443">
        <v>0</v>
      </c>
      <c r="AR3443">
        <v>10.66</v>
      </c>
      <c r="AS3443">
        <v>29</v>
      </c>
      <c r="AT3443">
        <v>4.8099999999999996</v>
      </c>
      <c r="AU3443">
        <v>44</v>
      </c>
      <c r="AV3443">
        <v>-1.44</v>
      </c>
      <c r="AW3443">
        <v>66</v>
      </c>
      <c r="AX3443">
        <v>-0.41</v>
      </c>
      <c r="AY3443">
        <v>46</v>
      </c>
      <c r="AZ3443">
        <v>5.75</v>
      </c>
      <c r="BA3443">
        <v>29</v>
      </c>
      <c r="BB3443">
        <v>4.37</v>
      </c>
      <c r="BC3443">
        <v>32</v>
      </c>
      <c r="BD3443">
        <v>0.01</v>
      </c>
      <c r="BE3443">
        <v>0.02</v>
      </c>
      <c r="BF3443">
        <v>-0.04</v>
      </c>
      <c r="BG3443">
        <v>47</v>
      </c>
      <c r="BH3443">
        <v>-0.28999999999999998</v>
      </c>
      <c r="BI3443">
        <v>-2.14</v>
      </c>
      <c r="BJ3443">
        <v>0</v>
      </c>
      <c r="BK3443">
        <v>0</v>
      </c>
      <c r="BL3443">
        <v>0.13</v>
      </c>
      <c r="BM3443">
        <v>-1.04</v>
      </c>
      <c r="BN3443">
        <v>-0.63</v>
      </c>
      <c r="BO3443">
        <v>0.22</v>
      </c>
      <c r="BP3443">
        <v>0.81</v>
      </c>
      <c r="BQ3443">
        <v>-1.25</v>
      </c>
      <c r="BR3443">
        <v>-0.51</v>
      </c>
      <c r="BS3443">
        <v>0.95</v>
      </c>
      <c r="BT3443">
        <v>0.68</v>
      </c>
      <c r="BU3443">
        <v>-0.68</v>
      </c>
      <c r="BV3443">
        <v>-0.17</v>
      </c>
      <c r="BW3443">
        <v>-0.24</v>
      </c>
      <c r="BX3443">
        <v>-0.45</v>
      </c>
      <c r="BY3443">
        <v>-0.25</v>
      </c>
      <c r="BZ3443">
        <v>-0.5</v>
      </c>
      <c r="CA3443">
        <v>0.1</v>
      </c>
      <c r="CB3443">
        <v>-0.31</v>
      </c>
      <c r="CC3443">
        <v>0.79</v>
      </c>
      <c r="CD3443">
        <v>-0.39</v>
      </c>
      <c r="CE3443">
        <v>0.13</v>
      </c>
      <c r="CF3443">
        <v>-0.52</v>
      </c>
      <c r="CG3443">
        <v>0</v>
      </c>
      <c r="CH3443">
        <v>-0.38</v>
      </c>
      <c r="CI3443">
        <v>0</v>
      </c>
      <c r="CJ3443">
        <v>-1.9</v>
      </c>
      <c r="CK3443">
        <v>63</v>
      </c>
      <c r="CL3443">
        <v>-0.53</v>
      </c>
      <c r="CM3443">
        <v>59</v>
      </c>
      <c r="CN3443">
        <v>-0.24</v>
      </c>
      <c r="CO3443">
        <v>56</v>
      </c>
      <c r="CP3443">
        <v>-6.3</v>
      </c>
      <c r="CQ3443">
        <v>59</v>
      </c>
      <c r="CR3443">
        <v>0</v>
      </c>
      <c r="CS3443">
        <v>0</v>
      </c>
      <c r="CT3443">
        <v>-4.4000000000000004</v>
      </c>
      <c r="CU3443">
        <v>49</v>
      </c>
      <c r="CV3443">
        <v>0.09</v>
      </c>
      <c r="CW3443">
        <v>17</v>
      </c>
      <c r="CX3443" t="s">
        <v>132</v>
      </c>
    </row>
    <row r="3444" spans="1:102" x14ac:dyDescent="0.3">
      <c r="A3444" t="str">
        <f>HYPERLINK("https://webapp.icbf.com/v2/app/bull-search/view/805815414","OXM")</f>
        <v>OXM</v>
      </c>
      <c r="B3444" t="s">
        <v>14493</v>
      </c>
      <c r="C3444" t="s">
        <v>14494</v>
      </c>
      <c r="D3444" s="1">
        <v>39785</v>
      </c>
      <c r="E3444" t="s">
        <v>92</v>
      </c>
      <c r="F3444">
        <v>100</v>
      </c>
      <c r="G3444" t="s">
        <v>93</v>
      </c>
      <c r="H3444">
        <v>-37.11</v>
      </c>
      <c r="I3444">
        <v>74</v>
      </c>
      <c r="J3444">
        <v>12.39</v>
      </c>
      <c r="K3444">
        <v>90</v>
      </c>
      <c r="L3444">
        <v>-20.440000000000001</v>
      </c>
      <c r="M3444">
        <v>58</v>
      </c>
      <c r="N3444">
        <v>-11.66</v>
      </c>
      <c r="O3444">
        <v>75</v>
      </c>
      <c r="P3444">
        <v>-7.09</v>
      </c>
      <c r="Q3444">
        <v>87</v>
      </c>
      <c r="R3444">
        <v>-6.04</v>
      </c>
      <c r="S3444">
        <v>56</v>
      </c>
      <c r="T3444">
        <v>-5.04</v>
      </c>
      <c r="U3444">
        <v>76</v>
      </c>
      <c r="V3444">
        <v>0.77</v>
      </c>
      <c r="W3444">
        <v>50</v>
      </c>
      <c r="X3444" t="s">
        <v>276</v>
      </c>
      <c r="Y3444" t="s">
        <v>422</v>
      </c>
      <c r="Z3444" t="s">
        <v>96</v>
      </c>
      <c r="AA3444" t="s">
        <v>5289</v>
      </c>
      <c r="AB3444" t="s">
        <v>14495</v>
      </c>
      <c r="AC3444">
        <v>40</v>
      </c>
      <c r="AD3444">
        <v>26</v>
      </c>
      <c r="AE3444">
        <v>90</v>
      </c>
      <c r="AF3444">
        <v>127.14</v>
      </c>
      <c r="AG3444">
        <v>-4.5999999999999996</v>
      </c>
      <c r="AH3444">
        <v>5.68</v>
      </c>
      <c r="AI3444">
        <v>-0.16</v>
      </c>
      <c r="AJ3444">
        <v>0.02</v>
      </c>
      <c r="AK3444">
        <v>58</v>
      </c>
      <c r="AL3444">
        <v>60</v>
      </c>
      <c r="AM3444">
        <v>35</v>
      </c>
      <c r="AN3444">
        <v>1.9</v>
      </c>
      <c r="AO3444">
        <v>0.28000000000000003</v>
      </c>
      <c r="AP3444">
        <v>102</v>
      </c>
      <c r="AQ3444">
        <v>0</v>
      </c>
      <c r="AR3444">
        <v>9.6999999999999993</v>
      </c>
      <c r="AS3444">
        <v>50</v>
      </c>
      <c r="AT3444">
        <v>4.55</v>
      </c>
      <c r="AU3444">
        <v>74</v>
      </c>
      <c r="AV3444">
        <v>-2.2599999999999998</v>
      </c>
      <c r="AW3444">
        <v>93</v>
      </c>
      <c r="AX3444">
        <v>0.6</v>
      </c>
      <c r="AY3444">
        <v>70</v>
      </c>
      <c r="AZ3444">
        <v>8</v>
      </c>
      <c r="BA3444">
        <v>47</v>
      </c>
      <c r="BB3444">
        <v>5.89</v>
      </c>
      <c r="BC3444">
        <v>45</v>
      </c>
      <c r="BD3444">
        <v>0.03</v>
      </c>
      <c r="BE3444">
        <v>0.01</v>
      </c>
      <c r="BF3444">
        <v>7.0000000000000007E-2</v>
      </c>
      <c r="BG3444">
        <v>68</v>
      </c>
      <c r="BH3444">
        <v>0.02</v>
      </c>
      <c r="BI3444">
        <v>-0.17</v>
      </c>
      <c r="BJ3444">
        <v>5</v>
      </c>
      <c r="BK3444">
        <v>4</v>
      </c>
      <c r="BL3444">
        <v>2.06</v>
      </c>
      <c r="BM3444">
        <v>-0.39</v>
      </c>
      <c r="BN3444">
        <v>0.93</v>
      </c>
      <c r="BO3444">
        <v>0.98</v>
      </c>
      <c r="BP3444">
        <v>0.78</v>
      </c>
      <c r="BQ3444">
        <v>1.98</v>
      </c>
      <c r="BR3444">
        <v>-1.32</v>
      </c>
      <c r="BS3444">
        <v>0.94</v>
      </c>
      <c r="BT3444">
        <v>2.56</v>
      </c>
      <c r="BU3444">
        <v>2.39</v>
      </c>
      <c r="BV3444">
        <v>1.1499999999999999</v>
      </c>
      <c r="BW3444">
        <v>1.1200000000000001</v>
      </c>
      <c r="BX3444">
        <v>2.2000000000000002</v>
      </c>
      <c r="BY3444">
        <v>1.0900000000000001</v>
      </c>
      <c r="BZ3444">
        <v>-1.51</v>
      </c>
      <c r="CA3444">
        <v>1.81</v>
      </c>
      <c r="CB3444">
        <v>1.68</v>
      </c>
      <c r="CC3444">
        <v>1.29</v>
      </c>
      <c r="CD3444">
        <v>-0.41</v>
      </c>
      <c r="CE3444">
        <v>0.79</v>
      </c>
      <c r="CF3444">
        <v>1.99</v>
      </c>
      <c r="CG3444">
        <v>0</v>
      </c>
      <c r="CH3444">
        <v>1.33</v>
      </c>
      <c r="CI3444">
        <v>0</v>
      </c>
      <c r="CJ3444">
        <v>1.5</v>
      </c>
      <c r="CK3444">
        <v>89</v>
      </c>
      <c r="CL3444">
        <v>-1.36</v>
      </c>
      <c r="CM3444">
        <v>86</v>
      </c>
      <c r="CN3444">
        <v>-0.32</v>
      </c>
      <c r="CO3444">
        <v>85</v>
      </c>
      <c r="CP3444">
        <v>7.5</v>
      </c>
      <c r="CQ3444">
        <v>78</v>
      </c>
      <c r="CR3444">
        <v>0</v>
      </c>
      <c r="CS3444">
        <v>0</v>
      </c>
      <c r="CT3444">
        <v>20.6</v>
      </c>
      <c r="CU3444">
        <v>76</v>
      </c>
      <c r="CV3444">
        <v>0.46</v>
      </c>
      <c r="CW3444">
        <v>25</v>
      </c>
      <c r="CX3444" t="s">
        <v>1752</v>
      </c>
    </row>
    <row r="3445" spans="1:102" x14ac:dyDescent="0.3">
      <c r="A3445" t="str">
        <f>HYPERLINK("https://webapp.icbf.com/v2/app/bull-search/view/409024678","NEI")</f>
        <v>NEI</v>
      </c>
      <c r="B3445" t="s">
        <v>11873</v>
      </c>
      <c r="C3445" t="s">
        <v>1821</v>
      </c>
      <c r="D3445" s="1">
        <v>35660</v>
      </c>
      <c r="E3445" t="s">
        <v>197</v>
      </c>
      <c r="F3445">
        <v>0</v>
      </c>
      <c r="G3445" t="s">
        <v>93</v>
      </c>
      <c r="H3445">
        <v>-37.119999999999997</v>
      </c>
      <c r="I3445">
        <v>58</v>
      </c>
      <c r="J3445">
        <v>2</v>
      </c>
      <c r="K3445">
        <v>81</v>
      </c>
      <c r="L3445">
        <v>-11.07</v>
      </c>
      <c r="M3445">
        <v>36</v>
      </c>
      <c r="N3445">
        <v>-37.92</v>
      </c>
      <c r="O3445">
        <v>58</v>
      </c>
      <c r="P3445">
        <v>12.11</v>
      </c>
      <c r="Q3445">
        <v>79</v>
      </c>
      <c r="R3445">
        <v>-0.83</v>
      </c>
      <c r="S3445">
        <v>41</v>
      </c>
      <c r="T3445">
        <v>2.58</v>
      </c>
      <c r="U3445">
        <v>59</v>
      </c>
      <c r="V3445">
        <v>-3.99</v>
      </c>
      <c r="W3445">
        <v>23</v>
      </c>
      <c r="X3445" t="s">
        <v>94</v>
      </c>
      <c r="Y3445" t="s">
        <v>95</v>
      </c>
      <c r="Z3445">
        <v>0</v>
      </c>
      <c r="AA3445" t="s">
        <v>5065</v>
      </c>
      <c r="AB3445" t="s">
        <v>11874</v>
      </c>
      <c r="AC3445">
        <v>18</v>
      </c>
      <c r="AD3445">
        <v>5</v>
      </c>
      <c r="AE3445">
        <v>81</v>
      </c>
      <c r="AF3445">
        <v>-44.79</v>
      </c>
      <c r="AG3445">
        <v>-3.21</v>
      </c>
      <c r="AH3445">
        <v>0.79</v>
      </c>
      <c r="AI3445">
        <v>-0.02</v>
      </c>
      <c r="AJ3445">
        <v>0.04</v>
      </c>
      <c r="AK3445">
        <v>36</v>
      </c>
      <c r="AL3445">
        <v>22</v>
      </c>
      <c r="AM3445">
        <v>11</v>
      </c>
      <c r="AN3445">
        <v>0.05</v>
      </c>
      <c r="AO3445">
        <v>-0.84</v>
      </c>
      <c r="AP3445">
        <v>36</v>
      </c>
      <c r="AQ3445">
        <v>2</v>
      </c>
      <c r="AR3445">
        <v>6.6</v>
      </c>
      <c r="AS3445">
        <v>40</v>
      </c>
      <c r="AT3445">
        <v>5.99</v>
      </c>
      <c r="AU3445">
        <v>49</v>
      </c>
      <c r="AV3445">
        <v>2.83</v>
      </c>
      <c r="AW3445">
        <v>84</v>
      </c>
      <c r="AX3445">
        <v>-1.03</v>
      </c>
      <c r="AY3445">
        <v>51</v>
      </c>
      <c r="AZ3445">
        <v>5.51</v>
      </c>
      <c r="BA3445">
        <v>22</v>
      </c>
      <c r="BB3445">
        <v>3.29</v>
      </c>
      <c r="BC3445">
        <v>23</v>
      </c>
      <c r="BD3445">
        <v>0</v>
      </c>
      <c r="BE3445">
        <v>0.01</v>
      </c>
      <c r="BF3445">
        <v>0</v>
      </c>
      <c r="BG3445">
        <v>51</v>
      </c>
      <c r="BH3445">
        <v>-0.13</v>
      </c>
      <c r="BI3445">
        <v>-2.1800000000000002</v>
      </c>
      <c r="BJ3445">
        <v>0</v>
      </c>
      <c r="BK3445">
        <v>0</v>
      </c>
      <c r="BL3445">
        <v>0</v>
      </c>
      <c r="BM3445">
        <v>0</v>
      </c>
      <c r="BN3445">
        <v>0</v>
      </c>
      <c r="BO3445">
        <v>0</v>
      </c>
      <c r="BP3445">
        <v>0</v>
      </c>
      <c r="BQ3445">
        <v>0</v>
      </c>
      <c r="BR3445">
        <v>0</v>
      </c>
      <c r="BS3445">
        <v>0</v>
      </c>
      <c r="BT3445">
        <v>0</v>
      </c>
      <c r="BU3445">
        <v>0</v>
      </c>
      <c r="BV3445">
        <v>0</v>
      </c>
      <c r="BW3445">
        <v>0</v>
      </c>
      <c r="BX3445">
        <v>0</v>
      </c>
      <c r="BY3445">
        <v>0</v>
      </c>
      <c r="BZ3445">
        <v>0</v>
      </c>
      <c r="CA3445">
        <v>0</v>
      </c>
      <c r="CB3445">
        <v>0</v>
      </c>
      <c r="CC3445">
        <v>0</v>
      </c>
      <c r="CD3445">
        <v>0</v>
      </c>
      <c r="CE3445">
        <v>0</v>
      </c>
      <c r="CF3445">
        <v>0</v>
      </c>
      <c r="CG3445">
        <v>0</v>
      </c>
      <c r="CH3445">
        <v>0</v>
      </c>
      <c r="CI3445">
        <v>0</v>
      </c>
      <c r="CJ3445">
        <v>7.1</v>
      </c>
      <c r="CK3445">
        <v>81</v>
      </c>
      <c r="CL3445">
        <v>-0.01</v>
      </c>
      <c r="CM3445">
        <v>78</v>
      </c>
      <c r="CN3445">
        <v>-0.14000000000000001</v>
      </c>
      <c r="CO3445">
        <v>76</v>
      </c>
      <c r="CP3445">
        <v>5.2</v>
      </c>
      <c r="CQ3445">
        <v>71</v>
      </c>
      <c r="CR3445">
        <v>0</v>
      </c>
      <c r="CS3445">
        <v>0</v>
      </c>
      <c r="CT3445">
        <v>10.3</v>
      </c>
      <c r="CU3445">
        <v>59</v>
      </c>
      <c r="CV3445">
        <v>0.04</v>
      </c>
      <c r="CW3445">
        <v>22</v>
      </c>
      <c r="CX3445" t="s">
        <v>11578</v>
      </c>
    </row>
    <row r="3446" spans="1:102" x14ac:dyDescent="0.3">
      <c r="A3446" t="str">
        <f>HYPERLINK("https://webapp.icbf.com/v2/app/bull-search/view/516049491","AMN")</f>
        <v>AMN</v>
      </c>
      <c r="B3446" t="s">
        <v>4656</v>
      </c>
      <c r="C3446" t="s">
        <v>4657</v>
      </c>
      <c r="D3446" s="1">
        <v>37632</v>
      </c>
      <c r="E3446" t="s">
        <v>92</v>
      </c>
      <c r="F3446">
        <v>100</v>
      </c>
      <c r="G3446" t="s">
        <v>93</v>
      </c>
      <c r="H3446">
        <v>-37.15</v>
      </c>
      <c r="I3446">
        <v>95</v>
      </c>
      <c r="J3446">
        <v>2.09</v>
      </c>
      <c r="K3446">
        <v>99</v>
      </c>
      <c r="L3446">
        <v>-49.95</v>
      </c>
      <c r="M3446">
        <v>93</v>
      </c>
      <c r="N3446">
        <v>13.65</v>
      </c>
      <c r="O3446">
        <v>95</v>
      </c>
      <c r="P3446">
        <v>-18.37</v>
      </c>
      <c r="Q3446">
        <v>98</v>
      </c>
      <c r="R3446">
        <v>15.4</v>
      </c>
      <c r="S3446">
        <v>90</v>
      </c>
      <c r="T3446">
        <v>0.73</v>
      </c>
      <c r="U3446">
        <v>93</v>
      </c>
      <c r="V3446">
        <v>-0.7</v>
      </c>
      <c r="W3446">
        <v>89</v>
      </c>
      <c r="X3446" t="s">
        <v>251</v>
      </c>
      <c r="Y3446" t="s">
        <v>270</v>
      </c>
      <c r="Z3446" t="s">
        <v>96</v>
      </c>
      <c r="AA3446" t="s">
        <v>311</v>
      </c>
      <c r="AB3446" t="s">
        <v>4658</v>
      </c>
      <c r="AC3446">
        <v>563</v>
      </c>
      <c r="AD3446">
        <v>156</v>
      </c>
      <c r="AE3446">
        <v>99</v>
      </c>
      <c r="AF3446">
        <v>353.74</v>
      </c>
      <c r="AG3446">
        <v>5.23</v>
      </c>
      <c r="AH3446">
        <v>3.92</v>
      </c>
      <c r="AI3446">
        <v>-0.14000000000000001</v>
      </c>
      <c r="AJ3446">
        <v>-0.13</v>
      </c>
      <c r="AK3446">
        <v>93</v>
      </c>
      <c r="AL3446">
        <v>523</v>
      </c>
      <c r="AM3446">
        <v>147</v>
      </c>
      <c r="AN3446">
        <v>2.98</v>
      </c>
      <c r="AO3446">
        <v>-1</v>
      </c>
      <c r="AP3446">
        <v>1106</v>
      </c>
      <c r="AQ3446">
        <v>2</v>
      </c>
      <c r="AR3446">
        <v>6.4</v>
      </c>
      <c r="AS3446">
        <v>97</v>
      </c>
      <c r="AT3446">
        <v>3.35</v>
      </c>
      <c r="AU3446">
        <v>95</v>
      </c>
      <c r="AV3446">
        <v>-1.54</v>
      </c>
      <c r="AW3446">
        <v>99</v>
      </c>
      <c r="AX3446">
        <v>1.23</v>
      </c>
      <c r="AY3446">
        <v>96</v>
      </c>
      <c r="AZ3446">
        <v>5.3</v>
      </c>
      <c r="BA3446">
        <v>89</v>
      </c>
      <c r="BB3446">
        <v>4.62</v>
      </c>
      <c r="BC3446">
        <v>87</v>
      </c>
      <c r="BD3446">
        <v>-0.09</v>
      </c>
      <c r="BE3446">
        <v>-0.06</v>
      </c>
      <c r="BF3446">
        <v>-0.09</v>
      </c>
      <c r="BG3446">
        <v>97</v>
      </c>
      <c r="BH3446">
        <v>-0.14000000000000001</v>
      </c>
      <c r="BI3446">
        <v>-13.93</v>
      </c>
      <c r="BJ3446">
        <v>224</v>
      </c>
      <c r="BK3446">
        <v>67</v>
      </c>
      <c r="BL3446">
        <v>1.05</v>
      </c>
      <c r="BM3446">
        <v>-0.72</v>
      </c>
      <c r="BN3446">
        <v>0.15</v>
      </c>
      <c r="BO3446">
        <v>0.56999999999999995</v>
      </c>
      <c r="BP3446">
        <v>-0.85</v>
      </c>
      <c r="BQ3446">
        <v>1.02</v>
      </c>
      <c r="BR3446">
        <v>-0.28999999999999998</v>
      </c>
      <c r="BS3446">
        <v>3.99</v>
      </c>
      <c r="BT3446">
        <v>1.34</v>
      </c>
      <c r="BU3446">
        <v>2.38</v>
      </c>
      <c r="BV3446">
        <v>1.52</v>
      </c>
      <c r="BW3446">
        <v>1.75</v>
      </c>
      <c r="BX3446">
        <v>2.02</v>
      </c>
      <c r="BY3446">
        <v>0.66</v>
      </c>
      <c r="BZ3446">
        <v>-0.62</v>
      </c>
      <c r="CA3446">
        <v>1.93</v>
      </c>
      <c r="CB3446">
        <v>1.1599999999999999</v>
      </c>
      <c r="CC3446">
        <v>2.5099999999999998</v>
      </c>
      <c r="CD3446">
        <v>-0.44</v>
      </c>
      <c r="CE3446">
        <v>0.83</v>
      </c>
      <c r="CF3446">
        <v>1.07</v>
      </c>
      <c r="CG3446">
        <v>0</v>
      </c>
      <c r="CH3446">
        <v>0.65</v>
      </c>
      <c r="CI3446">
        <v>0</v>
      </c>
      <c r="CJ3446">
        <v>-9.3000000000000007</v>
      </c>
      <c r="CK3446">
        <v>98</v>
      </c>
      <c r="CL3446">
        <v>-1.3</v>
      </c>
      <c r="CM3446">
        <v>98</v>
      </c>
      <c r="CN3446">
        <v>-0.69</v>
      </c>
      <c r="CO3446">
        <v>97</v>
      </c>
      <c r="CP3446">
        <v>-1.3</v>
      </c>
      <c r="CQ3446">
        <v>97</v>
      </c>
      <c r="CR3446">
        <v>0</v>
      </c>
      <c r="CS3446">
        <v>0</v>
      </c>
      <c r="CT3446">
        <v>12.8</v>
      </c>
      <c r="CU3446">
        <v>93</v>
      </c>
      <c r="CV3446">
        <v>0.13</v>
      </c>
      <c r="CW3446">
        <v>46</v>
      </c>
      <c r="CX3446" t="s">
        <v>1325</v>
      </c>
    </row>
    <row r="3447" spans="1:102" x14ac:dyDescent="0.3">
      <c r="A3447" t="str">
        <f>HYPERLINK("https://webapp.icbf.com/v2/app/bull-search/view/666130942","JKR")</f>
        <v>JKR</v>
      </c>
      <c r="B3447" t="s">
        <v>10049</v>
      </c>
      <c r="C3447" t="s">
        <v>10050</v>
      </c>
      <c r="D3447" s="1">
        <v>39243</v>
      </c>
      <c r="E3447" t="s">
        <v>92</v>
      </c>
      <c r="F3447">
        <v>100</v>
      </c>
      <c r="G3447" t="s">
        <v>435</v>
      </c>
      <c r="H3447">
        <v>-37.42</v>
      </c>
      <c r="I3447">
        <v>75</v>
      </c>
      <c r="J3447">
        <v>23.4</v>
      </c>
      <c r="K3447">
        <v>92</v>
      </c>
      <c r="L3447">
        <v>-100.94</v>
      </c>
      <c r="M3447">
        <v>75</v>
      </c>
      <c r="N3447">
        <v>32.619999999999997</v>
      </c>
      <c r="O3447">
        <v>64</v>
      </c>
      <c r="P3447">
        <v>-4.66</v>
      </c>
      <c r="Q3447">
        <v>51</v>
      </c>
      <c r="R3447">
        <v>5.9</v>
      </c>
      <c r="S3447">
        <v>74</v>
      </c>
      <c r="T3447">
        <v>2.36</v>
      </c>
      <c r="U3447">
        <v>48</v>
      </c>
      <c r="V3447">
        <v>3.9</v>
      </c>
      <c r="W3447">
        <v>68</v>
      </c>
      <c r="X3447" t="s">
        <v>251</v>
      </c>
      <c r="Y3447" t="s">
        <v>241</v>
      </c>
      <c r="Z3447" t="s">
        <v>96</v>
      </c>
      <c r="AA3447" t="s">
        <v>277</v>
      </c>
      <c r="AB3447" t="s">
        <v>10051</v>
      </c>
      <c r="AC3447">
        <v>4</v>
      </c>
      <c r="AD3447">
        <v>4</v>
      </c>
      <c r="AE3447">
        <v>92</v>
      </c>
      <c r="AF3447">
        <v>281.56</v>
      </c>
      <c r="AG3447">
        <v>-0.37</v>
      </c>
      <c r="AH3447">
        <v>8.42</v>
      </c>
      <c r="AI3447">
        <v>-0.19</v>
      </c>
      <c r="AJ3447">
        <v>-0.02</v>
      </c>
      <c r="AK3447">
        <v>75</v>
      </c>
      <c r="AL3447">
        <v>5</v>
      </c>
      <c r="AM3447">
        <v>5</v>
      </c>
      <c r="AN3447">
        <v>7.03</v>
      </c>
      <c r="AO3447">
        <v>-1</v>
      </c>
      <c r="AP3447">
        <v>7</v>
      </c>
      <c r="AQ3447">
        <v>0</v>
      </c>
      <c r="AR3447">
        <v>6.39</v>
      </c>
      <c r="AS3447">
        <v>60</v>
      </c>
      <c r="AT3447">
        <v>3.05</v>
      </c>
      <c r="AU3447">
        <v>78</v>
      </c>
      <c r="AV3447">
        <v>-3.68</v>
      </c>
      <c r="AW3447">
        <v>63</v>
      </c>
      <c r="AX3447">
        <v>0.41</v>
      </c>
      <c r="AY3447">
        <v>50</v>
      </c>
      <c r="AZ3447">
        <v>5.36</v>
      </c>
      <c r="BA3447">
        <v>51</v>
      </c>
      <c r="BB3447">
        <v>5.16</v>
      </c>
      <c r="BC3447">
        <v>53</v>
      </c>
      <c r="BD3447">
        <v>-0.04</v>
      </c>
      <c r="BE3447">
        <v>-0.01</v>
      </c>
      <c r="BF3447">
        <v>-0.05</v>
      </c>
      <c r="BG3447">
        <v>82</v>
      </c>
      <c r="BH3447">
        <v>0.13</v>
      </c>
      <c r="BI3447">
        <v>2.46</v>
      </c>
      <c r="BJ3447">
        <v>0</v>
      </c>
      <c r="BK3447">
        <v>0</v>
      </c>
      <c r="BL3447">
        <v>1.01</v>
      </c>
      <c r="BM3447">
        <v>-0.65</v>
      </c>
      <c r="BN3447">
        <v>-0.16</v>
      </c>
      <c r="BO3447">
        <v>0.28000000000000003</v>
      </c>
      <c r="BP3447">
        <v>0.47</v>
      </c>
      <c r="BQ3447">
        <v>-0.38</v>
      </c>
      <c r="BR3447">
        <v>1.3</v>
      </c>
      <c r="BS3447">
        <v>1.08</v>
      </c>
      <c r="BT3447">
        <v>-0.33</v>
      </c>
      <c r="BU3447">
        <v>0.5</v>
      </c>
      <c r="BV3447">
        <v>1.24</v>
      </c>
      <c r="BW3447">
        <v>-1.35</v>
      </c>
      <c r="BX3447">
        <v>0.25</v>
      </c>
      <c r="BY3447">
        <v>-0.86</v>
      </c>
      <c r="BZ3447">
        <v>-0.59</v>
      </c>
      <c r="CA3447">
        <v>0.24</v>
      </c>
      <c r="CB3447">
        <v>0.09</v>
      </c>
      <c r="CC3447">
        <v>0.26</v>
      </c>
      <c r="CD3447">
        <v>-0.81</v>
      </c>
      <c r="CE3447">
        <v>0.56999999999999995</v>
      </c>
      <c r="CF3447">
        <v>0.37</v>
      </c>
      <c r="CG3447">
        <v>0</v>
      </c>
      <c r="CH3447">
        <v>-1.67</v>
      </c>
      <c r="CI3447">
        <v>0</v>
      </c>
      <c r="CJ3447">
        <v>0.9</v>
      </c>
      <c r="CK3447">
        <v>52</v>
      </c>
      <c r="CL3447">
        <v>-1.02</v>
      </c>
      <c r="CM3447">
        <v>51</v>
      </c>
      <c r="CN3447">
        <v>-0.35</v>
      </c>
      <c r="CO3447">
        <v>50</v>
      </c>
      <c r="CP3447">
        <v>3.5</v>
      </c>
      <c r="CQ3447">
        <v>50</v>
      </c>
      <c r="CR3447">
        <v>0</v>
      </c>
      <c r="CS3447">
        <v>0</v>
      </c>
      <c r="CT3447">
        <v>10.6</v>
      </c>
      <c r="CU3447">
        <v>48</v>
      </c>
      <c r="CV3447">
        <v>0.2</v>
      </c>
      <c r="CW3447">
        <v>36</v>
      </c>
      <c r="CX3447" t="s">
        <v>273</v>
      </c>
    </row>
    <row r="3448" spans="1:102" x14ac:dyDescent="0.3">
      <c r="A3448" t="str">
        <f>HYPERLINK("https://webapp.icbf.com/v2/app/bull-search/view/77852797","VAE")</f>
        <v>VAE</v>
      </c>
      <c r="B3448" t="s">
        <v>10971</v>
      </c>
      <c r="C3448" t="s">
        <v>10972</v>
      </c>
      <c r="D3448" s="1">
        <v>33433</v>
      </c>
      <c r="E3448" t="s">
        <v>92</v>
      </c>
      <c r="F3448">
        <v>100</v>
      </c>
      <c r="G3448" t="s">
        <v>93</v>
      </c>
      <c r="H3448">
        <v>-37.46</v>
      </c>
      <c r="I3448">
        <v>93</v>
      </c>
      <c r="J3448">
        <v>4.4800000000000004</v>
      </c>
      <c r="K3448">
        <v>98</v>
      </c>
      <c r="L3448">
        <v>-25.41</v>
      </c>
      <c r="M3448">
        <v>92</v>
      </c>
      <c r="N3448">
        <v>-21.42</v>
      </c>
      <c r="O3448">
        <v>90</v>
      </c>
      <c r="P3448">
        <v>-2.79</v>
      </c>
      <c r="Q3448">
        <v>94</v>
      </c>
      <c r="R3448">
        <v>-4.32</v>
      </c>
      <c r="S3448">
        <v>87</v>
      </c>
      <c r="T3448">
        <v>11.38</v>
      </c>
      <c r="U3448">
        <v>92</v>
      </c>
      <c r="V3448">
        <v>0.62</v>
      </c>
      <c r="W3448">
        <v>80</v>
      </c>
      <c r="X3448" t="s">
        <v>94</v>
      </c>
      <c r="Y3448" t="s">
        <v>95</v>
      </c>
      <c r="Z3448" t="s">
        <v>96</v>
      </c>
      <c r="AA3448" t="s">
        <v>132</v>
      </c>
      <c r="AB3448" t="s">
        <v>10973</v>
      </c>
      <c r="AC3448">
        <v>234</v>
      </c>
      <c r="AD3448">
        <v>133</v>
      </c>
      <c r="AE3448">
        <v>98</v>
      </c>
      <c r="AF3448">
        <v>227.96</v>
      </c>
      <c r="AG3448">
        <v>-0.93</v>
      </c>
      <c r="AH3448">
        <v>4.58</v>
      </c>
      <c r="AI3448">
        <v>-0.16</v>
      </c>
      <c r="AJ3448">
        <v>-0.05</v>
      </c>
      <c r="AK3448">
        <v>92</v>
      </c>
      <c r="AL3448">
        <v>232</v>
      </c>
      <c r="AM3448">
        <v>117</v>
      </c>
      <c r="AN3448">
        <v>1.87</v>
      </c>
      <c r="AO3448">
        <v>-0.15</v>
      </c>
      <c r="AP3448">
        <v>80</v>
      </c>
      <c r="AQ3448">
        <v>0</v>
      </c>
      <c r="AR3448">
        <v>10.92</v>
      </c>
      <c r="AS3448">
        <v>79</v>
      </c>
      <c r="AT3448">
        <v>4.3899999999999997</v>
      </c>
      <c r="AU3448">
        <v>94</v>
      </c>
      <c r="AV3448">
        <v>-0.95</v>
      </c>
      <c r="AW3448">
        <v>93</v>
      </c>
      <c r="AX3448">
        <v>0.22</v>
      </c>
      <c r="AY3448">
        <v>90</v>
      </c>
      <c r="AZ3448">
        <v>9.07</v>
      </c>
      <c r="BA3448">
        <v>75</v>
      </c>
      <c r="BB3448">
        <v>5.21</v>
      </c>
      <c r="BC3448">
        <v>82</v>
      </c>
      <c r="BD3448">
        <v>-0.01</v>
      </c>
      <c r="BE3448">
        <v>0.04</v>
      </c>
      <c r="BF3448">
        <v>0.04</v>
      </c>
      <c r="BG3448">
        <v>95</v>
      </c>
      <c r="BH3448">
        <v>-0.13</v>
      </c>
      <c r="BI3448">
        <v>-17.04</v>
      </c>
      <c r="BJ3448">
        <v>45</v>
      </c>
      <c r="BK3448">
        <v>27</v>
      </c>
      <c r="BL3448">
        <v>-0.02</v>
      </c>
      <c r="BM3448">
        <v>-0.98</v>
      </c>
      <c r="BN3448">
        <v>-0.48</v>
      </c>
      <c r="BO3448">
        <v>0.2</v>
      </c>
      <c r="BP3448">
        <v>0.04</v>
      </c>
      <c r="BQ3448">
        <v>-0.55000000000000004</v>
      </c>
      <c r="BR3448">
        <v>0.77</v>
      </c>
      <c r="BS3448">
        <v>-0.35</v>
      </c>
      <c r="BT3448">
        <v>-0.48</v>
      </c>
      <c r="BU3448">
        <v>0.53</v>
      </c>
      <c r="BV3448">
        <v>1.39</v>
      </c>
      <c r="BW3448">
        <v>1.26</v>
      </c>
      <c r="BX3448">
        <v>-7.0000000000000007E-2</v>
      </c>
      <c r="BY3448">
        <v>0.59</v>
      </c>
      <c r="BZ3448">
        <v>-0.55000000000000004</v>
      </c>
      <c r="CA3448">
        <v>0.82</v>
      </c>
      <c r="CB3448">
        <v>1.04</v>
      </c>
      <c r="CC3448">
        <v>-0.03</v>
      </c>
      <c r="CD3448">
        <v>-0.62</v>
      </c>
      <c r="CE3448">
        <v>0.31</v>
      </c>
      <c r="CF3448">
        <v>-0.55000000000000004</v>
      </c>
      <c r="CG3448">
        <v>0</v>
      </c>
      <c r="CH3448">
        <v>0.54</v>
      </c>
      <c r="CI3448">
        <v>0</v>
      </c>
      <c r="CJ3448">
        <v>-0.5</v>
      </c>
      <c r="CK3448">
        <v>94</v>
      </c>
      <c r="CL3448">
        <v>-0.59</v>
      </c>
      <c r="CM3448">
        <v>93</v>
      </c>
      <c r="CN3448">
        <v>-0.41</v>
      </c>
      <c r="CO3448">
        <v>92</v>
      </c>
      <c r="CP3448">
        <v>-5.4</v>
      </c>
      <c r="CQ3448">
        <v>96</v>
      </c>
      <c r="CR3448">
        <v>0</v>
      </c>
      <c r="CS3448">
        <v>0</v>
      </c>
      <c r="CT3448">
        <v>-1.6</v>
      </c>
      <c r="CU3448">
        <v>92</v>
      </c>
      <c r="CV3448">
        <v>0.11</v>
      </c>
      <c r="CW3448">
        <v>45</v>
      </c>
      <c r="CX3448" t="s">
        <v>10974</v>
      </c>
    </row>
    <row r="3449" spans="1:102" x14ac:dyDescent="0.3">
      <c r="A3449" t="str">
        <f>HYPERLINK("https://webapp.icbf.com/v2/app/bull-search/view/354794776","OGI")</f>
        <v>OGI</v>
      </c>
      <c r="B3449" t="s">
        <v>12526</v>
      </c>
      <c r="C3449" t="s">
        <v>12527</v>
      </c>
      <c r="D3449" s="1">
        <v>37512</v>
      </c>
      <c r="E3449" t="s">
        <v>92</v>
      </c>
      <c r="F3449">
        <v>100</v>
      </c>
      <c r="G3449" t="s">
        <v>93</v>
      </c>
      <c r="H3449">
        <v>-37.5</v>
      </c>
      <c r="I3449">
        <v>89</v>
      </c>
      <c r="J3449">
        <v>9.15</v>
      </c>
      <c r="K3449">
        <v>98</v>
      </c>
      <c r="L3449">
        <v>-74.150000000000006</v>
      </c>
      <c r="M3449">
        <v>80</v>
      </c>
      <c r="N3449">
        <v>41.08</v>
      </c>
      <c r="O3449">
        <v>86</v>
      </c>
      <c r="P3449">
        <v>-4.55</v>
      </c>
      <c r="Q3449">
        <v>93</v>
      </c>
      <c r="R3449">
        <v>-13.86</v>
      </c>
      <c r="S3449">
        <v>82</v>
      </c>
      <c r="T3449">
        <v>12.49</v>
      </c>
      <c r="U3449">
        <v>92</v>
      </c>
      <c r="V3449">
        <v>-7.66</v>
      </c>
      <c r="W3449">
        <v>79</v>
      </c>
      <c r="X3449" t="s">
        <v>94</v>
      </c>
      <c r="Y3449" t="s">
        <v>2565</v>
      </c>
      <c r="Z3449" t="s">
        <v>96</v>
      </c>
      <c r="AA3449" t="s">
        <v>2441</v>
      </c>
      <c r="AB3449" t="s">
        <v>12528</v>
      </c>
      <c r="AC3449">
        <v>119</v>
      </c>
      <c r="AD3449">
        <v>83</v>
      </c>
      <c r="AE3449">
        <v>98</v>
      </c>
      <c r="AF3449">
        <v>207.33</v>
      </c>
      <c r="AG3449">
        <v>6.5</v>
      </c>
      <c r="AH3449">
        <v>2.4300000000000002</v>
      </c>
      <c r="AI3449">
        <v>-0.03</v>
      </c>
      <c r="AJ3449">
        <v>-0.08</v>
      </c>
      <c r="AK3449">
        <v>80</v>
      </c>
      <c r="AL3449">
        <v>114</v>
      </c>
      <c r="AM3449">
        <v>75</v>
      </c>
      <c r="AN3449">
        <v>5.09</v>
      </c>
      <c r="AO3449">
        <v>-0.81</v>
      </c>
      <c r="AP3449">
        <v>194</v>
      </c>
      <c r="AQ3449">
        <v>5</v>
      </c>
      <c r="AR3449">
        <v>6.29</v>
      </c>
      <c r="AS3449">
        <v>72</v>
      </c>
      <c r="AT3449">
        <v>2.46</v>
      </c>
      <c r="AU3449">
        <v>88</v>
      </c>
      <c r="AV3449">
        <v>-4.0999999999999996</v>
      </c>
      <c r="AW3449">
        <v>95</v>
      </c>
      <c r="AX3449">
        <v>-0.65</v>
      </c>
      <c r="AY3449">
        <v>84</v>
      </c>
      <c r="AZ3449">
        <v>6.88</v>
      </c>
      <c r="BA3449">
        <v>68</v>
      </c>
      <c r="BB3449">
        <v>5.2</v>
      </c>
      <c r="BC3449">
        <v>71</v>
      </c>
      <c r="BD3449">
        <v>7.0000000000000007E-2</v>
      </c>
      <c r="BE3449">
        <v>0.08</v>
      </c>
      <c r="BF3449">
        <v>0.05</v>
      </c>
      <c r="BG3449">
        <v>91</v>
      </c>
      <c r="BH3449">
        <v>-0.2</v>
      </c>
      <c r="BI3449">
        <v>1.57</v>
      </c>
      <c r="BJ3449">
        <v>25</v>
      </c>
      <c r="BK3449">
        <v>16</v>
      </c>
      <c r="BL3449">
        <v>0.35</v>
      </c>
      <c r="BM3449">
        <v>0.76</v>
      </c>
      <c r="BN3449">
        <v>-0.78</v>
      </c>
      <c r="BO3449">
        <v>-0.45</v>
      </c>
      <c r="BP3449">
        <v>1.66</v>
      </c>
      <c r="BQ3449">
        <v>0.2</v>
      </c>
      <c r="BR3449">
        <v>-1.57</v>
      </c>
      <c r="BS3449">
        <v>2.2799999999999998</v>
      </c>
      <c r="BT3449">
        <v>1.53</v>
      </c>
      <c r="BU3449">
        <v>-1.51</v>
      </c>
      <c r="BV3449">
        <v>-0.62</v>
      </c>
      <c r="BW3449">
        <v>-0.34</v>
      </c>
      <c r="BX3449">
        <v>-0.17</v>
      </c>
      <c r="BY3449">
        <v>-1.39</v>
      </c>
      <c r="BZ3449">
        <v>-0.19</v>
      </c>
      <c r="CA3449">
        <v>-0.02</v>
      </c>
      <c r="CB3449">
        <v>-0.94</v>
      </c>
      <c r="CC3449">
        <v>1.06</v>
      </c>
      <c r="CD3449">
        <v>1.0900000000000001</v>
      </c>
      <c r="CE3449">
        <v>-0.51</v>
      </c>
      <c r="CF3449">
        <v>-0.36</v>
      </c>
      <c r="CG3449">
        <v>0</v>
      </c>
      <c r="CH3449">
        <v>-1.51</v>
      </c>
      <c r="CI3449">
        <v>0</v>
      </c>
      <c r="CJ3449">
        <v>-1</v>
      </c>
      <c r="CK3449">
        <v>94</v>
      </c>
      <c r="CL3449">
        <v>-0.57999999999999996</v>
      </c>
      <c r="CM3449">
        <v>92</v>
      </c>
      <c r="CN3449">
        <v>-0.32</v>
      </c>
      <c r="CO3449">
        <v>91</v>
      </c>
      <c r="CP3449">
        <v>-6.2</v>
      </c>
      <c r="CQ3449">
        <v>92</v>
      </c>
      <c r="CR3449">
        <v>0</v>
      </c>
      <c r="CS3449">
        <v>0</v>
      </c>
      <c r="CT3449">
        <v>-3.1</v>
      </c>
      <c r="CU3449">
        <v>92</v>
      </c>
      <c r="CV3449">
        <v>0.03</v>
      </c>
      <c r="CW3449">
        <v>44</v>
      </c>
      <c r="CX3449" t="s">
        <v>906</v>
      </c>
    </row>
    <row r="3450" spans="1:102" x14ac:dyDescent="0.3">
      <c r="A3450" t="str">
        <f>HYPERLINK("https://webapp.icbf.com/v2/app/bull-search/view/77855587","MDC")</f>
        <v>MDC</v>
      </c>
      <c r="B3450" t="s">
        <v>7386</v>
      </c>
      <c r="C3450" t="s">
        <v>7387</v>
      </c>
      <c r="D3450" s="1">
        <v>35395</v>
      </c>
      <c r="E3450" t="s">
        <v>92</v>
      </c>
      <c r="F3450">
        <v>100</v>
      </c>
      <c r="G3450" t="s">
        <v>93</v>
      </c>
      <c r="H3450">
        <v>-37.619999999999997</v>
      </c>
      <c r="I3450">
        <v>89</v>
      </c>
      <c r="J3450">
        <v>24.53</v>
      </c>
      <c r="K3450">
        <v>98</v>
      </c>
      <c r="L3450">
        <v>-102.61</v>
      </c>
      <c r="M3450">
        <v>83</v>
      </c>
      <c r="N3450">
        <v>29.85</v>
      </c>
      <c r="O3450">
        <v>85</v>
      </c>
      <c r="P3450">
        <v>-7.82</v>
      </c>
      <c r="Q3450">
        <v>94</v>
      </c>
      <c r="R3450">
        <v>-1.46</v>
      </c>
      <c r="S3450">
        <v>82</v>
      </c>
      <c r="T3450">
        <v>18.489999999999998</v>
      </c>
      <c r="U3450">
        <v>89</v>
      </c>
      <c r="V3450">
        <v>1.4</v>
      </c>
      <c r="W3450">
        <v>73</v>
      </c>
      <c r="X3450" t="s">
        <v>94</v>
      </c>
      <c r="Y3450" t="s">
        <v>95</v>
      </c>
      <c r="Z3450" t="s">
        <v>96</v>
      </c>
      <c r="AA3450" t="s">
        <v>731</v>
      </c>
      <c r="AB3450" t="s">
        <v>732</v>
      </c>
      <c r="AC3450">
        <v>152</v>
      </c>
      <c r="AD3450">
        <v>125</v>
      </c>
      <c r="AE3450">
        <v>98</v>
      </c>
      <c r="AF3450">
        <v>228.14</v>
      </c>
      <c r="AG3450">
        <v>7.56</v>
      </c>
      <c r="AH3450">
        <v>4.99</v>
      </c>
      <c r="AI3450">
        <v>-0.02</v>
      </c>
      <c r="AJ3450">
        <v>-0.05</v>
      </c>
      <c r="AK3450">
        <v>83</v>
      </c>
      <c r="AL3450">
        <v>155</v>
      </c>
      <c r="AM3450">
        <v>120</v>
      </c>
      <c r="AN3450">
        <v>4.2699999999999996</v>
      </c>
      <c r="AO3450">
        <v>-3.93</v>
      </c>
      <c r="AP3450">
        <v>87</v>
      </c>
      <c r="AQ3450">
        <v>6</v>
      </c>
      <c r="AR3450">
        <v>5.42</v>
      </c>
      <c r="AS3450">
        <v>67</v>
      </c>
      <c r="AT3450">
        <v>2.41</v>
      </c>
      <c r="AU3450">
        <v>86</v>
      </c>
      <c r="AV3450">
        <v>-2.59</v>
      </c>
      <c r="AW3450">
        <v>92</v>
      </c>
      <c r="AX3450">
        <v>-0.3</v>
      </c>
      <c r="AY3450">
        <v>87</v>
      </c>
      <c r="AZ3450">
        <v>6.21</v>
      </c>
      <c r="BA3450">
        <v>63</v>
      </c>
      <c r="BB3450">
        <v>5.52</v>
      </c>
      <c r="BC3450">
        <v>74</v>
      </c>
      <c r="BD3450">
        <v>0.04</v>
      </c>
      <c r="BE3450">
        <v>0.03</v>
      </c>
      <c r="BF3450">
        <v>-0.09</v>
      </c>
      <c r="BG3450">
        <v>92</v>
      </c>
      <c r="BH3450">
        <v>0.12</v>
      </c>
      <c r="BI3450">
        <v>9.3800000000000008</v>
      </c>
      <c r="BJ3450">
        <v>6</v>
      </c>
      <c r="BK3450">
        <v>5</v>
      </c>
      <c r="BL3450">
        <v>0.3</v>
      </c>
      <c r="BM3450">
        <v>-0.15</v>
      </c>
      <c r="BN3450">
        <v>0.94</v>
      </c>
      <c r="BO3450">
        <v>0.85</v>
      </c>
      <c r="BP3450">
        <v>0.55000000000000004</v>
      </c>
      <c r="BQ3450">
        <v>0.48</v>
      </c>
      <c r="BR3450">
        <v>1.33</v>
      </c>
      <c r="BS3450">
        <v>-2.27</v>
      </c>
      <c r="BT3450">
        <v>-1.95</v>
      </c>
      <c r="BU3450">
        <v>-7.0000000000000007E-2</v>
      </c>
      <c r="BV3450">
        <v>-0.36</v>
      </c>
      <c r="BW3450">
        <v>-0.46</v>
      </c>
      <c r="BX3450">
        <v>-0.16</v>
      </c>
      <c r="BY3450">
        <v>0.14000000000000001</v>
      </c>
      <c r="BZ3450">
        <v>-0.9</v>
      </c>
      <c r="CA3450">
        <v>-0.82</v>
      </c>
      <c r="CB3450">
        <v>0.3</v>
      </c>
      <c r="CC3450">
        <v>-2.66</v>
      </c>
      <c r="CD3450">
        <v>0.04</v>
      </c>
      <c r="CE3450">
        <v>0.61</v>
      </c>
      <c r="CF3450">
        <v>-0.16</v>
      </c>
      <c r="CG3450">
        <v>0</v>
      </c>
      <c r="CH3450">
        <v>-0.01</v>
      </c>
      <c r="CI3450">
        <v>0</v>
      </c>
      <c r="CJ3450">
        <v>-2.2999999999999998</v>
      </c>
      <c r="CK3450">
        <v>94</v>
      </c>
      <c r="CL3450">
        <v>-0.63</v>
      </c>
      <c r="CM3450">
        <v>93</v>
      </c>
      <c r="CN3450">
        <v>-0.27</v>
      </c>
      <c r="CO3450">
        <v>92</v>
      </c>
      <c r="CP3450">
        <v>-8.6999999999999993</v>
      </c>
      <c r="CQ3450">
        <v>94</v>
      </c>
      <c r="CR3450">
        <v>0</v>
      </c>
      <c r="CS3450">
        <v>0</v>
      </c>
      <c r="CT3450">
        <v>-11.2</v>
      </c>
      <c r="CU3450">
        <v>89</v>
      </c>
      <c r="CV3450">
        <v>0.1</v>
      </c>
      <c r="CW3450">
        <v>44</v>
      </c>
      <c r="CX3450" t="s">
        <v>485</v>
      </c>
    </row>
    <row r="3451" spans="1:102" x14ac:dyDescent="0.3">
      <c r="A3451" t="str">
        <f>HYPERLINK("https://webapp.icbf.com/v2/app/bull-search/view/122404255","TAK")</f>
        <v>TAK</v>
      </c>
      <c r="B3451" t="s">
        <v>9981</v>
      </c>
      <c r="C3451" t="s">
        <v>9982</v>
      </c>
      <c r="D3451" s="1">
        <v>34643</v>
      </c>
      <c r="E3451" t="s">
        <v>92</v>
      </c>
      <c r="F3451">
        <v>100</v>
      </c>
      <c r="G3451" t="s">
        <v>93</v>
      </c>
      <c r="H3451">
        <v>-37.700000000000003</v>
      </c>
      <c r="I3451">
        <v>92</v>
      </c>
      <c r="J3451">
        <v>-9.25</v>
      </c>
      <c r="K3451">
        <v>98</v>
      </c>
      <c r="L3451">
        <v>-32.130000000000003</v>
      </c>
      <c r="M3451">
        <v>88</v>
      </c>
      <c r="N3451">
        <v>4.3</v>
      </c>
      <c r="O3451">
        <v>88</v>
      </c>
      <c r="P3451">
        <v>2.4</v>
      </c>
      <c r="Q3451">
        <v>96</v>
      </c>
      <c r="R3451">
        <v>-10.66</v>
      </c>
      <c r="S3451">
        <v>84</v>
      </c>
      <c r="T3451">
        <v>12.12</v>
      </c>
      <c r="U3451">
        <v>92</v>
      </c>
      <c r="V3451">
        <v>-4.4800000000000004</v>
      </c>
      <c r="W3451">
        <v>79</v>
      </c>
      <c r="X3451" t="s">
        <v>102</v>
      </c>
      <c r="Y3451" t="s">
        <v>95</v>
      </c>
      <c r="Z3451" t="s">
        <v>96</v>
      </c>
      <c r="AA3451" t="s">
        <v>743</v>
      </c>
      <c r="AB3451" t="s">
        <v>9983</v>
      </c>
      <c r="AC3451">
        <v>154</v>
      </c>
      <c r="AD3451">
        <v>59</v>
      </c>
      <c r="AE3451">
        <v>98</v>
      </c>
      <c r="AF3451">
        <v>47.83</v>
      </c>
      <c r="AG3451">
        <v>-0.74</v>
      </c>
      <c r="AH3451">
        <v>-0.57999999999999996</v>
      </c>
      <c r="AI3451">
        <v>-0.05</v>
      </c>
      <c r="AJ3451">
        <v>-0.04</v>
      </c>
      <c r="AK3451">
        <v>88</v>
      </c>
      <c r="AL3451">
        <v>183</v>
      </c>
      <c r="AM3451">
        <v>71</v>
      </c>
      <c r="AN3451">
        <v>2.74</v>
      </c>
      <c r="AO3451">
        <v>0.19</v>
      </c>
      <c r="AP3451">
        <v>294</v>
      </c>
      <c r="AQ3451">
        <v>1</v>
      </c>
      <c r="AR3451">
        <v>10.050000000000001</v>
      </c>
      <c r="AS3451">
        <v>91</v>
      </c>
      <c r="AT3451">
        <v>4.1500000000000004</v>
      </c>
      <c r="AU3451">
        <v>87</v>
      </c>
      <c r="AV3451">
        <v>-2.4300000000000002</v>
      </c>
      <c r="AW3451">
        <v>94</v>
      </c>
      <c r="AX3451">
        <v>0.21</v>
      </c>
      <c r="AY3451">
        <v>88</v>
      </c>
      <c r="AZ3451">
        <v>5.13</v>
      </c>
      <c r="BA3451">
        <v>74</v>
      </c>
      <c r="BB3451">
        <v>4.75</v>
      </c>
      <c r="BC3451">
        <v>76</v>
      </c>
      <c r="BD3451">
        <v>0.03</v>
      </c>
      <c r="BE3451">
        <v>0.05</v>
      </c>
      <c r="BF3451">
        <v>0.1</v>
      </c>
      <c r="BG3451">
        <v>94</v>
      </c>
      <c r="BH3451">
        <v>-0.05</v>
      </c>
      <c r="BI3451">
        <v>8.67</v>
      </c>
      <c r="BJ3451">
        <v>4</v>
      </c>
      <c r="BK3451">
        <v>3</v>
      </c>
      <c r="BL3451">
        <v>0.38</v>
      </c>
      <c r="BM3451">
        <v>0.14000000000000001</v>
      </c>
      <c r="BN3451">
        <v>-0.08</v>
      </c>
      <c r="BO3451">
        <v>-0.55000000000000004</v>
      </c>
      <c r="BP3451">
        <v>0.09</v>
      </c>
      <c r="BQ3451">
        <v>1.4</v>
      </c>
      <c r="BR3451">
        <v>0.5</v>
      </c>
      <c r="BS3451">
        <v>0</v>
      </c>
      <c r="BT3451">
        <v>0.37</v>
      </c>
      <c r="BU3451">
        <v>-1.17</v>
      </c>
      <c r="BV3451">
        <v>-0.79</v>
      </c>
      <c r="BW3451">
        <v>0.28999999999999998</v>
      </c>
      <c r="BX3451">
        <v>-0.27</v>
      </c>
      <c r="BY3451">
        <v>-1.19</v>
      </c>
      <c r="BZ3451">
        <v>1.64</v>
      </c>
      <c r="CA3451">
        <v>-0.59</v>
      </c>
      <c r="CB3451">
        <v>-0.89</v>
      </c>
      <c r="CC3451">
        <v>0.32</v>
      </c>
      <c r="CD3451">
        <v>0.73</v>
      </c>
      <c r="CE3451">
        <v>-0.43</v>
      </c>
      <c r="CF3451">
        <v>0.12</v>
      </c>
      <c r="CG3451">
        <v>0</v>
      </c>
      <c r="CH3451">
        <v>-1.07</v>
      </c>
      <c r="CI3451">
        <v>0</v>
      </c>
      <c r="CJ3451">
        <v>2.4</v>
      </c>
      <c r="CK3451">
        <v>96</v>
      </c>
      <c r="CL3451">
        <v>-0.55000000000000004</v>
      </c>
      <c r="CM3451">
        <v>96</v>
      </c>
      <c r="CN3451">
        <v>-0.47</v>
      </c>
      <c r="CO3451">
        <v>95</v>
      </c>
      <c r="CP3451">
        <v>-4.9000000000000004</v>
      </c>
      <c r="CQ3451">
        <v>95</v>
      </c>
      <c r="CR3451">
        <v>0</v>
      </c>
      <c r="CS3451">
        <v>0</v>
      </c>
      <c r="CT3451">
        <v>-2.6</v>
      </c>
      <c r="CU3451">
        <v>92</v>
      </c>
      <c r="CV3451">
        <v>0.09</v>
      </c>
      <c r="CW3451">
        <v>45</v>
      </c>
      <c r="CX3451" t="s">
        <v>9984</v>
      </c>
    </row>
    <row r="3452" spans="1:102" x14ac:dyDescent="0.3">
      <c r="A3452" t="str">
        <f>HYPERLINK("https://webapp.icbf.com/v2/app/bull-search/view/77855887","LPH")</f>
        <v>LPH</v>
      </c>
      <c r="B3452" t="s">
        <v>10836</v>
      </c>
      <c r="C3452" t="s">
        <v>954</v>
      </c>
      <c r="D3452" s="1">
        <v>32190</v>
      </c>
      <c r="E3452" t="s">
        <v>92</v>
      </c>
      <c r="F3452">
        <v>100</v>
      </c>
      <c r="G3452" t="s">
        <v>93</v>
      </c>
      <c r="H3452">
        <v>-37.78</v>
      </c>
      <c r="I3452">
        <v>95</v>
      </c>
      <c r="J3452">
        <v>24.07</v>
      </c>
      <c r="K3452">
        <v>99</v>
      </c>
      <c r="L3452">
        <v>-48.57</v>
      </c>
      <c r="M3452">
        <v>93</v>
      </c>
      <c r="N3452">
        <v>1.91</v>
      </c>
      <c r="O3452">
        <v>95</v>
      </c>
      <c r="P3452">
        <v>-12.29</v>
      </c>
      <c r="Q3452">
        <v>98</v>
      </c>
      <c r="R3452">
        <v>-15.61</v>
      </c>
      <c r="S3452">
        <v>89</v>
      </c>
      <c r="T3452">
        <v>20.34</v>
      </c>
      <c r="U3452">
        <v>98</v>
      </c>
      <c r="V3452">
        <v>-7.63</v>
      </c>
      <c r="W3452">
        <v>81</v>
      </c>
      <c r="X3452" t="s">
        <v>110</v>
      </c>
      <c r="Y3452" t="s">
        <v>95</v>
      </c>
      <c r="Z3452" t="s">
        <v>96</v>
      </c>
      <c r="AA3452" t="s">
        <v>3760</v>
      </c>
      <c r="AB3452" t="s">
        <v>3761</v>
      </c>
      <c r="AC3452">
        <v>1230</v>
      </c>
      <c r="AD3452">
        <v>524</v>
      </c>
      <c r="AE3452">
        <v>99</v>
      </c>
      <c r="AF3452">
        <v>117.02</v>
      </c>
      <c r="AG3452">
        <v>5.3</v>
      </c>
      <c r="AH3452">
        <v>4.01</v>
      </c>
      <c r="AI3452">
        <v>0.01</v>
      </c>
      <c r="AJ3452">
        <v>0</v>
      </c>
      <c r="AK3452">
        <v>93</v>
      </c>
      <c r="AL3452">
        <v>1571</v>
      </c>
      <c r="AM3452">
        <v>612</v>
      </c>
      <c r="AN3452">
        <v>2.91</v>
      </c>
      <c r="AO3452">
        <v>-0.96</v>
      </c>
      <c r="AP3452">
        <v>8</v>
      </c>
      <c r="AQ3452">
        <v>1</v>
      </c>
      <c r="AR3452">
        <v>7.86</v>
      </c>
      <c r="AS3452">
        <v>82</v>
      </c>
      <c r="AT3452">
        <v>3.31</v>
      </c>
      <c r="AU3452">
        <v>98</v>
      </c>
      <c r="AV3452">
        <v>-0.22</v>
      </c>
      <c r="AW3452">
        <v>96</v>
      </c>
      <c r="AX3452">
        <v>-0.27</v>
      </c>
      <c r="AY3452">
        <v>98</v>
      </c>
      <c r="AZ3452">
        <v>5.98</v>
      </c>
      <c r="BA3452">
        <v>84</v>
      </c>
      <c r="BB3452">
        <v>4.76</v>
      </c>
      <c r="BC3452">
        <v>94</v>
      </c>
      <c r="BD3452">
        <v>0.06</v>
      </c>
      <c r="BE3452">
        <v>0.11</v>
      </c>
      <c r="BF3452">
        <v>0.05</v>
      </c>
      <c r="BG3452">
        <v>99</v>
      </c>
      <c r="BH3452">
        <v>-0.06</v>
      </c>
      <c r="BI3452">
        <v>17.670000000000002</v>
      </c>
      <c r="BJ3452">
        <v>141</v>
      </c>
      <c r="BK3452">
        <v>90</v>
      </c>
      <c r="BL3452">
        <v>-0.45</v>
      </c>
      <c r="BM3452">
        <v>0.94</v>
      </c>
      <c r="BN3452">
        <v>0.03</v>
      </c>
      <c r="BO3452">
        <v>-0.44</v>
      </c>
      <c r="BP3452">
        <v>1.79</v>
      </c>
      <c r="BQ3452">
        <v>-1.1399999999999999</v>
      </c>
      <c r="BR3452">
        <v>0.54</v>
      </c>
      <c r="BS3452">
        <v>-1.97</v>
      </c>
      <c r="BT3452">
        <v>-1.39</v>
      </c>
      <c r="BU3452">
        <v>-1.6</v>
      </c>
      <c r="BV3452">
        <v>0.16</v>
      </c>
      <c r="BW3452">
        <v>0.11</v>
      </c>
      <c r="BX3452">
        <v>-2.2799999999999998</v>
      </c>
      <c r="BY3452">
        <v>0.55000000000000004</v>
      </c>
      <c r="BZ3452">
        <v>0.32</v>
      </c>
      <c r="CA3452">
        <v>-0.8</v>
      </c>
      <c r="CB3452">
        <v>-0.1</v>
      </c>
      <c r="CC3452">
        <v>-1.83</v>
      </c>
      <c r="CD3452">
        <v>0.85</v>
      </c>
      <c r="CE3452">
        <v>-0.5</v>
      </c>
      <c r="CF3452">
        <v>-0.76</v>
      </c>
      <c r="CG3452">
        <v>0</v>
      </c>
      <c r="CH3452">
        <v>0.28000000000000003</v>
      </c>
      <c r="CI3452">
        <v>0</v>
      </c>
      <c r="CJ3452">
        <v>-5.0999999999999996</v>
      </c>
      <c r="CK3452">
        <v>98</v>
      </c>
      <c r="CL3452">
        <v>-0.38</v>
      </c>
      <c r="CM3452">
        <v>98</v>
      </c>
      <c r="CN3452">
        <v>-0.05</v>
      </c>
      <c r="CO3452">
        <v>97</v>
      </c>
      <c r="CP3452">
        <v>-12.8</v>
      </c>
      <c r="CQ3452">
        <v>99</v>
      </c>
      <c r="CR3452">
        <v>0</v>
      </c>
      <c r="CS3452">
        <v>0</v>
      </c>
      <c r="CT3452">
        <v>-13.7</v>
      </c>
      <c r="CU3452">
        <v>98</v>
      </c>
      <c r="CV3452">
        <v>0.01</v>
      </c>
      <c r="CW3452">
        <v>29</v>
      </c>
      <c r="CX3452" t="s">
        <v>663</v>
      </c>
    </row>
    <row r="3453" spans="1:102" x14ac:dyDescent="0.3">
      <c r="A3453" t="str">
        <f>HYPERLINK("https://webapp.icbf.com/v2/app/bull-search/view/749162340","S862")</f>
        <v>S862</v>
      </c>
      <c r="B3453" t="s">
        <v>5372</v>
      </c>
      <c r="C3453" t="s">
        <v>5373</v>
      </c>
      <c r="D3453" s="1">
        <v>38773</v>
      </c>
      <c r="E3453" t="s">
        <v>1061</v>
      </c>
      <c r="F3453">
        <v>0</v>
      </c>
      <c r="G3453" t="s">
        <v>109</v>
      </c>
      <c r="H3453">
        <v>-37.81</v>
      </c>
      <c r="I3453">
        <v>57</v>
      </c>
      <c r="J3453">
        <v>-37.15</v>
      </c>
      <c r="K3453">
        <v>71</v>
      </c>
      <c r="L3453">
        <v>12.22</v>
      </c>
      <c r="M3453">
        <v>59</v>
      </c>
      <c r="N3453">
        <v>-4.5999999999999996</v>
      </c>
      <c r="O3453">
        <v>31</v>
      </c>
      <c r="P3453">
        <v>-29.54</v>
      </c>
      <c r="Q3453">
        <v>47</v>
      </c>
      <c r="R3453">
        <v>-2.42</v>
      </c>
      <c r="S3453">
        <v>32</v>
      </c>
      <c r="T3453">
        <v>28.48</v>
      </c>
      <c r="U3453">
        <v>58</v>
      </c>
      <c r="V3453">
        <v>-4.8</v>
      </c>
      <c r="W3453">
        <v>41</v>
      </c>
      <c r="X3453" t="s">
        <v>251</v>
      </c>
      <c r="Y3453" t="s">
        <v>303</v>
      </c>
      <c r="Z3453">
        <v>0</v>
      </c>
      <c r="AA3453" t="s">
        <v>1646</v>
      </c>
      <c r="AB3453" t="s">
        <v>5374</v>
      </c>
      <c r="AC3453">
        <v>0</v>
      </c>
      <c r="AD3453">
        <v>0</v>
      </c>
      <c r="AE3453">
        <v>71</v>
      </c>
      <c r="AF3453">
        <v>-116.88</v>
      </c>
      <c r="AG3453">
        <v>-7.34</v>
      </c>
      <c r="AH3453">
        <v>-5.51</v>
      </c>
      <c r="AI3453">
        <v>-0.05</v>
      </c>
      <c r="AJ3453">
        <v>-0.03</v>
      </c>
      <c r="AK3453">
        <v>59</v>
      </c>
      <c r="AL3453">
        <v>0</v>
      </c>
      <c r="AM3453">
        <v>0</v>
      </c>
      <c r="AN3453">
        <v>0.54</v>
      </c>
      <c r="AO3453">
        <v>1.53</v>
      </c>
      <c r="AP3453">
        <v>15</v>
      </c>
      <c r="AQ3453">
        <v>1</v>
      </c>
      <c r="AR3453">
        <v>8.11</v>
      </c>
      <c r="AS3453">
        <v>14</v>
      </c>
      <c r="AT3453">
        <v>3.2</v>
      </c>
      <c r="AU3453">
        <v>34</v>
      </c>
      <c r="AV3453">
        <v>0.34</v>
      </c>
      <c r="AW3453">
        <v>40</v>
      </c>
      <c r="AX3453">
        <v>-0.09</v>
      </c>
      <c r="AY3453">
        <v>31</v>
      </c>
      <c r="AZ3453">
        <v>6.4</v>
      </c>
      <c r="BA3453">
        <v>12</v>
      </c>
      <c r="BB3453">
        <v>5.04</v>
      </c>
      <c r="BC3453">
        <v>15</v>
      </c>
      <c r="BD3453">
        <v>0.04</v>
      </c>
      <c r="BE3453">
        <v>0.01</v>
      </c>
      <c r="BF3453">
        <v>-0.03</v>
      </c>
      <c r="BG3453">
        <v>40</v>
      </c>
      <c r="BH3453">
        <v>-0.08</v>
      </c>
      <c r="BI3453">
        <v>6.22</v>
      </c>
      <c r="BJ3453">
        <v>0</v>
      </c>
      <c r="BK3453">
        <v>0</v>
      </c>
      <c r="BL3453">
        <v>0</v>
      </c>
      <c r="BM3453">
        <v>0</v>
      </c>
      <c r="BN3453">
        <v>0</v>
      </c>
      <c r="BO3453">
        <v>0</v>
      </c>
      <c r="BP3453">
        <v>0</v>
      </c>
      <c r="BQ3453">
        <v>0</v>
      </c>
      <c r="BR3453">
        <v>0</v>
      </c>
      <c r="BS3453">
        <v>0</v>
      </c>
      <c r="BT3453">
        <v>0</v>
      </c>
      <c r="BU3453">
        <v>0</v>
      </c>
      <c r="BV3453">
        <v>0</v>
      </c>
      <c r="BW3453">
        <v>0</v>
      </c>
      <c r="BX3453">
        <v>0</v>
      </c>
      <c r="BY3453">
        <v>0</v>
      </c>
      <c r="BZ3453">
        <v>0</v>
      </c>
      <c r="CA3453">
        <v>0</v>
      </c>
      <c r="CB3453">
        <v>0</v>
      </c>
      <c r="CC3453">
        <v>0</v>
      </c>
      <c r="CD3453">
        <v>0</v>
      </c>
      <c r="CE3453">
        <v>0</v>
      </c>
      <c r="CF3453">
        <v>0</v>
      </c>
      <c r="CG3453">
        <v>0</v>
      </c>
      <c r="CH3453">
        <v>0</v>
      </c>
      <c r="CI3453">
        <v>0</v>
      </c>
      <c r="CJ3453">
        <v>-11.4</v>
      </c>
      <c r="CK3453">
        <v>50</v>
      </c>
      <c r="CL3453">
        <v>-0.84</v>
      </c>
      <c r="CM3453">
        <v>43</v>
      </c>
      <c r="CN3453">
        <v>0.22</v>
      </c>
      <c r="CO3453">
        <v>37</v>
      </c>
      <c r="CP3453">
        <v>-17.100000000000001</v>
      </c>
      <c r="CQ3453">
        <v>53</v>
      </c>
      <c r="CR3453">
        <v>0</v>
      </c>
      <c r="CS3453">
        <v>0</v>
      </c>
      <c r="CT3453">
        <v>-24.7</v>
      </c>
      <c r="CU3453">
        <v>58</v>
      </c>
      <c r="CV3453">
        <v>-0.04</v>
      </c>
      <c r="CW3453">
        <v>12</v>
      </c>
      <c r="CX3453" t="s">
        <v>5375</v>
      </c>
    </row>
    <row r="3454" spans="1:102" x14ac:dyDescent="0.3">
      <c r="A3454" t="str">
        <f>HYPERLINK("https://webapp.icbf.com/v2/app/bull-search/view/487001923","MWI")</f>
        <v>MWI</v>
      </c>
      <c r="B3454" t="s">
        <v>4803</v>
      </c>
      <c r="C3454" t="s">
        <v>4804</v>
      </c>
      <c r="D3454" s="1">
        <v>38510</v>
      </c>
      <c r="E3454" t="s">
        <v>92</v>
      </c>
      <c r="F3454">
        <v>69</v>
      </c>
      <c r="G3454" t="s">
        <v>109</v>
      </c>
      <c r="H3454">
        <v>-37.92</v>
      </c>
      <c r="I3454">
        <v>73</v>
      </c>
      <c r="J3454">
        <v>58.69</v>
      </c>
      <c r="K3454">
        <v>90</v>
      </c>
      <c r="L3454">
        <v>-117.91</v>
      </c>
      <c r="M3454">
        <v>73</v>
      </c>
      <c r="N3454">
        <v>26.72</v>
      </c>
      <c r="O3454">
        <v>57</v>
      </c>
      <c r="P3454">
        <v>-23.09</v>
      </c>
      <c r="Q3454">
        <v>54</v>
      </c>
      <c r="R3454">
        <v>-6.5</v>
      </c>
      <c r="S3454">
        <v>70</v>
      </c>
      <c r="T3454">
        <v>16.64</v>
      </c>
      <c r="U3454">
        <v>50</v>
      </c>
      <c r="V3454">
        <v>7.53</v>
      </c>
      <c r="W3454">
        <v>56</v>
      </c>
      <c r="X3454" t="s">
        <v>276</v>
      </c>
      <c r="Y3454" t="s">
        <v>435</v>
      </c>
      <c r="Z3454" t="s">
        <v>330</v>
      </c>
      <c r="AA3454" t="s">
        <v>1091</v>
      </c>
      <c r="AB3454" t="s">
        <v>4805</v>
      </c>
      <c r="AC3454">
        <v>0</v>
      </c>
      <c r="AD3454">
        <v>0</v>
      </c>
      <c r="AE3454">
        <v>90</v>
      </c>
      <c r="AF3454">
        <v>74.91</v>
      </c>
      <c r="AG3454">
        <v>16.190000000000001</v>
      </c>
      <c r="AH3454">
        <v>5.4</v>
      </c>
      <c r="AI3454">
        <v>0.23</v>
      </c>
      <c r="AJ3454">
        <v>0.05</v>
      </c>
      <c r="AK3454">
        <v>73</v>
      </c>
      <c r="AL3454">
        <v>0</v>
      </c>
      <c r="AM3454">
        <v>0</v>
      </c>
      <c r="AN3454">
        <v>6.68</v>
      </c>
      <c r="AO3454">
        <v>-2.72</v>
      </c>
      <c r="AP3454">
        <v>8</v>
      </c>
      <c r="AQ3454">
        <v>0</v>
      </c>
      <c r="AR3454">
        <v>8.1300000000000008</v>
      </c>
      <c r="AS3454">
        <v>48</v>
      </c>
      <c r="AT3454">
        <v>3.01</v>
      </c>
      <c r="AU3454">
        <v>64</v>
      </c>
      <c r="AV3454">
        <v>-3.18</v>
      </c>
      <c r="AW3454">
        <v>64</v>
      </c>
      <c r="AX3454">
        <v>-0.43</v>
      </c>
      <c r="AY3454">
        <v>47</v>
      </c>
      <c r="AZ3454">
        <v>6.26</v>
      </c>
      <c r="BA3454">
        <v>40</v>
      </c>
      <c r="BB3454">
        <v>4.8899999999999997</v>
      </c>
      <c r="BC3454">
        <v>41</v>
      </c>
      <c r="BD3454">
        <v>0.02</v>
      </c>
      <c r="BE3454">
        <v>0.04</v>
      </c>
      <c r="BF3454">
        <v>0.04</v>
      </c>
      <c r="BG3454">
        <v>87</v>
      </c>
      <c r="BH3454">
        <v>0.06</v>
      </c>
      <c r="BI3454">
        <v>-17.36</v>
      </c>
      <c r="BJ3454">
        <v>0</v>
      </c>
      <c r="BK3454">
        <v>0</v>
      </c>
      <c r="BL3454">
        <v>-0.59</v>
      </c>
      <c r="BM3454">
        <v>0.52</v>
      </c>
      <c r="BN3454">
        <v>0.26</v>
      </c>
      <c r="BO3454">
        <v>0.21</v>
      </c>
      <c r="BP3454">
        <v>-1.69</v>
      </c>
      <c r="BQ3454">
        <v>-0.26</v>
      </c>
      <c r="BR3454">
        <v>2.36</v>
      </c>
      <c r="BS3454">
        <v>-0.25</v>
      </c>
      <c r="BT3454">
        <v>-0.61</v>
      </c>
      <c r="BU3454">
        <v>-0.83</v>
      </c>
      <c r="BV3454">
        <v>-0.33</v>
      </c>
      <c r="BW3454">
        <v>-0.15</v>
      </c>
      <c r="BX3454">
        <v>0.2</v>
      </c>
      <c r="BY3454">
        <v>-0.06</v>
      </c>
      <c r="BZ3454">
        <v>1.66</v>
      </c>
      <c r="CA3454">
        <v>-0.68</v>
      </c>
      <c r="CB3454">
        <v>-0.44</v>
      </c>
      <c r="CC3454">
        <v>-0.56000000000000005</v>
      </c>
      <c r="CD3454">
        <v>-0.26</v>
      </c>
      <c r="CE3454">
        <v>0.06</v>
      </c>
      <c r="CF3454">
        <v>0.28000000000000003</v>
      </c>
      <c r="CG3454">
        <v>0</v>
      </c>
      <c r="CH3454">
        <v>0.14000000000000001</v>
      </c>
      <c r="CI3454">
        <v>0</v>
      </c>
      <c r="CJ3454">
        <v>-8.5</v>
      </c>
      <c r="CK3454">
        <v>55</v>
      </c>
      <c r="CL3454">
        <v>-0.94</v>
      </c>
      <c r="CM3454">
        <v>53</v>
      </c>
      <c r="CN3454">
        <v>-0.08</v>
      </c>
      <c r="CO3454">
        <v>51</v>
      </c>
      <c r="CP3454">
        <v>-17.3</v>
      </c>
      <c r="CQ3454">
        <v>55</v>
      </c>
      <c r="CR3454">
        <v>0</v>
      </c>
      <c r="CS3454">
        <v>0</v>
      </c>
      <c r="CT3454">
        <v>-8.6999999999999993</v>
      </c>
      <c r="CU3454">
        <v>50</v>
      </c>
      <c r="CV3454">
        <v>0.12</v>
      </c>
      <c r="CW3454">
        <v>36</v>
      </c>
      <c r="CX3454" t="s">
        <v>4806</v>
      </c>
    </row>
    <row r="3455" spans="1:102" x14ac:dyDescent="0.3">
      <c r="A3455" t="str">
        <f>HYPERLINK("https://webapp.icbf.com/v2/app/bull-search/view/1417506660","FR4390")</f>
        <v>FR4390</v>
      </c>
      <c r="B3455" t="s">
        <v>15291</v>
      </c>
      <c r="C3455" t="s">
        <v>15292</v>
      </c>
      <c r="D3455" s="1">
        <v>42142</v>
      </c>
      <c r="E3455" t="s">
        <v>92</v>
      </c>
      <c r="F3455">
        <v>100</v>
      </c>
      <c r="G3455" t="s">
        <v>435</v>
      </c>
      <c r="H3455">
        <v>-37.93</v>
      </c>
      <c r="I3455">
        <v>69</v>
      </c>
      <c r="J3455">
        <v>52.69</v>
      </c>
      <c r="K3455">
        <v>89</v>
      </c>
      <c r="L3455">
        <v>-120.37</v>
      </c>
      <c r="M3455">
        <v>69</v>
      </c>
      <c r="N3455">
        <v>22.94</v>
      </c>
      <c r="O3455">
        <v>57</v>
      </c>
      <c r="P3455">
        <v>7.87</v>
      </c>
      <c r="Q3455">
        <v>45</v>
      </c>
      <c r="R3455">
        <v>18.059999999999999</v>
      </c>
      <c r="S3455">
        <v>64</v>
      </c>
      <c r="T3455">
        <v>-26.13</v>
      </c>
      <c r="U3455">
        <v>38</v>
      </c>
      <c r="V3455">
        <v>7.01</v>
      </c>
      <c r="W3455">
        <v>57</v>
      </c>
      <c r="X3455" t="s">
        <v>234</v>
      </c>
      <c r="Y3455" t="s">
        <v>2261</v>
      </c>
      <c r="Z3455" t="s">
        <v>96</v>
      </c>
      <c r="AA3455" t="s">
        <v>2691</v>
      </c>
      <c r="AB3455" t="s">
        <v>15293</v>
      </c>
      <c r="AC3455">
        <v>0</v>
      </c>
      <c r="AD3455">
        <v>0</v>
      </c>
      <c r="AE3455">
        <v>89</v>
      </c>
      <c r="AF3455">
        <v>561.73</v>
      </c>
      <c r="AG3455">
        <v>18.059999999999999</v>
      </c>
      <c r="AH3455">
        <v>11.17</v>
      </c>
      <c r="AI3455">
        <v>-0.06</v>
      </c>
      <c r="AJ3455">
        <v>-0.12</v>
      </c>
      <c r="AK3455">
        <v>69</v>
      </c>
      <c r="AL3455">
        <v>0</v>
      </c>
      <c r="AM3455">
        <v>0</v>
      </c>
      <c r="AN3455">
        <v>8.06</v>
      </c>
      <c r="AO3455">
        <v>-1.52</v>
      </c>
      <c r="AP3455">
        <v>7</v>
      </c>
      <c r="AQ3455">
        <v>0</v>
      </c>
      <c r="AR3455">
        <v>7.85</v>
      </c>
      <c r="AS3455">
        <v>49</v>
      </c>
      <c r="AT3455">
        <v>3.72</v>
      </c>
      <c r="AU3455">
        <v>89</v>
      </c>
      <c r="AV3455">
        <v>-3.61</v>
      </c>
      <c r="AW3455">
        <v>50</v>
      </c>
      <c r="AX3455">
        <v>0.36</v>
      </c>
      <c r="AY3455">
        <v>45</v>
      </c>
      <c r="AZ3455">
        <v>5.46</v>
      </c>
      <c r="BA3455">
        <v>36</v>
      </c>
      <c r="BB3455">
        <v>5</v>
      </c>
      <c r="BC3455">
        <v>36</v>
      </c>
      <c r="BD3455">
        <v>-0.05</v>
      </c>
      <c r="BE3455">
        <v>-0.08</v>
      </c>
      <c r="BF3455">
        <v>-0.18</v>
      </c>
      <c r="BG3455">
        <v>76</v>
      </c>
      <c r="BH3455">
        <v>0.23</v>
      </c>
      <c r="BI3455">
        <v>3.98</v>
      </c>
      <c r="BJ3455">
        <v>0</v>
      </c>
      <c r="BK3455">
        <v>0</v>
      </c>
      <c r="BL3455">
        <v>4</v>
      </c>
      <c r="BM3455">
        <v>1.64</v>
      </c>
      <c r="BN3455">
        <v>3.73</v>
      </c>
      <c r="BO3455">
        <v>2.73</v>
      </c>
      <c r="BP3455">
        <v>-1.44</v>
      </c>
      <c r="BQ3455">
        <v>3.91</v>
      </c>
      <c r="BR3455">
        <v>-0.37</v>
      </c>
      <c r="BS3455">
        <v>4.41</v>
      </c>
      <c r="BT3455">
        <v>1.57</v>
      </c>
      <c r="BU3455">
        <v>5.19</v>
      </c>
      <c r="BV3455">
        <v>5.77</v>
      </c>
      <c r="BW3455">
        <v>4.1500000000000004</v>
      </c>
      <c r="BX3455">
        <v>4.2</v>
      </c>
      <c r="BY3455">
        <v>3.57</v>
      </c>
      <c r="BZ3455">
        <v>-1.25</v>
      </c>
      <c r="CA3455">
        <v>5.16</v>
      </c>
      <c r="CB3455">
        <v>4.84</v>
      </c>
      <c r="CC3455">
        <v>3.16</v>
      </c>
      <c r="CD3455">
        <v>-1.07</v>
      </c>
      <c r="CE3455">
        <v>2.0499999999999998</v>
      </c>
      <c r="CF3455">
        <v>3.33</v>
      </c>
      <c r="CG3455">
        <v>0</v>
      </c>
      <c r="CH3455">
        <v>4.45</v>
      </c>
      <c r="CI3455">
        <v>0</v>
      </c>
      <c r="CJ3455">
        <v>8.3000000000000007</v>
      </c>
      <c r="CK3455">
        <v>46</v>
      </c>
      <c r="CL3455">
        <v>-1.73</v>
      </c>
      <c r="CM3455">
        <v>45</v>
      </c>
      <c r="CN3455">
        <v>-0.97</v>
      </c>
      <c r="CO3455">
        <v>45</v>
      </c>
      <c r="CP3455">
        <v>19.399999999999999</v>
      </c>
      <c r="CQ3455">
        <v>39</v>
      </c>
      <c r="CR3455">
        <v>0</v>
      </c>
      <c r="CS3455">
        <v>0</v>
      </c>
      <c r="CT3455">
        <v>49.1</v>
      </c>
      <c r="CU3455">
        <v>38</v>
      </c>
      <c r="CV3455">
        <v>0.37</v>
      </c>
      <c r="CW3455">
        <v>34</v>
      </c>
      <c r="CX3455" t="s">
        <v>13123</v>
      </c>
    </row>
    <row r="3456" spans="1:102" x14ac:dyDescent="0.3">
      <c r="A3456" t="str">
        <f>HYPERLINK("https://webapp.icbf.com/v2/app/bull-search/view/146114088","GIX")</f>
        <v>GIX</v>
      </c>
      <c r="B3456" t="s">
        <v>11637</v>
      </c>
      <c r="C3456" t="s">
        <v>11638</v>
      </c>
      <c r="D3456" s="1">
        <v>35549</v>
      </c>
      <c r="E3456" t="s">
        <v>92</v>
      </c>
      <c r="F3456">
        <v>100</v>
      </c>
      <c r="G3456" t="s">
        <v>93</v>
      </c>
      <c r="H3456">
        <v>-38.08</v>
      </c>
      <c r="I3456">
        <v>93</v>
      </c>
      <c r="J3456">
        <v>35.96</v>
      </c>
      <c r="K3456">
        <v>98</v>
      </c>
      <c r="L3456">
        <v>-79.94</v>
      </c>
      <c r="M3456">
        <v>93</v>
      </c>
      <c r="N3456">
        <v>0.28999999999999998</v>
      </c>
      <c r="O3456">
        <v>88</v>
      </c>
      <c r="P3456">
        <v>-2.85</v>
      </c>
      <c r="Q3456">
        <v>93</v>
      </c>
      <c r="R3456">
        <v>0</v>
      </c>
      <c r="S3456">
        <v>87</v>
      </c>
      <c r="T3456">
        <v>11.09</v>
      </c>
      <c r="U3456">
        <v>87</v>
      </c>
      <c r="V3456">
        <v>-2.63</v>
      </c>
      <c r="W3456">
        <v>80</v>
      </c>
      <c r="X3456" t="s">
        <v>94</v>
      </c>
      <c r="Y3456" t="s">
        <v>95</v>
      </c>
      <c r="Z3456" t="s">
        <v>96</v>
      </c>
      <c r="AA3456" t="s">
        <v>188</v>
      </c>
      <c r="AB3456" t="s">
        <v>11639</v>
      </c>
      <c r="AC3456">
        <v>112</v>
      </c>
      <c r="AD3456">
        <v>65</v>
      </c>
      <c r="AE3456">
        <v>98</v>
      </c>
      <c r="AF3456">
        <v>120.18</v>
      </c>
      <c r="AG3456">
        <v>9.23</v>
      </c>
      <c r="AH3456">
        <v>4.6900000000000004</v>
      </c>
      <c r="AI3456">
        <v>0.08</v>
      </c>
      <c r="AJ3456">
        <v>0.01</v>
      </c>
      <c r="AK3456">
        <v>93</v>
      </c>
      <c r="AL3456">
        <v>112</v>
      </c>
      <c r="AM3456">
        <v>60</v>
      </c>
      <c r="AN3456">
        <v>3.22</v>
      </c>
      <c r="AO3456">
        <v>-3.17</v>
      </c>
      <c r="AP3456">
        <v>177</v>
      </c>
      <c r="AQ3456">
        <v>0</v>
      </c>
      <c r="AR3456">
        <v>7.99</v>
      </c>
      <c r="AS3456">
        <v>85</v>
      </c>
      <c r="AT3456">
        <v>3.7</v>
      </c>
      <c r="AU3456">
        <v>92</v>
      </c>
      <c r="AV3456">
        <v>-1.58</v>
      </c>
      <c r="AW3456">
        <v>94</v>
      </c>
      <c r="AX3456">
        <v>-0.73</v>
      </c>
      <c r="AY3456">
        <v>85</v>
      </c>
      <c r="AZ3456">
        <v>7.25</v>
      </c>
      <c r="BA3456">
        <v>73</v>
      </c>
      <c r="BB3456">
        <v>6.18</v>
      </c>
      <c r="BC3456">
        <v>74</v>
      </c>
      <c r="BD3456">
        <v>0</v>
      </c>
      <c r="BE3456">
        <v>0</v>
      </c>
      <c r="BF3456">
        <v>0</v>
      </c>
      <c r="BG3456">
        <v>96</v>
      </c>
      <c r="BH3456">
        <v>0.02</v>
      </c>
      <c r="BI3456">
        <v>10.79</v>
      </c>
      <c r="BJ3456">
        <v>32</v>
      </c>
      <c r="BK3456">
        <v>16</v>
      </c>
      <c r="BL3456">
        <v>-0.15</v>
      </c>
      <c r="BM3456">
        <v>-1.23</v>
      </c>
      <c r="BN3456">
        <v>-0.68</v>
      </c>
      <c r="BO3456">
        <v>0.53</v>
      </c>
      <c r="BP3456">
        <v>2.25</v>
      </c>
      <c r="BQ3456">
        <v>-0.99</v>
      </c>
      <c r="BR3456">
        <v>0.49</v>
      </c>
      <c r="BS3456">
        <v>1.36</v>
      </c>
      <c r="BT3456">
        <v>-0.77</v>
      </c>
      <c r="BU3456">
        <v>1.65</v>
      </c>
      <c r="BV3456">
        <v>0.89</v>
      </c>
      <c r="BW3456">
        <v>0.47</v>
      </c>
      <c r="BX3456">
        <v>0.86</v>
      </c>
      <c r="BY3456">
        <v>0.88</v>
      </c>
      <c r="BZ3456">
        <v>-0.64</v>
      </c>
      <c r="CA3456">
        <v>1.1100000000000001</v>
      </c>
      <c r="CB3456">
        <v>1.1200000000000001</v>
      </c>
      <c r="CC3456">
        <v>0.59</v>
      </c>
      <c r="CD3456">
        <v>-1.0900000000000001</v>
      </c>
      <c r="CE3456">
        <v>0.73</v>
      </c>
      <c r="CF3456">
        <v>-1.45</v>
      </c>
      <c r="CG3456">
        <v>0</v>
      </c>
      <c r="CH3456">
        <v>0.83</v>
      </c>
      <c r="CI3456">
        <v>0</v>
      </c>
      <c r="CJ3456">
        <v>0.8</v>
      </c>
      <c r="CK3456">
        <v>94</v>
      </c>
      <c r="CL3456">
        <v>-0.74</v>
      </c>
      <c r="CM3456">
        <v>93</v>
      </c>
      <c r="CN3456">
        <v>-0.39</v>
      </c>
      <c r="CO3456">
        <v>92</v>
      </c>
      <c r="CP3456">
        <v>-5.9</v>
      </c>
      <c r="CQ3456">
        <v>92</v>
      </c>
      <c r="CR3456">
        <v>0</v>
      </c>
      <c r="CS3456">
        <v>0</v>
      </c>
      <c r="CT3456">
        <v>-1.2</v>
      </c>
      <c r="CU3456">
        <v>87</v>
      </c>
      <c r="CV3456">
        <v>0.19</v>
      </c>
      <c r="CW3456">
        <v>45</v>
      </c>
      <c r="CX3456" t="s">
        <v>485</v>
      </c>
    </row>
    <row r="3457" spans="1:102" x14ac:dyDescent="0.3">
      <c r="A3457" t="str">
        <f>HYPERLINK("https://webapp.icbf.com/v2/app/bull-search/view/586206578","S1360")</f>
        <v>S1360</v>
      </c>
      <c r="B3457" t="s">
        <v>13074</v>
      </c>
      <c r="C3457" t="s">
        <v>13075</v>
      </c>
      <c r="D3457" s="1">
        <v>38759</v>
      </c>
      <c r="E3457" t="s">
        <v>92</v>
      </c>
      <c r="F3457">
        <v>91</v>
      </c>
      <c r="G3457" t="s">
        <v>109</v>
      </c>
      <c r="H3457">
        <v>-38.090000000000003</v>
      </c>
      <c r="I3457">
        <v>66</v>
      </c>
      <c r="J3457">
        <v>10.15</v>
      </c>
      <c r="K3457">
        <v>78</v>
      </c>
      <c r="L3457">
        <v>-57.39</v>
      </c>
      <c r="M3457">
        <v>68</v>
      </c>
      <c r="N3457">
        <v>-3.83</v>
      </c>
      <c r="O3457">
        <v>60</v>
      </c>
      <c r="P3457">
        <v>-9.9600000000000009</v>
      </c>
      <c r="Q3457">
        <v>57</v>
      </c>
      <c r="R3457">
        <v>12.44</v>
      </c>
      <c r="S3457">
        <v>58</v>
      </c>
      <c r="T3457">
        <v>11.01</v>
      </c>
      <c r="U3457">
        <v>44</v>
      </c>
      <c r="V3457">
        <v>-0.51</v>
      </c>
      <c r="W3457">
        <v>23</v>
      </c>
      <c r="X3457" t="s">
        <v>94</v>
      </c>
      <c r="Y3457" t="s">
        <v>342</v>
      </c>
      <c r="Z3457" t="s">
        <v>330</v>
      </c>
      <c r="AA3457" t="s">
        <v>1280</v>
      </c>
      <c r="AB3457" t="s">
        <v>13076</v>
      </c>
      <c r="AC3457">
        <v>0</v>
      </c>
      <c r="AD3457">
        <v>0</v>
      </c>
      <c r="AE3457">
        <v>78</v>
      </c>
      <c r="AF3457">
        <v>164.56</v>
      </c>
      <c r="AG3457">
        <v>3.04</v>
      </c>
      <c r="AH3457">
        <v>3.17</v>
      </c>
      <c r="AI3457">
        <v>-0.05</v>
      </c>
      <c r="AJ3457">
        <v>-0.04</v>
      </c>
      <c r="AK3457">
        <v>68</v>
      </c>
      <c r="AL3457">
        <v>0</v>
      </c>
      <c r="AM3457">
        <v>0</v>
      </c>
      <c r="AN3457">
        <v>3.66</v>
      </c>
      <c r="AO3457">
        <v>-0.91</v>
      </c>
      <c r="AP3457">
        <v>17</v>
      </c>
      <c r="AQ3457">
        <v>1</v>
      </c>
      <c r="AR3457">
        <v>7.67</v>
      </c>
      <c r="AS3457">
        <v>33</v>
      </c>
      <c r="AT3457">
        <v>3.27</v>
      </c>
      <c r="AU3457">
        <v>85</v>
      </c>
      <c r="AV3457">
        <v>-1.1100000000000001</v>
      </c>
      <c r="AW3457">
        <v>71</v>
      </c>
      <c r="AX3457">
        <v>0.88</v>
      </c>
      <c r="AY3457">
        <v>37</v>
      </c>
      <c r="AZ3457">
        <v>8.76</v>
      </c>
      <c r="BA3457">
        <v>26</v>
      </c>
      <c r="BB3457">
        <v>5.94</v>
      </c>
      <c r="BC3457">
        <v>23</v>
      </c>
      <c r="BD3457">
        <v>-0.03</v>
      </c>
      <c r="BE3457">
        <v>-0.04</v>
      </c>
      <c r="BF3457">
        <v>-0.16</v>
      </c>
      <c r="BG3457">
        <v>84</v>
      </c>
      <c r="BH3457">
        <v>-0.03</v>
      </c>
      <c r="BI3457">
        <v>-1.84</v>
      </c>
      <c r="BJ3457">
        <v>1</v>
      </c>
      <c r="BK3457">
        <v>1</v>
      </c>
      <c r="BL3457">
        <v>-0.46</v>
      </c>
      <c r="BM3457">
        <v>1.67</v>
      </c>
      <c r="BN3457">
        <v>0.78</v>
      </c>
      <c r="BO3457">
        <v>0.33</v>
      </c>
      <c r="BP3457">
        <v>0.26</v>
      </c>
      <c r="BQ3457">
        <v>-0.32</v>
      </c>
      <c r="BR3457">
        <v>-2.74</v>
      </c>
      <c r="BS3457">
        <v>2.81</v>
      </c>
      <c r="BT3457">
        <v>1.2</v>
      </c>
      <c r="BU3457">
        <v>2.67</v>
      </c>
      <c r="BV3457">
        <v>0.91</v>
      </c>
      <c r="BW3457">
        <v>0.72</v>
      </c>
      <c r="BX3457">
        <v>1.44</v>
      </c>
      <c r="BY3457">
        <v>2.09</v>
      </c>
      <c r="BZ3457">
        <v>-2.6</v>
      </c>
      <c r="CA3457">
        <v>1.66</v>
      </c>
      <c r="CB3457">
        <v>1.46</v>
      </c>
      <c r="CC3457">
        <v>1.44</v>
      </c>
      <c r="CD3457">
        <v>1.59</v>
      </c>
      <c r="CE3457">
        <v>0.36</v>
      </c>
      <c r="CF3457">
        <v>0.65</v>
      </c>
      <c r="CG3457">
        <v>0</v>
      </c>
      <c r="CH3457">
        <v>0.51</v>
      </c>
      <c r="CI3457">
        <v>0</v>
      </c>
      <c r="CJ3457">
        <v>-4.4000000000000004</v>
      </c>
      <c r="CK3457">
        <v>62</v>
      </c>
      <c r="CL3457">
        <v>-0.78</v>
      </c>
      <c r="CM3457">
        <v>52</v>
      </c>
      <c r="CN3457">
        <v>-0.43</v>
      </c>
      <c r="CO3457">
        <v>51</v>
      </c>
      <c r="CP3457">
        <v>-5.8</v>
      </c>
      <c r="CQ3457">
        <v>42</v>
      </c>
      <c r="CR3457">
        <v>0</v>
      </c>
      <c r="CS3457">
        <v>0</v>
      </c>
      <c r="CT3457">
        <v>-1.1000000000000001</v>
      </c>
      <c r="CU3457">
        <v>44</v>
      </c>
      <c r="CV3457">
        <v>0.15</v>
      </c>
      <c r="CW3457">
        <v>18</v>
      </c>
      <c r="CX3457" t="s">
        <v>1874</v>
      </c>
    </row>
    <row r="3458" spans="1:102" x14ac:dyDescent="0.3">
      <c r="A3458" t="str">
        <f>HYPERLINK("https://webapp.icbf.com/v2/app/bull-search/view/660014251","S1024")</f>
        <v>S1024</v>
      </c>
      <c r="B3458" t="s">
        <v>12755</v>
      </c>
      <c r="C3458" t="s">
        <v>12756</v>
      </c>
      <c r="D3458" s="1">
        <v>37861</v>
      </c>
      <c r="E3458" t="s">
        <v>140</v>
      </c>
      <c r="F3458">
        <v>0</v>
      </c>
      <c r="G3458" t="s">
        <v>109</v>
      </c>
      <c r="H3458">
        <v>-38.17</v>
      </c>
      <c r="I3458">
        <v>77</v>
      </c>
      <c r="J3458">
        <v>1.29</v>
      </c>
      <c r="K3458">
        <v>93</v>
      </c>
      <c r="L3458">
        <v>-3.48</v>
      </c>
      <c r="M3458">
        <v>66</v>
      </c>
      <c r="N3458">
        <v>-42.08</v>
      </c>
      <c r="O3458">
        <v>72</v>
      </c>
      <c r="P3458">
        <v>0.42</v>
      </c>
      <c r="Q3458">
        <v>81</v>
      </c>
      <c r="R3458">
        <v>4.7</v>
      </c>
      <c r="S3458">
        <v>70</v>
      </c>
      <c r="T3458">
        <v>11.75</v>
      </c>
      <c r="U3458">
        <v>73</v>
      </c>
      <c r="V3458">
        <v>-10.77</v>
      </c>
      <c r="W3458">
        <v>63</v>
      </c>
      <c r="X3458" t="s">
        <v>102</v>
      </c>
      <c r="Y3458" t="s">
        <v>303</v>
      </c>
      <c r="Z3458">
        <v>0</v>
      </c>
      <c r="AA3458" t="s">
        <v>1808</v>
      </c>
      <c r="AB3458" t="s">
        <v>12757</v>
      </c>
      <c r="AC3458">
        <v>33</v>
      </c>
      <c r="AD3458">
        <v>10</v>
      </c>
      <c r="AE3458">
        <v>93</v>
      </c>
      <c r="AF3458">
        <v>-12.48</v>
      </c>
      <c r="AG3458">
        <v>0.11</v>
      </c>
      <c r="AH3458">
        <v>-0.01</v>
      </c>
      <c r="AI3458">
        <v>0.01</v>
      </c>
      <c r="AJ3458">
        <v>0.01</v>
      </c>
      <c r="AK3458">
        <v>66</v>
      </c>
      <c r="AL3458">
        <v>26</v>
      </c>
      <c r="AM3458">
        <v>8</v>
      </c>
      <c r="AN3458">
        <v>0.02</v>
      </c>
      <c r="AO3458">
        <v>-0.26</v>
      </c>
      <c r="AP3458">
        <v>51</v>
      </c>
      <c r="AQ3458">
        <v>2</v>
      </c>
      <c r="AR3458">
        <v>11.09</v>
      </c>
      <c r="AS3458">
        <v>52</v>
      </c>
      <c r="AT3458">
        <v>5.16</v>
      </c>
      <c r="AU3458">
        <v>73</v>
      </c>
      <c r="AV3458">
        <v>2.59</v>
      </c>
      <c r="AW3458">
        <v>85</v>
      </c>
      <c r="AX3458">
        <v>-0.19</v>
      </c>
      <c r="AY3458">
        <v>63</v>
      </c>
      <c r="AZ3458">
        <v>4.1500000000000004</v>
      </c>
      <c r="BA3458">
        <v>49</v>
      </c>
      <c r="BB3458">
        <v>3.02</v>
      </c>
      <c r="BC3458">
        <v>52</v>
      </c>
      <c r="BD3458">
        <v>0.03</v>
      </c>
      <c r="BE3458">
        <v>-0.02</v>
      </c>
      <c r="BF3458">
        <v>-0.12</v>
      </c>
      <c r="BG3458">
        <v>78</v>
      </c>
      <c r="BH3458">
        <v>-0.4</v>
      </c>
      <c r="BI3458">
        <v>-11.52</v>
      </c>
      <c r="BJ3458">
        <v>0</v>
      </c>
      <c r="BK3458">
        <v>0</v>
      </c>
      <c r="BL3458">
        <v>-0.47</v>
      </c>
      <c r="BM3458">
        <v>3.53</v>
      </c>
      <c r="BN3458">
        <v>-1.39</v>
      </c>
      <c r="BO3458">
        <v>-2.76</v>
      </c>
      <c r="BP3458">
        <v>4.53</v>
      </c>
      <c r="BQ3458">
        <v>-1.97</v>
      </c>
      <c r="BR3458">
        <v>-2.74</v>
      </c>
      <c r="BS3458">
        <v>-0.38</v>
      </c>
      <c r="BT3458">
        <v>2.57</v>
      </c>
      <c r="BU3458">
        <v>-3.19</v>
      </c>
      <c r="BV3458">
        <v>-3.69</v>
      </c>
      <c r="BW3458">
        <v>-2.79</v>
      </c>
      <c r="BX3458">
        <v>-2.4500000000000002</v>
      </c>
      <c r="BY3458">
        <v>-2.0099999999999998</v>
      </c>
      <c r="BZ3458">
        <v>1.2</v>
      </c>
      <c r="CA3458">
        <v>-2.2599999999999998</v>
      </c>
      <c r="CB3458">
        <v>-3.03</v>
      </c>
      <c r="CC3458">
        <v>-0.12</v>
      </c>
      <c r="CD3458">
        <v>3.92</v>
      </c>
      <c r="CE3458">
        <v>-2.76</v>
      </c>
      <c r="CF3458">
        <v>-0.56999999999999995</v>
      </c>
      <c r="CG3458">
        <v>0</v>
      </c>
      <c r="CH3458">
        <v>-2.33</v>
      </c>
      <c r="CI3458">
        <v>0</v>
      </c>
      <c r="CJ3458">
        <v>-1.3</v>
      </c>
      <c r="CK3458">
        <v>83</v>
      </c>
      <c r="CL3458">
        <v>0.12</v>
      </c>
      <c r="CM3458">
        <v>79</v>
      </c>
      <c r="CN3458">
        <v>-0.09</v>
      </c>
      <c r="CO3458">
        <v>77</v>
      </c>
      <c r="CP3458">
        <v>-0.5</v>
      </c>
      <c r="CQ3458">
        <v>74</v>
      </c>
      <c r="CR3458">
        <v>0</v>
      </c>
      <c r="CS3458">
        <v>0</v>
      </c>
      <c r="CT3458">
        <v>-2.1</v>
      </c>
      <c r="CU3458">
        <v>73</v>
      </c>
      <c r="CV3458">
        <v>0.09</v>
      </c>
      <c r="CW3458">
        <v>42</v>
      </c>
      <c r="CX3458" t="s">
        <v>295</v>
      </c>
    </row>
    <row r="3459" spans="1:102" x14ac:dyDescent="0.3">
      <c r="A3459" t="str">
        <f>HYPERLINK("https://webapp.icbf.com/v2/app/bull-search/view/77857159","GOR")</f>
        <v>GOR</v>
      </c>
      <c r="B3459" t="s">
        <v>2786</v>
      </c>
      <c r="C3459" t="s">
        <v>2787</v>
      </c>
      <c r="D3459" s="1">
        <v>33531</v>
      </c>
      <c r="E3459" t="s">
        <v>92</v>
      </c>
      <c r="F3459">
        <v>100</v>
      </c>
      <c r="G3459" t="s">
        <v>93</v>
      </c>
      <c r="H3459">
        <v>-38.200000000000003</v>
      </c>
      <c r="I3459">
        <v>95</v>
      </c>
      <c r="J3459">
        <v>6.8</v>
      </c>
      <c r="K3459">
        <v>99</v>
      </c>
      <c r="L3459">
        <v>-53.5</v>
      </c>
      <c r="M3459">
        <v>92</v>
      </c>
      <c r="N3459">
        <v>9.69</v>
      </c>
      <c r="O3459">
        <v>93</v>
      </c>
      <c r="P3459">
        <v>-4.3</v>
      </c>
      <c r="Q3459">
        <v>97</v>
      </c>
      <c r="R3459">
        <v>-3.87</v>
      </c>
      <c r="S3459">
        <v>88</v>
      </c>
      <c r="T3459">
        <v>5.69</v>
      </c>
      <c r="U3459">
        <v>95</v>
      </c>
      <c r="V3459">
        <v>1.29</v>
      </c>
      <c r="W3459">
        <v>83</v>
      </c>
      <c r="X3459" t="s">
        <v>558</v>
      </c>
      <c r="Y3459" t="s">
        <v>95</v>
      </c>
      <c r="Z3459" t="s">
        <v>96</v>
      </c>
      <c r="AA3459" t="s">
        <v>161</v>
      </c>
      <c r="AB3459" t="s">
        <v>2788</v>
      </c>
      <c r="AC3459">
        <v>478</v>
      </c>
      <c r="AD3459">
        <v>232</v>
      </c>
      <c r="AE3459">
        <v>99</v>
      </c>
      <c r="AF3459">
        <v>-73.12</v>
      </c>
      <c r="AG3459">
        <v>-0.6</v>
      </c>
      <c r="AH3459">
        <v>0.25</v>
      </c>
      <c r="AI3459">
        <v>0.04</v>
      </c>
      <c r="AJ3459">
        <v>0.05</v>
      </c>
      <c r="AK3459">
        <v>92</v>
      </c>
      <c r="AL3459">
        <v>468</v>
      </c>
      <c r="AM3459">
        <v>195</v>
      </c>
      <c r="AN3459">
        <v>2.67</v>
      </c>
      <c r="AO3459">
        <v>-1.6</v>
      </c>
      <c r="AP3459">
        <v>291</v>
      </c>
      <c r="AQ3459">
        <v>0</v>
      </c>
      <c r="AR3459">
        <v>6.33</v>
      </c>
      <c r="AS3459">
        <v>92</v>
      </c>
      <c r="AT3459">
        <v>3.26</v>
      </c>
      <c r="AU3459">
        <v>92</v>
      </c>
      <c r="AV3459">
        <v>-2.02</v>
      </c>
      <c r="AW3459">
        <v>96</v>
      </c>
      <c r="AX3459">
        <v>-0.2</v>
      </c>
      <c r="AY3459">
        <v>95</v>
      </c>
      <c r="AZ3459">
        <v>8.0500000000000007</v>
      </c>
      <c r="BA3459">
        <v>85</v>
      </c>
      <c r="BB3459">
        <v>6.15</v>
      </c>
      <c r="BC3459">
        <v>88</v>
      </c>
      <c r="BD3459">
        <v>0.06</v>
      </c>
      <c r="BE3459">
        <v>0.01</v>
      </c>
      <c r="BF3459">
        <v>-0.03</v>
      </c>
      <c r="BG3459">
        <v>97</v>
      </c>
      <c r="BH3459">
        <v>0.04</v>
      </c>
      <c r="BI3459">
        <v>0.45</v>
      </c>
      <c r="BJ3459">
        <v>94</v>
      </c>
      <c r="BK3459">
        <v>37</v>
      </c>
      <c r="BL3459">
        <v>1.22</v>
      </c>
      <c r="BM3459">
        <v>-2.25</v>
      </c>
      <c r="BN3459">
        <v>0.13</v>
      </c>
      <c r="BO3459">
        <v>1.81</v>
      </c>
      <c r="BP3459">
        <v>-0.85</v>
      </c>
      <c r="BQ3459">
        <v>-0.5</v>
      </c>
      <c r="BR3459">
        <v>-1.44</v>
      </c>
      <c r="BS3459">
        <v>-0.28999999999999998</v>
      </c>
      <c r="BT3459">
        <v>1.93</v>
      </c>
      <c r="BU3459">
        <v>-0.17</v>
      </c>
      <c r="BV3459">
        <v>1.68</v>
      </c>
      <c r="BW3459">
        <v>1.8</v>
      </c>
      <c r="BX3459">
        <v>0.8</v>
      </c>
      <c r="BY3459">
        <v>0.92</v>
      </c>
      <c r="BZ3459">
        <v>0.02</v>
      </c>
      <c r="CA3459">
        <v>0.7</v>
      </c>
      <c r="CB3459">
        <v>0.53</v>
      </c>
      <c r="CC3459">
        <v>0.68</v>
      </c>
      <c r="CD3459">
        <v>-2.69</v>
      </c>
      <c r="CE3459">
        <v>1.51</v>
      </c>
      <c r="CF3459">
        <v>0.24</v>
      </c>
      <c r="CG3459">
        <v>0</v>
      </c>
      <c r="CH3459">
        <v>0.89</v>
      </c>
      <c r="CI3459">
        <v>0</v>
      </c>
      <c r="CJ3459">
        <v>0.3</v>
      </c>
      <c r="CK3459">
        <v>97</v>
      </c>
      <c r="CL3459">
        <v>-0.91</v>
      </c>
      <c r="CM3459">
        <v>97</v>
      </c>
      <c r="CN3459">
        <v>-0.42</v>
      </c>
      <c r="CO3459">
        <v>97</v>
      </c>
      <c r="CP3459">
        <v>-1.6</v>
      </c>
      <c r="CQ3459">
        <v>97</v>
      </c>
      <c r="CR3459">
        <v>0</v>
      </c>
      <c r="CS3459">
        <v>0</v>
      </c>
      <c r="CT3459">
        <v>6.1</v>
      </c>
      <c r="CU3459">
        <v>95</v>
      </c>
      <c r="CV3459">
        <v>0.18</v>
      </c>
      <c r="CW3459">
        <v>45</v>
      </c>
      <c r="CX3459" t="s">
        <v>724</v>
      </c>
    </row>
    <row r="3460" spans="1:102" x14ac:dyDescent="0.3">
      <c r="A3460" t="str">
        <f>HYPERLINK("https://webapp.icbf.com/v2/app/bull-search/view/77858902","CIA")</f>
        <v>CIA</v>
      </c>
      <c r="B3460" t="s">
        <v>2981</v>
      </c>
      <c r="C3460" t="s">
        <v>2982</v>
      </c>
      <c r="D3460" s="1">
        <v>31807</v>
      </c>
      <c r="E3460" t="s">
        <v>92</v>
      </c>
      <c r="F3460">
        <v>75</v>
      </c>
      <c r="G3460" t="s">
        <v>109</v>
      </c>
      <c r="H3460">
        <v>-38.22</v>
      </c>
      <c r="I3460">
        <v>57</v>
      </c>
      <c r="J3460">
        <v>-17.100000000000001</v>
      </c>
      <c r="K3460">
        <v>81</v>
      </c>
      <c r="L3460">
        <v>-2.85</v>
      </c>
      <c r="M3460">
        <v>55</v>
      </c>
      <c r="N3460">
        <v>-23.41</v>
      </c>
      <c r="O3460">
        <v>33</v>
      </c>
      <c r="P3460">
        <v>-0.84</v>
      </c>
      <c r="Q3460">
        <v>34</v>
      </c>
      <c r="R3460">
        <v>-6.22</v>
      </c>
      <c r="S3460">
        <v>53</v>
      </c>
      <c r="T3460">
        <v>11.83</v>
      </c>
      <c r="U3460">
        <v>45</v>
      </c>
      <c r="V3460">
        <v>0.37</v>
      </c>
      <c r="W3460">
        <v>9</v>
      </c>
      <c r="X3460" t="s">
        <v>276</v>
      </c>
      <c r="Y3460" t="s">
        <v>95</v>
      </c>
      <c r="Z3460" t="s">
        <v>96</v>
      </c>
      <c r="AA3460" t="s">
        <v>2983</v>
      </c>
      <c r="AB3460" t="s">
        <v>2984</v>
      </c>
      <c r="AC3460">
        <v>0</v>
      </c>
      <c r="AD3460">
        <v>0</v>
      </c>
      <c r="AE3460">
        <v>81</v>
      </c>
      <c r="AF3460">
        <v>79.81</v>
      </c>
      <c r="AG3460">
        <v>-0.81</v>
      </c>
      <c r="AH3460">
        <v>-1.4</v>
      </c>
      <c r="AI3460">
        <v>-0.06</v>
      </c>
      <c r="AJ3460">
        <v>-7.0000000000000007E-2</v>
      </c>
      <c r="AK3460">
        <v>55</v>
      </c>
      <c r="AL3460">
        <v>0</v>
      </c>
      <c r="AM3460">
        <v>0</v>
      </c>
      <c r="AN3460">
        <v>-0.06</v>
      </c>
      <c r="AO3460">
        <v>-0.28999999999999998</v>
      </c>
      <c r="AP3460">
        <v>1</v>
      </c>
      <c r="AQ3460">
        <v>0</v>
      </c>
      <c r="AR3460">
        <v>11.36</v>
      </c>
      <c r="AS3460">
        <v>9</v>
      </c>
      <c r="AT3460">
        <v>4.74</v>
      </c>
      <c r="AU3460">
        <v>85</v>
      </c>
      <c r="AV3460">
        <v>-0.09</v>
      </c>
      <c r="AW3460">
        <v>16</v>
      </c>
      <c r="AX3460">
        <v>-0.57999999999999996</v>
      </c>
      <c r="AY3460">
        <v>27</v>
      </c>
      <c r="AZ3460">
        <v>5.36</v>
      </c>
      <c r="BA3460">
        <v>10</v>
      </c>
      <c r="BB3460">
        <v>4.63</v>
      </c>
      <c r="BC3460">
        <v>14</v>
      </c>
      <c r="BD3460">
        <v>0.03</v>
      </c>
      <c r="BE3460">
        <v>7.0000000000000007E-2</v>
      </c>
      <c r="BF3460">
        <v>-0.04</v>
      </c>
      <c r="BG3460">
        <v>81</v>
      </c>
      <c r="BH3460">
        <v>0.06</v>
      </c>
      <c r="BI3460">
        <v>5.76</v>
      </c>
      <c r="BJ3460">
        <v>1</v>
      </c>
      <c r="BK3460">
        <v>1</v>
      </c>
      <c r="BL3460">
        <v>0.92</v>
      </c>
      <c r="BM3460">
        <v>1.33</v>
      </c>
      <c r="BN3460">
        <v>0.28000000000000003</v>
      </c>
      <c r="BO3460">
        <v>-0.09</v>
      </c>
      <c r="BP3460">
        <v>0.33</v>
      </c>
      <c r="BQ3460">
        <v>2.15</v>
      </c>
      <c r="BR3460">
        <v>1.1200000000000001</v>
      </c>
      <c r="BS3460">
        <v>-0.72</v>
      </c>
      <c r="BT3460">
        <v>0.3</v>
      </c>
      <c r="BU3460">
        <v>-0.46</v>
      </c>
      <c r="BV3460">
        <v>-0.26</v>
      </c>
      <c r="BW3460">
        <v>-0.37</v>
      </c>
      <c r="BX3460">
        <v>0.32</v>
      </c>
      <c r="BY3460">
        <v>0.08</v>
      </c>
      <c r="BZ3460">
        <v>2.2400000000000002</v>
      </c>
      <c r="CA3460">
        <v>-0.35</v>
      </c>
      <c r="CB3460">
        <v>-0.16</v>
      </c>
      <c r="CC3460">
        <v>-0.57999999999999996</v>
      </c>
      <c r="CD3460">
        <v>0.23</v>
      </c>
      <c r="CE3460">
        <v>-0.21</v>
      </c>
      <c r="CF3460">
        <v>0.48</v>
      </c>
      <c r="CG3460">
        <v>0</v>
      </c>
      <c r="CH3460">
        <v>-0.52</v>
      </c>
      <c r="CI3460">
        <v>0</v>
      </c>
      <c r="CJ3460">
        <v>-0.8</v>
      </c>
      <c r="CK3460">
        <v>36</v>
      </c>
      <c r="CL3460">
        <v>-0.48</v>
      </c>
      <c r="CM3460">
        <v>31</v>
      </c>
      <c r="CN3460">
        <v>-0.49</v>
      </c>
      <c r="CO3460">
        <v>26</v>
      </c>
      <c r="CP3460">
        <v>-3.5</v>
      </c>
      <c r="CQ3460">
        <v>42</v>
      </c>
      <c r="CR3460">
        <v>0</v>
      </c>
      <c r="CS3460">
        <v>0</v>
      </c>
      <c r="CT3460">
        <v>-2.2000000000000002</v>
      </c>
      <c r="CU3460">
        <v>45</v>
      </c>
      <c r="CV3460">
        <v>0.09</v>
      </c>
      <c r="CW3460">
        <v>8</v>
      </c>
      <c r="CX3460" t="s">
        <v>617</v>
      </c>
    </row>
    <row r="3461" spans="1:102" x14ac:dyDescent="0.3">
      <c r="A3461" t="str">
        <f>HYPERLINK("https://webapp.icbf.com/v2/app/bull-search/view/69092005","JNY")</f>
        <v>JNY</v>
      </c>
      <c r="B3461" t="s">
        <v>12149</v>
      </c>
      <c r="C3461" t="s">
        <v>12150</v>
      </c>
      <c r="D3461" s="1">
        <v>33970</v>
      </c>
      <c r="E3461" t="s">
        <v>140</v>
      </c>
      <c r="F3461">
        <v>0</v>
      </c>
      <c r="G3461" t="s">
        <v>93</v>
      </c>
      <c r="H3461">
        <v>-38.299999999999997</v>
      </c>
      <c r="I3461">
        <v>98</v>
      </c>
      <c r="J3461">
        <v>-57.79</v>
      </c>
      <c r="K3461">
        <v>99</v>
      </c>
      <c r="L3461">
        <v>48.24</v>
      </c>
      <c r="M3461">
        <v>96</v>
      </c>
      <c r="N3461">
        <v>-42.38</v>
      </c>
      <c r="O3461">
        <v>98</v>
      </c>
      <c r="P3461">
        <v>16.899999999999999</v>
      </c>
      <c r="Q3461">
        <v>99</v>
      </c>
      <c r="R3461">
        <v>5.71</v>
      </c>
      <c r="S3461">
        <v>97</v>
      </c>
      <c r="T3461">
        <v>7.31</v>
      </c>
      <c r="U3461">
        <v>99</v>
      </c>
      <c r="V3461">
        <v>-16.29</v>
      </c>
      <c r="W3461">
        <v>97</v>
      </c>
      <c r="X3461" t="s">
        <v>94</v>
      </c>
      <c r="Y3461" t="s">
        <v>95</v>
      </c>
      <c r="Z3461">
        <v>0</v>
      </c>
      <c r="AA3461" t="s">
        <v>224</v>
      </c>
      <c r="AB3461" t="s">
        <v>12151</v>
      </c>
      <c r="AC3461">
        <v>1777</v>
      </c>
      <c r="AD3461">
        <v>740</v>
      </c>
      <c r="AE3461">
        <v>99</v>
      </c>
      <c r="AF3461">
        <v>-143.87</v>
      </c>
      <c r="AG3461">
        <v>-6.59</v>
      </c>
      <c r="AH3461">
        <v>-9.6999999999999993</v>
      </c>
      <c r="AI3461">
        <v>-0.02</v>
      </c>
      <c r="AJ3461">
        <v>-0.09</v>
      </c>
      <c r="AK3461">
        <v>96</v>
      </c>
      <c r="AL3461">
        <v>2407</v>
      </c>
      <c r="AM3461">
        <v>1147</v>
      </c>
      <c r="AN3461">
        <v>-2.4300000000000002</v>
      </c>
      <c r="AO3461">
        <v>1.42</v>
      </c>
      <c r="AP3461">
        <v>1516</v>
      </c>
      <c r="AQ3461">
        <v>35</v>
      </c>
      <c r="AR3461">
        <v>11.45</v>
      </c>
      <c r="AS3461">
        <v>94</v>
      </c>
      <c r="AT3461">
        <v>5.92</v>
      </c>
      <c r="AU3461">
        <v>98</v>
      </c>
      <c r="AV3461">
        <v>0.39</v>
      </c>
      <c r="AW3461">
        <v>99</v>
      </c>
      <c r="AX3461">
        <v>0.05</v>
      </c>
      <c r="AY3461">
        <v>99</v>
      </c>
      <c r="AZ3461">
        <v>5.27</v>
      </c>
      <c r="BA3461">
        <v>94</v>
      </c>
      <c r="BB3461">
        <v>4.13</v>
      </c>
      <c r="BC3461">
        <v>97</v>
      </c>
      <c r="BD3461">
        <v>0.04</v>
      </c>
      <c r="BE3461">
        <v>-0.02</v>
      </c>
      <c r="BF3461">
        <v>-0.16</v>
      </c>
      <c r="BG3461">
        <v>99</v>
      </c>
      <c r="BH3461">
        <v>-0.44</v>
      </c>
      <c r="BI3461">
        <v>1.66</v>
      </c>
      <c r="BJ3461">
        <v>5</v>
      </c>
      <c r="BK3461">
        <v>4</v>
      </c>
      <c r="BL3461">
        <v>-0.62</v>
      </c>
      <c r="BM3461">
        <v>5.12</v>
      </c>
      <c r="BN3461">
        <v>-0.8</v>
      </c>
      <c r="BO3461">
        <v>-3.45</v>
      </c>
      <c r="BP3461">
        <v>6.67</v>
      </c>
      <c r="BQ3461">
        <v>-1.5</v>
      </c>
      <c r="BR3461">
        <v>-2.06</v>
      </c>
      <c r="BS3461">
        <v>-0.16</v>
      </c>
      <c r="BT3461">
        <v>2.2000000000000002</v>
      </c>
      <c r="BU3461">
        <v>-3.1</v>
      </c>
      <c r="BV3461">
        <v>-3.54</v>
      </c>
      <c r="BW3461">
        <v>-2.99</v>
      </c>
      <c r="BX3461">
        <v>-2.78</v>
      </c>
      <c r="BY3461">
        <v>-0.66</v>
      </c>
      <c r="BZ3461">
        <v>1.46</v>
      </c>
      <c r="CA3461">
        <v>-2.78</v>
      </c>
      <c r="CB3461">
        <v>-3.56</v>
      </c>
      <c r="CC3461">
        <v>-0.26</v>
      </c>
      <c r="CD3461">
        <v>4.91</v>
      </c>
      <c r="CE3461">
        <v>-4.1500000000000004</v>
      </c>
      <c r="CF3461">
        <v>-1.5</v>
      </c>
      <c r="CG3461">
        <v>0</v>
      </c>
      <c r="CH3461">
        <v>-3.25</v>
      </c>
      <c r="CI3461">
        <v>0</v>
      </c>
      <c r="CJ3461">
        <v>8.1</v>
      </c>
      <c r="CK3461">
        <v>99</v>
      </c>
      <c r="CL3461">
        <v>0.46</v>
      </c>
      <c r="CM3461">
        <v>99</v>
      </c>
      <c r="CN3461">
        <v>-0.04</v>
      </c>
      <c r="CO3461">
        <v>99</v>
      </c>
      <c r="CP3461">
        <v>3.4</v>
      </c>
      <c r="CQ3461">
        <v>99</v>
      </c>
      <c r="CR3461">
        <v>0</v>
      </c>
      <c r="CS3461">
        <v>0</v>
      </c>
      <c r="CT3461">
        <v>3.9</v>
      </c>
      <c r="CU3461">
        <v>99</v>
      </c>
      <c r="CV3461">
        <v>0.12</v>
      </c>
      <c r="CW3461">
        <v>46</v>
      </c>
      <c r="CX3461" t="s">
        <v>1179</v>
      </c>
    </row>
    <row r="3462" spans="1:102" x14ac:dyDescent="0.3">
      <c r="A3462" t="str">
        <f>HYPERLINK("https://webapp.icbf.com/v2/app/bull-search/view/669004641","S686")</f>
        <v>S686</v>
      </c>
      <c r="B3462" t="s">
        <v>12436</v>
      </c>
      <c r="C3462" t="s">
        <v>9220</v>
      </c>
      <c r="D3462" s="1">
        <v>37215</v>
      </c>
      <c r="E3462" t="s">
        <v>197</v>
      </c>
      <c r="F3462">
        <v>0</v>
      </c>
      <c r="G3462" t="s">
        <v>93</v>
      </c>
      <c r="H3462">
        <v>-38.47</v>
      </c>
      <c r="I3462">
        <v>51</v>
      </c>
      <c r="J3462">
        <v>-24.4</v>
      </c>
      <c r="K3462">
        <v>79</v>
      </c>
      <c r="L3462">
        <v>6.12</v>
      </c>
      <c r="M3462">
        <v>29</v>
      </c>
      <c r="N3462">
        <v>-28.88</v>
      </c>
      <c r="O3462">
        <v>51</v>
      </c>
      <c r="P3462">
        <v>4.49</v>
      </c>
      <c r="Q3462">
        <v>69</v>
      </c>
      <c r="R3462">
        <v>-3.54</v>
      </c>
      <c r="S3462">
        <v>34</v>
      </c>
      <c r="T3462">
        <v>12.72</v>
      </c>
      <c r="U3462">
        <v>32</v>
      </c>
      <c r="V3462">
        <v>-4.9800000000000004</v>
      </c>
      <c r="W3462">
        <v>20</v>
      </c>
      <c r="X3462" t="s">
        <v>94</v>
      </c>
      <c r="Y3462" t="s">
        <v>1494</v>
      </c>
      <c r="Z3462">
        <v>0</v>
      </c>
      <c r="AA3462" t="s">
        <v>12437</v>
      </c>
      <c r="AB3462" t="s">
        <v>12438</v>
      </c>
      <c r="AC3462">
        <v>15</v>
      </c>
      <c r="AD3462">
        <v>2</v>
      </c>
      <c r="AE3462">
        <v>79</v>
      </c>
      <c r="AF3462">
        <v>-191.62</v>
      </c>
      <c r="AG3462">
        <v>-8.6300000000000008</v>
      </c>
      <c r="AH3462">
        <v>-4.03</v>
      </c>
      <c r="AI3462">
        <v>-0.02</v>
      </c>
      <c r="AJ3462">
        <v>0.04</v>
      </c>
      <c r="AK3462">
        <v>29</v>
      </c>
      <c r="AL3462">
        <v>14</v>
      </c>
      <c r="AM3462">
        <v>2</v>
      </c>
      <c r="AN3462">
        <v>-0.99</v>
      </c>
      <c r="AO3462">
        <v>-0.51</v>
      </c>
      <c r="AP3462">
        <v>26</v>
      </c>
      <c r="AQ3462">
        <v>0</v>
      </c>
      <c r="AR3462">
        <v>7.19</v>
      </c>
      <c r="AS3462">
        <v>30</v>
      </c>
      <c r="AT3462">
        <v>6.18</v>
      </c>
      <c r="AU3462">
        <v>39</v>
      </c>
      <c r="AV3462">
        <v>0.13</v>
      </c>
      <c r="AW3462">
        <v>79</v>
      </c>
      <c r="AX3462">
        <v>1.73</v>
      </c>
      <c r="AY3462">
        <v>41</v>
      </c>
      <c r="AZ3462">
        <v>6.1</v>
      </c>
      <c r="BA3462">
        <v>16</v>
      </c>
      <c r="BB3462">
        <v>3.31</v>
      </c>
      <c r="BC3462">
        <v>19</v>
      </c>
      <c r="BD3462">
        <v>0.02</v>
      </c>
      <c r="BE3462">
        <v>0.02</v>
      </c>
      <c r="BF3462">
        <v>0.01</v>
      </c>
      <c r="BG3462">
        <v>40</v>
      </c>
      <c r="BH3462">
        <v>-0.16</v>
      </c>
      <c r="BI3462">
        <v>-2.4300000000000002</v>
      </c>
      <c r="BJ3462">
        <v>0</v>
      </c>
      <c r="BK3462">
        <v>0</v>
      </c>
      <c r="BL3462">
        <v>0</v>
      </c>
      <c r="BM3462">
        <v>0</v>
      </c>
      <c r="BN3462">
        <v>0</v>
      </c>
      <c r="BO3462">
        <v>0</v>
      </c>
      <c r="BP3462">
        <v>0</v>
      </c>
      <c r="BQ3462">
        <v>0</v>
      </c>
      <c r="BR3462">
        <v>0</v>
      </c>
      <c r="BS3462">
        <v>0</v>
      </c>
      <c r="BT3462">
        <v>0</v>
      </c>
      <c r="BU3462">
        <v>0</v>
      </c>
      <c r="BV3462">
        <v>0</v>
      </c>
      <c r="BW3462">
        <v>0</v>
      </c>
      <c r="BX3462">
        <v>0</v>
      </c>
      <c r="BY3462">
        <v>0</v>
      </c>
      <c r="BZ3462">
        <v>0</v>
      </c>
      <c r="CA3462">
        <v>0</v>
      </c>
      <c r="CB3462">
        <v>0</v>
      </c>
      <c r="CC3462">
        <v>0</v>
      </c>
      <c r="CD3462">
        <v>0</v>
      </c>
      <c r="CE3462">
        <v>0</v>
      </c>
      <c r="CF3462">
        <v>0</v>
      </c>
      <c r="CG3462">
        <v>0</v>
      </c>
      <c r="CH3462">
        <v>0</v>
      </c>
      <c r="CI3462">
        <v>0</v>
      </c>
      <c r="CJ3462">
        <v>0.8</v>
      </c>
      <c r="CK3462">
        <v>73</v>
      </c>
      <c r="CL3462">
        <v>-0.15</v>
      </c>
      <c r="CM3462">
        <v>68</v>
      </c>
      <c r="CN3462">
        <v>-0.41</v>
      </c>
      <c r="CO3462">
        <v>65</v>
      </c>
      <c r="CP3462">
        <v>0.9</v>
      </c>
      <c r="CQ3462">
        <v>53</v>
      </c>
      <c r="CR3462">
        <v>0</v>
      </c>
      <c r="CS3462">
        <v>0</v>
      </c>
      <c r="CT3462">
        <v>-3.4</v>
      </c>
      <c r="CU3462">
        <v>32</v>
      </c>
      <c r="CV3462">
        <v>-0.1</v>
      </c>
      <c r="CW3462">
        <v>20</v>
      </c>
      <c r="CX3462" t="s">
        <v>3505</v>
      </c>
    </row>
    <row r="3463" spans="1:102" x14ac:dyDescent="0.3">
      <c r="A3463" t="str">
        <f>HYPERLINK("https://webapp.icbf.com/v2/app/bull-search/view/69091693","FRA")</f>
        <v>FRA</v>
      </c>
      <c r="B3463" t="s">
        <v>3220</v>
      </c>
      <c r="C3463" t="s">
        <v>3221</v>
      </c>
      <c r="D3463" s="1">
        <v>36512</v>
      </c>
      <c r="E3463" t="s">
        <v>92</v>
      </c>
      <c r="F3463">
        <v>100</v>
      </c>
      <c r="G3463" t="s">
        <v>93</v>
      </c>
      <c r="H3463">
        <v>-38.549999999999997</v>
      </c>
      <c r="I3463">
        <v>91</v>
      </c>
      <c r="J3463">
        <v>31.47</v>
      </c>
      <c r="K3463">
        <v>98</v>
      </c>
      <c r="L3463">
        <v>-61.45</v>
      </c>
      <c r="M3463">
        <v>85</v>
      </c>
      <c r="N3463">
        <v>8.1999999999999993</v>
      </c>
      <c r="O3463">
        <v>90</v>
      </c>
      <c r="P3463">
        <v>-11.15</v>
      </c>
      <c r="Q3463">
        <v>96</v>
      </c>
      <c r="R3463">
        <v>-10.220000000000001</v>
      </c>
      <c r="S3463">
        <v>84</v>
      </c>
      <c r="T3463">
        <v>6.8</v>
      </c>
      <c r="U3463">
        <v>93</v>
      </c>
      <c r="V3463">
        <v>-2.2000000000000002</v>
      </c>
      <c r="W3463">
        <v>79</v>
      </c>
      <c r="X3463" t="s">
        <v>94</v>
      </c>
      <c r="Y3463" t="s">
        <v>95</v>
      </c>
      <c r="Z3463" t="s">
        <v>96</v>
      </c>
      <c r="AA3463" t="s">
        <v>3222</v>
      </c>
      <c r="AB3463" t="s">
        <v>3223</v>
      </c>
      <c r="AC3463">
        <v>198</v>
      </c>
      <c r="AD3463">
        <v>164</v>
      </c>
      <c r="AE3463">
        <v>98</v>
      </c>
      <c r="AF3463">
        <v>231.69</v>
      </c>
      <c r="AG3463">
        <v>3.84</v>
      </c>
      <c r="AH3463">
        <v>7.54</v>
      </c>
      <c r="AI3463">
        <v>-0.09</v>
      </c>
      <c r="AJ3463">
        <v>-0.01</v>
      </c>
      <c r="AK3463">
        <v>85</v>
      </c>
      <c r="AL3463">
        <v>223</v>
      </c>
      <c r="AM3463">
        <v>172</v>
      </c>
      <c r="AN3463">
        <v>4.96</v>
      </c>
      <c r="AO3463">
        <v>0.08</v>
      </c>
      <c r="AP3463">
        <v>306</v>
      </c>
      <c r="AQ3463">
        <v>5</v>
      </c>
      <c r="AR3463">
        <v>7.47</v>
      </c>
      <c r="AS3463">
        <v>77</v>
      </c>
      <c r="AT3463">
        <v>3.22</v>
      </c>
      <c r="AU3463">
        <v>92</v>
      </c>
      <c r="AV3463">
        <v>-1.85</v>
      </c>
      <c r="AW3463">
        <v>96</v>
      </c>
      <c r="AX3463">
        <v>-0.21</v>
      </c>
      <c r="AY3463">
        <v>90</v>
      </c>
      <c r="AZ3463">
        <v>7.15</v>
      </c>
      <c r="BA3463">
        <v>74</v>
      </c>
      <c r="BB3463">
        <v>6.01</v>
      </c>
      <c r="BC3463">
        <v>80</v>
      </c>
      <c r="BD3463">
        <v>0.06</v>
      </c>
      <c r="BE3463">
        <v>0.05</v>
      </c>
      <c r="BF3463">
        <v>0.04</v>
      </c>
      <c r="BG3463">
        <v>93</v>
      </c>
      <c r="BH3463">
        <v>-0.04</v>
      </c>
      <c r="BI3463">
        <v>2.46</v>
      </c>
      <c r="BJ3463">
        <v>30</v>
      </c>
      <c r="BK3463">
        <v>21</v>
      </c>
      <c r="BL3463">
        <v>0.26</v>
      </c>
      <c r="BM3463">
        <v>-0.55000000000000004</v>
      </c>
      <c r="BN3463">
        <v>0.85</v>
      </c>
      <c r="BO3463">
        <v>0.92</v>
      </c>
      <c r="BP3463">
        <v>-1.58</v>
      </c>
      <c r="BQ3463">
        <v>-0.7</v>
      </c>
      <c r="BR3463">
        <v>-0.96</v>
      </c>
      <c r="BS3463">
        <v>1.1100000000000001</v>
      </c>
      <c r="BT3463">
        <v>1.53</v>
      </c>
      <c r="BU3463">
        <v>-0.88</v>
      </c>
      <c r="BV3463">
        <v>-0.87</v>
      </c>
      <c r="BW3463">
        <v>-1.06</v>
      </c>
      <c r="BX3463">
        <v>-1.74</v>
      </c>
      <c r="BY3463">
        <v>0.11</v>
      </c>
      <c r="BZ3463">
        <v>0.78</v>
      </c>
      <c r="CA3463">
        <v>-0.51</v>
      </c>
      <c r="CB3463">
        <v>-0.84</v>
      </c>
      <c r="CC3463">
        <v>0.92</v>
      </c>
      <c r="CD3463">
        <v>-0.74</v>
      </c>
      <c r="CE3463">
        <v>0.86</v>
      </c>
      <c r="CF3463">
        <v>0.11</v>
      </c>
      <c r="CG3463">
        <v>0</v>
      </c>
      <c r="CH3463">
        <v>-1.1000000000000001</v>
      </c>
      <c r="CI3463">
        <v>0</v>
      </c>
      <c r="CJ3463">
        <v>-3.1</v>
      </c>
      <c r="CK3463">
        <v>97</v>
      </c>
      <c r="CL3463">
        <v>-0.65</v>
      </c>
      <c r="CM3463">
        <v>96</v>
      </c>
      <c r="CN3463">
        <v>-0.06</v>
      </c>
      <c r="CO3463">
        <v>96</v>
      </c>
      <c r="CP3463">
        <v>-5.8</v>
      </c>
      <c r="CQ3463">
        <v>95</v>
      </c>
      <c r="CR3463">
        <v>0</v>
      </c>
      <c r="CS3463">
        <v>0</v>
      </c>
      <c r="CT3463">
        <v>4.5999999999999996</v>
      </c>
      <c r="CU3463">
        <v>93</v>
      </c>
      <c r="CV3463">
        <v>0.12</v>
      </c>
      <c r="CW3463">
        <v>45</v>
      </c>
      <c r="CX3463" t="s">
        <v>1106</v>
      </c>
    </row>
    <row r="3464" spans="1:102" x14ac:dyDescent="0.3">
      <c r="A3464" t="str">
        <f>HYPERLINK("https://webapp.icbf.com/v2/app/bull-search/view/660016289","S901")</f>
        <v>S901</v>
      </c>
      <c r="B3464" t="s">
        <v>12869</v>
      </c>
      <c r="C3464" t="s">
        <v>12870</v>
      </c>
      <c r="D3464" s="1">
        <v>38694</v>
      </c>
      <c r="E3464" t="s">
        <v>92</v>
      </c>
      <c r="F3464">
        <v>100</v>
      </c>
      <c r="G3464" t="s">
        <v>93</v>
      </c>
      <c r="H3464">
        <v>-38.56</v>
      </c>
      <c r="I3464">
        <v>95</v>
      </c>
      <c r="J3464">
        <v>38.81</v>
      </c>
      <c r="K3464">
        <v>99</v>
      </c>
      <c r="L3464">
        <v>-53.3</v>
      </c>
      <c r="M3464">
        <v>94</v>
      </c>
      <c r="N3464">
        <v>-26.4</v>
      </c>
      <c r="O3464">
        <v>96</v>
      </c>
      <c r="P3464">
        <v>-4.8499999999999996</v>
      </c>
      <c r="Q3464">
        <v>98</v>
      </c>
      <c r="R3464">
        <v>19.04</v>
      </c>
      <c r="S3464">
        <v>87</v>
      </c>
      <c r="T3464">
        <v>-10.67</v>
      </c>
      <c r="U3464">
        <v>95</v>
      </c>
      <c r="V3464">
        <v>-1.19</v>
      </c>
      <c r="W3464">
        <v>79</v>
      </c>
      <c r="X3464" t="s">
        <v>94</v>
      </c>
      <c r="Y3464" t="s">
        <v>303</v>
      </c>
      <c r="Z3464" t="s">
        <v>96</v>
      </c>
      <c r="AA3464" t="s">
        <v>309</v>
      </c>
      <c r="AB3464" t="s">
        <v>12871</v>
      </c>
      <c r="AC3464">
        <v>730</v>
      </c>
      <c r="AD3464">
        <v>225</v>
      </c>
      <c r="AE3464">
        <v>99</v>
      </c>
      <c r="AF3464">
        <v>353.64</v>
      </c>
      <c r="AG3464">
        <v>2.78</v>
      </c>
      <c r="AH3464">
        <v>11.03</v>
      </c>
      <c r="AI3464">
        <v>-0.18</v>
      </c>
      <c r="AJ3464">
        <v>-0.02</v>
      </c>
      <c r="AK3464">
        <v>94</v>
      </c>
      <c r="AL3464">
        <v>635</v>
      </c>
      <c r="AM3464">
        <v>213</v>
      </c>
      <c r="AN3464">
        <v>3.72</v>
      </c>
      <c r="AO3464">
        <v>-0.52</v>
      </c>
      <c r="AP3464">
        <v>1447</v>
      </c>
      <c r="AQ3464">
        <v>5</v>
      </c>
      <c r="AR3464">
        <v>10.74</v>
      </c>
      <c r="AS3464">
        <v>95</v>
      </c>
      <c r="AT3464">
        <v>4.71</v>
      </c>
      <c r="AU3464">
        <v>97</v>
      </c>
      <c r="AV3464">
        <v>-0.19</v>
      </c>
      <c r="AW3464">
        <v>99</v>
      </c>
      <c r="AX3464">
        <v>1.1399999999999999</v>
      </c>
      <c r="AY3464">
        <v>97</v>
      </c>
      <c r="AZ3464">
        <v>6.44</v>
      </c>
      <c r="BA3464">
        <v>91</v>
      </c>
      <c r="BB3464">
        <v>4.71</v>
      </c>
      <c r="BC3464">
        <v>86</v>
      </c>
      <c r="BD3464">
        <v>-0.04</v>
      </c>
      <c r="BE3464">
        <v>-0.09</v>
      </c>
      <c r="BF3464">
        <v>-0.2</v>
      </c>
      <c r="BG3464">
        <v>98</v>
      </c>
      <c r="BH3464">
        <v>-0.1</v>
      </c>
      <c r="BI3464">
        <v>-7.73</v>
      </c>
      <c r="BJ3464">
        <v>393</v>
      </c>
      <c r="BK3464">
        <v>150</v>
      </c>
      <c r="BL3464">
        <v>2.09</v>
      </c>
      <c r="BM3464">
        <v>0.4</v>
      </c>
      <c r="BN3464">
        <v>1.32</v>
      </c>
      <c r="BO3464">
        <v>1.03</v>
      </c>
      <c r="BP3464">
        <v>1.1499999999999999</v>
      </c>
      <c r="BQ3464">
        <v>1.67</v>
      </c>
      <c r="BR3464">
        <v>-0.11</v>
      </c>
      <c r="BS3464">
        <v>2.78</v>
      </c>
      <c r="BT3464">
        <v>0.97</v>
      </c>
      <c r="BU3464">
        <v>2.82</v>
      </c>
      <c r="BV3464">
        <v>3.36</v>
      </c>
      <c r="BW3464">
        <v>1.92</v>
      </c>
      <c r="BX3464">
        <v>2.06</v>
      </c>
      <c r="BY3464">
        <v>1.1499999999999999</v>
      </c>
      <c r="BZ3464">
        <v>1.03</v>
      </c>
      <c r="CA3464">
        <v>2.44</v>
      </c>
      <c r="CB3464">
        <v>2.08</v>
      </c>
      <c r="CC3464">
        <v>2.13</v>
      </c>
      <c r="CD3464">
        <v>0.09</v>
      </c>
      <c r="CE3464">
        <v>1.06</v>
      </c>
      <c r="CF3464">
        <v>2.36</v>
      </c>
      <c r="CG3464">
        <v>0</v>
      </c>
      <c r="CH3464">
        <v>1.1200000000000001</v>
      </c>
      <c r="CI3464">
        <v>0</v>
      </c>
      <c r="CJ3464">
        <v>-0.3</v>
      </c>
      <c r="CK3464">
        <v>99</v>
      </c>
      <c r="CL3464">
        <v>-1.26</v>
      </c>
      <c r="CM3464">
        <v>98</v>
      </c>
      <c r="CN3464">
        <v>-0.65</v>
      </c>
      <c r="CO3464">
        <v>98</v>
      </c>
      <c r="CP3464">
        <v>6.4</v>
      </c>
      <c r="CQ3464">
        <v>97</v>
      </c>
      <c r="CR3464">
        <v>0</v>
      </c>
      <c r="CS3464">
        <v>0</v>
      </c>
      <c r="CT3464">
        <v>28.2</v>
      </c>
      <c r="CU3464">
        <v>95</v>
      </c>
      <c r="CV3464">
        <v>0.26</v>
      </c>
      <c r="CW3464">
        <v>46</v>
      </c>
      <c r="CX3464" t="s">
        <v>311</v>
      </c>
    </row>
    <row r="3465" spans="1:102" x14ac:dyDescent="0.3">
      <c r="A3465" t="str">
        <f>HYPERLINK("https://webapp.icbf.com/v2/app/bull-search/view/423987174","MMG")</f>
        <v>MMG</v>
      </c>
      <c r="B3465" t="s">
        <v>9605</v>
      </c>
      <c r="C3465" t="s">
        <v>9606</v>
      </c>
      <c r="D3465" s="1">
        <v>37943</v>
      </c>
      <c r="E3465" t="s">
        <v>92</v>
      </c>
      <c r="F3465">
        <v>100</v>
      </c>
      <c r="G3465" t="s">
        <v>93</v>
      </c>
      <c r="H3465">
        <v>-38.58</v>
      </c>
      <c r="I3465">
        <v>73</v>
      </c>
      <c r="J3465">
        <v>34.57</v>
      </c>
      <c r="K3465">
        <v>90</v>
      </c>
      <c r="L3465">
        <v>-97.95</v>
      </c>
      <c r="M3465">
        <v>56</v>
      </c>
      <c r="N3465">
        <v>23.64</v>
      </c>
      <c r="O3465">
        <v>70</v>
      </c>
      <c r="P3465">
        <v>-10.66</v>
      </c>
      <c r="Q3465">
        <v>85</v>
      </c>
      <c r="R3465">
        <v>-3.39</v>
      </c>
      <c r="S3465">
        <v>62</v>
      </c>
      <c r="T3465">
        <v>20.63</v>
      </c>
      <c r="U3465">
        <v>80</v>
      </c>
      <c r="V3465">
        <v>-5.42</v>
      </c>
      <c r="W3465">
        <v>47</v>
      </c>
      <c r="X3465" t="s">
        <v>94</v>
      </c>
      <c r="Y3465" t="s">
        <v>1153</v>
      </c>
      <c r="Z3465" t="s">
        <v>96</v>
      </c>
      <c r="AA3465" t="s">
        <v>1380</v>
      </c>
      <c r="AB3465" t="s">
        <v>9607</v>
      </c>
      <c r="AC3465">
        <v>41</v>
      </c>
      <c r="AD3465">
        <v>37</v>
      </c>
      <c r="AE3465">
        <v>90</v>
      </c>
      <c r="AF3465">
        <v>226.72</v>
      </c>
      <c r="AG3465">
        <v>7.8</v>
      </c>
      <c r="AH3465">
        <v>6.59</v>
      </c>
      <c r="AI3465">
        <v>-0.02</v>
      </c>
      <c r="AJ3465">
        <v>-0.02</v>
      </c>
      <c r="AK3465">
        <v>56</v>
      </c>
      <c r="AL3465">
        <v>43</v>
      </c>
      <c r="AM3465">
        <v>36</v>
      </c>
      <c r="AN3465">
        <v>5.45</v>
      </c>
      <c r="AO3465">
        <v>-2.36</v>
      </c>
      <c r="AP3465">
        <v>70</v>
      </c>
      <c r="AQ3465">
        <v>1</v>
      </c>
      <c r="AR3465">
        <v>6.62</v>
      </c>
      <c r="AS3465">
        <v>51</v>
      </c>
      <c r="AT3465">
        <v>3.3</v>
      </c>
      <c r="AU3465">
        <v>69</v>
      </c>
      <c r="AV3465">
        <v>-2.52</v>
      </c>
      <c r="AW3465">
        <v>83</v>
      </c>
      <c r="AX3465">
        <v>-0.4</v>
      </c>
      <c r="AY3465">
        <v>70</v>
      </c>
      <c r="AZ3465">
        <v>5.55</v>
      </c>
      <c r="BA3465">
        <v>47</v>
      </c>
      <c r="BB3465">
        <v>4.95</v>
      </c>
      <c r="BC3465">
        <v>48</v>
      </c>
      <c r="BD3465">
        <v>0</v>
      </c>
      <c r="BE3465">
        <v>0.02</v>
      </c>
      <c r="BF3465">
        <v>0.04</v>
      </c>
      <c r="BG3465">
        <v>71</v>
      </c>
      <c r="BH3465">
        <v>0</v>
      </c>
      <c r="BI3465">
        <v>17.489999999999998</v>
      </c>
      <c r="BJ3465">
        <v>6</v>
      </c>
      <c r="BK3465">
        <v>5</v>
      </c>
      <c r="BL3465">
        <v>0.22</v>
      </c>
      <c r="BM3465">
        <v>-1.03</v>
      </c>
      <c r="BN3465">
        <v>-0.19</v>
      </c>
      <c r="BO3465">
        <v>0.6</v>
      </c>
      <c r="BP3465">
        <v>-1.28</v>
      </c>
      <c r="BQ3465">
        <v>-0.64</v>
      </c>
      <c r="BR3465">
        <v>-1.71</v>
      </c>
      <c r="BS3465">
        <v>0.33</v>
      </c>
      <c r="BT3465">
        <v>1.73</v>
      </c>
      <c r="BU3465">
        <v>-0.1</v>
      </c>
      <c r="BV3465">
        <v>0.49</v>
      </c>
      <c r="BW3465">
        <v>0.28999999999999998</v>
      </c>
      <c r="BX3465">
        <v>-0.45</v>
      </c>
      <c r="BY3465">
        <v>-0.25</v>
      </c>
      <c r="BZ3465">
        <v>0.51</v>
      </c>
      <c r="CA3465">
        <v>0.12</v>
      </c>
      <c r="CB3465">
        <v>0.11</v>
      </c>
      <c r="CC3465">
        <v>0.02</v>
      </c>
      <c r="CD3465">
        <v>-0.89</v>
      </c>
      <c r="CE3465">
        <v>0.53</v>
      </c>
      <c r="CF3465">
        <v>-0.34</v>
      </c>
      <c r="CG3465">
        <v>0</v>
      </c>
      <c r="CH3465">
        <v>1</v>
      </c>
      <c r="CI3465">
        <v>0</v>
      </c>
      <c r="CJ3465">
        <v>-3.1</v>
      </c>
      <c r="CK3465">
        <v>86</v>
      </c>
      <c r="CL3465">
        <v>-0.71</v>
      </c>
      <c r="CM3465">
        <v>83</v>
      </c>
      <c r="CN3465">
        <v>-0.15</v>
      </c>
      <c r="CO3465">
        <v>81</v>
      </c>
      <c r="CP3465">
        <v>-5.4</v>
      </c>
      <c r="CQ3465">
        <v>84</v>
      </c>
      <c r="CR3465">
        <v>0</v>
      </c>
      <c r="CS3465">
        <v>0</v>
      </c>
      <c r="CT3465">
        <v>-14.1</v>
      </c>
      <c r="CU3465">
        <v>80</v>
      </c>
      <c r="CV3465">
        <v>0.18</v>
      </c>
      <c r="CW3465">
        <v>24</v>
      </c>
      <c r="CX3465" t="s">
        <v>9608</v>
      </c>
    </row>
    <row r="3466" spans="1:102" x14ac:dyDescent="0.3">
      <c r="A3466" t="str">
        <f>HYPERLINK("https://webapp.icbf.com/v2/app/bull-search/view/77855137","MGN")</f>
        <v>MGN</v>
      </c>
      <c r="B3466" t="s">
        <v>8131</v>
      </c>
      <c r="C3466" t="s">
        <v>8132</v>
      </c>
      <c r="D3466" s="1">
        <v>31702</v>
      </c>
      <c r="E3466" t="s">
        <v>108</v>
      </c>
      <c r="F3466">
        <v>25</v>
      </c>
      <c r="G3466" t="s">
        <v>93</v>
      </c>
      <c r="H3466">
        <v>-38.61</v>
      </c>
      <c r="I3466">
        <v>54</v>
      </c>
      <c r="J3466">
        <v>-4.41</v>
      </c>
      <c r="K3466">
        <v>67</v>
      </c>
      <c r="L3466">
        <v>-15.86</v>
      </c>
      <c r="M3466">
        <v>53</v>
      </c>
      <c r="N3466">
        <v>4.1399999999999997</v>
      </c>
      <c r="O3466">
        <v>30</v>
      </c>
      <c r="P3466">
        <v>-28.47</v>
      </c>
      <c r="Q3466">
        <v>59</v>
      </c>
      <c r="R3466">
        <v>-12.74</v>
      </c>
      <c r="S3466">
        <v>52</v>
      </c>
      <c r="T3466">
        <v>22.41</v>
      </c>
      <c r="U3466">
        <v>44</v>
      </c>
      <c r="V3466">
        <v>-3.68</v>
      </c>
      <c r="W3466">
        <v>18</v>
      </c>
      <c r="X3466" t="s">
        <v>94</v>
      </c>
      <c r="Y3466" t="s">
        <v>95</v>
      </c>
      <c r="Z3466" t="s">
        <v>96</v>
      </c>
      <c r="AA3466" t="s">
        <v>8133</v>
      </c>
      <c r="AB3466" t="s">
        <v>8134</v>
      </c>
      <c r="AC3466">
        <v>14</v>
      </c>
      <c r="AD3466">
        <v>11</v>
      </c>
      <c r="AE3466">
        <v>67</v>
      </c>
      <c r="AF3466">
        <v>-93.76</v>
      </c>
      <c r="AG3466">
        <v>0.1</v>
      </c>
      <c r="AH3466">
        <v>-2.2200000000000002</v>
      </c>
      <c r="AI3466">
        <v>0.06</v>
      </c>
      <c r="AJ3466">
        <v>0.02</v>
      </c>
      <c r="AK3466">
        <v>53</v>
      </c>
      <c r="AL3466">
        <v>62</v>
      </c>
      <c r="AM3466">
        <v>39</v>
      </c>
      <c r="AN3466">
        <v>0.48</v>
      </c>
      <c r="AO3466">
        <v>-0.79</v>
      </c>
      <c r="AP3466">
        <v>3</v>
      </c>
      <c r="AQ3466">
        <v>0</v>
      </c>
      <c r="AR3466">
        <v>5.19</v>
      </c>
      <c r="AS3466">
        <v>24</v>
      </c>
      <c r="AT3466">
        <v>2.23</v>
      </c>
      <c r="AU3466">
        <v>25</v>
      </c>
      <c r="AV3466">
        <v>0.25</v>
      </c>
      <c r="AW3466">
        <v>34</v>
      </c>
      <c r="AX3466">
        <v>0.64</v>
      </c>
      <c r="AY3466">
        <v>43</v>
      </c>
      <c r="AZ3466">
        <v>7.33</v>
      </c>
      <c r="BA3466">
        <v>14</v>
      </c>
      <c r="BB3466">
        <v>5.64</v>
      </c>
      <c r="BC3466">
        <v>23</v>
      </c>
      <c r="BD3466">
        <v>0.09</v>
      </c>
      <c r="BE3466">
        <v>7.0000000000000007E-2</v>
      </c>
      <c r="BF3466">
        <v>0.01</v>
      </c>
      <c r="BG3466">
        <v>74</v>
      </c>
      <c r="BH3466">
        <v>0.06</v>
      </c>
      <c r="BI3466">
        <v>18.8</v>
      </c>
      <c r="BJ3466">
        <v>4</v>
      </c>
      <c r="BK3466">
        <v>4</v>
      </c>
      <c r="BL3466">
        <v>-2.75</v>
      </c>
      <c r="BM3466">
        <v>0.68</v>
      </c>
      <c r="BN3466">
        <v>-2.52</v>
      </c>
      <c r="BO3466">
        <v>-2.52</v>
      </c>
      <c r="BP3466">
        <v>0.8</v>
      </c>
      <c r="BQ3466">
        <v>-1.31</v>
      </c>
      <c r="BR3466">
        <v>-0.03</v>
      </c>
      <c r="BS3466">
        <v>-0.69</v>
      </c>
      <c r="BT3466">
        <v>-0.72</v>
      </c>
      <c r="BU3466">
        <v>-1.56</v>
      </c>
      <c r="BV3466">
        <v>-1.79</v>
      </c>
      <c r="BW3466">
        <v>-2.02</v>
      </c>
      <c r="BX3466">
        <v>-2.0499999999999998</v>
      </c>
      <c r="BY3466">
        <v>-1.18</v>
      </c>
      <c r="BZ3466">
        <v>-0.73</v>
      </c>
      <c r="CA3466">
        <v>-2.41</v>
      </c>
      <c r="CB3466">
        <v>-2.12</v>
      </c>
      <c r="CC3466">
        <v>-2.13</v>
      </c>
      <c r="CD3466">
        <v>2.0499999999999998</v>
      </c>
      <c r="CE3466">
        <v>-2.73</v>
      </c>
      <c r="CF3466">
        <v>-3.34</v>
      </c>
      <c r="CG3466">
        <v>0</v>
      </c>
      <c r="CH3466">
        <v>-1.0900000000000001</v>
      </c>
      <c r="CI3466">
        <v>0</v>
      </c>
      <c r="CJ3466">
        <v>-13.4</v>
      </c>
      <c r="CK3466">
        <v>63</v>
      </c>
      <c r="CL3466">
        <v>-0.27</v>
      </c>
      <c r="CM3466">
        <v>56</v>
      </c>
      <c r="CN3466">
        <v>0.38</v>
      </c>
      <c r="CO3466">
        <v>53</v>
      </c>
      <c r="CP3466">
        <v>-18.3</v>
      </c>
      <c r="CQ3466">
        <v>51</v>
      </c>
      <c r="CR3466">
        <v>0</v>
      </c>
      <c r="CS3466">
        <v>0</v>
      </c>
      <c r="CT3466">
        <v>-16.5</v>
      </c>
      <c r="CU3466">
        <v>44</v>
      </c>
      <c r="CV3466">
        <v>-0.15</v>
      </c>
      <c r="CW3466">
        <v>17</v>
      </c>
      <c r="CX3466" t="s">
        <v>609</v>
      </c>
    </row>
    <row r="3467" spans="1:102" x14ac:dyDescent="0.3">
      <c r="A3467" t="str">
        <f>HYPERLINK("https://webapp.icbf.com/v2/app/bull-search/view/514790048","S509")</f>
        <v>S509</v>
      </c>
      <c r="B3467" t="s">
        <v>15061</v>
      </c>
      <c r="C3467" t="s">
        <v>10204</v>
      </c>
      <c r="D3467" s="1">
        <v>35560</v>
      </c>
      <c r="E3467" t="s">
        <v>197</v>
      </c>
      <c r="F3467">
        <v>0</v>
      </c>
      <c r="G3467" t="s">
        <v>116</v>
      </c>
      <c r="H3467">
        <v>-38.630000000000003</v>
      </c>
      <c r="I3467">
        <v>41</v>
      </c>
      <c r="J3467">
        <v>-41.92</v>
      </c>
      <c r="K3467">
        <v>49</v>
      </c>
      <c r="L3467">
        <v>27.83</v>
      </c>
      <c r="M3467">
        <v>26</v>
      </c>
      <c r="N3467">
        <v>-40.57</v>
      </c>
      <c r="O3467">
        <v>50</v>
      </c>
      <c r="P3467">
        <v>28.87</v>
      </c>
      <c r="Q3467">
        <v>69</v>
      </c>
      <c r="R3467">
        <v>-1.84</v>
      </c>
      <c r="S3467">
        <v>27</v>
      </c>
      <c r="T3467">
        <v>-5.12</v>
      </c>
      <c r="U3467">
        <v>47</v>
      </c>
      <c r="V3467">
        <v>-5.88</v>
      </c>
      <c r="W3467">
        <v>18</v>
      </c>
      <c r="X3467" t="s">
        <v>198</v>
      </c>
      <c r="Y3467" t="s">
        <v>199</v>
      </c>
      <c r="Z3467">
        <v>0</v>
      </c>
      <c r="AA3467" t="s">
        <v>10559</v>
      </c>
      <c r="AB3467" t="s">
        <v>15062</v>
      </c>
      <c r="AC3467">
        <v>5</v>
      </c>
      <c r="AD3467">
        <v>3</v>
      </c>
      <c r="AE3467">
        <v>49</v>
      </c>
      <c r="AF3467">
        <v>-331.68</v>
      </c>
      <c r="AG3467">
        <v>-11.07</v>
      </c>
      <c r="AH3467">
        <v>-8.2899999999999991</v>
      </c>
      <c r="AI3467">
        <v>0.03</v>
      </c>
      <c r="AJ3467">
        <v>0.05</v>
      </c>
      <c r="AK3467">
        <v>26</v>
      </c>
      <c r="AL3467">
        <v>4</v>
      </c>
      <c r="AM3467">
        <v>2</v>
      </c>
      <c r="AN3467">
        <v>-3.83</v>
      </c>
      <c r="AO3467">
        <v>-1.64</v>
      </c>
      <c r="AP3467">
        <v>23</v>
      </c>
      <c r="AQ3467">
        <v>0</v>
      </c>
      <c r="AR3467">
        <v>6.98</v>
      </c>
      <c r="AS3467">
        <v>17</v>
      </c>
      <c r="AT3467">
        <v>6.33</v>
      </c>
      <c r="AU3467">
        <v>47</v>
      </c>
      <c r="AV3467">
        <v>2.0299999999999998</v>
      </c>
      <c r="AW3467">
        <v>75</v>
      </c>
      <c r="AX3467">
        <v>0.17</v>
      </c>
      <c r="AY3467">
        <v>42</v>
      </c>
      <c r="AZ3467">
        <v>5.56</v>
      </c>
      <c r="BA3467">
        <v>17</v>
      </c>
      <c r="BB3467">
        <v>3.34</v>
      </c>
      <c r="BC3467">
        <v>16</v>
      </c>
      <c r="BD3467">
        <v>0.02</v>
      </c>
      <c r="BE3467">
        <v>0.01</v>
      </c>
      <c r="BF3467">
        <v>-0.01</v>
      </c>
      <c r="BG3467">
        <v>34</v>
      </c>
      <c r="BH3467">
        <v>-0.15</v>
      </c>
      <c r="BI3467">
        <v>1.6</v>
      </c>
      <c r="BJ3467">
        <v>0</v>
      </c>
      <c r="BK3467">
        <v>0</v>
      </c>
      <c r="BL3467">
        <v>-1.2</v>
      </c>
      <c r="BM3467">
        <v>0.87</v>
      </c>
      <c r="BN3467">
        <v>-1.1499999999999999</v>
      </c>
      <c r="BO3467">
        <v>-1.47</v>
      </c>
      <c r="BP3467">
        <v>0.53</v>
      </c>
      <c r="BQ3467">
        <v>0</v>
      </c>
      <c r="BR3467">
        <v>-0.39</v>
      </c>
      <c r="BS3467">
        <v>0.2</v>
      </c>
      <c r="BT3467">
        <v>0.03</v>
      </c>
      <c r="BU3467">
        <v>-1</v>
      </c>
      <c r="BV3467">
        <v>-1.38</v>
      </c>
      <c r="BW3467">
        <v>-1.35</v>
      </c>
      <c r="BX3467">
        <v>-0.62</v>
      </c>
      <c r="BY3467">
        <v>-1.36</v>
      </c>
      <c r="BZ3467">
        <v>7.0000000000000007E-2</v>
      </c>
      <c r="CA3467">
        <v>-1.36</v>
      </c>
      <c r="CB3467">
        <v>-1.43</v>
      </c>
      <c r="CC3467">
        <v>-0.74</v>
      </c>
      <c r="CD3467">
        <v>1.27</v>
      </c>
      <c r="CE3467">
        <v>-1.55</v>
      </c>
      <c r="CF3467">
        <v>-1.17</v>
      </c>
      <c r="CG3467">
        <v>0</v>
      </c>
      <c r="CH3467">
        <v>-1.27</v>
      </c>
      <c r="CI3467">
        <v>0</v>
      </c>
      <c r="CJ3467">
        <v>16.8</v>
      </c>
      <c r="CK3467">
        <v>72</v>
      </c>
      <c r="CL3467">
        <v>0.34</v>
      </c>
      <c r="CM3467">
        <v>68</v>
      </c>
      <c r="CN3467">
        <v>0.01</v>
      </c>
      <c r="CO3467">
        <v>65</v>
      </c>
      <c r="CP3467">
        <v>15.3</v>
      </c>
      <c r="CQ3467">
        <v>54</v>
      </c>
      <c r="CR3467">
        <v>0</v>
      </c>
      <c r="CS3467">
        <v>0</v>
      </c>
      <c r="CT3467">
        <v>20.7</v>
      </c>
      <c r="CU3467">
        <v>47</v>
      </c>
      <c r="CV3467">
        <v>0.14000000000000001</v>
      </c>
      <c r="CW3467">
        <v>19</v>
      </c>
      <c r="CX3467" t="s">
        <v>15063</v>
      </c>
    </row>
    <row r="3468" spans="1:102" x14ac:dyDescent="0.3">
      <c r="A3468" t="str">
        <f>HYPERLINK("https://webapp.icbf.com/v2/app/bull-search/view/77858092","EAE")</f>
        <v>EAE</v>
      </c>
      <c r="B3468" t="s">
        <v>907</v>
      </c>
      <c r="C3468" t="s">
        <v>908</v>
      </c>
      <c r="D3468" s="1">
        <v>33794</v>
      </c>
      <c r="E3468" t="s">
        <v>92</v>
      </c>
      <c r="F3468">
        <v>66</v>
      </c>
      <c r="G3468" t="s">
        <v>93</v>
      </c>
      <c r="H3468">
        <v>-38.65</v>
      </c>
      <c r="I3468">
        <v>80</v>
      </c>
      <c r="J3468">
        <v>-58.65</v>
      </c>
      <c r="K3468">
        <v>95</v>
      </c>
      <c r="L3468">
        <v>7.66</v>
      </c>
      <c r="M3468">
        <v>76</v>
      </c>
      <c r="N3468">
        <v>-3.87</v>
      </c>
      <c r="O3468">
        <v>64</v>
      </c>
      <c r="P3468">
        <v>-3.03</v>
      </c>
      <c r="Q3468">
        <v>80</v>
      </c>
      <c r="R3468">
        <v>13.02</v>
      </c>
      <c r="S3468">
        <v>75</v>
      </c>
      <c r="T3468">
        <v>4.13</v>
      </c>
      <c r="U3468">
        <v>73</v>
      </c>
      <c r="V3468">
        <v>2.09</v>
      </c>
      <c r="W3468">
        <v>56</v>
      </c>
      <c r="X3468" t="s">
        <v>102</v>
      </c>
      <c r="Y3468" t="s">
        <v>95</v>
      </c>
      <c r="Z3468" t="s">
        <v>96</v>
      </c>
      <c r="AA3468" t="s">
        <v>909</v>
      </c>
      <c r="AB3468" t="s">
        <v>910</v>
      </c>
      <c r="AC3468">
        <v>75</v>
      </c>
      <c r="AD3468">
        <v>56</v>
      </c>
      <c r="AE3468">
        <v>95</v>
      </c>
      <c r="AF3468">
        <v>-314.54000000000002</v>
      </c>
      <c r="AG3468">
        <v>-8.73</v>
      </c>
      <c r="AH3468">
        <v>-11.7</v>
      </c>
      <c r="AI3468">
        <v>7.0000000000000007E-2</v>
      </c>
      <c r="AJ3468">
        <v>-0.02</v>
      </c>
      <c r="AK3468">
        <v>76</v>
      </c>
      <c r="AL3468">
        <v>113</v>
      </c>
      <c r="AM3468">
        <v>79</v>
      </c>
      <c r="AN3468">
        <v>-2.0099999999999998</v>
      </c>
      <c r="AO3468">
        <v>-1.42</v>
      </c>
      <c r="AP3468">
        <v>1</v>
      </c>
      <c r="AQ3468">
        <v>0</v>
      </c>
      <c r="AR3468">
        <v>6.09</v>
      </c>
      <c r="AS3468">
        <v>49</v>
      </c>
      <c r="AT3468">
        <v>3.22</v>
      </c>
      <c r="AU3468">
        <v>66</v>
      </c>
      <c r="AV3468">
        <v>0.94</v>
      </c>
      <c r="AW3468">
        <v>67</v>
      </c>
      <c r="AX3468">
        <v>-0.12</v>
      </c>
      <c r="AY3468">
        <v>75</v>
      </c>
      <c r="AZ3468">
        <v>6.12</v>
      </c>
      <c r="BA3468">
        <v>42</v>
      </c>
      <c r="BB3468">
        <v>5.0599999999999996</v>
      </c>
      <c r="BC3468">
        <v>56</v>
      </c>
      <c r="BD3468">
        <v>-0.02</v>
      </c>
      <c r="BE3468">
        <v>-0.04</v>
      </c>
      <c r="BF3468">
        <v>-0.19</v>
      </c>
      <c r="BG3468">
        <v>91</v>
      </c>
      <c r="BH3468">
        <v>0.15</v>
      </c>
      <c r="BI3468">
        <v>10.61</v>
      </c>
      <c r="BJ3468">
        <v>27</v>
      </c>
      <c r="BK3468">
        <v>25</v>
      </c>
      <c r="BL3468">
        <v>0.35</v>
      </c>
      <c r="BM3468">
        <v>1.33</v>
      </c>
      <c r="BN3468">
        <v>0.42</v>
      </c>
      <c r="BO3468">
        <v>-0.72</v>
      </c>
      <c r="BP3468">
        <v>-3.7</v>
      </c>
      <c r="BQ3468">
        <v>0.28000000000000003</v>
      </c>
      <c r="BR3468">
        <v>0.73</v>
      </c>
      <c r="BS3468">
        <v>0.02</v>
      </c>
      <c r="BT3468">
        <v>0.62</v>
      </c>
      <c r="BU3468">
        <v>0.8</v>
      </c>
      <c r="BV3468">
        <v>-0.43</v>
      </c>
      <c r="BW3468">
        <v>-0.35</v>
      </c>
      <c r="BX3468">
        <v>2.54</v>
      </c>
      <c r="BY3468">
        <v>0.13</v>
      </c>
      <c r="BZ3468">
        <v>-2.65</v>
      </c>
      <c r="CA3468">
        <v>-0.21</v>
      </c>
      <c r="CB3468">
        <v>-0.46</v>
      </c>
      <c r="CC3468">
        <v>0.05</v>
      </c>
      <c r="CD3468">
        <v>1.1299999999999999</v>
      </c>
      <c r="CE3468">
        <v>-1.41</v>
      </c>
      <c r="CF3468">
        <v>0.52</v>
      </c>
      <c r="CG3468">
        <v>0</v>
      </c>
      <c r="CH3468">
        <v>0.67</v>
      </c>
      <c r="CI3468">
        <v>0</v>
      </c>
      <c r="CJ3468">
        <v>-1.8</v>
      </c>
      <c r="CK3468">
        <v>81</v>
      </c>
      <c r="CL3468">
        <v>-0.43</v>
      </c>
      <c r="CM3468">
        <v>78</v>
      </c>
      <c r="CN3468">
        <v>-0.28999999999999998</v>
      </c>
      <c r="CO3468">
        <v>75</v>
      </c>
      <c r="CP3468">
        <v>3.3</v>
      </c>
      <c r="CQ3468">
        <v>84</v>
      </c>
      <c r="CR3468">
        <v>0</v>
      </c>
      <c r="CS3468">
        <v>0</v>
      </c>
      <c r="CT3468">
        <v>8.1999999999999993</v>
      </c>
      <c r="CU3468">
        <v>73</v>
      </c>
      <c r="CV3468">
        <v>-0.05</v>
      </c>
      <c r="CW3468">
        <v>41</v>
      </c>
      <c r="CX3468" t="s">
        <v>911</v>
      </c>
    </row>
    <row r="3469" spans="1:102" x14ac:dyDescent="0.3">
      <c r="A3469" t="str">
        <f>HYPERLINK("https://webapp.icbf.com/v2/app/bull-search/view/495514739","TYL")</f>
        <v>TYL</v>
      </c>
      <c r="B3469" t="s">
        <v>7007</v>
      </c>
      <c r="C3469" t="s">
        <v>7008</v>
      </c>
      <c r="D3469" s="1">
        <v>37284</v>
      </c>
      <c r="E3469" t="s">
        <v>92</v>
      </c>
      <c r="F3469">
        <v>100</v>
      </c>
      <c r="G3469" t="s">
        <v>93</v>
      </c>
      <c r="H3469">
        <v>-38.659999999999997</v>
      </c>
      <c r="I3469">
        <v>89</v>
      </c>
      <c r="J3469">
        <v>26.78</v>
      </c>
      <c r="K3469">
        <v>96</v>
      </c>
      <c r="L3469">
        <v>-100.86</v>
      </c>
      <c r="M3469">
        <v>89</v>
      </c>
      <c r="N3469">
        <v>14.74</v>
      </c>
      <c r="O3469">
        <v>81</v>
      </c>
      <c r="P3469">
        <v>-12.29</v>
      </c>
      <c r="Q3469">
        <v>88</v>
      </c>
      <c r="R3469">
        <v>1.41</v>
      </c>
      <c r="S3469">
        <v>81</v>
      </c>
      <c r="T3469">
        <v>28.55</v>
      </c>
      <c r="U3469">
        <v>82</v>
      </c>
      <c r="V3469">
        <v>3.01</v>
      </c>
      <c r="W3469">
        <v>70</v>
      </c>
      <c r="X3469" t="s">
        <v>102</v>
      </c>
      <c r="Y3469" t="s">
        <v>221</v>
      </c>
      <c r="Z3469" t="s">
        <v>96</v>
      </c>
      <c r="AA3469" t="s">
        <v>4102</v>
      </c>
      <c r="AB3469" t="s">
        <v>1154</v>
      </c>
      <c r="AC3469">
        <v>64</v>
      </c>
      <c r="AD3469">
        <v>28</v>
      </c>
      <c r="AE3469">
        <v>96</v>
      </c>
      <c r="AF3469">
        <v>173.26</v>
      </c>
      <c r="AG3469">
        <v>0.02</v>
      </c>
      <c r="AH3469">
        <v>7.2</v>
      </c>
      <c r="AI3469">
        <v>-0.11</v>
      </c>
      <c r="AJ3469">
        <v>0.02</v>
      </c>
      <c r="AK3469">
        <v>89</v>
      </c>
      <c r="AL3469">
        <v>63</v>
      </c>
      <c r="AM3469">
        <v>31</v>
      </c>
      <c r="AN3469">
        <v>7.35</v>
      </c>
      <c r="AO3469">
        <v>-0.67</v>
      </c>
      <c r="AP3469">
        <v>87</v>
      </c>
      <c r="AQ3469">
        <v>0</v>
      </c>
      <c r="AR3469">
        <v>6.11</v>
      </c>
      <c r="AS3469">
        <v>68</v>
      </c>
      <c r="AT3469">
        <v>2.91</v>
      </c>
      <c r="AU3469">
        <v>92</v>
      </c>
      <c r="AV3469">
        <v>-0.98</v>
      </c>
      <c r="AW3469">
        <v>88</v>
      </c>
      <c r="AX3469">
        <v>-0.84</v>
      </c>
      <c r="AY3469">
        <v>74</v>
      </c>
      <c r="AZ3469">
        <v>6.74</v>
      </c>
      <c r="BA3469">
        <v>56</v>
      </c>
      <c r="BB3469">
        <v>5.05</v>
      </c>
      <c r="BC3469">
        <v>59</v>
      </c>
      <c r="BD3469">
        <v>0.01</v>
      </c>
      <c r="BE3469">
        <v>-0.01</v>
      </c>
      <c r="BF3469">
        <v>-0.03</v>
      </c>
      <c r="BG3469">
        <v>93</v>
      </c>
      <c r="BH3469">
        <v>0.04</v>
      </c>
      <c r="BI3469">
        <v>-5.09</v>
      </c>
      <c r="BJ3469">
        <v>20</v>
      </c>
      <c r="BK3469">
        <v>9</v>
      </c>
      <c r="BL3469">
        <v>-0.42</v>
      </c>
      <c r="BM3469">
        <v>-1.49</v>
      </c>
      <c r="BN3469">
        <v>-0.56000000000000005</v>
      </c>
      <c r="BO3469">
        <v>0.76</v>
      </c>
      <c r="BP3469">
        <v>0.28999999999999998</v>
      </c>
      <c r="BQ3469">
        <v>-0.63</v>
      </c>
      <c r="BR3469">
        <v>-0.7</v>
      </c>
      <c r="BS3469">
        <v>0.63</v>
      </c>
      <c r="BT3469">
        <v>-0.43</v>
      </c>
      <c r="BU3469">
        <v>1.24</v>
      </c>
      <c r="BV3469">
        <v>1.4</v>
      </c>
      <c r="BW3469">
        <v>0.43</v>
      </c>
      <c r="BX3469">
        <v>1.07</v>
      </c>
      <c r="BY3469">
        <v>0.88</v>
      </c>
      <c r="BZ3469">
        <v>-1.83</v>
      </c>
      <c r="CA3469">
        <v>0.64</v>
      </c>
      <c r="CB3469">
        <v>1.0900000000000001</v>
      </c>
      <c r="CC3469">
        <v>-0.42</v>
      </c>
      <c r="CD3469">
        <v>-1.73</v>
      </c>
      <c r="CE3469">
        <v>0.39</v>
      </c>
      <c r="CF3469">
        <v>-1.1499999999999999</v>
      </c>
      <c r="CG3469">
        <v>0</v>
      </c>
      <c r="CH3469">
        <v>0.78</v>
      </c>
      <c r="CI3469">
        <v>0</v>
      </c>
      <c r="CJ3469">
        <v>-6.4</v>
      </c>
      <c r="CK3469">
        <v>89</v>
      </c>
      <c r="CL3469">
        <v>-0.8</v>
      </c>
      <c r="CM3469">
        <v>87</v>
      </c>
      <c r="CN3469">
        <v>-0.56999999999999995</v>
      </c>
      <c r="CO3469">
        <v>85</v>
      </c>
      <c r="CP3469">
        <v>-12.5</v>
      </c>
      <c r="CQ3469">
        <v>83</v>
      </c>
      <c r="CR3469">
        <v>0</v>
      </c>
      <c r="CS3469">
        <v>0</v>
      </c>
      <c r="CT3469">
        <v>-24.8</v>
      </c>
      <c r="CU3469">
        <v>82</v>
      </c>
      <c r="CV3469">
        <v>0.01</v>
      </c>
      <c r="CW3469">
        <v>43</v>
      </c>
      <c r="CX3469" t="s">
        <v>751</v>
      </c>
    </row>
    <row r="3470" spans="1:102" x14ac:dyDescent="0.3">
      <c r="A3470" t="str">
        <f>HYPERLINK("https://webapp.icbf.com/v2/app/bull-search/view/77858212","ELG")</f>
        <v>ELG</v>
      </c>
      <c r="B3470" t="s">
        <v>12431</v>
      </c>
      <c r="C3470" t="s">
        <v>4497</v>
      </c>
      <c r="D3470" s="1">
        <v>34170</v>
      </c>
      <c r="E3470" t="s">
        <v>92</v>
      </c>
      <c r="F3470">
        <v>78</v>
      </c>
      <c r="G3470" t="s">
        <v>93</v>
      </c>
      <c r="H3470">
        <v>-38.67</v>
      </c>
      <c r="I3470">
        <v>98</v>
      </c>
      <c r="J3470">
        <v>23.27</v>
      </c>
      <c r="K3470">
        <v>99</v>
      </c>
      <c r="L3470">
        <v>-40.08</v>
      </c>
      <c r="M3470">
        <v>96</v>
      </c>
      <c r="N3470">
        <v>2.74</v>
      </c>
      <c r="O3470">
        <v>99</v>
      </c>
      <c r="P3470">
        <v>-1.02</v>
      </c>
      <c r="Q3470">
        <v>99</v>
      </c>
      <c r="R3470">
        <v>-10.119999999999999</v>
      </c>
      <c r="S3470">
        <v>97</v>
      </c>
      <c r="T3470">
        <v>-6.6</v>
      </c>
      <c r="U3470">
        <v>99</v>
      </c>
      <c r="V3470">
        <v>-6.86</v>
      </c>
      <c r="W3470">
        <v>97</v>
      </c>
      <c r="X3470" t="s">
        <v>94</v>
      </c>
      <c r="Y3470" t="s">
        <v>95</v>
      </c>
      <c r="Z3470" t="s">
        <v>96</v>
      </c>
      <c r="AA3470" t="s">
        <v>12432</v>
      </c>
      <c r="AB3470" t="s">
        <v>8042</v>
      </c>
      <c r="AC3470">
        <v>2465</v>
      </c>
      <c r="AD3470">
        <v>1177</v>
      </c>
      <c r="AE3470">
        <v>99</v>
      </c>
      <c r="AF3470">
        <v>-212.19</v>
      </c>
      <c r="AG3470">
        <v>4.92</v>
      </c>
      <c r="AH3470">
        <v>-1.03</v>
      </c>
      <c r="AI3470">
        <v>0.24</v>
      </c>
      <c r="AJ3470">
        <v>0.11</v>
      </c>
      <c r="AK3470">
        <v>96</v>
      </c>
      <c r="AL3470">
        <v>3463</v>
      </c>
      <c r="AM3470">
        <v>1740</v>
      </c>
      <c r="AN3470">
        <v>1.92</v>
      </c>
      <c r="AO3470">
        <v>-1.28</v>
      </c>
      <c r="AP3470">
        <v>1453</v>
      </c>
      <c r="AQ3470">
        <v>10</v>
      </c>
      <c r="AR3470">
        <v>7.68</v>
      </c>
      <c r="AS3470">
        <v>96</v>
      </c>
      <c r="AT3470">
        <v>3.24</v>
      </c>
      <c r="AU3470">
        <v>99</v>
      </c>
      <c r="AV3470">
        <v>-0.93</v>
      </c>
      <c r="AW3470">
        <v>99</v>
      </c>
      <c r="AX3470">
        <v>-0.28999999999999998</v>
      </c>
      <c r="AY3470">
        <v>99</v>
      </c>
      <c r="AZ3470">
        <v>7.37</v>
      </c>
      <c r="BA3470">
        <v>96</v>
      </c>
      <c r="BB3470">
        <v>5.53</v>
      </c>
      <c r="BC3470">
        <v>98</v>
      </c>
      <c r="BD3470">
        <v>0.13</v>
      </c>
      <c r="BE3470">
        <v>0.04</v>
      </c>
      <c r="BF3470">
        <v>-0.06</v>
      </c>
      <c r="BG3470">
        <v>99</v>
      </c>
      <c r="BH3470">
        <v>-0.22</v>
      </c>
      <c r="BI3470">
        <v>-3.32</v>
      </c>
      <c r="BJ3470">
        <v>112</v>
      </c>
      <c r="BK3470">
        <v>81</v>
      </c>
      <c r="BL3470">
        <v>7.0000000000000007E-2</v>
      </c>
      <c r="BM3470">
        <v>3.77</v>
      </c>
      <c r="BN3470">
        <v>1.84</v>
      </c>
      <c r="BO3470">
        <v>-1.31</v>
      </c>
      <c r="BP3470">
        <v>-2.4900000000000002</v>
      </c>
      <c r="BQ3470">
        <v>1.08</v>
      </c>
      <c r="BR3470">
        <v>-0.86</v>
      </c>
      <c r="BS3470">
        <v>-0.31</v>
      </c>
      <c r="BT3470">
        <v>1.61</v>
      </c>
      <c r="BU3470">
        <v>-0.95</v>
      </c>
      <c r="BV3470">
        <v>-1.58</v>
      </c>
      <c r="BW3470">
        <v>-1.88</v>
      </c>
      <c r="BX3470">
        <v>-0.82</v>
      </c>
      <c r="BY3470">
        <v>-2.38</v>
      </c>
      <c r="BZ3470">
        <v>2.7</v>
      </c>
      <c r="CA3470">
        <v>-2</v>
      </c>
      <c r="CB3470">
        <v>-2.0299999999999998</v>
      </c>
      <c r="CC3470">
        <v>-0.71</v>
      </c>
      <c r="CD3470">
        <v>2.2200000000000002</v>
      </c>
      <c r="CE3470">
        <v>-1.81</v>
      </c>
      <c r="CF3470">
        <v>0.61</v>
      </c>
      <c r="CG3470">
        <v>0</v>
      </c>
      <c r="CH3470">
        <v>-2.44</v>
      </c>
      <c r="CI3470">
        <v>0</v>
      </c>
      <c r="CJ3470">
        <v>1.6</v>
      </c>
      <c r="CK3470">
        <v>99</v>
      </c>
      <c r="CL3470">
        <v>-0.51</v>
      </c>
      <c r="CM3470">
        <v>99</v>
      </c>
      <c r="CN3470">
        <v>-0.12</v>
      </c>
      <c r="CO3470">
        <v>99</v>
      </c>
      <c r="CP3470">
        <v>4.2</v>
      </c>
      <c r="CQ3470">
        <v>99</v>
      </c>
      <c r="CR3470">
        <v>0</v>
      </c>
      <c r="CS3470">
        <v>0</v>
      </c>
      <c r="CT3470">
        <v>22.7</v>
      </c>
      <c r="CU3470">
        <v>99</v>
      </c>
      <c r="CV3470">
        <v>0.15</v>
      </c>
      <c r="CW3470">
        <v>47</v>
      </c>
      <c r="CX3470" t="s">
        <v>3720</v>
      </c>
    </row>
    <row r="3471" spans="1:102" x14ac:dyDescent="0.3">
      <c r="A3471" t="str">
        <f>HYPERLINK("https://webapp.icbf.com/v2/app/bull-search/view/540489980","S551")</f>
        <v>S551</v>
      </c>
      <c r="B3471" t="s">
        <v>9988</v>
      </c>
      <c r="C3471" t="s">
        <v>9989</v>
      </c>
      <c r="D3471" s="1">
        <v>38778</v>
      </c>
      <c r="E3471" t="s">
        <v>92</v>
      </c>
      <c r="F3471">
        <v>100</v>
      </c>
      <c r="G3471" t="s">
        <v>93</v>
      </c>
      <c r="H3471">
        <v>-38.81</v>
      </c>
      <c r="I3471">
        <v>91</v>
      </c>
      <c r="J3471">
        <v>1.84</v>
      </c>
      <c r="K3471">
        <v>97</v>
      </c>
      <c r="L3471">
        <v>-40.68</v>
      </c>
      <c r="M3471">
        <v>89</v>
      </c>
      <c r="N3471">
        <v>0.73</v>
      </c>
      <c r="O3471">
        <v>87</v>
      </c>
      <c r="P3471">
        <v>-1</v>
      </c>
      <c r="Q3471">
        <v>91</v>
      </c>
      <c r="R3471">
        <v>3.97</v>
      </c>
      <c r="S3471">
        <v>84</v>
      </c>
      <c r="T3471">
        <v>-13.26</v>
      </c>
      <c r="U3471">
        <v>85</v>
      </c>
      <c r="V3471">
        <v>9.59</v>
      </c>
      <c r="W3471">
        <v>77</v>
      </c>
      <c r="X3471" t="s">
        <v>251</v>
      </c>
      <c r="Y3471" t="s">
        <v>1423</v>
      </c>
      <c r="Z3471" t="s">
        <v>96</v>
      </c>
      <c r="AA3471" t="s">
        <v>1752</v>
      </c>
      <c r="AB3471" t="s">
        <v>9990</v>
      </c>
      <c r="AC3471">
        <v>114</v>
      </c>
      <c r="AD3471">
        <v>51</v>
      </c>
      <c r="AE3471">
        <v>97</v>
      </c>
      <c r="AF3471">
        <v>345.08</v>
      </c>
      <c r="AG3471">
        <v>-1.23</v>
      </c>
      <c r="AH3471">
        <v>6.03</v>
      </c>
      <c r="AI3471">
        <v>-0.24</v>
      </c>
      <c r="AJ3471">
        <v>-0.09</v>
      </c>
      <c r="AK3471">
        <v>89</v>
      </c>
      <c r="AL3471">
        <v>112</v>
      </c>
      <c r="AM3471">
        <v>51</v>
      </c>
      <c r="AN3471">
        <v>3.32</v>
      </c>
      <c r="AO3471">
        <v>0.09</v>
      </c>
      <c r="AP3471">
        <v>220</v>
      </c>
      <c r="AQ3471">
        <v>0</v>
      </c>
      <c r="AR3471">
        <v>8.9600000000000009</v>
      </c>
      <c r="AS3471">
        <v>82</v>
      </c>
      <c r="AT3471">
        <v>4.07</v>
      </c>
      <c r="AU3471">
        <v>91</v>
      </c>
      <c r="AV3471">
        <v>-2.38</v>
      </c>
      <c r="AW3471">
        <v>94</v>
      </c>
      <c r="AX3471">
        <v>7.0000000000000007E-2</v>
      </c>
      <c r="AY3471">
        <v>83</v>
      </c>
      <c r="AZ3471">
        <v>7.02</v>
      </c>
      <c r="BA3471">
        <v>67</v>
      </c>
      <c r="BB3471">
        <v>5.77</v>
      </c>
      <c r="BC3471">
        <v>67</v>
      </c>
      <c r="BD3471">
        <v>0.01</v>
      </c>
      <c r="BE3471">
        <v>-0.02</v>
      </c>
      <c r="BF3471">
        <v>-7.0000000000000007E-2</v>
      </c>
      <c r="BG3471">
        <v>94</v>
      </c>
      <c r="BH3471">
        <v>0.18</v>
      </c>
      <c r="BI3471">
        <v>-10.11</v>
      </c>
      <c r="BJ3471">
        <v>71</v>
      </c>
      <c r="BK3471">
        <v>34</v>
      </c>
      <c r="BL3471">
        <v>1.65</v>
      </c>
      <c r="BM3471">
        <v>-0.62</v>
      </c>
      <c r="BN3471">
        <v>7.0000000000000007E-2</v>
      </c>
      <c r="BO3471">
        <v>0.97</v>
      </c>
      <c r="BP3471">
        <v>0.72</v>
      </c>
      <c r="BQ3471">
        <v>2.85</v>
      </c>
      <c r="BR3471">
        <v>0.81</v>
      </c>
      <c r="BS3471">
        <v>-1.84</v>
      </c>
      <c r="BT3471">
        <v>-0.97</v>
      </c>
      <c r="BU3471">
        <v>2.1800000000000002</v>
      </c>
      <c r="BV3471">
        <v>1.75</v>
      </c>
      <c r="BW3471">
        <v>0.34</v>
      </c>
      <c r="BX3471">
        <v>2.13</v>
      </c>
      <c r="BY3471">
        <v>0.14000000000000001</v>
      </c>
      <c r="BZ3471">
        <v>0.32</v>
      </c>
      <c r="CA3471">
        <v>0.83</v>
      </c>
      <c r="CB3471">
        <v>1.34</v>
      </c>
      <c r="CC3471">
        <v>-0.56000000000000005</v>
      </c>
      <c r="CD3471">
        <v>-0.52</v>
      </c>
      <c r="CE3471">
        <v>0.77</v>
      </c>
      <c r="CF3471">
        <v>1.94</v>
      </c>
      <c r="CG3471">
        <v>0</v>
      </c>
      <c r="CH3471">
        <v>-0.16</v>
      </c>
      <c r="CI3471">
        <v>0</v>
      </c>
      <c r="CJ3471">
        <v>2.2000000000000002</v>
      </c>
      <c r="CK3471">
        <v>92</v>
      </c>
      <c r="CL3471">
        <v>-1.1399999999999999</v>
      </c>
      <c r="CM3471">
        <v>91</v>
      </c>
      <c r="CN3471">
        <v>-0.56999999999999995</v>
      </c>
      <c r="CO3471">
        <v>89</v>
      </c>
      <c r="CP3471">
        <v>7</v>
      </c>
      <c r="CQ3471">
        <v>89</v>
      </c>
      <c r="CR3471">
        <v>0</v>
      </c>
      <c r="CS3471">
        <v>0</v>
      </c>
      <c r="CT3471">
        <v>31.7</v>
      </c>
      <c r="CU3471">
        <v>85</v>
      </c>
      <c r="CV3471">
        <v>0.25</v>
      </c>
      <c r="CW3471">
        <v>44</v>
      </c>
      <c r="CX3471" t="s">
        <v>9704</v>
      </c>
    </row>
    <row r="3472" spans="1:102" x14ac:dyDescent="0.3">
      <c r="A3472" t="str">
        <f>HYPERLINK("https://webapp.icbf.com/v2/app/bull-search/view/139187449","MCI")</f>
        <v>MCI</v>
      </c>
      <c r="B3472" t="s">
        <v>15037</v>
      </c>
      <c r="C3472" t="s">
        <v>1646</v>
      </c>
      <c r="D3472" s="1">
        <v>35365</v>
      </c>
      <c r="E3472" t="s">
        <v>1061</v>
      </c>
      <c r="F3472">
        <v>0</v>
      </c>
      <c r="G3472" t="s">
        <v>109</v>
      </c>
      <c r="H3472">
        <v>-38.81</v>
      </c>
      <c r="I3472">
        <v>63</v>
      </c>
      <c r="J3472">
        <v>-52.88</v>
      </c>
      <c r="K3472">
        <v>77</v>
      </c>
      <c r="L3472">
        <v>14.86</v>
      </c>
      <c r="M3472">
        <v>72</v>
      </c>
      <c r="N3472">
        <v>6.32</v>
      </c>
      <c r="O3472">
        <v>42</v>
      </c>
      <c r="P3472">
        <v>-27.83</v>
      </c>
      <c r="Q3472">
        <v>47</v>
      </c>
      <c r="R3472">
        <v>-1.65</v>
      </c>
      <c r="S3472">
        <v>36</v>
      </c>
      <c r="T3472">
        <v>28.92</v>
      </c>
      <c r="U3472">
        <v>40</v>
      </c>
      <c r="V3472">
        <v>-6.55</v>
      </c>
      <c r="W3472">
        <v>34</v>
      </c>
      <c r="X3472" t="s">
        <v>94</v>
      </c>
      <c r="Y3472" t="s">
        <v>95</v>
      </c>
      <c r="Z3472">
        <v>0</v>
      </c>
      <c r="AA3472" t="s">
        <v>12818</v>
      </c>
      <c r="AB3472" t="s">
        <v>15038</v>
      </c>
      <c r="AC3472">
        <v>0</v>
      </c>
      <c r="AD3472">
        <v>0</v>
      </c>
      <c r="AE3472">
        <v>77</v>
      </c>
      <c r="AF3472">
        <v>-252.18</v>
      </c>
      <c r="AG3472">
        <v>-11.26</v>
      </c>
      <c r="AH3472">
        <v>-8.8699999999999992</v>
      </c>
      <c r="AI3472">
        <v>-0.02</v>
      </c>
      <c r="AJ3472">
        <v>0</v>
      </c>
      <c r="AK3472">
        <v>72</v>
      </c>
      <c r="AL3472">
        <v>0</v>
      </c>
      <c r="AM3472">
        <v>0</v>
      </c>
      <c r="AN3472">
        <v>0.33</v>
      </c>
      <c r="AO3472">
        <v>1.53</v>
      </c>
      <c r="AP3472">
        <v>15</v>
      </c>
      <c r="AQ3472">
        <v>0</v>
      </c>
      <c r="AR3472">
        <v>7.17</v>
      </c>
      <c r="AS3472">
        <v>25</v>
      </c>
      <c r="AT3472">
        <v>2.87</v>
      </c>
      <c r="AU3472">
        <v>53</v>
      </c>
      <c r="AV3472">
        <v>-0.39</v>
      </c>
      <c r="AW3472">
        <v>46</v>
      </c>
      <c r="AX3472">
        <v>0.52</v>
      </c>
      <c r="AY3472">
        <v>44</v>
      </c>
      <c r="AZ3472">
        <v>6.04</v>
      </c>
      <c r="BA3472">
        <v>18</v>
      </c>
      <c r="BB3472">
        <v>4.8600000000000003</v>
      </c>
      <c r="BC3472">
        <v>23</v>
      </c>
      <c r="BD3472">
        <v>0.03</v>
      </c>
      <c r="BE3472">
        <v>0.02</v>
      </c>
      <c r="BF3472">
        <v>-0.05</v>
      </c>
      <c r="BG3472">
        <v>43</v>
      </c>
      <c r="BH3472">
        <v>0</v>
      </c>
      <c r="BI3472">
        <v>21.13</v>
      </c>
      <c r="BJ3472">
        <v>0</v>
      </c>
      <c r="BK3472">
        <v>0</v>
      </c>
      <c r="BL3472">
        <v>0</v>
      </c>
      <c r="BM3472">
        <v>0</v>
      </c>
      <c r="BN3472">
        <v>0</v>
      </c>
      <c r="BO3472">
        <v>0</v>
      </c>
      <c r="BP3472">
        <v>0</v>
      </c>
      <c r="BQ3472">
        <v>0</v>
      </c>
      <c r="BR3472">
        <v>0</v>
      </c>
      <c r="BS3472">
        <v>0</v>
      </c>
      <c r="BT3472">
        <v>0</v>
      </c>
      <c r="BU3472">
        <v>0</v>
      </c>
      <c r="BV3472">
        <v>0</v>
      </c>
      <c r="BW3472">
        <v>0</v>
      </c>
      <c r="BX3472">
        <v>0</v>
      </c>
      <c r="BY3472">
        <v>0</v>
      </c>
      <c r="BZ3472">
        <v>0</v>
      </c>
      <c r="CA3472">
        <v>0</v>
      </c>
      <c r="CB3472">
        <v>0</v>
      </c>
      <c r="CC3472">
        <v>0</v>
      </c>
      <c r="CD3472">
        <v>0</v>
      </c>
      <c r="CE3472">
        <v>0</v>
      </c>
      <c r="CF3472">
        <v>0</v>
      </c>
      <c r="CG3472">
        <v>0</v>
      </c>
      <c r="CH3472">
        <v>0</v>
      </c>
      <c r="CI3472">
        <v>0</v>
      </c>
      <c r="CJ3472">
        <v>-11.8</v>
      </c>
      <c r="CK3472">
        <v>50</v>
      </c>
      <c r="CL3472">
        <v>-0.73</v>
      </c>
      <c r="CM3472">
        <v>46</v>
      </c>
      <c r="CN3472">
        <v>0.12</v>
      </c>
      <c r="CO3472">
        <v>42</v>
      </c>
      <c r="CP3472">
        <v>-17.399999999999999</v>
      </c>
      <c r="CQ3472">
        <v>42</v>
      </c>
      <c r="CR3472">
        <v>0</v>
      </c>
      <c r="CS3472">
        <v>0</v>
      </c>
      <c r="CT3472">
        <v>-25.3</v>
      </c>
      <c r="CU3472">
        <v>40</v>
      </c>
      <c r="CV3472">
        <v>-0.05</v>
      </c>
      <c r="CW3472">
        <v>13</v>
      </c>
      <c r="CX3472" t="s">
        <v>15039</v>
      </c>
    </row>
    <row r="3473" spans="1:102" x14ac:dyDescent="0.3">
      <c r="A3473" t="str">
        <f>HYPERLINK("https://webapp.icbf.com/v2/app/bull-search/view/743134107","DVZ")</f>
        <v>DVZ</v>
      </c>
      <c r="B3473" t="s">
        <v>1725</v>
      </c>
      <c r="C3473" t="s">
        <v>1726</v>
      </c>
      <c r="D3473" s="1">
        <v>39701</v>
      </c>
      <c r="E3473" t="s">
        <v>108</v>
      </c>
      <c r="F3473">
        <v>0</v>
      </c>
      <c r="G3473" t="s">
        <v>93</v>
      </c>
      <c r="H3473">
        <v>-38.909999999999997</v>
      </c>
      <c r="I3473">
        <v>80</v>
      </c>
      <c r="J3473">
        <v>-42.69</v>
      </c>
      <c r="K3473">
        <v>93</v>
      </c>
      <c r="L3473">
        <v>43.14</v>
      </c>
      <c r="M3473">
        <v>68</v>
      </c>
      <c r="N3473">
        <v>-45.89</v>
      </c>
      <c r="O3473">
        <v>77</v>
      </c>
      <c r="P3473">
        <v>-10.06</v>
      </c>
      <c r="Q3473">
        <v>90</v>
      </c>
      <c r="R3473">
        <v>-15.15</v>
      </c>
      <c r="S3473">
        <v>67</v>
      </c>
      <c r="T3473">
        <v>25.74</v>
      </c>
      <c r="U3473">
        <v>82</v>
      </c>
      <c r="V3473">
        <v>6</v>
      </c>
      <c r="W3473">
        <v>71</v>
      </c>
      <c r="X3473" t="s">
        <v>102</v>
      </c>
      <c r="Y3473" t="s">
        <v>1727</v>
      </c>
      <c r="Z3473" t="s">
        <v>96</v>
      </c>
      <c r="AA3473" t="s">
        <v>1728</v>
      </c>
      <c r="AB3473" t="s">
        <v>1729</v>
      </c>
      <c r="AC3473">
        <v>41</v>
      </c>
      <c r="AD3473">
        <v>29</v>
      </c>
      <c r="AE3473">
        <v>93</v>
      </c>
      <c r="AF3473">
        <v>-203.86</v>
      </c>
      <c r="AG3473">
        <v>-9.81</v>
      </c>
      <c r="AH3473">
        <v>-6.91</v>
      </c>
      <c r="AI3473">
        <v>-0.03</v>
      </c>
      <c r="AJ3473">
        <v>0</v>
      </c>
      <c r="AK3473">
        <v>68</v>
      </c>
      <c r="AL3473">
        <v>54</v>
      </c>
      <c r="AM3473">
        <v>39</v>
      </c>
      <c r="AN3473">
        <v>-3.92</v>
      </c>
      <c r="AO3473">
        <v>-0.5</v>
      </c>
      <c r="AP3473">
        <v>100</v>
      </c>
      <c r="AQ3473">
        <v>5</v>
      </c>
      <c r="AR3473">
        <v>13.18</v>
      </c>
      <c r="AS3473">
        <v>56</v>
      </c>
      <c r="AT3473">
        <v>5.04</v>
      </c>
      <c r="AU3473">
        <v>79</v>
      </c>
      <c r="AV3473">
        <v>-0.38</v>
      </c>
      <c r="AW3473">
        <v>92</v>
      </c>
      <c r="AX3473">
        <v>0.8</v>
      </c>
      <c r="AY3473">
        <v>72</v>
      </c>
      <c r="AZ3473">
        <v>8.1</v>
      </c>
      <c r="BA3473">
        <v>46</v>
      </c>
      <c r="BB3473">
        <v>5.82</v>
      </c>
      <c r="BC3473">
        <v>48</v>
      </c>
      <c r="BD3473">
        <v>0.05</v>
      </c>
      <c r="BE3473">
        <v>0.05</v>
      </c>
      <c r="BF3473">
        <v>0.17</v>
      </c>
      <c r="BG3473">
        <v>77</v>
      </c>
      <c r="BH3473">
        <v>-0.01</v>
      </c>
      <c r="BI3473">
        <v>-20.52</v>
      </c>
      <c r="BJ3473">
        <v>19</v>
      </c>
      <c r="BK3473">
        <v>10</v>
      </c>
      <c r="BL3473">
        <v>-2.93</v>
      </c>
      <c r="BM3473">
        <v>1.9</v>
      </c>
      <c r="BN3473">
        <v>-1.94</v>
      </c>
      <c r="BO3473">
        <v>-2.67</v>
      </c>
      <c r="BP3473">
        <v>-1.0900000000000001</v>
      </c>
      <c r="BQ3473">
        <v>0.4</v>
      </c>
      <c r="BR3473">
        <v>-0.78</v>
      </c>
      <c r="BS3473">
        <v>0.36</v>
      </c>
      <c r="BT3473">
        <v>-0.15</v>
      </c>
      <c r="BU3473">
        <v>-2.84</v>
      </c>
      <c r="BV3473">
        <v>-3.3</v>
      </c>
      <c r="BW3473">
        <v>-2.62</v>
      </c>
      <c r="BX3473">
        <v>-2.38</v>
      </c>
      <c r="BY3473">
        <v>-1.1100000000000001</v>
      </c>
      <c r="BZ3473">
        <v>-2.94</v>
      </c>
      <c r="CA3473">
        <v>-2.58</v>
      </c>
      <c r="CB3473">
        <v>-2.37</v>
      </c>
      <c r="CC3473">
        <v>-1.96</v>
      </c>
      <c r="CD3473">
        <v>2.61</v>
      </c>
      <c r="CE3473">
        <v>-2.72</v>
      </c>
      <c r="CF3473">
        <v>-1.79</v>
      </c>
      <c r="CG3473">
        <v>0</v>
      </c>
      <c r="CH3473">
        <v>0.12</v>
      </c>
      <c r="CI3473">
        <v>0</v>
      </c>
      <c r="CJ3473">
        <v>-7.1</v>
      </c>
      <c r="CK3473">
        <v>92</v>
      </c>
      <c r="CL3473">
        <v>7.0000000000000007E-2</v>
      </c>
      <c r="CM3473">
        <v>90</v>
      </c>
      <c r="CN3473">
        <v>-0.1</v>
      </c>
      <c r="CO3473">
        <v>89</v>
      </c>
      <c r="CP3473">
        <v>-14.4</v>
      </c>
      <c r="CQ3473">
        <v>80</v>
      </c>
      <c r="CR3473">
        <v>0</v>
      </c>
      <c r="CS3473">
        <v>0</v>
      </c>
      <c r="CT3473">
        <v>-21</v>
      </c>
      <c r="CU3473">
        <v>82</v>
      </c>
      <c r="CV3473">
        <v>-0.06</v>
      </c>
      <c r="CW3473">
        <v>44</v>
      </c>
      <c r="CX3473" t="s">
        <v>1730</v>
      </c>
    </row>
    <row r="3474" spans="1:102" x14ac:dyDescent="0.3">
      <c r="A3474" t="str">
        <f>HYPERLINK("https://webapp.icbf.com/v2/app/bull-search/view/77858026","DTW")</f>
        <v>DTW</v>
      </c>
      <c r="B3474" t="s">
        <v>7353</v>
      </c>
      <c r="C3474" t="s">
        <v>7354</v>
      </c>
      <c r="D3474" s="1">
        <v>33912</v>
      </c>
      <c r="E3474" t="s">
        <v>92</v>
      </c>
      <c r="F3474">
        <v>100</v>
      </c>
      <c r="G3474" t="s">
        <v>93</v>
      </c>
      <c r="H3474">
        <v>-39.049999999999997</v>
      </c>
      <c r="I3474">
        <v>85</v>
      </c>
      <c r="J3474">
        <v>-1.1299999999999999</v>
      </c>
      <c r="K3474">
        <v>95</v>
      </c>
      <c r="L3474">
        <v>-59.36</v>
      </c>
      <c r="M3474">
        <v>87</v>
      </c>
      <c r="N3474">
        <v>16.23</v>
      </c>
      <c r="O3474">
        <v>73</v>
      </c>
      <c r="P3474">
        <v>-3.26</v>
      </c>
      <c r="Q3474">
        <v>79</v>
      </c>
      <c r="R3474">
        <v>-11.25</v>
      </c>
      <c r="S3474">
        <v>76</v>
      </c>
      <c r="T3474">
        <v>16.420000000000002</v>
      </c>
      <c r="U3474">
        <v>80</v>
      </c>
      <c r="V3474">
        <v>3.3</v>
      </c>
      <c r="W3474">
        <v>58</v>
      </c>
      <c r="X3474" t="s">
        <v>110</v>
      </c>
      <c r="Y3474" t="s">
        <v>95</v>
      </c>
      <c r="Z3474" t="s">
        <v>96</v>
      </c>
      <c r="AA3474" t="s">
        <v>7355</v>
      </c>
      <c r="AB3474" t="s">
        <v>7356</v>
      </c>
      <c r="AC3474">
        <v>67</v>
      </c>
      <c r="AD3474">
        <v>29</v>
      </c>
      <c r="AE3474">
        <v>95</v>
      </c>
      <c r="AF3474">
        <v>-197.08</v>
      </c>
      <c r="AG3474">
        <v>-4.1500000000000004</v>
      </c>
      <c r="AH3474">
        <v>-1.74</v>
      </c>
      <c r="AI3474">
        <v>0.06</v>
      </c>
      <c r="AJ3474">
        <v>0.09</v>
      </c>
      <c r="AK3474">
        <v>87</v>
      </c>
      <c r="AL3474">
        <v>67</v>
      </c>
      <c r="AM3474">
        <v>30</v>
      </c>
      <c r="AN3474">
        <v>3.52</v>
      </c>
      <c r="AO3474">
        <v>-1.21</v>
      </c>
      <c r="AP3474">
        <v>4</v>
      </c>
      <c r="AQ3474">
        <v>0</v>
      </c>
      <c r="AR3474">
        <v>6.17</v>
      </c>
      <c r="AS3474">
        <v>57</v>
      </c>
      <c r="AT3474">
        <v>2.76</v>
      </c>
      <c r="AU3474">
        <v>87</v>
      </c>
      <c r="AV3474">
        <v>-0.88</v>
      </c>
      <c r="AW3474">
        <v>73</v>
      </c>
      <c r="AX3474">
        <v>-0.84</v>
      </c>
      <c r="AY3474">
        <v>74</v>
      </c>
      <c r="AZ3474">
        <v>6.05</v>
      </c>
      <c r="BA3474">
        <v>48</v>
      </c>
      <c r="BB3474">
        <v>5.0199999999999996</v>
      </c>
      <c r="BC3474">
        <v>62</v>
      </c>
      <c r="BD3474">
        <v>7.0000000000000007E-2</v>
      </c>
      <c r="BE3474">
        <v>0.08</v>
      </c>
      <c r="BF3474">
        <v>-0.01</v>
      </c>
      <c r="BG3474">
        <v>91</v>
      </c>
      <c r="BH3474">
        <v>0.11</v>
      </c>
      <c r="BI3474">
        <v>2.0699999999999998</v>
      </c>
      <c r="BJ3474">
        <v>0</v>
      </c>
      <c r="BK3474">
        <v>0</v>
      </c>
      <c r="BL3474">
        <v>0.87</v>
      </c>
      <c r="BM3474">
        <v>-1.19</v>
      </c>
      <c r="BN3474">
        <v>-7.0000000000000007E-2</v>
      </c>
      <c r="BO3474">
        <v>0.62</v>
      </c>
      <c r="BP3474">
        <v>1.19</v>
      </c>
      <c r="BQ3474">
        <v>-0.54</v>
      </c>
      <c r="BR3474">
        <v>2.08</v>
      </c>
      <c r="BS3474">
        <v>-2.0299999999999998</v>
      </c>
      <c r="BT3474">
        <v>-1.27</v>
      </c>
      <c r="BU3474">
        <v>0.9</v>
      </c>
      <c r="BV3474">
        <v>0.51</v>
      </c>
      <c r="BW3474">
        <v>0.05</v>
      </c>
      <c r="BX3474">
        <v>1.08</v>
      </c>
      <c r="BY3474">
        <v>-0.79</v>
      </c>
      <c r="BZ3474">
        <v>0.33</v>
      </c>
      <c r="CA3474">
        <v>-0.31</v>
      </c>
      <c r="CB3474">
        <v>0.12</v>
      </c>
      <c r="CC3474">
        <v>-1.95</v>
      </c>
      <c r="CD3474">
        <v>-1.36</v>
      </c>
      <c r="CE3474">
        <v>0.17</v>
      </c>
      <c r="CF3474">
        <v>-0.06</v>
      </c>
      <c r="CG3474">
        <v>0</v>
      </c>
      <c r="CH3474">
        <v>-1.2</v>
      </c>
      <c r="CI3474">
        <v>0</v>
      </c>
      <c r="CJ3474">
        <v>-1</v>
      </c>
      <c r="CK3474">
        <v>80</v>
      </c>
      <c r="CL3474">
        <v>-0.56000000000000005</v>
      </c>
      <c r="CM3474">
        <v>77</v>
      </c>
      <c r="CN3474">
        <v>-0.38</v>
      </c>
      <c r="CO3474">
        <v>74</v>
      </c>
      <c r="CP3474">
        <v>-3.7</v>
      </c>
      <c r="CQ3474">
        <v>86</v>
      </c>
      <c r="CR3474">
        <v>0</v>
      </c>
      <c r="CS3474">
        <v>0</v>
      </c>
      <c r="CT3474">
        <v>-8.4</v>
      </c>
      <c r="CU3474">
        <v>80</v>
      </c>
      <c r="CV3474">
        <v>7.0000000000000007E-2</v>
      </c>
      <c r="CW3474">
        <v>41</v>
      </c>
      <c r="CX3474" t="s">
        <v>111</v>
      </c>
    </row>
    <row r="3475" spans="1:102" x14ac:dyDescent="0.3">
      <c r="A3475" t="str">
        <f>HYPERLINK("https://webapp.icbf.com/v2/app/bull-search/view/1231246269","S2329")</f>
        <v>S2329</v>
      </c>
      <c r="B3475" t="s">
        <v>13570</v>
      </c>
      <c r="C3475" t="s">
        <v>13571</v>
      </c>
      <c r="D3475" s="1">
        <v>41375</v>
      </c>
      <c r="E3475" t="s">
        <v>92</v>
      </c>
      <c r="F3475">
        <v>100</v>
      </c>
      <c r="G3475" t="s">
        <v>109</v>
      </c>
      <c r="H3475">
        <v>-39.11</v>
      </c>
      <c r="I3475">
        <v>76</v>
      </c>
      <c r="J3475">
        <v>17.39</v>
      </c>
      <c r="K3475">
        <v>91</v>
      </c>
      <c r="L3475">
        <v>-101.5</v>
      </c>
      <c r="M3475">
        <v>79</v>
      </c>
      <c r="N3475">
        <v>59.21</v>
      </c>
      <c r="O3475">
        <v>77</v>
      </c>
      <c r="P3475">
        <v>-16.04</v>
      </c>
      <c r="Q3475">
        <v>61</v>
      </c>
      <c r="R3475">
        <v>0.74</v>
      </c>
      <c r="S3475">
        <v>64</v>
      </c>
      <c r="T3475">
        <v>-5.34</v>
      </c>
      <c r="U3475">
        <v>40</v>
      </c>
      <c r="V3475">
        <v>6.43</v>
      </c>
      <c r="W3475">
        <v>31</v>
      </c>
      <c r="X3475" t="s">
        <v>428</v>
      </c>
      <c r="Y3475" t="s">
        <v>411</v>
      </c>
      <c r="Z3475" t="s">
        <v>96</v>
      </c>
      <c r="AA3475" t="s">
        <v>412</v>
      </c>
      <c r="AB3475" t="s">
        <v>13572</v>
      </c>
      <c r="AC3475">
        <v>57</v>
      </c>
      <c r="AD3475">
        <v>26</v>
      </c>
      <c r="AE3475">
        <v>91</v>
      </c>
      <c r="AF3475">
        <v>431.69</v>
      </c>
      <c r="AG3475">
        <v>4.79</v>
      </c>
      <c r="AH3475">
        <v>7.87</v>
      </c>
      <c r="AI3475">
        <v>-0.19</v>
      </c>
      <c r="AJ3475">
        <v>-0.11</v>
      </c>
      <c r="AK3475">
        <v>79</v>
      </c>
      <c r="AL3475">
        <v>0</v>
      </c>
      <c r="AM3475">
        <v>0</v>
      </c>
      <c r="AN3475">
        <v>6.65</v>
      </c>
      <c r="AO3475">
        <v>-1.43</v>
      </c>
      <c r="AP3475">
        <v>155</v>
      </c>
      <c r="AQ3475">
        <v>0</v>
      </c>
      <c r="AR3475">
        <v>5.57</v>
      </c>
      <c r="AS3475">
        <v>77</v>
      </c>
      <c r="AT3475">
        <v>2.65</v>
      </c>
      <c r="AU3475">
        <v>89</v>
      </c>
      <c r="AV3475">
        <v>-5.63</v>
      </c>
      <c r="AW3475">
        <v>91</v>
      </c>
      <c r="AX3475">
        <v>-0.69</v>
      </c>
      <c r="AY3475">
        <v>73</v>
      </c>
      <c r="AZ3475">
        <v>5.49</v>
      </c>
      <c r="BA3475">
        <v>46</v>
      </c>
      <c r="BB3475">
        <v>4.4400000000000004</v>
      </c>
      <c r="BC3475">
        <v>21</v>
      </c>
      <c r="BD3475">
        <v>-0.03</v>
      </c>
      <c r="BE3475">
        <v>-0.03</v>
      </c>
      <c r="BF3475">
        <v>0.09</v>
      </c>
      <c r="BG3475">
        <v>89</v>
      </c>
      <c r="BH3475">
        <v>0.04</v>
      </c>
      <c r="BI3475">
        <v>-16.12</v>
      </c>
      <c r="BJ3475">
        <v>16</v>
      </c>
      <c r="BK3475">
        <v>12</v>
      </c>
      <c r="BL3475">
        <v>2.94</v>
      </c>
      <c r="BM3475">
        <v>-1.23</v>
      </c>
      <c r="BN3475">
        <v>1.3</v>
      </c>
      <c r="BO3475">
        <v>1.91</v>
      </c>
      <c r="BP3475">
        <v>-1.65</v>
      </c>
      <c r="BQ3475">
        <v>1.05</v>
      </c>
      <c r="BR3475">
        <v>-2.19</v>
      </c>
      <c r="BS3475">
        <v>3.46</v>
      </c>
      <c r="BT3475">
        <v>2.61</v>
      </c>
      <c r="BU3475">
        <v>3.79</v>
      </c>
      <c r="BV3475">
        <v>3.5</v>
      </c>
      <c r="BW3475">
        <v>3.46</v>
      </c>
      <c r="BX3475">
        <v>3.66</v>
      </c>
      <c r="BY3475">
        <v>2.75</v>
      </c>
      <c r="BZ3475">
        <v>-3.96</v>
      </c>
      <c r="CA3475">
        <v>2.76</v>
      </c>
      <c r="CB3475">
        <v>2.5</v>
      </c>
      <c r="CC3475">
        <v>1.97</v>
      </c>
      <c r="CD3475">
        <v>-1.19</v>
      </c>
      <c r="CE3475">
        <v>1.37</v>
      </c>
      <c r="CF3475">
        <v>1.63</v>
      </c>
      <c r="CG3475">
        <v>0</v>
      </c>
      <c r="CH3475">
        <v>1.79</v>
      </c>
      <c r="CI3475">
        <v>0</v>
      </c>
      <c r="CJ3475">
        <v>-4.9000000000000004</v>
      </c>
      <c r="CK3475">
        <v>65</v>
      </c>
      <c r="CL3475">
        <v>-1.62</v>
      </c>
      <c r="CM3475">
        <v>59</v>
      </c>
      <c r="CN3475">
        <v>-0.57999999999999996</v>
      </c>
      <c r="CO3475">
        <v>58</v>
      </c>
      <c r="CP3475">
        <v>4.3</v>
      </c>
      <c r="CQ3475">
        <v>41</v>
      </c>
      <c r="CR3475">
        <v>0</v>
      </c>
      <c r="CS3475">
        <v>0</v>
      </c>
      <c r="CT3475">
        <v>21</v>
      </c>
      <c r="CU3475">
        <v>40</v>
      </c>
      <c r="CV3475">
        <v>0.36</v>
      </c>
      <c r="CW3475">
        <v>17</v>
      </c>
      <c r="CX3475" t="s">
        <v>309</v>
      </c>
    </row>
    <row r="3476" spans="1:102" x14ac:dyDescent="0.3">
      <c r="A3476" t="str">
        <f>HYPERLINK("https://webapp.icbf.com/v2/app/bull-search/view/77857336","HAS")</f>
        <v>HAS</v>
      </c>
      <c r="B3476" t="s">
        <v>12139</v>
      </c>
      <c r="C3476" t="s">
        <v>12140</v>
      </c>
      <c r="D3476" s="1">
        <v>31913</v>
      </c>
      <c r="E3476" t="s">
        <v>92</v>
      </c>
      <c r="F3476">
        <v>100</v>
      </c>
      <c r="G3476" t="s">
        <v>109</v>
      </c>
      <c r="H3476">
        <v>-39.17</v>
      </c>
      <c r="I3476">
        <v>76</v>
      </c>
      <c r="J3476">
        <v>-19.03</v>
      </c>
      <c r="K3476">
        <v>90</v>
      </c>
      <c r="L3476">
        <v>-35.869999999999997</v>
      </c>
      <c r="M3476">
        <v>81</v>
      </c>
      <c r="N3476">
        <v>22.98</v>
      </c>
      <c r="O3476">
        <v>52</v>
      </c>
      <c r="P3476">
        <v>-3.68</v>
      </c>
      <c r="Q3476">
        <v>69</v>
      </c>
      <c r="R3476">
        <v>-9.84</v>
      </c>
      <c r="S3476">
        <v>68</v>
      </c>
      <c r="T3476">
        <v>5.83</v>
      </c>
      <c r="U3476">
        <v>63</v>
      </c>
      <c r="V3476">
        <v>0.44</v>
      </c>
      <c r="W3476">
        <v>34</v>
      </c>
      <c r="X3476" t="s">
        <v>110</v>
      </c>
      <c r="Y3476" t="s">
        <v>95</v>
      </c>
      <c r="Z3476" t="s">
        <v>96</v>
      </c>
      <c r="AA3476" t="s">
        <v>128</v>
      </c>
      <c r="AB3476" t="s">
        <v>3380</v>
      </c>
      <c r="AC3476">
        <v>37</v>
      </c>
      <c r="AD3476">
        <v>19</v>
      </c>
      <c r="AE3476">
        <v>90</v>
      </c>
      <c r="AF3476">
        <v>-124.93</v>
      </c>
      <c r="AG3476">
        <v>1.19</v>
      </c>
      <c r="AH3476">
        <v>-5.57</v>
      </c>
      <c r="AI3476">
        <v>0.1</v>
      </c>
      <c r="AJ3476">
        <v>-0.02</v>
      </c>
      <c r="AK3476">
        <v>81</v>
      </c>
      <c r="AL3476">
        <v>64</v>
      </c>
      <c r="AM3476">
        <v>30</v>
      </c>
      <c r="AN3476">
        <v>2.02</v>
      </c>
      <c r="AO3476">
        <v>-0.84</v>
      </c>
      <c r="AP3476">
        <v>3</v>
      </c>
      <c r="AQ3476">
        <v>0</v>
      </c>
      <c r="AR3476">
        <v>6.41</v>
      </c>
      <c r="AS3476">
        <v>31</v>
      </c>
      <c r="AT3476">
        <v>2.73</v>
      </c>
      <c r="AU3476">
        <v>64</v>
      </c>
      <c r="AV3476">
        <v>-1.3</v>
      </c>
      <c r="AW3476">
        <v>50</v>
      </c>
      <c r="AX3476">
        <v>-0.84</v>
      </c>
      <c r="AY3476">
        <v>62</v>
      </c>
      <c r="AZ3476">
        <v>5.52</v>
      </c>
      <c r="BA3476">
        <v>32</v>
      </c>
      <c r="BB3476">
        <v>4.3600000000000003</v>
      </c>
      <c r="BC3476">
        <v>45</v>
      </c>
      <c r="BD3476">
        <v>0.05</v>
      </c>
      <c r="BE3476">
        <v>7.0000000000000007E-2</v>
      </c>
      <c r="BF3476">
        <v>0.01</v>
      </c>
      <c r="BG3476">
        <v>87</v>
      </c>
      <c r="BH3476">
        <v>0.09</v>
      </c>
      <c r="BI3476">
        <v>8.98</v>
      </c>
      <c r="BJ3476">
        <v>0</v>
      </c>
      <c r="BK3476">
        <v>0</v>
      </c>
      <c r="BL3476">
        <v>0.89</v>
      </c>
      <c r="BM3476">
        <v>7.0000000000000007E-2</v>
      </c>
      <c r="BN3476">
        <v>0.71</v>
      </c>
      <c r="BO3476">
        <v>0.5</v>
      </c>
      <c r="BP3476">
        <v>-0.76</v>
      </c>
      <c r="BQ3476">
        <v>0.25</v>
      </c>
      <c r="BR3476">
        <v>1.32</v>
      </c>
      <c r="BS3476">
        <v>-0.96</v>
      </c>
      <c r="BT3476">
        <v>-1.1599999999999999</v>
      </c>
      <c r="BU3476">
        <v>-1.63</v>
      </c>
      <c r="BV3476">
        <v>-0.55000000000000004</v>
      </c>
      <c r="BW3476">
        <v>-0.92</v>
      </c>
      <c r="BX3476">
        <v>-1.59</v>
      </c>
      <c r="BY3476">
        <v>-0.42</v>
      </c>
      <c r="BZ3476">
        <v>0.3</v>
      </c>
      <c r="CA3476">
        <v>-0.89</v>
      </c>
      <c r="CB3476">
        <v>-1.03</v>
      </c>
      <c r="CC3476">
        <v>-0.19</v>
      </c>
      <c r="CD3476">
        <v>0.28000000000000003</v>
      </c>
      <c r="CE3476">
        <v>-0.25</v>
      </c>
      <c r="CF3476">
        <v>-0.26</v>
      </c>
      <c r="CG3476">
        <v>0</v>
      </c>
      <c r="CH3476">
        <v>-0.53</v>
      </c>
      <c r="CI3476">
        <v>0</v>
      </c>
      <c r="CJ3476">
        <v>1.4</v>
      </c>
      <c r="CK3476">
        <v>70</v>
      </c>
      <c r="CL3476">
        <v>-0.78</v>
      </c>
      <c r="CM3476">
        <v>66</v>
      </c>
      <c r="CN3476">
        <v>-0.22</v>
      </c>
      <c r="CO3476">
        <v>62</v>
      </c>
      <c r="CP3476">
        <v>-0.9</v>
      </c>
      <c r="CQ3476">
        <v>76</v>
      </c>
      <c r="CR3476">
        <v>0</v>
      </c>
      <c r="CS3476">
        <v>0</v>
      </c>
      <c r="CT3476">
        <v>5.9</v>
      </c>
      <c r="CU3476">
        <v>63</v>
      </c>
      <c r="CV3476">
        <v>0.28999999999999998</v>
      </c>
      <c r="CW3476">
        <v>19</v>
      </c>
      <c r="CX3476" t="s">
        <v>120</v>
      </c>
    </row>
    <row r="3477" spans="1:102" x14ac:dyDescent="0.3">
      <c r="A3477" t="str">
        <f>HYPERLINK("https://webapp.icbf.com/v2/app/bull-search/view/69091120","AIC")</f>
        <v>AIC</v>
      </c>
      <c r="B3477" t="s">
        <v>8544</v>
      </c>
      <c r="C3477" t="s">
        <v>8545</v>
      </c>
      <c r="D3477" s="1">
        <v>31773</v>
      </c>
      <c r="E3477" t="s">
        <v>92</v>
      </c>
      <c r="F3477">
        <v>100</v>
      </c>
      <c r="G3477" t="s">
        <v>109</v>
      </c>
      <c r="H3477">
        <v>-39.19</v>
      </c>
      <c r="I3477">
        <v>81</v>
      </c>
      <c r="J3477">
        <v>-9.7899999999999991</v>
      </c>
      <c r="K3477">
        <v>93</v>
      </c>
      <c r="L3477">
        <v>-22.32</v>
      </c>
      <c r="M3477">
        <v>88</v>
      </c>
      <c r="N3477">
        <v>-1.1100000000000001</v>
      </c>
      <c r="O3477">
        <v>61</v>
      </c>
      <c r="P3477">
        <v>-9.14</v>
      </c>
      <c r="Q3477">
        <v>60</v>
      </c>
      <c r="R3477">
        <v>-3.76</v>
      </c>
      <c r="S3477">
        <v>78</v>
      </c>
      <c r="T3477">
        <v>13.01</v>
      </c>
      <c r="U3477">
        <v>62</v>
      </c>
      <c r="V3477">
        <v>-6.08</v>
      </c>
      <c r="W3477">
        <v>61</v>
      </c>
      <c r="X3477" t="s">
        <v>110</v>
      </c>
      <c r="Y3477" t="s">
        <v>95</v>
      </c>
      <c r="Z3477" t="s">
        <v>96</v>
      </c>
      <c r="AA3477" t="s">
        <v>113</v>
      </c>
      <c r="AB3477" t="s">
        <v>8546</v>
      </c>
      <c r="AC3477">
        <v>0</v>
      </c>
      <c r="AD3477">
        <v>0</v>
      </c>
      <c r="AE3477">
        <v>93</v>
      </c>
      <c r="AF3477">
        <v>33.729999999999997</v>
      </c>
      <c r="AG3477">
        <v>-2.54</v>
      </c>
      <c r="AH3477">
        <v>-0.25</v>
      </c>
      <c r="AI3477">
        <v>-7.0000000000000007E-2</v>
      </c>
      <c r="AJ3477">
        <v>-0.02</v>
      </c>
      <c r="AK3477">
        <v>88</v>
      </c>
      <c r="AL3477">
        <v>0</v>
      </c>
      <c r="AM3477">
        <v>0</v>
      </c>
      <c r="AN3477">
        <v>1.2</v>
      </c>
      <c r="AO3477">
        <v>-0.57999999999999996</v>
      </c>
      <c r="AP3477">
        <v>0</v>
      </c>
      <c r="AQ3477">
        <v>2</v>
      </c>
      <c r="AR3477">
        <v>5.25</v>
      </c>
      <c r="AS3477">
        <v>55</v>
      </c>
      <c r="AT3477">
        <v>3.46</v>
      </c>
      <c r="AU3477">
        <v>89</v>
      </c>
      <c r="AV3477">
        <v>-0.15</v>
      </c>
      <c r="AW3477">
        <v>50</v>
      </c>
      <c r="AX3477">
        <v>-0.66</v>
      </c>
      <c r="AY3477">
        <v>60</v>
      </c>
      <c r="AZ3477">
        <v>7.87</v>
      </c>
      <c r="BA3477">
        <v>48</v>
      </c>
      <c r="BB3477">
        <v>5.91</v>
      </c>
      <c r="BC3477">
        <v>54</v>
      </c>
      <c r="BD3477">
        <v>0.05</v>
      </c>
      <c r="BE3477">
        <v>7.0000000000000007E-2</v>
      </c>
      <c r="BF3477">
        <v>-0.13</v>
      </c>
      <c r="BG3477">
        <v>94</v>
      </c>
      <c r="BH3477">
        <v>-0.01</v>
      </c>
      <c r="BI3477">
        <v>18.440000000000001</v>
      </c>
      <c r="BJ3477">
        <v>4</v>
      </c>
      <c r="BK3477">
        <v>3</v>
      </c>
      <c r="BL3477">
        <v>0.17</v>
      </c>
      <c r="BM3477">
        <v>0.68</v>
      </c>
      <c r="BN3477">
        <v>0.38</v>
      </c>
      <c r="BO3477">
        <v>-0.3</v>
      </c>
      <c r="BP3477">
        <v>-1.72</v>
      </c>
      <c r="BQ3477">
        <v>-0.71</v>
      </c>
      <c r="BR3477">
        <v>0.47</v>
      </c>
      <c r="BS3477">
        <v>-0.6</v>
      </c>
      <c r="BT3477">
        <v>-0.32</v>
      </c>
      <c r="BU3477">
        <v>0.35</v>
      </c>
      <c r="BV3477">
        <v>0.93</v>
      </c>
      <c r="BW3477">
        <v>0.03</v>
      </c>
      <c r="BX3477">
        <v>0.35</v>
      </c>
      <c r="BY3477">
        <v>-0.21</v>
      </c>
      <c r="BZ3477">
        <v>1.1200000000000001</v>
      </c>
      <c r="CA3477">
        <v>0.11</v>
      </c>
      <c r="CB3477">
        <v>0.11</v>
      </c>
      <c r="CC3477">
        <v>-0.09</v>
      </c>
      <c r="CD3477">
        <v>0.43</v>
      </c>
      <c r="CE3477">
        <v>0.6</v>
      </c>
      <c r="CF3477">
        <v>0.89</v>
      </c>
      <c r="CG3477">
        <v>0</v>
      </c>
      <c r="CH3477">
        <v>-0.28000000000000003</v>
      </c>
      <c r="CI3477">
        <v>0</v>
      </c>
      <c r="CJ3477">
        <v>-4.4000000000000004</v>
      </c>
      <c r="CK3477">
        <v>61</v>
      </c>
      <c r="CL3477">
        <v>-0.87</v>
      </c>
      <c r="CM3477">
        <v>59</v>
      </c>
      <c r="CN3477">
        <v>-0.52</v>
      </c>
      <c r="CO3477">
        <v>55</v>
      </c>
      <c r="CP3477">
        <v>-1.2</v>
      </c>
      <c r="CQ3477">
        <v>67</v>
      </c>
      <c r="CR3477">
        <v>0</v>
      </c>
      <c r="CS3477">
        <v>0</v>
      </c>
      <c r="CT3477">
        <v>-3.8</v>
      </c>
      <c r="CU3477">
        <v>62</v>
      </c>
      <c r="CV3477">
        <v>0.12</v>
      </c>
      <c r="CW3477">
        <v>37</v>
      </c>
      <c r="CX3477" t="s">
        <v>120</v>
      </c>
    </row>
    <row r="3478" spans="1:102" x14ac:dyDescent="0.3">
      <c r="A3478" t="str">
        <f>HYPERLINK("https://webapp.icbf.com/v2/app/bull-search/view/660264323","S1021")</f>
        <v>S1021</v>
      </c>
      <c r="B3478" t="s">
        <v>9021</v>
      </c>
      <c r="C3478" t="s">
        <v>9022</v>
      </c>
      <c r="D3478" s="1">
        <v>37945</v>
      </c>
      <c r="E3478" t="s">
        <v>140</v>
      </c>
      <c r="F3478">
        <v>0</v>
      </c>
      <c r="G3478" t="s">
        <v>109</v>
      </c>
      <c r="H3478">
        <v>-39.21</v>
      </c>
      <c r="I3478">
        <v>74</v>
      </c>
      <c r="J3478">
        <v>-16.38</v>
      </c>
      <c r="K3478">
        <v>87</v>
      </c>
      <c r="L3478">
        <v>-26.58</v>
      </c>
      <c r="M3478">
        <v>65</v>
      </c>
      <c r="N3478">
        <v>-23.7</v>
      </c>
      <c r="O3478">
        <v>68</v>
      </c>
      <c r="P3478">
        <v>17.87</v>
      </c>
      <c r="Q3478">
        <v>80</v>
      </c>
      <c r="R3478">
        <v>5.86</v>
      </c>
      <c r="S3478">
        <v>66</v>
      </c>
      <c r="T3478">
        <v>13.6</v>
      </c>
      <c r="U3478">
        <v>76</v>
      </c>
      <c r="V3478">
        <v>-9.8800000000000008</v>
      </c>
      <c r="W3478">
        <v>57</v>
      </c>
      <c r="X3478" t="s">
        <v>102</v>
      </c>
      <c r="Y3478" t="s">
        <v>303</v>
      </c>
      <c r="Z3478">
        <v>0</v>
      </c>
      <c r="AA3478" t="s">
        <v>3108</v>
      </c>
      <c r="AB3478" t="s">
        <v>9023</v>
      </c>
      <c r="AC3478">
        <v>0</v>
      </c>
      <c r="AD3478">
        <v>0</v>
      </c>
      <c r="AE3478">
        <v>87</v>
      </c>
      <c r="AF3478">
        <v>-103.96</v>
      </c>
      <c r="AG3478">
        <v>-4.26</v>
      </c>
      <c r="AH3478">
        <v>-2.87</v>
      </c>
      <c r="AI3478">
        <v>0</v>
      </c>
      <c r="AJ3478">
        <v>0.01</v>
      </c>
      <c r="AK3478">
        <v>65</v>
      </c>
      <c r="AL3478">
        <v>14</v>
      </c>
      <c r="AM3478">
        <v>10</v>
      </c>
      <c r="AN3478">
        <v>1.4</v>
      </c>
      <c r="AO3478">
        <v>-0.72</v>
      </c>
      <c r="AP3478">
        <v>46</v>
      </c>
      <c r="AQ3478">
        <v>0</v>
      </c>
      <c r="AR3478">
        <v>9.1300000000000008</v>
      </c>
      <c r="AS3478">
        <v>52</v>
      </c>
      <c r="AT3478">
        <v>4.7300000000000004</v>
      </c>
      <c r="AU3478">
        <v>71</v>
      </c>
      <c r="AV3478">
        <v>1.1299999999999999</v>
      </c>
      <c r="AW3478">
        <v>80</v>
      </c>
      <c r="AX3478">
        <v>-0.08</v>
      </c>
      <c r="AY3478">
        <v>58</v>
      </c>
      <c r="AZ3478">
        <v>5.43</v>
      </c>
      <c r="BA3478">
        <v>49</v>
      </c>
      <c r="BB3478">
        <v>4.01</v>
      </c>
      <c r="BC3478">
        <v>49</v>
      </c>
      <c r="BD3478">
        <v>0.02</v>
      </c>
      <c r="BE3478">
        <v>-0.02</v>
      </c>
      <c r="BF3478">
        <v>-0.13</v>
      </c>
      <c r="BG3478">
        <v>72</v>
      </c>
      <c r="BH3478">
        <v>-0.34</v>
      </c>
      <c r="BI3478">
        <v>-7.47</v>
      </c>
      <c r="BJ3478">
        <v>0</v>
      </c>
      <c r="BK3478">
        <v>0</v>
      </c>
      <c r="BL3478">
        <v>-0.64</v>
      </c>
      <c r="BM3478">
        <v>4.0999999999999996</v>
      </c>
      <c r="BN3478">
        <v>-1.56</v>
      </c>
      <c r="BO3478">
        <v>-3.25</v>
      </c>
      <c r="BP3478">
        <v>4.5199999999999996</v>
      </c>
      <c r="BQ3478">
        <v>-1.44</v>
      </c>
      <c r="BR3478">
        <v>-2.54</v>
      </c>
      <c r="BS3478">
        <v>-0.3</v>
      </c>
      <c r="BT3478">
        <v>2.54</v>
      </c>
      <c r="BU3478">
        <v>-3.53</v>
      </c>
      <c r="BV3478">
        <v>-3.97</v>
      </c>
      <c r="BW3478">
        <v>-2.96</v>
      </c>
      <c r="BX3478">
        <v>-2.78</v>
      </c>
      <c r="BY3478">
        <v>-1.81</v>
      </c>
      <c r="BZ3478">
        <v>1.31</v>
      </c>
      <c r="CA3478">
        <v>-2.67</v>
      </c>
      <c r="CB3478">
        <v>-3.36</v>
      </c>
      <c r="CC3478">
        <v>-0.52</v>
      </c>
      <c r="CD3478">
        <v>4.1900000000000004</v>
      </c>
      <c r="CE3478">
        <v>-3.17</v>
      </c>
      <c r="CF3478">
        <v>-0.97</v>
      </c>
      <c r="CG3478">
        <v>0</v>
      </c>
      <c r="CH3478">
        <v>-2.72</v>
      </c>
      <c r="CI3478">
        <v>0</v>
      </c>
      <c r="CJ3478">
        <v>8.6999999999999993</v>
      </c>
      <c r="CK3478">
        <v>82</v>
      </c>
      <c r="CL3478">
        <v>0.39</v>
      </c>
      <c r="CM3478">
        <v>78</v>
      </c>
      <c r="CN3478">
        <v>-0.14000000000000001</v>
      </c>
      <c r="CO3478">
        <v>76</v>
      </c>
      <c r="CP3478">
        <v>1.3</v>
      </c>
      <c r="CQ3478">
        <v>73</v>
      </c>
      <c r="CR3478">
        <v>0</v>
      </c>
      <c r="CS3478">
        <v>0</v>
      </c>
      <c r="CT3478">
        <v>-4.5999999999999996</v>
      </c>
      <c r="CU3478">
        <v>76</v>
      </c>
      <c r="CV3478">
        <v>0.11</v>
      </c>
      <c r="CW3478">
        <v>42</v>
      </c>
      <c r="CX3478" t="s">
        <v>247</v>
      </c>
    </row>
    <row r="3479" spans="1:102" x14ac:dyDescent="0.3">
      <c r="A3479" t="str">
        <f>HYPERLINK("https://webapp.icbf.com/v2/app/bull-search/view/77859676","BHL")</f>
        <v>BHL</v>
      </c>
      <c r="B3479" t="s">
        <v>781</v>
      </c>
      <c r="C3479" t="s">
        <v>782</v>
      </c>
      <c r="D3479" s="1">
        <v>31794</v>
      </c>
      <c r="E3479" t="s">
        <v>92</v>
      </c>
      <c r="F3479">
        <v>100</v>
      </c>
      <c r="G3479" t="s">
        <v>93</v>
      </c>
      <c r="H3479">
        <v>-39.44</v>
      </c>
      <c r="I3479">
        <v>57</v>
      </c>
      <c r="J3479">
        <v>-41.35</v>
      </c>
      <c r="K3479">
        <v>74</v>
      </c>
      <c r="L3479">
        <v>7.76</v>
      </c>
      <c r="M3479">
        <v>48</v>
      </c>
      <c r="N3479">
        <v>1.1399999999999999</v>
      </c>
      <c r="O3479">
        <v>52</v>
      </c>
      <c r="P3479">
        <v>-11.63</v>
      </c>
      <c r="Q3479">
        <v>55</v>
      </c>
      <c r="R3479">
        <v>-1.65</v>
      </c>
      <c r="S3479">
        <v>53</v>
      </c>
      <c r="T3479">
        <v>9.4600000000000009</v>
      </c>
      <c r="U3479">
        <v>55</v>
      </c>
      <c r="V3479">
        <v>-3.17</v>
      </c>
      <c r="W3479">
        <v>15</v>
      </c>
      <c r="X3479" t="s">
        <v>110</v>
      </c>
      <c r="Y3479" t="s">
        <v>95</v>
      </c>
      <c r="Z3479" t="s">
        <v>96</v>
      </c>
      <c r="AA3479" t="s">
        <v>783</v>
      </c>
      <c r="AB3479" t="s">
        <v>784</v>
      </c>
      <c r="AC3479">
        <v>17</v>
      </c>
      <c r="AD3479">
        <v>16</v>
      </c>
      <c r="AE3479">
        <v>74</v>
      </c>
      <c r="AF3479">
        <v>-377.66</v>
      </c>
      <c r="AG3479">
        <v>-4.08</v>
      </c>
      <c r="AH3479">
        <v>-11.37</v>
      </c>
      <c r="AI3479">
        <v>0.19</v>
      </c>
      <c r="AJ3479">
        <v>0.03</v>
      </c>
      <c r="AK3479">
        <v>48</v>
      </c>
      <c r="AL3479">
        <v>30</v>
      </c>
      <c r="AM3479">
        <v>23</v>
      </c>
      <c r="AN3479">
        <v>0.47</v>
      </c>
      <c r="AO3479">
        <v>1.1000000000000001</v>
      </c>
      <c r="AP3479">
        <v>14</v>
      </c>
      <c r="AQ3479">
        <v>0</v>
      </c>
      <c r="AR3479">
        <v>7.5</v>
      </c>
      <c r="AS3479">
        <v>24</v>
      </c>
      <c r="AT3479">
        <v>3.44</v>
      </c>
      <c r="AU3479">
        <v>46</v>
      </c>
      <c r="AV3479">
        <v>-0.49</v>
      </c>
      <c r="AW3479">
        <v>69</v>
      </c>
      <c r="AX3479">
        <v>-0.51</v>
      </c>
      <c r="AY3479">
        <v>54</v>
      </c>
      <c r="AZ3479">
        <v>6.86</v>
      </c>
      <c r="BA3479">
        <v>21</v>
      </c>
      <c r="BB3479">
        <v>5.18</v>
      </c>
      <c r="BC3479">
        <v>31</v>
      </c>
      <c r="BD3479">
        <v>0</v>
      </c>
      <c r="BE3479">
        <v>0.02</v>
      </c>
      <c r="BF3479">
        <v>0</v>
      </c>
      <c r="BG3479">
        <v>70</v>
      </c>
      <c r="BH3479">
        <v>-0.03</v>
      </c>
      <c r="BI3479">
        <v>6.74</v>
      </c>
      <c r="BJ3479">
        <v>5</v>
      </c>
      <c r="BK3479">
        <v>4</v>
      </c>
      <c r="BL3479">
        <v>0.16</v>
      </c>
      <c r="BM3479">
        <v>1.07</v>
      </c>
      <c r="BN3479">
        <v>1.21</v>
      </c>
      <c r="BO3479">
        <v>-0.48</v>
      </c>
      <c r="BP3479">
        <v>0.87</v>
      </c>
      <c r="BQ3479">
        <v>0.42</v>
      </c>
      <c r="BR3479">
        <v>1.47</v>
      </c>
      <c r="BS3479">
        <v>-2.1</v>
      </c>
      <c r="BT3479">
        <v>-1.64</v>
      </c>
      <c r="BU3479">
        <v>-0.35</v>
      </c>
      <c r="BV3479">
        <v>-1.0900000000000001</v>
      </c>
      <c r="BW3479">
        <v>0.38</v>
      </c>
      <c r="BX3479">
        <v>-0.83</v>
      </c>
      <c r="BY3479">
        <v>-0.88</v>
      </c>
      <c r="BZ3479">
        <v>3.3</v>
      </c>
      <c r="CA3479">
        <v>-1.32</v>
      </c>
      <c r="CB3479">
        <v>-0.82</v>
      </c>
      <c r="CC3479">
        <v>-1.56</v>
      </c>
      <c r="CD3479">
        <v>0.85</v>
      </c>
      <c r="CE3479">
        <v>-7.0000000000000007E-2</v>
      </c>
      <c r="CF3479">
        <v>1.05</v>
      </c>
      <c r="CG3479">
        <v>0</v>
      </c>
      <c r="CH3479">
        <v>-0.1</v>
      </c>
      <c r="CI3479">
        <v>0</v>
      </c>
      <c r="CJ3479">
        <v>-6.4</v>
      </c>
      <c r="CK3479">
        <v>56</v>
      </c>
      <c r="CL3479">
        <v>-0.51</v>
      </c>
      <c r="CM3479">
        <v>52</v>
      </c>
      <c r="CN3479">
        <v>-0.28999999999999998</v>
      </c>
      <c r="CO3479">
        <v>47</v>
      </c>
      <c r="CP3479">
        <v>-6.2</v>
      </c>
      <c r="CQ3479">
        <v>64</v>
      </c>
      <c r="CR3479">
        <v>0</v>
      </c>
      <c r="CS3479">
        <v>0</v>
      </c>
      <c r="CT3479">
        <v>1</v>
      </c>
      <c r="CU3479">
        <v>55</v>
      </c>
      <c r="CV3479">
        <v>0</v>
      </c>
      <c r="CW3479">
        <v>14</v>
      </c>
      <c r="CX3479" t="s">
        <v>785</v>
      </c>
    </row>
    <row r="3480" spans="1:102" x14ac:dyDescent="0.3">
      <c r="A3480" t="str">
        <f>HYPERLINK("https://webapp.icbf.com/v2/app/bull-search/view/495513239","PUA")</f>
        <v>PUA</v>
      </c>
      <c r="B3480" t="s">
        <v>4813</v>
      </c>
      <c r="C3480" t="s">
        <v>4814</v>
      </c>
      <c r="D3480" s="1">
        <v>37224</v>
      </c>
      <c r="E3480" t="s">
        <v>92</v>
      </c>
      <c r="F3480">
        <v>100</v>
      </c>
      <c r="G3480" t="s">
        <v>93</v>
      </c>
      <c r="H3480">
        <v>-39.5</v>
      </c>
      <c r="I3480">
        <v>96</v>
      </c>
      <c r="J3480">
        <v>-12.85</v>
      </c>
      <c r="K3480">
        <v>99</v>
      </c>
      <c r="L3480">
        <v>-8.6199999999999992</v>
      </c>
      <c r="M3480">
        <v>94</v>
      </c>
      <c r="N3480">
        <v>-23.74</v>
      </c>
      <c r="O3480">
        <v>97</v>
      </c>
      <c r="P3480">
        <v>-8.23</v>
      </c>
      <c r="Q3480">
        <v>99</v>
      </c>
      <c r="R3480">
        <v>18.54</v>
      </c>
      <c r="S3480">
        <v>92</v>
      </c>
      <c r="T3480">
        <v>-4.97</v>
      </c>
      <c r="U3480">
        <v>97</v>
      </c>
      <c r="V3480">
        <v>0.37</v>
      </c>
      <c r="W3480">
        <v>92</v>
      </c>
      <c r="X3480" t="s">
        <v>276</v>
      </c>
      <c r="Y3480" t="s">
        <v>95</v>
      </c>
      <c r="Z3480" t="s">
        <v>96</v>
      </c>
      <c r="AA3480" t="s">
        <v>311</v>
      </c>
      <c r="AB3480" t="s">
        <v>4815</v>
      </c>
      <c r="AC3480">
        <v>889</v>
      </c>
      <c r="AD3480">
        <v>288</v>
      </c>
      <c r="AE3480">
        <v>99</v>
      </c>
      <c r="AF3480">
        <v>76.08</v>
      </c>
      <c r="AG3480">
        <v>-5.43</v>
      </c>
      <c r="AH3480">
        <v>0.9</v>
      </c>
      <c r="AI3480">
        <v>-0.14000000000000001</v>
      </c>
      <c r="AJ3480">
        <v>-0.03</v>
      </c>
      <c r="AK3480">
        <v>94</v>
      </c>
      <c r="AL3480">
        <v>815</v>
      </c>
      <c r="AM3480">
        <v>265</v>
      </c>
      <c r="AN3480">
        <v>1.03</v>
      </c>
      <c r="AO3480">
        <v>0.35</v>
      </c>
      <c r="AP3480">
        <v>1348</v>
      </c>
      <c r="AQ3480">
        <v>3</v>
      </c>
      <c r="AR3480">
        <v>11.39</v>
      </c>
      <c r="AS3480">
        <v>97</v>
      </c>
      <c r="AT3480">
        <v>5.15</v>
      </c>
      <c r="AU3480">
        <v>97</v>
      </c>
      <c r="AV3480">
        <v>-1.01</v>
      </c>
      <c r="AW3480">
        <v>99</v>
      </c>
      <c r="AX3480">
        <v>0.55000000000000004</v>
      </c>
      <c r="AY3480">
        <v>97</v>
      </c>
      <c r="AZ3480">
        <v>5.31</v>
      </c>
      <c r="BA3480">
        <v>92</v>
      </c>
      <c r="BB3480">
        <v>4.49</v>
      </c>
      <c r="BC3480">
        <v>91</v>
      </c>
      <c r="BD3480">
        <v>-0.08</v>
      </c>
      <c r="BE3480">
        <v>-7.0000000000000007E-2</v>
      </c>
      <c r="BF3480">
        <v>-0.16</v>
      </c>
      <c r="BG3480">
        <v>98</v>
      </c>
      <c r="BH3480">
        <v>-0.06</v>
      </c>
      <c r="BI3480">
        <v>-8.1300000000000008</v>
      </c>
      <c r="BJ3480">
        <v>391</v>
      </c>
      <c r="BK3480">
        <v>121</v>
      </c>
      <c r="BL3480">
        <v>1.46</v>
      </c>
      <c r="BM3480">
        <v>-1.76</v>
      </c>
      <c r="BN3480">
        <v>-1.19</v>
      </c>
      <c r="BO3480">
        <v>0.47</v>
      </c>
      <c r="BP3480">
        <v>-0.31</v>
      </c>
      <c r="BQ3480">
        <v>0.88</v>
      </c>
      <c r="BR3480">
        <v>2.19</v>
      </c>
      <c r="BS3480">
        <v>0.26</v>
      </c>
      <c r="BT3480">
        <v>-0.94</v>
      </c>
      <c r="BU3480">
        <v>2.29</v>
      </c>
      <c r="BV3480">
        <v>1.82</v>
      </c>
      <c r="BW3480">
        <v>4.01</v>
      </c>
      <c r="BX3480">
        <v>3.22</v>
      </c>
      <c r="BY3480">
        <v>1.66</v>
      </c>
      <c r="BZ3480">
        <v>-0.99</v>
      </c>
      <c r="CA3480">
        <v>1.79</v>
      </c>
      <c r="CB3480">
        <v>1.87</v>
      </c>
      <c r="CC3480">
        <v>0.52</v>
      </c>
      <c r="CD3480">
        <v>-1.01</v>
      </c>
      <c r="CE3480">
        <v>0.4</v>
      </c>
      <c r="CF3480">
        <v>0.52</v>
      </c>
      <c r="CG3480">
        <v>0</v>
      </c>
      <c r="CH3480">
        <v>1.65</v>
      </c>
      <c r="CI3480">
        <v>0</v>
      </c>
      <c r="CJ3480">
        <v>-4.7</v>
      </c>
      <c r="CK3480">
        <v>99</v>
      </c>
      <c r="CL3480">
        <v>-1.1599999999999999</v>
      </c>
      <c r="CM3480">
        <v>98</v>
      </c>
      <c r="CN3480">
        <v>-0.79</v>
      </c>
      <c r="CO3480">
        <v>98</v>
      </c>
      <c r="CP3480">
        <v>6.5</v>
      </c>
      <c r="CQ3480">
        <v>98</v>
      </c>
      <c r="CR3480">
        <v>0</v>
      </c>
      <c r="CS3480">
        <v>0</v>
      </c>
      <c r="CT3480">
        <v>20.5</v>
      </c>
      <c r="CU3480">
        <v>97</v>
      </c>
      <c r="CV3480">
        <v>0.15</v>
      </c>
      <c r="CW3480">
        <v>46</v>
      </c>
      <c r="CX3480" t="s">
        <v>4816</v>
      </c>
    </row>
    <row r="3481" spans="1:102" x14ac:dyDescent="0.3">
      <c r="A3481" t="str">
        <f>HYPERLINK("https://webapp.icbf.com/v2/app/bull-search/view/77860246","CEO")</f>
        <v>CEO</v>
      </c>
      <c r="B3481" t="s">
        <v>614</v>
      </c>
      <c r="C3481" t="s">
        <v>615</v>
      </c>
      <c r="D3481" s="1">
        <v>33178</v>
      </c>
      <c r="E3481" t="s">
        <v>92</v>
      </c>
      <c r="F3481">
        <v>100</v>
      </c>
      <c r="G3481" t="s">
        <v>93</v>
      </c>
      <c r="H3481">
        <v>-39.51</v>
      </c>
      <c r="I3481">
        <v>97</v>
      </c>
      <c r="J3481">
        <v>-5.6</v>
      </c>
      <c r="K3481">
        <v>99</v>
      </c>
      <c r="L3481">
        <v>-34.39</v>
      </c>
      <c r="M3481">
        <v>95</v>
      </c>
      <c r="N3481">
        <v>-6.74</v>
      </c>
      <c r="O3481">
        <v>99</v>
      </c>
      <c r="P3481">
        <v>-15.67</v>
      </c>
      <c r="Q3481">
        <v>99</v>
      </c>
      <c r="R3481">
        <v>4.5999999999999996</v>
      </c>
      <c r="S3481">
        <v>96</v>
      </c>
      <c r="T3481">
        <v>12.79</v>
      </c>
      <c r="U3481">
        <v>99</v>
      </c>
      <c r="V3481">
        <v>5.5</v>
      </c>
      <c r="W3481">
        <v>96</v>
      </c>
      <c r="X3481" t="s">
        <v>131</v>
      </c>
      <c r="Y3481" t="s">
        <v>95</v>
      </c>
      <c r="Z3481" t="s">
        <v>96</v>
      </c>
      <c r="AA3481" t="s">
        <v>111</v>
      </c>
      <c r="AB3481" t="s">
        <v>616</v>
      </c>
      <c r="AC3481">
        <v>2155</v>
      </c>
      <c r="AD3481">
        <v>744</v>
      </c>
      <c r="AE3481">
        <v>99</v>
      </c>
      <c r="AF3481">
        <v>136.24</v>
      </c>
      <c r="AG3481">
        <v>-0.7</v>
      </c>
      <c r="AH3481">
        <v>1.38</v>
      </c>
      <c r="AI3481">
        <v>-0.1</v>
      </c>
      <c r="AJ3481">
        <v>-0.06</v>
      </c>
      <c r="AK3481">
        <v>95</v>
      </c>
      <c r="AL3481">
        <v>2082</v>
      </c>
      <c r="AM3481">
        <v>715</v>
      </c>
      <c r="AN3481">
        <v>2.0499999999999998</v>
      </c>
      <c r="AO3481">
        <v>-0.69</v>
      </c>
      <c r="AP3481">
        <v>2680</v>
      </c>
      <c r="AQ3481">
        <v>8</v>
      </c>
      <c r="AR3481">
        <v>10.75</v>
      </c>
      <c r="AS3481">
        <v>97</v>
      </c>
      <c r="AT3481">
        <v>4.42</v>
      </c>
      <c r="AU3481">
        <v>99</v>
      </c>
      <c r="AV3481">
        <v>-1.83</v>
      </c>
      <c r="AW3481">
        <v>99</v>
      </c>
      <c r="AX3481">
        <v>0.31</v>
      </c>
      <c r="AY3481">
        <v>99</v>
      </c>
      <c r="AZ3481">
        <v>5.41</v>
      </c>
      <c r="BA3481">
        <v>96</v>
      </c>
      <c r="BB3481">
        <v>4.79</v>
      </c>
      <c r="BC3481">
        <v>97</v>
      </c>
      <c r="BD3481">
        <v>-0.01</v>
      </c>
      <c r="BE3481">
        <v>-0.01</v>
      </c>
      <c r="BF3481">
        <v>-7.0000000000000007E-2</v>
      </c>
      <c r="BG3481">
        <v>99</v>
      </c>
      <c r="BH3481">
        <v>0.19</v>
      </c>
      <c r="BI3481">
        <v>4.25</v>
      </c>
      <c r="BJ3481">
        <v>594</v>
      </c>
      <c r="BK3481">
        <v>233</v>
      </c>
      <c r="BL3481">
        <v>0.28000000000000003</v>
      </c>
      <c r="BM3481">
        <v>-0.47</v>
      </c>
      <c r="BN3481">
        <v>0.89</v>
      </c>
      <c r="BO3481">
        <v>0.88</v>
      </c>
      <c r="BP3481">
        <v>-0.75</v>
      </c>
      <c r="BQ3481">
        <v>0</v>
      </c>
      <c r="BR3481">
        <v>-1.33</v>
      </c>
      <c r="BS3481">
        <v>2.58</v>
      </c>
      <c r="BT3481">
        <v>0.78</v>
      </c>
      <c r="BU3481">
        <v>0.93</v>
      </c>
      <c r="BV3481">
        <v>0.8</v>
      </c>
      <c r="BW3481">
        <v>0.13</v>
      </c>
      <c r="BX3481">
        <v>0.26</v>
      </c>
      <c r="BY3481">
        <v>0.02</v>
      </c>
      <c r="BZ3481">
        <v>-1.82</v>
      </c>
      <c r="CA3481">
        <v>1.56</v>
      </c>
      <c r="CB3481">
        <v>0.91</v>
      </c>
      <c r="CC3481">
        <v>2.33</v>
      </c>
      <c r="CD3481">
        <v>-0.94</v>
      </c>
      <c r="CE3481">
        <v>0.91</v>
      </c>
      <c r="CF3481">
        <v>0.44</v>
      </c>
      <c r="CG3481">
        <v>0</v>
      </c>
      <c r="CH3481">
        <v>-0.02</v>
      </c>
      <c r="CI3481">
        <v>0</v>
      </c>
      <c r="CJ3481">
        <v>-7.8</v>
      </c>
      <c r="CK3481">
        <v>99</v>
      </c>
      <c r="CL3481">
        <v>-0.84</v>
      </c>
      <c r="CM3481">
        <v>99</v>
      </c>
      <c r="CN3481">
        <v>-0.41</v>
      </c>
      <c r="CO3481">
        <v>99</v>
      </c>
      <c r="CP3481">
        <v>-6.9</v>
      </c>
      <c r="CQ3481">
        <v>99</v>
      </c>
      <c r="CR3481">
        <v>0</v>
      </c>
      <c r="CS3481">
        <v>0</v>
      </c>
      <c r="CT3481">
        <v>-3.5</v>
      </c>
      <c r="CU3481">
        <v>99</v>
      </c>
      <c r="CV3481">
        <v>7.0000000000000007E-2</v>
      </c>
      <c r="CW3481">
        <v>47</v>
      </c>
      <c r="CX3481" t="s">
        <v>617</v>
      </c>
    </row>
    <row r="3482" spans="1:102" x14ac:dyDescent="0.3">
      <c r="A3482" t="str">
        <f>HYPERLINK("https://webapp.icbf.com/v2/app/bull-search/view/69091615","EUR")</f>
        <v>EUR</v>
      </c>
      <c r="B3482" t="s">
        <v>15698</v>
      </c>
      <c r="C3482" t="s">
        <v>15699</v>
      </c>
      <c r="D3482" s="1">
        <v>32783</v>
      </c>
      <c r="E3482" t="s">
        <v>140</v>
      </c>
      <c r="F3482">
        <v>0</v>
      </c>
      <c r="G3482" t="s">
        <v>109</v>
      </c>
      <c r="H3482">
        <v>-39.61</v>
      </c>
      <c r="I3482">
        <v>68</v>
      </c>
      <c r="J3482">
        <v>-54.12</v>
      </c>
      <c r="K3482">
        <v>85</v>
      </c>
      <c r="L3482">
        <v>22.19</v>
      </c>
      <c r="M3482">
        <v>63</v>
      </c>
      <c r="N3482">
        <v>-22.68</v>
      </c>
      <c r="O3482">
        <v>54</v>
      </c>
      <c r="P3482">
        <v>1.66</v>
      </c>
      <c r="Q3482">
        <v>59</v>
      </c>
      <c r="R3482">
        <v>4.2</v>
      </c>
      <c r="S3482">
        <v>63</v>
      </c>
      <c r="T3482">
        <v>27.44</v>
      </c>
      <c r="U3482">
        <v>55</v>
      </c>
      <c r="V3482">
        <v>-18.3</v>
      </c>
      <c r="W3482">
        <v>54</v>
      </c>
      <c r="X3482" t="s">
        <v>276</v>
      </c>
      <c r="Y3482" t="s">
        <v>95</v>
      </c>
      <c r="Z3482" t="s">
        <v>96</v>
      </c>
      <c r="AA3482" t="s">
        <v>2464</v>
      </c>
      <c r="AB3482" t="s">
        <v>15700</v>
      </c>
      <c r="AC3482">
        <v>0</v>
      </c>
      <c r="AD3482">
        <v>0</v>
      </c>
      <c r="AE3482">
        <v>85</v>
      </c>
      <c r="AF3482">
        <v>-159.06</v>
      </c>
      <c r="AG3482">
        <v>-11.39</v>
      </c>
      <c r="AH3482">
        <v>-7.61</v>
      </c>
      <c r="AI3482">
        <v>-0.09</v>
      </c>
      <c r="AJ3482">
        <v>-0.04</v>
      </c>
      <c r="AK3482">
        <v>63</v>
      </c>
      <c r="AL3482">
        <v>12</v>
      </c>
      <c r="AM3482">
        <v>11</v>
      </c>
      <c r="AN3482">
        <v>-1.18</v>
      </c>
      <c r="AO3482">
        <v>0.59</v>
      </c>
      <c r="AP3482">
        <v>6</v>
      </c>
      <c r="AQ3482">
        <v>0</v>
      </c>
      <c r="AR3482">
        <v>9.14</v>
      </c>
      <c r="AS3482">
        <v>46</v>
      </c>
      <c r="AT3482">
        <v>4</v>
      </c>
      <c r="AU3482">
        <v>57</v>
      </c>
      <c r="AV3482">
        <v>1.73</v>
      </c>
      <c r="AW3482">
        <v>57</v>
      </c>
      <c r="AX3482">
        <v>-0.28000000000000003</v>
      </c>
      <c r="AY3482">
        <v>56</v>
      </c>
      <c r="AZ3482">
        <v>6.04</v>
      </c>
      <c r="BA3482">
        <v>43</v>
      </c>
      <c r="BB3482">
        <v>4.45</v>
      </c>
      <c r="BC3482">
        <v>47</v>
      </c>
      <c r="BD3482">
        <v>0.02</v>
      </c>
      <c r="BE3482">
        <v>0</v>
      </c>
      <c r="BF3482">
        <v>-0.13</v>
      </c>
      <c r="BG3482">
        <v>71</v>
      </c>
      <c r="BH3482">
        <v>-0.35</v>
      </c>
      <c r="BI3482">
        <v>18.559999999999999</v>
      </c>
      <c r="BJ3482">
        <v>1</v>
      </c>
      <c r="BK3482">
        <v>1</v>
      </c>
      <c r="BL3482">
        <v>-0.76</v>
      </c>
      <c r="BM3482">
        <v>3.67</v>
      </c>
      <c r="BN3482">
        <v>-1.7</v>
      </c>
      <c r="BO3482">
        <v>-3.1</v>
      </c>
      <c r="BP3482">
        <v>4.8099999999999996</v>
      </c>
      <c r="BQ3482">
        <v>-2.02</v>
      </c>
      <c r="BR3482">
        <v>-2.92</v>
      </c>
      <c r="BS3482">
        <v>-0.39</v>
      </c>
      <c r="BT3482">
        <v>2.77</v>
      </c>
      <c r="BU3482">
        <v>-3.94</v>
      </c>
      <c r="BV3482">
        <v>-4.18</v>
      </c>
      <c r="BW3482">
        <v>-3.05</v>
      </c>
      <c r="BX3482">
        <v>-3.49</v>
      </c>
      <c r="BY3482">
        <v>-2.8</v>
      </c>
      <c r="BZ3482">
        <v>0.12</v>
      </c>
      <c r="CA3482">
        <v>-2.69</v>
      </c>
      <c r="CB3482">
        <v>-3.55</v>
      </c>
      <c r="CC3482">
        <v>-0.19</v>
      </c>
      <c r="CD3482">
        <v>3.79</v>
      </c>
      <c r="CE3482">
        <v>-3.03</v>
      </c>
      <c r="CF3482">
        <v>-0.93</v>
      </c>
      <c r="CG3482">
        <v>0</v>
      </c>
      <c r="CH3482">
        <v>-2.74</v>
      </c>
      <c r="CI3482">
        <v>0</v>
      </c>
      <c r="CJ3482">
        <v>-0.4</v>
      </c>
      <c r="CK3482">
        <v>60</v>
      </c>
      <c r="CL3482">
        <v>0.3</v>
      </c>
      <c r="CM3482">
        <v>58</v>
      </c>
      <c r="CN3482">
        <v>-0.06</v>
      </c>
      <c r="CO3482">
        <v>55</v>
      </c>
      <c r="CP3482">
        <v>-10.6</v>
      </c>
      <c r="CQ3482">
        <v>62</v>
      </c>
      <c r="CR3482">
        <v>0</v>
      </c>
      <c r="CS3482">
        <v>0</v>
      </c>
      <c r="CT3482">
        <v>-23.3</v>
      </c>
      <c r="CU3482">
        <v>55</v>
      </c>
      <c r="CV3482">
        <v>0.09</v>
      </c>
      <c r="CW3482">
        <v>37</v>
      </c>
      <c r="CX3482" t="s">
        <v>763</v>
      </c>
    </row>
    <row r="3483" spans="1:102" x14ac:dyDescent="0.3">
      <c r="A3483" t="str">
        <f>HYPERLINK("https://webapp.icbf.com/v2/app/bull-search/view/444535028","NDW")</f>
        <v>NDW</v>
      </c>
      <c r="B3483" t="s">
        <v>7228</v>
      </c>
      <c r="C3483" t="s">
        <v>7229</v>
      </c>
      <c r="D3483" s="1">
        <v>36596</v>
      </c>
      <c r="E3483" t="s">
        <v>92</v>
      </c>
      <c r="F3483">
        <v>100</v>
      </c>
      <c r="G3483" t="s">
        <v>109</v>
      </c>
      <c r="H3483">
        <v>-39.630000000000003</v>
      </c>
      <c r="I3483">
        <v>83</v>
      </c>
      <c r="J3483">
        <v>46.11</v>
      </c>
      <c r="K3483">
        <v>92</v>
      </c>
      <c r="L3483">
        <v>-106.94</v>
      </c>
      <c r="M3483">
        <v>84</v>
      </c>
      <c r="N3483">
        <v>17.489999999999998</v>
      </c>
      <c r="O3483">
        <v>75</v>
      </c>
      <c r="P3483">
        <v>7.79</v>
      </c>
      <c r="Q3483">
        <v>75</v>
      </c>
      <c r="R3483">
        <v>0.17</v>
      </c>
      <c r="S3483">
        <v>77</v>
      </c>
      <c r="T3483">
        <v>-0.31</v>
      </c>
      <c r="U3483">
        <v>70</v>
      </c>
      <c r="V3483">
        <v>-3.94</v>
      </c>
      <c r="W3483">
        <v>61</v>
      </c>
      <c r="X3483" t="s">
        <v>288</v>
      </c>
      <c r="Y3483" t="s">
        <v>1208</v>
      </c>
      <c r="Z3483" t="s">
        <v>96</v>
      </c>
      <c r="AA3483" t="s">
        <v>174</v>
      </c>
      <c r="AB3483" t="s">
        <v>7230</v>
      </c>
      <c r="AC3483">
        <v>0</v>
      </c>
      <c r="AD3483">
        <v>0</v>
      </c>
      <c r="AE3483">
        <v>92</v>
      </c>
      <c r="AF3483">
        <v>329.61</v>
      </c>
      <c r="AG3483">
        <v>14.04</v>
      </c>
      <c r="AH3483">
        <v>7.92</v>
      </c>
      <c r="AI3483">
        <v>0.02</v>
      </c>
      <c r="AJ3483">
        <v>-0.05</v>
      </c>
      <c r="AK3483">
        <v>84</v>
      </c>
      <c r="AL3483">
        <v>0</v>
      </c>
      <c r="AM3483">
        <v>0</v>
      </c>
      <c r="AN3483">
        <v>5.69</v>
      </c>
      <c r="AO3483">
        <v>-2.84</v>
      </c>
      <c r="AP3483">
        <v>46</v>
      </c>
      <c r="AQ3483">
        <v>0</v>
      </c>
      <c r="AR3483">
        <v>8.11</v>
      </c>
      <c r="AS3483">
        <v>59</v>
      </c>
      <c r="AT3483">
        <v>2.81</v>
      </c>
      <c r="AU3483">
        <v>91</v>
      </c>
      <c r="AV3483">
        <v>-2.58</v>
      </c>
      <c r="AW3483">
        <v>81</v>
      </c>
      <c r="AX3483">
        <v>-0.28000000000000003</v>
      </c>
      <c r="AY3483">
        <v>61</v>
      </c>
      <c r="AZ3483">
        <v>7.54</v>
      </c>
      <c r="BA3483">
        <v>49</v>
      </c>
      <c r="BB3483">
        <v>5.64</v>
      </c>
      <c r="BC3483">
        <v>52</v>
      </c>
      <c r="BD3483">
        <v>-0.03</v>
      </c>
      <c r="BE3483">
        <v>0.04</v>
      </c>
      <c r="BF3483">
        <v>-0.03</v>
      </c>
      <c r="BG3483">
        <v>92</v>
      </c>
      <c r="BH3483">
        <v>-0.12</v>
      </c>
      <c r="BI3483">
        <v>-1.1599999999999999</v>
      </c>
      <c r="BJ3483">
        <v>5</v>
      </c>
      <c r="BK3483">
        <v>3</v>
      </c>
      <c r="BL3483">
        <v>0.98</v>
      </c>
      <c r="BM3483">
        <v>-0.71</v>
      </c>
      <c r="BN3483">
        <v>0.21</v>
      </c>
      <c r="BO3483">
        <v>0.7</v>
      </c>
      <c r="BP3483">
        <v>-0.33</v>
      </c>
      <c r="BQ3483">
        <v>-0.52</v>
      </c>
      <c r="BR3483">
        <v>-1.0900000000000001</v>
      </c>
      <c r="BS3483">
        <v>-2.02</v>
      </c>
      <c r="BT3483">
        <v>-0.14000000000000001</v>
      </c>
      <c r="BU3483">
        <v>0.15</v>
      </c>
      <c r="BV3483">
        <v>0.74</v>
      </c>
      <c r="BW3483">
        <v>-0.15</v>
      </c>
      <c r="BX3483">
        <v>0.47</v>
      </c>
      <c r="BY3483">
        <v>2.14</v>
      </c>
      <c r="BZ3483">
        <v>-0.46</v>
      </c>
      <c r="CA3483">
        <v>0.32</v>
      </c>
      <c r="CB3483">
        <v>0.74</v>
      </c>
      <c r="CC3483">
        <v>-1.19</v>
      </c>
      <c r="CD3483">
        <v>-0.5</v>
      </c>
      <c r="CE3483">
        <v>0.33</v>
      </c>
      <c r="CF3483">
        <v>-0.28000000000000003</v>
      </c>
      <c r="CG3483">
        <v>0</v>
      </c>
      <c r="CH3483">
        <v>2.16</v>
      </c>
      <c r="CI3483">
        <v>0</v>
      </c>
      <c r="CJ3483">
        <v>9.5</v>
      </c>
      <c r="CK3483">
        <v>76</v>
      </c>
      <c r="CL3483">
        <v>-0.92</v>
      </c>
      <c r="CM3483">
        <v>74</v>
      </c>
      <c r="CN3483">
        <v>-0.31</v>
      </c>
      <c r="CO3483">
        <v>71</v>
      </c>
      <c r="CP3483">
        <v>3.6</v>
      </c>
      <c r="CQ3483">
        <v>73</v>
      </c>
      <c r="CR3483">
        <v>0</v>
      </c>
      <c r="CS3483">
        <v>0</v>
      </c>
      <c r="CT3483">
        <v>14.2</v>
      </c>
      <c r="CU3483">
        <v>70</v>
      </c>
      <c r="CV3483">
        <v>0.31</v>
      </c>
      <c r="CW3483">
        <v>41</v>
      </c>
      <c r="CX3483" t="s">
        <v>529</v>
      </c>
    </row>
    <row r="3484" spans="1:102" x14ac:dyDescent="0.3">
      <c r="A3484" t="str">
        <f>HYPERLINK("https://webapp.icbf.com/v2/app/bull-search/view/77857009","HMB")</f>
        <v>HMB</v>
      </c>
      <c r="B3484" t="s">
        <v>3841</v>
      </c>
      <c r="C3484" t="s">
        <v>985</v>
      </c>
      <c r="D3484" s="1">
        <v>34189</v>
      </c>
      <c r="E3484" t="s">
        <v>92</v>
      </c>
      <c r="F3484">
        <v>100</v>
      </c>
      <c r="G3484" t="s">
        <v>93</v>
      </c>
      <c r="H3484">
        <v>-39.74</v>
      </c>
      <c r="I3484">
        <v>95</v>
      </c>
      <c r="J3484">
        <v>53.59</v>
      </c>
      <c r="K3484">
        <v>98</v>
      </c>
      <c r="L3484">
        <v>-127.56</v>
      </c>
      <c r="M3484">
        <v>95</v>
      </c>
      <c r="N3484">
        <v>24.44</v>
      </c>
      <c r="O3484">
        <v>93</v>
      </c>
      <c r="P3484">
        <v>-7.11</v>
      </c>
      <c r="Q3484">
        <v>95</v>
      </c>
      <c r="R3484">
        <v>-7.71</v>
      </c>
      <c r="S3484">
        <v>91</v>
      </c>
      <c r="T3484">
        <v>20.49</v>
      </c>
      <c r="U3484">
        <v>92</v>
      </c>
      <c r="V3484">
        <v>4.12</v>
      </c>
      <c r="W3484">
        <v>87</v>
      </c>
      <c r="X3484" t="s">
        <v>94</v>
      </c>
      <c r="Y3484" t="s">
        <v>95</v>
      </c>
      <c r="Z3484" t="s">
        <v>96</v>
      </c>
      <c r="AA3484" t="s">
        <v>3842</v>
      </c>
      <c r="AB3484" t="s">
        <v>3843</v>
      </c>
      <c r="AC3484">
        <v>167</v>
      </c>
      <c r="AD3484">
        <v>89</v>
      </c>
      <c r="AE3484">
        <v>98</v>
      </c>
      <c r="AF3484">
        <v>22.94</v>
      </c>
      <c r="AG3484">
        <v>17.03</v>
      </c>
      <c r="AH3484">
        <v>3.44</v>
      </c>
      <c r="AI3484">
        <v>0.28000000000000003</v>
      </c>
      <c r="AJ3484">
        <v>0.05</v>
      </c>
      <c r="AK3484">
        <v>95</v>
      </c>
      <c r="AL3484">
        <v>166</v>
      </c>
      <c r="AM3484">
        <v>81</v>
      </c>
      <c r="AN3484">
        <v>7.17</v>
      </c>
      <c r="AO3484">
        <v>-3</v>
      </c>
      <c r="AP3484">
        <v>65</v>
      </c>
      <c r="AQ3484">
        <v>0</v>
      </c>
      <c r="AR3484">
        <v>7.91</v>
      </c>
      <c r="AS3484">
        <v>89</v>
      </c>
      <c r="AT3484">
        <v>2.87</v>
      </c>
      <c r="AU3484">
        <v>98</v>
      </c>
      <c r="AV3484">
        <v>-2.81</v>
      </c>
      <c r="AW3484">
        <v>93</v>
      </c>
      <c r="AX3484">
        <v>0.36</v>
      </c>
      <c r="AY3484">
        <v>91</v>
      </c>
      <c r="AZ3484">
        <v>5.92</v>
      </c>
      <c r="BA3484">
        <v>85</v>
      </c>
      <c r="BB3484">
        <v>4.8099999999999996</v>
      </c>
      <c r="BC3484">
        <v>87</v>
      </c>
      <c r="BD3484">
        <v>-0.01</v>
      </c>
      <c r="BE3484">
        <v>0.06</v>
      </c>
      <c r="BF3484">
        <v>0.08</v>
      </c>
      <c r="BG3484">
        <v>96</v>
      </c>
      <c r="BH3484">
        <v>0.05</v>
      </c>
      <c r="BI3484">
        <v>-7.51</v>
      </c>
      <c r="BJ3484">
        <v>14</v>
      </c>
      <c r="BK3484">
        <v>9</v>
      </c>
      <c r="BL3484">
        <v>-0.69</v>
      </c>
      <c r="BM3484">
        <v>-0.76</v>
      </c>
      <c r="BN3484">
        <v>-0.48</v>
      </c>
      <c r="BO3484">
        <v>-0.1</v>
      </c>
      <c r="BP3484">
        <v>0.01</v>
      </c>
      <c r="BQ3484">
        <v>-2.0299999999999998</v>
      </c>
      <c r="BR3484">
        <v>2.0699999999999998</v>
      </c>
      <c r="BS3484">
        <v>-2.1</v>
      </c>
      <c r="BT3484">
        <v>-2.2000000000000002</v>
      </c>
      <c r="BU3484">
        <v>-1.08</v>
      </c>
      <c r="BV3484">
        <v>-0.19</v>
      </c>
      <c r="BW3484">
        <v>-0.26</v>
      </c>
      <c r="BX3484">
        <v>-1.04</v>
      </c>
      <c r="BY3484">
        <v>-0.56000000000000005</v>
      </c>
      <c r="BZ3484">
        <v>1.42</v>
      </c>
      <c r="CA3484">
        <v>-1.31</v>
      </c>
      <c r="CB3484">
        <v>-0.67</v>
      </c>
      <c r="CC3484">
        <v>-1.84</v>
      </c>
      <c r="CD3484">
        <v>-0.95</v>
      </c>
      <c r="CE3484">
        <v>-0.49</v>
      </c>
      <c r="CF3484">
        <v>-0.7</v>
      </c>
      <c r="CG3484">
        <v>0</v>
      </c>
      <c r="CH3484">
        <v>-0.34</v>
      </c>
      <c r="CI3484">
        <v>0</v>
      </c>
      <c r="CJ3484">
        <v>-0.8</v>
      </c>
      <c r="CK3484">
        <v>95</v>
      </c>
      <c r="CL3484">
        <v>-0.54</v>
      </c>
      <c r="CM3484">
        <v>95</v>
      </c>
      <c r="CN3484">
        <v>-0.08</v>
      </c>
      <c r="CO3484">
        <v>94</v>
      </c>
      <c r="CP3484">
        <v>-9.1</v>
      </c>
      <c r="CQ3484">
        <v>95</v>
      </c>
      <c r="CR3484">
        <v>0</v>
      </c>
      <c r="CS3484">
        <v>0</v>
      </c>
      <c r="CT3484">
        <v>-13.9</v>
      </c>
      <c r="CU3484">
        <v>92</v>
      </c>
      <c r="CV3484">
        <v>0.19</v>
      </c>
      <c r="CW3484">
        <v>46</v>
      </c>
      <c r="CX3484" t="s">
        <v>193</v>
      </c>
    </row>
    <row r="3485" spans="1:102" x14ac:dyDescent="0.3">
      <c r="A3485" t="str">
        <f>HYPERLINK("https://webapp.icbf.com/v2/app/bull-search/view/77858176","EIS")</f>
        <v>EIS</v>
      </c>
      <c r="B3485" t="s">
        <v>4011</v>
      </c>
      <c r="C3485" t="s">
        <v>4012</v>
      </c>
      <c r="D3485" s="1">
        <v>35709</v>
      </c>
      <c r="E3485" t="s">
        <v>92</v>
      </c>
      <c r="F3485">
        <v>97</v>
      </c>
      <c r="G3485" t="s">
        <v>93</v>
      </c>
      <c r="H3485">
        <v>-39.770000000000003</v>
      </c>
      <c r="I3485">
        <v>86</v>
      </c>
      <c r="J3485">
        <v>23.55</v>
      </c>
      <c r="K3485">
        <v>97</v>
      </c>
      <c r="L3485">
        <v>-78.12</v>
      </c>
      <c r="M3485">
        <v>80</v>
      </c>
      <c r="N3485">
        <v>17.77</v>
      </c>
      <c r="O3485">
        <v>76</v>
      </c>
      <c r="P3485">
        <v>-3.61</v>
      </c>
      <c r="Q3485">
        <v>87</v>
      </c>
      <c r="R3485">
        <v>-9.74</v>
      </c>
      <c r="S3485">
        <v>78</v>
      </c>
      <c r="T3485">
        <v>14.49</v>
      </c>
      <c r="U3485">
        <v>90</v>
      </c>
      <c r="V3485">
        <v>-4.1100000000000003</v>
      </c>
      <c r="W3485">
        <v>68</v>
      </c>
      <c r="X3485" t="s">
        <v>94</v>
      </c>
      <c r="Y3485" t="s">
        <v>95</v>
      </c>
      <c r="Z3485" t="s">
        <v>96</v>
      </c>
      <c r="AA3485" t="s">
        <v>2824</v>
      </c>
      <c r="AB3485" t="s">
        <v>4013</v>
      </c>
      <c r="AC3485">
        <v>84</v>
      </c>
      <c r="AD3485">
        <v>68</v>
      </c>
      <c r="AE3485">
        <v>97</v>
      </c>
      <c r="AF3485">
        <v>121.16</v>
      </c>
      <c r="AG3485">
        <v>4.38</v>
      </c>
      <c r="AH3485">
        <v>4.3099999999999996</v>
      </c>
      <c r="AI3485">
        <v>-0.01</v>
      </c>
      <c r="AJ3485">
        <v>0</v>
      </c>
      <c r="AK3485">
        <v>80</v>
      </c>
      <c r="AL3485">
        <v>95</v>
      </c>
      <c r="AM3485">
        <v>74</v>
      </c>
      <c r="AN3485">
        <v>3.47</v>
      </c>
      <c r="AO3485">
        <v>-2.77</v>
      </c>
      <c r="AP3485">
        <v>11</v>
      </c>
      <c r="AQ3485">
        <v>0</v>
      </c>
      <c r="AR3485">
        <v>6.29</v>
      </c>
      <c r="AS3485">
        <v>66</v>
      </c>
      <c r="AT3485">
        <v>3.45</v>
      </c>
      <c r="AU3485">
        <v>79</v>
      </c>
      <c r="AV3485">
        <v>-2</v>
      </c>
      <c r="AW3485">
        <v>79</v>
      </c>
      <c r="AX3485">
        <v>-0.54</v>
      </c>
      <c r="AY3485">
        <v>81</v>
      </c>
      <c r="AZ3485">
        <v>6.26</v>
      </c>
      <c r="BA3485">
        <v>62</v>
      </c>
      <c r="BB3485">
        <v>5.08</v>
      </c>
      <c r="BC3485">
        <v>68</v>
      </c>
      <c r="BD3485">
        <v>0.03</v>
      </c>
      <c r="BE3485">
        <v>0.06</v>
      </c>
      <c r="BF3485">
        <v>0.06</v>
      </c>
      <c r="BG3485">
        <v>89</v>
      </c>
      <c r="BH3485">
        <v>-0.15</v>
      </c>
      <c r="BI3485">
        <v>-4.0999999999999996</v>
      </c>
      <c r="BJ3485">
        <v>33</v>
      </c>
      <c r="BK3485">
        <v>25</v>
      </c>
      <c r="BL3485">
        <v>0.1</v>
      </c>
      <c r="BM3485">
        <v>-1.0900000000000001</v>
      </c>
      <c r="BN3485">
        <v>0.8</v>
      </c>
      <c r="BO3485">
        <v>0.97</v>
      </c>
      <c r="BP3485">
        <v>-1.92</v>
      </c>
      <c r="BQ3485">
        <v>-0.42</v>
      </c>
      <c r="BR3485">
        <v>1.69</v>
      </c>
      <c r="BS3485">
        <v>-0.56999999999999995</v>
      </c>
      <c r="BT3485">
        <v>-1.53</v>
      </c>
      <c r="BU3485">
        <v>0.51</v>
      </c>
      <c r="BV3485">
        <v>0.49</v>
      </c>
      <c r="BW3485">
        <v>0.17</v>
      </c>
      <c r="BX3485">
        <v>0.14000000000000001</v>
      </c>
      <c r="BY3485">
        <v>0.57999999999999996</v>
      </c>
      <c r="BZ3485">
        <v>-1.71</v>
      </c>
      <c r="CA3485">
        <v>0.39</v>
      </c>
      <c r="CB3485">
        <v>0.56999999999999995</v>
      </c>
      <c r="CC3485">
        <v>-0.33</v>
      </c>
      <c r="CD3485">
        <v>-2.2400000000000002</v>
      </c>
      <c r="CE3485">
        <v>1.63</v>
      </c>
      <c r="CF3485">
        <v>0.33</v>
      </c>
      <c r="CG3485">
        <v>0</v>
      </c>
      <c r="CH3485">
        <v>0.57999999999999996</v>
      </c>
      <c r="CI3485">
        <v>0</v>
      </c>
      <c r="CJ3485">
        <v>1.6</v>
      </c>
      <c r="CK3485">
        <v>88</v>
      </c>
      <c r="CL3485">
        <v>-0.5</v>
      </c>
      <c r="CM3485">
        <v>86</v>
      </c>
      <c r="CN3485">
        <v>-0.03</v>
      </c>
      <c r="CO3485">
        <v>84</v>
      </c>
      <c r="CP3485">
        <v>-6.7</v>
      </c>
      <c r="CQ3485">
        <v>91</v>
      </c>
      <c r="CR3485">
        <v>0</v>
      </c>
      <c r="CS3485">
        <v>0</v>
      </c>
      <c r="CT3485">
        <v>-5.8</v>
      </c>
      <c r="CU3485">
        <v>90</v>
      </c>
      <c r="CV3485">
        <v>0.13</v>
      </c>
      <c r="CW3485">
        <v>43</v>
      </c>
      <c r="CX3485" t="s">
        <v>265</v>
      </c>
    </row>
    <row r="3486" spans="1:102" x14ac:dyDescent="0.3">
      <c r="A3486" t="str">
        <f>HYPERLINK("https://webapp.icbf.com/v2/app/bull-search/view/77857363","HBL")</f>
        <v>HBL</v>
      </c>
      <c r="B3486" t="s">
        <v>4935</v>
      </c>
      <c r="C3486" t="s">
        <v>4936</v>
      </c>
      <c r="D3486" s="1">
        <v>33910</v>
      </c>
      <c r="E3486" t="s">
        <v>92</v>
      </c>
      <c r="F3486">
        <v>100</v>
      </c>
      <c r="G3486" t="s">
        <v>93</v>
      </c>
      <c r="H3486">
        <v>-39.770000000000003</v>
      </c>
      <c r="I3486">
        <v>74</v>
      </c>
      <c r="J3486">
        <v>0.94</v>
      </c>
      <c r="K3486">
        <v>93</v>
      </c>
      <c r="L3486">
        <v>-28.9</v>
      </c>
      <c r="M3486">
        <v>66</v>
      </c>
      <c r="N3486">
        <v>-9.65</v>
      </c>
      <c r="O3486">
        <v>58</v>
      </c>
      <c r="P3486">
        <v>-11.26</v>
      </c>
      <c r="Q3486">
        <v>78</v>
      </c>
      <c r="R3486">
        <v>-0.06</v>
      </c>
      <c r="S3486">
        <v>70</v>
      </c>
      <c r="T3486">
        <v>12.2</v>
      </c>
      <c r="U3486">
        <v>69</v>
      </c>
      <c r="V3486">
        <v>-3.04</v>
      </c>
      <c r="W3486">
        <v>35</v>
      </c>
      <c r="X3486" t="s">
        <v>94</v>
      </c>
      <c r="Y3486" t="s">
        <v>95</v>
      </c>
      <c r="Z3486" t="s">
        <v>96</v>
      </c>
      <c r="AA3486" t="s">
        <v>111</v>
      </c>
      <c r="AB3486" t="s">
        <v>4937</v>
      </c>
      <c r="AC3486">
        <v>69</v>
      </c>
      <c r="AD3486">
        <v>64</v>
      </c>
      <c r="AE3486">
        <v>93</v>
      </c>
      <c r="AF3486">
        <v>-60.94</v>
      </c>
      <c r="AG3486">
        <v>3.75</v>
      </c>
      <c r="AH3486">
        <v>-2.1</v>
      </c>
      <c r="AI3486">
        <v>0.1</v>
      </c>
      <c r="AJ3486">
        <v>0</v>
      </c>
      <c r="AK3486">
        <v>66</v>
      </c>
      <c r="AL3486">
        <v>95</v>
      </c>
      <c r="AM3486">
        <v>80</v>
      </c>
      <c r="AN3486">
        <v>2.75</v>
      </c>
      <c r="AO3486">
        <v>0.46</v>
      </c>
      <c r="AP3486">
        <v>1</v>
      </c>
      <c r="AQ3486">
        <v>1</v>
      </c>
      <c r="AR3486">
        <v>8.8800000000000008</v>
      </c>
      <c r="AS3486">
        <v>36</v>
      </c>
      <c r="AT3486">
        <v>4.25</v>
      </c>
      <c r="AU3486">
        <v>54</v>
      </c>
      <c r="AV3486">
        <v>-0.75</v>
      </c>
      <c r="AW3486">
        <v>65</v>
      </c>
      <c r="AX3486">
        <v>-0.32</v>
      </c>
      <c r="AY3486">
        <v>68</v>
      </c>
      <c r="AZ3486">
        <v>6.26</v>
      </c>
      <c r="BA3486">
        <v>37</v>
      </c>
      <c r="BB3486">
        <v>5.4</v>
      </c>
      <c r="BC3486">
        <v>53</v>
      </c>
      <c r="BD3486">
        <v>0.02</v>
      </c>
      <c r="BE3486">
        <v>0.02</v>
      </c>
      <c r="BF3486">
        <v>-7.0000000000000007E-2</v>
      </c>
      <c r="BG3486">
        <v>87</v>
      </c>
      <c r="BH3486">
        <v>-0.03</v>
      </c>
      <c r="BI3486">
        <v>6.34</v>
      </c>
      <c r="BJ3486">
        <v>16</v>
      </c>
      <c r="BK3486">
        <v>14</v>
      </c>
      <c r="BL3486">
        <v>0.25</v>
      </c>
      <c r="BM3486">
        <v>-0.66</v>
      </c>
      <c r="BN3486">
        <v>0.56999999999999995</v>
      </c>
      <c r="BO3486">
        <v>0.54</v>
      </c>
      <c r="BP3486">
        <v>0.18</v>
      </c>
      <c r="BQ3486">
        <v>-0.15</v>
      </c>
      <c r="BR3486">
        <v>0.42</v>
      </c>
      <c r="BS3486">
        <v>0.33</v>
      </c>
      <c r="BT3486">
        <v>-0.45</v>
      </c>
      <c r="BU3486">
        <v>0.45</v>
      </c>
      <c r="BV3486">
        <v>-0.05</v>
      </c>
      <c r="BW3486">
        <v>0.65</v>
      </c>
      <c r="BX3486">
        <v>0.62</v>
      </c>
      <c r="BY3486">
        <v>0.96</v>
      </c>
      <c r="BZ3486">
        <v>-2.25</v>
      </c>
      <c r="CA3486">
        <v>0.68</v>
      </c>
      <c r="CB3486">
        <v>0.56999999999999995</v>
      </c>
      <c r="CC3486">
        <v>1.18</v>
      </c>
      <c r="CD3486">
        <v>-1.03</v>
      </c>
      <c r="CE3486">
        <v>0.5</v>
      </c>
      <c r="CF3486">
        <v>0.34</v>
      </c>
      <c r="CG3486">
        <v>0</v>
      </c>
      <c r="CH3486">
        <v>0.53</v>
      </c>
      <c r="CI3486">
        <v>0</v>
      </c>
      <c r="CJ3486">
        <v>-4.3</v>
      </c>
      <c r="CK3486">
        <v>79</v>
      </c>
      <c r="CL3486">
        <v>-0.7</v>
      </c>
      <c r="CM3486">
        <v>76</v>
      </c>
      <c r="CN3486">
        <v>-0.17</v>
      </c>
      <c r="CO3486">
        <v>73</v>
      </c>
      <c r="CP3486">
        <v>-0.6</v>
      </c>
      <c r="CQ3486">
        <v>80</v>
      </c>
      <c r="CR3486">
        <v>0</v>
      </c>
      <c r="CS3486">
        <v>0</v>
      </c>
      <c r="CT3486">
        <v>-2.7</v>
      </c>
      <c r="CU3486">
        <v>69</v>
      </c>
      <c r="CV3486">
        <v>0.1</v>
      </c>
      <c r="CW3486">
        <v>23</v>
      </c>
      <c r="CX3486" t="s">
        <v>154</v>
      </c>
    </row>
    <row r="3487" spans="1:102" x14ac:dyDescent="0.3">
      <c r="A3487" t="str">
        <f>HYPERLINK("https://webapp.icbf.com/v2/app/bull-search/view/496712357","HXE")</f>
        <v>HXE</v>
      </c>
      <c r="B3487" t="s">
        <v>4864</v>
      </c>
      <c r="C3487" t="s">
        <v>4865</v>
      </c>
      <c r="D3487" s="1">
        <v>39122</v>
      </c>
      <c r="E3487" t="s">
        <v>92</v>
      </c>
      <c r="F3487">
        <v>84</v>
      </c>
      <c r="G3487" t="s">
        <v>93</v>
      </c>
      <c r="H3487">
        <v>-40.03</v>
      </c>
      <c r="I3487">
        <v>85</v>
      </c>
      <c r="J3487">
        <v>66.34</v>
      </c>
      <c r="K3487">
        <v>96</v>
      </c>
      <c r="L3487">
        <v>-83.13</v>
      </c>
      <c r="M3487">
        <v>77</v>
      </c>
      <c r="N3487">
        <v>-17.95</v>
      </c>
      <c r="O3487">
        <v>81</v>
      </c>
      <c r="P3487">
        <v>3.75</v>
      </c>
      <c r="Q3487">
        <v>85</v>
      </c>
      <c r="R3487">
        <v>-0.91</v>
      </c>
      <c r="S3487">
        <v>78</v>
      </c>
      <c r="T3487">
        <v>-1.05</v>
      </c>
      <c r="U3487">
        <v>82</v>
      </c>
      <c r="V3487">
        <v>-7.08</v>
      </c>
      <c r="W3487">
        <v>75</v>
      </c>
      <c r="X3487" t="s">
        <v>94</v>
      </c>
      <c r="Y3487" t="s">
        <v>1113</v>
      </c>
      <c r="Z3487" t="s">
        <v>96</v>
      </c>
      <c r="AA3487" t="s">
        <v>771</v>
      </c>
      <c r="AB3487" t="s">
        <v>4866</v>
      </c>
      <c r="AC3487">
        <v>53</v>
      </c>
      <c r="AD3487">
        <v>43</v>
      </c>
      <c r="AE3487">
        <v>96</v>
      </c>
      <c r="AF3487">
        <v>150.12</v>
      </c>
      <c r="AG3487">
        <v>8.6199999999999992</v>
      </c>
      <c r="AH3487">
        <v>10.53</v>
      </c>
      <c r="AI3487">
        <v>0.05</v>
      </c>
      <c r="AJ3487">
        <v>0.09</v>
      </c>
      <c r="AK3487">
        <v>77</v>
      </c>
      <c r="AL3487">
        <v>60</v>
      </c>
      <c r="AM3487">
        <v>47</v>
      </c>
      <c r="AN3487">
        <v>3.7</v>
      </c>
      <c r="AO3487">
        <v>-2.94</v>
      </c>
      <c r="AP3487">
        <v>118</v>
      </c>
      <c r="AQ3487">
        <v>0</v>
      </c>
      <c r="AR3487">
        <v>9.68</v>
      </c>
      <c r="AS3487">
        <v>66</v>
      </c>
      <c r="AT3487">
        <v>4.3</v>
      </c>
      <c r="AU3487">
        <v>84</v>
      </c>
      <c r="AV3487">
        <v>-0.09</v>
      </c>
      <c r="AW3487">
        <v>93</v>
      </c>
      <c r="AX3487">
        <v>0.49</v>
      </c>
      <c r="AY3487">
        <v>73</v>
      </c>
      <c r="AZ3487">
        <v>6.68</v>
      </c>
      <c r="BA3487">
        <v>60</v>
      </c>
      <c r="BB3487">
        <v>4.82</v>
      </c>
      <c r="BC3487">
        <v>61</v>
      </c>
      <c r="BD3487">
        <v>0</v>
      </c>
      <c r="BE3487">
        <v>-0.01</v>
      </c>
      <c r="BF3487">
        <v>0.04</v>
      </c>
      <c r="BG3487">
        <v>86</v>
      </c>
      <c r="BH3487">
        <v>-0.18</v>
      </c>
      <c r="BI3487">
        <v>2.02</v>
      </c>
      <c r="BJ3487">
        <v>9</v>
      </c>
      <c r="BK3487">
        <v>7</v>
      </c>
      <c r="BL3487">
        <v>0.9</v>
      </c>
      <c r="BM3487">
        <v>0.21</v>
      </c>
      <c r="BN3487">
        <v>0.6</v>
      </c>
      <c r="BO3487">
        <v>0.31</v>
      </c>
      <c r="BP3487">
        <v>3.02</v>
      </c>
      <c r="BQ3487">
        <v>7.0000000000000007E-2</v>
      </c>
      <c r="BR3487">
        <v>-0.55000000000000004</v>
      </c>
      <c r="BS3487">
        <v>-1.1499999999999999</v>
      </c>
      <c r="BT3487">
        <v>0.94</v>
      </c>
      <c r="BU3487">
        <v>-1.84</v>
      </c>
      <c r="BV3487">
        <v>-0.78</v>
      </c>
      <c r="BW3487">
        <v>-0.26</v>
      </c>
      <c r="BX3487">
        <v>-2.1800000000000002</v>
      </c>
      <c r="BY3487">
        <v>0.79</v>
      </c>
      <c r="BZ3487">
        <v>0.51</v>
      </c>
      <c r="CA3487">
        <v>-0.76</v>
      </c>
      <c r="CB3487">
        <v>-0.83</v>
      </c>
      <c r="CC3487">
        <v>-0.77</v>
      </c>
      <c r="CD3487">
        <v>-0.53</v>
      </c>
      <c r="CE3487">
        <v>0.48</v>
      </c>
      <c r="CF3487">
        <v>0.55000000000000004</v>
      </c>
      <c r="CG3487">
        <v>0</v>
      </c>
      <c r="CH3487">
        <v>-0.02</v>
      </c>
      <c r="CI3487">
        <v>0</v>
      </c>
      <c r="CJ3487">
        <v>6.8</v>
      </c>
      <c r="CK3487">
        <v>86</v>
      </c>
      <c r="CL3487">
        <v>-0.77</v>
      </c>
      <c r="CM3487">
        <v>84</v>
      </c>
      <c r="CN3487">
        <v>-0.1</v>
      </c>
      <c r="CO3487">
        <v>82</v>
      </c>
      <c r="CP3487">
        <v>7.6</v>
      </c>
      <c r="CQ3487">
        <v>85</v>
      </c>
      <c r="CR3487">
        <v>0</v>
      </c>
      <c r="CS3487">
        <v>0</v>
      </c>
      <c r="CT3487">
        <v>15.2</v>
      </c>
      <c r="CU3487">
        <v>82</v>
      </c>
      <c r="CV3487">
        <v>0.43</v>
      </c>
      <c r="CW3487">
        <v>44</v>
      </c>
      <c r="CX3487" t="s">
        <v>4867</v>
      </c>
    </row>
    <row r="3488" spans="1:102" x14ac:dyDescent="0.3">
      <c r="A3488" t="str">
        <f>HYPERLINK("https://webapp.icbf.com/v2/app/bull-search/view/77858392","DIX")</f>
        <v>DIX</v>
      </c>
      <c r="B3488" t="s">
        <v>11017</v>
      </c>
      <c r="C3488" t="s">
        <v>11018</v>
      </c>
      <c r="D3488" s="1">
        <v>31485</v>
      </c>
      <c r="E3488" t="s">
        <v>108</v>
      </c>
      <c r="F3488">
        <v>3</v>
      </c>
      <c r="G3488" t="s">
        <v>116</v>
      </c>
      <c r="H3488">
        <v>-40.159999999999997</v>
      </c>
      <c r="I3488">
        <v>54</v>
      </c>
      <c r="J3488">
        <v>-59.68</v>
      </c>
      <c r="K3488">
        <v>67</v>
      </c>
      <c r="L3488">
        <v>32.049999999999997</v>
      </c>
      <c r="M3488">
        <v>50</v>
      </c>
      <c r="N3488">
        <v>-10.23</v>
      </c>
      <c r="O3488">
        <v>30</v>
      </c>
      <c r="P3488">
        <v>0.56000000000000005</v>
      </c>
      <c r="Q3488">
        <v>67</v>
      </c>
      <c r="R3488">
        <v>1.1000000000000001</v>
      </c>
      <c r="S3488">
        <v>49</v>
      </c>
      <c r="T3488">
        <v>-1.94</v>
      </c>
      <c r="U3488">
        <v>66</v>
      </c>
      <c r="V3488">
        <v>-2.02</v>
      </c>
      <c r="W3488">
        <v>7</v>
      </c>
      <c r="X3488" t="s">
        <v>102</v>
      </c>
      <c r="Y3488" t="s">
        <v>95</v>
      </c>
      <c r="Z3488" t="s">
        <v>96</v>
      </c>
      <c r="AA3488" t="s">
        <v>11019</v>
      </c>
      <c r="AB3488" t="s">
        <v>11020</v>
      </c>
      <c r="AC3488">
        <v>10</v>
      </c>
      <c r="AD3488">
        <v>10</v>
      </c>
      <c r="AE3488">
        <v>67</v>
      </c>
      <c r="AF3488">
        <v>-371.79</v>
      </c>
      <c r="AG3488">
        <v>-12.07</v>
      </c>
      <c r="AH3488">
        <v>-11.57</v>
      </c>
      <c r="AI3488">
        <v>0.04</v>
      </c>
      <c r="AJ3488">
        <v>0.02</v>
      </c>
      <c r="AK3488">
        <v>50</v>
      </c>
      <c r="AL3488">
        <v>49</v>
      </c>
      <c r="AM3488">
        <v>31</v>
      </c>
      <c r="AN3488">
        <v>-2.96</v>
      </c>
      <c r="AO3488">
        <v>-0.42</v>
      </c>
      <c r="AP3488">
        <v>3</v>
      </c>
      <c r="AQ3488">
        <v>1</v>
      </c>
      <c r="AR3488">
        <v>9.0299999999999994</v>
      </c>
      <c r="AS3488">
        <v>15</v>
      </c>
      <c r="AT3488">
        <v>3.66</v>
      </c>
      <c r="AU3488">
        <v>19</v>
      </c>
      <c r="AV3488">
        <v>-0.03</v>
      </c>
      <c r="AW3488">
        <v>39</v>
      </c>
      <c r="AX3488">
        <v>0.28000000000000003</v>
      </c>
      <c r="AY3488">
        <v>58</v>
      </c>
      <c r="AZ3488">
        <v>6.75</v>
      </c>
      <c r="BA3488">
        <v>11</v>
      </c>
      <c r="BB3488">
        <v>5.04</v>
      </c>
      <c r="BC3488">
        <v>17</v>
      </c>
      <c r="BD3488">
        <v>0.01</v>
      </c>
      <c r="BE3488">
        <v>0.02</v>
      </c>
      <c r="BF3488">
        <v>-0.08</v>
      </c>
      <c r="BG3488">
        <v>72</v>
      </c>
      <c r="BH3488">
        <v>-0.01</v>
      </c>
      <c r="BI3488">
        <v>5.35</v>
      </c>
      <c r="BJ3488">
        <v>11</v>
      </c>
      <c r="BK3488">
        <v>10</v>
      </c>
      <c r="BL3488">
        <v>-2.17</v>
      </c>
      <c r="BM3488">
        <v>1.98</v>
      </c>
      <c r="BN3488">
        <v>-1.35</v>
      </c>
      <c r="BO3488">
        <v>-2.46</v>
      </c>
      <c r="BP3488">
        <v>-0.59</v>
      </c>
      <c r="BQ3488">
        <v>0.35</v>
      </c>
      <c r="BR3488">
        <v>-0.88</v>
      </c>
      <c r="BS3488">
        <v>0.11</v>
      </c>
      <c r="BT3488">
        <v>0.21</v>
      </c>
      <c r="BU3488">
        <v>-0.94</v>
      </c>
      <c r="BV3488">
        <v>-1.48</v>
      </c>
      <c r="BW3488">
        <v>-1.82</v>
      </c>
      <c r="BX3488">
        <v>-0.95</v>
      </c>
      <c r="BY3488">
        <v>0.32</v>
      </c>
      <c r="BZ3488">
        <v>-1.01</v>
      </c>
      <c r="CA3488">
        <v>-1.63</v>
      </c>
      <c r="CB3488">
        <v>-1.57</v>
      </c>
      <c r="CC3488">
        <v>-1.1399999999999999</v>
      </c>
      <c r="CD3488">
        <v>2.68</v>
      </c>
      <c r="CE3488">
        <v>-2.5499999999999998</v>
      </c>
      <c r="CF3488">
        <v>-1.66</v>
      </c>
      <c r="CG3488">
        <v>0</v>
      </c>
      <c r="CH3488">
        <v>-1.1200000000000001</v>
      </c>
      <c r="CI3488">
        <v>0</v>
      </c>
      <c r="CJ3488">
        <v>0.5</v>
      </c>
      <c r="CK3488">
        <v>70</v>
      </c>
      <c r="CL3488">
        <v>-0.09</v>
      </c>
      <c r="CM3488">
        <v>65</v>
      </c>
      <c r="CN3488">
        <v>-0.05</v>
      </c>
      <c r="CO3488">
        <v>61</v>
      </c>
      <c r="CP3488">
        <v>1.4</v>
      </c>
      <c r="CQ3488">
        <v>67</v>
      </c>
      <c r="CR3488">
        <v>0</v>
      </c>
      <c r="CS3488">
        <v>0</v>
      </c>
      <c r="CT3488">
        <v>16.399999999999999</v>
      </c>
      <c r="CU3488">
        <v>66</v>
      </c>
      <c r="CV3488">
        <v>-0.06</v>
      </c>
      <c r="CW3488">
        <v>18</v>
      </c>
      <c r="CX3488" t="s">
        <v>3702</v>
      </c>
    </row>
    <row r="3489" spans="1:102" x14ac:dyDescent="0.3">
      <c r="A3489" t="str">
        <f>HYPERLINK("https://webapp.icbf.com/v2/app/bull-search/view/660023986","S1673")</f>
        <v>S1673</v>
      </c>
      <c r="B3489" t="s">
        <v>14186</v>
      </c>
      <c r="C3489" t="s">
        <v>14187</v>
      </c>
      <c r="D3489" s="1">
        <v>39073</v>
      </c>
      <c r="E3489" t="s">
        <v>92</v>
      </c>
      <c r="F3489">
        <v>100</v>
      </c>
      <c r="G3489" t="s">
        <v>109</v>
      </c>
      <c r="H3489">
        <v>-40.159999999999997</v>
      </c>
      <c r="I3489">
        <v>80</v>
      </c>
      <c r="J3489">
        <v>24.49</v>
      </c>
      <c r="K3489">
        <v>93</v>
      </c>
      <c r="L3489">
        <v>-77.930000000000007</v>
      </c>
      <c r="M3489">
        <v>86</v>
      </c>
      <c r="N3489">
        <v>13.77</v>
      </c>
      <c r="O3489">
        <v>66</v>
      </c>
      <c r="P3489">
        <v>-17.89</v>
      </c>
      <c r="Q3489">
        <v>66</v>
      </c>
      <c r="R3489">
        <v>3.91</v>
      </c>
      <c r="S3489">
        <v>74</v>
      </c>
      <c r="T3489">
        <v>11.01</v>
      </c>
      <c r="U3489">
        <v>46</v>
      </c>
      <c r="V3489">
        <v>2.48</v>
      </c>
      <c r="W3489">
        <v>57</v>
      </c>
      <c r="X3489" t="s">
        <v>102</v>
      </c>
      <c r="Y3489" t="s">
        <v>362</v>
      </c>
      <c r="Z3489" t="s">
        <v>96</v>
      </c>
      <c r="AA3489" t="s">
        <v>14188</v>
      </c>
      <c r="AB3489" t="s">
        <v>14189</v>
      </c>
      <c r="AC3489">
        <v>0</v>
      </c>
      <c r="AD3489">
        <v>0</v>
      </c>
      <c r="AE3489">
        <v>93</v>
      </c>
      <c r="AF3489">
        <v>217.91</v>
      </c>
      <c r="AG3489">
        <v>6.73</v>
      </c>
      <c r="AH3489">
        <v>5.12</v>
      </c>
      <c r="AI3489">
        <v>-0.03</v>
      </c>
      <c r="AJ3489">
        <v>-0.04</v>
      </c>
      <c r="AK3489">
        <v>86</v>
      </c>
      <c r="AL3489">
        <v>0</v>
      </c>
      <c r="AM3489">
        <v>0</v>
      </c>
      <c r="AN3489">
        <v>5.43</v>
      </c>
      <c r="AO3489">
        <v>-0.77</v>
      </c>
      <c r="AP3489">
        <v>18</v>
      </c>
      <c r="AQ3489">
        <v>0</v>
      </c>
      <c r="AR3489">
        <v>6.7</v>
      </c>
      <c r="AS3489">
        <v>52</v>
      </c>
      <c r="AT3489">
        <v>3.11</v>
      </c>
      <c r="AU3489">
        <v>91</v>
      </c>
      <c r="AV3489">
        <v>-1.51</v>
      </c>
      <c r="AW3489">
        <v>67</v>
      </c>
      <c r="AX3489">
        <v>-0.84</v>
      </c>
      <c r="AY3489">
        <v>52</v>
      </c>
      <c r="AZ3489">
        <v>7.09</v>
      </c>
      <c r="BA3489">
        <v>39</v>
      </c>
      <c r="BB3489">
        <v>5.35</v>
      </c>
      <c r="BC3489">
        <v>40</v>
      </c>
      <c r="BD3489">
        <v>0</v>
      </c>
      <c r="BE3489">
        <v>0</v>
      </c>
      <c r="BF3489">
        <v>-0.09</v>
      </c>
      <c r="BG3489">
        <v>92</v>
      </c>
      <c r="BH3489">
        <v>0.04</v>
      </c>
      <c r="BI3489">
        <v>-3.38</v>
      </c>
      <c r="BJ3489">
        <v>6</v>
      </c>
      <c r="BK3489">
        <v>5</v>
      </c>
      <c r="BL3489">
        <v>0.88</v>
      </c>
      <c r="BM3489">
        <v>-1.08</v>
      </c>
      <c r="BN3489">
        <v>0.98</v>
      </c>
      <c r="BO3489">
        <v>1.24</v>
      </c>
      <c r="BP3489">
        <v>0.03</v>
      </c>
      <c r="BQ3489">
        <v>-0.76</v>
      </c>
      <c r="BR3489">
        <v>-2.0099999999999998</v>
      </c>
      <c r="BS3489">
        <v>0.56000000000000005</v>
      </c>
      <c r="BT3489">
        <v>1.19</v>
      </c>
      <c r="BU3489">
        <v>1.97</v>
      </c>
      <c r="BV3489">
        <v>1.24</v>
      </c>
      <c r="BW3489">
        <v>1.44</v>
      </c>
      <c r="BX3489">
        <v>1.47</v>
      </c>
      <c r="BY3489">
        <v>1.01</v>
      </c>
      <c r="BZ3489">
        <v>-1.54</v>
      </c>
      <c r="CA3489">
        <v>1.65</v>
      </c>
      <c r="CB3489">
        <v>1.46</v>
      </c>
      <c r="CC3489">
        <v>0.74</v>
      </c>
      <c r="CD3489">
        <v>-1.54</v>
      </c>
      <c r="CE3489">
        <v>1.26</v>
      </c>
      <c r="CF3489">
        <v>1.08</v>
      </c>
      <c r="CG3489">
        <v>0</v>
      </c>
      <c r="CH3489">
        <v>0.92</v>
      </c>
      <c r="CI3489">
        <v>0</v>
      </c>
      <c r="CJ3489">
        <v>-8.3000000000000007</v>
      </c>
      <c r="CK3489">
        <v>69</v>
      </c>
      <c r="CL3489">
        <v>-1.33</v>
      </c>
      <c r="CM3489">
        <v>65</v>
      </c>
      <c r="CN3489">
        <v>-0.74</v>
      </c>
      <c r="CO3489">
        <v>63</v>
      </c>
      <c r="CP3489">
        <v>-9.1999999999999993</v>
      </c>
      <c r="CQ3489">
        <v>51</v>
      </c>
      <c r="CR3489">
        <v>0</v>
      </c>
      <c r="CS3489">
        <v>0</v>
      </c>
      <c r="CT3489">
        <v>-1.1000000000000001</v>
      </c>
      <c r="CU3489">
        <v>46</v>
      </c>
      <c r="CV3489">
        <v>0.13</v>
      </c>
      <c r="CW3489">
        <v>39</v>
      </c>
      <c r="CX3489" t="s">
        <v>1273</v>
      </c>
    </row>
    <row r="3490" spans="1:102" x14ac:dyDescent="0.3">
      <c r="A3490" t="str">
        <f>HYPERLINK("https://webapp.icbf.com/v2/app/bull-search/view/495515285","PZG")</f>
        <v>PZG</v>
      </c>
      <c r="B3490" t="s">
        <v>4221</v>
      </c>
      <c r="C3490" t="s">
        <v>4222</v>
      </c>
      <c r="D3490" s="1">
        <v>37319</v>
      </c>
      <c r="E3490" t="s">
        <v>92</v>
      </c>
      <c r="F3490">
        <v>100</v>
      </c>
      <c r="G3490" t="s">
        <v>93</v>
      </c>
      <c r="H3490">
        <v>-40.200000000000003</v>
      </c>
      <c r="I3490">
        <v>96</v>
      </c>
      <c r="J3490">
        <v>-26.17</v>
      </c>
      <c r="K3490">
        <v>99</v>
      </c>
      <c r="L3490">
        <v>-41.67</v>
      </c>
      <c r="M3490">
        <v>93</v>
      </c>
      <c r="N3490">
        <v>16.53</v>
      </c>
      <c r="O3490">
        <v>95</v>
      </c>
      <c r="P3490">
        <v>-9.6199999999999992</v>
      </c>
      <c r="Q3490">
        <v>98</v>
      </c>
      <c r="R3490">
        <v>13.95</v>
      </c>
      <c r="S3490">
        <v>90</v>
      </c>
      <c r="T3490">
        <v>3.24</v>
      </c>
      <c r="U3490">
        <v>96</v>
      </c>
      <c r="V3490">
        <v>3.54</v>
      </c>
      <c r="W3490">
        <v>88</v>
      </c>
      <c r="X3490" t="s">
        <v>288</v>
      </c>
      <c r="Y3490" t="s">
        <v>221</v>
      </c>
      <c r="Z3490" t="s">
        <v>96</v>
      </c>
      <c r="AA3490" t="s">
        <v>311</v>
      </c>
      <c r="AB3490" t="s">
        <v>4223</v>
      </c>
      <c r="AC3490">
        <v>425</v>
      </c>
      <c r="AD3490">
        <v>162</v>
      </c>
      <c r="AE3490">
        <v>99</v>
      </c>
      <c r="AF3490">
        <v>183.36</v>
      </c>
      <c r="AG3490">
        <v>-7.05</v>
      </c>
      <c r="AH3490">
        <v>0.85</v>
      </c>
      <c r="AI3490">
        <v>-0.24</v>
      </c>
      <c r="AJ3490">
        <v>-0.09</v>
      </c>
      <c r="AK3490">
        <v>93</v>
      </c>
      <c r="AL3490">
        <v>396</v>
      </c>
      <c r="AM3490">
        <v>149</v>
      </c>
      <c r="AN3490">
        <v>2.5299999999999998</v>
      </c>
      <c r="AO3490">
        <v>-0.79</v>
      </c>
      <c r="AP3490">
        <v>808</v>
      </c>
      <c r="AQ3490">
        <v>0</v>
      </c>
      <c r="AR3490">
        <v>6.9</v>
      </c>
      <c r="AS3490">
        <v>95</v>
      </c>
      <c r="AT3490">
        <v>3.15</v>
      </c>
      <c r="AU3490">
        <v>95</v>
      </c>
      <c r="AV3490">
        <v>-2.16</v>
      </c>
      <c r="AW3490">
        <v>98</v>
      </c>
      <c r="AX3490">
        <v>0.21</v>
      </c>
      <c r="AY3490">
        <v>95</v>
      </c>
      <c r="AZ3490">
        <v>6.28</v>
      </c>
      <c r="BA3490">
        <v>87</v>
      </c>
      <c r="BB3490">
        <v>5.38</v>
      </c>
      <c r="BC3490">
        <v>85</v>
      </c>
      <c r="BD3490">
        <v>-7.0000000000000007E-2</v>
      </c>
      <c r="BE3490">
        <v>-0.06</v>
      </c>
      <c r="BF3490">
        <v>-0.09</v>
      </c>
      <c r="BG3490">
        <v>96</v>
      </c>
      <c r="BH3490">
        <v>0</v>
      </c>
      <c r="BI3490">
        <v>-11.42</v>
      </c>
      <c r="BJ3490">
        <v>162</v>
      </c>
      <c r="BK3490">
        <v>67</v>
      </c>
      <c r="BL3490">
        <v>1.08</v>
      </c>
      <c r="BM3490">
        <v>-1.43</v>
      </c>
      <c r="BN3490">
        <v>-1.41</v>
      </c>
      <c r="BO3490">
        <v>-0.19</v>
      </c>
      <c r="BP3490">
        <v>-0.6</v>
      </c>
      <c r="BQ3490">
        <v>1.4</v>
      </c>
      <c r="BR3490">
        <v>-0.27</v>
      </c>
      <c r="BS3490">
        <v>0.75</v>
      </c>
      <c r="BT3490">
        <v>1.53</v>
      </c>
      <c r="BU3490">
        <v>1.92</v>
      </c>
      <c r="BV3490">
        <v>1.9</v>
      </c>
      <c r="BW3490">
        <v>2.5099999999999998</v>
      </c>
      <c r="BX3490">
        <v>2.71</v>
      </c>
      <c r="BY3490">
        <v>1.83</v>
      </c>
      <c r="BZ3490">
        <v>-2.3199999999999998</v>
      </c>
      <c r="CA3490">
        <v>1.69</v>
      </c>
      <c r="CB3490">
        <v>1.55</v>
      </c>
      <c r="CC3490">
        <v>0.8</v>
      </c>
      <c r="CD3490">
        <v>0.21</v>
      </c>
      <c r="CE3490">
        <v>0.2</v>
      </c>
      <c r="CF3490">
        <v>0.32</v>
      </c>
      <c r="CG3490">
        <v>0</v>
      </c>
      <c r="CH3490">
        <v>1.98</v>
      </c>
      <c r="CI3490">
        <v>0</v>
      </c>
      <c r="CJ3490">
        <v>-4.3</v>
      </c>
      <c r="CK3490">
        <v>98</v>
      </c>
      <c r="CL3490">
        <v>-1</v>
      </c>
      <c r="CM3490">
        <v>97</v>
      </c>
      <c r="CN3490">
        <v>-0.56000000000000005</v>
      </c>
      <c r="CO3490">
        <v>97</v>
      </c>
      <c r="CP3490">
        <v>0.5</v>
      </c>
      <c r="CQ3490">
        <v>97</v>
      </c>
      <c r="CR3490">
        <v>0</v>
      </c>
      <c r="CS3490">
        <v>0</v>
      </c>
      <c r="CT3490">
        <v>9.4</v>
      </c>
      <c r="CU3490">
        <v>96</v>
      </c>
      <c r="CV3490">
        <v>0.14000000000000001</v>
      </c>
      <c r="CW3490">
        <v>46</v>
      </c>
      <c r="CX3490" t="s">
        <v>768</v>
      </c>
    </row>
    <row r="3491" spans="1:102" x14ac:dyDescent="0.3">
      <c r="A3491" t="str">
        <f>HYPERLINK("https://webapp.icbf.com/v2/app/bull-search/view/69091129","AKT")</f>
        <v>AKT</v>
      </c>
      <c r="B3491" t="s">
        <v>9814</v>
      </c>
      <c r="C3491" t="s">
        <v>4509</v>
      </c>
      <c r="D3491" s="1">
        <v>32221</v>
      </c>
      <c r="E3491" t="s">
        <v>1061</v>
      </c>
      <c r="F3491">
        <v>0</v>
      </c>
      <c r="G3491" t="s">
        <v>109</v>
      </c>
      <c r="H3491">
        <v>-40.31</v>
      </c>
      <c r="I3491">
        <v>66</v>
      </c>
      <c r="J3491">
        <v>-23.86</v>
      </c>
      <c r="K3491">
        <v>83</v>
      </c>
      <c r="L3491">
        <v>-5.46</v>
      </c>
      <c r="M3491">
        <v>81</v>
      </c>
      <c r="N3491">
        <v>-14.69</v>
      </c>
      <c r="O3491">
        <v>37</v>
      </c>
      <c r="P3491">
        <v>-35.369999999999997</v>
      </c>
      <c r="Q3491">
        <v>41</v>
      </c>
      <c r="R3491">
        <v>5.71</v>
      </c>
      <c r="S3491">
        <v>19</v>
      </c>
      <c r="T3491">
        <v>39.21</v>
      </c>
      <c r="U3491">
        <v>41</v>
      </c>
      <c r="V3491">
        <v>-5.85</v>
      </c>
      <c r="W3491">
        <v>27</v>
      </c>
      <c r="X3491" t="s">
        <v>276</v>
      </c>
      <c r="Y3491">
        <v>0</v>
      </c>
      <c r="Z3491">
        <v>0</v>
      </c>
      <c r="AA3491" t="s">
        <v>9815</v>
      </c>
      <c r="AB3491" t="s">
        <v>9816</v>
      </c>
      <c r="AC3491">
        <v>0</v>
      </c>
      <c r="AD3491">
        <v>0</v>
      </c>
      <c r="AE3491">
        <v>83</v>
      </c>
      <c r="AF3491">
        <v>-160.81</v>
      </c>
      <c r="AG3491">
        <v>-3.9</v>
      </c>
      <c r="AH3491">
        <v>-5.14</v>
      </c>
      <c r="AI3491">
        <v>0.04</v>
      </c>
      <c r="AJ3491">
        <v>0.01</v>
      </c>
      <c r="AK3491">
        <v>81</v>
      </c>
      <c r="AL3491">
        <v>0</v>
      </c>
      <c r="AM3491">
        <v>0</v>
      </c>
      <c r="AN3491">
        <v>1.5</v>
      </c>
      <c r="AO3491">
        <v>1.08</v>
      </c>
      <c r="AP3491">
        <v>5</v>
      </c>
      <c r="AQ3491">
        <v>2</v>
      </c>
      <c r="AR3491">
        <v>7.34</v>
      </c>
      <c r="AS3491">
        <v>19</v>
      </c>
      <c r="AT3491">
        <v>3.04</v>
      </c>
      <c r="AU3491">
        <v>85</v>
      </c>
      <c r="AV3491">
        <v>1.4</v>
      </c>
      <c r="AW3491">
        <v>23</v>
      </c>
      <c r="AX3491">
        <v>0.86</v>
      </c>
      <c r="AY3491">
        <v>29</v>
      </c>
      <c r="AZ3491">
        <v>6.92</v>
      </c>
      <c r="BA3491">
        <v>9</v>
      </c>
      <c r="BB3491">
        <v>5.4</v>
      </c>
      <c r="BC3491">
        <v>15</v>
      </c>
      <c r="BD3491">
        <v>-0.02</v>
      </c>
      <c r="BE3491">
        <v>-0.02</v>
      </c>
      <c r="BF3491">
        <v>-0.06</v>
      </c>
      <c r="BG3491">
        <v>22</v>
      </c>
      <c r="BH3491">
        <v>-0.09</v>
      </c>
      <c r="BI3491">
        <v>8.4499999999999993</v>
      </c>
      <c r="BJ3491">
        <v>0</v>
      </c>
      <c r="BK3491">
        <v>0</v>
      </c>
      <c r="BL3491">
        <v>0</v>
      </c>
      <c r="BM3491">
        <v>0</v>
      </c>
      <c r="BN3491">
        <v>0</v>
      </c>
      <c r="BO3491">
        <v>0</v>
      </c>
      <c r="BP3491">
        <v>0</v>
      </c>
      <c r="BQ3491">
        <v>0</v>
      </c>
      <c r="BR3491">
        <v>0</v>
      </c>
      <c r="BS3491">
        <v>0</v>
      </c>
      <c r="BT3491">
        <v>0</v>
      </c>
      <c r="BU3491">
        <v>0</v>
      </c>
      <c r="BV3491">
        <v>0</v>
      </c>
      <c r="BW3491">
        <v>0</v>
      </c>
      <c r="BX3491">
        <v>0</v>
      </c>
      <c r="BY3491">
        <v>0</v>
      </c>
      <c r="BZ3491">
        <v>0</v>
      </c>
      <c r="CA3491">
        <v>0</v>
      </c>
      <c r="CB3491">
        <v>0</v>
      </c>
      <c r="CC3491">
        <v>0</v>
      </c>
      <c r="CD3491">
        <v>0</v>
      </c>
      <c r="CE3491">
        <v>0</v>
      </c>
      <c r="CF3491">
        <v>0</v>
      </c>
      <c r="CG3491">
        <v>0</v>
      </c>
      <c r="CH3491">
        <v>0</v>
      </c>
      <c r="CI3491">
        <v>0</v>
      </c>
      <c r="CJ3491">
        <v>-15.9</v>
      </c>
      <c r="CK3491">
        <v>43</v>
      </c>
      <c r="CL3491">
        <v>-0.77</v>
      </c>
      <c r="CM3491">
        <v>38</v>
      </c>
      <c r="CN3491">
        <v>0.17</v>
      </c>
      <c r="CO3491">
        <v>31</v>
      </c>
      <c r="CP3491">
        <v>-23.3</v>
      </c>
      <c r="CQ3491">
        <v>53</v>
      </c>
      <c r="CR3491">
        <v>0</v>
      </c>
      <c r="CS3491">
        <v>0</v>
      </c>
      <c r="CT3491">
        <v>-39.200000000000003</v>
      </c>
      <c r="CU3491">
        <v>41</v>
      </c>
      <c r="CV3491">
        <v>-0.11</v>
      </c>
      <c r="CW3491">
        <v>10</v>
      </c>
      <c r="CX3491" t="s">
        <v>9817</v>
      </c>
    </row>
    <row r="3492" spans="1:102" x14ac:dyDescent="0.3">
      <c r="A3492" t="str">
        <f>HYPERLINK("https://webapp.icbf.com/v2/app/bull-search/view/77859793","BMI")</f>
        <v>BMI</v>
      </c>
      <c r="B3492" t="s">
        <v>3744</v>
      </c>
      <c r="C3492" t="s">
        <v>3745</v>
      </c>
      <c r="D3492" s="1">
        <v>33856</v>
      </c>
      <c r="E3492" t="s">
        <v>92</v>
      </c>
      <c r="F3492">
        <v>100</v>
      </c>
      <c r="G3492" t="s">
        <v>93</v>
      </c>
      <c r="H3492">
        <v>-40.380000000000003</v>
      </c>
      <c r="I3492">
        <v>82</v>
      </c>
      <c r="J3492">
        <v>-40.450000000000003</v>
      </c>
      <c r="K3492">
        <v>96</v>
      </c>
      <c r="L3492">
        <v>-14.34</v>
      </c>
      <c r="M3492">
        <v>74</v>
      </c>
      <c r="N3492">
        <v>14.56</v>
      </c>
      <c r="O3492">
        <v>72</v>
      </c>
      <c r="P3492">
        <v>-8.39</v>
      </c>
      <c r="Q3492">
        <v>86</v>
      </c>
      <c r="R3492">
        <v>1.87</v>
      </c>
      <c r="S3492">
        <v>74</v>
      </c>
      <c r="T3492">
        <v>7.31</v>
      </c>
      <c r="U3492">
        <v>91</v>
      </c>
      <c r="V3492">
        <v>-0.94</v>
      </c>
      <c r="W3492">
        <v>39</v>
      </c>
      <c r="X3492" t="s">
        <v>94</v>
      </c>
      <c r="Y3492" t="s">
        <v>3298</v>
      </c>
      <c r="Z3492" t="s">
        <v>96</v>
      </c>
      <c r="AA3492" t="s">
        <v>111</v>
      </c>
      <c r="AB3492" t="s">
        <v>3746</v>
      </c>
      <c r="AC3492">
        <v>125</v>
      </c>
      <c r="AD3492">
        <v>94</v>
      </c>
      <c r="AE3492">
        <v>96</v>
      </c>
      <c r="AF3492">
        <v>-121.46</v>
      </c>
      <c r="AG3492">
        <v>-5.82</v>
      </c>
      <c r="AH3492">
        <v>-6.68</v>
      </c>
      <c r="AI3492">
        <v>-0.02</v>
      </c>
      <c r="AJ3492">
        <v>-0.04</v>
      </c>
      <c r="AK3492">
        <v>74</v>
      </c>
      <c r="AL3492">
        <v>189</v>
      </c>
      <c r="AM3492">
        <v>130</v>
      </c>
      <c r="AN3492">
        <v>1.06</v>
      </c>
      <c r="AO3492">
        <v>-0.08</v>
      </c>
      <c r="AP3492">
        <v>18</v>
      </c>
      <c r="AQ3492">
        <v>0</v>
      </c>
      <c r="AR3492">
        <v>6.51</v>
      </c>
      <c r="AS3492">
        <v>44</v>
      </c>
      <c r="AT3492">
        <v>3.23</v>
      </c>
      <c r="AU3492">
        <v>67</v>
      </c>
      <c r="AV3492">
        <v>-1.78</v>
      </c>
      <c r="AW3492">
        <v>82</v>
      </c>
      <c r="AX3492">
        <v>-0.09</v>
      </c>
      <c r="AY3492">
        <v>81</v>
      </c>
      <c r="AZ3492">
        <v>6.6</v>
      </c>
      <c r="BA3492">
        <v>44</v>
      </c>
      <c r="BB3492">
        <v>5.3</v>
      </c>
      <c r="BC3492">
        <v>63</v>
      </c>
      <c r="BD3492">
        <v>0</v>
      </c>
      <c r="BE3492">
        <v>0.03</v>
      </c>
      <c r="BF3492">
        <v>-0.1</v>
      </c>
      <c r="BG3492">
        <v>92</v>
      </c>
      <c r="BH3492">
        <v>0.02</v>
      </c>
      <c r="BI3492">
        <v>5.35</v>
      </c>
      <c r="BJ3492">
        <v>24</v>
      </c>
      <c r="BK3492">
        <v>18</v>
      </c>
      <c r="BL3492">
        <v>0.4</v>
      </c>
      <c r="BM3492">
        <v>0.65</v>
      </c>
      <c r="BN3492">
        <v>0.28000000000000003</v>
      </c>
      <c r="BO3492">
        <v>-0.18</v>
      </c>
      <c r="BP3492">
        <v>0.78</v>
      </c>
      <c r="BQ3492">
        <v>0.28000000000000003</v>
      </c>
      <c r="BR3492">
        <v>1.55</v>
      </c>
      <c r="BS3492">
        <v>-0.15</v>
      </c>
      <c r="BT3492">
        <v>-1.25</v>
      </c>
      <c r="BU3492">
        <v>-0.8</v>
      </c>
      <c r="BV3492">
        <v>-0.98</v>
      </c>
      <c r="BW3492">
        <v>-0.47</v>
      </c>
      <c r="BX3492">
        <v>-0.36</v>
      </c>
      <c r="BY3492">
        <v>-1.26</v>
      </c>
      <c r="BZ3492">
        <v>-1.38</v>
      </c>
      <c r="CA3492">
        <v>-0.53</v>
      </c>
      <c r="CB3492">
        <v>-0.62</v>
      </c>
      <c r="CC3492">
        <v>0.1</v>
      </c>
      <c r="CD3492">
        <v>0.43</v>
      </c>
      <c r="CE3492">
        <v>-0.41</v>
      </c>
      <c r="CF3492">
        <v>0.28000000000000003</v>
      </c>
      <c r="CG3492">
        <v>0</v>
      </c>
      <c r="CH3492">
        <v>-0.77</v>
      </c>
      <c r="CI3492">
        <v>0</v>
      </c>
      <c r="CJ3492">
        <v>-3</v>
      </c>
      <c r="CK3492">
        <v>87</v>
      </c>
      <c r="CL3492">
        <v>-0.75</v>
      </c>
      <c r="CM3492">
        <v>85</v>
      </c>
      <c r="CN3492">
        <v>-0.37</v>
      </c>
      <c r="CO3492">
        <v>83</v>
      </c>
      <c r="CP3492">
        <v>-5.6</v>
      </c>
      <c r="CQ3492">
        <v>90</v>
      </c>
      <c r="CR3492">
        <v>0</v>
      </c>
      <c r="CS3492">
        <v>0</v>
      </c>
      <c r="CT3492">
        <v>3.9</v>
      </c>
      <c r="CU3492">
        <v>91</v>
      </c>
      <c r="CV3492">
        <v>0.15</v>
      </c>
      <c r="CW3492">
        <v>25</v>
      </c>
      <c r="CX3492" t="s">
        <v>3747</v>
      </c>
    </row>
    <row r="3493" spans="1:102" x14ac:dyDescent="0.3">
      <c r="A3493" t="str">
        <f>HYPERLINK("https://webapp.icbf.com/v2/app/bull-search/view/268168864","NRC")</f>
        <v>NRC</v>
      </c>
      <c r="B3493" t="s">
        <v>12621</v>
      </c>
      <c r="C3493" t="s">
        <v>12622</v>
      </c>
      <c r="D3493" s="1">
        <v>35742</v>
      </c>
      <c r="E3493" t="s">
        <v>140</v>
      </c>
      <c r="F3493">
        <v>0</v>
      </c>
      <c r="G3493" t="s">
        <v>109</v>
      </c>
      <c r="H3493">
        <v>-40.71</v>
      </c>
      <c r="I3493">
        <v>59</v>
      </c>
      <c r="J3493">
        <v>-45.97</v>
      </c>
      <c r="K3493">
        <v>76</v>
      </c>
      <c r="L3493">
        <v>32.99</v>
      </c>
      <c r="M3493">
        <v>40</v>
      </c>
      <c r="N3493">
        <v>-53.49</v>
      </c>
      <c r="O3493">
        <v>63</v>
      </c>
      <c r="P3493">
        <v>15.31</v>
      </c>
      <c r="Q3493">
        <v>81</v>
      </c>
      <c r="R3493">
        <v>5.32</v>
      </c>
      <c r="S3493">
        <v>42</v>
      </c>
      <c r="T3493">
        <v>11.24</v>
      </c>
      <c r="U3493">
        <v>69</v>
      </c>
      <c r="V3493">
        <v>-6.11</v>
      </c>
      <c r="W3493">
        <v>26</v>
      </c>
      <c r="X3493" t="s">
        <v>94</v>
      </c>
      <c r="Y3493" t="s">
        <v>95</v>
      </c>
      <c r="Z3493">
        <v>0</v>
      </c>
      <c r="AA3493" t="s">
        <v>295</v>
      </c>
      <c r="AB3493" t="s">
        <v>12623</v>
      </c>
      <c r="AC3493">
        <v>0</v>
      </c>
      <c r="AD3493">
        <v>0</v>
      </c>
      <c r="AE3493">
        <v>76</v>
      </c>
      <c r="AF3493">
        <v>-293.89999999999998</v>
      </c>
      <c r="AG3493">
        <v>-11.95</v>
      </c>
      <c r="AH3493">
        <v>-8.09</v>
      </c>
      <c r="AI3493">
        <v>-0.01</v>
      </c>
      <c r="AJ3493">
        <v>0.03</v>
      </c>
      <c r="AK3493">
        <v>40</v>
      </c>
      <c r="AL3493">
        <v>17</v>
      </c>
      <c r="AM3493">
        <v>9</v>
      </c>
      <c r="AN3493">
        <v>-1.9</v>
      </c>
      <c r="AO3493">
        <v>0.73</v>
      </c>
      <c r="AP3493">
        <v>64</v>
      </c>
      <c r="AQ3493">
        <v>0</v>
      </c>
      <c r="AR3493">
        <v>9.2100000000000009</v>
      </c>
      <c r="AS3493">
        <v>41</v>
      </c>
      <c r="AT3493">
        <v>4.78</v>
      </c>
      <c r="AU3493">
        <v>62</v>
      </c>
      <c r="AV3493">
        <v>4.2699999999999996</v>
      </c>
      <c r="AW3493">
        <v>82</v>
      </c>
      <c r="AX3493">
        <v>1.53</v>
      </c>
      <c r="AY3493">
        <v>61</v>
      </c>
      <c r="AZ3493">
        <v>5.15</v>
      </c>
      <c r="BA3493">
        <v>26</v>
      </c>
      <c r="BB3493">
        <v>4.0599999999999996</v>
      </c>
      <c r="BC3493">
        <v>33</v>
      </c>
      <c r="BD3493">
        <v>0.01</v>
      </c>
      <c r="BE3493">
        <v>-0.01</v>
      </c>
      <c r="BF3493">
        <v>-0.12</v>
      </c>
      <c r="BG3493">
        <v>52</v>
      </c>
      <c r="BH3493">
        <v>-0.18</v>
      </c>
      <c r="BI3493">
        <v>-1.1200000000000001</v>
      </c>
      <c r="BJ3493">
        <v>0</v>
      </c>
      <c r="BK3493">
        <v>0</v>
      </c>
      <c r="BL3493">
        <v>-0.74</v>
      </c>
      <c r="BM3493">
        <v>3.83</v>
      </c>
      <c r="BN3493">
        <v>-1.81</v>
      </c>
      <c r="BO3493">
        <v>-3.26</v>
      </c>
      <c r="BP3493">
        <v>4.4400000000000004</v>
      </c>
      <c r="BQ3493">
        <v>-2.14</v>
      </c>
      <c r="BR3493">
        <v>-2.91</v>
      </c>
      <c r="BS3493">
        <v>-0.3</v>
      </c>
      <c r="BT3493">
        <v>2.76</v>
      </c>
      <c r="BU3493">
        <v>-3.69</v>
      </c>
      <c r="BV3493">
        <v>-4.13</v>
      </c>
      <c r="BW3493">
        <v>-3.02</v>
      </c>
      <c r="BX3493">
        <v>-3.02</v>
      </c>
      <c r="BY3493">
        <v>-2.16</v>
      </c>
      <c r="BZ3493">
        <v>0.96</v>
      </c>
      <c r="CA3493">
        <v>-2.64</v>
      </c>
      <c r="CB3493">
        <v>-3.38</v>
      </c>
      <c r="CC3493">
        <v>-0.47</v>
      </c>
      <c r="CD3493">
        <v>4.16</v>
      </c>
      <c r="CE3493">
        <v>-3.22</v>
      </c>
      <c r="CF3493">
        <v>-0.96</v>
      </c>
      <c r="CG3493">
        <v>0</v>
      </c>
      <c r="CH3493">
        <v>-2.9</v>
      </c>
      <c r="CI3493">
        <v>0</v>
      </c>
      <c r="CJ3493">
        <v>5</v>
      </c>
      <c r="CK3493">
        <v>84</v>
      </c>
      <c r="CL3493">
        <v>0.35</v>
      </c>
      <c r="CM3493">
        <v>80</v>
      </c>
      <c r="CN3493">
        <v>-0.37</v>
      </c>
      <c r="CO3493">
        <v>78</v>
      </c>
      <c r="CP3493">
        <v>3.1</v>
      </c>
      <c r="CQ3493">
        <v>72</v>
      </c>
      <c r="CR3493">
        <v>0</v>
      </c>
      <c r="CS3493">
        <v>0</v>
      </c>
      <c r="CT3493">
        <v>-1.4</v>
      </c>
      <c r="CU3493">
        <v>69</v>
      </c>
      <c r="CV3493">
        <v>-0.15</v>
      </c>
      <c r="CW3493">
        <v>23</v>
      </c>
      <c r="CX3493" t="s">
        <v>2464</v>
      </c>
    </row>
    <row r="3494" spans="1:102" x14ac:dyDescent="0.3">
      <c r="A3494" t="str">
        <f>HYPERLINK("https://webapp.icbf.com/v2/app/bull-search/view/71570203","BLX")</f>
        <v>BLX</v>
      </c>
      <c r="B3494" t="s">
        <v>8208</v>
      </c>
      <c r="C3494" t="s">
        <v>8209</v>
      </c>
      <c r="D3494" s="1">
        <v>36919</v>
      </c>
      <c r="E3494" t="s">
        <v>108</v>
      </c>
      <c r="F3494">
        <v>0</v>
      </c>
      <c r="G3494" t="s">
        <v>93</v>
      </c>
      <c r="H3494">
        <v>-40.72</v>
      </c>
      <c r="I3494">
        <v>92</v>
      </c>
      <c r="J3494">
        <v>-23.57</v>
      </c>
      <c r="K3494">
        <v>98</v>
      </c>
      <c r="L3494">
        <v>-29.71</v>
      </c>
      <c r="M3494">
        <v>85</v>
      </c>
      <c r="N3494">
        <v>12.01</v>
      </c>
      <c r="O3494">
        <v>91</v>
      </c>
      <c r="P3494">
        <v>-19.43</v>
      </c>
      <c r="Q3494">
        <v>98</v>
      </c>
      <c r="R3494">
        <v>-4.45</v>
      </c>
      <c r="S3494">
        <v>87</v>
      </c>
      <c r="T3494">
        <v>20.49</v>
      </c>
      <c r="U3494">
        <v>94</v>
      </c>
      <c r="V3494">
        <v>3.94</v>
      </c>
      <c r="W3494">
        <v>85</v>
      </c>
      <c r="X3494" t="s">
        <v>102</v>
      </c>
      <c r="Y3494" t="s">
        <v>95</v>
      </c>
      <c r="Z3494" t="s">
        <v>96</v>
      </c>
      <c r="AA3494" t="s">
        <v>4367</v>
      </c>
      <c r="AB3494" t="s">
        <v>8210</v>
      </c>
      <c r="AC3494">
        <v>211</v>
      </c>
      <c r="AD3494">
        <v>116</v>
      </c>
      <c r="AE3494">
        <v>98</v>
      </c>
      <c r="AF3494">
        <v>-146.84</v>
      </c>
      <c r="AG3494">
        <v>-7.48</v>
      </c>
      <c r="AH3494">
        <v>-3.61</v>
      </c>
      <c r="AI3494">
        <v>-0.03</v>
      </c>
      <c r="AJ3494">
        <v>0.03</v>
      </c>
      <c r="AK3494">
        <v>85</v>
      </c>
      <c r="AL3494">
        <v>285</v>
      </c>
      <c r="AM3494">
        <v>163</v>
      </c>
      <c r="AN3494">
        <v>2.33</v>
      </c>
      <c r="AO3494">
        <v>-0.03</v>
      </c>
      <c r="AP3494">
        <v>367</v>
      </c>
      <c r="AQ3494">
        <v>11</v>
      </c>
      <c r="AR3494">
        <v>6.95</v>
      </c>
      <c r="AS3494">
        <v>84</v>
      </c>
      <c r="AT3494">
        <v>2.5499999999999998</v>
      </c>
      <c r="AU3494">
        <v>92</v>
      </c>
      <c r="AV3494">
        <v>-0.85</v>
      </c>
      <c r="AW3494">
        <v>96</v>
      </c>
      <c r="AX3494">
        <v>-0.37</v>
      </c>
      <c r="AY3494">
        <v>93</v>
      </c>
      <c r="AZ3494">
        <v>6.87</v>
      </c>
      <c r="BA3494">
        <v>79</v>
      </c>
      <c r="BB3494">
        <v>5.29</v>
      </c>
      <c r="BC3494">
        <v>81</v>
      </c>
      <c r="BD3494">
        <v>-0.01</v>
      </c>
      <c r="BE3494">
        <v>0.01</v>
      </c>
      <c r="BF3494">
        <v>0.1</v>
      </c>
      <c r="BG3494">
        <v>94</v>
      </c>
      <c r="BH3494">
        <v>0.06</v>
      </c>
      <c r="BI3494">
        <v>-5.77</v>
      </c>
      <c r="BJ3494">
        <v>49</v>
      </c>
      <c r="BK3494">
        <v>26</v>
      </c>
      <c r="BL3494">
        <v>-2.63</v>
      </c>
      <c r="BM3494">
        <v>1.36</v>
      </c>
      <c r="BN3494">
        <v>-1.94</v>
      </c>
      <c r="BO3494">
        <v>-2.36</v>
      </c>
      <c r="BP3494">
        <v>-1.03</v>
      </c>
      <c r="BQ3494">
        <v>1.21</v>
      </c>
      <c r="BR3494">
        <v>-0.87</v>
      </c>
      <c r="BS3494">
        <v>-0.56000000000000005</v>
      </c>
      <c r="BT3494">
        <v>-0.36</v>
      </c>
      <c r="BU3494">
        <v>-4.0599999999999996</v>
      </c>
      <c r="BV3494">
        <v>-3</v>
      </c>
      <c r="BW3494">
        <v>-2.4900000000000002</v>
      </c>
      <c r="BX3494">
        <v>-3.04</v>
      </c>
      <c r="BY3494">
        <v>-0.37</v>
      </c>
      <c r="BZ3494">
        <v>-0.01</v>
      </c>
      <c r="CA3494">
        <v>-3.16</v>
      </c>
      <c r="CB3494">
        <v>-3.15</v>
      </c>
      <c r="CC3494">
        <v>-1.97</v>
      </c>
      <c r="CD3494">
        <v>2.2000000000000002</v>
      </c>
      <c r="CE3494">
        <v>-2.9</v>
      </c>
      <c r="CF3494">
        <v>-2.2000000000000002</v>
      </c>
      <c r="CG3494">
        <v>0</v>
      </c>
      <c r="CH3494">
        <v>-0.45</v>
      </c>
      <c r="CI3494">
        <v>0</v>
      </c>
      <c r="CJ3494">
        <v>-9.8000000000000007</v>
      </c>
      <c r="CK3494">
        <v>98</v>
      </c>
      <c r="CL3494">
        <v>-0.09</v>
      </c>
      <c r="CM3494">
        <v>98</v>
      </c>
      <c r="CN3494">
        <v>0.18</v>
      </c>
      <c r="CO3494">
        <v>98</v>
      </c>
      <c r="CP3494">
        <v>-19.100000000000001</v>
      </c>
      <c r="CQ3494">
        <v>97</v>
      </c>
      <c r="CR3494">
        <v>0</v>
      </c>
      <c r="CS3494">
        <v>0</v>
      </c>
      <c r="CT3494">
        <v>-13.9</v>
      </c>
      <c r="CU3494">
        <v>94</v>
      </c>
      <c r="CV3494">
        <v>-0.04</v>
      </c>
      <c r="CW3494">
        <v>46</v>
      </c>
      <c r="CX3494" t="s">
        <v>479</v>
      </c>
    </row>
    <row r="3495" spans="1:102" x14ac:dyDescent="0.3">
      <c r="A3495" t="str">
        <f>HYPERLINK("https://webapp.icbf.com/v2/app/bull-search/view/69092206","MBK")</f>
        <v>MBK</v>
      </c>
      <c r="B3495" t="s">
        <v>6655</v>
      </c>
      <c r="C3495" t="s">
        <v>6656</v>
      </c>
      <c r="D3495" s="1">
        <v>32348</v>
      </c>
      <c r="E3495" t="s">
        <v>108</v>
      </c>
      <c r="F3495">
        <v>0</v>
      </c>
      <c r="G3495" t="s">
        <v>109</v>
      </c>
      <c r="H3495">
        <v>-40.869999999999997</v>
      </c>
      <c r="I3495">
        <v>50</v>
      </c>
      <c r="J3495">
        <v>-58.4</v>
      </c>
      <c r="K3495">
        <v>67</v>
      </c>
      <c r="L3495">
        <v>27.04</v>
      </c>
      <c r="M3495">
        <v>51</v>
      </c>
      <c r="N3495">
        <v>-1.04</v>
      </c>
      <c r="O3495">
        <v>25</v>
      </c>
      <c r="P3495">
        <v>-5.61</v>
      </c>
      <c r="Q3495">
        <v>41</v>
      </c>
      <c r="R3495">
        <v>-11.92</v>
      </c>
      <c r="S3495">
        <v>50</v>
      </c>
      <c r="T3495">
        <v>13.97</v>
      </c>
      <c r="U3495">
        <v>38</v>
      </c>
      <c r="V3495">
        <v>-4.91</v>
      </c>
      <c r="W3495">
        <v>9</v>
      </c>
      <c r="X3495" t="s">
        <v>747</v>
      </c>
      <c r="Y3495" t="s">
        <v>95</v>
      </c>
      <c r="Z3495" t="s">
        <v>96</v>
      </c>
      <c r="AA3495" t="s">
        <v>6657</v>
      </c>
      <c r="AB3495" t="s">
        <v>6658</v>
      </c>
      <c r="AC3495">
        <v>0</v>
      </c>
      <c r="AD3495">
        <v>0</v>
      </c>
      <c r="AE3495">
        <v>67</v>
      </c>
      <c r="AF3495">
        <v>-350.29</v>
      </c>
      <c r="AG3495">
        <v>-10.16</v>
      </c>
      <c r="AH3495">
        <v>-11.7</v>
      </c>
      <c r="AI3495">
        <v>0.06</v>
      </c>
      <c r="AJ3495">
        <v>0.01</v>
      </c>
      <c r="AK3495">
        <v>51</v>
      </c>
      <c r="AL3495">
        <v>0</v>
      </c>
      <c r="AM3495">
        <v>0</v>
      </c>
      <c r="AN3495">
        <v>-5.09</v>
      </c>
      <c r="AO3495">
        <v>-2.98</v>
      </c>
      <c r="AP3495">
        <v>1</v>
      </c>
      <c r="AQ3495">
        <v>1</v>
      </c>
      <c r="AR3495">
        <v>6.38</v>
      </c>
      <c r="AS3495">
        <v>9</v>
      </c>
      <c r="AT3495">
        <v>2.84</v>
      </c>
      <c r="AU3495">
        <v>16</v>
      </c>
      <c r="AV3495">
        <v>0.83</v>
      </c>
      <c r="AW3495">
        <v>37</v>
      </c>
      <c r="AX3495">
        <v>0.19</v>
      </c>
      <c r="AY3495">
        <v>33</v>
      </c>
      <c r="AZ3495">
        <v>6.19</v>
      </c>
      <c r="BA3495">
        <v>6</v>
      </c>
      <c r="BB3495">
        <v>4.97</v>
      </c>
      <c r="BC3495">
        <v>15</v>
      </c>
      <c r="BD3495">
        <v>0.06</v>
      </c>
      <c r="BE3495">
        <v>0.06</v>
      </c>
      <c r="BF3495">
        <v>0.06</v>
      </c>
      <c r="BG3495">
        <v>79</v>
      </c>
      <c r="BH3495">
        <v>-0.1</v>
      </c>
      <c r="BI3495">
        <v>4.26</v>
      </c>
      <c r="BJ3495">
        <v>0</v>
      </c>
      <c r="BK3495">
        <v>0</v>
      </c>
      <c r="BL3495">
        <v>-2.6</v>
      </c>
      <c r="BM3495">
        <v>1.19</v>
      </c>
      <c r="BN3495">
        <v>-1.99</v>
      </c>
      <c r="BO3495">
        <v>-2.2999999999999998</v>
      </c>
      <c r="BP3495">
        <v>-0.77</v>
      </c>
      <c r="BQ3495">
        <v>-0.31</v>
      </c>
      <c r="BR3495">
        <v>-0.63</v>
      </c>
      <c r="BS3495">
        <v>0.08</v>
      </c>
      <c r="BT3495">
        <v>0.12</v>
      </c>
      <c r="BU3495">
        <v>-1.73</v>
      </c>
      <c r="BV3495">
        <v>-2.2999999999999998</v>
      </c>
      <c r="BW3495">
        <v>-2.5099999999999998</v>
      </c>
      <c r="BX3495">
        <v>-1.85</v>
      </c>
      <c r="BY3495">
        <v>-1.1100000000000001</v>
      </c>
      <c r="BZ3495">
        <v>-1.71</v>
      </c>
      <c r="CA3495">
        <v>-1.7</v>
      </c>
      <c r="CB3495">
        <v>-1.9</v>
      </c>
      <c r="CC3495">
        <v>-0.67</v>
      </c>
      <c r="CD3495">
        <v>1.51</v>
      </c>
      <c r="CE3495">
        <v>-2.04</v>
      </c>
      <c r="CF3495">
        <v>-2.4</v>
      </c>
      <c r="CG3495">
        <v>0</v>
      </c>
      <c r="CH3495">
        <v>-1.84</v>
      </c>
      <c r="CI3495">
        <v>0</v>
      </c>
      <c r="CJ3495">
        <v>0.5</v>
      </c>
      <c r="CK3495">
        <v>43</v>
      </c>
      <c r="CL3495">
        <v>-0.15</v>
      </c>
      <c r="CM3495">
        <v>39</v>
      </c>
      <c r="CN3495">
        <v>0.31</v>
      </c>
      <c r="CO3495">
        <v>34</v>
      </c>
      <c r="CP3495">
        <v>-7.5</v>
      </c>
      <c r="CQ3495">
        <v>47</v>
      </c>
      <c r="CR3495">
        <v>0</v>
      </c>
      <c r="CS3495">
        <v>0</v>
      </c>
      <c r="CT3495">
        <v>-5.0999999999999996</v>
      </c>
      <c r="CU3495">
        <v>38</v>
      </c>
      <c r="CV3495">
        <v>7.0000000000000007E-2</v>
      </c>
      <c r="CW3495">
        <v>10</v>
      </c>
      <c r="CX3495" t="s">
        <v>6659</v>
      </c>
    </row>
    <row r="3496" spans="1:102" x14ac:dyDescent="0.3">
      <c r="A3496" t="str">
        <f>HYPERLINK("https://webapp.icbf.com/v2/app/bull-search/view/586068580","S683")</f>
        <v>S683</v>
      </c>
      <c r="B3496" t="s">
        <v>2575</v>
      </c>
      <c r="C3496" t="s">
        <v>2576</v>
      </c>
      <c r="D3496" s="1">
        <v>37629</v>
      </c>
      <c r="E3496" t="s">
        <v>92</v>
      </c>
      <c r="F3496">
        <v>50</v>
      </c>
      <c r="G3496" t="s">
        <v>109</v>
      </c>
      <c r="H3496">
        <v>-40.880000000000003</v>
      </c>
      <c r="I3496">
        <v>75</v>
      </c>
      <c r="J3496">
        <v>14.83</v>
      </c>
      <c r="K3496">
        <v>89</v>
      </c>
      <c r="L3496">
        <v>-32.840000000000003</v>
      </c>
      <c r="M3496">
        <v>81</v>
      </c>
      <c r="N3496">
        <v>-14.53</v>
      </c>
      <c r="O3496">
        <v>59</v>
      </c>
      <c r="P3496">
        <v>-19.73</v>
      </c>
      <c r="Q3496">
        <v>51</v>
      </c>
      <c r="R3496">
        <v>-5.83</v>
      </c>
      <c r="S3496">
        <v>70</v>
      </c>
      <c r="T3496">
        <v>13.46</v>
      </c>
      <c r="U3496">
        <v>54</v>
      </c>
      <c r="V3496">
        <v>3.76</v>
      </c>
      <c r="W3496">
        <v>53</v>
      </c>
      <c r="X3496" t="s">
        <v>102</v>
      </c>
      <c r="Y3496" t="s">
        <v>1494</v>
      </c>
      <c r="Z3496" t="s">
        <v>96</v>
      </c>
      <c r="AA3496" t="s">
        <v>2577</v>
      </c>
      <c r="AB3496" t="s">
        <v>2578</v>
      </c>
      <c r="AC3496">
        <v>0</v>
      </c>
      <c r="AD3496">
        <v>0</v>
      </c>
      <c r="AE3496">
        <v>89</v>
      </c>
      <c r="AF3496">
        <v>156.15</v>
      </c>
      <c r="AG3496">
        <v>1.08</v>
      </c>
      <c r="AH3496">
        <v>4.53</v>
      </c>
      <c r="AI3496">
        <v>-0.09</v>
      </c>
      <c r="AJ3496">
        <v>-0.01</v>
      </c>
      <c r="AK3496">
        <v>81</v>
      </c>
      <c r="AL3496">
        <v>0</v>
      </c>
      <c r="AM3496">
        <v>0</v>
      </c>
      <c r="AN3496">
        <v>2.4700000000000002</v>
      </c>
      <c r="AO3496">
        <v>-0.14000000000000001</v>
      </c>
      <c r="AP3496">
        <v>15</v>
      </c>
      <c r="AQ3496">
        <v>0</v>
      </c>
      <c r="AR3496">
        <v>10.61</v>
      </c>
      <c r="AS3496">
        <v>48</v>
      </c>
      <c r="AT3496">
        <v>4.6900000000000004</v>
      </c>
      <c r="AU3496">
        <v>86</v>
      </c>
      <c r="AV3496">
        <v>-1.1499999999999999</v>
      </c>
      <c r="AW3496">
        <v>59</v>
      </c>
      <c r="AX3496">
        <v>-0.18</v>
      </c>
      <c r="AY3496">
        <v>44</v>
      </c>
      <c r="AZ3496">
        <v>5.55</v>
      </c>
      <c r="BA3496">
        <v>34</v>
      </c>
      <c r="BB3496">
        <v>4.97</v>
      </c>
      <c r="BC3496">
        <v>34</v>
      </c>
      <c r="BD3496">
        <v>0.03</v>
      </c>
      <c r="BE3496">
        <v>0.06</v>
      </c>
      <c r="BF3496">
        <v>-0.03</v>
      </c>
      <c r="BG3496">
        <v>90</v>
      </c>
      <c r="BH3496">
        <v>0.22</v>
      </c>
      <c r="BI3496">
        <v>13.31</v>
      </c>
      <c r="BJ3496">
        <v>4</v>
      </c>
      <c r="BK3496">
        <v>4</v>
      </c>
      <c r="BL3496">
        <v>0.12</v>
      </c>
      <c r="BM3496">
        <v>-2.5</v>
      </c>
      <c r="BN3496">
        <v>-0.44</v>
      </c>
      <c r="BO3496">
        <v>1.27</v>
      </c>
      <c r="BP3496">
        <v>-0.82</v>
      </c>
      <c r="BQ3496">
        <v>-0.59</v>
      </c>
      <c r="BR3496">
        <v>0.45</v>
      </c>
      <c r="BS3496">
        <v>0.67</v>
      </c>
      <c r="BT3496">
        <v>0.95</v>
      </c>
      <c r="BU3496">
        <v>1.2</v>
      </c>
      <c r="BV3496">
        <v>0.81</v>
      </c>
      <c r="BW3496">
        <v>0.72</v>
      </c>
      <c r="BX3496">
        <v>1.64</v>
      </c>
      <c r="BY3496">
        <v>1.18</v>
      </c>
      <c r="BZ3496">
        <v>0.35</v>
      </c>
      <c r="CA3496">
        <v>0.99</v>
      </c>
      <c r="CB3496">
        <v>0.8</v>
      </c>
      <c r="CC3496">
        <v>0.94</v>
      </c>
      <c r="CD3496">
        <v>-1.8</v>
      </c>
      <c r="CE3496">
        <v>0.63</v>
      </c>
      <c r="CF3496">
        <v>0.04</v>
      </c>
      <c r="CG3496">
        <v>0</v>
      </c>
      <c r="CH3496">
        <v>-0.32</v>
      </c>
      <c r="CI3496">
        <v>0</v>
      </c>
      <c r="CJ3496">
        <v>-6.9</v>
      </c>
      <c r="CK3496">
        <v>52</v>
      </c>
      <c r="CL3496">
        <v>-1.42</v>
      </c>
      <c r="CM3496">
        <v>48</v>
      </c>
      <c r="CN3496">
        <v>-0.48</v>
      </c>
      <c r="CO3496">
        <v>45</v>
      </c>
      <c r="CP3496">
        <v>-7.8</v>
      </c>
      <c r="CQ3496">
        <v>56</v>
      </c>
      <c r="CR3496">
        <v>0</v>
      </c>
      <c r="CS3496">
        <v>0</v>
      </c>
      <c r="CT3496">
        <v>-4.4000000000000004</v>
      </c>
      <c r="CU3496">
        <v>54</v>
      </c>
      <c r="CV3496">
        <v>0.18</v>
      </c>
      <c r="CW3496">
        <v>34</v>
      </c>
      <c r="CX3496" t="s">
        <v>1876</v>
      </c>
    </row>
    <row r="3497" spans="1:102" x14ac:dyDescent="0.3">
      <c r="A3497" t="str">
        <f>HYPERLINK("https://webapp.icbf.com/v2/app/bull-search/view/146113764","NUG")</f>
        <v>NUG</v>
      </c>
      <c r="B3497" t="s">
        <v>6930</v>
      </c>
      <c r="C3497" t="s">
        <v>6931</v>
      </c>
      <c r="D3497" s="1">
        <v>35479</v>
      </c>
      <c r="E3497" t="s">
        <v>92</v>
      </c>
      <c r="F3497">
        <v>100</v>
      </c>
      <c r="G3497" t="s">
        <v>93</v>
      </c>
      <c r="H3497">
        <v>-40.880000000000003</v>
      </c>
      <c r="I3497">
        <v>97</v>
      </c>
      <c r="J3497">
        <v>38.99</v>
      </c>
      <c r="K3497">
        <v>99</v>
      </c>
      <c r="L3497">
        <v>-36.479999999999997</v>
      </c>
      <c r="M3497">
        <v>94</v>
      </c>
      <c r="N3497">
        <v>-27.43</v>
      </c>
      <c r="O3497">
        <v>98</v>
      </c>
      <c r="P3497">
        <v>-8.2200000000000006</v>
      </c>
      <c r="Q3497">
        <v>99</v>
      </c>
      <c r="R3497">
        <v>1.8</v>
      </c>
      <c r="S3497">
        <v>96</v>
      </c>
      <c r="T3497">
        <v>-2.08</v>
      </c>
      <c r="U3497">
        <v>99</v>
      </c>
      <c r="V3497">
        <v>-7.46</v>
      </c>
      <c r="W3497">
        <v>98</v>
      </c>
      <c r="X3497" t="s">
        <v>94</v>
      </c>
      <c r="Y3497" t="s">
        <v>95</v>
      </c>
      <c r="Z3497" t="s">
        <v>96</v>
      </c>
      <c r="AA3497" t="s">
        <v>218</v>
      </c>
      <c r="AB3497" t="s">
        <v>6932</v>
      </c>
      <c r="AC3497">
        <v>1280</v>
      </c>
      <c r="AD3497">
        <v>473</v>
      </c>
      <c r="AE3497">
        <v>99</v>
      </c>
      <c r="AF3497">
        <v>69.540000000000006</v>
      </c>
      <c r="AG3497">
        <v>6.18</v>
      </c>
      <c r="AH3497">
        <v>5.51</v>
      </c>
      <c r="AI3497">
        <v>0.06</v>
      </c>
      <c r="AJ3497">
        <v>0.05</v>
      </c>
      <c r="AK3497">
        <v>94</v>
      </c>
      <c r="AL3497">
        <v>1367</v>
      </c>
      <c r="AM3497">
        <v>515</v>
      </c>
      <c r="AN3497">
        <v>1.18</v>
      </c>
      <c r="AO3497">
        <v>-1.74</v>
      </c>
      <c r="AP3497">
        <v>2197</v>
      </c>
      <c r="AQ3497">
        <v>8</v>
      </c>
      <c r="AR3497">
        <v>11.37</v>
      </c>
      <c r="AS3497">
        <v>94</v>
      </c>
      <c r="AT3497">
        <v>5.27</v>
      </c>
      <c r="AU3497">
        <v>98</v>
      </c>
      <c r="AV3497">
        <v>-0.45</v>
      </c>
      <c r="AW3497">
        <v>99</v>
      </c>
      <c r="AX3497">
        <v>-0.13</v>
      </c>
      <c r="AY3497">
        <v>98</v>
      </c>
      <c r="AZ3497">
        <v>5.33</v>
      </c>
      <c r="BA3497">
        <v>94</v>
      </c>
      <c r="BB3497">
        <v>4.41</v>
      </c>
      <c r="BC3497">
        <v>95</v>
      </c>
      <c r="BD3497">
        <v>-0.02</v>
      </c>
      <c r="BE3497">
        <v>-0.02</v>
      </c>
      <c r="BF3497">
        <v>0.03</v>
      </c>
      <c r="BG3497">
        <v>98</v>
      </c>
      <c r="BH3497">
        <v>-0.2</v>
      </c>
      <c r="BI3497">
        <v>0.92</v>
      </c>
      <c r="BJ3497">
        <v>108</v>
      </c>
      <c r="BK3497">
        <v>49</v>
      </c>
      <c r="BL3497">
        <v>0.61</v>
      </c>
      <c r="BM3497">
        <v>1.92</v>
      </c>
      <c r="BN3497">
        <v>1.73</v>
      </c>
      <c r="BO3497">
        <v>0.26</v>
      </c>
      <c r="BP3497">
        <v>-0.01</v>
      </c>
      <c r="BQ3497">
        <v>2.42</v>
      </c>
      <c r="BR3497">
        <v>-0.43</v>
      </c>
      <c r="BS3497">
        <v>0.79</v>
      </c>
      <c r="BT3497">
        <v>0.8</v>
      </c>
      <c r="BU3497">
        <v>1.66</v>
      </c>
      <c r="BV3497">
        <v>1.32</v>
      </c>
      <c r="BW3497">
        <v>1.59</v>
      </c>
      <c r="BX3497">
        <v>1.28</v>
      </c>
      <c r="BY3497">
        <v>1.94</v>
      </c>
      <c r="BZ3497">
        <v>-0.61</v>
      </c>
      <c r="CA3497">
        <v>1.42</v>
      </c>
      <c r="CB3497">
        <v>1.67</v>
      </c>
      <c r="CC3497">
        <v>0.48</v>
      </c>
      <c r="CD3497">
        <v>0.08</v>
      </c>
      <c r="CE3497">
        <v>0.43</v>
      </c>
      <c r="CF3497">
        <v>1.34</v>
      </c>
      <c r="CG3497">
        <v>0</v>
      </c>
      <c r="CH3497">
        <v>1.99</v>
      </c>
      <c r="CI3497">
        <v>0</v>
      </c>
      <c r="CJ3497">
        <v>0.1</v>
      </c>
      <c r="CK3497">
        <v>99</v>
      </c>
      <c r="CL3497">
        <v>-0.97</v>
      </c>
      <c r="CM3497">
        <v>99</v>
      </c>
      <c r="CN3497">
        <v>-0.1</v>
      </c>
      <c r="CO3497">
        <v>99</v>
      </c>
      <c r="CP3497">
        <v>3.2</v>
      </c>
      <c r="CQ3497">
        <v>99</v>
      </c>
      <c r="CR3497">
        <v>0</v>
      </c>
      <c r="CS3497">
        <v>0</v>
      </c>
      <c r="CT3497">
        <v>16.600000000000001</v>
      </c>
      <c r="CU3497">
        <v>99</v>
      </c>
      <c r="CV3497">
        <v>0.22</v>
      </c>
      <c r="CW3497">
        <v>46</v>
      </c>
      <c r="CX3497" t="s">
        <v>207</v>
      </c>
    </row>
    <row r="3498" spans="1:102" x14ac:dyDescent="0.3">
      <c r="A3498" t="str">
        <f>HYPERLINK("https://webapp.icbf.com/v2/app/bull-search/view/82443776","MKC")</f>
        <v>MKC</v>
      </c>
      <c r="B3498" t="s">
        <v>7521</v>
      </c>
      <c r="C3498" t="s">
        <v>7522</v>
      </c>
      <c r="D3498" s="1">
        <v>32449</v>
      </c>
      <c r="E3498" t="s">
        <v>92</v>
      </c>
      <c r="F3498">
        <v>100</v>
      </c>
      <c r="G3498" t="s">
        <v>93</v>
      </c>
      <c r="H3498">
        <v>-40.9</v>
      </c>
      <c r="I3498">
        <v>98</v>
      </c>
      <c r="J3498">
        <v>-5.17</v>
      </c>
      <c r="K3498">
        <v>99</v>
      </c>
      <c r="L3498">
        <v>-19.25</v>
      </c>
      <c r="M3498">
        <v>97</v>
      </c>
      <c r="N3498">
        <v>-13.76</v>
      </c>
      <c r="O3498">
        <v>98</v>
      </c>
      <c r="P3498">
        <v>-7.17</v>
      </c>
      <c r="Q3498">
        <v>99</v>
      </c>
      <c r="R3498">
        <v>-11.98</v>
      </c>
      <c r="S3498">
        <v>95</v>
      </c>
      <c r="T3498">
        <v>20.56</v>
      </c>
      <c r="U3498">
        <v>99</v>
      </c>
      <c r="V3498">
        <v>-4.13</v>
      </c>
      <c r="W3498">
        <v>95</v>
      </c>
      <c r="X3498" t="s">
        <v>94</v>
      </c>
      <c r="Y3498" t="s">
        <v>95</v>
      </c>
      <c r="Z3498" t="s">
        <v>96</v>
      </c>
      <c r="AA3498" t="s">
        <v>166</v>
      </c>
      <c r="AB3498" t="s">
        <v>7523</v>
      </c>
      <c r="AC3498">
        <v>5686</v>
      </c>
      <c r="AD3498">
        <v>1487</v>
      </c>
      <c r="AE3498">
        <v>99</v>
      </c>
      <c r="AF3498">
        <v>-141.08000000000001</v>
      </c>
      <c r="AG3498">
        <v>2.66</v>
      </c>
      <c r="AH3498">
        <v>-3.98</v>
      </c>
      <c r="AI3498">
        <v>0.15</v>
      </c>
      <c r="AJ3498">
        <v>0.01</v>
      </c>
      <c r="AK3498">
        <v>97</v>
      </c>
      <c r="AL3498">
        <v>6994</v>
      </c>
      <c r="AM3498">
        <v>2500</v>
      </c>
      <c r="AN3498">
        <v>1.45</v>
      </c>
      <c r="AO3498">
        <v>-0.08</v>
      </c>
      <c r="AP3498">
        <v>45</v>
      </c>
      <c r="AQ3498">
        <v>0</v>
      </c>
      <c r="AR3498">
        <v>8.59</v>
      </c>
      <c r="AS3498">
        <v>92</v>
      </c>
      <c r="AT3498">
        <v>3.75</v>
      </c>
      <c r="AU3498">
        <v>98</v>
      </c>
      <c r="AV3498">
        <v>0.81</v>
      </c>
      <c r="AW3498">
        <v>99</v>
      </c>
      <c r="AX3498">
        <v>0.06</v>
      </c>
      <c r="AY3498">
        <v>99</v>
      </c>
      <c r="AZ3498">
        <v>6.39</v>
      </c>
      <c r="BA3498">
        <v>93</v>
      </c>
      <c r="BB3498">
        <v>4.7300000000000004</v>
      </c>
      <c r="BC3498">
        <v>98</v>
      </c>
      <c r="BD3498">
        <v>0.05</v>
      </c>
      <c r="BE3498">
        <v>0.08</v>
      </c>
      <c r="BF3498">
        <v>0.04</v>
      </c>
      <c r="BG3498">
        <v>99</v>
      </c>
      <c r="BH3498">
        <v>0.05</v>
      </c>
      <c r="BI3498">
        <v>19.100000000000001</v>
      </c>
      <c r="BJ3498">
        <v>220</v>
      </c>
      <c r="BK3498">
        <v>146</v>
      </c>
      <c r="BL3498">
        <v>-0.8</v>
      </c>
      <c r="BM3498">
        <v>0.08</v>
      </c>
      <c r="BN3498">
        <v>-0.61</v>
      </c>
      <c r="BO3498">
        <v>-0.65</v>
      </c>
      <c r="BP3498">
        <v>0.33</v>
      </c>
      <c r="BQ3498">
        <v>-2.0499999999999998</v>
      </c>
      <c r="BR3498">
        <v>0.57999999999999996</v>
      </c>
      <c r="BS3498">
        <v>-1.01</v>
      </c>
      <c r="BT3498">
        <v>-1.86</v>
      </c>
      <c r="BU3498">
        <v>0.37</v>
      </c>
      <c r="BV3498">
        <v>-0.89</v>
      </c>
      <c r="BW3498">
        <v>-1.17</v>
      </c>
      <c r="BX3498">
        <v>-0.18</v>
      </c>
      <c r="BY3498">
        <v>-0.59</v>
      </c>
      <c r="BZ3498">
        <v>0.68</v>
      </c>
      <c r="CA3498">
        <v>-0.52</v>
      </c>
      <c r="CB3498">
        <v>-0.31</v>
      </c>
      <c r="CC3498">
        <v>-0.92</v>
      </c>
      <c r="CD3498">
        <v>0.55000000000000004</v>
      </c>
      <c r="CE3498">
        <v>-0.64</v>
      </c>
      <c r="CF3498">
        <v>-1.35</v>
      </c>
      <c r="CG3498">
        <v>0</v>
      </c>
      <c r="CH3498">
        <v>-0.55000000000000004</v>
      </c>
      <c r="CI3498">
        <v>0</v>
      </c>
      <c r="CJ3498">
        <v>-2.9</v>
      </c>
      <c r="CK3498">
        <v>99</v>
      </c>
      <c r="CL3498">
        <v>-0.41</v>
      </c>
      <c r="CM3498">
        <v>99</v>
      </c>
      <c r="CN3498">
        <v>-0.2</v>
      </c>
      <c r="CO3498">
        <v>99</v>
      </c>
      <c r="CP3498">
        <v>-8.5</v>
      </c>
      <c r="CQ3498">
        <v>99</v>
      </c>
      <c r="CR3498">
        <v>0</v>
      </c>
      <c r="CS3498">
        <v>0</v>
      </c>
      <c r="CT3498">
        <v>-14</v>
      </c>
      <c r="CU3498">
        <v>99</v>
      </c>
      <c r="CV3498">
        <v>0.03</v>
      </c>
      <c r="CW3498">
        <v>47</v>
      </c>
      <c r="CX3498" t="s">
        <v>7524</v>
      </c>
    </row>
    <row r="3499" spans="1:102" x14ac:dyDescent="0.3">
      <c r="A3499" t="str">
        <f>HYPERLINK("https://webapp.icbf.com/v2/app/bull-search/view/503556472","DXI")</f>
        <v>DXI</v>
      </c>
      <c r="B3499" t="s">
        <v>6510</v>
      </c>
      <c r="C3499" t="s">
        <v>6511</v>
      </c>
      <c r="D3499" s="1">
        <v>39142</v>
      </c>
      <c r="E3499" t="s">
        <v>92</v>
      </c>
      <c r="F3499">
        <v>88</v>
      </c>
      <c r="G3499" t="s">
        <v>93</v>
      </c>
      <c r="H3499">
        <v>-41</v>
      </c>
      <c r="I3499">
        <v>85</v>
      </c>
      <c r="J3499">
        <v>41.69</v>
      </c>
      <c r="K3499">
        <v>96</v>
      </c>
      <c r="L3499">
        <v>-93.34</v>
      </c>
      <c r="M3499">
        <v>77</v>
      </c>
      <c r="N3499">
        <v>12.5</v>
      </c>
      <c r="O3499">
        <v>83</v>
      </c>
      <c r="P3499">
        <v>-9.2899999999999991</v>
      </c>
      <c r="Q3499">
        <v>90</v>
      </c>
      <c r="R3499">
        <v>1.3</v>
      </c>
      <c r="S3499">
        <v>79</v>
      </c>
      <c r="T3499">
        <v>11.31</v>
      </c>
      <c r="U3499">
        <v>84</v>
      </c>
      <c r="V3499">
        <v>-5.17</v>
      </c>
      <c r="W3499">
        <v>75</v>
      </c>
      <c r="X3499" t="s">
        <v>94</v>
      </c>
      <c r="Y3499" t="s">
        <v>1113</v>
      </c>
      <c r="Z3499" t="s">
        <v>96</v>
      </c>
      <c r="AA3499" t="s">
        <v>204</v>
      </c>
      <c r="AB3499" t="s">
        <v>6512</v>
      </c>
      <c r="AC3499">
        <v>74</v>
      </c>
      <c r="AD3499">
        <v>54</v>
      </c>
      <c r="AE3499">
        <v>96</v>
      </c>
      <c r="AF3499">
        <v>54.74</v>
      </c>
      <c r="AG3499">
        <v>6.07</v>
      </c>
      <c r="AH3499">
        <v>5.78</v>
      </c>
      <c r="AI3499">
        <v>7.0000000000000007E-2</v>
      </c>
      <c r="AJ3499">
        <v>7.0000000000000007E-2</v>
      </c>
      <c r="AK3499">
        <v>77</v>
      </c>
      <c r="AL3499">
        <v>67</v>
      </c>
      <c r="AM3499">
        <v>51</v>
      </c>
      <c r="AN3499">
        <v>3.84</v>
      </c>
      <c r="AO3499">
        <v>-3.62</v>
      </c>
      <c r="AP3499">
        <v>168</v>
      </c>
      <c r="AQ3499">
        <v>1</v>
      </c>
      <c r="AR3499">
        <v>10.11</v>
      </c>
      <c r="AS3499">
        <v>65</v>
      </c>
      <c r="AT3499">
        <v>4.1399999999999997</v>
      </c>
      <c r="AU3499">
        <v>86</v>
      </c>
      <c r="AV3499">
        <v>-3.12</v>
      </c>
      <c r="AW3499">
        <v>95</v>
      </c>
      <c r="AX3499">
        <v>0.28000000000000003</v>
      </c>
      <c r="AY3499">
        <v>79</v>
      </c>
      <c r="AZ3499">
        <v>4.95</v>
      </c>
      <c r="BA3499">
        <v>63</v>
      </c>
      <c r="BB3499">
        <v>4.1399999999999997</v>
      </c>
      <c r="BC3499">
        <v>63</v>
      </c>
      <c r="BD3499">
        <v>-0.03</v>
      </c>
      <c r="BE3499">
        <v>0</v>
      </c>
      <c r="BF3499">
        <v>0.02</v>
      </c>
      <c r="BG3499">
        <v>87</v>
      </c>
      <c r="BH3499">
        <v>-0.19</v>
      </c>
      <c r="BI3499">
        <v>-5.29</v>
      </c>
      <c r="BJ3499">
        <v>18</v>
      </c>
      <c r="BK3499">
        <v>11</v>
      </c>
      <c r="BL3499">
        <v>0.08</v>
      </c>
      <c r="BM3499">
        <v>-2.36</v>
      </c>
      <c r="BN3499">
        <v>-1.23</v>
      </c>
      <c r="BO3499">
        <v>0.34</v>
      </c>
      <c r="BP3499">
        <v>-0.86</v>
      </c>
      <c r="BQ3499">
        <v>-1.44</v>
      </c>
      <c r="BR3499">
        <v>1.1100000000000001</v>
      </c>
      <c r="BS3499">
        <v>-2.4300000000000002</v>
      </c>
      <c r="BT3499">
        <v>-1.35</v>
      </c>
      <c r="BU3499">
        <v>-1.0900000000000001</v>
      </c>
      <c r="BV3499">
        <v>7.0000000000000007E-2</v>
      </c>
      <c r="BW3499">
        <v>-0.64</v>
      </c>
      <c r="BX3499">
        <v>-1.51</v>
      </c>
      <c r="BY3499">
        <v>-1.07</v>
      </c>
      <c r="BZ3499">
        <v>1.92</v>
      </c>
      <c r="CA3499">
        <v>-1.56</v>
      </c>
      <c r="CB3499">
        <v>-1.1200000000000001</v>
      </c>
      <c r="CC3499">
        <v>-2.15</v>
      </c>
      <c r="CD3499">
        <v>-1.47</v>
      </c>
      <c r="CE3499">
        <v>0.06</v>
      </c>
      <c r="CF3499">
        <v>-1.1399999999999999</v>
      </c>
      <c r="CG3499">
        <v>0</v>
      </c>
      <c r="CH3499">
        <v>-1.05</v>
      </c>
      <c r="CI3499">
        <v>0</v>
      </c>
      <c r="CJ3499">
        <v>-1.8</v>
      </c>
      <c r="CK3499">
        <v>91</v>
      </c>
      <c r="CL3499">
        <v>-0.62</v>
      </c>
      <c r="CM3499">
        <v>90</v>
      </c>
      <c r="CN3499">
        <v>-7.0000000000000007E-2</v>
      </c>
      <c r="CO3499">
        <v>88</v>
      </c>
      <c r="CP3499">
        <v>-8.1999999999999993</v>
      </c>
      <c r="CQ3499">
        <v>88</v>
      </c>
      <c r="CR3499">
        <v>0</v>
      </c>
      <c r="CS3499">
        <v>0</v>
      </c>
      <c r="CT3499">
        <v>-1.5</v>
      </c>
      <c r="CU3499">
        <v>84</v>
      </c>
      <c r="CV3499">
        <v>0.03</v>
      </c>
      <c r="CW3499">
        <v>46</v>
      </c>
      <c r="CX3499" t="s">
        <v>3831</v>
      </c>
    </row>
    <row r="3500" spans="1:102" x14ac:dyDescent="0.3">
      <c r="A3500" t="str">
        <f>HYPERLINK("https://webapp.icbf.com/v2/app/bull-search/view/77854297","PTK")</f>
        <v>PTK</v>
      </c>
      <c r="B3500" t="s">
        <v>11418</v>
      </c>
      <c r="C3500" t="s">
        <v>4600</v>
      </c>
      <c r="D3500" s="1">
        <v>33217</v>
      </c>
      <c r="E3500" t="s">
        <v>92</v>
      </c>
      <c r="F3500">
        <v>100</v>
      </c>
      <c r="G3500" t="s">
        <v>93</v>
      </c>
      <c r="H3500">
        <v>-41.1</v>
      </c>
      <c r="I3500">
        <v>88</v>
      </c>
      <c r="J3500">
        <v>-14.13</v>
      </c>
      <c r="K3500">
        <v>97</v>
      </c>
      <c r="L3500">
        <v>-8.51</v>
      </c>
      <c r="M3500">
        <v>89</v>
      </c>
      <c r="N3500">
        <v>-10.75</v>
      </c>
      <c r="O3500">
        <v>78</v>
      </c>
      <c r="P3500">
        <v>-0.13</v>
      </c>
      <c r="Q3500">
        <v>85</v>
      </c>
      <c r="R3500">
        <v>-9.93</v>
      </c>
      <c r="S3500">
        <v>82</v>
      </c>
      <c r="T3500">
        <v>4.95</v>
      </c>
      <c r="U3500">
        <v>78</v>
      </c>
      <c r="V3500">
        <v>-2.6</v>
      </c>
      <c r="W3500">
        <v>74</v>
      </c>
      <c r="X3500" t="s">
        <v>276</v>
      </c>
      <c r="Y3500" t="s">
        <v>95</v>
      </c>
      <c r="Z3500" t="s">
        <v>96</v>
      </c>
      <c r="AA3500" t="s">
        <v>111</v>
      </c>
      <c r="AB3500" t="s">
        <v>11419</v>
      </c>
      <c r="AC3500">
        <v>68</v>
      </c>
      <c r="AD3500">
        <v>41</v>
      </c>
      <c r="AE3500">
        <v>97</v>
      </c>
      <c r="AF3500">
        <v>140.99</v>
      </c>
      <c r="AG3500">
        <v>-2.84</v>
      </c>
      <c r="AH3500">
        <v>0.76</v>
      </c>
      <c r="AI3500">
        <v>-0.14000000000000001</v>
      </c>
      <c r="AJ3500">
        <v>-7.0000000000000007E-2</v>
      </c>
      <c r="AK3500">
        <v>89</v>
      </c>
      <c r="AL3500">
        <v>71</v>
      </c>
      <c r="AM3500">
        <v>40</v>
      </c>
      <c r="AN3500">
        <v>1.1299999999999999</v>
      </c>
      <c r="AO3500">
        <v>0.46</v>
      </c>
      <c r="AP3500">
        <v>43</v>
      </c>
      <c r="AQ3500">
        <v>0</v>
      </c>
      <c r="AR3500">
        <v>10.41</v>
      </c>
      <c r="AS3500">
        <v>67</v>
      </c>
      <c r="AT3500">
        <v>3.94</v>
      </c>
      <c r="AU3500">
        <v>86</v>
      </c>
      <c r="AV3500">
        <v>-0.26</v>
      </c>
      <c r="AW3500">
        <v>81</v>
      </c>
      <c r="AX3500">
        <v>-0.09</v>
      </c>
      <c r="AY3500">
        <v>76</v>
      </c>
      <c r="AZ3500">
        <v>5.41</v>
      </c>
      <c r="BA3500">
        <v>62</v>
      </c>
      <c r="BB3500">
        <v>4.62</v>
      </c>
      <c r="BC3500">
        <v>69</v>
      </c>
      <c r="BD3500">
        <v>0.02</v>
      </c>
      <c r="BE3500">
        <v>0.05</v>
      </c>
      <c r="BF3500">
        <v>0.1</v>
      </c>
      <c r="BG3500">
        <v>92</v>
      </c>
      <c r="BH3500">
        <v>0.02</v>
      </c>
      <c r="BI3500">
        <v>10.71</v>
      </c>
      <c r="BJ3500">
        <v>20</v>
      </c>
      <c r="BK3500">
        <v>10</v>
      </c>
      <c r="BL3500">
        <v>0.77</v>
      </c>
      <c r="BM3500">
        <v>0.34</v>
      </c>
      <c r="BN3500">
        <v>0.13</v>
      </c>
      <c r="BO3500">
        <v>0.15</v>
      </c>
      <c r="BP3500">
        <v>0.98</v>
      </c>
      <c r="BQ3500">
        <v>0.05</v>
      </c>
      <c r="BR3500">
        <v>-2</v>
      </c>
      <c r="BS3500">
        <v>2.66</v>
      </c>
      <c r="BT3500">
        <v>0.85</v>
      </c>
      <c r="BU3500">
        <v>0.3</v>
      </c>
      <c r="BV3500">
        <v>-0.19</v>
      </c>
      <c r="BW3500">
        <v>0.61</v>
      </c>
      <c r="BX3500">
        <v>0.74</v>
      </c>
      <c r="BY3500">
        <v>0.8</v>
      </c>
      <c r="BZ3500">
        <v>-0.43</v>
      </c>
      <c r="CA3500">
        <v>1.33</v>
      </c>
      <c r="CB3500">
        <v>0.57999999999999996</v>
      </c>
      <c r="CC3500">
        <v>2.44</v>
      </c>
      <c r="CD3500">
        <v>0.61</v>
      </c>
      <c r="CE3500">
        <v>0.46</v>
      </c>
      <c r="CF3500">
        <v>0.43</v>
      </c>
      <c r="CG3500">
        <v>0</v>
      </c>
      <c r="CH3500">
        <v>0.82</v>
      </c>
      <c r="CI3500">
        <v>0</v>
      </c>
      <c r="CJ3500">
        <v>1.2</v>
      </c>
      <c r="CK3500">
        <v>86</v>
      </c>
      <c r="CL3500">
        <v>-0.74</v>
      </c>
      <c r="CM3500">
        <v>84</v>
      </c>
      <c r="CN3500">
        <v>-0.47</v>
      </c>
      <c r="CO3500">
        <v>82</v>
      </c>
      <c r="CP3500">
        <v>2.2999999999999998</v>
      </c>
      <c r="CQ3500">
        <v>87</v>
      </c>
      <c r="CR3500">
        <v>0</v>
      </c>
      <c r="CS3500">
        <v>0</v>
      </c>
      <c r="CT3500">
        <v>7.1</v>
      </c>
      <c r="CU3500">
        <v>78</v>
      </c>
      <c r="CV3500">
        <v>0.1</v>
      </c>
      <c r="CW3500">
        <v>43</v>
      </c>
      <c r="CX3500" t="s">
        <v>166</v>
      </c>
    </row>
    <row r="3501" spans="1:102" x14ac:dyDescent="0.3">
      <c r="A3501" t="str">
        <f>HYPERLINK("https://webapp.icbf.com/v2/app/bull-search/view/77859802","BMO")</f>
        <v>BMO</v>
      </c>
      <c r="B3501" t="s">
        <v>4373</v>
      </c>
      <c r="C3501" t="s">
        <v>4374</v>
      </c>
      <c r="D3501" s="1">
        <v>32092</v>
      </c>
      <c r="E3501" t="s">
        <v>92</v>
      </c>
      <c r="F3501">
        <v>100</v>
      </c>
      <c r="G3501" t="s">
        <v>109</v>
      </c>
      <c r="H3501">
        <v>-41.26</v>
      </c>
      <c r="I3501">
        <v>61</v>
      </c>
      <c r="J3501">
        <v>-11.33</v>
      </c>
      <c r="K3501">
        <v>73</v>
      </c>
      <c r="L3501">
        <v>-46.8</v>
      </c>
      <c r="M3501">
        <v>59</v>
      </c>
      <c r="N3501">
        <v>16.739999999999998</v>
      </c>
      <c r="O3501">
        <v>52</v>
      </c>
      <c r="P3501">
        <v>-4.8899999999999997</v>
      </c>
      <c r="Q3501">
        <v>64</v>
      </c>
      <c r="R3501">
        <v>-2.97</v>
      </c>
      <c r="S3501">
        <v>55</v>
      </c>
      <c r="T3501">
        <v>6.35</v>
      </c>
      <c r="U3501">
        <v>49</v>
      </c>
      <c r="V3501">
        <v>1.64</v>
      </c>
      <c r="W3501">
        <v>27</v>
      </c>
      <c r="X3501" t="s">
        <v>110</v>
      </c>
      <c r="Y3501" t="s">
        <v>95</v>
      </c>
      <c r="Z3501" t="s">
        <v>96</v>
      </c>
      <c r="AA3501" t="s">
        <v>128</v>
      </c>
      <c r="AB3501" t="s">
        <v>4375</v>
      </c>
      <c r="AC3501">
        <v>0</v>
      </c>
      <c r="AD3501">
        <v>0</v>
      </c>
      <c r="AE3501">
        <v>73</v>
      </c>
      <c r="AF3501">
        <v>-13.7</v>
      </c>
      <c r="AG3501">
        <v>-0.61</v>
      </c>
      <c r="AH3501">
        <v>-1.92</v>
      </c>
      <c r="AI3501">
        <v>0</v>
      </c>
      <c r="AJ3501">
        <v>-0.02</v>
      </c>
      <c r="AK3501">
        <v>59</v>
      </c>
      <c r="AL3501">
        <v>0</v>
      </c>
      <c r="AM3501">
        <v>0</v>
      </c>
      <c r="AN3501">
        <v>2.72</v>
      </c>
      <c r="AO3501">
        <v>-1.01</v>
      </c>
      <c r="AP3501">
        <v>2</v>
      </c>
      <c r="AQ3501">
        <v>5</v>
      </c>
      <c r="AR3501">
        <v>6.44</v>
      </c>
      <c r="AS3501">
        <v>26</v>
      </c>
      <c r="AT3501">
        <v>2.48</v>
      </c>
      <c r="AU3501">
        <v>66</v>
      </c>
      <c r="AV3501">
        <v>-0.4</v>
      </c>
      <c r="AW3501">
        <v>56</v>
      </c>
      <c r="AX3501">
        <v>-0.84</v>
      </c>
      <c r="AY3501">
        <v>57</v>
      </c>
      <c r="AZ3501">
        <v>5.62</v>
      </c>
      <c r="BA3501">
        <v>26</v>
      </c>
      <c r="BB3501">
        <v>4.5599999999999996</v>
      </c>
      <c r="BC3501">
        <v>31</v>
      </c>
      <c r="BD3501">
        <v>0.02</v>
      </c>
      <c r="BE3501">
        <v>0.05</v>
      </c>
      <c r="BF3501">
        <v>-0.06</v>
      </c>
      <c r="BG3501">
        <v>74</v>
      </c>
      <c r="BH3501">
        <v>0.1</v>
      </c>
      <c r="BI3501">
        <v>6.28</v>
      </c>
      <c r="BJ3501">
        <v>0</v>
      </c>
      <c r="BK3501">
        <v>0</v>
      </c>
      <c r="BL3501">
        <v>-0.98</v>
      </c>
      <c r="BM3501">
        <v>0</v>
      </c>
      <c r="BN3501">
        <v>0</v>
      </c>
      <c r="BO3501">
        <v>0</v>
      </c>
      <c r="BP3501">
        <v>-3.38</v>
      </c>
      <c r="BQ3501">
        <v>-0.9</v>
      </c>
      <c r="BR3501">
        <v>0.06</v>
      </c>
      <c r="BS3501">
        <v>0</v>
      </c>
      <c r="BT3501">
        <v>0</v>
      </c>
      <c r="BU3501">
        <v>0</v>
      </c>
      <c r="BV3501">
        <v>0</v>
      </c>
      <c r="BW3501">
        <v>-0.61</v>
      </c>
      <c r="BX3501">
        <v>-0.93</v>
      </c>
      <c r="BY3501">
        <v>1.03</v>
      </c>
      <c r="BZ3501">
        <v>-2.64</v>
      </c>
      <c r="CA3501">
        <v>-1.5</v>
      </c>
      <c r="CB3501">
        <v>-1.48</v>
      </c>
      <c r="CC3501">
        <v>-0.2</v>
      </c>
      <c r="CD3501">
        <v>0</v>
      </c>
      <c r="CE3501">
        <v>0</v>
      </c>
      <c r="CF3501">
        <v>0</v>
      </c>
      <c r="CG3501">
        <v>0</v>
      </c>
      <c r="CH3501">
        <v>0</v>
      </c>
      <c r="CI3501">
        <v>0</v>
      </c>
      <c r="CJ3501">
        <v>-0.3</v>
      </c>
      <c r="CK3501">
        <v>66</v>
      </c>
      <c r="CL3501">
        <v>-0.46</v>
      </c>
      <c r="CM3501">
        <v>62</v>
      </c>
      <c r="CN3501">
        <v>-0.04</v>
      </c>
      <c r="CO3501">
        <v>58</v>
      </c>
      <c r="CP3501">
        <v>-1.3</v>
      </c>
      <c r="CQ3501">
        <v>60</v>
      </c>
      <c r="CR3501">
        <v>0</v>
      </c>
      <c r="CS3501">
        <v>0</v>
      </c>
      <c r="CT3501">
        <v>5.2</v>
      </c>
      <c r="CU3501">
        <v>49</v>
      </c>
      <c r="CV3501">
        <v>0.1</v>
      </c>
      <c r="CW3501">
        <v>18</v>
      </c>
      <c r="CX3501" t="s">
        <v>707</v>
      </c>
    </row>
    <row r="3502" spans="1:102" x14ac:dyDescent="0.3">
      <c r="A3502" t="str">
        <f>HYPERLINK("https://webapp.icbf.com/v2/app/bull-search/view/77857894","FGZ")</f>
        <v>FGZ</v>
      </c>
      <c r="B3502" t="s">
        <v>11058</v>
      </c>
      <c r="C3502" t="s">
        <v>11059</v>
      </c>
      <c r="D3502" s="1">
        <v>35754</v>
      </c>
      <c r="E3502" t="s">
        <v>92</v>
      </c>
      <c r="F3502">
        <v>100</v>
      </c>
      <c r="G3502" t="s">
        <v>93</v>
      </c>
      <c r="H3502">
        <v>-41.32</v>
      </c>
      <c r="I3502">
        <v>84</v>
      </c>
      <c r="J3502">
        <v>27.04</v>
      </c>
      <c r="K3502">
        <v>96</v>
      </c>
      <c r="L3502">
        <v>-83.34</v>
      </c>
      <c r="M3502">
        <v>79</v>
      </c>
      <c r="N3502">
        <v>6.52</v>
      </c>
      <c r="O3502">
        <v>76</v>
      </c>
      <c r="P3502">
        <v>-12.57</v>
      </c>
      <c r="Q3502">
        <v>85</v>
      </c>
      <c r="R3502">
        <v>9.77</v>
      </c>
      <c r="S3502">
        <v>79</v>
      </c>
      <c r="T3502">
        <v>12.49</v>
      </c>
      <c r="U3502">
        <v>78</v>
      </c>
      <c r="V3502">
        <v>-1.23</v>
      </c>
      <c r="W3502">
        <v>68</v>
      </c>
      <c r="X3502" t="s">
        <v>558</v>
      </c>
      <c r="Y3502" t="s">
        <v>95</v>
      </c>
      <c r="Z3502" t="s">
        <v>96</v>
      </c>
      <c r="AA3502" t="s">
        <v>751</v>
      </c>
      <c r="AB3502" t="s">
        <v>11060</v>
      </c>
      <c r="AC3502">
        <v>60</v>
      </c>
      <c r="AD3502">
        <v>47</v>
      </c>
      <c r="AE3502">
        <v>96</v>
      </c>
      <c r="AF3502">
        <v>140.05000000000001</v>
      </c>
      <c r="AG3502">
        <v>5.69</v>
      </c>
      <c r="AH3502">
        <v>4.7300000000000004</v>
      </c>
      <c r="AI3502">
        <v>0</v>
      </c>
      <c r="AJ3502">
        <v>0</v>
      </c>
      <c r="AK3502">
        <v>79</v>
      </c>
      <c r="AL3502">
        <v>54</v>
      </c>
      <c r="AM3502">
        <v>37</v>
      </c>
      <c r="AN3502">
        <v>5.01</v>
      </c>
      <c r="AO3502">
        <v>-1.63</v>
      </c>
      <c r="AP3502">
        <v>51</v>
      </c>
      <c r="AQ3502">
        <v>2</v>
      </c>
      <c r="AR3502">
        <v>7.66</v>
      </c>
      <c r="AS3502">
        <v>69</v>
      </c>
      <c r="AT3502">
        <v>3.84</v>
      </c>
      <c r="AU3502">
        <v>81</v>
      </c>
      <c r="AV3502">
        <v>-2.94</v>
      </c>
      <c r="AW3502">
        <v>79</v>
      </c>
      <c r="AX3502">
        <v>0.8</v>
      </c>
      <c r="AY3502">
        <v>74</v>
      </c>
      <c r="AZ3502">
        <v>7.42</v>
      </c>
      <c r="BA3502">
        <v>64</v>
      </c>
      <c r="BB3502">
        <v>6.17</v>
      </c>
      <c r="BC3502">
        <v>66</v>
      </c>
      <c r="BD3502">
        <v>-0.04</v>
      </c>
      <c r="BE3502">
        <v>-0.02</v>
      </c>
      <c r="BF3502">
        <v>-0.12</v>
      </c>
      <c r="BG3502">
        <v>88</v>
      </c>
      <c r="BH3502">
        <v>0.02</v>
      </c>
      <c r="BI3502">
        <v>6.29</v>
      </c>
      <c r="BJ3502">
        <v>36</v>
      </c>
      <c r="BK3502">
        <v>25</v>
      </c>
      <c r="BL3502">
        <v>1.1200000000000001</v>
      </c>
      <c r="BM3502">
        <v>0.49</v>
      </c>
      <c r="BN3502">
        <v>1.4</v>
      </c>
      <c r="BO3502">
        <v>0.62</v>
      </c>
      <c r="BP3502">
        <v>-0.71</v>
      </c>
      <c r="BQ3502">
        <v>0.54</v>
      </c>
      <c r="BR3502">
        <v>0.89</v>
      </c>
      <c r="BS3502">
        <v>0.41</v>
      </c>
      <c r="BT3502">
        <v>0.04</v>
      </c>
      <c r="BU3502">
        <v>1.41</v>
      </c>
      <c r="BV3502">
        <v>0.96</v>
      </c>
      <c r="BW3502">
        <v>0.85</v>
      </c>
      <c r="BX3502">
        <v>0.97</v>
      </c>
      <c r="BY3502">
        <v>-0.51</v>
      </c>
      <c r="BZ3502">
        <v>-0.16</v>
      </c>
      <c r="CA3502">
        <v>1.17</v>
      </c>
      <c r="CB3502">
        <v>1.1100000000000001</v>
      </c>
      <c r="CC3502">
        <v>1.0900000000000001</v>
      </c>
      <c r="CD3502">
        <v>-0.47</v>
      </c>
      <c r="CE3502">
        <v>0.6</v>
      </c>
      <c r="CF3502">
        <v>0.78</v>
      </c>
      <c r="CG3502">
        <v>0</v>
      </c>
      <c r="CH3502">
        <v>-0.61</v>
      </c>
      <c r="CI3502">
        <v>0</v>
      </c>
      <c r="CJ3502">
        <v>-5.3</v>
      </c>
      <c r="CK3502">
        <v>86</v>
      </c>
      <c r="CL3502">
        <v>-0.87</v>
      </c>
      <c r="CM3502">
        <v>84</v>
      </c>
      <c r="CN3502">
        <v>-0.4</v>
      </c>
      <c r="CO3502">
        <v>81</v>
      </c>
      <c r="CP3502">
        <v>-6.4</v>
      </c>
      <c r="CQ3502">
        <v>86</v>
      </c>
      <c r="CR3502">
        <v>0</v>
      </c>
      <c r="CS3502">
        <v>0</v>
      </c>
      <c r="CT3502">
        <v>-3.1</v>
      </c>
      <c r="CU3502">
        <v>78</v>
      </c>
      <c r="CV3502">
        <v>0.05</v>
      </c>
      <c r="CW3502">
        <v>43</v>
      </c>
      <c r="CX3502" t="s">
        <v>265</v>
      </c>
    </row>
    <row r="3503" spans="1:102" x14ac:dyDescent="0.3">
      <c r="A3503" t="str">
        <f>HYPERLINK("https://webapp.icbf.com/v2/app/bull-search/view/760397889","S2012")</f>
        <v>S2012</v>
      </c>
      <c r="B3503" t="s">
        <v>14899</v>
      </c>
      <c r="C3503" t="s">
        <v>14900</v>
      </c>
      <c r="D3503" s="1">
        <v>39699</v>
      </c>
      <c r="E3503" t="s">
        <v>92</v>
      </c>
      <c r="F3503">
        <v>100</v>
      </c>
      <c r="G3503" t="s">
        <v>109</v>
      </c>
      <c r="H3503">
        <v>-41.42</v>
      </c>
      <c r="I3503">
        <v>74</v>
      </c>
      <c r="J3503">
        <v>21.1</v>
      </c>
      <c r="K3503">
        <v>90</v>
      </c>
      <c r="L3503">
        <v>-71.47</v>
      </c>
      <c r="M3503">
        <v>84</v>
      </c>
      <c r="N3503">
        <v>11.17</v>
      </c>
      <c r="O3503">
        <v>63</v>
      </c>
      <c r="P3503">
        <v>-11.59</v>
      </c>
      <c r="Q3503">
        <v>50</v>
      </c>
      <c r="R3503">
        <v>-0.3</v>
      </c>
      <c r="S3503">
        <v>59</v>
      </c>
      <c r="T3503">
        <v>9.76</v>
      </c>
      <c r="U3503">
        <v>49</v>
      </c>
      <c r="V3503">
        <v>-0.09</v>
      </c>
      <c r="W3503">
        <v>11</v>
      </c>
      <c r="X3503" t="s">
        <v>94</v>
      </c>
      <c r="Y3503" t="s">
        <v>362</v>
      </c>
      <c r="Z3503" t="s">
        <v>96</v>
      </c>
      <c r="AA3503" t="s">
        <v>14901</v>
      </c>
      <c r="AB3503" t="s">
        <v>14902</v>
      </c>
      <c r="AC3503">
        <v>0</v>
      </c>
      <c r="AD3503">
        <v>0</v>
      </c>
      <c r="AE3503">
        <v>90</v>
      </c>
      <c r="AF3503">
        <v>627.4</v>
      </c>
      <c r="AG3503">
        <v>9.5299999999999994</v>
      </c>
      <c r="AH3503">
        <v>9.82</v>
      </c>
      <c r="AI3503">
        <v>-0.22</v>
      </c>
      <c r="AJ3503">
        <v>-0.18</v>
      </c>
      <c r="AK3503">
        <v>84</v>
      </c>
      <c r="AL3503">
        <v>0</v>
      </c>
      <c r="AM3503">
        <v>0</v>
      </c>
      <c r="AN3503">
        <v>5.45</v>
      </c>
      <c r="AO3503">
        <v>-0.23</v>
      </c>
      <c r="AP3503">
        <v>39</v>
      </c>
      <c r="AQ3503">
        <v>0</v>
      </c>
      <c r="AR3503">
        <v>9.65</v>
      </c>
      <c r="AS3503">
        <v>35</v>
      </c>
      <c r="AT3503">
        <v>4.47</v>
      </c>
      <c r="AU3503">
        <v>91</v>
      </c>
      <c r="AV3503">
        <v>-3.5</v>
      </c>
      <c r="AW3503">
        <v>75</v>
      </c>
      <c r="AX3503">
        <v>-0.41</v>
      </c>
      <c r="AY3503">
        <v>57</v>
      </c>
      <c r="AZ3503">
        <v>5.81</v>
      </c>
      <c r="BA3503">
        <v>17</v>
      </c>
      <c r="BB3503">
        <v>4.7699999999999996</v>
      </c>
      <c r="BC3503">
        <v>11</v>
      </c>
      <c r="BD3503">
        <v>0.03</v>
      </c>
      <c r="BE3503">
        <v>0.03</v>
      </c>
      <c r="BF3503">
        <v>-0.1</v>
      </c>
      <c r="BG3503">
        <v>92</v>
      </c>
      <c r="BH3503">
        <v>0.01</v>
      </c>
      <c r="BI3503">
        <v>1.44</v>
      </c>
      <c r="BJ3503">
        <v>8</v>
      </c>
      <c r="BK3503">
        <v>4</v>
      </c>
      <c r="BL3503">
        <v>1.85</v>
      </c>
      <c r="BM3503">
        <v>0.37</v>
      </c>
      <c r="BN3503">
        <v>1.26</v>
      </c>
      <c r="BO3503">
        <v>1</v>
      </c>
      <c r="BP3503">
        <v>1.04</v>
      </c>
      <c r="BQ3503">
        <v>1.75</v>
      </c>
      <c r="BR3503">
        <v>-0.56000000000000005</v>
      </c>
      <c r="BS3503">
        <v>0.5</v>
      </c>
      <c r="BT3503">
        <v>1.43</v>
      </c>
      <c r="BU3503">
        <v>3.44</v>
      </c>
      <c r="BV3503">
        <v>3.05</v>
      </c>
      <c r="BW3503">
        <v>2.57</v>
      </c>
      <c r="BX3503">
        <v>2.8</v>
      </c>
      <c r="BY3503">
        <v>1.34</v>
      </c>
      <c r="BZ3503">
        <v>-0.91</v>
      </c>
      <c r="CA3503">
        <v>2.89</v>
      </c>
      <c r="CB3503">
        <v>2.72</v>
      </c>
      <c r="CC3503">
        <v>1.97</v>
      </c>
      <c r="CD3503">
        <v>-0.2</v>
      </c>
      <c r="CE3503">
        <v>1.54</v>
      </c>
      <c r="CF3503">
        <v>1.97</v>
      </c>
      <c r="CG3503">
        <v>0</v>
      </c>
      <c r="CH3503">
        <v>1.56</v>
      </c>
      <c r="CI3503">
        <v>0</v>
      </c>
      <c r="CJ3503">
        <v>-4.5</v>
      </c>
      <c r="CK3503">
        <v>57</v>
      </c>
      <c r="CL3503">
        <v>-1.19</v>
      </c>
      <c r="CM3503">
        <v>41</v>
      </c>
      <c r="CN3503">
        <v>-0.68</v>
      </c>
      <c r="CO3503">
        <v>36</v>
      </c>
      <c r="CP3503">
        <v>-7.1</v>
      </c>
      <c r="CQ3503">
        <v>50</v>
      </c>
      <c r="CR3503">
        <v>0</v>
      </c>
      <c r="CS3503">
        <v>0</v>
      </c>
      <c r="CT3503">
        <v>0.6</v>
      </c>
      <c r="CU3503">
        <v>49</v>
      </c>
      <c r="CV3503">
        <v>0.31</v>
      </c>
      <c r="CW3503">
        <v>15</v>
      </c>
      <c r="CX3503" t="s">
        <v>14903</v>
      </c>
    </row>
    <row r="3504" spans="1:102" x14ac:dyDescent="0.3">
      <c r="A3504" t="str">
        <f>HYPERLINK("https://webapp.icbf.com/v2/app/bull-search/view/77859106","CPU")</f>
        <v>CPU</v>
      </c>
      <c r="B3504" t="s">
        <v>15021</v>
      </c>
      <c r="C3504" t="s">
        <v>15022</v>
      </c>
      <c r="D3504" s="1">
        <v>34260</v>
      </c>
      <c r="E3504" t="s">
        <v>92</v>
      </c>
      <c r="F3504">
        <v>100</v>
      </c>
      <c r="G3504" t="s">
        <v>93</v>
      </c>
      <c r="H3504">
        <v>-41.42</v>
      </c>
      <c r="I3504">
        <v>74</v>
      </c>
      <c r="J3504">
        <v>-45.93</v>
      </c>
      <c r="K3504">
        <v>91</v>
      </c>
      <c r="L3504">
        <v>15.07</v>
      </c>
      <c r="M3504">
        <v>62</v>
      </c>
      <c r="N3504">
        <v>-4.3899999999999997</v>
      </c>
      <c r="O3504">
        <v>64</v>
      </c>
      <c r="P3504">
        <v>-14.74</v>
      </c>
      <c r="Q3504">
        <v>83</v>
      </c>
      <c r="R3504">
        <v>-5.34</v>
      </c>
      <c r="S3504">
        <v>66</v>
      </c>
      <c r="T3504">
        <v>16.12</v>
      </c>
      <c r="U3504">
        <v>73</v>
      </c>
      <c r="V3504">
        <v>-2.21</v>
      </c>
      <c r="W3504">
        <v>43</v>
      </c>
      <c r="X3504" t="s">
        <v>94</v>
      </c>
      <c r="Y3504" t="s">
        <v>95</v>
      </c>
      <c r="Z3504" t="s">
        <v>96</v>
      </c>
      <c r="AA3504" t="s">
        <v>1185</v>
      </c>
      <c r="AB3504" t="s">
        <v>15023</v>
      </c>
      <c r="AC3504">
        <v>52</v>
      </c>
      <c r="AD3504">
        <v>49</v>
      </c>
      <c r="AE3504">
        <v>91</v>
      </c>
      <c r="AF3504">
        <v>-59.17</v>
      </c>
      <c r="AG3504">
        <v>-3.3</v>
      </c>
      <c r="AH3504">
        <v>-7.55</v>
      </c>
      <c r="AI3504">
        <v>-0.02</v>
      </c>
      <c r="AJ3504">
        <v>-0.09</v>
      </c>
      <c r="AK3504">
        <v>62</v>
      </c>
      <c r="AL3504">
        <v>79</v>
      </c>
      <c r="AM3504">
        <v>60</v>
      </c>
      <c r="AN3504">
        <v>-0.19</v>
      </c>
      <c r="AO3504">
        <v>1.02</v>
      </c>
      <c r="AP3504">
        <v>13</v>
      </c>
      <c r="AQ3504">
        <v>0</v>
      </c>
      <c r="AR3504">
        <v>9.1300000000000008</v>
      </c>
      <c r="AS3504">
        <v>38</v>
      </c>
      <c r="AT3504">
        <v>4.38</v>
      </c>
      <c r="AU3504">
        <v>56</v>
      </c>
      <c r="AV3504">
        <v>-1.1399999999999999</v>
      </c>
      <c r="AW3504">
        <v>78</v>
      </c>
      <c r="AX3504">
        <v>0.2</v>
      </c>
      <c r="AY3504">
        <v>72</v>
      </c>
      <c r="AZ3504">
        <v>5.7</v>
      </c>
      <c r="BA3504">
        <v>37</v>
      </c>
      <c r="BB3504">
        <v>4.37</v>
      </c>
      <c r="BC3504">
        <v>50</v>
      </c>
      <c r="BD3504">
        <v>0.04</v>
      </c>
      <c r="BE3504">
        <v>0.04</v>
      </c>
      <c r="BF3504">
        <v>-0.02</v>
      </c>
      <c r="BG3504">
        <v>81</v>
      </c>
      <c r="BH3504">
        <v>-0.05</v>
      </c>
      <c r="BI3504">
        <v>1.34</v>
      </c>
      <c r="BJ3504">
        <v>12</v>
      </c>
      <c r="BK3504">
        <v>9</v>
      </c>
      <c r="BL3504">
        <v>0.46</v>
      </c>
      <c r="BM3504">
        <v>0.08</v>
      </c>
      <c r="BN3504">
        <v>-0.16</v>
      </c>
      <c r="BO3504">
        <v>-0.13</v>
      </c>
      <c r="BP3504">
        <v>-0.18</v>
      </c>
      <c r="BQ3504">
        <v>-0.27</v>
      </c>
      <c r="BR3504">
        <v>-1.1200000000000001</v>
      </c>
      <c r="BS3504">
        <v>1.62</v>
      </c>
      <c r="BT3504">
        <v>1.37</v>
      </c>
      <c r="BU3504">
        <v>-0.12</v>
      </c>
      <c r="BV3504">
        <v>0.24</v>
      </c>
      <c r="BW3504">
        <v>0.86</v>
      </c>
      <c r="BX3504">
        <v>1.05</v>
      </c>
      <c r="BY3504">
        <v>-0.75</v>
      </c>
      <c r="BZ3504">
        <v>0.9</v>
      </c>
      <c r="CA3504">
        <v>0.81</v>
      </c>
      <c r="CB3504">
        <v>0.14000000000000001</v>
      </c>
      <c r="CC3504">
        <v>1.65</v>
      </c>
      <c r="CD3504">
        <v>0.12</v>
      </c>
      <c r="CE3504">
        <v>-0.12</v>
      </c>
      <c r="CF3504">
        <v>0.32</v>
      </c>
      <c r="CG3504">
        <v>0</v>
      </c>
      <c r="CH3504">
        <v>0.45</v>
      </c>
      <c r="CI3504">
        <v>0</v>
      </c>
      <c r="CJ3504">
        <v>-7.5</v>
      </c>
      <c r="CK3504">
        <v>85</v>
      </c>
      <c r="CL3504">
        <v>-0.5</v>
      </c>
      <c r="CM3504">
        <v>82</v>
      </c>
      <c r="CN3504">
        <v>-0.18</v>
      </c>
      <c r="CO3504">
        <v>80</v>
      </c>
      <c r="CP3504">
        <v>-8.9</v>
      </c>
      <c r="CQ3504">
        <v>82</v>
      </c>
      <c r="CR3504">
        <v>0</v>
      </c>
      <c r="CS3504">
        <v>0</v>
      </c>
      <c r="CT3504">
        <v>-8</v>
      </c>
      <c r="CU3504">
        <v>73</v>
      </c>
      <c r="CV3504">
        <v>-0.06</v>
      </c>
      <c r="CW3504">
        <v>24</v>
      </c>
      <c r="CX3504" t="s">
        <v>161</v>
      </c>
    </row>
    <row r="3505" spans="1:102" x14ac:dyDescent="0.3">
      <c r="A3505" t="str">
        <f>HYPERLINK("https://webapp.icbf.com/v2/app/bull-search/view/69091480","DKS")</f>
        <v>DKS</v>
      </c>
      <c r="B3505" t="s">
        <v>2768</v>
      </c>
      <c r="C3505" t="s">
        <v>2769</v>
      </c>
      <c r="D3505" s="1">
        <v>33386</v>
      </c>
      <c r="E3505" t="s">
        <v>92</v>
      </c>
      <c r="F3505">
        <v>100</v>
      </c>
      <c r="G3505" t="s">
        <v>116</v>
      </c>
      <c r="H3505">
        <v>-41.58</v>
      </c>
      <c r="I3505">
        <v>36</v>
      </c>
      <c r="J3505">
        <v>-0.93</v>
      </c>
      <c r="K3505">
        <v>60</v>
      </c>
      <c r="L3505">
        <v>-17.46</v>
      </c>
      <c r="M3505">
        <v>21</v>
      </c>
      <c r="N3505">
        <v>-23.61</v>
      </c>
      <c r="O3505">
        <v>22</v>
      </c>
      <c r="P3505">
        <v>-4.41</v>
      </c>
      <c r="Q3505">
        <v>43</v>
      </c>
      <c r="R3505">
        <v>-9.6</v>
      </c>
      <c r="S3505">
        <v>26</v>
      </c>
      <c r="T3505">
        <v>15.82</v>
      </c>
      <c r="U3505">
        <v>28</v>
      </c>
      <c r="V3505">
        <v>-1.39</v>
      </c>
      <c r="W3505">
        <v>21</v>
      </c>
      <c r="X3505" t="s">
        <v>94</v>
      </c>
      <c r="Y3505" t="s">
        <v>95</v>
      </c>
      <c r="Z3505" t="s">
        <v>96</v>
      </c>
      <c r="AA3505" t="s">
        <v>2770</v>
      </c>
      <c r="AB3505" t="s">
        <v>144</v>
      </c>
      <c r="AC3505">
        <v>6</v>
      </c>
      <c r="AD3505">
        <v>4</v>
      </c>
      <c r="AE3505">
        <v>60</v>
      </c>
      <c r="AF3505">
        <v>-195.4</v>
      </c>
      <c r="AG3505">
        <v>2.63</v>
      </c>
      <c r="AH3505">
        <v>-4.08</v>
      </c>
      <c r="AI3505">
        <v>0.18</v>
      </c>
      <c r="AJ3505">
        <v>0.04</v>
      </c>
      <c r="AK3505">
        <v>21</v>
      </c>
      <c r="AL3505">
        <v>10</v>
      </c>
      <c r="AM3505">
        <v>6</v>
      </c>
      <c r="AN3505">
        <v>0.39</v>
      </c>
      <c r="AO3505">
        <v>-1.01</v>
      </c>
      <c r="AP3505">
        <v>4</v>
      </c>
      <c r="AQ3505">
        <v>0</v>
      </c>
      <c r="AR3505">
        <v>7.47</v>
      </c>
      <c r="AS3505">
        <v>13</v>
      </c>
      <c r="AT3505">
        <v>3.23</v>
      </c>
      <c r="AU3505">
        <v>16</v>
      </c>
      <c r="AV3505">
        <v>2.89</v>
      </c>
      <c r="AW3505">
        <v>33</v>
      </c>
      <c r="AX3505">
        <v>-0.22</v>
      </c>
      <c r="AY3505">
        <v>19</v>
      </c>
      <c r="AZ3505">
        <v>6.85</v>
      </c>
      <c r="BA3505">
        <v>8</v>
      </c>
      <c r="BB3505">
        <v>5</v>
      </c>
      <c r="BC3505">
        <v>13</v>
      </c>
      <c r="BD3505">
        <v>7.0000000000000007E-2</v>
      </c>
      <c r="BE3505">
        <v>0.06</v>
      </c>
      <c r="BF3505">
        <v>-0.01</v>
      </c>
      <c r="BG3505">
        <v>35</v>
      </c>
      <c r="BH3505">
        <v>-0.06</v>
      </c>
      <c r="BI3505">
        <v>-2.46</v>
      </c>
      <c r="BJ3505">
        <v>0</v>
      </c>
      <c r="BK3505">
        <v>0</v>
      </c>
      <c r="BL3505">
        <v>0</v>
      </c>
      <c r="BM3505">
        <v>0</v>
      </c>
      <c r="BN3505">
        <v>0</v>
      </c>
      <c r="BO3505">
        <v>0</v>
      </c>
      <c r="BP3505">
        <v>0</v>
      </c>
      <c r="BQ3505">
        <v>0</v>
      </c>
      <c r="BR3505">
        <v>0</v>
      </c>
      <c r="BS3505">
        <v>0</v>
      </c>
      <c r="BT3505">
        <v>0</v>
      </c>
      <c r="BU3505">
        <v>0</v>
      </c>
      <c r="BV3505">
        <v>0</v>
      </c>
      <c r="BW3505">
        <v>0</v>
      </c>
      <c r="BX3505">
        <v>0</v>
      </c>
      <c r="BY3505">
        <v>0</v>
      </c>
      <c r="BZ3505">
        <v>0</v>
      </c>
      <c r="CA3505">
        <v>0</v>
      </c>
      <c r="CB3505">
        <v>0</v>
      </c>
      <c r="CC3505">
        <v>0</v>
      </c>
      <c r="CD3505">
        <v>0</v>
      </c>
      <c r="CE3505">
        <v>0</v>
      </c>
      <c r="CF3505">
        <v>0</v>
      </c>
      <c r="CG3505">
        <v>0</v>
      </c>
      <c r="CH3505">
        <v>0</v>
      </c>
      <c r="CI3505">
        <v>0</v>
      </c>
      <c r="CJ3505">
        <v>-1</v>
      </c>
      <c r="CK3505">
        <v>46</v>
      </c>
      <c r="CL3505">
        <v>-0.38</v>
      </c>
      <c r="CM3505">
        <v>41</v>
      </c>
      <c r="CN3505">
        <v>-0.17</v>
      </c>
      <c r="CO3505">
        <v>36</v>
      </c>
      <c r="CP3505">
        <v>-7.3</v>
      </c>
      <c r="CQ3505">
        <v>44</v>
      </c>
      <c r="CR3505">
        <v>0</v>
      </c>
      <c r="CS3505">
        <v>0</v>
      </c>
      <c r="CT3505">
        <v>-7.6</v>
      </c>
      <c r="CU3505">
        <v>28</v>
      </c>
      <c r="CV3505">
        <v>0.12</v>
      </c>
      <c r="CW3505">
        <v>11</v>
      </c>
      <c r="CX3505">
        <v>0</v>
      </c>
    </row>
    <row r="3506" spans="1:102" x14ac:dyDescent="0.3">
      <c r="A3506" t="str">
        <f>HYPERLINK("https://webapp.icbf.com/v2/app/bull-search/view/1021980880","YFH")</f>
        <v>YFH</v>
      </c>
      <c r="B3506" t="s">
        <v>13128</v>
      </c>
      <c r="C3506" t="s">
        <v>13129</v>
      </c>
      <c r="D3506" s="1">
        <v>40368</v>
      </c>
      <c r="E3506" t="s">
        <v>92</v>
      </c>
      <c r="F3506">
        <v>100</v>
      </c>
      <c r="G3506" t="s">
        <v>109</v>
      </c>
      <c r="H3506">
        <v>-41.68</v>
      </c>
      <c r="I3506">
        <v>83</v>
      </c>
      <c r="J3506">
        <v>93.87</v>
      </c>
      <c r="K3506">
        <v>94</v>
      </c>
      <c r="L3506">
        <v>-124.04</v>
      </c>
      <c r="M3506">
        <v>86</v>
      </c>
      <c r="N3506">
        <v>-3.91</v>
      </c>
      <c r="O3506">
        <v>71</v>
      </c>
      <c r="P3506">
        <v>-25.39</v>
      </c>
      <c r="Q3506">
        <v>67</v>
      </c>
      <c r="R3506">
        <v>5.34</v>
      </c>
      <c r="S3506">
        <v>76</v>
      </c>
      <c r="T3506">
        <v>7.09</v>
      </c>
      <c r="U3506">
        <v>64</v>
      </c>
      <c r="V3506">
        <v>5.36</v>
      </c>
      <c r="W3506">
        <v>62</v>
      </c>
      <c r="X3506" t="s">
        <v>94</v>
      </c>
      <c r="Y3506" t="s">
        <v>1128</v>
      </c>
      <c r="Z3506" t="s">
        <v>96</v>
      </c>
      <c r="AA3506" t="s">
        <v>1572</v>
      </c>
      <c r="AB3506" t="s">
        <v>13130</v>
      </c>
      <c r="AC3506">
        <v>0</v>
      </c>
      <c r="AD3506">
        <v>0</v>
      </c>
      <c r="AE3506">
        <v>94</v>
      </c>
      <c r="AF3506">
        <v>528.24</v>
      </c>
      <c r="AG3506">
        <v>16.93</v>
      </c>
      <c r="AH3506">
        <v>18.059999999999999</v>
      </c>
      <c r="AI3506">
        <v>-0.06</v>
      </c>
      <c r="AJ3506">
        <v>0</v>
      </c>
      <c r="AK3506">
        <v>86</v>
      </c>
      <c r="AL3506">
        <v>0</v>
      </c>
      <c r="AM3506">
        <v>0</v>
      </c>
      <c r="AN3506">
        <v>6.92</v>
      </c>
      <c r="AO3506">
        <v>-2.97</v>
      </c>
      <c r="AP3506">
        <v>24</v>
      </c>
      <c r="AQ3506">
        <v>0</v>
      </c>
      <c r="AR3506">
        <v>9.18</v>
      </c>
      <c r="AS3506">
        <v>69</v>
      </c>
      <c r="AT3506">
        <v>4.5599999999999996</v>
      </c>
      <c r="AU3506">
        <v>91</v>
      </c>
      <c r="AV3506">
        <v>-2.65</v>
      </c>
      <c r="AW3506">
        <v>71</v>
      </c>
      <c r="AX3506">
        <v>0.86</v>
      </c>
      <c r="AY3506">
        <v>59</v>
      </c>
      <c r="AZ3506">
        <v>6.79</v>
      </c>
      <c r="BA3506">
        <v>52</v>
      </c>
      <c r="BB3506">
        <v>5.6</v>
      </c>
      <c r="BC3506">
        <v>48</v>
      </c>
      <c r="BD3506">
        <v>0.02</v>
      </c>
      <c r="BE3506">
        <v>-0.04</v>
      </c>
      <c r="BF3506">
        <v>-0.08</v>
      </c>
      <c r="BG3506">
        <v>91</v>
      </c>
      <c r="BH3506">
        <v>0.06</v>
      </c>
      <c r="BI3506">
        <v>-10.35</v>
      </c>
      <c r="BJ3506">
        <v>7</v>
      </c>
      <c r="BK3506">
        <v>6</v>
      </c>
      <c r="BL3506">
        <v>1.27</v>
      </c>
      <c r="BM3506">
        <v>-2.25</v>
      </c>
      <c r="BN3506">
        <v>-0.08</v>
      </c>
      <c r="BO3506">
        <v>1.5</v>
      </c>
      <c r="BP3506">
        <v>-0.28999999999999998</v>
      </c>
      <c r="BQ3506">
        <v>0.4</v>
      </c>
      <c r="BR3506">
        <v>-0.23</v>
      </c>
      <c r="BS3506">
        <v>0.23</v>
      </c>
      <c r="BT3506">
        <v>0.96</v>
      </c>
      <c r="BU3506">
        <v>1.25</v>
      </c>
      <c r="BV3506">
        <v>2.68</v>
      </c>
      <c r="BW3506">
        <v>3.49</v>
      </c>
      <c r="BX3506">
        <v>0.81</v>
      </c>
      <c r="BY3506">
        <v>1.24</v>
      </c>
      <c r="BZ3506">
        <v>-0.05</v>
      </c>
      <c r="CA3506">
        <v>1.7</v>
      </c>
      <c r="CB3506">
        <v>2.0499999999999998</v>
      </c>
      <c r="CC3506">
        <v>-0.19</v>
      </c>
      <c r="CD3506">
        <v>-1.47</v>
      </c>
      <c r="CE3506">
        <v>1.42</v>
      </c>
      <c r="CF3506">
        <v>0.5</v>
      </c>
      <c r="CG3506">
        <v>0</v>
      </c>
      <c r="CH3506">
        <v>1.43</v>
      </c>
      <c r="CI3506">
        <v>0</v>
      </c>
      <c r="CJ3506">
        <v>-9.6999999999999993</v>
      </c>
      <c r="CK3506">
        <v>69</v>
      </c>
      <c r="CL3506">
        <v>-1.71</v>
      </c>
      <c r="CM3506">
        <v>65</v>
      </c>
      <c r="CN3506">
        <v>-0.6</v>
      </c>
      <c r="CO3506">
        <v>63</v>
      </c>
      <c r="CP3506">
        <v>-9.1999999999999993</v>
      </c>
      <c r="CQ3506">
        <v>67</v>
      </c>
      <c r="CR3506">
        <v>0</v>
      </c>
      <c r="CS3506">
        <v>0</v>
      </c>
      <c r="CT3506">
        <v>4.2</v>
      </c>
      <c r="CU3506">
        <v>64</v>
      </c>
      <c r="CV3506">
        <v>0.25</v>
      </c>
      <c r="CW3506">
        <v>40</v>
      </c>
      <c r="CX3506" t="s">
        <v>309</v>
      </c>
    </row>
    <row r="3507" spans="1:102" x14ac:dyDescent="0.3">
      <c r="A3507" t="str">
        <f>HYPERLINK("https://webapp.icbf.com/v2/app/bull-search/view/437084645","PYL")</f>
        <v>PYL</v>
      </c>
      <c r="B3507" t="s">
        <v>12017</v>
      </c>
      <c r="C3507" t="s">
        <v>12018</v>
      </c>
      <c r="D3507" s="1">
        <v>36419</v>
      </c>
      <c r="E3507" t="s">
        <v>140</v>
      </c>
      <c r="F3507">
        <v>0</v>
      </c>
      <c r="G3507" t="s">
        <v>109</v>
      </c>
      <c r="H3507">
        <v>-41.81</v>
      </c>
      <c r="I3507">
        <v>54</v>
      </c>
      <c r="J3507">
        <v>-14.92</v>
      </c>
      <c r="K3507">
        <v>76</v>
      </c>
      <c r="L3507">
        <v>-15.96</v>
      </c>
      <c r="M3507">
        <v>37</v>
      </c>
      <c r="N3507">
        <v>-26.25</v>
      </c>
      <c r="O3507">
        <v>48</v>
      </c>
      <c r="P3507">
        <v>7.66</v>
      </c>
      <c r="Q3507">
        <v>65</v>
      </c>
      <c r="R3507">
        <v>8.32</v>
      </c>
      <c r="S3507">
        <v>40</v>
      </c>
      <c r="T3507">
        <v>9.61</v>
      </c>
      <c r="U3507">
        <v>53</v>
      </c>
      <c r="V3507">
        <v>-10.27</v>
      </c>
      <c r="W3507">
        <v>32</v>
      </c>
      <c r="X3507" t="s">
        <v>102</v>
      </c>
      <c r="Y3507" t="s">
        <v>95</v>
      </c>
      <c r="Z3507">
        <v>0</v>
      </c>
      <c r="AA3507" t="s">
        <v>247</v>
      </c>
      <c r="AB3507" t="s">
        <v>12019</v>
      </c>
      <c r="AC3507">
        <v>0</v>
      </c>
      <c r="AD3507">
        <v>0</v>
      </c>
      <c r="AE3507">
        <v>76</v>
      </c>
      <c r="AF3507">
        <v>-21.53</v>
      </c>
      <c r="AG3507">
        <v>-7.23</v>
      </c>
      <c r="AH3507">
        <v>-0.31</v>
      </c>
      <c r="AI3507">
        <v>-0.11</v>
      </c>
      <c r="AJ3507">
        <v>0.01</v>
      </c>
      <c r="AK3507">
        <v>37</v>
      </c>
      <c r="AL3507">
        <v>8</v>
      </c>
      <c r="AM3507">
        <v>3</v>
      </c>
      <c r="AN3507">
        <v>0.34</v>
      </c>
      <c r="AO3507">
        <v>-0.94</v>
      </c>
      <c r="AP3507">
        <v>19</v>
      </c>
      <c r="AQ3507">
        <v>0</v>
      </c>
      <c r="AR3507">
        <v>9.9600000000000009</v>
      </c>
      <c r="AS3507">
        <v>32</v>
      </c>
      <c r="AT3507">
        <v>4.67</v>
      </c>
      <c r="AU3507">
        <v>45</v>
      </c>
      <c r="AV3507">
        <v>0.75</v>
      </c>
      <c r="AW3507">
        <v>60</v>
      </c>
      <c r="AX3507">
        <v>0.7</v>
      </c>
      <c r="AY3507">
        <v>46</v>
      </c>
      <c r="AZ3507">
        <v>5.75</v>
      </c>
      <c r="BA3507">
        <v>30</v>
      </c>
      <c r="BB3507">
        <v>4.22</v>
      </c>
      <c r="BC3507">
        <v>31</v>
      </c>
      <c r="BD3507">
        <v>0.01</v>
      </c>
      <c r="BE3507">
        <v>-0.02</v>
      </c>
      <c r="BF3507">
        <v>-0.17</v>
      </c>
      <c r="BG3507">
        <v>43</v>
      </c>
      <c r="BH3507">
        <v>-0.32</v>
      </c>
      <c r="BI3507">
        <v>-3.9</v>
      </c>
      <c r="BJ3507">
        <v>0</v>
      </c>
      <c r="BK3507">
        <v>0</v>
      </c>
      <c r="BL3507">
        <v>-0.64</v>
      </c>
      <c r="BM3507">
        <v>3.77</v>
      </c>
      <c r="BN3507">
        <v>-1.94</v>
      </c>
      <c r="BO3507">
        <v>-3.29</v>
      </c>
      <c r="BP3507">
        <v>4.66</v>
      </c>
      <c r="BQ3507">
        <v>-1.82</v>
      </c>
      <c r="BR3507">
        <v>-2.69</v>
      </c>
      <c r="BS3507">
        <v>-0.62</v>
      </c>
      <c r="BT3507">
        <v>2.62</v>
      </c>
      <c r="BU3507">
        <v>-3.78</v>
      </c>
      <c r="BV3507">
        <v>-4.22</v>
      </c>
      <c r="BW3507">
        <v>-3.06</v>
      </c>
      <c r="BX3507">
        <v>-2.74</v>
      </c>
      <c r="BY3507">
        <v>-2.2799999999999998</v>
      </c>
      <c r="BZ3507">
        <v>1.56</v>
      </c>
      <c r="CA3507">
        <v>-2.82</v>
      </c>
      <c r="CB3507">
        <v>-3.48</v>
      </c>
      <c r="CC3507">
        <v>-0.74</v>
      </c>
      <c r="CD3507">
        <v>4.09</v>
      </c>
      <c r="CE3507">
        <v>-3.08</v>
      </c>
      <c r="CF3507">
        <v>-1.1100000000000001</v>
      </c>
      <c r="CG3507">
        <v>0</v>
      </c>
      <c r="CH3507">
        <v>-2.23</v>
      </c>
      <c r="CI3507">
        <v>0</v>
      </c>
      <c r="CJ3507">
        <v>2.4</v>
      </c>
      <c r="CK3507">
        <v>68</v>
      </c>
      <c r="CL3507">
        <v>0.13</v>
      </c>
      <c r="CM3507">
        <v>63</v>
      </c>
      <c r="CN3507">
        <v>-0.25</v>
      </c>
      <c r="CO3507">
        <v>59</v>
      </c>
      <c r="CP3507">
        <v>0.5</v>
      </c>
      <c r="CQ3507">
        <v>55</v>
      </c>
      <c r="CR3507">
        <v>0</v>
      </c>
      <c r="CS3507">
        <v>0</v>
      </c>
      <c r="CT3507">
        <v>0.8</v>
      </c>
      <c r="CU3507">
        <v>53</v>
      </c>
      <c r="CV3507">
        <v>-0.1</v>
      </c>
      <c r="CW3507">
        <v>19</v>
      </c>
      <c r="CX3507" t="s">
        <v>1296</v>
      </c>
    </row>
    <row r="3508" spans="1:102" x14ac:dyDescent="0.3">
      <c r="A3508" t="str">
        <f>HYPERLINK("https://webapp.icbf.com/v2/app/bull-search/view/69091804","GUH")</f>
        <v>GUH</v>
      </c>
      <c r="B3508" t="s">
        <v>699</v>
      </c>
      <c r="C3508" t="s">
        <v>700</v>
      </c>
      <c r="D3508" s="1">
        <v>33505</v>
      </c>
      <c r="E3508" t="s">
        <v>197</v>
      </c>
      <c r="F3508">
        <v>0</v>
      </c>
      <c r="G3508" t="s">
        <v>116</v>
      </c>
      <c r="H3508">
        <v>-41.86</v>
      </c>
      <c r="I3508">
        <v>40</v>
      </c>
      <c r="J3508">
        <v>-71.55</v>
      </c>
      <c r="K3508">
        <v>62</v>
      </c>
      <c r="L3508">
        <v>48.73</v>
      </c>
      <c r="M3508">
        <v>22</v>
      </c>
      <c r="N3508">
        <v>-19.71</v>
      </c>
      <c r="O3508">
        <v>19</v>
      </c>
      <c r="P3508">
        <v>29.04</v>
      </c>
      <c r="Q3508">
        <v>43</v>
      </c>
      <c r="R3508">
        <v>-6.68</v>
      </c>
      <c r="S3508">
        <v>22</v>
      </c>
      <c r="T3508">
        <v>-15.03</v>
      </c>
      <c r="U3508">
        <v>72</v>
      </c>
      <c r="V3508">
        <v>-6.66</v>
      </c>
      <c r="W3508">
        <v>4</v>
      </c>
      <c r="X3508" t="s">
        <v>276</v>
      </c>
      <c r="Y3508" t="s">
        <v>95</v>
      </c>
      <c r="Z3508">
        <v>0</v>
      </c>
      <c r="AA3508" t="s">
        <v>701</v>
      </c>
      <c r="AB3508" t="s">
        <v>702</v>
      </c>
      <c r="AC3508">
        <v>7</v>
      </c>
      <c r="AD3508">
        <v>5</v>
      </c>
      <c r="AE3508">
        <v>62</v>
      </c>
      <c r="AF3508">
        <v>-438.1</v>
      </c>
      <c r="AG3508">
        <v>-18.670000000000002</v>
      </c>
      <c r="AH3508">
        <v>-12.27</v>
      </c>
      <c r="AI3508">
        <v>-0.03</v>
      </c>
      <c r="AJ3508">
        <v>0.05</v>
      </c>
      <c r="AK3508">
        <v>22</v>
      </c>
      <c r="AL3508">
        <v>12</v>
      </c>
      <c r="AM3508">
        <v>7</v>
      </c>
      <c r="AN3508">
        <v>-4.67</v>
      </c>
      <c r="AO3508">
        <v>-0.81</v>
      </c>
      <c r="AP3508">
        <v>2</v>
      </c>
      <c r="AQ3508">
        <v>0</v>
      </c>
      <c r="AR3508">
        <v>4.7</v>
      </c>
      <c r="AS3508">
        <v>6</v>
      </c>
      <c r="AT3508">
        <v>4.95</v>
      </c>
      <c r="AU3508">
        <v>13</v>
      </c>
      <c r="AV3508">
        <v>2.2599999999999998</v>
      </c>
      <c r="AW3508">
        <v>27</v>
      </c>
      <c r="AX3508">
        <v>0.24</v>
      </c>
      <c r="AY3508">
        <v>31</v>
      </c>
      <c r="AZ3508">
        <v>6.04</v>
      </c>
      <c r="BA3508">
        <v>8</v>
      </c>
      <c r="BB3508">
        <v>3.36</v>
      </c>
      <c r="BC3508">
        <v>9</v>
      </c>
      <c r="BD3508">
        <v>0.01</v>
      </c>
      <c r="BE3508">
        <v>0.03</v>
      </c>
      <c r="BF3508">
        <v>0.08</v>
      </c>
      <c r="BG3508">
        <v>28</v>
      </c>
      <c r="BH3508">
        <v>-0.21</v>
      </c>
      <c r="BI3508">
        <v>-2.8</v>
      </c>
      <c r="BJ3508">
        <v>0</v>
      </c>
      <c r="BK3508">
        <v>0</v>
      </c>
      <c r="BL3508">
        <v>0</v>
      </c>
      <c r="BM3508">
        <v>0</v>
      </c>
      <c r="BN3508">
        <v>0</v>
      </c>
      <c r="BO3508">
        <v>0</v>
      </c>
      <c r="BP3508">
        <v>0</v>
      </c>
      <c r="BQ3508">
        <v>0</v>
      </c>
      <c r="BR3508">
        <v>0</v>
      </c>
      <c r="BS3508">
        <v>0</v>
      </c>
      <c r="BT3508">
        <v>0</v>
      </c>
      <c r="BU3508">
        <v>0</v>
      </c>
      <c r="BV3508">
        <v>0</v>
      </c>
      <c r="BW3508">
        <v>0</v>
      </c>
      <c r="BX3508">
        <v>0</v>
      </c>
      <c r="BY3508">
        <v>0</v>
      </c>
      <c r="BZ3508">
        <v>0</v>
      </c>
      <c r="CA3508">
        <v>0</v>
      </c>
      <c r="CB3508">
        <v>0</v>
      </c>
      <c r="CC3508">
        <v>0</v>
      </c>
      <c r="CD3508">
        <v>0</v>
      </c>
      <c r="CE3508">
        <v>0</v>
      </c>
      <c r="CF3508">
        <v>0</v>
      </c>
      <c r="CG3508">
        <v>0</v>
      </c>
      <c r="CH3508">
        <v>0</v>
      </c>
      <c r="CI3508">
        <v>0</v>
      </c>
      <c r="CJ3508">
        <v>14.2</v>
      </c>
      <c r="CK3508">
        <v>47</v>
      </c>
      <c r="CL3508">
        <v>0.51</v>
      </c>
      <c r="CM3508">
        <v>35</v>
      </c>
      <c r="CN3508">
        <v>-0.16</v>
      </c>
      <c r="CO3508">
        <v>29</v>
      </c>
      <c r="CP3508">
        <v>15.4</v>
      </c>
      <c r="CQ3508">
        <v>57</v>
      </c>
      <c r="CR3508">
        <v>0</v>
      </c>
      <c r="CS3508">
        <v>0</v>
      </c>
      <c r="CT3508">
        <v>34.1</v>
      </c>
      <c r="CU3508">
        <v>72</v>
      </c>
      <c r="CV3508">
        <v>-0.11</v>
      </c>
      <c r="CW3508">
        <v>10</v>
      </c>
      <c r="CX3508" t="s">
        <v>703</v>
      </c>
    </row>
    <row r="3509" spans="1:102" x14ac:dyDescent="0.3">
      <c r="A3509" t="str">
        <f>HYPERLINK("https://webapp.icbf.com/v2/app/bull-search/view/346262893","KQI")</f>
        <v>KQI</v>
      </c>
      <c r="B3509" t="s">
        <v>8678</v>
      </c>
      <c r="C3509" t="s">
        <v>8679</v>
      </c>
      <c r="D3509" s="1">
        <v>38024</v>
      </c>
      <c r="E3509" t="s">
        <v>92</v>
      </c>
      <c r="F3509">
        <v>100</v>
      </c>
      <c r="G3509" t="s">
        <v>116</v>
      </c>
      <c r="H3509">
        <v>-41.86</v>
      </c>
      <c r="I3509">
        <v>38</v>
      </c>
      <c r="J3509">
        <v>36.47</v>
      </c>
      <c r="K3509">
        <v>39</v>
      </c>
      <c r="L3509">
        <v>-66.319999999999993</v>
      </c>
      <c r="M3509">
        <v>34</v>
      </c>
      <c r="N3509">
        <v>-2.76</v>
      </c>
      <c r="O3509">
        <v>41</v>
      </c>
      <c r="P3509">
        <v>-5.54</v>
      </c>
      <c r="Q3509">
        <v>38</v>
      </c>
      <c r="R3509">
        <v>-3.73</v>
      </c>
      <c r="S3509">
        <v>38</v>
      </c>
      <c r="T3509">
        <v>7.17</v>
      </c>
      <c r="U3509">
        <v>44</v>
      </c>
      <c r="V3509">
        <v>-7.15</v>
      </c>
      <c r="W3509">
        <v>31</v>
      </c>
      <c r="X3509" t="s">
        <v>94</v>
      </c>
      <c r="Y3509" t="s">
        <v>1153</v>
      </c>
      <c r="Z3509" t="s">
        <v>96</v>
      </c>
      <c r="AA3509" t="s">
        <v>1109</v>
      </c>
      <c r="AB3509" t="s">
        <v>8680</v>
      </c>
      <c r="AC3509">
        <v>3</v>
      </c>
      <c r="AD3509">
        <v>2</v>
      </c>
      <c r="AE3509">
        <v>39</v>
      </c>
      <c r="AF3509">
        <v>38.770000000000003</v>
      </c>
      <c r="AG3509">
        <v>7.14</v>
      </c>
      <c r="AH3509">
        <v>4.2699999999999996</v>
      </c>
      <c r="AI3509">
        <v>0.09</v>
      </c>
      <c r="AJ3509">
        <v>0.05</v>
      </c>
      <c r="AK3509">
        <v>34</v>
      </c>
      <c r="AL3509">
        <v>3</v>
      </c>
      <c r="AM3509">
        <v>2</v>
      </c>
      <c r="AN3509">
        <v>3.54</v>
      </c>
      <c r="AO3509">
        <v>-1.75</v>
      </c>
      <c r="AP3509">
        <v>5</v>
      </c>
      <c r="AQ3509">
        <v>0</v>
      </c>
      <c r="AR3509">
        <v>7.55</v>
      </c>
      <c r="AS3509">
        <v>30</v>
      </c>
      <c r="AT3509">
        <v>3.31</v>
      </c>
      <c r="AU3509">
        <v>40</v>
      </c>
      <c r="AV3509">
        <v>-0.06</v>
      </c>
      <c r="AW3509">
        <v>49</v>
      </c>
      <c r="AX3509">
        <v>-0.19</v>
      </c>
      <c r="AY3509">
        <v>36</v>
      </c>
      <c r="AZ3509">
        <v>6.98</v>
      </c>
      <c r="BA3509">
        <v>30</v>
      </c>
      <c r="BB3509">
        <v>5.26</v>
      </c>
      <c r="BC3509">
        <v>32</v>
      </c>
      <c r="BD3509">
        <v>0.04</v>
      </c>
      <c r="BE3509">
        <v>0.01</v>
      </c>
      <c r="BF3509">
        <v>0</v>
      </c>
      <c r="BG3509">
        <v>42</v>
      </c>
      <c r="BH3509">
        <v>-0.13</v>
      </c>
      <c r="BI3509">
        <v>8.02</v>
      </c>
      <c r="BJ3509">
        <v>0</v>
      </c>
      <c r="BK3509">
        <v>0</v>
      </c>
      <c r="BL3509">
        <v>0.59</v>
      </c>
      <c r="BM3509">
        <v>0.37</v>
      </c>
      <c r="BN3509">
        <v>0.7</v>
      </c>
      <c r="BO3509">
        <v>0.24</v>
      </c>
      <c r="BP3509">
        <v>1.34</v>
      </c>
      <c r="BQ3509">
        <v>0.15</v>
      </c>
      <c r="BR3509">
        <v>-1.34</v>
      </c>
      <c r="BS3509">
        <v>0.18</v>
      </c>
      <c r="BT3509">
        <v>1.34</v>
      </c>
      <c r="BU3509">
        <v>-0.27</v>
      </c>
      <c r="BV3509">
        <v>0.42</v>
      </c>
      <c r="BW3509">
        <v>0.01</v>
      </c>
      <c r="BX3509">
        <v>-0.36</v>
      </c>
      <c r="BY3509">
        <v>-0.16</v>
      </c>
      <c r="BZ3509">
        <v>-0.12</v>
      </c>
      <c r="CA3509">
        <v>0.3</v>
      </c>
      <c r="CB3509">
        <v>0.09</v>
      </c>
      <c r="CC3509">
        <v>0.65</v>
      </c>
      <c r="CD3509">
        <v>0.11</v>
      </c>
      <c r="CE3509">
        <v>0.2</v>
      </c>
      <c r="CF3509">
        <v>0.86</v>
      </c>
      <c r="CG3509">
        <v>0</v>
      </c>
      <c r="CH3509">
        <v>-0.09</v>
      </c>
      <c r="CI3509">
        <v>0</v>
      </c>
      <c r="CJ3509">
        <v>-0.7</v>
      </c>
      <c r="CK3509">
        <v>39</v>
      </c>
      <c r="CL3509">
        <v>-0.56999999999999995</v>
      </c>
      <c r="CM3509">
        <v>36</v>
      </c>
      <c r="CN3509">
        <v>-0.15</v>
      </c>
      <c r="CO3509">
        <v>34</v>
      </c>
      <c r="CP3509">
        <v>-3</v>
      </c>
      <c r="CQ3509">
        <v>45</v>
      </c>
      <c r="CR3509">
        <v>0</v>
      </c>
      <c r="CS3509">
        <v>0</v>
      </c>
      <c r="CT3509">
        <v>4.0999999999999996</v>
      </c>
      <c r="CU3509">
        <v>44</v>
      </c>
      <c r="CV3509">
        <v>0.16</v>
      </c>
      <c r="CW3509">
        <v>11</v>
      </c>
      <c r="CX3509" t="s">
        <v>1037</v>
      </c>
    </row>
    <row r="3510" spans="1:102" x14ac:dyDescent="0.3">
      <c r="A3510" t="str">
        <f>HYPERLINK("https://webapp.icbf.com/v2/app/bull-search/view/355548583","TIZ")</f>
        <v>TIZ</v>
      </c>
      <c r="B3510" t="s">
        <v>11275</v>
      </c>
      <c r="C3510" t="s">
        <v>1831</v>
      </c>
      <c r="D3510" s="1">
        <v>37498</v>
      </c>
      <c r="E3510" t="s">
        <v>92</v>
      </c>
      <c r="F3510">
        <v>100</v>
      </c>
      <c r="G3510" t="s">
        <v>93</v>
      </c>
      <c r="H3510">
        <v>-41.92</v>
      </c>
      <c r="I3510">
        <v>93</v>
      </c>
      <c r="J3510">
        <v>89.12</v>
      </c>
      <c r="K3510">
        <v>98</v>
      </c>
      <c r="L3510">
        <v>-119.9</v>
      </c>
      <c r="M3510">
        <v>91</v>
      </c>
      <c r="N3510">
        <v>-10.49</v>
      </c>
      <c r="O3510">
        <v>90</v>
      </c>
      <c r="P3510">
        <v>-18.670000000000002</v>
      </c>
      <c r="Q3510">
        <v>94</v>
      </c>
      <c r="R3510">
        <v>-3.87</v>
      </c>
      <c r="S3510">
        <v>87</v>
      </c>
      <c r="T3510">
        <v>15.45</v>
      </c>
      <c r="U3510">
        <v>92</v>
      </c>
      <c r="V3510">
        <v>6.44</v>
      </c>
      <c r="W3510">
        <v>84</v>
      </c>
      <c r="X3510" t="s">
        <v>94</v>
      </c>
      <c r="Y3510" t="s">
        <v>171</v>
      </c>
      <c r="Z3510" t="s">
        <v>96</v>
      </c>
      <c r="AA3510" t="s">
        <v>1724</v>
      </c>
      <c r="AB3510" t="s">
        <v>11276</v>
      </c>
      <c r="AC3510">
        <v>147</v>
      </c>
      <c r="AD3510">
        <v>42</v>
      </c>
      <c r="AE3510">
        <v>98</v>
      </c>
      <c r="AF3510">
        <v>255.01</v>
      </c>
      <c r="AG3510">
        <v>6.84</v>
      </c>
      <c r="AH3510">
        <v>16.64</v>
      </c>
      <c r="AI3510">
        <v>-0.05</v>
      </c>
      <c r="AJ3510">
        <v>0.13</v>
      </c>
      <c r="AK3510">
        <v>91</v>
      </c>
      <c r="AL3510">
        <v>144</v>
      </c>
      <c r="AM3510">
        <v>49</v>
      </c>
      <c r="AN3510">
        <v>5.92</v>
      </c>
      <c r="AO3510">
        <v>-3.65</v>
      </c>
      <c r="AP3510">
        <v>296</v>
      </c>
      <c r="AQ3510">
        <v>0</v>
      </c>
      <c r="AR3510">
        <v>9.6300000000000008</v>
      </c>
      <c r="AS3510">
        <v>80</v>
      </c>
      <c r="AT3510">
        <v>3.53</v>
      </c>
      <c r="AU3510">
        <v>96</v>
      </c>
      <c r="AV3510">
        <v>-1.73</v>
      </c>
      <c r="AW3510">
        <v>97</v>
      </c>
      <c r="AX3510">
        <v>1.04</v>
      </c>
      <c r="AY3510">
        <v>88</v>
      </c>
      <c r="AZ3510">
        <v>8.5</v>
      </c>
      <c r="BA3510">
        <v>72</v>
      </c>
      <c r="BB3510">
        <v>6.52</v>
      </c>
      <c r="BC3510">
        <v>72</v>
      </c>
      <c r="BD3510">
        <v>-0.03</v>
      </c>
      <c r="BE3510">
        <v>0.01</v>
      </c>
      <c r="BF3510">
        <v>0.12</v>
      </c>
      <c r="BG3510">
        <v>95</v>
      </c>
      <c r="BH3510">
        <v>0.19</v>
      </c>
      <c r="BI3510">
        <v>1.22</v>
      </c>
      <c r="BJ3510">
        <v>12</v>
      </c>
      <c r="BK3510">
        <v>8</v>
      </c>
      <c r="BL3510">
        <v>-1.53</v>
      </c>
      <c r="BM3510">
        <v>0.99</v>
      </c>
      <c r="BN3510">
        <v>0.19</v>
      </c>
      <c r="BO3510">
        <v>-0.17</v>
      </c>
      <c r="BP3510">
        <v>-0.1</v>
      </c>
      <c r="BQ3510">
        <v>-0.52</v>
      </c>
      <c r="BR3510">
        <v>-0.48</v>
      </c>
      <c r="BS3510">
        <v>0.25</v>
      </c>
      <c r="BT3510">
        <v>-0.1</v>
      </c>
      <c r="BU3510">
        <v>0.69</v>
      </c>
      <c r="BV3510">
        <v>-0.1</v>
      </c>
      <c r="BW3510">
        <v>-0.24</v>
      </c>
      <c r="BX3510">
        <v>-0.68</v>
      </c>
      <c r="BY3510">
        <v>-0.06</v>
      </c>
      <c r="BZ3510">
        <v>0.74</v>
      </c>
      <c r="CA3510">
        <v>0.12</v>
      </c>
      <c r="CB3510">
        <v>-0.06</v>
      </c>
      <c r="CC3510">
        <v>0.92</v>
      </c>
      <c r="CD3510">
        <v>1.2</v>
      </c>
      <c r="CE3510">
        <v>0.15</v>
      </c>
      <c r="CF3510">
        <v>-1.07</v>
      </c>
      <c r="CG3510">
        <v>0</v>
      </c>
      <c r="CH3510">
        <v>0.09</v>
      </c>
      <c r="CI3510">
        <v>0</v>
      </c>
      <c r="CJ3510">
        <v>-7.6</v>
      </c>
      <c r="CK3510">
        <v>95</v>
      </c>
      <c r="CL3510">
        <v>-0.62</v>
      </c>
      <c r="CM3510">
        <v>94</v>
      </c>
      <c r="CN3510">
        <v>-0.03</v>
      </c>
      <c r="CO3510">
        <v>93</v>
      </c>
      <c r="CP3510">
        <v>-14.2</v>
      </c>
      <c r="CQ3510">
        <v>94</v>
      </c>
      <c r="CR3510">
        <v>0</v>
      </c>
      <c r="CS3510">
        <v>0</v>
      </c>
      <c r="CT3510">
        <v>-7.1</v>
      </c>
      <c r="CU3510">
        <v>92</v>
      </c>
      <c r="CV3510">
        <v>0.05</v>
      </c>
      <c r="CW3510">
        <v>45</v>
      </c>
      <c r="CX3510" t="s">
        <v>4292</v>
      </c>
    </row>
    <row r="3511" spans="1:102" x14ac:dyDescent="0.3">
      <c r="A3511" t="str">
        <f>HYPERLINK("https://webapp.icbf.com/v2/app/bull-search/view/77857012","HMD")</f>
        <v>HMD</v>
      </c>
      <c r="B3511" t="s">
        <v>6755</v>
      </c>
      <c r="C3511" t="s">
        <v>6756</v>
      </c>
      <c r="D3511" s="1">
        <v>35765</v>
      </c>
      <c r="E3511" t="s">
        <v>92</v>
      </c>
      <c r="F3511">
        <v>100</v>
      </c>
      <c r="G3511" t="s">
        <v>93</v>
      </c>
      <c r="H3511">
        <v>-41.95</v>
      </c>
      <c r="I3511">
        <v>89</v>
      </c>
      <c r="J3511">
        <v>35.15</v>
      </c>
      <c r="K3511">
        <v>98</v>
      </c>
      <c r="L3511">
        <v>-90.84</v>
      </c>
      <c r="M3511">
        <v>84</v>
      </c>
      <c r="N3511">
        <v>16.98</v>
      </c>
      <c r="O3511">
        <v>82</v>
      </c>
      <c r="P3511">
        <v>-9.31</v>
      </c>
      <c r="Q3511">
        <v>91</v>
      </c>
      <c r="R3511">
        <v>-4.75</v>
      </c>
      <c r="S3511">
        <v>83</v>
      </c>
      <c r="T3511">
        <v>7.68</v>
      </c>
      <c r="U3511">
        <v>89</v>
      </c>
      <c r="V3511">
        <v>3.14</v>
      </c>
      <c r="W3511">
        <v>76</v>
      </c>
      <c r="X3511" t="s">
        <v>94</v>
      </c>
      <c r="Y3511" t="s">
        <v>95</v>
      </c>
      <c r="Z3511" t="s">
        <v>96</v>
      </c>
      <c r="AA3511" t="s">
        <v>751</v>
      </c>
      <c r="AB3511" t="s">
        <v>3820</v>
      </c>
      <c r="AC3511">
        <v>139</v>
      </c>
      <c r="AD3511">
        <v>130</v>
      </c>
      <c r="AE3511">
        <v>98</v>
      </c>
      <c r="AF3511">
        <v>317.67</v>
      </c>
      <c r="AG3511">
        <v>1.19</v>
      </c>
      <c r="AH3511">
        <v>10.42</v>
      </c>
      <c r="AI3511">
        <v>-0.19</v>
      </c>
      <c r="AJ3511">
        <v>-0.01</v>
      </c>
      <c r="AK3511">
        <v>84</v>
      </c>
      <c r="AL3511">
        <v>144</v>
      </c>
      <c r="AM3511">
        <v>127</v>
      </c>
      <c r="AN3511">
        <v>5.31</v>
      </c>
      <c r="AO3511">
        <v>-1.93</v>
      </c>
      <c r="AP3511">
        <v>4</v>
      </c>
      <c r="AQ3511">
        <v>0</v>
      </c>
      <c r="AR3511">
        <v>7.13</v>
      </c>
      <c r="AS3511">
        <v>72</v>
      </c>
      <c r="AT3511">
        <v>3.08</v>
      </c>
      <c r="AU3511">
        <v>83</v>
      </c>
      <c r="AV3511">
        <v>-1.78</v>
      </c>
      <c r="AW3511">
        <v>86</v>
      </c>
      <c r="AX3511">
        <v>-0.17</v>
      </c>
      <c r="AY3511">
        <v>84</v>
      </c>
      <c r="AZ3511">
        <v>6.85</v>
      </c>
      <c r="BA3511">
        <v>70</v>
      </c>
      <c r="BB3511">
        <v>4.72</v>
      </c>
      <c r="BC3511">
        <v>76</v>
      </c>
      <c r="BD3511">
        <v>0.08</v>
      </c>
      <c r="BE3511">
        <v>0.04</v>
      </c>
      <c r="BF3511">
        <v>-0.1</v>
      </c>
      <c r="BG3511">
        <v>92</v>
      </c>
      <c r="BH3511">
        <v>7.0000000000000007E-2</v>
      </c>
      <c r="BI3511">
        <v>-2.0299999999999998</v>
      </c>
      <c r="BJ3511">
        <v>24</v>
      </c>
      <c r="BK3511">
        <v>21</v>
      </c>
      <c r="BL3511">
        <v>-0.26</v>
      </c>
      <c r="BM3511">
        <v>0.01</v>
      </c>
      <c r="BN3511">
        <v>0.34</v>
      </c>
      <c r="BO3511">
        <v>0.17</v>
      </c>
      <c r="BP3511">
        <v>0.1</v>
      </c>
      <c r="BQ3511">
        <v>-1.46</v>
      </c>
      <c r="BR3511">
        <v>0.65</v>
      </c>
      <c r="BS3511">
        <v>-0.11</v>
      </c>
      <c r="BT3511">
        <v>-1.1399999999999999</v>
      </c>
      <c r="BU3511">
        <v>-0.08</v>
      </c>
      <c r="BV3511">
        <v>0.83</v>
      </c>
      <c r="BW3511">
        <v>-0.38</v>
      </c>
      <c r="BX3511">
        <v>-0.77</v>
      </c>
      <c r="BY3511">
        <v>-0.18</v>
      </c>
      <c r="BZ3511">
        <v>0.66</v>
      </c>
      <c r="CA3511">
        <v>-0.22</v>
      </c>
      <c r="CB3511">
        <v>0.12</v>
      </c>
      <c r="CC3511">
        <v>-0.28999999999999998</v>
      </c>
      <c r="CD3511">
        <v>-0.67</v>
      </c>
      <c r="CE3511">
        <v>-0.1</v>
      </c>
      <c r="CF3511">
        <v>-0.63</v>
      </c>
      <c r="CG3511">
        <v>0</v>
      </c>
      <c r="CH3511">
        <v>-0.63</v>
      </c>
      <c r="CI3511">
        <v>0</v>
      </c>
      <c r="CJ3511">
        <v>-3.6</v>
      </c>
      <c r="CK3511">
        <v>91</v>
      </c>
      <c r="CL3511">
        <v>-0.56999999999999995</v>
      </c>
      <c r="CM3511">
        <v>90</v>
      </c>
      <c r="CN3511">
        <v>-0.23</v>
      </c>
      <c r="CO3511">
        <v>88</v>
      </c>
      <c r="CP3511">
        <v>-7.7</v>
      </c>
      <c r="CQ3511">
        <v>93</v>
      </c>
      <c r="CR3511">
        <v>0</v>
      </c>
      <c r="CS3511">
        <v>0</v>
      </c>
      <c r="CT3511">
        <v>3.4</v>
      </c>
      <c r="CU3511">
        <v>89</v>
      </c>
      <c r="CV3511">
        <v>0.09</v>
      </c>
      <c r="CW3511">
        <v>44</v>
      </c>
      <c r="CX3511" t="s">
        <v>485</v>
      </c>
    </row>
    <row r="3512" spans="1:102" x14ac:dyDescent="0.3">
      <c r="A3512" t="str">
        <f>HYPERLINK("https://webapp.icbf.com/v2/app/bull-search/view/586203891","S1291")</f>
        <v>S1291</v>
      </c>
      <c r="B3512" t="s">
        <v>1872</v>
      </c>
      <c r="C3512" t="s">
        <v>1873</v>
      </c>
      <c r="D3512" s="1">
        <v>37887</v>
      </c>
      <c r="E3512" t="s">
        <v>92</v>
      </c>
      <c r="F3512">
        <v>88</v>
      </c>
      <c r="G3512" t="s">
        <v>109</v>
      </c>
      <c r="H3512">
        <v>-42</v>
      </c>
      <c r="I3512">
        <v>83</v>
      </c>
      <c r="J3512">
        <v>47.8</v>
      </c>
      <c r="K3512">
        <v>93</v>
      </c>
      <c r="L3512">
        <v>-87.78</v>
      </c>
      <c r="M3512">
        <v>84</v>
      </c>
      <c r="N3512">
        <v>-9.85</v>
      </c>
      <c r="O3512">
        <v>77</v>
      </c>
      <c r="P3512">
        <v>-7.18</v>
      </c>
      <c r="Q3512">
        <v>77</v>
      </c>
      <c r="R3512">
        <v>10.84</v>
      </c>
      <c r="S3512">
        <v>76</v>
      </c>
      <c r="T3512">
        <v>3.24</v>
      </c>
      <c r="U3512">
        <v>72</v>
      </c>
      <c r="V3512">
        <v>0.93</v>
      </c>
      <c r="W3512">
        <v>58</v>
      </c>
      <c r="X3512" t="s">
        <v>102</v>
      </c>
      <c r="Y3512" t="s">
        <v>342</v>
      </c>
      <c r="Z3512" t="s">
        <v>330</v>
      </c>
      <c r="AA3512" t="s">
        <v>1874</v>
      </c>
      <c r="AB3512" t="s">
        <v>1875</v>
      </c>
      <c r="AC3512">
        <v>29</v>
      </c>
      <c r="AD3512">
        <v>11</v>
      </c>
      <c r="AE3512">
        <v>93</v>
      </c>
      <c r="AF3512">
        <v>112.93</v>
      </c>
      <c r="AG3512">
        <v>8.08</v>
      </c>
      <c r="AH3512">
        <v>7</v>
      </c>
      <c r="AI3512">
        <v>0.06</v>
      </c>
      <c r="AJ3512">
        <v>0.05</v>
      </c>
      <c r="AK3512">
        <v>84</v>
      </c>
      <c r="AL3512">
        <v>0</v>
      </c>
      <c r="AM3512">
        <v>0</v>
      </c>
      <c r="AN3512">
        <v>5.61</v>
      </c>
      <c r="AO3512">
        <v>-1.38</v>
      </c>
      <c r="AP3512">
        <v>65</v>
      </c>
      <c r="AQ3512">
        <v>0</v>
      </c>
      <c r="AR3512">
        <v>9.3800000000000008</v>
      </c>
      <c r="AS3512">
        <v>72</v>
      </c>
      <c r="AT3512">
        <v>3.44</v>
      </c>
      <c r="AU3512">
        <v>90</v>
      </c>
      <c r="AV3512">
        <v>-1.06</v>
      </c>
      <c r="AW3512">
        <v>84</v>
      </c>
      <c r="AX3512">
        <v>1.62</v>
      </c>
      <c r="AY3512">
        <v>63</v>
      </c>
      <c r="AZ3512">
        <v>7.34</v>
      </c>
      <c r="BA3512">
        <v>52</v>
      </c>
      <c r="BB3512">
        <v>5.89</v>
      </c>
      <c r="BC3512">
        <v>49</v>
      </c>
      <c r="BD3512">
        <v>-0.05</v>
      </c>
      <c r="BE3512">
        <v>-0.04</v>
      </c>
      <c r="BF3512">
        <v>-0.09</v>
      </c>
      <c r="BG3512">
        <v>91</v>
      </c>
      <c r="BH3512">
        <v>0.11</v>
      </c>
      <c r="BI3512">
        <v>9.73</v>
      </c>
      <c r="BJ3512">
        <v>12</v>
      </c>
      <c r="BK3512">
        <v>4</v>
      </c>
      <c r="BL3512">
        <v>0.21</v>
      </c>
      <c r="BM3512">
        <v>0.49</v>
      </c>
      <c r="BN3512">
        <v>0.65</v>
      </c>
      <c r="BO3512">
        <v>0.7</v>
      </c>
      <c r="BP3512">
        <v>2.68</v>
      </c>
      <c r="BQ3512">
        <v>2.1</v>
      </c>
      <c r="BR3512">
        <v>-0.63</v>
      </c>
      <c r="BS3512">
        <v>0.4</v>
      </c>
      <c r="BT3512">
        <v>0.49</v>
      </c>
      <c r="BU3512">
        <v>1.63</v>
      </c>
      <c r="BV3512">
        <v>1.06</v>
      </c>
      <c r="BW3512">
        <v>1.21</v>
      </c>
      <c r="BX3512">
        <v>2.2400000000000002</v>
      </c>
      <c r="BY3512">
        <v>1.88</v>
      </c>
      <c r="BZ3512">
        <v>-2.67</v>
      </c>
      <c r="CA3512">
        <v>1.8</v>
      </c>
      <c r="CB3512">
        <v>1.85</v>
      </c>
      <c r="CC3512">
        <v>0.72</v>
      </c>
      <c r="CD3512">
        <v>-0.16</v>
      </c>
      <c r="CE3512">
        <v>0.57999999999999996</v>
      </c>
      <c r="CF3512">
        <v>1.01</v>
      </c>
      <c r="CG3512">
        <v>0</v>
      </c>
      <c r="CH3512">
        <v>1.85</v>
      </c>
      <c r="CI3512">
        <v>0</v>
      </c>
      <c r="CJ3512">
        <v>-0.9</v>
      </c>
      <c r="CK3512">
        <v>80</v>
      </c>
      <c r="CL3512">
        <v>-0.74</v>
      </c>
      <c r="CM3512">
        <v>76</v>
      </c>
      <c r="CN3512">
        <v>-0.13</v>
      </c>
      <c r="CO3512">
        <v>73</v>
      </c>
      <c r="CP3512">
        <v>1.2</v>
      </c>
      <c r="CQ3512">
        <v>69</v>
      </c>
      <c r="CR3512">
        <v>0</v>
      </c>
      <c r="CS3512">
        <v>0</v>
      </c>
      <c r="CT3512">
        <v>9.4</v>
      </c>
      <c r="CU3512">
        <v>72</v>
      </c>
      <c r="CV3512">
        <v>7.0000000000000007E-2</v>
      </c>
      <c r="CW3512">
        <v>42</v>
      </c>
      <c r="CX3512" t="s">
        <v>1876</v>
      </c>
    </row>
    <row r="3513" spans="1:102" x14ac:dyDescent="0.3">
      <c r="A3513" t="str">
        <f>HYPERLINK("https://webapp.icbf.com/v2/app/bull-search/view/1027071307","S2026")</f>
        <v>S2026</v>
      </c>
      <c r="B3513" t="s">
        <v>13420</v>
      </c>
      <c r="C3513" t="s">
        <v>13421</v>
      </c>
      <c r="D3513" s="1">
        <v>39216</v>
      </c>
      <c r="E3513" t="s">
        <v>140</v>
      </c>
      <c r="F3513">
        <v>0</v>
      </c>
      <c r="G3513" t="s">
        <v>109</v>
      </c>
      <c r="H3513">
        <v>-42.02</v>
      </c>
      <c r="I3513">
        <v>70</v>
      </c>
      <c r="J3513">
        <v>20.34</v>
      </c>
      <c r="K3513">
        <v>87</v>
      </c>
      <c r="L3513">
        <v>-34.17</v>
      </c>
      <c r="M3513">
        <v>60</v>
      </c>
      <c r="N3513">
        <v>-42.42</v>
      </c>
      <c r="O3513">
        <v>59</v>
      </c>
      <c r="P3513">
        <v>19.079999999999998</v>
      </c>
      <c r="Q3513">
        <v>72</v>
      </c>
      <c r="R3513">
        <v>5.42</v>
      </c>
      <c r="S3513">
        <v>60</v>
      </c>
      <c r="T3513">
        <v>7.98</v>
      </c>
      <c r="U3513">
        <v>58</v>
      </c>
      <c r="V3513">
        <v>-18.25</v>
      </c>
      <c r="W3513">
        <v>60</v>
      </c>
      <c r="X3513" t="s">
        <v>102</v>
      </c>
      <c r="Y3513" t="s">
        <v>367</v>
      </c>
      <c r="Z3513">
        <v>0</v>
      </c>
      <c r="AA3513" t="s">
        <v>13422</v>
      </c>
      <c r="AB3513" t="s">
        <v>13423</v>
      </c>
      <c r="AC3513">
        <v>0</v>
      </c>
      <c r="AD3513">
        <v>0</v>
      </c>
      <c r="AE3513">
        <v>87</v>
      </c>
      <c r="AF3513">
        <v>-24.48</v>
      </c>
      <c r="AG3513">
        <v>-0.41</v>
      </c>
      <c r="AH3513">
        <v>3.23</v>
      </c>
      <c r="AI3513">
        <v>0.01</v>
      </c>
      <c r="AJ3513">
        <v>7.0000000000000007E-2</v>
      </c>
      <c r="AK3513">
        <v>60</v>
      </c>
      <c r="AL3513">
        <v>13</v>
      </c>
      <c r="AM3513">
        <v>8</v>
      </c>
      <c r="AN3513">
        <v>1.49</v>
      </c>
      <c r="AO3513">
        <v>-1.24</v>
      </c>
      <c r="AP3513">
        <v>18</v>
      </c>
      <c r="AQ3513">
        <v>0</v>
      </c>
      <c r="AR3513">
        <v>11.18</v>
      </c>
      <c r="AS3513">
        <v>47</v>
      </c>
      <c r="AT3513">
        <v>6.38</v>
      </c>
      <c r="AU3513">
        <v>56</v>
      </c>
      <c r="AV3513">
        <v>-0.09</v>
      </c>
      <c r="AW3513">
        <v>72</v>
      </c>
      <c r="AX3513">
        <v>0.96</v>
      </c>
      <c r="AY3513">
        <v>53</v>
      </c>
      <c r="AZ3513">
        <v>5.18</v>
      </c>
      <c r="BA3513">
        <v>41</v>
      </c>
      <c r="BB3513">
        <v>3.18</v>
      </c>
      <c r="BC3513">
        <v>39</v>
      </c>
      <c r="BD3513">
        <v>0.02</v>
      </c>
      <c r="BE3513">
        <v>-0.02</v>
      </c>
      <c r="BF3513">
        <v>-0.12</v>
      </c>
      <c r="BG3513">
        <v>67</v>
      </c>
      <c r="BH3513">
        <v>-0.44</v>
      </c>
      <c r="BI3513">
        <v>7.98</v>
      </c>
      <c r="BJ3513">
        <v>0</v>
      </c>
      <c r="BK3513">
        <v>0</v>
      </c>
      <c r="BL3513">
        <v>-0.82</v>
      </c>
      <c r="BM3513">
        <v>3.14</v>
      </c>
      <c r="BN3513">
        <v>-1.69</v>
      </c>
      <c r="BO3513">
        <v>-2.81</v>
      </c>
      <c r="BP3513">
        <v>4.2</v>
      </c>
      <c r="BQ3513">
        <v>-2.23</v>
      </c>
      <c r="BR3513">
        <v>-2.68</v>
      </c>
      <c r="BS3513">
        <v>-0.54</v>
      </c>
      <c r="BT3513">
        <v>2.56</v>
      </c>
      <c r="BU3513">
        <v>-3.19</v>
      </c>
      <c r="BV3513">
        <v>-3.7</v>
      </c>
      <c r="BW3513">
        <v>-2.85</v>
      </c>
      <c r="BX3513">
        <v>-2.46</v>
      </c>
      <c r="BY3513">
        <v>-2.2999999999999998</v>
      </c>
      <c r="BZ3513">
        <v>1.1499999999999999</v>
      </c>
      <c r="CA3513">
        <v>-2.31</v>
      </c>
      <c r="CB3513">
        <v>-2.97</v>
      </c>
      <c r="CC3513">
        <v>-0.38</v>
      </c>
      <c r="CD3513">
        <v>3.69</v>
      </c>
      <c r="CE3513">
        <v>-2.76</v>
      </c>
      <c r="CF3513">
        <v>-1.08</v>
      </c>
      <c r="CG3513">
        <v>0</v>
      </c>
      <c r="CH3513">
        <v>-2.41</v>
      </c>
      <c r="CI3513">
        <v>0</v>
      </c>
      <c r="CJ3513">
        <v>7.4</v>
      </c>
      <c r="CK3513">
        <v>75</v>
      </c>
      <c r="CL3513">
        <v>0.39</v>
      </c>
      <c r="CM3513">
        <v>70</v>
      </c>
      <c r="CN3513">
        <v>-0.31</v>
      </c>
      <c r="CO3513">
        <v>67</v>
      </c>
      <c r="CP3513">
        <v>8.1</v>
      </c>
      <c r="CQ3513">
        <v>59</v>
      </c>
      <c r="CR3513">
        <v>0</v>
      </c>
      <c r="CS3513">
        <v>0</v>
      </c>
      <c r="CT3513">
        <v>3</v>
      </c>
      <c r="CU3513">
        <v>58</v>
      </c>
      <c r="CV3513">
        <v>0.22</v>
      </c>
      <c r="CW3513">
        <v>41</v>
      </c>
      <c r="CX3513" t="s">
        <v>1808</v>
      </c>
    </row>
    <row r="3514" spans="1:102" x14ac:dyDescent="0.3">
      <c r="A3514" t="str">
        <f>HYPERLINK("https://webapp.icbf.com/v2/app/bull-search/view/69091930","IAM")</f>
        <v>IAM</v>
      </c>
      <c r="B3514" t="s">
        <v>10471</v>
      </c>
      <c r="C3514" t="s">
        <v>202</v>
      </c>
      <c r="D3514" s="1">
        <v>32247</v>
      </c>
      <c r="E3514" t="s">
        <v>197</v>
      </c>
      <c r="F3514">
        <v>0</v>
      </c>
      <c r="G3514" t="s">
        <v>93</v>
      </c>
      <c r="H3514">
        <v>-42.17</v>
      </c>
      <c r="I3514">
        <v>80</v>
      </c>
      <c r="J3514">
        <v>-27.34</v>
      </c>
      <c r="K3514">
        <v>94</v>
      </c>
      <c r="L3514">
        <v>48.38</v>
      </c>
      <c r="M3514">
        <v>67</v>
      </c>
      <c r="N3514">
        <v>-76.83</v>
      </c>
      <c r="O3514">
        <v>75</v>
      </c>
      <c r="P3514">
        <v>21.26</v>
      </c>
      <c r="Q3514">
        <v>92</v>
      </c>
      <c r="R3514">
        <v>-4.59</v>
      </c>
      <c r="S3514">
        <v>68</v>
      </c>
      <c r="T3514">
        <v>0.43</v>
      </c>
      <c r="U3514">
        <v>89</v>
      </c>
      <c r="V3514">
        <v>-3.48</v>
      </c>
      <c r="W3514">
        <v>53</v>
      </c>
      <c r="X3514" t="s">
        <v>94</v>
      </c>
      <c r="Y3514" t="s">
        <v>95</v>
      </c>
      <c r="Z3514">
        <v>0</v>
      </c>
      <c r="AA3514" t="s">
        <v>4411</v>
      </c>
      <c r="AB3514" t="s">
        <v>10472</v>
      </c>
      <c r="AC3514">
        <v>82</v>
      </c>
      <c r="AD3514">
        <v>44</v>
      </c>
      <c r="AE3514">
        <v>94</v>
      </c>
      <c r="AF3514">
        <v>-219.22</v>
      </c>
      <c r="AG3514">
        <v>-4.37</v>
      </c>
      <c r="AH3514">
        <v>-6.46</v>
      </c>
      <c r="AI3514">
        <v>7.0000000000000007E-2</v>
      </c>
      <c r="AJ3514">
        <v>0.02</v>
      </c>
      <c r="AK3514">
        <v>67</v>
      </c>
      <c r="AL3514">
        <v>97</v>
      </c>
      <c r="AM3514">
        <v>45</v>
      </c>
      <c r="AN3514">
        <v>-4.0599999999999996</v>
      </c>
      <c r="AO3514">
        <v>-0.22</v>
      </c>
      <c r="AP3514">
        <v>49</v>
      </c>
      <c r="AQ3514">
        <v>0</v>
      </c>
      <c r="AR3514">
        <v>9.56</v>
      </c>
      <c r="AS3514">
        <v>52</v>
      </c>
      <c r="AT3514">
        <v>7.9</v>
      </c>
      <c r="AU3514">
        <v>72</v>
      </c>
      <c r="AV3514">
        <v>2.36</v>
      </c>
      <c r="AW3514">
        <v>89</v>
      </c>
      <c r="AX3514">
        <v>0.27</v>
      </c>
      <c r="AY3514">
        <v>81</v>
      </c>
      <c r="AZ3514">
        <v>5.31</v>
      </c>
      <c r="BA3514">
        <v>46</v>
      </c>
      <c r="BB3514">
        <v>3.43</v>
      </c>
      <c r="BC3514">
        <v>57</v>
      </c>
      <c r="BD3514">
        <v>7.0000000000000007E-2</v>
      </c>
      <c r="BE3514">
        <v>0.01</v>
      </c>
      <c r="BF3514">
        <v>-0.03</v>
      </c>
      <c r="BG3514">
        <v>81</v>
      </c>
      <c r="BH3514">
        <v>-0.09</v>
      </c>
      <c r="BI3514">
        <v>0.83</v>
      </c>
      <c r="BJ3514">
        <v>1</v>
      </c>
      <c r="BK3514">
        <v>1</v>
      </c>
      <c r="BL3514">
        <v>-0.89</v>
      </c>
      <c r="BM3514">
        <v>1.37</v>
      </c>
      <c r="BN3514">
        <v>-0.75</v>
      </c>
      <c r="BO3514">
        <v>-1.63</v>
      </c>
      <c r="BP3514">
        <v>0.35</v>
      </c>
      <c r="BQ3514">
        <v>0.56999999999999995</v>
      </c>
      <c r="BR3514">
        <v>-0.18</v>
      </c>
      <c r="BS3514">
        <v>0.66</v>
      </c>
      <c r="BT3514">
        <v>-0.2</v>
      </c>
      <c r="BU3514">
        <v>-0.81</v>
      </c>
      <c r="BV3514">
        <v>-1.51</v>
      </c>
      <c r="BW3514">
        <v>-1.62</v>
      </c>
      <c r="BX3514">
        <v>-0.34</v>
      </c>
      <c r="BY3514">
        <v>-1.49</v>
      </c>
      <c r="BZ3514">
        <v>0.24</v>
      </c>
      <c r="CA3514">
        <v>-1.35</v>
      </c>
      <c r="CB3514">
        <v>-1.41</v>
      </c>
      <c r="CC3514">
        <v>-0.72</v>
      </c>
      <c r="CD3514">
        <v>1.69</v>
      </c>
      <c r="CE3514">
        <v>-1.55</v>
      </c>
      <c r="CF3514">
        <v>-0.49</v>
      </c>
      <c r="CG3514">
        <v>0</v>
      </c>
      <c r="CH3514">
        <v>-1.05</v>
      </c>
      <c r="CI3514">
        <v>0</v>
      </c>
      <c r="CJ3514">
        <v>14.3</v>
      </c>
      <c r="CK3514">
        <v>93</v>
      </c>
      <c r="CL3514">
        <v>0.22</v>
      </c>
      <c r="CM3514">
        <v>91</v>
      </c>
      <c r="CN3514">
        <v>0.19</v>
      </c>
      <c r="CO3514">
        <v>90</v>
      </c>
      <c r="CP3514">
        <v>9.9</v>
      </c>
      <c r="CQ3514">
        <v>91</v>
      </c>
      <c r="CR3514">
        <v>0</v>
      </c>
      <c r="CS3514">
        <v>0</v>
      </c>
      <c r="CT3514">
        <v>13.2</v>
      </c>
      <c r="CU3514">
        <v>89</v>
      </c>
      <c r="CV3514">
        <v>0.17</v>
      </c>
      <c r="CW3514">
        <v>26</v>
      </c>
      <c r="CX3514" t="s">
        <v>10473</v>
      </c>
    </row>
    <row r="3515" spans="1:102" x14ac:dyDescent="0.3">
      <c r="A3515" t="str">
        <f>HYPERLINK("https://webapp.icbf.com/v2/app/bull-search/view/660018993","S1315")</f>
        <v>S1315</v>
      </c>
      <c r="B3515" t="s">
        <v>15121</v>
      </c>
      <c r="C3515" t="s">
        <v>15122</v>
      </c>
      <c r="D3515" s="1">
        <v>38567</v>
      </c>
      <c r="E3515" t="s">
        <v>92</v>
      </c>
      <c r="F3515">
        <v>100</v>
      </c>
      <c r="G3515" t="s">
        <v>109</v>
      </c>
      <c r="H3515">
        <v>-42.19</v>
      </c>
      <c r="I3515">
        <v>72</v>
      </c>
      <c r="J3515">
        <v>32.520000000000003</v>
      </c>
      <c r="K3515">
        <v>89</v>
      </c>
      <c r="L3515">
        <v>-99.5</v>
      </c>
      <c r="M3515">
        <v>86</v>
      </c>
      <c r="N3515">
        <v>27.94</v>
      </c>
      <c r="O3515">
        <v>45</v>
      </c>
      <c r="P3515">
        <v>-5.36</v>
      </c>
      <c r="Q3515">
        <v>46</v>
      </c>
      <c r="R3515">
        <v>-1.1599999999999999</v>
      </c>
      <c r="S3515">
        <v>63</v>
      </c>
      <c r="T3515">
        <v>1.62</v>
      </c>
      <c r="U3515">
        <v>34</v>
      </c>
      <c r="V3515">
        <v>1.75</v>
      </c>
      <c r="W3515">
        <v>28</v>
      </c>
      <c r="X3515" t="s">
        <v>94</v>
      </c>
      <c r="Y3515" t="s">
        <v>342</v>
      </c>
      <c r="Z3515" t="s">
        <v>96</v>
      </c>
      <c r="AA3515" t="s">
        <v>1680</v>
      </c>
      <c r="AB3515" t="s">
        <v>15123</v>
      </c>
      <c r="AC3515">
        <v>0</v>
      </c>
      <c r="AD3515">
        <v>0</v>
      </c>
      <c r="AE3515">
        <v>89</v>
      </c>
      <c r="AF3515">
        <v>217.07</v>
      </c>
      <c r="AG3515">
        <v>12.76</v>
      </c>
      <c r="AH3515">
        <v>4.34</v>
      </c>
      <c r="AI3515">
        <v>7.0000000000000007E-2</v>
      </c>
      <c r="AJ3515">
        <v>-0.05</v>
      </c>
      <c r="AK3515">
        <v>86</v>
      </c>
      <c r="AL3515">
        <v>0</v>
      </c>
      <c r="AM3515">
        <v>0</v>
      </c>
      <c r="AN3515">
        <v>6.61</v>
      </c>
      <c r="AO3515">
        <v>-1.31</v>
      </c>
      <c r="AP3515">
        <v>3</v>
      </c>
      <c r="AQ3515">
        <v>0</v>
      </c>
      <c r="AR3515">
        <v>5.96</v>
      </c>
      <c r="AS3515">
        <v>34</v>
      </c>
      <c r="AT3515">
        <v>3.02</v>
      </c>
      <c r="AU3515">
        <v>90</v>
      </c>
      <c r="AV3515">
        <v>-2.54</v>
      </c>
      <c r="AW3515">
        <v>30</v>
      </c>
      <c r="AX3515">
        <v>0.3</v>
      </c>
      <c r="AY3515">
        <v>33</v>
      </c>
      <c r="AZ3515">
        <v>6.04</v>
      </c>
      <c r="BA3515">
        <v>28</v>
      </c>
      <c r="BB3515">
        <v>4.37</v>
      </c>
      <c r="BC3515">
        <v>28</v>
      </c>
      <c r="BD3515">
        <v>0.01</v>
      </c>
      <c r="BE3515">
        <v>0</v>
      </c>
      <c r="BF3515">
        <v>0.01</v>
      </c>
      <c r="BG3515">
        <v>92</v>
      </c>
      <c r="BH3515">
        <v>-0.02</v>
      </c>
      <c r="BI3515">
        <v>-7.95</v>
      </c>
      <c r="BJ3515">
        <v>0</v>
      </c>
      <c r="BK3515">
        <v>0</v>
      </c>
      <c r="BL3515">
        <v>1.3</v>
      </c>
      <c r="BM3515">
        <v>-0.78</v>
      </c>
      <c r="BN3515">
        <v>1.38</v>
      </c>
      <c r="BO3515">
        <v>1.44</v>
      </c>
      <c r="BP3515">
        <v>7.0000000000000007E-2</v>
      </c>
      <c r="BQ3515">
        <v>-0.7</v>
      </c>
      <c r="BR3515">
        <v>1.5</v>
      </c>
      <c r="BS3515">
        <v>1.38</v>
      </c>
      <c r="BT3515">
        <v>-0.84</v>
      </c>
      <c r="BU3515">
        <v>2.12</v>
      </c>
      <c r="BV3515">
        <v>1.55</v>
      </c>
      <c r="BW3515">
        <v>1.73</v>
      </c>
      <c r="BX3515">
        <v>1.64</v>
      </c>
      <c r="BY3515">
        <v>1.68</v>
      </c>
      <c r="BZ3515">
        <v>0.69</v>
      </c>
      <c r="CA3515">
        <v>2.0299999999999998</v>
      </c>
      <c r="CB3515">
        <v>1.79</v>
      </c>
      <c r="CC3515">
        <v>1.68</v>
      </c>
      <c r="CD3515">
        <v>-1.05</v>
      </c>
      <c r="CE3515">
        <v>0</v>
      </c>
      <c r="CF3515">
        <v>0</v>
      </c>
      <c r="CG3515">
        <v>0</v>
      </c>
      <c r="CH3515">
        <v>0</v>
      </c>
      <c r="CI3515">
        <v>0</v>
      </c>
      <c r="CJ3515">
        <v>-0.3</v>
      </c>
      <c r="CK3515">
        <v>48</v>
      </c>
      <c r="CL3515">
        <v>-1.1599999999999999</v>
      </c>
      <c r="CM3515">
        <v>45</v>
      </c>
      <c r="CN3515">
        <v>-0.6</v>
      </c>
      <c r="CO3515">
        <v>43</v>
      </c>
      <c r="CP3515">
        <v>0</v>
      </c>
      <c r="CQ3515">
        <v>38</v>
      </c>
      <c r="CR3515">
        <v>0</v>
      </c>
      <c r="CS3515">
        <v>0</v>
      </c>
      <c r="CT3515">
        <v>11.6</v>
      </c>
      <c r="CU3515">
        <v>34</v>
      </c>
      <c r="CV3515">
        <v>0.35</v>
      </c>
      <c r="CW3515">
        <v>13</v>
      </c>
      <c r="CX3515" t="s">
        <v>1384</v>
      </c>
    </row>
    <row r="3516" spans="1:102" x14ac:dyDescent="0.3">
      <c r="A3516" t="str">
        <f>HYPERLINK("https://webapp.icbf.com/v2/app/bull-search/view/444473365","PZR")</f>
        <v>PZR</v>
      </c>
      <c r="B3516" t="s">
        <v>1583</v>
      </c>
      <c r="C3516" t="s">
        <v>1584</v>
      </c>
      <c r="D3516" s="1">
        <v>36524</v>
      </c>
      <c r="E3516" t="s">
        <v>140</v>
      </c>
      <c r="F3516">
        <v>0</v>
      </c>
      <c r="G3516" t="s">
        <v>109</v>
      </c>
      <c r="H3516">
        <v>-42.3</v>
      </c>
      <c r="I3516">
        <v>59</v>
      </c>
      <c r="J3516">
        <v>-6.23</v>
      </c>
      <c r="K3516">
        <v>74</v>
      </c>
      <c r="L3516">
        <v>-6.72</v>
      </c>
      <c r="M3516">
        <v>42</v>
      </c>
      <c r="N3516">
        <v>-51.64</v>
      </c>
      <c r="O3516">
        <v>63</v>
      </c>
      <c r="P3516">
        <v>4.18</v>
      </c>
      <c r="Q3516">
        <v>76</v>
      </c>
      <c r="R3516">
        <v>1.06</v>
      </c>
      <c r="S3516">
        <v>42</v>
      </c>
      <c r="T3516">
        <v>23</v>
      </c>
      <c r="U3516">
        <v>67</v>
      </c>
      <c r="V3516">
        <v>-5.95</v>
      </c>
      <c r="W3516">
        <v>39</v>
      </c>
      <c r="X3516" t="s">
        <v>102</v>
      </c>
      <c r="Y3516" t="s">
        <v>221</v>
      </c>
      <c r="Z3516">
        <v>0</v>
      </c>
      <c r="AA3516" t="s">
        <v>1585</v>
      </c>
      <c r="AB3516" t="s">
        <v>1586</v>
      </c>
      <c r="AC3516">
        <v>0</v>
      </c>
      <c r="AD3516">
        <v>0</v>
      </c>
      <c r="AE3516">
        <v>74</v>
      </c>
      <c r="AF3516">
        <v>-72.08</v>
      </c>
      <c r="AG3516">
        <v>-4.53</v>
      </c>
      <c r="AH3516">
        <v>-0.56000000000000005</v>
      </c>
      <c r="AI3516">
        <v>-0.03</v>
      </c>
      <c r="AJ3516">
        <v>0.03</v>
      </c>
      <c r="AK3516">
        <v>42</v>
      </c>
      <c r="AL3516">
        <v>18</v>
      </c>
      <c r="AM3516">
        <v>10</v>
      </c>
      <c r="AN3516">
        <v>0.82</v>
      </c>
      <c r="AO3516">
        <v>0.28999999999999998</v>
      </c>
      <c r="AP3516">
        <v>41</v>
      </c>
      <c r="AQ3516">
        <v>0</v>
      </c>
      <c r="AR3516">
        <v>10.6</v>
      </c>
      <c r="AS3516">
        <v>47</v>
      </c>
      <c r="AT3516">
        <v>5.59</v>
      </c>
      <c r="AU3516">
        <v>55</v>
      </c>
      <c r="AV3516">
        <v>1.95</v>
      </c>
      <c r="AW3516">
        <v>85</v>
      </c>
      <c r="AX3516">
        <v>1.59</v>
      </c>
      <c r="AY3516">
        <v>54</v>
      </c>
      <c r="AZ3516">
        <v>4.92</v>
      </c>
      <c r="BA3516">
        <v>33</v>
      </c>
      <c r="BB3516">
        <v>4.42</v>
      </c>
      <c r="BC3516">
        <v>35</v>
      </c>
      <c r="BD3516">
        <v>0.04</v>
      </c>
      <c r="BE3516">
        <v>0.01</v>
      </c>
      <c r="BF3516">
        <v>-0.11</v>
      </c>
      <c r="BG3516">
        <v>47</v>
      </c>
      <c r="BH3516">
        <v>-0.14000000000000001</v>
      </c>
      <c r="BI3516">
        <v>2.99</v>
      </c>
      <c r="BJ3516">
        <v>0</v>
      </c>
      <c r="BK3516">
        <v>0</v>
      </c>
      <c r="BL3516">
        <v>-0.87</v>
      </c>
      <c r="BM3516">
        <v>3.98</v>
      </c>
      <c r="BN3516">
        <v>-1.55</v>
      </c>
      <c r="BO3516">
        <v>-3.27</v>
      </c>
      <c r="BP3516">
        <v>4.04</v>
      </c>
      <c r="BQ3516">
        <v>-1.92</v>
      </c>
      <c r="BR3516">
        <v>-2.54</v>
      </c>
      <c r="BS3516">
        <v>-0.18</v>
      </c>
      <c r="BT3516">
        <v>2.5499999999999998</v>
      </c>
      <c r="BU3516">
        <v>-3.61</v>
      </c>
      <c r="BV3516">
        <v>-3.99</v>
      </c>
      <c r="BW3516">
        <v>-3.02</v>
      </c>
      <c r="BX3516">
        <v>-2.99</v>
      </c>
      <c r="BY3516">
        <v>-1.86</v>
      </c>
      <c r="BZ3516">
        <v>0.92</v>
      </c>
      <c r="CA3516">
        <v>-2.5499999999999998</v>
      </c>
      <c r="CB3516">
        <v>-3.32</v>
      </c>
      <c r="CC3516">
        <v>-0.27</v>
      </c>
      <c r="CD3516">
        <v>4.2</v>
      </c>
      <c r="CE3516">
        <v>-3.1</v>
      </c>
      <c r="CF3516">
        <v>-1.01</v>
      </c>
      <c r="CG3516">
        <v>0</v>
      </c>
      <c r="CH3516">
        <v>-3.13</v>
      </c>
      <c r="CI3516">
        <v>0</v>
      </c>
      <c r="CJ3516">
        <v>-0.1</v>
      </c>
      <c r="CK3516">
        <v>78</v>
      </c>
      <c r="CL3516">
        <v>0.17</v>
      </c>
      <c r="CM3516">
        <v>75</v>
      </c>
      <c r="CN3516">
        <v>-0.26</v>
      </c>
      <c r="CO3516">
        <v>72</v>
      </c>
      <c r="CP3516">
        <v>-3.2</v>
      </c>
      <c r="CQ3516">
        <v>72</v>
      </c>
      <c r="CR3516">
        <v>0</v>
      </c>
      <c r="CS3516">
        <v>0</v>
      </c>
      <c r="CT3516">
        <v>-17.3</v>
      </c>
      <c r="CU3516">
        <v>67</v>
      </c>
      <c r="CV3516">
        <v>-0.27</v>
      </c>
      <c r="CW3516">
        <v>21</v>
      </c>
      <c r="CX3516" t="s">
        <v>295</v>
      </c>
    </row>
    <row r="3517" spans="1:102" x14ac:dyDescent="0.3">
      <c r="A3517" t="str">
        <f>HYPERLINK("https://webapp.icbf.com/v2/app/bull-search/view/77855212","MKN")</f>
        <v>MKN</v>
      </c>
      <c r="B3517" t="s">
        <v>3812</v>
      </c>
      <c r="C3517" t="s">
        <v>3813</v>
      </c>
      <c r="D3517" s="1">
        <v>34700</v>
      </c>
      <c r="E3517" t="s">
        <v>92</v>
      </c>
      <c r="F3517">
        <v>100</v>
      </c>
      <c r="G3517" t="s">
        <v>109</v>
      </c>
      <c r="H3517">
        <v>-42.3</v>
      </c>
      <c r="I3517">
        <v>87</v>
      </c>
      <c r="J3517">
        <v>-37.090000000000003</v>
      </c>
      <c r="K3517">
        <v>95</v>
      </c>
      <c r="L3517">
        <v>-13.54</v>
      </c>
      <c r="M3517">
        <v>90</v>
      </c>
      <c r="N3517">
        <v>7.47</v>
      </c>
      <c r="O3517">
        <v>74</v>
      </c>
      <c r="P3517">
        <v>-19.600000000000001</v>
      </c>
      <c r="Q3517">
        <v>83</v>
      </c>
      <c r="R3517">
        <v>-4.7</v>
      </c>
      <c r="S3517">
        <v>81</v>
      </c>
      <c r="T3517">
        <v>23.67</v>
      </c>
      <c r="U3517">
        <v>71</v>
      </c>
      <c r="V3517">
        <v>1.49</v>
      </c>
      <c r="W3517">
        <v>68</v>
      </c>
      <c r="X3517" t="s">
        <v>131</v>
      </c>
      <c r="Y3517" t="s">
        <v>95</v>
      </c>
      <c r="Z3517" t="s">
        <v>96</v>
      </c>
      <c r="AA3517" t="s">
        <v>3814</v>
      </c>
      <c r="AB3517" t="s">
        <v>1032</v>
      </c>
      <c r="AC3517">
        <v>23</v>
      </c>
      <c r="AD3517">
        <v>16</v>
      </c>
      <c r="AE3517">
        <v>95</v>
      </c>
      <c r="AF3517">
        <v>19.97</v>
      </c>
      <c r="AG3517">
        <v>-7.95</v>
      </c>
      <c r="AH3517">
        <v>-3.19</v>
      </c>
      <c r="AI3517">
        <v>-0.15</v>
      </c>
      <c r="AJ3517">
        <v>-7.0000000000000007E-2</v>
      </c>
      <c r="AK3517">
        <v>90</v>
      </c>
      <c r="AL3517">
        <v>19</v>
      </c>
      <c r="AM3517">
        <v>11</v>
      </c>
      <c r="AN3517">
        <v>0.74</v>
      </c>
      <c r="AO3517">
        <v>-0.34</v>
      </c>
      <c r="AP3517">
        <v>38</v>
      </c>
      <c r="AQ3517">
        <v>1</v>
      </c>
      <c r="AR3517">
        <v>5.47</v>
      </c>
      <c r="AS3517">
        <v>71</v>
      </c>
      <c r="AT3517">
        <v>3.06</v>
      </c>
      <c r="AU3517">
        <v>91</v>
      </c>
      <c r="AV3517">
        <v>-0.8</v>
      </c>
      <c r="AW3517">
        <v>71</v>
      </c>
      <c r="AX3517">
        <v>-0.84</v>
      </c>
      <c r="AY3517">
        <v>72</v>
      </c>
      <c r="AZ3517">
        <v>7.59</v>
      </c>
      <c r="BA3517">
        <v>60</v>
      </c>
      <c r="BB3517">
        <v>5.95</v>
      </c>
      <c r="BC3517">
        <v>60</v>
      </c>
      <c r="BD3517">
        <v>0</v>
      </c>
      <c r="BE3517">
        <v>0.02</v>
      </c>
      <c r="BF3517">
        <v>7.0000000000000007E-2</v>
      </c>
      <c r="BG3517">
        <v>94</v>
      </c>
      <c r="BH3517">
        <v>0.08</v>
      </c>
      <c r="BI3517">
        <v>4.45</v>
      </c>
      <c r="BJ3517">
        <v>10</v>
      </c>
      <c r="BK3517">
        <v>6</v>
      </c>
      <c r="BL3517">
        <v>0.01</v>
      </c>
      <c r="BM3517">
        <v>-2.58</v>
      </c>
      <c r="BN3517">
        <v>-0.31</v>
      </c>
      <c r="BO3517">
        <v>1.01</v>
      </c>
      <c r="BP3517">
        <v>-0.54</v>
      </c>
      <c r="BQ3517">
        <v>0.19</v>
      </c>
      <c r="BR3517">
        <v>-0.9</v>
      </c>
      <c r="BS3517">
        <v>2.33</v>
      </c>
      <c r="BT3517">
        <v>0.44</v>
      </c>
      <c r="BU3517">
        <v>1.45</v>
      </c>
      <c r="BV3517">
        <v>1.68</v>
      </c>
      <c r="BW3517">
        <v>1.47</v>
      </c>
      <c r="BX3517">
        <v>1.21</v>
      </c>
      <c r="BY3517">
        <v>0.56999999999999995</v>
      </c>
      <c r="BZ3517">
        <v>-0.17</v>
      </c>
      <c r="CA3517">
        <v>1.39</v>
      </c>
      <c r="CB3517">
        <v>1.42</v>
      </c>
      <c r="CC3517">
        <v>1.3</v>
      </c>
      <c r="CD3517">
        <v>-1.75</v>
      </c>
      <c r="CE3517">
        <v>0.7</v>
      </c>
      <c r="CF3517">
        <v>0.34</v>
      </c>
      <c r="CG3517">
        <v>0</v>
      </c>
      <c r="CH3517">
        <v>0.68</v>
      </c>
      <c r="CI3517">
        <v>0</v>
      </c>
      <c r="CJ3517">
        <v>-9.9</v>
      </c>
      <c r="CK3517">
        <v>85</v>
      </c>
      <c r="CL3517">
        <v>-0.9</v>
      </c>
      <c r="CM3517">
        <v>82</v>
      </c>
      <c r="CN3517">
        <v>-0.49</v>
      </c>
      <c r="CO3517">
        <v>81</v>
      </c>
      <c r="CP3517">
        <v>-15.9</v>
      </c>
      <c r="CQ3517">
        <v>78</v>
      </c>
      <c r="CR3517">
        <v>0</v>
      </c>
      <c r="CS3517">
        <v>0</v>
      </c>
      <c r="CT3517">
        <v>-18.2</v>
      </c>
      <c r="CU3517">
        <v>71</v>
      </c>
      <c r="CV3517">
        <v>-0.02</v>
      </c>
      <c r="CW3517">
        <v>42</v>
      </c>
      <c r="CX3517" t="s">
        <v>111</v>
      </c>
    </row>
    <row r="3518" spans="1:102" x14ac:dyDescent="0.3">
      <c r="A3518" t="str">
        <f>HYPERLINK("https://webapp.icbf.com/v2/app/bull-search/view/77857891","FGY")</f>
        <v>FGY</v>
      </c>
      <c r="B3518" t="s">
        <v>10695</v>
      </c>
      <c r="C3518" t="s">
        <v>10696</v>
      </c>
      <c r="D3518" s="1">
        <v>33938</v>
      </c>
      <c r="E3518" t="s">
        <v>92</v>
      </c>
      <c r="F3518">
        <v>100</v>
      </c>
      <c r="G3518" t="s">
        <v>93</v>
      </c>
      <c r="H3518">
        <v>-42.3</v>
      </c>
      <c r="I3518">
        <v>73</v>
      </c>
      <c r="J3518">
        <v>-42.77</v>
      </c>
      <c r="K3518">
        <v>92</v>
      </c>
      <c r="L3518">
        <v>-1.82</v>
      </c>
      <c r="M3518">
        <v>63</v>
      </c>
      <c r="N3518">
        <v>4.71</v>
      </c>
      <c r="O3518">
        <v>64</v>
      </c>
      <c r="P3518">
        <v>-15.09</v>
      </c>
      <c r="Q3518">
        <v>75</v>
      </c>
      <c r="R3518">
        <v>1.83</v>
      </c>
      <c r="S3518">
        <v>68</v>
      </c>
      <c r="T3518">
        <v>18.04</v>
      </c>
      <c r="U3518">
        <v>65</v>
      </c>
      <c r="V3518">
        <v>-7.2</v>
      </c>
      <c r="W3518">
        <v>38</v>
      </c>
      <c r="X3518" t="s">
        <v>94</v>
      </c>
      <c r="Y3518" t="s">
        <v>95</v>
      </c>
      <c r="Z3518" t="s">
        <v>96</v>
      </c>
      <c r="AA3518" t="s">
        <v>161</v>
      </c>
      <c r="AB3518" t="s">
        <v>10697</v>
      </c>
      <c r="AC3518">
        <v>62</v>
      </c>
      <c r="AD3518">
        <v>49</v>
      </c>
      <c r="AE3518">
        <v>92</v>
      </c>
      <c r="AF3518">
        <v>59.69</v>
      </c>
      <c r="AG3518">
        <v>-5.09</v>
      </c>
      <c r="AH3518">
        <v>-4.5599999999999996</v>
      </c>
      <c r="AI3518">
        <v>-0.12</v>
      </c>
      <c r="AJ3518">
        <v>-0.11</v>
      </c>
      <c r="AK3518">
        <v>63</v>
      </c>
      <c r="AL3518">
        <v>81</v>
      </c>
      <c r="AM3518">
        <v>61</v>
      </c>
      <c r="AN3518">
        <v>0.5</v>
      </c>
      <c r="AO3518">
        <v>0.36</v>
      </c>
      <c r="AP3518">
        <v>36</v>
      </c>
      <c r="AQ3518">
        <v>0</v>
      </c>
      <c r="AR3518">
        <v>7.8</v>
      </c>
      <c r="AS3518">
        <v>63</v>
      </c>
      <c r="AT3518">
        <v>3.82</v>
      </c>
      <c r="AU3518">
        <v>55</v>
      </c>
      <c r="AV3518">
        <v>-1.87</v>
      </c>
      <c r="AW3518">
        <v>75</v>
      </c>
      <c r="AX3518">
        <v>-0.56999999999999995</v>
      </c>
      <c r="AY3518">
        <v>67</v>
      </c>
      <c r="AZ3518">
        <v>7.64</v>
      </c>
      <c r="BA3518">
        <v>37</v>
      </c>
      <c r="BB3518">
        <v>5.51</v>
      </c>
      <c r="BC3518">
        <v>51</v>
      </c>
      <c r="BD3518">
        <v>0</v>
      </c>
      <c r="BE3518">
        <v>0.02</v>
      </c>
      <c r="BF3518">
        <v>-0.08</v>
      </c>
      <c r="BG3518">
        <v>83</v>
      </c>
      <c r="BH3518">
        <v>-0.1</v>
      </c>
      <c r="BI3518">
        <v>11.67</v>
      </c>
      <c r="BJ3518">
        <v>15</v>
      </c>
      <c r="BK3518">
        <v>10</v>
      </c>
      <c r="BL3518">
        <v>0.13</v>
      </c>
      <c r="BM3518">
        <v>-0.52</v>
      </c>
      <c r="BN3518">
        <v>0.23</v>
      </c>
      <c r="BO3518">
        <v>0.38</v>
      </c>
      <c r="BP3518">
        <v>-1.25</v>
      </c>
      <c r="BQ3518">
        <v>-0.43</v>
      </c>
      <c r="BR3518">
        <v>-1.26</v>
      </c>
      <c r="BS3518">
        <v>0.43</v>
      </c>
      <c r="BT3518">
        <v>0.75</v>
      </c>
      <c r="BU3518">
        <v>-0.3</v>
      </c>
      <c r="BV3518">
        <v>0.38</v>
      </c>
      <c r="BW3518">
        <v>0.75</v>
      </c>
      <c r="BX3518">
        <v>1.36</v>
      </c>
      <c r="BY3518">
        <v>-1.69</v>
      </c>
      <c r="BZ3518">
        <v>1.88</v>
      </c>
      <c r="CA3518">
        <v>0.24</v>
      </c>
      <c r="CB3518">
        <v>0.02</v>
      </c>
      <c r="CC3518">
        <v>1.21</v>
      </c>
      <c r="CD3518">
        <v>-0.87</v>
      </c>
      <c r="CE3518">
        <v>0.59</v>
      </c>
      <c r="CF3518">
        <v>0.27</v>
      </c>
      <c r="CG3518">
        <v>0</v>
      </c>
      <c r="CH3518">
        <v>-0.05</v>
      </c>
      <c r="CI3518">
        <v>0</v>
      </c>
      <c r="CJ3518">
        <v>-6.4</v>
      </c>
      <c r="CK3518">
        <v>77</v>
      </c>
      <c r="CL3518">
        <v>-0.86</v>
      </c>
      <c r="CM3518">
        <v>73</v>
      </c>
      <c r="CN3518">
        <v>-0.35</v>
      </c>
      <c r="CO3518">
        <v>70</v>
      </c>
      <c r="CP3518">
        <v>-9.9</v>
      </c>
      <c r="CQ3518">
        <v>79</v>
      </c>
      <c r="CR3518">
        <v>0</v>
      </c>
      <c r="CS3518">
        <v>0</v>
      </c>
      <c r="CT3518">
        <v>-10.6</v>
      </c>
      <c r="CU3518">
        <v>65</v>
      </c>
      <c r="CV3518">
        <v>0.18</v>
      </c>
      <c r="CW3518">
        <v>21</v>
      </c>
      <c r="CX3518" t="s">
        <v>111</v>
      </c>
    </row>
    <row r="3519" spans="1:102" x14ac:dyDescent="0.3">
      <c r="A3519" t="str">
        <f>HYPERLINK("https://webapp.icbf.com/v2/app/bull-search/view/77858056","DVN")</f>
        <v>DVN</v>
      </c>
      <c r="B3519" t="s">
        <v>3659</v>
      </c>
      <c r="C3519" t="s">
        <v>3660</v>
      </c>
      <c r="D3519" s="1">
        <v>32446</v>
      </c>
      <c r="E3519" t="s">
        <v>92</v>
      </c>
      <c r="F3519">
        <v>100</v>
      </c>
      <c r="G3519" t="s">
        <v>93</v>
      </c>
      <c r="H3519">
        <v>-42.32</v>
      </c>
      <c r="I3519">
        <v>91</v>
      </c>
      <c r="J3519">
        <v>-1.51</v>
      </c>
      <c r="K3519">
        <v>98</v>
      </c>
      <c r="L3519">
        <v>-23.08</v>
      </c>
      <c r="M3519">
        <v>90</v>
      </c>
      <c r="N3519">
        <v>-25.8</v>
      </c>
      <c r="O3519">
        <v>85</v>
      </c>
      <c r="P3519">
        <v>-19.059999999999999</v>
      </c>
      <c r="Q3519">
        <v>93</v>
      </c>
      <c r="R3519">
        <v>7.49</v>
      </c>
      <c r="S3519">
        <v>83</v>
      </c>
      <c r="T3519">
        <v>19.52</v>
      </c>
      <c r="U3519">
        <v>91</v>
      </c>
      <c r="V3519">
        <v>0.12</v>
      </c>
      <c r="W3519">
        <v>71</v>
      </c>
      <c r="X3519" t="s">
        <v>94</v>
      </c>
      <c r="Y3519" t="s">
        <v>95</v>
      </c>
      <c r="Z3519" t="s">
        <v>96</v>
      </c>
      <c r="AA3519" t="s">
        <v>166</v>
      </c>
      <c r="AB3519" t="s">
        <v>3661</v>
      </c>
      <c r="AC3519">
        <v>244</v>
      </c>
      <c r="AD3519">
        <v>142</v>
      </c>
      <c r="AE3519">
        <v>98</v>
      </c>
      <c r="AF3519">
        <v>-150.22999999999999</v>
      </c>
      <c r="AG3519">
        <v>7.67</v>
      </c>
      <c r="AH3519">
        <v>-5.27</v>
      </c>
      <c r="AI3519">
        <v>0.24</v>
      </c>
      <c r="AJ3519">
        <v>0</v>
      </c>
      <c r="AK3519">
        <v>90</v>
      </c>
      <c r="AL3519">
        <v>305</v>
      </c>
      <c r="AM3519">
        <v>156</v>
      </c>
      <c r="AN3519">
        <v>2.0699999999999998</v>
      </c>
      <c r="AO3519">
        <v>0.24</v>
      </c>
      <c r="AP3519">
        <v>2</v>
      </c>
      <c r="AQ3519">
        <v>0</v>
      </c>
      <c r="AR3519">
        <v>9.26</v>
      </c>
      <c r="AS3519">
        <v>67</v>
      </c>
      <c r="AT3519">
        <v>4.2699999999999996</v>
      </c>
      <c r="AU3519">
        <v>85</v>
      </c>
      <c r="AV3519">
        <v>1.48</v>
      </c>
      <c r="AW3519">
        <v>90</v>
      </c>
      <c r="AX3519">
        <v>-0.33</v>
      </c>
      <c r="AY3519">
        <v>90</v>
      </c>
      <c r="AZ3519">
        <v>5.76</v>
      </c>
      <c r="BA3519">
        <v>62</v>
      </c>
      <c r="BB3519">
        <v>4.9400000000000004</v>
      </c>
      <c r="BC3519">
        <v>81</v>
      </c>
      <c r="BD3519">
        <v>-0.02</v>
      </c>
      <c r="BE3519">
        <v>-0.01</v>
      </c>
      <c r="BF3519">
        <v>-0.12</v>
      </c>
      <c r="BG3519">
        <v>95</v>
      </c>
      <c r="BH3519">
        <v>0.11</v>
      </c>
      <c r="BI3519">
        <v>12.35</v>
      </c>
      <c r="BJ3519">
        <v>21</v>
      </c>
      <c r="BK3519">
        <v>14</v>
      </c>
      <c r="BL3519">
        <v>-0.46</v>
      </c>
      <c r="BM3519">
        <v>-1.33</v>
      </c>
      <c r="BN3519">
        <v>-0.48</v>
      </c>
      <c r="BO3519">
        <v>0.49</v>
      </c>
      <c r="BP3519">
        <v>0.52</v>
      </c>
      <c r="BQ3519">
        <v>-2.3199999999999998</v>
      </c>
      <c r="BR3519">
        <v>-0.35</v>
      </c>
      <c r="BS3519">
        <v>1.01</v>
      </c>
      <c r="BT3519">
        <v>0.53</v>
      </c>
      <c r="BU3519">
        <v>0.85</v>
      </c>
      <c r="BV3519">
        <v>1.01</v>
      </c>
      <c r="BW3519">
        <v>-0.09</v>
      </c>
      <c r="BX3519">
        <v>0.54</v>
      </c>
      <c r="BY3519">
        <v>1.0900000000000001</v>
      </c>
      <c r="BZ3519">
        <v>-2.62</v>
      </c>
      <c r="CA3519">
        <v>1.17</v>
      </c>
      <c r="CB3519">
        <v>0.98</v>
      </c>
      <c r="CC3519">
        <v>0.9</v>
      </c>
      <c r="CD3519">
        <v>-1.01</v>
      </c>
      <c r="CE3519">
        <v>0.45</v>
      </c>
      <c r="CF3519">
        <v>-0.57999999999999996</v>
      </c>
      <c r="CG3519">
        <v>0</v>
      </c>
      <c r="CH3519">
        <v>1.1599999999999999</v>
      </c>
      <c r="CI3519">
        <v>0</v>
      </c>
      <c r="CJ3519">
        <v>-10.8</v>
      </c>
      <c r="CK3519">
        <v>93</v>
      </c>
      <c r="CL3519">
        <v>-0.69</v>
      </c>
      <c r="CM3519">
        <v>92</v>
      </c>
      <c r="CN3519">
        <v>-0.43</v>
      </c>
      <c r="CO3519">
        <v>91</v>
      </c>
      <c r="CP3519">
        <v>-13.8</v>
      </c>
      <c r="CQ3519">
        <v>95</v>
      </c>
      <c r="CR3519">
        <v>0</v>
      </c>
      <c r="CS3519">
        <v>0</v>
      </c>
      <c r="CT3519">
        <v>-12.6</v>
      </c>
      <c r="CU3519">
        <v>91</v>
      </c>
      <c r="CV3519">
        <v>-0.2</v>
      </c>
      <c r="CW3519">
        <v>45</v>
      </c>
      <c r="CX3519" t="s">
        <v>154</v>
      </c>
    </row>
    <row r="3520" spans="1:102" x14ac:dyDescent="0.3">
      <c r="A3520" t="str">
        <f>HYPERLINK("https://webapp.icbf.com/v2/app/bull-search/view/77857150","GON")</f>
        <v>GON</v>
      </c>
      <c r="B3520" t="s">
        <v>6587</v>
      </c>
      <c r="C3520" t="s">
        <v>6588</v>
      </c>
      <c r="D3520" s="1">
        <v>31728</v>
      </c>
      <c r="E3520" t="s">
        <v>108</v>
      </c>
      <c r="F3520">
        <v>25</v>
      </c>
      <c r="G3520" t="s">
        <v>93</v>
      </c>
      <c r="H3520">
        <v>-42.35</v>
      </c>
      <c r="I3520">
        <v>76</v>
      </c>
      <c r="J3520">
        <v>-73.349999999999994</v>
      </c>
      <c r="K3520">
        <v>88</v>
      </c>
      <c r="L3520">
        <v>24.82</v>
      </c>
      <c r="M3520">
        <v>72</v>
      </c>
      <c r="N3520">
        <v>-3.67</v>
      </c>
      <c r="O3520">
        <v>55</v>
      </c>
      <c r="P3520">
        <v>-8.32</v>
      </c>
      <c r="Q3520">
        <v>78</v>
      </c>
      <c r="R3520">
        <v>-4.13</v>
      </c>
      <c r="S3520">
        <v>71</v>
      </c>
      <c r="T3520">
        <v>19.89</v>
      </c>
      <c r="U3520">
        <v>77</v>
      </c>
      <c r="V3520">
        <v>2.41</v>
      </c>
      <c r="W3520">
        <v>59</v>
      </c>
      <c r="X3520" t="s">
        <v>94</v>
      </c>
      <c r="Y3520" t="s">
        <v>95</v>
      </c>
      <c r="Z3520" t="s">
        <v>96</v>
      </c>
      <c r="AA3520" t="s">
        <v>823</v>
      </c>
      <c r="AB3520" t="s">
        <v>6589</v>
      </c>
      <c r="AC3520">
        <v>23</v>
      </c>
      <c r="AD3520">
        <v>22</v>
      </c>
      <c r="AE3520">
        <v>88</v>
      </c>
      <c r="AF3520">
        <v>-293.33999999999997</v>
      </c>
      <c r="AG3520">
        <v>-11.35</v>
      </c>
      <c r="AH3520">
        <v>-12.95</v>
      </c>
      <c r="AI3520">
        <v>0</v>
      </c>
      <c r="AJ3520">
        <v>-0.06</v>
      </c>
      <c r="AK3520">
        <v>72</v>
      </c>
      <c r="AL3520">
        <v>64</v>
      </c>
      <c r="AM3520">
        <v>39</v>
      </c>
      <c r="AN3520">
        <v>-1.33</v>
      </c>
      <c r="AO3520">
        <v>0.65</v>
      </c>
      <c r="AP3520">
        <v>4</v>
      </c>
      <c r="AQ3520">
        <v>0</v>
      </c>
      <c r="AR3520">
        <v>4.75</v>
      </c>
      <c r="AS3520">
        <v>49</v>
      </c>
      <c r="AT3520">
        <v>2.62</v>
      </c>
      <c r="AU3520">
        <v>58</v>
      </c>
      <c r="AV3520">
        <v>1.29</v>
      </c>
      <c r="AW3520">
        <v>56</v>
      </c>
      <c r="AX3520">
        <v>-0.64</v>
      </c>
      <c r="AY3520">
        <v>69</v>
      </c>
      <c r="AZ3520">
        <v>6.92</v>
      </c>
      <c r="BA3520">
        <v>40</v>
      </c>
      <c r="BB3520">
        <v>5.96</v>
      </c>
      <c r="BC3520">
        <v>47</v>
      </c>
      <c r="BD3520">
        <v>0.09</v>
      </c>
      <c r="BE3520">
        <v>0.05</v>
      </c>
      <c r="BF3520">
        <v>-0.15</v>
      </c>
      <c r="BG3520">
        <v>84</v>
      </c>
      <c r="BH3520">
        <v>0.04</v>
      </c>
      <c r="BI3520">
        <v>-3.16</v>
      </c>
      <c r="BJ3520">
        <v>9</v>
      </c>
      <c r="BK3520">
        <v>6</v>
      </c>
      <c r="BL3520">
        <v>-2.7</v>
      </c>
      <c r="BM3520">
        <v>1.36</v>
      </c>
      <c r="BN3520">
        <v>-2.2400000000000002</v>
      </c>
      <c r="BO3520">
        <v>-2.77</v>
      </c>
      <c r="BP3520">
        <v>-0.14000000000000001</v>
      </c>
      <c r="BQ3520">
        <v>1.07</v>
      </c>
      <c r="BR3520">
        <v>-0.56999999999999995</v>
      </c>
      <c r="BS3520">
        <v>1.43</v>
      </c>
      <c r="BT3520">
        <v>-1.01</v>
      </c>
      <c r="BU3520">
        <v>-1.51</v>
      </c>
      <c r="BV3520">
        <v>-1.43</v>
      </c>
      <c r="BW3520">
        <v>-0.65</v>
      </c>
      <c r="BX3520">
        <v>-0.8</v>
      </c>
      <c r="BY3520">
        <v>-0.59</v>
      </c>
      <c r="BZ3520">
        <v>-2.0099999999999998</v>
      </c>
      <c r="CA3520">
        <v>-1.1399999999999999</v>
      </c>
      <c r="CB3520">
        <v>-1.24</v>
      </c>
      <c r="CC3520">
        <v>-0.32</v>
      </c>
      <c r="CD3520">
        <v>2.65</v>
      </c>
      <c r="CE3520">
        <v>-2.7</v>
      </c>
      <c r="CF3520">
        <v>-1.69</v>
      </c>
      <c r="CG3520">
        <v>0</v>
      </c>
      <c r="CH3520">
        <v>7.0000000000000007E-2</v>
      </c>
      <c r="CI3520">
        <v>0</v>
      </c>
      <c r="CJ3520">
        <v>-4.8</v>
      </c>
      <c r="CK3520">
        <v>80</v>
      </c>
      <c r="CL3520">
        <v>-0.11</v>
      </c>
      <c r="CM3520">
        <v>76</v>
      </c>
      <c r="CN3520">
        <v>-0.08</v>
      </c>
      <c r="CO3520">
        <v>73</v>
      </c>
      <c r="CP3520">
        <v>-10</v>
      </c>
      <c r="CQ3520">
        <v>79</v>
      </c>
      <c r="CR3520">
        <v>0</v>
      </c>
      <c r="CS3520">
        <v>0</v>
      </c>
      <c r="CT3520">
        <v>-13.1</v>
      </c>
      <c r="CU3520">
        <v>77</v>
      </c>
      <c r="CV3520">
        <v>-0.03</v>
      </c>
      <c r="CW3520">
        <v>41</v>
      </c>
      <c r="CX3520" t="s">
        <v>3678</v>
      </c>
    </row>
    <row r="3521" spans="1:102" x14ac:dyDescent="0.3">
      <c r="A3521" t="str">
        <f>HYPERLINK("https://webapp.icbf.com/v2/app/bull-search/view/69092065","KJP")</f>
        <v>KJP</v>
      </c>
      <c r="B3521" t="s">
        <v>3227</v>
      </c>
      <c r="C3521" t="s">
        <v>3228</v>
      </c>
      <c r="D3521" s="1">
        <v>34910</v>
      </c>
      <c r="E3521" t="s">
        <v>92</v>
      </c>
      <c r="F3521">
        <v>88</v>
      </c>
      <c r="G3521" t="s">
        <v>109</v>
      </c>
      <c r="H3521">
        <v>-42.43</v>
      </c>
      <c r="I3521">
        <v>75</v>
      </c>
      <c r="J3521">
        <v>10.09</v>
      </c>
      <c r="K3521">
        <v>92</v>
      </c>
      <c r="L3521">
        <v>-64.52</v>
      </c>
      <c r="M3521">
        <v>79</v>
      </c>
      <c r="N3521">
        <v>2.76</v>
      </c>
      <c r="O3521">
        <v>56</v>
      </c>
      <c r="P3521">
        <v>-16.73</v>
      </c>
      <c r="Q3521">
        <v>47</v>
      </c>
      <c r="R3521">
        <v>-4.8099999999999996</v>
      </c>
      <c r="S3521">
        <v>71</v>
      </c>
      <c r="T3521">
        <v>19.75</v>
      </c>
      <c r="U3521">
        <v>47</v>
      </c>
      <c r="V3521">
        <v>11.03</v>
      </c>
      <c r="W3521">
        <v>56</v>
      </c>
      <c r="X3521" t="s">
        <v>302</v>
      </c>
      <c r="Y3521" t="s">
        <v>95</v>
      </c>
      <c r="Z3521" t="s">
        <v>96</v>
      </c>
      <c r="AA3521" t="s">
        <v>3229</v>
      </c>
      <c r="AB3521" t="s">
        <v>1362</v>
      </c>
      <c r="AC3521">
        <v>0</v>
      </c>
      <c r="AD3521">
        <v>0</v>
      </c>
      <c r="AE3521">
        <v>92</v>
      </c>
      <c r="AF3521">
        <v>174.82</v>
      </c>
      <c r="AG3521">
        <v>7.47</v>
      </c>
      <c r="AH3521">
        <v>1.75</v>
      </c>
      <c r="AI3521">
        <v>0.01</v>
      </c>
      <c r="AJ3521">
        <v>-7.0000000000000007E-2</v>
      </c>
      <c r="AK3521">
        <v>79</v>
      </c>
      <c r="AL3521">
        <v>0</v>
      </c>
      <c r="AM3521">
        <v>0</v>
      </c>
      <c r="AN3521">
        <v>3.93</v>
      </c>
      <c r="AO3521">
        <v>-1.21</v>
      </c>
      <c r="AP3521">
        <v>1</v>
      </c>
      <c r="AQ3521">
        <v>1</v>
      </c>
      <c r="AR3521">
        <v>10.51</v>
      </c>
      <c r="AS3521">
        <v>49</v>
      </c>
      <c r="AT3521">
        <v>4</v>
      </c>
      <c r="AU3521">
        <v>80</v>
      </c>
      <c r="AV3521">
        <v>-3.04</v>
      </c>
      <c r="AW3521">
        <v>50</v>
      </c>
      <c r="AX3521">
        <v>-0.46</v>
      </c>
      <c r="AY3521">
        <v>50</v>
      </c>
      <c r="AZ3521">
        <v>7.75</v>
      </c>
      <c r="BA3521">
        <v>40</v>
      </c>
      <c r="BB3521">
        <v>5.6</v>
      </c>
      <c r="BC3521">
        <v>44</v>
      </c>
      <c r="BD3521">
        <v>-0.02</v>
      </c>
      <c r="BE3521">
        <v>0.06</v>
      </c>
      <c r="BF3521">
        <v>0.03</v>
      </c>
      <c r="BG3521">
        <v>89</v>
      </c>
      <c r="BH3521">
        <v>0.11</v>
      </c>
      <c r="BI3521">
        <v>-22.87</v>
      </c>
      <c r="BJ3521">
        <v>0</v>
      </c>
      <c r="BK3521">
        <v>0</v>
      </c>
      <c r="BL3521">
        <v>-0.55000000000000004</v>
      </c>
      <c r="BM3521">
        <v>-2.97</v>
      </c>
      <c r="BN3521">
        <v>-1.81</v>
      </c>
      <c r="BO3521">
        <v>0.31</v>
      </c>
      <c r="BP3521">
        <v>-1.19</v>
      </c>
      <c r="BQ3521">
        <v>-1.91</v>
      </c>
      <c r="BR3521">
        <v>1.81</v>
      </c>
      <c r="BS3521">
        <v>-1.71</v>
      </c>
      <c r="BT3521">
        <v>-2.17</v>
      </c>
      <c r="BU3521">
        <v>0.28000000000000003</v>
      </c>
      <c r="BV3521">
        <v>1.0900000000000001</v>
      </c>
      <c r="BW3521">
        <v>0.1</v>
      </c>
      <c r="BX3521">
        <v>-0.19</v>
      </c>
      <c r="BY3521">
        <v>0.78</v>
      </c>
      <c r="BZ3521">
        <v>-0.93</v>
      </c>
      <c r="CA3521">
        <v>0.1</v>
      </c>
      <c r="CB3521">
        <v>0.81</v>
      </c>
      <c r="CC3521">
        <v>-1.25</v>
      </c>
      <c r="CD3521">
        <v>-1.46</v>
      </c>
      <c r="CE3521">
        <v>0.89</v>
      </c>
      <c r="CF3521">
        <v>-0.41</v>
      </c>
      <c r="CG3521">
        <v>0</v>
      </c>
      <c r="CH3521">
        <v>0.65</v>
      </c>
      <c r="CI3521">
        <v>0</v>
      </c>
      <c r="CJ3521">
        <v>-8.8000000000000007</v>
      </c>
      <c r="CK3521">
        <v>47</v>
      </c>
      <c r="CL3521">
        <v>-0.7</v>
      </c>
      <c r="CM3521">
        <v>47</v>
      </c>
      <c r="CN3521">
        <v>-0.46</v>
      </c>
      <c r="CO3521">
        <v>47</v>
      </c>
      <c r="CP3521">
        <v>-18.3</v>
      </c>
      <c r="CQ3521">
        <v>48</v>
      </c>
      <c r="CR3521">
        <v>0</v>
      </c>
      <c r="CS3521">
        <v>0</v>
      </c>
      <c r="CT3521">
        <v>-12.9</v>
      </c>
      <c r="CU3521">
        <v>47</v>
      </c>
      <c r="CV3521">
        <v>0.14000000000000001</v>
      </c>
      <c r="CW3521">
        <v>35</v>
      </c>
      <c r="CX3521" t="s">
        <v>1363</v>
      </c>
    </row>
    <row r="3522" spans="1:102" x14ac:dyDescent="0.3">
      <c r="A3522" t="str">
        <f>HYPERLINK("https://webapp.icbf.com/v2/app/bull-search/view/488424111","LZB")</f>
        <v>LZB</v>
      </c>
      <c r="B3522" t="s">
        <v>12590</v>
      </c>
      <c r="C3522" t="s">
        <v>12591</v>
      </c>
      <c r="D3522" s="1">
        <v>39047</v>
      </c>
      <c r="E3522" t="s">
        <v>92</v>
      </c>
      <c r="F3522">
        <v>100</v>
      </c>
      <c r="G3522" t="s">
        <v>93</v>
      </c>
      <c r="H3522">
        <v>-42.55</v>
      </c>
      <c r="I3522">
        <v>90</v>
      </c>
      <c r="J3522">
        <v>14.59</v>
      </c>
      <c r="K3522">
        <v>97</v>
      </c>
      <c r="L3522">
        <v>-85.54</v>
      </c>
      <c r="M3522">
        <v>83</v>
      </c>
      <c r="N3522">
        <v>25.09</v>
      </c>
      <c r="O3522">
        <v>88</v>
      </c>
      <c r="P3522">
        <v>-9.1300000000000008</v>
      </c>
      <c r="Q3522">
        <v>94</v>
      </c>
      <c r="R3522">
        <v>13.28</v>
      </c>
      <c r="S3522">
        <v>83</v>
      </c>
      <c r="T3522">
        <v>1.76</v>
      </c>
      <c r="U3522">
        <v>90</v>
      </c>
      <c r="V3522">
        <v>-2.6</v>
      </c>
      <c r="W3522">
        <v>82</v>
      </c>
      <c r="X3522" t="s">
        <v>102</v>
      </c>
      <c r="Y3522" t="s">
        <v>1374</v>
      </c>
      <c r="Z3522" t="s">
        <v>96</v>
      </c>
      <c r="AA3522" t="s">
        <v>358</v>
      </c>
      <c r="AB3522" t="s">
        <v>5125</v>
      </c>
      <c r="AC3522">
        <v>134</v>
      </c>
      <c r="AD3522">
        <v>88</v>
      </c>
      <c r="AE3522">
        <v>97</v>
      </c>
      <c r="AF3522">
        <v>123.4</v>
      </c>
      <c r="AG3522">
        <v>2.97</v>
      </c>
      <c r="AH3522">
        <v>3.32</v>
      </c>
      <c r="AI3522">
        <v>-0.03</v>
      </c>
      <c r="AJ3522">
        <v>-0.02</v>
      </c>
      <c r="AK3522">
        <v>83</v>
      </c>
      <c r="AL3522">
        <v>137</v>
      </c>
      <c r="AM3522">
        <v>102</v>
      </c>
      <c r="AN3522">
        <v>6.38</v>
      </c>
      <c r="AO3522">
        <v>-0.42</v>
      </c>
      <c r="AP3522">
        <v>252</v>
      </c>
      <c r="AQ3522">
        <v>1</v>
      </c>
      <c r="AR3522">
        <v>5.69</v>
      </c>
      <c r="AS3522">
        <v>82</v>
      </c>
      <c r="AT3522">
        <v>2.2799999999999998</v>
      </c>
      <c r="AU3522">
        <v>90</v>
      </c>
      <c r="AV3522">
        <v>-2.66</v>
      </c>
      <c r="AW3522">
        <v>96</v>
      </c>
      <c r="AX3522">
        <v>-0.46</v>
      </c>
      <c r="AY3522">
        <v>87</v>
      </c>
      <c r="AZ3522">
        <v>8.2100000000000009</v>
      </c>
      <c r="BA3522">
        <v>71</v>
      </c>
      <c r="BB3522">
        <v>6.02</v>
      </c>
      <c r="BC3522">
        <v>70</v>
      </c>
      <c r="BD3522">
        <v>-0.02</v>
      </c>
      <c r="BE3522">
        <v>-0.08</v>
      </c>
      <c r="BF3522">
        <v>-0.12</v>
      </c>
      <c r="BG3522">
        <v>91</v>
      </c>
      <c r="BH3522">
        <v>-0.18</v>
      </c>
      <c r="BI3522">
        <v>-12.42</v>
      </c>
      <c r="BJ3522">
        <v>19</v>
      </c>
      <c r="BK3522">
        <v>16</v>
      </c>
      <c r="BL3522">
        <v>0.21</v>
      </c>
      <c r="BM3522">
        <v>1.41</v>
      </c>
      <c r="BN3522">
        <v>0.98</v>
      </c>
      <c r="BO3522">
        <v>-0.19</v>
      </c>
      <c r="BP3522">
        <v>0.54</v>
      </c>
      <c r="BQ3522">
        <v>0.21</v>
      </c>
      <c r="BR3522">
        <v>-1.1100000000000001</v>
      </c>
      <c r="BS3522">
        <v>4.3099999999999996</v>
      </c>
      <c r="BT3522">
        <v>1</v>
      </c>
      <c r="BU3522">
        <v>0.14000000000000001</v>
      </c>
      <c r="BV3522">
        <v>0.36</v>
      </c>
      <c r="BW3522">
        <v>0.47</v>
      </c>
      <c r="BX3522">
        <v>1.1299999999999999</v>
      </c>
      <c r="BY3522">
        <v>-0.59</v>
      </c>
      <c r="BZ3522">
        <v>-1.47</v>
      </c>
      <c r="CA3522">
        <v>1.22</v>
      </c>
      <c r="CB3522">
        <v>0.04</v>
      </c>
      <c r="CC3522">
        <v>3.16</v>
      </c>
      <c r="CD3522">
        <v>0.87</v>
      </c>
      <c r="CE3522">
        <v>-0.46</v>
      </c>
      <c r="CF3522">
        <v>0.77</v>
      </c>
      <c r="CG3522">
        <v>0</v>
      </c>
      <c r="CH3522">
        <v>-0.13</v>
      </c>
      <c r="CI3522">
        <v>0</v>
      </c>
      <c r="CJ3522">
        <v>-4.9000000000000004</v>
      </c>
      <c r="CK3522">
        <v>95</v>
      </c>
      <c r="CL3522">
        <v>-0.92</v>
      </c>
      <c r="CM3522">
        <v>94</v>
      </c>
      <c r="CN3522">
        <v>-0.56000000000000005</v>
      </c>
      <c r="CO3522">
        <v>93</v>
      </c>
      <c r="CP3522">
        <v>3.8</v>
      </c>
      <c r="CQ3522">
        <v>92</v>
      </c>
      <c r="CR3522">
        <v>0</v>
      </c>
      <c r="CS3522">
        <v>0</v>
      </c>
      <c r="CT3522">
        <v>11.4</v>
      </c>
      <c r="CU3522">
        <v>90</v>
      </c>
      <c r="CV3522">
        <v>0.03</v>
      </c>
      <c r="CW3522">
        <v>45</v>
      </c>
      <c r="CX3522" t="s">
        <v>1376</v>
      </c>
    </row>
    <row r="3523" spans="1:102" x14ac:dyDescent="0.3">
      <c r="A3523" t="str">
        <f>HYPERLINK("https://webapp.icbf.com/v2/app/bull-search/view/77854858","MTG")</f>
        <v>MTG</v>
      </c>
      <c r="B3523" t="s">
        <v>14094</v>
      </c>
      <c r="C3523" t="s">
        <v>14095</v>
      </c>
      <c r="D3523" s="1">
        <v>34555</v>
      </c>
      <c r="E3523" t="s">
        <v>92</v>
      </c>
      <c r="F3523">
        <v>100</v>
      </c>
      <c r="G3523" t="s">
        <v>109</v>
      </c>
      <c r="H3523">
        <v>-42.55</v>
      </c>
      <c r="I3523">
        <v>79</v>
      </c>
      <c r="J3523">
        <v>6.91</v>
      </c>
      <c r="K3523">
        <v>91</v>
      </c>
      <c r="L3523">
        <v>-34.22</v>
      </c>
      <c r="M3523">
        <v>82</v>
      </c>
      <c r="N3523">
        <v>-4.6399999999999997</v>
      </c>
      <c r="O3523">
        <v>59</v>
      </c>
      <c r="P3523">
        <v>-10.15</v>
      </c>
      <c r="Q3523">
        <v>63</v>
      </c>
      <c r="R3523">
        <v>-13.42</v>
      </c>
      <c r="S3523">
        <v>74</v>
      </c>
      <c r="T3523">
        <v>15.01</v>
      </c>
      <c r="U3523">
        <v>67</v>
      </c>
      <c r="V3523">
        <v>-2.04</v>
      </c>
      <c r="W3523">
        <v>60</v>
      </c>
      <c r="X3523" t="s">
        <v>234</v>
      </c>
      <c r="Y3523" t="s">
        <v>95</v>
      </c>
      <c r="Z3523" t="s">
        <v>96</v>
      </c>
      <c r="AA3523" t="s">
        <v>7042</v>
      </c>
      <c r="AB3523" t="s">
        <v>812</v>
      </c>
      <c r="AC3523">
        <v>0</v>
      </c>
      <c r="AD3523">
        <v>0</v>
      </c>
      <c r="AE3523">
        <v>91</v>
      </c>
      <c r="AF3523">
        <v>-123.61</v>
      </c>
      <c r="AG3523">
        <v>0.97</v>
      </c>
      <c r="AH3523">
        <v>-1.06</v>
      </c>
      <c r="AI3523">
        <v>0.1</v>
      </c>
      <c r="AJ3523">
        <v>0.06</v>
      </c>
      <c r="AK3523">
        <v>82</v>
      </c>
      <c r="AL3523">
        <v>0</v>
      </c>
      <c r="AM3523">
        <v>0</v>
      </c>
      <c r="AN3523">
        <v>1.76</v>
      </c>
      <c r="AO3523">
        <v>-0.97</v>
      </c>
      <c r="AP3523">
        <v>8</v>
      </c>
      <c r="AQ3523">
        <v>0</v>
      </c>
      <c r="AR3523">
        <v>7.82</v>
      </c>
      <c r="AS3523">
        <v>55</v>
      </c>
      <c r="AT3523">
        <v>4.1500000000000004</v>
      </c>
      <c r="AU3523">
        <v>79</v>
      </c>
      <c r="AV3523">
        <v>-0.25</v>
      </c>
      <c r="AW3523">
        <v>54</v>
      </c>
      <c r="AX3523">
        <v>0.06</v>
      </c>
      <c r="AY3523">
        <v>57</v>
      </c>
      <c r="AZ3523">
        <v>5.63</v>
      </c>
      <c r="BA3523">
        <v>45</v>
      </c>
      <c r="BB3523">
        <v>4.43</v>
      </c>
      <c r="BC3523">
        <v>49</v>
      </c>
      <c r="BD3523">
        <v>0.04</v>
      </c>
      <c r="BE3523">
        <v>0.08</v>
      </c>
      <c r="BF3523">
        <v>0.09</v>
      </c>
      <c r="BG3523">
        <v>90</v>
      </c>
      <c r="BH3523">
        <v>-7.0000000000000007E-2</v>
      </c>
      <c r="BI3523">
        <v>-1.51</v>
      </c>
      <c r="BJ3523">
        <v>0</v>
      </c>
      <c r="BK3523">
        <v>0</v>
      </c>
      <c r="BL3523">
        <v>0.56000000000000005</v>
      </c>
      <c r="BM3523">
        <v>-0.81</v>
      </c>
      <c r="BN3523">
        <v>-7.0000000000000007E-2</v>
      </c>
      <c r="BO3523">
        <v>0.34</v>
      </c>
      <c r="BP3523">
        <v>4.47</v>
      </c>
      <c r="BQ3523">
        <v>-1.64</v>
      </c>
      <c r="BR3523">
        <v>-0.63</v>
      </c>
      <c r="BS3523">
        <v>-2.0299999999999998</v>
      </c>
      <c r="BT3523">
        <v>1.41</v>
      </c>
      <c r="BU3523">
        <v>-1.58</v>
      </c>
      <c r="BV3523">
        <v>0.28999999999999998</v>
      </c>
      <c r="BW3523">
        <v>-0.04</v>
      </c>
      <c r="BX3523">
        <v>-1.43</v>
      </c>
      <c r="BY3523">
        <v>-0.83</v>
      </c>
      <c r="BZ3523">
        <v>1.25</v>
      </c>
      <c r="CA3523">
        <v>-0.92</v>
      </c>
      <c r="CB3523">
        <v>-0.55000000000000004</v>
      </c>
      <c r="CC3523">
        <v>-0.8</v>
      </c>
      <c r="CD3523">
        <v>-0.45</v>
      </c>
      <c r="CE3523">
        <v>0.99</v>
      </c>
      <c r="CF3523">
        <v>0.28000000000000003</v>
      </c>
      <c r="CG3523">
        <v>0</v>
      </c>
      <c r="CH3523">
        <v>-0.87</v>
      </c>
      <c r="CI3523">
        <v>0</v>
      </c>
      <c r="CJ3523">
        <v>-5.2</v>
      </c>
      <c r="CK3523">
        <v>64</v>
      </c>
      <c r="CL3523">
        <v>-0.6</v>
      </c>
      <c r="CM3523">
        <v>61</v>
      </c>
      <c r="CN3523">
        <v>-0.44</v>
      </c>
      <c r="CO3523">
        <v>58</v>
      </c>
      <c r="CP3523">
        <v>-12.9</v>
      </c>
      <c r="CQ3523">
        <v>67</v>
      </c>
      <c r="CR3523">
        <v>0</v>
      </c>
      <c r="CS3523">
        <v>0</v>
      </c>
      <c r="CT3523">
        <v>-6.5</v>
      </c>
      <c r="CU3523">
        <v>67</v>
      </c>
      <c r="CV3523">
        <v>0.05</v>
      </c>
      <c r="CW3523">
        <v>38</v>
      </c>
      <c r="CX3523" t="s">
        <v>118</v>
      </c>
    </row>
    <row r="3524" spans="1:102" x14ac:dyDescent="0.3">
      <c r="A3524" t="str">
        <f>HYPERLINK("https://webapp.icbf.com/v2/app/bull-search/view/462433940","HBF")</f>
        <v>HBF</v>
      </c>
      <c r="B3524" t="s">
        <v>12318</v>
      </c>
      <c r="C3524" t="s">
        <v>12319</v>
      </c>
      <c r="D3524" s="1">
        <v>37224</v>
      </c>
      <c r="E3524" t="s">
        <v>92</v>
      </c>
      <c r="F3524">
        <v>100</v>
      </c>
      <c r="G3524" t="s">
        <v>109</v>
      </c>
      <c r="H3524">
        <v>-42.57</v>
      </c>
      <c r="I3524">
        <v>84</v>
      </c>
      <c r="J3524">
        <v>-15.31</v>
      </c>
      <c r="K3524">
        <v>93</v>
      </c>
      <c r="L3524">
        <v>-10.93</v>
      </c>
      <c r="M3524">
        <v>84</v>
      </c>
      <c r="N3524">
        <v>-13.12</v>
      </c>
      <c r="O3524">
        <v>80</v>
      </c>
      <c r="P3524">
        <v>-17.739999999999998</v>
      </c>
      <c r="Q3524">
        <v>83</v>
      </c>
      <c r="R3524">
        <v>-4.9000000000000004</v>
      </c>
      <c r="S3524">
        <v>75</v>
      </c>
      <c r="T3524">
        <v>18.04</v>
      </c>
      <c r="U3524">
        <v>71</v>
      </c>
      <c r="V3524">
        <v>1.39</v>
      </c>
      <c r="W3524">
        <v>60</v>
      </c>
      <c r="X3524" t="s">
        <v>94</v>
      </c>
      <c r="Y3524" t="s">
        <v>221</v>
      </c>
      <c r="Z3524" t="s">
        <v>96</v>
      </c>
      <c r="AA3524" t="s">
        <v>7330</v>
      </c>
      <c r="AB3524" t="s">
        <v>12320</v>
      </c>
      <c r="AC3524">
        <v>0</v>
      </c>
      <c r="AD3524">
        <v>0</v>
      </c>
      <c r="AE3524">
        <v>93</v>
      </c>
      <c r="AF3524">
        <v>213.44</v>
      </c>
      <c r="AG3524">
        <v>-4.7699999999999996</v>
      </c>
      <c r="AH3524">
        <v>2.35</v>
      </c>
      <c r="AI3524">
        <v>-0.22</v>
      </c>
      <c r="AJ3524">
        <v>-0.08</v>
      </c>
      <c r="AK3524">
        <v>84</v>
      </c>
      <c r="AL3524">
        <v>0</v>
      </c>
      <c r="AM3524">
        <v>0</v>
      </c>
      <c r="AN3524">
        <v>1.49</v>
      </c>
      <c r="AO3524">
        <v>0.63</v>
      </c>
      <c r="AP3524">
        <v>61</v>
      </c>
      <c r="AQ3524">
        <v>0</v>
      </c>
      <c r="AR3524">
        <v>9.2100000000000009</v>
      </c>
      <c r="AS3524">
        <v>68</v>
      </c>
      <c r="AT3524">
        <v>3.82</v>
      </c>
      <c r="AU3524">
        <v>91</v>
      </c>
      <c r="AV3524">
        <v>0.39</v>
      </c>
      <c r="AW3524">
        <v>87</v>
      </c>
      <c r="AX3524">
        <v>-0.84</v>
      </c>
      <c r="AY3524">
        <v>74</v>
      </c>
      <c r="AZ3524">
        <v>6.64</v>
      </c>
      <c r="BA3524">
        <v>55</v>
      </c>
      <c r="BB3524">
        <v>5.13</v>
      </c>
      <c r="BC3524">
        <v>56</v>
      </c>
      <c r="BD3524">
        <v>0.04</v>
      </c>
      <c r="BE3524">
        <v>0.04</v>
      </c>
      <c r="BF3524">
        <v>-0.03</v>
      </c>
      <c r="BG3524">
        <v>90</v>
      </c>
      <c r="BH3524">
        <v>0.15</v>
      </c>
      <c r="BI3524">
        <v>12.87</v>
      </c>
      <c r="BJ3524">
        <v>12</v>
      </c>
      <c r="BK3524">
        <v>6</v>
      </c>
      <c r="BL3524">
        <v>-0.32</v>
      </c>
      <c r="BM3524">
        <v>-1.2</v>
      </c>
      <c r="BN3524">
        <v>-0.86</v>
      </c>
      <c r="BO3524">
        <v>-0.41</v>
      </c>
      <c r="BP3524">
        <v>-1.29</v>
      </c>
      <c r="BQ3524">
        <v>-1.36</v>
      </c>
      <c r="BR3524">
        <v>1.29</v>
      </c>
      <c r="BS3524">
        <v>-0.84</v>
      </c>
      <c r="BT3524">
        <v>0.38</v>
      </c>
      <c r="BU3524">
        <v>0.18</v>
      </c>
      <c r="BV3524">
        <v>-0.56999999999999995</v>
      </c>
      <c r="BW3524">
        <v>-0.12</v>
      </c>
      <c r="BX3524">
        <v>1.0900000000000001</v>
      </c>
      <c r="BY3524">
        <v>1.33</v>
      </c>
      <c r="BZ3524">
        <v>0.18</v>
      </c>
      <c r="CA3524">
        <v>-0.36</v>
      </c>
      <c r="CB3524">
        <v>0</v>
      </c>
      <c r="CC3524">
        <v>-0.39</v>
      </c>
      <c r="CD3524">
        <v>0.54</v>
      </c>
      <c r="CE3524">
        <v>0.43</v>
      </c>
      <c r="CF3524">
        <v>-0.49</v>
      </c>
      <c r="CG3524">
        <v>0</v>
      </c>
      <c r="CH3524">
        <v>0.7</v>
      </c>
      <c r="CI3524">
        <v>0</v>
      </c>
      <c r="CJ3524">
        <v>-10.1</v>
      </c>
      <c r="CK3524">
        <v>85</v>
      </c>
      <c r="CL3524">
        <v>-0.8</v>
      </c>
      <c r="CM3524">
        <v>82</v>
      </c>
      <c r="CN3524">
        <v>-0.48</v>
      </c>
      <c r="CO3524">
        <v>81</v>
      </c>
      <c r="CP3524">
        <v>-7.8</v>
      </c>
      <c r="CQ3524">
        <v>77</v>
      </c>
      <c r="CR3524">
        <v>0</v>
      </c>
      <c r="CS3524">
        <v>0</v>
      </c>
      <c r="CT3524">
        <v>-10.6</v>
      </c>
      <c r="CU3524">
        <v>71</v>
      </c>
      <c r="CV3524">
        <v>-0.08</v>
      </c>
      <c r="CW3524">
        <v>42</v>
      </c>
      <c r="CX3524" t="s">
        <v>3977</v>
      </c>
    </row>
    <row r="3525" spans="1:102" x14ac:dyDescent="0.3">
      <c r="A3525" t="str">
        <f>HYPERLINK("https://webapp.icbf.com/v2/app/bull-search/view/77852881","VWB")</f>
        <v>VWB</v>
      </c>
      <c r="B3525" t="s">
        <v>14354</v>
      </c>
      <c r="C3525" t="s">
        <v>14355</v>
      </c>
      <c r="D3525" s="1">
        <v>33240</v>
      </c>
      <c r="E3525" t="s">
        <v>92</v>
      </c>
      <c r="F3525">
        <v>81</v>
      </c>
      <c r="G3525" t="s">
        <v>93</v>
      </c>
      <c r="H3525">
        <v>-42.58</v>
      </c>
      <c r="I3525">
        <v>75</v>
      </c>
      <c r="J3525">
        <v>-43.84</v>
      </c>
      <c r="K3525">
        <v>91</v>
      </c>
      <c r="L3525">
        <v>7.65</v>
      </c>
      <c r="M3525">
        <v>70</v>
      </c>
      <c r="N3525">
        <v>5.28</v>
      </c>
      <c r="O3525">
        <v>57</v>
      </c>
      <c r="P3525">
        <v>-14.12</v>
      </c>
      <c r="Q3525">
        <v>73</v>
      </c>
      <c r="R3525">
        <v>-4.42</v>
      </c>
      <c r="S3525">
        <v>68</v>
      </c>
      <c r="T3525">
        <v>11.01</v>
      </c>
      <c r="U3525">
        <v>72</v>
      </c>
      <c r="V3525">
        <v>-4.1399999999999997</v>
      </c>
      <c r="W3525">
        <v>34</v>
      </c>
      <c r="X3525" t="s">
        <v>94</v>
      </c>
      <c r="Y3525" t="s">
        <v>95</v>
      </c>
      <c r="Z3525" t="s">
        <v>96</v>
      </c>
      <c r="AA3525" t="s">
        <v>537</v>
      </c>
      <c r="AB3525" t="s">
        <v>14356</v>
      </c>
      <c r="AC3525">
        <v>57</v>
      </c>
      <c r="AD3525">
        <v>50</v>
      </c>
      <c r="AE3525">
        <v>91</v>
      </c>
      <c r="AF3525">
        <v>-289.17</v>
      </c>
      <c r="AG3525">
        <v>-5.32</v>
      </c>
      <c r="AH3525">
        <v>-10</v>
      </c>
      <c r="AI3525">
        <v>0.1</v>
      </c>
      <c r="AJ3525">
        <v>0</v>
      </c>
      <c r="AK3525">
        <v>70</v>
      </c>
      <c r="AL3525">
        <v>151</v>
      </c>
      <c r="AM3525">
        <v>112</v>
      </c>
      <c r="AN3525">
        <v>-0.45</v>
      </c>
      <c r="AO3525">
        <v>0.16</v>
      </c>
      <c r="AP3525">
        <v>4</v>
      </c>
      <c r="AQ3525">
        <v>0</v>
      </c>
      <c r="AR3525">
        <v>5.12</v>
      </c>
      <c r="AS3525">
        <v>30</v>
      </c>
      <c r="AT3525">
        <v>2.52</v>
      </c>
      <c r="AU3525">
        <v>53</v>
      </c>
      <c r="AV3525">
        <v>0.71</v>
      </c>
      <c r="AW3525">
        <v>65</v>
      </c>
      <c r="AX3525">
        <v>0.23</v>
      </c>
      <c r="AY3525">
        <v>71</v>
      </c>
      <c r="AZ3525">
        <v>6.73</v>
      </c>
      <c r="BA3525">
        <v>31</v>
      </c>
      <c r="BB3525">
        <v>4.74</v>
      </c>
      <c r="BC3525">
        <v>48</v>
      </c>
      <c r="BD3525">
        <v>0.01</v>
      </c>
      <c r="BE3525">
        <v>0.05</v>
      </c>
      <c r="BF3525">
        <v>-0.01</v>
      </c>
      <c r="BG3525">
        <v>90</v>
      </c>
      <c r="BH3525">
        <v>0.05</v>
      </c>
      <c r="BI3525">
        <v>19.13</v>
      </c>
      <c r="BJ3525">
        <v>28</v>
      </c>
      <c r="BK3525">
        <v>21</v>
      </c>
      <c r="BL3525">
        <v>-0.22</v>
      </c>
      <c r="BM3525">
        <v>-0.34</v>
      </c>
      <c r="BN3525">
        <v>-0.59</v>
      </c>
      <c r="BO3525">
        <v>-0.12</v>
      </c>
      <c r="BP3525">
        <v>-0.46</v>
      </c>
      <c r="BQ3525">
        <v>-0.79</v>
      </c>
      <c r="BR3525">
        <v>-0.95</v>
      </c>
      <c r="BS3525">
        <v>0.11</v>
      </c>
      <c r="BT3525">
        <v>-0.2</v>
      </c>
      <c r="BU3525">
        <v>-0.85</v>
      </c>
      <c r="BV3525">
        <v>-1.18</v>
      </c>
      <c r="BW3525">
        <v>-0.44</v>
      </c>
      <c r="BX3525">
        <v>0.72</v>
      </c>
      <c r="BY3525">
        <v>-2.2200000000000002</v>
      </c>
      <c r="BZ3525">
        <v>-0.47</v>
      </c>
      <c r="CA3525">
        <v>-0.98</v>
      </c>
      <c r="CB3525">
        <v>-1.31</v>
      </c>
      <c r="CC3525">
        <v>0.41</v>
      </c>
      <c r="CD3525">
        <v>0.14000000000000001</v>
      </c>
      <c r="CE3525">
        <v>0.04</v>
      </c>
      <c r="CF3525">
        <v>-0.08</v>
      </c>
      <c r="CG3525">
        <v>0</v>
      </c>
      <c r="CH3525">
        <v>-0.92</v>
      </c>
      <c r="CI3525">
        <v>0</v>
      </c>
      <c r="CJ3525">
        <v>-5</v>
      </c>
      <c r="CK3525">
        <v>75</v>
      </c>
      <c r="CL3525">
        <v>-0.66</v>
      </c>
      <c r="CM3525">
        <v>71</v>
      </c>
      <c r="CN3525">
        <v>-0.03</v>
      </c>
      <c r="CO3525">
        <v>68</v>
      </c>
      <c r="CP3525">
        <v>-5.0999999999999996</v>
      </c>
      <c r="CQ3525">
        <v>78</v>
      </c>
      <c r="CR3525">
        <v>0</v>
      </c>
      <c r="CS3525">
        <v>0</v>
      </c>
      <c r="CT3525">
        <v>-1.1000000000000001</v>
      </c>
      <c r="CU3525">
        <v>72</v>
      </c>
      <c r="CV3525">
        <v>0.12</v>
      </c>
      <c r="CW3525">
        <v>20</v>
      </c>
      <c r="CX3525" t="s">
        <v>14357</v>
      </c>
    </row>
    <row r="3526" spans="1:102" x14ac:dyDescent="0.3">
      <c r="A3526" t="str">
        <f>HYPERLINK("https://webapp.icbf.com/v2/app/bull-search/view/514790530","S508")</f>
        <v>S508</v>
      </c>
      <c r="B3526" t="s">
        <v>12299</v>
      </c>
      <c r="C3526" t="s">
        <v>12300</v>
      </c>
      <c r="D3526" s="1">
        <v>36493</v>
      </c>
      <c r="E3526" t="s">
        <v>197</v>
      </c>
      <c r="F3526">
        <v>0</v>
      </c>
      <c r="G3526" t="s">
        <v>116</v>
      </c>
      <c r="H3526">
        <v>-42.61</v>
      </c>
      <c r="I3526">
        <v>37</v>
      </c>
      <c r="J3526">
        <v>-16.57</v>
      </c>
      <c r="K3526">
        <v>57</v>
      </c>
      <c r="L3526">
        <v>-9.16</v>
      </c>
      <c r="M3526">
        <v>18</v>
      </c>
      <c r="N3526">
        <v>-27.59</v>
      </c>
      <c r="O3526">
        <v>43</v>
      </c>
      <c r="P3526">
        <v>16.79</v>
      </c>
      <c r="Q3526">
        <v>63</v>
      </c>
      <c r="R3526">
        <v>-5.96</v>
      </c>
      <c r="S3526">
        <v>20</v>
      </c>
      <c r="T3526">
        <v>5.61</v>
      </c>
      <c r="U3526">
        <v>27</v>
      </c>
      <c r="V3526">
        <v>-5.73</v>
      </c>
      <c r="W3526">
        <v>4</v>
      </c>
      <c r="X3526" t="s">
        <v>102</v>
      </c>
      <c r="Y3526" t="s">
        <v>199</v>
      </c>
      <c r="Z3526">
        <v>0</v>
      </c>
      <c r="AA3526" t="s">
        <v>1672</v>
      </c>
      <c r="AB3526" t="s">
        <v>12301</v>
      </c>
      <c r="AC3526">
        <v>5</v>
      </c>
      <c r="AD3526">
        <v>2</v>
      </c>
      <c r="AE3526">
        <v>57</v>
      </c>
      <c r="AF3526">
        <v>-213.84</v>
      </c>
      <c r="AG3526">
        <v>-7.58</v>
      </c>
      <c r="AH3526">
        <v>-3.41</v>
      </c>
      <c r="AI3526">
        <v>0.01</v>
      </c>
      <c r="AJ3526">
        <v>7.0000000000000007E-2</v>
      </c>
      <c r="AK3526">
        <v>18</v>
      </c>
      <c r="AL3526">
        <v>5</v>
      </c>
      <c r="AM3526">
        <v>2</v>
      </c>
      <c r="AN3526">
        <v>0.54</v>
      </c>
      <c r="AO3526">
        <v>-0.19</v>
      </c>
      <c r="AP3526">
        <v>22</v>
      </c>
      <c r="AQ3526">
        <v>0</v>
      </c>
      <c r="AR3526">
        <v>6.64</v>
      </c>
      <c r="AS3526">
        <v>11</v>
      </c>
      <c r="AT3526">
        <v>5.91</v>
      </c>
      <c r="AU3526">
        <v>39</v>
      </c>
      <c r="AV3526">
        <v>0.95</v>
      </c>
      <c r="AW3526">
        <v>67</v>
      </c>
      <c r="AX3526">
        <v>0.28000000000000003</v>
      </c>
      <c r="AY3526">
        <v>31</v>
      </c>
      <c r="AZ3526">
        <v>6.23</v>
      </c>
      <c r="BA3526">
        <v>10</v>
      </c>
      <c r="BB3526">
        <v>3.58</v>
      </c>
      <c r="BC3526">
        <v>12</v>
      </c>
      <c r="BD3526">
        <v>0.03</v>
      </c>
      <c r="BE3526">
        <v>0.03</v>
      </c>
      <c r="BF3526">
        <v>0.03</v>
      </c>
      <c r="BG3526">
        <v>24</v>
      </c>
      <c r="BH3526">
        <v>-0.17</v>
      </c>
      <c r="BI3526">
        <v>-1.18</v>
      </c>
      <c r="BJ3526">
        <v>0</v>
      </c>
      <c r="BK3526">
        <v>0</v>
      </c>
      <c r="BL3526">
        <v>0</v>
      </c>
      <c r="BM3526">
        <v>0</v>
      </c>
      <c r="BN3526">
        <v>0</v>
      </c>
      <c r="BO3526">
        <v>0</v>
      </c>
      <c r="BP3526">
        <v>0</v>
      </c>
      <c r="BQ3526">
        <v>0</v>
      </c>
      <c r="BR3526">
        <v>0</v>
      </c>
      <c r="BS3526">
        <v>0</v>
      </c>
      <c r="BT3526">
        <v>0</v>
      </c>
      <c r="BU3526">
        <v>0</v>
      </c>
      <c r="BV3526">
        <v>0</v>
      </c>
      <c r="BW3526">
        <v>0</v>
      </c>
      <c r="BX3526">
        <v>0</v>
      </c>
      <c r="BY3526">
        <v>0</v>
      </c>
      <c r="BZ3526">
        <v>0</v>
      </c>
      <c r="CA3526">
        <v>0</v>
      </c>
      <c r="CB3526">
        <v>0</v>
      </c>
      <c r="CC3526">
        <v>0</v>
      </c>
      <c r="CD3526">
        <v>0</v>
      </c>
      <c r="CE3526">
        <v>0</v>
      </c>
      <c r="CF3526">
        <v>0</v>
      </c>
      <c r="CG3526">
        <v>0</v>
      </c>
      <c r="CH3526">
        <v>0</v>
      </c>
      <c r="CI3526">
        <v>0</v>
      </c>
      <c r="CJ3526">
        <v>9.9</v>
      </c>
      <c r="CK3526">
        <v>67</v>
      </c>
      <c r="CL3526">
        <v>0.04</v>
      </c>
      <c r="CM3526">
        <v>63</v>
      </c>
      <c r="CN3526">
        <v>-0.17</v>
      </c>
      <c r="CO3526">
        <v>60</v>
      </c>
      <c r="CP3526">
        <v>4.8</v>
      </c>
      <c r="CQ3526">
        <v>42</v>
      </c>
      <c r="CR3526">
        <v>0</v>
      </c>
      <c r="CS3526">
        <v>0</v>
      </c>
      <c r="CT3526">
        <v>6.2</v>
      </c>
      <c r="CU3526">
        <v>27</v>
      </c>
      <c r="CV3526">
        <v>0.13</v>
      </c>
      <c r="CW3526">
        <v>18</v>
      </c>
      <c r="CX3526" t="s">
        <v>5065</v>
      </c>
    </row>
    <row r="3527" spans="1:102" x14ac:dyDescent="0.3">
      <c r="A3527" t="str">
        <f>HYPERLINK("https://webapp.icbf.com/v2/app/bull-search/view/77858545","DRL")</f>
        <v>DRL</v>
      </c>
      <c r="B3527" t="s">
        <v>10890</v>
      </c>
      <c r="C3527" t="s">
        <v>10891</v>
      </c>
      <c r="D3527" s="1">
        <v>34234</v>
      </c>
      <c r="E3527" t="s">
        <v>92</v>
      </c>
      <c r="F3527">
        <v>100</v>
      </c>
      <c r="G3527" t="s">
        <v>93</v>
      </c>
      <c r="H3527">
        <v>-42.75</v>
      </c>
      <c r="I3527">
        <v>67</v>
      </c>
      <c r="J3527">
        <v>-44.45</v>
      </c>
      <c r="K3527">
        <v>88</v>
      </c>
      <c r="L3527">
        <v>-8.0299999999999994</v>
      </c>
      <c r="M3527">
        <v>54</v>
      </c>
      <c r="N3527">
        <v>12.81</v>
      </c>
      <c r="O3527">
        <v>53</v>
      </c>
      <c r="P3527">
        <v>-5.37</v>
      </c>
      <c r="Q3527">
        <v>74</v>
      </c>
      <c r="R3527">
        <v>-9.74</v>
      </c>
      <c r="S3527">
        <v>56</v>
      </c>
      <c r="T3527">
        <v>14.05</v>
      </c>
      <c r="U3527">
        <v>64</v>
      </c>
      <c r="V3527">
        <v>-2.02</v>
      </c>
      <c r="W3527">
        <v>37</v>
      </c>
      <c r="X3527" t="s">
        <v>102</v>
      </c>
      <c r="Y3527" t="s">
        <v>95</v>
      </c>
      <c r="Z3527" t="s">
        <v>96</v>
      </c>
      <c r="AA3527" t="s">
        <v>4728</v>
      </c>
      <c r="AB3527" t="s">
        <v>10892</v>
      </c>
      <c r="AC3527">
        <v>34</v>
      </c>
      <c r="AD3527">
        <v>25</v>
      </c>
      <c r="AE3527">
        <v>88</v>
      </c>
      <c r="AF3527">
        <v>-189.17</v>
      </c>
      <c r="AG3527">
        <v>-7.62</v>
      </c>
      <c r="AH3527">
        <v>-7.76</v>
      </c>
      <c r="AI3527">
        <v>0</v>
      </c>
      <c r="AJ3527">
        <v>-0.02</v>
      </c>
      <c r="AK3527">
        <v>54</v>
      </c>
      <c r="AL3527">
        <v>54</v>
      </c>
      <c r="AM3527">
        <v>41</v>
      </c>
      <c r="AN3527">
        <v>0.44</v>
      </c>
      <c r="AO3527">
        <v>-0.2</v>
      </c>
      <c r="AP3527">
        <v>11</v>
      </c>
      <c r="AQ3527">
        <v>0</v>
      </c>
      <c r="AR3527">
        <v>6.55</v>
      </c>
      <c r="AS3527">
        <v>33</v>
      </c>
      <c r="AT3527">
        <v>3.26</v>
      </c>
      <c r="AU3527">
        <v>47</v>
      </c>
      <c r="AV3527">
        <v>-1.1599999999999999</v>
      </c>
      <c r="AW3527">
        <v>65</v>
      </c>
      <c r="AX3527">
        <v>-0.09</v>
      </c>
      <c r="AY3527">
        <v>66</v>
      </c>
      <c r="AZ3527">
        <v>6.23</v>
      </c>
      <c r="BA3527">
        <v>25</v>
      </c>
      <c r="BB3527">
        <v>4.68</v>
      </c>
      <c r="BC3527">
        <v>38</v>
      </c>
      <c r="BD3527">
        <v>0.03</v>
      </c>
      <c r="BE3527">
        <v>0.06</v>
      </c>
      <c r="BF3527">
        <v>0.06</v>
      </c>
      <c r="BG3527">
        <v>72</v>
      </c>
      <c r="BH3527">
        <v>0.05</v>
      </c>
      <c r="BI3527">
        <v>12.31</v>
      </c>
      <c r="BJ3527">
        <v>5</v>
      </c>
      <c r="BK3527">
        <v>5</v>
      </c>
      <c r="BL3527">
        <v>0.08</v>
      </c>
      <c r="BM3527">
        <v>0.5</v>
      </c>
      <c r="BN3527">
        <v>0.19</v>
      </c>
      <c r="BO3527">
        <v>-0.41</v>
      </c>
      <c r="BP3527">
        <v>-0.49</v>
      </c>
      <c r="BQ3527">
        <v>0.19</v>
      </c>
      <c r="BR3527">
        <v>-0.27</v>
      </c>
      <c r="BS3527">
        <v>-0.01</v>
      </c>
      <c r="BT3527">
        <v>0.11</v>
      </c>
      <c r="BU3527">
        <v>-0.28999999999999998</v>
      </c>
      <c r="BV3527">
        <v>-0.18</v>
      </c>
      <c r="BW3527">
        <v>-0.18</v>
      </c>
      <c r="BX3527">
        <v>0.13</v>
      </c>
      <c r="BY3527">
        <v>-0.94</v>
      </c>
      <c r="BZ3527">
        <v>-0.32</v>
      </c>
      <c r="CA3527">
        <v>-0.01</v>
      </c>
      <c r="CB3527">
        <v>-0.11</v>
      </c>
      <c r="CC3527">
        <v>0.16</v>
      </c>
      <c r="CD3527">
        <v>0.52</v>
      </c>
      <c r="CE3527">
        <v>-0.35</v>
      </c>
      <c r="CF3527">
        <v>0.19</v>
      </c>
      <c r="CG3527">
        <v>0</v>
      </c>
      <c r="CH3527">
        <v>-0.68</v>
      </c>
      <c r="CI3527">
        <v>0</v>
      </c>
      <c r="CJ3527">
        <v>-0.7</v>
      </c>
      <c r="CK3527">
        <v>76</v>
      </c>
      <c r="CL3527">
        <v>-0.22</v>
      </c>
      <c r="CM3527">
        <v>72</v>
      </c>
      <c r="CN3527">
        <v>0.13</v>
      </c>
      <c r="CO3527">
        <v>68</v>
      </c>
      <c r="CP3527">
        <v>-4.0999999999999996</v>
      </c>
      <c r="CQ3527">
        <v>76</v>
      </c>
      <c r="CR3527">
        <v>0</v>
      </c>
      <c r="CS3527">
        <v>0</v>
      </c>
      <c r="CT3527">
        <v>-5.2</v>
      </c>
      <c r="CU3527">
        <v>64</v>
      </c>
      <c r="CV3527">
        <v>0.02</v>
      </c>
      <c r="CW3527">
        <v>21</v>
      </c>
      <c r="CX3527" t="s">
        <v>132</v>
      </c>
    </row>
    <row r="3528" spans="1:102" x14ac:dyDescent="0.3">
      <c r="A3528" t="str">
        <f>HYPERLINK("https://webapp.icbf.com/v2/app/bull-search/view/444412205","VEL")</f>
        <v>VEL</v>
      </c>
      <c r="B3528" t="s">
        <v>6705</v>
      </c>
      <c r="C3528" t="s">
        <v>6706</v>
      </c>
      <c r="D3528" s="1">
        <v>36119</v>
      </c>
      <c r="E3528" t="s">
        <v>92</v>
      </c>
      <c r="F3528">
        <v>100</v>
      </c>
      <c r="G3528" t="s">
        <v>109</v>
      </c>
      <c r="H3528">
        <v>-42.83</v>
      </c>
      <c r="I3528">
        <v>67</v>
      </c>
      <c r="J3528">
        <v>-12.38</v>
      </c>
      <c r="K3528">
        <v>78</v>
      </c>
      <c r="L3528">
        <v>-24.43</v>
      </c>
      <c r="M3528">
        <v>74</v>
      </c>
      <c r="N3528">
        <v>-10.27</v>
      </c>
      <c r="O3528">
        <v>54</v>
      </c>
      <c r="P3528">
        <v>-3.81</v>
      </c>
      <c r="Q3528">
        <v>59</v>
      </c>
      <c r="R3528">
        <v>-3.58</v>
      </c>
      <c r="S3528">
        <v>61</v>
      </c>
      <c r="T3528">
        <v>11.01</v>
      </c>
      <c r="U3528">
        <v>43</v>
      </c>
      <c r="V3528">
        <v>0.63</v>
      </c>
      <c r="W3528">
        <v>28</v>
      </c>
      <c r="X3528" t="s">
        <v>276</v>
      </c>
      <c r="Y3528" t="s">
        <v>221</v>
      </c>
      <c r="Z3528" t="s">
        <v>96</v>
      </c>
      <c r="AA3528" t="s">
        <v>6632</v>
      </c>
      <c r="AB3528" t="s">
        <v>6707</v>
      </c>
      <c r="AC3528">
        <v>0</v>
      </c>
      <c r="AD3528">
        <v>0</v>
      </c>
      <c r="AE3528">
        <v>78</v>
      </c>
      <c r="AF3528">
        <v>236.79</v>
      </c>
      <c r="AG3528">
        <v>0.14000000000000001</v>
      </c>
      <c r="AH3528">
        <v>1.47</v>
      </c>
      <c r="AI3528">
        <v>-0.15</v>
      </c>
      <c r="AJ3528">
        <v>-0.11</v>
      </c>
      <c r="AK3528">
        <v>74</v>
      </c>
      <c r="AL3528">
        <v>0</v>
      </c>
      <c r="AM3528">
        <v>0</v>
      </c>
      <c r="AN3528">
        <v>1.18</v>
      </c>
      <c r="AO3528">
        <v>-0.77</v>
      </c>
      <c r="AP3528">
        <v>17</v>
      </c>
      <c r="AQ3528">
        <v>1</v>
      </c>
      <c r="AR3528">
        <v>8.27</v>
      </c>
      <c r="AS3528">
        <v>24</v>
      </c>
      <c r="AT3528">
        <v>3.9</v>
      </c>
      <c r="AU3528">
        <v>90</v>
      </c>
      <c r="AV3528">
        <v>0.56000000000000005</v>
      </c>
      <c r="AW3528">
        <v>55</v>
      </c>
      <c r="AX3528">
        <v>-0.37</v>
      </c>
      <c r="AY3528">
        <v>32</v>
      </c>
      <c r="AZ3528">
        <v>5.63</v>
      </c>
      <c r="BA3528">
        <v>24</v>
      </c>
      <c r="BB3528">
        <v>4.7300000000000004</v>
      </c>
      <c r="BC3528">
        <v>28</v>
      </c>
      <c r="BD3528">
        <v>-0.01</v>
      </c>
      <c r="BE3528">
        <v>0.01</v>
      </c>
      <c r="BF3528">
        <v>0.08</v>
      </c>
      <c r="BG3528">
        <v>86</v>
      </c>
      <c r="BH3528">
        <v>-0.05</v>
      </c>
      <c r="BI3528">
        <v>-7.8</v>
      </c>
      <c r="BJ3528">
        <v>4</v>
      </c>
      <c r="BK3528">
        <v>2</v>
      </c>
      <c r="BL3528">
        <v>0.74</v>
      </c>
      <c r="BM3528">
        <v>-1.65</v>
      </c>
      <c r="BN3528">
        <v>-0.93</v>
      </c>
      <c r="BO3528">
        <v>0.42</v>
      </c>
      <c r="BP3528">
        <v>0.75</v>
      </c>
      <c r="BQ3528">
        <v>-0.99</v>
      </c>
      <c r="BR3528">
        <v>-1.31</v>
      </c>
      <c r="BS3528">
        <v>0</v>
      </c>
      <c r="BT3528">
        <v>0.41</v>
      </c>
      <c r="BU3528">
        <v>-0.33</v>
      </c>
      <c r="BV3528">
        <v>1.25</v>
      </c>
      <c r="BW3528">
        <v>-0.18</v>
      </c>
      <c r="BX3528">
        <v>0.6</v>
      </c>
      <c r="BY3528">
        <v>1.24</v>
      </c>
      <c r="BZ3528">
        <v>-1.71</v>
      </c>
      <c r="CA3528">
        <v>0.56000000000000005</v>
      </c>
      <c r="CB3528">
        <v>0.19</v>
      </c>
      <c r="CC3528">
        <v>0.84</v>
      </c>
      <c r="CD3528">
        <v>-0.52</v>
      </c>
      <c r="CE3528">
        <v>0.37</v>
      </c>
      <c r="CF3528">
        <v>-0.32</v>
      </c>
      <c r="CG3528">
        <v>0</v>
      </c>
      <c r="CH3528">
        <v>-0.12</v>
      </c>
      <c r="CI3528">
        <v>0</v>
      </c>
      <c r="CJ3528">
        <v>2.9</v>
      </c>
      <c r="CK3528">
        <v>62</v>
      </c>
      <c r="CL3528">
        <v>-0.7</v>
      </c>
      <c r="CM3528">
        <v>58</v>
      </c>
      <c r="CN3528">
        <v>0</v>
      </c>
      <c r="CO3528">
        <v>54</v>
      </c>
      <c r="CP3528">
        <v>-3.9</v>
      </c>
      <c r="CQ3528">
        <v>49</v>
      </c>
      <c r="CR3528">
        <v>0</v>
      </c>
      <c r="CS3528">
        <v>0</v>
      </c>
      <c r="CT3528">
        <v>-1.1000000000000001</v>
      </c>
      <c r="CU3528">
        <v>43</v>
      </c>
      <c r="CV3528">
        <v>0.37</v>
      </c>
      <c r="CW3528">
        <v>16</v>
      </c>
      <c r="CX3528" t="s">
        <v>6708</v>
      </c>
    </row>
    <row r="3529" spans="1:102" x14ac:dyDescent="0.3">
      <c r="A3529" t="str">
        <f>HYPERLINK("https://webapp.icbf.com/v2/app/bull-search/view/1456848370","S3179")</f>
        <v>S3179</v>
      </c>
      <c r="B3529" t="s">
        <v>2300</v>
      </c>
      <c r="C3529" t="s">
        <v>2301</v>
      </c>
      <c r="D3529" s="1">
        <v>41548</v>
      </c>
      <c r="E3529" t="s">
        <v>92</v>
      </c>
      <c r="F3529">
        <v>100</v>
      </c>
      <c r="G3529" t="s">
        <v>109</v>
      </c>
      <c r="H3529">
        <v>-42.91</v>
      </c>
      <c r="I3529">
        <v>65</v>
      </c>
      <c r="J3529">
        <v>15.01</v>
      </c>
      <c r="K3529">
        <v>86</v>
      </c>
      <c r="L3529">
        <v>-36.11</v>
      </c>
      <c r="M3529">
        <v>68</v>
      </c>
      <c r="N3529">
        <v>-9.57</v>
      </c>
      <c r="O3529">
        <v>46</v>
      </c>
      <c r="P3529">
        <v>-3.82</v>
      </c>
      <c r="Q3529">
        <v>35</v>
      </c>
      <c r="R3529">
        <v>-2.62</v>
      </c>
      <c r="S3529">
        <v>61</v>
      </c>
      <c r="T3529">
        <v>-6.67</v>
      </c>
      <c r="U3529">
        <v>35</v>
      </c>
      <c r="V3529">
        <v>0.87</v>
      </c>
      <c r="W3529">
        <v>46</v>
      </c>
      <c r="X3529" t="s">
        <v>102</v>
      </c>
      <c r="Y3529" t="s">
        <v>453</v>
      </c>
      <c r="Z3529" t="s">
        <v>96</v>
      </c>
      <c r="AA3529" t="s">
        <v>2302</v>
      </c>
      <c r="AB3529" t="s">
        <v>2303</v>
      </c>
      <c r="AC3529">
        <v>0</v>
      </c>
      <c r="AD3529">
        <v>0</v>
      </c>
      <c r="AE3529">
        <v>86</v>
      </c>
      <c r="AF3529">
        <v>269.55</v>
      </c>
      <c r="AG3529">
        <v>5.17</v>
      </c>
      <c r="AH3529">
        <v>4.8499999999999996</v>
      </c>
      <c r="AI3529">
        <v>-0.09</v>
      </c>
      <c r="AJ3529">
        <v>-7.0000000000000007E-2</v>
      </c>
      <c r="AK3529">
        <v>68</v>
      </c>
      <c r="AL3529">
        <v>0</v>
      </c>
      <c r="AM3529">
        <v>0</v>
      </c>
      <c r="AN3529">
        <v>3.51</v>
      </c>
      <c r="AO3529">
        <v>0.65</v>
      </c>
      <c r="AP3529">
        <v>6</v>
      </c>
      <c r="AQ3529">
        <v>0</v>
      </c>
      <c r="AR3529">
        <v>8.9499999999999993</v>
      </c>
      <c r="AS3529">
        <v>42</v>
      </c>
      <c r="AT3529">
        <v>4.46</v>
      </c>
      <c r="AU3529">
        <v>82</v>
      </c>
      <c r="AV3529">
        <v>-1.1000000000000001</v>
      </c>
      <c r="AW3529">
        <v>35</v>
      </c>
      <c r="AX3529">
        <v>0.1</v>
      </c>
      <c r="AY3529">
        <v>37</v>
      </c>
      <c r="AZ3529">
        <v>6.25</v>
      </c>
      <c r="BA3529">
        <v>27</v>
      </c>
      <c r="BB3529">
        <v>5.22</v>
      </c>
      <c r="BC3529">
        <v>29</v>
      </c>
      <c r="BD3529">
        <v>0.02</v>
      </c>
      <c r="BE3529">
        <v>0.03</v>
      </c>
      <c r="BF3529">
        <v>-0.03</v>
      </c>
      <c r="BG3529">
        <v>79</v>
      </c>
      <c r="BH3529">
        <v>0.02</v>
      </c>
      <c r="BI3529">
        <v>-0.49</v>
      </c>
      <c r="BJ3529">
        <v>0</v>
      </c>
      <c r="BK3529">
        <v>0</v>
      </c>
      <c r="BL3529">
        <v>1.23</v>
      </c>
      <c r="BM3529">
        <v>0.62</v>
      </c>
      <c r="BN3529">
        <v>1.44</v>
      </c>
      <c r="BO3529">
        <v>1.02</v>
      </c>
      <c r="BP3529">
        <v>0.3</v>
      </c>
      <c r="BQ3529">
        <v>1.33</v>
      </c>
      <c r="BR3529">
        <v>-1.33</v>
      </c>
      <c r="BS3529">
        <v>2.5499999999999998</v>
      </c>
      <c r="BT3529">
        <v>1.38</v>
      </c>
      <c r="BU3529">
        <v>2.6</v>
      </c>
      <c r="BV3529">
        <v>1.97</v>
      </c>
      <c r="BW3529">
        <v>0.42</v>
      </c>
      <c r="BX3529">
        <v>1.89</v>
      </c>
      <c r="BY3529">
        <v>2.5299999999999998</v>
      </c>
      <c r="BZ3529">
        <v>1.68</v>
      </c>
      <c r="CA3529">
        <v>1.64</v>
      </c>
      <c r="CB3529">
        <v>1.63</v>
      </c>
      <c r="CC3529">
        <v>1.31</v>
      </c>
      <c r="CD3529">
        <v>-0.39</v>
      </c>
      <c r="CE3529">
        <v>0.48</v>
      </c>
      <c r="CF3529">
        <v>0.25</v>
      </c>
      <c r="CG3529">
        <v>0</v>
      </c>
      <c r="CH3529">
        <v>2.73</v>
      </c>
      <c r="CI3529">
        <v>0</v>
      </c>
      <c r="CJ3529">
        <v>-0.4</v>
      </c>
      <c r="CK3529">
        <v>35</v>
      </c>
      <c r="CL3529">
        <v>-0.95</v>
      </c>
      <c r="CM3529">
        <v>35</v>
      </c>
      <c r="CN3529">
        <v>-0.47</v>
      </c>
      <c r="CO3529">
        <v>35</v>
      </c>
      <c r="CP3529">
        <v>6.9</v>
      </c>
      <c r="CQ3529">
        <v>35</v>
      </c>
      <c r="CR3529">
        <v>0</v>
      </c>
      <c r="CS3529">
        <v>0</v>
      </c>
      <c r="CT3529">
        <v>22.8</v>
      </c>
      <c r="CU3529">
        <v>35</v>
      </c>
      <c r="CV3529">
        <v>0.11</v>
      </c>
      <c r="CW3529">
        <v>32</v>
      </c>
      <c r="CX3529" t="s">
        <v>2304</v>
      </c>
    </row>
    <row r="3530" spans="1:102" x14ac:dyDescent="0.3">
      <c r="A3530" t="str">
        <f>HYPERLINK("https://webapp.icbf.com/v2/app/bull-search/view/73497129","JRF")</f>
        <v>JRF</v>
      </c>
      <c r="B3530" t="s">
        <v>7758</v>
      </c>
      <c r="C3530" t="s">
        <v>7759</v>
      </c>
      <c r="D3530" s="1">
        <v>33721</v>
      </c>
      <c r="E3530" t="s">
        <v>92</v>
      </c>
      <c r="F3530">
        <v>100</v>
      </c>
      <c r="G3530" t="s">
        <v>93</v>
      </c>
      <c r="H3530">
        <v>-43.02</v>
      </c>
      <c r="I3530">
        <v>82</v>
      </c>
      <c r="J3530">
        <v>-4.58</v>
      </c>
      <c r="K3530">
        <v>94</v>
      </c>
      <c r="L3530">
        <v>1.71</v>
      </c>
      <c r="M3530">
        <v>82</v>
      </c>
      <c r="N3530">
        <v>-41.34</v>
      </c>
      <c r="O3530">
        <v>66</v>
      </c>
      <c r="P3530">
        <v>-8.34</v>
      </c>
      <c r="Q3530">
        <v>82</v>
      </c>
      <c r="R3530">
        <v>1.74</v>
      </c>
      <c r="S3530">
        <v>68</v>
      </c>
      <c r="T3530">
        <v>7.54</v>
      </c>
      <c r="U3530">
        <v>80</v>
      </c>
      <c r="V3530">
        <v>0.25</v>
      </c>
      <c r="W3530">
        <v>38</v>
      </c>
      <c r="X3530" t="s">
        <v>110</v>
      </c>
      <c r="Y3530" t="s">
        <v>95</v>
      </c>
      <c r="Z3530" t="s">
        <v>96</v>
      </c>
      <c r="AA3530" t="s">
        <v>99</v>
      </c>
      <c r="AB3530" t="s">
        <v>7760</v>
      </c>
      <c r="AC3530">
        <v>66</v>
      </c>
      <c r="AD3530">
        <v>44</v>
      </c>
      <c r="AE3530">
        <v>94</v>
      </c>
      <c r="AF3530">
        <v>-161.18</v>
      </c>
      <c r="AG3530">
        <v>-1.94</v>
      </c>
      <c r="AH3530">
        <v>-2.56</v>
      </c>
      <c r="AI3530">
        <v>7.0000000000000007E-2</v>
      </c>
      <c r="AJ3530">
        <v>0.05</v>
      </c>
      <c r="AK3530">
        <v>82</v>
      </c>
      <c r="AL3530">
        <v>65</v>
      </c>
      <c r="AM3530">
        <v>30</v>
      </c>
      <c r="AN3530">
        <v>1.76</v>
      </c>
      <c r="AO3530">
        <v>1.92</v>
      </c>
      <c r="AP3530">
        <v>7</v>
      </c>
      <c r="AQ3530">
        <v>0</v>
      </c>
      <c r="AR3530">
        <v>13.38</v>
      </c>
      <c r="AS3530">
        <v>50</v>
      </c>
      <c r="AT3530">
        <v>6.05</v>
      </c>
      <c r="AU3530">
        <v>62</v>
      </c>
      <c r="AV3530">
        <v>-1.03</v>
      </c>
      <c r="AW3530">
        <v>73</v>
      </c>
      <c r="AX3530">
        <v>-0.32</v>
      </c>
      <c r="AY3530">
        <v>76</v>
      </c>
      <c r="AZ3530">
        <v>5.2</v>
      </c>
      <c r="BA3530">
        <v>50</v>
      </c>
      <c r="BB3530">
        <v>4.3600000000000003</v>
      </c>
      <c r="BC3530">
        <v>55</v>
      </c>
      <c r="BD3530">
        <v>-0.03</v>
      </c>
      <c r="BE3530">
        <v>0</v>
      </c>
      <c r="BF3530">
        <v>0.01</v>
      </c>
      <c r="BG3530">
        <v>85</v>
      </c>
      <c r="BH3530">
        <v>-0.11</v>
      </c>
      <c r="BI3530">
        <v>-13.52</v>
      </c>
      <c r="BJ3530">
        <v>17</v>
      </c>
      <c r="BK3530">
        <v>12</v>
      </c>
      <c r="BL3530">
        <v>0.03</v>
      </c>
      <c r="BM3530">
        <v>-1.2</v>
      </c>
      <c r="BN3530">
        <v>0.82</v>
      </c>
      <c r="BO3530">
        <v>0.97</v>
      </c>
      <c r="BP3530">
        <v>-0.72</v>
      </c>
      <c r="BQ3530">
        <v>-0.98</v>
      </c>
      <c r="BR3530">
        <v>0.46</v>
      </c>
      <c r="BS3530">
        <v>1.33</v>
      </c>
      <c r="BT3530">
        <v>0.25</v>
      </c>
      <c r="BU3530">
        <v>-0.27</v>
      </c>
      <c r="BV3530">
        <v>0.14000000000000001</v>
      </c>
      <c r="BW3530">
        <v>1.35</v>
      </c>
      <c r="BX3530">
        <v>-0.54</v>
      </c>
      <c r="BY3530">
        <v>0.84</v>
      </c>
      <c r="BZ3530">
        <v>-1.18</v>
      </c>
      <c r="CA3530">
        <v>0.89</v>
      </c>
      <c r="CB3530">
        <v>0.6</v>
      </c>
      <c r="CC3530">
        <v>1.23</v>
      </c>
      <c r="CD3530">
        <v>-1.35</v>
      </c>
      <c r="CE3530">
        <v>0.4</v>
      </c>
      <c r="CF3530">
        <v>-0.17</v>
      </c>
      <c r="CG3530">
        <v>0</v>
      </c>
      <c r="CH3530">
        <v>0.43</v>
      </c>
      <c r="CI3530">
        <v>0</v>
      </c>
      <c r="CJ3530">
        <v>-1.7</v>
      </c>
      <c r="CK3530">
        <v>83</v>
      </c>
      <c r="CL3530">
        <v>-0.7</v>
      </c>
      <c r="CM3530">
        <v>81</v>
      </c>
      <c r="CN3530">
        <v>-0.17</v>
      </c>
      <c r="CO3530">
        <v>78</v>
      </c>
      <c r="CP3530">
        <v>-5.0999999999999996</v>
      </c>
      <c r="CQ3530">
        <v>87</v>
      </c>
      <c r="CR3530">
        <v>0</v>
      </c>
      <c r="CS3530">
        <v>0</v>
      </c>
      <c r="CT3530">
        <v>3.6</v>
      </c>
      <c r="CU3530">
        <v>80</v>
      </c>
      <c r="CV3530">
        <v>0.18</v>
      </c>
      <c r="CW3530">
        <v>24</v>
      </c>
      <c r="CX3530" t="s">
        <v>7420</v>
      </c>
    </row>
    <row r="3531" spans="1:102" x14ac:dyDescent="0.3">
      <c r="A3531" t="str">
        <f>HYPERLINK("https://webapp.icbf.com/v2/app/bull-search/view/378257902","OKN")</f>
        <v>OKN</v>
      </c>
      <c r="B3531" t="s">
        <v>11849</v>
      </c>
      <c r="C3531" t="s">
        <v>11850</v>
      </c>
      <c r="D3531" s="1">
        <v>36063</v>
      </c>
      <c r="E3531" t="s">
        <v>92</v>
      </c>
      <c r="F3531">
        <v>100</v>
      </c>
      <c r="G3531" t="s">
        <v>93</v>
      </c>
      <c r="H3531">
        <v>-43.06</v>
      </c>
      <c r="I3531">
        <v>95</v>
      </c>
      <c r="J3531">
        <v>25.53</v>
      </c>
      <c r="K3531">
        <v>99</v>
      </c>
      <c r="L3531">
        <v>-59.23</v>
      </c>
      <c r="M3531">
        <v>93</v>
      </c>
      <c r="N3531">
        <v>-21.62</v>
      </c>
      <c r="O3531">
        <v>95</v>
      </c>
      <c r="P3531">
        <v>-6.32</v>
      </c>
      <c r="Q3531">
        <v>97</v>
      </c>
      <c r="R3531">
        <v>7.2</v>
      </c>
      <c r="S3531">
        <v>90</v>
      </c>
      <c r="T3531">
        <v>11.68</v>
      </c>
      <c r="U3531">
        <v>93</v>
      </c>
      <c r="V3531">
        <v>-0.3</v>
      </c>
      <c r="W3531">
        <v>89</v>
      </c>
      <c r="X3531" t="s">
        <v>94</v>
      </c>
      <c r="Y3531" t="s">
        <v>95</v>
      </c>
      <c r="Z3531" t="s">
        <v>96</v>
      </c>
      <c r="AA3531" t="s">
        <v>291</v>
      </c>
      <c r="AB3531" t="s">
        <v>11851</v>
      </c>
      <c r="AC3531">
        <v>378</v>
      </c>
      <c r="AD3531">
        <v>104</v>
      </c>
      <c r="AE3531">
        <v>99</v>
      </c>
      <c r="AF3531">
        <v>333.78</v>
      </c>
      <c r="AG3531">
        <v>7.04</v>
      </c>
      <c r="AH3531">
        <v>6.96</v>
      </c>
      <c r="AI3531">
        <v>-0.1</v>
      </c>
      <c r="AJ3531">
        <v>-7.0000000000000007E-2</v>
      </c>
      <c r="AK3531">
        <v>93</v>
      </c>
      <c r="AL3531">
        <v>396</v>
      </c>
      <c r="AM3531">
        <v>116</v>
      </c>
      <c r="AN3531">
        <v>5.03</v>
      </c>
      <c r="AO3531">
        <v>0.33</v>
      </c>
      <c r="AP3531">
        <v>756</v>
      </c>
      <c r="AQ3531">
        <v>1</v>
      </c>
      <c r="AR3531">
        <v>12.24</v>
      </c>
      <c r="AS3531">
        <v>95</v>
      </c>
      <c r="AT3531">
        <v>3.87</v>
      </c>
      <c r="AU3531">
        <v>98</v>
      </c>
      <c r="AV3531">
        <v>0.05</v>
      </c>
      <c r="AW3531">
        <v>98</v>
      </c>
      <c r="AX3531">
        <v>1</v>
      </c>
      <c r="AY3531">
        <v>93</v>
      </c>
      <c r="AZ3531">
        <v>5.45</v>
      </c>
      <c r="BA3531">
        <v>84</v>
      </c>
      <c r="BB3531">
        <v>4.6399999999999997</v>
      </c>
      <c r="BC3531">
        <v>84</v>
      </c>
      <c r="BD3531">
        <v>-7.0000000000000007E-2</v>
      </c>
      <c r="BE3531">
        <v>-0.01</v>
      </c>
      <c r="BF3531">
        <v>-0.03</v>
      </c>
      <c r="BG3531">
        <v>96</v>
      </c>
      <c r="BH3531">
        <v>0.06</v>
      </c>
      <c r="BI3531">
        <v>7.9</v>
      </c>
      <c r="BJ3531">
        <v>65</v>
      </c>
      <c r="BK3531">
        <v>18</v>
      </c>
      <c r="BL3531">
        <v>-0.04</v>
      </c>
      <c r="BM3531">
        <v>-1.93</v>
      </c>
      <c r="BN3531">
        <v>-1.79</v>
      </c>
      <c r="BO3531">
        <v>-0.02</v>
      </c>
      <c r="BP3531">
        <v>1.58</v>
      </c>
      <c r="BQ3531">
        <v>0.08</v>
      </c>
      <c r="BR3531">
        <v>0.26</v>
      </c>
      <c r="BS3531">
        <v>0.04</v>
      </c>
      <c r="BT3531">
        <v>-0.21</v>
      </c>
      <c r="BU3531">
        <v>-0.11</v>
      </c>
      <c r="BV3531">
        <v>1.1299999999999999</v>
      </c>
      <c r="BW3531">
        <v>1.61</v>
      </c>
      <c r="BX3531">
        <v>0.14000000000000001</v>
      </c>
      <c r="BY3531">
        <v>1.49</v>
      </c>
      <c r="BZ3531">
        <v>-1.47</v>
      </c>
      <c r="CA3531">
        <v>0.65</v>
      </c>
      <c r="CB3531">
        <v>0.65</v>
      </c>
      <c r="CC3531">
        <v>0.13</v>
      </c>
      <c r="CD3531">
        <v>-0.31</v>
      </c>
      <c r="CE3531">
        <v>0.38</v>
      </c>
      <c r="CF3531">
        <v>-0.84</v>
      </c>
      <c r="CG3531">
        <v>0</v>
      </c>
      <c r="CH3531">
        <v>1.36</v>
      </c>
      <c r="CI3531">
        <v>0</v>
      </c>
      <c r="CJ3531">
        <v>-0.7</v>
      </c>
      <c r="CK3531">
        <v>97</v>
      </c>
      <c r="CL3531">
        <v>-0.53</v>
      </c>
      <c r="CM3531">
        <v>96</v>
      </c>
      <c r="CN3531">
        <v>-7.0000000000000007E-2</v>
      </c>
      <c r="CO3531">
        <v>96</v>
      </c>
      <c r="CP3531">
        <v>-4.7</v>
      </c>
      <c r="CQ3531">
        <v>97</v>
      </c>
      <c r="CR3531">
        <v>0</v>
      </c>
      <c r="CS3531">
        <v>0</v>
      </c>
      <c r="CT3531">
        <v>-2</v>
      </c>
      <c r="CU3531">
        <v>93</v>
      </c>
      <c r="CV3531">
        <v>0.06</v>
      </c>
      <c r="CW3531">
        <v>45</v>
      </c>
      <c r="CX3531" t="s">
        <v>207</v>
      </c>
    </row>
    <row r="3532" spans="1:102" x14ac:dyDescent="0.3">
      <c r="A3532" t="str">
        <f>HYPERLINK("https://webapp.icbf.com/v2/app/bull-search/view/384097907","RCU")</f>
        <v>RCU</v>
      </c>
      <c r="B3532" t="s">
        <v>11885</v>
      </c>
      <c r="C3532" t="s">
        <v>11886</v>
      </c>
      <c r="D3532" s="1">
        <v>36503</v>
      </c>
      <c r="E3532" t="s">
        <v>92</v>
      </c>
      <c r="F3532">
        <v>100</v>
      </c>
      <c r="G3532" t="s">
        <v>93</v>
      </c>
      <c r="H3532">
        <v>-43.24</v>
      </c>
      <c r="I3532">
        <v>97</v>
      </c>
      <c r="J3532">
        <v>18.48</v>
      </c>
      <c r="K3532">
        <v>99</v>
      </c>
      <c r="L3532">
        <v>-66.709999999999994</v>
      </c>
      <c r="M3532">
        <v>95</v>
      </c>
      <c r="N3532">
        <v>6.27</v>
      </c>
      <c r="O3532">
        <v>98</v>
      </c>
      <c r="P3532">
        <v>-5.97</v>
      </c>
      <c r="Q3532">
        <v>99</v>
      </c>
      <c r="R3532">
        <v>10.61</v>
      </c>
      <c r="S3532">
        <v>96</v>
      </c>
      <c r="T3532">
        <v>-6.45</v>
      </c>
      <c r="U3532">
        <v>99</v>
      </c>
      <c r="V3532">
        <v>0.53</v>
      </c>
      <c r="W3532">
        <v>96</v>
      </c>
      <c r="X3532" t="s">
        <v>94</v>
      </c>
      <c r="Y3532" t="s">
        <v>1215</v>
      </c>
      <c r="Z3532" t="s">
        <v>96</v>
      </c>
      <c r="AA3532" t="s">
        <v>311</v>
      </c>
      <c r="AB3532" t="s">
        <v>5151</v>
      </c>
      <c r="AC3532">
        <v>1559</v>
      </c>
      <c r="AD3532">
        <v>446</v>
      </c>
      <c r="AE3532">
        <v>99</v>
      </c>
      <c r="AF3532">
        <v>208.41</v>
      </c>
      <c r="AG3532">
        <v>6.68</v>
      </c>
      <c r="AH3532">
        <v>3.97</v>
      </c>
      <c r="AI3532">
        <v>-0.02</v>
      </c>
      <c r="AJ3532">
        <v>-0.05</v>
      </c>
      <c r="AK3532">
        <v>95</v>
      </c>
      <c r="AL3532">
        <v>1444</v>
      </c>
      <c r="AM3532">
        <v>491</v>
      </c>
      <c r="AN3532">
        <v>3.65</v>
      </c>
      <c r="AO3532">
        <v>-1.67</v>
      </c>
      <c r="AP3532">
        <v>3178</v>
      </c>
      <c r="AQ3532">
        <v>9</v>
      </c>
      <c r="AR3532">
        <v>9.66</v>
      </c>
      <c r="AS3532">
        <v>97</v>
      </c>
      <c r="AT3532">
        <v>4.3099999999999996</v>
      </c>
      <c r="AU3532">
        <v>99</v>
      </c>
      <c r="AV3532">
        <v>-2.34</v>
      </c>
      <c r="AW3532">
        <v>99</v>
      </c>
      <c r="AX3532">
        <v>-0.28000000000000003</v>
      </c>
      <c r="AY3532">
        <v>98</v>
      </c>
      <c r="AZ3532">
        <v>5.17</v>
      </c>
      <c r="BA3532">
        <v>95</v>
      </c>
      <c r="BB3532">
        <v>4.33</v>
      </c>
      <c r="BC3532">
        <v>95</v>
      </c>
      <c r="BD3532">
        <v>-0.06</v>
      </c>
      <c r="BE3532">
        <v>-0.06</v>
      </c>
      <c r="BF3532">
        <v>-0.03</v>
      </c>
      <c r="BG3532">
        <v>99</v>
      </c>
      <c r="BH3532">
        <v>-0.05</v>
      </c>
      <c r="BI3532">
        <v>-7.48</v>
      </c>
      <c r="BJ3532">
        <v>627</v>
      </c>
      <c r="BK3532">
        <v>202</v>
      </c>
      <c r="BL3532">
        <v>1.0900000000000001</v>
      </c>
      <c r="BM3532">
        <v>0.41</v>
      </c>
      <c r="BN3532">
        <v>1.19</v>
      </c>
      <c r="BO3532">
        <v>0.84</v>
      </c>
      <c r="BP3532">
        <v>1.79</v>
      </c>
      <c r="BQ3532">
        <v>0.8</v>
      </c>
      <c r="BR3532">
        <v>-0.9</v>
      </c>
      <c r="BS3532">
        <v>1.56</v>
      </c>
      <c r="BT3532">
        <v>1.22</v>
      </c>
      <c r="BU3532">
        <v>1.66</v>
      </c>
      <c r="BV3532">
        <v>1.72</v>
      </c>
      <c r="BW3532">
        <v>1.46</v>
      </c>
      <c r="BX3532">
        <v>0.76</v>
      </c>
      <c r="BY3532">
        <v>0.27</v>
      </c>
      <c r="BZ3532">
        <v>0.54</v>
      </c>
      <c r="CA3532">
        <v>1.77</v>
      </c>
      <c r="CB3532">
        <v>1.5</v>
      </c>
      <c r="CC3532">
        <v>1.63</v>
      </c>
      <c r="CD3532">
        <v>0.18</v>
      </c>
      <c r="CE3532">
        <v>0.83</v>
      </c>
      <c r="CF3532">
        <v>1.48</v>
      </c>
      <c r="CG3532">
        <v>0</v>
      </c>
      <c r="CH3532">
        <v>0.28000000000000003</v>
      </c>
      <c r="CI3532">
        <v>0</v>
      </c>
      <c r="CJ3532">
        <v>-1.7</v>
      </c>
      <c r="CK3532">
        <v>99</v>
      </c>
      <c r="CL3532">
        <v>-1.23</v>
      </c>
      <c r="CM3532">
        <v>99</v>
      </c>
      <c r="CN3532">
        <v>-0.7</v>
      </c>
      <c r="CO3532">
        <v>99</v>
      </c>
      <c r="CP3532">
        <v>5.8</v>
      </c>
      <c r="CQ3532">
        <v>99</v>
      </c>
      <c r="CR3532">
        <v>0</v>
      </c>
      <c r="CS3532">
        <v>0</v>
      </c>
      <c r="CT3532">
        <v>22.5</v>
      </c>
      <c r="CU3532">
        <v>99</v>
      </c>
      <c r="CV3532">
        <v>0.24</v>
      </c>
      <c r="CW3532">
        <v>46</v>
      </c>
      <c r="CX3532" t="s">
        <v>989</v>
      </c>
    </row>
    <row r="3533" spans="1:102" x14ac:dyDescent="0.3">
      <c r="A3533" t="str">
        <f>HYPERLINK("https://webapp.icbf.com/v2/app/bull-search/view/572111049","SJX")</f>
        <v>SJX</v>
      </c>
      <c r="B3533" t="s">
        <v>7074</v>
      </c>
      <c r="C3533" t="s">
        <v>7075</v>
      </c>
      <c r="D3533" s="1">
        <v>37169</v>
      </c>
      <c r="E3533" t="s">
        <v>140</v>
      </c>
      <c r="F3533">
        <v>0</v>
      </c>
      <c r="G3533" t="s">
        <v>109</v>
      </c>
      <c r="H3533">
        <v>-43.35</v>
      </c>
      <c r="I3533">
        <v>74</v>
      </c>
      <c r="J3533">
        <v>-12.13</v>
      </c>
      <c r="K3533">
        <v>87</v>
      </c>
      <c r="L3533">
        <v>17.95</v>
      </c>
      <c r="M3533">
        <v>66</v>
      </c>
      <c r="N3533">
        <v>-57.22</v>
      </c>
      <c r="O3533">
        <v>70</v>
      </c>
      <c r="P3533">
        <v>11.59</v>
      </c>
      <c r="Q3533">
        <v>78</v>
      </c>
      <c r="R3533">
        <v>1.78</v>
      </c>
      <c r="S3533">
        <v>66</v>
      </c>
      <c r="T3533">
        <v>10.27</v>
      </c>
      <c r="U3533">
        <v>60</v>
      </c>
      <c r="V3533">
        <v>-15.59</v>
      </c>
      <c r="W3533">
        <v>59</v>
      </c>
      <c r="X3533" t="s">
        <v>251</v>
      </c>
      <c r="Y3533" t="s">
        <v>270</v>
      </c>
      <c r="Z3533">
        <v>0</v>
      </c>
      <c r="AA3533" t="s">
        <v>1585</v>
      </c>
      <c r="AB3533" t="s">
        <v>7076</v>
      </c>
      <c r="AC3533">
        <v>0</v>
      </c>
      <c r="AD3533">
        <v>0</v>
      </c>
      <c r="AE3533">
        <v>87</v>
      </c>
      <c r="AF3533">
        <v>-16.03</v>
      </c>
      <c r="AG3533">
        <v>-0.53</v>
      </c>
      <c r="AH3533">
        <v>-2.12</v>
      </c>
      <c r="AI3533">
        <v>0</v>
      </c>
      <c r="AJ3533">
        <v>-0.03</v>
      </c>
      <c r="AK3533">
        <v>66</v>
      </c>
      <c r="AL3533">
        <v>10</v>
      </c>
      <c r="AM3533">
        <v>6</v>
      </c>
      <c r="AN3533">
        <v>0.43</v>
      </c>
      <c r="AO3533">
        <v>1.88</v>
      </c>
      <c r="AP3533">
        <v>36</v>
      </c>
      <c r="AQ3533">
        <v>1</v>
      </c>
      <c r="AR3533">
        <v>10.95</v>
      </c>
      <c r="AS3533">
        <v>59</v>
      </c>
      <c r="AT3533">
        <v>5.49</v>
      </c>
      <c r="AU3533">
        <v>70</v>
      </c>
      <c r="AV3533">
        <v>3.48</v>
      </c>
      <c r="AW3533">
        <v>82</v>
      </c>
      <c r="AX3533">
        <v>0.28999999999999998</v>
      </c>
      <c r="AY3533">
        <v>60</v>
      </c>
      <c r="AZ3533">
        <v>4.8099999999999996</v>
      </c>
      <c r="BA3533">
        <v>50</v>
      </c>
      <c r="BB3533">
        <v>3.64</v>
      </c>
      <c r="BC3533">
        <v>53</v>
      </c>
      <c r="BD3533">
        <v>0.03</v>
      </c>
      <c r="BE3533">
        <v>0.01</v>
      </c>
      <c r="BF3533">
        <v>-0.11</v>
      </c>
      <c r="BG3533">
        <v>72</v>
      </c>
      <c r="BH3533">
        <v>-0.34</v>
      </c>
      <c r="BI3533">
        <v>10.95</v>
      </c>
      <c r="BJ3533">
        <v>0</v>
      </c>
      <c r="BK3533">
        <v>0</v>
      </c>
      <c r="BL3533">
        <v>-0.98</v>
      </c>
      <c r="BM3533">
        <v>3.68</v>
      </c>
      <c r="BN3533">
        <v>-1.7</v>
      </c>
      <c r="BO3533">
        <v>-3.21</v>
      </c>
      <c r="BP3533">
        <v>4.1100000000000003</v>
      </c>
      <c r="BQ3533">
        <v>-2.25</v>
      </c>
      <c r="BR3533">
        <v>-2.64</v>
      </c>
      <c r="BS3533">
        <v>-0.34</v>
      </c>
      <c r="BT3533">
        <v>2.67</v>
      </c>
      <c r="BU3533">
        <v>-3.51</v>
      </c>
      <c r="BV3533">
        <v>-3.95</v>
      </c>
      <c r="BW3533">
        <v>-2.99</v>
      </c>
      <c r="BX3533">
        <v>-2.77</v>
      </c>
      <c r="BY3533">
        <v>-2.13</v>
      </c>
      <c r="BZ3533">
        <v>0.85</v>
      </c>
      <c r="CA3533">
        <v>-2.5099999999999998</v>
      </c>
      <c r="CB3533">
        <v>-3.27</v>
      </c>
      <c r="CC3533">
        <v>-0.27</v>
      </c>
      <c r="CD3533">
        <v>4.0199999999999996</v>
      </c>
      <c r="CE3533">
        <v>-3.07</v>
      </c>
      <c r="CF3533">
        <v>-1.22</v>
      </c>
      <c r="CG3533">
        <v>0</v>
      </c>
      <c r="CH3533">
        <v>-2.95</v>
      </c>
      <c r="CI3533">
        <v>0</v>
      </c>
      <c r="CJ3533">
        <v>3.2</v>
      </c>
      <c r="CK3533">
        <v>80</v>
      </c>
      <c r="CL3533">
        <v>0.45</v>
      </c>
      <c r="CM3533">
        <v>77</v>
      </c>
      <c r="CN3533">
        <v>-0.22</v>
      </c>
      <c r="CO3533">
        <v>75</v>
      </c>
      <c r="CP3533">
        <v>-0.3</v>
      </c>
      <c r="CQ3533">
        <v>69</v>
      </c>
      <c r="CR3533">
        <v>0</v>
      </c>
      <c r="CS3533">
        <v>0</v>
      </c>
      <c r="CT3533">
        <v>-0.1</v>
      </c>
      <c r="CU3533">
        <v>60</v>
      </c>
      <c r="CV3533">
        <v>-0.05</v>
      </c>
      <c r="CW3533">
        <v>41</v>
      </c>
      <c r="CX3533" t="s">
        <v>141</v>
      </c>
    </row>
    <row r="3534" spans="1:102" x14ac:dyDescent="0.3">
      <c r="A3534" t="str">
        <f>HYPERLINK("https://webapp.icbf.com/v2/app/bull-search/view/1267347161","NO2108")</f>
        <v>NO2108</v>
      </c>
      <c r="B3534" t="s">
        <v>10221</v>
      </c>
      <c r="C3534" t="s">
        <v>10222</v>
      </c>
      <c r="D3534" s="1">
        <v>41269</v>
      </c>
      <c r="E3534" t="s">
        <v>197</v>
      </c>
      <c r="F3534">
        <v>0</v>
      </c>
      <c r="G3534" t="s">
        <v>435</v>
      </c>
      <c r="H3534">
        <v>-43.35</v>
      </c>
      <c r="I3534">
        <v>27</v>
      </c>
      <c r="J3534">
        <v>-23.63</v>
      </c>
      <c r="K3534">
        <v>31</v>
      </c>
      <c r="L3534">
        <v>52.17</v>
      </c>
      <c r="M3534">
        <v>11</v>
      </c>
      <c r="N3534">
        <v>-94.97</v>
      </c>
      <c r="O3534">
        <v>59</v>
      </c>
      <c r="P3534">
        <v>-2.2200000000000002</v>
      </c>
      <c r="Q3534">
        <v>54</v>
      </c>
      <c r="R3534">
        <v>-4.8</v>
      </c>
      <c r="S3534">
        <v>8</v>
      </c>
      <c r="T3534">
        <v>33.44</v>
      </c>
      <c r="U3534">
        <v>36</v>
      </c>
      <c r="V3534">
        <v>-3.34</v>
      </c>
      <c r="W3534">
        <v>1</v>
      </c>
      <c r="X3534" t="s">
        <v>198</v>
      </c>
      <c r="Y3534" t="s">
        <v>416</v>
      </c>
      <c r="Z3534">
        <v>0</v>
      </c>
      <c r="AA3534" t="s">
        <v>10223</v>
      </c>
      <c r="AB3534" t="s">
        <v>10224</v>
      </c>
      <c r="AC3534">
        <v>4</v>
      </c>
      <c r="AD3534">
        <v>1</v>
      </c>
      <c r="AE3534">
        <v>31</v>
      </c>
      <c r="AF3534">
        <v>-279.62</v>
      </c>
      <c r="AG3534">
        <v>-3.02</v>
      </c>
      <c r="AH3534">
        <v>-7.23</v>
      </c>
      <c r="AI3534">
        <v>0.14000000000000001</v>
      </c>
      <c r="AJ3534">
        <v>0.04</v>
      </c>
      <c r="AK3534">
        <v>11</v>
      </c>
      <c r="AL3534">
        <v>0</v>
      </c>
      <c r="AM3534">
        <v>0</v>
      </c>
      <c r="AN3534">
        <v>-4.42</v>
      </c>
      <c r="AO3534">
        <v>-0.28000000000000003</v>
      </c>
      <c r="AP3534">
        <v>43</v>
      </c>
      <c r="AQ3534">
        <v>0</v>
      </c>
      <c r="AR3534">
        <v>11.72</v>
      </c>
      <c r="AS3534">
        <v>23</v>
      </c>
      <c r="AT3534">
        <v>9.4700000000000006</v>
      </c>
      <c r="AU3534">
        <v>61</v>
      </c>
      <c r="AV3534">
        <v>0.16</v>
      </c>
      <c r="AW3534">
        <v>85</v>
      </c>
      <c r="AX3534">
        <v>-0.96</v>
      </c>
      <c r="AY3534">
        <v>50</v>
      </c>
      <c r="AZ3534">
        <v>7.02</v>
      </c>
      <c r="BA3534">
        <v>17</v>
      </c>
      <c r="BB3534">
        <v>3.05</v>
      </c>
      <c r="BC3534">
        <v>13</v>
      </c>
      <c r="BD3534">
        <v>0.02</v>
      </c>
      <c r="BE3534">
        <v>0.03</v>
      </c>
      <c r="BF3534">
        <v>0.02</v>
      </c>
      <c r="BG3534">
        <v>9</v>
      </c>
      <c r="BH3534">
        <v>-7.0000000000000007E-2</v>
      </c>
      <c r="BI3534">
        <v>2.68</v>
      </c>
      <c r="BJ3534">
        <v>0</v>
      </c>
      <c r="BK3534">
        <v>0</v>
      </c>
      <c r="BL3534">
        <v>0</v>
      </c>
      <c r="BM3534">
        <v>0</v>
      </c>
      <c r="BN3534">
        <v>0</v>
      </c>
      <c r="BO3534">
        <v>0</v>
      </c>
      <c r="BP3534">
        <v>0</v>
      </c>
      <c r="BQ3534">
        <v>0</v>
      </c>
      <c r="BR3534">
        <v>0</v>
      </c>
      <c r="BS3534">
        <v>0</v>
      </c>
      <c r="BT3534">
        <v>0</v>
      </c>
      <c r="BU3534">
        <v>0</v>
      </c>
      <c r="BV3534">
        <v>0</v>
      </c>
      <c r="BW3534">
        <v>0</v>
      </c>
      <c r="BX3534">
        <v>0</v>
      </c>
      <c r="BY3534">
        <v>0</v>
      </c>
      <c r="BZ3534">
        <v>0</v>
      </c>
      <c r="CA3534">
        <v>0</v>
      </c>
      <c r="CB3534">
        <v>0</v>
      </c>
      <c r="CC3534">
        <v>0</v>
      </c>
      <c r="CD3534">
        <v>0</v>
      </c>
      <c r="CE3534">
        <v>0</v>
      </c>
      <c r="CF3534">
        <v>0</v>
      </c>
      <c r="CG3534">
        <v>0</v>
      </c>
      <c r="CH3534">
        <v>0</v>
      </c>
      <c r="CI3534">
        <v>0</v>
      </c>
      <c r="CJ3534">
        <v>-5.3</v>
      </c>
      <c r="CK3534">
        <v>57</v>
      </c>
      <c r="CL3534">
        <v>0.28999999999999998</v>
      </c>
      <c r="CM3534">
        <v>53</v>
      </c>
      <c r="CN3534">
        <v>-0.31</v>
      </c>
      <c r="CO3534">
        <v>51</v>
      </c>
      <c r="CP3534">
        <v>-10.199999999999999</v>
      </c>
      <c r="CQ3534">
        <v>39</v>
      </c>
      <c r="CR3534">
        <v>0</v>
      </c>
      <c r="CS3534">
        <v>0</v>
      </c>
      <c r="CT3534">
        <v>-31.4</v>
      </c>
      <c r="CU3534">
        <v>36</v>
      </c>
      <c r="CV3534">
        <v>-0.18</v>
      </c>
      <c r="CW3534">
        <v>36</v>
      </c>
      <c r="CX3534" t="s">
        <v>6543</v>
      </c>
    </row>
    <row r="3535" spans="1:102" x14ac:dyDescent="0.3">
      <c r="A3535" t="str">
        <f>HYPERLINK("https://webapp.icbf.com/v2/app/bull-search/view/77859094","CPF")</f>
        <v>CPF</v>
      </c>
      <c r="B3535" t="s">
        <v>11786</v>
      </c>
      <c r="C3535" t="s">
        <v>11787</v>
      </c>
      <c r="D3535" s="1">
        <v>31673</v>
      </c>
      <c r="E3535" t="s">
        <v>92</v>
      </c>
      <c r="F3535">
        <v>100</v>
      </c>
      <c r="G3535" t="s">
        <v>93</v>
      </c>
      <c r="H3535">
        <v>-43.47</v>
      </c>
      <c r="I3535">
        <v>93</v>
      </c>
      <c r="J3535">
        <v>-21.2</v>
      </c>
      <c r="K3535">
        <v>99</v>
      </c>
      <c r="L3535">
        <v>-1.96</v>
      </c>
      <c r="M3535">
        <v>91</v>
      </c>
      <c r="N3535">
        <v>-21.47</v>
      </c>
      <c r="O3535">
        <v>88</v>
      </c>
      <c r="P3535">
        <v>-7.23</v>
      </c>
      <c r="Q3535">
        <v>96</v>
      </c>
      <c r="R3535">
        <v>-0.01</v>
      </c>
      <c r="S3535">
        <v>84</v>
      </c>
      <c r="T3535">
        <v>15.97</v>
      </c>
      <c r="U3535">
        <v>94</v>
      </c>
      <c r="V3535">
        <v>-7.57</v>
      </c>
      <c r="W3535">
        <v>72</v>
      </c>
      <c r="X3535" t="s">
        <v>94</v>
      </c>
      <c r="Y3535" t="s">
        <v>95</v>
      </c>
      <c r="Z3535" t="s">
        <v>96</v>
      </c>
      <c r="AA3535" t="s">
        <v>543</v>
      </c>
      <c r="AB3535" t="s">
        <v>11788</v>
      </c>
      <c r="AC3535">
        <v>503</v>
      </c>
      <c r="AD3535">
        <v>289</v>
      </c>
      <c r="AE3535">
        <v>99</v>
      </c>
      <c r="AF3535">
        <v>96.8</v>
      </c>
      <c r="AG3535">
        <v>5.53</v>
      </c>
      <c r="AH3535">
        <v>-4.08</v>
      </c>
      <c r="AI3535">
        <v>0.03</v>
      </c>
      <c r="AJ3535">
        <v>-0.12</v>
      </c>
      <c r="AK3535">
        <v>91</v>
      </c>
      <c r="AL3535">
        <v>635</v>
      </c>
      <c r="AM3535">
        <v>325</v>
      </c>
      <c r="AN3535">
        <v>1.36</v>
      </c>
      <c r="AO3535">
        <v>1.22</v>
      </c>
      <c r="AP3535">
        <v>23</v>
      </c>
      <c r="AQ3535">
        <v>0</v>
      </c>
      <c r="AR3535">
        <v>7.28</v>
      </c>
      <c r="AS3535">
        <v>66</v>
      </c>
      <c r="AT3535">
        <v>3.29</v>
      </c>
      <c r="AU3535">
        <v>88</v>
      </c>
      <c r="AV3535">
        <v>2.39</v>
      </c>
      <c r="AW3535">
        <v>92</v>
      </c>
      <c r="AX3535">
        <v>-0.16</v>
      </c>
      <c r="AY3535">
        <v>94</v>
      </c>
      <c r="AZ3535">
        <v>5.77</v>
      </c>
      <c r="BA3535">
        <v>69</v>
      </c>
      <c r="BB3535">
        <v>5.65</v>
      </c>
      <c r="BC3535">
        <v>87</v>
      </c>
      <c r="BD3535">
        <v>0.05</v>
      </c>
      <c r="BE3535">
        <v>0.03</v>
      </c>
      <c r="BF3535">
        <v>-0.14000000000000001</v>
      </c>
      <c r="BG3535">
        <v>97</v>
      </c>
      <c r="BH3535">
        <v>-0.12</v>
      </c>
      <c r="BI3535">
        <v>10.54</v>
      </c>
      <c r="BJ3535">
        <v>90</v>
      </c>
      <c r="BK3535">
        <v>63</v>
      </c>
      <c r="BL3535">
        <v>1.36</v>
      </c>
      <c r="BM3535">
        <v>-0.31</v>
      </c>
      <c r="BN3535">
        <v>0.91</v>
      </c>
      <c r="BO3535">
        <v>0.69</v>
      </c>
      <c r="BP3535">
        <v>0.28000000000000003</v>
      </c>
      <c r="BQ3535">
        <v>-0.55000000000000004</v>
      </c>
      <c r="BR3535">
        <v>3.09</v>
      </c>
      <c r="BS3535">
        <v>-4.07</v>
      </c>
      <c r="BT3535">
        <v>-3.37</v>
      </c>
      <c r="BU3535">
        <v>1.44</v>
      </c>
      <c r="BV3535">
        <v>0.75</v>
      </c>
      <c r="BW3535">
        <v>0.3</v>
      </c>
      <c r="BX3535">
        <v>2.2799999999999998</v>
      </c>
      <c r="BY3535">
        <v>-1.07</v>
      </c>
      <c r="BZ3535">
        <v>0.76</v>
      </c>
      <c r="CA3535">
        <v>-0.9</v>
      </c>
      <c r="CB3535">
        <v>0.38</v>
      </c>
      <c r="CC3535">
        <v>-3.06</v>
      </c>
      <c r="CD3535">
        <v>-0.38</v>
      </c>
      <c r="CE3535">
        <v>0.76</v>
      </c>
      <c r="CF3535">
        <v>1.05</v>
      </c>
      <c r="CG3535">
        <v>0</v>
      </c>
      <c r="CH3535">
        <v>-0.95</v>
      </c>
      <c r="CI3535">
        <v>0</v>
      </c>
      <c r="CJ3535">
        <v>-0.7</v>
      </c>
      <c r="CK3535">
        <v>96</v>
      </c>
      <c r="CL3535">
        <v>-0.84</v>
      </c>
      <c r="CM3535">
        <v>95</v>
      </c>
      <c r="CN3535">
        <v>-0.28999999999999998</v>
      </c>
      <c r="CO3535">
        <v>95</v>
      </c>
      <c r="CP3535">
        <v>-6.6</v>
      </c>
      <c r="CQ3535">
        <v>97</v>
      </c>
      <c r="CR3535">
        <v>0</v>
      </c>
      <c r="CS3535">
        <v>0</v>
      </c>
      <c r="CT3535">
        <v>-7.8</v>
      </c>
      <c r="CU3535">
        <v>94</v>
      </c>
      <c r="CV3535">
        <v>0.26</v>
      </c>
      <c r="CW3535">
        <v>28</v>
      </c>
      <c r="CX3535" t="s">
        <v>617</v>
      </c>
    </row>
    <row r="3536" spans="1:102" x14ac:dyDescent="0.3">
      <c r="A3536" t="str">
        <f>HYPERLINK("https://webapp.icbf.com/v2/app/bull-search/view/1361171755","MO2382")</f>
        <v>MO2382</v>
      </c>
      <c r="B3536" t="s">
        <v>13672</v>
      </c>
      <c r="C3536" t="s">
        <v>13673</v>
      </c>
      <c r="D3536" s="1">
        <v>41236</v>
      </c>
      <c r="E3536" t="s">
        <v>140</v>
      </c>
      <c r="F3536">
        <v>0</v>
      </c>
      <c r="G3536" t="s">
        <v>109</v>
      </c>
      <c r="H3536">
        <v>-43.6</v>
      </c>
      <c r="I3536">
        <v>64</v>
      </c>
      <c r="J3536">
        <v>65.08</v>
      </c>
      <c r="K3536">
        <v>86</v>
      </c>
      <c r="L3536">
        <v>-15.89</v>
      </c>
      <c r="M3536">
        <v>53</v>
      </c>
      <c r="N3536">
        <v>-86.54</v>
      </c>
      <c r="O3536">
        <v>63</v>
      </c>
      <c r="P3536">
        <v>7.88</v>
      </c>
      <c r="Q3536">
        <v>52</v>
      </c>
      <c r="R3536">
        <v>2.71</v>
      </c>
      <c r="S3536">
        <v>53</v>
      </c>
      <c r="T3536">
        <v>-1.42</v>
      </c>
      <c r="U3536">
        <v>45</v>
      </c>
      <c r="V3536">
        <v>-15.42</v>
      </c>
      <c r="W3536">
        <v>56</v>
      </c>
      <c r="X3536" t="s">
        <v>94</v>
      </c>
      <c r="Y3536" t="s">
        <v>429</v>
      </c>
      <c r="Z3536">
        <v>0</v>
      </c>
      <c r="AA3536" t="s">
        <v>13674</v>
      </c>
      <c r="AB3536" t="s">
        <v>13675</v>
      </c>
      <c r="AC3536">
        <v>0</v>
      </c>
      <c r="AD3536">
        <v>0</v>
      </c>
      <c r="AE3536">
        <v>86</v>
      </c>
      <c r="AF3536">
        <v>238.7</v>
      </c>
      <c r="AG3536">
        <v>8.5399999999999991</v>
      </c>
      <c r="AH3536">
        <v>11.7</v>
      </c>
      <c r="AI3536">
        <v>-0.01</v>
      </c>
      <c r="AJ3536">
        <v>0.06</v>
      </c>
      <c r="AK3536">
        <v>53</v>
      </c>
      <c r="AL3536">
        <v>0</v>
      </c>
      <c r="AM3536">
        <v>0</v>
      </c>
      <c r="AN3536">
        <v>0.67</v>
      </c>
      <c r="AO3536">
        <v>-0.6</v>
      </c>
      <c r="AP3536">
        <v>38</v>
      </c>
      <c r="AQ3536">
        <v>1</v>
      </c>
      <c r="AR3536">
        <v>12.22</v>
      </c>
      <c r="AS3536">
        <v>40</v>
      </c>
      <c r="AT3536">
        <v>7.02</v>
      </c>
      <c r="AU3536">
        <v>63</v>
      </c>
      <c r="AV3536">
        <v>3.48</v>
      </c>
      <c r="AW3536">
        <v>81</v>
      </c>
      <c r="AX3536">
        <v>1.05</v>
      </c>
      <c r="AY3536">
        <v>58</v>
      </c>
      <c r="AZ3536">
        <v>5.08</v>
      </c>
      <c r="BA3536">
        <v>36</v>
      </c>
      <c r="BB3536">
        <v>3.51</v>
      </c>
      <c r="BC3536">
        <v>32</v>
      </c>
      <c r="BD3536">
        <v>0.04</v>
      </c>
      <c r="BE3536">
        <v>-0.01</v>
      </c>
      <c r="BF3536">
        <v>-0.11</v>
      </c>
      <c r="BG3536">
        <v>58</v>
      </c>
      <c r="BH3536">
        <v>-0.36</v>
      </c>
      <c r="BI3536">
        <v>8.1</v>
      </c>
      <c r="BJ3536">
        <v>0</v>
      </c>
      <c r="BK3536">
        <v>0</v>
      </c>
      <c r="BL3536">
        <v>-0.7</v>
      </c>
      <c r="BM3536">
        <v>3.49</v>
      </c>
      <c r="BN3536">
        <v>-1.52</v>
      </c>
      <c r="BO3536">
        <v>-2.85</v>
      </c>
      <c r="BP3536">
        <v>4.1900000000000004</v>
      </c>
      <c r="BQ3536">
        <v>-1.94</v>
      </c>
      <c r="BR3536">
        <v>-2.61</v>
      </c>
      <c r="BS3536">
        <v>-0.41</v>
      </c>
      <c r="BT3536">
        <v>2.4900000000000002</v>
      </c>
      <c r="BU3536">
        <v>-3.2</v>
      </c>
      <c r="BV3536">
        <v>-3.63</v>
      </c>
      <c r="BW3536">
        <v>-2.77</v>
      </c>
      <c r="BX3536">
        <v>-2.54</v>
      </c>
      <c r="BY3536">
        <v>-1.84</v>
      </c>
      <c r="BZ3536">
        <v>1.0900000000000001</v>
      </c>
      <c r="CA3536">
        <v>-2.2599999999999998</v>
      </c>
      <c r="CB3536">
        <v>-2.93</v>
      </c>
      <c r="CC3536">
        <v>-0.32</v>
      </c>
      <c r="CD3536">
        <v>3.82</v>
      </c>
      <c r="CE3536">
        <v>-2.77</v>
      </c>
      <c r="CF3536">
        <v>-0.91</v>
      </c>
      <c r="CG3536">
        <v>0</v>
      </c>
      <c r="CH3536">
        <v>-2.2999999999999998</v>
      </c>
      <c r="CI3536">
        <v>0</v>
      </c>
      <c r="CJ3536">
        <v>0.5</v>
      </c>
      <c r="CK3536">
        <v>55</v>
      </c>
      <c r="CL3536">
        <v>0.1</v>
      </c>
      <c r="CM3536">
        <v>51</v>
      </c>
      <c r="CN3536">
        <v>-0.39</v>
      </c>
      <c r="CO3536">
        <v>49</v>
      </c>
      <c r="CP3536">
        <v>10.6</v>
      </c>
      <c r="CQ3536">
        <v>43</v>
      </c>
      <c r="CR3536">
        <v>0</v>
      </c>
      <c r="CS3536">
        <v>0</v>
      </c>
      <c r="CT3536">
        <v>15.7</v>
      </c>
      <c r="CU3536">
        <v>45</v>
      </c>
      <c r="CV3536">
        <v>0.14000000000000001</v>
      </c>
      <c r="CW3536">
        <v>36</v>
      </c>
      <c r="CX3536" t="s">
        <v>13499</v>
      </c>
    </row>
    <row r="3537" spans="1:102" x14ac:dyDescent="0.3">
      <c r="A3537" t="str">
        <f>HYPERLINK("https://webapp.icbf.com/v2/app/bull-search/view/77857420","FSR")</f>
        <v>FSR</v>
      </c>
      <c r="B3537" t="s">
        <v>8660</v>
      </c>
      <c r="C3537" t="s">
        <v>8661</v>
      </c>
      <c r="D3537" s="1">
        <v>32488</v>
      </c>
      <c r="E3537" t="s">
        <v>92</v>
      </c>
      <c r="F3537">
        <v>100</v>
      </c>
      <c r="G3537" t="s">
        <v>109</v>
      </c>
      <c r="H3537">
        <v>-43.72</v>
      </c>
      <c r="I3537">
        <v>83</v>
      </c>
      <c r="J3537">
        <v>4.4000000000000004</v>
      </c>
      <c r="K3537">
        <v>95</v>
      </c>
      <c r="L3537">
        <v>-30.89</v>
      </c>
      <c r="M3537">
        <v>87</v>
      </c>
      <c r="N3537">
        <v>-5.79</v>
      </c>
      <c r="O3537">
        <v>65</v>
      </c>
      <c r="P3537">
        <v>-3.57</v>
      </c>
      <c r="Q3537">
        <v>73</v>
      </c>
      <c r="R3537">
        <v>-18.27</v>
      </c>
      <c r="S3537">
        <v>80</v>
      </c>
      <c r="T3537">
        <v>17.3</v>
      </c>
      <c r="U3537">
        <v>65</v>
      </c>
      <c r="V3537">
        <v>-6.9</v>
      </c>
      <c r="W3537">
        <v>67</v>
      </c>
      <c r="X3537" t="s">
        <v>110</v>
      </c>
      <c r="Y3537" t="s">
        <v>95</v>
      </c>
      <c r="Z3537" t="s">
        <v>96</v>
      </c>
      <c r="AA3537" t="s">
        <v>166</v>
      </c>
      <c r="AB3537" t="s">
        <v>8662</v>
      </c>
      <c r="AC3537">
        <v>38</v>
      </c>
      <c r="AD3537">
        <v>23</v>
      </c>
      <c r="AE3537">
        <v>95</v>
      </c>
      <c r="AF3537">
        <v>-89.62</v>
      </c>
      <c r="AG3537">
        <v>0.33</v>
      </c>
      <c r="AH3537">
        <v>-0.74</v>
      </c>
      <c r="AI3537">
        <v>7.0000000000000007E-2</v>
      </c>
      <c r="AJ3537">
        <v>0.04</v>
      </c>
      <c r="AK3537">
        <v>87</v>
      </c>
      <c r="AL3537">
        <v>46</v>
      </c>
      <c r="AM3537">
        <v>23</v>
      </c>
      <c r="AN3537">
        <v>1.1599999999999999</v>
      </c>
      <c r="AO3537">
        <v>-1.31</v>
      </c>
      <c r="AP3537">
        <v>1</v>
      </c>
      <c r="AQ3537">
        <v>0</v>
      </c>
      <c r="AR3537">
        <v>7.55</v>
      </c>
      <c r="AS3537">
        <v>58</v>
      </c>
      <c r="AT3537">
        <v>4.2699999999999996</v>
      </c>
      <c r="AU3537">
        <v>72</v>
      </c>
      <c r="AV3537">
        <v>-0.23</v>
      </c>
      <c r="AW3537">
        <v>63</v>
      </c>
      <c r="AX3537">
        <v>-0.77</v>
      </c>
      <c r="AY3537">
        <v>70</v>
      </c>
      <c r="AZ3537">
        <v>6.64</v>
      </c>
      <c r="BA3537">
        <v>51</v>
      </c>
      <c r="BB3537">
        <v>4.72</v>
      </c>
      <c r="BC3537">
        <v>59</v>
      </c>
      <c r="BD3537">
        <v>0.06</v>
      </c>
      <c r="BE3537">
        <v>0.1</v>
      </c>
      <c r="BF3537">
        <v>0.13</v>
      </c>
      <c r="BG3537">
        <v>92</v>
      </c>
      <c r="BH3537">
        <v>-0.11</v>
      </c>
      <c r="BI3537">
        <v>9.5299999999999994</v>
      </c>
      <c r="BJ3537">
        <v>5</v>
      </c>
      <c r="BK3537">
        <v>5</v>
      </c>
      <c r="BL3537">
        <v>-0.34</v>
      </c>
      <c r="BM3537">
        <v>-0.38</v>
      </c>
      <c r="BN3537">
        <v>-7.0000000000000007E-2</v>
      </c>
      <c r="BO3537">
        <v>-0.05</v>
      </c>
      <c r="BP3537">
        <v>1.37</v>
      </c>
      <c r="BQ3537">
        <v>-1.65</v>
      </c>
      <c r="BR3537">
        <v>0.49</v>
      </c>
      <c r="BS3537">
        <v>0.66</v>
      </c>
      <c r="BT3537">
        <v>-0.87</v>
      </c>
      <c r="BU3537">
        <v>-0.93</v>
      </c>
      <c r="BV3537">
        <v>-1.43</v>
      </c>
      <c r="BW3537">
        <v>-0.68</v>
      </c>
      <c r="BX3537">
        <v>-1.18</v>
      </c>
      <c r="BY3537">
        <v>0.95</v>
      </c>
      <c r="BZ3537">
        <v>1.0900000000000001</v>
      </c>
      <c r="CA3537">
        <v>-0.45</v>
      </c>
      <c r="CB3537">
        <v>-0.53</v>
      </c>
      <c r="CC3537">
        <v>0.66</v>
      </c>
      <c r="CD3537">
        <v>-0.02</v>
      </c>
      <c r="CE3537">
        <v>0.3</v>
      </c>
      <c r="CF3537">
        <v>0.38</v>
      </c>
      <c r="CG3537">
        <v>0</v>
      </c>
      <c r="CH3537">
        <v>0.85</v>
      </c>
      <c r="CI3537">
        <v>0</v>
      </c>
      <c r="CJ3537">
        <v>-2.6</v>
      </c>
      <c r="CK3537">
        <v>74</v>
      </c>
      <c r="CL3537">
        <v>-0.34</v>
      </c>
      <c r="CM3537">
        <v>71</v>
      </c>
      <c r="CN3537">
        <v>-0.42</v>
      </c>
      <c r="CO3537">
        <v>68</v>
      </c>
      <c r="CP3537">
        <v>-9.3000000000000007</v>
      </c>
      <c r="CQ3537">
        <v>77</v>
      </c>
      <c r="CR3537">
        <v>0</v>
      </c>
      <c r="CS3537">
        <v>0</v>
      </c>
      <c r="CT3537">
        <v>-9.6</v>
      </c>
      <c r="CU3537">
        <v>65</v>
      </c>
      <c r="CV3537">
        <v>-0.03</v>
      </c>
      <c r="CW3537">
        <v>40</v>
      </c>
      <c r="CX3537" t="s">
        <v>120</v>
      </c>
    </row>
    <row r="3538" spans="1:102" x14ac:dyDescent="0.3">
      <c r="A3538" t="str">
        <f>HYPERLINK("https://webapp.icbf.com/v2/app/bull-search/view/760394928","S2140")</f>
        <v>S2140</v>
      </c>
      <c r="B3538" t="s">
        <v>5797</v>
      </c>
      <c r="C3538" t="s">
        <v>5798</v>
      </c>
      <c r="D3538" s="1">
        <v>39770</v>
      </c>
      <c r="E3538" t="s">
        <v>92</v>
      </c>
      <c r="F3538">
        <v>100</v>
      </c>
      <c r="G3538" t="s">
        <v>109</v>
      </c>
      <c r="H3538">
        <v>-43.85</v>
      </c>
      <c r="I3538">
        <v>70</v>
      </c>
      <c r="J3538">
        <v>13.76</v>
      </c>
      <c r="K3538">
        <v>86</v>
      </c>
      <c r="L3538">
        <v>-23.82</v>
      </c>
      <c r="M3538">
        <v>81</v>
      </c>
      <c r="N3538">
        <v>-37.31</v>
      </c>
      <c r="O3538">
        <v>61</v>
      </c>
      <c r="P3538">
        <v>-12.95</v>
      </c>
      <c r="Q3538">
        <v>48</v>
      </c>
      <c r="R3538">
        <v>14.42</v>
      </c>
      <c r="S3538">
        <v>60</v>
      </c>
      <c r="T3538">
        <v>1.02</v>
      </c>
      <c r="U3538">
        <v>26</v>
      </c>
      <c r="V3538">
        <v>1.03</v>
      </c>
      <c r="W3538">
        <v>14</v>
      </c>
      <c r="X3538" t="s">
        <v>94</v>
      </c>
      <c r="Y3538" t="s">
        <v>367</v>
      </c>
      <c r="Z3538" t="s">
        <v>96</v>
      </c>
      <c r="AA3538" t="s">
        <v>5799</v>
      </c>
      <c r="AB3538" t="s">
        <v>5800</v>
      </c>
      <c r="AC3538">
        <v>0</v>
      </c>
      <c r="AD3538">
        <v>0</v>
      </c>
      <c r="AE3538">
        <v>86</v>
      </c>
      <c r="AF3538">
        <v>281.43</v>
      </c>
      <c r="AG3538">
        <v>4.7699999999999996</v>
      </c>
      <c r="AH3538">
        <v>4.96</v>
      </c>
      <c r="AI3538">
        <v>-0.1</v>
      </c>
      <c r="AJ3538">
        <v>-7.0000000000000007E-2</v>
      </c>
      <c r="AK3538">
        <v>81</v>
      </c>
      <c r="AL3538">
        <v>0</v>
      </c>
      <c r="AM3538">
        <v>0</v>
      </c>
      <c r="AN3538">
        <v>2.0299999999999998</v>
      </c>
      <c r="AO3538">
        <v>0.14000000000000001</v>
      </c>
      <c r="AP3538">
        <v>36</v>
      </c>
      <c r="AQ3538">
        <v>0</v>
      </c>
      <c r="AR3538">
        <v>10.89</v>
      </c>
      <c r="AS3538">
        <v>16</v>
      </c>
      <c r="AT3538">
        <v>5.13</v>
      </c>
      <c r="AU3538">
        <v>90</v>
      </c>
      <c r="AV3538">
        <v>1.08</v>
      </c>
      <c r="AW3538">
        <v>81</v>
      </c>
      <c r="AX3538">
        <v>0.51</v>
      </c>
      <c r="AY3538">
        <v>18</v>
      </c>
      <c r="AZ3538">
        <v>5.23</v>
      </c>
      <c r="BA3538">
        <v>16</v>
      </c>
      <c r="BB3538">
        <v>4.3899999999999997</v>
      </c>
      <c r="BC3538">
        <v>19</v>
      </c>
      <c r="BD3538">
        <v>-0.04</v>
      </c>
      <c r="BE3538">
        <v>-0.05</v>
      </c>
      <c r="BF3538">
        <v>-0.17</v>
      </c>
      <c r="BG3538">
        <v>89</v>
      </c>
      <c r="BH3538">
        <v>0.03</v>
      </c>
      <c r="BI3538">
        <v>0.15</v>
      </c>
      <c r="BJ3538">
        <v>10</v>
      </c>
      <c r="BK3538">
        <v>2</v>
      </c>
      <c r="BL3538">
        <v>1.41</v>
      </c>
      <c r="BM3538">
        <v>-0.61</v>
      </c>
      <c r="BN3538">
        <v>0.7</v>
      </c>
      <c r="BO3538">
        <v>1.03</v>
      </c>
      <c r="BP3538">
        <v>1.07</v>
      </c>
      <c r="BQ3538">
        <v>1.36</v>
      </c>
      <c r="BR3538">
        <v>-1.58</v>
      </c>
      <c r="BS3538">
        <v>1.66</v>
      </c>
      <c r="BT3538">
        <v>1.26</v>
      </c>
      <c r="BU3538">
        <v>1.9</v>
      </c>
      <c r="BV3538">
        <v>1.75</v>
      </c>
      <c r="BW3538">
        <v>2.6</v>
      </c>
      <c r="BX3538">
        <v>1.74</v>
      </c>
      <c r="BY3538">
        <v>2.2599999999999998</v>
      </c>
      <c r="BZ3538">
        <v>0.77</v>
      </c>
      <c r="CA3538">
        <v>1.83</v>
      </c>
      <c r="CB3538">
        <v>1.8</v>
      </c>
      <c r="CC3538">
        <v>1.1299999999999999</v>
      </c>
      <c r="CD3538">
        <v>-0.28999999999999998</v>
      </c>
      <c r="CE3538">
        <v>0.89</v>
      </c>
      <c r="CF3538">
        <v>1.49</v>
      </c>
      <c r="CG3538">
        <v>0</v>
      </c>
      <c r="CH3538">
        <v>0.77</v>
      </c>
      <c r="CI3538">
        <v>0</v>
      </c>
      <c r="CJ3538">
        <v>-3.8</v>
      </c>
      <c r="CK3538">
        <v>51</v>
      </c>
      <c r="CL3538">
        <v>-1.42</v>
      </c>
      <c r="CM3538">
        <v>46</v>
      </c>
      <c r="CN3538">
        <v>-0.61</v>
      </c>
      <c r="CO3538">
        <v>44</v>
      </c>
      <c r="CP3538">
        <v>-1.3</v>
      </c>
      <c r="CQ3538">
        <v>35</v>
      </c>
      <c r="CR3538">
        <v>0</v>
      </c>
      <c r="CS3538">
        <v>0</v>
      </c>
      <c r="CT3538">
        <v>12.4</v>
      </c>
      <c r="CU3538">
        <v>26</v>
      </c>
      <c r="CV3538">
        <v>0.35</v>
      </c>
      <c r="CW3538">
        <v>13</v>
      </c>
      <c r="CX3538" t="s">
        <v>309</v>
      </c>
    </row>
    <row r="3539" spans="1:102" x14ac:dyDescent="0.3">
      <c r="A3539" t="str">
        <f>HYPERLINK("https://webapp.icbf.com/v2/app/bull-search/view/495515229","NDT")</f>
        <v>NDT</v>
      </c>
      <c r="B3539" t="s">
        <v>7430</v>
      </c>
      <c r="C3539" t="s">
        <v>7431</v>
      </c>
      <c r="D3539" s="1">
        <v>37131</v>
      </c>
      <c r="E3539" t="s">
        <v>92</v>
      </c>
      <c r="F3539">
        <v>100</v>
      </c>
      <c r="G3539" t="s">
        <v>109</v>
      </c>
      <c r="H3539">
        <v>-43.92</v>
      </c>
      <c r="I3539">
        <v>77</v>
      </c>
      <c r="J3539">
        <v>37.33</v>
      </c>
      <c r="K3539">
        <v>92</v>
      </c>
      <c r="L3539">
        <v>-70.06</v>
      </c>
      <c r="M3539">
        <v>81</v>
      </c>
      <c r="N3539">
        <v>-18.760000000000002</v>
      </c>
      <c r="O3539">
        <v>59</v>
      </c>
      <c r="P3539">
        <v>-7.25</v>
      </c>
      <c r="Q3539">
        <v>53</v>
      </c>
      <c r="R3539">
        <v>-0.99</v>
      </c>
      <c r="S3539">
        <v>74</v>
      </c>
      <c r="T3539">
        <v>11.98</v>
      </c>
      <c r="U3539">
        <v>47</v>
      </c>
      <c r="V3539">
        <v>3.83</v>
      </c>
      <c r="W3539">
        <v>66</v>
      </c>
      <c r="X3539" t="s">
        <v>251</v>
      </c>
      <c r="Y3539" t="s">
        <v>235</v>
      </c>
      <c r="Z3539" t="s">
        <v>96</v>
      </c>
      <c r="AA3539" t="s">
        <v>285</v>
      </c>
      <c r="AB3539" t="s">
        <v>7432</v>
      </c>
      <c r="AC3539">
        <v>0</v>
      </c>
      <c r="AD3539">
        <v>0</v>
      </c>
      <c r="AE3539">
        <v>92</v>
      </c>
      <c r="AF3539">
        <v>135.91999999999999</v>
      </c>
      <c r="AG3539">
        <v>7.8</v>
      </c>
      <c r="AH3539">
        <v>5.67</v>
      </c>
      <c r="AI3539">
        <v>0.04</v>
      </c>
      <c r="AJ3539">
        <v>0.02</v>
      </c>
      <c r="AK3539">
        <v>81</v>
      </c>
      <c r="AL3539">
        <v>0</v>
      </c>
      <c r="AM3539">
        <v>0</v>
      </c>
      <c r="AN3539">
        <v>2.81</v>
      </c>
      <c r="AO3539">
        <v>-2.79</v>
      </c>
      <c r="AP3539">
        <v>3</v>
      </c>
      <c r="AQ3539">
        <v>0</v>
      </c>
      <c r="AR3539">
        <v>8.06</v>
      </c>
      <c r="AS3539">
        <v>59</v>
      </c>
      <c r="AT3539">
        <v>4.46</v>
      </c>
      <c r="AU3539">
        <v>78</v>
      </c>
      <c r="AV3539">
        <v>0.55000000000000004</v>
      </c>
      <c r="AW3539">
        <v>54</v>
      </c>
      <c r="AX3539">
        <v>0.19</v>
      </c>
      <c r="AY3539">
        <v>47</v>
      </c>
      <c r="AZ3539">
        <v>6.32</v>
      </c>
      <c r="BA3539">
        <v>48</v>
      </c>
      <c r="BB3539">
        <v>4.9400000000000004</v>
      </c>
      <c r="BC3539">
        <v>50</v>
      </c>
      <c r="BD3539">
        <v>0.01</v>
      </c>
      <c r="BE3539">
        <v>0.04</v>
      </c>
      <c r="BF3539">
        <v>-7.0000000000000007E-2</v>
      </c>
      <c r="BG3539">
        <v>87</v>
      </c>
      <c r="BH3539">
        <v>0.17</v>
      </c>
      <c r="BI3539">
        <v>7.32</v>
      </c>
      <c r="BJ3539">
        <v>0</v>
      </c>
      <c r="BK3539">
        <v>0</v>
      </c>
      <c r="BL3539">
        <v>0.79</v>
      </c>
      <c r="BM3539">
        <v>2.96</v>
      </c>
      <c r="BN3539">
        <v>2.23</v>
      </c>
      <c r="BO3539">
        <v>-0.03</v>
      </c>
      <c r="BP3539">
        <v>-0.56999999999999995</v>
      </c>
      <c r="BQ3539">
        <v>0.14000000000000001</v>
      </c>
      <c r="BR3539">
        <v>2.02</v>
      </c>
      <c r="BS3539">
        <v>-1.83</v>
      </c>
      <c r="BT3539">
        <v>-1.68</v>
      </c>
      <c r="BU3539">
        <v>-0.1</v>
      </c>
      <c r="BV3539">
        <v>-0.94</v>
      </c>
      <c r="BW3539">
        <v>-0.56000000000000005</v>
      </c>
      <c r="BX3539">
        <v>-0.94</v>
      </c>
      <c r="BY3539">
        <v>-0.97</v>
      </c>
      <c r="BZ3539">
        <v>-1.52</v>
      </c>
      <c r="CA3539">
        <v>-1.2</v>
      </c>
      <c r="CB3539">
        <v>-0.65</v>
      </c>
      <c r="CC3539">
        <v>-1.55</v>
      </c>
      <c r="CD3539">
        <v>0.6</v>
      </c>
      <c r="CE3539">
        <v>-0.05</v>
      </c>
      <c r="CF3539">
        <v>0.59</v>
      </c>
      <c r="CG3539">
        <v>0</v>
      </c>
      <c r="CH3539">
        <v>-1.1399999999999999</v>
      </c>
      <c r="CI3539">
        <v>0</v>
      </c>
      <c r="CJ3539">
        <v>-3.6</v>
      </c>
      <c r="CK3539">
        <v>54</v>
      </c>
      <c r="CL3539">
        <v>-0.61</v>
      </c>
      <c r="CM3539">
        <v>52</v>
      </c>
      <c r="CN3539">
        <v>-0.39</v>
      </c>
      <c r="CO3539">
        <v>52</v>
      </c>
      <c r="CP3539">
        <v>-3.7</v>
      </c>
      <c r="CQ3539">
        <v>48</v>
      </c>
      <c r="CR3539">
        <v>0</v>
      </c>
      <c r="CS3539">
        <v>0</v>
      </c>
      <c r="CT3539">
        <v>-2.4</v>
      </c>
      <c r="CU3539">
        <v>47</v>
      </c>
      <c r="CV3539">
        <v>0.14000000000000001</v>
      </c>
      <c r="CW3539">
        <v>37</v>
      </c>
      <c r="CX3539" t="s">
        <v>1278</v>
      </c>
    </row>
    <row r="3540" spans="1:102" x14ac:dyDescent="0.3">
      <c r="A3540" t="str">
        <f>HYPERLINK("https://webapp.icbf.com/v2/app/bull-search/view/69091717","FXU")</f>
        <v>FXU</v>
      </c>
      <c r="B3540" t="s">
        <v>3266</v>
      </c>
      <c r="C3540" t="s">
        <v>3267</v>
      </c>
      <c r="D3540" s="1">
        <v>33212</v>
      </c>
      <c r="E3540" t="s">
        <v>140</v>
      </c>
      <c r="F3540">
        <v>0</v>
      </c>
      <c r="G3540" t="s">
        <v>109</v>
      </c>
      <c r="H3540">
        <v>-43.99</v>
      </c>
      <c r="I3540">
        <v>47</v>
      </c>
      <c r="J3540">
        <v>-41.23</v>
      </c>
      <c r="K3540">
        <v>68</v>
      </c>
      <c r="L3540">
        <v>15.92</v>
      </c>
      <c r="M3540">
        <v>33</v>
      </c>
      <c r="N3540">
        <v>-24.1</v>
      </c>
      <c r="O3540">
        <v>37</v>
      </c>
      <c r="P3540">
        <v>8.35</v>
      </c>
      <c r="Q3540">
        <v>53</v>
      </c>
      <c r="R3540">
        <v>2.2799999999999998</v>
      </c>
      <c r="S3540">
        <v>37</v>
      </c>
      <c r="T3540">
        <v>5.0199999999999996</v>
      </c>
      <c r="U3540">
        <v>48</v>
      </c>
      <c r="V3540">
        <v>-10.23</v>
      </c>
      <c r="W3540">
        <v>21</v>
      </c>
      <c r="X3540" t="s">
        <v>276</v>
      </c>
      <c r="Y3540" t="s">
        <v>95</v>
      </c>
      <c r="Z3540">
        <v>0</v>
      </c>
      <c r="AA3540" t="s">
        <v>1179</v>
      </c>
      <c r="AB3540" t="s">
        <v>3268</v>
      </c>
      <c r="AC3540">
        <v>0</v>
      </c>
      <c r="AD3540">
        <v>0</v>
      </c>
      <c r="AE3540">
        <v>68</v>
      </c>
      <c r="AF3540">
        <v>-246.54</v>
      </c>
      <c r="AG3540">
        <v>-8.92</v>
      </c>
      <c r="AH3540">
        <v>-7.63</v>
      </c>
      <c r="AI3540">
        <v>0.01</v>
      </c>
      <c r="AJ3540">
        <v>0.01</v>
      </c>
      <c r="AK3540">
        <v>33</v>
      </c>
      <c r="AL3540">
        <v>9</v>
      </c>
      <c r="AM3540">
        <v>6</v>
      </c>
      <c r="AN3540">
        <v>-0.85</v>
      </c>
      <c r="AO3540">
        <v>0.42</v>
      </c>
      <c r="AP3540">
        <v>3</v>
      </c>
      <c r="AQ3540">
        <v>1</v>
      </c>
      <c r="AR3540">
        <v>9.0299999999999994</v>
      </c>
      <c r="AS3540">
        <v>22</v>
      </c>
      <c r="AT3540">
        <v>4.79</v>
      </c>
      <c r="AU3540">
        <v>33</v>
      </c>
      <c r="AV3540">
        <v>0.95</v>
      </c>
      <c r="AW3540">
        <v>47</v>
      </c>
      <c r="AX3540">
        <v>-0.4</v>
      </c>
      <c r="AY3540">
        <v>37</v>
      </c>
      <c r="AZ3540">
        <v>5.92</v>
      </c>
      <c r="BA3540">
        <v>23</v>
      </c>
      <c r="BB3540">
        <v>4.37</v>
      </c>
      <c r="BC3540">
        <v>29</v>
      </c>
      <c r="BD3540">
        <v>0.01</v>
      </c>
      <c r="BE3540">
        <v>-0.01</v>
      </c>
      <c r="BF3540">
        <v>-0.05</v>
      </c>
      <c r="BG3540">
        <v>45</v>
      </c>
      <c r="BH3540">
        <v>-0.28000000000000003</v>
      </c>
      <c r="BI3540">
        <v>0.6</v>
      </c>
      <c r="BJ3540">
        <v>0</v>
      </c>
      <c r="BK3540">
        <v>0</v>
      </c>
      <c r="BL3540">
        <v>-0.71</v>
      </c>
      <c r="BM3540">
        <v>3.52</v>
      </c>
      <c r="BN3540">
        <v>-1.23</v>
      </c>
      <c r="BO3540">
        <v>-2.69</v>
      </c>
      <c r="BP3540">
        <v>4.07</v>
      </c>
      <c r="BQ3540">
        <v>-1.5</v>
      </c>
      <c r="BR3540">
        <v>-2.42</v>
      </c>
      <c r="BS3540">
        <v>-0.03</v>
      </c>
      <c r="BT3540">
        <v>2.17</v>
      </c>
      <c r="BU3540">
        <v>-3.15</v>
      </c>
      <c r="BV3540">
        <v>-3.64</v>
      </c>
      <c r="BW3540">
        <v>-3.02</v>
      </c>
      <c r="BX3540">
        <v>-2.88</v>
      </c>
      <c r="BY3540">
        <v>-1.56</v>
      </c>
      <c r="BZ3540">
        <v>1.56</v>
      </c>
      <c r="CA3540">
        <v>-2.2999999999999998</v>
      </c>
      <c r="CB3540">
        <v>-3.04</v>
      </c>
      <c r="CC3540">
        <v>-0.1</v>
      </c>
      <c r="CD3540">
        <v>3.73</v>
      </c>
      <c r="CE3540">
        <v>-2.66</v>
      </c>
      <c r="CF3540">
        <v>-0.78</v>
      </c>
      <c r="CG3540">
        <v>0</v>
      </c>
      <c r="CH3540">
        <v>-2.42</v>
      </c>
      <c r="CI3540">
        <v>0</v>
      </c>
      <c r="CJ3540">
        <v>0.3</v>
      </c>
      <c r="CK3540">
        <v>55</v>
      </c>
      <c r="CL3540">
        <v>0.16</v>
      </c>
      <c r="CM3540">
        <v>50</v>
      </c>
      <c r="CN3540">
        <v>-0.52</v>
      </c>
      <c r="CO3540">
        <v>46</v>
      </c>
      <c r="CP3540">
        <v>1.3</v>
      </c>
      <c r="CQ3540">
        <v>57</v>
      </c>
      <c r="CR3540">
        <v>0</v>
      </c>
      <c r="CS3540">
        <v>0</v>
      </c>
      <c r="CT3540">
        <v>7</v>
      </c>
      <c r="CU3540">
        <v>48</v>
      </c>
      <c r="CV3540">
        <v>-0.22</v>
      </c>
      <c r="CW3540">
        <v>14</v>
      </c>
      <c r="CX3540" t="s">
        <v>698</v>
      </c>
    </row>
    <row r="3541" spans="1:102" x14ac:dyDescent="0.3">
      <c r="A3541" t="str">
        <f>HYPERLINK("https://webapp.icbf.com/v2/app/bull-search/view/77856214","LDY")</f>
        <v>LDY</v>
      </c>
      <c r="B3541" t="s">
        <v>10420</v>
      </c>
      <c r="C3541" t="s">
        <v>10421</v>
      </c>
      <c r="D3541" s="1">
        <v>32146</v>
      </c>
      <c r="E3541" t="s">
        <v>92</v>
      </c>
      <c r="F3541">
        <v>100</v>
      </c>
      <c r="G3541" t="s">
        <v>93</v>
      </c>
      <c r="H3541">
        <v>-44.17</v>
      </c>
      <c r="I3541">
        <v>89</v>
      </c>
      <c r="J3541">
        <v>5.49</v>
      </c>
      <c r="K3541">
        <v>98</v>
      </c>
      <c r="L3541">
        <v>-57.61</v>
      </c>
      <c r="M3541">
        <v>89</v>
      </c>
      <c r="N3541">
        <v>-8.64</v>
      </c>
      <c r="O3541">
        <v>80</v>
      </c>
      <c r="P3541">
        <v>2.94</v>
      </c>
      <c r="Q3541">
        <v>89</v>
      </c>
      <c r="R3541">
        <v>-15.47</v>
      </c>
      <c r="S3541">
        <v>78</v>
      </c>
      <c r="T3541">
        <v>21.67</v>
      </c>
      <c r="U3541">
        <v>87</v>
      </c>
      <c r="V3541">
        <v>7.45</v>
      </c>
      <c r="W3541">
        <v>47</v>
      </c>
      <c r="X3541" t="s">
        <v>110</v>
      </c>
      <c r="Y3541" t="s">
        <v>95</v>
      </c>
      <c r="Z3541" t="s">
        <v>96</v>
      </c>
      <c r="AA3541" t="s">
        <v>128</v>
      </c>
      <c r="AB3541" t="s">
        <v>10422</v>
      </c>
      <c r="AC3541">
        <v>291</v>
      </c>
      <c r="AD3541">
        <v>147</v>
      </c>
      <c r="AE3541">
        <v>98</v>
      </c>
      <c r="AF3541">
        <v>294.66000000000003</v>
      </c>
      <c r="AG3541">
        <v>3.63</v>
      </c>
      <c r="AH3541">
        <v>4.16</v>
      </c>
      <c r="AI3541">
        <v>-0.12</v>
      </c>
      <c r="AJ3541">
        <v>-0.09</v>
      </c>
      <c r="AK3541">
        <v>89</v>
      </c>
      <c r="AL3541">
        <v>347</v>
      </c>
      <c r="AM3541">
        <v>164</v>
      </c>
      <c r="AN3541">
        <v>2.7</v>
      </c>
      <c r="AO3541">
        <v>-1.9</v>
      </c>
      <c r="AP3541">
        <v>5</v>
      </c>
      <c r="AQ3541">
        <v>0</v>
      </c>
      <c r="AR3541">
        <v>10.58</v>
      </c>
      <c r="AS3541">
        <v>56</v>
      </c>
      <c r="AT3541">
        <v>4.3899999999999997</v>
      </c>
      <c r="AU3541">
        <v>86</v>
      </c>
      <c r="AV3541">
        <v>-0.93</v>
      </c>
      <c r="AW3541">
        <v>81</v>
      </c>
      <c r="AX3541">
        <v>-0.49</v>
      </c>
      <c r="AY3541">
        <v>88</v>
      </c>
      <c r="AZ3541">
        <v>5.23</v>
      </c>
      <c r="BA3541">
        <v>61</v>
      </c>
      <c r="BB3541">
        <v>4.37</v>
      </c>
      <c r="BC3541">
        <v>76</v>
      </c>
      <c r="BD3541">
        <v>7.0000000000000007E-2</v>
      </c>
      <c r="BE3541">
        <v>0.11</v>
      </c>
      <c r="BF3541">
        <v>0.03</v>
      </c>
      <c r="BG3541">
        <v>95</v>
      </c>
      <c r="BH3541">
        <v>0.2</v>
      </c>
      <c r="BI3541">
        <v>-0.9</v>
      </c>
      <c r="BJ3541">
        <v>33</v>
      </c>
      <c r="BK3541">
        <v>24</v>
      </c>
      <c r="BL3541">
        <v>0.97</v>
      </c>
      <c r="BM3541">
        <v>1.7</v>
      </c>
      <c r="BN3541">
        <v>0.79</v>
      </c>
      <c r="BO3541">
        <v>0.08</v>
      </c>
      <c r="BP3541">
        <v>1.26</v>
      </c>
      <c r="BQ3541">
        <v>0.35</v>
      </c>
      <c r="BR3541">
        <v>0.71</v>
      </c>
      <c r="BS3541">
        <v>-2.31</v>
      </c>
      <c r="BT3541">
        <v>-0.33</v>
      </c>
      <c r="BU3541">
        <v>-2.04</v>
      </c>
      <c r="BV3541">
        <v>-1.91</v>
      </c>
      <c r="BW3541">
        <v>-1.47</v>
      </c>
      <c r="BX3541">
        <v>-1.31</v>
      </c>
      <c r="BY3541">
        <v>-1.66</v>
      </c>
      <c r="BZ3541">
        <v>0.72</v>
      </c>
      <c r="CA3541">
        <v>-1.79</v>
      </c>
      <c r="CB3541">
        <v>-1.62</v>
      </c>
      <c r="CC3541">
        <v>-1.29</v>
      </c>
      <c r="CD3541">
        <v>0.16</v>
      </c>
      <c r="CE3541">
        <v>7.0000000000000007E-2</v>
      </c>
      <c r="CF3541">
        <v>0.56000000000000005</v>
      </c>
      <c r="CG3541">
        <v>0</v>
      </c>
      <c r="CH3541">
        <v>-0.74</v>
      </c>
      <c r="CI3541">
        <v>0</v>
      </c>
      <c r="CJ3541">
        <v>5.3</v>
      </c>
      <c r="CK3541">
        <v>90</v>
      </c>
      <c r="CL3541">
        <v>-0.69</v>
      </c>
      <c r="CM3541">
        <v>88</v>
      </c>
      <c r="CN3541">
        <v>-0.2</v>
      </c>
      <c r="CO3541">
        <v>86</v>
      </c>
      <c r="CP3541">
        <v>2.7</v>
      </c>
      <c r="CQ3541">
        <v>94</v>
      </c>
      <c r="CR3541">
        <v>0</v>
      </c>
      <c r="CS3541">
        <v>0</v>
      </c>
      <c r="CT3541">
        <v>-15.5</v>
      </c>
      <c r="CU3541">
        <v>87</v>
      </c>
      <c r="CV3541">
        <v>0.31</v>
      </c>
      <c r="CW3541">
        <v>26</v>
      </c>
      <c r="CX3541" t="s">
        <v>663</v>
      </c>
    </row>
    <row r="3542" spans="1:102" x14ac:dyDescent="0.3">
      <c r="A3542" t="str">
        <f>HYPERLINK("https://webapp.icbf.com/v2/app/bull-search/view/77853946","RGM")</f>
        <v>RGM</v>
      </c>
      <c r="B3542" t="s">
        <v>14330</v>
      </c>
      <c r="C3542" t="s">
        <v>14331</v>
      </c>
      <c r="D3542" s="1">
        <v>33669</v>
      </c>
      <c r="E3542" t="s">
        <v>92</v>
      </c>
      <c r="F3542">
        <v>100</v>
      </c>
      <c r="G3542" t="s">
        <v>93</v>
      </c>
      <c r="H3542">
        <v>-44.2</v>
      </c>
      <c r="I3542">
        <v>88</v>
      </c>
      <c r="J3542">
        <v>7.2</v>
      </c>
      <c r="K3542">
        <v>96</v>
      </c>
      <c r="L3542">
        <v>-57.73</v>
      </c>
      <c r="M3542">
        <v>90</v>
      </c>
      <c r="N3542">
        <v>9.4499999999999993</v>
      </c>
      <c r="O3542">
        <v>75</v>
      </c>
      <c r="P3542">
        <v>-5.97</v>
      </c>
      <c r="Q3542">
        <v>83</v>
      </c>
      <c r="R3542">
        <v>-13.57</v>
      </c>
      <c r="S3542">
        <v>81</v>
      </c>
      <c r="T3542">
        <v>7.46</v>
      </c>
      <c r="U3542">
        <v>82</v>
      </c>
      <c r="V3542">
        <v>8.9600000000000009</v>
      </c>
      <c r="W3542">
        <v>71</v>
      </c>
      <c r="X3542" t="s">
        <v>558</v>
      </c>
      <c r="Y3542" t="s">
        <v>95</v>
      </c>
      <c r="Z3542" t="s">
        <v>96</v>
      </c>
      <c r="AA3542" t="s">
        <v>666</v>
      </c>
      <c r="AB3542" t="s">
        <v>14332</v>
      </c>
      <c r="AC3542">
        <v>92</v>
      </c>
      <c r="AD3542">
        <v>40</v>
      </c>
      <c r="AE3542">
        <v>96</v>
      </c>
      <c r="AF3542">
        <v>293.83999999999997</v>
      </c>
      <c r="AG3542">
        <v>3.88</v>
      </c>
      <c r="AH3542">
        <v>4.3499999999999996</v>
      </c>
      <c r="AI3542">
        <v>-0.13</v>
      </c>
      <c r="AJ3542">
        <v>-0.09</v>
      </c>
      <c r="AK3542">
        <v>90</v>
      </c>
      <c r="AL3542">
        <v>85</v>
      </c>
      <c r="AM3542">
        <v>39</v>
      </c>
      <c r="AN3542">
        <v>2.67</v>
      </c>
      <c r="AO3542">
        <v>-1.94</v>
      </c>
      <c r="AP3542">
        <v>47</v>
      </c>
      <c r="AQ3542">
        <v>0</v>
      </c>
      <c r="AR3542">
        <v>6.96</v>
      </c>
      <c r="AS3542">
        <v>66</v>
      </c>
      <c r="AT3542">
        <v>3.65</v>
      </c>
      <c r="AU3542">
        <v>87</v>
      </c>
      <c r="AV3542">
        <v>-1.34</v>
      </c>
      <c r="AW3542">
        <v>73</v>
      </c>
      <c r="AX3542">
        <v>-0.2</v>
      </c>
      <c r="AY3542">
        <v>77</v>
      </c>
      <c r="AZ3542">
        <v>6.15</v>
      </c>
      <c r="BA3542">
        <v>58</v>
      </c>
      <c r="BB3542">
        <v>4.83</v>
      </c>
      <c r="BC3542">
        <v>66</v>
      </c>
      <c r="BD3542">
        <v>0.06</v>
      </c>
      <c r="BE3542">
        <v>0.08</v>
      </c>
      <c r="BF3542">
        <v>0.06</v>
      </c>
      <c r="BG3542">
        <v>93</v>
      </c>
      <c r="BH3542">
        <v>0.28000000000000003</v>
      </c>
      <c r="BI3542">
        <v>3.48</v>
      </c>
      <c r="BJ3542">
        <v>2</v>
      </c>
      <c r="BK3542">
        <v>2</v>
      </c>
      <c r="BL3542">
        <v>-0.01</v>
      </c>
      <c r="BM3542">
        <v>0.99</v>
      </c>
      <c r="BN3542">
        <v>0.45</v>
      </c>
      <c r="BO3542">
        <v>-0.21</v>
      </c>
      <c r="BP3542">
        <v>0.02</v>
      </c>
      <c r="BQ3542">
        <v>0.72</v>
      </c>
      <c r="BR3542">
        <v>-0.4</v>
      </c>
      <c r="BS3542">
        <v>-1.5</v>
      </c>
      <c r="BT3542">
        <v>0.4</v>
      </c>
      <c r="BU3542">
        <v>-0.98</v>
      </c>
      <c r="BV3542">
        <v>-0.33</v>
      </c>
      <c r="BW3542">
        <v>-0.59</v>
      </c>
      <c r="BX3542">
        <v>-0.85</v>
      </c>
      <c r="BY3542">
        <v>-1.01</v>
      </c>
      <c r="BZ3542">
        <v>0.24</v>
      </c>
      <c r="CA3542">
        <v>-0.61</v>
      </c>
      <c r="CB3542">
        <v>-0.44</v>
      </c>
      <c r="CC3542">
        <v>-0.94</v>
      </c>
      <c r="CD3542">
        <v>0.6</v>
      </c>
      <c r="CE3542">
        <v>-0.4</v>
      </c>
      <c r="CF3542">
        <v>-0.2</v>
      </c>
      <c r="CG3542">
        <v>0</v>
      </c>
      <c r="CH3542">
        <v>-0.66</v>
      </c>
      <c r="CI3542">
        <v>0</v>
      </c>
      <c r="CJ3542">
        <v>-2.7</v>
      </c>
      <c r="CK3542">
        <v>84</v>
      </c>
      <c r="CL3542">
        <v>-0.56000000000000005</v>
      </c>
      <c r="CM3542">
        <v>81</v>
      </c>
      <c r="CN3542">
        <v>-0.33</v>
      </c>
      <c r="CO3542">
        <v>79</v>
      </c>
      <c r="CP3542">
        <v>-2.2000000000000002</v>
      </c>
      <c r="CQ3542">
        <v>87</v>
      </c>
      <c r="CR3542">
        <v>0</v>
      </c>
      <c r="CS3542">
        <v>0</v>
      </c>
      <c r="CT3542">
        <v>3.7</v>
      </c>
      <c r="CU3542">
        <v>82</v>
      </c>
      <c r="CV3542">
        <v>0.1</v>
      </c>
      <c r="CW3542">
        <v>42</v>
      </c>
      <c r="CX3542" t="s">
        <v>128</v>
      </c>
    </row>
    <row r="3543" spans="1:102" x14ac:dyDescent="0.3">
      <c r="A3543" t="str">
        <f>HYPERLINK("https://webapp.icbf.com/v2/app/bull-search/view/77853073","WHR")</f>
        <v>WHR</v>
      </c>
      <c r="B3543" t="s">
        <v>11202</v>
      </c>
      <c r="C3543" t="s">
        <v>2570</v>
      </c>
      <c r="D3543" s="1">
        <v>34653</v>
      </c>
      <c r="E3543" t="s">
        <v>92</v>
      </c>
      <c r="F3543">
        <v>97</v>
      </c>
      <c r="G3543" t="s">
        <v>93</v>
      </c>
      <c r="H3543">
        <v>-44.26</v>
      </c>
      <c r="I3543">
        <v>97</v>
      </c>
      <c r="J3543">
        <v>68.680000000000007</v>
      </c>
      <c r="K3543">
        <v>99</v>
      </c>
      <c r="L3543">
        <v>-83.1</v>
      </c>
      <c r="M3543">
        <v>94</v>
      </c>
      <c r="N3543">
        <v>-33.880000000000003</v>
      </c>
      <c r="O3543">
        <v>98</v>
      </c>
      <c r="P3543">
        <v>-9.43</v>
      </c>
      <c r="Q3543">
        <v>99</v>
      </c>
      <c r="R3543">
        <v>-0.62</v>
      </c>
      <c r="S3543">
        <v>94</v>
      </c>
      <c r="T3543">
        <v>11.24</v>
      </c>
      <c r="U3543">
        <v>98</v>
      </c>
      <c r="V3543">
        <v>2.85</v>
      </c>
      <c r="W3543">
        <v>93</v>
      </c>
      <c r="X3543" t="s">
        <v>94</v>
      </c>
      <c r="Y3543" t="s">
        <v>95</v>
      </c>
      <c r="Z3543" t="s">
        <v>96</v>
      </c>
      <c r="AA3543" t="s">
        <v>105</v>
      </c>
      <c r="AB3543" t="s">
        <v>11203</v>
      </c>
      <c r="AC3543">
        <v>1112</v>
      </c>
      <c r="AD3543">
        <v>474</v>
      </c>
      <c r="AE3543">
        <v>99</v>
      </c>
      <c r="AF3543">
        <v>-102.2</v>
      </c>
      <c r="AG3543">
        <v>9.91</v>
      </c>
      <c r="AH3543">
        <v>6.61</v>
      </c>
      <c r="AI3543">
        <v>0.25</v>
      </c>
      <c r="AJ3543">
        <v>0.18</v>
      </c>
      <c r="AK3543">
        <v>94</v>
      </c>
      <c r="AL3543">
        <v>1106</v>
      </c>
      <c r="AM3543">
        <v>488</v>
      </c>
      <c r="AN3543">
        <v>5.07</v>
      </c>
      <c r="AO3543">
        <v>-1.55</v>
      </c>
      <c r="AP3543">
        <v>656</v>
      </c>
      <c r="AQ3543">
        <v>0</v>
      </c>
      <c r="AR3543">
        <v>11</v>
      </c>
      <c r="AS3543">
        <v>94</v>
      </c>
      <c r="AT3543">
        <v>5.0199999999999996</v>
      </c>
      <c r="AU3543">
        <v>98</v>
      </c>
      <c r="AV3543">
        <v>0.89</v>
      </c>
      <c r="AW3543">
        <v>99</v>
      </c>
      <c r="AX3543">
        <v>0.04</v>
      </c>
      <c r="AY3543">
        <v>98</v>
      </c>
      <c r="AZ3543">
        <v>5.32</v>
      </c>
      <c r="BA3543">
        <v>94</v>
      </c>
      <c r="BB3543">
        <v>4.3899999999999997</v>
      </c>
      <c r="BC3543">
        <v>95</v>
      </c>
      <c r="BD3543">
        <v>0.02</v>
      </c>
      <c r="BE3543">
        <v>-0.01</v>
      </c>
      <c r="BF3543">
        <v>0</v>
      </c>
      <c r="BG3543">
        <v>98</v>
      </c>
      <c r="BH3543">
        <v>0.11</v>
      </c>
      <c r="BI3543">
        <v>3.53</v>
      </c>
      <c r="BJ3543">
        <v>110</v>
      </c>
      <c r="BK3543">
        <v>56</v>
      </c>
      <c r="BL3543">
        <v>0.82</v>
      </c>
      <c r="BM3543">
        <v>0.72</v>
      </c>
      <c r="BN3543">
        <v>1.1200000000000001</v>
      </c>
      <c r="BO3543">
        <v>0.28000000000000003</v>
      </c>
      <c r="BP3543">
        <v>-3.05</v>
      </c>
      <c r="BQ3543">
        <v>-0.15</v>
      </c>
      <c r="BR3543">
        <v>-2.2400000000000002</v>
      </c>
      <c r="BS3543">
        <v>0.69</v>
      </c>
      <c r="BT3543">
        <v>2</v>
      </c>
      <c r="BU3543">
        <v>-0.15</v>
      </c>
      <c r="BV3543">
        <v>0.05</v>
      </c>
      <c r="BW3543">
        <v>-0.25</v>
      </c>
      <c r="BX3543">
        <v>0.16</v>
      </c>
      <c r="BY3543">
        <v>-0.5</v>
      </c>
      <c r="BZ3543">
        <v>-0.43</v>
      </c>
      <c r="CA3543">
        <v>0.56999999999999995</v>
      </c>
      <c r="CB3543">
        <v>0.25</v>
      </c>
      <c r="CC3543">
        <v>0.93</v>
      </c>
      <c r="CD3543">
        <v>-0.19</v>
      </c>
      <c r="CE3543">
        <v>0.27</v>
      </c>
      <c r="CF3543">
        <v>0.13</v>
      </c>
      <c r="CG3543">
        <v>0</v>
      </c>
      <c r="CH3543">
        <v>-0.46</v>
      </c>
      <c r="CI3543">
        <v>0</v>
      </c>
      <c r="CJ3543">
        <v>-2.6</v>
      </c>
      <c r="CK3543">
        <v>99</v>
      </c>
      <c r="CL3543">
        <v>-0.88</v>
      </c>
      <c r="CM3543">
        <v>99</v>
      </c>
      <c r="CN3543">
        <v>-0.38</v>
      </c>
      <c r="CO3543">
        <v>99</v>
      </c>
      <c r="CP3543">
        <v>-8.1</v>
      </c>
      <c r="CQ3543">
        <v>99</v>
      </c>
      <c r="CR3543">
        <v>0</v>
      </c>
      <c r="CS3543">
        <v>0</v>
      </c>
      <c r="CT3543">
        <v>-1.4</v>
      </c>
      <c r="CU3543">
        <v>98</v>
      </c>
      <c r="CV3543">
        <v>0.19</v>
      </c>
      <c r="CW3543">
        <v>46</v>
      </c>
      <c r="CX3543" t="s">
        <v>3720</v>
      </c>
    </row>
    <row r="3544" spans="1:102" x14ac:dyDescent="0.3">
      <c r="A3544" t="str">
        <f>HYPERLINK("https://webapp.icbf.com/v2/app/bull-search/view/68177851","CNW")</f>
        <v>CNW</v>
      </c>
      <c r="B3544" t="s">
        <v>14267</v>
      </c>
      <c r="C3544" t="s">
        <v>14268</v>
      </c>
      <c r="D3544" s="1">
        <v>32690</v>
      </c>
      <c r="E3544" t="s">
        <v>92</v>
      </c>
      <c r="F3544">
        <v>100</v>
      </c>
      <c r="G3544" t="s">
        <v>93</v>
      </c>
      <c r="H3544">
        <v>-44.27</v>
      </c>
      <c r="I3544">
        <v>85</v>
      </c>
      <c r="J3544">
        <v>8.57</v>
      </c>
      <c r="K3544">
        <v>96</v>
      </c>
      <c r="L3544">
        <v>-59.72</v>
      </c>
      <c r="M3544">
        <v>87</v>
      </c>
      <c r="N3544">
        <v>-1.42</v>
      </c>
      <c r="O3544">
        <v>75</v>
      </c>
      <c r="P3544">
        <v>-1.78</v>
      </c>
      <c r="Q3544">
        <v>84</v>
      </c>
      <c r="R3544">
        <v>2.64</v>
      </c>
      <c r="S3544">
        <v>74</v>
      </c>
      <c r="T3544">
        <v>8.65</v>
      </c>
      <c r="U3544">
        <v>74</v>
      </c>
      <c r="V3544">
        <v>-1.21</v>
      </c>
      <c r="W3544">
        <v>36</v>
      </c>
      <c r="X3544" t="s">
        <v>110</v>
      </c>
      <c r="Y3544" t="s">
        <v>95</v>
      </c>
      <c r="Z3544" t="s">
        <v>96</v>
      </c>
      <c r="AA3544" t="s">
        <v>166</v>
      </c>
      <c r="AB3544" t="s">
        <v>14269</v>
      </c>
      <c r="AC3544">
        <v>113</v>
      </c>
      <c r="AD3544">
        <v>72</v>
      </c>
      <c r="AE3544">
        <v>96</v>
      </c>
      <c r="AF3544">
        <v>281.66000000000003</v>
      </c>
      <c r="AG3544">
        <v>3.19</v>
      </c>
      <c r="AH3544">
        <v>4.6399999999999997</v>
      </c>
      <c r="AI3544">
        <v>-0.12</v>
      </c>
      <c r="AJ3544">
        <v>-0.08</v>
      </c>
      <c r="AK3544">
        <v>87</v>
      </c>
      <c r="AL3544">
        <v>118</v>
      </c>
      <c r="AM3544">
        <v>60</v>
      </c>
      <c r="AN3544">
        <v>5</v>
      </c>
      <c r="AO3544">
        <v>0.26</v>
      </c>
      <c r="AP3544">
        <v>3</v>
      </c>
      <c r="AQ3544">
        <v>2</v>
      </c>
      <c r="AR3544">
        <v>7.67</v>
      </c>
      <c r="AS3544">
        <v>46</v>
      </c>
      <c r="AT3544">
        <v>3.32</v>
      </c>
      <c r="AU3544">
        <v>84</v>
      </c>
      <c r="AV3544">
        <v>-0.66</v>
      </c>
      <c r="AW3544">
        <v>79</v>
      </c>
      <c r="AX3544">
        <v>0.19</v>
      </c>
      <c r="AY3544">
        <v>80</v>
      </c>
      <c r="AZ3544">
        <v>7.05</v>
      </c>
      <c r="BA3544">
        <v>48</v>
      </c>
      <c r="BB3544">
        <v>5.64</v>
      </c>
      <c r="BC3544">
        <v>65</v>
      </c>
      <c r="BD3544">
        <v>-0.01</v>
      </c>
      <c r="BE3544">
        <v>0.04</v>
      </c>
      <c r="BF3544">
        <v>-0.12</v>
      </c>
      <c r="BG3544">
        <v>93</v>
      </c>
      <c r="BH3544">
        <v>0.09</v>
      </c>
      <c r="BI3544">
        <v>14.3</v>
      </c>
      <c r="BJ3544">
        <v>21</v>
      </c>
      <c r="BK3544">
        <v>15</v>
      </c>
      <c r="BL3544">
        <v>-1.1000000000000001</v>
      </c>
      <c r="BM3544">
        <v>-3.05</v>
      </c>
      <c r="BN3544">
        <v>-2.2599999999999998</v>
      </c>
      <c r="BO3544">
        <v>0.45</v>
      </c>
      <c r="BP3544">
        <v>1.52</v>
      </c>
      <c r="BQ3544">
        <v>-1.7</v>
      </c>
      <c r="BR3544">
        <v>0.76</v>
      </c>
      <c r="BS3544">
        <v>0.12</v>
      </c>
      <c r="BT3544">
        <v>-1.65</v>
      </c>
      <c r="BU3544">
        <v>-1.1200000000000001</v>
      </c>
      <c r="BV3544">
        <v>0.51</v>
      </c>
      <c r="BW3544">
        <v>0.83</v>
      </c>
      <c r="BX3544">
        <v>-0.8</v>
      </c>
      <c r="BY3544">
        <v>-1.05</v>
      </c>
      <c r="BZ3544">
        <v>-1.06</v>
      </c>
      <c r="CA3544">
        <v>0.38</v>
      </c>
      <c r="CB3544">
        <v>0.31</v>
      </c>
      <c r="CC3544">
        <v>0.22</v>
      </c>
      <c r="CD3544">
        <v>-1.72</v>
      </c>
      <c r="CE3544">
        <v>0.67</v>
      </c>
      <c r="CF3544">
        <v>-1.8</v>
      </c>
      <c r="CG3544">
        <v>0</v>
      </c>
      <c r="CH3544">
        <v>0.39</v>
      </c>
      <c r="CI3544">
        <v>0</v>
      </c>
      <c r="CJ3544">
        <v>-0.4</v>
      </c>
      <c r="CK3544">
        <v>85</v>
      </c>
      <c r="CL3544">
        <v>-0.48</v>
      </c>
      <c r="CM3544">
        <v>82</v>
      </c>
      <c r="CN3544">
        <v>-0.43</v>
      </c>
      <c r="CO3544">
        <v>80</v>
      </c>
      <c r="CP3544">
        <v>-8.6999999999999993</v>
      </c>
      <c r="CQ3544">
        <v>89</v>
      </c>
      <c r="CR3544">
        <v>0</v>
      </c>
      <c r="CS3544">
        <v>0</v>
      </c>
      <c r="CT3544">
        <v>2.1</v>
      </c>
      <c r="CU3544">
        <v>74</v>
      </c>
      <c r="CV3544">
        <v>0.15</v>
      </c>
      <c r="CW3544">
        <v>24</v>
      </c>
      <c r="CX3544" t="s">
        <v>617</v>
      </c>
    </row>
    <row r="3545" spans="1:102" x14ac:dyDescent="0.3">
      <c r="A3545" t="str">
        <f>HYPERLINK("https://webapp.icbf.com/v2/app/bull-search/view/122356827","FBR")</f>
        <v>FBR</v>
      </c>
      <c r="B3545" t="s">
        <v>4583</v>
      </c>
      <c r="C3545" t="s">
        <v>4584</v>
      </c>
      <c r="D3545" s="1">
        <v>35097</v>
      </c>
      <c r="E3545" t="s">
        <v>92</v>
      </c>
      <c r="F3545">
        <v>100</v>
      </c>
      <c r="G3545" t="s">
        <v>93</v>
      </c>
      <c r="H3545">
        <v>-44.29</v>
      </c>
      <c r="I3545">
        <v>96</v>
      </c>
      <c r="J3545">
        <v>28.4</v>
      </c>
      <c r="K3545">
        <v>99</v>
      </c>
      <c r="L3545">
        <v>-45.76</v>
      </c>
      <c r="M3545">
        <v>93</v>
      </c>
      <c r="N3545">
        <v>-28.52</v>
      </c>
      <c r="O3545">
        <v>95</v>
      </c>
      <c r="P3545">
        <v>1.98</v>
      </c>
      <c r="Q3545">
        <v>98</v>
      </c>
      <c r="R3545">
        <v>-4.0599999999999996</v>
      </c>
      <c r="S3545">
        <v>90</v>
      </c>
      <c r="T3545">
        <v>1.99</v>
      </c>
      <c r="U3545">
        <v>96</v>
      </c>
      <c r="V3545">
        <v>1.68</v>
      </c>
      <c r="W3545">
        <v>90</v>
      </c>
      <c r="X3545" t="s">
        <v>102</v>
      </c>
      <c r="Y3545" t="s">
        <v>95</v>
      </c>
      <c r="Z3545" t="s">
        <v>96</v>
      </c>
      <c r="AA3545" t="s">
        <v>949</v>
      </c>
      <c r="AB3545" t="s">
        <v>4585</v>
      </c>
      <c r="AC3545">
        <v>401</v>
      </c>
      <c r="AD3545">
        <v>144</v>
      </c>
      <c r="AE3545">
        <v>99</v>
      </c>
      <c r="AF3545">
        <v>193.27</v>
      </c>
      <c r="AG3545">
        <v>7.77</v>
      </c>
      <c r="AH3545">
        <v>5.04</v>
      </c>
      <c r="AI3545">
        <v>0</v>
      </c>
      <c r="AJ3545">
        <v>-0.03</v>
      </c>
      <c r="AK3545">
        <v>93</v>
      </c>
      <c r="AL3545">
        <v>402</v>
      </c>
      <c r="AM3545">
        <v>160</v>
      </c>
      <c r="AN3545">
        <v>3.22</v>
      </c>
      <c r="AO3545">
        <v>-0.42</v>
      </c>
      <c r="AP3545">
        <v>674</v>
      </c>
      <c r="AQ3545">
        <v>8</v>
      </c>
      <c r="AR3545">
        <v>11.26</v>
      </c>
      <c r="AS3545">
        <v>90</v>
      </c>
      <c r="AT3545">
        <v>5.99</v>
      </c>
      <c r="AU3545">
        <v>98</v>
      </c>
      <c r="AV3545">
        <v>-1.75</v>
      </c>
      <c r="AW3545">
        <v>98</v>
      </c>
      <c r="AX3545">
        <v>0.21</v>
      </c>
      <c r="AY3545">
        <v>95</v>
      </c>
      <c r="AZ3545">
        <v>6.06</v>
      </c>
      <c r="BA3545">
        <v>85</v>
      </c>
      <c r="BB3545">
        <v>4.46</v>
      </c>
      <c r="BC3545">
        <v>86</v>
      </c>
      <c r="BD3545">
        <v>0.02</v>
      </c>
      <c r="BE3545">
        <v>0</v>
      </c>
      <c r="BF3545">
        <v>0.06</v>
      </c>
      <c r="BG3545">
        <v>97</v>
      </c>
      <c r="BH3545">
        <v>0.09</v>
      </c>
      <c r="BI3545">
        <v>5</v>
      </c>
      <c r="BJ3545">
        <v>136</v>
      </c>
      <c r="BK3545">
        <v>51</v>
      </c>
      <c r="BL3545">
        <v>0.74</v>
      </c>
      <c r="BM3545">
        <v>-1.67</v>
      </c>
      <c r="BN3545">
        <v>-0.14000000000000001</v>
      </c>
      <c r="BO3545">
        <v>1.05</v>
      </c>
      <c r="BP3545">
        <v>2.8</v>
      </c>
      <c r="BQ3545">
        <v>1.28</v>
      </c>
      <c r="BR3545">
        <v>0.34</v>
      </c>
      <c r="BS3545">
        <v>0.39</v>
      </c>
      <c r="BT3545">
        <v>-0.76</v>
      </c>
      <c r="BU3545">
        <v>1.1499999999999999</v>
      </c>
      <c r="BV3545">
        <v>1.36</v>
      </c>
      <c r="BW3545">
        <v>0.95</v>
      </c>
      <c r="BX3545">
        <v>0.79</v>
      </c>
      <c r="BY3545">
        <v>0.76</v>
      </c>
      <c r="BZ3545">
        <v>-0.35</v>
      </c>
      <c r="CA3545">
        <v>0.55000000000000004</v>
      </c>
      <c r="CB3545">
        <v>0.91</v>
      </c>
      <c r="CC3545">
        <v>-0.36</v>
      </c>
      <c r="CD3545">
        <v>-0.97</v>
      </c>
      <c r="CE3545">
        <v>0.97</v>
      </c>
      <c r="CF3545">
        <v>0.69</v>
      </c>
      <c r="CG3545">
        <v>0</v>
      </c>
      <c r="CH3545">
        <v>0.75</v>
      </c>
      <c r="CI3545">
        <v>0</v>
      </c>
      <c r="CJ3545">
        <v>4.7</v>
      </c>
      <c r="CK3545">
        <v>98</v>
      </c>
      <c r="CL3545">
        <v>-0.71</v>
      </c>
      <c r="CM3545">
        <v>98</v>
      </c>
      <c r="CN3545">
        <v>-0.19</v>
      </c>
      <c r="CO3545">
        <v>97</v>
      </c>
      <c r="CP3545">
        <v>4</v>
      </c>
      <c r="CQ3545">
        <v>97</v>
      </c>
      <c r="CR3545">
        <v>0</v>
      </c>
      <c r="CS3545">
        <v>0</v>
      </c>
      <c r="CT3545">
        <v>11.1</v>
      </c>
      <c r="CU3545">
        <v>96</v>
      </c>
      <c r="CV3545">
        <v>0.19</v>
      </c>
      <c r="CW3545">
        <v>45</v>
      </c>
      <c r="CX3545" t="s">
        <v>2745</v>
      </c>
    </row>
    <row r="3546" spans="1:102" x14ac:dyDescent="0.3">
      <c r="A3546" t="str">
        <f>HYPERLINK("https://webapp.icbf.com/v2/app/bull-search/view/69092527","RTD")</f>
        <v>RTD</v>
      </c>
      <c r="B3546" t="s">
        <v>144</v>
      </c>
      <c r="C3546" t="s">
        <v>10512</v>
      </c>
      <c r="D3546" s="1">
        <v>33733</v>
      </c>
      <c r="E3546" t="s">
        <v>895</v>
      </c>
      <c r="F3546">
        <v>0</v>
      </c>
      <c r="G3546" t="s">
        <v>93</v>
      </c>
      <c r="H3546">
        <v>-44.3</v>
      </c>
      <c r="I3546">
        <v>63</v>
      </c>
      <c r="J3546">
        <v>-25.65</v>
      </c>
      <c r="K3546">
        <v>85</v>
      </c>
      <c r="L3546">
        <v>-31.73</v>
      </c>
      <c r="M3546">
        <v>44</v>
      </c>
      <c r="N3546">
        <v>-20.65</v>
      </c>
      <c r="O3546">
        <v>54</v>
      </c>
      <c r="P3546">
        <v>-8.4600000000000009</v>
      </c>
      <c r="Q3546">
        <v>76</v>
      </c>
      <c r="R3546">
        <v>17.86</v>
      </c>
      <c r="S3546">
        <v>50</v>
      </c>
      <c r="T3546">
        <v>28.33</v>
      </c>
      <c r="U3546">
        <v>69</v>
      </c>
      <c r="V3546">
        <v>-4</v>
      </c>
      <c r="W3546">
        <v>36</v>
      </c>
      <c r="X3546" t="s">
        <v>558</v>
      </c>
      <c r="Y3546" t="s">
        <v>95</v>
      </c>
      <c r="Z3546">
        <v>0</v>
      </c>
      <c r="AA3546" t="s">
        <v>10513</v>
      </c>
      <c r="AB3546" t="s">
        <v>10514</v>
      </c>
      <c r="AC3546">
        <v>27</v>
      </c>
      <c r="AD3546">
        <v>12</v>
      </c>
      <c r="AE3546">
        <v>85</v>
      </c>
      <c r="AF3546">
        <v>-212.15</v>
      </c>
      <c r="AG3546">
        <v>-8</v>
      </c>
      <c r="AH3546">
        <v>-4.78</v>
      </c>
      <c r="AI3546">
        <v>0</v>
      </c>
      <c r="AJ3546">
        <v>0.04</v>
      </c>
      <c r="AK3546">
        <v>44</v>
      </c>
      <c r="AL3546">
        <v>29</v>
      </c>
      <c r="AM3546">
        <v>12</v>
      </c>
      <c r="AN3546">
        <v>2.56</v>
      </c>
      <c r="AO3546">
        <v>0.04</v>
      </c>
      <c r="AP3546">
        <v>22</v>
      </c>
      <c r="AQ3546">
        <v>0</v>
      </c>
      <c r="AR3546">
        <v>8.66</v>
      </c>
      <c r="AS3546">
        <v>30</v>
      </c>
      <c r="AT3546">
        <v>3.86</v>
      </c>
      <c r="AU3546">
        <v>48</v>
      </c>
      <c r="AV3546">
        <v>2.08</v>
      </c>
      <c r="AW3546">
        <v>71</v>
      </c>
      <c r="AX3546">
        <v>-0.72</v>
      </c>
      <c r="AY3546">
        <v>60</v>
      </c>
      <c r="AZ3546">
        <v>5.36</v>
      </c>
      <c r="BA3546">
        <v>22</v>
      </c>
      <c r="BB3546">
        <v>4.5</v>
      </c>
      <c r="BC3546">
        <v>34</v>
      </c>
      <c r="BD3546">
        <v>-0.01</v>
      </c>
      <c r="BE3546">
        <v>-0.06</v>
      </c>
      <c r="BF3546">
        <v>-0.28000000000000003</v>
      </c>
      <c r="BG3546">
        <v>61</v>
      </c>
      <c r="BH3546">
        <v>-0.13</v>
      </c>
      <c r="BI3546">
        <v>-2.12</v>
      </c>
      <c r="BJ3546">
        <v>0</v>
      </c>
      <c r="BK3546">
        <v>0</v>
      </c>
      <c r="BL3546">
        <v>-0.77</v>
      </c>
      <c r="BM3546">
        <v>1.75</v>
      </c>
      <c r="BN3546">
        <v>-0.64</v>
      </c>
      <c r="BO3546">
        <v>-1.66</v>
      </c>
      <c r="BP3546">
        <v>0.34</v>
      </c>
      <c r="BQ3546">
        <v>0.03</v>
      </c>
      <c r="BR3546">
        <v>-0.35</v>
      </c>
      <c r="BS3546">
        <v>1.51</v>
      </c>
      <c r="BT3546">
        <v>0.42</v>
      </c>
      <c r="BU3546">
        <v>-0.93</v>
      </c>
      <c r="BV3546">
        <v>-1.97</v>
      </c>
      <c r="BW3546">
        <v>-2</v>
      </c>
      <c r="BX3546">
        <v>-0.96</v>
      </c>
      <c r="BY3546">
        <v>-1.43</v>
      </c>
      <c r="BZ3546">
        <v>0.3</v>
      </c>
      <c r="CA3546">
        <v>-1.0900000000000001</v>
      </c>
      <c r="CB3546">
        <v>-1.48</v>
      </c>
      <c r="CC3546">
        <v>0.03</v>
      </c>
      <c r="CD3546">
        <v>1.34</v>
      </c>
      <c r="CE3546">
        <v>-1.32</v>
      </c>
      <c r="CF3546">
        <v>-0.25</v>
      </c>
      <c r="CG3546">
        <v>0</v>
      </c>
      <c r="CH3546">
        <v>-0.64</v>
      </c>
      <c r="CI3546">
        <v>0</v>
      </c>
      <c r="CJ3546">
        <v>-4.5</v>
      </c>
      <c r="CK3546">
        <v>78</v>
      </c>
      <c r="CL3546">
        <v>-0.24</v>
      </c>
      <c r="CM3546">
        <v>74</v>
      </c>
      <c r="CN3546">
        <v>-0.15</v>
      </c>
      <c r="CO3546">
        <v>71</v>
      </c>
      <c r="CP3546">
        <v>-10.199999999999999</v>
      </c>
      <c r="CQ3546">
        <v>75</v>
      </c>
      <c r="CR3546">
        <v>0</v>
      </c>
      <c r="CS3546">
        <v>0</v>
      </c>
      <c r="CT3546">
        <v>-24.5</v>
      </c>
      <c r="CU3546">
        <v>69</v>
      </c>
      <c r="CV3546">
        <v>-0.2</v>
      </c>
      <c r="CW3546">
        <v>21</v>
      </c>
      <c r="CX3546" t="s">
        <v>10515</v>
      </c>
    </row>
    <row r="3547" spans="1:102" x14ac:dyDescent="0.3">
      <c r="A3547" t="str">
        <f>HYPERLINK("https://webapp.icbf.com/v2/app/bull-search/view/77852758","YBB")</f>
        <v>YBB</v>
      </c>
      <c r="B3547" t="s">
        <v>10966</v>
      </c>
      <c r="C3547" t="s">
        <v>10967</v>
      </c>
      <c r="D3547" s="1">
        <v>35454</v>
      </c>
      <c r="E3547" t="s">
        <v>92</v>
      </c>
      <c r="F3547">
        <v>100</v>
      </c>
      <c r="G3547" t="s">
        <v>93</v>
      </c>
      <c r="H3547">
        <v>-44.45</v>
      </c>
      <c r="I3547">
        <v>76</v>
      </c>
      <c r="J3547">
        <v>-8.56</v>
      </c>
      <c r="K3547">
        <v>94</v>
      </c>
      <c r="L3547">
        <v>-42.71</v>
      </c>
      <c r="M3547">
        <v>63</v>
      </c>
      <c r="N3547">
        <v>-1.68</v>
      </c>
      <c r="O3547">
        <v>67</v>
      </c>
      <c r="P3547">
        <v>-8.49</v>
      </c>
      <c r="Q3547">
        <v>85</v>
      </c>
      <c r="R3547">
        <v>-5.19</v>
      </c>
      <c r="S3547">
        <v>68</v>
      </c>
      <c r="T3547">
        <v>17.38</v>
      </c>
      <c r="U3547">
        <v>86</v>
      </c>
      <c r="V3547">
        <v>4.8</v>
      </c>
      <c r="W3547">
        <v>38</v>
      </c>
      <c r="X3547" t="s">
        <v>94</v>
      </c>
      <c r="Y3547" t="s">
        <v>95</v>
      </c>
      <c r="Z3547" t="s">
        <v>96</v>
      </c>
      <c r="AA3547" t="s">
        <v>860</v>
      </c>
      <c r="AB3547" t="s">
        <v>10968</v>
      </c>
      <c r="AC3547">
        <v>70</v>
      </c>
      <c r="AD3547">
        <v>61</v>
      </c>
      <c r="AE3547">
        <v>94</v>
      </c>
      <c r="AF3547">
        <v>226.68</v>
      </c>
      <c r="AG3547">
        <v>-3.21</v>
      </c>
      <c r="AH3547">
        <v>3.15</v>
      </c>
      <c r="AI3547">
        <v>-0.19</v>
      </c>
      <c r="AJ3547">
        <v>-7.0000000000000007E-2</v>
      </c>
      <c r="AK3547">
        <v>63</v>
      </c>
      <c r="AL3547">
        <v>78</v>
      </c>
      <c r="AM3547">
        <v>66</v>
      </c>
      <c r="AN3547">
        <v>2.77</v>
      </c>
      <c r="AO3547">
        <v>-0.63</v>
      </c>
      <c r="AP3547">
        <v>9</v>
      </c>
      <c r="AQ3547">
        <v>0</v>
      </c>
      <c r="AR3547">
        <v>8.59</v>
      </c>
      <c r="AS3547">
        <v>44</v>
      </c>
      <c r="AT3547">
        <v>3.93</v>
      </c>
      <c r="AU3547">
        <v>64</v>
      </c>
      <c r="AV3547">
        <v>-0.59</v>
      </c>
      <c r="AW3547">
        <v>75</v>
      </c>
      <c r="AX3547">
        <v>-0.21</v>
      </c>
      <c r="AY3547">
        <v>74</v>
      </c>
      <c r="AZ3547">
        <v>6.05</v>
      </c>
      <c r="BA3547">
        <v>46</v>
      </c>
      <c r="BB3547">
        <v>4.37</v>
      </c>
      <c r="BC3547">
        <v>59</v>
      </c>
      <c r="BD3547">
        <v>0.05</v>
      </c>
      <c r="BE3547">
        <v>0.04</v>
      </c>
      <c r="BF3547">
        <v>-0.04</v>
      </c>
      <c r="BG3547">
        <v>81</v>
      </c>
      <c r="BH3547">
        <v>0.2</v>
      </c>
      <c r="BI3547">
        <v>7.64</v>
      </c>
      <c r="BJ3547">
        <v>6</v>
      </c>
      <c r="BK3547">
        <v>4</v>
      </c>
      <c r="BL3547">
        <v>-0.08</v>
      </c>
      <c r="BM3547">
        <v>-1.1399999999999999</v>
      </c>
      <c r="BN3547">
        <v>-1.1399999999999999</v>
      </c>
      <c r="BO3547">
        <v>0.08</v>
      </c>
      <c r="BP3547">
        <v>-0.53</v>
      </c>
      <c r="BQ3547">
        <v>-1.1200000000000001</v>
      </c>
      <c r="BR3547">
        <v>1.03</v>
      </c>
      <c r="BS3547">
        <v>-1.58</v>
      </c>
      <c r="BT3547">
        <v>-0.59</v>
      </c>
      <c r="BU3547">
        <v>-0.59</v>
      </c>
      <c r="BV3547">
        <v>-0.62</v>
      </c>
      <c r="BW3547">
        <v>-0.6</v>
      </c>
      <c r="BX3547">
        <v>0.11</v>
      </c>
      <c r="BY3547">
        <v>-0.82</v>
      </c>
      <c r="BZ3547">
        <v>0.15</v>
      </c>
      <c r="CA3547">
        <v>-0.76</v>
      </c>
      <c r="CB3547">
        <v>-0.27</v>
      </c>
      <c r="CC3547">
        <v>-1.59</v>
      </c>
      <c r="CD3547">
        <v>-0.48</v>
      </c>
      <c r="CE3547">
        <v>-7.0000000000000007E-2</v>
      </c>
      <c r="CF3547">
        <v>-0.88</v>
      </c>
      <c r="CG3547">
        <v>0</v>
      </c>
      <c r="CH3547">
        <v>-0.22</v>
      </c>
      <c r="CI3547">
        <v>0</v>
      </c>
      <c r="CJ3547">
        <v>-3.1</v>
      </c>
      <c r="CK3547">
        <v>86</v>
      </c>
      <c r="CL3547">
        <v>-0.47</v>
      </c>
      <c r="CM3547">
        <v>84</v>
      </c>
      <c r="CN3547">
        <v>-0.11</v>
      </c>
      <c r="CO3547">
        <v>81</v>
      </c>
      <c r="CP3547">
        <v>-4.3</v>
      </c>
      <c r="CQ3547">
        <v>89</v>
      </c>
      <c r="CR3547">
        <v>0</v>
      </c>
      <c r="CS3547">
        <v>0</v>
      </c>
      <c r="CT3547">
        <v>-9.6999999999999993</v>
      </c>
      <c r="CU3547">
        <v>86</v>
      </c>
      <c r="CV3547">
        <v>0.09</v>
      </c>
      <c r="CW3547">
        <v>24</v>
      </c>
      <c r="CX3547" t="s">
        <v>485</v>
      </c>
    </row>
    <row r="3548" spans="1:102" x14ac:dyDescent="0.3">
      <c r="A3548" t="str">
        <f>HYPERLINK("https://webapp.icbf.com/v2/app/bull-search/view/1123648989","S1688")</f>
        <v>S1688</v>
      </c>
      <c r="B3548" t="s">
        <v>8315</v>
      </c>
      <c r="C3548" t="s">
        <v>8316</v>
      </c>
      <c r="D3548" s="1">
        <v>40746</v>
      </c>
      <c r="E3548" t="s">
        <v>92</v>
      </c>
      <c r="F3548">
        <v>100</v>
      </c>
      <c r="G3548" t="s">
        <v>109</v>
      </c>
      <c r="H3548">
        <v>-44.69</v>
      </c>
      <c r="I3548">
        <v>66</v>
      </c>
      <c r="J3548">
        <v>37.21</v>
      </c>
      <c r="K3548">
        <v>82</v>
      </c>
      <c r="L3548">
        <v>-93.96</v>
      </c>
      <c r="M3548">
        <v>76</v>
      </c>
      <c r="N3548">
        <v>16.52</v>
      </c>
      <c r="O3548">
        <v>45</v>
      </c>
      <c r="P3548">
        <v>-12.26</v>
      </c>
      <c r="Q3548">
        <v>42</v>
      </c>
      <c r="R3548">
        <v>3.44</v>
      </c>
      <c r="S3548">
        <v>57</v>
      </c>
      <c r="T3548">
        <v>7.39</v>
      </c>
      <c r="U3548">
        <v>38</v>
      </c>
      <c r="V3548">
        <v>-3.03</v>
      </c>
      <c r="W3548">
        <v>18</v>
      </c>
      <c r="X3548" t="s">
        <v>94</v>
      </c>
      <c r="Y3548" t="s">
        <v>362</v>
      </c>
      <c r="Z3548" t="s">
        <v>96</v>
      </c>
      <c r="AA3548" t="s">
        <v>5309</v>
      </c>
      <c r="AB3548" t="s">
        <v>8317</v>
      </c>
      <c r="AC3548">
        <v>0</v>
      </c>
      <c r="AD3548">
        <v>0</v>
      </c>
      <c r="AE3548">
        <v>82</v>
      </c>
      <c r="AF3548">
        <v>412.83</v>
      </c>
      <c r="AG3548">
        <v>13.11</v>
      </c>
      <c r="AH3548">
        <v>8.01</v>
      </c>
      <c r="AI3548">
        <v>-0.05</v>
      </c>
      <c r="AJ3548">
        <v>-0.1</v>
      </c>
      <c r="AK3548">
        <v>76</v>
      </c>
      <c r="AL3548">
        <v>0</v>
      </c>
      <c r="AM3548">
        <v>0</v>
      </c>
      <c r="AN3548">
        <v>6.14</v>
      </c>
      <c r="AO3548">
        <v>-1.34</v>
      </c>
      <c r="AP3548">
        <v>6</v>
      </c>
      <c r="AQ3548">
        <v>0</v>
      </c>
      <c r="AR3548">
        <v>7.09</v>
      </c>
      <c r="AS3548">
        <v>32</v>
      </c>
      <c r="AT3548">
        <v>3.21</v>
      </c>
      <c r="AU3548">
        <v>85</v>
      </c>
      <c r="AV3548">
        <v>-1.87</v>
      </c>
      <c r="AW3548">
        <v>35</v>
      </c>
      <c r="AX3548">
        <v>-0.18</v>
      </c>
      <c r="AY3548">
        <v>34</v>
      </c>
      <c r="AZ3548">
        <v>5.96</v>
      </c>
      <c r="BA3548">
        <v>27</v>
      </c>
      <c r="BB3548">
        <v>5.03</v>
      </c>
      <c r="BC3548">
        <v>23</v>
      </c>
      <c r="BD3548">
        <v>0</v>
      </c>
      <c r="BE3548">
        <v>-0.01</v>
      </c>
      <c r="BF3548">
        <v>-0.06</v>
      </c>
      <c r="BG3548">
        <v>84</v>
      </c>
      <c r="BH3548">
        <v>0.04</v>
      </c>
      <c r="BI3548">
        <v>14.41</v>
      </c>
      <c r="BJ3548">
        <v>6</v>
      </c>
      <c r="BK3548">
        <v>3</v>
      </c>
      <c r="BL3548">
        <v>2.44</v>
      </c>
      <c r="BM3548">
        <v>-0.52</v>
      </c>
      <c r="BN3548">
        <v>1.42</v>
      </c>
      <c r="BO3548">
        <v>1.58</v>
      </c>
      <c r="BP3548">
        <v>0.73</v>
      </c>
      <c r="BQ3548">
        <v>0.83</v>
      </c>
      <c r="BR3548">
        <v>0.04</v>
      </c>
      <c r="BS3548">
        <v>2.79</v>
      </c>
      <c r="BT3548">
        <v>0.85</v>
      </c>
      <c r="BU3548">
        <v>2.87</v>
      </c>
      <c r="BV3548">
        <v>3.63</v>
      </c>
      <c r="BW3548">
        <v>3.49</v>
      </c>
      <c r="BX3548">
        <v>2.52</v>
      </c>
      <c r="BY3548">
        <v>1.08</v>
      </c>
      <c r="BZ3548">
        <v>-0.82</v>
      </c>
      <c r="CA3548">
        <v>2.25</v>
      </c>
      <c r="CB3548">
        <v>2.17</v>
      </c>
      <c r="CC3548">
        <v>1.42</v>
      </c>
      <c r="CD3548">
        <v>-0.71</v>
      </c>
      <c r="CE3548">
        <v>1.46</v>
      </c>
      <c r="CF3548">
        <v>1.39</v>
      </c>
      <c r="CG3548">
        <v>0</v>
      </c>
      <c r="CH3548">
        <v>1.04</v>
      </c>
      <c r="CI3548">
        <v>0</v>
      </c>
      <c r="CJ3548">
        <v>-5.0999999999999996</v>
      </c>
      <c r="CK3548">
        <v>45</v>
      </c>
      <c r="CL3548">
        <v>-1.1399999999999999</v>
      </c>
      <c r="CM3548">
        <v>40</v>
      </c>
      <c r="CN3548">
        <v>-0.6</v>
      </c>
      <c r="CO3548">
        <v>39</v>
      </c>
      <c r="CP3548">
        <v>-3.2</v>
      </c>
      <c r="CQ3548">
        <v>37</v>
      </c>
      <c r="CR3548">
        <v>0</v>
      </c>
      <c r="CS3548">
        <v>0</v>
      </c>
      <c r="CT3548">
        <v>3.8</v>
      </c>
      <c r="CU3548">
        <v>38</v>
      </c>
      <c r="CV3548">
        <v>0.27</v>
      </c>
      <c r="CW3548">
        <v>12</v>
      </c>
      <c r="CX3548" t="s">
        <v>309</v>
      </c>
    </row>
    <row r="3549" spans="1:102" x14ac:dyDescent="0.3">
      <c r="A3549" t="str">
        <f>HYPERLINK("https://webapp.icbf.com/v2/app/bull-search/view/69092410","PRU")</f>
        <v>PRU</v>
      </c>
      <c r="B3549" t="s">
        <v>12439</v>
      </c>
      <c r="C3549" t="s">
        <v>12440</v>
      </c>
      <c r="D3549" s="1">
        <v>33076</v>
      </c>
      <c r="E3549" t="s">
        <v>146</v>
      </c>
      <c r="F3549">
        <v>16</v>
      </c>
      <c r="G3549" t="s">
        <v>109</v>
      </c>
      <c r="H3549">
        <v>-44.69</v>
      </c>
      <c r="I3549">
        <v>59</v>
      </c>
      <c r="J3549">
        <v>-43.3</v>
      </c>
      <c r="K3549">
        <v>68</v>
      </c>
      <c r="L3549">
        <v>-43.57</v>
      </c>
      <c r="M3549">
        <v>53</v>
      </c>
      <c r="N3549">
        <v>30.91</v>
      </c>
      <c r="O3549">
        <v>49</v>
      </c>
      <c r="P3549">
        <v>14.39</v>
      </c>
      <c r="Q3549">
        <v>73</v>
      </c>
      <c r="R3549">
        <v>-4.5999999999999996</v>
      </c>
      <c r="S3549">
        <v>58</v>
      </c>
      <c r="T3549">
        <v>11.09</v>
      </c>
      <c r="U3549">
        <v>63</v>
      </c>
      <c r="V3549">
        <v>-9.61</v>
      </c>
      <c r="W3549">
        <v>17</v>
      </c>
      <c r="X3549" t="s">
        <v>276</v>
      </c>
      <c r="Y3549" t="s">
        <v>95</v>
      </c>
      <c r="Z3549">
        <v>0</v>
      </c>
      <c r="AA3549" t="s">
        <v>12441</v>
      </c>
      <c r="AB3549" t="s">
        <v>12442</v>
      </c>
      <c r="AC3549">
        <v>0</v>
      </c>
      <c r="AD3549">
        <v>0</v>
      </c>
      <c r="AE3549">
        <v>68</v>
      </c>
      <c r="AF3549">
        <v>-321.88</v>
      </c>
      <c r="AG3549">
        <v>-11.65</v>
      </c>
      <c r="AH3549">
        <v>-8.17</v>
      </c>
      <c r="AI3549">
        <v>0.02</v>
      </c>
      <c r="AJ3549">
        <v>0.05</v>
      </c>
      <c r="AK3549">
        <v>53</v>
      </c>
      <c r="AL3549">
        <v>0</v>
      </c>
      <c r="AM3549">
        <v>0</v>
      </c>
      <c r="AN3549">
        <v>1.96</v>
      </c>
      <c r="AO3549">
        <v>-1.52</v>
      </c>
      <c r="AP3549">
        <v>2</v>
      </c>
      <c r="AQ3549">
        <v>7</v>
      </c>
      <c r="AR3549">
        <v>5.4</v>
      </c>
      <c r="AS3549">
        <v>19</v>
      </c>
      <c r="AT3549">
        <v>2.23</v>
      </c>
      <c r="AU3549">
        <v>48</v>
      </c>
      <c r="AV3549">
        <v>-1.98</v>
      </c>
      <c r="AW3549">
        <v>62</v>
      </c>
      <c r="AX3549">
        <v>-0.88</v>
      </c>
      <c r="AY3549">
        <v>53</v>
      </c>
      <c r="AZ3549">
        <v>6.39</v>
      </c>
      <c r="BA3549">
        <v>20</v>
      </c>
      <c r="BB3549">
        <v>4.8499999999999996</v>
      </c>
      <c r="BC3549">
        <v>34</v>
      </c>
      <c r="BD3549">
        <v>-0.02</v>
      </c>
      <c r="BE3549">
        <v>0.01</v>
      </c>
      <c r="BF3549">
        <v>0.12</v>
      </c>
      <c r="BG3549">
        <v>81</v>
      </c>
      <c r="BH3549">
        <v>-0.34</v>
      </c>
      <c r="BI3549">
        <v>-8.34</v>
      </c>
      <c r="BJ3549">
        <v>0</v>
      </c>
      <c r="BK3549">
        <v>0</v>
      </c>
      <c r="BL3549">
        <v>-1.72</v>
      </c>
      <c r="BM3549">
        <v>2.96</v>
      </c>
      <c r="BN3549">
        <v>-1.01</v>
      </c>
      <c r="BO3549">
        <v>-1.95</v>
      </c>
      <c r="BP3549">
        <v>1.59</v>
      </c>
      <c r="BQ3549">
        <v>1.21</v>
      </c>
      <c r="BR3549">
        <v>-2.08</v>
      </c>
      <c r="BS3549">
        <v>0.34</v>
      </c>
      <c r="BT3549">
        <v>-0.55000000000000004</v>
      </c>
      <c r="BU3549">
        <v>-1.74</v>
      </c>
      <c r="BV3549">
        <v>-2.96</v>
      </c>
      <c r="BW3549">
        <v>-3.22</v>
      </c>
      <c r="BX3549">
        <v>-1.26</v>
      </c>
      <c r="BY3549">
        <v>-1.43</v>
      </c>
      <c r="BZ3549">
        <v>1.93</v>
      </c>
      <c r="CA3549">
        <v>-1.91</v>
      </c>
      <c r="CB3549">
        <v>-2.2599999999999998</v>
      </c>
      <c r="CC3549">
        <v>-0.38</v>
      </c>
      <c r="CD3549">
        <v>1.65</v>
      </c>
      <c r="CE3549">
        <v>-1.78</v>
      </c>
      <c r="CF3549">
        <v>-1.1299999999999999</v>
      </c>
      <c r="CG3549">
        <v>0</v>
      </c>
      <c r="CH3549">
        <v>-0.82</v>
      </c>
      <c r="CI3549">
        <v>0</v>
      </c>
      <c r="CJ3549">
        <v>5.8</v>
      </c>
      <c r="CK3549">
        <v>75</v>
      </c>
      <c r="CL3549">
        <v>0.57999999999999996</v>
      </c>
      <c r="CM3549">
        <v>71</v>
      </c>
      <c r="CN3549">
        <v>-0.03</v>
      </c>
      <c r="CO3549">
        <v>68</v>
      </c>
      <c r="CP3549">
        <v>0.3</v>
      </c>
      <c r="CQ3549">
        <v>72</v>
      </c>
      <c r="CR3549">
        <v>0</v>
      </c>
      <c r="CS3549">
        <v>0</v>
      </c>
      <c r="CT3549">
        <v>-1.2</v>
      </c>
      <c r="CU3549">
        <v>63</v>
      </c>
      <c r="CV3549">
        <v>-0.19</v>
      </c>
      <c r="CW3549">
        <v>20</v>
      </c>
      <c r="CX3549" t="s">
        <v>11900</v>
      </c>
    </row>
    <row r="3550" spans="1:102" x14ac:dyDescent="0.3">
      <c r="A3550" t="str">
        <f>HYPERLINK("https://webapp.icbf.com/v2/app/bull-search/view/77853334","USB")</f>
        <v>USB</v>
      </c>
      <c r="B3550" t="s">
        <v>6483</v>
      </c>
      <c r="C3550" t="s">
        <v>6484</v>
      </c>
      <c r="D3550" s="1">
        <v>36037</v>
      </c>
      <c r="E3550" t="s">
        <v>92</v>
      </c>
      <c r="F3550">
        <v>100</v>
      </c>
      <c r="G3550" t="s">
        <v>93</v>
      </c>
      <c r="H3550">
        <v>-44.81</v>
      </c>
      <c r="I3550">
        <v>85</v>
      </c>
      <c r="J3550">
        <v>3.42</v>
      </c>
      <c r="K3550">
        <v>96</v>
      </c>
      <c r="L3550">
        <v>-49.5</v>
      </c>
      <c r="M3550">
        <v>79</v>
      </c>
      <c r="N3550">
        <v>16.559999999999999</v>
      </c>
      <c r="O3550">
        <v>74</v>
      </c>
      <c r="P3550">
        <v>-10.39</v>
      </c>
      <c r="Q3550">
        <v>85</v>
      </c>
      <c r="R3550">
        <v>-8.52</v>
      </c>
      <c r="S3550">
        <v>78</v>
      </c>
      <c r="T3550">
        <v>7.09</v>
      </c>
      <c r="U3550">
        <v>84</v>
      </c>
      <c r="V3550">
        <v>-3.47</v>
      </c>
      <c r="W3550">
        <v>71</v>
      </c>
      <c r="X3550" t="s">
        <v>94</v>
      </c>
      <c r="Y3550" t="s">
        <v>95</v>
      </c>
      <c r="Z3550" t="s">
        <v>96</v>
      </c>
      <c r="AA3550" t="s">
        <v>216</v>
      </c>
      <c r="AB3550" t="s">
        <v>6485</v>
      </c>
      <c r="AC3550">
        <v>61</v>
      </c>
      <c r="AD3550">
        <v>46</v>
      </c>
      <c r="AE3550">
        <v>96</v>
      </c>
      <c r="AF3550">
        <v>180.72</v>
      </c>
      <c r="AG3550">
        <v>4.49</v>
      </c>
      <c r="AH3550">
        <v>1.76</v>
      </c>
      <c r="AI3550">
        <v>-0.04</v>
      </c>
      <c r="AJ3550">
        <v>-7.0000000000000007E-2</v>
      </c>
      <c r="AK3550">
        <v>79</v>
      </c>
      <c r="AL3550">
        <v>67</v>
      </c>
      <c r="AM3550">
        <v>46</v>
      </c>
      <c r="AN3550">
        <v>2.54</v>
      </c>
      <c r="AO3550">
        <v>-1.41</v>
      </c>
      <c r="AP3550">
        <v>15</v>
      </c>
      <c r="AQ3550">
        <v>0</v>
      </c>
      <c r="AR3550">
        <v>6.5</v>
      </c>
      <c r="AS3550">
        <v>63</v>
      </c>
      <c r="AT3550">
        <v>3.14</v>
      </c>
      <c r="AU3550">
        <v>80</v>
      </c>
      <c r="AV3550">
        <v>-1.22</v>
      </c>
      <c r="AW3550">
        <v>77</v>
      </c>
      <c r="AX3550">
        <v>-0.35</v>
      </c>
      <c r="AY3550">
        <v>75</v>
      </c>
      <c r="AZ3550">
        <v>5.83</v>
      </c>
      <c r="BA3550">
        <v>58</v>
      </c>
      <c r="BB3550">
        <v>4.5</v>
      </c>
      <c r="BC3550">
        <v>65</v>
      </c>
      <c r="BD3550">
        <v>0.06</v>
      </c>
      <c r="BE3550">
        <v>0.04</v>
      </c>
      <c r="BF3550">
        <v>0.02</v>
      </c>
      <c r="BG3550">
        <v>88</v>
      </c>
      <c r="BH3550">
        <v>-7.0000000000000007E-2</v>
      </c>
      <c r="BI3550">
        <v>3.09</v>
      </c>
      <c r="BJ3550">
        <v>30</v>
      </c>
      <c r="BK3550">
        <v>20</v>
      </c>
      <c r="BL3550">
        <v>-0.25</v>
      </c>
      <c r="BM3550">
        <v>1.1200000000000001</v>
      </c>
      <c r="BN3550">
        <v>0.65</v>
      </c>
      <c r="BO3550">
        <v>-0.33</v>
      </c>
      <c r="BP3550">
        <v>1.07</v>
      </c>
      <c r="BQ3550">
        <v>-0.88</v>
      </c>
      <c r="BR3550">
        <v>-1.2</v>
      </c>
      <c r="BS3550">
        <v>-1.22</v>
      </c>
      <c r="BT3550">
        <v>0.82</v>
      </c>
      <c r="BU3550">
        <v>-0.79</v>
      </c>
      <c r="BV3550">
        <v>-0.57999999999999996</v>
      </c>
      <c r="BW3550">
        <v>0.69</v>
      </c>
      <c r="BX3550">
        <v>-1.17</v>
      </c>
      <c r="BY3550">
        <v>0.3</v>
      </c>
      <c r="BZ3550">
        <v>0.44</v>
      </c>
      <c r="CA3550">
        <v>-0.37</v>
      </c>
      <c r="CB3550">
        <v>-0.22</v>
      </c>
      <c r="CC3550">
        <v>-0.28000000000000003</v>
      </c>
      <c r="CD3550">
        <v>0.74</v>
      </c>
      <c r="CE3550">
        <v>0.4</v>
      </c>
      <c r="CF3550">
        <v>0.45</v>
      </c>
      <c r="CG3550">
        <v>0</v>
      </c>
      <c r="CH3550">
        <v>0.22</v>
      </c>
      <c r="CI3550">
        <v>0</v>
      </c>
      <c r="CJ3550">
        <v>-1.1000000000000001</v>
      </c>
      <c r="CK3550">
        <v>86</v>
      </c>
      <c r="CL3550">
        <v>-0.76</v>
      </c>
      <c r="CM3550">
        <v>84</v>
      </c>
      <c r="CN3550">
        <v>-0.03</v>
      </c>
      <c r="CO3550">
        <v>82</v>
      </c>
      <c r="CP3550">
        <v>-9.1999999999999993</v>
      </c>
      <c r="CQ3550">
        <v>88</v>
      </c>
      <c r="CR3550">
        <v>0</v>
      </c>
      <c r="CS3550">
        <v>0</v>
      </c>
      <c r="CT3550">
        <v>4.2</v>
      </c>
      <c r="CU3550">
        <v>84</v>
      </c>
      <c r="CV3550">
        <v>0.21</v>
      </c>
      <c r="CW3550">
        <v>44</v>
      </c>
      <c r="CX3550" t="s">
        <v>105</v>
      </c>
    </row>
    <row r="3551" spans="1:102" x14ac:dyDescent="0.3">
      <c r="A3551" t="str">
        <f>HYPERLINK("https://webapp.icbf.com/v2/app/bull-search/view/77853289","UCD")</f>
        <v>UCD</v>
      </c>
      <c r="B3551" t="s">
        <v>11161</v>
      </c>
      <c r="C3551" t="s">
        <v>11162</v>
      </c>
      <c r="D3551" s="1">
        <v>32493</v>
      </c>
      <c r="E3551" t="s">
        <v>92</v>
      </c>
      <c r="F3551">
        <v>50</v>
      </c>
      <c r="G3551" t="s">
        <v>93</v>
      </c>
      <c r="H3551">
        <v>-44.81</v>
      </c>
      <c r="I3551">
        <v>60</v>
      </c>
      <c r="J3551">
        <v>-46.67</v>
      </c>
      <c r="K3551">
        <v>71</v>
      </c>
      <c r="L3551">
        <v>21.52</v>
      </c>
      <c r="M3551">
        <v>61</v>
      </c>
      <c r="N3551">
        <v>-17.64</v>
      </c>
      <c r="O3551">
        <v>41</v>
      </c>
      <c r="P3551">
        <v>-14.74</v>
      </c>
      <c r="Q3551">
        <v>54</v>
      </c>
      <c r="R3551">
        <v>-3.8</v>
      </c>
      <c r="S3551">
        <v>60</v>
      </c>
      <c r="T3551">
        <v>19.82</v>
      </c>
      <c r="U3551">
        <v>59</v>
      </c>
      <c r="V3551">
        <v>-3.3</v>
      </c>
      <c r="W3551">
        <v>22</v>
      </c>
      <c r="X3551" t="s">
        <v>94</v>
      </c>
      <c r="Y3551" t="s">
        <v>95</v>
      </c>
      <c r="Z3551" t="s">
        <v>96</v>
      </c>
      <c r="AA3551" t="s">
        <v>911</v>
      </c>
      <c r="AB3551" t="s">
        <v>11163</v>
      </c>
      <c r="AC3551">
        <v>16</v>
      </c>
      <c r="AD3551">
        <v>14</v>
      </c>
      <c r="AE3551">
        <v>71</v>
      </c>
      <c r="AF3551">
        <v>-168.24</v>
      </c>
      <c r="AG3551">
        <v>-3.54</v>
      </c>
      <c r="AH3551">
        <v>-9.26</v>
      </c>
      <c r="AI3551">
        <v>0.05</v>
      </c>
      <c r="AJ3551">
        <v>-0.06</v>
      </c>
      <c r="AK3551">
        <v>61</v>
      </c>
      <c r="AL3551">
        <v>82</v>
      </c>
      <c r="AM3551">
        <v>60</v>
      </c>
      <c r="AN3551">
        <v>-2.4</v>
      </c>
      <c r="AO3551">
        <v>-0.7</v>
      </c>
      <c r="AP3551">
        <v>0</v>
      </c>
      <c r="AQ3551">
        <v>2</v>
      </c>
      <c r="AR3551">
        <v>7.79</v>
      </c>
      <c r="AS3551">
        <v>23</v>
      </c>
      <c r="AT3551">
        <v>2.95</v>
      </c>
      <c r="AU3551">
        <v>37</v>
      </c>
      <c r="AV3551">
        <v>1.46</v>
      </c>
      <c r="AW3551">
        <v>47</v>
      </c>
      <c r="AX3551">
        <v>-0.45</v>
      </c>
      <c r="AY3551">
        <v>51</v>
      </c>
      <c r="AZ3551">
        <v>7.98</v>
      </c>
      <c r="BA3551">
        <v>24</v>
      </c>
      <c r="BB3551">
        <v>6.07</v>
      </c>
      <c r="BC3551">
        <v>37</v>
      </c>
      <c r="BD3551">
        <v>0.02</v>
      </c>
      <c r="BE3551">
        <v>0.06</v>
      </c>
      <c r="BF3551">
        <v>-0.06</v>
      </c>
      <c r="BG3551">
        <v>83</v>
      </c>
      <c r="BH3551">
        <v>-0.03</v>
      </c>
      <c r="BI3551">
        <v>7.17</v>
      </c>
      <c r="BJ3551">
        <v>14</v>
      </c>
      <c r="BK3551">
        <v>13</v>
      </c>
      <c r="BL3551">
        <v>-1.69</v>
      </c>
      <c r="BM3551">
        <v>1.29</v>
      </c>
      <c r="BN3551">
        <v>-1.02</v>
      </c>
      <c r="BO3551">
        <v>-1.76</v>
      </c>
      <c r="BP3551">
        <v>0.36</v>
      </c>
      <c r="BQ3551">
        <v>-0.83</v>
      </c>
      <c r="BR3551">
        <v>1.19</v>
      </c>
      <c r="BS3551">
        <v>-0.99</v>
      </c>
      <c r="BT3551">
        <v>-1.37</v>
      </c>
      <c r="BU3551">
        <v>-0.69</v>
      </c>
      <c r="BV3551">
        <v>-1.24</v>
      </c>
      <c r="BW3551">
        <v>-1.66</v>
      </c>
      <c r="BX3551">
        <v>-1.55</v>
      </c>
      <c r="BY3551">
        <v>-0.24</v>
      </c>
      <c r="BZ3551">
        <v>-2.52</v>
      </c>
      <c r="CA3551">
        <v>-1.05</v>
      </c>
      <c r="CB3551">
        <v>-0.83</v>
      </c>
      <c r="CC3551">
        <v>-1.27</v>
      </c>
      <c r="CD3551">
        <v>1.62</v>
      </c>
      <c r="CE3551">
        <v>-1.75</v>
      </c>
      <c r="CF3551">
        <v>-1.74</v>
      </c>
      <c r="CG3551">
        <v>0</v>
      </c>
      <c r="CH3551">
        <v>-0.97</v>
      </c>
      <c r="CI3551">
        <v>0</v>
      </c>
      <c r="CJ3551">
        <v>-6.7</v>
      </c>
      <c r="CK3551">
        <v>56</v>
      </c>
      <c r="CL3551">
        <v>-0.28999999999999998</v>
      </c>
      <c r="CM3551">
        <v>52</v>
      </c>
      <c r="CN3551">
        <v>0.08</v>
      </c>
      <c r="CO3551">
        <v>48</v>
      </c>
      <c r="CP3551">
        <v>-10.4</v>
      </c>
      <c r="CQ3551">
        <v>61</v>
      </c>
      <c r="CR3551">
        <v>0</v>
      </c>
      <c r="CS3551">
        <v>0</v>
      </c>
      <c r="CT3551">
        <v>-13</v>
      </c>
      <c r="CU3551">
        <v>59</v>
      </c>
      <c r="CV3551">
        <v>-0.05</v>
      </c>
      <c r="CW3551">
        <v>14</v>
      </c>
      <c r="CX3551" t="s">
        <v>7352</v>
      </c>
    </row>
    <row r="3552" spans="1:102" x14ac:dyDescent="0.3">
      <c r="A3552" t="str">
        <f>HYPERLINK("https://webapp.icbf.com/v2/app/bull-search/view/348466144","EIN")</f>
        <v>EIN</v>
      </c>
      <c r="B3552" t="s">
        <v>11723</v>
      </c>
      <c r="C3552" t="s">
        <v>11724</v>
      </c>
      <c r="D3552" s="1">
        <v>35326</v>
      </c>
      <c r="E3552" t="s">
        <v>92</v>
      </c>
      <c r="F3552">
        <v>100</v>
      </c>
      <c r="G3552" t="s">
        <v>109</v>
      </c>
      <c r="H3552">
        <v>-44.88</v>
      </c>
      <c r="I3552">
        <v>85</v>
      </c>
      <c r="J3552">
        <v>20.190000000000001</v>
      </c>
      <c r="K3552">
        <v>93</v>
      </c>
      <c r="L3552">
        <v>-67.680000000000007</v>
      </c>
      <c r="M3552">
        <v>88</v>
      </c>
      <c r="N3552">
        <v>18.95</v>
      </c>
      <c r="O3552">
        <v>80</v>
      </c>
      <c r="P3552">
        <v>-11.2</v>
      </c>
      <c r="Q3552">
        <v>81</v>
      </c>
      <c r="R3552">
        <v>-13.53</v>
      </c>
      <c r="S3552">
        <v>79</v>
      </c>
      <c r="T3552">
        <v>12.12</v>
      </c>
      <c r="U3552">
        <v>66</v>
      </c>
      <c r="V3552">
        <v>-3.73</v>
      </c>
      <c r="W3552">
        <v>67</v>
      </c>
      <c r="X3552" t="s">
        <v>251</v>
      </c>
      <c r="Y3552" t="s">
        <v>95</v>
      </c>
      <c r="Z3552" t="s">
        <v>96</v>
      </c>
      <c r="AA3552" t="s">
        <v>2898</v>
      </c>
      <c r="AB3552" t="s">
        <v>11725</v>
      </c>
      <c r="AC3552">
        <v>0</v>
      </c>
      <c r="AD3552">
        <v>0</v>
      </c>
      <c r="AE3552">
        <v>93</v>
      </c>
      <c r="AF3552">
        <v>207.28</v>
      </c>
      <c r="AG3552">
        <v>5.19</v>
      </c>
      <c r="AH3552">
        <v>4.7699999999999996</v>
      </c>
      <c r="AI3552">
        <v>-0.05</v>
      </c>
      <c r="AJ3552">
        <v>-0.04</v>
      </c>
      <c r="AK3552">
        <v>88</v>
      </c>
      <c r="AL3552">
        <v>27</v>
      </c>
      <c r="AM3552">
        <v>14</v>
      </c>
      <c r="AN3552">
        <v>3.5</v>
      </c>
      <c r="AO3552">
        <v>-1.9</v>
      </c>
      <c r="AP3552">
        <v>76</v>
      </c>
      <c r="AQ3552">
        <v>0</v>
      </c>
      <c r="AR3552">
        <v>6.53</v>
      </c>
      <c r="AS3552">
        <v>74</v>
      </c>
      <c r="AT3552">
        <v>2.85</v>
      </c>
      <c r="AU3552">
        <v>94</v>
      </c>
      <c r="AV3552">
        <v>-1.38</v>
      </c>
      <c r="AW3552">
        <v>85</v>
      </c>
      <c r="AX3552">
        <v>-0.22</v>
      </c>
      <c r="AY3552">
        <v>66</v>
      </c>
      <c r="AZ3552">
        <v>6.3</v>
      </c>
      <c r="BA3552">
        <v>56</v>
      </c>
      <c r="BB3552">
        <v>4.54</v>
      </c>
      <c r="BC3552">
        <v>57</v>
      </c>
      <c r="BD3552">
        <v>0.06</v>
      </c>
      <c r="BE3552">
        <v>0.09</v>
      </c>
      <c r="BF3552">
        <v>0.04</v>
      </c>
      <c r="BG3552">
        <v>91</v>
      </c>
      <c r="BH3552">
        <v>0.02</v>
      </c>
      <c r="BI3552">
        <v>14.34</v>
      </c>
      <c r="BJ3552">
        <v>3</v>
      </c>
      <c r="BK3552">
        <v>2</v>
      </c>
      <c r="BL3552">
        <v>-0.21</v>
      </c>
      <c r="BM3552">
        <v>1.88</v>
      </c>
      <c r="BN3552">
        <v>1.53</v>
      </c>
      <c r="BO3552">
        <v>-0.01</v>
      </c>
      <c r="BP3552">
        <v>1.24</v>
      </c>
      <c r="BQ3552">
        <v>-0.15</v>
      </c>
      <c r="BR3552">
        <v>0.49</v>
      </c>
      <c r="BS3552">
        <v>1.46</v>
      </c>
      <c r="BT3552">
        <v>-1.1200000000000001</v>
      </c>
      <c r="BU3552">
        <v>0.76</v>
      </c>
      <c r="BV3552">
        <v>-7.0000000000000007E-2</v>
      </c>
      <c r="BW3552">
        <v>0.04</v>
      </c>
      <c r="BX3552">
        <v>-0.56000000000000005</v>
      </c>
      <c r="BY3552">
        <v>0.82</v>
      </c>
      <c r="BZ3552">
        <v>0.32</v>
      </c>
      <c r="CA3552">
        <v>0.55000000000000004</v>
      </c>
      <c r="CB3552">
        <v>0.44</v>
      </c>
      <c r="CC3552">
        <v>0.25</v>
      </c>
      <c r="CD3552">
        <v>-0.01</v>
      </c>
      <c r="CE3552">
        <v>0.54</v>
      </c>
      <c r="CF3552">
        <v>1.4</v>
      </c>
      <c r="CG3552">
        <v>0</v>
      </c>
      <c r="CH3552">
        <v>0.51</v>
      </c>
      <c r="CI3552">
        <v>0</v>
      </c>
      <c r="CJ3552">
        <v>-3.4</v>
      </c>
      <c r="CK3552">
        <v>83</v>
      </c>
      <c r="CL3552">
        <v>-0.89</v>
      </c>
      <c r="CM3552">
        <v>80</v>
      </c>
      <c r="CN3552">
        <v>-0.3</v>
      </c>
      <c r="CO3552">
        <v>78</v>
      </c>
      <c r="CP3552">
        <v>-5.6</v>
      </c>
      <c r="CQ3552">
        <v>77</v>
      </c>
      <c r="CR3552">
        <v>0</v>
      </c>
      <c r="CS3552">
        <v>0</v>
      </c>
      <c r="CT3552">
        <v>-2.6</v>
      </c>
      <c r="CU3552">
        <v>66</v>
      </c>
      <c r="CV3552">
        <v>0.15</v>
      </c>
      <c r="CW3552">
        <v>42</v>
      </c>
      <c r="CX3552" t="s">
        <v>3414</v>
      </c>
    </row>
    <row r="3553" spans="1:102" x14ac:dyDescent="0.3">
      <c r="A3553" t="str">
        <f>HYPERLINK("https://webapp.icbf.com/v2/app/bull-search/view/586199303","TTD")</f>
        <v>TTD</v>
      </c>
      <c r="B3553" t="s">
        <v>268</v>
      </c>
      <c r="C3553" t="s">
        <v>269</v>
      </c>
      <c r="D3553" s="1">
        <v>37549</v>
      </c>
      <c r="E3553" t="s">
        <v>92</v>
      </c>
      <c r="F3553">
        <v>100</v>
      </c>
      <c r="G3553" t="s">
        <v>93</v>
      </c>
      <c r="H3553">
        <v>-45.13</v>
      </c>
      <c r="I3553">
        <v>88</v>
      </c>
      <c r="J3553">
        <v>33.630000000000003</v>
      </c>
      <c r="K3553">
        <v>96</v>
      </c>
      <c r="L3553">
        <v>-78.14</v>
      </c>
      <c r="M3553">
        <v>86</v>
      </c>
      <c r="N3553">
        <v>10.28</v>
      </c>
      <c r="O3553">
        <v>80</v>
      </c>
      <c r="P3553">
        <v>-8.75</v>
      </c>
      <c r="Q3553">
        <v>84</v>
      </c>
      <c r="R3553">
        <v>-1.61</v>
      </c>
      <c r="S3553">
        <v>79</v>
      </c>
      <c r="T3553">
        <v>0.8</v>
      </c>
      <c r="U3553">
        <v>88</v>
      </c>
      <c r="V3553">
        <v>-1.34</v>
      </c>
      <c r="W3553">
        <v>69</v>
      </c>
      <c r="X3553" t="s">
        <v>94</v>
      </c>
      <c r="Y3553" t="s">
        <v>270</v>
      </c>
      <c r="Z3553" t="s">
        <v>96</v>
      </c>
      <c r="AA3553" t="s">
        <v>271</v>
      </c>
      <c r="AB3553" t="s">
        <v>272</v>
      </c>
      <c r="AC3553">
        <v>62</v>
      </c>
      <c r="AD3553">
        <v>29</v>
      </c>
      <c r="AE3553">
        <v>96</v>
      </c>
      <c r="AF3553">
        <v>456.92</v>
      </c>
      <c r="AG3553">
        <v>7.53</v>
      </c>
      <c r="AH3553">
        <v>10.050000000000001</v>
      </c>
      <c r="AI3553">
        <v>-0.17</v>
      </c>
      <c r="AJ3553">
        <v>-0.09</v>
      </c>
      <c r="AK3553">
        <v>86</v>
      </c>
      <c r="AL3553">
        <v>61</v>
      </c>
      <c r="AM3553">
        <v>29</v>
      </c>
      <c r="AN3553">
        <v>4.37</v>
      </c>
      <c r="AO3553">
        <v>-1.86</v>
      </c>
      <c r="AP3553">
        <v>82</v>
      </c>
      <c r="AQ3553">
        <v>0</v>
      </c>
      <c r="AR3553">
        <v>8.85</v>
      </c>
      <c r="AS3553">
        <v>62</v>
      </c>
      <c r="AT3553">
        <v>3.83</v>
      </c>
      <c r="AU3553">
        <v>92</v>
      </c>
      <c r="AV3553">
        <v>-2.5099999999999998</v>
      </c>
      <c r="AW3553">
        <v>88</v>
      </c>
      <c r="AX3553">
        <v>-0.48</v>
      </c>
      <c r="AY3553">
        <v>74</v>
      </c>
      <c r="AZ3553">
        <v>6.9</v>
      </c>
      <c r="BA3553">
        <v>56</v>
      </c>
      <c r="BB3553">
        <v>5.01</v>
      </c>
      <c r="BC3553">
        <v>54</v>
      </c>
      <c r="BD3553">
        <v>0</v>
      </c>
      <c r="BE3553">
        <v>0.03</v>
      </c>
      <c r="BF3553">
        <v>-0.02</v>
      </c>
      <c r="BG3553">
        <v>91</v>
      </c>
      <c r="BH3553">
        <v>-0.04</v>
      </c>
      <c r="BI3553">
        <v>-0.31</v>
      </c>
      <c r="BJ3553">
        <v>19</v>
      </c>
      <c r="BK3553">
        <v>10</v>
      </c>
      <c r="BL3553">
        <v>1.58</v>
      </c>
      <c r="BM3553">
        <v>0.57999999999999996</v>
      </c>
      <c r="BN3553">
        <v>1.68</v>
      </c>
      <c r="BO3553">
        <v>1.2</v>
      </c>
      <c r="BP3553">
        <v>1.81</v>
      </c>
      <c r="BQ3553">
        <v>2.72</v>
      </c>
      <c r="BR3553">
        <v>-0.86</v>
      </c>
      <c r="BS3553">
        <v>-0.46</v>
      </c>
      <c r="BT3553">
        <v>-0.14000000000000001</v>
      </c>
      <c r="BU3553">
        <v>1.1200000000000001</v>
      </c>
      <c r="BV3553">
        <v>1.84</v>
      </c>
      <c r="BW3553">
        <v>2.0699999999999998</v>
      </c>
      <c r="BX3553">
        <v>0.53</v>
      </c>
      <c r="BY3553">
        <v>0.95</v>
      </c>
      <c r="BZ3553">
        <v>2.09</v>
      </c>
      <c r="CA3553">
        <v>1.08</v>
      </c>
      <c r="CB3553">
        <v>1.65</v>
      </c>
      <c r="CC3553">
        <v>-0.39</v>
      </c>
      <c r="CD3553">
        <v>-0.25</v>
      </c>
      <c r="CE3553">
        <v>0.55000000000000004</v>
      </c>
      <c r="CF3553">
        <v>1.35</v>
      </c>
      <c r="CG3553">
        <v>0</v>
      </c>
      <c r="CH3553">
        <v>1.22</v>
      </c>
      <c r="CI3553">
        <v>0</v>
      </c>
      <c r="CJ3553">
        <v>0.2</v>
      </c>
      <c r="CK3553">
        <v>85</v>
      </c>
      <c r="CL3553">
        <v>-1.19</v>
      </c>
      <c r="CM3553">
        <v>82</v>
      </c>
      <c r="CN3553">
        <v>-0.26</v>
      </c>
      <c r="CO3553">
        <v>80</v>
      </c>
      <c r="CP3553">
        <v>1.4</v>
      </c>
      <c r="CQ3553">
        <v>87</v>
      </c>
      <c r="CR3553">
        <v>0</v>
      </c>
      <c r="CS3553">
        <v>0</v>
      </c>
      <c r="CT3553">
        <v>12.7</v>
      </c>
      <c r="CU3553">
        <v>88</v>
      </c>
      <c r="CV3553">
        <v>0.27</v>
      </c>
      <c r="CW3553">
        <v>42</v>
      </c>
      <c r="CX3553" t="s">
        <v>273</v>
      </c>
    </row>
    <row r="3554" spans="1:102" x14ac:dyDescent="0.3">
      <c r="A3554" t="str">
        <f>HYPERLINK("https://webapp.icbf.com/v2/app/bull-search/view/77859115","CRA")</f>
        <v>CRA</v>
      </c>
      <c r="B3554" t="s">
        <v>3435</v>
      </c>
      <c r="C3554" t="s">
        <v>3436</v>
      </c>
      <c r="D3554" s="1">
        <v>32814</v>
      </c>
      <c r="E3554" t="s">
        <v>92</v>
      </c>
      <c r="F3554">
        <v>63</v>
      </c>
      <c r="G3554" t="s">
        <v>93</v>
      </c>
      <c r="H3554">
        <v>-45.17</v>
      </c>
      <c r="I3554">
        <v>64</v>
      </c>
      <c r="J3554">
        <v>-15.84</v>
      </c>
      <c r="K3554">
        <v>75</v>
      </c>
      <c r="L3554">
        <v>-13.53</v>
      </c>
      <c r="M3554">
        <v>57</v>
      </c>
      <c r="N3554">
        <v>-4.7699999999999996</v>
      </c>
      <c r="O3554">
        <v>50</v>
      </c>
      <c r="P3554">
        <v>-14.15</v>
      </c>
      <c r="Q3554">
        <v>72</v>
      </c>
      <c r="R3554">
        <v>-0.45</v>
      </c>
      <c r="S3554">
        <v>57</v>
      </c>
      <c r="T3554">
        <v>7.09</v>
      </c>
      <c r="U3554">
        <v>70</v>
      </c>
      <c r="V3554">
        <v>-3.52</v>
      </c>
      <c r="W3554">
        <v>33</v>
      </c>
      <c r="X3554" t="s">
        <v>94</v>
      </c>
      <c r="Y3554" t="s">
        <v>95</v>
      </c>
      <c r="Z3554" t="s">
        <v>96</v>
      </c>
      <c r="AA3554" t="s">
        <v>260</v>
      </c>
      <c r="AB3554" t="s">
        <v>261</v>
      </c>
      <c r="AC3554">
        <v>16</v>
      </c>
      <c r="AD3554">
        <v>14</v>
      </c>
      <c r="AE3554">
        <v>75</v>
      </c>
      <c r="AF3554">
        <v>-20.39</v>
      </c>
      <c r="AG3554">
        <v>-0.1</v>
      </c>
      <c r="AH3554">
        <v>-2.97</v>
      </c>
      <c r="AI3554">
        <v>0.01</v>
      </c>
      <c r="AJ3554">
        <v>-0.04</v>
      </c>
      <c r="AK3554">
        <v>57</v>
      </c>
      <c r="AL3554">
        <v>52</v>
      </c>
      <c r="AM3554">
        <v>38</v>
      </c>
      <c r="AN3554">
        <v>-0.12</v>
      </c>
      <c r="AO3554">
        <v>-1.21</v>
      </c>
      <c r="AP3554">
        <v>12</v>
      </c>
      <c r="AQ3554">
        <v>0</v>
      </c>
      <c r="AR3554">
        <v>6.99</v>
      </c>
      <c r="AS3554">
        <v>37</v>
      </c>
      <c r="AT3554">
        <v>3.21</v>
      </c>
      <c r="AU3554">
        <v>44</v>
      </c>
      <c r="AV3554">
        <v>0.33</v>
      </c>
      <c r="AW3554">
        <v>61</v>
      </c>
      <c r="AX3554">
        <v>1.1499999999999999</v>
      </c>
      <c r="AY3554">
        <v>60</v>
      </c>
      <c r="AZ3554">
        <v>5.69</v>
      </c>
      <c r="BA3554">
        <v>27</v>
      </c>
      <c r="BB3554">
        <v>5.23</v>
      </c>
      <c r="BC3554">
        <v>38</v>
      </c>
      <c r="BD3554">
        <v>-0.01</v>
      </c>
      <c r="BE3554">
        <v>0.03</v>
      </c>
      <c r="BF3554">
        <v>-0.03</v>
      </c>
      <c r="BG3554">
        <v>77</v>
      </c>
      <c r="BH3554">
        <v>-0.06</v>
      </c>
      <c r="BI3554">
        <v>4.42</v>
      </c>
      <c r="BJ3554">
        <v>6</v>
      </c>
      <c r="BK3554">
        <v>5</v>
      </c>
      <c r="BL3554">
        <v>-0.57999999999999996</v>
      </c>
      <c r="BM3554">
        <v>1.84</v>
      </c>
      <c r="BN3554">
        <v>0.98</v>
      </c>
      <c r="BO3554">
        <v>-0.8</v>
      </c>
      <c r="BP3554">
        <v>-1.82</v>
      </c>
      <c r="BQ3554">
        <v>1.64</v>
      </c>
      <c r="BR3554">
        <v>0.63</v>
      </c>
      <c r="BS3554">
        <v>0.25</v>
      </c>
      <c r="BT3554">
        <v>0.38</v>
      </c>
      <c r="BU3554">
        <v>0.09</v>
      </c>
      <c r="BV3554">
        <v>-0.76</v>
      </c>
      <c r="BW3554">
        <v>-1.06</v>
      </c>
      <c r="BX3554">
        <v>-0.7</v>
      </c>
      <c r="BY3554">
        <v>-0.3</v>
      </c>
      <c r="BZ3554">
        <v>-0.05</v>
      </c>
      <c r="CA3554">
        <v>-0.91</v>
      </c>
      <c r="CB3554">
        <v>-0.73</v>
      </c>
      <c r="CC3554">
        <v>-0.68</v>
      </c>
      <c r="CD3554">
        <v>1.55</v>
      </c>
      <c r="CE3554">
        <v>-0.87</v>
      </c>
      <c r="CF3554">
        <v>0.11</v>
      </c>
      <c r="CG3554">
        <v>0</v>
      </c>
      <c r="CH3554">
        <v>-1.48</v>
      </c>
      <c r="CI3554">
        <v>0</v>
      </c>
      <c r="CJ3554">
        <v>-4</v>
      </c>
      <c r="CK3554">
        <v>74</v>
      </c>
      <c r="CL3554">
        <v>-0.39</v>
      </c>
      <c r="CM3554">
        <v>71</v>
      </c>
      <c r="CN3554">
        <v>0.32</v>
      </c>
      <c r="CO3554">
        <v>67</v>
      </c>
      <c r="CP3554">
        <v>-5.7</v>
      </c>
      <c r="CQ3554">
        <v>75</v>
      </c>
      <c r="CR3554">
        <v>0</v>
      </c>
      <c r="CS3554">
        <v>0</v>
      </c>
      <c r="CT3554">
        <v>4.2</v>
      </c>
      <c r="CU3554">
        <v>70</v>
      </c>
      <c r="CV3554">
        <v>0.12</v>
      </c>
      <c r="CW3554">
        <v>20</v>
      </c>
      <c r="CX3554" t="s">
        <v>262</v>
      </c>
    </row>
    <row r="3555" spans="1:102" x14ac:dyDescent="0.3">
      <c r="A3555" t="str">
        <f>HYPERLINK("https://webapp.icbf.com/v2/app/bull-search/view/660029481","S1375")</f>
        <v>S1375</v>
      </c>
      <c r="B3555" t="s">
        <v>7862</v>
      </c>
      <c r="C3555" t="s">
        <v>7863</v>
      </c>
      <c r="D3555" s="1">
        <v>37921</v>
      </c>
      <c r="E3555" t="s">
        <v>140</v>
      </c>
      <c r="F3555">
        <v>0</v>
      </c>
      <c r="G3555" t="s">
        <v>109</v>
      </c>
      <c r="H3555">
        <v>-45.37</v>
      </c>
      <c r="I3555">
        <v>64</v>
      </c>
      <c r="J3555">
        <v>-28.32</v>
      </c>
      <c r="K3555">
        <v>85</v>
      </c>
      <c r="L3555">
        <v>-11.97</v>
      </c>
      <c r="M3555">
        <v>58</v>
      </c>
      <c r="N3555">
        <v>-19.55</v>
      </c>
      <c r="O3555">
        <v>49</v>
      </c>
      <c r="P3555">
        <v>13.93</v>
      </c>
      <c r="Q3555">
        <v>45</v>
      </c>
      <c r="R3555">
        <v>4.3600000000000003</v>
      </c>
      <c r="S3555">
        <v>55</v>
      </c>
      <c r="T3555">
        <v>6.87</v>
      </c>
      <c r="U3555">
        <v>45</v>
      </c>
      <c r="V3555">
        <v>-10.69</v>
      </c>
      <c r="W3555">
        <v>57</v>
      </c>
      <c r="X3555" t="s">
        <v>102</v>
      </c>
      <c r="Y3555" t="s">
        <v>342</v>
      </c>
      <c r="Z3555">
        <v>0</v>
      </c>
      <c r="AA3555" t="s">
        <v>1808</v>
      </c>
      <c r="AB3555" t="s">
        <v>698</v>
      </c>
      <c r="AC3555">
        <v>0</v>
      </c>
      <c r="AD3555">
        <v>0</v>
      </c>
      <c r="AE3555">
        <v>85</v>
      </c>
      <c r="AF3555">
        <v>-106.51</v>
      </c>
      <c r="AG3555">
        <v>-7.96</v>
      </c>
      <c r="AH3555">
        <v>-3.63</v>
      </c>
      <c r="AI3555">
        <v>-7.0000000000000007E-2</v>
      </c>
      <c r="AJ3555">
        <v>0</v>
      </c>
      <c r="AK3555">
        <v>58</v>
      </c>
      <c r="AL3555">
        <v>0</v>
      </c>
      <c r="AM3555">
        <v>0</v>
      </c>
      <c r="AN3555">
        <v>-0.56000000000000005</v>
      </c>
      <c r="AO3555">
        <v>-1.53</v>
      </c>
      <c r="AP3555">
        <v>2</v>
      </c>
      <c r="AQ3555">
        <v>0</v>
      </c>
      <c r="AR3555">
        <v>9.0299999999999994</v>
      </c>
      <c r="AS3555">
        <v>48</v>
      </c>
      <c r="AT3555">
        <v>4.43</v>
      </c>
      <c r="AU3555">
        <v>55</v>
      </c>
      <c r="AV3555">
        <v>1.59</v>
      </c>
      <c r="AW3555">
        <v>48</v>
      </c>
      <c r="AX3555">
        <v>-0.03</v>
      </c>
      <c r="AY3555">
        <v>45</v>
      </c>
      <c r="AZ3555">
        <v>4.67</v>
      </c>
      <c r="BA3555">
        <v>43</v>
      </c>
      <c r="BB3555">
        <v>3.14</v>
      </c>
      <c r="BC3555">
        <v>44</v>
      </c>
      <c r="BD3555">
        <v>0.01</v>
      </c>
      <c r="BE3555">
        <v>-0.03</v>
      </c>
      <c r="BF3555">
        <v>-0.06</v>
      </c>
      <c r="BG3555">
        <v>56</v>
      </c>
      <c r="BH3555">
        <v>-0.42</v>
      </c>
      <c r="BI3555">
        <v>-14.09</v>
      </c>
      <c r="BJ3555">
        <v>0</v>
      </c>
      <c r="BK3555">
        <v>0</v>
      </c>
      <c r="BL3555">
        <v>-0.62</v>
      </c>
      <c r="BM3555">
        <v>3.12</v>
      </c>
      <c r="BN3555">
        <v>-1.51</v>
      </c>
      <c r="BO3555">
        <v>-2.63</v>
      </c>
      <c r="BP3555">
        <v>4.42</v>
      </c>
      <c r="BQ3555">
        <v>-2.1800000000000002</v>
      </c>
      <c r="BR3555">
        <v>-2.7</v>
      </c>
      <c r="BS3555">
        <v>-0.53</v>
      </c>
      <c r="BT3555">
        <v>2.57</v>
      </c>
      <c r="BU3555">
        <v>-3.04</v>
      </c>
      <c r="BV3555">
        <v>-3.58</v>
      </c>
      <c r="BW3555">
        <v>-2.74</v>
      </c>
      <c r="BX3555">
        <v>-2.2599999999999998</v>
      </c>
      <c r="BY3555">
        <v>-2.19</v>
      </c>
      <c r="BZ3555">
        <v>1.23</v>
      </c>
      <c r="CA3555">
        <v>-2.1800000000000002</v>
      </c>
      <c r="CB3555">
        <v>-2.88</v>
      </c>
      <c r="CC3555">
        <v>-0.18</v>
      </c>
      <c r="CD3555">
        <v>3.64</v>
      </c>
      <c r="CE3555">
        <v>-2.63</v>
      </c>
      <c r="CF3555">
        <v>-0.81</v>
      </c>
      <c r="CG3555">
        <v>0</v>
      </c>
      <c r="CH3555">
        <v>-2.2000000000000002</v>
      </c>
      <c r="CI3555">
        <v>0</v>
      </c>
      <c r="CJ3555">
        <v>5.7</v>
      </c>
      <c r="CK3555">
        <v>45</v>
      </c>
      <c r="CL3555">
        <v>0.3</v>
      </c>
      <c r="CM3555">
        <v>45</v>
      </c>
      <c r="CN3555">
        <v>-0.23</v>
      </c>
      <c r="CO3555">
        <v>45</v>
      </c>
      <c r="CP3555">
        <v>1.8</v>
      </c>
      <c r="CQ3555">
        <v>45</v>
      </c>
      <c r="CR3555">
        <v>0</v>
      </c>
      <c r="CS3555">
        <v>0</v>
      </c>
      <c r="CT3555">
        <v>4.5</v>
      </c>
      <c r="CU3555">
        <v>45</v>
      </c>
      <c r="CV3555">
        <v>0.18</v>
      </c>
      <c r="CW3555">
        <v>34</v>
      </c>
      <c r="CX3555" t="s">
        <v>141</v>
      </c>
    </row>
    <row r="3556" spans="1:102" x14ac:dyDescent="0.3">
      <c r="A3556" t="str">
        <f>HYPERLINK("https://webapp.icbf.com/v2/app/bull-search/view/77857147","GOM")</f>
        <v>GOM</v>
      </c>
      <c r="B3556" t="s">
        <v>3793</v>
      </c>
      <c r="C3556" t="s">
        <v>3794</v>
      </c>
      <c r="D3556" s="1">
        <v>31750</v>
      </c>
      <c r="E3556" t="s">
        <v>92</v>
      </c>
      <c r="F3556">
        <v>88</v>
      </c>
      <c r="G3556" t="s">
        <v>116</v>
      </c>
      <c r="H3556">
        <v>-45.44</v>
      </c>
      <c r="I3556">
        <v>43</v>
      </c>
      <c r="J3556">
        <v>-13.38</v>
      </c>
      <c r="K3556">
        <v>48</v>
      </c>
      <c r="L3556">
        <v>-30.29</v>
      </c>
      <c r="M3556">
        <v>45</v>
      </c>
      <c r="N3556">
        <v>1.64</v>
      </c>
      <c r="O3556">
        <v>32</v>
      </c>
      <c r="P3556">
        <v>-7.08</v>
      </c>
      <c r="Q3556">
        <v>36</v>
      </c>
      <c r="R3556">
        <v>-4.42</v>
      </c>
      <c r="S3556">
        <v>44</v>
      </c>
      <c r="T3556">
        <v>12.94</v>
      </c>
      <c r="U3556">
        <v>35</v>
      </c>
      <c r="V3556">
        <v>-4.8499999999999996</v>
      </c>
      <c r="W3556">
        <v>34</v>
      </c>
      <c r="X3556" t="s">
        <v>102</v>
      </c>
      <c r="Y3556" t="s">
        <v>95</v>
      </c>
      <c r="Z3556" t="s">
        <v>96</v>
      </c>
      <c r="AA3556" t="s">
        <v>622</v>
      </c>
      <c r="AB3556" t="s">
        <v>3795</v>
      </c>
      <c r="AC3556">
        <v>7</v>
      </c>
      <c r="AD3556">
        <v>6</v>
      </c>
      <c r="AE3556">
        <v>48</v>
      </c>
      <c r="AF3556">
        <v>-160.82</v>
      </c>
      <c r="AG3556">
        <v>4.08</v>
      </c>
      <c r="AH3556">
        <v>-6.18</v>
      </c>
      <c r="AI3556">
        <v>0.18</v>
      </c>
      <c r="AJ3556">
        <v>-0.01</v>
      </c>
      <c r="AK3556">
        <v>45</v>
      </c>
      <c r="AL3556">
        <v>17</v>
      </c>
      <c r="AM3556">
        <v>10</v>
      </c>
      <c r="AN3556">
        <v>1.28</v>
      </c>
      <c r="AO3556">
        <v>-1.1399999999999999</v>
      </c>
      <c r="AP3556">
        <v>2</v>
      </c>
      <c r="AQ3556">
        <v>0</v>
      </c>
      <c r="AR3556">
        <v>5.85</v>
      </c>
      <c r="AS3556">
        <v>23</v>
      </c>
      <c r="AT3556">
        <v>2.38</v>
      </c>
      <c r="AU3556">
        <v>31</v>
      </c>
      <c r="AV3556">
        <v>0.55000000000000004</v>
      </c>
      <c r="AW3556">
        <v>32</v>
      </c>
      <c r="AX3556">
        <v>0.08</v>
      </c>
      <c r="AY3556">
        <v>50</v>
      </c>
      <c r="AZ3556">
        <v>7.07</v>
      </c>
      <c r="BA3556">
        <v>23</v>
      </c>
      <c r="BB3556">
        <v>5.56</v>
      </c>
      <c r="BC3556">
        <v>28</v>
      </c>
      <c r="BD3556">
        <v>0.04</v>
      </c>
      <c r="BE3556">
        <v>0.05</v>
      </c>
      <c r="BF3556">
        <v>-0.06</v>
      </c>
      <c r="BG3556">
        <v>58</v>
      </c>
      <c r="BH3556">
        <v>-0.08</v>
      </c>
      <c r="BI3556">
        <v>6.4</v>
      </c>
      <c r="BJ3556">
        <v>7</v>
      </c>
      <c r="BK3556">
        <v>3</v>
      </c>
      <c r="BL3556">
        <v>-1.65</v>
      </c>
      <c r="BM3556">
        <v>0.92</v>
      </c>
      <c r="BN3556">
        <v>-0.56000000000000005</v>
      </c>
      <c r="BO3556">
        <v>-1.59</v>
      </c>
      <c r="BP3556">
        <v>-0.93</v>
      </c>
      <c r="BQ3556">
        <v>-0.25</v>
      </c>
      <c r="BR3556">
        <v>1.59</v>
      </c>
      <c r="BS3556">
        <v>-0.64</v>
      </c>
      <c r="BT3556">
        <v>-1.7</v>
      </c>
      <c r="BU3556">
        <v>-0.49</v>
      </c>
      <c r="BV3556">
        <v>-1.46</v>
      </c>
      <c r="BW3556">
        <v>-1.63</v>
      </c>
      <c r="BX3556">
        <v>-1.25</v>
      </c>
      <c r="BY3556">
        <v>-0.23</v>
      </c>
      <c r="BZ3556">
        <v>-2.2400000000000002</v>
      </c>
      <c r="CA3556">
        <v>-1.67</v>
      </c>
      <c r="CB3556">
        <v>-1.39</v>
      </c>
      <c r="CC3556">
        <v>-1.47</v>
      </c>
      <c r="CD3556">
        <v>1.41</v>
      </c>
      <c r="CE3556">
        <v>-1.86</v>
      </c>
      <c r="CF3556">
        <v>-1.75</v>
      </c>
      <c r="CG3556">
        <v>0</v>
      </c>
      <c r="CH3556">
        <v>-1.1200000000000001</v>
      </c>
      <c r="CI3556">
        <v>0</v>
      </c>
      <c r="CJ3556">
        <v>-2.9</v>
      </c>
      <c r="CK3556">
        <v>37</v>
      </c>
      <c r="CL3556">
        <v>-0.26</v>
      </c>
      <c r="CM3556">
        <v>35</v>
      </c>
      <c r="CN3556">
        <v>-0.06</v>
      </c>
      <c r="CO3556">
        <v>33</v>
      </c>
      <c r="CP3556">
        <v>-7.3</v>
      </c>
      <c r="CQ3556">
        <v>38</v>
      </c>
      <c r="CR3556">
        <v>0</v>
      </c>
      <c r="CS3556">
        <v>0</v>
      </c>
      <c r="CT3556">
        <v>-3.7</v>
      </c>
      <c r="CU3556">
        <v>35</v>
      </c>
      <c r="CV3556">
        <v>-0.01</v>
      </c>
      <c r="CW3556">
        <v>10</v>
      </c>
      <c r="CX3556" t="s">
        <v>609</v>
      </c>
    </row>
    <row r="3557" spans="1:102" x14ac:dyDescent="0.3">
      <c r="A3557" t="str">
        <f>HYPERLINK("https://webapp.icbf.com/v2/app/bull-search/view/423410712","JKO")</f>
        <v>JKO</v>
      </c>
      <c r="B3557" t="s">
        <v>8812</v>
      </c>
      <c r="C3557" t="s">
        <v>8813</v>
      </c>
      <c r="D3557" s="1">
        <v>38279</v>
      </c>
      <c r="E3557" t="s">
        <v>92</v>
      </c>
      <c r="F3557">
        <v>100</v>
      </c>
      <c r="G3557" t="s">
        <v>93</v>
      </c>
      <c r="H3557">
        <v>-45.67</v>
      </c>
      <c r="I3557">
        <v>72</v>
      </c>
      <c r="J3557">
        <v>43.22</v>
      </c>
      <c r="K3557">
        <v>90</v>
      </c>
      <c r="L3557">
        <v>-113.15</v>
      </c>
      <c r="M3557">
        <v>53</v>
      </c>
      <c r="N3557">
        <v>25.05</v>
      </c>
      <c r="O3557">
        <v>69</v>
      </c>
      <c r="P3557">
        <v>-3.57</v>
      </c>
      <c r="Q3557">
        <v>84</v>
      </c>
      <c r="R3557">
        <v>-3.97</v>
      </c>
      <c r="S3557">
        <v>60</v>
      </c>
      <c r="T3557">
        <v>12.49</v>
      </c>
      <c r="U3557">
        <v>81</v>
      </c>
      <c r="V3557">
        <v>-5.74</v>
      </c>
      <c r="W3557">
        <v>50</v>
      </c>
      <c r="X3557" t="s">
        <v>94</v>
      </c>
      <c r="Y3557" t="s">
        <v>282</v>
      </c>
      <c r="Z3557" t="s">
        <v>96</v>
      </c>
      <c r="AA3557" t="s">
        <v>2589</v>
      </c>
      <c r="AB3557" t="s">
        <v>8814</v>
      </c>
      <c r="AC3557">
        <v>37</v>
      </c>
      <c r="AD3557">
        <v>28</v>
      </c>
      <c r="AE3557">
        <v>90</v>
      </c>
      <c r="AF3557">
        <v>430.65</v>
      </c>
      <c r="AG3557">
        <v>6.59</v>
      </c>
      <c r="AH3557">
        <v>11.61</v>
      </c>
      <c r="AI3557">
        <v>-0.16</v>
      </c>
      <c r="AJ3557">
        <v>-0.05</v>
      </c>
      <c r="AK3557">
        <v>53</v>
      </c>
      <c r="AL3557">
        <v>42</v>
      </c>
      <c r="AM3557">
        <v>30</v>
      </c>
      <c r="AN3557">
        <v>5.66</v>
      </c>
      <c r="AO3557">
        <v>-3.37</v>
      </c>
      <c r="AP3557">
        <v>76</v>
      </c>
      <c r="AQ3557">
        <v>0</v>
      </c>
      <c r="AR3557">
        <v>6.51</v>
      </c>
      <c r="AS3557">
        <v>43</v>
      </c>
      <c r="AT3557">
        <v>2.86</v>
      </c>
      <c r="AU3557">
        <v>68</v>
      </c>
      <c r="AV3557">
        <v>-2.4700000000000002</v>
      </c>
      <c r="AW3557">
        <v>87</v>
      </c>
      <c r="AX3557">
        <v>-0.18</v>
      </c>
      <c r="AY3557">
        <v>67</v>
      </c>
      <c r="AZ3557">
        <v>6.73</v>
      </c>
      <c r="BA3557">
        <v>36</v>
      </c>
      <c r="BB3557">
        <v>4.91</v>
      </c>
      <c r="BC3557">
        <v>41</v>
      </c>
      <c r="BD3557">
        <v>0.02</v>
      </c>
      <c r="BE3557">
        <v>0.02</v>
      </c>
      <c r="BF3557">
        <v>0.02</v>
      </c>
      <c r="BG3557">
        <v>68</v>
      </c>
      <c r="BH3557">
        <v>0.11</v>
      </c>
      <c r="BI3557">
        <v>31.23</v>
      </c>
      <c r="BJ3557">
        <v>3</v>
      </c>
      <c r="BK3557">
        <v>3</v>
      </c>
      <c r="BL3557">
        <v>7.0000000000000007E-2</v>
      </c>
      <c r="BM3557">
        <v>0.5</v>
      </c>
      <c r="BN3557">
        <v>0.35</v>
      </c>
      <c r="BO3557">
        <v>0.04</v>
      </c>
      <c r="BP3557">
        <v>0.96</v>
      </c>
      <c r="BQ3557">
        <v>-0.83</v>
      </c>
      <c r="BR3557">
        <v>-0.54</v>
      </c>
      <c r="BS3557">
        <v>-0.38</v>
      </c>
      <c r="BT3557">
        <v>0.34</v>
      </c>
      <c r="BU3557">
        <v>0.28999999999999998</v>
      </c>
      <c r="BV3557">
        <v>0.6</v>
      </c>
      <c r="BW3557">
        <v>0.46</v>
      </c>
      <c r="BX3557">
        <v>0.24</v>
      </c>
      <c r="BY3557">
        <v>1.05</v>
      </c>
      <c r="BZ3557">
        <v>-0.4</v>
      </c>
      <c r="CA3557">
        <v>0.19</v>
      </c>
      <c r="CB3557">
        <v>0.41</v>
      </c>
      <c r="CC3557">
        <v>-0.32</v>
      </c>
      <c r="CD3557">
        <v>0.39</v>
      </c>
      <c r="CE3557">
        <v>0.39</v>
      </c>
      <c r="CF3557">
        <v>-0.06</v>
      </c>
      <c r="CG3557">
        <v>0</v>
      </c>
      <c r="CH3557">
        <v>1.1399999999999999</v>
      </c>
      <c r="CI3557">
        <v>0</v>
      </c>
      <c r="CJ3557">
        <v>4.5</v>
      </c>
      <c r="CK3557">
        <v>86</v>
      </c>
      <c r="CL3557">
        <v>-0.81</v>
      </c>
      <c r="CM3557">
        <v>83</v>
      </c>
      <c r="CN3557">
        <v>0.16</v>
      </c>
      <c r="CO3557">
        <v>81</v>
      </c>
      <c r="CP3557">
        <v>3</v>
      </c>
      <c r="CQ3557">
        <v>82</v>
      </c>
      <c r="CR3557">
        <v>0</v>
      </c>
      <c r="CS3557">
        <v>0</v>
      </c>
      <c r="CT3557">
        <v>-3.1</v>
      </c>
      <c r="CU3557">
        <v>81</v>
      </c>
      <c r="CV3557">
        <v>0.39</v>
      </c>
      <c r="CW3557">
        <v>23</v>
      </c>
      <c r="CX3557" t="s">
        <v>174</v>
      </c>
    </row>
    <row r="3558" spans="1:102" x14ac:dyDescent="0.3">
      <c r="A3558" t="str">
        <f>HYPERLINK("https://webapp.icbf.com/v2/app/bull-search/view/77854183","RVL")</f>
        <v>RVL</v>
      </c>
      <c r="B3558" t="s">
        <v>10761</v>
      </c>
      <c r="C3558" t="s">
        <v>10762</v>
      </c>
      <c r="D3558" s="1">
        <v>33476</v>
      </c>
      <c r="E3558" t="s">
        <v>92</v>
      </c>
      <c r="F3558">
        <v>100</v>
      </c>
      <c r="G3558" t="s">
        <v>93</v>
      </c>
      <c r="H3558">
        <v>-45.71</v>
      </c>
      <c r="I3558">
        <v>91</v>
      </c>
      <c r="J3558">
        <v>24.33</v>
      </c>
      <c r="K3558">
        <v>97</v>
      </c>
      <c r="L3558">
        <v>-83.67</v>
      </c>
      <c r="M3558">
        <v>91</v>
      </c>
      <c r="N3558">
        <v>34.869999999999997</v>
      </c>
      <c r="O3558">
        <v>85</v>
      </c>
      <c r="P3558">
        <v>-7.37</v>
      </c>
      <c r="Q3558">
        <v>93</v>
      </c>
      <c r="R3558">
        <v>-10.18</v>
      </c>
      <c r="S3558">
        <v>83</v>
      </c>
      <c r="T3558">
        <v>5.24</v>
      </c>
      <c r="U3558">
        <v>85</v>
      </c>
      <c r="V3558">
        <v>-8.93</v>
      </c>
      <c r="W3558">
        <v>73</v>
      </c>
      <c r="X3558" t="s">
        <v>102</v>
      </c>
      <c r="Y3558" t="s">
        <v>95</v>
      </c>
      <c r="Z3558" t="s">
        <v>96</v>
      </c>
      <c r="AA3558" t="s">
        <v>132</v>
      </c>
      <c r="AB3558" t="s">
        <v>10763</v>
      </c>
      <c r="AC3558">
        <v>103</v>
      </c>
      <c r="AD3558">
        <v>58</v>
      </c>
      <c r="AE3558">
        <v>97</v>
      </c>
      <c r="AF3558">
        <v>-94.57</v>
      </c>
      <c r="AG3558">
        <v>9.67</v>
      </c>
      <c r="AH3558">
        <v>-0.73</v>
      </c>
      <c r="AI3558">
        <v>0.24</v>
      </c>
      <c r="AJ3558">
        <v>0.04</v>
      </c>
      <c r="AK3558">
        <v>91</v>
      </c>
      <c r="AL3558">
        <v>140</v>
      </c>
      <c r="AM3558">
        <v>87</v>
      </c>
      <c r="AN3558">
        <v>4.74</v>
      </c>
      <c r="AO3558">
        <v>-1.93</v>
      </c>
      <c r="AP3558">
        <v>80</v>
      </c>
      <c r="AQ3558">
        <v>1</v>
      </c>
      <c r="AR3558">
        <v>4.43</v>
      </c>
      <c r="AS3558">
        <v>74</v>
      </c>
      <c r="AT3558">
        <v>1.91</v>
      </c>
      <c r="AU3558">
        <v>89</v>
      </c>
      <c r="AV3558">
        <v>-3.6</v>
      </c>
      <c r="AW3558">
        <v>92</v>
      </c>
      <c r="AX3558">
        <v>-0.6</v>
      </c>
      <c r="AY3558">
        <v>85</v>
      </c>
      <c r="AZ3558">
        <v>8.83</v>
      </c>
      <c r="BA3558">
        <v>62</v>
      </c>
      <c r="BB3558">
        <v>6.3</v>
      </c>
      <c r="BC3558">
        <v>70</v>
      </c>
      <c r="BD3558">
        <v>0</v>
      </c>
      <c r="BE3558">
        <v>0.06</v>
      </c>
      <c r="BF3558">
        <v>0.12</v>
      </c>
      <c r="BG3558">
        <v>95</v>
      </c>
      <c r="BH3558">
        <v>-0.18</v>
      </c>
      <c r="BI3558">
        <v>7.98</v>
      </c>
      <c r="BJ3558">
        <v>7</v>
      </c>
      <c r="BK3558">
        <v>5</v>
      </c>
      <c r="BL3558">
        <v>-0.25</v>
      </c>
      <c r="BM3558">
        <v>-1.54</v>
      </c>
      <c r="BN3558">
        <v>-0.19</v>
      </c>
      <c r="BO3558">
        <v>0.12</v>
      </c>
      <c r="BP3558">
        <v>0.39</v>
      </c>
      <c r="BQ3558">
        <v>-2.62</v>
      </c>
      <c r="BR3558">
        <v>-0.16</v>
      </c>
      <c r="BS3558">
        <v>0.99</v>
      </c>
      <c r="BT3558">
        <v>-0.26</v>
      </c>
      <c r="BU3558">
        <v>-1.92</v>
      </c>
      <c r="BV3558">
        <v>-0.37</v>
      </c>
      <c r="BW3558">
        <v>-0.25</v>
      </c>
      <c r="BX3558">
        <v>-2.4900000000000002</v>
      </c>
      <c r="BY3558">
        <v>-1.38</v>
      </c>
      <c r="BZ3558">
        <v>2.06</v>
      </c>
      <c r="CA3558">
        <v>-0.9</v>
      </c>
      <c r="CB3558">
        <v>-1.58</v>
      </c>
      <c r="CC3558">
        <v>0.62</v>
      </c>
      <c r="CD3558">
        <v>-1.03</v>
      </c>
      <c r="CE3558">
        <v>0.06</v>
      </c>
      <c r="CF3558">
        <v>0.38</v>
      </c>
      <c r="CG3558">
        <v>0</v>
      </c>
      <c r="CH3558">
        <v>-1.63</v>
      </c>
      <c r="CI3558">
        <v>0</v>
      </c>
      <c r="CJ3558">
        <v>-3.6</v>
      </c>
      <c r="CK3558">
        <v>94</v>
      </c>
      <c r="CL3558">
        <v>-0.26</v>
      </c>
      <c r="CM3558">
        <v>92</v>
      </c>
      <c r="CN3558">
        <v>-0.1</v>
      </c>
      <c r="CO3558">
        <v>92</v>
      </c>
      <c r="CP3558">
        <v>-5.9</v>
      </c>
      <c r="CQ3558">
        <v>92</v>
      </c>
      <c r="CR3558">
        <v>0</v>
      </c>
      <c r="CS3558">
        <v>0</v>
      </c>
      <c r="CT3558">
        <v>6.7</v>
      </c>
      <c r="CU3558">
        <v>85</v>
      </c>
      <c r="CV3558">
        <v>-0.11</v>
      </c>
      <c r="CW3558">
        <v>44</v>
      </c>
      <c r="CX3558" t="s">
        <v>552</v>
      </c>
    </row>
    <row r="3559" spans="1:102" x14ac:dyDescent="0.3">
      <c r="A3559" t="str">
        <f>HYPERLINK("https://webapp.icbf.com/v2/app/bull-search/view/77858197","EKO")</f>
        <v>EKO</v>
      </c>
      <c r="B3559" t="s">
        <v>11438</v>
      </c>
      <c r="C3559" t="s">
        <v>1361</v>
      </c>
      <c r="D3559" s="1">
        <v>33841</v>
      </c>
      <c r="E3559" t="s">
        <v>92</v>
      </c>
      <c r="F3559">
        <v>100</v>
      </c>
      <c r="G3559" t="s">
        <v>93</v>
      </c>
      <c r="H3559">
        <v>-45.77</v>
      </c>
      <c r="I3559">
        <v>89</v>
      </c>
      <c r="J3559">
        <v>28.52</v>
      </c>
      <c r="K3559">
        <v>97</v>
      </c>
      <c r="L3559">
        <v>-97.33</v>
      </c>
      <c r="M3559">
        <v>92</v>
      </c>
      <c r="N3559">
        <v>10.7</v>
      </c>
      <c r="O3559">
        <v>80</v>
      </c>
      <c r="P3559">
        <v>-12.47</v>
      </c>
      <c r="Q3559">
        <v>81</v>
      </c>
      <c r="R3559">
        <v>0.33</v>
      </c>
      <c r="S3559">
        <v>83</v>
      </c>
      <c r="T3559">
        <v>20.34</v>
      </c>
      <c r="U3559">
        <v>76</v>
      </c>
      <c r="V3559">
        <v>4.1399999999999997</v>
      </c>
      <c r="W3559">
        <v>75</v>
      </c>
      <c r="X3559" t="s">
        <v>94</v>
      </c>
      <c r="Y3559" t="s">
        <v>95</v>
      </c>
      <c r="Z3559" t="s">
        <v>96</v>
      </c>
      <c r="AA3559" t="s">
        <v>485</v>
      </c>
      <c r="AB3559" t="s">
        <v>766</v>
      </c>
      <c r="AC3559">
        <v>68</v>
      </c>
      <c r="AD3559">
        <v>35</v>
      </c>
      <c r="AE3559">
        <v>97</v>
      </c>
      <c r="AF3559">
        <v>242.69</v>
      </c>
      <c r="AG3559">
        <v>3.04</v>
      </c>
      <c r="AH3559">
        <v>7.49</v>
      </c>
      <c r="AI3559">
        <v>-0.11</v>
      </c>
      <c r="AJ3559">
        <v>-0.01</v>
      </c>
      <c r="AK3559">
        <v>92</v>
      </c>
      <c r="AL3559">
        <v>63</v>
      </c>
      <c r="AM3559">
        <v>38</v>
      </c>
      <c r="AN3559">
        <v>6.25</v>
      </c>
      <c r="AO3559">
        <v>-1.5</v>
      </c>
      <c r="AP3559">
        <v>9</v>
      </c>
      <c r="AQ3559">
        <v>0</v>
      </c>
      <c r="AR3559">
        <v>7.5</v>
      </c>
      <c r="AS3559">
        <v>72</v>
      </c>
      <c r="AT3559">
        <v>3.28</v>
      </c>
      <c r="AU3559">
        <v>96</v>
      </c>
      <c r="AV3559">
        <v>-1.45</v>
      </c>
      <c r="AW3559">
        <v>77</v>
      </c>
      <c r="AX3559">
        <v>0.24</v>
      </c>
      <c r="AY3559">
        <v>78</v>
      </c>
      <c r="AZ3559">
        <v>6.31</v>
      </c>
      <c r="BA3559">
        <v>66</v>
      </c>
      <c r="BB3559">
        <v>4.8499999999999996</v>
      </c>
      <c r="BC3559">
        <v>71</v>
      </c>
      <c r="BD3559">
        <v>-0.01</v>
      </c>
      <c r="BE3559">
        <v>0.01</v>
      </c>
      <c r="BF3559">
        <v>-0.01</v>
      </c>
      <c r="BG3559">
        <v>94</v>
      </c>
      <c r="BH3559">
        <v>0.14000000000000001</v>
      </c>
      <c r="BI3559">
        <v>2.85</v>
      </c>
      <c r="BJ3559">
        <v>4</v>
      </c>
      <c r="BK3559">
        <v>3</v>
      </c>
      <c r="BL3559">
        <v>-0.31</v>
      </c>
      <c r="BM3559">
        <v>0.56999999999999995</v>
      </c>
      <c r="BN3559">
        <v>0.32</v>
      </c>
      <c r="BO3559">
        <v>0.42</v>
      </c>
      <c r="BP3559">
        <v>-0.47</v>
      </c>
      <c r="BQ3559">
        <v>-0.35</v>
      </c>
      <c r="BR3559">
        <v>3.37</v>
      </c>
      <c r="BS3559">
        <v>-2.4500000000000002</v>
      </c>
      <c r="BT3559">
        <v>-3.3</v>
      </c>
      <c r="BU3559">
        <v>1.59</v>
      </c>
      <c r="BV3559">
        <v>0.91</v>
      </c>
      <c r="BW3559">
        <v>0.49</v>
      </c>
      <c r="BX3559">
        <v>-0.09</v>
      </c>
      <c r="BY3559">
        <v>2.5099999999999998</v>
      </c>
      <c r="BZ3559">
        <v>-0.77</v>
      </c>
      <c r="CA3559">
        <v>0.19</v>
      </c>
      <c r="CB3559">
        <v>1.73</v>
      </c>
      <c r="CC3559">
        <v>-3.02</v>
      </c>
      <c r="CD3559">
        <v>-0.26</v>
      </c>
      <c r="CE3559">
        <v>-0.06</v>
      </c>
      <c r="CF3559">
        <v>-1.63</v>
      </c>
      <c r="CG3559">
        <v>0</v>
      </c>
      <c r="CH3559">
        <v>2.59</v>
      </c>
      <c r="CI3559">
        <v>0</v>
      </c>
      <c r="CJ3559">
        <v>-4.4000000000000004</v>
      </c>
      <c r="CK3559">
        <v>82</v>
      </c>
      <c r="CL3559">
        <v>-0.65</v>
      </c>
      <c r="CM3559">
        <v>80</v>
      </c>
      <c r="CN3559">
        <v>-0.22</v>
      </c>
      <c r="CO3559">
        <v>78</v>
      </c>
      <c r="CP3559">
        <v>-15.1</v>
      </c>
      <c r="CQ3559">
        <v>86</v>
      </c>
      <c r="CR3559">
        <v>0</v>
      </c>
      <c r="CS3559">
        <v>0</v>
      </c>
      <c r="CT3559">
        <v>-13.7</v>
      </c>
      <c r="CU3559">
        <v>76</v>
      </c>
      <c r="CV3559">
        <v>0.1</v>
      </c>
      <c r="CW3559">
        <v>43</v>
      </c>
      <c r="CX3559" t="s">
        <v>166</v>
      </c>
    </row>
    <row r="3560" spans="1:102" x14ac:dyDescent="0.3">
      <c r="A3560" t="str">
        <f>HYPERLINK("https://webapp.icbf.com/v2/app/bull-search/view/77852719","WVD")</f>
        <v>WVD</v>
      </c>
      <c r="B3560" t="s">
        <v>3534</v>
      </c>
      <c r="C3560" t="s">
        <v>3535</v>
      </c>
      <c r="D3560" s="1">
        <v>35482</v>
      </c>
      <c r="E3560" t="s">
        <v>92</v>
      </c>
      <c r="F3560">
        <v>100</v>
      </c>
      <c r="G3560" t="s">
        <v>93</v>
      </c>
      <c r="H3560">
        <v>-45.82</v>
      </c>
      <c r="I3560">
        <v>78</v>
      </c>
      <c r="J3560">
        <v>25.2</v>
      </c>
      <c r="K3560">
        <v>95</v>
      </c>
      <c r="L3560">
        <v>-93.77</v>
      </c>
      <c r="M3560">
        <v>66</v>
      </c>
      <c r="N3560">
        <v>14.15</v>
      </c>
      <c r="O3560">
        <v>73</v>
      </c>
      <c r="P3560">
        <v>-5.81</v>
      </c>
      <c r="Q3560">
        <v>88</v>
      </c>
      <c r="R3560">
        <v>-2.91</v>
      </c>
      <c r="S3560">
        <v>69</v>
      </c>
      <c r="T3560">
        <v>22.85</v>
      </c>
      <c r="U3560">
        <v>74</v>
      </c>
      <c r="V3560">
        <v>-5.53</v>
      </c>
      <c r="W3560">
        <v>44</v>
      </c>
      <c r="X3560" t="s">
        <v>558</v>
      </c>
      <c r="Y3560" t="s">
        <v>95</v>
      </c>
      <c r="Z3560" t="s">
        <v>96</v>
      </c>
      <c r="AA3560" t="s">
        <v>529</v>
      </c>
      <c r="AB3560" t="s">
        <v>723</v>
      </c>
      <c r="AC3560">
        <v>85</v>
      </c>
      <c r="AD3560">
        <v>58</v>
      </c>
      <c r="AE3560">
        <v>95</v>
      </c>
      <c r="AF3560">
        <v>288.92</v>
      </c>
      <c r="AG3560">
        <v>4.49</v>
      </c>
      <c r="AH3560">
        <v>7.12</v>
      </c>
      <c r="AI3560">
        <v>-0.11</v>
      </c>
      <c r="AJ3560">
        <v>-0.04</v>
      </c>
      <c r="AK3560">
        <v>66</v>
      </c>
      <c r="AL3560">
        <v>85</v>
      </c>
      <c r="AM3560">
        <v>49</v>
      </c>
      <c r="AN3560">
        <v>4.99</v>
      </c>
      <c r="AO3560">
        <v>-2.4900000000000002</v>
      </c>
      <c r="AP3560">
        <v>50</v>
      </c>
      <c r="AQ3560">
        <v>0</v>
      </c>
      <c r="AR3560">
        <v>7.68</v>
      </c>
      <c r="AS3560">
        <v>50</v>
      </c>
      <c r="AT3560">
        <v>3.26</v>
      </c>
      <c r="AU3560">
        <v>72</v>
      </c>
      <c r="AV3560">
        <v>-1.6</v>
      </c>
      <c r="AW3560">
        <v>85</v>
      </c>
      <c r="AX3560">
        <v>-0.17</v>
      </c>
      <c r="AY3560">
        <v>74</v>
      </c>
      <c r="AZ3560">
        <v>5.47</v>
      </c>
      <c r="BA3560">
        <v>54</v>
      </c>
      <c r="BB3560">
        <v>4.78</v>
      </c>
      <c r="BC3560">
        <v>58</v>
      </c>
      <c r="BD3560">
        <v>0</v>
      </c>
      <c r="BE3560">
        <v>0.03</v>
      </c>
      <c r="BF3560">
        <v>0.01</v>
      </c>
      <c r="BG3560">
        <v>83</v>
      </c>
      <c r="BH3560">
        <v>-7.0000000000000007E-2</v>
      </c>
      <c r="BI3560">
        <v>9.74</v>
      </c>
      <c r="BJ3560">
        <v>14</v>
      </c>
      <c r="BK3560">
        <v>9</v>
      </c>
      <c r="BL3560">
        <v>0.88</v>
      </c>
      <c r="BM3560">
        <v>0.95</v>
      </c>
      <c r="BN3560">
        <v>1</v>
      </c>
      <c r="BO3560">
        <v>0.3</v>
      </c>
      <c r="BP3560">
        <v>0.14000000000000001</v>
      </c>
      <c r="BQ3560">
        <v>0.09</v>
      </c>
      <c r="BR3560">
        <v>0.21</v>
      </c>
      <c r="BS3560">
        <v>-2.09</v>
      </c>
      <c r="BT3560">
        <v>-0.6</v>
      </c>
      <c r="BU3560">
        <v>0.55000000000000004</v>
      </c>
      <c r="BV3560">
        <v>0.46</v>
      </c>
      <c r="BW3560">
        <v>-0.26</v>
      </c>
      <c r="BX3560">
        <v>0.51</v>
      </c>
      <c r="BY3560">
        <v>-0.15</v>
      </c>
      <c r="BZ3560">
        <v>-0.05</v>
      </c>
      <c r="CA3560">
        <v>-0.79</v>
      </c>
      <c r="CB3560">
        <v>-0.03</v>
      </c>
      <c r="CC3560">
        <v>-1.92</v>
      </c>
      <c r="CD3560">
        <v>0.22</v>
      </c>
      <c r="CE3560">
        <v>0.12</v>
      </c>
      <c r="CF3560">
        <v>0.59</v>
      </c>
      <c r="CG3560">
        <v>0</v>
      </c>
      <c r="CH3560">
        <v>-0.57999999999999996</v>
      </c>
      <c r="CI3560">
        <v>0</v>
      </c>
      <c r="CJ3560">
        <v>2.2000000000000002</v>
      </c>
      <c r="CK3560">
        <v>89</v>
      </c>
      <c r="CL3560">
        <v>-0.89</v>
      </c>
      <c r="CM3560">
        <v>87</v>
      </c>
      <c r="CN3560">
        <v>-0.16</v>
      </c>
      <c r="CO3560">
        <v>85</v>
      </c>
      <c r="CP3560">
        <v>-10.199999999999999</v>
      </c>
      <c r="CQ3560">
        <v>88</v>
      </c>
      <c r="CR3560">
        <v>0</v>
      </c>
      <c r="CS3560">
        <v>0</v>
      </c>
      <c r="CT3560">
        <v>-17.100000000000001</v>
      </c>
      <c r="CU3560">
        <v>74</v>
      </c>
      <c r="CV3560">
        <v>0.33</v>
      </c>
      <c r="CW3560">
        <v>26</v>
      </c>
      <c r="CX3560" t="s">
        <v>485</v>
      </c>
    </row>
    <row r="3561" spans="1:102" x14ac:dyDescent="0.3">
      <c r="A3561" t="str">
        <f>HYPERLINK("https://webapp.icbf.com/v2/app/bull-search/view/69091357","CMI")</f>
        <v>CMI</v>
      </c>
      <c r="B3561" t="s">
        <v>571</v>
      </c>
      <c r="C3561" t="s">
        <v>572</v>
      </c>
      <c r="D3561" s="1">
        <v>34787</v>
      </c>
      <c r="E3561" t="s">
        <v>92</v>
      </c>
      <c r="F3561">
        <v>100</v>
      </c>
      <c r="G3561" t="s">
        <v>93</v>
      </c>
      <c r="H3561">
        <v>-45.95</v>
      </c>
      <c r="I3561">
        <v>94</v>
      </c>
      <c r="J3561">
        <v>3.59</v>
      </c>
      <c r="K3561">
        <v>98</v>
      </c>
      <c r="L3561">
        <v>-40.67</v>
      </c>
      <c r="M3561">
        <v>92</v>
      </c>
      <c r="N3561">
        <v>7.23</v>
      </c>
      <c r="O3561">
        <v>91</v>
      </c>
      <c r="P3561">
        <v>-5.09</v>
      </c>
      <c r="Q3561">
        <v>97</v>
      </c>
      <c r="R3561">
        <v>-6.54</v>
      </c>
      <c r="S3561">
        <v>85</v>
      </c>
      <c r="T3561">
        <v>6.5</v>
      </c>
      <c r="U3561">
        <v>93</v>
      </c>
      <c r="V3561">
        <v>-10.97</v>
      </c>
      <c r="W3561">
        <v>80</v>
      </c>
      <c r="X3561" t="s">
        <v>276</v>
      </c>
      <c r="Y3561" t="s">
        <v>95</v>
      </c>
      <c r="Z3561" t="s">
        <v>96</v>
      </c>
      <c r="AA3561" t="s">
        <v>573</v>
      </c>
      <c r="AB3561" t="s">
        <v>574</v>
      </c>
      <c r="AC3561">
        <v>245</v>
      </c>
      <c r="AD3561">
        <v>135</v>
      </c>
      <c r="AE3561">
        <v>98</v>
      </c>
      <c r="AF3561">
        <v>154.03</v>
      </c>
      <c r="AG3561">
        <v>0.59</v>
      </c>
      <c r="AH3561">
        <v>2.76</v>
      </c>
      <c r="AI3561">
        <v>-0.09</v>
      </c>
      <c r="AJ3561">
        <v>-0.04</v>
      </c>
      <c r="AK3561">
        <v>92</v>
      </c>
      <c r="AL3561">
        <v>252</v>
      </c>
      <c r="AM3561">
        <v>138</v>
      </c>
      <c r="AN3561">
        <v>0.91</v>
      </c>
      <c r="AO3561">
        <v>-2.35</v>
      </c>
      <c r="AP3561">
        <v>442</v>
      </c>
      <c r="AQ3561">
        <v>0</v>
      </c>
      <c r="AR3561">
        <v>6.87</v>
      </c>
      <c r="AS3561">
        <v>81</v>
      </c>
      <c r="AT3561">
        <v>3.25</v>
      </c>
      <c r="AU3561">
        <v>94</v>
      </c>
      <c r="AV3561">
        <v>-0.25</v>
      </c>
      <c r="AW3561">
        <v>96</v>
      </c>
      <c r="AX3561">
        <v>-0.47</v>
      </c>
      <c r="AY3561">
        <v>92</v>
      </c>
      <c r="AZ3561">
        <v>5.6</v>
      </c>
      <c r="BA3561">
        <v>77</v>
      </c>
      <c r="BB3561">
        <v>4.59</v>
      </c>
      <c r="BC3561">
        <v>79</v>
      </c>
      <c r="BD3561">
        <v>0.05</v>
      </c>
      <c r="BE3561">
        <v>0.03</v>
      </c>
      <c r="BF3561">
        <v>0.01</v>
      </c>
      <c r="BG3561">
        <v>95</v>
      </c>
      <c r="BH3561">
        <v>-0.35</v>
      </c>
      <c r="BI3561">
        <v>-5.0999999999999996</v>
      </c>
      <c r="BJ3561">
        <v>62</v>
      </c>
      <c r="BK3561">
        <v>32</v>
      </c>
      <c r="BL3561">
        <v>0.43</v>
      </c>
      <c r="BM3561">
        <v>-0.33</v>
      </c>
      <c r="BN3561">
        <v>-0.24</v>
      </c>
      <c r="BO3561">
        <v>-7.0000000000000007E-2</v>
      </c>
      <c r="BP3561">
        <v>-1.01</v>
      </c>
      <c r="BQ3561">
        <v>0.26</v>
      </c>
      <c r="BR3561">
        <v>2.89</v>
      </c>
      <c r="BS3561">
        <v>-0.47</v>
      </c>
      <c r="BT3561">
        <v>-1.1599999999999999</v>
      </c>
      <c r="BU3561">
        <v>1.93</v>
      </c>
      <c r="BV3561">
        <v>0.99</v>
      </c>
      <c r="BW3561">
        <v>1.52</v>
      </c>
      <c r="BX3561">
        <v>2</v>
      </c>
      <c r="BY3561">
        <v>2.76</v>
      </c>
      <c r="BZ3561">
        <v>-1.19</v>
      </c>
      <c r="CA3561">
        <v>1.1399999999999999</v>
      </c>
      <c r="CB3561">
        <v>1.99</v>
      </c>
      <c r="CC3561">
        <v>-1.32</v>
      </c>
      <c r="CD3561">
        <v>0.1</v>
      </c>
      <c r="CE3561">
        <v>-0.14000000000000001</v>
      </c>
      <c r="CF3561">
        <v>0.26</v>
      </c>
      <c r="CG3561">
        <v>0</v>
      </c>
      <c r="CH3561">
        <v>2.73</v>
      </c>
      <c r="CI3561">
        <v>0</v>
      </c>
      <c r="CJ3561">
        <v>-0.4</v>
      </c>
      <c r="CK3561">
        <v>97</v>
      </c>
      <c r="CL3561">
        <v>-0.78</v>
      </c>
      <c r="CM3561">
        <v>97</v>
      </c>
      <c r="CN3561">
        <v>-0.32</v>
      </c>
      <c r="CO3561">
        <v>96</v>
      </c>
      <c r="CP3561">
        <v>-1.6</v>
      </c>
      <c r="CQ3561">
        <v>96</v>
      </c>
      <c r="CR3561">
        <v>0</v>
      </c>
      <c r="CS3561">
        <v>0</v>
      </c>
      <c r="CT3561">
        <v>5</v>
      </c>
      <c r="CU3561">
        <v>93</v>
      </c>
      <c r="CV3561">
        <v>0.15</v>
      </c>
      <c r="CW3561">
        <v>45</v>
      </c>
      <c r="CX3561" t="s">
        <v>132</v>
      </c>
    </row>
    <row r="3562" spans="1:102" x14ac:dyDescent="0.3">
      <c r="A3562" t="str">
        <f>HYPERLINK("https://webapp.icbf.com/v2/app/bull-search/view/804576815","S1396")</f>
        <v>S1396</v>
      </c>
      <c r="B3562" t="s">
        <v>15324</v>
      </c>
      <c r="C3562" t="s">
        <v>15325</v>
      </c>
      <c r="D3562" s="1">
        <v>39727</v>
      </c>
      <c r="E3562" t="s">
        <v>92</v>
      </c>
      <c r="F3562">
        <v>100</v>
      </c>
      <c r="G3562" t="s">
        <v>109</v>
      </c>
      <c r="H3562">
        <v>-45.99</v>
      </c>
      <c r="I3562">
        <v>74</v>
      </c>
      <c r="J3562">
        <v>23.89</v>
      </c>
      <c r="K3562">
        <v>91</v>
      </c>
      <c r="L3562">
        <v>-61.76</v>
      </c>
      <c r="M3562">
        <v>77</v>
      </c>
      <c r="N3562">
        <v>12.6</v>
      </c>
      <c r="O3562">
        <v>54</v>
      </c>
      <c r="P3562">
        <v>-8.73</v>
      </c>
      <c r="Q3562">
        <v>47</v>
      </c>
      <c r="R3562">
        <v>-3.97</v>
      </c>
      <c r="S3562">
        <v>73</v>
      </c>
      <c r="T3562">
        <v>1.91</v>
      </c>
      <c r="U3562">
        <v>53</v>
      </c>
      <c r="V3562">
        <v>-9.93</v>
      </c>
      <c r="W3562">
        <v>58</v>
      </c>
      <c r="X3562" t="s">
        <v>234</v>
      </c>
      <c r="Y3562" t="s">
        <v>342</v>
      </c>
      <c r="Z3562" t="s">
        <v>96</v>
      </c>
      <c r="AA3562" t="s">
        <v>2358</v>
      </c>
      <c r="AB3562" t="s">
        <v>15326</v>
      </c>
      <c r="AC3562">
        <v>0</v>
      </c>
      <c r="AD3562">
        <v>0</v>
      </c>
      <c r="AE3562">
        <v>91</v>
      </c>
      <c r="AF3562">
        <v>376.11</v>
      </c>
      <c r="AG3562">
        <v>1.33</v>
      </c>
      <c r="AH3562">
        <v>9.35</v>
      </c>
      <c r="AI3562">
        <v>-0.22</v>
      </c>
      <c r="AJ3562">
        <v>-0.06</v>
      </c>
      <c r="AK3562">
        <v>77</v>
      </c>
      <c r="AL3562">
        <v>0</v>
      </c>
      <c r="AM3562">
        <v>0</v>
      </c>
      <c r="AN3562">
        <v>3.8</v>
      </c>
      <c r="AO3562">
        <v>-1.1200000000000001</v>
      </c>
      <c r="AP3562">
        <v>3</v>
      </c>
      <c r="AQ3562">
        <v>0</v>
      </c>
      <c r="AR3562">
        <v>8.59</v>
      </c>
      <c r="AS3562">
        <v>53</v>
      </c>
      <c r="AT3562">
        <v>3.52</v>
      </c>
      <c r="AU3562">
        <v>84</v>
      </c>
      <c r="AV3562">
        <v>-2.85</v>
      </c>
      <c r="AW3562">
        <v>43</v>
      </c>
      <c r="AX3562">
        <v>-0.37</v>
      </c>
      <c r="AY3562">
        <v>44</v>
      </c>
      <c r="AZ3562">
        <v>6.91</v>
      </c>
      <c r="BA3562">
        <v>40</v>
      </c>
      <c r="BB3562">
        <v>5.73</v>
      </c>
      <c r="BC3562">
        <v>41</v>
      </c>
      <c r="BD3562">
        <v>0.02</v>
      </c>
      <c r="BE3562">
        <v>0.02</v>
      </c>
      <c r="BF3562">
        <v>0.02</v>
      </c>
      <c r="BG3562">
        <v>90</v>
      </c>
      <c r="BH3562">
        <v>-0.08</v>
      </c>
      <c r="BI3562">
        <v>22.77</v>
      </c>
      <c r="BJ3562">
        <v>0</v>
      </c>
      <c r="BK3562">
        <v>0</v>
      </c>
      <c r="BL3562">
        <v>0.46</v>
      </c>
      <c r="BM3562">
        <v>-1.18</v>
      </c>
      <c r="BN3562">
        <v>-1.1200000000000001</v>
      </c>
      <c r="BO3562">
        <v>0.52</v>
      </c>
      <c r="BP3562">
        <v>-1.69</v>
      </c>
      <c r="BQ3562">
        <v>-1.23</v>
      </c>
      <c r="BR3562">
        <v>0.16</v>
      </c>
      <c r="BS3562">
        <v>-0.82</v>
      </c>
      <c r="BT3562">
        <v>0.42</v>
      </c>
      <c r="BU3562">
        <v>1.3</v>
      </c>
      <c r="BV3562">
        <v>0.99</v>
      </c>
      <c r="BW3562">
        <v>0.45</v>
      </c>
      <c r="BX3562">
        <v>1.1100000000000001</v>
      </c>
      <c r="BY3562">
        <v>-0.16</v>
      </c>
      <c r="BZ3562">
        <v>-1.08</v>
      </c>
      <c r="CA3562">
        <v>0.57999999999999996</v>
      </c>
      <c r="CB3562">
        <v>0.75</v>
      </c>
      <c r="CC3562">
        <v>-0.16</v>
      </c>
      <c r="CD3562">
        <v>-0.23</v>
      </c>
      <c r="CE3562">
        <v>0.21</v>
      </c>
      <c r="CF3562">
        <v>-0.04</v>
      </c>
      <c r="CG3562">
        <v>0</v>
      </c>
      <c r="CH3562">
        <v>0.36</v>
      </c>
      <c r="CI3562">
        <v>0</v>
      </c>
      <c r="CJ3562">
        <v>-3.3</v>
      </c>
      <c r="CK3562">
        <v>49</v>
      </c>
      <c r="CL3562">
        <v>-1.05</v>
      </c>
      <c r="CM3562">
        <v>44</v>
      </c>
      <c r="CN3562">
        <v>-0.56999999999999995</v>
      </c>
      <c r="CO3562">
        <v>43</v>
      </c>
      <c r="CP3562">
        <v>-0.1</v>
      </c>
      <c r="CQ3562">
        <v>50</v>
      </c>
      <c r="CR3562">
        <v>0</v>
      </c>
      <c r="CS3562">
        <v>0</v>
      </c>
      <c r="CT3562">
        <v>11.2</v>
      </c>
      <c r="CU3562">
        <v>53</v>
      </c>
      <c r="CV3562">
        <v>0.08</v>
      </c>
      <c r="CW3562">
        <v>34</v>
      </c>
      <c r="CX3562" t="s">
        <v>15327</v>
      </c>
    </row>
    <row r="3563" spans="1:102" x14ac:dyDescent="0.3">
      <c r="A3563" t="str">
        <f>HYPERLINK("https://webapp.icbf.com/v2/app/bull-search/view/437083921","MSZ")</f>
        <v>MSZ</v>
      </c>
      <c r="B3563" t="s">
        <v>9972</v>
      </c>
      <c r="C3563" t="s">
        <v>9973</v>
      </c>
      <c r="D3563" s="1">
        <v>36441</v>
      </c>
      <c r="E3563" t="s">
        <v>92</v>
      </c>
      <c r="F3563">
        <v>100</v>
      </c>
      <c r="G3563" t="s">
        <v>93</v>
      </c>
      <c r="H3563">
        <v>-46.06</v>
      </c>
      <c r="I3563">
        <v>89</v>
      </c>
      <c r="J3563">
        <v>-3.28</v>
      </c>
      <c r="K3563">
        <v>96</v>
      </c>
      <c r="L3563">
        <v>-59.43</v>
      </c>
      <c r="M3563">
        <v>90</v>
      </c>
      <c r="N3563">
        <v>13.38</v>
      </c>
      <c r="O3563">
        <v>84</v>
      </c>
      <c r="P3563">
        <v>-0.97</v>
      </c>
      <c r="Q3563">
        <v>87</v>
      </c>
      <c r="R3563">
        <v>-0.88</v>
      </c>
      <c r="S3563">
        <v>82</v>
      </c>
      <c r="T3563">
        <v>6.57</v>
      </c>
      <c r="U3563">
        <v>82</v>
      </c>
      <c r="V3563">
        <v>-1.45</v>
      </c>
      <c r="W3563">
        <v>72</v>
      </c>
      <c r="X3563" t="s">
        <v>102</v>
      </c>
      <c r="Y3563" t="s">
        <v>95</v>
      </c>
      <c r="Z3563" t="s">
        <v>96</v>
      </c>
      <c r="AA3563" t="s">
        <v>3035</v>
      </c>
      <c r="AB3563" t="s">
        <v>9974</v>
      </c>
      <c r="AC3563">
        <v>65</v>
      </c>
      <c r="AD3563">
        <v>32</v>
      </c>
      <c r="AE3563">
        <v>96</v>
      </c>
      <c r="AF3563">
        <v>288.99</v>
      </c>
      <c r="AG3563">
        <v>1.77</v>
      </c>
      <c r="AH3563">
        <v>3.24</v>
      </c>
      <c r="AI3563">
        <v>-0.16</v>
      </c>
      <c r="AJ3563">
        <v>-0.11</v>
      </c>
      <c r="AK3563">
        <v>90</v>
      </c>
      <c r="AL3563">
        <v>78</v>
      </c>
      <c r="AM3563">
        <v>39</v>
      </c>
      <c r="AN3563">
        <v>3.22</v>
      </c>
      <c r="AO3563">
        <v>-1.52</v>
      </c>
      <c r="AP3563">
        <v>152</v>
      </c>
      <c r="AQ3563">
        <v>0</v>
      </c>
      <c r="AR3563">
        <v>6.59</v>
      </c>
      <c r="AS3563">
        <v>83</v>
      </c>
      <c r="AT3563">
        <v>2.72</v>
      </c>
      <c r="AU3563">
        <v>91</v>
      </c>
      <c r="AV3563">
        <v>-2.04</v>
      </c>
      <c r="AW3563">
        <v>90</v>
      </c>
      <c r="AX3563">
        <v>0.71</v>
      </c>
      <c r="AY3563">
        <v>80</v>
      </c>
      <c r="AZ3563">
        <v>7.31</v>
      </c>
      <c r="BA3563">
        <v>63</v>
      </c>
      <c r="BB3563">
        <v>6.02</v>
      </c>
      <c r="BC3563">
        <v>64</v>
      </c>
      <c r="BD3563">
        <v>0.02</v>
      </c>
      <c r="BE3563">
        <v>0.03</v>
      </c>
      <c r="BF3563">
        <v>-7.0000000000000007E-2</v>
      </c>
      <c r="BG3563">
        <v>93</v>
      </c>
      <c r="BH3563">
        <v>0.05</v>
      </c>
      <c r="BI3563">
        <v>10.47</v>
      </c>
      <c r="BJ3563">
        <v>30</v>
      </c>
      <c r="BK3563">
        <v>15</v>
      </c>
      <c r="BL3563">
        <v>1.1399999999999999</v>
      </c>
      <c r="BM3563">
        <v>-3.16</v>
      </c>
      <c r="BN3563">
        <v>-0.08</v>
      </c>
      <c r="BO3563">
        <v>1.83</v>
      </c>
      <c r="BP3563">
        <v>0.68</v>
      </c>
      <c r="BQ3563">
        <v>0.06</v>
      </c>
      <c r="BR3563">
        <v>2.2799999999999998</v>
      </c>
      <c r="BS3563">
        <v>0.77</v>
      </c>
      <c r="BT3563">
        <v>0.01</v>
      </c>
      <c r="BU3563">
        <v>0.22</v>
      </c>
      <c r="BV3563">
        <v>1.55</v>
      </c>
      <c r="BW3563">
        <v>0.63</v>
      </c>
      <c r="BX3563">
        <v>0.6</v>
      </c>
      <c r="BY3563">
        <v>0.78</v>
      </c>
      <c r="BZ3563">
        <v>0.33</v>
      </c>
      <c r="CA3563">
        <v>1.03</v>
      </c>
      <c r="CB3563">
        <v>0.92</v>
      </c>
      <c r="CC3563">
        <v>0.57999999999999996</v>
      </c>
      <c r="CD3563">
        <v>-2.4</v>
      </c>
      <c r="CE3563">
        <v>1.25</v>
      </c>
      <c r="CF3563">
        <v>0.98</v>
      </c>
      <c r="CG3563">
        <v>0</v>
      </c>
      <c r="CH3563">
        <v>0.67</v>
      </c>
      <c r="CI3563">
        <v>0</v>
      </c>
      <c r="CJ3563">
        <v>-0.3</v>
      </c>
      <c r="CK3563">
        <v>88</v>
      </c>
      <c r="CL3563">
        <v>-0.8</v>
      </c>
      <c r="CM3563">
        <v>85</v>
      </c>
      <c r="CN3563">
        <v>-0.69</v>
      </c>
      <c r="CO3563">
        <v>84</v>
      </c>
      <c r="CP3563">
        <v>-2.5</v>
      </c>
      <c r="CQ3563">
        <v>87</v>
      </c>
      <c r="CR3563">
        <v>0</v>
      </c>
      <c r="CS3563">
        <v>0</v>
      </c>
      <c r="CT3563">
        <v>4.9000000000000004</v>
      </c>
      <c r="CU3563">
        <v>82</v>
      </c>
      <c r="CV3563">
        <v>0.1</v>
      </c>
      <c r="CW3563">
        <v>43</v>
      </c>
      <c r="CX3563" t="s">
        <v>596</v>
      </c>
    </row>
    <row r="3564" spans="1:102" x14ac:dyDescent="0.3">
      <c r="A3564" t="str">
        <f>HYPERLINK("https://webapp.icbf.com/v2/app/bull-search/view/494037373","DZO")</f>
        <v>DZO</v>
      </c>
      <c r="B3564" t="s">
        <v>15217</v>
      </c>
      <c r="C3564" t="s">
        <v>15218</v>
      </c>
      <c r="D3564" s="1">
        <v>39101</v>
      </c>
      <c r="E3564" t="s">
        <v>92</v>
      </c>
      <c r="F3564">
        <v>100</v>
      </c>
      <c r="G3564" t="s">
        <v>93</v>
      </c>
      <c r="H3564">
        <v>-46.14</v>
      </c>
      <c r="I3564">
        <v>87</v>
      </c>
      <c r="J3564">
        <v>22.54</v>
      </c>
      <c r="K3564">
        <v>97</v>
      </c>
      <c r="L3564">
        <v>-103.46</v>
      </c>
      <c r="M3564">
        <v>78</v>
      </c>
      <c r="N3564">
        <v>21.92</v>
      </c>
      <c r="O3564">
        <v>86</v>
      </c>
      <c r="P3564">
        <v>-1.58</v>
      </c>
      <c r="Q3564">
        <v>91</v>
      </c>
      <c r="R3564">
        <v>-8.0299999999999994</v>
      </c>
      <c r="S3564">
        <v>83</v>
      </c>
      <c r="T3564">
        <v>23.08</v>
      </c>
      <c r="U3564">
        <v>87</v>
      </c>
      <c r="V3564">
        <v>-0.61</v>
      </c>
      <c r="W3564">
        <v>82</v>
      </c>
      <c r="X3564" t="s">
        <v>94</v>
      </c>
      <c r="Y3564" t="s">
        <v>1405</v>
      </c>
      <c r="Z3564" t="s">
        <v>96</v>
      </c>
      <c r="AA3564" t="s">
        <v>358</v>
      </c>
      <c r="AB3564" t="s">
        <v>15219</v>
      </c>
      <c r="AC3564">
        <v>96</v>
      </c>
      <c r="AD3564">
        <v>72</v>
      </c>
      <c r="AE3564">
        <v>97</v>
      </c>
      <c r="AF3564">
        <v>-153.44999999999999</v>
      </c>
      <c r="AG3564">
        <v>7.93</v>
      </c>
      <c r="AH3564">
        <v>-1.32</v>
      </c>
      <c r="AI3564">
        <v>0.25</v>
      </c>
      <c r="AJ3564">
        <v>7.0000000000000007E-2</v>
      </c>
      <c r="AK3564">
        <v>78</v>
      </c>
      <c r="AL3564">
        <v>91</v>
      </c>
      <c r="AM3564">
        <v>67</v>
      </c>
      <c r="AN3564">
        <v>5.72</v>
      </c>
      <c r="AO3564">
        <v>-2.5299999999999998</v>
      </c>
      <c r="AP3564">
        <v>207</v>
      </c>
      <c r="AQ3564">
        <v>5</v>
      </c>
      <c r="AR3564">
        <v>7.69</v>
      </c>
      <c r="AS3564">
        <v>70</v>
      </c>
      <c r="AT3564">
        <v>2.84</v>
      </c>
      <c r="AU3564">
        <v>88</v>
      </c>
      <c r="AV3564">
        <v>-3.07</v>
      </c>
      <c r="AW3564">
        <v>96</v>
      </c>
      <c r="AX3564">
        <v>1.1599999999999999</v>
      </c>
      <c r="AY3564">
        <v>81</v>
      </c>
      <c r="AZ3564">
        <v>6.07</v>
      </c>
      <c r="BA3564">
        <v>64</v>
      </c>
      <c r="BB3564">
        <v>5.44</v>
      </c>
      <c r="BC3564">
        <v>66</v>
      </c>
      <c r="BD3564">
        <v>0.01</v>
      </c>
      <c r="BE3564">
        <v>0.02</v>
      </c>
      <c r="BF3564">
        <v>0.13</v>
      </c>
      <c r="BG3564">
        <v>89</v>
      </c>
      <c r="BH3564">
        <v>-0.11</v>
      </c>
      <c r="BI3564">
        <v>-10.76</v>
      </c>
      <c r="BJ3564">
        <v>11</v>
      </c>
      <c r="BK3564">
        <v>8</v>
      </c>
      <c r="BL3564">
        <v>-0.53</v>
      </c>
      <c r="BM3564">
        <v>-1.06</v>
      </c>
      <c r="BN3564">
        <v>0.05</v>
      </c>
      <c r="BO3564">
        <v>0.81</v>
      </c>
      <c r="BP3564">
        <v>-0.11</v>
      </c>
      <c r="BQ3564">
        <v>-0.39</v>
      </c>
      <c r="BR3564">
        <v>2.96</v>
      </c>
      <c r="BS3564">
        <v>-0.36</v>
      </c>
      <c r="BT3564">
        <v>-1.55</v>
      </c>
      <c r="BU3564">
        <v>-1.04</v>
      </c>
      <c r="BV3564">
        <v>-0.49</v>
      </c>
      <c r="BW3564">
        <v>-0.91</v>
      </c>
      <c r="BX3564">
        <v>-1.41</v>
      </c>
      <c r="BY3564">
        <v>0.54</v>
      </c>
      <c r="BZ3564">
        <v>-0.5</v>
      </c>
      <c r="CA3564">
        <v>0.01</v>
      </c>
      <c r="CB3564">
        <v>-0.05</v>
      </c>
      <c r="CC3564">
        <v>-0.11</v>
      </c>
      <c r="CD3564">
        <v>-1.43</v>
      </c>
      <c r="CE3564">
        <v>0.48</v>
      </c>
      <c r="CF3564">
        <v>-0.17</v>
      </c>
      <c r="CG3564">
        <v>0</v>
      </c>
      <c r="CH3564">
        <v>1.04</v>
      </c>
      <c r="CI3564">
        <v>0</v>
      </c>
      <c r="CJ3564">
        <v>-0.8</v>
      </c>
      <c r="CK3564">
        <v>92</v>
      </c>
      <c r="CL3564">
        <v>-0.65</v>
      </c>
      <c r="CM3564">
        <v>90</v>
      </c>
      <c r="CN3564">
        <v>-0.6</v>
      </c>
      <c r="CO3564">
        <v>89</v>
      </c>
      <c r="CP3564">
        <v>-5.3</v>
      </c>
      <c r="CQ3564">
        <v>90</v>
      </c>
      <c r="CR3564">
        <v>0</v>
      </c>
      <c r="CS3564">
        <v>0</v>
      </c>
      <c r="CT3564">
        <v>-17.399999999999999</v>
      </c>
      <c r="CU3564">
        <v>87</v>
      </c>
      <c r="CV3564">
        <v>0</v>
      </c>
      <c r="CW3564">
        <v>44</v>
      </c>
      <c r="CX3564" t="s">
        <v>4267</v>
      </c>
    </row>
    <row r="3565" spans="1:102" x14ac:dyDescent="0.3">
      <c r="A3565" t="str">
        <f>HYPERLINK("https://webapp.icbf.com/v2/app/bull-search/view/298952706","SUI")</f>
        <v>SUI</v>
      </c>
      <c r="B3565" t="s">
        <v>8237</v>
      </c>
      <c r="C3565" t="s">
        <v>8238</v>
      </c>
      <c r="D3565" s="1">
        <v>37430</v>
      </c>
      <c r="E3565" t="s">
        <v>92</v>
      </c>
      <c r="F3565">
        <v>100</v>
      </c>
      <c r="G3565" t="s">
        <v>109</v>
      </c>
      <c r="H3565">
        <v>-46.22</v>
      </c>
      <c r="I3565">
        <v>62</v>
      </c>
      <c r="J3565">
        <v>40.24</v>
      </c>
      <c r="K3565">
        <v>72</v>
      </c>
      <c r="L3565">
        <v>-92.97</v>
      </c>
      <c r="M3565">
        <v>56</v>
      </c>
      <c r="N3565">
        <v>2.64</v>
      </c>
      <c r="O3565">
        <v>60</v>
      </c>
      <c r="P3565">
        <v>-7.47</v>
      </c>
      <c r="Q3565">
        <v>79</v>
      </c>
      <c r="R3565">
        <v>-1.7</v>
      </c>
      <c r="S3565">
        <v>57</v>
      </c>
      <c r="T3565">
        <v>20.260000000000002</v>
      </c>
      <c r="U3565">
        <v>52</v>
      </c>
      <c r="V3565">
        <v>-7.22</v>
      </c>
      <c r="W3565">
        <v>27</v>
      </c>
      <c r="X3565" t="s">
        <v>7125</v>
      </c>
      <c r="Y3565" t="s">
        <v>95</v>
      </c>
      <c r="Z3565" t="s">
        <v>96</v>
      </c>
      <c r="AA3565" t="s">
        <v>172</v>
      </c>
      <c r="AB3565" t="s">
        <v>8239</v>
      </c>
      <c r="AC3565">
        <v>0</v>
      </c>
      <c r="AD3565">
        <v>0</v>
      </c>
      <c r="AE3565">
        <v>72</v>
      </c>
      <c r="AF3565">
        <v>273.72000000000003</v>
      </c>
      <c r="AG3565">
        <v>12.93</v>
      </c>
      <c r="AH3565">
        <v>6.46</v>
      </c>
      <c r="AI3565">
        <v>0.04</v>
      </c>
      <c r="AJ3565">
        <v>-0.05</v>
      </c>
      <c r="AK3565">
        <v>56</v>
      </c>
      <c r="AL3565">
        <v>0</v>
      </c>
      <c r="AM3565">
        <v>0</v>
      </c>
      <c r="AN3565">
        <v>6.94</v>
      </c>
      <c r="AO3565">
        <v>-0.45</v>
      </c>
      <c r="AP3565">
        <v>35</v>
      </c>
      <c r="AQ3565">
        <v>1</v>
      </c>
      <c r="AR3565">
        <v>9.92</v>
      </c>
      <c r="AS3565">
        <v>33</v>
      </c>
      <c r="AT3565">
        <v>4.0599999999999996</v>
      </c>
      <c r="AU3565">
        <v>60</v>
      </c>
      <c r="AV3565">
        <v>-2.25</v>
      </c>
      <c r="AW3565">
        <v>76</v>
      </c>
      <c r="AX3565">
        <v>0.83</v>
      </c>
      <c r="AY3565">
        <v>54</v>
      </c>
      <c r="AZ3565">
        <v>5.94</v>
      </c>
      <c r="BA3565">
        <v>29</v>
      </c>
      <c r="BB3565">
        <v>4.53</v>
      </c>
      <c r="BC3565">
        <v>36</v>
      </c>
      <c r="BD3565">
        <v>0</v>
      </c>
      <c r="BE3565">
        <v>0.01</v>
      </c>
      <c r="BF3565">
        <v>0.02</v>
      </c>
      <c r="BG3565">
        <v>74</v>
      </c>
      <c r="BH3565">
        <v>-0.12</v>
      </c>
      <c r="BI3565">
        <v>9.4</v>
      </c>
      <c r="BJ3565">
        <v>0</v>
      </c>
      <c r="BK3565">
        <v>0</v>
      </c>
      <c r="BL3565">
        <v>0.92</v>
      </c>
      <c r="BM3565">
        <v>-0.06</v>
      </c>
      <c r="BN3565">
        <v>-0.2</v>
      </c>
      <c r="BO3565">
        <v>0.3</v>
      </c>
      <c r="BP3565">
        <v>1.87</v>
      </c>
      <c r="BQ3565">
        <v>0.56999999999999995</v>
      </c>
      <c r="BR3565">
        <v>-1</v>
      </c>
      <c r="BS3565">
        <v>-0.99</v>
      </c>
      <c r="BT3565">
        <v>1.25</v>
      </c>
      <c r="BU3565">
        <v>0.67</v>
      </c>
      <c r="BV3565">
        <v>0.46</v>
      </c>
      <c r="BW3565">
        <v>-0.04</v>
      </c>
      <c r="BX3565">
        <v>1.5</v>
      </c>
      <c r="BY3565">
        <v>-0.51</v>
      </c>
      <c r="BZ3565">
        <v>2.2999999999999998</v>
      </c>
      <c r="CA3565">
        <v>0.22</v>
      </c>
      <c r="CB3565">
        <v>0.21</v>
      </c>
      <c r="CC3565">
        <v>0.06</v>
      </c>
      <c r="CD3565">
        <v>-0.18</v>
      </c>
      <c r="CE3565">
        <v>0.43</v>
      </c>
      <c r="CF3565">
        <v>0.46</v>
      </c>
      <c r="CG3565">
        <v>0</v>
      </c>
      <c r="CH3565">
        <v>0.25</v>
      </c>
      <c r="CI3565">
        <v>0</v>
      </c>
      <c r="CJ3565">
        <v>-0.7</v>
      </c>
      <c r="CK3565">
        <v>81</v>
      </c>
      <c r="CL3565">
        <v>-0.66</v>
      </c>
      <c r="CM3565">
        <v>78</v>
      </c>
      <c r="CN3565">
        <v>-0.17</v>
      </c>
      <c r="CO3565">
        <v>76</v>
      </c>
      <c r="CP3565">
        <v>-11.2</v>
      </c>
      <c r="CQ3565">
        <v>68</v>
      </c>
      <c r="CR3565">
        <v>0</v>
      </c>
      <c r="CS3565">
        <v>0</v>
      </c>
      <c r="CT3565">
        <v>-13.6</v>
      </c>
      <c r="CU3565">
        <v>52</v>
      </c>
      <c r="CV3565">
        <v>0.22</v>
      </c>
      <c r="CW3565">
        <v>22</v>
      </c>
      <c r="CX3565" t="s">
        <v>961</v>
      </c>
    </row>
    <row r="3566" spans="1:102" x14ac:dyDescent="0.3">
      <c r="A3566" t="str">
        <f>HYPERLINK("https://webapp.icbf.com/v2/app/bull-search/view/77858818","DCH")</f>
        <v>DCH</v>
      </c>
      <c r="B3566" t="s">
        <v>3983</v>
      </c>
      <c r="C3566" t="s">
        <v>3984</v>
      </c>
      <c r="D3566" s="1">
        <v>35308</v>
      </c>
      <c r="E3566" t="s">
        <v>92</v>
      </c>
      <c r="F3566">
        <v>97</v>
      </c>
      <c r="G3566" t="s">
        <v>93</v>
      </c>
      <c r="H3566">
        <v>-46.4</v>
      </c>
      <c r="I3566">
        <v>85</v>
      </c>
      <c r="J3566">
        <v>21.24</v>
      </c>
      <c r="K3566">
        <v>97</v>
      </c>
      <c r="L3566">
        <v>-73.959999999999994</v>
      </c>
      <c r="M3566">
        <v>79</v>
      </c>
      <c r="N3566">
        <v>12.13</v>
      </c>
      <c r="O3566">
        <v>76</v>
      </c>
      <c r="P3566">
        <v>-1.96</v>
      </c>
      <c r="Q3566">
        <v>85</v>
      </c>
      <c r="R3566">
        <v>-24.68</v>
      </c>
      <c r="S3566">
        <v>79</v>
      </c>
      <c r="T3566">
        <v>13.53</v>
      </c>
      <c r="U3566">
        <v>81</v>
      </c>
      <c r="V3566">
        <v>7.3</v>
      </c>
      <c r="W3566">
        <v>68</v>
      </c>
      <c r="X3566" t="s">
        <v>94</v>
      </c>
      <c r="Y3566" t="s">
        <v>95</v>
      </c>
      <c r="Z3566" t="s">
        <v>96</v>
      </c>
      <c r="AA3566" t="s">
        <v>753</v>
      </c>
      <c r="AB3566" t="s">
        <v>1026</v>
      </c>
      <c r="AC3566">
        <v>109</v>
      </c>
      <c r="AD3566">
        <v>81</v>
      </c>
      <c r="AE3566">
        <v>97</v>
      </c>
      <c r="AF3566">
        <v>344.86</v>
      </c>
      <c r="AG3566">
        <v>9.19</v>
      </c>
      <c r="AH3566">
        <v>5.64</v>
      </c>
      <c r="AI3566">
        <v>-7.0000000000000007E-2</v>
      </c>
      <c r="AJ3566">
        <v>-0.1</v>
      </c>
      <c r="AK3566">
        <v>79</v>
      </c>
      <c r="AL3566">
        <v>104</v>
      </c>
      <c r="AM3566">
        <v>76</v>
      </c>
      <c r="AN3566">
        <v>3.9</v>
      </c>
      <c r="AO3566">
        <v>-2</v>
      </c>
      <c r="AP3566">
        <v>8</v>
      </c>
      <c r="AQ3566">
        <v>1</v>
      </c>
      <c r="AR3566">
        <v>7.39</v>
      </c>
      <c r="AS3566">
        <v>62</v>
      </c>
      <c r="AT3566">
        <v>2.86</v>
      </c>
      <c r="AU3566">
        <v>79</v>
      </c>
      <c r="AV3566">
        <v>-1.88</v>
      </c>
      <c r="AW3566">
        <v>80</v>
      </c>
      <c r="AX3566">
        <v>0.23</v>
      </c>
      <c r="AY3566">
        <v>81</v>
      </c>
      <c r="AZ3566">
        <v>7.29</v>
      </c>
      <c r="BA3566">
        <v>55</v>
      </c>
      <c r="BB3566">
        <v>5.71</v>
      </c>
      <c r="BC3566">
        <v>68</v>
      </c>
      <c r="BD3566">
        <v>0.05</v>
      </c>
      <c r="BE3566">
        <v>0.16</v>
      </c>
      <c r="BF3566">
        <v>0.18</v>
      </c>
      <c r="BG3566">
        <v>90</v>
      </c>
      <c r="BH3566">
        <v>0.25</v>
      </c>
      <c r="BI3566">
        <v>5.38</v>
      </c>
      <c r="BJ3566">
        <v>4</v>
      </c>
      <c r="BK3566">
        <v>4</v>
      </c>
      <c r="BL3566">
        <v>-0.55000000000000004</v>
      </c>
      <c r="BM3566">
        <v>-0.69</v>
      </c>
      <c r="BN3566">
        <v>-1.1000000000000001</v>
      </c>
      <c r="BO3566">
        <v>-0.67</v>
      </c>
      <c r="BP3566">
        <v>0.91</v>
      </c>
      <c r="BQ3566">
        <v>-2.13</v>
      </c>
      <c r="BR3566">
        <v>0.96</v>
      </c>
      <c r="BS3566">
        <v>-2.09</v>
      </c>
      <c r="BT3566">
        <v>-1.24</v>
      </c>
      <c r="BU3566">
        <v>0.95</v>
      </c>
      <c r="BV3566">
        <v>0.12</v>
      </c>
      <c r="BW3566">
        <v>-1.2</v>
      </c>
      <c r="BX3566">
        <v>0.28999999999999998</v>
      </c>
      <c r="BY3566">
        <v>-0.51</v>
      </c>
      <c r="BZ3566">
        <v>0.23</v>
      </c>
      <c r="CA3566">
        <v>-0.24</v>
      </c>
      <c r="CB3566">
        <v>0.17</v>
      </c>
      <c r="CC3566">
        <v>-1.37</v>
      </c>
      <c r="CD3566">
        <v>7.0000000000000007E-2</v>
      </c>
      <c r="CE3566">
        <v>-0.23</v>
      </c>
      <c r="CF3566">
        <v>-1.2</v>
      </c>
      <c r="CG3566">
        <v>0</v>
      </c>
      <c r="CH3566">
        <v>-0.46</v>
      </c>
      <c r="CI3566">
        <v>0</v>
      </c>
      <c r="CJ3566">
        <v>2.9</v>
      </c>
      <c r="CK3566">
        <v>86</v>
      </c>
      <c r="CL3566">
        <v>-0.5</v>
      </c>
      <c r="CM3566">
        <v>84</v>
      </c>
      <c r="CN3566">
        <v>-0.03</v>
      </c>
      <c r="CO3566">
        <v>82</v>
      </c>
      <c r="CP3566">
        <v>-7.7</v>
      </c>
      <c r="CQ3566">
        <v>89</v>
      </c>
      <c r="CR3566">
        <v>0</v>
      </c>
      <c r="CS3566">
        <v>0</v>
      </c>
      <c r="CT3566">
        <v>-4.5</v>
      </c>
      <c r="CU3566">
        <v>81</v>
      </c>
      <c r="CV3566">
        <v>0.21</v>
      </c>
      <c r="CW3566">
        <v>43</v>
      </c>
      <c r="CX3566" t="s">
        <v>485</v>
      </c>
    </row>
    <row r="3567" spans="1:102" x14ac:dyDescent="0.3">
      <c r="A3567" t="str">
        <f>HYPERLINK("https://webapp.icbf.com/v2/app/bull-search/view/444419981","EMZ")</f>
        <v>EMZ</v>
      </c>
      <c r="B3567" t="s">
        <v>12234</v>
      </c>
      <c r="C3567" t="s">
        <v>2124</v>
      </c>
      <c r="D3567" s="1">
        <v>36803</v>
      </c>
      <c r="E3567" t="s">
        <v>92</v>
      </c>
      <c r="F3567">
        <v>94</v>
      </c>
      <c r="G3567" t="s">
        <v>93</v>
      </c>
      <c r="H3567">
        <v>-46.45</v>
      </c>
      <c r="I3567">
        <v>97</v>
      </c>
      <c r="J3567">
        <v>47.07</v>
      </c>
      <c r="K3567">
        <v>99</v>
      </c>
      <c r="L3567">
        <v>-83.75</v>
      </c>
      <c r="M3567">
        <v>95</v>
      </c>
      <c r="N3567">
        <v>-21.07</v>
      </c>
      <c r="O3567">
        <v>98</v>
      </c>
      <c r="P3567">
        <v>-7.18</v>
      </c>
      <c r="Q3567">
        <v>99</v>
      </c>
      <c r="R3567">
        <v>5.19</v>
      </c>
      <c r="S3567">
        <v>97</v>
      </c>
      <c r="T3567">
        <v>7.39</v>
      </c>
      <c r="U3567">
        <v>99</v>
      </c>
      <c r="V3567">
        <v>5.9</v>
      </c>
      <c r="W3567">
        <v>98</v>
      </c>
      <c r="X3567" t="s">
        <v>102</v>
      </c>
      <c r="Y3567" t="s">
        <v>221</v>
      </c>
      <c r="Z3567" t="s">
        <v>96</v>
      </c>
      <c r="AA3567" t="s">
        <v>2743</v>
      </c>
      <c r="AB3567" t="s">
        <v>1007</v>
      </c>
      <c r="AC3567">
        <v>1695</v>
      </c>
      <c r="AD3567">
        <v>465</v>
      </c>
      <c r="AE3567">
        <v>99</v>
      </c>
      <c r="AF3567">
        <v>263.52</v>
      </c>
      <c r="AG3567">
        <v>11.73</v>
      </c>
      <c r="AH3567">
        <v>7.89</v>
      </c>
      <c r="AI3567">
        <v>0.02</v>
      </c>
      <c r="AJ3567">
        <v>-0.02</v>
      </c>
      <c r="AK3567">
        <v>95</v>
      </c>
      <c r="AL3567">
        <v>1897</v>
      </c>
      <c r="AM3567">
        <v>582</v>
      </c>
      <c r="AN3567">
        <v>4.5</v>
      </c>
      <c r="AO3567">
        <v>-2.1800000000000002</v>
      </c>
      <c r="AP3567">
        <v>2976</v>
      </c>
      <c r="AQ3567">
        <v>15</v>
      </c>
      <c r="AR3567">
        <v>15.42</v>
      </c>
      <c r="AS3567">
        <v>97</v>
      </c>
      <c r="AT3567">
        <v>4.72</v>
      </c>
      <c r="AU3567">
        <v>99</v>
      </c>
      <c r="AV3567">
        <v>-2.56</v>
      </c>
      <c r="AW3567">
        <v>99</v>
      </c>
      <c r="AX3567">
        <v>0.36</v>
      </c>
      <c r="AY3567">
        <v>99</v>
      </c>
      <c r="AZ3567">
        <v>5.43</v>
      </c>
      <c r="BA3567">
        <v>96</v>
      </c>
      <c r="BB3567">
        <v>4.42</v>
      </c>
      <c r="BC3567">
        <v>96</v>
      </c>
      <c r="BD3567">
        <v>-0.02</v>
      </c>
      <c r="BE3567">
        <v>-0.04</v>
      </c>
      <c r="BF3567">
        <v>-0.01</v>
      </c>
      <c r="BG3567">
        <v>99</v>
      </c>
      <c r="BH3567">
        <v>0.1</v>
      </c>
      <c r="BI3567">
        <v>-7.45</v>
      </c>
      <c r="BJ3567">
        <v>269</v>
      </c>
      <c r="BK3567">
        <v>103</v>
      </c>
      <c r="BL3567">
        <v>0.2</v>
      </c>
      <c r="BM3567">
        <v>0.95</v>
      </c>
      <c r="BN3567">
        <v>1.17</v>
      </c>
      <c r="BO3567">
        <v>0.46</v>
      </c>
      <c r="BP3567">
        <v>-1.33</v>
      </c>
      <c r="BQ3567">
        <v>1.32</v>
      </c>
      <c r="BR3567">
        <v>0.11</v>
      </c>
      <c r="BS3567">
        <v>-0.11</v>
      </c>
      <c r="BT3567">
        <v>0.28000000000000003</v>
      </c>
      <c r="BU3567">
        <v>-0.2</v>
      </c>
      <c r="BV3567">
        <v>-0.99</v>
      </c>
      <c r="BW3567">
        <v>1.25</v>
      </c>
      <c r="BX3567">
        <v>0.57999999999999996</v>
      </c>
      <c r="BY3567">
        <v>2.75</v>
      </c>
      <c r="BZ3567">
        <v>-0.68</v>
      </c>
      <c r="CA3567">
        <v>0.35</v>
      </c>
      <c r="CB3567">
        <v>0.43</v>
      </c>
      <c r="CC3567">
        <v>0.23</v>
      </c>
      <c r="CD3567">
        <v>0.09</v>
      </c>
      <c r="CE3567">
        <v>0.47</v>
      </c>
      <c r="CF3567">
        <v>0.68</v>
      </c>
      <c r="CG3567">
        <v>0</v>
      </c>
      <c r="CH3567">
        <v>2.77</v>
      </c>
      <c r="CI3567">
        <v>0</v>
      </c>
      <c r="CJ3567">
        <v>-3.1</v>
      </c>
      <c r="CK3567">
        <v>99</v>
      </c>
      <c r="CL3567">
        <v>-0.73</v>
      </c>
      <c r="CM3567">
        <v>99</v>
      </c>
      <c r="CN3567">
        <v>-0.43</v>
      </c>
      <c r="CO3567">
        <v>99</v>
      </c>
      <c r="CP3567">
        <v>-2.7</v>
      </c>
      <c r="CQ3567">
        <v>99</v>
      </c>
      <c r="CR3567">
        <v>0</v>
      </c>
      <c r="CS3567">
        <v>0</v>
      </c>
      <c r="CT3567">
        <v>3.8</v>
      </c>
      <c r="CU3567">
        <v>99</v>
      </c>
      <c r="CV3567">
        <v>0.06</v>
      </c>
      <c r="CW3567">
        <v>46</v>
      </c>
      <c r="CX3567" t="s">
        <v>1008</v>
      </c>
    </row>
    <row r="3568" spans="1:102" x14ac:dyDescent="0.3">
      <c r="A3568" t="str">
        <f>HYPERLINK("https://webapp.icbf.com/v2/app/bull-search/view/130726553","RUO")</f>
        <v>RUO</v>
      </c>
      <c r="B3568" t="s">
        <v>4589</v>
      </c>
      <c r="C3568" t="s">
        <v>4590</v>
      </c>
      <c r="D3568" s="1">
        <v>35262</v>
      </c>
      <c r="E3568" t="s">
        <v>92</v>
      </c>
      <c r="F3568">
        <v>100</v>
      </c>
      <c r="G3568" t="s">
        <v>109</v>
      </c>
      <c r="H3568">
        <v>-46.47</v>
      </c>
      <c r="I3568">
        <v>79</v>
      </c>
      <c r="J3568">
        <v>14.03</v>
      </c>
      <c r="K3568">
        <v>85</v>
      </c>
      <c r="L3568">
        <v>-61.41</v>
      </c>
      <c r="M3568">
        <v>82</v>
      </c>
      <c r="N3568">
        <v>15.61</v>
      </c>
      <c r="O3568">
        <v>72</v>
      </c>
      <c r="P3568">
        <v>-18.010000000000002</v>
      </c>
      <c r="Q3568">
        <v>78</v>
      </c>
      <c r="R3568">
        <v>2.5499999999999998</v>
      </c>
      <c r="S3568">
        <v>69</v>
      </c>
      <c r="T3568">
        <v>3.17</v>
      </c>
      <c r="U3568">
        <v>71</v>
      </c>
      <c r="V3568">
        <v>-2.41</v>
      </c>
      <c r="W3568">
        <v>48</v>
      </c>
      <c r="X3568" t="s">
        <v>251</v>
      </c>
      <c r="Y3568" t="s">
        <v>95</v>
      </c>
      <c r="Z3568" t="s">
        <v>96</v>
      </c>
      <c r="AA3568" t="s">
        <v>3411</v>
      </c>
      <c r="AB3568" t="s">
        <v>4591</v>
      </c>
      <c r="AC3568">
        <v>0</v>
      </c>
      <c r="AD3568">
        <v>0</v>
      </c>
      <c r="AE3568">
        <v>85</v>
      </c>
      <c r="AF3568">
        <v>292</v>
      </c>
      <c r="AG3568">
        <v>5.0199999999999996</v>
      </c>
      <c r="AH3568">
        <v>5.08</v>
      </c>
      <c r="AI3568">
        <v>-0.1</v>
      </c>
      <c r="AJ3568">
        <v>-0.08</v>
      </c>
      <c r="AK3568">
        <v>82</v>
      </c>
      <c r="AL3568">
        <v>0</v>
      </c>
      <c r="AM3568">
        <v>0</v>
      </c>
      <c r="AN3568">
        <v>3.94</v>
      </c>
      <c r="AO3568">
        <v>-0.95</v>
      </c>
      <c r="AP3568">
        <v>36</v>
      </c>
      <c r="AQ3568">
        <v>1</v>
      </c>
      <c r="AR3568">
        <v>8.2100000000000009</v>
      </c>
      <c r="AS3568">
        <v>41</v>
      </c>
      <c r="AT3568">
        <v>3.75</v>
      </c>
      <c r="AU3568">
        <v>87</v>
      </c>
      <c r="AV3568">
        <v>-2.4</v>
      </c>
      <c r="AW3568">
        <v>83</v>
      </c>
      <c r="AX3568">
        <v>0.19</v>
      </c>
      <c r="AY3568">
        <v>59</v>
      </c>
      <c r="AZ3568">
        <v>5.23</v>
      </c>
      <c r="BA3568">
        <v>41</v>
      </c>
      <c r="BB3568">
        <v>4.37</v>
      </c>
      <c r="BC3568">
        <v>43</v>
      </c>
      <c r="BD3568">
        <v>0.02</v>
      </c>
      <c r="BE3568">
        <v>0.02</v>
      </c>
      <c r="BF3568">
        <v>-0.13</v>
      </c>
      <c r="BG3568">
        <v>88</v>
      </c>
      <c r="BH3568">
        <v>-0.18</v>
      </c>
      <c r="BI3568">
        <v>-13.05</v>
      </c>
      <c r="BJ3568">
        <v>2</v>
      </c>
      <c r="BK3568">
        <v>1</v>
      </c>
      <c r="BL3568">
        <v>0.74</v>
      </c>
      <c r="BM3568">
        <v>-1.26</v>
      </c>
      <c r="BN3568">
        <v>-0.06</v>
      </c>
      <c r="BO3568">
        <v>0.86</v>
      </c>
      <c r="BP3568">
        <v>-0.86</v>
      </c>
      <c r="BQ3568">
        <v>1.75</v>
      </c>
      <c r="BR3568">
        <v>1.96</v>
      </c>
      <c r="BS3568">
        <v>-0.61</v>
      </c>
      <c r="BT3568">
        <v>-0.5</v>
      </c>
      <c r="BU3568">
        <v>1.06</v>
      </c>
      <c r="BV3568">
        <v>1.01</v>
      </c>
      <c r="BW3568">
        <v>0.62</v>
      </c>
      <c r="BX3568">
        <v>1.01</v>
      </c>
      <c r="BY3568">
        <v>0.77</v>
      </c>
      <c r="BZ3568">
        <v>-1.31</v>
      </c>
      <c r="CA3568">
        <v>0.9</v>
      </c>
      <c r="CB3568">
        <v>1.1000000000000001</v>
      </c>
      <c r="CC3568">
        <v>0.11</v>
      </c>
      <c r="CD3568">
        <v>-0.74</v>
      </c>
      <c r="CE3568">
        <v>0.54</v>
      </c>
      <c r="CF3568">
        <v>0.93</v>
      </c>
      <c r="CG3568">
        <v>0</v>
      </c>
      <c r="CH3568">
        <v>1.56</v>
      </c>
      <c r="CI3568">
        <v>0</v>
      </c>
      <c r="CJ3568">
        <v>-8</v>
      </c>
      <c r="CK3568">
        <v>80</v>
      </c>
      <c r="CL3568">
        <v>-0.83</v>
      </c>
      <c r="CM3568">
        <v>76</v>
      </c>
      <c r="CN3568">
        <v>-0.23</v>
      </c>
      <c r="CO3568">
        <v>74</v>
      </c>
      <c r="CP3568">
        <v>-7.3</v>
      </c>
      <c r="CQ3568">
        <v>76</v>
      </c>
      <c r="CR3568">
        <v>0</v>
      </c>
      <c r="CS3568">
        <v>0</v>
      </c>
      <c r="CT3568">
        <v>9.5</v>
      </c>
      <c r="CU3568">
        <v>71</v>
      </c>
      <c r="CV3568">
        <v>0.1</v>
      </c>
      <c r="CW3568">
        <v>22</v>
      </c>
      <c r="CX3568" t="s">
        <v>2850</v>
      </c>
    </row>
    <row r="3569" spans="1:102" x14ac:dyDescent="0.3">
      <c r="A3569" t="str">
        <f>HYPERLINK("https://webapp.icbf.com/v2/app/bull-search/view/77854294","PTC")</f>
        <v>PTC</v>
      </c>
      <c r="B3569" t="s">
        <v>10774</v>
      </c>
      <c r="C3569" t="s">
        <v>10775</v>
      </c>
      <c r="D3569" s="1">
        <v>33905</v>
      </c>
      <c r="E3569" t="s">
        <v>92</v>
      </c>
      <c r="F3569">
        <v>100</v>
      </c>
      <c r="G3569" t="s">
        <v>109</v>
      </c>
      <c r="H3569">
        <v>-46.57</v>
      </c>
      <c r="I3569">
        <v>83</v>
      </c>
      <c r="J3569">
        <v>13.06</v>
      </c>
      <c r="K3569">
        <v>94</v>
      </c>
      <c r="L3569">
        <v>-61.19</v>
      </c>
      <c r="M3569">
        <v>88</v>
      </c>
      <c r="N3569">
        <v>7.17</v>
      </c>
      <c r="O3569">
        <v>65</v>
      </c>
      <c r="P3569">
        <v>-7.66</v>
      </c>
      <c r="Q3569">
        <v>67</v>
      </c>
      <c r="R3569">
        <v>-5.77</v>
      </c>
      <c r="S3569">
        <v>79</v>
      </c>
      <c r="T3569">
        <v>4.6500000000000004</v>
      </c>
      <c r="U3569">
        <v>64</v>
      </c>
      <c r="V3569">
        <v>3.17</v>
      </c>
      <c r="W3569">
        <v>62</v>
      </c>
      <c r="X3569" t="s">
        <v>276</v>
      </c>
      <c r="Y3569" t="s">
        <v>95</v>
      </c>
      <c r="Z3569" t="s">
        <v>96</v>
      </c>
      <c r="AA3569" t="s">
        <v>561</v>
      </c>
      <c r="AB3569" t="s">
        <v>7269</v>
      </c>
      <c r="AC3569">
        <v>0</v>
      </c>
      <c r="AD3569">
        <v>0</v>
      </c>
      <c r="AE3569">
        <v>94</v>
      </c>
      <c r="AF3569">
        <v>235.97</v>
      </c>
      <c r="AG3569">
        <v>0.46</v>
      </c>
      <c r="AH3569">
        <v>5.67</v>
      </c>
      <c r="AI3569">
        <v>-0.15</v>
      </c>
      <c r="AJ3569">
        <v>-0.04</v>
      </c>
      <c r="AK3569">
        <v>88</v>
      </c>
      <c r="AL3569">
        <v>0</v>
      </c>
      <c r="AM3569">
        <v>0</v>
      </c>
      <c r="AN3569">
        <v>4.08</v>
      </c>
      <c r="AO3569">
        <v>-0.79</v>
      </c>
      <c r="AP3569">
        <v>1</v>
      </c>
      <c r="AQ3569">
        <v>4</v>
      </c>
      <c r="AR3569">
        <v>6.78</v>
      </c>
      <c r="AS3569">
        <v>60</v>
      </c>
      <c r="AT3569">
        <v>3.21</v>
      </c>
      <c r="AU3569">
        <v>88</v>
      </c>
      <c r="AV3569">
        <v>-0.54</v>
      </c>
      <c r="AW3569">
        <v>58</v>
      </c>
      <c r="AX3569">
        <v>-0.12</v>
      </c>
      <c r="AY3569">
        <v>63</v>
      </c>
      <c r="AZ3569">
        <v>6.07</v>
      </c>
      <c r="BA3569">
        <v>50</v>
      </c>
      <c r="BB3569">
        <v>4.87</v>
      </c>
      <c r="BC3569">
        <v>53</v>
      </c>
      <c r="BD3569">
        <v>7.0000000000000007E-2</v>
      </c>
      <c r="BE3569">
        <v>0.04</v>
      </c>
      <c r="BF3569">
        <v>-0.06</v>
      </c>
      <c r="BG3569">
        <v>94</v>
      </c>
      <c r="BH3569">
        <v>0.14000000000000001</v>
      </c>
      <c r="BI3569">
        <v>5.97</v>
      </c>
      <c r="BJ3569">
        <v>4</v>
      </c>
      <c r="BK3569">
        <v>3</v>
      </c>
      <c r="BL3569">
        <v>0.7</v>
      </c>
      <c r="BM3569">
        <v>-0.3</v>
      </c>
      <c r="BN3569">
        <v>-0.22</v>
      </c>
      <c r="BO3569">
        <v>0.17</v>
      </c>
      <c r="BP3569">
        <v>0.92</v>
      </c>
      <c r="BQ3569">
        <v>-1.24</v>
      </c>
      <c r="BR3569">
        <v>0.4</v>
      </c>
      <c r="BS3569">
        <v>-1.48</v>
      </c>
      <c r="BT3569">
        <v>-0.28000000000000003</v>
      </c>
      <c r="BU3569">
        <v>-0.16</v>
      </c>
      <c r="BV3569">
        <v>-0.02</v>
      </c>
      <c r="BW3569">
        <v>0.86</v>
      </c>
      <c r="BX3569">
        <v>0.55000000000000004</v>
      </c>
      <c r="BY3569">
        <v>1</v>
      </c>
      <c r="BZ3569">
        <v>-1.36</v>
      </c>
      <c r="CA3569">
        <v>0.33</v>
      </c>
      <c r="CB3569">
        <v>0.59</v>
      </c>
      <c r="CC3569">
        <v>-0.06</v>
      </c>
      <c r="CD3569">
        <v>0.23</v>
      </c>
      <c r="CE3569">
        <v>0.86</v>
      </c>
      <c r="CF3569">
        <v>0.34</v>
      </c>
      <c r="CG3569">
        <v>0</v>
      </c>
      <c r="CH3569">
        <v>1.1499999999999999</v>
      </c>
      <c r="CI3569">
        <v>0</v>
      </c>
      <c r="CJ3569">
        <v>-1.9</v>
      </c>
      <c r="CK3569">
        <v>68</v>
      </c>
      <c r="CL3569">
        <v>-0.68</v>
      </c>
      <c r="CM3569">
        <v>65</v>
      </c>
      <c r="CN3569">
        <v>-0.17</v>
      </c>
      <c r="CO3569">
        <v>62</v>
      </c>
      <c r="CP3569">
        <v>-0.1</v>
      </c>
      <c r="CQ3569">
        <v>72</v>
      </c>
      <c r="CR3569">
        <v>0</v>
      </c>
      <c r="CS3569">
        <v>0</v>
      </c>
      <c r="CT3569">
        <v>7.5</v>
      </c>
      <c r="CU3569">
        <v>64</v>
      </c>
      <c r="CV3569">
        <v>0.16</v>
      </c>
      <c r="CW3569">
        <v>39</v>
      </c>
      <c r="CX3569" t="s">
        <v>166</v>
      </c>
    </row>
    <row r="3570" spans="1:102" x14ac:dyDescent="0.3">
      <c r="A3570" t="str">
        <f>HYPERLINK("https://webapp.icbf.com/v2/app/bull-search/view/108373846","BAQ")</f>
        <v>BAQ</v>
      </c>
      <c r="B3570" t="s">
        <v>3732</v>
      </c>
      <c r="C3570" t="s">
        <v>3733</v>
      </c>
      <c r="D3570" s="1">
        <v>34321</v>
      </c>
      <c r="E3570" t="s">
        <v>1061</v>
      </c>
      <c r="F3570">
        <v>0</v>
      </c>
      <c r="G3570" t="s">
        <v>109</v>
      </c>
      <c r="H3570">
        <v>-46.66</v>
      </c>
      <c r="I3570">
        <v>48</v>
      </c>
      <c r="J3570">
        <v>-48.01</v>
      </c>
      <c r="K3570">
        <v>66</v>
      </c>
      <c r="L3570">
        <v>-1.31</v>
      </c>
      <c r="M3570">
        <v>52</v>
      </c>
      <c r="N3570">
        <v>11.34</v>
      </c>
      <c r="O3570">
        <v>25</v>
      </c>
      <c r="P3570">
        <v>-0.77</v>
      </c>
      <c r="Q3570">
        <v>40</v>
      </c>
      <c r="R3570">
        <v>-6.68</v>
      </c>
      <c r="S3570">
        <v>13</v>
      </c>
      <c r="T3570">
        <v>2.65</v>
      </c>
      <c r="U3570">
        <v>31</v>
      </c>
      <c r="V3570">
        <v>-3.88</v>
      </c>
      <c r="W3570">
        <v>2</v>
      </c>
      <c r="X3570" t="s">
        <v>94</v>
      </c>
      <c r="Y3570" t="s">
        <v>95</v>
      </c>
      <c r="Z3570">
        <v>0</v>
      </c>
      <c r="AA3570" t="s">
        <v>3734</v>
      </c>
      <c r="AB3570" t="s">
        <v>3735</v>
      </c>
      <c r="AC3570">
        <v>0</v>
      </c>
      <c r="AD3570">
        <v>0</v>
      </c>
      <c r="AE3570">
        <v>66</v>
      </c>
      <c r="AF3570">
        <v>-341.7</v>
      </c>
      <c r="AG3570">
        <v>-14.91</v>
      </c>
      <c r="AH3570">
        <v>-8.1199999999999992</v>
      </c>
      <c r="AI3570">
        <v>-0.03</v>
      </c>
      <c r="AJ3570">
        <v>0.06</v>
      </c>
      <c r="AK3570">
        <v>52</v>
      </c>
      <c r="AL3570">
        <v>0</v>
      </c>
      <c r="AM3570">
        <v>0</v>
      </c>
      <c r="AN3570">
        <v>-0.36</v>
      </c>
      <c r="AO3570">
        <v>-0.47</v>
      </c>
      <c r="AP3570">
        <v>2</v>
      </c>
      <c r="AQ3570">
        <v>5</v>
      </c>
      <c r="AR3570">
        <v>5.83</v>
      </c>
      <c r="AS3570">
        <v>3</v>
      </c>
      <c r="AT3570">
        <v>2.4</v>
      </c>
      <c r="AU3570">
        <v>17</v>
      </c>
      <c r="AV3570">
        <v>-0.25</v>
      </c>
      <c r="AW3570">
        <v>41</v>
      </c>
      <c r="AX3570">
        <v>-0.3</v>
      </c>
      <c r="AY3570">
        <v>30</v>
      </c>
      <c r="AZ3570">
        <v>6.71</v>
      </c>
      <c r="BA3570">
        <v>2</v>
      </c>
      <c r="BB3570">
        <v>5.2</v>
      </c>
      <c r="BC3570">
        <v>5</v>
      </c>
      <c r="BD3570">
        <v>0.01</v>
      </c>
      <c r="BE3570">
        <v>0.03</v>
      </c>
      <c r="BF3570">
        <v>0.08</v>
      </c>
      <c r="BG3570">
        <v>18</v>
      </c>
      <c r="BH3570">
        <v>-0.06</v>
      </c>
      <c r="BI3570">
        <v>5.57</v>
      </c>
      <c r="BJ3570">
        <v>0</v>
      </c>
      <c r="BK3570">
        <v>0</v>
      </c>
      <c r="BL3570">
        <v>-0.69</v>
      </c>
      <c r="BM3570">
        <v>0.98</v>
      </c>
      <c r="BN3570">
        <v>-0.78</v>
      </c>
      <c r="BO3570">
        <v>-1.2</v>
      </c>
      <c r="BP3570">
        <v>0.54</v>
      </c>
      <c r="BQ3570">
        <v>-0.03</v>
      </c>
      <c r="BR3570">
        <v>-0.06</v>
      </c>
      <c r="BS3570">
        <v>1.2</v>
      </c>
      <c r="BT3570">
        <v>0.22</v>
      </c>
      <c r="BU3570">
        <v>-0.77</v>
      </c>
      <c r="BV3570">
        <v>-1.89</v>
      </c>
      <c r="BW3570">
        <v>-1.57</v>
      </c>
      <c r="BX3570">
        <v>-0.39</v>
      </c>
      <c r="BY3570">
        <v>-1.2</v>
      </c>
      <c r="BZ3570">
        <v>-0.2</v>
      </c>
      <c r="CA3570">
        <v>-0.99</v>
      </c>
      <c r="CB3570">
        <v>-1.26</v>
      </c>
      <c r="CC3570">
        <v>-0.12</v>
      </c>
      <c r="CD3570">
        <v>1</v>
      </c>
      <c r="CE3570">
        <v>-1.1100000000000001</v>
      </c>
      <c r="CF3570">
        <v>-0.39</v>
      </c>
      <c r="CG3570">
        <v>0</v>
      </c>
      <c r="CH3570">
        <v>-0.93</v>
      </c>
      <c r="CI3570">
        <v>0</v>
      </c>
      <c r="CJ3570">
        <v>0.3</v>
      </c>
      <c r="CK3570">
        <v>45</v>
      </c>
      <c r="CL3570">
        <v>-0.27</v>
      </c>
      <c r="CM3570">
        <v>36</v>
      </c>
      <c r="CN3570">
        <v>-0.17</v>
      </c>
      <c r="CO3570">
        <v>33</v>
      </c>
      <c r="CP3570">
        <v>-2.6</v>
      </c>
      <c r="CQ3570">
        <v>28</v>
      </c>
      <c r="CR3570">
        <v>0</v>
      </c>
      <c r="CS3570">
        <v>0</v>
      </c>
      <c r="CT3570">
        <v>10.199999999999999</v>
      </c>
      <c r="CU3570">
        <v>31</v>
      </c>
      <c r="CV3570">
        <v>-0.12</v>
      </c>
      <c r="CW3570">
        <v>10</v>
      </c>
      <c r="CX3570" t="s">
        <v>2766</v>
      </c>
    </row>
    <row r="3571" spans="1:102" x14ac:dyDescent="0.3">
      <c r="A3571" t="str">
        <f>HYPERLINK("https://webapp.icbf.com/v2/app/bull-search/view/77858641","CTS")</f>
        <v>CTS</v>
      </c>
      <c r="B3571" t="s">
        <v>6888</v>
      </c>
      <c r="C3571" t="s">
        <v>6889</v>
      </c>
      <c r="D3571" s="1">
        <v>34391</v>
      </c>
      <c r="E3571" t="s">
        <v>92</v>
      </c>
      <c r="F3571">
        <v>100</v>
      </c>
      <c r="G3571" t="s">
        <v>93</v>
      </c>
      <c r="H3571">
        <v>-46.82</v>
      </c>
      <c r="I3571">
        <v>70</v>
      </c>
      <c r="J3571">
        <v>-39.82</v>
      </c>
      <c r="K3571">
        <v>91</v>
      </c>
      <c r="L3571">
        <v>-35.6</v>
      </c>
      <c r="M3571">
        <v>60</v>
      </c>
      <c r="N3571">
        <v>23.05</v>
      </c>
      <c r="O3571">
        <v>53</v>
      </c>
      <c r="P3571">
        <v>-15.69</v>
      </c>
      <c r="Q3571">
        <v>72</v>
      </c>
      <c r="R3571">
        <v>-0.45</v>
      </c>
      <c r="S3571">
        <v>63</v>
      </c>
      <c r="T3571">
        <v>21.67</v>
      </c>
      <c r="U3571">
        <v>75</v>
      </c>
      <c r="V3571">
        <v>0.02</v>
      </c>
      <c r="W3571">
        <v>27</v>
      </c>
      <c r="X3571" t="s">
        <v>94</v>
      </c>
      <c r="Y3571" t="s">
        <v>95</v>
      </c>
      <c r="Z3571" t="s">
        <v>96</v>
      </c>
      <c r="AA3571" t="s">
        <v>798</v>
      </c>
      <c r="AB3571" t="s">
        <v>6890</v>
      </c>
      <c r="AC3571">
        <v>55</v>
      </c>
      <c r="AD3571">
        <v>37</v>
      </c>
      <c r="AE3571">
        <v>91</v>
      </c>
      <c r="AF3571">
        <v>-52.41</v>
      </c>
      <c r="AG3571">
        <v>-5.61</v>
      </c>
      <c r="AH3571">
        <v>-5.59</v>
      </c>
      <c r="AI3571">
        <v>-0.06</v>
      </c>
      <c r="AJ3571">
        <v>-0.06</v>
      </c>
      <c r="AK3571">
        <v>60</v>
      </c>
      <c r="AL3571">
        <v>73</v>
      </c>
      <c r="AM3571">
        <v>40</v>
      </c>
      <c r="AN3571">
        <v>1.86</v>
      </c>
      <c r="AO3571">
        <v>-0.98</v>
      </c>
      <c r="AP3571">
        <v>0</v>
      </c>
      <c r="AQ3571">
        <v>2</v>
      </c>
      <c r="AR3571">
        <v>6.5</v>
      </c>
      <c r="AS3571">
        <v>27</v>
      </c>
      <c r="AT3571">
        <v>2.88</v>
      </c>
      <c r="AU3571">
        <v>48</v>
      </c>
      <c r="AV3571">
        <v>-1.5</v>
      </c>
      <c r="AW3571">
        <v>63</v>
      </c>
      <c r="AX3571">
        <v>-0.66</v>
      </c>
      <c r="AY3571">
        <v>69</v>
      </c>
      <c r="AZ3571">
        <v>5.3</v>
      </c>
      <c r="BA3571">
        <v>29</v>
      </c>
      <c r="BB3571">
        <v>4.37</v>
      </c>
      <c r="BC3571">
        <v>45</v>
      </c>
      <c r="BD3571">
        <v>-0.01</v>
      </c>
      <c r="BE3571">
        <v>0.03</v>
      </c>
      <c r="BF3571">
        <v>-0.03</v>
      </c>
      <c r="BG3571">
        <v>81</v>
      </c>
      <c r="BH3571">
        <v>-0.05</v>
      </c>
      <c r="BI3571">
        <v>-5.86</v>
      </c>
      <c r="BJ3571">
        <v>4</v>
      </c>
      <c r="BK3571">
        <v>3</v>
      </c>
      <c r="BL3571">
        <v>-0.2</v>
      </c>
      <c r="BM3571">
        <v>-0.64</v>
      </c>
      <c r="BN3571">
        <v>-0.55000000000000004</v>
      </c>
      <c r="BO3571">
        <v>0.04</v>
      </c>
      <c r="BP3571">
        <v>0.81</v>
      </c>
      <c r="BQ3571">
        <v>-0.38</v>
      </c>
      <c r="BR3571">
        <v>-0.92</v>
      </c>
      <c r="BS3571">
        <v>1.03</v>
      </c>
      <c r="BT3571">
        <v>1.1299999999999999</v>
      </c>
      <c r="BU3571">
        <v>0.02</v>
      </c>
      <c r="BV3571">
        <v>0.38</v>
      </c>
      <c r="BW3571">
        <v>0.28999999999999998</v>
      </c>
      <c r="BX3571">
        <v>0.67</v>
      </c>
      <c r="BY3571">
        <v>-0.5</v>
      </c>
      <c r="BZ3571">
        <v>1.1399999999999999</v>
      </c>
      <c r="CA3571">
        <v>0.38</v>
      </c>
      <c r="CB3571">
        <v>-0.17</v>
      </c>
      <c r="CC3571">
        <v>1.29</v>
      </c>
      <c r="CD3571">
        <v>-0.52</v>
      </c>
      <c r="CE3571">
        <v>-0.01</v>
      </c>
      <c r="CF3571">
        <v>-0.44</v>
      </c>
      <c r="CG3571">
        <v>0</v>
      </c>
      <c r="CH3571">
        <v>-0.66</v>
      </c>
      <c r="CI3571">
        <v>0</v>
      </c>
      <c r="CJ3571">
        <v>-7.7</v>
      </c>
      <c r="CK3571">
        <v>73</v>
      </c>
      <c r="CL3571">
        <v>-0.43</v>
      </c>
      <c r="CM3571">
        <v>69</v>
      </c>
      <c r="CN3571">
        <v>-0.09</v>
      </c>
      <c r="CO3571">
        <v>65</v>
      </c>
      <c r="CP3571">
        <v>-11.2</v>
      </c>
      <c r="CQ3571">
        <v>81</v>
      </c>
      <c r="CR3571">
        <v>0</v>
      </c>
      <c r="CS3571">
        <v>0</v>
      </c>
      <c r="CT3571">
        <v>-15.5</v>
      </c>
      <c r="CU3571">
        <v>75</v>
      </c>
      <c r="CV3571">
        <v>0</v>
      </c>
      <c r="CW3571">
        <v>19</v>
      </c>
      <c r="CX3571" t="s">
        <v>161</v>
      </c>
    </row>
    <row r="3572" spans="1:102" x14ac:dyDescent="0.3">
      <c r="A3572" t="str">
        <f>HYPERLINK("https://webapp.icbf.com/v2/app/bull-search/view/77856202","LDT")</f>
        <v>LDT</v>
      </c>
      <c r="B3572" t="s">
        <v>15078</v>
      </c>
      <c r="C3572" t="s">
        <v>15079</v>
      </c>
      <c r="D3572" s="1">
        <v>33667</v>
      </c>
      <c r="E3572" t="s">
        <v>92</v>
      </c>
      <c r="F3572">
        <v>100</v>
      </c>
      <c r="G3572" t="s">
        <v>93</v>
      </c>
      <c r="H3572">
        <v>-46.94</v>
      </c>
      <c r="I3572">
        <v>71</v>
      </c>
      <c r="J3572">
        <v>-25.05</v>
      </c>
      <c r="K3572">
        <v>91</v>
      </c>
      <c r="L3572">
        <v>-41.23</v>
      </c>
      <c r="M3572">
        <v>62</v>
      </c>
      <c r="N3572">
        <v>17.47</v>
      </c>
      <c r="O3572">
        <v>53</v>
      </c>
      <c r="P3572">
        <v>-2.08</v>
      </c>
      <c r="Q3572">
        <v>71</v>
      </c>
      <c r="R3572">
        <v>-6.84</v>
      </c>
      <c r="S3572">
        <v>66</v>
      </c>
      <c r="T3572">
        <v>14.42</v>
      </c>
      <c r="U3572">
        <v>70</v>
      </c>
      <c r="V3572">
        <v>-3.63</v>
      </c>
      <c r="W3572">
        <v>31</v>
      </c>
      <c r="X3572" t="s">
        <v>94</v>
      </c>
      <c r="Y3572" t="s">
        <v>95</v>
      </c>
      <c r="Z3572" t="s">
        <v>96</v>
      </c>
      <c r="AA3572" t="s">
        <v>161</v>
      </c>
      <c r="AB3572" t="s">
        <v>15080</v>
      </c>
      <c r="AC3572">
        <v>55</v>
      </c>
      <c r="AD3572">
        <v>51</v>
      </c>
      <c r="AE3572">
        <v>91</v>
      </c>
      <c r="AF3572">
        <v>38.57</v>
      </c>
      <c r="AG3572">
        <v>-5.91</v>
      </c>
      <c r="AH3572">
        <v>-1.58</v>
      </c>
      <c r="AI3572">
        <v>-0.12</v>
      </c>
      <c r="AJ3572">
        <v>-0.05</v>
      </c>
      <c r="AK3572">
        <v>62</v>
      </c>
      <c r="AL3572">
        <v>76</v>
      </c>
      <c r="AM3572">
        <v>64</v>
      </c>
      <c r="AN3572">
        <v>2.87</v>
      </c>
      <c r="AO3572">
        <v>-0.41</v>
      </c>
      <c r="AP3572">
        <v>1</v>
      </c>
      <c r="AQ3572">
        <v>0</v>
      </c>
      <c r="AR3572">
        <v>4.67</v>
      </c>
      <c r="AS3572">
        <v>32</v>
      </c>
      <c r="AT3572">
        <v>2.62</v>
      </c>
      <c r="AU3572">
        <v>47</v>
      </c>
      <c r="AV3572">
        <v>0</v>
      </c>
      <c r="AW3572">
        <v>62</v>
      </c>
      <c r="AX3572">
        <v>-0.74</v>
      </c>
      <c r="AY3572">
        <v>65</v>
      </c>
      <c r="AZ3572">
        <v>5.23</v>
      </c>
      <c r="BA3572">
        <v>33</v>
      </c>
      <c r="BB3572">
        <v>4.37</v>
      </c>
      <c r="BC3572">
        <v>45</v>
      </c>
      <c r="BD3572">
        <v>0.05</v>
      </c>
      <c r="BE3572">
        <v>0.06</v>
      </c>
      <c r="BF3572">
        <v>-0.04</v>
      </c>
      <c r="BG3572">
        <v>83</v>
      </c>
      <c r="BH3572">
        <v>-0.05</v>
      </c>
      <c r="BI3572">
        <v>5.94</v>
      </c>
      <c r="BJ3572">
        <v>18</v>
      </c>
      <c r="BK3572">
        <v>18</v>
      </c>
      <c r="BL3572">
        <v>0.03</v>
      </c>
      <c r="BM3572">
        <v>0.26</v>
      </c>
      <c r="BN3572">
        <v>0.44</v>
      </c>
      <c r="BO3572">
        <v>-0.12</v>
      </c>
      <c r="BP3572">
        <v>-0.26</v>
      </c>
      <c r="BQ3572">
        <v>-0.62</v>
      </c>
      <c r="BR3572">
        <v>-1.88</v>
      </c>
      <c r="BS3572">
        <v>1.1299999999999999</v>
      </c>
      <c r="BT3572">
        <v>1.28</v>
      </c>
      <c r="BU3572">
        <v>-0.48</v>
      </c>
      <c r="BV3572">
        <v>0.12</v>
      </c>
      <c r="BW3572">
        <v>0.45</v>
      </c>
      <c r="BX3572">
        <v>1.04</v>
      </c>
      <c r="BY3572">
        <v>-0.33</v>
      </c>
      <c r="BZ3572">
        <v>0.77</v>
      </c>
      <c r="CA3572">
        <v>0.48</v>
      </c>
      <c r="CB3572">
        <v>0.17</v>
      </c>
      <c r="CC3572">
        <v>1.85</v>
      </c>
      <c r="CD3572">
        <v>0.44</v>
      </c>
      <c r="CE3572">
        <v>0.16</v>
      </c>
      <c r="CF3572">
        <v>0.3</v>
      </c>
      <c r="CG3572">
        <v>0</v>
      </c>
      <c r="CH3572">
        <v>-0.83</v>
      </c>
      <c r="CI3572">
        <v>0</v>
      </c>
      <c r="CJ3572">
        <v>0.2</v>
      </c>
      <c r="CK3572">
        <v>72</v>
      </c>
      <c r="CL3572">
        <v>-0.66</v>
      </c>
      <c r="CM3572">
        <v>69</v>
      </c>
      <c r="CN3572">
        <v>-0.37</v>
      </c>
      <c r="CO3572">
        <v>64</v>
      </c>
      <c r="CP3572">
        <v>0.8</v>
      </c>
      <c r="CQ3572">
        <v>79</v>
      </c>
      <c r="CR3572">
        <v>0</v>
      </c>
      <c r="CS3572">
        <v>0</v>
      </c>
      <c r="CT3572">
        <v>-5.7</v>
      </c>
      <c r="CU3572">
        <v>70</v>
      </c>
      <c r="CV3572">
        <v>0.19</v>
      </c>
      <c r="CW3572">
        <v>20</v>
      </c>
      <c r="CX3572" t="s">
        <v>120</v>
      </c>
    </row>
    <row r="3573" spans="1:102" x14ac:dyDescent="0.3">
      <c r="A3573" t="str">
        <f>HYPERLINK("https://webapp.icbf.com/v2/app/bull-search/view/308318804","JAE")</f>
        <v>JAE</v>
      </c>
      <c r="B3573" t="s">
        <v>8774</v>
      </c>
      <c r="C3573" t="s">
        <v>8775</v>
      </c>
      <c r="D3573" s="1">
        <v>37483</v>
      </c>
      <c r="E3573" t="s">
        <v>92</v>
      </c>
      <c r="F3573">
        <v>100</v>
      </c>
      <c r="G3573" t="s">
        <v>93</v>
      </c>
      <c r="H3573">
        <v>-47.04</v>
      </c>
      <c r="I3573">
        <v>79</v>
      </c>
      <c r="J3573">
        <v>27.36</v>
      </c>
      <c r="K3573">
        <v>94</v>
      </c>
      <c r="L3573">
        <v>-68.25</v>
      </c>
      <c r="M3573">
        <v>64</v>
      </c>
      <c r="N3573">
        <v>-2.29</v>
      </c>
      <c r="O3573">
        <v>78</v>
      </c>
      <c r="P3573">
        <v>-12.64</v>
      </c>
      <c r="Q3573">
        <v>90</v>
      </c>
      <c r="R3573">
        <v>-0.06</v>
      </c>
      <c r="S3573">
        <v>71</v>
      </c>
      <c r="T3573">
        <v>8.42</v>
      </c>
      <c r="U3573">
        <v>83</v>
      </c>
      <c r="V3573">
        <v>0.42</v>
      </c>
      <c r="W3573">
        <v>61</v>
      </c>
      <c r="X3573" t="s">
        <v>94</v>
      </c>
      <c r="Y3573" t="s">
        <v>2565</v>
      </c>
      <c r="Z3573" t="s">
        <v>96</v>
      </c>
      <c r="AA3573" t="s">
        <v>4023</v>
      </c>
      <c r="AB3573" t="s">
        <v>8776</v>
      </c>
      <c r="AC3573">
        <v>65</v>
      </c>
      <c r="AD3573">
        <v>45</v>
      </c>
      <c r="AE3573">
        <v>94</v>
      </c>
      <c r="AF3573">
        <v>516.41</v>
      </c>
      <c r="AG3573">
        <v>3.64</v>
      </c>
      <c r="AH3573">
        <v>11.27</v>
      </c>
      <c r="AI3573">
        <v>-0.25</v>
      </c>
      <c r="AJ3573">
        <v>-0.1</v>
      </c>
      <c r="AK3573">
        <v>64</v>
      </c>
      <c r="AL3573">
        <v>59</v>
      </c>
      <c r="AM3573">
        <v>42</v>
      </c>
      <c r="AN3573">
        <v>3.93</v>
      </c>
      <c r="AO3573">
        <v>-1.51</v>
      </c>
      <c r="AP3573">
        <v>134</v>
      </c>
      <c r="AQ3573">
        <v>1</v>
      </c>
      <c r="AR3573">
        <v>9.89</v>
      </c>
      <c r="AS3573">
        <v>58</v>
      </c>
      <c r="AT3573">
        <v>4.0199999999999996</v>
      </c>
      <c r="AU3573">
        <v>79</v>
      </c>
      <c r="AV3573">
        <v>-1.43</v>
      </c>
      <c r="AW3573">
        <v>92</v>
      </c>
      <c r="AX3573">
        <v>0.76</v>
      </c>
      <c r="AY3573">
        <v>76</v>
      </c>
      <c r="AZ3573">
        <v>5.85</v>
      </c>
      <c r="BA3573">
        <v>53</v>
      </c>
      <c r="BB3573">
        <v>4.37</v>
      </c>
      <c r="BC3573">
        <v>55</v>
      </c>
      <c r="BD3573">
        <v>0.02</v>
      </c>
      <c r="BE3573">
        <v>0.02</v>
      </c>
      <c r="BF3573">
        <v>-7.0000000000000007E-2</v>
      </c>
      <c r="BG3573">
        <v>79</v>
      </c>
      <c r="BH3573">
        <v>-0.04</v>
      </c>
      <c r="BI3573">
        <v>-5.98</v>
      </c>
      <c r="BJ3573">
        <v>10</v>
      </c>
      <c r="BK3573">
        <v>8</v>
      </c>
      <c r="BL3573">
        <v>0.31</v>
      </c>
      <c r="BM3573">
        <v>0.96</v>
      </c>
      <c r="BN3573">
        <v>0.73</v>
      </c>
      <c r="BO3573">
        <v>0.34</v>
      </c>
      <c r="BP3573">
        <v>-0.45</v>
      </c>
      <c r="BQ3573">
        <v>1.04</v>
      </c>
      <c r="BR3573">
        <v>1.57</v>
      </c>
      <c r="BS3573">
        <v>-0.39</v>
      </c>
      <c r="BT3573">
        <v>-1.64</v>
      </c>
      <c r="BU3573">
        <v>0.09</v>
      </c>
      <c r="BV3573">
        <v>-0.06</v>
      </c>
      <c r="BW3573">
        <v>0.18</v>
      </c>
      <c r="BX3573">
        <v>-0.24</v>
      </c>
      <c r="BY3573">
        <v>0.9</v>
      </c>
      <c r="BZ3573">
        <v>-1.52</v>
      </c>
      <c r="CA3573">
        <v>-0.02</v>
      </c>
      <c r="CB3573">
        <v>0.15</v>
      </c>
      <c r="CC3573">
        <v>-0.25</v>
      </c>
      <c r="CD3573">
        <v>0.34</v>
      </c>
      <c r="CE3573">
        <v>0.62</v>
      </c>
      <c r="CF3573">
        <v>0.49</v>
      </c>
      <c r="CG3573">
        <v>0</v>
      </c>
      <c r="CH3573">
        <v>0.71</v>
      </c>
      <c r="CI3573">
        <v>0</v>
      </c>
      <c r="CJ3573">
        <v>-7.1</v>
      </c>
      <c r="CK3573">
        <v>91</v>
      </c>
      <c r="CL3573">
        <v>-0.6</v>
      </c>
      <c r="CM3573">
        <v>89</v>
      </c>
      <c r="CN3573">
        <v>-0.31</v>
      </c>
      <c r="CO3573">
        <v>87</v>
      </c>
      <c r="CP3573">
        <v>-1.9</v>
      </c>
      <c r="CQ3573">
        <v>87</v>
      </c>
      <c r="CR3573">
        <v>0</v>
      </c>
      <c r="CS3573">
        <v>0</v>
      </c>
      <c r="CT3573">
        <v>2.4</v>
      </c>
      <c r="CU3573">
        <v>83</v>
      </c>
      <c r="CV3573">
        <v>-0.01</v>
      </c>
      <c r="CW3573">
        <v>27</v>
      </c>
      <c r="CX3573" t="s">
        <v>1574</v>
      </c>
    </row>
    <row r="3574" spans="1:102" x14ac:dyDescent="0.3">
      <c r="A3574" t="str">
        <f>HYPERLINK("https://webapp.icbf.com/v2/app/bull-search/view/76524075","BIZ")</f>
        <v>BIZ</v>
      </c>
      <c r="B3574" t="s">
        <v>8582</v>
      </c>
      <c r="C3574" t="s">
        <v>8583</v>
      </c>
      <c r="D3574" s="1">
        <v>36834</v>
      </c>
      <c r="E3574" t="s">
        <v>92</v>
      </c>
      <c r="F3574">
        <v>94</v>
      </c>
      <c r="G3574" t="s">
        <v>93</v>
      </c>
      <c r="H3574">
        <v>-47.07</v>
      </c>
      <c r="I3574">
        <v>91</v>
      </c>
      <c r="J3574">
        <v>13.27</v>
      </c>
      <c r="K3574">
        <v>98</v>
      </c>
      <c r="L3574">
        <v>-83.65</v>
      </c>
      <c r="M3574">
        <v>84</v>
      </c>
      <c r="N3574">
        <v>26.79</v>
      </c>
      <c r="O3574">
        <v>91</v>
      </c>
      <c r="P3574">
        <v>-6.95</v>
      </c>
      <c r="Q3574">
        <v>96</v>
      </c>
      <c r="R3574">
        <v>-7.9</v>
      </c>
      <c r="S3574">
        <v>86</v>
      </c>
      <c r="T3574">
        <v>14.2</v>
      </c>
      <c r="U3574">
        <v>93</v>
      </c>
      <c r="V3574">
        <v>-2.83</v>
      </c>
      <c r="W3574">
        <v>83</v>
      </c>
      <c r="X3574" t="s">
        <v>94</v>
      </c>
      <c r="Y3574" t="s">
        <v>95</v>
      </c>
      <c r="Z3574" t="s">
        <v>96</v>
      </c>
      <c r="AA3574" t="s">
        <v>4619</v>
      </c>
      <c r="AB3574" t="s">
        <v>8584</v>
      </c>
      <c r="AC3574">
        <v>196</v>
      </c>
      <c r="AD3574">
        <v>154</v>
      </c>
      <c r="AE3574">
        <v>98</v>
      </c>
      <c r="AF3574">
        <v>158.27000000000001</v>
      </c>
      <c r="AG3574">
        <v>1.78</v>
      </c>
      <c r="AH3574">
        <v>4.05</v>
      </c>
      <c r="AI3574">
        <v>-7.0000000000000007E-2</v>
      </c>
      <c r="AJ3574">
        <v>-0.02</v>
      </c>
      <c r="AK3574">
        <v>84</v>
      </c>
      <c r="AL3574">
        <v>206</v>
      </c>
      <c r="AM3574">
        <v>156</v>
      </c>
      <c r="AN3574">
        <v>4.63</v>
      </c>
      <c r="AO3574">
        <v>-2.04</v>
      </c>
      <c r="AP3574">
        <v>314</v>
      </c>
      <c r="AQ3574">
        <v>0</v>
      </c>
      <c r="AR3574">
        <v>4.57</v>
      </c>
      <c r="AS3574">
        <v>78</v>
      </c>
      <c r="AT3574">
        <v>2.4</v>
      </c>
      <c r="AU3574">
        <v>92</v>
      </c>
      <c r="AV3574">
        <v>-1.66</v>
      </c>
      <c r="AW3574">
        <v>97</v>
      </c>
      <c r="AX3574">
        <v>-0.26</v>
      </c>
      <c r="AY3574">
        <v>90</v>
      </c>
      <c r="AZ3574">
        <v>6.17</v>
      </c>
      <c r="BA3574">
        <v>76</v>
      </c>
      <c r="BB3574">
        <v>5.0199999999999996</v>
      </c>
      <c r="BC3574">
        <v>80</v>
      </c>
      <c r="BD3574">
        <v>0.04</v>
      </c>
      <c r="BE3574">
        <v>0.05</v>
      </c>
      <c r="BF3574">
        <v>0.02</v>
      </c>
      <c r="BG3574">
        <v>93</v>
      </c>
      <c r="BH3574">
        <v>-0.04</v>
      </c>
      <c r="BI3574">
        <v>4.5</v>
      </c>
      <c r="BJ3574">
        <v>39</v>
      </c>
      <c r="BK3574">
        <v>29</v>
      </c>
      <c r="BL3574">
        <v>0.18</v>
      </c>
      <c r="BM3574">
        <v>0.12</v>
      </c>
      <c r="BN3574">
        <v>0.43</v>
      </c>
      <c r="BO3574">
        <v>0.1</v>
      </c>
      <c r="BP3574">
        <v>0.46</v>
      </c>
      <c r="BQ3574">
        <v>0.36</v>
      </c>
      <c r="BR3574">
        <v>-0.59</v>
      </c>
      <c r="BS3574">
        <v>0.09</v>
      </c>
      <c r="BT3574">
        <v>1.08</v>
      </c>
      <c r="BU3574">
        <v>-1.65</v>
      </c>
      <c r="BV3574">
        <v>-0.45</v>
      </c>
      <c r="BW3574">
        <v>7.0000000000000007E-2</v>
      </c>
      <c r="BX3574">
        <v>-2.2200000000000002</v>
      </c>
      <c r="BY3574">
        <v>-1.23</v>
      </c>
      <c r="BZ3574">
        <v>0.63</v>
      </c>
      <c r="CA3574">
        <v>-0.35</v>
      </c>
      <c r="CB3574">
        <v>-0.75</v>
      </c>
      <c r="CC3574">
        <v>0.74</v>
      </c>
      <c r="CD3574">
        <v>-0.52</v>
      </c>
      <c r="CE3574">
        <v>0.47</v>
      </c>
      <c r="CF3574">
        <v>-0.09</v>
      </c>
      <c r="CG3574">
        <v>0</v>
      </c>
      <c r="CH3574">
        <v>-0.57999999999999996</v>
      </c>
      <c r="CI3574">
        <v>0</v>
      </c>
      <c r="CJ3574">
        <v>-1.6</v>
      </c>
      <c r="CK3574">
        <v>97</v>
      </c>
      <c r="CL3574">
        <v>-0.45</v>
      </c>
      <c r="CM3574">
        <v>96</v>
      </c>
      <c r="CN3574">
        <v>-0.09</v>
      </c>
      <c r="CO3574">
        <v>96</v>
      </c>
      <c r="CP3574">
        <v>-7.7</v>
      </c>
      <c r="CQ3574">
        <v>95</v>
      </c>
      <c r="CR3574">
        <v>0</v>
      </c>
      <c r="CS3574">
        <v>0</v>
      </c>
      <c r="CT3574">
        <v>-5.4</v>
      </c>
      <c r="CU3574">
        <v>93</v>
      </c>
      <c r="CV3574">
        <v>0.13</v>
      </c>
      <c r="CW3574">
        <v>46</v>
      </c>
      <c r="CX3574" t="s">
        <v>4070</v>
      </c>
    </row>
    <row r="3575" spans="1:102" x14ac:dyDescent="0.3">
      <c r="A3575" t="str">
        <f>HYPERLINK("https://webapp.icbf.com/v2/app/bull-search/view/77857018","HMJ")</f>
        <v>HMJ</v>
      </c>
      <c r="B3575" t="s">
        <v>10682</v>
      </c>
      <c r="C3575" t="s">
        <v>10683</v>
      </c>
      <c r="D3575" s="1">
        <v>33141</v>
      </c>
      <c r="E3575" t="s">
        <v>92</v>
      </c>
      <c r="F3575">
        <v>100</v>
      </c>
      <c r="G3575" t="s">
        <v>93</v>
      </c>
      <c r="H3575">
        <v>-47.08</v>
      </c>
      <c r="I3575">
        <v>60</v>
      </c>
      <c r="J3575">
        <v>-20.23</v>
      </c>
      <c r="K3575">
        <v>74</v>
      </c>
      <c r="L3575">
        <v>-29.33</v>
      </c>
      <c r="M3575">
        <v>50</v>
      </c>
      <c r="N3575">
        <v>11.4</v>
      </c>
      <c r="O3575">
        <v>54</v>
      </c>
      <c r="P3575">
        <v>-8.98</v>
      </c>
      <c r="Q3575">
        <v>65</v>
      </c>
      <c r="R3575">
        <v>-8.6300000000000008</v>
      </c>
      <c r="S3575">
        <v>54</v>
      </c>
      <c r="T3575">
        <v>9.83</v>
      </c>
      <c r="U3575">
        <v>57</v>
      </c>
      <c r="V3575">
        <v>-1.1399999999999999</v>
      </c>
      <c r="W3575">
        <v>46</v>
      </c>
      <c r="X3575" t="s">
        <v>276</v>
      </c>
      <c r="Y3575" t="s">
        <v>95</v>
      </c>
      <c r="Z3575" t="s">
        <v>96</v>
      </c>
      <c r="AA3575" t="s">
        <v>543</v>
      </c>
      <c r="AB3575" t="s">
        <v>4928</v>
      </c>
      <c r="AC3575">
        <v>17</v>
      </c>
      <c r="AD3575">
        <v>13</v>
      </c>
      <c r="AE3575">
        <v>74</v>
      </c>
      <c r="AF3575">
        <v>-118.03</v>
      </c>
      <c r="AG3575">
        <v>1.62</v>
      </c>
      <c r="AH3575">
        <v>-5.82</v>
      </c>
      <c r="AI3575">
        <v>0.11</v>
      </c>
      <c r="AJ3575">
        <v>-0.03</v>
      </c>
      <c r="AK3575">
        <v>50</v>
      </c>
      <c r="AL3575">
        <v>23</v>
      </c>
      <c r="AM3575">
        <v>15</v>
      </c>
      <c r="AN3575">
        <v>1.51</v>
      </c>
      <c r="AO3575">
        <v>-0.83</v>
      </c>
      <c r="AP3575">
        <v>13</v>
      </c>
      <c r="AQ3575">
        <v>0</v>
      </c>
      <c r="AR3575">
        <v>7.62</v>
      </c>
      <c r="AS3575">
        <v>40</v>
      </c>
      <c r="AT3575">
        <v>3.68</v>
      </c>
      <c r="AU3575">
        <v>48</v>
      </c>
      <c r="AV3575">
        <v>-3.04</v>
      </c>
      <c r="AW3575">
        <v>68</v>
      </c>
      <c r="AX3575">
        <v>-0.42</v>
      </c>
      <c r="AY3575">
        <v>54</v>
      </c>
      <c r="AZ3575">
        <v>8.11</v>
      </c>
      <c r="BA3575">
        <v>35</v>
      </c>
      <c r="BB3575">
        <v>6.09</v>
      </c>
      <c r="BC3575">
        <v>39</v>
      </c>
      <c r="BD3575">
        <v>0.02</v>
      </c>
      <c r="BE3575">
        <v>0.05</v>
      </c>
      <c r="BF3575">
        <v>7.0000000000000007E-2</v>
      </c>
      <c r="BG3575">
        <v>66</v>
      </c>
      <c r="BH3575">
        <v>-0.05</v>
      </c>
      <c r="BI3575">
        <v>-2.1</v>
      </c>
      <c r="BJ3575">
        <v>3</v>
      </c>
      <c r="BK3575">
        <v>3</v>
      </c>
      <c r="BL3575">
        <v>-0.02</v>
      </c>
      <c r="BM3575">
        <v>-0.75</v>
      </c>
      <c r="BN3575">
        <v>0.01</v>
      </c>
      <c r="BO3575">
        <v>0.15</v>
      </c>
      <c r="BP3575">
        <v>-0.21</v>
      </c>
      <c r="BQ3575">
        <v>-0.16</v>
      </c>
      <c r="BR3575">
        <v>1.5</v>
      </c>
      <c r="BS3575">
        <v>-1.1299999999999999</v>
      </c>
      <c r="BT3575">
        <v>-1.57</v>
      </c>
      <c r="BU3575">
        <v>1.1499999999999999</v>
      </c>
      <c r="BV3575">
        <v>0.43</v>
      </c>
      <c r="BW3575">
        <v>0.99</v>
      </c>
      <c r="BX3575">
        <v>1.0900000000000001</v>
      </c>
      <c r="BY3575">
        <v>0.32</v>
      </c>
      <c r="BZ3575">
        <v>2.08</v>
      </c>
      <c r="CA3575">
        <v>0.39</v>
      </c>
      <c r="CB3575">
        <v>0.68</v>
      </c>
      <c r="CC3575">
        <v>-0.34</v>
      </c>
      <c r="CD3575">
        <v>-0.04</v>
      </c>
      <c r="CE3575">
        <v>0.12</v>
      </c>
      <c r="CF3575">
        <v>0.93</v>
      </c>
      <c r="CG3575">
        <v>0</v>
      </c>
      <c r="CH3575">
        <v>0.65</v>
      </c>
      <c r="CI3575">
        <v>0</v>
      </c>
      <c r="CJ3575">
        <v>-5.2</v>
      </c>
      <c r="CK3575">
        <v>67</v>
      </c>
      <c r="CL3575">
        <v>-0.56000000000000005</v>
      </c>
      <c r="CM3575">
        <v>63</v>
      </c>
      <c r="CN3575">
        <v>-0.42</v>
      </c>
      <c r="CO3575">
        <v>59</v>
      </c>
      <c r="CP3575">
        <v>-6.3</v>
      </c>
      <c r="CQ3575">
        <v>65</v>
      </c>
      <c r="CR3575">
        <v>0</v>
      </c>
      <c r="CS3575">
        <v>0</v>
      </c>
      <c r="CT3575">
        <v>0.5</v>
      </c>
      <c r="CU3575">
        <v>57</v>
      </c>
      <c r="CV3575">
        <v>0.08</v>
      </c>
      <c r="CW3575">
        <v>18</v>
      </c>
      <c r="CX3575" t="s">
        <v>154</v>
      </c>
    </row>
    <row r="3576" spans="1:102" x14ac:dyDescent="0.3">
      <c r="A3576" t="str">
        <f>HYPERLINK("https://webapp.icbf.com/v2/app/bull-search/view/77854849","MSX")</f>
        <v>MSX</v>
      </c>
      <c r="B3576" t="s">
        <v>10753</v>
      </c>
      <c r="C3576" t="s">
        <v>10754</v>
      </c>
      <c r="D3576" s="1">
        <v>32294</v>
      </c>
      <c r="E3576" t="s">
        <v>92</v>
      </c>
      <c r="F3576">
        <v>100</v>
      </c>
      <c r="G3576" t="s">
        <v>109</v>
      </c>
      <c r="H3576">
        <v>-47.15</v>
      </c>
      <c r="I3576">
        <v>66</v>
      </c>
      <c r="J3576">
        <v>-4.3600000000000003</v>
      </c>
      <c r="K3576">
        <v>72</v>
      </c>
      <c r="L3576">
        <v>-40.4</v>
      </c>
      <c r="M3576">
        <v>74</v>
      </c>
      <c r="N3576">
        <v>-1.95</v>
      </c>
      <c r="O3576">
        <v>40</v>
      </c>
      <c r="P3576">
        <v>-7.38</v>
      </c>
      <c r="Q3576">
        <v>70</v>
      </c>
      <c r="R3576">
        <v>-9.6999999999999993</v>
      </c>
      <c r="S3576">
        <v>65</v>
      </c>
      <c r="T3576">
        <v>12.94</v>
      </c>
      <c r="U3576">
        <v>55</v>
      </c>
      <c r="V3576">
        <v>3.7</v>
      </c>
      <c r="W3576">
        <v>31</v>
      </c>
      <c r="X3576" t="s">
        <v>110</v>
      </c>
      <c r="Y3576" t="s">
        <v>95</v>
      </c>
      <c r="Z3576" t="s">
        <v>96</v>
      </c>
      <c r="AA3576" t="s">
        <v>128</v>
      </c>
      <c r="AB3576" t="s">
        <v>3723</v>
      </c>
      <c r="AC3576">
        <v>0</v>
      </c>
      <c r="AD3576">
        <v>0</v>
      </c>
      <c r="AE3576">
        <v>72</v>
      </c>
      <c r="AF3576">
        <v>-58.19</v>
      </c>
      <c r="AG3576">
        <v>3.98</v>
      </c>
      <c r="AH3576">
        <v>-3.04</v>
      </c>
      <c r="AI3576">
        <v>0.1</v>
      </c>
      <c r="AJ3576">
        <v>-0.02</v>
      </c>
      <c r="AK3576">
        <v>74</v>
      </c>
      <c r="AL3576">
        <v>0</v>
      </c>
      <c r="AM3576">
        <v>0</v>
      </c>
      <c r="AN3576">
        <v>1.54</v>
      </c>
      <c r="AO3576">
        <v>-1.69</v>
      </c>
      <c r="AP3576">
        <v>1</v>
      </c>
      <c r="AQ3576">
        <v>0</v>
      </c>
      <c r="AR3576">
        <v>9.41</v>
      </c>
      <c r="AS3576">
        <v>28</v>
      </c>
      <c r="AT3576">
        <v>3.86</v>
      </c>
      <c r="AU3576">
        <v>39</v>
      </c>
      <c r="AV3576">
        <v>-0.7</v>
      </c>
      <c r="AW3576">
        <v>43</v>
      </c>
      <c r="AX3576">
        <v>-0.84</v>
      </c>
      <c r="AY3576">
        <v>49</v>
      </c>
      <c r="AZ3576">
        <v>5.7</v>
      </c>
      <c r="BA3576">
        <v>27</v>
      </c>
      <c r="BB3576">
        <v>4.68</v>
      </c>
      <c r="BC3576">
        <v>35</v>
      </c>
      <c r="BD3576">
        <v>0.03</v>
      </c>
      <c r="BE3576">
        <v>7.0000000000000007E-2</v>
      </c>
      <c r="BF3576">
        <v>0.04</v>
      </c>
      <c r="BG3576">
        <v>86</v>
      </c>
      <c r="BH3576">
        <v>0.16</v>
      </c>
      <c r="BI3576">
        <v>6.56</v>
      </c>
      <c r="BJ3576">
        <v>2</v>
      </c>
      <c r="BK3576">
        <v>2</v>
      </c>
      <c r="BL3576">
        <v>0.21</v>
      </c>
      <c r="BM3576">
        <v>0.18</v>
      </c>
      <c r="BN3576">
        <v>0.56999999999999995</v>
      </c>
      <c r="BO3576">
        <v>0.39</v>
      </c>
      <c r="BP3576">
        <v>0.73</v>
      </c>
      <c r="BQ3576">
        <v>0.67</v>
      </c>
      <c r="BR3576">
        <v>1.68</v>
      </c>
      <c r="BS3576">
        <v>-0.46</v>
      </c>
      <c r="BT3576">
        <v>-0.45</v>
      </c>
      <c r="BU3576">
        <v>-1.43</v>
      </c>
      <c r="BV3576">
        <v>-1.49</v>
      </c>
      <c r="BW3576">
        <v>-1.45</v>
      </c>
      <c r="BX3576">
        <v>-2.04</v>
      </c>
      <c r="BY3576">
        <v>-0.83</v>
      </c>
      <c r="BZ3576">
        <v>-0.76</v>
      </c>
      <c r="CA3576">
        <v>-0.86</v>
      </c>
      <c r="CB3576">
        <v>-1</v>
      </c>
      <c r="CC3576">
        <v>-0.04</v>
      </c>
      <c r="CD3576">
        <v>-0.54</v>
      </c>
      <c r="CE3576">
        <v>-0.16</v>
      </c>
      <c r="CF3576">
        <v>0</v>
      </c>
      <c r="CG3576">
        <v>0</v>
      </c>
      <c r="CH3576">
        <v>-0.31</v>
      </c>
      <c r="CI3576">
        <v>0</v>
      </c>
      <c r="CJ3576">
        <v>-3.1</v>
      </c>
      <c r="CK3576">
        <v>72</v>
      </c>
      <c r="CL3576">
        <v>-0.47</v>
      </c>
      <c r="CM3576">
        <v>68</v>
      </c>
      <c r="CN3576">
        <v>-0.18</v>
      </c>
      <c r="CO3576">
        <v>65</v>
      </c>
      <c r="CP3576">
        <v>-2.4</v>
      </c>
      <c r="CQ3576">
        <v>64</v>
      </c>
      <c r="CR3576">
        <v>0</v>
      </c>
      <c r="CS3576">
        <v>0</v>
      </c>
      <c r="CT3576">
        <v>-3.7</v>
      </c>
      <c r="CU3576">
        <v>55</v>
      </c>
      <c r="CV3576">
        <v>0.08</v>
      </c>
      <c r="CW3576">
        <v>20</v>
      </c>
      <c r="CX3576" t="s">
        <v>113</v>
      </c>
    </row>
    <row r="3577" spans="1:102" x14ac:dyDescent="0.3">
      <c r="A3577" t="str">
        <f>HYPERLINK("https://webapp.icbf.com/v2/app/bull-search/view/77858731","CYM")</f>
        <v>CYM</v>
      </c>
      <c r="B3577" t="s">
        <v>4693</v>
      </c>
      <c r="C3577" t="s">
        <v>4694</v>
      </c>
      <c r="D3577" s="1">
        <v>35066</v>
      </c>
      <c r="E3577" t="s">
        <v>92</v>
      </c>
      <c r="F3577">
        <v>100</v>
      </c>
      <c r="G3577" t="s">
        <v>93</v>
      </c>
      <c r="H3577">
        <v>-47.16</v>
      </c>
      <c r="I3577">
        <v>83</v>
      </c>
      <c r="J3577">
        <v>1.2</v>
      </c>
      <c r="K3577">
        <v>96</v>
      </c>
      <c r="L3577">
        <v>-56.77</v>
      </c>
      <c r="M3577">
        <v>79</v>
      </c>
      <c r="N3577">
        <v>18.25</v>
      </c>
      <c r="O3577">
        <v>70</v>
      </c>
      <c r="P3577">
        <v>-20.48</v>
      </c>
      <c r="Q3577">
        <v>77</v>
      </c>
      <c r="R3577">
        <v>-14.54</v>
      </c>
      <c r="S3577">
        <v>77</v>
      </c>
      <c r="T3577">
        <v>24.56</v>
      </c>
      <c r="U3577">
        <v>82</v>
      </c>
      <c r="V3577">
        <v>0.62</v>
      </c>
      <c r="W3577">
        <v>66</v>
      </c>
      <c r="X3577" t="s">
        <v>94</v>
      </c>
      <c r="Y3577" t="s">
        <v>95</v>
      </c>
      <c r="Z3577" t="s">
        <v>96</v>
      </c>
      <c r="AA3577" t="s">
        <v>2855</v>
      </c>
      <c r="AB3577" t="s">
        <v>4695</v>
      </c>
      <c r="AC3577">
        <v>53</v>
      </c>
      <c r="AD3577">
        <v>50</v>
      </c>
      <c r="AE3577">
        <v>96</v>
      </c>
      <c r="AF3577">
        <v>-208.12</v>
      </c>
      <c r="AG3577">
        <v>-2.1800000000000002</v>
      </c>
      <c r="AH3577">
        <v>-2.21</v>
      </c>
      <c r="AI3577">
        <v>0.11</v>
      </c>
      <c r="AJ3577">
        <v>0.09</v>
      </c>
      <c r="AK3577">
        <v>79</v>
      </c>
      <c r="AL3577">
        <v>56</v>
      </c>
      <c r="AM3577">
        <v>51</v>
      </c>
      <c r="AN3577">
        <v>1.34</v>
      </c>
      <c r="AO3577">
        <v>-3.21</v>
      </c>
      <c r="AP3577">
        <v>7</v>
      </c>
      <c r="AQ3577">
        <v>1</v>
      </c>
      <c r="AR3577">
        <v>7.16</v>
      </c>
      <c r="AS3577">
        <v>62</v>
      </c>
      <c r="AT3577">
        <v>2.29</v>
      </c>
      <c r="AU3577">
        <v>75</v>
      </c>
      <c r="AV3577">
        <v>-1.1100000000000001</v>
      </c>
      <c r="AW3577">
        <v>72</v>
      </c>
      <c r="AX3577">
        <v>-0.84</v>
      </c>
      <c r="AY3577">
        <v>76</v>
      </c>
      <c r="AZ3577">
        <v>7.39</v>
      </c>
      <c r="BA3577">
        <v>51</v>
      </c>
      <c r="BB3577">
        <v>4.84</v>
      </c>
      <c r="BC3577">
        <v>62</v>
      </c>
      <c r="BD3577">
        <v>0.02</v>
      </c>
      <c r="BE3577">
        <v>0.09</v>
      </c>
      <c r="BF3577">
        <v>0.13</v>
      </c>
      <c r="BG3577">
        <v>88</v>
      </c>
      <c r="BH3577">
        <v>-0.11</v>
      </c>
      <c r="BI3577">
        <v>-14.72</v>
      </c>
      <c r="BJ3577">
        <v>10</v>
      </c>
      <c r="BK3577">
        <v>7</v>
      </c>
      <c r="BL3577">
        <v>-0.4</v>
      </c>
      <c r="BM3577">
        <v>-2.62</v>
      </c>
      <c r="BN3577">
        <v>-1.39</v>
      </c>
      <c r="BO3577">
        <v>0.27</v>
      </c>
      <c r="BP3577">
        <v>-2.35</v>
      </c>
      <c r="BQ3577">
        <v>-3.18</v>
      </c>
      <c r="BR3577">
        <v>0.53</v>
      </c>
      <c r="BS3577">
        <v>-1.69</v>
      </c>
      <c r="BT3577">
        <v>-1.24</v>
      </c>
      <c r="BU3577">
        <v>-0.35</v>
      </c>
      <c r="BV3577">
        <v>-0.08</v>
      </c>
      <c r="BW3577">
        <v>-0.92</v>
      </c>
      <c r="BX3577">
        <v>-1.01</v>
      </c>
      <c r="BY3577">
        <v>0.13</v>
      </c>
      <c r="BZ3577">
        <v>-0.24</v>
      </c>
      <c r="CA3577">
        <v>-0.43</v>
      </c>
      <c r="CB3577">
        <v>-0.26</v>
      </c>
      <c r="CC3577">
        <v>-0.81</v>
      </c>
      <c r="CD3577">
        <v>-1.64</v>
      </c>
      <c r="CE3577">
        <v>-0.24</v>
      </c>
      <c r="CF3577">
        <v>-2.0499999999999998</v>
      </c>
      <c r="CG3577">
        <v>0</v>
      </c>
      <c r="CH3577">
        <v>-0.24</v>
      </c>
      <c r="CI3577">
        <v>0</v>
      </c>
      <c r="CJ3577">
        <v>-10.1</v>
      </c>
      <c r="CK3577">
        <v>78</v>
      </c>
      <c r="CL3577">
        <v>-0.7</v>
      </c>
      <c r="CM3577">
        <v>75</v>
      </c>
      <c r="CN3577">
        <v>-0.27</v>
      </c>
      <c r="CO3577">
        <v>72</v>
      </c>
      <c r="CP3577">
        <v>-16.5</v>
      </c>
      <c r="CQ3577">
        <v>85</v>
      </c>
      <c r="CR3577">
        <v>0</v>
      </c>
      <c r="CS3577">
        <v>0</v>
      </c>
      <c r="CT3577">
        <v>-19.399999999999999</v>
      </c>
      <c r="CU3577">
        <v>82</v>
      </c>
      <c r="CV3577">
        <v>0.06</v>
      </c>
      <c r="CW3577">
        <v>41</v>
      </c>
      <c r="CX3577" t="s">
        <v>485</v>
      </c>
    </row>
    <row r="3578" spans="1:102" x14ac:dyDescent="0.3">
      <c r="A3578" t="str">
        <f>HYPERLINK("https://webapp.icbf.com/v2/app/bull-search/view/77855149","MGU")</f>
        <v>MGU</v>
      </c>
      <c r="B3578" t="s">
        <v>11199</v>
      </c>
      <c r="C3578" t="s">
        <v>11200</v>
      </c>
      <c r="D3578" s="1">
        <v>35380</v>
      </c>
      <c r="E3578" t="s">
        <v>92</v>
      </c>
      <c r="F3578">
        <v>100</v>
      </c>
      <c r="G3578" t="s">
        <v>93</v>
      </c>
      <c r="H3578">
        <v>-47.22</v>
      </c>
      <c r="I3578">
        <v>75</v>
      </c>
      <c r="J3578">
        <v>16.45</v>
      </c>
      <c r="K3578">
        <v>94</v>
      </c>
      <c r="L3578">
        <v>-72.72</v>
      </c>
      <c r="M3578">
        <v>62</v>
      </c>
      <c r="N3578">
        <v>4.83</v>
      </c>
      <c r="O3578">
        <v>66</v>
      </c>
      <c r="P3578">
        <v>-15.04</v>
      </c>
      <c r="Q3578">
        <v>82</v>
      </c>
      <c r="R3578">
        <v>-2.44</v>
      </c>
      <c r="S3578">
        <v>65</v>
      </c>
      <c r="T3578">
        <v>23.08</v>
      </c>
      <c r="U3578">
        <v>77</v>
      </c>
      <c r="V3578">
        <v>-1.38</v>
      </c>
      <c r="W3578">
        <v>32</v>
      </c>
      <c r="X3578" t="s">
        <v>94</v>
      </c>
      <c r="Y3578" t="s">
        <v>95</v>
      </c>
      <c r="Z3578" t="s">
        <v>96</v>
      </c>
      <c r="AA3578" t="s">
        <v>3553</v>
      </c>
      <c r="AB3578" t="s">
        <v>11201</v>
      </c>
      <c r="AC3578">
        <v>74</v>
      </c>
      <c r="AD3578">
        <v>63</v>
      </c>
      <c r="AE3578">
        <v>94</v>
      </c>
      <c r="AF3578">
        <v>36.61</v>
      </c>
      <c r="AG3578">
        <v>3.81</v>
      </c>
      <c r="AH3578">
        <v>2.0099999999999998</v>
      </c>
      <c r="AI3578">
        <v>0.04</v>
      </c>
      <c r="AJ3578">
        <v>0.01</v>
      </c>
      <c r="AK3578">
        <v>62</v>
      </c>
      <c r="AL3578">
        <v>72</v>
      </c>
      <c r="AM3578">
        <v>57</v>
      </c>
      <c r="AN3578">
        <v>4.71</v>
      </c>
      <c r="AO3578">
        <v>-1.08</v>
      </c>
      <c r="AP3578">
        <v>14</v>
      </c>
      <c r="AQ3578">
        <v>1</v>
      </c>
      <c r="AR3578">
        <v>10.07</v>
      </c>
      <c r="AS3578">
        <v>44</v>
      </c>
      <c r="AT3578">
        <v>4.49</v>
      </c>
      <c r="AU3578">
        <v>64</v>
      </c>
      <c r="AV3578">
        <v>-2.56</v>
      </c>
      <c r="AW3578">
        <v>75</v>
      </c>
      <c r="AX3578">
        <v>-0.49</v>
      </c>
      <c r="AY3578">
        <v>74</v>
      </c>
      <c r="AZ3578">
        <v>5.28</v>
      </c>
      <c r="BA3578">
        <v>38</v>
      </c>
      <c r="BB3578">
        <v>4.37</v>
      </c>
      <c r="BC3578">
        <v>57</v>
      </c>
      <c r="BD3578">
        <v>0.03</v>
      </c>
      <c r="BE3578">
        <v>0.04</v>
      </c>
      <c r="BF3578">
        <v>-7.0000000000000007E-2</v>
      </c>
      <c r="BG3578">
        <v>81</v>
      </c>
      <c r="BH3578">
        <v>-0.04</v>
      </c>
      <c r="BI3578">
        <v>-0.17</v>
      </c>
      <c r="BJ3578">
        <v>2</v>
      </c>
      <c r="BK3578">
        <v>2</v>
      </c>
      <c r="BL3578">
        <v>0.15</v>
      </c>
      <c r="BM3578">
        <v>-1.19</v>
      </c>
      <c r="BN3578">
        <v>0.01</v>
      </c>
      <c r="BO3578">
        <v>0.62</v>
      </c>
      <c r="BP3578">
        <v>0.03</v>
      </c>
      <c r="BQ3578">
        <v>-1.28</v>
      </c>
      <c r="BR3578">
        <v>-0.87</v>
      </c>
      <c r="BS3578">
        <v>0.12</v>
      </c>
      <c r="BT3578">
        <v>1.27</v>
      </c>
      <c r="BU3578">
        <v>-0.32</v>
      </c>
      <c r="BV3578">
        <v>-0.04</v>
      </c>
      <c r="BW3578">
        <v>-0.28999999999999998</v>
      </c>
      <c r="BX3578">
        <v>-0.34</v>
      </c>
      <c r="BY3578">
        <v>-0.5</v>
      </c>
      <c r="BZ3578">
        <v>-7.0000000000000007E-2</v>
      </c>
      <c r="CA3578">
        <v>-0.1</v>
      </c>
      <c r="CB3578">
        <v>-0.16</v>
      </c>
      <c r="CC3578">
        <v>0.05</v>
      </c>
      <c r="CD3578">
        <v>-0.94</v>
      </c>
      <c r="CE3578">
        <v>0.32</v>
      </c>
      <c r="CF3578">
        <v>-0.56000000000000005</v>
      </c>
      <c r="CG3578">
        <v>0</v>
      </c>
      <c r="CH3578">
        <v>0.16</v>
      </c>
      <c r="CI3578">
        <v>0</v>
      </c>
      <c r="CJ3578">
        <v>-7.9</v>
      </c>
      <c r="CK3578">
        <v>83</v>
      </c>
      <c r="CL3578">
        <v>-0.43</v>
      </c>
      <c r="CM3578">
        <v>79</v>
      </c>
      <c r="CN3578">
        <v>-0.22</v>
      </c>
      <c r="CO3578">
        <v>76</v>
      </c>
      <c r="CP3578">
        <v>-15.2</v>
      </c>
      <c r="CQ3578">
        <v>87</v>
      </c>
      <c r="CR3578">
        <v>0</v>
      </c>
      <c r="CS3578">
        <v>0</v>
      </c>
      <c r="CT3578">
        <v>-17.399999999999999</v>
      </c>
      <c r="CU3578">
        <v>77</v>
      </c>
      <c r="CV3578">
        <v>0.02</v>
      </c>
      <c r="CW3578">
        <v>23</v>
      </c>
      <c r="CX3578" t="s">
        <v>3414</v>
      </c>
    </row>
    <row r="3579" spans="1:102" x14ac:dyDescent="0.3">
      <c r="A3579" t="str">
        <f>HYPERLINK("https://webapp.icbf.com/v2/app/bull-search/view/76543285","DES")</f>
        <v>DES</v>
      </c>
      <c r="B3579" t="s">
        <v>9825</v>
      </c>
      <c r="C3579" t="s">
        <v>9826</v>
      </c>
      <c r="D3579" s="1">
        <v>36540</v>
      </c>
      <c r="E3579" t="s">
        <v>108</v>
      </c>
      <c r="F3579">
        <v>0</v>
      </c>
      <c r="G3579" t="s">
        <v>93</v>
      </c>
      <c r="H3579">
        <v>-47.43</v>
      </c>
      <c r="I3579">
        <v>86</v>
      </c>
      <c r="J3579">
        <v>-21.75</v>
      </c>
      <c r="K3579">
        <v>97</v>
      </c>
      <c r="L3579">
        <v>-9.0299999999999994</v>
      </c>
      <c r="M3579">
        <v>76</v>
      </c>
      <c r="N3579">
        <v>-9.77</v>
      </c>
      <c r="O3579">
        <v>85</v>
      </c>
      <c r="P3579">
        <v>-13.31</v>
      </c>
      <c r="Q3579">
        <v>96</v>
      </c>
      <c r="R3579">
        <v>-14.96</v>
      </c>
      <c r="S3579">
        <v>77</v>
      </c>
      <c r="T3579">
        <v>18.12</v>
      </c>
      <c r="U3579">
        <v>86</v>
      </c>
      <c r="V3579">
        <v>3.27</v>
      </c>
      <c r="W3579">
        <v>76</v>
      </c>
      <c r="X3579" t="s">
        <v>102</v>
      </c>
      <c r="Y3579" t="s">
        <v>95</v>
      </c>
      <c r="Z3579" t="s">
        <v>96</v>
      </c>
      <c r="AA3579" t="s">
        <v>479</v>
      </c>
      <c r="AB3579" t="s">
        <v>1306</v>
      </c>
      <c r="AC3579">
        <v>151</v>
      </c>
      <c r="AD3579">
        <v>83</v>
      </c>
      <c r="AE3579">
        <v>97</v>
      </c>
      <c r="AF3579">
        <v>-213.65</v>
      </c>
      <c r="AG3579">
        <v>-2.77</v>
      </c>
      <c r="AH3579">
        <v>-5.99</v>
      </c>
      <c r="AI3579">
        <v>0.1</v>
      </c>
      <c r="AJ3579">
        <v>0.02</v>
      </c>
      <c r="AK3579">
        <v>76</v>
      </c>
      <c r="AL3579">
        <v>179</v>
      </c>
      <c r="AM3579">
        <v>110</v>
      </c>
      <c r="AN3579">
        <v>-1.83</v>
      </c>
      <c r="AO3579">
        <v>-2.58</v>
      </c>
      <c r="AP3579">
        <v>221</v>
      </c>
      <c r="AQ3579">
        <v>0</v>
      </c>
      <c r="AR3579">
        <v>8.9600000000000009</v>
      </c>
      <c r="AS3579">
        <v>77</v>
      </c>
      <c r="AT3579">
        <v>4.0599999999999996</v>
      </c>
      <c r="AU3579">
        <v>85</v>
      </c>
      <c r="AV3579">
        <v>-2.36</v>
      </c>
      <c r="AW3579">
        <v>93</v>
      </c>
      <c r="AX3579">
        <v>-0.08</v>
      </c>
      <c r="AY3579">
        <v>89</v>
      </c>
      <c r="AZ3579">
        <v>7.36</v>
      </c>
      <c r="BA3579">
        <v>64</v>
      </c>
      <c r="BB3579">
        <v>7.44</v>
      </c>
      <c r="BC3579">
        <v>70</v>
      </c>
      <c r="BD3579">
        <v>0.09</v>
      </c>
      <c r="BE3579">
        <v>0.06</v>
      </c>
      <c r="BF3579">
        <v>0.08</v>
      </c>
      <c r="BG3579">
        <v>88</v>
      </c>
      <c r="BH3579">
        <v>0.12</v>
      </c>
      <c r="BI3579">
        <v>3.33</v>
      </c>
      <c r="BJ3579">
        <v>25</v>
      </c>
      <c r="BK3579">
        <v>15</v>
      </c>
      <c r="BL3579">
        <v>-2.79</v>
      </c>
      <c r="BM3579">
        <v>-0.16</v>
      </c>
      <c r="BN3579">
        <v>-3.19</v>
      </c>
      <c r="BO3579">
        <v>-2.19</v>
      </c>
      <c r="BP3579">
        <v>-0.09</v>
      </c>
      <c r="BQ3579">
        <v>0.54</v>
      </c>
      <c r="BR3579">
        <v>-0.83</v>
      </c>
      <c r="BS3579">
        <v>-1.87</v>
      </c>
      <c r="BT3579">
        <v>0.44</v>
      </c>
      <c r="BU3579">
        <v>-1.95</v>
      </c>
      <c r="BV3579">
        <v>-1.3</v>
      </c>
      <c r="BW3579">
        <v>-0.96</v>
      </c>
      <c r="BX3579">
        <v>-0.27</v>
      </c>
      <c r="BY3579">
        <v>0.49</v>
      </c>
      <c r="BZ3579">
        <v>-2.06</v>
      </c>
      <c r="CA3579">
        <v>-2.27</v>
      </c>
      <c r="CB3579">
        <v>-1.5</v>
      </c>
      <c r="CC3579">
        <v>-3</v>
      </c>
      <c r="CD3579">
        <v>1.35</v>
      </c>
      <c r="CE3579">
        <v>-2.29</v>
      </c>
      <c r="CF3579">
        <v>-2.38</v>
      </c>
      <c r="CG3579">
        <v>0</v>
      </c>
      <c r="CH3579">
        <v>0.65</v>
      </c>
      <c r="CI3579">
        <v>0</v>
      </c>
      <c r="CJ3579">
        <v>-7.7</v>
      </c>
      <c r="CK3579">
        <v>97</v>
      </c>
      <c r="CL3579">
        <v>-0.17</v>
      </c>
      <c r="CM3579">
        <v>96</v>
      </c>
      <c r="CN3579">
        <v>-0.1</v>
      </c>
      <c r="CO3579">
        <v>96</v>
      </c>
      <c r="CP3579">
        <v>-14</v>
      </c>
      <c r="CQ3579">
        <v>94</v>
      </c>
      <c r="CR3579">
        <v>0</v>
      </c>
      <c r="CS3579">
        <v>0</v>
      </c>
      <c r="CT3579">
        <v>-10.7</v>
      </c>
      <c r="CU3579">
        <v>86</v>
      </c>
      <c r="CV3579">
        <v>-0.09</v>
      </c>
      <c r="CW3579">
        <v>29</v>
      </c>
      <c r="CX3579" t="s">
        <v>1307</v>
      </c>
    </row>
    <row r="3580" spans="1:102" x14ac:dyDescent="0.3">
      <c r="A3580" t="str">
        <f>HYPERLINK("https://webapp.icbf.com/v2/app/bull-search/view/547760989","S1027")</f>
        <v>S1027</v>
      </c>
      <c r="B3580" t="s">
        <v>6972</v>
      </c>
      <c r="C3580" t="s">
        <v>6973</v>
      </c>
      <c r="D3580" s="1">
        <v>37587</v>
      </c>
      <c r="E3580" t="s">
        <v>92</v>
      </c>
      <c r="F3580">
        <v>94</v>
      </c>
      <c r="G3580" t="s">
        <v>109</v>
      </c>
      <c r="H3580">
        <v>-47.45</v>
      </c>
      <c r="I3580">
        <v>73</v>
      </c>
      <c r="J3580">
        <v>-30.74</v>
      </c>
      <c r="K3580">
        <v>88</v>
      </c>
      <c r="L3580">
        <v>-6.03</v>
      </c>
      <c r="M3580">
        <v>81</v>
      </c>
      <c r="N3580">
        <v>-6.39</v>
      </c>
      <c r="O3580">
        <v>60</v>
      </c>
      <c r="P3580">
        <v>-18.010000000000002</v>
      </c>
      <c r="Q3580">
        <v>49</v>
      </c>
      <c r="R3580">
        <v>4.25</v>
      </c>
      <c r="S3580">
        <v>59</v>
      </c>
      <c r="T3580">
        <v>9.68</v>
      </c>
      <c r="U3580">
        <v>51</v>
      </c>
      <c r="V3580">
        <v>-0.21</v>
      </c>
      <c r="W3580">
        <v>12</v>
      </c>
      <c r="X3580" t="s">
        <v>94</v>
      </c>
      <c r="Y3580" t="s">
        <v>336</v>
      </c>
      <c r="Z3580" t="s">
        <v>330</v>
      </c>
      <c r="AA3580" t="s">
        <v>6974</v>
      </c>
      <c r="AB3580" t="s">
        <v>6975</v>
      </c>
      <c r="AC3580">
        <v>0</v>
      </c>
      <c r="AD3580">
        <v>0</v>
      </c>
      <c r="AE3580">
        <v>88</v>
      </c>
      <c r="AF3580">
        <v>37.54</v>
      </c>
      <c r="AG3580">
        <v>-2.95</v>
      </c>
      <c r="AH3580">
        <v>-3.61</v>
      </c>
      <c r="AI3580">
        <v>-7.0000000000000007E-2</v>
      </c>
      <c r="AJ3580">
        <v>-0.08</v>
      </c>
      <c r="AK3580">
        <v>81</v>
      </c>
      <c r="AL3580">
        <v>0</v>
      </c>
      <c r="AM3580">
        <v>0</v>
      </c>
      <c r="AN3580">
        <v>0.39</v>
      </c>
      <c r="AO3580">
        <v>-0.09</v>
      </c>
      <c r="AP3580">
        <v>4</v>
      </c>
      <c r="AQ3580">
        <v>0</v>
      </c>
      <c r="AR3580">
        <v>8.7899999999999991</v>
      </c>
      <c r="AS3580">
        <v>48</v>
      </c>
      <c r="AT3580">
        <v>3.92</v>
      </c>
      <c r="AU3580">
        <v>93</v>
      </c>
      <c r="AV3580">
        <v>-0.41</v>
      </c>
      <c r="AW3580">
        <v>58</v>
      </c>
      <c r="AX3580">
        <v>-0.81</v>
      </c>
      <c r="AY3580">
        <v>42</v>
      </c>
      <c r="AZ3580">
        <v>5.78</v>
      </c>
      <c r="BA3580">
        <v>33</v>
      </c>
      <c r="BB3580">
        <v>5.35</v>
      </c>
      <c r="BC3580">
        <v>34</v>
      </c>
      <c r="BD3580">
        <v>-0.01</v>
      </c>
      <c r="BE3580">
        <v>0.01</v>
      </c>
      <c r="BF3580">
        <v>-0.1</v>
      </c>
      <c r="BG3580">
        <v>90</v>
      </c>
      <c r="BH3580">
        <v>-0.02</v>
      </c>
      <c r="BI3580">
        <v>-1.63</v>
      </c>
      <c r="BJ3580">
        <v>0</v>
      </c>
      <c r="BK3580">
        <v>0</v>
      </c>
      <c r="BL3580">
        <v>0.65</v>
      </c>
      <c r="BM3580">
        <v>1.5</v>
      </c>
      <c r="BN3580">
        <v>1.1000000000000001</v>
      </c>
      <c r="BO3580">
        <v>0.53</v>
      </c>
      <c r="BP3580">
        <v>1.37</v>
      </c>
      <c r="BQ3580">
        <v>1.03</v>
      </c>
      <c r="BR3580">
        <v>-0.99</v>
      </c>
      <c r="BS3580">
        <v>0.56000000000000005</v>
      </c>
      <c r="BT3580">
        <v>0.28000000000000003</v>
      </c>
      <c r="BU3580">
        <v>2.35</v>
      </c>
      <c r="BV3580">
        <v>1.46</v>
      </c>
      <c r="BW3580">
        <v>0.5</v>
      </c>
      <c r="BX3580">
        <v>1.73</v>
      </c>
      <c r="BY3580">
        <v>1.63</v>
      </c>
      <c r="BZ3580">
        <v>-0.33</v>
      </c>
      <c r="CA3580">
        <v>1.63</v>
      </c>
      <c r="CB3580">
        <v>1.52</v>
      </c>
      <c r="CC3580">
        <v>1.26</v>
      </c>
      <c r="CD3580">
        <v>0.33</v>
      </c>
      <c r="CE3580">
        <v>0.67</v>
      </c>
      <c r="CF3580">
        <v>0.9</v>
      </c>
      <c r="CG3580">
        <v>0</v>
      </c>
      <c r="CH3580">
        <v>0.23</v>
      </c>
      <c r="CI3580">
        <v>0</v>
      </c>
      <c r="CJ3580">
        <v>-6.1</v>
      </c>
      <c r="CK3580">
        <v>51</v>
      </c>
      <c r="CL3580">
        <v>-1.1000000000000001</v>
      </c>
      <c r="CM3580">
        <v>48</v>
      </c>
      <c r="CN3580">
        <v>-0.19</v>
      </c>
      <c r="CO3580">
        <v>46</v>
      </c>
      <c r="CP3580">
        <v>-3.1</v>
      </c>
      <c r="CQ3580">
        <v>47</v>
      </c>
      <c r="CR3580">
        <v>0</v>
      </c>
      <c r="CS3580">
        <v>0</v>
      </c>
      <c r="CT3580">
        <v>0.7</v>
      </c>
      <c r="CU3580">
        <v>51</v>
      </c>
      <c r="CV3580">
        <v>0.19</v>
      </c>
      <c r="CW3580">
        <v>35</v>
      </c>
      <c r="CX3580" t="s">
        <v>1325</v>
      </c>
    </row>
    <row r="3581" spans="1:102" x14ac:dyDescent="0.3">
      <c r="A3581" t="str">
        <f>HYPERLINK("https://webapp.icbf.com/v2/app/bull-search/view/77857972","ERC")</f>
        <v>ERC</v>
      </c>
      <c r="B3581" t="s">
        <v>3830</v>
      </c>
      <c r="C3581" t="s">
        <v>3831</v>
      </c>
      <c r="D3581" s="1">
        <v>32555</v>
      </c>
      <c r="E3581" t="s">
        <v>92</v>
      </c>
      <c r="F3581">
        <v>78</v>
      </c>
      <c r="G3581" t="s">
        <v>93</v>
      </c>
      <c r="H3581">
        <v>-47.53</v>
      </c>
      <c r="I3581">
        <v>98</v>
      </c>
      <c r="J3581">
        <v>60.81</v>
      </c>
      <c r="K3581">
        <v>99</v>
      </c>
      <c r="L3581">
        <v>-74.44</v>
      </c>
      <c r="M3581">
        <v>96</v>
      </c>
      <c r="N3581">
        <v>-48.49</v>
      </c>
      <c r="O3581">
        <v>99</v>
      </c>
      <c r="P3581">
        <v>6.3</v>
      </c>
      <c r="Q3581">
        <v>99</v>
      </c>
      <c r="R3581">
        <v>-10.26</v>
      </c>
      <c r="S3581">
        <v>98</v>
      </c>
      <c r="T3581">
        <v>13.9</v>
      </c>
      <c r="U3581">
        <v>99</v>
      </c>
      <c r="V3581">
        <v>4.6500000000000004</v>
      </c>
      <c r="W3581">
        <v>99</v>
      </c>
      <c r="X3581" t="s">
        <v>276</v>
      </c>
      <c r="Y3581" t="s">
        <v>95</v>
      </c>
      <c r="Z3581" t="s">
        <v>96</v>
      </c>
      <c r="AA3581" t="s">
        <v>982</v>
      </c>
      <c r="AB3581" t="s">
        <v>144</v>
      </c>
      <c r="AC3581">
        <v>2511</v>
      </c>
      <c r="AD3581">
        <v>693</v>
      </c>
      <c r="AE3581">
        <v>99</v>
      </c>
      <c r="AF3581">
        <v>26.55</v>
      </c>
      <c r="AG3581">
        <v>11.02</v>
      </c>
      <c r="AH3581">
        <v>6.85</v>
      </c>
      <c r="AI3581">
        <v>0.17</v>
      </c>
      <c r="AJ3581">
        <v>0.1</v>
      </c>
      <c r="AK3581">
        <v>96</v>
      </c>
      <c r="AL3581">
        <v>2636</v>
      </c>
      <c r="AM3581">
        <v>796</v>
      </c>
      <c r="AN3581">
        <v>3.02</v>
      </c>
      <c r="AO3581">
        <v>-2.93</v>
      </c>
      <c r="AP3581">
        <v>3858</v>
      </c>
      <c r="AQ3581">
        <v>16</v>
      </c>
      <c r="AR3581">
        <v>13.52</v>
      </c>
      <c r="AS3581">
        <v>97</v>
      </c>
      <c r="AT3581">
        <v>5.89</v>
      </c>
      <c r="AU3581">
        <v>99</v>
      </c>
      <c r="AV3581">
        <v>-0.13</v>
      </c>
      <c r="AW3581">
        <v>99</v>
      </c>
      <c r="AX3581">
        <v>0.34</v>
      </c>
      <c r="AY3581">
        <v>99</v>
      </c>
      <c r="AZ3581">
        <v>5.26</v>
      </c>
      <c r="BA3581">
        <v>97</v>
      </c>
      <c r="BB3581">
        <v>4.3899999999999997</v>
      </c>
      <c r="BC3581">
        <v>97</v>
      </c>
      <c r="BD3581">
        <v>0</v>
      </c>
      <c r="BE3581">
        <v>0.04</v>
      </c>
      <c r="BF3581">
        <v>0.16</v>
      </c>
      <c r="BG3581">
        <v>99</v>
      </c>
      <c r="BH3581">
        <v>0.04</v>
      </c>
      <c r="BI3581">
        <v>-10.38</v>
      </c>
      <c r="BJ3581">
        <v>95</v>
      </c>
      <c r="BK3581">
        <v>44</v>
      </c>
      <c r="BL3581">
        <v>-0.08</v>
      </c>
      <c r="BM3581">
        <v>-1.4</v>
      </c>
      <c r="BN3581">
        <v>0.3</v>
      </c>
      <c r="BO3581">
        <v>0.87</v>
      </c>
      <c r="BP3581">
        <v>-0.23</v>
      </c>
      <c r="BQ3581">
        <v>0.56999999999999995</v>
      </c>
      <c r="BR3581">
        <v>2.0299999999999998</v>
      </c>
      <c r="BS3581">
        <v>-2.42</v>
      </c>
      <c r="BT3581">
        <v>-0.71</v>
      </c>
      <c r="BU3581">
        <v>-1.95</v>
      </c>
      <c r="BV3581">
        <v>-0.66</v>
      </c>
      <c r="BW3581">
        <v>-2.46</v>
      </c>
      <c r="BX3581">
        <v>-2.7</v>
      </c>
      <c r="BY3581">
        <v>-1.1200000000000001</v>
      </c>
      <c r="BZ3581">
        <v>-0.93</v>
      </c>
      <c r="CA3581">
        <v>-1.66</v>
      </c>
      <c r="CB3581">
        <v>-0.94</v>
      </c>
      <c r="CC3581">
        <v>-2.17</v>
      </c>
      <c r="CD3581">
        <v>-1.07</v>
      </c>
      <c r="CE3581">
        <v>0.71</v>
      </c>
      <c r="CF3581">
        <v>0.21</v>
      </c>
      <c r="CG3581">
        <v>0</v>
      </c>
      <c r="CH3581">
        <v>-1.02</v>
      </c>
      <c r="CI3581">
        <v>0</v>
      </c>
      <c r="CJ3581">
        <v>6.3</v>
      </c>
      <c r="CK3581">
        <v>99</v>
      </c>
      <c r="CL3581">
        <v>-0.36</v>
      </c>
      <c r="CM3581">
        <v>99</v>
      </c>
      <c r="CN3581">
        <v>-0.25</v>
      </c>
      <c r="CO3581">
        <v>99</v>
      </c>
      <c r="CP3581">
        <v>-10.7</v>
      </c>
      <c r="CQ3581">
        <v>99</v>
      </c>
      <c r="CR3581">
        <v>0</v>
      </c>
      <c r="CS3581">
        <v>0</v>
      </c>
      <c r="CT3581">
        <v>-5</v>
      </c>
      <c r="CU3581">
        <v>99</v>
      </c>
      <c r="CV3581">
        <v>0.16</v>
      </c>
      <c r="CW3581">
        <v>46</v>
      </c>
      <c r="CX3581" t="s">
        <v>120</v>
      </c>
    </row>
    <row r="3582" spans="1:102" x14ac:dyDescent="0.3">
      <c r="A3582" t="str">
        <f>HYPERLINK("https://webapp.icbf.com/v2/app/bull-search/view/77858077","DYD")</f>
        <v>DYD</v>
      </c>
      <c r="B3582" t="s">
        <v>12208</v>
      </c>
      <c r="C3582" t="s">
        <v>12209</v>
      </c>
      <c r="D3582" s="1">
        <v>35660</v>
      </c>
      <c r="E3582" t="s">
        <v>92</v>
      </c>
      <c r="F3582">
        <v>100</v>
      </c>
      <c r="G3582" t="s">
        <v>116</v>
      </c>
      <c r="H3582">
        <v>-47.57</v>
      </c>
      <c r="I3582">
        <v>37</v>
      </c>
      <c r="J3582">
        <v>18.79</v>
      </c>
      <c r="K3582">
        <v>44</v>
      </c>
      <c r="L3582">
        <v>-81.569999999999993</v>
      </c>
      <c r="M3582">
        <v>31</v>
      </c>
      <c r="N3582">
        <v>17.59</v>
      </c>
      <c r="O3582">
        <v>33</v>
      </c>
      <c r="P3582">
        <v>-4.7699999999999996</v>
      </c>
      <c r="Q3582">
        <v>41</v>
      </c>
      <c r="R3582">
        <v>-1.32</v>
      </c>
      <c r="S3582">
        <v>34</v>
      </c>
      <c r="T3582">
        <v>1.62</v>
      </c>
      <c r="U3582">
        <v>34</v>
      </c>
      <c r="V3582">
        <v>2.09</v>
      </c>
      <c r="W3582">
        <v>28</v>
      </c>
      <c r="X3582" t="s">
        <v>94</v>
      </c>
      <c r="Y3582" t="s">
        <v>1333</v>
      </c>
      <c r="Z3582" t="s">
        <v>96</v>
      </c>
      <c r="AA3582" t="s">
        <v>1104</v>
      </c>
      <c r="AB3582" t="s">
        <v>12210</v>
      </c>
      <c r="AC3582">
        <v>4</v>
      </c>
      <c r="AD3582">
        <v>3</v>
      </c>
      <c r="AE3582">
        <v>44</v>
      </c>
      <c r="AF3582">
        <v>18.55</v>
      </c>
      <c r="AG3582">
        <v>6.33</v>
      </c>
      <c r="AH3582">
        <v>1.24</v>
      </c>
      <c r="AI3582">
        <v>0.09</v>
      </c>
      <c r="AJ3582">
        <v>0.01</v>
      </c>
      <c r="AK3582">
        <v>31</v>
      </c>
      <c r="AL3582">
        <v>3</v>
      </c>
      <c r="AM3582">
        <v>2</v>
      </c>
      <c r="AN3582">
        <v>4.8499999999999996</v>
      </c>
      <c r="AO3582">
        <v>-1.65</v>
      </c>
      <c r="AP3582">
        <v>1</v>
      </c>
      <c r="AQ3582">
        <v>0</v>
      </c>
      <c r="AR3582">
        <v>6.66</v>
      </c>
      <c r="AS3582">
        <v>27</v>
      </c>
      <c r="AT3582">
        <v>2.92</v>
      </c>
      <c r="AU3582">
        <v>39</v>
      </c>
      <c r="AV3582">
        <v>-1.52</v>
      </c>
      <c r="AW3582">
        <v>33</v>
      </c>
      <c r="AX3582">
        <v>-0.36</v>
      </c>
      <c r="AY3582">
        <v>33</v>
      </c>
      <c r="AZ3582">
        <v>5.99</v>
      </c>
      <c r="BA3582">
        <v>26</v>
      </c>
      <c r="BB3582">
        <v>5.04</v>
      </c>
      <c r="BC3582">
        <v>27</v>
      </c>
      <c r="BD3582">
        <v>-0.01</v>
      </c>
      <c r="BE3582">
        <v>0.03</v>
      </c>
      <c r="BF3582">
        <v>-0.01</v>
      </c>
      <c r="BG3582">
        <v>39</v>
      </c>
      <c r="BH3582">
        <v>0.05</v>
      </c>
      <c r="BI3582">
        <v>-0.95</v>
      </c>
      <c r="BJ3582">
        <v>0</v>
      </c>
      <c r="BK3582">
        <v>0</v>
      </c>
      <c r="BL3582">
        <v>0.05</v>
      </c>
      <c r="BM3582">
        <v>-0.21</v>
      </c>
      <c r="BN3582">
        <v>-0.26</v>
      </c>
      <c r="BO3582">
        <v>0.1</v>
      </c>
      <c r="BP3582">
        <v>0.96</v>
      </c>
      <c r="BQ3582">
        <v>-0.32</v>
      </c>
      <c r="BR3582">
        <v>0.18</v>
      </c>
      <c r="BS3582">
        <v>-1.52</v>
      </c>
      <c r="BT3582">
        <v>-0.44</v>
      </c>
      <c r="BU3582">
        <v>0.13</v>
      </c>
      <c r="BV3582">
        <v>-0.61</v>
      </c>
      <c r="BW3582">
        <v>-0.39</v>
      </c>
      <c r="BX3582">
        <v>0.38</v>
      </c>
      <c r="BY3582">
        <v>-0.83</v>
      </c>
      <c r="BZ3582">
        <v>0.81</v>
      </c>
      <c r="CA3582">
        <v>-0.56999999999999995</v>
      </c>
      <c r="CB3582">
        <v>-0.26</v>
      </c>
      <c r="CC3582">
        <v>-1.0900000000000001</v>
      </c>
      <c r="CD3582">
        <v>-0.08</v>
      </c>
      <c r="CE3582">
        <v>0.31</v>
      </c>
      <c r="CF3582">
        <v>0.15</v>
      </c>
      <c r="CG3582">
        <v>0</v>
      </c>
      <c r="CH3582">
        <v>-1.1000000000000001</v>
      </c>
      <c r="CI3582">
        <v>0</v>
      </c>
      <c r="CJ3582">
        <v>-0.3</v>
      </c>
      <c r="CK3582">
        <v>42</v>
      </c>
      <c r="CL3582">
        <v>-0.54</v>
      </c>
      <c r="CM3582">
        <v>39</v>
      </c>
      <c r="CN3582">
        <v>-0.1</v>
      </c>
      <c r="CO3582">
        <v>37</v>
      </c>
      <c r="CP3582">
        <v>0.3</v>
      </c>
      <c r="CQ3582">
        <v>40</v>
      </c>
      <c r="CR3582">
        <v>0</v>
      </c>
      <c r="CS3582">
        <v>0</v>
      </c>
      <c r="CT3582">
        <v>11.6</v>
      </c>
      <c r="CU3582">
        <v>34</v>
      </c>
      <c r="CV3582">
        <v>0.22</v>
      </c>
      <c r="CW3582">
        <v>13</v>
      </c>
      <c r="CX3582" t="s">
        <v>12211</v>
      </c>
    </row>
    <row r="3583" spans="1:102" x14ac:dyDescent="0.3">
      <c r="A3583" t="str">
        <f>HYPERLINK("https://webapp.icbf.com/v2/app/bull-search/view/77855434","LUV")</f>
        <v>LUV</v>
      </c>
      <c r="B3583" t="s">
        <v>11340</v>
      </c>
      <c r="C3583" t="s">
        <v>11341</v>
      </c>
      <c r="D3583" s="1">
        <v>32915</v>
      </c>
      <c r="E3583" t="s">
        <v>92</v>
      </c>
      <c r="F3583">
        <v>75</v>
      </c>
      <c r="G3583" t="s">
        <v>93</v>
      </c>
      <c r="H3583">
        <v>-47.64</v>
      </c>
      <c r="I3583">
        <v>64</v>
      </c>
      <c r="J3583">
        <v>-57.64</v>
      </c>
      <c r="K3583">
        <v>81</v>
      </c>
      <c r="L3583">
        <v>15.36</v>
      </c>
      <c r="M3583">
        <v>61</v>
      </c>
      <c r="N3583">
        <v>1.49</v>
      </c>
      <c r="O3583">
        <v>42</v>
      </c>
      <c r="P3583">
        <v>-15.3</v>
      </c>
      <c r="Q3583">
        <v>61</v>
      </c>
      <c r="R3583">
        <v>-11.54</v>
      </c>
      <c r="S3583">
        <v>63</v>
      </c>
      <c r="T3583">
        <v>23.08</v>
      </c>
      <c r="U3583">
        <v>63</v>
      </c>
      <c r="V3583">
        <v>-3.09</v>
      </c>
      <c r="W3583">
        <v>23</v>
      </c>
      <c r="X3583" t="s">
        <v>94</v>
      </c>
      <c r="Y3583" t="s">
        <v>95</v>
      </c>
      <c r="Z3583" t="s">
        <v>96</v>
      </c>
      <c r="AA3583" t="s">
        <v>3549</v>
      </c>
      <c r="AB3583" t="s">
        <v>11342</v>
      </c>
      <c r="AC3583">
        <v>29</v>
      </c>
      <c r="AD3583">
        <v>23</v>
      </c>
      <c r="AE3583">
        <v>81</v>
      </c>
      <c r="AF3583">
        <v>72.17</v>
      </c>
      <c r="AG3583">
        <v>-4.97</v>
      </c>
      <c r="AH3583">
        <v>-6.94</v>
      </c>
      <c r="AI3583">
        <v>-0.13</v>
      </c>
      <c r="AJ3583">
        <v>-0.15</v>
      </c>
      <c r="AK3583">
        <v>61</v>
      </c>
      <c r="AL3583">
        <v>76</v>
      </c>
      <c r="AM3583">
        <v>58</v>
      </c>
      <c r="AN3583">
        <v>-1.19</v>
      </c>
      <c r="AO3583">
        <v>0.03</v>
      </c>
      <c r="AP3583">
        <v>2</v>
      </c>
      <c r="AQ3583">
        <v>2</v>
      </c>
      <c r="AR3583">
        <v>7.41</v>
      </c>
      <c r="AS3583">
        <v>25</v>
      </c>
      <c r="AT3583">
        <v>3.57</v>
      </c>
      <c r="AU3583">
        <v>41</v>
      </c>
      <c r="AV3583">
        <v>-0.97</v>
      </c>
      <c r="AW3583">
        <v>46</v>
      </c>
      <c r="AX3583">
        <v>-0.53</v>
      </c>
      <c r="AY3583">
        <v>56</v>
      </c>
      <c r="AZ3583">
        <v>6.79</v>
      </c>
      <c r="BA3583">
        <v>25</v>
      </c>
      <c r="BB3583">
        <v>5.69</v>
      </c>
      <c r="BC3583">
        <v>37</v>
      </c>
      <c r="BD3583">
        <v>0.05</v>
      </c>
      <c r="BE3583">
        <v>0.08</v>
      </c>
      <c r="BF3583">
        <v>0.03</v>
      </c>
      <c r="BG3583">
        <v>84</v>
      </c>
      <c r="BH3583">
        <v>-0.13</v>
      </c>
      <c r="BI3583">
        <v>-5.07</v>
      </c>
      <c r="BJ3583">
        <v>18</v>
      </c>
      <c r="BK3583">
        <v>15</v>
      </c>
      <c r="BL3583">
        <v>-0.94</v>
      </c>
      <c r="BM3583">
        <v>-0.18</v>
      </c>
      <c r="BN3583">
        <v>-0.52</v>
      </c>
      <c r="BO3583">
        <v>-0.63</v>
      </c>
      <c r="BP3583">
        <v>-1.24</v>
      </c>
      <c r="BQ3583">
        <v>-1.78</v>
      </c>
      <c r="BR3583">
        <v>-0.3</v>
      </c>
      <c r="BS3583">
        <v>0.5</v>
      </c>
      <c r="BT3583">
        <v>0.06</v>
      </c>
      <c r="BU3583">
        <v>0.16</v>
      </c>
      <c r="BV3583">
        <v>-0.09</v>
      </c>
      <c r="BW3583">
        <v>-0.83</v>
      </c>
      <c r="BX3583">
        <v>-0.22</v>
      </c>
      <c r="BY3583">
        <v>-0.76</v>
      </c>
      <c r="BZ3583">
        <v>-0.05</v>
      </c>
      <c r="CA3583">
        <v>-0.11</v>
      </c>
      <c r="CB3583">
        <v>-0.39</v>
      </c>
      <c r="CC3583">
        <v>0.73</v>
      </c>
      <c r="CD3583">
        <v>0.49</v>
      </c>
      <c r="CE3583">
        <v>-0.42</v>
      </c>
      <c r="CF3583">
        <v>-0.79</v>
      </c>
      <c r="CG3583">
        <v>0</v>
      </c>
      <c r="CH3583">
        <v>-0.61</v>
      </c>
      <c r="CI3583">
        <v>0</v>
      </c>
      <c r="CJ3583">
        <v>-7.4</v>
      </c>
      <c r="CK3583">
        <v>63</v>
      </c>
      <c r="CL3583">
        <v>-0.52</v>
      </c>
      <c r="CM3583">
        <v>58</v>
      </c>
      <c r="CN3583">
        <v>-0.18</v>
      </c>
      <c r="CO3583">
        <v>54</v>
      </c>
      <c r="CP3583">
        <v>-12.2</v>
      </c>
      <c r="CQ3583">
        <v>66</v>
      </c>
      <c r="CR3583">
        <v>0</v>
      </c>
      <c r="CS3583">
        <v>0</v>
      </c>
      <c r="CT3583">
        <v>-17.399999999999999</v>
      </c>
      <c r="CU3583">
        <v>63</v>
      </c>
      <c r="CV3583">
        <v>0.03</v>
      </c>
      <c r="CW3583">
        <v>16</v>
      </c>
      <c r="CX3583" t="s">
        <v>622</v>
      </c>
    </row>
    <row r="3584" spans="1:102" x14ac:dyDescent="0.3">
      <c r="A3584" t="str">
        <f>HYPERLINK("https://webapp.icbf.com/v2/app/bull-search/view/268156544","ESW")</f>
        <v>ESW</v>
      </c>
      <c r="B3584" t="s">
        <v>9909</v>
      </c>
      <c r="C3584" t="s">
        <v>9910</v>
      </c>
      <c r="D3584" s="1">
        <v>35913</v>
      </c>
      <c r="E3584" t="s">
        <v>92</v>
      </c>
      <c r="F3584">
        <v>100</v>
      </c>
      <c r="G3584" t="s">
        <v>93</v>
      </c>
      <c r="H3584">
        <v>-47.78</v>
      </c>
      <c r="I3584">
        <v>90</v>
      </c>
      <c r="J3584">
        <v>20.47</v>
      </c>
      <c r="K3584">
        <v>97</v>
      </c>
      <c r="L3584">
        <v>-84.51</v>
      </c>
      <c r="M3584">
        <v>90</v>
      </c>
      <c r="N3584">
        <v>16.72</v>
      </c>
      <c r="O3584">
        <v>83</v>
      </c>
      <c r="P3584">
        <v>-4.8</v>
      </c>
      <c r="Q3584">
        <v>86</v>
      </c>
      <c r="R3584">
        <v>-4.26</v>
      </c>
      <c r="S3584">
        <v>82</v>
      </c>
      <c r="T3584">
        <v>2.87</v>
      </c>
      <c r="U3584">
        <v>78</v>
      </c>
      <c r="V3584">
        <v>5.73</v>
      </c>
      <c r="W3584">
        <v>78</v>
      </c>
      <c r="X3584" t="s">
        <v>94</v>
      </c>
      <c r="Y3584" t="s">
        <v>95</v>
      </c>
      <c r="Z3584" t="s">
        <v>96</v>
      </c>
      <c r="AA3584" t="s">
        <v>3352</v>
      </c>
      <c r="AB3584" t="s">
        <v>9911</v>
      </c>
      <c r="AC3584">
        <v>72</v>
      </c>
      <c r="AD3584">
        <v>26</v>
      </c>
      <c r="AE3584">
        <v>97</v>
      </c>
      <c r="AF3584">
        <v>326.2</v>
      </c>
      <c r="AG3584">
        <v>-1.4</v>
      </c>
      <c r="AH3584">
        <v>8.9700000000000006</v>
      </c>
      <c r="AI3584">
        <v>-0.23</v>
      </c>
      <c r="AJ3584">
        <v>-0.03</v>
      </c>
      <c r="AK3584">
        <v>90</v>
      </c>
      <c r="AL3584">
        <v>62</v>
      </c>
      <c r="AM3584">
        <v>22</v>
      </c>
      <c r="AN3584">
        <v>5.36</v>
      </c>
      <c r="AO3584">
        <v>-1.37</v>
      </c>
      <c r="AP3584">
        <v>80</v>
      </c>
      <c r="AQ3584">
        <v>0</v>
      </c>
      <c r="AR3584">
        <v>4.78</v>
      </c>
      <c r="AS3584">
        <v>68</v>
      </c>
      <c r="AT3584">
        <v>2.4500000000000002</v>
      </c>
      <c r="AU3584">
        <v>96</v>
      </c>
      <c r="AV3584">
        <v>-1.1599999999999999</v>
      </c>
      <c r="AW3584">
        <v>88</v>
      </c>
      <c r="AX3584">
        <v>0.02</v>
      </c>
      <c r="AY3584">
        <v>74</v>
      </c>
      <c r="AZ3584">
        <v>7.75</v>
      </c>
      <c r="BA3584">
        <v>59</v>
      </c>
      <c r="BB3584">
        <v>5.43</v>
      </c>
      <c r="BC3584">
        <v>61</v>
      </c>
      <c r="BD3584">
        <v>0.03</v>
      </c>
      <c r="BE3584">
        <v>0.02</v>
      </c>
      <c r="BF3584">
        <v>0.01</v>
      </c>
      <c r="BG3584">
        <v>93</v>
      </c>
      <c r="BH3584">
        <v>0.23</v>
      </c>
      <c r="BI3584">
        <v>8.11</v>
      </c>
      <c r="BJ3584">
        <v>11</v>
      </c>
      <c r="BK3584">
        <v>6</v>
      </c>
      <c r="BL3584">
        <v>0.39</v>
      </c>
      <c r="BM3584">
        <v>-1.45</v>
      </c>
      <c r="BN3584">
        <v>-1.58</v>
      </c>
      <c r="BO3584">
        <v>0.36</v>
      </c>
      <c r="BP3584">
        <v>2.06</v>
      </c>
      <c r="BQ3584">
        <v>-0.49</v>
      </c>
      <c r="BR3584">
        <v>-0.66</v>
      </c>
      <c r="BS3584">
        <v>-1.3</v>
      </c>
      <c r="BT3584">
        <v>0.44</v>
      </c>
      <c r="BU3584">
        <v>0.54</v>
      </c>
      <c r="BV3584">
        <v>1.31</v>
      </c>
      <c r="BW3584">
        <v>0.56000000000000005</v>
      </c>
      <c r="BX3584">
        <v>1.69</v>
      </c>
      <c r="BY3584">
        <v>-1.1299999999999999</v>
      </c>
      <c r="BZ3584">
        <v>-0.14000000000000001</v>
      </c>
      <c r="CA3584">
        <v>0.5</v>
      </c>
      <c r="CB3584">
        <v>0.57999999999999996</v>
      </c>
      <c r="CC3584">
        <v>-0.33</v>
      </c>
      <c r="CD3584">
        <v>-0.41</v>
      </c>
      <c r="CE3584">
        <v>0.56000000000000005</v>
      </c>
      <c r="CF3584">
        <v>0.63</v>
      </c>
      <c r="CG3584">
        <v>0</v>
      </c>
      <c r="CH3584">
        <v>-1</v>
      </c>
      <c r="CI3584">
        <v>0</v>
      </c>
      <c r="CJ3584">
        <v>1.3</v>
      </c>
      <c r="CK3584">
        <v>87</v>
      </c>
      <c r="CL3584">
        <v>-0.83</v>
      </c>
      <c r="CM3584">
        <v>84</v>
      </c>
      <c r="CN3584">
        <v>-0.17</v>
      </c>
      <c r="CO3584">
        <v>82</v>
      </c>
      <c r="CP3584">
        <v>-0.1</v>
      </c>
      <c r="CQ3584">
        <v>85</v>
      </c>
      <c r="CR3584">
        <v>0</v>
      </c>
      <c r="CS3584">
        <v>0</v>
      </c>
      <c r="CT3584">
        <v>9.9</v>
      </c>
      <c r="CU3584">
        <v>78</v>
      </c>
      <c r="CV3584">
        <v>0.24</v>
      </c>
      <c r="CW3584">
        <v>43</v>
      </c>
      <c r="CX3584" t="s">
        <v>207</v>
      </c>
    </row>
    <row r="3585" spans="1:102" x14ac:dyDescent="0.3">
      <c r="A3585" t="str">
        <f>HYPERLINK("https://webapp.icbf.com/v2/app/bull-search/view/760392744","JBC")</f>
        <v>JBC</v>
      </c>
      <c r="B3585" t="s">
        <v>1993</v>
      </c>
      <c r="C3585" t="s">
        <v>1994</v>
      </c>
      <c r="D3585" s="1">
        <v>39321</v>
      </c>
      <c r="E3585" t="s">
        <v>140</v>
      </c>
      <c r="F3585">
        <v>0</v>
      </c>
      <c r="G3585" t="s">
        <v>109</v>
      </c>
      <c r="H3585">
        <v>-47.81</v>
      </c>
      <c r="I3585">
        <v>72</v>
      </c>
      <c r="J3585">
        <v>-4.6500000000000004</v>
      </c>
      <c r="K3585">
        <v>87</v>
      </c>
      <c r="L3585">
        <v>-5.63</v>
      </c>
      <c r="M3585">
        <v>62</v>
      </c>
      <c r="N3585">
        <v>-49.64</v>
      </c>
      <c r="O3585">
        <v>65</v>
      </c>
      <c r="P3585">
        <v>16.72</v>
      </c>
      <c r="Q3585">
        <v>78</v>
      </c>
      <c r="R3585">
        <v>6.5</v>
      </c>
      <c r="S3585">
        <v>63</v>
      </c>
      <c r="T3585">
        <v>-3.34</v>
      </c>
      <c r="U3585">
        <v>61</v>
      </c>
      <c r="V3585">
        <v>-7.77</v>
      </c>
      <c r="W3585">
        <v>60</v>
      </c>
      <c r="X3585" t="s">
        <v>94</v>
      </c>
      <c r="Y3585" t="s">
        <v>1980</v>
      </c>
      <c r="Z3585">
        <v>0</v>
      </c>
      <c r="AA3585" t="s">
        <v>1995</v>
      </c>
      <c r="AB3585" t="s">
        <v>1996</v>
      </c>
      <c r="AC3585">
        <v>0</v>
      </c>
      <c r="AD3585">
        <v>0</v>
      </c>
      <c r="AE3585">
        <v>87</v>
      </c>
      <c r="AF3585">
        <v>86.27</v>
      </c>
      <c r="AG3585">
        <v>-6.08</v>
      </c>
      <c r="AH3585">
        <v>2.68</v>
      </c>
      <c r="AI3585">
        <v>-0.16</v>
      </c>
      <c r="AJ3585">
        <v>0</v>
      </c>
      <c r="AK3585">
        <v>62</v>
      </c>
      <c r="AL3585">
        <v>7</v>
      </c>
      <c r="AM3585">
        <v>6</v>
      </c>
      <c r="AN3585">
        <v>0.22</v>
      </c>
      <c r="AO3585">
        <v>-0.23</v>
      </c>
      <c r="AP3585">
        <v>27</v>
      </c>
      <c r="AQ3585">
        <v>1</v>
      </c>
      <c r="AR3585">
        <v>10.51</v>
      </c>
      <c r="AS3585">
        <v>61</v>
      </c>
      <c r="AT3585">
        <v>5.62</v>
      </c>
      <c r="AU3585">
        <v>60</v>
      </c>
      <c r="AV3585">
        <v>2.11</v>
      </c>
      <c r="AW3585">
        <v>80</v>
      </c>
      <c r="AX3585">
        <v>1.29</v>
      </c>
      <c r="AY3585">
        <v>58</v>
      </c>
      <c r="AZ3585">
        <v>5.07</v>
      </c>
      <c r="BA3585">
        <v>45</v>
      </c>
      <c r="BB3585">
        <v>3.78</v>
      </c>
      <c r="BC3585">
        <v>45</v>
      </c>
      <c r="BD3585">
        <v>0.01</v>
      </c>
      <c r="BE3585">
        <v>-0.04</v>
      </c>
      <c r="BF3585">
        <v>-0.09</v>
      </c>
      <c r="BG3585">
        <v>68</v>
      </c>
      <c r="BH3585">
        <v>-0.3</v>
      </c>
      <c r="BI3585">
        <v>-9.6300000000000008</v>
      </c>
      <c r="BJ3585">
        <v>0</v>
      </c>
      <c r="BK3585">
        <v>0</v>
      </c>
      <c r="BL3585">
        <v>-0.6</v>
      </c>
      <c r="BM3585">
        <v>3.9</v>
      </c>
      <c r="BN3585">
        <v>-1.49</v>
      </c>
      <c r="BO3585">
        <v>-3.1</v>
      </c>
      <c r="BP3585">
        <v>4.16</v>
      </c>
      <c r="BQ3585">
        <v>-1.94</v>
      </c>
      <c r="BR3585">
        <v>-2.73</v>
      </c>
      <c r="BS3585">
        <v>-0.47</v>
      </c>
      <c r="BT3585">
        <v>2.59</v>
      </c>
      <c r="BU3585">
        <v>-3.52</v>
      </c>
      <c r="BV3585">
        <v>-4.01</v>
      </c>
      <c r="BW3585">
        <v>-3</v>
      </c>
      <c r="BX3585">
        <v>-2.61</v>
      </c>
      <c r="BY3585">
        <v>-2.21</v>
      </c>
      <c r="BZ3585">
        <v>0.89</v>
      </c>
      <c r="CA3585">
        <v>-2.65</v>
      </c>
      <c r="CB3585">
        <v>-3.36</v>
      </c>
      <c r="CC3585">
        <v>-0.46</v>
      </c>
      <c r="CD3585">
        <v>4.13</v>
      </c>
      <c r="CE3585">
        <v>-3.01</v>
      </c>
      <c r="CF3585">
        <v>-0.75</v>
      </c>
      <c r="CG3585">
        <v>0</v>
      </c>
      <c r="CH3585">
        <v>-2.8</v>
      </c>
      <c r="CI3585">
        <v>0</v>
      </c>
      <c r="CJ3585">
        <v>7.2</v>
      </c>
      <c r="CK3585">
        <v>81</v>
      </c>
      <c r="CL3585">
        <v>0.18</v>
      </c>
      <c r="CM3585">
        <v>77</v>
      </c>
      <c r="CN3585">
        <v>-0.34</v>
      </c>
      <c r="CO3585">
        <v>75</v>
      </c>
      <c r="CP3585">
        <v>6.3</v>
      </c>
      <c r="CQ3585">
        <v>65</v>
      </c>
      <c r="CR3585">
        <v>0</v>
      </c>
      <c r="CS3585">
        <v>0</v>
      </c>
      <c r="CT3585">
        <v>18.3</v>
      </c>
      <c r="CU3585">
        <v>61</v>
      </c>
      <c r="CV3585">
        <v>0.19</v>
      </c>
      <c r="CW3585">
        <v>42</v>
      </c>
      <c r="CX3585" t="s">
        <v>1997</v>
      </c>
    </row>
    <row r="3586" spans="1:102" x14ac:dyDescent="0.3">
      <c r="A3586" t="str">
        <f>HYPERLINK("https://webapp.icbf.com/v2/app/bull-search/view/108379568","INI")</f>
        <v>INI</v>
      </c>
      <c r="B3586" t="s">
        <v>760</v>
      </c>
      <c r="C3586" t="s">
        <v>761</v>
      </c>
      <c r="D3586" s="1">
        <v>34068</v>
      </c>
      <c r="E3586" t="s">
        <v>140</v>
      </c>
      <c r="F3586">
        <v>0</v>
      </c>
      <c r="G3586" t="s">
        <v>93</v>
      </c>
      <c r="H3586">
        <v>-47.91</v>
      </c>
      <c r="I3586">
        <v>74</v>
      </c>
      <c r="J3586">
        <v>-77.37</v>
      </c>
      <c r="K3586">
        <v>92</v>
      </c>
      <c r="L3586">
        <v>15.01</v>
      </c>
      <c r="M3586">
        <v>57</v>
      </c>
      <c r="N3586">
        <v>11.25</v>
      </c>
      <c r="O3586">
        <v>64</v>
      </c>
      <c r="P3586">
        <v>13.63</v>
      </c>
      <c r="Q3586">
        <v>92</v>
      </c>
      <c r="R3586">
        <v>3.87</v>
      </c>
      <c r="S3586">
        <v>61</v>
      </c>
      <c r="T3586">
        <v>2.4300000000000002</v>
      </c>
      <c r="U3586">
        <v>88</v>
      </c>
      <c r="V3586">
        <v>-16.73</v>
      </c>
      <c r="W3586">
        <v>46</v>
      </c>
      <c r="X3586" t="s">
        <v>94</v>
      </c>
      <c r="Y3586" t="s">
        <v>95</v>
      </c>
      <c r="Z3586">
        <v>0</v>
      </c>
      <c r="AA3586" t="s">
        <v>523</v>
      </c>
      <c r="AB3586" t="s">
        <v>762</v>
      </c>
      <c r="AC3586">
        <v>54</v>
      </c>
      <c r="AD3586">
        <v>25</v>
      </c>
      <c r="AE3586">
        <v>92</v>
      </c>
      <c r="AF3586">
        <v>-382.39</v>
      </c>
      <c r="AG3586">
        <v>-18.52</v>
      </c>
      <c r="AH3586">
        <v>-12.46</v>
      </c>
      <c r="AI3586">
        <v>-0.06</v>
      </c>
      <c r="AJ3586">
        <v>0.01</v>
      </c>
      <c r="AK3586">
        <v>57</v>
      </c>
      <c r="AL3586">
        <v>67</v>
      </c>
      <c r="AM3586">
        <v>35</v>
      </c>
      <c r="AN3586">
        <v>0.18</v>
      </c>
      <c r="AO3586">
        <v>1.39</v>
      </c>
      <c r="AP3586">
        <v>27</v>
      </c>
      <c r="AQ3586">
        <v>0</v>
      </c>
      <c r="AR3586">
        <v>6.73</v>
      </c>
      <c r="AS3586">
        <v>29</v>
      </c>
      <c r="AT3586">
        <v>3.57</v>
      </c>
      <c r="AU3586">
        <v>59</v>
      </c>
      <c r="AV3586">
        <v>-0.12</v>
      </c>
      <c r="AW3586">
        <v>78</v>
      </c>
      <c r="AX3586">
        <v>-0.8</v>
      </c>
      <c r="AY3586">
        <v>78</v>
      </c>
      <c r="AZ3586">
        <v>4.2</v>
      </c>
      <c r="BA3586">
        <v>31</v>
      </c>
      <c r="BB3586">
        <v>3.36</v>
      </c>
      <c r="BC3586">
        <v>48</v>
      </c>
      <c r="BD3586">
        <v>0</v>
      </c>
      <c r="BE3586">
        <v>-0.01</v>
      </c>
      <c r="BF3586">
        <v>-7.0000000000000007E-2</v>
      </c>
      <c r="BG3586">
        <v>73</v>
      </c>
      <c r="BH3586">
        <v>-0.34</v>
      </c>
      <c r="BI3586">
        <v>14.64</v>
      </c>
      <c r="BJ3586">
        <v>0</v>
      </c>
      <c r="BK3586">
        <v>0</v>
      </c>
      <c r="BL3586">
        <v>-0.99</v>
      </c>
      <c r="BM3586">
        <v>3.07</v>
      </c>
      <c r="BN3586">
        <v>-2.0299999999999998</v>
      </c>
      <c r="BO3586">
        <v>-3</v>
      </c>
      <c r="BP3586">
        <v>4.4400000000000004</v>
      </c>
      <c r="BQ3586">
        <v>-2.62</v>
      </c>
      <c r="BR3586">
        <v>-2.74</v>
      </c>
      <c r="BS3586">
        <v>-0.46</v>
      </c>
      <c r="BT3586">
        <v>2.68</v>
      </c>
      <c r="BU3586">
        <v>-3.45</v>
      </c>
      <c r="BV3586">
        <v>-4.0199999999999996</v>
      </c>
      <c r="BW3586">
        <v>-2.99</v>
      </c>
      <c r="BX3586">
        <v>-2.59</v>
      </c>
      <c r="BY3586">
        <v>-2.41</v>
      </c>
      <c r="BZ3586">
        <v>0.7</v>
      </c>
      <c r="CA3586">
        <v>-2.5299999999999998</v>
      </c>
      <c r="CB3586">
        <v>-3.28</v>
      </c>
      <c r="CC3586">
        <v>-0.33</v>
      </c>
      <c r="CD3586">
        <v>3.81</v>
      </c>
      <c r="CE3586">
        <v>-3.06</v>
      </c>
      <c r="CF3586">
        <v>-1.32</v>
      </c>
      <c r="CG3586">
        <v>0</v>
      </c>
      <c r="CH3586">
        <v>-2.4</v>
      </c>
      <c r="CI3586">
        <v>0</v>
      </c>
      <c r="CJ3586">
        <v>5.7</v>
      </c>
      <c r="CK3586">
        <v>93</v>
      </c>
      <c r="CL3586">
        <v>0.32</v>
      </c>
      <c r="CM3586">
        <v>92</v>
      </c>
      <c r="CN3586">
        <v>-0.1</v>
      </c>
      <c r="CO3586">
        <v>90</v>
      </c>
      <c r="CP3586">
        <v>8.6</v>
      </c>
      <c r="CQ3586">
        <v>88</v>
      </c>
      <c r="CR3586">
        <v>0</v>
      </c>
      <c r="CS3586">
        <v>0</v>
      </c>
      <c r="CT3586">
        <v>10.5</v>
      </c>
      <c r="CU3586">
        <v>88</v>
      </c>
      <c r="CV3586">
        <v>-0.09</v>
      </c>
      <c r="CW3586">
        <v>27</v>
      </c>
      <c r="CX3586" t="s">
        <v>763</v>
      </c>
    </row>
    <row r="3587" spans="1:102" x14ac:dyDescent="0.3">
      <c r="A3587" t="str">
        <f>HYPERLINK("https://webapp.icbf.com/v2/app/bull-search/view/77860003","BTZ")</f>
        <v>BTZ</v>
      </c>
      <c r="B3587" t="s">
        <v>2429</v>
      </c>
      <c r="C3587" t="s">
        <v>2430</v>
      </c>
      <c r="D3587" s="1">
        <v>36433</v>
      </c>
      <c r="E3587" t="s">
        <v>92</v>
      </c>
      <c r="F3587">
        <v>97</v>
      </c>
      <c r="G3587" t="s">
        <v>93</v>
      </c>
      <c r="H3587">
        <v>-47.94</v>
      </c>
      <c r="I3587">
        <v>71</v>
      </c>
      <c r="J3587">
        <v>62.16</v>
      </c>
      <c r="K3587">
        <v>91</v>
      </c>
      <c r="L3587">
        <v>-108.61</v>
      </c>
      <c r="M3587">
        <v>56</v>
      </c>
      <c r="N3587">
        <v>-2.74</v>
      </c>
      <c r="O3587">
        <v>69</v>
      </c>
      <c r="P3587">
        <v>-14.55</v>
      </c>
      <c r="Q3587">
        <v>89</v>
      </c>
      <c r="R3587">
        <v>-8.77</v>
      </c>
      <c r="S3587">
        <v>57</v>
      </c>
      <c r="T3587">
        <v>21.97</v>
      </c>
      <c r="U3587">
        <v>64</v>
      </c>
      <c r="V3587">
        <v>2.6</v>
      </c>
      <c r="W3587">
        <v>34</v>
      </c>
      <c r="X3587" t="s">
        <v>94</v>
      </c>
      <c r="Y3587" t="s">
        <v>95</v>
      </c>
      <c r="Z3587" t="s">
        <v>96</v>
      </c>
      <c r="AA3587" t="s">
        <v>2431</v>
      </c>
      <c r="AB3587" t="s">
        <v>2432</v>
      </c>
      <c r="AC3587">
        <v>47</v>
      </c>
      <c r="AD3587">
        <v>32</v>
      </c>
      <c r="AE3587">
        <v>91</v>
      </c>
      <c r="AF3587">
        <v>151.02000000000001</v>
      </c>
      <c r="AG3587">
        <v>13.89</v>
      </c>
      <c r="AH3587">
        <v>7.97</v>
      </c>
      <c r="AI3587">
        <v>0.13</v>
      </c>
      <c r="AJ3587">
        <v>0.04</v>
      </c>
      <c r="AK3587">
        <v>56</v>
      </c>
      <c r="AL3587">
        <v>47</v>
      </c>
      <c r="AM3587">
        <v>31</v>
      </c>
      <c r="AN3587">
        <v>5.29</v>
      </c>
      <c r="AO3587">
        <v>-3.38</v>
      </c>
      <c r="AP3587">
        <v>67</v>
      </c>
      <c r="AQ3587">
        <v>0</v>
      </c>
      <c r="AR3587">
        <v>9.74</v>
      </c>
      <c r="AS3587">
        <v>42</v>
      </c>
      <c r="AT3587">
        <v>4.4000000000000004</v>
      </c>
      <c r="AU3587">
        <v>68</v>
      </c>
      <c r="AV3587">
        <v>-1.53</v>
      </c>
      <c r="AW3587">
        <v>85</v>
      </c>
      <c r="AX3587">
        <v>-0.3</v>
      </c>
      <c r="AY3587">
        <v>68</v>
      </c>
      <c r="AZ3587">
        <v>6.01</v>
      </c>
      <c r="BA3587">
        <v>42</v>
      </c>
      <c r="BB3587">
        <v>4.37</v>
      </c>
      <c r="BC3587">
        <v>42</v>
      </c>
      <c r="BD3587">
        <v>0.01</v>
      </c>
      <c r="BE3587">
        <v>0.05</v>
      </c>
      <c r="BF3587">
        <v>0.09</v>
      </c>
      <c r="BG3587">
        <v>71</v>
      </c>
      <c r="BH3587">
        <v>0.14000000000000001</v>
      </c>
      <c r="BI3587">
        <v>7.8</v>
      </c>
      <c r="BJ3587">
        <v>11</v>
      </c>
      <c r="BK3587">
        <v>9</v>
      </c>
      <c r="BL3587">
        <v>-0.55000000000000004</v>
      </c>
      <c r="BM3587">
        <v>-0.8</v>
      </c>
      <c r="BN3587">
        <v>-0.7</v>
      </c>
      <c r="BO3587">
        <v>-0.18</v>
      </c>
      <c r="BP3587">
        <v>-0.05</v>
      </c>
      <c r="BQ3587">
        <v>-1.49</v>
      </c>
      <c r="BR3587">
        <v>0.97</v>
      </c>
      <c r="BS3587">
        <v>-0.62</v>
      </c>
      <c r="BT3587">
        <v>-1.32</v>
      </c>
      <c r="BU3587">
        <v>-1.73</v>
      </c>
      <c r="BV3587">
        <v>-0.06</v>
      </c>
      <c r="BW3587">
        <v>-0.37</v>
      </c>
      <c r="BX3587">
        <v>-2.11</v>
      </c>
      <c r="BY3587">
        <v>-0.6</v>
      </c>
      <c r="BZ3587">
        <v>2.5499999999999998</v>
      </c>
      <c r="CA3587">
        <v>-0.85</v>
      </c>
      <c r="CB3587">
        <v>-0.55000000000000004</v>
      </c>
      <c r="CC3587">
        <v>-1.1499999999999999</v>
      </c>
      <c r="CD3587">
        <v>-0.68</v>
      </c>
      <c r="CE3587">
        <v>-0.49</v>
      </c>
      <c r="CF3587">
        <v>-1.75</v>
      </c>
      <c r="CG3587">
        <v>0</v>
      </c>
      <c r="CH3587">
        <v>-0.04</v>
      </c>
      <c r="CI3587">
        <v>0</v>
      </c>
      <c r="CJ3587">
        <v>-4.8</v>
      </c>
      <c r="CK3587">
        <v>90</v>
      </c>
      <c r="CL3587">
        <v>-0.55000000000000004</v>
      </c>
      <c r="CM3587">
        <v>88</v>
      </c>
      <c r="CN3587">
        <v>0.09</v>
      </c>
      <c r="CO3587">
        <v>87</v>
      </c>
      <c r="CP3587">
        <v>-8</v>
      </c>
      <c r="CQ3587">
        <v>84</v>
      </c>
      <c r="CR3587">
        <v>0</v>
      </c>
      <c r="CS3587">
        <v>0</v>
      </c>
      <c r="CT3587">
        <v>-15.9</v>
      </c>
      <c r="CU3587">
        <v>64</v>
      </c>
      <c r="CV3587">
        <v>0.13</v>
      </c>
      <c r="CW3587">
        <v>26</v>
      </c>
      <c r="CX3587" t="s">
        <v>218</v>
      </c>
    </row>
    <row r="3588" spans="1:102" x14ac:dyDescent="0.3">
      <c r="A3588" t="str">
        <f>HYPERLINK("https://webapp.icbf.com/v2/app/bull-search/view/143573015","KEX")</f>
        <v>KEX</v>
      </c>
      <c r="B3588" t="s">
        <v>11519</v>
      </c>
      <c r="C3588" t="s">
        <v>11520</v>
      </c>
      <c r="D3588" s="1">
        <v>37333</v>
      </c>
      <c r="E3588" t="s">
        <v>92</v>
      </c>
      <c r="F3588">
        <v>100</v>
      </c>
      <c r="G3588" t="s">
        <v>93</v>
      </c>
      <c r="H3588">
        <v>-47.95</v>
      </c>
      <c r="I3588">
        <v>80</v>
      </c>
      <c r="J3588">
        <v>39.97</v>
      </c>
      <c r="K3588">
        <v>95</v>
      </c>
      <c r="L3588">
        <v>-84.38</v>
      </c>
      <c r="M3588">
        <v>66</v>
      </c>
      <c r="N3588">
        <v>-4.95</v>
      </c>
      <c r="O3588">
        <v>81</v>
      </c>
      <c r="P3588">
        <v>-2.83</v>
      </c>
      <c r="Q3588">
        <v>92</v>
      </c>
      <c r="R3588">
        <v>-7.99</v>
      </c>
      <c r="S3588">
        <v>74</v>
      </c>
      <c r="T3588">
        <v>19.010000000000002</v>
      </c>
      <c r="U3588">
        <v>78</v>
      </c>
      <c r="V3588">
        <v>-6.78</v>
      </c>
      <c r="W3588">
        <v>67</v>
      </c>
      <c r="X3588" t="s">
        <v>94</v>
      </c>
      <c r="Y3588" t="s">
        <v>95</v>
      </c>
      <c r="Z3588" t="s">
        <v>96</v>
      </c>
      <c r="AA3588" t="s">
        <v>714</v>
      </c>
      <c r="AB3588" t="s">
        <v>11521</v>
      </c>
      <c r="AC3588">
        <v>85</v>
      </c>
      <c r="AD3588">
        <v>61</v>
      </c>
      <c r="AE3588">
        <v>95</v>
      </c>
      <c r="AF3588">
        <v>-105.46</v>
      </c>
      <c r="AG3588">
        <v>9.65</v>
      </c>
      <c r="AH3588">
        <v>1.77</v>
      </c>
      <c r="AI3588">
        <v>0.23</v>
      </c>
      <c r="AJ3588">
        <v>0.09</v>
      </c>
      <c r="AK3588">
        <v>66</v>
      </c>
      <c r="AL3588">
        <v>79</v>
      </c>
      <c r="AM3588">
        <v>58</v>
      </c>
      <c r="AN3588">
        <v>5.3</v>
      </c>
      <c r="AO3588">
        <v>-1.42</v>
      </c>
      <c r="AP3588">
        <v>155</v>
      </c>
      <c r="AQ3588">
        <v>0</v>
      </c>
      <c r="AR3588">
        <v>10.14</v>
      </c>
      <c r="AS3588">
        <v>60</v>
      </c>
      <c r="AT3588">
        <v>3.39</v>
      </c>
      <c r="AU3588">
        <v>81</v>
      </c>
      <c r="AV3588">
        <v>-0.28000000000000003</v>
      </c>
      <c r="AW3588">
        <v>95</v>
      </c>
      <c r="AX3588">
        <v>0.64</v>
      </c>
      <c r="AY3588">
        <v>77</v>
      </c>
      <c r="AZ3588">
        <v>5.63</v>
      </c>
      <c r="BA3588">
        <v>54</v>
      </c>
      <c r="BB3588">
        <v>4.37</v>
      </c>
      <c r="BC3588">
        <v>60</v>
      </c>
      <c r="BD3588">
        <v>-0.02</v>
      </c>
      <c r="BE3588">
        <v>0.03</v>
      </c>
      <c r="BF3588">
        <v>0.16</v>
      </c>
      <c r="BG3588">
        <v>83</v>
      </c>
      <c r="BH3588">
        <v>-0.15</v>
      </c>
      <c r="BI3588">
        <v>4.53</v>
      </c>
      <c r="BJ3588">
        <v>30</v>
      </c>
      <c r="BK3588">
        <v>21</v>
      </c>
      <c r="BL3588">
        <v>0.31</v>
      </c>
      <c r="BM3588">
        <v>-0.86</v>
      </c>
      <c r="BN3588">
        <v>-0.32</v>
      </c>
      <c r="BO3588">
        <v>0.27</v>
      </c>
      <c r="BP3588">
        <v>-2.71</v>
      </c>
      <c r="BQ3588">
        <v>-0.87</v>
      </c>
      <c r="BR3588">
        <v>0.98</v>
      </c>
      <c r="BS3588">
        <v>-1.36</v>
      </c>
      <c r="BT3588">
        <v>-1.04</v>
      </c>
      <c r="BU3588">
        <v>-0.32</v>
      </c>
      <c r="BV3588">
        <v>0.32</v>
      </c>
      <c r="BW3588">
        <v>-0.19</v>
      </c>
      <c r="BX3588">
        <v>-0.53</v>
      </c>
      <c r="BY3588">
        <v>-0.19</v>
      </c>
      <c r="BZ3588">
        <v>-0.55000000000000004</v>
      </c>
      <c r="CA3588">
        <v>-0.5</v>
      </c>
      <c r="CB3588">
        <v>-0.36</v>
      </c>
      <c r="CC3588">
        <v>-0.71</v>
      </c>
      <c r="CD3588">
        <v>-0.81</v>
      </c>
      <c r="CE3588">
        <v>-0.08</v>
      </c>
      <c r="CF3588">
        <v>-0.9</v>
      </c>
      <c r="CG3588">
        <v>0</v>
      </c>
      <c r="CH3588">
        <v>0.79</v>
      </c>
      <c r="CI3588">
        <v>0</v>
      </c>
      <c r="CJ3588">
        <v>-0.8</v>
      </c>
      <c r="CK3588">
        <v>93</v>
      </c>
      <c r="CL3588">
        <v>-0.52</v>
      </c>
      <c r="CM3588">
        <v>92</v>
      </c>
      <c r="CN3588">
        <v>-0.38</v>
      </c>
      <c r="CO3588">
        <v>91</v>
      </c>
      <c r="CP3588">
        <v>-5.4</v>
      </c>
      <c r="CQ3588">
        <v>89</v>
      </c>
      <c r="CR3588">
        <v>0</v>
      </c>
      <c r="CS3588">
        <v>0</v>
      </c>
      <c r="CT3588">
        <v>-11.9</v>
      </c>
      <c r="CU3588">
        <v>78</v>
      </c>
      <c r="CV3588">
        <v>0.14000000000000001</v>
      </c>
      <c r="CW3588">
        <v>27</v>
      </c>
      <c r="CX3588" t="s">
        <v>11522</v>
      </c>
    </row>
    <row r="3589" spans="1:102" x14ac:dyDescent="0.3">
      <c r="A3589" t="str">
        <f>HYPERLINK("https://webapp.icbf.com/v2/app/bull-search/view/143580606","WDE")</f>
        <v>WDE</v>
      </c>
      <c r="B3589" t="s">
        <v>7782</v>
      </c>
      <c r="C3589" t="s">
        <v>7783</v>
      </c>
      <c r="D3589" s="1">
        <v>36973</v>
      </c>
      <c r="E3589" t="s">
        <v>92</v>
      </c>
      <c r="F3589">
        <v>100</v>
      </c>
      <c r="G3589" t="s">
        <v>93</v>
      </c>
      <c r="H3589">
        <v>-47.97</v>
      </c>
      <c r="I3589">
        <v>88</v>
      </c>
      <c r="J3589">
        <v>64.89</v>
      </c>
      <c r="K3589">
        <v>97</v>
      </c>
      <c r="L3589">
        <v>-86.78</v>
      </c>
      <c r="M3589">
        <v>83</v>
      </c>
      <c r="N3589">
        <v>-11.45</v>
      </c>
      <c r="O3589">
        <v>86</v>
      </c>
      <c r="P3589">
        <v>-7.15</v>
      </c>
      <c r="Q3589">
        <v>94</v>
      </c>
      <c r="R3589">
        <v>-10.41</v>
      </c>
      <c r="S3589">
        <v>83</v>
      </c>
      <c r="T3589">
        <v>9.09</v>
      </c>
      <c r="U3589">
        <v>80</v>
      </c>
      <c r="V3589">
        <v>-6.16</v>
      </c>
      <c r="W3589">
        <v>79</v>
      </c>
      <c r="X3589" t="s">
        <v>94</v>
      </c>
      <c r="Y3589" t="s">
        <v>95</v>
      </c>
      <c r="Z3589" t="s">
        <v>96</v>
      </c>
      <c r="AA3589" t="s">
        <v>834</v>
      </c>
      <c r="AB3589" t="s">
        <v>7784</v>
      </c>
      <c r="AC3589">
        <v>95</v>
      </c>
      <c r="AD3589">
        <v>68</v>
      </c>
      <c r="AE3589">
        <v>97</v>
      </c>
      <c r="AF3589">
        <v>152.5</v>
      </c>
      <c r="AG3589">
        <v>13.74</v>
      </c>
      <c r="AH3589">
        <v>8.51</v>
      </c>
      <c r="AI3589">
        <v>0.13</v>
      </c>
      <c r="AJ3589">
        <v>0.06</v>
      </c>
      <c r="AK3589">
        <v>83</v>
      </c>
      <c r="AL3589">
        <v>109</v>
      </c>
      <c r="AM3589">
        <v>67</v>
      </c>
      <c r="AN3589">
        <v>3.97</v>
      </c>
      <c r="AO3589">
        <v>-2.96</v>
      </c>
      <c r="AP3589">
        <v>217</v>
      </c>
      <c r="AQ3589">
        <v>0</v>
      </c>
      <c r="AR3589">
        <v>8.31</v>
      </c>
      <c r="AS3589">
        <v>78</v>
      </c>
      <c r="AT3589">
        <v>3.93</v>
      </c>
      <c r="AU3589">
        <v>89</v>
      </c>
      <c r="AV3589">
        <v>0</v>
      </c>
      <c r="AW3589">
        <v>93</v>
      </c>
      <c r="AX3589">
        <v>0.66</v>
      </c>
      <c r="AY3589">
        <v>82</v>
      </c>
      <c r="AZ3589">
        <v>5.99</v>
      </c>
      <c r="BA3589">
        <v>66</v>
      </c>
      <c r="BB3589">
        <v>5.16</v>
      </c>
      <c r="BC3589">
        <v>71</v>
      </c>
      <c r="BD3589">
        <v>0.05</v>
      </c>
      <c r="BE3589">
        <v>0.04</v>
      </c>
      <c r="BF3589">
        <v>0.08</v>
      </c>
      <c r="BG3589">
        <v>90</v>
      </c>
      <c r="BH3589">
        <v>-0.13</v>
      </c>
      <c r="BI3589">
        <v>4.82</v>
      </c>
      <c r="BJ3589">
        <v>35</v>
      </c>
      <c r="BK3589">
        <v>17</v>
      </c>
      <c r="BL3589">
        <v>1.19</v>
      </c>
      <c r="BM3589">
        <v>-0.97</v>
      </c>
      <c r="BN3589">
        <v>0.33</v>
      </c>
      <c r="BO3589">
        <v>0.74</v>
      </c>
      <c r="BP3589">
        <v>-2.4900000000000002</v>
      </c>
      <c r="BQ3589">
        <v>-0.54</v>
      </c>
      <c r="BR3589">
        <v>0.35</v>
      </c>
      <c r="BS3589">
        <v>-0.78</v>
      </c>
      <c r="BT3589">
        <v>-0.89</v>
      </c>
      <c r="BU3589">
        <v>-0.1</v>
      </c>
      <c r="BV3589">
        <v>-0.57999999999999996</v>
      </c>
      <c r="BW3589">
        <v>0.01</v>
      </c>
      <c r="BX3589">
        <v>0.35</v>
      </c>
      <c r="BY3589">
        <v>1.8</v>
      </c>
      <c r="BZ3589">
        <v>-0.94</v>
      </c>
      <c r="CA3589">
        <v>-0.01</v>
      </c>
      <c r="CB3589">
        <v>0.09</v>
      </c>
      <c r="CC3589">
        <v>-0.48</v>
      </c>
      <c r="CD3589">
        <v>-1.22</v>
      </c>
      <c r="CE3589">
        <v>0.67</v>
      </c>
      <c r="CF3589">
        <v>-0.21</v>
      </c>
      <c r="CG3589">
        <v>0</v>
      </c>
      <c r="CH3589">
        <v>1.76</v>
      </c>
      <c r="CI3589">
        <v>0</v>
      </c>
      <c r="CJ3589">
        <v>1.7</v>
      </c>
      <c r="CK3589">
        <v>95</v>
      </c>
      <c r="CL3589">
        <v>-1.06</v>
      </c>
      <c r="CM3589">
        <v>94</v>
      </c>
      <c r="CN3589">
        <v>-0.14000000000000001</v>
      </c>
      <c r="CO3589">
        <v>93</v>
      </c>
      <c r="CP3589">
        <v>-1.3</v>
      </c>
      <c r="CQ3589">
        <v>90</v>
      </c>
      <c r="CR3589">
        <v>0</v>
      </c>
      <c r="CS3589">
        <v>0</v>
      </c>
      <c r="CT3589">
        <v>1.5</v>
      </c>
      <c r="CU3589">
        <v>80</v>
      </c>
      <c r="CV3589">
        <v>0.34</v>
      </c>
      <c r="CW3589">
        <v>45</v>
      </c>
      <c r="CX3589" t="s">
        <v>218</v>
      </c>
    </row>
    <row r="3590" spans="1:102" x14ac:dyDescent="0.3">
      <c r="A3590" t="str">
        <f>HYPERLINK("https://webapp.icbf.com/v2/app/bull-search/view/426773774","MVK")</f>
        <v>MVK</v>
      </c>
      <c r="B3590" t="s">
        <v>4783</v>
      </c>
      <c r="C3590" t="s">
        <v>4784</v>
      </c>
      <c r="D3590" s="1">
        <v>36758</v>
      </c>
      <c r="E3590" t="s">
        <v>92</v>
      </c>
      <c r="F3590">
        <v>100</v>
      </c>
      <c r="G3590" t="s">
        <v>93</v>
      </c>
      <c r="H3590">
        <v>-47.99</v>
      </c>
      <c r="I3590">
        <v>93</v>
      </c>
      <c r="J3590">
        <v>46.8</v>
      </c>
      <c r="K3590">
        <v>98</v>
      </c>
      <c r="L3590">
        <v>-75.25</v>
      </c>
      <c r="M3590">
        <v>90</v>
      </c>
      <c r="N3590">
        <v>-10.73</v>
      </c>
      <c r="O3590">
        <v>90</v>
      </c>
      <c r="P3590">
        <v>1.52</v>
      </c>
      <c r="Q3590">
        <v>95</v>
      </c>
      <c r="R3590">
        <v>6.34</v>
      </c>
      <c r="S3590">
        <v>86</v>
      </c>
      <c r="T3590">
        <v>-17.399999999999999</v>
      </c>
      <c r="U3590">
        <v>88</v>
      </c>
      <c r="V3590">
        <v>0.73</v>
      </c>
      <c r="W3590">
        <v>85</v>
      </c>
      <c r="X3590" t="s">
        <v>251</v>
      </c>
      <c r="Y3590" t="s">
        <v>95</v>
      </c>
      <c r="Z3590" t="s">
        <v>96</v>
      </c>
      <c r="AA3590" t="s">
        <v>174</v>
      </c>
      <c r="AB3590" t="s">
        <v>4785</v>
      </c>
      <c r="AC3590">
        <v>192</v>
      </c>
      <c r="AD3590">
        <v>53</v>
      </c>
      <c r="AE3590">
        <v>98</v>
      </c>
      <c r="AF3590">
        <v>499.7</v>
      </c>
      <c r="AG3590">
        <v>5.79</v>
      </c>
      <c r="AH3590">
        <v>13.56</v>
      </c>
      <c r="AI3590">
        <v>-0.22</v>
      </c>
      <c r="AJ3590">
        <v>-0.05</v>
      </c>
      <c r="AK3590">
        <v>90</v>
      </c>
      <c r="AL3590">
        <v>177</v>
      </c>
      <c r="AM3590">
        <v>60</v>
      </c>
      <c r="AN3590">
        <v>4.99</v>
      </c>
      <c r="AO3590">
        <v>-1</v>
      </c>
      <c r="AP3590">
        <v>381</v>
      </c>
      <c r="AQ3590">
        <v>0</v>
      </c>
      <c r="AR3590">
        <v>8.4</v>
      </c>
      <c r="AS3590">
        <v>77</v>
      </c>
      <c r="AT3590">
        <v>3.74</v>
      </c>
      <c r="AU3590">
        <v>94</v>
      </c>
      <c r="AV3590">
        <v>-0.45</v>
      </c>
      <c r="AW3590">
        <v>97</v>
      </c>
      <c r="AX3590">
        <v>1.54</v>
      </c>
      <c r="AY3590">
        <v>87</v>
      </c>
      <c r="AZ3590">
        <v>6.92</v>
      </c>
      <c r="BA3590">
        <v>75</v>
      </c>
      <c r="BB3590">
        <v>5.32</v>
      </c>
      <c r="BC3590">
        <v>74</v>
      </c>
      <c r="BD3590">
        <v>0.02</v>
      </c>
      <c r="BE3590">
        <v>-0.01</v>
      </c>
      <c r="BF3590">
        <v>-0.16</v>
      </c>
      <c r="BG3590">
        <v>93</v>
      </c>
      <c r="BH3590">
        <v>0.03</v>
      </c>
      <c r="BI3590">
        <v>1.1299999999999999</v>
      </c>
      <c r="BJ3590">
        <v>4</v>
      </c>
      <c r="BK3590">
        <v>4</v>
      </c>
      <c r="BL3590">
        <v>1.64</v>
      </c>
      <c r="BM3590">
        <v>2.3199999999999998</v>
      </c>
      <c r="BN3590">
        <v>1.1100000000000001</v>
      </c>
      <c r="BO3590">
        <v>0.24</v>
      </c>
      <c r="BP3590">
        <v>3.43</v>
      </c>
      <c r="BQ3590">
        <v>2.83</v>
      </c>
      <c r="BR3590">
        <v>-0.85</v>
      </c>
      <c r="BS3590">
        <v>-2.11</v>
      </c>
      <c r="BT3590">
        <v>1.72</v>
      </c>
      <c r="BU3590">
        <v>1.23</v>
      </c>
      <c r="BV3590">
        <v>0.23</v>
      </c>
      <c r="BW3590">
        <v>-0.9</v>
      </c>
      <c r="BX3590">
        <v>1.31</v>
      </c>
      <c r="BY3590">
        <v>1.04</v>
      </c>
      <c r="BZ3590">
        <v>0.56000000000000005</v>
      </c>
      <c r="CA3590">
        <v>0.65</v>
      </c>
      <c r="CB3590">
        <v>1.1200000000000001</v>
      </c>
      <c r="CC3590">
        <v>-1.03</v>
      </c>
      <c r="CD3590">
        <v>0.78</v>
      </c>
      <c r="CE3590">
        <v>0.34</v>
      </c>
      <c r="CF3590">
        <v>0.73</v>
      </c>
      <c r="CG3590">
        <v>0</v>
      </c>
      <c r="CH3590">
        <v>1.4</v>
      </c>
      <c r="CI3590">
        <v>0</v>
      </c>
      <c r="CJ3590">
        <v>3.2</v>
      </c>
      <c r="CK3590">
        <v>96</v>
      </c>
      <c r="CL3590">
        <v>-0.8</v>
      </c>
      <c r="CM3590">
        <v>95</v>
      </c>
      <c r="CN3590">
        <v>-0.31</v>
      </c>
      <c r="CO3590">
        <v>94</v>
      </c>
      <c r="CP3590">
        <v>11.5</v>
      </c>
      <c r="CQ3590">
        <v>93</v>
      </c>
      <c r="CR3590">
        <v>0</v>
      </c>
      <c r="CS3590">
        <v>0</v>
      </c>
      <c r="CT3590">
        <v>37.299999999999997</v>
      </c>
      <c r="CU3590">
        <v>88</v>
      </c>
      <c r="CV3590">
        <v>0.15</v>
      </c>
      <c r="CW3590">
        <v>45</v>
      </c>
      <c r="CX3590" t="s">
        <v>216</v>
      </c>
    </row>
    <row r="3591" spans="1:102" x14ac:dyDescent="0.3">
      <c r="A3591" t="str">
        <f>HYPERLINK("https://webapp.icbf.com/v2/app/bull-search/view/69092383","PIR")</f>
        <v>PIR</v>
      </c>
      <c r="B3591" t="s">
        <v>15690</v>
      </c>
      <c r="C3591" t="s">
        <v>15691</v>
      </c>
      <c r="D3591" s="1">
        <v>33260</v>
      </c>
      <c r="E3591" t="s">
        <v>92</v>
      </c>
      <c r="F3591">
        <v>100</v>
      </c>
      <c r="G3591" t="s">
        <v>109</v>
      </c>
      <c r="H3591">
        <v>-48.11</v>
      </c>
      <c r="I3591">
        <v>49</v>
      </c>
      <c r="J3591">
        <v>-28.91</v>
      </c>
      <c r="K3591">
        <v>67</v>
      </c>
      <c r="L3591">
        <v>-11.5</v>
      </c>
      <c r="M3591">
        <v>38</v>
      </c>
      <c r="N3591">
        <v>3.2</v>
      </c>
      <c r="O3591">
        <v>31</v>
      </c>
      <c r="P3591">
        <v>-20.420000000000002</v>
      </c>
      <c r="Q3591">
        <v>59</v>
      </c>
      <c r="R3591">
        <v>-10.95</v>
      </c>
      <c r="S3591">
        <v>50</v>
      </c>
      <c r="T3591">
        <v>20.71</v>
      </c>
      <c r="U3591">
        <v>50</v>
      </c>
      <c r="V3591">
        <v>-0.24</v>
      </c>
      <c r="W3591">
        <v>18</v>
      </c>
      <c r="X3591" t="s">
        <v>276</v>
      </c>
      <c r="Y3591" t="s">
        <v>95</v>
      </c>
      <c r="Z3591" t="s">
        <v>96</v>
      </c>
      <c r="AA3591" t="s">
        <v>14798</v>
      </c>
      <c r="AB3591" t="s">
        <v>14799</v>
      </c>
      <c r="AC3591">
        <v>0</v>
      </c>
      <c r="AD3591">
        <v>0</v>
      </c>
      <c r="AE3591">
        <v>67</v>
      </c>
      <c r="AF3591">
        <v>39.61</v>
      </c>
      <c r="AG3591">
        <v>-4.8899999999999997</v>
      </c>
      <c r="AH3591">
        <v>-2.58</v>
      </c>
      <c r="AI3591">
        <v>-0.11</v>
      </c>
      <c r="AJ3591">
        <v>-0.06</v>
      </c>
      <c r="AK3591">
        <v>38</v>
      </c>
      <c r="AL3591">
        <v>0</v>
      </c>
      <c r="AM3591">
        <v>0</v>
      </c>
      <c r="AN3591">
        <v>1.19</v>
      </c>
      <c r="AO3591">
        <v>0.28000000000000003</v>
      </c>
      <c r="AP3591">
        <v>13</v>
      </c>
      <c r="AQ3591">
        <v>5</v>
      </c>
      <c r="AR3591">
        <v>6.06</v>
      </c>
      <c r="AS3591">
        <v>29</v>
      </c>
      <c r="AT3591">
        <v>2.88</v>
      </c>
      <c r="AU3591">
        <v>38</v>
      </c>
      <c r="AV3591">
        <v>0.11</v>
      </c>
      <c r="AW3591">
        <v>31</v>
      </c>
      <c r="AX3591">
        <v>-0.69</v>
      </c>
      <c r="AY3591">
        <v>38</v>
      </c>
      <c r="AZ3591">
        <v>6.52</v>
      </c>
      <c r="BA3591">
        <v>13</v>
      </c>
      <c r="BB3591">
        <v>5.67</v>
      </c>
      <c r="BC3591">
        <v>19</v>
      </c>
      <c r="BD3591">
        <v>0.04</v>
      </c>
      <c r="BE3591">
        <v>0.05</v>
      </c>
      <c r="BF3591">
        <v>0.09</v>
      </c>
      <c r="BG3591">
        <v>73</v>
      </c>
      <c r="BH3591">
        <v>0.12</v>
      </c>
      <c r="BI3591">
        <v>14.66</v>
      </c>
      <c r="BJ3591">
        <v>0</v>
      </c>
      <c r="BK3591">
        <v>0</v>
      </c>
      <c r="BL3591">
        <v>0.08</v>
      </c>
      <c r="BM3591">
        <v>0.74</v>
      </c>
      <c r="BN3591">
        <v>0.48</v>
      </c>
      <c r="BO3591">
        <v>-0.11</v>
      </c>
      <c r="BP3591">
        <v>-0.43</v>
      </c>
      <c r="BQ3591">
        <v>0.67</v>
      </c>
      <c r="BR3591">
        <v>0.87</v>
      </c>
      <c r="BS3591">
        <v>-0.61</v>
      </c>
      <c r="BT3591">
        <v>-0.84</v>
      </c>
      <c r="BU3591">
        <v>-0.11</v>
      </c>
      <c r="BV3591">
        <v>-0.42</v>
      </c>
      <c r="BW3591">
        <v>-0.48</v>
      </c>
      <c r="BX3591">
        <v>-0.71</v>
      </c>
      <c r="BY3591">
        <v>-0.61</v>
      </c>
      <c r="BZ3591">
        <v>0.67</v>
      </c>
      <c r="CA3591">
        <v>-0.39</v>
      </c>
      <c r="CB3591">
        <v>-0.25</v>
      </c>
      <c r="CC3591">
        <v>-0.43</v>
      </c>
      <c r="CD3591">
        <v>0.21</v>
      </c>
      <c r="CE3591">
        <v>-0.02</v>
      </c>
      <c r="CF3591">
        <v>0.35</v>
      </c>
      <c r="CG3591">
        <v>0</v>
      </c>
      <c r="CH3591">
        <v>-0.6</v>
      </c>
      <c r="CI3591">
        <v>0</v>
      </c>
      <c r="CJ3591">
        <v>-10</v>
      </c>
      <c r="CK3591">
        <v>62</v>
      </c>
      <c r="CL3591">
        <v>-0.43</v>
      </c>
      <c r="CM3591">
        <v>56</v>
      </c>
      <c r="CN3591">
        <v>0.04</v>
      </c>
      <c r="CO3591">
        <v>52</v>
      </c>
      <c r="CP3591">
        <v>-11.4</v>
      </c>
      <c r="CQ3591">
        <v>58</v>
      </c>
      <c r="CR3591">
        <v>0</v>
      </c>
      <c r="CS3591">
        <v>0</v>
      </c>
      <c r="CT3591">
        <v>-14.2</v>
      </c>
      <c r="CU3591">
        <v>50</v>
      </c>
      <c r="CV3591">
        <v>-0.03</v>
      </c>
      <c r="CW3591">
        <v>15</v>
      </c>
      <c r="CX3591" t="s">
        <v>14800</v>
      </c>
    </row>
    <row r="3592" spans="1:102" x14ac:dyDescent="0.3">
      <c r="A3592" t="str">
        <f>HYPERLINK("https://webapp.icbf.com/v2/app/bull-search/view/1164168503","S2128")</f>
        <v>S2128</v>
      </c>
      <c r="B3592" t="s">
        <v>9216</v>
      </c>
      <c r="C3592" t="s">
        <v>9217</v>
      </c>
      <c r="D3592" s="1">
        <v>40997</v>
      </c>
      <c r="E3592" t="s">
        <v>197</v>
      </c>
      <c r="F3592">
        <v>0</v>
      </c>
      <c r="G3592" t="s">
        <v>435</v>
      </c>
      <c r="H3592">
        <v>-48.12</v>
      </c>
      <c r="I3592">
        <v>26</v>
      </c>
      <c r="J3592">
        <v>-21.37</v>
      </c>
      <c r="K3592">
        <v>26</v>
      </c>
      <c r="L3592">
        <v>27.28</v>
      </c>
      <c r="M3592">
        <v>8</v>
      </c>
      <c r="N3592">
        <v>-67.28</v>
      </c>
      <c r="O3592">
        <v>48</v>
      </c>
      <c r="P3592">
        <v>9.7799999999999994</v>
      </c>
      <c r="Q3592">
        <v>62</v>
      </c>
      <c r="R3592">
        <v>-3.68</v>
      </c>
      <c r="S3592">
        <v>8</v>
      </c>
      <c r="T3592">
        <v>13.68</v>
      </c>
      <c r="U3592">
        <v>52</v>
      </c>
      <c r="V3592">
        <v>-6.53</v>
      </c>
      <c r="W3592">
        <v>10</v>
      </c>
      <c r="X3592" t="s">
        <v>198</v>
      </c>
      <c r="Y3592" t="s">
        <v>367</v>
      </c>
      <c r="Z3592">
        <v>0</v>
      </c>
      <c r="AA3592" t="s">
        <v>9218</v>
      </c>
      <c r="AB3592" t="s">
        <v>9219</v>
      </c>
      <c r="AC3592">
        <v>2</v>
      </c>
      <c r="AD3592">
        <v>1</v>
      </c>
      <c r="AE3592">
        <v>26</v>
      </c>
      <c r="AF3592">
        <v>-294.95999999999998</v>
      </c>
      <c r="AG3592">
        <v>-9.61</v>
      </c>
      <c r="AH3592">
        <v>-4.75</v>
      </c>
      <c r="AI3592">
        <v>0.03</v>
      </c>
      <c r="AJ3592">
        <v>0.09</v>
      </c>
      <c r="AK3592">
        <v>8</v>
      </c>
      <c r="AL3592">
        <v>1</v>
      </c>
      <c r="AM3592">
        <v>1</v>
      </c>
      <c r="AN3592">
        <v>-2.7</v>
      </c>
      <c r="AO3592">
        <v>-0.54</v>
      </c>
      <c r="AP3592">
        <v>3</v>
      </c>
      <c r="AQ3592">
        <v>0</v>
      </c>
      <c r="AR3592">
        <v>8.43</v>
      </c>
      <c r="AS3592">
        <v>22</v>
      </c>
      <c r="AT3592">
        <v>8.1999999999999993</v>
      </c>
      <c r="AU3592">
        <v>36</v>
      </c>
      <c r="AV3592">
        <v>1.21</v>
      </c>
      <c r="AW3592">
        <v>74</v>
      </c>
      <c r="AX3592">
        <v>-0.15</v>
      </c>
      <c r="AY3592">
        <v>42</v>
      </c>
      <c r="AZ3592">
        <v>7.07</v>
      </c>
      <c r="BA3592">
        <v>16</v>
      </c>
      <c r="BB3592">
        <v>3.23</v>
      </c>
      <c r="BC3592">
        <v>15</v>
      </c>
      <c r="BD3592">
        <v>0.01</v>
      </c>
      <c r="BE3592">
        <v>0.02</v>
      </c>
      <c r="BF3592">
        <v>0.03</v>
      </c>
      <c r="BG3592">
        <v>9</v>
      </c>
      <c r="BH3592">
        <v>-0.06</v>
      </c>
      <c r="BI3592">
        <v>14.12</v>
      </c>
      <c r="BJ3592">
        <v>0</v>
      </c>
      <c r="BK3592">
        <v>0</v>
      </c>
      <c r="BL3592">
        <v>0</v>
      </c>
      <c r="BM3592">
        <v>0</v>
      </c>
      <c r="BN3592">
        <v>0</v>
      </c>
      <c r="BO3592">
        <v>0</v>
      </c>
      <c r="BP3592">
        <v>0</v>
      </c>
      <c r="BQ3592">
        <v>0</v>
      </c>
      <c r="BR3592">
        <v>0</v>
      </c>
      <c r="BS3592">
        <v>0</v>
      </c>
      <c r="BT3592">
        <v>0</v>
      </c>
      <c r="BU3592">
        <v>0</v>
      </c>
      <c r="BV3592">
        <v>0</v>
      </c>
      <c r="BW3592">
        <v>0</v>
      </c>
      <c r="BX3592">
        <v>0</v>
      </c>
      <c r="BY3592">
        <v>0</v>
      </c>
      <c r="BZ3592">
        <v>0</v>
      </c>
      <c r="CA3592">
        <v>0</v>
      </c>
      <c r="CB3592">
        <v>0</v>
      </c>
      <c r="CC3592">
        <v>0</v>
      </c>
      <c r="CD3592">
        <v>0</v>
      </c>
      <c r="CE3592">
        <v>0</v>
      </c>
      <c r="CF3592">
        <v>0</v>
      </c>
      <c r="CG3592">
        <v>0</v>
      </c>
      <c r="CH3592">
        <v>0</v>
      </c>
      <c r="CI3592">
        <v>0</v>
      </c>
      <c r="CJ3592">
        <v>5.6</v>
      </c>
      <c r="CK3592">
        <v>65</v>
      </c>
      <c r="CL3592">
        <v>7.0000000000000007E-2</v>
      </c>
      <c r="CM3592">
        <v>60</v>
      </c>
      <c r="CN3592">
        <v>-0.11</v>
      </c>
      <c r="CO3592">
        <v>58</v>
      </c>
      <c r="CP3592">
        <v>0.3</v>
      </c>
      <c r="CQ3592">
        <v>47</v>
      </c>
      <c r="CR3592">
        <v>0</v>
      </c>
      <c r="CS3592">
        <v>0</v>
      </c>
      <c r="CT3592">
        <v>-4.7</v>
      </c>
      <c r="CU3592">
        <v>52</v>
      </c>
      <c r="CV3592">
        <v>-0.04</v>
      </c>
      <c r="CW3592">
        <v>38</v>
      </c>
      <c r="CX3592" t="s">
        <v>9220</v>
      </c>
    </row>
    <row r="3593" spans="1:102" x14ac:dyDescent="0.3">
      <c r="A3593" t="str">
        <f>HYPERLINK("https://webapp.icbf.com/v2/app/bull-search/view/77853508","STO")</f>
        <v>STO</v>
      </c>
      <c r="B3593" t="s">
        <v>14362</v>
      </c>
      <c r="C3593" t="s">
        <v>1278</v>
      </c>
      <c r="D3593" s="1">
        <v>33254</v>
      </c>
      <c r="E3593" t="s">
        <v>92</v>
      </c>
      <c r="F3593">
        <v>100</v>
      </c>
      <c r="G3593" t="s">
        <v>93</v>
      </c>
      <c r="H3593">
        <v>-48.22</v>
      </c>
      <c r="I3593">
        <v>97</v>
      </c>
      <c r="J3593">
        <v>3.55</v>
      </c>
      <c r="K3593">
        <v>99</v>
      </c>
      <c r="L3593">
        <v>-72.98</v>
      </c>
      <c r="M3593">
        <v>94</v>
      </c>
      <c r="N3593">
        <v>22.23</v>
      </c>
      <c r="O3593">
        <v>97</v>
      </c>
      <c r="P3593">
        <v>-14.22</v>
      </c>
      <c r="Q3593">
        <v>99</v>
      </c>
      <c r="R3593">
        <v>-10.18</v>
      </c>
      <c r="S3593">
        <v>94</v>
      </c>
      <c r="T3593">
        <v>18.86</v>
      </c>
      <c r="U3593">
        <v>97</v>
      </c>
      <c r="V3593">
        <v>4.5199999999999996</v>
      </c>
      <c r="W3593">
        <v>92</v>
      </c>
      <c r="X3593" t="s">
        <v>94</v>
      </c>
      <c r="Y3593" t="s">
        <v>95</v>
      </c>
      <c r="Z3593" t="s">
        <v>96</v>
      </c>
      <c r="AA3593" t="s">
        <v>111</v>
      </c>
      <c r="AB3593" t="s">
        <v>14363</v>
      </c>
      <c r="AC3593">
        <v>682</v>
      </c>
      <c r="AD3593">
        <v>332</v>
      </c>
      <c r="AE3593">
        <v>99</v>
      </c>
      <c r="AF3593">
        <v>260.51</v>
      </c>
      <c r="AG3593">
        <v>1.98</v>
      </c>
      <c r="AH3593">
        <v>3.89</v>
      </c>
      <c r="AI3593">
        <v>-0.14000000000000001</v>
      </c>
      <c r="AJ3593">
        <v>-0.08</v>
      </c>
      <c r="AK3593">
        <v>94</v>
      </c>
      <c r="AL3593">
        <v>642</v>
      </c>
      <c r="AM3593">
        <v>265</v>
      </c>
      <c r="AN3593">
        <v>2.41</v>
      </c>
      <c r="AO3593">
        <v>-3.43</v>
      </c>
      <c r="AP3593">
        <v>422</v>
      </c>
      <c r="AQ3593">
        <v>0</v>
      </c>
      <c r="AR3593">
        <v>6.22</v>
      </c>
      <c r="AS3593">
        <v>94</v>
      </c>
      <c r="AT3593">
        <v>2.62</v>
      </c>
      <c r="AU3593">
        <v>99</v>
      </c>
      <c r="AV3593">
        <v>-1.69</v>
      </c>
      <c r="AW3593">
        <v>98</v>
      </c>
      <c r="AX3593">
        <v>-0.45</v>
      </c>
      <c r="AY3593">
        <v>97</v>
      </c>
      <c r="AZ3593">
        <v>6.57</v>
      </c>
      <c r="BA3593">
        <v>92</v>
      </c>
      <c r="BB3593">
        <v>4.9400000000000004</v>
      </c>
      <c r="BC3593">
        <v>93</v>
      </c>
      <c r="BD3593">
        <v>0.03</v>
      </c>
      <c r="BE3593">
        <v>0.06</v>
      </c>
      <c r="BF3593">
        <v>7.0000000000000007E-2</v>
      </c>
      <c r="BG3593">
        <v>98</v>
      </c>
      <c r="BH3593">
        <v>0.13</v>
      </c>
      <c r="BI3593">
        <v>0.46</v>
      </c>
      <c r="BJ3593">
        <v>141</v>
      </c>
      <c r="BK3593">
        <v>83</v>
      </c>
      <c r="BL3593">
        <v>-0.3</v>
      </c>
      <c r="BM3593">
        <v>-0.39</v>
      </c>
      <c r="BN3593">
        <v>-0.27</v>
      </c>
      <c r="BO3593">
        <v>7.0000000000000007E-2</v>
      </c>
      <c r="BP3593">
        <v>1.02</v>
      </c>
      <c r="BQ3593">
        <v>-0.28999999999999998</v>
      </c>
      <c r="BR3593">
        <v>2.42</v>
      </c>
      <c r="BS3593">
        <v>-1.08</v>
      </c>
      <c r="BT3593">
        <v>-2.4900000000000002</v>
      </c>
      <c r="BU3593">
        <v>0.97</v>
      </c>
      <c r="BV3593">
        <v>0.62</v>
      </c>
      <c r="BW3593">
        <v>0.71</v>
      </c>
      <c r="BX3593">
        <v>0.34</v>
      </c>
      <c r="BY3593">
        <v>2.61</v>
      </c>
      <c r="BZ3593">
        <v>-3.1</v>
      </c>
      <c r="CA3593">
        <v>0.53</v>
      </c>
      <c r="CB3593">
        <v>1.1599999999999999</v>
      </c>
      <c r="CC3593">
        <v>-0.97</v>
      </c>
      <c r="CD3593">
        <v>-0.17</v>
      </c>
      <c r="CE3593">
        <v>0.03</v>
      </c>
      <c r="CF3593">
        <v>-0.18</v>
      </c>
      <c r="CG3593">
        <v>0</v>
      </c>
      <c r="CH3593">
        <v>2.4700000000000002</v>
      </c>
      <c r="CI3593">
        <v>0</v>
      </c>
      <c r="CJ3593">
        <v>-4.4000000000000004</v>
      </c>
      <c r="CK3593">
        <v>99</v>
      </c>
      <c r="CL3593">
        <v>-0.69</v>
      </c>
      <c r="CM3593">
        <v>98</v>
      </c>
      <c r="CN3593">
        <v>-0.06</v>
      </c>
      <c r="CO3593">
        <v>98</v>
      </c>
      <c r="CP3593">
        <v>-11.5</v>
      </c>
      <c r="CQ3593">
        <v>99</v>
      </c>
      <c r="CR3593">
        <v>0</v>
      </c>
      <c r="CS3593">
        <v>0</v>
      </c>
      <c r="CT3593">
        <v>-11.7</v>
      </c>
      <c r="CU3593">
        <v>97</v>
      </c>
      <c r="CV3593">
        <v>0.16</v>
      </c>
      <c r="CW3593">
        <v>47</v>
      </c>
      <c r="CX3593" t="s">
        <v>128</v>
      </c>
    </row>
    <row r="3594" spans="1:102" x14ac:dyDescent="0.3">
      <c r="A3594" t="str">
        <f>HYPERLINK("https://webapp.icbf.com/v2/app/bull-search/view/77857858","FET")</f>
        <v>FET</v>
      </c>
      <c r="B3594" t="s">
        <v>15246</v>
      </c>
      <c r="C3594" t="s">
        <v>15247</v>
      </c>
      <c r="D3594" s="1">
        <v>33106</v>
      </c>
      <c r="E3594" t="s">
        <v>92</v>
      </c>
      <c r="F3594">
        <v>100</v>
      </c>
      <c r="G3594" t="s">
        <v>93</v>
      </c>
      <c r="H3594">
        <v>-48.22</v>
      </c>
      <c r="I3594">
        <v>92</v>
      </c>
      <c r="J3594">
        <v>-0.59</v>
      </c>
      <c r="K3594">
        <v>98</v>
      </c>
      <c r="L3594">
        <v>-50.61</v>
      </c>
      <c r="M3594">
        <v>92</v>
      </c>
      <c r="N3594">
        <v>1.23</v>
      </c>
      <c r="O3594">
        <v>85</v>
      </c>
      <c r="P3594">
        <v>-10.7</v>
      </c>
      <c r="Q3594">
        <v>91</v>
      </c>
      <c r="R3594">
        <v>6.67</v>
      </c>
      <c r="S3594">
        <v>86</v>
      </c>
      <c r="T3594">
        <v>11.98</v>
      </c>
      <c r="U3594">
        <v>90</v>
      </c>
      <c r="V3594">
        <v>-6.2</v>
      </c>
      <c r="W3594">
        <v>76</v>
      </c>
      <c r="X3594" t="s">
        <v>276</v>
      </c>
      <c r="Y3594" t="s">
        <v>95</v>
      </c>
      <c r="Z3594" t="s">
        <v>96</v>
      </c>
      <c r="AA3594" t="s">
        <v>111</v>
      </c>
      <c r="AB3594" t="s">
        <v>655</v>
      </c>
      <c r="AC3594">
        <v>212</v>
      </c>
      <c r="AD3594">
        <v>118</v>
      </c>
      <c r="AE3594">
        <v>98</v>
      </c>
      <c r="AF3594">
        <v>66.67</v>
      </c>
      <c r="AG3594">
        <v>3.96</v>
      </c>
      <c r="AH3594">
        <v>-0.48</v>
      </c>
      <c r="AI3594">
        <v>0.02</v>
      </c>
      <c r="AJ3594">
        <v>-0.05</v>
      </c>
      <c r="AK3594">
        <v>92</v>
      </c>
      <c r="AL3594">
        <v>211</v>
      </c>
      <c r="AM3594">
        <v>123</v>
      </c>
      <c r="AN3594">
        <v>4.0199999999999996</v>
      </c>
      <c r="AO3594">
        <v>0</v>
      </c>
      <c r="AP3594">
        <v>19</v>
      </c>
      <c r="AQ3594">
        <v>0</v>
      </c>
      <c r="AR3594">
        <v>6.64</v>
      </c>
      <c r="AS3594">
        <v>72</v>
      </c>
      <c r="AT3594">
        <v>3.25</v>
      </c>
      <c r="AU3594">
        <v>92</v>
      </c>
      <c r="AV3594">
        <v>-0.3</v>
      </c>
      <c r="AW3594">
        <v>86</v>
      </c>
      <c r="AX3594">
        <v>-0.49</v>
      </c>
      <c r="AY3594">
        <v>89</v>
      </c>
      <c r="AZ3594">
        <v>6.57</v>
      </c>
      <c r="BA3594">
        <v>69</v>
      </c>
      <c r="BB3594">
        <v>5.7</v>
      </c>
      <c r="BC3594">
        <v>81</v>
      </c>
      <c r="BD3594">
        <v>-0.02</v>
      </c>
      <c r="BE3594">
        <v>0</v>
      </c>
      <c r="BF3594">
        <v>-0.12</v>
      </c>
      <c r="BG3594">
        <v>95</v>
      </c>
      <c r="BH3594">
        <v>-0.08</v>
      </c>
      <c r="BI3594">
        <v>10.76</v>
      </c>
      <c r="BJ3594">
        <v>21</v>
      </c>
      <c r="BK3594">
        <v>12</v>
      </c>
      <c r="BL3594">
        <v>0.4</v>
      </c>
      <c r="BM3594">
        <v>0.23</v>
      </c>
      <c r="BN3594">
        <v>0.59</v>
      </c>
      <c r="BO3594">
        <v>-0.14000000000000001</v>
      </c>
      <c r="BP3594">
        <v>1.02</v>
      </c>
      <c r="BQ3594">
        <v>-2.4</v>
      </c>
      <c r="BR3594">
        <v>-0.26</v>
      </c>
      <c r="BS3594">
        <v>0.16</v>
      </c>
      <c r="BT3594">
        <v>0.11</v>
      </c>
      <c r="BU3594">
        <v>-0.45</v>
      </c>
      <c r="BV3594">
        <v>-0.83</v>
      </c>
      <c r="BW3594">
        <v>-1.29</v>
      </c>
      <c r="BX3594">
        <v>0.1</v>
      </c>
      <c r="BY3594">
        <v>-1.64</v>
      </c>
      <c r="BZ3594">
        <v>2.23</v>
      </c>
      <c r="CA3594">
        <v>-0.52</v>
      </c>
      <c r="CB3594">
        <v>-1</v>
      </c>
      <c r="CC3594">
        <v>0.4</v>
      </c>
      <c r="CD3594">
        <v>0.38</v>
      </c>
      <c r="CE3594">
        <v>-0.28999999999999998</v>
      </c>
      <c r="CF3594">
        <v>-0.6</v>
      </c>
      <c r="CG3594">
        <v>0</v>
      </c>
      <c r="CH3594">
        <v>-1.62</v>
      </c>
      <c r="CI3594">
        <v>0</v>
      </c>
      <c r="CJ3594">
        <v>-2.2999999999999998</v>
      </c>
      <c r="CK3594">
        <v>92</v>
      </c>
      <c r="CL3594">
        <v>-0.89</v>
      </c>
      <c r="CM3594">
        <v>90</v>
      </c>
      <c r="CN3594">
        <v>-0.24</v>
      </c>
      <c r="CO3594">
        <v>89</v>
      </c>
      <c r="CP3594">
        <v>-7.7</v>
      </c>
      <c r="CQ3594">
        <v>94</v>
      </c>
      <c r="CR3594">
        <v>0</v>
      </c>
      <c r="CS3594">
        <v>0</v>
      </c>
      <c r="CT3594">
        <v>-2.4</v>
      </c>
      <c r="CU3594">
        <v>90</v>
      </c>
      <c r="CV3594">
        <v>0.17</v>
      </c>
      <c r="CW3594">
        <v>44</v>
      </c>
      <c r="CX3594" t="s">
        <v>168</v>
      </c>
    </row>
    <row r="3595" spans="1:102" x14ac:dyDescent="0.3">
      <c r="A3595" t="str">
        <f>HYPERLINK("https://webapp.icbf.com/v2/app/bull-search/view/77859946","BSC")</f>
        <v>BSC</v>
      </c>
      <c r="B3595" t="s">
        <v>10382</v>
      </c>
      <c r="C3595" t="s">
        <v>10383</v>
      </c>
      <c r="D3595" s="1">
        <v>31733</v>
      </c>
      <c r="E3595" t="s">
        <v>92</v>
      </c>
      <c r="F3595">
        <v>100</v>
      </c>
      <c r="G3595" t="s">
        <v>109</v>
      </c>
      <c r="H3595">
        <v>-48.23</v>
      </c>
      <c r="I3595">
        <v>58</v>
      </c>
      <c r="J3595">
        <v>-26.43</v>
      </c>
      <c r="K3595">
        <v>81</v>
      </c>
      <c r="L3595">
        <v>-26.58</v>
      </c>
      <c r="M3595">
        <v>57</v>
      </c>
      <c r="N3595">
        <v>8.99</v>
      </c>
      <c r="O3595">
        <v>42</v>
      </c>
      <c r="P3595">
        <v>-0.15</v>
      </c>
      <c r="Q3595">
        <v>44</v>
      </c>
      <c r="R3595">
        <v>-6.84</v>
      </c>
      <c r="S3595">
        <v>56</v>
      </c>
      <c r="T3595">
        <v>5.76</v>
      </c>
      <c r="U3595">
        <v>33</v>
      </c>
      <c r="V3595">
        <v>-2.98</v>
      </c>
      <c r="W3595">
        <v>6</v>
      </c>
      <c r="X3595" t="s">
        <v>110</v>
      </c>
      <c r="Y3595" t="s">
        <v>95</v>
      </c>
      <c r="Z3595" t="s">
        <v>96</v>
      </c>
      <c r="AA3595" t="s">
        <v>520</v>
      </c>
      <c r="AB3595" t="s">
        <v>10384</v>
      </c>
      <c r="AC3595">
        <v>0</v>
      </c>
      <c r="AD3595">
        <v>0</v>
      </c>
      <c r="AE3595">
        <v>81</v>
      </c>
      <c r="AF3595">
        <v>41.6</v>
      </c>
      <c r="AG3595">
        <v>-8.2200000000000006</v>
      </c>
      <c r="AH3595">
        <v>-0.95</v>
      </c>
      <c r="AI3595">
        <v>-0.16</v>
      </c>
      <c r="AJ3595">
        <v>-0.04</v>
      </c>
      <c r="AK3595">
        <v>57</v>
      </c>
      <c r="AL3595">
        <v>0</v>
      </c>
      <c r="AM3595">
        <v>0</v>
      </c>
      <c r="AN3595">
        <v>2.97</v>
      </c>
      <c r="AO3595">
        <v>0.87</v>
      </c>
      <c r="AP3595">
        <v>4</v>
      </c>
      <c r="AQ3595">
        <v>0</v>
      </c>
      <c r="AR3595">
        <v>7.69</v>
      </c>
      <c r="AS3595">
        <v>8</v>
      </c>
      <c r="AT3595">
        <v>3.34</v>
      </c>
      <c r="AU3595">
        <v>74</v>
      </c>
      <c r="AV3595">
        <v>-0.59</v>
      </c>
      <c r="AW3595">
        <v>39</v>
      </c>
      <c r="AX3595">
        <v>-0.84</v>
      </c>
      <c r="AY3595">
        <v>45</v>
      </c>
      <c r="AZ3595">
        <v>5.42</v>
      </c>
      <c r="BA3595">
        <v>9</v>
      </c>
      <c r="BB3595">
        <v>4.3899999999999997</v>
      </c>
      <c r="BC3595">
        <v>21</v>
      </c>
      <c r="BD3595">
        <v>0.05</v>
      </c>
      <c r="BE3595">
        <v>0.06</v>
      </c>
      <c r="BF3595">
        <v>-0.04</v>
      </c>
      <c r="BG3595">
        <v>83</v>
      </c>
      <c r="BH3595">
        <v>-0.05</v>
      </c>
      <c r="BI3595">
        <v>3.82</v>
      </c>
      <c r="BJ3595">
        <v>6</v>
      </c>
      <c r="BK3595">
        <v>5</v>
      </c>
      <c r="BL3595">
        <v>0.11</v>
      </c>
      <c r="BM3595">
        <v>1.47</v>
      </c>
      <c r="BN3595">
        <v>-0.61</v>
      </c>
      <c r="BO3595">
        <v>-1.1200000000000001</v>
      </c>
      <c r="BP3595">
        <v>-0.31</v>
      </c>
      <c r="BQ3595">
        <v>0</v>
      </c>
      <c r="BR3595">
        <v>0.82</v>
      </c>
      <c r="BS3595">
        <v>0.31</v>
      </c>
      <c r="BT3595">
        <v>-0.28999999999999998</v>
      </c>
      <c r="BU3595">
        <v>-0.66</v>
      </c>
      <c r="BV3595">
        <v>-0.22</v>
      </c>
      <c r="BW3595">
        <v>0.47</v>
      </c>
      <c r="BX3595">
        <v>1.45</v>
      </c>
      <c r="BY3595">
        <v>0.23</v>
      </c>
      <c r="BZ3595">
        <v>-0.39</v>
      </c>
      <c r="CA3595">
        <v>-0.22</v>
      </c>
      <c r="CB3595">
        <v>0.1</v>
      </c>
      <c r="CC3595">
        <v>-0.41</v>
      </c>
      <c r="CD3595">
        <v>1.85</v>
      </c>
      <c r="CE3595">
        <v>-0.91</v>
      </c>
      <c r="CF3595">
        <v>7.0000000000000007E-2</v>
      </c>
      <c r="CG3595">
        <v>0</v>
      </c>
      <c r="CH3595">
        <v>-0.81</v>
      </c>
      <c r="CI3595">
        <v>0</v>
      </c>
      <c r="CJ3595">
        <v>-1</v>
      </c>
      <c r="CK3595">
        <v>46</v>
      </c>
      <c r="CL3595">
        <v>-0.46</v>
      </c>
      <c r="CM3595">
        <v>42</v>
      </c>
      <c r="CN3595">
        <v>-0.49</v>
      </c>
      <c r="CO3595">
        <v>36</v>
      </c>
      <c r="CP3595">
        <v>1.6</v>
      </c>
      <c r="CQ3595">
        <v>52</v>
      </c>
      <c r="CR3595">
        <v>0</v>
      </c>
      <c r="CS3595">
        <v>0</v>
      </c>
      <c r="CT3595">
        <v>6</v>
      </c>
      <c r="CU3595">
        <v>33</v>
      </c>
      <c r="CV3595">
        <v>0.11</v>
      </c>
      <c r="CW3595">
        <v>11</v>
      </c>
      <c r="CX3595" t="s">
        <v>10385</v>
      </c>
    </row>
    <row r="3596" spans="1:102" x14ac:dyDescent="0.3">
      <c r="A3596" t="str">
        <f>HYPERLINK("https://webapp.icbf.com/v2/app/bull-search/view/77854672","PAW")</f>
        <v>PAW</v>
      </c>
      <c r="B3596" t="s">
        <v>10978</v>
      </c>
      <c r="C3596" t="s">
        <v>1247</v>
      </c>
      <c r="D3596" s="1">
        <v>33552</v>
      </c>
      <c r="E3596" t="s">
        <v>92</v>
      </c>
      <c r="F3596">
        <v>100</v>
      </c>
      <c r="G3596" t="s">
        <v>93</v>
      </c>
      <c r="H3596">
        <v>-48.28</v>
      </c>
      <c r="I3596">
        <v>95</v>
      </c>
      <c r="J3596">
        <v>-31.5</v>
      </c>
      <c r="K3596">
        <v>99</v>
      </c>
      <c r="L3596">
        <v>-8.42</v>
      </c>
      <c r="M3596">
        <v>94</v>
      </c>
      <c r="N3596">
        <v>-18.559999999999999</v>
      </c>
      <c r="O3596">
        <v>94</v>
      </c>
      <c r="P3596">
        <v>4.95</v>
      </c>
      <c r="Q3596">
        <v>97</v>
      </c>
      <c r="R3596">
        <v>0.13</v>
      </c>
      <c r="S3596">
        <v>89</v>
      </c>
      <c r="T3596">
        <v>0.43</v>
      </c>
      <c r="U3596">
        <v>95</v>
      </c>
      <c r="V3596">
        <v>4.6900000000000004</v>
      </c>
      <c r="W3596">
        <v>80</v>
      </c>
      <c r="X3596" t="s">
        <v>558</v>
      </c>
      <c r="Y3596" t="s">
        <v>95</v>
      </c>
      <c r="Z3596" t="s">
        <v>96</v>
      </c>
      <c r="AA3596" t="s">
        <v>132</v>
      </c>
      <c r="AB3596" t="s">
        <v>10979</v>
      </c>
      <c r="AC3596">
        <v>554</v>
      </c>
      <c r="AD3596">
        <v>326</v>
      </c>
      <c r="AE3596">
        <v>99</v>
      </c>
      <c r="AF3596">
        <v>93.16</v>
      </c>
      <c r="AG3596">
        <v>-6.76</v>
      </c>
      <c r="AH3596">
        <v>-1.54</v>
      </c>
      <c r="AI3596">
        <v>-0.17</v>
      </c>
      <c r="AJ3596">
        <v>-0.08</v>
      </c>
      <c r="AK3596">
        <v>94</v>
      </c>
      <c r="AL3596">
        <v>544</v>
      </c>
      <c r="AM3596">
        <v>260</v>
      </c>
      <c r="AN3596">
        <v>1.33</v>
      </c>
      <c r="AO3596">
        <v>0.67</v>
      </c>
      <c r="AP3596">
        <v>15</v>
      </c>
      <c r="AQ3596">
        <v>1</v>
      </c>
      <c r="AR3596">
        <v>9.39</v>
      </c>
      <c r="AS3596">
        <v>86</v>
      </c>
      <c r="AT3596">
        <v>4</v>
      </c>
      <c r="AU3596">
        <v>97</v>
      </c>
      <c r="AV3596">
        <v>0.7</v>
      </c>
      <c r="AW3596">
        <v>95</v>
      </c>
      <c r="AX3596">
        <v>0.62</v>
      </c>
      <c r="AY3596">
        <v>95</v>
      </c>
      <c r="AZ3596">
        <v>6.06</v>
      </c>
      <c r="BA3596">
        <v>86</v>
      </c>
      <c r="BB3596">
        <v>4.6399999999999997</v>
      </c>
      <c r="BC3596">
        <v>91</v>
      </c>
      <c r="BD3596">
        <v>0.03</v>
      </c>
      <c r="BE3596">
        <v>0.03</v>
      </c>
      <c r="BF3596">
        <v>-0.11</v>
      </c>
      <c r="BG3596">
        <v>97</v>
      </c>
      <c r="BH3596">
        <v>0.05</v>
      </c>
      <c r="BI3596">
        <v>-9.33</v>
      </c>
      <c r="BJ3596">
        <v>132</v>
      </c>
      <c r="BK3596">
        <v>73</v>
      </c>
      <c r="BL3596">
        <v>1.42</v>
      </c>
      <c r="BM3596">
        <v>0.05</v>
      </c>
      <c r="BN3596">
        <v>0.04</v>
      </c>
      <c r="BO3596">
        <v>0.16</v>
      </c>
      <c r="BP3596">
        <v>1.96</v>
      </c>
      <c r="BQ3596">
        <v>-1.46</v>
      </c>
      <c r="BR3596">
        <v>0.27</v>
      </c>
      <c r="BS3596">
        <v>1.36</v>
      </c>
      <c r="BT3596">
        <v>0.76</v>
      </c>
      <c r="BU3596">
        <v>2.08</v>
      </c>
      <c r="BV3596">
        <v>0.96</v>
      </c>
      <c r="BW3596">
        <v>1.1299999999999999</v>
      </c>
      <c r="BX3596">
        <v>2.7</v>
      </c>
      <c r="BY3596">
        <v>1.34</v>
      </c>
      <c r="BZ3596">
        <v>-0.08</v>
      </c>
      <c r="CA3596">
        <v>1.82</v>
      </c>
      <c r="CB3596">
        <v>1.39</v>
      </c>
      <c r="CC3596">
        <v>1.62</v>
      </c>
      <c r="CD3596">
        <v>-0.34</v>
      </c>
      <c r="CE3596">
        <v>0.46</v>
      </c>
      <c r="CF3596">
        <v>1.1399999999999999</v>
      </c>
      <c r="CG3596">
        <v>0</v>
      </c>
      <c r="CH3596">
        <v>0.44</v>
      </c>
      <c r="CI3596">
        <v>0</v>
      </c>
      <c r="CJ3596">
        <v>5.0999999999999996</v>
      </c>
      <c r="CK3596">
        <v>97</v>
      </c>
      <c r="CL3596">
        <v>-0.68</v>
      </c>
      <c r="CM3596">
        <v>96</v>
      </c>
      <c r="CN3596">
        <v>-0.37</v>
      </c>
      <c r="CO3596">
        <v>95</v>
      </c>
      <c r="CP3596">
        <v>4</v>
      </c>
      <c r="CQ3596">
        <v>98</v>
      </c>
      <c r="CR3596">
        <v>0</v>
      </c>
      <c r="CS3596">
        <v>0</v>
      </c>
      <c r="CT3596">
        <v>13.2</v>
      </c>
      <c r="CU3596">
        <v>95</v>
      </c>
      <c r="CV3596">
        <v>0.28999999999999998</v>
      </c>
      <c r="CW3596">
        <v>29</v>
      </c>
      <c r="CX3596" t="s">
        <v>543</v>
      </c>
    </row>
    <row r="3597" spans="1:102" x14ac:dyDescent="0.3">
      <c r="A3597" t="str">
        <f>HYPERLINK("https://webapp.icbf.com/v2/app/bull-search/view/69091846","HCB")</f>
        <v>HCB</v>
      </c>
      <c r="B3597" t="s">
        <v>14293</v>
      </c>
      <c r="C3597" t="s">
        <v>14294</v>
      </c>
      <c r="D3597" s="1">
        <v>34791</v>
      </c>
      <c r="E3597" t="s">
        <v>92</v>
      </c>
      <c r="F3597">
        <v>100</v>
      </c>
      <c r="G3597" t="s">
        <v>93</v>
      </c>
      <c r="H3597">
        <v>-48.28</v>
      </c>
      <c r="I3597">
        <v>50</v>
      </c>
      <c r="J3597">
        <v>24.94</v>
      </c>
      <c r="K3597">
        <v>74</v>
      </c>
      <c r="L3597">
        <v>-63.45</v>
      </c>
      <c r="M3597">
        <v>36</v>
      </c>
      <c r="N3597">
        <v>1.41</v>
      </c>
      <c r="O3597">
        <v>33</v>
      </c>
      <c r="P3597">
        <v>-5.8</v>
      </c>
      <c r="Q3597">
        <v>48</v>
      </c>
      <c r="R3597">
        <v>-15.37</v>
      </c>
      <c r="S3597">
        <v>42</v>
      </c>
      <c r="T3597">
        <v>14.42</v>
      </c>
      <c r="U3597">
        <v>50</v>
      </c>
      <c r="V3597">
        <v>-4.43</v>
      </c>
      <c r="W3597">
        <v>25</v>
      </c>
      <c r="X3597" t="s">
        <v>94</v>
      </c>
      <c r="Y3597" t="s">
        <v>95</v>
      </c>
      <c r="Z3597" t="s">
        <v>96</v>
      </c>
      <c r="AA3597" t="s">
        <v>954</v>
      </c>
      <c r="AB3597" t="s">
        <v>14295</v>
      </c>
      <c r="AC3597">
        <v>15</v>
      </c>
      <c r="AD3597">
        <v>9</v>
      </c>
      <c r="AE3597">
        <v>74</v>
      </c>
      <c r="AF3597">
        <v>154.80000000000001</v>
      </c>
      <c r="AG3597">
        <v>6.28</v>
      </c>
      <c r="AH3597">
        <v>4.3899999999999997</v>
      </c>
      <c r="AI3597">
        <v>0</v>
      </c>
      <c r="AJ3597">
        <v>-0.01</v>
      </c>
      <c r="AK3597">
        <v>36</v>
      </c>
      <c r="AL3597">
        <v>5</v>
      </c>
      <c r="AM3597">
        <v>4</v>
      </c>
      <c r="AN3597">
        <v>3.47</v>
      </c>
      <c r="AO3597">
        <v>-1.59</v>
      </c>
      <c r="AP3597">
        <v>1</v>
      </c>
      <c r="AQ3597">
        <v>1</v>
      </c>
      <c r="AR3597">
        <v>7.96</v>
      </c>
      <c r="AS3597">
        <v>26</v>
      </c>
      <c r="AT3597">
        <v>3.61</v>
      </c>
      <c r="AU3597">
        <v>36</v>
      </c>
      <c r="AV3597">
        <v>-0.59</v>
      </c>
      <c r="AW3597">
        <v>33</v>
      </c>
      <c r="AX3597">
        <v>-0.02</v>
      </c>
      <c r="AY3597">
        <v>40</v>
      </c>
      <c r="AZ3597">
        <v>6.16</v>
      </c>
      <c r="BA3597">
        <v>26</v>
      </c>
      <c r="BB3597">
        <v>4.6500000000000004</v>
      </c>
      <c r="BC3597">
        <v>30</v>
      </c>
      <c r="BD3597">
        <v>0.05</v>
      </c>
      <c r="BE3597">
        <v>0.1</v>
      </c>
      <c r="BF3597">
        <v>0.08</v>
      </c>
      <c r="BG3597">
        <v>50</v>
      </c>
      <c r="BH3597">
        <v>-0.03</v>
      </c>
      <c r="BI3597">
        <v>10.81</v>
      </c>
      <c r="BJ3597">
        <v>0</v>
      </c>
      <c r="BK3597">
        <v>0</v>
      </c>
      <c r="BL3597">
        <v>-0.09</v>
      </c>
      <c r="BM3597">
        <v>-0.19</v>
      </c>
      <c r="BN3597">
        <v>-0.06</v>
      </c>
      <c r="BO3597">
        <v>0.11</v>
      </c>
      <c r="BP3597">
        <v>1.39</v>
      </c>
      <c r="BQ3597">
        <v>-1.19</v>
      </c>
      <c r="BR3597">
        <v>0.45</v>
      </c>
      <c r="BS3597">
        <v>-1.1200000000000001</v>
      </c>
      <c r="BT3597">
        <v>-0.82</v>
      </c>
      <c r="BU3597">
        <v>-0.83</v>
      </c>
      <c r="BV3597">
        <v>0.04</v>
      </c>
      <c r="BW3597">
        <v>0.01</v>
      </c>
      <c r="BX3597">
        <v>-1.0900000000000001</v>
      </c>
      <c r="BY3597">
        <v>0.28000000000000003</v>
      </c>
      <c r="BZ3597">
        <v>0.02</v>
      </c>
      <c r="CA3597">
        <v>-0.37</v>
      </c>
      <c r="CB3597">
        <v>0.08</v>
      </c>
      <c r="CC3597">
        <v>-1.1100000000000001</v>
      </c>
      <c r="CD3597">
        <v>0.04</v>
      </c>
      <c r="CE3597">
        <v>0.04</v>
      </c>
      <c r="CF3597">
        <v>-0.36</v>
      </c>
      <c r="CG3597">
        <v>0</v>
      </c>
      <c r="CH3597">
        <v>0.27</v>
      </c>
      <c r="CI3597">
        <v>0</v>
      </c>
      <c r="CJ3597">
        <v>-0.2</v>
      </c>
      <c r="CK3597">
        <v>50</v>
      </c>
      <c r="CL3597">
        <v>-0.49</v>
      </c>
      <c r="CM3597">
        <v>45</v>
      </c>
      <c r="CN3597">
        <v>-0.05</v>
      </c>
      <c r="CO3597">
        <v>42</v>
      </c>
      <c r="CP3597">
        <v>-7</v>
      </c>
      <c r="CQ3597">
        <v>52</v>
      </c>
      <c r="CR3597">
        <v>0</v>
      </c>
      <c r="CS3597">
        <v>0</v>
      </c>
      <c r="CT3597">
        <v>-5.7</v>
      </c>
      <c r="CU3597">
        <v>50</v>
      </c>
      <c r="CV3597">
        <v>0.14000000000000001</v>
      </c>
      <c r="CW3597">
        <v>13</v>
      </c>
      <c r="CX3597" t="s">
        <v>166</v>
      </c>
    </row>
    <row r="3598" spans="1:102" x14ac:dyDescent="0.3">
      <c r="A3598" t="str">
        <f>HYPERLINK("https://webapp.icbf.com/v2/app/bull-search/view/132507919","BUB")</f>
        <v>BUB</v>
      </c>
      <c r="B3598" t="s">
        <v>8715</v>
      </c>
      <c r="C3598" t="s">
        <v>8716</v>
      </c>
      <c r="D3598" s="1">
        <v>35397</v>
      </c>
      <c r="E3598" t="s">
        <v>92</v>
      </c>
      <c r="F3598">
        <v>100</v>
      </c>
      <c r="G3598" t="s">
        <v>109</v>
      </c>
      <c r="H3598">
        <v>-48.29</v>
      </c>
      <c r="I3598">
        <v>84</v>
      </c>
      <c r="J3598">
        <v>26.71</v>
      </c>
      <c r="K3598">
        <v>94</v>
      </c>
      <c r="L3598">
        <v>-84.97</v>
      </c>
      <c r="M3598">
        <v>87</v>
      </c>
      <c r="N3598">
        <v>3.23</v>
      </c>
      <c r="O3598">
        <v>71</v>
      </c>
      <c r="P3598">
        <v>-4.3600000000000003</v>
      </c>
      <c r="Q3598">
        <v>68</v>
      </c>
      <c r="R3598">
        <v>-6.06</v>
      </c>
      <c r="S3598">
        <v>79</v>
      </c>
      <c r="T3598">
        <v>14.57</v>
      </c>
      <c r="U3598">
        <v>69</v>
      </c>
      <c r="V3598">
        <v>2.59</v>
      </c>
      <c r="W3598">
        <v>68</v>
      </c>
      <c r="X3598" t="s">
        <v>747</v>
      </c>
      <c r="Y3598" t="s">
        <v>95</v>
      </c>
      <c r="Z3598" t="s">
        <v>96</v>
      </c>
      <c r="AA3598" t="s">
        <v>1278</v>
      </c>
      <c r="AB3598" t="s">
        <v>8717</v>
      </c>
      <c r="AC3598">
        <v>0</v>
      </c>
      <c r="AD3598">
        <v>0</v>
      </c>
      <c r="AE3598">
        <v>94</v>
      </c>
      <c r="AF3598">
        <v>119.76</v>
      </c>
      <c r="AG3598">
        <v>4.2</v>
      </c>
      <c r="AH3598">
        <v>4.8899999999999997</v>
      </c>
      <c r="AI3598">
        <v>-0.01</v>
      </c>
      <c r="AJ3598">
        <v>0.01</v>
      </c>
      <c r="AK3598">
        <v>87</v>
      </c>
      <c r="AL3598">
        <v>0</v>
      </c>
      <c r="AM3598">
        <v>0</v>
      </c>
      <c r="AN3598">
        <v>4.3600000000000003</v>
      </c>
      <c r="AO3598">
        <v>-2.42</v>
      </c>
      <c r="AP3598">
        <v>7</v>
      </c>
      <c r="AQ3598">
        <v>0</v>
      </c>
      <c r="AR3598">
        <v>9.0399999999999991</v>
      </c>
      <c r="AS3598">
        <v>63</v>
      </c>
      <c r="AT3598">
        <v>4.17</v>
      </c>
      <c r="AU3598">
        <v>92</v>
      </c>
      <c r="AV3598">
        <v>-2.29</v>
      </c>
      <c r="AW3598">
        <v>69</v>
      </c>
      <c r="AX3598">
        <v>0.69</v>
      </c>
      <c r="AY3598">
        <v>63</v>
      </c>
      <c r="AZ3598">
        <v>6.23</v>
      </c>
      <c r="BA3598">
        <v>55</v>
      </c>
      <c r="BB3598">
        <v>4.8099999999999996</v>
      </c>
      <c r="BC3598">
        <v>57</v>
      </c>
      <c r="BD3598">
        <v>0.02</v>
      </c>
      <c r="BE3598">
        <v>0.04</v>
      </c>
      <c r="BF3598">
        <v>0.03</v>
      </c>
      <c r="BG3598">
        <v>92</v>
      </c>
      <c r="BH3598">
        <v>0.05</v>
      </c>
      <c r="BI3598">
        <v>-2.56</v>
      </c>
      <c r="BJ3598">
        <v>0</v>
      </c>
      <c r="BK3598">
        <v>0</v>
      </c>
      <c r="BL3598">
        <v>0.14000000000000001</v>
      </c>
      <c r="BM3598">
        <v>0.13</v>
      </c>
      <c r="BN3598">
        <v>-0.35</v>
      </c>
      <c r="BO3598">
        <v>-0.3</v>
      </c>
      <c r="BP3598">
        <v>1.1299999999999999</v>
      </c>
      <c r="BQ3598">
        <v>1.48</v>
      </c>
      <c r="BR3598">
        <v>0.99</v>
      </c>
      <c r="BS3598">
        <v>-2.29</v>
      </c>
      <c r="BT3598">
        <v>-0.88</v>
      </c>
      <c r="BU3598">
        <v>1</v>
      </c>
      <c r="BV3598">
        <v>0.25</v>
      </c>
      <c r="BW3598">
        <v>0.87</v>
      </c>
      <c r="BX3598">
        <v>0.67</v>
      </c>
      <c r="BY3598">
        <v>0.87</v>
      </c>
      <c r="BZ3598">
        <v>0.79</v>
      </c>
      <c r="CA3598">
        <v>0.27</v>
      </c>
      <c r="CB3598">
        <v>0.85</v>
      </c>
      <c r="CC3598">
        <v>-1.23</v>
      </c>
      <c r="CD3598">
        <v>0.4</v>
      </c>
      <c r="CE3598">
        <v>0.43</v>
      </c>
      <c r="CF3598">
        <v>0.15</v>
      </c>
      <c r="CG3598">
        <v>0</v>
      </c>
      <c r="CH3598">
        <v>1.03</v>
      </c>
      <c r="CI3598">
        <v>0</v>
      </c>
      <c r="CJ3598">
        <v>-0.2</v>
      </c>
      <c r="CK3598">
        <v>69</v>
      </c>
      <c r="CL3598">
        <v>-0.88</v>
      </c>
      <c r="CM3598">
        <v>67</v>
      </c>
      <c r="CN3598">
        <v>-0.5</v>
      </c>
      <c r="CO3598">
        <v>65</v>
      </c>
      <c r="CP3598">
        <v>-5.7</v>
      </c>
      <c r="CQ3598">
        <v>70</v>
      </c>
      <c r="CR3598">
        <v>0</v>
      </c>
      <c r="CS3598">
        <v>0</v>
      </c>
      <c r="CT3598">
        <v>-5.9</v>
      </c>
      <c r="CU3598">
        <v>69</v>
      </c>
      <c r="CV3598">
        <v>0.17</v>
      </c>
      <c r="CW3598">
        <v>39</v>
      </c>
      <c r="CX3598" t="s">
        <v>8718</v>
      </c>
    </row>
    <row r="3599" spans="1:102" x14ac:dyDescent="0.3">
      <c r="A3599" t="str">
        <f>HYPERLINK("https://webapp.icbf.com/v2/app/bull-search/view/69092368","PBG")</f>
        <v>PBG</v>
      </c>
      <c r="B3599" t="s">
        <v>14796</v>
      </c>
      <c r="C3599" t="s">
        <v>14797</v>
      </c>
      <c r="D3599" s="1">
        <v>33212</v>
      </c>
      <c r="E3599" t="s">
        <v>92</v>
      </c>
      <c r="F3599">
        <v>100</v>
      </c>
      <c r="G3599" t="s">
        <v>109</v>
      </c>
      <c r="H3599">
        <v>-48.4</v>
      </c>
      <c r="I3599">
        <v>61</v>
      </c>
      <c r="J3599">
        <v>-30.84</v>
      </c>
      <c r="K3599">
        <v>72</v>
      </c>
      <c r="L3599">
        <v>-2.94</v>
      </c>
      <c r="M3599">
        <v>68</v>
      </c>
      <c r="N3599">
        <v>0.22</v>
      </c>
      <c r="O3599">
        <v>33</v>
      </c>
      <c r="P3599">
        <v>-12.79</v>
      </c>
      <c r="Q3599">
        <v>54</v>
      </c>
      <c r="R3599">
        <v>-12.06</v>
      </c>
      <c r="S3599">
        <v>57</v>
      </c>
      <c r="T3599">
        <v>10.199999999999999</v>
      </c>
      <c r="U3599">
        <v>54</v>
      </c>
      <c r="V3599">
        <v>-0.19</v>
      </c>
      <c r="W3599">
        <v>13</v>
      </c>
      <c r="X3599" t="s">
        <v>276</v>
      </c>
      <c r="Y3599" t="s">
        <v>95</v>
      </c>
      <c r="Z3599" t="s">
        <v>96</v>
      </c>
      <c r="AA3599" t="s">
        <v>14798</v>
      </c>
      <c r="AB3599" t="s">
        <v>14799</v>
      </c>
      <c r="AC3599">
        <v>0</v>
      </c>
      <c r="AD3599">
        <v>0</v>
      </c>
      <c r="AE3599">
        <v>72</v>
      </c>
      <c r="AF3599">
        <v>-17.309999999999999</v>
      </c>
      <c r="AG3599">
        <v>-5.03</v>
      </c>
      <c r="AH3599">
        <v>-3.73</v>
      </c>
      <c r="AI3599">
        <v>-7.0000000000000007E-2</v>
      </c>
      <c r="AJ3599">
        <v>-0.05</v>
      </c>
      <c r="AK3599">
        <v>68</v>
      </c>
      <c r="AL3599">
        <v>0</v>
      </c>
      <c r="AM3599">
        <v>0</v>
      </c>
      <c r="AN3599">
        <v>-2.63</v>
      </c>
      <c r="AO3599">
        <v>-2.9</v>
      </c>
      <c r="AP3599">
        <v>7</v>
      </c>
      <c r="AQ3599">
        <v>0</v>
      </c>
      <c r="AR3599">
        <v>6.44</v>
      </c>
      <c r="AS3599">
        <v>20</v>
      </c>
      <c r="AT3599">
        <v>3</v>
      </c>
      <c r="AU3599">
        <v>38</v>
      </c>
      <c r="AV3599">
        <v>-0.22</v>
      </c>
      <c r="AW3599">
        <v>37</v>
      </c>
      <c r="AX3599">
        <v>-0.54</v>
      </c>
      <c r="AY3599">
        <v>37</v>
      </c>
      <c r="AZ3599">
        <v>7.21</v>
      </c>
      <c r="BA3599">
        <v>15</v>
      </c>
      <c r="BB3599">
        <v>6.07</v>
      </c>
      <c r="BC3599">
        <v>19</v>
      </c>
      <c r="BD3599">
        <v>0.05</v>
      </c>
      <c r="BE3599">
        <v>0.06</v>
      </c>
      <c r="BF3599">
        <v>0.08</v>
      </c>
      <c r="BG3599">
        <v>86</v>
      </c>
      <c r="BH3599">
        <v>7.0000000000000007E-2</v>
      </c>
      <c r="BI3599">
        <v>8.6999999999999993</v>
      </c>
      <c r="BJ3599">
        <v>0</v>
      </c>
      <c r="BK3599">
        <v>0</v>
      </c>
      <c r="BL3599">
        <v>-0.51</v>
      </c>
      <c r="BM3599">
        <v>0.99</v>
      </c>
      <c r="BN3599">
        <v>-0.06</v>
      </c>
      <c r="BO3599">
        <v>-1.28</v>
      </c>
      <c r="BP3599">
        <v>-0.28999999999999998</v>
      </c>
      <c r="BQ3599">
        <v>-1.03</v>
      </c>
      <c r="BR3599">
        <v>-0.64</v>
      </c>
      <c r="BS3599">
        <v>0.28999999999999998</v>
      </c>
      <c r="BT3599">
        <v>-1.04</v>
      </c>
      <c r="BU3599">
        <v>-2.44</v>
      </c>
      <c r="BV3599">
        <v>-1.78</v>
      </c>
      <c r="BW3599">
        <v>-2.2599999999999998</v>
      </c>
      <c r="BX3599">
        <v>-2.65</v>
      </c>
      <c r="BY3599">
        <v>-3.12</v>
      </c>
      <c r="BZ3599">
        <v>1.52</v>
      </c>
      <c r="CA3599">
        <v>-1.99</v>
      </c>
      <c r="CB3599">
        <v>-2.76</v>
      </c>
      <c r="CC3599">
        <v>0.38</v>
      </c>
      <c r="CD3599">
        <v>0.15</v>
      </c>
      <c r="CE3599">
        <v>0.08</v>
      </c>
      <c r="CF3599">
        <v>0.55000000000000004</v>
      </c>
      <c r="CG3599">
        <v>0</v>
      </c>
      <c r="CH3599">
        <v>-0.64</v>
      </c>
      <c r="CI3599">
        <v>0</v>
      </c>
      <c r="CJ3599">
        <v>-6.6</v>
      </c>
      <c r="CK3599">
        <v>57</v>
      </c>
      <c r="CL3599">
        <v>-0.38</v>
      </c>
      <c r="CM3599">
        <v>50</v>
      </c>
      <c r="CN3599">
        <v>-0.09</v>
      </c>
      <c r="CO3599">
        <v>44</v>
      </c>
      <c r="CP3599">
        <v>-5.4</v>
      </c>
      <c r="CQ3599">
        <v>60</v>
      </c>
      <c r="CR3599">
        <v>0</v>
      </c>
      <c r="CS3599">
        <v>0</v>
      </c>
      <c r="CT3599">
        <v>0</v>
      </c>
      <c r="CU3599">
        <v>54</v>
      </c>
      <c r="CV3599">
        <v>-0.05</v>
      </c>
      <c r="CW3599">
        <v>14</v>
      </c>
      <c r="CX3599" t="s">
        <v>14800</v>
      </c>
    </row>
    <row r="3600" spans="1:102" x14ac:dyDescent="0.3">
      <c r="A3600" t="str">
        <f>HYPERLINK("https://webapp.icbf.com/v2/app/bull-search/view/462674118","RZK")</f>
        <v>RZK</v>
      </c>
      <c r="B3600" t="s">
        <v>8181</v>
      </c>
      <c r="C3600" t="s">
        <v>8182</v>
      </c>
      <c r="D3600" s="1">
        <v>36526</v>
      </c>
      <c r="E3600" t="s">
        <v>197</v>
      </c>
      <c r="F3600">
        <v>0</v>
      </c>
      <c r="G3600" t="s">
        <v>116</v>
      </c>
      <c r="H3600">
        <v>-48.43</v>
      </c>
      <c r="I3600">
        <v>32</v>
      </c>
      <c r="J3600">
        <v>-17.239999999999998</v>
      </c>
      <c r="K3600">
        <v>45</v>
      </c>
      <c r="L3600">
        <v>-2.81</v>
      </c>
      <c r="M3600">
        <v>17</v>
      </c>
      <c r="N3600">
        <v>-42.86</v>
      </c>
      <c r="O3600">
        <v>43</v>
      </c>
      <c r="P3600">
        <v>13.62</v>
      </c>
      <c r="Q3600">
        <v>60</v>
      </c>
      <c r="R3600">
        <v>1.55</v>
      </c>
      <c r="S3600">
        <v>17</v>
      </c>
      <c r="T3600">
        <v>4.5</v>
      </c>
      <c r="U3600">
        <v>26</v>
      </c>
      <c r="V3600">
        <v>-5.19</v>
      </c>
      <c r="W3600">
        <v>4</v>
      </c>
      <c r="X3600" t="s">
        <v>94</v>
      </c>
      <c r="Y3600" t="s">
        <v>95</v>
      </c>
      <c r="Z3600">
        <v>0</v>
      </c>
      <c r="AA3600" t="s">
        <v>1672</v>
      </c>
      <c r="AB3600" t="s">
        <v>8183</v>
      </c>
      <c r="AC3600">
        <v>3</v>
      </c>
      <c r="AD3600">
        <v>1</v>
      </c>
      <c r="AE3600">
        <v>45</v>
      </c>
      <c r="AF3600">
        <v>-189.56</v>
      </c>
      <c r="AG3600">
        <v>-3.77</v>
      </c>
      <c r="AH3600">
        <v>-4.5</v>
      </c>
      <c r="AI3600">
        <v>0.06</v>
      </c>
      <c r="AJ3600">
        <v>0.03</v>
      </c>
      <c r="AK3600">
        <v>17</v>
      </c>
      <c r="AL3600">
        <v>3</v>
      </c>
      <c r="AM3600">
        <v>1</v>
      </c>
      <c r="AN3600">
        <v>0.46</v>
      </c>
      <c r="AO3600">
        <v>0.24</v>
      </c>
      <c r="AP3600">
        <v>17</v>
      </c>
      <c r="AQ3600">
        <v>1</v>
      </c>
      <c r="AR3600">
        <v>8.98</v>
      </c>
      <c r="AS3600">
        <v>24</v>
      </c>
      <c r="AT3600">
        <v>7.42</v>
      </c>
      <c r="AU3600">
        <v>31</v>
      </c>
      <c r="AV3600">
        <v>-0.91</v>
      </c>
      <c r="AW3600">
        <v>70</v>
      </c>
      <c r="AX3600">
        <v>0.03</v>
      </c>
      <c r="AY3600">
        <v>29</v>
      </c>
      <c r="AZ3600">
        <v>6.08</v>
      </c>
      <c r="BA3600">
        <v>10</v>
      </c>
      <c r="BB3600">
        <v>3.83</v>
      </c>
      <c r="BC3600">
        <v>10</v>
      </c>
      <c r="BD3600">
        <v>0.02</v>
      </c>
      <c r="BE3600">
        <v>-0.01</v>
      </c>
      <c r="BF3600">
        <v>-0.05</v>
      </c>
      <c r="BG3600">
        <v>22</v>
      </c>
      <c r="BH3600">
        <v>-0.15</v>
      </c>
      <c r="BI3600">
        <v>-0.62</v>
      </c>
      <c r="BJ3600">
        <v>0</v>
      </c>
      <c r="BK3600">
        <v>0</v>
      </c>
      <c r="BL3600">
        <v>-0.79</v>
      </c>
      <c r="BM3600">
        <v>0.88</v>
      </c>
      <c r="BN3600">
        <v>-0.68</v>
      </c>
      <c r="BO3600">
        <v>-1.1499999999999999</v>
      </c>
      <c r="BP3600">
        <v>0.35</v>
      </c>
      <c r="BQ3600">
        <v>0.2</v>
      </c>
      <c r="BR3600">
        <v>-0.02</v>
      </c>
      <c r="BS3600">
        <v>0.09</v>
      </c>
      <c r="BT3600">
        <v>-0.21</v>
      </c>
      <c r="BU3600">
        <v>-0.83</v>
      </c>
      <c r="BV3600">
        <v>-1.21</v>
      </c>
      <c r="BW3600">
        <v>-1.1299999999999999</v>
      </c>
      <c r="BX3600">
        <v>-0.52</v>
      </c>
      <c r="BY3600">
        <v>-1.03</v>
      </c>
      <c r="BZ3600">
        <v>0.03</v>
      </c>
      <c r="CA3600">
        <v>-1.1499999999999999</v>
      </c>
      <c r="CB3600">
        <v>-1.1399999999999999</v>
      </c>
      <c r="CC3600">
        <v>-0.72</v>
      </c>
      <c r="CD3600">
        <v>1.1299999999999999</v>
      </c>
      <c r="CE3600">
        <v>-1.1399999999999999</v>
      </c>
      <c r="CF3600">
        <v>-0.7</v>
      </c>
      <c r="CG3600">
        <v>0</v>
      </c>
      <c r="CH3600">
        <v>-0.94</v>
      </c>
      <c r="CI3600">
        <v>0</v>
      </c>
      <c r="CJ3600">
        <v>7.2</v>
      </c>
      <c r="CK3600">
        <v>64</v>
      </c>
      <c r="CL3600">
        <v>0.31</v>
      </c>
      <c r="CM3600">
        <v>59</v>
      </c>
      <c r="CN3600">
        <v>0.03</v>
      </c>
      <c r="CO3600">
        <v>56</v>
      </c>
      <c r="CP3600">
        <v>5.6</v>
      </c>
      <c r="CQ3600">
        <v>36</v>
      </c>
      <c r="CR3600">
        <v>0</v>
      </c>
      <c r="CS3600">
        <v>0</v>
      </c>
      <c r="CT3600">
        <v>7.7</v>
      </c>
      <c r="CU3600">
        <v>26</v>
      </c>
      <c r="CV3600">
        <v>-0.05</v>
      </c>
      <c r="CW3600">
        <v>17</v>
      </c>
      <c r="CX3600" t="s">
        <v>8184</v>
      </c>
    </row>
    <row r="3601" spans="1:102" x14ac:dyDescent="0.3">
      <c r="A3601" t="str">
        <f>HYPERLINK("https://webapp.icbf.com/v2/app/bull-search/view/77856169","LDG")</f>
        <v>LDG</v>
      </c>
      <c r="B3601" t="s">
        <v>3902</v>
      </c>
      <c r="C3601" t="s">
        <v>3903</v>
      </c>
      <c r="D3601" s="1">
        <v>33789</v>
      </c>
      <c r="E3601" t="s">
        <v>92</v>
      </c>
      <c r="F3601">
        <v>100</v>
      </c>
      <c r="G3601" t="s">
        <v>93</v>
      </c>
      <c r="H3601">
        <v>-48.58</v>
      </c>
      <c r="I3601">
        <v>59</v>
      </c>
      <c r="J3601">
        <v>-9.34</v>
      </c>
      <c r="K3601">
        <v>70</v>
      </c>
      <c r="L3601">
        <v>-24.27</v>
      </c>
      <c r="M3601">
        <v>51</v>
      </c>
      <c r="N3601">
        <v>-1.83</v>
      </c>
      <c r="O3601">
        <v>54</v>
      </c>
      <c r="P3601">
        <v>-11.62</v>
      </c>
      <c r="Q3601">
        <v>70</v>
      </c>
      <c r="R3601">
        <v>-12.5</v>
      </c>
      <c r="S3601">
        <v>53</v>
      </c>
      <c r="T3601">
        <v>15.45</v>
      </c>
      <c r="U3601">
        <v>66</v>
      </c>
      <c r="V3601">
        <v>-4.47</v>
      </c>
      <c r="W3601">
        <v>29</v>
      </c>
      <c r="X3601" t="s">
        <v>110</v>
      </c>
      <c r="Y3601" t="s">
        <v>95</v>
      </c>
      <c r="Z3601" t="s">
        <v>96</v>
      </c>
      <c r="AA3601" t="s">
        <v>161</v>
      </c>
      <c r="AB3601" t="s">
        <v>3904</v>
      </c>
      <c r="AC3601">
        <v>14</v>
      </c>
      <c r="AD3601">
        <v>6</v>
      </c>
      <c r="AE3601">
        <v>70</v>
      </c>
      <c r="AF3601">
        <v>-133.61000000000001</v>
      </c>
      <c r="AG3601">
        <v>-5.04</v>
      </c>
      <c r="AH3601">
        <v>-1.85</v>
      </c>
      <c r="AI3601">
        <v>0</v>
      </c>
      <c r="AJ3601">
        <v>0.05</v>
      </c>
      <c r="AK3601">
        <v>51</v>
      </c>
      <c r="AL3601">
        <v>27</v>
      </c>
      <c r="AM3601">
        <v>11</v>
      </c>
      <c r="AN3601">
        <v>1.75</v>
      </c>
      <c r="AO3601">
        <v>-0.18</v>
      </c>
      <c r="AP3601">
        <v>28</v>
      </c>
      <c r="AQ3601">
        <v>7</v>
      </c>
      <c r="AR3601">
        <v>7.41</v>
      </c>
      <c r="AS3601">
        <v>37</v>
      </c>
      <c r="AT3601">
        <v>3.35</v>
      </c>
      <c r="AU3601">
        <v>57</v>
      </c>
      <c r="AV3601">
        <v>-0.62</v>
      </c>
      <c r="AW3601">
        <v>58</v>
      </c>
      <c r="AX3601">
        <v>1.06</v>
      </c>
      <c r="AY3601">
        <v>64</v>
      </c>
      <c r="AZ3601">
        <v>7.54</v>
      </c>
      <c r="BA3601">
        <v>35</v>
      </c>
      <c r="BB3601">
        <v>5.17</v>
      </c>
      <c r="BC3601">
        <v>43</v>
      </c>
      <c r="BD3601">
        <v>0.02</v>
      </c>
      <c r="BE3601">
        <v>0.06</v>
      </c>
      <c r="BF3601">
        <v>0.14000000000000001</v>
      </c>
      <c r="BG3601">
        <v>66</v>
      </c>
      <c r="BH3601">
        <v>-0.09</v>
      </c>
      <c r="BI3601">
        <v>4.0199999999999996</v>
      </c>
      <c r="BJ3601">
        <v>0</v>
      </c>
      <c r="BK3601">
        <v>0</v>
      </c>
      <c r="BL3601">
        <v>0.23</v>
      </c>
      <c r="BM3601">
        <v>-0.78</v>
      </c>
      <c r="BN3601">
        <v>-0.23</v>
      </c>
      <c r="BO3601">
        <v>0.28000000000000003</v>
      </c>
      <c r="BP3601">
        <v>0.5</v>
      </c>
      <c r="BQ3601">
        <v>-1.02</v>
      </c>
      <c r="BR3601">
        <v>-0.95</v>
      </c>
      <c r="BS3601">
        <v>0.21</v>
      </c>
      <c r="BT3601">
        <v>1.0900000000000001</v>
      </c>
      <c r="BU3601">
        <v>-0.76</v>
      </c>
      <c r="BV3601">
        <v>0.26</v>
      </c>
      <c r="BW3601">
        <v>0.55000000000000004</v>
      </c>
      <c r="BX3601">
        <v>0.04</v>
      </c>
      <c r="BY3601">
        <v>-1.18</v>
      </c>
      <c r="BZ3601">
        <v>2.0699999999999998</v>
      </c>
      <c r="CA3601">
        <v>-0.06</v>
      </c>
      <c r="CB3601">
        <v>-0.36</v>
      </c>
      <c r="CC3601">
        <v>0.51</v>
      </c>
      <c r="CD3601">
        <v>-0.53</v>
      </c>
      <c r="CE3601">
        <v>0.22</v>
      </c>
      <c r="CF3601">
        <v>-0.19</v>
      </c>
      <c r="CG3601">
        <v>0</v>
      </c>
      <c r="CH3601">
        <v>-0.45</v>
      </c>
      <c r="CI3601">
        <v>0</v>
      </c>
      <c r="CJ3601">
        <v>-7.2</v>
      </c>
      <c r="CK3601">
        <v>72</v>
      </c>
      <c r="CL3601">
        <v>-0.28999999999999998</v>
      </c>
      <c r="CM3601">
        <v>68</v>
      </c>
      <c r="CN3601">
        <v>-0.23</v>
      </c>
      <c r="CO3601">
        <v>64</v>
      </c>
      <c r="CP3601">
        <v>-9.1999999999999993</v>
      </c>
      <c r="CQ3601">
        <v>69</v>
      </c>
      <c r="CR3601">
        <v>0</v>
      </c>
      <c r="CS3601">
        <v>0</v>
      </c>
      <c r="CT3601">
        <v>-7.1</v>
      </c>
      <c r="CU3601">
        <v>66</v>
      </c>
      <c r="CV3601">
        <v>-0.05</v>
      </c>
      <c r="CW3601">
        <v>19</v>
      </c>
      <c r="CX3601" t="s">
        <v>3905</v>
      </c>
    </row>
    <row r="3602" spans="1:102" x14ac:dyDescent="0.3">
      <c r="A3602" t="str">
        <f>HYPERLINK("https://webapp.icbf.com/v2/app/bull-search/view/77854207","S017")</f>
        <v>S017</v>
      </c>
      <c r="B3602" t="s">
        <v>6456</v>
      </c>
      <c r="C3602" t="s">
        <v>6457</v>
      </c>
      <c r="D3602" s="1">
        <v>33413</v>
      </c>
      <c r="E3602" t="s">
        <v>92</v>
      </c>
      <c r="F3602">
        <v>100</v>
      </c>
      <c r="G3602" t="s">
        <v>93</v>
      </c>
      <c r="H3602">
        <v>-48.66</v>
      </c>
      <c r="I3602">
        <v>72</v>
      </c>
      <c r="J3602">
        <v>-21.61</v>
      </c>
      <c r="K3602">
        <v>92</v>
      </c>
      <c r="L3602">
        <v>-38.99</v>
      </c>
      <c r="M3602">
        <v>61</v>
      </c>
      <c r="N3602">
        <v>6.93</v>
      </c>
      <c r="O3602">
        <v>58</v>
      </c>
      <c r="P3602">
        <v>-14.5</v>
      </c>
      <c r="Q3602">
        <v>70</v>
      </c>
      <c r="R3602">
        <v>7.1</v>
      </c>
      <c r="S3602">
        <v>65</v>
      </c>
      <c r="T3602">
        <v>17.079999999999998</v>
      </c>
      <c r="U3602">
        <v>76</v>
      </c>
      <c r="V3602">
        <v>-4.67</v>
      </c>
      <c r="W3602">
        <v>46</v>
      </c>
      <c r="X3602" t="s">
        <v>110</v>
      </c>
      <c r="Y3602" t="s">
        <v>95</v>
      </c>
      <c r="Z3602" t="s">
        <v>96</v>
      </c>
      <c r="AA3602" t="s">
        <v>161</v>
      </c>
      <c r="AB3602" t="s">
        <v>6458</v>
      </c>
      <c r="AC3602">
        <v>55</v>
      </c>
      <c r="AD3602">
        <v>27</v>
      </c>
      <c r="AE3602">
        <v>92</v>
      </c>
      <c r="AF3602">
        <v>-73.56</v>
      </c>
      <c r="AG3602">
        <v>-3.17</v>
      </c>
      <c r="AH3602">
        <v>-3.68</v>
      </c>
      <c r="AI3602">
        <v>0</v>
      </c>
      <c r="AJ3602">
        <v>-0.02</v>
      </c>
      <c r="AK3602">
        <v>61</v>
      </c>
      <c r="AL3602">
        <v>65</v>
      </c>
      <c r="AM3602">
        <v>27</v>
      </c>
      <c r="AN3602">
        <v>2.11</v>
      </c>
      <c r="AO3602">
        <v>-1</v>
      </c>
      <c r="AP3602">
        <v>6</v>
      </c>
      <c r="AQ3602">
        <v>0</v>
      </c>
      <c r="AR3602">
        <v>7.37</v>
      </c>
      <c r="AS3602">
        <v>37</v>
      </c>
      <c r="AT3602">
        <v>3.63</v>
      </c>
      <c r="AU3602">
        <v>57</v>
      </c>
      <c r="AV3602">
        <v>-1.08</v>
      </c>
      <c r="AW3602">
        <v>63</v>
      </c>
      <c r="AX3602">
        <v>-0.84</v>
      </c>
      <c r="AY3602">
        <v>67</v>
      </c>
      <c r="AZ3602">
        <v>6.3</v>
      </c>
      <c r="BA3602">
        <v>40</v>
      </c>
      <c r="BB3602">
        <v>5.0199999999999996</v>
      </c>
      <c r="BC3602">
        <v>53</v>
      </c>
      <c r="BD3602">
        <v>0.01</v>
      </c>
      <c r="BE3602">
        <v>0</v>
      </c>
      <c r="BF3602">
        <v>-0.18</v>
      </c>
      <c r="BG3602">
        <v>80</v>
      </c>
      <c r="BH3602">
        <v>-0.01</v>
      </c>
      <c r="BI3602">
        <v>13.92</v>
      </c>
      <c r="BJ3602">
        <v>17</v>
      </c>
      <c r="BK3602">
        <v>4</v>
      </c>
      <c r="BL3602">
        <v>0.73</v>
      </c>
      <c r="BM3602">
        <v>-1.72</v>
      </c>
      <c r="BN3602">
        <v>0.33</v>
      </c>
      <c r="BO3602">
        <v>1.0900000000000001</v>
      </c>
      <c r="BP3602">
        <v>1.21</v>
      </c>
      <c r="BQ3602">
        <v>-1.54</v>
      </c>
      <c r="BR3602">
        <v>-0.67</v>
      </c>
      <c r="BS3602">
        <v>0.43</v>
      </c>
      <c r="BT3602">
        <v>0.56999999999999995</v>
      </c>
      <c r="BU3602">
        <v>0.86</v>
      </c>
      <c r="BV3602">
        <v>1.36</v>
      </c>
      <c r="BW3602">
        <v>1.19</v>
      </c>
      <c r="BX3602">
        <v>1.18</v>
      </c>
      <c r="BY3602">
        <v>-0.34</v>
      </c>
      <c r="BZ3602">
        <v>0.79</v>
      </c>
      <c r="CA3602">
        <v>0.77</v>
      </c>
      <c r="CB3602">
        <v>0.85</v>
      </c>
      <c r="CC3602">
        <v>0.28999999999999998</v>
      </c>
      <c r="CD3602">
        <v>-0.76</v>
      </c>
      <c r="CE3602">
        <v>0.66</v>
      </c>
      <c r="CF3602">
        <v>0.47</v>
      </c>
      <c r="CG3602">
        <v>0</v>
      </c>
      <c r="CH3602">
        <v>-0.43</v>
      </c>
      <c r="CI3602">
        <v>0</v>
      </c>
      <c r="CJ3602">
        <v>-7.2</v>
      </c>
      <c r="CK3602">
        <v>71</v>
      </c>
      <c r="CL3602">
        <v>-0.57999999999999996</v>
      </c>
      <c r="CM3602">
        <v>67</v>
      </c>
      <c r="CN3602">
        <v>-0.27</v>
      </c>
      <c r="CO3602">
        <v>61</v>
      </c>
      <c r="CP3602">
        <v>-11.6</v>
      </c>
      <c r="CQ3602">
        <v>83</v>
      </c>
      <c r="CR3602">
        <v>0</v>
      </c>
      <c r="CS3602">
        <v>0</v>
      </c>
      <c r="CT3602">
        <v>-9.3000000000000007</v>
      </c>
      <c r="CU3602">
        <v>76</v>
      </c>
      <c r="CV3602">
        <v>0.04</v>
      </c>
      <c r="CW3602">
        <v>18</v>
      </c>
      <c r="CX3602" t="s">
        <v>113</v>
      </c>
    </row>
    <row r="3603" spans="1:102" x14ac:dyDescent="0.3">
      <c r="A3603" t="str">
        <f>HYPERLINK("https://webapp.icbf.com/v2/app/bull-search/view/514773572","TSY")</f>
        <v>TSY</v>
      </c>
      <c r="B3603" t="s">
        <v>9985</v>
      </c>
      <c r="C3603" t="s">
        <v>5408</v>
      </c>
      <c r="D3603" s="1">
        <v>36138</v>
      </c>
      <c r="E3603" t="s">
        <v>1061</v>
      </c>
      <c r="F3603">
        <v>0</v>
      </c>
      <c r="G3603" t="s">
        <v>109</v>
      </c>
      <c r="H3603">
        <v>-48.69</v>
      </c>
      <c r="I3603">
        <v>73</v>
      </c>
      <c r="J3603">
        <v>-19.29</v>
      </c>
      <c r="K3603">
        <v>84</v>
      </c>
      <c r="L3603">
        <v>12.25</v>
      </c>
      <c r="M3603">
        <v>77</v>
      </c>
      <c r="N3603">
        <v>-45.47</v>
      </c>
      <c r="O3603">
        <v>61</v>
      </c>
      <c r="P3603">
        <v>-26.38</v>
      </c>
      <c r="Q3603">
        <v>67</v>
      </c>
      <c r="R3603">
        <v>-1.45</v>
      </c>
      <c r="S3603">
        <v>51</v>
      </c>
      <c r="T3603">
        <v>29.74</v>
      </c>
      <c r="U3603">
        <v>62</v>
      </c>
      <c r="V3603">
        <v>1.91</v>
      </c>
      <c r="W3603">
        <v>45</v>
      </c>
      <c r="X3603" t="s">
        <v>94</v>
      </c>
      <c r="Y3603" t="s">
        <v>221</v>
      </c>
      <c r="Z3603">
        <v>0</v>
      </c>
      <c r="AA3603" t="s">
        <v>949</v>
      </c>
      <c r="AB3603" t="s">
        <v>9986</v>
      </c>
      <c r="AC3603">
        <v>0</v>
      </c>
      <c r="AD3603">
        <v>0</v>
      </c>
      <c r="AE3603">
        <v>84</v>
      </c>
      <c r="AF3603">
        <v>-80.680000000000007</v>
      </c>
      <c r="AG3603">
        <v>-5.7</v>
      </c>
      <c r="AH3603">
        <v>-2.5</v>
      </c>
      <c r="AI3603">
        <v>-0.05</v>
      </c>
      <c r="AJ3603">
        <v>0</v>
      </c>
      <c r="AK3603">
        <v>77</v>
      </c>
      <c r="AL3603">
        <v>0</v>
      </c>
      <c r="AM3603">
        <v>0</v>
      </c>
      <c r="AN3603">
        <v>-0.42</v>
      </c>
      <c r="AO3603">
        <v>0.56000000000000005</v>
      </c>
      <c r="AP3603">
        <v>4</v>
      </c>
      <c r="AQ3603">
        <v>1</v>
      </c>
      <c r="AR3603">
        <v>11.86</v>
      </c>
      <c r="AS3603">
        <v>44</v>
      </c>
      <c r="AT3603">
        <v>5.65</v>
      </c>
      <c r="AU3603">
        <v>70</v>
      </c>
      <c r="AV3603">
        <v>-0.7</v>
      </c>
      <c r="AW3603">
        <v>69</v>
      </c>
      <c r="AX3603">
        <v>-0.28000000000000003</v>
      </c>
      <c r="AY3603">
        <v>56</v>
      </c>
      <c r="AZ3603">
        <v>8.02</v>
      </c>
      <c r="BA3603">
        <v>34</v>
      </c>
      <c r="BB3603">
        <v>6.16</v>
      </c>
      <c r="BC3603">
        <v>40</v>
      </c>
      <c r="BD3603">
        <v>0.02</v>
      </c>
      <c r="BE3603">
        <v>0</v>
      </c>
      <c r="BF3603">
        <v>0</v>
      </c>
      <c r="BG3603">
        <v>61</v>
      </c>
      <c r="BH3603">
        <v>0</v>
      </c>
      <c r="BI3603">
        <v>-6.15</v>
      </c>
      <c r="BJ3603">
        <v>0</v>
      </c>
      <c r="BK3603">
        <v>0</v>
      </c>
      <c r="BL3603">
        <v>0</v>
      </c>
      <c r="BM3603">
        <v>0</v>
      </c>
      <c r="BN3603">
        <v>0</v>
      </c>
      <c r="BO3603">
        <v>0</v>
      </c>
      <c r="BP3603">
        <v>0</v>
      </c>
      <c r="BQ3603">
        <v>0</v>
      </c>
      <c r="BR3603">
        <v>0</v>
      </c>
      <c r="BS3603">
        <v>0</v>
      </c>
      <c r="BT3603">
        <v>0</v>
      </c>
      <c r="BU3603">
        <v>0</v>
      </c>
      <c r="BV3603">
        <v>0</v>
      </c>
      <c r="BW3603">
        <v>0</v>
      </c>
      <c r="BX3603">
        <v>0</v>
      </c>
      <c r="BY3603">
        <v>0</v>
      </c>
      <c r="BZ3603">
        <v>0</v>
      </c>
      <c r="CA3603">
        <v>0</v>
      </c>
      <c r="CB3603">
        <v>0</v>
      </c>
      <c r="CC3603">
        <v>0</v>
      </c>
      <c r="CD3603">
        <v>0</v>
      </c>
      <c r="CE3603">
        <v>0</v>
      </c>
      <c r="CF3603">
        <v>0</v>
      </c>
      <c r="CG3603">
        <v>0</v>
      </c>
      <c r="CH3603">
        <v>0</v>
      </c>
      <c r="CI3603">
        <v>0</v>
      </c>
      <c r="CJ3603">
        <v>-10.6</v>
      </c>
      <c r="CK3603">
        <v>69</v>
      </c>
      <c r="CL3603">
        <v>-1.06</v>
      </c>
      <c r="CM3603">
        <v>66</v>
      </c>
      <c r="CN3603">
        <v>-0.22</v>
      </c>
      <c r="CO3603">
        <v>63</v>
      </c>
      <c r="CP3603">
        <v>-22.6</v>
      </c>
      <c r="CQ3603">
        <v>68</v>
      </c>
      <c r="CR3603">
        <v>0</v>
      </c>
      <c r="CS3603">
        <v>0</v>
      </c>
      <c r="CT3603">
        <v>-26.4</v>
      </c>
      <c r="CU3603">
        <v>62</v>
      </c>
      <c r="CV3603">
        <v>7.0000000000000007E-2</v>
      </c>
      <c r="CW3603">
        <v>39</v>
      </c>
      <c r="CX3603" t="s">
        <v>9987</v>
      </c>
    </row>
    <row r="3604" spans="1:102" x14ac:dyDescent="0.3">
      <c r="A3604" t="str">
        <f>HYPERLINK("https://webapp.icbf.com/v2/app/bull-search/view/77854747","PJC")</f>
        <v>PJC</v>
      </c>
      <c r="B3604" t="s">
        <v>4296</v>
      </c>
      <c r="C3604" t="s">
        <v>4297</v>
      </c>
      <c r="D3604" s="1">
        <v>32883</v>
      </c>
      <c r="E3604" t="s">
        <v>92</v>
      </c>
      <c r="F3604">
        <v>100</v>
      </c>
      <c r="G3604" t="s">
        <v>93</v>
      </c>
      <c r="H3604">
        <v>-48.74</v>
      </c>
      <c r="I3604">
        <v>79</v>
      </c>
      <c r="J3604">
        <v>11.89</v>
      </c>
      <c r="K3604">
        <v>93</v>
      </c>
      <c r="L3604">
        <v>-74.73</v>
      </c>
      <c r="M3604">
        <v>74</v>
      </c>
      <c r="N3604">
        <v>36.57</v>
      </c>
      <c r="O3604">
        <v>66</v>
      </c>
      <c r="P3604">
        <v>-21.77</v>
      </c>
      <c r="Q3604">
        <v>86</v>
      </c>
      <c r="R3604">
        <v>-11.19</v>
      </c>
      <c r="S3604">
        <v>57</v>
      </c>
      <c r="T3604">
        <v>11.24</v>
      </c>
      <c r="U3604">
        <v>83</v>
      </c>
      <c r="V3604">
        <v>-0.75</v>
      </c>
      <c r="W3604">
        <v>41</v>
      </c>
      <c r="X3604" t="s">
        <v>558</v>
      </c>
      <c r="Y3604" t="s">
        <v>95</v>
      </c>
      <c r="Z3604" t="s">
        <v>96</v>
      </c>
      <c r="AA3604" t="s">
        <v>4298</v>
      </c>
      <c r="AB3604" t="s">
        <v>4299</v>
      </c>
      <c r="AC3604">
        <v>63</v>
      </c>
      <c r="AD3604">
        <v>27</v>
      </c>
      <c r="AE3604">
        <v>93</v>
      </c>
      <c r="AF3604">
        <v>51.94</v>
      </c>
      <c r="AG3604">
        <v>3.75</v>
      </c>
      <c r="AH3604">
        <v>1.49</v>
      </c>
      <c r="AI3604">
        <v>0.03</v>
      </c>
      <c r="AJ3604">
        <v>0</v>
      </c>
      <c r="AK3604">
        <v>74</v>
      </c>
      <c r="AL3604">
        <v>0</v>
      </c>
      <c r="AM3604">
        <v>0</v>
      </c>
      <c r="AN3604">
        <v>4.82</v>
      </c>
      <c r="AO3604">
        <v>-1.1299999999999999</v>
      </c>
      <c r="AP3604">
        <v>79</v>
      </c>
      <c r="AQ3604">
        <v>0</v>
      </c>
      <c r="AR3604">
        <v>3.88</v>
      </c>
      <c r="AS3604">
        <v>51</v>
      </c>
      <c r="AT3604">
        <v>1.75</v>
      </c>
      <c r="AU3604">
        <v>74</v>
      </c>
      <c r="AV3604">
        <v>-1.85</v>
      </c>
      <c r="AW3604">
        <v>68</v>
      </c>
      <c r="AX3604">
        <v>-0.52</v>
      </c>
      <c r="AY3604">
        <v>77</v>
      </c>
      <c r="AZ3604">
        <v>6.37</v>
      </c>
      <c r="BA3604">
        <v>42</v>
      </c>
      <c r="BB3604">
        <v>4.46</v>
      </c>
      <c r="BC3604">
        <v>49</v>
      </c>
      <c r="BD3604">
        <v>0.02</v>
      </c>
      <c r="BE3604">
        <v>0.06</v>
      </c>
      <c r="BF3604">
        <v>0.11</v>
      </c>
      <c r="BG3604">
        <v>70</v>
      </c>
      <c r="BH3604">
        <v>0.18</v>
      </c>
      <c r="BI3604">
        <v>23.23</v>
      </c>
      <c r="BJ3604">
        <v>2</v>
      </c>
      <c r="BK3604">
        <v>1</v>
      </c>
      <c r="BL3604">
        <v>-0.43</v>
      </c>
      <c r="BM3604">
        <v>-0.66</v>
      </c>
      <c r="BN3604">
        <v>-0.23</v>
      </c>
      <c r="BO3604">
        <v>0.45</v>
      </c>
      <c r="BP3604">
        <v>-2.2599999999999998</v>
      </c>
      <c r="BQ3604">
        <v>-0.93</v>
      </c>
      <c r="BR3604">
        <v>1.47</v>
      </c>
      <c r="BS3604">
        <v>-0.75</v>
      </c>
      <c r="BT3604">
        <v>-0.73</v>
      </c>
      <c r="BU3604">
        <v>-1.24</v>
      </c>
      <c r="BV3604">
        <v>-1.18</v>
      </c>
      <c r="BW3604">
        <v>-0.57999999999999996</v>
      </c>
      <c r="BX3604">
        <v>-2.04</v>
      </c>
      <c r="BY3604">
        <v>-0.7</v>
      </c>
      <c r="BZ3604">
        <v>1.46</v>
      </c>
      <c r="CA3604">
        <v>-1.27</v>
      </c>
      <c r="CB3604">
        <v>-1.48</v>
      </c>
      <c r="CC3604">
        <v>-0.28000000000000003</v>
      </c>
      <c r="CD3604">
        <v>-0.89</v>
      </c>
      <c r="CE3604">
        <v>-1.23</v>
      </c>
      <c r="CF3604">
        <v>-1.32</v>
      </c>
      <c r="CG3604">
        <v>0</v>
      </c>
      <c r="CH3604">
        <v>-0.98</v>
      </c>
      <c r="CI3604">
        <v>0</v>
      </c>
      <c r="CJ3604">
        <v>-10.7</v>
      </c>
      <c r="CK3604">
        <v>87</v>
      </c>
      <c r="CL3604">
        <v>-0.83</v>
      </c>
      <c r="CM3604">
        <v>85</v>
      </c>
      <c r="CN3604">
        <v>-0.24</v>
      </c>
      <c r="CO3604">
        <v>83</v>
      </c>
      <c r="CP3604">
        <v>-8.3000000000000007</v>
      </c>
      <c r="CQ3604">
        <v>85</v>
      </c>
      <c r="CR3604">
        <v>0</v>
      </c>
      <c r="CS3604">
        <v>0</v>
      </c>
      <c r="CT3604">
        <v>-1.4</v>
      </c>
      <c r="CU3604">
        <v>83</v>
      </c>
      <c r="CV3604">
        <v>0.02</v>
      </c>
      <c r="CW3604">
        <v>25</v>
      </c>
      <c r="CX3604" t="s">
        <v>707</v>
      </c>
    </row>
    <row r="3605" spans="1:102" x14ac:dyDescent="0.3">
      <c r="A3605" t="str">
        <f>HYPERLINK("https://webapp.icbf.com/v2/app/bull-search/view/1592649533","MO4454")</f>
        <v>MO4454</v>
      </c>
      <c r="B3605" t="s">
        <v>7750</v>
      </c>
      <c r="C3605" t="s">
        <v>7751</v>
      </c>
      <c r="D3605" s="1">
        <v>42287</v>
      </c>
      <c r="E3605" t="s">
        <v>140</v>
      </c>
      <c r="F3605">
        <v>0</v>
      </c>
      <c r="G3605" t="s">
        <v>435</v>
      </c>
      <c r="H3605">
        <v>-48.74</v>
      </c>
      <c r="I3605">
        <v>58</v>
      </c>
      <c r="J3605">
        <v>-17.12</v>
      </c>
      <c r="K3605">
        <v>72</v>
      </c>
      <c r="L3605">
        <v>-19.260000000000002</v>
      </c>
      <c r="M3605">
        <v>50</v>
      </c>
      <c r="N3605">
        <v>-24.86</v>
      </c>
      <c r="O3605">
        <v>78</v>
      </c>
      <c r="P3605">
        <v>16.3</v>
      </c>
      <c r="Q3605">
        <v>39</v>
      </c>
      <c r="R3605">
        <v>2.77</v>
      </c>
      <c r="S3605">
        <v>49</v>
      </c>
      <c r="T3605">
        <v>5.39</v>
      </c>
      <c r="U3605">
        <v>34</v>
      </c>
      <c r="V3605">
        <v>-11.96</v>
      </c>
      <c r="W3605">
        <v>48</v>
      </c>
      <c r="X3605" t="s">
        <v>102</v>
      </c>
      <c r="Y3605" t="s">
        <v>442</v>
      </c>
      <c r="Z3605">
        <v>0</v>
      </c>
      <c r="AA3605" t="s">
        <v>7752</v>
      </c>
      <c r="AB3605" t="s">
        <v>7753</v>
      </c>
      <c r="AC3605">
        <v>0</v>
      </c>
      <c r="AD3605">
        <v>0</v>
      </c>
      <c r="AE3605">
        <v>72</v>
      </c>
      <c r="AF3605">
        <v>-36.58</v>
      </c>
      <c r="AG3605">
        <v>-6.93</v>
      </c>
      <c r="AH3605">
        <v>-1.02</v>
      </c>
      <c r="AI3605">
        <v>-0.1</v>
      </c>
      <c r="AJ3605">
        <v>0.01</v>
      </c>
      <c r="AK3605">
        <v>50</v>
      </c>
      <c r="AL3605">
        <v>0</v>
      </c>
      <c r="AM3605">
        <v>0</v>
      </c>
      <c r="AN3605">
        <v>1.52</v>
      </c>
      <c r="AO3605">
        <v>-0.01</v>
      </c>
      <c r="AP3605">
        <v>277</v>
      </c>
      <c r="AQ3605">
        <v>0</v>
      </c>
      <c r="AR3605">
        <v>10.63</v>
      </c>
      <c r="AS3605">
        <v>63</v>
      </c>
      <c r="AT3605">
        <v>5.26</v>
      </c>
      <c r="AU3605">
        <v>87</v>
      </c>
      <c r="AV3605">
        <v>-0.2</v>
      </c>
      <c r="AW3605">
        <v>95</v>
      </c>
      <c r="AX3605">
        <v>-0.44</v>
      </c>
      <c r="AY3605">
        <v>77</v>
      </c>
      <c r="AZ3605">
        <v>6.14</v>
      </c>
      <c r="BA3605">
        <v>30</v>
      </c>
      <c r="BB3605">
        <v>3.96</v>
      </c>
      <c r="BC3605">
        <v>30</v>
      </c>
      <c r="BD3605">
        <v>0.02</v>
      </c>
      <c r="BE3605">
        <v>-0.03</v>
      </c>
      <c r="BF3605">
        <v>-0.04</v>
      </c>
      <c r="BG3605">
        <v>53</v>
      </c>
      <c r="BH3605">
        <v>-0.4</v>
      </c>
      <c r="BI3605">
        <v>-7.69</v>
      </c>
      <c r="BJ3605">
        <v>0</v>
      </c>
      <c r="BK3605">
        <v>0</v>
      </c>
      <c r="BL3605">
        <v>-0.63</v>
      </c>
      <c r="BM3605">
        <v>2.59</v>
      </c>
      <c r="BN3605">
        <v>-1.25</v>
      </c>
      <c r="BO3605">
        <v>-2.2200000000000002</v>
      </c>
      <c r="BP3605">
        <v>3.12</v>
      </c>
      <c r="BQ3605">
        <v>-1.41</v>
      </c>
      <c r="BR3605">
        <v>-1.97</v>
      </c>
      <c r="BS3605">
        <v>-0.33</v>
      </c>
      <c r="BT3605">
        <v>1.89</v>
      </c>
      <c r="BU3605">
        <v>-2.62</v>
      </c>
      <c r="BV3605">
        <v>-2.91</v>
      </c>
      <c r="BW3605">
        <v>-2.23</v>
      </c>
      <c r="BX3605">
        <v>-2.13</v>
      </c>
      <c r="BY3605">
        <v>-1.52</v>
      </c>
      <c r="BZ3605">
        <v>0.92</v>
      </c>
      <c r="CA3605">
        <v>-1.85</v>
      </c>
      <c r="CB3605">
        <v>-2.36</v>
      </c>
      <c r="CC3605">
        <v>-0.31</v>
      </c>
      <c r="CD3605">
        <v>2.88</v>
      </c>
      <c r="CE3605">
        <v>-2.13</v>
      </c>
      <c r="CF3605">
        <v>-0.84</v>
      </c>
      <c r="CG3605">
        <v>0</v>
      </c>
      <c r="CH3605">
        <v>-1.93</v>
      </c>
      <c r="CI3605">
        <v>0</v>
      </c>
      <c r="CJ3605">
        <v>7.3</v>
      </c>
      <c r="CK3605">
        <v>44</v>
      </c>
      <c r="CL3605">
        <v>0.33</v>
      </c>
      <c r="CM3605">
        <v>33</v>
      </c>
      <c r="CN3605">
        <v>-0.22</v>
      </c>
      <c r="CO3605">
        <v>32</v>
      </c>
      <c r="CP3605">
        <v>1.6</v>
      </c>
      <c r="CQ3605">
        <v>35</v>
      </c>
      <c r="CR3605">
        <v>0</v>
      </c>
      <c r="CS3605">
        <v>0</v>
      </c>
      <c r="CT3605">
        <v>6.5</v>
      </c>
      <c r="CU3605">
        <v>34</v>
      </c>
      <c r="CV3605">
        <v>0.22</v>
      </c>
      <c r="CW3605">
        <v>31</v>
      </c>
      <c r="CX3605" t="s">
        <v>6400</v>
      </c>
    </row>
    <row r="3606" spans="1:102" x14ac:dyDescent="0.3">
      <c r="A3606" t="str">
        <f>HYPERLINK("https://webapp.icbf.com/v2/app/bull-search/view/77852959","WDC")</f>
        <v>WDC</v>
      </c>
      <c r="B3606" t="s">
        <v>4152</v>
      </c>
      <c r="C3606" t="s">
        <v>4153</v>
      </c>
      <c r="D3606" s="1">
        <v>33653</v>
      </c>
      <c r="E3606" t="s">
        <v>92</v>
      </c>
      <c r="F3606">
        <v>100</v>
      </c>
      <c r="G3606" t="s">
        <v>109</v>
      </c>
      <c r="H3606">
        <v>-48.78</v>
      </c>
      <c r="I3606">
        <v>69</v>
      </c>
      <c r="J3606">
        <v>4.92</v>
      </c>
      <c r="K3606">
        <v>81</v>
      </c>
      <c r="L3606">
        <v>-65.95</v>
      </c>
      <c r="M3606">
        <v>80</v>
      </c>
      <c r="N3606">
        <v>2.52</v>
      </c>
      <c r="O3606">
        <v>49</v>
      </c>
      <c r="P3606">
        <v>5</v>
      </c>
      <c r="Q3606">
        <v>53</v>
      </c>
      <c r="R3606">
        <v>-6.94</v>
      </c>
      <c r="S3606">
        <v>60</v>
      </c>
      <c r="T3606">
        <v>9.16</v>
      </c>
      <c r="U3606">
        <v>37</v>
      </c>
      <c r="V3606">
        <v>2.5099999999999998</v>
      </c>
      <c r="W3606">
        <v>26</v>
      </c>
      <c r="X3606" t="s">
        <v>94</v>
      </c>
      <c r="Y3606" t="s">
        <v>95</v>
      </c>
      <c r="Z3606" t="s">
        <v>96</v>
      </c>
      <c r="AA3606" t="s">
        <v>1463</v>
      </c>
      <c r="AB3606" t="s">
        <v>4154</v>
      </c>
      <c r="AC3606">
        <v>0</v>
      </c>
      <c r="AD3606">
        <v>0</v>
      </c>
      <c r="AE3606">
        <v>81</v>
      </c>
      <c r="AF3606">
        <v>265.12</v>
      </c>
      <c r="AG3606">
        <v>-1.23</v>
      </c>
      <c r="AH3606">
        <v>5.33</v>
      </c>
      <c r="AI3606">
        <v>-0.18</v>
      </c>
      <c r="AJ3606">
        <v>-0.06</v>
      </c>
      <c r="AK3606">
        <v>80</v>
      </c>
      <c r="AL3606">
        <v>0</v>
      </c>
      <c r="AM3606">
        <v>0</v>
      </c>
      <c r="AN3606">
        <v>3.58</v>
      </c>
      <c r="AO3606">
        <v>-1.68</v>
      </c>
      <c r="AP3606">
        <v>3</v>
      </c>
      <c r="AQ3606">
        <v>0</v>
      </c>
      <c r="AR3606">
        <v>7.95</v>
      </c>
      <c r="AS3606">
        <v>28</v>
      </c>
      <c r="AT3606">
        <v>3.8</v>
      </c>
      <c r="AU3606">
        <v>83</v>
      </c>
      <c r="AV3606">
        <v>-0.73</v>
      </c>
      <c r="AW3606">
        <v>42</v>
      </c>
      <c r="AX3606">
        <v>-0.19</v>
      </c>
      <c r="AY3606">
        <v>40</v>
      </c>
      <c r="AZ3606">
        <v>6.14</v>
      </c>
      <c r="BA3606">
        <v>28</v>
      </c>
      <c r="BB3606">
        <v>4.37</v>
      </c>
      <c r="BC3606">
        <v>31</v>
      </c>
      <c r="BD3606">
        <v>0.04</v>
      </c>
      <c r="BE3606">
        <v>7.0000000000000007E-2</v>
      </c>
      <c r="BF3606">
        <v>-0.04</v>
      </c>
      <c r="BG3606">
        <v>87</v>
      </c>
      <c r="BH3606">
        <v>0.05</v>
      </c>
      <c r="BI3606">
        <v>-2.2999999999999998</v>
      </c>
      <c r="BJ3606">
        <v>1</v>
      </c>
      <c r="BK3606">
        <v>1</v>
      </c>
      <c r="BL3606">
        <v>-0.18</v>
      </c>
      <c r="BM3606">
        <v>-0.98</v>
      </c>
      <c r="BN3606">
        <v>-0.59</v>
      </c>
      <c r="BO3606">
        <v>0.05</v>
      </c>
      <c r="BP3606">
        <v>-0.39</v>
      </c>
      <c r="BQ3606">
        <v>-2.02</v>
      </c>
      <c r="BR3606">
        <v>-1.44</v>
      </c>
      <c r="BS3606">
        <v>0.28999999999999998</v>
      </c>
      <c r="BT3606">
        <v>2.08</v>
      </c>
      <c r="BU3606">
        <v>-0.24</v>
      </c>
      <c r="BV3606">
        <v>0.25</v>
      </c>
      <c r="BW3606">
        <v>-0.86</v>
      </c>
      <c r="BX3606">
        <v>-0.5</v>
      </c>
      <c r="BY3606">
        <v>-0.2</v>
      </c>
      <c r="BZ3606">
        <v>-0.7</v>
      </c>
      <c r="CA3606">
        <v>0.18</v>
      </c>
      <c r="CB3606">
        <v>-0.05</v>
      </c>
      <c r="CC3606">
        <v>0.41</v>
      </c>
      <c r="CD3606">
        <v>0.02</v>
      </c>
      <c r="CE3606">
        <v>0.2</v>
      </c>
      <c r="CF3606">
        <v>0.2</v>
      </c>
      <c r="CG3606">
        <v>0</v>
      </c>
      <c r="CH3606">
        <v>0.63</v>
      </c>
      <c r="CI3606">
        <v>0</v>
      </c>
      <c r="CJ3606">
        <v>4.3</v>
      </c>
      <c r="CK3606">
        <v>56</v>
      </c>
      <c r="CL3606">
        <v>-0.52</v>
      </c>
      <c r="CM3606">
        <v>51</v>
      </c>
      <c r="CN3606">
        <v>-0.39</v>
      </c>
      <c r="CO3606">
        <v>50</v>
      </c>
      <c r="CP3606">
        <v>-0.9</v>
      </c>
      <c r="CQ3606">
        <v>42</v>
      </c>
      <c r="CR3606">
        <v>0</v>
      </c>
      <c r="CS3606">
        <v>0</v>
      </c>
      <c r="CT3606">
        <v>1.4</v>
      </c>
      <c r="CU3606">
        <v>37</v>
      </c>
      <c r="CV3606">
        <v>0.2</v>
      </c>
      <c r="CW3606">
        <v>15</v>
      </c>
      <c r="CX3606" t="s">
        <v>166</v>
      </c>
    </row>
    <row r="3607" spans="1:102" x14ac:dyDescent="0.3">
      <c r="A3607" t="str">
        <f>HYPERLINK("https://webapp.icbf.com/v2/app/bull-search/view/286813771","IMG")</f>
        <v>IMG</v>
      </c>
      <c r="B3607" t="s">
        <v>11718</v>
      </c>
      <c r="C3607" t="s">
        <v>11719</v>
      </c>
      <c r="D3607" s="1">
        <v>37967</v>
      </c>
      <c r="E3607" t="s">
        <v>108</v>
      </c>
      <c r="F3607">
        <v>0</v>
      </c>
      <c r="G3607" t="s">
        <v>93</v>
      </c>
      <c r="H3607">
        <v>-48.79</v>
      </c>
      <c r="I3607">
        <v>95</v>
      </c>
      <c r="J3607">
        <v>-60.25</v>
      </c>
      <c r="K3607">
        <v>99</v>
      </c>
      <c r="L3607">
        <v>44.66</v>
      </c>
      <c r="M3607">
        <v>90</v>
      </c>
      <c r="N3607">
        <v>-49.9</v>
      </c>
      <c r="O3607">
        <v>95</v>
      </c>
      <c r="P3607">
        <v>-9.92</v>
      </c>
      <c r="Q3607">
        <v>99</v>
      </c>
      <c r="R3607">
        <v>14.77</v>
      </c>
      <c r="S3607">
        <v>93</v>
      </c>
      <c r="T3607">
        <v>12.05</v>
      </c>
      <c r="U3607">
        <v>98</v>
      </c>
      <c r="V3607">
        <v>-0.2</v>
      </c>
      <c r="W3607">
        <v>95</v>
      </c>
      <c r="X3607" t="s">
        <v>234</v>
      </c>
      <c r="Y3607" t="s">
        <v>95</v>
      </c>
      <c r="Z3607" t="s">
        <v>96</v>
      </c>
      <c r="AA3607" t="s">
        <v>3672</v>
      </c>
      <c r="AB3607" t="s">
        <v>11720</v>
      </c>
      <c r="AC3607">
        <v>383</v>
      </c>
      <c r="AD3607">
        <v>119</v>
      </c>
      <c r="AE3607">
        <v>99</v>
      </c>
      <c r="AF3607">
        <v>-382.85</v>
      </c>
      <c r="AG3607">
        <v>-10.48</v>
      </c>
      <c r="AH3607">
        <v>-12.4</v>
      </c>
      <c r="AI3607">
        <v>0.08</v>
      </c>
      <c r="AJ3607">
        <v>0.01</v>
      </c>
      <c r="AK3607">
        <v>90</v>
      </c>
      <c r="AL3607">
        <v>584</v>
      </c>
      <c r="AM3607">
        <v>190</v>
      </c>
      <c r="AN3607">
        <v>-3.35</v>
      </c>
      <c r="AO3607">
        <v>0.2</v>
      </c>
      <c r="AP3607">
        <v>730</v>
      </c>
      <c r="AQ3607">
        <v>6</v>
      </c>
      <c r="AR3607">
        <v>12.99</v>
      </c>
      <c r="AS3607">
        <v>89</v>
      </c>
      <c r="AT3607">
        <v>5.15</v>
      </c>
      <c r="AU3607">
        <v>96</v>
      </c>
      <c r="AV3607">
        <v>1.1000000000000001</v>
      </c>
      <c r="AW3607">
        <v>98</v>
      </c>
      <c r="AX3607">
        <v>-0.56000000000000005</v>
      </c>
      <c r="AY3607">
        <v>96</v>
      </c>
      <c r="AZ3607">
        <v>6.7</v>
      </c>
      <c r="BA3607">
        <v>85</v>
      </c>
      <c r="BB3607">
        <v>5.33</v>
      </c>
      <c r="BC3607">
        <v>90</v>
      </c>
      <c r="BD3607">
        <v>-0.04</v>
      </c>
      <c r="BE3607">
        <v>-7.0000000000000007E-2</v>
      </c>
      <c r="BF3607">
        <v>-0.14000000000000001</v>
      </c>
      <c r="BG3607">
        <v>96</v>
      </c>
      <c r="BH3607">
        <v>-0.14000000000000001</v>
      </c>
      <c r="BI3607">
        <v>-15.54</v>
      </c>
      <c r="BJ3607">
        <v>6</v>
      </c>
      <c r="BK3607">
        <v>5</v>
      </c>
      <c r="BL3607">
        <v>-2.93</v>
      </c>
      <c r="BM3607">
        <v>2.12</v>
      </c>
      <c r="BN3607">
        <v>-2.2200000000000002</v>
      </c>
      <c r="BO3607">
        <v>-3.23</v>
      </c>
      <c r="BP3607">
        <v>0.03</v>
      </c>
      <c r="BQ3607">
        <v>0.16</v>
      </c>
      <c r="BR3607">
        <v>-0.23</v>
      </c>
      <c r="BS3607">
        <v>-0.34</v>
      </c>
      <c r="BT3607">
        <v>-1.04</v>
      </c>
      <c r="BU3607">
        <v>-1.44</v>
      </c>
      <c r="BV3607">
        <v>-2.76</v>
      </c>
      <c r="BW3607">
        <v>-1.87</v>
      </c>
      <c r="BX3607">
        <v>-0.13</v>
      </c>
      <c r="BY3607">
        <v>-2.39</v>
      </c>
      <c r="BZ3607">
        <v>-1.02</v>
      </c>
      <c r="CA3607">
        <v>-2.42</v>
      </c>
      <c r="CB3607">
        <v>-2.5299999999999998</v>
      </c>
      <c r="CC3607">
        <v>-1.93</v>
      </c>
      <c r="CD3607">
        <v>3.37</v>
      </c>
      <c r="CE3607">
        <v>-2.78</v>
      </c>
      <c r="CF3607">
        <v>-2.68</v>
      </c>
      <c r="CG3607">
        <v>0</v>
      </c>
      <c r="CH3607">
        <v>-2.33</v>
      </c>
      <c r="CI3607">
        <v>0</v>
      </c>
      <c r="CJ3607">
        <v>-5.8</v>
      </c>
      <c r="CK3607">
        <v>99</v>
      </c>
      <c r="CL3607">
        <v>-0.03</v>
      </c>
      <c r="CM3607">
        <v>99</v>
      </c>
      <c r="CN3607">
        <v>0.11</v>
      </c>
      <c r="CO3607">
        <v>98</v>
      </c>
      <c r="CP3607">
        <v>-2.1</v>
      </c>
      <c r="CQ3607">
        <v>98</v>
      </c>
      <c r="CR3607">
        <v>0</v>
      </c>
      <c r="CS3607">
        <v>0</v>
      </c>
      <c r="CT3607">
        <v>-2.5</v>
      </c>
      <c r="CU3607">
        <v>98</v>
      </c>
      <c r="CV3607">
        <v>-0.01</v>
      </c>
      <c r="CW3607">
        <v>46</v>
      </c>
      <c r="CX3607" t="s">
        <v>262</v>
      </c>
    </row>
    <row r="3608" spans="1:102" x14ac:dyDescent="0.3">
      <c r="A3608" t="str">
        <f>HYPERLINK("https://webapp.icbf.com/v2/app/bull-search/view/77856256","JAM")</f>
        <v>JAM</v>
      </c>
      <c r="B3608" t="s">
        <v>3189</v>
      </c>
      <c r="C3608" t="s">
        <v>3190</v>
      </c>
      <c r="D3608" s="1">
        <v>32220</v>
      </c>
      <c r="E3608" t="s">
        <v>108</v>
      </c>
      <c r="F3608">
        <v>16</v>
      </c>
      <c r="G3608" t="s">
        <v>93</v>
      </c>
      <c r="H3608">
        <v>-48.8</v>
      </c>
      <c r="I3608">
        <v>74</v>
      </c>
      <c r="J3608">
        <v>-29.34</v>
      </c>
      <c r="K3608">
        <v>89</v>
      </c>
      <c r="L3608">
        <v>-16.920000000000002</v>
      </c>
      <c r="M3608">
        <v>67</v>
      </c>
      <c r="N3608">
        <v>-5.39</v>
      </c>
      <c r="O3608">
        <v>67</v>
      </c>
      <c r="P3608">
        <v>-5.42</v>
      </c>
      <c r="Q3608">
        <v>85</v>
      </c>
      <c r="R3608">
        <v>-9.0500000000000007</v>
      </c>
      <c r="S3608">
        <v>65</v>
      </c>
      <c r="T3608">
        <v>18.41</v>
      </c>
      <c r="U3608">
        <v>62</v>
      </c>
      <c r="V3608">
        <v>-1.0900000000000001</v>
      </c>
      <c r="W3608">
        <v>32</v>
      </c>
      <c r="X3608" t="s">
        <v>102</v>
      </c>
      <c r="Y3608" t="s">
        <v>95</v>
      </c>
      <c r="Z3608" t="s">
        <v>96</v>
      </c>
      <c r="AA3608" t="s">
        <v>851</v>
      </c>
      <c r="AB3608" t="s">
        <v>3191</v>
      </c>
      <c r="AC3608">
        <v>36</v>
      </c>
      <c r="AD3608">
        <v>15</v>
      </c>
      <c r="AE3608">
        <v>89</v>
      </c>
      <c r="AF3608">
        <v>-62.8</v>
      </c>
      <c r="AG3608">
        <v>-2.52</v>
      </c>
      <c r="AH3608">
        <v>-5.0599999999999996</v>
      </c>
      <c r="AI3608">
        <v>0</v>
      </c>
      <c r="AJ3608">
        <v>-0.05</v>
      </c>
      <c r="AK3608">
        <v>67</v>
      </c>
      <c r="AL3608">
        <v>121</v>
      </c>
      <c r="AM3608">
        <v>66</v>
      </c>
      <c r="AN3608">
        <v>0.09</v>
      </c>
      <c r="AO3608">
        <v>-1.27</v>
      </c>
      <c r="AP3608">
        <v>39</v>
      </c>
      <c r="AQ3608">
        <v>0</v>
      </c>
      <c r="AR3608">
        <v>11.49</v>
      </c>
      <c r="AS3608">
        <v>45</v>
      </c>
      <c r="AT3608">
        <v>4.3099999999999996</v>
      </c>
      <c r="AU3608">
        <v>58</v>
      </c>
      <c r="AV3608">
        <v>-1.49</v>
      </c>
      <c r="AW3608">
        <v>86</v>
      </c>
      <c r="AX3608">
        <v>-0.63</v>
      </c>
      <c r="AY3608">
        <v>70</v>
      </c>
      <c r="AZ3608">
        <v>5.19</v>
      </c>
      <c r="BA3608">
        <v>35</v>
      </c>
      <c r="BB3608">
        <v>4.22</v>
      </c>
      <c r="BC3608">
        <v>42</v>
      </c>
      <c r="BD3608">
        <v>0.06</v>
      </c>
      <c r="BE3608">
        <v>0.02</v>
      </c>
      <c r="BF3608">
        <v>7.0000000000000007E-2</v>
      </c>
      <c r="BG3608">
        <v>88</v>
      </c>
      <c r="BH3608">
        <v>-0.02</v>
      </c>
      <c r="BI3608">
        <v>1.21</v>
      </c>
      <c r="BJ3608">
        <v>12</v>
      </c>
      <c r="BK3608">
        <v>10</v>
      </c>
      <c r="BL3608">
        <v>-2.37</v>
      </c>
      <c r="BM3608">
        <v>0.4</v>
      </c>
      <c r="BN3608">
        <v>-1.99</v>
      </c>
      <c r="BO3608">
        <v>-1.8</v>
      </c>
      <c r="BP3608">
        <v>0.85</v>
      </c>
      <c r="BQ3608">
        <v>-0.65</v>
      </c>
      <c r="BR3608">
        <v>-0.62</v>
      </c>
      <c r="BS3608">
        <v>0.3</v>
      </c>
      <c r="BT3608">
        <v>-0.65</v>
      </c>
      <c r="BU3608">
        <v>-1.69</v>
      </c>
      <c r="BV3608">
        <v>-1.85</v>
      </c>
      <c r="BW3608">
        <v>-1.75</v>
      </c>
      <c r="BX3608">
        <v>-1.43</v>
      </c>
      <c r="BY3608">
        <v>-1.94</v>
      </c>
      <c r="BZ3608">
        <v>1.1399999999999999</v>
      </c>
      <c r="CA3608">
        <v>-2</v>
      </c>
      <c r="CB3608">
        <v>-2.0499999999999998</v>
      </c>
      <c r="CC3608">
        <v>-1.08</v>
      </c>
      <c r="CD3608">
        <v>1.7</v>
      </c>
      <c r="CE3608">
        <v>-1.67</v>
      </c>
      <c r="CF3608">
        <v>-2.29</v>
      </c>
      <c r="CG3608">
        <v>0</v>
      </c>
      <c r="CH3608">
        <v>-1.1499999999999999</v>
      </c>
      <c r="CI3608">
        <v>0</v>
      </c>
      <c r="CJ3608">
        <v>-0.3</v>
      </c>
      <c r="CK3608">
        <v>87</v>
      </c>
      <c r="CL3608">
        <v>-0.55000000000000004</v>
      </c>
      <c r="CM3608">
        <v>84</v>
      </c>
      <c r="CN3608">
        <v>-0.13</v>
      </c>
      <c r="CO3608">
        <v>81</v>
      </c>
      <c r="CP3608">
        <v>-5.7</v>
      </c>
      <c r="CQ3608">
        <v>79</v>
      </c>
      <c r="CR3608">
        <v>0</v>
      </c>
      <c r="CS3608">
        <v>0</v>
      </c>
      <c r="CT3608">
        <v>-11.1</v>
      </c>
      <c r="CU3608">
        <v>62</v>
      </c>
      <c r="CV3608">
        <v>0.16</v>
      </c>
      <c r="CW3608">
        <v>25</v>
      </c>
      <c r="CX3608" t="s">
        <v>3192</v>
      </c>
    </row>
    <row r="3609" spans="1:102" x14ac:dyDescent="0.3">
      <c r="A3609" t="str">
        <f>HYPERLINK("https://webapp.icbf.com/v2/app/bull-search/view/429943888","NWF")</f>
        <v>NWF</v>
      </c>
      <c r="B3609" t="s">
        <v>4562</v>
      </c>
      <c r="C3609" t="s">
        <v>2574</v>
      </c>
      <c r="D3609" s="1">
        <v>35861</v>
      </c>
      <c r="E3609" t="s">
        <v>92</v>
      </c>
      <c r="F3609">
        <v>50</v>
      </c>
      <c r="G3609" t="s">
        <v>93</v>
      </c>
      <c r="H3609">
        <v>-48.92</v>
      </c>
      <c r="I3609">
        <v>98</v>
      </c>
      <c r="J3609">
        <v>16.45</v>
      </c>
      <c r="K3609">
        <v>99</v>
      </c>
      <c r="L3609">
        <v>-48.9</v>
      </c>
      <c r="M3609">
        <v>96</v>
      </c>
      <c r="N3609">
        <v>-30.01</v>
      </c>
      <c r="O3609">
        <v>98</v>
      </c>
      <c r="P3609">
        <v>-4.21</v>
      </c>
      <c r="Q3609">
        <v>99</v>
      </c>
      <c r="R3609">
        <v>10.16</v>
      </c>
      <c r="S3609">
        <v>97</v>
      </c>
      <c r="T3609">
        <v>3.84</v>
      </c>
      <c r="U3609">
        <v>99</v>
      </c>
      <c r="V3609">
        <v>3.75</v>
      </c>
      <c r="W3609">
        <v>99</v>
      </c>
      <c r="X3609" t="s">
        <v>94</v>
      </c>
      <c r="Y3609" t="s">
        <v>95</v>
      </c>
      <c r="Z3609" t="s">
        <v>96</v>
      </c>
      <c r="AA3609" t="s">
        <v>3901</v>
      </c>
      <c r="AB3609" t="s">
        <v>4563</v>
      </c>
      <c r="AC3609">
        <v>1667</v>
      </c>
      <c r="AD3609">
        <v>561</v>
      </c>
      <c r="AE3609">
        <v>99</v>
      </c>
      <c r="AF3609">
        <v>334.11</v>
      </c>
      <c r="AG3609">
        <v>6.93</v>
      </c>
      <c r="AH3609">
        <v>5.46</v>
      </c>
      <c r="AI3609">
        <v>-0.1</v>
      </c>
      <c r="AJ3609">
        <v>-0.1</v>
      </c>
      <c r="AK3609">
        <v>96</v>
      </c>
      <c r="AL3609">
        <v>2700</v>
      </c>
      <c r="AM3609">
        <v>955</v>
      </c>
      <c r="AN3609">
        <v>2.67</v>
      </c>
      <c r="AO3609">
        <v>-1.23</v>
      </c>
      <c r="AP3609">
        <v>2976</v>
      </c>
      <c r="AQ3609">
        <v>27</v>
      </c>
      <c r="AR3609">
        <v>11.1</v>
      </c>
      <c r="AS3609">
        <v>96</v>
      </c>
      <c r="AT3609">
        <v>5.31</v>
      </c>
      <c r="AU3609">
        <v>99</v>
      </c>
      <c r="AV3609">
        <v>0.6</v>
      </c>
      <c r="AW3609">
        <v>99</v>
      </c>
      <c r="AX3609">
        <v>-0.76</v>
      </c>
      <c r="AY3609">
        <v>99</v>
      </c>
      <c r="AZ3609">
        <v>4.97</v>
      </c>
      <c r="BA3609">
        <v>96</v>
      </c>
      <c r="BB3609">
        <v>3.64</v>
      </c>
      <c r="BC3609">
        <v>97</v>
      </c>
      <c r="BD3609">
        <v>-0.01</v>
      </c>
      <c r="BE3609">
        <v>-0.03</v>
      </c>
      <c r="BF3609">
        <v>-0.16</v>
      </c>
      <c r="BG3609">
        <v>99</v>
      </c>
      <c r="BH3609">
        <v>-0.15</v>
      </c>
      <c r="BI3609">
        <v>-29.44</v>
      </c>
      <c r="BJ3609">
        <v>49</v>
      </c>
      <c r="BK3609">
        <v>32</v>
      </c>
      <c r="BL3609">
        <v>-0.25</v>
      </c>
      <c r="BM3609">
        <v>1.93</v>
      </c>
      <c r="BN3609">
        <v>0.09</v>
      </c>
      <c r="BO3609">
        <v>-1.05</v>
      </c>
      <c r="BP3609">
        <v>1.63</v>
      </c>
      <c r="BQ3609">
        <v>2.34</v>
      </c>
      <c r="BR3609">
        <v>0.49</v>
      </c>
      <c r="BS3609">
        <v>-7.0000000000000007E-2</v>
      </c>
      <c r="BT3609">
        <v>-0.15</v>
      </c>
      <c r="BU3609">
        <v>-0.45</v>
      </c>
      <c r="BV3609">
        <v>-0.5</v>
      </c>
      <c r="BW3609">
        <v>-0.34</v>
      </c>
      <c r="BX3609">
        <v>-0.84</v>
      </c>
      <c r="BY3609">
        <v>-1.08</v>
      </c>
      <c r="BZ3609">
        <v>0.42</v>
      </c>
      <c r="CA3609">
        <v>-0.52</v>
      </c>
      <c r="CB3609">
        <v>-0.73</v>
      </c>
      <c r="CC3609">
        <v>0.22</v>
      </c>
      <c r="CD3609">
        <v>1.81</v>
      </c>
      <c r="CE3609">
        <v>-0.5</v>
      </c>
      <c r="CF3609">
        <v>0.33</v>
      </c>
      <c r="CG3609">
        <v>0</v>
      </c>
      <c r="CH3609">
        <v>-1.22</v>
      </c>
      <c r="CI3609">
        <v>0</v>
      </c>
      <c r="CJ3609">
        <v>-0.3</v>
      </c>
      <c r="CK3609">
        <v>99</v>
      </c>
      <c r="CL3609">
        <v>-0.24</v>
      </c>
      <c r="CM3609">
        <v>99</v>
      </c>
      <c r="CN3609">
        <v>0.09</v>
      </c>
      <c r="CO3609">
        <v>99</v>
      </c>
      <c r="CP3609">
        <v>-1.8</v>
      </c>
      <c r="CQ3609">
        <v>99</v>
      </c>
      <c r="CR3609">
        <v>0</v>
      </c>
      <c r="CS3609">
        <v>0</v>
      </c>
      <c r="CT3609">
        <v>8.6</v>
      </c>
      <c r="CU3609">
        <v>99</v>
      </c>
      <c r="CV3609">
        <v>0.16</v>
      </c>
      <c r="CW3609">
        <v>46</v>
      </c>
      <c r="CX3609" t="s">
        <v>4159</v>
      </c>
    </row>
    <row r="3610" spans="1:102" x14ac:dyDescent="0.3">
      <c r="A3610" t="str">
        <f>HYPERLINK("https://webapp.icbf.com/v2/app/bull-search/view/77855866","LNY")</f>
        <v>LNY</v>
      </c>
      <c r="B3610" t="s">
        <v>7368</v>
      </c>
      <c r="C3610" t="s">
        <v>7369</v>
      </c>
      <c r="D3610" s="1">
        <v>31592</v>
      </c>
      <c r="E3610" t="s">
        <v>92</v>
      </c>
      <c r="F3610">
        <v>100</v>
      </c>
      <c r="G3610" t="s">
        <v>109</v>
      </c>
      <c r="H3610">
        <v>-49.01</v>
      </c>
      <c r="I3610">
        <v>70</v>
      </c>
      <c r="J3610">
        <v>-19.21</v>
      </c>
      <c r="K3610">
        <v>82</v>
      </c>
      <c r="L3610">
        <v>-32.46</v>
      </c>
      <c r="M3610">
        <v>80</v>
      </c>
      <c r="N3610">
        <v>1.0900000000000001</v>
      </c>
      <c r="O3610">
        <v>47</v>
      </c>
      <c r="P3610">
        <v>0.46</v>
      </c>
      <c r="Q3610">
        <v>55</v>
      </c>
      <c r="R3610">
        <v>-10.38</v>
      </c>
      <c r="S3610">
        <v>64</v>
      </c>
      <c r="T3610">
        <v>6.87</v>
      </c>
      <c r="U3610">
        <v>53</v>
      </c>
      <c r="V3610">
        <v>4.62</v>
      </c>
      <c r="W3610">
        <v>25</v>
      </c>
      <c r="X3610" t="s">
        <v>110</v>
      </c>
      <c r="Y3610" t="s">
        <v>95</v>
      </c>
      <c r="Z3610" t="s">
        <v>96</v>
      </c>
      <c r="AA3610" t="s">
        <v>128</v>
      </c>
      <c r="AB3610" t="s">
        <v>7370</v>
      </c>
      <c r="AC3610">
        <v>0</v>
      </c>
      <c r="AD3610">
        <v>0</v>
      </c>
      <c r="AE3610">
        <v>82</v>
      </c>
      <c r="AF3610">
        <v>-39.409999999999997</v>
      </c>
      <c r="AG3610">
        <v>-1.33</v>
      </c>
      <c r="AH3610">
        <v>-3.4</v>
      </c>
      <c r="AI3610">
        <v>0</v>
      </c>
      <c r="AJ3610">
        <v>-0.03</v>
      </c>
      <c r="AK3610">
        <v>80</v>
      </c>
      <c r="AL3610">
        <v>0</v>
      </c>
      <c r="AM3610">
        <v>0</v>
      </c>
      <c r="AN3610">
        <v>1.66</v>
      </c>
      <c r="AO3610">
        <v>-0.93</v>
      </c>
      <c r="AP3610">
        <v>1</v>
      </c>
      <c r="AQ3610">
        <v>0</v>
      </c>
      <c r="AR3610">
        <v>8.2200000000000006</v>
      </c>
      <c r="AS3610">
        <v>25</v>
      </c>
      <c r="AT3610">
        <v>3.4</v>
      </c>
      <c r="AU3610">
        <v>73</v>
      </c>
      <c r="AV3610">
        <v>0.03</v>
      </c>
      <c r="AW3610">
        <v>43</v>
      </c>
      <c r="AX3610">
        <v>-0.34</v>
      </c>
      <c r="AY3610">
        <v>46</v>
      </c>
      <c r="AZ3610">
        <v>5.23</v>
      </c>
      <c r="BA3610">
        <v>25</v>
      </c>
      <c r="BB3610">
        <v>4.37</v>
      </c>
      <c r="BC3610">
        <v>30</v>
      </c>
      <c r="BD3610">
        <v>0.04</v>
      </c>
      <c r="BE3610">
        <v>0.08</v>
      </c>
      <c r="BF3610">
        <v>0.02</v>
      </c>
      <c r="BG3610">
        <v>88</v>
      </c>
      <c r="BH3610">
        <v>0.13</v>
      </c>
      <c r="BI3610">
        <v>0.14000000000000001</v>
      </c>
      <c r="BJ3610">
        <v>1</v>
      </c>
      <c r="BK3610">
        <v>1</v>
      </c>
      <c r="BL3610">
        <v>-0.11</v>
      </c>
      <c r="BM3610">
        <v>1.7</v>
      </c>
      <c r="BN3610">
        <v>0.38</v>
      </c>
      <c r="BO3610">
        <v>-0.9</v>
      </c>
      <c r="BP3610">
        <v>0.47</v>
      </c>
      <c r="BQ3610">
        <v>-0.04</v>
      </c>
      <c r="BR3610">
        <v>0.15</v>
      </c>
      <c r="BS3610">
        <v>-0.4</v>
      </c>
      <c r="BT3610">
        <v>0.47</v>
      </c>
      <c r="BU3610">
        <v>0.25</v>
      </c>
      <c r="BV3610">
        <v>-1.02</v>
      </c>
      <c r="BW3610">
        <v>-0.21</v>
      </c>
      <c r="BX3610">
        <v>0.4</v>
      </c>
      <c r="BY3610">
        <v>-0.13</v>
      </c>
      <c r="BZ3610">
        <v>-0.68</v>
      </c>
      <c r="CA3610">
        <v>-0.49</v>
      </c>
      <c r="CB3610">
        <v>-0.34</v>
      </c>
      <c r="CC3610">
        <v>-0.6</v>
      </c>
      <c r="CD3610">
        <v>1.26</v>
      </c>
      <c r="CE3610">
        <v>-0.1</v>
      </c>
      <c r="CF3610">
        <v>-0.1</v>
      </c>
      <c r="CG3610">
        <v>0</v>
      </c>
      <c r="CH3610">
        <v>-0.62</v>
      </c>
      <c r="CI3610">
        <v>0</v>
      </c>
      <c r="CJ3610">
        <v>1.4</v>
      </c>
      <c r="CK3610">
        <v>57</v>
      </c>
      <c r="CL3610">
        <v>-0.28999999999999998</v>
      </c>
      <c r="CM3610">
        <v>53</v>
      </c>
      <c r="CN3610">
        <v>-0.13</v>
      </c>
      <c r="CO3610">
        <v>48</v>
      </c>
      <c r="CP3610">
        <v>0</v>
      </c>
      <c r="CQ3610">
        <v>64</v>
      </c>
      <c r="CR3610">
        <v>0</v>
      </c>
      <c r="CS3610">
        <v>0</v>
      </c>
      <c r="CT3610">
        <v>4.5</v>
      </c>
      <c r="CU3610">
        <v>53</v>
      </c>
      <c r="CV3610">
        <v>0.09</v>
      </c>
      <c r="CW3610">
        <v>15</v>
      </c>
      <c r="CX3610" t="s">
        <v>626</v>
      </c>
    </row>
    <row r="3611" spans="1:102" x14ac:dyDescent="0.3">
      <c r="A3611" t="str">
        <f>HYPERLINK("https://webapp.icbf.com/v2/app/bull-search/view/678697562","S907")</f>
        <v>S907</v>
      </c>
      <c r="B3611" t="s">
        <v>12876</v>
      </c>
      <c r="C3611" t="s">
        <v>12877</v>
      </c>
      <c r="D3611" s="1">
        <v>39367</v>
      </c>
      <c r="E3611" t="s">
        <v>92</v>
      </c>
      <c r="F3611">
        <v>100</v>
      </c>
      <c r="G3611" t="s">
        <v>109</v>
      </c>
      <c r="H3611">
        <v>-49.01</v>
      </c>
      <c r="I3611">
        <v>65</v>
      </c>
      <c r="J3611">
        <v>4.41</v>
      </c>
      <c r="K3611">
        <v>77</v>
      </c>
      <c r="L3611">
        <v>-87.14</v>
      </c>
      <c r="M3611">
        <v>71</v>
      </c>
      <c r="N3611">
        <v>49.4</v>
      </c>
      <c r="O3611">
        <v>49</v>
      </c>
      <c r="P3611">
        <v>-7.11</v>
      </c>
      <c r="Q3611">
        <v>58</v>
      </c>
      <c r="R3611">
        <v>4.12</v>
      </c>
      <c r="S3611">
        <v>56</v>
      </c>
      <c r="T3611">
        <v>-12.37</v>
      </c>
      <c r="U3611">
        <v>50</v>
      </c>
      <c r="V3611">
        <v>-0.32</v>
      </c>
      <c r="W3611">
        <v>18</v>
      </c>
      <c r="X3611" t="s">
        <v>747</v>
      </c>
      <c r="Y3611" t="s">
        <v>303</v>
      </c>
      <c r="Z3611" t="s">
        <v>96</v>
      </c>
      <c r="AA3611" t="s">
        <v>9253</v>
      </c>
      <c r="AB3611" t="s">
        <v>5475</v>
      </c>
      <c r="AC3611">
        <v>0</v>
      </c>
      <c r="AD3611">
        <v>0</v>
      </c>
      <c r="AE3611">
        <v>77</v>
      </c>
      <c r="AF3611">
        <v>537.69000000000005</v>
      </c>
      <c r="AG3611">
        <v>1.1599999999999999</v>
      </c>
      <c r="AH3611">
        <v>8.57</v>
      </c>
      <c r="AI3611">
        <v>-0.3</v>
      </c>
      <c r="AJ3611">
        <v>-0.15</v>
      </c>
      <c r="AK3611">
        <v>71</v>
      </c>
      <c r="AL3611">
        <v>0</v>
      </c>
      <c r="AM3611">
        <v>0</v>
      </c>
      <c r="AN3611">
        <v>4.72</v>
      </c>
      <c r="AO3611">
        <v>-2.23</v>
      </c>
      <c r="AP3611">
        <v>5</v>
      </c>
      <c r="AQ3611">
        <v>0</v>
      </c>
      <c r="AR3611">
        <v>6.16</v>
      </c>
      <c r="AS3611">
        <v>29</v>
      </c>
      <c r="AT3611">
        <v>2.83</v>
      </c>
      <c r="AU3611">
        <v>74</v>
      </c>
      <c r="AV3611">
        <v>-4.79</v>
      </c>
      <c r="AW3611">
        <v>51</v>
      </c>
      <c r="AX3611">
        <v>-0.84</v>
      </c>
      <c r="AY3611">
        <v>40</v>
      </c>
      <c r="AZ3611">
        <v>5.46</v>
      </c>
      <c r="BA3611">
        <v>21</v>
      </c>
      <c r="BB3611">
        <v>4.62</v>
      </c>
      <c r="BC3611">
        <v>19</v>
      </c>
      <c r="BD3611">
        <v>-0.04</v>
      </c>
      <c r="BE3611">
        <v>-0.02</v>
      </c>
      <c r="BF3611">
        <v>0.01</v>
      </c>
      <c r="BG3611">
        <v>82</v>
      </c>
      <c r="BH3611">
        <v>-0.12</v>
      </c>
      <c r="BI3611">
        <v>-12.85</v>
      </c>
      <c r="BJ3611">
        <v>4</v>
      </c>
      <c r="BK3611">
        <v>2</v>
      </c>
      <c r="BL3611">
        <v>1.66</v>
      </c>
      <c r="BM3611">
        <v>-1.45</v>
      </c>
      <c r="BN3611">
        <v>0.34</v>
      </c>
      <c r="BO3611">
        <v>1.41</v>
      </c>
      <c r="BP3611">
        <v>-1.39</v>
      </c>
      <c r="BQ3611">
        <v>0.26</v>
      </c>
      <c r="BR3611">
        <v>-0.38</v>
      </c>
      <c r="BS3611">
        <v>0.21</v>
      </c>
      <c r="BT3611">
        <v>0.5</v>
      </c>
      <c r="BU3611">
        <v>2.66</v>
      </c>
      <c r="BV3611">
        <v>3.04</v>
      </c>
      <c r="BW3611">
        <v>2.41</v>
      </c>
      <c r="BX3611">
        <v>1.95</v>
      </c>
      <c r="BY3611">
        <v>2.11</v>
      </c>
      <c r="BZ3611">
        <v>1.1499999999999999</v>
      </c>
      <c r="CA3611">
        <v>2.0499999999999998</v>
      </c>
      <c r="CB3611">
        <v>2.41</v>
      </c>
      <c r="CC3611">
        <v>0.33</v>
      </c>
      <c r="CD3611">
        <v>-1.48</v>
      </c>
      <c r="CE3611">
        <v>0.82</v>
      </c>
      <c r="CF3611">
        <v>0.42</v>
      </c>
      <c r="CG3611">
        <v>0</v>
      </c>
      <c r="CH3611">
        <v>1.37</v>
      </c>
      <c r="CI3611">
        <v>0</v>
      </c>
      <c r="CJ3611">
        <v>-0.8</v>
      </c>
      <c r="CK3611">
        <v>61</v>
      </c>
      <c r="CL3611">
        <v>-1.45</v>
      </c>
      <c r="CM3611">
        <v>56</v>
      </c>
      <c r="CN3611">
        <v>-0.62</v>
      </c>
      <c r="CO3611">
        <v>53</v>
      </c>
      <c r="CP3611">
        <v>11.3</v>
      </c>
      <c r="CQ3611">
        <v>51</v>
      </c>
      <c r="CR3611">
        <v>0</v>
      </c>
      <c r="CS3611">
        <v>0</v>
      </c>
      <c r="CT3611">
        <v>30.5</v>
      </c>
      <c r="CU3611">
        <v>50</v>
      </c>
      <c r="CV3611">
        <v>0.44</v>
      </c>
      <c r="CW3611">
        <v>16</v>
      </c>
      <c r="CX3611" t="s">
        <v>311</v>
      </c>
    </row>
    <row r="3612" spans="1:102" x14ac:dyDescent="0.3">
      <c r="A3612" t="str">
        <f>HYPERLINK("https://webapp.icbf.com/v2/app/bull-search/view/77854966","NAR")</f>
        <v>NAR</v>
      </c>
      <c r="B3612" t="s">
        <v>9665</v>
      </c>
      <c r="C3612" t="s">
        <v>9666</v>
      </c>
      <c r="D3612" s="1">
        <v>31661</v>
      </c>
      <c r="E3612" t="s">
        <v>92</v>
      </c>
      <c r="F3612">
        <v>100</v>
      </c>
      <c r="G3612" t="s">
        <v>93</v>
      </c>
      <c r="H3612">
        <v>-49.05</v>
      </c>
      <c r="I3612">
        <v>85</v>
      </c>
      <c r="J3612">
        <v>-1.82</v>
      </c>
      <c r="K3612">
        <v>96</v>
      </c>
      <c r="L3612">
        <v>-38.43</v>
      </c>
      <c r="M3612">
        <v>85</v>
      </c>
      <c r="N3612">
        <v>5.59</v>
      </c>
      <c r="O3612">
        <v>73</v>
      </c>
      <c r="P3612">
        <v>-7.59</v>
      </c>
      <c r="Q3612">
        <v>86</v>
      </c>
      <c r="R3612">
        <v>-12.02</v>
      </c>
      <c r="S3612">
        <v>75</v>
      </c>
      <c r="T3612">
        <v>1.91</v>
      </c>
      <c r="U3612">
        <v>76</v>
      </c>
      <c r="V3612">
        <v>3.31</v>
      </c>
      <c r="W3612">
        <v>46</v>
      </c>
      <c r="X3612" t="s">
        <v>110</v>
      </c>
      <c r="Y3612" t="s">
        <v>95</v>
      </c>
      <c r="Z3612" t="s">
        <v>96</v>
      </c>
      <c r="AA3612" t="s">
        <v>128</v>
      </c>
      <c r="AB3612" t="s">
        <v>9667</v>
      </c>
      <c r="AC3612">
        <v>122</v>
      </c>
      <c r="AD3612">
        <v>69</v>
      </c>
      <c r="AE3612">
        <v>96</v>
      </c>
      <c r="AF3612">
        <v>-11.45</v>
      </c>
      <c r="AG3612">
        <v>-1.03</v>
      </c>
      <c r="AH3612">
        <v>-0.12</v>
      </c>
      <c r="AI3612">
        <v>-0.01</v>
      </c>
      <c r="AJ3612">
        <v>0</v>
      </c>
      <c r="AK3612">
        <v>85</v>
      </c>
      <c r="AL3612">
        <v>188</v>
      </c>
      <c r="AM3612">
        <v>87</v>
      </c>
      <c r="AN3612">
        <v>0.92</v>
      </c>
      <c r="AO3612">
        <v>-2.16</v>
      </c>
      <c r="AP3612">
        <v>18</v>
      </c>
      <c r="AQ3612">
        <v>0</v>
      </c>
      <c r="AR3612">
        <v>5.18</v>
      </c>
      <c r="AS3612">
        <v>37</v>
      </c>
      <c r="AT3612">
        <v>2.2400000000000002</v>
      </c>
      <c r="AU3612">
        <v>72</v>
      </c>
      <c r="AV3612">
        <v>0.97</v>
      </c>
      <c r="AW3612">
        <v>85</v>
      </c>
      <c r="AX3612">
        <v>-0.56999999999999995</v>
      </c>
      <c r="AY3612">
        <v>80</v>
      </c>
      <c r="AZ3612">
        <v>6.33</v>
      </c>
      <c r="BA3612">
        <v>40</v>
      </c>
      <c r="BB3612">
        <v>5.16</v>
      </c>
      <c r="BC3612">
        <v>62</v>
      </c>
      <c r="BD3612">
        <v>0.05</v>
      </c>
      <c r="BE3612">
        <v>7.0000000000000007E-2</v>
      </c>
      <c r="BF3612">
        <v>0.06</v>
      </c>
      <c r="BG3612">
        <v>92</v>
      </c>
      <c r="BH3612">
        <v>0.26</v>
      </c>
      <c r="BI3612">
        <v>19.399999999999999</v>
      </c>
      <c r="BJ3612">
        <v>14</v>
      </c>
      <c r="BK3612">
        <v>11</v>
      </c>
      <c r="BL3612">
        <v>0.63</v>
      </c>
      <c r="BM3612">
        <v>0.98</v>
      </c>
      <c r="BN3612">
        <v>0.26</v>
      </c>
      <c r="BO3612">
        <v>-0.31</v>
      </c>
      <c r="BP3612">
        <v>-0.18</v>
      </c>
      <c r="BQ3612">
        <v>0.73</v>
      </c>
      <c r="BR3612">
        <v>0.79</v>
      </c>
      <c r="BS3612">
        <v>-0.86</v>
      </c>
      <c r="BT3612">
        <v>-1.0900000000000001</v>
      </c>
      <c r="BU3612">
        <v>-2.02</v>
      </c>
      <c r="BV3612">
        <v>-0.86</v>
      </c>
      <c r="BW3612">
        <v>-1.2</v>
      </c>
      <c r="BX3612">
        <v>-2.11</v>
      </c>
      <c r="BY3612">
        <v>0.15</v>
      </c>
      <c r="BZ3612">
        <v>-0.37</v>
      </c>
      <c r="CA3612">
        <v>-1.25</v>
      </c>
      <c r="CB3612">
        <v>-1.1499999999999999</v>
      </c>
      <c r="CC3612">
        <v>-0.63</v>
      </c>
      <c r="CD3612">
        <v>0.57999999999999996</v>
      </c>
      <c r="CE3612">
        <v>-0.36</v>
      </c>
      <c r="CF3612">
        <v>0.16</v>
      </c>
      <c r="CG3612">
        <v>0</v>
      </c>
      <c r="CH3612">
        <v>-0.57999999999999996</v>
      </c>
      <c r="CI3612">
        <v>0</v>
      </c>
      <c r="CJ3612">
        <v>-1.3</v>
      </c>
      <c r="CK3612">
        <v>87</v>
      </c>
      <c r="CL3612">
        <v>-0.78</v>
      </c>
      <c r="CM3612">
        <v>84</v>
      </c>
      <c r="CN3612">
        <v>-0.24</v>
      </c>
      <c r="CO3612">
        <v>82</v>
      </c>
      <c r="CP3612">
        <v>-3.7</v>
      </c>
      <c r="CQ3612">
        <v>89</v>
      </c>
      <c r="CR3612">
        <v>0</v>
      </c>
      <c r="CS3612">
        <v>0</v>
      </c>
      <c r="CT3612">
        <v>11.2</v>
      </c>
      <c r="CU3612">
        <v>76</v>
      </c>
      <c r="CV3612">
        <v>0.18</v>
      </c>
      <c r="CW3612">
        <v>25</v>
      </c>
      <c r="CX3612" t="s">
        <v>9668</v>
      </c>
    </row>
    <row r="3613" spans="1:102" x14ac:dyDescent="0.3">
      <c r="A3613" t="str">
        <f>HYPERLINK("https://webapp.icbf.com/v2/app/bull-search/view/77854864","MTK")</f>
        <v>MTK</v>
      </c>
      <c r="B3613" t="s">
        <v>1490</v>
      </c>
      <c r="C3613" t="s">
        <v>1491</v>
      </c>
      <c r="D3613" s="1">
        <v>34676</v>
      </c>
      <c r="E3613" t="s">
        <v>92</v>
      </c>
      <c r="F3613">
        <v>97</v>
      </c>
      <c r="G3613" t="s">
        <v>93</v>
      </c>
      <c r="H3613">
        <v>-49.14</v>
      </c>
      <c r="I3613">
        <v>83</v>
      </c>
      <c r="J3613">
        <v>-21.86</v>
      </c>
      <c r="K3613">
        <v>97</v>
      </c>
      <c r="L3613">
        <v>-29.35</v>
      </c>
      <c r="M3613">
        <v>76</v>
      </c>
      <c r="N3613">
        <v>0.9</v>
      </c>
      <c r="O3613">
        <v>74</v>
      </c>
      <c r="P3613">
        <v>-2.6</v>
      </c>
      <c r="Q3613">
        <v>89</v>
      </c>
      <c r="R3613">
        <v>-9.02</v>
      </c>
      <c r="S3613">
        <v>76</v>
      </c>
      <c r="T3613">
        <v>16.86</v>
      </c>
      <c r="U3613">
        <v>85</v>
      </c>
      <c r="V3613">
        <v>-4.07</v>
      </c>
      <c r="W3613">
        <v>47</v>
      </c>
      <c r="X3613" t="s">
        <v>94</v>
      </c>
      <c r="Y3613" t="s">
        <v>95</v>
      </c>
      <c r="Z3613" t="s">
        <v>96</v>
      </c>
      <c r="AA3613" t="s">
        <v>105</v>
      </c>
      <c r="AB3613" t="s">
        <v>177</v>
      </c>
      <c r="AC3613">
        <v>160</v>
      </c>
      <c r="AD3613">
        <v>120</v>
      </c>
      <c r="AE3613">
        <v>97</v>
      </c>
      <c r="AF3613">
        <v>-234.44</v>
      </c>
      <c r="AG3613">
        <v>-6.66</v>
      </c>
      <c r="AH3613">
        <v>-4.95</v>
      </c>
      <c r="AI3613">
        <v>0.04</v>
      </c>
      <c r="AJ3613">
        <v>0.05</v>
      </c>
      <c r="AK3613">
        <v>76</v>
      </c>
      <c r="AL3613">
        <v>193</v>
      </c>
      <c r="AM3613">
        <v>137</v>
      </c>
      <c r="AN3613">
        <v>1.67</v>
      </c>
      <c r="AO3613">
        <v>-0.67</v>
      </c>
      <c r="AP3613">
        <v>3</v>
      </c>
      <c r="AQ3613">
        <v>1</v>
      </c>
      <c r="AR3613">
        <v>8.7899999999999991</v>
      </c>
      <c r="AS3613">
        <v>46</v>
      </c>
      <c r="AT3613">
        <v>3.99</v>
      </c>
      <c r="AU3613">
        <v>72</v>
      </c>
      <c r="AV3613">
        <v>-0.86</v>
      </c>
      <c r="AW3613">
        <v>81</v>
      </c>
      <c r="AX3613">
        <v>-0.33</v>
      </c>
      <c r="AY3613">
        <v>88</v>
      </c>
      <c r="AZ3613">
        <v>5.21</v>
      </c>
      <c r="BA3613">
        <v>49</v>
      </c>
      <c r="BB3613">
        <v>4.33</v>
      </c>
      <c r="BC3613">
        <v>71</v>
      </c>
      <c r="BD3613">
        <v>0.05</v>
      </c>
      <c r="BE3613">
        <v>0.06</v>
      </c>
      <c r="BF3613">
        <v>0.01</v>
      </c>
      <c r="BG3613">
        <v>92</v>
      </c>
      <c r="BH3613">
        <v>0.03</v>
      </c>
      <c r="BI3613">
        <v>16.600000000000001</v>
      </c>
      <c r="BJ3613">
        <v>20</v>
      </c>
      <c r="BK3613">
        <v>15</v>
      </c>
      <c r="BL3613">
        <v>0.33</v>
      </c>
      <c r="BM3613">
        <v>0.27</v>
      </c>
      <c r="BN3613">
        <v>0.56000000000000005</v>
      </c>
      <c r="BO3613">
        <v>-0.02</v>
      </c>
      <c r="BP3613">
        <v>-1.92</v>
      </c>
      <c r="BQ3613">
        <v>-0.32</v>
      </c>
      <c r="BR3613">
        <v>-1.73</v>
      </c>
      <c r="BS3613">
        <v>0.96</v>
      </c>
      <c r="BT3613">
        <v>1.81</v>
      </c>
      <c r="BU3613">
        <v>0.85</v>
      </c>
      <c r="BV3613">
        <v>1.23</v>
      </c>
      <c r="BW3613">
        <v>0.91</v>
      </c>
      <c r="BX3613">
        <v>0.86</v>
      </c>
      <c r="BY3613">
        <v>1.08</v>
      </c>
      <c r="BZ3613">
        <v>0.14000000000000001</v>
      </c>
      <c r="CA3613">
        <v>1.07</v>
      </c>
      <c r="CB3613">
        <v>0.9</v>
      </c>
      <c r="CC3613">
        <v>0.88</v>
      </c>
      <c r="CD3613">
        <v>0.16</v>
      </c>
      <c r="CE3613">
        <v>-0.21</v>
      </c>
      <c r="CF3613">
        <v>7.0000000000000007E-2</v>
      </c>
      <c r="CG3613">
        <v>0</v>
      </c>
      <c r="CH3613">
        <v>1.18</v>
      </c>
      <c r="CI3613">
        <v>0</v>
      </c>
      <c r="CJ3613">
        <v>0.9</v>
      </c>
      <c r="CK3613">
        <v>89</v>
      </c>
      <c r="CL3613">
        <v>-0.41</v>
      </c>
      <c r="CM3613">
        <v>88</v>
      </c>
      <c r="CN3613">
        <v>-0.1</v>
      </c>
      <c r="CO3613">
        <v>86</v>
      </c>
      <c r="CP3613">
        <v>-5.2</v>
      </c>
      <c r="CQ3613">
        <v>92</v>
      </c>
      <c r="CR3613">
        <v>0</v>
      </c>
      <c r="CS3613">
        <v>0</v>
      </c>
      <c r="CT3613">
        <v>-9</v>
      </c>
      <c r="CU3613">
        <v>85</v>
      </c>
      <c r="CV3613">
        <v>0.15</v>
      </c>
      <c r="CW3613">
        <v>25</v>
      </c>
      <c r="CX3613" t="s">
        <v>118</v>
      </c>
    </row>
    <row r="3614" spans="1:102" x14ac:dyDescent="0.3">
      <c r="A3614" t="str">
        <f>HYPERLINK("https://webapp.icbf.com/v2/app/bull-search/view/77856343","JPT")</f>
        <v>JPT</v>
      </c>
      <c r="B3614" t="s">
        <v>10423</v>
      </c>
      <c r="C3614" t="s">
        <v>2050</v>
      </c>
      <c r="D3614" s="1">
        <v>34420</v>
      </c>
      <c r="E3614" t="s">
        <v>92</v>
      </c>
      <c r="F3614">
        <v>100</v>
      </c>
      <c r="G3614" t="s">
        <v>93</v>
      </c>
      <c r="H3614">
        <v>-49.15</v>
      </c>
      <c r="I3614">
        <v>62</v>
      </c>
      <c r="J3614">
        <v>-26.83</v>
      </c>
      <c r="K3614">
        <v>88</v>
      </c>
      <c r="L3614">
        <v>-34.86</v>
      </c>
      <c r="M3614">
        <v>52</v>
      </c>
      <c r="N3614">
        <v>5.41</v>
      </c>
      <c r="O3614">
        <v>41</v>
      </c>
      <c r="P3614">
        <v>3.31</v>
      </c>
      <c r="Q3614">
        <v>56</v>
      </c>
      <c r="R3614">
        <v>-3.45</v>
      </c>
      <c r="S3614">
        <v>58</v>
      </c>
      <c r="T3614">
        <v>8.5</v>
      </c>
      <c r="U3614">
        <v>49</v>
      </c>
      <c r="V3614">
        <v>-1.23</v>
      </c>
      <c r="W3614">
        <v>28</v>
      </c>
      <c r="X3614" t="s">
        <v>94</v>
      </c>
      <c r="Y3614" t="s">
        <v>95</v>
      </c>
      <c r="Z3614" t="s">
        <v>96</v>
      </c>
      <c r="AA3614" t="s">
        <v>207</v>
      </c>
      <c r="AB3614" t="s">
        <v>10424</v>
      </c>
      <c r="AC3614">
        <v>41</v>
      </c>
      <c r="AD3614">
        <v>27</v>
      </c>
      <c r="AE3614">
        <v>88</v>
      </c>
      <c r="AF3614">
        <v>-39.520000000000003</v>
      </c>
      <c r="AG3614">
        <v>-4.49</v>
      </c>
      <c r="AH3614">
        <v>-3.58</v>
      </c>
      <c r="AI3614">
        <v>-0.05</v>
      </c>
      <c r="AJ3614">
        <v>-0.04</v>
      </c>
      <c r="AK3614">
        <v>52</v>
      </c>
      <c r="AL3614">
        <v>39</v>
      </c>
      <c r="AM3614">
        <v>23</v>
      </c>
      <c r="AN3614">
        <v>1.93</v>
      </c>
      <c r="AO3614">
        <v>-0.85</v>
      </c>
      <c r="AP3614">
        <v>4</v>
      </c>
      <c r="AQ3614">
        <v>1</v>
      </c>
      <c r="AR3614">
        <v>8.82</v>
      </c>
      <c r="AS3614">
        <v>27</v>
      </c>
      <c r="AT3614">
        <v>3.83</v>
      </c>
      <c r="AU3614">
        <v>40</v>
      </c>
      <c r="AV3614">
        <v>-1.87</v>
      </c>
      <c r="AW3614">
        <v>43</v>
      </c>
      <c r="AX3614">
        <v>-0.46</v>
      </c>
      <c r="AY3614">
        <v>58</v>
      </c>
      <c r="AZ3614">
        <v>6.88</v>
      </c>
      <c r="BA3614">
        <v>28</v>
      </c>
      <c r="BB3614">
        <v>4.96</v>
      </c>
      <c r="BC3614">
        <v>35</v>
      </c>
      <c r="BD3614">
        <v>-0.01</v>
      </c>
      <c r="BE3614">
        <v>0.04</v>
      </c>
      <c r="BF3614">
        <v>0.02</v>
      </c>
      <c r="BG3614">
        <v>72</v>
      </c>
      <c r="BH3614">
        <v>0.02</v>
      </c>
      <c r="BI3614">
        <v>6.27</v>
      </c>
      <c r="BJ3614">
        <v>6</v>
      </c>
      <c r="BK3614">
        <v>4</v>
      </c>
      <c r="BL3614">
        <v>0.54</v>
      </c>
      <c r="BM3614">
        <v>-0.6</v>
      </c>
      <c r="BN3614">
        <v>-0.39</v>
      </c>
      <c r="BO3614">
        <v>0.31</v>
      </c>
      <c r="BP3614">
        <v>1.26</v>
      </c>
      <c r="BQ3614">
        <v>-0.65</v>
      </c>
      <c r="BR3614">
        <v>-0.12</v>
      </c>
      <c r="BS3614">
        <v>-1.5</v>
      </c>
      <c r="BT3614">
        <v>0.45</v>
      </c>
      <c r="BU3614">
        <v>-0.51</v>
      </c>
      <c r="BV3614">
        <v>-0.41</v>
      </c>
      <c r="BW3614">
        <v>0</v>
      </c>
      <c r="BX3614">
        <v>0.69</v>
      </c>
      <c r="BY3614">
        <v>0.15</v>
      </c>
      <c r="BZ3614">
        <v>-1.33</v>
      </c>
      <c r="CA3614">
        <v>-0.56999999999999995</v>
      </c>
      <c r="CB3614">
        <v>-0.23</v>
      </c>
      <c r="CC3614">
        <v>-1.08</v>
      </c>
      <c r="CD3614">
        <v>-0.79</v>
      </c>
      <c r="CE3614">
        <v>0.49</v>
      </c>
      <c r="CF3614">
        <v>0.08</v>
      </c>
      <c r="CG3614">
        <v>0</v>
      </c>
      <c r="CH3614">
        <v>-0.18</v>
      </c>
      <c r="CI3614">
        <v>0</v>
      </c>
      <c r="CJ3614">
        <v>4.3</v>
      </c>
      <c r="CK3614">
        <v>57</v>
      </c>
      <c r="CL3614">
        <v>-0.44</v>
      </c>
      <c r="CM3614">
        <v>54</v>
      </c>
      <c r="CN3614">
        <v>-0.17</v>
      </c>
      <c r="CO3614">
        <v>48</v>
      </c>
      <c r="CP3614">
        <v>-0.5</v>
      </c>
      <c r="CQ3614">
        <v>65</v>
      </c>
      <c r="CR3614">
        <v>0</v>
      </c>
      <c r="CS3614">
        <v>0</v>
      </c>
      <c r="CT3614">
        <v>2.2999999999999998</v>
      </c>
      <c r="CU3614">
        <v>49</v>
      </c>
      <c r="CV3614">
        <v>0.21</v>
      </c>
      <c r="CW3614">
        <v>15</v>
      </c>
      <c r="CX3614" t="s">
        <v>724</v>
      </c>
    </row>
    <row r="3615" spans="1:102" x14ac:dyDescent="0.3">
      <c r="A3615" t="str">
        <f>HYPERLINK("https://webapp.icbf.com/v2/app/bull-search/view/584434002","TPZ")</f>
        <v>TPZ</v>
      </c>
      <c r="B3615" t="s">
        <v>12516</v>
      </c>
      <c r="C3615" t="s">
        <v>12517</v>
      </c>
      <c r="D3615" s="1">
        <v>37044</v>
      </c>
      <c r="E3615" t="s">
        <v>1061</v>
      </c>
      <c r="F3615">
        <v>0</v>
      </c>
      <c r="G3615" t="s">
        <v>109</v>
      </c>
      <c r="H3615">
        <v>-49.22</v>
      </c>
      <c r="I3615">
        <v>73</v>
      </c>
      <c r="J3615">
        <v>-34.74</v>
      </c>
      <c r="K3615">
        <v>84</v>
      </c>
      <c r="L3615">
        <v>47.46</v>
      </c>
      <c r="M3615">
        <v>69</v>
      </c>
      <c r="N3615">
        <v>-76.260000000000005</v>
      </c>
      <c r="O3615">
        <v>66</v>
      </c>
      <c r="P3615">
        <v>-41.73</v>
      </c>
      <c r="Q3615">
        <v>83</v>
      </c>
      <c r="R3615">
        <v>8.19</v>
      </c>
      <c r="S3615">
        <v>48</v>
      </c>
      <c r="T3615">
        <v>51.27</v>
      </c>
      <c r="U3615">
        <v>73</v>
      </c>
      <c r="V3615">
        <v>-3.41</v>
      </c>
      <c r="W3615">
        <v>39</v>
      </c>
      <c r="X3615" t="s">
        <v>94</v>
      </c>
      <c r="Y3615" t="s">
        <v>270</v>
      </c>
      <c r="Z3615">
        <v>0</v>
      </c>
      <c r="AA3615" t="s">
        <v>5375</v>
      </c>
      <c r="AB3615" t="s">
        <v>12518</v>
      </c>
      <c r="AC3615">
        <v>0</v>
      </c>
      <c r="AD3615">
        <v>0</v>
      </c>
      <c r="AE3615">
        <v>84</v>
      </c>
      <c r="AF3615">
        <v>-176.34</v>
      </c>
      <c r="AG3615">
        <v>-7.51</v>
      </c>
      <c r="AH3615">
        <v>-5.95</v>
      </c>
      <c r="AI3615">
        <v>-0.01</v>
      </c>
      <c r="AJ3615">
        <v>0</v>
      </c>
      <c r="AK3615">
        <v>69</v>
      </c>
      <c r="AL3615">
        <v>0</v>
      </c>
      <c r="AM3615">
        <v>0</v>
      </c>
      <c r="AN3615">
        <v>-1.44</v>
      </c>
      <c r="AO3615">
        <v>2.36</v>
      </c>
      <c r="AP3615">
        <v>27</v>
      </c>
      <c r="AQ3615">
        <v>1</v>
      </c>
      <c r="AR3615">
        <v>15.1</v>
      </c>
      <c r="AS3615">
        <v>37</v>
      </c>
      <c r="AT3615">
        <v>5.57</v>
      </c>
      <c r="AU3615">
        <v>62</v>
      </c>
      <c r="AV3615">
        <v>0.85</v>
      </c>
      <c r="AW3615">
        <v>86</v>
      </c>
      <c r="AX3615">
        <v>0.18</v>
      </c>
      <c r="AY3615">
        <v>63</v>
      </c>
      <c r="AZ3615">
        <v>8.7899999999999991</v>
      </c>
      <c r="BA3615">
        <v>32</v>
      </c>
      <c r="BB3615">
        <v>6.69</v>
      </c>
      <c r="BC3615">
        <v>42</v>
      </c>
      <c r="BD3615">
        <v>0.01</v>
      </c>
      <c r="BE3615">
        <v>-0.05</v>
      </c>
      <c r="BF3615">
        <v>-0.11</v>
      </c>
      <c r="BG3615">
        <v>58</v>
      </c>
      <c r="BH3615">
        <v>-0.11</v>
      </c>
      <c r="BI3615">
        <v>-1.71</v>
      </c>
      <c r="BJ3615">
        <v>0</v>
      </c>
      <c r="BK3615">
        <v>0</v>
      </c>
      <c r="BL3615">
        <v>0</v>
      </c>
      <c r="BM3615">
        <v>0</v>
      </c>
      <c r="BN3615">
        <v>0</v>
      </c>
      <c r="BO3615">
        <v>0</v>
      </c>
      <c r="BP3615">
        <v>0</v>
      </c>
      <c r="BQ3615">
        <v>0</v>
      </c>
      <c r="BR3615">
        <v>0</v>
      </c>
      <c r="BS3615">
        <v>0</v>
      </c>
      <c r="BT3615">
        <v>0</v>
      </c>
      <c r="BU3615">
        <v>0</v>
      </c>
      <c r="BV3615">
        <v>0</v>
      </c>
      <c r="BW3615">
        <v>0</v>
      </c>
      <c r="BX3615">
        <v>0</v>
      </c>
      <c r="BY3615">
        <v>0</v>
      </c>
      <c r="BZ3615">
        <v>0</v>
      </c>
      <c r="CA3615">
        <v>0</v>
      </c>
      <c r="CB3615">
        <v>0</v>
      </c>
      <c r="CC3615">
        <v>0</v>
      </c>
      <c r="CD3615">
        <v>0</v>
      </c>
      <c r="CE3615">
        <v>0</v>
      </c>
      <c r="CF3615">
        <v>0</v>
      </c>
      <c r="CG3615">
        <v>0</v>
      </c>
      <c r="CH3615">
        <v>0</v>
      </c>
      <c r="CI3615">
        <v>0</v>
      </c>
      <c r="CJ3615">
        <v>-21.8</v>
      </c>
      <c r="CK3615">
        <v>85</v>
      </c>
      <c r="CL3615">
        <v>-0.77</v>
      </c>
      <c r="CM3615">
        <v>83</v>
      </c>
      <c r="CN3615">
        <v>-0.12</v>
      </c>
      <c r="CO3615">
        <v>80</v>
      </c>
      <c r="CP3615">
        <v>-34</v>
      </c>
      <c r="CQ3615">
        <v>78</v>
      </c>
      <c r="CR3615">
        <v>0</v>
      </c>
      <c r="CS3615">
        <v>0</v>
      </c>
      <c r="CT3615">
        <v>-55.5</v>
      </c>
      <c r="CU3615">
        <v>73</v>
      </c>
      <c r="CV3615">
        <v>-0.2</v>
      </c>
      <c r="CW3615">
        <v>42</v>
      </c>
      <c r="CX3615" t="s">
        <v>12519</v>
      </c>
    </row>
    <row r="3616" spans="1:102" x14ac:dyDescent="0.3">
      <c r="A3616" t="str">
        <f>HYPERLINK("https://webapp.icbf.com/v2/app/bull-search/view/444517527","ETD")</f>
        <v>ETD</v>
      </c>
      <c r="B3616" t="s">
        <v>8832</v>
      </c>
      <c r="C3616" t="s">
        <v>8833</v>
      </c>
      <c r="D3616" s="1">
        <v>36474</v>
      </c>
      <c r="E3616" t="s">
        <v>92</v>
      </c>
      <c r="F3616">
        <v>100</v>
      </c>
      <c r="G3616" t="s">
        <v>93</v>
      </c>
      <c r="H3616">
        <v>-49.45</v>
      </c>
      <c r="I3616">
        <v>96</v>
      </c>
      <c r="J3616">
        <v>-4.96</v>
      </c>
      <c r="K3616">
        <v>99</v>
      </c>
      <c r="L3616">
        <v>-65.16</v>
      </c>
      <c r="M3616">
        <v>92</v>
      </c>
      <c r="N3616">
        <v>15.64</v>
      </c>
      <c r="O3616">
        <v>97</v>
      </c>
      <c r="P3616">
        <v>-12.51</v>
      </c>
      <c r="Q3616">
        <v>99</v>
      </c>
      <c r="R3616">
        <v>12.4</v>
      </c>
      <c r="S3616">
        <v>94</v>
      </c>
      <c r="T3616">
        <v>4.0599999999999996</v>
      </c>
      <c r="U3616">
        <v>97</v>
      </c>
      <c r="V3616">
        <v>1.08</v>
      </c>
      <c r="W3616">
        <v>95</v>
      </c>
      <c r="X3616" t="s">
        <v>94</v>
      </c>
      <c r="Y3616" t="s">
        <v>1208</v>
      </c>
      <c r="Z3616" t="s">
        <v>96</v>
      </c>
      <c r="AA3616" t="s">
        <v>311</v>
      </c>
      <c r="AB3616" t="s">
        <v>8834</v>
      </c>
      <c r="AC3616">
        <v>883</v>
      </c>
      <c r="AD3616">
        <v>252</v>
      </c>
      <c r="AE3616">
        <v>99</v>
      </c>
      <c r="AF3616">
        <v>157.52000000000001</v>
      </c>
      <c r="AG3616">
        <v>-3.23</v>
      </c>
      <c r="AH3616">
        <v>2.71</v>
      </c>
      <c r="AI3616">
        <v>-0.16</v>
      </c>
      <c r="AJ3616">
        <v>-0.05</v>
      </c>
      <c r="AK3616">
        <v>92</v>
      </c>
      <c r="AL3616">
        <v>913</v>
      </c>
      <c r="AM3616">
        <v>290</v>
      </c>
      <c r="AN3616">
        <v>3.3</v>
      </c>
      <c r="AO3616">
        <v>-1.9</v>
      </c>
      <c r="AP3616">
        <v>1898</v>
      </c>
      <c r="AQ3616">
        <v>5</v>
      </c>
      <c r="AR3616">
        <v>6.07</v>
      </c>
      <c r="AS3616">
        <v>98</v>
      </c>
      <c r="AT3616">
        <v>2.5099999999999998</v>
      </c>
      <c r="AU3616">
        <v>97</v>
      </c>
      <c r="AV3616">
        <v>-1.55</v>
      </c>
      <c r="AW3616">
        <v>99</v>
      </c>
      <c r="AX3616">
        <v>-0.51</v>
      </c>
      <c r="AY3616">
        <v>97</v>
      </c>
      <c r="AZ3616">
        <v>6.98</v>
      </c>
      <c r="BA3616">
        <v>92</v>
      </c>
      <c r="BB3616">
        <v>6.09</v>
      </c>
      <c r="BC3616">
        <v>92</v>
      </c>
      <c r="BD3616">
        <v>-0.03</v>
      </c>
      <c r="BE3616">
        <v>-0.05</v>
      </c>
      <c r="BF3616">
        <v>-0.14000000000000001</v>
      </c>
      <c r="BG3616">
        <v>98</v>
      </c>
      <c r="BH3616">
        <v>-0.12</v>
      </c>
      <c r="BI3616">
        <v>-17.37</v>
      </c>
      <c r="BJ3616">
        <v>179</v>
      </c>
      <c r="BK3616">
        <v>56</v>
      </c>
      <c r="BL3616">
        <v>0.36</v>
      </c>
      <c r="BM3616">
        <v>-2</v>
      </c>
      <c r="BN3616">
        <v>-1.73</v>
      </c>
      <c r="BO3616">
        <v>0.33</v>
      </c>
      <c r="BP3616">
        <v>-0.82</v>
      </c>
      <c r="BQ3616">
        <v>0.32</v>
      </c>
      <c r="BR3616">
        <v>1.07</v>
      </c>
      <c r="BS3616">
        <v>-0.22</v>
      </c>
      <c r="BT3616">
        <v>-0.62</v>
      </c>
      <c r="BU3616">
        <v>2.2200000000000002</v>
      </c>
      <c r="BV3616">
        <v>2.0699999999999998</v>
      </c>
      <c r="BW3616">
        <v>2.88</v>
      </c>
      <c r="BX3616">
        <v>3.25</v>
      </c>
      <c r="BY3616">
        <v>0.47</v>
      </c>
      <c r="BZ3616">
        <v>-2.23</v>
      </c>
      <c r="CA3616">
        <v>1.52</v>
      </c>
      <c r="CB3616">
        <v>1.54</v>
      </c>
      <c r="CC3616">
        <v>0.52</v>
      </c>
      <c r="CD3616">
        <v>-0.77</v>
      </c>
      <c r="CE3616">
        <v>0.44</v>
      </c>
      <c r="CF3616">
        <v>-0.46</v>
      </c>
      <c r="CG3616">
        <v>0</v>
      </c>
      <c r="CH3616">
        <v>0.57999999999999996</v>
      </c>
      <c r="CI3616">
        <v>0</v>
      </c>
      <c r="CJ3616">
        <v>-5.9</v>
      </c>
      <c r="CK3616">
        <v>99</v>
      </c>
      <c r="CL3616">
        <v>-1.05</v>
      </c>
      <c r="CM3616">
        <v>99</v>
      </c>
      <c r="CN3616">
        <v>-0.56000000000000005</v>
      </c>
      <c r="CO3616">
        <v>99</v>
      </c>
      <c r="CP3616">
        <v>-0.6</v>
      </c>
      <c r="CQ3616">
        <v>98</v>
      </c>
      <c r="CR3616">
        <v>0</v>
      </c>
      <c r="CS3616">
        <v>0</v>
      </c>
      <c r="CT3616">
        <v>8.3000000000000007</v>
      </c>
      <c r="CU3616">
        <v>97</v>
      </c>
      <c r="CV3616">
        <v>0.11</v>
      </c>
      <c r="CW3616">
        <v>46</v>
      </c>
      <c r="CX3616" t="s">
        <v>715</v>
      </c>
    </row>
    <row r="3617" spans="1:102" x14ac:dyDescent="0.3">
      <c r="A3617" t="str">
        <f>HYPERLINK("https://webapp.icbf.com/v2/app/bull-search/view/77859175","ACY")</f>
        <v>ACY</v>
      </c>
      <c r="B3617" t="s">
        <v>10667</v>
      </c>
      <c r="C3617" t="s">
        <v>10668</v>
      </c>
      <c r="D3617" s="1">
        <v>31524</v>
      </c>
      <c r="E3617" t="s">
        <v>92</v>
      </c>
      <c r="F3617">
        <v>100</v>
      </c>
      <c r="G3617" t="s">
        <v>109</v>
      </c>
      <c r="H3617">
        <v>-49.45</v>
      </c>
      <c r="I3617">
        <v>75</v>
      </c>
      <c r="J3617">
        <v>-50.64</v>
      </c>
      <c r="K3617">
        <v>88</v>
      </c>
      <c r="L3617">
        <v>-23.5</v>
      </c>
      <c r="M3617">
        <v>81</v>
      </c>
      <c r="N3617">
        <v>3.03</v>
      </c>
      <c r="O3617">
        <v>56</v>
      </c>
      <c r="P3617">
        <v>0.79</v>
      </c>
      <c r="Q3617">
        <v>62</v>
      </c>
      <c r="R3617">
        <v>5.93</v>
      </c>
      <c r="S3617">
        <v>65</v>
      </c>
      <c r="T3617">
        <v>19.010000000000002</v>
      </c>
      <c r="U3617">
        <v>62</v>
      </c>
      <c r="V3617">
        <v>-4.07</v>
      </c>
      <c r="W3617">
        <v>25</v>
      </c>
      <c r="X3617" t="s">
        <v>110</v>
      </c>
      <c r="Y3617" t="s">
        <v>95</v>
      </c>
      <c r="Z3617" t="s">
        <v>96</v>
      </c>
      <c r="AA3617" t="s">
        <v>543</v>
      </c>
      <c r="AB3617" t="s">
        <v>10669</v>
      </c>
      <c r="AC3617">
        <v>32</v>
      </c>
      <c r="AD3617">
        <v>22</v>
      </c>
      <c r="AE3617">
        <v>88</v>
      </c>
      <c r="AF3617">
        <v>30.95</v>
      </c>
      <c r="AG3617">
        <v>-1.38</v>
      </c>
      <c r="AH3617">
        <v>-7.65</v>
      </c>
      <c r="AI3617">
        <v>-0.04</v>
      </c>
      <c r="AJ3617">
        <v>-0.14000000000000001</v>
      </c>
      <c r="AK3617">
        <v>81</v>
      </c>
      <c r="AL3617">
        <v>34</v>
      </c>
      <c r="AM3617">
        <v>23</v>
      </c>
      <c r="AN3617">
        <v>2.4</v>
      </c>
      <c r="AO3617">
        <v>0.54</v>
      </c>
      <c r="AP3617">
        <v>8</v>
      </c>
      <c r="AQ3617">
        <v>0</v>
      </c>
      <c r="AR3617">
        <v>5.31</v>
      </c>
      <c r="AS3617">
        <v>31</v>
      </c>
      <c r="AT3617">
        <v>2.35</v>
      </c>
      <c r="AU3617">
        <v>69</v>
      </c>
      <c r="AV3617">
        <v>-0.26</v>
      </c>
      <c r="AW3617">
        <v>60</v>
      </c>
      <c r="AX3617">
        <v>-0.84</v>
      </c>
      <c r="AY3617">
        <v>59</v>
      </c>
      <c r="AZ3617">
        <v>8.94</v>
      </c>
      <c r="BA3617">
        <v>29</v>
      </c>
      <c r="BB3617">
        <v>6.5</v>
      </c>
      <c r="BC3617">
        <v>37</v>
      </c>
      <c r="BD3617">
        <v>0.04</v>
      </c>
      <c r="BE3617">
        <v>0.03</v>
      </c>
      <c r="BF3617">
        <v>-0.26</v>
      </c>
      <c r="BG3617">
        <v>86</v>
      </c>
      <c r="BH3617">
        <v>-0.09</v>
      </c>
      <c r="BI3617">
        <v>2.72</v>
      </c>
      <c r="BJ3617">
        <v>12</v>
      </c>
      <c r="BK3617">
        <v>11</v>
      </c>
      <c r="BL3617">
        <v>0.71</v>
      </c>
      <c r="BM3617">
        <v>-0.82</v>
      </c>
      <c r="BN3617">
        <v>0.75</v>
      </c>
      <c r="BO3617">
        <v>0.88</v>
      </c>
      <c r="BP3617">
        <v>0.17</v>
      </c>
      <c r="BQ3617">
        <v>0.38</v>
      </c>
      <c r="BR3617">
        <v>0.54</v>
      </c>
      <c r="BS3617">
        <v>-1.33</v>
      </c>
      <c r="BT3617">
        <v>-0.56000000000000005</v>
      </c>
      <c r="BU3617">
        <v>1.1299999999999999</v>
      </c>
      <c r="BV3617">
        <v>0.26</v>
      </c>
      <c r="BW3617">
        <v>0.8</v>
      </c>
      <c r="BX3617">
        <v>0.99</v>
      </c>
      <c r="BY3617">
        <v>0.46</v>
      </c>
      <c r="BZ3617">
        <v>-0.69</v>
      </c>
      <c r="CA3617">
        <v>0.34</v>
      </c>
      <c r="CB3617">
        <v>0.61</v>
      </c>
      <c r="CC3617">
        <v>-0.23</v>
      </c>
      <c r="CD3617">
        <v>-1.04</v>
      </c>
      <c r="CE3617">
        <v>0.17</v>
      </c>
      <c r="CF3617">
        <v>-0.19</v>
      </c>
      <c r="CG3617">
        <v>0</v>
      </c>
      <c r="CH3617">
        <v>0.72</v>
      </c>
      <c r="CI3617">
        <v>0</v>
      </c>
      <c r="CJ3617">
        <v>-1.2</v>
      </c>
      <c r="CK3617">
        <v>64</v>
      </c>
      <c r="CL3617">
        <v>-0.44</v>
      </c>
      <c r="CM3617">
        <v>60</v>
      </c>
      <c r="CN3617">
        <v>-0.67</v>
      </c>
      <c r="CO3617">
        <v>55</v>
      </c>
      <c r="CP3617">
        <v>-5.7</v>
      </c>
      <c r="CQ3617">
        <v>70</v>
      </c>
      <c r="CR3617">
        <v>0</v>
      </c>
      <c r="CS3617">
        <v>0</v>
      </c>
      <c r="CT3617">
        <v>-11.9</v>
      </c>
      <c r="CU3617">
        <v>62</v>
      </c>
      <c r="CV3617">
        <v>0.11</v>
      </c>
      <c r="CW3617">
        <v>17</v>
      </c>
      <c r="CX3617" t="s">
        <v>2792</v>
      </c>
    </row>
    <row r="3618" spans="1:102" x14ac:dyDescent="0.3">
      <c r="A3618" t="str">
        <f>HYPERLINK("https://webapp.icbf.com/v2/app/bull-search/view/77858635","CTN")</f>
        <v>CTN</v>
      </c>
      <c r="B3618" t="s">
        <v>15656</v>
      </c>
      <c r="C3618" t="s">
        <v>15657</v>
      </c>
      <c r="D3618" s="1">
        <v>34028</v>
      </c>
      <c r="E3618" t="s">
        <v>92</v>
      </c>
      <c r="F3618">
        <v>100</v>
      </c>
      <c r="G3618" t="s">
        <v>93</v>
      </c>
      <c r="H3618">
        <v>-49.45</v>
      </c>
      <c r="I3618">
        <v>65</v>
      </c>
      <c r="J3618">
        <v>-31.38</v>
      </c>
      <c r="K3618">
        <v>82</v>
      </c>
      <c r="L3618">
        <v>-7.46</v>
      </c>
      <c r="M3618">
        <v>55</v>
      </c>
      <c r="N3618">
        <v>-13.4</v>
      </c>
      <c r="O3618">
        <v>49</v>
      </c>
      <c r="P3618">
        <v>8.15</v>
      </c>
      <c r="Q3618">
        <v>68</v>
      </c>
      <c r="R3618">
        <v>-9.06</v>
      </c>
      <c r="S3618">
        <v>60</v>
      </c>
      <c r="T3618">
        <v>8.7899999999999991</v>
      </c>
      <c r="U3618">
        <v>69</v>
      </c>
      <c r="V3618">
        <v>-5.09</v>
      </c>
      <c r="W3618">
        <v>33</v>
      </c>
      <c r="X3618" t="s">
        <v>94</v>
      </c>
      <c r="Y3618" t="s">
        <v>95</v>
      </c>
      <c r="Z3618" t="s">
        <v>96</v>
      </c>
      <c r="AA3618" t="s">
        <v>161</v>
      </c>
      <c r="AB3618" t="s">
        <v>15658</v>
      </c>
      <c r="AC3618">
        <v>29</v>
      </c>
      <c r="AD3618">
        <v>26</v>
      </c>
      <c r="AE3618">
        <v>82</v>
      </c>
      <c r="AF3618">
        <v>-73.510000000000005</v>
      </c>
      <c r="AG3618">
        <v>-6.34</v>
      </c>
      <c r="AH3618">
        <v>-4.22</v>
      </c>
      <c r="AI3618">
        <v>-0.06</v>
      </c>
      <c r="AJ3618">
        <v>-0.03</v>
      </c>
      <c r="AK3618">
        <v>55</v>
      </c>
      <c r="AL3618">
        <v>41</v>
      </c>
      <c r="AM3618">
        <v>31</v>
      </c>
      <c r="AN3618">
        <v>0.79</v>
      </c>
      <c r="AO3618">
        <v>0.2</v>
      </c>
      <c r="AP3618">
        <v>0</v>
      </c>
      <c r="AQ3618">
        <v>2</v>
      </c>
      <c r="AR3618">
        <v>7.44</v>
      </c>
      <c r="AS3618">
        <v>31</v>
      </c>
      <c r="AT3618">
        <v>3.67</v>
      </c>
      <c r="AU3618">
        <v>43</v>
      </c>
      <c r="AV3618">
        <v>0.88</v>
      </c>
      <c r="AW3618">
        <v>55</v>
      </c>
      <c r="AX3618">
        <v>-0.33</v>
      </c>
      <c r="AY3618">
        <v>65</v>
      </c>
      <c r="AZ3618">
        <v>7.03</v>
      </c>
      <c r="BA3618">
        <v>32</v>
      </c>
      <c r="BB3618">
        <v>5.36</v>
      </c>
      <c r="BC3618">
        <v>42</v>
      </c>
      <c r="BD3618">
        <v>0.02</v>
      </c>
      <c r="BE3618">
        <v>0.05</v>
      </c>
      <c r="BF3618">
        <v>0.08</v>
      </c>
      <c r="BG3618">
        <v>75</v>
      </c>
      <c r="BH3618">
        <v>-0.03</v>
      </c>
      <c r="BI3618">
        <v>12.96</v>
      </c>
      <c r="BJ3618">
        <v>4</v>
      </c>
      <c r="BK3618">
        <v>3</v>
      </c>
      <c r="BL3618">
        <v>0.55000000000000004</v>
      </c>
      <c r="BM3618">
        <v>0.89</v>
      </c>
      <c r="BN3618">
        <v>0.64</v>
      </c>
      <c r="BO3618">
        <v>-0.13</v>
      </c>
      <c r="BP3618">
        <v>-0.4</v>
      </c>
      <c r="BQ3618">
        <v>1.08</v>
      </c>
      <c r="BR3618">
        <v>-2.12</v>
      </c>
      <c r="BS3618">
        <v>0.99</v>
      </c>
      <c r="BT3618">
        <v>2.04</v>
      </c>
      <c r="BU3618">
        <v>-0.9</v>
      </c>
      <c r="BV3618">
        <v>-0.02</v>
      </c>
      <c r="BW3618">
        <v>0.22</v>
      </c>
      <c r="BX3618">
        <v>0.44</v>
      </c>
      <c r="BY3618">
        <v>-1.58</v>
      </c>
      <c r="BZ3618">
        <v>2.6</v>
      </c>
      <c r="CA3618">
        <v>-0.03</v>
      </c>
      <c r="CB3618">
        <v>-0.6</v>
      </c>
      <c r="CC3618">
        <v>1.1599999999999999</v>
      </c>
      <c r="CD3618">
        <v>0.59</v>
      </c>
      <c r="CE3618">
        <v>0.05</v>
      </c>
      <c r="CF3618">
        <v>0.72</v>
      </c>
      <c r="CG3618">
        <v>0</v>
      </c>
      <c r="CH3618">
        <v>-0.34</v>
      </c>
      <c r="CI3618">
        <v>0</v>
      </c>
      <c r="CJ3618">
        <v>3.2</v>
      </c>
      <c r="CK3618">
        <v>70</v>
      </c>
      <c r="CL3618">
        <v>-0.11</v>
      </c>
      <c r="CM3618">
        <v>66</v>
      </c>
      <c r="CN3618">
        <v>-0.42</v>
      </c>
      <c r="CO3618">
        <v>62</v>
      </c>
      <c r="CP3618">
        <v>-0.3</v>
      </c>
      <c r="CQ3618">
        <v>75</v>
      </c>
      <c r="CR3618">
        <v>0</v>
      </c>
      <c r="CS3618">
        <v>0</v>
      </c>
      <c r="CT3618">
        <v>1.9</v>
      </c>
      <c r="CU3618">
        <v>69</v>
      </c>
      <c r="CV3618">
        <v>0.08</v>
      </c>
      <c r="CW3618">
        <v>19</v>
      </c>
      <c r="CX3618" t="s">
        <v>154</v>
      </c>
    </row>
    <row r="3619" spans="1:102" x14ac:dyDescent="0.3">
      <c r="A3619" t="str">
        <f>HYPERLINK("https://webapp.icbf.com/v2/app/bull-search/view/77859970","BTG")</f>
        <v>BTG</v>
      </c>
      <c r="B3619" t="s">
        <v>11250</v>
      </c>
      <c r="C3619" t="s">
        <v>11251</v>
      </c>
      <c r="D3619" s="1">
        <v>35249</v>
      </c>
      <c r="E3619" t="s">
        <v>92</v>
      </c>
      <c r="F3619">
        <v>97</v>
      </c>
      <c r="G3619" t="s">
        <v>93</v>
      </c>
      <c r="H3619">
        <v>-49.52</v>
      </c>
      <c r="I3619">
        <v>81</v>
      </c>
      <c r="J3619">
        <v>-39.659999999999997</v>
      </c>
      <c r="K3619">
        <v>96</v>
      </c>
      <c r="L3619">
        <v>-27.27</v>
      </c>
      <c r="M3619">
        <v>70</v>
      </c>
      <c r="N3619">
        <v>25.05</v>
      </c>
      <c r="O3619">
        <v>73</v>
      </c>
      <c r="P3619">
        <v>-10.25</v>
      </c>
      <c r="Q3619">
        <v>86</v>
      </c>
      <c r="R3619">
        <v>-16.57</v>
      </c>
      <c r="S3619">
        <v>73</v>
      </c>
      <c r="T3619">
        <v>21.97</v>
      </c>
      <c r="U3619">
        <v>84</v>
      </c>
      <c r="V3619">
        <v>-2.79</v>
      </c>
      <c r="W3619">
        <v>49</v>
      </c>
      <c r="X3619" t="s">
        <v>94</v>
      </c>
      <c r="Y3619" t="s">
        <v>95</v>
      </c>
      <c r="Z3619" t="s">
        <v>96</v>
      </c>
      <c r="AA3619" t="s">
        <v>753</v>
      </c>
      <c r="AB3619" t="s">
        <v>11252</v>
      </c>
      <c r="AC3619">
        <v>101</v>
      </c>
      <c r="AD3619">
        <v>75</v>
      </c>
      <c r="AE3619">
        <v>96</v>
      </c>
      <c r="AF3619">
        <v>-66.44</v>
      </c>
      <c r="AG3619">
        <v>-2.86</v>
      </c>
      <c r="AH3619">
        <v>-6.75</v>
      </c>
      <c r="AI3619">
        <v>0</v>
      </c>
      <c r="AJ3619">
        <v>-7.0000000000000007E-2</v>
      </c>
      <c r="AK3619">
        <v>70</v>
      </c>
      <c r="AL3619">
        <v>110</v>
      </c>
      <c r="AM3619">
        <v>76</v>
      </c>
      <c r="AN3619">
        <v>2.65</v>
      </c>
      <c r="AO3619">
        <v>0.49</v>
      </c>
      <c r="AP3619">
        <v>6</v>
      </c>
      <c r="AQ3619">
        <v>0</v>
      </c>
      <c r="AR3619">
        <v>5.5</v>
      </c>
      <c r="AS3619">
        <v>55</v>
      </c>
      <c r="AT3619">
        <v>2.2200000000000002</v>
      </c>
      <c r="AU3619">
        <v>70</v>
      </c>
      <c r="AV3619">
        <v>-1.21</v>
      </c>
      <c r="AW3619">
        <v>78</v>
      </c>
      <c r="AX3619">
        <v>-0.84</v>
      </c>
      <c r="AY3619">
        <v>80</v>
      </c>
      <c r="AZ3619">
        <v>5.91</v>
      </c>
      <c r="BA3619">
        <v>59</v>
      </c>
      <c r="BB3619">
        <v>4.9000000000000004</v>
      </c>
      <c r="BC3619">
        <v>68</v>
      </c>
      <c r="BD3619">
        <v>0.03</v>
      </c>
      <c r="BE3619">
        <v>0.09</v>
      </c>
      <c r="BF3619">
        <v>0.16</v>
      </c>
      <c r="BG3619">
        <v>85</v>
      </c>
      <c r="BH3619">
        <v>-0.03</v>
      </c>
      <c r="BI3619">
        <v>5.53</v>
      </c>
      <c r="BJ3619">
        <v>4</v>
      </c>
      <c r="BK3619">
        <v>3</v>
      </c>
      <c r="BL3619">
        <v>0.14000000000000001</v>
      </c>
      <c r="BM3619">
        <v>-0.23</v>
      </c>
      <c r="BN3619">
        <v>-0.28999999999999998</v>
      </c>
      <c r="BO3619">
        <v>0.03</v>
      </c>
      <c r="BP3619">
        <v>1.1200000000000001</v>
      </c>
      <c r="BQ3619">
        <v>-0.74</v>
      </c>
      <c r="BR3619">
        <v>0.47</v>
      </c>
      <c r="BS3619">
        <v>-0.22</v>
      </c>
      <c r="BT3619">
        <v>-0.88</v>
      </c>
      <c r="BU3619">
        <v>-0.84</v>
      </c>
      <c r="BV3619">
        <v>-0.42</v>
      </c>
      <c r="BW3619">
        <v>-0.28000000000000003</v>
      </c>
      <c r="BX3619">
        <v>-0.71</v>
      </c>
      <c r="BY3619">
        <v>-1.04</v>
      </c>
      <c r="BZ3619">
        <v>1.31</v>
      </c>
      <c r="CA3619">
        <v>-0.08</v>
      </c>
      <c r="CB3619">
        <v>-0.19</v>
      </c>
      <c r="CC3619">
        <v>0.09</v>
      </c>
      <c r="CD3619">
        <v>0.35</v>
      </c>
      <c r="CE3619">
        <v>0.1</v>
      </c>
      <c r="CF3619">
        <v>-0.47</v>
      </c>
      <c r="CG3619">
        <v>0</v>
      </c>
      <c r="CH3619">
        <v>-1.03</v>
      </c>
      <c r="CI3619">
        <v>0</v>
      </c>
      <c r="CJ3619">
        <v>-3.3</v>
      </c>
      <c r="CK3619">
        <v>87</v>
      </c>
      <c r="CL3619">
        <v>-0.45</v>
      </c>
      <c r="CM3619">
        <v>85</v>
      </c>
      <c r="CN3619">
        <v>-0.1</v>
      </c>
      <c r="CO3619">
        <v>83</v>
      </c>
      <c r="CP3619">
        <v>-14.8</v>
      </c>
      <c r="CQ3619">
        <v>91</v>
      </c>
      <c r="CR3619">
        <v>0</v>
      </c>
      <c r="CS3619">
        <v>0</v>
      </c>
      <c r="CT3619">
        <v>-15.9</v>
      </c>
      <c r="CU3619">
        <v>84</v>
      </c>
      <c r="CV3619">
        <v>0.08</v>
      </c>
      <c r="CW3619">
        <v>25</v>
      </c>
      <c r="CX3619" t="s">
        <v>161</v>
      </c>
    </row>
    <row r="3620" spans="1:102" x14ac:dyDescent="0.3">
      <c r="A3620" t="str">
        <f>HYPERLINK("https://webapp.icbf.com/v2/app/bull-search/view/676660007","HUJ")</f>
        <v>HUJ</v>
      </c>
      <c r="B3620" t="s">
        <v>144</v>
      </c>
      <c r="C3620" t="s">
        <v>12480</v>
      </c>
      <c r="D3620" s="1">
        <v>37217</v>
      </c>
      <c r="E3620" t="s">
        <v>895</v>
      </c>
      <c r="F3620">
        <v>0</v>
      </c>
      <c r="G3620" t="s">
        <v>116</v>
      </c>
      <c r="H3620">
        <v>-49.71</v>
      </c>
      <c r="I3620">
        <v>33</v>
      </c>
      <c r="J3620">
        <v>-7.6</v>
      </c>
      <c r="K3620">
        <v>51</v>
      </c>
      <c r="L3620">
        <v>-34.630000000000003</v>
      </c>
      <c r="M3620">
        <v>17</v>
      </c>
      <c r="N3620">
        <v>-8.8699999999999992</v>
      </c>
      <c r="O3620">
        <v>26</v>
      </c>
      <c r="P3620">
        <v>-10.47</v>
      </c>
      <c r="Q3620">
        <v>49</v>
      </c>
      <c r="R3620">
        <v>1.55</v>
      </c>
      <c r="S3620">
        <v>19</v>
      </c>
      <c r="T3620">
        <v>17.3</v>
      </c>
      <c r="U3620">
        <v>26</v>
      </c>
      <c r="V3620">
        <v>-6.99</v>
      </c>
      <c r="W3620">
        <v>24</v>
      </c>
      <c r="X3620" t="s">
        <v>234</v>
      </c>
      <c r="Y3620" t="s">
        <v>235</v>
      </c>
      <c r="Z3620">
        <v>0</v>
      </c>
      <c r="AA3620" t="s">
        <v>2945</v>
      </c>
      <c r="AB3620" t="s">
        <v>12481</v>
      </c>
      <c r="AC3620">
        <v>5</v>
      </c>
      <c r="AD3620">
        <v>3</v>
      </c>
      <c r="AE3620">
        <v>51</v>
      </c>
      <c r="AF3620">
        <v>-85.97</v>
      </c>
      <c r="AG3620">
        <v>-5.1100000000000003</v>
      </c>
      <c r="AH3620">
        <v>-0.8</v>
      </c>
      <c r="AI3620">
        <v>-0.03</v>
      </c>
      <c r="AJ3620">
        <v>0.04</v>
      </c>
      <c r="AK3620">
        <v>17</v>
      </c>
      <c r="AL3620">
        <v>8</v>
      </c>
      <c r="AM3620">
        <v>5</v>
      </c>
      <c r="AN3620">
        <v>2.79</v>
      </c>
      <c r="AO3620">
        <v>0.04</v>
      </c>
      <c r="AP3620">
        <v>5</v>
      </c>
      <c r="AQ3620">
        <v>0</v>
      </c>
      <c r="AR3620">
        <v>8.4600000000000009</v>
      </c>
      <c r="AS3620">
        <v>6</v>
      </c>
      <c r="AT3620">
        <v>3.78</v>
      </c>
      <c r="AU3620">
        <v>20</v>
      </c>
      <c r="AV3620">
        <v>1.01</v>
      </c>
      <c r="AW3620">
        <v>39</v>
      </c>
      <c r="AX3620">
        <v>-0.27</v>
      </c>
      <c r="AY3620">
        <v>25</v>
      </c>
      <c r="AZ3620">
        <v>5.0199999999999996</v>
      </c>
      <c r="BA3620">
        <v>6</v>
      </c>
      <c r="BB3620">
        <v>3.86</v>
      </c>
      <c r="BC3620">
        <v>11</v>
      </c>
      <c r="BD3620">
        <v>-0.01</v>
      </c>
      <c r="BE3620">
        <v>-0.01</v>
      </c>
      <c r="BF3620">
        <v>0</v>
      </c>
      <c r="BG3620">
        <v>23</v>
      </c>
      <c r="BH3620">
        <v>-0.23</v>
      </c>
      <c r="BI3620">
        <v>-4.07</v>
      </c>
      <c r="BJ3620">
        <v>0</v>
      </c>
      <c r="BK3620">
        <v>0</v>
      </c>
      <c r="BL3620">
        <v>0</v>
      </c>
      <c r="BM3620">
        <v>0</v>
      </c>
      <c r="BN3620">
        <v>0</v>
      </c>
      <c r="BO3620">
        <v>0</v>
      </c>
      <c r="BP3620">
        <v>0</v>
      </c>
      <c r="BQ3620">
        <v>0</v>
      </c>
      <c r="BR3620">
        <v>0</v>
      </c>
      <c r="BS3620">
        <v>0</v>
      </c>
      <c r="BT3620">
        <v>0</v>
      </c>
      <c r="BU3620">
        <v>0</v>
      </c>
      <c r="BV3620">
        <v>0</v>
      </c>
      <c r="BW3620">
        <v>0</v>
      </c>
      <c r="BX3620">
        <v>0</v>
      </c>
      <c r="BY3620">
        <v>0</v>
      </c>
      <c r="BZ3620">
        <v>0</v>
      </c>
      <c r="CA3620">
        <v>0</v>
      </c>
      <c r="CB3620">
        <v>0</v>
      </c>
      <c r="CC3620">
        <v>0</v>
      </c>
      <c r="CD3620">
        <v>0</v>
      </c>
      <c r="CE3620">
        <v>0</v>
      </c>
      <c r="CF3620">
        <v>0</v>
      </c>
      <c r="CG3620">
        <v>0</v>
      </c>
      <c r="CH3620">
        <v>0</v>
      </c>
      <c r="CI3620">
        <v>0</v>
      </c>
      <c r="CJ3620">
        <v>-3.9</v>
      </c>
      <c r="CK3620">
        <v>53</v>
      </c>
      <c r="CL3620">
        <v>-0.25</v>
      </c>
      <c r="CM3620">
        <v>47</v>
      </c>
      <c r="CN3620">
        <v>0.16</v>
      </c>
      <c r="CO3620">
        <v>42</v>
      </c>
      <c r="CP3620">
        <v>-4.2</v>
      </c>
      <c r="CQ3620">
        <v>40</v>
      </c>
      <c r="CR3620">
        <v>0</v>
      </c>
      <c r="CS3620">
        <v>0</v>
      </c>
      <c r="CT3620">
        <v>-9.6</v>
      </c>
      <c r="CU3620">
        <v>26</v>
      </c>
      <c r="CV3620">
        <v>-0.09</v>
      </c>
      <c r="CW3620">
        <v>13</v>
      </c>
      <c r="CX3620" t="s">
        <v>4972</v>
      </c>
    </row>
    <row r="3621" spans="1:102" x14ac:dyDescent="0.3">
      <c r="A3621" t="str">
        <f>HYPERLINK("https://webapp.icbf.com/v2/app/bull-search/view/146348136","LZA")</f>
        <v>LZA</v>
      </c>
      <c r="B3621" t="s">
        <v>4112</v>
      </c>
      <c r="C3621" t="s">
        <v>4113</v>
      </c>
      <c r="D3621" s="1">
        <v>37107</v>
      </c>
      <c r="E3621" t="s">
        <v>92</v>
      </c>
      <c r="F3621">
        <v>100</v>
      </c>
      <c r="G3621" t="s">
        <v>93</v>
      </c>
      <c r="H3621">
        <v>-49.76</v>
      </c>
      <c r="I3621">
        <v>65</v>
      </c>
      <c r="J3621">
        <v>35.18</v>
      </c>
      <c r="K3621">
        <v>84</v>
      </c>
      <c r="L3621">
        <v>-100.91</v>
      </c>
      <c r="M3621">
        <v>47</v>
      </c>
      <c r="N3621">
        <v>7.77</v>
      </c>
      <c r="O3621">
        <v>59</v>
      </c>
      <c r="P3621">
        <v>7.73</v>
      </c>
      <c r="Q3621">
        <v>82</v>
      </c>
      <c r="R3621">
        <v>4.78</v>
      </c>
      <c r="S3621">
        <v>52</v>
      </c>
      <c r="T3621">
        <v>-1.2</v>
      </c>
      <c r="U3621">
        <v>70</v>
      </c>
      <c r="V3621">
        <v>-3.11</v>
      </c>
      <c r="W3621">
        <v>43</v>
      </c>
      <c r="X3621" t="s">
        <v>102</v>
      </c>
      <c r="Y3621" t="s">
        <v>282</v>
      </c>
      <c r="Z3621" t="s">
        <v>96</v>
      </c>
      <c r="AA3621" t="s">
        <v>4114</v>
      </c>
      <c r="AB3621" t="s">
        <v>4115</v>
      </c>
      <c r="AC3621">
        <v>23</v>
      </c>
      <c r="AD3621">
        <v>18</v>
      </c>
      <c r="AE3621">
        <v>84</v>
      </c>
      <c r="AF3621">
        <v>291</v>
      </c>
      <c r="AG3621">
        <v>5.22</v>
      </c>
      <c r="AH3621">
        <v>8.59</v>
      </c>
      <c r="AI3621">
        <v>-0.1</v>
      </c>
      <c r="AJ3621">
        <v>-0.02</v>
      </c>
      <c r="AK3621">
        <v>47</v>
      </c>
      <c r="AL3621">
        <v>28</v>
      </c>
      <c r="AM3621">
        <v>20</v>
      </c>
      <c r="AN3621">
        <v>4.54</v>
      </c>
      <c r="AO3621">
        <v>-3.52</v>
      </c>
      <c r="AP3621">
        <v>40</v>
      </c>
      <c r="AQ3621">
        <v>19</v>
      </c>
      <c r="AR3621">
        <v>5.94</v>
      </c>
      <c r="AS3621">
        <v>37</v>
      </c>
      <c r="AT3621">
        <v>3.32</v>
      </c>
      <c r="AU3621">
        <v>60</v>
      </c>
      <c r="AV3621">
        <v>-0.56999999999999995</v>
      </c>
      <c r="AW3621">
        <v>71</v>
      </c>
      <c r="AX3621">
        <v>-0.01</v>
      </c>
      <c r="AY3621">
        <v>63</v>
      </c>
      <c r="AZ3621">
        <v>6.19</v>
      </c>
      <c r="BA3621">
        <v>34</v>
      </c>
      <c r="BB3621">
        <v>4.96</v>
      </c>
      <c r="BC3621">
        <v>39</v>
      </c>
      <c r="BD3621">
        <v>0.03</v>
      </c>
      <c r="BE3621">
        <v>0</v>
      </c>
      <c r="BF3621">
        <v>-0.16</v>
      </c>
      <c r="BG3621">
        <v>61</v>
      </c>
      <c r="BH3621">
        <v>-0.12</v>
      </c>
      <c r="BI3621">
        <v>-3.85</v>
      </c>
      <c r="BJ3621">
        <v>5</v>
      </c>
      <c r="BK3621">
        <v>5</v>
      </c>
      <c r="BL3621">
        <v>-0.18</v>
      </c>
      <c r="BM3621">
        <v>-0.37</v>
      </c>
      <c r="BN3621">
        <v>0.78</v>
      </c>
      <c r="BO3621">
        <v>0.71</v>
      </c>
      <c r="BP3621">
        <v>-1.26</v>
      </c>
      <c r="BQ3621">
        <v>-0.42</v>
      </c>
      <c r="BR3621">
        <v>0.77</v>
      </c>
      <c r="BS3621">
        <v>-1.51</v>
      </c>
      <c r="BT3621">
        <v>1.4</v>
      </c>
      <c r="BU3621">
        <v>-0.19</v>
      </c>
      <c r="BV3621">
        <v>0.3</v>
      </c>
      <c r="BW3621">
        <v>0.95</v>
      </c>
      <c r="BX3621">
        <v>-7.0000000000000007E-2</v>
      </c>
      <c r="BY3621">
        <v>0.84</v>
      </c>
      <c r="BZ3621">
        <v>-1.02</v>
      </c>
      <c r="CA3621">
        <v>-0.33</v>
      </c>
      <c r="CB3621">
        <v>0.36</v>
      </c>
      <c r="CC3621">
        <v>-1.39</v>
      </c>
      <c r="CD3621">
        <v>-0.65</v>
      </c>
      <c r="CE3621">
        <v>0.2</v>
      </c>
      <c r="CF3621">
        <v>-0.26</v>
      </c>
      <c r="CG3621">
        <v>0</v>
      </c>
      <c r="CH3621">
        <v>1.1499999999999999</v>
      </c>
      <c r="CI3621">
        <v>0</v>
      </c>
      <c r="CJ3621">
        <v>3.6</v>
      </c>
      <c r="CK3621">
        <v>84</v>
      </c>
      <c r="CL3621">
        <v>-0.13</v>
      </c>
      <c r="CM3621">
        <v>81</v>
      </c>
      <c r="CN3621">
        <v>-0.27</v>
      </c>
      <c r="CO3621">
        <v>78</v>
      </c>
      <c r="CP3621">
        <v>6.3</v>
      </c>
      <c r="CQ3621">
        <v>77</v>
      </c>
      <c r="CR3621">
        <v>0</v>
      </c>
      <c r="CS3621">
        <v>0</v>
      </c>
      <c r="CT3621">
        <v>15.4</v>
      </c>
      <c r="CU3621">
        <v>70</v>
      </c>
      <c r="CV3621">
        <v>0.02</v>
      </c>
      <c r="CW3621">
        <v>23</v>
      </c>
      <c r="CX3621" t="s">
        <v>4116</v>
      </c>
    </row>
    <row r="3622" spans="1:102" x14ac:dyDescent="0.3">
      <c r="A3622" t="str">
        <f>HYPERLINK("https://webapp.icbf.com/v2/app/bull-search/view/124414941","NOD")</f>
        <v>NOD</v>
      </c>
      <c r="B3622" t="s">
        <v>11501</v>
      </c>
      <c r="C3622" t="s">
        <v>11502</v>
      </c>
      <c r="D3622" s="1">
        <v>36752</v>
      </c>
      <c r="E3622" t="s">
        <v>92</v>
      </c>
      <c r="F3622">
        <v>94</v>
      </c>
      <c r="G3622" t="s">
        <v>93</v>
      </c>
      <c r="H3622">
        <v>-49.76</v>
      </c>
      <c r="I3622">
        <v>85</v>
      </c>
      <c r="J3622">
        <v>-16.420000000000002</v>
      </c>
      <c r="K3622">
        <v>96</v>
      </c>
      <c r="L3622">
        <v>-54.71</v>
      </c>
      <c r="M3622">
        <v>78</v>
      </c>
      <c r="N3622">
        <v>26.59</v>
      </c>
      <c r="O3622">
        <v>82</v>
      </c>
      <c r="P3622">
        <v>-14.06</v>
      </c>
      <c r="Q3622">
        <v>92</v>
      </c>
      <c r="R3622">
        <v>-4.84</v>
      </c>
      <c r="S3622">
        <v>78</v>
      </c>
      <c r="T3622">
        <v>12.64</v>
      </c>
      <c r="U3622">
        <v>79</v>
      </c>
      <c r="V3622">
        <v>1.04</v>
      </c>
      <c r="W3622">
        <v>69</v>
      </c>
      <c r="X3622" t="s">
        <v>94</v>
      </c>
      <c r="Y3622" t="s">
        <v>95</v>
      </c>
      <c r="Z3622" t="s">
        <v>96</v>
      </c>
      <c r="AA3622" t="s">
        <v>2570</v>
      </c>
      <c r="AB3622" t="s">
        <v>3518</v>
      </c>
      <c r="AC3622">
        <v>75</v>
      </c>
      <c r="AD3622">
        <v>59</v>
      </c>
      <c r="AE3622">
        <v>96</v>
      </c>
      <c r="AF3622">
        <v>-81.89</v>
      </c>
      <c r="AG3622">
        <v>-5.0199999999999996</v>
      </c>
      <c r="AH3622">
        <v>-2.27</v>
      </c>
      <c r="AI3622">
        <v>-0.03</v>
      </c>
      <c r="AJ3622">
        <v>0.01</v>
      </c>
      <c r="AK3622">
        <v>78</v>
      </c>
      <c r="AL3622">
        <v>74</v>
      </c>
      <c r="AM3622">
        <v>59</v>
      </c>
      <c r="AN3622">
        <v>3.21</v>
      </c>
      <c r="AO3622">
        <v>-1.1499999999999999</v>
      </c>
      <c r="AP3622">
        <v>101</v>
      </c>
      <c r="AQ3622">
        <v>0</v>
      </c>
      <c r="AR3622">
        <v>7.92</v>
      </c>
      <c r="AS3622">
        <v>67</v>
      </c>
      <c r="AT3622">
        <v>3.3</v>
      </c>
      <c r="AU3622">
        <v>84</v>
      </c>
      <c r="AV3622">
        <v>-2.69</v>
      </c>
      <c r="AW3622">
        <v>92</v>
      </c>
      <c r="AX3622">
        <v>-0.52</v>
      </c>
      <c r="AY3622">
        <v>77</v>
      </c>
      <c r="AZ3622">
        <v>4.79</v>
      </c>
      <c r="BA3622">
        <v>63</v>
      </c>
      <c r="BB3622">
        <v>4.1100000000000003</v>
      </c>
      <c r="BC3622">
        <v>65</v>
      </c>
      <c r="BD3622">
        <v>0.02</v>
      </c>
      <c r="BE3622">
        <v>0.02</v>
      </c>
      <c r="BF3622">
        <v>0.04</v>
      </c>
      <c r="BG3622">
        <v>88</v>
      </c>
      <c r="BH3622">
        <v>-0.02</v>
      </c>
      <c r="BI3622">
        <v>-5.66</v>
      </c>
      <c r="BJ3622">
        <v>22</v>
      </c>
      <c r="BK3622">
        <v>19</v>
      </c>
      <c r="BL3622">
        <v>0.3</v>
      </c>
      <c r="BM3622">
        <v>0.55000000000000004</v>
      </c>
      <c r="BN3622">
        <v>0.74</v>
      </c>
      <c r="BO3622">
        <v>0.02</v>
      </c>
      <c r="BP3622">
        <v>-2.14</v>
      </c>
      <c r="BQ3622">
        <v>-0.65</v>
      </c>
      <c r="BR3622">
        <v>-1.05</v>
      </c>
      <c r="BS3622">
        <v>-0.28000000000000003</v>
      </c>
      <c r="BT3622">
        <v>0.9</v>
      </c>
      <c r="BU3622">
        <v>1.46</v>
      </c>
      <c r="BV3622">
        <v>0.82</v>
      </c>
      <c r="BW3622">
        <v>0.3</v>
      </c>
      <c r="BX3622">
        <v>1.55</v>
      </c>
      <c r="BY3622">
        <v>0.14000000000000001</v>
      </c>
      <c r="BZ3622">
        <v>0.21</v>
      </c>
      <c r="CA3622">
        <v>0.56999999999999995</v>
      </c>
      <c r="CB3622">
        <v>0.72</v>
      </c>
      <c r="CC3622">
        <v>7.0000000000000007E-2</v>
      </c>
      <c r="CD3622">
        <v>0.03</v>
      </c>
      <c r="CE3622">
        <v>0.06</v>
      </c>
      <c r="CF3622">
        <v>0.28000000000000003</v>
      </c>
      <c r="CG3622">
        <v>0</v>
      </c>
      <c r="CH3622">
        <v>0.39</v>
      </c>
      <c r="CI3622">
        <v>0</v>
      </c>
      <c r="CJ3622">
        <v>-6.5</v>
      </c>
      <c r="CK3622">
        <v>93</v>
      </c>
      <c r="CL3622">
        <v>-0.94</v>
      </c>
      <c r="CM3622">
        <v>91</v>
      </c>
      <c r="CN3622">
        <v>-0.5</v>
      </c>
      <c r="CO3622">
        <v>90</v>
      </c>
      <c r="CP3622">
        <v>-8.3000000000000007</v>
      </c>
      <c r="CQ3622">
        <v>89</v>
      </c>
      <c r="CR3622">
        <v>0</v>
      </c>
      <c r="CS3622">
        <v>0</v>
      </c>
      <c r="CT3622">
        <v>-3.3</v>
      </c>
      <c r="CU3622">
        <v>79</v>
      </c>
      <c r="CV3622">
        <v>0.08</v>
      </c>
      <c r="CW3622">
        <v>44</v>
      </c>
      <c r="CX3622" t="s">
        <v>1008</v>
      </c>
    </row>
    <row r="3623" spans="1:102" x14ac:dyDescent="0.3">
      <c r="A3623" t="str">
        <f>HYPERLINK("https://webapp.icbf.com/v2/app/bull-search/view/586072849","S857")</f>
        <v>S857</v>
      </c>
      <c r="B3623" t="s">
        <v>12857</v>
      </c>
      <c r="C3623" t="s">
        <v>12858</v>
      </c>
      <c r="D3623" s="1">
        <v>38523</v>
      </c>
      <c r="E3623" t="s">
        <v>92</v>
      </c>
      <c r="F3623">
        <v>100</v>
      </c>
      <c r="G3623" t="s">
        <v>109</v>
      </c>
      <c r="H3623">
        <v>-49.77</v>
      </c>
      <c r="I3623">
        <v>82</v>
      </c>
      <c r="J3623">
        <v>-8.5399999999999991</v>
      </c>
      <c r="K3623">
        <v>93</v>
      </c>
      <c r="L3623">
        <v>-39.03</v>
      </c>
      <c r="M3623">
        <v>85</v>
      </c>
      <c r="N3623">
        <v>-4.92</v>
      </c>
      <c r="O3623">
        <v>69</v>
      </c>
      <c r="P3623">
        <v>-13.58</v>
      </c>
      <c r="Q3623">
        <v>64</v>
      </c>
      <c r="R3623">
        <v>-10.119999999999999</v>
      </c>
      <c r="S3623">
        <v>78</v>
      </c>
      <c r="T3623">
        <v>16.559999999999999</v>
      </c>
      <c r="U3623">
        <v>67</v>
      </c>
      <c r="V3623">
        <v>9.86</v>
      </c>
      <c r="W3623">
        <v>66</v>
      </c>
      <c r="X3623" t="s">
        <v>276</v>
      </c>
      <c r="Y3623" t="s">
        <v>303</v>
      </c>
      <c r="Z3623" t="s">
        <v>96</v>
      </c>
      <c r="AA3623" t="s">
        <v>350</v>
      </c>
      <c r="AB3623" t="s">
        <v>8281</v>
      </c>
      <c r="AC3623">
        <v>0</v>
      </c>
      <c r="AD3623">
        <v>0</v>
      </c>
      <c r="AE3623">
        <v>93</v>
      </c>
      <c r="AF3623">
        <v>410.44</v>
      </c>
      <c r="AG3623">
        <v>3.11</v>
      </c>
      <c r="AH3623">
        <v>3.73</v>
      </c>
      <c r="AI3623">
        <v>-0.21</v>
      </c>
      <c r="AJ3623">
        <v>-0.17</v>
      </c>
      <c r="AK3623">
        <v>85</v>
      </c>
      <c r="AL3623">
        <v>0</v>
      </c>
      <c r="AM3623">
        <v>0</v>
      </c>
      <c r="AN3623">
        <v>2.34</v>
      </c>
      <c r="AO3623">
        <v>-0.77</v>
      </c>
      <c r="AP3623">
        <v>29</v>
      </c>
      <c r="AQ3623">
        <v>0</v>
      </c>
      <c r="AR3623">
        <v>9.26</v>
      </c>
      <c r="AS3623">
        <v>65</v>
      </c>
      <c r="AT3623">
        <v>4.66</v>
      </c>
      <c r="AU3623">
        <v>81</v>
      </c>
      <c r="AV3623">
        <v>-1.84</v>
      </c>
      <c r="AW3623">
        <v>70</v>
      </c>
      <c r="AX3623">
        <v>0.59</v>
      </c>
      <c r="AY3623">
        <v>59</v>
      </c>
      <c r="AZ3623">
        <v>6.38</v>
      </c>
      <c r="BA3623">
        <v>55</v>
      </c>
      <c r="BB3623">
        <v>4.49</v>
      </c>
      <c r="BC3623">
        <v>55</v>
      </c>
      <c r="BD3623">
        <v>7.0000000000000007E-2</v>
      </c>
      <c r="BE3623">
        <v>0.04</v>
      </c>
      <c r="BF3623">
        <v>0.04</v>
      </c>
      <c r="BG3623">
        <v>91</v>
      </c>
      <c r="BH3623">
        <v>0.23</v>
      </c>
      <c r="BI3623">
        <v>-5.21</v>
      </c>
      <c r="BJ3623">
        <v>5</v>
      </c>
      <c r="BK3623">
        <v>3</v>
      </c>
      <c r="BL3623">
        <v>0.83</v>
      </c>
      <c r="BM3623">
        <v>-0.75</v>
      </c>
      <c r="BN3623">
        <v>-0.38</v>
      </c>
      <c r="BO3623">
        <v>0.49</v>
      </c>
      <c r="BP3623">
        <v>0.23</v>
      </c>
      <c r="BQ3623">
        <v>-0.95</v>
      </c>
      <c r="BR3623">
        <v>1.51</v>
      </c>
      <c r="BS3623">
        <v>2.52</v>
      </c>
      <c r="BT3623">
        <v>0.09</v>
      </c>
      <c r="BU3623">
        <v>3.07</v>
      </c>
      <c r="BV3623">
        <v>0.71</v>
      </c>
      <c r="BW3623">
        <v>1.18</v>
      </c>
      <c r="BX3623">
        <v>2.94</v>
      </c>
      <c r="BY3623">
        <v>1.25</v>
      </c>
      <c r="BZ3623">
        <v>-1.45</v>
      </c>
      <c r="CA3623">
        <v>1.79</v>
      </c>
      <c r="CB3623">
        <v>1.51</v>
      </c>
      <c r="CC3623">
        <v>1.86</v>
      </c>
      <c r="CD3623">
        <v>-0.06</v>
      </c>
      <c r="CE3623">
        <v>1.08</v>
      </c>
      <c r="CF3623">
        <v>1.44</v>
      </c>
      <c r="CG3623">
        <v>0</v>
      </c>
      <c r="CH3623">
        <v>1.07</v>
      </c>
      <c r="CI3623">
        <v>0</v>
      </c>
      <c r="CJ3623">
        <v>-6.7</v>
      </c>
      <c r="CK3623">
        <v>66</v>
      </c>
      <c r="CL3623">
        <v>-1.04</v>
      </c>
      <c r="CM3623">
        <v>62</v>
      </c>
      <c r="CN3623">
        <v>-0.65</v>
      </c>
      <c r="CO3623">
        <v>58</v>
      </c>
      <c r="CP3623">
        <v>-8.1</v>
      </c>
      <c r="CQ3623">
        <v>71</v>
      </c>
      <c r="CR3623">
        <v>0</v>
      </c>
      <c r="CS3623">
        <v>0</v>
      </c>
      <c r="CT3623">
        <v>-8.6</v>
      </c>
      <c r="CU3623">
        <v>67</v>
      </c>
      <c r="CV3623">
        <v>0.1</v>
      </c>
      <c r="CW3623">
        <v>38</v>
      </c>
      <c r="CX3623" t="s">
        <v>1425</v>
      </c>
    </row>
    <row r="3624" spans="1:102" x14ac:dyDescent="0.3">
      <c r="A3624" t="str">
        <f>HYPERLINK("https://webapp.icbf.com/v2/app/bull-search/view/77860078","BYA")</f>
        <v>BYA</v>
      </c>
      <c r="B3624" t="s">
        <v>10614</v>
      </c>
      <c r="C3624" t="s">
        <v>10615</v>
      </c>
      <c r="D3624" s="1">
        <v>34536</v>
      </c>
      <c r="E3624" t="s">
        <v>92</v>
      </c>
      <c r="F3624">
        <v>100</v>
      </c>
      <c r="G3624" t="s">
        <v>93</v>
      </c>
      <c r="H3624">
        <v>-49.82</v>
      </c>
      <c r="I3624">
        <v>56</v>
      </c>
      <c r="J3624">
        <v>-57.39</v>
      </c>
      <c r="K3624">
        <v>84</v>
      </c>
      <c r="L3624">
        <v>13.74</v>
      </c>
      <c r="M3624">
        <v>39</v>
      </c>
      <c r="N3624">
        <v>-9.65</v>
      </c>
      <c r="O3624">
        <v>40</v>
      </c>
      <c r="P3624">
        <v>-4.38</v>
      </c>
      <c r="Q3624">
        <v>57</v>
      </c>
      <c r="R3624">
        <v>-2.87</v>
      </c>
      <c r="S3624">
        <v>49</v>
      </c>
      <c r="T3624">
        <v>13.46</v>
      </c>
      <c r="U3624">
        <v>51</v>
      </c>
      <c r="V3624">
        <v>-2.73</v>
      </c>
      <c r="W3624">
        <v>23</v>
      </c>
      <c r="X3624" t="s">
        <v>94</v>
      </c>
      <c r="Y3624" t="s">
        <v>95</v>
      </c>
      <c r="Z3624" t="s">
        <v>96</v>
      </c>
      <c r="AA3624" t="s">
        <v>10616</v>
      </c>
      <c r="AB3624" t="s">
        <v>10617</v>
      </c>
      <c r="AC3624">
        <v>26</v>
      </c>
      <c r="AD3624">
        <v>26</v>
      </c>
      <c r="AE3624">
        <v>84</v>
      </c>
      <c r="AF3624">
        <v>-122.1</v>
      </c>
      <c r="AG3624">
        <v>-10.23</v>
      </c>
      <c r="AH3624">
        <v>-8.01</v>
      </c>
      <c r="AI3624">
        <v>-0.09</v>
      </c>
      <c r="AJ3624">
        <v>-0.06</v>
      </c>
      <c r="AK3624">
        <v>39</v>
      </c>
      <c r="AL3624">
        <v>25</v>
      </c>
      <c r="AM3624">
        <v>21</v>
      </c>
      <c r="AN3624">
        <v>-1.17</v>
      </c>
      <c r="AO3624">
        <v>-0.08</v>
      </c>
      <c r="AP3624">
        <v>5</v>
      </c>
      <c r="AQ3624">
        <v>0</v>
      </c>
      <c r="AR3624">
        <v>9.9</v>
      </c>
      <c r="AS3624">
        <v>13</v>
      </c>
      <c r="AT3624">
        <v>4.38</v>
      </c>
      <c r="AU3624">
        <v>42</v>
      </c>
      <c r="AV3624">
        <v>-0.89</v>
      </c>
      <c r="AW3624">
        <v>48</v>
      </c>
      <c r="AX3624">
        <v>-0.79</v>
      </c>
      <c r="AY3624">
        <v>53</v>
      </c>
      <c r="AZ3624">
        <v>6.3</v>
      </c>
      <c r="BA3624">
        <v>14</v>
      </c>
      <c r="BB3624">
        <v>4.88</v>
      </c>
      <c r="BC3624">
        <v>24</v>
      </c>
      <c r="BD3624">
        <v>0.03</v>
      </c>
      <c r="BE3624">
        <v>0.04</v>
      </c>
      <c r="BF3624">
        <v>-0.06</v>
      </c>
      <c r="BG3624">
        <v>62</v>
      </c>
      <c r="BH3624">
        <v>0.1</v>
      </c>
      <c r="BI3624">
        <v>20.39</v>
      </c>
      <c r="BJ3624">
        <v>5</v>
      </c>
      <c r="BK3624">
        <v>5</v>
      </c>
      <c r="BL3624">
        <v>0.92</v>
      </c>
      <c r="BM3624">
        <v>0.37</v>
      </c>
      <c r="BN3624">
        <v>0.65</v>
      </c>
      <c r="BO3624">
        <v>0.28999999999999998</v>
      </c>
      <c r="BP3624">
        <v>-0.12</v>
      </c>
      <c r="BQ3624">
        <v>-0.41</v>
      </c>
      <c r="BR3624">
        <v>0.36</v>
      </c>
      <c r="BS3624">
        <v>0.15</v>
      </c>
      <c r="BT3624">
        <v>-0.41</v>
      </c>
      <c r="BU3624">
        <v>0.22</v>
      </c>
      <c r="BV3624">
        <v>7.0000000000000007E-2</v>
      </c>
      <c r="BW3624">
        <v>0.44</v>
      </c>
      <c r="BX3624">
        <v>0.56000000000000005</v>
      </c>
      <c r="BY3624">
        <v>0.05</v>
      </c>
      <c r="BZ3624">
        <v>-1.25</v>
      </c>
      <c r="CA3624">
        <v>-0.06</v>
      </c>
      <c r="CB3624">
        <v>-0.06</v>
      </c>
      <c r="CC3624">
        <v>-7.0000000000000007E-2</v>
      </c>
      <c r="CD3624">
        <v>0.23</v>
      </c>
      <c r="CE3624">
        <v>-0.26</v>
      </c>
      <c r="CF3624">
        <v>0.4</v>
      </c>
      <c r="CG3624">
        <v>0</v>
      </c>
      <c r="CH3624">
        <v>0.3</v>
      </c>
      <c r="CI3624">
        <v>0</v>
      </c>
      <c r="CJ3624">
        <v>-2.9</v>
      </c>
      <c r="CK3624">
        <v>59</v>
      </c>
      <c r="CL3624">
        <v>-0.42</v>
      </c>
      <c r="CM3624">
        <v>54</v>
      </c>
      <c r="CN3624">
        <v>-0.39</v>
      </c>
      <c r="CO3624">
        <v>48</v>
      </c>
      <c r="CP3624">
        <v>-4.0999999999999996</v>
      </c>
      <c r="CQ3624">
        <v>64</v>
      </c>
      <c r="CR3624">
        <v>0</v>
      </c>
      <c r="CS3624">
        <v>0</v>
      </c>
      <c r="CT3624">
        <v>-4.4000000000000004</v>
      </c>
      <c r="CU3624">
        <v>51</v>
      </c>
      <c r="CV3624">
        <v>0.04</v>
      </c>
      <c r="CW3624">
        <v>15</v>
      </c>
      <c r="CX3624" t="s">
        <v>111</v>
      </c>
    </row>
    <row r="3625" spans="1:102" x14ac:dyDescent="0.3">
      <c r="A3625" t="str">
        <f>HYPERLINK("https://webapp.icbf.com/v2/app/bull-search/view/77855806","LLZ")</f>
        <v>LLZ</v>
      </c>
      <c r="B3625" t="s">
        <v>10835</v>
      </c>
      <c r="C3625" t="s">
        <v>4867</v>
      </c>
      <c r="D3625" s="1">
        <v>36171</v>
      </c>
      <c r="E3625" t="s">
        <v>92</v>
      </c>
      <c r="F3625">
        <v>100</v>
      </c>
      <c r="G3625" t="s">
        <v>93</v>
      </c>
      <c r="H3625">
        <v>-49.94</v>
      </c>
      <c r="I3625">
        <v>81</v>
      </c>
      <c r="J3625">
        <v>52.17</v>
      </c>
      <c r="K3625">
        <v>96</v>
      </c>
      <c r="L3625">
        <v>-94.83</v>
      </c>
      <c r="M3625">
        <v>71</v>
      </c>
      <c r="N3625">
        <v>-0.5</v>
      </c>
      <c r="O3625">
        <v>76</v>
      </c>
      <c r="P3625">
        <v>4.07</v>
      </c>
      <c r="Q3625">
        <v>90</v>
      </c>
      <c r="R3625">
        <v>-16.61</v>
      </c>
      <c r="S3625">
        <v>73</v>
      </c>
      <c r="T3625">
        <v>7.83</v>
      </c>
      <c r="U3625">
        <v>80</v>
      </c>
      <c r="V3625">
        <v>-2.0699999999999998</v>
      </c>
      <c r="W3625">
        <v>55</v>
      </c>
      <c r="X3625" t="s">
        <v>94</v>
      </c>
      <c r="Y3625" t="s">
        <v>95</v>
      </c>
      <c r="Z3625" t="s">
        <v>96</v>
      </c>
      <c r="AA3625" t="s">
        <v>1696</v>
      </c>
      <c r="AB3625" t="s">
        <v>6472</v>
      </c>
      <c r="AC3625">
        <v>117</v>
      </c>
      <c r="AD3625">
        <v>101</v>
      </c>
      <c r="AE3625">
        <v>96</v>
      </c>
      <c r="AF3625">
        <v>347.62</v>
      </c>
      <c r="AG3625">
        <v>11.6</v>
      </c>
      <c r="AH3625">
        <v>10.09</v>
      </c>
      <c r="AI3625">
        <v>-0.03</v>
      </c>
      <c r="AJ3625">
        <v>-0.03</v>
      </c>
      <c r="AK3625">
        <v>71</v>
      </c>
      <c r="AL3625">
        <v>118</v>
      </c>
      <c r="AM3625">
        <v>98</v>
      </c>
      <c r="AN3625">
        <v>3.06</v>
      </c>
      <c r="AO3625">
        <v>-4.53</v>
      </c>
      <c r="AP3625">
        <v>20</v>
      </c>
      <c r="AQ3625">
        <v>1</v>
      </c>
      <c r="AR3625">
        <v>7.26</v>
      </c>
      <c r="AS3625">
        <v>60</v>
      </c>
      <c r="AT3625">
        <v>3.22</v>
      </c>
      <c r="AU3625">
        <v>72</v>
      </c>
      <c r="AV3625">
        <v>0.65</v>
      </c>
      <c r="AW3625">
        <v>84</v>
      </c>
      <c r="AX3625">
        <v>-0.41</v>
      </c>
      <c r="AY3625">
        <v>82</v>
      </c>
      <c r="AZ3625">
        <v>6.06</v>
      </c>
      <c r="BA3625">
        <v>60</v>
      </c>
      <c r="BB3625">
        <v>4.37</v>
      </c>
      <c r="BC3625">
        <v>67</v>
      </c>
      <c r="BD3625">
        <v>0.06</v>
      </c>
      <c r="BE3625">
        <v>0.08</v>
      </c>
      <c r="BF3625">
        <v>0.13</v>
      </c>
      <c r="BG3625">
        <v>87</v>
      </c>
      <c r="BH3625">
        <v>-0.03</v>
      </c>
      <c r="BI3625">
        <v>3.2</v>
      </c>
      <c r="BJ3625">
        <v>31</v>
      </c>
      <c r="BK3625">
        <v>27</v>
      </c>
      <c r="BL3625">
        <v>0.57999999999999996</v>
      </c>
      <c r="BM3625">
        <v>7.0000000000000007E-2</v>
      </c>
      <c r="BN3625">
        <v>-0.15</v>
      </c>
      <c r="BO3625">
        <v>-0.05</v>
      </c>
      <c r="BP3625">
        <v>2.29</v>
      </c>
      <c r="BQ3625">
        <v>-0.48</v>
      </c>
      <c r="BR3625">
        <v>1.19</v>
      </c>
      <c r="BS3625">
        <v>0.18</v>
      </c>
      <c r="BT3625">
        <v>-0.87</v>
      </c>
      <c r="BU3625">
        <v>-0.77</v>
      </c>
      <c r="BV3625">
        <v>-0.67</v>
      </c>
      <c r="BW3625">
        <v>-0.38</v>
      </c>
      <c r="BX3625">
        <v>-1</v>
      </c>
      <c r="BY3625">
        <v>-0.84</v>
      </c>
      <c r="BZ3625">
        <v>0.08</v>
      </c>
      <c r="CA3625">
        <v>-0.92</v>
      </c>
      <c r="CB3625">
        <v>-0.89</v>
      </c>
      <c r="CC3625">
        <v>-0.64</v>
      </c>
      <c r="CD3625">
        <v>0.27</v>
      </c>
      <c r="CE3625">
        <v>0.04</v>
      </c>
      <c r="CF3625">
        <v>0.34</v>
      </c>
      <c r="CG3625">
        <v>0</v>
      </c>
      <c r="CH3625">
        <v>0.21</v>
      </c>
      <c r="CI3625">
        <v>0</v>
      </c>
      <c r="CJ3625">
        <v>4.9000000000000004</v>
      </c>
      <c r="CK3625">
        <v>91</v>
      </c>
      <c r="CL3625">
        <v>-0.57999999999999996</v>
      </c>
      <c r="CM3625">
        <v>89</v>
      </c>
      <c r="CN3625">
        <v>-0.27</v>
      </c>
      <c r="CO3625">
        <v>88</v>
      </c>
      <c r="CP3625">
        <v>0.9</v>
      </c>
      <c r="CQ3625">
        <v>91</v>
      </c>
      <c r="CR3625">
        <v>0</v>
      </c>
      <c r="CS3625">
        <v>0</v>
      </c>
      <c r="CT3625">
        <v>3.2</v>
      </c>
      <c r="CU3625">
        <v>80</v>
      </c>
      <c r="CV3625">
        <v>0.25</v>
      </c>
      <c r="CW3625">
        <v>26</v>
      </c>
      <c r="CX3625" t="s">
        <v>3177</v>
      </c>
    </row>
    <row r="3626" spans="1:102" x14ac:dyDescent="0.3">
      <c r="A3626" t="str">
        <f>HYPERLINK("https://webapp.icbf.com/v2/app/bull-search/view/69092443","QGE")</f>
        <v>QGE</v>
      </c>
      <c r="B3626" t="s">
        <v>12443</v>
      </c>
      <c r="C3626" t="s">
        <v>12444</v>
      </c>
      <c r="D3626" s="1">
        <v>35475</v>
      </c>
      <c r="E3626" t="s">
        <v>108</v>
      </c>
      <c r="F3626">
        <v>0</v>
      </c>
      <c r="G3626" t="s">
        <v>116</v>
      </c>
      <c r="H3626">
        <v>-49.96</v>
      </c>
      <c r="I3626">
        <v>34</v>
      </c>
      <c r="J3626">
        <v>35.68</v>
      </c>
      <c r="K3626">
        <v>25</v>
      </c>
      <c r="L3626">
        <v>-99.05</v>
      </c>
      <c r="M3626">
        <v>40</v>
      </c>
      <c r="N3626">
        <v>-1.89</v>
      </c>
      <c r="O3626">
        <v>39</v>
      </c>
      <c r="P3626">
        <v>2.4500000000000002</v>
      </c>
      <c r="Q3626">
        <v>38</v>
      </c>
      <c r="R3626">
        <v>2.0699999999999998</v>
      </c>
      <c r="S3626">
        <v>41</v>
      </c>
      <c r="T3626">
        <v>9.16</v>
      </c>
      <c r="U3626">
        <v>35</v>
      </c>
      <c r="V3626">
        <v>1.62</v>
      </c>
      <c r="W3626">
        <v>39</v>
      </c>
      <c r="X3626" t="s">
        <v>94</v>
      </c>
      <c r="Y3626" t="s">
        <v>730</v>
      </c>
      <c r="Z3626" t="s">
        <v>96</v>
      </c>
      <c r="AA3626" t="s">
        <v>188</v>
      </c>
      <c r="AB3626" t="s">
        <v>12142</v>
      </c>
      <c r="AC3626">
        <v>0</v>
      </c>
      <c r="AD3626">
        <v>0</v>
      </c>
      <c r="AE3626">
        <v>25</v>
      </c>
      <c r="AF3626">
        <v>157.16999999999999</v>
      </c>
      <c r="AG3626">
        <v>5.89</v>
      </c>
      <c r="AH3626">
        <v>6.39</v>
      </c>
      <c r="AI3626">
        <v>-0.01</v>
      </c>
      <c r="AJ3626">
        <v>0.01</v>
      </c>
      <c r="AK3626">
        <v>40</v>
      </c>
      <c r="AL3626">
        <v>0</v>
      </c>
      <c r="AM3626">
        <v>0</v>
      </c>
      <c r="AN3626">
        <v>6.13</v>
      </c>
      <c r="AO3626">
        <v>-1.76</v>
      </c>
      <c r="AP3626">
        <v>2</v>
      </c>
      <c r="AQ3626">
        <v>0</v>
      </c>
      <c r="AR3626">
        <v>9.43</v>
      </c>
      <c r="AS3626">
        <v>33</v>
      </c>
      <c r="AT3626">
        <v>3.9</v>
      </c>
      <c r="AU3626">
        <v>39</v>
      </c>
      <c r="AV3626">
        <v>-0.94</v>
      </c>
      <c r="AW3626">
        <v>42</v>
      </c>
      <c r="AX3626">
        <v>-0.31</v>
      </c>
      <c r="AY3626">
        <v>37</v>
      </c>
      <c r="AZ3626">
        <v>5.82</v>
      </c>
      <c r="BA3626">
        <v>33</v>
      </c>
      <c r="BB3626">
        <v>4.6500000000000004</v>
      </c>
      <c r="BC3626">
        <v>33</v>
      </c>
      <c r="BD3626">
        <v>-0.01</v>
      </c>
      <c r="BE3626">
        <v>0.01</v>
      </c>
      <c r="BF3626">
        <v>-0.05</v>
      </c>
      <c r="BG3626">
        <v>43</v>
      </c>
      <c r="BH3626">
        <v>0.05</v>
      </c>
      <c r="BI3626">
        <v>0.56000000000000005</v>
      </c>
      <c r="BJ3626">
        <v>0</v>
      </c>
      <c r="BK3626">
        <v>0</v>
      </c>
      <c r="BL3626">
        <v>0.06</v>
      </c>
      <c r="BM3626">
        <v>-0.78</v>
      </c>
      <c r="BN3626">
        <v>-0.23</v>
      </c>
      <c r="BO3626">
        <v>0.47</v>
      </c>
      <c r="BP3626">
        <v>0.45</v>
      </c>
      <c r="BQ3626">
        <v>-0.38</v>
      </c>
      <c r="BR3626">
        <v>1.42</v>
      </c>
      <c r="BS3626">
        <v>-0.68</v>
      </c>
      <c r="BT3626">
        <v>-1.47</v>
      </c>
      <c r="BU3626">
        <v>0.85</v>
      </c>
      <c r="BV3626">
        <v>0.8</v>
      </c>
      <c r="BW3626">
        <v>-0.12</v>
      </c>
      <c r="BX3626">
        <v>0.41</v>
      </c>
      <c r="BY3626">
        <v>0.27</v>
      </c>
      <c r="BZ3626">
        <v>-1.41</v>
      </c>
      <c r="CA3626">
        <v>0.3</v>
      </c>
      <c r="CB3626">
        <v>0.82</v>
      </c>
      <c r="CC3626">
        <v>-0.94</v>
      </c>
      <c r="CD3626">
        <v>-0.69</v>
      </c>
      <c r="CE3626">
        <v>0.43</v>
      </c>
      <c r="CF3626">
        <v>-0.45</v>
      </c>
      <c r="CG3626">
        <v>0</v>
      </c>
      <c r="CH3626">
        <v>0.34</v>
      </c>
      <c r="CI3626">
        <v>0</v>
      </c>
      <c r="CJ3626">
        <v>5</v>
      </c>
      <c r="CK3626">
        <v>39</v>
      </c>
      <c r="CL3626">
        <v>-0.86</v>
      </c>
      <c r="CM3626">
        <v>38</v>
      </c>
      <c r="CN3626">
        <v>-0.37</v>
      </c>
      <c r="CO3626">
        <v>38</v>
      </c>
      <c r="CP3626">
        <v>0.6</v>
      </c>
      <c r="CQ3626">
        <v>36</v>
      </c>
      <c r="CR3626">
        <v>0</v>
      </c>
      <c r="CS3626">
        <v>0</v>
      </c>
      <c r="CT3626">
        <v>1.4</v>
      </c>
      <c r="CU3626">
        <v>35</v>
      </c>
      <c r="CV3626">
        <v>0.32</v>
      </c>
      <c r="CW3626">
        <v>12</v>
      </c>
      <c r="CX3626" t="s">
        <v>485</v>
      </c>
    </row>
    <row r="3627" spans="1:102" x14ac:dyDescent="0.3">
      <c r="A3627" t="str">
        <f>HYPERLINK("https://webapp.icbf.com/v2/app/bull-search/view/586055348","DKM")</f>
        <v>DKM</v>
      </c>
      <c r="B3627" t="s">
        <v>8911</v>
      </c>
      <c r="C3627" t="s">
        <v>8912</v>
      </c>
      <c r="D3627" s="1">
        <v>38725</v>
      </c>
      <c r="E3627" t="s">
        <v>92</v>
      </c>
      <c r="F3627">
        <v>100</v>
      </c>
      <c r="G3627" t="s">
        <v>109</v>
      </c>
      <c r="H3627">
        <v>-50.02</v>
      </c>
      <c r="I3627">
        <v>78</v>
      </c>
      <c r="J3627">
        <v>16.670000000000002</v>
      </c>
      <c r="K3627">
        <v>93</v>
      </c>
      <c r="L3627">
        <v>-78.22</v>
      </c>
      <c r="M3627">
        <v>84</v>
      </c>
      <c r="N3627">
        <v>13.93</v>
      </c>
      <c r="O3627">
        <v>63</v>
      </c>
      <c r="P3627">
        <v>-6.93</v>
      </c>
      <c r="Q3627">
        <v>55</v>
      </c>
      <c r="R3627">
        <v>-3.31</v>
      </c>
      <c r="S3627">
        <v>74</v>
      </c>
      <c r="T3627">
        <v>4.13</v>
      </c>
      <c r="U3627">
        <v>49</v>
      </c>
      <c r="V3627">
        <v>3.71</v>
      </c>
      <c r="W3627">
        <v>61</v>
      </c>
      <c r="X3627" t="s">
        <v>251</v>
      </c>
      <c r="Y3627" t="s">
        <v>1128</v>
      </c>
      <c r="Z3627" t="s">
        <v>2130</v>
      </c>
      <c r="AA3627" t="s">
        <v>350</v>
      </c>
      <c r="AB3627" t="s">
        <v>8913</v>
      </c>
      <c r="AC3627">
        <v>0</v>
      </c>
      <c r="AD3627">
        <v>0</v>
      </c>
      <c r="AE3627">
        <v>93</v>
      </c>
      <c r="AF3627">
        <v>560.65</v>
      </c>
      <c r="AG3627">
        <v>4.37</v>
      </c>
      <c r="AH3627">
        <v>9.8699999999999992</v>
      </c>
      <c r="AI3627">
        <v>-0.28000000000000003</v>
      </c>
      <c r="AJ3627">
        <v>-0.15</v>
      </c>
      <c r="AK3627">
        <v>84</v>
      </c>
      <c r="AL3627">
        <v>0</v>
      </c>
      <c r="AM3627">
        <v>0</v>
      </c>
      <c r="AN3627">
        <v>4.91</v>
      </c>
      <c r="AO3627">
        <v>-1.32</v>
      </c>
      <c r="AP3627">
        <v>5</v>
      </c>
      <c r="AQ3627">
        <v>0</v>
      </c>
      <c r="AR3627">
        <v>7.21</v>
      </c>
      <c r="AS3627">
        <v>56</v>
      </c>
      <c r="AT3627">
        <v>3.03</v>
      </c>
      <c r="AU3627">
        <v>88</v>
      </c>
      <c r="AV3627">
        <v>-1.64</v>
      </c>
      <c r="AW3627">
        <v>60</v>
      </c>
      <c r="AX3627">
        <v>0.12</v>
      </c>
      <c r="AY3627">
        <v>48</v>
      </c>
      <c r="AZ3627">
        <v>6.12</v>
      </c>
      <c r="BA3627">
        <v>44</v>
      </c>
      <c r="BB3627">
        <v>5.23</v>
      </c>
      <c r="BC3627">
        <v>46</v>
      </c>
      <c r="BD3627">
        <v>0.03</v>
      </c>
      <c r="BE3627">
        <v>0.04</v>
      </c>
      <c r="BF3627">
        <v>-0.05</v>
      </c>
      <c r="BG3627">
        <v>90</v>
      </c>
      <c r="BH3627">
        <v>0.1</v>
      </c>
      <c r="BI3627">
        <v>-0.4</v>
      </c>
      <c r="BJ3627">
        <v>0</v>
      </c>
      <c r="BK3627">
        <v>0</v>
      </c>
      <c r="BL3627">
        <v>0.87</v>
      </c>
      <c r="BM3627">
        <v>1.1499999999999999</v>
      </c>
      <c r="BN3627">
        <v>1.26</v>
      </c>
      <c r="BO3627">
        <v>0.69</v>
      </c>
      <c r="BP3627">
        <v>0.74</v>
      </c>
      <c r="BQ3627">
        <v>2.78</v>
      </c>
      <c r="BR3627">
        <v>0.37</v>
      </c>
      <c r="BS3627">
        <v>-0.1</v>
      </c>
      <c r="BT3627">
        <v>-1.1000000000000001</v>
      </c>
      <c r="BU3627">
        <v>1.58</v>
      </c>
      <c r="BV3627">
        <v>1.41</v>
      </c>
      <c r="BW3627">
        <v>1.06</v>
      </c>
      <c r="BX3627">
        <v>0.41</v>
      </c>
      <c r="BY3627">
        <v>0.45</v>
      </c>
      <c r="BZ3627">
        <v>1.51</v>
      </c>
      <c r="CA3627">
        <v>1.26</v>
      </c>
      <c r="CB3627">
        <v>1.2</v>
      </c>
      <c r="CC3627">
        <v>0.6</v>
      </c>
      <c r="CD3627">
        <v>-0.09</v>
      </c>
      <c r="CE3627">
        <v>1.1299999999999999</v>
      </c>
      <c r="CF3627">
        <v>1.06</v>
      </c>
      <c r="CG3627">
        <v>0</v>
      </c>
      <c r="CH3627">
        <v>0.62</v>
      </c>
      <c r="CI3627">
        <v>0</v>
      </c>
      <c r="CJ3627">
        <v>-2.7</v>
      </c>
      <c r="CK3627">
        <v>57</v>
      </c>
      <c r="CL3627">
        <v>-1</v>
      </c>
      <c r="CM3627">
        <v>54</v>
      </c>
      <c r="CN3627">
        <v>-0.59</v>
      </c>
      <c r="CO3627">
        <v>53</v>
      </c>
      <c r="CP3627">
        <v>1.4</v>
      </c>
      <c r="CQ3627">
        <v>51</v>
      </c>
      <c r="CR3627">
        <v>0</v>
      </c>
      <c r="CS3627">
        <v>0</v>
      </c>
      <c r="CT3627">
        <v>8.1999999999999993</v>
      </c>
      <c r="CU3627">
        <v>49</v>
      </c>
      <c r="CV3627">
        <v>0.1</v>
      </c>
      <c r="CW3627">
        <v>37</v>
      </c>
      <c r="CX3627" t="s">
        <v>8914</v>
      </c>
    </row>
    <row r="3628" spans="1:102" x14ac:dyDescent="0.3">
      <c r="A3628" t="str">
        <f>HYPERLINK("https://webapp.icbf.com/v2/app/bull-search/view/77859661","BGL")</f>
        <v>BGL</v>
      </c>
      <c r="B3628" t="s">
        <v>10902</v>
      </c>
      <c r="C3628" t="s">
        <v>10903</v>
      </c>
      <c r="D3628" s="1">
        <v>33600</v>
      </c>
      <c r="E3628" t="s">
        <v>92</v>
      </c>
      <c r="F3628">
        <v>100</v>
      </c>
      <c r="G3628" t="s">
        <v>93</v>
      </c>
      <c r="H3628">
        <v>-50.08</v>
      </c>
      <c r="I3628">
        <v>83</v>
      </c>
      <c r="J3628">
        <v>-61.93</v>
      </c>
      <c r="K3628">
        <v>96</v>
      </c>
      <c r="L3628">
        <v>0.6</v>
      </c>
      <c r="M3628">
        <v>80</v>
      </c>
      <c r="N3628">
        <v>4.32</v>
      </c>
      <c r="O3628">
        <v>71</v>
      </c>
      <c r="P3628">
        <v>-15.75</v>
      </c>
      <c r="Q3628">
        <v>83</v>
      </c>
      <c r="R3628">
        <v>-8.0500000000000007</v>
      </c>
      <c r="S3628">
        <v>79</v>
      </c>
      <c r="T3628">
        <v>30.25</v>
      </c>
      <c r="U3628">
        <v>76</v>
      </c>
      <c r="V3628">
        <v>0.48</v>
      </c>
      <c r="W3628">
        <v>59</v>
      </c>
      <c r="X3628" t="s">
        <v>94</v>
      </c>
      <c r="Y3628" t="s">
        <v>95</v>
      </c>
      <c r="Z3628" t="s">
        <v>96</v>
      </c>
      <c r="AA3628" t="s">
        <v>111</v>
      </c>
      <c r="AB3628" t="s">
        <v>10904</v>
      </c>
      <c r="AC3628">
        <v>103</v>
      </c>
      <c r="AD3628">
        <v>88</v>
      </c>
      <c r="AE3628">
        <v>96</v>
      </c>
      <c r="AF3628">
        <v>-112.25</v>
      </c>
      <c r="AG3628">
        <v>-11.76</v>
      </c>
      <c r="AH3628">
        <v>-8.09</v>
      </c>
      <c r="AI3628">
        <v>-0.13</v>
      </c>
      <c r="AJ3628">
        <v>-0.08</v>
      </c>
      <c r="AK3628">
        <v>80</v>
      </c>
      <c r="AL3628">
        <v>171</v>
      </c>
      <c r="AM3628">
        <v>120</v>
      </c>
      <c r="AN3628">
        <v>0.16</v>
      </c>
      <c r="AO3628">
        <v>0.21</v>
      </c>
      <c r="AP3628">
        <v>7</v>
      </c>
      <c r="AQ3628">
        <v>0</v>
      </c>
      <c r="AR3628">
        <v>7.7</v>
      </c>
      <c r="AS3628">
        <v>55</v>
      </c>
      <c r="AT3628">
        <v>3.35</v>
      </c>
      <c r="AU3628">
        <v>73</v>
      </c>
      <c r="AV3628">
        <v>-0.35</v>
      </c>
      <c r="AW3628">
        <v>75</v>
      </c>
      <c r="AX3628">
        <v>-0.76</v>
      </c>
      <c r="AY3628">
        <v>82</v>
      </c>
      <c r="AZ3628">
        <v>5.89</v>
      </c>
      <c r="BA3628">
        <v>49</v>
      </c>
      <c r="BB3628">
        <v>4.78</v>
      </c>
      <c r="BC3628">
        <v>62</v>
      </c>
      <c r="BD3628">
        <v>0.03</v>
      </c>
      <c r="BE3628">
        <v>0.05</v>
      </c>
      <c r="BF3628">
        <v>0.04</v>
      </c>
      <c r="BG3628">
        <v>93</v>
      </c>
      <c r="BH3628">
        <v>-7.0000000000000007E-2</v>
      </c>
      <c r="BI3628">
        <v>-9.65</v>
      </c>
      <c r="BJ3628">
        <v>25</v>
      </c>
      <c r="BK3628">
        <v>22</v>
      </c>
      <c r="BL3628">
        <v>0.13</v>
      </c>
      <c r="BM3628">
        <v>-1.1399999999999999</v>
      </c>
      <c r="BN3628">
        <v>-0.5</v>
      </c>
      <c r="BO3628">
        <v>0.13</v>
      </c>
      <c r="BP3628">
        <v>-0.15</v>
      </c>
      <c r="BQ3628">
        <v>-1.39</v>
      </c>
      <c r="BR3628">
        <v>1.26</v>
      </c>
      <c r="BS3628">
        <v>0.59</v>
      </c>
      <c r="BT3628">
        <v>-0.93</v>
      </c>
      <c r="BU3628">
        <v>0.46</v>
      </c>
      <c r="BV3628">
        <v>-1.1299999999999999</v>
      </c>
      <c r="BW3628">
        <v>-0.56000000000000005</v>
      </c>
      <c r="BX3628">
        <v>1.1399999999999999</v>
      </c>
      <c r="BY3628">
        <v>-1.1299999999999999</v>
      </c>
      <c r="BZ3628">
        <v>0.35</v>
      </c>
      <c r="CA3628">
        <v>-0.33</v>
      </c>
      <c r="CB3628">
        <v>-0.4</v>
      </c>
      <c r="CC3628">
        <v>0.46</v>
      </c>
      <c r="CD3628">
        <v>0.23</v>
      </c>
      <c r="CE3628">
        <v>0.47</v>
      </c>
      <c r="CF3628">
        <v>0.56999999999999995</v>
      </c>
      <c r="CG3628">
        <v>0</v>
      </c>
      <c r="CH3628">
        <v>-1.4</v>
      </c>
      <c r="CI3628">
        <v>0</v>
      </c>
      <c r="CJ3628">
        <v>-6.7</v>
      </c>
      <c r="CK3628">
        <v>84</v>
      </c>
      <c r="CL3628">
        <v>-0.53</v>
      </c>
      <c r="CM3628">
        <v>81</v>
      </c>
      <c r="CN3628">
        <v>-0.11</v>
      </c>
      <c r="CO3628">
        <v>79</v>
      </c>
      <c r="CP3628">
        <v>-15.5</v>
      </c>
      <c r="CQ3628">
        <v>86</v>
      </c>
      <c r="CR3628">
        <v>0</v>
      </c>
      <c r="CS3628">
        <v>0</v>
      </c>
      <c r="CT3628">
        <v>-27.1</v>
      </c>
      <c r="CU3628">
        <v>76</v>
      </c>
      <c r="CV3628">
        <v>-0.04</v>
      </c>
      <c r="CW3628">
        <v>43</v>
      </c>
      <c r="CX3628" t="s">
        <v>780</v>
      </c>
    </row>
    <row r="3629" spans="1:102" x14ac:dyDescent="0.3">
      <c r="A3629" t="str">
        <f>HYPERLINK("https://webapp.icbf.com/v2/app/bull-search/view/124414992","QGG")</f>
        <v>QGG</v>
      </c>
      <c r="B3629" t="s">
        <v>1004</v>
      </c>
      <c r="C3629" t="s">
        <v>1005</v>
      </c>
      <c r="D3629" s="1">
        <v>36687</v>
      </c>
      <c r="E3629" t="s">
        <v>92</v>
      </c>
      <c r="F3629">
        <v>94</v>
      </c>
      <c r="G3629" t="s">
        <v>116</v>
      </c>
      <c r="H3629">
        <v>-50.1</v>
      </c>
      <c r="I3629">
        <v>36</v>
      </c>
      <c r="J3629">
        <v>14.03</v>
      </c>
      <c r="K3629">
        <v>36</v>
      </c>
      <c r="L3629">
        <v>-85.02</v>
      </c>
      <c r="M3629">
        <v>34</v>
      </c>
      <c r="N3629">
        <v>8.0299999999999994</v>
      </c>
      <c r="O3629">
        <v>36</v>
      </c>
      <c r="P3629">
        <v>1.31</v>
      </c>
      <c r="Q3629">
        <v>38</v>
      </c>
      <c r="R3629">
        <v>5.22</v>
      </c>
      <c r="S3629">
        <v>40</v>
      </c>
      <c r="T3629">
        <v>2.8</v>
      </c>
      <c r="U3629">
        <v>36</v>
      </c>
      <c r="V3629">
        <v>3.53</v>
      </c>
      <c r="W3629">
        <v>37</v>
      </c>
      <c r="X3629" t="s">
        <v>94</v>
      </c>
      <c r="Y3629" t="s">
        <v>1006</v>
      </c>
      <c r="Z3629" t="s">
        <v>96</v>
      </c>
      <c r="AA3629" t="s">
        <v>174</v>
      </c>
      <c r="AB3629" t="s">
        <v>1007</v>
      </c>
      <c r="AC3629">
        <v>3</v>
      </c>
      <c r="AD3629">
        <v>1</v>
      </c>
      <c r="AE3629">
        <v>36</v>
      </c>
      <c r="AF3629">
        <v>194.64</v>
      </c>
      <c r="AG3629">
        <v>0.95</v>
      </c>
      <c r="AH3629">
        <v>5.03</v>
      </c>
      <c r="AI3629">
        <v>-0.11</v>
      </c>
      <c r="AJ3629">
        <v>-0.03</v>
      </c>
      <c r="AK3629">
        <v>34</v>
      </c>
      <c r="AL3629">
        <v>1</v>
      </c>
      <c r="AM3629">
        <v>1</v>
      </c>
      <c r="AN3629">
        <v>4.63</v>
      </c>
      <c r="AO3629">
        <v>-2.15</v>
      </c>
      <c r="AP3629">
        <v>3</v>
      </c>
      <c r="AQ3629">
        <v>0</v>
      </c>
      <c r="AR3629">
        <v>9.91</v>
      </c>
      <c r="AS3629">
        <v>35</v>
      </c>
      <c r="AT3629">
        <v>3.33</v>
      </c>
      <c r="AU3629">
        <v>39</v>
      </c>
      <c r="AV3629">
        <v>-1.93</v>
      </c>
      <c r="AW3629">
        <v>37</v>
      </c>
      <c r="AX3629">
        <v>-0.43</v>
      </c>
      <c r="AY3629">
        <v>35</v>
      </c>
      <c r="AZ3629">
        <v>6.86</v>
      </c>
      <c r="BA3629">
        <v>34</v>
      </c>
      <c r="BB3629">
        <v>4.8899999999999997</v>
      </c>
      <c r="BC3629">
        <v>33</v>
      </c>
      <c r="BD3629">
        <v>-0.03</v>
      </c>
      <c r="BE3629">
        <v>0</v>
      </c>
      <c r="BF3629">
        <v>-7.0000000000000007E-2</v>
      </c>
      <c r="BG3629">
        <v>44</v>
      </c>
      <c r="BH3629">
        <v>0.14000000000000001</v>
      </c>
      <c r="BI3629">
        <v>4.8099999999999996</v>
      </c>
      <c r="BJ3629">
        <v>0</v>
      </c>
      <c r="BK3629">
        <v>0</v>
      </c>
      <c r="BL3629">
        <v>0.33</v>
      </c>
      <c r="BM3629">
        <v>1.32</v>
      </c>
      <c r="BN3629">
        <v>1.1399999999999999</v>
      </c>
      <c r="BO3629">
        <v>0.27</v>
      </c>
      <c r="BP3629">
        <v>0.76</v>
      </c>
      <c r="BQ3629">
        <v>0.94</v>
      </c>
      <c r="BR3629">
        <v>-0.2</v>
      </c>
      <c r="BS3629">
        <v>-1.02</v>
      </c>
      <c r="BT3629">
        <v>0.12</v>
      </c>
      <c r="BU3629">
        <v>-0.11</v>
      </c>
      <c r="BV3629">
        <v>-0.24</v>
      </c>
      <c r="BW3629">
        <v>0.81</v>
      </c>
      <c r="BX3629">
        <v>0.13</v>
      </c>
      <c r="BY3629">
        <v>2.4500000000000002</v>
      </c>
      <c r="BZ3629">
        <v>0.06</v>
      </c>
      <c r="CA3629">
        <v>0.03</v>
      </c>
      <c r="CB3629">
        <v>0.47</v>
      </c>
      <c r="CC3629">
        <v>-0.68</v>
      </c>
      <c r="CD3629">
        <v>0.42</v>
      </c>
      <c r="CE3629">
        <v>0.35</v>
      </c>
      <c r="CF3629">
        <v>0.78</v>
      </c>
      <c r="CG3629">
        <v>0</v>
      </c>
      <c r="CH3629">
        <v>2.13</v>
      </c>
      <c r="CI3629">
        <v>0</v>
      </c>
      <c r="CJ3629">
        <v>3.2</v>
      </c>
      <c r="CK3629">
        <v>38</v>
      </c>
      <c r="CL3629">
        <v>-0.52</v>
      </c>
      <c r="CM3629">
        <v>37</v>
      </c>
      <c r="CN3629">
        <v>-0.18</v>
      </c>
      <c r="CO3629">
        <v>35</v>
      </c>
      <c r="CP3629">
        <v>1</v>
      </c>
      <c r="CQ3629">
        <v>40</v>
      </c>
      <c r="CR3629">
        <v>0</v>
      </c>
      <c r="CS3629">
        <v>0</v>
      </c>
      <c r="CT3629">
        <v>10</v>
      </c>
      <c r="CU3629">
        <v>36</v>
      </c>
      <c r="CV3629">
        <v>0.2</v>
      </c>
      <c r="CW3629">
        <v>11</v>
      </c>
      <c r="CX3629" t="s">
        <v>1008</v>
      </c>
    </row>
    <row r="3630" spans="1:102" x14ac:dyDescent="0.3">
      <c r="A3630" t="str">
        <f>HYPERLINK("https://webapp.icbf.com/v2/app/bull-search/view/69091924","IAA")</f>
        <v>IAA</v>
      </c>
      <c r="B3630" t="s">
        <v>4408</v>
      </c>
      <c r="C3630" t="s">
        <v>4409</v>
      </c>
      <c r="D3630" s="1">
        <v>34292</v>
      </c>
      <c r="E3630" t="s">
        <v>197</v>
      </c>
      <c r="F3630">
        <v>0</v>
      </c>
      <c r="G3630" t="s">
        <v>93</v>
      </c>
      <c r="H3630">
        <v>-50.17</v>
      </c>
      <c r="I3630">
        <v>56</v>
      </c>
      <c r="J3630">
        <v>-59.14</v>
      </c>
      <c r="K3630">
        <v>80</v>
      </c>
      <c r="L3630">
        <v>64.319999999999993</v>
      </c>
      <c r="M3630">
        <v>38</v>
      </c>
      <c r="N3630">
        <v>-72.56</v>
      </c>
      <c r="O3630">
        <v>50</v>
      </c>
      <c r="P3630">
        <v>11.48</v>
      </c>
      <c r="Q3630">
        <v>67</v>
      </c>
      <c r="R3630">
        <v>-5.86</v>
      </c>
      <c r="S3630">
        <v>38</v>
      </c>
      <c r="T3630">
        <v>12.86</v>
      </c>
      <c r="U3630">
        <v>63</v>
      </c>
      <c r="V3630">
        <v>-1.27</v>
      </c>
      <c r="W3630">
        <v>13</v>
      </c>
      <c r="X3630" t="s">
        <v>94</v>
      </c>
      <c r="Y3630" t="s">
        <v>95</v>
      </c>
      <c r="Z3630">
        <v>0</v>
      </c>
      <c r="AA3630" t="s">
        <v>4406</v>
      </c>
      <c r="AB3630" t="s">
        <v>4410</v>
      </c>
      <c r="AC3630">
        <v>16</v>
      </c>
      <c r="AD3630">
        <v>6</v>
      </c>
      <c r="AE3630">
        <v>80</v>
      </c>
      <c r="AF3630">
        <v>-327.33</v>
      </c>
      <c r="AG3630">
        <v>-16.7</v>
      </c>
      <c r="AH3630">
        <v>-9.16</v>
      </c>
      <c r="AI3630">
        <v>-7.0000000000000007E-2</v>
      </c>
      <c r="AJ3630">
        <v>0.04</v>
      </c>
      <c r="AK3630">
        <v>38</v>
      </c>
      <c r="AL3630">
        <v>20</v>
      </c>
      <c r="AM3630">
        <v>12</v>
      </c>
      <c r="AN3630">
        <v>-4.22</v>
      </c>
      <c r="AO3630">
        <v>0.9</v>
      </c>
      <c r="AP3630">
        <v>17</v>
      </c>
      <c r="AQ3630">
        <v>2</v>
      </c>
      <c r="AR3630">
        <v>10.17</v>
      </c>
      <c r="AS3630">
        <v>23</v>
      </c>
      <c r="AT3630">
        <v>7.77</v>
      </c>
      <c r="AU3630">
        <v>41</v>
      </c>
      <c r="AV3630">
        <v>1.37</v>
      </c>
      <c r="AW3630">
        <v>71</v>
      </c>
      <c r="AX3630">
        <v>0.62</v>
      </c>
      <c r="AY3630">
        <v>48</v>
      </c>
      <c r="AZ3630">
        <v>6.63</v>
      </c>
      <c r="BA3630">
        <v>23</v>
      </c>
      <c r="BB3630">
        <v>3.5</v>
      </c>
      <c r="BC3630">
        <v>26</v>
      </c>
      <c r="BD3630">
        <v>0.01</v>
      </c>
      <c r="BE3630">
        <v>0.02</v>
      </c>
      <c r="BF3630">
        <v>0.08</v>
      </c>
      <c r="BG3630">
        <v>47</v>
      </c>
      <c r="BH3630">
        <v>0</v>
      </c>
      <c r="BI3630">
        <v>4.1100000000000003</v>
      </c>
      <c r="BJ3630">
        <v>0</v>
      </c>
      <c r="BK3630">
        <v>0</v>
      </c>
      <c r="BL3630">
        <v>-0.52</v>
      </c>
      <c r="BM3630">
        <v>0.45</v>
      </c>
      <c r="BN3630">
        <v>-0.38</v>
      </c>
      <c r="BO3630">
        <v>-1.07</v>
      </c>
      <c r="BP3630">
        <v>0.66</v>
      </c>
      <c r="BQ3630">
        <v>0.21</v>
      </c>
      <c r="BR3630">
        <v>0.39</v>
      </c>
      <c r="BS3630">
        <v>0.89</v>
      </c>
      <c r="BT3630">
        <v>-0.26</v>
      </c>
      <c r="BU3630">
        <v>-0.17</v>
      </c>
      <c r="BV3630">
        <v>-1.45</v>
      </c>
      <c r="BW3630">
        <v>-1.52</v>
      </c>
      <c r="BX3630">
        <v>0.51</v>
      </c>
      <c r="BY3630">
        <v>-1.37</v>
      </c>
      <c r="BZ3630">
        <v>-0.15</v>
      </c>
      <c r="CA3630">
        <v>-0.94</v>
      </c>
      <c r="CB3630">
        <v>-0.91</v>
      </c>
      <c r="CC3630">
        <v>-0.59</v>
      </c>
      <c r="CD3630">
        <v>1.0900000000000001</v>
      </c>
      <c r="CE3630">
        <v>-1.19</v>
      </c>
      <c r="CF3630">
        <v>-0.32</v>
      </c>
      <c r="CG3630">
        <v>0</v>
      </c>
      <c r="CH3630">
        <v>-0.81</v>
      </c>
      <c r="CI3630">
        <v>0</v>
      </c>
      <c r="CJ3630">
        <v>5.7</v>
      </c>
      <c r="CK3630">
        <v>69</v>
      </c>
      <c r="CL3630">
        <v>0.32</v>
      </c>
      <c r="CM3630">
        <v>65</v>
      </c>
      <c r="CN3630">
        <v>0.04</v>
      </c>
      <c r="CO3630">
        <v>61</v>
      </c>
      <c r="CP3630">
        <v>5.2</v>
      </c>
      <c r="CQ3630">
        <v>68</v>
      </c>
      <c r="CR3630">
        <v>0</v>
      </c>
      <c r="CS3630">
        <v>0</v>
      </c>
      <c r="CT3630">
        <v>-3.6</v>
      </c>
      <c r="CU3630">
        <v>63</v>
      </c>
      <c r="CV3630">
        <v>-0.05</v>
      </c>
      <c r="CW3630">
        <v>18</v>
      </c>
      <c r="CX3630" t="s">
        <v>4411</v>
      </c>
    </row>
    <row r="3631" spans="1:102" x14ac:dyDescent="0.3">
      <c r="A3631" t="str">
        <f>HYPERLINK("https://webapp.icbf.com/v2/app/bull-search/view/586070015","S903")</f>
        <v>S903</v>
      </c>
      <c r="B3631" t="s">
        <v>14879</v>
      </c>
      <c r="C3631" t="s">
        <v>14880</v>
      </c>
      <c r="D3631" s="1">
        <v>38572</v>
      </c>
      <c r="E3631" t="s">
        <v>92</v>
      </c>
      <c r="F3631">
        <v>100</v>
      </c>
      <c r="G3631" t="s">
        <v>109</v>
      </c>
      <c r="H3631">
        <v>-50.27</v>
      </c>
      <c r="I3631">
        <v>85</v>
      </c>
      <c r="J3631">
        <v>27.79</v>
      </c>
      <c r="K3631">
        <v>94</v>
      </c>
      <c r="L3631">
        <v>-106.94</v>
      </c>
      <c r="M3631">
        <v>89</v>
      </c>
      <c r="N3631">
        <v>28.66</v>
      </c>
      <c r="O3631">
        <v>78</v>
      </c>
      <c r="P3631">
        <v>-7.87</v>
      </c>
      <c r="Q3631">
        <v>73</v>
      </c>
      <c r="R3631">
        <v>11.82</v>
      </c>
      <c r="S3631">
        <v>80</v>
      </c>
      <c r="T3631">
        <v>-5.34</v>
      </c>
      <c r="U3631">
        <v>58</v>
      </c>
      <c r="V3631">
        <v>1.61</v>
      </c>
      <c r="W3631">
        <v>66</v>
      </c>
      <c r="X3631" t="s">
        <v>251</v>
      </c>
      <c r="Y3631" t="s">
        <v>303</v>
      </c>
      <c r="Z3631" t="s">
        <v>96</v>
      </c>
      <c r="AA3631" t="s">
        <v>350</v>
      </c>
      <c r="AB3631" t="s">
        <v>14881</v>
      </c>
      <c r="AC3631">
        <v>0</v>
      </c>
      <c r="AD3631">
        <v>0</v>
      </c>
      <c r="AE3631">
        <v>94</v>
      </c>
      <c r="AF3631">
        <v>585.78</v>
      </c>
      <c r="AG3631">
        <v>10.210000000000001</v>
      </c>
      <c r="AH3631">
        <v>10.08</v>
      </c>
      <c r="AI3631">
        <v>-0.2</v>
      </c>
      <c r="AJ3631">
        <v>-0.16</v>
      </c>
      <c r="AK3631">
        <v>89</v>
      </c>
      <c r="AL3631">
        <v>18</v>
      </c>
      <c r="AM3631">
        <v>10</v>
      </c>
      <c r="AN3631">
        <v>6.47</v>
      </c>
      <c r="AO3631">
        <v>-2.0499999999999998</v>
      </c>
      <c r="AP3631">
        <v>40</v>
      </c>
      <c r="AQ3631">
        <v>0</v>
      </c>
      <c r="AR3631">
        <v>7.46</v>
      </c>
      <c r="AS3631">
        <v>65</v>
      </c>
      <c r="AT3631">
        <v>3.47</v>
      </c>
      <c r="AU3631">
        <v>91</v>
      </c>
      <c r="AV3631">
        <v>-3.68</v>
      </c>
      <c r="AW3631">
        <v>85</v>
      </c>
      <c r="AX3631">
        <v>0.49</v>
      </c>
      <c r="AY3631">
        <v>64</v>
      </c>
      <c r="AZ3631">
        <v>5.67</v>
      </c>
      <c r="BA3631">
        <v>58</v>
      </c>
      <c r="BB3631">
        <v>4.5</v>
      </c>
      <c r="BC3631">
        <v>55</v>
      </c>
      <c r="BD3631">
        <v>-0.04</v>
      </c>
      <c r="BE3631">
        <v>-0.05</v>
      </c>
      <c r="BF3631">
        <v>-0.11</v>
      </c>
      <c r="BG3631">
        <v>93</v>
      </c>
      <c r="BH3631">
        <v>-0.03</v>
      </c>
      <c r="BI3631">
        <v>-8.66</v>
      </c>
      <c r="BJ3631">
        <v>15</v>
      </c>
      <c r="BK3631">
        <v>10</v>
      </c>
      <c r="BL3631">
        <v>1.96</v>
      </c>
      <c r="BM3631">
        <v>0.27</v>
      </c>
      <c r="BN3631">
        <v>1.46</v>
      </c>
      <c r="BO3631">
        <v>1.51</v>
      </c>
      <c r="BP3631">
        <v>0.01</v>
      </c>
      <c r="BQ3631">
        <v>1.66</v>
      </c>
      <c r="BR3631">
        <v>0.47</v>
      </c>
      <c r="BS3631">
        <v>1.3</v>
      </c>
      <c r="BT3631">
        <v>1.17</v>
      </c>
      <c r="BU3631">
        <v>1.59</v>
      </c>
      <c r="BV3631">
        <v>1.67</v>
      </c>
      <c r="BW3631">
        <v>1.1100000000000001</v>
      </c>
      <c r="BX3631">
        <v>1.1100000000000001</v>
      </c>
      <c r="BY3631">
        <v>0.61</v>
      </c>
      <c r="BZ3631">
        <v>0.57999999999999996</v>
      </c>
      <c r="CA3631">
        <v>1.31</v>
      </c>
      <c r="CB3631">
        <v>1.17</v>
      </c>
      <c r="CC3631">
        <v>1.01</v>
      </c>
      <c r="CD3631">
        <v>-1.41</v>
      </c>
      <c r="CE3631">
        <v>1.1599999999999999</v>
      </c>
      <c r="CF3631">
        <v>1.82</v>
      </c>
      <c r="CG3631">
        <v>0</v>
      </c>
      <c r="CH3631">
        <v>0.45</v>
      </c>
      <c r="CI3631">
        <v>0</v>
      </c>
      <c r="CJ3631">
        <v>-1.1000000000000001</v>
      </c>
      <c r="CK3631">
        <v>75</v>
      </c>
      <c r="CL3631">
        <v>-1.51</v>
      </c>
      <c r="CM3631">
        <v>72</v>
      </c>
      <c r="CN3631">
        <v>-0.76</v>
      </c>
      <c r="CO3631">
        <v>69</v>
      </c>
      <c r="CP3631">
        <v>2.2000000000000002</v>
      </c>
      <c r="CQ3631">
        <v>69</v>
      </c>
      <c r="CR3631">
        <v>0</v>
      </c>
      <c r="CS3631">
        <v>0</v>
      </c>
      <c r="CT3631">
        <v>21</v>
      </c>
      <c r="CU3631">
        <v>58</v>
      </c>
      <c r="CV3631">
        <v>0.25</v>
      </c>
      <c r="CW3631">
        <v>40</v>
      </c>
      <c r="CX3631" t="s">
        <v>289</v>
      </c>
    </row>
    <row r="3632" spans="1:102" x14ac:dyDescent="0.3">
      <c r="A3632" t="str">
        <f>HYPERLINK("https://webapp.icbf.com/v2/app/bull-search/view/77858590","CSH")</f>
        <v>CSH</v>
      </c>
      <c r="B3632" t="s">
        <v>3753</v>
      </c>
      <c r="C3632" t="s">
        <v>1463</v>
      </c>
      <c r="D3632" s="1">
        <v>31523</v>
      </c>
      <c r="E3632" t="s">
        <v>92</v>
      </c>
      <c r="F3632">
        <v>100</v>
      </c>
      <c r="G3632" t="s">
        <v>93</v>
      </c>
      <c r="H3632">
        <v>-50.63</v>
      </c>
      <c r="I3632">
        <v>95</v>
      </c>
      <c r="J3632">
        <v>-7.61</v>
      </c>
      <c r="K3632">
        <v>99</v>
      </c>
      <c r="L3632">
        <v>-54.85</v>
      </c>
      <c r="M3632">
        <v>93</v>
      </c>
      <c r="N3632">
        <v>11.71</v>
      </c>
      <c r="O3632">
        <v>94</v>
      </c>
      <c r="P3632">
        <v>-6.39</v>
      </c>
      <c r="Q3632">
        <v>97</v>
      </c>
      <c r="R3632">
        <v>-13.18</v>
      </c>
      <c r="S3632">
        <v>90</v>
      </c>
      <c r="T3632">
        <v>15.23</v>
      </c>
      <c r="U3632">
        <v>96</v>
      </c>
      <c r="V3632">
        <v>4.46</v>
      </c>
      <c r="W3632">
        <v>83</v>
      </c>
      <c r="X3632" t="s">
        <v>110</v>
      </c>
      <c r="Y3632" t="s">
        <v>95</v>
      </c>
      <c r="Z3632" t="s">
        <v>96</v>
      </c>
      <c r="AA3632" t="s">
        <v>128</v>
      </c>
      <c r="AB3632" t="s">
        <v>3754</v>
      </c>
      <c r="AC3632">
        <v>777</v>
      </c>
      <c r="AD3632">
        <v>415</v>
      </c>
      <c r="AE3632">
        <v>99</v>
      </c>
      <c r="AF3632">
        <v>124.55</v>
      </c>
      <c r="AG3632">
        <v>-5.76</v>
      </c>
      <c r="AH3632">
        <v>2.65</v>
      </c>
      <c r="AI3632">
        <v>-0.18</v>
      </c>
      <c r="AJ3632">
        <v>-0.03</v>
      </c>
      <c r="AK3632">
        <v>93</v>
      </c>
      <c r="AL3632">
        <v>1075</v>
      </c>
      <c r="AM3632">
        <v>517</v>
      </c>
      <c r="AN3632">
        <v>3.31</v>
      </c>
      <c r="AO3632">
        <v>-1.06</v>
      </c>
      <c r="AP3632">
        <v>23</v>
      </c>
      <c r="AQ3632">
        <v>0</v>
      </c>
      <c r="AR3632">
        <v>6.39</v>
      </c>
      <c r="AS3632">
        <v>81</v>
      </c>
      <c r="AT3632">
        <v>2.91</v>
      </c>
      <c r="AU3632">
        <v>98</v>
      </c>
      <c r="AV3632">
        <v>-0.27</v>
      </c>
      <c r="AW3632">
        <v>95</v>
      </c>
      <c r="AX3632">
        <v>-0.28999999999999998</v>
      </c>
      <c r="AY3632">
        <v>96</v>
      </c>
      <c r="AZ3632">
        <v>5.4</v>
      </c>
      <c r="BA3632">
        <v>80</v>
      </c>
      <c r="BB3632">
        <v>4.4800000000000004</v>
      </c>
      <c r="BC3632">
        <v>91</v>
      </c>
      <c r="BD3632">
        <v>0.03</v>
      </c>
      <c r="BE3632">
        <v>7.0000000000000007E-2</v>
      </c>
      <c r="BF3632">
        <v>0.12</v>
      </c>
      <c r="BG3632">
        <v>98</v>
      </c>
      <c r="BH3632">
        <v>7.0000000000000007E-2</v>
      </c>
      <c r="BI3632">
        <v>-6.29</v>
      </c>
      <c r="BJ3632">
        <v>74</v>
      </c>
      <c r="BK3632">
        <v>51</v>
      </c>
      <c r="BL3632">
        <v>-0.34</v>
      </c>
      <c r="BM3632">
        <v>1.1100000000000001</v>
      </c>
      <c r="BN3632">
        <v>0.69</v>
      </c>
      <c r="BO3632">
        <v>-0.34</v>
      </c>
      <c r="BP3632">
        <v>-1.6</v>
      </c>
      <c r="BQ3632">
        <v>-1.17</v>
      </c>
      <c r="BR3632">
        <v>0.3</v>
      </c>
      <c r="BS3632">
        <v>-0.79</v>
      </c>
      <c r="BT3632">
        <v>0.64</v>
      </c>
      <c r="BU3632">
        <v>-1.44</v>
      </c>
      <c r="BV3632">
        <v>-0.39</v>
      </c>
      <c r="BW3632">
        <v>-0.34</v>
      </c>
      <c r="BX3632">
        <v>-1.31</v>
      </c>
      <c r="BY3632">
        <v>-0.4</v>
      </c>
      <c r="BZ3632">
        <v>-1.02</v>
      </c>
      <c r="CA3632">
        <v>-1.0900000000000001</v>
      </c>
      <c r="CB3632">
        <v>-1.1499999999999999</v>
      </c>
      <c r="CC3632">
        <v>-0.56999999999999995</v>
      </c>
      <c r="CD3632">
        <v>0.56000000000000005</v>
      </c>
      <c r="CE3632">
        <v>-0.48</v>
      </c>
      <c r="CF3632">
        <v>-0.23</v>
      </c>
      <c r="CG3632">
        <v>0</v>
      </c>
      <c r="CH3632">
        <v>-0.49</v>
      </c>
      <c r="CI3632">
        <v>0</v>
      </c>
      <c r="CJ3632">
        <v>-2.6</v>
      </c>
      <c r="CK3632">
        <v>97</v>
      </c>
      <c r="CL3632">
        <v>-0.46</v>
      </c>
      <c r="CM3632">
        <v>97</v>
      </c>
      <c r="CN3632">
        <v>-0.28000000000000003</v>
      </c>
      <c r="CO3632">
        <v>96</v>
      </c>
      <c r="CP3632">
        <v>-8.9</v>
      </c>
      <c r="CQ3632">
        <v>98</v>
      </c>
      <c r="CR3632">
        <v>0</v>
      </c>
      <c r="CS3632">
        <v>0</v>
      </c>
      <c r="CT3632">
        <v>-6.8</v>
      </c>
      <c r="CU3632">
        <v>96</v>
      </c>
      <c r="CV3632">
        <v>0</v>
      </c>
      <c r="CW3632">
        <v>46</v>
      </c>
      <c r="CX3632" t="s">
        <v>120</v>
      </c>
    </row>
    <row r="3633" spans="1:102" x14ac:dyDescent="0.3">
      <c r="A3633" t="str">
        <f>HYPERLINK("https://webapp.icbf.com/v2/app/bull-search/view/124415096","SSC")</f>
        <v>SSC</v>
      </c>
      <c r="B3633" t="s">
        <v>4032</v>
      </c>
      <c r="C3633" t="s">
        <v>4033</v>
      </c>
      <c r="D3633" s="1">
        <v>32027</v>
      </c>
      <c r="E3633" t="s">
        <v>92</v>
      </c>
      <c r="F3633">
        <v>100</v>
      </c>
      <c r="G3633" t="s">
        <v>109</v>
      </c>
      <c r="H3633">
        <v>-50.69</v>
      </c>
      <c r="I3633">
        <v>77</v>
      </c>
      <c r="J3633">
        <v>-29.47</v>
      </c>
      <c r="K3633">
        <v>91</v>
      </c>
      <c r="L3633">
        <v>-30.24</v>
      </c>
      <c r="M3633">
        <v>82</v>
      </c>
      <c r="N3633">
        <v>3.87</v>
      </c>
      <c r="O3633">
        <v>55</v>
      </c>
      <c r="P3633">
        <v>-6.39</v>
      </c>
      <c r="Q3633">
        <v>61</v>
      </c>
      <c r="R3633">
        <v>-8.44</v>
      </c>
      <c r="S3633">
        <v>72</v>
      </c>
      <c r="T3633">
        <v>24.63</v>
      </c>
      <c r="U3633">
        <v>55</v>
      </c>
      <c r="V3633">
        <v>-4.6500000000000004</v>
      </c>
      <c r="W3633">
        <v>50</v>
      </c>
      <c r="X3633" t="s">
        <v>110</v>
      </c>
      <c r="Y3633" t="s">
        <v>95</v>
      </c>
      <c r="Z3633" t="s">
        <v>96</v>
      </c>
      <c r="AA3633" t="s">
        <v>158</v>
      </c>
      <c r="AB3633" t="s">
        <v>4034</v>
      </c>
      <c r="AC3633">
        <v>0</v>
      </c>
      <c r="AD3633">
        <v>0</v>
      </c>
      <c r="AE3633">
        <v>91</v>
      </c>
      <c r="AF3633">
        <v>153.18</v>
      </c>
      <c r="AG3633">
        <v>-0.98</v>
      </c>
      <c r="AH3633">
        <v>-2.3199999999999998</v>
      </c>
      <c r="AI3633">
        <v>-0.12</v>
      </c>
      <c r="AJ3633">
        <v>-0.13</v>
      </c>
      <c r="AK3633">
        <v>82</v>
      </c>
      <c r="AL3633">
        <v>0</v>
      </c>
      <c r="AM3633">
        <v>0</v>
      </c>
      <c r="AN3633">
        <v>2.5299999999999998</v>
      </c>
      <c r="AO3633">
        <v>0.13</v>
      </c>
      <c r="AP3633">
        <v>2</v>
      </c>
      <c r="AQ3633">
        <v>0</v>
      </c>
      <c r="AR3633">
        <v>7.38</v>
      </c>
      <c r="AS3633">
        <v>48</v>
      </c>
      <c r="AT3633">
        <v>2.98</v>
      </c>
      <c r="AU3633">
        <v>79</v>
      </c>
      <c r="AV3633">
        <v>-0.09</v>
      </c>
      <c r="AW3633">
        <v>46</v>
      </c>
      <c r="AX3633">
        <v>-0.67</v>
      </c>
      <c r="AY3633">
        <v>59</v>
      </c>
      <c r="AZ3633">
        <v>6.33</v>
      </c>
      <c r="BA3633">
        <v>36</v>
      </c>
      <c r="BB3633">
        <v>5.12</v>
      </c>
      <c r="BC3633">
        <v>41</v>
      </c>
      <c r="BD3633">
        <v>0.06</v>
      </c>
      <c r="BE3633">
        <v>0.06</v>
      </c>
      <c r="BF3633">
        <v>-0.02</v>
      </c>
      <c r="BG3633">
        <v>90</v>
      </c>
      <c r="BH3633">
        <v>-0.03</v>
      </c>
      <c r="BI3633">
        <v>11.54</v>
      </c>
      <c r="BJ3633">
        <v>2</v>
      </c>
      <c r="BK3633">
        <v>2</v>
      </c>
      <c r="BL3633">
        <v>-0.08</v>
      </c>
      <c r="BM3633">
        <v>0.12</v>
      </c>
      <c r="BN3633">
        <v>-0.32</v>
      </c>
      <c r="BO3633">
        <v>-0.55000000000000004</v>
      </c>
      <c r="BP3633">
        <v>0.21</v>
      </c>
      <c r="BQ3633">
        <v>-0.25</v>
      </c>
      <c r="BR3633">
        <v>0.06</v>
      </c>
      <c r="BS3633">
        <v>-1.51</v>
      </c>
      <c r="BT3633">
        <v>2.13</v>
      </c>
      <c r="BU3633">
        <v>-0.74</v>
      </c>
      <c r="BV3633">
        <v>-1.42</v>
      </c>
      <c r="BW3633">
        <v>0.23</v>
      </c>
      <c r="BX3633">
        <v>-0.28999999999999998</v>
      </c>
      <c r="BY3633">
        <v>0.4</v>
      </c>
      <c r="BZ3633">
        <v>1.01</v>
      </c>
      <c r="CA3633">
        <v>-0.77</v>
      </c>
      <c r="CB3633">
        <v>-0.75</v>
      </c>
      <c r="CC3633">
        <v>-0.48</v>
      </c>
      <c r="CD3633">
        <v>0.94</v>
      </c>
      <c r="CE3633">
        <v>0.74</v>
      </c>
      <c r="CF3633">
        <v>0.82</v>
      </c>
      <c r="CG3633">
        <v>0</v>
      </c>
      <c r="CH3633">
        <v>0.39</v>
      </c>
      <c r="CI3633">
        <v>0</v>
      </c>
      <c r="CJ3633">
        <v>-5.0999999999999996</v>
      </c>
      <c r="CK3633">
        <v>62</v>
      </c>
      <c r="CL3633">
        <v>-0.28999999999999998</v>
      </c>
      <c r="CM3633">
        <v>59</v>
      </c>
      <c r="CN3633">
        <v>-0.47</v>
      </c>
      <c r="CO3633">
        <v>55</v>
      </c>
      <c r="CP3633">
        <v>-12.4</v>
      </c>
      <c r="CQ3633">
        <v>68</v>
      </c>
      <c r="CR3633">
        <v>0</v>
      </c>
      <c r="CS3633">
        <v>0</v>
      </c>
      <c r="CT3633">
        <v>-19.5</v>
      </c>
      <c r="CU3633">
        <v>55</v>
      </c>
      <c r="CV3633">
        <v>0.01</v>
      </c>
      <c r="CW3633">
        <v>37</v>
      </c>
      <c r="CX3633" t="s">
        <v>4035</v>
      </c>
    </row>
    <row r="3634" spans="1:102" x14ac:dyDescent="0.3">
      <c r="A3634" t="str">
        <f>HYPERLINK("https://webapp.icbf.com/v2/app/bull-search/view/77856877","HGB")</f>
        <v>HGB</v>
      </c>
      <c r="B3634" t="s">
        <v>7761</v>
      </c>
      <c r="C3634" t="s">
        <v>7762</v>
      </c>
      <c r="D3634" s="1">
        <v>35627</v>
      </c>
      <c r="E3634" t="s">
        <v>92</v>
      </c>
      <c r="F3634">
        <v>97</v>
      </c>
      <c r="G3634" t="s">
        <v>93</v>
      </c>
      <c r="H3634">
        <v>-50.79</v>
      </c>
      <c r="I3634">
        <v>81</v>
      </c>
      <c r="J3634">
        <v>34.93</v>
      </c>
      <c r="K3634">
        <v>95</v>
      </c>
      <c r="L3634">
        <v>-83.36</v>
      </c>
      <c r="M3634">
        <v>77</v>
      </c>
      <c r="N3634">
        <v>-3.34</v>
      </c>
      <c r="O3634">
        <v>69</v>
      </c>
      <c r="P3634">
        <v>-4.8099999999999996</v>
      </c>
      <c r="Q3634">
        <v>71</v>
      </c>
      <c r="R3634">
        <v>-20.75</v>
      </c>
      <c r="S3634">
        <v>77</v>
      </c>
      <c r="T3634">
        <v>24.85</v>
      </c>
      <c r="U3634">
        <v>69</v>
      </c>
      <c r="V3634">
        <v>1.69</v>
      </c>
      <c r="W3634">
        <v>69</v>
      </c>
      <c r="X3634" t="s">
        <v>94</v>
      </c>
      <c r="Y3634" t="s">
        <v>95</v>
      </c>
      <c r="Z3634" t="s">
        <v>96</v>
      </c>
      <c r="AA3634" t="s">
        <v>753</v>
      </c>
      <c r="AB3634" t="s">
        <v>931</v>
      </c>
      <c r="AC3634">
        <v>29</v>
      </c>
      <c r="AD3634">
        <v>31</v>
      </c>
      <c r="AE3634">
        <v>95</v>
      </c>
      <c r="AF3634">
        <v>295.5</v>
      </c>
      <c r="AG3634">
        <v>3.63</v>
      </c>
      <c r="AH3634">
        <v>9.18</v>
      </c>
      <c r="AI3634">
        <v>-0.13</v>
      </c>
      <c r="AJ3634">
        <v>-0.01</v>
      </c>
      <c r="AK3634">
        <v>77</v>
      </c>
      <c r="AL3634">
        <v>27</v>
      </c>
      <c r="AM3634">
        <v>24</v>
      </c>
      <c r="AN3634">
        <v>4.3499999999999996</v>
      </c>
      <c r="AO3634">
        <v>-2.2999999999999998</v>
      </c>
      <c r="AP3634">
        <v>4</v>
      </c>
      <c r="AQ3634">
        <v>4</v>
      </c>
      <c r="AR3634">
        <v>6.14</v>
      </c>
      <c r="AS3634">
        <v>63</v>
      </c>
      <c r="AT3634">
        <v>3.01</v>
      </c>
      <c r="AU3634">
        <v>73</v>
      </c>
      <c r="AV3634">
        <v>-0.26</v>
      </c>
      <c r="AW3634">
        <v>73</v>
      </c>
      <c r="AX3634">
        <v>0.62</v>
      </c>
      <c r="AY3634">
        <v>65</v>
      </c>
      <c r="AZ3634">
        <v>7.97</v>
      </c>
      <c r="BA3634">
        <v>56</v>
      </c>
      <c r="BB3634">
        <v>6.1</v>
      </c>
      <c r="BC3634">
        <v>60</v>
      </c>
      <c r="BD3634">
        <v>0.06</v>
      </c>
      <c r="BE3634">
        <v>0.13</v>
      </c>
      <c r="BF3634">
        <v>0.13</v>
      </c>
      <c r="BG3634">
        <v>86</v>
      </c>
      <c r="BH3634">
        <v>0.18</v>
      </c>
      <c r="BI3634">
        <v>15.37</v>
      </c>
      <c r="BJ3634">
        <v>10</v>
      </c>
      <c r="BK3634">
        <v>9</v>
      </c>
      <c r="BL3634">
        <v>0.42</v>
      </c>
      <c r="BM3634">
        <v>-0.28000000000000003</v>
      </c>
      <c r="BN3634">
        <v>0.13</v>
      </c>
      <c r="BO3634">
        <v>0.53</v>
      </c>
      <c r="BP3634">
        <v>-0.28999999999999998</v>
      </c>
      <c r="BQ3634">
        <v>-0.85</v>
      </c>
      <c r="BR3634">
        <v>1.62</v>
      </c>
      <c r="BS3634">
        <v>-1.7</v>
      </c>
      <c r="BT3634">
        <v>-1.37</v>
      </c>
      <c r="BU3634">
        <v>-0.51</v>
      </c>
      <c r="BV3634">
        <v>-0.17</v>
      </c>
      <c r="BW3634">
        <v>-0.64</v>
      </c>
      <c r="BX3634">
        <v>-0.98</v>
      </c>
      <c r="BY3634">
        <v>-1.34</v>
      </c>
      <c r="BZ3634">
        <v>1.54</v>
      </c>
      <c r="CA3634">
        <v>-0.56000000000000005</v>
      </c>
      <c r="CB3634">
        <v>-0.51</v>
      </c>
      <c r="CC3634">
        <v>-1.18</v>
      </c>
      <c r="CD3634">
        <v>-0.71</v>
      </c>
      <c r="CE3634">
        <v>1.19</v>
      </c>
      <c r="CF3634">
        <v>0.79</v>
      </c>
      <c r="CG3634">
        <v>0</v>
      </c>
      <c r="CH3634">
        <v>-2.3199999999999998</v>
      </c>
      <c r="CI3634">
        <v>0</v>
      </c>
      <c r="CJ3634">
        <v>-1.4</v>
      </c>
      <c r="CK3634">
        <v>72</v>
      </c>
      <c r="CL3634">
        <v>-0.48</v>
      </c>
      <c r="CM3634">
        <v>70</v>
      </c>
      <c r="CN3634">
        <v>-0.28999999999999998</v>
      </c>
      <c r="CO3634">
        <v>66</v>
      </c>
      <c r="CP3634">
        <v>-8.8000000000000007</v>
      </c>
      <c r="CQ3634">
        <v>76</v>
      </c>
      <c r="CR3634">
        <v>0</v>
      </c>
      <c r="CS3634">
        <v>0</v>
      </c>
      <c r="CT3634">
        <v>-19.8</v>
      </c>
      <c r="CU3634">
        <v>69</v>
      </c>
      <c r="CV3634">
        <v>0.13</v>
      </c>
      <c r="CW3634">
        <v>40</v>
      </c>
      <c r="CX3634" t="s">
        <v>485</v>
      </c>
    </row>
    <row r="3635" spans="1:102" x14ac:dyDescent="0.3">
      <c r="A3635" t="str">
        <f>HYPERLINK("https://webapp.icbf.com/v2/app/bull-search/view/77857096","GMW")</f>
        <v>GMW</v>
      </c>
      <c r="B3635" t="s">
        <v>8485</v>
      </c>
      <c r="C3635" t="s">
        <v>8486</v>
      </c>
      <c r="D3635" s="1">
        <v>33646</v>
      </c>
      <c r="E3635" t="s">
        <v>92</v>
      </c>
      <c r="F3635">
        <v>100</v>
      </c>
      <c r="G3635" t="s">
        <v>93</v>
      </c>
      <c r="H3635">
        <v>-50.81</v>
      </c>
      <c r="I3635">
        <v>71</v>
      </c>
      <c r="J3635">
        <v>-0.2</v>
      </c>
      <c r="K3635">
        <v>90</v>
      </c>
      <c r="L3635">
        <v>-37.97</v>
      </c>
      <c r="M3635">
        <v>63</v>
      </c>
      <c r="N3635">
        <v>-5.24</v>
      </c>
      <c r="O3635">
        <v>53</v>
      </c>
      <c r="P3635">
        <v>-18.190000000000001</v>
      </c>
      <c r="Q3635">
        <v>70</v>
      </c>
      <c r="R3635">
        <v>-0.75</v>
      </c>
      <c r="S3635">
        <v>67</v>
      </c>
      <c r="T3635">
        <v>11.16</v>
      </c>
      <c r="U3635">
        <v>69</v>
      </c>
      <c r="V3635">
        <v>0.38</v>
      </c>
      <c r="W3635">
        <v>33</v>
      </c>
      <c r="X3635" t="s">
        <v>110</v>
      </c>
      <c r="Y3635" t="s">
        <v>95</v>
      </c>
      <c r="Z3635" t="s">
        <v>96</v>
      </c>
      <c r="AA3635" t="s">
        <v>111</v>
      </c>
      <c r="AB3635" t="s">
        <v>2966</v>
      </c>
      <c r="AC3635">
        <v>57</v>
      </c>
      <c r="AD3635">
        <v>24</v>
      </c>
      <c r="AE3635">
        <v>90</v>
      </c>
      <c r="AF3635">
        <v>-24.97</v>
      </c>
      <c r="AG3635">
        <v>5.38</v>
      </c>
      <c r="AH3635">
        <v>-2.3199999999999998</v>
      </c>
      <c r="AI3635">
        <v>0.11</v>
      </c>
      <c r="AJ3635">
        <v>-0.02</v>
      </c>
      <c r="AK3635">
        <v>63</v>
      </c>
      <c r="AL3635">
        <v>82</v>
      </c>
      <c r="AM3635">
        <v>25</v>
      </c>
      <c r="AN3635">
        <v>1.9</v>
      </c>
      <c r="AO3635">
        <v>-1.1299999999999999</v>
      </c>
      <c r="AP3635">
        <v>0</v>
      </c>
      <c r="AQ3635">
        <v>1</v>
      </c>
      <c r="AR3635">
        <v>8.57</v>
      </c>
      <c r="AS3635">
        <v>38</v>
      </c>
      <c r="AT3635">
        <v>4.1500000000000004</v>
      </c>
      <c r="AU3635">
        <v>50</v>
      </c>
      <c r="AV3635">
        <v>-1.1299999999999999</v>
      </c>
      <c r="AW3635">
        <v>56</v>
      </c>
      <c r="AX3635">
        <v>-0.48</v>
      </c>
      <c r="AY3635">
        <v>69</v>
      </c>
      <c r="AZ3635">
        <v>6.9</v>
      </c>
      <c r="BA3635">
        <v>37</v>
      </c>
      <c r="BB3635">
        <v>5.39</v>
      </c>
      <c r="BC3635">
        <v>47</v>
      </c>
      <c r="BD3635">
        <v>0.02</v>
      </c>
      <c r="BE3635">
        <v>0.06</v>
      </c>
      <c r="BF3635">
        <v>-0.13</v>
      </c>
      <c r="BG3635">
        <v>83</v>
      </c>
      <c r="BH3635">
        <v>0.04</v>
      </c>
      <c r="BI3635">
        <v>3.39</v>
      </c>
      <c r="BJ3635">
        <v>9</v>
      </c>
      <c r="BK3635">
        <v>5</v>
      </c>
      <c r="BL3635">
        <v>0.14000000000000001</v>
      </c>
      <c r="BM3635">
        <v>-0.32</v>
      </c>
      <c r="BN3635">
        <v>0.79</v>
      </c>
      <c r="BO3635">
        <v>0.56000000000000005</v>
      </c>
      <c r="BP3635">
        <v>-0.05</v>
      </c>
      <c r="BQ3635">
        <v>-1.24</v>
      </c>
      <c r="BR3635">
        <v>0.83</v>
      </c>
      <c r="BS3635">
        <v>0.18</v>
      </c>
      <c r="BT3635">
        <v>-0.78</v>
      </c>
      <c r="BU3635">
        <v>-0.15</v>
      </c>
      <c r="BV3635">
        <v>-0.7</v>
      </c>
      <c r="BW3635">
        <v>0.08</v>
      </c>
      <c r="BX3635">
        <v>0.41</v>
      </c>
      <c r="BY3635">
        <v>-0.42</v>
      </c>
      <c r="BZ3635">
        <v>-0.88</v>
      </c>
      <c r="CA3635">
        <v>-0.12</v>
      </c>
      <c r="CB3635">
        <v>-0.3</v>
      </c>
      <c r="CC3635">
        <v>0.39</v>
      </c>
      <c r="CD3635">
        <v>-0.79</v>
      </c>
      <c r="CE3635">
        <v>0.36</v>
      </c>
      <c r="CF3635">
        <v>0.24</v>
      </c>
      <c r="CG3635">
        <v>0</v>
      </c>
      <c r="CH3635">
        <v>0</v>
      </c>
      <c r="CI3635">
        <v>0</v>
      </c>
      <c r="CJ3635">
        <v>-7.8</v>
      </c>
      <c r="CK3635">
        <v>71</v>
      </c>
      <c r="CL3635">
        <v>-0.83</v>
      </c>
      <c r="CM3635">
        <v>67</v>
      </c>
      <c r="CN3635">
        <v>-0.21</v>
      </c>
      <c r="CO3635">
        <v>62</v>
      </c>
      <c r="CP3635">
        <v>-8.8000000000000007</v>
      </c>
      <c r="CQ3635">
        <v>80</v>
      </c>
      <c r="CR3635">
        <v>0</v>
      </c>
      <c r="CS3635">
        <v>0</v>
      </c>
      <c r="CT3635">
        <v>-1.3</v>
      </c>
      <c r="CU3635">
        <v>69</v>
      </c>
      <c r="CV3635">
        <v>0.11</v>
      </c>
      <c r="CW3635">
        <v>19</v>
      </c>
      <c r="CX3635" t="s">
        <v>2967</v>
      </c>
    </row>
    <row r="3636" spans="1:102" x14ac:dyDescent="0.3">
      <c r="A3636" t="str">
        <f>HYPERLINK("https://webapp.icbf.com/v2/app/bull-search/view/69091699","FRK")</f>
        <v>FRK</v>
      </c>
      <c r="B3636" t="s">
        <v>9662</v>
      </c>
      <c r="C3636" t="s">
        <v>9663</v>
      </c>
      <c r="D3636" s="1">
        <v>34820</v>
      </c>
      <c r="E3636" t="s">
        <v>92</v>
      </c>
      <c r="F3636">
        <v>100</v>
      </c>
      <c r="G3636" t="s">
        <v>93</v>
      </c>
      <c r="H3636">
        <v>-50.84</v>
      </c>
      <c r="I3636">
        <v>56</v>
      </c>
      <c r="J3636">
        <v>-26.52</v>
      </c>
      <c r="K3636">
        <v>72</v>
      </c>
      <c r="L3636">
        <v>-48</v>
      </c>
      <c r="M3636">
        <v>40</v>
      </c>
      <c r="N3636">
        <v>34.159999999999997</v>
      </c>
      <c r="O3636">
        <v>54</v>
      </c>
      <c r="P3636">
        <v>-16.18</v>
      </c>
      <c r="Q3636">
        <v>70</v>
      </c>
      <c r="R3636">
        <v>-9.7899999999999991</v>
      </c>
      <c r="S3636">
        <v>43</v>
      </c>
      <c r="T3636">
        <v>15.45</v>
      </c>
      <c r="U3636">
        <v>59</v>
      </c>
      <c r="V3636">
        <v>0.04</v>
      </c>
      <c r="W3636">
        <v>35</v>
      </c>
      <c r="X3636" t="s">
        <v>94</v>
      </c>
      <c r="Y3636" t="s">
        <v>1499</v>
      </c>
      <c r="Z3636">
        <v>0</v>
      </c>
      <c r="AA3636" t="s">
        <v>4053</v>
      </c>
      <c r="AB3636" t="s">
        <v>9664</v>
      </c>
      <c r="AC3636">
        <v>14</v>
      </c>
      <c r="AD3636">
        <v>7</v>
      </c>
      <c r="AE3636">
        <v>72</v>
      </c>
      <c r="AF3636">
        <v>-156.33000000000001</v>
      </c>
      <c r="AG3636">
        <v>-2.27</v>
      </c>
      <c r="AH3636">
        <v>-6.1</v>
      </c>
      <c r="AI3636">
        <v>7.0000000000000007E-2</v>
      </c>
      <c r="AJ3636">
        <v>-0.01</v>
      </c>
      <c r="AK3636">
        <v>40</v>
      </c>
      <c r="AL3636">
        <v>15</v>
      </c>
      <c r="AM3636">
        <v>10</v>
      </c>
      <c r="AN3636">
        <v>1.66</v>
      </c>
      <c r="AO3636">
        <v>-2.1800000000000002</v>
      </c>
      <c r="AP3636">
        <v>23</v>
      </c>
      <c r="AQ3636">
        <v>0</v>
      </c>
      <c r="AR3636">
        <v>4.24</v>
      </c>
      <c r="AS3636">
        <v>48</v>
      </c>
      <c r="AT3636">
        <v>2.21</v>
      </c>
      <c r="AU3636">
        <v>43</v>
      </c>
      <c r="AV3636">
        <v>-1.75</v>
      </c>
      <c r="AW3636">
        <v>74</v>
      </c>
      <c r="AX3636">
        <v>-0.84</v>
      </c>
      <c r="AY3636">
        <v>49</v>
      </c>
      <c r="AZ3636">
        <v>5.49</v>
      </c>
      <c r="BA3636">
        <v>28</v>
      </c>
      <c r="BB3636">
        <v>4.5199999999999996</v>
      </c>
      <c r="BC3636">
        <v>30</v>
      </c>
      <c r="BD3636">
        <v>0.03</v>
      </c>
      <c r="BE3636">
        <v>0.05</v>
      </c>
      <c r="BF3636">
        <v>0.08</v>
      </c>
      <c r="BG3636">
        <v>51</v>
      </c>
      <c r="BH3636">
        <v>7.0000000000000007E-2</v>
      </c>
      <c r="BI3636">
        <v>7.97</v>
      </c>
      <c r="BJ3636">
        <v>0</v>
      </c>
      <c r="BK3636">
        <v>0</v>
      </c>
      <c r="BL3636">
        <v>0.22</v>
      </c>
      <c r="BM3636">
        <v>-0.65</v>
      </c>
      <c r="BN3636">
        <v>-0.25</v>
      </c>
      <c r="BO3636">
        <v>0.21</v>
      </c>
      <c r="BP3636">
        <v>1.88</v>
      </c>
      <c r="BQ3636">
        <v>-1.0900000000000001</v>
      </c>
      <c r="BR3636">
        <v>1.19</v>
      </c>
      <c r="BS3636">
        <v>-0.75</v>
      </c>
      <c r="BT3636">
        <v>-0.87</v>
      </c>
      <c r="BU3636">
        <v>0.63</v>
      </c>
      <c r="BV3636">
        <v>-0.32</v>
      </c>
      <c r="BW3636">
        <v>-0.25</v>
      </c>
      <c r="BX3636">
        <v>0.93</v>
      </c>
      <c r="BY3636">
        <v>-0.63</v>
      </c>
      <c r="BZ3636">
        <v>0.31</v>
      </c>
      <c r="CA3636">
        <v>0.01</v>
      </c>
      <c r="CB3636">
        <v>-0.05</v>
      </c>
      <c r="CC3636">
        <v>0.12</v>
      </c>
      <c r="CD3636">
        <v>-0.84</v>
      </c>
      <c r="CE3636">
        <v>0.09</v>
      </c>
      <c r="CF3636">
        <v>0.01</v>
      </c>
      <c r="CG3636">
        <v>0</v>
      </c>
      <c r="CH3636">
        <v>-0.54</v>
      </c>
      <c r="CI3636">
        <v>0</v>
      </c>
      <c r="CJ3636">
        <v>-7.9</v>
      </c>
      <c r="CK3636">
        <v>73</v>
      </c>
      <c r="CL3636">
        <v>-0.56000000000000005</v>
      </c>
      <c r="CM3636">
        <v>68</v>
      </c>
      <c r="CN3636">
        <v>-0.15</v>
      </c>
      <c r="CO3636">
        <v>65</v>
      </c>
      <c r="CP3636">
        <v>-8.4</v>
      </c>
      <c r="CQ3636">
        <v>61</v>
      </c>
      <c r="CR3636">
        <v>0</v>
      </c>
      <c r="CS3636">
        <v>0</v>
      </c>
      <c r="CT3636">
        <v>-7.1</v>
      </c>
      <c r="CU3636">
        <v>59</v>
      </c>
      <c r="CV3636">
        <v>-0.01</v>
      </c>
      <c r="CW3636">
        <v>19</v>
      </c>
      <c r="CX3636" t="s">
        <v>3343</v>
      </c>
    </row>
    <row r="3637" spans="1:102" x14ac:dyDescent="0.3">
      <c r="A3637" t="str">
        <f>HYPERLINK("https://webapp.icbf.com/v2/app/bull-search/view/510268365","KCW")</f>
        <v>KCW</v>
      </c>
      <c r="B3637" t="s">
        <v>12360</v>
      </c>
      <c r="C3637" t="s">
        <v>12361</v>
      </c>
      <c r="D3637" s="1">
        <v>38307</v>
      </c>
      <c r="E3637" t="s">
        <v>108</v>
      </c>
      <c r="F3637">
        <v>0</v>
      </c>
      <c r="G3637" t="s">
        <v>93</v>
      </c>
      <c r="H3637">
        <v>-50.93</v>
      </c>
      <c r="I3637">
        <v>93</v>
      </c>
      <c r="J3637">
        <v>-74.319999999999993</v>
      </c>
      <c r="K3637">
        <v>98</v>
      </c>
      <c r="L3637">
        <v>40.92</v>
      </c>
      <c r="M3637">
        <v>86</v>
      </c>
      <c r="N3637">
        <v>-31.79</v>
      </c>
      <c r="O3637">
        <v>92</v>
      </c>
      <c r="P3637">
        <v>-16.62</v>
      </c>
      <c r="Q3637">
        <v>98</v>
      </c>
      <c r="R3637">
        <v>17.59</v>
      </c>
      <c r="S3637">
        <v>89</v>
      </c>
      <c r="T3637">
        <v>14.05</v>
      </c>
      <c r="U3637">
        <v>95</v>
      </c>
      <c r="V3637">
        <v>-0.76</v>
      </c>
      <c r="W3637">
        <v>91</v>
      </c>
      <c r="X3637" t="s">
        <v>234</v>
      </c>
      <c r="Y3637" t="s">
        <v>1128</v>
      </c>
      <c r="Z3637" t="s">
        <v>96</v>
      </c>
      <c r="AA3637" t="s">
        <v>4242</v>
      </c>
      <c r="AB3637" t="s">
        <v>1542</v>
      </c>
      <c r="AC3637">
        <v>262</v>
      </c>
      <c r="AD3637">
        <v>95</v>
      </c>
      <c r="AE3637">
        <v>98</v>
      </c>
      <c r="AF3637">
        <v>-275.08</v>
      </c>
      <c r="AG3637">
        <v>-15.55</v>
      </c>
      <c r="AH3637">
        <v>-11.35</v>
      </c>
      <c r="AI3637">
        <v>-0.09</v>
      </c>
      <c r="AJ3637">
        <v>-0.04</v>
      </c>
      <c r="AK3637">
        <v>86</v>
      </c>
      <c r="AL3637">
        <v>333</v>
      </c>
      <c r="AM3637">
        <v>131</v>
      </c>
      <c r="AN3637">
        <v>-3.28</v>
      </c>
      <c r="AO3637">
        <v>-0.03</v>
      </c>
      <c r="AP3637">
        <v>474</v>
      </c>
      <c r="AQ3637">
        <v>10</v>
      </c>
      <c r="AR3637">
        <v>12.11</v>
      </c>
      <c r="AS3637">
        <v>80</v>
      </c>
      <c r="AT3637">
        <v>4.87</v>
      </c>
      <c r="AU3637">
        <v>94</v>
      </c>
      <c r="AV3637">
        <v>-0.41</v>
      </c>
      <c r="AW3637">
        <v>97</v>
      </c>
      <c r="AX3637">
        <v>0.2</v>
      </c>
      <c r="AY3637">
        <v>93</v>
      </c>
      <c r="AZ3637">
        <v>6.59</v>
      </c>
      <c r="BA3637">
        <v>79</v>
      </c>
      <c r="BB3637">
        <v>5.16</v>
      </c>
      <c r="BC3637">
        <v>84</v>
      </c>
      <c r="BD3637">
        <v>-0.05</v>
      </c>
      <c r="BE3637">
        <v>-0.09</v>
      </c>
      <c r="BF3637">
        <v>-0.15</v>
      </c>
      <c r="BG3637">
        <v>94</v>
      </c>
      <c r="BH3637">
        <v>-0.16</v>
      </c>
      <c r="BI3637">
        <v>-16.05</v>
      </c>
      <c r="BJ3637">
        <v>7</v>
      </c>
      <c r="BK3637">
        <v>5</v>
      </c>
      <c r="BL3637">
        <v>-4.41</v>
      </c>
      <c r="BM3637">
        <v>0.52</v>
      </c>
      <c r="BN3637">
        <v>-2.41</v>
      </c>
      <c r="BO3637">
        <v>-2.63</v>
      </c>
      <c r="BP3637">
        <v>-1.26</v>
      </c>
      <c r="BQ3637">
        <v>0.16</v>
      </c>
      <c r="BR3637">
        <v>-0.16</v>
      </c>
      <c r="BS3637">
        <v>0.35</v>
      </c>
      <c r="BT3637">
        <v>0</v>
      </c>
      <c r="BU3637">
        <v>-0.21</v>
      </c>
      <c r="BV3637">
        <v>-1.02</v>
      </c>
      <c r="BW3637">
        <v>-1.21</v>
      </c>
      <c r="BX3637">
        <v>-0.09</v>
      </c>
      <c r="BY3637">
        <v>-0.74</v>
      </c>
      <c r="BZ3637">
        <v>-3.15</v>
      </c>
      <c r="CA3637">
        <v>-1.04</v>
      </c>
      <c r="CB3637">
        <v>-1</v>
      </c>
      <c r="CC3637">
        <v>-0.69</v>
      </c>
      <c r="CD3637">
        <v>1.76</v>
      </c>
      <c r="CE3637">
        <v>-2.81</v>
      </c>
      <c r="CF3637">
        <v>-2.8</v>
      </c>
      <c r="CG3637">
        <v>0</v>
      </c>
      <c r="CH3637">
        <v>-0.04</v>
      </c>
      <c r="CI3637">
        <v>0</v>
      </c>
      <c r="CJ3637">
        <v>-8.1</v>
      </c>
      <c r="CK3637">
        <v>98</v>
      </c>
      <c r="CL3637">
        <v>-0.35</v>
      </c>
      <c r="CM3637">
        <v>98</v>
      </c>
      <c r="CN3637">
        <v>0.04</v>
      </c>
      <c r="CO3637">
        <v>97</v>
      </c>
      <c r="CP3637">
        <v>-9.1</v>
      </c>
      <c r="CQ3637">
        <v>96</v>
      </c>
      <c r="CR3637">
        <v>0</v>
      </c>
      <c r="CS3637">
        <v>0</v>
      </c>
      <c r="CT3637">
        <v>-5.2</v>
      </c>
      <c r="CU3637">
        <v>95</v>
      </c>
      <c r="CV3637">
        <v>0.01</v>
      </c>
      <c r="CW3637">
        <v>45</v>
      </c>
      <c r="CX3637" t="s">
        <v>1543</v>
      </c>
    </row>
    <row r="3638" spans="1:102" x14ac:dyDescent="0.3">
      <c r="A3638" t="str">
        <f>HYPERLINK("https://webapp.icbf.com/v2/app/bull-search/view/77854876","MTV")</f>
        <v>MTV</v>
      </c>
      <c r="B3638" t="s">
        <v>8439</v>
      </c>
      <c r="C3638" t="s">
        <v>8440</v>
      </c>
      <c r="D3638" s="1">
        <v>32885</v>
      </c>
      <c r="E3638" t="s">
        <v>92</v>
      </c>
      <c r="F3638">
        <v>100</v>
      </c>
      <c r="G3638" t="s">
        <v>109</v>
      </c>
      <c r="H3638">
        <v>-50.99</v>
      </c>
      <c r="I3638">
        <v>77</v>
      </c>
      <c r="J3638">
        <v>24.48</v>
      </c>
      <c r="K3638">
        <v>89</v>
      </c>
      <c r="L3638">
        <v>-58.74</v>
      </c>
      <c r="M3638">
        <v>80</v>
      </c>
      <c r="N3638">
        <v>-6.36</v>
      </c>
      <c r="O3638">
        <v>65</v>
      </c>
      <c r="P3638">
        <v>-12.52</v>
      </c>
      <c r="Q3638">
        <v>66</v>
      </c>
      <c r="R3638">
        <v>-2.65</v>
      </c>
      <c r="S3638">
        <v>71</v>
      </c>
      <c r="T3638">
        <v>7.98</v>
      </c>
      <c r="U3638">
        <v>61</v>
      </c>
      <c r="V3638">
        <v>-3.18</v>
      </c>
      <c r="W3638">
        <v>47</v>
      </c>
      <c r="X3638" t="s">
        <v>102</v>
      </c>
      <c r="Y3638" t="s">
        <v>95</v>
      </c>
      <c r="Z3638" t="s">
        <v>96</v>
      </c>
      <c r="AA3638" t="s">
        <v>3577</v>
      </c>
      <c r="AB3638" t="s">
        <v>8441</v>
      </c>
      <c r="AC3638">
        <v>0</v>
      </c>
      <c r="AD3638">
        <v>0</v>
      </c>
      <c r="AE3638">
        <v>89</v>
      </c>
      <c r="AF3638">
        <v>222.94</v>
      </c>
      <c r="AG3638">
        <v>12.17</v>
      </c>
      <c r="AH3638">
        <v>3.27</v>
      </c>
      <c r="AI3638">
        <v>0.06</v>
      </c>
      <c r="AJ3638">
        <v>-7.0000000000000007E-2</v>
      </c>
      <c r="AK3638">
        <v>80</v>
      </c>
      <c r="AL3638">
        <v>0</v>
      </c>
      <c r="AM3638">
        <v>0</v>
      </c>
      <c r="AN3638">
        <v>3.56</v>
      </c>
      <c r="AO3638">
        <v>-1.1200000000000001</v>
      </c>
      <c r="AP3638">
        <v>9</v>
      </c>
      <c r="AQ3638">
        <v>3</v>
      </c>
      <c r="AR3638">
        <v>10.37</v>
      </c>
      <c r="AS3638">
        <v>40</v>
      </c>
      <c r="AT3638">
        <v>3.42</v>
      </c>
      <c r="AU3638">
        <v>77</v>
      </c>
      <c r="AV3638">
        <v>0.14000000000000001</v>
      </c>
      <c r="AW3638">
        <v>76</v>
      </c>
      <c r="AX3638">
        <v>-0.72</v>
      </c>
      <c r="AY3638">
        <v>60</v>
      </c>
      <c r="AZ3638">
        <v>5.75</v>
      </c>
      <c r="BA3638">
        <v>33</v>
      </c>
      <c r="BB3638">
        <v>4.45</v>
      </c>
      <c r="BC3638">
        <v>39</v>
      </c>
      <c r="BD3638">
        <v>0.03</v>
      </c>
      <c r="BE3638">
        <v>-0.01</v>
      </c>
      <c r="BF3638">
        <v>0.03</v>
      </c>
      <c r="BG3638">
        <v>90</v>
      </c>
      <c r="BH3638">
        <v>0.08</v>
      </c>
      <c r="BI3638">
        <v>19.5</v>
      </c>
      <c r="BJ3638">
        <v>0</v>
      </c>
      <c r="BK3638">
        <v>0</v>
      </c>
      <c r="BL3638">
        <v>-0.16</v>
      </c>
      <c r="BM3638">
        <v>1.62</v>
      </c>
      <c r="BN3638">
        <v>1.41</v>
      </c>
      <c r="BO3638">
        <v>-0.65</v>
      </c>
      <c r="BP3638">
        <v>0.94</v>
      </c>
      <c r="BQ3638">
        <v>0.78</v>
      </c>
      <c r="BR3638">
        <v>2.38</v>
      </c>
      <c r="BS3638">
        <v>-0.96</v>
      </c>
      <c r="BT3638">
        <v>-1.17</v>
      </c>
      <c r="BU3638">
        <v>-1.34</v>
      </c>
      <c r="BV3638">
        <v>0.13</v>
      </c>
      <c r="BW3638">
        <v>-1.18</v>
      </c>
      <c r="BX3638">
        <v>-1.97</v>
      </c>
      <c r="BY3638">
        <v>-2.16</v>
      </c>
      <c r="BZ3638">
        <v>-0.84</v>
      </c>
      <c r="CA3638">
        <v>-0.78</v>
      </c>
      <c r="CB3638">
        <v>-1.46</v>
      </c>
      <c r="CC3638">
        <v>-1.27</v>
      </c>
      <c r="CD3638">
        <v>0.31</v>
      </c>
      <c r="CE3638">
        <v>-0.7</v>
      </c>
      <c r="CF3638">
        <v>0.43</v>
      </c>
      <c r="CG3638">
        <v>0</v>
      </c>
      <c r="CH3638">
        <v>-2.1</v>
      </c>
      <c r="CI3638">
        <v>0</v>
      </c>
      <c r="CJ3638">
        <v>-4.8</v>
      </c>
      <c r="CK3638">
        <v>68</v>
      </c>
      <c r="CL3638">
        <v>-0.56000000000000005</v>
      </c>
      <c r="CM3638">
        <v>65</v>
      </c>
      <c r="CN3638">
        <v>-0.05</v>
      </c>
      <c r="CO3638">
        <v>62</v>
      </c>
      <c r="CP3638">
        <v>-4.7</v>
      </c>
      <c r="CQ3638">
        <v>67</v>
      </c>
      <c r="CR3638">
        <v>0</v>
      </c>
      <c r="CS3638">
        <v>0</v>
      </c>
      <c r="CT3638">
        <v>3</v>
      </c>
      <c r="CU3638">
        <v>61</v>
      </c>
      <c r="CV3638">
        <v>0.05</v>
      </c>
      <c r="CW3638">
        <v>39</v>
      </c>
      <c r="CX3638" t="s">
        <v>128</v>
      </c>
    </row>
    <row r="3639" spans="1:102" x14ac:dyDescent="0.3">
      <c r="A3639" t="str">
        <f>HYPERLINK("https://webapp.icbf.com/v2/app/bull-search/view/740354819","S958")</f>
        <v>S958</v>
      </c>
      <c r="B3639" t="s">
        <v>12660</v>
      </c>
      <c r="C3639" t="s">
        <v>12661</v>
      </c>
      <c r="D3639" s="1">
        <v>39554</v>
      </c>
      <c r="E3639" t="s">
        <v>92</v>
      </c>
      <c r="F3639">
        <v>100</v>
      </c>
      <c r="G3639" t="s">
        <v>109</v>
      </c>
      <c r="H3639">
        <v>-51.25</v>
      </c>
      <c r="I3639">
        <v>71</v>
      </c>
      <c r="J3639">
        <v>12.57</v>
      </c>
      <c r="K3639">
        <v>82</v>
      </c>
      <c r="L3639">
        <v>-78.239999999999995</v>
      </c>
      <c r="M3639">
        <v>79</v>
      </c>
      <c r="N3639">
        <v>13.95</v>
      </c>
      <c r="O3639">
        <v>56</v>
      </c>
      <c r="P3639">
        <v>14.02</v>
      </c>
      <c r="Q3639">
        <v>66</v>
      </c>
      <c r="R3639">
        <v>-5.9</v>
      </c>
      <c r="S3639">
        <v>59</v>
      </c>
      <c r="T3639">
        <v>-10.74</v>
      </c>
      <c r="U3639">
        <v>49</v>
      </c>
      <c r="V3639">
        <v>3.09</v>
      </c>
      <c r="W3639">
        <v>30</v>
      </c>
      <c r="X3639" t="s">
        <v>251</v>
      </c>
      <c r="Y3639" t="s">
        <v>303</v>
      </c>
      <c r="Z3639" t="s">
        <v>96</v>
      </c>
      <c r="AA3639" t="s">
        <v>5289</v>
      </c>
      <c r="AB3639" t="s">
        <v>12662</v>
      </c>
      <c r="AC3639">
        <v>0</v>
      </c>
      <c r="AD3639">
        <v>0</v>
      </c>
      <c r="AE3639">
        <v>82</v>
      </c>
      <c r="AF3639">
        <v>223.73</v>
      </c>
      <c r="AG3639">
        <v>-1.07</v>
      </c>
      <c r="AH3639">
        <v>5.94</v>
      </c>
      <c r="AI3639">
        <v>-0.16</v>
      </c>
      <c r="AJ3639">
        <v>-0.03</v>
      </c>
      <c r="AK3639">
        <v>79</v>
      </c>
      <c r="AL3639">
        <v>0</v>
      </c>
      <c r="AM3639">
        <v>0</v>
      </c>
      <c r="AN3639">
        <v>4.9800000000000004</v>
      </c>
      <c r="AO3639">
        <v>-1.25</v>
      </c>
      <c r="AP3639">
        <v>24</v>
      </c>
      <c r="AQ3639">
        <v>1</v>
      </c>
      <c r="AR3639">
        <v>7.19</v>
      </c>
      <c r="AS3639">
        <v>37</v>
      </c>
      <c r="AT3639">
        <v>3.28</v>
      </c>
      <c r="AU3639">
        <v>85</v>
      </c>
      <c r="AV3639">
        <v>-2.41</v>
      </c>
      <c r="AW3639">
        <v>57</v>
      </c>
      <c r="AX3639">
        <v>0.38</v>
      </c>
      <c r="AY3639">
        <v>43</v>
      </c>
      <c r="AZ3639">
        <v>6.9</v>
      </c>
      <c r="BA3639">
        <v>26</v>
      </c>
      <c r="BB3639">
        <v>5.61</v>
      </c>
      <c r="BC3639">
        <v>25</v>
      </c>
      <c r="BD3639">
        <v>0.01</v>
      </c>
      <c r="BE3639">
        <v>0.01</v>
      </c>
      <c r="BF3639">
        <v>0.1</v>
      </c>
      <c r="BG3639">
        <v>87</v>
      </c>
      <c r="BH3639">
        <v>0.01</v>
      </c>
      <c r="BI3639">
        <v>-8.82</v>
      </c>
      <c r="BJ3639">
        <v>4</v>
      </c>
      <c r="BK3639">
        <v>3</v>
      </c>
      <c r="BL3639">
        <v>1.46</v>
      </c>
      <c r="BM3639">
        <v>-1.1200000000000001</v>
      </c>
      <c r="BN3639">
        <v>1.27</v>
      </c>
      <c r="BO3639">
        <v>1.57</v>
      </c>
      <c r="BP3639">
        <v>0.42</v>
      </c>
      <c r="BQ3639">
        <v>2.46</v>
      </c>
      <c r="BR3639">
        <v>0.63</v>
      </c>
      <c r="BS3639">
        <v>1.1100000000000001</v>
      </c>
      <c r="BT3639">
        <v>0.64</v>
      </c>
      <c r="BU3639">
        <v>2.94</v>
      </c>
      <c r="BV3639">
        <v>2.72</v>
      </c>
      <c r="BW3639">
        <v>0.63</v>
      </c>
      <c r="BX3639">
        <v>2.02</v>
      </c>
      <c r="BY3639">
        <v>1.48</v>
      </c>
      <c r="BZ3639">
        <v>-1.84</v>
      </c>
      <c r="CA3639">
        <v>2.11</v>
      </c>
      <c r="CB3639">
        <v>2.06</v>
      </c>
      <c r="CC3639">
        <v>1.5</v>
      </c>
      <c r="CD3639">
        <v>-1.1100000000000001</v>
      </c>
      <c r="CE3639">
        <v>1.07</v>
      </c>
      <c r="CF3639">
        <v>1.93</v>
      </c>
      <c r="CG3639">
        <v>0</v>
      </c>
      <c r="CH3639">
        <v>0.56999999999999995</v>
      </c>
      <c r="CI3639">
        <v>0</v>
      </c>
      <c r="CJ3639">
        <v>12.6</v>
      </c>
      <c r="CK3639">
        <v>69</v>
      </c>
      <c r="CL3639">
        <v>-0.95</v>
      </c>
      <c r="CM3639">
        <v>64</v>
      </c>
      <c r="CN3639">
        <v>-0.37</v>
      </c>
      <c r="CO3639">
        <v>61</v>
      </c>
      <c r="CP3639">
        <v>14</v>
      </c>
      <c r="CQ3639">
        <v>59</v>
      </c>
      <c r="CR3639">
        <v>0</v>
      </c>
      <c r="CS3639">
        <v>0</v>
      </c>
      <c r="CT3639">
        <v>28.3</v>
      </c>
      <c r="CU3639">
        <v>49</v>
      </c>
      <c r="CV3639">
        <v>0.54</v>
      </c>
      <c r="CW3639">
        <v>18</v>
      </c>
      <c r="CX3639" t="s">
        <v>1752</v>
      </c>
    </row>
    <row r="3640" spans="1:102" x14ac:dyDescent="0.3">
      <c r="A3640" t="str">
        <f>HYPERLINK("https://webapp.icbf.com/v2/app/bull-search/view/137158417","S290")</f>
        <v>S290</v>
      </c>
      <c r="B3640" t="s">
        <v>1027</v>
      </c>
      <c r="C3640" t="s">
        <v>1028</v>
      </c>
      <c r="D3640" s="1">
        <v>35357</v>
      </c>
      <c r="E3640" t="s">
        <v>92</v>
      </c>
      <c r="F3640">
        <v>100</v>
      </c>
      <c r="G3640" t="s">
        <v>93</v>
      </c>
      <c r="H3640">
        <v>-51.28</v>
      </c>
      <c r="I3640">
        <v>92</v>
      </c>
      <c r="J3640">
        <v>49.17</v>
      </c>
      <c r="K3640">
        <v>98</v>
      </c>
      <c r="L3640">
        <v>-101.38</v>
      </c>
      <c r="M3640">
        <v>89</v>
      </c>
      <c r="N3640">
        <v>0.59</v>
      </c>
      <c r="O3640">
        <v>88</v>
      </c>
      <c r="P3640">
        <v>-7.07</v>
      </c>
      <c r="Q3640">
        <v>94</v>
      </c>
      <c r="R3640">
        <v>1.41</v>
      </c>
      <c r="S3640">
        <v>85</v>
      </c>
      <c r="T3640">
        <v>17.010000000000002</v>
      </c>
      <c r="U3640">
        <v>92</v>
      </c>
      <c r="V3640">
        <v>-11.01</v>
      </c>
      <c r="W3640">
        <v>80</v>
      </c>
      <c r="X3640" t="s">
        <v>276</v>
      </c>
      <c r="Y3640" t="s">
        <v>95</v>
      </c>
      <c r="Z3640" t="s">
        <v>96</v>
      </c>
      <c r="AA3640" t="s">
        <v>218</v>
      </c>
      <c r="AB3640" t="s">
        <v>1029</v>
      </c>
      <c r="AC3640">
        <v>167</v>
      </c>
      <c r="AD3640">
        <v>78</v>
      </c>
      <c r="AE3640">
        <v>98</v>
      </c>
      <c r="AF3640">
        <v>163.6</v>
      </c>
      <c r="AG3640">
        <v>7</v>
      </c>
      <c r="AH3640">
        <v>8.39</v>
      </c>
      <c r="AI3640">
        <v>0.01</v>
      </c>
      <c r="AJ3640">
        <v>0.05</v>
      </c>
      <c r="AK3640">
        <v>89</v>
      </c>
      <c r="AL3640">
        <v>162</v>
      </c>
      <c r="AM3640">
        <v>75</v>
      </c>
      <c r="AN3640">
        <v>5.89</v>
      </c>
      <c r="AO3640">
        <v>-2.19</v>
      </c>
      <c r="AP3640">
        <v>237</v>
      </c>
      <c r="AQ3640">
        <v>0</v>
      </c>
      <c r="AR3640">
        <v>7.04</v>
      </c>
      <c r="AS3640">
        <v>80</v>
      </c>
      <c r="AT3640">
        <v>4.13</v>
      </c>
      <c r="AU3640">
        <v>90</v>
      </c>
      <c r="AV3640">
        <v>-1.05</v>
      </c>
      <c r="AW3640">
        <v>94</v>
      </c>
      <c r="AX3640">
        <v>0.85</v>
      </c>
      <c r="AY3640">
        <v>86</v>
      </c>
      <c r="AZ3640">
        <v>5.32</v>
      </c>
      <c r="BA3640">
        <v>70</v>
      </c>
      <c r="BB3640">
        <v>4.87</v>
      </c>
      <c r="BC3640">
        <v>73</v>
      </c>
      <c r="BD3640">
        <v>-0.02</v>
      </c>
      <c r="BE3640">
        <v>-0.01</v>
      </c>
      <c r="BF3640">
        <v>0.02</v>
      </c>
      <c r="BG3640">
        <v>93</v>
      </c>
      <c r="BH3640">
        <v>-0.15</v>
      </c>
      <c r="BI3640">
        <v>18.16</v>
      </c>
      <c r="BJ3640">
        <v>25</v>
      </c>
      <c r="BK3640">
        <v>7</v>
      </c>
      <c r="BL3640">
        <v>-0.1</v>
      </c>
      <c r="BM3640">
        <v>-1.39</v>
      </c>
      <c r="BN3640">
        <v>-0.41</v>
      </c>
      <c r="BO3640">
        <v>0.87</v>
      </c>
      <c r="BP3640">
        <v>-1.75</v>
      </c>
      <c r="BQ3640">
        <v>1.31</v>
      </c>
      <c r="BR3640">
        <v>2.42</v>
      </c>
      <c r="BS3640">
        <v>-1.87</v>
      </c>
      <c r="BT3640">
        <v>-2.88</v>
      </c>
      <c r="BU3640">
        <v>-1.67</v>
      </c>
      <c r="BV3640">
        <v>0.8</v>
      </c>
      <c r="BW3640">
        <v>0.62</v>
      </c>
      <c r="BX3640">
        <v>-2.0699999999999998</v>
      </c>
      <c r="BY3640">
        <v>0.56000000000000005</v>
      </c>
      <c r="BZ3640">
        <v>-2.21</v>
      </c>
      <c r="CA3640">
        <v>-1.07</v>
      </c>
      <c r="CB3640">
        <v>-0.35</v>
      </c>
      <c r="CC3640">
        <v>-1.51</v>
      </c>
      <c r="CD3640">
        <v>-1.9</v>
      </c>
      <c r="CE3640">
        <v>0.6</v>
      </c>
      <c r="CF3640">
        <v>-0.4</v>
      </c>
      <c r="CG3640">
        <v>0</v>
      </c>
      <c r="CH3640">
        <v>0.53</v>
      </c>
      <c r="CI3640">
        <v>0</v>
      </c>
      <c r="CJ3640">
        <v>-2.2000000000000002</v>
      </c>
      <c r="CK3640">
        <v>95</v>
      </c>
      <c r="CL3640">
        <v>-0.59</v>
      </c>
      <c r="CM3640">
        <v>94</v>
      </c>
      <c r="CN3640">
        <v>-0.31</v>
      </c>
      <c r="CO3640">
        <v>93</v>
      </c>
      <c r="CP3640">
        <v>-10.5</v>
      </c>
      <c r="CQ3640">
        <v>94</v>
      </c>
      <c r="CR3640">
        <v>0</v>
      </c>
      <c r="CS3640">
        <v>0</v>
      </c>
      <c r="CT3640">
        <v>-9.1999999999999993</v>
      </c>
      <c r="CU3640">
        <v>92</v>
      </c>
      <c r="CV3640">
        <v>0.1</v>
      </c>
      <c r="CW3640">
        <v>45</v>
      </c>
      <c r="CX3640" t="s">
        <v>724</v>
      </c>
    </row>
    <row r="3641" spans="1:102" x14ac:dyDescent="0.3">
      <c r="A3641" t="str">
        <f>HYPERLINK("https://webapp.icbf.com/v2/app/bull-search/view/77855413","LTD")</f>
        <v>LTD</v>
      </c>
      <c r="B3641" t="s">
        <v>11338</v>
      </c>
      <c r="C3641" t="s">
        <v>6968</v>
      </c>
      <c r="D3641" s="1">
        <v>32960</v>
      </c>
      <c r="E3641" t="s">
        <v>92</v>
      </c>
      <c r="F3641">
        <v>100</v>
      </c>
      <c r="G3641" t="s">
        <v>93</v>
      </c>
      <c r="H3641">
        <v>-51.28</v>
      </c>
      <c r="I3641">
        <v>90</v>
      </c>
      <c r="J3641">
        <v>4.9000000000000004</v>
      </c>
      <c r="K3641">
        <v>98</v>
      </c>
      <c r="L3641">
        <v>-37.5</v>
      </c>
      <c r="M3641">
        <v>91</v>
      </c>
      <c r="N3641">
        <v>-11.43</v>
      </c>
      <c r="O3641">
        <v>84</v>
      </c>
      <c r="P3641">
        <v>-1.26</v>
      </c>
      <c r="Q3641">
        <v>92</v>
      </c>
      <c r="R3641">
        <v>-9.5500000000000007</v>
      </c>
      <c r="S3641">
        <v>76</v>
      </c>
      <c r="T3641">
        <v>5.61</v>
      </c>
      <c r="U3641">
        <v>86</v>
      </c>
      <c r="V3641">
        <v>-2.0499999999999998</v>
      </c>
      <c r="W3641">
        <v>42</v>
      </c>
      <c r="X3641" t="s">
        <v>110</v>
      </c>
      <c r="Y3641" t="s">
        <v>95</v>
      </c>
      <c r="Z3641" t="s">
        <v>96</v>
      </c>
      <c r="AA3641" t="s">
        <v>4289</v>
      </c>
      <c r="AB3641" t="s">
        <v>11339</v>
      </c>
      <c r="AC3641">
        <v>288</v>
      </c>
      <c r="AD3641">
        <v>159</v>
      </c>
      <c r="AE3641">
        <v>98</v>
      </c>
      <c r="AF3641">
        <v>217.83</v>
      </c>
      <c r="AG3641">
        <v>-2.58</v>
      </c>
      <c r="AH3641">
        <v>5.08</v>
      </c>
      <c r="AI3641">
        <v>-0.18</v>
      </c>
      <c r="AJ3641">
        <v>-0.04</v>
      </c>
      <c r="AK3641">
        <v>91</v>
      </c>
      <c r="AL3641">
        <v>311</v>
      </c>
      <c r="AM3641">
        <v>156</v>
      </c>
      <c r="AN3641">
        <v>2.11</v>
      </c>
      <c r="AO3641">
        <v>-0.88</v>
      </c>
      <c r="AP3641">
        <v>22</v>
      </c>
      <c r="AQ3641">
        <v>0</v>
      </c>
      <c r="AR3641">
        <v>8.86</v>
      </c>
      <c r="AS3641">
        <v>58</v>
      </c>
      <c r="AT3641">
        <v>4.4000000000000004</v>
      </c>
      <c r="AU3641">
        <v>91</v>
      </c>
      <c r="AV3641">
        <v>-1.25</v>
      </c>
      <c r="AW3641">
        <v>87</v>
      </c>
      <c r="AX3641">
        <v>-0.13</v>
      </c>
      <c r="AY3641">
        <v>91</v>
      </c>
      <c r="AZ3641">
        <v>8.3000000000000007</v>
      </c>
      <c r="BA3641">
        <v>56</v>
      </c>
      <c r="BB3641">
        <v>5.45</v>
      </c>
      <c r="BC3641">
        <v>77</v>
      </c>
      <c r="BD3641">
        <v>7.0000000000000007E-2</v>
      </c>
      <c r="BE3641">
        <v>7.0000000000000007E-2</v>
      </c>
      <c r="BF3641">
        <v>-0.03</v>
      </c>
      <c r="BG3641">
        <v>95</v>
      </c>
      <c r="BH3641">
        <v>-0.01</v>
      </c>
      <c r="BI3641">
        <v>5.46</v>
      </c>
      <c r="BJ3641">
        <v>39</v>
      </c>
      <c r="BK3641">
        <v>26</v>
      </c>
      <c r="BL3641">
        <v>0.28999999999999998</v>
      </c>
      <c r="BM3641">
        <v>-0.26</v>
      </c>
      <c r="BN3641">
        <v>-0.96</v>
      </c>
      <c r="BO3641">
        <v>-0.22</v>
      </c>
      <c r="BP3641">
        <v>-0.46</v>
      </c>
      <c r="BQ3641">
        <v>-0.69</v>
      </c>
      <c r="BR3641">
        <v>0.43</v>
      </c>
      <c r="BS3641">
        <v>-3.31</v>
      </c>
      <c r="BT3641">
        <v>-0.38</v>
      </c>
      <c r="BU3641">
        <v>0.47</v>
      </c>
      <c r="BV3641">
        <v>0.87</v>
      </c>
      <c r="BW3641">
        <v>0.03</v>
      </c>
      <c r="BX3641">
        <v>1.67</v>
      </c>
      <c r="BY3641">
        <v>-1.56</v>
      </c>
      <c r="BZ3641">
        <v>1.63</v>
      </c>
      <c r="CA3641">
        <v>-1.1499999999999999</v>
      </c>
      <c r="CB3641">
        <v>-0.55000000000000004</v>
      </c>
      <c r="CC3641">
        <v>-2.0699999999999998</v>
      </c>
      <c r="CD3641">
        <v>0.61</v>
      </c>
      <c r="CE3641">
        <v>-0.42</v>
      </c>
      <c r="CF3641">
        <v>-0.43</v>
      </c>
      <c r="CG3641">
        <v>0</v>
      </c>
      <c r="CH3641">
        <v>-1.3</v>
      </c>
      <c r="CI3641">
        <v>0</v>
      </c>
      <c r="CJ3641">
        <v>0.8</v>
      </c>
      <c r="CK3641">
        <v>92</v>
      </c>
      <c r="CL3641">
        <v>-0.51</v>
      </c>
      <c r="CM3641">
        <v>91</v>
      </c>
      <c r="CN3641">
        <v>-0.3</v>
      </c>
      <c r="CO3641">
        <v>90</v>
      </c>
      <c r="CP3641">
        <v>-4.0999999999999996</v>
      </c>
      <c r="CQ3641">
        <v>95</v>
      </c>
      <c r="CR3641">
        <v>0</v>
      </c>
      <c r="CS3641">
        <v>0</v>
      </c>
      <c r="CT3641">
        <v>6.2</v>
      </c>
      <c r="CU3641">
        <v>86</v>
      </c>
      <c r="CV3641">
        <v>0.15</v>
      </c>
      <c r="CW3641">
        <v>26</v>
      </c>
      <c r="CX3641" t="s">
        <v>543</v>
      </c>
    </row>
    <row r="3642" spans="1:102" x14ac:dyDescent="0.3">
      <c r="A3642" t="str">
        <f>HYPERLINK("https://webapp.icbf.com/v2/app/bull-search/view/124415180","WIL")</f>
        <v>WIL</v>
      </c>
      <c r="B3642" t="s">
        <v>4633</v>
      </c>
      <c r="C3642" t="s">
        <v>4634</v>
      </c>
      <c r="D3642" s="1">
        <v>35046</v>
      </c>
      <c r="E3642" t="s">
        <v>92</v>
      </c>
      <c r="F3642">
        <v>100</v>
      </c>
      <c r="G3642" t="s">
        <v>93</v>
      </c>
      <c r="H3642">
        <v>-51.3</v>
      </c>
      <c r="I3642">
        <v>84</v>
      </c>
      <c r="J3642">
        <v>35.44</v>
      </c>
      <c r="K3642">
        <v>95</v>
      </c>
      <c r="L3642">
        <v>-81.709999999999994</v>
      </c>
      <c r="M3642">
        <v>80</v>
      </c>
      <c r="N3642">
        <v>14.7</v>
      </c>
      <c r="O3642">
        <v>76</v>
      </c>
      <c r="P3642">
        <v>-8.7899999999999991</v>
      </c>
      <c r="Q3642">
        <v>87</v>
      </c>
      <c r="R3642">
        <v>-12.83</v>
      </c>
      <c r="S3642">
        <v>72</v>
      </c>
      <c r="T3642">
        <v>0.88</v>
      </c>
      <c r="U3642">
        <v>79</v>
      </c>
      <c r="V3642">
        <v>1.01</v>
      </c>
      <c r="W3642">
        <v>69</v>
      </c>
      <c r="X3642" t="s">
        <v>276</v>
      </c>
      <c r="Y3642" t="s">
        <v>95</v>
      </c>
      <c r="Z3642" t="s">
        <v>96</v>
      </c>
      <c r="AA3642" t="s">
        <v>1008</v>
      </c>
      <c r="AB3642" t="s">
        <v>4635</v>
      </c>
      <c r="AC3642">
        <v>77</v>
      </c>
      <c r="AD3642">
        <v>30</v>
      </c>
      <c r="AE3642">
        <v>95</v>
      </c>
      <c r="AF3642">
        <v>211.61</v>
      </c>
      <c r="AG3642">
        <v>5.67</v>
      </c>
      <c r="AH3642">
        <v>7.26</v>
      </c>
      <c r="AI3642">
        <v>-0.04</v>
      </c>
      <c r="AJ3642">
        <v>0</v>
      </c>
      <c r="AK3642">
        <v>80</v>
      </c>
      <c r="AL3642">
        <v>85</v>
      </c>
      <c r="AM3642">
        <v>35</v>
      </c>
      <c r="AN3642">
        <v>4.1399999999999997</v>
      </c>
      <c r="AO3642">
        <v>-2.38</v>
      </c>
      <c r="AP3642">
        <v>90</v>
      </c>
      <c r="AQ3642">
        <v>1</v>
      </c>
      <c r="AR3642">
        <v>10.06</v>
      </c>
      <c r="AS3642">
        <v>74</v>
      </c>
      <c r="AT3642">
        <v>3.64</v>
      </c>
      <c r="AU3642">
        <v>70</v>
      </c>
      <c r="AV3642">
        <v>-3.34</v>
      </c>
      <c r="AW3642">
        <v>88</v>
      </c>
      <c r="AX3642">
        <v>0.13</v>
      </c>
      <c r="AY3642">
        <v>75</v>
      </c>
      <c r="AZ3642">
        <v>7.02</v>
      </c>
      <c r="BA3642">
        <v>55</v>
      </c>
      <c r="BB3642">
        <v>4.71</v>
      </c>
      <c r="BC3642">
        <v>60</v>
      </c>
      <c r="BD3642">
        <v>0</v>
      </c>
      <c r="BE3642">
        <v>0.05</v>
      </c>
      <c r="BF3642">
        <v>0.2</v>
      </c>
      <c r="BG3642">
        <v>81</v>
      </c>
      <c r="BH3642">
        <v>0.03</v>
      </c>
      <c r="BI3642">
        <v>0.21</v>
      </c>
      <c r="BJ3642">
        <v>7</v>
      </c>
      <c r="BK3642">
        <v>5</v>
      </c>
      <c r="BL3642">
        <v>-0.23</v>
      </c>
      <c r="BM3642">
        <v>1.7</v>
      </c>
      <c r="BN3642">
        <v>1.48</v>
      </c>
      <c r="BO3642">
        <v>0.05</v>
      </c>
      <c r="BP3642">
        <v>-0.59</v>
      </c>
      <c r="BQ3642">
        <v>-0.41</v>
      </c>
      <c r="BR3642">
        <v>0.94</v>
      </c>
      <c r="BS3642">
        <v>-1.36</v>
      </c>
      <c r="BT3642">
        <v>-0.11</v>
      </c>
      <c r="BU3642">
        <v>-0.75</v>
      </c>
      <c r="BV3642">
        <v>-0.78</v>
      </c>
      <c r="BW3642">
        <v>0.08</v>
      </c>
      <c r="BX3642">
        <v>-1.94</v>
      </c>
      <c r="BY3642">
        <v>1.0900000000000001</v>
      </c>
      <c r="BZ3642">
        <v>-1.33</v>
      </c>
      <c r="CA3642">
        <v>-0.67</v>
      </c>
      <c r="CB3642">
        <v>-0.28000000000000003</v>
      </c>
      <c r="CC3642">
        <v>-0.96</v>
      </c>
      <c r="CD3642">
        <v>0.37</v>
      </c>
      <c r="CE3642">
        <v>0.8</v>
      </c>
      <c r="CF3642">
        <v>0.26</v>
      </c>
      <c r="CG3642">
        <v>0</v>
      </c>
      <c r="CH3642">
        <v>0.43</v>
      </c>
      <c r="CI3642">
        <v>0</v>
      </c>
      <c r="CJ3642">
        <v>-2.9</v>
      </c>
      <c r="CK3642">
        <v>88</v>
      </c>
      <c r="CL3642">
        <v>-0.62</v>
      </c>
      <c r="CM3642">
        <v>86</v>
      </c>
      <c r="CN3642">
        <v>-0.2</v>
      </c>
      <c r="CO3642">
        <v>84</v>
      </c>
      <c r="CP3642">
        <v>-4.9000000000000004</v>
      </c>
      <c r="CQ3642">
        <v>88</v>
      </c>
      <c r="CR3642">
        <v>0</v>
      </c>
      <c r="CS3642">
        <v>0</v>
      </c>
      <c r="CT3642">
        <v>12.6</v>
      </c>
      <c r="CU3642">
        <v>79</v>
      </c>
      <c r="CV3642">
        <v>0.1</v>
      </c>
      <c r="CW3642">
        <v>25</v>
      </c>
      <c r="CX3642" t="s">
        <v>485</v>
      </c>
    </row>
    <row r="3643" spans="1:102" x14ac:dyDescent="0.3">
      <c r="A3643" t="str">
        <f>HYPERLINK("https://webapp.icbf.com/v2/app/bull-search/view/444505647","S556")</f>
        <v>S556</v>
      </c>
      <c r="B3643" t="s">
        <v>12235</v>
      </c>
      <c r="C3643" t="s">
        <v>12236</v>
      </c>
      <c r="D3643" s="1">
        <v>36481</v>
      </c>
      <c r="E3643" t="s">
        <v>92</v>
      </c>
      <c r="F3643">
        <v>100</v>
      </c>
      <c r="G3643" t="s">
        <v>109</v>
      </c>
      <c r="H3643">
        <v>-51.32</v>
      </c>
      <c r="I3643">
        <v>78</v>
      </c>
      <c r="J3643">
        <v>47.6</v>
      </c>
      <c r="K3643">
        <v>92</v>
      </c>
      <c r="L3643">
        <v>-106.81</v>
      </c>
      <c r="M3643">
        <v>87</v>
      </c>
      <c r="N3643">
        <v>24.03</v>
      </c>
      <c r="O3643">
        <v>52</v>
      </c>
      <c r="P3643">
        <v>-11.27</v>
      </c>
      <c r="Q3643">
        <v>61</v>
      </c>
      <c r="R3643">
        <v>-6.84</v>
      </c>
      <c r="S3643">
        <v>69</v>
      </c>
      <c r="T3643">
        <v>7.83</v>
      </c>
      <c r="U3643">
        <v>50</v>
      </c>
      <c r="V3643">
        <v>-5.86</v>
      </c>
      <c r="W3643">
        <v>57</v>
      </c>
      <c r="X3643" t="s">
        <v>110</v>
      </c>
      <c r="Y3643" t="s">
        <v>95</v>
      </c>
      <c r="Z3643" t="s">
        <v>96</v>
      </c>
      <c r="AA3643" t="s">
        <v>174</v>
      </c>
      <c r="AB3643" t="s">
        <v>12237</v>
      </c>
      <c r="AC3643">
        <v>0</v>
      </c>
      <c r="AD3643">
        <v>0</v>
      </c>
      <c r="AE3643">
        <v>92</v>
      </c>
      <c r="AF3643">
        <v>425.85</v>
      </c>
      <c r="AG3643">
        <v>6.99</v>
      </c>
      <c r="AH3643">
        <v>12.14</v>
      </c>
      <c r="AI3643">
        <v>-0.15</v>
      </c>
      <c r="AJ3643">
        <v>-0.04</v>
      </c>
      <c r="AK3643">
        <v>87</v>
      </c>
      <c r="AL3643">
        <v>0</v>
      </c>
      <c r="AM3643">
        <v>0</v>
      </c>
      <c r="AN3643">
        <v>4.9000000000000004</v>
      </c>
      <c r="AO3643">
        <v>-3.63</v>
      </c>
      <c r="AP3643">
        <v>32</v>
      </c>
      <c r="AQ3643">
        <v>0</v>
      </c>
      <c r="AR3643">
        <v>6.6</v>
      </c>
      <c r="AS3643">
        <v>62</v>
      </c>
      <c r="AT3643">
        <v>2.88</v>
      </c>
      <c r="AU3643">
        <v>88</v>
      </c>
      <c r="AV3643">
        <v>-2.36</v>
      </c>
      <c r="AW3643">
        <v>37</v>
      </c>
      <c r="AX3643">
        <v>-0.31</v>
      </c>
      <c r="AY3643">
        <v>43</v>
      </c>
      <c r="AZ3643">
        <v>6.65</v>
      </c>
      <c r="BA3643">
        <v>38</v>
      </c>
      <c r="BB3643">
        <v>4.95</v>
      </c>
      <c r="BC3643">
        <v>36</v>
      </c>
      <c r="BD3643">
        <v>0.02</v>
      </c>
      <c r="BE3643">
        <v>0.06</v>
      </c>
      <c r="BF3643">
        <v>0.01</v>
      </c>
      <c r="BG3643">
        <v>93</v>
      </c>
      <c r="BH3643">
        <v>0.13</v>
      </c>
      <c r="BI3643">
        <v>33.93</v>
      </c>
      <c r="BJ3643">
        <v>4</v>
      </c>
      <c r="BK3643">
        <v>3</v>
      </c>
      <c r="BL3643">
        <v>1.38</v>
      </c>
      <c r="BM3643">
        <v>1.52</v>
      </c>
      <c r="BN3643">
        <v>1.78</v>
      </c>
      <c r="BO3643">
        <v>0.3</v>
      </c>
      <c r="BP3643">
        <v>1.91</v>
      </c>
      <c r="BQ3643">
        <v>1.26</v>
      </c>
      <c r="BR3643">
        <v>-0.65</v>
      </c>
      <c r="BS3643">
        <v>0</v>
      </c>
      <c r="BT3643">
        <v>1.41</v>
      </c>
      <c r="BU3643">
        <v>0.27</v>
      </c>
      <c r="BV3643">
        <v>0.93</v>
      </c>
      <c r="BW3643">
        <v>1</v>
      </c>
      <c r="BX3643">
        <v>-0.1</v>
      </c>
      <c r="BY3643">
        <v>1.39</v>
      </c>
      <c r="BZ3643">
        <v>1.1200000000000001</v>
      </c>
      <c r="CA3643">
        <v>0.74</v>
      </c>
      <c r="CB3643">
        <v>0.77</v>
      </c>
      <c r="CC3643">
        <v>0.51</v>
      </c>
      <c r="CD3643">
        <v>0.27</v>
      </c>
      <c r="CE3643">
        <v>0.5</v>
      </c>
      <c r="CF3643">
        <v>0.64</v>
      </c>
      <c r="CG3643">
        <v>0</v>
      </c>
      <c r="CH3643">
        <v>0.71</v>
      </c>
      <c r="CI3643">
        <v>0</v>
      </c>
      <c r="CJ3643">
        <v>-3.3</v>
      </c>
      <c r="CK3643">
        <v>63</v>
      </c>
      <c r="CL3643">
        <v>-1.08</v>
      </c>
      <c r="CM3643">
        <v>59</v>
      </c>
      <c r="CN3643">
        <v>-0.41</v>
      </c>
      <c r="CO3643">
        <v>54</v>
      </c>
      <c r="CP3643">
        <v>-2.5</v>
      </c>
      <c r="CQ3643">
        <v>62</v>
      </c>
      <c r="CR3643">
        <v>0</v>
      </c>
      <c r="CS3643">
        <v>0</v>
      </c>
      <c r="CT3643">
        <v>3.2</v>
      </c>
      <c r="CU3643">
        <v>50</v>
      </c>
      <c r="CV3643">
        <v>0.24</v>
      </c>
      <c r="CW3643">
        <v>17</v>
      </c>
      <c r="CX3643" t="s">
        <v>4070</v>
      </c>
    </row>
    <row r="3644" spans="1:102" x14ac:dyDescent="0.3">
      <c r="A3644" t="str">
        <f>HYPERLINK("https://webapp.icbf.com/v2/app/bull-search/view/77859274","ALJ")</f>
        <v>ALJ</v>
      </c>
      <c r="B3644" t="s">
        <v>10877</v>
      </c>
      <c r="C3644" t="s">
        <v>10878</v>
      </c>
      <c r="D3644" s="1">
        <v>35414</v>
      </c>
      <c r="E3644" t="s">
        <v>92</v>
      </c>
      <c r="F3644">
        <v>100</v>
      </c>
      <c r="G3644" t="s">
        <v>93</v>
      </c>
      <c r="H3644">
        <v>-51.34</v>
      </c>
      <c r="I3644">
        <v>68</v>
      </c>
      <c r="J3644">
        <v>25.35</v>
      </c>
      <c r="K3644">
        <v>90</v>
      </c>
      <c r="L3644">
        <v>-73.13</v>
      </c>
      <c r="M3644">
        <v>55</v>
      </c>
      <c r="N3644">
        <v>16.98</v>
      </c>
      <c r="O3644">
        <v>55</v>
      </c>
      <c r="P3644">
        <v>-12.1</v>
      </c>
      <c r="Q3644">
        <v>74</v>
      </c>
      <c r="R3644">
        <v>-23.94</v>
      </c>
      <c r="S3644">
        <v>60</v>
      </c>
      <c r="T3644">
        <v>19.82</v>
      </c>
      <c r="U3644">
        <v>59</v>
      </c>
      <c r="V3644">
        <v>-4.32</v>
      </c>
      <c r="W3644">
        <v>37</v>
      </c>
      <c r="X3644" t="s">
        <v>94</v>
      </c>
      <c r="Y3644" t="s">
        <v>95</v>
      </c>
      <c r="Z3644" t="s">
        <v>96</v>
      </c>
      <c r="AA3644" t="s">
        <v>753</v>
      </c>
      <c r="AB3644" t="s">
        <v>10879</v>
      </c>
      <c r="AC3644">
        <v>38</v>
      </c>
      <c r="AD3644">
        <v>36</v>
      </c>
      <c r="AE3644">
        <v>90</v>
      </c>
      <c r="AF3644">
        <v>309.29000000000002</v>
      </c>
      <c r="AG3644">
        <v>4.82</v>
      </c>
      <c r="AH3644">
        <v>7.34</v>
      </c>
      <c r="AI3644">
        <v>-0.11</v>
      </c>
      <c r="AJ3644">
        <v>-0.05</v>
      </c>
      <c r="AK3644">
        <v>55</v>
      </c>
      <c r="AL3644">
        <v>43</v>
      </c>
      <c r="AM3644">
        <v>35</v>
      </c>
      <c r="AN3644">
        <v>4.17</v>
      </c>
      <c r="AO3644">
        <v>-1.66</v>
      </c>
      <c r="AP3644">
        <v>2</v>
      </c>
      <c r="AQ3644">
        <v>0</v>
      </c>
      <c r="AR3644">
        <v>6.96</v>
      </c>
      <c r="AS3644">
        <v>37</v>
      </c>
      <c r="AT3644">
        <v>2.5499999999999998</v>
      </c>
      <c r="AU3644">
        <v>48</v>
      </c>
      <c r="AV3644">
        <v>-2.02</v>
      </c>
      <c r="AW3644">
        <v>65</v>
      </c>
      <c r="AX3644">
        <v>0.55000000000000004</v>
      </c>
      <c r="AY3644">
        <v>61</v>
      </c>
      <c r="AZ3644">
        <v>7.41</v>
      </c>
      <c r="BA3644">
        <v>39</v>
      </c>
      <c r="BB3644">
        <v>5.49</v>
      </c>
      <c r="BC3644">
        <v>47</v>
      </c>
      <c r="BD3644">
        <v>0.05</v>
      </c>
      <c r="BE3644">
        <v>0.13</v>
      </c>
      <c r="BF3644">
        <v>0.22</v>
      </c>
      <c r="BG3644">
        <v>71</v>
      </c>
      <c r="BH3644">
        <v>-0.02</v>
      </c>
      <c r="BI3644">
        <v>11.61</v>
      </c>
      <c r="BJ3644">
        <v>6</v>
      </c>
      <c r="BK3644">
        <v>5</v>
      </c>
      <c r="BL3644">
        <v>-0.68</v>
      </c>
      <c r="BM3644">
        <v>0.11</v>
      </c>
      <c r="BN3644">
        <v>-0.49</v>
      </c>
      <c r="BO3644">
        <v>-0.41</v>
      </c>
      <c r="BP3644">
        <v>1.22</v>
      </c>
      <c r="BQ3644">
        <v>-1.47</v>
      </c>
      <c r="BR3644">
        <v>1.76</v>
      </c>
      <c r="BS3644">
        <v>-2.04</v>
      </c>
      <c r="BT3644">
        <v>-2.39</v>
      </c>
      <c r="BU3644">
        <v>-1.22</v>
      </c>
      <c r="BV3644">
        <v>-1.25</v>
      </c>
      <c r="BW3644">
        <v>-1.1299999999999999</v>
      </c>
      <c r="BX3644">
        <v>-1.23</v>
      </c>
      <c r="BY3644">
        <v>-1.36</v>
      </c>
      <c r="BZ3644">
        <v>1.83</v>
      </c>
      <c r="CA3644">
        <v>-1.54</v>
      </c>
      <c r="CB3644">
        <v>-0.93</v>
      </c>
      <c r="CC3644">
        <v>-2.08</v>
      </c>
      <c r="CD3644">
        <v>-7.0000000000000007E-2</v>
      </c>
      <c r="CE3644">
        <v>-0.02</v>
      </c>
      <c r="CF3644">
        <v>-1.35</v>
      </c>
      <c r="CG3644">
        <v>0</v>
      </c>
      <c r="CH3644">
        <v>-1.69</v>
      </c>
      <c r="CI3644">
        <v>0</v>
      </c>
      <c r="CJ3644">
        <v>-3.8</v>
      </c>
      <c r="CK3644">
        <v>75</v>
      </c>
      <c r="CL3644">
        <v>-0.47</v>
      </c>
      <c r="CM3644">
        <v>71</v>
      </c>
      <c r="CN3644">
        <v>-0.02</v>
      </c>
      <c r="CO3644">
        <v>68</v>
      </c>
      <c r="CP3644">
        <v>-14.9</v>
      </c>
      <c r="CQ3644">
        <v>79</v>
      </c>
      <c r="CR3644">
        <v>0</v>
      </c>
      <c r="CS3644">
        <v>0</v>
      </c>
      <c r="CT3644">
        <v>-13</v>
      </c>
      <c r="CU3644">
        <v>59</v>
      </c>
      <c r="CV3644">
        <v>7.0000000000000007E-2</v>
      </c>
      <c r="CW3644">
        <v>21</v>
      </c>
      <c r="CX3644" t="s">
        <v>954</v>
      </c>
    </row>
    <row r="3645" spans="1:102" x14ac:dyDescent="0.3">
      <c r="A3645" t="str">
        <f>HYPERLINK("https://webapp.icbf.com/v2/app/bull-search/view/391777681","LVZ")</f>
        <v>LVZ</v>
      </c>
      <c r="B3645" t="s">
        <v>4412</v>
      </c>
      <c r="C3645" t="s">
        <v>4413</v>
      </c>
      <c r="D3645" s="1">
        <v>35044</v>
      </c>
      <c r="E3645" t="s">
        <v>140</v>
      </c>
      <c r="F3645">
        <v>0</v>
      </c>
      <c r="G3645" t="s">
        <v>109</v>
      </c>
      <c r="H3645">
        <v>-51.37</v>
      </c>
      <c r="I3645">
        <v>59</v>
      </c>
      <c r="J3645">
        <v>-11.23</v>
      </c>
      <c r="K3645">
        <v>75</v>
      </c>
      <c r="L3645">
        <v>17.649999999999999</v>
      </c>
      <c r="M3645">
        <v>44</v>
      </c>
      <c r="N3645">
        <v>-69.52</v>
      </c>
      <c r="O3645">
        <v>56</v>
      </c>
      <c r="P3645">
        <v>5.42</v>
      </c>
      <c r="Q3645">
        <v>77</v>
      </c>
      <c r="R3645">
        <v>6.44</v>
      </c>
      <c r="S3645">
        <v>50</v>
      </c>
      <c r="T3645">
        <v>8.2799999999999994</v>
      </c>
      <c r="U3645">
        <v>61</v>
      </c>
      <c r="V3645">
        <v>-8.41</v>
      </c>
      <c r="W3645">
        <v>28</v>
      </c>
      <c r="X3645" t="s">
        <v>94</v>
      </c>
      <c r="Y3645" t="s">
        <v>95</v>
      </c>
      <c r="Z3645">
        <v>0</v>
      </c>
      <c r="AA3645" t="s">
        <v>2937</v>
      </c>
      <c r="AB3645" t="s">
        <v>4414</v>
      </c>
      <c r="AC3645">
        <v>0</v>
      </c>
      <c r="AD3645">
        <v>0</v>
      </c>
      <c r="AE3645">
        <v>75</v>
      </c>
      <c r="AF3645">
        <v>-141.18</v>
      </c>
      <c r="AG3645">
        <v>-5.77</v>
      </c>
      <c r="AH3645">
        <v>-2.0299999999999998</v>
      </c>
      <c r="AI3645">
        <v>0</v>
      </c>
      <c r="AJ3645">
        <v>0.05</v>
      </c>
      <c r="AK3645">
        <v>44</v>
      </c>
      <c r="AL3645">
        <v>21</v>
      </c>
      <c r="AM3645">
        <v>11</v>
      </c>
      <c r="AN3645">
        <v>-1.54</v>
      </c>
      <c r="AO3645">
        <v>-0.14000000000000001</v>
      </c>
      <c r="AP3645">
        <v>13</v>
      </c>
      <c r="AQ3645">
        <v>0</v>
      </c>
      <c r="AR3645">
        <v>14.16</v>
      </c>
      <c r="AS3645">
        <v>35</v>
      </c>
      <c r="AT3645">
        <v>6.77</v>
      </c>
      <c r="AU3645">
        <v>42</v>
      </c>
      <c r="AV3645">
        <v>0.44</v>
      </c>
      <c r="AW3645">
        <v>78</v>
      </c>
      <c r="AX3645">
        <v>-0.17</v>
      </c>
      <c r="AY3645">
        <v>59</v>
      </c>
      <c r="AZ3645">
        <v>5.93</v>
      </c>
      <c r="BA3645">
        <v>28</v>
      </c>
      <c r="BB3645">
        <v>4.46</v>
      </c>
      <c r="BC3645">
        <v>29</v>
      </c>
      <c r="BD3645">
        <v>0</v>
      </c>
      <c r="BE3645">
        <v>-0.02</v>
      </c>
      <c r="BF3645">
        <v>-0.11</v>
      </c>
      <c r="BG3645">
        <v>62</v>
      </c>
      <c r="BH3645">
        <v>-0.12</v>
      </c>
      <c r="BI3645">
        <v>13.24</v>
      </c>
      <c r="BJ3645">
        <v>1</v>
      </c>
      <c r="BK3645">
        <v>1</v>
      </c>
      <c r="BL3645">
        <v>-0.56999999999999995</v>
      </c>
      <c r="BM3645">
        <v>3.54</v>
      </c>
      <c r="BN3645">
        <v>-1.1100000000000001</v>
      </c>
      <c r="BO3645">
        <v>-2.56</v>
      </c>
      <c r="BP3645">
        <v>4.22</v>
      </c>
      <c r="BQ3645">
        <v>-1.53</v>
      </c>
      <c r="BR3645">
        <v>-2.83</v>
      </c>
      <c r="BS3645">
        <v>-7.0000000000000007E-2</v>
      </c>
      <c r="BT3645">
        <v>2.61</v>
      </c>
      <c r="BU3645">
        <v>-3.01</v>
      </c>
      <c r="BV3645">
        <v>-3.19</v>
      </c>
      <c r="BW3645">
        <v>-2.5299999999999998</v>
      </c>
      <c r="BX3645">
        <v>-2.79</v>
      </c>
      <c r="BY3645">
        <v>-2.12</v>
      </c>
      <c r="BZ3645">
        <v>1.0900000000000001</v>
      </c>
      <c r="CA3645">
        <v>-2.0499999999999998</v>
      </c>
      <c r="CB3645">
        <v>-2.71</v>
      </c>
      <c r="CC3645">
        <v>-0.13</v>
      </c>
      <c r="CD3645">
        <v>3.71</v>
      </c>
      <c r="CE3645">
        <v>-2.61</v>
      </c>
      <c r="CF3645">
        <v>-0.71</v>
      </c>
      <c r="CG3645">
        <v>0</v>
      </c>
      <c r="CH3645">
        <v>-2.0099999999999998</v>
      </c>
      <c r="CI3645">
        <v>0</v>
      </c>
      <c r="CJ3645">
        <v>1.6</v>
      </c>
      <c r="CK3645">
        <v>79</v>
      </c>
      <c r="CL3645">
        <v>0.46</v>
      </c>
      <c r="CM3645">
        <v>75</v>
      </c>
      <c r="CN3645">
        <v>0.12</v>
      </c>
      <c r="CO3645">
        <v>72</v>
      </c>
      <c r="CP3645">
        <v>-0.9</v>
      </c>
      <c r="CQ3645">
        <v>77</v>
      </c>
      <c r="CR3645">
        <v>0</v>
      </c>
      <c r="CS3645">
        <v>0</v>
      </c>
      <c r="CT3645">
        <v>2.6</v>
      </c>
      <c r="CU3645">
        <v>61</v>
      </c>
      <c r="CV3645">
        <v>-0.26</v>
      </c>
      <c r="CW3645">
        <v>21</v>
      </c>
      <c r="CX3645" t="s">
        <v>224</v>
      </c>
    </row>
    <row r="3646" spans="1:102" x14ac:dyDescent="0.3">
      <c r="A3646" t="str">
        <f>HYPERLINK("https://webapp.icbf.com/v2/app/bull-search/view/423986996","DPI")</f>
        <v>DPI</v>
      </c>
      <c r="B3646" t="s">
        <v>14165</v>
      </c>
      <c r="C3646" t="s">
        <v>14166</v>
      </c>
      <c r="D3646" s="1">
        <v>38089</v>
      </c>
      <c r="E3646" t="s">
        <v>92</v>
      </c>
      <c r="F3646">
        <v>100</v>
      </c>
      <c r="G3646" t="s">
        <v>93</v>
      </c>
      <c r="H3646">
        <v>-51.48</v>
      </c>
      <c r="I3646">
        <v>76</v>
      </c>
      <c r="J3646">
        <v>5.88</v>
      </c>
      <c r="K3646">
        <v>91</v>
      </c>
      <c r="L3646">
        <v>-46.38</v>
      </c>
      <c r="M3646">
        <v>59</v>
      </c>
      <c r="N3646">
        <v>-12.26</v>
      </c>
      <c r="O3646">
        <v>72</v>
      </c>
      <c r="P3646">
        <v>-8.15</v>
      </c>
      <c r="Q3646">
        <v>88</v>
      </c>
      <c r="R3646">
        <v>-2.52</v>
      </c>
      <c r="S3646">
        <v>65</v>
      </c>
      <c r="T3646">
        <v>11.16</v>
      </c>
      <c r="U3646">
        <v>83</v>
      </c>
      <c r="V3646">
        <v>0.79</v>
      </c>
      <c r="W3646">
        <v>64</v>
      </c>
      <c r="X3646" t="s">
        <v>94</v>
      </c>
      <c r="Y3646" t="s">
        <v>1153</v>
      </c>
      <c r="Z3646" t="s">
        <v>96</v>
      </c>
      <c r="AA3646" t="s">
        <v>4105</v>
      </c>
      <c r="AB3646" t="s">
        <v>14167</v>
      </c>
      <c r="AC3646">
        <v>44</v>
      </c>
      <c r="AD3646">
        <v>30</v>
      </c>
      <c r="AE3646">
        <v>91</v>
      </c>
      <c r="AF3646">
        <v>199.07</v>
      </c>
      <c r="AG3646">
        <v>4.29</v>
      </c>
      <c r="AH3646">
        <v>2.5299999999999998</v>
      </c>
      <c r="AI3646">
        <v>-0.06</v>
      </c>
      <c r="AJ3646">
        <v>-7.0000000000000007E-2</v>
      </c>
      <c r="AK3646">
        <v>59</v>
      </c>
      <c r="AL3646">
        <v>58</v>
      </c>
      <c r="AM3646">
        <v>34</v>
      </c>
      <c r="AN3646">
        <v>0.86</v>
      </c>
      <c r="AO3646">
        <v>-2.86</v>
      </c>
      <c r="AP3646">
        <v>87</v>
      </c>
      <c r="AQ3646">
        <v>16</v>
      </c>
      <c r="AR3646">
        <v>9.1</v>
      </c>
      <c r="AS3646">
        <v>49</v>
      </c>
      <c r="AT3646">
        <v>4.22</v>
      </c>
      <c r="AU3646">
        <v>74</v>
      </c>
      <c r="AV3646">
        <v>0.32</v>
      </c>
      <c r="AW3646">
        <v>82</v>
      </c>
      <c r="AX3646">
        <v>-0.41</v>
      </c>
      <c r="AY3646">
        <v>73</v>
      </c>
      <c r="AZ3646">
        <v>5.52</v>
      </c>
      <c r="BA3646">
        <v>48</v>
      </c>
      <c r="BB3646">
        <v>4.37</v>
      </c>
      <c r="BC3646">
        <v>53</v>
      </c>
      <c r="BD3646">
        <v>0.03</v>
      </c>
      <c r="BE3646">
        <v>0.02</v>
      </c>
      <c r="BF3646">
        <v>-0.03</v>
      </c>
      <c r="BG3646">
        <v>72</v>
      </c>
      <c r="BH3646">
        <v>0.1</v>
      </c>
      <c r="BI3646">
        <v>9.0299999999999994</v>
      </c>
      <c r="BJ3646">
        <v>6</v>
      </c>
      <c r="BK3646">
        <v>4</v>
      </c>
      <c r="BL3646">
        <v>0.54</v>
      </c>
      <c r="BM3646">
        <v>-0.28999999999999998</v>
      </c>
      <c r="BN3646">
        <v>0.03</v>
      </c>
      <c r="BO3646">
        <v>0.3</v>
      </c>
      <c r="BP3646">
        <v>-0.56999999999999995</v>
      </c>
      <c r="BQ3646">
        <v>-0.22</v>
      </c>
      <c r="BR3646">
        <v>1.26</v>
      </c>
      <c r="BS3646">
        <v>-1.77</v>
      </c>
      <c r="BT3646">
        <v>-0.46</v>
      </c>
      <c r="BU3646">
        <v>0.65</v>
      </c>
      <c r="BV3646">
        <v>0.62</v>
      </c>
      <c r="BW3646">
        <v>0.25</v>
      </c>
      <c r="BX3646">
        <v>0.87</v>
      </c>
      <c r="BY3646">
        <v>0.48</v>
      </c>
      <c r="BZ3646">
        <v>-1.1200000000000001</v>
      </c>
      <c r="CA3646">
        <v>-0.08</v>
      </c>
      <c r="CB3646">
        <v>0.39</v>
      </c>
      <c r="CC3646">
        <v>-1.07</v>
      </c>
      <c r="CD3646">
        <v>-0.13</v>
      </c>
      <c r="CE3646">
        <v>0.11</v>
      </c>
      <c r="CF3646">
        <v>-0.31</v>
      </c>
      <c r="CG3646">
        <v>0</v>
      </c>
      <c r="CH3646">
        <v>0.35</v>
      </c>
      <c r="CI3646">
        <v>0</v>
      </c>
      <c r="CJ3646">
        <v>-1.9</v>
      </c>
      <c r="CK3646">
        <v>90</v>
      </c>
      <c r="CL3646">
        <v>-0.8</v>
      </c>
      <c r="CM3646">
        <v>87</v>
      </c>
      <c r="CN3646">
        <v>-0.3</v>
      </c>
      <c r="CO3646">
        <v>86</v>
      </c>
      <c r="CP3646">
        <v>-5.2</v>
      </c>
      <c r="CQ3646">
        <v>86</v>
      </c>
      <c r="CR3646">
        <v>0</v>
      </c>
      <c r="CS3646">
        <v>0</v>
      </c>
      <c r="CT3646">
        <v>-1.3</v>
      </c>
      <c r="CU3646">
        <v>83</v>
      </c>
      <c r="CV3646">
        <v>0.18</v>
      </c>
      <c r="CW3646">
        <v>25</v>
      </c>
      <c r="CX3646" t="s">
        <v>834</v>
      </c>
    </row>
    <row r="3647" spans="1:102" x14ac:dyDescent="0.3">
      <c r="A3647" t="str">
        <f>HYPERLINK("https://webapp.icbf.com/v2/app/bull-search/view/586054958","GYE")</f>
        <v>GYE</v>
      </c>
      <c r="B3647" t="s">
        <v>2626</v>
      </c>
      <c r="C3647" t="s">
        <v>2627</v>
      </c>
      <c r="D3647" s="1">
        <v>38723</v>
      </c>
      <c r="E3647" t="s">
        <v>92</v>
      </c>
      <c r="F3647">
        <v>100</v>
      </c>
      <c r="G3647" t="s">
        <v>109</v>
      </c>
      <c r="H3647">
        <v>-51.53</v>
      </c>
      <c r="I3647">
        <v>75</v>
      </c>
      <c r="J3647">
        <v>4.07</v>
      </c>
      <c r="K3647">
        <v>85</v>
      </c>
      <c r="L3647">
        <v>-81.239999999999995</v>
      </c>
      <c r="M3647">
        <v>81</v>
      </c>
      <c r="N3647">
        <v>23.64</v>
      </c>
      <c r="O3647">
        <v>68</v>
      </c>
      <c r="P3647">
        <v>-8.42</v>
      </c>
      <c r="Q3647">
        <v>63</v>
      </c>
      <c r="R3647">
        <v>2.86</v>
      </c>
      <c r="S3647">
        <v>66</v>
      </c>
      <c r="T3647">
        <v>2.36</v>
      </c>
      <c r="U3647">
        <v>60</v>
      </c>
      <c r="V3647">
        <v>5.2</v>
      </c>
      <c r="W3647">
        <v>30</v>
      </c>
      <c r="X3647" t="s">
        <v>251</v>
      </c>
      <c r="Y3647" t="s">
        <v>2581</v>
      </c>
      <c r="Z3647" t="s">
        <v>96</v>
      </c>
      <c r="AA3647" t="s">
        <v>350</v>
      </c>
      <c r="AB3647" t="s">
        <v>2628</v>
      </c>
      <c r="AC3647">
        <v>0</v>
      </c>
      <c r="AD3647">
        <v>0</v>
      </c>
      <c r="AE3647">
        <v>85</v>
      </c>
      <c r="AF3647">
        <v>184.54</v>
      </c>
      <c r="AG3647">
        <v>3.78</v>
      </c>
      <c r="AH3647">
        <v>2.1800000000000002</v>
      </c>
      <c r="AI3647">
        <v>-0.06</v>
      </c>
      <c r="AJ3647">
        <v>-7.0000000000000007E-2</v>
      </c>
      <c r="AK3647">
        <v>81</v>
      </c>
      <c r="AL3647">
        <v>0</v>
      </c>
      <c r="AM3647">
        <v>0</v>
      </c>
      <c r="AN3647">
        <v>5.1100000000000003</v>
      </c>
      <c r="AO3647">
        <v>-1.36</v>
      </c>
      <c r="AP3647">
        <v>41</v>
      </c>
      <c r="AQ3647">
        <v>0</v>
      </c>
      <c r="AR3647">
        <v>7.4</v>
      </c>
      <c r="AS3647">
        <v>42</v>
      </c>
      <c r="AT3647">
        <v>3.47</v>
      </c>
      <c r="AU3647">
        <v>88</v>
      </c>
      <c r="AV3647">
        <v>-3.12</v>
      </c>
      <c r="AW3647">
        <v>80</v>
      </c>
      <c r="AX3647">
        <v>1.03</v>
      </c>
      <c r="AY3647">
        <v>52</v>
      </c>
      <c r="AZ3647">
        <v>5.59</v>
      </c>
      <c r="BA3647">
        <v>34</v>
      </c>
      <c r="BB3647">
        <v>4.3899999999999997</v>
      </c>
      <c r="BC3647">
        <v>34</v>
      </c>
      <c r="BD3647">
        <v>-0.01</v>
      </c>
      <c r="BE3647">
        <v>-0.01</v>
      </c>
      <c r="BF3647">
        <v>-0.03</v>
      </c>
      <c r="BG3647">
        <v>88</v>
      </c>
      <c r="BH3647">
        <v>0.16</v>
      </c>
      <c r="BI3647">
        <v>1.72</v>
      </c>
      <c r="BJ3647">
        <v>5</v>
      </c>
      <c r="BK3647">
        <v>4</v>
      </c>
      <c r="BL3647">
        <v>0.78</v>
      </c>
      <c r="BM3647">
        <v>-1.44</v>
      </c>
      <c r="BN3647">
        <v>-0.19</v>
      </c>
      <c r="BO3647">
        <v>0.56000000000000005</v>
      </c>
      <c r="BP3647">
        <v>0.4</v>
      </c>
      <c r="BQ3647">
        <v>1.1299999999999999</v>
      </c>
      <c r="BR3647">
        <v>-0.44</v>
      </c>
      <c r="BS3647">
        <v>1.01</v>
      </c>
      <c r="BT3647">
        <v>1.01</v>
      </c>
      <c r="BU3647">
        <v>2.04</v>
      </c>
      <c r="BV3647">
        <v>2.06</v>
      </c>
      <c r="BW3647">
        <v>1.44</v>
      </c>
      <c r="BX3647">
        <v>1.91</v>
      </c>
      <c r="BY3647">
        <v>-7.0000000000000007E-2</v>
      </c>
      <c r="BZ3647">
        <v>0.71</v>
      </c>
      <c r="CA3647">
        <v>1.41</v>
      </c>
      <c r="CB3647">
        <v>1.18</v>
      </c>
      <c r="CC3647">
        <v>1.21</v>
      </c>
      <c r="CD3647">
        <v>-0.45</v>
      </c>
      <c r="CE3647">
        <v>0.65</v>
      </c>
      <c r="CF3647">
        <v>1.07</v>
      </c>
      <c r="CG3647">
        <v>0</v>
      </c>
      <c r="CH3647">
        <v>0.98</v>
      </c>
      <c r="CI3647">
        <v>0</v>
      </c>
      <c r="CJ3647">
        <v>-3</v>
      </c>
      <c r="CK3647">
        <v>65</v>
      </c>
      <c r="CL3647">
        <v>-1.2</v>
      </c>
      <c r="CM3647">
        <v>60</v>
      </c>
      <c r="CN3647">
        <v>-0.7</v>
      </c>
      <c r="CO3647">
        <v>55</v>
      </c>
      <c r="CP3647">
        <v>-0.6</v>
      </c>
      <c r="CQ3647">
        <v>66</v>
      </c>
      <c r="CR3647">
        <v>0</v>
      </c>
      <c r="CS3647">
        <v>0</v>
      </c>
      <c r="CT3647">
        <v>10.6</v>
      </c>
      <c r="CU3647">
        <v>60</v>
      </c>
      <c r="CV3647">
        <v>0.26</v>
      </c>
      <c r="CW3647">
        <v>17</v>
      </c>
      <c r="CX3647" t="s">
        <v>311</v>
      </c>
    </row>
    <row r="3648" spans="1:102" x14ac:dyDescent="0.3">
      <c r="A3648" t="str">
        <f>HYPERLINK("https://webapp.icbf.com/v2/app/bull-search/view/77853733","SCT")</f>
        <v>SCT</v>
      </c>
      <c r="B3648" t="s">
        <v>3997</v>
      </c>
      <c r="C3648" t="s">
        <v>3998</v>
      </c>
      <c r="D3648" s="1">
        <v>36197</v>
      </c>
      <c r="E3648" t="s">
        <v>92</v>
      </c>
      <c r="F3648">
        <v>100</v>
      </c>
      <c r="G3648" t="s">
        <v>93</v>
      </c>
      <c r="H3648">
        <v>-51.53</v>
      </c>
      <c r="I3648">
        <v>81</v>
      </c>
      <c r="J3648">
        <v>-17.77</v>
      </c>
      <c r="K3648">
        <v>95</v>
      </c>
      <c r="L3648">
        <v>-49.56</v>
      </c>
      <c r="M3648">
        <v>68</v>
      </c>
      <c r="N3648">
        <v>9.64</v>
      </c>
      <c r="O3648">
        <v>73</v>
      </c>
      <c r="P3648">
        <v>-3.48</v>
      </c>
      <c r="Q3648">
        <v>88</v>
      </c>
      <c r="R3648">
        <v>-12.74</v>
      </c>
      <c r="S3648">
        <v>72</v>
      </c>
      <c r="T3648">
        <v>19.97</v>
      </c>
      <c r="U3648">
        <v>91</v>
      </c>
      <c r="V3648">
        <v>2.41</v>
      </c>
      <c r="W3648">
        <v>64</v>
      </c>
      <c r="X3648" t="s">
        <v>94</v>
      </c>
      <c r="Y3648" t="s">
        <v>95</v>
      </c>
      <c r="Z3648" t="s">
        <v>96</v>
      </c>
      <c r="AA3648" t="s">
        <v>1696</v>
      </c>
      <c r="AB3648" t="s">
        <v>3999</v>
      </c>
      <c r="AC3648">
        <v>87</v>
      </c>
      <c r="AD3648">
        <v>71</v>
      </c>
      <c r="AE3648">
        <v>95</v>
      </c>
      <c r="AF3648">
        <v>209.57</v>
      </c>
      <c r="AG3648">
        <v>0.27</v>
      </c>
      <c r="AH3648">
        <v>0.09</v>
      </c>
      <c r="AI3648">
        <v>-0.13</v>
      </c>
      <c r="AJ3648">
        <v>-0.11</v>
      </c>
      <c r="AK3648">
        <v>68</v>
      </c>
      <c r="AL3648">
        <v>88</v>
      </c>
      <c r="AM3648">
        <v>74</v>
      </c>
      <c r="AN3648">
        <v>1.35</v>
      </c>
      <c r="AO3648">
        <v>-2.62</v>
      </c>
      <c r="AP3648">
        <v>11</v>
      </c>
      <c r="AQ3648">
        <v>0</v>
      </c>
      <c r="AR3648">
        <v>7.04</v>
      </c>
      <c r="AS3648">
        <v>53</v>
      </c>
      <c r="AT3648">
        <v>3.3</v>
      </c>
      <c r="AU3648">
        <v>69</v>
      </c>
      <c r="AV3648">
        <v>-0.85</v>
      </c>
      <c r="AW3648">
        <v>83</v>
      </c>
      <c r="AX3648">
        <v>-0.5</v>
      </c>
      <c r="AY3648">
        <v>80</v>
      </c>
      <c r="AZ3648">
        <v>6.16</v>
      </c>
      <c r="BA3648">
        <v>55</v>
      </c>
      <c r="BB3648">
        <v>4.74</v>
      </c>
      <c r="BC3648">
        <v>64</v>
      </c>
      <c r="BD3648">
        <v>0.03</v>
      </c>
      <c r="BE3648">
        <v>7.0000000000000007E-2</v>
      </c>
      <c r="BF3648">
        <v>0.11</v>
      </c>
      <c r="BG3648">
        <v>84</v>
      </c>
      <c r="BH3648">
        <v>0.16</v>
      </c>
      <c r="BI3648">
        <v>10.74</v>
      </c>
      <c r="BJ3648">
        <v>22</v>
      </c>
      <c r="BK3648">
        <v>19</v>
      </c>
      <c r="BL3648">
        <v>0.31</v>
      </c>
      <c r="BM3648">
        <v>0.28999999999999998</v>
      </c>
      <c r="BN3648">
        <v>0.35</v>
      </c>
      <c r="BO3648">
        <v>7.0000000000000007E-2</v>
      </c>
      <c r="BP3648">
        <v>-0.46</v>
      </c>
      <c r="BQ3648">
        <v>-0.34</v>
      </c>
      <c r="BR3648">
        <v>0.18</v>
      </c>
      <c r="BS3648">
        <v>0.25</v>
      </c>
      <c r="BT3648">
        <v>-0.06</v>
      </c>
      <c r="BU3648">
        <v>0.34</v>
      </c>
      <c r="BV3648">
        <v>-0.08</v>
      </c>
      <c r="BW3648">
        <v>-0.11</v>
      </c>
      <c r="BX3648">
        <v>0.19</v>
      </c>
      <c r="BY3648">
        <v>0.5</v>
      </c>
      <c r="BZ3648">
        <v>-0.22</v>
      </c>
      <c r="CA3648">
        <v>0.06</v>
      </c>
      <c r="CB3648">
        <v>0.01</v>
      </c>
      <c r="CC3648">
        <v>0.12</v>
      </c>
      <c r="CD3648">
        <v>-0.1</v>
      </c>
      <c r="CE3648">
        <v>-7.0000000000000007E-2</v>
      </c>
      <c r="CF3648">
        <v>-0.22</v>
      </c>
      <c r="CG3648">
        <v>0</v>
      </c>
      <c r="CH3648">
        <v>0.35</v>
      </c>
      <c r="CI3648">
        <v>0</v>
      </c>
      <c r="CJ3648">
        <v>-1.1000000000000001</v>
      </c>
      <c r="CK3648">
        <v>89</v>
      </c>
      <c r="CL3648">
        <v>-0.33</v>
      </c>
      <c r="CM3648">
        <v>87</v>
      </c>
      <c r="CN3648">
        <v>-0.19</v>
      </c>
      <c r="CO3648">
        <v>85</v>
      </c>
      <c r="CP3648">
        <v>-5.2</v>
      </c>
      <c r="CQ3648">
        <v>90</v>
      </c>
      <c r="CR3648">
        <v>0</v>
      </c>
      <c r="CS3648">
        <v>0</v>
      </c>
      <c r="CT3648">
        <v>-13.2</v>
      </c>
      <c r="CU3648">
        <v>91</v>
      </c>
      <c r="CV3648">
        <v>0.06</v>
      </c>
      <c r="CW3648">
        <v>26</v>
      </c>
      <c r="CX3648" t="s">
        <v>265</v>
      </c>
    </row>
    <row r="3649" spans="1:102" x14ac:dyDescent="0.3">
      <c r="A3649" t="str">
        <f>HYPERLINK("https://webapp.icbf.com/v2/app/bull-search/view/77858470","DMS")</f>
        <v>DMS</v>
      </c>
      <c r="B3649" t="s">
        <v>11024</v>
      </c>
      <c r="C3649" t="s">
        <v>11025</v>
      </c>
      <c r="D3649" s="1">
        <v>34264</v>
      </c>
      <c r="E3649" t="s">
        <v>92</v>
      </c>
      <c r="F3649">
        <v>100</v>
      </c>
      <c r="G3649" t="s">
        <v>93</v>
      </c>
      <c r="H3649">
        <v>-51.61</v>
      </c>
      <c r="I3649">
        <v>72</v>
      </c>
      <c r="J3649">
        <v>-0.24</v>
      </c>
      <c r="K3649">
        <v>91</v>
      </c>
      <c r="L3649">
        <v>-54.87</v>
      </c>
      <c r="M3649">
        <v>61</v>
      </c>
      <c r="N3649">
        <v>2.74</v>
      </c>
      <c r="O3649">
        <v>61</v>
      </c>
      <c r="P3649">
        <v>-2.65</v>
      </c>
      <c r="Q3649">
        <v>74</v>
      </c>
      <c r="R3649">
        <v>-9.7899999999999991</v>
      </c>
      <c r="S3649">
        <v>66</v>
      </c>
      <c r="T3649">
        <v>13.97</v>
      </c>
      <c r="U3649">
        <v>66</v>
      </c>
      <c r="V3649">
        <v>-0.77</v>
      </c>
      <c r="W3649">
        <v>45</v>
      </c>
      <c r="X3649" t="s">
        <v>94</v>
      </c>
      <c r="Y3649" t="s">
        <v>95</v>
      </c>
      <c r="Z3649" t="s">
        <v>96</v>
      </c>
      <c r="AA3649" t="s">
        <v>485</v>
      </c>
      <c r="AB3649" t="s">
        <v>157</v>
      </c>
      <c r="AC3649">
        <v>52</v>
      </c>
      <c r="AD3649">
        <v>37</v>
      </c>
      <c r="AE3649">
        <v>91</v>
      </c>
      <c r="AF3649">
        <v>-25.88</v>
      </c>
      <c r="AG3649">
        <v>7.53</v>
      </c>
      <c r="AH3649">
        <v>-3.1</v>
      </c>
      <c r="AI3649">
        <v>0.14000000000000001</v>
      </c>
      <c r="AJ3649">
        <v>-0.04</v>
      </c>
      <c r="AK3649">
        <v>61</v>
      </c>
      <c r="AL3649">
        <v>65</v>
      </c>
      <c r="AM3649">
        <v>44</v>
      </c>
      <c r="AN3649">
        <v>2.65</v>
      </c>
      <c r="AO3649">
        <v>-1.73</v>
      </c>
      <c r="AP3649">
        <v>22</v>
      </c>
      <c r="AQ3649">
        <v>0</v>
      </c>
      <c r="AR3649">
        <v>8.35</v>
      </c>
      <c r="AS3649">
        <v>43</v>
      </c>
      <c r="AT3649">
        <v>3.77</v>
      </c>
      <c r="AU3649">
        <v>55</v>
      </c>
      <c r="AV3649">
        <v>-1.57</v>
      </c>
      <c r="AW3649">
        <v>73</v>
      </c>
      <c r="AX3649">
        <v>-0.13</v>
      </c>
      <c r="AY3649">
        <v>69</v>
      </c>
      <c r="AZ3649">
        <v>7.1</v>
      </c>
      <c r="BA3649">
        <v>36</v>
      </c>
      <c r="BB3649">
        <v>5.19</v>
      </c>
      <c r="BC3649">
        <v>47</v>
      </c>
      <c r="BD3649">
        <v>0.03</v>
      </c>
      <c r="BE3649">
        <v>0.05</v>
      </c>
      <c r="BF3649">
        <v>0.08</v>
      </c>
      <c r="BG3649">
        <v>82</v>
      </c>
      <c r="BH3649">
        <v>0.11</v>
      </c>
      <c r="BI3649">
        <v>15.2</v>
      </c>
      <c r="BJ3649">
        <v>21</v>
      </c>
      <c r="BK3649">
        <v>13</v>
      </c>
      <c r="BL3649">
        <v>-0.17</v>
      </c>
      <c r="BM3649">
        <v>-0.45</v>
      </c>
      <c r="BN3649">
        <v>-0.6</v>
      </c>
      <c r="BO3649">
        <v>-0.03</v>
      </c>
      <c r="BP3649">
        <v>-1.63</v>
      </c>
      <c r="BQ3649">
        <v>-1.22</v>
      </c>
      <c r="BR3649">
        <v>0.35</v>
      </c>
      <c r="BS3649">
        <v>-0.63</v>
      </c>
      <c r="BT3649">
        <v>0.57999999999999996</v>
      </c>
      <c r="BU3649">
        <v>-0.05</v>
      </c>
      <c r="BV3649">
        <v>0.12</v>
      </c>
      <c r="BW3649">
        <v>-0.56999999999999995</v>
      </c>
      <c r="BX3649">
        <v>-0.46</v>
      </c>
      <c r="BY3649">
        <v>-7.0000000000000007E-2</v>
      </c>
      <c r="BZ3649">
        <v>-1.24</v>
      </c>
      <c r="CA3649">
        <v>-0.21</v>
      </c>
      <c r="CB3649">
        <v>0.03</v>
      </c>
      <c r="CC3649">
        <v>-0.66</v>
      </c>
      <c r="CD3649">
        <v>-0.25</v>
      </c>
      <c r="CE3649">
        <v>0.09</v>
      </c>
      <c r="CF3649">
        <v>-1.1399999999999999</v>
      </c>
      <c r="CG3649">
        <v>0</v>
      </c>
      <c r="CH3649">
        <v>0.19</v>
      </c>
      <c r="CI3649">
        <v>0</v>
      </c>
      <c r="CJ3649">
        <v>0.4</v>
      </c>
      <c r="CK3649">
        <v>75</v>
      </c>
      <c r="CL3649">
        <v>-0.28000000000000003</v>
      </c>
      <c r="CM3649">
        <v>72</v>
      </c>
      <c r="CN3649">
        <v>-0.13</v>
      </c>
      <c r="CO3649">
        <v>68</v>
      </c>
      <c r="CP3649">
        <v>-12.2</v>
      </c>
      <c r="CQ3649">
        <v>78</v>
      </c>
      <c r="CR3649">
        <v>0</v>
      </c>
      <c r="CS3649">
        <v>0</v>
      </c>
      <c r="CT3649">
        <v>-5.0999999999999996</v>
      </c>
      <c r="CU3649">
        <v>66</v>
      </c>
      <c r="CV3649">
        <v>0.03</v>
      </c>
      <c r="CW3649">
        <v>22</v>
      </c>
      <c r="CX3649" t="s">
        <v>158</v>
      </c>
    </row>
    <row r="3650" spans="1:102" x14ac:dyDescent="0.3">
      <c r="A3650" t="str">
        <f>HYPERLINK("https://webapp.icbf.com/v2/app/bull-search/view/1029883791","ZKE")</f>
        <v>ZKE</v>
      </c>
      <c r="B3650" t="s">
        <v>6800</v>
      </c>
      <c r="C3650" t="s">
        <v>6801</v>
      </c>
      <c r="D3650" s="1">
        <v>40108</v>
      </c>
      <c r="E3650" t="s">
        <v>140</v>
      </c>
      <c r="F3650">
        <v>0</v>
      </c>
      <c r="G3650" t="s">
        <v>109</v>
      </c>
      <c r="H3650">
        <v>-51.75</v>
      </c>
      <c r="I3650">
        <v>68</v>
      </c>
      <c r="J3650">
        <v>-9.01</v>
      </c>
      <c r="K3650">
        <v>86</v>
      </c>
      <c r="L3650">
        <v>-5.2</v>
      </c>
      <c r="M3650">
        <v>57</v>
      </c>
      <c r="N3650">
        <v>-45.48</v>
      </c>
      <c r="O3650">
        <v>64</v>
      </c>
      <c r="P3650">
        <v>14.04</v>
      </c>
      <c r="Q3650">
        <v>76</v>
      </c>
      <c r="R3650">
        <v>0.67</v>
      </c>
      <c r="S3650">
        <v>59</v>
      </c>
      <c r="T3650">
        <v>2.13</v>
      </c>
      <c r="U3650">
        <v>49</v>
      </c>
      <c r="V3650">
        <v>-8.9</v>
      </c>
      <c r="W3650">
        <v>52</v>
      </c>
      <c r="X3650" t="s">
        <v>102</v>
      </c>
      <c r="Y3650" t="s">
        <v>5587</v>
      </c>
      <c r="Z3650">
        <v>0</v>
      </c>
      <c r="AA3650" t="s">
        <v>6802</v>
      </c>
      <c r="AB3650" t="s">
        <v>6803</v>
      </c>
      <c r="AC3650">
        <v>0</v>
      </c>
      <c r="AD3650">
        <v>0</v>
      </c>
      <c r="AE3650">
        <v>86</v>
      </c>
      <c r="AF3650">
        <v>-50.51</v>
      </c>
      <c r="AG3650">
        <v>-3.21</v>
      </c>
      <c r="AH3650">
        <v>-1.17</v>
      </c>
      <c r="AI3650">
        <v>-0.02</v>
      </c>
      <c r="AJ3650">
        <v>0.01</v>
      </c>
      <c r="AK3650">
        <v>57</v>
      </c>
      <c r="AL3650">
        <v>15</v>
      </c>
      <c r="AM3650">
        <v>8</v>
      </c>
      <c r="AN3650">
        <v>1.42</v>
      </c>
      <c r="AO3650">
        <v>1.02</v>
      </c>
      <c r="AP3650">
        <v>36</v>
      </c>
      <c r="AQ3650">
        <v>0</v>
      </c>
      <c r="AR3650">
        <v>10.39</v>
      </c>
      <c r="AS3650">
        <v>43</v>
      </c>
      <c r="AT3650">
        <v>5.61</v>
      </c>
      <c r="AU3650">
        <v>62</v>
      </c>
      <c r="AV3650">
        <v>1.36</v>
      </c>
      <c r="AW3650">
        <v>81</v>
      </c>
      <c r="AX3650">
        <v>1.04</v>
      </c>
      <c r="AY3650">
        <v>58</v>
      </c>
      <c r="AZ3650">
        <v>5.54</v>
      </c>
      <c r="BA3650">
        <v>37</v>
      </c>
      <c r="BB3650">
        <v>4.3499999999999996</v>
      </c>
      <c r="BC3650">
        <v>35</v>
      </c>
      <c r="BD3650">
        <v>0.04</v>
      </c>
      <c r="BE3650">
        <v>0.02</v>
      </c>
      <c r="BF3650">
        <v>-0.12</v>
      </c>
      <c r="BG3650">
        <v>67</v>
      </c>
      <c r="BH3650">
        <v>-0.24</v>
      </c>
      <c r="BI3650">
        <v>0.94</v>
      </c>
      <c r="BJ3650">
        <v>0</v>
      </c>
      <c r="BK3650">
        <v>0</v>
      </c>
      <c r="BL3650">
        <v>-0.73</v>
      </c>
      <c r="BM3650">
        <v>3.63</v>
      </c>
      <c r="BN3650">
        <v>-1.58</v>
      </c>
      <c r="BO3650">
        <v>-3.02</v>
      </c>
      <c r="BP3650">
        <v>4.37</v>
      </c>
      <c r="BQ3650">
        <v>-1.85</v>
      </c>
      <c r="BR3650">
        <v>-2.59</v>
      </c>
      <c r="BS3650">
        <v>-0.33</v>
      </c>
      <c r="BT3650">
        <v>2.57</v>
      </c>
      <c r="BU3650">
        <v>-3.35</v>
      </c>
      <c r="BV3650">
        <v>-3.77</v>
      </c>
      <c r="BW3650">
        <v>-2.87</v>
      </c>
      <c r="BX3650">
        <v>-2.71</v>
      </c>
      <c r="BY3650">
        <v>-1.97</v>
      </c>
      <c r="BZ3650">
        <v>1.19</v>
      </c>
      <c r="CA3650">
        <v>-2.46</v>
      </c>
      <c r="CB3650">
        <v>-3.17</v>
      </c>
      <c r="CC3650">
        <v>-0.37</v>
      </c>
      <c r="CD3650">
        <v>3.9</v>
      </c>
      <c r="CE3650">
        <v>-2.99</v>
      </c>
      <c r="CF3650">
        <v>-1.05</v>
      </c>
      <c r="CG3650">
        <v>0</v>
      </c>
      <c r="CH3650">
        <v>-2.64</v>
      </c>
      <c r="CI3650">
        <v>0</v>
      </c>
      <c r="CJ3650">
        <v>6</v>
      </c>
      <c r="CK3650">
        <v>79</v>
      </c>
      <c r="CL3650">
        <v>0.19</v>
      </c>
      <c r="CM3650">
        <v>75</v>
      </c>
      <c r="CN3650">
        <v>-0.25</v>
      </c>
      <c r="CO3650">
        <v>73</v>
      </c>
      <c r="CP3650">
        <v>5.8</v>
      </c>
      <c r="CQ3650">
        <v>60</v>
      </c>
      <c r="CR3650">
        <v>0</v>
      </c>
      <c r="CS3650">
        <v>0</v>
      </c>
      <c r="CT3650">
        <v>10.9</v>
      </c>
      <c r="CU3650">
        <v>49</v>
      </c>
      <c r="CV3650">
        <v>0.23</v>
      </c>
      <c r="CW3650">
        <v>41</v>
      </c>
      <c r="CX3650" t="s">
        <v>6804</v>
      </c>
    </row>
    <row r="3651" spans="1:102" x14ac:dyDescent="0.3">
      <c r="A3651" t="str">
        <f>HYPERLINK("https://webapp.icbf.com/v2/app/bull-search/view/77854591","OMT")</f>
        <v>OMT</v>
      </c>
      <c r="B3651" t="s">
        <v>2838</v>
      </c>
      <c r="C3651" t="s">
        <v>2839</v>
      </c>
      <c r="D3651" s="1">
        <v>34596</v>
      </c>
      <c r="E3651" t="s">
        <v>92</v>
      </c>
      <c r="F3651">
        <v>100</v>
      </c>
      <c r="G3651" t="s">
        <v>93</v>
      </c>
      <c r="H3651">
        <v>-51.94</v>
      </c>
      <c r="I3651">
        <v>86</v>
      </c>
      <c r="J3651">
        <v>-18.93</v>
      </c>
      <c r="K3651">
        <v>96</v>
      </c>
      <c r="L3651">
        <v>-53.24</v>
      </c>
      <c r="M3651">
        <v>86</v>
      </c>
      <c r="N3651">
        <v>2.23</v>
      </c>
      <c r="O3651">
        <v>78</v>
      </c>
      <c r="P3651">
        <v>0.45</v>
      </c>
      <c r="Q3651">
        <v>89</v>
      </c>
      <c r="R3651">
        <v>1.87</v>
      </c>
      <c r="S3651">
        <v>73</v>
      </c>
      <c r="T3651">
        <v>11.24</v>
      </c>
      <c r="U3651">
        <v>81</v>
      </c>
      <c r="V3651">
        <v>4.4400000000000004</v>
      </c>
      <c r="W3651">
        <v>40</v>
      </c>
      <c r="X3651" t="s">
        <v>251</v>
      </c>
      <c r="Y3651" t="s">
        <v>95</v>
      </c>
      <c r="Z3651" t="s">
        <v>96</v>
      </c>
      <c r="AA3651" t="s">
        <v>485</v>
      </c>
      <c r="AB3651" t="s">
        <v>2840</v>
      </c>
      <c r="AC3651">
        <v>94</v>
      </c>
      <c r="AD3651">
        <v>45</v>
      </c>
      <c r="AE3651">
        <v>96</v>
      </c>
      <c r="AF3651">
        <v>364.11</v>
      </c>
      <c r="AG3651">
        <v>-1.46</v>
      </c>
      <c r="AH3651">
        <v>2.87</v>
      </c>
      <c r="AI3651">
        <v>-0.24</v>
      </c>
      <c r="AJ3651">
        <v>-0.15</v>
      </c>
      <c r="AK3651">
        <v>86</v>
      </c>
      <c r="AL3651">
        <v>89</v>
      </c>
      <c r="AM3651">
        <v>43</v>
      </c>
      <c r="AN3651">
        <v>4.1399999999999997</v>
      </c>
      <c r="AO3651">
        <v>-0.09</v>
      </c>
      <c r="AP3651">
        <v>42</v>
      </c>
      <c r="AQ3651">
        <v>2</v>
      </c>
      <c r="AR3651">
        <v>5.14</v>
      </c>
      <c r="AS3651">
        <v>62</v>
      </c>
      <c r="AT3651">
        <v>2.41</v>
      </c>
      <c r="AU3651">
        <v>83</v>
      </c>
      <c r="AV3651">
        <v>0.44</v>
      </c>
      <c r="AW3651">
        <v>83</v>
      </c>
      <c r="AX3651">
        <v>0.1</v>
      </c>
      <c r="AY3651">
        <v>78</v>
      </c>
      <c r="AZ3651">
        <v>7.31</v>
      </c>
      <c r="BA3651">
        <v>61</v>
      </c>
      <c r="BB3651">
        <v>5.77</v>
      </c>
      <c r="BC3651">
        <v>63</v>
      </c>
      <c r="BD3651">
        <v>0.03</v>
      </c>
      <c r="BE3651">
        <v>0.03</v>
      </c>
      <c r="BF3651">
        <v>-0.15</v>
      </c>
      <c r="BG3651">
        <v>88</v>
      </c>
      <c r="BH3651">
        <v>0.17</v>
      </c>
      <c r="BI3651">
        <v>5.34</v>
      </c>
      <c r="BJ3651">
        <v>36</v>
      </c>
      <c r="BK3651">
        <v>17</v>
      </c>
      <c r="BL3651">
        <v>-7.0000000000000007E-2</v>
      </c>
      <c r="BM3651">
        <v>-1.52</v>
      </c>
      <c r="BN3651">
        <v>-0.62</v>
      </c>
      <c r="BO3651">
        <v>0.23</v>
      </c>
      <c r="BP3651">
        <v>-0.1</v>
      </c>
      <c r="BQ3651">
        <v>-0.55000000000000004</v>
      </c>
      <c r="BR3651">
        <v>0.1</v>
      </c>
      <c r="BS3651">
        <v>1.0900000000000001</v>
      </c>
      <c r="BT3651">
        <v>0.01</v>
      </c>
      <c r="BU3651">
        <v>2.58</v>
      </c>
      <c r="BV3651">
        <v>2.2599999999999998</v>
      </c>
      <c r="BW3651">
        <v>1.1499999999999999</v>
      </c>
      <c r="BX3651">
        <v>2.2599999999999998</v>
      </c>
      <c r="BY3651">
        <v>0.98</v>
      </c>
      <c r="BZ3651">
        <v>-1.36</v>
      </c>
      <c r="CA3651">
        <v>1.88</v>
      </c>
      <c r="CB3651">
        <v>2.16</v>
      </c>
      <c r="CC3651">
        <v>0.37</v>
      </c>
      <c r="CD3651">
        <v>-0.56999999999999995</v>
      </c>
      <c r="CE3651">
        <v>0.86</v>
      </c>
      <c r="CF3651">
        <v>-0.33</v>
      </c>
      <c r="CG3651">
        <v>0</v>
      </c>
      <c r="CH3651">
        <v>1.53</v>
      </c>
      <c r="CI3651">
        <v>0</v>
      </c>
      <c r="CJ3651">
        <v>1.7</v>
      </c>
      <c r="CK3651">
        <v>90</v>
      </c>
      <c r="CL3651">
        <v>-0.61</v>
      </c>
      <c r="CM3651">
        <v>88</v>
      </c>
      <c r="CN3651">
        <v>-0.45</v>
      </c>
      <c r="CO3651">
        <v>86</v>
      </c>
      <c r="CP3651">
        <v>-5.8</v>
      </c>
      <c r="CQ3651">
        <v>90</v>
      </c>
      <c r="CR3651">
        <v>0</v>
      </c>
      <c r="CS3651">
        <v>0</v>
      </c>
      <c r="CT3651">
        <v>-1.4</v>
      </c>
      <c r="CU3651">
        <v>81</v>
      </c>
      <c r="CV3651">
        <v>0.21</v>
      </c>
      <c r="CW3651">
        <v>27</v>
      </c>
      <c r="CX3651" t="s">
        <v>111</v>
      </c>
    </row>
    <row r="3652" spans="1:102" x14ac:dyDescent="0.3">
      <c r="A3652" t="str">
        <f>HYPERLINK("https://webapp.icbf.com/v2/app/bull-search/view/69092743","SWL")</f>
        <v>SWL</v>
      </c>
      <c r="B3652" t="s">
        <v>114</v>
      </c>
      <c r="C3652" t="s">
        <v>115</v>
      </c>
      <c r="D3652" s="1">
        <v>33158</v>
      </c>
      <c r="E3652" t="s">
        <v>92</v>
      </c>
      <c r="F3652">
        <v>100</v>
      </c>
      <c r="G3652" t="s">
        <v>116</v>
      </c>
      <c r="H3652">
        <v>-51.98</v>
      </c>
      <c r="I3652">
        <v>42</v>
      </c>
      <c r="J3652">
        <v>17.329999999999998</v>
      </c>
      <c r="K3652">
        <v>43</v>
      </c>
      <c r="L3652">
        <v>-69.41</v>
      </c>
      <c r="M3652">
        <v>36</v>
      </c>
      <c r="N3652">
        <v>0.56999999999999995</v>
      </c>
      <c r="O3652">
        <v>41</v>
      </c>
      <c r="P3652">
        <v>-13.69</v>
      </c>
      <c r="Q3652">
        <v>65</v>
      </c>
      <c r="R3652">
        <v>-8.58</v>
      </c>
      <c r="S3652">
        <v>34</v>
      </c>
      <c r="T3652">
        <v>23.08</v>
      </c>
      <c r="U3652">
        <v>59</v>
      </c>
      <c r="V3652">
        <v>-1.28</v>
      </c>
      <c r="W3652">
        <v>24</v>
      </c>
      <c r="X3652" t="s">
        <v>94</v>
      </c>
      <c r="Y3652" t="s">
        <v>117</v>
      </c>
      <c r="Z3652" t="s">
        <v>96</v>
      </c>
      <c r="AA3652" t="s">
        <v>118</v>
      </c>
      <c r="AB3652" t="s">
        <v>119</v>
      </c>
      <c r="AC3652">
        <v>5</v>
      </c>
      <c r="AD3652">
        <v>5</v>
      </c>
      <c r="AE3652">
        <v>43</v>
      </c>
      <c r="AF3652">
        <v>-240.93</v>
      </c>
      <c r="AG3652">
        <v>-0.31</v>
      </c>
      <c r="AH3652">
        <v>-0.63</v>
      </c>
      <c r="AI3652">
        <v>0.16</v>
      </c>
      <c r="AJ3652">
        <v>0.13</v>
      </c>
      <c r="AK3652">
        <v>36</v>
      </c>
      <c r="AL3652">
        <v>9</v>
      </c>
      <c r="AM3652">
        <v>5</v>
      </c>
      <c r="AN3652">
        <v>3.41</v>
      </c>
      <c r="AO3652">
        <v>-2.13</v>
      </c>
      <c r="AP3652">
        <v>18</v>
      </c>
      <c r="AQ3652">
        <v>0</v>
      </c>
      <c r="AR3652">
        <v>7.12</v>
      </c>
      <c r="AS3652">
        <v>51</v>
      </c>
      <c r="AT3652">
        <v>3.38</v>
      </c>
      <c r="AU3652">
        <v>33</v>
      </c>
      <c r="AV3652">
        <v>-0.11</v>
      </c>
      <c r="AW3652">
        <v>49</v>
      </c>
      <c r="AX3652">
        <v>-0.57999999999999996</v>
      </c>
      <c r="AY3652">
        <v>42</v>
      </c>
      <c r="AZ3652">
        <v>6.63</v>
      </c>
      <c r="BA3652">
        <v>27</v>
      </c>
      <c r="BB3652">
        <v>5.1100000000000003</v>
      </c>
      <c r="BC3652">
        <v>31</v>
      </c>
      <c r="BD3652">
        <v>0.05</v>
      </c>
      <c r="BE3652">
        <v>0.06</v>
      </c>
      <c r="BF3652">
        <v>0</v>
      </c>
      <c r="BG3652">
        <v>37</v>
      </c>
      <c r="BH3652">
        <v>-0.02</v>
      </c>
      <c r="BI3652">
        <v>1.8</v>
      </c>
      <c r="BJ3652">
        <v>0</v>
      </c>
      <c r="BK3652">
        <v>0</v>
      </c>
      <c r="BL3652">
        <v>0.43</v>
      </c>
      <c r="BM3652">
        <v>0.47</v>
      </c>
      <c r="BN3652">
        <v>0.68</v>
      </c>
      <c r="BO3652">
        <v>0.09</v>
      </c>
      <c r="BP3652">
        <v>-0.4</v>
      </c>
      <c r="BQ3652">
        <v>-7.0000000000000007E-2</v>
      </c>
      <c r="BR3652">
        <v>-1.17</v>
      </c>
      <c r="BS3652">
        <v>0.17</v>
      </c>
      <c r="BT3652">
        <v>0.96</v>
      </c>
      <c r="BU3652">
        <v>-0.39</v>
      </c>
      <c r="BV3652">
        <v>-0.12</v>
      </c>
      <c r="BW3652">
        <v>-0.03</v>
      </c>
      <c r="BX3652">
        <v>-0.3</v>
      </c>
      <c r="BY3652">
        <v>-0.09</v>
      </c>
      <c r="BZ3652">
        <v>-1.02</v>
      </c>
      <c r="CA3652">
        <v>0.09</v>
      </c>
      <c r="CB3652">
        <v>-0.19</v>
      </c>
      <c r="CC3652">
        <v>0.57999999999999996</v>
      </c>
      <c r="CD3652">
        <v>0.05</v>
      </c>
      <c r="CE3652">
        <v>0.17</v>
      </c>
      <c r="CF3652">
        <v>0.51</v>
      </c>
      <c r="CG3652">
        <v>0</v>
      </c>
      <c r="CH3652">
        <v>-7.0000000000000007E-2</v>
      </c>
      <c r="CI3652">
        <v>0</v>
      </c>
      <c r="CJ3652">
        <v>-6.7</v>
      </c>
      <c r="CK3652">
        <v>68</v>
      </c>
      <c r="CL3652">
        <v>-0.39</v>
      </c>
      <c r="CM3652">
        <v>63</v>
      </c>
      <c r="CN3652">
        <v>-0.14000000000000001</v>
      </c>
      <c r="CO3652">
        <v>60</v>
      </c>
      <c r="CP3652">
        <v>-13.7</v>
      </c>
      <c r="CQ3652">
        <v>60</v>
      </c>
      <c r="CR3652">
        <v>0</v>
      </c>
      <c r="CS3652">
        <v>0</v>
      </c>
      <c r="CT3652">
        <v>-17.399999999999999</v>
      </c>
      <c r="CU3652">
        <v>59</v>
      </c>
      <c r="CV3652">
        <v>0.06</v>
      </c>
      <c r="CW3652">
        <v>19</v>
      </c>
      <c r="CX3652" t="s">
        <v>120</v>
      </c>
    </row>
    <row r="3653" spans="1:102" x14ac:dyDescent="0.3">
      <c r="A3653" t="str">
        <f>HYPERLINK("https://webapp.icbf.com/v2/app/bull-search/view/77854075","ROM")</f>
        <v>ROM</v>
      </c>
      <c r="B3653" t="s">
        <v>8854</v>
      </c>
      <c r="C3653" t="s">
        <v>8855</v>
      </c>
      <c r="D3653" s="1">
        <v>35421</v>
      </c>
      <c r="E3653" t="s">
        <v>92</v>
      </c>
      <c r="F3653">
        <v>100</v>
      </c>
      <c r="G3653" t="s">
        <v>93</v>
      </c>
      <c r="H3653">
        <v>-52.08</v>
      </c>
      <c r="I3653">
        <v>86</v>
      </c>
      <c r="J3653">
        <v>-17.22</v>
      </c>
      <c r="K3653">
        <v>97</v>
      </c>
      <c r="L3653">
        <v>-44.93</v>
      </c>
      <c r="M3653">
        <v>80</v>
      </c>
      <c r="N3653">
        <v>7.31</v>
      </c>
      <c r="O3653">
        <v>78</v>
      </c>
      <c r="P3653">
        <v>-12.6</v>
      </c>
      <c r="Q3653">
        <v>88</v>
      </c>
      <c r="R3653">
        <v>2.0699999999999998</v>
      </c>
      <c r="S3653">
        <v>79</v>
      </c>
      <c r="T3653">
        <v>11.68</v>
      </c>
      <c r="U3653">
        <v>84</v>
      </c>
      <c r="V3653">
        <v>1.61</v>
      </c>
      <c r="W3653">
        <v>76</v>
      </c>
      <c r="X3653" t="s">
        <v>94</v>
      </c>
      <c r="Y3653" t="s">
        <v>95</v>
      </c>
      <c r="Z3653" t="s">
        <v>96</v>
      </c>
      <c r="AA3653" t="s">
        <v>1008</v>
      </c>
      <c r="AB3653" t="s">
        <v>444</v>
      </c>
      <c r="AC3653">
        <v>106</v>
      </c>
      <c r="AD3653">
        <v>72</v>
      </c>
      <c r="AE3653">
        <v>97</v>
      </c>
      <c r="AF3653">
        <v>150.16</v>
      </c>
      <c r="AG3653">
        <v>-3.59</v>
      </c>
      <c r="AH3653">
        <v>0.64</v>
      </c>
      <c r="AI3653">
        <v>-0.16</v>
      </c>
      <c r="AJ3653">
        <v>-0.08</v>
      </c>
      <c r="AK3653">
        <v>80</v>
      </c>
      <c r="AL3653">
        <v>95</v>
      </c>
      <c r="AM3653">
        <v>65</v>
      </c>
      <c r="AN3653">
        <v>2.72</v>
      </c>
      <c r="AO3653">
        <v>-0.86</v>
      </c>
      <c r="AP3653">
        <v>10</v>
      </c>
      <c r="AQ3653">
        <v>5</v>
      </c>
      <c r="AR3653">
        <v>8.8000000000000007</v>
      </c>
      <c r="AS3653">
        <v>62</v>
      </c>
      <c r="AT3653">
        <v>3.36</v>
      </c>
      <c r="AU3653">
        <v>81</v>
      </c>
      <c r="AV3653">
        <v>-1.1299999999999999</v>
      </c>
      <c r="AW3653">
        <v>83</v>
      </c>
      <c r="AX3653">
        <v>-0.84</v>
      </c>
      <c r="AY3653">
        <v>81</v>
      </c>
      <c r="AZ3653">
        <v>6.35</v>
      </c>
      <c r="BA3653">
        <v>57</v>
      </c>
      <c r="BB3653">
        <v>4.7</v>
      </c>
      <c r="BC3653">
        <v>71</v>
      </c>
      <c r="BD3653">
        <v>-0.01</v>
      </c>
      <c r="BE3653">
        <v>0.01</v>
      </c>
      <c r="BF3653">
        <v>-0.05</v>
      </c>
      <c r="BG3653">
        <v>90</v>
      </c>
      <c r="BH3653">
        <v>0.01</v>
      </c>
      <c r="BI3653">
        <v>-4.05</v>
      </c>
      <c r="BJ3653">
        <v>9</v>
      </c>
      <c r="BK3653">
        <v>7</v>
      </c>
      <c r="BL3653">
        <v>0.42</v>
      </c>
      <c r="BM3653">
        <v>-1.0900000000000001</v>
      </c>
      <c r="BN3653">
        <v>0.08</v>
      </c>
      <c r="BO3653">
        <v>0.71</v>
      </c>
      <c r="BP3653">
        <v>0.77</v>
      </c>
      <c r="BQ3653">
        <v>0.56999999999999995</v>
      </c>
      <c r="BR3653">
        <v>-2</v>
      </c>
      <c r="BS3653">
        <v>0.63</v>
      </c>
      <c r="BT3653">
        <v>1.24</v>
      </c>
      <c r="BU3653">
        <v>-0.05</v>
      </c>
      <c r="BV3653">
        <v>0.47</v>
      </c>
      <c r="BW3653">
        <v>0.78</v>
      </c>
      <c r="BX3653">
        <v>0.35</v>
      </c>
      <c r="BY3653">
        <v>1.1399999999999999</v>
      </c>
      <c r="BZ3653">
        <v>-1.2</v>
      </c>
      <c r="CA3653">
        <v>0.87</v>
      </c>
      <c r="CB3653">
        <v>0.48</v>
      </c>
      <c r="CC3653">
        <v>1.21</v>
      </c>
      <c r="CD3653">
        <v>-1.1200000000000001</v>
      </c>
      <c r="CE3653">
        <v>0.7</v>
      </c>
      <c r="CF3653">
        <v>-0.49</v>
      </c>
      <c r="CG3653">
        <v>0</v>
      </c>
      <c r="CH3653">
        <v>0.72</v>
      </c>
      <c r="CI3653">
        <v>0</v>
      </c>
      <c r="CJ3653">
        <v>-3.4</v>
      </c>
      <c r="CK3653">
        <v>89</v>
      </c>
      <c r="CL3653">
        <v>-0.83</v>
      </c>
      <c r="CM3653">
        <v>87</v>
      </c>
      <c r="CN3653">
        <v>-0.15</v>
      </c>
      <c r="CO3653">
        <v>85</v>
      </c>
      <c r="CP3653">
        <v>-7.3</v>
      </c>
      <c r="CQ3653">
        <v>89</v>
      </c>
      <c r="CR3653">
        <v>0</v>
      </c>
      <c r="CS3653">
        <v>0</v>
      </c>
      <c r="CT3653">
        <v>-2</v>
      </c>
      <c r="CU3653">
        <v>84</v>
      </c>
      <c r="CV3653">
        <v>0.13</v>
      </c>
      <c r="CW3653">
        <v>43</v>
      </c>
      <c r="CX3653" t="s">
        <v>485</v>
      </c>
    </row>
    <row r="3654" spans="1:102" x14ac:dyDescent="0.3">
      <c r="A3654" t="str">
        <f>HYPERLINK("https://webapp.icbf.com/v2/app/bull-search/view/747874490","S1320")</f>
        <v>S1320</v>
      </c>
      <c r="B3654" t="s">
        <v>7253</v>
      </c>
      <c r="C3654" t="s">
        <v>7254</v>
      </c>
      <c r="D3654" s="1">
        <v>38987</v>
      </c>
      <c r="E3654" t="s">
        <v>1061</v>
      </c>
      <c r="F3654">
        <v>0</v>
      </c>
      <c r="G3654" t="s">
        <v>109</v>
      </c>
      <c r="H3654">
        <v>-52.1</v>
      </c>
      <c r="I3654">
        <v>53</v>
      </c>
      <c r="J3654">
        <v>-55.29</v>
      </c>
      <c r="K3654">
        <v>66</v>
      </c>
      <c r="L3654">
        <v>28</v>
      </c>
      <c r="M3654">
        <v>48</v>
      </c>
      <c r="N3654">
        <v>-19.809999999999999</v>
      </c>
      <c r="O3654">
        <v>48</v>
      </c>
      <c r="P3654">
        <v>-21.31</v>
      </c>
      <c r="Q3654">
        <v>63</v>
      </c>
      <c r="R3654">
        <v>0.15</v>
      </c>
      <c r="S3654">
        <v>24</v>
      </c>
      <c r="T3654">
        <v>20.56</v>
      </c>
      <c r="U3654">
        <v>34</v>
      </c>
      <c r="V3654">
        <v>-4.4000000000000004</v>
      </c>
      <c r="W3654">
        <v>35</v>
      </c>
      <c r="X3654" t="s">
        <v>1645</v>
      </c>
      <c r="Y3654" t="s">
        <v>342</v>
      </c>
      <c r="Z3654">
        <v>0</v>
      </c>
      <c r="AA3654" t="s">
        <v>7255</v>
      </c>
      <c r="AB3654" t="s">
        <v>7256</v>
      </c>
      <c r="AC3654">
        <v>0</v>
      </c>
      <c r="AD3654">
        <v>0</v>
      </c>
      <c r="AE3654">
        <v>66</v>
      </c>
      <c r="AF3654">
        <v>-261.77</v>
      </c>
      <c r="AG3654">
        <v>-10.119999999999999</v>
      </c>
      <c r="AH3654">
        <v>-9.83</v>
      </c>
      <c r="AI3654">
        <v>0</v>
      </c>
      <c r="AJ3654">
        <v>-0.01</v>
      </c>
      <c r="AK3654">
        <v>48</v>
      </c>
      <c r="AL3654">
        <v>0</v>
      </c>
      <c r="AM3654">
        <v>0</v>
      </c>
      <c r="AN3654">
        <v>-0.96</v>
      </c>
      <c r="AO3654">
        <v>1.28</v>
      </c>
      <c r="AP3654">
        <v>46</v>
      </c>
      <c r="AQ3654">
        <v>0</v>
      </c>
      <c r="AR3654">
        <v>9.7899999999999991</v>
      </c>
      <c r="AS3654">
        <v>45</v>
      </c>
      <c r="AT3654">
        <v>3.9</v>
      </c>
      <c r="AU3654">
        <v>48</v>
      </c>
      <c r="AV3654">
        <v>-0.55000000000000004</v>
      </c>
      <c r="AW3654">
        <v>61</v>
      </c>
      <c r="AX3654">
        <v>0.91</v>
      </c>
      <c r="AY3654">
        <v>40</v>
      </c>
      <c r="AZ3654">
        <v>8.1</v>
      </c>
      <c r="BA3654">
        <v>26</v>
      </c>
      <c r="BB3654">
        <v>5.98</v>
      </c>
      <c r="BC3654">
        <v>22</v>
      </c>
      <c r="BD3654">
        <v>0.01</v>
      </c>
      <c r="BE3654">
        <v>0</v>
      </c>
      <c r="BF3654">
        <v>-0.02</v>
      </c>
      <c r="BG3654">
        <v>32</v>
      </c>
      <c r="BH3654">
        <v>-0.15</v>
      </c>
      <c r="BI3654">
        <v>-3.15</v>
      </c>
      <c r="BJ3654">
        <v>0</v>
      </c>
      <c r="BK3654">
        <v>0</v>
      </c>
      <c r="BL3654">
        <v>0</v>
      </c>
      <c r="BM3654">
        <v>0</v>
      </c>
      <c r="BN3654">
        <v>0</v>
      </c>
      <c r="BO3654">
        <v>0</v>
      </c>
      <c r="BP3654">
        <v>0</v>
      </c>
      <c r="BQ3654">
        <v>0</v>
      </c>
      <c r="BR3654">
        <v>0</v>
      </c>
      <c r="BS3654">
        <v>0</v>
      </c>
      <c r="BT3654">
        <v>0</v>
      </c>
      <c r="BU3654">
        <v>0</v>
      </c>
      <c r="BV3654">
        <v>0</v>
      </c>
      <c r="BW3654">
        <v>0</v>
      </c>
      <c r="BX3654">
        <v>0</v>
      </c>
      <c r="BY3654">
        <v>0</v>
      </c>
      <c r="BZ3654">
        <v>0</v>
      </c>
      <c r="CA3654">
        <v>0</v>
      </c>
      <c r="CB3654">
        <v>0</v>
      </c>
      <c r="CC3654">
        <v>0</v>
      </c>
      <c r="CD3654">
        <v>0</v>
      </c>
      <c r="CE3654">
        <v>0</v>
      </c>
      <c r="CF3654">
        <v>0</v>
      </c>
      <c r="CG3654">
        <v>0</v>
      </c>
      <c r="CH3654">
        <v>0</v>
      </c>
      <c r="CI3654">
        <v>0</v>
      </c>
      <c r="CJ3654">
        <v>-11</v>
      </c>
      <c r="CK3654">
        <v>67</v>
      </c>
      <c r="CL3654">
        <v>-0.72</v>
      </c>
      <c r="CM3654">
        <v>62</v>
      </c>
      <c r="CN3654">
        <v>-0.26</v>
      </c>
      <c r="CO3654">
        <v>58</v>
      </c>
      <c r="CP3654">
        <v>-11.6</v>
      </c>
      <c r="CQ3654">
        <v>46</v>
      </c>
      <c r="CR3654">
        <v>0</v>
      </c>
      <c r="CS3654">
        <v>0</v>
      </c>
      <c r="CT3654">
        <v>-14</v>
      </c>
      <c r="CU3654">
        <v>34</v>
      </c>
      <c r="CV3654">
        <v>-0.13</v>
      </c>
      <c r="CW3654">
        <v>17</v>
      </c>
      <c r="CX3654" t="s">
        <v>7257</v>
      </c>
    </row>
    <row r="3655" spans="1:102" x14ac:dyDescent="0.3">
      <c r="A3655" t="str">
        <f>HYPERLINK("https://webapp.icbf.com/v2/app/bull-search/view/120555711","BPL")</f>
        <v>BPL</v>
      </c>
      <c r="B3655" t="s">
        <v>3917</v>
      </c>
      <c r="C3655" t="s">
        <v>3918</v>
      </c>
      <c r="D3655" s="1">
        <v>36798</v>
      </c>
      <c r="E3655" t="s">
        <v>92</v>
      </c>
      <c r="F3655">
        <v>100</v>
      </c>
      <c r="G3655" t="s">
        <v>93</v>
      </c>
      <c r="H3655">
        <v>-52.15</v>
      </c>
      <c r="I3655">
        <v>87</v>
      </c>
      <c r="J3655">
        <v>-23.55</v>
      </c>
      <c r="K3655">
        <v>97</v>
      </c>
      <c r="L3655">
        <v>-7.87</v>
      </c>
      <c r="M3655">
        <v>80</v>
      </c>
      <c r="N3655">
        <v>-44.36</v>
      </c>
      <c r="O3655">
        <v>86</v>
      </c>
      <c r="P3655">
        <v>2.63</v>
      </c>
      <c r="Q3655">
        <v>93</v>
      </c>
      <c r="R3655">
        <v>13.6</v>
      </c>
      <c r="S3655">
        <v>80</v>
      </c>
      <c r="T3655">
        <v>16.34</v>
      </c>
      <c r="U3655">
        <v>86</v>
      </c>
      <c r="V3655">
        <v>-8.94</v>
      </c>
      <c r="W3655">
        <v>74</v>
      </c>
      <c r="X3655" t="s">
        <v>94</v>
      </c>
      <c r="Y3655" t="s">
        <v>95</v>
      </c>
      <c r="Z3655" t="s">
        <v>96</v>
      </c>
      <c r="AA3655" t="s">
        <v>2932</v>
      </c>
      <c r="AB3655" t="s">
        <v>3919</v>
      </c>
      <c r="AC3655">
        <v>93</v>
      </c>
      <c r="AD3655">
        <v>75</v>
      </c>
      <c r="AE3655">
        <v>97</v>
      </c>
      <c r="AF3655">
        <v>-173.04</v>
      </c>
      <c r="AG3655">
        <v>-6.06</v>
      </c>
      <c r="AH3655">
        <v>-4.51</v>
      </c>
      <c r="AI3655">
        <v>0.01</v>
      </c>
      <c r="AJ3655">
        <v>0.02</v>
      </c>
      <c r="AK3655">
        <v>80</v>
      </c>
      <c r="AL3655">
        <v>84</v>
      </c>
      <c r="AM3655">
        <v>65</v>
      </c>
      <c r="AN3655">
        <v>0.26</v>
      </c>
      <c r="AO3655">
        <v>-0.37</v>
      </c>
      <c r="AP3655">
        <v>207</v>
      </c>
      <c r="AQ3655">
        <v>0</v>
      </c>
      <c r="AR3655">
        <v>12.43</v>
      </c>
      <c r="AS3655">
        <v>71</v>
      </c>
      <c r="AT3655">
        <v>4.99</v>
      </c>
      <c r="AU3655">
        <v>89</v>
      </c>
      <c r="AV3655">
        <v>1.03</v>
      </c>
      <c r="AW3655">
        <v>94</v>
      </c>
      <c r="AX3655">
        <v>1.1399999999999999</v>
      </c>
      <c r="AY3655">
        <v>82</v>
      </c>
      <c r="AZ3655">
        <v>5.41</v>
      </c>
      <c r="BA3655">
        <v>66</v>
      </c>
      <c r="BB3655">
        <v>4.7</v>
      </c>
      <c r="BC3655">
        <v>69</v>
      </c>
      <c r="BD3655">
        <v>-0.04</v>
      </c>
      <c r="BE3655">
        <v>-0.04</v>
      </c>
      <c r="BF3655">
        <v>-0.17</v>
      </c>
      <c r="BG3655">
        <v>90</v>
      </c>
      <c r="BH3655">
        <v>-0.1</v>
      </c>
      <c r="BI3655">
        <v>17.260000000000002</v>
      </c>
      <c r="BJ3655">
        <v>25</v>
      </c>
      <c r="BK3655">
        <v>20</v>
      </c>
      <c r="BL3655">
        <v>-0.67</v>
      </c>
      <c r="BM3655">
        <v>0.17</v>
      </c>
      <c r="BN3655">
        <v>-0.56999999999999995</v>
      </c>
      <c r="BO3655">
        <v>-0.37</v>
      </c>
      <c r="BP3655">
        <v>-0.19</v>
      </c>
      <c r="BQ3655">
        <v>-1.8</v>
      </c>
      <c r="BR3655">
        <v>-0.64</v>
      </c>
      <c r="BS3655">
        <v>-0.22</v>
      </c>
      <c r="BT3655">
        <v>-0.02</v>
      </c>
      <c r="BU3655">
        <v>-0.81</v>
      </c>
      <c r="BV3655">
        <v>-0.98</v>
      </c>
      <c r="BW3655">
        <v>0.39</v>
      </c>
      <c r="BX3655">
        <v>-0.53</v>
      </c>
      <c r="BY3655">
        <v>0.41</v>
      </c>
      <c r="BZ3655">
        <v>-0.95</v>
      </c>
      <c r="CA3655">
        <v>-0.44</v>
      </c>
      <c r="CB3655">
        <v>-0.61</v>
      </c>
      <c r="CC3655">
        <v>-0.4</v>
      </c>
      <c r="CD3655">
        <v>0.38</v>
      </c>
      <c r="CE3655">
        <v>-0.56000000000000005</v>
      </c>
      <c r="CF3655">
        <v>-1.18</v>
      </c>
      <c r="CG3655">
        <v>0</v>
      </c>
      <c r="CH3655">
        <v>0.28999999999999998</v>
      </c>
      <c r="CI3655">
        <v>0</v>
      </c>
      <c r="CJ3655">
        <v>3.6</v>
      </c>
      <c r="CK3655">
        <v>94</v>
      </c>
      <c r="CL3655">
        <v>-0.35</v>
      </c>
      <c r="CM3655">
        <v>93</v>
      </c>
      <c r="CN3655">
        <v>-0.16</v>
      </c>
      <c r="CO3655">
        <v>92</v>
      </c>
      <c r="CP3655">
        <v>-4</v>
      </c>
      <c r="CQ3655">
        <v>90</v>
      </c>
      <c r="CR3655">
        <v>0</v>
      </c>
      <c r="CS3655">
        <v>0</v>
      </c>
      <c r="CT3655">
        <v>-8.3000000000000007</v>
      </c>
      <c r="CU3655">
        <v>86</v>
      </c>
      <c r="CV3655">
        <v>0.11</v>
      </c>
      <c r="CW3655">
        <v>45</v>
      </c>
      <c r="CX3655" t="s">
        <v>643</v>
      </c>
    </row>
    <row r="3656" spans="1:102" x14ac:dyDescent="0.3">
      <c r="A3656" t="str">
        <f>HYPERLINK("https://webapp.icbf.com/v2/app/bull-search/view/437077334","JDN")</f>
        <v>JDN</v>
      </c>
      <c r="B3656" t="s">
        <v>15086</v>
      </c>
      <c r="C3656" t="s">
        <v>15087</v>
      </c>
      <c r="D3656" s="1">
        <v>34651</v>
      </c>
      <c r="E3656" t="s">
        <v>140</v>
      </c>
      <c r="F3656">
        <v>0</v>
      </c>
      <c r="G3656" t="s">
        <v>109</v>
      </c>
      <c r="H3656">
        <v>-52.19</v>
      </c>
      <c r="I3656">
        <v>71</v>
      </c>
      <c r="J3656">
        <v>-19.68</v>
      </c>
      <c r="K3656">
        <v>86</v>
      </c>
      <c r="L3656">
        <v>10.64</v>
      </c>
      <c r="M3656">
        <v>62</v>
      </c>
      <c r="N3656">
        <v>-53.57</v>
      </c>
      <c r="O3656">
        <v>62</v>
      </c>
      <c r="P3656">
        <v>20.85</v>
      </c>
      <c r="Q3656">
        <v>78</v>
      </c>
      <c r="R3656">
        <v>5.86</v>
      </c>
      <c r="S3656">
        <v>60</v>
      </c>
      <c r="T3656">
        <v>-4.75</v>
      </c>
      <c r="U3656">
        <v>68</v>
      </c>
      <c r="V3656">
        <v>-11.54</v>
      </c>
      <c r="W3656">
        <v>58</v>
      </c>
      <c r="X3656" t="s">
        <v>251</v>
      </c>
      <c r="Y3656" t="s">
        <v>95</v>
      </c>
      <c r="Z3656">
        <v>0</v>
      </c>
      <c r="AA3656" t="s">
        <v>1177</v>
      </c>
      <c r="AB3656" t="s">
        <v>15088</v>
      </c>
      <c r="AC3656">
        <v>0</v>
      </c>
      <c r="AD3656">
        <v>0</v>
      </c>
      <c r="AE3656">
        <v>86</v>
      </c>
      <c r="AF3656">
        <v>-71.150000000000006</v>
      </c>
      <c r="AG3656">
        <v>-7</v>
      </c>
      <c r="AH3656">
        <v>-1.96</v>
      </c>
      <c r="AI3656">
        <v>-7.0000000000000007E-2</v>
      </c>
      <c r="AJ3656">
        <v>0.01</v>
      </c>
      <c r="AK3656">
        <v>62</v>
      </c>
      <c r="AL3656">
        <v>17</v>
      </c>
      <c r="AM3656">
        <v>7</v>
      </c>
      <c r="AN3656">
        <v>0.28999999999999998</v>
      </c>
      <c r="AO3656">
        <v>1.1499999999999999</v>
      </c>
      <c r="AP3656">
        <v>15</v>
      </c>
      <c r="AQ3656">
        <v>0</v>
      </c>
      <c r="AR3656">
        <v>12.65</v>
      </c>
      <c r="AS3656">
        <v>46</v>
      </c>
      <c r="AT3656">
        <v>5.86</v>
      </c>
      <c r="AU3656">
        <v>62</v>
      </c>
      <c r="AV3656">
        <v>1.68</v>
      </c>
      <c r="AW3656">
        <v>72</v>
      </c>
      <c r="AX3656">
        <v>-0.33</v>
      </c>
      <c r="AY3656">
        <v>60</v>
      </c>
      <c r="AZ3656">
        <v>4.88</v>
      </c>
      <c r="BA3656">
        <v>43</v>
      </c>
      <c r="BB3656">
        <v>3.69</v>
      </c>
      <c r="BC3656">
        <v>46</v>
      </c>
      <c r="BD3656">
        <v>0.02</v>
      </c>
      <c r="BE3656">
        <v>-0.02</v>
      </c>
      <c r="BF3656">
        <v>-0.13</v>
      </c>
      <c r="BG3656">
        <v>66</v>
      </c>
      <c r="BH3656">
        <v>-0.4</v>
      </c>
      <c r="BI3656">
        <v>-9.06</v>
      </c>
      <c r="BJ3656">
        <v>0</v>
      </c>
      <c r="BK3656">
        <v>0</v>
      </c>
      <c r="BL3656">
        <v>-1.1299999999999999</v>
      </c>
      <c r="BM3656">
        <v>3.15</v>
      </c>
      <c r="BN3656">
        <v>-1.94</v>
      </c>
      <c r="BO3656">
        <v>-3.02</v>
      </c>
      <c r="BP3656">
        <v>4.2699999999999996</v>
      </c>
      <c r="BQ3656">
        <v>-2.65</v>
      </c>
      <c r="BR3656">
        <v>-2.81</v>
      </c>
      <c r="BS3656">
        <v>-0.48</v>
      </c>
      <c r="BT3656">
        <v>2.68</v>
      </c>
      <c r="BU3656">
        <v>-3.5</v>
      </c>
      <c r="BV3656">
        <v>-3.89</v>
      </c>
      <c r="BW3656">
        <v>-2.95</v>
      </c>
      <c r="BX3656">
        <v>-2.92</v>
      </c>
      <c r="BY3656">
        <v>-2.2999999999999998</v>
      </c>
      <c r="BZ3656">
        <v>1.19</v>
      </c>
      <c r="CA3656">
        <v>-2.42</v>
      </c>
      <c r="CB3656">
        <v>-3.07</v>
      </c>
      <c r="CC3656">
        <v>-0.45</v>
      </c>
      <c r="CD3656">
        <v>3.79</v>
      </c>
      <c r="CE3656">
        <v>-2.96</v>
      </c>
      <c r="CF3656">
        <v>-1.44</v>
      </c>
      <c r="CG3656">
        <v>0</v>
      </c>
      <c r="CH3656">
        <v>-2.56</v>
      </c>
      <c r="CI3656">
        <v>0</v>
      </c>
      <c r="CJ3656">
        <v>8.3000000000000007</v>
      </c>
      <c r="CK3656">
        <v>80</v>
      </c>
      <c r="CL3656">
        <v>0.4</v>
      </c>
      <c r="CM3656">
        <v>77</v>
      </c>
      <c r="CN3656">
        <v>-0.26</v>
      </c>
      <c r="CO3656">
        <v>75</v>
      </c>
      <c r="CP3656">
        <v>14.8</v>
      </c>
      <c r="CQ3656">
        <v>71</v>
      </c>
      <c r="CR3656">
        <v>0</v>
      </c>
      <c r="CS3656">
        <v>0</v>
      </c>
      <c r="CT3656">
        <v>20.2</v>
      </c>
      <c r="CU3656">
        <v>68</v>
      </c>
      <c r="CV3656">
        <v>0.12</v>
      </c>
      <c r="CW3656">
        <v>41</v>
      </c>
      <c r="CX3656" t="s">
        <v>9655</v>
      </c>
    </row>
    <row r="3657" spans="1:102" x14ac:dyDescent="0.3">
      <c r="A3657" t="str">
        <f>HYPERLINK("https://webapp.icbf.com/v2/app/bull-search/view/77858134","EEG")</f>
        <v>EEG</v>
      </c>
      <c r="B3657" t="s">
        <v>8040</v>
      </c>
      <c r="C3657" t="s">
        <v>8041</v>
      </c>
      <c r="D3657" s="1">
        <v>35026</v>
      </c>
      <c r="E3657" t="s">
        <v>92</v>
      </c>
      <c r="F3657">
        <v>88</v>
      </c>
      <c r="G3657" t="s">
        <v>93</v>
      </c>
      <c r="H3657">
        <v>-52.34</v>
      </c>
      <c r="I3657">
        <v>94</v>
      </c>
      <c r="J3657">
        <v>62.1</v>
      </c>
      <c r="K3657">
        <v>99</v>
      </c>
      <c r="L3657">
        <v>-81.73</v>
      </c>
      <c r="M3657">
        <v>89</v>
      </c>
      <c r="N3657">
        <v>1.46</v>
      </c>
      <c r="O3657">
        <v>93</v>
      </c>
      <c r="P3657">
        <v>-3.38</v>
      </c>
      <c r="Q3657">
        <v>98</v>
      </c>
      <c r="R3657">
        <v>-12.68</v>
      </c>
      <c r="S3657">
        <v>90</v>
      </c>
      <c r="T3657">
        <v>0.43</v>
      </c>
      <c r="U3657">
        <v>94</v>
      </c>
      <c r="V3657">
        <v>-18.54</v>
      </c>
      <c r="W3657">
        <v>85</v>
      </c>
      <c r="X3657" t="s">
        <v>102</v>
      </c>
      <c r="Y3657" t="s">
        <v>95</v>
      </c>
      <c r="Z3657" t="s">
        <v>96</v>
      </c>
      <c r="AA3657" t="s">
        <v>529</v>
      </c>
      <c r="AB3657" t="s">
        <v>8042</v>
      </c>
      <c r="AC3657">
        <v>434</v>
      </c>
      <c r="AD3657">
        <v>200</v>
      </c>
      <c r="AE3657">
        <v>99</v>
      </c>
      <c r="AF3657">
        <v>272.27999999999997</v>
      </c>
      <c r="AG3657">
        <v>15.43</v>
      </c>
      <c r="AH3657">
        <v>9.27</v>
      </c>
      <c r="AI3657">
        <v>0.08</v>
      </c>
      <c r="AJ3657">
        <v>0</v>
      </c>
      <c r="AK3657">
        <v>89</v>
      </c>
      <c r="AL3657">
        <v>514</v>
      </c>
      <c r="AM3657">
        <v>251</v>
      </c>
      <c r="AN3657">
        <v>4.28</v>
      </c>
      <c r="AO3657">
        <v>-2.2400000000000002</v>
      </c>
      <c r="AP3657">
        <v>293</v>
      </c>
      <c r="AQ3657">
        <v>1</v>
      </c>
      <c r="AR3657">
        <v>9.8800000000000008</v>
      </c>
      <c r="AS3657">
        <v>83</v>
      </c>
      <c r="AT3657">
        <v>3.81</v>
      </c>
      <c r="AU3657">
        <v>93</v>
      </c>
      <c r="AV3657">
        <v>-1.55</v>
      </c>
      <c r="AW3657">
        <v>96</v>
      </c>
      <c r="AX3657">
        <v>0.03</v>
      </c>
      <c r="AY3657">
        <v>95</v>
      </c>
      <c r="AZ3657">
        <v>5.92</v>
      </c>
      <c r="BA3657">
        <v>82</v>
      </c>
      <c r="BB3657">
        <v>4.6399999999999997</v>
      </c>
      <c r="BC3657">
        <v>87</v>
      </c>
      <c r="BD3657">
        <v>7.0000000000000007E-2</v>
      </c>
      <c r="BE3657">
        <v>0.05</v>
      </c>
      <c r="BF3657">
        <v>0.08</v>
      </c>
      <c r="BG3657">
        <v>97</v>
      </c>
      <c r="BH3657">
        <v>-0.39</v>
      </c>
      <c r="BI3657">
        <v>14.69</v>
      </c>
      <c r="BJ3657">
        <v>33</v>
      </c>
      <c r="BK3657">
        <v>26</v>
      </c>
      <c r="BL3657">
        <v>-0.01</v>
      </c>
      <c r="BM3657">
        <v>1.99</v>
      </c>
      <c r="BN3657">
        <v>0.92</v>
      </c>
      <c r="BO3657">
        <v>-0.59</v>
      </c>
      <c r="BP3657">
        <v>-0.9</v>
      </c>
      <c r="BQ3657">
        <v>-0.54</v>
      </c>
      <c r="BR3657">
        <v>-0.04</v>
      </c>
      <c r="BS3657">
        <v>-1.86</v>
      </c>
      <c r="BT3657">
        <v>-0.96</v>
      </c>
      <c r="BU3657">
        <v>-0.6</v>
      </c>
      <c r="BV3657">
        <v>-0.65</v>
      </c>
      <c r="BW3657">
        <v>-1.47</v>
      </c>
      <c r="BX3657">
        <v>-0.76</v>
      </c>
      <c r="BY3657">
        <v>-0.59</v>
      </c>
      <c r="BZ3657">
        <v>0.81</v>
      </c>
      <c r="CA3657">
        <v>-1.29</v>
      </c>
      <c r="CB3657">
        <v>-0.82</v>
      </c>
      <c r="CC3657">
        <v>-1.64</v>
      </c>
      <c r="CD3657">
        <v>1.28</v>
      </c>
      <c r="CE3657">
        <v>-0.54</v>
      </c>
      <c r="CF3657">
        <v>0.68</v>
      </c>
      <c r="CG3657">
        <v>0</v>
      </c>
      <c r="CH3657">
        <v>-0.35</v>
      </c>
      <c r="CI3657">
        <v>0</v>
      </c>
      <c r="CJ3657">
        <v>2.1</v>
      </c>
      <c r="CK3657">
        <v>98</v>
      </c>
      <c r="CL3657">
        <v>-0.5</v>
      </c>
      <c r="CM3657">
        <v>98</v>
      </c>
      <c r="CN3657">
        <v>0.06</v>
      </c>
      <c r="CO3657">
        <v>97</v>
      </c>
      <c r="CP3657">
        <v>-2.8</v>
      </c>
      <c r="CQ3657">
        <v>98</v>
      </c>
      <c r="CR3657">
        <v>0</v>
      </c>
      <c r="CS3657">
        <v>0</v>
      </c>
      <c r="CT3657">
        <v>13.2</v>
      </c>
      <c r="CU3657">
        <v>94</v>
      </c>
      <c r="CV3657">
        <v>0.2</v>
      </c>
      <c r="CW3657">
        <v>46</v>
      </c>
      <c r="CX3657" t="s">
        <v>3720</v>
      </c>
    </row>
    <row r="3658" spans="1:102" x14ac:dyDescent="0.3">
      <c r="A3658" t="str">
        <f>HYPERLINK("https://webapp.icbf.com/v2/app/bull-search/view/120047294","RUP")</f>
        <v>RUP</v>
      </c>
      <c r="B3658" t="s">
        <v>845</v>
      </c>
      <c r="C3658" t="s">
        <v>846</v>
      </c>
      <c r="D3658" s="1">
        <v>37325</v>
      </c>
      <c r="E3658" t="s">
        <v>108</v>
      </c>
      <c r="F3658">
        <v>3</v>
      </c>
      <c r="G3658" t="s">
        <v>93</v>
      </c>
      <c r="H3658">
        <v>-52.51</v>
      </c>
      <c r="I3658">
        <v>92</v>
      </c>
      <c r="J3658">
        <v>-11.91</v>
      </c>
      <c r="K3658">
        <v>98</v>
      </c>
      <c r="L3658">
        <v>-9.8699999999999992</v>
      </c>
      <c r="M3658">
        <v>86</v>
      </c>
      <c r="N3658">
        <v>-32.39</v>
      </c>
      <c r="O3658">
        <v>92</v>
      </c>
      <c r="P3658">
        <v>-12.84</v>
      </c>
      <c r="Q3658">
        <v>98</v>
      </c>
      <c r="R3658">
        <v>0.78</v>
      </c>
      <c r="S3658">
        <v>88</v>
      </c>
      <c r="T3658">
        <v>20.41</v>
      </c>
      <c r="U3658">
        <v>96</v>
      </c>
      <c r="V3658">
        <v>-6.69</v>
      </c>
      <c r="W3658">
        <v>85</v>
      </c>
      <c r="X3658" t="s">
        <v>94</v>
      </c>
      <c r="Y3658" t="s">
        <v>95</v>
      </c>
      <c r="Z3658" t="s">
        <v>96</v>
      </c>
      <c r="AA3658" t="s">
        <v>847</v>
      </c>
      <c r="AB3658" t="s">
        <v>848</v>
      </c>
      <c r="AC3658">
        <v>212</v>
      </c>
      <c r="AD3658">
        <v>147</v>
      </c>
      <c r="AE3658">
        <v>98</v>
      </c>
      <c r="AF3658">
        <v>48.04</v>
      </c>
      <c r="AG3658">
        <v>0.14000000000000001</v>
      </c>
      <c r="AH3658">
        <v>-1.34</v>
      </c>
      <c r="AI3658">
        <v>-0.03</v>
      </c>
      <c r="AJ3658">
        <v>-0.05</v>
      </c>
      <c r="AK3658">
        <v>86</v>
      </c>
      <c r="AL3658">
        <v>285</v>
      </c>
      <c r="AM3658">
        <v>186</v>
      </c>
      <c r="AN3658">
        <v>0.34</v>
      </c>
      <c r="AO3658">
        <v>-0.45</v>
      </c>
      <c r="AP3658">
        <v>371</v>
      </c>
      <c r="AQ3658">
        <v>3</v>
      </c>
      <c r="AR3658">
        <v>9.49</v>
      </c>
      <c r="AS3658">
        <v>78</v>
      </c>
      <c r="AT3658">
        <v>3.63</v>
      </c>
      <c r="AU3658">
        <v>93</v>
      </c>
      <c r="AV3658">
        <v>1.64</v>
      </c>
      <c r="AW3658">
        <v>98</v>
      </c>
      <c r="AX3658">
        <v>-0.74</v>
      </c>
      <c r="AY3658">
        <v>93</v>
      </c>
      <c r="AZ3658">
        <v>9.4</v>
      </c>
      <c r="BA3658">
        <v>77</v>
      </c>
      <c r="BB3658">
        <v>6.11</v>
      </c>
      <c r="BC3658">
        <v>82</v>
      </c>
      <c r="BD3658">
        <v>0.03</v>
      </c>
      <c r="BE3658">
        <v>-0.02</v>
      </c>
      <c r="BF3658">
        <v>-0.03</v>
      </c>
      <c r="BG3658">
        <v>94</v>
      </c>
      <c r="BH3658">
        <v>-0.1</v>
      </c>
      <c r="BI3658">
        <v>10.02</v>
      </c>
      <c r="BJ3658">
        <v>36</v>
      </c>
      <c r="BK3658">
        <v>30</v>
      </c>
      <c r="BL3658">
        <v>-2.4900000000000002</v>
      </c>
      <c r="BM3658">
        <v>2.6</v>
      </c>
      <c r="BN3658">
        <v>-1.06</v>
      </c>
      <c r="BO3658">
        <v>-2.61</v>
      </c>
      <c r="BP3658">
        <v>-2.42</v>
      </c>
      <c r="BQ3658">
        <v>1.7</v>
      </c>
      <c r="BR3658">
        <v>-0.08</v>
      </c>
      <c r="BS3658">
        <v>-0.41</v>
      </c>
      <c r="BT3658">
        <v>0.64</v>
      </c>
      <c r="BU3658">
        <v>-2.2599999999999998</v>
      </c>
      <c r="BV3658">
        <v>-2.13</v>
      </c>
      <c r="BW3658">
        <v>-1.72</v>
      </c>
      <c r="BX3658">
        <v>-2.41</v>
      </c>
      <c r="BY3658">
        <v>-1.78</v>
      </c>
      <c r="BZ3658">
        <v>-0.25</v>
      </c>
      <c r="CA3658">
        <v>-2.12</v>
      </c>
      <c r="CB3658">
        <v>-1.84</v>
      </c>
      <c r="CC3658">
        <v>-1.67</v>
      </c>
      <c r="CD3658">
        <v>2.58</v>
      </c>
      <c r="CE3658">
        <v>-2.29</v>
      </c>
      <c r="CF3658">
        <v>-1.47</v>
      </c>
      <c r="CG3658">
        <v>0</v>
      </c>
      <c r="CH3658">
        <v>-1.57</v>
      </c>
      <c r="CI3658">
        <v>0</v>
      </c>
      <c r="CJ3658">
        <v>-6.3</v>
      </c>
      <c r="CK3658">
        <v>98</v>
      </c>
      <c r="CL3658">
        <v>-0.17</v>
      </c>
      <c r="CM3658">
        <v>98</v>
      </c>
      <c r="CN3658">
        <v>0.04</v>
      </c>
      <c r="CO3658">
        <v>97</v>
      </c>
      <c r="CP3658">
        <v>-12.8</v>
      </c>
      <c r="CQ3658">
        <v>96</v>
      </c>
      <c r="CR3658">
        <v>0</v>
      </c>
      <c r="CS3658">
        <v>0</v>
      </c>
      <c r="CT3658">
        <v>-13.8</v>
      </c>
      <c r="CU3658">
        <v>96</v>
      </c>
      <c r="CV3658">
        <v>0</v>
      </c>
      <c r="CW3658">
        <v>46</v>
      </c>
      <c r="CX3658" t="s">
        <v>672</v>
      </c>
    </row>
    <row r="3659" spans="1:102" x14ac:dyDescent="0.3">
      <c r="A3659" t="str">
        <f>HYPERLINK("https://webapp.icbf.com/v2/app/bull-search/view/77859331","APC")</f>
        <v>APC</v>
      </c>
      <c r="B3659" t="s">
        <v>11330</v>
      </c>
      <c r="C3659" t="s">
        <v>11331</v>
      </c>
      <c r="D3659" s="1">
        <v>35800</v>
      </c>
      <c r="E3659" t="s">
        <v>92</v>
      </c>
      <c r="F3659">
        <v>97</v>
      </c>
      <c r="G3659" t="s">
        <v>93</v>
      </c>
      <c r="H3659">
        <v>-52.53</v>
      </c>
      <c r="I3659">
        <v>84</v>
      </c>
      <c r="J3659">
        <v>52.28</v>
      </c>
      <c r="K3659">
        <v>95</v>
      </c>
      <c r="L3659">
        <v>-116.38</v>
      </c>
      <c r="M3659">
        <v>79</v>
      </c>
      <c r="N3659">
        <v>19.36</v>
      </c>
      <c r="O3659">
        <v>76</v>
      </c>
      <c r="P3659">
        <v>-6.08</v>
      </c>
      <c r="Q3659">
        <v>85</v>
      </c>
      <c r="R3659">
        <v>-10.61</v>
      </c>
      <c r="S3659">
        <v>78</v>
      </c>
      <c r="T3659">
        <v>15.38</v>
      </c>
      <c r="U3659">
        <v>75</v>
      </c>
      <c r="V3659">
        <v>-6.48</v>
      </c>
      <c r="W3659">
        <v>69</v>
      </c>
      <c r="X3659" t="s">
        <v>558</v>
      </c>
      <c r="Y3659" t="s">
        <v>95</v>
      </c>
      <c r="Z3659" t="s">
        <v>96</v>
      </c>
      <c r="AA3659" t="s">
        <v>218</v>
      </c>
      <c r="AB3659" t="s">
        <v>6472</v>
      </c>
      <c r="AC3659">
        <v>44</v>
      </c>
      <c r="AD3659">
        <v>31</v>
      </c>
      <c r="AE3659">
        <v>95</v>
      </c>
      <c r="AF3659">
        <v>243.65</v>
      </c>
      <c r="AG3659">
        <v>8</v>
      </c>
      <c r="AH3659">
        <v>9.7899999999999991</v>
      </c>
      <c r="AI3659">
        <v>-0.03</v>
      </c>
      <c r="AJ3659">
        <v>0.03</v>
      </c>
      <c r="AK3659">
        <v>79</v>
      </c>
      <c r="AL3659">
        <v>45</v>
      </c>
      <c r="AM3659">
        <v>36</v>
      </c>
      <c r="AN3659">
        <v>5.66</v>
      </c>
      <c r="AO3659">
        <v>-3.63</v>
      </c>
      <c r="AP3659">
        <v>52</v>
      </c>
      <c r="AQ3659">
        <v>1</v>
      </c>
      <c r="AR3659">
        <v>6.58</v>
      </c>
      <c r="AS3659">
        <v>68</v>
      </c>
      <c r="AT3659">
        <v>2.5299999999999998</v>
      </c>
      <c r="AU3659">
        <v>85</v>
      </c>
      <c r="AV3659">
        <v>-1.35</v>
      </c>
      <c r="AW3659">
        <v>79</v>
      </c>
      <c r="AX3659">
        <v>-0.2</v>
      </c>
      <c r="AY3659">
        <v>72</v>
      </c>
      <c r="AZ3659">
        <v>6.06</v>
      </c>
      <c r="BA3659">
        <v>61</v>
      </c>
      <c r="BB3659">
        <v>4.97</v>
      </c>
      <c r="BC3659">
        <v>64</v>
      </c>
      <c r="BD3659">
        <v>0.03</v>
      </c>
      <c r="BE3659">
        <v>0.06</v>
      </c>
      <c r="BF3659">
        <v>0.08</v>
      </c>
      <c r="BG3659">
        <v>87</v>
      </c>
      <c r="BH3659">
        <v>-0.12</v>
      </c>
      <c r="BI3659">
        <v>7.03</v>
      </c>
      <c r="BJ3659">
        <v>21</v>
      </c>
      <c r="BK3659">
        <v>17</v>
      </c>
      <c r="BL3659">
        <v>-0.65</v>
      </c>
      <c r="BM3659">
        <v>0.02</v>
      </c>
      <c r="BN3659">
        <v>-0.34</v>
      </c>
      <c r="BO3659">
        <v>-0.5</v>
      </c>
      <c r="BP3659">
        <v>-0.22</v>
      </c>
      <c r="BQ3659">
        <v>-1.54</v>
      </c>
      <c r="BR3659">
        <v>0.91</v>
      </c>
      <c r="BS3659">
        <v>-1.03</v>
      </c>
      <c r="BT3659">
        <v>-0.05</v>
      </c>
      <c r="BU3659">
        <v>-0.56999999999999995</v>
      </c>
      <c r="BV3659">
        <v>-0.94</v>
      </c>
      <c r="BW3659">
        <v>-0.83</v>
      </c>
      <c r="BX3659">
        <v>-1.5</v>
      </c>
      <c r="BY3659">
        <v>-1.32</v>
      </c>
      <c r="BZ3659">
        <v>1.38</v>
      </c>
      <c r="CA3659">
        <v>-1.1000000000000001</v>
      </c>
      <c r="CB3659">
        <v>-0.82</v>
      </c>
      <c r="CC3659">
        <v>-0.79</v>
      </c>
      <c r="CD3659">
        <v>0.75</v>
      </c>
      <c r="CE3659">
        <v>0.17</v>
      </c>
      <c r="CF3659">
        <v>-0.31</v>
      </c>
      <c r="CG3659">
        <v>0</v>
      </c>
      <c r="CH3659">
        <v>-0.98</v>
      </c>
      <c r="CI3659">
        <v>0</v>
      </c>
      <c r="CJ3659">
        <v>0.1</v>
      </c>
      <c r="CK3659">
        <v>86</v>
      </c>
      <c r="CL3659">
        <v>-0.72</v>
      </c>
      <c r="CM3659">
        <v>83</v>
      </c>
      <c r="CN3659">
        <v>-0.15</v>
      </c>
      <c r="CO3659">
        <v>81</v>
      </c>
      <c r="CP3659">
        <v>-3.6</v>
      </c>
      <c r="CQ3659">
        <v>84</v>
      </c>
      <c r="CR3659">
        <v>0</v>
      </c>
      <c r="CS3659">
        <v>0</v>
      </c>
      <c r="CT3659">
        <v>-7</v>
      </c>
      <c r="CU3659">
        <v>75</v>
      </c>
      <c r="CV3659">
        <v>0.24</v>
      </c>
      <c r="CW3659">
        <v>43</v>
      </c>
      <c r="CX3659" t="s">
        <v>3177</v>
      </c>
    </row>
    <row r="3660" spans="1:102" x14ac:dyDescent="0.3">
      <c r="A3660" t="str">
        <f>HYPERLINK("https://webapp.icbf.com/v2/app/bull-search/view/76534001","LYG")</f>
        <v>LYG</v>
      </c>
      <c r="B3660" t="s">
        <v>14083</v>
      </c>
      <c r="C3660" t="s">
        <v>14084</v>
      </c>
      <c r="D3660" s="1">
        <v>36633</v>
      </c>
      <c r="E3660" t="s">
        <v>92</v>
      </c>
      <c r="F3660">
        <v>100</v>
      </c>
      <c r="G3660" t="s">
        <v>93</v>
      </c>
      <c r="H3660">
        <v>-52.66</v>
      </c>
      <c r="I3660">
        <v>68</v>
      </c>
      <c r="J3660">
        <v>53.15</v>
      </c>
      <c r="K3660">
        <v>90</v>
      </c>
      <c r="L3660">
        <v>-110.78</v>
      </c>
      <c r="M3660">
        <v>50</v>
      </c>
      <c r="N3660">
        <v>16.489999999999998</v>
      </c>
      <c r="O3660">
        <v>63</v>
      </c>
      <c r="P3660">
        <v>-9.6199999999999992</v>
      </c>
      <c r="Q3660">
        <v>81</v>
      </c>
      <c r="R3660">
        <v>-2.77</v>
      </c>
      <c r="S3660">
        <v>57</v>
      </c>
      <c r="T3660">
        <v>3.69</v>
      </c>
      <c r="U3660">
        <v>64</v>
      </c>
      <c r="V3660">
        <v>-2.82</v>
      </c>
      <c r="W3660">
        <v>35</v>
      </c>
      <c r="X3660" t="s">
        <v>102</v>
      </c>
      <c r="Y3660" t="s">
        <v>95</v>
      </c>
      <c r="Z3660" t="s">
        <v>96</v>
      </c>
      <c r="AA3660" t="s">
        <v>10404</v>
      </c>
      <c r="AB3660" t="s">
        <v>14085</v>
      </c>
      <c r="AC3660">
        <v>38</v>
      </c>
      <c r="AD3660">
        <v>26</v>
      </c>
      <c r="AE3660">
        <v>90</v>
      </c>
      <c r="AF3660">
        <v>264.93</v>
      </c>
      <c r="AG3660">
        <v>8.66</v>
      </c>
      <c r="AH3660">
        <v>10.029999999999999</v>
      </c>
      <c r="AI3660">
        <v>-0.03</v>
      </c>
      <c r="AJ3660">
        <v>0.01</v>
      </c>
      <c r="AK3660">
        <v>50</v>
      </c>
      <c r="AL3660">
        <v>31</v>
      </c>
      <c r="AM3660">
        <v>24</v>
      </c>
      <c r="AN3660">
        <v>7.2</v>
      </c>
      <c r="AO3660">
        <v>-1.62</v>
      </c>
      <c r="AP3660">
        <v>50</v>
      </c>
      <c r="AQ3660">
        <v>3</v>
      </c>
      <c r="AR3660">
        <v>6.75</v>
      </c>
      <c r="AS3660">
        <v>48</v>
      </c>
      <c r="AT3660">
        <v>3.12</v>
      </c>
      <c r="AU3660">
        <v>62</v>
      </c>
      <c r="AV3660">
        <v>-1.41</v>
      </c>
      <c r="AW3660">
        <v>76</v>
      </c>
      <c r="AX3660">
        <v>0.52</v>
      </c>
      <c r="AY3660">
        <v>61</v>
      </c>
      <c r="AZ3660">
        <v>5.23</v>
      </c>
      <c r="BA3660">
        <v>38</v>
      </c>
      <c r="BB3660">
        <v>4.4400000000000004</v>
      </c>
      <c r="BC3660">
        <v>41</v>
      </c>
      <c r="BD3660">
        <v>0.04</v>
      </c>
      <c r="BE3660">
        <v>0.03</v>
      </c>
      <c r="BF3660">
        <v>-0.06</v>
      </c>
      <c r="BG3660">
        <v>70</v>
      </c>
      <c r="BH3660">
        <v>0.08</v>
      </c>
      <c r="BI3660">
        <v>18.36</v>
      </c>
      <c r="BJ3660">
        <v>8</v>
      </c>
      <c r="BK3660">
        <v>7</v>
      </c>
      <c r="BL3660">
        <v>0.6</v>
      </c>
      <c r="BM3660">
        <v>0.35</v>
      </c>
      <c r="BN3660">
        <v>1.01</v>
      </c>
      <c r="BO3660">
        <v>0.53</v>
      </c>
      <c r="BP3660">
        <v>0.98</v>
      </c>
      <c r="BQ3660">
        <v>-1.1000000000000001</v>
      </c>
      <c r="BR3660">
        <v>-1.1100000000000001</v>
      </c>
      <c r="BS3660">
        <v>-0.65</v>
      </c>
      <c r="BT3660">
        <v>-0.16</v>
      </c>
      <c r="BU3660">
        <v>0.4</v>
      </c>
      <c r="BV3660">
        <v>0.01</v>
      </c>
      <c r="BW3660">
        <v>-0.52</v>
      </c>
      <c r="BX3660">
        <v>-0.35</v>
      </c>
      <c r="BY3660">
        <v>-1.38</v>
      </c>
      <c r="BZ3660">
        <v>2.85</v>
      </c>
      <c r="CA3660">
        <v>-0.15</v>
      </c>
      <c r="CB3660">
        <v>0.08</v>
      </c>
      <c r="CC3660">
        <v>-0.47</v>
      </c>
      <c r="CD3660">
        <v>0.11</v>
      </c>
      <c r="CE3660">
        <v>0.71</v>
      </c>
      <c r="CF3660">
        <v>0.56000000000000005</v>
      </c>
      <c r="CG3660">
        <v>0</v>
      </c>
      <c r="CH3660">
        <v>1.02</v>
      </c>
      <c r="CI3660">
        <v>0</v>
      </c>
      <c r="CJ3660">
        <v>-1.1000000000000001</v>
      </c>
      <c r="CK3660">
        <v>83</v>
      </c>
      <c r="CL3660">
        <v>-0.78</v>
      </c>
      <c r="CM3660">
        <v>80</v>
      </c>
      <c r="CN3660">
        <v>-0.02</v>
      </c>
      <c r="CO3660">
        <v>77</v>
      </c>
      <c r="CP3660">
        <v>-1.9</v>
      </c>
      <c r="CQ3660">
        <v>79</v>
      </c>
      <c r="CR3660">
        <v>0</v>
      </c>
      <c r="CS3660">
        <v>0</v>
      </c>
      <c r="CT3660">
        <v>8.8000000000000007</v>
      </c>
      <c r="CU3660">
        <v>64</v>
      </c>
      <c r="CV3660">
        <v>0.23</v>
      </c>
      <c r="CW3660">
        <v>23</v>
      </c>
      <c r="CX3660" t="s">
        <v>188</v>
      </c>
    </row>
    <row r="3661" spans="1:102" x14ac:dyDescent="0.3">
      <c r="A3661" t="str">
        <f>HYPERLINK("https://webapp.icbf.com/v2/app/bull-search/view/77853040","WGG")</f>
        <v>WGG</v>
      </c>
      <c r="B3661" t="s">
        <v>10593</v>
      </c>
      <c r="C3661" t="s">
        <v>10594</v>
      </c>
      <c r="D3661" s="1">
        <v>34021</v>
      </c>
      <c r="E3661" t="s">
        <v>92</v>
      </c>
      <c r="F3661">
        <v>100</v>
      </c>
      <c r="G3661" t="s">
        <v>93</v>
      </c>
      <c r="H3661">
        <v>-52.67</v>
      </c>
      <c r="I3661">
        <v>94</v>
      </c>
      <c r="J3661">
        <v>19.239999999999998</v>
      </c>
      <c r="K3661">
        <v>99</v>
      </c>
      <c r="L3661">
        <v>-78.900000000000006</v>
      </c>
      <c r="M3661">
        <v>91</v>
      </c>
      <c r="N3661">
        <v>32.25</v>
      </c>
      <c r="O3661">
        <v>91</v>
      </c>
      <c r="P3661">
        <v>-0.44</v>
      </c>
      <c r="Q3661">
        <v>97</v>
      </c>
      <c r="R3661">
        <v>-17.73</v>
      </c>
      <c r="S3661">
        <v>86</v>
      </c>
      <c r="T3661">
        <v>-4.38</v>
      </c>
      <c r="U3661">
        <v>94</v>
      </c>
      <c r="V3661">
        <v>-2.71</v>
      </c>
      <c r="W3661">
        <v>81</v>
      </c>
      <c r="X3661" t="s">
        <v>251</v>
      </c>
      <c r="Y3661" t="s">
        <v>95</v>
      </c>
      <c r="Z3661" t="s">
        <v>96</v>
      </c>
      <c r="AA3661" t="s">
        <v>10595</v>
      </c>
      <c r="AB3661" t="s">
        <v>10596</v>
      </c>
      <c r="AC3661">
        <v>374</v>
      </c>
      <c r="AD3661">
        <v>160</v>
      </c>
      <c r="AE3661">
        <v>99</v>
      </c>
      <c r="AF3661">
        <v>194.14</v>
      </c>
      <c r="AG3661">
        <v>1.65</v>
      </c>
      <c r="AH3661">
        <v>5.66</v>
      </c>
      <c r="AI3661">
        <v>-0.1</v>
      </c>
      <c r="AJ3661">
        <v>-0.02</v>
      </c>
      <c r="AK3661">
        <v>91</v>
      </c>
      <c r="AL3661">
        <v>393</v>
      </c>
      <c r="AM3661">
        <v>171</v>
      </c>
      <c r="AN3661">
        <v>2.89</v>
      </c>
      <c r="AO3661">
        <v>-3.42</v>
      </c>
      <c r="AP3661">
        <v>142</v>
      </c>
      <c r="AQ3661">
        <v>0</v>
      </c>
      <c r="AR3661">
        <v>4.05</v>
      </c>
      <c r="AS3661">
        <v>84</v>
      </c>
      <c r="AT3661">
        <v>1.86</v>
      </c>
      <c r="AU3661">
        <v>91</v>
      </c>
      <c r="AV3661">
        <v>-1.83</v>
      </c>
      <c r="AW3661">
        <v>95</v>
      </c>
      <c r="AX3661">
        <v>-0.62</v>
      </c>
      <c r="AY3661">
        <v>93</v>
      </c>
      <c r="AZ3661">
        <v>7.16</v>
      </c>
      <c r="BA3661">
        <v>81</v>
      </c>
      <c r="BB3661">
        <v>4.95</v>
      </c>
      <c r="BC3661">
        <v>85</v>
      </c>
      <c r="BD3661">
        <v>0.1</v>
      </c>
      <c r="BE3661">
        <v>0.09</v>
      </c>
      <c r="BF3661">
        <v>7.0000000000000007E-2</v>
      </c>
      <c r="BG3661">
        <v>96</v>
      </c>
      <c r="BH3661">
        <v>0.22</v>
      </c>
      <c r="BI3661">
        <v>34.18</v>
      </c>
      <c r="BJ3661">
        <v>26</v>
      </c>
      <c r="BK3661">
        <v>18</v>
      </c>
      <c r="BL3661">
        <v>0.81</v>
      </c>
      <c r="BM3661">
        <v>1.98</v>
      </c>
      <c r="BN3661">
        <v>1.97</v>
      </c>
      <c r="BO3661">
        <v>0.01</v>
      </c>
      <c r="BP3661">
        <v>-1.59</v>
      </c>
      <c r="BQ3661">
        <v>-0.41</v>
      </c>
      <c r="BR3661">
        <v>-1.36</v>
      </c>
      <c r="BS3661">
        <v>-0.02</v>
      </c>
      <c r="BT3661">
        <v>1.83</v>
      </c>
      <c r="BU3661">
        <v>-0.53</v>
      </c>
      <c r="BV3661">
        <v>-0.68</v>
      </c>
      <c r="BW3661">
        <v>-0.59</v>
      </c>
      <c r="BX3661">
        <v>-1.08</v>
      </c>
      <c r="BY3661">
        <v>1.1200000000000001</v>
      </c>
      <c r="BZ3661">
        <v>-1.1599999999999999</v>
      </c>
      <c r="CA3661">
        <v>-0.16</v>
      </c>
      <c r="CB3661">
        <v>-0.11</v>
      </c>
      <c r="CC3661">
        <v>-0.03</v>
      </c>
      <c r="CD3661">
        <v>0.66</v>
      </c>
      <c r="CE3661">
        <v>-0.1</v>
      </c>
      <c r="CF3661">
        <v>0.36</v>
      </c>
      <c r="CG3661">
        <v>0</v>
      </c>
      <c r="CH3661">
        <v>0.89</v>
      </c>
      <c r="CI3661">
        <v>0</v>
      </c>
      <c r="CJ3661">
        <v>3</v>
      </c>
      <c r="CK3661">
        <v>97</v>
      </c>
      <c r="CL3661">
        <v>-0.8</v>
      </c>
      <c r="CM3661">
        <v>96</v>
      </c>
      <c r="CN3661">
        <v>-0.32</v>
      </c>
      <c r="CO3661">
        <v>96</v>
      </c>
      <c r="CP3661">
        <v>-0.5</v>
      </c>
      <c r="CQ3661">
        <v>97</v>
      </c>
      <c r="CR3661">
        <v>0</v>
      </c>
      <c r="CS3661">
        <v>0</v>
      </c>
      <c r="CT3661">
        <v>19.7</v>
      </c>
      <c r="CU3661">
        <v>94</v>
      </c>
      <c r="CV3661">
        <v>0.2</v>
      </c>
      <c r="CW3661">
        <v>45</v>
      </c>
      <c r="CX3661" t="s">
        <v>267</v>
      </c>
    </row>
    <row r="3662" spans="1:102" x14ac:dyDescent="0.3">
      <c r="A3662" t="str">
        <f>HYPERLINK("https://webapp.icbf.com/v2/app/bull-search/view/108367957","AZI")</f>
        <v>AZI</v>
      </c>
      <c r="B3662" t="s">
        <v>837</v>
      </c>
      <c r="C3662" t="s">
        <v>838</v>
      </c>
      <c r="D3662" s="1">
        <v>34951</v>
      </c>
      <c r="E3662" t="s">
        <v>92</v>
      </c>
      <c r="F3662">
        <v>100</v>
      </c>
      <c r="G3662" t="s">
        <v>93</v>
      </c>
      <c r="H3662">
        <v>-52.69</v>
      </c>
      <c r="I3662">
        <v>97</v>
      </c>
      <c r="J3662">
        <v>33.119999999999997</v>
      </c>
      <c r="K3662">
        <v>99</v>
      </c>
      <c r="L3662">
        <v>-106.05</v>
      </c>
      <c r="M3662">
        <v>96</v>
      </c>
      <c r="N3662">
        <v>6.68</v>
      </c>
      <c r="O3662">
        <v>97</v>
      </c>
      <c r="P3662">
        <v>0.43</v>
      </c>
      <c r="Q3662">
        <v>99</v>
      </c>
      <c r="R3662">
        <v>12.42</v>
      </c>
      <c r="S3662">
        <v>93</v>
      </c>
      <c r="T3662">
        <v>-1.86</v>
      </c>
      <c r="U3662">
        <v>96</v>
      </c>
      <c r="V3662">
        <v>2.57</v>
      </c>
      <c r="W3662">
        <v>91</v>
      </c>
      <c r="X3662" t="s">
        <v>94</v>
      </c>
      <c r="Y3662" t="s">
        <v>95</v>
      </c>
      <c r="Z3662" t="s">
        <v>96</v>
      </c>
      <c r="AA3662" t="s">
        <v>839</v>
      </c>
      <c r="AB3662" t="s">
        <v>840</v>
      </c>
      <c r="AC3662">
        <v>647</v>
      </c>
      <c r="AD3662">
        <v>244</v>
      </c>
      <c r="AE3662">
        <v>99</v>
      </c>
      <c r="AF3662">
        <v>400.37</v>
      </c>
      <c r="AG3662">
        <v>9.19</v>
      </c>
      <c r="AH3662">
        <v>8.51</v>
      </c>
      <c r="AI3662">
        <v>-0.11</v>
      </c>
      <c r="AJ3662">
        <v>-0.08</v>
      </c>
      <c r="AK3662">
        <v>96</v>
      </c>
      <c r="AL3662">
        <v>595</v>
      </c>
      <c r="AM3662">
        <v>231</v>
      </c>
      <c r="AN3662">
        <v>6.34</v>
      </c>
      <c r="AO3662">
        <v>-2.11</v>
      </c>
      <c r="AP3662">
        <v>1106</v>
      </c>
      <c r="AQ3662">
        <v>4</v>
      </c>
      <c r="AR3662">
        <v>9.5299999999999994</v>
      </c>
      <c r="AS3662">
        <v>94</v>
      </c>
      <c r="AT3662">
        <v>4.17</v>
      </c>
      <c r="AU3662">
        <v>99</v>
      </c>
      <c r="AV3662">
        <v>-2.2200000000000002</v>
      </c>
      <c r="AW3662">
        <v>99</v>
      </c>
      <c r="AX3662">
        <v>-0.23</v>
      </c>
      <c r="AY3662">
        <v>96</v>
      </c>
      <c r="AZ3662">
        <v>5.23</v>
      </c>
      <c r="BA3662">
        <v>91</v>
      </c>
      <c r="BB3662">
        <v>4.42</v>
      </c>
      <c r="BC3662">
        <v>91</v>
      </c>
      <c r="BD3662">
        <v>-0.04</v>
      </c>
      <c r="BE3662">
        <v>-0.01</v>
      </c>
      <c r="BF3662">
        <v>-0.2</v>
      </c>
      <c r="BG3662">
        <v>98</v>
      </c>
      <c r="BH3662">
        <v>0.06</v>
      </c>
      <c r="BI3662">
        <v>-1.36</v>
      </c>
      <c r="BJ3662">
        <v>220</v>
      </c>
      <c r="BK3662">
        <v>86</v>
      </c>
      <c r="BL3662">
        <v>1.1100000000000001</v>
      </c>
      <c r="BM3662">
        <v>2.2599999999999998</v>
      </c>
      <c r="BN3662">
        <v>3.11</v>
      </c>
      <c r="BO3662">
        <v>0.74</v>
      </c>
      <c r="BP3662">
        <v>1.28</v>
      </c>
      <c r="BQ3662">
        <v>1.6</v>
      </c>
      <c r="BR3662">
        <v>0.1</v>
      </c>
      <c r="BS3662">
        <v>-0.87</v>
      </c>
      <c r="BT3662">
        <v>0.79</v>
      </c>
      <c r="BU3662">
        <v>1.23</v>
      </c>
      <c r="BV3662">
        <v>1.07</v>
      </c>
      <c r="BW3662">
        <v>1.49</v>
      </c>
      <c r="BX3662">
        <v>1.27</v>
      </c>
      <c r="BY3662">
        <v>1.49</v>
      </c>
      <c r="BZ3662">
        <v>0.77</v>
      </c>
      <c r="CA3662">
        <v>0.85</v>
      </c>
      <c r="CB3662">
        <v>1.26</v>
      </c>
      <c r="CC3662">
        <v>0.1</v>
      </c>
      <c r="CD3662">
        <v>0.62</v>
      </c>
      <c r="CE3662">
        <v>0.71</v>
      </c>
      <c r="CF3662">
        <v>1.88</v>
      </c>
      <c r="CG3662">
        <v>0</v>
      </c>
      <c r="CH3662">
        <v>1.53</v>
      </c>
      <c r="CI3662">
        <v>0</v>
      </c>
      <c r="CJ3662">
        <v>3.5</v>
      </c>
      <c r="CK3662">
        <v>99</v>
      </c>
      <c r="CL3662">
        <v>-0.98</v>
      </c>
      <c r="CM3662">
        <v>98</v>
      </c>
      <c r="CN3662">
        <v>-0.41</v>
      </c>
      <c r="CO3662">
        <v>98</v>
      </c>
      <c r="CP3662">
        <v>6.1</v>
      </c>
      <c r="CQ3662">
        <v>98</v>
      </c>
      <c r="CR3662">
        <v>0</v>
      </c>
      <c r="CS3662">
        <v>0</v>
      </c>
      <c r="CT3662">
        <v>16.3</v>
      </c>
      <c r="CU3662">
        <v>96</v>
      </c>
      <c r="CV3662">
        <v>0.3</v>
      </c>
      <c r="CW3662">
        <v>46</v>
      </c>
      <c r="CX3662" t="s">
        <v>118</v>
      </c>
    </row>
    <row r="3663" spans="1:102" x14ac:dyDescent="0.3">
      <c r="A3663" t="str">
        <f>HYPERLINK("https://webapp.icbf.com/v2/app/bull-search/view/349440179","VNB")</f>
        <v>VNB</v>
      </c>
      <c r="B3663" t="s">
        <v>11683</v>
      </c>
      <c r="C3663" t="s">
        <v>11684</v>
      </c>
      <c r="D3663" s="1">
        <v>37722</v>
      </c>
      <c r="E3663" t="s">
        <v>108</v>
      </c>
      <c r="F3663">
        <v>0</v>
      </c>
      <c r="G3663" t="s">
        <v>93</v>
      </c>
      <c r="H3663">
        <v>-52.71</v>
      </c>
      <c r="I3663">
        <v>77</v>
      </c>
      <c r="J3663">
        <v>-36.99</v>
      </c>
      <c r="K3663">
        <v>91</v>
      </c>
      <c r="L3663">
        <v>-18.27</v>
      </c>
      <c r="M3663">
        <v>68</v>
      </c>
      <c r="N3663">
        <v>2.46</v>
      </c>
      <c r="O3663">
        <v>69</v>
      </c>
      <c r="P3663">
        <v>-21.42</v>
      </c>
      <c r="Q3663">
        <v>83</v>
      </c>
      <c r="R3663">
        <v>1.75</v>
      </c>
      <c r="S3663">
        <v>69</v>
      </c>
      <c r="T3663">
        <v>23.52</v>
      </c>
      <c r="U3663">
        <v>75</v>
      </c>
      <c r="V3663">
        <v>-3.76</v>
      </c>
      <c r="W3663">
        <v>63</v>
      </c>
      <c r="X3663" t="s">
        <v>102</v>
      </c>
      <c r="Y3663" t="s">
        <v>2565</v>
      </c>
      <c r="Z3663" t="s">
        <v>96</v>
      </c>
      <c r="AA3663" t="s">
        <v>4464</v>
      </c>
      <c r="AB3663" t="s">
        <v>8822</v>
      </c>
      <c r="AC3663">
        <v>32</v>
      </c>
      <c r="AD3663">
        <v>21</v>
      </c>
      <c r="AE3663">
        <v>91</v>
      </c>
      <c r="AF3663">
        <v>-268.69</v>
      </c>
      <c r="AG3663">
        <v>-6.68</v>
      </c>
      <c r="AH3663">
        <v>-8.0399999999999991</v>
      </c>
      <c r="AI3663">
        <v>7.0000000000000007E-2</v>
      </c>
      <c r="AJ3663">
        <v>0.02</v>
      </c>
      <c r="AK3663">
        <v>68</v>
      </c>
      <c r="AL3663">
        <v>34</v>
      </c>
      <c r="AM3663">
        <v>22</v>
      </c>
      <c r="AN3663">
        <v>1.56</v>
      </c>
      <c r="AO3663">
        <v>0.11</v>
      </c>
      <c r="AP3663">
        <v>43</v>
      </c>
      <c r="AQ3663">
        <v>0</v>
      </c>
      <c r="AR3663">
        <v>8.18</v>
      </c>
      <c r="AS3663">
        <v>52</v>
      </c>
      <c r="AT3663">
        <v>2.97</v>
      </c>
      <c r="AU3663">
        <v>71</v>
      </c>
      <c r="AV3663">
        <v>-1.94</v>
      </c>
      <c r="AW3663">
        <v>78</v>
      </c>
      <c r="AX3663">
        <v>-0.19</v>
      </c>
      <c r="AY3663">
        <v>65</v>
      </c>
      <c r="AZ3663">
        <v>8.6</v>
      </c>
      <c r="BA3663">
        <v>49</v>
      </c>
      <c r="BB3663">
        <v>6.69</v>
      </c>
      <c r="BC3663">
        <v>51</v>
      </c>
      <c r="BD3663">
        <v>0.01</v>
      </c>
      <c r="BE3663">
        <v>-0.03</v>
      </c>
      <c r="BF3663">
        <v>0</v>
      </c>
      <c r="BG3663">
        <v>77</v>
      </c>
      <c r="BH3663">
        <v>-0.1</v>
      </c>
      <c r="BI3663">
        <v>0.55000000000000004</v>
      </c>
      <c r="BJ3663">
        <v>21</v>
      </c>
      <c r="BK3663">
        <v>15</v>
      </c>
      <c r="BL3663">
        <v>-3.57</v>
      </c>
      <c r="BM3663">
        <v>0.78</v>
      </c>
      <c r="BN3663">
        <v>-4.2</v>
      </c>
      <c r="BO3663">
        <v>-3.55</v>
      </c>
      <c r="BP3663">
        <v>-1.86</v>
      </c>
      <c r="BQ3663">
        <v>0.22</v>
      </c>
      <c r="BR3663">
        <v>-1.93</v>
      </c>
      <c r="BS3663">
        <v>0.26</v>
      </c>
      <c r="BT3663">
        <v>0.61</v>
      </c>
      <c r="BU3663">
        <v>-2.2599999999999998</v>
      </c>
      <c r="BV3663">
        <v>-3.8</v>
      </c>
      <c r="BW3663">
        <v>-2.0499999999999998</v>
      </c>
      <c r="BX3663">
        <v>-0.45</v>
      </c>
      <c r="BY3663">
        <v>-0.69</v>
      </c>
      <c r="BZ3663">
        <v>-0.73</v>
      </c>
      <c r="CA3663">
        <v>-1.82</v>
      </c>
      <c r="CB3663">
        <v>-2.41</v>
      </c>
      <c r="CC3663">
        <v>-0.45</v>
      </c>
      <c r="CD3663">
        <v>2.54</v>
      </c>
      <c r="CE3663">
        <v>-3.04</v>
      </c>
      <c r="CF3663">
        <v>-3.3</v>
      </c>
      <c r="CG3663">
        <v>0</v>
      </c>
      <c r="CH3663">
        <v>-0.16</v>
      </c>
      <c r="CI3663">
        <v>0</v>
      </c>
      <c r="CJ3663">
        <v>-15.1</v>
      </c>
      <c r="CK3663">
        <v>85</v>
      </c>
      <c r="CL3663">
        <v>-0.03</v>
      </c>
      <c r="CM3663">
        <v>82</v>
      </c>
      <c r="CN3663">
        <v>-0.17</v>
      </c>
      <c r="CO3663">
        <v>80</v>
      </c>
      <c r="CP3663">
        <v>-15.1</v>
      </c>
      <c r="CQ3663">
        <v>82</v>
      </c>
      <c r="CR3663">
        <v>0</v>
      </c>
      <c r="CS3663">
        <v>0</v>
      </c>
      <c r="CT3663">
        <v>-18</v>
      </c>
      <c r="CU3663">
        <v>75</v>
      </c>
      <c r="CV3663">
        <v>-0.22</v>
      </c>
      <c r="CW3663">
        <v>42</v>
      </c>
      <c r="CX3663" t="s">
        <v>8823</v>
      </c>
    </row>
    <row r="3664" spans="1:102" x14ac:dyDescent="0.3">
      <c r="A3664" t="str">
        <f>HYPERLINK("https://webapp.icbf.com/v2/app/bull-search/view/77856085","LAE")</f>
        <v>LAE</v>
      </c>
      <c r="B3664" t="s">
        <v>6752</v>
      </c>
      <c r="C3664" t="s">
        <v>6753</v>
      </c>
      <c r="D3664" s="1">
        <v>33260</v>
      </c>
      <c r="E3664" t="s">
        <v>92</v>
      </c>
      <c r="F3664">
        <v>81</v>
      </c>
      <c r="G3664" t="s">
        <v>93</v>
      </c>
      <c r="H3664">
        <v>-52.8</v>
      </c>
      <c r="I3664">
        <v>76</v>
      </c>
      <c r="J3664">
        <v>31.04</v>
      </c>
      <c r="K3664">
        <v>93</v>
      </c>
      <c r="L3664">
        <v>-40.1</v>
      </c>
      <c r="M3664">
        <v>66</v>
      </c>
      <c r="N3664">
        <v>-28.96</v>
      </c>
      <c r="O3664">
        <v>65</v>
      </c>
      <c r="P3664">
        <v>2.96</v>
      </c>
      <c r="Q3664">
        <v>85</v>
      </c>
      <c r="R3664">
        <v>-15.74</v>
      </c>
      <c r="S3664">
        <v>68</v>
      </c>
      <c r="T3664">
        <v>2.21</v>
      </c>
      <c r="U3664">
        <v>80</v>
      </c>
      <c r="V3664">
        <v>-4.21</v>
      </c>
      <c r="W3664">
        <v>35</v>
      </c>
      <c r="X3664" t="s">
        <v>94</v>
      </c>
      <c r="Y3664" t="s">
        <v>95</v>
      </c>
      <c r="Z3664" t="s">
        <v>96</v>
      </c>
      <c r="AA3664" t="s">
        <v>3364</v>
      </c>
      <c r="AB3664" t="s">
        <v>6754</v>
      </c>
      <c r="AC3664">
        <v>63</v>
      </c>
      <c r="AD3664">
        <v>44</v>
      </c>
      <c r="AE3664">
        <v>93</v>
      </c>
      <c r="AF3664">
        <v>-132.88999999999999</v>
      </c>
      <c r="AG3664">
        <v>10.56</v>
      </c>
      <c r="AH3664">
        <v>-0.49</v>
      </c>
      <c r="AI3664">
        <v>0.27</v>
      </c>
      <c r="AJ3664">
        <v>7.0000000000000007E-2</v>
      </c>
      <c r="AK3664">
        <v>66</v>
      </c>
      <c r="AL3664">
        <v>109</v>
      </c>
      <c r="AM3664">
        <v>89</v>
      </c>
      <c r="AN3664">
        <v>1.26</v>
      </c>
      <c r="AO3664">
        <v>-1.95</v>
      </c>
      <c r="AP3664">
        <v>10</v>
      </c>
      <c r="AQ3664">
        <v>0</v>
      </c>
      <c r="AR3664">
        <v>11.43</v>
      </c>
      <c r="AS3664">
        <v>35</v>
      </c>
      <c r="AT3664">
        <v>4.18</v>
      </c>
      <c r="AU3664">
        <v>57</v>
      </c>
      <c r="AV3664">
        <v>0.27</v>
      </c>
      <c r="AW3664">
        <v>79</v>
      </c>
      <c r="AX3664">
        <v>0.02</v>
      </c>
      <c r="AY3664">
        <v>76</v>
      </c>
      <c r="AZ3664">
        <v>7.62</v>
      </c>
      <c r="BA3664">
        <v>35</v>
      </c>
      <c r="BB3664">
        <v>5.47</v>
      </c>
      <c r="BC3664">
        <v>54</v>
      </c>
      <c r="BD3664">
        <v>0.06</v>
      </c>
      <c r="BE3664">
        <v>0.08</v>
      </c>
      <c r="BF3664">
        <v>0.11</v>
      </c>
      <c r="BG3664">
        <v>86</v>
      </c>
      <c r="BH3664">
        <v>-0.04</v>
      </c>
      <c r="BI3664">
        <v>8.9499999999999993</v>
      </c>
      <c r="BJ3664">
        <v>7</v>
      </c>
      <c r="BK3664">
        <v>7</v>
      </c>
      <c r="BL3664">
        <v>-0.99</v>
      </c>
      <c r="BM3664">
        <v>1.1299999999999999</v>
      </c>
      <c r="BN3664">
        <v>-0.93</v>
      </c>
      <c r="BO3664">
        <v>-1.29</v>
      </c>
      <c r="BP3664">
        <v>0.93</v>
      </c>
      <c r="BQ3664">
        <v>0.28999999999999998</v>
      </c>
      <c r="BR3664">
        <v>-0.15</v>
      </c>
      <c r="BS3664">
        <v>-0.11</v>
      </c>
      <c r="BT3664">
        <v>0.63</v>
      </c>
      <c r="BU3664">
        <v>-1.75</v>
      </c>
      <c r="BV3664">
        <v>-1.17</v>
      </c>
      <c r="BW3664">
        <v>-0.95</v>
      </c>
      <c r="BX3664">
        <v>-1.42</v>
      </c>
      <c r="BY3664">
        <v>-1.58</v>
      </c>
      <c r="BZ3664">
        <v>-0.18</v>
      </c>
      <c r="CA3664">
        <v>-1.23</v>
      </c>
      <c r="CB3664">
        <v>-1.18</v>
      </c>
      <c r="CC3664">
        <v>-0.86</v>
      </c>
      <c r="CD3664">
        <v>1.19</v>
      </c>
      <c r="CE3664">
        <v>-1.22</v>
      </c>
      <c r="CF3664">
        <v>-1.02</v>
      </c>
      <c r="CG3664">
        <v>0</v>
      </c>
      <c r="CH3664">
        <v>-0.68</v>
      </c>
      <c r="CI3664">
        <v>0</v>
      </c>
      <c r="CJ3664">
        <v>3</v>
      </c>
      <c r="CK3664">
        <v>86</v>
      </c>
      <c r="CL3664">
        <v>0.12</v>
      </c>
      <c r="CM3664">
        <v>83</v>
      </c>
      <c r="CN3664">
        <v>0.16</v>
      </c>
      <c r="CO3664">
        <v>81</v>
      </c>
      <c r="CP3664">
        <v>-3.6</v>
      </c>
      <c r="CQ3664">
        <v>89</v>
      </c>
      <c r="CR3664">
        <v>0</v>
      </c>
      <c r="CS3664">
        <v>0</v>
      </c>
      <c r="CT3664">
        <v>10.8</v>
      </c>
      <c r="CU3664">
        <v>80</v>
      </c>
      <c r="CV3664">
        <v>0.08</v>
      </c>
      <c r="CW3664">
        <v>24</v>
      </c>
      <c r="CX3664" t="s">
        <v>3180</v>
      </c>
    </row>
    <row r="3665" spans="1:102" x14ac:dyDescent="0.3">
      <c r="A3665" t="str">
        <f>HYPERLINK("https://webapp.icbf.com/v2/app/bull-search/view/77857825","FBN")</f>
        <v>FBN</v>
      </c>
      <c r="B3665" t="s">
        <v>3748</v>
      </c>
      <c r="C3665" t="s">
        <v>3749</v>
      </c>
      <c r="D3665" s="1">
        <v>33923</v>
      </c>
      <c r="E3665" t="s">
        <v>92</v>
      </c>
      <c r="F3665">
        <v>88</v>
      </c>
      <c r="G3665" t="s">
        <v>93</v>
      </c>
      <c r="H3665">
        <v>-53.05</v>
      </c>
      <c r="I3665">
        <v>53</v>
      </c>
      <c r="J3665">
        <v>-11.43</v>
      </c>
      <c r="K3665">
        <v>73</v>
      </c>
      <c r="L3665">
        <v>-61.12</v>
      </c>
      <c r="M3665">
        <v>45</v>
      </c>
      <c r="N3665">
        <v>12.6</v>
      </c>
      <c r="O3665">
        <v>37</v>
      </c>
      <c r="P3665">
        <v>-8.25</v>
      </c>
      <c r="Q3665">
        <v>49</v>
      </c>
      <c r="R3665">
        <v>-2.06</v>
      </c>
      <c r="S3665">
        <v>51</v>
      </c>
      <c r="T3665">
        <v>15.6</v>
      </c>
      <c r="U3665">
        <v>46</v>
      </c>
      <c r="V3665">
        <v>1.61</v>
      </c>
      <c r="W3665">
        <v>20</v>
      </c>
      <c r="X3665" t="s">
        <v>94</v>
      </c>
      <c r="Y3665" t="s">
        <v>95</v>
      </c>
      <c r="Z3665" t="s">
        <v>96</v>
      </c>
      <c r="AA3665" t="s">
        <v>798</v>
      </c>
      <c r="AB3665" t="s">
        <v>3750</v>
      </c>
      <c r="AC3665">
        <v>14</v>
      </c>
      <c r="AD3665">
        <v>15</v>
      </c>
      <c r="AE3665">
        <v>73</v>
      </c>
      <c r="AF3665">
        <v>57.95</v>
      </c>
      <c r="AG3665">
        <v>1.93</v>
      </c>
      <c r="AH3665">
        <v>-1.74</v>
      </c>
      <c r="AI3665">
        <v>-0.01</v>
      </c>
      <c r="AJ3665">
        <v>-0.06</v>
      </c>
      <c r="AK3665">
        <v>45</v>
      </c>
      <c r="AL3665">
        <v>26</v>
      </c>
      <c r="AM3665">
        <v>23</v>
      </c>
      <c r="AN3665">
        <v>3.68</v>
      </c>
      <c r="AO3665">
        <v>-1.19</v>
      </c>
      <c r="AP3665">
        <v>3</v>
      </c>
      <c r="AQ3665">
        <v>0</v>
      </c>
      <c r="AR3665">
        <v>6.74</v>
      </c>
      <c r="AS3665">
        <v>23</v>
      </c>
      <c r="AT3665">
        <v>2.94</v>
      </c>
      <c r="AU3665">
        <v>36</v>
      </c>
      <c r="AV3665">
        <v>-0.32</v>
      </c>
      <c r="AW3665">
        <v>42</v>
      </c>
      <c r="AX3665">
        <v>-0.56000000000000005</v>
      </c>
      <c r="AY3665">
        <v>42</v>
      </c>
      <c r="AZ3665">
        <v>5.24</v>
      </c>
      <c r="BA3665">
        <v>23</v>
      </c>
      <c r="BB3665">
        <v>4.33</v>
      </c>
      <c r="BC3665">
        <v>29</v>
      </c>
      <c r="BD3665">
        <v>0.02</v>
      </c>
      <c r="BE3665">
        <v>0.06</v>
      </c>
      <c r="BF3665">
        <v>-0.1</v>
      </c>
      <c r="BG3665">
        <v>66</v>
      </c>
      <c r="BH3665">
        <v>0.05</v>
      </c>
      <c r="BI3665">
        <v>0.6</v>
      </c>
      <c r="BJ3665">
        <v>1</v>
      </c>
      <c r="BK3665">
        <v>1</v>
      </c>
      <c r="BL3665">
        <v>-0.01</v>
      </c>
      <c r="BM3665">
        <v>0.13</v>
      </c>
      <c r="BN3665">
        <v>-0.2</v>
      </c>
      <c r="BO3665">
        <v>-0.12</v>
      </c>
      <c r="BP3665">
        <v>0.52</v>
      </c>
      <c r="BQ3665">
        <v>-0.46</v>
      </c>
      <c r="BR3665">
        <v>-0.15</v>
      </c>
      <c r="BS3665">
        <v>1.1599999999999999</v>
      </c>
      <c r="BT3665">
        <v>0.43</v>
      </c>
      <c r="BU3665">
        <v>0.18</v>
      </c>
      <c r="BV3665">
        <v>-0.03</v>
      </c>
      <c r="BW3665">
        <v>0.23</v>
      </c>
      <c r="BX3665">
        <v>0.33</v>
      </c>
      <c r="BY3665">
        <v>0.04</v>
      </c>
      <c r="BZ3665">
        <v>-0.78</v>
      </c>
      <c r="CA3665">
        <v>0.53</v>
      </c>
      <c r="CB3665">
        <v>-0.09</v>
      </c>
      <c r="CC3665">
        <v>1.49</v>
      </c>
      <c r="CD3665">
        <v>-0.12</v>
      </c>
      <c r="CE3665">
        <v>0.09</v>
      </c>
      <c r="CF3665">
        <v>-0.14000000000000001</v>
      </c>
      <c r="CG3665">
        <v>0</v>
      </c>
      <c r="CH3665">
        <v>-0.15</v>
      </c>
      <c r="CI3665">
        <v>0</v>
      </c>
      <c r="CJ3665">
        <v>-2</v>
      </c>
      <c r="CK3665">
        <v>50</v>
      </c>
      <c r="CL3665">
        <v>-0.64</v>
      </c>
      <c r="CM3665">
        <v>46</v>
      </c>
      <c r="CN3665">
        <v>-0.19</v>
      </c>
      <c r="CO3665">
        <v>41</v>
      </c>
      <c r="CP3665">
        <v>-7.4</v>
      </c>
      <c r="CQ3665">
        <v>59</v>
      </c>
      <c r="CR3665">
        <v>0</v>
      </c>
      <c r="CS3665">
        <v>0</v>
      </c>
      <c r="CT3665">
        <v>-7.3</v>
      </c>
      <c r="CU3665">
        <v>46</v>
      </c>
      <c r="CV3665">
        <v>0.16</v>
      </c>
      <c r="CW3665">
        <v>13</v>
      </c>
      <c r="CX3665" t="s">
        <v>111</v>
      </c>
    </row>
    <row r="3666" spans="1:102" x14ac:dyDescent="0.3">
      <c r="A3666" t="str">
        <f>HYPERLINK("https://webapp.icbf.com/v2/app/bull-search/view/77853796","SGH")</f>
        <v>SGH</v>
      </c>
      <c r="B3666" t="s">
        <v>11050</v>
      </c>
      <c r="C3666" t="s">
        <v>3770</v>
      </c>
      <c r="D3666" s="1">
        <v>32952</v>
      </c>
      <c r="E3666" t="s">
        <v>92</v>
      </c>
      <c r="F3666">
        <v>100</v>
      </c>
      <c r="G3666" t="s">
        <v>93</v>
      </c>
      <c r="H3666">
        <v>-53.17</v>
      </c>
      <c r="I3666">
        <v>92</v>
      </c>
      <c r="J3666">
        <v>2.09</v>
      </c>
      <c r="K3666">
        <v>98</v>
      </c>
      <c r="L3666">
        <v>-47.47</v>
      </c>
      <c r="M3666">
        <v>92</v>
      </c>
      <c r="N3666">
        <v>1.64</v>
      </c>
      <c r="O3666">
        <v>85</v>
      </c>
      <c r="P3666">
        <v>-2.36</v>
      </c>
      <c r="Q3666">
        <v>93</v>
      </c>
      <c r="R3666">
        <v>-11.09</v>
      </c>
      <c r="S3666">
        <v>85</v>
      </c>
      <c r="T3666">
        <v>3.84</v>
      </c>
      <c r="U3666">
        <v>85</v>
      </c>
      <c r="V3666">
        <v>0.18</v>
      </c>
      <c r="W3666">
        <v>76</v>
      </c>
      <c r="X3666" t="s">
        <v>102</v>
      </c>
      <c r="Y3666" t="s">
        <v>95</v>
      </c>
      <c r="Z3666" t="s">
        <v>96</v>
      </c>
      <c r="AA3666" t="s">
        <v>3842</v>
      </c>
      <c r="AB3666" t="s">
        <v>11051</v>
      </c>
      <c r="AC3666">
        <v>203</v>
      </c>
      <c r="AD3666">
        <v>110</v>
      </c>
      <c r="AE3666">
        <v>98</v>
      </c>
      <c r="AF3666">
        <v>21.51</v>
      </c>
      <c r="AG3666">
        <v>-1.0900000000000001</v>
      </c>
      <c r="AH3666">
        <v>1.07</v>
      </c>
      <c r="AI3666">
        <v>-0.03</v>
      </c>
      <c r="AJ3666">
        <v>0.01</v>
      </c>
      <c r="AK3666">
        <v>92</v>
      </c>
      <c r="AL3666">
        <v>208</v>
      </c>
      <c r="AM3666">
        <v>105</v>
      </c>
      <c r="AN3666">
        <v>2.2799999999999998</v>
      </c>
      <c r="AO3666">
        <v>-1.51</v>
      </c>
      <c r="AP3666">
        <v>36</v>
      </c>
      <c r="AQ3666">
        <v>0</v>
      </c>
      <c r="AR3666">
        <v>10.51</v>
      </c>
      <c r="AS3666">
        <v>73</v>
      </c>
      <c r="AT3666">
        <v>3.54</v>
      </c>
      <c r="AU3666">
        <v>92</v>
      </c>
      <c r="AV3666">
        <v>-1.02</v>
      </c>
      <c r="AW3666">
        <v>85</v>
      </c>
      <c r="AX3666">
        <v>-0.41</v>
      </c>
      <c r="AY3666">
        <v>88</v>
      </c>
      <c r="AZ3666">
        <v>5.72</v>
      </c>
      <c r="BA3666">
        <v>69</v>
      </c>
      <c r="BB3666">
        <v>4.1900000000000004</v>
      </c>
      <c r="BC3666">
        <v>80</v>
      </c>
      <c r="BD3666">
        <v>0.06</v>
      </c>
      <c r="BE3666">
        <v>0.05</v>
      </c>
      <c r="BF3666">
        <v>0.06</v>
      </c>
      <c r="BG3666">
        <v>94</v>
      </c>
      <c r="BH3666">
        <v>0.1</v>
      </c>
      <c r="BI3666">
        <v>10.99</v>
      </c>
      <c r="BJ3666">
        <v>19</v>
      </c>
      <c r="BK3666">
        <v>14</v>
      </c>
      <c r="BL3666">
        <v>0.45</v>
      </c>
      <c r="BM3666">
        <v>0.83</v>
      </c>
      <c r="BN3666">
        <v>0.42</v>
      </c>
      <c r="BO3666">
        <v>-7.0000000000000007E-2</v>
      </c>
      <c r="BP3666">
        <v>0.09</v>
      </c>
      <c r="BQ3666">
        <v>-1.18</v>
      </c>
      <c r="BR3666">
        <v>0.88</v>
      </c>
      <c r="BS3666">
        <v>-0.42</v>
      </c>
      <c r="BT3666">
        <v>-1.19</v>
      </c>
      <c r="BU3666">
        <v>-1.3</v>
      </c>
      <c r="BV3666">
        <v>-1.3</v>
      </c>
      <c r="BW3666">
        <v>-0.83</v>
      </c>
      <c r="BX3666">
        <v>-0.66</v>
      </c>
      <c r="BY3666">
        <v>0.12</v>
      </c>
      <c r="BZ3666">
        <v>1.21</v>
      </c>
      <c r="CA3666">
        <v>-1.07</v>
      </c>
      <c r="CB3666">
        <v>-1.1200000000000001</v>
      </c>
      <c r="CC3666">
        <v>-0.4</v>
      </c>
      <c r="CD3666">
        <v>0.53</v>
      </c>
      <c r="CE3666">
        <v>0.13</v>
      </c>
      <c r="CF3666">
        <v>0.74</v>
      </c>
      <c r="CG3666">
        <v>0</v>
      </c>
      <c r="CH3666">
        <v>0.02</v>
      </c>
      <c r="CI3666">
        <v>0</v>
      </c>
      <c r="CJ3666">
        <v>2</v>
      </c>
      <c r="CK3666">
        <v>93</v>
      </c>
      <c r="CL3666">
        <v>-0.59</v>
      </c>
      <c r="CM3666">
        <v>92</v>
      </c>
      <c r="CN3666">
        <v>-0.08</v>
      </c>
      <c r="CO3666">
        <v>91</v>
      </c>
      <c r="CP3666">
        <v>0.2</v>
      </c>
      <c r="CQ3666">
        <v>94</v>
      </c>
      <c r="CR3666">
        <v>0</v>
      </c>
      <c r="CS3666">
        <v>0</v>
      </c>
      <c r="CT3666">
        <v>8.6</v>
      </c>
      <c r="CU3666">
        <v>85</v>
      </c>
      <c r="CV3666">
        <v>0.18</v>
      </c>
      <c r="CW3666">
        <v>44</v>
      </c>
      <c r="CX3666" t="s">
        <v>154</v>
      </c>
    </row>
    <row r="3667" spans="1:102" x14ac:dyDescent="0.3">
      <c r="A3667" t="str">
        <f>HYPERLINK("https://webapp.icbf.com/v2/app/bull-search/view/586044304","S1203")</f>
        <v>S1203</v>
      </c>
      <c r="B3667" t="s">
        <v>14884</v>
      </c>
      <c r="C3667" t="s">
        <v>14885</v>
      </c>
      <c r="D3667" s="1">
        <v>38950</v>
      </c>
      <c r="E3667" t="s">
        <v>92</v>
      </c>
      <c r="F3667">
        <v>100</v>
      </c>
      <c r="G3667" t="s">
        <v>93</v>
      </c>
      <c r="H3667">
        <v>-53.26</v>
      </c>
      <c r="I3667">
        <v>88</v>
      </c>
      <c r="J3667">
        <v>16.75</v>
      </c>
      <c r="K3667">
        <v>96</v>
      </c>
      <c r="L3667">
        <v>-64.89</v>
      </c>
      <c r="M3667">
        <v>90</v>
      </c>
      <c r="N3667">
        <v>4.0599999999999996</v>
      </c>
      <c r="O3667">
        <v>83</v>
      </c>
      <c r="P3667">
        <v>-7.6</v>
      </c>
      <c r="Q3667">
        <v>83</v>
      </c>
      <c r="R3667">
        <v>9.35</v>
      </c>
      <c r="S3667">
        <v>81</v>
      </c>
      <c r="T3667">
        <v>-7.19</v>
      </c>
      <c r="U3667">
        <v>72</v>
      </c>
      <c r="V3667">
        <v>-3.74</v>
      </c>
      <c r="W3667">
        <v>74</v>
      </c>
      <c r="X3667" t="s">
        <v>276</v>
      </c>
      <c r="Y3667" t="s">
        <v>336</v>
      </c>
      <c r="Z3667" t="s">
        <v>96</v>
      </c>
      <c r="AA3667" t="s">
        <v>11783</v>
      </c>
      <c r="AB3667" t="s">
        <v>9235</v>
      </c>
      <c r="AC3667">
        <v>75</v>
      </c>
      <c r="AD3667">
        <v>29</v>
      </c>
      <c r="AE3667">
        <v>96</v>
      </c>
      <c r="AF3667">
        <v>242.74</v>
      </c>
      <c r="AG3667">
        <v>0.38</v>
      </c>
      <c r="AH3667">
        <v>6.43</v>
      </c>
      <c r="AI3667">
        <v>-0.15</v>
      </c>
      <c r="AJ3667">
        <v>-0.03</v>
      </c>
      <c r="AK3667">
        <v>90</v>
      </c>
      <c r="AL3667">
        <v>63</v>
      </c>
      <c r="AM3667">
        <v>26</v>
      </c>
      <c r="AN3667">
        <v>3.91</v>
      </c>
      <c r="AO3667">
        <v>-1.26</v>
      </c>
      <c r="AP3667">
        <v>180</v>
      </c>
      <c r="AQ3667">
        <v>0</v>
      </c>
      <c r="AR3667">
        <v>9.77</v>
      </c>
      <c r="AS3667">
        <v>72</v>
      </c>
      <c r="AT3667">
        <v>3.32</v>
      </c>
      <c r="AU3667">
        <v>92</v>
      </c>
      <c r="AV3667">
        <v>-1.1499999999999999</v>
      </c>
      <c r="AW3667">
        <v>91</v>
      </c>
      <c r="AX3667">
        <v>0.75</v>
      </c>
      <c r="AY3667">
        <v>78</v>
      </c>
      <c r="AZ3667">
        <v>5.03</v>
      </c>
      <c r="BA3667">
        <v>63</v>
      </c>
      <c r="BB3667">
        <v>4.42</v>
      </c>
      <c r="BC3667">
        <v>58</v>
      </c>
      <c r="BD3667">
        <v>0</v>
      </c>
      <c r="BE3667">
        <v>-0.05</v>
      </c>
      <c r="BF3667">
        <v>-0.12</v>
      </c>
      <c r="BG3667">
        <v>94</v>
      </c>
      <c r="BH3667">
        <v>-0.12</v>
      </c>
      <c r="BI3667">
        <v>-1.83</v>
      </c>
      <c r="BJ3667">
        <v>38</v>
      </c>
      <c r="BK3667">
        <v>16</v>
      </c>
      <c r="BL3667">
        <v>1.94</v>
      </c>
      <c r="BM3667">
        <v>0.33</v>
      </c>
      <c r="BN3667">
        <v>2.29</v>
      </c>
      <c r="BO3667">
        <v>1.65</v>
      </c>
      <c r="BP3667">
        <v>1.61</v>
      </c>
      <c r="BQ3667">
        <v>3.24</v>
      </c>
      <c r="BR3667">
        <v>2.34</v>
      </c>
      <c r="BS3667">
        <v>1.56</v>
      </c>
      <c r="BT3667">
        <v>-1</v>
      </c>
      <c r="BU3667">
        <v>2.5</v>
      </c>
      <c r="BV3667">
        <v>2.63</v>
      </c>
      <c r="BW3667">
        <v>1.73</v>
      </c>
      <c r="BX3667">
        <v>1.3</v>
      </c>
      <c r="BY3667">
        <v>2.27</v>
      </c>
      <c r="BZ3667">
        <v>-0.35</v>
      </c>
      <c r="CA3667">
        <v>2.37</v>
      </c>
      <c r="CB3667">
        <v>2.14</v>
      </c>
      <c r="CC3667">
        <v>1.06</v>
      </c>
      <c r="CD3667">
        <v>-1</v>
      </c>
      <c r="CE3667">
        <v>2.0499999999999998</v>
      </c>
      <c r="CF3667">
        <v>2.77</v>
      </c>
      <c r="CG3667">
        <v>0</v>
      </c>
      <c r="CH3667">
        <v>2.62</v>
      </c>
      <c r="CI3667">
        <v>0</v>
      </c>
      <c r="CJ3667">
        <v>-1.9</v>
      </c>
      <c r="CK3667">
        <v>85</v>
      </c>
      <c r="CL3667">
        <v>-1.52</v>
      </c>
      <c r="CM3667">
        <v>82</v>
      </c>
      <c r="CN3667">
        <v>-0.84</v>
      </c>
      <c r="CO3667">
        <v>80</v>
      </c>
      <c r="CP3667">
        <v>5.8</v>
      </c>
      <c r="CQ3667">
        <v>75</v>
      </c>
      <c r="CR3667">
        <v>0</v>
      </c>
      <c r="CS3667">
        <v>0</v>
      </c>
      <c r="CT3667">
        <v>23.5</v>
      </c>
      <c r="CU3667">
        <v>72</v>
      </c>
      <c r="CV3667">
        <v>0.35</v>
      </c>
      <c r="CW3667">
        <v>43</v>
      </c>
      <c r="CX3667" t="s">
        <v>1801</v>
      </c>
    </row>
    <row r="3668" spans="1:102" x14ac:dyDescent="0.3">
      <c r="A3668" t="str">
        <f>HYPERLINK("https://webapp.icbf.com/v2/app/bull-search/view/659998627","S812")</f>
        <v>S812</v>
      </c>
      <c r="B3668" t="s">
        <v>7009</v>
      </c>
      <c r="C3668" t="s">
        <v>7010</v>
      </c>
      <c r="D3668" s="1">
        <v>37581</v>
      </c>
      <c r="E3668" t="s">
        <v>140</v>
      </c>
      <c r="F3668">
        <v>0</v>
      </c>
      <c r="G3668" t="s">
        <v>109</v>
      </c>
      <c r="H3668">
        <v>-53.42</v>
      </c>
      <c r="I3668">
        <v>69</v>
      </c>
      <c r="J3668">
        <v>-16.690000000000001</v>
      </c>
      <c r="K3668">
        <v>88</v>
      </c>
      <c r="L3668">
        <v>-29.83</v>
      </c>
      <c r="M3668">
        <v>58</v>
      </c>
      <c r="N3668">
        <v>-16.510000000000002</v>
      </c>
      <c r="O3668">
        <v>61</v>
      </c>
      <c r="P3668">
        <v>4.24</v>
      </c>
      <c r="Q3668">
        <v>71</v>
      </c>
      <c r="R3668">
        <v>2.57</v>
      </c>
      <c r="S3668">
        <v>61</v>
      </c>
      <c r="T3668">
        <v>19.149999999999999</v>
      </c>
      <c r="U3668">
        <v>61</v>
      </c>
      <c r="V3668">
        <v>-16.350000000000001</v>
      </c>
      <c r="W3668">
        <v>47</v>
      </c>
      <c r="X3668" t="s">
        <v>102</v>
      </c>
      <c r="Y3668" t="s">
        <v>1494</v>
      </c>
      <c r="Z3668">
        <v>0</v>
      </c>
      <c r="AA3668" t="s">
        <v>7011</v>
      </c>
      <c r="AB3668" t="s">
        <v>7012</v>
      </c>
      <c r="AC3668">
        <v>0</v>
      </c>
      <c r="AD3668">
        <v>0</v>
      </c>
      <c r="AE3668">
        <v>88</v>
      </c>
      <c r="AF3668">
        <v>-22.43</v>
      </c>
      <c r="AG3668">
        <v>-6.31</v>
      </c>
      <c r="AH3668">
        <v>-0.95</v>
      </c>
      <c r="AI3668">
        <v>-0.1</v>
      </c>
      <c r="AJ3668">
        <v>0</v>
      </c>
      <c r="AK3668">
        <v>58</v>
      </c>
      <c r="AL3668">
        <v>14</v>
      </c>
      <c r="AM3668">
        <v>4</v>
      </c>
      <c r="AN3668">
        <v>3.86</v>
      </c>
      <c r="AO3668">
        <v>1.51</v>
      </c>
      <c r="AP3668">
        <v>16</v>
      </c>
      <c r="AQ3668">
        <v>0</v>
      </c>
      <c r="AR3668">
        <v>7.75</v>
      </c>
      <c r="AS3668">
        <v>42</v>
      </c>
      <c r="AT3668">
        <v>4.51</v>
      </c>
      <c r="AU3668">
        <v>55</v>
      </c>
      <c r="AV3668">
        <v>0.97</v>
      </c>
      <c r="AW3668">
        <v>80</v>
      </c>
      <c r="AX3668">
        <v>0.28000000000000003</v>
      </c>
      <c r="AY3668">
        <v>48</v>
      </c>
      <c r="AZ3668">
        <v>5.17</v>
      </c>
      <c r="BA3668">
        <v>35</v>
      </c>
      <c r="BB3668">
        <v>4.1100000000000003</v>
      </c>
      <c r="BC3668">
        <v>40</v>
      </c>
      <c r="BD3668">
        <v>0.03</v>
      </c>
      <c r="BE3668">
        <v>-0.01</v>
      </c>
      <c r="BF3668">
        <v>-0.09</v>
      </c>
      <c r="BG3668">
        <v>69</v>
      </c>
      <c r="BH3668">
        <v>-0.39</v>
      </c>
      <c r="BI3668">
        <v>7.64</v>
      </c>
      <c r="BJ3668">
        <v>0</v>
      </c>
      <c r="BK3668">
        <v>0</v>
      </c>
      <c r="BL3668">
        <v>-0.95</v>
      </c>
      <c r="BM3668">
        <v>3.36</v>
      </c>
      <c r="BN3668">
        <v>-1.66</v>
      </c>
      <c r="BO3668">
        <v>-2.96</v>
      </c>
      <c r="BP3668">
        <v>4.25</v>
      </c>
      <c r="BQ3668">
        <v>-2.25</v>
      </c>
      <c r="BR3668">
        <v>-2.58</v>
      </c>
      <c r="BS3668">
        <v>-0.27</v>
      </c>
      <c r="BT3668">
        <v>2.52</v>
      </c>
      <c r="BU3668">
        <v>-3.36</v>
      </c>
      <c r="BV3668">
        <v>-3.74</v>
      </c>
      <c r="BW3668">
        <v>-2.89</v>
      </c>
      <c r="BX3668">
        <v>-2.79</v>
      </c>
      <c r="BY3668">
        <v>-1.97</v>
      </c>
      <c r="BZ3668">
        <v>1.06</v>
      </c>
      <c r="CA3668">
        <v>-2.4</v>
      </c>
      <c r="CB3668">
        <v>-3.09</v>
      </c>
      <c r="CC3668">
        <v>-0.35</v>
      </c>
      <c r="CD3668">
        <v>3.82</v>
      </c>
      <c r="CE3668">
        <v>-3.01</v>
      </c>
      <c r="CF3668">
        <v>-1.25</v>
      </c>
      <c r="CG3668">
        <v>0</v>
      </c>
      <c r="CH3668">
        <v>-2.65</v>
      </c>
      <c r="CI3668">
        <v>0</v>
      </c>
      <c r="CJ3668">
        <v>-0.2</v>
      </c>
      <c r="CK3668">
        <v>74</v>
      </c>
      <c r="CL3668">
        <v>0.36</v>
      </c>
      <c r="CM3668">
        <v>69</v>
      </c>
      <c r="CN3668">
        <v>-0.15</v>
      </c>
      <c r="CO3668">
        <v>67</v>
      </c>
      <c r="CP3668">
        <v>-6.4</v>
      </c>
      <c r="CQ3668">
        <v>59</v>
      </c>
      <c r="CR3668">
        <v>0</v>
      </c>
      <c r="CS3668">
        <v>0</v>
      </c>
      <c r="CT3668">
        <v>-12.1</v>
      </c>
      <c r="CU3668">
        <v>61</v>
      </c>
      <c r="CV3668">
        <v>0.01</v>
      </c>
      <c r="CW3668">
        <v>40</v>
      </c>
      <c r="CX3668" t="s">
        <v>224</v>
      </c>
    </row>
    <row r="3669" spans="1:102" x14ac:dyDescent="0.3">
      <c r="A3669" t="str">
        <f>HYPERLINK("https://webapp.icbf.com/v2/app/bull-search/view/487000953","OVD")</f>
        <v>OVD</v>
      </c>
      <c r="B3669" t="s">
        <v>7819</v>
      </c>
      <c r="C3669" t="s">
        <v>7820</v>
      </c>
      <c r="D3669" s="1">
        <v>37245</v>
      </c>
      <c r="E3669" t="s">
        <v>92</v>
      </c>
      <c r="F3669">
        <v>100</v>
      </c>
      <c r="G3669" t="s">
        <v>93</v>
      </c>
      <c r="H3669">
        <v>-53.46</v>
      </c>
      <c r="I3669">
        <v>95</v>
      </c>
      <c r="J3669">
        <v>-4.9000000000000004</v>
      </c>
      <c r="K3669">
        <v>99</v>
      </c>
      <c r="L3669">
        <v>-67.84</v>
      </c>
      <c r="M3669">
        <v>93</v>
      </c>
      <c r="N3669">
        <v>12.26</v>
      </c>
      <c r="O3669">
        <v>93</v>
      </c>
      <c r="P3669">
        <v>-0.53</v>
      </c>
      <c r="Q3669">
        <v>97</v>
      </c>
      <c r="R3669">
        <v>1.88</v>
      </c>
      <c r="S3669">
        <v>91</v>
      </c>
      <c r="T3669">
        <v>1.47</v>
      </c>
      <c r="U3669">
        <v>95</v>
      </c>
      <c r="V3669">
        <v>4.2</v>
      </c>
      <c r="W3669">
        <v>91</v>
      </c>
      <c r="X3669" t="s">
        <v>276</v>
      </c>
      <c r="Y3669" t="s">
        <v>221</v>
      </c>
      <c r="Z3669" t="s">
        <v>96</v>
      </c>
      <c r="AA3669" t="s">
        <v>838</v>
      </c>
      <c r="AB3669" t="s">
        <v>1383</v>
      </c>
      <c r="AC3669">
        <v>428</v>
      </c>
      <c r="AD3669">
        <v>152</v>
      </c>
      <c r="AE3669">
        <v>99</v>
      </c>
      <c r="AF3669">
        <v>333.6</v>
      </c>
      <c r="AG3669">
        <v>2.61</v>
      </c>
      <c r="AH3669">
        <v>3.35</v>
      </c>
      <c r="AI3669">
        <v>-0.17</v>
      </c>
      <c r="AJ3669">
        <v>-0.13</v>
      </c>
      <c r="AK3669">
        <v>93</v>
      </c>
      <c r="AL3669">
        <v>392</v>
      </c>
      <c r="AM3669">
        <v>144</v>
      </c>
      <c r="AN3669">
        <v>3.72</v>
      </c>
      <c r="AO3669">
        <v>-1.69</v>
      </c>
      <c r="AP3669">
        <v>609</v>
      </c>
      <c r="AQ3669">
        <v>9</v>
      </c>
      <c r="AR3669">
        <v>7.14</v>
      </c>
      <c r="AS3669">
        <v>94</v>
      </c>
      <c r="AT3669">
        <v>3.77</v>
      </c>
      <c r="AU3669">
        <v>94</v>
      </c>
      <c r="AV3669">
        <v>-1.49</v>
      </c>
      <c r="AW3669">
        <v>97</v>
      </c>
      <c r="AX3669">
        <v>-0.87</v>
      </c>
      <c r="AY3669">
        <v>93</v>
      </c>
      <c r="AZ3669">
        <v>5.99</v>
      </c>
      <c r="BA3669">
        <v>85</v>
      </c>
      <c r="BB3669">
        <v>4.53</v>
      </c>
      <c r="BC3669">
        <v>84</v>
      </c>
      <c r="BD3669">
        <v>0.01</v>
      </c>
      <c r="BE3669">
        <v>0</v>
      </c>
      <c r="BF3669">
        <v>-0.06</v>
      </c>
      <c r="BG3669">
        <v>96</v>
      </c>
      <c r="BH3669">
        <v>0</v>
      </c>
      <c r="BI3669">
        <v>-13.54</v>
      </c>
      <c r="BJ3669">
        <v>171</v>
      </c>
      <c r="BK3669">
        <v>57</v>
      </c>
      <c r="BL3669">
        <v>1.8</v>
      </c>
      <c r="BM3669">
        <v>-0.39</v>
      </c>
      <c r="BN3669">
        <v>1.43</v>
      </c>
      <c r="BO3669">
        <v>1.17</v>
      </c>
      <c r="BP3669">
        <v>0.54</v>
      </c>
      <c r="BQ3669">
        <v>1.88</v>
      </c>
      <c r="BR3669">
        <v>-0.45</v>
      </c>
      <c r="BS3669">
        <v>-1.28</v>
      </c>
      <c r="BT3669">
        <v>1.1000000000000001</v>
      </c>
      <c r="BU3669">
        <v>2.54</v>
      </c>
      <c r="BV3669">
        <v>1.65</v>
      </c>
      <c r="BW3669">
        <v>1.68</v>
      </c>
      <c r="BX3669">
        <v>2.63</v>
      </c>
      <c r="BY3669">
        <v>0.61</v>
      </c>
      <c r="BZ3669">
        <v>2.34</v>
      </c>
      <c r="CA3669">
        <v>0.86</v>
      </c>
      <c r="CB3669">
        <v>1.22</v>
      </c>
      <c r="CC3669">
        <v>-0.21</v>
      </c>
      <c r="CD3669">
        <v>-0.83</v>
      </c>
      <c r="CE3669">
        <v>0.97</v>
      </c>
      <c r="CF3669">
        <v>1.56</v>
      </c>
      <c r="CG3669">
        <v>0</v>
      </c>
      <c r="CH3669">
        <v>0.62</v>
      </c>
      <c r="CI3669">
        <v>0</v>
      </c>
      <c r="CJ3669">
        <v>3.7</v>
      </c>
      <c r="CK3669">
        <v>97</v>
      </c>
      <c r="CL3669">
        <v>-1.01</v>
      </c>
      <c r="CM3669">
        <v>96</v>
      </c>
      <c r="CN3669">
        <v>-0.37</v>
      </c>
      <c r="CO3669">
        <v>95</v>
      </c>
      <c r="CP3669">
        <v>3</v>
      </c>
      <c r="CQ3669">
        <v>97</v>
      </c>
      <c r="CR3669">
        <v>0</v>
      </c>
      <c r="CS3669">
        <v>0</v>
      </c>
      <c r="CT3669">
        <v>11.8</v>
      </c>
      <c r="CU3669">
        <v>95</v>
      </c>
      <c r="CV3669">
        <v>0.28000000000000003</v>
      </c>
      <c r="CW3669">
        <v>45</v>
      </c>
      <c r="CX3669" t="s">
        <v>1384</v>
      </c>
    </row>
    <row r="3670" spans="1:102" x14ac:dyDescent="0.3">
      <c r="A3670" t="str">
        <f>HYPERLINK("https://webapp.icbf.com/v2/app/bull-search/view/77860021","BVE")</f>
        <v>BVE</v>
      </c>
      <c r="B3670" t="s">
        <v>2797</v>
      </c>
      <c r="C3670" t="s">
        <v>2798</v>
      </c>
      <c r="D3670" s="1">
        <v>31890</v>
      </c>
      <c r="E3670" t="s">
        <v>92</v>
      </c>
      <c r="F3670">
        <v>100</v>
      </c>
      <c r="G3670" t="s">
        <v>116</v>
      </c>
      <c r="H3670">
        <v>-53.51</v>
      </c>
      <c r="I3670">
        <v>27</v>
      </c>
      <c r="J3670">
        <v>-38.619999999999997</v>
      </c>
      <c r="K3670">
        <v>26</v>
      </c>
      <c r="L3670">
        <v>-1.81</v>
      </c>
      <c r="M3670">
        <v>28</v>
      </c>
      <c r="N3670">
        <v>-0.75</v>
      </c>
      <c r="O3670">
        <v>29</v>
      </c>
      <c r="P3670">
        <v>-3.67</v>
      </c>
      <c r="Q3670">
        <v>28</v>
      </c>
      <c r="R3670">
        <v>-8</v>
      </c>
      <c r="S3670">
        <v>30</v>
      </c>
      <c r="T3670">
        <v>1.69</v>
      </c>
      <c r="U3670">
        <v>25</v>
      </c>
      <c r="V3670">
        <v>-2.35</v>
      </c>
      <c r="W3670">
        <v>19</v>
      </c>
      <c r="X3670" t="s">
        <v>276</v>
      </c>
      <c r="Y3670" t="s">
        <v>117</v>
      </c>
      <c r="Z3670" t="s">
        <v>96</v>
      </c>
      <c r="AA3670" t="s">
        <v>2792</v>
      </c>
      <c r="AB3670" t="s">
        <v>2799</v>
      </c>
      <c r="AC3670">
        <v>2</v>
      </c>
      <c r="AD3670">
        <v>2</v>
      </c>
      <c r="AE3670">
        <v>26</v>
      </c>
      <c r="AF3670">
        <v>-70.94</v>
      </c>
      <c r="AG3670">
        <v>-5.92</v>
      </c>
      <c r="AH3670">
        <v>-5.56</v>
      </c>
      <c r="AI3670">
        <v>-0.05</v>
      </c>
      <c r="AJ3670">
        <v>-0.05</v>
      </c>
      <c r="AK3670">
        <v>28</v>
      </c>
      <c r="AL3670">
        <v>4</v>
      </c>
      <c r="AM3670">
        <v>3</v>
      </c>
      <c r="AN3670">
        <v>0.46</v>
      </c>
      <c r="AO3670">
        <v>0.32</v>
      </c>
      <c r="AP3670">
        <v>1</v>
      </c>
      <c r="AQ3670">
        <v>0</v>
      </c>
      <c r="AR3670">
        <v>7.28</v>
      </c>
      <c r="AS3670">
        <v>20</v>
      </c>
      <c r="AT3670">
        <v>3.39</v>
      </c>
      <c r="AU3670">
        <v>34</v>
      </c>
      <c r="AV3670">
        <v>-0.46</v>
      </c>
      <c r="AW3670">
        <v>29</v>
      </c>
      <c r="AX3670">
        <v>-0.42</v>
      </c>
      <c r="AY3670">
        <v>31</v>
      </c>
      <c r="AZ3670">
        <v>7.19</v>
      </c>
      <c r="BA3670">
        <v>20</v>
      </c>
      <c r="BB3670">
        <v>5.55</v>
      </c>
      <c r="BC3670">
        <v>22</v>
      </c>
      <c r="BD3670">
        <v>0.03</v>
      </c>
      <c r="BE3670">
        <v>0.06</v>
      </c>
      <c r="BF3670">
        <v>0.02</v>
      </c>
      <c r="BG3670">
        <v>39</v>
      </c>
      <c r="BH3670">
        <v>0.02</v>
      </c>
      <c r="BI3670">
        <v>9.91</v>
      </c>
      <c r="BJ3670">
        <v>0</v>
      </c>
      <c r="BK3670">
        <v>0</v>
      </c>
      <c r="BL3670">
        <v>-0.22</v>
      </c>
      <c r="BM3670">
        <v>1.6</v>
      </c>
      <c r="BN3670">
        <v>0.83</v>
      </c>
      <c r="BO3670">
        <v>-1.01</v>
      </c>
      <c r="BP3670">
        <v>-0.08</v>
      </c>
      <c r="BQ3670">
        <v>0.71</v>
      </c>
      <c r="BR3670">
        <v>1.1100000000000001</v>
      </c>
      <c r="BS3670">
        <v>-0.62</v>
      </c>
      <c r="BT3670">
        <v>-1.72</v>
      </c>
      <c r="BU3670">
        <v>-0.81</v>
      </c>
      <c r="BV3670">
        <v>-1.58</v>
      </c>
      <c r="BW3670">
        <v>-1.1100000000000001</v>
      </c>
      <c r="BX3670">
        <v>-0.8</v>
      </c>
      <c r="BY3670">
        <v>-1.75</v>
      </c>
      <c r="BZ3670">
        <v>-1.28</v>
      </c>
      <c r="CA3670">
        <v>-1.47</v>
      </c>
      <c r="CB3670">
        <v>-1.38</v>
      </c>
      <c r="CC3670">
        <v>-0.88</v>
      </c>
      <c r="CD3670">
        <v>0</v>
      </c>
      <c r="CE3670">
        <v>0</v>
      </c>
      <c r="CF3670">
        <v>0</v>
      </c>
      <c r="CG3670">
        <v>0</v>
      </c>
      <c r="CH3670">
        <v>0</v>
      </c>
      <c r="CI3670">
        <v>0</v>
      </c>
      <c r="CJ3670">
        <v>-0.7</v>
      </c>
      <c r="CK3670">
        <v>29</v>
      </c>
      <c r="CL3670">
        <v>-0.54</v>
      </c>
      <c r="CM3670">
        <v>28</v>
      </c>
      <c r="CN3670">
        <v>-0.24</v>
      </c>
      <c r="CO3670">
        <v>27</v>
      </c>
      <c r="CP3670">
        <v>0.4</v>
      </c>
      <c r="CQ3670">
        <v>27</v>
      </c>
      <c r="CR3670">
        <v>0</v>
      </c>
      <c r="CS3670">
        <v>0</v>
      </c>
      <c r="CT3670">
        <v>11.5</v>
      </c>
      <c r="CU3670">
        <v>25</v>
      </c>
      <c r="CV3670">
        <v>0.11</v>
      </c>
      <c r="CW3670">
        <v>8</v>
      </c>
      <c r="CX3670" t="s">
        <v>120</v>
      </c>
    </row>
    <row r="3671" spans="1:102" x14ac:dyDescent="0.3">
      <c r="A3671" t="str">
        <f>HYPERLINK("https://webapp.icbf.com/v2/app/bull-search/view/307664432","ZIA")</f>
        <v>ZIA</v>
      </c>
      <c r="B3671" t="s">
        <v>11272</v>
      </c>
      <c r="C3671" t="s">
        <v>11273</v>
      </c>
      <c r="D3671" s="1">
        <v>37576</v>
      </c>
      <c r="E3671" t="s">
        <v>92</v>
      </c>
      <c r="F3671">
        <v>100</v>
      </c>
      <c r="G3671" t="s">
        <v>93</v>
      </c>
      <c r="H3671">
        <v>-53.59</v>
      </c>
      <c r="I3671">
        <v>87</v>
      </c>
      <c r="J3671">
        <v>28.53</v>
      </c>
      <c r="K3671">
        <v>97</v>
      </c>
      <c r="L3671">
        <v>-53.53</v>
      </c>
      <c r="M3671">
        <v>80</v>
      </c>
      <c r="N3671">
        <v>-23.35</v>
      </c>
      <c r="O3671">
        <v>85</v>
      </c>
      <c r="P3671">
        <v>-3.98</v>
      </c>
      <c r="Q3671">
        <v>93</v>
      </c>
      <c r="R3671">
        <v>-11.42</v>
      </c>
      <c r="S3671">
        <v>81</v>
      </c>
      <c r="T3671">
        <v>9.02</v>
      </c>
      <c r="U3671">
        <v>85</v>
      </c>
      <c r="V3671">
        <v>1.1399999999999999</v>
      </c>
      <c r="W3671">
        <v>76</v>
      </c>
      <c r="X3671" t="s">
        <v>94</v>
      </c>
      <c r="Y3671" t="s">
        <v>2565</v>
      </c>
      <c r="Z3671" t="s">
        <v>96</v>
      </c>
      <c r="AA3671" t="s">
        <v>1355</v>
      </c>
      <c r="AB3671" t="s">
        <v>11274</v>
      </c>
      <c r="AC3671">
        <v>109</v>
      </c>
      <c r="AD3671">
        <v>75</v>
      </c>
      <c r="AE3671">
        <v>97</v>
      </c>
      <c r="AF3671">
        <v>150.43</v>
      </c>
      <c r="AG3671">
        <v>5.81</v>
      </c>
      <c r="AH3671">
        <v>5.0999999999999996</v>
      </c>
      <c r="AI3671">
        <v>0</v>
      </c>
      <c r="AJ3671">
        <v>0</v>
      </c>
      <c r="AK3671">
        <v>80</v>
      </c>
      <c r="AL3671">
        <v>103</v>
      </c>
      <c r="AM3671">
        <v>72</v>
      </c>
      <c r="AN3671">
        <v>2.08</v>
      </c>
      <c r="AO3671">
        <v>-2.2000000000000002</v>
      </c>
      <c r="AP3671">
        <v>186</v>
      </c>
      <c r="AQ3671">
        <v>0</v>
      </c>
      <c r="AR3671">
        <v>8.94</v>
      </c>
      <c r="AS3671">
        <v>74</v>
      </c>
      <c r="AT3671">
        <v>5.04</v>
      </c>
      <c r="AU3671">
        <v>87</v>
      </c>
      <c r="AV3671">
        <v>0.18</v>
      </c>
      <c r="AW3671">
        <v>94</v>
      </c>
      <c r="AX3671">
        <v>-0.73</v>
      </c>
      <c r="AY3671">
        <v>82</v>
      </c>
      <c r="AZ3671">
        <v>6.41</v>
      </c>
      <c r="BA3671">
        <v>64</v>
      </c>
      <c r="BB3671">
        <v>4.99</v>
      </c>
      <c r="BC3671">
        <v>68</v>
      </c>
      <c r="BD3671">
        <v>0.04</v>
      </c>
      <c r="BE3671">
        <v>0.04</v>
      </c>
      <c r="BF3671">
        <v>0.12</v>
      </c>
      <c r="BG3671">
        <v>90</v>
      </c>
      <c r="BH3671">
        <v>0.21</v>
      </c>
      <c r="BI3671">
        <v>20.63</v>
      </c>
      <c r="BJ3671">
        <v>39</v>
      </c>
      <c r="BK3671">
        <v>31</v>
      </c>
      <c r="BL3671">
        <v>0.75</v>
      </c>
      <c r="BM3671">
        <v>-0.89</v>
      </c>
      <c r="BN3671">
        <v>1.36</v>
      </c>
      <c r="BO3671">
        <v>1.67</v>
      </c>
      <c r="BP3671">
        <v>-1.41</v>
      </c>
      <c r="BQ3671">
        <v>1.67</v>
      </c>
      <c r="BR3671">
        <v>0.21</v>
      </c>
      <c r="BS3671">
        <v>1.61</v>
      </c>
      <c r="BT3671">
        <v>0.52</v>
      </c>
      <c r="BU3671">
        <v>0.75</v>
      </c>
      <c r="BV3671">
        <v>1.31</v>
      </c>
      <c r="BW3671">
        <v>1.55</v>
      </c>
      <c r="BX3671">
        <v>-0.12</v>
      </c>
      <c r="BY3671">
        <v>-0.38</v>
      </c>
      <c r="BZ3671">
        <v>0.06</v>
      </c>
      <c r="CA3671">
        <v>1.81</v>
      </c>
      <c r="CB3671">
        <v>1.41</v>
      </c>
      <c r="CC3671">
        <v>2.08</v>
      </c>
      <c r="CD3671">
        <v>-1.21</v>
      </c>
      <c r="CE3671">
        <v>1.45</v>
      </c>
      <c r="CF3671">
        <v>1.04</v>
      </c>
      <c r="CG3671">
        <v>0</v>
      </c>
      <c r="CH3671">
        <v>-0.08</v>
      </c>
      <c r="CI3671">
        <v>0</v>
      </c>
      <c r="CJ3671">
        <v>0.1</v>
      </c>
      <c r="CK3671">
        <v>94</v>
      </c>
      <c r="CL3671">
        <v>-0.94</v>
      </c>
      <c r="CM3671">
        <v>92</v>
      </c>
      <c r="CN3671">
        <v>-0.56000000000000005</v>
      </c>
      <c r="CO3671">
        <v>91</v>
      </c>
      <c r="CP3671">
        <v>-6.5</v>
      </c>
      <c r="CQ3671">
        <v>91</v>
      </c>
      <c r="CR3671">
        <v>0</v>
      </c>
      <c r="CS3671">
        <v>0</v>
      </c>
      <c r="CT3671">
        <v>1.6</v>
      </c>
      <c r="CU3671">
        <v>85</v>
      </c>
      <c r="CV3671">
        <v>0.26</v>
      </c>
      <c r="CW3671">
        <v>44</v>
      </c>
      <c r="CX3671" t="s">
        <v>1606</v>
      </c>
    </row>
    <row r="3672" spans="1:102" x14ac:dyDescent="0.3">
      <c r="A3672" t="str">
        <f>HYPERLINK("https://webapp.icbf.com/v2/app/bull-search/view/1150869140","S2121")</f>
        <v>S2121</v>
      </c>
      <c r="B3672" t="s">
        <v>7189</v>
      </c>
      <c r="C3672" t="s">
        <v>7190</v>
      </c>
      <c r="D3672" s="1">
        <v>40821</v>
      </c>
      <c r="E3672" t="s">
        <v>92</v>
      </c>
      <c r="F3672">
        <v>100</v>
      </c>
      <c r="G3672" t="s">
        <v>109</v>
      </c>
      <c r="H3672">
        <v>-53.72</v>
      </c>
      <c r="I3672">
        <v>66</v>
      </c>
      <c r="J3672">
        <v>1.84</v>
      </c>
      <c r="K3672">
        <v>82</v>
      </c>
      <c r="L3672">
        <v>-55.56</v>
      </c>
      <c r="M3672">
        <v>77</v>
      </c>
      <c r="N3672">
        <v>-0.38</v>
      </c>
      <c r="O3672">
        <v>44</v>
      </c>
      <c r="P3672">
        <v>-0.24</v>
      </c>
      <c r="Q3672">
        <v>43</v>
      </c>
      <c r="R3672">
        <v>7.45</v>
      </c>
      <c r="S3672">
        <v>57</v>
      </c>
      <c r="T3672">
        <v>-8.89</v>
      </c>
      <c r="U3672">
        <v>37</v>
      </c>
      <c r="V3672">
        <v>2.06</v>
      </c>
      <c r="W3672">
        <v>16</v>
      </c>
      <c r="X3672" t="s">
        <v>94</v>
      </c>
      <c r="Y3672" t="s">
        <v>367</v>
      </c>
      <c r="Z3672" t="s">
        <v>96</v>
      </c>
      <c r="AA3672" t="s">
        <v>2397</v>
      </c>
      <c r="AB3672" t="s">
        <v>5490</v>
      </c>
      <c r="AC3672">
        <v>0</v>
      </c>
      <c r="AD3672">
        <v>0</v>
      </c>
      <c r="AE3672">
        <v>82</v>
      </c>
      <c r="AF3672">
        <v>258.52999999999997</v>
      </c>
      <c r="AG3672">
        <v>3.14</v>
      </c>
      <c r="AH3672">
        <v>3.16</v>
      </c>
      <c r="AI3672">
        <v>-0.11</v>
      </c>
      <c r="AJ3672">
        <v>-0.09</v>
      </c>
      <c r="AK3672">
        <v>77</v>
      </c>
      <c r="AL3672">
        <v>0</v>
      </c>
      <c r="AM3672">
        <v>0</v>
      </c>
      <c r="AN3672">
        <v>4.67</v>
      </c>
      <c r="AO3672">
        <v>0.26</v>
      </c>
      <c r="AP3672">
        <v>4</v>
      </c>
      <c r="AQ3672">
        <v>0</v>
      </c>
      <c r="AR3672">
        <v>11.03</v>
      </c>
      <c r="AS3672">
        <v>27</v>
      </c>
      <c r="AT3672">
        <v>4.37</v>
      </c>
      <c r="AU3672">
        <v>84</v>
      </c>
      <c r="AV3672">
        <v>-2.66</v>
      </c>
      <c r="AW3672">
        <v>37</v>
      </c>
      <c r="AX3672">
        <v>0.04</v>
      </c>
      <c r="AY3672">
        <v>30</v>
      </c>
      <c r="AZ3672">
        <v>6.11</v>
      </c>
      <c r="BA3672">
        <v>21</v>
      </c>
      <c r="BB3672">
        <v>4.71</v>
      </c>
      <c r="BC3672">
        <v>19</v>
      </c>
      <c r="BD3672">
        <v>-0.02</v>
      </c>
      <c r="BE3672">
        <v>-0.02</v>
      </c>
      <c r="BF3672">
        <v>-0.1</v>
      </c>
      <c r="BG3672">
        <v>86</v>
      </c>
      <c r="BH3672">
        <v>0.02</v>
      </c>
      <c r="BI3672">
        <v>-4.34</v>
      </c>
      <c r="BJ3672">
        <v>3</v>
      </c>
      <c r="BK3672">
        <v>2</v>
      </c>
      <c r="BL3672">
        <v>3.07</v>
      </c>
      <c r="BM3672">
        <v>-1.68</v>
      </c>
      <c r="BN3672">
        <v>0.78</v>
      </c>
      <c r="BO3672">
        <v>1.76</v>
      </c>
      <c r="BP3672">
        <v>0.48</v>
      </c>
      <c r="BQ3672">
        <v>2.2799999999999998</v>
      </c>
      <c r="BR3672">
        <v>-0.87</v>
      </c>
      <c r="BS3672">
        <v>1.41</v>
      </c>
      <c r="BT3672">
        <v>2.0099999999999998</v>
      </c>
      <c r="BU3672">
        <v>4.08</v>
      </c>
      <c r="BV3672">
        <v>3.03</v>
      </c>
      <c r="BW3672">
        <v>2.57</v>
      </c>
      <c r="BX3672">
        <v>3.97</v>
      </c>
      <c r="BY3672">
        <v>2.35</v>
      </c>
      <c r="BZ3672">
        <v>2.46</v>
      </c>
      <c r="CA3672">
        <v>3.4</v>
      </c>
      <c r="CB3672">
        <v>3.33</v>
      </c>
      <c r="CC3672">
        <v>1.95</v>
      </c>
      <c r="CD3672">
        <v>-1.1399999999999999</v>
      </c>
      <c r="CE3672">
        <v>1.63</v>
      </c>
      <c r="CF3672">
        <v>2.11</v>
      </c>
      <c r="CG3672">
        <v>0</v>
      </c>
      <c r="CH3672">
        <v>1.0900000000000001</v>
      </c>
      <c r="CI3672">
        <v>0</v>
      </c>
      <c r="CJ3672">
        <v>2.9</v>
      </c>
      <c r="CK3672">
        <v>46</v>
      </c>
      <c r="CL3672">
        <v>-1.26</v>
      </c>
      <c r="CM3672">
        <v>41</v>
      </c>
      <c r="CN3672">
        <v>-0.66</v>
      </c>
      <c r="CO3672">
        <v>39</v>
      </c>
      <c r="CP3672">
        <v>6.9</v>
      </c>
      <c r="CQ3672">
        <v>39</v>
      </c>
      <c r="CR3672">
        <v>0</v>
      </c>
      <c r="CS3672">
        <v>0</v>
      </c>
      <c r="CT3672">
        <v>25.8</v>
      </c>
      <c r="CU3672">
        <v>37</v>
      </c>
      <c r="CV3672">
        <v>0.33</v>
      </c>
      <c r="CW3672">
        <v>12</v>
      </c>
      <c r="CX3672" t="s">
        <v>350</v>
      </c>
    </row>
    <row r="3673" spans="1:102" x14ac:dyDescent="0.3">
      <c r="A3673" t="str">
        <f>HYPERLINK("https://webapp.icbf.com/v2/app/bull-search/view/77860225","CDR")</f>
        <v>CDR</v>
      </c>
      <c r="B3673" t="s">
        <v>6502</v>
      </c>
      <c r="C3673" t="s">
        <v>6503</v>
      </c>
      <c r="D3673" s="1">
        <v>32917</v>
      </c>
      <c r="E3673" t="s">
        <v>92</v>
      </c>
      <c r="F3673">
        <v>100</v>
      </c>
      <c r="G3673" t="s">
        <v>93</v>
      </c>
      <c r="H3673">
        <v>-53.86</v>
      </c>
      <c r="I3673">
        <v>61</v>
      </c>
      <c r="J3673">
        <v>-54.89</v>
      </c>
      <c r="K3673">
        <v>73</v>
      </c>
      <c r="L3673">
        <v>-18.13</v>
      </c>
      <c r="M3673">
        <v>60</v>
      </c>
      <c r="N3673">
        <v>13.77</v>
      </c>
      <c r="O3673">
        <v>39</v>
      </c>
      <c r="P3673">
        <v>11.05</v>
      </c>
      <c r="Q3673">
        <v>72</v>
      </c>
      <c r="R3673">
        <v>-10.77</v>
      </c>
      <c r="S3673">
        <v>59</v>
      </c>
      <c r="T3673">
        <v>9.02</v>
      </c>
      <c r="U3673">
        <v>52</v>
      </c>
      <c r="V3673">
        <v>-3.91</v>
      </c>
      <c r="W3673">
        <v>17</v>
      </c>
      <c r="X3673" t="s">
        <v>94</v>
      </c>
      <c r="Y3673" t="s">
        <v>95</v>
      </c>
      <c r="Z3673" t="s">
        <v>96</v>
      </c>
      <c r="AA3673" t="s">
        <v>6504</v>
      </c>
      <c r="AB3673" t="s">
        <v>6505</v>
      </c>
      <c r="AC3673">
        <v>17</v>
      </c>
      <c r="AD3673">
        <v>18</v>
      </c>
      <c r="AE3673">
        <v>73</v>
      </c>
      <c r="AF3673">
        <v>-285.33</v>
      </c>
      <c r="AG3673">
        <v>-8.91</v>
      </c>
      <c r="AH3673">
        <v>-10.55</v>
      </c>
      <c r="AI3673">
        <v>0.04</v>
      </c>
      <c r="AJ3673">
        <v>-0.01</v>
      </c>
      <c r="AK3673">
        <v>60</v>
      </c>
      <c r="AL3673">
        <v>104</v>
      </c>
      <c r="AM3673">
        <v>79</v>
      </c>
      <c r="AN3673">
        <v>-0.1</v>
      </c>
      <c r="AO3673">
        <v>-1.56</v>
      </c>
      <c r="AP3673">
        <v>8</v>
      </c>
      <c r="AQ3673">
        <v>0</v>
      </c>
      <c r="AR3673">
        <v>5.83</v>
      </c>
      <c r="AS3673">
        <v>21</v>
      </c>
      <c r="AT3673">
        <v>2.87</v>
      </c>
      <c r="AU3673">
        <v>37</v>
      </c>
      <c r="AV3673">
        <v>-0.94</v>
      </c>
      <c r="AW3673">
        <v>46</v>
      </c>
      <c r="AX3673">
        <v>-0.37</v>
      </c>
      <c r="AY3673">
        <v>57</v>
      </c>
      <c r="AZ3673">
        <v>6.59</v>
      </c>
      <c r="BA3673">
        <v>15</v>
      </c>
      <c r="BB3673">
        <v>5.19</v>
      </c>
      <c r="BC3673">
        <v>26</v>
      </c>
      <c r="BD3673">
        <v>7.0000000000000007E-2</v>
      </c>
      <c r="BE3673">
        <v>0.09</v>
      </c>
      <c r="BF3673">
        <v>-0.04</v>
      </c>
      <c r="BG3673">
        <v>84</v>
      </c>
      <c r="BH3673">
        <v>-0.08</v>
      </c>
      <c r="BI3673">
        <v>3.35</v>
      </c>
      <c r="BJ3673">
        <v>16</v>
      </c>
      <c r="BK3673">
        <v>16</v>
      </c>
      <c r="BL3673">
        <v>-0.28000000000000003</v>
      </c>
      <c r="BM3673">
        <v>0.98</v>
      </c>
      <c r="BN3673">
        <v>0.56000000000000005</v>
      </c>
      <c r="BO3673">
        <v>-0.76</v>
      </c>
      <c r="BP3673">
        <v>-1.61</v>
      </c>
      <c r="BQ3673">
        <v>0.05</v>
      </c>
      <c r="BR3673">
        <v>-0.33</v>
      </c>
      <c r="BS3673">
        <v>-0.57999999999999996</v>
      </c>
      <c r="BT3673">
        <v>-0.2</v>
      </c>
      <c r="BU3673">
        <v>0.16</v>
      </c>
      <c r="BV3673">
        <v>-0.66</v>
      </c>
      <c r="BW3673">
        <v>-0.51</v>
      </c>
      <c r="BX3673">
        <v>-0.56999999999999995</v>
      </c>
      <c r="BY3673">
        <v>-0.77</v>
      </c>
      <c r="BZ3673">
        <v>-3.08</v>
      </c>
      <c r="CA3673">
        <v>-0.79</v>
      </c>
      <c r="CB3673">
        <v>-0.44</v>
      </c>
      <c r="CC3673">
        <v>-1.27</v>
      </c>
      <c r="CD3673">
        <v>0.04</v>
      </c>
      <c r="CE3673">
        <v>-0.57999999999999996</v>
      </c>
      <c r="CF3673">
        <v>-0.08</v>
      </c>
      <c r="CG3673">
        <v>0</v>
      </c>
      <c r="CH3673">
        <v>0.67</v>
      </c>
      <c r="CI3673">
        <v>0</v>
      </c>
      <c r="CJ3673">
        <v>8.3000000000000007</v>
      </c>
      <c r="CK3673">
        <v>75</v>
      </c>
      <c r="CL3673">
        <v>0.17</v>
      </c>
      <c r="CM3673">
        <v>71</v>
      </c>
      <c r="CN3673">
        <v>0.16</v>
      </c>
      <c r="CO3673">
        <v>68</v>
      </c>
      <c r="CP3673">
        <v>-1.9</v>
      </c>
      <c r="CQ3673">
        <v>61</v>
      </c>
      <c r="CR3673">
        <v>0</v>
      </c>
      <c r="CS3673">
        <v>0</v>
      </c>
      <c r="CT3673">
        <v>1.6</v>
      </c>
      <c r="CU3673">
        <v>52</v>
      </c>
      <c r="CV3673">
        <v>0.16</v>
      </c>
      <c r="CW3673">
        <v>20</v>
      </c>
      <c r="CX3673" t="s">
        <v>128</v>
      </c>
    </row>
    <row r="3674" spans="1:102" x14ac:dyDescent="0.3">
      <c r="A3674" t="str">
        <f>HYPERLINK("https://webapp.icbf.com/v2/app/bull-search/view/586054418","S1295")</f>
        <v>S1295</v>
      </c>
      <c r="B3674" t="s">
        <v>1877</v>
      </c>
      <c r="C3674" t="s">
        <v>1878</v>
      </c>
      <c r="D3674" s="1">
        <v>38611</v>
      </c>
      <c r="E3674" t="s">
        <v>92</v>
      </c>
      <c r="F3674">
        <v>100</v>
      </c>
      <c r="G3674" t="s">
        <v>109</v>
      </c>
      <c r="H3674">
        <v>-53.9</v>
      </c>
      <c r="I3674">
        <v>77</v>
      </c>
      <c r="J3674">
        <v>9.6199999999999992</v>
      </c>
      <c r="K3674">
        <v>86</v>
      </c>
      <c r="L3674">
        <v>-74.48</v>
      </c>
      <c r="M3674">
        <v>84</v>
      </c>
      <c r="N3674">
        <v>7.6</v>
      </c>
      <c r="O3674">
        <v>62</v>
      </c>
      <c r="P3674">
        <v>-8.4499999999999993</v>
      </c>
      <c r="Q3674">
        <v>70</v>
      </c>
      <c r="R3674">
        <v>3.83</v>
      </c>
      <c r="S3674">
        <v>68</v>
      </c>
      <c r="T3674">
        <v>4.95</v>
      </c>
      <c r="U3674">
        <v>63</v>
      </c>
      <c r="V3674">
        <v>3.03</v>
      </c>
      <c r="W3674">
        <v>42</v>
      </c>
      <c r="X3674" t="s">
        <v>747</v>
      </c>
      <c r="Y3674" t="s">
        <v>342</v>
      </c>
      <c r="Z3674" t="s">
        <v>96</v>
      </c>
      <c r="AA3674" t="s">
        <v>350</v>
      </c>
      <c r="AB3674" t="s">
        <v>1879</v>
      </c>
      <c r="AC3674">
        <v>0</v>
      </c>
      <c r="AD3674">
        <v>0</v>
      </c>
      <c r="AE3674">
        <v>86</v>
      </c>
      <c r="AF3674">
        <v>360.57</v>
      </c>
      <c r="AG3674">
        <v>3.35</v>
      </c>
      <c r="AH3674">
        <v>5.97</v>
      </c>
      <c r="AI3674">
        <v>-0.17</v>
      </c>
      <c r="AJ3674">
        <v>-0.1</v>
      </c>
      <c r="AK3674">
        <v>84</v>
      </c>
      <c r="AL3674">
        <v>0</v>
      </c>
      <c r="AM3674">
        <v>0</v>
      </c>
      <c r="AN3674">
        <v>4.03</v>
      </c>
      <c r="AO3674">
        <v>-1.91</v>
      </c>
      <c r="AP3674">
        <v>33</v>
      </c>
      <c r="AQ3674">
        <v>0</v>
      </c>
      <c r="AR3674">
        <v>8.73</v>
      </c>
      <c r="AS3674">
        <v>36</v>
      </c>
      <c r="AT3674">
        <v>3.97</v>
      </c>
      <c r="AU3674">
        <v>87</v>
      </c>
      <c r="AV3674">
        <v>-1.87</v>
      </c>
      <c r="AW3674">
        <v>67</v>
      </c>
      <c r="AX3674">
        <v>-0.74</v>
      </c>
      <c r="AY3674">
        <v>55</v>
      </c>
      <c r="AZ3674">
        <v>6.36</v>
      </c>
      <c r="BA3674">
        <v>30</v>
      </c>
      <c r="BB3674">
        <v>4.59</v>
      </c>
      <c r="BC3674">
        <v>32</v>
      </c>
      <c r="BD3674">
        <v>0</v>
      </c>
      <c r="BE3674">
        <v>-0.02</v>
      </c>
      <c r="BF3674">
        <v>-0.05</v>
      </c>
      <c r="BG3674">
        <v>90</v>
      </c>
      <c r="BH3674">
        <v>0.08</v>
      </c>
      <c r="BI3674">
        <v>-0.51</v>
      </c>
      <c r="BJ3674">
        <v>13</v>
      </c>
      <c r="BK3674">
        <v>6</v>
      </c>
      <c r="BL3674">
        <v>1.22</v>
      </c>
      <c r="BM3674">
        <v>-1.98</v>
      </c>
      <c r="BN3674">
        <v>0.1</v>
      </c>
      <c r="BO3674">
        <v>1.34</v>
      </c>
      <c r="BP3674">
        <v>1.35</v>
      </c>
      <c r="BQ3674">
        <v>1.6</v>
      </c>
      <c r="BR3674">
        <v>0.4</v>
      </c>
      <c r="BS3674">
        <v>2.5099999999999998</v>
      </c>
      <c r="BT3674">
        <v>-0.03</v>
      </c>
      <c r="BU3674">
        <v>1.55</v>
      </c>
      <c r="BV3674">
        <v>2.39</v>
      </c>
      <c r="BW3674">
        <v>2.86</v>
      </c>
      <c r="BX3674">
        <v>1.23</v>
      </c>
      <c r="BY3674">
        <v>1.84</v>
      </c>
      <c r="BZ3674">
        <v>-1.58</v>
      </c>
      <c r="CA3674">
        <v>2.02</v>
      </c>
      <c r="CB3674">
        <v>1.64</v>
      </c>
      <c r="CC3674">
        <v>1.95</v>
      </c>
      <c r="CD3674">
        <v>-1.47</v>
      </c>
      <c r="CE3674">
        <v>1.63</v>
      </c>
      <c r="CF3674">
        <v>1.17</v>
      </c>
      <c r="CG3674">
        <v>0</v>
      </c>
      <c r="CH3674">
        <v>2.44</v>
      </c>
      <c r="CI3674">
        <v>0</v>
      </c>
      <c r="CJ3674">
        <v>-0.9</v>
      </c>
      <c r="CK3674">
        <v>73</v>
      </c>
      <c r="CL3674">
        <v>-1.08</v>
      </c>
      <c r="CM3674">
        <v>68</v>
      </c>
      <c r="CN3674">
        <v>-0.33</v>
      </c>
      <c r="CO3674">
        <v>65</v>
      </c>
      <c r="CP3674">
        <v>0.5</v>
      </c>
      <c r="CQ3674">
        <v>65</v>
      </c>
      <c r="CR3674">
        <v>0</v>
      </c>
      <c r="CS3674">
        <v>0</v>
      </c>
      <c r="CT3674">
        <v>7.1</v>
      </c>
      <c r="CU3674">
        <v>63</v>
      </c>
      <c r="CV3674">
        <v>0.33</v>
      </c>
      <c r="CW3674">
        <v>20</v>
      </c>
      <c r="CX3674" t="s">
        <v>289</v>
      </c>
    </row>
    <row r="3675" spans="1:102" x14ac:dyDescent="0.3">
      <c r="A3675" t="str">
        <f>HYPERLINK("https://webapp.icbf.com/v2/app/bull-search/view/77856253","JAD")</f>
        <v>JAD</v>
      </c>
      <c r="B3675" t="s">
        <v>11350</v>
      </c>
      <c r="C3675" t="s">
        <v>11351</v>
      </c>
      <c r="D3675" s="1">
        <v>36022</v>
      </c>
      <c r="E3675" t="s">
        <v>108</v>
      </c>
      <c r="F3675">
        <v>0</v>
      </c>
      <c r="G3675" t="s">
        <v>93</v>
      </c>
      <c r="H3675">
        <v>-53.91</v>
      </c>
      <c r="I3675">
        <v>82</v>
      </c>
      <c r="J3675">
        <v>-56.35</v>
      </c>
      <c r="K3675">
        <v>95</v>
      </c>
      <c r="L3675">
        <v>-21.62</v>
      </c>
      <c r="M3675">
        <v>71</v>
      </c>
      <c r="N3675">
        <v>26.6</v>
      </c>
      <c r="O3675">
        <v>76</v>
      </c>
      <c r="P3675">
        <v>-13.35</v>
      </c>
      <c r="Q3675">
        <v>93</v>
      </c>
      <c r="R3675">
        <v>-9.7899999999999991</v>
      </c>
      <c r="S3675">
        <v>72</v>
      </c>
      <c r="T3675">
        <v>23.67</v>
      </c>
      <c r="U3675">
        <v>86</v>
      </c>
      <c r="V3675">
        <v>-3.07</v>
      </c>
      <c r="W3675">
        <v>65</v>
      </c>
      <c r="X3675" t="s">
        <v>102</v>
      </c>
      <c r="Y3675" t="s">
        <v>95</v>
      </c>
      <c r="Z3675" t="s">
        <v>96</v>
      </c>
      <c r="AA3675" t="s">
        <v>479</v>
      </c>
      <c r="AB3675" t="s">
        <v>11352</v>
      </c>
      <c r="AC3675">
        <v>91</v>
      </c>
      <c r="AD3675">
        <v>64</v>
      </c>
      <c r="AE3675">
        <v>95</v>
      </c>
      <c r="AF3675">
        <v>-176.16</v>
      </c>
      <c r="AG3675">
        <v>-10.6</v>
      </c>
      <c r="AH3675">
        <v>-8.5299999999999994</v>
      </c>
      <c r="AI3675">
        <v>-0.06</v>
      </c>
      <c r="AJ3675">
        <v>-0.04</v>
      </c>
      <c r="AK3675">
        <v>71</v>
      </c>
      <c r="AL3675">
        <v>126</v>
      </c>
      <c r="AM3675">
        <v>88</v>
      </c>
      <c r="AN3675">
        <v>-0.82</v>
      </c>
      <c r="AO3675">
        <v>-2.57</v>
      </c>
      <c r="AP3675">
        <v>42</v>
      </c>
      <c r="AQ3675">
        <v>0</v>
      </c>
      <c r="AR3675">
        <v>5.13</v>
      </c>
      <c r="AS3675">
        <v>65</v>
      </c>
      <c r="AT3675">
        <v>2.35</v>
      </c>
      <c r="AU3675">
        <v>71</v>
      </c>
      <c r="AV3675">
        <v>-2.88</v>
      </c>
      <c r="AW3675">
        <v>84</v>
      </c>
      <c r="AX3675">
        <v>-0.82</v>
      </c>
      <c r="AY3675">
        <v>83</v>
      </c>
      <c r="AZ3675">
        <v>7.97</v>
      </c>
      <c r="BA3675">
        <v>56</v>
      </c>
      <c r="BB3675">
        <v>6.38</v>
      </c>
      <c r="BC3675">
        <v>65</v>
      </c>
      <c r="BD3675">
        <v>0.06</v>
      </c>
      <c r="BE3675">
        <v>0.05</v>
      </c>
      <c r="BF3675">
        <v>0.03</v>
      </c>
      <c r="BG3675">
        <v>83</v>
      </c>
      <c r="BH3675">
        <v>-0.09</v>
      </c>
      <c r="BI3675">
        <v>-0.5</v>
      </c>
      <c r="BJ3675">
        <v>18</v>
      </c>
      <c r="BK3675">
        <v>16</v>
      </c>
      <c r="BL3675">
        <v>-2.72</v>
      </c>
      <c r="BM3675">
        <v>1.79</v>
      </c>
      <c r="BN3675">
        <v>-2.1800000000000002</v>
      </c>
      <c r="BO3675">
        <v>-3.01</v>
      </c>
      <c r="BP3675">
        <v>-0.93</v>
      </c>
      <c r="BQ3675">
        <v>1.24</v>
      </c>
      <c r="BR3675">
        <v>-0.99</v>
      </c>
      <c r="BS3675">
        <v>-0.55000000000000004</v>
      </c>
      <c r="BT3675">
        <v>0.26</v>
      </c>
      <c r="BU3675">
        <v>-2.08</v>
      </c>
      <c r="BV3675">
        <v>-2.17</v>
      </c>
      <c r="BW3675">
        <v>-2.2799999999999998</v>
      </c>
      <c r="BX3675">
        <v>-1.67</v>
      </c>
      <c r="BY3675">
        <v>-0.17</v>
      </c>
      <c r="BZ3675">
        <v>-0.4</v>
      </c>
      <c r="CA3675">
        <v>-2.1800000000000002</v>
      </c>
      <c r="CB3675">
        <v>-2.37</v>
      </c>
      <c r="CC3675">
        <v>-0.98</v>
      </c>
      <c r="CD3675">
        <v>2.66</v>
      </c>
      <c r="CE3675">
        <v>-3.5</v>
      </c>
      <c r="CF3675">
        <v>-2.23</v>
      </c>
      <c r="CG3675">
        <v>0</v>
      </c>
      <c r="CH3675">
        <v>0.45</v>
      </c>
      <c r="CI3675">
        <v>0</v>
      </c>
      <c r="CJ3675">
        <v>-8.6</v>
      </c>
      <c r="CK3675">
        <v>93</v>
      </c>
      <c r="CL3675">
        <v>0.03</v>
      </c>
      <c r="CM3675">
        <v>92</v>
      </c>
      <c r="CN3675">
        <v>-0.02</v>
      </c>
      <c r="CO3675">
        <v>91</v>
      </c>
      <c r="CP3675">
        <v>-13.5</v>
      </c>
      <c r="CQ3675">
        <v>93</v>
      </c>
      <c r="CR3675">
        <v>0</v>
      </c>
      <c r="CS3675">
        <v>0</v>
      </c>
      <c r="CT3675">
        <v>-18.2</v>
      </c>
      <c r="CU3675">
        <v>86</v>
      </c>
      <c r="CV3675">
        <v>-0.15</v>
      </c>
      <c r="CW3675">
        <v>27</v>
      </c>
      <c r="CX3675" t="s">
        <v>511</v>
      </c>
    </row>
    <row r="3676" spans="1:102" x14ac:dyDescent="0.3">
      <c r="A3676" t="str">
        <f>HYPERLINK("https://webapp.icbf.com/v2/app/bull-search/view/943544632","S1260")</f>
        <v>S1260</v>
      </c>
      <c r="B3676" t="s">
        <v>7248</v>
      </c>
      <c r="C3676" t="s">
        <v>7249</v>
      </c>
      <c r="D3676" s="1">
        <v>39745</v>
      </c>
      <c r="E3676" t="s">
        <v>140</v>
      </c>
      <c r="F3676">
        <v>0</v>
      </c>
      <c r="G3676" t="s">
        <v>109</v>
      </c>
      <c r="H3676">
        <v>-54.01</v>
      </c>
      <c r="I3676">
        <v>65</v>
      </c>
      <c r="J3676">
        <v>-2.95</v>
      </c>
      <c r="K3676">
        <v>85</v>
      </c>
      <c r="L3676">
        <v>-45.11</v>
      </c>
      <c r="M3676">
        <v>55</v>
      </c>
      <c r="N3676">
        <v>-31.3</v>
      </c>
      <c r="O3676">
        <v>53</v>
      </c>
      <c r="P3676">
        <v>32.74</v>
      </c>
      <c r="Q3676">
        <v>60</v>
      </c>
      <c r="R3676">
        <v>5.28</v>
      </c>
      <c r="S3676">
        <v>55</v>
      </c>
      <c r="T3676">
        <v>-2.16</v>
      </c>
      <c r="U3676">
        <v>60</v>
      </c>
      <c r="V3676">
        <v>-10.51</v>
      </c>
      <c r="W3676">
        <v>48</v>
      </c>
      <c r="X3676" t="s">
        <v>102</v>
      </c>
      <c r="Y3676" t="s">
        <v>342</v>
      </c>
      <c r="Z3676">
        <v>0</v>
      </c>
      <c r="AA3676" t="s">
        <v>7250</v>
      </c>
      <c r="AB3676" t="s">
        <v>7251</v>
      </c>
      <c r="AC3676">
        <v>0</v>
      </c>
      <c r="AD3676">
        <v>0</v>
      </c>
      <c r="AE3676">
        <v>85</v>
      </c>
      <c r="AF3676">
        <v>105.87</v>
      </c>
      <c r="AG3676">
        <v>-2.86</v>
      </c>
      <c r="AH3676">
        <v>2.13</v>
      </c>
      <c r="AI3676">
        <v>-0.12</v>
      </c>
      <c r="AJ3676">
        <v>-0.03</v>
      </c>
      <c r="AK3676">
        <v>55</v>
      </c>
      <c r="AL3676">
        <v>5</v>
      </c>
      <c r="AM3676">
        <v>4</v>
      </c>
      <c r="AN3676">
        <v>3.84</v>
      </c>
      <c r="AO3676">
        <v>0.26</v>
      </c>
      <c r="AP3676">
        <v>12</v>
      </c>
      <c r="AQ3676">
        <v>1</v>
      </c>
      <c r="AR3676">
        <v>8.51</v>
      </c>
      <c r="AS3676">
        <v>47</v>
      </c>
      <c r="AT3676">
        <v>5.36</v>
      </c>
      <c r="AU3676">
        <v>50</v>
      </c>
      <c r="AV3676">
        <v>1.75</v>
      </c>
      <c r="AW3676">
        <v>66</v>
      </c>
      <c r="AX3676">
        <v>0.33</v>
      </c>
      <c r="AY3676">
        <v>45</v>
      </c>
      <c r="AZ3676">
        <v>4.3899999999999997</v>
      </c>
      <c r="BA3676">
        <v>36</v>
      </c>
      <c r="BB3676">
        <v>3.42</v>
      </c>
      <c r="BC3676">
        <v>32</v>
      </c>
      <c r="BD3676">
        <v>0.04</v>
      </c>
      <c r="BE3676">
        <v>-0.02</v>
      </c>
      <c r="BF3676">
        <v>-0.15</v>
      </c>
      <c r="BG3676">
        <v>61</v>
      </c>
      <c r="BH3676">
        <v>-0.3</v>
      </c>
      <c r="BI3676">
        <v>-0.81</v>
      </c>
      <c r="BJ3676">
        <v>0</v>
      </c>
      <c r="BK3676">
        <v>0</v>
      </c>
      <c r="BL3676">
        <v>-0.77</v>
      </c>
      <c r="BM3676">
        <v>3.59</v>
      </c>
      <c r="BN3676">
        <v>-1.46</v>
      </c>
      <c r="BO3676">
        <v>-2.93</v>
      </c>
      <c r="BP3676">
        <v>4</v>
      </c>
      <c r="BQ3676">
        <v>-1.72</v>
      </c>
      <c r="BR3676">
        <v>-2.54</v>
      </c>
      <c r="BS3676">
        <v>-0.24</v>
      </c>
      <c r="BT3676">
        <v>2.46</v>
      </c>
      <c r="BU3676">
        <v>-3.27</v>
      </c>
      <c r="BV3676">
        <v>-3.67</v>
      </c>
      <c r="BW3676">
        <v>-2.8</v>
      </c>
      <c r="BX3676">
        <v>-2.79</v>
      </c>
      <c r="BY3676">
        <v>-1.97</v>
      </c>
      <c r="BZ3676">
        <v>1.02</v>
      </c>
      <c r="CA3676">
        <v>-2.34</v>
      </c>
      <c r="CB3676">
        <v>-3.01</v>
      </c>
      <c r="CC3676">
        <v>-0.33</v>
      </c>
      <c r="CD3676">
        <v>3.86</v>
      </c>
      <c r="CE3676">
        <v>-2.9</v>
      </c>
      <c r="CF3676">
        <v>-0.93</v>
      </c>
      <c r="CG3676">
        <v>0</v>
      </c>
      <c r="CH3676">
        <v>-2.64</v>
      </c>
      <c r="CI3676">
        <v>0</v>
      </c>
      <c r="CJ3676">
        <v>11.8</v>
      </c>
      <c r="CK3676">
        <v>62</v>
      </c>
      <c r="CL3676">
        <v>0.57999999999999996</v>
      </c>
      <c r="CM3676">
        <v>57</v>
      </c>
      <c r="CN3676">
        <v>-0.73</v>
      </c>
      <c r="CO3676">
        <v>55</v>
      </c>
      <c r="CP3676">
        <v>12.8</v>
      </c>
      <c r="CQ3676">
        <v>57</v>
      </c>
      <c r="CR3676">
        <v>0</v>
      </c>
      <c r="CS3676">
        <v>0</v>
      </c>
      <c r="CT3676">
        <v>16.7</v>
      </c>
      <c r="CU3676">
        <v>60</v>
      </c>
      <c r="CV3676">
        <v>0.15</v>
      </c>
      <c r="CW3676">
        <v>37</v>
      </c>
      <c r="CX3676" t="s">
        <v>7252</v>
      </c>
    </row>
    <row r="3677" spans="1:102" x14ac:dyDescent="0.3">
      <c r="A3677" t="str">
        <f>HYPERLINK("https://webapp.icbf.com/v2/app/bull-search/view/77852878","VTY")</f>
        <v>VTY</v>
      </c>
      <c r="B3677" t="s">
        <v>854</v>
      </c>
      <c r="C3677" t="s">
        <v>855</v>
      </c>
      <c r="D3677" s="1">
        <v>35410</v>
      </c>
      <c r="E3677" t="s">
        <v>92</v>
      </c>
      <c r="F3677">
        <v>100</v>
      </c>
      <c r="G3677" t="s">
        <v>93</v>
      </c>
      <c r="H3677">
        <v>-54.17</v>
      </c>
      <c r="I3677">
        <v>68</v>
      </c>
      <c r="J3677">
        <v>-7</v>
      </c>
      <c r="K3677">
        <v>92</v>
      </c>
      <c r="L3677">
        <v>-37.07</v>
      </c>
      <c r="M3677">
        <v>54</v>
      </c>
      <c r="N3677">
        <v>-9.89</v>
      </c>
      <c r="O3677">
        <v>54</v>
      </c>
      <c r="P3677">
        <v>-7.51</v>
      </c>
      <c r="Q3677">
        <v>72</v>
      </c>
      <c r="R3677">
        <v>-2.73</v>
      </c>
      <c r="S3677">
        <v>60</v>
      </c>
      <c r="T3677">
        <v>8.0500000000000007</v>
      </c>
      <c r="U3677">
        <v>65</v>
      </c>
      <c r="V3677">
        <v>1.98</v>
      </c>
      <c r="W3677">
        <v>26</v>
      </c>
      <c r="X3677" t="s">
        <v>94</v>
      </c>
      <c r="Y3677" t="s">
        <v>95</v>
      </c>
      <c r="Z3677" t="s">
        <v>96</v>
      </c>
      <c r="AA3677" t="s">
        <v>856</v>
      </c>
      <c r="AB3677" t="s">
        <v>857</v>
      </c>
      <c r="AC3677">
        <v>54</v>
      </c>
      <c r="AD3677">
        <v>48</v>
      </c>
      <c r="AE3677">
        <v>92</v>
      </c>
      <c r="AF3677">
        <v>110.71</v>
      </c>
      <c r="AG3677">
        <v>-3.24</v>
      </c>
      <c r="AH3677">
        <v>1.65</v>
      </c>
      <c r="AI3677">
        <v>-0.12</v>
      </c>
      <c r="AJ3677">
        <v>-0.03</v>
      </c>
      <c r="AK3677">
        <v>54</v>
      </c>
      <c r="AL3677">
        <v>44</v>
      </c>
      <c r="AM3677">
        <v>38</v>
      </c>
      <c r="AN3677">
        <v>2.4900000000000002</v>
      </c>
      <c r="AO3677">
        <v>-0.46</v>
      </c>
      <c r="AP3677">
        <v>0</v>
      </c>
      <c r="AQ3677">
        <v>1</v>
      </c>
      <c r="AR3677">
        <v>9.8000000000000007</v>
      </c>
      <c r="AS3677">
        <v>29</v>
      </c>
      <c r="AT3677">
        <v>4.3099999999999996</v>
      </c>
      <c r="AU3677">
        <v>49</v>
      </c>
      <c r="AV3677">
        <v>-1.1000000000000001</v>
      </c>
      <c r="AW3677">
        <v>66</v>
      </c>
      <c r="AX3677">
        <v>1.19</v>
      </c>
      <c r="AY3677">
        <v>63</v>
      </c>
      <c r="AZ3677">
        <v>5.97</v>
      </c>
      <c r="BA3677">
        <v>30</v>
      </c>
      <c r="BB3677">
        <v>4.55</v>
      </c>
      <c r="BC3677">
        <v>44</v>
      </c>
      <c r="BD3677">
        <v>-0.02</v>
      </c>
      <c r="BE3677">
        <v>0.04</v>
      </c>
      <c r="BF3677">
        <v>0.02</v>
      </c>
      <c r="BG3677">
        <v>74</v>
      </c>
      <c r="BH3677">
        <v>0.04</v>
      </c>
      <c r="BI3677">
        <v>-1.77</v>
      </c>
      <c r="BJ3677">
        <v>6</v>
      </c>
      <c r="BK3677">
        <v>6</v>
      </c>
      <c r="BL3677">
        <v>-0.06</v>
      </c>
      <c r="BM3677">
        <v>0</v>
      </c>
      <c r="BN3677">
        <v>-0.13</v>
      </c>
      <c r="BO3677">
        <v>-0.03</v>
      </c>
      <c r="BP3677">
        <v>1.43</v>
      </c>
      <c r="BQ3677">
        <v>-1.52</v>
      </c>
      <c r="BR3677">
        <v>0.39</v>
      </c>
      <c r="BS3677">
        <v>-0.27</v>
      </c>
      <c r="BT3677">
        <v>-0.42</v>
      </c>
      <c r="BU3677">
        <v>-0.18</v>
      </c>
      <c r="BV3677">
        <v>-0.01</v>
      </c>
      <c r="BW3677">
        <v>0.2</v>
      </c>
      <c r="BX3677">
        <v>0.17</v>
      </c>
      <c r="BY3677">
        <v>1.57</v>
      </c>
      <c r="BZ3677">
        <v>-2.85</v>
      </c>
      <c r="CA3677">
        <v>0.8</v>
      </c>
      <c r="CB3677">
        <v>0.69</v>
      </c>
      <c r="CC3677">
        <v>0.56999999999999995</v>
      </c>
      <c r="CD3677">
        <v>0.62</v>
      </c>
      <c r="CE3677">
        <v>-0.4</v>
      </c>
      <c r="CF3677">
        <v>-0.21</v>
      </c>
      <c r="CG3677">
        <v>0</v>
      </c>
      <c r="CH3677">
        <v>1.08</v>
      </c>
      <c r="CI3677">
        <v>0</v>
      </c>
      <c r="CJ3677">
        <v>-0.9</v>
      </c>
      <c r="CK3677">
        <v>73</v>
      </c>
      <c r="CL3677">
        <v>-0.81</v>
      </c>
      <c r="CM3677">
        <v>69</v>
      </c>
      <c r="CN3677">
        <v>-0.25</v>
      </c>
      <c r="CO3677">
        <v>64</v>
      </c>
      <c r="CP3677">
        <v>-5.6</v>
      </c>
      <c r="CQ3677">
        <v>81</v>
      </c>
      <c r="CR3677">
        <v>0</v>
      </c>
      <c r="CS3677">
        <v>0</v>
      </c>
      <c r="CT3677">
        <v>2.9</v>
      </c>
      <c r="CU3677">
        <v>65</v>
      </c>
      <c r="CV3677">
        <v>0.21</v>
      </c>
      <c r="CW3677">
        <v>20</v>
      </c>
      <c r="CX3677" t="s">
        <v>207</v>
      </c>
    </row>
    <row r="3678" spans="1:102" x14ac:dyDescent="0.3">
      <c r="A3678" t="str">
        <f>HYPERLINK("https://webapp.icbf.com/v2/app/bull-search/view/229601070","VET")</f>
        <v>VET</v>
      </c>
      <c r="B3678" t="s">
        <v>8719</v>
      </c>
      <c r="C3678" t="s">
        <v>8720</v>
      </c>
      <c r="D3678" s="1">
        <v>35799</v>
      </c>
      <c r="E3678" t="s">
        <v>92</v>
      </c>
      <c r="F3678">
        <v>100</v>
      </c>
      <c r="G3678" t="s">
        <v>93</v>
      </c>
      <c r="H3678">
        <v>-54.2</v>
      </c>
      <c r="I3678">
        <v>97</v>
      </c>
      <c r="J3678">
        <v>71.84</v>
      </c>
      <c r="K3678">
        <v>99</v>
      </c>
      <c r="L3678">
        <v>-143.55000000000001</v>
      </c>
      <c r="M3678">
        <v>94</v>
      </c>
      <c r="N3678">
        <v>4.41</v>
      </c>
      <c r="O3678">
        <v>97</v>
      </c>
      <c r="P3678">
        <v>-3.88</v>
      </c>
      <c r="Q3678">
        <v>99</v>
      </c>
      <c r="R3678">
        <v>12.98</v>
      </c>
      <c r="S3678">
        <v>95</v>
      </c>
      <c r="T3678">
        <v>-2.75</v>
      </c>
      <c r="U3678">
        <v>98</v>
      </c>
      <c r="V3678">
        <v>6.75</v>
      </c>
      <c r="W3678">
        <v>96</v>
      </c>
      <c r="X3678" t="s">
        <v>276</v>
      </c>
      <c r="Y3678" t="s">
        <v>95</v>
      </c>
      <c r="Z3678" t="s">
        <v>96</v>
      </c>
      <c r="AA3678" t="s">
        <v>751</v>
      </c>
      <c r="AB3678" t="s">
        <v>8721</v>
      </c>
      <c r="AC3678">
        <v>1170</v>
      </c>
      <c r="AD3678">
        <v>417</v>
      </c>
      <c r="AE3678">
        <v>99</v>
      </c>
      <c r="AF3678">
        <v>249.14</v>
      </c>
      <c r="AG3678">
        <v>11.17</v>
      </c>
      <c r="AH3678">
        <v>12.08</v>
      </c>
      <c r="AI3678">
        <v>0.02</v>
      </c>
      <c r="AJ3678">
        <v>0.06</v>
      </c>
      <c r="AK3678">
        <v>94</v>
      </c>
      <c r="AL3678">
        <v>1138</v>
      </c>
      <c r="AM3678">
        <v>429</v>
      </c>
      <c r="AN3678">
        <v>8.4499999999999993</v>
      </c>
      <c r="AO3678">
        <v>-2.99</v>
      </c>
      <c r="AP3678">
        <v>1761</v>
      </c>
      <c r="AQ3678">
        <v>3</v>
      </c>
      <c r="AR3678">
        <v>7.57</v>
      </c>
      <c r="AS3678">
        <v>94</v>
      </c>
      <c r="AT3678">
        <v>3.78</v>
      </c>
      <c r="AU3678">
        <v>98</v>
      </c>
      <c r="AV3678">
        <v>-1.43</v>
      </c>
      <c r="AW3678">
        <v>99</v>
      </c>
      <c r="AX3678">
        <v>0.02</v>
      </c>
      <c r="AY3678">
        <v>98</v>
      </c>
      <c r="AZ3678">
        <v>6.97</v>
      </c>
      <c r="BA3678">
        <v>93</v>
      </c>
      <c r="BB3678">
        <v>5.04</v>
      </c>
      <c r="BC3678">
        <v>94</v>
      </c>
      <c r="BD3678">
        <v>-0.02</v>
      </c>
      <c r="BE3678">
        <v>-0.05</v>
      </c>
      <c r="BF3678">
        <v>-0.17</v>
      </c>
      <c r="BG3678">
        <v>98</v>
      </c>
      <c r="BH3678">
        <v>0.12</v>
      </c>
      <c r="BI3678">
        <v>-7.88</v>
      </c>
      <c r="BJ3678">
        <v>157</v>
      </c>
      <c r="BK3678">
        <v>65</v>
      </c>
      <c r="BL3678">
        <v>0.84</v>
      </c>
      <c r="BM3678">
        <v>-0.43</v>
      </c>
      <c r="BN3678">
        <v>7.0000000000000007E-2</v>
      </c>
      <c r="BO3678">
        <v>0.34</v>
      </c>
      <c r="BP3678">
        <v>0.93</v>
      </c>
      <c r="BQ3678">
        <v>-0.35</v>
      </c>
      <c r="BR3678">
        <v>-0.74</v>
      </c>
      <c r="BS3678">
        <v>-1.25</v>
      </c>
      <c r="BT3678">
        <v>0.45</v>
      </c>
      <c r="BU3678">
        <v>1.75</v>
      </c>
      <c r="BV3678">
        <v>1.39</v>
      </c>
      <c r="BW3678">
        <v>1.1200000000000001</v>
      </c>
      <c r="BX3678">
        <v>2.69</v>
      </c>
      <c r="BY3678">
        <v>0.66</v>
      </c>
      <c r="BZ3678">
        <v>-3.93</v>
      </c>
      <c r="CA3678">
        <v>0.88</v>
      </c>
      <c r="CB3678">
        <v>1.1000000000000001</v>
      </c>
      <c r="CC3678">
        <v>-0.11</v>
      </c>
      <c r="CD3678">
        <v>-0.85</v>
      </c>
      <c r="CE3678">
        <v>0.48</v>
      </c>
      <c r="CF3678">
        <v>0.43</v>
      </c>
      <c r="CG3678">
        <v>0</v>
      </c>
      <c r="CH3678">
        <v>0.62</v>
      </c>
      <c r="CI3678">
        <v>0</v>
      </c>
      <c r="CJ3678">
        <v>1.7</v>
      </c>
      <c r="CK3678">
        <v>99</v>
      </c>
      <c r="CL3678">
        <v>-1.01</v>
      </c>
      <c r="CM3678">
        <v>99</v>
      </c>
      <c r="CN3678">
        <v>-0.27</v>
      </c>
      <c r="CO3678">
        <v>99</v>
      </c>
      <c r="CP3678">
        <v>6.9</v>
      </c>
      <c r="CQ3678">
        <v>99</v>
      </c>
      <c r="CR3678">
        <v>0</v>
      </c>
      <c r="CS3678">
        <v>0</v>
      </c>
      <c r="CT3678">
        <v>17.5</v>
      </c>
      <c r="CU3678">
        <v>98</v>
      </c>
      <c r="CV3678">
        <v>0.27</v>
      </c>
      <c r="CW3678">
        <v>46</v>
      </c>
      <c r="CX3678" t="s">
        <v>1506</v>
      </c>
    </row>
    <row r="3679" spans="1:102" x14ac:dyDescent="0.3">
      <c r="A3679" t="str">
        <f>HYPERLINK("https://webapp.icbf.com/v2/app/bull-search/view/77855221","MKS")</f>
        <v>MKS</v>
      </c>
      <c r="B3679" t="s">
        <v>7371</v>
      </c>
      <c r="C3679" t="s">
        <v>7372</v>
      </c>
      <c r="D3679" s="1">
        <v>32333</v>
      </c>
      <c r="E3679" t="s">
        <v>92</v>
      </c>
      <c r="F3679">
        <v>100</v>
      </c>
      <c r="G3679" t="s">
        <v>93</v>
      </c>
      <c r="H3679">
        <v>-54.28</v>
      </c>
      <c r="I3679">
        <v>82</v>
      </c>
      <c r="J3679">
        <v>-34.06</v>
      </c>
      <c r="K3679">
        <v>94</v>
      </c>
      <c r="L3679">
        <v>9.61</v>
      </c>
      <c r="M3679">
        <v>81</v>
      </c>
      <c r="N3679">
        <v>-38.200000000000003</v>
      </c>
      <c r="O3679">
        <v>67</v>
      </c>
      <c r="P3679">
        <v>-6.04</v>
      </c>
      <c r="Q3679">
        <v>82</v>
      </c>
      <c r="R3679">
        <v>-0.76</v>
      </c>
      <c r="S3679">
        <v>77</v>
      </c>
      <c r="T3679">
        <v>18.12</v>
      </c>
      <c r="U3679">
        <v>76</v>
      </c>
      <c r="V3679">
        <v>-2.95</v>
      </c>
      <c r="W3679">
        <v>55</v>
      </c>
      <c r="X3679" t="s">
        <v>94</v>
      </c>
      <c r="Y3679" t="s">
        <v>95</v>
      </c>
      <c r="Z3679" t="s">
        <v>96</v>
      </c>
      <c r="AA3679" t="s">
        <v>158</v>
      </c>
      <c r="AB3679" t="s">
        <v>7373</v>
      </c>
      <c r="AC3679">
        <v>68</v>
      </c>
      <c r="AD3679">
        <v>52</v>
      </c>
      <c r="AE3679">
        <v>94</v>
      </c>
      <c r="AF3679">
        <v>-156.75</v>
      </c>
      <c r="AG3679">
        <v>1.86</v>
      </c>
      <c r="AH3679">
        <v>-8.85</v>
      </c>
      <c r="AI3679">
        <v>0.14000000000000001</v>
      </c>
      <c r="AJ3679">
        <v>-0.06</v>
      </c>
      <c r="AK3679">
        <v>81</v>
      </c>
      <c r="AL3679">
        <v>228</v>
      </c>
      <c r="AM3679">
        <v>143</v>
      </c>
      <c r="AN3679">
        <v>-1.03</v>
      </c>
      <c r="AO3679">
        <v>-0.27</v>
      </c>
      <c r="AP3679">
        <v>3</v>
      </c>
      <c r="AQ3679">
        <v>0</v>
      </c>
      <c r="AR3679">
        <v>10.55</v>
      </c>
      <c r="AS3679">
        <v>52</v>
      </c>
      <c r="AT3679">
        <v>4.8499999999999996</v>
      </c>
      <c r="AU3679">
        <v>71</v>
      </c>
      <c r="AV3679">
        <v>0.62</v>
      </c>
      <c r="AW3679">
        <v>71</v>
      </c>
      <c r="AX3679">
        <v>0.02</v>
      </c>
      <c r="AY3679">
        <v>81</v>
      </c>
      <c r="AZ3679">
        <v>6.88</v>
      </c>
      <c r="BA3679">
        <v>43</v>
      </c>
      <c r="BB3679">
        <v>5.99</v>
      </c>
      <c r="BC3679">
        <v>55</v>
      </c>
      <c r="BD3679">
        <v>-0.01</v>
      </c>
      <c r="BE3679">
        <v>0.06</v>
      </c>
      <c r="BF3679">
        <v>-0.08</v>
      </c>
      <c r="BG3679">
        <v>94</v>
      </c>
      <c r="BH3679">
        <v>-0.03</v>
      </c>
      <c r="BI3679">
        <v>6.04</v>
      </c>
      <c r="BJ3679">
        <v>29</v>
      </c>
      <c r="BK3679">
        <v>21</v>
      </c>
      <c r="BL3679">
        <v>-1.58</v>
      </c>
      <c r="BM3679">
        <v>-0.41</v>
      </c>
      <c r="BN3679">
        <v>-2.09</v>
      </c>
      <c r="BO3679">
        <v>-1.37</v>
      </c>
      <c r="BP3679">
        <v>-3.12</v>
      </c>
      <c r="BQ3679">
        <v>-2.34</v>
      </c>
      <c r="BR3679">
        <v>-1.66</v>
      </c>
      <c r="BS3679">
        <v>0.61</v>
      </c>
      <c r="BT3679">
        <v>2.1</v>
      </c>
      <c r="BU3679">
        <v>-1.41</v>
      </c>
      <c r="BV3679">
        <v>-1.31</v>
      </c>
      <c r="BW3679">
        <v>-1.07</v>
      </c>
      <c r="BX3679">
        <v>-1.35</v>
      </c>
      <c r="BY3679">
        <v>-0.8</v>
      </c>
      <c r="BZ3679">
        <v>-0.18</v>
      </c>
      <c r="CA3679">
        <v>-1.06</v>
      </c>
      <c r="CB3679">
        <v>-1.69</v>
      </c>
      <c r="CC3679">
        <v>0.37</v>
      </c>
      <c r="CD3679">
        <v>0.68</v>
      </c>
      <c r="CE3679">
        <v>-0.91</v>
      </c>
      <c r="CF3679">
        <v>-2.42</v>
      </c>
      <c r="CG3679">
        <v>0</v>
      </c>
      <c r="CH3679">
        <v>-0.83</v>
      </c>
      <c r="CI3679">
        <v>0</v>
      </c>
      <c r="CJ3679">
        <v>-0.8</v>
      </c>
      <c r="CK3679">
        <v>84</v>
      </c>
      <c r="CL3679">
        <v>-0.36</v>
      </c>
      <c r="CM3679">
        <v>80</v>
      </c>
      <c r="CN3679">
        <v>0.03</v>
      </c>
      <c r="CO3679">
        <v>77</v>
      </c>
      <c r="CP3679">
        <v>-5.8</v>
      </c>
      <c r="CQ3679">
        <v>85</v>
      </c>
      <c r="CR3679">
        <v>0</v>
      </c>
      <c r="CS3679">
        <v>0</v>
      </c>
      <c r="CT3679">
        <v>-10.7</v>
      </c>
      <c r="CU3679">
        <v>76</v>
      </c>
      <c r="CV3679">
        <v>7.0000000000000007E-2</v>
      </c>
      <c r="CW3679">
        <v>43</v>
      </c>
      <c r="CX3679" t="s">
        <v>785</v>
      </c>
    </row>
    <row r="3680" spans="1:102" x14ac:dyDescent="0.3">
      <c r="A3680" t="str">
        <f>HYPERLINK("https://webapp.icbf.com/v2/app/bull-search/view/77856904","HHM")</f>
        <v>HHM</v>
      </c>
      <c r="B3680" t="s">
        <v>15028</v>
      </c>
      <c r="C3680" t="s">
        <v>15029</v>
      </c>
      <c r="D3680" s="1">
        <v>33770</v>
      </c>
      <c r="E3680" t="s">
        <v>92</v>
      </c>
      <c r="F3680">
        <v>100</v>
      </c>
      <c r="G3680" t="s">
        <v>109</v>
      </c>
      <c r="H3680">
        <v>-54.42</v>
      </c>
      <c r="I3680">
        <v>81</v>
      </c>
      <c r="J3680">
        <v>2.99</v>
      </c>
      <c r="K3680">
        <v>92</v>
      </c>
      <c r="L3680">
        <v>-78.61</v>
      </c>
      <c r="M3680">
        <v>85</v>
      </c>
      <c r="N3680">
        <v>18.59</v>
      </c>
      <c r="O3680">
        <v>69</v>
      </c>
      <c r="P3680">
        <v>6.82</v>
      </c>
      <c r="Q3680">
        <v>80</v>
      </c>
      <c r="R3680">
        <v>-8.42</v>
      </c>
      <c r="S3680">
        <v>70</v>
      </c>
      <c r="T3680">
        <v>-0.01</v>
      </c>
      <c r="U3680">
        <v>64</v>
      </c>
      <c r="V3680">
        <v>4.22</v>
      </c>
      <c r="W3680">
        <v>36</v>
      </c>
      <c r="X3680" t="s">
        <v>94</v>
      </c>
      <c r="Y3680" t="s">
        <v>95</v>
      </c>
      <c r="Z3680" t="s">
        <v>96</v>
      </c>
      <c r="AA3680" t="s">
        <v>485</v>
      </c>
      <c r="AB3680" t="s">
        <v>766</v>
      </c>
      <c r="AC3680">
        <v>29</v>
      </c>
      <c r="AD3680">
        <v>16</v>
      </c>
      <c r="AE3680">
        <v>92</v>
      </c>
      <c r="AF3680">
        <v>239.1</v>
      </c>
      <c r="AG3680">
        <v>-6.14</v>
      </c>
      <c r="AH3680">
        <v>6.34</v>
      </c>
      <c r="AI3680">
        <v>-0.25</v>
      </c>
      <c r="AJ3680">
        <v>-0.03</v>
      </c>
      <c r="AK3680">
        <v>85</v>
      </c>
      <c r="AL3680">
        <v>35</v>
      </c>
      <c r="AM3680">
        <v>19</v>
      </c>
      <c r="AN3680">
        <v>4.99</v>
      </c>
      <c r="AO3680">
        <v>-1.27</v>
      </c>
      <c r="AP3680">
        <v>34</v>
      </c>
      <c r="AQ3680">
        <v>0</v>
      </c>
      <c r="AR3680">
        <v>6.85</v>
      </c>
      <c r="AS3680">
        <v>40</v>
      </c>
      <c r="AT3680">
        <v>3.26</v>
      </c>
      <c r="AU3680">
        <v>81</v>
      </c>
      <c r="AV3680">
        <v>-1.56</v>
      </c>
      <c r="AW3680">
        <v>81</v>
      </c>
      <c r="AX3680">
        <v>-0.56999999999999995</v>
      </c>
      <c r="AY3680">
        <v>53</v>
      </c>
      <c r="AZ3680">
        <v>5.34</v>
      </c>
      <c r="BA3680">
        <v>42</v>
      </c>
      <c r="BB3680">
        <v>4.4800000000000004</v>
      </c>
      <c r="BC3680">
        <v>47</v>
      </c>
      <c r="BD3680">
        <v>0.04</v>
      </c>
      <c r="BE3680">
        <v>0.03</v>
      </c>
      <c r="BF3680">
        <v>7.0000000000000007E-2</v>
      </c>
      <c r="BG3680">
        <v>89</v>
      </c>
      <c r="BH3680">
        <v>0.15</v>
      </c>
      <c r="BI3680">
        <v>3.74</v>
      </c>
      <c r="BJ3680">
        <v>2</v>
      </c>
      <c r="BK3680">
        <v>1</v>
      </c>
      <c r="BL3680">
        <v>0.15</v>
      </c>
      <c r="BM3680">
        <v>-0.98</v>
      </c>
      <c r="BN3680">
        <v>-1.27</v>
      </c>
      <c r="BO3680">
        <v>-0.05</v>
      </c>
      <c r="BP3680">
        <v>0.5</v>
      </c>
      <c r="BQ3680">
        <v>-1.93</v>
      </c>
      <c r="BR3680">
        <v>1.49</v>
      </c>
      <c r="BS3680">
        <v>-2.34</v>
      </c>
      <c r="BT3680">
        <v>-0.62</v>
      </c>
      <c r="BU3680">
        <v>0.97</v>
      </c>
      <c r="BV3680">
        <v>0.22</v>
      </c>
      <c r="BW3680">
        <v>0.64</v>
      </c>
      <c r="BX3680">
        <v>0.68</v>
      </c>
      <c r="BY3680">
        <v>1.5</v>
      </c>
      <c r="BZ3680">
        <v>-2.2200000000000002</v>
      </c>
      <c r="CA3680">
        <v>-0.3</v>
      </c>
      <c r="CB3680">
        <v>0.64</v>
      </c>
      <c r="CC3680">
        <v>-2.34</v>
      </c>
      <c r="CD3680">
        <v>0.08</v>
      </c>
      <c r="CE3680">
        <v>0.28999999999999998</v>
      </c>
      <c r="CF3680">
        <v>-0.46</v>
      </c>
      <c r="CG3680">
        <v>0</v>
      </c>
      <c r="CH3680">
        <v>1.26</v>
      </c>
      <c r="CI3680">
        <v>0</v>
      </c>
      <c r="CJ3680">
        <v>3.8</v>
      </c>
      <c r="CK3680">
        <v>82</v>
      </c>
      <c r="CL3680">
        <v>-0.32</v>
      </c>
      <c r="CM3680">
        <v>79</v>
      </c>
      <c r="CN3680">
        <v>-0.39</v>
      </c>
      <c r="CO3680">
        <v>77</v>
      </c>
      <c r="CP3680">
        <v>2.1</v>
      </c>
      <c r="CQ3680">
        <v>78</v>
      </c>
      <c r="CR3680">
        <v>0</v>
      </c>
      <c r="CS3680">
        <v>0</v>
      </c>
      <c r="CT3680">
        <v>13.8</v>
      </c>
      <c r="CU3680">
        <v>64</v>
      </c>
      <c r="CV3680">
        <v>0.1</v>
      </c>
      <c r="CW3680">
        <v>24</v>
      </c>
      <c r="CX3680" t="s">
        <v>166</v>
      </c>
    </row>
    <row r="3681" spans="1:102" x14ac:dyDescent="0.3">
      <c r="A3681" t="str">
        <f>HYPERLINK("https://webapp.icbf.com/v2/app/bull-search/view/159238550","MVX")</f>
        <v>MVX</v>
      </c>
      <c r="B3681" t="s">
        <v>4133</v>
      </c>
      <c r="C3681" t="s">
        <v>4134</v>
      </c>
      <c r="D3681" s="1">
        <v>35344</v>
      </c>
      <c r="E3681" t="s">
        <v>197</v>
      </c>
      <c r="F3681">
        <v>0</v>
      </c>
      <c r="G3681" t="s">
        <v>116</v>
      </c>
      <c r="H3681">
        <v>-54.48</v>
      </c>
      <c r="I3681">
        <v>29</v>
      </c>
      <c r="J3681">
        <v>-69.33</v>
      </c>
      <c r="K3681">
        <v>39</v>
      </c>
      <c r="L3681">
        <v>42.75</v>
      </c>
      <c r="M3681">
        <v>17</v>
      </c>
      <c r="N3681">
        <v>-27.47</v>
      </c>
      <c r="O3681">
        <v>32</v>
      </c>
      <c r="P3681">
        <v>3.85</v>
      </c>
      <c r="Q3681">
        <v>52</v>
      </c>
      <c r="R3681">
        <v>-9.25</v>
      </c>
      <c r="S3681">
        <v>17</v>
      </c>
      <c r="T3681">
        <v>9.9</v>
      </c>
      <c r="U3681">
        <v>31</v>
      </c>
      <c r="V3681">
        <v>-4.93</v>
      </c>
      <c r="W3681">
        <v>1</v>
      </c>
      <c r="X3681" t="s">
        <v>102</v>
      </c>
      <c r="Y3681" t="s">
        <v>95</v>
      </c>
      <c r="Z3681">
        <v>0</v>
      </c>
      <c r="AA3681" t="s">
        <v>1489</v>
      </c>
      <c r="AB3681" t="s">
        <v>4135</v>
      </c>
      <c r="AC3681">
        <v>2</v>
      </c>
      <c r="AD3681">
        <v>1</v>
      </c>
      <c r="AE3681">
        <v>39</v>
      </c>
      <c r="AF3681">
        <v>-304.01</v>
      </c>
      <c r="AG3681">
        <v>-13.27</v>
      </c>
      <c r="AH3681">
        <v>-11.75</v>
      </c>
      <c r="AI3681">
        <v>-0.02</v>
      </c>
      <c r="AJ3681">
        <v>-0.02</v>
      </c>
      <c r="AK3681">
        <v>17</v>
      </c>
      <c r="AL3681">
        <v>2</v>
      </c>
      <c r="AM3681">
        <v>1</v>
      </c>
      <c r="AN3681">
        <v>-4.58</v>
      </c>
      <c r="AO3681">
        <v>-1.2</v>
      </c>
      <c r="AP3681">
        <v>8</v>
      </c>
      <c r="AQ3681">
        <v>0</v>
      </c>
      <c r="AR3681">
        <v>4.92</v>
      </c>
      <c r="AS3681">
        <v>15</v>
      </c>
      <c r="AT3681">
        <v>5.16</v>
      </c>
      <c r="AU3681">
        <v>19</v>
      </c>
      <c r="AV3681">
        <v>3.06</v>
      </c>
      <c r="AW3681">
        <v>53</v>
      </c>
      <c r="AX3681">
        <v>0.19</v>
      </c>
      <c r="AY3681">
        <v>28</v>
      </c>
      <c r="AZ3681">
        <v>5.41</v>
      </c>
      <c r="BA3681">
        <v>6</v>
      </c>
      <c r="BB3681">
        <v>3.23</v>
      </c>
      <c r="BC3681">
        <v>10</v>
      </c>
      <c r="BD3681">
        <v>0.01</v>
      </c>
      <c r="BE3681">
        <v>0.04</v>
      </c>
      <c r="BF3681">
        <v>0.12</v>
      </c>
      <c r="BG3681">
        <v>23</v>
      </c>
      <c r="BH3681">
        <v>-0.11</v>
      </c>
      <c r="BI3681">
        <v>3.18</v>
      </c>
      <c r="BJ3681">
        <v>0</v>
      </c>
      <c r="BK3681">
        <v>0</v>
      </c>
      <c r="BL3681">
        <v>0</v>
      </c>
      <c r="BM3681">
        <v>0</v>
      </c>
      <c r="BN3681">
        <v>0</v>
      </c>
      <c r="BO3681">
        <v>0</v>
      </c>
      <c r="BP3681">
        <v>0</v>
      </c>
      <c r="BQ3681">
        <v>0</v>
      </c>
      <c r="BR3681">
        <v>0</v>
      </c>
      <c r="BS3681">
        <v>0</v>
      </c>
      <c r="BT3681">
        <v>0</v>
      </c>
      <c r="BU3681">
        <v>0</v>
      </c>
      <c r="BV3681">
        <v>0</v>
      </c>
      <c r="BW3681">
        <v>0</v>
      </c>
      <c r="BX3681">
        <v>0</v>
      </c>
      <c r="BY3681">
        <v>0</v>
      </c>
      <c r="BZ3681">
        <v>0</v>
      </c>
      <c r="CA3681">
        <v>0</v>
      </c>
      <c r="CB3681">
        <v>0</v>
      </c>
      <c r="CC3681">
        <v>0</v>
      </c>
      <c r="CD3681">
        <v>0</v>
      </c>
      <c r="CE3681">
        <v>0</v>
      </c>
      <c r="CF3681">
        <v>0</v>
      </c>
      <c r="CG3681">
        <v>0</v>
      </c>
      <c r="CH3681">
        <v>0</v>
      </c>
      <c r="CI3681">
        <v>0</v>
      </c>
      <c r="CJ3681">
        <v>-0.1</v>
      </c>
      <c r="CK3681">
        <v>55</v>
      </c>
      <c r="CL3681">
        <v>0.32</v>
      </c>
      <c r="CM3681">
        <v>51</v>
      </c>
      <c r="CN3681">
        <v>-0.08</v>
      </c>
      <c r="CO3681">
        <v>48</v>
      </c>
      <c r="CP3681">
        <v>-1.7</v>
      </c>
      <c r="CQ3681">
        <v>40</v>
      </c>
      <c r="CR3681">
        <v>0</v>
      </c>
      <c r="CS3681">
        <v>0</v>
      </c>
      <c r="CT3681">
        <v>0.4</v>
      </c>
      <c r="CU3681">
        <v>31</v>
      </c>
      <c r="CV3681">
        <v>-0.2</v>
      </c>
      <c r="CW3681">
        <v>14</v>
      </c>
      <c r="CX3681" t="s">
        <v>4136</v>
      </c>
    </row>
    <row r="3682" spans="1:102" x14ac:dyDescent="0.3">
      <c r="A3682" t="str">
        <f>HYPERLINK("https://webapp.icbf.com/v2/app/bull-search/view/474732068","S602")</f>
        <v>S602</v>
      </c>
      <c r="B3682" t="s">
        <v>5179</v>
      </c>
      <c r="C3682" t="s">
        <v>5180</v>
      </c>
      <c r="D3682" s="1">
        <v>37262</v>
      </c>
      <c r="E3682" t="s">
        <v>92</v>
      </c>
      <c r="F3682">
        <v>100</v>
      </c>
      <c r="G3682" t="s">
        <v>93</v>
      </c>
      <c r="H3682">
        <v>-54.55</v>
      </c>
      <c r="I3682">
        <v>93</v>
      </c>
      <c r="J3682">
        <v>31.01</v>
      </c>
      <c r="K3682">
        <v>98</v>
      </c>
      <c r="L3682">
        <v>-80.150000000000006</v>
      </c>
      <c r="M3682">
        <v>92</v>
      </c>
      <c r="N3682">
        <v>8.59</v>
      </c>
      <c r="O3682">
        <v>90</v>
      </c>
      <c r="P3682">
        <v>-7.57</v>
      </c>
      <c r="Q3682">
        <v>93</v>
      </c>
      <c r="R3682">
        <v>7.22</v>
      </c>
      <c r="S3682">
        <v>83</v>
      </c>
      <c r="T3682">
        <v>-3.56</v>
      </c>
      <c r="U3682">
        <v>89</v>
      </c>
      <c r="V3682">
        <v>-10.09</v>
      </c>
      <c r="W3682">
        <v>79</v>
      </c>
      <c r="X3682" t="s">
        <v>276</v>
      </c>
      <c r="Y3682" t="s">
        <v>1122</v>
      </c>
      <c r="Z3682" t="s">
        <v>96</v>
      </c>
      <c r="AA3682" t="s">
        <v>289</v>
      </c>
      <c r="AB3682" t="s">
        <v>5181</v>
      </c>
      <c r="AC3682">
        <v>202</v>
      </c>
      <c r="AD3682">
        <v>80</v>
      </c>
      <c r="AE3682">
        <v>98</v>
      </c>
      <c r="AF3682">
        <v>147.21</v>
      </c>
      <c r="AG3682">
        <v>9.49</v>
      </c>
      <c r="AH3682">
        <v>4.17</v>
      </c>
      <c r="AI3682">
        <v>0.06</v>
      </c>
      <c r="AJ3682">
        <v>-0.01</v>
      </c>
      <c r="AK3682">
        <v>92</v>
      </c>
      <c r="AL3682">
        <v>200</v>
      </c>
      <c r="AM3682">
        <v>73</v>
      </c>
      <c r="AN3682">
        <v>5.26</v>
      </c>
      <c r="AO3682">
        <v>-1.1200000000000001</v>
      </c>
      <c r="AP3682">
        <v>359</v>
      </c>
      <c r="AQ3682">
        <v>0</v>
      </c>
      <c r="AR3682">
        <v>8.5</v>
      </c>
      <c r="AS3682">
        <v>92</v>
      </c>
      <c r="AT3682">
        <v>3.92</v>
      </c>
      <c r="AU3682">
        <v>93</v>
      </c>
      <c r="AV3682">
        <v>-2.4900000000000002</v>
      </c>
      <c r="AW3682">
        <v>96</v>
      </c>
      <c r="AX3682">
        <v>1.03</v>
      </c>
      <c r="AY3682">
        <v>89</v>
      </c>
      <c r="AZ3682">
        <v>6.24</v>
      </c>
      <c r="BA3682">
        <v>76</v>
      </c>
      <c r="BB3682">
        <v>4.75</v>
      </c>
      <c r="BC3682">
        <v>72</v>
      </c>
      <c r="BD3682">
        <v>-0.03</v>
      </c>
      <c r="BE3682">
        <v>-0.04</v>
      </c>
      <c r="BF3682">
        <v>-0.04</v>
      </c>
      <c r="BG3682">
        <v>93</v>
      </c>
      <c r="BH3682">
        <v>-0.32</v>
      </c>
      <c r="BI3682">
        <v>-4.46</v>
      </c>
      <c r="BJ3682">
        <v>104</v>
      </c>
      <c r="BK3682">
        <v>40</v>
      </c>
      <c r="BL3682">
        <v>0.9</v>
      </c>
      <c r="BM3682">
        <v>-2.2400000000000002</v>
      </c>
      <c r="BN3682">
        <v>0.02</v>
      </c>
      <c r="BO3682">
        <v>1.51</v>
      </c>
      <c r="BP3682">
        <v>-0.05</v>
      </c>
      <c r="BQ3682">
        <v>1.8</v>
      </c>
      <c r="BR3682">
        <v>0.59</v>
      </c>
      <c r="BS3682">
        <v>0.99</v>
      </c>
      <c r="BT3682">
        <v>0.68</v>
      </c>
      <c r="BU3682">
        <v>2.38</v>
      </c>
      <c r="BV3682">
        <v>3.05</v>
      </c>
      <c r="BW3682">
        <v>3.15</v>
      </c>
      <c r="BX3682">
        <v>2.15</v>
      </c>
      <c r="BY3682">
        <v>1.49</v>
      </c>
      <c r="BZ3682">
        <v>-0.77</v>
      </c>
      <c r="CA3682">
        <v>1.86</v>
      </c>
      <c r="CB3682">
        <v>2.34</v>
      </c>
      <c r="CC3682">
        <v>0.06</v>
      </c>
      <c r="CD3682">
        <v>-1.74</v>
      </c>
      <c r="CE3682">
        <v>1.44</v>
      </c>
      <c r="CF3682">
        <v>0.14000000000000001</v>
      </c>
      <c r="CG3682">
        <v>0</v>
      </c>
      <c r="CH3682">
        <v>1.47</v>
      </c>
      <c r="CI3682">
        <v>0</v>
      </c>
      <c r="CJ3682">
        <v>-2.1</v>
      </c>
      <c r="CK3682">
        <v>94</v>
      </c>
      <c r="CL3682">
        <v>-1.05</v>
      </c>
      <c r="CM3682">
        <v>93</v>
      </c>
      <c r="CN3682">
        <v>-0.53</v>
      </c>
      <c r="CO3682">
        <v>92</v>
      </c>
      <c r="CP3682">
        <v>-0.3</v>
      </c>
      <c r="CQ3682">
        <v>93</v>
      </c>
      <c r="CR3682">
        <v>0</v>
      </c>
      <c r="CS3682">
        <v>0</v>
      </c>
      <c r="CT3682">
        <v>18.600000000000001</v>
      </c>
      <c r="CU3682">
        <v>89</v>
      </c>
      <c r="CV3682">
        <v>0.25</v>
      </c>
      <c r="CW3682">
        <v>44</v>
      </c>
      <c r="CX3682" t="s">
        <v>291</v>
      </c>
    </row>
    <row r="3683" spans="1:102" x14ac:dyDescent="0.3">
      <c r="A3683" t="str">
        <f>HYPERLINK("https://webapp.icbf.com/v2/app/bull-search/view/77857846","FEC")</f>
        <v>FEC</v>
      </c>
      <c r="B3683" t="s">
        <v>11052</v>
      </c>
      <c r="C3683" t="s">
        <v>11053</v>
      </c>
      <c r="D3683" s="1">
        <v>34562</v>
      </c>
      <c r="E3683" t="s">
        <v>92</v>
      </c>
      <c r="F3683">
        <v>100</v>
      </c>
      <c r="G3683" t="s">
        <v>93</v>
      </c>
      <c r="H3683">
        <v>-54.6</v>
      </c>
      <c r="I3683">
        <v>89</v>
      </c>
      <c r="J3683">
        <v>10.99</v>
      </c>
      <c r="K3683">
        <v>97</v>
      </c>
      <c r="L3683">
        <v>-91.96</v>
      </c>
      <c r="M3683">
        <v>88</v>
      </c>
      <c r="N3683">
        <v>25.96</v>
      </c>
      <c r="O3683">
        <v>82</v>
      </c>
      <c r="P3683">
        <v>1.73</v>
      </c>
      <c r="Q3683">
        <v>89</v>
      </c>
      <c r="R3683">
        <v>-3.35</v>
      </c>
      <c r="S3683">
        <v>82</v>
      </c>
      <c r="T3683">
        <v>7.02</v>
      </c>
      <c r="U3683">
        <v>85</v>
      </c>
      <c r="V3683">
        <v>-4.99</v>
      </c>
      <c r="W3683">
        <v>67</v>
      </c>
      <c r="X3683" t="s">
        <v>276</v>
      </c>
      <c r="Y3683" t="s">
        <v>95</v>
      </c>
      <c r="Z3683" t="s">
        <v>96</v>
      </c>
      <c r="AA3683" t="s">
        <v>564</v>
      </c>
      <c r="AB3683" t="s">
        <v>11054</v>
      </c>
      <c r="AC3683">
        <v>98</v>
      </c>
      <c r="AD3683">
        <v>70</v>
      </c>
      <c r="AE3683">
        <v>97</v>
      </c>
      <c r="AF3683">
        <v>240.48</v>
      </c>
      <c r="AG3683">
        <v>6.67</v>
      </c>
      <c r="AH3683">
        <v>3.19</v>
      </c>
      <c r="AI3683">
        <v>-0.05</v>
      </c>
      <c r="AJ3683">
        <v>-0.08</v>
      </c>
      <c r="AK3683">
        <v>88</v>
      </c>
      <c r="AL3683">
        <v>92</v>
      </c>
      <c r="AM3683">
        <v>46</v>
      </c>
      <c r="AN3683">
        <v>4.53</v>
      </c>
      <c r="AO3683">
        <v>-2.81</v>
      </c>
      <c r="AP3683">
        <v>63</v>
      </c>
      <c r="AQ3683">
        <v>0</v>
      </c>
      <c r="AR3683">
        <v>5.43</v>
      </c>
      <c r="AS3683">
        <v>78</v>
      </c>
      <c r="AT3683">
        <v>2.2799999999999998</v>
      </c>
      <c r="AU3683">
        <v>87</v>
      </c>
      <c r="AV3683">
        <v>-2.4500000000000002</v>
      </c>
      <c r="AW3683">
        <v>85</v>
      </c>
      <c r="AX3683">
        <v>-0.19</v>
      </c>
      <c r="AY3683">
        <v>80</v>
      </c>
      <c r="AZ3683">
        <v>7.31</v>
      </c>
      <c r="BA3683">
        <v>67</v>
      </c>
      <c r="BB3683">
        <v>5.81</v>
      </c>
      <c r="BC3683">
        <v>68</v>
      </c>
      <c r="BD3683">
        <v>0</v>
      </c>
      <c r="BE3683">
        <v>0.03</v>
      </c>
      <c r="BF3683">
        <v>0.02</v>
      </c>
      <c r="BG3683">
        <v>94</v>
      </c>
      <c r="BH3683">
        <v>-0.11</v>
      </c>
      <c r="BI3683">
        <v>3.36</v>
      </c>
      <c r="BJ3683">
        <v>36</v>
      </c>
      <c r="BK3683">
        <v>18</v>
      </c>
      <c r="BL3683">
        <v>-0.28999999999999998</v>
      </c>
      <c r="BM3683">
        <v>-1.65</v>
      </c>
      <c r="BN3683">
        <v>-0.79</v>
      </c>
      <c r="BO3683">
        <v>0.22</v>
      </c>
      <c r="BP3683">
        <v>-1.4</v>
      </c>
      <c r="BQ3683">
        <v>-1.73</v>
      </c>
      <c r="BR3683">
        <v>-0.57999999999999996</v>
      </c>
      <c r="BS3683">
        <v>-0.01</v>
      </c>
      <c r="BT3683">
        <v>1.1499999999999999</v>
      </c>
      <c r="BU3683">
        <v>0.1</v>
      </c>
      <c r="BV3683">
        <v>-0.01</v>
      </c>
      <c r="BW3683">
        <v>0.65</v>
      </c>
      <c r="BX3683">
        <v>0.3</v>
      </c>
      <c r="BY3683">
        <v>1.36</v>
      </c>
      <c r="BZ3683">
        <v>0.99</v>
      </c>
      <c r="CA3683">
        <v>0.15</v>
      </c>
      <c r="CB3683">
        <v>0.18</v>
      </c>
      <c r="CC3683">
        <v>-0.14000000000000001</v>
      </c>
      <c r="CD3683">
        <v>-0.99</v>
      </c>
      <c r="CE3683">
        <v>0.42</v>
      </c>
      <c r="CF3683">
        <v>-1.79</v>
      </c>
      <c r="CG3683">
        <v>0</v>
      </c>
      <c r="CH3683">
        <v>1.38</v>
      </c>
      <c r="CI3683">
        <v>0</v>
      </c>
      <c r="CJ3683">
        <v>0.8</v>
      </c>
      <c r="CK3683">
        <v>90</v>
      </c>
      <c r="CL3683">
        <v>-0.43</v>
      </c>
      <c r="CM3683">
        <v>88</v>
      </c>
      <c r="CN3683">
        <v>-0.4</v>
      </c>
      <c r="CO3683">
        <v>86</v>
      </c>
      <c r="CP3683">
        <v>2.5</v>
      </c>
      <c r="CQ3683">
        <v>91</v>
      </c>
      <c r="CR3683">
        <v>0</v>
      </c>
      <c r="CS3683">
        <v>0</v>
      </c>
      <c r="CT3683">
        <v>4.3</v>
      </c>
      <c r="CU3683">
        <v>85</v>
      </c>
      <c r="CV3683">
        <v>0.1</v>
      </c>
      <c r="CW3683">
        <v>44</v>
      </c>
      <c r="CX3683" t="s">
        <v>152</v>
      </c>
    </row>
    <row r="3684" spans="1:102" x14ac:dyDescent="0.3">
      <c r="A3684" t="str">
        <f>HYPERLINK("https://webapp.icbf.com/v2/app/bull-search/view/139188050","LKO")</f>
        <v>LKO</v>
      </c>
      <c r="B3684" t="s">
        <v>2859</v>
      </c>
      <c r="C3684" t="s">
        <v>2860</v>
      </c>
      <c r="D3684" s="1">
        <v>34969</v>
      </c>
      <c r="E3684" t="s">
        <v>140</v>
      </c>
      <c r="F3684">
        <v>0</v>
      </c>
      <c r="G3684" t="s">
        <v>109</v>
      </c>
      <c r="H3684">
        <v>-54.61</v>
      </c>
      <c r="I3684">
        <v>66</v>
      </c>
      <c r="J3684">
        <v>-36.770000000000003</v>
      </c>
      <c r="K3684">
        <v>76</v>
      </c>
      <c r="L3684">
        <v>-12.61</v>
      </c>
      <c r="M3684">
        <v>52</v>
      </c>
      <c r="N3684">
        <v>-16.04</v>
      </c>
      <c r="O3684">
        <v>62</v>
      </c>
      <c r="P3684">
        <v>11.57</v>
      </c>
      <c r="Q3684">
        <v>87</v>
      </c>
      <c r="R3684">
        <v>-1.51</v>
      </c>
      <c r="S3684">
        <v>56</v>
      </c>
      <c r="T3684">
        <v>10.87</v>
      </c>
      <c r="U3684">
        <v>76</v>
      </c>
      <c r="V3684">
        <v>-10.119999999999999</v>
      </c>
      <c r="W3684">
        <v>45</v>
      </c>
      <c r="X3684" t="s">
        <v>94</v>
      </c>
      <c r="Y3684" t="s">
        <v>95</v>
      </c>
      <c r="Z3684">
        <v>0</v>
      </c>
      <c r="AA3684" t="s">
        <v>224</v>
      </c>
      <c r="AB3684" t="s">
        <v>2861</v>
      </c>
      <c r="AC3684">
        <v>0</v>
      </c>
      <c r="AD3684">
        <v>0</v>
      </c>
      <c r="AE3684">
        <v>76</v>
      </c>
      <c r="AF3684">
        <v>-92.97</v>
      </c>
      <c r="AG3684">
        <v>-1.32</v>
      </c>
      <c r="AH3684">
        <v>-7.21</v>
      </c>
      <c r="AI3684">
        <v>0.04</v>
      </c>
      <c r="AJ3684">
        <v>-7.0000000000000007E-2</v>
      </c>
      <c r="AK3684">
        <v>52</v>
      </c>
      <c r="AL3684">
        <v>33</v>
      </c>
      <c r="AM3684">
        <v>12</v>
      </c>
      <c r="AN3684">
        <v>1.89</v>
      </c>
      <c r="AO3684">
        <v>0.9</v>
      </c>
      <c r="AP3684">
        <v>36</v>
      </c>
      <c r="AQ3684">
        <v>0</v>
      </c>
      <c r="AR3684">
        <v>8.3699999999999992</v>
      </c>
      <c r="AS3684">
        <v>48</v>
      </c>
      <c r="AT3684">
        <v>4.2300000000000004</v>
      </c>
      <c r="AU3684">
        <v>58</v>
      </c>
      <c r="AV3684">
        <v>0.61</v>
      </c>
      <c r="AW3684">
        <v>74</v>
      </c>
      <c r="AX3684">
        <v>0.1</v>
      </c>
      <c r="AY3684">
        <v>68</v>
      </c>
      <c r="AZ3684">
        <v>6.73</v>
      </c>
      <c r="BA3684">
        <v>38</v>
      </c>
      <c r="BB3684">
        <v>4.5199999999999996</v>
      </c>
      <c r="BC3684">
        <v>40</v>
      </c>
      <c r="BD3684">
        <v>0.04</v>
      </c>
      <c r="BE3684">
        <v>0.02</v>
      </c>
      <c r="BF3684">
        <v>-7.0000000000000007E-2</v>
      </c>
      <c r="BG3684">
        <v>66</v>
      </c>
      <c r="BH3684">
        <v>-0.22</v>
      </c>
      <c r="BI3684">
        <v>7.2</v>
      </c>
      <c r="BJ3684">
        <v>0</v>
      </c>
      <c r="BK3684">
        <v>0</v>
      </c>
      <c r="BL3684">
        <v>-1.05</v>
      </c>
      <c r="BM3684">
        <v>3.85</v>
      </c>
      <c r="BN3684">
        <v>-1.76</v>
      </c>
      <c r="BO3684">
        <v>-3.33</v>
      </c>
      <c r="BP3684">
        <v>4.83</v>
      </c>
      <c r="BQ3684">
        <v>-2.4300000000000002</v>
      </c>
      <c r="BR3684">
        <v>-2.71</v>
      </c>
      <c r="BS3684">
        <v>-0.4</v>
      </c>
      <c r="BT3684">
        <v>2.81</v>
      </c>
      <c r="BU3684">
        <v>-3.45</v>
      </c>
      <c r="BV3684">
        <v>-3.75</v>
      </c>
      <c r="BW3684">
        <v>-2.81</v>
      </c>
      <c r="BX3684">
        <v>-2.83</v>
      </c>
      <c r="BY3684">
        <v>-2.0699999999999998</v>
      </c>
      <c r="BZ3684">
        <v>0.85</v>
      </c>
      <c r="CA3684">
        <v>-2.4300000000000002</v>
      </c>
      <c r="CB3684">
        <v>-3.14</v>
      </c>
      <c r="CC3684">
        <v>-0.33</v>
      </c>
      <c r="CD3684">
        <v>4.2</v>
      </c>
      <c r="CE3684">
        <v>-3.35</v>
      </c>
      <c r="CF3684">
        <v>-1.43</v>
      </c>
      <c r="CG3684">
        <v>0</v>
      </c>
      <c r="CH3684">
        <v>-2.73</v>
      </c>
      <c r="CI3684">
        <v>0</v>
      </c>
      <c r="CJ3684">
        <v>3.4</v>
      </c>
      <c r="CK3684">
        <v>89</v>
      </c>
      <c r="CL3684">
        <v>0.41</v>
      </c>
      <c r="CM3684">
        <v>87</v>
      </c>
      <c r="CN3684">
        <v>-0.25</v>
      </c>
      <c r="CO3684">
        <v>85</v>
      </c>
      <c r="CP3684">
        <v>-1.9</v>
      </c>
      <c r="CQ3684">
        <v>82</v>
      </c>
      <c r="CR3684">
        <v>0</v>
      </c>
      <c r="CS3684">
        <v>0</v>
      </c>
      <c r="CT3684">
        <v>-0.9</v>
      </c>
      <c r="CU3684">
        <v>76</v>
      </c>
      <c r="CV3684">
        <v>-0.21</v>
      </c>
      <c r="CW3684">
        <v>25</v>
      </c>
      <c r="CX3684" t="s">
        <v>2464</v>
      </c>
    </row>
    <row r="3685" spans="1:102" x14ac:dyDescent="0.3">
      <c r="A3685" t="str">
        <f>HYPERLINK("https://webapp.icbf.com/v2/app/bull-search/view/124414517","CUK")</f>
        <v>CUK</v>
      </c>
      <c r="B3685" t="s">
        <v>12070</v>
      </c>
      <c r="C3685" t="s">
        <v>12071</v>
      </c>
      <c r="D3685" s="1">
        <v>35041</v>
      </c>
      <c r="E3685" t="s">
        <v>92</v>
      </c>
      <c r="F3685">
        <v>100</v>
      </c>
      <c r="G3685" t="s">
        <v>109</v>
      </c>
      <c r="H3685">
        <v>-54.74</v>
      </c>
      <c r="I3685">
        <v>68</v>
      </c>
      <c r="J3685">
        <v>-24.93</v>
      </c>
      <c r="K3685">
        <v>73</v>
      </c>
      <c r="L3685">
        <v>-40.92</v>
      </c>
      <c r="M3685">
        <v>69</v>
      </c>
      <c r="N3685">
        <v>7.02</v>
      </c>
      <c r="O3685">
        <v>58</v>
      </c>
      <c r="P3685">
        <v>-18.34</v>
      </c>
      <c r="Q3685">
        <v>72</v>
      </c>
      <c r="R3685">
        <v>5.0199999999999996</v>
      </c>
      <c r="S3685">
        <v>64</v>
      </c>
      <c r="T3685">
        <v>21.82</v>
      </c>
      <c r="U3685">
        <v>66</v>
      </c>
      <c r="V3685">
        <v>-4.41</v>
      </c>
      <c r="W3685">
        <v>35</v>
      </c>
      <c r="X3685" t="s">
        <v>970</v>
      </c>
      <c r="Y3685" t="s">
        <v>95</v>
      </c>
      <c r="Z3685" t="s">
        <v>96</v>
      </c>
      <c r="AA3685" t="s">
        <v>265</v>
      </c>
      <c r="AB3685" t="s">
        <v>3912</v>
      </c>
      <c r="AC3685">
        <v>0</v>
      </c>
      <c r="AD3685">
        <v>0</v>
      </c>
      <c r="AE3685">
        <v>73</v>
      </c>
      <c r="AF3685">
        <v>-127.2</v>
      </c>
      <c r="AG3685">
        <v>-5.19</v>
      </c>
      <c r="AH3685">
        <v>-4.3499999999999996</v>
      </c>
      <c r="AI3685">
        <v>0</v>
      </c>
      <c r="AJ3685">
        <v>0</v>
      </c>
      <c r="AK3685">
        <v>69</v>
      </c>
      <c r="AL3685">
        <v>0</v>
      </c>
      <c r="AM3685">
        <v>0</v>
      </c>
      <c r="AN3685">
        <v>4.0199999999999996</v>
      </c>
      <c r="AO3685">
        <v>0.78</v>
      </c>
      <c r="AP3685">
        <v>31</v>
      </c>
      <c r="AQ3685">
        <v>0</v>
      </c>
      <c r="AR3685">
        <v>7.38</v>
      </c>
      <c r="AS3685">
        <v>44</v>
      </c>
      <c r="AT3685">
        <v>3.75</v>
      </c>
      <c r="AU3685">
        <v>56</v>
      </c>
      <c r="AV3685">
        <v>-1.85</v>
      </c>
      <c r="AW3685">
        <v>71</v>
      </c>
      <c r="AX3685">
        <v>-0.31</v>
      </c>
      <c r="AY3685">
        <v>51</v>
      </c>
      <c r="AZ3685">
        <v>7.13</v>
      </c>
      <c r="BA3685">
        <v>35</v>
      </c>
      <c r="BB3685">
        <v>5.46</v>
      </c>
      <c r="BC3685">
        <v>41</v>
      </c>
      <c r="BD3685">
        <v>-0.02</v>
      </c>
      <c r="BE3685">
        <v>0.02</v>
      </c>
      <c r="BF3685">
        <v>-0.12</v>
      </c>
      <c r="BG3685">
        <v>83</v>
      </c>
      <c r="BH3685">
        <v>-0.08</v>
      </c>
      <c r="BI3685">
        <v>4.96</v>
      </c>
      <c r="BJ3685">
        <v>2</v>
      </c>
      <c r="BK3685">
        <v>2</v>
      </c>
      <c r="BL3685">
        <v>-0.13</v>
      </c>
      <c r="BM3685">
        <v>-0.81</v>
      </c>
      <c r="BN3685">
        <v>-0.55000000000000004</v>
      </c>
      <c r="BO3685">
        <v>0.09</v>
      </c>
      <c r="BP3685">
        <v>-0.35</v>
      </c>
      <c r="BQ3685">
        <v>-1.31</v>
      </c>
      <c r="BR3685">
        <v>-1.86</v>
      </c>
      <c r="BS3685">
        <v>1.38</v>
      </c>
      <c r="BT3685">
        <v>1.37</v>
      </c>
      <c r="BU3685">
        <v>1.48</v>
      </c>
      <c r="BV3685">
        <v>0.86</v>
      </c>
      <c r="BW3685">
        <v>0.67</v>
      </c>
      <c r="BX3685">
        <v>1.56</v>
      </c>
      <c r="BY3685">
        <v>1.02</v>
      </c>
      <c r="BZ3685">
        <v>1.4</v>
      </c>
      <c r="CA3685">
        <v>1.31</v>
      </c>
      <c r="CB3685">
        <v>1.07</v>
      </c>
      <c r="CC3685">
        <v>1.05</v>
      </c>
      <c r="CD3685">
        <v>-0.49</v>
      </c>
      <c r="CE3685">
        <v>0.59</v>
      </c>
      <c r="CF3685">
        <v>-0.99</v>
      </c>
      <c r="CG3685">
        <v>0</v>
      </c>
      <c r="CH3685">
        <v>1.2</v>
      </c>
      <c r="CI3685">
        <v>0</v>
      </c>
      <c r="CJ3685">
        <v>-6.5</v>
      </c>
      <c r="CK3685">
        <v>74</v>
      </c>
      <c r="CL3685">
        <v>-0.7</v>
      </c>
      <c r="CM3685">
        <v>70</v>
      </c>
      <c r="CN3685">
        <v>0.05</v>
      </c>
      <c r="CO3685">
        <v>67</v>
      </c>
      <c r="CP3685">
        <v>-10.4</v>
      </c>
      <c r="CQ3685">
        <v>71</v>
      </c>
      <c r="CR3685">
        <v>0</v>
      </c>
      <c r="CS3685">
        <v>0</v>
      </c>
      <c r="CT3685">
        <v>-15.7</v>
      </c>
      <c r="CU3685">
        <v>66</v>
      </c>
      <c r="CV3685">
        <v>0.15</v>
      </c>
      <c r="CW3685">
        <v>20</v>
      </c>
      <c r="CX3685" t="s">
        <v>161</v>
      </c>
    </row>
    <row r="3686" spans="1:102" x14ac:dyDescent="0.3">
      <c r="A3686" t="str">
        <f>HYPERLINK("https://webapp.icbf.com/v2/app/bull-search/view/133682099","SVT")</f>
        <v>SVT</v>
      </c>
      <c r="B3686" t="s">
        <v>11458</v>
      </c>
      <c r="C3686" t="s">
        <v>3041</v>
      </c>
      <c r="D3686" s="1">
        <v>35649</v>
      </c>
      <c r="E3686" t="s">
        <v>92</v>
      </c>
      <c r="F3686">
        <v>100</v>
      </c>
      <c r="G3686" t="s">
        <v>109</v>
      </c>
      <c r="H3686">
        <v>-54.76</v>
      </c>
      <c r="I3686">
        <v>83</v>
      </c>
      <c r="J3686">
        <v>25.59</v>
      </c>
      <c r="K3686">
        <v>92</v>
      </c>
      <c r="L3686">
        <v>-100.03</v>
      </c>
      <c r="M3686">
        <v>87</v>
      </c>
      <c r="N3686">
        <v>9.43</v>
      </c>
      <c r="O3686">
        <v>73</v>
      </c>
      <c r="P3686">
        <v>11.94</v>
      </c>
      <c r="Q3686">
        <v>80</v>
      </c>
      <c r="R3686">
        <v>-6.06</v>
      </c>
      <c r="S3686">
        <v>73</v>
      </c>
      <c r="T3686">
        <v>5.76</v>
      </c>
      <c r="U3686">
        <v>70</v>
      </c>
      <c r="V3686">
        <v>-1.39</v>
      </c>
      <c r="W3686">
        <v>44</v>
      </c>
      <c r="X3686" t="s">
        <v>94</v>
      </c>
      <c r="Y3686" t="s">
        <v>95</v>
      </c>
      <c r="Z3686" t="s">
        <v>96</v>
      </c>
      <c r="AA3686" t="s">
        <v>188</v>
      </c>
      <c r="AB3686" t="s">
        <v>11459</v>
      </c>
      <c r="AC3686">
        <v>25</v>
      </c>
      <c r="AD3686">
        <v>18</v>
      </c>
      <c r="AE3686">
        <v>92</v>
      </c>
      <c r="AF3686">
        <v>353.08</v>
      </c>
      <c r="AG3686">
        <v>9.43</v>
      </c>
      <c r="AH3686">
        <v>6.42</v>
      </c>
      <c r="AI3686">
        <v>-7.0000000000000007E-2</v>
      </c>
      <c r="AJ3686">
        <v>-0.09</v>
      </c>
      <c r="AK3686">
        <v>87</v>
      </c>
      <c r="AL3686">
        <v>18</v>
      </c>
      <c r="AM3686">
        <v>12</v>
      </c>
      <c r="AN3686">
        <v>5.27</v>
      </c>
      <c r="AO3686">
        <v>-2.71</v>
      </c>
      <c r="AP3686">
        <v>45</v>
      </c>
      <c r="AQ3686">
        <v>3</v>
      </c>
      <c r="AR3686">
        <v>8.0399999999999991</v>
      </c>
      <c r="AS3686">
        <v>68</v>
      </c>
      <c r="AT3686">
        <v>3.5</v>
      </c>
      <c r="AU3686">
        <v>97</v>
      </c>
      <c r="AV3686">
        <v>-2.06</v>
      </c>
      <c r="AW3686">
        <v>69</v>
      </c>
      <c r="AX3686">
        <v>-0.3</v>
      </c>
      <c r="AY3686">
        <v>70</v>
      </c>
      <c r="AZ3686">
        <v>6.65</v>
      </c>
      <c r="BA3686">
        <v>52</v>
      </c>
      <c r="BB3686">
        <v>5.55</v>
      </c>
      <c r="BC3686">
        <v>51</v>
      </c>
      <c r="BD3686">
        <v>-0.01</v>
      </c>
      <c r="BE3686">
        <v>0.04</v>
      </c>
      <c r="BF3686">
        <v>0.08</v>
      </c>
      <c r="BG3686">
        <v>91</v>
      </c>
      <c r="BH3686">
        <v>-0.01</v>
      </c>
      <c r="BI3686">
        <v>3.32</v>
      </c>
      <c r="BJ3686">
        <v>12</v>
      </c>
      <c r="BK3686">
        <v>7</v>
      </c>
      <c r="BL3686">
        <v>0.39</v>
      </c>
      <c r="BM3686">
        <v>-1.77</v>
      </c>
      <c r="BN3686">
        <v>-0.37</v>
      </c>
      <c r="BO3686">
        <v>0.79</v>
      </c>
      <c r="BP3686">
        <v>2.35</v>
      </c>
      <c r="BQ3686">
        <v>-0.54</v>
      </c>
      <c r="BR3686">
        <v>0.35</v>
      </c>
      <c r="BS3686">
        <v>0.04</v>
      </c>
      <c r="BT3686">
        <v>-1.2</v>
      </c>
      <c r="BU3686">
        <v>1.3</v>
      </c>
      <c r="BV3686">
        <v>0</v>
      </c>
      <c r="BW3686">
        <v>-0.34</v>
      </c>
      <c r="BX3686">
        <v>0.77</v>
      </c>
      <c r="BY3686">
        <v>1.21</v>
      </c>
      <c r="BZ3686">
        <v>-3.36</v>
      </c>
      <c r="CA3686">
        <v>0.21</v>
      </c>
      <c r="CB3686">
        <v>0.63</v>
      </c>
      <c r="CC3686">
        <v>-0.7</v>
      </c>
      <c r="CD3686">
        <v>-1.07</v>
      </c>
      <c r="CE3686">
        <v>0.88</v>
      </c>
      <c r="CF3686">
        <v>-0.46</v>
      </c>
      <c r="CG3686">
        <v>0</v>
      </c>
      <c r="CH3686">
        <v>1.03</v>
      </c>
      <c r="CI3686">
        <v>0</v>
      </c>
      <c r="CJ3686">
        <v>8.1</v>
      </c>
      <c r="CK3686">
        <v>81</v>
      </c>
      <c r="CL3686">
        <v>-0.43</v>
      </c>
      <c r="CM3686">
        <v>78</v>
      </c>
      <c r="CN3686">
        <v>-0.44</v>
      </c>
      <c r="CO3686">
        <v>76</v>
      </c>
      <c r="CP3686">
        <v>0.3</v>
      </c>
      <c r="CQ3686">
        <v>79</v>
      </c>
      <c r="CR3686">
        <v>0</v>
      </c>
      <c r="CS3686">
        <v>0</v>
      </c>
      <c r="CT3686">
        <v>6</v>
      </c>
      <c r="CU3686">
        <v>70</v>
      </c>
      <c r="CV3686">
        <v>0.25</v>
      </c>
      <c r="CW3686">
        <v>23</v>
      </c>
      <c r="CX3686" t="s">
        <v>265</v>
      </c>
    </row>
    <row r="3687" spans="1:102" x14ac:dyDescent="0.3">
      <c r="A3687" t="str">
        <f>HYPERLINK("https://webapp.icbf.com/v2/app/bull-search/view/1059839882","S1532")</f>
        <v>S1532</v>
      </c>
      <c r="B3687" t="s">
        <v>13182</v>
      </c>
      <c r="C3687" t="s">
        <v>13183</v>
      </c>
      <c r="D3687" s="1">
        <v>38522</v>
      </c>
      <c r="E3687" t="s">
        <v>197</v>
      </c>
      <c r="F3687">
        <v>0</v>
      </c>
      <c r="G3687" t="s">
        <v>435</v>
      </c>
      <c r="H3687">
        <v>-54.9</v>
      </c>
      <c r="I3687">
        <v>43</v>
      </c>
      <c r="J3687">
        <v>-27.48</v>
      </c>
      <c r="K3687">
        <v>57</v>
      </c>
      <c r="L3687">
        <v>25.62</v>
      </c>
      <c r="M3687">
        <v>22</v>
      </c>
      <c r="N3687">
        <v>-79.22</v>
      </c>
      <c r="O3687">
        <v>57</v>
      </c>
      <c r="P3687">
        <v>29.42</v>
      </c>
      <c r="Q3687">
        <v>70</v>
      </c>
      <c r="R3687">
        <v>-6.93</v>
      </c>
      <c r="S3687">
        <v>23</v>
      </c>
      <c r="T3687">
        <v>5.24</v>
      </c>
      <c r="U3687">
        <v>47</v>
      </c>
      <c r="V3687">
        <v>-1.55</v>
      </c>
      <c r="W3687">
        <v>19</v>
      </c>
      <c r="X3687" t="s">
        <v>198</v>
      </c>
      <c r="Y3687" t="s">
        <v>362</v>
      </c>
      <c r="Z3687">
        <v>0</v>
      </c>
      <c r="AA3687" t="s">
        <v>1821</v>
      </c>
      <c r="AB3687" t="s">
        <v>13184</v>
      </c>
      <c r="AC3687">
        <v>7</v>
      </c>
      <c r="AD3687">
        <v>2</v>
      </c>
      <c r="AE3687">
        <v>57</v>
      </c>
      <c r="AF3687">
        <v>-217.16</v>
      </c>
      <c r="AG3687">
        <v>-6.89</v>
      </c>
      <c r="AH3687">
        <v>-5.56</v>
      </c>
      <c r="AI3687">
        <v>0.03</v>
      </c>
      <c r="AJ3687">
        <v>0.03</v>
      </c>
      <c r="AK3687">
        <v>22</v>
      </c>
      <c r="AL3687">
        <v>8</v>
      </c>
      <c r="AM3687">
        <v>3</v>
      </c>
      <c r="AN3687">
        <v>-2.39</v>
      </c>
      <c r="AO3687">
        <v>-0.36</v>
      </c>
      <c r="AP3687">
        <v>22</v>
      </c>
      <c r="AQ3687">
        <v>0</v>
      </c>
      <c r="AR3687">
        <v>9.2899999999999991</v>
      </c>
      <c r="AS3687">
        <v>32</v>
      </c>
      <c r="AT3687">
        <v>8.4</v>
      </c>
      <c r="AU3687">
        <v>54</v>
      </c>
      <c r="AV3687">
        <v>1.5</v>
      </c>
      <c r="AW3687">
        <v>80</v>
      </c>
      <c r="AX3687">
        <v>0.76</v>
      </c>
      <c r="AY3687">
        <v>50</v>
      </c>
      <c r="AZ3687">
        <v>7.09</v>
      </c>
      <c r="BA3687">
        <v>25</v>
      </c>
      <c r="BB3687">
        <v>3.22</v>
      </c>
      <c r="BC3687">
        <v>20</v>
      </c>
      <c r="BD3687">
        <v>0.02</v>
      </c>
      <c r="BE3687">
        <v>0.04</v>
      </c>
      <c r="BF3687">
        <v>0.05</v>
      </c>
      <c r="BG3687">
        <v>28</v>
      </c>
      <c r="BH3687">
        <v>-0.13</v>
      </c>
      <c r="BI3687">
        <v>-10.050000000000001</v>
      </c>
      <c r="BJ3687">
        <v>0</v>
      </c>
      <c r="BK3687">
        <v>0</v>
      </c>
      <c r="BL3687">
        <v>0</v>
      </c>
      <c r="BM3687">
        <v>0</v>
      </c>
      <c r="BN3687">
        <v>0</v>
      </c>
      <c r="BO3687">
        <v>0</v>
      </c>
      <c r="BP3687">
        <v>0</v>
      </c>
      <c r="BQ3687">
        <v>0</v>
      </c>
      <c r="BR3687">
        <v>0</v>
      </c>
      <c r="BS3687">
        <v>0</v>
      </c>
      <c r="BT3687">
        <v>0</v>
      </c>
      <c r="BU3687">
        <v>0</v>
      </c>
      <c r="BV3687">
        <v>0</v>
      </c>
      <c r="BW3687">
        <v>0</v>
      </c>
      <c r="BX3687">
        <v>0</v>
      </c>
      <c r="BY3687">
        <v>0</v>
      </c>
      <c r="BZ3687">
        <v>0</v>
      </c>
      <c r="CA3687">
        <v>0</v>
      </c>
      <c r="CB3687">
        <v>0</v>
      </c>
      <c r="CC3687">
        <v>0</v>
      </c>
      <c r="CD3687">
        <v>0</v>
      </c>
      <c r="CE3687">
        <v>0</v>
      </c>
      <c r="CF3687">
        <v>0</v>
      </c>
      <c r="CG3687">
        <v>0</v>
      </c>
      <c r="CH3687">
        <v>0</v>
      </c>
      <c r="CI3687">
        <v>0</v>
      </c>
      <c r="CJ3687">
        <v>14.3</v>
      </c>
      <c r="CK3687">
        <v>73</v>
      </c>
      <c r="CL3687">
        <v>0.5</v>
      </c>
      <c r="CM3687">
        <v>69</v>
      </c>
      <c r="CN3687">
        <v>-0.26</v>
      </c>
      <c r="CO3687">
        <v>67</v>
      </c>
      <c r="CP3687">
        <v>9.9</v>
      </c>
      <c r="CQ3687">
        <v>56</v>
      </c>
      <c r="CR3687">
        <v>0</v>
      </c>
      <c r="CS3687">
        <v>0</v>
      </c>
      <c r="CT3687">
        <v>6.7</v>
      </c>
      <c r="CU3687">
        <v>47</v>
      </c>
      <c r="CV3687">
        <v>-0.08</v>
      </c>
      <c r="CW3687">
        <v>40</v>
      </c>
      <c r="CX3687" t="s">
        <v>1200</v>
      </c>
    </row>
    <row r="3688" spans="1:102" x14ac:dyDescent="0.3">
      <c r="A3688" t="str">
        <f>HYPERLINK("https://webapp.icbf.com/v2/app/bull-search/view/77858158","EGR")</f>
        <v>EGR</v>
      </c>
      <c r="B3688" t="s">
        <v>11185</v>
      </c>
      <c r="C3688" t="s">
        <v>11186</v>
      </c>
      <c r="D3688" s="1">
        <v>32272</v>
      </c>
      <c r="E3688" t="s">
        <v>92</v>
      </c>
      <c r="F3688">
        <v>100</v>
      </c>
      <c r="G3688" t="s">
        <v>93</v>
      </c>
      <c r="H3688">
        <v>-55.05</v>
      </c>
      <c r="I3688">
        <v>83</v>
      </c>
      <c r="J3688">
        <v>-8.39</v>
      </c>
      <c r="K3688">
        <v>94</v>
      </c>
      <c r="L3688">
        <v>-48.47</v>
      </c>
      <c r="M3688">
        <v>88</v>
      </c>
      <c r="N3688">
        <v>17.71</v>
      </c>
      <c r="O3688">
        <v>66</v>
      </c>
      <c r="P3688">
        <v>-12.62</v>
      </c>
      <c r="Q3688">
        <v>68</v>
      </c>
      <c r="R3688">
        <v>-14.5</v>
      </c>
      <c r="S3688">
        <v>76</v>
      </c>
      <c r="T3688">
        <v>11.38</v>
      </c>
      <c r="U3688">
        <v>67</v>
      </c>
      <c r="V3688">
        <v>-0.16</v>
      </c>
      <c r="W3688">
        <v>56</v>
      </c>
      <c r="X3688" t="s">
        <v>110</v>
      </c>
      <c r="Y3688" t="s">
        <v>95</v>
      </c>
      <c r="Z3688" t="s">
        <v>96</v>
      </c>
      <c r="AA3688" t="s">
        <v>4009</v>
      </c>
      <c r="AB3688" t="s">
        <v>11187</v>
      </c>
      <c r="AC3688">
        <v>59</v>
      </c>
      <c r="AD3688">
        <v>30</v>
      </c>
      <c r="AE3688">
        <v>94</v>
      </c>
      <c r="AF3688">
        <v>209.92</v>
      </c>
      <c r="AG3688">
        <v>-6.71</v>
      </c>
      <c r="AH3688">
        <v>4.16</v>
      </c>
      <c r="AI3688">
        <v>-0.25</v>
      </c>
      <c r="AJ3688">
        <v>-0.05</v>
      </c>
      <c r="AK3688">
        <v>88</v>
      </c>
      <c r="AL3688">
        <v>67</v>
      </c>
      <c r="AM3688">
        <v>34</v>
      </c>
      <c r="AN3688">
        <v>3.81</v>
      </c>
      <c r="AO3688">
        <v>-0.04</v>
      </c>
      <c r="AP3688">
        <v>1</v>
      </c>
      <c r="AQ3688">
        <v>0</v>
      </c>
      <c r="AR3688">
        <v>8.2200000000000006</v>
      </c>
      <c r="AS3688">
        <v>47</v>
      </c>
      <c r="AT3688">
        <v>3.08</v>
      </c>
      <c r="AU3688">
        <v>89</v>
      </c>
      <c r="AV3688">
        <v>-1.84</v>
      </c>
      <c r="AW3688">
        <v>62</v>
      </c>
      <c r="AX3688">
        <v>-0.84</v>
      </c>
      <c r="AY3688">
        <v>67</v>
      </c>
      <c r="AZ3688">
        <v>5.56</v>
      </c>
      <c r="BA3688">
        <v>40</v>
      </c>
      <c r="BB3688">
        <v>4.82</v>
      </c>
      <c r="BC3688">
        <v>52</v>
      </c>
      <c r="BD3688">
        <v>0.02</v>
      </c>
      <c r="BE3688">
        <v>0.1</v>
      </c>
      <c r="BF3688">
        <v>0.11</v>
      </c>
      <c r="BG3688">
        <v>92</v>
      </c>
      <c r="BH3688">
        <v>-7.0000000000000007E-2</v>
      </c>
      <c r="BI3688">
        <v>-7.59</v>
      </c>
      <c r="BJ3688">
        <v>5</v>
      </c>
      <c r="BK3688">
        <v>2</v>
      </c>
      <c r="BL3688">
        <v>0.36</v>
      </c>
      <c r="BM3688">
        <v>-1.61</v>
      </c>
      <c r="BN3688">
        <v>-0.94</v>
      </c>
      <c r="BO3688">
        <v>0.2</v>
      </c>
      <c r="BP3688">
        <v>-0.78</v>
      </c>
      <c r="BQ3688">
        <v>-0.71</v>
      </c>
      <c r="BR3688">
        <v>-0.11</v>
      </c>
      <c r="BS3688">
        <v>-1.63</v>
      </c>
      <c r="BT3688">
        <v>-0.49</v>
      </c>
      <c r="BU3688">
        <v>-1.38</v>
      </c>
      <c r="BV3688">
        <v>0.11</v>
      </c>
      <c r="BW3688">
        <v>-1.31</v>
      </c>
      <c r="BX3688">
        <v>0.17</v>
      </c>
      <c r="BY3688">
        <v>-1.27</v>
      </c>
      <c r="BZ3688">
        <v>1.49</v>
      </c>
      <c r="CA3688">
        <v>-1.21</v>
      </c>
      <c r="CB3688">
        <v>-1.08</v>
      </c>
      <c r="CC3688">
        <v>-1.05</v>
      </c>
      <c r="CD3688">
        <v>-1.21</v>
      </c>
      <c r="CE3688">
        <v>0.72</v>
      </c>
      <c r="CF3688">
        <v>0.54</v>
      </c>
      <c r="CG3688">
        <v>0</v>
      </c>
      <c r="CH3688">
        <v>-1.21</v>
      </c>
      <c r="CI3688">
        <v>0</v>
      </c>
      <c r="CJ3688">
        <v>-4.0999999999999996</v>
      </c>
      <c r="CK3688">
        <v>69</v>
      </c>
      <c r="CL3688">
        <v>-0.73</v>
      </c>
      <c r="CM3688">
        <v>66</v>
      </c>
      <c r="CN3688">
        <v>-0.14000000000000001</v>
      </c>
      <c r="CO3688">
        <v>63</v>
      </c>
      <c r="CP3688">
        <v>-7.1</v>
      </c>
      <c r="CQ3688">
        <v>75</v>
      </c>
      <c r="CR3688">
        <v>0</v>
      </c>
      <c r="CS3688">
        <v>0</v>
      </c>
      <c r="CT3688">
        <v>-1.6</v>
      </c>
      <c r="CU3688">
        <v>67</v>
      </c>
      <c r="CV3688">
        <v>0.04</v>
      </c>
      <c r="CW3688">
        <v>39</v>
      </c>
      <c r="CX3688" t="s">
        <v>707</v>
      </c>
    </row>
    <row r="3689" spans="1:102" x14ac:dyDescent="0.3">
      <c r="A3689" t="str">
        <f>HYPERLINK("https://webapp.icbf.com/v2/app/bull-search/view/77857819","FBC")</f>
        <v>FBC</v>
      </c>
      <c r="B3689" t="s">
        <v>807</v>
      </c>
      <c r="C3689" t="s">
        <v>808</v>
      </c>
      <c r="D3689" s="1">
        <v>33041</v>
      </c>
      <c r="E3689" t="s">
        <v>92</v>
      </c>
      <c r="F3689">
        <v>100</v>
      </c>
      <c r="G3689" t="s">
        <v>93</v>
      </c>
      <c r="H3689">
        <v>-55.1</v>
      </c>
      <c r="I3689">
        <v>95</v>
      </c>
      <c r="J3689">
        <v>-27.34</v>
      </c>
      <c r="K3689">
        <v>99</v>
      </c>
      <c r="L3689">
        <v>-23.93</v>
      </c>
      <c r="M3689">
        <v>93</v>
      </c>
      <c r="N3689">
        <v>8.56</v>
      </c>
      <c r="O3689">
        <v>92</v>
      </c>
      <c r="P3689">
        <v>-10.97</v>
      </c>
      <c r="Q3689">
        <v>97</v>
      </c>
      <c r="R3689">
        <v>-20.399999999999999</v>
      </c>
      <c r="S3689">
        <v>89</v>
      </c>
      <c r="T3689">
        <v>15.97</v>
      </c>
      <c r="U3689">
        <v>97</v>
      </c>
      <c r="V3689">
        <v>3.01</v>
      </c>
      <c r="W3689">
        <v>81</v>
      </c>
      <c r="X3689" t="s">
        <v>94</v>
      </c>
      <c r="Y3689" t="s">
        <v>95</v>
      </c>
      <c r="Z3689" t="s">
        <v>96</v>
      </c>
      <c r="AA3689" t="s">
        <v>111</v>
      </c>
      <c r="AB3689" t="s">
        <v>809</v>
      </c>
      <c r="AC3689">
        <v>776</v>
      </c>
      <c r="AD3689">
        <v>406</v>
      </c>
      <c r="AE3689">
        <v>99</v>
      </c>
      <c r="AF3689">
        <v>-78.05</v>
      </c>
      <c r="AG3689">
        <v>-4.76</v>
      </c>
      <c r="AH3689">
        <v>-4.16</v>
      </c>
      <c r="AI3689">
        <v>-0.03</v>
      </c>
      <c r="AJ3689">
        <v>-0.03</v>
      </c>
      <c r="AK3689">
        <v>93</v>
      </c>
      <c r="AL3689">
        <v>868</v>
      </c>
      <c r="AM3689">
        <v>424</v>
      </c>
      <c r="AN3689">
        <v>1.97</v>
      </c>
      <c r="AO3689">
        <v>7.0000000000000007E-2</v>
      </c>
      <c r="AP3689">
        <v>18</v>
      </c>
      <c r="AQ3689">
        <v>0</v>
      </c>
      <c r="AR3689">
        <v>8.43</v>
      </c>
      <c r="AS3689">
        <v>78</v>
      </c>
      <c r="AT3689">
        <v>3.55</v>
      </c>
      <c r="AU3689">
        <v>93</v>
      </c>
      <c r="AV3689">
        <v>-1.28</v>
      </c>
      <c r="AW3689">
        <v>95</v>
      </c>
      <c r="AX3689">
        <v>-0.45</v>
      </c>
      <c r="AY3689">
        <v>97</v>
      </c>
      <c r="AZ3689">
        <v>5.74</v>
      </c>
      <c r="BA3689">
        <v>77</v>
      </c>
      <c r="BB3689">
        <v>4.49</v>
      </c>
      <c r="BC3689">
        <v>91</v>
      </c>
      <c r="BD3689">
        <v>0.03</v>
      </c>
      <c r="BE3689">
        <v>0.11</v>
      </c>
      <c r="BF3689">
        <v>0.21</v>
      </c>
      <c r="BG3689">
        <v>98</v>
      </c>
      <c r="BH3689">
        <v>0.08</v>
      </c>
      <c r="BI3689">
        <v>-0.45</v>
      </c>
      <c r="BJ3689">
        <v>46</v>
      </c>
      <c r="BK3689">
        <v>32</v>
      </c>
      <c r="BL3689">
        <v>0.64</v>
      </c>
      <c r="BM3689">
        <v>-1.1200000000000001</v>
      </c>
      <c r="BN3689">
        <v>0.14000000000000001</v>
      </c>
      <c r="BO3689">
        <v>0.56000000000000005</v>
      </c>
      <c r="BP3689">
        <v>-0.23</v>
      </c>
      <c r="BQ3689">
        <v>-1.69</v>
      </c>
      <c r="BR3689">
        <v>-0.89</v>
      </c>
      <c r="BS3689">
        <v>2.09</v>
      </c>
      <c r="BT3689">
        <v>0.16</v>
      </c>
      <c r="BU3689">
        <v>-0.05</v>
      </c>
      <c r="BV3689">
        <v>-0.95</v>
      </c>
      <c r="BW3689">
        <v>-0.32</v>
      </c>
      <c r="BX3689">
        <v>0.8</v>
      </c>
      <c r="BY3689">
        <v>0.05</v>
      </c>
      <c r="BZ3689">
        <v>-0.89</v>
      </c>
      <c r="CA3689">
        <v>0.77</v>
      </c>
      <c r="CB3689">
        <v>-0.47</v>
      </c>
      <c r="CC3689">
        <v>2.58</v>
      </c>
      <c r="CD3689">
        <v>-1.05</v>
      </c>
      <c r="CE3689">
        <v>0.77</v>
      </c>
      <c r="CF3689">
        <v>0.72</v>
      </c>
      <c r="CG3689">
        <v>0</v>
      </c>
      <c r="CH3689">
        <v>-0.28000000000000003</v>
      </c>
      <c r="CI3689">
        <v>0</v>
      </c>
      <c r="CJ3689">
        <v>-1</v>
      </c>
      <c r="CK3689">
        <v>97</v>
      </c>
      <c r="CL3689">
        <v>-0.78</v>
      </c>
      <c r="CM3689">
        <v>97</v>
      </c>
      <c r="CN3689">
        <v>0.03</v>
      </c>
      <c r="CO3689">
        <v>96</v>
      </c>
      <c r="CP3689">
        <v>-7.9</v>
      </c>
      <c r="CQ3689">
        <v>98</v>
      </c>
      <c r="CR3689">
        <v>0</v>
      </c>
      <c r="CS3689">
        <v>0</v>
      </c>
      <c r="CT3689">
        <v>-7.8</v>
      </c>
      <c r="CU3689">
        <v>97</v>
      </c>
      <c r="CV3689">
        <v>0.2</v>
      </c>
      <c r="CW3689">
        <v>46</v>
      </c>
      <c r="CX3689" t="s">
        <v>707</v>
      </c>
    </row>
    <row r="3690" spans="1:102" x14ac:dyDescent="0.3">
      <c r="A3690" t="str">
        <f>HYPERLINK("https://webapp.icbf.com/v2/app/bull-search/view/586053955","KRZ")</f>
        <v>KRZ</v>
      </c>
      <c r="B3690" t="s">
        <v>9623</v>
      </c>
      <c r="C3690" t="s">
        <v>9624</v>
      </c>
      <c r="D3690" s="1">
        <v>38796</v>
      </c>
      <c r="E3690" t="s">
        <v>92</v>
      </c>
      <c r="F3690">
        <v>100</v>
      </c>
      <c r="G3690" t="s">
        <v>109</v>
      </c>
      <c r="H3690">
        <v>-55.14</v>
      </c>
      <c r="I3690">
        <v>81</v>
      </c>
      <c r="J3690">
        <v>23.91</v>
      </c>
      <c r="K3690">
        <v>92</v>
      </c>
      <c r="L3690">
        <v>-77.48</v>
      </c>
      <c r="M3690">
        <v>84</v>
      </c>
      <c r="N3690">
        <v>-2.13</v>
      </c>
      <c r="O3690">
        <v>68</v>
      </c>
      <c r="P3690">
        <v>-10.18</v>
      </c>
      <c r="Q3690">
        <v>75</v>
      </c>
      <c r="R3690">
        <v>12.15</v>
      </c>
      <c r="S3690">
        <v>77</v>
      </c>
      <c r="T3690">
        <v>-0.31</v>
      </c>
      <c r="U3690">
        <v>62</v>
      </c>
      <c r="V3690">
        <v>-1.1000000000000001</v>
      </c>
      <c r="W3690">
        <v>63</v>
      </c>
      <c r="X3690" t="s">
        <v>251</v>
      </c>
      <c r="Y3690" t="s">
        <v>1756</v>
      </c>
      <c r="Z3690" t="s">
        <v>96</v>
      </c>
      <c r="AA3690" t="s">
        <v>309</v>
      </c>
      <c r="AB3690" t="s">
        <v>9625</v>
      </c>
      <c r="AC3690">
        <v>0</v>
      </c>
      <c r="AD3690">
        <v>0</v>
      </c>
      <c r="AE3690">
        <v>92</v>
      </c>
      <c r="AF3690">
        <v>407.69</v>
      </c>
      <c r="AG3690">
        <v>5.56</v>
      </c>
      <c r="AH3690">
        <v>8.34</v>
      </c>
      <c r="AI3690">
        <v>-0.17</v>
      </c>
      <c r="AJ3690">
        <v>-0.09</v>
      </c>
      <c r="AK3690">
        <v>84</v>
      </c>
      <c r="AL3690">
        <v>0</v>
      </c>
      <c r="AM3690">
        <v>0</v>
      </c>
      <c r="AN3690">
        <v>4.17</v>
      </c>
      <c r="AO3690">
        <v>-2.0099999999999998</v>
      </c>
      <c r="AP3690">
        <v>13</v>
      </c>
      <c r="AQ3690">
        <v>1</v>
      </c>
      <c r="AR3690">
        <v>8.34</v>
      </c>
      <c r="AS3690">
        <v>61</v>
      </c>
      <c r="AT3690">
        <v>3.76</v>
      </c>
      <c r="AU3690">
        <v>85</v>
      </c>
      <c r="AV3690">
        <v>-0.74</v>
      </c>
      <c r="AW3690">
        <v>70</v>
      </c>
      <c r="AX3690">
        <v>0.15</v>
      </c>
      <c r="AY3690">
        <v>55</v>
      </c>
      <c r="AZ3690">
        <v>5.9</v>
      </c>
      <c r="BA3690">
        <v>49</v>
      </c>
      <c r="BB3690">
        <v>5.09</v>
      </c>
      <c r="BC3690">
        <v>50</v>
      </c>
      <c r="BD3690">
        <v>0.01</v>
      </c>
      <c r="BE3690">
        <v>-0.04</v>
      </c>
      <c r="BF3690">
        <v>-0.22</v>
      </c>
      <c r="BG3690">
        <v>91</v>
      </c>
      <c r="BH3690">
        <v>-7.0000000000000007E-2</v>
      </c>
      <c r="BI3690">
        <v>-4.5599999999999996</v>
      </c>
      <c r="BJ3690">
        <v>0</v>
      </c>
      <c r="BK3690">
        <v>0</v>
      </c>
      <c r="BL3690">
        <v>1.89</v>
      </c>
      <c r="BM3690">
        <v>-0.76</v>
      </c>
      <c r="BN3690">
        <v>1.07</v>
      </c>
      <c r="BO3690">
        <v>1.48</v>
      </c>
      <c r="BP3690">
        <v>0.54</v>
      </c>
      <c r="BQ3690">
        <v>0.6</v>
      </c>
      <c r="BR3690">
        <v>0.15</v>
      </c>
      <c r="BS3690">
        <v>0.97</v>
      </c>
      <c r="BT3690">
        <v>1.1399999999999999</v>
      </c>
      <c r="BU3690">
        <v>1.76</v>
      </c>
      <c r="BV3690">
        <v>1.9</v>
      </c>
      <c r="BW3690">
        <v>2.1</v>
      </c>
      <c r="BX3690">
        <v>1.44</v>
      </c>
      <c r="BY3690">
        <v>1.07</v>
      </c>
      <c r="BZ3690">
        <v>2.91</v>
      </c>
      <c r="CA3690">
        <v>1.57</v>
      </c>
      <c r="CB3690">
        <v>1.69</v>
      </c>
      <c r="CC3690">
        <v>0.81</v>
      </c>
      <c r="CD3690">
        <v>-0.77</v>
      </c>
      <c r="CE3690">
        <v>0.56999999999999995</v>
      </c>
      <c r="CF3690">
        <v>0.91</v>
      </c>
      <c r="CG3690">
        <v>0</v>
      </c>
      <c r="CH3690">
        <v>0.87</v>
      </c>
      <c r="CI3690">
        <v>0</v>
      </c>
      <c r="CJ3690">
        <v>-3.3</v>
      </c>
      <c r="CK3690">
        <v>77</v>
      </c>
      <c r="CL3690">
        <v>-1.35</v>
      </c>
      <c r="CM3690">
        <v>74</v>
      </c>
      <c r="CN3690">
        <v>-0.74</v>
      </c>
      <c r="CO3690">
        <v>72</v>
      </c>
      <c r="CP3690">
        <v>-2.4</v>
      </c>
      <c r="CQ3690">
        <v>66</v>
      </c>
      <c r="CR3690">
        <v>0</v>
      </c>
      <c r="CS3690">
        <v>0</v>
      </c>
      <c r="CT3690">
        <v>14.2</v>
      </c>
      <c r="CU3690">
        <v>62</v>
      </c>
      <c r="CV3690">
        <v>0.19</v>
      </c>
      <c r="CW3690">
        <v>41</v>
      </c>
      <c r="CX3690" t="s">
        <v>1246</v>
      </c>
    </row>
    <row r="3691" spans="1:102" x14ac:dyDescent="0.3">
      <c r="A3691" t="str">
        <f>HYPERLINK("https://webapp.icbf.com/v2/app/bull-search/view/77855539","MBI")</f>
        <v>MBI</v>
      </c>
      <c r="B3691" t="s">
        <v>14339</v>
      </c>
      <c r="C3691" t="s">
        <v>14340</v>
      </c>
      <c r="D3691" s="1">
        <v>31464</v>
      </c>
      <c r="E3691" t="s">
        <v>92</v>
      </c>
      <c r="F3691">
        <v>100</v>
      </c>
      <c r="G3691" t="s">
        <v>109</v>
      </c>
      <c r="H3691">
        <v>-55.23</v>
      </c>
      <c r="I3691">
        <v>70</v>
      </c>
      <c r="J3691">
        <v>-14.15</v>
      </c>
      <c r="K3691">
        <v>81</v>
      </c>
      <c r="L3691">
        <v>-50.58</v>
      </c>
      <c r="M3691">
        <v>76</v>
      </c>
      <c r="N3691">
        <v>10.98</v>
      </c>
      <c r="O3691">
        <v>53</v>
      </c>
      <c r="P3691">
        <v>5.0999999999999996</v>
      </c>
      <c r="Q3691">
        <v>57</v>
      </c>
      <c r="R3691">
        <v>-12.66</v>
      </c>
      <c r="S3691">
        <v>65</v>
      </c>
      <c r="T3691">
        <v>8.0500000000000007</v>
      </c>
      <c r="U3691">
        <v>52</v>
      </c>
      <c r="V3691">
        <v>-1.97</v>
      </c>
      <c r="W3691">
        <v>35</v>
      </c>
      <c r="X3691" t="s">
        <v>110</v>
      </c>
      <c r="Y3691" t="s">
        <v>95</v>
      </c>
      <c r="Z3691" t="s">
        <v>96</v>
      </c>
      <c r="AA3691" t="s">
        <v>120</v>
      </c>
      <c r="AB3691" t="s">
        <v>14341</v>
      </c>
      <c r="AC3691">
        <v>0</v>
      </c>
      <c r="AD3691">
        <v>0</v>
      </c>
      <c r="AE3691">
        <v>81</v>
      </c>
      <c r="AF3691">
        <v>-15.13</v>
      </c>
      <c r="AG3691">
        <v>-0.7</v>
      </c>
      <c r="AH3691">
        <v>-2.39</v>
      </c>
      <c r="AI3691">
        <v>0</v>
      </c>
      <c r="AJ3691">
        <v>-0.03</v>
      </c>
      <c r="AK3691">
        <v>76</v>
      </c>
      <c r="AL3691">
        <v>0</v>
      </c>
      <c r="AM3691">
        <v>0</v>
      </c>
      <c r="AN3691">
        <v>3.84</v>
      </c>
      <c r="AO3691">
        <v>-0.18</v>
      </c>
      <c r="AP3691">
        <v>0</v>
      </c>
      <c r="AQ3691">
        <v>2</v>
      </c>
      <c r="AR3691">
        <v>6.99</v>
      </c>
      <c r="AS3691">
        <v>31</v>
      </c>
      <c r="AT3691">
        <v>3.39</v>
      </c>
      <c r="AU3691">
        <v>81</v>
      </c>
      <c r="AV3691">
        <v>-1.66</v>
      </c>
      <c r="AW3691">
        <v>48</v>
      </c>
      <c r="AX3691">
        <v>-7.0000000000000007E-2</v>
      </c>
      <c r="AY3691">
        <v>51</v>
      </c>
      <c r="AZ3691">
        <v>6.53</v>
      </c>
      <c r="BA3691">
        <v>30</v>
      </c>
      <c r="BB3691">
        <v>5.3</v>
      </c>
      <c r="BC3691">
        <v>36</v>
      </c>
      <c r="BD3691">
        <v>0.06</v>
      </c>
      <c r="BE3691">
        <v>0.09</v>
      </c>
      <c r="BF3691">
        <v>0.02</v>
      </c>
      <c r="BG3691">
        <v>86</v>
      </c>
      <c r="BH3691">
        <v>0.02</v>
      </c>
      <c r="BI3691">
        <v>8.67</v>
      </c>
      <c r="BJ3691">
        <v>1</v>
      </c>
      <c r="BK3691">
        <v>1</v>
      </c>
      <c r="BL3691">
        <v>0.35</v>
      </c>
      <c r="BM3691">
        <v>-0.57999999999999996</v>
      </c>
      <c r="BN3691">
        <v>0.02</v>
      </c>
      <c r="BO3691">
        <v>0</v>
      </c>
      <c r="BP3691">
        <v>-1.53</v>
      </c>
      <c r="BQ3691">
        <v>0.66</v>
      </c>
      <c r="BR3691">
        <v>-0.08</v>
      </c>
      <c r="BS3691">
        <v>-2.16</v>
      </c>
      <c r="BT3691">
        <v>-1.64</v>
      </c>
      <c r="BU3691">
        <v>-0.44</v>
      </c>
      <c r="BV3691">
        <v>0.56999999999999995</v>
      </c>
      <c r="BW3691">
        <v>-0.67</v>
      </c>
      <c r="BX3691">
        <v>0.64</v>
      </c>
      <c r="BY3691">
        <v>-1.9</v>
      </c>
      <c r="BZ3691">
        <v>-0.52</v>
      </c>
      <c r="CA3691">
        <v>-0.56999999999999995</v>
      </c>
      <c r="CB3691">
        <v>-0.21</v>
      </c>
      <c r="CC3691">
        <v>-1.06</v>
      </c>
      <c r="CD3691">
        <v>-0.37</v>
      </c>
      <c r="CE3691">
        <v>0.44</v>
      </c>
      <c r="CF3691">
        <v>0.91</v>
      </c>
      <c r="CG3691">
        <v>0</v>
      </c>
      <c r="CH3691">
        <v>-1.1499999999999999</v>
      </c>
      <c r="CI3691">
        <v>0</v>
      </c>
      <c r="CJ3691">
        <v>3.2</v>
      </c>
      <c r="CK3691">
        <v>59</v>
      </c>
      <c r="CL3691">
        <v>-0.45</v>
      </c>
      <c r="CM3691">
        <v>55</v>
      </c>
      <c r="CN3691">
        <v>-0.45</v>
      </c>
      <c r="CO3691">
        <v>51</v>
      </c>
      <c r="CP3691">
        <v>0.4</v>
      </c>
      <c r="CQ3691">
        <v>61</v>
      </c>
      <c r="CR3691">
        <v>0</v>
      </c>
      <c r="CS3691">
        <v>0</v>
      </c>
      <c r="CT3691">
        <v>2.9</v>
      </c>
      <c r="CU3691">
        <v>52</v>
      </c>
      <c r="CV3691">
        <v>0.16</v>
      </c>
      <c r="CW3691">
        <v>16</v>
      </c>
      <c r="CX3691" t="s">
        <v>163</v>
      </c>
    </row>
    <row r="3692" spans="1:102" x14ac:dyDescent="0.3">
      <c r="A3692" t="str">
        <f>HYPERLINK("https://webapp.icbf.com/v2/app/bull-search/view/77852755","YAP")</f>
        <v>YAP</v>
      </c>
      <c r="B3692" t="s">
        <v>6606</v>
      </c>
      <c r="C3692" t="s">
        <v>6607</v>
      </c>
      <c r="D3692" s="1">
        <v>33802</v>
      </c>
      <c r="E3692" t="s">
        <v>92</v>
      </c>
      <c r="F3692">
        <v>100</v>
      </c>
      <c r="G3692" t="s">
        <v>109</v>
      </c>
      <c r="H3692">
        <v>-55.28</v>
      </c>
      <c r="I3692">
        <v>73</v>
      </c>
      <c r="J3692">
        <v>-11.51</v>
      </c>
      <c r="K3692">
        <v>77</v>
      </c>
      <c r="L3692">
        <v>-34.36</v>
      </c>
      <c r="M3692">
        <v>78</v>
      </c>
      <c r="N3692">
        <v>2.2200000000000002</v>
      </c>
      <c r="O3692">
        <v>65</v>
      </c>
      <c r="P3692">
        <v>-13.87</v>
      </c>
      <c r="Q3692">
        <v>74</v>
      </c>
      <c r="R3692">
        <v>-7.22</v>
      </c>
      <c r="S3692">
        <v>66</v>
      </c>
      <c r="T3692">
        <v>17.16</v>
      </c>
      <c r="U3692">
        <v>66</v>
      </c>
      <c r="V3692">
        <v>-7.7</v>
      </c>
      <c r="W3692">
        <v>31</v>
      </c>
      <c r="X3692" t="s">
        <v>94</v>
      </c>
      <c r="Y3692" t="s">
        <v>95</v>
      </c>
      <c r="Z3692" t="s">
        <v>96</v>
      </c>
      <c r="AA3692" t="s">
        <v>132</v>
      </c>
      <c r="AB3692" t="s">
        <v>6608</v>
      </c>
      <c r="AC3692">
        <v>0</v>
      </c>
      <c r="AD3692">
        <v>0</v>
      </c>
      <c r="AE3692">
        <v>77</v>
      </c>
      <c r="AF3692">
        <v>342.79</v>
      </c>
      <c r="AG3692">
        <v>0.17</v>
      </c>
      <c r="AH3692">
        <v>3.23</v>
      </c>
      <c r="AI3692">
        <v>-0.21</v>
      </c>
      <c r="AJ3692">
        <v>-0.13</v>
      </c>
      <c r="AK3692">
        <v>78</v>
      </c>
      <c r="AL3692">
        <v>0</v>
      </c>
      <c r="AM3692">
        <v>0</v>
      </c>
      <c r="AN3692">
        <v>1.91</v>
      </c>
      <c r="AO3692">
        <v>-0.83</v>
      </c>
      <c r="AP3692">
        <v>17</v>
      </c>
      <c r="AQ3692">
        <v>1</v>
      </c>
      <c r="AR3692">
        <v>8.77</v>
      </c>
      <c r="AS3692">
        <v>41</v>
      </c>
      <c r="AT3692">
        <v>3.96</v>
      </c>
      <c r="AU3692">
        <v>68</v>
      </c>
      <c r="AV3692">
        <v>-2</v>
      </c>
      <c r="AW3692">
        <v>80</v>
      </c>
      <c r="AX3692">
        <v>0.04</v>
      </c>
      <c r="AY3692">
        <v>61</v>
      </c>
      <c r="AZ3692">
        <v>6.44</v>
      </c>
      <c r="BA3692">
        <v>38</v>
      </c>
      <c r="BB3692">
        <v>5.43</v>
      </c>
      <c r="BC3692">
        <v>39</v>
      </c>
      <c r="BD3692">
        <v>0.06</v>
      </c>
      <c r="BE3692">
        <v>0.04</v>
      </c>
      <c r="BF3692">
        <v>-0.01</v>
      </c>
      <c r="BG3692">
        <v>86</v>
      </c>
      <c r="BH3692">
        <v>-0.15</v>
      </c>
      <c r="BI3692">
        <v>7.49</v>
      </c>
      <c r="BJ3692">
        <v>6</v>
      </c>
      <c r="BK3692">
        <v>4</v>
      </c>
      <c r="BL3692">
        <v>0.96</v>
      </c>
      <c r="BM3692">
        <v>-2.88</v>
      </c>
      <c r="BN3692">
        <v>-1.0900000000000001</v>
      </c>
      <c r="BO3692">
        <v>1.07</v>
      </c>
      <c r="BP3692">
        <v>0.08</v>
      </c>
      <c r="BQ3692">
        <v>-1.55</v>
      </c>
      <c r="BR3692">
        <v>-0.77</v>
      </c>
      <c r="BS3692">
        <v>0.81</v>
      </c>
      <c r="BT3692">
        <v>0.22</v>
      </c>
      <c r="BU3692">
        <v>-1.22</v>
      </c>
      <c r="BV3692">
        <v>0.89</v>
      </c>
      <c r="BW3692">
        <v>0.74</v>
      </c>
      <c r="BX3692">
        <v>-0.72</v>
      </c>
      <c r="BY3692">
        <v>-0.67</v>
      </c>
      <c r="BZ3692">
        <v>3.09</v>
      </c>
      <c r="CA3692">
        <v>0.43</v>
      </c>
      <c r="CB3692">
        <v>0.06</v>
      </c>
      <c r="CC3692">
        <v>0.77</v>
      </c>
      <c r="CD3692">
        <v>-1.77</v>
      </c>
      <c r="CE3692">
        <v>0.64</v>
      </c>
      <c r="CF3692">
        <v>-0.16</v>
      </c>
      <c r="CG3692">
        <v>0</v>
      </c>
      <c r="CH3692">
        <v>0.22</v>
      </c>
      <c r="CI3692">
        <v>0</v>
      </c>
      <c r="CJ3692">
        <v>-5.4</v>
      </c>
      <c r="CK3692">
        <v>76</v>
      </c>
      <c r="CL3692">
        <v>-0.85</v>
      </c>
      <c r="CM3692">
        <v>73</v>
      </c>
      <c r="CN3692">
        <v>-0.35</v>
      </c>
      <c r="CO3692">
        <v>70</v>
      </c>
      <c r="CP3692">
        <v>-11.6</v>
      </c>
      <c r="CQ3692">
        <v>74</v>
      </c>
      <c r="CR3692">
        <v>0</v>
      </c>
      <c r="CS3692">
        <v>0</v>
      </c>
      <c r="CT3692">
        <v>-9.4</v>
      </c>
      <c r="CU3692">
        <v>66</v>
      </c>
      <c r="CV3692">
        <v>0.16</v>
      </c>
      <c r="CW3692">
        <v>21</v>
      </c>
      <c r="CX3692" t="s">
        <v>6609</v>
      </c>
    </row>
    <row r="3693" spans="1:102" x14ac:dyDescent="0.3">
      <c r="A3693" t="str">
        <f>HYPERLINK("https://webapp.icbf.com/v2/app/bull-search/view/586041511","S954")</f>
        <v>S954</v>
      </c>
      <c r="B3693" t="s">
        <v>14659</v>
      </c>
      <c r="C3693" t="s">
        <v>14660</v>
      </c>
      <c r="D3693" s="1">
        <v>38600</v>
      </c>
      <c r="E3693" t="s">
        <v>92</v>
      </c>
      <c r="F3693">
        <v>100</v>
      </c>
      <c r="G3693" t="s">
        <v>109</v>
      </c>
      <c r="H3693">
        <v>-55.31</v>
      </c>
      <c r="I3693">
        <v>85</v>
      </c>
      <c r="J3693">
        <v>-10.68</v>
      </c>
      <c r="K3693">
        <v>94</v>
      </c>
      <c r="L3693">
        <v>-67.16</v>
      </c>
      <c r="M3693">
        <v>89</v>
      </c>
      <c r="N3693">
        <v>6.42</v>
      </c>
      <c r="O3693">
        <v>72</v>
      </c>
      <c r="P3693">
        <v>-6.63</v>
      </c>
      <c r="Q3693">
        <v>80</v>
      </c>
      <c r="R3693">
        <v>9.44</v>
      </c>
      <c r="S3693">
        <v>80</v>
      </c>
      <c r="T3693">
        <v>2.58</v>
      </c>
      <c r="U3693">
        <v>69</v>
      </c>
      <c r="V3693">
        <v>10.72</v>
      </c>
      <c r="W3693">
        <v>66</v>
      </c>
      <c r="X3693" t="s">
        <v>288</v>
      </c>
      <c r="Y3693" t="s">
        <v>303</v>
      </c>
      <c r="Z3693" t="s">
        <v>96</v>
      </c>
      <c r="AA3693" t="s">
        <v>350</v>
      </c>
      <c r="AB3693" t="s">
        <v>4666</v>
      </c>
      <c r="AC3693">
        <v>0</v>
      </c>
      <c r="AD3693">
        <v>0</v>
      </c>
      <c r="AE3693">
        <v>94</v>
      </c>
      <c r="AF3693">
        <v>562.96</v>
      </c>
      <c r="AG3693">
        <v>-0.65</v>
      </c>
      <c r="AH3693">
        <v>7.03</v>
      </c>
      <c r="AI3693">
        <v>-0.36</v>
      </c>
      <c r="AJ3693">
        <v>-0.19</v>
      </c>
      <c r="AK3693">
        <v>89</v>
      </c>
      <c r="AL3693">
        <v>26</v>
      </c>
      <c r="AM3693">
        <v>13</v>
      </c>
      <c r="AN3693">
        <v>4.9000000000000004</v>
      </c>
      <c r="AO3693">
        <v>-0.44</v>
      </c>
      <c r="AP3693">
        <v>75</v>
      </c>
      <c r="AQ3693">
        <v>0</v>
      </c>
      <c r="AR3693">
        <v>8.4</v>
      </c>
      <c r="AS3693">
        <v>67</v>
      </c>
      <c r="AT3693">
        <v>3.46</v>
      </c>
      <c r="AU3693">
        <v>92</v>
      </c>
      <c r="AV3693">
        <v>-1.02</v>
      </c>
      <c r="AW3693">
        <v>69</v>
      </c>
      <c r="AX3693">
        <v>-0.31</v>
      </c>
      <c r="AY3693">
        <v>66</v>
      </c>
      <c r="AZ3693">
        <v>6.11</v>
      </c>
      <c r="BA3693">
        <v>55</v>
      </c>
      <c r="BB3693">
        <v>4.51</v>
      </c>
      <c r="BC3693">
        <v>54</v>
      </c>
      <c r="BD3693">
        <v>0</v>
      </c>
      <c r="BE3693">
        <v>-0.03</v>
      </c>
      <c r="BF3693">
        <v>-0.16</v>
      </c>
      <c r="BG3693">
        <v>93</v>
      </c>
      <c r="BH3693">
        <v>0.17</v>
      </c>
      <c r="BI3693">
        <v>-14.93</v>
      </c>
      <c r="BJ3693">
        <v>15</v>
      </c>
      <c r="BK3693">
        <v>6</v>
      </c>
      <c r="BL3693">
        <v>1.3</v>
      </c>
      <c r="BM3693">
        <v>-1.7</v>
      </c>
      <c r="BN3693">
        <v>-1.1299999999999999</v>
      </c>
      <c r="BO3693">
        <v>0.82</v>
      </c>
      <c r="BP3693">
        <v>0.22</v>
      </c>
      <c r="BQ3693">
        <v>2.0699999999999998</v>
      </c>
      <c r="BR3693">
        <v>-1.65</v>
      </c>
      <c r="BS3693">
        <v>2.29</v>
      </c>
      <c r="BT3693">
        <v>1.94</v>
      </c>
      <c r="BU3693">
        <v>3.63</v>
      </c>
      <c r="BV3693">
        <v>2.85</v>
      </c>
      <c r="BW3693">
        <v>2.0099999999999998</v>
      </c>
      <c r="BX3693">
        <v>4.28</v>
      </c>
      <c r="BY3693">
        <v>1.41</v>
      </c>
      <c r="BZ3693">
        <v>-1.55</v>
      </c>
      <c r="CA3693">
        <v>3.3</v>
      </c>
      <c r="CB3693">
        <v>2.59</v>
      </c>
      <c r="CC3693">
        <v>2</v>
      </c>
      <c r="CD3693">
        <v>-0.82</v>
      </c>
      <c r="CE3693">
        <v>1.36</v>
      </c>
      <c r="CF3693">
        <v>1.72</v>
      </c>
      <c r="CG3693">
        <v>0</v>
      </c>
      <c r="CH3693">
        <v>1.78</v>
      </c>
      <c r="CI3693">
        <v>0</v>
      </c>
      <c r="CJ3693">
        <v>-0.9</v>
      </c>
      <c r="CK3693">
        <v>82</v>
      </c>
      <c r="CL3693">
        <v>-1.18</v>
      </c>
      <c r="CM3693">
        <v>79</v>
      </c>
      <c r="CN3693">
        <v>-0.57999999999999996</v>
      </c>
      <c r="CO3693">
        <v>76</v>
      </c>
      <c r="CP3693">
        <v>0</v>
      </c>
      <c r="CQ3693">
        <v>75</v>
      </c>
      <c r="CR3693">
        <v>0</v>
      </c>
      <c r="CS3693">
        <v>0</v>
      </c>
      <c r="CT3693">
        <v>10.3</v>
      </c>
      <c r="CU3693">
        <v>69</v>
      </c>
      <c r="CV3693">
        <v>0.17</v>
      </c>
      <c r="CW3693">
        <v>42</v>
      </c>
      <c r="CX3693" t="s">
        <v>1682</v>
      </c>
    </row>
    <row r="3694" spans="1:102" x14ac:dyDescent="0.3">
      <c r="A3694" t="str">
        <f>HYPERLINK("https://webapp.icbf.com/v2/app/bull-search/view/268165857","NGI")</f>
        <v>NGI</v>
      </c>
      <c r="B3694" t="s">
        <v>11666</v>
      </c>
      <c r="C3694" t="s">
        <v>11667</v>
      </c>
      <c r="D3694" s="1">
        <v>35768</v>
      </c>
      <c r="E3694" t="s">
        <v>92</v>
      </c>
      <c r="F3694">
        <v>100</v>
      </c>
      <c r="G3694" t="s">
        <v>93</v>
      </c>
      <c r="H3694">
        <v>-55.33</v>
      </c>
      <c r="I3694">
        <v>87</v>
      </c>
      <c r="J3694">
        <v>15.12</v>
      </c>
      <c r="K3694">
        <v>95</v>
      </c>
      <c r="L3694">
        <v>-90.31</v>
      </c>
      <c r="M3694">
        <v>87</v>
      </c>
      <c r="N3694">
        <v>24.49</v>
      </c>
      <c r="O3694">
        <v>81</v>
      </c>
      <c r="P3694">
        <v>-17.62</v>
      </c>
      <c r="Q3694">
        <v>82</v>
      </c>
      <c r="R3694">
        <v>-8.23</v>
      </c>
      <c r="S3694">
        <v>80</v>
      </c>
      <c r="T3694">
        <v>18.41</v>
      </c>
      <c r="U3694">
        <v>72</v>
      </c>
      <c r="V3694">
        <v>2.81</v>
      </c>
      <c r="W3694">
        <v>72</v>
      </c>
      <c r="X3694" t="s">
        <v>94</v>
      </c>
      <c r="Y3694" t="s">
        <v>95</v>
      </c>
      <c r="Z3694" t="s">
        <v>96</v>
      </c>
      <c r="AA3694" t="s">
        <v>751</v>
      </c>
      <c r="AB3694" t="s">
        <v>11668</v>
      </c>
      <c r="AC3694">
        <v>42</v>
      </c>
      <c r="AD3694">
        <v>21</v>
      </c>
      <c r="AE3694">
        <v>95</v>
      </c>
      <c r="AF3694">
        <v>288.3</v>
      </c>
      <c r="AG3694">
        <v>7.0000000000000007E-2</v>
      </c>
      <c r="AH3694">
        <v>6.96</v>
      </c>
      <c r="AI3694">
        <v>-0.19</v>
      </c>
      <c r="AJ3694">
        <v>-0.05</v>
      </c>
      <c r="AK3694">
        <v>87</v>
      </c>
      <c r="AL3694">
        <v>40</v>
      </c>
      <c r="AM3694">
        <v>18</v>
      </c>
      <c r="AN3694">
        <v>5.86</v>
      </c>
      <c r="AO3694">
        <v>-1.33</v>
      </c>
      <c r="AP3694">
        <v>76</v>
      </c>
      <c r="AQ3694">
        <v>0</v>
      </c>
      <c r="AR3694">
        <v>5.65</v>
      </c>
      <c r="AS3694">
        <v>72</v>
      </c>
      <c r="AT3694">
        <v>2.5</v>
      </c>
      <c r="AU3694">
        <v>91</v>
      </c>
      <c r="AV3694">
        <v>-2.5499999999999998</v>
      </c>
      <c r="AW3694">
        <v>85</v>
      </c>
      <c r="AX3694">
        <v>1.01</v>
      </c>
      <c r="AY3694">
        <v>71</v>
      </c>
      <c r="AZ3694">
        <v>7.5</v>
      </c>
      <c r="BA3694">
        <v>61</v>
      </c>
      <c r="BB3694">
        <v>5.24</v>
      </c>
      <c r="BC3694">
        <v>64</v>
      </c>
      <c r="BD3694">
        <v>0.02</v>
      </c>
      <c r="BE3694">
        <v>0.04</v>
      </c>
      <c r="BF3694">
        <v>0.08</v>
      </c>
      <c r="BG3694">
        <v>90</v>
      </c>
      <c r="BH3694">
        <v>0.06</v>
      </c>
      <c r="BI3694">
        <v>-2.12</v>
      </c>
      <c r="BJ3694">
        <v>14</v>
      </c>
      <c r="BK3694">
        <v>7</v>
      </c>
      <c r="BL3694">
        <v>0.74</v>
      </c>
      <c r="BM3694">
        <v>-1.36</v>
      </c>
      <c r="BN3694">
        <v>0.65</v>
      </c>
      <c r="BO3694">
        <v>1.21</v>
      </c>
      <c r="BP3694">
        <v>2.0699999999999998</v>
      </c>
      <c r="BQ3694">
        <v>-1.1599999999999999</v>
      </c>
      <c r="BR3694">
        <v>1.38</v>
      </c>
      <c r="BS3694">
        <v>-0.19</v>
      </c>
      <c r="BT3694">
        <v>-1.65</v>
      </c>
      <c r="BU3694">
        <v>0.05</v>
      </c>
      <c r="BV3694">
        <v>0.57999999999999996</v>
      </c>
      <c r="BW3694">
        <v>-0.13</v>
      </c>
      <c r="BX3694">
        <v>0.46</v>
      </c>
      <c r="BY3694">
        <v>-1.59</v>
      </c>
      <c r="BZ3694">
        <v>0.27</v>
      </c>
      <c r="CA3694">
        <v>0.43</v>
      </c>
      <c r="CB3694">
        <v>0.23</v>
      </c>
      <c r="CC3694">
        <v>0.08</v>
      </c>
      <c r="CD3694">
        <v>-1.25</v>
      </c>
      <c r="CE3694">
        <v>0.72</v>
      </c>
      <c r="CF3694">
        <v>0.22</v>
      </c>
      <c r="CG3694">
        <v>0</v>
      </c>
      <c r="CH3694">
        <v>-1.69</v>
      </c>
      <c r="CI3694">
        <v>0</v>
      </c>
      <c r="CJ3694">
        <v>-8.3000000000000007</v>
      </c>
      <c r="CK3694">
        <v>83</v>
      </c>
      <c r="CL3694">
        <v>-1.04</v>
      </c>
      <c r="CM3694">
        <v>81</v>
      </c>
      <c r="CN3694">
        <v>-0.53</v>
      </c>
      <c r="CO3694">
        <v>78</v>
      </c>
      <c r="CP3694">
        <v>-10.9</v>
      </c>
      <c r="CQ3694">
        <v>83</v>
      </c>
      <c r="CR3694">
        <v>0</v>
      </c>
      <c r="CS3694">
        <v>0</v>
      </c>
      <c r="CT3694">
        <v>-11.1</v>
      </c>
      <c r="CU3694">
        <v>72</v>
      </c>
      <c r="CV3694">
        <v>0.04</v>
      </c>
      <c r="CW3694">
        <v>42</v>
      </c>
      <c r="CX3694" t="s">
        <v>265</v>
      </c>
    </row>
    <row r="3695" spans="1:102" x14ac:dyDescent="0.3">
      <c r="A3695" t="str">
        <f>HYPERLINK("https://webapp.icbf.com/v2/app/bull-search/view/77860042","BWB")</f>
        <v>BWB</v>
      </c>
      <c r="B3695" t="s">
        <v>14319</v>
      </c>
      <c r="C3695" t="s">
        <v>14320</v>
      </c>
      <c r="D3695" s="1">
        <v>33279</v>
      </c>
      <c r="E3695" t="s">
        <v>92</v>
      </c>
      <c r="F3695">
        <v>100</v>
      </c>
      <c r="G3695" t="s">
        <v>93</v>
      </c>
      <c r="H3695">
        <v>-55.39</v>
      </c>
      <c r="I3695">
        <v>92</v>
      </c>
      <c r="J3695">
        <v>61.39</v>
      </c>
      <c r="K3695">
        <v>98</v>
      </c>
      <c r="L3695">
        <v>-125.73</v>
      </c>
      <c r="M3695">
        <v>91</v>
      </c>
      <c r="N3695">
        <v>6.51</v>
      </c>
      <c r="O3695">
        <v>84</v>
      </c>
      <c r="P3695">
        <v>4.22</v>
      </c>
      <c r="Q3695">
        <v>92</v>
      </c>
      <c r="R3695">
        <v>-0.99</v>
      </c>
      <c r="S3695">
        <v>85</v>
      </c>
      <c r="T3695">
        <v>0.14000000000000001</v>
      </c>
      <c r="U3695">
        <v>90</v>
      </c>
      <c r="V3695">
        <v>-0.93</v>
      </c>
      <c r="W3695">
        <v>76</v>
      </c>
      <c r="X3695" t="s">
        <v>110</v>
      </c>
      <c r="Y3695" t="s">
        <v>95</v>
      </c>
      <c r="Z3695" t="s">
        <v>96</v>
      </c>
      <c r="AA3695" t="s">
        <v>118</v>
      </c>
      <c r="AB3695" t="s">
        <v>14321</v>
      </c>
      <c r="AC3695">
        <v>227</v>
      </c>
      <c r="AD3695">
        <v>121</v>
      </c>
      <c r="AE3695">
        <v>98</v>
      </c>
      <c r="AF3695">
        <v>204.78</v>
      </c>
      <c r="AG3695">
        <v>12.31</v>
      </c>
      <c r="AH3695">
        <v>9.2200000000000006</v>
      </c>
      <c r="AI3695">
        <v>7.0000000000000007E-2</v>
      </c>
      <c r="AJ3695">
        <v>0.04</v>
      </c>
      <c r="AK3695">
        <v>91</v>
      </c>
      <c r="AL3695">
        <v>261</v>
      </c>
      <c r="AM3695">
        <v>134</v>
      </c>
      <c r="AN3695">
        <v>6.62</v>
      </c>
      <c r="AO3695">
        <v>-3.41</v>
      </c>
      <c r="AP3695">
        <v>21</v>
      </c>
      <c r="AQ3695">
        <v>0</v>
      </c>
      <c r="AR3695">
        <v>7.2</v>
      </c>
      <c r="AS3695">
        <v>70</v>
      </c>
      <c r="AT3695">
        <v>3.6</v>
      </c>
      <c r="AU3695">
        <v>85</v>
      </c>
      <c r="AV3695">
        <v>-1.56</v>
      </c>
      <c r="AW3695">
        <v>88</v>
      </c>
      <c r="AX3695">
        <v>0.21</v>
      </c>
      <c r="AY3695">
        <v>89</v>
      </c>
      <c r="AZ3695">
        <v>7.34</v>
      </c>
      <c r="BA3695">
        <v>67</v>
      </c>
      <c r="BB3695">
        <v>5.14</v>
      </c>
      <c r="BC3695">
        <v>78</v>
      </c>
      <c r="BD3695">
        <v>7.0000000000000007E-2</v>
      </c>
      <c r="BE3695">
        <v>0.04</v>
      </c>
      <c r="BF3695">
        <v>-0.17</v>
      </c>
      <c r="BG3695">
        <v>95</v>
      </c>
      <c r="BH3695">
        <v>-0.03</v>
      </c>
      <c r="BI3695">
        <v>-0.47</v>
      </c>
      <c r="BJ3695">
        <v>9</v>
      </c>
      <c r="BK3695">
        <v>6</v>
      </c>
      <c r="BL3695">
        <v>1.1499999999999999</v>
      </c>
      <c r="BM3695">
        <v>0.46</v>
      </c>
      <c r="BN3695">
        <v>1</v>
      </c>
      <c r="BO3695">
        <v>0.25</v>
      </c>
      <c r="BP3695">
        <v>-0.71</v>
      </c>
      <c r="BQ3695">
        <v>1.04</v>
      </c>
      <c r="BR3695">
        <v>0.37</v>
      </c>
      <c r="BS3695">
        <v>-1.54</v>
      </c>
      <c r="BT3695">
        <v>-1.32</v>
      </c>
      <c r="BU3695">
        <v>-0.62</v>
      </c>
      <c r="BV3695">
        <v>-0.23</v>
      </c>
      <c r="BW3695">
        <v>0.91</v>
      </c>
      <c r="BX3695">
        <v>0.49</v>
      </c>
      <c r="BY3695">
        <v>-1.18</v>
      </c>
      <c r="BZ3695">
        <v>1.04</v>
      </c>
      <c r="CA3695">
        <v>-0.47</v>
      </c>
      <c r="CB3695">
        <v>-0.31</v>
      </c>
      <c r="CC3695">
        <v>-1.03</v>
      </c>
      <c r="CD3695">
        <v>0.22</v>
      </c>
      <c r="CE3695">
        <v>0.88</v>
      </c>
      <c r="CF3695">
        <v>1.1599999999999999</v>
      </c>
      <c r="CG3695">
        <v>0</v>
      </c>
      <c r="CH3695">
        <v>-1.22</v>
      </c>
      <c r="CI3695">
        <v>0</v>
      </c>
      <c r="CJ3695">
        <v>6.1</v>
      </c>
      <c r="CK3695">
        <v>92</v>
      </c>
      <c r="CL3695">
        <v>-0.65</v>
      </c>
      <c r="CM3695">
        <v>91</v>
      </c>
      <c r="CN3695">
        <v>-0.14000000000000001</v>
      </c>
      <c r="CO3695">
        <v>90</v>
      </c>
      <c r="CP3695">
        <v>5.8</v>
      </c>
      <c r="CQ3695">
        <v>95</v>
      </c>
      <c r="CR3695">
        <v>0</v>
      </c>
      <c r="CS3695">
        <v>0</v>
      </c>
      <c r="CT3695">
        <v>13.6</v>
      </c>
      <c r="CU3695">
        <v>90</v>
      </c>
      <c r="CV3695">
        <v>0.28000000000000003</v>
      </c>
      <c r="CW3695">
        <v>45</v>
      </c>
      <c r="CX3695" t="s">
        <v>543</v>
      </c>
    </row>
    <row r="3696" spans="1:102" x14ac:dyDescent="0.3">
      <c r="A3696" t="str">
        <f>HYPERLINK("https://webapp.icbf.com/v2/app/bull-search/view/77853916","SMC")</f>
        <v>SMC</v>
      </c>
      <c r="B3696" t="s">
        <v>14615</v>
      </c>
      <c r="C3696" t="s">
        <v>14616</v>
      </c>
      <c r="D3696" s="1">
        <v>35244</v>
      </c>
      <c r="E3696" t="s">
        <v>92</v>
      </c>
      <c r="F3696">
        <v>75</v>
      </c>
      <c r="G3696" t="s">
        <v>93</v>
      </c>
      <c r="H3696">
        <v>-55.51</v>
      </c>
      <c r="I3696">
        <v>72</v>
      </c>
      <c r="J3696">
        <v>10.71</v>
      </c>
      <c r="K3696">
        <v>93</v>
      </c>
      <c r="L3696">
        <v>-49.61</v>
      </c>
      <c r="M3696">
        <v>60</v>
      </c>
      <c r="N3696">
        <v>-20.84</v>
      </c>
      <c r="O3696">
        <v>59</v>
      </c>
      <c r="P3696">
        <v>1.91</v>
      </c>
      <c r="Q3696">
        <v>74</v>
      </c>
      <c r="R3696">
        <v>-4.2300000000000004</v>
      </c>
      <c r="S3696">
        <v>65</v>
      </c>
      <c r="T3696">
        <v>10.57</v>
      </c>
      <c r="U3696">
        <v>70</v>
      </c>
      <c r="V3696">
        <v>-4.0199999999999996</v>
      </c>
      <c r="W3696">
        <v>38</v>
      </c>
      <c r="X3696" t="s">
        <v>558</v>
      </c>
      <c r="Y3696" t="s">
        <v>95</v>
      </c>
      <c r="Z3696" t="s">
        <v>96</v>
      </c>
      <c r="AA3696" t="s">
        <v>753</v>
      </c>
      <c r="AB3696" t="s">
        <v>14617</v>
      </c>
      <c r="AC3696">
        <v>61</v>
      </c>
      <c r="AD3696">
        <v>50</v>
      </c>
      <c r="AE3696">
        <v>93</v>
      </c>
      <c r="AF3696">
        <v>191.5</v>
      </c>
      <c r="AG3696">
        <v>2.61</v>
      </c>
      <c r="AH3696">
        <v>3.83</v>
      </c>
      <c r="AI3696">
        <v>-0.08</v>
      </c>
      <c r="AJ3696">
        <v>-0.04</v>
      </c>
      <c r="AK3696">
        <v>60</v>
      </c>
      <c r="AL3696">
        <v>51</v>
      </c>
      <c r="AM3696">
        <v>43</v>
      </c>
      <c r="AN3696">
        <v>2.42</v>
      </c>
      <c r="AO3696">
        <v>-1.54</v>
      </c>
      <c r="AP3696">
        <v>3</v>
      </c>
      <c r="AQ3696">
        <v>0</v>
      </c>
      <c r="AR3696">
        <v>11.2</v>
      </c>
      <c r="AS3696">
        <v>40</v>
      </c>
      <c r="AT3696">
        <v>4.1100000000000003</v>
      </c>
      <c r="AU3696">
        <v>55</v>
      </c>
      <c r="AV3696">
        <v>-0.83</v>
      </c>
      <c r="AW3696">
        <v>66</v>
      </c>
      <c r="AX3696">
        <v>0.02</v>
      </c>
      <c r="AY3696">
        <v>68</v>
      </c>
      <c r="AZ3696">
        <v>7.86</v>
      </c>
      <c r="BA3696">
        <v>40</v>
      </c>
      <c r="BB3696">
        <v>5.79</v>
      </c>
      <c r="BC3696">
        <v>52</v>
      </c>
      <c r="BD3696">
        <v>0.02</v>
      </c>
      <c r="BE3696">
        <v>0.06</v>
      </c>
      <c r="BF3696">
        <v>-0.05</v>
      </c>
      <c r="BG3696">
        <v>78</v>
      </c>
      <c r="BH3696">
        <v>0.06</v>
      </c>
      <c r="BI3696">
        <v>19.91</v>
      </c>
      <c r="BJ3696">
        <v>7</v>
      </c>
      <c r="BK3696">
        <v>6</v>
      </c>
      <c r="BL3696">
        <v>-1.05</v>
      </c>
      <c r="BM3696">
        <v>-0.41</v>
      </c>
      <c r="BN3696">
        <v>-1.49</v>
      </c>
      <c r="BO3696">
        <v>-0.92</v>
      </c>
      <c r="BP3696">
        <v>-0.48</v>
      </c>
      <c r="BQ3696">
        <v>-1.7</v>
      </c>
      <c r="BR3696">
        <v>1.6</v>
      </c>
      <c r="BS3696">
        <v>-0.94</v>
      </c>
      <c r="BT3696">
        <v>-2.2999999999999998</v>
      </c>
      <c r="BU3696">
        <v>-0.28000000000000003</v>
      </c>
      <c r="BV3696">
        <v>-1</v>
      </c>
      <c r="BW3696">
        <v>-0.44</v>
      </c>
      <c r="BX3696">
        <v>-0.54</v>
      </c>
      <c r="BY3696">
        <v>-1.33</v>
      </c>
      <c r="BZ3696">
        <v>0.23</v>
      </c>
      <c r="CA3696">
        <v>-0.77</v>
      </c>
      <c r="CB3696">
        <v>-0.74</v>
      </c>
      <c r="CC3696">
        <v>-0.71</v>
      </c>
      <c r="CD3696">
        <v>0.11</v>
      </c>
      <c r="CE3696">
        <v>-0.62</v>
      </c>
      <c r="CF3696">
        <v>-0.4</v>
      </c>
      <c r="CG3696">
        <v>0</v>
      </c>
      <c r="CH3696">
        <v>-1.95</v>
      </c>
      <c r="CI3696">
        <v>0</v>
      </c>
      <c r="CJ3696">
        <v>2.7</v>
      </c>
      <c r="CK3696">
        <v>75</v>
      </c>
      <c r="CL3696">
        <v>-0.26</v>
      </c>
      <c r="CM3696">
        <v>72</v>
      </c>
      <c r="CN3696">
        <v>-0.11</v>
      </c>
      <c r="CO3696">
        <v>68</v>
      </c>
      <c r="CP3696">
        <v>-2.8</v>
      </c>
      <c r="CQ3696">
        <v>80</v>
      </c>
      <c r="CR3696">
        <v>0</v>
      </c>
      <c r="CS3696">
        <v>0</v>
      </c>
      <c r="CT3696">
        <v>-0.5</v>
      </c>
      <c r="CU3696">
        <v>70</v>
      </c>
      <c r="CV3696">
        <v>0.09</v>
      </c>
      <c r="CW3696">
        <v>21</v>
      </c>
      <c r="CX3696" t="s">
        <v>99</v>
      </c>
    </row>
    <row r="3697" spans="1:102" x14ac:dyDescent="0.3">
      <c r="A3697" t="str">
        <f>HYPERLINK("https://webapp.icbf.com/v2/app/bull-search/view/174795868","PAZ")</f>
        <v>PAZ</v>
      </c>
      <c r="B3697" t="s">
        <v>9924</v>
      </c>
      <c r="C3697" t="s">
        <v>9925</v>
      </c>
      <c r="D3697" s="1">
        <v>36396</v>
      </c>
      <c r="E3697" t="s">
        <v>140</v>
      </c>
      <c r="F3697">
        <v>0</v>
      </c>
      <c r="G3697" t="s">
        <v>93</v>
      </c>
      <c r="H3697">
        <v>-55.52</v>
      </c>
      <c r="I3697">
        <v>76</v>
      </c>
      <c r="J3697">
        <v>-29.55</v>
      </c>
      <c r="K3697">
        <v>91</v>
      </c>
      <c r="L3697">
        <v>12.57</v>
      </c>
      <c r="M3697">
        <v>58</v>
      </c>
      <c r="N3697">
        <v>-61.52</v>
      </c>
      <c r="O3697">
        <v>74</v>
      </c>
      <c r="P3697">
        <v>11.81</v>
      </c>
      <c r="Q3697">
        <v>92</v>
      </c>
      <c r="R3697">
        <v>5.09</v>
      </c>
      <c r="S3697">
        <v>62</v>
      </c>
      <c r="T3697">
        <v>12.35</v>
      </c>
      <c r="U3697">
        <v>87</v>
      </c>
      <c r="V3697">
        <v>-6.27</v>
      </c>
      <c r="W3697">
        <v>57</v>
      </c>
      <c r="X3697" t="s">
        <v>234</v>
      </c>
      <c r="Y3697" t="s">
        <v>1062</v>
      </c>
      <c r="Z3697">
        <v>0</v>
      </c>
      <c r="AA3697" t="s">
        <v>6697</v>
      </c>
      <c r="AB3697" t="s">
        <v>9926</v>
      </c>
      <c r="AC3697">
        <v>44</v>
      </c>
      <c r="AD3697">
        <v>22</v>
      </c>
      <c r="AE3697">
        <v>91</v>
      </c>
      <c r="AF3697">
        <v>-80.489999999999995</v>
      </c>
      <c r="AG3697">
        <v>-6.55</v>
      </c>
      <c r="AH3697">
        <v>-3.94</v>
      </c>
      <c r="AI3697">
        <v>-0.06</v>
      </c>
      <c r="AJ3697">
        <v>-0.02</v>
      </c>
      <c r="AK3697">
        <v>58</v>
      </c>
      <c r="AL3697">
        <v>63</v>
      </c>
      <c r="AM3697">
        <v>35</v>
      </c>
      <c r="AN3697">
        <v>-0.9</v>
      </c>
      <c r="AO3697">
        <v>0.1</v>
      </c>
      <c r="AP3697">
        <v>112</v>
      </c>
      <c r="AQ3697">
        <v>6</v>
      </c>
      <c r="AR3697">
        <v>11.9</v>
      </c>
      <c r="AS3697">
        <v>43</v>
      </c>
      <c r="AT3697">
        <v>5.55</v>
      </c>
      <c r="AU3697">
        <v>76</v>
      </c>
      <c r="AV3697">
        <v>3.36</v>
      </c>
      <c r="AW3697">
        <v>87</v>
      </c>
      <c r="AX3697">
        <v>-0.54</v>
      </c>
      <c r="AY3697">
        <v>78</v>
      </c>
      <c r="AZ3697">
        <v>5.48</v>
      </c>
      <c r="BA3697">
        <v>43</v>
      </c>
      <c r="BB3697">
        <v>4.1399999999999997</v>
      </c>
      <c r="BC3697">
        <v>51</v>
      </c>
      <c r="BD3697">
        <v>0</v>
      </c>
      <c r="BE3697">
        <v>-0.03</v>
      </c>
      <c r="BF3697">
        <v>-0.06</v>
      </c>
      <c r="BG3697">
        <v>70</v>
      </c>
      <c r="BH3697">
        <v>-0.21</v>
      </c>
      <c r="BI3697">
        <v>-4.0599999999999996</v>
      </c>
      <c r="BJ3697">
        <v>0</v>
      </c>
      <c r="BK3697">
        <v>0</v>
      </c>
      <c r="BL3697">
        <v>-0.78</v>
      </c>
      <c r="BM3697">
        <v>2.91</v>
      </c>
      <c r="BN3697">
        <v>-1.59</v>
      </c>
      <c r="BO3697">
        <v>-2.62</v>
      </c>
      <c r="BP3697">
        <v>3.86</v>
      </c>
      <c r="BQ3697">
        <v>-2.4500000000000002</v>
      </c>
      <c r="BR3697">
        <v>-2.58</v>
      </c>
      <c r="BS3697">
        <v>-0.44</v>
      </c>
      <c r="BT3697">
        <v>2.4500000000000002</v>
      </c>
      <c r="BU3697">
        <v>-3.37</v>
      </c>
      <c r="BV3697">
        <v>-3.75</v>
      </c>
      <c r="BW3697">
        <v>-2.84</v>
      </c>
      <c r="BX3697">
        <v>-2.65</v>
      </c>
      <c r="BY3697">
        <v>-2.34</v>
      </c>
      <c r="BZ3697">
        <v>1.1299999999999999</v>
      </c>
      <c r="CA3697">
        <v>-2.34</v>
      </c>
      <c r="CB3697">
        <v>-3.02</v>
      </c>
      <c r="CC3697">
        <v>-0.34</v>
      </c>
      <c r="CD3697">
        <v>3.43</v>
      </c>
      <c r="CE3697">
        <v>-2.66</v>
      </c>
      <c r="CF3697">
        <v>-1.01</v>
      </c>
      <c r="CG3697">
        <v>0</v>
      </c>
      <c r="CH3697">
        <v>-2.42</v>
      </c>
      <c r="CI3697">
        <v>0</v>
      </c>
      <c r="CJ3697">
        <v>5.4</v>
      </c>
      <c r="CK3697">
        <v>93</v>
      </c>
      <c r="CL3697">
        <v>0.4</v>
      </c>
      <c r="CM3697">
        <v>91</v>
      </c>
      <c r="CN3697">
        <v>-0.02</v>
      </c>
      <c r="CO3697">
        <v>90</v>
      </c>
      <c r="CP3697">
        <v>0</v>
      </c>
      <c r="CQ3697">
        <v>85</v>
      </c>
      <c r="CR3697">
        <v>0</v>
      </c>
      <c r="CS3697">
        <v>0</v>
      </c>
      <c r="CT3697">
        <v>-2.9</v>
      </c>
      <c r="CU3697">
        <v>87</v>
      </c>
      <c r="CV3697">
        <v>-0.12</v>
      </c>
      <c r="CW3697">
        <v>27</v>
      </c>
      <c r="CX3697" t="s">
        <v>9927</v>
      </c>
    </row>
    <row r="3698" spans="1:102" x14ac:dyDescent="0.3">
      <c r="A3698" t="str">
        <f>HYPERLINK("https://webapp.icbf.com/v2/app/bull-search/view/77855518","MAW")</f>
        <v>MAW</v>
      </c>
      <c r="B3698" t="s">
        <v>12633</v>
      </c>
      <c r="C3698" t="s">
        <v>12634</v>
      </c>
      <c r="D3698" s="1">
        <v>31932</v>
      </c>
      <c r="E3698" t="s">
        <v>92</v>
      </c>
      <c r="F3698">
        <v>75</v>
      </c>
      <c r="G3698" t="s">
        <v>93</v>
      </c>
      <c r="H3698">
        <v>-55.52</v>
      </c>
      <c r="I3698">
        <v>62</v>
      </c>
      <c r="J3698">
        <v>-26.34</v>
      </c>
      <c r="K3698">
        <v>74</v>
      </c>
      <c r="L3698">
        <v>-21.62</v>
      </c>
      <c r="M3698">
        <v>62</v>
      </c>
      <c r="N3698">
        <v>0.49</v>
      </c>
      <c r="O3698">
        <v>42</v>
      </c>
      <c r="P3698">
        <v>-12.69</v>
      </c>
      <c r="Q3698">
        <v>57</v>
      </c>
      <c r="R3698">
        <v>-4.8600000000000003</v>
      </c>
      <c r="S3698">
        <v>61</v>
      </c>
      <c r="T3698">
        <v>12.49</v>
      </c>
      <c r="U3698">
        <v>57</v>
      </c>
      <c r="V3698">
        <v>-2.99</v>
      </c>
      <c r="W3698">
        <v>32</v>
      </c>
      <c r="X3698" t="s">
        <v>94</v>
      </c>
      <c r="Y3698" t="s">
        <v>95</v>
      </c>
      <c r="Z3698" t="s">
        <v>96</v>
      </c>
      <c r="AA3698" t="s">
        <v>2585</v>
      </c>
      <c r="AB3698" t="s">
        <v>3895</v>
      </c>
      <c r="AC3698">
        <v>18</v>
      </c>
      <c r="AD3698">
        <v>16</v>
      </c>
      <c r="AE3698">
        <v>74</v>
      </c>
      <c r="AF3698">
        <v>-236.06</v>
      </c>
      <c r="AG3698">
        <v>-2.61</v>
      </c>
      <c r="AH3698">
        <v>-7.17</v>
      </c>
      <c r="AI3698">
        <v>0.11</v>
      </c>
      <c r="AJ3698">
        <v>0.02</v>
      </c>
      <c r="AK3698">
        <v>62</v>
      </c>
      <c r="AL3698">
        <v>87</v>
      </c>
      <c r="AM3698">
        <v>51</v>
      </c>
      <c r="AN3698">
        <v>1.52</v>
      </c>
      <c r="AO3698">
        <v>-0.2</v>
      </c>
      <c r="AP3698">
        <v>3</v>
      </c>
      <c r="AQ3698">
        <v>0</v>
      </c>
      <c r="AR3698">
        <v>9.35</v>
      </c>
      <c r="AS3698">
        <v>29</v>
      </c>
      <c r="AT3698">
        <v>4.21</v>
      </c>
      <c r="AU3698">
        <v>39</v>
      </c>
      <c r="AV3698">
        <v>-1.84</v>
      </c>
      <c r="AW3698">
        <v>46</v>
      </c>
      <c r="AX3698">
        <v>-0.32</v>
      </c>
      <c r="AY3698">
        <v>56</v>
      </c>
      <c r="AZ3698">
        <v>5.8</v>
      </c>
      <c r="BA3698">
        <v>30</v>
      </c>
      <c r="BB3698">
        <v>5.0199999999999996</v>
      </c>
      <c r="BC3698">
        <v>35</v>
      </c>
      <c r="BD3698">
        <v>0.01</v>
      </c>
      <c r="BE3698">
        <v>0.05</v>
      </c>
      <c r="BF3698">
        <v>0</v>
      </c>
      <c r="BG3698">
        <v>81</v>
      </c>
      <c r="BH3698">
        <v>-0.05</v>
      </c>
      <c r="BI3698">
        <v>3.86</v>
      </c>
      <c r="BJ3698">
        <v>16</v>
      </c>
      <c r="BK3698">
        <v>8</v>
      </c>
      <c r="BL3698">
        <v>-0.91</v>
      </c>
      <c r="BM3698">
        <v>0.88</v>
      </c>
      <c r="BN3698">
        <v>-0.19</v>
      </c>
      <c r="BO3698">
        <v>-1.01</v>
      </c>
      <c r="BP3698">
        <v>-2.0499999999999998</v>
      </c>
      <c r="BQ3698">
        <v>-0.1</v>
      </c>
      <c r="BR3698">
        <v>-0.15</v>
      </c>
      <c r="BS3698">
        <v>0.52</v>
      </c>
      <c r="BT3698">
        <v>0.34</v>
      </c>
      <c r="BU3698">
        <v>0.1</v>
      </c>
      <c r="BV3698">
        <v>-1.1000000000000001</v>
      </c>
      <c r="BW3698">
        <v>-1.22</v>
      </c>
      <c r="BX3698">
        <v>0.14000000000000001</v>
      </c>
      <c r="BY3698">
        <v>0.33</v>
      </c>
      <c r="BZ3698">
        <v>0.19</v>
      </c>
      <c r="CA3698">
        <v>-0.17</v>
      </c>
      <c r="CB3698">
        <v>-0.66</v>
      </c>
      <c r="CC3698">
        <v>0.83</v>
      </c>
      <c r="CD3698">
        <v>1.0900000000000001</v>
      </c>
      <c r="CE3698">
        <v>-1.1299999999999999</v>
      </c>
      <c r="CF3698">
        <v>-0.76</v>
      </c>
      <c r="CG3698">
        <v>0</v>
      </c>
      <c r="CH3698">
        <v>-0.89</v>
      </c>
      <c r="CI3698">
        <v>0</v>
      </c>
      <c r="CJ3698">
        <v>-5.4</v>
      </c>
      <c r="CK3698">
        <v>59</v>
      </c>
      <c r="CL3698">
        <v>-0.54</v>
      </c>
      <c r="CM3698">
        <v>55</v>
      </c>
      <c r="CN3698">
        <v>-0.1</v>
      </c>
      <c r="CO3698">
        <v>50</v>
      </c>
      <c r="CP3698">
        <v>-5.6</v>
      </c>
      <c r="CQ3698">
        <v>66</v>
      </c>
      <c r="CR3698">
        <v>0</v>
      </c>
      <c r="CS3698">
        <v>0</v>
      </c>
      <c r="CT3698">
        <v>-3.1</v>
      </c>
      <c r="CU3698">
        <v>57</v>
      </c>
      <c r="CV3698">
        <v>0.06</v>
      </c>
      <c r="CW3698">
        <v>15</v>
      </c>
      <c r="CX3698" t="s">
        <v>622</v>
      </c>
    </row>
    <row r="3699" spans="1:102" x14ac:dyDescent="0.3">
      <c r="A3699" t="str">
        <f>HYPERLINK("https://webapp.icbf.com/v2/app/bull-search/view/535086968","BXI")</f>
        <v>BXI</v>
      </c>
      <c r="B3699" t="s">
        <v>12506</v>
      </c>
      <c r="C3699" t="s">
        <v>12507</v>
      </c>
      <c r="D3699" s="1">
        <v>38954</v>
      </c>
      <c r="E3699" t="s">
        <v>92</v>
      </c>
      <c r="F3699">
        <v>100</v>
      </c>
      <c r="G3699" t="s">
        <v>93</v>
      </c>
      <c r="H3699">
        <v>-55.63</v>
      </c>
      <c r="I3699">
        <v>85</v>
      </c>
      <c r="J3699">
        <v>24.24</v>
      </c>
      <c r="K3699">
        <v>95</v>
      </c>
      <c r="L3699">
        <v>-87.38</v>
      </c>
      <c r="M3699">
        <v>86</v>
      </c>
      <c r="N3699">
        <v>8.3800000000000008</v>
      </c>
      <c r="O3699">
        <v>80</v>
      </c>
      <c r="P3699">
        <v>-4.91</v>
      </c>
      <c r="Q3699">
        <v>90</v>
      </c>
      <c r="R3699">
        <v>-0.52</v>
      </c>
      <c r="S3699">
        <v>72</v>
      </c>
      <c r="T3699">
        <v>0.51</v>
      </c>
      <c r="U3699">
        <v>68</v>
      </c>
      <c r="V3699">
        <v>4.05</v>
      </c>
      <c r="W3699">
        <v>39</v>
      </c>
      <c r="X3699" t="s">
        <v>251</v>
      </c>
      <c r="Y3699" t="s">
        <v>1423</v>
      </c>
      <c r="Z3699" t="s">
        <v>96</v>
      </c>
      <c r="AA3699" t="s">
        <v>309</v>
      </c>
      <c r="AB3699" t="s">
        <v>12508</v>
      </c>
      <c r="AC3699">
        <v>80</v>
      </c>
      <c r="AD3699">
        <v>26</v>
      </c>
      <c r="AE3699">
        <v>95</v>
      </c>
      <c r="AF3699">
        <v>375.94</v>
      </c>
      <c r="AG3699">
        <v>6.55</v>
      </c>
      <c r="AH3699">
        <v>7.56</v>
      </c>
      <c r="AI3699">
        <v>-0.13</v>
      </c>
      <c r="AJ3699">
        <v>-0.08</v>
      </c>
      <c r="AK3699">
        <v>86</v>
      </c>
      <c r="AL3699">
        <v>77</v>
      </c>
      <c r="AM3699">
        <v>30</v>
      </c>
      <c r="AN3699">
        <v>5.41</v>
      </c>
      <c r="AO3699">
        <v>-1.55</v>
      </c>
      <c r="AP3699">
        <v>112</v>
      </c>
      <c r="AQ3699">
        <v>0</v>
      </c>
      <c r="AR3699">
        <v>7.95</v>
      </c>
      <c r="AS3699">
        <v>64</v>
      </c>
      <c r="AT3699">
        <v>3.68</v>
      </c>
      <c r="AU3699">
        <v>89</v>
      </c>
      <c r="AV3699">
        <v>-2.5299999999999998</v>
      </c>
      <c r="AW3699">
        <v>91</v>
      </c>
      <c r="AX3699">
        <v>1.32</v>
      </c>
      <c r="AY3699">
        <v>76</v>
      </c>
      <c r="AZ3699">
        <v>6.93</v>
      </c>
      <c r="BA3699">
        <v>55</v>
      </c>
      <c r="BB3699">
        <v>5.29</v>
      </c>
      <c r="BC3699">
        <v>48</v>
      </c>
      <c r="BD3699">
        <v>-0.03</v>
      </c>
      <c r="BE3699">
        <v>-0.02</v>
      </c>
      <c r="BF3699">
        <v>0.1</v>
      </c>
      <c r="BG3699">
        <v>89</v>
      </c>
      <c r="BH3699">
        <v>-0.03</v>
      </c>
      <c r="BI3699">
        <v>-16.53</v>
      </c>
      <c r="BJ3699">
        <v>43</v>
      </c>
      <c r="BK3699">
        <v>24</v>
      </c>
      <c r="BL3699">
        <v>1.69</v>
      </c>
      <c r="BM3699">
        <v>-2.36</v>
      </c>
      <c r="BN3699">
        <v>0</v>
      </c>
      <c r="BO3699">
        <v>1.69</v>
      </c>
      <c r="BP3699">
        <v>-0.23</v>
      </c>
      <c r="BQ3699">
        <v>0.21</v>
      </c>
      <c r="BR3699">
        <v>-0.65</v>
      </c>
      <c r="BS3699">
        <v>4.2</v>
      </c>
      <c r="BT3699">
        <v>1.33</v>
      </c>
      <c r="BU3699">
        <v>3.4</v>
      </c>
      <c r="BV3699">
        <v>2.81</v>
      </c>
      <c r="BW3699">
        <v>1.93</v>
      </c>
      <c r="BX3699">
        <v>2.56</v>
      </c>
      <c r="BY3699">
        <v>1.66</v>
      </c>
      <c r="BZ3699">
        <v>-1.81</v>
      </c>
      <c r="CA3699">
        <v>3.02</v>
      </c>
      <c r="CB3699">
        <v>2.4</v>
      </c>
      <c r="CC3699">
        <v>2.8</v>
      </c>
      <c r="CD3699">
        <v>-1.61</v>
      </c>
      <c r="CE3699">
        <v>1.52</v>
      </c>
      <c r="CF3699">
        <v>0.86</v>
      </c>
      <c r="CG3699">
        <v>0</v>
      </c>
      <c r="CH3699">
        <v>1.62</v>
      </c>
      <c r="CI3699">
        <v>0</v>
      </c>
      <c r="CJ3699">
        <v>0.5</v>
      </c>
      <c r="CK3699">
        <v>91</v>
      </c>
      <c r="CL3699">
        <v>-1.23</v>
      </c>
      <c r="CM3699">
        <v>89</v>
      </c>
      <c r="CN3699">
        <v>-0.66</v>
      </c>
      <c r="CO3699">
        <v>88</v>
      </c>
      <c r="CP3699">
        <v>-4.2</v>
      </c>
      <c r="CQ3699">
        <v>83</v>
      </c>
      <c r="CR3699">
        <v>0</v>
      </c>
      <c r="CS3699">
        <v>0</v>
      </c>
      <c r="CT3699">
        <v>13.1</v>
      </c>
      <c r="CU3699">
        <v>68</v>
      </c>
      <c r="CV3699">
        <v>0.4</v>
      </c>
      <c r="CW3699">
        <v>26</v>
      </c>
      <c r="CX3699" t="s">
        <v>2454</v>
      </c>
    </row>
    <row r="3700" spans="1:102" x14ac:dyDescent="0.3">
      <c r="A3700" t="str">
        <f>HYPERLINK("https://webapp.icbf.com/v2/app/bull-search/view/529827453","MZM")</f>
        <v>MZM</v>
      </c>
      <c r="B3700" t="s">
        <v>1452</v>
      </c>
      <c r="C3700" t="s">
        <v>1453</v>
      </c>
      <c r="D3700" s="1">
        <v>37412</v>
      </c>
      <c r="E3700" t="s">
        <v>92</v>
      </c>
      <c r="F3700">
        <v>100</v>
      </c>
      <c r="G3700" t="s">
        <v>93</v>
      </c>
      <c r="H3700">
        <v>-55.69</v>
      </c>
      <c r="I3700">
        <v>96</v>
      </c>
      <c r="J3700">
        <v>29.08</v>
      </c>
      <c r="K3700">
        <v>99</v>
      </c>
      <c r="L3700">
        <v>-105</v>
      </c>
      <c r="M3700">
        <v>94</v>
      </c>
      <c r="N3700">
        <v>15.92</v>
      </c>
      <c r="O3700">
        <v>97</v>
      </c>
      <c r="P3700">
        <v>-15.9</v>
      </c>
      <c r="Q3700">
        <v>99</v>
      </c>
      <c r="R3700">
        <v>16.510000000000002</v>
      </c>
      <c r="S3700">
        <v>92</v>
      </c>
      <c r="T3700">
        <v>2.2799999999999998</v>
      </c>
      <c r="U3700">
        <v>96</v>
      </c>
      <c r="V3700">
        <v>1.42</v>
      </c>
      <c r="W3700">
        <v>90</v>
      </c>
      <c r="X3700" t="s">
        <v>288</v>
      </c>
      <c r="Y3700" t="s">
        <v>221</v>
      </c>
      <c r="Z3700" t="s">
        <v>96</v>
      </c>
      <c r="AA3700" t="s">
        <v>311</v>
      </c>
      <c r="AB3700" t="s">
        <v>1454</v>
      </c>
      <c r="AC3700">
        <v>941</v>
      </c>
      <c r="AD3700">
        <v>220</v>
      </c>
      <c r="AE3700">
        <v>99</v>
      </c>
      <c r="AF3700">
        <v>408.75</v>
      </c>
      <c r="AG3700">
        <v>3.51</v>
      </c>
      <c r="AH3700">
        <v>9.9600000000000009</v>
      </c>
      <c r="AI3700">
        <v>-0.2</v>
      </c>
      <c r="AJ3700">
        <v>-0.06</v>
      </c>
      <c r="AK3700">
        <v>94</v>
      </c>
      <c r="AL3700">
        <v>830</v>
      </c>
      <c r="AM3700">
        <v>219</v>
      </c>
      <c r="AN3700">
        <v>6</v>
      </c>
      <c r="AO3700">
        <v>-2.37</v>
      </c>
      <c r="AP3700">
        <v>1405</v>
      </c>
      <c r="AQ3700">
        <v>1</v>
      </c>
      <c r="AR3700">
        <v>7.06</v>
      </c>
      <c r="AS3700">
        <v>97</v>
      </c>
      <c r="AT3700">
        <v>3.16</v>
      </c>
      <c r="AU3700">
        <v>97</v>
      </c>
      <c r="AV3700">
        <v>-1.31</v>
      </c>
      <c r="AW3700">
        <v>99</v>
      </c>
      <c r="AX3700">
        <v>-0.06</v>
      </c>
      <c r="AY3700">
        <v>97</v>
      </c>
      <c r="AZ3700">
        <v>5.44</v>
      </c>
      <c r="BA3700">
        <v>91</v>
      </c>
      <c r="BB3700">
        <v>4.3899999999999997</v>
      </c>
      <c r="BC3700">
        <v>90</v>
      </c>
      <c r="BD3700">
        <v>-0.04</v>
      </c>
      <c r="BE3700">
        <v>-7.0000000000000007E-2</v>
      </c>
      <c r="BF3700">
        <v>-0.18</v>
      </c>
      <c r="BG3700">
        <v>98</v>
      </c>
      <c r="BH3700">
        <v>-0.19</v>
      </c>
      <c r="BI3700">
        <v>-26.57</v>
      </c>
      <c r="BJ3700">
        <v>435</v>
      </c>
      <c r="BK3700">
        <v>135</v>
      </c>
      <c r="BL3700">
        <v>1.21</v>
      </c>
      <c r="BM3700">
        <v>-1.76</v>
      </c>
      <c r="BN3700">
        <v>0.37</v>
      </c>
      <c r="BO3700">
        <v>1.59</v>
      </c>
      <c r="BP3700">
        <v>0.4</v>
      </c>
      <c r="BQ3700">
        <v>0.15</v>
      </c>
      <c r="BR3700">
        <v>-0.44</v>
      </c>
      <c r="BS3700">
        <v>0.81</v>
      </c>
      <c r="BT3700">
        <v>1.21</v>
      </c>
      <c r="BU3700">
        <v>2.21</v>
      </c>
      <c r="BV3700">
        <v>2.63</v>
      </c>
      <c r="BW3700">
        <v>3.14</v>
      </c>
      <c r="BX3700">
        <v>2.21</v>
      </c>
      <c r="BY3700">
        <v>1.1599999999999999</v>
      </c>
      <c r="BZ3700">
        <v>0.09</v>
      </c>
      <c r="CA3700">
        <v>1.9</v>
      </c>
      <c r="CB3700">
        <v>2.08</v>
      </c>
      <c r="CC3700">
        <v>0.77</v>
      </c>
      <c r="CD3700">
        <v>-2.0099999999999998</v>
      </c>
      <c r="CE3700">
        <v>1.34</v>
      </c>
      <c r="CF3700">
        <v>0.7</v>
      </c>
      <c r="CG3700">
        <v>0</v>
      </c>
      <c r="CH3700">
        <v>1.18</v>
      </c>
      <c r="CI3700">
        <v>0</v>
      </c>
      <c r="CJ3700">
        <v>-7</v>
      </c>
      <c r="CK3700">
        <v>99</v>
      </c>
      <c r="CL3700">
        <v>-1.36</v>
      </c>
      <c r="CM3700">
        <v>98</v>
      </c>
      <c r="CN3700">
        <v>-0.69</v>
      </c>
      <c r="CO3700">
        <v>98</v>
      </c>
      <c r="CP3700">
        <v>-1.9</v>
      </c>
      <c r="CQ3700">
        <v>98</v>
      </c>
      <c r="CR3700">
        <v>0</v>
      </c>
      <c r="CS3700">
        <v>0</v>
      </c>
      <c r="CT3700">
        <v>10.7</v>
      </c>
      <c r="CU3700">
        <v>96</v>
      </c>
      <c r="CV3700">
        <v>0.22</v>
      </c>
      <c r="CW3700">
        <v>46</v>
      </c>
      <c r="CX3700" t="s">
        <v>1273</v>
      </c>
    </row>
    <row r="3701" spans="1:102" x14ac:dyDescent="0.3">
      <c r="A3701" t="str">
        <f>HYPERLINK("https://webapp.icbf.com/v2/app/bull-search/view/710976228","S995")</f>
        <v>S995</v>
      </c>
      <c r="B3701" t="s">
        <v>9732</v>
      </c>
      <c r="C3701" t="s">
        <v>9733</v>
      </c>
      <c r="D3701" s="1">
        <v>38285</v>
      </c>
      <c r="E3701" t="s">
        <v>92</v>
      </c>
      <c r="F3701">
        <v>100</v>
      </c>
      <c r="G3701" t="s">
        <v>109</v>
      </c>
      <c r="H3701">
        <v>-55.76</v>
      </c>
      <c r="I3701">
        <v>71</v>
      </c>
      <c r="J3701">
        <v>-3.27</v>
      </c>
      <c r="K3701">
        <v>80</v>
      </c>
      <c r="L3701">
        <v>-63.28</v>
      </c>
      <c r="M3701">
        <v>78</v>
      </c>
      <c r="N3701">
        <v>6.14</v>
      </c>
      <c r="O3701">
        <v>56</v>
      </c>
      <c r="P3701">
        <v>3.35</v>
      </c>
      <c r="Q3701">
        <v>65</v>
      </c>
      <c r="R3701">
        <v>4.3899999999999997</v>
      </c>
      <c r="S3701">
        <v>63</v>
      </c>
      <c r="T3701">
        <v>0.65</v>
      </c>
      <c r="U3701">
        <v>56</v>
      </c>
      <c r="V3701">
        <v>-3.74</v>
      </c>
      <c r="W3701">
        <v>24</v>
      </c>
      <c r="X3701" t="s">
        <v>276</v>
      </c>
      <c r="Y3701" t="s">
        <v>303</v>
      </c>
      <c r="Z3701" t="s">
        <v>96</v>
      </c>
      <c r="AA3701" t="s">
        <v>1566</v>
      </c>
      <c r="AB3701" t="s">
        <v>9734</v>
      </c>
      <c r="AC3701">
        <v>0</v>
      </c>
      <c r="AD3701">
        <v>0</v>
      </c>
      <c r="AE3701">
        <v>80</v>
      </c>
      <c r="AF3701">
        <v>334.38</v>
      </c>
      <c r="AG3701">
        <v>3.17</v>
      </c>
      <c r="AH3701">
        <v>3.44</v>
      </c>
      <c r="AI3701">
        <v>-0.16</v>
      </c>
      <c r="AJ3701">
        <v>-0.13</v>
      </c>
      <c r="AK3701">
        <v>78</v>
      </c>
      <c r="AL3701">
        <v>0</v>
      </c>
      <c r="AM3701">
        <v>0</v>
      </c>
      <c r="AN3701">
        <v>3.93</v>
      </c>
      <c r="AO3701">
        <v>-1.1100000000000001</v>
      </c>
      <c r="AP3701">
        <v>23</v>
      </c>
      <c r="AQ3701">
        <v>1</v>
      </c>
      <c r="AR3701">
        <v>5.98</v>
      </c>
      <c r="AS3701">
        <v>45</v>
      </c>
      <c r="AT3701">
        <v>2.87</v>
      </c>
      <c r="AU3701">
        <v>82</v>
      </c>
      <c r="AV3701">
        <v>-1.06</v>
      </c>
      <c r="AW3701">
        <v>56</v>
      </c>
      <c r="AX3701">
        <v>1.32</v>
      </c>
      <c r="AY3701">
        <v>42</v>
      </c>
      <c r="AZ3701">
        <v>7.48</v>
      </c>
      <c r="BA3701">
        <v>31</v>
      </c>
      <c r="BB3701">
        <v>5.63</v>
      </c>
      <c r="BC3701">
        <v>31</v>
      </c>
      <c r="BD3701">
        <v>0</v>
      </c>
      <c r="BE3701">
        <v>0.01</v>
      </c>
      <c r="BF3701">
        <v>-0.12</v>
      </c>
      <c r="BG3701">
        <v>89</v>
      </c>
      <c r="BH3701">
        <v>-7.0000000000000007E-2</v>
      </c>
      <c r="BI3701">
        <v>3.97</v>
      </c>
      <c r="BJ3701">
        <v>5</v>
      </c>
      <c r="BK3701">
        <v>2</v>
      </c>
      <c r="BL3701">
        <v>1.03</v>
      </c>
      <c r="BM3701">
        <v>-0.52</v>
      </c>
      <c r="BN3701">
        <v>-0.36</v>
      </c>
      <c r="BO3701">
        <v>0.41</v>
      </c>
      <c r="BP3701">
        <v>0.65</v>
      </c>
      <c r="BQ3701">
        <v>1.1499999999999999</v>
      </c>
      <c r="BR3701">
        <v>-2.73</v>
      </c>
      <c r="BS3701">
        <v>2.14</v>
      </c>
      <c r="BT3701">
        <v>2.99</v>
      </c>
      <c r="BU3701">
        <v>2.33</v>
      </c>
      <c r="BV3701">
        <v>2.2599999999999998</v>
      </c>
      <c r="BW3701">
        <v>1.78</v>
      </c>
      <c r="BX3701">
        <v>2.17</v>
      </c>
      <c r="BY3701">
        <v>1.39</v>
      </c>
      <c r="BZ3701">
        <v>-2.06</v>
      </c>
      <c r="CA3701">
        <v>2.16</v>
      </c>
      <c r="CB3701">
        <v>1.74</v>
      </c>
      <c r="CC3701">
        <v>1.92</v>
      </c>
      <c r="CD3701">
        <v>0.05</v>
      </c>
      <c r="CE3701">
        <v>0.9</v>
      </c>
      <c r="CF3701">
        <v>0.92</v>
      </c>
      <c r="CG3701">
        <v>0</v>
      </c>
      <c r="CH3701">
        <v>0.84</v>
      </c>
      <c r="CI3701">
        <v>0</v>
      </c>
      <c r="CJ3701">
        <v>4.8</v>
      </c>
      <c r="CK3701">
        <v>69</v>
      </c>
      <c r="CL3701">
        <v>-0.98</v>
      </c>
      <c r="CM3701">
        <v>62</v>
      </c>
      <c r="CN3701">
        <v>-0.56000000000000005</v>
      </c>
      <c r="CO3701">
        <v>59</v>
      </c>
      <c r="CP3701">
        <v>1.9</v>
      </c>
      <c r="CQ3701">
        <v>59</v>
      </c>
      <c r="CR3701">
        <v>0</v>
      </c>
      <c r="CS3701">
        <v>0</v>
      </c>
      <c r="CT3701">
        <v>12.9</v>
      </c>
      <c r="CU3701">
        <v>56</v>
      </c>
      <c r="CV3701">
        <v>0.43</v>
      </c>
      <c r="CW3701">
        <v>19</v>
      </c>
      <c r="CX3701" t="s">
        <v>3035</v>
      </c>
    </row>
    <row r="3702" spans="1:102" x14ac:dyDescent="0.3">
      <c r="A3702" t="str">
        <f>HYPERLINK("https://webapp.icbf.com/v2/app/bull-search/view/77858383","DIS")</f>
        <v>DIS</v>
      </c>
      <c r="B3702" t="s">
        <v>14408</v>
      </c>
      <c r="C3702" t="s">
        <v>14409</v>
      </c>
      <c r="D3702" s="1">
        <v>31438</v>
      </c>
      <c r="E3702" t="s">
        <v>108</v>
      </c>
      <c r="F3702">
        <v>3</v>
      </c>
      <c r="G3702" t="s">
        <v>116</v>
      </c>
      <c r="H3702">
        <v>-55.94</v>
      </c>
      <c r="I3702">
        <v>44</v>
      </c>
      <c r="J3702">
        <v>-57.81</v>
      </c>
      <c r="K3702">
        <v>48</v>
      </c>
      <c r="L3702">
        <v>8.59</v>
      </c>
      <c r="M3702">
        <v>50</v>
      </c>
      <c r="N3702">
        <v>-10.88</v>
      </c>
      <c r="O3702">
        <v>26</v>
      </c>
      <c r="P3702">
        <v>-9.31</v>
      </c>
      <c r="Q3702">
        <v>55</v>
      </c>
      <c r="R3702">
        <v>0.03</v>
      </c>
      <c r="S3702">
        <v>49</v>
      </c>
      <c r="T3702">
        <v>16.34</v>
      </c>
      <c r="U3702">
        <v>32</v>
      </c>
      <c r="V3702">
        <v>-2.9</v>
      </c>
      <c r="W3702">
        <v>10</v>
      </c>
      <c r="X3702" t="s">
        <v>102</v>
      </c>
      <c r="Y3702" t="s">
        <v>95</v>
      </c>
      <c r="Z3702" t="s">
        <v>96</v>
      </c>
      <c r="AA3702" t="s">
        <v>11019</v>
      </c>
      <c r="AB3702" t="s">
        <v>11020</v>
      </c>
      <c r="AC3702">
        <v>4</v>
      </c>
      <c r="AD3702">
        <v>5</v>
      </c>
      <c r="AE3702">
        <v>48</v>
      </c>
      <c r="AF3702">
        <v>-267</v>
      </c>
      <c r="AG3702">
        <v>-13.65</v>
      </c>
      <c r="AH3702">
        <v>-9.09</v>
      </c>
      <c r="AI3702">
        <v>-0.06</v>
      </c>
      <c r="AJ3702">
        <v>0</v>
      </c>
      <c r="AK3702">
        <v>50</v>
      </c>
      <c r="AL3702">
        <v>42</v>
      </c>
      <c r="AM3702">
        <v>33</v>
      </c>
      <c r="AN3702">
        <v>-2.4300000000000002</v>
      </c>
      <c r="AO3702">
        <v>-1.77</v>
      </c>
      <c r="AP3702">
        <v>1</v>
      </c>
      <c r="AQ3702">
        <v>1</v>
      </c>
      <c r="AR3702">
        <v>9.7100000000000009</v>
      </c>
      <c r="AS3702">
        <v>9</v>
      </c>
      <c r="AT3702">
        <v>3.91</v>
      </c>
      <c r="AU3702">
        <v>19</v>
      </c>
      <c r="AV3702">
        <v>-0.77</v>
      </c>
      <c r="AW3702">
        <v>33</v>
      </c>
      <c r="AX3702">
        <v>0.04</v>
      </c>
      <c r="AY3702">
        <v>49</v>
      </c>
      <c r="AZ3702">
        <v>7.3</v>
      </c>
      <c r="BA3702">
        <v>9</v>
      </c>
      <c r="BB3702">
        <v>5.36</v>
      </c>
      <c r="BC3702">
        <v>16</v>
      </c>
      <c r="BD3702">
        <v>0.02</v>
      </c>
      <c r="BE3702">
        <v>0.04</v>
      </c>
      <c r="BF3702">
        <v>-0.11</v>
      </c>
      <c r="BG3702">
        <v>72</v>
      </c>
      <c r="BH3702">
        <v>-0.05</v>
      </c>
      <c r="BI3702">
        <v>3.56</v>
      </c>
      <c r="BJ3702">
        <v>6</v>
      </c>
      <c r="BK3702">
        <v>6</v>
      </c>
      <c r="BL3702">
        <v>-2.79</v>
      </c>
      <c r="BM3702">
        <v>0.93</v>
      </c>
      <c r="BN3702">
        <v>-2.29</v>
      </c>
      <c r="BO3702">
        <v>-2.48</v>
      </c>
      <c r="BP3702">
        <v>-0.35</v>
      </c>
      <c r="BQ3702">
        <v>-0.4</v>
      </c>
      <c r="BR3702">
        <v>-0.66</v>
      </c>
      <c r="BS3702">
        <v>-7.0000000000000007E-2</v>
      </c>
      <c r="BT3702">
        <v>-0.28000000000000003</v>
      </c>
      <c r="BU3702">
        <v>-1.91</v>
      </c>
      <c r="BV3702">
        <v>-1.9</v>
      </c>
      <c r="BW3702">
        <v>-1.82</v>
      </c>
      <c r="BX3702">
        <v>-1.91</v>
      </c>
      <c r="BY3702">
        <v>-0.14000000000000001</v>
      </c>
      <c r="BZ3702">
        <v>-1.5</v>
      </c>
      <c r="CA3702">
        <v>-2.25</v>
      </c>
      <c r="CB3702">
        <v>-2.2599999999999998</v>
      </c>
      <c r="CC3702">
        <v>-1.39</v>
      </c>
      <c r="CD3702">
        <v>2.27</v>
      </c>
      <c r="CE3702">
        <v>-2.4900000000000002</v>
      </c>
      <c r="CF3702">
        <v>-2.75</v>
      </c>
      <c r="CG3702">
        <v>0</v>
      </c>
      <c r="CH3702">
        <v>-1.2</v>
      </c>
      <c r="CI3702">
        <v>0</v>
      </c>
      <c r="CJ3702">
        <v>-5.3</v>
      </c>
      <c r="CK3702">
        <v>58</v>
      </c>
      <c r="CL3702">
        <v>-0.04</v>
      </c>
      <c r="CM3702">
        <v>53</v>
      </c>
      <c r="CN3702">
        <v>0.02</v>
      </c>
      <c r="CO3702">
        <v>49</v>
      </c>
      <c r="CP3702">
        <v>-9</v>
      </c>
      <c r="CQ3702">
        <v>48</v>
      </c>
      <c r="CR3702">
        <v>0</v>
      </c>
      <c r="CS3702">
        <v>0</v>
      </c>
      <c r="CT3702">
        <v>-8.3000000000000007</v>
      </c>
      <c r="CU3702">
        <v>32</v>
      </c>
      <c r="CV3702">
        <v>-0.1</v>
      </c>
      <c r="CW3702">
        <v>15</v>
      </c>
      <c r="CX3702" t="s">
        <v>3702</v>
      </c>
    </row>
    <row r="3703" spans="1:102" x14ac:dyDescent="0.3">
      <c r="A3703" t="str">
        <f>HYPERLINK("https://webapp.icbf.com/v2/app/bull-search/view/77858218","ELU")</f>
        <v>ELU</v>
      </c>
      <c r="B3703" t="s">
        <v>10767</v>
      </c>
      <c r="C3703" t="s">
        <v>10768</v>
      </c>
      <c r="D3703" s="1">
        <v>32929</v>
      </c>
      <c r="E3703" t="s">
        <v>92</v>
      </c>
      <c r="F3703">
        <v>100</v>
      </c>
      <c r="G3703" t="s">
        <v>109</v>
      </c>
      <c r="H3703">
        <v>-55.99</v>
      </c>
      <c r="I3703">
        <v>78</v>
      </c>
      <c r="J3703">
        <v>-33.06</v>
      </c>
      <c r="K3703">
        <v>92</v>
      </c>
      <c r="L3703">
        <v>-32.04</v>
      </c>
      <c r="M3703">
        <v>80</v>
      </c>
      <c r="N3703">
        <v>15.14</v>
      </c>
      <c r="O3703">
        <v>62</v>
      </c>
      <c r="P3703">
        <v>-3.35</v>
      </c>
      <c r="Q3703">
        <v>57</v>
      </c>
      <c r="R3703">
        <v>-8.35</v>
      </c>
      <c r="S3703">
        <v>75</v>
      </c>
      <c r="T3703">
        <v>5.32</v>
      </c>
      <c r="U3703">
        <v>59</v>
      </c>
      <c r="V3703">
        <v>0.35</v>
      </c>
      <c r="W3703">
        <v>63</v>
      </c>
      <c r="X3703" t="s">
        <v>102</v>
      </c>
      <c r="Y3703" t="s">
        <v>95</v>
      </c>
      <c r="Z3703" t="s">
        <v>96</v>
      </c>
      <c r="AA3703" t="s">
        <v>111</v>
      </c>
      <c r="AB3703" t="s">
        <v>10769</v>
      </c>
      <c r="AC3703">
        <v>0</v>
      </c>
      <c r="AD3703">
        <v>0</v>
      </c>
      <c r="AE3703">
        <v>92</v>
      </c>
      <c r="AF3703">
        <v>1.5</v>
      </c>
      <c r="AG3703">
        <v>-7.63</v>
      </c>
      <c r="AH3703">
        <v>-2.9</v>
      </c>
      <c r="AI3703">
        <v>-0.13</v>
      </c>
      <c r="AJ3703">
        <v>-0.05</v>
      </c>
      <c r="AK3703">
        <v>80</v>
      </c>
      <c r="AL3703">
        <v>0</v>
      </c>
      <c r="AM3703">
        <v>0</v>
      </c>
      <c r="AN3703">
        <v>1.36</v>
      </c>
      <c r="AO3703">
        <v>-1.2</v>
      </c>
      <c r="AP3703">
        <v>4</v>
      </c>
      <c r="AQ3703">
        <v>0</v>
      </c>
      <c r="AR3703">
        <v>6.23</v>
      </c>
      <c r="AS3703">
        <v>58</v>
      </c>
      <c r="AT3703">
        <v>2.93</v>
      </c>
      <c r="AU3703">
        <v>82</v>
      </c>
      <c r="AV3703">
        <v>-0.97</v>
      </c>
      <c r="AW3703">
        <v>57</v>
      </c>
      <c r="AX3703">
        <v>-0.25</v>
      </c>
      <c r="AY3703">
        <v>58</v>
      </c>
      <c r="AZ3703">
        <v>5.48</v>
      </c>
      <c r="BA3703">
        <v>48</v>
      </c>
      <c r="BB3703">
        <v>4.93</v>
      </c>
      <c r="BC3703">
        <v>52</v>
      </c>
      <c r="BD3703">
        <v>0</v>
      </c>
      <c r="BE3703">
        <v>0.08</v>
      </c>
      <c r="BF3703">
        <v>0.04</v>
      </c>
      <c r="BG3703">
        <v>88</v>
      </c>
      <c r="BH3703">
        <v>0.05</v>
      </c>
      <c r="BI3703">
        <v>4.67</v>
      </c>
      <c r="BJ3703">
        <v>0</v>
      </c>
      <c r="BK3703">
        <v>0</v>
      </c>
      <c r="BL3703">
        <v>0.12</v>
      </c>
      <c r="BM3703">
        <v>1.1399999999999999</v>
      </c>
      <c r="BN3703">
        <v>0.91</v>
      </c>
      <c r="BO3703">
        <v>-0.06</v>
      </c>
      <c r="BP3703">
        <v>0.97</v>
      </c>
      <c r="BQ3703">
        <v>1.25</v>
      </c>
      <c r="BR3703">
        <v>-1.55</v>
      </c>
      <c r="BS3703">
        <v>-0.27</v>
      </c>
      <c r="BT3703">
        <v>0.08</v>
      </c>
      <c r="BU3703">
        <v>0.62</v>
      </c>
      <c r="BV3703">
        <v>-0.97</v>
      </c>
      <c r="BW3703">
        <v>-0.77</v>
      </c>
      <c r="BX3703">
        <v>-0.28000000000000003</v>
      </c>
      <c r="BY3703">
        <v>0.01</v>
      </c>
      <c r="BZ3703">
        <v>0.86</v>
      </c>
      <c r="CA3703">
        <v>0.06</v>
      </c>
      <c r="CB3703">
        <v>-0.23</v>
      </c>
      <c r="CC3703">
        <v>0.02</v>
      </c>
      <c r="CD3703">
        <v>0.38</v>
      </c>
      <c r="CE3703">
        <v>0.12</v>
      </c>
      <c r="CF3703">
        <v>0.4</v>
      </c>
      <c r="CG3703">
        <v>0</v>
      </c>
      <c r="CH3703">
        <v>-0.37</v>
      </c>
      <c r="CI3703">
        <v>0</v>
      </c>
      <c r="CJ3703">
        <v>2</v>
      </c>
      <c r="CK3703">
        <v>58</v>
      </c>
      <c r="CL3703">
        <v>-0.66</v>
      </c>
      <c r="CM3703">
        <v>56</v>
      </c>
      <c r="CN3703">
        <v>-0.08</v>
      </c>
      <c r="CO3703">
        <v>52</v>
      </c>
      <c r="CP3703">
        <v>-1.6</v>
      </c>
      <c r="CQ3703">
        <v>66</v>
      </c>
      <c r="CR3703">
        <v>0</v>
      </c>
      <c r="CS3703">
        <v>0</v>
      </c>
      <c r="CT3703">
        <v>6.6</v>
      </c>
      <c r="CU3703">
        <v>59</v>
      </c>
      <c r="CV3703">
        <v>0.12</v>
      </c>
      <c r="CW3703">
        <v>37</v>
      </c>
      <c r="CX3703" t="s">
        <v>707</v>
      </c>
    </row>
    <row r="3704" spans="1:102" x14ac:dyDescent="0.3">
      <c r="A3704" t="str">
        <f>HYPERLINK("https://webapp.icbf.com/v2/app/bull-search/view/69091936","IDV")</f>
        <v>IDV</v>
      </c>
      <c r="B3704" t="s">
        <v>10533</v>
      </c>
      <c r="C3704" t="s">
        <v>1585</v>
      </c>
      <c r="D3704" s="1">
        <v>34283</v>
      </c>
      <c r="E3704" t="s">
        <v>140</v>
      </c>
      <c r="F3704">
        <v>0</v>
      </c>
      <c r="G3704" t="s">
        <v>93</v>
      </c>
      <c r="H3704">
        <v>-56.03</v>
      </c>
      <c r="I3704">
        <v>91</v>
      </c>
      <c r="J3704">
        <v>-25.25</v>
      </c>
      <c r="K3704">
        <v>98</v>
      </c>
      <c r="L3704">
        <v>7.77</v>
      </c>
      <c r="M3704">
        <v>83</v>
      </c>
      <c r="N3704">
        <v>-67.88</v>
      </c>
      <c r="O3704">
        <v>92</v>
      </c>
      <c r="P3704">
        <v>21.28</v>
      </c>
      <c r="Q3704">
        <v>98</v>
      </c>
      <c r="R3704">
        <v>1.06</v>
      </c>
      <c r="S3704">
        <v>85</v>
      </c>
      <c r="T3704">
        <v>18.78</v>
      </c>
      <c r="U3704">
        <v>96</v>
      </c>
      <c r="V3704">
        <v>-11.79</v>
      </c>
      <c r="W3704">
        <v>79</v>
      </c>
      <c r="X3704" t="s">
        <v>94</v>
      </c>
      <c r="Y3704" t="s">
        <v>95</v>
      </c>
      <c r="Z3704" t="s">
        <v>96</v>
      </c>
      <c r="AA3704" t="s">
        <v>224</v>
      </c>
      <c r="AB3704" t="s">
        <v>1460</v>
      </c>
      <c r="AC3704">
        <v>260</v>
      </c>
      <c r="AD3704">
        <v>115</v>
      </c>
      <c r="AE3704">
        <v>98</v>
      </c>
      <c r="AF3704">
        <v>-140.51</v>
      </c>
      <c r="AG3704">
        <v>-7.11</v>
      </c>
      <c r="AH3704">
        <v>-3.93</v>
      </c>
      <c r="AI3704">
        <v>-0.03</v>
      </c>
      <c r="AJ3704">
        <v>0.02</v>
      </c>
      <c r="AK3704">
        <v>83</v>
      </c>
      <c r="AL3704">
        <v>271</v>
      </c>
      <c r="AM3704">
        <v>125</v>
      </c>
      <c r="AN3704">
        <v>1.92</v>
      </c>
      <c r="AO3704">
        <v>2.57</v>
      </c>
      <c r="AP3704">
        <v>203</v>
      </c>
      <c r="AQ3704">
        <v>8</v>
      </c>
      <c r="AR3704">
        <v>12.52</v>
      </c>
      <c r="AS3704">
        <v>82</v>
      </c>
      <c r="AT3704">
        <v>6.1</v>
      </c>
      <c r="AU3704">
        <v>91</v>
      </c>
      <c r="AV3704">
        <v>2.54</v>
      </c>
      <c r="AW3704">
        <v>98</v>
      </c>
      <c r="AX3704">
        <v>0.78</v>
      </c>
      <c r="AY3704">
        <v>93</v>
      </c>
      <c r="AZ3704">
        <v>4.5599999999999996</v>
      </c>
      <c r="BA3704">
        <v>78</v>
      </c>
      <c r="BB3704">
        <v>4.18</v>
      </c>
      <c r="BC3704">
        <v>83</v>
      </c>
      <c r="BD3704">
        <v>7.0000000000000007E-2</v>
      </c>
      <c r="BE3704">
        <v>0.01</v>
      </c>
      <c r="BF3704">
        <v>-0.16</v>
      </c>
      <c r="BG3704">
        <v>94</v>
      </c>
      <c r="BH3704">
        <v>-0.19</v>
      </c>
      <c r="BI3704">
        <v>16.059999999999999</v>
      </c>
      <c r="BJ3704">
        <v>0</v>
      </c>
      <c r="BK3704">
        <v>0</v>
      </c>
      <c r="BL3704">
        <v>-0.96</v>
      </c>
      <c r="BM3704">
        <v>4.41</v>
      </c>
      <c r="BN3704">
        <v>-1.44</v>
      </c>
      <c r="BO3704">
        <v>-3.51</v>
      </c>
      <c r="BP3704">
        <v>4.0599999999999996</v>
      </c>
      <c r="BQ3704">
        <v>-2</v>
      </c>
      <c r="BR3704">
        <v>-2.52</v>
      </c>
      <c r="BS3704">
        <v>-0.13</v>
      </c>
      <c r="BT3704">
        <v>2.65</v>
      </c>
      <c r="BU3704">
        <v>-3.7</v>
      </c>
      <c r="BV3704">
        <v>-4.0199999999999996</v>
      </c>
      <c r="BW3704">
        <v>-3.04</v>
      </c>
      <c r="BX3704">
        <v>-2.97</v>
      </c>
      <c r="BY3704">
        <v>-1.88</v>
      </c>
      <c r="BZ3704">
        <v>0.74</v>
      </c>
      <c r="CA3704">
        <v>-2.57</v>
      </c>
      <c r="CB3704">
        <v>-3.46</v>
      </c>
      <c r="CC3704">
        <v>-0.04</v>
      </c>
      <c r="CD3704">
        <v>4.4800000000000004</v>
      </c>
      <c r="CE3704">
        <v>-3.3</v>
      </c>
      <c r="CF3704">
        <v>-1.0900000000000001</v>
      </c>
      <c r="CG3704">
        <v>0</v>
      </c>
      <c r="CH3704">
        <v>-3.34</v>
      </c>
      <c r="CI3704">
        <v>0</v>
      </c>
      <c r="CJ3704">
        <v>8.6999999999999993</v>
      </c>
      <c r="CK3704">
        <v>98</v>
      </c>
      <c r="CL3704">
        <v>0.43</v>
      </c>
      <c r="CM3704">
        <v>97</v>
      </c>
      <c r="CN3704">
        <v>-0.43</v>
      </c>
      <c r="CO3704">
        <v>97</v>
      </c>
      <c r="CP3704">
        <v>-1.3</v>
      </c>
      <c r="CQ3704">
        <v>97</v>
      </c>
      <c r="CR3704">
        <v>0</v>
      </c>
      <c r="CS3704">
        <v>0</v>
      </c>
      <c r="CT3704">
        <v>-11.6</v>
      </c>
      <c r="CU3704">
        <v>96</v>
      </c>
      <c r="CV3704">
        <v>-0.24</v>
      </c>
      <c r="CW3704">
        <v>29</v>
      </c>
      <c r="CX3704" t="s">
        <v>696</v>
      </c>
    </row>
    <row r="3705" spans="1:102" x14ac:dyDescent="0.3">
      <c r="A3705" t="str">
        <f>HYPERLINK("https://webapp.icbf.com/v2/app/bull-search/view/660005590","LXC")</f>
        <v>LXC</v>
      </c>
      <c r="B3705" t="s">
        <v>12685</v>
      </c>
      <c r="C3705" t="s">
        <v>2397</v>
      </c>
      <c r="D3705" s="1">
        <v>38673</v>
      </c>
      <c r="E3705" t="s">
        <v>92</v>
      </c>
      <c r="F3705">
        <v>100</v>
      </c>
      <c r="G3705" t="s">
        <v>93</v>
      </c>
      <c r="H3705">
        <v>-56.19</v>
      </c>
      <c r="I3705">
        <v>88</v>
      </c>
      <c r="J3705">
        <v>30.91</v>
      </c>
      <c r="K3705">
        <v>96</v>
      </c>
      <c r="L3705">
        <v>-74.319999999999993</v>
      </c>
      <c r="M3705">
        <v>91</v>
      </c>
      <c r="N3705">
        <v>-0.46</v>
      </c>
      <c r="O3705">
        <v>82</v>
      </c>
      <c r="P3705">
        <v>-2.9</v>
      </c>
      <c r="Q3705">
        <v>86</v>
      </c>
      <c r="R3705">
        <v>7.41</v>
      </c>
      <c r="S3705">
        <v>81</v>
      </c>
      <c r="T3705">
        <v>-20.66</v>
      </c>
      <c r="U3705">
        <v>70</v>
      </c>
      <c r="V3705">
        <v>3.83</v>
      </c>
      <c r="W3705">
        <v>68</v>
      </c>
      <c r="X3705" t="s">
        <v>94</v>
      </c>
      <c r="Y3705" t="s">
        <v>282</v>
      </c>
      <c r="Z3705" t="s">
        <v>96</v>
      </c>
      <c r="AA3705" t="s">
        <v>309</v>
      </c>
      <c r="AB3705" t="s">
        <v>12686</v>
      </c>
      <c r="AC3705">
        <v>47</v>
      </c>
      <c r="AD3705">
        <v>25</v>
      </c>
      <c r="AE3705">
        <v>96</v>
      </c>
      <c r="AF3705">
        <v>310.99</v>
      </c>
      <c r="AG3705">
        <v>9.8000000000000007</v>
      </c>
      <c r="AH3705">
        <v>6.55</v>
      </c>
      <c r="AI3705">
        <v>-0.04</v>
      </c>
      <c r="AJ3705">
        <v>-7.0000000000000007E-2</v>
      </c>
      <c r="AK3705">
        <v>91</v>
      </c>
      <c r="AL3705">
        <v>41</v>
      </c>
      <c r="AM3705">
        <v>20</v>
      </c>
      <c r="AN3705">
        <v>4.6100000000000003</v>
      </c>
      <c r="AO3705">
        <v>-1.31</v>
      </c>
      <c r="AP3705">
        <v>68</v>
      </c>
      <c r="AQ3705">
        <v>0</v>
      </c>
      <c r="AR3705">
        <v>9.4</v>
      </c>
      <c r="AS3705">
        <v>75</v>
      </c>
      <c r="AT3705">
        <v>4.22</v>
      </c>
      <c r="AU3705">
        <v>95</v>
      </c>
      <c r="AV3705">
        <v>-2.4700000000000002</v>
      </c>
      <c r="AW3705">
        <v>85</v>
      </c>
      <c r="AX3705">
        <v>0.56999999999999995</v>
      </c>
      <c r="AY3705">
        <v>77</v>
      </c>
      <c r="AZ3705">
        <v>6.59</v>
      </c>
      <c r="BA3705">
        <v>64</v>
      </c>
      <c r="BB3705">
        <v>5.45</v>
      </c>
      <c r="BC3705">
        <v>61</v>
      </c>
      <c r="BD3705">
        <v>-0.05</v>
      </c>
      <c r="BE3705">
        <v>-0.03</v>
      </c>
      <c r="BF3705">
        <v>-0.03</v>
      </c>
      <c r="BG3705">
        <v>94</v>
      </c>
      <c r="BH3705">
        <v>0.01</v>
      </c>
      <c r="BI3705">
        <v>-11.21</v>
      </c>
      <c r="BJ3705">
        <v>34</v>
      </c>
      <c r="BK3705">
        <v>18</v>
      </c>
      <c r="BL3705">
        <v>2.58</v>
      </c>
      <c r="BM3705">
        <v>-0.24</v>
      </c>
      <c r="BN3705">
        <v>2.38</v>
      </c>
      <c r="BO3705">
        <v>1.84</v>
      </c>
      <c r="BP3705">
        <v>0.16</v>
      </c>
      <c r="BQ3705">
        <v>2.5099999999999998</v>
      </c>
      <c r="BR3705">
        <v>1.53</v>
      </c>
      <c r="BS3705">
        <v>2.67</v>
      </c>
      <c r="BT3705">
        <v>-0.82</v>
      </c>
      <c r="BU3705">
        <v>3.18</v>
      </c>
      <c r="BV3705">
        <v>2.98</v>
      </c>
      <c r="BW3705">
        <v>2.87</v>
      </c>
      <c r="BX3705">
        <v>2.0499999999999998</v>
      </c>
      <c r="BY3705">
        <v>0.98</v>
      </c>
      <c r="BZ3705">
        <v>3.03</v>
      </c>
      <c r="CA3705">
        <v>2.38</v>
      </c>
      <c r="CB3705">
        <v>2.35</v>
      </c>
      <c r="CC3705">
        <v>1.42</v>
      </c>
      <c r="CD3705">
        <v>-1.1399999999999999</v>
      </c>
      <c r="CE3705">
        <v>1.69</v>
      </c>
      <c r="CF3705">
        <v>2.56</v>
      </c>
      <c r="CG3705">
        <v>0</v>
      </c>
      <c r="CH3705">
        <v>1.07</v>
      </c>
      <c r="CI3705">
        <v>0</v>
      </c>
      <c r="CJ3705">
        <v>2</v>
      </c>
      <c r="CK3705">
        <v>88</v>
      </c>
      <c r="CL3705">
        <v>-1.49</v>
      </c>
      <c r="CM3705">
        <v>85</v>
      </c>
      <c r="CN3705">
        <v>-0.7</v>
      </c>
      <c r="CO3705">
        <v>84</v>
      </c>
      <c r="CP3705">
        <v>10.1</v>
      </c>
      <c r="CQ3705">
        <v>77</v>
      </c>
      <c r="CR3705">
        <v>0</v>
      </c>
      <c r="CS3705">
        <v>0</v>
      </c>
      <c r="CT3705">
        <v>41.7</v>
      </c>
      <c r="CU3705">
        <v>70</v>
      </c>
      <c r="CV3705">
        <v>0.3</v>
      </c>
      <c r="CW3705">
        <v>43</v>
      </c>
      <c r="CX3705" t="s">
        <v>3001</v>
      </c>
    </row>
    <row r="3706" spans="1:102" x14ac:dyDescent="0.3">
      <c r="A3706" t="str">
        <f>HYPERLINK("https://webapp.icbf.com/v2/app/bull-search/view/77856565","HRO")</f>
        <v>HRO</v>
      </c>
      <c r="B3706" t="s">
        <v>7046</v>
      </c>
      <c r="C3706" t="s">
        <v>7047</v>
      </c>
      <c r="D3706" s="1">
        <v>33905</v>
      </c>
      <c r="E3706" t="s">
        <v>92</v>
      </c>
      <c r="F3706">
        <v>100</v>
      </c>
      <c r="G3706" t="s">
        <v>116</v>
      </c>
      <c r="H3706">
        <v>-56.3</v>
      </c>
      <c r="I3706">
        <v>43</v>
      </c>
      <c r="J3706">
        <v>-58.18</v>
      </c>
      <c r="K3706">
        <v>56</v>
      </c>
      <c r="L3706">
        <v>-5.85</v>
      </c>
      <c r="M3706">
        <v>36</v>
      </c>
      <c r="N3706">
        <v>14.78</v>
      </c>
      <c r="O3706">
        <v>35</v>
      </c>
      <c r="P3706">
        <v>-16.16</v>
      </c>
      <c r="Q3706">
        <v>47</v>
      </c>
      <c r="R3706">
        <v>-4.3600000000000003</v>
      </c>
      <c r="S3706">
        <v>39</v>
      </c>
      <c r="T3706">
        <v>13.31</v>
      </c>
      <c r="U3706">
        <v>41</v>
      </c>
      <c r="V3706">
        <v>0.16</v>
      </c>
      <c r="W3706">
        <v>25</v>
      </c>
      <c r="X3706" t="s">
        <v>94</v>
      </c>
      <c r="Y3706" t="s">
        <v>282</v>
      </c>
      <c r="Z3706" t="s">
        <v>96</v>
      </c>
      <c r="AA3706" t="s">
        <v>798</v>
      </c>
      <c r="AB3706" t="s">
        <v>4776</v>
      </c>
      <c r="AC3706">
        <v>7</v>
      </c>
      <c r="AD3706">
        <v>3</v>
      </c>
      <c r="AE3706">
        <v>56</v>
      </c>
      <c r="AF3706">
        <v>-235.47</v>
      </c>
      <c r="AG3706">
        <v>-8.42</v>
      </c>
      <c r="AH3706">
        <v>-10.52</v>
      </c>
      <c r="AI3706">
        <v>0.01</v>
      </c>
      <c r="AJ3706">
        <v>-0.04</v>
      </c>
      <c r="AK3706">
        <v>36</v>
      </c>
      <c r="AL3706">
        <v>11</v>
      </c>
      <c r="AM3706">
        <v>3</v>
      </c>
      <c r="AN3706">
        <v>0.05</v>
      </c>
      <c r="AO3706">
        <v>-0.42</v>
      </c>
      <c r="AP3706">
        <v>15</v>
      </c>
      <c r="AQ3706">
        <v>1</v>
      </c>
      <c r="AR3706">
        <v>6.54</v>
      </c>
      <c r="AS3706">
        <v>26</v>
      </c>
      <c r="AT3706">
        <v>2.73</v>
      </c>
      <c r="AU3706">
        <v>43</v>
      </c>
      <c r="AV3706">
        <v>-0.63</v>
      </c>
      <c r="AW3706">
        <v>32</v>
      </c>
      <c r="AX3706">
        <v>-0.2</v>
      </c>
      <c r="AY3706">
        <v>49</v>
      </c>
      <c r="AZ3706">
        <v>5.74</v>
      </c>
      <c r="BA3706">
        <v>21</v>
      </c>
      <c r="BB3706">
        <v>4.51</v>
      </c>
      <c r="BC3706">
        <v>28</v>
      </c>
      <c r="BD3706">
        <v>0.02</v>
      </c>
      <c r="BE3706">
        <v>0.03</v>
      </c>
      <c r="BF3706">
        <v>0.01</v>
      </c>
      <c r="BG3706">
        <v>48</v>
      </c>
      <c r="BH3706">
        <v>0.05</v>
      </c>
      <c r="BI3706">
        <v>5.26</v>
      </c>
      <c r="BJ3706">
        <v>0</v>
      </c>
      <c r="BK3706">
        <v>0</v>
      </c>
      <c r="BL3706">
        <v>-0.03</v>
      </c>
      <c r="BM3706">
        <v>-0.32</v>
      </c>
      <c r="BN3706">
        <v>-0.59</v>
      </c>
      <c r="BO3706">
        <v>0</v>
      </c>
      <c r="BP3706">
        <v>0.14000000000000001</v>
      </c>
      <c r="BQ3706">
        <v>0.01</v>
      </c>
      <c r="BR3706">
        <v>-0.25</v>
      </c>
      <c r="BS3706">
        <v>0.57999999999999996</v>
      </c>
      <c r="BT3706">
        <v>0.37</v>
      </c>
      <c r="BU3706">
        <v>0.24</v>
      </c>
      <c r="BV3706">
        <v>0.34</v>
      </c>
      <c r="BW3706">
        <v>0.45</v>
      </c>
      <c r="BX3706">
        <v>0.52</v>
      </c>
      <c r="BY3706">
        <v>-0.17</v>
      </c>
      <c r="BZ3706">
        <v>-0.37</v>
      </c>
      <c r="CA3706">
        <v>0.39</v>
      </c>
      <c r="CB3706">
        <v>0.08</v>
      </c>
      <c r="CC3706">
        <v>0.77</v>
      </c>
      <c r="CD3706">
        <v>-0.21</v>
      </c>
      <c r="CE3706">
        <v>0.12</v>
      </c>
      <c r="CF3706">
        <v>-0.34</v>
      </c>
      <c r="CG3706">
        <v>0</v>
      </c>
      <c r="CH3706">
        <v>-0.05</v>
      </c>
      <c r="CI3706">
        <v>0</v>
      </c>
      <c r="CJ3706">
        <v>-7.6</v>
      </c>
      <c r="CK3706">
        <v>49</v>
      </c>
      <c r="CL3706">
        <v>-0.72</v>
      </c>
      <c r="CM3706">
        <v>44</v>
      </c>
      <c r="CN3706">
        <v>-0.23</v>
      </c>
      <c r="CO3706">
        <v>41</v>
      </c>
      <c r="CP3706">
        <v>-6.2</v>
      </c>
      <c r="CQ3706">
        <v>46</v>
      </c>
      <c r="CR3706">
        <v>0</v>
      </c>
      <c r="CS3706">
        <v>0</v>
      </c>
      <c r="CT3706">
        <v>-4.2</v>
      </c>
      <c r="CU3706">
        <v>41</v>
      </c>
      <c r="CV3706">
        <v>0.01</v>
      </c>
      <c r="CW3706">
        <v>13</v>
      </c>
      <c r="CX3706" t="s">
        <v>111</v>
      </c>
    </row>
    <row r="3707" spans="1:102" x14ac:dyDescent="0.3">
      <c r="A3707" t="str">
        <f>HYPERLINK("https://webapp.icbf.com/v2/app/bull-search/view/586055285","S960")</f>
        <v>S960</v>
      </c>
      <c r="B3707" t="s">
        <v>1653</v>
      </c>
      <c r="C3707" t="s">
        <v>1654</v>
      </c>
      <c r="D3707" s="1">
        <v>38729</v>
      </c>
      <c r="E3707" t="s">
        <v>92</v>
      </c>
      <c r="F3707">
        <v>100</v>
      </c>
      <c r="G3707" t="s">
        <v>93</v>
      </c>
      <c r="H3707">
        <v>-56.34</v>
      </c>
      <c r="I3707">
        <v>93</v>
      </c>
      <c r="J3707">
        <v>9.3000000000000007</v>
      </c>
      <c r="K3707">
        <v>98</v>
      </c>
      <c r="L3707">
        <v>-81.42</v>
      </c>
      <c r="M3707">
        <v>92</v>
      </c>
      <c r="N3707">
        <v>11.9</v>
      </c>
      <c r="O3707">
        <v>92</v>
      </c>
      <c r="P3707">
        <v>-3.14</v>
      </c>
      <c r="Q3707">
        <v>96</v>
      </c>
      <c r="R3707">
        <v>1.51</v>
      </c>
      <c r="S3707">
        <v>83</v>
      </c>
      <c r="T3707">
        <v>1.99</v>
      </c>
      <c r="U3707">
        <v>91</v>
      </c>
      <c r="V3707">
        <v>3.52</v>
      </c>
      <c r="W3707">
        <v>73</v>
      </c>
      <c r="X3707" t="s">
        <v>251</v>
      </c>
      <c r="Y3707" t="s">
        <v>303</v>
      </c>
      <c r="Z3707" t="s">
        <v>96</v>
      </c>
      <c r="AA3707" t="s">
        <v>309</v>
      </c>
      <c r="AB3707" t="s">
        <v>1655</v>
      </c>
      <c r="AC3707">
        <v>231</v>
      </c>
      <c r="AD3707">
        <v>90</v>
      </c>
      <c r="AE3707">
        <v>98</v>
      </c>
      <c r="AF3707">
        <v>84.7</v>
      </c>
      <c r="AG3707">
        <v>3.64</v>
      </c>
      <c r="AH3707">
        <v>1.59</v>
      </c>
      <c r="AI3707">
        <v>0.01</v>
      </c>
      <c r="AJ3707">
        <v>-0.02</v>
      </c>
      <c r="AK3707">
        <v>92</v>
      </c>
      <c r="AL3707">
        <v>208</v>
      </c>
      <c r="AM3707">
        <v>96</v>
      </c>
      <c r="AN3707">
        <v>5.48</v>
      </c>
      <c r="AO3707">
        <v>-1</v>
      </c>
      <c r="AP3707">
        <v>528</v>
      </c>
      <c r="AQ3707">
        <v>1</v>
      </c>
      <c r="AR3707">
        <v>6.75</v>
      </c>
      <c r="AS3707">
        <v>85</v>
      </c>
      <c r="AT3707">
        <v>3.06</v>
      </c>
      <c r="AU3707">
        <v>94</v>
      </c>
      <c r="AV3707">
        <v>-0.76</v>
      </c>
      <c r="AW3707">
        <v>98</v>
      </c>
      <c r="AX3707">
        <v>-0.19</v>
      </c>
      <c r="AY3707">
        <v>91</v>
      </c>
      <c r="AZ3707">
        <v>5.44</v>
      </c>
      <c r="BA3707">
        <v>80</v>
      </c>
      <c r="BB3707">
        <v>4.75</v>
      </c>
      <c r="BC3707">
        <v>75</v>
      </c>
      <c r="BD3707">
        <v>-0.04</v>
      </c>
      <c r="BE3707">
        <v>-0.02</v>
      </c>
      <c r="BF3707">
        <v>7.0000000000000007E-2</v>
      </c>
      <c r="BG3707">
        <v>94</v>
      </c>
      <c r="BH3707">
        <v>-0.09</v>
      </c>
      <c r="BI3707">
        <v>-21.78</v>
      </c>
      <c r="BJ3707">
        <v>92</v>
      </c>
      <c r="BK3707">
        <v>45</v>
      </c>
      <c r="BL3707">
        <v>1.36</v>
      </c>
      <c r="BM3707">
        <v>-0.23</v>
      </c>
      <c r="BN3707">
        <v>1.74</v>
      </c>
      <c r="BO3707">
        <v>1.5</v>
      </c>
      <c r="BP3707">
        <v>-1.5</v>
      </c>
      <c r="BQ3707">
        <v>2.7</v>
      </c>
      <c r="BR3707">
        <v>-0.55000000000000004</v>
      </c>
      <c r="BS3707">
        <v>1.18</v>
      </c>
      <c r="BT3707">
        <v>1.21</v>
      </c>
      <c r="BU3707">
        <v>2.81</v>
      </c>
      <c r="BV3707">
        <v>2.2000000000000002</v>
      </c>
      <c r="BW3707">
        <v>1.89</v>
      </c>
      <c r="BX3707">
        <v>1.91</v>
      </c>
      <c r="BY3707">
        <v>1.45</v>
      </c>
      <c r="BZ3707">
        <v>1.02</v>
      </c>
      <c r="CA3707">
        <v>1.96</v>
      </c>
      <c r="CB3707">
        <v>1.97</v>
      </c>
      <c r="CC3707">
        <v>1.25</v>
      </c>
      <c r="CD3707">
        <v>-0.31</v>
      </c>
      <c r="CE3707">
        <v>1.3</v>
      </c>
      <c r="CF3707">
        <v>1.44</v>
      </c>
      <c r="CG3707">
        <v>0</v>
      </c>
      <c r="CH3707">
        <v>1.37</v>
      </c>
      <c r="CI3707">
        <v>0</v>
      </c>
      <c r="CJ3707">
        <v>-0.3</v>
      </c>
      <c r="CK3707">
        <v>97</v>
      </c>
      <c r="CL3707">
        <v>-1.1299999999999999</v>
      </c>
      <c r="CM3707">
        <v>96</v>
      </c>
      <c r="CN3707">
        <v>-0.74</v>
      </c>
      <c r="CO3707">
        <v>95</v>
      </c>
      <c r="CP3707">
        <v>1.8</v>
      </c>
      <c r="CQ3707">
        <v>93</v>
      </c>
      <c r="CR3707">
        <v>0</v>
      </c>
      <c r="CS3707">
        <v>0</v>
      </c>
      <c r="CT3707">
        <v>11.1</v>
      </c>
      <c r="CU3707">
        <v>91</v>
      </c>
      <c r="CV3707">
        <v>0.24</v>
      </c>
      <c r="CW3707">
        <v>45</v>
      </c>
      <c r="CX3707" t="s">
        <v>1656</v>
      </c>
    </row>
    <row r="3708" spans="1:102" x14ac:dyDescent="0.3">
      <c r="A3708" t="str">
        <f>HYPERLINK("https://webapp.icbf.com/v2/app/bull-search/view/1097413679","S2020")</f>
        <v>S2020</v>
      </c>
      <c r="B3708" t="s">
        <v>13416</v>
      </c>
      <c r="C3708" t="s">
        <v>13417</v>
      </c>
      <c r="D3708" s="1">
        <v>39629</v>
      </c>
      <c r="E3708" t="s">
        <v>92</v>
      </c>
      <c r="F3708">
        <v>100</v>
      </c>
      <c r="G3708" t="s">
        <v>109</v>
      </c>
      <c r="H3708">
        <v>-56.34</v>
      </c>
      <c r="I3708">
        <v>73</v>
      </c>
      <c r="J3708">
        <v>21.75</v>
      </c>
      <c r="K3708">
        <v>92</v>
      </c>
      <c r="L3708">
        <v>-85.27</v>
      </c>
      <c r="M3708">
        <v>80</v>
      </c>
      <c r="N3708">
        <v>18.8</v>
      </c>
      <c r="O3708">
        <v>52</v>
      </c>
      <c r="P3708">
        <v>-10.89</v>
      </c>
      <c r="Q3708">
        <v>37</v>
      </c>
      <c r="R3708">
        <v>-3.06</v>
      </c>
      <c r="S3708">
        <v>71</v>
      </c>
      <c r="T3708">
        <v>3.98</v>
      </c>
      <c r="U3708">
        <v>36</v>
      </c>
      <c r="V3708">
        <v>-1.65</v>
      </c>
      <c r="W3708">
        <v>56</v>
      </c>
      <c r="X3708" t="s">
        <v>102</v>
      </c>
      <c r="Y3708" t="s">
        <v>367</v>
      </c>
      <c r="Z3708" t="s">
        <v>96</v>
      </c>
      <c r="AA3708" t="s">
        <v>13418</v>
      </c>
      <c r="AB3708" t="s">
        <v>13419</v>
      </c>
      <c r="AC3708">
        <v>0</v>
      </c>
      <c r="AD3708">
        <v>0</v>
      </c>
      <c r="AE3708">
        <v>92</v>
      </c>
      <c r="AF3708">
        <v>216.86</v>
      </c>
      <c r="AG3708">
        <v>7.57</v>
      </c>
      <c r="AH3708">
        <v>4.34</v>
      </c>
      <c r="AI3708">
        <v>-0.02</v>
      </c>
      <c r="AJ3708">
        <v>-0.05</v>
      </c>
      <c r="AK3708">
        <v>80</v>
      </c>
      <c r="AL3708">
        <v>0</v>
      </c>
      <c r="AM3708">
        <v>0</v>
      </c>
      <c r="AN3708">
        <v>5.45</v>
      </c>
      <c r="AO3708">
        <v>-1.34</v>
      </c>
      <c r="AP3708">
        <v>2</v>
      </c>
      <c r="AQ3708">
        <v>0</v>
      </c>
      <c r="AR3708">
        <v>6.08</v>
      </c>
      <c r="AS3708">
        <v>46</v>
      </c>
      <c r="AT3708">
        <v>3.12</v>
      </c>
      <c r="AU3708">
        <v>90</v>
      </c>
      <c r="AV3708">
        <v>-1.76</v>
      </c>
      <c r="AW3708">
        <v>40</v>
      </c>
      <c r="AX3708">
        <v>0.36</v>
      </c>
      <c r="AY3708">
        <v>37</v>
      </c>
      <c r="AZ3708">
        <v>5.96</v>
      </c>
      <c r="BA3708">
        <v>35</v>
      </c>
      <c r="BB3708">
        <v>4.7699999999999996</v>
      </c>
      <c r="BC3708">
        <v>37</v>
      </c>
      <c r="BD3708">
        <v>0.02</v>
      </c>
      <c r="BE3708">
        <v>0.03</v>
      </c>
      <c r="BF3708">
        <v>-0.02</v>
      </c>
      <c r="BG3708">
        <v>89</v>
      </c>
      <c r="BH3708">
        <v>0.12</v>
      </c>
      <c r="BI3708">
        <v>19.2</v>
      </c>
      <c r="BJ3708">
        <v>0</v>
      </c>
      <c r="BK3708">
        <v>0</v>
      </c>
      <c r="BL3708">
        <v>1.31</v>
      </c>
      <c r="BM3708">
        <v>0.54</v>
      </c>
      <c r="BN3708">
        <v>1.21</v>
      </c>
      <c r="BO3708">
        <v>0.86</v>
      </c>
      <c r="BP3708">
        <v>1.55</v>
      </c>
      <c r="BQ3708">
        <v>0.37</v>
      </c>
      <c r="BR3708">
        <v>-1.61</v>
      </c>
      <c r="BS3708">
        <v>0.51</v>
      </c>
      <c r="BT3708">
        <v>3.04</v>
      </c>
      <c r="BU3708">
        <v>2.4500000000000002</v>
      </c>
      <c r="BV3708">
        <v>2.2200000000000002</v>
      </c>
      <c r="BW3708">
        <v>2.34</v>
      </c>
      <c r="BX3708">
        <v>1.39</v>
      </c>
      <c r="BY3708">
        <v>1.7</v>
      </c>
      <c r="BZ3708">
        <v>1.35</v>
      </c>
      <c r="CA3708">
        <v>2.16</v>
      </c>
      <c r="CB3708">
        <v>2.25</v>
      </c>
      <c r="CC3708">
        <v>0.98</v>
      </c>
      <c r="CD3708">
        <v>-0.26</v>
      </c>
      <c r="CE3708">
        <v>0.48</v>
      </c>
      <c r="CF3708">
        <v>1.05</v>
      </c>
      <c r="CG3708">
        <v>0</v>
      </c>
      <c r="CH3708">
        <v>1.78</v>
      </c>
      <c r="CI3708">
        <v>0</v>
      </c>
      <c r="CJ3708">
        <v>-3.4</v>
      </c>
      <c r="CK3708">
        <v>37</v>
      </c>
      <c r="CL3708">
        <v>-1.26</v>
      </c>
      <c r="CM3708">
        <v>37</v>
      </c>
      <c r="CN3708">
        <v>-0.57999999999999996</v>
      </c>
      <c r="CO3708">
        <v>36</v>
      </c>
      <c r="CP3708">
        <v>0.1</v>
      </c>
      <c r="CQ3708">
        <v>36</v>
      </c>
      <c r="CR3708">
        <v>0</v>
      </c>
      <c r="CS3708">
        <v>0</v>
      </c>
      <c r="CT3708">
        <v>8.4</v>
      </c>
      <c r="CU3708">
        <v>36</v>
      </c>
      <c r="CV3708">
        <v>0.1</v>
      </c>
      <c r="CW3708">
        <v>32</v>
      </c>
      <c r="CX3708" t="s">
        <v>5310</v>
      </c>
    </row>
    <row r="3709" spans="1:102" x14ac:dyDescent="0.3">
      <c r="A3709" t="str">
        <f>HYPERLINK("https://webapp.icbf.com/v2/app/bull-search/view/77859697","BIN")</f>
        <v>BIN</v>
      </c>
      <c r="B3709" t="s">
        <v>7954</v>
      </c>
      <c r="C3709" t="s">
        <v>7955</v>
      </c>
      <c r="D3709" s="1">
        <v>32033</v>
      </c>
      <c r="E3709" t="s">
        <v>92</v>
      </c>
      <c r="F3709">
        <v>100</v>
      </c>
      <c r="G3709" t="s">
        <v>93</v>
      </c>
      <c r="H3709">
        <v>-56.41</v>
      </c>
      <c r="I3709">
        <v>74</v>
      </c>
      <c r="J3709">
        <v>-51.09</v>
      </c>
      <c r="K3709">
        <v>92</v>
      </c>
      <c r="L3709">
        <v>7.96</v>
      </c>
      <c r="M3709">
        <v>68</v>
      </c>
      <c r="N3709">
        <v>4.2300000000000004</v>
      </c>
      <c r="O3709">
        <v>60</v>
      </c>
      <c r="P3709">
        <v>-28.63</v>
      </c>
      <c r="Q3709">
        <v>74</v>
      </c>
      <c r="R3709">
        <v>0.03</v>
      </c>
      <c r="S3709">
        <v>70</v>
      </c>
      <c r="T3709">
        <v>14.94</v>
      </c>
      <c r="U3709">
        <v>67</v>
      </c>
      <c r="V3709">
        <v>-3.85</v>
      </c>
      <c r="W3709">
        <v>32</v>
      </c>
      <c r="X3709" t="s">
        <v>276</v>
      </c>
      <c r="Y3709" t="s">
        <v>117</v>
      </c>
      <c r="Z3709" t="s">
        <v>96</v>
      </c>
      <c r="AA3709" t="s">
        <v>154</v>
      </c>
      <c r="AB3709" t="s">
        <v>7956</v>
      </c>
      <c r="AC3709">
        <v>59</v>
      </c>
      <c r="AD3709">
        <v>24</v>
      </c>
      <c r="AE3709">
        <v>92</v>
      </c>
      <c r="AF3709">
        <v>-278.75</v>
      </c>
      <c r="AG3709">
        <v>-5.84</v>
      </c>
      <c r="AH3709">
        <v>-10.89</v>
      </c>
      <c r="AI3709">
        <v>0.09</v>
      </c>
      <c r="AJ3709">
        <v>-0.02</v>
      </c>
      <c r="AK3709">
        <v>68</v>
      </c>
      <c r="AL3709">
        <v>115</v>
      </c>
      <c r="AM3709">
        <v>30</v>
      </c>
      <c r="AN3709">
        <v>-0.02</v>
      </c>
      <c r="AO3709">
        <v>0.62</v>
      </c>
      <c r="AP3709">
        <v>6</v>
      </c>
      <c r="AQ3709">
        <v>0</v>
      </c>
      <c r="AR3709">
        <v>7.2</v>
      </c>
      <c r="AS3709">
        <v>42</v>
      </c>
      <c r="AT3709">
        <v>3.5</v>
      </c>
      <c r="AU3709">
        <v>55</v>
      </c>
      <c r="AV3709">
        <v>-0.92</v>
      </c>
      <c r="AW3709">
        <v>67</v>
      </c>
      <c r="AX3709">
        <v>0.04</v>
      </c>
      <c r="AY3709">
        <v>77</v>
      </c>
      <c r="AZ3709">
        <v>6.65</v>
      </c>
      <c r="BA3709">
        <v>38</v>
      </c>
      <c r="BB3709">
        <v>5.08</v>
      </c>
      <c r="BC3709">
        <v>50</v>
      </c>
      <c r="BD3709">
        <v>0.02</v>
      </c>
      <c r="BE3709">
        <v>0.04</v>
      </c>
      <c r="BF3709">
        <v>-0.11</v>
      </c>
      <c r="BG3709">
        <v>87</v>
      </c>
      <c r="BH3709">
        <v>-0.05</v>
      </c>
      <c r="BI3709">
        <v>6.62</v>
      </c>
      <c r="BJ3709">
        <v>31</v>
      </c>
      <c r="BK3709">
        <v>6</v>
      </c>
      <c r="BL3709">
        <v>0.99</v>
      </c>
      <c r="BM3709">
        <v>-0.05</v>
      </c>
      <c r="BN3709">
        <v>0.88</v>
      </c>
      <c r="BO3709">
        <v>0.5</v>
      </c>
      <c r="BP3709">
        <v>-0.62</v>
      </c>
      <c r="BQ3709">
        <v>-0.05</v>
      </c>
      <c r="BR3709">
        <v>-1.5</v>
      </c>
      <c r="BS3709">
        <v>0.66</v>
      </c>
      <c r="BT3709">
        <v>2.11</v>
      </c>
      <c r="BU3709">
        <v>-0.44</v>
      </c>
      <c r="BV3709">
        <v>0.5</v>
      </c>
      <c r="BW3709">
        <v>1.1299999999999999</v>
      </c>
      <c r="BX3709">
        <v>-0.4</v>
      </c>
      <c r="BY3709">
        <v>-0.24</v>
      </c>
      <c r="BZ3709">
        <v>3.19</v>
      </c>
      <c r="CA3709">
        <v>0.36</v>
      </c>
      <c r="CB3709">
        <v>-0.38</v>
      </c>
      <c r="CC3709">
        <v>1.72</v>
      </c>
      <c r="CD3709">
        <v>-0.25</v>
      </c>
      <c r="CE3709">
        <v>0.13</v>
      </c>
      <c r="CF3709">
        <v>1.36</v>
      </c>
      <c r="CG3709">
        <v>0</v>
      </c>
      <c r="CH3709">
        <v>0.03</v>
      </c>
      <c r="CI3709">
        <v>0</v>
      </c>
      <c r="CJ3709">
        <v>-14.8</v>
      </c>
      <c r="CK3709">
        <v>75</v>
      </c>
      <c r="CL3709">
        <v>-1</v>
      </c>
      <c r="CM3709">
        <v>72</v>
      </c>
      <c r="CN3709">
        <v>-0.27</v>
      </c>
      <c r="CO3709">
        <v>68</v>
      </c>
      <c r="CP3709">
        <v>-7</v>
      </c>
      <c r="CQ3709">
        <v>82</v>
      </c>
      <c r="CR3709">
        <v>0</v>
      </c>
      <c r="CS3709">
        <v>0</v>
      </c>
      <c r="CT3709">
        <v>-6.4</v>
      </c>
      <c r="CU3709">
        <v>67</v>
      </c>
      <c r="CV3709">
        <v>0.01</v>
      </c>
      <c r="CW3709">
        <v>20</v>
      </c>
      <c r="CX3709" t="s">
        <v>7957</v>
      </c>
    </row>
    <row r="3710" spans="1:102" x14ac:dyDescent="0.3">
      <c r="A3710" t="str">
        <f>HYPERLINK("https://webapp.icbf.com/v2/app/bull-search/view/77857273","GTT")</f>
        <v>GTT</v>
      </c>
      <c r="B3710" t="s">
        <v>10429</v>
      </c>
      <c r="C3710" t="s">
        <v>10430</v>
      </c>
      <c r="D3710" s="1">
        <v>33057</v>
      </c>
      <c r="E3710" t="s">
        <v>92</v>
      </c>
      <c r="F3710">
        <v>100</v>
      </c>
      <c r="G3710" t="s">
        <v>109</v>
      </c>
      <c r="H3710">
        <v>-56.45</v>
      </c>
      <c r="I3710">
        <v>59</v>
      </c>
      <c r="J3710">
        <v>3.53</v>
      </c>
      <c r="K3710">
        <v>76</v>
      </c>
      <c r="L3710">
        <v>-61.97</v>
      </c>
      <c r="M3710">
        <v>61</v>
      </c>
      <c r="N3710">
        <v>-1.38</v>
      </c>
      <c r="O3710">
        <v>40</v>
      </c>
      <c r="P3710">
        <v>-0.84</v>
      </c>
      <c r="Q3710">
        <v>51</v>
      </c>
      <c r="R3710">
        <v>-7.23</v>
      </c>
      <c r="S3710">
        <v>57</v>
      </c>
      <c r="T3710">
        <v>12.57</v>
      </c>
      <c r="U3710">
        <v>40</v>
      </c>
      <c r="V3710">
        <v>-1.1299999999999999</v>
      </c>
      <c r="W3710">
        <v>15</v>
      </c>
      <c r="X3710" t="s">
        <v>234</v>
      </c>
      <c r="Y3710" t="s">
        <v>95</v>
      </c>
      <c r="Z3710" t="s">
        <v>96</v>
      </c>
      <c r="AA3710" t="s">
        <v>10431</v>
      </c>
      <c r="AB3710" t="s">
        <v>10432</v>
      </c>
      <c r="AC3710">
        <v>0</v>
      </c>
      <c r="AD3710">
        <v>0</v>
      </c>
      <c r="AE3710">
        <v>76</v>
      </c>
      <c r="AF3710">
        <v>-12.47</v>
      </c>
      <c r="AG3710">
        <v>0.65</v>
      </c>
      <c r="AH3710">
        <v>0.18</v>
      </c>
      <c r="AI3710">
        <v>0.02</v>
      </c>
      <c r="AJ3710">
        <v>0.01</v>
      </c>
      <c r="AK3710">
        <v>61</v>
      </c>
      <c r="AL3710">
        <v>0</v>
      </c>
      <c r="AM3710">
        <v>0</v>
      </c>
      <c r="AN3710">
        <v>4.29</v>
      </c>
      <c r="AO3710">
        <v>-0.64</v>
      </c>
      <c r="AP3710">
        <v>3</v>
      </c>
      <c r="AQ3710">
        <v>0</v>
      </c>
      <c r="AR3710">
        <v>8.09</v>
      </c>
      <c r="AS3710">
        <v>22</v>
      </c>
      <c r="AT3710">
        <v>3.4</v>
      </c>
      <c r="AU3710">
        <v>65</v>
      </c>
      <c r="AV3710">
        <v>-1.18</v>
      </c>
      <c r="AW3710">
        <v>33</v>
      </c>
      <c r="AX3710">
        <v>0.67</v>
      </c>
      <c r="AY3710">
        <v>45</v>
      </c>
      <c r="AZ3710">
        <v>7.35</v>
      </c>
      <c r="BA3710">
        <v>18</v>
      </c>
      <c r="BB3710">
        <v>5.71</v>
      </c>
      <c r="BC3710">
        <v>27</v>
      </c>
      <c r="BD3710">
        <v>0.02</v>
      </c>
      <c r="BE3710">
        <v>7.0000000000000007E-2</v>
      </c>
      <c r="BF3710">
        <v>0</v>
      </c>
      <c r="BG3710">
        <v>82</v>
      </c>
      <c r="BH3710">
        <v>0.02</v>
      </c>
      <c r="BI3710">
        <v>5.95</v>
      </c>
      <c r="BJ3710">
        <v>4</v>
      </c>
      <c r="BK3710">
        <v>4</v>
      </c>
      <c r="BL3710">
        <v>-0.22</v>
      </c>
      <c r="BM3710">
        <v>-2.1</v>
      </c>
      <c r="BN3710">
        <v>-1.4</v>
      </c>
      <c r="BO3710">
        <v>-0.46</v>
      </c>
      <c r="BP3710">
        <v>0.02</v>
      </c>
      <c r="BQ3710">
        <v>-1.97</v>
      </c>
      <c r="BR3710">
        <v>0.28999999999999998</v>
      </c>
      <c r="BS3710">
        <v>-1.18</v>
      </c>
      <c r="BT3710">
        <v>0.3</v>
      </c>
      <c r="BU3710">
        <v>0.11</v>
      </c>
      <c r="BV3710">
        <v>-0.77</v>
      </c>
      <c r="BW3710">
        <v>-0.36</v>
      </c>
      <c r="BX3710">
        <v>1</v>
      </c>
      <c r="BY3710">
        <v>0.35</v>
      </c>
      <c r="BZ3710">
        <v>0.79</v>
      </c>
      <c r="CA3710">
        <v>-0.39</v>
      </c>
      <c r="CB3710">
        <v>-0.22</v>
      </c>
      <c r="CC3710">
        <v>-0.23</v>
      </c>
      <c r="CD3710">
        <v>0.52</v>
      </c>
      <c r="CE3710">
        <v>-0.61</v>
      </c>
      <c r="CF3710">
        <v>-1.4</v>
      </c>
      <c r="CG3710">
        <v>0</v>
      </c>
      <c r="CH3710">
        <v>-1.32</v>
      </c>
      <c r="CI3710">
        <v>0</v>
      </c>
      <c r="CJ3710">
        <v>0.8</v>
      </c>
      <c r="CK3710">
        <v>53</v>
      </c>
      <c r="CL3710">
        <v>-0.42</v>
      </c>
      <c r="CM3710">
        <v>49</v>
      </c>
      <c r="CN3710">
        <v>-0.24</v>
      </c>
      <c r="CO3710">
        <v>44</v>
      </c>
      <c r="CP3710">
        <v>-2.8</v>
      </c>
      <c r="CQ3710">
        <v>59</v>
      </c>
      <c r="CR3710">
        <v>0</v>
      </c>
      <c r="CS3710">
        <v>0</v>
      </c>
      <c r="CT3710">
        <v>-3.2</v>
      </c>
      <c r="CU3710">
        <v>40</v>
      </c>
      <c r="CV3710">
        <v>0.11</v>
      </c>
      <c r="CW3710">
        <v>13</v>
      </c>
      <c r="CX3710" t="s">
        <v>10428</v>
      </c>
    </row>
    <row r="3711" spans="1:102" x14ac:dyDescent="0.3">
      <c r="A3711" t="str">
        <f>HYPERLINK("https://webapp.icbf.com/v2/app/bull-search/view/306856861","BCW")</f>
        <v>BCW</v>
      </c>
      <c r="B3711" t="s">
        <v>5206</v>
      </c>
      <c r="C3711" t="s">
        <v>5207</v>
      </c>
      <c r="D3711" s="1">
        <v>37853</v>
      </c>
      <c r="E3711" t="s">
        <v>92</v>
      </c>
      <c r="F3711">
        <v>100</v>
      </c>
      <c r="G3711" t="s">
        <v>93</v>
      </c>
      <c r="H3711">
        <v>-56.49</v>
      </c>
      <c r="I3711">
        <v>62</v>
      </c>
      <c r="J3711">
        <v>-30.58</v>
      </c>
      <c r="K3711">
        <v>76</v>
      </c>
      <c r="L3711">
        <v>-21.12</v>
      </c>
      <c r="M3711">
        <v>49</v>
      </c>
      <c r="N3711">
        <v>-5.73</v>
      </c>
      <c r="O3711">
        <v>56</v>
      </c>
      <c r="P3711">
        <v>3.6</v>
      </c>
      <c r="Q3711">
        <v>80</v>
      </c>
      <c r="R3711">
        <v>-8.32</v>
      </c>
      <c r="S3711">
        <v>49</v>
      </c>
      <c r="T3711">
        <v>12.27</v>
      </c>
      <c r="U3711">
        <v>73</v>
      </c>
      <c r="V3711">
        <v>-6.61</v>
      </c>
      <c r="W3711">
        <v>35</v>
      </c>
      <c r="X3711" t="s">
        <v>94</v>
      </c>
      <c r="Y3711" t="s">
        <v>1153</v>
      </c>
      <c r="Z3711" t="s">
        <v>96</v>
      </c>
      <c r="AA3711" t="s">
        <v>5208</v>
      </c>
      <c r="AB3711" t="s">
        <v>5209</v>
      </c>
      <c r="AC3711">
        <v>17</v>
      </c>
      <c r="AD3711">
        <v>2</v>
      </c>
      <c r="AE3711">
        <v>76</v>
      </c>
      <c r="AF3711">
        <v>-67.17</v>
      </c>
      <c r="AG3711">
        <v>-4.6900000000000004</v>
      </c>
      <c r="AH3711">
        <v>-4.57</v>
      </c>
      <c r="AI3711">
        <v>-0.03</v>
      </c>
      <c r="AJ3711">
        <v>-0.04</v>
      </c>
      <c r="AK3711">
        <v>49</v>
      </c>
      <c r="AL3711">
        <v>23</v>
      </c>
      <c r="AM3711">
        <v>5</v>
      </c>
      <c r="AN3711">
        <v>0.71</v>
      </c>
      <c r="AO3711">
        <v>-0.98</v>
      </c>
      <c r="AP3711">
        <v>8</v>
      </c>
      <c r="AQ3711">
        <v>0</v>
      </c>
      <c r="AR3711">
        <v>10.26</v>
      </c>
      <c r="AS3711">
        <v>47</v>
      </c>
      <c r="AT3711">
        <v>3.82</v>
      </c>
      <c r="AU3711">
        <v>50</v>
      </c>
      <c r="AV3711">
        <v>-1.67</v>
      </c>
      <c r="AW3711">
        <v>65</v>
      </c>
      <c r="AX3711">
        <v>1.2</v>
      </c>
      <c r="AY3711">
        <v>58</v>
      </c>
      <c r="AZ3711">
        <v>6.83</v>
      </c>
      <c r="BA3711">
        <v>42</v>
      </c>
      <c r="BB3711">
        <v>5.16</v>
      </c>
      <c r="BC3711">
        <v>46</v>
      </c>
      <c r="BD3711">
        <v>0.05</v>
      </c>
      <c r="BE3711">
        <v>0.02</v>
      </c>
      <c r="BF3711">
        <v>7.0000000000000007E-2</v>
      </c>
      <c r="BG3711">
        <v>57</v>
      </c>
      <c r="BH3711">
        <v>-0.12</v>
      </c>
      <c r="BI3711">
        <v>7.44</v>
      </c>
      <c r="BJ3711">
        <v>0</v>
      </c>
      <c r="BK3711">
        <v>0</v>
      </c>
      <c r="BL3711">
        <v>0.24</v>
      </c>
      <c r="BM3711">
        <v>-0.14000000000000001</v>
      </c>
      <c r="BN3711">
        <v>0.64</v>
      </c>
      <c r="BO3711">
        <v>0.51</v>
      </c>
      <c r="BP3711">
        <v>0.12</v>
      </c>
      <c r="BQ3711">
        <v>0.22</v>
      </c>
      <c r="BR3711">
        <v>0.72</v>
      </c>
      <c r="BS3711">
        <v>-0.5</v>
      </c>
      <c r="BT3711">
        <v>-1.1399999999999999</v>
      </c>
      <c r="BU3711">
        <v>-0.24</v>
      </c>
      <c r="BV3711">
        <v>0.31</v>
      </c>
      <c r="BW3711">
        <v>0.33</v>
      </c>
      <c r="BX3711">
        <v>-1</v>
      </c>
      <c r="BY3711">
        <v>1.22</v>
      </c>
      <c r="BZ3711">
        <v>0.59</v>
      </c>
      <c r="CA3711">
        <v>0.22</v>
      </c>
      <c r="CB3711">
        <v>0.34</v>
      </c>
      <c r="CC3711">
        <v>0.09</v>
      </c>
      <c r="CD3711">
        <v>-0.6</v>
      </c>
      <c r="CE3711">
        <v>0.55000000000000004</v>
      </c>
      <c r="CF3711">
        <v>0.21</v>
      </c>
      <c r="CG3711">
        <v>0</v>
      </c>
      <c r="CH3711">
        <v>1.07</v>
      </c>
      <c r="CI3711">
        <v>0</v>
      </c>
      <c r="CJ3711">
        <v>3.8</v>
      </c>
      <c r="CK3711">
        <v>83</v>
      </c>
      <c r="CL3711">
        <v>-0.02</v>
      </c>
      <c r="CM3711">
        <v>79</v>
      </c>
      <c r="CN3711">
        <v>0.12</v>
      </c>
      <c r="CO3711">
        <v>77</v>
      </c>
      <c r="CP3711">
        <v>-0.2</v>
      </c>
      <c r="CQ3711">
        <v>72</v>
      </c>
      <c r="CR3711">
        <v>0</v>
      </c>
      <c r="CS3711">
        <v>0</v>
      </c>
      <c r="CT3711">
        <v>-2.8</v>
      </c>
      <c r="CU3711">
        <v>73</v>
      </c>
      <c r="CV3711">
        <v>0.09</v>
      </c>
      <c r="CW3711">
        <v>23</v>
      </c>
      <c r="CX3711" t="s">
        <v>834</v>
      </c>
    </row>
    <row r="3712" spans="1:102" x14ac:dyDescent="0.3">
      <c r="A3712" t="str">
        <f>HYPERLINK("https://webapp.icbf.com/v2/app/bull-search/view/740351657","S1671")</f>
        <v>S1671</v>
      </c>
      <c r="B3712" t="s">
        <v>9313</v>
      </c>
      <c r="C3712" t="s">
        <v>9314</v>
      </c>
      <c r="D3712" s="1">
        <v>39583</v>
      </c>
      <c r="E3712" t="s">
        <v>92</v>
      </c>
      <c r="F3712">
        <v>100</v>
      </c>
      <c r="G3712" t="s">
        <v>109</v>
      </c>
      <c r="H3712">
        <v>-56.56</v>
      </c>
      <c r="I3712">
        <v>79</v>
      </c>
      <c r="J3712">
        <v>44.2</v>
      </c>
      <c r="K3712">
        <v>92</v>
      </c>
      <c r="L3712">
        <v>-117.2</v>
      </c>
      <c r="M3712">
        <v>81</v>
      </c>
      <c r="N3712">
        <v>21.37</v>
      </c>
      <c r="O3712">
        <v>71</v>
      </c>
      <c r="P3712">
        <v>-4.6100000000000003</v>
      </c>
      <c r="Q3712">
        <v>72</v>
      </c>
      <c r="R3712">
        <v>-0.57999999999999996</v>
      </c>
      <c r="S3712">
        <v>74</v>
      </c>
      <c r="T3712">
        <v>11.01</v>
      </c>
      <c r="U3712">
        <v>52</v>
      </c>
      <c r="V3712">
        <v>-10.75</v>
      </c>
      <c r="W3712">
        <v>59</v>
      </c>
      <c r="X3712" t="s">
        <v>110</v>
      </c>
      <c r="Y3712" t="s">
        <v>362</v>
      </c>
      <c r="Z3712" t="s">
        <v>96</v>
      </c>
      <c r="AA3712" t="s">
        <v>8752</v>
      </c>
      <c r="AB3712" t="s">
        <v>9315</v>
      </c>
      <c r="AC3712">
        <v>0</v>
      </c>
      <c r="AD3712">
        <v>0</v>
      </c>
      <c r="AE3712">
        <v>92</v>
      </c>
      <c r="AF3712">
        <v>163.97</v>
      </c>
      <c r="AG3712">
        <v>7.34</v>
      </c>
      <c r="AH3712">
        <v>7.43</v>
      </c>
      <c r="AI3712">
        <v>0.02</v>
      </c>
      <c r="AJ3712">
        <v>0.03</v>
      </c>
      <c r="AK3712">
        <v>81</v>
      </c>
      <c r="AL3712">
        <v>0</v>
      </c>
      <c r="AM3712">
        <v>0</v>
      </c>
      <c r="AN3712">
        <v>6.1</v>
      </c>
      <c r="AO3712">
        <v>-3.25</v>
      </c>
      <c r="AP3712">
        <v>39</v>
      </c>
      <c r="AQ3712">
        <v>0</v>
      </c>
      <c r="AR3712">
        <v>6.57</v>
      </c>
      <c r="AS3712">
        <v>63</v>
      </c>
      <c r="AT3712">
        <v>3.22</v>
      </c>
      <c r="AU3712">
        <v>89</v>
      </c>
      <c r="AV3712">
        <v>-2.4900000000000002</v>
      </c>
      <c r="AW3712">
        <v>75</v>
      </c>
      <c r="AX3712">
        <v>0.52</v>
      </c>
      <c r="AY3712">
        <v>58</v>
      </c>
      <c r="AZ3712">
        <v>5.9</v>
      </c>
      <c r="BA3712">
        <v>47</v>
      </c>
      <c r="BB3712">
        <v>4.9400000000000004</v>
      </c>
      <c r="BC3712">
        <v>46</v>
      </c>
      <c r="BD3712">
        <v>-0.04</v>
      </c>
      <c r="BE3712">
        <v>0</v>
      </c>
      <c r="BF3712">
        <v>0.08</v>
      </c>
      <c r="BG3712">
        <v>90</v>
      </c>
      <c r="BH3712">
        <v>-0.28000000000000003</v>
      </c>
      <c r="BI3712">
        <v>2.2799999999999998</v>
      </c>
      <c r="BJ3712">
        <v>11</v>
      </c>
      <c r="BK3712">
        <v>3</v>
      </c>
      <c r="BL3712">
        <v>1.1399999999999999</v>
      </c>
      <c r="BM3712">
        <v>-2.15</v>
      </c>
      <c r="BN3712">
        <v>0.86</v>
      </c>
      <c r="BO3712">
        <v>2.0699999999999998</v>
      </c>
      <c r="BP3712">
        <v>2.66</v>
      </c>
      <c r="BQ3712">
        <v>-1.73</v>
      </c>
      <c r="BR3712">
        <v>0.65</v>
      </c>
      <c r="BS3712">
        <v>1.1000000000000001</v>
      </c>
      <c r="BT3712">
        <v>-0.03</v>
      </c>
      <c r="BU3712">
        <v>-0.71</v>
      </c>
      <c r="BV3712">
        <v>0.84</v>
      </c>
      <c r="BW3712">
        <v>1.74</v>
      </c>
      <c r="BX3712">
        <v>-0.13</v>
      </c>
      <c r="BY3712">
        <v>0.37</v>
      </c>
      <c r="BZ3712">
        <v>0.5</v>
      </c>
      <c r="CA3712">
        <v>0.66</v>
      </c>
      <c r="CB3712">
        <v>0.2</v>
      </c>
      <c r="CC3712">
        <v>1.21</v>
      </c>
      <c r="CD3712">
        <v>-2.66</v>
      </c>
      <c r="CE3712">
        <v>1.36</v>
      </c>
      <c r="CF3712">
        <v>0.72</v>
      </c>
      <c r="CG3712">
        <v>0</v>
      </c>
      <c r="CH3712">
        <v>0.44</v>
      </c>
      <c r="CI3712">
        <v>0</v>
      </c>
      <c r="CJ3712">
        <v>-1.2</v>
      </c>
      <c r="CK3712">
        <v>75</v>
      </c>
      <c r="CL3712">
        <v>-0.96</v>
      </c>
      <c r="CM3712">
        <v>71</v>
      </c>
      <c r="CN3712">
        <v>-0.57999999999999996</v>
      </c>
      <c r="CO3712">
        <v>69</v>
      </c>
      <c r="CP3712">
        <v>1.1000000000000001</v>
      </c>
      <c r="CQ3712">
        <v>59</v>
      </c>
      <c r="CR3712">
        <v>0</v>
      </c>
      <c r="CS3712">
        <v>0</v>
      </c>
      <c r="CT3712">
        <v>-1.1000000000000001</v>
      </c>
      <c r="CU3712">
        <v>52</v>
      </c>
      <c r="CV3712">
        <v>0.18</v>
      </c>
      <c r="CW3712">
        <v>40</v>
      </c>
      <c r="CX3712" t="s">
        <v>9316</v>
      </c>
    </row>
    <row r="3713" spans="1:102" x14ac:dyDescent="0.3">
      <c r="A3713" t="str">
        <f>HYPERLINK("https://webapp.icbf.com/v2/app/bull-search/view/69092053","KCB")</f>
        <v>KCB</v>
      </c>
      <c r="B3713" t="s">
        <v>9694</v>
      </c>
      <c r="C3713" t="s">
        <v>9695</v>
      </c>
      <c r="D3713" s="1">
        <v>35122</v>
      </c>
      <c r="E3713" t="s">
        <v>92</v>
      </c>
      <c r="F3713">
        <v>100</v>
      </c>
      <c r="G3713" t="s">
        <v>116</v>
      </c>
      <c r="H3713">
        <v>-56.64</v>
      </c>
      <c r="I3713">
        <v>31</v>
      </c>
      <c r="J3713">
        <v>-3.65</v>
      </c>
      <c r="K3713">
        <v>31</v>
      </c>
      <c r="L3713">
        <v>-46.11</v>
      </c>
      <c r="M3713">
        <v>27</v>
      </c>
      <c r="N3713">
        <v>-4.8899999999999997</v>
      </c>
      <c r="O3713">
        <v>29</v>
      </c>
      <c r="P3713">
        <v>-6.4</v>
      </c>
      <c r="Q3713">
        <v>37</v>
      </c>
      <c r="R3713">
        <v>-9.89</v>
      </c>
      <c r="S3713">
        <v>32</v>
      </c>
      <c r="T3713">
        <v>11.61</v>
      </c>
      <c r="U3713">
        <v>39</v>
      </c>
      <c r="V3713">
        <v>2.69</v>
      </c>
      <c r="W3713">
        <v>30</v>
      </c>
      <c r="X3713" t="s">
        <v>94</v>
      </c>
      <c r="Y3713" t="s">
        <v>1499</v>
      </c>
      <c r="Z3713">
        <v>0</v>
      </c>
      <c r="AA3713" t="s">
        <v>1008</v>
      </c>
      <c r="AB3713" t="s">
        <v>9696</v>
      </c>
      <c r="AC3713">
        <v>0</v>
      </c>
      <c r="AD3713">
        <v>0</v>
      </c>
      <c r="AE3713">
        <v>31</v>
      </c>
      <c r="AF3713">
        <v>193.07</v>
      </c>
      <c r="AG3713">
        <v>-0.64</v>
      </c>
      <c r="AH3713">
        <v>2.56</v>
      </c>
      <c r="AI3713">
        <v>-0.15</v>
      </c>
      <c r="AJ3713">
        <v>-0.08</v>
      </c>
      <c r="AK3713">
        <v>27</v>
      </c>
      <c r="AL3713">
        <v>0</v>
      </c>
      <c r="AM3713">
        <v>0</v>
      </c>
      <c r="AN3713">
        <v>3.09</v>
      </c>
      <c r="AO3713">
        <v>-0.57999999999999996</v>
      </c>
      <c r="AP3713">
        <v>0</v>
      </c>
      <c r="AQ3713">
        <v>1</v>
      </c>
      <c r="AR3713">
        <v>10.119999999999999</v>
      </c>
      <c r="AS3713">
        <v>26</v>
      </c>
      <c r="AT3713">
        <v>3.94</v>
      </c>
      <c r="AU3713">
        <v>30</v>
      </c>
      <c r="AV3713">
        <v>-0.93</v>
      </c>
      <c r="AW3713">
        <v>29</v>
      </c>
      <c r="AX3713">
        <v>0.08</v>
      </c>
      <c r="AY3713">
        <v>33</v>
      </c>
      <c r="AZ3713">
        <v>5.37</v>
      </c>
      <c r="BA3713">
        <v>26</v>
      </c>
      <c r="BB3713">
        <v>4.63</v>
      </c>
      <c r="BC3713">
        <v>27</v>
      </c>
      <c r="BD3713">
        <v>0.02</v>
      </c>
      <c r="BE3713">
        <v>0.06</v>
      </c>
      <c r="BF3713">
        <v>0.08</v>
      </c>
      <c r="BG3713">
        <v>34</v>
      </c>
      <c r="BH3713">
        <v>0.12</v>
      </c>
      <c r="BI3713">
        <v>5.22</v>
      </c>
      <c r="BJ3713">
        <v>0</v>
      </c>
      <c r="BK3713">
        <v>0</v>
      </c>
      <c r="BL3713">
        <v>0.47</v>
      </c>
      <c r="BM3713">
        <v>0.35</v>
      </c>
      <c r="BN3713">
        <v>1.24</v>
      </c>
      <c r="BO3713">
        <v>0.63</v>
      </c>
      <c r="BP3713">
        <v>-0.5</v>
      </c>
      <c r="BQ3713">
        <v>-0.08</v>
      </c>
      <c r="BR3713">
        <v>0.11</v>
      </c>
      <c r="BS3713">
        <v>0.35</v>
      </c>
      <c r="BT3713">
        <v>0.28999999999999998</v>
      </c>
      <c r="BU3713">
        <v>-0.64</v>
      </c>
      <c r="BV3713">
        <v>-0.01</v>
      </c>
      <c r="BW3713">
        <v>0.25</v>
      </c>
      <c r="BX3713">
        <v>-0.6</v>
      </c>
      <c r="BY3713">
        <v>0.31</v>
      </c>
      <c r="BZ3713">
        <v>0.3</v>
      </c>
      <c r="CA3713">
        <v>0.25</v>
      </c>
      <c r="CB3713">
        <v>0.05</v>
      </c>
      <c r="CC3713">
        <v>0.74</v>
      </c>
      <c r="CD3713">
        <v>-0.34</v>
      </c>
      <c r="CE3713">
        <v>0.63</v>
      </c>
      <c r="CF3713">
        <v>0.59</v>
      </c>
      <c r="CG3713">
        <v>0</v>
      </c>
      <c r="CH3713">
        <v>0.28000000000000003</v>
      </c>
      <c r="CI3713">
        <v>0</v>
      </c>
      <c r="CJ3713">
        <v>-2.4</v>
      </c>
      <c r="CK3713">
        <v>39</v>
      </c>
      <c r="CL3713">
        <v>-0.54</v>
      </c>
      <c r="CM3713">
        <v>35</v>
      </c>
      <c r="CN3713">
        <v>-0.28000000000000003</v>
      </c>
      <c r="CO3713">
        <v>33</v>
      </c>
      <c r="CP3713">
        <v>-5.3</v>
      </c>
      <c r="CQ3713">
        <v>37</v>
      </c>
      <c r="CR3713">
        <v>0</v>
      </c>
      <c r="CS3713">
        <v>0</v>
      </c>
      <c r="CT3713">
        <v>-1.9</v>
      </c>
      <c r="CU3713">
        <v>39</v>
      </c>
      <c r="CV3713">
        <v>0.14000000000000001</v>
      </c>
      <c r="CW3713">
        <v>11</v>
      </c>
      <c r="CX3713" t="s">
        <v>180</v>
      </c>
    </row>
    <row r="3714" spans="1:102" x14ac:dyDescent="0.3">
      <c r="A3714" t="str">
        <f>HYPERLINK("https://webapp.icbf.com/v2/app/bull-search/view/565200057","VWR")</f>
        <v>VWR</v>
      </c>
      <c r="B3714" t="s">
        <v>14410</v>
      </c>
      <c r="C3714" t="s">
        <v>14411</v>
      </c>
      <c r="D3714" s="1">
        <v>39505</v>
      </c>
      <c r="E3714" t="s">
        <v>92</v>
      </c>
      <c r="F3714">
        <v>88</v>
      </c>
      <c r="G3714" t="s">
        <v>435</v>
      </c>
      <c r="H3714">
        <v>-56.69</v>
      </c>
      <c r="I3714">
        <v>69</v>
      </c>
      <c r="J3714">
        <v>-38.229999999999997</v>
      </c>
      <c r="K3714">
        <v>86</v>
      </c>
      <c r="L3714">
        <v>0.62</v>
      </c>
      <c r="M3714">
        <v>64</v>
      </c>
      <c r="N3714">
        <v>-13.86</v>
      </c>
      <c r="O3714">
        <v>57</v>
      </c>
      <c r="P3714">
        <v>-5.63</v>
      </c>
      <c r="Q3714">
        <v>59</v>
      </c>
      <c r="R3714">
        <v>-4.12</v>
      </c>
      <c r="S3714">
        <v>65</v>
      </c>
      <c r="T3714">
        <v>10.87</v>
      </c>
      <c r="U3714">
        <v>49</v>
      </c>
      <c r="V3714">
        <v>-6.34</v>
      </c>
      <c r="W3714">
        <v>60</v>
      </c>
      <c r="X3714" t="s">
        <v>94</v>
      </c>
      <c r="Y3714" t="s">
        <v>241</v>
      </c>
      <c r="Z3714" t="s">
        <v>96</v>
      </c>
      <c r="AA3714" t="s">
        <v>12631</v>
      </c>
      <c r="AB3714" t="s">
        <v>14412</v>
      </c>
      <c r="AC3714">
        <v>1</v>
      </c>
      <c r="AD3714">
        <v>1</v>
      </c>
      <c r="AE3714">
        <v>86</v>
      </c>
      <c r="AF3714">
        <v>-139.83000000000001</v>
      </c>
      <c r="AG3714">
        <v>-2.89</v>
      </c>
      <c r="AH3714">
        <v>-7.62</v>
      </c>
      <c r="AI3714">
        <v>0.04</v>
      </c>
      <c r="AJ3714">
        <v>-0.05</v>
      </c>
      <c r="AK3714">
        <v>64</v>
      </c>
      <c r="AL3714">
        <v>1</v>
      </c>
      <c r="AM3714">
        <v>1</v>
      </c>
      <c r="AN3714">
        <v>0.02</v>
      </c>
      <c r="AO3714">
        <v>7.0000000000000007E-2</v>
      </c>
      <c r="AP3714">
        <v>1</v>
      </c>
      <c r="AQ3714">
        <v>0</v>
      </c>
      <c r="AR3714">
        <v>8.8699999999999992</v>
      </c>
      <c r="AS3714">
        <v>52</v>
      </c>
      <c r="AT3714">
        <v>3.91</v>
      </c>
      <c r="AU3714">
        <v>63</v>
      </c>
      <c r="AV3714">
        <v>0.77</v>
      </c>
      <c r="AW3714">
        <v>62</v>
      </c>
      <c r="AX3714">
        <v>-0.39</v>
      </c>
      <c r="AY3714">
        <v>48</v>
      </c>
      <c r="AZ3714">
        <v>6.75</v>
      </c>
      <c r="BA3714">
        <v>43</v>
      </c>
      <c r="BB3714">
        <v>4.42</v>
      </c>
      <c r="BC3714">
        <v>45</v>
      </c>
      <c r="BD3714">
        <v>-0.02</v>
      </c>
      <c r="BE3714">
        <v>0.02</v>
      </c>
      <c r="BF3714">
        <v>0.09</v>
      </c>
      <c r="BG3714">
        <v>73</v>
      </c>
      <c r="BH3714">
        <v>-0.13</v>
      </c>
      <c r="BI3714">
        <v>5.4</v>
      </c>
      <c r="BJ3714">
        <v>0</v>
      </c>
      <c r="BK3714">
        <v>0</v>
      </c>
      <c r="BL3714">
        <v>-0.1</v>
      </c>
      <c r="BM3714">
        <v>0.45</v>
      </c>
      <c r="BN3714">
        <v>0.28999999999999998</v>
      </c>
      <c r="BO3714">
        <v>-0.56000000000000005</v>
      </c>
      <c r="BP3714">
        <v>0.76</v>
      </c>
      <c r="BQ3714">
        <v>0.23</v>
      </c>
      <c r="BR3714">
        <v>0.11</v>
      </c>
      <c r="BS3714">
        <v>-0.59</v>
      </c>
      <c r="BT3714">
        <v>0.83</v>
      </c>
      <c r="BU3714">
        <v>-0.31</v>
      </c>
      <c r="BV3714">
        <v>0.42</v>
      </c>
      <c r="BW3714">
        <v>-0.22</v>
      </c>
      <c r="BX3714">
        <v>-0.18</v>
      </c>
      <c r="BY3714">
        <v>0.46</v>
      </c>
      <c r="BZ3714">
        <v>-0.47</v>
      </c>
      <c r="CA3714">
        <v>-7.0000000000000007E-2</v>
      </c>
      <c r="CB3714">
        <v>-0.09</v>
      </c>
      <c r="CC3714">
        <v>-0.13</v>
      </c>
      <c r="CD3714">
        <v>0.74</v>
      </c>
      <c r="CE3714">
        <v>-0.16</v>
      </c>
      <c r="CF3714">
        <v>-0.06</v>
      </c>
      <c r="CG3714">
        <v>0</v>
      </c>
      <c r="CH3714">
        <v>0.98</v>
      </c>
      <c r="CI3714">
        <v>0</v>
      </c>
      <c r="CJ3714">
        <v>-2.6</v>
      </c>
      <c r="CK3714">
        <v>61</v>
      </c>
      <c r="CL3714">
        <v>-0.44</v>
      </c>
      <c r="CM3714">
        <v>58</v>
      </c>
      <c r="CN3714">
        <v>-0.32</v>
      </c>
      <c r="CO3714">
        <v>57</v>
      </c>
      <c r="CP3714">
        <v>-8.3000000000000007</v>
      </c>
      <c r="CQ3714">
        <v>52</v>
      </c>
      <c r="CR3714">
        <v>0</v>
      </c>
      <c r="CS3714">
        <v>0</v>
      </c>
      <c r="CT3714">
        <v>-0.9</v>
      </c>
      <c r="CU3714">
        <v>49</v>
      </c>
      <c r="CV3714">
        <v>0.01</v>
      </c>
      <c r="CW3714">
        <v>38</v>
      </c>
      <c r="CX3714" t="s">
        <v>643</v>
      </c>
    </row>
    <row r="3715" spans="1:102" x14ac:dyDescent="0.3">
      <c r="A3715" t="str">
        <f>HYPERLINK("https://webapp.icbf.com/v2/app/bull-search/view/77857789","EZY")</f>
        <v>EZY</v>
      </c>
      <c r="B3715" t="s">
        <v>3474</v>
      </c>
      <c r="C3715" t="s">
        <v>188</v>
      </c>
      <c r="D3715" s="1">
        <v>33395</v>
      </c>
      <c r="E3715" t="s">
        <v>92</v>
      </c>
      <c r="F3715">
        <v>100</v>
      </c>
      <c r="G3715" t="s">
        <v>93</v>
      </c>
      <c r="H3715">
        <v>-56.76</v>
      </c>
      <c r="I3715">
        <v>99</v>
      </c>
      <c r="J3715">
        <v>34.64</v>
      </c>
      <c r="K3715">
        <v>99</v>
      </c>
      <c r="L3715">
        <v>-105.98</v>
      </c>
      <c r="M3715">
        <v>98</v>
      </c>
      <c r="N3715">
        <v>10.59</v>
      </c>
      <c r="O3715">
        <v>99</v>
      </c>
      <c r="P3715">
        <v>-3.39</v>
      </c>
      <c r="Q3715">
        <v>99</v>
      </c>
      <c r="R3715">
        <v>-0.16</v>
      </c>
      <c r="S3715">
        <v>97</v>
      </c>
      <c r="T3715">
        <v>11.01</v>
      </c>
      <c r="U3715">
        <v>99</v>
      </c>
      <c r="V3715">
        <v>-3.47</v>
      </c>
      <c r="W3715">
        <v>98</v>
      </c>
      <c r="X3715" t="s">
        <v>94</v>
      </c>
      <c r="Y3715" t="s">
        <v>95</v>
      </c>
      <c r="Z3715" t="s">
        <v>96</v>
      </c>
      <c r="AA3715" t="s">
        <v>111</v>
      </c>
      <c r="AB3715" t="s">
        <v>655</v>
      </c>
      <c r="AC3715">
        <v>5097</v>
      </c>
      <c r="AD3715">
        <v>1552</v>
      </c>
      <c r="AE3715">
        <v>99</v>
      </c>
      <c r="AF3715">
        <v>241.07</v>
      </c>
      <c r="AG3715">
        <v>9.0500000000000007</v>
      </c>
      <c r="AH3715">
        <v>6.38</v>
      </c>
      <c r="AI3715">
        <v>-0.01</v>
      </c>
      <c r="AJ3715">
        <v>-0.03</v>
      </c>
      <c r="AK3715">
        <v>98</v>
      </c>
      <c r="AL3715">
        <v>4803</v>
      </c>
      <c r="AM3715">
        <v>1578</v>
      </c>
      <c r="AN3715">
        <v>6.71</v>
      </c>
      <c r="AO3715">
        <v>-1.73</v>
      </c>
      <c r="AP3715">
        <v>3540</v>
      </c>
      <c r="AQ3715">
        <v>0</v>
      </c>
      <c r="AR3715">
        <v>7.3</v>
      </c>
      <c r="AS3715">
        <v>99</v>
      </c>
      <c r="AT3715">
        <v>3.18</v>
      </c>
      <c r="AU3715">
        <v>99</v>
      </c>
      <c r="AV3715">
        <v>-1.1100000000000001</v>
      </c>
      <c r="AW3715">
        <v>99</v>
      </c>
      <c r="AX3715">
        <v>0.16</v>
      </c>
      <c r="AY3715">
        <v>99</v>
      </c>
      <c r="AZ3715">
        <v>5.78</v>
      </c>
      <c r="BA3715">
        <v>98</v>
      </c>
      <c r="BB3715">
        <v>4.8</v>
      </c>
      <c r="BC3715">
        <v>99</v>
      </c>
      <c r="BD3715">
        <v>0.01</v>
      </c>
      <c r="BE3715">
        <v>0.03</v>
      </c>
      <c r="BF3715">
        <v>-7.0000000000000007E-2</v>
      </c>
      <c r="BG3715">
        <v>99</v>
      </c>
      <c r="BH3715">
        <v>-0.01</v>
      </c>
      <c r="BI3715">
        <v>10.039999999999999</v>
      </c>
      <c r="BJ3715">
        <v>969</v>
      </c>
      <c r="BK3715">
        <v>353</v>
      </c>
      <c r="BL3715">
        <v>0.51</v>
      </c>
      <c r="BM3715">
        <v>-1.51</v>
      </c>
      <c r="BN3715">
        <v>-0.21</v>
      </c>
      <c r="BO3715">
        <v>0.94</v>
      </c>
      <c r="BP3715">
        <v>2.06</v>
      </c>
      <c r="BQ3715">
        <v>-0.45</v>
      </c>
      <c r="BR3715">
        <v>0.35</v>
      </c>
      <c r="BS3715">
        <v>0.91</v>
      </c>
      <c r="BT3715">
        <v>-0.65</v>
      </c>
      <c r="BU3715">
        <v>0.5</v>
      </c>
      <c r="BV3715">
        <v>0.67</v>
      </c>
      <c r="BW3715">
        <v>-0.01</v>
      </c>
      <c r="BX3715">
        <v>0.18</v>
      </c>
      <c r="BY3715">
        <v>-0.54</v>
      </c>
      <c r="BZ3715">
        <v>-0.56999999999999995</v>
      </c>
      <c r="CA3715">
        <v>0.74</v>
      </c>
      <c r="CB3715">
        <v>0.57999999999999996</v>
      </c>
      <c r="CC3715">
        <v>0.67</v>
      </c>
      <c r="CD3715">
        <v>-1.1599999999999999</v>
      </c>
      <c r="CE3715">
        <v>1.1000000000000001</v>
      </c>
      <c r="CF3715">
        <v>0.16</v>
      </c>
      <c r="CG3715">
        <v>0</v>
      </c>
      <c r="CH3715">
        <v>-0.55000000000000004</v>
      </c>
      <c r="CI3715">
        <v>0</v>
      </c>
      <c r="CJ3715">
        <v>0.7</v>
      </c>
      <c r="CK3715">
        <v>99</v>
      </c>
      <c r="CL3715">
        <v>-0.83</v>
      </c>
      <c r="CM3715">
        <v>99</v>
      </c>
      <c r="CN3715">
        <v>-0.38</v>
      </c>
      <c r="CO3715">
        <v>99</v>
      </c>
      <c r="CP3715">
        <v>-1.6</v>
      </c>
      <c r="CQ3715">
        <v>99</v>
      </c>
      <c r="CR3715">
        <v>0</v>
      </c>
      <c r="CS3715">
        <v>0</v>
      </c>
      <c r="CT3715">
        <v>-1.1000000000000001</v>
      </c>
      <c r="CU3715">
        <v>99</v>
      </c>
      <c r="CV3715">
        <v>0.18</v>
      </c>
      <c r="CW3715">
        <v>47</v>
      </c>
      <c r="CX3715" t="s">
        <v>168</v>
      </c>
    </row>
    <row r="3716" spans="1:102" x14ac:dyDescent="0.3">
      <c r="A3716" t="str">
        <f>HYPERLINK("https://webapp.icbf.com/v2/app/bull-search/view/77858422","DKU")</f>
        <v>DKU</v>
      </c>
      <c r="B3716" t="s">
        <v>4273</v>
      </c>
      <c r="C3716" t="s">
        <v>4274</v>
      </c>
      <c r="D3716" s="1">
        <v>32850</v>
      </c>
      <c r="E3716" t="s">
        <v>92</v>
      </c>
      <c r="F3716">
        <v>100</v>
      </c>
      <c r="G3716" t="s">
        <v>93</v>
      </c>
      <c r="H3716">
        <v>-56.83</v>
      </c>
      <c r="I3716">
        <v>59</v>
      </c>
      <c r="J3716">
        <v>-72.39</v>
      </c>
      <c r="K3716">
        <v>81</v>
      </c>
      <c r="L3716">
        <v>-4.8899999999999997</v>
      </c>
      <c r="M3716">
        <v>51</v>
      </c>
      <c r="N3716">
        <v>6.75</v>
      </c>
      <c r="O3716">
        <v>41</v>
      </c>
      <c r="P3716">
        <v>-7.04</v>
      </c>
      <c r="Q3716">
        <v>56</v>
      </c>
      <c r="R3716">
        <v>-1.51</v>
      </c>
      <c r="S3716">
        <v>55</v>
      </c>
      <c r="T3716">
        <v>18.27</v>
      </c>
      <c r="U3716">
        <v>46</v>
      </c>
      <c r="V3716">
        <v>3.98</v>
      </c>
      <c r="W3716">
        <v>30</v>
      </c>
      <c r="X3716" t="s">
        <v>102</v>
      </c>
      <c r="Y3716" t="s">
        <v>95</v>
      </c>
      <c r="Z3716" t="s">
        <v>96</v>
      </c>
      <c r="AA3716" t="s">
        <v>982</v>
      </c>
      <c r="AB3716" t="s">
        <v>144</v>
      </c>
      <c r="AC3716">
        <v>24</v>
      </c>
      <c r="AD3716">
        <v>9</v>
      </c>
      <c r="AE3716">
        <v>81</v>
      </c>
      <c r="AF3716">
        <v>-132.38</v>
      </c>
      <c r="AG3716">
        <v>-13.93</v>
      </c>
      <c r="AH3716">
        <v>-9.41</v>
      </c>
      <c r="AI3716">
        <v>-0.15</v>
      </c>
      <c r="AJ3716">
        <v>-0.08</v>
      </c>
      <c r="AK3716">
        <v>51</v>
      </c>
      <c r="AL3716">
        <v>43</v>
      </c>
      <c r="AM3716">
        <v>24</v>
      </c>
      <c r="AN3716">
        <v>0.27</v>
      </c>
      <c r="AO3716">
        <v>-0.12</v>
      </c>
      <c r="AP3716">
        <v>4</v>
      </c>
      <c r="AQ3716">
        <v>0</v>
      </c>
      <c r="AR3716">
        <v>7.85</v>
      </c>
      <c r="AS3716">
        <v>24</v>
      </c>
      <c r="AT3716">
        <v>3.35</v>
      </c>
      <c r="AU3716">
        <v>32</v>
      </c>
      <c r="AV3716">
        <v>-1.07</v>
      </c>
      <c r="AW3716">
        <v>52</v>
      </c>
      <c r="AX3716">
        <v>-0.38</v>
      </c>
      <c r="AY3716">
        <v>52</v>
      </c>
      <c r="AZ3716">
        <v>6.06</v>
      </c>
      <c r="BA3716">
        <v>22</v>
      </c>
      <c r="BB3716">
        <v>5.1100000000000003</v>
      </c>
      <c r="BC3716">
        <v>28</v>
      </c>
      <c r="BD3716">
        <v>0.01</v>
      </c>
      <c r="BE3716">
        <v>0.02</v>
      </c>
      <c r="BF3716">
        <v>-0.02</v>
      </c>
      <c r="BG3716">
        <v>72</v>
      </c>
      <c r="BH3716">
        <v>0.03</v>
      </c>
      <c r="BI3716">
        <v>-9.3800000000000008</v>
      </c>
      <c r="BJ3716">
        <v>1</v>
      </c>
      <c r="BK3716">
        <v>1</v>
      </c>
      <c r="BL3716">
        <v>-0.82</v>
      </c>
      <c r="BM3716">
        <v>-0.39</v>
      </c>
      <c r="BN3716">
        <v>-1.74</v>
      </c>
      <c r="BO3716">
        <v>-0.92</v>
      </c>
      <c r="BP3716">
        <v>0.01</v>
      </c>
      <c r="BQ3716">
        <v>-1.33</v>
      </c>
      <c r="BR3716">
        <v>-0.02</v>
      </c>
      <c r="BS3716">
        <v>-0.15</v>
      </c>
      <c r="BT3716">
        <v>-0.18</v>
      </c>
      <c r="BU3716">
        <v>-1</v>
      </c>
      <c r="BV3716">
        <v>-0.48</v>
      </c>
      <c r="BW3716">
        <v>-1.39</v>
      </c>
      <c r="BX3716">
        <v>-0.54</v>
      </c>
      <c r="BY3716">
        <v>-0.56999999999999995</v>
      </c>
      <c r="BZ3716">
        <v>-0.61</v>
      </c>
      <c r="CA3716">
        <v>-0.83</v>
      </c>
      <c r="CB3716">
        <v>-0.72</v>
      </c>
      <c r="CC3716">
        <v>-0.95</v>
      </c>
      <c r="CD3716">
        <v>0.14000000000000001</v>
      </c>
      <c r="CE3716">
        <v>-0.83</v>
      </c>
      <c r="CF3716">
        <v>-1.22</v>
      </c>
      <c r="CG3716">
        <v>0</v>
      </c>
      <c r="CH3716">
        <v>-0.59</v>
      </c>
      <c r="CI3716">
        <v>0</v>
      </c>
      <c r="CJ3716">
        <v>-2.4</v>
      </c>
      <c r="CK3716">
        <v>59</v>
      </c>
      <c r="CL3716">
        <v>-0.08</v>
      </c>
      <c r="CM3716">
        <v>54</v>
      </c>
      <c r="CN3716">
        <v>0.14000000000000001</v>
      </c>
      <c r="CO3716">
        <v>51</v>
      </c>
      <c r="CP3716">
        <v>-8.4</v>
      </c>
      <c r="CQ3716">
        <v>52</v>
      </c>
      <c r="CR3716">
        <v>0</v>
      </c>
      <c r="CS3716">
        <v>0</v>
      </c>
      <c r="CT3716">
        <v>-10.9</v>
      </c>
      <c r="CU3716">
        <v>46</v>
      </c>
      <c r="CV3716">
        <v>0.03</v>
      </c>
      <c r="CW3716">
        <v>15</v>
      </c>
      <c r="CX3716" t="s">
        <v>4275</v>
      </c>
    </row>
    <row r="3717" spans="1:102" x14ac:dyDescent="0.3">
      <c r="A3717" t="str">
        <f>HYPERLINK("https://webapp.icbf.com/v2/app/bull-search/view/586199967","RLN")</f>
        <v>RLN</v>
      </c>
      <c r="B3717" t="s">
        <v>9073</v>
      </c>
      <c r="C3717" t="s">
        <v>5940</v>
      </c>
      <c r="D3717" s="1">
        <v>38320</v>
      </c>
      <c r="E3717" t="s">
        <v>92</v>
      </c>
      <c r="F3717">
        <v>100</v>
      </c>
      <c r="G3717" t="s">
        <v>109</v>
      </c>
      <c r="H3717">
        <v>-56.86</v>
      </c>
      <c r="I3717">
        <v>83</v>
      </c>
      <c r="J3717">
        <v>58.45</v>
      </c>
      <c r="K3717">
        <v>94</v>
      </c>
      <c r="L3717">
        <v>-140.75</v>
      </c>
      <c r="M3717">
        <v>85</v>
      </c>
      <c r="N3717">
        <v>20.9</v>
      </c>
      <c r="O3717">
        <v>73</v>
      </c>
      <c r="P3717">
        <v>-8.42</v>
      </c>
      <c r="Q3717">
        <v>72</v>
      </c>
      <c r="R3717">
        <v>1.55</v>
      </c>
      <c r="S3717">
        <v>77</v>
      </c>
      <c r="T3717">
        <v>8.1999999999999993</v>
      </c>
      <c r="U3717">
        <v>61</v>
      </c>
      <c r="V3717">
        <v>3.21</v>
      </c>
      <c r="W3717">
        <v>66</v>
      </c>
      <c r="X3717" t="s">
        <v>276</v>
      </c>
      <c r="Y3717" t="s">
        <v>303</v>
      </c>
      <c r="Z3717" t="s">
        <v>96</v>
      </c>
      <c r="AA3717" t="s">
        <v>314</v>
      </c>
      <c r="AB3717" t="s">
        <v>9074</v>
      </c>
      <c r="AC3717">
        <v>0</v>
      </c>
      <c r="AD3717">
        <v>0</v>
      </c>
      <c r="AE3717">
        <v>94</v>
      </c>
      <c r="AF3717">
        <v>522.61</v>
      </c>
      <c r="AG3717">
        <v>6.5</v>
      </c>
      <c r="AH3717">
        <v>15.64</v>
      </c>
      <c r="AI3717">
        <v>-0.22</v>
      </c>
      <c r="AJ3717">
        <v>-0.03</v>
      </c>
      <c r="AK3717">
        <v>85</v>
      </c>
      <c r="AL3717">
        <v>0</v>
      </c>
      <c r="AM3717">
        <v>0</v>
      </c>
      <c r="AN3717">
        <v>8.0299999999999994</v>
      </c>
      <c r="AO3717">
        <v>-3.19</v>
      </c>
      <c r="AP3717">
        <v>4</v>
      </c>
      <c r="AQ3717">
        <v>0</v>
      </c>
      <c r="AR3717">
        <v>6.96</v>
      </c>
      <c r="AS3717">
        <v>67</v>
      </c>
      <c r="AT3717">
        <v>3.42</v>
      </c>
      <c r="AU3717">
        <v>96</v>
      </c>
      <c r="AV3717">
        <v>-2.83</v>
      </c>
      <c r="AW3717">
        <v>71</v>
      </c>
      <c r="AX3717">
        <v>7.0000000000000007E-2</v>
      </c>
      <c r="AY3717">
        <v>66</v>
      </c>
      <c r="AZ3717">
        <v>6.6</v>
      </c>
      <c r="BA3717">
        <v>52</v>
      </c>
      <c r="BB3717">
        <v>5.0599999999999996</v>
      </c>
      <c r="BC3717">
        <v>54</v>
      </c>
      <c r="BD3717">
        <v>-0.01</v>
      </c>
      <c r="BE3717">
        <v>-0.01</v>
      </c>
      <c r="BF3717">
        <v>0</v>
      </c>
      <c r="BG3717">
        <v>91</v>
      </c>
      <c r="BH3717">
        <v>-0.11</v>
      </c>
      <c r="BI3717">
        <v>-23.09</v>
      </c>
      <c r="BJ3717">
        <v>5</v>
      </c>
      <c r="BK3717">
        <v>4</v>
      </c>
      <c r="BL3717">
        <v>1.82</v>
      </c>
      <c r="BM3717">
        <v>-0.17</v>
      </c>
      <c r="BN3717">
        <v>0.85</v>
      </c>
      <c r="BO3717">
        <v>1.43</v>
      </c>
      <c r="BP3717">
        <v>0.1</v>
      </c>
      <c r="BQ3717">
        <v>1.93</v>
      </c>
      <c r="BR3717">
        <v>1.29</v>
      </c>
      <c r="BS3717">
        <v>-1.18</v>
      </c>
      <c r="BT3717">
        <v>0</v>
      </c>
      <c r="BU3717">
        <v>2.52</v>
      </c>
      <c r="BV3717">
        <v>1.84</v>
      </c>
      <c r="BW3717">
        <v>2.2000000000000002</v>
      </c>
      <c r="BX3717">
        <v>2.06</v>
      </c>
      <c r="BY3717">
        <v>1.54</v>
      </c>
      <c r="BZ3717">
        <v>0.99</v>
      </c>
      <c r="CA3717">
        <v>1.27</v>
      </c>
      <c r="CB3717">
        <v>1.95</v>
      </c>
      <c r="CC3717">
        <v>-0.36</v>
      </c>
      <c r="CD3717">
        <v>-1.23</v>
      </c>
      <c r="CE3717">
        <v>1.46</v>
      </c>
      <c r="CF3717">
        <v>1.1599999999999999</v>
      </c>
      <c r="CG3717">
        <v>0</v>
      </c>
      <c r="CH3717">
        <v>1.52</v>
      </c>
      <c r="CI3717">
        <v>0</v>
      </c>
      <c r="CJ3717">
        <v>-2.7</v>
      </c>
      <c r="CK3717">
        <v>73</v>
      </c>
      <c r="CL3717">
        <v>-1.1399999999999999</v>
      </c>
      <c r="CM3717">
        <v>71</v>
      </c>
      <c r="CN3717">
        <v>-0.65</v>
      </c>
      <c r="CO3717">
        <v>70</v>
      </c>
      <c r="CP3717">
        <v>-3.6</v>
      </c>
      <c r="CQ3717">
        <v>69</v>
      </c>
      <c r="CR3717">
        <v>0</v>
      </c>
      <c r="CS3717">
        <v>0</v>
      </c>
      <c r="CT3717">
        <v>2.7</v>
      </c>
      <c r="CU3717">
        <v>61</v>
      </c>
      <c r="CV3717">
        <v>0.24</v>
      </c>
      <c r="CW3717">
        <v>40</v>
      </c>
      <c r="CX3717" t="s">
        <v>1682</v>
      </c>
    </row>
    <row r="3718" spans="1:102" x14ac:dyDescent="0.3">
      <c r="A3718" t="str">
        <f>HYPERLINK("https://webapp.icbf.com/v2/app/bull-search/view/910793476","S1174")</f>
        <v>S1174</v>
      </c>
      <c r="B3718" t="s">
        <v>13009</v>
      </c>
      <c r="C3718" t="s">
        <v>13010</v>
      </c>
      <c r="D3718" s="1">
        <v>40026</v>
      </c>
      <c r="E3718" t="s">
        <v>92</v>
      </c>
      <c r="F3718">
        <v>100</v>
      </c>
      <c r="G3718" t="s">
        <v>109</v>
      </c>
      <c r="H3718">
        <v>-56.92</v>
      </c>
      <c r="I3718">
        <v>81</v>
      </c>
      <c r="J3718">
        <v>-5.27</v>
      </c>
      <c r="K3718">
        <v>94</v>
      </c>
      <c r="L3718">
        <v>-56.07</v>
      </c>
      <c r="M3718">
        <v>87</v>
      </c>
      <c r="N3718">
        <v>3.09</v>
      </c>
      <c r="O3718">
        <v>67</v>
      </c>
      <c r="P3718">
        <v>-2.87</v>
      </c>
      <c r="Q3718">
        <v>56</v>
      </c>
      <c r="R3718">
        <v>12.98</v>
      </c>
      <c r="S3718">
        <v>78</v>
      </c>
      <c r="T3718">
        <v>-14.74</v>
      </c>
      <c r="U3718">
        <v>51</v>
      </c>
      <c r="V3718">
        <v>5.96</v>
      </c>
      <c r="W3718">
        <v>65</v>
      </c>
      <c r="X3718" t="s">
        <v>288</v>
      </c>
      <c r="Y3718" t="s">
        <v>336</v>
      </c>
      <c r="Z3718" t="s">
        <v>96</v>
      </c>
      <c r="AA3718" t="s">
        <v>309</v>
      </c>
      <c r="AB3718" t="s">
        <v>13011</v>
      </c>
      <c r="AC3718">
        <v>0</v>
      </c>
      <c r="AD3718">
        <v>0</v>
      </c>
      <c r="AE3718">
        <v>94</v>
      </c>
      <c r="AF3718">
        <v>390.25</v>
      </c>
      <c r="AG3718">
        <v>3.24</v>
      </c>
      <c r="AH3718">
        <v>3.93</v>
      </c>
      <c r="AI3718">
        <v>-0.2</v>
      </c>
      <c r="AJ3718">
        <v>-0.15</v>
      </c>
      <c r="AK3718">
        <v>87</v>
      </c>
      <c r="AL3718">
        <v>0</v>
      </c>
      <c r="AM3718">
        <v>0</v>
      </c>
      <c r="AN3718">
        <v>2.42</v>
      </c>
      <c r="AO3718">
        <v>-2.06</v>
      </c>
      <c r="AP3718">
        <v>3</v>
      </c>
      <c r="AQ3718">
        <v>0</v>
      </c>
      <c r="AR3718">
        <v>9.94</v>
      </c>
      <c r="AS3718">
        <v>61</v>
      </c>
      <c r="AT3718">
        <v>4.0999999999999996</v>
      </c>
      <c r="AU3718">
        <v>91</v>
      </c>
      <c r="AV3718">
        <v>-2.42</v>
      </c>
      <c r="AW3718">
        <v>64</v>
      </c>
      <c r="AX3718">
        <v>0.18</v>
      </c>
      <c r="AY3718">
        <v>53</v>
      </c>
      <c r="AZ3718">
        <v>6.25</v>
      </c>
      <c r="BA3718">
        <v>52</v>
      </c>
      <c r="BB3718">
        <v>4.88</v>
      </c>
      <c r="BC3718">
        <v>51</v>
      </c>
      <c r="BD3718">
        <v>-0.02</v>
      </c>
      <c r="BE3718">
        <v>-0.05</v>
      </c>
      <c r="BF3718">
        <v>-0.17</v>
      </c>
      <c r="BG3718">
        <v>92</v>
      </c>
      <c r="BH3718">
        <v>0.03</v>
      </c>
      <c r="BI3718">
        <v>-15.77</v>
      </c>
      <c r="BJ3718">
        <v>5</v>
      </c>
      <c r="BK3718">
        <v>4</v>
      </c>
      <c r="BL3718">
        <v>3.04</v>
      </c>
      <c r="BM3718">
        <v>-1.24</v>
      </c>
      <c r="BN3718">
        <v>1.32</v>
      </c>
      <c r="BO3718">
        <v>1.73</v>
      </c>
      <c r="BP3718">
        <v>3.38</v>
      </c>
      <c r="BQ3718">
        <v>2.81</v>
      </c>
      <c r="BR3718">
        <v>-0.96</v>
      </c>
      <c r="BS3718">
        <v>1.87</v>
      </c>
      <c r="BT3718">
        <v>1.58</v>
      </c>
      <c r="BU3718">
        <v>2.99</v>
      </c>
      <c r="BV3718">
        <v>3.49</v>
      </c>
      <c r="BW3718">
        <v>3.52</v>
      </c>
      <c r="BX3718">
        <v>3.14</v>
      </c>
      <c r="BY3718">
        <v>1.81</v>
      </c>
      <c r="BZ3718">
        <v>2.85</v>
      </c>
      <c r="CA3718">
        <v>2.8</v>
      </c>
      <c r="CB3718">
        <v>2.69</v>
      </c>
      <c r="CC3718">
        <v>0.93</v>
      </c>
      <c r="CD3718">
        <v>-1.26</v>
      </c>
      <c r="CE3718">
        <v>1.75</v>
      </c>
      <c r="CF3718">
        <v>1.79</v>
      </c>
      <c r="CG3718">
        <v>0</v>
      </c>
      <c r="CH3718">
        <v>1.92</v>
      </c>
      <c r="CI3718">
        <v>0</v>
      </c>
      <c r="CJ3718">
        <v>2.6</v>
      </c>
      <c r="CK3718">
        <v>57</v>
      </c>
      <c r="CL3718">
        <v>-1.82</v>
      </c>
      <c r="CM3718">
        <v>55</v>
      </c>
      <c r="CN3718">
        <v>-0.95</v>
      </c>
      <c r="CO3718">
        <v>53</v>
      </c>
      <c r="CP3718">
        <v>8</v>
      </c>
      <c r="CQ3718">
        <v>55</v>
      </c>
      <c r="CR3718">
        <v>0</v>
      </c>
      <c r="CS3718">
        <v>0</v>
      </c>
      <c r="CT3718">
        <v>33.700000000000003</v>
      </c>
      <c r="CU3718">
        <v>51</v>
      </c>
      <c r="CV3718">
        <v>0.34</v>
      </c>
      <c r="CW3718">
        <v>37</v>
      </c>
      <c r="CX3718" t="s">
        <v>350</v>
      </c>
    </row>
    <row r="3719" spans="1:102" x14ac:dyDescent="0.3">
      <c r="A3719" t="str">
        <f>HYPERLINK("https://webapp.icbf.com/v2/app/bull-search/view/77856274","JBT")</f>
        <v>JBT</v>
      </c>
      <c r="B3719" t="s">
        <v>15532</v>
      </c>
      <c r="C3719" t="s">
        <v>15533</v>
      </c>
      <c r="D3719" s="1">
        <v>32041</v>
      </c>
      <c r="E3719" t="s">
        <v>92</v>
      </c>
      <c r="F3719">
        <v>100</v>
      </c>
      <c r="G3719" t="s">
        <v>93</v>
      </c>
      <c r="H3719">
        <v>-56.99</v>
      </c>
      <c r="I3719">
        <v>86</v>
      </c>
      <c r="J3719">
        <v>10.27</v>
      </c>
      <c r="K3719">
        <v>95</v>
      </c>
      <c r="L3719">
        <v>-66.239999999999995</v>
      </c>
      <c r="M3719">
        <v>88</v>
      </c>
      <c r="N3719">
        <v>2.42</v>
      </c>
      <c r="O3719">
        <v>70</v>
      </c>
      <c r="P3719">
        <v>-2.31</v>
      </c>
      <c r="Q3719">
        <v>87</v>
      </c>
      <c r="R3719">
        <v>-5.15</v>
      </c>
      <c r="S3719">
        <v>73</v>
      </c>
      <c r="T3719">
        <v>10.050000000000001</v>
      </c>
      <c r="U3719">
        <v>85</v>
      </c>
      <c r="V3719">
        <v>-6.03</v>
      </c>
      <c r="W3719">
        <v>36</v>
      </c>
      <c r="X3719" t="s">
        <v>276</v>
      </c>
      <c r="Y3719" t="s">
        <v>95</v>
      </c>
      <c r="Z3719" t="s">
        <v>96</v>
      </c>
      <c r="AA3719" t="s">
        <v>537</v>
      </c>
      <c r="AB3719" t="s">
        <v>15534</v>
      </c>
      <c r="AC3719">
        <v>99</v>
      </c>
      <c r="AD3719">
        <v>68</v>
      </c>
      <c r="AE3719">
        <v>95</v>
      </c>
      <c r="AF3719">
        <v>-88.67</v>
      </c>
      <c r="AG3719">
        <v>4.24</v>
      </c>
      <c r="AH3719">
        <v>-1.1100000000000001</v>
      </c>
      <c r="AI3719">
        <v>0.13</v>
      </c>
      <c r="AJ3719">
        <v>0.03</v>
      </c>
      <c r="AK3719">
        <v>88</v>
      </c>
      <c r="AL3719">
        <v>154</v>
      </c>
      <c r="AM3719">
        <v>83</v>
      </c>
      <c r="AN3719">
        <v>3.82</v>
      </c>
      <c r="AO3719">
        <v>-1.46</v>
      </c>
      <c r="AP3719">
        <v>2</v>
      </c>
      <c r="AQ3719">
        <v>0</v>
      </c>
      <c r="AR3719">
        <v>7.64</v>
      </c>
      <c r="AS3719">
        <v>37</v>
      </c>
      <c r="AT3719">
        <v>3.78</v>
      </c>
      <c r="AU3719">
        <v>79</v>
      </c>
      <c r="AV3719">
        <v>-0.43</v>
      </c>
      <c r="AW3719">
        <v>73</v>
      </c>
      <c r="AX3719">
        <v>-0.21</v>
      </c>
      <c r="AY3719">
        <v>84</v>
      </c>
      <c r="AZ3719">
        <v>5.23</v>
      </c>
      <c r="BA3719">
        <v>39</v>
      </c>
      <c r="BB3719">
        <v>4.37</v>
      </c>
      <c r="BC3719">
        <v>59</v>
      </c>
      <c r="BD3719">
        <v>-0.01</v>
      </c>
      <c r="BE3719">
        <v>0.05</v>
      </c>
      <c r="BF3719">
        <v>0.04</v>
      </c>
      <c r="BG3719">
        <v>93</v>
      </c>
      <c r="BH3719">
        <v>-0.08</v>
      </c>
      <c r="BI3719">
        <v>10.19</v>
      </c>
      <c r="BJ3719">
        <v>5</v>
      </c>
      <c r="BK3719">
        <v>4</v>
      </c>
      <c r="BL3719">
        <v>-0.88</v>
      </c>
      <c r="BM3719">
        <v>-0.57999999999999996</v>
      </c>
      <c r="BN3719">
        <v>-0.82</v>
      </c>
      <c r="BO3719">
        <v>-0.67</v>
      </c>
      <c r="BP3719">
        <v>0.95</v>
      </c>
      <c r="BQ3719">
        <v>-1.61</v>
      </c>
      <c r="BR3719">
        <v>-0.52</v>
      </c>
      <c r="BS3719">
        <v>0.84</v>
      </c>
      <c r="BT3719">
        <v>0.59</v>
      </c>
      <c r="BU3719">
        <v>-0.87</v>
      </c>
      <c r="BV3719">
        <v>-1.01</v>
      </c>
      <c r="BW3719">
        <v>-0.7</v>
      </c>
      <c r="BX3719">
        <v>-0.99</v>
      </c>
      <c r="BY3719">
        <v>-2.97</v>
      </c>
      <c r="BZ3719">
        <v>3.01</v>
      </c>
      <c r="CA3719">
        <v>-1.07</v>
      </c>
      <c r="CB3719">
        <v>-1.7</v>
      </c>
      <c r="CC3719">
        <v>0.61</v>
      </c>
      <c r="CD3719">
        <v>0.2</v>
      </c>
      <c r="CE3719">
        <v>-0.71</v>
      </c>
      <c r="CF3719">
        <v>-1.81</v>
      </c>
      <c r="CG3719">
        <v>0</v>
      </c>
      <c r="CH3719">
        <v>-0.71</v>
      </c>
      <c r="CI3719">
        <v>0</v>
      </c>
      <c r="CJ3719">
        <v>-0.9</v>
      </c>
      <c r="CK3719">
        <v>88</v>
      </c>
      <c r="CL3719">
        <v>-0.33</v>
      </c>
      <c r="CM3719">
        <v>86</v>
      </c>
      <c r="CN3719">
        <v>-0.23</v>
      </c>
      <c r="CO3719">
        <v>84</v>
      </c>
      <c r="CP3719">
        <v>-2.4</v>
      </c>
      <c r="CQ3719">
        <v>90</v>
      </c>
      <c r="CR3719">
        <v>0</v>
      </c>
      <c r="CS3719">
        <v>0</v>
      </c>
      <c r="CT3719">
        <v>0.2</v>
      </c>
      <c r="CU3719">
        <v>85</v>
      </c>
      <c r="CV3719">
        <v>0.04</v>
      </c>
      <c r="CW3719">
        <v>25</v>
      </c>
      <c r="CX3719" t="s">
        <v>707</v>
      </c>
    </row>
    <row r="3720" spans="1:102" x14ac:dyDescent="0.3">
      <c r="A3720" t="str">
        <f>HYPERLINK("https://webapp.icbf.com/v2/app/bull-search/view/108367895","KIO")</f>
        <v>KIO</v>
      </c>
      <c r="B3720" t="s">
        <v>11117</v>
      </c>
      <c r="C3720" t="s">
        <v>11118</v>
      </c>
      <c r="D3720" s="1">
        <v>36922</v>
      </c>
      <c r="E3720" t="s">
        <v>92</v>
      </c>
      <c r="F3720">
        <v>100</v>
      </c>
      <c r="G3720" t="s">
        <v>93</v>
      </c>
      <c r="H3720">
        <v>-57.09</v>
      </c>
      <c r="I3720">
        <v>85</v>
      </c>
      <c r="J3720">
        <v>39.659999999999997</v>
      </c>
      <c r="K3720">
        <v>96</v>
      </c>
      <c r="L3720">
        <v>-149.19</v>
      </c>
      <c r="M3720">
        <v>77</v>
      </c>
      <c r="N3720">
        <v>38.46</v>
      </c>
      <c r="O3720">
        <v>80</v>
      </c>
      <c r="P3720">
        <v>-8.23</v>
      </c>
      <c r="Q3720">
        <v>91</v>
      </c>
      <c r="R3720">
        <v>1.54</v>
      </c>
      <c r="S3720">
        <v>76</v>
      </c>
      <c r="T3720">
        <v>23.37</v>
      </c>
      <c r="U3720">
        <v>82</v>
      </c>
      <c r="V3720">
        <v>-2.7</v>
      </c>
      <c r="W3720">
        <v>67</v>
      </c>
      <c r="X3720" t="s">
        <v>94</v>
      </c>
      <c r="Y3720" t="s">
        <v>95</v>
      </c>
      <c r="Z3720" t="s">
        <v>96</v>
      </c>
      <c r="AA3720" t="s">
        <v>205</v>
      </c>
      <c r="AB3720" t="s">
        <v>11119</v>
      </c>
      <c r="AC3720">
        <v>61</v>
      </c>
      <c r="AD3720">
        <v>51</v>
      </c>
      <c r="AE3720">
        <v>96</v>
      </c>
      <c r="AF3720">
        <v>199.95</v>
      </c>
      <c r="AG3720">
        <v>14.29</v>
      </c>
      <c r="AH3720">
        <v>4.75</v>
      </c>
      <c r="AI3720">
        <v>0.11</v>
      </c>
      <c r="AJ3720">
        <v>-0.03</v>
      </c>
      <c r="AK3720">
        <v>77</v>
      </c>
      <c r="AL3720">
        <v>53</v>
      </c>
      <c r="AM3720">
        <v>44</v>
      </c>
      <c r="AN3720">
        <v>9.48</v>
      </c>
      <c r="AO3720">
        <v>-2.4</v>
      </c>
      <c r="AP3720">
        <v>105</v>
      </c>
      <c r="AQ3720">
        <v>0</v>
      </c>
      <c r="AR3720">
        <v>4.3899999999999997</v>
      </c>
      <c r="AS3720">
        <v>63</v>
      </c>
      <c r="AT3720">
        <v>1.76</v>
      </c>
      <c r="AU3720">
        <v>83</v>
      </c>
      <c r="AV3720">
        <v>-3.04</v>
      </c>
      <c r="AW3720">
        <v>93</v>
      </c>
      <c r="AX3720">
        <v>-0.09</v>
      </c>
      <c r="AY3720">
        <v>75</v>
      </c>
      <c r="AZ3720">
        <v>7.46</v>
      </c>
      <c r="BA3720">
        <v>54</v>
      </c>
      <c r="BB3720">
        <v>5.25</v>
      </c>
      <c r="BC3720">
        <v>59</v>
      </c>
      <c r="BD3720">
        <v>-0.05</v>
      </c>
      <c r="BE3720">
        <v>0.02</v>
      </c>
      <c r="BF3720">
        <v>0.01</v>
      </c>
      <c r="BG3720">
        <v>86</v>
      </c>
      <c r="BH3720">
        <v>-0.1</v>
      </c>
      <c r="BI3720">
        <v>-2.85</v>
      </c>
      <c r="BJ3720">
        <v>10</v>
      </c>
      <c r="BK3720">
        <v>7</v>
      </c>
      <c r="BL3720">
        <v>-1.38</v>
      </c>
      <c r="BM3720">
        <v>0.1</v>
      </c>
      <c r="BN3720">
        <v>-0.13</v>
      </c>
      <c r="BO3720">
        <v>-0.6</v>
      </c>
      <c r="BP3720">
        <v>-1.22</v>
      </c>
      <c r="BQ3720">
        <v>-1.39</v>
      </c>
      <c r="BR3720">
        <v>0.7</v>
      </c>
      <c r="BS3720">
        <v>-1.93</v>
      </c>
      <c r="BT3720">
        <v>-1.2</v>
      </c>
      <c r="BU3720">
        <v>0.25</v>
      </c>
      <c r="BV3720">
        <v>-0.25</v>
      </c>
      <c r="BW3720">
        <v>-1.06</v>
      </c>
      <c r="BX3720">
        <v>-0.45</v>
      </c>
      <c r="BY3720">
        <v>-0.91</v>
      </c>
      <c r="BZ3720">
        <v>-1.74</v>
      </c>
      <c r="CA3720">
        <v>-0.43</v>
      </c>
      <c r="CB3720">
        <v>0.02</v>
      </c>
      <c r="CC3720">
        <v>-1.65</v>
      </c>
      <c r="CD3720">
        <v>0.24</v>
      </c>
      <c r="CE3720">
        <v>-0.88</v>
      </c>
      <c r="CF3720">
        <v>-1.52</v>
      </c>
      <c r="CG3720">
        <v>0</v>
      </c>
      <c r="CH3720">
        <v>0.63</v>
      </c>
      <c r="CI3720">
        <v>0</v>
      </c>
      <c r="CJ3720">
        <v>-2.8</v>
      </c>
      <c r="CK3720">
        <v>92</v>
      </c>
      <c r="CL3720">
        <v>-0.48</v>
      </c>
      <c r="CM3720">
        <v>91</v>
      </c>
      <c r="CN3720">
        <v>-0.21</v>
      </c>
      <c r="CO3720">
        <v>89</v>
      </c>
      <c r="CP3720">
        <v>-12.5</v>
      </c>
      <c r="CQ3720">
        <v>87</v>
      </c>
      <c r="CR3720">
        <v>0</v>
      </c>
      <c r="CS3720">
        <v>0</v>
      </c>
      <c r="CT3720">
        <v>-17.8</v>
      </c>
      <c r="CU3720">
        <v>82</v>
      </c>
      <c r="CV3720">
        <v>0</v>
      </c>
      <c r="CW3720">
        <v>44</v>
      </c>
      <c r="CX3720" t="s">
        <v>174</v>
      </c>
    </row>
    <row r="3721" spans="1:102" x14ac:dyDescent="0.3">
      <c r="A3721" t="str">
        <f>HYPERLINK("https://webapp.icbf.com/v2/app/bull-search/view/77859517","BCB")</f>
        <v>BCB</v>
      </c>
      <c r="B3721" t="s">
        <v>11260</v>
      </c>
      <c r="C3721" t="s">
        <v>11261</v>
      </c>
      <c r="D3721" s="1">
        <v>34848</v>
      </c>
      <c r="E3721" t="s">
        <v>92</v>
      </c>
      <c r="F3721">
        <v>100</v>
      </c>
      <c r="G3721" t="s">
        <v>93</v>
      </c>
      <c r="H3721">
        <v>-57.11</v>
      </c>
      <c r="I3721">
        <v>85</v>
      </c>
      <c r="J3721">
        <v>14.3</v>
      </c>
      <c r="K3721">
        <v>96</v>
      </c>
      <c r="L3721">
        <v>-91.5</v>
      </c>
      <c r="M3721">
        <v>80</v>
      </c>
      <c r="N3721">
        <v>22.7</v>
      </c>
      <c r="O3721">
        <v>75</v>
      </c>
      <c r="P3721">
        <v>-17.100000000000001</v>
      </c>
      <c r="Q3721">
        <v>83</v>
      </c>
      <c r="R3721">
        <v>-4.67</v>
      </c>
      <c r="S3721">
        <v>80</v>
      </c>
      <c r="T3721">
        <v>14.57</v>
      </c>
      <c r="U3721">
        <v>86</v>
      </c>
      <c r="V3721">
        <v>4.59</v>
      </c>
      <c r="W3721">
        <v>68</v>
      </c>
      <c r="X3721" t="s">
        <v>94</v>
      </c>
      <c r="Y3721" t="s">
        <v>95</v>
      </c>
      <c r="Z3721" t="s">
        <v>96</v>
      </c>
      <c r="AA3721" t="s">
        <v>4070</v>
      </c>
      <c r="AB3721" t="s">
        <v>2752</v>
      </c>
      <c r="AC3721">
        <v>95</v>
      </c>
      <c r="AD3721">
        <v>86</v>
      </c>
      <c r="AE3721">
        <v>96</v>
      </c>
      <c r="AF3721">
        <v>419.37</v>
      </c>
      <c r="AG3721">
        <v>1.84</v>
      </c>
      <c r="AH3721">
        <v>8.1999999999999993</v>
      </c>
      <c r="AI3721">
        <v>-0.24</v>
      </c>
      <c r="AJ3721">
        <v>-0.1</v>
      </c>
      <c r="AK3721">
        <v>80</v>
      </c>
      <c r="AL3721">
        <v>98</v>
      </c>
      <c r="AM3721">
        <v>87</v>
      </c>
      <c r="AN3721">
        <v>4.78</v>
      </c>
      <c r="AO3721">
        <v>-2.52</v>
      </c>
      <c r="AP3721">
        <v>8</v>
      </c>
      <c r="AQ3721">
        <v>1</v>
      </c>
      <c r="AR3721">
        <v>7.16</v>
      </c>
      <c r="AS3721">
        <v>62</v>
      </c>
      <c r="AT3721">
        <v>3.19</v>
      </c>
      <c r="AU3721">
        <v>78</v>
      </c>
      <c r="AV3721">
        <v>-2.2799999999999998</v>
      </c>
      <c r="AW3721">
        <v>78</v>
      </c>
      <c r="AX3721">
        <v>-0.71</v>
      </c>
      <c r="AY3721">
        <v>80</v>
      </c>
      <c r="AZ3721">
        <v>5.55</v>
      </c>
      <c r="BA3721">
        <v>55</v>
      </c>
      <c r="BB3721">
        <v>4.82</v>
      </c>
      <c r="BC3721">
        <v>68</v>
      </c>
      <c r="BD3721">
        <v>0.02</v>
      </c>
      <c r="BE3721">
        <v>0.06</v>
      </c>
      <c r="BF3721">
        <v>-0.04</v>
      </c>
      <c r="BG3721">
        <v>90</v>
      </c>
      <c r="BH3721">
        <v>0.17</v>
      </c>
      <c r="BI3721">
        <v>4.87</v>
      </c>
      <c r="BJ3721">
        <v>3</v>
      </c>
      <c r="BK3721">
        <v>2</v>
      </c>
      <c r="BL3721">
        <v>1.1100000000000001</v>
      </c>
      <c r="BM3721">
        <v>-0.35</v>
      </c>
      <c r="BN3721">
        <v>0.52</v>
      </c>
      <c r="BO3721">
        <v>0.59</v>
      </c>
      <c r="BP3721">
        <v>-2.4300000000000002</v>
      </c>
      <c r="BQ3721">
        <v>-0.23</v>
      </c>
      <c r="BR3721">
        <v>-1.99</v>
      </c>
      <c r="BS3721">
        <v>0.75</v>
      </c>
      <c r="BT3721">
        <v>2.85</v>
      </c>
      <c r="BU3721">
        <v>0.1</v>
      </c>
      <c r="BV3721">
        <v>0.72</v>
      </c>
      <c r="BW3721">
        <v>1.63</v>
      </c>
      <c r="BX3721">
        <v>0.22</v>
      </c>
      <c r="BY3721">
        <v>0.95</v>
      </c>
      <c r="BZ3721">
        <v>2.85</v>
      </c>
      <c r="CA3721">
        <v>1.08</v>
      </c>
      <c r="CB3721">
        <v>0.41</v>
      </c>
      <c r="CC3721">
        <v>1.47</v>
      </c>
      <c r="CD3721">
        <v>-0.79</v>
      </c>
      <c r="CE3721">
        <v>1.01</v>
      </c>
      <c r="CF3721">
        <v>1.88</v>
      </c>
      <c r="CG3721">
        <v>0</v>
      </c>
      <c r="CH3721">
        <v>-0.11</v>
      </c>
      <c r="CI3721">
        <v>0</v>
      </c>
      <c r="CJ3721">
        <v>-8.5</v>
      </c>
      <c r="CK3721">
        <v>84</v>
      </c>
      <c r="CL3721">
        <v>-0.76</v>
      </c>
      <c r="CM3721">
        <v>82</v>
      </c>
      <c r="CN3721">
        <v>-0.32</v>
      </c>
      <c r="CO3721">
        <v>79</v>
      </c>
      <c r="CP3721">
        <v>-8.5</v>
      </c>
      <c r="CQ3721">
        <v>88</v>
      </c>
      <c r="CR3721">
        <v>0</v>
      </c>
      <c r="CS3721">
        <v>0</v>
      </c>
      <c r="CT3721">
        <v>-5.9</v>
      </c>
      <c r="CU3721">
        <v>86</v>
      </c>
      <c r="CV3721">
        <v>0.01</v>
      </c>
      <c r="CW3721">
        <v>42</v>
      </c>
      <c r="CX3721" t="s">
        <v>118</v>
      </c>
    </row>
    <row r="3722" spans="1:102" x14ac:dyDescent="0.3">
      <c r="A3722" t="str">
        <f>HYPERLINK("https://webapp.icbf.com/v2/app/bull-search/view/77856997","HLS")</f>
        <v>HLS</v>
      </c>
      <c r="B3722" t="s">
        <v>668</v>
      </c>
      <c r="C3722" t="s">
        <v>669</v>
      </c>
      <c r="D3722" s="1">
        <v>34384</v>
      </c>
      <c r="E3722" t="s">
        <v>92</v>
      </c>
      <c r="F3722">
        <v>97</v>
      </c>
      <c r="G3722" t="s">
        <v>93</v>
      </c>
      <c r="H3722">
        <v>-57.3</v>
      </c>
      <c r="I3722">
        <v>73</v>
      </c>
      <c r="J3722">
        <v>-12.92</v>
      </c>
      <c r="K3722">
        <v>92</v>
      </c>
      <c r="L3722">
        <v>-51.01</v>
      </c>
      <c r="M3722">
        <v>63</v>
      </c>
      <c r="N3722">
        <v>16.21</v>
      </c>
      <c r="O3722">
        <v>56</v>
      </c>
      <c r="P3722">
        <v>-6.47</v>
      </c>
      <c r="Q3722">
        <v>76</v>
      </c>
      <c r="R3722">
        <v>-8.73</v>
      </c>
      <c r="S3722">
        <v>65</v>
      </c>
      <c r="T3722">
        <v>9.76</v>
      </c>
      <c r="U3722">
        <v>83</v>
      </c>
      <c r="V3722">
        <v>-4.1399999999999997</v>
      </c>
      <c r="W3722">
        <v>31</v>
      </c>
      <c r="X3722" t="s">
        <v>94</v>
      </c>
      <c r="Y3722" t="s">
        <v>95</v>
      </c>
      <c r="Z3722" t="s">
        <v>96</v>
      </c>
      <c r="AA3722" t="s">
        <v>612</v>
      </c>
      <c r="AB3722" t="s">
        <v>670</v>
      </c>
      <c r="AC3722">
        <v>60</v>
      </c>
      <c r="AD3722">
        <v>45</v>
      </c>
      <c r="AE3722">
        <v>92</v>
      </c>
      <c r="AF3722">
        <v>84.28</v>
      </c>
      <c r="AG3722">
        <v>-7.91</v>
      </c>
      <c r="AH3722">
        <v>1.89</v>
      </c>
      <c r="AI3722">
        <v>-0.18</v>
      </c>
      <c r="AJ3722">
        <v>-0.02</v>
      </c>
      <c r="AK3722">
        <v>63</v>
      </c>
      <c r="AL3722">
        <v>85</v>
      </c>
      <c r="AM3722">
        <v>62</v>
      </c>
      <c r="AN3722">
        <v>1.05</v>
      </c>
      <c r="AO3722">
        <v>-3.04</v>
      </c>
      <c r="AP3722">
        <v>4</v>
      </c>
      <c r="AQ3722">
        <v>0</v>
      </c>
      <c r="AR3722">
        <v>5.98</v>
      </c>
      <c r="AS3722">
        <v>37</v>
      </c>
      <c r="AT3722">
        <v>2.52</v>
      </c>
      <c r="AU3722">
        <v>50</v>
      </c>
      <c r="AV3722">
        <v>-0.38</v>
      </c>
      <c r="AW3722">
        <v>62</v>
      </c>
      <c r="AX3722">
        <v>-0.56999999999999995</v>
      </c>
      <c r="AY3722">
        <v>74</v>
      </c>
      <c r="AZ3722">
        <v>5.71</v>
      </c>
      <c r="BA3722">
        <v>36</v>
      </c>
      <c r="BB3722">
        <v>4.5999999999999996</v>
      </c>
      <c r="BC3722">
        <v>48</v>
      </c>
      <c r="BD3722">
        <v>0.01</v>
      </c>
      <c r="BE3722">
        <v>0.06</v>
      </c>
      <c r="BF3722">
        <v>7.0000000000000007E-2</v>
      </c>
      <c r="BG3722">
        <v>82</v>
      </c>
      <c r="BH3722">
        <v>0.06</v>
      </c>
      <c r="BI3722">
        <v>20.28</v>
      </c>
      <c r="BJ3722">
        <v>15</v>
      </c>
      <c r="BK3722">
        <v>14</v>
      </c>
      <c r="BL3722">
        <v>0.22</v>
      </c>
      <c r="BM3722">
        <v>0.47</v>
      </c>
      <c r="BN3722">
        <v>0.61</v>
      </c>
      <c r="BO3722">
        <v>0.13</v>
      </c>
      <c r="BP3722">
        <v>0.68</v>
      </c>
      <c r="BQ3722">
        <v>0.03</v>
      </c>
      <c r="BR3722">
        <v>1.18</v>
      </c>
      <c r="BS3722">
        <v>-0.6</v>
      </c>
      <c r="BT3722">
        <v>-0.49</v>
      </c>
      <c r="BU3722">
        <v>-0.5</v>
      </c>
      <c r="BV3722">
        <v>-0.23</v>
      </c>
      <c r="BW3722">
        <v>-0.64</v>
      </c>
      <c r="BX3722">
        <v>-1.34</v>
      </c>
      <c r="BY3722">
        <v>-0.9</v>
      </c>
      <c r="BZ3722">
        <v>1.7</v>
      </c>
      <c r="CA3722">
        <v>-0.37</v>
      </c>
      <c r="CB3722">
        <v>-0.15</v>
      </c>
      <c r="CC3722">
        <v>-0.45</v>
      </c>
      <c r="CD3722">
        <v>7.0000000000000007E-2</v>
      </c>
      <c r="CE3722">
        <v>-0.09</v>
      </c>
      <c r="CF3722">
        <v>0.38</v>
      </c>
      <c r="CG3722">
        <v>0</v>
      </c>
      <c r="CH3722">
        <v>-0.28999999999999998</v>
      </c>
      <c r="CI3722">
        <v>0</v>
      </c>
      <c r="CJ3722">
        <v>-2.7</v>
      </c>
      <c r="CK3722">
        <v>78</v>
      </c>
      <c r="CL3722">
        <v>-0.4</v>
      </c>
      <c r="CM3722">
        <v>74</v>
      </c>
      <c r="CN3722">
        <v>-0.24</v>
      </c>
      <c r="CO3722">
        <v>70</v>
      </c>
      <c r="CP3722">
        <v>-9.5</v>
      </c>
      <c r="CQ3722">
        <v>83</v>
      </c>
      <c r="CR3722">
        <v>0</v>
      </c>
      <c r="CS3722">
        <v>0</v>
      </c>
      <c r="CT3722">
        <v>0.6</v>
      </c>
      <c r="CU3722">
        <v>83</v>
      </c>
      <c r="CV3722">
        <v>0.06</v>
      </c>
      <c r="CW3722">
        <v>22</v>
      </c>
      <c r="CX3722" t="s">
        <v>539</v>
      </c>
    </row>
    <row r="3723" spans="1:102" x14ac:dyDescent="0.3">
      <c r="A3723" t="str">
        <f>HYPERLINK("https://webapp.icbf.com/v2/app/bull-search/view/660028767","CYK")</f>
        <v>CYK</v>
      </c>
      <c r="B3723" t="s">
        <v>12667</v>
      </c>
      <c r="C3723" t="s">
        <v>12668</v>
      </c>
      <c r="D3723" s="1">
        <v>38419</v>
      </c>
      <c r="E3723" t="s">
        <v>92</v>
      </c>
      <c r="F3723">
        <v>100</v>
      </c>
      <c r="G3723" t="s">
        <v>109</v>
      </c>
      <c r="H3723">
        <v>-57.36</v>
      </c>
      <c r="I3723">
        <v>67</v>
      </c>
      <c r="J3723">
        <v>-2.35</v>
      </c>
      <c r="K3723">
        <v>81</v>
      </c>
      <c r="L3723">
        <v>-80.16</v>
      </c>
      <c r="M3723">
        <v>73</v>
      </c>
      <c r="N3723">
        <v>24.81</v>
      </c>
      <c r="O3723">
        <v>50</v>
      </c>
      <c r="P3723">
        <v>-19.100000000000001</v>
      </c>
      <c r="Q3723">
        <v>50</v>
      </c>
      <c r="R3723">
        <v>4.76</v>
      </c>
      <c r="S3723">
        <v>58</v>
      </c>
      <c r="T3723">
        <v>15.75</v>
      </c>
      <c r="U3723">
        <v>45</v>
      </c>
      <c r="V3723">
        <v>-1.07</v>
      </c>
      <c r="W3723">
        <v>26</v>
      </c>
      <c r="X3723" t="s">
        <v>94</v>
      </c>
      <c r="Y3723" t="s">
        <v>282</v>
      </c>
      <c r="Z3723" t="s">
        <v>96</v>
      </c>
      <c r="AA3723" t="s">
        <v>476</v>
      </c>
      <c r="AB3723" t="s">
        <v>12669</v>
      </c>
      <c r="AC3723">
        <v>0</v>
      </c>
      <c r="AD3723">
        <v>0</v>
      </c>
      <c r="AE3723">
        <v>81</v>
      </c>
      <c r="AF3723">
        <v>230.6</v>
      </c>
      <c r="AG3723">
        <v>-3.11</v>
      </c>
      <c r="AH3723">
        <v>4.2300000000000004</v>
      </c>
      <c r="AI3723">
        <v>-0.19</v>
      </c>
      <c r="AJ3723">
        <v>-0.06</v>
      </c>
      <c r="AK3723">
        <v>73</v>
      </c>
      <c r="AL3723">
        <v>0</v>
      </c>
      <c r="AM3723">
        <v>0</v>
      </c>
      <c r="AN3723">
        <v>4.55</v>
      </c>
      <c r="AO3723">
        <v>-1.84</v>
      </c>
      <c r="AP3723">
        <v>4</v>
      </c>
      <c r="AQ3723">
        <v>0</v>
      </c>
      <c r="AR3723">
        <v>5.3</v>
      </c>
      <c r="AS3723">
        <v>28</v>
      </c>
      <c r="AT3723">
        <v>2.8</v>
      </c>
      <c r="AU3723">
        <v>85</v>
      </c>
      <c r="AV3723">
        <v>-2.3199999999999998</v>
      </c>
      <c r="AW3723">
        <v>48</v>
      </c>
      <c r="AX3723">
        <v>0.14000000000000001</v>
      </c>
      <c r="AY3723">
        <v>35</v>
      </c>
      <c r="AZ3723">
        <v>6.68</v>
      </c>
      <c r="BA3723">
        <v>25</v>
      </c>
      <c r="BB3723">
        <v>5.21</v>
      </c>
      <c r="BC3723">
        <v>24</v>
      </c>
      <c r="BD3723">
        <v>-0.02</v>
      </c>
      <c r="BE3723">
        <v>-0.04</v>
      </c>
      <c r="BF3723">
        <v>0</v>
      </c>
      <c r="BG3723">
        <v>85</v>
      </c>
      <c r="BH3723">
        <v>-0.12</v>
      </c>
      <c r="BI3723">
        <v>-10.44</v>
      </c>
      <c r="BJ3723">
        <v>0</v>
      </c>
      <c r="BK3723">
        <v>0</v>
      </c>
      <c r="BL3723">
        <v>1.37</v>
      </c>
      <c r="BM3723">
        <v>-1.46</v>
      </c>
      <c r="BN3723">
        <v>0.56999999999999995</v>
      </c>
      <c r="BO3723">
        <v>1.21</v>
      </c>
      <c r="BP3723">
        <v>0.75</v>
      </c>
      <c r="BQ3723">
        <v>0.64</v>
      </c>
      <c r="BR3723">
        <v>-1.21</v>
      </c>
      <c r="BS3723">
        <v>1.08</v>
      </c>
      <c r="BT3723">
        <v>1.43</v>
      </c>
      <c r="BU3723">
        <v>1.55</v>
      </c>
      <c r="BV3723">
        <v>2.33</v>
      </c>
      <c r="BW3723">
        <v>2.6</v>
      </c>
      <c r="BX3723">
        <v>1.35</v>
      </c>
      <c r="BY3723">
        <v>1.91</v>
      </c>
      <c r="BZ3723">
        <v>-1.83</v>
      </c>
      <c r="CA3723">
        <v>1.99</v>
      </c>
      <c r="CB3723">
        <v>2.06</v>
      </c>
      <c r="CC3723">
        <v>0.97</v>
      </c>
      <c r="CD3723">
        <v>-1.1299999999999999</v>
      </c>
      <c r="CE3723">
        <v>0</v>
      </c>
      <c r="CF3723">
        <v>0</v>
      </c>
      <c r="CG3723">
        <v>0</v>
      </c>
      <c r="CH3723">
        <v>0</v>
      </c>
      <c r="CI3723">
        <v>0</v>
      </c>
      <c r="CJ3723">
        <v>-7.2</v>
      </c>
      <c r="CK3723">
        <v>52</v>
      </c>
      <c r="CL3723">
        <v>-1.19</v>
      </c>
      <c r="CM3723">
        <v>48</v>
      </c>
      <c r="CN3723">
        <v>-0.36</v>
      </c>
      <c r="CO3723">
        <v>45</v>
      </c>
      <c r="CP3723">
        <v>-7.3</v>
      </c>
      <c r="CQ3723">
        <v>47</v>
      </c>
      <c r="CR3723">
        <v>0</v>
      </c>
      <c r="CS3723">
        <v>0</v>
      </c>
      <c r="CT3723">
        <v>-7.5</v>
      </c>
      <c r="CU3723">
        <v>45</v>
      </c>
      <c r="CV3723">
        <v>0.26</v>
      </c>
      <c r="CW3723">
        <v>13</v>
      </c>
      <c r="CX3723" t="s">
        <v>289</v>
      </c>
    </row>
    <row r="3724" spans="1:102" x14ac:dyDescent="0.3">
      <c r="A3724" t="str">
        <f>HYPERLINK("https://webapp.icbf.com/v2/app/bull-search/view/77856523","HPM")</f>
        <v>HPM</v>
      </c>
      <c r="B3724" t="s">
        <v>10362</v>
      </c>
      <c r="C3724" t="s">
        <v>3915</v>
      </c>
      <c r="D3724" s="1">
        <v>33235</v>
      </c>
      <c r="E3724" t="s">
        <v>92</v>
      </c>
      <c r="F3724">
        <v>100</v>
      </c>
      <c r="G3724" t="s">
        <v>93</v>
      </c>
      <c r="H3724">
        <v>-57.48</v>
      </c>
      <c r="I3724">
        <v>97</v>
      </c>
      <c r="J3724">
        <v>10.69</v>
      </c>
      <c r="K3724">
        <v>99</v>
      </c>
      <c r="L3724">
        <v>-70.39</v>
      </c>
      <c r="M3724">
        <v>95</v>
      </c>
      <c r="N3724">
        <v>6.25</v>
      </c>
      <c r="O3724">
        <v>97</v>
      </c>
      <c r="P3724">
        <v>-8.7799999999999994</v>
      </c>
      <c r="Q3724">
        <v>99</v>
      </c>
      <c r="R3724">
        <v>-10.38</v>
      </c>
      <c r="S3724">
        <v>94</v>
      </c>
      <c r="T3724">
        <v>11.75</v>
      </c>
      <c r="U3724">
        <v>98</v>
      </c>
      <c r="V3724">
        <v>3.38</v>
      </c>
      <c r="W3724">
        <v>92</v>
      </c>
      <c r="X3724" t="s">
        <v>276</v>
      </c>
      <c r="Y3724" t="s">
        <v>95</v>
      </c>
      <c r="Z3724" t="s">
        <v>96</v>
      </c>
      <c r="AA3724" t="s">
        <v>111</v>
      </c>
      <c r="AB3724" t="s">
        <v>10363</v>
      </c>
      <c r="AC3724">
        <v>1718</v>
      </c>
      <c r="AD3724">
        <v>741</v>
      </c>
      <c r="AE3724">
        <v>99</v>
      </c>
      <c r="AF3724">
        <v>133.22</v>
      </c>
      <c r="AG3724">
        <v>1.8</v>
      </c>
      <c r="AH3724">
        <v>3.22</v>
      </c>
      <c r="AI3724">
        <v>-0.06</v>
      </c>
      <c r="AJ3724">
        <v>-0.02</v>
      </c>
      <c r="AK3724">
        <v>95</v>
      </c>
      <c r="AL3724">
        <v>1612</v>
      </c>
      <c r="AM3724">
        <v>669</v>
      </c>
      <c r="AN3724">
        <v>4.09</v>
      </c>
      <c r="AO3724">
        <v>-1.52</v>
      </c>
      <c r="AP3724">
        <v>63</v>
      </c>
      <c r="AQ3724">
        <v>0</v>
      </c>
      <c r="AR3724">
        <v>5.74</v>
      </c>
      <c r="AS3724">
        <v>94</v>
      </c>
      <c r="AT3724">
        <v>2.92</v>
      </c>
      <c r="AU3724">
        <v>98</v>
      </c>
      <c r="AV3724">
        <v>-0.99</v>
      </c>
      <c r="AW3724">
        <v>98</v>
      </c>
      <c r="AX3724">
        <v>-0.51</v>
      </c>
      <c r="AY3724">
        <v>98</v>
      </c>
      <c r="AZ3724">
        <v>9.24</v>
      </c>
      <c r="BA3724">
        <v>94</v>
      </c>
      <c r="BB3724">
        <v>5.85</v>
      </c>
      <c r="BC3724">
        <v>96</v>
      </c>
      <c r="BD3724">
        <v>7.0000000000000007E-2</v>
      </c>
      <c r="BE3724">
        <v>0.08</v>
      </c>
      <c r="BF3724">
        <v>-0.03</v>
      </c>
      <c r="BG3724">
        <v>99</v>
      </c>
      <c r="BH3724">
        <v>0.09</v>
      </c>
      <c r="BI3724">
        <v>-0.49</v>
      </c>
      <c r="BJ3724">
        <v>290</v>
      </c>
      <c r="BK3724">
        <v>137</v>
      </c>
      <c r="BL3724">
        <v>0.23</v>
      </c>
      <c r="BM3724">
        <v>-0.86</v>
      </c>
      <c r="BN3724">
        <v>0.81</v>
      </c>
      <c r="BO3724">
        <v>1.1100000000000001</v>
      </c>
      <c r="BP3724">
        <v>1.69</v>
      </c>
      <c r="BQ3724">
        <v>-1.43</v>
      </c>
      <c r="BR3724">
        <v>0.2</v>
      </c>
      <c r="BS3724">
        <v>1.25</v>
      </c>
      <c r="BT3724">
        <v>0.14000000000000001</v>
      </c>
      <c r="BU3724">
        <v>0.67</v>
      </c>
      <c r="BV3724">
        <v>0.25</v>
      </c>
      <c r="BW3724">
        <v>1.27</v>
      </c>
      <c r="BX3724">
        <v>0.23</v>
      </c>
      <c r="BY3724">
        <v>-0.33</v>
      </c>
      <c r="BZ3724">
        <v>-1.62</v>
      </c>
      <c r="CA3724">
        <v>1.22</v>
      </c>
      <c r="CB3724">
        <v>0.89</v>
      </c>
      <c r="CC3724">
        <v>1.64</v>
      </c>
      <c r="CD3724">
        <v>-1.19</v>
      </c>
      <c r="CE3724">
        <v>1.1200000000000001</v>
      </c>
      <c r="CF3724">
        <v>0.48</v>
      </c>
      <c r="CG3724">
        <v>0</v>
      </c>
      <c r="CH3724">
        <v>-0.39</v>
      </c>
      <c r="CI3724">
        <v>0</v>
      </c>
      <c r="CJ3724">
        <v>-1.9</v>
      </c>
      <c r="CK3724">
        <v>99</v>
      </c>
      <c r="CL3724">
        <v>-0.69</v>
      </c>
      <c r="CM3724">
        <v>99</v>
      </c>
      <c r="CN3724">
        <v>-0.19</v>
      </c>
      <c r="CO3724">
        <v>98</v>
      </c>
      <c r="CP3724">
        <v>-8.4</v>
      </c>
      <c r="CQ3724">
        <v>99</v>
      </c>
      <c r="CR3724">
        <v>0</v>
      </c>
      <c r="CS3724">
        <v>0</v>
      </c>
      <c r="CT3724">
        <v>-2.1</v>
      </c>
      <c r="CU3724">
        <v>98</v>
      </c>
      <c r="CV3724">
        <v>0.14000000000000001</v>
      </c>
      <c r="CW3724">
        <v>46</v>
      </c>
      <c r="CX3724" t="s">
        <v>168</v>
      </c>
    </row>
    <row r="3725" spans="1:102" x14ac:dyDescent="0.3">
      <c r="A3725" t="str">
        <f>HYPERLINK("https://webapp.icbf.com/v2/app/bull-search/view/974313148","S1347")</f>
        <v>S1347</v>
      </c>
      <c r="B3725" t="s">
        <v>144</v>
      </c>
      <c r="C3725" t="s">
        <v>9150</v>
      </c>
      <c r="D3725" s="1">
        <v>38631</v>
      </c>
      <c r="E3725" t="s">
        <v>895</v>
      </c>
      <c r="F3725">
        <v>0</v>
      </c>
      <c r="G3725" t="s">
        <v>435</v>
      </c>
      <c r="H3725">
        <v>-57.51</v>
      </c>
      <c r="I3725">
        <v>30</v>
      </c>
      <c r="J3725">
        <v>-69.3</v>
      </c>
      <c r="K3725">
        <v>38</v>
      </c>
      <c r="L3725">
        <v>9.07</v>
      </c>
      <c r="M3725">
        <v>9</v>
      </c>
      <c r="N3725">
        <v>-17.2</v>
      </c>
      <c r="O3725">
        <v>50</v>
      </c>
      <c r="P3725">
        <v>5.21</v>
      </c>
      <c r="Q3725">
        <v>64</v>
      </c>
      <c r="R3725">
        <v>2.17</v>
      </c>
      <c r="S3725">
        <v>10</v>
      </c>
      <c r="T3725">
        <v>17.010000000000002</v>
      </c>
      <c r="U3725">
        <v>50</v>
      </c>
      <c r="V3725">
        <v>-4.47</v>
      </c>
      <c r="W3725">
        <v>10</v>
      </c>
      <c r="X3725" t="s">
        <v>94</v>
      </c>
      <c r="Y3725" t="s">
        <v>342</v>
      </c>
      <c r="Z3725">
        <v>0</v>
      </c>
      <c r="AA3725" t="s">
        <v>9151</v>
      </c>
      <c r="AB3725" t="s">
        <v>9152</v>
      </c>
      <c r="AC3725">
        <v>3</v>
      </c>
      <c r="AD3725">
        <v>2</v>
      </c>
      <c r="AE3725">
        <v>38</v>
      </c>
      <c r="AF3725">
        <v>-423.46</v>
      </c>
      <c r="AG3725">
        <v>-17.829999999999998</v>
      </c>
      <c r="AH3725">
        <v>-11.96</v>
      </c>
      <c r="AI3725">
        <v>-0.02</v>
      </c>
      <c r="AJ3725">
        <v>0.05</v>
      </c>
      <c r="AK3725">
        <v>9</v>
      </c>
      <c r="AL3725">
        <v>4</v>
      </c>
      <c r="AM3725">
        <v>4</v>
      </c>
      <c r="AN3725">
        <v>0.78</v>
      </c>
      <c r="AO3725">
        <v>1.52</v>
      </c>
      <c r="AP3725">
        <v>17</v>
      </c>
      <c r="AQ3725">
        <v>0</v>
      </c>
      <c r="AR3725">
        <v>9.0500000000000007</v>
      </c>
      <c r="AS3725">
        <v>25</v>
      </c>
      <c r="AT3725">
        <v>3.35</v>
      </c>
      <c r="AU3725">
        <v>49</v>
      </c>
      <c r="AV3725">
        <v>1.97</v>
      </c>
      <c r="AW3725">
        <v>69</v>
      </c>
      <c r="AX3725">
        <v>0.54</v>
      </c>
      <c r="AY3725">
        <v>41</v>
      </c>
      <c r="AZ3725">
        <v>5.46</v>
      </c>
      <c r="BA3725">
        <v>19</v>
      </c>
      <c r="BB3725">
        <v>4.0199999999999996</v>
      </c>
      <c r="BC3725">
        <v>21</v>
      </c>
      <c r="BD3725">
        <v>0</v>
      </c>
      <c r="BE3725">
        <v>0</v>
      </c>
      <c r="BF3725">
        <v>-0.05</v>
      </c>
      <c r="BG3725">
        <v>12</v>
      </c>
      <c r="BH3725">
        <v>-7.0000000000000007E-2</v>
      </c>
      <c r="BI3725">
        <v>6.31</v>
      </c>
      <c r="BJ3725">
        <v>0</v>
      </c>
      <c r="BK3725">
        <v>0</v>
      </c>
      <c r="BL3725">
        <v>0</v>
      </c>
      <c r="BM3725">
        <v>0</v>
      </c>
      <c r="BN3725">
        <v>0</v>
      </c>
      <c r="BO3725">
        <v>0</v>
      </c>
      <c r="BP3725">
        <v>0</v>
      </c>
      <c r="BQ3725">
        <v>0</v>
      </c>
      <c r="BR3725">
        <v>0</v>
      </c>
      <c r="BS3725">
        <v>0</v>
      </c>
      <c r="BT3725">
        <v>0</v>
      </c>
      <c r="BU3725">
        <v>0</v>
      </c>
      <c r="BV3725">
        <v>0</v>
      </c>
      <c r="BW3725">
        <v>0</v>
      </c>
      <c r="BX3725">
        <v>0</v>
      </c>
      <c r="BY3725">
        <v>0</v>
      </c>
      <c r="BZ3725">
        <v>0</v>
      </c>
      <c r="CA3725">
        <v>0</v>
      </c>
      <c r="CB3725">
        <v>0</v>
      </c>
      <c r="CC3725">
        <v>0</v>
      </c>
      <c r="CD3725">
        <v>0</v>
      </c>
      <c r="CE3725">
        <v>0</v>
      </c>
      <c r="CF3725">
        <v>0</v>
      </c>
      <c r="CG3725">
        <v>0</v>
      </c>
      <c r="CH3725">
        <v>0</v>
      </c>
      <c r="CI3725">
        <v>0</v>
      </c>
      <c r="CJ3725">
        <v>3.3</v>
      </c>
      <c r="CK3725">
        <v>67</v>
      </c>
      <c r="CL3725">
        <v>-0.04</v>
      </c>
      <c r="CM3725">
        <v>63</v>
      </c>
      <c r="CN3725">
        <v>-0.19</v>
      </c>
      <c r="CO3725">
        <v>60</v>
      </c>
      <c r="CP3725">
        <v>-7.7</v>
      </c>
      <c r="CQ3725">
        <v>50</v>
      </c>
      <c r="CR3725">
        <v>0</v>
      </c>
      <c r="CS3725">
        <v>0</v>
      </c>
      <c r="CT3725">
        <v>-9.1999999999999993</v>
      </c>
      <c r="CU3725">
        <v>50</v>
      </c>
      <c r="CV3725">
        <v>0.04</v>
      </c>
      <c r="CW3725">
        <v>38</v>
      </c>
      <c r="CX3725" t="s">
        <v>1286</v>
      </c>
    </row>
    <row r="3726" spans="1:102" x14ac:dyDescent="0.3">
      <c r="A3726" t="str">
        <f>HYPERLINK("https://webapp.icbf.com/v2/app/bull-search/view/77855857","LNG")</f>
        <v>LNG</v>
      </c>
      <c r="B3726" t="s">
        <v>12166</v>
      </c>
      <c r="C3726" t="s">
        <v>12167</v>
      </c>
      <c r="D3726" s="1">
        <v>34409</v>
      </c>
      <c r="E3726" t="s">
        <v>92</v>
      </c>
      <c r="F3726">
        <v>100</v>
      </c>
      <c r="G3726" t="s">
        <v>93</v>
      </c>
      <c r="H3726">
        <v>-57.55</v>
      </c>
      <c r="I3726">
        <v>76</v>
      </c>
      <c r="J3726">
        <v>-64.510000000000005</v>
      </c>
      <c r="K3726">
        <v>94</v>
      </c>
      <c r="L3726">
        <v>-21.62</v>
      </c>
      <c r="M3726">
        <v>65</v>
      </c>
      <c r="N3726">
        <v>8.76</v>
      </c>
      <c r="O3726">
        <v>66</v>
      </c>
      <c r="P3726">
        <v>-13.29</v>
      </c>
      <c r="Q3726">
        <v>84</v>
      </c>
      <c r="R3726">
        <v>4.1900000000000004</v>
      </c>
      <c r="S3726">
        <v>68</v>
      </c>
      <c r="T3726">
        <v>27.29</v>
      </c>
      <c r="U3726">
        <v>80</v>
      </c>
      <c r="V3726">
        <v>1.63</v>
      </c>
      <c r="W3726">
        <v>33</v>
      </c>
      <c r="X3726" t="s">
        <v>94</v>
      </c>
      <c r="Y3726" t="s">
        <v>95</v>
      </c>
      <c r="Z3726" t="s">
        <v>96</v>
      </c>
      <c r="AA3726" t="s">
        <v>207</v>
      </c>
      <c r="AB3726" t="s">
        <v>12168</v>
      </c>
      <c r="AC3726">
        <v>71</v>
      </c>
      <c r="AD3726">
        <v>64</v>
      </c>
      <c r="AE3726">
        <v>94</v>
      </c>
      <c r="AF3726">
        <v>245.92</v>
      </c>
      <c r="AG3726">
        <v>-10.28</v>
      </c>
      <c r="AH3726">
        <v>-3.57</v>
      </c>
      <c r="AI3726">
        <v>-0.32</v>
      </c>
      <c r="AJ3726">
        <v>-0.19</v>
      </c>
      <c r="AK3726">
        <v>65</v>
      </c>
      <c r="AL3726">
        <v>90</v>
      </c>
      <c r="AM3726">
        <v>76</v>
      </c>
      <c r="AN3726">
        <v>1.48</v>
      </c>
      <c r="AO3726">
        <v>-0.24</v>
      </c>
      <c r="AP3726">
        <v>8</v>
      </c>
      <c r="AQ3726">
        <v>0</v>
      </c>
      <c r="AR3726">
        <v>8.08</v>
      </c>
      <c r="AS3726">
        <v>39</v>
      </c>
      <c r="AT3726">
        <v>3.41</v>
      </c>
      <c r="AU3726">
        <v>60</v>
      </c>
      <c r="AV3726">
        <v>-1.1299999999999999</v>
      </c>
      <c r="AW3726">
        <v>78</v>
      </c>
      <c r="AX3726">
        <v>-0.24</v>
      </c>
      <c r="AY3726">
        <v>78</v>
      </c>
      <c r="AZ3726">
        <v>6.47</v>
      </c>
      <c r="BA3726">
        <v>34</v>
      </c>
      <c r="BB3726">
        <v>4.37</v>
      </c>
      <c r="BC3726">
        <v>57</v>
      </c>
      <c r="BD3726">
        <v>-0.02</v>
      </c>
      <c r="BE3726">
        <v>0.03</v>
      </c>
      <c r="BF3726">
        <v>-0.12</v>
      </c>
      <c r="BG3726">
        <v>83</v>
      </c>
      <c r="BH3726">
        <v>0.1</v>
      </c>
      <c r="BI3726">
        <v>6.3</v>
      </c>
      <c r="BJ3726">
        <v>15</v>
      </c>
      <c r="BK3726">
        <v>13</v>
      </c>
      <c r="BL3726">
        <v>0.57999999999999996</v>
      </c>
      <c r="BM3726">
        <v>1.74</v>
      </c>
      <c r="BN3726">
        <v>1.18</v>
      </c>
      <c r="BO3726">
        <v>-0.34</v>
      </c>
      <c r="BP3726">
        <v>0.86</v>
      </c>
      <c r="BQ3726">
        <v>0.12</v>
      </c>
      <c r="BR3726">
        <v>-1.28</v>
      </c>
      <c r="BS3726">
        <v>-0.2</v>
      </c>
      <c r="BT3726">
        <v>1.06</v>
      </c>
      <c r="BU3726">
        <v>-0.88</v>
      </c>
      <c r="BV3726">
        <v>-1.21</v>
      </c>
      <c r="BW3726">
        <v>-0.63</v>
      </c>
      <c r="BX3726">
        <v>0.28000000000000003</v>
      </c>
      <c r="BY3726">
        <v>-0.54</v>
      </c>
      <c r="BZ3726">
        <v>0.21</v>
      </c>
      <c r="CA3726">
        <v>-0.83</v>
      </c>
      <c r="CB3726">
        <v>-1.1000000000000001</v>
      </c>
      <c r="CC3726">
        <v>0.16</v>
      </c>
      <c r="CD3726">
        <v>0.96</v>
      </c>
      <c r="CE3726">
        <v>-0.38</v>
      </c>
      <c r="CF3726">
        <v>0.65</v>
      </c>
      <c r="CG3726">
        <v>0</v>
      </c>
      <c r="CH3726">
        <v>-0.97</v>
      </c>
      <c r="CI3726">
        <v>0</v>
      </c>
      <c r="CJ3726">
        <v>-3.9</v>
      </c>
      <c r="CK3726">
        <v>85</v>
      </c>
      <c r="CL3726">
        <v>-0.51</v>
      </c>
      <c r="CM3726">
        <v>82</v>
      </c>
      <c r="CN3726">
        <v>0.09</v>
      </c>
      <c r="CO3726">
        <v>80</v>
      </c>
      <c r="CP3726">
        <v>-10.6</v>
      </c>
      <c r="CQ3726">
        <v>87</v>
      </c>
      <c r="CR3726">
        <v>0</v>
      </c>
      <c r="CS3726">
        <v>0</v>
      </c>
      <c r="CT3726">
        <v>-23.1</v>
      </c>
      <c r="CU3726">
        <v>80</v>
      </c>
      <c r="CV3726">
        <v>0.09</v>
      </c>
      <c r="CW3726">
        <v>24</v>
      </c>
      <c r="CX3726" t="s">
        <v>4649</v>
      </c>
    </row>
    <row r="3727" spans="1:102" x14ac:dyDescent="0.3">
      <c r="A3727" t="str">
        <f>HYPERLINK("https://webapp.icbf.com/v2/app/bull-search/view/345257484","AGX")</f>
        <v>AGX</v>
      </c>
      <c r="B3727" t="s">
        <v>144</v>
      </c>
      <c r="C3727" t="s">
        <v>4199</v>
      </c>
      <c r="D3727" s="1">
        <v>34585</v>
      </c>
      <c r="E3727" t="s">
        <v>2634</v>
      </c>
      <c r="F3727">
        <v>0</v>
      </c>
      <c r="G3727" t="s">
        <v>116</v>
      </c>
      <c r="H3727">
        <v>-57.59</v>
      </c>
      <c r="I3727">
        <v>33</v>
      </c>
      <c r="J3727">
        <v>-67.84</v>
      </c>
      <c r="K3727">
        <v>58</v>
      </c>
      <c r="L3727">
        <v>13.46</v>
      </c>
      <c r="M3727">
        <v>16</v>
      </c>
      <c r="N3727">
        <v>-26.82</v>
      </c>
      <c r="O3727">
        <v>13</v>
      </c>
      <c r="P3727">
        <v>2.15</v>
      </c>
      <c r="Q3727">
        <v>53</v>
      </c>
      <c r="R3727">
        <v>1.01</v>
      </c>
      <c r="S3727">
        <v>19</v>
      </c>
      <c r="T3727">
        <v>24.26</v>
      </c>
      <c r="U3727">
        <v>33</v>
      </c>
      <c r="V3727">
        <v>-3.81</v>
      </c>
      <c r="W3727">
        <v>3</v>
      </c>
      <c r="X3727" t="s">
        <v>276</v>
      </c>
      <c r="Y3727" t="s">
        <v>2565</v>
      </c>
      <c r="Z3727">
        <v>0</v>
      </c>
      <c r="AA3727" t="s">
        <v>238</v>
      </c>
      <c r="AB3727" t="s">
        <v>4200</v>
      </c>
      <c r="AC3727">
        <v>7</v>
      </c>
      <c r="AD3727">
        <v>4</v>
      </c>
      <c r="AE3727">
        <v>58</v>
      </c>
      <c r="AF3727">
        <v>-432.46</v>
      </c>
      <c r="AG3727">
        <v>-12.26</v>
      </c>
      <c r="AH3727">
        <v>-13.82</v>
      </c>
      <c r="AI3727">
        <v>0.08</v>
      </c>
      <c r="AJ3727">
        <v>0.02</v>
      </c>
      <c r="AK3727">
        <v>16</v>
      </c>
      <c r="AL3727">
        <v>5</v>
      </c>
      <c r="AM3727">
        <v>3</v>
      </c>
      <c r="AN3727">
        <v>-1.76</v>
      </c>
      <c r="AO3727">
        <v>-0.7</v>
      </c>
      <c r="AP3727">
        <v>11</v>
      </c>
      <c r="AQ3727">
        <v>0</v>
      </c>
      <c r="AR3727">
        <v>8.94</v>
      </c>
      <c r="AS3727">
        <v>25</v>
      </c>
      <c r="AT3727">
        <v>4.24</v>
      </c>
      <c r="AU3727">
        <v>12</v>
      </c>
      <c r="AV3727">
        <v>1.86</v>
      </c>
      <c r="AW3727">
        <v>12</v>
      </c>
      <c r="AX3727">
        <v>0.45</v>
      </c>
      <c r="AY3727">
        <v>24</v>
      </c>
      <c r="AZ3727">
        <v>5.74</v>
      </c>
      <c r="BA3727">
        <v>5</v>
      </c>
      <c r="BB3727">
        <v>4.3899999999999997</v>
      </c>
      <c r="BC3727">
        <v>4</v>
      </c>
      <c r="BD3727">
        <v>0.01</v>
      </c>
      <c r="BE3727">
        <v>0</v>
      </c>
      <c r="BF3727">
        <v>-0.04</v>
      </c>
      <c r="BG3727">
        <v>25</v>
      </c>
      <c r="BH3727">
        <v>-0.08</v>
      </c>
      <c r="BI3727">
        <v>3.03</v>
      </c>
      <c r="BJ3727">
        <v>0</v>
      </c>
      <c r="BK3727">
        <v>0</v>
      </c>
      <c r="BL3727">
        <v>0</v>
      </c>
      <c r="BM3727">
        <v>0</v>
      </c>
      <c r="BN3727">
        <v>0</v>
      </c>
      <c r="BO3727">
        <v>0</v>
      </c>
      <c r="BP3727">
        <v>0</v>
      </c>
      <c r="BQ3727">
        <v>0</v>
      </c>
      <c r="BR3727">
        <v>0</v>
      </c>
      <c r="BS3727">
        <v>0</v>
      </c>
      <c r="BT3727">
        <v>0</v>
      </c>
      <c r="BU3727">
        <v>0</v>
      </c>
      <c r="BV3727">
        <v>0</v>
      </c>
      <c r="BW3727">
        <v>0</v>
      </c>
      <c r="BX3727">
        <v>0</v>
      </c>
      <c r="BY3727">
        <v>0</v>
      </c>
      <c r="BZ3727">
        <v>0</v>
      </c>
      <c r="CA3727">
        <v>0</v>
      </c>
      <c r="CB3727">
        <v>0</v>
      </c>
      <c r="CC3727">
        <v>0</v>
      </c>
      <c r="CD3727">
        <v>0</v>
      </c>
      <c r="CE3727">
        <v>0</v>
      </c>
      <c r="CF3727">
        <v>0</v>
      </c>
      <c r="CG3727">
        <v>0</v>
      </c>
      <c r="CH3727">
        <v>0</v>
      </c>
      <c r="CI3727">
        <v>0</v>
      </c>
      <c r="CJ3727">
        <v>0.4</v>
      </c>
      <c r="CK3727">
        <v>56</v>
      </c>
      <c r="CL3727">
        <v>0.08</v>
      </c>
      <c r="CM3727">
        <v>51</v>
      </c>
      <c r="CN3727">
        <v>-0.12</v>
      </c>
      <c r="CO3727">
        <v>46</v>
      </c>
      <c r="CP3727">
        <v>-4.2</v>
      </c>
      <c r="CQ3727">
        <v>45</v>
      </c>
      <c r="CR3727">
        <v>0</v>
      </c>
      <c r="CS3727">
        <v>0</v>
      </c>
      <c r="CT3727">
        <v>-19</v>
      </c>
      <c r="CU3727">
        <v>33</v>
      </c>
      <c r="CV3727">
        <v>-0.11</v>
      </c>
      <c r="CW3727">
        <v>14</v>
      </c>
      <c r="CX3727" t="s">
        <v>4201</v>
      </c>
    </row>
    <row r="3728" spans="1:102" x14ac:dyDescent="0.3">
      <c r="A3728" t="str">
        <f>HYPERLINK("https://webapp.icbf.com/v2/app/bull-search/view/77855077","NTL")</f>
        <v>NTL</v>
      </c>
      <c r="B3728" t="s">
        <v>14760</v>
      </c>
      <c r="C3728" t="s">
        <v>14761</v>
      </c>
      <c r="D3728" s="1">
        <v>32643</v>
      </c>
      <c r="E3728" t="s">
        <v>92</v>
      </c>
      <c r="F3728">
        <v>100</v>
      </c>
      <c r="G3728" t="s">
        <v>93</v>
      </c>
      <c r="H3728">
        <v>-57.61</v>
      </c>
      <c r="I3728">
        <v>88</v>
      </c>
      <c r="J3728">
        <v>1.27</v>
      </c>
      <c r="K3728">
        <v>96</v>
      </c>
      <c r="L3728">
        <v>-56.3</v>
      </c>
      <c r="M3728">
        <v>89</v>
      </c>
      <c r="N3728">
        <v>1.59</v>
      </c>
      <c r="O3728">
        <v>77</v>
      </c>
      <c r="P3728">
        <v>3.36</v>
      </c>
      <c r="Q3728">
        <v>84</v>
      </c>
      <c r="R3728">
        <v>-11.34</v>
      </c>
      <c r="S3728">
        <v>81</v>
      </c>
      <c r="T3728">
        <v>5.32</v>
      </c>
      <c r="U3728">
        <v>76</v>
      </c>
      <c r="V3728">
        <v>-1.51</v>
      </c>
      <c r="W3728">
        <v>68</v>
      </c>
      <c r="X3728" t="s">
        <v>94</v>
      </c>
      <c r="Y3728" t="s">
        <v>95</v>
      </c>
      <c r="Z3728" t="s">
        <v>96</v>
      </c>
      <c r="AA3728" t="s">
        <v>166</v>
      </c>
      <c r="AB3728" t="s">
        <v>14762</v>
      </c>
      <c r="AC3728">
        <v>81</v>
      </c>
      <c r="AD3728">
        <v>51</v>
      </c>
      <c r="AE3728">
        <v>96</v>
      </c>
      <c r="AF3728">
        <v>18.95</v>
      </c>
      <c r="AG3728">
        <v>0.44</v>
      </c>
      <c r="AH3728">
        <v>0.35</v>
      </c>
      <c r="AI3728">
        <v>-0.01</v>
      </c>
      <c r="AJ3728">
        <v>-0.01</v>
      </c>
      <c r="AK3728">
        <v>89</v>
      </c>
      <c r="AL3728">
        <v>94</v>
      </c>
      <c r="AM3728">
        <v>50</v>
      </c>
      <c r="AN3728">
        <v>3.07</v>
      </c>
      <c r="AO3728">
        <v>-1.42</v>
      </c>
      <c r="AP3728">
        <v>10</v>
      </c>
      <c r="AQ3728">
        <v>1</v>
      </c>
      <c r="AR3728">
        <v>7.64</v>
      </c>
      <c r="AS3728">
        <v>63</v>
      </c>
      <c r="AT3728">
        <v>3.56</v>
      </c>
      <c r="AU3728">
        <v>84</v>
      </c>
      <c r="AV3728">
        <v>-0.73</v>
      </c>
      <c r="AW3728">
        <v>80</v>
      </c>
      <c r="AX3728">
        <v>-0.17</v>
      </c>
      <c r="AY3728">
        <v>80</v>
      </c>
      <c r="AZ3728">
        <v>6.2</v>
      </c>
      <c r="BA3728">
        <v>54</v>
      </c>
      <c r="BB3728">
        <v>5.19</v>
      </c>
      <c r="BC3728">
        <v>66</v>
      </c>
      <c r="BD3728">
        <v>0.01</v>
      </c>
      <c r="BE3728">
        <v>0.06</v>
      </c>
      <c r="BF3728">
        <v>0.13</v>
      </c>
      <c r="BG3728">
        <v>94</v>
      </c>
      <c r="BH3728">
        <v>0.02</v>
      </c>
      <c r="BI3728">
        <v>7.19</v>
      </c>
      <c r="BJ3728">
        <v>9</v>
      </c>
      <c r="BK3728">
        <v>7</v>
      </c>
      <c r="BL3728">
        <v>-0.14000000000000001</v>
      </c>
      <c r="BM3728">
        <v>-0.69</v>
      </c>
      <c r="BN3728">
        <v>-1.08</v>
      </c>
      <c r="BO3728">
        <v>0.03</v>
      </c>
      <c r="BP3728">
        <v>2.06</v>
      </c>
      <c r="BQ3728">
        <v>0.42</v>
      </c>
      <c r="BR3728">
        <v>0.54</v>
      </c>
      <c r="BS3728">
        <v>-0.61</v>
      </c>
      <c r="BT3728">
        <v>-0.59</v>
      </c>
      <c r="BU3728">
        <v>-0.4</v>
      </c>
      <c r="BV3728">
        <v>-0.21</v>
      </c>
      <c r="BW3728">
        <v>-1.18</v>
      </c>
      <c r="BX3728">
        <v>-0.49</v>
      </c>
      <c r="BY3728">
        <v>-2.27</v>
      </c>
      <c r="BZ3728">
        <v>-1.39</v>
      </c>
      <c r="CA3728">
        <v>0</v>
      </c>
      <c r="CB3728">
        <v>0.09</v>
      </c>
      <c r="CC3728">
        <v>-0.57999999999999996</v>
      </c>
      <c r="CD3728">
        <v>-0.03</v>
      </c>
      <c r="CE3728">
        <v>0.05</v>
      </c>
      <c r="CF3728">
        <v>-0.72</v>
      </c>
      <c r="CG3728">
        <v>0</v>
      </c>
      <c r="CH3728">
        <v>-1.94</v>
      </c>
      <c r="CI3728">
        <v>0</v>
      </c>
      <c r="CJ3728">
        <v>3.5</v>
      </c>
      <c r="CK3728">
        <v>85</v>
      </c>
      <c r="CL3728">
        <v>-0.35</v>
      </c>
      <c r="CM3728">
        <v>82</v>
      </c>
      <c r="CN3728">
        <v>-0.15</v>
      </c>
      <c r="CO3728">
        <v>80</v>
      </c>
      <c r="CP3728">
        <v>2.6</v>
      </c>
      <c r="CQ3728">
        <v>86</v>
      </c>
      <c r="CR3728">
        <v>0</v>
      </c>
      <c r="CS3728">
        <v>0</v>
      </c>
      <c r="CT3728">
        <v>6.6</v>
      </c>
      <c r="CU3728">
        <v>76</v>
      </c>
      <c r="CV3728">
        <v>0.1</v>
      </c>
      <c r="CW3728">
        <v>43</v>
      </c>
      <c r="CX3728" t="s">
        <v>617</v>
      </c>
    </row>
    <row r="3729" spans="1:102" x14ac:dyDescent="0.3">
      <c r="A3729" t="str">
        <f>HYPERLINK("https://webapp.icbf.com/v2/app/bull-search/view/418956951","RDZ")</f>
        <v>RDZ</v>
      </c>
      <c r="B3729" t="s">
        <v>10077</v>
      </c>
      <c r="C3729" t="s">
        <v>10078</v>
      </c>
      <c r="D3729" s="1">
        <v>37944</v>
      </c>
      <c r="E3729" t="s">
        <v>92</v>
      </c>
      <c r="F3729">
        <v>100</v>
      </c>
      <c r="G3729" t="s">
        <v>93</v>
      </c>
      <c r="H3729">
        <v>-57.71</v>
      </c>
      <c r="I3729">
        <v>96</v>
      </c>
      <c r="J3729">
        <v>-9.2200000000000006</v>
      </c>
      <c r="K3729">
        <v>99</v>
      </c>
      <c r="L3729">
        <v>-37.67</v>
      </c>
      <c r="M3729">
        <v>94</v>
      </c>
      <c r="N3729">
        <v>4.62</v>
      </c>
      <c r="O3729">
        <v>95</v>
      </c>
      <c r="P3729">
        <v>-12.57</v>
      </c>
      <c r="Q3729">
        <v>98</v>
      </c>
      <c r="R3729">
        <v>-3.54</v>
      </c>
      <c r="S3729">
        <v>91</v>
      </c>
      <c r="T3729">
        <v>15.9</v>
      </c>
      <c r="U3729">
        <v>96</v>
      </c>
      <c r="V3729">
        <v>-15.23</v>
      </c>
      <c r="W3729">
        <v>90</v>
      </c>
      <c r="X3729" t="s">
        <v>251</v>
      </c>
      <c r="Y3729" t="s">
        <v>1534</v>
      </c>
      <c r="Z3729" t="s">
        <v>96</v>
      </c>
      <c r="AA3729" t="s">
        <v>2030</v>
      </c>
      <c r="AB3729" t="s">
        <v>9020</v>
      </c>
      <c r="AC3729">
        <v>417</v>
      </c>
      <c r="AD3729">
        <v>199</v>
      </c>
      <c r="AE3729">
        <v>99</v>
      </c>
      <c r="AF3729">
        <v>362.7</v>
      </c>
      <c r="AG3729">
        <v>1.48</v>
      </c>
      <c r="AH3729">
        <v>3.46</v>
      </c>
      <c r="AI3729">
        <v>-0.21</v>
      </c>
      <c r="AJ3729">
        <v>-0.15</v>
      </c>
      <c r="AK3729">
        <v>94</v>
      </c>
      <c r="AL3729">
        <v>427</v>
      </c>
      <c r="AM3729">
        <v>198</v>
      </c>
      <c r="AN3729">
        <v>1.57</v>
      </c>
      <c r="AO3729">
        <v>-1.44</v>
      </c>
      <c r="AP3729">
        <v>834</v>
      </c>
      <c r="AQ3729">
        <v>6</v>
      </c>
      <c r="AR3729">
        <v>6.89</v>
      </c>
      <c r="AS3729">
        <v>94</v>
      </c>
      <c r="AT3729">
        <v>3.33</v>
      </c>
      <c r="AU3729">
        <v>96</v>
      </c>
      <c r="AV3729">
        <v>-1.63</v>
      </c>
      <c r="AW3729">
        <v>98</v>
      </c>
      <c r="AX3729">
        <v>0.84</v>
      </c>
      <c r="AY3729">
        <v>95</v>
      </c>
      <c r="AZ3729">
        <v>7.65</v>
      </c>
      <c r="BA3729">
        <v>88</v>
      </c>
      <c r="BB3729">
        <v>5.8</v>
      </c>
      <c r="BC3729">
        <v>88</v>
      </c>
      <c r="BD3729">
        <v>0.02</v>
      </c>
      <c r="BE3729">
        <v>0.02</v>
      </c>
      <c r="BF3729">
        <v>0.01</v>
      </c>
      <c r="BG3729">
        <v>97</v>
      </c>
      <c r="BH3729">
        <v>-0.12</v>
      </c>
      <c r="BI3729">
        <v>35.24</v>
      </c>
      <c r="BJ3729">
        <v>179</v>
      </c>
      <c r="BK3729">
        <v>88</v>
      </c>
      <c r="BL3729">
        <v>0.93</v>
      </c>
      <c r="BM3729">
        <v>-2.59</v>
      </c>
      <c r="BN3729">
        <v>-1.86</v>
      </c>
      <c r="BO3729">
        <v>0.74</v>
      </c>
      <c r="BP3729">
        <v>0.82</v>
      </c>
      <c r="BQ3729">
        <v>-0.74</v>
      </c>
      <c r="BR3729">
        <v>0.08</v>
      </c>
      <c r="BS3729">
        <v>0.4</v>
      </c>
      <c r="BT3729">
        <v>-0.44</v>
      </c>
      <c r="BU3729">
        <v>0.32</v>
      </c>
      <c r="BV3729">
        <v>1.23</v>
      </c>
      <c r="BW3729">
        <v>0.65</v>
      </c>
      <c r="BX3729">
        <v>1.06</v>
      </c>
      <c r="BY3729">
        <v>1.53</v>
      </c>
      <c r="BZ3729">
        <v>-2.85</v>
      </c>
      <c r="CA3729">
        <v>1.0900000000000001</v>
      </c>
      <c r="CB3729">
        <v>1</v>
      </c>
      <c r="CC3729">
        <v>0.47</v>
      </c>
      <c r="CD3729">
        <v>-0.86</v>
      </c>
      <c r="CE3729">
        <v>0.92</v>
      </c>
      <c r="CF3729">
        <v>-0.12</v>
      </c>
      <c r="CG3729">
        <v>0</v>
      </c>
      <c r="CH3729">
        <v>1.44</v>
      </c>
      <c r="CI3729">
        <v>0</v>
      </c>
      <c r="CJ3729">
        <v>-3</v>
      </c>
      <c r="CK3729">
        <v>98</v>
      </c>
      <c r="CL3729">
        <v>-1.1200000000000001</v>
      </c>
      <c r="CM3729">
        <v>97</v>
      </c>
      <c r="CN3729">
        <v>-0.38</v>
      </c>
      <c r="CO3729">
        <v>97</v>
      </c>
      <c r="CP3729">
        <v>-8.8000000000000007</v>
      </c>
      <c r="CQ3729">
        <v>97</v>
      </c>
      <c r="CR3729">
        <v>0</v>
      </c>
      <c r="CS3729">
        <v>0</v>
      </c>
      <c r="CT3729">
        <v>-7.7</v>
      </c>
      <c r="CU3729">
        <v>96</v>
      </c>
      <c r="CV3729">
        <v>0.19</v>
      </c>
      <c r="CW3729">
        <v>45</v>
      </c>
      <c r="CX3729" t="s">
        <v>4568</v>
      </c>
    </row>
    <row r="3730" spans="1:102" x14ac:dyDescent="0.3">
      <c r="A3730" t="str">
        <f>HYPERLINK("https://webapp.icbf.com/v2/app/bull-search/view/108379581","NOI")</f>
        <v>NOI</v>
      </c>
      <c r="B3730" t="s">
        <v>11364</v>
      </c>
      <c r="C3730" t="s">
        <v>11365</v>
      </c>
      <c r="D3730" s="1">
        <v>35688</v>
      </c>
      <c r="E3730" t="s">
        <v>140</v>
      </c>
      <c r="F3730">
        <v>0</v>
      </c>
      <c r="G3730" t="s">
        <v>93</v>
      </c>
      <c r="H3730">
        <v>-57.73</v>
      </c>
      <c r="I3730">
        <v>71</v>
      </c>
      <c r="J3730">
        <v>-20.059999999999999</v>
      </c>
      <c r="K3730">
        <v>89</v>
      </c>
      <c r="L3730">
        <v>26.29</v>
      </c>
      <c r="M3730">
        <v>53</v>
      </c>
      <c r="N3730">
        <v>-65.53</v>
      </c>
      <c r="O3730">
        <v>68</v>
      </c>
      <c r="P3730">
        <v>3.49</v>
      </c>
      <c r="Q3730">
        <v>85</v>
      </c>
      <c r="R3730">
        <v>4.74</v>
      </c>
      <c r="S3730">
        <v>57</v>
      </c>
      <c r="T3730">
        <v>7.02</v>
      </c>
      <c r="U3730">
        <v>80</v>
      </c>
      <c r="V3730">
        <v>-13.68</v>
      </c>
      <c r="W3730">
        <v>40</v>
      </c>
      <c r="X3730" t="s">
        <v>94</v>
      </c>
      <c r="Y3730" t="s">
        <v>95</v>
      </c>
      <c r="Z3730">
        <v>0</v>
      </c>
      <c r="AA3730" t="s">
        <v>141</v>
      </c>
      <c r="AB3730" t="s">
        <v>11366</v>
      </c>
      <c r="AC3730">
        <v>39</v>
      </c>
      <c r="AD3730">
        <v>25</v>
      </c>
      <c r="AE3730">
        <v>89</v>
      </c>
      <c r="AF3730">
        <v>-187.49</v>
      </c>
      <c r="AG3730">
        <v>-3.62</v>
      </c>
      <c r="AH3730">
        <v>-5</v>
      </c>
      <c r="AI3730">
        <v>0.06</v>
      </c>
      <c r="AJ3730">
        <v>0.02</v>
      </c>
      <c r="AK3730">
        <v>53</v>
      </c>
      <c r="AL3730">
        <v>42</v>
      </c>
      <c r="AM3730">
        <v>34</v>
      </c>
      <c r="AN3730">
        <v>-1.1399999999999999</v>
      </c>
      <c r="AO3730">
        <v>0.96</v>
      </c>
      <c r="AP3730">
        <v>42</v>
      </c>
      <c r="AQ3730">
        <v>7</v>
      </c>
      <c r="AR3730">
        <v>15.13</v>
      </c>
      <c r="AS3730">
        <v>47</v>
      </c>
      <c r="AT3730">
        <v>6.76</v>
      </c>
      <c r="AU3730">
        <v>60</v>
      </c>
      <c r="AV3730">
        <v>0.21</v>
      </c>
      <c r="AW3730">
        <v>87</v>
      </c>
      <c r="AX3730">
        <v>-0.02</v>
      </c>
      <c r="AY3730">
        <v>71</v>
      </c>
      <c r="AZ3730">
        <v>4.01</v>
      </c>
      <c r="BA3730">
        <v>32</v>
      </c>
      <c r="BB3730">
        <v>3.24</v>
      </c>
      <c r="BC3730">
        <v>46</v>
      </c>
      <c r="BD3730">
        <v>-0.03</v>
      </c>
      <c r="BE3730">
        <v>-0.01</v>
      </c>
      <c r="BF3730">
        <v>-0.04</v>
      </c>
      <c r="BG3730">
        <v>70</v>
      </c>
      <c r="BH3730">
        <v>-0.37</v>
      </c>
      <c r="BI3730">
        <v>1.34</v>
      </c>
      <c r="BJ3730">
        <v>0</v>
      </c>
      <c r="BK3730">
        <v>0</v>
      </c>
      <c r="BL3730">
        <v>-0.96</v>
      </c>
      <c r="BM3730">
        <v>3.42</v>
      </c>
      <c r="BN3730">
        <v>-1.8</v>
      </c>
      <c r="BO3730">
        <v>-3.05</v>
      </c>
      <c r="BP3730">
        <v>4.55</v>
      </c>
      <c r="BQ3730">
        <v>-2.34</v>
      </c>
      <c r="BR3730">
        <v>-2.74</v>
      </c>
      <c r="BS3730">
        <v>-0.52</v>
      </c>
      <c r="BT3730">
        <v>2.77</v>
      </c>
      <c r="BU3730">
        <v>-3.35</v>
      </c>
      <c r="BV3730">
        <v>-3.94</v>
      </c>
      <c r="BW3730">
        <v>-3.05</v>
      </c>
      <c r="BX3730">
        <v>-2.61</v>
      </c>
      <c r="BY3730">
        <v>-2.25</v>
      </c>
      <c r="BZ3730">
        <v>1.1599999999999999</v>
      </c>
      <c r="CA3730">
        <v>-2.5299999999999998</v>
      </c>
      <c r="CB3730">
        <v>-3.2</v>
      </c>
      <c r="CC3730">
        <v>-0.46</v>
      </c>
      <c r="CD3730">
        <v>3.91</v>
      </c>
      <c r="CE3730">
        <v>-3.05</v>
      </c>
      <c r="CF3730">
        <v>-1.34</v>
      </c>
      <c r="CG3730">
        <v>0</v>
      </c>
      <c r="CH3730">
        <v>-2.87</v>
      </c>
      <c r="CI3730">
        <v>0</v>
      </c>
      <c r="CJ3730">
        <v>1.8</v>
      </c>
      <c r="CK3730">
        <v>86</v>
      </c>
      <c r="CL3730">
        <v>0.13</v>
      </c>
      <c r="CM3730">
        <v>83</v>
      </c>
      <c r="CN3730">
        <v>0.02</v>
      </c>
      <c r="CO3730">
        <v>81</v>
      </c>
      <c r="CP3730">
        <v>-0.7</v>
      </c>
      <c r="CQ3730">
        <v>84</v>
      </c>
      <c r="CR3730">
        <v>0</v>
      </c>
      <c r="CS3730">
        <v>0</v>
      </c>
      <c r="CT3730">
        <v>4.3</v>
      </c>
      <c r="CU3730">
        <v>80</v>
      </c>
      <c r="CV3730">
        <v>-0.13</v>
      </c>
      <c r="CW3730">
        <v>24</v>
      </c>
      <c r="CX3730" t="s">
        <v>224</v>
      </c>
    </row>
    <row r="3731" spans="1:102" x14ac:dyDescent="0.3">
      <c r="A3731" t="str">
        <f>HYPERLINK("https://webapp.icbf.com/v2/app/bull-search/view/429948897","RMV")</f>
        <v>RMV</v>
      </c>
      <c r="B3731" t="s">
        <v>12011</v>
      </c>
      <c r="C3731" t="s">
        <v>12012</v>
      </c>
      <c r="D3731" s="1">
        <v>36641</v>
      </c>
      <c r="E3731" t="s">
        <v>92</v>
      </c>
      <c r="F3731">
        <v>100</v>
      </c>
      <c r="G3731" t="s">
        <v>93</v>
      </c>
      <c r="H3731">
        <v>-57.91</v>
      </c>
      <c r="I3731">
        <v>88</v>
      </c>
      <c r="J3731">
        <v>60.52</v>
      </c>
      <c r="K3731">
        <v>96</v>
      </c>
      <c r="L3731">
        <v>-116.97</v>
      </c>
      <c r="M3731">
        <v>85</v>
      </c>
      <c r="N3731">
        <v>9.35</v>
      </c>
      <c r="O3731">
        <v>85</v>
      </c>
      <c r="P3731">
        <v>-14.62</v>
      </c>
      <c r="Q3731">
        <v>88</v>
      </c>
      <c r="R3731">
        <v>-9.39</v>
      </c>
      <c r="S3731">
        <v>80</v>
      </c>
      <c r="T3731">
        <v>13.83</v>
      </c>
      <c r="U3731">
        <v>82</v>
      </c>
      <c r="V3731">
        <v>-0.63</v>
      </c>
      <c r="W3731">
        <v>75</v>
      </c>
      <c r="X3731" t="s">
        <v>94</v>
      </c>
      <c r="Y3731" t="s">
        <v>95</v>
      </c>
      <c r="Z3731" t="s">
        <v>96</v>
      </c>
      <c r="AA3731" t="s">
        <v>1384</v>
      </c>
      <c r="AB3731" t="s">
        <v>12013</v>
      </c>
      <c r="AC3731">
        <v>67</v>
      </c>
      <c r="AD3731">
        <v>36</v>
      </c>
      <c r="AE3731">
        <v>96</v>
      </c>
      <c r="AF3731">
        <v>287.26</v>
      </c>
      <c r="AG3731">
        <v>15.83</v>
      </c>
      <c r="AH3731">
        <v>9.09</v>
      </c>
      <c r="AI3731">
        <v>0.08</v>
      </c>
      <c r="AJ3731">
        <v>-0.01</v>
      </c>
      <c r="AK3731">
        <v>85</v>
      </c>
      <c r="AL3731">
        <v>61</v>
      </c>
      <c r="AM3731">
        <v>33</v>
      </c>
      <c r="AN3731">
        <v>5.48</v>
      </c>
      <c r="AO3731">
        <v>-3.86</v>
      </c>
      <c r="AP3731">
        <v>139</v>
      </c>
      <c r="AQ3731">
        <v>0</v>
      </c>
      <c r="AR3731">
        <v>8.25</v>
      </c>
      <c r="AS3731">
        <v>82</v>
      </c>
      <c r="AT3731">
        <v>3.87</v>
      </c>
      <c r="AU3731">
        <v>90</v>
      </c>
      <c r="AV3731">
        <v>-2.4</v>
      </c>
      <c r="AW3731">
        <v>93</v>
      </c>
      <c r="AX3731">
        <v>0</v>
      </c>
      <c r="AY3731">
        <v>78</v>
      </c>
      <c r="AZ3731">
        <v>7.96</v>
      </c>
      <c r="BA3731">
        <v>63</v>
      </c>
      <c r="BB3731">
        <v>4.71</v>
      </c>
      <c r="BC3731">
        <v>62</v>
      </c>
      <c r="BD3731">
        <v>0.06</v>
      </c>
      <c r="BE3731">
        <v>0.04</v>
      </c>
      <c r="BF3731">
        <v>0.04</v>
      </c>
      <c r="BG3731">
        <v>89</v>
      </c>
      <c r="BH3731">
        <v>0.04</v>
      </c>
      <c r="BI3731">
        <v>6.66</v>
      </c>
      <c r="BJ3731">
        <v>15</v>
      </c>
      <c r="BK3731">
        <v>10</v>
      </c>
      <c r="BL3731">
        <v>1.05</v>
      </c>
      <c r="BM3731">
        <v>0.11</v>
      </c>
      <c r="BN3731">
        <v>1.84</v>
      </c>
      <c r="BO3731">
        <v>1.46</v>
      </c>
      <c r="BP3731">
        <v>-0.28999999999999998</v>
      </c>
      <c r="BQ3731">
        <v>0.33</v>
      </c>
      <c r="BR3731">
        <v>0.88</v>
      </c>
      <c r="BS3731">
        <v>-2.6</v>
      </c>
      <c r="BT3731">
        <v>-0.22</v>
      </c>
      <c r="BU3731">
        <v>1.32</v>
      </c>
      <c r="BV3731">
        <v>0.84</v>
      </c>
      <c r="BW3731">
        <v>-0.02</v>
      </c>
      <c r="BX3731">
        <v>0.15</v>
      </c>
      <c r="BY3731">
        <v>3.3</v>
      </c>
      <c r="BZ3731">
        <v>-2.75</v>
      </c>
      <c r="CA3731">
        <v>0.05</v>
      </c>
      <c r="CB3731">
        <v>1.1000000000000001</v>
      </c>
      <c r="CC3731">
        <v>-1.87</v>
      </c>
      <c r="CD3731">
        <v>-1.59</v>
      </c>
      <c r="CE3731">
        <v>0.78</v>
      </c>
      <c r="CF3731">
        <v>0.97</v>
      </c>
      <c r="CG3731">
        <v>0</v>
      </c>
      <c r="CH3731">
        <v>3.1</v>
      </c>
      <c r="CI3731">
        <v>0</v>
      </c>
      <c r="CJ3731">
        <v>-4.4000000000000004</v>
      </c>
      <c r="CK3731">
        <v>89</v>
      </c>
      <c r="CL3731">
        <v>-1</v>
      </c>
      <c r="CM3731">
        <v>86</v>
      </c>
      <c r="CN3731">
        <v>-0.25</v>
      </c>
      <c r="CO3731">
        <v>85</v>
      </c>
      <c r="CP3731">
        <v>-7.7</v>
      </c>
      <c r="CQ3731">
        <v>88</v>
      </c>
      <c r="CR3731">
        <v>0</v>
      </c>
      <c r="CS3731">
        <v>0</v>
      </c>
      <c r="CT3731">
        <v>-4.9000000000000004</v>
      </c>
      <c r="CU3731">
        <v>82</v>
      </c>
      <c r="CV3731">
        <v>0.14000000000000001</v>
      </c>
      <c r="CW3731">
        <v>43</v>
      </c>
      <c r="CX3731" t="s">
        <v>1172</v>
      </c>
    </row>
    <row r="3732" spans="1:102" x14ac:dyDescent="0.3">
      <c r="A3732" t="str">
        <f>HYPERLINK("https://webapp.icbf.com/v2/app/bull-search/view/1374374270","AY2452")</f>
        <v>AY2452</v>
      </c>
      <c r="B3732" t="s">
        <v>6391</v>
      </c>
      <c r="C3732" t="s">
        <v>6392</v>
      </c>
      <c r="D3732" s="1">
        <v>40384</v>
      </c>
      <c r="E3732" t="s">
        <v>1061</v>
      </c>
      <c r="F3732">
        <v>25</v>
      </c>
      <c r="G3732" t="s">
        <v>435</v>
      </c>
      <c r="H3732">
        <v>-58.13</v>
      </c>
      <c r="I3732">
        <v>46</v>
      </c>
      <c r="J3732">
        <v>-56.23</v>
      </c>
      <c r="K3732">
        <v>67</v>
      </c>
      <c r="L3732">
        <v>1.17</v>
      </c>
      <c r="M3732">
        <v>37</v>
      </c>
      <c r="N3732">
        <v>-19.940000000000001</v>
      </c>
      <c r="O3732">
        <v>41</v>
      </c>
      <c r="P3732">
        <v>-13.93</v>
      </c>
      <c r="Q3732">
        <v>33</v>
      </c>
      <c r="R3732">
        <v>-0.19</v>
      </c>
      <c r="S3732">
        <v>34</v>
      </c>
      <c r="T3732">
        <v>28.03</v>
      </c>
      <c r="U3732">
        <v>33</v>
      </c>
      <c r="V3732">
        <v>2.96</v>
      </c>
      <c r="W3732">
        <v>29</v>
      </c>
      <c r="X3732" t="s">
        <v>94</v>
      </c>
      <c r="Y3732" t="s">
        <v>1775</v>
      </c>
      <c r="Z3732" t="s">
        <v>528</v>
      </c>
      <c r="AA3732" t="s">
        <v>6393</v>
      </c>
      <c r="AB3732" t="s">
        <v>6394</v>
      </c>
      <c r="AC3732">
        <v>0</v>
      </c>
      <c r="AD3732">
        <v>0</v>
      </c>
      <c r="AE3732">
        <v>67</v>
      </c>
      <c r="AF3732">
        <v>-119.04</v>
      </c>
      <c r="AG3732">
        <v>-10.050000000000001</v>
      </c>
      <c r="AH3732">
        <v>-7.83</v>
      </c>
      <c r="AI3732">
        <v>-0.1</v>
      </c>
      <c r="AJ3732">
        <v>-0.06</v>
      </c>
      <c r="AK3732">
        <v>37</v>
      </c>
      <c r="AL3732">
        <v>0</v>
      </c>
      <c r="AM3732">
        <v>0</v>
      </c>
      <c r="AN3732">
        <v>-0.33</v>
      </c>
      <c r="AO3732">
        <v>-0.24</v>
      </c>
      <c r="AP3732">
        <v>8</v>
      </c>
      <c r="AQ3732">
        <v>0</v>
      </c>
      <c r="AR3732">
        <v>10.130000000000001</v>
      </c>
      <c r="AS3732">
        <v>28</v>
      </c>
      <c r="AT3732">
        <v>3.84</v>
      </c>
      <c r="AU3732">
        <v>49</v>
      </c>
      <c r="AV3732">
        <v>-0.34</v>
      </c>
      <c r="AW3732">
        <v>50</v>
      </c>
      <c r="AX3732">
        <v>-0.05</v>
      </c>
      <c r="AY3732">
        <v>38</v>
      </c>
      <c r="AZ3732">
        <v>7.86</v>
      </c>
      <c r="BA3732">
        <v>15</v>
      </c>
      <c r="BB3732">
        <v>6.12</v>
      </c>
      <c r="BC3732">
        <v>17</v>
      </c>
      <c r="BD3732">
        <v>0.02</v>
      </c>
      <c r="BE3732">
        <v>-0.01</v>
      </c>
      <c r="BF3732">
        <v>-0.01</v>
      </c>
      <c r="BG3732">
        <v>42</v>
      </c>
      <c r="BH3732">
        <v>0.13</v>
      </c>
      <c r="BI3732">
        <v>5.49</v>
      </c>
      <c r="BJ3732">
        <v>0</v>
      </c>
      <c r="BK3732">
        <v>0</v>
      </c>
      <c r="BL3732">
        <v>0</v>
      </c>
      <c r="BM3732">
        <v>0</v>
      </c>
      <c r="BN3732">
        <v>0</v>
      </c>
      <c r="BO3732">
        <v>0</v>
      </c>
      <c r="BP3732">
        <v>0</v>
      </c>
      <c r="BQ3732">
        <v>0</v>
      </c>
      <c r="BR3732">
        <v>0</v>
      </c>
      <c r="BS3732">
        <v>0</v>
      </c>
      <c r="BT3732">
        <v>0</v>
      </c>
      <c r="BU3732">
        <v>0</v>
      </c>
      <c r="BV3732">
        <v>0</v>
      </c>
      <c r="BW3732">
        <v>0</v>
      </c>
      <c r="BX3732">
        <v>0</v>
      </c>
      <c r="BY3732">
        <v>0</v>
      </c>
      <c r="BZ3732">
        <v>0</v>
      </c>
      <c r="CA3732">
        <v>0</v>
      </c>
      <c r="CB3732">
        <v>0</v>
      </c>
      <c r="CC3732">
        <v>0</v>
      </c>
      <c r="CD3732">
        <v>0</v>
      </c>
      <c r="CE3732">
        <v>0</v>
      </c>
      <c r="CF3732">
        <v>0</v>
      </c>
      <c r="CG3732">
        <v>0</v>
      </c>
      <c r="CH3732">
        <v>0</v>
      </c>
      <c r="CI3732">
        <v>0</v>
      </c>
      <c r="CJ3732">
        <v>-7.8</v>
      </c>
      <c r="CK3732">
        <v>33</v>
      </c>
      <c r="CL3732">
        <v>-0.46</v>
      </c>
      <c r="CM3732">
        <v>33</v>
      </c>
      <c r="CN3732">
        <v>-0.28000000000000003</v>
      </c>
      <c r="CO3732">
        <v>32</v>
      </c>
      <c r="CP3732">
        <v>-11.3</v>
      </c>
      <c r="CQ3732">
        <v>33</v>
      </c>
      <c r="CR3732">
        <v>0</v>
      </c>
      <c r="CS3732">
        <v>0</v>
      </c>
      <c r="CT3732">
        <v>-24.1</v>
      </c>
      <c r="CU3732">
        <v>33</v>
      </c>
      <c r="CV3732">
        <v>-7.0000000000000007E-2</v>
      </c>
      <c r="CW3732">
        <v>31</v>
      </c>
      <c r="CX3732" t="s">
        <v>6395</v>
      </c>
    </row>
    <row r="3733" spans="1:102" x14ac:dyDescent="0.3">
      <c r="A3733" t="str">
        <f>HYPERLINK("https://webapp.icbf.com/v2/app/bull-search/view/660025131","S679")</f>
        <v>S679</v>
      </c>
      <c r="B3733" t="s">
        <v>1519</v>
      </c>
      <c r="C3733" t="s">
        <v>1520</v>
      </c>
      <c r="D3733" s="1">
        <v>38726</v>
      </c>
      <c r="E3733" t="s">
        <v>92</v>
      </c>
      <c r="F3733">
        <v>100</v>
      </c>
      <c r="G3733" t="s">
        <v>109</v>
      </c>
      <c r="H3733">
        <v>-58.22</v>
      </c>
      <c r="I3733">
        <v>68</v>
      </c>
      <c r="J3733">
        <v>-11.42</v>
      </c>
      <c r="K3733">
        <v>80</v>
      </c>
      <c r="L3733">
        <v>-49.31</v>
      </c>
      <c r="M3733">
        <v>79</v>
      </c>
      <c r="N3733">
        <v>-0.16</v>
      </c>
      <c r="O3733">
        <v>54</v>
      </c>
      <c r="P3733">
        <v>-15.65</v>
      </c>
      <c r="Q3733">
        <v>40</v>
      </c>
      <c r="R3733">
        <v>9.5399999999999991</v>
      </c>
      <c r="S3733">
        <v>63</v>
      </c>
      <c r="T3733">
        <v>4.6500000000000004</v>
      </c>
      <c r="U3733">
        <v>39</v>
      </c>
      <c r="V3733">
        <v>4.13</v>
      </c>
      <c r="W3733">
        <v>30</v>
      </c>
      <c r="X3733" t="s">
        <v>110</v>
      </c>
      <c r="Y3733" t="s">
        <v>1494</v>
      </c>
      <c r="Z3733" t="s">
        <v>96</v>
      </c>
      <c r="AA3733" t="s">
        <v>350</v>
      </c>
      <c r="AB3733" t="s">
        <v>1521</v>
      </c>
      <c r="AC3733">
        <v>0</v>
      </c>
      <c r="AD3733">
        <v>0</v>
      </c>
      <c r="AE3733">
        <v>80</v>
      </c>
      <c r="AF3733">
        <v>328.3</v>
      </c>
      <c r="AG3733">
        <v>-0.19</v>
      </c>
      <c r="AH3733">
        <v>3.15</v>
      </c>
      <c r="AI3733">
        <v>-0.2</v>
      </c>
      <c r="AJ3733">
        <v>-0.13</v>
      </c>
      <c r="AK3733">
        <v>79</v>
      </c>
      <c r="AL3733">
        <v>0</v>
      </c>
      <c r="AM3733">
        <v>0</v>
      </c>
      <c r="AN3733">
        <v>2.9</v>
      </c>
      <c r="AO3733">
        <v>-1.03</v>
      </c>
      <c r="AP3733">
        <v>6</v>
      </c>
      <c r="AQ3733">
        <v>0</v>
      </c>
      <c r="AR3733">
        <v>8.49</v>
      </c>
      <c r="AS3733">
        <v>37</v>
      </c>
      <c r="AT3733">
        <v>3.81</v>
      </c>
      <c r="AU3733">
        <v>87</v>
      </c>
      <c r="AV3733">
        <v>-0.86</v>
      </c>
      <c r="AW3733">
        <v>50</v>
      </c>
      <c r="AX3733">
        <v>-0.3</v>
      </c>
      <c r="AY3733">
        <v>38</v>
      </c>
      <c r="AZ3733">
        <v>6.5</v>
      </c>
      <c r="BA3733">
        <v>32</v>
      </c>
      <c r="BB3733">
        <v>4.74</v>
      </c>
      <c r="BC3733">
        <v>32</v>
      </c>
      <c r="BD3733">
        <v>-0.02</v>
      </c>
      <c r="BE3733">
        <v>-0.04</v>
      </c>
      <c r="BF3733">
        <v>-0.11</v>
      </c>
      <c r="BG3733">
        <v>86</v>
      </c>
      <c r="BH3733">
        <v>0.11</v>
      </c>
      <c r="BI3733">
        <v>-0.6</v>
      </c>
      <c r="BJ3733">
        <v>3</v>
      </c>
      <c r="BK3733">
        <v>3</v>
      </c>
      <c r="BL3733">
        <v>1.1000000000000001</v>
      </c>
      <c r="BM3733">
        <v>-0.63</v>
      </c>
      <c r="BN3733">
        <v>0.02</v>
      </c>
      <c r="BO3733">
        <v>0.97</v>
      </c>
      <c r="BP3733">
        <v>0.13</v>
      </c>
      <c r="BQ3733">
        <v>1.29</v>
      </c>
      <c r="BR3733">
        <v>-0.62</v>
      </c>
      <c r="BS3733">
        <v>1.41</v>
      </c>
      <c r="BT3733">
        <v>1.5</v>
      </c>
      <c r="BU3733">
        <v>2.4900000000000002</v>
      </c>
      <c r="BV3733">
        <v>2.27</v>
      </c>
      <c r="BW3733">
        <v>0.48</v>
      </c>
      <c r="BX3733">
        <v>1.79</v>
      </c>
      <c r="BY3733">
        <v>1.1399999999999999</v>
      </c>
      <c r="BZ3733">
        <v>-0.27</v>
      </c>
      <c r="CA3733">
        <v>1.61</v>
      </c>
      <c r="CB3733">
        <v>1.34</v>
      </c>
      <c r="CC3733">
        <v>1.42</v>
      </c>
      <c r="CD3733">
        <v>-0.62</v>
      </c>
      <c r="CE3733">
        <v>1.1000000000000001</v>
      </c>
      <c r="CF3733">
        <v>1.76</v>
      </c>
      <c r="CG3733">
        <v>0</v>
      </c>
      <c r="CH3733">
        <v>1.82</v>
      </c>
      <c r="CI3733">
        <v>0</v>
      </c>
      <c r="CJ3733">
        <v>-6.1</v>
      </c>
      <c r="CK3733">
        <v>41</v>
      </c>
      <c r="CL3733">
        <v>-1.3</v>
      </c>
      <c r="CM3733">
        <v>39</v>
      </c>
      <c r="CN3733">
        <v>-0.59</v>
      </c>
      <c r="CO3733">
        <v>36</v>
      </c>
      <c r="CP3733">
        <v>-4.8</v>
      </c>
      <c r="CQ3733">
        <v>44</v>
      </c>
      <c r="CR3733">
        <v>0</v>
      </c>
      <c r="CS3733">
        <v>0</v>
      </c>
      <c r="CT3733">
        <v>7.5</v>
      </c>
      <c r="CU3733">
        <v>39</v>
      </c>
      <c r="CV3733">
        <v>0.3</v>
      </c>
      <c r="CW3733">
        <v>11</v>
      </c>
      <c r="CX3733" t="s">
        <v>311</v>
      </c>
    </row>
    <row r="3734" spans="1:102" x14ac:dyDescent="0.3">
      <c r="A3734" t="str">
        <f>HYPERLINK("https://webapp.icbf.com/v2/app/bull-search/view/108375212","HRI")</f>
        <v>HRI</v>
      </c>
      <c r="B3734" t="s">
        <v>2872</v>
      </c>
      <c r="C3734" t="s">
        <v>2873</v>
      </c>
      <c r="D3734" s="1">
        <v>33764</v>
      </c>
      <c r="E3734" t="s">
        <v>895</v>
      </c>
      <c r="F3734">
        <v>0</v>
      </c>
      <c r="G3734" t="s">
        <v>93</v>
      </c>
      <c r="H3734">
        <v>-58.25</v>
      </c>
      <c r="I3734">
        <v>63</v>
      </c>
      <c r="J3734">
        <v>14.94</v>
      </c>
      <c r="K3734">
        <v>83</v>
      </c>
      <c r="L3734">
        <v>-64.64</v>
      </c>
      <c r="M3734">
        <v>43</v>
      </c>
      <c r="N3734">
        <v>-10.45</v>
      </c>
      <c r="O3734">
        <v>58</v>
      </c>
      <c r="P3734">
        <v>5.05</v>
      </c>
      <c r="Q3734">
        <v>83</v>
      </c>
      <c r="R3734">
        <v>-8.23</v>
      </c>
      <c r="S3734">
        <v>44</v>
      </c>
      <c r="T3734">
        <v>10.050000000000001</v>
      </c>
      <c r="U3734">
        <v>80</v>
      </c>
      <c r="V3734">
        <v>-4.97</v>
      </c>
      <c r="W3734">
        <v>29</v>
      </c>
      <c r="X3734" t="s">
        <v>94</v>
      </c>
      <c r="Y3734" t="s">
        <v>95</v>
      </c>
      <c r="Z3734">
        <v>0</v>
      </c>
      <c r="AA3734" t="s">
        <v>144</v>
      </c>
      <c r="AB3734" t="s">
        <v>144</v>
      </c>
      <c r="AC3734">
        <v>23</v>
      </c>
      <c r="AD3734">
        <v>16</v>
      </c>
      <c r="AE3734">
        <v>83</v>
      </c>
      <c r="AF3734">
        <v>-222.1</v>
      </c>
      <c r="AG3734">
        <v>1.05</v>
      </c>
      <c r="AH3734">
        <v>-1.23</v>
      </c>
      <c r="AI3734">
        <v>0.17</v>
      </c>
      <c r="AJ3734">
        <v>0.11</v>
      </c>
      <c r="AK3734">
        <v>43</v>
      </c>
      <c r="AL3734">
        <v>36</v>
      </c>
      <c r="AM3734">
        <v>24</v>
      </c>
      <c r="AN3734">
        <v>3.16</v>
      </c>
      <c r="AO3734">
        <v>-2</v>
      </c>
      <c r="AP3734">
        <v>38</v>
      </c>
      <c r="AQ3734">
        <v>2</v>
      </c>
      <c r="AR3734">
        <v>6.51</v>
      </c>
      <c r="AS3734">
        <v>25</v>
      </c>
      <c r="AT3734">
        <v>3.01</v>
      </c>
      <c r="AU3734">
        <v>49</v>
      </c>
      <c r="AV3734">
        <v>2.95</v>
      </c>
      <c r="AW3734">
        <v>83</v>
      </c>
      <c r="AX3734">
        <v>-0.83</v>
      </c>
      <c r="AY3734">
        <v>62</v>
      </c>
      <c r="AZ3734">
        <v>5.01</v>
      </c>
      <c r="BA3734">
        <v>17</v>
      </c>
      <c r="BB3734">
        <v>3.85</v>
      </c>
      <c r="BC3734">
        <v>27</v>
      </c>
      <c r="BD3734">
        <v>0.02</v>
      </c>
      <c r="BE3734">
        <v>0.04</v>
      </c>
      <c r="BF3734">
        <v>0.08</v>
      </c>
      <c r="BG3734">
        <v>52</v>
      </c>
      <c r="BH3734">
        <v>-0.03</v>
      </c>
      <c r="BI3734">
        <v>12.55</v>
      </c>
      <c r="BJ3734">
        <v>0</v>
      </c>
      <c r="BK3734">
        <v>0</v>
      </c>
      <c r="BL3734">
        <v>-1.25</v>
      </c>
      <c r="BM3734">
        <v>1.38</v>
      </c>
      <c r="BN3734">
        <v>-1.23</v>
      </c>
      <c r="BO3734">
        <v>-1.79</v>
      </c>
      <c r="BP3734">
        <v>0.56000000000000005</v>
      </c>
      <c r="BQ3734">
        <v>-0.19</v>
      </c>
      <c r="BR3734">
        <v>-0.52</v>
      </c>
      <c r="BS3734">
        <v>0.04</v>
      </c>
      <c r="BT3734">
        <v>0.4</v>
      </c>
      <c r="BU3734">
        <v>-1.98</v>
      </c>
      <c r="BV3734">
        <v>-1.83</v>
      </c>
      <c r="BW3734">
        <v>-1.73</v>
      </c>
      <c r="BX3734">
        <v>-1.5</v>
      </c>
      <c r="BY3734">
        <v>-1.53</v>
      </c>
      <c r="BZ3734">
        <v>-0.22</v>
      </c>
      <c r="CA3734">
        <v>-1.56</v>
      </c>
      <c r="CB3734">
        <v>-1.81</v>
      </c>
      <c r="CC3734">
        <v>-0.5</v>
      </c>
      <c r="CD3734">
        <v>1.68</v>
      </c>
      <c r="CE3734">
        <v>-1.99</v>
      </c>
      <c r="CF3734">
        <v>-1.24</v>
      </c>
      <c r="CG3734">
        <v>0</v>
      </c>
      <c r="CH3734">
        <v>-2.2799999999999998</v>
      </c>
      <c r="CI3734">
        <v>0</v>
      </c>
      <c r="CJ3734">
        <v>2.7</v>
      </c>
      <c r="CK3734">
        <v>85</v>
      </c>
      <c r="CL3734">
        <v>0.18</v>
      </c>
      <c r="CM3734">
        <v>82</v>
      </c>
      <c r="CN3734">
        <v>0.01</v>
      </c>
      <c r="CO3734">
        <v>79</v>
      </c>
      <c r="CP3734">
        <v>-2.8</v>
      </c>
      <c r="CQ3734">
        <v>78</v>
      </c>
      <c r="CR3734">
        <v>0</v>
      </c>
      <c r="CS3734">
        <v>0</v>
      </c>
      <c r="CT3734">
        <v>0.2</v>
      </c>
      <c r="CU3734">
        <v>80</v>
      </c>
      <c r="CV3734">
        <v>-0.1</v>
      </c>
      <c r="CW3734">
        <v>24</v>
      </c>
      <c r="CX3734">
        <v>0</v>
      </c>
    </row>
    <row r="3735" spans="1:102" x14ac:dyDescent="0.3">
      <c r="A3735" t="str">
        <f>HYPERLINK("https://webapp.icbf.com/v2/app/bull-search/view/547759306","S641")</f>
        <v>S641</v>
      </c>
      <c r="B3735" t="s">
        <v>12608</v>
      </c>
      <c r="C3735" t="s">
        <v>12609</v>
      </c>
      <c r="D3735" s="1">
        <v>37588</v>
      </c>
      <c r="E3735" t="s">
        <v>92</v>
      </c>
      <c r="F3735">
        <v>100</v>
      </c>
      <c r="G3735" t="s">
        <v>109</v>
      </c>
      <c r="H3735">
        <v>-58.26</v>
      </c>
      <c r="I3735">
        <v>77</v>
      </c>
      <c r="J3735">
        <v>30.41</v>
      </c>
      <c r="K3735">
        <v>84</v>
      </c>
      <c r="L3735">
        <v>-66.94</v>
      </c>
      <c r="M3735">
        <v>81</v>
      </c>
      <c r="N3735">
        <v>-18.8</v>
      </c>
      <c r="O3735">
        <v>69</v>
      </c>
      <c r="P3735">
        <v>-7</v>
      </c>
      <c r="Q3735">
        <v>71</v>
      </c>
      <c r="R3735">
        <v>-0.87</v>
      </c>
      <c r="S3735">
        <v>68</v>
      </c>
      <c r="T3735">
        <v>3.61</v>
      </c>
      <c r="U3735">
        <v>62</v>
      </c>
      <c r="V3735">
        <v>1.33</v>
      </c>
      <c r="W3735">
        <v>48</v>
      </c>
      <c r="X3735" t="s">
        <v>94</v>
      </c>
      <c r="Y3735" t="s">
        <v>1122</v>
      </c>
      <c r="Z3735" t="s">
        <v>96</v>
      </c>
      <c r="AA3735" t="s">
        <v>1538</v>
      </c>
      <c r="AB3735" t="s">
        <v>1906</v>
      </c>
      <c r="AC3735">
        <v>0</v>
      </c>
      <c r="AD3735">
        <v>0</v>
      </c>
      <c r="AE3735">
        <v>84</v>
      </c>
      <c r="AF3735">
        <v>359.33</v>
      </c>
      <c r="AG3735">
        <v>1.22</v>
      </c>
      <c r="AH3735">
        <v>10.24</v>
      </c>
      <c r="AI3735">
        <v>-0.2</v>
      </c>
      <c r="AJ3735">
        <v>-0.03</v>
      </c>
      <c r="AK3735">
        <v>81</v>
      </c>
      <c r="AL3735">
        <v>0</v>
      </c>
      <c r="AM3735">
        <v>0</v>
      </c>
      <c r="AN3735">
        <v>4.33</v>
      </c>
      <c r="AO3735">
        <v>-1</v>
      </c>
      <c r="AP3735">
        <v>31</v>
      </c>
      <c r="AQ3735">
        <v>0</v>
      </c>
      <c r="AR3735">
        <v>11.86</v>
      </c>
      <c r="AS3735">
        <v>38</v>
      </c>
      <c r="AT3735">
        <v>5.67</v>
      </c>
      <c r="AU3735">
        <v>91</v>
      </c>
      <c r="AV3735">
        <v>-2.35</v>
      </c>
      <c r="AW3735">
        <v>80</v>
      </c>
      <c r="AX3735">
        <v>-0.36</v>
      </c>
      <c r="AY3735">
        <v>53</v>
      </c>
      <c r="AZ3735">
        <v>5.23</v>
      </c>
      <c r="BA3735">
        <v>37</v>
      </c>
      <c r="BB3735">
        <v>4.37</v>
      </c>
      <c r="BC3735">
        <v>35</v>
      </c>
      <c r="BD3735">
        <v>-0.03</v>
      </c>
      <c r="BE3735">
        <v>0</v>
      </c>
      <c r="BF3735">
        <v>7.0000000000000007E-2</v>
      </c>
      <c r="BG3735">
        <v>88</v>
      </c>
      <c r="BH3735">
        <v>0.08</v>
      </c>
      <c r="BI3735">
        <v>4.95</v>
      </c>
      <c r="BJ3735">
        <v>18</v>
      </c>
      <c r="BK3735">
        <v>8</v>
      </c>
      <c r="BL3735">
        <v>2.16</v>
      </c>
      <c r="BM3735">
        <v>-1.54</v>
      </c>
      <c r="BN3735">
        <v>0.38</v>
      </c>
      <c r="BO3735">
        <v>1.64</v>
      </c>
      <c r="BP3735">
        <v>1.35</v>
      </c>
      <c r="BQ3735">
        <v>0.67</v>
      </c>
      <c r="BR3735">
        <v>2.23</v>
      </c>
      <c r="BS3735">
        <v>-0.95</v>
      </c>
      <c r="BT3735">
        <v>-1.1000000000000001</v>
      </c>
      <c r="BU3735">
        <v>0.91</v>
      </c>
      <c r="BV3735">
        <v>1.87</v>
      </c>
      <c r="BW3735">
        <v>2.38</v>
      </c>
      <c r="BX3735">
        <v>1.8</v>
      </c>
      <c r="BY3735">
        <v>-0.16</v>
      </c>
      <c r="BZ3735">
        <v>1.82</v>
      </c>
      <c r="CA3735">
        <v>1.31</v>
      </c>
      <c r="CB3735">
        <v>1.6</v>
      </c>
      <c r="CC3735">
        <v>0.11</v>
      </c>
      <c r="CD3735">
        <v>-1.25</v>
      </c>
      <c r="CE3735">
        <v>0.86</v>
      </c>
      <c r="CF3735">
        <v>1.39</v>
      </c>
      <c r="CG3735">
        <v>0</v>
      </c>
      <c r="CH3735">
        <v>1.17</v>
      </c>
      <c r="CI3735">
        <v>0</v>
      </c>
      <c r="CJ3735">
        <v>-0.3</v>
      </c>
      <c r="CK3735">
        <v>73</v>
      </c>
      <c r="CL3735">
        <v>-1.25</v>
      </c>
      <c r="CM3735">
        <v>69</v>
      </c>
      <c r="CN3735">
        <v>-0.57999999999999996</v>
      </c>
      <c r="CO3735">
        <v>65</v>
      </c>
      <c r="CP3735">
        <v>-3.2</v>
      </c>
      <c r="CQ3735">
        <v>68</v>
      </c>
      <c r="CR3735">
        <v>0</v>
      </c>
      <c r="CS3735">
        <v>0</v>
      </c>
      <c r="CT3735">
        <v>8.9</v>
      </c>
      <c r="CU3735">
        <v>62</v>
      </c>
      <c r="CV3735">
        <v>0.37</v>
      </c>
      <c r="CW3735">
        <v>20</v>
      </c>
      <c r="CX3735" t="s">
        <v>596</v>
      </c>
    </row>
    <row r="3736" spans="1:102" x14ac:dyDescent="0.3">
      <c r="A3736" t="str">
        <f>HYPERLINK("https://webapp.icbf.com/v2/app/bull-search/view/77856394","KAX")</f>
        <v>KAX</v>
      </c>
      <c r="B3736" t="s">
        <v>8575</v>
      </c>
      <c r="C3736" t="s">
        <v>8576</v>
      </c>
      <c r="D3736" s="1">
        <v>31434</v>
      </c>
      <c r="E3736" t="s">
        <v>92</v>
      </c>
      <c r="F3736">
        <v>56</v>
      </c>
      <c r="G3736" t="s">
        <v>116</v>
      </c>
      <c r="H3736">
        <v>-58.41</v>
      </c>
      <c r="I3736">
        <v>29</v>
      </c>
      <c r="J3736">
        <v>-47.86</v>
      </c>
      <c r="K3736">
        <v>17</v>
      </c>
      <c r="L3736">
        <v>-18.16</v>
      </c>
      <c r="M3736">
        <v>39</v>
      </c>
      <c r="N3736">
        <v>13</v>
      </c>
      <c r="O3736">
        <v>17</v>
      </c>
      <c r="P3736">
        <v>-1.22</v>
      </c>
      <c r="Q3736">
        <v>61</v>
      </c>
      <c r="R3736">
        <v>-11.73</v>
      </c>
      <c r="S3736">
        <v>35</v>
      </c>
      <c r="T3736">
        <v>10.94</v>
      </c>
      <c r="U3736">
        <v>30</v>
      </c>
      <c r="V3736">
        <v>-3.38</v>
      </c>
      <c r="W3736">
        <v>8</v>
      </c>
      <c r="X3736" t="s">
        <v>94</v>
      </c>
      <c r="Y3736" t="s">
        <v>95</v>
      </c>
      <c r="Z3736" t="s">
        <v>96</v>
      </c>
      <c r="AA3736" t="s">
        <v>8242</v>
      </c>
      <c r="AB3736" t="s">
        <v>8577</v>
      </c>
      <c r="AC3736">
        <v>1</v>
      </c>
      <c r="AD3736">
        <v>1</v>
      </c>
      <c r="AE3736">
        <v>17</v>
      </c>
      <c r="AF3736">
        <v>-38.43</v>
      </c>
      <c r="AG3736">
        <v>-6.89</v>
      </c>
      <c r="AH3736">
        <v>-6.29</v>
      </c>
      <c r="AI3736">
        <v>-0.09</v>
      </c>
      <c r="AJ3736">
        <v>-0.08</v>
      </c>
      <c r="AK3736">
        <v>39</v>
      </c>
      <c r="AL3736">
        <v>19</v>
      </c>
      <c r="AM3736">
        <v>16</v>
      </c>
      <c r="AN3736">
        <v>0.87</v>
      </c>
      <c r="AO3736">
        <v>-0.57999999999999996</v>
      </c>
      <c r="AP3736">
        <v>3</v>
      </c>
      <c r="AQ3736">
        <v>0</v>
      </c>
      <c r="AR3736">
        <v>5.76</v>
      </c>
      <c r="AS3736">
        <v>16</v>
      </c>
      <c r="AT3736">
        <v>2.66</v>
      </c>
      <c r="AU3736">
        <v>15</v>
      </c>
      <c r="AV3736">
        <v>-0.13</v>
      </c>
      <c r="AW3736">
        <v>17</v>
      </c>
      <c r="AX3736">
        <v>-0.47</v>
      </c>
      <c r="AY3736">
        <v>40</v>
      </c>
      <c r="AZ3736">
        <v>5.85</v>
      </c>
      <c r="BA3736">
        <v>7</v>
      </c>
      <c r="BB3736">
        <v>4.67</v>
      </c>
      <c r="BC3736">
        <v>10</v>
      </c>
      <c r="BD3736">
        <v>0.04</v>
      </c>
      <c r="BE3736">
        <v>7.0000000000000007E-2</v>
      </c>
      <c r="BF3736">
        <v>7.0000000000000007E-2</v>
      </c>
      <c r="BG3736">
        <v>53</v>
      </c>
      <c r="BH3736">
        <v>-7.0000000000000007E-2</v>
      </c>
      <c r="BI3736">
        <v>2.8</v>
      </c>
      <c r="BJ3736">
        <v>5</v>
      </c>
      <c r="BK3736">
        <v>4</v>
      </c>
      <c r="BL3736">
        <v>-1.0900000000000001</v>
      </c>
      <c r="BM3736">
        <v>1.67</v>
      </c>
      <c r="BN3736">
        <v>-0.9</v>
      </c>
      <c r="BO3736">
        <v>-1.74</v>
      </c>
      <c r="BP3736">
        <v>0.48</v>
      </c>
      <c r="BQ3736">
        <v>0.71</v>
      </c>
      <c r="BR3736">
        <v>-0.41</v>
      </c>
      <c r="BS3736">
        <v>-0.32</v>
      </c>
      <c r="BT3736">
        <v>0.05</v>
      </c>
      <c r="BU3736">
        <v>0.42</v>
      </c>
      <c r="BV3736">
        <v>-0.48</v>
      </c>
      <c r="BW3736">
        <v>-0.89</v>
      </c>
      <c r="BX3736">
        <v>0.37</v>
      </c>
      <c r="BY3736">
        <v>-1.23</v>
      </c>
      <c r="BZ3736">
        <v>1.1000000000000001</v>
      </c>
      <c r="CA3736">
        <v>-0.94</v>
      </c>
      <c r="CB3736">
        <v>-0.57999999999999996</v>
      </c>
      <c r="CC3736">
        <v>-1.35</v>
      </c>
      <c r="CD3736">
        <v>1.67</v>
      </c>
      <c r="CE3736">
        <v>-1.86</v>
      </c>
      <c r="CF3736">
        <v>-1.1100000000000001</v>
      </c>
      <c r="CG3736">
        <v>0</v>
      </c>
      <c r="CH3736">
        <v>-0.36</v>
      </c>
      <c r="CI3736">
        <v>0</v>
      </c>
      <c r="CJ3736">
        <v>1.1000000000000001</v>
      </c>
      <c r="CK3736">
        <v>67</v>
      </c>
      <c r="CL3736">
        <v>-0.28999999999999998</v>
      </c>
      <c r="CM3736">
        <v>57</v>
      </c>
      <c r="CN3736">
        <v>-0.04</v>
      </c>
      <c r="CO3736">
        <v>55</v>
      </c>
      <c r="CP3736">
        <v>-1.4</v>
      </c>
      <c r="CQ3736">
        <v>40</v>
      </c>
      <c r="CR3736">
        <v>0</v>
      </c>
      <c r="CS3736">
        <v>0</v>
      </c>
      <c r="CT3736">
        <v>-1</v>
      </c>
      <c r="CU3736">
        <v>30</v>
      </c>
      <c r="CV3736">
        <v>0.12</v>
      </c>
      <c r="CW3736">
        <v>19</v>
      </c>
      <c r="CX3736" t="s">
        <v>819</v>
      </c>
    </row>
    <row r="3737" spans="1:102" x14ac:dyDescent="0.3">
      <c r="A3737" t="str">
        <f>HYPERLINK("https://webapp.icbf.com/v2/app/bull-search/view/77859859","BOO")</f>
        <v>BOO</v>
      </c>
      <c r="B3737" t="s">
        <v>4955</v>
      </c>
      <c r="C3737" t="s">
        <v>4956</v>
      </c>
      <c r="D3737" s="1">
        <v>32544</v>
      </c>
      <c r="E3737" t="s">
        <v>92</v>
      </c>
      <c r="F3737">
        <v>88</v>
      </c>
      <c r="G3737" t="s">
        <v>93</v>
      </c>
      <c r="H3737">
        <v>-58.43</v>
      </c>
      <c r="I3737">
        <v>74</v>
      </c>
      <c r="J3737">
        <v>-37.26</v>
      </c>
      <c r="K3737">
        <v>89</v>
      </c>
      <c r="L3737">
        <v>12.12</v>
      </c>
      <c r="M3737">
        <v>66</v>
      </c>
      <c r="N3737">
        <v>-29.81</v>
      </c>
      <c r="O3737">
        <v>63</v>
      </c>
      <c r="P3737">
        <v>-14.33</v>
      </c>
      <c r="Q3737">
        <v>76</v>
      </c>
      <c r="R3737">
        <v>-1.07</v>
      </c>
      <c r="S3737">
        <v>67</v>
      </c>
      <c r="T3737">
        <v>17.82</v>
      </c>
      <c r="U3737">
        <v>67</v>
      </c>
      <c r="V3737">
        <v>-5.9</v>
      </c>
      <c r="W3737">
        <v>59</v>
      </c>
      <c r="X3737" t="s">
        <v>94</v>
      </c>
      <c r="Y3737" t="s">
        <v>95</v>
      </c>
      <c r="Z3737" t="s">
        <v>96</v>
      </c>
      <c r="AA3737" t="s">
        <v>154</v>
      </c>
      <c r="AB3737" t="s">
        <v>4957</v>
      </c>
      <c r="AC3737">
        <v>44</v>
      </c>
      <c r="AD3737">
        <v>28</v>
      </c>
      <c r="AE3737">
        <v>89</v>
      </c>
      <c r="AF3737">
        <v>-289.19</v>
      </c>
      <c r="AG3737">
        <v>-5.04</v>
      </c>
      <c r="AH3737">
        <v>-8.98</v>
      </c>
      <c r="AI3737">
        <v>0.11</v>
      </c>
      <c r="AJ3737">
        <v>0.02</v>
      </c>
      <c r="AK3737">
        <v>66</v>
      </c>
      <c r="AL3737">
        <v>93</v>
      </c>
      <c r="AM3737">
        <v>60</v>
      </c>
      <c r="AN3737">
        <v>-1.95</v>
      </c>
      <c r="AO3737">
        <v>-1</v>
      </c>
      <c r="AP3737">
        <v>8</v>
      </c>
      <c r="AQ3737">
        <v>1</v>
      </c>
      <c r="AR3737">
        <v>7.72</v>
      </c>
      <c r="AS3737">
        <v>39</v>
      </c>
      <c r="AT3737">
        <v>3.8</v>
      </c>
      <c r="AU3737">
        <v>51</v>
      </c>
      <c r="AV3737">
        <v>2.7</v>
      </c>
      <c r="AW3737">
        <v>81</v>
      </c>
      <c r="AX3737">
        <v>-0.15</v>
      </c>
      <c r="AY3737">
        <v>71</v>
      </c>
      <c r="AZ3737">
        <v>6.6</v>
      </c>
      <c r="BA3737">
        <v>42</v>
      </c>
      <c r="BB3737">
        <v>5.39</v>
      </c>
      <c r="BC3737">
        <v>46</v>
      </c>
      <c r="BD3737">
        <v>0.01</v>
      </c>
      <c r="BE3737">
        <v>0.02</v>
      </c>
      <c r="BF3737">
        <v>-0.03</v>
      </c>
      <c r="BG3737">
        <v>85</v>
      </c>
      <c r="BH3737">
        <v>-0.17</v>
      </c>
      <c r="BI3737">
        <v>-0.62</v>
      </c>
      <c r="BJ3737">
        <v>14</v>
      </c>
      <c r="BK3737">
        <v>13</v>
      </c>
      <c r="BL3737">
        <v>0.27</v>
      </c>
      <c r="BM3737">
        <v>-0.01</v>
      </c>
      <c r="BN3737">
        <v>-0.05</v>
      </c>
      <c r="BO3737">
        <v>-0.01</v>
      </c>
      <c r="BP3737">
        <v>-0.74</v>
      </c>
      <c r="BQ3737">
        <v>0.01</v>
      </c>
      <c r="BR3737">
        <v>-0.79</v>
      </c>
      <c r="BS3737">
        <v>-0.22</v>
      </c>
      <c r="BT3737">
        <v>1.07</v>
      </c>
      <c r="BU3737">
        <v>-0.76</v>
      </c>
      <c r="BV3737">
        <v>-0.38</v>
      </c>
      <c r="BW3737">
        <v>0.12</v>
      </c>
      <c r="BX3737">
        <v>0.16</v>
      </c>
      <c r="BY3737">
        <v>-0.49</v>
      </c>
      <c r="BZ3737">
        <v>1.26</v>
      </c>
      <c r="CA3737">
        <v>-0.39</v>
      </c>
      <c r="CB3737">
        <v>-0.47</v>
      </c>
      <c r="CC3737">
        <v>-0.12</v>
      </c>
      <c r="CD3737">
        <v>7.0000000000000007E-2</v>
      </c>
      <c r="CE3737">
        <v>-0.08</v>
      </c>
      <c r="CF3737">
        <v>0.22</v>
      </c>
      <c r="CG3737">
        <v>0</v>
      </c>
      <c r="CH3737">
        <v>-0.57999999999999996</v>
      </c>
      <c r="CI3737">
        <v>0</v>
      </c>
      <c r="CJ3737">
        <v>-6.9</v>
      </c>
      <c r="CK3737">
        <v>78</v>
      </c>
      <c r="CL3737">
        <v>-0.59</v>
      </c>
      <c r="CM3737">
        <v>74</v>
      </c>
      <c r="CN3737">
        <v>-0.2</v>
      </c>
      <c r="CO3737">
        <v>71</v>
      </c>
      <c r="CP3737">
        <v>-7.1</v>
      </c>
      <c r="CQ3737">
        <v>76</v>
      </c>
      <c r="CR3737">
        <v>0</v>
      </c>
      <c r="CS3737">
        <v>0</v>
      </c>
      <c r="CT3737">
        <v>-10.3</v>
      </c>
      <c r="CU3737">
        <v>67</v>
      </c>
      <c r="CV3737">
        <v>0.01</v>
      </c>
      <c r="CW3737">
        <v>21</v>
      </c>
      <c r="CX3737" t="s">
        <v>891</v>
      </c>
    </row>
    <row r="3738" spans="1:102" x14ac:dyDescent="0.3">
      <c r="A3738" t="str">
        <f>HYPERLINK("https://webapp.icbf.com/v2/app/bull-search/view/586060388","S2289")</f>
        <v>S2289</v>
      </c>
      <c r="B3738" t="s">
        <v>7626</v>
      </c>
      <c r="C3738" t="s">
        <v>7627</v>
      </c>
      <c r="D3738" s="1">
        <v>38322</v>
      </c>
      <c r="E3738" t="s">
        <v>92</v>
      </c>
      <c r="F3738">
        <v>100</v>
      </c>
      <c r="G3738" t="s">
        <v>109</v>
      </c>
      <c r="H3738">
        <v>-58.44</v>
      </c>
      <c r="I3738">
        <v>84</v>
      </c>
      <c r="J3738">
        <v>15.94</v>
      </c>
      <c r="K3738">
        <v>94</v>
      </c>
      <c r="L3738">
        <v>-79.55</v>
      </c>
      <c r="M3738">
        <v>84</v>
      </c>
      <c r="N3738">
        <v>-2.1</v>
      </c>
      <c r="O3738">
        <v>80</v>
      </c>
      <c r="P3738">
        <v>1.82</v>
      </c>
      <c r="Q3738">
        <v>83</v>
      </c>
      <c r="R3738">
        <v>1.36</v>
      </c>
      <c r="S3738">
        <v>76</v>
      </c>
      <c r="T3738">
        <v>5.83</v>
      </c>
      <c r="U3738">
        <v>66</v>
      </c>
      <c r="V3738">
        <v>-1.74</v>
      </c>
      <c r="W3738">
        <v>65</v>
      </c>
      <c r="X3738" t="s">
        <v>102</v>
      </c>
      <c r="Y3738" t="s">
        <v>367</v>
      </c>
      <c r="Z3738" t="s">
        <v>96</v>
      </c>
      <c r="AA3738" t="s">
        <v>314</v>
      </c>
      <c r="AB3738" t="s">
        <v>7628</v>
      </c>
      <c r="AC3738">
        <v>80</v>
      </c>
      <c r="AD3738">
        <v>13</v>
      </c>
      <c r="AE3738">
        <v>94</v>
      </c>
      <c r="AF3738">
        <v>258.07</v>
      </c>
      <c r="AG3738">
        <v>3</v>
      </c>
      <c r="AH3738">
        <v>5.6</v>
      </c>
      <c r="AI3738">
        <v>-0.12</v>
      </c>
      <c r="AJ3738">
        <v>-0.05</v>
      </c>
      <c r="AK3738">
        <v>84</v>
      </c>
      <c r="AL3738">
        <v>0</v>
      </c>
      <c r="AM3738">
        <v>0</v>
      </c>
      <c r="AN3738">
        <v>4.63</v>
      </c>
      <c r="AO3738">
        <v>-1.71</v>
      </c>
      <c r="AP3738">
        <v>86</v>
      </c>
      <c r="AQ3738">
        <v>0</v>
      </c>
      <c r="AR3738">
        <v>10.23</v>
      </c>
      <c r="AS3738">
        <v>79</v>
      </c>
      <c r="AT3738">
        <v>4.3499999999999996</v>
      </c>
      <c r="AU3738">
        <v>86</v>
      </c>
      <c r="AV3738">
        <v>-2.5</v>
      </c>
      <c r="AW3738">
        <v>88</v>
      </c>
      <c r="AX3738">
        <v>-0.12</v>
      </c>
      <c r="AY3738">
        <v>82</v>
      </c>
      <c r="AZ3738">
        <v>7.57</v>
      </c>
      <c r="BA3738">
        <v>59</v>
      </c>
      <c r="BB3738">
        <v>5.05</v>
      </c>
      <c r="BC3738">
        <v>48</v>
      </c>
      <c r="BD3738">
        <v>0.01</v>
      </c>
      <c r="BE3738">
        <v>-0.02</v>
      </c>
      <c r="BF3738">
        <v>-0.01</v>
      </c>
      <c r="BG3738">
        <v>91</v>
      </c>
      <c r="BH3738">
        <v>-0.14000000000000001</v>
      </c>
      <c r="BI3738">
        <v>-10.57</v>
      </c>
      <c r="BJ3738">
        <v>32</v>
      </c>
      <c r="BK3738">
        <v>2</v>
      </c>
      <c r="BL3738">
        <v>0.89</v>
      </c>
      <c r="BM3738">
        <v>0.03</v>
      </c>
      <c r="BN3738">
        <v>1.53</v>
      </c>
      <c r="BO3738">
        <v>1.07</v>
      </c>
      <c r="BP3738">
        <v>-1.4</v>
      </c>
      <c r="BQ3738">
        <v>1.59</v>
      </c>
      <c r="BR3738">
        <v>0.41</v>
      </c>
      <c r="BS3738">
        <v>-0.06</v>
      </c>
      <c r="BT3738">
        <v>0.32</v>
      </c>
      <c r="BU3738">
        <v>1.2</v>
      </c>
      <c r="BV3738">
        <v>1.1399999999999999</v>
      </c>
      <c r="BW3738">
        <v>2.76</v>
      </c>
      <c r="BX3738">
        <v>0.73</v>
      </c>
      <c r="BY3738">
        <v>3.05</v>
      </c>
      <c r="BZ3738">
        <v>0.43</v>
      </c>
      <c r="CA3738">
        <v>1.02</v>
      </c>
      <c r="CB3738">
        <v>1.5</v>
      </c>
      <c r="CC3738">
        <v>-0.28999999999999998</v>
      </c>
      <c r="CD3738">
        <v>-0.59</v>
      </c>
      <c r="CE3738">
        <v>1.57</v>
      </c>
      <c r="CF3738">
        <v>1.52</v>
      </c>
      <c r="CG3738">
        <v>0</v>
      </c>
      <c r="CH3738">
        <v>3.19</v>
      </c>
      <c r="CI3738">
        <v>0</v>
      </c>
      <c r="CJ3738">
        <v>2.2999999999999998</v>
      </c>
      <c r="CK3738">
        <v>85</v>
      </c>
      <c r="CL3738">
        <v>-0.88</v>
      </c>
      <c r="CM3738">
        <v>82</v>
      </c>
      <c r="CN3738">
        <v>-0.67</v>
      </c>
      <c r="CO3738">
        <v>80</v>
      </c>
      <c r="CP3738">
        <v>-0.8</v>
      </c>
      <c r="CQ3738">
        <v>72</v>
      </c>
      <c r="CR3738">
        <v>0</v>
      </c>
      <c r="CS3738">
        <v>0</v>
      </c>
      <c r="CT3738">
        <v>5.9</v>
      </c>
      <c r="CU3738">
        <v>66</v>
      </c>
      <c r="CV3738">
        <v>0.15</v>
      </c>
      <c r="CW3738">
        <v>43</v>
      </c>
      <c r="CX3738" t="s">
        <v>289</v>
      </c>
    </row>
    <row r="3739" spans="1:102" x14ac:dyDescent="0.3">
      <c r="A3739" t="str">
        <f>HYPERLINK("https://webapp.icbf.com/v2/app/bull-search/view/69091594","EMN")</f>
        <v>EMN</v>
      </c>
      <c r="B3739" t="s">
        <v>15663</v>
      </c>
      <c r="C3739" t="s">
        <v>15664</v>
      </c>
      <c r="D3739" s="1">
        <v>33310</v>
      </c>
      <c r="E3739" t="s">
        <v>895</v>
      </c>
      <c r="F3739">
        <v>0</v>
      </c>
      <c r="G3739" t="s">
        <v>93</v>
      </c>
      <c r="H3739">
        <v>-58.5</v>
      </c>
      <c r="I3739">
        <v>56</v>
      </c>
      <c r="J3739">
        <v>37.32</v>
      </c>
      <c r="K3739">
        <v>84</v>
      </c>
      <c r="L3739">
        <v>-110.94</v>
      </c>
      <c r="M3739">
        <v>41</v>
      </c>
      <c r="N3739">
        <v>6.41</v>
      </c>
      <c r="O3739">
        <v>43</v>
      </c>
      <c r="P3739">
        <v>6.9</v>
      </c>
      <c r="Q3739">
        <v>54</v>
      </c>
      <c r="R3739">
        <v>-2.73</v>
      </c>
      <c r="S3739">
        <v>45</v>
      </c>
      <c r="T3739">
        <v>6.43</v>
      </c>
      <c r="U3739">
        <v>41</v>
      </c>
      <c r="V3739">
        <v>-1.89</v>
      </c>
      <c r="W3739">
        <v>20</v>
      </c>
      <c r="X3739" t="s">
        <v>94</v>
      </c>
      <c r="Y3739" t="s">
        <v>95</v>
      </c>
      <c r="Z3739">
        <v>0</v>
      </c>
      <c r="AA3739" t="s">
        <v>144</v>
      </c>
      <c r="AB3739" t="s">
        <v>144</v>
      </c>
      <c r="AC3739">
        <v>26</v>
      </c>
      <c r="AD3739">
        <v>11</v>
      </c>
      <c r="AE3739">
        <v>84</v>
      </c>
      <c r="AF3739">
        <v>24.27</v>
      </c>
      <c r="AG3739">
        <v>4.83</v>
      </c>
      <c r="AH3739">
        <v>5.01</v>
      </c>
      <c r="AI3739">
        <v>0.06</v>
      </c>
      <c r="AJ3739">
        <v>7.0000000000000007E-2</v>
      </c>
      <c r="AK3739">
        <v>41</v>
      </c>
      <c r="AL3739">
        <v>34</v>
      </c>
      <c r="AM3739">
        <v>14</v>
      </c>
      <c r="AN3739">
        <v>8.19</v>
      </c>
      <c r="AO3739">
        <v>-0.63</v>
      </c>
      <c r="AP3739">
        <v>4</v>
      </c>
      <c r="AQ3739">
        <v>0</v>
      </c>
      <c r="AR3739">
        <v>6.33</v>
      </c>
      <c r="AS3739">
        <v>19</v>
      </c>
      <c r="AT3739">
        <v>2.81</v>
      </c>
      <c r="AU3739">
        <v>34</v>
      </c>
      <c r="AV3739">
        <v>0.4</v>
      </c>
      <c r="AW3739">
        <v>58</v>
      </c>
      <c r="AX3739">
        <v>0.42</v>
      </c>
      <c r="AY3739">
        <v>47</v>
      </c>
      <c r="AZ3739">
        <v>6.07</v>
      </c>
      <c r="BA3739">
        <v>24</v>
      </c>
      <c r="BB3739">
        <v>4.07</v>
      </c>
      <c r="BC3739">
        <v>30</v>
      </c>
      <c r="BD3739">
        <v>0.01</v>
      </c>
      <c r="BE3739">
        <v>0.04</v>
      </c>
      <c r="BF3739">
        <v>-0.03</v>
      </c>
      <c r="BG3739">
        <v>57</v>
      </c>
      <c r="BH3739">
        <v>-0.06</v>
      </c>
      <c r="BI3739">
        <v>-0.83</v>
      </c>
      <c r="BJ3739">
        <v>0</v>
      </c>
      <c r="BK3739">
        <v>0</v>
      </c>
      <c r="BL3739">
        <v>0</v>
      </c>
      <c r="BM3739">
        <v>0</v>
      </c>
      <c r="BN3739">
        <v>0</v>
      </c>
      <c r="BO3739">
        <v>0</v>
      </c>
      <c r="BP3739">
        <v>0</v>
      </c>
      <c r="BQ3739">
        <v>0</v>
      </c>
      <c r="BR3739">
        <v>0</v>
      </c>
      <c r="BS3739">
        <v>0</v>
      </c>
      <c r="BT3739">
        <v>0</v>
      </c>
      <c r="BU3739">
        <v>0</v>
      </c>
      <c r="BV3739">
        <v>0</v>
      </c>
      <c r="BW3739">
        <v>0</v>
      </c>
      <c r="BX3739">
        <v>0</v>
      </c>
      <c r="BY3739">
        <v>0</v>
      </c>
      <c r="BZ3739">
        <v>0</v>
      </c>
      <c r="CA3739">
        <v>0</v>
      </c>
      <c r="CB3739">
        <v>0</v>
      </c>
      <c r="CC3739">
        <v>0</v>
      </c>
      <c r="CD3739">
        <v>0</v>
      </c>
      <c r="CE3739">
        <v>0</v>
      </c>
      <c r="CF3739">
        <v>0</v>
      </c>
      <c r="CG3739">
        <v>0</v>
      </c>
      <c r="CH3739">
        <v>0</v>
      </c>
      <c r="CI3739">
        <v>0</v>
      </c>
      <c r="CJ3739">
        <v>5.0999999999999996</v>
      </c>
      <c r="CK3739">
        <v>56</v>
      </c>
      <c r="CL3739">
        <v>-0.05</v>
      </c>
      <c r="CM3739">
        <v>51</v>
      </c>
      <c r="CN3739">
        <v>0.05</v>
      </c>
      <c r="CO3739">
        <v>45</v>
      </c>
      <c r="CP3739">
        <v>6.4</v>
      </c>
      <c r="CQ3739">
        <v>65</v>
      </c>
      <c r="CR3739">
        <v>0</v>
      </c>
      <c r="CS3739">
        <v>0</v>
      </c>
      <c r="CT3739">
        <v>5.0999999999999996</v>
      </c>
      <c r="CU3739">
        <v>41</v>
      </c>
      <c r="CV3739">
        <v>-0.08</v>
      </c>
      <c r="CW3739">
        <v>13</v>
      </c>
      <c r="CX3739">
        <v>0</v>
      </c>
    </row>
    <row r="3740" spans="1:102" x14ac:dyDescent="0.3">
      <c r="A3740" t="str">
        <f>HYPERLINK("https://webapp.icbf.com/v2/app/bull-search/view/348455646","SGI")</f>
        <v>SGI</v>
      </c>
      <c r="B3740" t="s">
        <v>8740</v>
      </c>
      <c r="C3740" t="s">
        <v>8741</v>
      </c>
      <c r="D3740" s="1">
        <v>35836</v>
      </c>
      <c r="E3740" t="s">
        <v>92</v>
      </c>
      <c r="F3740">
        <v>100</v>
      </c>
      <c r="G3740" t="s">
        <v>109</v>
      </c>
      <c r="H3740">
        <v>-58.74</v>
      </c>
      <c r="I3740">
        <v>63</v>
      </c>
      <c r="J3740">
        <v>34.590000000000003</v>
      </c>
      <c r="K3740">
        <v>71</v>
      </c>
      <c r="L3740">
        <v>-110.37</v>
      </c>
      <c r="M3740">
        <v>72</v>
      </c>
      <c r="N3740">
        <v>20.059999999999999</v>
      </c>
      <c r="O3740">
        <v>52</v>
      </c>
      <c r="P3740">
        <v>-7.71</v>
      </c>
      <c r="Q3740">
        <v>47</v>
      </c>
      <c r="R3740">
        <v>-7.07</v>
      </c>
      <c r="S3740">
        <v>59</v>
      </c>
      <c r="T3740">
        <v>8.94</v>
      </c>
      <c r="U3740">
        <v>38</v>
      </c>
      <c r="V3740">
        <v>2.82</v>
      </c>
      <c r="W3740">
        <v>33</v>
      </c>
      <c r="X3740" t="s">
        <v>251</v>
      </c>
      <c r="Y3740" t="s">
        <v>95</v>
      </c>
      <c r="Z3740" t="s">
        <v>96</v>
      </c>
      <c r="AA3740" t="s">
        <v>751</v>
      </c>
      <c r="AB3740" t="s">
        <v>8742</v>
      </c>
      <c r="AC3740">
        <v>0</v>
      </c>
      <c r="AD3740">
        <v>0</v>
      </c>
      <c r="AE3740">
        <v>71</v>
      </c>
      <c r="AF3740">
        <v>93.42</v>
      </c>
      <c r="AG3740">
        <v>5.49</v>
      </c>
      <c r="AH3740">
        <v>5.37</v>
      </c>
      <c r="AI3740">
        <v>0.03</v>
      </c>
      <c r="AJ3740">
        <v>0.04</v>
      </c>
      <c r="AK3740">
        <v>72</v>
      </c>
      <c r="AL3740">
        <v>0</v>
      </c>
      <c r="AM3740">
        <v>0</v>
      </c>
      <c r="AN3740">
        <v>6.19</v>
      </c>
      <c r="AO3740">
        <v>-2.61</v>
      </c>
      <c r="AP3740">
        <v>5</v>
      </c>
      <c r="AQ3740">
        <v>0</v>
      </c>
      <c r="AR3740">
        <v>7.04</v>
      </c>
      <c r="AS3740">
        <v>32</v>
      </c>
      <c r="AT3740">
        <v>3.47</v>
      </c>
      <c r="AU3740">
        <v>63</v>
      </c>
      <c r="AV3740">
        <v>-2.36</v>
      </c>
      <c r="AW3740">
        <v>61</v>
      </c>
      <c r="AX3740">
        <v>-0.1</v>
      </c>
      <c r="AY3740">
        <v>39</v>
      </c>
      <c r="AZ3740">
        <v>6.15</v>
      </c>
      <c r="BA3740">
        <v>30</v>
      </c>
      <c r="BB3740">
        <v>4.54</v>
      </c>
      <c r="BC3740">
        <v>30</v>
      </c>
      <c r="BD3740">
        <v>0.04</v>
      </c>
      <c r="BE3740">
        <v>0.04</v>
      </c>
      <c r="BF3740">
        <v>0.02</v>
      </c>
      <c r="BG3740">
        <v>81</v>
      </c>
      <c r="BH3740">
        <v>0.08</v>
      </c>
      <c r="BI3740">
        <v>0.17</v>
      </c>
      <c r="BJ3740">
        <v>0</v>
      </c>
      <c r="BK3740">
        <v>0</v>
      </c>
      <c r="BL3740">
        <v>0.47</v>
      </c>
      <c r="BM3740">
        <v>0.35</v>
      </c>
      <c r="BN3740">
        <v>0.93</v>
      </c>
      <c r="BO3740">
        <v>0.14000000000000001</v>
      </c>
      <c r="BP3740">
        <v>-1.92</v>
      </c>
      <c r="BQ3740">
        <v>-0.86</v>
      </c>
      <c r="BR3740">
        <v>2.5099999999999998</v>
      </c>
      <c r="BS3740">
        <v>-1.35</v>
      </c>
      <c r="BT3740">
        <v>-1.35</v>
      </c>
      <c r="BU3740">
        <v>-0.62</v>
      </c>
      <c r="BV3740">
        <v>0.39</v>
      </c>
      <c r="BW3740">
        <v>-0.53</v>
      </c>
      <c r="BX3740">
        <v>-1.54</v>
      </c>
      <c r="BY3740">
        <v>-0.68</v>
      </c>
      <c r="BZ3740">
        <v>-0.99</v>
      </c>
      <c r="CA3740">
        <v>-0.57999999999999996</v>
      </c>
      <c r="CB3740">
        <v>-0.28000000000000003</v>
      </c>
      <c r="CC3740">
        <v>-0.94</v>
      </c>
      <c r="CD3740">
        <v>0</v>
      </c>
      <c r="CE3740">
        <v>0</v>
      </c>
      <c r="CF3740">
        <v>0</v>
      </c>
      <c r="CG3740">
        <v>0</v>
      </c>
      <c r="CH3740">
        <v>0</v>
      </c>
      <c r="CI3740">
        <v>0</v>
      </c>
      <c r="CJ3740">
        <v>-3.7</v>
      </c>
      <c r="CK3740">
        <v>49</v>
      </c>
      <c r="CL3740">
        <v>-0.41</v>
      </c>
      <c r="CM3740">
        <v>45</v>
      </c>
      <c r="CN3740">
        <v>-0.22</v>
      </c>
      <c r="CO3740">
        <v>42</v>
      </c>
      <c r="CP3740">
        <v>-6.3</v>
      </c>
      <c r="CQ3740">
        <v>46</v>
      </c>
      <c r="CR3740">
        <v>0</v>
      </c>
      <c r="CS3740">
        <v>0</v>
      </c>
      <c r="CT3740">
        <v>1.7</v>
      </c>
      <c r="CU3740">
        <v>38</v>
      </c>
      <c r="CV3740">
        <v>0.09</v>
      </c>
      <c r="CW3740">
        <v>14</v>
      </c>
      <c r="CX3740" t="s">
        <v>190</v>
      </c>
    </row>
    <row r="3741" spans="1:102" x14ac:dyDescent="0.3">
      <c r="A3741" t="str">
        <f>HYPERLINK("https://webapp.icbf.com/v2/app/bull-search/view/77859625","BFI")</f>
        <v>BFI</v>
      </c>
      <c r="B3741" t="s">
        <v>14114</v>
      </c>
      <c r="C3741" t="s">
        <v>14115</v>
      </c>
      <c r="D3741" s="1">
        <v>31611</v>
      </c>
      <c r="E3741" t="s">
        <v>92</v>
      </c>
      <c r="F3741">
        <v>100</v>
      </c>
      <c r="G3741" t="s">
        <v>93</v>
      </c>
      <c r="H3741">
        <v>-58.84</v>
      </c>
      <c r="I3741">
        <v>87</v>
      </c>
      <c r="J3741">
        <v>19.64</v>
      </c>
      <c r="K3741">
        <v>98</v>
      </c>
      <c r="L3741">
        <v>-62.08</v>
      </c>
      <c r="M3741">
        <v>84</v>
      </c>
      <c r="N3741">
        <v>-6.56</v>
      </c>
      <c r="O3741">
        <v>76</v>
      </c>
      <c r="P3741">
        <v>-13.07</v>
      </c>
      <c r="Q3741">
        <v>91</v>
      </c>
      <c r="R3741">
        <v>-0.2</v>
      </c>
      <c r="S3741">
        <v>77</v>
      </c>
      <c r="T3741">
        <v>9.4600000000000009</v>
      </c>
      <c r="U3741">
        <v>85</v>
      </c>
      <c r="V3741">
        <v>-6.03</v>
      </c>
      <c r="W3741">
        <v>50</v>
      </c>
      <c r="X3741" t="s">
        <v>94</v>
      </c>
      <c r="Y3741" t="s">
        <v>95</v>
      </c>
      <c r="Z3741" t="s">
        <v>96</v>
      </c>
      <c r="AA3741" t="s">
        <v>3680</v>
      </c>
      <c r="AB3741" t="s">
        <v>14116</v>
      </c>
      <c r="AC3741">
        <v>272</v>
      </c>
      <c r="AD3741">
        <v>153</v>
      </c>
      <c r="AE3741">
        <v>98</v>
      </c>
      <c r="AF3741">
        <v>-72.3</v>
      </c>
      <c r="AG3741">
        <v>8.69</v>
      </c>
      <c r="AH3741">
        <v>-0.84</v>
      </c>
      <c r="AI3741">
        <v>0.19</v>
      </c>
      <c r="AJ3741">
        <v>0.03</v>
      </c>
      <c r="AK3741">
        <v>84</v>
      </c>
      <c r="AL3741">
        <v>385</v>
      </c>
      <c r="AM3741">
        <v>229</v>
      </c>
      <c r="AN3741">
        <v>2.7</v>
      </c>
      <c r="AO3741">
        <v>-2.2599999999999998</v>
      </c>
      <c r="AP3741">
        <v>15</v>
      </c>
      <c r="AQ3741">
        <v>1</v>
      </c>
      <c r="AR3741">
        <v>8.4600000000000009</v>
      </c>
      <c r="AS3741">
        <v>42</v>
      </c>
      <c r="AT3741">
        <v>4.3</v>
      </c>
      <c r="AU3741">
        <v>73</v>
      </c>
      <c r="AV3741">
        <v>-0.85</v>
      </c>
      <c r="AW3741">
        <v>87</v>
      </c>
      <c r="AX3741">
        <v>0.17</v>
      </c>
      <c r="AY3741">
        <v>87</v>
      </c>
      <c r="AZ3741">
        <v>5.58</v>
      </c>
      <c r="BA3741">
        <v>43</v>
      </c>
      <c r="BB3741">
        <v>5.03</v>
      </c>
      <c r="BC3741">
        <v>69</v>
      </c>
      <c r="BD3741">
        <v>0.01</v>
      </c>
      <c r="BE3741">
        <v>0.02</v>
      </c>
      <c r="BF3741">
        <v>-0.05</v>
      </c>
      <c r="BG3741">
        <v>95</v>
      </c>
      <c r="BH3741">
        <v>-0.25</v>
      </c>
      <c r="BI3741">
        <v>-9.4600000000000009</v>
      </c>
      <c r="BJ3741">
        <v>7</v>
      </c>
      <c r="BK3741">
        <v>5</v>
      </c>
      <c r="BL3741">
        <v>-0.02</v>
      </c>
      <c r="BM3741">
        <v>-0.94</v>
      </c>
      <c r="BN3741">
        <v>0.1</v>
      </c>
      <c r="BO3741">
        <v>-0.22</v>
      </c>
      <c r="BP3741">
        <v>-1.99</v>
      </c>
      <c r="BQ3741">
        <v>-1.91</v>
      </c>
      <c r="BR3741">
        <v>-0.2</v>
      </c>
      <c r="BS3741">
        <v>-0.72</v>
      </c>
      <c r="BT3741">
        <v>0.48</v>
      </c>
      <c r="BU3741">
        <v>0.03</v>
      </c>
      <c r="BV3741">
        <v>0.02</v>
      </c>
      <c r="BW3741">
        <v>-0.74</v>
      </c>
      <c r="BX3741">
        <v>0.39</v>
      </c>
      <c r="BY3741">
        <v>-0.2</v>
      </c>
      <c r="BZ3741">
        <v>0.66</v>
      </c>
      <c r="CA3741">
        <v>-0.08</v>
      </c>
      <c r="CB3741">
        <v>0.23</v>
      </c>
      <c r="CC3741">
        <v>-1.39</v>
      </c>
      <c r="CD3741">
        <v>-0.32</v>
      </c>
      <c r="CE3741">
        <v>-0.71</v>
      </c>
      <c r="CF3741">
        <v>-0.53</v>
      </c>
      <c r="CG3741">
        <v>0</v>
      </c>
      <c r="CH3741">
        <v>-0.27</v>
      </c>
      <c r="CI3741">
        <v>0</v>
      </c>
      <c r="CJ3741">
        <v>-5.3</v>
      </c>
      <c r="CK3741">
        <v>92</v>
      </c>
      <c r="CL3741">
        <v>-0.8</v>
      </c>
      <c r="CM3741">
        <v>90</v>
      </c>
      <c r="CN3741">
        <v>-0.23</v>
      </c>
      <c r="CO3741">
        <v>89</v>
      </c>
      <c r="CP3741">
        <v>-1.3</v>
      </c>
      <c r="CQ3741">
        <v>94</v>
      </c>
      <c r="CR3741">
        <v>0</v>
      </c>
      <c r="CS3741">
        <v>0</v>
      </c>
      <c r="CT3741">
        <v>1</v>
      </c>
      <c r="CU3741">
        <v>85</v>
      </c>
      <c r="CV3741">
        <v>0.12</v>
      </c>
      <c r="CW3741">
        <v>26</v>
      </c>
      <c r="CX3741" t="s">
        <v>3433</v>
      </c>
    </row>
    <row r="3742" spans="1:102" x14ac:dyDescent="0.3">
      <c r="A3742" t="str">
        <f>HYPERLINK("https://webapp.icbf.com/v2/app/bull-search/view/76489416","LYY")</f>
        <v>LYY</v>
      </c>
      <c r="B3742" t="s">
        <v>15075</v>
      </c>
      <c r="C3742" t="s">
        <v>15076</v>
      </c>
      <c r="D3742" s="1">
        <v>36793</v>
      </c>
      <c r="E3742" t="s">
        <v>108</v>
      </c>
      <c r="F3742">
        <v>3</v>
      </c>
      <c r="G3742" t="s">
        <v>93</v>
      </c>
      <c r="H3742">
        <v>-59.02</v>
      </c>
      <c r="I3742">
        <v>68</v>
      </c>
      <c r="J3742">
        <v>-54.61</v>
      </c>
      <c r="K3742">
        <v>87</v>
      </c>
      <c r="L3742">
        <v>-3.27</v>
      </c>
      <c r="M3742">
        <v>53</v>
      </c>
      <c r="N3742">
        <v>-3.88</v>
      </c>
      <c r="O3742">
        <v>66</v>
      </c>
      <c r="P3742">
        <v>9.6</v>
      </c>
      <c r="Q3742">
        <v>89</v>
      </c>
      <c r="R3742">
        <v>-2.61</v>
      </c>
      <c r="S3742">
        <v>56</v>
      </c>
      <c r="T3742">
        <v>1.32</v>
      </c>
      <c r="U3742">
        <v>61</v>
      </c>
      <c r="V3742">
        <v>-5.57</v>
      </c>
      <c r="W3742">
        <v>28</v>
      </c>
      <c r="X3742" t="s">
        <v>15077</v>
      </c>
      <c r="Y3742" t="s">
        <v>95</v>
      </c>
      <c r="Z3742" t="s">
        <v>96</v>
      </c>
      <c r="AA3742" t="s">
        <v>2906</v>
      </c>
      <c r="AB3742" t="s">
        <v>6443</v>
      </c>
      <c r="AC3742">
        <v>32</v>
      </c>
      <c r="AD3742">
        <v>1</v>
      </c>
      <c r="AE3742">
        <v>87</v>
      </c>
      <c r="AF3742">
        <v>-564.53</v>
      </c>
      <c r="AG3742">
        <v>-13</v>
      </c>
      <c r="AH3742">
        <v>-13.33</v>
      </c>
      <c r="AI3742">
        <v>0.17</v>
      </c>
      <c r="AJ3742">
        <v>0.11</v>
      </c>
      <c r="AK3742">
        <v>53</v>
      </c>
      <c r="AL3742">
        <v>27</v>
      </c>
      <c r="AM3742">
        <v>3</v>
      </c>
      <c r="AN3742">
        <v>-1.32</v>
      </c>
      <c r="AO3742">
        <v>-1.6</v>
      </c>
      <c r="AP3742">
        <v>95</v>
      </c>
      <c r="AQ3742">
        <v>0</v>
      </c>
      <c r="AR3742">
        <v>8.15</v>
      </c>
      <c r="AS3742">
        <v>57</v>
      </c>
      <c r="AT3742">
        <v>3.31</v>
      </c>
      <c r="AU3742">
        <v>72</v>
      </c>
      <c r="AV3742">
        <v>0.47</v>
      </c>
      <c r="AW3742">
        <v>72</v>
      </c>
      <c r="AX3742">
        <v>0.7</v>
      </c>
      <c r="AY3742">
        <v>65</v>
      </c>
      <c r="AZ3742">
        <v>5.67</v>
      </c>
      <c r="BA3742">
        <v>48</v>
      </c>
      <c r="BB3742">
        <v>4.21</v>
      </c>
      <c r="BC3742">
        <v>49</v>
      </c>
      <c r="BD3742">
        <v>0.03</v>
      </c>
      <c r="BE3742">
        <v>0</v>
      </c>
      <c r="BF3742">
        <v>0.01</v>
      </c>
      <c r="BG3742">
        <v>70</v>
      </c>
      <c r="BH3742">
        <v>-0.15</v>
      </c>
      <c r="BI3742">
        <v>0.63</v>
      </c>
      <c r="BJ3742">
        <v>0</v>
      </c>
      <c r="BK3742">
        <v>0</v>
      </c>
      <c r="BL3742">
        <v>-2.68</v>
      </c>
      <c r="BM3742">
        <v>2</v>
      </c>
      <c r="BN3742">
        <v>-1.8</v>
      </c>
      <c r="BO3742">
        <v>-2.74</v>
      </c>
      <c r="BP3742">
        <v>0.88</v>
      </c>
      <c r="BQ3742">
        <v>0.54</v>
      </c>
      <c r="BR3742">
        <v>-1.43</v>
      </c>
      <c r="BS3742">
        <v>0.98</v>
      </c>
      <c r="BT3742">
        <v>1.91</v>
      </c>
      <c r="BU3742">
        <v>-1.64</v>
      </c>
      <c r="BV3742">
        <v>-2.3199999999999998</v>
      </c>
      <c r="BW3742">
        <v>-2.37</v>
      </c>
      <c r="BX3742">
        <v>-1.76</v>
      </c>
      <c r="BY3742">
        <v>-1.81</v>
      </c>
      <c r="BZ3742">
        <v>-0.72</v>
      </c>
      <c r="CA3742">
        <v>-1.57</v>
      </c>
      <c r="CB3742">
        <v>-2.23</v>
      </c>
      <c r="CC3742">
        <v>0.36</v>
      </c>
      <c r="CD3742">
        <v>2.48</v>
      </c>
      <c r="CE3742">
        <v>-2.82</v>
      </c>
      <c r="CF3742">
        <v>-1.53</v>
      </c>
      <c r="CG3742">
        <v>0</v>
      </c>
      <c r="CH3742">
        <v>-1.46</v>
      </c>
      <c r="CI3742">
        <v>0</v>
      </c>
      <c r="CJ3742">
        <v>4.9000000000000004</v>
      </c>
      <c r="CK3742">
        <v>91</v>
      </c>
      <c r="CL3742">
        <v>-0.08</v>
      </c>
      <c r="CM3742">
        <v>89</v>
      </c>
      <c r="CN3742">
        <v>-0.19</v>
      </c>
      <c r="CO3742">
        <v>88</v>
      </c>
      <c r="CP3742">
        <v>9.6</v>
      </c>
      <c r="CQ3742">
        <v>80</v>
      </c>
      <c r="CR3742">
        <v>0</v>
      </c>
      <c r="CS3742">
        <v>0</v>
      </c>
      <c r="CT3742">
        <v>12</v>
      </c>
      <c r="CU3742">
        <v>61</v>
      </c>
      <c r="CV3742">
        <v>0</v>
      </c>
      <c r="CW3742">
        <v>26</v>
      </c>
      <c r="CX3742" t="s">
        <v>3741</v>
      </c>
    </row>
    <row r="3743" spans="1:102" x14ac:dyDescent="0.3">
      <c r="A3743" t="str">
        <f>HYPERLINK("https://webapp.icbf.com/v2/app/bull-search/view/77854645","OVK")</f>
        <v>OVK</v>
      </c>
      <c r="B3743" t="s">
        <v>6598</v>
      </c>
      <c r="C3743" t="s">
        <v>6599</v>
      </c>
      <c r="D3743" s="1">
        <v>35634</v>
      </c>
      <c r="E3743" t="s">
        <v>92</v>
      </c>
      <c r="F3743">
        <v>100</v>
      </c>
      <c r="G3743" t="s">
        <v>93</v>
      </c>
      <c r="H3743">
        <v>-59.1</v>
      </c>
      <c r="I3743">
        <v>90</v>
      </c>
      <c r="J3743">
        <v>24.18</v>
      </c>
      <c r="K3743">
        <v>98</v>
      </c>
      <c r="L3743">
        <v>-74.66</v>
      </c>
      <c r="M3743">
        <v>85</v>
      </c>
      <c r="N3743">
        <v>6.36</v>
      </c>
      <c r="O3743">
        <v>85</v>
      </c>
      <c r="P3743">
        <v>-6.21</v>
      </c>
      <c r="Q3743">
        <v>92</v>
      </c>
      <c r="R3743">
        <v>-19.760000000000002</v>
      </c>
      <c r="S3743">
        <v>84</v>
      </c>
      <c r="T3743">
        <v>11.16</v>
      </c>
      <c r="U3743">
        <v>86</v>
      </c>
      <c r="V3743">
        <v>-0.17</v>
      </c>
      <c r="W3743">
        <v>76</v>
      </c>
      <c r="X3743" t="s">
        <v>94</v>
      </c>
      <c r="Y3743" t="s">
        <v>95</v>
      </c>
      <c r="Z3743" t="s">
        <v>96</v>
      </c>
      <c r="AA3743" t="s">
        <v>753</v>
      </c>
      <c r="AB3743" t="s">
        <v>4939</v>
      </c>
      <c r="AC3743">
        <v>160</v>
      </c>
      <c r="AD3743">
        <v>139</v>
      </c>
      <c r="AE3743">
        <v>98</v>
      </c>
      <c r="AF3743">
        <v>293.5</v>
      </c>
      <c r="AG3743">
        <v>7.28</v>
      </c>
      <c r="AH3743">
        <v>6.03</v>
      </c>
      <c r="AI3743">
        <v>-7.0000000000000007E-2</v>
      </c>
      <c r="AJ3743">
        <v>-7.0000000000000007E-2</v>
      </c>
      <c r="AK3743">
        <v>85</v>
      </c>
      <c r="AL3743">
        <v>160</v>
      </c>
      <c r="AM3743">
        <v>124</v>
      </c>
      <c r="AN3743">
        <v>4.41</v>
      </c>
      <c r="AO3743">
        <v>-1.54</v>
      </c>
      <c r="AP3743">
        <v>13</v>
      </c>
      <c r="AQ3743">
        <v>0</v>
      </c>
      <c r="AR3743">
        <v>8.1</v>
      </c>
      <c r="AS3743">
        <v>77</v>
      </c>
      <c r="AT3743">
        <v>3.13</v>
      </c>
      <c r="AU3743">
        <v>85</v>
      </c>
      <c r="AV3743">
        <v>-0.64</v>
      </c>
      <c r="AW3743">
        <v>88</v>
      </c>
      <c r="AX3743">
        <v>-0.68</v>
      </c>
      <c r="AY3743">
        <v>86</v>
      </c>
      <c r="AZ3743">
        <v>5.88</v>
      </c>
      <c r="BA3743">
        <v>73</v>
      </c>
      <c r="BB3743">
        <v>5</v>
      </c>
      <c r="BC3743">
        <v>79</v>
      </c>
      <c r="BD3743">
        <v>0.08</v>
      </c>
      <c r="BE3743">
        <v>0.09</v>
      </c>
      <c r="BF3743">
        <v>0.15</v>
      </c>
      <c r="BG3743">
        <v>93</v>
      </c>
      <c r="BH3743">
        <v>0.02</v>
      </c>
      <c r="BI3743">
        <v>2.85</v>
      </c>
      <c r="BJ3743">
        <v>37</v>
      </c>
      <c r="BK3743">
        <v>28</v>
      </c>
      <c r="BL3743">
        <v>0.13</v>
      </c>
      <c r="BM3743">
        <v>1.29</v>
      </c>
      <c r="BN3743">
        <v>0.42</v>
      </c>
      <c r="BO3743">
        <v>-0.04</v>
      </c>
      <c r="BP3743">
        <v>-2.27</v>
      </c>
      <c r="BQ3743">
        <v>0.23</v>
      </c>
      <c r="BR3743">
        <v>1.54</v>
      </c>
      <c r="BS3743">
        <v>-0.79</v>
      </c>
      <c r="BT3743">
        <v>-0.92</v>
      </c>
      <c r="BU3743">
        <v>0.84</v>
      </c>
      <c r="BV3743">
        <v>-0.34</v>
      </c>
      <c r="BW3743">
        <v>-0.83</v>
      </c>
      <c r="BX3743">
        <v>0.03</v>
      </c>
      <c r="BY3743">
        <v>0.95</v>
      </c>
      <c r="BZ3743">
        <v>0.91</v>
      </c>
      <c r="CA3743">
        <v>-0.3</v>
      </c>
      <c r="CB3743">
        <v>0.23</v>
      </c>
      <c r="CC3743">
        <v>-1.37</v>
      </c>
      <c r="CD3743">
        <v>0.47</v>
      </c>
      <c r="CE3743">
        <v>0.14000000000000001</v>
      </c>
      <c r="CF3743">
        <v>-0.42</v>
      </c>
      <c r="CG3743">
        <v>0</v>
      </c>
      <c r="CH3743">
        <v>1.1000000000000001</v>
      </c>
      <c r="CI3743">
        <v>0</v>
      </c>
      <c r="CJ3743">
        <v>-0.8</v>
      </c>
      <c r="CK3743">
        <v>93</v>
      </c>
      <c r="CL3743">
        <v>-0.7</v>
      </c>
      <c r="CM3743">
        <v>91</v>
      </c>
      <c r="CN3743">
        <v>-0.28999999999999998</v>
      </c>
      <c r="CO3743">
        <v>90</v>
      </c>
      <c r="CP3743">
        <v>-8.5</v>
      </c>
      <c r="CQ3743">
        <v>93</v>
      </c>
      <c r="CR3743">
        <v>0</v>
      </c>
      <c r="CS3743">
        <v>0</v>
      </c>
      <c r="CT3743">
        <v>-1.3</v>
      </c>
      <c r="CU3743">
        <v>86</v>
      </c>
      <c r="CV3743">
        <v>0.13</v>
      </c>
      <c r="CW3743">
        <v>45</v>
      </c>
      <c r="CX3743" t="s">
        <v>485</v>
      </c>
    </row>
    <row r="3744" spans="1:102" x14ac:dyDescent="0.3">
      <c r="A3744" t="str">
        <f>HYPERLINK("https://webapp.icbf.com/v2/app/bull-search/view/108367927","DII")</f>
        <v>DII</v>
      </c>
      <c r="B3744" t="s">
        <v>9684</v>
      </c>
      <c r="C3744" t="s">
        <v>9685</v>
      </c>
      <c r="D3744" s="1">
        <v>36641</v>
      </c>
      <c r="E3744" t="s">
        <v>92</v>
      </c>
      <c r="F3744">
        <v>100</v>
      </c>
      <c r="G3744" t="s">
        <v>116</v>
      </c>
      <c r="H3744">
        <v>-59.11</v>
      </c>
      <c r="I3744">
        <v>34</v>
      </c>
      <c r="J3744">
        <v>22.67</v>
      </c>
      <c r="K3744">
        <v>46</v>
      </c>
      <c r="L3744">
        <v>-89.53</v>
      </c>
      <c r="M3744">
        <v>26</v>
      </c>
      <c r="N3744">
        <v>4.3899999999999997</v>
      </c>
      <c r="O3744">
        <v>31</v>
      </c>
      <c r="P3744">
        <v>-1.47</v>
      </c>
      <c r="Q3744">
        <v>34</v>
      </c>
      <c r="R3744">
        <v>-0.93</v>
      </c>
      <c r="S3744">
        <v>30</v>
      </c>
      <c r="T3744">
        <v>8.35</v>
      </c>
      <c r="U3744">
        <v>31</v>
      </c>
      <c r="V3744">
        <v>-2.59</v>
      </c>
      <c r="W3744">
        <v>17</v>
      </c>
      <c r="X3744" t="s">
        <v>94</v>
      </c>
      <c r="Y3744" t="s">
        <v>974</v>
      </c>
      <c r="Z3744" t="s">
        <v>96</v>
      </c>
      <c r="AA3744" t="s">
        <v>906</v>
      </c>
      <c r="AB3744" t="s">
        <v>9686</v>
      </c>
      <c r="AC3744">
        <v>3</v>
      </c>
      <c r="AD3744">
        <v>3</v>
      </c>
      <c r="AE3744">
        <v>46</v>
      </c>
      <c r="AF3744">
        <v>8.0399999999999991</v>
      </c>
      <c r="AG3744">
        <v>9.0399999999999991</v>
      </c>
      <c r="AH3744">
        <v>0.78</v>
      </c>
      <c r="AI3744">
        <v>0.14000000000000001</v>
      </c>
      <c r="AJ3744">
        <v>0.01</v>
      </c>
      <c r="AK3744">
        <v>26</v>
      </c>
      <c r="AL3744">
        <v>4</v>
      </c>
      <c r="AM3744">
        <v>4</v>
      </c>
      <c r="AN3744">
        <v>4.9000000000000004</v>
      </c>
      <c r="AO3744">
        <v>-2.2400000000000002</v>
      </c>
      <c r="AP3744">
        <v>1</v>
      </c>
      <c r="AQ3744">
        <v>0</v>
      </c>
      <c r="AR3744">
        <v>8.8699999999999992</v>
      </c>
      <c r="AS3744">
        <v>20</v>
      </c>
      <c r="AT3744">
        <v>3.49</v>
      </c>
      <c r="AU3744">
        <v>33</v>
      </c>
      <c r="AV3744">
        <v>-1.01</v>
      </c>
      <c r="AW3744">
        <v>36</v>
      </c>
      <c r="AX3744">
        <v>-0.14000000000000001</v>
      </c>
      <c r="AY3744">
        <v>30</v>
      </c>
      <c r="AZ3744">
        <v>5.91</v>
      </c>
      <c r="BA3744">
        <v>21</v>
      </c>
      <c r="BB3744">
        <v>4.55</v>
      </c>
      <c r="BC3744">
        <v>23</v>
      </c>
      <c r="BD3744">
        <v>0.02</v>
      </c>
      <c r="BE3744">
        <v>0.02</v>
      </c>
      <c r="BF3744">
        <v>-0.05</v>
      </c>
      <c r="BG3744">
        <v>37</v>
      </c>
      <c r="BH3744">
        <v>0</v>
      </c>
      <c r="BI3744">
        <v>8.3699999999999992</v>
      </c>
      <c r="BJ3744">
        <v>1</v>
      </c>
      <c r="BK3744">
        <v>1</v>
      </c>
      <c r="BL3744">
        <v>-0.04</v>
      </c>
      <c r="BM3744">
        <v>0.55000000000000004</v>
      </c>
      <c r="BN3744">
        <v>-0.22</v>
      </c>
      <c r="BO3744">
        <v>-0.49</v>
      </c>
      <c r="BP3744">
        <v>2.27</v>
      </c>
      <c r="BQ3744">
        <v>-0.75</v>
      </c>
      <c r="BR3744">
        <v>0.09</v>
      </c>
      <c r="BS3744">
        <v>-0.24</v>
      </c>
      <c r="BT3744">
        <v>0.13</v>
      </c>
      <c r="BU3744">
        <v>-1</v>
      </c>
      <c r="BV3744">
        <v>-0.71</v>
      </c>
      <c r="BW3744">
        <v>-0.85</v>
      </c>
      <c r="BX3744">
        <v>-0.94</v>
      </c>
      <c r="BY3744">
        <v>-0.88</v>
      </c>
      <c r="BZ3744">
        <v>0.62</v>
      </c>
      <c r="CA3744">
        <v>-1.25</v>
      </c>
      <c r="CB3744">
        <v>-1.05</v>
      </c>
      <c r="CC3744">
        <v>-1.1200000000000001</v>
      </c>
      <c r="CD3744">
        <v>0.23</v>
      </c>
      <c r="CE3744">
        <v>-0.32</v>
      </c>
      <c r="CF3744">
        <v>-0.42</v>
      </c>
      <c r="CG3744">
        <v>0</v>
      </c>
      <c r="CH3744">
        <v>-0.74</v>
      </c>
      <c r="CI3744">
        <v>0</v>
      </c>
      <c r="CJ3744">
        <v>0.4</v>
      </c>
      <c r="CK3744">
        <v>35</v>
      </c>
      <c r="CL3744">
        <v>-0.57999999999999996</v>
      </c>
      <c r="CM3744">
        <v>33</v>
      </c>
      <c r="CN3744">
        <v>-0.34</v>
      </c>
      <c r="CO3744">
        <v>30</v>
      </c>
      <c r="CP3744">
        <v>-0.1</v>
      </c>
      <c r="CQ3744">
        <v>40</v>
      </c>
      <c r="CR3744">
        <v>0</v>
      </c>
      <c r="CS3744">
        <v>0</v>
      </c>
      <c r="CT3744">
        <v>2.5</v>
      </c>
      <c r="CU3744">
        <v>31</v>
      </c>
      <c r="CV3744">
        <v>0.18</v>
      </c>
      <c r="CW3744">
        <v>9</v>
      </c>
      <c r="CX3744" t="s">
        <v>9687</v>
      </c>
    </row>
    <row r="3745" spans="1:102" x14ac:dyDescent="0.3">
      <c r="A3745" t="str">
        <f>HYPERLINK("https://webapp.icbf.com/v2/app/bull-search/view/77858653","CUN")</f>
        <v>CUN</v>
      </c>
      <c r="B3745" t="s">
        <v>14276</v>
      </c>
      <c r="C3745" t="s">
        <v>14277</v>
      </c>
      <c r="D3745" s="1">
        <v>31436</v>
      </c>
      <c r="E3745" t="s">
        <v>108</v>
      </c>
      <c r="F3745">
        <v>0</v>
      </c>
      <c r="G3745" t="s">
        <v>93</v>
      </c>
      <c r="H3745">
        <v>-59.18</v>
      </c>
      <c r="I3745">
        <v>98</v>
      </c>
      <c r="J3745">
        <v>-53.95</v>
      </c>
      <c r="K3745">
        <v>99</v>
      </c>
      <c r="L3745">
        <v>-9.44</v>
      </c>
      <c r="M3745">
        <v>97</v>
      </c>
      <c r="N3745">
        <v>11.45</v>
      </c>
      <c r="O3745">
        <v>98</v>
      </c>
      <c r="P3745">
        <v>-14.6</v>
      </c>
      <c r="Q3745">
        <v>99</v>
      </c>
      <c r="R3745">
        <v>-12.56</v>
      </c>
      <c r="S3745">
        <v>94</v>
      </c>
      <c r="T3745">
        <v>27</v>
      </c>
      <c r="U3745">
        <v>99</v>
      </c>
      <c r="V3745">
        <v>-7.08</v>
      </c>
      <c r="W3745">
        <v>93</v>
      </c>
      <c r="X3745" t="s">
        <v>94</v>
      </c>
      <c r="Y3745" t="s">
        <v>95</v>
      </c>
      <c r="Z3745" t="s">
        <v>96</v>
      </c>
      <c r="AA3745" t="s">
        <v>14278</v>
      </c>
      <c r="AB3745" t="s">
        <v>14279</v>
      </c>
      <c r="AC3745">
        <v>2803</v>
      </c>
      <c r="AD3745">
        <v>1323</v>
      </c>
      <c r="AE3745">
        <v>99</v>
      </c>
      <c r="AF3745">
        <v>-257.52999999999997</v>
      </c>
      <c r="AG3745">
        <v>-15.34</v>
      </c>
      <c r="AH3745">
        <v>-7.69</v>
      </c>
      <c r="AI3745">
        <v>-0.1</v>
      </c>
      <c r="AJ3745">
        <v>0.02</v>
      </c>
      <c r="AK3745">
        <v>97</v>
      </c>
      <c r="AL3745">
        <v>5466</v>
      </c>
      <c r="AM3745">
        <v>2563</v>
      </c>
      <c r="AN3745">
        <v>-0.85</v>
      </c>
      <c r="AO3745">
        <v>-1.62</v>
      </c>
      <c r="AP3745">
        <v>150</v>
      </c>
      <c r="AQ3745">
        <v>0</v>
      </c>
      <c r="AR3745">
        <v>6.47</v>
      </c>
      <c r="AS3745">
        <v>91</v>
      </c>
      <c r="AT3745">
        <v>2.95</v>
      </c>
      <c r="AU3745">
        <v>97</v>
      </c>
      <c r="AV3745">
        <v>-0.84</v>
      </c>
      <c r="AW3745">
        <v>99</v>
      </c>
      <c r="AX3745">
        <v>-0.28999999999999998</v>
      </c>
      <c r="AY3745">
        <v>99</v>
      </c>
      <c r="AZ3745">
        <v>6.41</v>
      </c>
      <c r="BA3745">
        <v>91</v>
      </c>
      <c r="BB3745">
        <v>5.07</v>
      </c>
      <c r="BC3745">
        <v>97</v>
      </c>
      <c r="BD3745">
        <v>0.04</v>
      </c>
      <c r="BE3745">
        <v>0.08</v>
      </c>
      <c r="BF3745">
        <v>7.0000000000000007E-2</v>
      </c>
      <c r="BG3745">
        <v>99</v>
      </c>
      <c r="BH3745">
        <v>-0.09</v>
      </c>
      <c r="BI3745">
        <v>12.42</v>
      </c>
      <c r="BJ3745">
        <v>125</v>
      </c>
      <c r="BK3745">
        <v>103</v>
      </c>
      <c r="BL3745">
        <v>-2.5</v>
      </c>
      <c r="BM3745">
        <v>-0.3</v>
      </c>
      <c r="BN3745">
        <v>-2.73</v>
      </c>
      <c r="BO3745">
        <v>-1.93</v>
      </c>
      <c r="BP3745">
        <v>0.9</v>
      </c>
      <c r="BQ3745">
        <v>-1.08</v>
      </c>
      <c r="BR3745">
        <v>0.66</v>
      </c>
      <c r="BS3745">
        <v>-1.54</v>
      </c>
      <c r="BT3745">
        <v>-2.42</v>
      </c>
      <c r="BU3745">
        <v>-2.12</v>
      </c>
      <c r="BV3745">
        <v>-2.31</v>
      </c>
      <c r="BW3745">
        <v>-3.04</v>
      </c>
      <c r="BX3745">
        <v>-3.53</v>
      </c>
      <c r="BY3745">
        <v>-2.52</v>
      </c>
      <c r="BZ3745">
        <v>1.03</v>
      </c>
      <c r="CA3745">
        <v>-3.57</v>
      </c>
      <c r="CB3745">
        <v>-3.31</v>
      </c>
      <c r="CC3745">
        <v>-2.87</v>
      </c>
      <c r="CD3745">
        <v>1.17</v>
      </c>
      <c r="CE3745">
        <v>-1.58</v>
      </c>
      <c r="CF3745">
        <v>-2.57</v>
      </c>
      <c r="CG3745">
        <v>0</v>
      </c>
      <c r="CH3745">
        <v>-2.5299999999999998</v>
      </c>
      <c r="CI3745">
        <v>0</v>
      </c>
      <c r="CJ3745">
        <v>-6.7</v>
      </c>
      <c r="CK3745">
        <v>99</v>
      </c>
      <c r="CL3745">
        <v>-0.03</v>
      </c>
      <c r="CM3745">
        <v>99</v>
      </c>
      <c r="CN3745">
        <v>0.19</v>
      </c>
      <c r="CO3745">
        <v>99</v>
      </c>
      <c r="CP3745">
        <v>-18.8</v>
      </c>
      <c r="CQ3745">
        <v>99</v>
      </c>
      <c r="CR3745">
        <v>0</v>
      </c>
      <c r="CS3745">
        <v>0</v>
      </c>
      <c r="CT3745">
        <v>-22.7</v>
      </c>
      <c r="CU3745">
        <v>99</v>
      </c>
      <c r="CV3745">
        <v>-0.03</v>
      </c>
      <c r="CW3745">
        <v>46</v>
      </c>
      <c r="CX3745" t="s">
        <v>8971</v>
      </c>
    </row>
    <row r="3746" spans="1:102" x14ac:dyDescent="0.3">
      <c r="A3746" t="str">
        <f>HYPERLINK("https://webapp.icbf.com/v2/app/bull-search/view/117054253","TIM")</f>
        <v>TIM</v>
      </c>
      <c r="B3746" t="s">
        <v>15194</v>
      </c>
      <c r="C3746" t="s">
        <v>15195</v>
      </c>
      <c r="D3746" s="1">
        <v>35552</v>
      </c>
      <c r="E3746" t="s">
        <v>92</v>
      </c>
      <c r="F3746">
        <v>100</v>
      </c>
      <c r="G3746" t="s">
        <v>93</v>
      </c>
      <c r="H3746">
        <v>-59.5</v>
      </c>
      <c r="I3746">
        <v>94</v>
      </c>
      <c r="J3746">
        <v>8.35</v>
      </c>
      <c r="K3746">
        <v>98</v>
      </c>
      <c r="L3746">
        <v>-41.63</v>
      </c>
      <c r="M3746">
        <v>92</v>
      </c>
      <c r="N3746">
        <v>-3.77</v>
      </c>
      <c r="O3746">
        <v>93</v>
      </c>
      <c r="P3746">
        <v>0.83</v>
      </c>
      <c r="Q3746">
        <v>97</v>
      </c>
      <c r="R3746">
        <v>-8.92</v>
      </c>
      <c r="S3746">
        <v>87</v>
      </c>
      <c r="T3746">
        <v>-8.08</v>
      </c>
      <c r="U3746">
        <v>91</v>
      </c>
      <c r="V3746">
        <v>-6.28</v>
      </c>
      <c r="W3746">
        <v>84</v>
      </c>
      <c r="X3746" t="s">
        <v>558</v>
      </c>
      <c r="Y3746" t="s">
        <v>95</v>
      </c>
      <c r="Z3746" t="s">
        <v>96</v>
      </c>
      <c r="AA3746" t="s">
        <v>4558</v>
      </c>
      <c r="AB3746" t="s">
        <v>15196</v>
      </c>
      <c r="AC3746">
        <v>234</v>
      </c>
      <c r="AD3746">
        <v>97</v>
      </c>
      <c r="AE3746">
        <v>98</v>
      </c>
      <c r="AF3746">
        <v>172.26</v>
      </c>
      <c r="AG3746">
        <v>0.3</v>
      </c>
      <c r="AH3746">
        <v>3.95</v>
      </c>
      <c r="AI3746">
        <v>-0.11</v>
      </c>
      <c r="AJ3746">
        <v>-0.03</v>
      </c>
      <c r="AK3746">
        <v>92</v>
      </c>
      <c r="AL3746">
        <v>261</v>
      </c>
      <c r="AM3746">
        <v>116</v>
      </c>
      <c r="AN3746">
        <v>2.2599999999999998</v>
      </c>
      <c r="AO3746">
        <v>-1.06</v>
      </c>
      <c r="AP3746">
        <v>488</v>
      </c>
      <c r="AQ3746">
        <v>122</v>
      </c>
      <c r="AR3746">
        <v>6.33</v>
      </c>
      <c r="AS3746">
        <v>90</v>
      </c>
      <c r="AT3746">
        <v>3.24</v>
      </c>
      <c r="AU3746">
        <v>98</v>
      </c>
      <c r="AV3746">
        <v>-0.14000000000000001</v>
      </c>
      <c r="AW3746">
        <v>97</v>
      </c>
      <c r="AX3746">
        <v>0.35</v>
      </c>
      <c r="AY3746">
        <v>94</v>
      </c>
      <c r="AZ3746">
        <v>7.47</v>
      </c>
      <c r="BA3746">
        <v>78</v>
      </c>
      <c r="BB3746">
        <v>5.87</v>
      </c>
      <c r="BC3746">
        <v>80</v>
      </c>
      <c r="BD3746">
        <v>0.06</v>
      </c>
      <c r="BE3746">
        <v>0.05</v>
      </c>
      <c r="BF3746">
        <v>0.01</v>
      </c>
      <c r="BG3746">
        <v>95</v>
      </c>
      <c r="BH3746">
        <v>0</v>
      </c>
      <c r="BI3746">
        <v>20.260000000000002</v>
      </c>
      <c r="BJ3746">
        <v>73</v>
      </c>
      <c r="BK3746">
        <v>38</v>
      </c>
      <c r="BL3746">
        <v>1.28</v>
      </c>
      <c r="BM3746">
        <v>0.67</v>
      </c>
      <c r="BN3746">
        <v>0.21</v>
      </c>
      <c r="BO3746">
        <v>7.0000000000000007E-2</v>
      </c>
      <c r="BP3746">
        <v>-1.88</v>
      </c>
      <c r="BQ3746">
        <v>1.02</v>
      </c>
      <c r="BR3746">
        <v>-0.3</v>
      </c>
      <c r="BS3746">
        <v>-0.33</v>
      </c>
      <c r="BT3746">
        <v>0.6</v>
      </c>
      <c r="BU3746">
        <v>2.63</v>
      </c>
      <c r="BV3746">
        <v>1.64</v>
      </c>
      <c r="BW3746">
        <v>1.1499999999999999</v>
      </c>
      <c r="BX3746">
        <v>1.58</v>
      </c>
      <c r="BY3746">
        <v>1.75</v>
      </c>
      <c r="BZ3746">
        <v>2.64</v>
      </c>
      <c r="CA3746">
        <v>1.45</v>
      </c>
      <c r="CB3746">
        <v>1.61</v>
      </c>
      <c r="CC3746">
        <v>0.39</v>
      </c>
      <c r="CD3746">
        <v>0.22</v>
      </c>
      <c r="CE3746">
        <v>0.17</v>
      </c>
      <c r="CF3746">
        <v>0.25</v>
      </c>
      <c r="CG3746">
        <v>0</v>
      </c>
      <c r="CH3746">
        <v>2.1</v>
      </c>
      <c r="CI3746">
        <v>0</v>
      </c>
      <c r="CJ3746">
        <v>1.1000000000000001</v>
      </c>
      <c r="CK3746">
        <v>98</v>
      </c>
      <c r="CL3746">
        <v>-0.62</v>
      </c>
      <c r="CM3746">
        <v>97</v>
      </c>
      <c r="CN3746">
        <v>-0.39</v>
      </c>
      <c r="CO3746">
        <v>97</v>
      </c>
      <c r="CP3746">
        <v>7.6</v>
      </c>
      <c r="CQ3746">
        <v>96</v>
      </c>
      <c r="CR3746">
        <v>0</v>
      </c>
      <c r="CS3746">
        <v>0</v>
      </c>
      <c r="CT3746">
        <v>24.7</v>
      </c>
      <c r="CU3746">
        <v>91</v>
      </c>
      <c r="CV3746">
        <v>0.14000000000000001</v>
      </c>
      <c r="CW3746">
        <v>45</v>
      </c>
      <c r="CX3746" t="s">
        <v>15197</v>
      </c>
    </row>
    <row r="3747" spans="1:102" x14ac:dyDescent="0.3">
      <c r="A3747" t="str">
        <f>HYPERLINK("https://webapp.icbf.com/v2/app/bull-search/view/541279253","SZO")</f>
        <v>SZO</v>
      </c>
      <c r="B3747" t="s">
        <v>2933</v>
      </c>
      <c r="C3747" t="s">
        <v>2934</v>
      </c>
      <c r="D3747" s="1">
        <v>37166</v>
      </c>
      <c r="E3747" t="s">
        <v>140</v>
      </c>
      <c r="F3747">
        <v>0</v>
      </c>
      <c r="G3747" t="s">
        <v>109</v>
      </c>
      <c r="H3747">
        <v>-59.61</v>
      </c>
      <c r="I3747">
        <v>81</v>
      </c>
      <c r="J3747">
        <v>12.61</v>
      </c>
      <c r="K3747">
        <v>92</v>
      </c>
      <c r="L3747">
        <v>-28.97</v>
      </c>
      <c r="M3747">
        <v>73</v>
      </c>
      <c r="N3747">
        <v>-56.54</v>
      </c>
      <c r="O3747">
        <v>80</v>
      </c>
      <c r="P3747">
        <v>14.29</v>
      </c>
      <c r="Q3747">
        <v>92</v>
      </c>
      <c r="R3747">
        <v>9.25</v>
      </c>
      <c r="S3747">
        <v>69</v>
      </c>
      <c r="T3747">
        <v>10.35</v>
      </c>
      <c r="U3747">
        <v>76</v>
      </c>
      <c r="V3747">
        <v>-20.6</v>
      </c>
      <c r="W3747">
        <v>66</v>
      </c>
      <c r="X3747" t="s">
        <v>94</v>
      </c>
      <c r="Y3747" t="s">
        <v>221</v>
      </c>
      <c r="Z3747">
        <v>0</v>
      </c>
      <c r="AA3747" t="s">
        <v>2935</v>
      </c>
      <c r="AB3747" t="s">
        <v>2936</v>
      </c>
      <c r="AC3747">
        <v>0</v>
      </c>
      <c r="AD3747">
        <v>0</v>
      </c>
      <c r="AE3747">
        <v>92</v>
      </c>
      <c r="AF3747">
        <v>51.96</v>
      </c>
      <c r="AG3747">
        <v>-0.62</v>
      </c>
      <c r="AH3747">
        <v>3.16</v>
      </c>
      <c r="AI3747">
        <v>-0.05</v>
      </c>
      <c r="AJ3747">
        <v>0.02</v>
      </c>
      <c r="AK3747">
        <v>73</v>
      </c>
      <c r="AL3747">
        <v>80</v>
      </c>
      <c r="AM3747">
        <v>24</v>
      </c>
      <c r="AN3747">
        <v>2.39</v>
      </c>
      <c r="AO3747">
        <v>0.09</v>
      </c>
      <c r="AP3747">
        <v>104</v>
      </c>
      <c r="AQ3747">
        <v>8</v>
      </c>
      <c r="AR3747">
        <v>10.83</v>
      </c>
      <c r="AS3747">
        <v>61</v>
      </c>
      <c r="AT3747">
        <v>6.53</v>
      </c>
      <c r="AU3747">
        <v>79</v>
      </c>
      <c r="AV3747">
        <v>2.04</v>
      </c>
      <c r="AW3747">
        <v>94</v>
      </c>
      <c r="AX3747">
        <v>-0.76</v>
      </c>
      <c r="AY3747">
        <v>80</v>
      </c>
      <c r="AZ3747">
        <v>4.88</v>
      </c>
      <c r="BA3747">
        <v>56</v>
      </c>
      <c r="BB3747">
        <v>3.51</v>
      </c>
      <c r="BC3747">
        <v>56</v>
      </c>
      <c r="BD3747">
        <v>-0.01</v>
      </c>
      <c r="BE3747">
        <v>-0.04</v>
      </c>
      <c r="BF3747">
        <v>-0.12</v>
      </c>
      <c r="BG3747">
        <v>78</v>
      </c>
      <c r="BH3747">
        <v>-0.39</v>
      </c>
      <c r="BI3747">
        <v>21.35</v>
      </c>
      <c r="BJ3747">
        <v>0</v>
      </c>
      <c r="BK3747">
        <v>0</v>
      </c>
      <c r="BL3747">
        <v>-0.96</v>
      </c>
      <c r="BM3747">
        <v>3.14</v>
      </c>
      <c r="BN3747">
        <v>-1.86</v>
      </c>
      <c r="BO3747">
        <v>-2.91</v>
      </c>
      <c r="BP3747">
        <v>4.13</v>
      </c>
      <c r="BQ3747">
        <v>-2.38</v>
      </c>
      <c r="BR3747">
        <v>-2.66</v>
      </c>
      <c r="BS3747">
        <v>-0.33</v>
      </c>
      <c r="BT3747">
        <v>2.48</v>
      </c>
      <c r="BU3747">
        <v>-3.67</v>
      </c>
      <c r="BV3747">
        <v>-4.0199999999999996</v>
      </c>
      <c r="BW3747">
        <v>-3.04</v>
      </c>
      <c r="BX3747">
        <v>-3.02</v>
      </c>
      <c r="BY3747">
        <v>-1.87</v>
      </c>
      <c r="BZ3747">
        <v>0.67</v>
      </c>
      <c r="CA3747">
        <v>-2.54</v>
      </c>
      <c r="CB3747">
        <v>-3.36</v>
      </c>
      <c r="CC3747">
        <v>-0.18</v>
      </c>
      <c r="CD3747">
        <v>3.79</v>
      </c>
      <c r="CE3747">
        <v>-3.07</v>
      </c>
      <c r="CF3747">
        <v>-1.35</v>
      </c>
      <c r="CG3747">
        <v>0</v>
      </c>
      <c r="CH3747">
        <v>-2.84</v>
      </c>
      <c r="CI3747">
        <v>0</v>
      </c>
      <c r="CJ3747">
        <v>5.3</v>
      </c>
      <c r="CK3747">
        <v>94</v>
      </c>
      <c r="CL3747">
        <v>0.4</v>
      </c>
      <c r="CM3747">
        <v>92</v>
      </c>
      <c r="CN3747">
        <v>-0.23</v>
      </c>
      <c r="CO3747">
        <v>91</v>
      </c>
      <c r="CP3747">
        <v>1</v>
      </c>
      <c r="CQ3747">
        <v>84</v>
      </c>
      <c r="CR3747">
        <v>0</v>
      </c>
      <c r="CS3747">
        <v>0</v>
      </c>
      <c r="CT3747">
        <v>-0.2</v>
      </c>
      <c r="CU3747">
        <v>76</v>
      </c>
      <c r="CV3747">
        <v>0.16</v>
      </c>
      <c r="CW3747">
        <v>44</v>
      </c>
      <c r="CX3747" t="s">
        <v>2937</v>
      </c>
    </row>
    <row r="3748" spans="1:102" x14ac:dyDescent="0.3">
      <c r="A3748" t="str">
        <f>HYPERLINK("https://webapp.icbf.com/v2/app/bull-search/view/469251790","EBZ")</f>
        <v>EBZ</v>
      </c>
      <c r="B3748" t="s">
        <v>12326</v>
      </c>
      <c r="C3748" t="s">
        <v>12327</v>
      </c>
      <c r="D3748" s="1">
        <v>38337</v>
      </c>
      <c r="E3748" t="s">
        <v>92</v>
      </c>
      <c r="F3748">
        <v>100</v>
      </c>
      <c r="G3748" t="s">
        <v>116</v>
      </c>
      <c r="H3748">
        <v>-59.63</v>
      </c>
      <c r="I3748">
        <v>36</v>
      </c>
      <c r="J3748">
        <v>39.01</v>
      </c>
      <c r="K3748">
        <v>57</v>
      </c>
      <c r="L3748">
        <v>-79.290000000000006</v>
      </c>
      <c r="M3748">
        <v>19</v>
      </c>
      <c r="N3748">
        <v>-15.91</v>
      </c>
      <c r="O3748">
        <v>39</v>
      </c>
      <c r="P3748">
        <v>-2.15</v>
      </c>
      <c r="Q3748">
        <v>41</v>
      </c>
      <c r="R3748">
        <v>-7.18</v>
      </c>
      <c r="S3748">
        <v>26</v>
      </c>
      <c r="T3748">
        <v>9.68</v>
      </c>
      <c r="U3748">
        <v>27</v>
      </c>
      <c r="V3748">
        <v>-3.79</v>
      </c>
      <c r="W3748">
        <v>16</v>
      </c>
      <c r="X3748" t="s">
        <v>94</v>
      </c>
      <c r="Y3748" t="s">
        <v>1164</v>
      </c>
      <c r="Z3748" t="s">
        <v>96</v>
      </c>
      <c r="AA3748" t="s">
        <v>12328</v>
      </c>
      <c r="AB3748" t="s">
        <v>12329</v>
      </c>
      <c r="AC3748">
        <v>5</v>
      </c>
      <c r="AD3748">
        <v>4</v>
      </c>
      <c r="AE3748">
        <v>57</v>
      </c>
      <c r="AF3748">
        <v>136.85</v>
      </c>
      <c r="AG3748">
        <v>11.56</v>
      </c>
      <c r="AH3748">
        <v>4.6399999999999997</v>
      </c>
      <c r="AI3748">
        <v>0.1</v>
      </c>
      <c r="AJ3748">
        <v>0</v>
      </c>
      <c r="AK3748">
        <v>19</v>
      </c>
      <c r="AL3748">
        <v>4</v>
      </c>
      <c r="AM3748">
        <v>3</v>
      </c>
      <c r="AN3748">
        <v>3.77</v>
      </c>
      <c r="AO3748">
        <v>-2.56</v>
      </c>
      <c r="AP3748">
        <v>6</v>
      </c>
      <c r="AQ3748">
        <v>1</v>
      </c>
      <c r="AR3748">
        <v>10.33</v>
      </c>
      <c r="AS3748">
        <v>15</v>
      </c>
      <c r="AT3748">
        <v>4.5</v>
      </c>
      <c r="AU3748">
        <v>35</v>
      </c>
      <c r="AV3748">
        <v>-0.5</v>
      </c>
      <c r="AW3748">
        <v>59</v>
      </c>
      <c r="AX3748">
        <v>-0.71</v>
      </c>
      <c r="AY3748">
        <v>26</v>
      </c>
      <c r="AZ3748">
        <v>6.69</v>
      </c>
      <c r="BA3748">
        <v>15</v>
      </c>
      <c r="BB3748">
        <v>4.8</v>
      </c>
      <c r="BC3748">
        <v>15</v>
      </c>
      <c r="BD3748">
        <v>0.03</v>
      </c>
      <c r="BE3748">
        <v>0.05</v>
      </c>
      <c r="BF3748">
        <v>0.02</v>
      </c>
      <c r="BG3748">
        <v>30</v>
      </c>
      <c r="BH3748">
        <v>0.02</v>
      </c>
      <c r="BI3748">
        <v>14.53</v>
      </c>
      <c r="BJ3748">
        <v>0</v>
      </c>
      <c r="BK3748">
        <v>0</v>
      </c>
      <c r="BL3748">
        <v>0.21</v>
      </c>
      <c r="BM3748">
        <v>0.69</v>
      </c>
      <c r="BN3748">
        <v>0.48</v>
      </c>
      <c r="BO3748">
        <v>-0.08</v>
      </c>
      <c r="BP3748">
        <v>1.1499999999999999</v>
      </c>
      <c r="BQ3748">
        <v>0.28999999999999998</v>
      </c>
      <c r="BR3748">
        <v>-0.72</v>
      </c>
      <c r="BS3748">
        <v>1.47</v>
      </c>
      <c r="BT3748">
        <v>1.07</v>
      </c>
      <c r="BU3748">
        <v>0.26</v>
      </c>
      <c r="BV3748">
        <v>0.33</v>
      </c>
      <c r="BW3748">
        <v>7.0000000000000007E-2</v>
      </c>
      <c r="BX3748">
        <v>-0.15</v>
      </c>
      <c r="BY3748">
        <v>0.22</v>
      </c>
      <c r="BZ3748">
        <v>-0.33</v>
      </c>
      <c r="CA3748">
        <v>0.64</v>
      </c>
      <c r="CB3748">
        <v>0.25</v>
      </c>
      <c r="CC3748">
        <v>1.1599999999999999</v>
      </c>
      <c r="CD3748">
        <v>0.22</v>
      </c>
      <c r="CE3748">
        <v>0.15</v>
      </c>
      <c r="CF3748">
        <v>0.27</v>
      </c>
      <c r="CG3748">
        <v>0</v>
      </c>
      <c r="CH3748">
        <v>0</v>
      </c>
      <c r="CI3748">
        <v>0</v>
      </c>
      <c r="CJ3748">
        <v>-2.2000000000000002</v>
      </c>
      <c r="CK3748">
        <v>44</v>
      </c>
      <c r="CL3748">
        <v>-0.42</v>
      </c>
      <c r="CM3748">
        <v>38</v>
      </c>
      <c r="CN3748">
        <v>-0.53</v>
      </c>
      <c r="CO3748">
        <v>33</v>
      </c>
      <c r="CP3748">
        <v>-6.6</v>
      </c>
      <c r="CQ3748">
        <v>38</v>
      </c>
      <c r="CR3748">
        <v>0</v>
      </c>
      <c r="CS3748">
        <v>0</v>
      </c>
      <c r="CT3748">
        <v>0.7</v>
      </c>
      <c r="CU3748">
        <v>27</v>
      </c>
      <c r="CV3748">
        <v>7.0000000000000007E-2</v>
      </c>
      <c r="CW3748">
        <v>12</v>
      </c>
      <c r="CX3748" t="s">
        <v>643</v>
      </c>
    </row>
    <row r="3749" spans="1:102" x14ac:dyDescent="0.3">
      <c r="A3749" t="str">
        <f>HYPERLINK("https://webapp.icbf.com/v2/app/bull-search/view/381923887","GJX")</f>
        <v>GJX</v>
      </c>
      <c r="B3749" t="s">
        <v>11882</v>
      </c>
      <c r="C3749" t="s">
        <v>11883</v>
      </c>
      <c r="D3749" s="1">
        <v>36320</v>
      </c>
      <c r="E3749" t="s">
        <v>92</v>
      </c>
      <c r="F3749">
        <v>100</v>
      </c>
      <c r="G3749" t="s">
        <v>93</v>
      </c>
      <c r="H3749">
        <v>-59.87</v>
      </c>
      <c r="I3749">
        <v>89</v>
      </c>
      <c r="J3749">
        <v>29.11</v>
      </c>
      <c r="K3749">
        <v>96</v>
      </c>
      <c r="L3749">
        <v>-91.4</v>
      </c>
      <c r="M3749">
        <v>87</v>
      </c>
      <c r="N3749">
        <v>4.92</v>
      </c>
      <c r="O3749">
        <v>81</v>
      </c>
      <c r="P3749">
        <v>-0.51</v>
      </c>
      <c r="Q3749">
        <v>91</v>
      </c>
      <c r="R3749">
        <v>-4.5999999999999996</v>
      </c>
      <c r="S3749">
        <v>79</v>
      </c>
      <c r="T3749">
        <v>4.6500000000000004</v>
      </c>
      <c r="U3749">
        <v>86</v>
      </c>
      <c r="V3749">
        <v>-2.04</v>
      </c>
      <c r="W3749">
        <v>73</v>
      </c>
      <c r="X3749" t="s">
        <v>102</v>
      </c>
      <c r="Y3749" t="s">
        <v>95</v>
      </c>
      <c r="Z3749" t="s">
        <v>96</v>
      </c>
      <c r="AA3749" t="s">
        <v>906</v>
      </c>
      <c r="AB3749" t="s">
        <v>11884</v>
      </c>
      <c r="AC3749">
        <v>70</v>
      </c>
      <c r="AD3749">
        <v>37</v>
      </c>
      <c r="AE3749">
        <v>96</v>
      </c>
      <c r="AF3749">
        <v>47.36</v>
      </c>
      <c r="AG3749">
        <v>7.76</v>
      </c>
      <c r="AH3749">
        <v>2.93</v>
      </c>
      <c r="AI3749">
        <v>0.1</v>
      </c>
      <c r="AJ3749">
        <v>0.02</v>
      </c>
      <c r="AK3749">
        <v>87</v>
      </c>
      <c r="AL3749">
        <v>103</v>
      </c>
      <c r="AM3749">
        <v>52</v>
      </c>
      <c r="AN3749">
        <v>4.91</v>
      </c>
      <c r="AO3749">
        <v>-2.38</v>
      </c>
      <c r="AP3749">
        <v>138</v>
      </c>
      <c r="AQ3749">
        <v>1</v>
      </c>
      <c r="AR3749">
        <v>10.82</v>
      </c>
      <c r="AS3749">
        <v>65</v>
      </c>
      <c r="AT3749">
        <v>4.1900000000000004</v>
      </c>
      <c r="AU3749">
        <v>86</v>
      </c>
      <c r="AV3749">
        <v>-2.56</v>
      </c>
      <c r="AW3749">
        <v>89</v>
      </c>
      <c r="AX3749">
        <v>-0.2</v>
      </c>
      <c r="AY3749">
        <v>81</v>
      </c>
      <c r="AZ3749">
        <v>5.51</v>
      </c>
      <c r="BA3749">
        <v>58</v>
      </c>
      <c r="BB3749">
        <v>4.3099999999999996</v>
      </c>
      <c r="BC3749">
        <v>65</v>
      </c>
      <c r="BD3749">
        <v>0.04</v>
      </c>
      <c r="BE3749">
        <v>0.01</v>
      </c>
      <c r="BF3749">
        <v>0.02</v>
      </c>
      <c r="BG3749">
        <v>89</v>
      </c>
      <c r="BH3749">
        <v>-0.03</v>
      </c>
      <c r="BI3749">
        <v>3.12</v>
      </c>
      <c r="BJ3749">
        <v>7</v>
      </c>
      <c r="BK3749">
        <v>5</v>
      </c>
      <c r="BL3749">
        <v>0.41</v>
      </c>
      <c r="BM3749">
        <v>0.22</v>
      </c>
      <c r="BN3749">
        <v>0.52</v>
      </c>
      <c r="BO3749">
        <v>0.45</v>
      </c>
      <c r="BP3749">
        <v>3.23</v>
      </c>
      <c r="BQ3749">
        <v>0.74</v>
      </c>
      <c r="BR3749">
        <v>-0.6</v>
      </c>
      <c r="BS3749">
        <v>-1.92</v>
      </c>
      <c r="BT3749">
        <v>-0.91</v>
      </c>
      <c r="BU3749">
        <v>0.3</v>
      </c>
      <c r="BV3749">
        <v>1.73</v>
      </c>
      <c r="BW3749">
        <v>1.1200000000000001</v>
      </c>
      <c r="BX3749">
        <v>0.33</v>
      </c>
      <c r="BY3749">
        <v>0.41</v>
      </c>
      <c r="BZ3749">
        <v>0.9</v>
      </c>
      <c r="CA3749">
        <v>-0.14000000000000001</v>
      </c>
      <c r="CB3749">
        <v>0.76</v>
      </c>
      <c r="CC3749">
        <v>-2.0499999999999998</v>
      </c>
      <c r="CD3749">
        <v>-0.48</v>
      </c>
      <c r="CE3749">
        <v>0.13</v>
      </c>
      <c r="CF3749">
        <v>0.49</v>
      </c>
      <c r="CG3749">
        <v>0</v>
      </c>
      <c r="CH3749">
        <v>0.61</v>
      </c>
      <c r="CI3749">
        <v>0</v>
      </c>
      <c r="CJ3749">
        <v>1.8</v>
      </c>
      <c r="CK3749">
        <v>92</v>
      </c>
      <c r="CL3749">
        <v>-0.71</v>
      </c>
      <c r="CM3749">
        <v>90</v>
      </c>
      <c r="CN3749">
        <v>-0.37</v>
      </c>
      <c r="CO3749">
        <v>89</v>
      </c>
      <c r="CP3749">
        <v>0</v>
      </c>
      <c r="CQ3749">
        <v>89</v>
      </c>
      <c r="CR3749">
        <v>0</v>
      </c>
      <c r="CS3749">
        <v>0</v>
      </c>
      <c r="CT3749">
        <v>7.5</v>
      </c>
      <c r="CU3749">
        <v>86</v>
      </c>
      <c r="CV3749">
        <v>0.21</v>
      </c>
      <c r="CW3749">
        <v>44</v>
      </c>
      <c r="CX3749" t="s">
        <v>3325</v>
      </c>
    </row>
    <row r="3750" spans="1:102" x14ac:dyDescent="0.3">
      <c r="A3750" t="str">
        <f>HYPERLINK("https://webapp.icbf.com/v2/app/bull-search/view/77858431","DLG")</f>
        <v>DLG</v>
      </c>
      <c r="B3750" t="s">
        <v>15019</v>
      </c>
      <c r="C3750" t="s">
        <v>1233</v>
      </c>
      <c r="D3750" s="1">
        <v>33243</v>
      </c>
      <c r="E3750" t="s">
        <v>92</v>
      </c>
      <c r="F3750">
        <v>100</v>
      </c>
      <c r="G3750" t="s">
        <v>93</v>
      </c>
      <c r="H3750">
        <v>-59.93</v>
      </c>
      <c r="I3750">
        <v>92</v>
      </c>
      <c r="J3750">
        <v>27.27</v>
      </c>
      <c r="K3750">
        <v>98</v>
      </c>
      <c r="L3750">
        <v>-66.13</v>
      </c>
      <c r="M3750">
        <v>92</v>
      </c>
      <c r="N3750">
        <v>-21.68</v>
      </c>
      <c r="O3750">
        <v>87</v>
      </c>
      <c r="P3750">
        <v>-14.24</v>
      </c>
      <c r="Q3750">
        <v>91</v>
      </c>
      <c r="R3750">
        <v>2.0699999999999998</v>
      </c>
      <c r="S3750">
        <v>86</v>
      </c>
      <c r="T3750">
        <v>8.1999999999999993</v>
      </c>
      <c r="U3750">
        <v>84</v>
      </c>
      <c r="V3750">
        <v>4.58</v>
      </c>
      <c r="W3750">
        <v>79</v>
      </c>
      <c r="X3750" t="s">
        <v>94</v>
      </c>
      <c r="Y3750" t="s">
        <v>95</v>
      </c>
      <c r="Z3750" t="s">
        <v>96</v>
      </c>
      <c r="AA3750" t="s">
        <v>99</v>
      </c>
      <c r="AB3750" t="s">
        <v>15020</v>
      </c>
      <c r="AC3750">
        <v>141</v>
      </c>
      <c r="AD3750">
        <v>60</v>
      </c>
      <c r="AE3750">
        <v>98</v>
      </c>
      <c r="AF3750">
        <v>273.04000000000002</v>
      </c>
      <c r="AG3750">
        <v>5.56</v>
      </c>
      <c r="AH3750">
        <v>6.85</v>
      </c>
      <c r="AI3750">
        <v>-0.09</v>
      </c>
      <c r="AJ3750">
        <v>-0.04</v>
      </c>
      <c r="AK3750">
        <v>92</v>
      </c>
      <c r="AL3750">
        <v>149</v>
      </c>
      <c r="AM3750">
        <v>67</v>
      </c>
      <c r="AN3750">
        <v>5.46</v>
      </c>
      <c r="AO3750">
        <v>0.21</v>
      </c>
      <c r="AP3750">
        <v>47</v>
      </c>
      <c r="AQ3750">
        <v>0</v>
      </c>
      <c r="AR3750">
        <v>13.14</v>
      </c>
      <c r="AS3750">
        <v>74</v>
      </c>
      <c r="AT3750">
        <v>5.25</v>
      </c>
      <c r="AU3750">
        <v>95</v>
      </c>
      <c r="AV3750">
        <v>-2.36</v>
      </c>
      <c r="AW3750">
        <v>90</v>
      </c>
      <c r="AX3750">
        <v>-0.11</v>
      </c>
      <c r="AY3750">
        <v>85</v>
      </c>
      <c r="AZ3750">
        <v>6.32</v>
      </c>
      <c r="BA3750">
        <v>69</v>
      </c>
      <c r="BB3750">
        <v>4.67</v>
      </c>
      <c r="BC3750">
        <v>77</v>
      </c>
      <c r="BD3750">
        <v>-0.01</v>
      </c>
      <c r="BE3750">
        <v>0.01</v>
      </c>
      <c r="BF3750">
        <v>-0.05</v>
      </c>
      <c r="BG3750">
        <v>94</v>
      </c>
      <c r="BH3750">
        <v>-0.05</v>
      </c>
      <c r="BI3750">
        <v>-20.56</v>
      </c>
      <c r="BJ3750">
        <v>3</v>
      </c>
      <c r="BK3750">
        <v>2</v>
      </c>
      <c r="BL3750">
        <v>0.12</v>
      </c>
      <c r="BM3750">
        <v>-0.51</v>
      </c>
      <c r="BN3750">
        <v>0.13</v>
      </c>
      <c r="BO3750">
        <v>0.13</v>
      </c>
      <c r="BP3750">
        <v>-0.16</v>
      </c>
      <c r="BQ3750">
        <v>-1.0900000000000001</v>
      </c>
      <c r="BR3750">
        <v>-1.8</v>
      </c>
      <c r="BS3750">
        <v>-0.61</v>
      </c>
      <c r="BT3750">
        <v>1.86</v>
      </c>
      <c r="BU3750">
        <v>-0.83</v>
      </c>
      <c r="BV3750">
        <v>-0.45</v>
      </c>
      <c r="BW3750">
        <v>-0.43</v>
      </c>
      <c r="BX3750">
        <v>-0.99</v>
      </c>
      <c r="BY3750">
        <v>-0.55000000000000004</v>
      </c>
      <c r="BZ3750">
        <v>1.64</v>
      </c>
      <c r="CA3750">
        <v>0.06</v>
      </c>
      <c r="CB3750">
        <v>-0.56000000000000005</v>
      </c>
      <c r="CC3750">
        <v>1.1499999999999999</v>
      </c>
      <c r="CD3750">
        <v>-0.11</v>
      </c>
      <c r="CE3750">
        <v>-7.0000000000000007E-2</v>
      </c>
      <c r="CF3750">
        <v>-1.23</v>
      </c>
      <c r="CG3750">
        <v>0</v>
      </c>
      <c r="CH3750">
        <v>-0.35</v>
      </c>
      <c r="CI3750">
        <v>0</v>
      </c>
      <c r="CJ3750">
        <v>-3.3</v>
      </c>
      <c r="CK3750">
        <v>91</v>
      </c>
      <c r="CL3750">
        <v>-0.78</v>
      </c>
      <c r="CM3750">
        <v>90</v>
      </c>
      <c r="CN3750">
        <v>0.09</v>
      </c>
      <c r="CO3750">
        <v>88</v>
      </c>
      <c r="CP3750">
        <v>-3.9</v>
      </c>
      <c r="CQ3750">
        <v>93</v>
      </c>
      <c r="CR3750">
        <v>0</v>
      </c>
      <c r="CS3750">
        <v>0</v>
      </c>
      <c r="CT3750">
        <v>2.7</v>
      </c>
      <c r="CU3750">
        <v>84</v>
      </c>
      <c r="CV3750">
        <v>0.16</v>
      </c>
      <c r="CW3750">
        <v>45</v>
      </c>
      <c r="CX3750" t="s">
        <v>724</v>
      </c>
    </row>
    <row r="3751" spans="1:102" x14ac:dyDescent="0.3">
      <c r="A3751" t="str">
        <f>HYPERLINK("https://webapp.icbf.com/v2/app/bull-search/view/999155305","S1423")</f>
        <v>S1423</v>
      </c>
      <c r="B3751" t="s">
        <v>6944</v>
      </c>
      <c r="C3751" t="s">
        <v>6945</v>
      </c>
      <c r="D3751" s="1">
        <v>40638</v>
      </c>
      <c r="E3751" t="s">
        <v>92</v>
      </c>
      <c r="F3751">
        <v>100</v>
      </c>
      <c r="G3751" t="s">
        <v>109</v>
      </c>
      <c r="H3751">
        <v>-59.95</v>
      </c>
      <c r="I3751">
        <v>78</v>
      </c>
      <c r="J3751">
        <v>54.02</v>
      </c>
      <c r="K3751">
        <v>91</v>
      </c>
      <c r="L3751">
        <v>-90.09</v>
      </c>
      <c r="M3751">
        <v>81</v>
      </c>
      <c r="N3751">
        <v>0.52</v>
      </c>
      <c r="O3751">
        <v>63</v>
      </c>
      <c r="P3751">
        <v>-5.84</v>
      </c>
      <c r="Q3751">
        <v>64</v>
      </c>
      <c r="R3751">
        <v>1.74</v>
      </c>
      <c r="S3751">
        <v>72</v>
      </c>
      <c r="T3751">
        <v>-9.41</v>
      </c>
      <c r="U3751">
        <v>58</v>
      </c>
      <c r="V3751">
        <v>-10.89</v>
      </c>
      <c r="W3751">
        <v>52</v>
      </c>
      <c r="X3751" t="s">
        <v>234</v>
      </c>
      <c r="Y3751" t="s">
        <v>342</v>
      </c>
      <c r="Z3751" t="s">
        <v>96</v>
      </c>
      <c r="AA3751" t="s">
        <v>6946</v>
      </c>
      <c r="AB3751" t="s">
        <v>6947</v>
      </c>
      <c r="AC3751">
        <v>0</v>
      </c>
      <c r="AD3751">
        <v>0</v>
      </c>
      <c r="AE3751">
        <v>91</v>
      </c>
      <c r="AF3751">
        <v>443.48</v>
      </c>
      <c r="AG3751">
        <v>14.49</v>
      </c>
      <c r="AH3751">
        <v>10.85</v>
      </c>
      <c r="AI3751">
        <v>-0.05</v>
      </c>
      <c r="AJ3751">
        <v>-7.0000000000000007E-2</v>
      </c>
      <c r="AK3751">
        <v>81</v>
      </c>
      <c r="AL3751">
        <v>0</v>
      </c>
      <c r="AM3751">
        <v>0</v>
      </c>
      <c r="AN3751">
        <v>6.83</v>
      </c>
      <c r="AO3751">
        <v>-0.33</v>
      </c>
      <c r="AP3751">
        <v>14</v>
      </c>
      <c r="AQ3751">
        <v>0</v>
      </c>
      <c r="AR3751">
        <v>8.02</v>
      </c>
      <c r="AS3751">
        <v>56</v>
      </c>
      <c r="AT3751">
        <v>4.6900000000000004</v>
      </c>
      <c r="AU3751">
        <v>88</v>
      </c>
      <c r="AV3751">
        <v>-2.9</v>
      </c>
      <c r="AW3751">
        <v>61</v>
      </c>
      <c r="AX3751">
        <v>0.09</v>
      </c>
      <c r="AY3751">
        <v>54</v>
      </c>
      <c r="AZ3751">
        <v>6.61</v>
      </c>
      <c r="BA3751">
        <v>41</v>
      </c>
      <c r="BB3751">
        <v>5.99</v>
      </c>
      <c r="BC3751">
        <v>38</v>
      </c>
      <c r="BD3751">
        <v>0</v>
      </c>
      <c r="BE3751">
        <v>0</v>
      </c>
      <c r="BF3751">
        <v>-0.04</v>
      </c>
      <c r="BG3751">
        <v>90</v>
      </c>
      <c r="BH3751">
        <v>-0.14000000000000001</v>
      </c>
      <c r="BI3751">
        <v>18.93</v>
      </c>
      <c r="BJ3751">
        <v>7</v>
      </c>
      <c r="BK3751">
        <v>3</v>
      </c>
      <c r="BL3751">
        <v>2.16</v>
      </c>
      <c r="BM3751">
        <v>0.35</v>
      </c>
      <c r="BN3751">
        <v>1.56</v>
      </c>
      <c r="BO3751">
        <v>1.53</v>
      </c>
      <c r="BP3751">
        <v>3.18</v>
      </c>
      <c r="BQ3751">
        <v>1.39</v>
      </c>
      <c r="BR3751">
        <v>-0.05</v>
      </c>
      <c r="BS3751">
        <v>2.91</v>
      </c>
      <c r="BT3751">
        <v>1.01</v>
      </c>
      <c r="BU3751">
        <v>4.1399999999999997</v>
      </c>
      <c r="BV3751">
        <v>4.17</v>
      </c>
      <c r="BW3751">
        <v>3.46</v>
      </c>
      <c r="BX3751">
        <v>3.95</v>
      </c>
      <c r="BY3751">
        <v>2.19</v>
      </c>
      <c r="BZ3751">
        <v>-2.59</v>
      </c>
      <c r="CA3751">
        <v>3.55</v>
      </c>
      <c r="CB3751">
        <v>3.59</v>
      </c>
      <c r="CC3751">
        <v>1.79</v>
      </c>
      <c r="CD3751">
        <v>-0.79</v>
      </c>
      <c r="CE3751">
        <v>1.95</v>
      </c>
      <c r="CF3751">
        <v>2.31</v>
      </c>
      <c r="CG3751">
        <v>0</v>
      </c>
      <c r="CH3751">
        <v>2.5099999999999998</v>
      </c>
      <c r="CI3751">
        <v>0</v>
      </c>
      <c r="CJ3751">
        <v>-0.2</v>
      </c>
      <c r="CK3751">
        <v>66</v>
      </c>
      <c r="CL3751">
        <v>-1.38</v>
      </c>
      <c r="CM3751">
        <v>63</v>
      </c>
      <c r="CN3751">
        <v>-0.65</v>
      </c>
      <c r="CO3751">
        <v>60</v>
      </c>
      <c r="CP3751">
        <v>7.1</v>
      </c>
      <c r="CQ3751">
        <v>64</v>
      </c>
      <c r="CR3751">
        <v>0</v>
      </c>
      <c r="CS3751">
        <v>0</v>
      </c>
      <c r="CT3751">
        <v>26.5</v>
      </c>
      <c r="CU3751">
        <v>58</v>
      </c>
      <c r="CV3751">
        <v>0.27</v>
      </c>
      <c r="CW3751">
        <v>38</v>
      </c>
      <c r="CX3751" t="s">
        <v>5289</v>
      </c>
    </row>
    <row r="3752" spans="1:102" x14ac:dyDescent="0.3">
      <c r="A3752" t="str">
        <f>HYPERLINK("https://webapp.icbf.com/v2/app/bull-search/view/77854144","RTF")</f>
        <v>RTF</v>
      </c>
      <c r="B3752" t="s">
        <v>10755</v>
      </c>
      <c r="C3752" t="s">
        <v>10756</v>
      </c>
      <c r="D3752" s="1">
        <v>31882</v>
      </c>
      <c r="E3752" t="s">
        <v>92</v>
      </c>
      <c r="F3752">
        <v>100</v>
      </c>
      <c r="G3752" t="s">
        <v>93</v>
      </c>
      <c r="H3752">
        <v>-60</v>
      </c>
      <c r="I3752">
        <v>84</v>
      </c>
      <c r="J3752">
        <v>-62.39</v>
      </c>
      <c r="K3752">
        <v>97</v>
      </c>
      <c r="L3752">
        <v>2.09</v>
      </c>
      <c r="M3752">
        <v>78</v>
      </c>
      <c r="N3752">
        <v>-18.940000000000001</v>
      </c>
      <c r="O3752">
        <v>73</v>
      </c>
      <c r="P3752">
        <v>7.66</v>
      </c>
      <c r="Q3752">
        <v>87</v>
      </c>
      <c r="R3752">
        <v>6.57</v>
      </c>
      <c r="S3752">
        <v>77</v>
      </c>
      <c r="T3752">
        <v>9.09</v>
      </c>
      <c r="U3752">
        <v>86</v>
      </c>
      <c r="V3752">
        <v>-4.08</v>
      </c>
      <c r="W3752">
        <v>47</v>
      </c>
      <c r="X3752" t="s">
        <v>110</v>
      </c>
      <c r="Y3752" t="s">
        <v>95</v>
      </c>
      <c r="Z3752" t="s">
        <v>96</v>
      </c>
      <c r="AA3752" t="s">
        <v>154</v>
      </c>
      <c r="AB3752" t="s">
        <v>10757</v>
      </c>
      <c r="AC3752">
        <v>157</v>
      </c>
      <c r="AD3752">
        <v>95</v>
      </c>
      <c r="AE3752">
        <v>97</v>
      </c>
      <c r="AF3752">
        <v>-211.11</v>
      </c>
      <c r="AG3752">
        <v>-5.46</v>
      </c>
      <c r="AH3752">
        <v>-11.91</v>
      </c>
      <c r="AI3752">
        <v>0.05</v>
      </c>
      <c r="AJ3752">
        <v>-0.08</v>
      </c>
      <c r="AK3752">
        <v>78</v>
      </c>
      <c r="AL3752">
        <v>260</v>
      </c>
      <c r="AM3752">
        <v>140</v>
      </c>
      <c r="AN3752">
        <v>0.14000000000000001</v>
      </c>
      <c r="AO3752">
        <v>0.31</v>
      </c>
      <c r="AP3752">
        <v>4</v>
      </c>
      <c r="AQ3752">
        <v>0</v>
      </c>
      <c r="AR3752">
        <v>9.08</v>
      </c>
      <c r="AS3752">
        <v>48</v>
      </c>
      <c r="AT3752">
        <v>4.13</v>
      </c>
      <c r="AU3752">
        <v>70</v>
      </c>
      <c r="AV3752">
        <v>0.67</v>
      </c>
      <c r="AW3752">
        <v>79</v>
      </c>
      <c r="AX3752">
        <v>-0.3</v>
      </c>
      <c r="AY3752">
        <v>86</v>
      </c>
      <c r="AZ3752">
        <v>7.14</v>
      </c>
      <c r="BA3752">
        <v>48</v>
      </c>
      <c r="BB3752">
        <v>4.8600000000000003</v>
      </c>
      <c r="BC3752">
        <v>68</v>
      </c>
      <c r="BD3752">
        <v>0</v>
      </c>
      <c r="BE3752">
        <v>0.01</v>
      </c>
      <c r="BF3752">
        <v>-0.17</v>
      </c>
      <c r="BG3752">
        <v>94</v>
      </c>
      <c r="BH3752">
        <v>-0.05</v>
      </c>
      <c r="BI3752">
        <v>7.39</v>
      </c>
      <c r="BJ3752">
        <v>65</v>
      </c>
      <c r="BK3752">
        <v>41</v>
      </c>
      <c r="BL3752">
        <v>0.72</v>
      </c>
      <c r="BM3752">
        <v>1.42</v>
      </c>
      <c r="BN3752">
        <v>0.71</v>
      </c>
      <c r="BO3752">
        <v>-0.37</v>
      </c>
      <c r="BP3752">
        <v>-0.31</v>
      </c>
      <c r="BQ3752">
        <v>0.67</v>
      </c>
      <c r="BR3752">
        <v>-1.62</v>
      </c>
      <c r="BS3752">
        <v>0.16</v>
      </c>
      <c r="BT3752">
        <v>0.92</v>
      </c>
      <c r="BU3752">
        <v>0.53</v>
      </c>
      <c r="BV3752">
        <v>0.56999999999999995</v>
      </c>
      <c r="BW3752">
        <v>0.65</v>
      </c>
      <c r="BX3752">
        <v>1.38</v>
      </c>
      <c r="BY3752">
        <v>-0.19</v>
      </c>
      <c r="BZ3752">
        <v>0.09</v>
      </c>
      <c r="CA3752">
        <v>0.86</v>
      </c>
      <c r="CB3752">
        <v>0.24</v>
      </c>
      <c r="CC3752">
        <v>1.69</v>
      </c>
      <c r="CD3752">
        <v>1.18</v>
      </c>
      <c r="CE3752">
        <v>-0.17</v>
      </c>
      <c r="CF3752">
        <v>0.8</v>
      </c>
      <c r="CG3752">
        <v>0</v>
      </c>
      <c r="CH3752">
        <v>-0.54</v>
      </c>
      <c r="CI3752">
        <v>0</v>
      </c>
      <c r="CJ3752">
        <v>3.8</v>
      </c>
      <c r="CK3752">
        <v>88</v>
      </c>
      <c r="CL3752">
        <v>-0.57999999999999996</v>
      </c>
      <c r="CM3752">
        <v>86</v>
      </c>
      <c r="CN3752">
        <v>-0.61</v>
      </c>
      <c r="CO3752">
        <v>85</v>
      </c>
      <c r="CP3752">
        <v>8.4</v>
      </c>
      <c r="CQ3752">
        <v>92</v>
      </c>
      <c r="CR3752">
        <v>0</v>
      </c>
      <c r="CS3752">
        <v>0</v>
      </c>
      <c r="CT3752">
        <v>1.5</v>
      </c>
      <c r="CU3752">
        <v>86</v>
      </c>
      <c r="CV3752">
        <v>0.17</v>
      </c>
      <c r="CW3752">
        <v>25</v>
      </c>
      <c r="CX3752" t="s">
        <v>2792</v>
      </c>
    </row>
    <row r="3753" spans="1:102" x14ac:dyDescent="0.3">
      <c r="A3753" t="str">
        <f>HYPERLINK("https://webapp.icbf.com/v2/app/bull-search/view/678697930","S2165")</f>
        <v>S2165</v>
      </c>
      <c r="B3753" t="s">
        <v>2028</v>
      </c>
      <c r="C3753" t="s">
        <v>2029</v>
      </c>
      <c r="D3753" s="1">
        <v>38989</v>
      </c>
      <c r="E3753" t="s">
        <v>92</v>
      </c>
      <c r="F3753">
        <v>97</v>
      </c>
      <c r="G3753" t="s">
        <v>109</v>
      </c>
      <c r="H3753">
        <v>-60.06</v>
      </c>
      <c r="I3753">
        <v>60</v>
      </c>
      <c r="J3753">
        <v>22.95</v>
      </c>
      <c r="K3753">
        <v>80</v>
      </c>
      <c r="L3753">
        <v>-82.87</v>
      </c>
      <c r="M3753">
        <v>65</v>
      </c>
      <c r="N3753">
        <v>6.77</v>
      </c>
      <c r="O3753">
        <v>41</v>
      </c>
      <c r="P3753">
        <v>-10.7</v>
      </c>
      <c r="Q3753">
        <v>31</v>
      </c>
      <c r="R3753">
        <v>4.5999999999999996</v>
      </c>
      <c r="S3753">
        <v>55</v>
      </c>
      <c r="T3753">
        <v>3.06</v>
      </c>
      <c r="U3753">
        <v>30</v>
      </c>
      <c r="V3753">
        <v>-3.87</v>
      </c>
      <c r="W3753">
        <v>21</v>
      </c>
      <c r="X3753" t="s">
        <v>94</v>
      </c>
      <c r="Y3753" t="s">
        <v>367</v>
      </c>
      <c r="Z3753" t="s">
        <v>96</v>
      </c>
      <c r="AA3753" t="s">
        <v>2030</v>
      </c>
      <c r="AB3753" t="s">
        <v>2031</v>
      </c>
      <c r="AC3753">
        <v>0</v>
      </c>
      <c r="AD3753">
        <v>0</v>
      </c>
      <c r="AE3753">
        <v>80</v>
      </c>
      <c r="AF3753">
        <v>221.57</v>
      </c>
      <c r="AG3753">
        <v>8.41</v>
      </c>
      <c r="AH3753">
        <v>4.32</v>
      </c>
      <c r="AI3753">
        <v>0</v>
      </c>
      <c r="AJ3753">
        <v>-0.05</v>
      </c>
      <c r="AK3753">
        <v>65</v>
      </c>
      <c r="AL3753">
        <v>0</v>
      </c>
      <c r="AM3753">
        <v>0</v>
      </c>
      <c r="AN3753">
        <v>3.65</v>
      </c>
      <c r="AO3753">
        <v>-2.97</v>
      </c>
      <c r="AP3753">
        <v>1</v>
      </c>
      <c r="AQ3753">
        <v>0</v>
      </c>
      <c r="AR3753">
        <v>7.56</v>
      </c>
      <c r="AS3753">
        <v>26</v>
      </c>
      <c r="AT3753">
        <v>3.58</v>
      </c>
      <c r="AU3753">
        <v>87</v>
      </c>
      <c r="AV3753">
        <v>-1.46</v>
      </c>
      <c r="AW3753">
        <v>28</v>
      </c>
      <c r="AX3753">
        <v>0.32</v>
      </c>
      <c r="AY3753">
        <v>27</v>
      </c>
      <c r="AZ3753">
        <v>6.34</v>
      </c>
      <c r="BA3753">
        <v>23</v>
      </c>
      <c r="BB3753">
        <v>5.0199999999999996</v>
      </c>
      <c r="BC3753">
        <v>23</v>
      </c>
      <c r="BD3753">
        <v>0.02</v>
      </c>
      <c r="BE3753">
        <v>-0.01</v>
      </c>
      <c r="BF3753">
        <v>-0.12</v>
      </c>
      <c r="BG3753">
        <v>83</v>
      </c>
      <c r="BH3753">
        <v>-7.0000000000000007E-2</v>
      </c>
      <c r="BI3753">
        <v>4.38</v>
      </c>
      <c r="BJ3753">
        <v>1</v>
      </c>
      <c r="BK3753">
        <v>1</v>
      </c>
      <c r="BL3753">
        <v>1.83</v>
      </c>
      <c r="BM3753">
        <v>-1.24</v>
      </c>
      <c r="BN3753">
        <v>-0.48</v>
      </c>
      <c r="BO3753">
        <v>1.27</v>
      </c>
      <c r="BP3753">
        <v>0.86</v>
      </c>
      <c r="BQ3753">
        <v>-0.43</v>
      </c>
      <c r="BR3753">
        <v>-2.94</v>
      </c>
      <c r="BS3753">
        <v>-0.67</v>
      </c>
      <c r="BT3753">
        <v>3.29</v>
      </c>
      <c r="BU3753">
        <v>1.18</v>
      </c>
      <c r="BV3753">
        <v>2.0499999999999998</v>
      </c>
      <c r="BW3753">
        <v>0.8</v>
      </c>
      <c r="BX3753">
        <v>2.08</v>
      </c>
      <c r="BY3753">
        <v>-0.09</v>
      </c>
      <c r="BZ3753">
        <v>-0.54</v>
      </c>
      <c r="CA3753">
        <v>1.1599999999999999</v>
      </c>
      <c r="CB3753">
        <v>1.24</v>
      </c>
      <c r="CC3753">
        <v>0.26</v>
      </c>
      <c r="CD3753">
        <v>-0.66</v>
      </c>
      <c r="CE3753">
        <v>0.67</v>
      </c>
      <c r="CF3753">
        <v>1.1499999999999999</v>
      </c>
      <c r="CG3753">
        <v>0</v>
      </c>
      <c r="CH3753">
        <v>0.35</v>
      </c>
      <c r="CI3753">
        <v>0</v>
      </c>
      <c r="CJ3753">
        <v>-3.71</v>
      </c>
      <c r="CK3753">
        <v>31</v>
      </c>
      <c r="CL3753">
        <v>-0.95</v>
      </c>
      <c r="CM3753">
        <v>31</v>
      </c>
      <c r="CN3753">
        <v>-0.38</v>
      </c>
      <c r="CO3753">
        <v>30</v>
      </c>
      <c r="CP3753">
        <v>-1.49</v>
      </c>
      <c r="CQ3753">
        <v>31</v>
      </c>
      <c r="CR3753">
        <v>0</v>
      </c>
      <c r="CS3753">
        <v>0</v>
      </c>
      <c r="CT3753">
        <v>9.65</v>
      </c>
      <c r="CU3753">
        <v>30</v>
      </c>
      <c r="CV3753">
        <v>0.13</v>
      </c>
      <c r="CW3753">
        <v>15</v>
      </c>
      <c r="CX3753" t="s">
        <v>2032</v>
      </c>
    </row>
    <row r="3754" spans="1:102" x14ac:dyDescent="0.3">
      <c r="A3754" t="str">
        <f>HYPERLINK("https://webapp.icbf.com/v2/app/bull-search/view/77859256","AKL")</f>
        <v>AKL</v>
      </c>
      <c r="B3754" t="s">
        <v>3835</v>
      </c>
      <c r="C3754" t="s">
        <v>3836</v>
      </c>
      <c r="D3754" s="1">
        <v>35754</v>
      </c>
      <c r="E3754" t="s">
        <v>92</v>
      </c>
      <c r="F3754">
        <v>97</v>
      </c>
      <c r="G3754" t="s">
        <v>93</v>
      </c>
      <c r="H3754">
        <v>-60.22</v>
      </c>
      <c r="I3754">
        <v>78</v>
      </c>
      <c r="J3754">
        <v>19.940000000000001</v>
      </c>
      <c r="K3754">
        <v>93</v>
      </c>
      <c r="L3754">
        <v>-73.510000000000005</v>
      </c>
      <c r="M3754">
        <v>71</v>
      </c>
      <c r="N3754">
        <v>3.76</v>
      </c>
      <c r="O3754">
        <v>66</v>
      </c>
      <c r="P3754">
        <v>-3.56</v>
      </c>
      <c r="Q3754">
        <v>78</v>
      </c>
      <c r="R3754">
        <v>-15.27</v>
      </c>
      <c r="S3754">
        <v>72</v>
      </c>
      <c r="T3754">
        <v>11.9</v>
      </c>
      <c r="U3754">
        <v>71</v>
      </c>
      <c r="V3754">
        <v>-3.48</v>
      </c>
      <c r="W3754">
        <v>61</v>
      </c>
      <c r="X3754" t="s">
        <v>94</v>
      </c>
      <c r="Y3754" t="s">
        <v>95</v>
      </c>
      <c r="Z3754" t="s">
        <v>96</v>
      </c>
      <c r="AA3754" t="s">
        <v>188</v>
      </c>
      <c r="AB3754" t="s">
        <v>3837</v>
      </c>
      <c r="AC3754">
        <v>35</v>
      </c>
      <c r="AD3754">
        <v>28</v>
      </c>
      <c r="AE3754">
        <v>93</v>
      </c>
      <c r="AF3754">
        <v>204.11</v>
      </c>
      <c r="AG3754">
        <v>4.03</v>
      </c>
      <c r="AH3754">
        <v>5.09</v>
      </c>
      <c r="AI3754">
        <v>-7.0000000000000007E-2</v>
      </c>
      <c r="AJ3754">
        <v>-0.03</v>
      </c>
      <c r="AK3754">
        <v>71</v>
      </c>
      <c r="AL3754">
        <v>28</v>
      </c>
      <c r="AM3754">
        <v>23</v>
      </c>
      <c r="AN3754">
        <v>3.39</v>
      </c>
      <c r="AO3754">
        <v>-2.48</v>
      </c>
      <c r="AP3754">
        <v>5</v>
      </c>
      <c r="AQ3754">
        <v>1</v>
      </c>
      <c r="AR3754">
        <v>7.88</v>
      </c>
      <c r="AS3754">
        <v>58</v>
      </c>
      <c r="AT3754">
        <v>3.69</v>
      </c>
      <c r="AU3754">
        <v>67</v>
      </c>
      <c r="AV3754">
        <v>-2.15</v>
      </c>
      <c r="AW3754">
        <v>73</v>
      </c>
      <c r="AX3754">
        <v>1.4</v>
      </c>
      <c r="AY3754">
        <v>68</v>
      </c>
      <c r="AZ3754">
        <v>7.28</v>
      </c>
      <c r="BA3754">
        <v>52</v>
      </c>
      <c r="BB3754">
        <v>5.48</v>
      </c>
      <c r="BC3754">
        <v>52</v>
      </c>
      <c r="BD3754">
        <v>0.06</v>
      </c>
      <c r="BE3754">
        <v>0.09</v>
      </c>
      <c r="BF3754">
        <v>0.08</v>
      </c>
      <c r="BG3754">
        <v>82</v>
      </c>
      <c r="BH3754">
        <v>0</v>
      </c>
      <c r="BI3754">
        <v>11.22</v>
      </c>
      <c r="BJ3754">
        <v>2</v>
      </c>
      <c r="BK3754">
        <v>2</v>
      </c>
      <c r="BL3754">
        <v>-0.26</v>
      </c>
      <c r="BM3754">
        <v>-0.65</v>
      </c>
      <c r="BN3754">
        <v>-0.6</v>
      </c>
      <c r="BO3754">
        <v>-0.02</v>
      </c>
      <c r="BP3754">
        <v>0.23</v>
      </c>
      <c r="BQ3754">
        <v>-1.43</v>
      </c>
      <c r="BR3754">
        <v>-0.33</v>
      </c>
      <c r="BS3754">
        <v>0.48</v>
      </c>
      <c r="BT3754">
        <v>0.21</v>
      </c>
      <c r="BU3754">
        <v>-2.7</v>
      </c>
      <c r="BV3754">
        <v>-1.65</v>
      </c>
      <c r="BW3754">
        <v>-1.35</v>
      </c>
      <c r="BX3754">
        <v>-2.2400000000000002</v>
      </c>
      <c r="BY3754">
        <v>-1.32</v>
      </c>
      <c r="BZ3754">
        <v>2.11</v>
      </c>
      <c r="CA3754">
        <v>-1.42</v>
      </c>
      <c r="CB3754">
        <v>-1.63</v>
      </c>
      <c r="CC3754">
        <v>-0.4</v>
      </c>
      <c r="CD3754">
        <v>0.19</v>
      </c>
      <c r="CE3754">
        <v>7.0000000000000007E-2</v>
      </c>
      <c r="CF3754">
        <v>-0.13</v>
      </c>
      <c r="CG3754">
        <v>0</v>
      </c>
      <c r="CH3754">
        <v>-2.67</v>
      </c>
      <c r="CI3754">
        <v>0</v>
      </c>
      <c r="CJ3754">
        <v>4.2</v>
      </c>
      <c r="CK3754">
        <v>79</v>
      </c>
      <c r="CL3754">
        <v>-0.88</v>
      </c>
      <c r="CM3754">
        <v>76</v>
      </c>
      <c r="CN3754">
        <v>-0.05</v>
      </c>
      <c r="CO3754">
        <v>73</v>
      </c>
      <c r="CP3754">
        <v>-5.7</v>
      </c>
      <c r="CQ3754">
        <v>79</v>
      </c>
      <c r="CR3754">
        <v>0</v>
      </c>
      <c r="CS3754">
        <v>0</v>
      </c>
      <c r="CT3754">
        <v>-2.2999999999999998</v>
      </c>
      <c r="CU3754">
        <v>71</v>
      </c>
      <c r="CV3754">
        <v>0.33</v>
      </c>
      <c r="CW3754">
        <v>41</v>
      </c>
      <c r="CX3754" t="s">
        <v>3163</v>
      </c>
    </row>
    <row r="3755" spans="1:102" x14ac:dyDescent="0.3">
      <c r="A3755" t="str">
        <f>HYPERLINK("https://webapp.icbf.com/v2/app/bull-search/view/77857807","FAN")</f>
        <v>FAN</v>
      </c>
      <c r="B3755" t="s">
        <v>7380</v>
      </c>
      <c r="C3755" t="s">
        <v>3366</v>
      </c>
      <c r="D3755" s="1">
        <v>32152</v>
      </c>
      <c r="E3755" t="s">
        <v>108</v>
      </c>
      <c r="F3755">
        <v>0</v>
      </c>
      <c r="G3755" t="s">
        <v>93</v>
      </c>
      <c r="H3755">
        <v>-60.36</v>
      </c>
      <c r="I3755">
        <v>96</v>
      </c>
      <c r="J3755">
        <v>-56.41</v>
      </c>
      <c r="K3755">
        <v>99</v>
      </c>
      <c r="L3755">
        <v>13.77</v>
      </c>
      <c r="M3755">
        <v>95</v>
      </c>
      <c r="N3755">
        <v>-7.88</v>
      </c>
      <c r="O3755">
        <v>93</v>
      </c>
      <c r="P3755">
        <v>-6.11</v>
      </c>
      <c r="Q3755">
        <v>98</v>
      </c>
      <c r="R3755">
        <v>-8.6300000000000008</v>
      </c>
      <c r="S3755">
        <v>91</v>
      </c>
      <c r="T3755">
        <v>15.23</v>
      </c>
      <c r="U3755">
        <v>96</v>
      </c>
      <c r="V3755">
        <v>-10.33</v>
      </c>
      <c r="W3755">
        <v>86</v>
      </c>
      <c r="X3755" t="s">
        <v>102</v>
      </c>
      <c r="Y3755" t="s">
        <v>95</v>
      </c>
      <c r="Z3755" t="s">
        <v>96</v>
      </c>
      <c r="AA3755" t="s">
        <v>7381</v>
      </c>
      <c r="AB3755" t="s">
        <v>7382</v>
      </c>
      <c r="AC3755">
        <v>875</v>
      </c>
      <c r="AD3755">
        <v>355</v>
      </c>
      <c r="AE3755">
        <v>99</v>
      </c>
      <c r="AF3755">
        <v>-192.06</v>
      </c>
      <c r="AG3755">
        <v>-8.83</v>
      </c>
      <c r="AH3755">
        <v>-9.41</v>
      </c>
      <c r="AI3755">
        <v>-0.02</v>
      </c>
      <c r="AJ3755">
        <v>-0.05</v>
      </c>
      <c r="AK3755">
        <v>95</v>
      </c>
      <c r="AL3755">
        <v>2057</v>
      </c>
      <c r="AM3755">
        <v>750</v>
      </c>
      <c r="AN3755">
        <v>-2.14</v>
      </c>
      <c r="AO3755">
        <v>-1.06</v>
      </c>
      <c r="AP3755">
        <v>12</v>
      </c>
      <c r="AQ3755">
        <v>1</v>
      </c>
      <c r="AR3755">
        <v>6.02</v>
      </c>
      <c r="AS3755">
        <v>81</v>
      </c>
      <c r="AT3755">
        <v>2.46</v>
      </c>
      <c r="AU3755">
        <v>93</v>
      </c>
      <c r="AV3755">
        <v>0.66</v>
      </c>
      <c r="AW3755">
        <v>95</v>
      </c>
      <c r="AX3755">
        <v>-0.02</v>
      </c>
      <c r="AY3755">
        <v>97</v>
      </c>
      <c r="AZ3755">
        <v>6.72</v>
      </c>
      <c r="BA3755">
        <v>82</v>
      </c>
      <c r="BB3755">
        <v>7.03</v>
      </c>
      <c r="BC3755">
        <v>93</v>
      </c>
      <c r="BD3755">
        <v>0.08</v>
      </c>
      <c r="BE3755">
        <v>0.05</v>
      </c>
      <c r="BF3755">
        <v>-0.03</v>
      </c>
      <c r="BG3755">
        <v>99</v>
      </c>
      <c r="BH3755">
        <v>-0.1</v>
      </c>
      <c r="BI3755">
        <v>21.75</v>
      </c>
      <c r="BJ3755">
        <v>105</v>
      </c>
      <c r="BK3755">
        <v>57</v>
      </c>
      <c r="BL3755">
        <v>-1.9</v>
      </c>
      <c r="BM3755">
        <v>2.4700000000000002</v>
      </c>
      <c r="BN3755">
        <v>-2.16</v>
      </c>
      <c r="BO3755">
        <v>-2.72</v>
      </c>
      <c r="BP3755">
        <v>-1.73</v>
      </c>
      <c r="BQ3755">
        <v>3.44</v>
      </c>
      <c r="BR3755">
        <v>-2.2000000000000002</v>
      </c>
      <c r="BS3755">
        <v>-1.1299999999999999</v>
      </c>
      <c r="BT3755">
        <v>-1.51</v>
      </c>
      <c r="BU3755">
        <v>-2.46</v>
      </c>
      <c r="BV3755">
        <v>-2.2200000000000002</v>
      </c>
      <c r="BW3755">
        <v>-3.76</v>
      </c>
      <c r="BX3755">
        <v>-1.08</v>
      </c>
      <c r="BY3755">
        <v>-1.78</v>
      </c>
      <c r="BZ3755">
        <v>2.0299999999999998</v>
      </c>
      <c r="CA3755">
        <v>-2.67</v>
      </c>
      <c r="CB3755">
        <v>-2.4500000000000002</v>
      </c>
      <c r="CC3755">
        <v>-3.06</v>
      </c>
      <c r="CD3755">
        <v>2.84</v>
      </c>
      <c r="CE3755">
        <v>-2.39</v>
      </c>
      <c r="CF3755">
        <v>-0.75</v>
      </c>
      <c r="CG3755">
        <v>0</v>
      </c>
      <c r="CH3755">
        <v>-1.9</v>
      </c>
      <c r="CI3755">
        <v>0</v>
      </c>
      <c r="CJ3755">
        <v>-1.7</v>
      </c>
      <c r="CK3755">
        <v>98</v>
      </c>
      <c r="CL3755">
        <v>7.0000000000000007E-2</v>
      </c>
      <c r="CM3755">
        <v>98</v>
      </c>
      <c r="CN3755">
        <v>0.24</v>
      </c>
      <c r="CO3755">
        <v>98</v>
      </c>
      <c r="CP3755">
        <v>-11.2</v>
      </c>
      <c r="CQ3755">
        <v>99</v>
      </c>
      <c r="CR3755">
        <v>0</v>
      </c>
      <c r="CS3755">
        <v>0</v>
      </c>
      <c r="CT3755">
        <v>-6.8</v>
      </c>
      <c r="CU3755">
        <v>96</v>
      </c>
      <c r="CV3755">
        <v>0.08</v>
      </c>
      <c r="CW3755">
        <v>46</v>
      </c>
      <c r="CX3755" t="s">
        <v>2980</v>
      </c>
    </row>
    <row r="3756" spans="1:102" x14ac:dyDescent="0.3">
      <c r="A3756" t="str">
        <f>HYPERLINK("https://webapp.icbf.com/v2/app/bull-search/view/757218902","S888")</f>
        <v>S888</v>
      </c>
      <c r="B3756" t="s">
        <v>1668</v>
      </c>
      <c r="C3756" t="s">
        <v>1669</v>
      </c>
      <c r="D3756" s="1">
        <v>37869</v>
      </c>
      <c r="E3756" t="s">
        <v>197</v>
      </c>
      <c r="F3756">
        <v>0</v>
      </c>
      <c r="G3756" t="s">
        <v>93</v>
      </c>
      <c r="H3756">
        <v>-60.4</v>
      </c>
      <c r="I3756">
        <v>47</v>
      </c>
      <c r="J3756">
        <v>-26.11</v>
      </c>
      <c r="K3756">
        <v>71</v>
      </c>
      <c r="L3756">
        <v>23.18</v>
      </c>
      <c r="M3756">
        <v>24</v>
      </c>
      <c r="N3756">
        <v>-50.57</v>
      </c>
      <c r="O3756">
        <v>48</v>
      </c>
      <c r="P3756">
        <v>20.61</v>
      </c>
      <c r="Q3756">
        <v>65</v>
      </c>
      <c r="R3756">
        <v>-9.58</v>
      </c>
      <c r="S3756">
        <v>27</v>
      </c>
      <c r="T3756">
        <v>-10.220000000000001</v>
      </c>
      <c r="U3756">
        <v>48</v>
      </c>
      <c r="V3756">
        <v>-7.71</v>
      </c>
      <c r="W3756">
        <v>28</v>
      </c>
      <c r="X3756" t="s">
        <v>198</v>
      </c>
      <c r="Y3756" t="s">
        <v>303</v>
      </c>
      <c r="Z3756">
        <v>0</v>
      </c>
      <c r="AA3756" t="s">
        <v>1670</v>
      </c>
      <c r="AB3756" t="s">
        <v>1671</v>
      </c>
      <c r="AC3756">
        <v>12</v>
      </c>
      <c r="AD3756">
        <v>2</v>
      </c>
      <c r="AE3756">
        <v>71</v>
      </c>
      <c r="AF3756">
        <v>-240.35</v>
      </c>
      <c r="AG3756">
        <v>-6.98</v>
      </c>
      <c r="AH3756">
        <v>-5.65</v>
      </c>
      <c r="AI3756">
        <v>0.04</v>
      </c>
      <c r="AJ3756">
        <v>0.04</v>
      </c>
      <c r="AK3756">
        <v>24</v>
      </c>
      <c r="AL3756">
        <v>10</v>
      </c>
      <c r="AM3756">
        <v>4</v>
      </c>
      <c r="AN3756">
        <v>-2.73</v>
      </c>
      <c r="AO3756">
        <v>-0.9</v>
      </c>
      <c r="AP3756">
        <v>26</v>
      </c>
      <c r="AQ3756">
        <v>0</v>
      </c>
      <c r="AR3756">
        <v>7.34</v>
      </c>
      <c r="AS3756">
        <v>9</v>
      </c>
      <c r="AT3756">
        <v>6.32</v>
      </c>
      <c r="AU3756">
        <v>40</v>
      </c>
      <c r="AV3756">
        <v>2.14</v>
      </c>
      <c r="AW3756">
        <v>78</v>
      </c>
      <c r="AX3756">
        <v>1.75</v>
      </c>
      <c r="AY3756">
        <v>36</v>
      </c>
      <c r="AZ3756">
        <v>7.03</v>
      </c>
      <c r="BA3756">
        <v>10</v>
      </c>
      <c r="BB3756">
        <v>3.85</v>
      </c>
      <c r="BC3756">
        <v>11</v>
      </c>
      <c r="BD3756">
        <v>0.02</v>
      </c>
      <c r="BE3756">
        <v>0.03</v>
      </c>
      <c r="BF3756">
        <v>0.13</v>
      </c>
      <c r="BG3756">
        <v>33</v>
      </c>
      <c r="BH3756">
        <v>-0.17</v>
      </c>
      <c r="BI3756">
        <v>5.19</v>
      </c>
      <c r="BJ3756">
        <v>0</v>
      </c>
      <c r="BK3756">
        <v>0</v>
      </c>
      <c r="BL3756">
        <v>-0.59</v>
      </c>
      <c r="BM3756">
        <v>0.53</v>
      </c>
      <c r="BN3756">
        <v>-0.51</v>
      </c>
      <c r="BO3756">
        <v>-0.85</v>
      </c>
      <c r="BP3756">
        <v>0.33</v>
      </c>
      <c r="BQ3756">
        <v>0.08</v>
      </c>
      <c r="BR3756">
        <v>0.13</v>
      </c>
      <c r="BS3756">
        <v>0.15</v>
      </c>
      <c r="BT3756">
        <v>-0.12</v>
      </c>
      <c r="BU3756">
        <v>-0.59</v>
      </c>
      <c r="BV3756">
        <v>-0.97</v>
      </c>
      <c r="BW3756">
        <v>-0.97</v>
      </c>
      <c r="BX3756">
        <v>-0.26</v>
      </c>
      <c r="BY3756">
        <v>-0.89</v>
      </c>
      <c r="BZ3756">
        <v>-0.11</v>
      </c>
      <c r="CA3756">
        <v>-0.88</v>
      </c>
      <c r="CB3756">
        <v>-0.89</v>
      </c>
      <c r="CC3756">
        <v>-0.49</v>
      </c>
      <c r="CD3756">
        <v>0.8</v>
      </c>
      <c r="CE3756">
        <v>-0.87</v>
      </c>
      <c r="CF3756">
        <v>-0.53</v>
      </c>
      <c r="CG3756">
        <v>0</v>
      </c>
      <c r="CH3756">
        <v>-0.77</v>
      </c>
      <c r="CI3756">
        <v>0</v>
      </c>
      <c r="CJ3756">
        <v>9.1999999999999993</v>
      </c>
      <c r="CK3756">
        <v>69</v>
      </c>
      <c r="CL3756">
        <v>0.16</v>
      </c>
      <c r="CM3756">
        <v>63</v>
      </c>
      <c r="CN3756">
        <v>-0.34</v>
      </c>
      <c r="CO3756">
        <v>59</v>
      </c>
      <c r="CP3756">
        <v>15.2</v>
      </c>
      <c r="CQ3756">
        <v>53</v>
      </c>
      <c r="CR3756">
        <v>0</v>
      </c>
      <c r="CS3756">
        <v>0</v>
      </c>
      <c r="CT3756">
        <v>27.6</v>
      </c>
      <c r="CU3756">
        <v>48</v>
      </c>
      <c r="CV3756">
        <v>-0.05</v>
      </c>
      <c r="CW3756">
        <v>18</v>
      </c>
      <c r="CX3756" t="s">
        <v>1672</v>
      </c>
    </row>
    <row r="3757" spans="1:102" x14ac:dyDescent="0.3">
      <c r="A3757" t="str">
        <f>HYPERLINK("https://webapp.icbf.com/v2/app/bull-search/view/69091210","AXL")</f>
        <v>AXL</v>
      </c>
      <c r="B3757" t="s">
        <v>8530</v>
      </c>
      <c r="C3757" t="s">
        <v>8531</v>
      </c>
      <c r="D3757" s="1">
        <v>31826</v>
      </c>
      <c r="E3757" t="s">
        <v>92</v>
      </c>
      <c r="F3757">
        <v>100</v>
      </c>
      <c r="G3757" t="s">
        <v>116</v>
      </c>
      <c r="H3757">
        <v>-60.42</v>
      </c>
      <c r="I3757">
        <v>40</v>
      </c>
      <c r="J3757">
        <v>-6.57</v>
      </c>
      <c r="K3757">
        <v>62</v>
      </c>
      <c r="L3757">
        <v>-45.88</v>
      </c>
      <c r="M3757">
        <v>25</v>
      </c>
      <c r="N3757">
        <v>6.09</v>
      </c>
      <c r="O3757">
        <v>28</v>
      </c>
      <c r="P3757">
        <v>-7.99</v>
      </c>
      <c r="Q3757">
        <v>45</v>
      </c>
      <c r="R3757">
        <v>-7.57</v>
      </c>
      <c r="S3757">
        <v>29</v>
      </c>
      <c r="T3757">
        <v>5.39</v>
      </c>
      <c r="U3757">
        <v>36</v>
      </c>
      <c r="V3757">
        <v>-3.89</v>
      </c>
      <c r="W3757">
        <v>11</v>
      </c>
      <c r="X3757" t="s">
        <v>94</v>
      </c>
      <c r="Y3757" t="s">
        <v>8532</v>
      </c>
      <c r="Z3757">
        <v>0</v>
      </c>
      <c r="AA3757" t="s">
        <v>105</v>
      </c>
      <c r="AB3757" t="s">
        <v>8533</v>
      </c>
      <c r="AC3757">
        <v>9</v>
      </c>
      <c r="AD3757">
        <v>7</v>
      </c>
      <c r="AE3757">
        <v>62</v>
      </c>
      <c r="AF3757">
        <v>-56.55</v>
      </c>
      <c r="AG3757">
        <v>-0.83</v>
      </c>
      <c r="AH3757">
        <v>-1.69</v>
      </c>
      <c r="AI3757">
        <v>0.02</v>
      </c>
      <c r="AJ3757">
        <v>0</v>
      </c>
      <c r="AK3757">
        <v>25</v>
      </c>
      <c r="AL3757">
        <v>8</v>
      </c>
      <c r="AM3757">
        <v>6</v>
      </c>
      <c r="AN3757">
        <v>3.19</v>
      </c>
      <c r="AO3757">
        <v>-0.46</v>
      </c>
      <c r="AP3757">
        <v>2</v>
      </c>
      <c r="AQ3757">
        <v>1</v>
      </c>
      <c r="AR3757">
        <v>5.78</v>
      </c>
      <c r="AS3757">
        <v>8</v>
      </c>
      <c r="AT3757">
        <v>2.5299999999999998</v>
      </c>
      <c r="AU3757">
        <v>26</v>
      </c>
      <c r="AV3757">
        <v>0.75</v>
      </c>
      <c r="AW3757">
        <v>39</v>
      </c>
      <c r="AX3757">
        <v>-0.59</v>
      </c>
      <c r="AY3757">
        <v>26</v>
      </c>
      <c r="AZ3757">
        <v>6.17</v>
      </c>
      <c r="BA3757">
        <v>8</v>
      </c>
      <c r="BB3757">
        <v>4.8099999999999996</v>
      </c>
      <c r="BC3757">
        <v>16</v>
      </c>
      <c r="BD3757">
        <v>0.06</v>
      </c>
      <c r="BE3757">
        <v>0.06</v>
      </c>
      <c r="BF3757">
        <v>-0.04</v>
      </c>
      <c r="BG3757">
        <v>38</v>
      </c>
      <c r="BH3757">
        <v>0</v>
      </c>
      <c r="BI3757">
        <v>12.55</v>
      </c>
      <c r="BJ3757">
        <v>0</v>
      </c>
      <c r="BK3757">
        <v>0</v>
      </c>
      <c r="BL3757">
        <v>-0.56000000000000005</v>
      </c>
      <c r="BM3757">
        <v>1.36</v>
      </c>
      <c r="BN3757">
        <v>-0.06</v>
      </c>
      <c r="BO3757">
        <v>-0.88</v>
      </c>
      <c r="BP3757">
        <v>0.02</v>
      </c>
      <c r="BQ3757">
        <v>-0.37</v>
      </c>
      <c r="BR3757">
        <v>-0.51</v>
      </c>
      <c r="BS3757">
        <v>0.05</v>
      </c>
      <c r="BT3757">
        <v>0.82</v>
      </c>
      <c r="BU3757">
        <v>-1.2</v>
      </c>
      <c r="BV3757">
        <v>-0.97</v>
      </c>
      <c r="BW3757">
        <v>-1.28</v>
      </c>
      <c r="BX3757">
        <v>-1</v>
      </c>
      <c r="BY3757">
        <v>-1.77</v>
      </c>
      <c r="BZ3757">
        <v>0.79</v>
      </c>
      <c r="CA3757">
        <v>-1.34</v>
      </c>
      <c r="CB3757">
        <v>-1.25</v>
      </c>
      <c r="CC3757">
        <v>-0.95</v>
      </c>
      <c r="CD3757">
        <v>1.1499999999999999</v>
      </c>
      <c r="CE3757">
        <v>-1.0900000000000001</v>
      </c>
      <c r="CF3757">
        <v>-0.73</v>
      </c>
      <c r="CG3757">
        <v>0</v>
      </c>
      <c r="CH3757">
        <v>-1.47</v>
      </c>
      <c r="CI3757">
        <v>0</v>
      </c>
      <c r="CJ3757">
        <v>-1.1000000000000001</v>
      </c>
      <c r="CK3757">
        <v>48</v>
      </c>
      <c r="CL3757">
        <v>-0.72</v>
      </c>
      <c r="CM3757">
        <v>43</v>
      </c>
      <c r="CN3757">
        <v>-0.11</v>
      </c>
      <c r="CO3757">
        <v>40</v>
      </c>
      <c r="CP3757">
        <v>-2.2000000000000002</v>
      </c>
      <c r="CQ3757">
        <v>43</v>
      </c>
      <c r="CR3757">
        <v>0</v>
      </c>
      <c r="CS3757">
        <v>0</v>
      </c>
      <c r="CT3757">
        <v>6.5</v>
      </c>
      <c r="CU3757">
        <v>36</v>
      </c>
      <c r="CV3757">
        <v>0.22</v>
      </c>
      <c r="CW3757">
        <v>12</v>
      </c>
      <c r="CX3757" t="s">
        <v>3720</v>
      </c>
    </row>
    <row r="3758" spans="1:102" x14ac:dyDescent="0.3">
      <c r="A3758" t="str">
        <f>HYPERLINK("https://webapp.icbf.com/v2/app/bull-search/view/77859112","CQR")</f>
        <v>CQR</v>
      </c>
      <c r="B3758" t="s">
        <v>10728</v>
      </c>
      <c r="C3758" t="s">
        <v>10729</v>
      </c>
      <c r="D3758" s="1">
        <v>32576</v>
      </c>
      <c r="E3758" t="s">
        <v>92</v>
      </c>
      <c r="F3758">
        <v>81</v>
      </c>
      <c r="G3758" t="s">
        <v>116</v>
      </c>
      <c r="H3758">
        <v>-60.45</v>
      </c>
      <c r="I3758">
        <v>46</v>
      </c>
      <c r="J3758">
        <v>-33.65</v>
      </c>
      <c r="K3758">
        <v>61</v>
      </c>
      <c r="L3758">
        <v>-22.64</v>
      </c>
      <c r="M3758">
        <v>36</v>
      </c>
      <c r="N3758">
        <v>-1.1299999999999999</v>
      </c>
      <c r="O3758">
        <v>40</v>
      </c>
      <c r="P3758">
        <v>-2.2200000000000002</v>
      </c>
      <c r="Q3758">
        <v>50</v>
      </c>
      <c r="R3758">
        <v>-3.89</v>
      </c>
      <c r="S3758">
        <v>40</v>
      </c>
      <c r="T3758">
        <v>7.76</v>
      </c>
      <c r="U3758">
        <v>47</v>
      </c>
      <c r="V3758">
        <v>-4.68</v>
      </c>
      <c r="W3758">
        <v>27</v>
      </c>
      <c r="X3758" t="s">
        <v>276</v>
      </c>
      <c r="Y3758" t="s">
        <v>117</v>
      </c>
      <c r="Z3758" t="s">
        <v>96</v>
      </c>
      <c r="AA3758" t="s">
        <v>154</v>
      </c>
      <c r="AB3758" t="s">
        <v>10730</v>
      </c>
      <c r="AC3758">
        <v>7</v>
      </c>
      <c r="AD3758">
        <v>7</v>
      </c>
      <c r="AE3758">
        <v>61</v>
      </c>
      <c r="AF3758">
        <v>-61.11</v>
      </c>
      <c r="AG3758">
        <v>-5.14</v>
      </c>
      <c r="AH3758">
        <v>-4.84</v>
      </c>
      <c r="AI3758">
        <v>-0.05</v>
      </c>
      <c r="AJ3758">
        <v>-0.05</v>
      </c>
      <c r="AK3758">
        <v>36</v>
      </c>
      <c r="AL3758">
        <v>9</v>
      </c>
      <c r="AM3758">
        <v>7</v>
      </c>
      <c r="AN3758">
        <v>1.67</v>
      </c>
      <c r="AO3758">
        <v>-0.13</v>
      </c>
      <c r="AP3758">
        <v>8</v>
      </c>
      <c r="AQ3758">
        <v>0</v>
      </c>
      <c r="AR3758">
        <v>6.81</v>
      </c>
      <c r="AS3758">
        <v>35</v>
      </c>
      <c r="AT3758">
        <v>3.37</v>
      </c>
      <c r="AU3758">
        <v>35</v>
      </c>
      <c r="AV3758">
        <v>0.01</v>
      </c>
      <c r="AW3758">
        <v>49</v>
      </c>
      <c r="AX3758">
        <v>0.22</v>
      </c>
      <c r="AY3758">
        <v>38</v>
      </c>
      <c r="AZ3758">
        <v>6.33</v>
      </c>
      <c r="BA3758">
        <v>28</v>
      </c>
      <c r="BB3758">
        <v>5.12</v>
      </c>
      <c r="BC3758">
        <v>30</v>
      </c>
      <c r="BD3758">
        <v>0.02</v>
      </c>
      <c r="BE3758">
        <v>0.04</v>
      </c>
      <c r="BF3758">
        <v>-0.02</v>
      </c>
      <c r="BG3758">
        <v>46</v>
      </c>
      <c r="BH3758">
        <v>-0.03</v>
      </c>
      <c r="BI3758">
        <v>11.64</v>
      </c>
      <c r="BJ3758">
        <v>0</v>
      </c>
      <c r="BK3758">
        <v>0</v>
      </c>
      <c r="BL3758">
        <v>0.41</v>
      </c>
      <c r="BM3758">
        <v>0.79</v>
      </c>
      <c r="BN3758">
        <v>0.39</v>
      </c>
      <c r="BO3758">
        <v>-0.28000000000000003</v>
      </c>
      <c r="BP3758">
        <v>-0.82</v>
      </c>
      <c r="BQ3758">
        <v>0.5</v>
      </c>
      <c r="BR3758">
        <v>-1</v>
      </c>
      <c r="BS3758">
        <v>0.43</v>
      </c>
      <c r="BT3758">
        <v>2</v>
      </c>
      <c r="BU3758">
        <v>-0.02</v>
      </c>
      <c r="BV3758">
        <v>-0.12</v>
      </c>
      <c r="BW3758">
        <v>-0.69</v>
      </c>
      <c r="BX3758">
        <v>0.83</v>
      </c>
      <c r="BY3758">
        <v>-0.71</v>
      </c>
      <c r="BZ3758">
        <v>-1.22</v>
      </c>
      <c r="CA3758">
        <v>0.18</v>
      </c>
      <c r="CB3758">
        <v>-0.24</v>
      </c>
      <c r="CC3758">
        <v>0.91</v>
      </c>
      <c r="CD3758">
        <v>1.17</v>
      </c>
      <c r="CE3758">
        <v>-0.41</v>
      </c>
      <c r="CF3758">
        <v>0.1</v>
      </c>
      <c r="CG3758">
        <v>0</v>
      </c>
      <c r="CH3758">
        <v>-0.36</v>
      </c>
      <c r="CI3758">
        <v>0</v>
      </c>
      <c r="CJ3758">
        <v>-0.3</v>
      </c>
      <c r="CK3758">
        <v>52</v>
      </c>
      <c r="CL3758">
        <v>-0.33</v>
      </c>
      <c r="CM3758">
        <v>48</v>
      </c>
      <c r="CN3758">
        <v>-0.16</v>
      </c>
      <c r="CO3758">
        <v>44</v>
      </c>
      <c r="CP3758">
        <v>-1.8</v>
      </c>
      <c r="CQ3758">
        <v>54</v>
      </c>
      <c r="CR3758">
        <v>0</v>
      </c>
      <c r="CS3758">
        <v>0</v>
      </c>
      <c r="CT3758">
        <v>3.3</v>
      </c>
      <c r="CU3758">
        <v>47</v>
      </c>
      <c r="CV3758">
        <v>7.0000000000000007E-2</v>
      </c>
      <c r="CW3758">
        <v>14</v>
      </c>
      <c r="CX3758" t="s">
        <v>10731</v>
      </c>
    </row>
    <row r="3759" spans="1:102" x14ac:dyDescent="0.3">
      <c r="A3759" t="str">
        <f>HYPERLINK("https://webapp.icbf.com/v2/app/bull-search/view/120571204","KWI")</f>
        <v>KWI</v>
      </c>
      <c r="B3759" t="s">
        <v>1189</v>
      </c>
      <c r="C3759" t="s">
        <v>1190</v>
      </c>
      <c r="D3759" s="1">
        <v>35325</v>
      </c>
      <c r="E3759" t="s">
        <v>92</v>
      </c>
      <c r="F3759">
        <v>100</v>
      </c>
      <c r="G3759" t="s">
        <v>93</v>
      </c>
      <c r="H3759">
        <v>-60.47</v>
      </c>
      <c r="I3759">
        <v>87</v>
      </c>
      <c r="J3759">
        <v>38.299999999999997</v>
      </c>
      <c r="K3759">
        <v>95</v>
      </c>
      <c r="L3759">
        <v>-67.2</v>
      </c>
      <c r="M3759">
        <v>85</v>
      </c>
      <c r="N3759">
        <v>1.42</v>
      </c>
      <c r="O3759">
        <v>81</v>
      </c>
      <c r="P3759">
        <v>-7.4</v>
      </c>
      <c r="Q3759">
        <v>88</v>
      </c>
      <c r="R3759">
        <v>-16.850000000000001</v>
      </c>
      <c r="S3759">
        <v>77</v>
      </c>
      <c r="T3759">
        <v>-3.93</v>
      </c>
      <c r="U3759">
        <v>84</v>
      </c>
      <c r="V3759">
        <v>-4.8099999999999996</v>
      </c>
      <c r="W3759">
        <v>71</v>
      </c>
      <c r="X3759" t="s">
        <v>94</v>
      </c>
      <c r="Y3759" t="s">
        <v>95</v>
      </c>
      <c r="Z3759" t="s">
        <v>96</v>
      </c>
      <c r="AA3759" t="s">
        <v>1191</v>
      </c>
      <c r="AB3759" t="s">
        <v>1192</v>
      </c>
      <c r="AC3759">
        <v>56</v>
      </c>
      <c r="AD3759">
        <v>28</v>
      </c>
      <c r="AE3759">
        <v>95</v>
      </c>
      <c r="AF3759">
        <v>96.48</v>
      </c>
      <c r="AG3759">
        <v>11.14</v>
      </c>
      <c r="AH3759">
        <v>4.05</v>
      </c>
      <c r="AI3759">
        <v>0.13</v>
      </c>
      <c r="AJ3759">
        <v>0.01</v>
      </c>
      <c r="AK3759">
        <v>85</v>
      </c>
      <c r="AL3759">
        <v>60</v>
      </c>
      <c r="AM3759">
        <v>29</v>
      </c>
      <c r="AN3759">
        <v>2.0099999999999998</v>
      </c>
      <c r="AO3759">
        <v>-3.37</v>
      </c>
      <c r="AP3759">
        <v>68</v>
      </c>
      <c r="AQ3759">
        <v>2</v>
      </c>
      <c r="AR3759">
        <v>9.2799999999999994</v>
      </c>
      <c r="AS3759">
        <v>63</v>
      </c>
      <c r="AT3759">
        <v>4</v>
      </c>
      <c r="AU3759">
        <v>87</v>
      </c>
      <c r="AV3759">
        <v>-1.45</v>
      </c>
      <c r="AW3759">
        <v>90</v>
      </c>
      <c r="AX3759">
        <v>0.27</v>
      </c>
      <c r="AY3759">
        <v>76</v>
      </c>
      <c r="AZ3759">
        <v>5.48</v>
      </c>
      <c r="BA3759">
        <v>56</v>
      </c>
      <c r="BB3759">
        <v>4.47</v>
      </c>
      <c r="BC3759">
        <v>61</v>
      </c>
      <c r="BD3759">
        <v>0.05</v>
      </c>
      <c r="BE3759">
        <v>0.06</v>
      </c>
      <c r="BF3759">
        <v>0.19</v>
      </c>
      <c r="BG3759">
        <v>89</v>
      </c>
      <c r="BH3759">
        <v>-0.19</v>
      </c>
      <c r="BI3759">
        <v>-6.45</v>
      </c>
      <c r="BJ3759">
        <v>8</v>
      </c>
      <c r="BK3759">
        <v>7</v>
      </c>
      <c r="BL3759">
        <v>0.24</v>
      </c>
      <c r="BM3759">
        <v>0.19</v>
      </c>
      <c r="BN3759">
        <v>0.11</v>
      </c>
      <c r="BO3759">
        <v>0.3</v>
      </c>
      <c r="BP3759">
        <v>0.33</v>
      </c>
      <c r="BQ3759">
        <v>-0.13</v>
      </c>
      <c r="BR3759">
        <v>2.7</v>
      </c>
      <c r="BS3759">
        <v>-1.8</v>
      </c>
      <c r="BT3759">
        <v>-2.0699999999999998</v>
      </c>
      <c r="BU3759">
        <v>0.3</v>
      </c>
      <c r="BV3759">
        <v>0.2</v>
      </c>
      <c r="BW3759">
        <v>-0.1</v>
      </c>
      <c r="BX3759">
        <v>-0.35</v>
      </c>
      <c r="BY3759">
        <v>-0.09</v>
      </c>
      <c r="BZ3759">
        <v>-0.12</v>
      </c>
      <c r="CA3759">
        <v>-0.56999999999999995</v>
      </c>
      <c r="CB3759">
        <v>0.37</v>
      </c>
      <c r="CC3759">
        <v>-2.08</v>
      </c>
      <c r="CD3759">
        <v>-0.34</v>
      </c>
      <c r="CE3759">
        <v>0.68</v>
      </c>
      <c r="CF3759">
        <v>0.52</v>
      </c>
      <c r="CG3759">
        <v>0</v>
      </c>
      <c r="CH3759">
        <v>0.44</v>
      </c>
      <c r="CI3759">
        <v>0</v>
      </c>
      <c r="CJ3759">
        <v>-3.1</v>
      </c>
      <c r="CK3759">
        <v>89</v>
      </c>
      <c r="CL3759">
        <v>-0.68</v>
      </c>
      <c r="CM3759">
        <v>87</v>
      </c>
      <c r="CN3759">
        <v>-0.32</v>
      </c>
      <c r="CO3759">
        <v>85</v>
      </c>
      <c r="CP3759">
        <v>1</v>
      </c>
      <c r="CQ3759">
        <v>86</v>
      </c>
      <c r="CR3759">
        <v>0</v>
      </c>
      <c r="CS3759">
        <v>0</v>
      </c>
      <c r="CT3759">
        <v>19.100000000000001</v>
      </c>
      <c r="CU3759">
        <v>84</v>
      </c>
      <c r="CV3759">
        <v>0.02</v>
      </c>
      <c r="CW3759">
        <v>43</v>
      </c>
      <c r="CX3759" t="s">
        <v>1193</v>
      </c>
    </row>
    <row r="3760" spans="1:102" x14ac:dyDescent="0.3">
      <c r="A3760" t="str">
        <f>HYPERLINK("https://webapp.icbf.com/v2/app/bull-search/view/69092128","LIE")</f>
        <v>LIE</v>
      </c>
      <c r="B3760" t="s">
        <v>8014</v>
      </c>
      <c r="C3760" t="s">
        <v>8015</v>
      </c>
      <c r="D3760" s="1">
        <v>36733</v>
      </c>
      <c r="E3760" t="s">
        <v>92</v>
      </c>
      <c r="F3760">
        <v>100</v>
      </c>
      <c r="G3760" t="s">
        <v>116</v>
      </c>
      <c r="H3760">
        <v>-60.53</v>
      </c>
      <c r="I3760">
        <v>32</v>
      </c>
      <c r="J3760">
        <v>12.91</v>
      </c>
      <c r="K3760">
        <v>41</v>
      </c>
      <c r="L3760">
        <v>-73.17</v>
      </c>
      <c r="M3760">
        <v>24</v>
      </c>
      <c r="N3760">
        <v>-2.65</v>
      </c>
      <c r="O3760">
        <v>31</v>
      </c>
      <c r="P3760">
        <v>-5.8</v>
      </c>
      <c r="Q3760">
        <v>39</v>
      </c>
      <c r="R3760">
        <v>-3.6</v>
      </c>
      <c r="S3760">
        <v>28</v>
      </c>
      <c r="T3760">
        <v>10.199999999999999</v>
      </c>
      <c r="U3760">
        <v>31</v>
      </c>
      <c r="V3760">
        <v>1.58</v>
      </c>
      <c r="W3760">
        <v>22</v>
      </c>
      <c r="X3760" t="s">
        <v>94</v>
      </c>
      <c r="Y3760" t="s">
        <v>1006</v>
      </c>
      <c r="Z3760" t="s">
        <v>96</v>
      </c>
      <c r="AA3760" t="s">
        <v>2431</v>
      </c>
      <c r="AB3760" t="s">
        <v>8016</v>
      </c>
      <c r="AC3760">
        <v>0</v>
      </c>
      <c r="AD3760">
        <v>0</v>
      </c>
      <c r="AE3760">
        <v>41</v>
      </c>
      <c r="AF3760">
        <v>130.71</v>
      </c>
      <c r="AG3760">
        <v>3.27</v>
      </c>
      <c r="AH3760">
        <v>3.04</v>
      </c>
      <c r="AI3760">
        <v>-0.04</v>
      </c>
      <c r="AJ3760">
        <v>-0.03</v>
      </c>
      <c r="AK3760">
        <v>24</v>
      </c>
      <c r="AL3760">
        <v>0</v>
      </c>
      <c r="AM3760">
        <v>0</v>
      </c>
      <c r="AN3760">
        <v>4.42</v>
      </c>
      <c r="AO3760">
        <v>-1.41</v>
      </c>
      <c r="AP3760">
        <v>1</v>
      </c>
      <c r="AQ3760">
        <v>0</v>
      </c>
      <c r="AR3760">
        <v>7.99</v>
      </c>
      <c r="AS3760">
        <v>22</v>
      </c>
      <c r="AT3760">
        <v>3.79</v>
      </c>
      <c r="AU3760">
        <v>32</v>
      </c>
      <c r="AV3760">
        <v>-0.54</v>
      </c>
      <c r="AW3760">
        <v>36</v>
      </c>
      <c r="AX3760">
        <v>0.01</v>
      </c>
      <c r="AY3760">
        <v>28</v>
      </c>
      <c r="AZ3760">
        <v>7.31</v>
      </c>
      <c r="BA3760">
        <v>22</v>
      </c>
      <c r="BB3760">
        <v>4.66</v>
      </c>
      <c r="BC3760">
        <v>23</v>
      </c>
      <c r="BD3760">
        <v>0.01</v>
      </c>
      <c r="BE3760">
        <v>0.04</v>
      </c>
      <c r="BF3760">
        <v>-0.01</v>
      </c>
      <c r="BG3760">
        <v>31</v>
      </c>
      <c r="BH3760">
        <v>0.05</v>
      </c>
      <c r="BI3760">
        <v>0.7</v>
      </c>
      <c r="BJ3760">
        <v>0</v>
      </c>
      <c r="BK3760">
        <v>0</v>
      </c>
      <c r="BL3760">
        <v>-0.24</v>
      </c>
      <c r="BM3760">
        <v>-0.62</v>
      </c>
      <c r="BN3760">
        <v>-0.28999999999999998</v>
      </c>
      <c r="BO3760">
        <v>0.06</v>
      </c>
      <c r="BP3760">
        <v>0.28000000000000003</v>
      </c>
      <c r="BQ3760">
        <v>-0.13</v>
      </c>
      <c r="BR3760">
        <v>-0.96</v>
      </c>
      <c r="BS3760">
        <v>0.49</v>
      </c>
      <c r="BT3760">
        <v>0.61</v>
      </c>
      <c r="BU3760">
        <v>-0.87</v>
      </c>
      <c r="BV3760">
        <v>-0.02</v>
      </c>
      <c r="BW3760">
        <v>-0.2</v>
      </c>
      <c r="BX3760">
        <v>-1.03</v>
      </c>
      <c r="BY3760">
        <v>-0.42</v>
      </c>
      <c r="BZ3760">
        <v>0.56000000000000005</v>
      </c>
      <c r="CA3760">
        <v>-0.46</v>
      </c>
      <c r="CB3760">
        <v>-0.5</v>
      </c>
      <c r="CC3760">
        <v>-0.11</v>
      </c>
      <c r="CD3760">
        <v>-0.43</v>
      </c>
      <c r="CE3760">
        <v>0.03</v>
      </c>
      <c r="CF3760">
        <v>-0.59</v>
      </c>
      <c r="CG3760">
        <v>0</v>
      </c>
      <c r="CH3760">
        <v>-0.56999999999999995</v>
      </c>
      <c r="CI3760">
        <v>0</v>
      </c>
      <c r="CJ3760">
        <v>-3</v>
      </c>
      <c r="CK3760">
        <v>41</v>
      </c>
      <c r="CL3760">
        <v>-0.4</v>
      </c>
      <c r="CM3760">
        <v>38</v>
      </c>
      <c r="CN3760">
        <v>-0.24</v>
      </c>
      <c r="CO3760">
        <v>36</v>
      </c>
      <c r="CP3760">
        <v>-2.2999999999999998</v>
      </c>
      <c r="CQ3760">
        <v>36</v>
      </c>
      <c r="CR3760">
        <v>0</v>
      </c>
      <c r="CS3760">
        <v>0</v>
      </c>
      <c r="CT3760">
        <v>0</v>
      </c>
      <c r="CU3760">
        <v>31</v>
      </c>
      <c r="CV3760">
        <v>0.06</v>
      </c>
      <c r="CW3760">
        <v>11</v>
      </c>
      <c r="CX3760" t="s">
        <v>753</v>
      </c>
    </row>
    <row r="3761" spans="1:102" x14ac:dyDescent="0.3">
      <c r="A3761" t="str">
        <f>HYPERLINK("https://webapp.icbf.com/v2/app/bull-search/view/660028778","S845")</f>
        <v>S845</v>
      </c>
      <c r="B3761" t="s">
        <v>8984</v>
      </c>
      <c r="C3761" t="s">
        <v>8985</v>
      </c>
      <c r="D3761" s="1">
        <v>38669</v>
      </c>
      <c r="E3761" t="s">
        <v>92</v>
      </c>
      <c r="F3761">
        <v>100</v>
      </c>
      <c r="G3761" t="s">
        <v>93</v>
      </c>
      <c r="H3761">
        <v>-60.54</v>
      </c>
      <c r="I3761">
        <v>86</v>
      </c>
      <c r="J3761">
        <v>10.3</v>
      </c>
      <c r="K3761">
        <v>95</v>
      </c>
      <c r="L3761">
        <v>-96.19</v>
      </c>
      <c r="M3761">
        <v>87</v>
      </c>
      <c r="N3761">
        <v>35.71</v>
      </c>
      <c r="O3761">
        <v>80</v>
      </c>
      <c r="P3761">
        <v>-0.89</v>
      </c>
      <c r="Q3761">
        <v>85</v>
      </c>
      <c r="R3761">
        <v>3.93</v>
      </c>
      <c r="S3761">
        <v>73</v>
      </c>
      <c r="T3761">
        <v>-20.95</v>
      </c>
      <c r="U3761">
        <v>83</v>
      </c>
      <c r="V3761">
        <v>7.55</v>
      </c>
      <c r="W3761">
        <v>44</v>
      </c>
      <c r="X3761" t="s">
        <v>110</v>
      </c>
      <c r="Y3761" t="s">
        <v>1494</v>
      </c>
      <c r="Z3761" t="s">
        <v>96</v>
      </c>
      <c r="AA3761" t="s">
        <v>350</v>
      </c>
      <c r="AB3761" t="s">
        <v>5475</v>
      </c>
      <c r="AC3761">
        <v>70</v>
      </c>
      <c r="AD3761">
        <v>26</v>
      </c>
      <c r="AE3761">
        <v>95</v>
      </c>
      <c r="AF3761">
        <v>508.22</v>
      </c>
      <c r="AG3761">
        <v>1.95</v>
      </c>
      <c r="AH3761">
        <v>8.84</v>
      </c>
      <c r="AI3761">
        <v>-0.27</v>
      </c>
      <c r="AJ3761">
        <v>-0.13</v>
      </c>
      <c r="AK3761">
        <v>87</v>
      </c>
      <c r="AL3761">
        <v>60</v>
      </c>
      <c r="AM3761">
        <v>30</v>
      </c>
      <c r="AN3761">
        <v>6.13</v>
      </c>
      <c r="AO3761">
        <v>-1.53</v>
      </c>
      <c r="AP3761">
        <v>113</v>
      </c>
      <c r="AQ3761">
        <v>0</v>
      </c>
      <c r="AR3761">
        <v>6.84</v>
      </c>
      <c r="AS3761">
        <v>62</v>
      </c>
      <c r="AT3761">
        <v>3.22</v>
      </c>
      <c r="AU3761">
        <v>90</v>
      </c>
      <c r="AV3761">
        <v>-3.71</v>
      </c>
      <c r="AW3761">
        <v>91</v>
      </c>
      <c r="AX3761">
        <v>-0.18</v>
      </c>
      <c r="AY3761">
        <v>74</v>
      </c>
      <c r="AZ3761">
        <v>5.23</v>
      </c>
      <c r="BA3761">
        <v>54</v>
      </c>
      <c r="BB3761">
        <v>4.37</v>
      </c>
      <c r="BC3761">
        <v>51</v>
      </c>
      <c r="BD3761">
        <v>-0.05</v>
      </c>
      <c r="BE3761">
        <v>-0.03</v>
      </c>
      <c r="BF3761">
        <v>0.05</v>
      </c>
      <c r="BG3761">
        <v>90</v>
      </c>
      <c r="BH3761">
        <v>0.11</v>
      </c>
      <c r="BI3761">
        <v>-11.62</v>
      </c>
      <c r="BJ3761">
        <v>46</v>
      </c>
      <c r="BK3761">
        <v>21</v>
      </c>
      <c r="BL3761">
        <v>2.36</v>
      </c>
      <c r="BM3761">
        <v>0.24</v>
      </c>
      <c r="BN3761">
        <v>2.3199999999999998</v>
      </c>
      <c r="BO3761">
        <v>1.79</v>
      </c>
      <c r="BP3761">
        <v>0.56000000000000005</v>
      </c>
      <c r="BQ3761">
        <v>3.73</v>
      </c>
      <c r="BR3761">
        <v>0.71</v>
      </c>
      <c r="BS3761">
        <v>1.74</v>
      </c>
      <c r="BT3761">
        <v>0.13</v>
      </c>
      <c r="BU3761">
        <v>3.24</v>
      </c>
      <c r="BV3761">
        <v>1.95</v>
      </c>
      <c r="BW3761">
        <v>2.82</v>
      </c>
      <c r="BX3761">
        <v>2.38</v>
      </c>
      <c r="BY3761">
        <v>2.78</v>
      </c>
      <c r="BZ3761">
        <v>1.33</v>
      </c>
      <c r="CA3761">
        <v>2.38</v>
      </c>
      <c r="CB3761">
        <v>2.44</v>
      </c>
      <c r="CC3761">
        <v>1.49</v>
      </c>
      <c r="CD3761">
        <v>-0.84</v>
      </c>
      <c r="CE3761">
        <v>1.31</v>
      </c>
      <c r="CF3761">
        <v>2.69</v>
      </c>
      <c r="CG3761">
        <v>0</v>
      </c>
      <c r="CH3761">
        <v>1.47</v>
      </c>
      <c r="CI3761">
        <v>0</v>
      </c>
      <c r="CJ3761">
        <v>1.8</v>
      </c>
      <c r="CK3761">
        <v>87</v>
      </c>
      <c r="CL3761">
        <v>-1.38</v>
      </c>
      <c r="CM3761">
        <v>84</v>
      </c>
      <c r="CN3761">
        <v>-0.7</v>
      </c>
      <c r="CO3761">
        <v>81</v>
      </c>
      <c r="CP3761">
        <v>17.8</v>
      </c>
      <c r="CQ3761">
        <v>82</v>
      </c>
      <c r="CR3761">
        <v>0</v>
      </c>
      <c r="CS3761">
        <v>0</v>
      </c>
      <c r="CT3761">
        <v>42.1</v>
      </c>
      <c r="CU3761">
        <v>83</v>
      </c>
      <c r="CV3761">
        <v>0.38</v>
      </c>
      <c r="CW3761">
        <v>25</v>
      </c>
      <c r="CX3761" t="s">
        <v>311</v>
      </c>
    </row>
    <row r="3762" spans="1:102" x14ac:dyDescent="0.3">
      <c r="A3762" t="str">
        <f>HYPERLINK("https://webapp.icbf.com/v2/app/bull-search/view/77852653","WOX")</f>
        <v>WOX</v>
      </c>
      <c r="B3762" t="s">
        <v>8694</v>
      </c>
      <c r="C3762" t="s">
        <v>8695</v>
      </c>
      <c r="D3762" s="1">
        <v>31772</v>
      </c>
      <c r="E3762" t="s">
        <v>92</v>
      </c>
      <c r="F3762">
        <v>75</v>
      </c>
      <c r="G3762" t="s">
        <v>93</v>
      </c>
      <c r="H3762">
        <v>-60.72</v>
      </c>
      <c r="I3762">
        <v>55</v>
      </c>
      <c r="J3762">
        <v>-114.59</v>
      </c>
      <c r="K3762">
        <v>66</v>
      </c>
      <c r="L3762">
        <v>91.09</v>
      </c>
      <c r="M3762">
        <v>59</v>
      </c>
      <c r="N3762">
        <v>-40.130000000000003</v>
      </c>
      <c r="O3762">
        <v>35</v>
      </c>
      <c r="P3762">
        <v>-2</v>
      </c>
      <c r="Q3762">
        <v>51</v>
      </c>
      <c r="R3762">
        <v>4.49</v>
      </c>
      <c r="S3762">
        <v>57</v>
      </c>
      <c r="T3762">
        <v>4.58</v>
      </c>
      <c r="U3762">
        <v>46</v>
      </c>
      <c r="V3762">
        <v>-4.16</v>
      </c>
      <c r="W3762">
        <v>14</v>
      </c>
      <c r="X3762" t="s">
        <v>110</v>
      </c>
      <c r="Y3762" t="s">
        <v>95</v>
      </c>
      <c r="Z3762" t="s">
        <v>96</v>
      </c>
      <c r="AA3762" t="s">
        <v>8696</v>
      </c>
      <c r="AB3762" t="s">
        <v>8697</v>
      </c>
      <c r="AC3762">
        <v>19</v>
      </c>
      <c r="AD3762">
        <v>13</v>
      </c>
      <c r="AE3762">
        <v>66</v>
      </c>
      <c r="AF3762">
        <v>-470.59</v>
      </c>
      <c r="AG3762">
        <v>-16.37</v>
      </c>
      <c r="AH3762">
        <v>-20.9</v>
      </c>
      <c r="AI3762">
        <v>0.04</v>
      </c>
      <c r="AJ3762">
        <v>-0.09</v>
      </c>
      <c r="AK3762">
        <v>59</v>
      </c>
      <c r="AL3762">
        <v>93</v>
      </c>
      <c r="AM3762">
        <v>44</v>
      </c>
      <c r="AN3762">
        <v>-6.08</v>
      </c>
      <c r="AO3762">
        <v>1.17</v>
      </c>
      <c r="AP3762">
        <v>3</v>
      </c>
      <c r="AQ3762">
        <v>0</v>
      </c>
      <c r="AR3762">
        <v>11.35</v>
      </c>
      <c r="AS3762">
        <v>16</v>
      </c>
      <c r="AT3762">
        <v>5</v>
      </c>
      <c r="AU3762">
        <v>30</v>
      </c>
      <c r="AV3762">
        <v>0.27</v>
      </c>
      <c r="AW3762">
        <v>38</v>
      </c>
      <c r="AX3762">
        <v>0.33</v>
      </c>
      <c r="AY3762">
        <v>69</v>
      </c>
      <c r="AZ3762">
        <v>7.57</v>
      </c>
      <c r="BA3762">
        <v>16</v>
      </c>
      <c r="BB3762">
        <v>5.61</v>
      </c>
      <c r="BC3762">
        <v>27</v>
      </c>
      <c r="BD3762">
        <v>0.01</v>
      </c>
      <c r="BE3762">
        <v>0</v>
      </c>
      <c r="BF3762">
        <v>-0.12</v>
      </c>
      <c r="BG3762">
        <v>81</v>
      </c>
      <c r="BH3762">
        <v>-0.14000000000000001</v>
      </c>
      <c r="BI3762">
        <v>-2.78</v>
      </c>
      <c r="BJ3762">
        <v>11</v>
      </c>
      <c r="BK3762">
        <v>5</v>
      </c>
      <c r="BL3762">
        <v>0</v>
      </c>
      <c r="BM3762">
        <v>1.1000000000000001</v>
      </c>
      <c r="BN3762">
        <v>-0.02</v>
      </c>
      <c r="BO3762">
        <v>-0.65</v>
      </c>
      <c r="BP3762">
        <v>-1.06</v>
      </c>
      <c r="BQ3762">
        <v>-0.43</v>
      </c>
      <c r="BR3762">
        <v>0.63</v>
      </c>
      <c r="BS3762">
        <v>0.36</v>
      </c>
      <c r="BT3762">
        <v>-0.5</v>
      </c>
      <c r="BU3762">
        <v>0.28999999999999998</v>
      </c>
      <c r="BV3762">
        <v>-1.39</v>
      </c>
      <c r="BW3762">
        <v>-2.06</v>
      </c>
      <c r="BX3762">
        <v>1.45</v>
      </c>
      <c r="BY3762">
        <v>-2.0499999999999998</v>
      </c>
      <c r="BZ3762">
        <v>1.73</v>
      </c>
      <c r="CA3762">
        <v>-0.85</v>
      </c>
      <c r="CB3762">
        <v>-1.1100000000000001</v>
      </c>
      <c r="CC3762">
        <v>-0.06</v>
      </c>
      <c r="CD3762">
        <v>0.56999999999999995</v>
      </c>
      <c r="CE3762">
        <v>-0.69</v>
      </c>
      <c r="CF3762">
        <v>0.22</v>
      </c>
      <c r="CG3762">
        <v>0</v>
      </c>
      <c r="CH3762">
        <v>-1.56</v>
      </c>
      <c r="CI3762">
        <v>0</v>
      </c>
      <c r="CJ3762">
        <v>-0.5</v>
      </c>
      <c r="CK3762">
        <v>53</v>
      </c>
      <c r="CL3762">
        <v>-0.15</v>
      </c>
      <c r="CM3762">
        <v>49</v>
      </c>
      <c r="CN3762">
        <v>-0.02</v>
      </c>
      <c r="CO3762">
        <v>44</v>
      </c>
      <c r="CP3762">
        <v>0</v>
      </c>
      <c r="CQ3762">
        <v>59</v>
      </c>
      <c r="CR3762">
        <v>0</v>
      </c>
      <c r="CS3762">
        <v>0</v>
      </c>
      <c r="CT3762">
        <v>7.6</v>
      </c>
      <c r="CU3762">
        <v>46</v>
      </c>
      <c r="CV3762">
        <v>0.01</v>
      </c>
      <c r="CW3762">
        <v>13</v>
      </c>
      <c r="CX3762" t="s">
        <v>8698</v>
      </c>
    </row>
    <row r="3763" spans="1:102" x14ac:dyDescent="0.3">
      <c r="A3763" t="str">
        <f>HYPERLINK("https://webapp.icbf.com/v2/app/bull-search/view/77853886","SKS")</f>
        <v>SKS</v>
      </c>
      <c r="B3763" t="s">
        <v>15349</v>
      </c>
      <c r="C3763" t="s">
        <v>15350</v>
      </c>
      <c r="D3763" s="1">
        <v>33154</v>
      </c>
      <c r="E3763" t="s">
        <v>92</v>
      </c>
      <c r="F3763">
        <v>100</v>
      </c>
      <c r="G3763" t="s">
        <v>109</v>
      </c>
      <c r="H3763">
        <v>-60.72</v>
      </c>
      <c r="I3763">
        <v>87</v>
      </c>
      <c r="J3763">
        <v>17.190000000000001</v>
      </c>
      <c r="K3763">
        <v>96</v>
      </c>
      <c r="L3763">
        <v>-72.819999999999993</v>
      </c>
      <c r="M3763">
        <v>89</v>
      </c>
      <c r="N3763">
        <v>-14.81</v>
      </c>
      <c r="O3763">
        <v>76</v>
      </c>
      <c r="P3763">
        <v>-3.55</v>
      </c>
      <c r="Q3763">
        <v>79</v>
      </c>
      <c r="R3763">
        <v>1.93</v>
      </c>
      <c r="S3763">
        <v>83</v>
      </c>
      <c r="T3763">
        <v>15.68</v>
      </c>
      <c r="U3763">
        <v>73</v>
      </c>
      <c r="V3763">
        <v>-4.34</v>
      </c>
      <c r="W3763">
        <v>74</v>
      </c>
      <c r="X3763" t="s">
        <v>94</v>
      </c>
      <c r="Y3763" t="s">
        <v>95</v>
      </c>
      <c r="Z3763" t="s">
        <v>96</v>
      </c>
      <c r="AA3763" t="s">
        <v>118</v>
      </c>
      <c r="AB3763" t="s">
        <v>11100</v>
      </c>
      <c r="AC3763">
        <v>23</v>
      </c>
      <c r="AD3763">
        <v>15</v>
      </c>
      <c r="AE3763">
        <v>96</v>
      </c>
      <c r="AF3763">
        <v>-155.13999999999999</v>
      </c>
      <c r="AG3763">
        <v>7.46</v>
      </c>
      <c r="AH3763">
        <v>-2.09</v>
      </c>
      <c r="AI3763">
        <v>0.24</v>
      </c>
      <c r="AJ3763">
        <v>0.06</v>
      </c>
      <c r="AK3763">
        <v>89</v>
      </c>
      <c r="AL3763">
        <v>29</v>
      </c>
      <c r="AM3763">
        <v>19</v>
      </c>
      <c r="AN3763">
        <v>3.75</v>
      </c>
      <c r="AO3763">
        <v>-2.06</v>
      </c>
      <c r="AP3763">
        <v>18</v>
      </c>
      <c r="AQ3763">
        <v>0</v>
      </c>
      <c r="AR3763">
        <v>10.08</v>
      </c>
      <c r="AS3763">
        <v>64</v>
      </c>
      <c r="AT3763">
        <v>4.78</v>
      </c>
      <c r="AU3763">
        <v>89</v>
      </c>
      <c r="AV3763">
        <v>-1.36</v>
      </c>
      <c r="AW3763">
        <v>79</v>
      </c>
      <c r="AX3763">
        <v>0.03</v>
      </c>
      <c r="AY3763">
        <v>68</v>
      </c>
      <c r="AZ3763">
        <v>6.22</v>
      </c>
      <c r="BA3763">
        <v>59</v>
      </c>
      <c r="BB3763">
        <v>5.21</v>
      </c>
      <c r="BC3763">
        <v>64</v>
      </c>
      <c r="BD3763">
        <v>-0.02</v>
      </c>
      <c r="BE3763">
        <v>0.01</v>
      </c>
      <c r="BF3763">
        <v>-0.03</v>
      </c>
      <c r="BG3763">
        <v>93</v>
      </c>
      <c r="BH3763">
        <v>-0.15</v>
      </c>
      <c r="BI3763">
        <v>-3.36</v>
      </c>
      <c r="BJ3763">
        <v>1</v>
      </c>
      <c r="BK3763">
        <v>1</v>
      </c>
      <c r="BL3763">
        <v>-0.93</v>
      </c>
      <c r="BM3763">
        <v>-0.92</v>
      </c>
      <c r="BN3763">
        <v>-0.64</v>
      </c>
      <c r="BO3763">
        <v>-0.25</v>
      </c>
      <c r="BP3763">
        <v>-3.12</v>
      </c>
      <c r="BQ3763">
        <v>-2.81</v>
      </c>
      <c r="BR3763">
        <v>-0.87</v>
      </c>
      <c r="BS3763">
        <v>-0.75</v>
      </c>
      <c r="BT3763">
        <v>0.49</v>
      </c>
      <c r="BU3763">
        <v>-1.24</v>
      </c>
      <c r="BV3763">
        <v>-0.98</v>
      </c>
      <c r="BW3763">
        <v>-0.23</v>
      </c>
      <c r="BX3763">
        <v>-1.1399999999999999</v>
      </c>
      <c r="BY3763">
        <v>-0.6</v>
      </c>
      <c r="BZ3763">
        <v>-2.5099999999999998</v>
      </c>
      <c r="CA3763">
        <v>-1.1299999999999999</v>
      </c>
      <c r="CB3763">
        <v>-1.44</v>
      </c>
      <c r="CC3763">
        <v>0.14000000000000001</v>
      </c>
      <c r="CD3763">
        <v>0.01</v>
      </c>
      <c r="CE3763">
        <v>-0.89</v>
      </c>
      <c r="CF3763">
        <v>-1.1499999999999999</v>
      </c>
      <c r="CG3763">
        <v>0</v>
      </c>
      <c r="CH3763">
        <v>-1.39</v>
      </c>
      <c r="CI3763">
        <v>0</v>
      </c>
      <c r="CJ3763">
        <v>-2.1</v>
      </c>
      <c r="CK3763">
        <v>80</v>
      </c>
      <c r="CL3763">
        <v>-0.32</v>
      </c>
      <c r="CM3763">
        <v>77</v>
      </c>
      <c r="CN3763">
        <v>-0.34</v>
      </c>
      <c r="CO3763">
        <v>75</v>
      </c>
      <c r="CP3763">
        <v>-8.9</v>
      </c>
      <c r="CQ3763">
        <v>78</v>
      </c>
      <c r="CR3763">
        <v>0</v>
      </c>
      <c r="CS3763">
        <v>0</v>
      </c>
      <c r="CT3763">
        <v>-7.4</v>
      </c>
      <c r="CU3763">
        <v>73</v>
      </c>
      <c r="CV3763">
        <v>7.0000000000000007E-2</v>
      </c>
      <c r="CW3763">
        <v>42</v>
      </c>
      <c r="CX3763" t="s">
        <v>707</v>
      </c>
    </row>
    <row r="3764" spans="1:102" x14ac:dyDescent="0.3">
      <c r="A3764" t="str">
        <f>HYPERLINK("https://webapp.icbf.com/v2/app/bull-search/view/77859415","AVK")</f>
        <v>AVK</v>
      </c>
      <c r="B3764" t="s">
        <v>3360</v>
      </c>
      <c r="C3764" t="s">
        <v>3361</v>
      </c>
      <c r="D3764" s="1">
        <v>32793</v>
      </c>
      <c r="E3764" t="s">
        <v>92</v>
      </c>
      <c r="F3764">
        <v>100</v>
      </c>
      <c r="G3764" t="s">
        <v>93</v>
      </c>
      <c r="H3764">
        <v>-60.74</v>
      </c>
      <c r="I3764">
        <v>72</v>
      </c>
      <c r="J3764">
        <v>-37.67</v>
      </c>
      <c r="K3764">
        <v>89</v>
      </c>
      <c r="L3764">
        <v>-38.619999999999997</v>
      </c>
      <c r="M3764">
        <v>63</v>
      </c>
      <c r="N3764">
        <v>18.66</v>
      </c>
      <c r="O3764">
        <v>52</v>
      </c>
      <c r="P3764">
        <v>-7.11</v>
      </c>
      <c r="Q3764">
        <v>79</v>
      </c>
      <c r="R3764">
        <v>-8.9600000000000009</v>
      </c>
      <c r="S3764">
        <v>64</v>
      </c>
      <c r="T3764">
        <v>17.3</v>
      </c>
      <c r="U3764">
        <v>78</v>
      </c>
      <c r="V3764">
        <v>-4.34</v>
      </c>
      <c r="W3764">
        <v>28</v>
      </c>
      <c r="X3764" t="s">
        <v>94</v>
      </c>
      <c r="Y3764" t="s">
        <v>95</v>
      </c>
      <c r="Z3764" t="s">
        <v>96</v>
      </c>
      <c r="AA3764" t="s">
        <v>638</v>
      </c>
      <c r="AB3764" t="s">
        <v>639</v>
      </c>
      <c r="AC3764">
        <v>50</v>
      </c>
      <c r="AD3764">
        <v>29</v>
      </c>
      <c r="AE3764">
        <v>89</v>
      </c>
      <c r="AF3764">
        <v>-177.46</v>
      </c>
      <c r="AG3764">
        <v>-7.33</v>
      </c>
      <c r="AH3764">
        <v>-6.53</v>
      </c>
      <c r="AI3764">
        <v>-0.01</v>
      </c>
      <c r="AJ3764">
        <v>-0.01</v>
      </c>
      <c r="AK3764">
        <v>63</v>
      </c>
      <c r="AL3764">
        <v>90</v>
      </c>
      <c r="AM3764">
        <v>60</v>
      </c>
      <c r="AN3764">
        <v>2.1</v>
      </c>
      <c r="AO3764">
        <v>-0.98</v>
      </c>
      <c r="AP3764">
        <v>1</v>
      </c>
      <c r="AQ3764">
        <v>2</v>
      </c>
      <c r="AR3764">
        <v>4.1900000000000004</v>
      </c>
      <c r="AS3764">
        <v>23</v>
      </c>
      <c r="AT3764">
        <v>1.97</v>
      </c>
      <c r="AU3764">
        <v>47</v>
      </c>
      <c r="AV3764">
        <v>-0.21</v>
      </c>
      <c r="AW3764">
        <v>60</v>
      </c>
      <c r="AX3764">
        <v>-0.33</v>
      </c>
      <c r="AY3764">
        <v>73</v>
      </c>
      <c r="AZ3764">
        <v>6.06</v>
      </c>
      <c r="BA3764">
        <v>25</v>
      </c>
      <c r="BB3764">
        <v>5.0999999999999996</v>
      </c>
      <c r="BC3764">
        <v>45</v>
      </c>
      <c r="BD3764">
        <v>0.06</v>
      </c>
      <c r="BE3764">
        <v>0.04</v>
      </c>
      <c r="BF3764">
        <v>0.03</v>
      </c>
      <c r="BG3764">
        <v>84</v>
      </c>
      <c r="BH3764">
        <v>-0.08</v>
      </c>
      <c r="BI3764">
        <v>4.7300000000000004</v>
      </c>
      <c r="BJ3764">
        <v>7</v>
      </c>
      <c r="BK3764">
        <v>1</v>
      </c>
      <c r="BL3764">
        <v>-0.05</v>
      </c>
      <c r="BM3764">
        <v>-2.27</v>
      </c>
      <c r="BN3764">
        <v>-1.55</v>
      </c>
      <c r="BO3764">
        <v>0.46</v>
      </c>
      <c r="BP3764">
        <v>0.27</v>
      </c>
      <c r="BQ3764">
        <v>-2.2599999999999998</v>
      </c>
      <c r="BR3764">
        <v>-0.46</v>
      </c>
      <c r="BS3764">
        <v>-0.94</v>
      </c>
      <c r="BT3764">
        <v>0.78</v>
      </c>
      <c r="BU3764">
        <v>-0.6</v>
      </c>
      <c r="BV3764">
        <v>-1.83</v>
      </c>
      <c r="BW3764">
        <v>-1.72</v>
      </c>
      <c r="BX3764">
        <v>1.5</v>
      </c>
      <c r="BY3764">
        <v>-0.5</v>
      </c>
      <c r="BZ3764">
        <v>1.67</v>
      </c>
      <c r="CA3764">
        <v>-1.2</v>
      </c>
      <c r="CB3764">
        <v>-1.42</v>
      </c>
      <c r="CC3764">
        <v>-0.43</v>
      </c>
      <c r="CD3764">
        <v>-1.61</v>
      </c>
      <c r="CE3764">
        <v>0.61</v>
      </c>
      <c r="CF3764">
        <v>-0.64</v>
      </c>
      <c r="CG3764">
        <v>0</v>
      </c>
      <c r="CH3764">
        <v>-2.44</v>
      </c>
      <c r="CI3764">
        <v>0</v>
      </c>
      <c r="CJ3764">
        <v>-2.2999999999999998</v>
      </c>
      <c r="CK3764">
        <v>80</v>
      </c>
      <c r="CL3764">
        <v>-0.55000000000000004</v>
      </c>
      <c r="CM3764">
        <v>77</v>
      </c>
      <c r="CN3764">
        <v>-0.32</v>
      </c>
      <c r="CO3764">
        <v>73</v>
      </c>
      <c r="CP3764">
        <v>-13.4</v>
      </c>
      <c r="CQ3764">
        <v>85</v>
      </c>
      <c r="CR3764">
        <v>0</v>
      </c>
      <c r="CS3764">
        <v>0</v>
      </c>
      <c r="CT3764">
        <v>-9.6</v>
      </c>
      <c r="CU3764">
        <v>78</v>
      </c>
      <c r="CV3764">
        <v>0.09</v>
      </c>
      <c r="CW3764">
        <v>22</v>
      </c>
      <c r="CX3764" t="s">
        <v>640</v>
      </c>
    </row>
    <row r="3765" spans="1:102" x14ac:dyDescent="0.3">
      <c r="A3765" t="str">
        <f>HYPERLINK("https://webapp.icbf.com/v2/app/bull-search/view/77859292","AMD")</f>
        <v>AMD</v>
      </c>
      <c r="B3765" t="s">
        <v>10633</v>
      </c>
      <c r="C3765" t="s">
        <v>10634</v>
      </c>
      <c r="D3765" s="1">
        <v>33841</v>
      </c>
      <c r="E3765" t="s">
        <v>92</v>
      </c>
      <c r="F3765">
        <v>100</v>
      </c>
      <c r="G3765" t="s">
        <v>93</v>
      </c>
      <c r="H3765">
        <v>-60.74</v>
      </c>
      <c r="I3765">
        <v>96</v>
      </c>
      <c r="J3765">
        <v>22.96</v>
      </c>
      <c r="K3765">
        <v>99</v>
      </c>
      <c r="L3765">
        <v>-86.67</v>
      </c>
      <c r="M3765">
        <v>94</v>
      </c>
      <c r="N3765">
        <v>10.01</v>
      </c>
      <c r="O3765">
        <v>97</v>
      </c>
      <c r="P3765">
        <v>1.63</v>
      </c>
      <c r="Q3765">
        <v>99</v>
      </c>
      <c r="R3765">
        <v>-16.32</v>
      </c>
      <c r="S3765">
        <v>93</v>
      </c>
      <c r="T3765">
        <v>3.39</v>
      </c>
      <c r="U3765">
        <v>98</v>
      </c>
      <c r="V3765">
        <v>4.26</v>
      </c>
      <c r="W3765">
        <v>90</v>
      </c>
      <c r="X3765" t="s">
        <v>94</v>
      </c>
      <c r="Y3765" t="s">
        <v>95</v>
      </c>
      <c r="Z3765" t="s">
        <v>96</v>
      </c>
      <c r="AA3765" t="s">
        <v>485</v>
      </c>
      <c r="AB3765" t="s">
        <v>10635</v>
      </c>
      <c r="AC3765">
        <v>1502</v>
      </c>
      <c r="AD3765">
        <v>695</v>
      </c>
      <c r="AE3765">
        <v>99</v>
      </c>
      <c r="AF3765">
        <v>194.4</v>
      </c>
      <c r="AG3765">
        <v>2.8</v>
      </c>
      <c r="AH3765">
        <v>5.89</v>
      </c>
      <c r="AI3765">
        <v>-0.08</v>
      </c>
      <c r="AJ3765">
        <v>-0.01</v>
      </c>
      <c r="AK3765">
        <v>94</v>
      </c>
      <c r="AL3765">
        <v>1495</v>
      </c>
      <c r="AM3765">
        <v>686</v>
      </c>
      <c r="AN3765">
        <v>4.8499999999999996</v>
      </c>
      <c r="AO3765">
        <v>-2.06</v>
      </c>
      <c r="AP3765">
        <v>277</v>
      </c>
      <c r="AQ3765">
        <v>0</v>
      </c>
      <c r="AR3765">
        <v>6.5</v>
      </c>
      <c r="AS3765">
        <v>92</v>
      </c>
      <c r="AT3765">
        <v>2.94</v>
      </c>
      <c r="AU3765">
        <v>97</v>
      </c>
      <c r="AV3765">
        <v>-0.75</v>
      </c>
      <c r="AW3765">
        <v>98</v>
      </c>
      <c r="AX3765">
        <v>0.39</v>
      </c>
      <c r="AY3765">
        <v>98</v>
      </c>
      <c r="AZ3765">
        <v>6.54</v>
      </c>
      <c r="BA3765">
        <v>92</v>
      </c>
      <c r="BB3765">
        <v>4.83</v>
      </c>
      <c r="BC3765">
        <v>95</v>
      </c>
      <c r="BD3765">
        <v>0.05</v>
      </c>
      <c r="BE3765">
        <v>0.08</v>
      </c>
      <c r="BF3765">
        <v>0.14000000000000001</v>
      </c>
      <c r="BG3765">
        <v>99</v>
      </c>
      <c r="BH3765">
        <v>0.23</v>
      </c>
      <c r="BI3765">
        <v>12.86</v>
      </c>
      <c r="BJ3765">
        <v>70</v>
      </c>
      <c r="BK3765">
        <v>44</v>
      </c>
      <c r="BL3765">
        <v>0.45</v>
      </c>
      <c r="BM3765">
        <v>1.98</v>
      </c>
      <c r="BN3765">
        <v>2.08</v>
      </c>
      <c r="BO3765">
        <v>0.36</v>
      </c>
      <c r="BP3765">
        <v>-0.48</v>
      </c>
      <c r="BQ3765">
        <v>1.06</v>
      </c>
      <c r="BR3765">
        <v>1.92</v>
      </c>
      <c r="BS3765">
        <v>-0.14000000000000001</v>
      </c>
      <c r="BT3765">
        <v>-1.08</v>
      </c>
      <c r="BU3765">
        <v>-0.53</v>
      </c>
      <c r="BV3765">
        <v>-0.37</v>
      </c>
      <c r="BW3765">
        <v>-0.61</v>
      </c>
      <c r="BX3765">
        <v>-1.68</v>
      </c>
      <c r="BY3765">
        <v>1.5</v>
      </c>
      <c r="BZ3765">
        <v>-0.04</v>
      </c>
      <c r="CA3765">
        <v>-0.55000000000000004</v>
      </c>
      <c r="CB3765">
        <v>0.11</v>
      </c>
      <c r="CC3765">
        <v>-1.34</v>
      </c>
      <c r="CD3765">
        <v>0.52</v>
      </c>
      <c r="CE3765">
        <v>0.55000000000000004</v>
      </c>
      <c r="CF3765">
        <v>1.37</v>
      </c>
      <c r="CG3765">
        <v>0</v>
      </c>
      <c r="CH3765">
        <v>1.37</v>
      </c>
      <c r="CI3765">
        <v>0</v>
      </c>
      <c r="CJ3765">
        <v>2.7</v>
      </c>
      <c r="CK3765">
        <v>99</v>
      </c>
      <c r="CL3765">
        <v>-0.63</v>
      </c>
      <c r="CM3765">
        <v>99</v>
      </c>
      <c r="CN3765">
        <v>-0.39</v>
      </c>
      <c r="CO3765">
        <v>99</v>
      </c>
      <c r="CP3765">
        <v>-1.1000000000000001</v>
      </c>
      <c r="CQ3765">
        <v>99</v>
      </c>
      <c r="CR3765">
        <v>0</v>
      </c>
      <c r="CS3765">
        <v>0</v>
      </c>
      <c r="CT3765">
        <v>9.1999999999999993</v>
      </c>
      <c r="CU3765">
        <v>98</v>
      </c>
      <c r="CV3765">
        <v>0.17</v>
      </c>
      <c r="CW3765">
        <v>47</v>
      </c>
      <c r="CX3765" t="s">
        <v>3842</v>
      </c>
    </row>
    <row r="3766" spans="1:102" x14ac:dyDescent="0.3">
      <c r="A3766" t="str">
        <f>HYPERLINK("https://webapp.icbf.com/v2/app/bull-search/view/77855044","NPN")</f>
        <v>NPN</v>
      </c>
      <c r="B3766" t="s">
        <v>4300</v>
      </c>
      <c r="C3766" t="s">
        <v>4301</v>
      </c>
      <c r="D3766" s="1">
        <v>35740</v>
      </c>
      <c r="E3766" t="s">
        <v>92</v>
      </c>
      <c r="F3766">
        <v>100</v>
      </c>
      <c r="G3766" t="s">
        <v>93</v>
      </c>
      <c r="H3766">
        <v>-60.75</v>
      </c>
      <c r="I3766">
        <v>83</v>
      </c>
      <c r="J3766">
        <v>-1.08</v>
      </c>
      <c r="K3766">
        <v>96</v>
      </c>
      <c r="L3766">
        <v>-75.53</v>
      </c>
      <c r="M3766">
        <v>78</v>
      </c>
      <c r="N3766">
        <v>3.12</v>
      </c>
      <c r="O3766">
        <v>73</v>
      </c>
      <c r="P3766">
        <v>-1.95</v>
      </c>
      <c r="Q3766">
        <v>85</v>
      </c>
      <c r="R3766">
        <v>6.73</v>
      </c>
      <c r="S3766">
        <v>77</v>
      </c>
      <c r="T3766">
        <v>9.5299999999999994</v>
      </c>
      <c r="U3766">
        <v>74</v>
      </c>
      <c r="V3766">
        <v>-1.57</v>
      </c>
      <c r="W3766">
        <v>67</v>
      </c>
      <c r="X3766" t="s">
        <v>94</v>
      </c>
      <c r="Y3766" t="s">
        <v>95</v>
      </c>
      <c r="Z3766" t="s">
        <v>96</v>
      </c>
      <c r="AA3766" t="s">
        <v>751</v>
      </c>
      <c r="AB3766" t="s">
        <v>4302</v>
      </c>
      <c r="AC3766">
        <v>62</v>
      </c>
      <c r="AD3766">
        <v>50</v>
      </c>
      <c r="AE3766">
        <v>96</v>
      </c>
      <c r="AF3766">
        <v>123.69</v>
      </c>
      <c r="AG3766">
        <v>0.79</v>
      </c>
      <c r="AH3766">
        <v>1.43</v>
      </c>
      <c r="AI3766">
        <v>-7.0000000000000007E-2</v>
      </c>
      <c r="AJ3766">
        <v>-0.05</v>
      </c>
      <c r="AK3766">
        <v>78</v>
      </c>
      <c r="AL3766">
        <v>63</v>
      </c>
      <c r="AM3766">
        <v>51</v>
      </c>
      <c r="AN3766">
        <v>4.41</v>
      </c>
      <c r="AO3766">
        <v>-1.61</v>
      </c>
      <c r="AP3766">
        <v>1</v>
      </c>
      <c r="AQ3766">
        <v>1</v>
      </c>
      <c r="AR3766">
        <v>7.05</v>
      </c>
      <c r="AS3766">
        <v>63</v>
      </c>
      <c r="AT3766">
        <v>3.21</v>
      </c>
      <c r="AU3766">
        <v>75</v>
      </c>
      <c r="AV3766">
        <v>-0.36</v>
      </c>
      <c r="AW3766">
        <v>77</v>
      </c>
      <c r="AX3766">
        <v>-0.28999999999999998</v>
      </c>
      <c r="AY3766">
        <v>73</v>
      </c>
      <c r="AZ3766">
        <v>6.88</v>
      </c>
      <c r="BA3766">
        <v>58</v>
      </c>
      <c r="BB3766">
        <v>5.12</v>
      </c>
      <c r="BC3766">
        <v>64</v>
      </c>
      <c r="BD3766">
        <v>0.05</v>
      </c>
      <c r="BE3766">
        <v>-0.02</v>
      </c>
      <c r="BF3766">
        <v>-0.2</v>
      </c>
      <c r="BG3766">
        <v>87</v>
      </c>
      <c r="BH3766">
        <v>-0.05</v>
      </c>
      <c r="BI3766">
        <v>-0.73</v>
      </c>
      <c r="BJ3766">
        <v>13</v>
      </c>
      <c r="BK3766">
        <v>10</v>
      </c>
      <c r="BL3766">
        <v>0.21</v>
      </c>
      <c r="BM3766">
        <v>-0.18</v>
      </c>
      <c r="BN3766">
        <v>-0.31</v>
      </c>
      <c r="BO3766">
        <v>-0.17</v>
      </c>
      <c r="BP3766">
        <v>0.72</v>
      </c>
      <c r="BQ3766">
        <v>-0.25</v>
      </c>
      <c r="BR3766">
        <v>0.71</v>
      </c>
      <c r="BS3766">
        <v>-1.56</v>
      </c>
      <c r="BT3766">
        <v>-1.6</v>
      </c>
      <c r="BU3766">
        <v>0</v>
      </c>
      <c r="BV3766">
        <v>-0.41</v>
      </c>
      <c r="BW3766">
        <v>0.15</v>
      </c>
      <c r="BX3766">
        <v>0.7</v>
      </c>
      <c r="BY3766">
        <v>-1.06</v>
      </c>
      <c r="BZ3766">
        <v>-1.1100000000000001</v>
      </c>
      <c r="CA3766">
        <v>-0.48</v>
      </c>
      <c r="CB3766">
        <v>0</v>
      </c>
      <c r="CC3766">
        <v>-0.77</v>
      </c>
      <c r="CD3766">
        <v>0.37</v>
      </c>
      <c r="CE3766">
        <v>0.15</v>
      </c>
      <c r="CF3766">
        <v>0.91</v>
      </c>
      <c r="CG3766">
        <v>0</v>
      </c>
      <c r="CH3766">
        <v>-0.31</v>
      </c>
      <c r="CI3766">
        <v>0</v>
      </c>
      <c r="CJ3766">
        <v>-1.6</v>
      </c>
      <c r="CK3766">
        <v>86</v>
      </c>
      <c r="CL3766">
        <v>-0.59</v>
      </c>
      <c r="CM3766">
        <v>84</v>
      </c>
      <c r="CN3766">
        <v>-0.56999999999999995</v>
      </c>
      <c r="CO3766">
        <v>82</v>
      </c>
      <c r="CP3766">
        <v>-2.2000000000000002</v>
      </c>
      <c r="CQ3766">
        <v>88</v>
      </c>
      <c r="CR3766">
        <v>0</v>
      </c>
      <c r="CS3766">
        <v>0</v>
      </c>
      <c r="CT3766">
        <v>0.9</v>
      </c>
      <c r="CU3766">
        <v>74</v>
      </c>
      <c r="CV3766">
        <v>0.12</v>
      </c>
      <c r="CW3766">
        <v>43</v>
      </c>
      <c r="CX3766" t="s">
        <v>924</v>
      </c>
    </row>
    <row r="3767" spans="1:102" x14ac:dyDescent="0.3">
      <c r="A3767" t="str">
        <f>HYPERLINK("https://webapp.icbf.com/v2/app/bull-search/view/124414972","OVZ")</f>
        <v>OVZ</v>
      </c>
      <c r="B3767" t="s">
        <v>4039</v>
      </c>
      <c r="C3767" t="s">
        <v>4040</v>
      </c>
      <c r="D3767" s="1">
        <v>36487</v>
      </c>
      <c r="E3767" t="s">
        <v>92</v>
      </c>
      <c r="F3767">
        <v>100</v>
      </c>
      <c r="G3767" t="s">
        <v>93</v>
      </c>
      <c r="H3767">
        <v>-60.76</v>
      </c>
      <c r="I3767">
        <v>95</v>
      </c>
      <c r="J3767">
        <v>10.84</v>
      </c>
      <c r="K3767">
        <v>99</v>
      </c>
      <c r="L3767">
        <v>-77.650000000000006</v>
      </c>
      <c r="M3767">
        <v>91</v>
      </c>
      <c r="N3767">
        <v>-0.77</v>
      </c>
      <c r="O3767">
        <v>97</v>
      </c>
      <c r="P3767">
        <v>-15.75</v>
      </c>
      <c r="Q3767">
        <v>98</v>
      </c>
      <c r="R3767">
        <v>11.76</v>
      </c>
      <c r="S3767">
        <v>92</v>
      </c>
      <c r="T3767">
        <v>7.54</v>
      </c>
      <c r="U3767">
        <v>97</v>
      </c>
      <c r="V3767">
        <v>3.27</v>
      </c>
      <c r="W3767">
        <v>90</v>
      </c>
      <c r="X3767" t="s">
        <v>276</v>
      </c>
      <c r="Y3767" t="s">
        <v>95</v>
      </c>
      <c r="Z3767" t="s">
        <v>96</v>
      </c>
      <c r="AA3767" t="s">
        <v>311</v>
      </c>
      <c r="AB3767" t="s">
        <v>4041</v>
      </c>
      <c r="AC3767">
        <v>629</v>
      </c>
      <c r="AD3767">
        <v>284</v>
      </c>
      <c r="AE3767">
        <v>99</v>
      </c>
      <c r="AF3767">
        <v>259.42</v>
      </c>
      <c r="AG3767">
        <v>1.82</v>
      </c>
      <c r="AH3767">
        <v>5.17</v>
      </c>
      <c r="AI3767">
        <v>-0.14000000000000001</v>
      </c>
      <c r="AJ3767">
        <v>-0.06</v>
      </c>
      <c r="AK3767">
        <v>91</v>
      </c>
      <c r="AL3767">
        <v>586</v>
      </c>
      <c r="AM3767">
        <v>249</v>
      </c>
      <c r="AN3767">
        <v>4.42</v>
      </c>
      <c r="AO3767">
        <v>-1.77</v>
      </c>
      <c r="AP3767">
        <v>1120</v>
      </c>
      <c r="AQ3767">
        <v>2</v>
      </c>
      <c r="AR3767">
        <v>7.36</v>
      </c>
      <c r="AS3767">
        <v>96</v>
      </c>
      <c r="AT3767">
        <v>3.65</v>
      </c>
      <c r="AU3767">
        <v>99</v>
      </c>
      <c r="AV3767">
        <v>-0.27</v>
      </c>
      <c r="AW3767">
        <v>99</v>
      </c>
      <c r="AX3767">
        <v>-0.02</v>
      </c>
      <c r="AY3767">
        <v>96</v>
      </c>
      <c r="AZ3767">
        <v>5.28</v>
      </c>
      <c r="BA3767">
        <v>90</v>
      </c>
      <c r="BB3767">
        <v>5.12</v>
      </c>
      <c r="BC3767">
        <v>91</v>
      </c>
      <c r="BD3767">
        <v>-0.02</v>
      </c>
      <c r="BE3767">
        <v>-0.03</v>
      </c>
      <c r="BF3767">
        <v>-0.18</v>
      </c>
      <c r="BG3767">
        <v>98</v>
      </c>
      <c r="BH3767">
        <v>-0.1</v>
      </c>
      <c r="BI3767">
        <v>-22.1</v>
      </c>
      <c r="BJ3767">
        <v>249</v>
      </c>
      <c r="BK3767">
        <v>113</v>
      </c>
      <c r="BL3767">
        <v>1.26</v>
      </c>
      <c r="BM3767">
        <v>-2.83</v>
      </c>
      <c r="BN3767">
        <v>-1.0900000000000001</v>
      </c>
      <c r="BO3767">
        <v>0.96</v>
      </c>
      <c r="BP3767">
        <v>0.27</v>
      </c>
      <c r="BQ3767">
        <v>1.24</v>
      </c>
      <c r="BR3767">
        <v>2.39</v>
      </c>
      <c r="BS3767">
        <v>-0.35</v>
      </c>
      <c r="BT3767">
        <v>-1.88</v>
      </c>
      <c r="BU3767">
        <v>1.67</v>
      </c>
      <c r="BV3767">
        <v>1.63</v>
      </c>
      <c r="BW3767">
        <v>2.2000000000000002</v>
      </c>
      <c r="BX3767">
        <v>2.84</v>
      </c>
      <c r="BY3767">
        <v>0.7</v>
      </c>
      <c r="BZ3767">
        <v>-1.1299999999999999</v>
      </c>
      <c r="CA3767">
        <v>1.1299999999999999</v>
      </c>
      <c r="CB3767">
        <v>1.4</v>
      </c>
      <c r="CC3767">
        <v>-0.19</v>
      </c>
      <c r="CD3767">
        <v>-1.84</v>
      </c>
      <c r="CE3767">
        <v>0.9</v>
      </c>
      <c r="CF3767">
        <v>0.16</v>
      </c>
      <c r="CG3767">
        <v>0</v>
      </c>
      <c r="CH3767">
        <v>0.72</v>
      </c>
      <c r="CI3767">
        <v>0</v>
      </c>
      <c r="CJ3767">
        <v>-7.2</v>
      </c>
      <c r="CK3767">
        <v>98</v>
      </c>
      <c r="CL3767">
        <v>-1.3</v>
      </c>
      <c r="CM3767">
        <v>98</v>
      </c>
      <c r="CN3767">
        <v>-0.72</v>
      </c>
      <c r="CO3767">
        <v>98</v>
      </c>
      <c r="CP3767">
        <v>-5.5</v>
      </c>
      <c r="CQ3767">
        <v>98</v>
      </c>
      <c r="CR3767">
        <v>0</v>
      </c>
      <c r="CS3767">
        <v>0</v>
      </c>
      <c r="CT3767">
        <v>3.6</v>
      </c>
      <c r="CU3767">
        <v>97</v>
      </c>
      <c r="CV3767">
        <v>0.15</v>
      </c>
      <c r="CW3767">
        <v>46</v>
      </c>
      <c r="CX3767" t="s">
        <v>715</v>
      </c>
    </row>
    <row r="3768" spans="1:102" x14ac:dyDescent="0.3">
      <c r="A3768" t="str">
        <f>HYPERLINK("https://webapp.icbf.com/v2/app/bull-search/view/77857654","GLV")</f>
        <v>GLV</v>
      </c>
      <c r="B3768" t="s">
        <v>8578</v>
      </c>
      <c r="C3768" t="s">
        <v>8579</v>
      </c>
      <c r="D3768" s="1">
        <v>33208</v>
      </c>
      <c r="E3768" t="s">
        <v>92</v>
      </c>
      <c r="F3768">
        <v>100</v>
      </c>
      <c r="G3768" t="s">
        <v>109</v>
      </c>
      <c r="H3768">
        <v>-60.91</v>
      </c>
      <c r="I3768">
        <v>81</v>
      </c>
      <c r="J3768">
        <v>-0.08</v>
      </c>
      <c r="K3768">
        <v>92</v>
      </c>
      <c r="L3768">
        <v>-56.15</v>
      </c>
      <c r="M3768">
        <v>82</v>
      </c>
      <c r="N3768">
        <v>-1.07</v>
      </c>
      <c r="O3768">
        <v>62</v>
      </c>
      <c r="P3768">
        <v>-10.76</v>
      </c>
      <c r="Q3768">
        <v>70</v>
      </c>
      <c r="R3768">
        <v>-13.13</v>
      </c>
      <c r="S3768">
        <v>76</v>
      </c>
      <c r="T3768">
        <v>14.42</v>
      </c>
      <c r="U3768">
        <v>75</v>
      </c>
      <c r="V3768">
        <v>5.86</v>
      </c>
      <c r="W3768">
        <v>63</v>
      </c>
      <c r="X3768" t="s">
        <v>234</v>
      </c>
      <c r="Y3768" t="s">
        <v>95</v>
      </c>
      <c r="Z3768" t="s">
        <v>96</v>
      </c>
      <c r="AA3768" t="s">
        <v>111</v>
      </c>
      <c r="AB3768" t="s">
        <v>501</v>
      </c>
      <c r="AC3768">
        <v>0</v>
      </c>
      <c r="AD3768">
        <v>0</v>
      </c>
      <c r="AE3768">
        <v>92</v>
      </c>
      <c r="AF3768">
        <v>113.37</v>
      </c>
      <c r="AG3768">
        <v>-2.37</v>
      </c>
      <c r="AH3768">
        <v>2.56</v>
      </c>
      <c r="AI3768">
        <v>-0.12</v>
      </c>
      <c r="AJ3768">
        <v>-0.02</v>
      </c>
      <c r="AK3768">
        <v>82</v>
      </c>
      <c r="AL3768">
        <v>0</v>
      </c>
      <c r="AM3768">
        <v>0</v>
      </c>
      <c r="AN3768">
        <v>2.88</v>
      </c>
      <c r="AO3768">
        <v>-1.6</v>
      </c>
      <c r="AP3768">
        <v>1</v>
      </c>
      <c r="AQ3768">
        <v>0</v>
      </c>
      <c r="AR3768">
        <v>7.8</v>
      </c>
      <c r="AS3768">
        <v>55</v>
      </c>
      <c r="AT3768">
        <v>4.05</v>
      </c>
      <c r="AU3768">
        <v>69</v>
      </c>
      <c r="AV3768">
        <v>-0.78</v>
      </c>
      <c r="AW3768">
        <v>63</v>
      </c>
      <c r="AX3768">
        <v>-0.84</v>
      </c>
      <c r="AY3768">
        <v>64</v>
      </c>
      <c r="AZ3768">
        <v>6.44</v>
      </c>
      <c r="BA3768">
        <v>46</v>
      </c>
      <c r="BB3768">
        <v>5.04</v>
      </c>
      <c r="BC3768">
        <v>54</v>
      </c>
      <c r="BD3768">
        <v>0.06</v>
      </c>
      <c r="BE3768">
        <v>0.08</v>
      </c>
      <c r="BF3768">
        <v>0.05</v>
      </c>
      <c r="BG3768">
        <v>90</v>
      </c>
      <c r="BH3768">
        <v>0.2</v>
      </c>
      <c r="BI3768">
        <v>4.24</v>
      </c>
      <c r="BJ3768">
        <v>1</v>
      </c>
      <c r="BK3768">
        <v>1</v>
      </c>
      <c r="BL3768">
        <v>-0.05</v>
      </c>
      <c r="BM3768">
        <v>-1.17</v>
      </c>
      <c r="BN3768">
        <v>-0.18</v>
      </c>
      <c r="BO3768">
        <v>0.61</v>
      </c>
      <c r="BP3768">
        <v>1.22</v>
      </c>
      <c r="BQ3768">
        <v>-2.2400000000000002</v>
      </c>
      <c r="BR3768">
        <v>1.93</v>
      </c>
      <c r="BS3768">
        <v>0.8</v>
      </c>
      <c r="BT3768">
        <v>-0.74</v>
      </c>
      <c r="BU3768">
        <v>-0.03</v>
      </c>
      <c r="BV3768">
        <v>-0.91</v>
      </c>
      <c r="BW3768">
        <v>-0.28999999999999998</v>
      </c>
      <c r="BX3768">
        <v>-0.45</v>
      </c>
      <c r="BY3768">
        <v>0.65</v>
      </c>
      <c r="BZ3768">
        <v>1.42</v>
      </c>
      <c r="CA3768">
        <v>0.1</v>
      </c>
      <c r="CB3768">
        <v>-0.03</v>
      </c>
      <c r="CC3768">
        <v>0.46</v>
      </c>
      <c r="CD3768">
        <v>-0.99</v>
      </c>
      <c r="CE3768">
        <v>1</v>
      </c>
      <c r="CF3768">
        <v>0.36</v>
      </c>
      <c r="CG3768">
        <v>0</v>
      </c>
      <c r="CH3768">
        <v>0.89</v>
      </c>
      <c r="CI3768">
        <v>0</v>
      </c>
      <c r="CJ3768">
        <v>-1.1000000000000001</v>
      </c>
      <c r="CK3768">
        <v>71</v>
      </c>
      <c r="CL3768">
        <v>-0.8</v>
      </c>
      <c r="CM3768">
        <v>68</v>
      </c>
      <c r="CN3768">
        <v>0.01</v>
      </c>
      <c r="CO3768">
        <v>64</v>
      </c>
      <c r="CP3768">
        <v>-5.8</v>
      </c>
      <c r="CQ3768">
        <v>76</v>
      </c>
      <c r="CR3768">
        <v>0</v>
      </c>
      <c r="CS3768">
        <v>0</v>
      </c>
      <c r="CT3768">
        <v>-5.7</v>
      </c>
      <c r="CU3768">
        <v>75</v>
      </c>
      <c r="CV3768">
        <v>0.21</v>
      </c>
      <c r="CW3768">
        <v>40</v>
      </c>
      <c r="CX3768" t="s">
        <v>502</v>
      </c>
    </row>
    <row r="3769" spans="1:102" x14ac:dyDescent="0.3">
      <c r="A3769" t="str">
        <f>HYPERLINK("https://webapp.icbf.com/v2/app/bull-search/view/409526058","S403")</f>
        <v>S403</v>
      </c>
      <c r="B3769" t="s">
        <v>12554</v>
      </c>
      <c r="C3769" t="s">
        <v>12555</v>
      </c>
      <c r="D3769" s="1">
        <v>36179</v>
      </c>
      <c r="E3769" t="s">
        <v>92</v>
      </c>
      <c r="F3769">
        <v>100</v>
      </c>
      <c r="G3769" t="s">
        <v>109</v>
      </c>
      <c r="H3769">
        <v>-60.92</v>
      </c>
      <c r="I3769">
        <v>71</v>
      </c>
      <c r="J3769">
        <v>46.44</v>
      </c>
      <c r="K3769">
        <v>84</v>
      </c>
      <c r="L3769">
        <v>-93.2</v>
      </c>
      <c r="M3769">
        <v>81</v>
      </c>
      <c r="N3769">
        <v>1.82</v>
      </c>
      <c r="O3769">
        <v>55</v>
      </c>
      <c r="P3769">
        <v>6.55</v>
      </c>
      <c r="Q3769">
        <v>48</v>
      </c>
      <c r="R3769">
        <v>-4.9400000000000004</v>
      </c>
      <c r="S3769">
        <v>63</v>
      </c>
      <c r="T3769">
        <v>-13.55</v>
      </c>
      <c r="U3769">
        <v>45</v>
      </c>
      <c r="V3769">
        <v>-4.04</v>
      </c>
      <c r="W3769">
        <v>26</v>
      </c>
      <c r="X3769" t="s">
        <v>110</v>
      </c>
      <c r="Y3769" t="s">
        <v>545</v>
      </c>
      <c r="Z3769" t="s">
        <v>96</v>
      </c>
      <c r="AA3769" t="s">
        <v>289</v>
      </c>
      <c r="AB3769" t="s">
        <v>12556</v>
      </c>
      <c r="AC3769">
        <v>0</v>
      </c>
      <c r="AD3769">
        <v>0</v>
      </c>
      <c r="AE3769">
        <v>84</v>
      </c>
      <c r="AF3769">
        <v>736.59</v>
      </c>
      <c r="AG3769">
        <v>8.26</v>
      </c>
      <c r="AH3769">
        <v>16.25</v>
      </c>
      <c r="AI3769">
        <v>-0.3</v>
      </c>
      <c r="AJ3769">
        <v>-0.13</v>
      </c>
      <c r="AK3769">
        <v>81</v>
      </c>
      <c r="AL3769">
        <v>0</v>
      </c>
      <c r="AM3769">
        <v>0</v>
      </c>
      <c r="AN3769">
        <v>5.3</v>
      </c>
      <c r="AO3769">
        <v>-2.13</v>
      </c>
      <c r="AP3769">
        <v>2</v>
      </c>
      <c r="AQ3769">
        <v>0</v>
      </c>
      <c r="AR3769">
        <v>10.16</v>
      </c>
      <c r="AS3769">
        <v>37</v>
      </c>
      <c r="AT3769">
        <v>4.63</v>
      </c>
      <c r="AU3769">
        <v>94</v>
      </c>
      <c r="AV3769">
        <v>-3.25</v>
      </c>
      <c r="AW3769">
        <v>51</v>
      </c>
      <c r="AX3769">
        <v>0.59</v>
      </c>
      <c r="AY3769">
        <v>37</v>
      </c>
      <c r="AZ3769">
        <v>6.27</v>
      </c>
      <c r="BA3769">
        <v>28</v>
      </c>
      <c r="BB3769">
        <v>4.88</v>
      </c>
      <c r="BC3769">
        <v>27</v>
      </c>
      <c r="BD3769">
        <v>0.01</v>
      </c>
      <c r="BE3769">
        <v>0.03</v>
      </c>
      <c r="BF3769">
        <v>0.04</v>
      </c>
      <c r="BG3769">
        <v>89</v>
      </c>
      <c r="BH3769">
        <v>-0.18</v>
      </c>
      <c r="BI3769">
        <v>-7.78</v>
      </c>
      <c r="BJ3769">
        <v>3</v>
      </c>
      <c r="BK3769">
        <v>2</v>
      </c>
      <c r="BL3769">
        <v>0.85</v>
      </c>
      <c r="BM3769">
        <v>0.32</v>
      </c>
      <c r="BN3769">
        <v>0.71</v>
      </c>
      <c r="BO3769">
        <v>0.4</v>
      </c>
      <c r="BP3769">
        <v>-0.64</v>
      </c>
      <c r="BQ3769">
        <v>0.12</v>
      </c>
      <c r="BR3769">
        <v>-2.27</v>
      </c>
      <c r="BS3769">
        <v>0.48</v>
      </c>
      <c r="BT3769">
        <v>2</v>
      </c>
      <c r="BU3769">
        <v>0.28000000000000003</v>
      </c>
      <c r="BV3769">
        <v>1.53</v>
      </c>
      <c r="BW3769">
        <v>0.11</v>
      </c>
      <c r="BX3769">
        <v>-0.09</v>
      </c>
      <c r="BY3769">
        <v>1.17</v>
      </c>
      <c r="BZ3769">
        <v>-0.05</v>
      </c>
      <c r="CA3769">
        <v>0.35</v>
      </c>
      <c r="CB3769">
        <v>0.6</v>
      </c>
      <c r="CC3769">
        <v>-0.33</v>
      </c>
      <c r="CD3769">
        <v>0.08</v>
      </c>
      <c r="CE3769">
        <v>0.86</v>
      </c>
      <c r="CF3769">
        <v>0.37</v>
      </c>
      <c r="CG3769">
        <v>0</v>
      </c>
      <c r="CH3769">
        <v>0.62</v>
      </c>
      <c r="CI3769">
        <v>0</v>
      </c>
      <c r="CJ3769">
        <v>5.6</v>
      </c>
      <c r="CK3769">
        <v>50</v>
      </c>
      <c r="CL3769">
        <v>-0.97</v>
      </c>
      <c r="CM3769">
        <v>46</v>
      </c>
      <c r="CN3769">
        <v>-0.63</v>
      </c>
      <c r="CO3769">
        <v>42</v>
      </c>
      <c r="CP3769">
        <v>9.6999999999999993</v>
      </c>
      <c r="CQ3769">
        <v>52</v>
      </c>
      <c r="CR3769">
        <v>0</v>
      </c>
      <c r="CS3769">
        <v>0</v>
      </c>
      <c r="CT3769">
        <v>32.1</v>
      </c>
      <c r="CU3769">
        <v>45</v>
      </c>
      <c r="CV3769">
        <v>0.37</v>
      </c>
      <c r="CW3769">
        <v>13</v>
      </c>
      <c r="CX3769" t="s">
        <v>1041</v>
      </c>
    </row>
    <row r="3770" spans="1:102" x14ac:dyDescent="0.3">
      <c r="A3770" t="str">
        <f>HYPERLINK("https://webapp.icbf.com/v2/app/bull-search/view/77854087","ROY")</f>
        <v>ROY</v>
      </c>
      <c r="B3770" t="s">
        <v>10820</v>
      </c>
      <c r="C3770" t="s">
        <v>10821</v>
      </c>
      <c r="D3770" s="1">
        <v>31822</v>
      </c>
      <c r="E3770" t="s">
        <v>108</v>
      </c>
      <c r="F3770">
        <v>31</v>
      </c>
      <c r="G3770" t="s">
        <v>93</v>
      </c>
      <c r="H3770">
        <v>-61.12</v>
      </c>
      <c r="I3770">
        <v>85</v>
      </c>
      <c r="J3770">
        <v>-9.18</v>
      </c>
      <c r="K3770">
        <v>96</v>
      </c>
      <c r="L3770">
        <v>-46.84</v>
      </c>
      <c r="M3770">
        <v>76</v>
      </c>
      <c r="N3770">
        <v>7.72</v>
      </c>
      <c r="O3770">
        <v>85</v>
      </c>
      <c r="P3770">
        <v>-4.5199999999999996</v>
      </c>
      <c r="Q3770">
        <v>95</v>
      </c>
      <c r="R3770">
        <v>-1.51</v>
      </c>
      <c r="S3770">
        <v>76</v>
      </c>
      <c r="T3770">
        <v>1.39</v>
      </c>
      <c r="U3770">
        <v>88</v>
      </c>
      <c r="V3770">
        <v>-8.18</v>
      </c>
      <c r="W3770">
        <v>59</v>
      </c>
      <c r="X3770" t="s">
        <v>94</v>
      </c>
      <c r="Y3770" t="s">
        <v>95</v>
      </c>
      <c r="Z3770" t="s">
        <v>96</v>
      </c>
      <c r="AA3770" t="s">
        <v>3248</v>
      </c>
      <c r="AB3770" t="s">
        <v>9849</v>
      </c>
      <c r="AC3770">
        <v>116</v>
      </c>
      <c r="AD3770">
        <v>67</v>
      </c>
      <c r="AE3770">
        <v>96</v>
      </c>
      <c r="AF3770">
        <v>119.49</v>
      </c>
      <c r="AG3770">
        <v>1.38</v>
      </c>
      <c r="AH3770">
        <v>-0.22</v>
      </c>
      <c r="AI3770">
        <v>-0.05</v>
      </c>
      <c r="AJ3770">
        <v>-7.0000000000000007E-2</v>
      </c>
      <c r="AK3770">
        <v>76</v>
      </c>
      <c r="AL3770">
        <v>225</v>
      </c>
      <c r="AM3770">
        <v>118</v>
      </c>
      <c r="AN3770">
        <v>0.65</v>
      </c>
      <c r="AO3770">
        <v>-3.11</v>
      </c>
      <c r="AP3770">
        <v>366</v>
      </c>
      <c r="AQ3770">
        <v>190</v>
      </c>
      <c r="AR3770">
        <v>8.39</v>
      </c>
      <c r="AS3770">
        <v>84</v>
      </c>
      <c r="AT3770">
        <v>3.27</v>
      </c>
      <c r="AU3770">
        <v>87</v>
      </c>
      <c r="AV3770">
        <v>-1.32</v>
      </c>
      <c r="AW3770">
        <v>93</v>
      </c>
      <c r="AX3770">
        <v>-0.37</v>
      </c>
      <c r="AY3770">
        <v>91</v>
      </c>
      <c r="AZ3770">
        <v>6</v>
      </c>
      <c r="BA3770">
        <v>60</v>
      </c>
      <c r="BB3770">
        <v>5.18</v>
      </c>
      <c r="BC3770">
        <v>63</v>
      </c>
      <c r="BD3770">
        <v>0.04</v>
      </c>
      <c r="BE3770">
        <v>0.02</v>
      </c>
      <c r="BF3770">
        <v>-7.0000000000000007E-2</v>
      </c>
      <c r="BG3770">
        <v>90</v>
      </c>
      <c r="BH3770">
        <v>-0.15</v>
      </c>
      <c r="BI3770">
        <v>9.02</v>
      </c>
      <c r="BJ3770">
        <v>29</v>
      </c>
      <c r="BK3770">
        <v>24</v>
      </c>
      <c r="BL3770">
        <v>-1.06</v>
      </c>
      <c r="BM3770">
        <v>-0.13</v>
      </c>
      <c r="BN3770">
        <v>-1.01</v>
      </c>
      <c r="BO3770">
        <v>-0.75</v>
      </c>
      <c r="BP3770">
        <v>-0.18</v>
      </c>
      <c r="BQ3770">
        <v>0.38</v>
      </c>
      <c r="BR3770">
        <v>-0.49</v>
      </c>
      <c r="BS3770">
        <v>-0.93</v>
      </c>
      <c r="BT3770">
        <v>-1.1299999999999999</v>
      </c>
      <c r="BU3770">
        <v>-1.47</v>
      </c>
      <c r="BV3770">
        <v>-0.97</v>
      </c>
      <c r="BW3770">
        <v>-0.56999999999999995</v>
      </c>
      <c r="BX3770">
        <v>-0.66</v>
      </c>
      <c r="BY3770">
        <v>-1</v>
      </c>
      <c r="BZ3770">
        <v>-1.69</v>
      </c>
      <c r="CA3770">
        <v>-1.1499999999999999</v>
      </c>
      <c r="CB3770">
        <v>-1.06</v>
      </c>
      <c r="CC3770">
        <v>-0.86</v>
      </c>
      <c r="CD3770">
        <v>0.11</v>
      </c>
      <c r="CE3770">
        <v>-0.55000000000000004</v>
      </c>
      <c r="CF3770">
        <v>-0.5</v>
      </c>
      <c r="CG3770">
        <v>0</v>
      </c>
      <c r="CH3770">
        <v>-0.16</v>
      </c>
      <c r="CI3770">
        <v>0</v>
      </c>
      <c r="CJ3770">
        <v>1.3</v>
      </c>
      <c r="CK3770">
        <v>96</v>
      </c>
      <c r="CL3770">
        <v>-0.75</v>
      </c>
      <c r="CM3770">
        <v>94</v>
      </c>
      <c r="CN3770">
        <v>-0.19</v>
      </c>
      <c r="CO3770">
        <v>94</v>
      </c>
      <c r="CP3770">
        <v>-5.3</v>
      </c>
      <c r="CQ3770">
        <v>92</v>
      </c>
      <c r="CR3770">
        <v>0</v>
      </c>
      <c r="CS3770">
        <v>0</v>
      </c>
      <c r="CT3770">
        <v>11.9</v>
      </c>
      <c r="CU3770">
        <v>88</v>
      </c>
      <c r="CV3770">
        <v>0.26</v>
      </c>
      <c r="CW3770">
        <v>27</v>
      </c>
      <c r="CX3770" t="s">
        <v>7352</v>
      </c>
    </row>
    <row r="3771" spans="1:102" x14ac:dyDescent="0.3">
      <c r="A3771" t="str">
        <f>HYPERLINK("https://webapp.icbf.com/v2/app/bull-search/view/409029386","PGI")</f>
        <v>PGI</v>
      </c>
      <c r="B3771" t="s">
        <v>4517</v>
      </c>
      <c r="C3771" t="s">
        <v>2071</v>
      </c>
      <c r="D3771" s="1">
        <v>36696</v>
      </c>
      <c r="E3771" t="s">
        <v>92</v>
      </c>
      <c r="F3771">
        <v>100</v>
      </c>
      <c r="G3771" t="s">
        <v>93</v>
      </c>
      <c r="H3771">
        <v>-61.2</v>
      </c>
      <c r="I3771">
        <v>95</v>
      </c>
      <c r="J3771">
        <v>34.590000000000003</v>
      </c>
      <c r="K3771">
        <v>99</v>
      </c>
      <c r="L3771">
        <v>-66.430000000000007</v>
      </c>
      <c r="M3771">
        <v>93</v>
      </c>
      <c r="N3771">
        <v>-16.78</v>
      </c>
      <c r="O3771">
        <v>94</v>
      </c>
      <c r="P3771">
        <v>-7.97</v>
      </c>
      <c r="Q3771">
        <v>98</v>
      </c>
      <c r="R3771">
        <v>-7.74</v>
      </c>
      <c r="S3771">
        <v>90</v>
      </c>
      <c r="T3771">
        <v>-2.68</v>
      </c>
      <c r="U3771">
        <v>92</v>
      </c>
      <c r="V3771">
        <v>5.81</v>
      </c>
      <c r="W3771">
        <v>90</v>
      </c>
      <c r="X3771" t="s">
        <v>251</v>
      </c>
      <c r="Y3771" t="s">
        <v>95</v>
      </c>
      <c r="Z3771" t="s">
        <v>96</v>
      </c>
      <c r="AA3771" t="s">
        <v>4518</v>
      </c>
      <c r="AB3771" t="s">
        <v>4519</v>
      </c>
      <c r="AC3771">
        <v>380</v>
      </c>
      <c r="AD3771">
        <v>117</v>
      </c>
      <c r="AE3771">
        <v>99</v>
      </c>
      <c r="AF3771">
        <v>248.26</v>
      </c>
      <c r="AG3771">
        <v>8.8000000000000007</v>
      </c>
      <c r="AH3771">
        <v>6.57</v>
      </c>
      <c r="AI3771">
        <v>-0.02</v>
      </c>
      <c r="AJ3771">
        <v>-0.03</v>
      </c>
      <c r="AK3771">
        <v>93</v>
      </c>
      <c r="AL3771">
        <v>414</v>
      </c>
      <c r="AM3771">
        <v>123</v>
      </c>
      <c r="AN3771">
        <v>4.21</v>
      </c>
      <c r="AO3771">
        <v>-1.08</v>
      </c>
      <c r="AP3771">
        <v>823</v>
      </c>
      <c r="AQ3771">
        <v>0</v>
      </c>
      <c r="AR3771">
        <v>11.18</v>
      </c>
      <c r="AS3771">
        <v>86</v>
      </c>
      <c r="AT3771">
        <v>5.07</v>
      </c>
      <c r="AU3771">
        <v>97</v>
      </c>
      <c r="AV3771">
        <v>-1.53</v>
      </c>
      <c r="AW3771">
        <v>98</v>
      </c>
      <c r="AX3771">
        <v>0.25</v>
      </c>
      <c r="AY3771">
        <v>94</v>
      </c>
      <c r="AZ3771">
        <v>5.48</v>
      </c>
      <c r="BA3771">
        <v>84</v>
      </c>
      <c r="BB3771">
        <v>4.3899999999999997</v>
      </c>
      <c r="BC3771">
        <v>83</v>
      </c>
      <c r="BD3771">
        <v>-0.06</v>
      </c>
      <c r="BE3771">
        <v>0.02</v>
      </c>
      <c r="BF3771">
        <v>0.24</v>
      </c>
      <c r="BG3771">
        <v>96</v>
      </c>
      <c r="BH3771">
        <v>0.17</v>
      </c>
      <c r="BI3771">
        <v>0.92</v>
      </c>
      <c r="BJ3771">
        <v>110</v>
      </c>
      <c r="BK3771">
        <v>39</v>
      </c>
      <c r="BL3771">
        <v>1.31</v>
      </c>
      <c r="BM3771">
        <v>-1.37</v>
      </c>
      <c r="BN3771">
        <v>-0.35</v>
      </c>
      <c r="BO3771">
        <v>0.78</v>
      </c>
      <c r="BP3771">
        <v>2.0099999999999998</v>
      </c>
      <c r="BQ3771">
        <v>-1.7</v>
      </c>
      <c r="BR3771">
        <v>-2.14</v>
      </c>
      <c r="BS3771">
        <v>0.94</v>
      </c>
      <c r="BT3771">
        <v>2.62</v>
      </c>
      <c r="BU3771">
        <v>0.94</v>
      </c>
      <c r="BV3771">
        <v>0.77</v>
      </c>
      <c r="BW3771">
        <v>1.62</v>
      </c>
      <c r="BX3771">
        <v>1.52</v>
      </c>
      <c r="BY3771">
        <v>3.7</v>
      </c>
      <c r="BZ3771">
        <v>-2.14</v>
      </c>
      <c r="CA3771">
        <v>1.72</v>
      </c>
      <c r="CB3771">
        <v>1.68</v>
      </c>
      <c r="CC3771">
        <v>0.8</v>
      </c>
      <c r="CD3771">
        <v>-0.89</v>
      </c>
      <c r="CE3771">
        <v>0.71</v>
      </c>
      <c r="CF3771">
        <v>0.17</v>
      </c>
      <c r="CG3771">
        <v>0</v>
      </c>
      <c r="CH3771">
        <v>3.78</v>
      </c>
      <c r="CI3771">
        <v>0</v>
      </c>
      <c r="CJ3771">
        <v>-1.7</v>
      </c>
      <c r="CK3771">
        <v>98</v>
      </c>
      <c r="CL3771">
        <v>-1.02</v>
      </c>
      <c r="CM3771">
        <v>97</v>
      </c>
      <c r="CN3771">
        <v>-0.42</v>
      </c>
      <c r="CO3771">
        <v>97</v>
      </c>
      <c r="CP3771">
        <v>-0.1</v>
      </c>
      <c r="CQ3771">
        <v>97</v>
      </c>
      <c r="CR3771">
        <v>0</v>
      </c>
      <c r="CS3771">
        <v>0</v>
      </c>
      <c r="CT3771">
        <v>17.399999999999999</v>
      </c>
      <c r="CU3771">
        <v>92</v>
      </c>
      <c r="CV3771">
        <v>0.18</v>
      </c>
      <c r="CW3771">
        <v>45</v>
      </c>
      <c r="CX3771" t="s">
        <v>856</v>
      </c>
    </row>
    <row r="3772" spans="1:102" x14ac:dyDescent="0.3">
      <c r="A3772" t="str">
        <f>HYPERLINK("https://webapp.icbf.com/v2/app/bull-search/view/915049850","S1170")</f>
        <v>S1170</v>
      </c>
      <c r="B3772" t="s">
        <v>144</v>
      </c>
      <c r="C3772" t="s">
        <v>8269</v>
      </c>
      <c r="D3772" s="1">
        <v>39718</v>
      </c>
      <c r="E3772" t="s">
        <v>92</v>
      </c>
      <c r="F3772">
        <v>50</v>
      </c>
      <c r="G3772" t="s">
        <v>93</v>
      </c>
      <c r="H3772">
        <v>-61.23</v>
      </c>
      <c r="I3772">
        <v>74</v>
      </c>
      <c r="J3772">
        <v>-5.75</v>
      </c>
      <c r="K3772">
        <v>93</v>
      </c>
      <c r="L3772">
        <v>15.05</v>
      </c>
      <c r="M3772">
        <v>53</v>
      </c>
      <c r="N3772">
        <v>-74.150000000000006</v>
      </c>
      <c r="O3772">
        <v>78</v>
      </c>
      <c r="P3772">
        <v>-7.59</v>
      </c>
      <c r="Q3772">
        <v>91</v>
      </c>
      <c r="R3772">
        <v>-3.29</v>
      </c>
      <c r="S3772">
        <v>53</v>
      </c>
      <c r="T3772">
        <v>17.600000000000001</v>
      </c>
      <c r="U3772">
        <v>83</v>
      </c>
      <c r="V3772">
        <v>-3.1</v>
      </c>
      <c r="W3772">
        <v>54</v>
      </c>
      <c r="X3772" t="s">
        <v>102</v>
      </c>
      <c r="Y3772" t="s">
        <v>336</v>
      </c>
      <c r="Z3772">
        <v>0</v>
      </c>
      <c r="AA3772" t="s">
        <v>8270</v>
      </c>
      <c r="AB3772" t="s">
        <v>8271</v>
      </c>
      <c r="AC3772">
        <v>72</v>
      </c>
      <c r="AD3772">
        <v>25</v>
      </c>
      <c r="AE3772">
        <v>93</v>
      </c>
      <c r="AF3772">
        <v>-256.08</v>
      </c>
      <c r="AG3772">
        <v>4.7</v>
      </c>
      <c r="AH3772">
        <v>-6.56</v>
      </c>
      <c r="AI3772">
        <v>0.25</v>
      </c>
      <c r="AJ3772">
        <v>0.04</v>
      </c>
      <c r="AK3772">
        <v>53</v>
      </c>
      <c r="AL3772">
        <v>75</v>
      </c>
      <c r="AM3772">
        <v>36</v>
      </c>
      <c r="AN3772">
        <v>-0.06</v>
      </c>
      <c r="AO3772">
        <v>1.1499999999999999</v>
      </c>
      <c r="AP3772">
        <v>139</v>
      </c>
      <c r="AQ3772">
        <v>51</v>
      </c>
      <c r="AR3772">
        <v>14.69</v>
      </c>
      <c r="AS3772">
        <v>63</v>
      </c>
      <c r="AT3772">
        <v>5.59</v>
      </c>
      <c r="AU3772">
        <v>81</v>
      </c>
      <c r="AV3772">
        <v>2.67</v>
      </c>
      <c r="AW3772">
        <v>94</v>
      </c>
      <c r="AX3772">
        <v>0.7</v>
      </c>
      <c r="AY3772">
        <v>80</v>
      </c>
      <c r="AZ3772">
        <v>5.78</v>
      </c>
      <c r="BA3772">
        <v>47</v>
      </c>
      <c r="BB3772">
        <v>4.62</v>
      </c>
      <c r="BC3772">
        <v>40</v>
      </c>
      <c r="BD3772">
        <v>0.01</v>
      </c>
      <c r="BE3772">
        <v>0.01</v>
      </c>
      <c r="BF3772">
        <v>0.04</v>
      </c>
      <c r="BG3772">
        <v>72</v>
      </c>
      <c r="BH3772">
        <v>-0.06</v>
      </c>
      <c r="BI3772">
        <v>3.06</v>
      </c>
      <c r="BJ3772">
        <v>0</v>
      </c>
      <c r="BK3772">
        <v>0</v>
      </c>
      <c r="BL3772">
        <v>0</v>
      </c>
      <c r="BM3772">
        <v>0</v>
      </c>
      <c r="BN3772">
        <v>0</v>
      </c>
      <c r="BO3772">
        <v>0</v>
      </c>
      <c r="BP3772">
        <v>0</v>
      </c>
      <c r="BQ3772">
        <v>0</v>
      </c>
      <c r="BR3772">
        <v>0</v>
      </c>
      <c r="BS3772">
        <v>0</v>
      </c>
      <c r="BT3772">
        <v>0</v>
      </c>
      <c r="BU3772">
        <v>0</v>
      </c>
      <c r="BV3772">
        <v>0</v>
      </c>
      <c r="BW3772">
        <v>0</v>
      </c>
      <c r="BX3772">
        <v>0</v>
      </c>
      <c r="BY3772">
        <v>0</v>
      </c>
      <c r="BZ3772">
        <v>0</v>
      </c>
      <c r="CA3772">
        <v>0</v>
      </c>
      <c r="CB3772">
        <v>0</v>
      </c>
      <c r="CC3772">
        <v>0</v>
      </c>
      <c r="CD3772">
        <v>0</v>
      </c>
      <c r="CE3772">
        <v>0</v>
      </c>
      <c r="CF3772">
        <v>0</v>
      </c>
      <c r="CG3772">
        <v>0</v>
      </c>
      <c r="CH3772">
        <v>0</v>
      </c>
      <c r="CI3772">
        <v>0</v>
      </c>
      <c r="CJ3772">
        <v>-2.1</v>
      </c>
      <c r="CK3772">
        <v>93</v>
      </c>
      <c r="CL3772">
        <v>-0.72</v>
      </c>
      <c r="CM3772">
        <v>91</v>
      </c>
      <c r="CN3772">
        <v>-0.22</v>
      </c>
      <c r="CO3772">
        <v>90</v>
      </c>
      <c r="CP3772">
        <v>1.1000000000000001</v>
      </c>
      <c r="CQ3772">
        <v>77</v>
      </c>
      <c r="CR3772">
        <v>0</v>
      </c>
      <c r="CS3772">
        <v>0</v>
      </c>
      <c r="CT3772">
        <v>-10</v>
      </c>
      <c r="CU3772">
        <v>83</v>
      </c>
      <c r="CV3772">
        <v>0.21</v>
      </c>
      <c r="CW3772">
        <v>44</v>
      </c>
      <c r="CX3772" t="s">
        <v>8272</v>
      </c>
    </row>
    <row r="3773" spans="1:102" x14ac:dyDescent="0.3">
      <c r="A3773" t="str">
        <f>HYPERLINK("https://webapp.icbf.com/v2/app/bull-search/view/108367944","IOW")</f>
        <v>IOW</v>
      </c>
      <c r="B3773" t="s">
        <v>8058</v>
      </c>
      <c r="C3773" t="s">
        <v>8059</v>
      </c>
      <c r="D3773" s="1">
        <v>35155</v>
      </c>
      <c r="E3773" t="s">
        <v>92</v>
      </c>
      <c r="F3773">
        <v>100</v>
      </c>
      <c r="G3773" t="s">
        <v>109</v>
      </c>
      <c r="H3773">
        <v>-61.31</v>
      </c>
      <c r="I3773">
        <v>83</v>
      </c>
      <c r="J3773">
        <v>1.5</v>
      </c>
      <c r="K3773">
        <v>94</v>
      </c>
      <c r="L3773">
        <v>-57.55</v>
      </c>
      <c r="M3773">
        <v>82</v>
      </c>
      <c r="N3773">
        <v>-0.55000000000000004</v>
      </c>
      <c r="O3773">
        <v>75</v>
      </c>
      <c r="P3773">
        <v>-2.59</v>
      </c>
      <c r="Q3773">
        <v>78</v>
      </c>
      <c r="R3773">
        <v>-9.06</v>
      </c>
      <c r="S3773">
        <v>76</v>
      </c>
      <c r="T3773">
        <v>4.3499999999999996</v>
      </c>
      <c r="U3773">
        <v>69</v>
      </c>
      <c r="V3773">
        <v>2.59</v>
      </c>
      <c r="W3773">
        <v>63</v>
      </c>
      <c r="X3773" t="s">
        <v>276</v>
      </c>
      <c r="Y3773" t="s">
        <v>95</v>
      </c>
      <c r="Z3773" t="s">
        <v>96</v>
      </c>
      <c r="AA3773" t="s">
        <v>8060</v>
      </c>
      <c r="AB3773" t="s">
        <v>8061</v>
      </c>
      <c r="AC3773">
        <v>0</v>
      </c>
      <c r="AD3773">
        <v>0</v>
      </c>
      <c r="AE3773">
        <v>94</v>
      </c>
      <c r="AF3773">
        <v>85.76</v>
      </c>
      <c r="AG3773">
        <v>4.43</v>
      </c>
      <c r="AH3773">
        <v>0</v>
      </c>
      <c r="AI3773">
        <v>0.02</v>
      </c>
      <c r="AJ3773">
        <v>-0.05</v>
      </c>
      <c r="AK3773">
        <v>82</v>
      </c>
      <c r="AL3773">
        <v>0</v>
      </c>
      <c r="AM3773">
        <v>0</v>
      </c>
      <c r="AN3773">
        <v>3.11</v>
      </c>
      <c r="AO3773">
        <v>-1.48</v>
      </c>
      <c r="AP3773">
        <v>52</v>
      </c>
      <c r="AQ3773">
        <v>0</v>
      </c>
      <c r="AR3773">
        <v>7.42</v>
      </c>
      <c r="AS3773">
        <v>73</v>
      </c>
      <c r="AT3773">
        <v>3.67</v>
      </c>
      <c r="AU3773">
        <v>88</v>
      </c>
      <c r="AV3773">
        <v>-0.45</v>
      </c>
      <c r="AW3773">
        <v>79</v>
      </c>
      <c r="AX3773">
        <v>-0.14000000000000001</v>
      </c>
      <c r="AY3773">
        <v>64</v>
      </c>
      <c r="AZ3773">
        <v>6.58</v>
      </c>
      <c r="BA3773">
        <v>52</v>
      </c>
      <c r="BB3773">
        <v>4.97</v>
      </c>
      <c r="BC3773">
        <v>55</v>
      </c>
      <c r="BD3773">
        <v>0.05</v>
      </c>
      <c r="BE3773">
        <v>0.05</v>
      </c>
      <c r="BF3773">
        <v>0.03</v>
      </c>
      <c r="BG3773">
        <v>90</v>
      </c>
      <c r="BH3773">
        <v>7.0000000000000007E-2</v>
      </c>
      <c r="BI3773">
        <v>-0.26</v>
      </c>
      <c r="BJ3773">
        <v>7</v>
      </c>
      <c r="BK3773">
        <v>3</v>
      </c>
      <c r="BL3773">
        <v>1.04</v>
      </c>
      <c r="BM3773">
        <v>-0.42</v>
      </c>
      <c r="BN3773">
        <v>-0.21</v>
      </c>
      <c r="BO3773">
        <v>0.23</v>
      </c>
      <c r="BP3773">
        <v>0.15</v>
      </c>
      <c r="BQ3773">
        <v>-1.21</v>
      </c>
      <c r="BR3773">
        <v>-0.2</v>
      </c>
      <c r="BS3773">
        <v>-0.5</v>
      </c>
      <c r="BT3773">
        <v>0.56000000000000005</v>
      </c>
      <c r="BU3773">
        <v>2.02</v>
      </c>
      <c r="BV3773">
        <v>1.06</v>
      </c>
      <c r="BW3773">
        <v>0.38</v>
      </c>
      <c r="BX3773">
        <v>1.8</v>
      </c>
      <c r="BY3773">
        <v>0.76</v>
      </c>
      <c r="BZ3773">
        <v>-1.64</v>
      </c>
      <c r="CA3773">
        <v>1.75</v>
      </c>
      <c r="CB3773">
        <v>1.65</v>
      </c>
      <c r="CC3773">
        <v>0.62</v>
      </c>
      <c r="CD3773">
        <v>0.04</v>
      </c>
      <c r="CE3773">
        <v>0.54</v>
      </c>
      <c r="CF3773">
        <v>0.11</v>
      </c>
      <c r="CG3773">
        <v>0</v>
      </c>
      <c r="CH3773">
        <v>0.74</v>
      </c>
      <c r="CI3773">
        <v>0</v>
      </c>
      <c r="CJ3773">
        <v>0.5</v>
      </c>
      <c r="CK3773">
        <v>80</v>
      </c>
      <c r="CL3773">
        <v>-0.77</v>
      </c>
      <c r="CM3773">
        <v>77</v>
      </c>
      <c r="CN3773">
        <v>-0.45</v>
      </c>
      <c r="CO3773">
        <v>74</v>
      </c>
      <c r="CP3773">
        <v>-4</v>
      </c>
      <c r="CQ3773">
        <v>79</v>
      </c>
      <c r="CR3773">
        <v>0</v>
      </c>
      <c r="CS3773">
        <v>0</v>
      </c>
      <c r="CT3773">
        <v>7.9</v>
      </c>
      <c r="CU3773">
        <v>69</v>
      </c>
      <c r="CV3773">
        <v>0.22</v>
      </c>
      <c r="CW3773">
        <v>41</v>
      </c>
      <c r="CX3773" t="s">
        <v>485</v>
      </c>
    </row>
    <row r="3774" spans="1:102" x14ac:dyDescent="0.3">
      <c r="A3774" t="str">
        <f>HYPERLINK("https://webapp.icbf.com/v2/app/bull-search/view/77857975","DRV")</f>
        <v>DRV</v>
      </c>
      <c r="B3774" t="s">
        <v>8663</v>
      </c>
      <c r="C3774" t="s">
        <v>8664</v>
      </c>
      <c r="D3774" s="1">
        <v>32409</v>
      </c>
      <c r="E3774" t="s">
        <v>92</v>
      </c>
      <c r="F3774">
        <v>100</v>
      </c>
      <c r="G3774" t="s">
        <v>93</v>
      </c>
      <c r="H3774">
        <v>-61.34</v>
      </c>
      <c r="I3774">
        <v>91</v>
      </c>
      <c r="J3774">
        <v>15.48</v>
      </c>
      <c r="K3774">
        <v>98</v>
      </c>
      <c r="L3774">
        <v>-59.34</v>
      </c>
      <c r="M3774">
        <v>90</v>
      </c>
      <c r="N3774">
        <v>-19.32</v>
      </c>
      <c r="O3774">
        <v>84</v>
      </c>
      <c r="P3774">
        <v>4.7</v>
      </c>
      <c r="Q3774">
        <v>92</v>
      </c>
      <c r="R3774">
        <v>-2.23</v>
      </c>
      <c r="S3774">
        <v>84</v>
      </c>
      <c r="T3774">
        <v>-0.31</v>
      </c>
      <c r="U3774">
        <v>90</v>
      </c>
      <c r="V3774">
        <v>-0.32</v>
      </c>
      <c r="W3774">
        <v>73</v>
      </c>
      <c r="X3774" t="s">
        <v>251</v>
      </c>
      <c r="Y3774" t="s">
        <v>95</v>
      </c>
      <c r="Z3774" t="s">
        <v>96</v>
      </c>
      <c r="AA3774" t="s">
        <v>128</v>
      </c>
      <c r="AB3774" t="s">
        <v>8665</v>
      </c>
      <c r="AC3774">
        <v>179</v>
      </c>
      <c r="AD3774">
        <v>88</v>
      </c>
      <c r="AE3774">
        <v>98</v>
      </c>
      <c r="AF3774">
        <v>36.729999999999997</v>
      </c>
      <c r="AG3774">
        <v>7.39</v>
      </c>
      <c r="AH3774">
        <v>0.57999999999999996</v>
      </c>
      <c r="AI3774">
        <v>0.1</v>
      </c>
      <c r="AJ3774">
        <v>-0.01</v>
      </c>
      <c r="AK3774">
        <v>90</v>
      </c>
      <c r="AL3774">
        <v>214</v>
      </c>
      <c r="AM3774">
        <v>97</v>
      </c>
      <c r="AN3774">
        <v>1.85</v>
      </c>
      <c r="AO3774">
        <v>-2.9</v>
      </c>
      <c r="AP3774">
        <v>16</v>
      </c>
      <c r="AQ3774">
        <v>11</v>
      </c>
      <c r="AR3774">
        <v>10.14</v>
      </c>
      <c r="AS3774">
        <v>69</v>
      </c>
      <c r="AT3774">
        <v>4.42</v>
      </c>
      <c r="AU3774">
        <v>88</v>
      </c>
      <c r="AV3774">
        <v>0.23</v>
      </c>
      <c r="AW3774">
        <v>88</v>
      </c>
      <c r="AX3774">
        <v>-0.12</v>
      </c>
      <c r="AY3774">
        <v>88</v>
      </c>
      <c r="AZ3774">
        <v>5.93</v>
      </c>
      <c r="BA3774">
        <v>67</v>
      </c>
      <c r="BB3774">
        <v>4.51</v>
      </c>
      <c r="BC3774">
        <v>76</v>
      </c>
      <c r="BD3774">
        <v>0.05</v>
      </c>
      <c r="BE3774">
        <v>0.02</v>
      </c>
      <c r="BF3774">
        <v>-7.0000000000000007E-2</v>
      </c>
      <c r="BG3774">
        <v>94</v>
      </c>
      <c r="BH3774">
        <v>0.03</v>
      </c>
      <c r="BI3774">
        <v>4.51</v>
      </c>
      <c r="BJ3774">
        <v>7</v>
      </c>
      <c r="BK3774">
        <v>5</v>
      </c>
      <c r="BL3774">
        <v>0.27</v>
      </c>
      <c r="BM3774">
        <v>1</v>
      </c>
      <c r="BN3774">
        <v>-0.06</v>
      </c>
      <c r="BO3774">
        <v>-0.57999999999999996</v>
      </c>
      <c r="BP3774">
        <v>-3.52</v>
      </c>
      <c r="BQ3774">
        <v>-0.33</v>
      </c>
      <c r="BR3774">
        <v>-0.86</v>
      </c>
      <c r="BS3774">
        <v>0.52</v>
      </c>
      <c r="BT3774">
        <v>1.43</v>
      </c>
      <c r="BU3774">
        <v>-0.7</v>
      </c>
      <c r="BV3774">
        <v>-0.3</v>
      </c>
      <c r="BW3774">
        <v>-0.73</v>
      </c>
      <c r="BX3774">
        <v>0.33</v>
      </c>
      <c r="BY3774">
        <v>-0.92</v>
      </c>
      <c r="BZ3774">
        <v>-1.88</v>
      </c>
      <c r="CA3774">
        <v>-0.2</v>
      </c>
      <c r="CB3774">
        <v>-0.5</v>
      </c>
      <c r="CC3774">
        <v>0.2</v>
      </c>
      <c r="CD3774">
        <v>0.65</v>
      </c>
      <c r="CE3774">
        <v>-0.5</v>
      </c>
      <c r="CF3774">
        <v>-0.05</v>
      </c>
      <c r="CG3774">
        <v>0</v>
      </c>
      <c r="CH3774">
        <v>-0.44</v>
      </c>
      <c r="CI3774">
        <v>0</v>
      </c>
      <c r="CJ3774">
        <v>3.4</v>
      </c>
      <c r="CK3774">
        <v>92</v>
      </c>
      <c r="CL3774">
        <v>-0.37</v>
      </c>
      <c r="CM3774">
        <v>91</v>
      </c>
      <c r="CN3774">
        <v>-0.32</v>
      </c>
      <c r="CO3774">
        <v>90</v>
      </c>
      <c r="CP3774">
        <v>0.5</v>
      </c>
      <c r="CQ3774">
        <v>94</v>
      </c>
      <c r="CR3774">
        <v>0</v>
      </c>
      <c r="CS3774">
        <v>0</v>
      </c>
      <c r="CT3774">
        <v>14.2</v>
      </c>
      <c r="CU3774">
        <v>90</v>
      </c>
      <c r="CV3774">
        <v>7.0000000000000007E-2</v>
      </c>
      <c r="CW3774">
        <v>44</v>
      </c>
      <c r="CX3774" t="s">
        <v>648</v>
      </c>
    </row>
    <row r="3775" spans="1:102" x14ac:dyDescent="0.3">
      <c r="A3775" t="str">
        <f>HYPERLINK("https://webapp.icbf.com/v2/app/bull-search/view/69092467","RBA")</f>
        <v>RBA</v>
      </c>
      <c r="B3775" t="s">
        <v>144</v>
      </c>
      <c r="C3775" t="s">
        <v>2767</v>
      </c>
      <c r="D3775" s="1">
        <v>32239</v>
      </c>
      <c r="E3775" t="s">
        <v>895</v>
      </c>
      <c r="F3775">
        <v>0</v>
      </c>
      <c r="G3775" t="s">
        <v>93</v>
      </c>
      <c r="H3775">
        <v>-61.41</v>
      </c>
      <c r="I3775">
        <v>39</v>
      </c>
      <c r="J3775">
        <v>-21.89</v>
      </c>
      <c r="K3775">
        <v>73</v>
      </c>
      <c r="L3775">
        <v>-79.67</v>
      </c>
      <c r="M3775">
        <v>24</v>
      </c>
      <c r="N3775">
        <v>15.35</v>
      </c>
      <c r="O3775">
        <v>41</v>
      </c>
      <c r="P3775">
        <v>-0.25</v>
      </c>
      <c r="Q3775">
        <v>10</v>
      </c>
      <c r="R3775">
        <v>6.62</v>
      </c>
      <c r="S3775">
        <v>30</v>
      </c>
      <c r="T3775">
        <v>22.85</v>
      </c>
      <c r="U3775">
        <v>3</v>
      </c>
      <c r="V3775">
        <v>-4.42</v>
      </c>
      <c r="W3775">
        <v>12</v>
      </c>
      <c r="X3775" t="s">
        <v>94</v>
      </c>
      <c r="Y3775" t="s">
        <v>95</v>
      </c>
      <c r="Z3775">
        <v>0</v>
      </c>
      <c r="AA3775" t="s">
        <v>144</v>
      </c>
      <c r="AB3775" t="s">
        <v>144</v>
      </c>
      <c r="AC3775">
        <v>13</v>
      </c>
      <c r="AD3775">
        <v>6</v>
      </c>
      <c r="AE3775">
        <v>73</v>
      </c>
      <c r="AF3775">
        <v>-243.34</v>
      </c>
      <c r="AG3775">
        <v>-2.31</v>
      </c>
      <c r="AH3775">
        <v>-6.63</v>
      </c>
      <c r="AI3775">
        <v>0.12</v>
      </c>
      <c r="AJ3775">
        <v>0.03</v>
      </c>
      <c r="AK3775">
        <v>24</v>
      </c>
      <c r="AL3775">
        <v>12</v>
      </c>
      <c r="AM3775">
        <v>8</v>
      </c>
      <c r="AN3775">
        <v>6.17</v>
      </c>
      <c r="AO3775">
        <v>-0.16</v>
      </c>
      <c r="AP3775">
        <v>22</v>
      </c>
      <c r="AQ3775">
        <v>1</v>
      </c>
      <c r="AR3775">
        <v>6.34</v>
      </c>
      <c r="AS3775">
        <v>22</v>
      </c>
      <c r="AT3775">
        <v>2.81</v>
      </c>
      <c r="AU3775">
        <v>33</v>
      </c>
      <c r="AV3775">
        <v>-1.44</v>
      </c>
      <c r="AW3775">
        <v>63</v>
      </c>
      <c r="AX3775">
        <v>1.75</v>
      </c>
      <c r="AY3775">
        <v>31</v>
      </c>
      <c r="AZ3775">
        <v>5.91</v>
      </c>
      <c r="BA3775">
        <v>11</v>
      </c>
      <c r="BB3775">
        <v>4.6100000000000003</v>
      </c>
      <c r="BC3775">
        <v>14</v>
      </c>
      <c r="BD3775">
        <v>-0.02</v>
      </c>
      <c r="BE3775">
        <v>-0.01</v>
      </c>
      <c r="BF3775">
        <v>-0.1</v>
      </c>
      <c r="BG3775">
        <v>36</v>
      </c>
      <c r="BH3775">
        <v>-0.12</v>
      </c>
      <c r="BI3775">
        <v>0.39</v>
      </c>
      <c r="BJ3775">
        <v>0</v>
      </c>
      <c r="BK3775">
        <v>0</v>
      </c>
      <c r="BL3775">
        <v>-1.48</v>
      </c>
      <c r="BM3775">
        <v>1.38</v>
      </c>
      <c r="BN3775">
        <v>-1.44</v>
      </c>
      <c r="BO3775">
        <v>-1.94</v>
      </c>
      <c r="BP3775">
        <v>0.02</v>
      </c>
      <c r="BQ3775">
        <v>-0.09</v>
      </c>
      <c r="BR3775">
        <v>-1.06</v>
      </c>
      <c r="BS3775">
        <v>0.26</v>
      </c>
      <c r="BT3775">
        <v>0.08</v>
      </c>
      <c r="BU3775">
        <v>-1.71</v>
      </c>
      <c r="BV3775">
        <v>-1.71</v>
      </c>
      <c r="BW3775">
        <v>-2.11</v>
      </c>
      <c r="BX3775">
        <v>-1.32</v>
      </c>
      <c r="BY3775">
        <v>-1.99</v>
      </c>
      <c r="BZ3775">
        <v>-0.04</v>
      </c>
      <c r="CA3775">
        <v>-1.97</v>
      </c>
      <c r="CB3775">
        <v>-2</v>
      </c>
      <c r="CC3775">
        <v>-1.2</v>
      </c>
      <c r="CD3775">
        <v>1.81</v>
      </c>
      <c r="CE3775">
        <v>-2.0099999999999998</v>
      </c>
      <c r="CF3775">
        <v>-1.72</v>
      </c>
      <c r="CG3775">
        <v>0</v>
      </c>
      <c r="CH3775">
        <v>-2.39</v>
      </c>
      <c r="CI3775">
        <v>0</v>
      </c>
      <c r="CJ3775">
        <v>-0.8</v>
      </c>
      <c r="CK3775">
        <v>11</v>
      </c>
      <c r="CL3775">
        <v>7.0000000000000007E-2</v>
      </c>
      <c r="CM3775">
        <v>9</v>
      </c>
      <c r="CN3775">
        <v>-0.12</v>
      </c>
      <c r="CO3775">
        <v>8</v>
      </c>
      <c r="CP3775">
        <v>-8.5</v>
      </c>
      <c r="CQ3775">
        <v>5</v>
      </c>
      <c r="CR3775">
        <v>0</v>
      </c>
      <c r="CS3775">
        <v>0</v>
      </c>
      <c r="CT3775">
        <v>-17.100000000000001</v>
      </c>
      <c r="CU3775">
        <v>3</v>
      </c>
      <c r="CV3775">
        <v>-0.15</v>
      </c>
      <c r="CW3775">
        <v>3</v>
      </c>
      <c r="CX3775">
        <v>0</v>
      </c>
    </row>
    <row r="3776" spans="1:102" x14ac:dyDescent="0.3">
      <c r="A3776" t="str">
        <f>HYPERLINK("https://webapp.icbf.com/v2/app/bull-search/view/77856820","HEA")</f>
        <v>HEA</v>
      </c>
      <c r="B3776" t="s">
        <v>15013</v>
      </c>
      <c r="C3776" t="s">
        <v>15014</v>
      </c>
      <c r="D3776" s="1">
        <v>33638</v>
      </c>
      <c r="E3776" t="s">
        <v>108</v>
      </c>
      <c r="F3776">
        <v>0</v>
      </c>
      <c r="G3776" t="s">
        <v>116</v>
      </c>
      <c r="H3776">
        <v>-61.48</v>
      </c>
      <c r="I3776">
        <v>44</v>
      </c>
      <c r="J3776">
        <v>-53.93</v>
      </c>
      <c r="K3776">
        <v>61</v>
      </c>
      <c r="L3776">
        <v>7.02</v>
      </c>
      <c r="M3776">
        <v>35</v>
      </c>
      <c r="N3776">
        <v>-16.07</v>
      </c>
      <c r="O3776">
        <v>22</v>
      </c>
      <c r="P3776">
        <v>-8.93</v>
      </c>
      <c r="Q3776">
        <v>62</v>
      </c>
      <c r="R3776">
        <v>0.77</v>
      </c>
      <c r="S3776">
        <v>42</v>
      </c>
      <c r="T3776">
        <v>13.16</v>
      </c>
      <c r="U3776">
        <v>40</v>
      </c>
      <c r="V3776">
        <v>-3.5</v>
      </c>
      <c r="W3776">
        <v>9</v>
      </c>
      <c r="X3776" t="s">
        <v>102</v>
      </c>
      <c r="Y3776" t="s">
        <v>95</v>
      </c>
      <c r="Z3776" t="s">
        <v>96</v>
      </c>
      <c r="AA3776" t="s">
        <v>15015</v>
      </c>
      <c r="AB3776" t="s">
        <v>15016</v>
      </c>
      <c r="AC3776">
        <v>8</v>
      </c>
      <c r="AD3776">
        <v>6</v>
      </c>
      <c r="AE3776">
        <v>61</v>
      </c>
      <c r="AF3776">
        <v>-404.8</v>
      </c>
      <c r="AG3776">
        <v>-12.49</v>
      </c>
      <c r="AH3776">
        <v>-10.95</v>
      </c>
      <c r="AI3776">
        <v>0.06</v>
      </c>
      <c r="AJ3776">
        <v>0.05</v>
      </c>
      <c r="AK3776">
        <v>35</v>
      </c>
      <c r="AL3776">
        <v>28</v>
      </c>
      <c r="AM3776">
        <v>20</v>
      </c>
      <c r="AN3776">
        <v>-2.67</v>
      </c>
      <c r="AO3776">
        <v>-2.14</v>
      </c>
      <c r="AP3776">
        <v>1</v>
      </c>
      <c r="AQ3776">
        <v>0</v>
      </c>
      <c r="AR3776">
        <v>8.8800000000000008</v>
      </c>
      <c r="AS3776">
        <v>6</v>
      </c>
      <c r="AT3776">
        <v>3.65</v>
      </c>
      <c r="AU3776">
        <v>15</v>
      </c>
      <c r="AV3776">
        <v>-0.49</v>
      </c>
      <c r="AW3776">
        <v>30</v>
      </c>
      <c r="AX3776">
        <v>-0.68</v>
      </c>
      <c r="AY3776">
        <v>34</v>
      </c>
      <c r="AZ3776">
        <v>8.1199999999999992</v>
      </c>
      <c r="BA3776">
        <v>6</v>
      </c>
      <c r="BB3776">
        <v>6.84</v>
      </c>
      <c r="BC3776">
        <v>13</v>
      </c>
      <c r="BD3776">
        <v>0.05</v>
      </c>
      <c r="BE3776">
        <v>0.01</v>
      </c>
      <c r="BF3776">
        <v>-0.12</v>
      </c>
      <c r="BG3776">
        <v>60</v>
      </c>
      <c r="BH3776">
        <v>-0.11</v>
      </c>
      <c r="BI3776">
        <v>-1.44</v>
      </c>
      <c r="BJ3776">
        <v>9</v>
      </c>
      <c r="BK3776">
        <v>7</v>
      </c>
      <c r="BL3776">
        <v>-3.03</v>
      </c>
      <c r="BM3776">
        <v>2.41</v>
      </c>
      <c r="BN3776">
        <v>-2.87</v>
      </c>
      <c r="BO3776">
        <v>-3.66</v>
      </c>
      <c r="BP3776">
        <v>-0.95</v>
      </c>
      <c r="BQ3776">
        <v>1.21</v>
      </c>
      <c r="BR3776">
        <v>-1.59</v>
      </c>
      <c r="BS3776">
        <v>-0.14000000000000001</v>
      </c>
      <c r="BT3776">
        <v>0.02</v>
      </c>
      <c r="BU3776">
        <v>-2.27</v>
      </c>
      <c r="BV3776">
        <v>-3.13</v>
      </c>
      <c r="BW3776">
        <v>-2.48</v>
      </c>
      <c r="BX3776">
        <v>-1.54</v>
      </c>
      <c r="BY3776">
        <v>-1.51</v>
      </c>
      <c r="BZ3776">
        <v>-0.56000000000000005</v>
      </c>
      <c r="CA3776">
        <v>-2.23</v>
      </c>
      <c r="CB3776">
        <v>-2.62</v>
      </c>
      <c r="CC3776">
        <v>-0.71</v>
      </c>
      <c r="CD3776">
        <v>3.23</v>
      </c>
      <c r="CE3776">
        <v>-3.34</v>
      </c>
      <c r="CF3776">
        <v>-2.63</v>
      </c>
      <c r="CG3776">
        <v>0</v>
      </c>
      <c r="CH3776">
        <v>-1.74</v>
      </c>
      <c r="CI3776">
        <v>0</v>
      </c>
      <c r="CJ3776">
        <v>-7.6</v>
      </c>
      <c r="CK3776">
        <v>66</v>
      </c>
      <c r="CL3776">
        <v>0.44</v>
      </c>
      <c r="CM3776">
        <v>60</v>
      </c>
      <c r="CN3776">
        <v>0.12</v>
      </c>
      <c r="CO3776">
        <v>57</v>
      </c>
      <c r="CP3776">
        <v>-10.5</v>
      </c>
      <c r="CQ3776">
        <v>49</v>
      </c>
      <c r="CR3776">
        <v>0</v>
      </c>
      <c r="CS3776">
        <v>0</v>
      </c>
      <c r="CT3776">
        <v>-4</v>
      </c>
      <c r="CU3776">
        <v>40</v>
      </c>
      <c r="CV3776">
        <v>-0.34</v>
      </c>
      <c r="CW3776">
        <v>19</v>
      </c>
      <c r="CX3776" t="s">
        <v>507</v>
      </c>
    </row>
    <row r="3777" spans="1:102" x14ac:dyDescent="0.3">
      <c r="A3777" t="str">
        <f>HYPERLINK("https://webapp.icbf.com/v2/app/bull-search/view/440183325","RVO")</f>
        <v>RVO</v>
      </c>
      <c r="B3777" t="s">
        <v>4525</v>
      </c>
      <c r="C3777" t="s">
        <v>4526</v>
      </c>
      <c r="D3777" s="1">
        <v>38312</v>
      </c>
      <c r="E3777" t="s">
        <v>108</v>
      </c>
      <c r="F3777">
        <v>0</v>
      </c>
      <c r="G3777" t="s">
        <v>93</v>
      </c>
      <c r="H3777">
        <v>-61.63</v>
      </c>
      <c r="I3777">
        <v>95</v>
      </c>
      <c r="J3777">
        <v>-77.010000000000005</v>
      </c>
      <c r="K3777">
        <v>99</v>
      </c>
      <c r="L3777">
        <v>-0.41</v>
      </c>
      <c r="M3777">
        <v>91</v>
      </c>
      <c r="N3777">
        <v>15.07</v>
      </c>
      <c r="O3777">
        <v>95</v>
      </c>
      <c r="P3777">
        <v>-10.09</v>
      </c>
      <c r="Q3777">
        <v>99</v>
      </c>
      <c r="R3777">
        <v>7.22</v>
      </c>
      <c r="S3777">
        <v>92</v>
      </c>
      <c r="T3777">
        <v>11.16</v>
      </c>
      <c r="U3777">
        <v>97</v>
      </c>
      <c r="V3777">
        <v>-7.57</v>
      </c>
      <c r="W3777">
        <v>95</v>
      </c>
      <c r="X3777" t="s">
        <v>102</v>
      </c>
      <c r="Y3777" t="s">
        <v>1164</v>
      </c>
      <c r="Z3777" t="s">
        <v>96</v>
      </c>
      <c r="AA3777" t="s">
        <v>4527</v>
      </c>
      <c r="AB3777" t="s">
        <v>4528</v>
      </c>
      <c r="AC3777">
        <v>351</v>
      </c>
      <c r="AD3777">
        <v>193</v>
      </c>
      <c r="AE3777">
        <v>99</v>
      </c>
      <c r="AF3777">
        <v>-357.47</v>
      </c>
      <c r="AG3777">
        <v>-12.15</v>
      </c>
      <c r="AH3777">
        <v>-14.27</v>
      </c>
      <c r="AI3777">
        <v>0.03</v>
      </c>
      <c r="AJ3777">
        <v>-0.04</v>
      </c>
      <c r="AK3777">
        <v>91</v>
      </c>
      <c r="AL3777">
        <v>517</v>
      </c>
      <c r="AM3777">
        <v>256</v>
      </c>
      <c r="AN3777">
        <v>-0.54</v>
      </c>
      <c r="AO3777">
        <v>-0.57999999999999996</v>
      </c>
      <c r="AP3777">
        <v>661</v>
      </c>
      <c r="AQ3777">
        <v>9</v>
      </c>
      <c r="AR3777">
        <v>7.33</v>
      </c>
      <c r="AS3777">
        <v>89</v>
      </c>
      <c r="AT3777">
        <v>2.4900000000000002</v>
      </c>
      <c r="AU3777">
        <v>96</v>
      </c>
      <c r="AV3777">
        <v>-3.45</v>
      </c>
      <c r="AW3777">
        <v>99</v>
      </c>
      <c r="AX3777">
        <v>-0.04</v>
      </c>
      <c r="AY3777">
        <v>95</v>
      </c>
      <c r="AZ3777">
        <v>9.5500000000000007</v>
      </c>
      <c r="BA3777">
        <v>86</v>
      </c>
      <c r="BB3777">
        <v>7.19</v>
      </c>
      <c r="BC3777">
        <v>89</v>
      </c>
      <c r="BD3777">
        <v>-0.06</v>
      </c>
      <c r="BE3777">
        <v>-0.04</v>
      </c>
      <c r="BF3777">
        <v>0.01</v>
      </c>
      <c r="BG3777">
        <v>96</v>
      </c>
      <c r="BH3777">
        <v>-0.26</v>
      </c>
      <c r="BI3777">
        <v>-5.66</v>
      </c>
      <c r="BJ3777">
        <v>32</v>
      </c>
      <c r="BK3777">
        <v>17</v>
      </c>
      <c r="BL3777">
        <v>-3.17</v>
      </c>
      <c r="BM3777">
        <v>0.5</v>
      </c>
      <c r="BN3777">
        <v>-2.6</v>
      </c>
      <c r="BO3777">
        <v>-2.61</v>
      </c>
      <c r="BP3777">
        <v>-1.48</v>
      </c>
      <c r="BQ3777">
        <v>0.05</v>
      </c>
      <c r="BR3777">
        <v>-2.59</v>
      </c>
      <c r="BS3777">
        <v>2.17</v>
      </c>
      <c r="BT3777">
        <v>2.34</v>
      </c>
      <c r="BU3777">
        <v>-2.12</v>
      </c>
      <c r="BV3777">
        <v>-3.87</v>
      </c>
      <c r="BW3777">
        <v>-2.91</v>
      </c>
      <c r="BX3777">
        <v>-1.0900000000000001</v>
      </c>
      <c r="BY3777">
        <v>-1.87</v>
      </c>
      <c r="BZ3777">
        <v>0.78</v>
      </c>
      <c r="CA3777">
        <v>-1.86</v>
      </c>
      <c r="CB3777">
        <v>-2.75</v>
      </c>
      <c r="CC3777">
        <v>0.6</v>
      </c>
      <c r="CD3777">
        <v>3.01</v>
      </c>
      <c r="CE3777">
        <v>-2</v>
      </c>
      <c r="CF3777">
        <v>-1.91</v>
      </c>
      <c r="CG3777">
        <v>0</v>
      </c>
      <c r="CH3777">
        <v>-1.74</v>
      </c>
      <c r="CI3777">
        <v>0</v>
      </c>
      <c r="CJ3777">
        <v>-9.3000000000000007</v>
      </c>
      <c r="CK3777">
        <v>99</v>
      </c>
      <c r="CL3777">
        <v>-0.08</v>
      </c>
      <c r="CM3777">
        <v>99</v>
      </c>
      <c r="CN3777">
        <v>-0.36</v>
      </c>
      <c r="CO3777">
        <v>99</v>
      </c>
      <c r="CP3777">
        <v>-4.3</v>
      </c>
      <c r="CQ3777">
        <v>98</v>
      </c>
      <c r="CR3777">
        <v>0</v>
      </c>
      <c r="CS3777">
        <v>0</v>
      </c>
      <c r="CT3777">
        <v>-1.3</v>
      </c>
      <c r="CU3777">
        <v>97</v>
      </c>
      <c r="CV3777">
        <v>-0.01</v>
      </c>
      <c r="CW3777">
        <v>46</v>
      </c>
      <c r="CX3777" t="s">
        <v>4529</v>
      </c>
    </row>
    <row r="3778" spans="1:102" x14ac:dyDescent="0.3">
      <c r="A3778" t="str">
        <f>HYPERLINK("https://webapp.icbf.com/v2/app/bull-search/view/77856976","HLI")</f>
        <v>HLI</v>
      </c>
      <c r="B3778" t="s">
        <v>7346</v>
      </c>
      <c r="C3778" t="s">
        <v>7347</v>
      </c>
      <c r="D3778" s="1">
        <v>35492</v>
      </c>
      <c r="E3778" t="s">
        <v>92</v>
      </c>
      <c r="F3778">
        <v>100</v>
      </c>
      <c r="G3778" t="s">
        <v>93</v>
      </c>
      <c r="H3778">
        <v>-61.67</v>
      </c>
      <c r="I3778">
        <v>84</v>
      </c>
      <c r="J3778">
        <v>2.69</v>
      </c>
      <c r="K3778">
        <v>96</v>
      </c>
      <c r="L3778">
        <v>-75.38</v>
      </c>
      <c r="M3778">
        <v>79</v>
      </c>
      <c r="N3778">
        <v>3.85</v>
      </c>
      <c r="O3778">
        <v>71</v>
      </c>
      <c r="P3778">
        <v>-4.78</v>
      </c>
      <c r="Q3778">
        <v>80</v>
      </c>
      <c r="R3778">
        <v>4.58</v>
      </c>
      <c r="S3778">
        <v>78</v>
      </c>
      <c r="T3778">
        <v>4.28</v>
      </c>
      <c r="U3778">
        <v>81</v>
      </c>
      <c r="V3778">
        <v>3.09</v>
      </c>
      <c r="W3778">
        <v>68</v>
      </c>
      <c r="X3778" t="s">
        <v>94</v>
      </c>
      <c r="Y3778" t="s">
        <v>95</v>
      </c>
      <c r="Z3778" t="s">
        <v>96</v>
      </c>
      <c r="AA3778" t="s">
        <v>188</v>
      </c>
      <c r="AB3778" t="s">
        <v>7348</v>
      </c>
      <c r="AC3778">
        <v>74</v>
      </c>
      <c r="AD3778">
        <v>60</v>
      </c>
      <c r="AE3778">
        <v>96</v>
      </c>
      <c r="AF3778">
        <v>-60.65</v>
      </c>
      <c r="AG3778">
        <v>0.79</v>
      </c>
      <c r="AH3778">
        <v>-0.75</v>
      </c>
      <c r="AI3778">
        <v>0.06</v>
      </c>
      <c r="AJ3778">
        <v>0.02</v>
      </c>
      <c r="AK3778">
        <v>79</v>
      </c>
      <c r="AL3778">
        <v>68</v>
      </c>
      <c r="AM3778">
        <v>56</v>
      </c>
      <c r="AN3778">
        <v>4.21</v>
      </c>
      <c r="AO3778">
        <v>-1.8</v>
      </c>
      <c r="AP3778">
        <v>3</v>
      </c>
      <c r="AQ3778">
        <v>0</v>
      </c>
      <c r="AR3778">
        <v>7.6</v>
      </c>
      <c r="AS3778">
        <v>63</v>
      </c>
      <c r="AT3778">
        <v>3.77</v>
      </c>
      <c r="AU3778">
        <v>76</v>
      </c>
      <c r="AV3778">
        <v>-0.79</v>
      </c>
      <c r="AW3778">
        <v>72</v>
      </c>
      <c r="AX3778">
        <v>-0.08</v>
      </c>
      <c r="AY3778">
        <v>77</v>
      </c>
      <c r="AZ3778">
        <v>5.79</v>
      </c>
      <c r="BA3778">
        <v>56</v>
      </c>
      <c r="BB3778">
        <v>4.51</v>
      </c>
      <c r="BC3778">
        <v>64</v>
      </c>
      <c r="BD3778">
        <v>-0.05</v>
      </c>
      <c r="BE3778">
        <v>0.02</v>
      </c>
      <c r="BF3778">
        <v>-0.06</v>
      </c>
      <c r="BG3778">
        <v>88</v>
      </c>
      <c r="BH3778">
        <v>0.09</v>
      </c>
      <c r="BI3778">
        <v>0.44</v>
      </c>
      <c r="BJ3778">
        <v>3</v>
      </c>
      <c r="BK3778">
        <v>3</v>
      </c>
      <c r="BL3778">
        <v>1.27</v>
      </c>
      <c r="BM3778">
        <v>0.93</v>
      </c>
      <c r="BN3778">
        <v>0.62</v>
      </c>
      <c r="BO3778">
        <v>0.41</v>
      </c>
      <c r="BP3778">
        <v>2.2200000000000002</v>
      </c>
      <c r="BQ3778">
        <v>1.51</v>
      </c>
      <c r="BR3778">
        <v>1.83</v>
      </c>
      <c r="BS3778">
        <v>0.41</v>
      </c>
      <c r="BT3778">
        <v>-1.56</v>
      </c>
      <c r="BU3778">
        <v>-0.25</v>
      </c>
      <c r="BV3778">
        <v>0.08</v>
      </c>
      <c r="BW3778">
        <v>-0.12</v>
      </c>
      <c r="BX3778">
        <v>0.65</v>
      </c>
      <c r="BY3778">
        <v>-0.31</v>
      </c>
      <c r="BZ3778">
        <v>-0.53</v>
      </c>
      <c r="CA3778">
        <v>0.24</v>
      </c>
      <c r="CB3778">
        <v>0.39</v>
      </c>
      <c r="CC3778">
        <v>-0.09</v>
      </c>
      <c r="CD3778">
        <v>-0.14000000000000001</v>
      </c>
      <c r="CE3778">
        <v>0.61</v>
      </c>
      <c r="CF3778">
        <v>0.97</v>
      </c>
      <c r="CG3778">
        <v>0</v>
      </c>
      <c r="CH3778">
        <v>0.38</v>
      </c>
      <c r="CI3778">
        <v>0</v>
      </c>
      <c r="CJ3778">
        <v>-1.5</v>
      </c>
      <c r="CK3778">
        <v>81</v>
      </c>
      <c r="CL3778">
        <v>-0.66</v>
      </c>
      <c r="CM3778">
        <v>79</v>
      </c>
      <c r="CN3778">
        <v>-0.39</v>
      </c>
      <c r="CO3778">
        <v>76</v>
      </c>
      <c r="CP3778">
        <v>-3.1</v>
      </c>
      <c r="CQ3778">
        <v>86</v>
      </c>
      <c r="CR3778">
        <v>0</v>
      </c>
      <c r="CS3778">
        <v>0</v>
      </c>
      <c r="CT3778">
        <v>8</v>
      </c>
      <c r="CU3778">
        <v>81</v>
      </c>
      <c r="CV3778">
        <v>7.0000000000000007E-2</v>
      </c>
      <c r="CW3778">
        <v>42</v>
      </c>
      <c r="CX3778" t="s">
        <v>485</v>
      </c>
    </row>
    <row r="3779" spans="1:102" x14ac:dyDescent="0.3">
      <c r="A3779" t="str">
        <f>HYPERLINK("https://webapp.icbf.com/v2/app/bull-search/view/69091807","GUT")</f>
        <v>GUT</v>
      </c>
      <c r="B3779" t="s">
        <v>10715</v>
      </c>
      <c r="C3779" t="s">
        <v>4204</v>
      </c>
      <c r="D3779" s="1">
        <v>33531</v>
      </c>
      <c r="E3779" t="s">
        <v>140</v>
      </c>
      <c r="F3779">
        <v>0</v>
      </c>
      <c r="G3779" t="s">
        <v>93</v>
      </c>
      <c r="H3779">
        <v>-61.72</v>
      </c>
      <c r="I3779">
        <v>83</v>
      </c>
      <c r="J3779">
        <v>-32.33</v>
      </c>
      <c r="K3779">
        <v>96</v>
      </c>
      <c r="L3779">
        <v>-15.47</v>
      </c>
      <c r="M3779">
        <v>72</v>
      </c>
      <c r="N3779">
        <v>-42.63</v>
      </c>
      <c r="O3779">
        <v>81</v>
      </c>
      <c r="P3779">
        <v>3.88</v>
      </c>
      <c r="Q3779">
        <v>93</v>
      </c>
      <c r="R3779">
        <v>2.61</v>
      </c>
      <c r="S3779">
        <v>73</v>
      </c>
      <c r="T3779">
        <v>29.74</v>
      </c>
      <c r="U3779">
        <v>89</v>
      </c>
      <c r="V3779">
        <v>-7.52</v>
      </c>
      <c r="W3779">
        <v>57</v>
      </c>
      <c r="X3779" t="s">
        <v>94</v>
      </c>
      <c r="Y3779" t="s">
        <v>95</v>
      </c>
      <c r="Z3779">
        <v>0</v>
      </c>
      <c r="AA3779" t="s">
        <v>10716</v>
      </c>
      <c r="AB3779" t="s">
        <v>10717</v>
      </c>
      <c r="AC3779">
        <v>116</v>
      </c>
      <c r="AD3779">
        <v>53</v>
      </c>
      <c r="AE3779">
        <v>96</v>
      </c>
      <c r="AF3779">
        <v>-208.07</v>
      </c>
      <c r="AG3779">
        <v>-12.56</v>
      </c>
      <c r="AH3779">
        <v>-4.24</v>
      </c>
      <c r="AI3779">
        <v>-0.08</v>
      </c>
      <c r="AJ3779">
        <v>0.05</v>
      </c>
      <c r="AK3779">
        <v>72</v>
      </c>
      <c r="AL3779">
        <v>141</v>
      </c>
      <c r="AM3779">
        <v>68</v>
      </c>
      <c r="AN3779">
        <v>2.68</v>
      </c>
      <c r="AO3779">
        <v>1.47</v>
      </c>
      <c r="AP3779">
        <v>29</v>
      </c>
      <c r="AQ3779">
        <v>0</v>
      </c>
      <c r="AR3779">
        <v>9.48</v>
      </c>
      <c r="AS3779">
        <v>58</v>
      </c>
      <c r="AT3779">
        <v>5.04</v>
      </c>
      <c r="AU3779">
        <v>75</v>
      </c>
      <c r="AV3779">
        <v>2.78</v>
      </c>
      <c r="AW3779">
        <v>94</v>
      </c>
      <c r="AX3779">
        <v>-0.36</v>
      </c>
      <c r="AY3779">
        <v>85</v>
      </c>
      <c r="AZ3779">
        <v>5.23</v>
      </c>
      <c r="BA3779">
        <v>52</v>
      </c>
      <c r="BB3779">
        <v>4.46</v>
      </c>
      <c r="BC3779">
        <v>68</v>
      </c>
      <c r="BD3779">
        <v>0</v>
      </c>
      <c r="BE3779">
        <v>0</v>
      </c>
      <c r="BF3779">
        <v>-0.06</v>
      </c>
      <c r="BG3779">
        <v>87</v>
      </c>
      <c r="BH3779">
        <v>-0.39</v>
      </c>
      <c r="BI3779">
        <v>-20.87</v>
      </c>
      <c r="BJ3779">
        <v>0</v>
      </c>
      <c r="BK3779">
        <v>0</v>
      </c>
      <c r="BL3779">
        <v>-0.9</v>
      </c>
      <c r="BM3779">
        <v>2.8</v>
      </c>
      <c r="BN3779">
        <v>-2.15</v>
      </c>
      <c r="BO3779">
        <v>-2.87</v>
      </c>
      <c r="BP3779">
        <v>4.68</v>
      </c>
      <c r="BQ3779">
        <v>-2.63</v>
      </c>
      <c r="BR3779">
        <v>-2.91</v>
      </c>
      <c r="BS3779">
        <v>-0.3</v>
      </c>
      <c r="BT3779">
        <v>2.73</v>
      </c>
      <c r="BU3779">
        <v>-3.61</v>
      </c>
      <c r="BV3779">
        <v>-4.07</v>
      </c>
      <c r="BW3779">
        <v>-2.98</v>
      </c>
      <c r="BX3779">
        <v>-2.85</v>
      </c>
      <c r="BY3779">
        <v>-2.62</v>
      </c>
      <c r="BZ3779">
        <v>1.1499999999999999</v>
      </c>
      <c r="CA3779">
        <v>-2.42</v>
      </c>
      <c r="CB3779">
        <v>-3.15</v>
      </c>
      <c r="CC3779">
        <v>-0.33</v>
      </c>
      <c r="CD3779">
        <v>3.67</v>
      </c>
      <c r="CE3779">
        <v>-3.05</v>
      </c>
      <c r="CF3779">
        <v>-1.37</v>
      </c>
      <c r="CG3779">
        <v>0</v>
      </c>
      <c r="CH3779">
        <v>-2.37</v>
      </c>
      <c r="CI3779">
        <v>0</v>
      </c>
      <c r="CJ3779">
        <v>-1</v>
      </c>
      <c r="CK3779">
        <v>94</v>
      </c>
      <c r="CL3779">
        <v>0.3</v>
      </c>
      <c r="CM3779">
        <v>93</v>
      </c>
      <c r="CN3779">
        <v>-0.36</v>
      </c>
      <c r="CO3779">
        <v>92</v>
      </c>
      <c r="CP3779">
        <v>-13.7</v>
      </c>
      <c r="CQ3779">
        <v>93</v>
      </c>
      <c r="CR3779">
        <v>0</v>
      </c>
      <c r="CS3779">
        <v>0</v>
      </c>
      <c r="CT3779">
        <v>-26.4</v>
      </c>
      <c r="CU3779">
        <v>89</v>
      </c>
      <c r="CV3779">
        <v>-0.27</v>
      </c>
      <c r="CW3779">
        <v>27</v>
      </c>
      <c r="CX3779" t="s">
        <v>10718</v>
      </c>
    </row>
    <row r="3780" spans="1:102" x14ac:dyDescent="0.3">
      <c r="A3780" t="str">
        <f>HYPERLINK("https://webapp.icbf.com/v2/app/bull-search/view/229601749","SVI")</f>
        <v>SVI</v>
      </c>
      <c r="B3780" t="s">
        <v>2869</v>
      </c>
      <c r="C3780" t="s">
        <v>2870</v>
      </c>
      <c r="D3780" s="1">
        <v>36012</v>
      </c>
      <c r="E3780" t="s">
        <v>92</v>
      </c>
      <c r="F3780">
        <v>100</v>
      </c>
      <c r="G3780" t="s">
        <v>93</v>
      </c>
      <c r="H3780">
        <v>-61.77</v>
      </c>
      <c r="I3780">
        <v>84</v>
      </c>
      <c r="J3780">
        <v>24.01</v>
      </c>
      <c r="K3780">
        <v>94</v>
      </c>
      <c r="L3780">
        <v>-93.65</v>
      </c>
      <c r="M3780">
        <v>85</v>
      </c>
      <c r="N3780">
        <v>7.71</v>
      </c>
      <c r="O3780">
        <v>79</v>
      </c>
      <c r="P3780">
        <v>-0.09</v>
      </c>
      <c r="Q3780">
        <v>79</v>
      </c>
      <c r="R3780">
        <v>-4.3600000000000003</v>
      </c>
      <c r="S3780">
        <v>77</v>
      </c>
      <c r="T3780">
        <v>-2.97</v>
      </c>
      <c r="U3780">
        <v>69</v>
      </c>
      <c r="V3780">
        <v>7.58</v>
      </c>
      <c r="W3780">
        <v>65</v>
      </c>
      <c r="X3780" t="s">
        <v>276</v>
      </c>
      <c r="Y3780" t="s">
        <v>95</v>
      </c>
      <c r="Z3780" t="s">
        <v>96</v>
      </c>
      <c r="AA3780" t="s">
        <v>901</v>
      </c>
      <c r="AB3780" t="s">
        <v>2871</v>
      </c>
      <c r="AC3780">
        <v>31</v>
      </c>
      <c r="AD3780">
        <v>14</v>
      </c>
      <c r="AE3780">
        <v>94</v>
      </c>
      <c r="AF3780">
        <v>376.84</v>
      </c>
      <c r="AG3780">
        <v>-0.39</v>
      </c>
      <c r="AH3780">
        <v>9.99</v>
      </c>
      <c r="AI3780">
        <v>-0.25</v>
      </c>
      <c r="AJ3780">
        <v>-0.05</v>
      </c>
      <c r="AK3780">
        <v>85</v>
      </c>
      <c r="AL3780">
        <v>31</v>
      </c>
      <c r="AM3780">
        <v>10</v>
      </c>
      <c r="AN3780">
        <v>5.01</v>
      </c>
      <c r="AO3780">
        <v>-2.46</v>
      </c>
      <c r="AP3780">
        <v>60</v>
      </c>
      <c r="AQ3780">
        <v>4</v>
      </c>
      <c r="AR3780">
        <v>6.9</v>
      </c>
      <c r="AS3780">
        <v>70</v>
      </c>
      <c r="AT3780">
        <v>3.85</v>
      </c>
      <c r="AU3780">
        <v>92</v>
      </c>
      <c r="AV3780">
        <v>-1.46</v>
      </c>
      <c r="AW3780">
        <v>86</v>
      </c>
      <c r="AX3780">
        <v>-0.84</v>
      </c>
      <c r="AY3780">
        <v>67</v>
      </c>
      <c r="AZ3780">
        <v>7.69</v>
      </c>
      <c r="BA3780">
        <v>54</v>
      </c>
      <c r="BB3780">
        <v>4.9000000000000004</v>
      </c>
      <c r="BC3780">
        <v>55</v>
      </c>
      <c r="BD3780">
        <v>-0.01</v>
      </c>
      <c r="BE3780">
        <v>0.03</v>
      </c>
      <c r="BF3780">
        <v>0.06</v>
      </c>
      <c r="BG3780">
        <v>91</v>
      </c>
      <c r="BH3780">
        <v>0.19</v>
      </c>
      <c r="BI3780">
        <v>-2.48</v>
      </c>
      <c r="BJ3780">
        <v>23</v>
      </c>
      <c r="BK3780">
        <v>7</v>
      </c>
      <c r="BL3780">
        <v>1.1000000000000001</v>
      </c>
      <c r="BM3780">
        <v>0.32</v>
      </c>
      <c r="BN3780">
        <v>0.11</v>
      </c>
      <c r="BO3780">
        <v>0.35</v>
      </c>
      <c r="BP3780">
        <v>1.1100000000000001</v>
      </c>
      <c r="BQ3780">
        <v>1.51</v>
      </c>
      <c r="BR3780">
        <v>-1.49</v>
      </c>
      <c r="BS3780">
        <v>1.18</v>
      </c>
      <c r="BT3780">
        <v>1.78</v>
      </c>
      <c r="BU3780">
        <v>1.1499999999999999</v>
      </c>
      <c r="BV3780">
        <v>0.91</v>
      </c>
      <c r="BW3780">
        <v>1.2</v>
      </c>
      <c r="BX3780">
        <v>0.25</v>
      </c>
      <c r="BY3780">
        <v>0.35</v>
      </c>
      <c r="BZ3780">
        <v>0.44</v>
      </c>
      <c r="CA3780">
        <v>0.87</v>
      </c>
      <c r="CB3780">
        <v>0.96</v>
      </c>
      <c r="CC3780">
        <v>0.63</v>
      </c>
      <c r="CD3780">
        <v>0.57999999999999996</v>
      </c>
      <c r="CE3780">
        <v>-0.09</v>
      </c>
      <c r="CF3780">
        <v>-0.19</v>
      </c>
      <c r="CG3780">
        <v>0</v>
      </c>
      <c r="CH3780">
        <v>0.34</v>
      </c>
      <c r="CI3780">
        <v>0</v>
      </c>
      <c r="CJ3780">
        <v>3</v>
      </c>
      <c r="CK3780">
        <v>81</v>
      </c>
      <c r="CL3780">
        <v>-0.75</v>
      </c>
      <c r="CM3780">
        <v>78</v>
      </c>
      <c r="CN3780">
        <v>-0.26</v>
      </c>
      <c r="CO3780">
        <v>76</v>
      </c>
      <c r="CP3780">
        <v>3.1</v>
      </c>
      <c r="CQ3780">
        <v>78</v>
      </c>
      <c r="CR3780">
        <v>0</v>
      </c>
      <c r="CS3780">
        <v>0</v>
      </c>
      <c r="CT3780">
        <v>17.8</v>
      </c>
      <c r="CU3780">
        <v>69</v>
      </c>
      <c r="CV3780">
        <v>0.24</v>
      </c>
      <c r="CW3780">
        <v>42</v>
      </c>
      <c r="CX3780" t="s">
        <v>678</v>
      </c>
    </row>
    <row r="3781" spans="1:102" x14ac:dyDescent="0.3">
      <c r="A3781" t="str">
        <f>HYPERLINK("https://webapp.icbf.com/v2/app/bull-search/view/77858953","CKS")</f>
        <v>CKS</v>
      </c>
      <c r="B3781" t="s">
        <v>6612</v>
      </c>
      <c r="C3781" t="s">
        <v>6613</v>
      </c>
      <c r="D3781" s="1">
        <v>33284</v>
      </c>
      <c r="E3781" t="s">
        <v>92</v>
      </c>
      <c r="F3781">
        <v>63</v>
      </c>
      <c r="G3781" t="s">
        <v>93</v>
      </c>
      <c r="H3781">
        <v>-62.01</v>
      </c>
      <c r="I3781">
        <v>73</v>
      </c>
      <c r="J3781">
        <v>-63.2</v>
      </c>
      <c r="K3781">
        <v>90</v>
      </c>
      <c r="L3781">
        <v>20.239999999999998</v>
      </c>
      <c r="M3781">
        <v>68</v>
      </c>
      <c r="N3781">
        <v>-33.200000000000003</v>
      </c>
      <c r="O3781">
        <v>56</v>
      </c>
      <c r="P3781">
        <v>-11</v>
      </c>
      <c r="Q3781">
        <v>76</v>
      </c>
      <c r="R3781">
        <v>1.39</v>
      </c>
      <c r="S3781">
        <v>68</v>
      </c>
      <c r="T3781">
        <v>20.86</v>
      </c>
      <c r="U3781">
        <v>67</v>
      </c>
      <c r="V3781">
        <v>2.9</v>
      </c>
      <c r="W3781">
        <v>28</v>
      </c>
      <c r="X3781" t="s">
        <v>94</v>
      </c>
      <c r="Y3781" t="s">
        <v>95</v>
      </c>
      <c r="Z3781" t="s">
        <v>96</v>
      </c>
      <c r="AA3781" t="s">
        <v>982</v>
      </c>
      <c r="AB3781" t="s">
        <v>6614</v>
      </c>
      <c r="AC3781">
        <v>56</v>
      </c>
      <c r="AD3781">
        <v>44</v>
      </c>
      <c r="AE3781">
        <v>90</v>
      </c>
      <c r="AF3781">
        <v>-333.81</v>
      </c>
      <c r="AG3781">
        <v>1.22</v>
      </c>
      <c r="AH3781">
        <v>-16.29</v>
      </c>
      <c r="AI3781">
        <v>0.25</v>
      </c>
      <c r="AJ3781">
        <v>-0.08</v>
      </c>
      <c r="AK3781">
        <v>68</v>
      </c>
      <c r="AL3781">
        <v>132</v>
      </c>
      <c r="AM3781">
        <v>80</v>
      </c>
      <c r="AN3781">
        <v>-2.2000000000000002</v>
      </c>
      <c r="AO3781">
        <v>-0.6</v>
      </c>
      <c r="AP3781">
        <v>8</v>
      </c>
      <c r="AQ3781">
        <v>0</v>
      </c>
      <c r="AR3781">
        <v>10.86</v>
      </c>
      <c r="AS3781">
        <v>31</v>
      </c>
      <c r="AT3781">
        <v>4.0999999999999996</v>
      </c>
      <c r="AU3781">
        <v>54</v>
      </c>
      <c r="AV3781">
        <v>0.79</v>
      </c>
      <c r="AW3781">
        <v>62</v>
      </c>
      <c r="AX3781">
        <v>-0.44</v>
      </c>
      <c r="AY3781">
        <v>66</v>
      </c>
      <c r="AZ3781">
        <v>7.88</v>
      </c>
      <c r="BA3781">
        <v>33</v>
      </c>
      <c r="BB3781">
        <v>6.14</v>
      </c>
      <c r="BC3781">
        <v>50</v>
      </c>
      <c r="BD3781">
        <v>0</v>
      </c>
      <c r="BE3781">
        <v>0.02</v>
      </c>
      <c r="BF3781">
        <v>-7.0000000000000007E-2</v>
      </c>
      <c r="BG3781">
        <v>88</v>
      </c>
      <c r="BH3781">
        <v>0.1</v>
      </c>
      <c r="BI3781">
        <v>2.2000000000000002</v>
      </c>
      <c r="BJ3781">
        <v>18</v>
      </c>
      <c r="BK3781">
        <v>18</v>
      </c>
      <c r="BL3781">
        <v>-1.1399999999999999</v>
      </c>
      <c r="BM3781">
        <v>0.88</v>
      </c>
      <c r="BN3781">
        <v>-1.41</v>
      </c>
      <c r="BO3781">
        <v>-1.58</v>
      </c>
      <c r="BP3781">
        <v>0.45</v>
      </c>
      <c r="BQ3781">
        <v>0.06</v>
      </c>
      <c r="BR3781">
        <v>0.41</v>
      </c>
      <c r="BS3781">
        <v>-0.43</v>
      </c>
      <c r="BT3781">
        <v>-0.2</v>
      </c>
      <c r="BU3781">
        <v>-0.8</v>
      </c>
      <c r="BV3781">
        <v>-0.84</v>
      </c>
      <c r="BW3781">
        <v>-1.74</v>
      </c>
      <c r="BX3781">
        <v>0.19</v>
      </c>
      <c r="BY3781">
        <v>0.53</v>
      </c>
      <c r="BZ3781">
        <v>-2.15</v>
      </c>
      <c r="CA3781">
        <v>-1.26</v>
      </c>
      <c r="CB3781">
        <v>-0.93</v>
      </c>
      <c r="CC3781">
        <v>-1.57</v>
      </c>
      <c r="CD3781">
        <v>1.06</v>
      </c>
      <c r="CE3781">
        <v>-1.73</v>
      </c>
      <c r="CF3781">
        <v>-1.02</v>
      </c>
      <c r="CG3781">
        <v>0</v>
      </c>
      <c r="CH3781">
        <v>-1.1100000000000001</v>
      </c>
      <c r="CI3781">
        <v>0</v>
      </c>
      <c r="CJ3781">
        <v>-6.4</v>
      </c>
      <c r="CK3781">
        <v>77</v>
      </c>
      <c r="CL3781">
        <v>-0.12</v>
      </c>
      <c r="CM3781">
        <v>74</v>
      </c>
      <c r="CN3781">
        <v>-0.1</v>
      </c>
      <c r="CO3781">
        <v>70</v>
      </c>
      <c r="CP3781">
        <v>-14</v>
      </c>
      <c r="CQ3781">
        <v>80</v>
      </c>
      <c r="CR3781">
        <v>0</v>
      </c>
      <c r="CS3781">
        <v>0</v>
      </c>
      <c r="CT3781">
        <v>-14.4</v>
      </c>
      <c r="CU3781">
        <v>67</v>
      </c>
      <c r="CV3781">
        <v>-0.11</v>
      </c>
      <c r="CW3781">
        <v>21</v>
      </c>
      <c r="CX3781" t="s">
        <v>911</v>
      </c>
    </row>
    <row r="3782" spans="1:102" x14ac:dyDescent="0.3">
      <c r="A3782" t="str">
        <f>HYPERLINK("https://webapp.icbf.com/v2/app/bull-search/view/77855689","LGO")</f>
        <v>LGO</v>
      </c>
      <c r="B3782" t="s">
        <v>4958</v>
      </c>
      <c r="C3782" t="s">
        <v>4959</v>
      </c>
      <c r="D3782" s="1">
        <v>32791</v>
      </c>
      <c r="E3782" t="s">
        <v>92</v>
      </c>
      <c r="F3782">
        <v>100</v>
      </c>
      <c r="G3782" t="s">
        <v>109</v>
      </c>
      <c r="H3782">
        <v>-62.02</v>
      </c>
      <c r="I3782">
        <v>76</v>
      </c>
      <c r="J3782">
        <v>-1.54</v>
      </c>
      <c r="K3782">
        <v>89</v>
      </c>
      <c r="L3782">
        <v>-94.87</v>
      </c>
      <c r="M3782">
        <v>79</v>
      </c>
      <c r="N3782">
        <v>15.06</v>
      </c>
      <c r="O3782">
        <v>61</v>
      </c>
      <c r="P3782">
        <v>15.98</v>
      </c>
      <c r="Q3782">
        <v>70</v>
      </c>
      <c r="R3782">
        <v>-11.64</v>
      </c>
      <c r="S3782">
        <v>64</v>
      </c>
      <c r="T3782">
        <v>15.23</v>
      </c>
      <c r="U3782">
        <v>64</v>
      </c>
      <c r="V3782">
        <v>-0.24</v>
      </c>
      <c r="W3782">
        <v>31</v>
      </c>
      <c r="X3782" t="s">
        <v>110</v>
      </c>
      <c r="Y3782" t="s">
        <v>95</v>
      </c>
      <c r="Z3782" t="s">
        <v>96</v>
      </c>
      <c r="AA3782" t="s">
        <v>4960</v>
      </c>
      <c r="AB3782" t="s">
        <v>4961</v>
      </c>
      <c r="AC3782">
        <v>24</v>
      </c>
      <c r="AD3782">
        <v>22</v>
      </c>
      <c r="AE3782">
        <v>89</v>
      </c>
      <c r="AF3782">
        <v>201.05</v>
      </c>
      <c r="AG3782">
        <v>0.78</v>
      </c>
      <c r="AH3782">
        <v>2.54</v>
      </c>
      <c r="AI3782">
        <v>-0.11</v>
      </c>
      <c r="AJ3782">
        <v>-7.0000000000000007E-2</v>
      </c>
      <c r="AK3782">
        <v>79</v>
      </c>
      <c r="AL3782">
        <v>0</v>
      </c>
      <c r="AM3782">
        <v>0</v>
      </c>
      <c r="AN3782">
        <v>5.65</v>
      </c>
      <c r="AO3782">
        <v>-1.91</v>
      </c>
      <c r="AP3782">
        <v>2</v>
      </c>
      <c r="AQ3782">
        <v>1</v>
      </c>
      <c r="AR3782">
        <v>7.26</v>
      </c>
      <c r="AS3782">
        <v>29</v>
      </c>
      <c r="AT3782">
        <v>3.15</v>
      </c>
      <c r="AU3782">
        <v>87</v>
      </c>
      <c r="AV3782">
        <v>-1.61</v>
      </c>
      <c r="AW3782">
        <v>61</v>
      </c>
      <c r="AX3782">
        <v>-0.84</v>
      </c>
      <c r="AY3782">
        <v>63</v>
      </c>
      <c r="AZ3782">
        <v>6.2</v>
      </c>
      <c r="BA3782">
        <v>29</v>
      </c>
      <c r="BB3782">
        <v>5.17</v>
      </c>
      <c r="BC3782">
        <v>35</v>
      </c>
      <c r="BD3782">
        <v>7.0000000000000007E-2</v>
      </c>
      <c r="BE3782">
        <v>0.09</v>
      </c>
      <c r="BF3782">
        <v>-0.02</v>
      </c>
      <c r="BG3782">
        <v>87</v>
      </c>
      <c r="BH3782">
        <v>-0.11</v>
      </c>
      <c r="BI3782">
        <v>-11.94</v>
      </c>
      <c r="BJ3782">
        <v>12</v>
      </c>
      <c r="BK3782">
        <v>6</v>
      </c>
      <c r="BL3782">
        <v>0.91</v>
      </c>
      <c r="BM3782">
        <v>0.17</v>
      </c>
      <c r="BN3782">
        <v>1.47</v>
      </c>
      <c r="BO3782">
        <v>1.24</v>
      </c>
      <c r="BP3782">
        <v>-3.16</v>
      </c>
      <c r="BQ3782">
        <v>1.71</v>
      </c>
      <c r="BR3782">
        <v>2.34</v>
      </c>
      <c r="BS3782">
        <v>-2.82</v>
      </c>
      <c r="BT3782">
        <v>-1.93</v>
      </c>
      <c r="BU3782">
        <v>1.95</v>
      </c>
      <c r="BV3782">
        <v>0.9</v>
      </c>
      <c r="BW3782">
        <v>1.1200000000000001</v>
      </c>
      <c r="BX3782">
        <v>1.49</v>
      </c>
      <c r="BY3782">
        <v>0.02</v>
      </c>
      <c r="BZ3782">
        <v>1.5</v>
      </c>
      <c r="CA3782">
        <v>0.1</v>
      </c>
      <c r="CB3782">
        <v>1.23</v>
      </c>
      <c r="CC3782">
        <v>-2.02</v>
      </c>
      <c r="CD3782">
        <v>-1.33</v>
      </c>
      <c r="CE3782">
        <v>0.65</v>
      </c>
      <c r="CF3782">
        <v>0.19</v>
      </c>
      <c r="CG3782">
        <v>0</v>
      </c>
      <c r="CH3782">
        <v>0.02</v>
      </c>
      <c r="CI3782">
        <v>0</v>
      </c>
      <c r="CJ3782">
        <v>11.9</v>
      </c>
      <c r="CK3782">
        <v>71</v>
      </c>
      <c r="CL3782">
        <v>-0.56000000000000005</v>
      </c>
      <c r="CM3782">
        <v>68</v>
      </c>
      <c r="CN3782">
        <v>-0.48</v>
      </c>
      <c r="CO3782">
        <v>63</v>
      </c>
      <c r="CP3782">
        <v>-1.9</v>
      </c>
      <c r="CQ3782">
        <v>76</v>
      </c>
      <c r="CR3782">
        <v>0</v>
      </c>
      <c r="CS3782">
        <v>0</v>
      </c>
      <c r="CT3782">
        <v>-6.8</v>
      </c>
      <c r="CU3782">
        <v>64</v>
      </c>
      <c r="CV3782">
        <v>0.4</v>
      </c>
      <c r="CW3782">
        <v>19</v>
      </c>
      <c r="CX3782" t="s">
        <v>543</v>
      </c>
    </row>
    <row r="3783" spans="1:102" x14ac:dyDescent="0.3">
      <c r="A3783" t="str">
        <f>HYPERLINK("https://webapp.icbf.com/v2/app/bull-search/view/495513418","DSZ")</f>
        <v>DSZ</v>
      </c>
      <c r="B3783" t="s">
        <v>7119</v>
      </c>
      <c r="C3783" t="s">
        <v>7120</v>
      </c>
      <c r="D3783" s="1">
        <v>37091</v>
      </c>
      <c r="E3783" t="s">
        <v>92</v>
      </c>
      <c r="F3783">
        <v>100</v>
      </c>
      <c r="G3783" t="s">
        <v>93</v>
      </c>
      <c r="H3783">
        <v>-62.06</v>
      </c>
      <c r="I3783">
        <v>91</v>
      </c>
      <c r="J3783">
        <v>59.13</v>
      </c>
      <c r="K3783">
        <v>98</v>
      </c>
      <c r="L3783">
        <v>-108.45</v>
      </c>
      <c r="M3783">
        <v>88</v>
      </c>
      <c r="N3783">
        <v>-17.47</v>
      </c>
      <c r="O3783">
        <v>88</v>
      </c>
      <c r="P3783">
        <v>0.82</v>
      </c>
      <c r="Q3783">
        <v>90</v>
      </c>
      <c r="R3783">
        <v>3.73</v>
      </c>
      <c r="S3783">
        <v>83</v>
      </c>
      <c r="T3783">
        <v>5.32</v>
      </c>
      <c r="U3783">
        <v>91</v>
      </c>
      <c r="V3783">
        <v>-5.14</v>
      </c>
      <c r="W3783">
        <v>81</v>
      </c>
      <c r="X3783" t="s">
        <v>276</v>
      </c>
      <c r="Y3783" t="s">
        <v>221</v>
      </c>
      <c r="Z3783" t="s">
        <v>96</v>
      </c>
      <c r="AA3783" t="s">
        <v>7121</v>
      </c>
      <c r="AB3783" t="s">
        <v>7122</v>
      </c>
      <c r="AC3783">
        <v>145</v>
      </c>
      <c r="AD3783">
        <v>53</v>
      </c>
      <c r="AE3783">
        <v>98</v>
      </c>
      <c r="AF3783">
        <v>337.91</v>
      </c>
      <c r="AG3783">
        <v>8.56</v>
      </c>
      <c r="AH3783">
        <v>12.2</v>
      </c>
      <c r="AI3783">
        <v>-0.08</v>
      </c>
      <c r="AJ3783">
        <v>0.01</v>
      </c>
      <c r="AK3783">
        <v>88</v>
      </c>
      <c r="AL3783">
        <v>167</v>
      </c>
      <c r="AM3783">
        <v>73</v>
      </c>
      <c r="AN3783">
        <v>7.39</v>
      </c>
      <c r="AO3783">
        <v>-1.24</v>
      </c>
      <c r="AP3783">
        <v>184</v>
      </c>
      <c r="AQ3783">
        <v>1</v>
      </c>
      <c r="AR3783">
        <v>11.21</v>
      </c>
      <c r="AS3783">
        <v>85</v>
      </c>
      <c r="AT3783">
        <v>4.74</v>
      </c>
      <c r="AU3783">
        <v>87</v>
      </c>
      <c r="AV3783">
        <v>-0.6</v>
      </c>
      <c r="AW3783">
        <v>95</v>
      </c>
      <c r="AX3783">
        <v>-0.39</v>
      </c>
      <c r="AY3783">
        <v>85</v>
      </c>
      <c r="AZ3783">
        <v>5.34</v>
      </c>
      <c r="BA3783">
        <v>71</v>
      </c>
      <c r="BB3783">
        <v>4.21</v>
      </c>
      <c r="BC3783">
        <v>72</v>
      </c>
      <c r="BD3783">
        <v>-0.01</v>
      </c>
      <c r="BE3783">
        <v>-0.01</v>
      </c>
      <c r="BF3783">
        <v>-0.05</v>
      </c>
      <c r="BG3783">
        <v>94</v>
      </c>
      <c r="BH3783">
        <v>-0.04</v>
      </c>
      <c r="BI3783">
        <v>11.96</v>
      </c>
      <c r="BJ3783">
        <v>17</v>
      </c>
      <c r="BK3783">
        <v>10</v>
      </c>
      <c r="BL3783">
        <v>0.72</v>
      </c>
      <c r="BM3783">
        <v>0.13</v>
      </c>
      <c r="BN3783">
        <v>0.34</v>
      </c>
      <c r="BO3783">
        <v>0.57999999999999996</v>
      </c>
      <c r="BP3783">
        <v>-1.87</v>
      </c>
      <c r="BQ3783">
        <v>0.94</v>
      </c>
      <c r="BR3783">
        <v>0.63</v>
      </c>
      <c r="BS3783">
        <v>-0.41</v>
      </c>
      <c r="BT3783">
        <v>-0.82</v>
      </c>
      <c r="BU3783">
        <v>0.24</v>
      </c>
      <c r="BV3783">
        <v>0.73</v>
      </c>
      <c r="BW3783">
        <v>-1</v>
      </c>
      <c r="BX3783">
        <v>-0.02</v>
      </c>
      <c r="BY3783">
        <v>-0.68</v>
      </c>
      <c r="BZ3783">
        <v>-0.6</v>
      </c>
      <c r="CA3783">
        <v>0.35</v>
      </c>
      <c r="CB3783">
        <v>0.38</v>
      </c>
      <c r="CC3783">
        <v>-0.05</v>
      </c>
      <c r="CD3783">
        <v>-0.36</v>
      </c>
      <c r="CE3783">
        <v>0.8</v>
      </c>
      <c r="CF3783">
        <v>0.39</v>
      </c>
      <c r="CG3783">
        <v>0</v>
      </c>
      <c r="CH3783">
        <v>-0.73</v>
      </c>
      <c r="CI3783">
        <v>0</v>
      </c>
      <c r="CJ3783">
        <v>4.2</v>
      </c>
      <c r="CK3783">
        <v>91</v>
      </c>
      <c r="CL3783">
        <v>-0.73</v>
      </c>
      <c r="CM3783">
        <v>89</v>
      </c>
      <c r="CN3783">
        <v>-0.24</v>
      </c>
      <c r="CO3783">
        <v>88</v>
      </c>
      <c r="CP3783">
        <v>-1.7</v>
      </c>
      <c r="CQ3783">
        <v>92</v>
      </c>
      <c r="CR3783">
        <v>0</v>
      </c>
      <c r="CS3783">
        <v>0</v>
      </c>
      <c r="CT3783">
        <v>6.6</v>
      </c>
      <c r="CU3783">
        <v>91</v>
      </c>
      <c r="CV3783">
        <v>0.31</v>
      </c>
      <c r="CW3783">
        <v>44</v>
      </c>
      <c r="CX3783" t="s">
        <v>3222</v>
      </c>
    </row>
    <row r="3784" spans="1:102" x14ac:dyDescent="0.3">
      <c r="A3784" t="str">
        <f>HYPERLINK("https://webapp.icbf.com/v2/app/bull-search/view/480920608","FDZ")</f>
        <v>FDZ</v>
      </c>
      <c r="B3784" t="s">
        <v>1429</v>
      </c>
      <c r="C3784" t="s">
        <v>1430</v>
      </c>
      <c r="D3784" s="1">
        <v>38022</v>
      </c>
      <c r="E3784" t="s">
        <v>92</v>
      </c>
      <c r="F3784">
        <v>100</v>
      </c>
      <c r="G3784" t="s">
        <v>93</v>
      </c>
      <c r="H3784">
        <v>-62.09</v>
      </c>
      <c r="I3784">
        <v>75</v>
      </c>
      <c r="J3784">
        <v>33.130000000000003</v>
      </c>
      <c r="K3784">
        <v>95</v>
      </c>
      <c r="L3784">
        <v>-73.37</v>
      </c>
      <c r="M3784">
        <v>57</v>
      </c>
      <c r="N3784">
        <v>1.96</v>
      </c>
      <c r="O3784">
        <v>76</v>
      </c>
      <c r="P3784">
        <v>-12.52</v>
      </c>
      <c r="Q3784">
        <v>85</v>
      </c>
      <c r="R3784">
        <v>-9.2899999999999991</v>
      </c>
      <c r="S3784">
        <v>63</v>
      </c>
      <c r="T3784">
        <v>-4.3</v>
      </c>
      <c r="U3784">
        <v>81</v>
      </c>
      <c r="V3784">
        <v>2.2999999999999998</v>
      </c>
      <c r="W3784">
        <v>40</v>
      </c>
      <c r="X3784" t="s">
        <v>288</v>
      </c>
      <c r="Y3784" t="s">
        <v>1164</v>
      </c>
      <c r="Z3784" t="s">
        <v>96</v>
      </c>
      <c r="AA3784" t="s">
        <v>1431</v>
      </c>
      <c r="AB3784" t="s">
        <v>1432</v>
      </c>
      <c r="AC3784">
        <v>81</v>
      </c>
      <c r="AD3784">
        <v>46</v>
      </c>
      <c r="AE3784">
        <v>95</v>
      </c>
      <c r="AF3784">
        <v>236.69</v>
      </c>
      <c r="AG3784">
        <v>8.36</v>
      </c>
      <c r="AH3784">
        <v>6.3</v>
      </c>
      <c r="AI3784">
        <v>-0.01</v>
      </c>
      <c r="AJ3784">
        <v>-0.03</v>
      </c>
      <c r="AK3784">
        <v>57</v>
      </c>
      <c r="AL3784">
        <v>64</v>
      </c>
      <c r="AM3784">
        <v>39</v>
      </c>
      <c r="AN3784">
        <v>4.0599999999999996</v>
      </c>
      <c r="AO3784">
        <v>-1.79</v>
      </c>
      <c r="AP3784">
        <v>149</v>
      </c>
      <c r="AQ3784">
        <v>8</v>
      </c>
      <c r="AR3784">
        <v>10.1</v>
      </c>
      <c r="AS3784">
        <v>58</v>
      </c>
      <c r="AT3784">
        <v>4.2699999999999996</v>
      </c>
      <c r="AU3784">
        <v>81</v>
      </c>
      <c r="AV3784">
        <v>-3.6</v>
      </c>
      <c r="AW3784">
        <v>89</v>
      </c>
      <c r="AX3784">
        <v>0.98</v>
      </c>
      <c r="AY3784">
        <v>75</v>
      </c>
      <c r="AZ3784">
        <v>8.0399999999999991</v>
      </c>
      <c r="BA3784">
        <v>47</v>
      </c>
      <c r="BB3784">
        <v>5.5</v>
      </c>
      <c r="BC3784">
        <v>45</v>
      </c>
      <c r="BD3784">
        <v>0.01</v>
      </c>
      <c r="BE3784">
        <v>0.03</v>
      </c>
      <c r="BF3784">
        <v>0.14000000000000001</v>
      </c>
      <c r="BG3784">
        <v>79</v>
      </c>
      <c r="BH3784">
        <v>0.08</v>
      </c>
      <c r="BI3784">
        <v>1.82</v>
      </c>
      <c r="BJ3784">
        <v>33</v>
      </c>
      <c r="BK3784">
        <v>19</v>
      </c>
      <c r="BL3784">
        <v>1.76</v>
      </c>
      <c r="BM3784">
        <v>-1.62</v>
      </c>
      <c r="BN3784">
        <v>-0.42</v>
      </c>
      <c r="BO3784">
        <v>0.93</v>
      </c>
      <c r="BP3784">
        <v>-0.28000000000000003</v>
      </c>
      <c r="BQ3784">
        <v>0.38</v>
      </c>
      <c r="BR3784">
        <v>0.8</v>
      </c>
      <c r="BS3784">
        <v>-0.74</v>
      </c>
      <c r="BT3784">
        <v>-1.66</v>
      </c>
      <c r="BU3784">
        <v>1.27</v>
      </c>
      <c r="BV3784">
        <v>1.83</v>
      </c>
      <c r="BW3784">
        <v>1.46</v>
      </c>
      <c r="BX3784">
        <v>2.19</v>
      </c>
      <c r="BY3784">
        <v>0.22</v>
      </c>
      <c r="BZ3784">
        <v>-2.29</v>
      </c>
      <c r="CA3784">
        <v>0.73</v>
      </c>
      <c r="CB3784">
        <v>0.84</v>
      </c>
      <c r="CC3784">
        <v>-0.02</v>
      </c>
      <c r="CD3784">
        <v>-1.21</v>
      </c>
      <c r="CE3784">
        <v>0.91</v>
      </c>
      <c r="CF3784">
        <v>0.9</v>
      </c>
      <c r="CG3784">
        <v>0</v>
      </c>
      <c r="CH3784">
        <v>0.48</v>
      </c>
      <c r="CI3784">
        <v>0</v>
      </c>
      <c r="CJ3784">
        <v>-5</v>
      </c>
      <c r="CK3784">
        <v>86</v>
      </c>
      <c r="CL3784">
        <v>-1.45</v>
      </c>
      <c r="CM3784">
        <v>83</v>
      </c>
      <c r="CN3784">
        <v>-0.77</v>
      </c>
      <c r="CO3784">
        <v>81</v>
      </c>
      <c r="CP3784">
        <v>2.2000000000000002</v>
      </c>
      <c r="CQ3784">
        <v>85</v>
      </c>
      <c r="CR3784">
        <v>0</v>
      </c>
      <c r="CS3784">
        <v>0</v>
      </c>
      <c r="CT3784">
        <v>19.600000000000001</v>
      </c>
      <c r="CU3784">
        <v>81</v>
      </c>
      <c r="CV3784">
        <v>0.28000000000000003</v>
      </c>
      <c r="CW3784">
        <v>24</v>
      </c>
      <c r="CX3784" t="s">
        <v>311</v>
      </c>
    </row>
    <row r="3785" spans="1:102" x14ac:dyDescent="0.3">
      <c r="A3785" t="str">
        <f>HYPERLINK("https://webapp.icbf.com/v2/app/bull-search/view/77855566","MCM")</f>
        <v>MCM</v>
      </c>
      <c r="B3785" t="s">
        <v>4166</v>
      </c>
      <c r="C3785" t="s">
        <v>4167</v>
      </c>
      <c r="D3785" s="1">
        <v>34859</v>
      </c>
      <c r="E3785" t="s">
        <v>92</v>
      </c>
      <c r="F3785">
        <v>100</v>
      </c>
      <c r="G3785" t="s">
        <v>93</v>
      </c>
      <c r="H3785">
        <v>-62.14</v>
      </c>
      <c r="I3785">
        <v>77</v>
      </c>
      <c r="J3785">
        <v>4.2</v>
      </c>
      <c r="K3785">
        <v>95</v>
      </c>
      <c r="L3785">
        <v>-53.92</v>
      </c>
      <c r="M3785">
        <v>68</v>
      </c>
      <c r="N3785">
        <v>-3.87</v>
      </c>
      <c r="O3785">
        <v>67</v>
      </c>
      <c r="P3785">
        <v>-8.25</v>
      </c>
      <c r="Q3785">
        <v>81</v>
      </c>
      <c r="R3785">
        <v>-7.96</v>
      </c>
      <c r="S3785">
        <v>71</v>
      </c>
      <c r="T3785">
        <v>7.46</v>
      </c>
      <c r="U3785">
        <v>74</v>
      </c>
      <c r="V3785">
        <v>0.2</v>
      </c>
      <c r="W3785">
        <v>42</v>
      </c>
      <c r="X3785" t="s">
        <v>94</v>
      </c>
      <c r="Y3785" t="s">
        <v>95</v>
      </c>
      <c r="Z3785" t="s">
        <v>96</v>
      </c>
      <c r="AA3785" t="s">
        <v>207</v>
      </c>
      <c r="AB3785" t="s">
        <v>4168</v>
      </c>
      <c r="AC3785">
        <v>96</v>
      </c>
      <c r="AD3785">
        <v>76</v>
      </c>
      <c r="AE3785">
        <v>95</v>
      </c>
      <c r="AF3785">
        <v>199.28</v>
      </c>
      <c r="AG3785">
        <v>-2.73</v>
      </c>
      <c r="AH3785">
        <v>4.7300000000000004</v>
      </c>
      <c r="AI3785">
        <v>-0.17</v>
      </c>
      <c r="AJ3785">
        <v>-0.03</v>
      </c>
      <c r="AK3785">
        <v>68</v>
      </c>
      <c r="AL3785">
        <v>101</v>
      </c>
      <c r="AM3785">
        <v>74</v>
      </c>
      <c r="AN3785">
        <v>3.73</v>
      </c>
      <c r="AO3785">
        <v>-0.56000000000000005</v>
      </c>
      <c r="AP3785">
        <v>10</v>
      </c>
      <c r="AQ3785">
        <v>9</v>
      </c>
      <c r="AR3785">
        <v>9.0299999999999994</v>
      </c>
      <c r="AS3785">
        <v>37</v>
      </c>
      <c r="AT3785">
        <v>3.83</v>
      </c>
      <c r="AU3785">
        <v>65</v>
      </c>
      <c r="AV3785">
        <v>-0.59</v>
      </c>
      <c r="AW3785">
        <v>74</v>
      </c>
      <c r="AX3785">
        <v>0.3</v>
      </c>
      <c r="AY3785">
        <v>81</v>
      </c>
      <c r="AZ3785">
        <v>6.43</v>
      </c>
      <c r="BA3785">
        <v>38</v>
      </c>
      <c r="BB3785">
        <v>4.37</v>
      </c>
      <c r="BC3785">
        <v>60</v>
      </c>
      <c r="BD3785">
        <v>0.03</v>
      </c>
      <c r="BE3785">
        <v>7.0000000000000007E-2</v>
      </c>
      <c r="BF3785">
        <v>0</v>
      </c>
      <c r="BG3785">
        <v>86</v>
      </c>
      <c r="BH3785">
        <v>0.01</v>
      </c>
      <c r="BI3785">
        <v>0.52</v>
      </c>
      <c r="BJ3785">
        <v>21</v>
      </c>
      <c r="BK3785">
        <v>16</v>
      </c>
      <c r="BL3785">
        <v>0.18</v>
      </c>
      <c r="BM3785">
        <v>-0.42</v>
      </c>
      <c r="BN3785">
        <v>-0.63</v>
      </c>
      <c r="BO3785">
        <v>-0.19</v>
      </c>
      <c r="BP3785">
        <v>-0.32</v>
      </c>
      <c r="BQ3785">
        <v>-0.53</v>
      </c>
      <c r="BR3785">
        <v>-0.66</v>
      </c>
      <c r="BS3785">
        <v>-0.86</v>
      </c>
      <c r="BT3785">
        <v>1.48</v>
      </c>
      <c r="BU3785">
        <v>-0.93</v>
      </c>
      <c r="BV3785">
        <v>-0.28999999999999998</v>
      </c>
      <c r="BW3785">
        <v>-0.61</v>
      </c>
      <c r="BX3785">
        <v>-0.28999999999999998</v>
      </c>
      <c r="BY3785">
        <v>-0.91</v>
      </c>
      <c r="BZ3785">
        <v>1.1599999999999999</v>
      </c>
      <c r="CA3785">
        <v>-0.95</v>
      </c>
      <c r="CB3785">
        <v>-0.87</v>
      </c>
      <c r="CC3785">
        <v>-0.84</v>
      </c>
      <c r="CD3785">
        <v>0.12</v>
      </c>
      <c r="CE3785">
        <v>-0.2</v>
      </c>
      <c r="CF3785">
        <v>0.18</v>
      </c>
      <c r="CG3785">
        <v>0</v>
      </c>
      <c r="CH3785">
        <v>-7.0000000000000007E-2</v>
      </c>
      <c r="CI3785">
        <v>0</v>
      </c>
      <c r="CJ3785">
        <v>-0.6</v>
      </c>
      <c r="CK3785">
        <v>82</v>
      </c>
      <c r="CL3785">
        <v>-0.44</v>
      </c>
      <c r="CM3785">
        <v>80</v>
      </c>
      <c r="CN3785">
        <v>0.21</v>
      </c>
      <c r="CO3785">
        <v>77</v>
      </c>
      <c r="CP3785">
        <v>-2.8</v>
      </c>
      <c r="CQ3785">
        <v>87</v>
      </c>
      <c r="CR3785">
        <v>0</v>
      </c>
      <c r="CS3785">
        <v>0</v>
      </c>
      <c r="CT3785">
        <v>3.7</v>
      </c>
      <c r="CU3785">
        <v>74</v>
      </c>
      <c r="CV3785">
        <v>0.1</v>
      </c>
      <c r="CW3785">
        <v>23</v>
      </c>
      <c r="CX3785" t="s">
        <v>267</v>
      </c>
    </row>
    <row r="3786" spans="1:102" x14ac:dyDescent="0.3">
      <c r="A3786" t="str">
        <f>HYPERLINK("https://webapp.icbf.com/v2/app/bull-search/view/69092689","SNN")</f>
        <v>SNN</v>
      </c>
      <c r="B3786" t="s">
        <v>10052</v>
      </c>
      <c r="C3786" t="s">
        <v>10053</v>
      </c>
      <c r="D3786" s="1">
        <v>36276</v>
      </c>
      <c r="E3786" t="s">
        <v>92</v>
      </c>
      <c r="F3786">
        <v>100</v>
      </c>
      <c r="G3786" t="s">
        <v>116</v>
      </c>
      <c r="H3786">
        <v>-62.18</v>
      </c>
      <c r="I3786">
        <v>34</v>
      </c>
      <c r="J3786">
        <v>22.08</v>
      </c>
      <c r="K3786">
        <v>35</v>
      </c>
      <c r="L3786">
        <v>-100.92</v>
      </c>
      <c r="M3786">
        <v>29</v>
      </c>
      <c r="N3786">
        <v>3.16</v>
      </c>
      <c r="O3786">
        <v>32</v>
      </c>
      <c r="P3786">
        <v>13.71</v>
      </c>
      <c r="Q3786">
        <v>54</v>
      </c>
      <c r="R3786">
        <v>-1.61</v>
      </c>
      <c r="S3786">
        <v>32</v>
      </c>
      <c r="T3786">
        <v>4.58</v>
      </c>
      <c r="U3786">
        <v>38</v>
      </c>
      <c r="V3786">
        <v>-3.18</v>
      </c>
      <c r="W3786">
        <v>24</v>
      </c>
      <c r="X3786" t="s">
        <v>94</v>
      </c>
      <c r="Y3786" t="s">
        <v>3278</v>
      </c>
      <c r="Z3786" t="s">
        <v>96</v>
      </c>
      <c r="AA3786" t="s">
        <v>594</v>
      </c>
      <c r="AB3786" t="s">
        <v>10054</v>
      </c>
      <c r="AC3786">
        <v>3</v>
      </c>
      <c r="AD3786">
        <v>2</v>
      </c>
      <c r="AE3786">
        <v>35</v>
      </c>
      <c r="AF3786">
        <v>187.12</v>
      </c>
      <c r="AG3786">
        <v>6.3</v>
      </c>
      <c r="AH3786">
        <v>4.3899999999999997</v>
      </c>
      <c r="AI3786">
        <v>-0.02</v>
      </c>
      <c r="AJ3786">
        <v>-0.03</v>
      </c>
      <c r="AK3786">
        <v>29</v>
      </c>
      <c r="AL3786">
        <v>2</v>
      </c>
      <c r="AM3786">
        <v>1</v>
      </c>
      <c r="AN3786">
        <v>5.39</v>
      </c>
      <c r="AO3786">
        <v>-2.66</v>
      </c>
      <c r="AP3786">
        <v>4</v>
      </c>
      <c r="AQ3786">
        <v>0</v>
      </c>
      <c r="AR3786">
        <v>7.67</v>
      </c>
      <c r="AS3786">
        <v>24</v>
      </c>
      <c r="AT3786">
        <v>3.36</v>
      </c>
      <c r="AU3786">
        <v>34</v>
      </c>
      <c r="AV3786">
        <v>-0.16</v>
      </c>
      <c r="AW3786">
        <v>31</v>
      </c>
      <c r="AX3786">
        <v>-0.17</v>
      </c>
      <c r="AY3786">
        <v>44</v>
      </c>
      <c r="AZ3786">
        <v>5.64</v>
      </c>
      <c r="BA3786">
        <v>24</v>
      </c>
      <c r="BB3786">
        <v>4.46</v>
      </c>
      <c r="BC3786">
        <v>26</v>
      </c>
      <c r="BD3786">
        <v>0</v>
      </c>
      <c r="BE3786">
        <v>0.03</v>
      </c>
      <c r="BF3786">
        <v>-0.02</v>
      </c>
      <c r="BG3786">
        <v>38</v>
      </c>
      <c r="BH3786">
        <v>-0.03</v>
      </c>
      <c r="BI3786">
        <v>6.78</v>
      </c>
      <c r="BJ3786">
        <v>0</v>
      </c>
      <c r="BK3786">
        <v>0</v>
      </c>
      <c r="BL3786">
        <v>-0.11</v>
      </c>
      <c r="BM3786">
        <v>1.59</v>
      </c>
      <c r="BN3786">
        <v>0.78</v>
      </c>
      <c r="BO3786">
        <v>-0.44</v>
      </c>
      <c r="BP3786">
        <v>-1.19</v>
      </c>
      <c r="BQ3786">
        <v>-0.22</v>
      </c>
      <c r="BR3786">
        <v>1.24</v>
      </c>
      <c r="BS3786">
        <v>-0.86</v>
      </c>
      <c r="BT3786">
        <v>-1.1100000000000001</v>
      </c>
      <c r="BU3786">
        <v>-1.01</v>
      </c>
      <c r="BV3786">
        <v>-7.0000000000000007E-2</v>
      </c>
      <c r="BW3786">
        <v>-0.68</v>
      </c>
      <c r="BX3786">
        <v>-2.2400000000000002</v>
      </c>
      <c r="BY3786">
        <v>0.15</v>
      </c>
      <c r="BZ3786">
        <v>-0.17</v>
      </c>
      <c r="CA3786">
        <v>-0.81</v>
      </c>
      <c r="CB3786">
        <v>-0.44</v>
      </c>
      <c r="CC3786">
        <v>-1.17</v>
      </c>
      <c r="CD3786">
        <v>0.75</v>
      </c>
      <c r="CE3786">
        <v>-0.39</v>
      </c>
      <c r="CF3786">
        <v>-0.24</v>
      </c>
      <c r="CG3786">
        <v>0</v>
      </c>
      <c r="CH3786">
        <v>-0.2</v>
      </c>
      <c r="CI3786">
        <v>0</v>
      </c>
      <c r="CJ3786">
        <v>4.8</v>
      </c>
      <c r="CK3786">
        <v>56</v>
      </c>
      <c r="CL3786">
        <v>0.15</v>
      </c>
      <c r="CM3786">
        <v>52</v>
      </c>
      <c r="CN3786">
        <v>-0.45</v>
      </c>
      <c r="CO3786">
        <v>50</v>
      </c>
      <c r="CP3786">
        <v>1.8</v>
      </c>
      <c r="CQ3786">
        <v>46</v>
      </c>
      <c r="CR3786">
        <v>0</v>
      </c>
      <c r="CS3786">
        <v>0</v>
      </c>
      <c r="CT3786">
        <v>7.6</v>
      </c>
      <c r="CU3786">
        <v>38</v>
      </c>
      <c r="CV3786">
        <v>0.01</v>
      </c>
      <c r="CW3786">
        <v>15</v>
      </c>
      <c r="CX3786" t="s">
        <v>1278</v>
      </c>
    </row>
    <row r="3787" spans="1:102" x14ac:dyDescent="0.3">
      <c r="A3787" t="str">
        <f>HYPERLINK("https://webapp.icbf.com/v2/app/bull-search/view/69092593","S125")</f>
        <v>S125</v>
      </c>
      <c r="B3787" t="s">
        <v>10516</v>
      </c>
      <c r="C3787" t="s">
        <v>10517</v>
      </c>
      <c r="D3787" s="1">
        <v>35113</v>
      </c>
      <c r="E3787" t="s">
        <v>140</v>
      </c>
      <c r="F3787">
        <v>0</v>
      </c>
      <c r="G3787" t="s">
        <v>116</v>
      </c>
      <c r="H3787">
        <v>-62.19</v>
      </c>
      <c r="I3787">
        <v>44</v>
      </c>
      <c r="J3787">
        <v>-44.98</v>
      </c>
      <c r="K3787">
        <v>52</v>
      </c>
      <c r="L3787">
        <v>10.96</v>
      </c>
      <c r="M3787">
        <v>33</v>
      </c>
      <c r="N3787">
        <v>-60.43</v>
      </c>
      <c r="O3787">
        <v>48</v>
      </c>
      <c r="P3787">
        <v>15.75</v>
      </c>
      <c r="Q3787">
        <v>55</v>
      </c>
      <c r="R3787">
        <v>10.16</v>
      </c>
      <c r="S3787">
        <v>36</v>
      </c>
      <c r="T3787">
        <v>15.82</v>
      </c>
      <c r="U3787">
        <v>52</v>
      </c>
      <c r="V3787">
        <v>-9.4700000000000006</v>
      </c>
      <c r="W3787">
        <v>19</v>
      </c>
      <c r="X3787" t="s">
        <v>110</v>
      </c>
      <c r="Y3787" t="s">
        <v>545</v>
      </c>
      <c r="Z3787">
        <v>0</v>
      </c>
      <c r="AA3787" t="s">
        <v>3485</v>
      </c>
      <c r="AB3787" t="s">
        <v>10518</v>
      </c>
      <c r="AC3787">
        <v>7</v>
      </c>
      <c r="AD3787">
        <v>7</v>
      </c>
      <c r="AE3787">
        <v>52</v>
      </c>
      <c r="AF3787">
        <v>-341.23</v>
      </c>
      <c r="AG3787">
        <v>-16.32</v>
      </c>
      <c r="AH3787">
        <v>-7.1</v>
      </c>
      <c r="AI3787">
        <v>-0.05</v>
      </c>
      <c r="AJ3787">
        <v>0.08</v>
      </c>
      <c r="AK3787">
        <v>33</v>
      </c>
      <c r="AL3787">
        <v>8</v>
      </c>
      <c r="AM3787">
        <v>4</v>
      </c>
      <c r="AN3787">
        <v>-0.16</v>
      </c>
      <c r="AO3787">
        <v>0.72</v>
      </c>
      <c r="AP3787">
        <v>3</v>
      </c>
      <c r="AQ3787">
        <v>0</v>
      </c>
      <c r="AR3787">
        <v>12.28</v>
      </c>
      <c r="AS3787">
        <v>18</v>
      </c>
      <c r="AT3787">
        <v>5.99</v>
      </c>
      <c r="AU3787">
        <v>36</v>
      </c>
      <c r="AV3787">
        <v>1.98</v>
      </c>
      <c r="AW3787">
        <v>70</v>
      </c>
      <c r="AX3787">
        <v>0.1</v>
      </c>
      <c r="AY3787">
        <v>44</v>
      </c>
      <c r="AZ3787">
        <v>5.46</v>
      </c>
      <c r="BA3787">
        <v>17</v>
      </c>
      <c r="BB3787">
        <v>4.24</v>
      </c>
      <c r="BC3787">
        <v>30</v>
      </c>
      <c r="BD3787">
        <v>0.02</v>
      </c>
      <c r="BE3787">
        <v>-0.03</v>
      </c>
      <c r="BF3787">
        <v>-0.21</v>
      </c>
      <c r="BG3787">
        <v>44</v>
      </c>
      <c r="BH3787">
        <v>-0.21</v>
      </c>
      <c r="BI3787">
        <v>6.24</v>
      </c>
      <c r="BJ3787">
        <v>0</v>
      </c>
      <c r="BK3787">
        <v>0</v>
      </c>
      <c r="BL3787">
        <v>-1.03</v>
      </c>
      <c r="BM3787">
        <v>2.97</v>
      </c>
      <c r="BN3787">
        <v>-1.77</v>
      </c>
      <c r="BO3787">
        <v>-2.81</v>
      </c>
      <c r="BP3787">
        <v>4.25</v>
      </c>
      <c r="BQ3787">
        <v>-2.5099999999999998</v>
      </c>
      <c r="BR3787">
        <v>-2.59</v>
      </c>
      <c r="BS3787">
        <v>-0.22</v>
      </c>
      <c r="BT3787">
        <v>2.35</v>
      </c>
      <c r="BU3787">
        <v>-3.35</v>
      </c>
      <c r="BV3787">
        <v>-3.77</v>
      </c>
      <c r="BW3787">
        <v>-3</v>
      </c>
      <c r="BX3787">
        <v>-2.97</v>
      </c>
      <c r="BY3787">
        <v>-1.89</v>
      </c>
      <c r="BZ3787">
        <v>1.44</v>
      </c>
      <c r="CA3787">
        <v>-2.33</v>
      </c>
      <c r="CB3787">
        <v>-3</v>
      </c>
      <c r="CC3787">
        <v>-0.34</v>
      </c>
      <c r="CD3787">
        <v>3.57</v>
      </c>
      <c r="CE3787">
        <v>-2.88</v>
      </c>
      <c r="CF3787">
        <v>-1.37</v>
      </c>
      <c r="CG3787">
        <v>0</v>
      </c>
      <c r="CH3787">
        <v>-2.5299999999999998</v>
      </c>
      <c r="CI3787">
        <v>0</v>
      </c>
      <c r="CJ3787">
        <v>2.9</v>
      </c>
      <c r="CK3787">
        <v>57</v>
      </c>
      <c r="CL3787">
        <v>0.46</v>
      </c>
      <c r="CM3787">
        <v>53</v>
      </c>
      <c r="CN3787">
        <v>-0.62</v>
      </c>
      <c r="CO3787">
        <v>49</v>
      </c>
      <c r="CP3787">
        <v>-1.7</v>
      </c>
      <c r="CQ3787">
        <v>58</v>
      </c>
      <c r="CR3787">
        <v>0</v>
      </c>
      <c r="CS3787">
        <v>0</v>
      </c>
      <c r="CT3787">
        <v>-7.6</v>
      </c>
      <c r="CU3787">
        <v>52</v>
      </c>
      <c r="CV3787">
        <v>-0.24</v>
      </c>
      <c r="CW3787">
        <v>15</v>
      </c>
      <c r="CX3787" t="s">
        <v>1179</v>
      </c>
    </row>
    <row r="3788" spans="1:102" x14ac:dyDescent="0.3">
      <c r="A3788" t="str">
        <f>HYPERLINK("https://webapp.icbf.com/v2/app/bull-search/view/77856328","JNO")</f>
        <v>JNO</v>
      </c>
      <c r="B3788" t="s">
        <v>939</v>
      </c>
      <c r="C3788" t="s">
        <v>940</v>
      </c>
      <c r="D3788" s="1">
        <v>35239</v>
      </c>
      <c r="E3788" t="s">
        <v>92</v>
      </c>
      <c r="F3788">
        <v>97</v>
      </c>
      <c r="G3788" t="s">
        <v>93</v>
      </c>
      <c r="H3788">
        <v>-62.29</v>
      </c>
      <c r="I3788">
        <v>85</v>
      </c>
      <c r="J3788">
        <v>13.64</v>
      </c>
      <c r="K3788">
        <v>97</v>
      </c>
      <c r="L3788">
        <v>-71.12</v>
      </c>
      <c r="M3788">
        <v>80</v>
      </c>
      <c r="N3788">
        <v>4.1900000000000004</v>
      </c>
      <c r="O3788">
        <v>75</v>
      </c>
      <c r="P3788">
        <v>-10.82</v>
      </c>
      <c r="Q3788">
        <v>85</v>
      </c>
      <c r="R3788">
        <v>-9.41</v>
      </c>
      <c r="S3788">
        <v>79</v>
      </c>
      <c r="T3788">
        <v>14.86</v>
      </c>
      <c r="U3788">
        <v>80</v>
      </c>
      <c r="V3788">
        <v>-3.63</v>
      </c>
      <c r="W3788">
        <v>68</v>
      </c>
      <c r="X3788" t="s">
        <v>94</v>
      </c>
      <c r="Y3788" t="s">
        <v>95</v>
      </c>
      <c r="Z3788" t="s">
        <v>96</v>
      </c>
      <c r="AA3788" t="s">
        <v>753</v>
      </c>
      <c r="AB3788" t="s">
        <v>941</v>
      </c>
      <c r="AC3788">
        <v>93</v>
      </c>
      <c r="AD3788">
        <v>87</v>
      </c>
      <c r="AE3788">
        <v>97</v>
      </c>
      <c r="AF3788">
        <v>280.97000000000003</v>
      </c>
      <c r="AG3788">
        <v>6.53</v>
      </c>
      <c r="AH3788">
        <v>4.3099999999999996</v>
      </c>
      <c r="AI3788">
        <v>-7.0000000000000007E-2</v>
      </c>
      <c r="AJ3788">
        <v>-0.09</v>
      </c>
      <c r="AK3788">
        <v>80</v>
      </c>
      <c r="AL3788">
        <v>101</v>
      </c>
      <c r="AM3788">
        <v>82</v>
      </c>
      <c r="AN3788">
        <v>4.76</v>
      </c>
      <c r="AO3788">
        <v>-0.9</v>
      </c>
      <c r="AP3788">
        <v>2</v>
      </c>
      <c r="AQ3788">
        <v>0</v>
      </c>
      <c r="AR3788">
        <v>7.65</v>
      </c>
      <c r="AS3788">
        <v>62</v>
      </c>
      <c r="AT3788">
        <v>3.69</v>
      </c>
      <c r="AU3788">
        <v>78</v>
      </c>
      <c r="AV3788">
        <v>-1.58</v>
      </c>
      <c r="AW3788">
        <v>78</v>
      </c>
      <c r="AX3788">
        <v>-0.25</v>
      </c>
      <c r="AY3788">
        <v>79</v>
      </c>
      <c r="AZ3788">
        <v>7.04</v>
      </c>
      <c r="BA3788">
        <v>56</v>
      </c>
      <c r="BB3788">
        <v>5.53</v>
      </c>
      <c r="BC3788">
        <v>68</v>
      </c>
      <c r="BD3788">
        <v>0.05</v>
      </c>
      <c r="BE3788">
        <v>7.0000000000000007E-2</v>
      </c>
      <c r="BF3788">
        <v>0</v>
      </c>
      <c r="BG3788">
        <v>89</v>
      </c>
      <c r="BH3788">
        <v>0</v>
      </c>
      <c r="BI3788">
        <v>11.7</v>
      </c>
      <c r="BJ3788">
        <v>5</v>
      </c>
      <c r="BK3788">
        <v>5</v>
      </c>
      <c r="BL3788">
        <v>0.15</v>
      </c>
      <c r="BM3788">
        <v>-0.92</v>
      </c>
      <c r="BN3788">
        <v>-0.33</v>
      </c>
      <c r="BO3788">
        <v>0.31</v>
      </c>
      <c r="BP3788">
        <v>0.33</v>
      </c>
      <c r="BQ3788">
        <v>-1.91</v>
      </c>
      <c r="BR3788">
        <v>-0.4</v>
      </c>
      <c r="BS3788">
        <v>0.1</v>
      </c>
      <c r="BT3788">
        <v>-0.01</v>
      </c>
      <c r="BU3788">
        <v>-0.78</v>
      </c>
      <c r="BV3788">
        <v>-0.11</v>
      </c>
      <c r="BW3788">
        <v>-0.47</v>
      </c>
      <c r="BX3788">
        <v>-0.09</v>
      </c>
      <c r="BY3788">
        <v>-1.64</v>
      </c>
      <c r="BZ3788">
        <v>2.17</v>
      </c>
      <c r="CA3788">
        <v>-0.32</v>
      </c>
      <c r="CB3788">
        <v>-0.67</v>
      </c>
      <c r="CC3788">
        <v>0.55000000000000004</v>
      </c>
      <c r="CD3788">
        <v>-0.67</v>
      </c>
      <c r="CE3788">
        <v>0.37</v>
      </c>
      <c r="CF3788">
        <v>-0.67</v>
      </c>
      <c r="CG3788">
        <v>0</v>
      </c>
      <c r="CH3788">
        <v>-1.08</v>
      </c>
      <c r="CI3788">
        <v>0</v>
      </c>
      <c r="CJ3788">
        <v>-3.9</v>
      </c>
      <c r="CK3788">
        <v>86</v>
      </c>
      <c r="CL3788">
        <v>-0.67</v>
      </c>
      <c r="CM3788">
        <v>84</v>
      </c>
      <c r="CN3788">
        <v>-0.22</v>
      </c>
      <c r="CO3788">
        <v>82</v>
      </c>
      <c r="CP3788">
        <v>-7.3</v>
      </c>
      <c r="CQ3788">
        <v>90</v>
      </c>
      <c r="CR3788">
        <v>0</v>
      </c>
      <c r="CS3788">
        <v>0</v>
      </c>
      <c r="CT3788">
        <v>-6.3</v>
      </c>
      <c r="CU3788">
        <v>80</v>
      </c>
      <c r="CV3788">
        <v>0.18</v>
      </c>
      <c r="CW3788">
        <v>43</v>
      </c>
      <c r="CX3788" t="s">
        <v>180</v>
      </c>
    </row>
    <row r="3789" spans="1:102" x14ac:dyDescent="0.3">
      <c r="A3789" t="str">
        <f>HYPERLINK("https://webapp.icbf.com/v2/app/bull-search/view/1334592541","BS2266")</f>
        <v>BS2266</v>
      </c>
      <c r="B3789" t="s">
        <v>14596</v>
      </c>
      <c r="C3789" t="s">
        <v>14597</v>
      </c>
      <c r="D3789" s="1">
        <v>41551</v>
      </c>
      <c r="E3789" t="s">
        <v>895</v>
      </c>
      <c r="F3789">
        <v>0</v>
      </c>
      <c r="G3789" t="s">
        <v>93</v>
      </c>
      <c r="H3789">
        <v>-62.31</v>
      </c>
      <c r="I3789">
        <v>37</v>
      </c>
      <c r="J3789">
        <v>32.75</v>
      </c>
      <c r="K3789">
        <v>64</v>
      </c>
      <c r="L3789">
        <v>-29.27</v>
      </c>
      <c r="M3789">
        <v>21</v>
      </c>
      <c r="N3789">
        <v>-96.08</v>
      </c>
      <c r="O3789">
        <v>54</v>
      </c>
      <c r="P3789">
        <v>-3.44</v>
      </c>
      <c r="Q3789">
        <v>8</v>
      </c>
      <c r="R3789">
        <v>13.56</v>
      </c>
      <c r="S3789">
        <v>21</v>
      </c>
      <c r="T3789">
        <v>23.89</v>
      </c>
      <c r="U3789">
        <v>28</v>
      </c>
      <c r="V3789">
        <v>-3.72</v>
      </c>
      <c r="W3789">
        <v>1</v>
      </c>
      <c r="X3789" t="s">
        <v>276</v>
      </c>
      <c r="Y3789" t="s">
        <v>416</v>
      </c>
      <c r="Z3789">
        <v>0</v>
      </c>
      <c r="AA3789" t="s">
        <v>14598</v>
      </c>
      <c r="AB3789" t="s">
        <v>14599</v>
      </c>
      <c r="AC3789">
        <v>16</v>
      </c>
      <c r="AD3789">
        <v>5</v>
      </c>
      <c r="AE3789">
        <v>64</v>
      </c>
      <c r="AF3789">
        <v>126.18</v>
      </c>
      <c r="AG3789">
        <v>4.5</v>
      </c>
      <c r="AH3789">
        <v>5.91</v>
      </c>
      <c r="AI3789">
        <v>-0.01</v>
      </c>
      <c r="AJ3789">
        <v>0.03</v>
      </c>
      <c r="AK3789">
        <v>21</v>
      </c>
      <c r="AL3789">
        <v>1</v>
      </c>
      <c r="AM3789">
        <v>1</v>
      </c>
      <c r="AN3789">
        <v>3.49</v>
      </c>
      <c r="AO3789">
        <v>1.18</v>
      </c>
      <c r="AP3789">
        <v>56</v>
      </c>
      <c r="AQ3789">
        <v>0</v>
      </c>
      <c r="AR3789">
        <v>15.35</v>
      </c>
      <c r="AS3789">
        <v>46</v>
      </c>
      <c r="AT3789">
        <v>5.99</v>
      </c>
      <c r="AU3789">
        <v>45</v>
      </c>
      <c r="AV3789">
        <v>3.96</v>
      </c>
      <c r="AW3789">
        <v>85</v>
      </c>
      <c r="AX3789">
        <v>1.75</v>
      </c>
      <c r="AY3789">
        <v>39</v>
      </c>
      <c r="AZ3789">
        <v>5.94</v>
      </c>
      <c r="BA3789">
        <v>15</v>
      </c>
      <c r="BB3789">
        <v>4.5599999999999996</v>
      </c>
      <c r="BC3789">
        <v>1</v>
      </c>
      <c r="BD3789">
        <v>-0.01</v>
      </c>
      <c r="BE3789">
        <v>-0.05</v>
      </c>
      <c r="BF3789">
        <v>-0.2</v>
      </c>
      <c r="BG3789">
        <v>27</v>
      </c>
      <c r="BH3789">
        <v>-7.0000000000000007E-2</v>
      </c>
      <c r="BI3789">
        <v>3.89</v>
      </c>
      <c r="BJ3789">
        <v>0</v>
      </c>
      <c r="BK3789">
        <v>0</v>
      </c>
      <c r="BL3789">
        <v>0</v>
      </c>
      <c r="BM3789">
        <v>0</v>
      </c>
      <c r="BN3789">
        <v>0</v>
      </c>
      <c r="BO3789">
        <v>0</v>
      </c>
      <c r="BP3789">
        <v>0</v>
      </c>
      <c r="BQ3789">
        <v>0</v>
      </c>
      <c r="BR3789">
        <v>0</v>
      </c>
      <c r="BS3789">
        <v>0</v>
      </c>
      <c r="BT3789">
        <v>0</v>
      </c>
      <c r="BU3789">
        <v>0</v>
      </c>
      <c r="BV3789">
        <v>0</v>
      </c>
      <c r="BW3789">
        <v>0</v>
      </c>
      <c r="BX3789">
        <v>0</v>
      </c>
      <c r="BY3789">
        <v>0</v>
      </c>
      <c r="BZ3789">
        <v>0</v>
      </c>
      <c r="CA3789">
        <v>0</v>
      </c>
      <c r="CB3789">
        <v>0</v>
      </c>
      <c r="CC3789">
        <v>0</v>
      </c>
      <c r="CD3789">
        <v>0</v>
      </c>
      <c r="CE3789">
        <v>0</v>
      </c>
      <c r="CF3789">
        <v>0</v>
      </c>
      <c r="CG3789">
        <v>0</v>
      </c>
      <c r="CH3789">
        <v>0</v>
      </c>
      <c r="CI3789">
        <v>0</v>
      </c>
      <c r="CJ3789">
        <v>-1.7</v>
      </c>
      <c r="CK3789">
        <v>10</v>
      </c>
      <c r="CL3789">
        <v>-0.08</v>
      </c>
      <c r="CM3789">
        <v>3</v>
      </c>
      <c r="CN3789">
        <v>-0.09</v>
      </c>
      <c r="CO3789">
        <v>3</v>
      </c>
      <c r="CP3789">
        <v>-8.8000000000000007</v>
      </c>
      <c r="CQ3789">
        <v>15</v>
      </c>
      <c r="CR3789">
        <v>0</v>
      </c>
      <c r="CS3789">
        <v>0</v>
      </c>
      <c r="CT3789">
        <v>-18.5</v>
      </c>
      <c r="CU3789">
        <v>28</v>
      </c>
      <c r="CV3789">
        <v>-7.0000000000000007E-2</v>
      </c>
      <c r="CW3789">
        <v>1</v>
      </c>
      <c r="CX3789" t="s">
        <v>14600</v>
      </c>
    </row>
    <row r="3790" spans="1:102" x14ac:dyDescent="0.3">
      <c r="A3790" t="str">
        <f>HYPERLINK("https://webapp.icbf.com/v2/app/bull-search/view/77859370","ART")</f>
        <v>ART</v>
      </c>
      <c r="B3790" t="s">
        <v>11332</v>
      </c>
      <c r="C3790" t="s">
        <v>11333</v>
      </c>
      <c r="D3790" s="1">
        <v>33943</v>
      </c>
      <c r="E3790" t="s">
        <v>92</v>
      </c>
      <c r="F3790">
        <v>100</v>
      </c>
      <c r="G3790" t="s">
        <v>93</v>
      </c>
      <c r="H3790">
        <v>-62.36</v>
      </c>
      <c r="I3790">
        <v>88</v>
      </c>
      <c r="J3790">
        <v>-4.97</v>
      </c>
      <c r="K3790">
        <v>96</v>
      </c>
      <c r="L3790">
        <v>-45.77</v>
      </c>
      <c r="M3790">
        <v>88</v>
      </c>
      <c r="N3790">
        <v>-13.06</v>
      </c>
      <c r="O3790">
        <v>78</v>
      </c>
      <c r="P3790">
        <v>-5.08</v>
      </c>
      <c r="Q3790">
        <v>87</v>
      </c>
      <c r="R3790">
        <v>-2.13</v>
      </c>
      <c r="S3790">
        <v>79</v>
      </c>
      <c r="T3790">
        <v>12.57</v>
      </c>
      <c r="U3790">
        <v>81</v>
      </c>
      <c r="V3790">
        <v>-3.92</v>
      </c>
      <c r="W3790">
        <v>66</v>
      </c>
      <c r="X3790" t="s">
        <v>558</v>
      </c>
      <c r="Y3790" t="s">
        <v>95</v>
      </c>
      <c r="Z3790" t="s">
        <v>96</v>
      </c>
      <c r="AA3790" t="s">
        <v>152</v>
      </c>
      <c r="AB3790" t="s">
        <v>11334</v>
      </c>
      <c r="AC3790">
        <v>70</v>
      </c>
      <c r="AD3790">
        <v>47</v>
      </c>
      <c r="AE3790">
        <v>96</v>
      </c>
      <c r="AF3790">
        <v>-4.33</v>
      </c>
      <c r="AG3790">
        <v>-0.54</v>
      </c>
      <c r="AH3790">
        <v>-0.72</v>
      </c>
      <c r="AI3790">
        <v>-0.01</v>
      </c>
      <c r="AJ3790">
        <v>-0.01</v>
      </c>
      <c r="AK3790">
        <v>88</v>
      </c>
      <c r="AL3790">
        <v>70</v>
      </c>
      <c r="AM3790">
        <v>42</v>
      </c>
      <c r="AN3790">
        <v>2.5099999999999998</v>
      </c>
      <c r="AO3790">
        <v>-1.1399999999999999</v>
      </c>
      <c r="AP3790">
        <v>61</v>
      </c>
      <c r="AQ3790">
        <v>9</v>
      </c>
      <c r="AR3790">
        <v>9.98</v>
      </c>
      <c r="AS3790">
        <v>68</v>
      </c>
      <c r="AT3790">
        <v>4.07</v>
      </c>
      <c r="AU3790">
        <v>87</v>
      </c>
      <c r="AV3790">
        <v>-0.19</v>
      </c>
      <c r="AW3790">
        <v>79</v>
      </c>
      <c r="AX3790">
        <v>-0.61</v>
      </c>
      <c r="AY3790">
        <v>83</v>
      </c>
      <c r="AZ3790">
        <v>7.02</v>
      </c>
      <c r="BA3790">
        <v>60</v>
      </c>
      <c r="BB3790">
        <v>4.79</v>
      </c>
      <c r="BC3790">
        <v>65</v>
      </c>
      <c r="BD3790">
        <v>0</v>
      </c>
      <c r="BE3790">
        <v>0.01</v>
      </c>
      <c r="BF3790">
        <v>0.03</v>
      </c>
      <c r="BG3790">
        <v>91</v>
      </c>
      <c r="BH3790">
        <v>-0.03</v>
      </c>
      <c r="BI3790">
        <v>9.16</v>
      </c>
      <c r="BJ3790">
        <v>25</v>
      </c>
      <c r="BK3790">
        <v>16</v>
      </c>
      <c r="BL3790">
        <v>0.35</v>
      </c>
      <c r="BM3790">
        <v>0.48</v>
      </c>
      <c r="BN3790">
        <v>1.0900000000000001</v>
      </c>
      <c r="BO3790">
        <v>0.44</v>
      </c>
      <c r="BP3790">
        <v>0.15</v>
      </c>
      <c r="BQ3790">
        <v>-0.59</v>
      </c>
      <c r="BR3790">
        <v>-0.46</v>
      </c>
      <c r="BS3790">
        <v>0.09</v>
      </c>
      <c r="BT3790">
        <v>0.93</v>
      </c>
      <c r="BU3790">
        <v>0.83</v>
      </c>
      <c r="BV3790">
        <v>1.43</v>
      </c>
      <c r="BW3790">
        <v>1.08</v>
      </c>
      <c r="BX3790">
        <v>-0.03</v>
      </c>
      <c r="BY3790">
        <v>-0.62</v>
      </c>
      <c r="BZ3790">
        <v>-0.51</v>
      </c>
      <c r="CA3790">
        <v>1.27</v>
      </c>
      <c r="CB3790">
        <v>1.1299999999999999</v>
      </c>
      <c r="CC3790">
        <v>0.8</v>
      </c>
      <c r="CD3790">
        <v>-0.49</v>
      </c>
      <c r="CE3790">
        <v>0.97</v>
      </c>
      <c r="CF3790">
        <v>-0.53</v>
      </c>
      <c r="CG3790">
        <v>0</v>
      </c>
      <c r="CH3790">
        <v>-0.43</v>
      </c>
      <c r="CI3790">
        <v>0</v>
      </c>
      <c r="CJ3790">
        <v>-3.1</v>
      </c>
      <c r="CK3790">
        <v>88</v>
      </c>
      <c r="CL3790">
        <v>-0.61</v>
      </c>
      <c r="CM3790">
        <v>86</v>
      </c>
      <c r="CN3790">
        <v>-0.52</v>
      </c>
      <c r="CO3790">
        <v>84</v>
      </c>
      <c r="CP3790">
        <v>-4</v>
      </c>
      <c r="CQ3790">
        <v>88</v>
      </c>
      <c r="CR3790">
        <v>0</v>
      </c>
      <c r="CS3790">
        <v>0</v>
      </c>
      <c r="CT3790">
        <v>-3.2</v>
      </c>
      <c r="CU3790">
        <v>81</v>
      </c>
      <c r="CV3790">
        <v>0.03</v>
      </c>
      <c r="CW3790">
        <v>44</v>
      </c>
      <c r="CX3790" t="s">
        <v>111</v>
      </c>
    </row>
    <row r="3791" spans="1:102" x14ac:dyDescent="0.3">
      <c r="A3791" t="str">
        <f>HYPERLINK("https://webapp.icbf.com/v2/app/bull-search/view/122808923","EYM")</f>
        <v>EYM</v>
      </c>
      <c r="B3791" t="s">
        <v>3913</v>
      </c>
      <c r="C3791" t="s">
        <v>3914</v>
      </c>
      <c r="D3791" s="1">
        <v>35426</v>
      </c>
      <c r="E3791" t="s">
        <v>92</v>
      </c>
      <c r="F3791">
        <v>100</v>
      </c>
      <c r="G3791" t="s">
        <v>93</v>
      </c>
      <c r="H3791">
        <v>-62.37</v>
      </c>
      <c r="I3791">
        <v>88</v>
      </c>
      <c r="J3791">
        <v>-14.5</v>
      </c>
      <c r="K3791">
        <v>98</v>
      </c>
      <c r="L3791">
        <v>-56.63</v>
      </c>
      <c r="M3791">
        <v>83</v>
      </c>
      <c r="N3791">
        <v>21.95</v>
      </c>
      <c r="O3791">
        <v>82</v>
      </c>
      <c r="P3791">
        <v>-10.07</v>
      </c>
      <c r="Q3791">
        <v>90</v>
      </c>
      <c r="R3791">
        <v>-7.51</v>
      </c>
      <c r="S3791">
        <v>82</v>
      </c>
      <c r="T3791">
        <v>7.09</v>
      </c>
      <c r="U3791">
        <v>87</v>
      </c>
      <c r="V3791">
        <v>-2.7</v>
      </c>
      <c r="W3791">
        <v>74</v>
      </c>
      <c r="X3791" t="s">
        <v>94</v>
      </c>
      <c r="Y3791" t="s">
        <v>95</v>
      </c>
      <c r="Z3791" t="s">
        <v>96</v>
      </c>
      <c r="AA3791" t="s">
        <v>3915</v>
      </c>
      <c r="AB3791" t="s">
        <v>3916</v>
      </c>
      <c r="AC3791">
        <v>140</v>
      </c>
      <c r="AD3791">
        <v>107</v>
      </c>
      <c r="AE3791">
        <v>98</v>
      </c>
      <c r="AF3791">
        <v>-10.029999999999999</v>
      </c>
      <c r="AG3791">
        <v>-6.16</v>
      </c>
      <c r="AH3791">
        <v>-0.44</v>
      </c>
      <c r="AI3791">
        <v>-0.1</v>
      </c>
      <c r="AJ3791">
        <v>0</v>
      </c>
      <c r="AK3791">
        <v>83</v>
      </c>
      <c r="AL3791">
        <v>136</v>
      </c>
      <c r="AM3791">
        <v>98</v>
      </c>
      <c r="AN3791">
        <v>2.76</v>
      </c>
      <c r="AO3791">
        <v>-1.76</v>
      </c>
      <c r="AP3791">
        <v>14</v>
      </c>
      <c r="AQ3791">
        <v>0</v>
      </c>
      <c r="AR3791">
        <v>5.53</v>
      </c>
      <c r="AS3791">
        <v>69</v>
      </c>
      <c r="AT3791">
        <v>2.6</v>
      </c>
      <c r="AU3791">
        <v>82</v>
      </c>
      <c r="AV3791">
        <v>-1.99</v>
      </c>
      <c r="AW3791">
        <v>89</v>
      </c>
      <c r="AX3791">
        <v>-0.37</v>
      </c>
      <c r="AY3791">
        <v>84</v>
      </c>
      <c r="AZ3791">
        <v>8.24</v>
      </c>
      <c r="BA3791">
        <v>61</v>
      </c>
      <c r="BB3791">
        <v>5.24</v>
      </c>
      <c r="BC3791">
        <v>73</v>
      </c>
      <c r="BD3791">
        <v>0.04</v>
      </c>
      <c r="BE3791">
        <v>0.04</v>
      </c>
      <c r="BF3791">
        <v>0.03</v>
      </c>
      <c r="BG3791">
        <v>92</v>
      </c>
      <c r="BH3791">
        <v>-0.01</v>
      </c>
      <c r="BI3791">
        <v>7.56</v>
      </c>
      <c r="BJ3791">
        <v>9</v>
      </c>
      <c r="BK3791">
        <v>3</v>
      </c>
      <c r="BL3791">
        <v>0.65</v>
      </c>
      <c r="BM3791">
        <v>0.94</v>
      </c>
      <c r="BN3791">
        <v>1.78</v>
      </c>
      <c r="BO3791">
        <v>0.73</v>
      </c>
      <c r="BP3791">
        <v>0.73</v>
      </c>
      <c r="BQ3791">
        <v>-0.17</v>
      </c>
      <c r="BR3791">
        <v>0.56999999999999995</v>
      </c>
      <c r="BS3791">
        <v>-0.51</v>
      </c>
      <c r="BT3791">
        <v>-0.65</v>
      </c>
      <c r="BU3791">
        <v>0.72</v>
      </c>
      <c r="BV3791">
        <v>1.05</v>
      </c>
      <c r="BW3791">
        <v>0.79</v>
      </c>
      <c r="BX3791">
        <v>-0.1</v>
      </c>
      <c r="BY3791">
        <v>-1.05</v>
      </c>
      <c r="BZ3791">
        <v>0.89</v>
      </c>
      <c r="CA3791">
        <v>0.79</v>
      </c>
      <c r="CB3791">
        <v>1.08</v>
      </c>
      <c r="CC3791">
        <v>-0.24</v>
      </c>
      <c r="CD3791">
        <v>-0.09</v>
      </c>
      <c r="CE3791">
        <v>0.83</v>
      </c>
      <c r="CF3791">
        <v>0.98</v>
      </c>
      <c r="CG3791">
        <v>0</v>
      </c>
      <c r="CH3791">
        <v>-0.8</v>
      </c>
      <c r="CI3791">
        <v>0</v>
      </c>
      <c r="CJ3791">
        <v>-0.6</v>
      </c>
      <c r="CK3791">
        <v>90</v>
      </c>
      <c r="CL3791">
        <v>-0.95</v>
      </c>
      <c r="CM3791">
        <v>89</v>
      </c>
      <c r="CN3791">
        <v>-0.09</v>
      </c>
      <c r="CO3791">
        <v>87</v>
      </c>
      <c r="CP3791">
        <v>-3.3</v>
      </c>
      <c r="CQ3791">
        <v>92</v>
      </c>
      <c r="CR3791">
        <v>0</v>
      </c>
      <c r="CS3791">
        <v>0</v>
      </c>
      <c r="CT3791">
        <v>4.2</v>
      </c>
      <c r="CU3791">
        <v>87</v>
      </c>
      <c r="CV3791">
        <v>0.23</v>
      </c>
      <c r="CW3791">
        <v>44</v>
      </c>
      <c r="CX3791" t="s">
        <v>207</v>
      </c>
    </row>
    <row r="3792" spans="1:102" x14ac:dyDescent="0.3">
      <c r="A3792" t="str">
        <f>HYPERLINK("https://webapp.icbf.com/v2/app/bull-search/view/77853070","WHN")</f>
        <v>WHN</v>
      </c>
      <c r="B3792" t="s">
        <v>3876</v>
      </c>
      <c r="C3792" t="s">
        <v>3877</v>
      </c>
      <c r="D3792" s="1">
        <v>35939</v>
      </c>
      <c r="E3792" t="s">
        <v>92</v>
      </c>
      <c r="F3792">
        <v>100</v>
      </c>
      <c r="G3792" t="s">
        <v>93</v>
      </c>
      <c r="H3792">
        <v>-62.43</v>
      </c>
      <c r="I3792">
        <v>72</v>
      </c>
      <c r="J3792">
        <v>-7.17</v>
      </c>
      <c r="K3792">
        <v>91</v>
      </c>
      <c r="L3792">
        <v>-40.28</v>
      </c>
      <c r="M3792">
        <v>58</v>
      </c>
      <c r="N3792">
        <v>0.27</v>
      </c>
      <c r="O3792">
        <v>62</v>
      </c>
      <c r="P3792">
        <v>0.73</v>
      </c>
      <c r="Q3792">
        <v>86</v>
      </c>
      <c r="R3792">
        <v>-10.8</v>
      </c>
      <c r="S3792">
        <v>63</v>
      </c>
      <c r="T3792">
        <v>-0.46</v>
      </c>
      <c r="U3792">
        <v>70</v>
      </c>
      <c r="V3792">
        <v>-4.72</v>
      </c>
      <c r="W3792">
        <v>45</v>
      </c>
      <c r="X3792" t="s">
        <v>558</v>
      </c>
      <c r="Y3792" t="s">
        <v>95</v>
      </c>
      <c r="Z3792" t="s">
        <v>96</v>
      </c>
      <c r="AA3792" t="s">
        <v>1380</v>
      </c>
      <c r="AB3792" t="s">
        <v>3878</v>
      </c>
      <c r="AC3792">
        <v>43</v>
      </c>
      <c r="AD3792">
        <v>34</v>
      </c>
      <c r="AE3792">
        <v>91</v>
      </c>
      <c r="AF3792">
        <v>-3.6</v>
      </c>
      <c r="AG3792">
        <v>-4.3099999999999996</v>
      </c>
      <c r="AH3792">
        <v>0.25</v>
      </c>
      <c r="AI3792">
        <v>-7.0000000000000007E-2</v>
      </c>
      <c r="AJ3792">
        <v>0.01</v>
      </c>
      <c r="AK3792">
        <v>58</v>
      </c>
      <c r="AL3792">
        <v>49</v>
      </c>
      <c r="AM3792">
        <v>30</v>
      </c>
      <c r="AN3792">
        <v>3.12</v>
      </c>
      <c r="AO3792">
        <v>-0.08</v>
      </c>
      <c r="AP3792">
        <v>33</v>
      </c>
      <c r="AQ3792">
        <v>1</v>
      </c>
      <c r="AR3792">
        <v>8.98</v>
      </c>
      <c r="AS3792">
        <v>45</v>
      </c>
      <c r="AT3792">
        <v>3.93</v>
      </c>
      <c r="AU3792">
        <v>65</v>
      </c>
      <c r="AV3792">
        <v>-1.35</v>
      </c>
      <c r="AW3792">
        <v>66</v>
      </c>
      <c r="AX3792">
        <v>-0.26</v>
      </c>
      <c r="AY3792">
        <v>68</v>
      </c>
      <c r="AZ3792">
        <v>5.4</v>
      </c>
      <c r="BA3792">
        <v>49</v>
      </c>
      <c r="BB3792">
        <v>5.2</v>
      </c>
      <c r="BC3792">
        <v>51</v>
      </c>
      <c r="BD3792">
        <v>0.02</v>
      </c>
      <c r="BE3792">
        <v>0.05</v>
      </c>
      <c r="BF3792">
        <v>0.12</v>
      </c>
      <c r="BG3792">
        <v>73</v>
      </c>
      <c r="BH3792">
        <v>0.04</v>
      </c>
      <c r="BI3792">
        <v>19.86</v>
      </c>
      <c r="BJ3792">
        <v>23</v>
      </c>
      <c r="BK3792">
        <v>16</v>
      </c>
      <c r="BL3792">
        <v>0.67</v>
      </c>
      <c r="BM3792">
        <v>0.11</v>
      </c>
      <c r="BN3792">
        <v>0.1</v>
      </c>
      <c r="BO3792">
        <v>0.06</v>
      </c>
      <c r="BP3792">
        <v>-0.17</v>
      </c>
      <c r="BQ3792">
        <v>1.29</v>
      </c>
      <c r="BR3792">
        <v>-1.1399999999999999</v>
      </c>
      <c r="BS3792">
        <v>0.51</v>
      </c>
      <c r="BT3792">
        <v>1.81</v>
      </c>
      <c r="BU3792">
        <v>-0.68</v>
      </c>
      <c r="BV3792">
        <v>-0.93</v>
      </c>
      <c r="BW3792">
        <v>-0.83</v>
      </c>
      <c r="BX3792">
        <v>-1.04</v>
      </c>
      <c r="BY3792">
        <v>-1.52</v>
      </c>
      <c r="BZ3792">
        <v>2.06</v>
      </c>
      <c r="CA3792">
        <v>-0.7</v>
      </c>
      <c r="CB3792">
        <v>-0.64</v>
      </c>
      <c r="CC3792">
        <v>-0.52</v>
      </c>
      <c r="CD3792">
        <v>-0.64</v>
      </c>
      <c r="CE3792">
        <v>0.14000000000000001</v>
      </c>
      <c r="CF3792">
        <v>-0.13</v>
      </c>
      <c r="CG3792">
        <v>0</v>
      </c>
      <c r="CH3792">
        <v>-0.7</v>
      </c>
      <c r="CI3792">
        <v>0</v>
      </c>
      <c r="CJ3792">
        <v>2.9</v>
      </c>
      <c r="CK3792">
        <v>87</v>
      </c>
      <c r="CL3792">
        <v>-0.7</v>
      </c>
      <c r="CM3792">
        <v>85</v>
      </c>
      <c r="CN3792">
        <v>-0.22</v>
      </c>
      <c r="CO3792">
        <v>83</v>
      </c>
      <c r="CP3792">
        <v>9.1999999999999993</v>
      </c>
      <c r="CQ3792">
        <v>85</v>
      </c>
      <c r="CR3792">
        <v>0</v>
      </c>
      <c r="CS3792">
        <v>0</v>
      </c>
      <c r="CT3792">
        <v>14.4</v>
      </c>
      <c r="CU3792">
        <v>70</v>
      </c>
      <c r="CV3792">
        <v>0.28999999999999998</v>
      </c>
      <c r="CW3792">
        <v>25</v>
      </c>
      <c r="CX3792" t="s">
        <v>1008</v>
      </c>
    </row>
    <row r="3793" spans="1:102" x14ac:dyDescent="0.3">
      <c r="A3793" t="str">
        <f>HYPERLINK("https://webapp.icbf.com/v2/app/bull-search/view/77857174","GPG")</f>
        <v>GPG</v>
      </c>
      <c r="B3793" t="s">
        <v>499</v>
      </c>
      <c r="C3793" t="s">
        <v>500</v>
      </c>
      <c r="D3793" s="1">
        <v>33846</v>
      </c>
      <c r="E3793" t="s">
        <v>92</v>
      </c>
      <c r="F3793">
        <v>100</v>
      </c>
      <c r="G3793" t="s">
        <v>93</v>
      </c>
      <c r="H3793">
        <v>-62.47</v>
      </c>
      <c r="I3793">
        <v>82</v>
      </c>
      <c r="J3793">
        <v>22.62</v>
      </c>
      <c r="K3793">
        <v>91</v>
      </c>
      <c r="L3793">
        <v>-85.37</v>
      </c>
      <c r="M3793">
        <v>82</v>
      </c>
      <c r="N3793">
        <v>7.73</v>
      </c>
      <c r="O3793">
        <v>70</v>
      </c>
      <c r="P3793">
        <v>-1.24</v>
      </c>
      <c r="Q3793">
        <v>90</v>
      </c>
      <c r="R3793">
        <v>-6.58</v>
      </c>
      <c r="S3793">
        <v>69</v>
      </c>
      <c r="T3793">
        <v>4.0599999999999996</v>
      </c>
      <c r="U3793">
        <v>83</v>
      </c>
      <c r="V3793">
        <v>-3.69</v>
      </c>
      <c r="W3793">
        <v>45</v>
      </c>
      <c r="X3793" t="s">
        <v>251</v>
      </c>
      <c r="Y3793" t="s">
        <v>95</v>
      </c>
      <c r="Z3793" t="s">
        <v>96</v>
      </c>
      <c r="AA3793" t="s">
        <v>161</v>
      </c>
      <c r="AB3793" t="s">
        <v>501</v>
      </c>
      <c r="AC3793">
        <v>51</v>
      </c>
      <c r="AD3793">
        <v>34</v>
      </c>
      <c r="AE3793">
        <v>91</v>
      </c>
      <c r="AF3793">
        <v>194.63</v>
      </c>
      <c r="AG3793">
        <v>2.9</v>
      </c>
      <c r="AH3793">
        <v>5.8</v>
      </c>
      <c r="AI3793">
        <v>-0.08</v>
      </c>
      <c r="AJ3793">
        <v>-0.01</v>
      </c>
      <c r="AK3793">
        <v>82</v>
      </c>
      <c r="AL3793">
        <v>71</v>
      </c>
      <c r="AM3793">
        <v>49</v>
      </c>
      <c r="AN3793">
        <v>4.53</v>
      </c>
      <c r="AO3793">
        <v>-2.2799999999999998</v>
      </c>
      <c r="AP3793">
        <v>49</v>
      </c>
      <c r="AQ3793">
        <v>0</v>
      </c>
      <c r="AR3793">
        <v>9.1999999999999993</v>
      </c>
      <c r="AS3793">
        <v>67</v>
      </c>
      <c r="AT3793">
        <v>3.85</v>
      </c>
      <c r="AU3793">
        <v>58</v>
      </c>
      <c r="AV3793">
        <v>-2.34</v>
      </c>
      <c r="AW3793">
        <v>85</v>
      </c>
      <c r="AX3793">
        <v>-0.48</v>
      </c>
      <c r="AY3793">
        <v>75</v>
      </c>
      <c r="AZ3793">
        <v>7.33</v>
      </c>
      <c r="BA3793">
        <v>44</v>
      </c>
      <c r="BB3793">
        <v>4.8499999999999996</v>
      </c>
      <c r="BC3793">
        <v>51</v>
      </c>
      <c r="BD3793">
        <v>-0.01</v>
      </c>
      <c r="BE3793">
        <v>0.02</v>
      </c>
      <c r="BF3793">
        <v>0.13</v>
      </c>
      <c r="BG3793">
        <v>86</v>
      </c>
      <c r="BH3793">
        <v>-0.18</v>
      </c>
      <c r="BI3793">
        <v>-8.93</v>
      </c>
      <c r="BJ3793">
        <v>5</v>
      </c>
      <c r="BK3793">
        <v>3</v>
      </c>
      <c r="BL3793">
        <v>0.42</v>
      </c>
      <c r="BM3793">
        <v>-1.08</v>
      </c>
      <c r="BN3793">
        <v>-0.77</v>
      </c>
      <c r="BO3793">
        <v>0.24</v>
      </c>
      <c r="BP3793">
        <v>1.1399999999999999</v>
      </c>
      <c r="BQ3793">
        <v>-0.2</v>
      </c>
      <c r="BR3793">
        <v>-0.23</v>
      </c>
      <c r="BS3793">
        <v>0.28999999999999998</v>
      </c>
      <c r="BT3793">
        <v>0.13</v>
      </c>
      <c r="BU3793">
        <v>-0.85</v>
      </c>
      <c r="BV3793">
        <v>0.34</v>
      </c>
      <c r="BW3793">
        <v>1.4</v>
      </c>
      <c r="BX3793">
        <v>0.72</v>
      </c>
      <c r="BY3793">
        <v>-0.41</v>
      </c>
      <c r="BZ3793">
        <v>0.68</v>
      </c>
      <c r="CA3793">
        <v>0.52</v>
      </c>
      <c r="CB3793">
        <v>0.19</v>
      </c>
      <c r="CC3793">
        <v>0.82</v>
      </c>
      <c r="CD3793">
        <v>-0.65</v>
      </c>
      <c r="CE3793">
        <v>0.21</v>
      </c>
      <c r="CF3793">
        <v>0.68</v>
      </c>
      <c r="CG3793">
        <v>0</v>
      </c>
      <c r="CH3793">
        <v>-0.19</v>
      </c>
      <c r="CI3793">
        <v>0</v>
      </c>
      <c r="CJ3793">
        <v>1.7</v>
      </c>
      <c r="CK3793">
        <v>91</v>
      </c>
      <c r="CL3793">
        <v>-0.7</v>
      </c>
      <c r="CM3793">
        <v>88</v>
      </c>
      <c r="CN3793">
        <v>-0.28000000000000003</v>
      </c>
      <c r="CO3793">
        <v>87</v>
      </c>
      <c r="CP3793">
        <v>2.4</v>
      </c>
      <c r="CQ3793">
        <v>88</v>
      </c>
      <c r="CR3793">
        <v>0</v>
      </c>
      <c r="CS3793">
        <v>0</v>
      </c>
      <c r="CT3793">
        <v>8.3000000000000007</v>
      </c>
      <c r="CU3793">
        <v>83</v>
      </c>
      <c r="CV3793">
        <v>0.26</v>
      </c>
      <c r="CW3793">
        <v>26</v>
      </c>
      <c r="CX3793" t="s">
        <v>502</v>
      </c>
    </row>
    <row r="3794" spans="1:102" x14ac:dyDescent="0.3">
      <c r="A3794" t="str">
        <f>HYPERLINK("https://webapp.icbf.com/v2/app/bull-search/view/77858782","DAL")</f>
        <v>DAL</v>
      </c>
      <c r="B3794" t="s">
        <v>14358</v>
      </c>
      <c r="C3794" t="s">
        <v>14359</v>
      </c>
      <c r="D3794" s="1">
        <v>34229</v>
      </c>
      <c r="E3794" t="s">
        <v>92</v>
      </c>
      <c r="F3794">
        <v>100</v>
      </c>
      <c r="G3794" t="s">
        <v>93</v>
      </c>
      <c r="H3794">
        <v>-62.56</v>
      </c>
      <c r="I3794">
        <v>75</v>
      </c>
      <c r="J3794">
        <v>-35.729999999999997</v>
      </c>
      <c r="K3794">
        <v>93</v>
      </c>
      <c r="L3794">
        <v>-51.03</v>
      </c>
      <c r="M3794">
        <v>66</v>
      </c>
      <c r="N3794">
        <v>15.45</v>
      </c>
      <c r="O3794">
        <v>56</v>
      </c>
      <c r="P3794">
        <v>-12.37</v>
      </c>
      <c r="Q3794">
        <v>82</v>
      </c>
      <c r="R3794">
        <v>5.46</v>
      </c>
      <c r="S3794">
        <v>71</v>
      </c>
      <c r="T3794">
        <v>12.05</v>
      </c>
      <c r="U3794">
        <v>74</v>
      </c>
      <c r="V3794">
        <v>3.61</v>
      </c>
      <c r="W3794">
        <v>43</v>
      </c>
      <c r="X3794" t="s">
        <v>94</v>
      </c>
      <c r="Y3794" t="s">
        <v>95</v>
      </c>
      <c r="Z3794" t="s">
        <v>96</v>
      </c>
      <c r="AA3794" t="s">
        <v>798</v>
      </c>
      <c r="AB3794" t="s">
        <v>157</v>
      </c>
      <c r="AC3794">
        <v>105</v>
      </c>
      <c r="AD3794">
        <v>41</v>
      </c>
      <c r="AE3794">
        <v>93</v>
      </c>
      <c r="AF3794">
        <v>-46.38</v>
      </c>
      <c r="AG3794">
        <v>-1.6</v>
      </c>
      <c r="AH3794">
        <v>-6.22</v>
      </c>
      <c r="AI3794">
        <v>0</v>
      </c>
      <c r="AJ3794">
        <v>-0.08</v>
      </c>
      <c r="AK3794">
        <v>66</v>
      </c>
      <c r="AL3794">
        <v>100</v>
      </c>
      <c r="AM3794">
        <v>47</v>
      </c>
      <c r="AN3794">
        <v>1.19</v>
      </c>
      <c r="AO3794">
        <v>-2.9</v>
      </c>
      <c r="AP3794">
        <v>2</v>
      </c>
      <c r="AQ3794">
        <v>0</v>
      </c>
      <c r="AR3794">
        <v>7.34</v>
      </c>
      <c r="AS3794">
        <v>30</v>
      </c>
      <c r="AT3794">
        <v>3</v>
      </c>
      <c r="AU3794">
        <v>50</v>
      </c>
      <c r="AV3794">
        <v>-1.23</v>
      </c>
      <c r="AW3794">
        <v>64</v>
      </c>
      <c r="AX3794">
        <v>-0.39</v>
      </c>
      <c r="AY3794">
        <v>78</v>
      </c>
      <c r="AZ3794">
        <v>6.33</v>
      </c>
      <c r="BA3794">
        <v>30</v>
      </c>
      <c r="BB3794">
        <v>4.42</v>
      </c>
      <c r="BC3794">
        <v>47</v>
      </c>
      <c r="BD3794">
        <v>-0.04</v>
      </c>
      <c r="BE3794">
        <v>-0.01</v>
      </c>
      <c r="BF3794">
        <v>-0.04</v>
      </c>
      <c r="BG3794">
        <v>83</v>
      </c>
      <c r="BH3794">
        <v>0.08</v>
      </c>
      <c r="BI3794">
        <v>-2.4</v>
      </c>
      <c r="BJ3794">
        <v>11</v>
      </c>
      <c r="BK3794">
        <v>9</v>
      </c>
      <c r="BL3794">
        <v>1.18</v>
      </c>
      <c r="BM3794">
        <v>-0.63</v>
      </c>
      <c r="BN3794">
        <v>-0.08</v>
      </c>
      <c r="BO3794">
        <v>0.56999999999999995</v>
      </c>
      <c r="BP3794">
        <v>-1.38</v>
      </c>
      <c r="BQ3794">
        <v>-0.26</v>
      </c>
      <c r="BR3794">
        <v>-1.21</v>
      </c>
      <c r="BS3794">
        <v>1.1100000000000001</v>
      </c>
      <c r="BT3794">
        <v>1.62</v>
      </c>
      <c r="BU3794">
        <v>0.49</v>
      </c>
      <c r="BV3794">
        <v>0.31</v>
      </c>
      <c r="BW3794">
        <v>0.01</v>
      </c>
      <c r="BX3794">
        <v>1.69</v>
      </c>
      <c r="BY3794">
        <v>0.3</v>
      </c>
      <c r="BZ3794">
        <v>0.35</v>
      </c>
      <c r="CA3794">
        <v>0.53</v>
      </c>
      <c r="CB3794">
        <v>0.06</v>
      </c>
      <c r="CC3794">
        <v>1.07</v>
      </c>
      <c r="CD3794">
        <v>-0.67</v>
      </c>
      <c r="CE3794">
        <v>0.49</v>
      </c>
      <c r="CF3794">
        <v>0.42</v>
      </c>
      <c r="CG3794">
        <v>0</v>
      </c>
      <c r="CH3794">
        <v>-0.47</v>
      </c>
      <c r="CI3794">
        <v>0</v>
      </c>
      <c r="CJ3794">
        <v>-4.5999999999999996</v>
      </c>
      <c r="CK3794">
        <v>83</v>
      </c>
      <c r="CL3794">
        <v>-0.77</v>
      </c>
      <c r="CM3794">
        <v>81</v>
      </c>
      <c r="CN3794">
        <v>-0.28000000000000003</v>
      </c>
      <c r="CO3794">
        <v>78</v>
      </c>
      <c r="CP3794">
        <v>-9</v>
      </c>
      <c r="CQ3794">
        <v>88</v>
      </c>
      <c r="CR3794">
        <v>0</v>
      </c>
      <c r="CS3794">
        <v>0</v>
      </c>
      <c r="CT3794">
        <v>-2.5</v>
      </c>
      <c r="CU3794">
        <v>74</v>
      </c>
      <c r="CV3794">
        <v>0.1</v>
      </c>
      <c r="CW3794">
        <v>23</v>
      </c>
      <c r="CX3794" t="s">
        <v>158</v>
      </c>
    </row>
    <row r="3795" spans="1:102" x14ac:dyDescent="0.3">
      <c r="A3795" t="str">
        <f>HYPERLINK("https://webapp.icbf.com/v2/app/bull-search/view/535086931","ARY")</f>
        <v>ARY</v>
      </c>
      <c r="B3795" t="s">
        <v>15089</v>
      </c>
      <c r="C3795" t="s">
        <v>15090</v>
      </c>
      <c r="D3795" s="1">
        <v>38637</v>
      </c>
      <c r="E3795" t="s">
        <v>92</v>
      </c>
      <c r="F3795">
        <v>100</v>
      </c>
      <c r="G3795" t="s">
        <v>109</v>
      </c>
      <c r="H3795">
        <v>-62.58</v>
      </c>
      <c r="I3795">
        <v>57</v>
      </c>
      <c r="J3795">
        <v>24.63</v>
      </c>
      <c r="K3795">
        <v>74</v>
      </c>
      <c r="L3795">
        <v>-37.07</v>
      </c>
      <c r="M3795">
        <v>67</v>
      </c>
      <c r="N3795">
        <v>-41.67</v>
      </c>
      <c r="O3795">
        <v>35</v>
      </c>
      <c r="P3795">
        <v>-14.03</v>
      </c>
      <c r="Q3795">
        <v>33</v>
      </c>
      <c r="R3795">
        <v>0.9</v>
      </c>
      <c r="S3795">
        <v>48</v>
      </c>
      <c r="T3795">
        <v>5.61</v>
      </c>
      <c r="U3795">
        <v>20</v>
      </c>
      <c r="V3795">
        <v>-0.95</v>
      </c>
      <c r="W3795">
        <v>11</v>
      </c>
      <c r="X3795" t="s">
        <v>251</v>
      </c>
      <c r="Y3795" t="s">
        <v>1128</v>
      </c>
      <c r="Z3795" t="s">
        <v>96</v>
      </c>
      <c r="AA3795" t="s">
        <v>15091</v>
      </c>
      <c r="AB3795" t="s">
        <v>15092</v>
      </c>
      <c r="AC3795">
        <v>0</v>
      </c>
      <c r="AD3795">
        <v>0</v>
      </c>
      <c r="AE3795">
        <v>74</v>
      </c>
      <c r="AF3795">
        <v>69.150000000000006</v>
      </c>
      <c r="AG3795">
        <v>-1.1100000000000001</v>
      </c>
      <c r="AH3795">
        <v>5.64</v>
      </c>
      <c r="AI3795">
        <v>-0.06</v>
      </c>
      <c r="AJ3795">
        <v>0.05</v>
      </c>
      <c r="AK3795">
        <v>67</v>
      </c>
      <c r="AL3795">
        <v>0</v>
      </c>
      <c r="AM3795">
        <v>0</v>
      </c>
      <c r="AN3795">
        <v>1.72</v>
      </c>
      <c r="AO3795">
        <v>-1.24</v>
      </c>
      <c r="AP3795">
        <v>2</v>
      </c>
      <c r="AQ3795">
        <v>0</v>
      </c>
      <c r="AR3795">
        <v>12.61</v>
      </c>
      <c r="AS3795">
        <v>13</v>
      </c>
      <c r="AT3795">
        <v>5.73</v>
      </c>
      <c r="AU3795">
        <v>76</v>
      </c>
      <c r="AV3795">
        <v>-0.78</v>
      </c>
      <c r="AW3795">
        <v>27</v>
      </c>
      <c r="AX3795">
        <v>-0.45</v>
      </c>
      <c r="AY3795">
        <v>18</v>
      </c>
      <c r="AZ3795">
        <v>6.63</v>
      </c>
      <c r="BA3795">
        <v>12</v>
      </c>
      <c r="BB3795">
        <v>5.34</v>
      </c>
      <c r="BC3795">
        <v>12</v>
      </c>
      <c r="BD3795">
        <v>0.02</v>
      </c>
      <c r="BE3795">
        <v>0.04</v>
      </c>
      <c r="BF3795">
        <v>-0.13</v>
      </c>
      <c r="BG3795">
        <v>77</v>
      </c>
      <c r="BH3795">
        <v>0.03</v>
      </c>
      <c r="BI3795">
        <v>6.53</v>
      </c>
      <c r="BJ3795">
        <v>0</v>
      </c>
      <c r="BK3795">
        <v>0</v>
      </c>
      <c r="BL3795">
        <v>0.5</v>
      </c>
      <c r="BM3795">
        <v>-1.87</v>
      </c>
      <c r="BN3795">
        <v>0.08</v>
      </c>
      <c r="BO3795">
        <v>1.08</v>
      </c>
      <c r="BP3795">
        <v>-0.62</v>
      </c>
      <c r="BQ3795">
        <v>-0.93</v>
      </c>
      <c r="BR3795">
        <v>0.94</v>
      </c>
      <c r="BS3795">
        <v>-0.28999999999999998</v>
      </c>
      <c r="BT3795">
        <v>-1.76</v>
      </c>
      <c r="BU3795">
        <v>0.35</v>
      </c>
      <c r="BV3795">
        <v>1.01</v>
      </c>
      <c r="BW3795">
        <v>0.95</v>
      </c>
      <c r="BX3795">
        <v>0.54</v>
      </c>
      <c r="BY3795">
        <v>-0.31</v>
      </c>
      <c r="BZ3795">
        <v>-0.75</v>
      </c>
      <c r="CA3795">
        <v>0.34</v>
      </c>
      <c r="CB3795">
        <v>0.3</v>
      </c>
      <c r="CC3795">
        <v>0.27</v>
      </c>
      <c r="CD3795">
        <v>-1.03</v>
      </c>
      <c r="CE3795">
        <v>0</v>
      </c>
      <c r="CF3795">
        <v>0</v>
      </c>
      <c r="CG3795">
        <v>0</v>
      </c>
      <c r="CH3795">
        <v>0</v>
      </c>
      <c r="CI3795">
        <v>0</v>
      </c>
      <c r="CJ3795">
        <v>-3.9</v>
      </c>
      <c r="CK3795">
        <v>36</v>
      </c>
      <c r="CL3795">
        <v>-0.78</v>
      </c>
      <c r="CM3795">
        <v>31</v>
      </c>
      <c r="CN3795">
        <v>0</v>
      </c>
      <c r="CO3795">
        <v>29</v>
      </c>
      <c r="CP3795">
        <v>-4</v>
      </c>
      <c r="CQ3795">
        <v>25</v>
      </c>
      <c r="CR3795">
        <v>0</v>
      </c>
      <c r="CS3795">
        <v>0</v>
      </c>
      <c r="CT3795">
        <v>6.2</v>
      </c>
      <c r="CU3795">
        <v>20</v>
      </c>
      <c r="CV3795">
        <v>0.17</v>
      </c>
      <c r="CW3795">
        <v>9</v>
      </c>
      <c r="CX3795" t="s">
        <v>2792</v>
      </c>
    </row>
    <row r="3796" spans="1:102" x14ac:dyDescent="0.3">
      <c r="A3796" t="str">
        <f>HYPERLINK("https://webapp.icbf.com/v2/app/bull-search/view/69092272","MRB")</f>
        <v>MRB</v>
      </c>
      <c r="B3796" t="s">
        <v>7089</v>
      </c>
      <c r="C3796" t="s">
        <v>7090</v>
      </c>
      <c r="D3796" s="1">
        <v>35092</v>
      </c>
      <c r="E3796" t="s">
        <v>92</v>
      </c>
      <c r="F3796">
        <v>100</v>
      </c>
      <c r="G3796" t="s">
        <v>116</v>
      </c>
      <c r="H3796">
        <v>-62.7</v>
      </c>
      <c r="I3796">
        <v>51</v>
      </c>
      <c r="J3796">
        <v>6.41</v>
      </c>
      <c r="K3796">
        <v>59</v>
      </c>
      <c r="L3796">
        <v>-69.849999999999994</v>
      </c>
      <c r="M3796">
        <v>41</v>
      </c>
      <c r="N3796">
        <v>-12.58</v>
      </c>
      <c r="O3796">
        <v>49</v>
      </c>
      <c r="P3796">
        <v>1</v>
      </c>
      <c r="Q3796">
        <v>65</v>
      </c>
      <c r="R3796">
        <v>-2.13</v>
      </c>
      <c r="S3796">
        <v>46</v>
      </c>
      <c r="T3796">
        <v>14.86</v>
      </c>
      <c r="U3796">
        <v>57</v>
      </c>
      <c r="V3796">
        <v>-0.41</v>
      </c>
      <c r="W3796">
        <v>38</v>
      </c>
      <c r="X3796" t="s">
        <v>94</v>
      </c>
      <c r="Y3796" t="s">
        <v>1499</v>
      </c>
      <c r="Z3796">
        <v>0</v>
      </c>
      <c r="AA3796" t="s">
        <v>97</v>
      </c>
      <c r="AB3796" t="s">
        <v>1460</v>
      </c>
      <c r="AC3796">
        <v>6</v>
      </c>
      <c r="AD3796">
        <v>3</v>
      </c>
      <c r="AE3796">
        <v>59</v>
      </c>
      <c r="AF3796">
        <v>-71.59</v>
      </c>
      <c r="AG3796">
        <v>-2.08</v>
      </c>
      <c r="AH3796">
        <v>0.73</v>
      </c>
      <c r="AI3796">
        <v>0.01</v>
      </c>
      <c r="AJ3796">
        <v>0.05</v>
      </c>
      <c r="AK3796">
        <v>41</v>
      </c>
      <c r="AL3796">
        <v>7</v>
      </c>
      <c r="AM3796">
        <v>4</v>
      </c>
      <c r="AN3796">
        <v>3.82</v>
      </c>
      <c r="AO3796">
        <v>-1.75</v>
      </c>
      <c r="AP3796">
        <v>15</v>
      </c>
      <c r="AQ3796">
        <v>15</v>
      </c>
      <c r="AR3796">
        <v>10.11</v>
      </c>
      <c r="AS3796">
        <v>34</v>
      </c>
      <c r="AT3796">
        <v>4.46</v>
      </c>
      <c r="AU3796">
        <v>50</v>
      </c>
      <c r="AV3796">
        <v>-0.56000000000000005</v>
      </c>
      <c r="AW3796">
        <v>55</v>
      </c>
      <c r="AX3796">
        <v>-0.19</v>
      </c>
      <c r="AY3796">
        <v>54</v>
      </c>
      <c r="AZ3796">
        <v>5.98</v>
      </c>
      <c r="BA3796">
        <v>34</v>
      </c>
      <c r="BB3796">
        <v>4.37</v>
      </c>
      <c r="BC3796">
        <v>38</v>
      </c>
      <c r="BD3796">
        <v>0</v>
      </c>
      <c r="BE3796">
        <v>0.01</v>
      </c>
      <c r="BF3796">
        <v>0.03</v>
      </c>
      <c r="BG3796">
        <v>52</v>
      </c>
      <c r="BH3796">
        <v>-0.02</v>
      </c>
      <c r="BI3796">
        <v>-0.99</v>
      </c>
      <c r="BJ3796">
        <v>0</v>
      </c>
      <c r="BK3796">
        <v>0</v>
      </c>
      <c r="BL3796">
        <v>-0.18</v>
      </c>
      <c r="BM3796">
        <v>-1.03</v>
      </c>
      <c r="BN3796">
        <v>-0.71</v>
      </c>
      <c r="BO3796">
        <v>0.11</v>
      </c>
      <c r="BP3796">
        <v>1.05</v>
      </c>
      <c r="BQ3796">
        <v>-1.37</v>
      </c>
      <c r="BR3796">
        <v>0.18</v>
      </c>
      <c r="BS3796">
        <v>0.4</v>
      </c>
      <c r="BT3796">
        <v>-0.32</v>
      </c>
      <c r="BU3796">
        <v>-0.12</v>
      </c>
      <c r="BV3796">
        <v>-0.15</v>
      </c>
      <c r="BW3796">
        <v>-7.0000000000000007E-2</v>
      </c>
      <c r="BX3796">
        <v>0.24</v>
      </c>
      <c r="BY3796">
        <v>0.3</v>
      </c>
      <c r="BZ3796">
        <v>-1.47</v>
      </c>
      <c r="CA3796">
        <v>0.13</v>
      </c>
      <c r="CB3796">
        <v>0.22</v>
      </c>
      <c r="CC3796">
        <v>-0.2</v>
      </c>
      <c r="CD3796">
        <v>-0.5</v>
      </c>
      <c r="CE3796">
        <v>0.06</v>
      </c>
      <c r="CF3796">
        <v>-0.91</v>
      </c>
      <c r="CG3796">
        <v>0</v>
      </c>
      <c r="CH3796">
        <v>0.21</v>
      </c>
      <c r="CI3796">
        <v>0</v>
      </c>
      <c r="CJ3796">
        <v>-0.4</v>
      </c>
      <c r="CK3796">
        <v>68</v>
      </c>
      <c r="CL3796">
        <v>-0.3</v>
      </c>
      <c r="CM3796">
        <v>63</v>
      </c>
      <c r="CN3796">
        <v>-0.46</v>
      </c>
      <c r="CO3796">
        <v>60</v>
      </c>
      <c r="CP3796">
        <v>-4.9000000000000004</v>
      </c>
      <c r="CQ3796">
        <v>61</v>
      </c>
      <c r="CR3796">
        <v>0</v>
      </c>
      <c r="CS3796">
        <v>0</v>
      </c>
      <c r="CT3796">
        <v>-6.3</v>
      </c>
      <c r="CU3796">
        <v>57</v>
      </c>
      <c r="CV3796">
        <v>0.02</v>
      </c>
      <c r="CW3796">
        <v>18</v>
      </c>
      <c r="CX3796" t="s">
        <v>166</v>
      </c>
    </row>
    <row r="3797" spans="1:102" x14ac:dyDescent="0.3">
      <c r="A3797" t="str">
        <f>HYPERLINK("https://webapp.icbf.com/v2/app/bull-search/view/529827567","SNJ")</f>
        <v>SNJ</v>
      </c>
      <c r="B3797" t="s">
        <v>1554</v>
      </c>
      <c r="C3797" t="s">
        <v>1555</v>
      </c>
      <c r="D3797" s="1">
        <v>37153</v>
      </c>
      <c r="E3797" t="s">
        <v>140</v>
      </c>
      <c r="F3797">
        <v>0</v>
      </c>
      <c r="G3797" t="s">
        <v>109</v>
      </c>
      <c r="H3797">
        <v>-62.8</v>
      </c>
      <c r="I3797">
        <v>70</v>
      </c>
      <c r="J3797">
        <v>-37.93</v>
      </c>
      <c r="K3797">
        <v>85</v>
      </c>
      <c r="L3797">
        <v>18.329999999999998</v>
      </c>
      <c r="M3797">
        <v>60</v>
      </c>
      <c r="N3797">
        <v>-52.31</v>
      </c>
      <c r="O3797">
        <v>63</v>
      </c>
      <c r="P3797">
        <v>12.45</v>
      </c>
      <c r="Q3797">
        <v>79</v>
      </c>
      <c r="R3797">
        <v>6.83</v>
      </c>
      <c r="S3797">
        <v>60</v>
      </c>
      <c r="T3797">
        <v>2.36</v>
      </c>
      <c r="U3797">
        <v>67</v>
      </c>
      <c r="V3797">
        <v>-12.53</v>
      </c>
      <c r="W3797">
        <v>53</v>
      </c>
      <c r="X3797" t="s">
        <v>251</v>
      </c>
      <c r="Y3797" t="s">
        <v>270</v>
      </c>
      <c r="Z3797">
        <v>0</v>
      </c>
      <c r="AA3797" t="s">
        <v>1556</v>
      </c>
      <c r="AB3797" t="s">
        <v>1557</v>
      </c>
      <c r="AC3797">
        <v>0</v>
      </c>
      <c r="AD3797">
        <v>0</v>
      </c>
      <c r="AE3797">
        <v>85</v>
      </c>
      <c r="AF3797">
        <v>-167.2</v>
      </c>
      <c r="AG3797">
        <v>-7.63</v>
      </c>
      <c r="AH3797">
        <v>-6.31</v>
      </c>
      <c r="AI3797">
        <v>-0.02</v>
      </c>
      <c r="AJ3797">
        <v>-0.01</v>
      </c>
      <c r="AK3797">
        <v>60</v>
      </c>
      <c r="AL3797">
        <v>20</v>
      </c>
      <c r="AM3797">
        <v>6</v>
      </c>
      <c r="AN3797">
        <v>-1.91</v>
      </c>
      <c r="AO3797">
        <v>-0.46</v>
      </c>
      <c r="AP3797">
        <v>38</v>
      </c>
      <c r="AQ3797">
        <v>0</v>
      </c>
      <c r="AR3797">
        <v>10.64</v>
      </c>
      <c r="AS3797">
        <v>58</v>
      </c>
      <c r="AT3797">
        <v>5.18</v>
      </c>
      <c r="AU3797">
        <v>62</v>
      </c>
      <c r="AV3797">
        <v>3.58</v>
      </c>
      <c r="AW3797">
        <v>75</v>
      </c>
      <c r="AX3797">
        <v>0.55000000000000004</v>
      </c>
      <c r="AY3797">
        <v>59</v>
      </c>
      <c r="AZ3797">
        <v>4.5199999999999996</v>
      </c>
      <c r="BA3797">
        <v>41</v>
      </c>
      <c r="BB3797">
        <v>3.42</v>
      </c>
      <c r="BC3797">
        <v>42</v>
      </c>
      <c r="BD3797">
        <v>0</v>
      </c>
      <c r="BE3797">
        <v>-0.03</v>
      </c>
      <c r="BF3797">
        <v>-0.1</v>
      </c>
      <c r="BG3797">
        <v>67</v>
      </c>
      <c r="BH3797">
        <v>-0.4</v>
      </c>
      <c r="BI3797">
        <v>-5.84</v>
      </c>
      <c r="BJ3797">
        <v>0</v>
      </c>
      <c r="BK3797">
        <v>0</v>
      </c>
      <c r="BL3797">
        <v>-0.79</v>
      </c>
      <c r="BM3797">
        <v>3.39</v>
      </c>
      <c r="BN3797">
        <v>-1.73</v>
      </c>
      <c r="BO3797">
        <v>-2.95</v>
      </c>
      <c r="BP3797">
        <v>4.3099999999999996</v>
      </c>
      <c r="BQ3797">
        <v>-2.2799999999999998</v>
      </c>
      <c r="BR3797">
        <v>-2.7</v>
      </c>
      <c r="BS3797">
        <v>-0.47</v>
      </c>
      <c r="BT3797">
        <v>2.5299999999999998</v>
      </c>
      <c r="BU3797">
        <v>-3.61</v>
      </c>
      <c r="BV3797">
        <v>-4.0599999999999996</v>
      </c>
      <c r="BW3797">
        <v>-3.01</v>
      </c>
      <c r="BX3797">
        <v>-2.8</v>
      </c>
      <c r="BY3797">
        <v>-2.09</v>
      </c>
      <c r="BZ3797">
        <v>0.93</v>
      </c>
      <c r="CA3797">
        <v>-2.6</v>
      </c>
      <c r="CB3797">
        <v>-3.32</v>
      </c>
      <c r="CC3797">
        <v>-0.4</v>
      </c>
      <c r="CD3797">
        <v>3.86</v>
      </c>
      <c r="CE3797">
        <v>-2.95</v>
      </c>
      <c r="CF3797">
        <v>-1.01</v>
      </c>
      <c r="CG3797">
        <v>0</v>
      </c>
      <c r="CH3797">
        <v>-2.69</v>
      </c>
      <c r="CI3797">
        <v>0</v>
      </c>
      <c r="CJ3797">
        <v>4.5</v>
      </c>
      <c r="CK3797">
        <v>82</v>
      </c>
      <c r="CL3797">
        <v>0.36</v>
      </c>
      <c r="CM3797">
        <v>78</v>
      </c>
      <c r="CN3797">
        <v>-0.14000000000000001</v>
      </c>
      <c r="CO3797">
        <v>76</v>
      </c>
      <c r="CP3797">
        <v>5.9</v>
      </c>
      <c r="CQ3797">
        <v>70</v>
      </c>
      <c r="CR3797">
        <v>0</v>
      </c>
      <c r="CS3797">
        <v>0</v>
      </c>
      <c r="CT3797">
        <v>10.6</v>
      </c>
      <c r="CU3797">
        <v>67</v>
      </c>
      <c r="CV3797">
        <v>0.11</v>
      </c>
      <c r="CW3797">
        <v>42</v>
      </c>
      <c r="CX3797" t="s">
        <v>295</v>
      </c>
    </row>
    <row r="3798" spans="1:102" x14ac:dyDescent="0.3">
      <c r="A3798" t="str">
        <f>HYPERLINK("https://webapp.icbf.com/v2/app/bull-search/view/77855938","LED")</f>
        <v>LED</v>
      </c>
      <c r="B3798" t="s">
        <v>3695</v>
      </c>
      <c r="C3798" t="s">
        <v>3696</v>
      </c>
      <c r="D3798" s="1">
        <v>32953</v>
      </c>
      <c r="E3798" t="s">
        <v>92</v>
      </c>
      <c r="F3798">
        <v>75</v>
      </c>
      <c r="G3798" t="s">
        <v>93</v>
      </c>
      <c r="H3798">
        <v>-62.89</v>
      </c>
      <c r="I3798">
        <v>63</v>
      </c>
      <c r="J3798">
        <v>-43.89</v>
      </c>
      <c r="K3798">
        <v>79</v>
      </c>
      <c r="L3798">
        <v>31.7</v>
      </c>
      <c r="M3798">
        <v>55</v>
      </c>
      <c r="N3798">
        <v>-35.520000000000003</v>
      </c>
      <c r="O3798">
        <v>43</v>
      </c>
      <c r="P3798">
        <v>-18.690000000000001</v>
      </c>
      <c r="Q3798">
        <v>64</v>
      </c>
      <c r="R3798">
        <v>-10.28</v>
      </c>
      <c r="S3798">
        <v>61</v>
      </c>
      <c r="T3798">
        <v>17.079999999999998</v>
      </c>
      <c r="U3798">
        <v>66</v>
      </c>
      <c r="V3798">
        <v>-3.29</v>
      </c>
      <c r="W3798">
        <v>30</v>
      </c>
      <c r="X3798" t="s">
        <v>94</v>
      </c>
      <c r="Y3798" t="s">
        <v>95</v>
      </c>
      <c r="Z3798" t="s">
        <v>96</v>
      </c>
      <c r="AA3798" t="s">
        <v>154</v>
      </c>
      <c r="AB3798" t="s">
        <v>3697</v>
      </c>
      <c r="AC3798">
        <v>21</v>
      </c>
      <c r="AD3798">
        <v>13</v>
      </c>
      <c r="AE3798">
        <v>79</v>
      </c>
      <c r="AF3798">
        <v>-256.08999999999997</v>
      </c>
      <c r="AG3798">
        <v>-5.72</v>
      </c>
      <c r="AH3798">
        <v>-9.36</v>
      </c>
      <c r="AI3798">
        <v>7.0000000000000007E-2</v>
      </c>
      <c r="AJ3798">
        <v>-0.01</v>
      </c>
      <c r="AK3798">
        <v>55</v>
      </c>
      <c r="AL3798">
        <v>43</v>
      </c>
      <c r="AM3798">
        <v>33</v>
      </c>
      <c r="AN3798">
        <v>-0.04</v>
      </c>
      <c r="AO3798">
        <v>2.5099999999999998</v>
      </c>
      <c r="AP3798">
        <v>4</v>
      </c>
      <c r="AQ3798">
        <v>1</v>
      </c>
      <c r="AR3798">
        <v>11.46</v>
      </c>
      <c r="AS3798">
        <v>32</v>
      </c>
      <c r="AT3798">
        <v>5.01</v>
      </c>
      <c r="AU3798">
        <v>41</v>
      </c>
      <c r="AV3798">
        <v>-0.11</v>
      </c>
      <c r="AW3798">
        <v>46</v>
      </c>
      <c r="AX3798">
        <v>-0.12</v>
      </c>
      <c r="AY3798">
        <v>60</v>
      </c>
      <c r="AZ3798">
        <v>7.08</v>
      </c>
      <c r="BA3798">
        <v>30</v>
      </c>
      <c r="BB3798">
        <v>5.59</v>
      </c>
      <c r="BC3798">
        <v>38</v>
      </c>
      <c r="BD3798">
        <v>0.05</v>
      </c>
      <c r="BE3798">
        <v>7.0000000000000007E-2</v>
      </c>
      <c r="BF3798">
        <v>0.02</v>
      </c>
      <c r="BG3798">
        <v>77</v>
      </c>
      <c r="BH3798">
        <v>0.04</v>
      </c>
      <c r="BI3798">
        <v>15.23</v>
      </c>
      <c r="BJ3798">
        <v>4</v>
      </c>
      <c r="BK3798">
        <v>4</v>
      </c>
      <c r="BL3798">
        <v>-0.84</v>
      </c>
      <c r="BM3798">
        <v>0.48</v>
      </c>
      <c r="BN3798">
        <v>-0.04</v>
      </c>
      <c r="BO3798">
        <v>-0.62</v>
      </c>
      <c r="BP3798">
        <v>-1.32</v>
      </c>
      <c r="BQ3798">
        <v>-0.28000000000000003</v>
      </c>
      <c r="BR3798">
        <v>-0.17</v>
      </c>
      <c r="BS3798">
        <v>0.02</v>
      </c>
      <c r="BT3798">
        <v>0.09</v>
      </c>
      <c r="BU3798">
        <v>-0.49</v>
      </c>
      <c r="BV3798">
        <v>-0.76</v>
      </c>
      <c r="BW3798">
        <v>-0.43</v>
      </c>
      <c r="BX3798">
        <v>0.31</v>
      </c>
      <c r="BY3798">
        <v>-0.68</v>
      </c>
      <c r="BZ3798">
        <v>-0.39</v>
      </c>
      <c r="CA3798">
        <v>-0.33</v>
      </c>
      <c r="CB3798">
        <v>-0.66</v>
      </c>
      <c r="CC3798">
        <v>0.49</v>
      </c>
      <c r="CD3798">
        <v>0.62</v>
      </c>
      <c r="CE3798">
        <v>-0.72</v>
      </c>
      <c r="CF3798">
        <v>-0.67</v>
      </c>
      <c r="CG3798">
        <v>0</v>
      </c>
      <c r="CH3798">
        <v>-0.55000000000000004</v>
      </c>
      <c r="CI3798">
        <v>0</v>
      </c>
      <c r="CJ3798">
        <v>-9.8000000000000007</v>
      </c>
      <c r="CK3798">
        <v>66</v>
      </c>
      <c r="CL3798">
        <v>-0.75</v>
      </c>
      <c r="CM3798">
        <v>62</v>
      </c>
      <c r="CN3798">
        <v>-0.32</v>
      </c>
      <c r="CO3798">
        <v>58</v>
      </c>
      <c r="CP3798">
        <v>-7.8</v>
      </c>
      <c r="CQ3798">
        <v>67</v>
      </c>
      <c r="CR3798">
        <v>0</v>
      </c>
      <c r="CS3798">
        <v>0</v>
      </c>
      <c r="CT3798">
        <v>-9.3000000000000007</v>
      </c>
      <c r="CU3798">
        <v>66</v>
      </c>
      <c r="CV3798">
        <v>0.04</v>
      </c>
      <c r="CW3798">
        <v>18</v>
      </c>
      <c r="CX3798" t="s">
        <v>622</v>
      </c>
    </row>
    <row r="3799" spans="1:102" x14ac:dyDescent="0.3">
      <c r="A3799" t="str">
        <f>HYPERLINK("https://webapp.icbf.com/v2/app/bull-search/view/77856142","LCB")</f>
        <v>LCB</v>
      </c>
      <c r="B3799" t="s">
        <v>4949</v>
      </c>
      <c r="C3799" t="s">
        <v>4950</v>
      </c>
      <c r="D3799" s="1">
        <v>33998</v>
      </c>
      <c r="E3799" t="s">
        <v>92</v>
      </c>
      <c r="F3799">
        <v>100</v>
      </c>
      <c r="G3799" t="s">
        <v>93</v>
      </c>
      <c r="H3799">
        <v>-62.94</v>
      </c>
      <c r="I3799">
        <v>81</v>
      </c>
      <c r="J3799">
        <v>-12.67</v>
      </c>
      <c r="K3799">
        <v>94</v>
      </c>
      <c r="L3799">
        <v>-52.61</v>
      </c>
      <c r="M3799">
        <v>81</v>
      </c>
      <c r="N3799">
        <v>2.36</v>
      </c>
      <c r="O3799">
        <v>69</v>
      </c>
      <c r="P3799">
        <v>3.16</v>
      </c>
      <c r="Q3799">
        <v>79</v>
      </c>
      <c r="R3799">
        <v>-0.74</v>
      </c>
      <c r="S3799">
        <v>65</v>
      </c>
      <c r="T3799">
        <v>-4.01</v>
      </c>
      <c r="U3799">
        <v>78</v>
      </c>
      <c r="V3799">
        <v>1.57</v>
      </c>
      <c r="W3799">
        <v>40</v>
      </c>
      <c r="X3799" t="s">
        <v>558</v>
      </c>
      <c r="Y3799" t="s">
        <v>95</v>
      </c>
      <c r="Z3799" t="s">
        <v>96</v>
      </c>
      <c r="AA3799" t="s">
        <v>485</v>
      </c>
      <c r="AB3799" t="s">
        <v>4951</v>
      </c>
      <c r="AC3799">
        <v>63</v>
      </c>
      <c r="AD3799">
        <v>41</v>
      </c>
      <c r="AE3799">
        <v>94</v>
      </c>
      <c r="AF3799">
        <v>249.64</v>
      </c>
      <c r="AG3799">
        <v>-0.01</v>
      </c>
      <c r="AH3799">
        <v>1.67</v>
      </c>
      <c r="AI3799">
        <v>-0.16</v>
      </c>
      <c r="AJ3799">
        <v>-0.11</v>
      </c>
      <c r="AK3799">
        <v>81</v>
      </c>
      <c r="AL3799">
        <v>80</v>
      </c>
      <c r="AM3799">
        <v>40</v>
      </c>
      <c r="AN3799">
        <v>2.5299999999999998</v>
      </c>
      <c r="AO3799">
        <v>-1.67</v>
      </c>
      <c r="AP3799">
        <v>9</v>
      </c>
      <c r="AQ3799">
        <v>0</v>
      </c>
      <c r="AR3799">
        <v>7.79</v>
      </c>
      <c r="AS3799">
        <v>46</v>
      </c>
      <c r="AT3799">
        <v>3.43</v>
      </c>
      <c r="AU3799">
        <v>74</v>
      </c>
      <c r="AV3799">
        <v>-0.39</v>
      </c>
      <c r="AW3799">
        <v>76</v>
      </c>
      <c r="AX3799">
        <v>-0.2</v>
      </c>
      <c r="AY3799">
        <v>71</v>
      </c>
      <c r="AZ3799">
        <v>6.3</v>
      </c>
      <c r="BA3799">
        <v>49</v>
      </c>
      <c r="BB3799">
        <v>4.6399999999999997</v>
      </c>
      <c r="BC3799">
        <v>57</v>
      </c>
      <c r="BD3799">
        <v>0.03</v>
      </c>
      <c r="BE3799">
        <v>0.03</v>
      </c>
      <c r="BF3799">
        <v>-0.09</v>
      </c>
      <c r="BG3799">
        <v>76</v>
      </c>
      <c r="BH3799">
        <v>0.09</v>
      </c>
      <c r="BI3799">
        <v>5.35</v>
      </c>
      <c r="BJ3799">
        <v>8</v>
      </c>
      <c r="BK3799">
        <v>7</v>
      </c>
      <c r="BL3799">
        <v>0.68</v>
      </c>
      <c r="BM3799">
        <v>0.34</v>
      </c>
      <c r="BN3799">
        <v>0.52</v>
      </c>
      <c r="BO3799">
        <v>0.13</v>
      </c>
      <c r="BP3799">
        <v>-1.96</v>
      </c>
      <c r="BQ3799">
        <v>0.92</v>
      </c>
      <c r="BR3799">
        <v>1.21</v>
      </c>
      <c r="BS3799">
        <v>0.05</v>
      </c>
      <c r="BT3799">
        <v>-0.1</v>
      </c>
      <c r="BU3799">
        <v>0.11</v>
      </c>
      <c r="BV3799">
        <v>0.11</v>
      </c>
      <c r="BW3799">
        <v>0.75</v>
      </c>
      <c r="BX3799">
        <v>0.56000000000000005</v>
      </c>
      <c r="BY3799">
        <v>0.92</v>
      </c>
      <c r="BZ3799">
        <v>-1.74</v>
      </c>
      <c r="CA3799">
        <v>0.56000000000000005</v>
      </c>
      <c r="CB3799">
        <v>0.7</v>
      </c>
      <c r="CC3799">
        <v>-0.01</v>
      </c>
      <c r="CD3799">
        <v>0.16</v>
      </c>
      <c r="CE3799">
        <v>-0.3</v>
      </c>
      <c r="CF3799">
        <v>-0.37</v>
      </c>
      <c r="CG3799">
        <v>0</v>
      </c>
      <c r="CH3799">
        <v>0.09</v>
      </c>
      <c r="CI3799">
        <v>0</v>
      </c>
      <c r="CJ3799">
        <v>2.2999999999999998</v>
      </c>
      <c r="CK3799">
        <v>80</v>
      </c>
      <c r="CL3799">
        <v>-0.44</v>
      </c>
      <c r="CM3799">
        <v>77</v>
      </c>
      <c r="CN3799">
        <v>-0.37</v>
      </c>
      <c r="CO3799">
        <v>74</v>
      </c>
      <c r="CP3799">
        <v>1.3</v>
      </c>
      <c r="CQ3799">
        <v>88</v>
      </c>
      <c r="CR3799">
        <v>0</v>
      </c>
      <c r="CS3799">
        <v>0</v>
      </c>
      <c r="CT3799">
        <v>19.2</v>
      </c>
      <c r="CU3799">
        <v>78</v>
      </c>
      <c r="CV3799">
        <v>0.1</v>
      </c>
      <c r="CW3799">
        <v>23</v>
      </c>
      <c r="CX3799" t="s">
        <v>132</v>
      </c>
    </row>
    <row r="3800" spans="1:102" x14ac:dyDescent="0.3">
      <c r="A3800" t="str">
        <f>HYPERLINK("https://webapp.icbf.com/v2/app/bull-search/view/532894131","WKV")</f>
        <v>WKV</v>
      </c>
      <c r="B3800" t="s">
        <v>12372</v>
      </c>
      <c r="C3800" t="s">
        <v>12373</v>
      </c>
      <c r="D3800" s="1">
        <v>38486</v>
      </c>
      <c r="E3800" t="s">
        <v>92</v>
      </c>
      <c r="F3800">
        <v>100</v>
      </c>
      <c r="G3800" t="s">
        <v>109</v>
      </c>
      <c r="H3800">
        <v>-62.97</v>
      </c>
      <c r="I3800">
        <v>64</v>
      </c>
      <c r="J3800">
        <v>-9.2200000000000006</v>
      </c>
      <c r="K3800">
        <v>77</v>
      </c>
      <c r="L3800">
        <v>-50.56</v>
      </c>
      <c r="M3800">
        <v>75</v>
      </c>
      <c r="N3800">
        <v>3.3</v>
      </c>
      <c r="O3800">
        <v>42</v>
      </c>
      <c r="P3800">
        <v>-9.3000000000000007</v>
      </c>
      <c r="Q3800">
        <v>39</v>
      </c>
      <c r="R3800">
        <v>-1.17</v>
      </c>
      <c r="S3800">
        <v>57</v>
      </c>
      <c r="T3800">
        <v>1.91</v>
      </c>
      <c r="U3800">
        <v>38</v>
      </c>
      <c r="V3800">
        <v>2.0699999999999998</v>
      </c>
      <c r="W3800">
        <v>28</v>
      </c>
      <c r="X3800" t="s">
        <v>276</v>
      </c>
      <c r="Y3800" t="s">
        <v>282</v>
      </c>
      <c r="Z3800" t="s">
        <v>96</v>
      </c>
      <c r="AA3800" t="s">
        <v>4673</v>
      </c>
      <c r="AB3800" t="s">
        <v>8094</v>
      </c>
      <c r="AC3800">
        <v>0</v>
      </c>
      <c r="AD3800">
        <v>0</v>
      </c>
      <c r="AE3800">
        <v>77</v>
      </c>
      <c r="AF3800">
        <v>107.39</v>
      </c>
      <c r="AG3800">
        <v>-4.6500000000000004</v>
      </c>
      <c r="AH3800">
        <v>1.72</v>
      </c>
      <c r="AI3800">
        <v>-0.14000000000000001</v>
      </c>
      <c r="AJ3800">
        <v>-0.03</v>
      </c>
      <c r="AK3800">
        <v>75</v>
      </c>
      <c r="AL3800">
        <v>0</v>
      </c>
      <c r="AM3800">
        <v>0</v>
      </c>
      <c r="AN3800">
        <v>2.15</v>
      </c>
      <c r="AO3800">
        <v>-1.89</v>
      </c>
      <c r="AP3800">
        <v>1</v>
      </c>
      <c r="AQ3800">
        <v>0</v>
      </c>
      <c r="AR3800">
        <v>7.78</v>
      </c>
      <c r="AS3800">
        <v>31</v>
      </c>
      <c r="AT3800">
        <v>3.83</v>
      </c>
      <c r="AU3800">
        <v>78</v>
      </c>
      <c r="AV3800">
        <v>-1.23</v>
      </c>
      <c r="AW3800">
        <v>31</v>
      </c>
      <c r="AX3800">
        <v>0.39</v>
      </c>
      <c r="AY3800">
        <v>31</v>
      </c>
      <c r="AZ3800">
        <v>5.57</v>
      </c>
      <c r="BA3800">
        <v>27</v>
      </c>
      <c r="BB3800">
        <v>4.9400000000000004</v>
      </c>
      <c r="BC3800">
        <v>26</v>
      </c>
      <c r="BD3800">
        <v>0.03</v>
      </c>
      <c r="BE3800">
        <v>0.03</v>
      </c>
      <c r="BF3800">
        <v>-0.08</v>
      </c>
      <c r="BG3800">
        <v>82</v>
      </c>
      <c r="BH3800">
        <v>0.08</v>
      </c>
      <c r="BI3800">
        <v>2.59</v>
      </c>
      <c r="BJ3800">
        <v>0</v>
      </c>
      <c r="BK3800">
        <v>0</v>
      </c>
      <c r="BL3800">
        <v>1.59</v>
      </c>
      <c r="BM3800">
        <v>-1.49</v>
      </c>
      <c r="BN3800">
        <v>0.42</v>
      </c>
      <c r="BO3800">
        <v>1.08</v>
      </c>
      <c r="BP3800">
        <v>-0.54</v>
      </c>
      <c r="BQ3800">
        <v>2.75</v>
      </c>
      <c r="BR3800">
        <v>-0.59</v>
      </c>
      <c r="BS3800">
        <v>0.23</v>
      </c>
      <c r="BT3800">
        <v>1.17</v>
      </c>
      <c r="BU3800">
        <v>1.44</v>
      </c>
      <c r="BV3800">
        <v>1.87</v>
      </c>
      <c r="BW3800">
        <v>2.2000000000000002</v>
      </c>
      <c r="BX3800">
        <v>1.91</v>
      </c>
      <c r="BY3800">
        <v>2.14</v>
      </c>
      <c r="BZ3800">
        <v>-0.06</v>
      </c>
      <c r="CA3800">
        <v>1.46</v>
      </c>
      <c r="CB3800">
        <v>1.36</v>
      </c>
      <c r="CC3800">
        <v>1.07</v>
      </c>
      <c r="CD3800">
        <v>-1.41</v>
      </c>
      <c r="CE3800">
        <v>0</v>
      </c>
      <c r="CF3800">
        <v>0</v>
      </c>
      <c r="CG3800">
        <v>0</v>
      </c>
      <c r="CH3800">
        <v>0</v>
      </c>
      <c r="CI3800">
        <v>0</v>
      </c>
      <c r="CJ3800">
        <v>-3.15</v>
      </c>
      <c r="CK3800">
        <v>40</v>
      </c>
      <c r="CL3800">
        <v>-1.27</v>
      </c>
      <c r="CM3800">
        <v>38</v>
      </c>
      <c r="CN3800">
        <v>-0.69</v>
      </c>
      <c r="CO3800">
        <v>38</v>
      </c>
      <c r="CP3800">
        <v>0.5</v>
      </c>
      <c r="CQ3800">
        <v>38</v>
      </c>
      <c r="CR3800">
        <v>0</v>
      </c>
      <c r="CS3800">
        <v>0</v>
      </c>
      <c r="CT3800">
        <v>11.2</v>
      </c>
      <c r="CU3800">
        <v>38</v>
      </c>
      <c r="CV3800">
        <v>0.27</v>
      </c>
      <c r="CW3800">
        <v>16</v>
      </c>
      <c r="CX3800" t="s">
        <v>596</v>
      </c>
    </row>
    <row r="3801" spans="1:102" x14ac:dyDescent="0.3">
      <c r="A3801" t="str">
        <f>HYPERLINK("https://webapp.icbf.com/v2/app/bull-search/view/69091696","FRI")</f>
        <v>FRI</v>
      </c>
      <c r="B3801" t="s">
        <v>15001</v>
      </c>
      <c r="C3801" t="s">
        <v>15002</v>
      </c>
      <c r="D3801" s="1">
        <v>36511</v>
      </c>
      <c r="E3801" t="s">
        <v>92</v>
      </c>
      <c r="F3801">
        <v>100</v>
      </c>
      <c r="G3801" t="s">
        <v>93</v>
      </c>
      <c r="H3801">
        <v>-63.09</v>
      </c>
      <c r="I3801">
        <v>78</v>
      </c>
      <c r="J3801">
        <v>-28.74</v>
      </c>
      <c r="K3801">
        <v>94</v>
      </c>
      <c r="L3801">
        <v>-52.31</v>
      </c>
      <c r="M3801">
        <v>63</v>
      </c>
      <c r="N3801">
        <v>10.9</v>
      </c>
      <c r="O3801">
        <v>72</v>
      </c>
      <c r="P3801">
        <v>-7.86</v>
      </c>
      <c r="Q3801">
        <v>92</v>
      </c>
      <c r="R3801">
        <v>-2.17</v>
      </c>
      <c r="S3801">
        <v>65</v>
      </c>
      <c r="T3801">
        <v>10.27</v>
      </c>
      <c r="U3801">
        <v>81</v>
      </c>
      <c r="V3801">
        <v>6.82</v>
      </c>
      <c r="W3801">
        <v>64</v>
      </c>
      <c r="X3801" t="s">
        <v>94</v>
      </c>
      <c r="Y3801" t="s">
        <v>95</v>
      </c>
      <c r="Z3801" t="s">
        <v>96</v>
      </c>
      <c r="AA3801" t="s">
        <v>4619</v>
      </c>
      <c r="AB3801" t="s">
        <v>15003</v>
      </c>
      <c r="AC3801">
        <v>69</v>
      </c>
      <c r="AD3801">
        <v>15</v>
      </c>
      <c r="AE3801">
        <v>94</v>
      </c>
      <c r="AF3801">
        <v>-31.87</v>
      </c>
      <c r="AG3801">
        <v>-3.86</v>
      </c>
      <c r="AH3801">
        <v>-4.01</v>
      </c>
      <c r="AI3801">
        <v>-0.04</v>
      </c>
      <c r="AJ3801">
        <v>-0.05</v>
      </c>
      <c r="AK3801">
        <v>63</v>
      </c>
      <c r="AL3801">
        <v>69</v>
      </c>
      <c r="AM3801">
        <v>21</v>
      </c>
      <c r="AN3801">
        <v>2.19</v>
      </c>
      <c r="AO3801">
        <v>-1.99</v>
      </c>
      <c r="AP3801">
        <v>109</v>
      </c>
      <c r="AQ3801">
        <v>3</v>
      </c>
      <c r="AR3801">
        <v>4.6500000000000004</v>
      </c>
      <c r="AS3801">
        <v>72</v>
      </c>
      <c r="AT3801">
        <v>2.35</v>
      </c>
      <c r="AU3801">
        <v>73</v>
      </c>
      <c r="AV3801">
        <v>0.18</v>
      </c>
      <c r="AW3801">
        <v>77</v>
      </c>
      <c r="AX3801">
        <v>0.41</v>
      </c>
      <c r="AY3801">
        <v>76</v>
      </c>
      <c r="AZ3801">
        <v>6.31</v>
      </c>
      <c r="BA3801">
        <v>54</v>
      </c>
      <c r="BB3801">
        <v>4.92</v>
      </c>
      <c r="BC3801">
        <v>58</v>
      </c>
      <c r="BD3801">
        <v>0</v>
      </c>
      <c r="BE3801">
        <v>0</v>
      </c>
      <c r="BF3801">
        <v>0.05</v>
      </c>
      <c r="BG3801">
        <v>75</v>
      </c>
      <c r="BH3801">
        <v>0.1</v>
      </c>
      <c r="BI3801">
        <v>-10.44</v>
      </c>
      <c r="BJ3801">
        <v>1</v>
      </c>
      <c r="BK3801">
        <v>1</v>
      </c>
      <c r="BL3801">
        <v>-0.05</v>
      </c>
      <c r="BM3801">
        <v>-0.49</v>
      </c>
      <c r="BN3801">
        <v>0.12</v>
      </c>
      <c r="BO3801">
        <v>0.35</v>
      </c>
      <c r="BP3801">
        <v>-0.11</v>
      </c>
      <c r="BQ3801">
        <v>-0.59</v>
      </c>
      <c r="BR3801">
        <v>0.62</v>
      </c>
      <c r="BS3801">
        <v>-0.34</v>
      </c>
      <c r="BT3801">
        <v>0.42</v>
      </c>
      <c r="BU3801">
        <v>-0.28999999999999998</v>
      </c>
      <c r="BV3801">
        <v>0.63</v>
      </c>
      <c r="BW3801">
        <v>0.54</v>
      </c>
      <c r="BX3801">
        <v>-1.28</v>
      </c>
      <c r="BY3801">
        <v>0.28000000000000003</v>
      </c>
      <c r="BZ3801">
        <v>-0.64</v>
      </c>
      <c r="CA3801">
        <v>0.31</v>
      </c>
      <c r="CB3801">
        <v>0.27</v>
      </c>
      <c r="CC3801">
        <v>0.27</v>
      </c>
      <c r="CD3801">
        <v>-0.71</v>
      </c>
      <c r="CE3801">
        <v>0.57999999999999996</v>
      </c>
      <c r="CF3801">
        <v>-0.5</v>
      </c>
      <c r="CG3801">
        <v>0</v>
      </c>
      <c r="CH3801">
        <v>1.28</v>
      </c>
      <c r="CI3801">
        <v>0</v>
      </c>
      <c r="CJ3801">
        <v>-2.9</v>
      </c>
      <c r="CK3801">
        <v>93</v>
      </c>
      <c r="CL3801">
        <v>-0.55000000000000004</v>
      </c>
      <c r="CM3801">
        <v>92</v>
      </c>
      <c r="CN3801">
        <v>-0.18</v>
      </c>
      <c r="CO3801">
        <v>91</v>
      </c>
      <c r="CP3801">
        <v>-1.9</v>
      </c>
      <c r="CQ3801">
        <v>88</v>
      </c>
      <c r="CR3801">
        <v>0</v>
      </c>
      <c r="CS3801">
        <v>0</v>
      </c>
      <c r="CT3801">
        <v>-0.1</v>
      </c>
      <c r="CU3801">
        <v>81</v>
      </c>
      <c r="CV3801">
        <v>0.13</v>
      </c>
      <c r="CW3801">
        <v>26</v>
      </c>
      <c r="CX3801" t="s">
        <v>152</v>
      </c>
    </row>
    <row r="3802" spans="1:102" x14ac:dyDescent="0.3">
      <c r="A3802" t="str">
        <f>HYPERLINK("https://webapp.icbf.com/v2/app/bull-search/view/122836816","MYT")</f>
        <v>MYT</v>
      </c>
      <c r="B3802" t="s">
        <v>6918</v>
      </c>
      <c r="C3802" t="s">
        <v>6919</v>
      </c>
      <c r="D3802" s="1">
        <v>36238</v>
      </c>
      <c r="E3802" t="s">
        <v>92</v>
      </c>
      <c r="F3802">
        <v>100</v>
      </c>
      <c r="G3802" t="s">
        <v>93</v>
      </c>
      <c r="H3802">
        <v>-63.12</v>
      </c>
      <c r="I3802">
        <v>86</v>
      </c>
      <c r="J3802">
        <v>12.91</v>
      </c>
      <c r="K3802">
        <v>98</v>
      </c>
      <c r="L3802">
        <v>-70.599999999999994</v>
      </c>
      <c r="M3802">
        <v>77</v>
      </c>
      <c r="N3802">
        <v>-0.35</v>
      </c>
      <c r="O3802">
        <v>82</v>
      </c>
      <c r="P3802">
        <v>-2.19</v>
      </c>
      <c r="Q3802">
        <v>95</v>
      </c>
      <c r="R3802">
        <v>-5.63</v>
      </c>
      <c r="S3802">
        <v>77</v>
      </c>
      <c r="T3802">
        <v>2.06</v>
      </c>
      <c r="U3802">
        <v>87</v>
      </c>
      <c r="V3802">
        <v>0.68</v>
      </c>
      <c r="W3802">
        <v>57</v>
      </c>
      <c r="X3802" t="s">
        <v>94</v>
      </c>
      <c r="Y3802" t="s">
        <v>95</v>
      </c>
      <c r="Z3802" t="s">
        <v>96</v>
      </c>
      <c r="AA3802" t="s">
        <v>985</v>
      </c>
      <c r="AB3802" t="s">
        <v>4017</v>
      </c>
      <c r="AC3802">
        <v>244</v>
      </c>
      <c r="AD3802">
        <v>182</v>
      </c>
      <c r="AE3802">
        <v>98</v>
      </c>
      <c r="AF3802">
        <v>-154.84</v>
      </c>
      <c r="AG3802">
        <v>0.64</v>
      </c>
      <c r="AH3802">
        <v>-0.4</v>
      </c>
      <c r="AI3802">
        <v>0.11</v>
      </c>
      <c r="AJ3802">
        <v>0.08</v>
      </c>
      <c r="AK3802">
        <v>77</v>
      </c>
      <c r="AL3802">
        <v>212</v>
      </c>
      <c r="AM3802">
        <v>157</v>
      </c>
      <c r="AN3802">
        <v>3.86</v>
      </c>
      <c r="AO3802">
        <v>-1.77</v>
      </c>
      <c r="AP3802">
        <v>14</v>
      </c>
      <c r="AQ3802">
        <v>0</v>
      </c>
      <c r="AR3802">
        <v>8</v>
      </c>
      <c r="AS3802">
        <v>68</v>
      </c>
      <c r="AT3802">
        <v>3.22</v>
      </c>
      <c r="AU3802">
        <v>79</v>
      </c>
      <c r="AV3802">
        <v>-0.49</v>
      </c>
      <c r="AW3802">
        <v>88</v>
      </c>
      <c r="AX3802">
        <v>0.01</v>
      </c>
      <c r="AY3802">
        <v>88</v>
      </c>
      <c r="AZ3802">
        <v>7.28</v>
      </c>
      <c r="BA3802">
        <v>71</v>
      </c>
      <c r="BB3802">
        <v>5.2</v>
      </c>
      <c r="BC3802">
        <v>77</v>
      </c>
      <c r="BD3802">
        <v>0.02</v>
      </c>
      <c r="BE3802">
        <v>0.04</v>
      </c>
      <c r="BF3802">
        <v>0.02</v>
      </c>
      <c r="BG3802">
        <v>91</v>
      </c>
      <c r="BH3802">
        <v>-7.0000000000000007E-2</v>
      </c>
      <c r="BI3802">
        <v>-10.3</v>
      </c>
      <c r="BJ3802">
        <v>25</v>
      </c>
      <c r="BK3802">
        <v>14</v>
      </c>
      <c r="BL3802">
        <v>-0.56000000000000005</v>
      </c>
      <c r="BM3802">
        <v>-0.94</v>
      </c>
      <c r="BN3802">
        <v>-0.63</v>
      </c>
      <c r="BO3802">
        <v>-0.17</v>
      </c>
      <c r="BP3802">
        <v>1.48</v>
      </c>
      <c r="BQ3802">
        <v>-1.08</v>
      </c>
      <c r="BR3802">
        <v>0.96</v>
      </c>
      <c r="BS3802">
        <v>-0.71</v>
      </c>
      <c r="BT3802">
        <v>-1.6</v>
      </c>
      <c r="BU3802">
        <v>-0.82</v>
      </c>
      <c r="BV3802">
        <v>-0.38</v>
      </c>
      <c r="BW3802">
        <v>-0.73</v>
      </c>
      <c r="BX3802">
        <v>-1.2</v>
      </c>
      <c r="BY3802">
        <v>-1.39</v>
      </c>
      <c r="BZ3802">
        <v>0.82</v>
      </c>
      <c r="CA3802">
        <v>-0.94</v>
      </c>
      <c r="CB3802">
        <v>-0.89</v>
      </c>
      <c r="CC3802">
        <v>-0.62</v>
      </c>
      <c r="CD3802">
        <v>-0.59</v>
      </c>
      <c r="CE3802">
        <v>-0.76</v>
      </c>
      <c r="CF3802">
        <v>-0.82</v>
      </c>
      <c r="CG3802">
        <v>0</v>
      </c>
      <c r="CH3802">
        <v>-2.02</v>
      </c>
      <c r="CI3802">
        <v>0</v>
      </c>
      <c r="CJ3802">
        <v>0.9</v>
      </c>
      <c r="CK3802">
        <v>95</v>
      </c>
      <c r="CL3802">
        <v>-0.54</v>
      </c>
      <c r="CM3802">
        <v>94</v>
      </c>
      <c r="CN3802">
        <v>-0.18</v>
      </c>
      <c r="CO3802">
        <v>93</v>
      </c>
      <c r="CP3802">
        <v>0.2</v>
      </c>
      <c r="CQ3802">
        <v>95</v>
      </c>
      <c r="CR3802">
        <v>0</v>
      </c>
      <c r="CS3802">
        <v>0</v>
      </c>
      <c r="CT3802">
        <v>11</v>
      </c>
      <c r="CU3802">
        <v>87</v>
      </c>
      <c r="CV3802">
        <v>0.27</v>
      </c>
      <c r="CW3802">
        <v>27</v>
      </c>
      <c r="CX3802" t="s">
        <v>678</v>
      </c>
    </row>
    <row r="3803" spans="1:102" x14ac:dyDescent="0.3">
      <c r="A3803" t="str">
        <f>HYPERLINK("https://webapp.icbf.com/v2/app/bull-search/view/77858002","DTA")</f>
        <v>DTA</v>
      </c>
      <c r="B3803" t="s">
        <v>4006</v>
      </c>
      <c r="C3803" t="s">
        <v>4007</v>
      </c>
      <c r="D3803" s="1">
        <v>34230</v>
      </c>
      <c r="E3803" t="s">
        <v>92</v>
      </c>
      <c r="F3803">
        <v>100</v>
      </c>
      <c r="G3803" t="s">
        <v>93</v>
      </c>
      <c r="H3803">
        <v>-63.15</v>
      </c>
      <c r="I3803">
        <v>70</v>
      </c>
      <c r="J3803">
        <v>-34.47</v>
      </c>
      <c r="K3803">
        <v>90</v>
      </c>
      <c r="L3803">
        <v>-57.67</v>
      </c>
      <c r="M3803">
        <v>60</v>
      </c>
      <c r="N3803">
        <v>19.96</v>
      </c>
      <c r="O3803">
        <v>52</v>
      </c>
      <c r="P3803">
        <v>-5.86</v>
      </c>
      <c r="Q3803">
        <v>75</v>
      </c>
      <c r="R3803">
        <v>1.1399999999999999</v>
      </c>
      <c r="S3803">
        <v>63</v>
      </c>
      <c r="T3803">
        <v>13.83</v>
      </c>
      <c r="U3803">
        <v>68</v>
      </c>
      <c r="V3803">
        <v>-0.08</v>
      </c>
      <c r="W3803">
        <v>26</v>
      </c>
      <c r="X3803" t="s">
        <v>94</v>
      </c>
      <c r="Y3803" t="s">
        <v>95</v>
      </c>
      <c r="Z3803" t="s">
        <v>96</v>
      </c>
      <c r="AA3803" t="s">
        <v>798</v>
      </c>
      <c r="AB3803" t="s">
        <v>157</v>
      </c>
      <c r="AC3803">
        <v>48</v>
      </c>
      <c r="AD3803">
        <v>40</v>
      </c>
      <c r="AE3803">
        <v>90</v>
      </c>
      <c r="AF3803">
        <v>50.07</v>
      </c>
      <c r="AG3803">
        <v>2.13</v>
      </c>
      <c r="AH3803">
        <v>-5.85</v>
      </c>
      <c r="AI3803">
        <v>0</v>
      </c>
      <c r="AJ3803">
        <v>-0.12</v>
      </c>
      <c r="AK3803">
        <v>60</v>
      </c>
      <c r="AL3803">
        <v>65</v>
      </c>
      <c r="AM3803">
        <v>47</v>
      </c>
      <c r="AN3803">
        <v>2.2799999999999998</v>
      </c>
      <c r="AO3803">
        <v>-2.33</v>
      </c>
      <c r="AP3803">
        <v>2</v>
      </c>
      <c r="AQ3803">
        <v>1</v>
      </c>
      <c r="AR3803">
        <v>6.98</v>
      </c>
      <c r="AS3803">
        <v>26</v>
      </c>
      <c r="AT3803">
        <v>2.96</v>
      </c>
      <c r="AU3803">
        <v>51</v>
      </c>
      <c r="AV3803">
        <v>-1.57</v>
      </c>
      <c r="AW3803">
        <v>57</v>
      </c>
      <c r="AX3803">
        <v>-0.15</v>
      </c>
      <c r="AY3803">
        <v>68</v>
      </c>
      <c r="AZ3803">
        <v>5.64</v>
      </c>
      <c r="BA3803">
        <v>26</v>
      </c>
      <c r="BB3803">
        <v>4.38</v>
      </c>
      <c r="BC3803">
        <v>48</v>
      </c>
      <c r="BD3803">
        <v>-0.02</v>
      </c>
      <c r="BE3803">
        <v>0.03</v>
      </c>
      <c r="BF3803">
        <v>-0.05</v>
      </c>
      <c r="BG3803">
        <v>82</v>
      </c>
      <c r="BH3803">
        <v>0.02</v>
      </c>
      <c r="BI3803">
        <v>2.57</v>
      </c>
      <c r="BJ3803">
        <v>12</v>
      </c>
      <c r="BK3803">
        <v>10</v>
      </c>
      <c r="BL3803">
        <v>0.47</v>
      </c>
      <c r="BM3803">
        <v>-0.16</v>
      </c>
      <c r="BN3803">
        <v>-0.2</v>
      </c>
      <c r="BO3803">
        <v>0.13</v>
      </c>
      <c r="BP3803">
        <v>-1.19</v>
      </c>
      <c r="BQ3803">
        <v>-0.28000000000000003</v>
      </c>
      <c r="BR3803">
        <v>-0.65</v>
      </c>
      <c r="BS3803">
        <v>0.82</v>
      </c>
      <c r="BT3803">
        <v>1.24</v>
      </c>
      <c r="BU3803">
        <v>0.35</v>
      </c>
      <c r="BV3803">
        <v>7.0000000000000007E-2</v>
      </c>
      <c r="BW3803">
        <v>-0.14000000000000001</v>
      </c>
      <c r="BX3803">
        <v>1.26</v>
      </c>
      <c r="BY3803">
        <v>-0.11</v>
      </c>
      <c r="BZ3803">
        <v>-0.65</v>
      </c>
      <c r="CA3803">
        <v>0.06</v>
      </c>
      <c r="CB3803">
        <v>-0.25</v>
      </c>
      <c r="CC3803">
        <v>0.56000000000000005</v>
      </c>
      <c r="CD3803">
        <v>-0.39</v>
      </c>
      <c r="CE3803">
        <v>0.27</v>
      </c>
      <c r="CF3803">
        <v>-0.21</v>
      </c>
      <c r="CG3803">
        <v>0</v>
      </c>
      <c r="CH3803">
        <v>-0.64</v>
      </c>
      <c r="CI3803">
        <v>0</v>
      </c>
      <c r="CJ3803">
        <v>-0.9</v>
      </c>
      <c r="CK3803">
        <v>76</v>
      </c>
      <c r="CL3803">
        <v>-0.34</v>
      </c>
      <c r="CM3803">
        <v>73</v>
      </c>
      <c r="CN3803">
        <v>0.04</v>
      </c>
      <c r="CO3803">
        <v>69</v>
      </c>
      <c r="CP3803">
        <v>-4.3</v>
      </c>
      <c r="CQ3803">
        <v>79</v>
      </c>
      <c r="CR3803">
        <v>0</v>
      </c>
      <c r="CS3803">
        <v>0</v>
      </c>
      <c r="CT3803">
        <v>-4.9000000000000004</v>
      </c>
      <c r="CU3803">
        <v>68</v>
      </c>
      <c r="CV3803">
        <v>0.06</v>
      </c>
      <c r="CW3803">
        <v>20</v>
      </c>
      <c r="CX3803" t="s">
        <v>158</v>
      </c>
    </row>
    <row r="3804" spans="1:102" x14ac:dyDescent="0.3">
      <c r="A3804" t="str">
        <f>HYPERLINK("https://webapp.icbf.com/v2/app/bull-search/view/77858974","CLQ")</f>
        <v>CLQ</v>
      </c>
      <c r="B3804" t="s">
        <v>3528</v>
      </c>
      <c r="C3804" t="s">
        <v>3529</v>
      </c>
      <c r="D3804" s="1">
        <v>34958</v>
      </c>
      <c r="E3804" t="s">
        <v>92</v>
      </c>
      <c r="F3804">
        <v>100</v>
      </c>
      <c r="G3804" t="s">
        <v>116</v>
      </c>
      <c r="H3804">
        <v>-63.16</v>
      </c>
      <c r="I3804">
        <v>26</v>
      </c>
      <c r="J3804">
        <v>11.79</v>
      </c>
      <c r="K3804">
        <v>4</v>
      </c>
      <c r="L3804">
        <v>-65.94</v>
      </c>
      <c r="M3804">
        <v>34</v>
      </c>
      <c r="N3804">
        <v>-6.81</v>
      </c>
      <c r="O3804">
        <v>39</v>
      </c>
      <c r="P3804">
        <v>-6.67</v>
      </c>
      <c r="Q3804">
        <v>41</v>
      </c>
      <c r="R3804">
        <v>-6.89</v>
      </c>
      <c r="S3804">
        <v>39</v>
      </c>
      <c r="T3804">
        <v>11.46</v>
      </c>
      <c r="U3804">
        <v>38</v>
      </c>
      <c r="V3804">
        <v>-0.1</v>
      </c>
      <c r="W3804">
        <v>34</v>
      </c>
      <c r="X3804" t="s">
        <v>94</v>
      </c>
      <c r="Y3804" t="s">
        <v>1499</v>
      </c>
      <c r="Z3804" t="s">
        <v>96</v>
      </c>
      <c r="AA3804" t="s">
        <v>1008</v>
      </c>
      <c r="AB3804" t="s">
        <v>3530</v>
      </c>
      <c r="AC3804">
        <v>1</v>
      </c>
      <c r="AD3804">
        <v>1</v>
      </c>
      <c r="AE3804">
        <v>4</v>
      </c>
      <c r="AF3804">
        <v>165.95</v>
      </c>
      <c r="AG3804">
        <v>2.0499999999999998</v>
      </c>
      <c r="AH3804">
        <v>3.82</v>
      </c>
      <c r="AI3804">
        <v>-7.0000000000000007E-2</v>
      </c>
      <c r="AJ3804">
        <v>-0.03</v>
      </c>
      <c r="AK3804">
        <v>34</v>
      </c>
      <c r="AL3804">
        <v>0</v>
      </c>
      <c r="AM3804">
        <v>0</v>
      </c>
      <c r="AN3804">
        <v>4.28</v>
      </c>
      <c r="AO3804">
        <v>-0.97</v>
      </c>
      <c r="AP3804">
        <v>2</v>
      </c>
      <c r="AQ3804">
        <v>0</v>
      </c>
      <c r="AR3804">
        <v>9.6999999999999993</v>
      </c>
      <c r="AS3804">
        <v>32</v>
      </c>
      <c r="AT3804">
        <v>3.85</v>
      </c>
      <c r="AU3804">
        <v>36</v>
      </c>
      <c r="AV3804">
        <v>-0.56000000000000005</v>
      </c>
      <c r="AW3804">
        <v>46</v>
      </c>
      <c r="AX3804">
        <v>0.13</v>
      </c>
      <c r="AY3804">
        <v>36</v>
      </c>
      <c r="AZ3804">
        <v>5.59</v>
      </c>
      <c r="BA3804">
        <v>31</v>
      </c>
      <c r="BB3804">
        <v>4.8</v>
      </c>
      <c r="BC3804">
        <v>32</v>
      </c>
      <c r="BD3804">
        <v>0.02</v>
      </c>
      <c r="BE3804">
        <v>0.05</v>
      </c>
      <c r="BF3804">
        <v>0.03</v>
      </c>
      <c r="BG3804">
        <v>46</v>
      </c>
      <c r="BH3804">
        <v>0</v>
      </c>
      <c r="BI3804">
        <v>0.33</v>
      </c>
      <c r="BJ3804">
        <v>0</v>
      </c>
      <c r="BK3804">
        <v>0</v>
      </c>
      <c r="BL3804">
        <v>0.82</v>
      </c>
      <c r="BM3804">
        <v>0.03</v>
      </c>
      <c r="BN3804">
        <v>1.32</v>
      </c>
      <c r="BO3804">
        <v>1</v>
      </c>
      <c r="BP3804">
        <v>-0.16</v>
      </c>
      <c r="BQ3804">
        <v>0.02</v>
      </c>
      <c r="BR3804">
        <v>-1.03</v>
      </c>
      <c r="BS3804">
        <v>0.9</v>
      </c>
      <c r="BT3804">
        <v>0.96</v>
      </c>
      <c r="BU3804">
        <v>-0.31</v>
      </c>
      <c r="BV3804">
        <v>0.42</v>
      </c>
      <c r="BW3804">
        <v>1.04</v>
      </c>
      <c r="BX3804">
        <v>0.68</v>
      </c>
      <c r="BY3804">
        <v>-0.06</v>
      </c>
      <c r="BZ3804">
        <v>1.3</v>
      </c>
      <c r="CA3804">
        <v>0.81</v>
      </c>
      <c r="CB3804">
        <v>0.32</v>
      </c>
      <c r="CC3804">
        <v>1.59</v>
      </c>
      <c r="CD3804">
        <v>-0.32</v>
      </c>
      <c r="CE3804">
        <v>0.89</v>
      </c>
      <c r="CF3804">
        <v>1.1499999999999999</v>
      </c>
      <c r="CG3804">
        <v>0</v>
      </c>
      <c r="CH3804">
        <v>7.0000000000000007E-2</v>
      </c>
      <c r="CI3804">
        <v>0</v>
      </c>
      <c r="CJ3804">
        <v>-1.3</v>
      </c>
      <c r="CK3804">
        <v>41</v>
      </c>
      <c r="CL3804">
        <v>-0.76</v>
      </c>
      <c r="CM3804">
        <v>40</v>
      </c>
      <c r="CN3804">
        <v>-0.31</v>
      </c>
      <c r="CO3804">
        <v>39</v>
      </c>
      <c r="CP3804">
        <v>-4.4000000000000004</v>
      </c>
      <c r="CQ3804">
        <v>41</v>
      </c>
      <c r="CR3804">
        <v>0</v>
      </c>
      <c r="CS3804">
        <v>0</v>
      </c>
      <c r="CT3804">
        <v>-1.7</v>
      </c>
      <c r="CU3804">
        <v>38</v>
      </c>
      <c r="CV3804">
        <v>0.21</v>
      </c>
      <c r="CW3804">
        <v>12</v>
      </c>
      <c r="CX3804" t="s">
        <v>161</v>
      </c>
    </row>
    <row r="3805" spans="1:102" x14ac:dyDescent="0.3">
      <c r="A3805" t="str">
        <f>HYPERLINK("https://webapp.icbf.com/v2/app/bull-search/view/444419349","OCI")</f>
        <v>OCI</v>
      </c>
      <c r="B3805" t="s">
        <v>10127</v>
      </c>
      <c r="C3805" t="s">
        <v>10128</v>
      </c>
      <c r="D3805" s="1">
        <v>35801</v>
      </c>
      <c r="E3805" t="s">
        <v>92</v>
      </c>
      <c r="F3805">
        <v>100</v>
      </c>
      <c r="G3805" t="s">
        <v>93</v>
      </c>
      <c r="H3805">
        <v>-63.41</v>
      </c>
      <c r="I3805">
        <v>91</v>
      </c>
      <c r="J3805">
        <v>35.200000000000003</v>
      </c>
      <c r="K3805">
        <v>97</v>
      </c>
      <c r="L3805">
        <v>-119.55</v>
      </c>
      <c r="M3805">
        <v>87</v>
      </c>
      <c r="N3805">
        <v>20.309999999999999</v>
      </c>
      <c r="O3805">
        <v>88</v>
      </c>
      <c r="P3805">
        <v>-6.83</v>
      </c>
      <c r="Q3805">
        <v>92</v>
      </c>
      <c r="R3805">
        <v>0.09</v>
      </c>
      <c r="S3805">
        <v>82</v>
      </c>
      <c r="T3805">
        <v>1.17</v>
      </c>
      <c r="U3805">
        <v>91</v>
      </c>
      <c r="V3805">
        <v>6.2</v>
      </c>
      <c r="W3805">
        <v>77</v>
      </c>
      <c r="X3805" t="s">
        <v>1589</v>
      </c>
      <c r="Y3805" t="s">
        <v>95</v>
      </c>
      <c r="Z3805" t="s">
        <v>96</v>
      </c>
      <c r="AA3805" t="s">
        <v>751</v>
      </c>
      <c r="AB3805" t="s">
        <v>10129</v>
      </c>
      <c r="AC3805">
        <v>104</v>
      </c>
      <c r="AD3805">
        <v>57</v>
      </c>
      <c r="AE3805">
        <v>97</v>
      </c>
      <c r="AF3805">
        <v>167.94</v>
      </c>
      <c r="AG3805">
        <v>2.59</v>
      </c>
      <c r="AH3805">
        <v>7.64</v>
      </c>
      <c r="AI3805">
        <v>-7.0000000000000007E-2</v>
      </c>
      <c r="AJ3805">
        <v>0.03</v>
      </c>
      <c r="AK3805">
        <v>87</v>
      </c>
      <c r="AL3805">
        <v>122</v>
      </c>
      <c r="AM3805">
        <v>65</v>
      </c>
      <c r="AN3805">
        <v>5.25</v>
      </c>
      <c r="AO3805">
        <v>-4.3</v>
      </c>
      <c r="AP3805">
        <v>172</v>
      </c>
      <c r="AQ3805">
        <v>14</v>
      </c>
      <c r="AR3805">
        <v>6.92</v>
      </c>
      <c r="AS3805">
        <v>79</v>
      </c>
      <c r="AT3805">
        <v>2.9</v>
      </c>
      <c r="AU3805">
        <v>92</v>
      </c>
      <c r="AV3805">
        <v>-2.15</v>
      </c>
      <c r="AW3805">
        <v>94</v>
      </c>
      <c r="AX3805">
        <v>-0.25</v>
      </c>
      <c r="AY3805">
        <v>85</v>
      </c>
      <c r="AZ3805">
        <v>7.53</v>
      </c>
      <c r="BA3805">
        <v>68</v>
      </c>
      <c r="BB3805">
        <v>4.8899999999999997</v>
      </c>
      <c r="BC3805">
        <v>72</v>
      </c>
      <c r="BD3805">
        <v>0</v>
      </c>
      <c r="BE3805">
        <v>0.02</v>
      </c>
      <c r="BF3805">
        <v>-0.04</v>
      </c>
      <c r="BG3805">
        <v>90</v>
      </c>
      <c r="BH3805">
        <v>-0.03</v>
      </c>
      <c r="BI3805">
        <v>-23.47</v>
      </c>
      <c r="BJ3805">
        <v>15</v>
      </c>
      <c r="BK3805">
        <v>6</v>
      </c>
      <c r="BL3805">
        <v>0.69</v>
      </c>
      <c r="BM3805">
        <v>0.74</v>
      </c>
      <c r="BN3805">
        <v>0.89</v>
      </c>
      <c r="BO3805">
        <v>0.87</v>
      </c>
      <c r="BP3805">
        <v>0.65</v>
      </c>
      <c r="BQ3805">
        <v>2.29</v>
      </c>
      <c r="BR3805">
        <v>1.33</v>
      </c>
      <c r="BS3805">
        <v>-0.59</v>
      </c>
      <c r="BT3805">
        <v>-2.0699999999999998</v>
      </c>
      <c r="BU3805">
        <v>0.04</v>
      </c>
      <c r="BV3805">
        <v>0.43</v>
      </c>
      <c r="BW3805">
        <v>1.24</v>
      </c>
      <c r="BX3805">
        <v>-0.03</v>
      </c>
      <c r="BY3805">
        <v>0.46</v>
      </c>
      <c r="BZ3805">
        <v>-2.37</v>
      </c>
      <c r="CA3805">
        <v>0</v>
      </c>
      <c r="CB3805">
        <v>0.55000000000000004</v>
      </c>
      <c r="CC3805">
        <v>-0.84</v>
      </c>
      <c r="CD3805">
        <v>-1.01</v>
      </c>
      <c r="CE3805">
        <v>0.28000000000000003</v>
      </c>
      <c r="CF3805">
        <v>-0.43</v>
      </c>
      <c r="CG3805">
        <v>0</v>
      </c>
      <c r="CH3805">
        <v>0.71</v>
      </c>
      <c r="CI3805">
        <v>0</v>
      </c>
      <c r="CJ3805">
        <v>-2.2999999999999998</v>
      </c>
      <c r="CK3805">
        <v>93</v>
      </c>
      <c r="CL3805">
        <v>-0.8</v>
      </c>
      <c r="CM3805">
        <v>91</v>
      </c>
      <c r="CN3805">
        <v>-0.39</v>
      </c>
      <c r="CO3805">
        <v>90</v>
      </c>
      <c r="CP3805">
        <v>0.2</v>
      </c>
      <c r="CQ3805">
        <v>92</v>
      </c>
      <c r="CR3805">
        <v>0</v>
      </c>
      <c r="CS3805">
        <v>0</v>
      </c>
      <c r="CT3805">
        <v>12.2</v>
      </c>
      <c r="CU3805">
        <v>91</v>
      </c>
      <c r="CV3805">
        <v>0.15</v>
      </c>
      <c r="CW3805">
        <v>45</v>
      </c>
      <c r="CX3805" t="s">
        <v>207</v>
      </c>
    </row>
    <row r="3806" spans="1:102" x14ac:dyDescent="0.3">
      <c r="A3806" t="str">
        <f>HYPERLINK("https://webapp.icbf.com/v2/app/bull-search/view/77852764","YRT")</f>
        <v>YRT</v>
      </c>
      <c r="B3806" t="s">
        <v>3345</v>
      </c>
      <c r="C3806" t="s">
        <v>3346</v>
      </c>
      <c r="D3806" s="1">
        <v>33499</v>
      </c>
      <c r="E3806" t="s">
        <v>92</v>
      </c>
      <c r="F3806">
        <v>100</v>
      </c>
      <c r="G3806" t="s">
        <v>109</v>
      </c>
      <c r="H3806">
        <v>-63.44</v>
      </c>
      <c r="I3806">
        <v>80</v>
      </c>
      <c r="J3806">
        <v>9.58</v>
      </c>
      <c r="K3806">
        <v>90</v>
      </c>
      <c r="L3806">
        <v>-75.5</v>
      </c>
      <c r="M3806">
        <v>86</v>
      </c>
      <c r="N3806">
        <v>17.63</v>
      </c>
      <c r="O3806">
        <v>65</v>
      </c>
      <c r="P3806">
        <v>-7.53</v>
      </c>
      <c r="Q3806">
        <v>71</v>
      </c>
      <c r="R3806">
        <v>-11.58</v>
      </c>
      <c r="S3806">
        <v>71</v>
      </c>
      <c r="T3806">
        <v>9.68</v>
      </c>
      <c r="U3806">
        <v>66</v>
      </c>
      <c r="V3806">
        <v>-5.72</v>
      </c>
      <c r="W3806">
        <v>42</v>
      </c>
      <c r="X3806" t="s">
        <v>94</v>
      </c>
      <c r="Y3806" t="s">
        <v>95</v>
      </c>
      <c r="Z3806" t="s">
        <v>96</v>
      </c>
      <c r="AA3806" t="s">
        <v>152</v>
      </c>
      <c r="AB3806" t="s">
        <v>3347</v>
      </c>
      <c r="AC3806">
        <v>19</v>
      </c>
      <c r="AD3806">
        <v>14</v>
      </c>
      <c r="AE3806">
        <v>90</v>
      </c>
      <c r="AF3806">
        <v>459.12</v>
      </c>
      <c r="AG3806">
        <v>5.0199999999999996</v>
      </c>
      <c r="AH3806">
        <v>6.88</v>
      </c>
      <c r="AI3806">
        <v>-0.2</v>
      </c>
      <c r="AJ3806">
        <v>-0.14000000000000001</v>
      </c>
      <c r="AK3806">
        <v>86</v>
      </c>
      <c r="AL3806">
        <v>29</v>
      </c>
      <c r="AM3806">
        <v>15</v>
      </c>
      <c r="AN3806">
        <v>4.1900000000000004</v>
      </c>
      <c r="AO3806">
        <v>-1.83</v>
      </c>
      <c r="AP3806">
        <v>2</v>
      </c>
      <c r="AQ3806">
        <v>0</v>
      </c>
      <c r="AR3806">
        <v>4.8499999999999996</v>
      </c>
      <c r="AS3806">
        <v>47</v>
      </c>
      <c r="AT3806">
        <v>2.15</v>
      </c>
      <c r="AU3806">
        <v>90</v>
      </c>
      <c r="AV3806">
        <v>-1.69</v>
      </c>
      <c r="AW3806">
        <v>62</v>
      </c>
      <c r="AX3806">
        <v>0.4</v>
      </c>
      <c r="AY3806">
        <v>63</v>
      </c>
      <c r="AZ3806">
        <v>8.17</v>
      </c>
      <c r="BA3806">
        <v>46</v>
      </c>
      <c r="BB3806">
        <v>6.04</v>
      </c>
      <c r="BC3806">
        <v>49</v>
      </c>
      <c r="BD3806">
        <v>0.02</v>
      </c>
      <c r="BE3806">
        <v>7.0000000000000007E-2</v>
      </c>
      <c r="BF3806">
        <v>0.1</v>
      </c>
      <c r="BG3806">
        <v>89</v>
      </c>
      <c r="BH3806">
        <v>-0.12</v>
      </c>
      <c r="BI3806">
        <v>4.58</v>
      </c>
      <c r="BJ3806">
        <v>1</v>
      </c>
      <c r="BK3806">
        <v>1</v>
      </c>
      <c r="BL3806">
        <v>-0.51</v>
      </c>
      <c r="BM3806">
        <v>-0.96</v>
      </c>
      <c r="BN3806">
        <v>-0.69</v>
      </c>
      <c r="BO3806">
        <v>0.17</v>
      </c>
      <c r="BP3806">
        <v>-1.89</v>
      </c>
      <c r="BQ3806">
        <v>-2.0299999999999998</v>
      </c>
      <c r="BR3806">
        <v>1.47</v>
      </c>
      <c r="BS3806">
        <v>-1.57</v>
      </c>
      <c r="BT3806">
        <v>-0.99</v>
      </c>
      <c r="BU3806">
        <v>0.93</v>
      </c>
      <c r="BV3806">
        <v>0.59</v>
      </c>
      <c r="BW3806">
        <v>1.19</v>
      </c>
      <c r="BX3806">
        <v>-0.06</v>
      </c>
      <c r="BY3806">
        <v>1.06</v>
      </c>
      <c r="BZ3806">
        <v>-0.59</v>
      </c>
      <c r="CA3806">
        <v>0.2</v>
      </c>
      <c r="CB3806">
        <v>0.89</v>
      </c>
      <c r="CC3806">
        <v>-1.42</v>
      </c>
      <c r="CD3806">
        <v>-0.38</v>
      </c>
      <c r="CE3806">
        <v>0.83</v>
      </c>
      <c r="CF3806">
        <v>0.41</v>
      </c>
      <c r="CG3806">
        <v>0</v>
      </c>
      <c r="CH3806">
        <v>0.66</v>
      </c>
      <c r="CI3806">
        <v>0</v>
      </c>
      <c r="CJ3806">
        <v>-2.2000000000000002</v>
      </c>
      <c r="CK3806">
        <v>72</v>
      </c>
      <c r="CL3806">
        <v>-0.55000000000000004</v>
      </c>
      <c r="CM3806">
        <v>69</v>
      </c>
      <c r="CN3806">
        <v>-0.17</v>
      </c>
      <c r="CO3806">
        <v>65</v>
      </c>
      <c r="CP3806">
        <v>-5.4</v>
      </c>
      <c r="CQ3806">
        <v>79</v>
      </c>
      <c r="CR3806">
        <v>0</v>
      </c>
      <c r="CS3806">
        <v>0</v>
      </c>
      <c r="CT3806">
        <v>0.7</v>
      </c>
      <c r="CU3806">
        <v>66</v>
      </c>
      <c r="CV3806">
        <v>0.12</v>
      </c>
      <c r="CW3806">
        <v>20</v>
      </c>
      <c r="CX3806" t="s">
        <v>914</v>
      </c>
    </row>
    <row r="3807" spans="1:102" x14ac:dyDescent="0.3">
      <c r="A3807" t="str">
        <f>HYPERLINK("https://webapp.icbf.com/v2/app/bull-search/view/77858371","DIG")</f>
        <v>DIG</v>
      </c>
      <c r="B3807" t="s">
        <v>3536</v>
      </c>
      <c r="C3807" t="s">
        <v>3537</v>
      </c>
      <c r="D3807" s="1">
        <v>32800</v>
      </c>
      <c r="E3807" t="s">
        <v>92</v>
      </c>
      <c r="F3807">
        <v>75</v>
      </c>
      <c r="G3807" t="s">
        <v>93</v>
      </c>
      <c r="H3807">
        <v>-63.45</v>
      </c>
      <c r="I3807">
        <v>55</v>
      </c>
      <c r="J3807">
        <v>-78.819999999999993</v>
      </c>
      <c r="K3807">
        <v>65</v>
      </c>
      <c r="L3807">
        <v>19.55</v>
      </c>
      <c r="M3807">
        <v>54</v>
      </c>
      <c r="N3807">
        <v>-4.6500000000000004</v>
      </c>
      <c r="O3807">
        <v>36</v>
      </c>
      <c r="P3807">
        <v>-20.6</v>
      </c>
      <c r="Q3807">
        <v>55</v>
      </c>
      <c r="R3807">
        <v>-4.8600000000000003</v>
      </c>
      <c r="S3807">
        <v>57</v>
      </c>
      <c r="T3807">
        <v>25.67</v>
      </c>
      <c r="U3807">
        <v>56</v>
      </c>
      <c r="V3807">
        <v>0.26</v>
      </c>
      <c r="W3807">
        <v>22</v>
      </c>
      <c r="X3807" t="s">
        <v>94</v>
      </c>
      <c r="Y3807" t="s">
        <v>95</v>
      </c>
      <c r="Z3807" t="s">
        <v>96</v>
      </c>
      <c r="AA3807" t="s">
        <v>620</v>
      </c>
      <c r="AB3807" t="s">
        <v>3538</v>
      </c>
      <c r="AC3807">
        <v>11</v>
      </c>
      <c r="AD3807">
        <v>11</v>
      </c>
      <c r="AE3807">
        <v>65</v>
      </c>
      <c r="AF3807">
        <v>-369.85</v>
      </c>
      <c r="AG3807">
        <v>-3.41</v>
      </c>
      <c r="AH3807">
        <v>-17.86</v>
      </c>
      <c r="AI3807">
        <v>0.19</v>
      </c>
      <c r="AJ3807">
        <v>-0.09</v>
      </c>
      <c r="AK3807">
        <v>54</v>
      </c>
      <c r="AL3807">
        <v>48</v>
      </c>
      <c r="AM3807">
        <v>40</v>
      </c>
      <c r="AN3807">
        <v>-1.75</v>
      </c>
      <c r="AO3807">
        <v>-0.2</v>
      </c>
      <c r="AP3807">
        <v>1</v>
      </c>
      <c r="AQ3807">
        <v>1</v>
      </c>
      <c r="AR3807">
        <v>6.96</v>
      </c>
      <c r="AS3807">
        <v>21</v>
      </c>
      <c r="AT3807">
        <v>3.52</v>
      </c>
      <c r="AU3807">
        <v>33</v>
      </c>
      <c r="AV3807">
        <v>0.32</v>
      </c>
      <c r="AW3807">
        <v>39</v>
      </c>
      <c r="AX3807">
        <v>0.08</v>
      </c>
      <c r="AY3807">
        <v>54</v>
      </c>
      <c r="AZ3807">
        <v>5.76</v>
      </c>
      <c r="BA3807">
        <v>22</v>
      </c>
      <c r="BB3807">
        <v>5.23</v>
      </c>
      <c r="BC3807">
        <v>32</v>
      </c>
      <c r="BD3807">
        <v>0.04</v>
      </c>
      <c r="BE3807">
        <v>0.05</v>
      </c>
      <c r="BF3807">
        <v>-0.05</v>
      </c>
      <c r="BG3807">
        <v>79</v>
      </c>
      <c r="BH3807">
        <v>0.02</v>
      </c>
      <c r="BI3807">
        <v>1.48</v>
      </c>
      <c r="BJ3807">
        <v>4</v>
      </c>
      <c r="BK3807">
        <v>4</v>
      </c>
      <c r="BL3807">
        <v>-1.4</v>
      </c>
      <c r="BM3807">
        <v>-0.35</v>
      </c>
      <c r="BN3807">
        <v>-1.37</v>
      </c>
      <c r="BO3807">
        <v>-0.87</v>
      </c>
      <c r="BP3807">
        <v>-0.06</v>
      </c>
      <c r="BQ3807">
        <v>-0.63</v>
      </c>
      <c r="BR3807">
        <v>1.1399999999999999</v>
      </c>
      <c r="BS3807">
        <v>-0.92</v>
      </c>
      <c r="BT3807">
        <v>-1.39</v>
      </c>
      <c r="BU3807">
        <v>-0.53</v>
      </c>
      <c r="BV3807">
        <v>-0.56000000000000005</v>
      </c>
      <c r="BW3807">
        <v>-0.33</v>
      </c>
      <c r="BX3807">
        <v>0.19</v>
      </c>
      <c r="BY3807">
        <v>-0.03</v>
      </c>
      <c r="BZ3807">
        <v>-0.01</v>
      </c>
      <c r="CA3807">
        <v>-1.19</v>
      </c>
      <c r="CB3807">
        <v>-0.72</v>
      </c>
      <c r="CC3807">
        <v>-1.69</v>
      </c>
      <c r="CD3807">
        <v>0.7</v>
      </c>
      <c r="CE3807">
        <v>-1.2</v>
      </c>
      <c r="CF3807">
        <v>-1.63</v>
      </c>
      <c r="CG3807">
        <v>0</v>
      </c>
      <c r="CH3807">
        <v>-0.23</v>
      </c>
      <c r="CI3807">
        <v>0</v>
      </c>
      <c r="CJ3807">
        <v>-9.8000000000000007</v>
      </c>
      <c r="CK3807">
        <v>57</v>
      </c>
      <c r="CL3807">
        <v>-0.37</v>
      </c>
      <c r="CM3807">
        <v>53</v>
      </c>
      <c r="CN3807">
        <v>0.04</v>
      </c>
      <c r="CO3807">
        <v>49</v>
      </c>
      <c r="CP3807">
        <v>-18.600000000000001</v>
      </c>
      <c r="CQ3807">
        <v>61</v>
      </c>
      <c r="CR3807">
        <v>0</v>
      </c>
      <c r="CS3807">
        <v>0</v>
      </c>
      <c r="CT3807">
        <v>-20.9</v>
      </c>
      <c r="CU3807">
        <v>56</v>
      </c>
      <c r="CV3807">
        <v>-0.02</v>
      </c>
      <c r="CW3807">
        <v>15</v>
      </c>
      <c r="CX3807" t="s">
        <v>3539</v>
      </c>
    </row>
    <row r="3808" spans="1:102" x14ac:dyDescent="0.3">
      <c r="A3808" t="str">
        <f>HYPERLINK("https://webapp.icbf.com/v2/app/bull-search/view/77856070","KYG")</f>
        <v>KYG</v>
      </c>
      <c r="B3808" t="s">
        <v>10583</v>
      </c>
      <c r="C3808" t="s">
        <v>10584</v>
      </c>
      <c r="D3808" s="1">
        <v>33352</v>
      </c>
      <c r="E3808" t="s">
        <v>92</v>
      </c>
      <c r="F3808">
        <v>100</v>
      </c>
      <c r="G3808" t="s">
        <v>93</v>
      </c>
      <c r="H3808">
        <v>-63.58</v>
      </c>
      <c r="I3808">
        <v>89</v>
      </c>
      <c r="J3808">
        <v>14.08</v>
      </c>
      <c r="K3808">
        <v>98</v>
      </c>
      <c r="L3808">
        <v>-95.93</v>
      </c>
      <c r="M3808">
        <v>90</v>
      </c>
      <c r="N3808">
        <v>16.55</v>
      </c>
      <c r="O3808">
        <v>80</v>
      </c>
      <c r="P3808">
        <v>-9.4499999999999993</v>
      </c>
      <c r="Q3808">
        <v>88</v>
      </c>
      <c r="R3808">
        <v>-5.44</v>
      </c>
      <c r="S3808">
        <v>78</v>
      </c>
      <c r="T3808">
        <v>17.670000000000002</v>
      </c>
      <c r="U3808">
        <v>76</v>
      </c>
      <c r="V3808">
        <v>-1.06</v>
      </c>
      <c r="W3808">
        <v>65</v>
      </c>
      <c r="X3808" t="s">
        <v>94</v>
      </c>
      <c r="Y3808" t="s">
        <v>95</v>
      </c>
      <c r="Z3808" t="s">
        <v>96</v>
      </c>
      <c r="AA3808" t="s">
        <v>4649</v>
      </c>
      <c r="AB3808" t="s">
        <v>10585</v>
      </c>
      <c r="AC3808">
        <v>151</v>
      </c>
      <c r="AD3808">
        <v>51</v>
      </c>
      <c r="AE3808">
        <v>98</v>
      </c>
      <c r="AF3808">
        <v>310.99</v>
      </c>
      <c r="AG3808">
        <v>4</v>
      </c>
      <c r="AH3808">
        <v>5.74</v>
      </c>
      <c r="AI3808">
        <v>-0.13</v>
      </c>
      <c r="AJ3808">
        <v>-0.08</v>
      </c>
      <c r="AK3808">
        <v>90</v>
      </c>
      <c r="AL3808">
        <v>154</v>
      </c>
      <c r="AM3808">
        <v>44</v>
      </c>
      <c r="AN3808">
        <v>5.25</v>
      </c>
      <c r="AO3808">
        <v>-2.4</v>
      </c>
      <c r="AP3808">
        <v>13</v>
      </c>
      <c r="AQ3808">
        <v>3</v>
      </c>
      <c r="AR3808">
        <v>6.83</v>
      </c>
      <c r="AS3808">
        <v>61</v>
      </c>
      <c r="AT3808">
        <v>2.75</v>
      </c>
      <c r="AU3808">
        <v>94</v>
      </c>
      <c r="AV3808">
        <v>-1.0900000000000001</v>
      </c>
      <c r="AW3808">
        <v>82</v>
      </c>
      <c r="AX3808">
        <v>-0.33</v>
      </c>
      <c r="AY3808">
        <v>79</v>
      </c>
      <c r="AZ3808">
        <v>5.93</v>
      </c>
      <c r="BA3808">
        <v>57</v>
      </c>
      <c r="BB3808">
        <v>4.75</v>
      </c>
      <c r="BC3808">
        <v>68</v>
      </c>
      <c r="BD3808">
        <v>0.06</v>
      </c>
      <c r="BE3808">
        <v>0.05</v>
      </c>
      <c r="BF3808">
        <v>-7.0000000000000007E-2</v>
      </c>
      <c r="BG3808">
        <v>91</v>
      </c>
      <c r="BH3808">
        <v>0.01</v>
      </c>
      <c r="BI3808">
        <v>4.57</v>
      </c>
      <c r="BJ3808">
        <v>12</v>
      </c>
      <c r="BK3808">
        <v>4</v>
      </c>
      <c r="BL3808">
        <v>0.15</v>
      </c>
      <c r="BM3808">
        <v>0.61</v>
      </c>
      <c r="BN3808">
        <v>0.13</v>
      </c>
      <c r="BO3808">
        <v>0.02</v>
      </c>
      <c r="BP3808">
        <v>-0.61</v>
      </c>
      <c r="BQ3808">
        <v>-0.01</v>
      </c>
      <c r="BR3808">
        <v>-1.05</v>
      </c>
      <c r="BS3808">
        <v>-0.25</v>
      </c>
      <c r="BT3808">
        <v>1.1399999999999999</v>
      </c>
      <c r="BU3808">
        <v>0.02</v>
      </c>
      <c r="BV3808">
        <v>-0.11</v>
      </c>
      <c r="BW3808">
        <v>-1.1599999999999999</v>
      </c>
      <c r="BX3808">
        <v>-0.06</v>
      </c>
      <c r="BY3808">
        <v>-1.96</v>
      </c>
      <c r="BZ3808">
        <v>0.42</v>
      </c>
      <c r="CA3808">
        <v>0.04</v>
      </c>
      <c r="CB3808">
        <v>-0.47</v>
      </c>
      <c r="CC3808">
        <v>0</v>
      </c>
      <c r="CD3808">
        <v>0.09</v>
      </c>
      <c r="CE3808">
        <v>0.78</v>
      </c>
      <c r="CF3808">
        <v>0.22</v>
      </c>
      <c r="CG3808">
        <v>0</v>
      </c>
      <c r="CH3808">
        <v>-1.79</v>
      </c>
      <c r="CI3808">
        <v>0</v>
      </c>
      <c r="CJ3808">
        <v>-4</v>
      </c>
      <c r="CK3808">
        <v>89</v>
      </c>
      <c r="CL3808">
        <v>-0.68</v>
      </c>
      <c r="CM3808">
        <v>87</v>
      </c>
      <c r="CN3808">
        <v>-0.37</v>
      </c>
      <c r="CO3808">
        <v>85</v>
      </c>
      <c r="CP3808">
        <v>-8.3000000000000007</v>
      </c>
      <c r="CQ3808">
        <v>91</v>
      </c>
      <c r="CR3808">
        <v>0</v>
      </c>
      <c r="CS3808">
        <v>0</v>
      </c>
      <c r="CT3808">
        <v>-10.1</v>
      </c>
      <c r="CU3808">
        <v>76</v>
      </c>
      <c r="CV3808">
        <v>0.04</v>
      </c>
      <c r="CW3808">
        <v>43</v>
      </c>
      <c r="CX3808" t="s">
        <v>724</v>
      </c>
    </row>
    <row r="3809" spans="1:102" x14ac:dyDescent="0.3">
      <c r="A3809" t="str">
        <f>HYPERLINK("https://webapp.icbf.com/v2/app/bull-search/view/130613778","BCK")</f>
        <v>BCK</v>
      </c>
      <c r="B3809" t="s">
        <v>4621</v>
      </c>
      <c r="C3809" t="s">
        <v>4622</v>
      </c>
      <c r="D3809" s="1">
        <v>33266</v>
      </c>
      <c r="E3809" t="s">
        <v>92</v>
      </c>
      <c r="F3809">
        <v>100</v>
      </c>
      <c r="G3809" t="s">
        <v>109</v>
      </c>
      <c r="H3809">
        <v>-63.69</v>
      </c>
      <c r="I3809">
        <v>79</v>
      </c>
      <c r="J3809">
        <v>-19.809999999999999</v>
      </c>
      <c r="K3809">
        <v>90</v>
      </c>
      <c r="L3809">
        <v>-52.72</v>
      </c>
      <c r="M3809">
        <v>84</v>
      </c>
      <c r="N3809">
        <v>7.97</v>
      </c>
      <c r="O3809">
        <v>62</v>
      </c>
      <c r="P3809">
        <v>-9.23</v>
      </c>
      <c r="Q3809">
        <v>64</v>
      </c>
      <c r="R3809">
        <v>4.29</v>
      </c>
      <c r="S3809">
        <v>70</v>
      </c>
      <c r="T3809">
        <v>9.5299999999999994</v>
      </c>
      <c r="U3809">
        <v>68</v>
      </c>
      <c r="V3809">
        <v>-3.72</v>
      </c>
      <c r="W3809">
        <v>43</v>
      </c>
      <c r="X3809" t="s">
        <v>131</v>
      </c>
      <c r="Y3809" t="s">
        <v>95</v>
      </c>
      <c r="Z3809" t="s">
        <v>96</v>
      </c>
      <c r="AA3809" t="s">
        <v>111</v>
      </c>
      <c r="AB3809" t="s">
        <v>4623</v>
      </c>
      <c r="AC3809">
        <v>0</v>
      </c>
      <c r="AD3809">
        <v>0</v>
      </c>
      <c r="AE3809">
        <v>90</v>
      </c>
      <c r="AF3809">
        <v>147.41</v>
      </c>
      <c r="AG3809">
        <v>1.49</v>
      </c>
      <c r="AH3809">
        <v>-1.64</v>
      </c>
      <c r="AI3809">
        <v>-7.0000000000000007E-2</v>
      </c>
      <c r="AJ3809">
        <v>-0.11</v>
      </c>
      <c r="AK3809">
        <v>84</v>
      </c>
      <c r="AL3809">
        <v>0</v>
      </c>
      <c r="AM3809">
        <v>0</v>
      </c>
      <c r="AN3809">
        <v>3.98</v>
      </c>
      <c r="AO3809">
        <v>-0.21</v>
      </c>
      <c r="AP3809">
        <v>12</v>
      </c>
      <c r="AQ3809">
        <v>0</v>
      </c>
      <c r="AR3809">
        <v>7.48</v>
      </c>
      <c r="AS3809">
        <v>34</v>
      </c>
      <c r="AT3809">
        <v>3.66</v>
      </c>
      <c r="AU3809">
        <v>88</v>
      </c>
      <c r="AV3809">
        <v>-1.84</v>
      </c>
      <c r="AW3809">
        <v>63</v>
      </c>
      <c r="AX3809">
        <v>-0.2</v>
      </c>
      <c r="AY3809">
        <v>55</v>
      </c>
      <c r="AZ3809">
        <v>6.68</v>
      </c>
      <c r="BA3809">
        <v>34</v>
      </c>
      <c r="BB3809">
        <v>5.43</v>
      </c>
      <c r="BC3809">
        <v>40</v>
      </c>
      <c r="BD3809">
        <v>0.02</v>
      </c>
      <c r="BE3809">
        <v>0.02</v>
      </c>
      <c r="BF3809">
        <v>-0.17</v>
      </c>
      <c r="BG3809">
        <v>91</v>
      </c>
      <c r="BH3809">
        <v>-0.03</v>
      </c>
      <c r="BI3809">
        <v>8.5399999999999991</v>
      </c>
      <c r="BJ3809">
        <v>2</v>
      </c>
      <c r="BK3809">
        <v>2</v>
      </c>
      <c r="BL3809">
        <v>-0.49</v>
      </c>
      <c r="BM3809">
        <v>-0.71</v>
      </c>
      <c r="BN3809">
        <v>-0.54</v>
      </c>
      <c r="BO3809">
        <v>0.09</v>
      </c>
      <c r="BP3809">
        <v>-1.3</v>
      </c>
      <c r="BQ3809">
        <v>-0.72</v>
      </c>
      <c r="BR3809">
        <v>0.95</v>
      </c>
      <c r="BS3809">
        <v>-0.23</v>
      </c>
      <c r="BT3809">
        <v>-0.4</v>
      </c>
      <c r="BU3809">
        <v>1.06</v>
      </c>
      <c r="BV3809">
        <v>0.95</v>
      </c>
      <c r="BW3809">
        <v>1.66</v>
      </c>
      <c r="BX3809">
        <v>0.97</v>
      </c>
      <c r="BY3809">
        <v>-0.01</v>
      </c>
      <c r="BZ3809">
        <v>-0.76</v>
      </c>
      <c r="CA3809">
        <v>0.93</v>
      </c>
      <c r="CB3809">
        <v>0.72</v>
      </c>
      <c r="CC3809">
        <v>0.85</v>
      </c>
      <c r="CD3809">
        <v>0.03</v>
      </c>
      <c r="CE3809">
        <v>0.48</v>
      </c>
      <c r="CF3809">
        <v>0.57999999999999996</v>
      </c>
      <c r="CG3809">
        <v>0</v>
      </c>
      <c r="CH3809">
        <v>0.4</v>
      </c>
      <c r="CI3809">
        <v>0</v>
      </c>
      <c r="CJ3809">
        <v>-3.8</v>
      </c>
      <c r="CK3809">
        <v>66</v>
      </c>
      <c r="CL3809">
        <v>-0.61</v>
      </c>
      <c r="CM3809">
        <v>61</v>
      </c>
      <c r="CN3809">
        <v>-0.21</v>
      </c>
      <c r="CO3809">
        <v>57</v>
      </c>
      <c r="CP3809">
        <v>-1</v>
      </c>
      <c r="CQ3809">
        <v>70</v>
      </c>
      <c r="CR3809">
        <v>0</v>
      </c>
      <c r="CS3809">
        <v>0</v>
      </c>
      <c r="CT3809">
        <v>0.9</v>
      </c>
      <c r="CU3809">
        <v>68</v>
      </c>
      <c r="CV3809">
        <v>0.06</v>
      </c>
      <c r="CW3809">
        <v>18</v>
      </c>
      <c r="CX3809" t="s">
        <v>543</v>
      </c>
    </row>
    <row r="3810" spans="1:102" x14ac:dyDescent="0.3">
      <c r="A3810" t="str">
        <f>HYPERLINK("https://webapp.icbf.com/v2/app/bull-search/view/740351200","S1685")</f>
        <v>S1685</v>
      </c>
      <c r="B3810" t="s">
        <v>15614</v>
      </c>
      <c r="C3810" t="s">
        <v>15615</v>
      </c>
      <c r="D3810" s="1">
        <v>39417</v>
      </c>
      <c r="E3810" t="s">
        <v>92</v>
      </c>
      <c r="F3810">
        <v>100</v>
      </c>
      <c r="G3810" t="s">
        <v>109</v>
      </c>
      <c r="H3810">
        <v>-63.88</v>
      </c>
      <c r="I3810">
        <v>74</v>
      </c>
      <c r="J3810">
        <v>12.26</v>
      </c>
      <c r="K3810">
        <v>87</v>
      </c>
      <c r="L3810">
        <v>-61.29</v>
      </c>
      <c r="M3810">
        <v>82</v>
      </c>
      <c r="N3810">
        <v>4.7300000000000004</v>
      </c>
      <c r="O3810">
        <v>66</v>
      </c>
      <c r="P3810">
        <v>-9.09</v>
      </c>
      <c r="Q3810">
        <v>68</v>
      </c>
      <c r="R3810">
        <v>-6.42</v>
      </c>
      <c r="S3810">
        <v>61</v>
      </c>
      <c r="T3810">
        <v>-2.38</v>
      </c>
      <c r="U3810">
        <v>38</v>
      </c>
      <c r="V3810">
        <v>-1.69</v>
      </c>
      <c r="W3810">
        <v>17</v>
      </c>
      <c r="X3810" t="s">
        <v>94</v>
      </c>
      <c r="Y3810" t="s">
        <v>362</v>
      </c>
      <c r="Z3810" t="s">
        <v>96</v>
      </c>
      <c r="AA3810" t="s">
        <v>5289</v>
      </c>
      <c r="AB3810" t="s">
        <v>15616</v>
      </c>
      <c r="AC3810">
        <v>0</v>
      </c>
      <c r="AD3810">
        <v>0</v>
      </c>
      <c r="AE3810">
        <v>87</v>
      </c>
      <c r="AF3810">
        <v>113.98</v>
      </c>
      <c r="AG3810">
        <v>3.73</v>
      </c>
      <c r="AH3810">
        <v>2.5099999999999998</v>
      </c>
      <c r="AI3810">
        <v>-0.01</v>
      </c>
      <c r="AJ3810">
        <v>-0.02</v>
      </c>
      <c r="AK3810">
        <v>82</v>
      </c>
      <c r="AL3810">
        <v>0</v>
      </c>
      <c r="AM3810">
        <v>0</v>
      </c>
      <c r="AN3810">
        <v>3.93</v>
      </c>
      <c r="AO3810">
        <v>-0.95</v>
      </c>
      <c r="AP3810">
        <v>40</v>
      </c>
      <c r="AQ3810">
        <v>0</v>
      </c>
      <c r="AR3810">
        <v>6.61</v>
      </c>
      <c r="AS3810">
        <v>49</v>
      </c>
      <c r="AT3810">
        <v>3.18</v>
      </c>
      <c r="AU3810">
        <v>89</v>
      </c>
      <c r="AV3810">
        <v>-0.86</v>
      </c>
      <c r="AW3810">
        <v>77</v>
      </c>
      <c r="AX3810">
        <v>0.27</v>
      </c>
      <c r="AY3810">
        <v>48</v>
      </c>
      <c r="AZ3810">
        <v>7.02</v>
      </c>
      <c r="BA3810">
        <v>29</v>
      </c>
      <c r="BB3810">
        <v>5.5</v>
      </c>
      <c r="BC3810">
        <v>22</v>
      </c>
      <c r="BD3810">
        <v>0.01</v>
      </c>
      <c r="BE3810">
        <v>-0.01</v>
      </c>
      <c r="BF3810">
        <v>0.15</v>
      </c>
      <c r="BG3810">
        <v>90</v>
      </c>
      <c r="BH3810">
        <v>-0.01</v>
      </c>
      <c r="BI3810">
        <v>4.3</v>
      </c>
      <c r="BJ3810">
        <v>11</v>
      </c>
      <c r="BK3810">
        <v>5</v>
      </c>
      <c r="BL3810">
        <v>1.1000000000000001</v>
      </c>
      <c r="BM3810">
        <v>-1.05</v>
      </c>
      <c r="BN3810">
        <v>0.51</v>
      </c>
      <c r="BO3810">
        <v>0.98</v>
      </c>
      <c r="BP3810">
        <v>2.0099999999999998</v>
      </c>
      <c r="BQ3810">
        <v>1.1000000000000001</v>
      </c>
      <c r="BR3810">
        <v>-0.55000000000000004</v>
      </c>
      <c r="BS3810">
        <v>3.22</v>
      </c>
      <c r="BT3810">
        <v>1.31</v>
      </c>
      <c r="BU3810">
        <v>2.34</v>
      </c>
      <c r="BV3810">
        <v>2.34</v>
      </c>
      <c r="BW3810">
        <v>1.25</v>
      </c>
      <c r="BX3810">
        <v>2.16</v>
      </c>
      <c r="BY3810">
        <v>1.99</v>
      </c>
      <c r="BZ3810">
        <v>-2.36</v>
      </c>
      <c r="CA3810">
        <v>2.4300000000000002</v>
      </c>
      <c r="CB3810">
        <v>1.83</v>
      </c>
      <c r="CC3810">
        <v>2.62</v>
      </c>
      <c r="CD3810">
        <v>-0.48</v>
      </c>
      <c r="CE3810">
        <v>1.1499999999999999</v>
      </c>
      <c r="CF3810">
        <v>1.07</v>
      </c>
      <c r="CG3810">
        <v>0</v>
      </c>
      <c r="CH3810">
        <v>1.1000000000000001</v>
      </c>
      <c r="CI3810">
        <v>0</v>
      </c>
      <c r="CJ3810">
        <v>-3.7</v>
      </c>
      <c r="CK3810">
        <v>72</v>
      </c>
      <c r="CL3810">
        <v>-1.1200000000000001</v>
      </c>
      <c r="CM3810">
        <v>68</v>
      </c>
      <c r="CN3810">
        <v>-0.57999999999999996</v>
      </c>
      <c r="CO3810">
        <v>65</v>
      </c>
      <c r="CP3810">
        <v>5.2</v>
      </c>
      <c r="CQ3810">
        <v>50</v>
      </c>
      <c r="CR3810">
        <v>0</v>
      </c>
      <c r="CS3810">
        <v>0</v>
      </c>
      <c r="CT3810">
        <v>17</v>
      </c>
      <c r="CU3810">
        <v>38</v>
      </c>
      <c r="CV3810">
        <v>0.23</v>
      </c>
      <c r="CW3810">
        <v>19</v>
      </c>
      <c r="CX3810" t="s">
        <v>5648</v>
      </c>
    </row>
    <row r="3811" spans="1:102" x14ac:dyDescent="0.3">
      <c r="A3811" t="str">
        <f>HYPERLINK("https://webapp.icbf.com/v2/app/bull-search/view/77859376","ASC")</f>
        <v>ASC</v>
      </c>
      <c r="B3811" t="s">
        <v>633</v>
      </c>
      <c r="C3811" t="s">
        <v>634</v>
      </c>
      <c r="D3811" s="1">
        <v>34096</v>
      </c>
      <c r="E3811" t="s">
        <v>92</v>
      </c>
      <c r="F3811">
        <v>100</v>
      </c>
      <c r="G3811" t="s">
        <v>109</v>
      </c>
      <c r="H3811">
        <v>-63.9</v>
      </c>
      <c r="I3811">
        <v>82</v>
      </c>
      <c r="J3811">
        <v>13.24</v>
      </c>
      <c r="K3811">
        <v>94</v>
      </c>
      <c r="L3811">
        <v>-92.71</v>
      </c>
      <c r="M3811">
        <v>83</v>
      </c>
      <c r="N3811">
        <v>-0.89</v>
      </c>
      <c r="O3811">
        <v>65</v>
      </c>
      <c r="P3811">
        <v>-9.06</v>
      </c>
      <c r="Q3811">
        <v>70</v>
      </c>
      <c r="R3811">
        <v>2.5099999999999998</v>
      </c>
      <c r="S3811">
        <v>79</v>
      </c>
      <c r="T3811">
        <v>18.489999999999998</v>
      </c>
      <c r="U3811">
        <v>71</v>
      </c>
      <c r="V3811">
        <v>4.5199999999999996</v>
      </c>
      <c r="W3811">
        <v>69</v>
      </c>
      <c r="X3811" t="s">
        <v>94</v>
      </c>
      <c r="Y3811" t="s">
        <v>95</v>
      </c>
      <c r="Z3811" t="s">
        <v>96</v>
      </c>
      <c r="AA3811" t="s">
        <v>485</v>
      </c>
      <c r="AB3811" t="s">
        <v>635</v>
      </c>
      <c r="AC3811">
        <v>0</v>
      </c>
      <c r="AD3811">
        <v>0</v>
      </c>
      <c r="AE3811">
        <v>94</v>
      </c>
      <c r="AF3811">
        <v>221.8</v>
      </c>
      <c r="AG3811">
        <v>6.07</v>
      </c>
      <c r="AH3811">
        <v>3.5</v>
      </c>
      <c r="AI3811">
        <v>-0.04</v>
      </c>
      <c r="AJ3811">
        <v>-7.0000000000000007E-2</v>
      </c>
      <c r="AK3811">
        <v>83</v>
      </c>
      <c r="AL3811">
        <v>0</v>
      </c>
      <c r="AM3811">
        <v>0</v>
      </c>
      <c r="AN3811">
        <v>5.32</v>
      </c>
      <c r="AO3811">
        <v>-2.0699999999999998</v>
      </c>
      <c r="AP3811">
        <v>5</v>
      </c>
      <c r="AQ3811">
        <v>0</v>
      </c>
      <c r="AR3811">
        <v>8.0399999999999991</v>
      </c>
      <c r="AS3811">
        <v>63</v>
      </c>
      <c r="AT3811">
        <v>3.37</v>
      </c>
      <c r="AU3811">
        <v>75</v>
      </c>
      <c r="AV3811">
        <v>-0.76</v>
      </c>
      <c r="AW3811">
        <v>64</v>
      </c>
      <c r="AX3811">
        <v>0.52</v>
      </c>
      <c r="AY3811">
        <v>63</v>
      </c>
      <c r="AZ3811">
        <v>6.94</v>
      </c>
      <c r="BA3811">
        <v>53</v>
      </c>
      <c r="BB3811">
        <v>5.29</v>
      </c>
      <c r="BC3811">
        <v>57</v>
      </c>
      <c r="BD3811">
        <v>-0.04</v>
      </c>
      <c r="BE3811">
        <v>0.01</v>
      </c>
      <c r="BF3811">
        <v>-0.01</v>
      </c>
      <c r="BG3811">
        <v>91</v>
      </c>
      <c r="BH3811">
        <v>0.21</v>
      </c>
      <c r="BI3811">
        <v>9.7100000000000009</v>
      </c>
      <c r="BJ3811">
        <v>4</v>
      </c>
      <c r="BK3811">
        <v>2</v>
      </c>
      <c r="BL3811">
        <v>-1.36</v>
      </c>
      <c r="BM3811">
        <v>-0.36</v>
      </c>
      <c r="BN3811">
        <v>-0.79</v>
      </c>
      <c r="BO3811">
        <v>-0.43</v>
      </c>
      <c r="BP3811">
        <v>-0.13</v>
      </c>
      <c r="BQ3811">
        <v>-1.45</v>
      </c>
      <c r="BR3811">
        <v>0.63</v>
      </c>
      <c r="BS3811">
        <v>-0.12</v>
      </c>
      <c r="BT3811">
        <v>-0.34</v>
      </c>
      <c r="BU3811">
        <v>0.04</v>
      </c>
      <c r="BV3811">
        <v>0.33</v>
      </c>
      <c r="BW3811">
        <v>-0.82</v>
      </c>
      <c r="BX3811">
        <v>-0.93</v>
      </c>
      <c r="BY3811">
        <v>-0.93</v>
      </c>
      <c r="BZ3811">
        <v>1.79</v>
      </c>
      <c r="CA3811">
        <v>-0.18</v>
      </c>
      <c r="CB3811">
        <v>0.22</v>
      </c>
      <c r="CC3811">
        <v>-0.62</v>
      </c>
      <c r="CD3811">
        <v>0.98</v>
      </c>
      <c r="CE3811">
        <v>-0.13</v>
      </c>
      <c r="CF3811">
        <v>-2</v>
      </c>
      <c r="CG3811">
        <v>0</v>
      </c>
      <c r="CH3811">
        <v>-0.76</v>
      </c>
      <c r="CI3811">
        <v>0</v>
      </c>
      <c r="CJ3811">
        <v>-5.0999999999999996</v>
      </c>
      <c r="CK3811">
        <v>71</v>
      </c>
      <c r="CL3811">
        <v>-0.38</v>
      </c>
      <c r="CM3811">
        <v>68</v>
      </c>
      <c r="CN3811">
        <v>-0.28999999999999998</v>
      </c>
      <c r="CO3811">
        <v>65</v>
      </c>
      <c r="CP3811">
        <v>-10</v>
      </c>
      <c r="CQ3811">
        <v>76</v>
      </c>
      <c r="CR3811">
        <v>0</v>
      </c>
      <c r="CS3811">
        <v>0</v>
      </c>
      <c r="CT3811">
        <v>-11.2</v>
      </c>
      <c r="CU3811">
        <v>71</v>
      </c>
      <c r="CV3811">
        <v>-0.01</v>
      </c>
      <c r="CW3811">
        <v>40</v>
      </c>
      <c r="CX3811" t="s">
        <v>166</v>
      </c>
    </row>
    <row r="3812" spans="1:102" x14ac:dyDescent="0.3">
      <c r="A3812" t="str">
        <f>HYPERLINK("https://webapp.icbf.com/v2/app/bull-search/view/938460364","S1227")</f>
        <v>S1227</v>
      </c>
      <c r="B3812" t="s">
        <v>8458</v>
      </c>
      <c r="C3812" t="s">
        <v>8459</v>
      </c>
      <c r="D3812" s="1">
        <v>40100</v>
      </c>
      <c r="E3812" t="s">
        <v>92</v>
      </c>
      <c r="F3812">
        <v>100</v>
      </c>
      <c r="G3812" t="s">
        <v>93</v>
      </c>
      <c r="H3812">
        <v>-63.91</v>
      </c>
      <c r="I3812">
        <v>76</v>
      </c>
      <c r="J3812">
        <v>32.14</v>
      </c>
      <c r="K3812">
        <v>93</v>
      </c>
      <c r="L3812">
        <v>-2.02</v>
      </c>
      <c r="M3812">
        <v>71</v>
      </c>
      <c r="N3812">
        <v>-84.85</v>
      </c>
      <c r="O3812">
        <v>68</v>
      </c>
      <c r="P3812">
        <v>-12.08</v>
      </c>
      <c r="Q3812">
        <v>64</v>
      </c>
      <c r="R3812">
        <v>-1.88</v>
      </c>
      <c r="S3812">
        <v>68</v>
      </c>
      <c r="T3812">
        <v>1.32</v>
      </c>
      <c r="U3812">
        <v>56</v>
      </c>
      <c r="V3812">
        <v>3.46</v>
      </c>
      <c r="W3812">
        <v>57</v>
      </c>
      <c r="X3812" t="s">
        <v>276</v>
      </c>
      <c r="Y3812" t="s">
        <v>336</v>
      </c>
      <c r="Z3812" t="s">
        <v>96</v>
      </c>
      <c r="AA3812" t="s">
        <v>8460</v>
      </c>
      <c r="AB3812" t="s">
        <v>8461</v>
      </c>
      <c r="AC3812">
        <v>38</v>
      </c>
      <c r="AD3812">
        <v>16</v>
      </c>
      <c r="AE3812">
        <v>93</v>
      </c>
      <c r="AF3812">
        <v>139.29</v>
      </c>
      <c r="AG3812">
        <v>11.81</v>
      </c>
      <c r="AH3812">
        <v>3.42</v>
      </c>
      <c r="AI3812">
        <v>0.11</v>
      </c>
      <c r="AJ3812">
        <v>-0.02</v>
      </c>
      <c r="AK3812">
        <v>71</v>
      </c>
      <c r="AL3812">
        <v>30</v>
      </c>
      <c r="AM3812">
        <v>12</v>
      </c>
      <c r="AN3812">
        <v>-0.56000000000000005</v>
      </c>
      <c r="AO3812">
        <v>-0.73</v>
      </c>
      <c r="AP3812">
        <v>40</v>
      </c>
      <c r="AQ3812">
        <v>0</v>
      </c>
      <c r="AR3812">
        <v>21.48</v>
      </c>
      <c r="AS3812">
        <v>74</v>
      </c>
      <c r="AT3812">
        <v>5.82</v>
      </c>
      <c r="AU3812">
        <v>66</v>
      </c>
      <c r="AV3812">
        <v>-1.94</v>
      </c>
      <c r="AW3812">
        <v>79</v>
      </c>
      <c r="AX3812">
        <v>-0.84</v>
      </c>
      <c r="AY3812">
        <v>66</v>
      </c>
      <c r="AZ3812">
        <v>9.9499999999999993</v>
      </c>
      <c r="BA3812">
        <v>50</v>
      </c>
      <c r="BB3812">
        <v>6.06</v>
      </c>
      <c r="BC3812">
        <v>44</v>
      </c>
      <c r="BD3812">
        <v>0.02</v>
      </c>
      <c r="BE3812">
        <v>0</v>
      </c>
      <c r="BF3812">
        <v>0.01</v>
      </c>
      <c r="BG3812">
        <v>81</v>
      </c>
      <c r="BH3812">
        <v>0.17</v>
      </c>
      <c r="BI3812">
        <v>8.51</v>
      </c>
      <c r="BJ3812">
        <v>14</v>
      </c>
      <c r="BK3812">
        <v>8</v>
      </c>
      <c r="BL3812">
        <v>1.21</v>
      </c>
      <c r="BM3812">
        <v>0.27</v>
      </c>
      <c r="BN3812">
        <v>0.3</v>
      </c>
      <c r="BO3812">
        <v>0.61</v>
      </c>
      <c r="BP3812">
        <v>-1.39</v>
      </c>
      <c r="BQ3812">
        <v>3.14</v>
      </c>
      <c r="BR3812">
        <v>1.62</v>
      </c>
      <c r="BS3812">
        <v>-0.53</v>
      </c>
      <c r="BT3812">
        <v>-1.61</v>
      </c>
      <c r="BU3812">
        <v>1.58</v>
      </c>
      <c r="BV3812">
        <v>0.81</v>
      </c>
      <c r="BW3812">
        <v>-0.43</v>
      </c>
      <c r="BX3812">
        <v>1.1000000000000001</v>
      </c>
      <c r="BY3812">
        <v>-0.31</v>
      </c>
      <c r="BZ3812">
        <v>-1.89</v>
      </c>
      <c r="CA3812">
        <v>0.73</v>
      </c>
      <c r="CB3812">
        <v>1.06</v>
      </c>
      <c r="CC3812">
        <v>0.4</v>
      </c>
      <c r="CD3812">
        <v>-0.11</v>
      </c>
      <c r="CE3812">
        <v>1.26</v>
      </c>
      <c r="CF3812">
        <v>1.41</v>
      </c>
      <c r="CG3812">
        <v>0</v>
      </c>
      <c r="CH3812">
        <v>-0.4</v>
      </c>
      <c r="CI3812">
        <v>0</v>
      </c>
      <c r="CJ3812">
        <v>-3.2</v>
      </c>
      <c r="CK3812">
        <v>67</v>
      </c>
      <c r="CL3812">
        <v>-1.21</v>
      </c>
      <c r="CM3812">
        <v>61</v>
      </c>
      <c r="CN3812">
        <v>-0.45</v>
      </c>
      <c r="CO3812">
        <v>58</v>
      </c>
      <c r="CP3812">
        <v>-3</v>
      </c>
      <c r="CQ3812">
        <v>61</v>
      </c>
      <c r="CR3812">
        <v>0</v>
      </c>
      <c r="CS3812">
        <v>0</v>
      </c>
      <c r="CT3812">
        <v>12</v>
      </c>
      <c r="CU3812">
        <v>56</v>
      </c>
      <c r="CV3812">
        <v>0.14000000000000001</v>
      </c>
      <c r="CW3812">
        <v>39</v>
      </c>
      <c r="CX3812" t="s">
        <v>8462</v>
      </c>
    </row>
    <row r="3813" spans="1:102" x14ac:dyDescent="0.3">
      <c r="A3813" t="str">
        <f>HYPERLINK("https://webapp.icbf.com/v2/app/bull-search/view/459118709","VRU")</f>
        <v>VRU</v>
      </c>
      <c r="B3813" t="s">
        <v>4765</v>
      </c>
      <c r="C3813" t="s">
        <v>4766</v>
      </c>
      <c r="D3813" s="1">
        <v>38826</v>
      </c>
      <c r="E3813" t="s">
        <v>92</v>
      </c>
      <c r="F3813">
        <v>100</v>
      </c>
      <c r="G3813" t="s">
        <v>93</v>
      </c>
      <c r="H3813">
        <v>-63.95</v>
      </c>
      <c r="I3813">
        <v>88</v>
      </c>
      <c r="J3813">
        <v>-2.75</v>
      </c>
      <c r="K3813">
        <v>97</v>
      </c>
      <c r="L3813">
        <v>-67.55</v>
      </c>
      <c r="M3813">
        <v>81</v>
      </c>
      <c r="N3813">
        <v>3</v>
      </c>
      <c r="O3813">
        <v>86</v>
      </c>
      <c r="P3813">
        <v>3.26</v>
      </c>
      <c r="Q3813">
        <v>93</v>
      </c>
      <c r="R3813">
        <v>-3.45</v>
      </c>
      <c r="S3813">
        <v>83</v>
      </c>
      <c r="T3813">
        <v>-1.42</v>
      </c>
      <c r="U3813">
        <v>86</v>
      </c>
      <c r="V3813">
        <v>4.96</v>
      </c>
      <c r="W3813">
        <v>81</v>
      </c>
      <c r="X3813" t="s">
        <v>94</v>
      </c>
      <c r="Y3813" t="s">
        <v>1251</v>
      </c>
      <c r="Z3813" t="s">
        <v>96</v>
      </c>
      <c r="AA3813" t="s">
        <v>1165</v>
      </c>
      <c r="AB3813" t="s">
        <v>4764</v>
      </c>
      <c r="AC3813">
        <v>99</v>
      </c>
      <c r="AD3813">
        <v>71</v>
      </c>
      <c r="AE3813">
        <v>97</v>
      </c>
      <c r="AF3813">
        <v>415.24</v>
      </c>
      <c r="AG3813">
        <v>5.65</v>
      </c>
      <c r="AH3813">
        <v>3.89</v>
      </c>
      <c r="AI3813">
        <v>-0.17</v>
      </c>
      <c r="AJ3813">
        <v>-0.17</v>
      </c>
      <c r="AK3813">
        <v>81</v>
      </c>
      <c r="AL3813">
        <v>90</v>
      </c>
      <c r="AM3813">
        <v>64</v>
      </c>
      <c r="AN3813">
        <v>3.45</v>
      </c>
      <c r="AO3813">
        <v>-1.94</v>
      </c>
      <c r="AP3813">
        <v>219</v>
      </c>
      <c r="AQ3813">
        <v>0</v>
      </c>
      <c r="AR3813">
        <v>9.2100000000000009</v>
      </c>
      <c r="AS3813">
        <v>73</v>
      </c>
      <c r="AT3813">
        <v>3.77</v>
      </c>
      <c r="AU3813">
        <v>89</v>
      </c>
      <c r="AV3813">
        <v>-1.69</v>
      </c>
      <c r="AW3813">
        <v>96</v>
      </c>
      <c r="AX3813">
        <v>-0.16</v>
      </c>
      <c r="AY3813">
        <v>80</v>
      </c>
      <c r="AZ3813">
        <v>6.71</v>
      </c>
      <c r="BA3813">
        <v>66</v>
      </c>
      <c r="BB3813">
        <v>4.9400000000000004</v>
      </c>
      <c r="BC3813">
        <v>69</v>
      </c>
      <c r="BD3813">
        <v>-0.01</v>
      </c>
      <c r="BE3813">
        <v>0.04</v>
      </c>
      <c r="BF3813">
        <v>0.02</v>
      </c>
      <c r="BG3813">
        <v>90</v>
      </c>
      <c r="BH3813">
        <v>0.04</v>
      </c>
      <c r="BI3813">
        <v>-11.36</v>
      </c>
      <c r="BJ3813">
        <v>11</v>
      </c>
      <c r="BK3813">
        <v>11</v>
      </c>
      <c r="BL3813">
        <v>0.69</v>
      </c>
      <c r="BM3813">
        <v>0.71</v>
      </c>
      <c r="BN3813">
        <v>0.27</v>
      </c>
      <c r="BO3813">
        <v>-0.02</v>
      </c>
      <c r="BP3813">
        <v>0.11</v>
      </c>
      <c r="BQ3813">
        <v>1.24</v>
      </c>
      <c r="BR3813">
        <v>0.3</v>
      </c>
      <c r="BS3813">
        <v>-2.08</v>
      </c>
      <c r="BT3813">
        <v>-0.86</v>
      </c>
      <c r="BU3813">
        <v>-0.69</v>
      </c>
      <c r="BV3813">
        <v>-1.03</v>
      </c>
      <c r="BW3813">
        <v>-0.15</v>
      </c>
      <c r="BX3813">
        <v>0.59</v>
      </c>
      <c r="BY3813">
        <v>0.88</v>
      </c>
      <c r="BZ3813">
        <v>-1.66</v>
      </c>
      <c r="CA3813">
        <v>-0.19</v>
      </c>
      <c r="CB3813">
        <v>-0.02</v>
      </c>
      <c r="CC3813">
        <v>-1.45</v>
      </c>
      <c r="CD3813">
        <v>-0.06</v>
      </c>
      <c r="CE3813">
        <v>0.21</v>
      </c>
      <c r="CF3813">
        <v>0.69</v>
      </c>
      <c r="CG3813">
        <v>0</v>
      </c>
      <c r="CH3813">
        <v>0.78</v>
      </c>
      <c r="CI3813">
        <v>0</v>
      </c>
      <c r="CJ3813">
        <v>4.3</v>
      </c>
      <c r="CK3813">
        <v>94</v>
      </c>
      <c r="CL3813">
        <v>-0.62</v>
      </c>
      <c r="CM3813">
        <v>92</v>
      </c>
      <c r="CN3813">
        <v>-0.3</v>
      </c>
      <c r="CO3813">
        <v>91</v>
      </c>
      <c r="CP3813">
        <v>1.4</v>
      </c>
      <c r="CQ3813">
        <v>90</v>
      </c>
      <c r="CR3813">
        <v>0</v>
      </c>
      <c r="CS3813">
        <v>0</v>
      </c>
      <c r="CT3813">
        <v>15.7</v>
      </c>
      <c r="CU3813">
        <v>86</v>
      </c>
      <c r="CV3813">
        <v>0.28000000000000003</v>
      </c>
      <c r="CW3813">
        <v>46</v>
      </c>
      <c r="CX3813" t="s">
        <v>3977</v>
      </c>
    </row>
    <row r="3814" spans="1:102" x14ac:dyDescent="0.3">
      <c r="A3814" t="str">
        <f>HYPERLINK("https://webapp.icbf.com/v2/app/bull-search/view/469252168","HZM")</f>
        <v>HZM</v>
      </c>
      <c r="B3814" t="s">
        <v>4770</v>
      </c>
      <c r="C3814" t="s">
        <v>4771</v>
      </c>
      <c r="D3814" s="1">
        <v>38463</v>
      </c>
      <c r="E3814" t="s">
        <v>92</v>
      </c>
      <c r="F3814">
        <v>100</v>
      </c>
      <c r="G3814" t="s">
        <v>93</v>
      </c>
      <c r="H3814">
        <v>-63.97</v>
      </c>
      <c r="I3814">
        <v>85</v>
      </c>
      <c r="J3814">
        <v>58.78</v>
      </c>
      <c r="K3814">
        <v>96</v>
      </c>
      <c r="L3814">
        <v>-127.69</v>
      </c>
      <c r="M3814">
        <v>80</v>
      </c>
      <c r="N3814">
        <v>8.9</v>
      </c>
      <c r="O3814">
        <v>81</v>
      </c>
      <c r="P3814">
        <v>-5.99</v>
      </c>
      <c r="Q3814">
        <v>86</v>
      </c>
      <c r="R3814">
        <v>-4.22</v>
      </c>
      <c r="S3814">
        <v>78</v>
      </c>
      <c r="T3814">
        <v>4.95</v>
      </c>
      <c r="U3814">
        <v>77</v>
      </c>
      <c r="V3814">
        <v>1.3</v>
      </c>
      <c r="W3814">
        <v>77</v>
      </c>
      <c r="X3814" t="s">
        <v>94</v>
      </c>
      <c r="Y3814" t="s">
        <v>2643</v>
      </c>
      <c r="Z3814" t="s">
        <v>96</v>
      </c>
      <c r="AA3814" t="s">
        <v>283</v>
      </c>
      <c r="AB3814" t="s">
        <v>4772</v>
      </c>
      <c r="AC3814">
        <v>53</v>
      </c>
      <c r="AD3814">
        <v>39</v>
      </c>
      <c r="AE3814">
        <v>96</v>
      </c>
      <c r="AF3814">
        <v>432.61</v>
      </c>
      <c r="AG3814">
        <v>12.35</v>
      </c>
      <c r="AH3814">
        <v>12.25</v>
      </c>
      <c r="AI3814">
        <v>-7.0000000000000007E-2</v>
      </c>
      <c r="AJ3814">
        <v>-0.04</v>
      </c>
      <c r="AK3814">
        <v>80</v>
      </c>
      <c r="AL3814">
        <v>46</v>
      </c>
      <c r="AM3814">
        <v>33</v>
      </c>
      <c r="AN3814">
        <v>7.97</v>
      </c>
      <c r="AO3814">
        <v>-2.2000000000000002</v>
      </c>
      <c r="AP3814">
        <v>87</v>
      </c>
      <c r="AQ3814">
        <v>1</v>
      </c>
      <c r="AR3814">
        <v>8.36</v>
      </c>
      <c r="AS3814">
        <v>68</v>
      </c>
      <c r="AT3814">
        <v>4.04</v>
      </c>
      <c r="AU3814">
        <v>83</v>
      </c>
      <c r="AV3814">
        <v>-1.86</v>
      </c>
      <c r="AW3814">
        <v>92</v>
      </c>
      <c r="AX3814">
        <v>-0.47</v>
      </c>
      <c r="AY3814">
        <v>74</v>
      </c>
      <c r="AZ3814">
        <v>5.44</v>
      </c>
      <c r="BA3814">
        <v>62</v>
      </c>
      <c r="BB3814">
        <v>4.51</v>
      </c>
      <c r="BC3814">
        <v>62</v>
      </c>
      <c r="BD3814">
        <v>0.03</v>
      </c>
      <c r="BE3814">
        <v>0.03</v>
      </c>
      <c r="BF3814">
        <v>-0.01</v>
      </c>
      <c r="BG3814">
        <v>85</v>
      </c>
      <c r="BH3814">
        <v>0.03</v>
      </c>
      <c r="BI3814">
        <v>-0.72</v>
      </c>
      <c r="BJ3814">
        <v>8</v>
      </c>
      <c r="BK3814">
        <v>7</v>
      </c>
      <c r="BL3814">
        <v>0.73</v>
      </c>
      <c r="BM3814">
        <v>-0.95</v>
      </c>
      <c r="BN3814">
        <v>-0.46</v>
      </c>
      <c r="BO3814">
        <v>0.62</v>
      </c>
      <c r="BP3814">
        <v>1.32</v>
      </c>
      <c r="BQ3814">
        <v>0.59</v>
      </c>
      <c r="BR3814">
        <v>0.01</v>
      </c>
      <c r="BS3814">
        <v>-1.34</v>
      </c>
      <c r="BT3814">
        <v>-0.73</v>
      </c>
      <c r="BU3814">
        <v>0.02</v>
      </c>
      <c r="BV3814">
        <v>0.64</v>
      </c>
      <c r="BW3814">
        <v>0.97</v>
      </c>
      <c r="BX3814">
        <v>-0.35</v>
      </c>
      <c r="BY3814">
        <v>1.74</v>
      </c>
      <c r="BZ3814">
        <v>0.73</v>
      </c>
      <c r="CA3814">
        <v>-0.02</v>
      </c>
      <c r="CB3814">
        <v>0.43</v>
      </c>
      <c r="CC3814">
        <v>-1.1000000000000001</v>
      </c>
      <c r="CD3814">
        <v>-0.78</v>
      </c>
      <c r="CE3814">
        <v>0.9</v>
      </c>
      <c r="CF3814">
        <v>0.8</v>
      </c>
      <c r="CG3814">
        <v>0</v>
      </c>
      <c r="CH3814">
        <v>0.37</v>
      </c>
      <c r="CI3814">
        <v>0</v>
      </c>
      <c r="CJ3814">
        <v>-0.5</v>
      </c>
      <c r="CK3814">
        <v>87</v>
      </c>
      <c r="CL3814">
        <v>-1.03</v>
      </c>
      <c r="CM3814">
        <v>85</v>
      </c>
      <c r="CN3814">
        <v>-0.46</v>
      </c>
      <c r="CO3814">
        <v>83</v>
      </c>
      <c r="CP3814">
        <v>-0.4</v>
      </c>
      <c r="CQ3814">
        <v>85</v>
      </c>
      <c r="CR3814">
        <v>0</v>
      </c>
      <c r="CS3814">
        <v>0</v>
      </c>
      <c r="CT3814">
        <v>7.1</v>
      </c>
      <c r="CU3814">
        <v>77</v>
      </c>
      <c r="CV3814">
        <v>0.24</v>
      </c>
      <c r="CW3814">
        <v>43</v>
      </c>
      <c r="CX3814" t="s">
        <v>1682</v>
      </c>
    </row>
    <row r="3815" spans="1:102" x14ac:dyDescent="0.3">
      <c r="A3815" t="str">
        <f>HYPERLINK("https://webapp.icbf.com/v2/app/bull-search/view/77859154","ACB")</f>
        <v>ACB</v>
      </c>
      <c r="B3815" t="s">
        <v>3531</v>
      </c>
      <c r="C3815" t="s">
        <v>3532</v>
      </c>
      <c r="D3815" s="1">
        <v>34251</v>
      </c>
      <c r="E3815" t="s">
        <v>92</v>
      </c>
      <c r="F3815">
        <v>100</v>
      </c>
      <c r="G3815" t="s">
        <v>93</v>
      </c>
      <c r="H3815">
        <v>-64.02</v>
      </c>
      <c r="I3815">
        <v>66</v>
      </c>
      <c r="J3815">
        <v>-8</v>
      </c>
      <c r="K3815">
        <v>88</v>
      </c>
      <c r="L3815">
        <v>-24.55</v>
      </c>
      <c r="M3815">
        <v>52</v>
      </c>
      <c r="N3815">
        <v>-13.58</v>
      </c>
      <c r="O3815">
        <v>48</v>
      </c>
      <c r="P3815">
        <v>-10.51</v>
      </c>
      <c r="Q3815">
        <v>69</v>
      </c>
      <c r="R3815">
        <v>-16.82</v>
      </c>
      <c r="S3815">
        <v>59</v>
      </c>
      <c r="T3815">
        <v>7.17</v>
      </c>
      <c r="U3815">
        <v>75</v>
      </c>
      <c r="V3815">
        <v>2.27</v>
      </c>
      <c r="W3815">
        <v>33</v>
      </c>
      <c r="X3815" t="s">
        <v>94</v>
      </c>
      <c r="Y3815" t="s">
        <v>95</v>
      </c>
      <c r="Z3815" t="s">
        <v>96</v>
      </c>
      <c r="AA3815" t="s">
        <v>666</v>
      </c>
      <c r="AB3815" t="s">
        <v>3533</v>
      </c>
      <c r="AC3815">
        <v>38</v>
      </c>
      <c r="AD3815">
        <v>22</v>
      </c>
      <c r="AE3815">
        <v>88</v>
      </c>
      <c r="AF3815">
        <v>151.56</v>
      </c>
      <c r="AG3815">
        <v>-3.96</v>
      </c>
      <c r="AH3815">
        <v>2.36</v>
      </c>
      <c r="AI3815">
        <v>-0.16</v>
      </c>
      <c r="AJ3815">
        <v>-0.05</v>
      </c>
      <c r="AK3815">
        <v>52</v>
      </c>
      <c r="AL3815">
        <v>30</v>
      </c>
      <c r="AM3815">
        <v>18</v>
      </c>
      <c r="AN3815">
        <v>1.96</v>
      </c>
      <c r="AO3815">
        <v>0.01</v>
      </c>
      <c r="AP3815">
        <v>2</v>
      </c>
      <c r="AQ3815">
        <v>2</v>
      </c>
      <c r="AR3815">
        <v>10.75</v>
      </c>
      <c r="AS3815">
        <v>28</v>
      </c>
      <c r="AT3815">
        <v>4.28</v>
      </c>
      <c r="AU3815">
        <v>45</v>
      </c>
      <c r="AV3815">
        <v>-0.71</v>
      </c>
      <c r="AW3815">
        <v>53</v>
      </c>
      <c r="AX3815">
        <v>0.21</v>
      </c>
      <c r="AY3815">
        <v>66</v>
      </c>
      <c r="AZ3815">
        <v>6.11</v>
      </c>
      <c r="BA3815">
        <v>28</v>
      </c>
      <c r="BB3815">
        <v>4.55</v>
      </c>
      <c r="BC3815">
        <v>39</v>
      </c>
      <c r="BD3815">
        <v>0.04</v>
      </c>
      <c r="BE3815">
        <v>0.1</v>
      </c>
      <c r="BF3815">
        <v>0.13</v>
      </c>
      <c r="BG3815">
        <v>72</v>
      </c>
      <c r="BH3815">
        <v>0.16</v>
      </c>
      <c r="BI3815">
        <v>11.19</v>
      </c>
      <c r="BJ3815">
        <v>4</v>
      </c>
      <c r="BK3815">
        <v>4</v>
      </c>
      <c r="BL3815">
        <v>-0.02</v>
      </c>
      <c r="BM3815">
        <v>0.62</v>
      </c>
      <c r="BN3815">
        <v>0.01</v>
      </c>
      <c r="BO3815">
        <v>-0.28000000000000003</v>
      </c>
      <c r="BP3815">
        <v>1.25</v>
      </c>
      <c r="BQ3815">
        <v>-0.3</v>
      </c>
      <c r="BR3815">
        <v>1.27</v>
      </c>
      <c r="BS3815">
        <v>-0.87</v>
      </c>
      <c r="BT3815">
        <v>-0.88</v>
      </c>
      <c r="BU3815">
        <v>-0.94</v>
      </c>
      <c r="BV3815">
        <v>-0.37</v>
      </c>
      <c r="BW3815">
        <v>-0.73</v>
      </c>
      <c r="BX3815">
        <v>-1.08</v>
      </c>
      <c r="BY3815">
        <v>-0.72</v>
      </c>
      <c r="BZ3815">
        <v>0.71</v>
      </c>
      <c r="CA3815">
        <v>-0.82</v>
      </c>
      <c r="CB3815">
        <v>-0.64</v>
      </c>
      <c r="CC3815">
        <v>-0.8</v>
      </c>
      <c r="CD3815">
        <v>0.51</v>
      </c>
      <c r="CE3815">
        <v>-7.0000000000000007E-2</v>
      </c>
      <c r="CF3815">
        <v>-0.25</v>
      </c>
      <c r="CG3815">
        <v>0</v>
      </c>
      <c r="CH3815">
        <v>-1.6</v>
      </c>
      <c r="CI3815">
        <v>0</v>
      </c>
      <c r="CJ3815">
        <v>-5</v>
      </c>
      <c r="CK3815">
        <v>70</v>
      </c>
      <c r="CL3815">
        <v>-0.78</v>
      </c>
      <c r="CM3815">
        <v>67</v>
      </c>
      <c r="CN3815">
        <v>-0.41</v>
      </c>
      <c r="CO3815">
        <v>61</v>
      </c>
      <c r="CP3815">
        <v>-2.4</v>
      </c>
      <c r="CQ3815">
        <v>78</v>
      </c>
      <c r="CR3815">
        <v>0</v>
      </c>
      <c r="CS3815">
        <v>0</v>
      </c>
      <c r="CT3815">
        <v>4.0999999999999996</v>
      </c>
      <c r="CU3815">
        <v>75</v>
      </c>
      <c r="CV3815">
        <v>7.0000000000000007E-2</v>
      </c>
      <c r="CW3815">
        <v>19</v>
      </c>
      <c r="CX3815" t="s">
        <v>128</v>
      </c>
    </row>
    <row r="3816" spans="1:102" x14ac:dyDescent="0.3">
      <c r="A3816" t="str">
        <f>HYPERLINK("https://webapp.icbf.com/v2/app/bull-search/view/910799867","S2172")</f>
        <v>S2172</v>
      </c>
      <c r="B3816" t="s">
        <v>5801</v>
      </c>
      <c r="C3816" t="s">
        <v>5802</v>
      </c>
      <c r="D3816" s="1">
        <v>40094</v>
      </c>
      <c r="E3816" t="s">
        <v>92</v>
      </c>
      <c r="F3816">
        <v>100</v>
      </c>
      <c r="G3816" t="s">
        <v>109</v>
      </c>
      <c r="H3816">
        <v>-64.22</v>
      </c>
      <c r="I3816">
        <v>75</v>
      </c>
      <c r="J3816">
        <v>18.420000000000002</v>
      </c>
      <c r="K3816">
        <v>92</v>
      </c>
      <c r="L3816">
        <v>-86.63</v>
      </c>
      <c r="M3816">
        <v>80</v>
      </c>
      <c r="N3816">
        <v>2.35</v>
      </c>
      <c r="O3816">
        <v>55</v>
      </c>
      <c r="P3816">
        <v>-12.14</v>
      </c>
      <c r="Q3816">
        <v>45</v>
      </c>
      <c r="R3816">
        <v>3.83</v>
      </c>
      <c r="S3816">
        <v>72</v>
      </c>
      <c r="T3816">
        <v>18.34</v>
      </c>
      <c r="U3816">
        <v>43</v>
      </c>
      <c r="V3816">
        <v>-8.39</v>
      </c>
      <c r="W3816">
        <v>58</v>
      </c>
      <c r="X3816" t="s">
        <v>1645</v>
      </c>
      <c r="Y3816" t="s">
        <v>367</v>
      </c>
      <c r="Z3816" t="s">
        <v>96</v>
      </c>
      <c r="AA3816" t="s">
        <v>2453</v>
      </c>
      <c r="AB3816" t="s">
        <v>5803</v>
      </c>
      <c r="AC3816">
        <v>0</v>
      </c>
      <c r="AD3816">
        <v>0</v>
      </c>
      <c r="AE3816">
        <v>92</v>
      </c>
      <c r="AF3816">
        <v>81.430000000000007</v>
      </c>
      <c r="AG3816">
        <v>5.51</v>
      </c>
      <c r="AH3816">
        <v>2.4300000000000002</v>
      </c>
      <c r="AI3816">
        <v>0.04</v>
      </c>
      <c r="AJ3816">
        <v>0</v>
      </c>
      <c r="AK3816">
        <v>80</v>
      </c>
      <c r="AL3816">
        <v>0</v>
      </c>
      <c r="AM3816">
        <v>0</v>
      </c>
      <c r="AN3816">
        <v>5.41</v>
      </c>
      <c r="AO3816">
        <v>-1.49</v>
      </c>
      <c r="AP3816">
        <v>1</v>
      </c>
      <c r="AQ3816">
        <v>0</v>
      </c>
      <c r="AR3816">
        <v>7.37</v>
      </c>
      <c r="AS3816">
        <v>53</v>
      </c>
      <c r="AT3816">
        <v>3.17</v>
      </c>
      <c r="AU3816">
        <v>85</v>
      </c>
      <c r="AV3816">
        <v>-0.89</v>
      </c>
      <c r="AW3816">
        <v>45</v>
      </c>
      <c r="AX3816">
        <v>0.3</v>
      </c>
      <c r="AY3816">
        <v>44</v>
      </c>
      <c r="AZ3816">
        <v>6.31</v>
      </c>
      <c r="BA3816">
        <v>41</v>
      </c>
      <c r="BB3816">
        <v>5.83</v>
      </c>
      <c r="BC3816">
        <v>42</v>
      </c>
      <c r="BD3816">
        <v>0</v>
      </c>
      <c r="BE3816">
        <v>-0.02</v>
      </c>
      <c r="BF3816">
        <v>-0.05</v>
      </c>
      <c r="BG3816">
        <v>88</v>
      </c>
      <c r="BH3816">
        <v>-0.22</v>
      </c>
      <c r="BI3816">
        <v>1.63</v>
      </c>
      <c r="BJ3816">
        <v>0</v>
      </c>
      <c r="BK3816">
        <v>0</v>
      </c>
      <c r="BL3816">
        <v>-0.47</v>
      </c>
      <c r="BM3816">
        <v>-1.59</v>
      </c>
      <c r="BN3816">
        <v>-0.48</v>
      </c>
      <c r="BO3816">
        <v>0.71</v>
      </c>
      <c r="BP3816">
        <v>-0.75</v>
      </c>
      <c r="BQ3816">
        <v>-0.36</v>
      </c>
      <c r="BR3816">
        <v>-1.46</v>
      </c>
      <c r="BS3816">
        <v>2.66</v>
      </c>
      <c r="BT3816">
        <v>0.9</v>
      </c>
      <c r="BU3816">
        <v>0.27</v>
      </c>
      <c r="BV3816">
        <v>0.92</v>
      </c>
      <c r="BW3816">
        <v>0.37</v>
      </c>
      <c r="BX3816">
        <v>0.42</v>
      </c>
      <c r="BY3816">
        <v>0.28999999999999998</v>
      </c>
      <c r="BZ3816">
        <v>-0.25</v>
      </c>
      <c r="CA3816">
        <v>0.98</v>
      </c>
      <c r="CB3816">
        <v>0.6</v>
      </c>
      <c r="CC3816">
        <v>1.54</v>
      </c>
      <c r="CD3816">
        <v>-0.95</v>
      </c>
      <c r="CE3816">
        <v>0.38</v>
      </c>
      <c r="CF3816">
        <v>-0.21</v>
      </c>
      <c r="CG3816">
        <v>0</v>
      </c>
      <c r="CH3816">
        <v>-0.24</v>
      </c>
      <c r="CI3816">
        <v>0</v>
      </c>
      <c r="CJ3816">
        <v>-5.5</v>
      </c>
      <c r="CK3816">
        <v>45</v>
      </c>
      <c r="CL3816">
        <v>-0.87</v>
      </c>
      <c r="CM3816">
        <v>44</v>
      </c>
      <c r="CN3816">
        <v>-0.51</v>
      </c>
      <c r="CO3816">
        <v>44</v>
      </c>
      <c r="CP3816">
        <v>-10.3</v>
      </c>
      <c r="CQ3816">
        <v>44</v>
      </c>
      <c r="CR3816">
        <v>0</v>
      </c>
      <c r="CS3816">
        <v>0</v>
      </c>
      <c r="CT3816">
        <v>-11</v>
      </c>
      <c r="CU3816">
        <v>43</v>
      </c>
      <c r="CV3816">
        <v>0.16</v>
      </c>
      <c r="CW3816">
        <v>34</v>
      </c>
      <c r="CX3816" t="s">
        <v>643</v>
      </c>
    </row>
    <row r="3817" spans="1:102" x14ac:dyDescent="0.3">
      <c r="A3817" t="str">
        <f>HYPERLINK("https://webapp.icbf.com/v2/app/bull-search/view/77858785","DAO")</f>
        <v>DAO</v>
      </c>
      <c r="B3817" t="s">
        <v>155</v>
      </c>
      <c r="C3817" t="s">
        <v>156</v>
      </c>
      <c r="D3817" s="1">
        <v>33645</v>
      </c>
      <c r="E3817" t="s">
        <v>92</v>
      </c>
      <c r="F3817">
        <v>100</v>
      </c>
      <c r="G3817" t="s">
        <v>93</v>
      </c>
      <c r="H3817">
        <v>-64.23</v>
      </c>
      <c r="I3817">
        <v>62</v>
      </c>
      <c r="J3817">
        <v>-13.8</v>
      </c>
      <c r="K3817">
        <v>77</v>
      </c>
      <c r="L3817">
        <v>-48.73</v>
      </c>
      <c r="M3817">
        <v>54</v>
      </c>
      <c r="N3817">
        <v>3.41</v>
      </c>
      <c r="O3817">
        <v>45</v>
      </c>
      <c r="P3817">
        <v>-14.94</v>
      </c>
      <c r="Q3817">
        <v>62</v>
      </c>
      <c r="R3817">
        <v>-11.06</v>
      </c>
      <c r="S3817">
        <v>58</v>
      </c>
      <c r="T3817">
        <v>22.56</v>
      </c>
      <c r="U3817">
        <v>66</v>
      </c>
      <c r="V3817">
        <v>-1.67</v>
      </c>
      <c r="W3817">
        <v>32</v>
      </c>
      <c r="X3817" t="s">
        <v>94</v>
      </c>
      <c r="Y3817" t="s">
        <v>95</v>
      </c>
      <c r="Z3817" t="s">
        <v>96</v>
      </c>
      <c r="AA3817" t="s">
        <v>118</v>
      </c>
      <c r="AB3817" t="s">
        <v>157</v>
      </c>
      <c r="AC3817">
        <v>19</v>
      </c>
      <c r="AD3817">
        <v>19</v>
      </c>
      <c r="AE3817">
        <v>77</v>
      </c>
      <c r="AF3817">
        <v>-48.22</v>
      </c>
      <c r="AG3817">
        <v>2.19</v>
      </c>
      <c r="AH3817">
        <v>-3.86</v>
      </c>
      <c r="AI3817">
        <v>7.0000000000000007E-2</v>
      </c>
      <c r="AJ3817">
        <v>-0.04</v>
      </c>
      <c r="AK3817">
        <v>54</v>
      </c>
      <c r="AL3817">
        <v>40</v>
      </c>
      <c r="AM3817">
        <v>30</v>
      </c>
      <c r="AN3817">
        <v>2.37</v>
      </c>
      <c r="AO3817">
        <v>-1.52</v>
      </c>
      <c r="AP3817">
        <v>1</v>
      </c>
      <c r="AQ3817">
        <v>0</v>
      </c>
      <c r="AR3817">
        <v>9.07</v>
      </c>
      <c r="AS3817">
        <v>31</v>
      </c>
      <c r="AT3817">
        <v>4.1100000000000003</v>
      </c>
      <c r="AU3817">
        <v>43</v>
      </c>
      <c r="AV3817">
        <v>-1.91</v>
      </c>
      <c r="AW3817">
        <v>49</v>
      </c>
      <c r="AX3817">
        <v>-0.43</v>
      </c>
      <c r="AY3817">
        <v>54</v>
      </c>
      <c r="AZ3817">
        <v>6.59</v>
      </c>
      <c r="BA3817">
        <v>32</v>
      </c>
      <c r="BB3817">
        <v>4.76</v>
      </c>
      <c r="BC3817">
        <v>42</v>
      </c>
      <c r="BD3817">
        <v>0.05</v>
      </c>
      <c r="BE3817">
        <v>0.09</v>
      </c>
      <c r="BF3817">
        <v>0</v>
      </c>
      <c r="BG3817">
        <v>72</v>
      </c>
      <c r="BH3817">
        <v>-0.09</v>
      </c>
      <c r="BI3817">
        <v>-5.01</v>
      </c>
      <c r="BJ3817">
        <v>6</v>
      </c>
      <c r="BK3817">
        <v>5</v>
      </c>
      <c r="BL3817">
        <v>0.55000000000000004</v>
      </c>
      <c r="BM3817">
        <v>-0.04</v>
      </c>
      <c r="BN3817">
        <v>0.52</v>
      </c>
      <c r="BO3817">
        <v>0.25</v>
      </c>
      <c r="BP3817">
        <v>-1.43</v>
      </c>
      <c r="BQ3817">
        <v>-0.61</v>
      </c>
      <c r="BR3817">
        <v>-2.1800000000000002</v>
      </c>
      <c r="BS3817">
        <v>0.4</v>
      </c>
      <c r="BT3817">
        <v>2.06</v>
      </c>
      <c r="BU3817">
        <v>-0.64</v>
      </c>
      <c r="BV3817">
        <v>-0.28999999999999998</v>
      </c>
      <c r="BW3817">
        <v>-0.3</v>
      </c>
      <c r="BX3817">
        <v>-0.13</v>
      </c>
      <c r="BY3817">
        <v>-0.6</v>
      </c>
      <c r="BZ3817">
        <v>-0.3</v>
      </c>
      <c r="CA3817">
        <v>-0.04</v>
      </c>
      <c r="CB3817">
        <v>-0.42</v>
      </c>
      <c r="CC3817">
        <v>0.7</v>
      </c>
      <c r="CD3817">
        <v>-0.35</v>
      </c>
      <c r="CE3817">
        <v>0.05</v>
      </c>
      <c r="CF3817">
        <v>-0.06</v>
      </c>
      <c r="CG3817">
        <v>0</v>
      </c>
      <c r="CH3817">
        <v>-0.38</v>
      </c>
      <c r="CI3817">
        <v>0</v>
      </c>
      <c r="CJ3817">
        <v>-7.1</v>
      </c>
      <c r="CK3817">
        <v>63</v>
      </c>
      <c r="CL3817">
        <v>-0.54</v>
      </c>
      <c r="CM3817">
        <v>60</v>
      </c>
      <c r="CN3817">
        <v>-0.22</v>
      </c>
      <c r="CO3817">
        <v>55</v>
      </c>
      <c r="CP3817">
        <v>-14.3</v>
      </c>
      <c r="CQ3817">
        <v>70</v>
      </c>
      <c r="CR3817">
        <v>0</v>
      </c>
      <c r="CS3817">
        <v>0</v>
      </c>
      <c r="CT3817">
        <v>-16.7</v>
      </c>
      <c r="CU3817">
        <v>66</v>
      </c>
      <c r="CV3817">
        <v>0.06</v>
      </c>
      <c r="CW3817">
        <v>17</v>
      </c>
      <c r="CX3817" t="s">
        <v>158</v>
      </c>
    </row>
    <row r="3818" spans="1:102" x14ac:dyDescent="0.3">
      <c r="A3818" t="str">
        <f>HYPERLINK("https://webapp.icbf.com/v2/app/bull-search/view/69091405","CYC")</f>
        <v>CYC</v>
      </c>
      <c r="B3818" t="s">
        <v>14289</v>
      </c>
      <c r="C3818" t="s">
        <v>14290</v>
      </c>
      <c r="D3818" s="1">
        <v>31652</v>
      </c>
      <c r="E3818" t="s">
        <v>92</v>
      </c>
      <c r="F3818">
        <v>100</v>
      </c>
      <c r="G3818" t="s">
        <v>116</v>
      </c>
      <c r="H3818">
        <v>-64.27</v>
      </c>
      <c r="I3818">
        <v>35</v>
      </c>
      <c r="J3818">
        <v>17.05</v>
      </c>
      <c r="K3818">
        <v>32</v>
      </c>
      <c r="L3818">
        <v>-90.71</v>
      </c>
      <c r="M3818">
        <v>30</v>
      </c>
      <c r="N3818">
        <v>17.170000000000002</v>
      </c>
      <c r="O3818">
        <v>43</v>
      </c>
      <c r="P3818">
        <v>-15.22</v>
      </c>
      <c r="Q3818">
        <v>55</v>
      </c>
      <c r="R3818">
        <v>-3.06</v>
      </c>
      <c r="S3818">
        <v>33</v>
      </c>
      <c r="T3818">
        <v>9.4600000000000009</v>
      </c>
      <c r="U3818">
        <v>48</v>
      </c>
      <c r="V3818">
        <v>1.04</v>
      </c>
      <c r="W3818">
        <v>26</v>
      </c>
      <c r="X3818" t="s">
        <v>276</v>
      </c>
      <c r="Y3818" t="s">
        <v>117</v>
      </c>
      <c r="Z3818">
        <v>0</v>
      </c>
      <c r="AA3818" t="s">
        <v>128</v>
      </c>
      <c r="AB3818" t="s">
        <v>8554</v>
      </c>
      <c r="AC3818">
        <v>2</v>
      </c>
      <c r="AD3818">
        <v>2</v>
      </c>
      <c r="AE3818">
        <v>32</v>
      </c>
      <c r="AF3818">
        <v>235.07</v>
      </c>
      <c r="AG3818">
        <v>2.65</v>
      </c>
      <c r="AH3818">
        <v>5.56</v>
      </c>
      <c r="AI3818">
        <v>-0.1</v>
      </c>
      <c r="AJ3818">
        <v>-0.04</v>
      </c>
      <c r="AK3818">
        <v>30</v>
      </c>
      <c r="AL3818">
        <v>2</v>
      </c>
      <c r="AM3818">
        <v>2</v>
      </c>
      <c r="AN3818">
        <v>5.24</v>
      </c>
      <c r="AO3818">
        <v>-1.99</v>
      </c>
      <c r="AP3818">
        <v>6</v>
      </c>
      <c r="AQ3818">
        <v>2</v>
      </c>
      <c r="AR3818">
        <v>6.1</v>
      </c>
      <c r="AS3818">
        <v>29</v>
      </c>
      <c r="AT3818">
        <v>2.27</v>
      </c>
      <c r="AU3818">
        <v>60</v>
      </c>
      <c r="AV3818">
        <v>-0.23</v>
      </c>
      <c r="AW3818">
        <v>42</v>
      </c>
      <c r="AX3818">
        <v>-0.33</v>
      </c>
      <c r="AY3818">
        <v>38</v>
      </c>
      <c r="AZ3818">
        <v>5.55</v>
      </c>
      <c r="BA3818">
        <v>26</v>
      </c>
      <c r="BB3818">
        <v>4.3899999999999997</v>
      </c>
      <c r="BC3818">
        <v>27</v>
      </c>
      <c r="BD3818">
        <v>0.02</v>
      </c>
      <c r="BE3818">
        <v>0.03</v>
      </c>
      <c r="BF3818">
        <v>-0.02</v>
      </c>
      <c r="BG3818">
        <v>37</v>
      </c>
      <c r="BH3818">
        <v>0</v>
      </c>
      <c r="BI3818">
        <v>-3.35</v>
      </c>
      <c r="BJ3818">
        <v>0</v>
      </c>
      <c r="BK3818">
        <v>0</v>
      </c>
      <c r="BL3818">
        <v>-1.28</v>
      </c>
      <c r="BM3818">
        <v>-0.19</v>
      </c>
      <c r="BN3818">
        <v>-0.98</v>
      </c>
      <c r="BO3818">
        <v>-0.79</v>
      </c>
      <c r="BP3818">
        <v>-1.84</v>
      </c>
      <c r="BQ3818">
        <v>-1.45</v>
      </c>
      <c r="BR3818">
        <v>0.8</v>
      </c>
      <c r="BS3818">
        <v>-1.83</v>
      </c>
      <c r="BT3818">
        <v>-1.39</v>
      </c>
      <c r="BU3818">
        <v>-0.92</v>
      </c>
      <c r="BV3818">
        <v>-0.27</v>
      </c>
      <c r="BW3818">
        <v>-0.76</v>
      </c>
      <c r="BX3818">
        <v>-1.66</v>
      </c>
      <c r="BY3818">
        <v>-0.22</v>
      </c>
      <c r="BZ3818">
        <v>-1.49</v>
      </c>
      <c r="CA3818">
        <v>-1.64</v>
      </c>
      <c r="CB3818">
        <v>-0.99</v>
      </c>
      <c r="CC3818">
        <v>0</v>
      </c>
      <c r="CD3818">
        <v>0.81</v>
      </c>
      <c r="CE3818">
        <v>0</v>
      </c>
      <c r="CF3818">
        <v>0</v>
      </c>
      <c r="CG3818">
        <v>0</v>
      </c>
      <c r="CH3818">
        <v>0</v>
      </c>
      <c r="CI3818">
        <v>0</v>
      </c>
      <c r="CJ3818">
        <v>-7.3</v>
      </c>
      <c r="CK3818">
        <v>58</v>
      </c>
      <c r="CL3818">
        <v>-0.56999999999999995</v>
      </c>
      <c r="CM3818">
        <v>53</v>
      </c>
      <c r="CN3818">
        <v>-0.16</v>
      </c>
      <c r="CO3818">
        <v>50</v>
      </c>
      <c r="CP3818">
        <v>-7.6</v>
      </c>
      <c r="CQ3818">
        <v>47</v>
      </c>
      <c r="CR3818">
        <v>0</v>
      </c>
      <c r="CS3818">
        <v>0</v>
      </c>
      <c r="CT3818">
        <v>1</v>
      </c>
      <c r="CU3818">
        <v>48</v>
      </c>
      <c r="CV3818">
        <v>0.01</v>
      </c>
      <c r="CW3818">
        <v>17</v>
      </c>
      <c r="CX3818" t="s">
        <v>707</v>
      </c>
    </row>
    <row r="3819" spans="1:102" x14ac:dyDescent="0.3">
      <c r="A3819" t="str">
        <f>HYPERLINK("https://webapp.icbf.com/v2/app/bull-search/view/73530627","RYD")</f>
        <v>RYD</v>
      </c>
      <c r="B3819" t="s">
        <v>15688</v>
      </c>
      <c r="C3819" t="s">
        <v>15689</v>
      </c>
      <c r="D3819" s="1">
        <v>35109</v>
      </c>
      <c r="E3819" t="s">
        <v>108</v>
      </c>
      <c r="F3819">
        <v>3</v>
      </c>
      <c r="G3819" t="s">
        <v>116</v>
      </c>
      <c r="H3819">
        <v>-64.27</v>
      </c>
      <c r="I3819">
        <v>43</v>
      </c>
      <c r="J3819">
        <v>-11.77</v>
      </c>
      <c r="K3819">
        <v>34</v>
      </c>
      <c r="L3819">
        <v>17.8</v>
      </c>
      <c r="M3819">
        <v>43</v>
      </c>
      <c r="N3819">
        <v>-60.24</v>
      </c>
      <c r="O3819">
        <v>44</v>
      </c>
      <c r="P3819">
        <v>-11.33</v>
      </c>
      <c r="Q3819">
        <v>60</v>
      </c>
      <c r="R3819">
        <v>-10.220000000000001</v>
      </c>
      <c r="S3819">
        <v>41</v>
      </c>
      <c r="T3819">
        <v>11.09</v>
      </c>
      <c r="U3819">
        <v>68</v>
      </c>
      <c r="V3819">
        <v>0.4</v>
      </c>
      <c r="W3819">
        <v>38</v>
      </c>
      <c r="X3819" t="s">
        <v>102</v>
      </c>
      <c r="Y3819" t="s">
        <v>1499</v>
      </c>
      <c r="Z3819" t="s">
        <v>96</v>
      </c>
      <c r="AA3819" t="s">
        <v>672</v>
      </c>
      <c r="AB3819" t="s">
        <v>3247</v>
      </c>
      <c r="AC3819">
        <v>3</v>
      </c>
      <c r="AD3819">
        <v>2</v>
      </c>
      <c r="AE3819">
        <v>34</v>
      </c>
      <c r="AF3819">
        <v>-70.83</v>
      </c>
      <c r="AG3819">
        <v>7.0000000000000007E-2</v>
      </c>
      <c r="AH3819">
        <v>-3.11</v>
      </c>
      <c r="AI3819">
        <v>0.05</v>
      </c>
      <c r="AJ3819">
        <v>-0.01</v>
      </c>
      <c r="AK3819">
        <v>43</v>
      </c>
      <c r="AL3819">
        <v>18</v>
      </c>
      <c r="AM3819">
        <v>6</v>
      </c>
      <c r="AN3819">
        <v>-0.91</v>
      </c>
      <c r="AO3819">
        <v>0.51</v>
      </c>
      <c r="AP3819">
        <v>1</v>
      </c>
      <c r="AQ3819">
        <v>12</v>
      </c>
      <c r="AR3819">
        <v>14.49</v>
      </c>
      <c r="AS3819">
        <v>33</v>
      </c>
      <c r="AT3819">
        <v>5.38</v>
      </c>
      <c r="AU3819">
        <v>44</v>
      </c>
      <c r="AV3819">
        <v>1.31</v>
      </c>
      <c r="AW3819">
        <v>44</v>
      </c>
      <c r="AX3819">
        <v>-0.51</v>
      </c>
      <c r="AY3819">
        <v>56</v>
      </c>
      <c r="AZ3819">
        <v>6.36</v>
      </c>
      <c r="BA3819">
        <v>33</v>
      </c>
      <c r="BB3819">
        <v>5.23</v>
      </c>
      <c r="BC3819">
        <v>43</v>
      </c>
      <c r="BD3819">
        <v>0.03</v>
      </c>
      <c r="BE3819">
        <v>0.05</v>
      </c>
      <c r="BF3819">
        <v>0.09</v>
      </c>
      <c r="BG3819">
        <v>45</v>
      </c>
      <c r="BH3819">
        <v>-0.1</v>
      </c>
      <c r="BI3819">
        <v>-12.85</v>
      </c>
      <c r="BJ3819">
        <v>0</v>
      </c>
      <c r="BK3819">
        <v>0</v>
      </c>
      <c r="BL3819">
        <v>-2.37</v>
      </c>
      <c r="BM3819">
        <v>1.33</v>
      </c>
      <c r="BN3819">
        <v>-1.86</v>
      </c>
      <c r="BO3819">
        <v>-2.1800000000000002</v>
      </c>
      <c r="BP3819">
        <v>0.67</v>
      </c>
      <c r="BQ3819">
        <v>1.29</v>
      </c>
      <c r="BR3819">
        <v>-0.17</v>
      </c>
      <c r="BS3819">
        <v>-1.0900000000000001</v>
      </c>
      <c r="BT3819">
        <v>0.28999999999999998</v>
      </c>
      <c r="BU3819">
        <v>-2.02</v>
      </c>
      <c r="BV3819">
        <v>-1.96</v>
      </c>
      <c r="BW3819">
        <v>-1.9</v>
      </c>
      <c r="BX3819">
        <v>-1.8</v>
      </c>
      <c r="BY3819">
        <v>-1.26</v>
      </c>
      <c r="BZ3819">
        <v>-1.45</v>
      </c>
      <c r="CA3819">
        <v>-2.1</v>
      </c>
      <c r="CB3819">
        <v>-1.95</v>
      </c>
      <c r="CC3819">
        <v>-1.45</v>
      </c>
      <c r="CD3819">
        <v>2.2599999999999998</v>
      </c>
      <c r="CE3819">
        <v>-2.25</v>
      </c>
      <c r="CF3819">
        <v>-1.54</v>
      </c>
      <c r="CG3819">
        <v>0</v>
      </c>
      <c r="CH3819">
        <v>-1.1499999999999999</v>
      </c>
      <c r="CI3819">
        <v>0</v>
      </c>
      <c r="CJ3819">
        <v>-6.1</v>
      </c>
      <c r="CK3819">
        <v>62</v>
      </c>
      <c r="CL3819">
        <v>-0.23</v>
      </c>
      <c r="CM3819">
        <v>58</v>
      </c>
      <c r="CN3819">
        <v>-0.04</v>
      </c>
      <c r="CO3819">
        <v>53</v>
      </c>
      <c r="CP3819">
        <v>-6.7</v>
      </c>
      <c r="CQ3819">
        <v>69</v>
      </c>
      <c r="CR3819">
        <v>0</v>
      </c>
      <c r="CS3819">
        <v>0</v>
      </c>
      <c r="CT3819">
        <v>-1.2</v>
      </c>
      <c r="CU3819">
        <v>68</v>
      </c>
      <c r="CV3819">
        <v>-0.1</v>
      </c>
      <c r="CW3819">
        <v>17</v>
      </c>
      <c r="CX3819" t="s">
        <v>3248</v>
      </c>
    </row>
    <row r="3820" spans="1:102" x14ac:dyDescent="0.3">
      <c r="A3820" t="str">
        <f>HYPERLINK("https://webapp.icbf.com/v2/app/bull-search/view/77855374","LSH")</f>
        <v>LSH</v>
      </c>
      <c r="B3820" t="s">
        <v>8768</v>
      </c>
      <c r="C3820" t="s">
        <v>8769</v>
      </c>
      <c r="D3820" s="1">
        <v>35440</v>
      </c>
      <c r="E3820" t="s">
        <v>92</v>
      </c>
      <c r="F3820">
        <v>100</v>
      </c>
      <c r="G3820" t="s">
        <v>93</v>
      </c>
      <c r="H3820">
        <v>-64.33</v>
      </c>
      <c r="I3820">
        <v>82</v>
      </c>
      <c r="J3820">
        <v>23.6</v>
      </c>
      <c r="K3820">
        <v>96</v>
      </c>
      <c r="L3820">
        <v>-103.35</v>
      </c>
      <c r="M3820">
        <v>77</v>
      </c>
      <c r="N3820">
        <v>10.95</v>
      </c>
      <c r="O3820">
        <v>68</v>
      </c>
      <c r="P3820">
        <v>-1.53</v>
      </c>
      <c r="Q3820">
        <v>80</v>
      </c>
      <c r="R3820">
        <v>-11.87</v>
      </c>
      <c r="S3820">
        <v>75</v>
      </c>
      <c r="T3820">
        <v>10.199999999999999</v>
      </c>
      <c r="U3820">
        <v>78</v>
      </c>
      <c r="V3820">
        <v>7.67</v>
      </c>
      <c r="W3820">
        <v>63</v>
      </c>
      <c r="X3820" t="s">
        <v>94</v>
      </c>
      <c r="Y3820" t="s">
        <v>95</v>
      </c>
      <c r="Z3820" t="s">
        <v>96</v>
      </c>
      <c r="AA3820" t="s">
        <v>3553</v>
      </c>
      <c r="AB3820" t="s">
        <v>8770</v>
      </c>
      <c r="AC3820">
        <v>59</v>
      </c>
      <c r="AD3820">
        <v>51</v>
      </c>
      <c r="AE3820">
        <v>96</v>
      </c>
      <c r="AF3820">
        <v>350.83</v>
      </c>
      <c r="AG3820">
        <v>3.4</v>
      </c>
      <c r="AH3820">
        <v>8.18</v>
      </c>
      <c r="AI3820">
        <v>-0.17</v>
      </c>
      <c r="AJ3820">
        <v>-0.06</v>
      </c>
      <c r="AK3820">
        <v>77</v>
      </c>
      <c r="AL3820">
        <v>54</v>
      </c>
      <c r="AM3820">
        <v>46</v>
      </c>
      <c r="AN3820">
        <v>5.03</v>
      </c>
      <c r="AO3820">
        <v>-3.22</v>
      </c>
      <c r="AP3820">
        <v>1</v>
      </c>
      <c r="AQ3820">
        <v>0</v>
      </c>
      <c r="AR3820">
        <v>7.36</v>
      </c>
      <c r="AS3820">
        <v>56</v>
      </c>
      <c r="AT3820">
        <v>4.1500000000000004</v>
      </c>
      <c r="AU3820">
        <v>72</v>
      </c>
      <c r="AV3820">
        <v>-2.23</v>
      </c>
      <c r="AW3820">
        <v>72</v>
      </c>
      <c r="AX3820">
        <v>-0.06</v>
      </c>
      <c r="AY3820">
        <v>74</v>
      </c>
      <c r="AZ3820">
        <v>6.82</v>
      </c>
      <c r="BA3820">
        <v>48</v>
      </c>
      <c r="BB3820">
        <v>4.46</v>
      </c>
      <c r="BC3820">
        <v>59</v>
      </c>
      <c r="BD3820">
        <v>0.06</v>
      </c>
      <c r="BE3820">
        <v>7.0000000000000007E-2</v>
      </c>
      <c r="BF3820">
        <v>0.04</v>
      </c>
      <c r="BG3820">
        <v>86</v>
      </c>
      <c r="BH3820">
        <v>0.17</v>
      </c>
      <c r="BI3820">
        <v>-5.09</v>
      </c>
      <c r="BJ3820">
        <v>11</v>
      </c>
      <c r="BK3820">
        <v>8</v>
      </c>
      <c r="BL3820">
        <v>0.55000000000000004</v>
      </c>
      <c r="BM3820">
        <v>-1.34</v>
      </c>
      <c r="BN3820">
        <v>-0.79</v>
      </c>
      <c r="BO3820">
        <v>0.64</v>
      </c>
      <c r="BP3820">
        <v>1.24</v>
      </c>
      <c r="BQ3820">
        <v>0.03</v>
      </c>
      <c r="BR3820">
        <v>2.0099999999999998</v>
      </c>
      <c r="BS3820">
        <v>-0.67</v>
      </c>
      <c r="BT3820">
        <v>-0.78</v>
      </c>
      <c r="BU3820">
        <v>-1.32</v>
      </c>
      <c r="BV3820">
        <v>0.79</v>
      </c>
      <c r="BW3820">
        <v>0.18</v>
      </c>
      <c r="BX3820">
        <v>-0.59</v>
      </c>
      <c r="BY3820">
        <v>1.18</v>
      </c>
      <c r="BZ3820">
        <v>-1.0900000000000001</v>
      </c>
      <c r="CA3820">
        <v>-0.26</v>
      </c>
      <c r="CB3820">
        <v>-0.08</v>
      </c>
      <c r="CC3820">
        <v>-0.4</v>
      </c>
      <c r="CD3820">
        <v>-1.42</v>
      </c>
      <c r="CE3820">
        <v>0.04</v>
      </c>
      <c r="CF3820">
        <v>0.57999999999999996</v>
      </c>
      <c r="CG3820">
        <v>0</v>
      </c>
      <c r="CH3820">
        <v>0.57999999999999996</v>
      </c>
      <c r="CI3820">
        <v>0</v>
      </c>
      <c r="CJ3820">
        <v>1.5</v>
      </c>
      <c r="CK3820">
        <v>81</v>
      </c>
      <c r="CL3820">
        <v>-0.56000000000000005</v>
      </c>
      <c r="CM3820">
        <v>78</v>
      </c>
      <c r="CN3820">
        <v>-0.25</v>
      </c>
      <c r="CO3820">
        <v>75</v>
      </c>
      <c r="CP3820">
        <v>-5</v>
      </c>
      <c r="CQ3820">
        <v>86</v>
      </c>
      <c r="CR3820">
        <v>0</v>
      </c>
      <c r="CS3820">
        <v>0</v>
      </c>
      <c r="CT3820">
        <v>0</v>
      </c>
      <c r="CU3820">
        <v>78</v>
      </c>
      <c r="CV3820">
        <v>0.18</v>
      </c>
      <c r="CW3820">
        <v>42</v>
      </c>
      <c r="CX3820" t="s">
        <v>207</v>
      </c>
    </row>
    <row r="3821" spans="1:102" x14ac:dyDescent="0.3">
      <c r="A3821" t="str">
        <f>HYPERLINK("https://webapp.icbf.com/v2/app/bull-search/view/77853814","SGY")</f>
        <v>SGY</v>
      </c>
      <c r="B3821" t="s">
        <v>8087</v>
      </c>
      <c r="C3821" t="s">
        <v>8088</v>
      </c>
      <c r="D3821" s="1">
        <v>31700</v>
      </c>
      <c r="E3821" t="s">
        <v>92</v>
      </c>
      <c r="F3821">
        <v>100</v>
      </c>
      <c r="G3821" t="s">
        <v>109</v>
      </c>
      <c r="H3821">
        <v>-64.41</v>
      </c>
      <c r="I3821">
        <v>85</v>
      </c>
      <c r="J3821">
        <v>-34.799999999999997</v>
      </c>
      <c r="K3821">
        <v>96</v>
      </c>
      <c r="L3821">
        <v>-38.700000000000003</v>
      </c>
      <c r="M3821">
        <v>90</v>
      </c>
      <c r="N3821">
        <v>8.41</v>
      </c>
      <c r="O3821">
        <v>69</v>
      </c>
      <c r="P3821">
        <v>-4.54</v>
      </c>
      <c r="Q3821">
        <v>69</v>
      </c>
      <c r="R3821">
        <v>-3.31</v>
      </c>
      <c r="S3821">
        <v>83</v>
      </c>
      <c r="T3821">
        <v>2.95</v>
      </c>
      <c r="U3821">
        <v>65</v>
      </c>
      <c r="V3821">
        <v>5.58</v>
      </c>
      <c r="W3821">
        <v>71</v>
      </c>
      <c r="X3821" t="s">
        <v>558</v>
      </c>
      <c r="Y3821" t="s">
        <v>95</v>
      </c>
      <c r="Z3821" t="s">
        <v>96</v>
      </c>
      <c r="AA3821" t="s">
        <v>128</v>
      </c>
      <c r="AB3821" t="s">
        <v>2551</v>
      </c>
      <c r="AC3821">
        <v>34</v>
      </c>
      <c r="AD3821">
        <v>21</v>
      </c>
      <c r="AE3821">
        <v>96</v>
      </c>
      <c r="AF3821">
        <v>202.88</v>
      </c>
      <c r="AG3821">
        <v>-6.51</v>
      </c>
      <c r="AH3821">
        <v>-0.51</v>
      </c>
      <c r="AI3821">
        <v>-0.24</v>
      </c>
      <c r="AJ3821">
        <v>-0.12</v>
      </c>
      <c r="AK3821">
        <v>90</v>
      </c>
      <c r="AL3821">
        <v>45</v>
      </c>
      <c r="AM3821">
        <v>22</v>
      </c>
      <c r="AN3821">
        <v>1.83</v>
      </c>
      <c r="AO3821">
        <v>-1.26</v>
      </c>
      <c r="AP3821">
        <v>1</v>
      </c>
      <c r="AQ3821">
        <v>0</v>
      </c>
      <c r="AR3821">
        <v>7.97</v>
      </c>
      <c r="AS3821">
        <v>62</v>
      </c>
      <c r="AT3821">
        <v>2.4900000000000002</v>
      </c>
      <c r="AU3821">
        <v>87</v>
      </c>
      <c r="AV3821">
        <v>0.01</v>
      </c>
      <c r="AW3821">
        <v>64</v>
      </c>
      <c r="AX3821">
        <v>-0.68</v>
      </c>
      <c r="AY3821">
        <v>66</v>
      </c>
      <c r="AZ3821">
        <v>6.33</v>
      </c>
      <c r="BA3821">
        <v>58</v>
      </c>
      <c r="BB3821">
        <v>4.57</v>
      </c>
      <c r="BC3821">
        <v>63</v>
      </c>
      <c r="BD3821">
        <v>0.06</v>
      </c>
      <c r="BE3821">
        <v>0.04</v>
      </c>
      <c r="BF3821">
        <v>-0.1</v>
      </c>
      <c r="BG3821">
        <v>93</v>
      </c>
      <c r="BH3821">
        <v>0.26</v>
      </c>
      <c r="BI3821">
        <v>12.07</v>
      </c>
      <c r="BJ3821">
        <v>7</v>
      </c>
      <c r="BK3821">
        <v>2</v>
      </c>
      <c r="BL3821">
        <v>-0.16</v>
      </c>
      <c r="BM3821">
        <v>0.35</v>
      </c>
      <c r="BN3821">
        <v>-0.64</v>
      </c>
      <c r="BO3821">
        <v>-0.63</v>
      </c>
      <c r="BP3821">
        <v>1.0900000000000001</v>
      </c>
      <c r="BQ3821">
        <v>0.14000000000000001</v>
      </c>
      <c r="BR3821">
        <v>-0.71</v>
      </c>
      <c r="BS3821">
        <v>-0.48</v>
      </c>
      <c r="BT3821">
        <v>0.97</v>
      </c>
      <c r="BU3821">
        <v>0.27</v>
      </c>
      <c r="BV3821">
        <v>-0.3</v>
      </c>
      <c r="BW3821">
        <v>-0.62</v>
      </c>
      <c r="BX3821">
        <v>-0.01</v>
      </c>
      <c r="BY3821">
        <v>0.37</v>
      </c>
      <c r="BZ3821">
        <v>-2.04</v>
      </c>
      <c r="CA3821">
        <v>-0.41</v>
      </c>
      <c r="CB3821">
        <v>-0.1</v>
      </c>
      <c r="CC3821">
        <v>-0.25</v>
      </c>
      <c r="CD3821">
        <v>0.99</v>
      </c>
      <c r="CE3821">
        <v>-0.65</v>
      </c>
      <c r="CF3821">
        <v>-0.69</v>
      </c>
      <c r="CG3821">
        <v>0</v>
      </c>
      <c r="CH3821">
        <v>0.4</v>
      </c>
      <c r="CI3821">
        <v>0</v>
      </c>
      <c r="CJ3821">
        <v>-0.8</v>
      </c>
      <c r="CK3821">
        <v>70</v>
      </c>
      <c r="CL3821">
        <v>-0.27</v>
      </c>
      <c r="CM3821">
        <v>68</v>
      </c>
      <c r="CN3821">
        <v>0.02</v>
      </c>
      <c r="CO3821">
        <v>64</v>
      </c>
      <c r="CP3821">
        <v>-2.8</v>
      </c>
      <c r="CQ3821">
        <v>75</v>
      </c>
      <c r="CR3821">
        <v>0</v>
      </c>
      <c r="CS3821">
        <v>0</v>
      </c>
      <c r="CT3821">
        <v>9.8000000000000007</v>
      </c>
      <c r="CU3821">
        <v>65</v>
      </c>
      <c r="CV3821">
        <v>0</v>
      </c>
      <c r="CW3821">
        <v>40</v>
      </c>
      <c r="CX3821" t="s">
        <v>663</v>
      </c>
    </row>
    <row r="3822" spans="1:102" x14ac:dyDescent="0.3">
      <c r="A3822" t="str">
        <f>HYPERLINK("https://webapp.icbf.com/v2/app/bull-search/view/77853241","TUS")</f>
        <v>TUS</v>
      </c>
      <c r="B3822" t="s">
        <v>754</v>
      </c>
      <c r="C3822" t="s">
        <v>755</v>
      </c>
      <c r="D3822" s="1">
        <v>33494</v>
      </c>
      <c r="E3822" t="s">
        <v>92</v>
      </c>
      <c r="F3822">
        <v>100</v>
      </c>
      <c r="G3822" t="s">
        <v>93</v>
      </c>
      <c r="H3822">
        <v>-64.510000000000005</v>
      </c>
      <c r="I3822">
        <v>98</v>
      </c>
      <c r="J3822">
        <v>-14.18</v>
      </c>
      <c r="K3822">
        <v>99</v>
      </c>
      <c r="L3822">
        <v>-68.95</v>
      </c>
      <c r="M3822">
        <v>96</v>
      </c>
      <c r="N3822">
        <v>18.420000000000002</v>
      </c>
      <c r="O3822">
        <v>98</v>
      </c>
      <c r="P3822">
        <v>-5.57</v>
      </c>
      <c r="Q3822">
        <v>99</v>
      </c>
      <c r="R3822">
        <v>-1.51</v>
      </c>
      <c r="S3822">
        <v>95</v>
      </c>
      <c r="T3822">
        <v>5.0199999999999996</v>
      </c>
      <c r="U3822">
        <v>99</v>
      </c>
      <c r="V3822">
        <v>2.2599999999999998</v>
      </c>
      <c r="W3822">
        <v>95</v>
      </c>
      <c r="X3822" t="s">
        <v>102</v>
      </c>
      <c r="Y3822" t="s">
        <v>95</v>
      </c>
      <c r="Z3822" t="s">
        <v>96</v>
      </c>
      <c r="AA3822" t="s">
        <v>111</v>
      </c>
      <c r="AB3822" t="s">
        <v>679</v>
      </c>
      <c r="AC3822">
        <v>2270</v>
      </c>
      <c r="AD3822">
        <v>747</v>
      </c>
      <c r="AE3822">
        <v>99</v>
      </c>
      <c r="AF3822">
        <v>-101.81</v>
      </c>
      <c r="AG3822">
        <v>-5.68</v>
      </c>
      <c r="AH3822">
        <v>-1.96</v>
      </c>
      <c r="AI3822">
        <v>-0.03</v>
      </c>
      <c r="AJ3822">
        <v>0.03</v>
      </c>
      <c r="AK3822">
        <v>96</v>
      </c>
      <c r="AL3822">
        <v>2362</v>
      </c>
      <c r="AM3822">
        <v>756</v>
      </c>
      <c r="AN3822">
        <v>2.9</v>
      </c>
      <c r="AO3822">
        <v>-2.61</v>
      </c>
      <c r="AP3822">
        <v>1001</v>
      </c>
      <c r="AQ3822">
        <v>0</v>
      </c>
      <c r="AR3822">
        <v>5.64</v>
      </c>
      <c r="AS3822">
        <v>97</v>
      </c>
      <c r="AT3822">
        <v>2.67</v>
      </c>
      <c r="AU3822">
        <v>98</v>
      </c>
      <c r="AV3822">
        <v>-0.73</v>
      </c>
      <c r="AW3822">
        <v>99</v>
      </c>
      <c r="AX3822">
        <v>-0.37</v>
      </c>
      <c r="AY3822">
        <v>99</v>
      </c>
      <c r="AZ3822">
        <v>5.69</v>
      </c>
      <c r="BA3822">
        <v>96</v>
      </c>
      <c r="BB3822">
        <v>4.5599999999999996</v>
      </c>
      <c r="BC3822">
        <v>97</v>
      </c>
      <c r="BD3822">
        <v>-0.02</v>
      </c>
      <c r="BE3822">
        <v>0.02</v>
      </c>
      <c r="BF3822">
        <v>0.03</v>
      </c>
      <c r="BG3822">
        <v>99</v>
      </c>
      <c r="BH3822">
        <v>0.11</v>
      </c>
      <c r="BI3822">
        <v>5.42</v>
      </c>
      <c r="BJ3822">
        <v>258</v>
      </c>
      <c r="BK3822">
        <v>105</v>
      </c>
      <c r="BL3822">
        <v>0.61</v>
      </c>
      <c r="BM3822">
        <v>0.68</v>
      </c>
      <c r="BN3822">
        <v>1.28</v>
      </c>
      <c r="BO3822">
        <v>0.74</v>
      </c>
      <c r="BP3822">
        <v>1.61</v>
      </c>
      <c r="BQ3822">
        <v>0.34</v>
      </c>
      <c r="BR3822">
        <v>-1.0900000000000001</v>
      </c>
      <c r="BS3822">
        <v>3.17</v>
      </c>
      <c r="BT3822">
        <v>1.23</v>
      </c>
      <c r="BU3822">
        <v>1.68</v>
      </c>
      <c r="BV3822">
        <v>0.82</v>
      </c>
      <c r="BW3822">
        <v>1.46</v>
      </c>
      <c r="BX3822">
        <v>1.55</v>
      </c>
      <c r="BY3822">
        <v>1.75</v>
      </c>
      <c r="BZ3822">
        <v>-0.45</v>
      </c>
      <c r="CA3822">
        <v>2.39</v>
      </c>
      <c r="CB3822">
        <v>1.67</v>
      </c>
      <c r="CC3822">
        <v>2.86</v>
      </c>
      <c r="CD3822">
        <v>-0.23</v>
      </c>
      <c r="CE3822">
        <v>0.77</v>
      </c>
      <c r="CF3822">
        <v>0.74</v>
      </c>
      <c r="CG3822">
        <v>0</v>
      </c>
      <c r="CH3822">
        <v>1.7</v>
      </c>
      <c r="CI3822">
        <v>0</v>
      </c>
      <c r="CJ3822">
        <v>-2.2000000000000002</v>
      </c>
      <c r="CK3822">
        <v>99</v>
      </c>
      <c r="CL3822">
        <v>-0.66</v>
      </c>
      <c r="CM3822">
        <v>99</v>
      </c>
      <c r="CN3822">
        <v>-0.37</v>
      </c>
      <c r="CO3822">
        <v>99</v>
      </c>
      <c r="CP3822">
        <v>-0.4</v>
      </c>
      <c r="CQ3822">
        <v>99</v>
      </c>
      <c r="CR3822">
        <v>0</v>
      </c>
      <c r="CS3822">
        <v>0</v>
      </c>
      <c r="CT3822">
        <v>7</v>
      </c>
      <c r="CU3822">
        <v>99</v>
      </c>
      <c r="CV3822">
        <v>7.0000000000000007E-2</v>
      </c>
      <c r="CW3822">
        <v>47</v>
      </c>
      <c r="CX3822" t="s">
        <v>166</v>
      </c>
    </row>
    <row r="3823" spans="1:102" x14ac:dyDescent="0.3">
      <c r="A3823" t="str">
        <f>HYPERLINK("https://webapp.icbf.com/v2/app/bull-search/view/77854105","RRG")</f>
        <v>RRG</v>
      </c>
      <c r="B3823" t="s">
        <v>10822</v>
      </c>
      <c r="C3823" t="s">
        <v>10823</v>
      </c>
      <c r="D3823" s="1">
        <v>33372</v>
      </c>
      <c r="E3823" t="s">
        <v>92</v>
      </c>
      <c r="F3823">
        <v>100</v>
      </c>
      <c r="G3823" t="s">
        <v>93</v>
      </c>
      <c r="H3823">
        <v>-64.52</v>
      </c>
      <c r="I3823">
        <v>96</v>
      </c>
      <c r="J3823">
        <v>-23.95</v>
      </c>
      <c r="K3823">
        <v>99</v>
      </c>
      <c r="L3823">
        <v>-33.93</v>
      </c>
      <c r="M3823">
        <v>93</v>
      </c>
      <c r="N3823">
        <v>-8.4600000000000009</v>
      </c>
      <c r="O3823">
        <v>95</v>
      </c>
      <c r="P3823">
        <v>-13.38</v>
      </c>
      <c r="Q3823">
        <v>98</v>
      </c>
      <c r="R3823">
        <v>-3.45</v>
      </c>
      <c r="S3823">
        <v>90</v>
      </c>
      <c r="T3823">
        <v>23.67</v>
      </c>
      <c r="U3823">
        <v>97</v>
      </c>
      <c r="V3823">
        <v>-5.0199999999999996</v>
      </c>
      <c r="W3823">
        <v>87</v>
      </c>
      <c r="X3823" t="s">
        <v>94</v>
      </c>
      <c r="Y3823" t="s">
        <v>95</v>
      </c>
      <c r="Z3823" t="s">
        <v>96</v>
      </c>
      <c r="AA3823" t="s">
        <v>10824</v>
      </c>
      <c r="AB3823" t="s">
        <v>10825</v>
      </c>
      <c r="AC3823">
        <v>1125</v>
      </c>
      <c r="AD3823">
        <v>570</v>
      </c>
      <c r="AE3823">
        <v>99</v>
      </c>
      <c r="AF3823">
        <v>77.680000000000007</v>
      </c>
      <c r="AG3823">
        <v>-4.79</v>
      </c>
      <c r="AH3823">
        <v>-1.19</v>
      </c>
      <c r="AI3823">
        <v>-0.13</v>
      </c>
      <c r="AJ3823">
        <v>-7.0000000000000007E-2</v>
      </c>
      <c r="AK3823">
        <v>93</v>
      </c>
      <c r="AL3823">
        <v>1164</v>
      </c>
      <c r="AM3823">
        <v>601</v>
      </c>
      <c r="AN3823">
        <v>2.29</v>
      </c>
      <c r="AO3823">
        <v>-0.41</v>
      </c>
      <c r="AP3823">
        <v>46</v>
      </c>
      <c r="AQ3823">
        <v>0</v>
      </c>
      <c r="AR3823">
        <v>9.14</v>
      </c>
      <c r="AS3823">
        <v>84</v>
      </c>
      <c r="AT3823">
        <v>3.41</v>
      </c>
      <c r="AU3823">
        <v>95</v>
      </c>
      <c r="AV3823">
        <v>-0.43</v>
      </c>
      <c r="AW3823">
        <v>97</v>
      </c>
      <c r="AX3823">
        <v>-0.26</v>
      </c>
      <c r="AY3823">
        <v>97</v>
      </c>
      <c r="AZ3823">
        <v>8.39</v>
      </c>
      <c r="BA3823">
        <v>84</v>
      </c>
      <c r="BB3823">
        <v>5.48</v>
      </c>
      <c r="BC3823">
        <v>94</v>
      </c>
      <c r="BD3823">
        <v>0.02</v>
      </c>
      <c r="BE3823">
        <v>0.04</v>
      </c>
      <c r="BF3823">
        <v>-0.03</v>
      </c>
      <c r="BG3823">
        <v>98</v>
      </c>
      <c r="BH3823">
        <v>-0.11</v>
      </c>
      <c r="BI3823">
        <v>3.48</v>
      </c>
      <c r="BJ3823">
        <v>51</v>
      </c>
      <c r="BK3823">
        <v>31</v>
      </c>
      <c r="BL3823">
        <v>-0.52</v>
      </c>
      <c r="BM3823">
        <v>-1.25</v>
      </c>
      <c r="BN3823">
        <v>-7.0000000000000007E-2</v>
      </c>
      <c r="BO3823">
        <v>0.55000000000000004</v>
      </c>
      <c r="BP3823">
        <v>1.27</v>
      </c>
      <c r="BQ3823">
        <v>-0.53</v>
      </c>
      <c r="BR3823">
        <v>0.52</v>
      </c>
      <c r="BS3823">
        <v>-1.18</v>
      </c>
      <c r="BT3823">
        <v>-1.33</v>
      </c>
      <c r="BU3823">
        <v>-2.76</v>
      </c>
      <c r="BV3823">
        <v>-1.22</v>
      </c>
      <c r="BW3823">
        <v>-1.52</v>
      </c>
      <c r="BX3823">
        <v>-2.87</v>
      </c>
      <c r="BY3823">
        <v>-1.1599999999999999</v>
      </c>
      <c r="BZ3823">
        <v>1.59</v>
      </c>
      <c r="CA3823">
        <v>-1.55</v>
      </c>
      <c r="CB3823">
        <v>-1.42</v>
      </c>
      <c r="CC3823">
        <v>-0.72</v>
      </c>
      <c r="CD3823">
        <v>-1.19</v>
      </c>
      <c r="CE3823">
        <v>0.69</v>
      </c>
      <c r="CF3823">
        <v>-0.44</v>
      </c>
      <c r="CG3823">
        <v>0</v>
      </c>
      <c r="CH3823">
        <v>-1.3</v>
      </c>
      <c r="CI3823">
        <v>0</v>
      </c>
      <c r="CJ3823">
        <v>-4.8</v>
      </c>
      <c r="CK3823">
        <v>98</v>
      </c>
      <c r="CL3823">
        <v>-0.56000000000000005</v>
      </c>
      <c r="CM3823">
        <v>98</v>
      </c>
      <c r="CN3823">
        <v>-0.1</v>
      </c>
      <c r="CO3823">
        <v>98</v>
      </c>
      <c r="CP3823">
        <v>-14.3</v>
      </c>
      <c r="CQ3823">
        <v>99</v>
      </c>
      <c r="CR3823">
        <v>0</v>
      </c>
      <c r="CS3823">
        <v>0</v>
      </c>
      <c r="CT3823">
        <v>-18.2</v>
      </c>
      <c r="CU3823">
        <v>97</v>
      </c>
      <c r="CV3823">
        <v>0.05</v>
      </c>
      <c r="CW3823">
        <v>46</v>
      </c>
      <c r="CX3823" t="s">
        <v>152</v>
      </c>
    </row>
    <row r="3824" spans="1:102" x14ac:dyDescent="0.3">
      <c r="A3824" t="str">
        <f>HYPERLINK("https://webapp.icbf.com/v2/app/bull-search/view/77854153","RTT")</f>
        <v>RTT</v>
      </c>
      <c r="B3824" t="s">
        <v>6643</v>
      </c>
      <c r="C3824" t="s">
        <v>6644</v>
      </c>
      <c r="D3824" s="1">
        <v>33736</v>
      </c>
      <c r="E3824" t="s">
        <v>92</v>
      </c>
      <c r="F3824">
        <v>100</v>
      </c>
      <c r="G3824" t="s">
        <v>93</v>
      </c>
      <c r="H3824">
        <v>-64.569999999999993</v>
      </c>
      <c r="I3824">
        <v>90</v>
      </c>
      <c r="J3824">
        <v>-8.3000000000000007</v>
      </c>
      <c r="K3824">
        <v>96</v>
      </c>
      <c r="L3824">
        <v>-68.989999999999995</v>
      </c>
      <c r="M3824">
        <v>91</v>
      </c>
      <c r="N3824">
        <v>-3</v>
      </c>
      <c r="O3824">
        <v>83</v>
      </c>
      <c r="P3824">
        <v>-4.57</v>
      </c>
      <c r="Q3824">
        <v>86</v>
      </c>
      <c r="R3824">
        <v>-5.58</v>
      </c>
      <c r="S3824">
        <v>82</v>
      </c>
      <c r="T3824">
        <v>27.96</v>
      </c>
      <c r="U3824">
        <v>82</v>
      </c>
      <c r="V3824">
        <v>-2.09</v>
      </c>
      <c r="W3824">
        <v>70</v>
      </c>
      <c r="X3824" t="s">
        <v>94</v>
      </c>
      <c r="Y3824" t="s">
        <v>95</v>
      </c>
      <c r="Z3824" t="s">
        <v>96</v>
      </c>
      <c r="AA3824" t="s">
        <v>152</v>
      </c>
      <c r="AB3824" t="s">
        <v>6645</v>
      </c>
      <c r="AC3824">
        <v>70</v>
      </c>
      <c r="AD3824">
        <v>54</v>
      </c>
      <c r="AE3824">
        <v>96</v>
      </c>
      <c r="AF3824">
        <v>385.33</v>
      </c>
      <c r="AG3824">
        <v>2.4500000000000002</v>
      </c>
      <c r="AH3824">
        <v>3.62</v>
      </c>
      <c r="AI3824">
        <v>-0.21</v>
      </c>
      <c r="AJ3824">
        <v>-0.15</v>
      </c>
      <c r="AK3824">
        <v>91</v>
      </c>
      <c r="AL3824">
        <v>70</v>
      </c>
      <c r="AM3824">
        <v>37</v>
      </c>
      <c r="AN3824">
        <v>4.68</v>
      </c>
      <c r="AO3824">
        <v>-0.81</v>
      </c>
      <c r="AP3824">
        <v>7</v>
      </c>
      <c r="AQ3824">
        <v>0</v>
      </c>
      <c r="AR3824">
        <v>8.14</v>
      </c>
      <c r="AS3824">
        <v>75</v>
      </c>
      <c r="AT3824">
        <v>3.32</v>
      </c>
      <c r="AU3824">
        <v>99</v>
      </c>
      <c r="AV3824">
        <v>-0.44</v>
      </c>
      <c r="AW3824">
        <v>82</v>
      </c>
      <c r="AX3824">
        <v>0.61</v>
      </c>
      <c r="AY3824">
        <v>79</v>
      </c>
      <c r="AZ3824">
        <v>6.51</v>
      </c>
      <c r="BA3824">
        <v>68</v>
      </c>
      <c r="BB3824">
        <v>5.31</v>
      </c>
      <c r="BC3824">
        <v>70</v>
      </c>
      <c r="BD3824">
        <v>0.05</v>
      </c>
      <c r="BE3824">
        <v>0.05</v>
      </c>
      <c r="BF3824">
        <v>-0.05</v>
      </c>
      <c r="BG3824">
        <v>93</v>
      </c>
      <c r="BH3824">
        <v>0.04</v>
      </c>
      <c r="BI3824">
        <v>11.36</v>
      </c>
      <c r="BJ3824">
        <v>17</v>
      </c>
      <c r="BK3824">
        <v>14</v>
      </c>
      <c r="BL3824">
        <v>-0.14000000000000001</v>
      </c>
      <c r="BM3824">
        <v>-7.0000000000000007E-2</v>
      </c>
      <c r="BN3824">
        <v>0.5</v>
      </c>
      <c r="BO3824">
        <v>0.32</v>
      </c>
      <c r="BP3824">
        <v>1.08</v>
      </c>
      <c r="BQ3824">
        <v>-1.27</v>
      </c>
      <c r="BR3824">
        <v>1.36</v>
      </c>
      <c r="BS3824">
        <v>-1.59</v>
      </c>
      <c r="BT3824">
        <v>-0.93</v>
      </c>
      <c r="BU3824">
        <v>-0.41</v>
      </c>
      <c r="BV3824">
        <v>-0.8</v>
      </c>
      <c r="BW3824">
        <v>-0.1</v>
      </c>
      <c r="BX3824">
        <v>-1.1299999999999999</v>
      </c>
      <c r="BY3824">
        <v>0.19</v>
      </c>
      <c r="BZ3824">
        <v>0.1</v>
      </c>
      <c r="CA3824">
        <v>-0.56999999999999995</v>
      </c>
      <c r="CB3824">
        <v>-0.28999999999999998</v>
      </c>
      <c r="CC3824">
        <v>-0.56000000000000005</v>
      </c>
      <c r="CD3824">
        <v>-0.24</v>
      </c>
      <c r="CE3824">
        <v>0.81</v>
      </c>
      <c r="CF3824">
        <v>0.28000000000000003</v>
      </c>
      <c r="CG3824">
        <v>0</v>
      </c>
      <c r="CH3824">
        <v>0.26</v>
      </c>
      <c r="CI3824">
        <v>0</v>
      </c>
      <c r="CJ3824">
        <v>-1.6</v>
      </c>
      <c r="CK3824">
        <v>87</v>
      </c>
      <c r="CL3824">
        <v>-0.68</v>
      </c>
      <c r="CM3824">
        <v>85</v>
      </c>
      <c r="CN3824">
        <v>-0.55000000000000004</v>
      </c>
      <c r="CO3824">
        <v>83</v>
      </c>
      <c r="CP3824">
        <v>-11.9</v>
      </c>
      <c r="CQ3824">
        <v>90</v>
      </c>
      <c r="CR3824">
        <v>0</v>
      </c>
      <c r="CS3824">
        <v>0</v>
      </c>
      <c r="CT3824">
        <v>-24</v>
      </c>
      <c r="CU3824">
        <v>82</v>
      </c>
      <c r="CV3824">
        <v>0.09</v>
      </c>
      <c r="CW3824">
        <v>43</v>
      </c>
      <c r="CX3824" t="s">
        <v>111</v>
      </c>
    </row>
    <row r="3825" spans="1:102" x14ac:dyDescent="0.3">
      <c r="A3825" t="str">
        <f>HYPERLINK("https://webapp.icbf.com/v2/app/bull-search/view/108368004","JUR")</f>
        <v>JUR</v>
      </c>
      <c r="B3825" t="s">
        <v>10916</v>
      </c>
      <c r="C3825" t="s">
        <v>10917</v>
      </c>
      <c r="D3825" s="1">
        <v>35171</v>
      </c>
      <c r="E3825" t="s">
        <v>92</v>
      </c>
      <c r="F3825">
        <v>100</v>
      </c>
      <c r="G3825" t="s">
        <v>109</v>
      </c>
      <c r="H3825">
        <v>-64.69</v>
      </c>
      <c r="I3825">
        <v>82</v>
      </c>
      <c r="J3825">
        <v>35.409999999999997</v>
      </c>
      <c r="K3825">
        <v>91</v>
      </c>
      <c r="L3825">
        <v>-116.5</v>
      </c>
      <c r="M3825">
        <v>84</v>
      </c>
      <c r="N3825">
        <v>16.14</v>
      </c>
      <c r="O3825">
        <v>72</v>
      </c>
      <c r="P3825">
        <v>-6.52</v>
      </c>
      <c r="Q3825">
        <v>82</v>
      </c>
      <c r="R3825">
        <v>-2.25</v>
      </c>
      <c r="S3825">
        <v>71</v>
      </c>
      <c r="T3825">
        <v>7.46</v>
      </c>
      <c r="U3825">
        <v>72</v>
      </c>
      <c r="V3825">
        <v>1.57</v>
      </c>
      <c r="W3825">
        <v>43</v>
      </c>
      <c r="X3825" t="s">
        <v>558</v>
      </c>
      <c r="Y3825" t="s">
        <v>95</v>
      </c>
      <c r="Z3825" t="s">
        <v>96</v>
      </c>
      <c r="AA3825" t="s">
        <v>839</v>
      </c>
      <c r="AB3825" t="s">
        <v>10918</v>
      </c>
      <c r="AC3825">
        <v>34</v>
      </c>
      <c r="AD3825">
        <v>21</v>
      </c>
      <c r="AE3825">
        <v>91</v>
      </c>
      <c r="AF3825">
        <v>378.16</v>
      </c>
      <c r="AG3825">
        <v>15.24</v>
      </c>
      <c r="AH3825">
        <v>6.42</v>
      </c>
      <c r="AI3825">
        <v>0.01</v>
      </c>
      <c r="AJ3825">
        <v>-0.1</v>
      </c>
      <c r="AK3825">
        <v>84</v>
      </c>
      <c r="AL3825">
        <v>35</v>
      </c>
      <c r="AM3825">
        <v>19</v>
      </c>
      <c r="AN3825">
        <v>7.2</v>
      </c>
      <c r="AO3825">
        <v>-2.08</v>
      </c>
      <c r="AP3825">
        <v>51</v>
      </c>
      <c r="AQ3825">
        <v>0</v>
      </c>
      <c r="AR3825">
        <v>4.9400000000000004</v>
      </c>
      <c r="AS3825">
        <v>67</v>
      </c>
      <c r="AT3825">
        <v>2.46</v>
      </c>
      <c r="AU3825">
        <v>93</v>
      </c>
      <c r="AV3825">
        <v>-0.66</v>
      </c>
      <c r="AW3825">
        <v>74</v>
      </c>
      <c r="AX3825">
        <v>-0.78</v>
      </c>
      <c r="AY3825">
        <v>60</v>
      </c>
      <c r="AZ3825">
        <v>6.83</v>
      </c>
      <c r="BA3825">
        <v>46</v>
      </c>
      <c r="BB3825">
        <v>5.39</v>
      </c>
      <c r="BC3825">
        <v>46</v>
      </c>
      <c r="BD3825">
        <v>0.01</v>
      </c>
      <c r="BE3825">
        <v>0.05</v>
      </c>
      <c r="BF3825">
        <v>-0.06</v>
      </c>
      <c r="BG3825">
        <v>89</v>
      </c>
      <c r="BH3825">
        <v>0.04</v>
      </c>
      <c r="BI3825">
        <v>-0.44</v>
      </c>
      <c r="BJ3825">
        <v>5</v>
      </c>
      <c r="BK3825">
        <v>4</v>
      </c>
      <c r="BL3825">
        <v>0.28999999999999998</v>
      </c>
      <c r="BM3825">
        <v>1.17</v>
      </c>
      <c r="BN3825">
        <v>1.23</v>
      </c>
      <c r="BO3825">
        <v>0.27</v>
      </c>
      <c r="BP3825">
        <v>0.71</v>
      </c>
      <c r="BQ3825">
        <v>-0.02</v>
      </c>
      <c r="BR3825">
        <v>1.01</v>
      </c>
      <c r="BS3825">
        <v>-0.15</v>
      </c>
      <c r="BT3825">
        <v>-0.06</v>
      </c>
      <c r="BU3825">
        <v>0.37</v>
      </c>
      <c r="BV3825">
        <v>-0.74</v>
      </c>
      <c r="BW3825">
        <v>-0.37</v>
      </c>
      <c r="BX3825">
        <v>-0.35</v>
      </c>
      <c r="BY3825">
        <v>1.21</v>
      </c>
      <c r="BZ3825">
        <v>0.32</v>
      </c>
      <c r="CA3825">
        <v>0.48</v>
      </c>
      <c r="CB3825">
        <v>0.56000000000000005</v>
      </c>
      <c r="CC3825">
        <v>0.25</v>
      </c>
      <c r="CD3825">
        <v>-0.26</v>
      </c>
      <c r="CE3825">
        <v>0.75</v>
      </c>
      <c r="CF3825">
        <v>0.57999999999999996</v>
      </c>
      <c r="CG3825">
        <v>0</v>
      </c>
      <c r="CH3825">
        <v>-0.85</v>
      </c>
      <c r="CI3825">
        <v>0</v>
      </c>
      <c r="CJ3825">
        <v>1.9</v>
      </c>
      <c r="CK3825">
        <v>84</v>
      </c>
      <c r="CL3825">
        <v>-0.92</v>
      </c>
      <c r="CM3825">
        <v>81</v>
      </c>
      <c r="CN3825">
        <v>-0.02</v>
      </c>
      <c r="CO3825">
        <v>78</v>
      </c>
      <c r="CP3825">
        <v>0.8</v>
      </c>
      <c r="CQ3825">
        <v>80</v>
      </c>
      <c r="CR3825">
        <v>0</v>
      </c>
      <c r="CS3825">
        <v>0</v>
      </c>
      <c r="CT3825">
        <v>3.7</v>
      </c>
      <c r="CU3825">
        <v>72</v>
      </c>
      <c r="CV3825">
        <v>0.39</v>
      </c>
      <c r="CW3825">
        <v>23</v>
      </c>
      <c r="CX3825" t="s">
        <v>267</v>
      </c>
    </row>
    <row r="3826" spans="1:102" x14ac:dyDescent="0.3">
      <c r="A3826" t="str">
        <f>HYPERLINK("https://webapp.icbf.com/v2/app/bull-search/view/77859076","COP")</f>
        <v>COP</v>
      </c>
      <c r="B3826" t="s">
        <v>15242</v>
      </c>
      <c r="C3826" t="s">
        <v>15243</v>
      </c>
      <c r="D3826" s="1">
        <v>31797</v>
      </c>
      <c r="E3826" t="s">
        <v>108</v>
      </c>
      <c r="F3826">
        <v>9</v>
      </c>
      <c r="G3826" t="s">
        <v>116</v>
      </c>
      <c r="H3826">
        <v>-64.819999999999993</v>
      </c>
      <c r="I3826">
        <v>42</v>
      </c>
      <c r="J3826">
        <v>-85.54</v>
      </c>
      <c r="K3826">
        <v>45</v>
      </c>
      <c r="L3826">
        <v>7.32</v>
      </c>
      <c r="M3826">
        <v>49</v>
      </c>
      <c r="N3826">
        <v>6.69</v>
      </c>
      <c r="O3826">
        <v>26</v>
      </c>
      <c r="P3826">
        <v>-12.39</v>
      </c>
      <c r="Q3826">
        <v>43</v>
      </c>
      <c r="R3826">
        <v>-2.15</v>
      </c>
      <c r="S3826">
        <v>46</v>
      </c>
      <c r="T3826">
        <v>24.11</v>
      </c>
      <c r="U3826">
        <v>33</v>
      </c>
      <c r="V3826">
        <v>-2.86</v>
      </c>
      <c r="W3826">
        <v>10</v>
      </c>
      <c r="X3826" t="s">
        <v>94</v>
      </c>
      <c r="Y3826" t="s">
        <v>95</v>
      </c>
      <c r="Z3826" t="s">
        <v>96</v>
      </c>
      <c r="AA3826" t="s">
        <v>851</v>
      </c>
      <c r="AB3826" t="s">
        <v>15244</v>
      </c>
      <c r="AC3826">
        <v>5</v>
      </c>
      <c r="AD3826">
        <v>5</v>
      </c>
      <c r="AE3826">
        <v>45</v>
      </c>
      <c r="AF3826">
        <v>-339.43</v>
      </c>
      <c r="AG3826">
        <v>-17.14</v>
      </c>
      <c r="AH3826">
        <v>-13.68</v>
      </c>
      <c r="AI3826">
        <v>-7.0000000000000007E-2</v>
      </c>
      <c r="AJ3826">
        <v>-0.04</v>
      </c>
      <c r="AK3826">
        <v>49</v>
      </c>
      <c r="AL3826">
        <v>48</v>
      </c>
      <c r="AM3826">
        <v>33</v>
      </c>
      <c r="AN3826">
        <v>-2.2599999999999998</v>
      </c>
      <c r="AO3826">
        <v>-1.7</v>
      </c>
      <c r="AP3826">
        <v>2</v>
      </c>
      <c r="AQ3826">
        <v>0</v>
      </c>
      <c r="AR3826">
        <v>7.67</v>
      </c>
      <c r="AS3826">
        <v>11</v>
      </c>
      <c r="AT3826">
        <v>3.18</v>
      </c>
      <c r="AU3826">
        <v>20</v>
      </c>
      <c r="AV3826">
        <v>-0.16</v>
      </c>
      <c r="AW3826">
        <v>34</v>
      </c>
      <c r="AX3826">
        <v>-0.46</v>
      </c>
      <c r="AY3826">
        <v>40</v>
      </c>
      <c r="AZ3826">
        <v>5.3</v>
      </c>
      <c r="BA3826">
        <v>7</v>
      </c>
      <c r="BB3826">
        <v>4.3</v>
      </c>
      <c r="BC3826">
        <v>14</v>
      </c>
      <c r="BD3826">
        <v>0.05</v>
      </c>
      <c r="BE3826">
        <v>0.04</v>
      </c>
      <c r="BF3826">
        <v>-0.11</v>
      </c>
      <c r="BG3826">
        <v>68</v>
      </c>
      <c r="BH3826">
        <v>-0.06</v>
      </c>
      <c r="BI3826">
        <v>2.2799999999999998</v>
      </c>
      <c r="BJ3826">
        <v>6</v>
      </c>
      <c r="BK3826">
        <v>5</v>
      </c>
      <c r="BL3826">
        <v>-2.1800000000000002</v>
      </c>
      <c r="BM3826">
        <v>1.32</v>
      </c>
      <c r="BN3826">
        <v>-1.94</v>
      </c>
      <c r="BO3826">
        <v>-2.37</v>
      </c>
      <c r="BP3826">
        <v>1.48</v>
      </c>
      <c r="BQ3826">
        <v>0.08</v>
      </c>
      <c r="BR3826">
        <v>-0.71</v>
      </c>
      <c r="BS3826">
        <v>-0.06</v>
      </c>
      <c r="BT3826">
        <v>-0.57999999999999996</v>
      </c>
      <c r="BU3826">
        <v>-2.39</v>
      </c>
      <c r="BV3826">
        <v>-2.37</v>
      </c>
      <c r="BW3826">
        <v>-2.4700000000000002</v>
      </c>
      <c r="BX3826">
        <v>-2.2599999999999998</v>
      </c>
      <c r="BY3826">
        <v>-2.74</v>
      </c>
      <c r="BZ3826">
        <v>-0.85</v>
      </c>
      <c r="CA3826">
        <v>-2.4700000000000002</v>
      </c>
      <c r="CB3826">
        <v>-2.6</v>
      </c>
      <c r="CC3826">
        <v>-1.22</v>
      </c>
      <c r="CD3826">
        <v>2.46</v>
      </c>
      <c r="CE3826">
        <v>-2.54</v>
      </c>
      <c r="CF3826">
        <v>-1.86</v>
      </c>
      <c r="CG3826">
        <v>0</v>
      </c>
      <c r="CH3826">
        <v>-2.16</v>
      </c>
      <c r="CI3826">
        <v>0</v>
      </c>
      <c r="CJ3826">
        <v>-5.0999999999999996</v>
      </c>
      <c r="CK3826">
        <v>45</v>
      </c>
      <c r="CL3826">
        <v>-0.32</v>
      </c>
      <c r="CM3826">
        <v>42</v>
      </c>
      <c r="CN3826">
        <v>0.03</v>
      </c>
      <c r="CO3826">
        <v>38</v>
      </c>
      <c r="CP3826">
        <v>-11.3</v>
      </c>
      <c r="CQ3826">
        <v>40</v>
      </c>
      <c r="CR3826">
        <v>0</v>
      </c>
      <c r="CS3826">
        <v>0</v>
      </c>
      <c r="CT3826">
        <v>-18.8</v>
      </c>
      <c r="CU3826">
        <v>33</v>
      </c>
      <c r="CV3826">
        <v>0.01</v>
      </c>
      <c r="CW3826">
        <v>11</v>
      </c>
      <c r="CX3826" t="s">
        <v>15245</v>
      </c>
    </row>
    <row r="3827" spans="1:102" x14ac:dyDescent="0.3">
      <c r="A3827" t="str">
        <f>HYPERLINK("https://webapp.icbf.com/v2/app/bull-search/view/314187126","BZW")</f>
        <v>BZW</v>
      </c>
      <c r="B3827" t="s">
        <v>15552</v>
      </c>
      <c r="C3827" t="s">
        <v>15553</v>
      </c>
      <c r="D3827" s="1">
        <v>36383</v>
      </c>
      <c r="E3827" t="s">
        <v>92</v>
      </c>
      <c r="F3827">
        <v>94</v>
      </c>
      <c r="G3827" t="s">
        <v>93</v>
      </c>
      <c r="H3827">
        <v>-64.83</v>
      </c>
      <c r="I3827">
        <v>97</v>
      </c>
      <c r="J3827">
        <v>72.86</v>
      </c>
      <c r="K3827">
        <v>99</v>
      </c>
      <c r="L3827">
        <v>-147.57</v>
      </c>
      <c r="M3827">
        <v>94</v>
      </c>
      <c r="N3827">
        <v>12.44</v>
      </c>
      <c r="O3827">
        <v>96</v>
      </c>
      <c r="P3827">
        <v>-4.7300000000000004</v>
      </c>
      <c r="Q3827">
        <v>99</v>
      </c>
      <c r="R3827">
        <v>-7.47</v>
      </c>
      <c r="S3827">
        <v>94</v>
      </c>
      <c r="T3827">
        <v>0.43</v>
      </c>
      <c r="U3827">
        <v>98</v>
      </c>
      <c r="V3827">
        <v>9.2100000000000009</v>
      </c>
      <c r="W3827">
        <v>96</v>
      </c>
      <c r="X3827" t="s">
        <v>302</v>
      </c>
      <c r="Y3827" t="s">
        <v>95</v>
      </c>
      <c r="Z3827" t="s">
        <v>96</v>
      </c>
      <c r="AA3827" t="s">
        <v>985</v>
      </c>
      <c r="AB3827" t="s">
        <v>15554</v>
      </c>
      <c r="AC3827">
        <v>615</v>
      </c>
      <c r="AD3827">
        <v>215</v>
      </c>
      <c r="AE3827">
        <v>99</v>
      </c>
      <c r="AF3827">
        <v>294.51</v>
      </c>
      <c r="AG3827">
        <v>16.760000000000002</v>
      </c>
      <c r="AH3827">
        <v>10.97</v>
      </c>
      <c r="AI3827">
        <v>0.09</v>
      </c>
      <c r="AJ3827">
        <v>0.02</v>
      </c>
      <c r="AK3827">
        <v>94</v>
      </c>
      <c r="AL3827">
        <v>620</v>
      </c>
      <c r="AM3827">
        <v>233</v>
      </c>
      <c r="AN3827">
        <v>7.93</v>
      </c>
      <c r="AO3827">
        <v>-3.84</v>
      </c>
      <c r="AP3827">
        <v>1141</v>
      </c>
      <c r="AQ3827">
        <v>4</v>
      </c>
      <c r="AR3827">
        <v>8.33</v>
      </c>
      <c r="AS3827">
        <v>92</v>
      </c>
      <c r="AT3827">
        <v>3.52</v>
      </c>
      <c r="AU3827">
        <v>97</v>
      </c>
      <c r="AV3827">
        <v>-2.5499999999999998</v>
      </c>
      <c r="AW3827">
        <v>99</v>
      </c>
      <c r="AX3827">
        <v>0.28999999999999998</v>
      </c>
      <c r="AY3827">
        <v>96</v>
      </c>
      <c r="AZ3827">
        <v>6.61</v>
      </c>
      <c r="BA3827">
        <v>89</v>
      </c>
      <c r="BB3827">
        <v>5.22</v>
      </c>
      <c r="BC3827">
        <v>90</v>
      </c>
      <c r="BD3827">
        <v>-0.02</v>
      </c>
      <c r="BE3827">
        <v>0.05</v>
      </c>
      <c r="BF3827">
        <v>0.11</v>
      </c>
      <c r="BG3827">
        <v>97</v>
      </c>
      <c r="BH3827">
        <v>0.15</v>
      </c>
      <c r="BI3827">
        <v>-12.36</v>
      </c>
      <c r="BJ3827">
        <v>20</v>
      </c>
      <c r="BK3827">
        <v>14</v>
      </c>
      <c r="BL3827">
        <v>0.56999999999999995</v>
      </c>
      <c r="BM3827">
        <v>2.2599999999999998</v>
      </c>
      <c r="BN3827">
        <v>1.47</v>
      </c>
      <c r="BO3827">
        <v>-0.23</v>
      </c>
      <c r="BP3827">
        <v>0.28999999999999998</v>
      </c>
      <c r="BQ3827">
        <v>0.36</v>
      </c>
      <c r="BR3827">
        <v>2.3199999999999998</v>
      </c>
      <c r="BS3827">
        <v>-1.67</v>
      </c>
      <c r="BT3827">
        <v>-1.62</v>
      </c>
      <c r="BU3827">
        <v>-0.82</v>
      </c>
      <c r="BV3827">
        <v>0.55000000000000004</v>
      </c>
      <c r="BW3827">
        <v>-0.84</v>
      </c>
      <c r="BX3827">
        <v>-0.26</v>
      </c>
      <c r="BY3827">
        <v>-0.54</v>
      </c>
      <c r="BZ3827">
        <v>3.91</v>
      </c>
      <c r="CA3827">
        <v>-0.61</v>
      </c>
      <c r="CB3827">
        <v>-0.41</v>
      </c>
      <c r="CC3827">
        <v>-1.01</v>
      </c>
      <c r="CD3827">
        <v>0.55000000000000004</v>
      </c>
      <c r="CE3827">
        <v>-7.0000000000000007E-2</v>
      </c>
      <c r="CF3827">
        <v>0.42</v>
      </c>
      <c r="CG3827">
        <v>0</v>
      </c>
      <c r="CH3827">
        <v>-0.79</v>
      </c>
      <c r="CI3827">
        <v>0</v>
      </c>
      <c r="CJ3827">
        <v>0.4</v>
      </c>
      <c r="CK3827">
        <v>99</v>
      </c>
      <c r="CL3827">
        <v>-0.75</v>
      </c>
      <c r="CM3827">
        <v>98</v>
      </c>
      <c r="CN3827">
        <v>-0.2</v>
      </c>
      <c r="CO3827">
        <v>98</v>
      </c>
      <c r="CP3827">
        <v>0.8</v>
      </c>
      <c r="CQ3827">
        <v>98</v>
      </c>
      <c r="CR3827">
        <v>0</v>
      </c>
      <c r="CS3827">
        <v>0</v>
      </c>
      <c r="CT3827">
        <v>13.2</v>
      </c>
      <c r="CU3827">
        <v>98</v>
      </c>
      <c r="CV3827">
        <v>0.23</v>
      </c>
      <c r="CW3827">
        <v>46</v>
      </c>
      <c r="CX3827" t="s">
        <v>1145</v>
      </c>
    </row>
    <row r="3828" spans="1:102" x14ac:dyDescent="0.3">
      <c r="A3828" t="str">
        <f>HYPERLINK("https://webapp.icbf.com/v2/app/bull-search/view/298957495","HHF")</f>
        <v>HHF</v>
      </c>
      <c r="B3828" t="s">
        <v>7123</v>
      </c>
      <c r="C3828" t="s">
        <v>7124</v>
      </c>
      <c r="D3828" s="1">
        <v>37350</v>
      </c>
      <c r="E3828" t="s">
        <v>92</v>
      </c>
      <c r="F3828">
        <v>100</v>
      </c>
      <c r="G3828" t="s">
        <v>109</v>
      </c>
      <c r="H3828">
        <v>-64.91</v>
      </c>
      <c r="I3828">
        <v>51</v>
      </c>
      <c r="J3828">
        <v>23.99</v>
      </c>
      <c r="K3828">
        <v>70</v>
      </c>
      <c r="L3828">
        <v>-88.06</v>
      </c>
      <c r="M3828">
        <v>53</v>
      </c>
      <c r="N3828">
        <v>4.3899999999999997</v>
      </c>
      <c r="O3828">
        <v>32</v>
      </c>
      <c r="P3828">
        <v>-4.54</v>
      </c>
      <c r="Q3828">
        <v>31</v>
      </c>
      <c r="R3828">
        <v>-9.06</v>
      </c>
      <c r="S3828">
        <v>50</v>
      </c>
      <c r="T3828">
        <v>11.3</v>
      </c>
      <c r="U3828">
        <v>28</v>
      </c>
      <c r="V3828">
        <v>-2.93</v>
      </c>
      <c r="W3828">
        <v>22</v>
      </c>
      <c r="X3828" t="s">
        <v>7125</v>
      </c>
      <c r="Y3828" t="s">
        <v>95</v>
      </c>
      <c r="Z3828" t="s">
        <v>96</v>
      </c>
      <c r="AA3828" t="s">
        <v>4979</v>
      </c>
      <c r="AB3828" t="s">
        <v>7126</v>
      </c>
      <c r="AC3828">
        <v>0</v>
      </c>
      <c r="AD3828">
        <v>0</v>
      </c>
      <c r="AE3828">
        <v>70</v>
      </c>
      <c r="AF3828">
        <v>265.58999999999997</v>
      </c>
      <c r="AG3828">
        <v>6.12</v>
      </c>
      <c r="AH3828">
        <v>5.98</v>
      </c>
      <c r="AI3828">
        <v>-7.0000000000000007E-2</v>
      </c>
      <c r="AJ3828">
        <v>-0.05</v>
      </c>
      <c r="AK3828">
        <v>53</v>
      </c>
      <c r="AL3828">
        <v>0</v>
      </c>
      <c r="AM3828">
        <v>0</v>
      </c>
      <c r="AN3828">
        <v>5.0199999999999996</v>
      </c>
      <c r="AO3828">
        <v>-2</v>
      </c>
      <c r="AP3828">
        <v>0</v>
      </c>
      <c r="AQ3828">
        <v>1</v>
      </c>
      <c r="AR3828">
        <v>8.2799999999999994</v>
      </c>
      <c r="AS3828">
        <v>23</v>
      </c>
      <c r="AT3828">
        <v>4</v>
      </c>
      <c r="AU3828">
        <v>51</v>
      </c>
      <c r="AV3828">
        <v>-1.67</v>
      </c>
      <c r="AW3828">
        <v>27</v>
      </c>
      <c r="AX3828">
        <v>-0.28000000000000003</v>
      </c>
      <c r="AY3828">
        <v>26</v>
      </c>
      <c r="AZ3828">
        <v>6.43</v>
      </c>
      <c r="BA3828">
        <v>20</v>
      </c>
      <c r="BB3828">
        <v>4.8899999999999997</v>
      </c>
      <c r="BC3828">
        <v>21</v>
      </c>
      <c r="BD3828">
        <v>0.02</v>
      </c>
      <c r="BE3828">
        <v>0.05</v>
      </c>
      <c r="BF3828">
        <v>0.08</v>
      </c>
      <c r="BG3828">
        <v>73</v>
      </c>
      <c r="BH3828">
        <v>-0.04</v>
      </c>
      <c r="BI3828">
        <v>4.84</v>
      </c>
      <c r="BJ3828">
        <v>0</v>
      </c>
      <c r="BK3828">
        <v>0</v>
      </c>
      <c r="BL3828">
        <v>0.18</v>
      </c>
      <c r="BM3828">
        <v>-3.52</v>
      </c>
      <c r="BN3828">
        <v>-1.45</v>
      </c>
      <c r="BO3828">
        <v>1.02</v>
      </c>
      <c r="BP3828">
        <v>0.51</v>
      </c>
      <c r="BQ3828">
        <v>-3.81</v>
      </c>
      <c r="BR3828">
        <v>0.28000000000000003</v>
      </c>
      <c r="BS3828">
        <v>-1.43</v>
      </c>
      <c r="BT3828">
        <v>-0.24</v>
      </c>
      <c r="BU3828">
        <v>-7.0000000000000007E-2</v>
      </c>
      <c r="BV3828">
        <v>-0.4</v>
      </c>
      <c r="BW3828">
        <v>-0.25</v>
      </c>
      <c r="BX3828">
        <v>0.52</v>
      </c>
      <c r="BY3828">
        <v>0.62</v>
      </c>
      <c r="BZ3828">
        <v>0.98</v>
      </c>
      <c r="CA3828">
        <v>-0.4</v>
      </c>
      <c r="CB3828">
        <v>0.02</v>
      </c>
      <c r="CC3828">
        <v>-1.31</v>
      </c>
      <c r="CD3828">
        <v>-2.0099999999999998</v>
      </c>
      <c r="CE3828">
        <v>0</v>
      </c>
      <c r="CF3828">
        <v>0</v>
      </c>
      <c r="CG3828">
        <v>0</v>
      </c>
      <c r="CH3828">
        <v>0</v>
      </c>
      <c r="CI3828">
        <v>0</v>
      </c>
      <c r="CJ3828">
        <v>0.05</v>
      </c>
      <c r="CK3828">
        <v>31</v>
      </c>
      <c r="CL3828">
        <v>-0.64</v>
      </c>
      <c r="CM3828">
        <v>31</v>
      </c>
      <c r="CN3828">
        <v>-0.24</v>
      </c>
      <c r="CO3828">
        <v>30</v>
      </c>
      <c r="CP3828">
        <v>-5.44</v>
      </c>
      <c r="CQ3828">
        <v>31</v>
      </c>
      <c r="CR3828">
        <v>0</v>
      </c>
      <c r="CS3828">
        <v>0</v>
      </c>
      <c r="CT3828">
        <v>-1.49</v>
      </c>
      <c r="CU3828">
        <v>28</v>
      </c>
      <c r="CV3828">
        <v>0.15</v>
      </c>
      <c r="CW3828">
        <v>15</v>
      </c>
      <c r="CX3828" t="s">
        <v>7127</v>
      </c>
    </row>
    <row r="3829" spans="1:102" x14ac:dyDescent="0.3">
      <c r="A3829" t="str">
        <f>HYPERLINK("https://webapp.icbf.com/v2/app/bull-search/view/182427888","S330")</f>
        <v>S330</v>
      </c>
      <c r="B3829" t="s">
        <v>15567</v>
      </c>
      <c r="C3829" t="s">
        <v>15568</v>
      </c>
      <c r="D3829" s="1">
        <v>34970</v>
      </c>
      <c r="E3829" t="s">
        <v>895</v>
      </c>
      <c r="F3829">
        <v>0</v>
      </c>
      <c r="G3829" t="s">
        <v>116</v>
      </c>
      <c r="H3829">
        <v>-64.94</v>
      </c>
      <c r="I3829">
        <v>28</v>
      </c>
      <c r="J3829">
        <v>-70.83</v>
      </c>
      <c r="K3829">
        <v>53</v>
      </c>
      <c r="L3829">
        <v>-20.53</v>
      </c>
      <c r="M3829">
        <v>11</v>
      </c>
      <c r="N3829">
        <v>-11.55</v>
      </c>
      <c r="O3829">
        <v>14</v>
      </c>
      <c r="P3829">
        <v>17.87</v>
      </c>
      <c r="Q3829">
        <v>44</v>
      </c>
      <c r="R3829">
        <v>5.03</v>
      </c>
      <c r="S3829">
        <v>16</v>
      </c>
      <c r="T3829">
        <v>18.93</v>
      </c>
      <c r="U3829">
        <v>20</v>
      </c>
      <c r="V3829">
        <v>-3.86</v>
      </c>
      <c r="W3829">
        <v>1</v>
      </c>
      <c r="X3829" t="s">
        <v>102</v>
      </c>
      <c r="Y3829" t="s">
        <v>545</v>
      </c>
      <c r="Z3829">
        <v>0</v>
      </c>
      <c r="AA3829" t="s">
        <v>15569</v>
      </c>
      <c r="AB3829" t="s">
        <v>15570</v>
      </c>
      <c r="AC3829">
        <v>6</v>
      </c>
      <c r="AD3829">
        <v>4</v>
      </c>
      <c r="AE3829">
        <v>53</v>
      </c>
      <c r="AF3829">
        <v>-536.01</v>
      </c>
      <c r="AG3829">
        <v>-19.73</v>
      </c>
      <c r="AH3829">
        <v>-13.27</v>
      </c>
      <c r="AI3829">
        <v>0.02</v>
      </c>
      <c r="AJ3829">
        <v>0.09</v>
      </c>
      <c r="AK3829">
        <v>11</v>
      </c>
      <c r="AL3829">
        <v>5</v>
      </c>
      <c r="AM3829">
        <v>3</v>
      </c>
      <c r="AN3829">
        <v>2.48</v>
      </c>
      <c r="AO3829">
        <v>0.86</v>
      </c>
      <c r="AP3829">
        <v>13</v>
      </c>
      <c r="AQ3829">
        <v>0</v>
      </c>
      <c r="AR3829">
        <v>8.09</v>
      </c>
      <c r="AS3829">
        <v>5</v>
      </c>
      <c r="AT3829">
        <v>3.62</v>
      </c>
      <c r="AU3829">
        <v>24</v>
      </c>
      <c r="AV3829">
        <v>1.05</v>
      </c>
      <c r="AW3829">
        <v>12</v>
      </c>
      <c r="AX3829">
        <v>0.44</v>
      </c>
      <c r="AY3829">
        <v>19</v>
      </c>
      <c r="AZ3829">
        <v>5.68</v>
      </c>
      <c r="BA3829">
        <v>6</v>
      </c>
      <c r="BB3829">
        <v>4.42</v>
      </c>
      <c r="BC3829">
        <v>6</v>
      </c>
      <c r="BD3829">
        <v>-0.01</v>
      </c>
      <c r="BE3829">
        <v>-0.01</v>
      </c>
      <c r="BF3829">
        <v>-0.08</v>
      </c>
      <c r="BG3829">
        <v>21</v>
      </c>
      <c r="BH3829">
        <v>-0.08</v>
      </c>
      <c r="BI3829">
        <v>3.2</v>
      </c>
      <c r="BJ3829">
        <v>0</v>
      </c>
      <c r="BK3829">
        <v>0</v>
      </c>
      <c r="BL3829">
        <v>0</v>
      </c>
      <c r="BM3829">
        <v>0</v>
      </c>
      <c r="BN3829">
        <v>0</v>
      </c>
      <c r="BO3829">
        <v>0</v>
      </c>
      <c r="BP3829">
        <v>0</v>
      </c>
      <c r="BQ3829">
        <v>0</v>
      </c>
      <c r="BR3829">
        <v>0</v>
      </c>
      <c r="BS3829">
        <v>0</v>
      </c>
      <c r="BT3829">
        <v>0</v>
      </c>
      <c r="BU3829">
        <v>0</v>
      </c>
      <c r="BV3829">
        <v>0</v>
      </c>
      <c r="BW3829">
        <v>0</v>
      </c>
      <c r="BX3829">
        <v>0</v>
      </c>
      <c r="BY3829">
        <v>0</v>
      </c>
      <c r="BZ3829">
        <v>0</v>
      </c>
      <c r="CA3829">
        <v>0</v>
      </c>
      <c r="CB3829">
        <v>0</v>
      </c>
      <c r="CC3829">
        <v>0</v>
      </c>
      <c r="CD3829">
        <v>0</v>
      </c>
      <c r="CE3829">
        <v>0</v>
      </c>
      <c r="CF3829">
        <v>0</v>
      </c>
      <c r="CG3829">
        <v>0</v>
      </c>
      <c r="CH3829">
        <v>0</v>
      </c>
      <c r="CI3829">
        <v>0</v>
      </c>
      <c r="CJ3829">
        <v>9.4</v>
      </c>
      <c r="CK3829">
        <v>48</v>
      </c>
      <c r="CL3829">
        <v>0.21</v>
      </c>
      <c r="CM3829">
        <v>42</v>
      </c>
      <c r="CN3829">
        <v>-0.24</v>
      </c>
      <c r="CO3829">
        <v>37</v>
      </c>
      <c r="CP3829">
        <v>-0.5</v>
      </c>
      <c r="CQ3829">
        <v>32</v>
      </c>
      <c r="CR3829">
        <v>0</v>
      </c>
      <c r="CS3829">
        <v>0</v>
      </c>
      <c r="CT3829">
        <v>-11.8</v>
      </c>
      <c r="CU3829">
        <v>20</v>
      </c>
      <c r="CV3829">
        <v>0.02</v>
      </c>
      <c r="CW3829">
        <v>12</v>
      </c>
      <c r="CX3829" t="s">
        <v>15571</v>
      </c>
    </row>
    <row r="3830" spans="1:102" x14ac:dyDescent="0.3">
      <c r="A3830" t="str">
        <f>HYPERLINK("https://webapp.icbf.com/v2/app/bull-search/view/77859796","BMK")</f>
        <v>BMK</v>
      </c>
      <c r="B3830" t="s">
        <v>4450</v>
      </c>
      <c r="C3830" t="s">
        <v>4451</v>
      </c>
      <c r="D3830" s="1">
        <v>35074</v>
      </c>
      <c r="E3830" t="s">
        <v>92</v>
      </c>
      <c r="F3830">
        <v>100</v>
      </c>
      <c r="G3830" t="s">
        <v>93</v>
      </c>
      <c r="H3830">
        <v>-64.95</v>
      </c>
      <c r="I3830">
        <v>82</v>
      </c>
      <c r="J3830">
        <v>16.68</v>
      </c>
      <c r="K3830">
        <v>95</v>
      </c>
      <c r="L3830">
        <v>-102.16</v>
      </c>
      <c r="M3830">
        <v>76</v>
      </c>
      <c r="N3830">
        <v>18.21</v>
      </c>
      <c r="O3830">
        <v>70</v>
      </c>
      <c r="P3830">
        <v>-13.54</v>
      </c>
      <c r="Q3830">
        <v>83</v>
      </c>
      <c r="R3830">
        <v>-2.06</v>
      </c>
      <c r="S3830">
        <v>75</v>
      </c>
      <c r="T3830">
        <v>18.64</v>
      </c>
      <c r="U3830">
        <v>74</v>
      </c>
      <c r="V3830">
        <v>-0.72</v>
      </c>
      <c r="W3830">
        <v>65</v>
      </c>
      <c r="X3830" t="s">
        <v>102</v>
      </c>
      <c r="Y3830" t="s">
        <v>95</v>
      </c>
      <c r="Z3830" t="s">
        <v>96</v>
      </c>
      <c r="AA3830" t="s">
        <v>265</v>
      </c>
      <c r="AB3830" t="s">
        <v>4452</v>
      </c>
      <c r="AC3830">
        <v>40</v>
      </c>
      <c r="AD3830">
        <v>30</v>
      </c>
      <c r="AE3830">
        <v>95</v>
      </c>
      <c r="AF3830">
        <v>111.71</v>
      </c>
      <c r="AG3830">
        <v>3.24</v>
      </c>
      <c r="AH3830">
        <v>3.4</v>
      </c>
      <c r="AI3830">
        <v>-0.02</v>
      </c>
      <c r="AJ3830">
        <v>-0.01</v>
      </c>
      <c r="AK3830">
        <v>76</v>
      </c>
      <c r="AL3830">
        <v>47</v>
      </c>
      <c r="AM3830">
        <v>33</v>
      </c>
      <c r="AN3830">
        <v>6.14</v>
      </c>
      <c r="AO3830">
        <v>-2</v>
      </c>
      <c r="AP3830">
        <v>44</v>
      </c>
      <c r="AQ3830">
        <v>0</v>
      </c>
      <c r="AR3830">
        <v>5.42</v>
      </c>
      <c r="AS3830">
        <v>63</v>
      </c>
      <c r="AT3830">
        <v>2.84</v>
      </c>
      <c r="AU3830">
        <v>77</v>
      </c>
      <c r="AV3830">
        <v>-2.1</v>
      </c>
      <c r="AW3830">
        <v>73</v>
      </c>
      <c r="AX3830">
        <v>-0.25</v>
      </c>
      <c r="AY3830">
        <v>71</v>
      </c>
      <c r="AZ3830">
        <v>7.3</v>
      </c>
      <c r="BA3830">
        <v>52</v>
      </c>
      <c r="BB3830">
        <v>6.02</v>
      </c>
      <c r="BC3830">
        <v>58</v>
      </c>
      <c r="BD3830">
        <v>0.02</v>
      </c>
      <c r="BE3830">
        <v>0.06</v>
      </c>
      <c r="BF3830">
        <v>-0.1</v>
      </c>
      <c r="BG3830">
        <v>85</v>
      </c>
      <c r="BH3830">
        <v>0.09</v>
      </c>
      <c r="BI3830">
        <v>12.74</v>
      </c>
      <c r="BJ3830">
        <v>3</v>
      </c>
      <c r="BK3830">
        <v>3</v>
      </c>
      <c r="BL3830">
        <v>-0.57999999999999996</v>
      </c>
      <c r="BM3830">
        <v>-1.89</v>
      </c>
      <c r="BN3830">
        <v>-0.89</v>
      </c>
      <c r="BO3830">
        <v>0.2</v>
      </c>
      <c r="BP3830">
        <v>-0.83</v>
      </c>
      <c r="BQ3830">
        <v>-1.94</v>
      </c>
      <c r="BR3830">
        <v>-1.25</v>
      </c>
      <c r="BS3830">
        <v>-0.57999999999999996</v>
      </c>
      <c r="BT3830">
        <v>-0.14000000000000001</v>
      </c>
      <c r="BU3830">
        <v>0.83</v>
      </c>
      <c r="BV3830">
        <v>1</v>
      </c>
      <c r="BW3830">
        <v>0.14000000000000001</v>
      </c>
      <c r="BX3830">
        <v>0.34</v>
      </c>
      <c r="BY3830">
        <v>-0.02</v>
      </c>
      <c r="BZ3830">
        <v>0.75</v>
      </c>
      <c r="CA3830">
        <v>0.54</v>
      </c>
      <c r="CB3830">
        <v>1.1100000000000001</v>
      </c>
      <c r="CC3830">
        <v>-0.2</v>
      </c>
      <c r="CD3830">
        <v>-0.57999999999999996</v>
      </c>
      <c r="CE3830">
        <v>0.55000000000000004</v>
      </c>
      <c r="CF3830">
        <v>-2.0099999999999998</v>
      </c>
      <c r="CG3830">
        <v>0</v>
      </c>
      <c r="CH3830">
        <v>1.03</v>
      </c>
      <c r="CI3830">
        <v>0</v>
      </c>
      <c r="CJ3830">
        <v>-5.3</v>
      </c>
      <c r="CK3830">
        <v>85</v>
      </c>
      <c r="CL3830">
        <v>-0.64</v>
      </c>
      <c r="CM3830">
        <v>82</v>
      </c>
      <c r="CN3830">
        <v>-0.13</v>
      </c>
      <c r="CO3830">
        <v>80</v>
      </c>
      <c r="CP3830">
        <v>-7.6</v>
      </c>
      <c r="CQ3830">
        <v>81</v>
      </c>
      <c r="CR3830">
        <v>0</v>
      </c>
      <c r="CS3830">
        <v>0</v>
      </c>
      <c r="CT3830">
        <v>-11.4</v>
      </c>
      <c r="CU3830">
        <v>74</v>
      </c>
      <c r="CV3830">
        <v>0.13</v>
      </c>
      <c r="CW3830">
        <v>42</v>
      </c>
      <c r="CX3830" t="s">
        <v>4453</v>
      </c>
    </row>
    <row r="3831" spans="1:102" x14ac:dyDescent="0.3">
      <c r="A3831" t="str">
        <f>HYPERLINK("https://webapp.icbf.com/v2/app/bull-search/view/469251350","DZD")</f>
        <v>DZD</v>
      </c>
      <c r="B3831" t="s">
        <v>2641</v>
      </c>
      <c r="C3831" t="s">
        <v>2642</v>
      </c>
      <c r="D3831" s="1">
        <v>38498</v>
      </c>
      <c r="E3831" t="s">
        <v>92</v>
      </c>
      <c r="F3831">
        <v>100</v>
      </c>
      <c r="G3831" t="s">
        <v>93</v>
      </c>
      <c r="H3831">
        <v>-65.08</v>
      </c>
      <c r="I3831">
        <v>88</v>
      </c>
      <c r="J3831">
        <v>72.510000000000005</v>
      </c>
      <c r="K3831">
        <v>97</v>
      </c>
      <c r="L3831">
        <v>-106.91</v>
      </c>
      <c r="M3831">
        <v>83</v>
      </c>
      <c r="N3831">
        <v>-20.079999999999998</v>
      </c>
      <c r="O3831">
        <v>83</v>
      </c>
      <c r="P3831">
        <v>-6.92</v>
      </c>
      <c r="Q3831">
        <v>89</v>
      </c>
      <c r="R3831">
        <v>0.14000000000000001</v>
      </c>
      <c r="S3831">
        <v>82</v>
      </c>
      <c r="T3831">
        <v>7.61</v>
      </c>
      <c r="U3831">
        <v>85</v>
      </c>
      <c r="V3831">
        <v>-11.43</v>
      </c>
      <c r="W3831">
        <v>79</v>
      </c>
      <c r="X3831" t="s">
        <v>94</v>
      </c>
      <c r="Y3831" t="s">
        <v>2643</v>
      </c>
      <c r="Z3831" t="s">
        <v>96</v>
      </c>
      <c r="AA3831" t="s">
        <v>283</v>
      </c>
      <c r="AB3831" t="s">
        <v>2644</v>
      </c>
      <c r="AC3831">
        <v>76</v>
      </c>
      <c r="AD3831">
        <v>55</v>
      </c>
      <c r="AE3831">
        <v>97</v>
      </c>
      <c r="AF3831">
        <v>420.68</v>
      </c>
      <c r="AG3831">
        <v>7.41</v>
      </c>
      <c r="AH3831">
        <v>16.149999999999999</v>
      </c>
      <c r="AI3831">
        <v>-0.15</v>
      </c>
      <c r="AJ3831">
        <v>0.03</v>
      </c>
      <c r="AK3831">
        <v>83</v>
      </c>
      <c r="AL3831">
        <v>92</v>
      </c>
      <c r="AM3831">
        <v>63</v>
      </c>
      <c r="AN3831">
        <v>6.31</v>
      </c>
      <c r="AO3831">
        <v>-2.21</v>
      </c>
      <c r="AP3831">
        <v>111</v>
      </c>
      <c r="AQ3831">
        <v>2</v>
      </c>
      <c r="AR3831">
        <v>11.29</v>
      </c>
      <c r="AS3831">
        <v>69</v>
      </c>
      <c r="AT3831">
        <v>4.91</v>
      </c>
      <c r="AU3831">
        <v>85</v>
      </c>
      <c r="AV3831">
        <v>-1.36</v>
      </c>
      <c r="AW3831">
        <v>93</v>
      </c>
      <c r="AX3831">
        <v>-0.63</v>
      </c>
      <c r="AY3831">
        <v>78</v>
      </c>
      <c r="AZ3831">
        <v>6.4</v>
      </c>
      <c r="BA3831">
        <v>65</v>
      </c>
      <c r="BB3831">
        <v>5.33</v>
      </c>
      <c r="BC3831">
        <v>67</v>
      </c>
      <c r="BD3831">
        <v>-0.02</v>
      </c>
      <c r="BE3831">
        <v>0</v>
      </c>
      <c r="BF3831">
        <v>0.03</v>
      </c>
      <c r="BG3831">
        <v>88</v>
      </c>
      <c r="BH3831">
        <v>-0.28000000000000003</v>
      </c>
      <c r="BI3831">
        <v>4.4800000000000004</v>
      </c>
      <c r="BJ3831">
        <v>6</v>
      </c>
      <c r="BK3831">
        <v>6</v>
      </c>
      <c r="BL3831">
        <v>1.44</v>
      </c>
      <c r="BM3831">
        <v>-1</v>
      </c>
      <c r="BN3831">
        <v>0.1</v>
      </c>
      <c r="BO3831">
        <v>1.1000000000000001</v>
      </c>
      <c r="BP3831">
        <v>3.85</v>
      </c>
      <c r="BQ3831">
        <v>0.31</v>
      </c>
      <c r="BR3831">
        <v>0.3</v>
      </c>
      <c r="BS3831">
        <v>-1.51</v>
      </c>
      <c r="BT3831">
        <v>0.16</v>
      </c>
      <c r="BU3831">
        <v>-1.32</v>
      </c>
      <c r="BV3831">
        <v>0.06</v>
      </c>
      <c r="BW3831">
        <v>1.1499999999999999</v>
      </c>
      <c r="BX3831">
        <v>-0.92</v>
      </c>
      <c r="BY3831">
        <v>0.82</v>
      </c>
      <c r="BZ3831">
        <v>2.39</v>
      </c>
      <c r="CA3831">
        <v>-0.55000000000000004</v>
      </c>
      <c r="CB3831">
        <v>-0.28000000000000003</v>
      </c>
      <c r="CC3831">
        <v>-1.04</v>
      </c>
      <c r="CD3831">
        <v>-1.54</v>
      </c>
      <c r="CE3831">
        <v>0.96</v>
      </c>
      <c r="CF3831">
        <v>1.1000000000000001</v>
      </c>
      <c r="CG3831">
        <v>0</v>
      </c>
      <c r="CH3831">
        <v>0.09</v>
      </c>
      <c r="CI3831">
        <v>0</v>
      </c>
      <c r="CJ3831">
        <v>-0.9</v>
      </c>
      <c r="CK3831">
        <v>90</v>
      </c>
      <c r="CL3831">
        <v>-1</v>
      </c>
      <c r="CM3831">
        <v>88</v>
      </c>
      <c r="CN3831">
        <v>-0.43</v>
      </c>
      <c r="CO3831">
        <v>87</v>
      </c>
      <c r="CP3831">
        <v>-2.6</v>
      </c>
      <c r="CQ3831">
        <v>89</v>
      </c>
      <c r="CR3831">
        <v>0</v>
      </c>
      <c r="CS3831">
        <v>0</v>
      </c>
      <c r="CT3831">
        <v>3.5</v>
      </c>
      <c r="CU3831">
        <v>85</v>
      </c>
      <c r="CV3831">
        <v>0.21</v>
      </c>
      <c r="CW3831">
        <v>43</v>
      </c>
      <c r="CX3831" t="s">
        <v>643</v>
      </c>
    </row>
    <row r="3832" spans="1:102" x14ac:dyDescent="0.3">
      <c r="A3832" t="str">
        <f>HYPERLINK("https://webapp.icbf.com/v2/app/bull-search/view/910798944","S1406")</f>
        <v>S1406</v>
      </c>
      <c r="B3832" t="s">
        <v>5590</v>
      </c>
      <c r="C3832" t="s">
        <v>5591</v>
      </c>
      <c r="D3832" s="1">
        <v>40163</v>
      </c>
      <c r="E3832" t="s">
        <v>92</v>
      </c>
      <c r="F3832">
        <v>100</v>
      </c>
      <c r="G3832" t="s">
        <v>93</v>
      </c>
      <c r="H3832">
        <v>-65.099999999999994</v>
      </c>
      <c r="I3832">
        <v>88</v>
      </c>
      <c r="J3832">
        <v>-1.08</v>
      </c>
      <c r="K3832">
        <v>96</v>
      </c>
      <c r="L3832">
        <v>-84.52</v>
      </c>
      <c r="M3832">
        <v>90</v>
      </c>
      <c r="N3832">
        <v>32.14</v>
      </c>
      <c r="O3832">
        <v>83</v>
      </c>
      <c r="P3832">
        <v>-2.78</v>
      </c>
      <c r="Q3832">
        <v>87</v>
      </c>
      <c r="R3832">
        <v>11.53</v>
      </c>
      <c r="S3832">
        <v>79</v>
      </c>
      <c r="T3832">
        <v>-26.28</v>
      </c>
      <c r="U3832">
        <v>68</v>
      </c>
      <c r="V3832">
        <v>5.89</v>
      </c>
      <c r="W3832">
        <v>65</v>
      </c>
      <c r="X3832" t="s">
        <v>276</v>
      </c>
      <c r="Y3832" t="s">
        <v>342</v>
      </c>
      <c r="Z3832" t="s">
        <v>96</v>
      </c>
      <c r="AA3832" t="s">
        <v>5592</v>
      </c>
      <c r="AB3832" t="s">
        <v>5593</v>
      </c>
      <c r="AC3832">
        <v>107</v>
      </c>
      <c r="AD3832">
        <v>41</v>
      </c>
      <c r="AE3832">
        <v>96</v>
      </c>
      <c r="AF3832">
        <v>464.72</v>
      </c>
      <c r="AG3832">
        <v>-0.06</v>
      </c>
      <c r="AH3832">
        <v>6.95</v>
      </c>
      <c r="AI3832">
        <v>-0.28999999999999998</v>
      </c>
      <c r="AJ3832">
        <v>-0.14000000000000001</v>
      </c>
      <c r="AK3832">
        <v>90</v>
      </c>
      <c r="AL3832">
        <v>55</v>
      </c>
      <c r="AM3832">
        <v>28</v>
      </c>
      <c r="AN3832">
        <v>7.76</v>
      </c>
      <c r="AO3832">
        <v>1.06</v>
      </c>
      <c r="AP3832">
        <v>153</v>
      </c>
      <c r="AQ3832">
        <v>0</v>
      </c>
      <c r="AR3832">
        <v>5.62</v>
      </c>
      <c r="AS3832">
        <v>81</v>
      </c>
      <c r="AT3832">
        <v>3.25</v>
      </c>
      <c r="AU3832">
        <v>93</v>
      </c>
      <c r="AV3832">
        <v>-2.78</v>
      </c>
      <c r="AW3832">
        <v>88</v>
      </c>
      <c r="AX3832">
        <v>-0.84</v>
      </c>
      <c r="AY3832">
        <v>82</v>
      </c>
      <c r="AZ3832">
        <v>5.2</v>
      </c>
      <c r="BA3832">
        <v>64</v>
      </c>
      <c r="BB3832">
        <v>4.5199999999999996</v>
      </c>
      <c r="BC3832">
        <v>53</v>
      </c>
      <c r="BD3832">
        <v>-0.06</v>
      </c>
      <c r="BE3832">
        <v>-0.05</v>
      </c>
      <c r="BF3832">
        <v>-7.0000000000000007E-2</v>
      </c>
      <c r="BG3832">
        <v>94</v>
      </c>
      <c r="BH3832">
        <v>0.25</v>
      </c>
      <c r="BI3832">
        <v>9.92</v>
      </c>
      <c r="BJ3832">
        <v>65</v>
      </c>
      <c r="BK3832">
        <v>31</v>
      </c>
      <c r="BL3832">
        <v>1.81</v>
      </c>
      <c r="BM3832">
        <v>0.13</v>
      </c>
      <c r="BN3832">
        <v>0.23</v>
      </c>
      <c r="BO3832">
        <v>0.93</v>
      </c>
      <c r="BP3832">
        <v>1.28</v>
      </c>
      <c r="BQ3832">
        <v>1.94</v>
      </c>
      <c r="BR3832">
        <v>-2.91</v>
      </c>
      <c r="BS3832">
        <v>3.96</v>
      </c>
      <c r="BT3832">
        <v>3.12</v>
      </c>
      <c r="BU3832">
        <v>4.66</v>
      </c>
      <c r="BV3832">
        <v>3.94</v>
      </c>
      <c r="BW3832">
        <v>3.37</v>
      </c>
      <c r="BX3832">
        <v>3.28</v>
      </c>
      <c r="BY3832">
        <v>2.52</v>
      </c>
      <c r="BZ3832">
        <v>3.76</v>
      </c>
      <c r="CA3832">
        <v>3.86</v>
      </c>
      <c r="CB3832">
        <v>3.09</v>
      </c>
      <c r="CC3832">
        <v>3.16</v>
      </c>
      <c r="CD3832">
        <v>0.09</v>
      </c>
      <c r="CE3832">
        <v>0.74</v>
      </c>
      <c r="CF3832">
        <v>1.87</v>
      </c>
      <c r="CG3832">
        <v>0</v>
      </c>
      <c r="CH3832">
        <v>2.4700000000000002</v>
      </c>
      <c r="CI3832">
        <v>0</v>
      </c>
      <c r="CJ3832">
        <v>0.8</v>
      </c>
      <c r="CK3832">
        <v>89</v>
      </c>
      <c r="CL3832">
        <v>-1.31</v>
      </c>
      <c r="CM3832">
        <v>87</v>
      </c>
      <c r="CN3832">
        <v>-0.61</v>
      </c>
      <c r="CO3832">
        <v>85</v>
      </c>
      <c r="CP3832">
        <v>16.600000000000001</v>
      </c>
      <c r="CQ3832">
        <v>71</v>
      </c>
      <c r="CR3832">
        <v>0</v>
      </c>
      <c r="CS3832">
        <v>0</v>
      </c>
      <c r="CT3832">
        <v>49.3</v>
      </c>
      <c r="CU3832">
        <v>68</v>
      </c>
      <c r="CV3832">
        <v>0.24</v>
      </c>
      <c r="CW3832">
        <v>43</v>
      </c>
      <c r="CX3832" t="s">
        <v>350</v>
      </c>
    </row>
    <row r="3833" spans="1:102" x14ac:dyDescent="0.3">
      <c r="A3833" t="str">
        <f>HYPERLINK("https://webapp.icbf.com/v2/app/bull-search/view/108379593","S263")</f>
        <v>S263</v>
      </c>
      <c r="B3833" t="s">
        <v>6722</v>
      </c>
      <c r="C3833" t="s">
        <v>6723</v>
      </c>
      <c r="D3833" s="1">
        <v>33539</v>
      </c>
      <c r="E3833" t="s">
        <v>140</v>
      </c>
      <c r="F3833">
        <v>0</v>
      </c>
      <c r="G3833" t="s">
        <v>109</v>
      </c>
      <c r="H3833">
        <v>-65.23</v>
      </c>
      <c r="I3833">
        <v>56</v>
      </c>
      <c r="J3833">
        <v>-40.44</v>
      </c>
      <c r="K3833">
        <v>76</v>
      </c>
      <c r="L3833">
        <v>4.97</v>
      </c>
      <c r="M3833">
        <v>39</v>
      </c>
      <c r="N3833">
        <v>-39.630000000000003</v>
      </c>
      <c r="O3833">
        <v>48</v>
      </c>
      <c r="P3833">
        <v>6.07</v>
      </c>
      <c r="Q3833">
        <v>62</v>
      </c>
      <c r="R3833">
        <v>-2.86</v>
      </c>
      <c r="S3833">
        <v>41</v>
      </c>
      <c r="T3833">
        <v>17.3</v>
      </c>
      <c r="U3833">
        <v>65</v>
      </c>
      <c r="V3833">
        <v>-10.64</v>
      </c>
      <c r="W3833">
        <v>26</v>
      </c>
      <c r="X3833" t="s">
        <v>110</v>
      </c>
      <c r="Y3833" t="s">
        <v>95</v>
      </c>
      <c r="Z3833">
        <v>0</v>
      </c>
      <c r="AA3833" t="s">
        <v>2464</v>
      </c>
      <c r="AB3833" t="s">
        <v>6724</v>
      </c>
      <c r="AC3833">
        <v>0</v>
      </c>
      <c r="AD3833">
        <v>0</v>
      </c>
      <c r="AE3833">
        <v>76</v>
      </c>
      <c r="AF3833">
        <v>-130.5</v>
      </c>
      <c r="AG3833">
        <v>-5.33</v>
      </c>
      <c r="AH3833">
        <v>-6.99</v>
      </c>
      <c r="AI3833">
        <v>0</v>
      </c>
      <c r="AJ3833">
        <v>-0.04</v>
      </c>
      <c r="AK3833">
        <v>39</v>
      </c>
      <c r="AL3833">
        <v>13</v>
      </c>
      <c r="AM3833">
        <v>8</v>
      </c>
      <c r="AN3833">
        <v>0</v>
      </c>
      <c r="AO3833">
        <v>0.4</v>
      </c>
      <c r="AP3833">
        <v>3</v>
      </c>
      <c r="AQ3833">
        <v>0</v>
      </c>
      <c r="AR3833">
        <v>8.69</v>
      </c>
      <c r="AS3833">
        <v>25</v>
      </c>
      <c r="AT3833">
        <v>4.38</v>
      </c>
      <c r="AU3833">
        <v>36</v>
      </c>
      <c r="AV3833">
        <v>2.5</v>
      </c>
      <c r="AW3833">
        <v>67</v>
      </c>
      <c r="AX3833">
        <v>0.67</v>
      </c>
      <c r="AY3833">
        <v>45</v>
      </c>
      <c r="AZ3833">
        <v>7.6</v>
      </c>
      <c r="BA3833">
        <v>23</v>
      </c>
      <c r="BB3833">
        <v>5.16</v>
      </c>
      <c r="BC3833">
        <v>32</v>
      </c>
      <c r="BD3833">
        <v>0.01</v>
      </c>
      <c r="BE3833">
        <v>0.01</v>
      </c>
      <c r="BF3833">
        <v>0.03</v>
      </c>
      <c r="BG3833">
        <v>48</v>
      </c>
      <c r="BH3833">
        <v>-0.14000000000000001</v>
      </c>
      <c r="BI3833">
        <v>18.12</v>
      </c>
      <c r="BJ3833">
        <v>0</v>
      </c>
      <c r="BK3833">
        <v>0</v>
      </c>
      <c r="BL3833">
        <v>-0.97</v>
      </c>
      <c r="BM3833">
        <v>3.41</v>
      </c>
      <c r="BN3833">
        <v>-1.79</v>
      </c>
      <c r="BO3833">
        <v>-3.1</v>
      </c>
      <c r="BP3833">
        <v>4.1500000000000004</v>
      </c>
      <c r="BQ3833">
        <v>-1.96</v>
      </c>
      <c r="BR3833">
        <v>-2.54</v>
      </c>
      <c r="BS3833">
        <v>-0.28999999999999998</v>
      </c>
      <c r="BT3833">
        <v>2.35</v>
      </c>
      <c r="BU3833">
        <v>-3.44</v>
      </c>
      <c r="BV3833">
        <v>-3.82</v>
      </c>
      <c r="BW3833">
        <v>-2.94</v>
      </c>
      <c r="BX3833">
        <v>-2.99</v>
      </c>
      <c r="BY3833">
        <v>-2.04</v>
      </c>
      <c r="BZ3833">
        <v>1.1599999999999999</v>
      </c>
      <c r="CA3833">
        <v>-2.44</v>
      </c>
      <c r="CB3833">
        <v>-3.1</v>
      </c>
      <c r="CC3833">
        <v>-0.45</v>
      </c>
      <c r="CD3833">
        <v>3.7</v>
      </c>
      <c r="CE3833">
        <v>-2.99</v>
      </c>
      <c r="CF3833">
        <v>-1.27</v>
      </c>
      <c r="CG3833">
        <v>0</v>
      </c>
      <c r="CH3833">
        <v>-2.5299999999999998</v>
      </c>
      <c r="CI3833">
        <v>0</v>
      </c>
      <c r="CJ3833">
        <v>0.7</v>
      </c>
      <c r="CK3833">
        <v>64</v>
      </c>
      <c r="CL3833">
        <v>0.38</v>
      </c>
      <c r="CM3833">
        <v>59</v>
      </c>
      <c r="CN3833">
        <v>-0.15</v>
      </c>
      <c r="CO3833">
        <v>57</v>
      </c>
      <c r="CP3833">
        <v>-3.8</v>
      </c>
      <c r="CQ3833">
        <v>61</v>
      </c>
      <c r="CR3833">
        <v>0</v>
      </c>
      <c r="CS3833">
        <v>0</v>
      </c>
      <c r="CT3833">
        <v>-9.6</v>
      </c>
      <c r="CU3833">
        <v>65</v>
      </c>
      <c r="CV3833">
        <v>-0.21</v>
      </c>
      <c r="CW3833">
        <v>17</v>
      </c>
      <c r="CX3833" t="s">
        <v>698</v>
      </c>
    </row>
    <row r="3834" spans="1:102" x14ac:dyDescent="0.3">
      <c r="A3834" t="str">
        <f>HYPERLINK("https://webapp.icbf.com/v2/app/bull-search/view/108375222","MWY")</f>
        <v>MWY</v>
      </c>
      <c r="B3834" t="s">
        <v>4970</v>
      </c>
      <c r="C3834" t="s">
        <v>4971</v>
      </c>
      <c r="D3834" s="1">
        <v>35035</v>
      </c>
      <c r="E3834" t="s">
        <v>895</v>
      </c>
      <c r="F3834">
        <v>0</v>
      </c>
      <c r="G3834" t="s">
        <v>93</v>
      </c>
      <c r="H3834">
        <v>-65.239999999999995</v>
      </c>
      <c r="I3834">
        <v>44</v>
      </c>
      <c r="J3834">
        <v>-34.6</v>
      </c>
      <c r="K3834">
        <v>70</v>
      </c>
      <c r="L3834">
        <v>-46.22</v>
      </c>
      <c r="M3834">
        <v>25</v>
      </c>
      <c r="N3834">
        <v>6.31</v>
      </c>
      <c r="O3834">
        <v>32</v>
      </c>
      <c r="P3834">
        <v>-18.3</v>
      </c>
      <c r="Q3834">
        <v>52</v>
      </c>
      <c r="R3834">
        <v>9.68</v>
      </c>
      <c r="S3834">
        <v>29</v>
      </c>
      <c r="T3834">
        <v>24.63</v>
      </c>
      <c r="U3834">
        <v>35</v>
      </c>
      <c r="V3834">
        <v>-6.74</v>
      </c>
      <c r="W3834">
        <v>30</v>
      </c>
      <c r="X3834" t="s">
        <v>747</v>
      </c>
      <c r="Y3834" t="s">
        <v>95</v>
      </c>
      <c r="Z3834">
        <v>0</v>
      </c>
      <c r="AA3834" t="s">
        <v>4972</v>
      </c>
      <c r="AB3834" t="s">
        <v>4973</v>
      </c>
      <c r="AC3834">
        <v>12</v>
      </c>
      <c r="AD3834">
        <v>10</v>
      </c>
      <c r="AE3834">
        <v>70</v>
      </c>
      <c r="AF3834">
        <v>-180.34</v>
      </c>
      <c r="AG3834">
        <v>-6.74</v>
      </c>
      <c r="AH3834">
        <v>-6.26</v>
      </c>
      <c r="AI3834">
        <v>0.01</v>
      </c>
      <c r="AJ3834">
        <v>0</v>
      </c>
      <c r="AK3834">
        <v>25</v>
      </c>
      <c r="AL3834">
        <v>12</v>
      </c>
      <c r="AM3834">
        <v>10</v>
      </c>
      <c r="AN3834">
        <v>3.76</v>
      </c>
      <c r="AO3834">
        <v>0.09</v>
      </c>
      <c r="AP3834">
        <v>14</v>
      </c>
      <c r="AQ3834">
        <v>0</v>
      </c>
      <c r="AR3834">
        <v>6.13</v>
      </c>
      <c r="AS3834">
        <v>20</v>
      </c>
      <c r="AT3834">
        <v>2.93</v>
      </c>
      <c r="AU3834">
        <v>34</v>
      </c>
      <c r="AV3834">
        <v>1.21</v>
      </c>
      <c r="AW3834">
        <v>39</v>
      </c>
      <c r="AX3834">
        <v>-0.91</v>
      </c>
      <c r="AY3834">
        <v>38</v>
      </c>
      <c r="AZ3834">
        <v>4.7300000000000004</v>
      </c>
      <c r="BA3834">
        <v>13</v>
      </c>
      <c r="BB3834">
        <v>3.64</v>
      </c>
      <c r="BC3834">
        <v>17</v>
      </c>
      <c r="BD3834">
        <v>-0.04</v>
      </c>
      <c r="BE3834">
        <v>-0.04</v>
      </c>
      <c r="BF3834">
        <v>-0.08</v>
      </c>
      <c r="BG3834">
        <v>34</v>
      </c>
      <c r="BH3834">
        <v>7.0000000000000007E-2</v>
      </c>
      <c r="BI3834">
        <v>29.85</v>
      </c>
      <c r="BJ3834">
        <v>0</v>
      </c>
      <c r="BK3834">
        <v>0</v>
      </c>
      <c r="BL3834">
        <v>-0.93</v>
      </c>
      <c r="BM3834">
        <v>0.63</v>
      </c>
      <c r="BN3834">
        <v>-0.75</v>
      </c>
      <c r="BO3834">
        <v>-0.97</v>
      </c>
      <c r="BP3834">
        <v>0.45</v>
      </c>
      <c r="BQ3834">
        <v>-0.27</v>
      </c>
      <c r="BR3834">
        <v>0.39</v>
      </c>
      <c r="BS3834">
        <v>-0.36</v>
      </c>
      <c r="BT3834">
        <v>-0.23</v>
      </c>
      <c r="BU3834">
        <v>-0.69</v>
      </c>
      <c r="BV3834">
        <v>-1.26</v>
      </c>
      <c r="BW3834">
        <v>-1.1000000000000001</v>
      </c>
      <c r="BX3834">
        <v>-0.48</v>
      </c>
      <c r="BY3834">
        <v>-0.66</v>
      </c>
      <c r="BZ3834">
        <v>-0.16</v>
      </c>
      <c r="CA3834">
        <v>-0.99</v>
      </c>
      <c r="CB3834">
        <v>-1.04</v>
      </c>
      <c r="CC3834">
        <v>-0.52</v>
      </c>
      <c r="CD3834">
        <v>0.8</v>
      </c>
      <c r="CE3834">
        <v>-1</v>
      </c>
      <c r="CF3834">
        <v>-1.05</v>
      </c>
      <c r="CG3834">
        <v>0</v>
      </c>
      <c r="CH3834">
        <v>-1.05</v>
      </c>
      <c r="CI3834">
        <v>0</v>
      </c>
      <c r="CJ3834">
        <v>-9.6</v>
      </c>
      <c r="CK3834">
        <v>56</v>
      </c>
      <c r="CL3834">
        <v>-0.34</v>
      </c>
      <c r="CM3834">
        <v>50</v>
      </c>
      <c r="CN3834">
        <v>-0.01</v>
      </c>
      <c r="CO3834">
        <v>46</v>
      </c>
      <c r="CP3834">
        <v>-11.1</v>
      </c>
      <c r="CQ3834">
        <v>42</v>
      </c>
      <c r="CR3834">
        <v>0</v>
      </c>
      <c r="CS3834">
        <v>0</v>
      </c>
      <c r="CT3834">
        <v>-19.5</v>
      </c>
      <c r="CU3834">
        <v>35</v>
      </c>
      <c r="CV3834">
        <v>-0.16</v>
      </c>
      <c r="CW3834">
        <v>14</v>
      </c>
      <c r="CX3834" t="s">
        <v>896</v>
      </c>
    </row>
    <row r="3835" spans="1:102" x14ac:dyDescent="0.3">
      <c r="A3835" t="str">
        <f>HYPERLINK("https://webapp.icbf.com/v2/app/bull-search/view/229602218","MKY")</f>
        <v>MKY</v>
      </c>
      <c r="B3835" t="s">
        <v>7100</v>
      </c>
      <c r="C3835" t="s">
        <v>7101</v>
      </c>
      <c r="D3835" s="1">
        <v>37230</v>
      </c>
      <c r="E3835" t="s">
        <v>92</v>
      </c>
      <c r="F3835">
        <v>100</v>
      </c>
      <c r="G3835" t="s">
        <v>93</v>
      </c>
      <c r="H3835">
        <v>-65.3</v>
      </c>
      <c r="I3835">
        <v>88</v>
      </c>
      <c r="J3835">
        <v>-34.78</v>
      </c>
      <c r="K3835">
        <v>96</v>
      </c>
      <c r="L3835">
        <v>-45.24</v>
      </c>
      <c r="M3835">
        <v>86</v>
      </c>
      <c r="N3835">
        <v>1.77</v>
      </c>
      <c r="O3835">
        <v>81</v>
      </c>
      <c r="P3835">
        <v>-6.28</v>
      </c>
      <c r="Q3835">
        <v>87</v>
      </c>
      <c r="R3835">
        <v>2.57</v>
      </c>
      <c r="S3835">
        <v>81</v>
      </c>
      <c r="T3835">
        <v>24.56</v>
      </c>
      <c r="U3835">
        <v>80</v>
      </c>
      <c r="V3835">
        <v>-7.9</v>
      </c>
      <c r="W3835">
        <v>71</v>
      </c>
      <c r="X3835" t="s">
        <v>276</v>
      </c>
      <c r="Y3835" t="s">
        <v>171</v>
      </c>
      <c r="Z3835" t="s">
        <v>96</v>
      </c>
      <c r="AA3835" t="s">
        <v>714</v>
      </c>
      <c r="AB3835" t="s">
        <v>4103</v>
      </c>
      <c r="AC3835">
        <v>53</v>
      </c>
      <c r="AD3835">
        <v>30</v>
      </c>
      <c r="AE3835">
        <v>96</v>
      </c>
      <c r="AF3835">
        <v>-205.87</v>
      </c>
      <c r="AG3835">
        <v>-1.77</v>
      </c>
      <c r="AH3835">
        <v>-8.44</v>
      </c>
      <c r="AI3835">
        <v>0.11</v>
      </c>
      <c r="AJ3835">
        <v>-0.03</v>
      </c>
      <c r="AK3835">
        <v>86</v>
      </c>
      <c r="AL3835">
        <v>56</v>
      </c>
      <c r="AM3835">
        <v>29</v>
      </c>
      <c r="AN3835">
        <v>3.07</v>
      </c>
      <c r="AO3835">
        <v>-0.53</v>
      </c>
      <c r="AP3835">
        <v>84</v>
      </c>
      <c r="AQ3835">
        <v>3</v>
      </c>
      <c r="AR3835">
        <v>10.28</v>
      </c>
      <c r="AS3835">
        <v>70</v>
      </c>
      <c r="AT3835">
        <v>3</v>
      </c>
      <c r="AU3835">
        <v>84</v>
      </c>
      <c r="AV3835">
        <v>-0.84</v>
      </c>
      <c r="AW3835">
        <v>88</v>
      </c>
      <c r="AX3835">
        <v>0.69</v>
      </c>
      <c r="AY3835">
        <v>74</v>
      </c>
      <c r="AZ3835">
        <v>5.55</v>
      </c>
      <c r="BA3835">
        <v>63</v>
      </c>
      <c r="BB3835">
        <v>4.63</v>
      </c>
      <c r="BC3835">
        <v>67</v>
      </c>
      <c r="BD3835">
        <v>-0.03</v>
      </c>
      <c r="BE3835">
        <v>-0.01</v>
      </c>
      <c r="BF3835">
        <v>0.01</v>
      </c>
      <c r="BG3835">
        <v>92</v>
      </c>
      <c r="BH3835">
        <v>-0.13</v>
      </c>
      <c r="BI3835">
        <v>10.44</v>
      </c>
      <c r="BJ3835">
        <v>13</v>
      </c>
      <c r="BK3835">
        <v>6</v>
      </c>
      <c r="BL3835">
        <v>-0.4</v>
      </c>
      <c r="BM3835">
        <v>-2.1800000000000002</v>
      </c>
      <c r="BN3835">
        <v>-0.97</v>
      </c>
      <c r="BO3835">
        <v>0.41</v>
      </c>
      <c r="BP3835">
        <v>-1.27</v>
      </c>
      <c r="BQ3835">
        <v>-1.03</v>
      </c>
      <c r="BR3835">
        <v>2.13</v>
      </c>
      <c r="BS3835">
        <v>-0.24</v>
      </c>
      <c r="BT3835">
        <v>-3.03</v>
      </c>
      <c r="BU3835">
        <v>0.74</v>
      </c>
      <c r="BV3835">
        <v>0.89</v>
      </c>
      <c r="BW3835">
        <v>1.1000000000000001</v>
      </c>
      <c r="BX3835">
        <v>0.91</v>
      </c>
      <c r="BY3835">
        <v>-0.12</v>
      </c>
      <c r="BZ3835">
        <v>-1.87</v>
      </c>
      <c r="CA3835">
        <v>0.21</v>
      </c>
      <c r="CB3835">
        <v>0.59</v>
      </c>
      <c r="CC3835">
        <v>-0.87</v>
      </c>
      <c r="CD3835">
        <v>-1.08</v>
      </c>
      <c r="CE3835">
        <v>0.66</v>
      </c>
      <c r="CF3835">
        <v>-1.04</v>
      </c>
      <c r="CG3835">
        <v>0</v>
      </c>
      <c r="CH3835">
        <v>-0.27</v>
      </c>
      <c r="CI3835">
        <v>0</v>
      </c>
      <c r="CJ3835">
        <v>-0.2</v>
      </c>
      <c r="CK3835">
        <v>88</v>
      </c>
      <c r="CL3835">
        <v>-0.69</v>
      </c>
      <c r="CM3835">
        <v>86</v>
      </c>
      <c r="CN3835">
        <v>-0.22</v>
      </c>
      <c r="CO3835">
        <v>84</v>
      </c>
      <c r="CP3835">
        <v>-9.6999999999999993</v>
      </c>
      <c r="CQ3835">
        <v>86</v>
      </c>
      <c r="CR3835">
        <v>0</v>
      </c>
      <c r="CS3835">
        <v>0</v>
      </c>
      <c r="CT3835">
        <v>-19.399999999999999</v>
      </c>
      <c r="CU3835">
        <v>80</v>
      </c>
      <c r="CV3835">
        <v>0.17</v>
      </c>
      <c r="CW3835">
        <v>43</v>
      </c>
      <c r="CX3835" t="s">
        <v>188</v>
      </c>
    </row>
    <row r="3836" spans="1:102" x14ac:dyDescent="0.3">
      <c r="A3836" t="str">
        <f>HYPERLINK("https://webapp.icbf.com/v2/app/bull-search/view/74818419","BKV")</f>
        <v>BKV</v>
      </c>
      <c r="B3836" t="s">
        <v>1465</v>
      </c>
      <c r="C3836" t="s">
        <v>1466</v>
      </c>
      <c r="D3836" s="1">
        <v>32600</v>
      </c>
      <c r="E3836" t="s">
        <v>92</v>
      </c>
      <c r="F3836">
        <v>100</v>
      </c>
      <c r="G3836" t="s">
        <v>93</v>
      </c>
      <c r="H3836">
        <v>-65.489999999999995</v>
      </c>
      <c r="I3836">
        <v>85</v>
      </c>
      <c r="J3836">
        <v>20.62</v>
      </c>
      <c r="K3836">
        <v>97</v>
      </c>
      <c r="L3836">
        <v>-77.22</v>
      </c>
      <c r="M3836">
        <v>85</v>
      </c>
      <c r="N3836">
        <v>-12.76</v>
      </c>
      <c r="O3836">
        <v>73</v>
      </c>
      <c r="P3836">
        <v>-2.62</v>
      </c>
      <c r="Q3836">
        <v>87</v>
      </c>
      <c r="R3836">
        <v>-6.45</v>
      </c>
      <c r="S3836">
        <v>74</v>
      </c>
      <c r="T3836">
        <v>12.86</v>
      </c>
      <c r="U3836">
        <v>74</v>
      </c>
      <c r="V3836">
        <v>0.08</v>
      </c>
      <c r="W3836">
        <v>53</v>
      </c>
      <c r="X3836" t="s">
        <v>558</v>
      </c>
      <c r="Y3836" t="s">
        <v>95</v>
      </c>
      <c r="Z3836" t="s">
        <v>96</v>
      </c>
      <c r="AA3836" t="s">
        <v>166</v>
      </c>
      <c r="AB3836" t="s">
        <v>1467</v>
      </c>
      <c r="AC3836">
        <v>146</v>
      </c>
      <c r="AD3836">
        <v>68</v>
      </c>
      <c r="AE3836">
        <v>97</v>
      </c>
      <c r="AF3836">
        <v>47.08</v>
      </c>
      <c r="AG3836">
        <v>12.43</v>
      </c>
      <c r="AH3836">
        <v>-0.17</v>
      </c>
      <c r="AI3836">
        <v>0.17</v>
      </c>
      <c r="AJ3836">
        <v>-0.03</v>
      </c>
      <c r="AK3836">
        <v>85</v>
      </c>
      <c r="AL3836">
        <v>164</v>
      </c>
      <c r="AM3836">
        <v>72</v>
      </c>
      <c r="AN3836">
        <v>6.43</v>
      </c>
      <c r="AO3836">
        <v>0.3</v>
      </c>
      <c r="AP3836">
        <v>7</v>
      </c>
      <c r="AQ3836">
        <v>0</v>
      </c>
      <c r="AR3836">
        <v>9.0500000000000007</v>
      </c>
      <c r="AS3836">
        <v>44</v>
      </c>
      <c r="AT3836">
        <v>4.3</v>
      </c>
      <c r="AU3836">
        <v>72</v>
      </c>
      <c r="AV3836">
        <v>-0.34</v>
      </c>
      <c r="AW3836">
        <v>79</v>
      </c>
      <c r="AX3836">
        <v>-0.42</v>
      </c>
      <c r="AY3836">
        <v>84</v>
      </c>
      <c r="AZ3836">
        <v>6.34</v>
      </c>
      <c r="BA3836">
        <v>44</v>
      </c>
      <c r="BB3836">
        <v>5.18</v>
      </c>
      <c r="BC3836">
        <v>70</v>
      </c>
      <c r="BD3836">
        <v>0.02</v>
      </c>
      <c r="BE3836">
        <v>0.05</v>
      </c>
      <c r="BF3836">
        <v>0.02</v>
      </c>
      <c r="BG3836">
        <v>90</v>
      </c>
      <c r="BH3836">
        <v>0.11</v>
      </c>
      <c r="BI3836">
        <v>12.48</v>
      </c>
      <c r="BJ3836">
        <v>17</v>
      </c>
      <c r="BK3836">
        <v>11</v>
      </c>
      <c r="BL3836">
        <v>-0.28000000000000003</v>
      </c>
      <c r="BM3836">
        <v>-0.09</v>
      </c>
      <c r="BN3836">
        <v>-0.53</v>
      </c>
      <c r="BO3836">
        <v>-0.19</v>
      </c>
      <c r="BP3836">
        <v>2.0699999999999998</v>
      </c>
      <c r="BQ3836">
        <v>-1.24</v>
      </c>
      <c r="BR3836">
        <v>0.48</v>
      </c>
      <c r="BS3836">
        <v>-0.5</v>
      </c>
      <c r="BT3836">
        <v>-0.22</v>
      </c>
      <c r="BU3836">
        <v>-0.39</v>
      </c>
      <c r="BV3836">
        <v>-0.59</v>
      </c>
      <c r="BW3836">
        <v>-0.33</v>
      </c>
      <c r="BX3836">
        <v>-0.97</v>
      </c>
      <c r="BY3836">
        <v>-0.42</v>
      </c>
      <c r="BZ3836">
        <v>1.77</v>
      </c>
      <c r="CA3836">
        <v>-0.17</v>
      </c>
      <c r="CB3836">
        <v>-0.13</v>
      </c>
      <c r="CC3836">
        <v>-0.24</v>
      </c>
      <c r="CD3836">
        <v>-0.52</v>
      </c>
      <c r="CE3836">
        <v>0.25</v>
      </c>
      <c r="CF3836">
        <v>-0.46</v>
      </c>
      <c r="CG3836">
        <v>0</v>
      </c>
      <c r="CH3836">
        <v>0.23</v>
      </c>
      <c r="CI3836">
        <v>0</v>
      </c>
      <c r="CJ3836">
        <v>-2.1</v>
      </c>
      <c r="CK3836">
        <v>88</v>
      </c>
      <c r="CL3836">
        <v>-0.3</v>
      </c>
      <c r="CM3836">
        <v>86</v>
      </c>
      <c r="CN3836">
        <v>-0.33</v>
      </c>
      <c r="CO3836">
        <v>84</v>
      </c>
      <c r="CP3836">
        <v>-3.3</v>
      </c>
      <c r="CQ3836">
        <v>90</v>
      </c>
      <c r="CR3836">
        <v>0</v>
      </c>
      <c r="CS3836">
        <v>0</v>
      </c>
      <c r="CT3836">
        <v>-3.6</v>
      </c>
      <c r="CU3836">
        <v>74</v>
      </c>
      <c r="CV3836">
        <v>0.03</v>
      </c>
      <c r="CW3836">
        <v>25</v>
      </c>
      <c r="CX3836" t="s">
        <v>707</v>
      </c>
    </row>
    <row r="3837" spans="1:102" x14ac:dyDescent="0.3">
      <c r="A3837" t="str">
        <f>HYPERLINK("https://webapp.icbf.com/v2/app/bull-search/view/120438823","HIF")</f>
        <v>HIF</v>
      </c>
      <c r="B3837" t="s">
        <v>12642</v>
      </c>
      <c r="C3837" t="s">
        <v>1724</v>
      </c>
      <c r="D3837" s="1">
        <v>35635</v>
      </c>
      <c r="E3837" t="s">
        <v>92</v>
      </c>
      <c r="F3837">
        <v>94</v>
      </c>
      <c r="G3837" t="s">
        <v>109</v>
      </c>
      <c r="H3837">
        <v>-65.489999999999995</v>
      </c>
      <c r="I3837">
        <v>80</v>
      </c>
      <c r="J3837">
        <v>49.53</v>
      </c>
      <c r="K3837">
        <v>94</v>
      </c>
      <c r="L3837">
        <v>-85.3</v>
      </c>
      <c r="M3837">
        <v>83</v>
      </c>
      <c r="N3837">
        <v>-10.92</v>
      </c>
      <c r="O3837">
        <v>67</v>
      </c>
      <c r="P3837">
        <v>-0.74</v>
      </c>
      <c r="Q3837">
        <v>58</v>
      </c>
      <c r="R3837">
        <v>-13.51</v>
      </c>
      <c r="S3837">
        <v>80</v>
      </c>
      <c r="T3837">
        <v>0.95</v>
      </c>
      <c r="U3837">
        <v>57</v>
      </c>
      <c r="V3837">
        <v>-5.5</v>
      </c>
      <c r="W3837">
        <v>71</v>
      </c>
      <c r="X3837" t="s">
        <v>4976</v>
      </c>
      <c r="Y3837" t="s">
        <v>95</v>
      </c>
      <c r="Z3837" t="s">
        <v>96</v>
      </c>
      <c r="AA3837" t="s">
        <v>218</v>
      </c>
      <c r="AB3837" t="s">
        <v>12643</v>
      </c>
      <c r="AC3837">
        <v>0</v>
      </c>
      <c r="AD3837">
        <v>0</v>
      </c>
      <c r="AE3837">
        <v>94</v>
      </c>
      <c r="AF3837">
        <v>217.68</v>
      </c>
      <c r="AG3837">
        <v>5.3</v>
      </c>
      <c r="AH3837">
        <v>9.8800000000000008</v>
      </c>
      <c r="AI3837">
        <v>-0.05</v>
      </c>
      <c r="AJ3837">
        <v>0.04</v>
      </c>
      <c r="AK3837">
        <v>83</v>
      </c>
      <c r="AL3837">
        <v>0</v>
      </c>
      <c r="AM3837">
        <v>0</v>
      </c>
      <c r="AN3837">
        <v>4.09</v>
      </c>
      <c r="AO3837">
        <v>-2.72</v>
      </c>
      <c r="AP3837">
        <v>4</v>
      </c>
      <c r="AQ3837">
        <v>1</v>
      </c>
      <c r="AR3837">
        <v>9.31</v>
      </c>
      <c r="AS3837">
        <v>63</v>
      </c>
      <c r="AT3837">
        <v>4.57</v>
      </c>
      <c r="AU3837">
        <v>85</v>
      </c>
      <c r="AV3837">
        <v>-2.1</v>
      </c>
      <c r="AW3837">
        <v>62</v>
      </c>
      <c r="AX3837">
        <v>0.71</v>
      </c>
      <c r="AY3837">
        <v>59</v>
      </c>
      <c r="AZ3837">
        <v>7.06</v>
      </c>
      <c r="BA3837">
        <v>55</v>
      </c>
      <c r="BB3837">
        <v>5.95</v>
      </c>
      <c r="BC3837">
        <v>57</v>
      </c>
      <c r="BD3837">
        <v>0.04</v>
      </c>
      <c r="BE3837">
        <v>0.06</v>
      </c>
      <c r="BF3837">
        <v>0.13</v>
      </c>
      <c r="BG3837">
        <v>92</v>
      </c>
      <c r="BH3837">
        <v>-0.08</v>
      </c>
      <c r="BI3837">
        <v>8.5</v>
      </c>
      <c r="BJ3837">
        <v>0</v>
      </c>
      <c r="BK3837">
        <v>0</v>
      </c>
      <c r="BL3837">
        <v>-0.83</v>
      </c>
      <c r="BM3837">
        <v>-0.06</v>
      </c>
      <c r="BN3837">
        <v>-0.03</v>
      </c>
      <c r="BO3837">
        <v>0.05</v>
      </c>
      <c r="BP3837">
        <v>-0.82</v>
      </c>
      <c r="BQ3837">
        <v>-0.69</v>
      </c>
      <c r="BR3837">
        <v>0.22</v>
      </c>
      <c r="BS3837">
        <v>0.95</v>
      </c>
      <c r="BT3837">
        <v>-1.63</v>
      </c>
      <c r="BU3837">
        <v>1.39</v>
      </c>
      <c r="BV3837">
        <v>0.74</v>
      </c>
      <c r="BW3837">
        <v>0.31</v>
      </c>
      <c r="BX3837">
        <v>-0.68</v>
      </c>
      <c r="BY3837">
        <v>0.54</v>
      </c>
      <c r="BZ3837">
        <v>0.38</v>
      </c>
      <c r="CA3837">
        <v>0.42</v>
      </c>
      <c r="CB3837">
        <v>0.71</v>
      </c>
      <c r="CC3837">
        <v>0.34</v>
      </c>
      <c r="CD3837">
        <v>0.21</v>
      </c>
      <c r="CE3837">
        <v>0.33</v>
      </c>
      <c r="CF3837">
        <v>-0.63</v>
      </c>
      <c r="CG3837">
        <v>0</v>
      </c>
      <c r="CH3837">
        <v>0.41</v>
      </c>
      <c r="CI3837">
        <v>0</v>
      </c>
      <c r="CJ3837">
        <v>3.1</v>
      </c>
      <c r="CK3837">
        <v>59</v>
      </c>
      <c r="CL3837">
        <v>-0.67</v>
      </c>
      <c r="CM3837">
        <v>58</v>
      </c>
      <c r="CN3837">
        <v>-0.18</v>
      </c>
      <c r="CO3837">
        <v>57</v>
      </c>
      <c r="CP3837">
        <v>-1.4</v>
      </c>
      <c r="CQ3837">
        <v>58</v>
      </c>
      <c r="CR3837">
        <v>0</v>
      </c>
      <c r="CS3837">
        <v>0</v>
      </c>
      <c r="CT3837">
        <v>12.5</v>
      </c>
      <c r="CU3837">
        <v>57</v>
      </c>
      <c r="CV3837">
        <v>0.2</v>
      </c>
      <c r="CW3837">
        <v>38</v>
      </c>
      <c r="CX3837" t="s">
        <v>265</v>
      </c>
    </row>
    <row r="3838" spans="1:102" x14ac:dyDescent="0.3">
      <c r="A3838" t="str">
        <f>HYPERLINK("https://webapp.icbf.com/v2/app/bull-search/view/77856775","IPX")</f>
        <v>IPX</v>
      </c>
      <c r="B3838" t="s">
        <v>3167</v>
      </c>
      <c r="C3838" t="s">
        <v>3168</v>
      </c>
      <c r="D3838" s="1">
        <v>34165</v>
      </c>
      <c r="E3838" t="s">
        <v>92</v>
      </c>
      <c r="F3838">
        <v>100</v>
      </c>
      <c r="G3838" t="s">
        <v>93</v>
      </c>
      <c r="H3838">
        <v>-65.5</v>
      </c>
      <c r="I3838">
        <v>87</v>
      </c>
      <c r="J3838">
        <v>-10.1</v>
      </c>
      <c r="K3838">
        <v>97</v>
      </c>
      <c r="L3838">
        <v>-39.04</v>
      </c>
      <c r="M3838">
        <v>83</v>
      </c>
      <c r="N3838">
        <v>-2.4700000000000002</v>
      </c>
      <c r="O3838">
        <v>75</v>
      </c>
      <c r="P3838">
        <v>-12.49</v>
      </c>
      <c r="Q3838">
        <v>86</v>
      </c>
      <c r="R3838">
        <v>-0.88</v>
      </c>
      <c r="S3838">
        <v>82</v>
      </c>
      <c r="T3838">
        <v>4.95</v>
      </c>
      <c r="U3838">
        <v>83</v>
      </c>
      <c r="V3838">
        <v>-5.47</v>
      </c>
      <c r="W3838">
        <v>70</v>
      </c>
      <c r="X3838" t="s">
        <v>94</v>
      </c>
      <c r="Y3838" t="s">
        <v>95</v>
      </c>
      <c r="Z3838" t="s">
        <v>96</v>
      </c>
      <c r="AA3838" t="s">
        <v>161</v>
      </c>
      <c r="AB3838" t="s">
        <v>3169</v>
      </c>
      <c r="AC3838">
        <v>118</v>
      </c>
      <c r="AD3838">
        <v>84</v>
      </c>
      <c r="AE3838">
        <v>97</v>
      </c>
      <c r="AF3838">
        <v>-120.85</v>
      </c>
      <c r="AG3838">
        <v>1.1100000000000001</v>
      </c>
      <c r="AH3838">
        <v>-3.96</v>
      </c>
      <c r="AI3838">
        <v>0.1</v>
      </c>
      <c r="AJ3838">
        <v>0</v>
      </c>
      <c r="AK3838">
        <v>83</v>
      </c>
      <c r="AL3838">
        <v>153</v>
      </c>
      <c r="AM3838">
        <v>104</v>
      </c>
      <c r="AN3838">
        <v>2.38</v>
      </c>
      <c r="AO3838">
        <v>-0.73</v>
      </c>
      <c r="AP3838">
        <v>23</v>
      </c>
      <c r="AQ3838">
        <v>0</v>
      </c>
      <c r="AR3838">
        <v>7.18</v>
      </c>
      <c r="AS3838">
        <v>63</v>
      </c>
      <c r="AT3838">
        <v>3.19</v>
      </c>
      <c r="AU3838">
        <v>81</v>
      </c>
      <c r="AV3838">
        <v>-0.22</v>
      </c>
      <c r="AW3838">
        <v>76</v>
      </c>
      <c r="AX3838">
        <v>-0.37</v>
      </c>
      <c r="AY3838">
        <v>82</v>
      </c>
      <c r="AZ3838">
        <v>7.35</v>
      </c>
      <c r="BA3838">
        <v>57</v>
      </c>
      <c r="BB3838">
        <v>5.8</v>
      </c>
      <c r="BC3838">
        <v>70</v>
      </c>
      <c r="BD3838">
        <v>0.02</v>
      </c>
      <c r="BE3838">
        <v>0.03</v>
      </c>
      <c r="BF3838">
        <v>-7.0000000000000007E-2</v>
      </c>
      <c r="BG3838">
        <v>93</v>
      </c>
      <c r="BH3838">
        <v>-0.09</v>
      </c>
      <c r="BI3838">
        <v>7.23</v>
      </c>
      <c r="BJ3838">
        <v>47</v>
      </c>
      <c r="BK3838">
        <v>34</v>
      </c>
      <c r="BL3838">
        <v>0.87</v>
      </c>
      <c r="BM3838">
        <v>-0.66</v>
      </c>
      <c r="BN3838">
        <v>0.9</v>
      </c>
      <c r="BO3838">
        <v>1.1000000000000001</v>
      </c>
      <c r="BP3838">
        <v>-0.99</v>
      </c>
      <c r="BQ3838">
        <v>-2.23</v>
      </c>
      <c r="BR3838">
        <v>-1.53</v>
      </c>
      <c r="BS3838">
        <v>0.43</v>
      </c>
      <c r="BT3838">
        <v>2.0099999999999998</v>
      </c>
      <c r="BU3838">
        <v>-0.27</v>
      </c>
      <c r="BV3838">
        <v>1.1499999999999999</v>
      </c>
      <c r="BW3838">
        <v>1.73</v>
      </c>
      <c r="BX3838">
        <v>0.74</v>
      </c>
      <c r="BY3838">
        <v>-0.45</v>
      </c>
      <c r="BZ3838">
        <v>1.64</v>
      </c>
      <c r="CA3838">
        <v>1.1399999999999999</v>
      </c>
      <c r="CB3838">
        <v>0.56000000000000005</v>
      </c>
      <c r="CC3838">
        <v>1.8</v>
      </c>
      <c r="CD3838">
        <v>-1.39</v>
      </c>
      <c r="CE3838">
        <v>1.42</v>
      </c>
      <c r="CF3838">
        <v>1.04</v>
      </c>
      <c r="CG3838">
        <v>0</v>
      </c>
      <c r="CH3838">
        <v>-0.05</v>
      </c>
      <c r="CI3838">
        <v>0</v>
      </c>
      <c r="CJ3838">
        <v>-4.7</v>
      </c>
      <c r="CK3838">
        <v>87</v>
      </c>
      <c r="CL3838">
        <v>-0.99</v>
      </c>
      <c r="CM3838">
        <v>84</v>
      </c>
      <c r="CN3838">
        <v>-0.36</v>
      </c>
      <c r="CO3838">
        <v>82</v>
      </c>
      <c r="CP3838">
        <v>0</v>
      </c>
      <c r="CQ3838">
        <v>89</v>
      </c>
      <c r="CR3838">
        <v>0</v>
      </c>
      <c r="CS3838">
        <v>0</v>
      </c>
      <c r="CT3838">
        <v>7.1</v>
      </c>
      <c r="CU3838">
        <v>83</v>
      </c>
      <c r="CV3838">
        <v>0.17</v>
      </c>
      <c r="CW3838">
        <v>43</v>
      </c>
      <c r="CX3838" t="s">
        <v>111</v>
      </c>
    </row>
    <row r="3839" spans="1:102" x14ac:dyDescent="0.3">
      <c r="A3839" t="str">
        <f>HYPERLINK("https://webapp.icbf.com/v2/app/bull-search/view/77854681","PBN")</f>
        <v>PBN</v>
      </c>
      <c r="B3839" t="s">
        <v>15692</v>
      </c>
      <c r="C3839" t="s">
        <v>15693</v>
      </c>
      <c r="D3839" s="1">
        <v>35515</v>
      </c>
      <c r="E3839" t="s">
        <v>92</v>
      </c>
      <c r="F3839">
        <v>100</v>
      </c>
      <c r="G3839" t="s">
        <v>93</v>
      </c>
      <c r="H3839">
        <v>-65.510000000000005</v>
      </c>
      <c r="I3839">
        <v>86</v>
      </c>
      <c r="J3839">
        <v>-31.75</v>
      </c>
      <c r="K3839">
        <v>97</v>
      </c>
      <c r="L3839">
        <v>-22.56</v>
      </c>
      <c r="M3839">
        <v>81</v>
      </c>
      <c r="N3839">
        <v>7.29</v>
      </c>
      <c r="O3839">
        <v>79</v>
      </c>
      <c r="P3839">
        <v>-9.15</v>
      </c>
      <c r="Q3839">
        <v>84</v>
      </c>
      <c r="R3839">
        <v>-15.89</v>
      </c>
      <c r="S3839">
        <v>80</v>
      </c>
      <c r="T3839">
        <v>10.64</v>
      </c>
      <c r="U3839">
        <v>77</v>
      </c>
      <c r="V3839">
        <v>-4.09</v>
      </c>
      <c r="W3839">
        <v>73</v>
      </c>
      <c r="X3839" t="s">
        <v>94</v>
      </c>
      <c r="Y3839" t="s">
        <v>95</v>
      </c>
      <c r="Z3839" t="s">
        <v>96</v>
      </c>
      <c r="AA3839" t="s">
        <v>1278</v>
      </c>
      <c r="AB3839" t="s">
        <v>15694</v>
      </c>
      <c r="AC3839">
        <v>74</v>
      </c>
      <c r="AD3839">
        <v>69</v>
      </c>
      <c r="AE3839">
        <v>97</v>
      </c>
      <c r="AF3839">
        <v>127.73</v>
      </c>
      <c r="AG3839">
        <v>-4</v>
      </c>
      <c r="AH3839">
        <v>-2.0299999999999998</v>
      </c>
      <c r="AI3839">
        <v>-0.15</v>
      </c>
      <c r="AJ3839">
        <v>-0.11</v>
      </c>
      <c r="AK3839">
        <v>81</v>
      </c>
      <c r="AL3839">
        <v>68</v>
      </c>
      <c r="AM3839">
        <v>62</v>
      </c>
      <c r="AN3839">
        <v>0.39</v>
      </c>
      <c r="AO3839">
        <v>-1.42</v>
      </c>
      <c r="AP3839">
        <v>29</v>
      </c>
      <c r="AQ3839">
        <v>1</v>
      </c>
      <c r="AR3839">
        <v>8.2899999999999991</v>
      </c>
      <c r="AS3839">
        <v>63</v>
      </c>
      <c r="AT3839">
        <v>3.47</v>
      </c>
      <c r="AU3839">
        <v>81</v>
      </c>
      <c r="AV3839">
        <v>-1.79</v>
      </c>
      <c r="AW3839">
        <v>87</v>
      </c>
      <c r="AX3839">
        <v>0.14000000000000001</v>
      </c>
      <c r="AY3839">
        <v>76</v>
      </c>
      <c r="AZ3839">
        <v>6.1</v>
      </c>
      <c r="BA3839">
        <v>55</v>
      </c>
      <c r="BB3839">
        <v>5.4</v>
      </c>
      <c r="BC3839">
        <v>66</v>
      </c>
      <c r="BD3839">
        <v>0.05</v>
      </c>
      <c r="BE3839">
        <v>0.08</v>
      </c>
      <c r="BF3839">
        <v>0.13</v>
      </c>
      <c r="BG3839">
        <v>89</v>
      </c>
      <c r="BH3839">
        <v>-0.03</v>
      </c>
      <c r="BI3839">
        <v>9.7100000000000009</v>
      </c>
      <c r="BJ3839">
        <v>1</v>
      </c>
      <c r="BK3839">
        <v>1</v>
      </c>
      <c r="BL3839">
        <v>0.21</v>
      </c>
      <c r="BM3839">
        <v>1.94</v>
      </c>
      <c r="BN3839">
        <v>1.04</v>
      </c>
      <c r="BO3839">
        <v>-0.38</v>
      </c>
      <c r="BP3839">
        <v>0.52</v>
      </c>
      <c r="BQ3839">
        <v>0.42</v>
      </c>
      <c r="BR3839">
        <v>0.06</v>
      </c>
      <c r="BS3839">
        <v>1.05</v>
      </c>
      <c r="BT3839">
        <v>0.47</v>
      </c>
      <c r="BU3839">
        <v>2.0099999999999998</v>
      </c>
      <c r="BV3839">
        <v>-0.04</v>
      </c>
      <c r="BW3839">
        <v>0.67</v>
      </c>
      <c r="BX3839">
        <v>1.08</v>
      </c>
      <c r="BY3839">
        <v>1.06</v>
      </c>
      <c r="BZ3839">
        <v>-1.18</v>
      </c>
      <c r="CA3839">
        <v>1.21</v>
      </c>
      <c r="CB3839">
        <v>1.1100000000000001</v>
      </c>
      <c r="CC3839">
        <v>1.29</v>
      </c>
      <c r="CD3839">
        <v>1.46</v>
      </c>
      <c r="CE3839">
        <v>0.03</v>
      </c>
      <c r="CF3839">
        <v>0.05</v>
      </c>
      <c r="CG3839">
        <v>0</v>
      </c>
      <c r="CH3839">
        <v>1.28</v>
      </c>
      <c r="CI3839">
        <v>0</v>
      </c>
      <c r="CJ3839">
        <v>-2.2000000000000002</v>
      </c>
      <c r="CK3839">
        <v>85</v>
      </c>
      <c r="CL3839">
        <v>-0.72</v>
      </c>
      <c r="CM3839">
        <v>82</v>
      </c>
      <c r="CN3839">
        <v>-0.16</v>
      </c>
      <c r="CO3839">
        <v>80</v>
      </c>
      <c r="CP3839">
        <v>-3.7</v>
      </c>
      <c r="CQ3839">
        <v>85</v>
      </c>
      <c r="CR3839">
        <v>0</v>
      </c>
      <c r="CS3839">
        <v>0</v>
      </c>
      <c r="CT3839">
        <v>-0.6</v>
      </c>
      <c r="CU3839">
        <v>77</v>
      </c>
      <c r="CV3839">
        <v>0.16</v>
      </c>
      <c r="CW3839">
        <v>43</v>
      </c>
      <c r="CX3839" t="s">
        <v>3414</v>
      </c>
    </row>
    <row r="3840" spans="1:102" x14ac:dyDescent="0.3">
      <c r="A3840" t="str">
        <f>HYPERLINK("https://webapp.icbf.com/v2/app/bull-search/view/314440967","HTX")</f>
        <v>HTX</v>
      </c>
      <c r="B3840" t="s">
        <v>15262</v>
      </c>
      <c r="C3840" t="s">
        <v>15263</v>
      </c>
      <c r="D3840" s="1">
        <v>37988</v>
      </c>
      <c r="E3840" t="s">
        <v>92</v>
      </c>
      <c r="F3840">
        <v>100</v>
      </c>
      <c r="G3840" t="s">
        <v>93</v>
      </c>
      <c r="H3840">
        <v>-65.55</v>
      </c>
      <c r="I3840">
        <v>80</v>
      </c>
      <c r="J3840">
        <v>34.65</v>
      </c>
      <c r="K3840">
        <v>93</v>
      </c>
      <c r="L3840">
        <v>-112.73</v>
      </c>
      <c r="M3840">
        <v>73</v>
      </c>
      <c r="N3840">
        <v>9.11</v>
      </c>
      <c r="O3840">
        <v>73</v>
      </c>
      <c r="P3840">
        <v>-14.83</v>
      </c>
      <c r="Q3840">
        <v>76</v>
      </c>
      <c r="R3840">
        <v>-10.55</v>
      </c>
      <c r="S3840">
        <v>73</v>
      </c>
      <c r="T3840">
        <v>26.41</v>
      </c>
      <c r="U3840">
        <v>75</v>
      </c>
      <c r="V3840">
        <v>2.39</v>
      </c>
      <c r="W3840">
        <v>68</v>
      </c>
      <c r="X3840" t="s">
        <v>94</v>
      </c>
      <c r="Y3840" t="s">
        <v>95</v>
      </c>
      <c r="Z3840" t="s">
        <v>96</v>
      </c>
      <c r="AA3840" t="s">
        <v>2589</v>
      </c>
      <c r="AB3840" t="s">
        <v>11649</v>
      </c>
      <c r="AC3840">
        <v>24</v>
      </c>
      <c r="AD3840">
        <v>20</v>
      </c>
      <c r="AE3840">
        <v>93</v>
      </c>
      <c r="AF3840">
        <v>88.6</v>
      </c>
      <c r="AG3840">
        <v>7.01</v>
      </c>
      <c r="AH3840">
        <v>4.7699999999999996</v>
      </c>
      <c r="AI3840">
        <v>0.06</v>
      </c>
      <c r="AJ3840">
        <v>0.03</v>
      </c>
      <c r="AK3840">
        <v>73</v>
      </c>
      <c r="AL3840">
        <v>22</v>
      </c>
      <c r="AM3840">
        <v>18</v>
      </c>
      <c r="AN3840">
        <v>5.36</v>
      </c>
      <c r="AO3840">
        <v>-3.64</v>
      </c>
      <c r="AP3840">
        <v>43</v>
      </c>
      <c r="AQ3840">
        <v>2</v>
      </c>
      <c r="AR3840">
        <v>6.04</v>
      </c>
      <c r="AS3840">
        <v>59</v>
      </c>
      <c r="AT3840">
        <v>3.1</v>
      </c>
      <c r="AU3840">
        <v>77</v>
      </c>
      <c r="AV3840">
        <v>-0.76</v>
      </c>
      <c r="AW3840">
        <v>84</v>
      </c>
      <c r="AX3840">
        <v>-0.04</v>
      </c>
      <c r="AY3840">
        <v>65</v>
      </c>
      <c r="AZ3840">
        <v>7.27</v>
      </c>
      <c r="BA3840">
        <v>51</v>
      </c>
      <c r="BB3840">
        <v>4.9800000000000004</v>
      </c>
      <c r="BC3840">
        <v>54</v>
      </c>
      <c r="BD3840">
        <v>0.04</v>
      </c>
      <c r="BE3840">
        <v>0.04</v>
      </c>
      <c r="BF3840">
        <v>0.1</v>
      </c>
      <c r="BG3840">
        <v>82</v>
      </c>
      <c r="BH3840">
        <v>0.11</v>
      </c>
      <c r="BI3840">
        <v>5.01</v>
      </c>
      <c r="BJ3840">
        <v>5</v>
      </c>
      <c r="BK3840">
        <v>5</v>
      </c>
      <c r="BL3840">
        <v>0.35</v>
      </c>
      <c r="BM3840">
        <v>-3</v>
      </c>
      <c r="BN3840">
        <v>-1.1100000000000001</v>
      </c>
      <c r="BO3840">
        <v>1.02</v>
      </c>
      <c r="BP3840">
        <v>0.95</v>
      </c>
      <c r="BQ3840">
        <v>-1.72</v>
      </c>
      <c r="BR3840">
        <v>-1.01</v>
      </c>
      <c r="BS3840">
        <v>0.86</v>
      </c>
      <c r="BT3840">
        <v>1.51</v>
      </c>
      <c r="BU3840">
        <v>-0.55000000000000004</v>
      </c>
      <c r="BV3840">
        <v>1.03</v>
      </c>
      <c r="BW3840">
        <v>1.37</v>
      </c>
      <c r="BX3840">
        <v>-0.38</v>
      </c>
      <c r="BY3840">
        <v>2.6</v>
      </c>
      <c r="BZ3840">
        <v>0.99</v>
      </c>
      <c r="CA3840">
        <v>0.96</v>
      </c>
      <c r="CB3840">
        <v>0.67</v>
      </c>
      <c r="CC3840">
        <v>1.1299999999999999</v>
      </c>
      <c r="CD3840">
        <v>-1.75</v>
      </c>
      <c r="CE3840">
        <v>1.24</v>
      </c>
      <c r="CF3840">
        <v>-0.63</v>
      </c>
      <c r="CG3840">
        <v>0</v>
      </c>
      <c r="CH3840">
        <v>2.4</v>
      </c>
      <c r="CI3840">
        <v>0</v>
      </c>
      <c r="CJ3840">
        <v>-3.7</v>
      </c>
      <c r="CK3840">
        <v>78</v>
      </c>
      <c r="CL3840">
        <v>-0.88</v>
      </c>
      <c r="CM3840">
        <v>75</v>
      </c>
      <c r="CN3840">
        <v>-0.11</v>
      </c>
      <c r="CO3840">
        <v>72</v>
      </c>
      <c r="CP3840">
        <v>-12.9</v>
      </c>
      <c r="CQ3840">
        <v>77</v>
      </c>
      <c r="CR3840">
        <v>0</v>
      </c>
      <c r="CS3840">
        <v>0</v>
      </c>
      <c r="CT3840">
        <v>-21.9</v>
      </c>
      <c r="CU3840">
        <v>75</v>
      </c>
      <c r="CV3840">
        <v>0.23</v>
      </c>
      <c r="CW3840">
        <v>41</v>
      </c>
      <c r="CX3840" t="s">
        <v>2431</v>
      </c>
    </row>
    <row r="3841" spans="1:102" x14ac:dyDescent="0.3">
      <c r="A3841" t="str">
        <f>HYPERLINK("https://webapp.icbf.com/v2/app/bull-search/view/497841374","ZLI")</f>
        <v>ZLI</v>
      </c>
      <c r="B3841" t="s">
        <v>12287</v>
      </c>
      <c r="C3841" t="s">
        <v>12288</v>
      </c>
      <c r="D3841" s="1">
        <v>39126</v>
      </c>
      <c r="E3841" t="s">
        <v>92</v>
      </c>
      <c r="F3841">
        <v>94</v>
      </c>
      <c r="G3841" t="s">
        <v>435</v>
      </c>
      <c r="H3841">
        <v>-65.58</v>
      </c>
      <c r="I3841">
        <v>70</v>
      </c>
      <c r="J3841">
        <v>-14.13</v>
      </c>
      <c r="K3841">
        <v>88</v>
      </c>
      <c r="L3841">
        <v>-65.53</v>
      </c>
      <c r="M3841">
        <v>68</v>
      </c>
      <c r="N3841">
        <v>9.92</v>
      </c>
      <c r="O3841">
        <v>56</v>
      </c>
      <c r="P3841">
        <v>8.5399999999999991</v>
      </c>
      <c r="Q3841">
        <v>51</v>
      </c>
      <c r="R3841">
        <v>4.2</v>
      </c>
      <c r="S3841">
        <v>67</v>
      </c>
      <c r="T3841">
        <v>-16.510000000000002</v>
      </c>
      <c r="U3841">
        <v>52</v>
      </c>
      <c r="V3841">
        <v>7.93</v>
      </c>
      <c r="W3841">
        <v>62</v>
      </c>
      <c r="X3841" t="s">
        <v>94</v>
      </c>
      <c r="Y3841" t="s">
        <v>1374</v>
      </c>
      <c r="Z3841" t="s">
        <v>96</v>
      </c>
      <c r="AA3841" t="s">
        <v>1406</v>
      </c>
      <c r="AB3841" t="s">
        <v>12289</v>
      </c>
      <c r="AC3841">
        <v>2</v>
      </c>
      <c r="AD3841">
        <v>2</v>
      </c>
      <c r="AE3841">
        <v>88</v>
      </c>
      <c r="AF3841">
        <v>-107.48</v>
      </c>
      <c r="AG3841">
        <v>-10.17</v>
      </c>
      <c r="AH3841">
        <v>-0.45</v>
      </c>
      <c r="AI3841">
        <v>-0.11</v>
      </c>
      <c r="AJ3841">
        <v>0.06</v>
      </c>
      <c r="AK3841">
        <v>68</v>
      </c>
      <c r="AL3841">
        <v>3</v>
      </c>
      <c r="AM3841">
        <v>2</v>
      </c>
      <c r="AN3841">
        <v>3.28</v>
      </c>
      <c r="AO3841">
        <v>-1.95</v>
      </c>
      <c r="AP3841">
        <v>3</v>
      </c>
      <c r="AQ3841">
        <v>0</v>
      </c>
      <c r="AR3841">
        <v>7.12</v>
      </c>
      <c r="AS3841">
        <v>54</v>
      </c>
      <c r="AT3841">
        <v>2.3199999999999998</v>
      </c>
      <c r="AU3841">
        <v>65</v>
      </c>
      <c r="AV3841">
        <v>-0.62</v>
      </c>
      <c r="AW3841">
        <v>56</v>
      </c>
      <c r="AX3841">
        <v>0.01</v>
      </c>
      <c r="AY3841">
        <v>49</v>
      </c>
      <c r="AZ3841">
        <v>7.27</v>
      </c>
      <c r="BA3841">
        <v>46</v>
      </c>
      <c r="BB3841">
        <v>5.29</v>
      </c>
      <c r="BC3841">
        <v>48</v>
      </c>
      <c r="BD3841">
        <v>-0.01</v>
      </c>
      <c r="BE3841">
        <v>0</v>
      </c>
      <c r="BF3841">
        <v>-0.08</v>
      </c>
      <c r="BG3841">
        <v>75</v>
      </c>
      <c r="BH3841">
        <v>0.11</v>
      </c>
      <c r="BI3841">
        <v>-12.85</v>
      </c>
      <c r="BJ3841">
        <v>0</v>
      </c>
      <c r="BK3841">
        <v>0</v>
      </c>
      <c r="BL3841">
        <v>-0.81</v>
      </c>
      <c r="BM3841">
        <v>1.01</v>
      </c>
      <c r="BN3841">
        <v>-0.28999999999999998</v>
      </c>
      <c r="BO3841">
        <v>-0.97</v>
      </c>
      <c r="BP3841">
        <v>0.94</v>
      </c>
      <c r="BQ3841">
        <v>-0.51</v>
      </c>
      <c r="BR3841">
        <v>0.43</v>
      </c>
      <c r="BS3841">
        <v>-0.81</v>
      </c>
      <c r="BT3841">
        <v>0.08</v>
      </c>
      <c r="BU3841">
        <v>0.43</v>
      </c>
      <c r="BV3841">
        <v>0.27</v>
      </c>
      <c r="BW3841">
        <v>-0.03</v>
      </c>
      <c r="BX3841">
        <v>0.04</v>
      </c>
      <c r="BY3841">
        <v>0.02</v>
      </c>
      <c r="BZ3841">
        <v>-0.99</v>
      </c>
      <c r="CA3841">
        <v>-0.24</v>
      </c>
      <c r="CB3841">
        <v>0.44</v>
      </c>
      <c r="CC3841">
        <v>-1.38</v>
      </c>
      <c r="CD3841">
        <v>1.1299999999999999</v>
      </c>
      <c r="CE3841">
        <v>-0.92</v>
      </c>
      <c r="CF3841">
        <v>-0.15</v>
      </c>
      <c r="CG3841">
        <v>0</v>
      </c>
      <c r="CH3841">
        <v>1.18</v>
      </c>
      <c r="CI3841">
        <v>0</v>
      </c>
      <c r="CJ3841">
        <v>8.3000000000000007</v>
      </c>
      <c r="CK3841">
        <v>51</v>
      </c>
      <c r="CL3841">
        <v>-0.69</v>
      </c>
      <c r="CM3841">
        <v>50</v>
      </c>
      <c r="CN3841">
        <v>-0.2</v>
      </c>
      <c r="CO3841">
        <v>48</v>
      </c>
      <c r="CP3841">
        <v>12.4</v>
      </c>
      <c r="CQ3841">
        <v>54</v>
      </c>
      <c r="CR3841">
        <v>0</v>
      </c>
      <c r="CS3841">
        <v>0</v>
      </c>
      <c r="CT3841">
        <v>36.1</v>
      </c>
      <c r="CU3841">
        <v>52</v>
      </c>
      <c r="CV3841">
        <v>0.14000000000000001</v>
      </c>
      <c r="CW3841">
        <v>36</v>
      </c>
      <c r="CX3841" t="s">
        <v>4756</v>
      </c>
    </row>
    <row r="3842" spans="1:102" x14ac:dyDescent="0.3">
      <c r="A3842" t="str">
        <f>HYPERLINK("https://webapp.icbf.com/v2/app/bull-search/view/77854597","OOR")</f>
        <v>OOR</v>
      </c>
      <c r="B3842" t="s">
        <v>2546</v>
      </c>
      <c r="C3842" t="s">
        <v>2547</v>
      </c>
      <c r="D3842" s="1">
        <v>31844</v>
      </c>
      <c r="E3842" t="s">
        <v>92</v>
      </c>
      <c r="F3842">
        <v>100</v>
      </c>
      <c r="G3842" t="s">
        <v>93</v>
      </c>
      <c r="H3842">
        <v>-65.930000000000007</v>
      </c>
      <c r="I3842">
        <v>88</v>
      </c>
      <c r="J3842">
        <v>-24.25</v>
      </c>
      <c r="K3842">
        <v>97</v>
      </c>
      <c r="L3842">
        <v>-55.38</v>
      </c>
      <c r="M3842">
        <v>90</v>
      </c>
      <c r="N3842">
        <v>28.58</v>
      </c>
      <c r="O3842">
        <v>75</v>
      </c>
      <c r="P3842">
        <v>-6.8</v>
      </c>
      <c r="Q3842">
        <v>87</v>
      </c>
      <c r="R3842">
        <v>-16.82</v>
      </c>
      <c r="S3842">
        <v>74</v>
      </c>
      <c r="T3842">
        <v>5.69</v>
      </c>
      <c r="U3842">
        <v>82</v>
      </c>
      <c r="V3842">
        <v>3.05</v>
      </c>
      <c r="W3842">
        <v>54</v>
      </c>
      <c r="X3842" t="s">
        <v>110</v>
      </c>
      <c r="Y3842" t="s">
        <v>95</v>
      </c>
      <c r="Z3842" t="s">
        <v>96</v>
      </c>
      <c r="AA3842" t="s">
        <v>825</v>
      </c>
      <c r="AB3842" t="s">
        <v>2548</v>
      </c>
      <c r="AC3842">
        <v>155</v>
      </c>
      <c r="AD3842">
        <v>90</v>
      </c>
      <c r="AE3842">
        <v>97</v>
      </c>
      <c r="AF3842">
        <v>58.6</v>
      </c>
      <c r="AG3842">
        <v>-6.69</v>
      </c>
      <c r="AH3842">
        <v>-0.86</v>
      </c>
      <c r="AI3842">
        <v>-0.15</v>
      </c>
      <c r="AJ3842">
        <v>-0.05</v>
      </c>
      <c r="AK3842">
        <v>90</v>
      </c>
      <c r="AL3842">
        <v>203</v>
      </c>
      <c r="AM3842">
        <v>111</v>
      </c>
      <c r="AN3842">
        <v>3.5</v>
      </c>
      <c r="AO3842">
        <v>-0.91</v>
      </c>
      <c r="AP3842">
        <v>13</v>
      </c>
      <c r="AQ3842">
        <v>0</v>
      </c>
      <c r="AR3842">
        <v>6.83</v>
      </c>
      <c r="AS3842">
        <v>47</v>
      </c>
      <c r="AT3842">
        <v>3.26</v>
      </c>
      <c r="AU3842">
        <v>85</v>
      </c>
      <c r="AV3842">
        <v>-2.96</v>
      </c>
      <c r="AW3842">
        <v>78</v>
      </c>
      <c r="AX3842">
        <v>-0.23</v>
      </c>
      <c r="AY3842">
        <v>82</v>
      </c>
      <c r="AZ3842">
        <v>5.53</v>
      </c>
      <c r="BA3842">
        <v>47</v>
      </c>
      <c r="BB3842">
        <v>4.5</v>
      </c>
      <c r="BC3842">
        <v>66</v>
      </c>
      <c r="BD3842">
        <v>0.04</v>
      </c>
      <c r="BE3842">
        <v>0.1</v>
      </c>
      <c r="BF3842">
        <v>0.13</v>
      </c>
      <c r="BG3842">
        <v>92</v>
      </c>
      <c r="BH3842">
        <v>0.17</v>
      </c>
      <c r="BI3842">
        <v>9.82</v>
      </c>
      <c r="BJ3842">
        <v>10</v>
      </c>
      <c r="BK3842">
        <v>9</v>
      </c>
      <c r="BL3842">
        <v>0.32</v>
      </c>
      <c r="BM3842">
        <v>0.77</v>
      </c>
      <c r="BN3842">
        <v>0.95</v>
      </c>
      <c r="BO3842">
        <v>0.34</v>
      </c>
      <c r="BP3842">
        <v>-0.89</v>
      </c>
      <c r="BQ3842">
        <v>0.4</v>
      </c>
      <c r="BR3842">
        <v>1.22</v>
      </c>
      <c r="BS3842">
        <v>-1.06</v>
      </c>
      <c r="BT3842">
        <v>-0.45</v>
      </c>
      <c r="BU3842">
        <v>-1.33</v>
      </c>
      <c r="BV3842">
        <v>-1.1299999999999999</v>
      </c>
      <c r="BW3842">
        <v>0.2</v>
      </c>
      <c r="BX3842">
        <v>-1.33</v>
      </c>
      <c r="BY3842">
        <v>0.14000000000000001</v>
      </c>
      <c r="BZ3842">
        <v>-0.41</v>
      </c>
      <c r="CA3842">
        <v>-0.97</v>
      </c>
      <c r="CB3842">
        <v>-0.49</v>
      </c>
      <c r="CC3842">
        <v>-1.38</v>
      </c>
      <c r="CD3842">
        <v>-0.15</v>
      </c>
      <c r="CE3842">
        <v>0.64</v>
      </c>
      <c r="CF3842">
        <v>0.81</v>
      </c>
      <c r="CG3842">
        <v>0</v>
      </c>
      <c r="CH3842">
        <v>0.22</v>
      </c>
      <c r="CI3842">
        <v>0</v>
      </c>
      <c r="CJ3842">
        <v>0.8</v>
      </c>
      <c r="CK3842">
        <v>88</v>
      </c>
      <c r="CL3842">
        <v>-0.66</v>
      </c>
      <c r="CM3842">
        <v>86</v>
      </c>
      <c r="CN3842">
        <v>7.0000000000000007E-2</v>
      </c>
      <c r="CO3842">
        <v>84</v>
      </c>
      <c r="CP3842">
        <v>-1.8</v>
      </c>
      <c r="CQ3842">
        <v>91</v>
      </c>
      <c r="CR3842">
        <v>0</v>
      </c>
      <c r="CS3842">
        <v>0</v>
      </c>
      <c r="CT3842">
        <v>6.1</v>
      </c>
      <c r="CU3842">
        <v>82</v>
      </c>
      <c r="CV3842">
        <v>0.23</v>
      </c>
      <c r="CW3842">
        <v>25</v>
      </c>
      <c r="CX3842" t="s">
        <v>113</v>
      </c>
    </row>
    <row r="3843" spans="1:102" x14ac:dyDescent="0.3">
      <c r="A3843" t="str">
        <f>HYPERLINK("https://webapp.icbf.com/v2/app/bull-search/view/444405267","AAV")</f>
        <v>AAV</v>
      </c>
      <c r="B3843" t="s">
        <v>12346</v>
      </c>
      <c r="C3843" t="s">
        <v>12347</v>
      </c>
      <c r="D3843" s="1">
        <v>36991</v>
      </c>
      <c r="E3843" t="s">
        <v>92</v>
      </c>
      <c r="F3843">
        <v>100</v>
      </c>
      <c r="G3843" t="s">
        <v>109</v>
      </c>
      <c r="H3843">
        <v>-66.02</v>
      </c>
      <c r="I3843">
        <v>78</v>
      </c>
      <c r="J3843">
        <v>59.43</v>
      </c>
      <c r="K3843">
        <v>92</v>
      </c>
      <c r="L3843">
        <v>-139.6</v>
      </c>
      <c r="M3843">
        <v>85</v>
      </c>
      <c r="N3843">
        <v>14.28</v>
      </c>
      <c r="O3843">
        <v>57</v>
      </c>
      <c r="P3843">
        <v>-3.83</v>
      </c>
      <c r="Q3843">
        <v>48</v>
      </c>
      <c r="R3843">
        <v>-0.57999999999999996</v>
      </c>
      <c r="S3843">
        <v>77</v>
      </c>
      <c r="T3843">
        <v>3.47</v>
      </c>
      <c r="U3843">
        <v>51</v>
      </c>
      <c r="V3843">
        <v>0.81</v>
      </c>
      <c r="W3843">
        <v>66</v>
      </c>
      <c r="X3843" t="s">
        <v>251</v>
      </c>
      <c r="Y3843" t="s">
        <v>221</v>
      </c>
      <c r="Z3843" t="s">
        <v>96</v>
      </c>
      <c r="AA3843" t="s">
        <v>174</v>
      </c>
      <c r="AB3843" t="s">
        <v>12348</v>
      </c>
      <c r="AC3843">
        <v>0</v>
      </c>
      <c r="AD3843">
        <v>0</v>
      </c>
      <c r="AE3843">
        <v>92</v>
      </c>
      <c r="AF3843">
        <v>282.33999999999997</v>
      </c>
      <c r="AG3843">
        <v>7.57</v>
      </c>
      <c r="AH3843">
        <v>11.75</v>
      </c>
      <c r="AI3843">
        <v>-0.06</v>
      </c>
      <c r="AJ3843">
        <v>0.04</v>
      </c>
      <c r="AK3843">
        <v>85</v>
      </c>
      <c r="AL3843">
        <v>0</v>
      </c>
      <c r="AM3843">
        <v>0</v>
      </c>
      <c r="AN3843">
        <v>7.81</v>
      </c>
      <c r="AO3843">
        <v>-3.32</v>
      </c>
      <c r="AP3843">
        <v>1</v>
      </c>
      <c r="AQ3843">
        <v>1</v>
      </c>
      <c r="AR3843">
        <v>8.02</v>
      </c>
      <c r="AS3843">
        <v>57</v>
      </c>
      <c r="AT3843">
        <v>3.04</v>
      </c>
      <c r="AU3843">
        <v>81</v>
      </c>
      <c r="AV3843">
        <v>-1.92</v>
      </c>
      <c r="AW3843">
        <v>48</v>
      </c>
      <c r="AX3843">
        <v>-0.39</v>
      </c>
      <c r="AY3843">
        <v>46</v>
      </c>
      <c r="AZ3843">
        <v>6.81</v>
      </c>
      <c r="BA3843">
        <v>48</v>
      </c>
      <c r="BB3843">
        <v>5.2</v>
      </c>
      <c r="BC3843">
        <v>50</v>
      </c>
      <c r="BD3843">
        <v>-0.04</v>
      </c>
      <c r="BE3843">
        <v>0</v>
      </c>
      <c r="BF3843">
        <v>0.08</v>
      </c>
      <c r="BG3843">
        <v>90</v>
      </c>
      <c r="BH3843">
        <v>7.0000000000000007E-2</v>
      </c>
      <c r="BI3843">
        <v>5.5</v>
      </c>
      <c r="BJ3843">
        <v>0</v>
      </c>
      <c r="BK3843">
        <v>0</v>
      </c>
      <c r="BL3843">
        <v>-0.02</v>
      </c>
      <c r="BM3843">
        <v>0.99</v>
      </c>
      <c r="BN3843">
        <v>1.61</v>
      </c>
      <c r="BO3843">
        <v>0.59</v>
      </c>
      <c r="BP3843">
        <v>0.73</v>
      </c>
      <c r="BQ3843">
        <v>0.27</v>
      </c>
      <c r="BR3843">
        <v>1.59</v>
      </c>
      <c r="BS3843">
        <v>-2.77</v>
      </c>
      <c r="BT3843">
        <v>-1.23</v>
      </c>
      <c r="BU3843">
        <v>0.99</v>
      </c>
      <c r="BV3843">
        <v>0.57999999999999996</v>
      </c>
      <c r="BW3843">
        <v>0.4</v>
      </c>
      <c r="BX3843">
        <v>-0.74</v>
      </c>
      <c r="BY3843">
        <v>1.64</v>
      </c>
      <c r="BZ3843">
        <v>-0.38</v>
      </c>
      <c r="CA3843">
        <v>7.0000000000000007E-2</v>
      </c>
      <c r="CB3843">
        <v>0.91</v>
      </c>
      <c r="CC3843">
        <v>-2.0499999999999998</v>
      </c>
      <c r="CD3843">
        <v>-0.45</v>
      </c>
      <c r="CE3843">
        <v>-0.01</v>
      </c>
      <c r="CF3843">
        <v>0.54</v>
      </c>
      <c r="CG3843">
        <v>0</v>
      </c>
      <c r="CH3843">
        <v>1.72</v>
      </c>
      <c r="CI3843">
        <v>0</v>
      </c>
      <c r="CJ3843">
        <v>0.2</v>
      </c>
      <c r="CK3843">
        <v>48</v>
      </c>
      <c r="CL3843">
        <v>-0.74</v>
      </c>
      <c r="CM3843">
        <v>47</v>
      </c>
      <c r="CN3843">
        <v>-0.3</v>
      </c>
      <c r="CO3843">
        <v>47</v>
      </c>
      <c r="CP3843">
        <v>0.1</v>
      </c>
      <c r="CQ3843">
        <v>49</v>
      </c>
      <c r="CR3843">
        <v>0</v>
      </c>
      <c r="CS3843">
        <v>0</v>
      </c>
      <c r="CT3843">
        <v>9.1</v>
      </c>
      <c r="CU3843">
        <v>51</v>
      </c>
      <c r="CV3843">
        <v>0.09</v>
      </c>
      <c r="CW3843">
        <v>35</v>
      </c>
      <c r="CX3843" t="s">
        <v>836</v>
      </c>
    </row>
    <row r="3844" spans="1:102" x14ac:dyDescent="0.3">
      <c r="A3844" t="str">
        <f>HYPERLINK("https://webapp.icbf.com/v2/app/bull-search/view/77857228","GSD")</f>
        <v>GSD</v>
      </c>
      <c r="B3844" t="s">
        <v>9885</v>
      </c>
      <c r="C3844" t="s">
        <v>9886</v>
      </c>
      <c r="D3844" s="1">
        <v>36206</v>
      </c>
      <c r="E3844" t="s">
        <v>92</v>
      </c>
      <c r="F3844">
        <v>100</v>
      </c>
      <c r="G3844" t="s">
        <v>93</v>
      </c>
      <c r="H3844">
        <v>-66.11</v>
      </c>
      <c r="I3844">
        <v>61</v>
      </c>
      <c r="J3844">
        <v>17.96</v>
      </c>
      <c r="K3844">
        <v>80</v>
      </c>
      <c r="L3844">
        <v>-132.56</v>
      </c>
      <c r="M3844">
        <v>46</v>
      </c>
      <c r="N3844">
        <v>31.14</v>
      </c>
      <c r="O3844">
        <v>48</v>
      </c>
      <c r="P3844">
        <v>-7.86</v>
      </c>
      <c r="Q3844">
        <v>68</v>
      </c>
      <c r="R3844">
        <v>-2.33</v>
      </c>
      <c r="S3844">
        <v>49</v>
      </c>
      <c r="T3844">
        <v>27.44</v>
      </c>
      <c r="U3844">
        <v>75</v>
      </c>
      <c r="V3844">
        <v>0.1</v>
      </c>
      <c r="W3844">
        <v>28</v>
      </c>
      <c r="X3844" t="s">
        <v>94</v>
      </c>
      <c r="Y3844" t="s">
        <v>95</v>
      </c>
      <c r="Z3844" t="s">
        <v>96</v>
      </c>
      <c r="AA3844" t="s">
        <v>985</v>
      </c>
      <c r="AB3844" t="s">
        <v>9887</v>
      </c>
      <c r="AC3844">
        <v>18</v>
      </c>
      <c r="AD3844">
        <v>18</v>
      </c>
      <c r="AE3844">
        <v>80</v>
      </c>
      <c r="AF3844">
        <v>55.27</v>
      </c>
      <c r="AG3844">
        <v>7.55</v>
      </c>
      <c r="AH3844">
        <v>1.23</v>
      </c>
      <c r="AI3844">
        <v>0.09</v>
      </c>
      <c r="AJ3844">
        <v>-0.01</v>
      </c>
      <c r="AK3844">
        <v>46</v>
      </c>
      <c r="AL3844">
        <v>25</v>
      </c>
      <c r="AM3844">
        <v>22</v>
      </c>
      <c r="AN3844">
        <v>8.1300000000000008</v>
      </c>
      <c r="AO3844">
        <v>-2.4300000000000002</v>
      </c>
      <c r="AP3844">
        <v>2</v>
      </c>
      <c r="AQ3844">
        <v>0</v>
      </c>
      <c r="AR3844">
        <v>7.13</v>
      </c>
      <c r="AS3844">
        <v>34</v>
      </c>
      <c r="AT3844">
        <v>3.02</v>
      </c>
      <c r="AU3844">
        <v>44</v>
      </c>
      <c r="AV3844">
        <v>-3.56</v>
      </c>
      <c r="AW3844">
        <v>55</v>
      </c>
      <c r="AX3844">
        <v>-0.24</v>
      </c>
      <c r="AY3844">
        <v>56</v>
      </c>
      <c r="AZ3844">
        <v>6.69</v>
      </c>
      <c r="BA3844">
        <v>35</v>
      </c>
      <c r="BB3844">
        <v>4.8899999999999997</v>
      </c>
      <c r="BC3844">
        <v>38</v>
      </c>
      <c r="BD3844">
        <v>-0.02</v>
      </c>
      <c r="BE3844">
        <v>0.03</v>
      </c>
      <c r="BF3844">
        <v>0.03</v>
      </c>
      <c r="BG3844">
        <v>58</v>
      </c>
      <c r="BH3844">
        <v>0.02</v>
      </c>
      <c r="BI3844">
        <v>1.99</v>
      </c>
      <c r="BJ3844">
        <v>2</v>
      </c>
      <c r="BK3844">
        <v>1</v>
      </c>
      <c r="BL3844">
        <v>-0.3</v>
      </c>
      <c r="BM3844">
        <v>-0.99</v>
      </c>
      <c r="BN3844">
        <v>-0.24</v>
      </c>
      <c r="BO3844">
        <v>0.19</v>
      </c>
      <c r="BP3844">
        <v>0.73</v>
      </c>
      <c r="BQ3844">
        <v>-1.93</v>
      </c>
      <c r="BR3844">
        <v>0.23</v>
      </c>
      <c r="BS3844">
        <v>0.21</v>
      </c>
      <c r="BT3844">
        <v>-0.67</v>
      </c>
      <c r="BU3844">
        <v>-0.63</v>
      </c>
      <c r="BV3844">
        <v>-0.15</v>
      </c>
      <c r="BW3844">
        <v>-0.52</v>
      </c>
      <c r="BX3844">
        <v>-0.68</v>
      </c>
      <c r="BY3844">
        <v>0.16</v>
      </c>
      <c r="BZ3844">
        <v>1.25</v>
      </c>
      <c r="CA3844">
        <v>-0.5</v>
      </c>
      <c r="CB3844">
        <v>-0.67</v>
      </c>
      <c r="CC3844">
        <v>0.04</v>
      </c>
      <c r="CD3844">
        <v>-0.77</v>
      </c>
      <c r="CE3844">
        <v>-0.01</v>
      </c>
      <c r="CF3844">
        <v>-0.57999999999999996</v>
      </c>
      <c r="CG3844">
        <v>0</v>
      </c>
      <c r="CH3844">
        <v>0.09</v>
      </c>
      <c r="CI3844">
        <v>0</v>
      </c>
      <c r="CJ3844">
        <v>0.5</v>
      </c>
      <c r="CK3844">
        <v>70</v>
      </c>
      <c r="CL3844">
        <v>-0.51</v>
      </c>
      <c r="CM3844">
        <v>66</v>
      </c>
      <c r="CN3844">
        <v>0.11</v>
      </c>
      <c r="CO3844">
        <v>61</v>
      </c>
      <c r="CP3844">
        <v>-13.3</v>
      </c>
      <c r="CQ3844">
        <v>74</v>
      </c>
      <c r="CR3844">
        <v>0</v>
      </c>
      <c r="CS3844">
        <v>0</v>
      </c>
      <c r="CT3844">
        <v>-23.3</v>
      </c>
      <c r="CU3844">
        <v>75</v>
      </c>
      <c r="CV3844">
        <v>0.32</v>
      </c>
      <c r="CW3844">
        <v>19</v>
      </c>
      <c r="CX3844" t="s">
        <v>265</v>
      </c>
    </row>
    <row r="3845" spans="1:102" x14ac:dyDescent="0.3">
      <c r="A3845" t="str">
        <f>HYPERLINK("https://webapp.icbf.com/v2/app/bull-search/view/77854429","RBK")</f>
        <v>RBK</v>
      </c>
      <c r="B3845" t="s">
        <v>11078</v>
      </c>
      <c r="C3845" t="s">
        <v>11079</v>
      </c>
      <c r="D3845" s="1">
        <v>34209</v>
      </c>
      <c r="E3845" t="s">
        <v>92</v>
      </c>
      <c r="F3845">
        <v>100</v>
      </c>
      <c r="G3845" t="s">
        <v>93</v>
      </c>
      <c r="H3845">
        <v>-66.19</v>
      </c>
      <c r="I3845">
        <v>52</v>
      </c>
      <c r="J3845">
        <v>-6.3</v>
      </c>
      <c r="K3845">
        <v>77</v>
      </c>
      <c r="L3845">
        <v>-42.38</v>
      </c>
      <c r="M3845">
        <v>38</v>
      </c>
      <c r="N3845">
        <v>-15.79</v>
      </c>
      <c r="O3845">
        <v>39</v>
      </c>
      <c r="P3845">
        <v>-3.77</v>
      </c>
      <c r="Q3845">
        <v>53</v>
      </c>
      <c r="R3845">
        <v>-14.4</v>
      </c>
      <c r="S3845">
        <v>45</v>
      </c>
      <c r="T3845">
        <v>19.3</v>
      </c>
      <c r="U3845">
        <v>49</v>
      </c>
      <c r="V3845">
        <v>-2.85</v>
      </c>
      <c r="W3845">
        <v>17</v>
      </c>
      <c r="X3845" t="s">
        <v>94</v>
      </c>
      <c r="Y3845" t="s">
        <v>95</v>
      </c>
      <c r="Z3845" t="s">
        <v>96</v>
      </c>
      <c r="AA3845" t="s">
        <v>4728</v>
      </c>
      <c r="AB3845" t="s">
        <v>11080</v>
      </c>
      <c r="AC3845">
        <v>17</v>
      </c>
      <c r="AD3845">
        <v>17</v>
      </c>
      <c r="AE3845">
        <v>77</v>
      </c>
      <c r="AF3845">
        <v>-89.37</v>
      </c>
      <c r="AG3845">
        <v>3.34</v>
      </c>
      <c r="AH3845">
        <v>-3.62</v>
      </c>
      <c r="AI3845">
        <v>0.11</v>
      </c>
      <c r="AJ3845">
        <v>-0.01</v>
      </c>
      <c r="AK3845">
        <v>38</v>
      </c>
      <c r="AL3845">
        <v>21</v>
      </c>
      <c r="AM3845">
        <v>20</v>
      </c>
      <c r="AN3845">
        <v>2.29</v>
      </c>
      <c r="AO3845">
        <v>-1.0900000000000001</v>
      </c>
      <c r="AP3845">
        <v>1</v>
      </c>
      <c r="AQ3845">
        <v>0</v>
      </c>
      <c r="AR3845">
        <v>9.4700000000000006</v>
      </c>
      <c r="AS3845">
        <v>16</v>
      </c>
      <c r="AT3845">
        <v>4.29</v>
      </c>
      <c r="AU3845">
        <v>34</v>
      </c>
      <c r="AV3845">
        <v>0.01</v>
      </c>
      <c r="AW3845">
        <v>51</v>
      </c>
      <c r="AX3845">
        <v>0.31</v>
      </c>
      <c r="AY3845">
        <v>43</v>
      </c>
      <c r="AZ3845">
        <v>6.03</v>
      </c>
      <c r="BA3845">
        <v>15</v>
      </c>
      <c r="BB3845">
        <v>4.68</v>
      </c>
      <c r="BC3845">
        <v>24</v>
      </c>
      <c r="BD3845">
        <v>0.06</v>
      </c>
      <c r="BE3845">
        <v>0.09</v>
      </c>
      <c r="BF3845">
        <v>0.06</v>
      </c>
      <c r="BG3845">
        <v>59</v>
      </c>
      <c r="BH3845">
        <v>-0.04</v>
      </c>
      <c r="BI3845">
        <v>4.57</v>
      </c>
      <c r="BJ3845">
        <v>5</v>
      </c>
      <c r="BK3845">
        <v>5</v>
      </c>
      <c r="BL3845">
        <v>0.36</v>
      </c>
      <c r="BM3845">
        <v>2.4500000000000002</v>
      </c>
      <c r="BN3845">
        <v>0.44</v>
      </c>
      <c r="BO3845">
        <v>-1.31</v>
      </c>
      <c r="BP3845">
        <v>-1.18</v>
      </c>
      <c r="BQ3845">
        <v>2.3199999999999998</v>
      </c>
      <c r="BR3845">
        <v>-0.3</v>
      </c>
      <c r="BS3845">
        <v>0</v>
      </c>
      <c r="BT3845">
        <v>0.38</v>
      </c>
      <c r="BU3845">
        <v>-0.25</v>
      </c>
      <c r="BV3845">
        <v>-0.8</v>
      </c>
      <c r="BW3845">
        <v>-0.46</v>
      </c>
      <c r="BX3845">
        <v>-0.12</v>
      </c>
      <c r="BY3845">
        <v>-1.06</v>
      </c>
      <c r="BZ3845">
        <v>0.27</v>
      </c>
      <c r="CA3845">
        <v>-0.62</v>
      </c>
      <c r="CB3845">
        <v>-0.61</v>
      </c>
      <c r="CC3845">
        <v>-0.41</v>
      </c>
      <c r="CD3845">
        <v>1.81</v>
      </c>
      <c r="CE3845">
        <v>-1.3</v>
      </c>
      <c r="CF3845">
        <v>1.01</v>
      </c>
      <c r="CG3845">
        <v>0</v>
      </c>
      <c r="CH3845">
        <v>0.18</v>
      </c>
      <c r="CI3845">
        <v>0</v>
      </c>
      <c r="CJ3845">
        <v>0.7</v>
      </c>
      <c r="CK3845">
        <v>55</v>
      </c>
      <c r="CL3845">
        <v>-0.45</v>
      </c>
      <c r="CM3845">
        <v>51</v>
      </c>
      <c r="CN3845">
        <v>-0.06</v>
      </c>
      <c r="CO3845">
        <v>46</v>
      </c>
      <c r="CP3845">
        <v>-5.3</v>
      </c>
      <c r="CQ3845">
        <v>60</v>
      </c>
      <c r="CR3845">
        <v>0</v>
      </c>
      <c r="CS3845">
        <v>0</v>
      </c>
      <c r="CT3845">
        <v>-12.3</v>
      </c>
      <c r="CU3845">
        <v>49</v>
      </c>
      <c r="CV3845">
        <v>0.15</v>
      </c>
      <c r="CW3845">
        <v>14</v>
      </c>
      <c r="CX3845" t="s">
        <v>154</v>
      </c>
    </row>
    <row r="3846" spans="1:102" x14ac:dyDescent="0.3">
      <c r="A3846" t="str">
        <f>HYPERLINK("https://webapp.icbf.com/v2/app/bull-search/view/77852635","WNN")</f>
        <v>WNN</v>
      </c>
      <c r="B3846" t="s">
        <v>2985</v>
      </c>
      <c r="C3846" t="s">
        <v>2986</v>
      </c>
      <c r="D3846" s="1">
        <v>34591</v>
      </c>
      <c r="E3846" t="s">
        <v>92</v>
      </c>
      <c r="F3846">
        <v>100</v>
      </c>
      <c r="G3846" t="s">
        <v>93</v>
      </c>
      <c r="H3846">
        <v>-66.28</v>
      </c>
      <c r="I3846">
        <v>83</v>
      </c>
      <c r="J3846">
        <v>36.14</v>
      </c>
      <c r="K3846">
        <v>96</v>
      </c>
      <c r="L3846">
        <v>-86.49</v>
      </c>
      <c r="M3846">
        <v>79</v>
      </c>
      <c r="N3846">
        <v>-13.76</v>
      </c>
      <c r="O3846">
        <v>69</v>
      </c>
      <c r="P3846">
        <v>-5.82</v>
      </c>
      <c r="Q3846">
        <v>79</v>
      </c>
      <c r="R3846">
        <v>-8.2899999999999991</v>
      </c>
      <c r="S3846">
        <v>78</v>
      </c>
      <c r="T3846">
        <v>12.05</v>
      </c>
      <c r="U3846">
        <v>78</v>
      </c>
      <c r="V3846">
        <v>-0.11</v>
      </c>
      <c r="W3846">
        <v>67</v>
      </c>
      <c r="X3846" t="s">
        <v>94</v>
      </c>
      <c r="Y3846" t="s">
        <v>95</v>
      </c>
      <c r="Z3846" t="s">
        <v>96</v>
      </c>
      <c r="AA3846" t="s">
        <v>954</v>
      </c>
      <c r="AB3846" t="s">
        <v>2987</v>
      </c>
      <c r="AC3846">
        <v>72</v>
      </c>
      <c r="AD3846">
        <v>64</v>
      </c>
      <c r="AE3846">
        <v>96</v>
      </c>
      <c r="AF3846">
        <v>235.34</v>
      </c>
      <c r="AG3846">
        <v>6.61</v>
      </c>
      <c r="AH3846">
        <v>7.41</v>
      </c>
      <c r="AI3846">
        <v>-0.04</v>
      </c>
      <c r="AJ3846">
        <v>-0.01</v>
      </c>
      <c r="AK3846">
        <v>79</v>
      </c>
      <c r="AL3846">
        <v>79</v>
      </c>
      <c r="AM3846">
        <v>65</v>
      </c>
      <c r="AN3846">
        <v>6.07</v>
      </c>
      <c r="AO3846">
        <v>-0.81</v>
      </c>
      <c r="AP3846">
        <v>1</v>
      </c>
      <c r="AQ3846">
        <v>0</v>
      </c>
      <c r="AR3846">
        <v>8.66</v>
      </c>
      <c r="AS3846">
        <v>58</v>
      </c>
      <c r="AT3846">
        <v>3.88</v>
      </c>
      <c r="AU3846">
        <v>75</v>
      </c>
      <c r="AV3846">
        <v>-0.36</v>
      </c>
      <c r="AW3846">
        <v>70</v>
      </c>
      <c r="AX3846">
        <v>-0.08</v>
      </c>
      <c r="AY3846">
        <v>76</v>
      </c>
      <c r="AZ3846">
        <v>7.55</v>
      </c>
      <c r="BA3846">
        <v>50</v>
      </c>
      <c r="BB3846">
        <v>5.92</v>
      </c>
      <c r="BC3846">
        <v>64</v>
      </c>
      <c r="BD3846">
        <v>0.04</v>
      </c>
      <c r="BE3846">
        <v>0.06</v>
      </c>
      <c r="BF3846">
        <v>0.01</v>
      </c>
      <c r="BG3846">
        <v>89</v>
      </c>
      <c r="BH3846">
        <v>0.11</v>
      </c>
      <c r="BI3846">
        <v>13.07</v>
      </c>
      <c r="BJ3846">
        <v>7</v>
      </c>
      <c r="BK3846">
        <v>6</v>
      </c>
      <c r="BL3846">
        <v>-0.43</v>
      </c>
      <c r="BM3846">
        <v>1.78</v>
      </c>
      <c r="BN3846">
        <v>-0.02</v>
      </c>
      <c r="BO3846">
        <v>-0.42</v>
      </c>
      <c r="BP3846">
        <v>1.44</v>
      </c>
      <c r="BQ3846">
        <v>-0.35</v>
      </c>
      <c r="BR3846">
        <v>0.84</v>
      </c>
      <c r="BS3846">
        <v>-2.0099999999999998</v>
      </c>
      <c r="BT3846">
        <v>-1.2</v>
      </c>
      <c r="BU3846">
        <v>-0.08</v>
      </c>
      <c r="BV3846">
        <v>0.51</v>
      </c>
      <c r="BW3846">
        <v>0.33</v>
      </c>
      <c r="BX3846">
        <v>-1.1100000000000001</v>
      </c>
      <c r="BY3846">
        <v>-0.24</v>
      </c>
      <c r="BZ3846">
        <v>-0.23</v>
      </c>
      <c r="CA3846">
        <v>-0.2</v>
      </c>
      <c r="CB3846">
        <v>0.7</v>
      </c>
      <c r="CC3846">
        <v>-2.1</v>
      </c>
      <c r="CD3846">
        <v>0.74</v>
      </c>
      <c r="CE3846">
        <v>-0.16</v>
      </c>
      <c r="CF3846">
        <v>-0.28000000000000003</v>
      </c>
      <c r="CG3846">
        <v>0</v>
      </c>
      <c r="CH3846">
        <v>-0.51</v>
      </c>
      <c r="CI3846">
        <v>0</v>
      </c>
      <c r="CJ3846">
        <v>-2.9</v>
      </c>
      <c r="CK3846">
        <v>80</v>
      </c>
      <c r="CL3846">
        <v>-0.39</v>
      </c>
      <c r="CM3846">
        <v>77</v>
      </c>
      <c r="CN3846">
        <v>-0.32</v>
      </c>
      <c r="CO3846">
        <v>75</v>
      </c>
      <c r="CP3846">
        <v>-10.3</v>
      </c>
      <c r="CQ3846">
        <v>85</v>
      </c>
      <c r="CR3846">
        <v>0</v>
      </c>
      <c r="CS3846">
        <v>0</v>
      </c>
      <c r="CT3846">
        <v>-2.5</v>
      </c>
      <c r="CU3846">
        <v>78</v>
      </c>
      <c r="CV3846">
        <v>0.02</v>
      </c>
      <c r="CW3846">
        <v>41</v>
      </c>
      <c r="CX3846" t="s">
        <v>166</v>
      </c>
    </row>
    <row r="3847" spans="1:102" x14ac:dyDescent="0.3">
      <c r="A3847" t="str">
        <f>HYPERLINK("https://webapp.icbf.com/v2/app/bull-search/view/108368023","SBW")</f>
        <v>SBW</v>
      </c>
      <c r="B3847" t="s">
        <v>4978</v>
      </c>
      <c r="C3847" t="s">
        <v>4979</v>
      </c>
      <c r="D3847" s="1">
        <v>35235</v>
      </c>
      <c r="E3847" t="s">
        <v>92</v>
      </c>
      <c r="F3847">
        <v>100</v>
      </c>
      <c r="G3847" t="s">
        <v>93</v>
      </c>
      <c r="H3847">
        <v>-66.45</v>
      </c>
      <c r="I3847">
        <v>91</v>
      </c>
      <c r="J3847">
        <v>9.7899999999999991</v>
      </c>
      <c r="K3847">
        <v>97</v>
      </c>
      <c r="L3847">
        <v>-86.42</v>
      </c>
      <c r="M3847">
        <v>91</v>
      </c>
      <c r="N3847">
        <v>12.69</v>
      </c>
      <c r="O3847">
        <v>88</v>
      </c>
      <c r="P3847">
        <v>1.25</v>
      </c>
      <c r="Q3847">
        <v>92</v>
      </c>
      <c r="R3847">
        <v>-4.03</v>
      </c>
      <c r="S3847">
        <v>84</v>
      </c>
      <c r="T3847">
        <v>6.65</v>
      </c>
      <c r="U3847">
        <v>85</v>
      </c>
      <c r="V3847">
        <v>-6.38</v>
      </c>
      <c r="W3847">
        <v>75</v>
      </c>
      <c r="X3847" t="s">
        <v>276</v>
      </c>
      <c r="Y3847" t="s">
        <v>95</v>
      </c>
      <c r="Z3847" t="s">
        <v>96</v>
      </c>
      <c r="AA3847" t="s">
        <v>1106</v>
      </c>
      <c r="AB3847" t="s">
        <v>4980</v>
      </c>
      <c r="AC3847">
        <v>105</v>
      </c>
      <c r="AD3847">
        <v>59</v>
      </c>
      <c r="AE3847">
        <v>97</v>
      </c>
      <c r="AF3847">
        <v>295.45</v>
      </c>
      <c r="AG3847">
        <v>3.33</v>
      </c>
      <c r="AH3847">
        <v>5.01</v>
      </c>
      <c r="AI3847">
        <v>-0.14000000000000001</v>
      </c>
      <c r="AJ3847">
        <v>-0.08</v>
      </c>
      <c r="AK3847">
        <v>91</v>
      </c>
      <c r="AL3847">
        <v>104</v>
      </c>
      <c r="AM3847">
        <v>59</v>
      </c>
      <c r="AN3847">
        <v>6.42</v>
      </c>
      <c r="AO3847">
        <v>-0.45</v>
      </c>
      <c r="AP3847">
        <v>197</v>
      </c>
      <c r="AQ3847">
        <v>0</v>
      </c>
      <c r="AR3847">
        <v>7.07</v>
      </c>
      <c r="AS3847">
        <v>78</v>
      </c>
      <c r="AT3847">
        <v>3.68</v>
      </c>
      <c r="AU3847">
        <v>99</v>
      </c>
      <c r="AV3847">
        <v>-2.0299999999999998</v>
      </c>
      <c r="AW3847">
        <v>92</v>
      </c>
      <c r="AX3847">
        <v>-0.26</v>
      </c>
      <c r="AY3847">
        <v>84</v>
      </c>
      <c r="AZ3847">
        <v>6.58</v>
      </c>
      <c r="BA3847">
        <v>69</v>
      </c>
      <c r="BB3847">
        <v>5.0599999999999996</v>
      </c>
      <c r="BC3847">
        <v>71</v>
      </c>
      <c r="BD3847">
        <v>0.04</v>
      </c>
      <c r="BE3847">
        <v>0.04</v>
      </c>
      <c r="BF3847">
        <v>-0.05</v>
      </c>
      <c r="BG3847">
        <v>95</v>
      </c>
      <c r="BH3847">
        <v>-0.16</v>
      </c>
      <c r="BI3847">
        <v>2.0699999999999998</v>
      </c>
      <c r="BJ3847">
        <v>37</v>
      </c>
      <c r="BK3847">
        <v>22</v>
      </c>
      <c r="BL3847">
        <v>1.04</v>
      </c>
      <c r="BM3847">
        <v>-1.36</v>
      </c>
      <c r="BN3847">
        <v>0.37</v>
      </c>
      <c r="BO3847">
        <v>1.1399999999999999</v>
      </c>
      <c r="BP3847">
        <v>2.1800000000000002</v>
      </c>
      <c r="BQ3847">
        <v>-1.62</v>
      </c>
      <c r="BR3847">
        <v>-1.26</v>
      </c>
      <c r="BS3847">
        <v>-0.97</v>
      </c>
      <c r="BT3847">
        <v>0.65</v>
      </c>
      <c r="BU3847">
        <v>0.28000000000000003</v>
      </c>
      <c r="BV3847">
        <v>0.08</v>
      </c>
      <c r="BW3847">
        <v>-0.84</v>
      </c>
      <c r="BX3847">
        <v>0.42</v>
      </c>
      <c r="BY3847">
        <v>0.11</v>
      </c>
      <c r="BZ3847">
        <v>0.23</v>
      </c>
      <c r="CA3847">
        <v>-0.14000000000000001</v>
      </c>
      <c r="CB3847">
        <v>0.11</v>
      </c>
      <c r="CC3847">
        <v>-0.67</v>
      </c>
      <c r="CD3847">
        <v>-0.83</v>
      </c>
      <c r="CE3847">
        <v>1.21</v>
      </c>
      <c r="CF3847">
        <v>0.59</v>
      </c>
      <c r="CG3847">
        <v>0</v>
      </c>
      <c r="CH3847">
        <v>0.14000000000000001</v>
      </c>
      <c r="CI3847">
        <v>0</v>
      </c>
      <c r="CJ3847">
        <v>3.2</v>
      </c>
      <c r="CK3847">
        <v>93</v>
      </c>
      <c r="CL3847">
        <v>-0.66</v>
      </c>
      <c r="CM3847">
        <v>92</v>
      </c>
      <c r="CN3847">
        <v>-0.37</v>
      </c>
      <c r="CO3847">
        <v>91</v>
      </c>
      <c r="CP3847">
        <v>-4.5999999999999996</v>
      </c>
      <c r="CQ3847">
        <v>92</v>
      </c>
      <c r="CR3847">
        <v>0</v>
      </c>
      <c r="CS3847">
        <v>0</v>
      </c>
      <c r="CT3847">
        <v>4.8</v>
      </c>
      <c r="CU3847">
        <v>85</v>
      </c>
      <c r="CV3847">
        <v>0.19</v>
      </c>
      <c r="CW3847">
        <v>44</v>
      </c>
      <c r="CX3847" t="s">
        <v>4981</v>
      </c>
    </row>
    <row r="3848" spans="1:102" x14ac:dyDescent="0.3">
      <c r="A3848" t="str">
        <f>HYPERLINK("https://webapp.icbf.com/v2/app/bull-search/view/69091687","FPO")</f>
        <v>FPO</v>
      </c>
      <c r="B3848" t="s">
        <v>535</v>
      </c>
      <c r="C3848" t="s">
        <v>536</v>
      </c>
      <c r="D3848" s="1">
        <v>32019</v>
      </c>
      <c r="E3848" t="s">
        <v>108</v>
      </c>
      <c r="F3848">
        <v>0</v>
      </c>
      <c r="G3848" t="s">
        <v>109</v>
      </c>
      <c r="H3848">
        <v>-66.59</v>
      </c>
      <c r="I3848">
        <v>60</v>
      </c>
      <c r="J3848">
        <v>10.62</v>
      </c>
      <c r="K3848">
        <v>76</v>
      </c>
      <c r="L3848">
        <v>-28.68</v>
      </c>
      <c r="M3848">
        <v>69</v>
      </c>
      <c r="N3848">
        <v>-38.950000000000003</v>
      </c>
      <c r="O3848">
        <v>37</v>
      </c>
      <c r="P3848">
        <v>-8.14</v>
      </c>
      <c r="Q3848">
        <v>37</v>
      </c>
      <c r="R3848">
        <v>-8.48</v>
      </c>
      <c r="S3848">
        <v>53</v>
      </c>
      <c r="T3848">
        <v>14.2</v>
      </c>
      <c r="U3848">
        <v>30</v>
      </c>
      <c r="V3848">
        <v>-7.16</v>
      </c>
      <c r="W3848">
        <v>20</v>
      </c>
      <c r="X3848" t="s">
        <v>110</v>
      </c>
      <c r="Y3848" t="s">
        <v>95</v>
      </c>
      <c r="Z3848" t="s">
        <v>96</v>
      </c>
      <c r="AA3848" t="s">
        <v>537</v>
      </c>
      <c r="AB3848" t="s">
        <v>538</v>
      </c>
      <c r="AC3848">
        <v>0</v>
      </c>
      <c r="AD3848">
        <v>0</v>
      </c>
      <c r="AE3848">
        <v>76</v>
      </c>
      <c r="AF3848">
        <v>-169.04</v>
      </c>
      <c r="AG3848">
        <v>10.029999999999999</v>
      </c>
      <c r="AH3848">
        <v>-4.33</v>
      </c>
      <c r="AI3848">
        <v>0.28000000000000003</v>
      </c>
      <c r="AJ3848">
        <v>0.03</v>
      </c>
      <c r="AK3848">
        <v>69</v>
      </c>
      <c r="AL3848">
        <v>0</v>
      </c>
      <c r="AM3848">
        <v>0</v>
      </c>
      <c r="AN3848">
        <v>1.35</v>
      </c>
      <c r="AO3848">
        <v>-0.94</v>
      </c>
      <c r="AP3848">
        <v>1</v>
      </c>
      <c r="AQ3848">
        <v>0</v>
      </c>
      <c r="AR3848">
        <v>12.69</v>
      </c>
      <c r="AS3848">
        <v>22</v>
      </c>
      <c r="AT3848">
        <v>5.68</v>
      </c>
      <c r="AU3848">
        <v>69</v>
      </c>
      <c r="AV3848">
        <v>-0.75</v>
      </c>
      <c r="AW3848">
        <v>28</v>
      </c>
      <c r="AX3848">
        <v>-0.56000000000000005</v>
      </c>
      <c r="AY3848">
        <v>33</v>
      </c>
      <c r="AZ3848">
        <v>6.75</v>
      </c>
      <c r="BA3848">
        <v>22</v>
      </c>
      <c r="BB3848">
        <v>4.8499999999999996</v>
      </c>
      <c r="BC3848">
        <v>25</v>
      </c>
      <c r="BD3848">
        <v>0</v>
      </c>
      <c r="BE3848">
        <v>0.05</v>
      </c>
      <c r="BF3848">
        <v>0.1</v>
      </c>
      <c r="BG3848">
        <v>79</v>
      </c>
      <c r="BH3848">
        <v>-0.09</v>
      </c>
      <c r="BI3848">
        <v>12.69</v>
      </c>
      <c r="BJ3848">
        <v>0</v>
      </c>
      <c r="BK3848">
        <v>0</v>
      </c>
      <c r="BL3848">
        <v>-0.06</v>
      </c>
      <c r="BM3848">
        <v>-0.2</v>
      </c>
      <c r="BN3848">
        <v>-0.31</v>
      </c>
      <c r="BO3848">
        <v>-0.24</v>
      </c>
      <c r="BP3848">
        <v>0.38</v>
      </c>
      <c r="BQ3848">
        <v>-0.96</v>
      </c>
      <c r="BR3848">
        <v>0.21</v>
      </c>
      <c r="BS3848">
        <v>-0.56999999999999995</v>
      </c>
      <c r="BT3848">
        <v>-0.7</v>
      </c>
      <c r="BU3848">
        <v>-1.52</v>
      </c>
      <c r="BV3848">
        <v>-1.03</v>
      </c>
      <c r="BW3848">
        <v>-0.24</v>
      </c>
      <c r="BX3848">
        <v>-1.34</v>
      </c>
      <c r="BY3848">
        <v>-0.62</v>
      </c>
      <c r="BZ3848">
        <v>-0.55000000000000004</v>
      </c>
      <c r="CA3848">
        <v>-1.1000000000000001</v>
      </c>
      <c r="CB3848">
        <v>-1.61</v>
      </c>
      <c r="CC3848">
        <v>-0.28999999999999998</v>
      </c>
      <c r="CD3848">
        <v>0.11</v>
      </c>
      <c r="CE3848">
        <v>-0.17</v>
      </c>
      <c r="CF3848">
        <v>-0.33</v>
      </c>
      <c r="CG3848">
        <v>0</v>
      </c>
      <c r="CH3848">
        <v>-1.26</v>
      </c>
      <c r="CI3848">
        <v>0</v>
      </c>
      <c r="CJ3848">
        <v>-3.5</v>
      </c>
      <c r="CK3848">
        <v>38</v>
      </c>
      <c r="CL3848">
        <v>-0.55000000000000004</v>
      </c>
      <c r="CM3848">
        <v>36</v>
      </c>
      <c r="CN3848">
        <v>-0.28000000000000003</v>
      </c>
      <c r="CO3848">
        <v>35</v>
      </c>
      <c r="CP3848">
        <v>-6.1</v>
      </c>
      <c r="CQ3848">
        <v>32</v>
      </c>
      <c r="CR3848">
        <v>0</v>
      </c>
      <c r="CS3848">
        <v>0</v>
      </c>
      <c r="CT3848">
        <v>-5.4</v>
      </c>
      <c r="CU3848">
        <v>30</v>
      </c>
      <c r="CV3848">
        <v>7.0000000000000007E-2</v>
      </c>
      <c r="CW3848">
        <v>11</v>
      </c>
      <c r="CX3848" t="s">
        <v>539</v>
      </c>
    </row>
    <row r="3849" spans="1:102" x14ac:dyDescent="0.3">
      <c r="A3849" t="str">
        <f>HYPERLINK("https://webapp.icbf.com/v2/app/bull-search/view/146113908","KBA")</f>
        <v>KBA</v>
      </c>
      <c r="B3849" t="s">
        <v>11487</v>
      </c>
      <c r="C3849" t="s">
        <v>4756</v>
      </c>
      <c r="D3849" s="1">
        <v>35444</v>
      </c>
      <c r="E3849" t="s">
        <v>92</v>
      </c>
      <c r="F3849">
        <v>94</v>
      </c>
      <c r="G3849" t="s">
        <v>93</v>
      </c>
      <c r="H3849">
        <v>-66.67</v>
      </c>
      <c r="I3849">
        <v>99</v>
      </c>
      <c r="J3849">
        <v>22.47</v>
      </c>
      <c r="K3849">
        <v>99</v>
      </c>
      <c r="L3849">
        <v>-82.02</v>
      </c>
      <c r="M3849">
        <v>98</v>
      </c>
      <c r="N3849">
        <v>19.16</v>
      </c>
      <c r="O3849">
        <v>99</v>
      </c>
      <c r="P3849">
        <v>14.37</v>
      </c>
      <c r="Q3849">
        <v>99</v>
      </c>
      <c r="R3849">
        <v>0.48</v>
      </c>
      <c r="S3849">
        <v>99</v>
      </c>
      <c r="T3849">
        <v>-23.62</v>
      </c>
      <c r="U3849">
        <v>99</v>
      </c>
      <c r="V3849">
        <v>-17.510000000000002</v>
      </c>
      <c r="W3849">
        <v>99</v>
      </c>
      <c r="X3849" t="s">
        <v>94</v>
      </c>
      <c r="Y3849" t="s">
        <v>95</v>
      </c>
      <c r="Z3849" t="s">
        <v>96</v>
      </c>
      <c r="AA3849" t="s">
        <v>11488</v>
      </c>
      <c r="AB3849" t="s">
        <v>11489</v>
      </c>
      <c r="AC3849">
        <v>7487</v>
      </c>
      <c r="AD3849">
        <v>2308</v>
      </c>
      <c r="AE3849">
        <v>99</v>
      </c>
      <c r="AF3849">
        <v>-77.45</v>
      </c>
      <c r="AG3849">
        <v>4.2</v>
      </c>
      <c r="AH3849">
        <v>1.1499999999999999</v>
      </c>
      <c r="AI3849">
        <v>0.13</v>
      </c>
      <c r="AJ3849">
        <v>7.0000000000000007E-2</v>
      </c>
      <c r="AK3849">
        <v>98</v>
      </c>
      <c r="AL3849">
        <v>8522</v>
      </c>
      <c r="AM3849">
        <v>2990</v>
      </c>
      <c r="AN3849">
        <v>2.99</v>
      </c>
      <c r="AO3849">
        <v>-3.57</v>
      </c>
      <c r="AP3849">
        <v>13301</v>
      </c>
      <c r="AQ3849">
        <v>89</v>
      </c>
      <c r="AR3849">
        <v>6.91</v>
      </c>
      <c r="AS3849">
        <v>99</v>
      </c>
      <c r="AT3849">
        <v>2.97</v>
      </c>
      <c r="AU3849">
        <v>99</v>
      </c>
      <c r="AV3849">
        <v>-1.34</v>
      </c>
      <c r="AW3849">
        <v>99</v>
      </c>
      <c r="AX3849">
        <v>-0.3</v>
      </c>
      <c r="AY3849">
        <v>99</v>
      </c>
      <c r="AZ3849">
        <v>5.21</v>
      </c>
      <c r="BA3849">
        <v>99</v>
      </c>
      <c r="BB3849">
        <v>4.3600000000000003</v>
      </c>
      <c r="BC3849">
        <v>99</v>
      </c>
      <c r="BD3849">
        <v>-0.06</v>
      </c>
      <c r="BE3849">
        <v>0.01</v>
      </c>
      <c r="BF3849">
        <v>7.0000000000000007E-2</v>
      </c>
      <c r="BG3849">
        <v>99</v>
      </c>
      <c r="BH3849">
        <v>-0.17</v>
      </c>
      <c r="BI3849">
        <v>36.82</v>
      </c>
      <c r="BJ3849">
        <v>275</v>
      </c>
      <c r="BK3849">
        <v>148</v>
      </c>
      <c r="BL3849">
        <v>1.2</v>
      </c>
      <c r="BM3849">
        <v>3.7</v>
      </c>
      <c r="BN3849">
        <v>1.77</v>
      </c>
      <c r="BO3849">
        <v>-0.98</v>
      </c>
      <c r="BP3849">
        <v>1.78</v>
      </c>
      <c r="BQ3849">
        <v>0.64</v>
      </c>
      <c r="BR3849">
        <v>-1.53</v>
      </c>
      <c r="BS3849">
        <v>0.94</v>
      </c>
      <c r="BT3849">
        <v>1.59</v>
      </c>
      <c r="BU3849">
        <v>0.04</v>
      </c>
      <c r="BV3849">
        <v>-1.34</v>
      </c>
      <c r="BW3849">
        <v>-0.33</v>
      </c>
      <c r="BX3849">
        <v>-0.14000000000000001</v>
      </c>
      <c r="BY3849">
        <v>0.01</v>
      </c>
      <c r="BZ3849">
        <v>2.46</v>
      </c>
      <c r="CA3849">
        <v>-0.22</v>
      </c>
      <c r="CB3849">
        <v>-0.92</v>
      </c>
      <c r="CC3849">
        <v>0.77</v>
      </c>
      <c r="CD3849">
        <v>2.21</v>
      </c>
      <c r="CE3849">
        <v>-1.4</v>
      </c>
      <c r="CF3849">
        <v>2.52</v>
      </c>
      <c r="CG3849">
        <v>0</v>
      </c>
      <c r="CH3849">
        <v>-0.19</v>
      </c>
      <c r="CI3849">
        <v>0</v>
      </c>
      <c r="CJ3849">
        <v>8.8000000000000007</v>
      </c>
      <c r="CK3849">
        <v>99</v>
      </c>
      <c r="CL3849">
        <v>-0.53</v>
      </c>
      <c r="CM3849">
        <v>99</v>
      </c>
      <c r="CN3849">
        <v>-0.4</v>
      </c>
      <c r="CO3849">
        <v>99</v>
      </c>
      <c r="CP3849">
        <v>20.100000000000001</v>
      </c>
      <c r="CQ3849">
        <v>99</v>
      </c>
      <c r="CR3849">
        <v>0</v>
      </c>
      <c r="CS3849">
        <v>0</v>
      </c>
      <c r="CT3849">
        <v>45.7</v>
      </c>
      <c r="CU3849">
        <v>99</v>
      </c>
      <c r="CV3849">
        <v>7.0000000000000007E-2</v>
      </c>
      <c r="CW3849">
        <v>47</v>
      </c>
      <c r="CX3849" t="s">
        <v>2805</v>
      </c>
    </row>
    <row r="3850" spans="1:102" x14ac:dyDescent="0.3">
      <c r="A3850" t="str">
        <f>HYPERLINK("https://webapp.icbf.com/v2/app/bull-search/view/77855557","MBW")</f>
        <v>MBW</v>
      </c>
      <c r="B3850" t="s">
        <v>2443</v>
      </c>
      <c r="C3850" t="s">
        <v>2444</v>
      </c>
      <c r="D3850" s="1">
        <v>33734</v>
      </c>
      <c r="E3850" t="s">
        <v>92</v>
      </c>
      <c r="F3850">
        <v>100</v>
      </c>
      <c r="G3850" t="s">
        <v>93</v>
      </c>
      <c r="H3850">
        <v>-66.709999999999994</v>
      </c>
      <c r="I3850">
        <v>97</v>
      </c>
      <c r="J3850">
        <v>18.87</v>
      </c>
      <c r="K3850">
        <v>99</v>
      </c>
      <c r="L3850">
        <v>-76.069999999999993</v>
      </c>
      <c r="M3850">
        <v>95</v>
      </c>
      <c r="N3850">
        <v>-4.6399999999999997</v>
      </c>
      <c r="O3850">
        <v>96</v>
      </c>
      <c r="P3850">
        <v>-5.76</v>
      </c>
      <c r="Q3850">
        <v>99</v>
      </c>
      <c r="R3850">
        <v>-0.39</v>
      </c>
      <c r="S3850">
        <v>91</v>
      </c>
      <c r="T3850">
        <v>6.2</v>
      </c>
      <c r="U3850">
        <v>97</v>
      </c>
      <c r="V3850">
        <v>-4.92</v>
      </c>
      <c r="W3850">
        <v>90</v>
      </c>
      <c r="X3850" t="s">
        <v>276</v>
      </c>
      <c r="Y3850" t="s">
        <v>95</v>
      </c>
      <c r="Z3850" t="s">
        <v>96</v>
      </c>
      <c r="AA3850" t="s">
        <v>1463</v>
      </c>
      <c r="AB3850" t="s">
        <v>2445</v>
      </c>
      <c r="AC3850">
        <v>681</v>
      </c>
      <c r="AD3850">
        <v>302</v>
      </c>
      <c r="AE3850">
        <v>99</v>
      </c>
      <c r="AF3850">
        <v>56.17</v>
      </c>
      <c r="AG3850">
        <v>4.49</v>
      </c>
      <c r="AH3850">
        <v>2.48</v>
      </c>
      <c r="AI3850">
        <v>0.04</v>
      </c>
      <c r="AJ3850">
        <v>0.01</v>
      </c>
      <c r="AK3850">
        <v>95</v>
      </c>
      <c r="AL3850">
        <v>693</v>
      </c>
      <c r="AM3850">
        <v>296</v>
      </c>
      <c r="AN3850">
        <v>4.6500000000000004</v>
      </c>
      <c r="AO3850">
        <v>-1.41</v>
      </c>
      <c r="AP3850">
        <v>713</v>
      </c>
      <c r="AQ3850">
        <v>9</v>
      </c>
      <c r="AR3850">
        <v>5.64</v>
      </c>
      <c r="AS3850">
        <v>92</v>
      </c>
      <c r="AT3850">
        <v>2.72</v>
      </c>
      <c r="AU3850">
        <v>97</v>
      </c>
      <c r="AV3850">
        <v>1.53</v>
      </c>
      <c r="AW3850">
        <v>98</v>
      </c>
      <c r="AX3850">
        <v>0.42</v>
      </c>
      <c r="AY3850">
        <v>96</v>
      </c>
      <c r="AZ3850">
        <v>6.91</v>
      </c>
      <c r="BA3850">
        <v>89</v>
      </c>
      <c r="BB3850">
        <v>4.7699999999999996</v>
      </c>
      <c r="BC3850">
        <v>91</v>
      </c>
      <c r="BD3850">
        <v>-0.03</v>
      </c>
      <c r="BE3850">
        <v>0.01</v>
      </c>
      <c r="BF3850">
        <v>0.04</v>
      </c>
      <c r="BG3850">
        <v>97</v>
      </c>
      <c r="BH3850">
        <v>-0.2</v>
      </c>
      <c r="BI3850">
        <v>-7.25</v>
      </c>
      <c r="BJ3850">
        <v>60</v>
      </c>
      <c r="BK3850">
        <v>32</v>
      </c>
      <c r="BL3850">
        <v>0.38</v>
      </c>
      <c r="BM3850">
        <v>1.71</v>
      </c>
      <c r="BN3850">
        <v>1.41</v>
      </c>
      <c r="BO3850">
        <v>-0.15</v>
      </c>
      <c r="BP3850">
        <v>-1.42</v>
      </c>
      <c r="BQ3850">
        <v>7.0000000000000007E-2</v>
      </c>
      <c r="BR3850">
        <v>0.34</v>
      </c>
      <c r="BS3850">
        <v>0.97</v>
      </c>
      <c r="BT3850">
        <v>0.4</v>
      </c>
      <c r="BU3850">
        <v>0.39</v>
      </c>
      <c r="BV3850">
        <v>-0.31</v>
      </c>
      <c r="BW3850">
        <v>-0.25</v>
      </c>
      <c r="BX3850">
        <v>0.72</v>
      </c>
      <c r="BY3850">
        <v>0.75</v>
      </c>
      <c r="BZ3850">
        <v>-3.34</v>
      </c>
      <c r="CA3850">
        <v>0.2</v>
      </c>
      <c r="CB3850">
        <v>0.14000000000000001</v>
      </c>
      <c r="CC3850">
        <v>0.35</v>
      </c>
      <c r="CD3850">
        <v>0.67</v>
      </c>
      <c r="CE3850">
        <v>-0.14000000000000001</v>
      </c>
      <c r="CF3850">
        <v>0.77</v>
      </c>
      <c r="CG3850">
        <v>0</v>
      </c>
      <c r="CH3850">
        <v>0.63</v>
      </c>
      <c r="CI3850">
        <v>0</v>
      </c>
      <c r="CJ3850">
        <v>-3.8</v>
      </c>
      <c r="CK3850">
        <v>99</v>
      </c>
      <c r="CL3850">
        <v>-0.65</v>
      </c>
      <c r="CM3850">
        <v>98</v>
      </c>
      <c r="CN3850">
        <v>-0.52</v>
      </c>
      <c r="CO3850">
        <v>98</v>
      </c>
      <c r="CP3850">
        <v>0.7</v>
      </c>
      <c r="CQ3850">
        <v>98</v>
      </c>
      <c r="CR3850">
        <v>0</v>
      </c>
      <c r="CS3850">
        <v>0</v>
      </c>
      <c r="CT3850">
        <v>5.4</v>
      </c>
      <c r="CU3850">
        <v>97</v>
      </c>
      <c r="CV3850">
        <v>7.0000000000000007E-2</v>
      </c>
      <c r="CW3850">
        <v>46</v>
      </c>
      <c r="CX3850" t="s">
        <v>543</v>
      </c>
    </row>
    <row r="3851" spans="1:102" x14ac:dyDescent="0.3">
      <c r="A3851" t="str">
        <f>HYPERLINK("https://webapp.icbf.com/v2/app/bull-search/view/431825425","S411")</f>
        <v>S411</v>
      </c>
      <c r="B3851" t="s">
        <v>10084</v>
      </c>
      <c r="C3851" t="s">
        <v>10085</v>
      </c>
      <c r="D3851" s="1">
        <v>36852</v>
      </c>
      <c r="E3851" t="s">
        <v>92</v>
      </c>
      <c r="F3851">
        <v>100</v>
      </c>
      <c r="G3851" t="s">
        <v>93</v>
      </c>
      <c r="H3851">
        <v>-66.72</v>
      </c>
      <c r="I3851">
        <v>90</v>
      </c>
      <c r="J3851">
        <v>55.98</v>
      </c>
      <c r="K3851">
        <v>96</v>
      </c>
      <c r="L3851">
        <v>-127.98</v>
      </c>
      <c r="M3851">
        <v>91</v>
      </c>
      <c r="N3851">
        <v>9.26</v>
      </c>
      <c r="O3851">
        <v>83</v>
      </c>
      <c r="P3851">
        <v>0.15</v>
      </c>
      <c r="Q3851">
        <v>87</v>
      </c>
      <c r="R3851">
        <v>-12.79</v>
      </c>
      <c r="S3851">
        <v>84</v>
      </c>
      <c r="T3851">
        <v>7.46</v>
      </c>
      <c r="U3851">
        <v>87</v>
      </c>
      <c r="V3851">
        <v>1.2</v>
      </c>
      <c r="W3851">
        <v>75</v>
      </c>
      <c r="X3851" t="s">
        <v>102</v>
      </c>
      <c r="Y3851" t="s">
        <v>545</v>
      </c>
      <c r="Z3851" t="s">
        <v>96</v>
      </c>
      <c r="AA3851" t="s">
        <v>273</v>
      </c>
      <c r="AB3851" t="s">
        <v>10086</v>
      </c>
      <c r="AC3851">
        <v>55</v>
      </c>
      <c r="AD3851">
        <v>28</v>
      </c>
      <c r="AE3851">
        <v>96</v>
      </c>
      <c r="AF3851">
        <v>592.58000000000004</v>
      </c>
      <c r="AG3851">
        <v>7.66</v>
      </c>
      <c r="AH3851">
        <v>15.88</v>
      </c>
      <c r="AI3851">
        <v>-0.24</v>
      </c>
      <c r="AJ3851">
        <v>-7.0000000000000007E-2</v>
      </c>
      <c r="AK3851">
        <v>91</v>
      </c>
      <c r="AL3851">
        <v>54</v>
      </c>
      <c r="AM3851">
        <v>27</v>
      </c>
      <c r="AN3851">
        <v>8.24</v>
      </c>
      <c r="AO3851">
        <v>-1.95</v>
      </c>
      <c r="AP3851">
        <v>59</v>
      </c>
      <c r="AQ3851">
        <v>0</v>
      </c>
      <c r="AR3851">
        <v>7.53</v>
      </c>
      <c r="AS3851">
        <v>75</v>
      </c>
      <c r="AT3851">
        <v>3.74</v>
      </c>
      <c r="AU3851">
        <v>98</v>
      </c>
      <c r="AV3851">
        <v>-1.71</v>
      </c>
      <c r="AW3851">
        <v>84</v>
      </c>
      <c r="AX3851">
        <v>-0.5</v>
      </c>
      <c r="AY3851">
        <v>76</v>
      </c>
      <c r="AZ3851">
        <v>5.85</v>
      </c>
      <c r="BA3851">
        <v>65</v>
      </c>
      <c r="BB3851">
        <v>5.22</v>
      </c>
      <c r="BC3851">
        <v>66</v>
      </c>
      <c r="BD3851">
        <v>0.06</v>
      </c>
      <c r="BE3851">
        <v>0.06</v>
      </c>
      <c r="BF3851">
        <v>0.08</v>
      </c>
      <c r="BG3851">
        <v>94</v>
      </c>
      <c r="BH3851">
        <v>0.15</v>
      </c>
      <c r="BI3851">
        <v>13.49</v>
      </c>
      <c r="BJ3851">
        <v>28</v>
      </c>
      <c r="BK3851">
        <v>16</v>
      </c>
      <c r="BL3851">
        <v>0.97</v>
      </c>
      <c r="BM3851">
        <v>-0.69</v>
      </c>
      <c r="BN3851">
        <v>-0.04</v>
      </c>
      <c r="BO3851">
        <v>0.97</v>
      </c>
      <c r="BP3851">
        <v>2.96</v>
      </c>
      <c r="BQ3851">
        <v>0.68</v>
      </c>
      <c r="BR3851">
        <v>-1.34</v>
      </c>
      <c r="BS3851">
        <v>-0.28000000000000003</v>
      </c>
      <c r="BT3851">
        <v>0.51</v>
      </c>
      <c r="BU3851">
        <v>0.86</v>
      </c>
      <c r="BV3851">
        <v>1.66</v>
      </c>
      <c r="BW3851">
        <v>1.23</v>
      </c>
      <c r="BX3851">
        <v>0.73</v>
      </c>
      <c r="BY3851">
        <v>0.12</v>
      </c>
      <c r="BZ3851">
        <v>-0.83</v>
      </c>
      <c r="CA3851">
        <v>1.1499999999999999</v>
      </c>
      <c r="CB3851">
        <v>1.41</v>
      </c>
      <c r="CC3851">
        <v>0.03</v>
      </c>
      <c r="CD3851">
        <v>-1.42</v>
      </c>
      <c r="CE3851">
        <v>0.86</v>
      </c>
      <c r="CF3851">
        <v>1.27</v>
      </c>
      <c r="CG3851">
        <v>0</v>
      </c>
      <c r="CH3851">
        <v>7.0000000000000007E-2</v>
      </c>
      <c r="CI3851">
        <v>0</v>
      </c>
      <c r="CJ3851">
        <v>2.7</v>
      </c>
      <c r="CK3851">
        <v>88</v>
      </c>
      <c r="CL3851">
        <v>-0.96</v>
      </c>
      <c r="CM3851">
        <v>86</v>
      </c>
      <c r="CN3851">
        <v>-0.56000000000000005</v>
      </c>
      <c r="CO3851">
        <v>84</v>
      </c>
      <c r="CP3851">
        <v>-1.5</v>
      </c>
      <c r="CQ3851">
        <v>88</v>
      </c>
      <c r="CR3851">
        <v>0</v>
      </c>
      <c r="CS3851">
        <v>0</v>
      </c>
      <c r="CT3851">
        <v>3.7</v>
      </c>
      <c r="CU3851">
        <v>87</v>
      </c>
      <c r="CV3851">
        <v>0.18</v>
      </c>
      <c r="CW3851">
        <v>43</v>
      </c>
      <c r="CX3851" t="s">
        <v>924</v>
      </c>
    </row>
    <row r="3852" spans="1:102" x14ac:dyDescent="0.3">
      <c r="A3852" t="str">
        <f>HYPERLINK("https://webapp.icbf.com/v2/app/bull-search/view/108367878","SHD")</f>
        <v>SHD</v>
      </c>
      <c r="B3852" t="s">
        <v>14609</v>
      </c>
      <c r="C3852" t="s">
        <v>14610</v>
      </c>
      <c r="D3852" s="1">
        <v>35389</v>
      </c>
      <c r="E3852" t="s">
        <v>92</v>
      </c>
      <c r="F3852">
        <v>100</v>
      </c>
      <c r="G3852" t="s">
        <v>93</v>
      </c>
      <c r="H3852">
        <v>-66.72</v>
      </c>
      <c r="I3852">
        <v>88</v>
      </c>
      <c r="J3852">
        <v>14.77</v>
      </c>
      <c r="K3852">
        <v>95</v>
      </c>
      <c r="L3852">
        <v>-98.76</v>
      </c>
      <c r="M3852">
        <v>89</v>
      </c>
      <c r="N3852">
        <v>10.99</v>
      </c>
      <c r="O3852">
        <v>81</v>
      </c>
      <c r="P3852">
        <v>-19.52</v>
      </c>
      <c r="Q3852">
        <v>89</v>
      </c>
      <c r="R3852">
        <v>1.74</v>
      </c>
      <c r="S3852">
        <v>80</v>
      </c>
      <c r="T3852">
        <v>22.56</v>
      </c>
      <c r="U3852">
        <v>78</v>
      </c>
      <c r="V3852">
        <v>1.5</v>
      </c>
      <c r="W3852">
        <v>69</v>
      </c>
      <c r="X3852" t="s">
        <v>276</v>
      </c>
      <c r="Y3852" t="s">
        <v>95</v>
      </c>
      <c r="Z3852" t="s">
        <v>96</v>
      </c>
      <c r="AA3852" t="s">
        <v>856</v>
      </c>
      <c r="AB3852" t="s">
        <v>14611</v>
      </c>
      <c r="AC3852">
        <v>49</v>
      </c>
      <c r="AD3852">
        <v>30</v>
      </c>
      <c r="AE3852">
        <v>95</v>
      </c>
      <c r="AF3852">
        <v>249.89</v>
      </c>
      <c r="AG3852">
        <v>3.41</v>
      </c>
      <c r="AH3852">
        <v>5.13</v>
      </c>
      <c r="AI3852">
        <v>-0.11</v>
      </c>
      <c r="AJ3852">
        <v>-0.06</v>
      </c>
      <c r="AK3852">
        <v>89</v>
      </c>
      <c r="AL3852">
        <v>45</v>
      </c>
      <c r="AM3852">
        <v>20</v>
      </c>
      <c r="AN3852">
        <v>6.63</v>
      </c>
      <c r="AO3852">
        <v>-1.23</v>
      </c>
      <c r="AP3852">
        <v>102</v>
      </c>
      <c r="AQ3852">
        <v>0</v>
      </c>
      <c r="AR3852">
        <v>6.75</v>
      </c>
      <c r="AS3852">
        <v>82</v>
      </c>
      <c r="AT3852">
        <v>3.21</v>
      </c>
      <c r="AU3852">
        <v>87</v>
      </c>
      <c r="AV3852">
        <v>-1.47</v>
      </c>
      <c r="AW3852">
        <v>86</v>
      </c>
      <c r="AX3852">
        <v>0.86</v>
      </c>
      <c r="AY3852">
        <v>77</v>
      </c>
      <c r="AZ3852">
        <v>6.73</v>
      </c>
      <c r="BA3852">
        <v>59</v>
      </c>
      <c r="BB3852">
        <v>4.91</v>
      </c>
      <c r="BC3852">
        <v>62</v>
      </c>
      <c r="BD3852">
        <v>-0.03</v>
      </c>
      <c r="BE3852">
        <v>0</v>
      </c>
      <c r="BF3852">
        <v>0.01</v>
      </c>
      <c r="BG3852">
        <v>93</v>
      </c>
      <c r="BH3852">
        <v>0.14000000000000001</v>
      </c>
      <c r="BI3852">
        <v>11.35</v>
      </c>
      <c r="BJ3852">
        <v>17</v>
      </c>
      <c r="BK3852">
        <v>10</v>
      </c>
      <c r="BL3852">
        <v>0.02</v>
      </c>
      <c r="BM3852">
        <v>-3.53</v>
      </c>
      <c r="BN3852">
        <v>-0.78</v>
      </c>
      <c r="BO3852">
        <v>1.48</v>
      </c>
      <c r="BP3852">
        <v>1.34</v>
      </c>
      <c r="BQ3852">
        <v>-3</v>
      </c>
      <c r="BR3852">
        <v>3.33</v>
      </c>
      <c r="BS3852">
        <v>-0.84</v>
      </c>
      <c r="BT3852">
        <v>-2.0699999999999998</v>
      </c>
      <c r="BU3852">
        <v>-0.28000000000000003</v>
      </c>
      <c r="BV3852">
        <v>0.3</v>
      </c>
      <c r="BW3852">
        <v>0.84</v>
      </c>
      <c r="BX3852">
        <v>-0.39</v>
      </c>
      <c r="BY3852">
        <v>2.31</v>
      </c>
      <c r="BZ3852">
        <v>-0.8</v>
      </c>
      <c r="CA3852">
        <v>0.52</v>
      </c>
      <c r="CB3852">
        <v>0.86</v>
      </c>
      <c r="CC3852">
        <v>-0.24</v>
      </c>
      <c r="CD3852">
        <v>-2.02</v>
      </c>
      <c r="CE3852">
        <v>0.84</v>
      </c>
      <c r="CF3852">
        <v>-0.43</v>
      </c>
      <c r="CG3852">
        <v>0</v>
      </c>
      <c r="CH3852">
        <v>2.48</v>
      </c>
      <c r="CI3852">
        <v>0</v>
      </c>
      <c r="CJ3852">
        <v>-10.3</v>
      </c>
      <c r="CK3852">
        <v>90</v>
      </c>
      <c r="CL3852">
        <v>-0.85</v>
      </c>
      <c r="CM3852">
        <v>88</v>
      </c>
      <c r="CN3852">
        <v>-0.46</v>
      </c>
      <c r="CO3852">
        <v>87</v>
      </c>
      <c r="CP3852">
        <v>-12.8</v>
      </c>
      <c r="CQ3852">
        <v>86</v>
      </c>
      <c r="CR3852">
        <v>0</v>
      </c>
      <c r="CS3852">
        <v>0</v>
      </c>
      <c r="CT3852">
        <v>-16.7</v>
      </c>
      <c r="CU3852">
        <v>78</v>
      </c>
      <c r="CV3852">
        <v>-0.02</v>
      </c>
      <c r="CW3852">
        <v>43</v>
      </c>
      <c r="CX3852" t="s">
        <v>561</v>
      </c>
    </row>
    <row r="3853" spans="1:102" x14ac:dyDescent="0.3">
      <c r="A3853" t="str">
        <f>HYPERLINK("https://webapp.icbf.com/v2/app/bull-search/view/423413698","LJN")</f>
        <v>LJN</v>
      </c>
      <c r="B3853" t="s">
        <v>12000</v>
      </c>
      <c r="C3853" t="s">
        <v>12001</v>
      </c>
      <c r="D3853" s="1">
        <v>38358</v>
      </c>
      <c r="E3853" t="s">
        <v>92</v>
      </c>
      <c r="F3853">
        <v>100</v>
      </c>
      <c r="G3853" t="s">
        <v>116</v>
      </c>
      <c r="H3853">
        <v>-66.739999999999995</v>
      </c>
      <c r="I3853">
        <v>34</v>
      </c>
      <c r="J3853">
        <v>23.96</v>
      </c>
      <c r="K3853">
        <v>37</v>
      </c>
      <c r="L3853">
        <v>-108.16</v>
      </c>
      <c r="M3853">
        <v>29</v>
      </c>
      <c r="N3853">
        <v>16.88</v>
      </c>
      <c r="O3853">
        <v>37</v>
      </c>
      <c r="P3853">
        <v>-7.87</v>
      </c>
      <c r="Q3853">
        <v>35</v>
      </c>
      <c r="R3853">
        <v>-3.1</v>
      </c>
      <c r="S3853">
        <v>35</v>
      </c>
      <c r="T3853">
        <v>14.2</v>
      </c>
      <c r="U3853">
        <v>40</v>
      </c>
      <c r="V3853">
        <v>-2.65</v>
      </c>
      <c r="W3853">
        <v>30</v>
      </c>
      <c r="X3853" t="s">
        <v>94</v>
      </c>
      <c r="Y3853" t="s">
        <v>1164</v>
      </c>
      <c r="Z3853" t="s">
        <v>96</v>
      </c>
      <c r="AA3853" t="s">
        <v>1207</v>
      </c>
      <c r="AB3853" t="s">
        <v>12002</v>
      </c>
      <c r="AC3853">
        <v>2</v>
      </c>
      <c r="AD3853">
        <v>2</v>
      </c>
      <c r="AE3853">
        <v>37</v>
      </c>
      <c r="AF3853">
        <v>140.24</v>
      </c>
      <c r="AG3853">
        <v>1.87</v>
      </c>
      <c r="AH3853">
        <v>5.56</v>
      </c>
      <c r="AI3853">
        <v>-0.06</v>
      </c>
      <c r="AJ3853">
        <v>0.01</v>
      </c>
      <c r="AK3853">
        <v>29</v>
      </c>
      <c r="AL3853">
        <v>2</v>
      </c>
      <c r="AM3853">
        <v>2</v>
      </c>
      <c r="AN3853">
        <v>6.34</v>
      </c>
      <c r="AO3853">
        <v>-2.2799999999999998</v>
      </c>
      <c r="AP3853">
        <v>1</v>
      </c>
      <c r="AQ3853">
        <v>0</v>
      </c>
      <c r="AR3853">
        <v>8.81</v>
      </c>
      <c r="AS3853">
        <v>28</v>
      </c>
      <c r="AT3853">
        <v>3.86</v>
      </c>
      <c r="AU3853">
        <v>35</v>
      </c>
      <c r="AV3853">
        <v>-2.8</v>
      </c>
      <c r="AW3853">
        <v>46</v>
      </c>
      <c r="AX3853">
        <v>-0.34</v>
      </c>
      <c r="AY3853">
        <v>33</v>
      </c>
      <c r="AZ3853">
        <v>5.53</v>
      </c>
      <c r="BA3853">
        <v>25</v>
      </c>
      <c r="BB3853">
        <v>4.37</v>
      </c>
      <c r="BC3853">
        <v>26</v>
      </c>
      <c r="BD3853">
        <v>-0.01</v>
      </c>
      <c r="BE3853">
        <v>0.02</v>
      </c>
      <c r="BF3853">
        <v>0.05</v>
      </c>
      <c r="BG3853">
        <v>39</v>
      </c>
      <c r="BH3853">
        <v>0.03</v>
      </c>
      <c r="BI3853">
        <v>12.03</v>
      </c>
      <c r="BJ3853">
        <v>0</v>
      </c>
      <c r="BK3853">
        <v>0</v>
      </c>
      <c r="BL3853">
        <v>0.83</v>
      </c>
      <c r="BM3853">
        <v>-0.56999999999999995</v>
      </c>
      <c r="BN3853">
        <v>0.15</v>
      </c>
      <c r="BO3853">
        <v>0.45</v>
      </c>
      <c r="BP3853">
        <v>0.15</v>
      </c>
      <c r="BQ3853">
        <v>-1.65</v>
      </c>
      <c r="BR3853">
        <v>-1.64</v>
      </c>
      <c r="BS3853">
        <v>1.1399999999999999</v>
      </c>
      <c r="BT3853">
        <v>1.5</v>
      </c>
      <c r="BU3853">
        <v>0.33</v>
      </c>
      <c r="BV3853">
        <v>0.68</v>
      </c>
      <c r="BW3853">
        <v>0.32</v>
      </c>
      <c r="BX3853">
        <v>-0.05</v>
      </c>
      <c r="BY3853">
        <v>1.1499999999999999</v>
      </c>
      <c r="BZ3853">
        <v>0.25</v>
      </c>
      <c r="CA3853">
        <v>1.1599999999999999</v>
      </c>
      <c r="CB3853">
        <v>0.77</v>
      </c>
      <c r="CC3853">
        <v>1.27</v>
      </c>
      <c r="CD3853">
        <v>-0.55000000000000004</v>
      </c>
      <c r="CE3853">
        <v>0.7</v>
      </c>
      <c r="CF3853">
        <v>0.19</v>
      </c>
      <c r="CG3853">
        <v>0</v>
      </c>
      <c r="CH3853">
        <v>0.91</v>
      </c>
      <c r="CI3853">
        <v>0</v>
      </c>
      <c r="CJ3853">
        <v>-1.9</v>
      </c>
      <c r="CK3853">
        <v>36</v>
      </c>
      <c r="CL3853">
        <v>-0.91</v>
      </c>
      <c r="CM3853">
        <v>34</v>
      </c>
      <c r="CN3853">
        <v>-0.44</v>
      </c>
      <c r="CO3853">
        <v>32</v>
      </c>
      <c r="CP3853">
        <v>-6.7</v>
      </c>
      <c r="CQ3853">
        <v>41</v>
      </c>
      <c r="CR3853">
        <v>0</v>
      </c>
      <c r="CS3853">
        <v>0</v>
      </c>
      <c r="CT3853">
        <v>-5.4</v>
      </c>
      <c r="CU3853">
        <v>40</v>
      </c>
      <c r="CV3853">
        <v>0.3</v>
      </c>
      <c r="CW3853">
        <v>10</v>
      </c>
      <c r="CX3853" t="s">
        <v>2570</v>
      </c>
    </row>
    <row r="3854" spans="1:102" x14ac:dyDescent="0.3">
      <c r="A3854" t="str">
        <f>HYPERLINK("https://webapp.icbf.com/v2/app/bull-search/view/77852812","VER")</f>
        <v>VER</v>
      </c>
      <c r="B3854" t="s">
        <v>627</v>
      </c>
      <c r="C3854" t="s">
        <v>628</v>
      </c>
      <c r="D3854" s="1">
        <v>36090</v>
      </c>
      <c r="E3854" t="s">
        <v>92</v>
      </c>
      <c r="F3854">
        <v>97</v>
      </c>
      <c r="G3854" t="s">
        <v>93</v>
      </c>
      <c r="H3854">
        <v>-66.900000000000006</v>
      </c>
      <c r="I3854">
        <v>75</v>
      </c>
      <c r="J3854">
        <v>20.51</v>
      </c>
      <c r="K3854">
        <v>94</v>
      </c>
      <c r="L3854">
        <v>-123.35</v>
      </c>
      <c r="M3854">
        <v>63</v>
      </c>
      <c r="N3854">
        <v>26.76</v>
      </c>
      <c r="O3854">
        <v>68</v>
      </c>
      <c r="P3854">
        <v>6.56</v>
      </c>
      <c r="Q3854">
        <v>87</v>
      </c>
      <c r="R3854">
        <v>-2.09</v>
      </c>
      <c r="S3854">
        <v>66</v>
      </c>
      <c r="T3854">
        <v>8.7200000000000006</v>
      </c>
      <c r="U3854">
        <v>70</v>
      </c>
      <c r="V3854">
        <v>-4.01</v>
      </c>
      <c r="W3854">
        <v>41</v>
      </c>
      <c r="X3854" t="s">
        <v>94</v>
      </c>
      <c r="Y3854" t="s">
        <v>95</v>
      </c>
      <c r="Z3854" t="s">
        <v>96</v>
      </c>
      <c r="AA3854" t="s">
        <v>218</v>
      </c>
      <c r="AB3854" t="s">
        <v>629</v>
      </c>
      <c r="AC3854">
        <v>71</v>
      </c>
      <c r="AD3854">
        <v>35</v>
      </c>
      <c r="AE3854">
        <v>94</v>
      </c>
      <c r="AF3854">
        <v>3.91</v>
      </c>
      <c r="AG3854">
        <v>2.37</v>
      </c>
      <c r="AH3854">
        <v>2.71</v>
      </c>
      <c r="AI3854">
        <v>0.04</v>
      </c>
      <c r="AJ3854">
        <v>0.04</v>
      </c>
      <c r="AK3854">
        <v>63</v>
      </c>
      <c r="AL3854">
        <v>55</v>
      </c>
      <c r="AM3854">
        <v>31</v>
      </c>
      <c r="AN3854">
        <v>6.52</v>
      </c>
      <c r="AO3854">
        <v>-3.32</v>
      </c>
      <c r="AP3854">
        <v>17</v>
      </c>
      <c r="AQ3854">
        <v>12</v>
      </c>
      <c r="AR3854">
        <v>5.12</v>
      </c>
      <c r="AS3854">
        <v>50</v>
      </c>
      <c r="AT3854">
        <v>2.75</v>
      </c>
      <c r="AU3854">
        <v>62</v>
      </c>
      <c r="AV3854">
        <v>-1.85</v>
      </c>
      <c r="AW3854">
        <v>80</v>
      </c>
      <c r="AX3854">
        <v>-0.3</v>
      </c>
      <c r="AY3854">
        <v>72</v>
      </c>
      <c r="AZ3854">
        <v>5.23</v>
      </c>
      <c r="BA3854">
        <v>54</v>
      </c>
      <c r="BB3854">
        <v>4.88</v>
      </c>
      <c r="BC3854">
        <v>55</v>
      </c>
      <c r="BD3854">
        <v>0</v>
      </c>
      <c r="BE3854">
        <v>0.02</v>
      </c>
      <c r="BF3854">
        <v>0.01</v>
      </c>
      <c r="BG3854">
        <v>79</v>
      </c>
      <c r="BH3854">
        <v>-0.11</v>
      </c>
      <c r="BI3854">
        <v>0.2</v>
      </c>
      <c r="BJ3854">
        <v>1</v>
      </c>
      <c r="BK3854">
        <v>1</v>
      </c>
      <c r="BL3854">
        <v>-0.14000000000000001</v>
      </c>
      <c r="BM3854">
        <v>0.92</v>
      </c>
      <c r="BN3854">
        <v>0.33</v>
      </c>
      <c r="BO3854">
        <v>-0.21</v>
      </c>
      <c r="BP3854">
        <v>0.11</v>
      </c>
      <c r="BQ3854">
        <v>-0.13</v>
      </c>
      <c r="BR3854">
        <v>1.1000000000000001</v>
      </c>
      <c r="BS3854">
        <v>-0.92</v>
      </c>
      <c r="BT3854">
        <v>-1.08</v>
      </c>
      <c r="BU3854">
        <v>0.66</v>
      </c>
      <c r="BV3854">
        <v>1.1599999999999999</v>
      </c>
      <c r="BW3854">
        <v>0.69</v>
      </c>
      <c r="BX3854">
        <v>-0.19</v>
      </c>
      <c r="BY3854">
        <v>1.53</v>
      </c>
      <c r="BZ3854">
        <v>0.38</v>
      </c>
      <c r="CA3854">
        <v>0.43</v>
      </c>
      <c r="CB3854">
        <v>0.79</v>
      </c>
      <c r="CC3854">
        <v>-0.48</v>
      </c>
      <c r="CD3854">
        <v>0.35</v>
      </c>
      <c r="CE3854">
        <v>0.06</v>
      </c>
      <c r="CF3854">
        <v>0.1</v>
      </c>
      <c r="CG3854">
        <v>0</v>
      </c>
      <c r="CH3854">
        <v>1.46</v>
      </c>
      <c r="CI3854">
        <v>0</v>
      </c>
      <c r="CJ3854">
        <v>4.2</v>
      </c>
      <c r="CK3854">
        <v>89</v>
      </c>
      <c r="CL3854">
        <v>-0.26</v>
      </c>
      <c r="CM3854">
        <v>86</v>
      </c>
      <c r="CN3854">
        <v>-0.36</v>
      </c>
      <c r="CO3854">
        <v>84</v>
      </c>
      <c r="CP3854">
        <v>-5.0999999999999996</v>
      </c>
      <c r="CQ3854">
        <v>85</v>
      </c>
      <c r="CR3854">
        <v>0</v>
      </c>
      <c r="CS3854">
        <v>0</v>
      </c>
      <c r="CT3854">
        <v>2</v>
      </c>
      <c r="CU3854">
        <v>70</v>
      </c>
      <c r="CV3854">
        <v>0.16</v>
      </c>
      <c r="CW3854">
        <v>26</v>
      </c>
      <c r="CX3854" t="s">
        <v>485</v>
      </c>
    </row>
    <row r="3855" spans="1:102" x14ac:dyDescent="0.3">
      <c r="A3855" t="str">
        <f>HYPERLINK("https://webapp.icbf.com/v2/app/bull-search/view/444534033","AMO")</f>
        <v>AMO</v>
      </c>
      <c r="B3855" t="s">
        <v>1326</v>
      </c>
      <c r="C3855" t="s">
        <v>1327</v>
      </c>
      <c r="D3855" s="1">
        <v>36806</v>
      </c>
      <c r="E3855" t="s">
        <v>92</v>
      </c>
      <c r="F3855">
        <v>97</v>
      </c>
      <c r="G3855" t="s">
        <v>93</v>
      </c>
      <c r="H3855">
        <v>-67</v>
      </c>
      <c r="I3855">
        <v>89</v>
      </c>
      <c r="J3855">
        <v>39.450000000000003</v>
      </c>
      <c r="K3855">
        <v>97</v>
      </c>
      <c r="L3855">
        <v>-46.8</v>
      </c>
      <c r="M3855">
        <v>88</v>
      </c>
      <c r="N3855">
        <v>-54.17</v>
      </c>
      <c r="O3855">
        <v>84</v>
      </c>
      <c r="P3855">
        <v>-5.96</v>
      </c>
      <c r="Q3855">
        <v>87</v>
      </c>
      <c r="R3855">
        <v>3.54</v>
      </c>
      <c r="S3855">
        <v>81</v>
      </c>
      <c r="T3855">
        <v>3.91</v>
      </c>
      <c r="U3855">
        <v>84</v>
      </c>
      <c r="V3855">
        <v>-6.97</v>
      </c>
      <c r="W3855">
        <v>74</v>
      </c>
      <c r="X3855" t="s">
        <v>102</v>
      </c>
      <c r="Y3855" t="s">
        <v>270</v>
      </c>
      <c r="Z3855" t="s">
        <v>96</v>
      </c>
      <c r="AA3855" t="s">
        <v>1328</v>
      </c>
      <c r="AB3855" t="s">
        <v>1329</v>
      </c>
      <c r="AC3855">
        <v>82</v>
      </c>
      <c r="AD3855">
        <v>25</v>
      </c>
      <c r="AE3855">
        <v>97</v>
      </c>
      <c r="AF3855">
        <v>78.62</v>
      </c>
      <c r="AG3855">
        <v>2.5499999999999998</v>
      </c>
      <c r="AH3855">
        <v>7.01</v>
      </c>
      <c r="AI3855">
        <v>-0.01</v>
      </c>
      <c r="AJ3855">
        <v>0.08</v>
      </c>
      <c r="AK3855">
        <v>88</v>
      </c>
      <c r="AL3855">
        <v>86</v>
      </c>
      <c r="AM3855">
        <v>34</v>
      </c>
      <c r="AN3855">
        <v>3.48</v>
      </c>
      <c r="AO3855">
        <v>-0.24</v>
      </c>
      <c r="AP3855">
        <v>162</v>
      </c>
      <c r="AQ3855">
        <v>0</v>
      </c>
      <c r="AR3855">
        <v>12.73</v>
      </c>
      <c r="AS3855">
        <v>68</v>
      </c>
      <c r="AT3855">
        <v>5.82</v>
      </c>
      <c r="AU3855">
        <v>92</v>
      </c>
      <c r="AV3855">
        <v>0.8</v>
      </c>
      <c r="AW3855">
        <v>91</v>
      </c>
      <c r="AX3855">
        <v>0.54</v>
      </c>
      <c r="AY3855">
        <v>79</v>
      </c>
      <c r="AZ3855">
        <v>5.79</v>
      </c>
      <c r="BA3855">
        <v>62</v>
      </c>
      <c r="BB3855">
        <v>4.7</v>
      </c>
      <c r="BC3855">
        <v>64</v>
      </c>
      <c r="BD3855">
        <v>-0.02</v>
      </c>
      <c r="BE3855">
        <v>-0.02</v>
      </c>
      <c r="BF3855">
        <v>-0.01</v>
      </c>
      <c r="BG3855">
        <v>92</v>
      </c>
      <c r="BH3855">
        <v>-0.16</v>
      </c>
      <c r="BI3855">
        <v>3.96</v>
      </c>
      <c r="BJ3855">
        <v>27</v>
      </c>
      <c r="BK3855">
        <v>10</v>
      </c>
      <c r="BL3855">
        <v>1.23</v>
      </c>
      <c r="BM3855">
        <v>-0.46</v>
      </c>
      <c r="BN3855">
        <v>-0.04</v>
      </c>
      <c r="BO3855">
        <v>0.47</v>
      </c>
      <c r="BP3855">
        <v>1.61</v>
      </c>
      <c r="BQ3855">
        <v>-0.25</v>
      </c>
      <c r="BR3855">
        <v>-0.99</v>
      </c>
      <c r="BS3855">
        <v>0.57999999999999996</v>
      </c>
      <c r="BT3855">
        <v>2.1</v>
      </c>
      <c r="BU3855">
        <v>1.53</v>
      </c>
      <c r="BV3855">
        <v>0.33</v>
      </c>
      <c r="BW3855">
        <v>0.4</v>
      </c>
      <c r="BX3855">
        <v>2.27</v>
      </c>
      <c r="BY3855">
        <v>0.27</v>
      </c>
      <c r="BZ3855">
        <v>2.08</v>
      </c>
      <c r="CA3855">
        <v>1.4</v>
      </c>
      <c r="CB3855">
        <v>1.0900000000000001</v>
      </c>
      <c r="CC3855">
        <v>1.04</v>
      </c>
      <c r="CD3855">
        <v>-0.35</v>
      </c>
      <c r="CE3855">
        <v>0.45</v>
      </c>
      <c r="CF3855">
        <v>0.77</v>
      </c>
      <c r="CG3855">
        <v>0</v>
      </c>
      <c r="CH3855">
        <v>0.35</v>
      </c>
      <c r="CI3855">
        <v>0</v>
      </c>
      <c r="CJ3855">
        <v>-2.1</v>
      </c>
      <c r="CK3855">
        <v>88</v>
      </c>
      <c r="CL3855">
        <v>-1.0900000000000001</v>
      </c>
      <c r="CM3855">
        <v>86</v>
      </c>
      <c r="CN3855">
        <v>-0.68</v>
      </c>
      <c r="CO3855">
        <v>84</v>
      </c>
      <c r="CP3855">
        <v>1.5</v>
      </c>
      <c r="CQ3855">
        <v>86</v>
      </c>
      <c r="CR3855">
        <v>0</v>
      </c>
      <c r="CS3855">
        <v>0</v>
      </c>
      <c r="CT3855">
        <v>8.5</v>
      </c>
      <c r="CU3855">
        <v>84</v>
      </c>
      <c r="CV3855">
        <v>0.19</v>
      </c>
      <c r="CW3855">
        <v>43</v>
      </c>
      <c r="CX3855" t="s">
        <v>1330</v>
      </c>
    </row>
    <row r="3856" spans="1:102" x14ac:dyDescent="0.3">
      <c r="A3856" t="str">
        <f>HYPERLINK("https://webapp.icbf.com/v2/app/bull-search/view/69092413","PSC")</f>
        <v>PSC</v>
      </c>
      <c r="B3856" t="s">
        <v>579</v>
      </c>
      <c r="C3856" t="s">
        <v>233</v>
      </c>
      <c r="D3856" s="1">
        <v>33174</v>
      </c>
      <c r="E3856" t="s">
        <v>146</v>
      </c>
      <c r="F3856">
        <v>25</v>
      </c>
      <c r="G3856" t="s">
        <v>109</v>
      </c>
      <c r="H3856">
        <v>-67.239999999999995</v>
      </c>
      <c r="I3856">
        <v>52</v>
      </c>
      <c r="J3856">
        <v>-36.229999999999997</v>
      </c>
      <c r="K3856">
        <v>69</v>
      </c>
      <c r="L3856">
        <v>-32.32</v>
      </c>
      <c r="M3856">
        <v>49</v>
      </c>
      <c r="N3856">
        <v>-5.17</v>
      </c>
      <c r="O3856">
        <v>33</v>
      </c>
      <c r="P3856">
        <v>12.01</v>
      </c>
      <c r="Q3856">
        <v>42</v>
      </c>
      <c r="R3856">
        <v>-5.42</v>
      </c>
      <c r="S3856">
        <v>54</v>
      </c>
      <c r="T3856">
        <v>6.2</v>
      </c>
      <c r="U3856">
        <v>38</v>
      </c>
      <c r="V3856">
        <v>-6.31</v>
      </c>
      <c r="W3856">
        <v>23</v>
      </c>
      <c r="X3856" t="s">
        <v>276</v>
      </c>
      <c r="Y3856" t="s">
        <v>95</v>
      </c>
      <c r="Z3856">
        <v>0</v>
      </c>
      <c r="AA3856" t="s">
        <v>580</v>
      </c>
      <c r="AB3856" t="s">
        <v>581</v>
      </c>
      <c r="AC3856">
        <v>0</v>
      </c>
      <c r="AD3856">
        <v>0</v>
      </c>
      <c r="AE3856">
        <v>69</v>
      </c>
      <c r="AF3856">
        <v>-359.22</v>
      </c>
      <c r="AG3856">
        <v>-10.8</v>
      </c>
      <c r="AH3856">
        <v>-7.84</v>
      </c>
      <c r="AI3856">
        <v>0.06</v>
      </c>
      <c r="AJ3856">
        <v>0.08</v>
      </c>
      <c r="AK3856">
        <v>49</v>
      </c>
      <c r="AL3856">
        <v>0</v>
      </c>
      <c r="AM3856">
        <v>0</v>
      </c>
      <c r="AN3856">
        <v>0.02</v>
      </c>
      <c r="AO3856">
        <v>-2.58</v>
      </c>
      <c r="AP3856">
        <v>3</v>
      </c>
      <c r="AQ3856">
        <v>0</v>
      </c>
      <c r="AR3856">
        <v>9.31</v>
      </c>
      <c r="AS3856">
        <v>22</v>
      </c>
      <c r="AT3856">
        <v>3.97</v>
      </c>
      <c r="AU3856">
        <v>34</v>
      </c>
      <c r="AV3856">
        <v>-1.32</v>
      </c>
      <c r="AW3856">
        <v>38</v>
      </c>
      <c r="AX3856">
        <v>-0.08</v>
      </c>
      <c r="AY3856">
        <v>36</v>
      </c>
      <c r="AZ3856">
        <v>7.43</v>
      </c>
      <c r="BA3856">
        <v>20</v>
      </c>
      <c r="BB3856">
        <v>5.23</v>
      </c>
      <c r="BC3856">
        <v>24</v>
      </c>
      <c r="BD3856">
        <v>0.01</v>
      </c>
      <c r="BE3856">
        <v>0.02</v>
      </c>
      <c r="BF3856">
        <v>7.0000000000000007E-2</v>
      </c>
      <c r="BG3856">
        <v>79</v>
      </c>
      <c r="BH3856">
        <v>-0.1</v>
      </c>
      <c r="BI3856">
        <v>8.8000000000000007</v>
      </c>
      <c r="BJ3856">
        <v>0</v>
      </c>
      <c r="BK3856">
        <v>0</v>
      </c>
      <c r="BL3856">
        <v>-0.93</v>
      </c>
      <c r="BM3856">
        <v>2.6</v>
      </c>
      <c r="BN3856">
        <v>-0.32</v>
      </c>
      <c r="BO3856">
        <v>-1.94</v>
      </c>
      <c r="BP3856">
        <v>1.82</v>
      </c>
      <c r="BQ3856">
        <v>1.1399999999999999</v>
      </c>
      <c r="BR3856">
        <v>0.28000000000000003</v>
      </c>
      <c r="BS3856">
        <v>0.01</v>
      </c>
      <c r="BT3856">
        <v>-0.26</v>
      </c>
      <c r="BU3856">
        <v>-1.1100000000000001</v>
      </c>
      <c r="BV3856">
        <v>-2.69</v>
      </c>
      <c r="BW3856">
        <v>-2.0099999999999998</v>
      </c>
      <c r="BX3856">
        <v>-0.35</v>
      </c>
      <c r="BY3856">
        <v>-1.66</v>
      </c>
      <c r="BZ3856">
        <v>0.78</v>
      </c>
      <c r="CA3856">
        <v>-1.76</v>
      </c>
      <c r="CB3856">
        <v>-1.84</v>
      </c>
      <c r="CC3856">
        <v>-0.82</v>
      </c>
      <c r="CD3856">
        <v>2.36</v>
      </c>
      <c r="CE3856">
        <v>-1.75</v>
      </c>
      <c r="CF3856">
        <v>-0.46</v>
      </c>
      <c r="CG3856">
        <v>0</v>
      </c>
      <c r="CH3856">
        <v>-2.1800000000000002</v>
      </c>
      <c r="CI3856">
        <v>0</v>
      </c>
      <c r="CJ3856">
        <v>4.5999999999999996</v>
      </c>
      <c r="CK3856">
        <v>44</v>
      </c>
      <c r="CL3856">
        <v>0.36</v>
      </c>
      <c r="CM3856">
        <v>40</v>
      </c>
      <c r="CN3856">
        <v>-0.1</v>
      </c>
      <c r="CO3856">
        <v>37</v>
      </c>
      <c r="CP3856">
        <v>5.2</v>
      </c>
      <c r="CQ3856">
        <v>40</v>
      </c>
      <c r="CR3856">
        <v>0</v>
      </c>
      <c r="CS3856">
        <v>0</v>
      </c>
      <c r="CT3856">
        <v>5.4</v>
      </c>
      <c r="CU3856">
        <v>38</v>
      </c>
      <c r="CV3856">
        <v>-0.12</v>
      </c>
      <c r="CW3856">
        <v>12</v>
      </c>
      <c r="CX3856" t="s">
        <v>582</v>
      </c>
    </row>
    <row r="3857" spans="1:102" x14ac:dyDescent="0.3">
      <c r="A3857" t="str">
        <f>HYPERLINK("https://webapp.icbf.com/v2/app/bull-search/view/69092329","OBZ")</f>
        <v>OBZ</v>
      </c>
      <c r="B3857" t="s">
        <v>3516</v>
      </c>
      <c r="C3857" t="s">
        <v>3517</v>
      </c>
      <c r="D3857" s="1">
        <v>36404</v>
      </c>
      <c r="E3857" t="s">
        <v>92</v>
      </c>
      <c r="F3857">
        <v>97</v>
      </c>
      <c r="G3857" t="s">
        <v>93</v>
      </c>
      <c r="H3857">
        <v>-67.28</v>
      </c>
      <c r="I3857">
        <v>63</v>
      </c>
      <c r="J3857">
        <v>-11.92</v>
      </c>
      <c r="K3857">
        <v>86</v>
      </c>
      <c r="L3857">
        <v>-82.86</v>
      </c>
      <c r="M3857">
        <v>48</v>
      </c>
      <c r="N3857">
        <v>22.05</v>
      </c>
      <c r="O3857">
        <v>54</v>
      </c>
      <c r="P3857">
        <v>-5.67</v>
      </c>
      <c r="Q3857">
        <v>73</v>
      </c>
      <c r="R3857">
        <v>1.06</v>
      </c>
      <c r="S3857">
        <v>54</v>
      </c>
      <c r="T3857">
        <v>7.31</v>
      </c>
      <c r="U3857">
        <v>58</v>
      </c>
      <c r="V3857">
        <v>2.75</v>
      </c>
      <c r="W3857">
        <v>28</v>
      </c>
      <c r="X3857" t="s">
        <v>94</v>
      </c>
      <c r="Y3857" t="s">
        <v>95</v>
      </c>
      <c r="Z3857" t="s">
        <v>96</v>
      </c>
      <c r="AA3857" t="s">
        <v>2431</v>
      </c>
      <c r="AB3857" t="s">
        <v>3518</v>
      </c>
      <c r="AC3857">
        <v>24</v>
      </c>
      <c r="AD3857">
        <v>2</v>
      </c>
      <c r="AE3857">
        <v>86</v>
      </c>
      <c r="AF3857">
        <v>-68.099999999999994</v>
      </c>
      <c r="AG3857">
        <v>0.06</v>
      </c>
      <c r="AH3857">
        <v>-3.09</v>
      </c>
      <c r="AI3857">
        <v>0.05</v>
      </c>
      <c r="AJ3857">
        <v>-0.01</v>
      </c>
      <c r="AK3857">
        <v>48</v>
      </c>
      <c r="AL3857">
        <v>22</v>
      </c>
      <c r="AM3857">
        <v>1</v>
      </c>
      <c r="AN3857">
        <v>5.89</v>
      </c>
      <c r="AO3857">
        <v>-0.7</v>
      </c>
      <c r="AP3857">
        <v>12</v>
      </c>
      <c r="AQ3857">
        <v>1</v>
      </c>
      <c r="AR3857">
        <v>5.66</v>
      </c>
      <c r="AS3857">
        <v>35</v>
      </c>
      <c r="AT3857">
        <v>2.73</v>
      </c>
      <c r="AU3857">
        <v>54</v>
      </c>
      <c r="AV3857">
        <v>-1.1499999999999999</v>
      </c>
      <c r="AW3857">
        <v>63</v>
      </c>
      <c r="AX3857">
        <v>-0.09</v>
      </c>
      <c r="AY3857">
        <v>52</v>
      </c>
      <c r="AZ3857">
        <v>5.27</v>
      </c>
      <c r="BA3857">
        <v>37</v>
      </c>
      <c r="BB3857">
        <v>4.3499999999999996</v>
      </c>
      <c r="BC3857">
        <v>43</v>
      </c>
      <c r="BD3857">
        <v>-0.02</v>
      </c>
      <c r="BE3857">
        <v>0.01</v>
      </c>
      <c r="BF3857">
        <v>-0.01</v>
      </c>
      <c r="BG3857">
        <v>65</v>
      </c>
      <c r="BH3857">
        <v>0.11</v>
      </c>
      <c r="BI3857">
        <v>3.84</v>
      </c>
      <c r="BJ3857">
        <v>0</v>
      </c>
      <c r="BK3857">
        <v>0</v>
      </c>
      <c r="BL3857">
        <v>0.47</v>
      </c>
      <c r="BM3857">
        <v>-1.1200000000000001</v>
      </c>
      <c r="BN3857">
        <v>0.23</v>
      </c>
      <c r="BO3857">
        <v>0.98</v>
      </c>
      <c r="BP3857">
        <v>0.78</v>
      </c>
      <c r="BQ3857">
        <v>-0.87</v>
      </c>
      <c r="BR3857">
        <v>0.31</v>
      </c>
      <c r="BS3857">
        <v>0.2</v>
      </c>
      <c r="BT3857">
        <v>-0.2</v>
      </c>
      <c r="BU3857">
        <v>0.09</v>
      </c>
      <c r="BV3857">
        <v>0.47</v>
      </c>
      <c r="BW3857">
        <v>0.72</v>
      </c>
      <c r="BX3857">
        <v>0.56000000000000005</v>
      </c>
      <c r="BY3857">
        <v>0.6</v>
      </c>
      <c r="BZ3857">
        <v>2.2999999999999998</v>
      </c>
      <c r="CA3857">
        <v>0.5</v>
      </c>
      <c r="CB3857">
        <v>0.39</v>
      </c>
      <c r="CC3857">
        <v>0.53</v>
      </c>
      <c r="CD3857">
        <v>-1.37</v>
      </c>
      <c r="CE3857">
        <v>0.98</v>
      </c>
      <c r="CF3857">
        <v>0.01</v>
      </c>
      <c r="CG3857">
        <v>0</v>
      </c>
      <c r="CH3857">
        <v>0.17</v>
      </c>
      <c r="CI3857">
        <v>0</v>
      </c>
      <c r="CJ3857">
        <v>-2.5</v>
      </c>
      <c r="CK3857">
        <v>75</v>
      </c>
      <c r="CL3857">
        <v>-0.63</v>
      </c>
      <c r="CM3857">
        <v>71</v>
      </c>
      <c r="CN3857">
        <v>-0.4</v>
      </c>
      <c r="CO3857">
        <v>67</v>
      </c>
      <c r="CP3857">
        <v>-2.7</v>
      </c>
      <c r="CQ3857">
        <v>72</v>
      </c>
      <c r="CR3857">
        <v>0</v>
      </c>
      <c r="CS3857">
        <v>0</v>
      </c>
      <c r="CT3857">
        <v>3.9</v>
      </c>
      <c r="CU3857">
        <v>58</v>
      </c>
      <c r="CV3857">
        <v>0.17</v>
      </c>
      <c r="CW3857">
        <v>20</v>
      </c>
      <c r="CX3857" t="s">
        <v>1008</v>
      </c>
    </row>
    <row r="3858" spans="1:102" x14ac:dyDescent="0.3">
      <c r="A3858" t="str">
        <f>HYPERLINK("https://webapp.icbf.com/v2/app/bull-search/view/69091663","FKN")</f>
        <v>FKN</v>
      </c>
      <c r="B3858" t="s">
        <v>3261</v>
      </c>
      <c r="C3858" t="s">
        <v>3262</v>
      </c>
      <c r="D3858" s="1">
        <v>33133</v>
      </c>
      <c r="E3858" t="s">
        <v>197</v>
      </c>
      <c r="F3858">
        <v>0</v>
      </c>
      <c r="G3858" t="s">
        <v>116</v>
      </c>
      <c r="H3858">
        <v>-67.3</v>
      </c>
      <c r="I3858">
        <v>27</v>
      </c>
      <c r="J3858">
        <v>-41.09</v>
      </c>
      <c r="K3858">
        <v>19</v>
      </c>
      <c r="L3858">
        <v>1.28</v>
      </c>
      <c r="M3858">
        <v>19</v>
      </c>
      <c r="N3858">
        <v>-30.21</v>
      </c>
      <c r="O3858">
        <v>38</v>
      </c>
      <c r="P3858">
        <v>6.69</v>
      </c>
      <c r="Q3858">
        <v>68</v>
      </c>
      <c r="R3858">
        <v>0.68</v>
      </c>
      <c r="S3858">
        <v>6</v>
      </c>
      <c r="T3858">
        <v>-2.5299999999999998</v>
      </c>
      <c r="U3858">
        <v>64</v>
      </c>
      <c r="V3858">
        <v>-2.12</v>
      </c>
      <c r="W3858">
        <v>7</v>
      </c>
      <c r="X3858" t="s">
        <v>94</v>
      </c>
      <c r="Y3858" t="s">
        <v>95</v>
      </c>
      <c r="Z3858">
        <v>0</v>
      </c>
      <c r="AA3858" t="s">
        <v>3263</v>
      </c>
      <c r="AB3858" t="s">
        <v>3264</v>
      </c>
      <c r="AC3858">
        <v>2</v>
      </c>
      <c r="AD3858">
        <v>2</v>
      </c>
      <c r="AE3858">
        <v>19</v>
      </c>
      <c r="AF3858">
        <v>-265.52</v>
      </c>
      <c r="AG3858">
        <v>-9.73</v>
      </c>
      <c r="AH3858">
        <v>-7.61</v>
      </c>
      <c r="AI3858">
        <v>0.01</v>
      </c>
      <c r="AJ3858">
        <v>0.03</v>
      </c>
      <c r="AK3858">
        <v>19</v>
      </c>
      <c r="AL3858">
        <v>14</v>
      </c>
      <c r="AM3858">
        <v>10</v>
      </c>
      <c r="AN3858">
        <v>-1.79</v>
      </c>
      <c r="AO3858">
        <v>-1.71</v>
      </c>
      <c r="AP3858">
        <v>16</v>
      </c>
      <c r="AQ3858">
        <v>8</v>
      </c>
      <c r="AR3858">
        <v>6.43</v>
      </c>
      <c r="AS3858">
        <v>4</v>
      </c>
      <c r="AT3858">
        <v>6.05</v>
      </c>
      <c r="AU3858">
        <v>26</v>
      </c>
      <c r="AV3858">
        <v>1.51</v>
      </c>
      <c r="AW3858">
        <v>67</v>
      </c>
      <c r="AX3858">
        <v>-0.69</v>
      </c>
      <c r="AY3858">
        <v>35</v>
      </c>
      <c r="AZ3858">
        <v>6.11</v>
      </c>
      <c r="BA3858">
        <v>5</v>
      </c>
      <c r="BB3858">
        <v>3.55</v>
      </c>
      <c r="BC3858">
        <v>4</v>
      </c>
      <c r="BD3858">
        <v>-0.01</v>
      </c>
      <c r="BE3858">
        <v>-0.01</v>
      </c>
      <c r="BF3858">
        <v>0.02</v>
      </c>
      <c r="BG3858">
        <v>8</v>
      </c>
      <c r="BH3858">
        <v>-0.15</v>
      </c>
      <c r="BI3858">
        <v>-10.52</v>
      </c>
      <c r="BJ3858">
        <v>0</v>
      </c>
      <c r="BK3858">
        <v>0</v>
      </c>
      <c r="BL3858">
        <v>0</v>
      </c>
      <c r="BM3858">
        <v>0</v>
      </c>
      <c r="BN3858">
        <v>0</v>
      </c>
      <c r="BO3858">
        <v>0</v>
      </c>
      <c r="BP3858">
        <v>0</v>
      </c>
      <c r="BQ3858">
        <v>0</v>
      </c>
      <c r="BR3858">
        <v>0</v>
      </c>
      <c r="BS3858">
        <v>0</v>
      </c>
      <c r="BT3858">
        <v>0</v>
      </c>
      <c r="BU3858">
        <v>0</v>
      </c>
      <c r="BV3858">
        <v>0</v>
      </c>
      <c r="BW3858">
        <v>0</v>
      </c>
      <c r="BX3858">
        <v>0</v>
      </c>
      <c r="BY3858">
        <v>0</v>
      </c>
      <c r="BZ3858">
        <v>0</v>
      </c>
      <c r="CA3858">
        <v>0</v>
      </c>
      <c r="CB3858">
        <v>0</v>
      </c>
      <c r="CC3858">
        <v>0</v>
      </c>
      <c r="CD3858">
        <v>0</v>
      </c>
      <c r="CE3858">
        <v>0</v>
      </c>
      <c r="CF3858">
        <v>0</v>
      </c>
      <c r="CG3858">
        <v>0</v>
      </c>
      <c r="CH3858">
        <v>0</v>
      </c>
      <c r="CI3858">
        <v>0</v>
      </c>
      <c r="CJ3858">
        <v>6.5</v>
      </c>
      <c r="CK3858">
        <v>72</v>
      </c>
      <c r="CL3858">
        <v>0.03</v>
      </c>
      <c r="CM3858">
        <v>66</v>
      </c>
      <c r="CN3858">
        <v>0.28999999999999998</v>
      </c>
      <c r="CO3858">
        <v>61</v>
      </c>
      <c r="CP3858">
        <v>5.4</v>
      </c>
      <c r="CQ3858">
        <v>62</v>
      </c>
      <c r="CR3858">
        <v>0</v>
      </c>
      <c r="CS3858">
        <v>0</v>
      </c>
      <c r="CT3858">
        <v>17.2</v>
      </c>
      <c r="CU3858">
        <v>64</v>
      </c>
      <c r="CV3858">
        <v>0.06</v>
      </c>
      <c r="CW3858">
        <v>19</v>
      </c>
      <c r="CX3858" t="s">
        <v>3265</v>
      </c>
    </row>
    <row r="3859" spans="1:102" x14ac:dyDescent="0.3">
      <c r="A3859" t="str">
        <f>HYPERLINK("https://webapp.icbf.com/v2/app/bull-search/view/69092776","TES")</f>
        <v>TES</v>
      </c>
      <c r="B3859" t="s">
        <v>8522</v>
      </c>
      <c r="C3859" t="s">
        <v>8523</v>
      </c>
      <c r="D3859" s="1">
        <v>33999</v>
      </c>
      <c r="E3859" t="s">
        <v>108</v>
      </c>
      <c r="F3859">
        <v>0</v>
      </c>
      <c r="G3859" t="s">
        <v>109</v>
      </c>
      <c r="H3859">
        <v>-67.33</v>
      </c>
      <c r="I3859">
        <v>62</v>
      </c>
      <c r="J3859">
        <v>-2.5499999999999998</v>
      </c>
      <c r="K3859">
        <v>78</v>
      </c>
      <c r="L3859">
        <v>-40.14</v>
      </c>
      <c r="M3859">
        <v>75</v>
      </c>
      <c r="N3859">
        <v>-17.5</v>
      </c>
      <c r="O3859">
        <v>42</v>
      </c>
      <c r="P3859">
        <v>-13.4</v>
      </c>
      <c r="Q3859">
        <v>35</v>
      </c>
      <c r="R3859">
        <v>-4.57</v>
      </c>
      <c r="S3859">
        <v>55</v>
      </c>
      <c r="T3859">
        <v>13.01</v>
      </c>
      <c r="U3859">
        <v>23</v>
      </c>
      <c r="V3859">
        <v>-2.1800000000000002</v>
      </c>
      <c r="W3859">
        <v>16</v>
      </c>
      <c r="X3859" t="s">
        <v>94</v>
      </c>
      <c r="Y3859" t="s">
        <v>95</v>
      </c>
      <c r="Z3859" t="s">
        <v>96</v>
      </c>
      <c r="AA3859" t="s">
        <v>137</v>
      </c>
      <c r="AB3859" t="s">
        <v>8524</v>
      </c>
      <c r="AC3859">
        <v>0</v>
      </c>
      <c r="AD3859">
        <v>0</v>
      </c>
      <c r="AE3859">
        <v>78</v>
      </c>
      <c r="AF3859">
        <v>315.86</v>
      </c>
      <c r="AG3859">
        <v>6.39</v>
      </c>
      <c r="AH3859">
        <v>2.14</v>
      </c>
      <c r="AI3859">
        <v>-0.09</v>
      </c>
      <c r="AJ3859">
        <v>-0.14000000000000001</v>
      </c>
      <c r="AK3859">
        <v>75</v>
      </c>
      <c r="AL3859">
        <v>0</v>
      </c>
      <c r="AM3859">
        <v>0</v>
      </c>
      <c r="AN3859">
        <v>1.51</v>
      </c>
      <c r="AO3859">
        <v>-1.7</v>
      </c>
      <c r="AP3859">
        <v>5</v>
      </c>
      <c r="AQ3859">
        <v>0</v>
      </c>
      <c r="AR3859">
        <v>12.43</v>
      </c>
      <c r="AS3859">
        <v>19</v>
      </c>
      <c r="AT3859">
        <v>5.25</v>
      </c>
      <c r="AU3859">
        <v>78</v>
      </c>
      <c r="AV3859">
        <v>-2.4300000000000002</v>
      </c>
      <c r="AW3859">
        <v>39</v>
      </c>
      <c r="AX3859">
        <v>-0.54</v>
      </c>
      <c r="AY3859">
        <v>28</v>
      </c>
      <c r="AZ3859">
        <v>6.08</v>
      </c>
      <c r="BA3859">
        <v>15</v>
      </c>
      <c r="BB3859">
        <v>4.8099999999999996</v>
      </c>
      <c r="BC3859">
        <v>17</v>
      </c>
      <c r="BD3859">
        <v>0.03</v>
      </c>
      <c r="BE3859">
        <v>0.05</v>
      </c>
      <c r="BF3859">
        <v>-0.04</v>
      </c>
      <c r="BG3859">
        <v>85</v>
      </c>
      <c r="BH3859">
        <v>-0.05</v>
      </c>
      <c r="BI3859">
        <v>1.25</v>
      </c>
      <c r="BJ3859">
        <v>0</v>
      </c>
      <c r="BK3859">
        <v>0</v>
      </c>
      <c r="BL3859">
        <v>0.27</v>
      </c>
      <c r="BM3859">
        <v>-1.57</v>
      </c>
      <c r="BN3859">
        <v>-1.42</v>
      </c>
      <c r="BO3859">
        <v>-0.37</v>
      </c>
      <c r="BP3859">
        <v>-0.4</v>
      </c>
      <c r="BQ3859">
        <v>-1.79</v>
      </c>
      <c r="BR3859">
        <v>7.0000000000000007E-2</v>
      </c>
      <c r="BS3859">
        <v>-2.5299999999999998</v>
      </c>
      <c r="BT3859">
        <v>-1</v>
      </c>
      <c r="BU3859">
        <v>-0.53</v>
      </c>
      <c r="BV3859">
        <v>-0.55000000000000004</v>
      </c>
      <c r="BW3859">
        <v>-1.17</v>
      </c>
      <c r="BX3859">
        <v>1.1200000000000001</v>
      </c>
      <c r="BY3859">
        <v>-1.97</v>
      </c>
      <c r="BZ3859">
        <v>-1.25</v>
      </c>
      <c r="CA3859">
        <v>-1.17</v>
      </c>
      <c r="CB3859">
        <v>-0.8</v>
      </c>
      <c r="CC3859">
        <v>-1.71</v>
      </c>
      <c r="CD3859">
        <v>0.22</v>
      </c>
      <c r="CE3859">
        <v>0</v>
      </c>
      <c r="CF3859">
        <v>0</v>
      </c>
      <c r="CG3859">
        <v>0</v>
      </c>
      <c r="CH3859">
        <v>0</v>
      </c>
      <c r="CI3859">
        <v>0</v>
      </c>
      <c r="CJ3859">
        <v>-6.5</v>
      </c>
      <c r="CK3859">
        <v>37</v>
      </c>
      <c r="CL3859">
        <v>-0.68</v>
      </c>
      <c r="CM3859">
        <v>34</v>
      </c>
      <c r="CN3859">
        <v>-0.3</v>
      </c>
      <c r="CO3859">
        <v>33</v>
      </c>
      <c r="CP3859">
        <v>-6.2</v>
      </c>
      <c r="CQ3859">
        <v>27</v>
      </c>
      <c r="CR3859">
        <v>0</v>
      </c>
      <c r="CS3859">
        <v>0</v>
      </c>
      <c r="CT3859">
        <v>-3.8</v>
      </c>
      <c r="CU3859">
        <v>23</v>
      </c>
      <c r="CV3859">
        <v>0.08</v>
      </c>
      <c r="CW3859">
        <v>10</v>
      </c>
      <c r="CX3859" t="s">
        <v>118</v>
      </c>
    </row>
    <row r="3860" spans="1:102" x14ac:dyDescent="0.3">
      <c r="A3860" t="str">
        <f>HYPERLINK("https://webapp.icbf.com/v2/app/bull-search/view/409030388","VTT")</f>
        <v>VTT</v>
      </c>
      <c r="B3860" t="s">
        <v>12557</v>
      </c>
      <c r="C3860" t="s">
        <v>12558</v>
      </c>
      <c r="D3860" s="1">
        <v>36526</v>
      </c>
      <c r="E3860" t="s">
        <v>92</v>
      </c>
      <c r="F3860">
        <v>100</v>
      </c>
      <c r="G3860" t="s">
        <v>93</v>
      </c>
      <c r="H3860">
        <v>-67.33</v>
      </c>
      <c r="I3860">
        <v>95</v>
      </c>
      <c r="J3860">
        <v>61.15</v>
      </c>
      <c r="K3860">
        <v>99</v>
      </c>
      <c r="L3860">
        <v>-92.73</v>
      </c>
      <c r="M3860">
        <v>91</v>
      </c>
      <c r="N3860">
        <v>-12.35</v>
      </c>
      <c r="O3860">
        <v>94</v>
      </c>
      <c r="P3860">
        <v>-12.64</v>
      </c>
      <c r="Q3860">
        <v>98</v>
      </c>
      <c r="R3860">
        <v>-13.55</v>
      </c>
      <c r="S3860">
        <v>89</v>
      </c>
      <c r="T3860">
        <v>5.61</v>
      </c>
      <c r="U3860">
        <v>95</v>
      </c>
      <c r="V3860">
        <v>-2.82</v>
      </c>
      <c r="W3860">
        <v>90</v>
      </c>
      <c r="X3860" t="s">
        <v>251</v>
      </c>
      <c r="Y3860" t="s">
        <v>95</v>
      </c>
      <c r="Z3860" t="s">
        <v>96</v>
      </c>
      <c r="AA3860" t="s">
        <v>4619</v>
      </c>
      <c r="AB3860" t="s">
        <v>12559</v>
      </c>
      <c r="AC3860">
        <v>424</v>
      </c>
      <c r="AD3860">
        <v>154</v>
      </c>
      <c r="AE3860">
        <v>99</v>
      </c>
      <c r="AF3860">
        <v>236.67</v>
      </c>
      <c r="AG3860">
        <v>8.6</v>
      </c>
      <c r="AH3860">
        <v>10.98</v>
      </c>
      <c r="AI3860">
        <v>-0.01</v>
      </c>
      <c r="AJ3860">
        <v>0.05</v>
      </c>
      <c r="AK3860">
        <v>91</v>
      </c>
      <c r="AL3860">
        <v>421</v>
      </c>
      <c r="AM3860">
        <v>159</v>
      </c>
      <c r="AN3860">
        <v>3.89</v>
      </c>
      <c r="AO3860">
        <v>-3.52</v>
      </c>
      <c r="AP3860">
        <v>792</v>
      </c>
      <c r="AQ3860">
        <v>8</v>
      </c>
      <c r="AR3860">
        <v>10.41</v>
      </c>
      <c r="AS3860">
        <v>84</v>
      </c>
      <c r="AT3860">
        <v>4.87</v>
      </c>
      <c r="AU3860">
        <v>95</v>
      </c>
      <c r="AV3860">
        <v>-0.85</v>
      </c>
      <c r="AW3860">
        <v>99</v>
      </c>
      <c r="AX3860">
        <v>-1.27</v>
      </c>
      <c r="AY3860">
        <v>94</v>
      </c>
      <c r="AZ3860">
        <v>5.23</v>
      </c>
      <c r="BA3860">
        <v>85</v>
      </c>
      <c r="BB3860">
        <v>4.37</v>
      </c>
      <c r="BC3860">
        <v>84</v>
      </c>
      <c r="BD3860">
        <v>0.04</v>
      </c>
      <c r="BE3860">
        <v>0.05</v>
      </c>
      <c r="BF3860">
        <v>0.15</v>
      </c>
      <c r="BG3860">
        <v>95</v>
      </c>
      <c r="BH3860">
        <v>0.03</v>
      </c>
      <c r="BI3860">
        <v>12.56</v>
      </c>
      <c r="BJ3860">
        <v>83</v>
      </c>
      <c r="BK3860">
        <v>31</v>
      </c>
      <c r="BL3860">
        <v>1.08</v>
      </c>
      <c r="BM3860">
        <v>0.56000000000000005</v>
      </c>
      <c r="BN3860">
        <v>1.05</v>
      </c>
      <c r="BO3860">
        <v>0.7</v>
      </c>
      <c r="BP3860">
        <v>1.74</v>
      </c>
      <c r="BQ3860">
        <v>1.43</v>
      </c>
      <c r="BR3860">
        <v>1.03</v>
      </c>
      <c r="BS3860">
        <v>-0.73</v>
      </c>
      <c r="BT3860">
        <v>-0.23</v>
      </c>
      <c r="BU3860">
        <v>-0.22</v>
      </c>
      <c r="BV3860">
        <v>0.88</v>
      </c>
      <c r="BW3860">
        <v>0.43</v>
      </c>
      <c r="BX3860">
        <v>-0.72</v>
      </c>
      <c r="BY3860">
        <v>-1.04</v>
      </c>
      <c r="BZ3860">
        <v>-0.63</v>
      </c>
      <c r="CA3860">
        <v>-0.18</v>
      </c>
      <c r="CB3860">
        <v>0</v>
      </c>
      <c r="CC3860">
        <v>-0.31</v>
      </c>
      <c r="CD3860">
        <v>-0.66</v>
      </c>
      <c r="CE3860">
        <v>0.62</v>
      </c>
      <c r="CF3860">
        <v>1.42</v>
      </c>
      <c r="CG3860">
        <v>0</v>
      </c>
      <c r="CH3860">
        <v>1.19</v>
      </c>
      <c r="CI3860">
        <v>0</v>
      </c>
      <c r="CJ3860">
        <v>-3.7</v>
      </c>
      <c r="CK3860">
        <v>98</v>
      </c>
      <c r="CL3860">
        <v>-1.04</v>
      </c>
      <c r="CM3860">
        <v>98</v>
      </c>
      <c r="CN3860">
        <v>-0.28999999999999998</v>
      </c>
      <c r="CO3860">
        <v>97</v>
      </c>
      <c r="CP3860">
        <v>-1.3</v>
      </c>
      <c r="CQ3860">
        <v>97</v>
      </c>
      <c r="CR3860">
        <v>0</v>
      </c>
      <c r="CS3860">
        <v>0</v>
      </c>
      <c r="CT3860">
        <v>6.2</v>
      </c>
      <c r="CU3860">
        <v>95</v>
      </c>
      <c r="CV3860">
        <v>0.22</v>
      </c>
      <c r="CW3860">
        <v>29</v>
      </c>
      <c r="CX3860" t="s">
        <v>188</v>
      </c>
    </row>
    <row r="3861" spans="1:102" x14ac:dyDescent="0.3">
      <c r="A3861" t="str">
        <f>HYPERLINK("https://webapp.icbf.com/v2/app/bull-search/view/660019121","S1402")</f>
        <v>S1402</v>
      </c>
      <c r="B3861" t="s">
        <v>10139</v>
      </c>
      <c r="C3861" t="s">
        <v>10140</v>
      </c>
      <c r="D3861" s="1">
        <v>39287</v>
      </c>
      <c r="E3861" t="s">
        <v>92</v>
      </c>
      <c r="F3861">
        <v>100</v>
      </c>
      <c r="G3861" t="s">
        <v>109</v>
      </c>
      <c r="H3861">
        <v>-67.349999999999994</v>
      </c>
      <c r="I3861">
        <v>78</v>
      </c>
      <c r="J3861">
        <v>15.58</v>
      </c>
      <c r="K3861">
        <v>91</v>
      </c>
      <c r="L3861">
        <v>-40.479999999999997</v>
      </c>
      <c r="M3861">
        <v>78</v>
      </c>
      <c r="N3861">
        <v>-32.340000000000003</v>
      </c>
      <c r="O3861">
        <v>67</v>
      </c>
      <c r="P3861">
        <v>3</v>
      </c>
      <c r="Q3861">
        <v>69</v>
      </c>
      <c r="R3861">
        <v>9.44</v>
      </c>
      <c r="S3861">
        <v>74</v>
      </c>
      <c r="T3861">
        <v>-18.59</v>
      </c>
      <c r="U3861">
        <v>62</v>
      </c>
      <c r="V3861">
        <v>-3.96</v>
      </c>
      <c r="W3861">
        <v>64</v>
      </c>
      <c r="X3861" t="s">
        <v>251</v>
      </c>
      <c r="Y3861" t="s">
        <v>342</v>
      </c>
      <c r="Z3861" t="s">
        <v>96</v>
      </c>
      <c r="AA3861" t="s">
        <v>4548</v>
      </c>
      <c r="AB3861" t="s">
        <v>10141</v>
      </c>
      <c r="AC3861">
        <v>0</v>
      </c>
      <c r="AD3861">
        <v>0</v>
      </c>
      <c r="AE3861">
        <v>91</v>
      </c>
      <c r="AF3861">
        <v>85.81</v>
      </c>
      <c r="AG3861">
        <v>-0.19</v>
      </c>
      <c r="AH3861">
        <v>4.03</v>
      </c>
      <c r="AI3861">
        <v>-0.06</v>
      </c>
      <c r="AJ3861">
        <v>0.02</v>
      </c>
      <c r="AK3861">
        <v>78</v>
      </c>
      <c r="AL3861">
        <v>0</v>
      </c>
      <c r="AM3861">
        <v>0</v>
      </c>
      <c r="AN3861">
        <v>3.63</v>
      </c>
      <c r="AO3861">
        <v>0.42</v>
      </c>
      <c r="AP3861">
        <v>23</v>
      </c>
      <c r="AQ3861">
        <v>0</v>
      </c>
      <c r="AR3861">
        <v>12.76</v>
      </c>
      <c r="AS3861">
        <v>66</v>
      </c>
      <c r="AT3861">
        <v>5.63</v>
      </c>
      <c r="AU3861">
        <v>76</v>
      </c>
      <c r="AV3861">
        <v>-1.49</v>
      </c>
      <c r="AW3861">
        <v>72</v>
      </c>
      <c r="AX3861">
        <v>0</v>
      </c>
      <c r="AY3861">
        <v>58</v>
      </c>
      <c r="AZ3861">
        <v>5.97</v>
      </c>
      <c r="BA3861">
        <v>50</v>
      </c>
      <c r="BB3861">
        <v>4.71</v>
      </c>
      <c r="BC3861">
        <v>48</v>
      </c>
      <c r="BD3861">
        <v>-0.03</v>
      </c>
      <c r="BE3861">
        <v>-0.03</v>
      </c>
      <c r="BF3861">
        <v>-0.11</v>
      </c>
      <c r="BG3861">
        <v>87</v>
      </c>
      <c r="BH3861">
        <v>0.1</v>
      </c>
      <c r="BI3861">
        <v>24.33</v>
      </c>
      <c r="BJ3861">
        <v>5</v>
      </c>
      <c r="BK3861">
        <v>3</v>
      </c>
      <c r="BL3861">
        <v>1.24</v>
      </c>
      <c r="BM3861">
        <v>-0.17</v>
      </c>
      <c r="BN3861">
        <v>0.8</v>
      </c>
      <c r="BO3861">
        <v>0.4</v>
      </c>
      <c r="BP3861">
        <v>2.29</v>
      </c>
      <c r="BQ3861">
        <v>-1.02</v>
      </c>
      <c r="BR3861">
        <v>-0.88</v>
      </c>
      <c r="BS3861">
        <v>0.71</v>
      </c>
      <c r="BT3861">
        <v>1.1200000000000001</v>
      </c>
      <c r="BU3861">
        <v>1.8</v>
      </c>
      <c r="BV3861">
        <v>1.72</v>
      </c>
      <c r="BW3861">
        <v>7.0000000000000007E-2</v>
      </c>
      <c r="BX3861">
        <v>1.05</v>
      </c>
      <c r="BY3861">
        <v>1.47</v>
      </c>
      <c r="BZ3861">
        <v>1.91</v>
      </c>
      <c r="CA3861">
        <v>0.91</v>
      </c>
      <c r="CB3861">
        <v>1.18</v>
      </c>
      <c r="CC3861">
        <v>0.6</v>
      </c>
      <c r="CD3861">
        <v>0.52</v>
      </c>
      <c r="CE3861">
        <v>0.94</v>
      </c>
      <c r="CF3861">
        <v>1.47</v>
      </c>
      <c r="CG3861">
        <v>0</v>
      </c>
      <c r="CH3861">
        <v>1.28</v>
      </c>
      <c r="CI3861">
        <v>0</v>
      </c>
      <c r="CJ3861">
        <v>4.5999999999999996</v>
      </c>
      <c r="CK3861">
        <v>71</v>
      </c>
      <c r="CL3861">
        <v>-1.1499999999999999</v>
      </c>
      <c r="CM3861">
        <v>67</v>
      </c>
      <c r="CN3861">
        <v>-0.52</v>
      </c>
      <c r="CO3861">
        <v>66</v>
      </c>
      <c r="CP3861">
        <v>16.2</v>
      </c>
      <c r="CQ3861">
        <v>63</v>
      </c>
      <c r="CR3861">
        <v>0</v>
      </c>
      <c r="CS3861">
        <v>0</v>
      </c>
      <c r="CT3861">
        <v>38.9</v>
      </c>
      <c r="CU3861">
        <v>62</v>
      </c>
      <c r="CV3861">
        <v>0.23</v>
      </c>
      <c r="CW3861">
        <v>39</v>
      </c>
      <c r="CX3861" t="s">
        <v>838</v>
      </c>
    </row>
    <row r="3862" spans="1:102" x14ac:dyDescent="0.3">
      <c r="A3862" t="str">
        <f>HYPERLINK("https://webapp.icbf.com/v2/app/bull-search/view/389210180","RSZ")</f>
        <v>RSZ</v>
      </c>
      <c r="B3862" t="s">
        <v>5150</v>
      </c>
      <c r="C3862" t="s">
        <v>1680</v>
      </c>
      <c r="D3862" s="1">
        <v>36502</v>
      </c>
      <c r="E3862" t="s">
        <v>92</v>
      </c>
      <c r="F3862">
        <v>100</v>
      </c>
      <c r="G3862" t="s">
        <v>93</v>
      </c>
      <c r="H3862">
        <v>-67.47</v>
      </c>
      <c r="I3862">
        <v>96</v>
      </c>
      <c r="J3862">
        <v>32.119999999999997</v>
      </c>
      <c r="K3862">
        <v>99</v>
      </c>
      <c r="L3862">
        <v>-98.09</v>
      </c>
      <c r="M3862">
        <v>93</v>
      </c>
      <c r="N3862">
        <v>7.07</v>
      </c>
      <c r="O3862">
        <v>98</v>
      </c>
      <c r="P3862">
        <v>-7.04</v>
      </c>
      <c r="Q3862">
        <v>99</v>
      </c>
      <c r="R3862">
        <v>1.8</v>
      </c>
      <c r="S3862">
        <v>94</v>
      </c>
      <c r="T3862">
        <v>-6.3</v>
      </c>
      <c r="U3862">
        <v>98</v>
      </c>
      <c r="V3862">
        <v>2.97</v>
      </c>
      <c r="W3862">
        <v>94</v>
      </c>
      <c r="X3862" t="s">
        <v>276</v>
      </c>
      <c r="Y3862" t="s">
        <v>1215</v>
      </c>
      <c r="Z3862" t="s">
        <v>96</v>
      </c>
      <c r="AA3862" t="s">
        <v>311</v>
      </c>
      <c r="AB3862" t="s">
        <v>5151</v>
      </c>
      <c r="AC3862">
        <v>1016</v>
      </c>
      <c r="AD3862">
        <v>299</v>
      </c>
      <c r="AE3862">
        <v>99</v>
      </c>
      <c r="AF3862">
        <v>336.65</v>
      </c>
      <c r="AG3862">
        <v>9.7100000000000009</v>
      </c>
      <c r="AH3862">
        <v>7.18</v>
      </c>
      <c r="AI3862">
        <v>-0.06</v>
      </c>
      <c r="AJ3862">
        <v>-7.0000000000000007E-2</v>
      </c>
      <c r="AK3862">
        <v>93</v>
      </c>
      <c r="AL3862">
        <v>926</v>
      </c>
      <c r="AM3862">
        <v>289</v>
      </c>
      <c r="AN3862">
        <v>5.52</v>
      </c>
      <c r="AO3862">
        <v>-2.2999999999999998</v>
      </c>
      <c r="AP3862">
        <v>1815</v>
      </c>
      <c r="AQ3862">
        <v>3</v>
      </c>
      <c r="AR3862">
        <v>9.16</v>
      </c>
      <c r="AS3862">
        <v>97</v>
      </c>
      <c r="AT3862">
        <v>4.49</v>
      </c>
      <c r="AU3862">
        <v>99</v>
      </c>
      <c r="AV3862">
        <v>-2.63</v>
      </c>
      <c r="AW3862">
        <v>99</v>
      </c>
      <c r="AX3862">
        <v>0.19</v>
      </c>
      <c r="AY3862">
        <v>98</v>
      </c>
      <c r="AZ3862">
        <v>5.19</v>
      </c>
      <c r="BA3862">
        <v>94</v>
      </c>
      <c r="BB3862">
        <v>4.32</v>
      </c>
      <c r="BC3862">
        <v>93</v>
      </c>
      <c r="BD3862">
        <v>-0.02</v>
      </c>
      <c r="BE3862">
        <v>-0.02</v>
      </c>
      <c r="BF3862">
        <v>0.03</v>
      </c>
      <c r="BG3862">
        <v>98</v>
      </c>
      <c r="BH3862">
        <v>-0.05</v>
      </c>
      <c r="BI3862">
        <v>-15.36</v>
      </c>
      <c r="BJ3862">
        <v>535</v>
      </c>
      <c r="BK3862">
        <v>172</v>
      </c>
      <c r="BL3862">
        <v>1.04</v>
      </c>
      <c r="BM3862">
        <v>0.55000000000000004</v>
      </c>
      <c r="BN3862">
        <v>1.18</v>
      </c>
      <c r="BO3862">
        <v>0.78</v>
      </c>
      <c r="BP3862">
        <v>2.19</v>
      </c>
      <c r="BQ3862">
        <v>0.46</v>
      </c>
      <c r="BR3862">
        <v>1</v>
      </c>
      <c r="BS3862">
        <v>1.07</v>
      </c>
      <c r="BT3862">
        <v>0.15</v>
      </c>
      <c r="BU3862">
        <v>1.92</v>
      </c>
      <c r="BV3862">
        <v>2.1800000000000002</v>
      </c>
      <c r="BW3862">
        <v>1.51</v>
      </c>
      <c r="BX3862">
        <v>1.1599999999999999</v>
      </c>
      <c r="BY3862">
        <v>1.1299999999999999</v>
      </c>
      <c r="BZ3862">
        <v>0.38</v>
      </c>
      <c r="CA3862">
        <v>1.91</v>
      </c>
      <c r="CB3862">
        <v>1.61</v>
      </c>
      <c r="CC3862">
        <v>1.63</v>
      </c>
      <c r="CD3862">
        <v>0.28000000000000003</v>
      </c>
      <c r="CE3862">
        <v>0.84</v>
      </c>
      <c r="CF3862">
        <v>1.45</v>
      </c>
      <c r="CG3862">
        <v>0</v>
      </c>
      <c r="CH3862">
        <v>1.1100000000000001</v>
      </c>
      <c r="CI3862">
        <v>0</v>
      </c>
      <c r="CJ3862">
        <v>-2.5</v>
      </c>
      <c r="CK3862">
        <v>99</v>
      </c>
      <c r="CL3862">
        <v>-1.19</v>
      </c>
      <c r="CM3862">
        <v>99</v>
      </c>
      <c r="CN3862">
        <v>-0.69</v>
      </c>
      <c r="CO3862">
        <v>99</v>
      </c>
      <c r="CP3862">
        <v>4.0999999999999996</v>
      </c>
      <c r="CQ3862">
        <v>99</v>
      </c>
      <c r="CR3862">
        <v>0</v>
      </c>
      <c r="CS3862">
        <v>0</v>
      </c>
      <c r="CT3862">
        <v>22.3</v>
      </c>
      <c r="CU3862">
        <v>98</v>
      </c>
      <c r="CV3862">
        <v>0.23</v>
      </c>
      <c r="CW3862">
        <v>46</v>
      </c>
      <c r="CX3862" t="s">
        <v>989</v>
      </c>
    </row>
    <row r="3863" spans="1:102" x14ac:dyDescent="0.3">
      <c r="A3863" t="str">
        <f>HYPERLINK("https://webapp.icbf.com/v2/app/bull-search/view/678702702","S1276")</f>
        <v>S1276</v>
      </c>
      <c r="B3863" t="s">
        <v>9189</v>
      </c>
      <c r="C3863" t="s">
        <v>9190</v>
      </c>
      <c r="D3863" s="1">
        <v>38913</v>
      </c>
      <c r="E3863" t="s">
        <v>92</v>
      </c>
      <c r="F3863">
        <v>100</v>
      </c>
      <c r="G3863" t="s">
        <v>109</v>
      </c>
      <c r="H3863">
        <v>-67.48</v>
      </c>
      <c r="I3863">
        <v>66</v>
      </c>
      <c r="J3863">
        <v>63.42</v>
      </c>
      <c r="K3863">
        <v>84</v>
      </c>
      <c r="L3863">
        <v>-132.68</v>
      </c>
      <c r="M3863">
        <v>79</v>
      </c>
      <c r="N3863">
        <v>10.72</v>
      </c>
      <c r="O3863">
        <v>38</v>
      </c>
      <c r="P3863">
        <v>2.4300000000000002</v>
      </c>
      <c r="Q3863">
        <v>42</v>
      </c>
      <c r="R3863">
        <v>-4.32</v>
      </c>
      <c r="S3863">
        <v>56</v>
      </c>
      <c r="T3863">
        <v>-4.45</v>
      </c>
      <c r="U3863">
        <v>27</v>
      </c>
      <c r="V3863">
        <v>-2.6</v>
      </c>
      <c r="W3863">
        <v>18</v>
      </c>
      <c r="X3863" t="s">
        <v>94</v>
      </c>
      <c r="Y3863" t="s">
        <v>342</v>
      </c>
      <c r="Z3863" t="s">
        <v>96</v>
      </c>
      <c r="AA3863" t="s">
        <v>1795</v>
      </c>
      <c r="AB3863" t="s">
        <v>9191</v>
      </c>
      <c r="AC3863">
        <v>0</v>
      </c>
      <c r="AD3863">
        <v>0</v>
      </c>
      <c r="AE3863">
        <v>84</v>
      </c>
      <c r="AF3863">
        <v>664.64</v>
      </c>
      <c r="AG3863">
        <v>7.43</v>
      </c>
      <c r="AH3863">
        <v>18.329999999999998</v>
      </c>
      <c r="AI3863">
        <v>-0.28000000000000003</v>
      </c>
      <c r="AJ3863">
        <v>-7.0000000000000007E-2</v>
      </c>
      <c r="AK3863">
        <v>79</v>
      </c>
      <c r="AL3863">
        <v>0</v>
      </c>
      <c r="AM3863">
        <v>0</v>
      </c>
      <c r="AN3863">
        <v>8.1199999999999992</v>
      </c>
      <c r="AO3863">
        <v>-2.4500000000000002</v>
      </c>
      <c r="AP3863">
        <v>5</v>
      </c>
      <c r="AQ3863">
        <v>0</v>
      </c>
      <c r="AR3863">
        <v>5.83</v>
      </c>
      <c r="AS3863">
        <v>25</v>
      </c>
      <c r="AT3863">
        <v>2.84</v>
      </c>
      <c r="AU3863">
        <v>84</v>
      </c>
      <c r="AV3863">
        <v>-1.34</v>
      </c>
      <c r="AW3863">
        <v>25</v>
      </c>
      <c r="AX3863">
        <v>0.7</v>
      </c>
      <c r="AY3863">
        <v>25</v>
      </c>
      <c r="AZ3863">
        <v>7.47</v>
      </c>
      <c r="BA3863">
        <v>18</v>
      </c>
      <c r="BB3863">
        <v>5.61</v>
      </c>
      <c r="BC3863">
        <v>17</v>
      </c>
      <c r="BD3863">
        <v>0.02</v>
      </c>
      <c r="BE3863">
        <v>0.04</v>
      </c>
      <c r="BF3863">
        <v>-0.01</v>
      </c>
      <c r="BG3863">
        <v>87</v>
      </c>
      <c r="BH3863">
        <v>-0.03</v>
      </c>
      <c r="BI3863">
        <v>4.93</v>
      </c>
      <c r="BJ3863">
        <v>0</v>
      </c>
      <c r="BK3863">
        <v>0</v>
      </c>
      <c r="BL3863">
        <v>2.39</v>
      </c>
      <c r="BM3863">
        <v>-0.08</v>
      </c>
      <c r="BN3863">
        <v>2.09</v>
      </c>
      <c r="BO3863">
        <v>1.83</v>
      </c>
      <c r="BP3863">
        <v>1.54</v>
      </c>
      <c r="BQ3863">
        <v>3.27</v>
      </c>
      <c r="BR3863">
        <v>0.53</v>
      </c>
      <c r="BS3863">
        <v>-0.24</v>
      </c>
      <c r="BT3863">
        <v>1.55</v>
      </c>
      <c r="BU3863">
        <v>1.71</v>
      </c>
      <c r="BV3863">
        <v>3.26</v>
      </c>
      <c r="BW3863">
        <v>2.99</v>
      </c>
      <c r="BX3863">
        <v>1.3</v>
      </c>
      <c r="BY3863">
        <v>1.66</v>
      </c>
      <c r="BZ3863">
        <v>-0.91</v>
      </c>
      <c r="CA3863">
        <v>1.48</v>
      </c>
      <c r="CB3863">
        <v>2.14</v>
      </c>
      <c r="CC3863">
        <v>-0.22</v>
      </c>
      <c r="CD3863">
        <v>-1.08</v>
      </c>
      <c r="CE3863">
        <v>0</v>
      </c>
      <c r="CF3863">
        <v>0</v>
      </c>
      <c r="CG3863">
        <v>0</v>
      </c>
      <c r="CH3863">
        <v>0</v>
      </c>
      <c r="CI3863">
        <v>0</v>
      </c>
      <c r="CJ3863">
        <v>3.8</v>
      </c>
      <c r="CK3863">
        <v>44</v>
      </c>
      <c r="CL3863">
        <v>-0.99</v>
      </c>
      <c r="CM3863">
        <v>41</v>
      </c>
      <c r="CN3863">
        <v>-0.55000000000000004</v>
      </c>
      <c r="CO3863">
        <v>39</v>
      </c>
      <c r="CP3863">
        <v>6.4</v>
      </c>
      <c r="CQ3863">
        <v>30</v>
      </c>
      <c r="CR3863">
        <v>0</v>
      </c>
      <c r="CS3863">
        <v>0</v>
      </c>
      <c r="CT3863">
        <v>19.8</v>
      </c>
      <c r="CU3863">
        <v>27</v>
      </c>
      <c r="CV3863">
        <v>0.36</v>
      </c>
      <c r="CW3863">
        <v>12</v>
      </c>
      <c r="CX3863" t="s">
        <v>9192</v>
      </c>
    </row>
    <row r="3864" spans="1:102" x14ac:dyDescent="0.3">
      <c r="A3864" t="str">
        <f>HYPERLINK("https://webapp.icbf.com/v2/app/bull-search/view/77857873","FGA")</f>
        <v>FGA</v>
      </c>
      <c r="B3864" t="s">
        <v>8149</v>
      </c>
      <c r="C3864" t="s">
        <v>8150</v>
      </c>
      <c r="D3864" s="1">
        <v>35595</v>
      </c>
      <c r="E3864" t="s">
        <v>92</v>
      </c>
      <c r="F3864">
        <v>100</v>
      </c>
      <c r="G3864" t="s">
        <v>116</v>
      </c>
      <c r="H3864">
        <v>-67.55</v>
      </c>
      <c r="I3864">
        <v>51</v>
      </c>
      <c r="J3864">
        <v>-60.76</v>
      </c>
      <c r="K3864">
        <v>67</v>
      </c>
      <c r="L3864">
        <v>-40.61</v>
      </c>
      <c r="M3864">
        <v>41</v>
      </c>
      <c r="N3864">
        <v>29.43</v>
      </c>
      <c r="O3864">
        <v>40</v>
      </c>
      <c r="P3864">
        <v>-6.14</v>
      </c>
      <c r="Q3864">
        <v>53</v>
      </c>
      <c r="R3864">
        <v>-3.89</v>
      </c>
      <c r="S3864">
        <v>45</v>
      </c>
      <c r="T3864">
        <v>16.489999999999998</v>
      </c>
      <c r="U3864">
        <v>47</v>
      </c>
      <c r="V3864">
        <v>-2.0699999999999998</v>
      </c>
      <c r="W3864">
        <v>30</v>
      </c>
      <c r="X3864" t="s">
        <v>94</v>
      </c>
      <c r="Y3864" t="s">
        <v>1333</v>
      </c>
      <c r="Z3864" t="s">
        <v>96</v>
      </c>
      <c r="AA3864" t="s">
        <v>596</v>
      </c>
      <c r="AB3864" t="s">
        <v>8151</v>
      </c>
      <c r="AC3864">
        <v>9</v>
      </c>
      <c r="AD3864">
        <v>5</v>
      </c>
      <c r="AE3864">
        <v>67</v>
      </c>
      <c r="AF3864">
        <v>450.39</v>
      </c>
      <c r="AG3864">
        <v>-7.97</v>
      </c>
      <c r="AH3864">
        <v>-0.62</v>
      </c>
      <c r="AI3864">
        <v>-0.39</v>
      </c>
      <c r="AJ3864">
        <v>-0.25</v>
      </c>
      <c r="AK3864">
        <v>41</v>
      </c>
      <c r="AL3864">
        <v>12</v>
      </c>
      <c r="AM3864">
        <v>7</v>
      </c>
      <c r="AN3864">
        <v>2.09</v>
      </c>
      <c r="AO3864">
        <v>-1.1499999999999999</v>
      </c>
      <c r="AP3864">
        <v>1</v>
      </c>
      <c r="AQ3864">
        <v>1</v>
      </c>
      <c r="AR3864">
        <v>4.96</v>
      </c>
      <c r="AS3864">
        <v>33</v>
      </c>
      <c r="AT3864">
        <v>2.38</v>
      </c>
      <c r="AU3864">
        <v>37</v>
      </c>
      <c r="AV3864">
        <v>-1.94</v>
      </c>
      <c r="AW3864">
        <v>46</v>
      </c>
      <c r="AX3864">
        <v>-0.66</v>
      </c>
      <c r="AY3864">
        <v>40</v>
      </c>
      <c r="AZ3864">
        <v>6.13</v>
      </c>
      <c r="BA3864">
        <v>31</v>
      </c>
      <c r="BB3864">
        <v>5.03</v>
      </c>
      <c r="BC3864">
        <v>33</v>
      </c>
      <c r="BD3864">
        <v>0.02</v>
      </c>
      <c r="BE3864">
        <v>0.04</v>
      </c>
      <c r="BF3864">
        <v>-0.02</v>
      </c>
      <c r="BG3864">
        <v>52</v>
      </c>
      <c r="BH3864">
        <v>0.01</v>
      </c>
      <c r="BI3864">
        <v>7.82</v>
      </c>
      <c r="BJ3864">
        <v>1</v>
      </c>
      <c r="BK3864">
        <v>1</v>
      </c>
      <c r="BL3864">
        <v>0.77</v>
      </c>
      <c r="BM3864">
        <v>-1.6</v>
      </c>
      <c r="BN3864">
        <v>-0.47</v>
      </c>
      <c r="BO3864">
        <v>0.72</v>
      </c>
      <c r="BP3864">
        <v>-0.13</v>
      </c>
      <c r="BQ3864">
        <v>-0.26</v>
      </c>
      <c r="BR3864">
        <v>1.44</v>
      </c>
      <c r="BS3864">
        <v>-0.72</v>
      </c>
      <c r="BT3864">
        <v>-1.52</v>
      </c>
      <c r="BU3864">
        <v>1.77</v>
      </c>
      <c r="BV3864">
        <v>1.4</v>
      </c>
      <c r="BW3864">
        <v>0.75</v>
      </c>
      <c r="BX3864">
        <v>1.82</v>
      </c>
      <c r="BY3864">
        <v>0.6</v>
      </c>
      <c r="BZ3864">
        <v>0.4</v>
      </c>
      <c r="CA3864">
        <v>1.1599999999999999</v>
      </c>
      <c r="CB3864">
        <v>1.29</v>
      </c>
      <c r="CC3864">
        <v>0.24</v>
      </c>
      <c r="CD3864">
        <v>-1.1100000000000001</v>
      </c>
      <c r="CE3864">
        <v>0.67</v>
      </c>
      <c r="CF3864">
        <v>7.0000000000000007E-2</v>
      </c>
      <c r="CG3864">
        <v>0</v>
      </c>
      <c r="CH3864">
        <v>0.54</v>
      </c>
      <c r="CI3864">
        <v>0</v>
      </c>
      <c r="CJ3864">
        <v>-2</v>
      </c>
      <c r="CK3864">
        <v>54</v>
      </c>
      <c r="CL3864">
        <v>-0.73</v>
      </c>
      <c r="CM3864">
        <v>51</v>
      </c>
      <c r="CN3864">
        <v>-0.48</v>
      </c>
      <c r="CO3864">
        <v>45</v>
      </c>
      <c r="CP3864">
        <v>-9.8000000000000007</v>
      </c>
      <c r="CQ3864">
        <v>62</v>
      </c>
      <c r="CR3864">
        <v>0</v>
      </c>
      <c r="CS3864">
        <v>0</v>
      </c>
      <c r="CT3864">
        <v>-8.5</v>
      </c>
      <c r="CU3864">
        <v>47</v>
      </c>
      <c r="CV3864">
        <v>0.21</v>
      </c>
      <c r="CW3864">
        <v>14</v>
      </c>
      <c r="CX3864" t="s">
        <v>2745</v>
      </c>
    </row>
    <row r="3865" spans="1:102" x14ac:dyDescent="0.3">
      <c r="A3865" t="str">
        <f>HYPERLINK("https://webapp.icbf.com/v2/app/bull-search/view/77856361","JTR")</f>
        <v>JTR</v>
      </c>
      <c r="B3865" t="s">
        <v>11312</v>
      </c>
      <c r="C3865" t="s">
        <v>11313</v>
      </c>
      <c r="D3865" s="1">
        <v>33345</v>
      </c>
      <c r="E3865" t="s">
        <v>92</v>
      </c>
      <c r="F3865">
        <v>100</v>
      </c>
      <c r="G3865" t="s">
        <v>93</v>
      </c>
      <c r="H3865">
        <v>-67.77</v>
      </c>
      <c r="I3865">
        <v>91</v>
      </c>
      <c r="J3865">
        <v>-45.68</v>
      </c>
      <c r="K3865">
        <v>99</v>
      </c>
      <c r="L3865">
        <v>-40.82</v>
      </c>
      <c r="M3865">
        <v>88</v>
      </c>
      <c r="N3865">
        <v>16.989999999999998</v>
      </c>
      <c r="O3865">
        <v>84</v>
      </c>
      <c r="P3865">
        <v>-4.83</v>
      </c>
      <c r="Q3865">
        <v>94</v>
      </c>
      <c r="R3865">
        <v>-2.19</v>
      </c>
      <c r="S3865">
        <v>81</v>
      </c>
      <c r="T3865">
        <v>12.05</v>
      </c>
      <c r="U3865">
        <v>92</v>
      </c>
      <c r="V3865">
        <v>-3.29</v>
      </c>
      <c r="W3865">
        <v>66</v>
      </c>
      <c r="X3865" t="s">
        <v>94</v>
      </c>
      <c r="Y3865" t="s">
        <v>95</v>
      </c>
      <c r="Z3865" t="s">
        <v>96</v>
      </c>
      <c r="AA3865" t="s">
        <v>111</v>
      </c>
      <c r="AB3865" t="s">
        <v>11314</v>
      </c>
      <c r="AC3865">
        <v>320</v>
      </c>
      <c r="AD3865">
        <v>160</v>
      </c>
      <c r="AE3865">
        <v>99</v>
      </c>
      <c r="AF3865">
        <v>-241.78</v>
      </c>
      <c r="AG3865">
        <v>-6.19</v>
      </c>
      <c r="AH3865">
        <v>-9.2799999999999994</v>
      </c>
      <c r="AI3865">
        <v>0.06</v>
      </c>
      <c r="AJ3865">
        <v>-0.02</v>
      </c>
      <c r="AK3865">
        <v>88</v>
      </c>
      <c r="AL3865">
        <v>298</v>
      </c>
      <c r="AM3865">
        <v>163</v>
      </c>
      <c r="AN3865">
        <v>4.17</v>
      </c>
      <c r="AO3865">
        <v>0.94</v>
      </c>
      <c r="AP3865">
        <v>8</v>
      </c>
      <c r="AQ3865">
        <v>0</v>
      </c>
      <c r="AR3865">
        <v>5.33</v>
      </c>
      <c r="AS3865">
        <v>64</v>
      </c>
      <c r="AT3865">
        <v>2.64</v>
      </c>
      <c r="AU3865">
        <v>81</v>
      </c>
      <c r="AV3865">
        <v>-0.38</v>
      </c>
      <c r="AW3865">
        <v>90</v>
      </c>
      <c r="AX3865">
        <v>-0.15</v>
      </c>
      <c r="AY3865">
        <v>91</v>
      </c>
      <c r="AZ3865">
        <v>5.53</v>
      </c>
      <c r="BA3865">
        <v>66</v>
      </c>
      <c r="BB3865">
        <v>4.37</v>
      </c>
      <c r="BC3865">
        <v>80</v>
      </c>
      <c r="BD3865">
        <v>0.02</v>
      </c>
      <c r="BE3865">
        <v>0.03</v>
      </c>
      <c r="BF3865">
        <v>-0.04</v>
      </c>
      <c r="BG3865">
        <v>94</v>
      </c>
      <c r="BH3865">
        <v>0.08</v>
      </c>
      <c r="BI3865">
        <v>19.88</v>
      </c>
      <c r="BJ3865">
        <v>4</v>
      </c>
      <c r="BK3865">
        <v>4</v>
      </c>
      <c r="BL3865">
        <v>1.2</v>
      </c>
      <c r="BM3865">
        <v>-0.66</v>
      </c>
      <c r="BN3865">
        <v>0.28000000000000003</v>
      </c>
      <c r="BO3865">
        <v>0.23</v>
      </c>
      <c r="BP3865">
        <v>1.39</v>
      </c>
      <c r="BQ3865">
        <v>1.1100000000000001</v>
      </c>
      <c r="BR3865">
        <v>-1.1100000000000001</v>
      </c>
      <c r="BS3865">
        <v>0.54</v>
      </c>
      <c r="BT3865">
        <v>1.55</v>
      </c>
      <c r="BU3865">
        <v>2.0299999999999998</v>
      </c>
      <c r="BV3865">
        <v>0.55000000000000004</v>
      </c>
      <c r="BW3865">
        <v>0.98</v>
      </c>
      <c r="BX3865">
        <v>2.29</v>
      </c>
      <c r="BY3865">
        <v>0.17</v>
      </c>
      <c r="BZ3865">
        <v>1.34</v>
      </c>
      <c r="CA3865">
        <v>1.19</v>
      </c>
      <c r="CB3865">
        <v>0.98</v>
      </c>
      <c r="CC3865">
        <v>1.04</v>
      </c>
      <c r="CD3865">
        <v>-0.52</v>
      </c>
      <c r="CE3865">
        <v>0.9</v>
      </c>
      <c r="CF3865">
        <v>0.33</v>
      </c>
      <c r="CG3865">
        <v>0</v>
      </c>
      <c r="CH3865">
        <v>1.1399999999999999</v>
      </c>
      <c r="CI3865">
        <v>0</v>
      </c>
      <c r="CJ3865">
        <v>0.2</v>
      </c>
      <c r="CK3865">
        <v>94</v>
      </c>
      <c r="CL3865">
        <v>-0.71</v>
      </c>
      <c r="CM3865">
        <v>93</v>
      </c>
      <c r="CN3865">
        <v>-0.24</v>
      </c>
      <c r="CO3865">
        <v>92</v>
      </c>
      <c r="CP3865">
        <v>-3.9</v>
      </c>
      <c r="CQ3865">
        <v>96</v>
      </c>
      <c r="CR3865">
        <v>0</v>
      </c>
      <c r="CS3865">
        <v>0</v>
      </c>
      <c r="CT3865">
        <v>-2.5</v>
      </c>
      <c r="CU3865">
        <v>92</v>
      </c>
      <c r="CV3865">
        <v>0.18</v>
      </c>
      <c r="CW3865">
        <v>28</v>
      </c>
      <c r="CX3865" t="s">
        <v>825</v>
      </c>
    </row>
    <row r="3866" spans="1:102" x14ac:dyDescent="0.3">
      <c r="A3866" t="str">
        <f>HYPERLINK("https://webapp.icbf.com/v2/app/bull-search/view/77858596","CSP")</f>
        <v>CSP</v>
      </c>
      <c r="B3866" t="s">
        <v>3547</v>
      </c>
      <c r="C3866" t="s">
        <v>3548</v>
      </c>
      <c r="D3866" s="1">
        <v>32602</v>
      </c>
      <c r="E3866" t="s">
        <v>92</v>
      </c>
      <c r="F3866">
        <v>100</v>
      </c>
      <c r="G3866" t="s">
        <v>93</v>
      </c>
      <c r="H3866">
        <v>-67.83</v>
      </c>
      <c r="I3866">
        <v>89</v>
      </c>
      <c r="J3866">
        <v>6.39</v>
      </c>
      <c r="K3866">
        <v>97</v>
      </c>
      <c r="L3866">
        <v>-56.06</v>
      </c>
      <c r="M3866">
        <v>91</v>
      </c>
      <c r="N3866">
        <v>-16.649999999999999</v>
      </c>
      <c r="O3866">
        <v>80</v>
      </c>
      <c r="P3866">
        <v>-9.84</v>
      </c>
      <c r="Q3866">
        <v>85</v>
      </c>
      <c r="R3866">
        <v>-10.130000000000001</v>
      </c>
      <c r="S3866">
        <v>79</v>
      </c>
      <c r="T3866">
        <v>16.05</v>
      </c>
      <c r="U3866">
        <v>86</v>
      </c>
      <c r="V3866">
        <v>2.41</v>
      </c>
      <c r="W3866">
        <v>64</v>
      </c>
      <c r="X3866" t="s">
        <v>131</v>
      </c>
      <c r="Y3866" t="s">
        <v>95</v>
      </c>
      <c r="Z3866" t="s">
        <v>96</v>
      </c>
      <c r="AA3866" t="s">
        <v>3549</v>
      </c>
      <c r="AB3866" t="s">
        <v>3550</v>
      </c>
      <c r="AC3866">
        <v>127</v>
      </c>
      <c r="AD3866">
        <v>90</v>
      </c>
      <c r="AE3866">
        <v>97</v>
      </c>
      <c r="AF3866">
        <v>257.56</v>
      </c>
      <c r="AG3866">
        <v>6.95</v>
      </c>
      <c r="AH3866">
        <v>2.57</v>
      </c>
      <c r="AI3866">
        <v>-0.05</v>
      </c>
      <c r="AJ3866">
        <v>-0.1</v>
      </c>
      <c r="AK3866">
        <v>91</v>
      </c>
      <c r="AL3866">
        <v>141</v>
      </c>
      <c r="AM3866">
        <v>81</v>
      </c>
      <c r="AN3866">
        <v>3.91</v>
      </c>
      <c r="AO3866">
        <v>-0.55000000000000004</v>
      </c>
      <c r="AP3866">
        <v>8</v>
      </c>
      <c r="AQ3866">
        <v>2</v>
      </c>
      <c r="AR3866">
        <v>7.66</v>
      </c>
      <c r="AS3866">
        <v>68</v>
      </c>
      <c r="AT3866">
        <v>2.74</v>
      </c>
      <c r="AU3866">
        <v>92</v>
      </c>
      <c r="AV3866">
        <v>1.02</v>
      </c>
      <c r="AW3866">
        <v>79</v>
      </c>
      <c r="AX3866">
        <v>0.14000000000000001</v>
      </c>
      <c r="AY3866">
        <v>84</v>
      </c>
      <c r="AZ3866">
        <v>7.41</v>
      </c>
      <c r="BA3866">
        <v>61</v>
      </c>
      <c r="BB3866">
        <v>6.75</v>
      </c>
      <c r="BC3866">
        <v>71</v>
      </c>
      <c r="BD3866">
        <v>0.03</v>
      </c>
      <c r="BE3866">
        <v>7.0000000000000007E-2</v>
      </c>
      <c r="BF3866">
        <v>0.05</v>
      </c>
      <c r="BG3866">
        <v>93</v>
      </c>
      <c r="BH3866">
        <v>0.17</v>
      </c>
      <c r="BI3866">
        <v>11.88</v>
      </c>
      <c r="BJ3866">
        <v>43</v>
      </c>
      <c r="BK3866">
        <v>28</v>
      </c>
      <c r="BL3866">
        <v>0.55000000000000004</v>
      </c>
      <c r="BM3866">
        <v>-0.06</v>
      </c>
      <c r="BN3866">
        <v>0.83</v>
      </c>
      <c r="BO3866">
        <v>0.79</v>
      </c>
      <c r="BP3866">
        <v>-2.7</v>
      </c>
      <c r="BQ3866">
        <v>0.32</v>
      </c>
      <c r="BR3866">
        <v>1.19</v>
      </c>
      <c r="BS3866">
        <v>-7.0000000000000007E-2</v>
      </c>
      <c r="BT3866">
        <v>-2.37</v>
      </c>
      <c r="BU3866">
        <v>1.33</v>
      </c>
      <c r="BV3866">
        <v>1.62</v>
      </c>
      <c r="BW3866">
        <v>0.25</v>
      </c>
      <c r="BX3866">
        <v>0.64</v>
      </c>
      <c r="BY3866">
        <v>0.49</v>
      </c>
      <c r="BZ3866">
        <v>-1.27</v>
      </c>
      <c r="CA3866">
        <v>0.87</v>
      </c>
      <c r="CB3866">
        <v>1.37</v>
      </c>
      <c r="CC3866">
        <v>-0.46</v>
      </c>
      <c r="CD3866">
        <v>-0.95</v>
      </c>
      <c r="CE3866">
        <v>0.85</v>
      </c>
      <c r="CF3866">
        <v>0.95</v>
      </c>
      <c r="CG3866">
        <v>0</v>
      </c>
      <c r="CH3866">
        <v>0.39</v>
      </c>
      <c r="CI3866">
        <v>0</v>
      </c>
      <c r="CJ3866">
        <v>-2.9</v>
      </c>
      <c r="CK3866">
        <v>85</v>
      </c>
      <c r="CL3866">
        <v>-0.75</v>
      </c>
      <c r="CM3866">
        <v>83</v>
      </c>
      <c r="CN3866">
        <v>-0.28000000000000003</v>
      </c>
      <c r="CO3866">
        <v>81</v>
      </c>
      <c r="CP3866">
        <v>-9.1999999999999993</v>
      </c>
      <c r="CQ3866">
        <v>91</v>
      </c>
      <c r="CR3866">
        <v>0</v>
      </c>
      <c r="CS3866">
        <v>0</v>
      </c>
      <c r="CT3866">
        <v>-7.9</v>
      </c>
      <c r="CU3866">
        <v>86</v>
      </c>
      <c r="CV3866">
        <v>0.09</v>
      </c>
      <c r="CW3866">
        <v>43</v>
      </c>
      <c r="CX3866" t="s">
        <v>617</v>
      </c>
    </row>
    <row r="3867" spans="1:102" x14ac:dyDescent="0.3">
      <c r="A3867" t="str">
        <f>HYPERLINK("https://webapp.icbf.com/v2/app/bull-search/view/69092239","MIU")</f>
        <v>MIU</v>
      </c>
      <c r="B3867" t="s">
        <v>10545</v>
      </c>
      <c r="C3867" t="s">
        <v>10546</v>
      </c>
      <c r="D3867" s="1">
        <v>34032</v>
      </c>
      <c r="E3867" t="s">
        <v>108</v>
      </c>
      <c r="F3867">
        <v>0</v>
      </c>
      <c r="G3867" t="s">
        <v>109</v>
      </c>
      <c r="H3867">
        <v>-67.849999999999994</v>
      </c>
      <c r="I3867">
        <v>58</v>
      </c>
      <c r="J3867">
        <v>4.09</v>
      </c>
      <c r="K3867">
        <v>71</v>
      </c>
      <c r="L3867">
        <v>-58.49</v>
      </c>
      <c r="M3867">
        <v>56</v>
      </c>
      <c r="N3867">
        <v>0.56000000000000005</v>
      </c>
      <c r="O3867">
        <v>41</v>
      </c>
      <c r="P3867">
        <v>-13.11</v>
      </c>
      <c r="Q3867">
        <v>58</v>
      </c>
      <c r="R3867">
        <v>-11.25</v>
      </c>
      <c r="S3867">
        <v>57</v>
      </c>
      <c r="T3867">
        <v>7.31</v>
      </c>
      <c r="U3867">
        <v>45</v>
      </c>
      <c r="V3867">
        <v>3.04</v>
      </c>
      <c r="W3867">
        <v>29</v>
      </c>
      <c r="X3867" t="s">
        <v>94</v>
      </c>
      <c r="Y3867" t="s">
        <v>95</v>
      </c>
      <c r="Z3867" t="s">
        <v>96</v>
      </c>
      <c r="AA3867" t="s">
        <v>485</v>
      </c>
      <c r="AB3867" t="s">
        <v>3340</v>
      </c>
      <c r="AC3867">
        <v>0</v>
      </c>
      <c r="AD3867">
        <v>0</v>
      </c>
      <c r="AE3867">
        <v>71</v>
      </c>
      <c r="AF3867">
        <v>52.8</v>
      </c>
      <c r="AG3867">
        <v>-1.1499999999999999</v>
      </c>
      <c r="AH3867">
        <v>1.91</v>
      </c>
      <c r="AI3867">
        <v>-0.05</v>
      </c>
      <c r="AJ3867">
        <v>0</v>
      </c>
      <c r="AK3867">
        <v>56</v>
      </c>
      <c r="AL3867">
        <v>0</v>
      </c>
      <c r="AM3867">
        <v>0</v>
      </c>
      <c r="AN3867">
        <v>4.32</v>
      </c>
      <c r="AO3867">
        <v>-0.33</v>
      </c>
      <c r="AP3867">
        <v>3</v>
      </c>
      <c r="AQ3867">
        <v>0</v>
      </c>
      <c r="AR3867">
        <v>7.73</v>
      </c>
      <c r="AS3867">
        <v>30</v>
      </c>
      <c r="AT3867">
        <v>3.48</v>
      </c>
      <c r="AU3867">
        <v>43</v>
      </c>
      <c r="AV3867">
        <v>0.15</v>
      </c>
      <c r="AW3867">
        <v>44</v>
      </c>
      <c r="AX3867">
        <v>-0.27</v>
      </c>
      <c r="AY3867">
        <v>44</v>
      </c>
      <c r="AZ3867">
        <v>5.23</v>
      </c>
      <c r="BA3867">
        <v>31</v>
      </c>
      <c r="BB3867">
        <v>4.37</v>
      </c>
      <c r="BC3867">
        <v>37</v>
      </c>
      <c r="BD3867">
        <v>0.04</v>
      </c>
      <c r="BE3867">
        <v>0.08</v>
      </c>
      <c r="BF3867">
        <v>0.04</v>
      </c>
      <c r="BG3867">
        <v>72</v>
      </c>
      <c r="BH3867">
        <v>0.14000000000000001</v>
      </c>
      <c r="BI3867">
        <v>6.39</v>
      </c>
      <c r="BJ3867">
        <v>0</v>
      </c>
      <c r="BK3867">
        <v>0</v>
      </c>
      <c r="BL3867">
        <v>0.14000000000000001</v>
      </c>
      <c r="BM3867">
        <v>0.37</v>
      </c>
      <c r="BN3867">
        <v>0.15</v>
      </c>
      <c r="BO3867">
        <v>-0.24</v>
      </c>
      <c r="BP3867">
        <v>1.1399999999999999</v>
      </c>
      <c r="BQ3867">
        <v>-0.8</v>
      </c>
      <c r="BR3867">
        <v>0.23</v>
      </c>
      <c r="BS3867">
        <v>-0.04</v>
      </c>
      <c r="BT3867">
        <v>0.19</v>
      </c>
      <c r="BU3867">
        <v>1.1200000000000001</v>
      </c>
      <c r="BV3867">
        <v>0.45</v>
      </c>
      <c r="BW3867">
        <v>-0.12</v>
      </c>
      <c r="BX3867">
        <v>0.63</v>
      </c>
      <c r="BY3867">
        <v>-0.36</v>
      </c>
      <c r="BZ3867">
        <v>0.7</v>
      </c>
      <c r="CA3867">
        <v>0.27</v>
      </c>
      <c r="CB3867">
        <v>0.33</v>
      </c>
      <c r="CC3867">
        <v>-0.01</v>
      </c>
      <c r="CD3867">
        <v>0.51</v>
      </c>
      <c r="CE3867">
        <v>0</v>
      </c>
      <c r="CF3867">
        <v>0</v>
      </c>
      <c r="CG3867">
        <v>0</v>
      </c>
      <c r="CH3867">
        <v>0</v>
      </c>
      <c r="CI3867">
        <v>0</v>
      </c>
      <c r="CJ3867">
        <v>-6.7</v>
      </c>
      <c r="CK3867">
        <v>60</v>
      </c>
      <c r="CL3867">
        <v>-0.63</v>
      </c>
      <c r="CM3867">
        <v>57</v>
      </c>
      <c r="CN3867">
        <v>-0.31</v>
      </c>
      <c r="CO3867">
        <v>54</v>
      </c>
      <c r="CP3867">
        <v>-6.6</v>
      </c>
      <c r="CQ3867">
        <v>57</v>
      </c>
      <c r="CR3867">
        <v>0</v>
      </c>
      <c r="CS3867">
        <v>0</v>
      </c>
      <c r="CT3867">
        <v>3.9</v>
      </c>
      <c r="CU3867">
        <v>45</v>
      </c>
      <c r="CV3867">
        <v>0.01</v>
      </c>
      <c r="CW3867">
        <v>18</v>
      </c>
      <c r="CX3867" t="s">
        <v>825</v>
      </c>
    </row>
    <row r="3868" spans="1:102" x14ac:dyDescent="0.3">
      <c r="A3868" t="str">
        <f>HYPERLINK("https://webapp.icbf.com/v2/app/bull-search/view/77852860","VRS")</f>
        <v>VRS</v>
      </c>
      <c r="B3868" t="s">
        <v>630</v>
      </c>
      <c r="C3868" t="s">
        <v>631</v>
      </c>
      <c r="D3868" s="1">
        <v>35104</v>
      </c>
      <c r="E3868" t="s">
        <v>92</v>
      </c>
      <c r="F3868">
        <v>100</v>
      </c>
      <c r="G3868" t="s">
        <v>93</v>
      </c>
      <c r="H3868">
        <v>-67.959999999999994</v>
      </c>
      <c r="I3868">
        <v>86</v>
      </c>
      <c r="J3868">
        <v>35.4</v>
      </c>
      <c r="K3868">
        <v>97</v>
      </c>
      <c r="L3868">
        <v>-97.55</v>
      </c>
      <c r="M3868">
        <v>83</v>
      </c>
      <c r="N3868">
        <v>7.51</v>
      </c>
      <c r="O3868">
        <v>75</v>
      </c>
      <c r="P3868">
        <v>-9.7100000000000009</v>
      </c>
      <c r="Q3868">
        <v>81</v>
      </c>
      <c r="R3868">
        <v>-8.15</v>
      </c>
      <c r="S3868">
        <v>81</v>
      </c>
      <c r="T3868">
        <v>11.09</v>
      </c>
      <c r="U3868">
        <v>82</v>
      </c>
      <c r="V3868">
        <v>-6.55</v>
      </c>
      <c r="W3868">
        <v>72</v>
      </c>
      <c r="X3868" t="s">
        <v>94</v>
      </c>
      <c r="Y3868" t="s">
        <v>95</v>
      </c>
      <c r="Z3868" t="s">
        <v>96</v>
      </c>
      <c r="AA3868" t="s">
        <v>529</v>
      </c>
      <c r="AB3868" t="s">
        <v>632</v>
      </c>
      <c r="AC3868">
        <v>97</v>
      </c>
      <c r="AD3868">
        <v>86</v>
      </c>
      <c r="AE3868">
        <v>97</v>
      </c>
      <c r="AF3868">
        <v>212.62</v>
      </c>
      <c r="AG3868">
        <v>11.35</v>
      </c>
      <c r="AH3868">
        <v>5.26</v>
      </c>
      <c r="AI3868">
        <v>0.05</v>
      </c>
      <c r="AJ3868">
        <v>-0.03</v>
      </c>
      <c r="AK3868">
        <v>83</v>
      </c>
      <c r="AL3868">
        <v>98</v>
      </c>
      <c r="AM3868">
        <v>87</v>
      </c>
      <c r="AN3868">
        <v>5.27</v>
      </c>
      <c r="AO3868">
        <v>-2.5099999999999998</v>
      </c>
      <c r="AP3868">
        <v>1</v>
      </c>
      <c r="AQ3868">
        <v>0</v>
      </c>
      <c r="AR3868">
        <v>8.59</v>
      </c>
      <c r="AS3868">
        <v>61</v>
      </c>
      <c r="AT3868">
        <v>3.48</v>
      </c>
      <c r="AU3868">
        <v>79</v>
      </c>
      <c r="AV3868">
        <v>-1.37</v>
      </c>
      <c r="AW3868">
        <v>77</v>
      </c>
      <c r="AX3868">
        <v>-0.23</v>
      </c>
      <c r="AY3868">
        <v>80</v>
      </c>
      <c r="AZ3868">
        <v>5.62</v>
      </c>
      <c r="BA3868">
        <v>55</v>
      </c>
      <c r="BB3868">
        <v>4.82</v>
      </c>
      <c r="BC3868">
        <v>69</v>
      </c>
      <c r="BD3868">
        <v>-0.01</v>
      </c>
      <c r="BE3868">
        <v>0.06</v>
      </c>
      <c r="BF3868">
        <v>0.09</v>
      </c>
      <c r="BG3868">
        <v>91</v>
      </c>
      <c r="BH3868">
        <v>-0.23</v>
      </c>
      <c r="BI3868">
        <v>-5.49</v>
      </c>
      <c r="BJ3868">
        <v>8</v>
      </c>
      <c r="BK3868">
        <v>7</v>
      </c>
      <c r="BL3868">
        <v>0.84</v>
      </c>
      <c r="BM3868">
        <v>0.86</v>
      </c>
      <c r="BN3868">
        <v>1.2</v>
      </c>
      <c r="BO3868">
        <v>0.57999999999999996</v>
      </c>
      <c r="BP3868">
        <v>0.41</v>
      </c>
      <c r="BQ3868">
        <v>-0.48</v>
      </c>
      <c r="BR3868">
        <v>-1.83</v>
      </c>
      <c r="BS3868">
        <v>0.02</v>
      </c>
      <c r="BT3868">
        <v>0.5</v>
      </c>
      <c r="BU3868">
        <v>-0.31</v>
      </c>
      <c r="BV3868">
        <v>0.1</v>
      </c>
      <c r="BW3868">
        <v>-0.11</v>
      </c>
      <c r="BX3868">
        <v>-0.65</v>
      </c>
      <c r="BY3868">
        <v>0.46</v>
      </c>
      <c r="BZ3868">
        <v>-1.36</v>
      </c>
      <c r="CA3868">
        <v>0.14000000000000001</v>
      </c>
      <c r="CB3868">
        <v>-0.03</v>
      </c>
      <c r="CC3868">
        <v>0.18</v>
      </c>
      <c r="CD3868">
        <v>0.2</v>
      </c>
      <c r="CE3868">
        <v>0.45</v>
      </c>
      <c r="CF3868">
        <v>1.39</v>
      </c>
      <c r="CG3868">
        <v>0</v>
      </c>
      <c r="CH3868">
        <v>1.66</v>
      </c>
      <c r="CI3868">
        <v>0</v>
      </c>
      <c r="CJ3868">
        <v>-0.5</v>
      </c>
      <c r="CK3868">
        <v>82</v>
      </c>
      <c r="CL3868">
        <v>-0.8</v>
      </c>
      <c r="CM3868">
        <v>79</v>
      </c>
      <c r="CN3868">
        <v>0.01</v>
      </c>
      <c r="CO3868">
        <v>76</v>
      </c>
      <c r="CP3868">
        <v>-4.3</v>
      </c>
      <c r="CQ3868">
        <v>88</v>
      </c>
      <c r="CR3868">
        <v>0</v>
      </c>
      <c r="CS3868">
        <v>0</v>
      </c>
      <c r="CT3868">
        <v>-1.2</v>
      </c>
      <c r="CU3868">
        <v>82</v>
      </c>
      <c r="CV3868">
        <v>0.18</v>
      </c>
      <c r="CW3868">
        <v>42</v>
      </c>
      <c r="CX3868" t="s">
        <v>118</v>
      </c>
    </row>
    <row r="3869" spans="1:102" x14ac:dyDescent="0.3">
      <c r="A3869" t="str">
        <f>HYPERLINK("https://webapp.icbf.com/v2/app/bull-search/view/529827568","SJB")</f>
        <v>SJB</v>
      </c>
      <c r="B3869" t="s">
        <v>4824</v>
      </c>
      <c r="C3869" t="s">
        <v>4825</v>
      </c>
      <c r="D3869" s="1">
        <v>37191</v>
      </c>
      <c r="E3869" t="s">
        <v>140</v>
      </c>
      <c r="F3869">
        <v>0</v>
      </c>
      <c r="G3869" t="s">
        <v>109</v>
      </c>
      <c r="H3869">
        <v>-67.989999999999995</v>
      </c>
      <c r="I3869">
        <v>68</v>
      </c>
      <c r="J3869">
        <v>-22.98</v>
      </c>
      <c r="K3869">
        <v>86</v>
      </c>
      <c r="L3869">
        <v>-1.03</v>
      </c>
      <c r="M3869">
        <v>58</v>
      </c>
      <c r="N3869">
        <v>-71.59</v>
      </c>
      <c r="O3869">
        <v>60</v>
      </c>
      <c r="P3869">
        <v>24.92</v>
      </c>
      <c r="Q3869">
        <v>70</v>
      </c>
      <c r="R3869">
        <v>15.89</v>
      </c>
      <c r="S3869">
        <v>57</v>
      </c>
      <c r="T3869">
        <v>-1.34</v>
      </c>
      <c r="U3869">
        <v>53</v>
      </c>
      <c r="V3869">
        <v>-11.86</v>
      </c>
      <c r="W3869">
        <v>55</v>
      </c>
      <c r="X3869" t="s">
        <v>94</v>
      </c>
      <c r="Y3869" t="s">
        <v>270</v>
      </c>
      <c r="Z3869">
        <v>0</v>
      </c>
      <c r="AA3869" t="s">
        <v>2935</v>
      </c>
      <c r="AB3869" t="s">
        <v>4826</v>
      </c>
      <c r="AC3869">
        <v>0</v>
      </c>
      <c r="AD3869">
        <v>0</v>
      </c>
      <c r="AE3869">
        <v>86</v>
      </c>
      <c r="AF3869">
        <v>53.67</v>
      </c>
      <c r="AG3869">
        <v>-8.84</v>
      </c>
      <c r="AH3869">
        <v>0.04</v>
      </c>
      <c r="AI3869">
        <v>-0.19</v>
      </c>
      <c r="AJ3869">
        <v>-0.03</v>
      </c>
      <c r="AK3869">
        <v>58</v>
      </c>
      <c r="AL3869">
        <v>8</v>
      </c>
      <c r="AM3869">
        <v>7</v>
      </c>
      <c r="AN3869">
        <v>0.99</v>
      </c>
      <c r="AO3869">
        <v>0.92</v>
      </c>
      <c r="AP3869">
        <v>11</v>
      </c>
      <c r="AQ3869">
        <v>1</v>
      </c>
      <c r="AR3869">
        <v>13.16</v>
      </c>
      <c r="AS3869">
        <v>47</v>
      </c>
      <c r="AT3869">
        <v>6.21</v>
      </c>
      <c r="AU3869">
        <v>55</v>
      </c>
      <c r="AV3869">
        <v>2.54</v>
      </c>
      <c r="AW3869">
        <v>74</v>
      </c>
      <c r="AX3869">
        <v>0.23</v>
      </c>
      <c r="AY3869">
        <v>56</v>
      </c>
      <c r="AZ3869">
        <v>5.43</v>
      </c>
      <c r="BA3869">
        <v>39</v>
      </c>
      <c r="BB3869">
        <v>4.09</v>
      </c>
      <c r="BC3869">
        <v>40</v>
      </c>
      <c r="BD3869">
        <v>-0.05</v>
      </c>
      <c r="BE3869">
        <v>-0.08</v>
      </c>
      <c r="BF3869">
        <v>-0.13</v>
      </c>
      <c r="BG3869">
        <v>63</v>
      </c>
      <c r="BH3869">
        <v>-0.36</v>
      </c>
      <c r="BI3869">
        <v>-3.38</v>
      </c>
      <c r="BJ3869">
        <v>0</v>
      </c>
      <c r="BK3869">
        <v>0</v>
      </c>
      <c r="BL3869">
        <v>-0.92</v>
      </c>
      <c r="BM3869">
        <v>2.76</v>
      </c>
      <c r="BN3869">
        <v>-1.8</v>
      </c>
      <c r="BO3869">
        <v>-2.65</v>
      </c>
      <c r="BP3869">
        <v>3.78</v>
      </c>
      <c r="BQ3869">
        <v>-2.33</v>
      </c>
      <c r="BR3869">
        <v>-2.52</v>
      </c>
      <c r="BS3869">
        <v>-0.33</v>
      </c>
      <c r="BT3869">
        <v>2.2999999999999998</v>
      </c>
      <c r="BU3869">
        <v>-3.48</v>
      </c>
      <c r="BV3869">
        <v>-3.83</v>
      </c>
      <c r="BW3869">
        <v>-2.89</v>
      </c>
      <c r="BX3869">
        <v>-2.86</v>
      </c>
      <c r="BY3869">
        <v>-1.81</v>
      </c>
      <c r="BZ3869">
        <v>0.64</v>
      </c>
      <c r="CA3869">
        <v>-2.4</v>
      </c>
      <c r="CB3869">
        <v>-3.17</v>
      </c>
      <c r="CC3869">
        <v>-0.18</v>
      </c>
      <c r="CD3869">
        <v>3.48</v>
      </c>
      <c r="CE3869">
        <v>-2.81</v>
      </c>
      <c r="CF3869">
        <v>-1.26</v>
      </c>
      <c r="CG3869">
        <v>0</v>
      </c>
      <c r="CH3869">
        <v>-2.62</v>
      </c>
      <c r="CI3869">
        <v>0</v>
      </c>
      <c r="CJ3869">
        <v>12.1</v>
      </c>
      <c r="CK3869">
        <v>73</v>
      </c>
      <c r="CL3869">
        <v>0.18</v>
      </c>
      <c r="CM3869">
        <v>70</v>
      </c>
      <c r="CN3869">
        <v>-0.46</v>
      </c>
      <c r="CO3869">
        <v>68</v>
      </c>
      <c r="CP3869">
        <v>6.5</v>
      </c>
      <c r="CQ3869">
        <v>58</v>
      </c>
      <c r="CR3869">
        <v>0</v>
      </c>
      <c r="CS3869">
        <v>0</v>
      </c>
      <c r="CT3869">
        <v>15.6</v>
      </c>
      <c r="CU3869">
        <v>53</v>
      </c>
      <c r="CV3869">
        <v>0.3</v>
      </c>
      <c r="CW3869">
        <v>40</v>
      </c>
      <c r="CX3869" t="s">
        <v>2937</v>
      </c>
    </row>
    <row r="3870" spans="1:102" x14ac:dyDescent="0.3">
      <c r="A3870" t="str">
        <f>HYPERLINK("https://webapp.icbf.com/v2/app/bull-search/view/77858851","CHH")</f>
        <v>CHH</v>
      </c>
      <c r="B3870" t="s">
        <v>11515</v>
      </c>
      <c r="C3870" t="s">
        <v>11516</v>
      </c>
      <c r="D3870" s="1">
        <v>31512</v>
      </c>
      <c r="E3870" t="s">
        <v>92</v>
      </c>
      <c r="F3870">
        <v>50</v>
      </c>
      <c r="G3870" t="s">
        <v>116</v>
      </c>
      <c r="H3870">
        <v>-68.09</v>
      </c>
      <c r="I3870">
        <v>46</v>
      </c>
      <c r="J3870">
        <v>-68.11</v>
      </c>
      <c r="K3870">
        <v>47</v>
      </c>
      <c r="L3870">
        <v>-25.1</v>
      </c>
      <c r="M3870">
        <v>51</v>
      </c>
      <c r="N3870">
        <v>18.63</v>
      </c>
      <c r="O3870">
        <v>29</v>
      </c>
      <c r="P3870">
        <v>-0.11</v>
      </c>
      <c r="Q3870">
        <v>73</v>
      </c>
      <c r="R3870">
        <v>-0.46</v>
      </c>
      <c r="S3870">
        <v>45</v>
      </c>
      <c r="T3870">
        <v>13.01</v>
      </c>
      <c r="U3870">
        <v>36</v>
      </c>
      <c r="V3870">
        <v>-5.95</v>
      </c>
      <c r="W3870">
        <v>8</v>
      </c>
      <c r="X3870" t="s">
        <v>94</v>
      </c>
      <c r="Y3870" t="s">
        <v>95</v>
      </c>
      <c r="Z3870" t="s">
        <v>96</v>
      </c>
      <c r="AA3870" t="s">
        <v>8242</v>
      </c>
      <c r="AB3870" t="s">
        <v>11517</v>
      </c>
      <c r="AC3870">
        <v>6</v>
      </c>
      <c r="AD3870">
        <v>5</v>
      </c>
      <c r="AE3870">
        <v>47</v>
      </c>
      <c r="AF3870">
        <v>-49.26</v>
      </c>
      <c r="AG3870">
        <v>-10.99</v>
      </c>
      <c r="AH3870">
        <v>-8.4499999999999993</v>
      </c>
      <c r="AI3870">
        <v>-0.15</v>
      </c>
      <c r="AJ3870">
        <v>-0.11</v>
      </c>
      <c r="AK3870">
        <v>51</v>
      </c>
      <c r="AL3870">
        <v>51</v>
      </c>
      <c r="AM3870">
        <v>35</v>
      </c>
      <c r="AN3870">
        <v>1.49</v>
      </c>
      <c r="AO3870">
        <v>-0.51</v>
      </c>
      <c r="AP3870">
        <v>7</v>
      </c>
      <c r="AQ3870">
        <v>1</v>
      </c>
      <c r="AR3870">
        <v>5.83</v>
      </c>
      <c r="AS3870">
        <v>12</v>
      </c>
      <c r="AT3870">
        <v>2.65</v>
      </c>
      <c r="AU3870">
        <v>23</v>
      </c>
      <c r="AV3870">
        <v>-1.04</v>
      </c>
      <c r="AW3870">
        <v>39</v>
      </c>
      <c r="AX3870">
        <v>-0.49</v>
      </c>
      <c r="AY3870">
        <v>45</v>
      </c>
      <c r="AZ3870">
        <v>6.28</v>
      </c>
      <c r="BA3870">
        <v>8</v>
      </c>
      <c r="BB3870">
        <v>4.87</v>
      </c>
      <c r="BC3870">
        <v>13</v>
      </c>
      <c r="BD3870">
        <v>0.04</v>
      </c>
      <c r="BE3870">
        <v>0.06</v>
      </c>
      <c r="BF3870">
        <v>-0.17</v>
      </c>
      <c r="BG3870">
        <v>68</v>
      </c>
      <c r="BH3870">
        <v>-0.05</v>
      </c>
      <c r="BI3870">
        <v>13.42</v>
      </c>
      <c r="BJ3870">
        <v>5</v>
      </c>
      <c r="BK3870">
        <v>4</v>
      </c>
      <c r="BL3870">
        <v>-1.51</v>
      </c>
      <c r="BM3870">
        <v>1.1399999999999999</v>
      </c>
      <c r="BN3870">
        <v>-1.07</v>
      </c>
      <c r="BO3870">
        <v>-1.68</v>
      </c>
      <c r="BP3870">
        <v>-0.04</v>
      </c>
      <c r="BQ3870">
        <v>0.41</v>
      </c>
      <c r="BR3870">
        <v>0.16</v>
      </c>
      <c r="BS3870">
        <v>-0.83</v>
      </c>
      <c r="BT3870">
        <v>-0.44</v>
      </c>
      <c r="BU3870">
        <v>-0.96</v>
      </c>
      <c r="BV3870">
        <v>-0.96</v>
      </c>
      <c r="BW3870">
        <v>-1.06</v>
      </c>
      <c r="BX3870">
        <v>-0.73</v>
      </c>
      <c r="BY3870">
        <v>-1.18</v>
      </c>
      <c r="BZ3870">
        <v>-0.82</v>
      </c>
      <c r="CA3870">
        <v>-1.96</v>
      </c>
      <c r="CB3870">
        <v>-1.32</v>
      </c>
      <c r="CC3870">
        <v>-2.41</v>
      </c>
      <c r="CD3870">
        <v>1.59</v>
      </c>
      <c r="CE3870">
        <v>-1.88</v>
      </c>
      <c r="CF3870">
        <v>-1.62</v>
      </c>
      <c r="CG3870">
        <v>0</v>
      </c>
      <c r="CH3870">
        <v>-0.99</v>
      </c>
      <c r="CI3870">
        <v>0</v>
      </c>
      <c r="CJ3870">
        <v>4.7</v>
      </c>
      <c r="CK3870">
        <v>77</v>
      </c>
      <c r="CL3870">
        <v>-0.42</v>
      </c>
      <c r="CM3870">
        <v>72</v>
      </c>
      <c r="CN3870">
        <v>0.18</v>
      </c>
      <c r="CO3870">
        <v>70</v>
      </c>
      <c r="CP3870">
        <v>-1</v>
      </c>
      <c r="CQ3870">
        <v>48</v>
      </c>
      <c r="CR3870">
        <v>0</v>
      </c>
      <c r="CS3870">
        <v>0</v>
      </c>
      <c r="CT3870">
        <v>-3.8</v>
      </c>
      <c r="CU3870">
        <v>36</v>
      </c>
      <c r="CV3870">
        <v>0.24</v>
      </c>
      <c r="CW3870">
        <v>22</v>
      </c>
      <c r="CX3870" t="s">
        <v>11518</v>
      </c>
    </row>
    <row r="3871" spans="1:102" x14ac:dyDescent="0.3">
      <c r="A3871" t="str">
        <f>HYPERLINK("https://webapp.icbf.com/v2/app/bull-search/view/469434094","AZT")</f>
        <v>AZT</v>
      </c>
      <c r="B3871" t="s">
        <v>12323</v>
      </c>
      <c r="C3871" t="s">
        <v>12324</v>
      </c>
      <c r="D3871" s="1">
        <v>38262</v>
      </c>
      <c r="E3871" t="s">
        <v>92</v>
      </c>
      <c r="F3871">
        <v>100</v>
      </c>
      <c r="G3871" t="s">
        <v>116</v>
      </c>
      <c r="H3871">
        <v>-68.25</v>
      </c>
      <c r="I3871">
        <v>53</v>
      </c>
      <c r="J3871">
        <v>-5.58</v>
      </c>
      <c r="K3871">
        <v>69</v>
      </c>
      <c r="L3871">
        <v>-58.61</v>
      </c>
      <c r="M3871">
        <v>36</v>
      </c>
      <c r="N3871">
        <v>9.8000000000000007</v>
      </c>
      <c r="O3871">
        <v>56</v>
      </c>
      <c r="P3871">
        <v>-20.02</v>
      </c>
      <c r="Q3871">
        <v>55</v>
      </c>
      <c r="R3871">
        <v>0.33</v>
      </c>
      <c r="S3871">
        <v>41</v>
      </c>
      <c r="T3871">
        <v>3.39</v>
      </c>
      <c r="U3871">
        <v>66</v>
      </c>
      <c r="V3871">
        <v>2.44</v>
      </c>
      <c r="W3871">
        <v>35</v>
      </c>
      <c r="X3871" t="s">
        <v>131</v>
      </c>
      <c r="Y3871" t="s">
        <v>1164</v>
      </c>
      <c r="Z3871" t="s">
        <v>96</v>
      </c>
      <c r="AA3871" t="s">
        <v>2030</v>
      </c>
      <c r="AB3871" t="s">
        <v>12325</v>
      </c>
      <c r="AC3871">
        <v>10</v>
      </c>
      <c r="AD3871">
        <v>7</v>
      </c>
      <c r="AE3871">
        <v>69</v>
      </c>
      <c r="AF3871">
        <v>214.61</v>
      </c>
      <c r="AG3871">
        <v>5.5</v>
      </c>
      <c r="AH3871">
        <v>0.39</v>
      </c>
      <c r="AI3871">
        <v>-0.05</v>
      </c>
      <c r="AJ3871">
        <v>-0.11</v>
      </c>
      <c r="AK3871">
        <v>36</v>
      </c>
      <c r="AL3871">
        <v>9</v>
      </c>
      <c r="AM3871">
        <v>6</v>
      </c>
      <c r="AN3871">
        <v>2.72</v>
      </c>
      <c r="AO3871">
        <v>-1.96</v>
      </c>
      <c r="AP3871">
        <v>19</v>
      </c>
      <c r="AQ3871">
        <v>0</v>
      </c>
      <c r="AR3871">
        <v>7.91</v>
      </c>
      <c r="AS3871">
        <v>32</v>
      </c>
      <c r="AT3871">
        <v>3.62</v>
      </c>
      <c r="AU3871">
        <v>76</v>
      </c>
      <c r="AV3871">
        <v>-2.25</v>
      </c>
      <c r="AW3871">
        <v>63</v>
      </c>
      <c r="AX3871">
        <v>-0.44</v>
      </c>
      <c r="AY3871">
        <v>44</v>
      </c>
      <c r="AZ3871">
        <v>6.78</v>
      </c>
      <c r="BA3871">
        <v>30</v>
      </c>
      <c r="BB3871">
        <v>5.63</v>
      </c>
      <c r="BC3871">
        <v>29</v>
      </c>
      <c r="BD3871">
        <v>0.02</v>
      </c>
      <c r="BE3871">
        <v>0.01</v>
      </c>
      <c r="BF3871">
        <v>-0.06</v>
      </c>
      <c r="BG3871">
        <v>47</v>
      </c>
      <c r="BH3871">
        <v>0.04</v>
      </c>
      <c r="BI3871">
        <v>-3.23</v>
      </c>
      <c r="BJ3871">
        <v>3</v>
      </c>
      <c r="BK3871">
        <v>2</v>
      </c>
      <c r="BL3871">
        <v>0.62</v>
      </c>
      <c r="BM3871">
        <v>0.25</v>
      </c>
      <c r="BN3871">
        <v>0.31</v>
      </c>
      <c r="BO3871">
        <v>-0.12</v>
      </c>
      <c r="BP3871">
        <v>-0.46</v>
      </c>
      <c r="BQ3871">
        <v>0.24</v>
      </c>
      <c r="BR3871">
        <v>-2.4300000000000002</v>
      </c>
      <c r="BS3871">
        <v>1</v>
      </c>
      <c r="BT3871">
        <v>2.68</v>
      </c>
      <c r="BU3871">
        <v>1.71</v>
      </c>
      <c r="BV3871">
        <v>0.61</v>
      </c>
      <c r="BW3871">
        <v>-0.42</v>
      </c>
      <c r="BX3871">
        <v>0.9</v>
      </c>
      <c r="BY3871">
        <v>-0.37</v>
      </c>
      <c r="BZ3871">
        <v>-1.4</v>
      </c>
      <c r="CA3871">
        <v>1.05</v>
      </c>
      <c r="CB3871">
        <v>0.74</v>
      </c>
      <c r="CC3871">
        <v>1.1399999999999999</v>
      </c>
      <c r="CD3871">
        <v>0.74</v>
      </c>
      <c r="CE3871">
        <v>0.78</v>
      </c>
      <c r="CF3871">
        <v>1.26</v>
      </c>
      <c r="CG3871">
        <v>0</v>
      </c>
      <c r="CH3871">
        <v>0.22</v>
      </c>
      <c r="CI3871">
        <v>0</v>
      </c>
      <c r="CJ3871">
        <v>-9.1</v>
      </c>
      <c r="CK3871">
        <v>57</v>
      </c>
      <c r="CL3871">
        <v>-1.19</v>
      </c>
      <c r="CM3871">
        <v>52</v>
      </c>
      <c r="CN3871">
        <v>-0.49</v>
      </c>
      <c r="CO3871">
        <v>48</v>
      </c>
      <c r="CP3871">
        <v>-6.1</v>
      </c>
      <c r="CQ3871">
        <v>60</v>
      </c>
      <c r="CR3871">
        <v>0</v>
      </c>
      <c r="CS3871">
        <v>0</v>
      </c>
      <c r="CT3871">
        <v>9.1999999999999993</v>
      </c>
      <c r="CU3871">
        <v>66</v>
      </c>
      <c r="CV3871">
        <v>0.22</v>
      </c>
      <c r="CW3871">
        <v>14</v>
      </c>
      <c r="CX3871" t="s">
        <v>615</v>
      </c>
    </row>
    <row r="3872" spans="1:102" x14ac:dyDescent="0.3">
      <c r="A3872" t="str">
        <f>HYPERLINK("https://webapp.icbf.com/v2/app/bull-search/view/77857435","FTU")</f>
        <v>FTU</v>
      </c>
      <c r="B3872" t="s">
        <v>11179</v>
      </c>
      <c r="C3872" t="s">
        <v>11180</v>
      </c>
      <c r="D3872" s="1">
        <v>34354</v>
      </c>
      <c r="E3872" t="s">
        <v>92</v>
      </c>
      <c r="F3872">
        <v>100</v>
      </c>
      <c r="G3872" t="s">
        <v>93</v>
      </c>
      <c r="H3872">
        <v>-68.28</v>
      </c>
      <c r="I3872">
        <v>85</v>
      </c>
      <c r="J3872">
        <v>20.25</v>
      </c>
      <c r="K3872">
        <v>96</v>
      </c>
      <c r="L3872">
        <v>-79.290000000000006</v>
      </c>
      <c r="M3872">
        <v>81</v>
      </c>
      <c r="N3872">
        <v>-8.44</v>
      </c>
      <c r="O3872">
        <v>76</v>
      </c>
      <c r="P3872">
        <v>-7.42</v>
      </c>
      <c r="Q3872">
        <v>82</v>
      </c>
      <c r="R3872">
        <v>-0.2</v>
      </c>
      <c r="S3872">
        <v>80</v>
      </c>
      <c r="T3872">
        <v>3.54</v>
      </c>
      <c r="U3872">
        <v>81</v>
      </c>
      <c r="V3872">
        <v>3.28</v>
      </c>
      <c r="W3872">
        <v>70</v>
      </c>
      <c r="X3872" t="s">
        <v>94</v>
      </c>
      <c r="Y3872" t="s">
        <v>95</v>
      </c>
      <c r="Z3872" t="s">
        <v>96</v>
      </c>
      <c r="AA3872" t="s">
        <v>531</v>
      </c>
      <c r="AB3872" t="s">
        <v>2987</v>
      </c>
      <c r="AC3872">
        <v>79</v>
      </c>
      <c r="AD3872">
        <v>70</v>
      </c>
      <c r="AE3872">
        <v>96</v>
      </c>
      <c r="AF3872">
        <v>124</v>
      </c>
      <c r="AG3872">
        <v>-2.0299999999999998</v>
      </c>
      <c r="AH3872">
        <v>6.06</v>
      </c>
      <c r="AI3872">
        <v>-0.12</v>
      </c>
      <c r="AJ3872">
        <v>0.03</v>
      </c>
      <c r="AK3872">
        <v>81</v>
      </c>
      <c r="AL3872">
        <v>98</v>
      </c>
      <c r="AM3872">
        <v>69</v>
      </c>
      <c r="AN3872">
        <v>4.55</v>
      </c>
      <c r="AO3872">
        <v>-1.77</v>
      </c>
      <c r="AP3872">
        <v>19</v>
      </c>
      <c r="AQ3872">
        <v>1</v>
      </c>
      <c r="AR3872">
        <v>10.18</v>
      </c>
      <c r="AS3872">
        <v>61</v>
      </c>
      <c r="AT3872">
        <v>3.99</v>
      </c>
      <c r="AU3872">
        <v>79</v>
      </c>
      <c r="AV3872">
        <v>-0.9</v>
      </c>
      <c r="AW3872">
        <v>80</v>
      </c>
      <c r="AX3872">
        <v>-0.18</v>
      </c>
      <c r="AY3872">
        <v>81</v>
      </c>
      <c r="AZ3872">
        <v>6.82</v>
      </c>
      <c r="BA3872">
        <v>53</v>
      </c>
      <c r="BB3872">
        <v>4.88</v>
      </c>
      <c r="BC3872">
        <v>66</v>
      </c>
      <c r="BD3872">
        <v>-0.02</v>
      </c>
      <c r="BE3872">
        <v>0.02</v>
      </c>
      <c r="BF3872">
        <v>0</v>
      </c>
      <c r="BG3872">
        <v>91</v>
      </c>
      <c r="BH3872">
        <v>0.03</v>
      </c>
      <c r="BI3872">
        <v>-7.1</v>
      </c>
      <c r="BJ3872">
        <v>7</v>
      </c>
      <c r="BK3872">
        <v>3</v>
      </c>
      <c r="BL3872">
        <v>-0.22</v>
      </c>
      <c r="BM3872">
        <v>2.02</v>
      </c>
      <c r="BN3872">
        <v>0.81</v>
      </c>
      <c r="BO3872">
        <v>-0.56000000000000005</v>
      </c>
      <c r="BP3872">
        <v>-0.6</v>
      </c>
      <c r="BQ3872">
        <v>-1.31</v>
      </c>
      <c r="BR3872">
        <v>0.57999999999999996</v>
      </c>
      <c r="BS3872">
        <v>-0.39</v>
      </c>
      <c r="BT3872">
        <v>-1.46</v>
      </c>
      <c r="BU3872">
        <v>-0.03</v>
      </c>
      <c r="BV3872">
        <v>0.15</v>
      </c>
      <c r="BW3872">
        <v>-1.18</v>
      </c>
      <c r="BX3872">
        <v>-0.19</v>
      </c>
      <c r="BY3872">
        <v>-0.21</v>
      </c>
      <c r="BZ3872">
        <v>-2.29</v>
      </c>
      <c r="CA3872">
        <v>-0.05</v>
      </c>
      <c r="CB3872">
        <v>0.2</v>
      </c>
      <c r="CC3872">
        <v>-0.73</v>
      </c>
      <c r="CD3872">
        <v>0.87</v>
      </c>
      <c r="CE3872">
        <v>-0.68</v>
      </c>
      <c r="CF3872">
        <v>0.12</v>
      </c>
      <c r="CG3872">
        <v>0</v>
      </c>
      <c r="CH3872">
        <v>0.27</v>
      </c>
      <c r="CI3872">
        <v>0</v>
      </c>
      <c r="CJ3872">
        <v>-2.2999999999999998</v>
      </c>
      <c r="CK3872">
        <v>83</v>
      </c>
      <c r="CL3872">
        <v>-0.5</v>
      </c>
      <c r="CM3872">
        <v>81</v>
      </c>
      <c r="CN3872">
        <v>-0.16</v>
      </c>
      <c r="CO3872">
        <v>78</v>
      </c>
      <c r="CP3872">
        <v>-6.4</v>
      </c>
      <c r="CQ3872">
        <v>86</v>
      </c>
      <c r="CR3872">
        <v>0</v>
      </c>
      <c r="CS3872">
        <v>0</v>
      </c>
      <c r="CT3872">
        <v>9</v>
      </c>
      <c r="CU3872">
        <v>81</v>
      </c>
      <c r="CV3872">
        <v>0.02</v>
      </c>
      <c r="CW3872">
        <v>42</v>
      </c>
      <c r="CX3872" t="s">
        <v>166</v>
      </c>
    </row>
    <row r="3873" spans="1:102" x14ac:dyDescent="0.3">
      <c r="A3873" t="str">
        <f>HYPERLINK("https://webapp.icbf.com/v2/app/bull-search/view/77858071","DXD")</f>
        <v>DXD</v>
      </c>
      <c r="B3873" t="s">
        <v>11512</v>
      </c>
      <c r="C3873" t="s">
        <v>1109</v>
      </c>
      <c r="D3873" s="1">
        <v>33309</v>
      </c>
      <c r="E3873" t="s">
        <v>92</v>
      </c>
      <c r="F3873">
        <v>100</v>
      </c>
      <c r="G3873" t="s">
        <v>93</v>
      </c>
      <c r="H3873">
        <v>-68.28</v>
      </c>
      <c r="I3873">
        <v>98</v>
      </c>
      <c r="J3873">
        <v>16.04</v>
      </c>
      <c r="K3873">
        <v>99</v>
      </c>
      <c r="L3873">
        <v>-71.16</v>
      </c>
      <c r="M3873">
        <v>96</v>
      </c>
      <c r="N3873">
        <v>12.63</v>
      </c>
      <c r="O3873">
        <v>99</v>
      </c>
      <c r="P3873">
        <v>-6.65</v>
      </c>
      <c r="Q3873">
        <v>99</v>
      </c>
      <c r="R3873">
        <v>-5.96</v>
      </c>
      <c r="S3873">
        <v>97</v>
      </c>
      <c r="T3873">
        <v>5.91</v>
      </c>
      <c r="U3873">
        <v>99</v>
      </c>
      <c r="V3873">
        <v>-19.09</v>
      </c>
      <c r="W3873">
        <v>97</v>
      </c>
      <c r="X3873" t="s">
        <v>131</v>
      </c>
      <c r="Y3873" t="s">
        <v>95</v>
      </c>
      <c r="Z3873" t="s">
        <v>96</v>
      </c>
      <c r="AA3873" t="s">
        <v>132</v>
      </c>
      <c r="AB3873" t="s">
        <v>11513</v>
      </c>
      <c r="AC3873">
        <v>2162</v>
      </c>
      <c r="AD3873">
        <v>740</v>
      </c>
      <c r="AE3873">
        <v>99</v>
      </c>
      <c r="AF3873">
        <v>89.89</v>
      </c>
      <c r="AG3873">
        <v>2.02</v>
      </c>
      <c r="AH3873">
        <v>3.39</v>
      </c>
      <c r="AI3873">
        <v>-0.03</v>
      </c>
      <c r="AJ3873">
        <v>0.01</v>
      </c>
      <c r="AK3873">
        <v>96</v>
      </c>
      <c r="AL3873">
        <v>2193</v>
      </c>
      <c r="AM3873">
        <v>746</v>
      </c>
      <c r="AN3873">
        <v>3.51</v>
      </c>
      <c r="AO3873">
        <v>-2.17</v>
      </c>
      <c r="AP3873">
        <v>2447</v>
      </c>
      <c r="AQ3873">
        <v>3</v>
      </c>
      <c r="AR3873">
        <v>7.12</v>
      </c>
      <c r="AS3873">
        <v>97</v>
      </c>
      <c r="AT3873">
        <v>3.02</v>
      </c>
      <c r="AU3873">
        <v>99</v>
      </c>
      <c r="AV3873">
        <v>-1.54</v>
      </c>
      <c r="AW3873">
        <v>99</v>
      </c>
      <c r="AX3873">
        <v>0.28999999999999998</v>
      </c>
      <c r="AY3873">
        <v>99</v>
      </c>
      <c r="AZ3873">
        <v>6.53</v>
      </c>
      <c r="BA3873">
        <v>96</v>
      </c>
      <c r="BB3873">
        <v>5.18</v>
      </c>
      <c r="BC3873">
        <v>97</v>
      </c>
      <c r="BD3873">
        <v>0.03</v>
      </c>
      <c r="BE3873">
        <v>0.03</v>
      </c>
      <c r="BF3873">
        <v>0.03</v>
      </c>
      <c r="BG3873">
        <v>99</v>
      </c>
      <c r="BH3873">
        <v>-0.41</v>
      </c>
      <c r="BI3873">
        <v>14.14</v>
      </c>
      <c r="BJ3873">
        <v>244</v>
      </c>
      <c r="BK3873">
        <v>95</v>
      </c>
      <c r="BL3873">
        <v>1.1100000000000001</v>
      </c>
      <c r="BM3873">
        <v>0.45</v>
      </c>
      <c r="BN3873">
        <v>1.01</v>
      </c>
      <c r="BO3873">
        <v>0.31</v>
      </c>
      <c r="BP3873">
        <v>2.62</v>
      </c>
      <c r="BQ3873">
        <v>0</v>
      </c>
      <c r="BR3873">
        <v>-2.81</v>
      </c>
      <c r="BS3873">
        <v>1.24</v>
      </c>
      <c r="BT3873">
        <v>2.93</v>
      </c>
      <c r="BU3873">
        <v>-1.1299999999999999</v>
      </c>
      <c r="BV3873">
        <v>0.41</v>
      </c>
      <c r="BW3873">
        <v>-0.02</v>
      </c>
      <c r="BX3873">
        <v>-0.75</v>
      </c>
      <c r="BY3873">
        <v>-0.55000000000000004</v>
      </c>
      <c r="BZ3873">
        <v>0.76</v>
      </c>
      <c r="CA3873">
        <v>0.33</v>
      </c>
      <c r="CB3873">
        <v>-0.42</v>
      </c>
      <c r="CC3873">
        <v>1.77</v>
      </c>
      <c r="CD3873">
        <v>0.18</v>
      </c>
      <c r="CE3873">
        <v>0.22</v>
      </c>
      <c r="CF3873">
        <v>1.37</v>
      </c>
      <c r="CG3873">
        <v>0</v>
      </c>
      <c r="CH3873">
        <v>-0.55000000000000004</v>
      </c>
      <c r="CI3873">
        <v>0</v>
      </c>
      <c r="CJ3873">
        <v>0.4</v>
      </c>
      <c r="CK3873">
        <v>99</v>
      </c>
      <c r="CL3873">
        <v>-0.7</v>
      </c>
      <c r="CM3873">
        <v>99</v>
      </c>
      <c r="CN3873">
        <v>-0.03</v>
      </c>
      <c r="CO3873">
        <v>99</v>
      </c>
      <c r="CP3873">
        <v>-2.2000000000000002</v>
      </c>
      <c r="CQ3873">
        <v>99</v>
      </c>
      <c r="CR3873">
        <v>0</v>
      </c>
      <c r="CS3873">
        <v>0</v>
      </c>
      <c r="CT3873">
        <v>5.8</v>
      </c>
      <c r="CU3873">
        <v>99</v>
      </c>
      <c r="CV3873">
        <v>0.19</v>
      </c>
      <c r="CW3873">
        <v>46</v>
      </c>
      <c r="CX3873" t="s">
        <v>11514</v>
      </c>
    </row>
    <row r="3874" spans="1:102" x14ac:dyDescent="0.3">
      <c r="A3874" t="str">
        <f>HYPERLINK("https://webapp.icbf.com/v2/app/bull-search/view/77856688","HZE")</f>
        <v>HZE</v>
      </c>
      <c r="B3874" t="s">
        <v>887</v>
      </c>
      <c r="C3874" t="s">
        <v>888</v>
      </c>
      <c r="D3874" s="1">
        <v>34096</v>
      </c>
      <c r="E3874" t="s">
        <v>92</v>
      </c>
      <c r="F3874">
        <v>94</v>
      </c>
      <c r="G3874" t="s">
        <v>93</v>
      </c>
      <c r="H3874">
        <v>-68.349999999999994</v>
      </c>
      <c r="I3874">
        <v>90</v>
      </c>
      <c r="J3874">
        <v>28.36</v>
      </c>
      <c r="K3874">
        <v>98</v>
      </c>
      <c r="L3874">
        <v>-96.83</v>
      </c>
      <c r="M3874">
        <v>86</v>
      </c>
      <c r="N3874">
        <v>13.69</v>
      </c>
      <c r="O3874">
        <v>85</v>
      </c>
      <c r="P3874">
        <v>-5.33</v>
      </c>
      <c r="Q3874">
        <v>94</v>
      </c>
      <c r="R3874">
        <v>-9.66</v>
      </c>
      <c r="S3874">
        <v>85</v>
      </c>
      <c r="T3874">
        <v>8.57</v>
      </c>
      <c r="U3874">
        <v>91</v>
      </c>
      <c r="V3874">
        <v>-7.15</v>
      </c>
      <c r="W3874">
        <v>75</v>
      </c>
      <c r="X3874" t="s">
        <v>94</v>
      </c>
      <c r="Y3874" t="s">
        <v>95</v>
      </c>
      <c r="Z3874" t="s">
        <v>96</v>
      </c>
      <c r="AA3874" t="s">
        <v>193</v>
      </c>
      <c r="AB3874" t="s">
        <v>889</v>
      </c>
      <c r="AC3874">
        <v>208</v>
      </c>
      <c r="AD3874">
        <v>170</v>
      </c>
      <c r="AE3874">
        <v>98</v>
      </c>
      <c r="AF3874">
        <v>88.1</v>
      </c>
      <c r="AG3874">
        <v>9.84</v>
      </c>
      <c r="AH3874">
        <v>2.69</v>
      </c>
      <c r="AI3874">
        <v>0.11</v>
      </c>
      <c r="AJ3874">
        <v>-0.01</v>
      </c>
      <c r="AK3874">
        <v>86</v>
      </c>
      <c r="AL3874">
        <v>291</v>
      </c>
      <c r="AM3874">
        <v>215</v>
      </c>
      <c r="AN3874">
        <v>6.19</v>
      </c>
      <c r="AO3874">
        <v>-1.52</v>
      </c>
      <c r="AP3874">
        <v>47</v>
      </c>
      <c r="AQ3874">
        <v>0</v>
      </c>
      <c r="AR3874">
        <v>7.36</v>
      </c>
      <c r="AS3874">
        <v>71</v>
      </c>
      <c r="AT3874">
        <v>2.8</v>
      </c>
      <c r="AU3874">
        <v>86</v>
      </c>
      <c r="AV3874">
        <v>-1.44</v>
      </c>
      <c r="AW3874">
        <v>90</v>
      </c>
      <c r="AX3874">
        <v>-0.12</v>
      </c>
      <c r="AY3874">
        <v>89</v>
      </c>
      <c r="AZ3874">
        <v>6.38</v>
      </c>
      <c r="BA3874">
        <v>65</v>
      </c>
      <c r="BB3874">
        <v>5.3</v>
      </c>
      <c r="BC3874">
        <v>78</v>
      </c>
      <c r="BD3874">
        <v>-0.03</v>
      </c>
      <c r="BE3874">
        <v>0.08</v>
      </c>
      <c r="BF3874">
        <v>0.12</v>
      </c>
      <c r="BG3874">
        <v>95</v>
      </c>
      <c r="BH3874">
        <v>-0.03</v>
      </c>
      <c r="BI3874">
        <v>19.579999999999998</v>
      </c>
      <c r="BJ3874">
        <v>60</v>
      </c>
      <c r="BK3874">
        <v>49</v>
      </c>
      <c r="BL3874">
        <v>-0.12</v>
      </c>
      <c r="BM3874">
        <v>-0.33</v>
      </c>
      <c r="BN3874">
        <v>-0.4</v>
      </c>
      <c r="BO3874">
        <v>0.16</v>
      </c>
      <c r="BP3874">
        <v>1.59</v>
      </c>
      <c r="BQ3874">
        <v>-2.4</v>
      </c>
      <c r="BR3874">
        <v>1.08</v>
      </c>
      <c r="BS3874">
        <v>-0.96</v>
      </c>
      <c r="BT3874">
        <v>-1.38</v>
      </c>
      <c r="BU3874">
        <v>-0.98</v>
      </c>
      <c r="BV3874">
        <v>0.35</v>
      </c>
      <c r="BW3874">
        <v>0.26</v>
      </c>
      <c r="BX3874">
        <v>-0.51</v>
      </c>
      <c r="BY3874">
        <v>-1.29</v>
      </c>
      <c r="BZ3874">
        <v>2.58</v>
      </c>
      <c r="CA3874">
        <v>-0.15</v>
      </c>
      <c r="CB3874">
        <v>0.06</v>
      </c>
      <c r="CC3874">
        <v>-0.44</v>
      </c>
      <c r="CD3874">
        <v>-1</v>
      </c>
      <c r="CE3874">
        <v>0.55000000000000004</v>
      </c>
      <c r="CF3874">
        <v>-0.02</v>
      </c>
      <c r="CG3874">
        <v>0</v>
      </c>
      <c r="CH3874">
        <v>-1.26</v>
      </c>
      <c r="CI3874">
        <v>0</v>
      </c>
      <c r="CJ3874">
        <v>-1.6</v>
      </c>
      <c r="CK3874">
        <v>94</v>
      </c>
      <c r="CL3874">
        <v>-0.51</v>
      </c>
      <c r="CM3874">
        <v>93</v>
      </c>
      <c r="CN3874">
        <v>-0.22</v>
      </c>
      <c r="CO3874">
        <v>92</v>
      </c>
      <c r="CP3874">
        <v>-2.9</v>
      </c>
      <c r="CQ3874">
        <v>94</v>
      </c>
      <c r="CR3874">
        <v>0</v>
      </c>
      <c r="CS3874">
        <v>0</v>
      </c>
      <c r="CT3874">
        <v>2.2000000000000002</v>
      </c>
      <c r="CU3874">
        <v>91</v>
      </c>
      <c r="CV3874">
        <v>0.13</v>
      </c>
      <c r="CW3874">
        <v>45</v>
      </c>
      <c r="CX3874" t="s">
        <v>166</v>
      </c>
    </row>
    <row r="3875" spans="1:102" x14ac:dyDescent="0.3">
      <c r="A3875" t="str">
        <f>HYPERLINK("https://webapp.icbf.com/v2/app/bull-search/view/77852818","VGT")</f>
        <v>VGT</v>
      </c>
      <c r="B3875" t="s">
        <v>12399</v>
      </c>
      <c r="C3875" t="s">
        <v>12400</v>
      </c>
      <c r="D3875" s="1">
        <v>35322</v>
      </c>
      <c r="E3875" t="s">
        <v>92</v>
      </c>
      <c r="F3875">
        <v>100</v>
      </c>
      <c r="G3875" t="s">
        <v>93</v>
      </c>
      <c r="H3875">
        <v>-68.42</v>
      </c>
      <c r="I3875">
        <v>68</v>
      </c>
      <c r="J3875">
        <v>6.49</v>
      </c>
      <c r="K3875">
        <v>91</v>
      </c>
      <c r="L3875">
        <v>-88.29</v>
      </c>
      <c r="M3875">
        <v>55</v>
      </c>
      <c r="N3875">
        <v>10.41</v>
      </c>
      <c r="O3875">
        <v>50</v>
      </c>
      <c r="P3875">
        <v>8.5</v>
      </c>
      <c r="Q3875">
        <v>64</v>
      </c>
      <c r="R3875">
        <v>-9.08</v>
      </c>
      <c r="S3875">
        <v>61</v>
      </c>
      <c r="T3875">
        <v>3.76</v>
      </c>
      <c r="U3875">
        <v>71</v>
      </c>
      <c r="V3875">
        <v>-0.21</v>
      </c>
      <c r="W3875">
        <v>32</v>
      </c>
      <c r="X3875" t="s">
        <v>558</v>
      </c>
      <c r="Y3875" t="s">
        <v>95</v>
      </c>
      <c r="Z3875" t="s">
        <v>96</v>
      </c>
      <c r="AA3875" t="s">
        <v>753</v>
      </c>
      <c r="AB3875" t="s">
        <v>12401</v>
      </c>
      <c r="AC3875">
        <v>49</v>
      </c>
      <c r="AD3875">
        <v>42</v>
      </c>
      <c r="AE3875">
        <v>91</v>
      </c>
      <c r="AF3875">
        <v>116.53</v>
      </c>
      <c r="AG3875">
        <v>1.83</v>
      </c>
      <c r="AH3875">
        <v>2.2400000000000002</v>
      </c>
      <c r="AI3875">
        <v>-0.04</v>
      </c>
      <c r="AJ3875">
        <v>-0.03</v>
      </c>
      <c r="AK3875">
        <v>55</v>
      </c>
      <c r="AL3875">
        <v>48</v>
      </c>
      <c r="AM3875">
        <v>38</v>
      </c>
      <c r="AN3875">
        <v>4.1100000000000003</v>
      </c>
      <c r="AO3875">
        <v>-2.94</v>
      </c>
      <c r="AP3875">
        <v>2</v>
      </c>
      <c r="AQ3875">
        <v>0</v>
      </c>
      <c r="AR3875">
        <v>7.06</v>
      </c>
      <c r="AS3875">
        <v>35</v>
      </c>
      <c r="AT3875">
        <v>2.8</v>
      </c>
      <c r="AU3875">
        <v>51</v>
      </c>
      <c r="AV3875">
        <v>-0.72</v>
      </c>
      <c r="AW3875">
        <v>52</v>
      </c>
      <c r="AX3875">
        <v>-0.11</v>
      </c>
      <c r="AY3875">
        <v>62</v>
      </c>
      <c r="AZ3875">
        <v>6.14</v>
      </c>
      <c r="BA3875">
        <v>37</v>
      </c>
      <c r="BB3875">
        <v>5.03</v>
      </c>
      <c r="BC3875">
        <v>46</v>
      </c>
      <c r="BD3875">
        <v>0.04</v>
      </c>
      <c r="BE3875">
        <v>0.08</v>
      </c>
      <c r="BF3875">
        <v>-0.01</v>
      </c>
      <c r="BG3875">
        <v>73</v>
      </c>
      <c r="BH3875">
        <v>0.11</v>
      </c>
      <c r="BI3875">
        <v>13.41</v>
      </c>
      <c r="BJ3875">
        <v>4</v>
      </c>
      <c r="BK3875">
        <v>4</v>
      </c>
      <c r="BL3875">
        <v>-0.18</v>
      </c>
      <c r="BM3875">
        <v>-0.02</v>
      </c>
      <c r="BN3875">
        <v>-0.27</v>
      </c>
      <c r="BO3875">
        <v>0.05</v>
      </c>
      <c r="BP3875">
        <v>1.48</v>
      </c>
      <c r="BQ3875">
        <v>-1.0900000000000001</v>
      </c>
      <c r="BR3875">
        <v>1.56</v>
      </c>
      <c r="BS3875">
        <v>-0.92</v>
      </c>
      <c r="BT3875">
        <v>-1.78</v>
      </c>
      <c r="BU3875">
        <v>0.32</v>
      </c>
      <c r="BV3875">
        <v>-0.21</v>
      </c>
      <c r="BW3875">
        <v>-0.27</v>
      </c>
      <c r="BX3875">
        <v>0.87</v>
      </c>
      <c r="BY3875">
        <v>-0.24</v>
      </c>
      <c r="BZ3875">
        <v>0.08</v>
      </c>
      <c r="CA3875">
        <v>0.06</v>
      </c>
      <c r="CB3875">
        <v>0.47</v>
      </c>
      <c r="CC3875">
        <v>-0.81</v>
      </c>
      <c r="CD3875">
        <v>-0.14000000000000001</v>
      </c>
      <c r="CE3875">
        <v>-0.39</v>
      </c>
      <c r="CF3875">
        <v>-0.44</v>
      </c>
      <c r="CG3875">
        <v>0</v>
      </c>
      <c r="CH3875">
        <v>-0.79</v>
      </c>
      <c r="CI3875">
        <v>0</v>
      </c>
      <c r="CJ3875">
        <v>6.8</v>
      </c>
      <c r="CK3875">
        <v>65</v>
      </c>
      <c r="CL3875">
        <v>-0.47</v>
      </c>
      <c r="CM3875">
        <v>61</v>
      </c>
      <c r="CN3875">
        <v>-0.3</v>
      </c>
      <c r="CO3875">
        <v>54</v>
      </c>
      <c r="CP3875">
        <v>3</v>
      </c>
      <c r="CQ3875">
        <v>79</v>
      </c>
      <c r="CR3875">
        <v>0</v>
      </c>
      <c r="CS3875">
        <v>0</v>
      </c>
      <c r="CT3875">
        <v>8.6999999999999993</v>
      </c>
      <c r="CU3875">
        <v>71</v>
      </c>
      <c r="CV3875">
        <v>0.2</v>
      </c>
      <c r="CW3875">
        <v>18</v>
      </c>
      <c r="CX3875" t="s">
        <v>105</v>
      </c>
    </row>
    <row r="3876" spans="1:102" x14ac:dyDescent="0.3">
      <c r="A3876" t="str">
        <f>HYPERLINK("https://webapp.icbf.com/v2/app/bull-search/view/77854450","RCK")</f>
        <v>RCK</v>
      </c>
      <c r="B3876" t="s">
        <v>15351</v>
      </c>
      <c r="C3876" t="s">
        <v>15352</v>
      </c>
      <c r="D3876" s="1">
        <v>33846</v>
      </c>
      <c r="E3876" t="s">
        <v>92</v>
      </c>
      <c r="F3876">
        <v>100</v>
      </c>
      <c r="G3876" t="s">
        <v>116</v>
      </c>
      <c r="H3876">
        <v>-68.510000000000005</v>
      </c>
      <c r="I3876">
        <v>47</v>
      </c>
      <c r="J3876">
        <v>-4.0599999999999996</v>
      </c>
      <c r="K3876">
        <v>50</v>
      </c>
      <c r="L3876">
        <v>-58.64</v>
      </c>
      <c r="M3876">
        <v>45</v>
      </c>
      <c r="N3876">
        <v>7.55</v>
      </c>
      <c r="O3876">
        <v>39</v>
      </c>
      <c r="P3876">
        <v>-17.75</v>
      </c>
      <c r="Q3876">
        <v>59</v>
      </c>
      <c r="R3876">
        <v>-18.989999999999998</v>
      </c>
      <c r="S3876">
        <v>48</v>
      </c>
      <c r="T3876">
        <v>27.81</v>
      </c>
      <c r="U3876">
        <v>56</v>
      </c>
      <c r="V3876">
        <v>-4.43</v>
      </c>
      <c r="W3876">
        <v>27</v>
      </c>
      <c r="X3876" t="s">
        <v>110</v>
      </c>
      <c r="Y3876" t="s">
        <v>95</v>
      </c>
      <c r="Z3876" t="s">
        <v>96</v>
      </c>
      <c r="AA3876" t="s">
        <v>152</v>
      </c>
      <c r="AB3876" t="s">
        <v>3904</v>
      </c>
      <c r="AC3876">
        <v>8</v>
      </c>
      <c r="AD3876">
        <v>4</v>
      </c>
      <c r="AE3876">
        <v>50</v>
      </c>
      <c r="AF3876">
        <v>225.84</v>
      </c>
      <c r="AG3876">
        <v>1.29</v>
      </c>
      <c r="AH3876">
        <v>2.31</v>
      </c>
      <c r="AI3876">
        <v>-0.12</v>
      </c>
      <c r="AJ3876">
        <v>-0.09</v>
      </c>
      <c r="AK3876">
        <v>45</v>
      </c>
      <c r="AL3876">
        <v>21</v>
      </c>
      <c r="AM3876">
        <v>7</v>
      </c>
      <c r="AN3876">
        <v>2.9</v>
      </c>
      <c r="AO3876">
        <v>-1.78</v>
      </c>
      <c r="AP3876">
        <v>0</v>
      </c>
      <c r="AQ3876">
        <v>1</v>
      </c>
      <c r="AR3876">
        <v>5.72</v>
      </c>
      <c r="AS3876">
        <v>28</v>
      </c>
      <c r="AT3876">
        <v>2.4700000000000002</v>
      </c>
      <c r="AU3876">
        <v>40</v>
      </c>
      <c r="AV3876">
        <v>-0.35</v>
      </c>
      <c r="AW3876">
        <v>38</v>
      </c>
      <c r="AX3876">
        <v>-0.06</v>
      </c>
      <c r="AY3876">
        <v>54</v>
      </c>
      <c r="AZ3876">
        <v>7.21</v>
      </c>
      <c r="BA3876">
        <v>29</v>
      </c>
      <c r="BB3876">
        <v>5.74</v>
      </c>
      <c r="BC3876">
        <v>36</v>
      </c>
      <c r="BD3876">
        <v>0.04</v>
      </c>
      <c r="BE3876">
        <v>0.1</v>
      </c>
      <c r="BF3876">
        <v>0.18</v>
      </c>
      <c r="BG3876">
        <v>61</v>
      </c>
      <c r="BH3876">
        <v>-0.02</v>
      </c>
      <c r="BI3876">
        <v>11.99</v>
      </c>
      <c r="BJ3876">
        <v>0</v>
      </c>
      <c r="BK3876">
        <v>0</v>
      </c>
      <c r="BL3876">
        <v>-0.06</v>
      </c>
      <c r="BM3876">
        <v>-0.64</v>
      </c>
      <c r="BN3876">
        <v>-0.23</v>
      </c>
      <c r="BO3876">
        <v>0.25</v>
      </c>
      <c r="BP3876">
        <v>0.75</v>
      </c>
      <c r="BQ3876">
        <v>-0.56000000000000005</v>
      </c>
      <c r="BR3876">
        <v>-0.21</v>
      </c>
      <c r="BS3876">
        <v>-0.23</v>
      </c>
      <c r="BT3876">
        <v>0.51</v>
      </c>
      <c r="BU3876">
        <v>-0.26</v>
      </c>
      <c r="BV3876">
        <v>0.12</v>
      </c>
      <c r="BW3876">
        <v>0.15</v>
      </c>
      <c r="BX3876">
        <v>-0.78</v>
      </c>
      <c r="BY3876">
        <v>-0.28000000000000003</v>
      </c>
      <c r="BZ3876">
        <v>1</v>
      </c>
      <c r="CA3876">
        <v>0.08</v>
      </c>
      <c r="CB3876">
        <v>0</v>
      </c>
      <c r="CC3876">
        <v>0.23</v>
      </c>
      <c r="CD3876">
        <v>-0.54</v>
      </c>
      <c r="CE3876">
        <v>0.17</v>
      </c>
      <c r="CF3876">
        <v>-0.42</v>
      </c>
      <c r="CG3876">
        <v>0</v>
      </c>
      <c r="CH3876">
        <v>0.17</v>
      </c>
      <c r="CI3876">
        <v>0</v>
      </c>
      <c r="CJ3876">
        <v>-12.8</v>
      </c>
      <c r="CK3876">
        <v>61</v>
      </c>
      <c r="CL3876">
        <v>-0.22</v>
      </c>
      <c r="CM3876">
        <v>56</v>
      </c>
      <c r="CN3876">
        <v>-0.39</v>
      </c>
      <c r="CO3876">
        <v>53</v>
      </c>
      <c r="CP3876">
        <v>-15.9</v>
      </c>
      <c r="CQ3876">
        <v>61</v>
      </c>
      <c r="CR3876">
        <v>0</v>
      </c>
      <c r="CS3876">
        <v>0</v>
      </c>
      <c r="CT3876">
        <v>-23.8</v>
      </c>
      <c r="CU3876">
        <v>56</v>
      </c>
      <c r="CV3876">
        <v>-0.18</v>
      </c>
      <c r="CW3876">
        <v>16</v>
      </c>
      <c r="CX3876" t="s">
        <v>3905</v>
      </c>
    </row>
    <row r="3877" spans="1:102" x14ac:dyDescent="0.3">
      <c r="A3877" t="str">
        <f>HYPERLINK("https://webapp.icbf.com/v2/app/bull-search/view/124414541","DDG")</f>
        <v>DDG</v>
      </c>
      <c r="B3877" t="s">
        <v>1315</v>
      </c>
      <c r="C3877" t="s">
        <v>1316</v>
      </c>
      <c r="D3877" s="1">
        <v>35436</v>
      </c>
      <c r="E3877" t="s">
        <v>108</v>
      </c>
      <c r="F3877">
        <v>6</v>
      </c>
      <c r="G3877" t="s">
        <v>93</v>
      </c>
      <c r="H3877">
        <v>-68.680000000000007</v>
      </c>
      <c r="I3877">
        <v>72</v>
      </c>
      <c r="J3877">
        <v>-57.3</v>
      </c>
      <c r="K3877">
        <v>91</v>
      </c>
      <c r="L3877">
        <v>7.57</v>
      </c>
      <c r="M3877">
        <v>59</v>
      </c>
      <c r="N3877">
        <v>-22.3</v>
      </c>
      <c r="O3877">
        <v>56</v>
      </c>
      <c r="P3877">
        <v>-7.66</v>
      </c>
      <c r="Q3877">
        <v>83</v>
      </c>
      <c r="R3877">
        <v>-4.74</v>
      </c>
      <c r="S3877">
        <v>63</v>
      </c>
      <c r="T3877">
        <v>16.12</v>
      </c>
      <c r="U3877">
        <v>75</v>
      </c>
      <c r="V3877">
        <v>-0.37</v>
      </c>
      <c r="W3877">
        <v>42</v>
      </c>
      <c r="X3877" t="s">
        <v>102</v>
      </c>
      <c r="Y3877" t="s">
        <v>95</v>
      </c>
      <c r="Z3877" t="s">
        <v>96</v>
      </c>
      <c r="AA3877" t="s">
        <v>672</v>
      </c>
      <c r="AB3877" t="s">
        <v>1317</v>
      </c>
      <c r="AC3877">
        <v>47</v>
      </c>
      <c r="AD3877">
        <v>35</v>
      </c>
      <c r="AE3877">
        <v>91</v>
      </c>
      <c r="AF3877">
        <v>-379.8</v>
      </c>
      <c r="AG3877">
        <v>-10.99</v>
      </c>
      <c r="AH3877">
        <v>-11.67</v>
      </c>
      <c r="AI3877">
        <v>7.0000000000000007E-2</v>
      </c>
      <c r="AJ3877">
        <v>0.02</v>
      </c>
      <c r="AK3877">
        <v>59</v>
      </c>
      <c r="AL3877">
        <v>59</v>
      </c>
      <c r="AM3877">
        <v>44</v>
      </c>
      <c r="AN3877">
        <v>-2.23</v>
      </c>
      <c r="AO3877">
        <v>-1.65</v>
      </c>
      <c r="AP3877">
        <v>3</v>
      </c>
      <c r="AQ3877">
        <v>0</v>
      </c>
      <c r="AR3877">
        <v>7.63</v>
      </c>
      <c r="AS3877">
        <v>39</v>
      </c>
      <c r="AT3877">
        <v>3.51</v>
      </c>
      <c r="AU3877">
        <v>53</v>
      </c>
      <c r="AV3877">
        <v>2.23</v>
      </c>
      <c r="AW3877">
        <v>60</v>
      </c>
      <c r="AX3877">
        <v>-1</v>
      </c>
      <c r="AY3877">
        <v>70</v>
      </c>
      <c r="AZ3877">
        <v>7.01</v>
      </c>
      <c r="BA3877">
        <v>40</v>
      </c>
      <c r="BB3877">
        <v>5.53</v>
      </c>
      <c r="BC3877">
        <v>51</v>
      </c>
      <c r="BD3877">
        <v>0.03</v>
      </c>
      <c r="BE3877">
        <v>0.01</v>
      </c>
      <c r="BF3877">
        <v>0.04</v>
      </c>
      <c r="BG3877">
        <v>74</v>
      </c>
      <c r="BH3877">
        <v>-0.04</v>
      </c>
      <c r="BI3877">
        <v>-3.44</v>
      </c>
      <c r="BJ3877">
        <v>2</v>
      </c>
      <c r="BK3877">
        <v>2</v>
      </c>
      <c r="BL3877">
        <v>-2.7</v>
      </c>
      <c r="BM3877">
        <v>0.99</v>
      </c>
      <c r="BN3877">
        <v>-2.34</v>
      </c>
      <c r="BO3877">
        <v>-2.33</v>
      </c>
      <c r="BP3877">
        <v>-0.93</v>
      </c>
      <c r="BQ3877">
        <v>0.99</v>
      </c>
      <c r="BR3877">
        <v>0.09</v>
      </c>
      <c r="BS3877">
        <v>-0.65</v>
      </c>
      <c r="BT3877">
        <v>-0.23</v>
      </c>
      <c r="BU3877">
        <v>-1.39</v>
      </c>
      <c r="BV3877">
        <v>-1.91</v>
      </c>
      <c r="BW3877">
        <v>-2.1</v>
      </c>
      <c r="BX3877">
        <v>-1.17</v>
      </c>
      <c r="BY3877">
        <v>-2.15</v>
      </c>
      <c r="BZ3877">
        <v>-2</v>
      </c>
      <c r="CA3877">
        <v>-2.0499999999999998</v>
      </c>
      <c r="CB3877">
        <v>-1.96</v>
      </c>
      <c r="CC3877">
        <v>-1.43</v>
      </c>
      <c r="CD3877">
        <v>2.33</v>
      </c>
      <c r="CE3877">
        <v>-2.2799999999999998</v>
      </c>
      <c r="CF3877">
        <v>-1.99</v>
      </c>
      <c r="CG3877">
        <v>0</v>
      </c>
      <c r="CH3877">
        <v>-1.58</v>
      </c>
      <c r="CI3877">
        <v>0</v>
      </c>
      <c r="CJ3877">
        <v>-2.2999999999999998</v>
      </c>
      <c r="CK3877">
        <v>85</v>
      </c>
      <c r="CL3877">
        <v>0.1</v>
      </c>
      <c r="CM3877">
        <v>81</v>
      </c>
      <c r="CN3877">
        <v>0.38</v>
      </c>
      <c r="CO3877">
        <v>79</v>
      </c>
      <c r="CP3877">
        <v>-7.1</v>
      </c>
      <c r="CQ3877">
        <v>85</v>
      </c>
      <c r="CR3877">
        <v>0</v>
      </c>
      <c r="CS3877">
        <v>0</v>
      </c>
      <c r="CT3877">
        <v>-8</v>
      </c>
      <c r="CU3877">
        <v>75</v>
      </c>
      <c r="CV3877">
        <v>-0.12</v>
      </c>
      <c r="CW3877">
        <v>24</v>
      </c>
      <c r="CX3877" t="s">
        <v>1318</v>
      </c>
    </row>
    <row r="3878" spans="1:102" x14ac:dyDescent="0.3">
      <c r="A3878" t="str">
        <f>HYPERLINK("https://webapp.icbf.com/v2/app/bull-search/view/77854168","RUT")</f>
        <v>RUT</v>
      </c>
      <c r="B3878" t="s">
        <v>10654</v>
      </c>
      <c r="C3878" t="s">
        <v>10655</v>
      </c>
      <c r="D3878" s="1">
        <v>32375</v>
      </c>
      <c r="E3878" t="s">
        <v>92</v>
      </c>
      <c r="F3878">
        <v>100</v>
      </c>
      <c r="G3878" t="s">
        <v>93</v>
      </c>
      <c r="H3878">
        <v>-68.760000000000005</v>
      </c>
      <c r="I3878">
        <v>64</v>
      </c>
      <c r="J3878">
        <v>-26.77</v>
      </c>
      <c r="K3878">
        <v>83</v>
      </c>
      <c r="L3878">
        <v>-45.07</v>
      </c>
      <c r="M3878">
        <v>55</v>
      </c>
      <c r="N3878">
        <v>8.9600000000000009</v>
      </c>
      <c r="O3878">
        <v>52</v>
      </c>
      <c r="P3878">
        <v>-0.73</v>
      </c>
      <c r="Q3878">
        <v>65</v>
      </c>
      <c r="R3878">
        <v>-12.8</v>
      </c>
      <c r="S3878">
        <v>60</v>
      </c>
      <c r="T3878">
        <v>15.68</v>
      </c>
      <c r="U3878">
        <v>56</v>
      </c>
      <c r="V3878">
        <v>-8.0299999999999994</v>
      </c>
      <c r="W3878">
        <v>22</v>
      </c>
      <c r="X3878" t="s">
        <v>276</v>
      </c>
      <c r="Y3878" t="s">
        <v>95</v>
      </c>
      <c r="Z3878" t="s">
        <v>96</v>
      </c>
      <c r="AA3878" t="s">
        <v>10656</v>
      </c>
      <c r="AB3878" t="s">
        <v>10657</v>
      </c>
      <c r="AC3878">
        <v>27</v>
      </c>
      <c r="AD3878">
        <v>24</v>
      </c>
      <c r="AE3878">
        <v>83</v>
      </c>
      <c r="AF3878">
        <v>176.51</v>
      </c>
      <c r="AG3878">
        <v>-1.39</v>
      </c>
      <c r="AH3878">
        <v>-1.36</v>
      </c>
      <c r="AI3878">
        <v>-0.13</v>
      </c>
      <c r="AJ3878">
        <v>-0.12</v>
      </c>
      <c r="AK3878">
        <v>55</v>
      </c>
      <c r="AL3878">
        <v>60</v>
      </c>
      <c r="AM3878">
        <v>38</v>
      </c>
      <c r="AN3878">
        <v>2</v>
      </c>
      <c r="AO3878">
        <v>-1.6</v>
      </c>
      <c r="AP3878">
        <v>2</v>
      </c>
      <c r="AQ3878">
        <v>0</v>
      </c>
      <c r="AR3878">
        <v>5.45</v>
      </c>
      <c r="AS3878">
        <v>23</v>
      </c>
      <c r="AT3878">
        <v>3</v>
      </c>
      <c r="AU3878">
        <v>70</v>
      </c>
      <c r="AV3878">
        <v>0.28999999999999998</v>
      </c>
      <c r="AW3878">
        <v>50</v>
      </c>
      <c r="AX3878">
        <v>-0.46</v>
      </c>
      <c r="AY3878">
        <v>67</v>
      </c>
      <c r="AZ3878">
        <v>5.23</v>
      </c>
      <c r="BA3878">
        <v>23</v>
      </c>
      <c r="BB3878">
        <v>4.59</v>
      </c>
      <c r="BC3878">
        <v>36</v>
      </c>
      <c r="BD3878">
        <v>0.05</v>
      </c>
      <c r="BE3878">
        <v>0.09</v>
      </c>
      <c r="BF3878">
        <v>0.04</v>
      </c>
      <c r="BG3878">
        <v>81</v>
      </c>
      <c r="BH3878">
        <v>-0.18</v>
      </c>
      <c r="BI3878">
        <v>5.07</v>
      </c>
      <c r="BJ3878">
        <v>20</v>
      </c>
      <c r="BK3878">
        <v>17</v>
      </c>
      <c r="BL3878">
        <v>0.7</v>
      </c>
      <c r="BM3878">
        <v>1.4</v>
      </c>
      <c r="BN3878">
        <v>1.2</v>
      </c>
      <c r="BO3878">
        <v>-0.33</v>
      </c>
      <c r="BP3878">
        <v>-0.02</v>
      </c>
      <c r="BQ3878">
        <v>-0.03</v>
      </c>
      <c r="BR3878">
        <v>0.01</v>
      </c>
      <c r="BS3878">
        <v>-0.94</v>
      </c>
      <c r="BT3878">
        <v>-0.57999999999999996</v>
      </c>
      <c r="BU3878">
        <v>-0.83</v>
      </c>
      <c r="BV3878">
        <v>-2.39</v>
      </c>
      <c r="BW3878">
        <v>-1.37</v>
      </c>
      <c r="BX3878">
        <v>-0.28999999999999998</v>
      </c>
      <c r="BY3878">
        <v>0.83</v>
      </c>
      <c r="BZ3878">
        <v>-2.29</v>
      </c>
      <c r="CA3878">
        <v>-1.29</v>
      </c>
      <c r="CB3878">
        <v>-1.1100000000000001</v>
      </c>
      <c r="CC3878">
        <v>-1.02</v>
      </c>
      <c r="CD3878">
        <v>1.1499999999999999</v>
      </c>
      <c r="CE3878">
        <v>-0.03</v>
      </c>
      <c r="CF3878">
        <v>1</v>
      </c>
      <c r="CG3878">
        <v>0</v>
      </c>
      <c r="CH3878">
        <v>-1.35</v>
      </c>
      <c r="CI3878">
        <v>0</v>
      </c>
      <c r="CJ3878">
        <v>-1</v>
      </c>
      <c r="CK3878">
        <v>67</v>
      </c>
      <c r="CL3878">
        <v>-0.57999999999999996</v>
      </c>
      <c r="CM3878">
        <v>63</v>
      </c>
      <c r="CN3878">
        <v>-0.59</v>
      </c>
      <c r="CO3878">
        <v>58</v>
      </c>
      <c r="CP3878">
        <v>-1.8</v>
      </c>
      <c r="CQ3878">
        <v>74</v>
      </c>
      <c r="CR3878">
        <v>0</v>
      </c>
      <c r="CS3878">
        <v>0</v>
      </c>
      <c r="CT3878">
        <v>-7.4</v>
      </c>
      <c r="CU3878">
        <v>56</v>
      </c>
      <c r="CV3878">
        <v>0.12</v>
      </c>
      <c r="CW3878">
        <v>18</v>
      </c>
      <c r="CX3878" t="s">
        <v>648</v>
      </c>
    </row>
    <row r="3879" spans="1:102" x14ac:dyDescent="0.3">
      <c r="A3879" t="str">
        <f>HYPERLINK("https://webapp.icbf.com/v2/app/bull-search/view/122808845","LDD")</f>
        <v>LDD</v>
      </c>
      <c r="B3879" t="s">
        <v>3910</v>
      </c>
      <c r="C3879" t="s">
        <v>3911</v>
      </c>
      <c r="D3879" s="1">
        <v>35117</v>
      </c>
      <c r="E3879" t="s">
        <v>92</v>
      </c>
      <c r="F3879">
        <v>100</v>
      </c>
      <c r="G3879" t="s">
        <v>93</v>
      </c>
      <c r="H3879">
        <v>-69.27</v>
      </c>
      <c r="I3879">
        <v>76</v>
      </c>
      <c r="J3879">
        <v>-41.48</v>
      </c>
      <c r="K3879">
        <v>94</v>
      </c>
      <c r="L3879">
        <v>-38.74</v>
      </c>
      <c r="M3879">
        <v>63</v>
      </c>
      <c r="N3879">
        <v>5</v>
      </c>
      <c r="O3879">
        <v>64</v>
      </c>
      <c r="P3879">
        <v>-14.76</v>
      </c>
      <c r="Q3879">
        <v>83</v>
      </c>
      <c r="R3879">
        <v>5.9</v>
      </c>
      <c r="S3879">
        <v>67</v>
      </c>
      <c r="T3879">
        <v>17.600000000000001</v>
      </c>
      <c r="U3879">
        <v>79</v>
      </c>
      <c r="V3879">
        <v>-2.79</v>
      </c>
      <c r="W3879">
        <v>44</v>
      </c>
      <c r="X3879" t="s">
        <v>94</v>
      </c>
      <c r="Y3879" t="s">
        <v>95</v>
      </c>
      <c r="Z3879" t="s">
        <v>96</v>
      </c>
      <c r="AA3879" t="s">
        <v>924</v>
      </c>
      <c r="AB3879" t="s">
        <v>3912</v>
      </c>
      <c r="AC3879">
        <v>80</v>
      </c>
      <c r="AD3879">
        <v>73</v>
      </c>
      <c r="AE3879">
        <v>94</v>
      </c>
      <c r="AF3879">
        <v>-188.43</v>
      </c>
      <c r="AG3879">
        <v>-8.39</v>
      </c>
      <c r="AH3879">
        <v>-6.97</v>
      </c>
      <c r="AI3879">
        <v>-0.02</v>
      </c>
      <c r="AJ3879">
        <v>-0.01</v>
      </c>
      <c r="AK3879">
        <v>63</v>
      </c>
      <c r="AL3879">
        <v>76</v>
      </c>
      <c r="AM3879">
        <v>64</v>
      </c>
      <c r="AN3879">
        <v>1.28</v>
      </c>
      <c r="AO3879">
        <v>-1.82</v>
      </c>
      <c r="AP3879">
        <v>7</v>
      </c>
      <c r="AQ3879">
        <v>0</v>
      </c>
      <c r="AR3879">
        <v>7.15</v>
      </c>
      <c r="AS3879">
        <v>38</v>
      </c>
      <c r="AT3879">
        <v>3.28</v>
      </c>
      <c r="AU3879">
        <v>61</v>
      </c>
      <c r="AV3879">
        <v>-0.66</v>
      </c>
      <c r="AW3879">
        <v>73</v>
      </c>
      <c r="AX3879">
        <v>0.91</v>
      </c>
      <c r="AY3879">
        <v>74</v>
      </c>
      <c r="AZ3879">
        <v>6.29</v>
      </c>
      <c r="BA3879">
        <v>38</v>
      </c>
      <c r="BB3879">
        <v>4.58</v>
      </c>
      <c r="BC3879">
        <v>56</v>
      </c>
      <c r="BD3879">
        <v>-0.01</v>
      </c>
      <c r="BE3879">
        <v>-0.01</v>
      </c>
      <c r="BF3879">
        <v>-0.1</v>
      </c>
      <c r="BG3879">
        <v>81</v>
      </c>
      <c r="BH3879">
        <v>-0.06</v>
      </c>
      <c r="BI3879">
        <v>2.0499999999999998</v>
      </c>
      <c r="BJ3879">
        <v>0</v>
      </c>
      <c r="BK3879">
        <v>0</v>
      </c>
      <c r="BL3879">
        <v>0.57999999999999996</v>
      </c>
      <c r="BM3879">
        <v>0.09</v>
      </c>
      <c r="BN3879">
        <v>0.55000000000000004</v>
      </c>
      <c r="BO3879">
        <v>0.41</v>
      </c>
      <c r="BP3879">
        <v>1.1399999999999999</v>
      </c>
      <c r="BQ3879">
        <v>-0.61</v>
      </c>
      <c r="BR3879">
        <v>-0.78</v>
      </c>
      <c r="BS3879">
        <v>-0.11</v>
      </c>
      <c r="BT3879">
        <v>0.9</v>
      </c>
      <c r="BU3879">
        <v>0.82</v>
      </c>
      <c r="BV3879">
        <v>0.64</v>
      </c>
      <c r="BW3879">
        <v>0.64</v>
      </c>
      <c r="BX3879">
        <v>1.32</v>
      </c>
      <c r="BY3879">
        <v>0.31</v>
      </c>
      <c r="BZ3879">
        <v>0.87</v>
      </c>
      <c r="CA3879">
        <v>0.88</v>
      </c>
      <c r="CB3879">
        <v>0.86</v>
      </c>
      <c r="CC3879">
        <v>0.53</v>
      </c>
      <c r="CD3879">
        <v>-0.34</v>
      </c>
      <c r="CE3879">
        <v>0.52</v>
      </c>
      <c r="CF3879">
        <v>0.68</v>
      </c>
      <c r="CG3879">
        <v>0</v>
      </c>
      <c r="CH3879">
        <v>0.43</v>
      </c>
      <c r="CI3879">
        <v>0</v>
      </c>
      <c r="CJ3879">
        <v>-6.7</v>
      </c>
      <c r="CK3879">
        <v>84</v>
      </c>
      <c r="CL3879">
        <v>-0.73</v>
      </c>
      <c r="CM3879">
        <v>81</v>
      </c>
      <c r="CN3879">
        <v>-0.33</v>
      </c>
      <c r="CO3879">
        <v>79</v>
      </c>
      <c r="CP3879">
        <v>-12.3</v>
      </c>
      <c r="CQ3879">
        <v>86</v>
      </c>
      <c r="CR3879">
        <v>0</v>
      </c>
      <c r="CS3879">
        <v>0</v>
      </c>
      <c r="CT3879">
        <v>-10</v>
      </c>
      <c r="CU3879">
        <v>79</v>
      </c>
      <c r="CV3879">
        <v>0.02</v>
      </c>
      <c r="CW3879">
        <v>23</v>
      </c>
      <c r="CX3879" t="s">
        <v>161</v>
      </c>
    </row>
    <row r="3880" spans="1:102" x14ac:dyDescent="0.3">
      <c r="A3880" t="str">
        <f>HYPERLINK("https://webapp.icbf.com/v2/app/bull-search/view/77853166","TOG")</f>
        <v>TOG</v>
      </c>
      <c r="B3880" t="s">
        <v>10400</v>
      </c>
      <c r="C3880" t="s">
        <v>10401</v>
      </c>
      <c r="D3880" s="1">
        <v>34554</v>
      </c>
      <c r="E3880" t="s">
        <v>92</v>
      </c>
      <c r="F3880">
        <v>100</v>
      </c>
      <c r="G3880" t="s">
        <v>93</v>
      </c>
      <c r="H3880">
        <v>-69.27</v>
      </c>
      <c r="I3880">
        <v>85</v>
      </c>
      <c r="J3880">
        <v>22.31</v>
      </c>
      <c r="K3880">
        <v>95</v>
      </c>
      <c r="L3880">
        <v>-79.739999999999995</v>
      </c>
      <c r="M3880">
        <v>82</v>
      </c>
      <c r="N3880">
        <v>-21.16</v>
      </c>
      <c r="O3880">
        <v>74</v>
      </c>
      <c r="P3880">
        <v>-1.52</v>
      </c>
      <c r="Q3880">
        <v>91</v>
      </c>
      <c r="R3880">
        <v>-5.77</v>
      </c>
      <c r="S3880">
        <v>72</v>
      </c>
      <c r="T3880">
        <v>20.49</v>
      </c>
      <c r="U3880">
        <v>87</v>
      </c>
      <c r="V3880">
        <v>-3.88</v>
      </c>
      <c r="W3880">
        <v>60</v>
      </c>
      <c r="X3880" t="s">
        <v>102</v>
      </c>
      <c r="Y3880" t="s">
        <v>95</v>
      </c>
      <c r="Z3880" t="s">
        <v>96</v>
      </c>
      <c r="AA3880" t="s">
        <v>743</v>
      </c>
      <c r="AB3880" t="s">
        <v>10402</v>
      </c>
      <c r="AC3880">
        <v>94</v>
      </c>
      <c r="AD3880">
        <v>39</v>
      </c>
      <c r="AE3880">
        <v>95</v>
      </c>
      <c r="AF3880">
        <v>36.549999999999997</v>
      </c>
      <c r="AG3880">
        <v>2.98</v>
      </c>
      <c r="AH3880">
        <v>3.3</v>
      </c>
      <c r="AI3880">
        <v>0.03</v>
      </c>
      <c r="AJ3880">
        <v>0.03</v>
      </c>
      <c r="AK3880">
        <v>82</v>
      </c>
      <c r="AL3880">
        <v>107</v>
      </c>
      <c r="AM3880">
        <v>45</v>
      </c>
      <c r="AN3880">
        <v>5.82</v>
      </c>
      <c r="AO3880">
        <v>-0.52</v>
      </c>
      <c r="AP3880">
        <v>48</v>
      </c>
      <c r="AQ3880">
        <v>1</v>
      </c>
      <c r="AR3880">
        <v>13.4</v>
      </c>
      <c r="AS3880">
        <v>69</v>
      </c>
      <c r="AT3880">
        <v>4.9400000000000004</v>
      </c>
      <c r="AU3880">
        <v>67</v>
      </c>
      <c r="AV3880">
        <v>-1.49</v>
      </c>
      <c r="AW3880">
        <v>85</v>
      </c>
      <c r="AX3880">
        <v>-0.72</v>
      </c>
      <c r="AY3880">
        <v>79</v>
      </c>
      <c r="AZ3880">
        <v>5.23</v>
      </c>
      <c r="BA3880">
        <v>50</v>
      </c>
      <c r="BB3880">
        <v>4.37</v>
      </c>
      <c r="BC3880">
        <v>63</v>
      </c>
      <c r="BD3880">
        <v>0.04</v>
      </c>
      <c r="BE3880">
        <v>0.04</v>
      </c>
      <c r="BF3880">
        <v>-0.01</v>
      </c>
      <c r="BG3880">
        <v>85</v>
      </c>
      <c r="BH3880">
        <v>-0.14000000000000001</v>
      </c>
      <c r="BI3880">
        <v>-3.69</v>
      </c>
      <c r="BJ3880">
        <v>4</v>
      </c>
      <c r="BK3880">
        <v>3</v>
      </c>
      <c r="BL3880">
        <v>0.26</v>
      </c>
      <c r="BM3880">
        <v>-0.61</v>
      </c>
      <c r="BN3880">
        <v>-0.48</v>
      </c>
      <c r="BO3880">
        <v>0.01</v>
      </c>
      <c r="BP3880">
        <v>-1.08</v>
      </c>
      <c r="BQ3880">
        <v>0.63</v>
      </c>
      <c r="BR3880">
        <v>0.28000000000000003</v>
      </c>
      <c r="BS3880">
        <v>-0.78</v>
      </c>
      <c r="BT3880">
        <v>-0.11</v>
      </c>
      <c r="BU3880">
        <v>-0.15</v>
      </c>
      <c r="BV3880">
        <v>-0.87</v>
      </c>
      <c r="BW3880">
        <v>-0.75</v>
      </c>
      <c r="BX3880">
        <v>0.23</v>
      </c>
      <c r="BY3880">
        <v>-1.44</v>
      </c>
      <c r="BZ3880">
        <v>0.91</v>
      </c>
      <c r="CA3880">
        <v>-0.9</v>
      </c>
      <c r="CB3880">
        <v>-0.89</v>
      </c>
      <c r="CC3880">
        <v>-0.57999999999999996</v>
      </c>
      <c r="CD3880">
        <v>0.61</v>
      </c>
      <c r="CE3880">
        <v>-0.49</v>
      </c>
      <c r="CF3880">
        <v>-0.08</v>
      </c>
      <c r="CG3880">
        <v>0</v>
      </c>
      <c r="CH3880">
        <v>-0.39</v>
      </c>
      <c r="CI3880">
        <v>0</v>
      </c>
      <c r="CJ3880">
        <v>2</v>
      </c>
      <c r="CK3880">
        <v>92</v>
      </c>
      <c r="CL3880">
        <v>-0.36</v>
      </c>
      <c r="CM3880">
        <v>91</v>
      </c>
      <c r="CN3880">
        <v>-0.04</v>
      </c>
      <c r="CO3880">
        <v>89</v>
      </c>
      <c r="CP3880">
        <v>-6.9</v>
      </c>
      <c r="CQ3880">
        <v>92</v>
      </c>
      <c r="CR3880">
        <v>0</v>
      </c>
      <c r="CS3880">
        <v>0</v>
      </c>
      <c r="CT3880">
        <v>-13.9</v>
      </c>
      <c r="CU3880">
        <v>87</v>
      </c>
      <c r="CV3880">
        <v>0.21</v>
      </c>
      <c r="CW3880">
        <v>26</v>
      </c>
      <c r="CX3880" t="s">
        <v>3747</v>
      </c>
    </row>
    <row r="3881" spans="1:102" x14ac:dyDescent="0.3">
      <c r="A3881" t="str">
        <f>HYPERLINK("https://webapp.icbf.com/v2/app/bull-search/view/82443899","LYA")</f>
        <v>LYA</v>
      </c>
      <c r="B3881" t="s">
        <v>9890</v>
      </c>
      <c r="C3881" t="s">
        <v>9891</v>
      </c>
      <c r="D3881" s="1">
        <v>34967</v>
      </c>
      <c r="E3881" t="s">
        <v>92</v>
      </c>
      <c r="F3881">
        <v>100</v>
      </c>
      <c r="G3881" t="s">
        <v>93</v>
      </c>
      <c r="H3881">
        <v>-69.349999999999994</v>
      </c>
      <c r="I3881">
        <v>85</v>
      </c>
      <c r="J3881">
        <v>49.18</v>
      </c>
      <c r="K3881">
        <v>97</v>
      </c>
      <c r="L3881">
        <v>-96.5</v>
      </c>
      <c r="M3881">
        <v>80</v>
      </c>
      <c r="N3881">
        <v>-4.45</v>
      </c>
      <c r="O3881">
        <v>75</v>
      </c>
      <c r="P3881">
        <v>-10.94</v>
      </c>
      <c r="Q3881">
        <v>86</v>
      </c>
      <c r="R3881">
        <v>-6.21</v>
      </c>
      <c r="S3881">
        <v>79</v>
      </c>
      <c r="T3881">
        <v>7.17</v>
      </c>
      <c r="U3881">
        <v>78</v>
      </c>
      <c r="V3881">
        <v>-7.6</v>
      </c>
      <c r="W3881">
        <v>68</v>
      </c>
      <c r="X3881" t="s">
        <v>94</v>
      </c>
      <c r="Y3881" t="s">
        <v>95</v>
      </c>
      <c r="Z3881" t="s">
        <v>96</v>
      </c>
      <c r="AA3881" t="s">
        <v>529</v>
      </c>
      <c r="AB3881" t="s">
        <v>9892</v>
      </c>
      <c r="AC3881">
        <v>95</v>
      </c>
      <c r="AD3881">
        <v>77</v>
      </c>
      <c r="AE3881">
        <v>97</v>
      </c>
      <c r="AF3881">
        <v>129.91</v>
      </c>
      <c r="AG3881">
        <v>14.34</v>
      </c>
      <c r="AH3881">
        <v>5.28</v>
      </c>
      <c r="AI3881">
        <v>0.16</v>
      </c>
      <c r="AJ3881">
        <v>0.02</v>
      </c>
      <c r="AK3881">
        <v>80</v>
      </c>
      <c r="AL3881">
        <v>90</v>
      </c>
      <c r="AM3881">
        <v>68</v>
      </c>
      <c r="AN3881">
        <v>4.93</v>
      </c>
      <c r="AO3881">
        <v>-2.77</v>
      </c>
      <c r="AP3881">
        <v>14</v>
      </c>
      <c r="AQ3881">
        <v>0</v>
      </c>
      <c r="AR3881">
        <v>7.23</v>
      </c>
      <c r="AS3881">
        <v>62</v>
      </c>
      <c r="AT3881">
        <v>3.84</v>
      </c>
      <c r="AU3881">
        <v>80</v>
      </c>
      <c r="AV3881">
        <v>0.08</v>
      </c>
      <c r="AW3881">
        <v>77</v>
      </c>
      <c r="AX3881">
        <v>-0.44</v>
      </c>
      <c r="AY3881">
        <v>80</v>
      </c>
      <c r="AZ3881">
        <v>6.41</v>
      </c>
      <c r="BA3881">
        <v>57</v>
      </c>
      <c r="BB3881">
        <v>4.8899999999999997</v>
      </c>
      <c r="BC3881">
        <v>68</v>
      </c>
      <c r="BD3881">
        <v>0.01</v>
      </c>
      <c r="BE3881">
        <v>0.04</v>
      </c>
      <c r="BF3881">
        <v>0.05</v>
      </c>
      <c r="BG3881">
        <v>90</v>
      </c>
      <c r="BH3881">
        <v>-0.05</v>
      </c>
      <c r="BI3881">
        <v>18.73</v>
      </c>
      <c r="BJ3881">
        <v>26</v>
      </c>
      <c r="BK3881">
        <v>18</v>
      </c>
      <c r="BL3881">
        <v>0.22</v>
      </c>
      <c r="BM3881">
        <v>0.92</v>
      </c>
      <c r="BN3881">
        <v>1.77</v>
      </c>
      <c r="BO3881">
        <v>0.74</v>
      </c>
      <c r="BP3881">
        <v>-0.61</v>
      </c>
      <c r="BQ3881">
        <v>0.06</v>
      </c>
      <c r="BR3881">
        <v>-1.96</v>
      </c>
      <c r="BS3881">
        <v>0.39</v>
      </c>
      <c r="BT3881">
        <v>0.03</v>
      </c>
      <c r="BU3881">
        <v>-1.88</v>
      </c>
      <c r="BV3881">
        <v>-0.49</v>
      </c>
      <c r="BW3881">
        <v>-0.25</v>
      </c>
      <c r="BX3881">
        <v>-2.97</v>
      </c>
      <c r="BY3881">
        <v>-0.25</v>
      </c>
      <c r="BZ3881">
        <v>0</v>
      </c>
      <c r="CA3881">
        <v>-0.76</v>
      </c>
      <c r="CB3881">
        <v>-0.98</v>
      </c>
      <c r="CC3881">
        <v>0.54</v>
      </c>
      <c r="CD3881">
        <v>-0.23</v>
      </c>
      <c r="CE3881">
        <v>0.85</v>
      </c>
      <c r="CF3881">
        <v>0.51</v>
      </c>
      <c r="CG3881">
        <v>0</v>
      </c>
      <c r="CH3881">
        <v>0</v>
      </c>
      <c r="CI3881">
        <v>0</v>
      </c>
      <c r="CJ3881">
        <v>-2.4</v>
      </c>
      <c r="CK3881">
        <v>87</v>
      </c>
      <c r="CL3881">
        <v>-0.68</v>
      </c>
      <c r="CM3881">
        <v>85</v>
      </c>
      <c r="CN3881">
        <v>-0.04</v>
      </c>
      <c r="CO3881">
        <v>83</v>
      </c>
      <c r="CP3881">
        <v>-7.2</v>
      </c>
      <c r="CQ3881">
        <v>88</v>
      </c>
      <c r="CR3881">
        <v>0</v>
      </c>
      <c r="CS3881">
        <v>0</v>
      </c>
      <c r="CT3881">
        <v>4.0999999999999996</v>
      </c>
      <c r="CU3881">
        <v>78</v>
      </c>
      <c r="CV3881">
        <v>0.08</v>
      </c>
      <c r="CW3881">
        <v>43</v>
      </c>
      <c r="CX3881" t="s">
        <v>132</v>
      </c>
    </row>
    <row r="3882" spans="1:102" x14ac:dyDescent="0.3">
      <c r="A3882" t="str">
        <f>HYPERLINK("https://webapp.icbf.com/v2/app/bull-search/view/77855575","MCW")</f>
        <v>MCW</v>
      </c>
      <c r="B3882" t="s">
        <v>11086</v>
      </c>
      <c r="C3882" t="s">
        <v>11087</v>
      </c>
      <c r="D3882" s="1">
        <v>32251</v>
      </c>
      <c r="E3882" t="s">
        <v>92</v>
      </c>
      <c r="F3882">
        <v>78</v>
      </c>
      <c r="G3882" t="s">
        <v>93</v>
      </c>
      <c r="H3882">
        <v>-69.38</v>
      </c>
      <c r="I3882">
        <v>63</v>
      </c>
      <c r="J3882">
        <v>-72.87</v>
      </c>
      <c r="K3882">
        <v>84</v>
      </c>
      <c r="L3882">
        <v>20.23</v>
      </c>
      <c r="M3882">
        <v>54</v>
      </c>
      <c r="N3882">
        <v>-18.309999999999999</v>
      </c>
      <c r="O3882">
        <v>44</v>
      </c>
      <c r="P3882">
        <v>-12.32</v>
      </c>
      <c r="Q3882">
        <v>61</v>
      </c>
      <c r="R3882">
        <v>3.46</v>
      </c>
      <c r="S3882">
        <v>56</v>
      </c>
      <c r="T3882">
        <v>12.2</v>
      </c>
      <c r="U3882">
        <v>61</v>
      </c>
      <c r="V3882">
        <v>-1.77</v>
      </c>
      <c r="W3882">
        <v>27</v>
      </c>
      <c r="X3882" t="s">
        <v>110</v>
      </c>
      <c r="Y3882" t="s">
        <v>95</v>
      </c>
      <c r="Z3882" t="s">
        <v>96</v>
      </c>
      <c r="AA3882" t="s">
        <v>2585</v>
      </c>
      <c r="AB3882" t="s">
        <v>11088</v>
      </c>
      <c r="AC3882">
        <v>30</v>
      </c>
      <c r="AD3882">
        <v>8</v>
      </c>
      <c r="AE3882">
        <v>84</v>
      </c>
      <c r="AF3882">
        <v>-457.65</v>
      </c>
      <c r="AG3882">
        <v>-3.19</v>
      </c>
      <c r="AH3882">
        <v>-18.27</v>
      </c>
      <c r="AI3882">
        <v>0.26</v>
      </c>
      <c r="AJ3882">
        <v>-0.05</v>
      </c>
      <c r="AK3882">
        <v>54</v>
      </c>
      <c r="AL3882">
        <v>38</v>
      </c>
      <c r="AM3882">
        <v>6</v>
      </c>
      <c r="AN3882">
        <v>-1.34</v>
      </c>
      <c r="AO3882">
        <v>0.27</v>
      </c>
      <c r="AP3882">
        <v>4</v>
      </c>
      <c r="AQ3882">
        <v>2</v>
      </c>
      <c r="AR3882">
        <v>7.77</v>
      </c>
      <c r="AS3882">
        <v>28</v>
      </c>
      <c r="AT3882">
        <v>3.68</v>
      </c>
      <c r="AU3882">
        <v>47</v>
      </c>
      <c r="AV3882">
        <v>0.97</v>
      </c>
      <c r="AW3882">
        <v>44</v>
      </c>
      <c r="AX3882">
        <v>-0.41</v>
      </c>
      <c r="AY3882">
        <v>55</v>
      </c>
      <c r="AZ3882">
        <v>8.0399999999999991</v>
      </c>
      <c r="BA3882">
        <v>30</v>
      </c>
      <c r="BB3882">
        <v>5.68</v>
      </c>
      <c r="BC3882">
        <v>44</v>
      </c>
      <c r="BD3882">
        <v>0.02</v>
      </c>
      <c r="BE3882">
        <v>0.03</v>
      </c>
      <c r="BF3882">
        <v>-0.17</v>
      </c>
      <c r="BG3882">
        <v>72</v>
      </c>
      <c r="BH3882">
        <v>0.03</v>
      </c>
      <c r="BI3882">
        <v>9.18</v>
      </c>
      <c r="BJ3882">
        <v>0</v>
      </c>
      <c r="BK3882">
        <v>0</v>
      </c>
      <c r="BL3882">
        <v>-0.43</v>
      </c>
      <c r="BM3882">
        <v>0.55000000000000004</v>
      </c>
      <c r="BN3882">
        <v>0</v>
      </c>
      <c r="BO3882">
        <v>-0.59</v>
      </c>
      <c r="BP3882">
        <v>-1.23</v>
      </c>
      <c r="BQ3882">
        <v>-0.33</v>
      </c>
      <c r="BR3882">
        <v>-0.26</v>
      </c>
      <c r="BS3882">
        <v>0.89</v>
      </c>
      <c r="BT3882">
        <v>0.54</v>
      </c>
      <c r="BU3882">
        <v>0.33</v>
      </c>
      <c r="BV3882">
        <v>-0.48</v>
      </c>
      <c r="BW3882">
        <v>-0.52</v>
      </c>
      <c r="BX3882">
        <v>0.15</v>
      </c>
      <c r="BY3882">
        <v>0.43</v>
      </c>
      <c r="BZ3882">
        <v>0.15</v>
      </c>
      <c r="CA3882">
        <v>0.12</v>
      </c>
      <c r="CB3882">
        <v>-0.11</v>
      </c>
      <c r="CC3882">
        <v>0.5</v>
      </c>
      <c r="CD3882">
        <v>0.64</v>
      </c>
      <c r="CE3882">
        <v>-0.66</v>
      </c>
      <c r="CF3882">
        <v>-0.12</v>
      </c>
      <c r="CG3882">
        <v>0</v>
      </c>
      <c r="CH3882">
        <v>-0.31</v>
      </c>
      <c r="CI3882">
        <v>0</v>
      </c>
      <c r="CJ3882">
        <v>-6.2</v>
      </c>
      <c r="CK3882">
        <v>62</v>
      </c>
      <c r="CL3882">
        <v>-0.53</v>
      </c>
      <c r="CM3882">
        <v>58</v>
      </c>
      <c r="CN3882">
        <v>-0.21</v>
      </c>
      <c r="CO3882">
        <v>53</v>
      </c>
      <c r="CP3882">
        <v>-5</v>
      </c>
      <c r="CQ3882">
        <v>71</v>
      </c>
      <c r="CR3882">
        <v>0</v>
      </c>
      <c r="CS3882">
        <v>0</v>
      </c>
      <c r="CT3882">
        <v>-2.7</v>
      </c>
      <c r="CU3882">
        <v>61</v>
      </c>
      <c r="CV3882">
        <v>0.04</v>
      </c>
      <c r="CW3882">
        <v>16</v>
      </c>
      <c r="CX3882" t="s">
        <v>1485</v>
      </c>
    </row>
    <row r="3883" spans="1:102" x14ac:dyDescent="0.3">
      <c r="A3883" t="str">
        <f>HYPERLINK("https://webapp.icbf.com/v2/app/bull-search/view/108897147","CVU")</f>
        <v>CVU</v>
      </c>
      <c r="B3883" t="s">
        <v>14342</v>
      </c>
      <c r="C3883" t="s">
        <v>14343</v>
      </c>
      <c r="D3883" s="1">
        <v>34887</v>
      </c>
      <c r="E3883" t="s">
        <v>92</v>
      </c>
      <c r="F3883">
        <v>100</v>
      </c>
      <c r="G3883" t="s">
        <v>109</v>
      </c>
      <c r="H3883">
        <v>-69.44</v>
      </c>
      <c r="I3883">
        <v>67</v>
      </c>
      <c r="J3883">
        <v>-2.09</v>
      </c>
      <c r="K3883">
        <v>74</v>
      </c>
      <c r="L3883">
        <v>-60.85</v>
      </c>
      <c r="M3883">
        <v>66</v>
      </c>
      <c r="N3883">
        <v>2.6</v>
      </c>
      <c r="O3883">
        <v>54</v>
      </c>
      <c r="P3883">
        <v>-9.42</v>
      </c>
      <c r="Q3883">
        <v>68</v>
      </c>
      <c r="R3883">
        <v>-3.02</v>
      </c>
      <c r="S3883">
        <v>61</v>
      </c>
      <c r="T3883">
        <v>4.3499999999999996</v>
      </c>
      <c r="U3883">
        <v>69</v>
      </c>
      <c r="V3883">
        <v>-1.01</v>
      </c>
      <c r="W3883">
        <v>40</v>
      </c>
      <c r="X3883" t="s">
        <v>234</v>
      </c>
      <c r="Y3883" t="s">
        <v>95</v>
      </c>
      <c r="Z3883" t="s">
        <v>96</v>
      </c>
      <c r="AA3883" t="s">
        <v>190</v>
      </c>
      <c r="AB3883" t="s">
        <v>616</v>
      </c>
      <c r="AC3883">
        <v>0</v>
      </c>
      <c r="AD3883">
        <v>0</v>
      </c>
      <c r="AE3883">
        <v>74</v>
      </c>
      <c r="AF3883">
        <v>57.85</v>
      </c>
      <c r="AG3883">
        <v>0.99</v>
      </c>
      <c r="AH3883">
        <v>0.18</v>
      </c>
      <c r="AI3883">
        <v>-0.02</v>
      </c>
      <c r="AJ3883">
        <v>-0.03</v>
      </c>
      <c r="AK3883">
        <v>66</v>
      </c>
      <c r="AL3883">
        <v>0</v>
      </c>
      <c r="AM3883">
        <v>0</v>
      </c>
      <c r="AN3883">
        <v>4.3</v>
      </c>
      <c r="AO3883">
        <v>-0.54</v>
      </c>
      <c r="AP3883">
        <v>14</v>
      </c>
      <c r="AQ3883">
        <v>2</v>
      </c>
      <c r="AR3883">
        <v>8.51</v>
      </c>
      <c r="AS3883">
        <v>38</v>
      </c>
      <c r="AT3883">
        <v>4.29</v>
      </c>
      <c r="AU3883">
        <v>76</v>
      </c>
      <c r="AV3883">
        <v>-1.81</v>
      </c>
      <c r="AW3883">
        <v>51</v>
      </c>
      <c r="AX3883">
        <v>-0.21</v>
      </c>
      <c r="AY3883">
        <v>51</v>
      </c>
      <c r="AZ3883">
        <v>6.03</v>
      </c>
      <c r="BA3883">
        <v>36</v>
      </c>
      <c r="BB3883">
        <v>4.78</v>
      </c>
      <c r="BC3883">
        <v>36</v>
      </c>
      <c r="BD3883">
        <v>-0.01</v>
      </c>
      <c r="BE3883">
        <v>0.04</v>
      </c>
      <c r="BF3883">
        <v>0.01</v>
      </c>
      <c r="BG3883">
        <v>80</v>
      </c>
      <c r="BH3883">
        <v>0.1</v>
      </c>
      <c r="BI3883">
        <v>14.84</v>
      </c>
      <c r="BJ3883">
        <v>0</v>
      </c>
      <c r="BK3883">
        <v>0</v>
      </c>
      <c r="BL3883">
        <v>-0.24</v>
      </c>
      <c r="BM3883">
        <v>-1.62</v>
      </c>
      <c r="BN3883">
        <v>-0.08</v>
      </c>
      <c r="BO3883">
        <v>0.86</v>
      </c>
      <c r="BP3883">
        <v>0.73</v>
      </c>
      <c r="BQ3883">
        <v>-1.51</v>
      </c>
      <c r="BR3883">
        <v>-1.02</v>
      </c>
      <c r="BS3883">
        <v>0.64</v>
      </c>
      <c r="BT3883">
        <v>0.31</v>
      </c>
      <c r="BU3883">
        <v>0.21</v>
      </c>
      <c r="BV3883">
        <v>1.62</v>
      </c>
      <c r="BW3883">
        <v>0.56999999999999995</v>
      </c>
      <c r="BX3883">
        <v>-0.1</v>
      </c>
      <c r="BY3883">
        <v>0.57999999999999996</v>
      </c>
      <c r="BZ3883">
        <v>0.08</v>
      </c>
      <c r="CA3883">
        <v>0.26</v>
      </c>
      <c r="CB3883">
        <v>0.35</v>
      </c>
      <c r="CC3883">
        <v>0.02</v>
      </c>
      <c r="CD3883">
        <v>0</v>
      </c>
      <c r="CE3883">
        <v>0</v>
      </c>
      <c r="CF3883">
        <v>0</v>
      </c>
      <c r="CG3883">
        <v>0</v>
      </c>
      <c r="CH3883">
        <v>0</v>
      </c>
      <c r="CI3883">
        <v>0</v>
      </c>
      <c r="CJ3883">
        <v>-5.0999999999999996</v>
      </c>
      <c r="CK3883">
        <v>70</v>
      </c>
      <c r="CL3883">
        <v>-0.75</v>
      </c>
      <c r="CM3883">
        <v>66</v>
      </c>
      <c r="CN3883">
        <v>-0.5</v>
      </c>
      <c r="CO3883">
        <v>62</v>
      </c>
      <c r="CP3883">
        <v>-3.3</v>
      </c>
      <c r="CQ3883">
        <v>68</v>
      </c>
      <c r="CR3883">
        <v>0</v>
      </c>
      <c r="CS3883">
        <v>0</v>
      </c>
      <c r="CT3883">
        <v>7.9</v>
      </c>
      <c r="CU3883">
        <v>69</v>
      </c>
      <c r="CV3883">
        <v>0.1</v>
      </c>
      <c r="CW3883">
        <v>19</v>
      </c>
      <c r="CX3883" t="s">
        <v>617</v>
      </c>
    </row>
    <row r="3884" spans="1:102" x14ac:dyDescent="0.3">
      <c r="A3884" t="str">
        <f>HYPERLINK("https://webapp.icbf.com/v2/app/bull-search/view/423418629","IJL")</f>
        <v>IJL</v>
      </c>
      <c r="B3884" t="s">
        <v>12005</v>
      </c>
      <c r="C3884" t="s">
        <v>12006</v>
      </c>
      <c r="D3884" s="1">
        <v>38313</v>
      </c>
      <c r="E3884" t="s">
        <v>92</v>
      </c>
      <c r="F3884">
        <v>100</v>
      </c>
      <c r="G3884" t="s">
        <v>93</v>
      </c>
      <c r="H3884">
        <v>-69.61</v>
      </c>
      <c r="I3884">
        <v>74</v>
      </c>
      <c r="J3884">
        <v>15.4</v>
      </c>
      <c r="K3884">
        <v>91</v>
      </c>
      <c r="L3884">
        <v>-78.5</v>
      </c>
      <c r="M3884">
        <v>57</v>
      </c>
      <c r="N3884">
        <v>-6.56</v>
      </c>
      <c r="O3884">
        <v>71</v>
      </c>
      <c r="P3884">
        <v>-15.52</v>
      </c>
      <c r="Q3884">
        <v>85</v>
      </c>
      <c r="R3884">
        <v>-1.07</v>
      </c>
      <c r="S3884">
        <v>63</v>
      </c>
      <c r="T3884">
        <v>20.12</v>
      </c>
      <c r="U3884">
        <v>84</v>
      </c>
      <c r="V3884">
        <v>-3.48</v>
      </c>
      <c r="W3884">
        <v>56</v>
      </c>
      <c r="X3884" t="s">
        <v>94</v>
      </c>
      <c r="Y3884" t="s">
        <v>282</v>
      </c>
      <c r="Z3884" t="s">
        <v>96</v>
      </c>
      <c r="AA3884" t="s">
        <v>283</v>
      </c>
      <c r="AB3884" t="s">
        <v>12007</v>
      </c>
      <c r="AC3884">
        <v>42</v>
      </c>
      <c r="AD3884">
        <v>33</v>
      </c>
      <c r="AE3884">
        <v>91</v>
      </c>
      <c r="AF3884">
        <v>511.29</v>
      </c>
      <c r="AG3884">
        <v>0.57999999999999996</v>
      </c>
      <c r="AH3884">
        <v>10.24</v>
      </c>
      <c r="AI3884">
        <v>-0.3</v>
      </c>
      <c r="AJ3884">
        <v>-0.11</v>
      </c>
      <c r="AK3884">
        <v>57</v>
      </c>
      <c r="AL3884">
        <v>43</v>
      </c>
      <c r="AM3884">
        <v>35</v>
      </c>
      <c r="AN3884">
        <v>4.2699999999999996</v>
      </c>
      <c r="AO3884">
        <v>-1.99</v>
      </c>
      <c r="AP3884">
        <v>80</v>
      </c>
      <c r="AQ3884">
        <v>0</v>
      </c>
      <c r="AR3884">
        <v>9.92</v>
      </c>
      <c r="AS3884">
        <v>49</v>
      </c>
      <c r="AT3884">
        <v>4.09</v>
      </c>
      <c r="AU3884">
        <v>71</v>
      </c>
      <c r="AV3884">
        <v>-0.57999999999999996</v>
      </c>
      <c r="AW3884">
        <v>86</v>
      </c>
      <c r="AX3884">
        <v>-0.8</v>
      </c>
      <c r="AY3884">
        <v>68</v>
      </c>
      <c r="AZ3884">
        <v>5.6</v>
      </c>
      <c r="BA3884">
        <v>48</v>
      </c>
      <c r="BB3884">
        <v>4.5999999999999996</v>
      </c>
      <c r="BC3884">
        <v>47</v>
      </c>
      <c r="BD3884">
        <v>0.01</v>
      </c>
      <c r="BE3884">
        <v>0.02</v>
      </c>
      <c r="BF3884">
        <v>-0.03</v>
      </c>
      <c r="BG3884">
        <v>72</v>
      </c>
      <c r="BH3884">
        <v>-0.11</v>
      </c>
      <c r="BI3884">
        <v>-1.5</v>
      </c>
      <c r="BJ3884">
        <v>7</v>
      </c>
      <c r="BK3884">
        <v>4</v>
      </c>
      <c r="BL3884">
        <v>0.08</v>
      </c>
      <c r="BM3884">
        <v>0.17</v>
      </c>
      <c r="BN3884">
        <v>0.14000000000000001</v>
      </c>
      <c r="BO3884">
        <v>0.19</v>
      </c>
      <c r="BP3884">
        <v>0.31</v>
      </c>
      <c r="BQ3884">
        <v>0.08</v>
      </c>
      <c r="BR3884">
        <v>1.22</v>
      </c>
      <c r="BS3884">
        <v>-3.12</v>
      </c>
      <c r="BT3884">
        <v>-1.26</v>
      </c>
      <c r="BU3884">
        <v>0.06</v>
      </c>
      <c r="BV3884">
        <v>1.17</v>
      </c>
      <c r="BW3884">
        <v>0.93</v>
      </c>
      <c r="BX3884">
        <v>-0.95</v>
      </c>
      <c r="BY3884">
        <v>1.79</v>
      </c>
      <c r="BZ3884">
        <v>0.85</v>
      </c>
      <c r="CA3884">
        <v>-0.52</v>
      </c>
      <c r="CB3884">
        <v>0.69</v>
      </c>
      <c r="CC3884">
        <v>-2.69</v>
      </c>
      <c r="CD3884">
        <v>-0.1</v>
      </c>
      <c r="CE3884">
        <v>0.04</v>
      </c>
      <c r="CF3884">
        <v>-7.0000000000000007E-2</v>
      </c>
      <c r="CG3884">
        <v>0</v>
      </c>
      <c r="CH3884">
        <v>1.17</v>
      </c>
      <c r="CI3884">
        <v>0</v>
      </c>
      <c r="CJ3884">
        <v>-4.2</v>
      </c>
      <c r="CK3884">
        <v>86</v>
      </c>
      <c r="CL3884">
        <v>-0.95</v>
      </c>
      <c r="CM3884">
        <v>83</v>
      </c>
      <c r="CN3884">
        <v>-0.13</v>
      </c>
      <c r="CO3884">
        <v>81</v>
      </c>
      <c r="CP3884">
        <v>-9.6</v>
      </c>
      <c r="CQ3884">
        <v>84</v>
      </c>
      <c r="CR3884">
        <v>0</v>
      </c>
      <c r="CS3884">
        <v>0</v>
      </c>
      <c r="CT3884">
        <v>-13.4</v>
      </c>
      <c r="CU3884">
        <v>84</v>
      </c>
      <c r="CV3884">
        <v>0.23</v>
      </c>
      <c r="CW3884">
        <v>24</v>
      </c>
      <c r="CX3884" t="s">
        <v>174</v>
      </c>
    </row>
    <row r="3885" spans="1:102" x14ac:dyDescent="0.3">
      <c r="A3885" t="str">
        <f>HYPERLINK("https://webapp.icbf.com/v2/app/bull-search/view/456311521","HTW")</f>
        <v>HTW</v>
      </c>
      <c r="B3885" t="s">
        <v>144</v>
      </c>
      <c r="C3885" t="s">
        <v>1283</v>
      </c>
      <c r="D3885" s="1">
        <v>35197</v>
      </c>
      <c r="E3885" t="s">
        <v>895</v>
      </c>
      <c r="F3885">
        <v>0</v>
      </c>
      <c r="G3885" t="s">
        <v>116</v>
      </c>
      <c r="H3885">
        <v>-69.650000000000006</v>
      </c>
      <c r="I3885">
        <v>32</v>
      </c>
      <c r="J3885">
        <v>-42.67</v>
      </c>
      <c r="K3885">
        <v>49</v>
      </c>
      <c r="L3885">
        <v>-24.34</v>
      </c>
      <c r="M3885">
        <v>18</v>
      </c>
      <c r="N3885">
        <v>-19.760000000000002</v>
      </c>
      <c r="O3885">
        <v>22</v>
      </c>
      <c r="P3885">
        <v>-15.99</v>
      </c>
      <c r="Q3885">
        <v>45</v>
      </c>
      <c r="R3885">
        <v>6.83</v>
      </c>
      <c r="S3885">
        <v>20</v>
      </c>
      <c r="T3885">
        <v>28.18</v>
      </c>
      <c r="U3885">
        <v>44</v>
      </c>
      <c r="V3885">
        <v>-1.9</v>
      </c>
      <c r="W3885">
        <v>4</v>
      </c>
      <c r="X3885" t="s">
        <v>251</v>
      </c>
      <c r="Y3885" t="s">
        <v>95</v>
      </c>
      <c r="Z3885">
        <v>0</v>
      </c>
      <c r="AA3885" t="s">
        <v>1284</v>
      </c>
      <c r="AB3885" t="s">
        <v>1285</v>
      </c>
      <c r="AC3885">
        <v>6</v>
      </c>
      <c r="AD3885">
        <v>4</v>
      </c>
      <c r="AE3885">
        <v>49</v>
      </c>
      <c r="AF3885">
        <v>-294.08999999999997</v>
      </c>
      <c r="AG3885">
        <v>-8.2200000000000006</v>
      </c>
      <c r="AH3885">
        <v>-8.85</v>
      </c>
      <c r="AI3885">
        <v>0.06</v>
      </c>
      <c r="AJ3885">
        <v>0.02</v>
      </c>
      <c r="AK3885">
        <v>18</v>
      </c>
      <c r="AL3885">
        <v>3</v>
      </c>
      <c r="AM3885">
        <v>2</v>
      </c>
      <c r="AN3885">
        <v>1.39</v>
      </c>
      <c r="AO3885">
        <v>-0.55000000000000004</v>
      </c>
      <c r="AP3885">
        <v>18</v>
      </c>
      <c r="AQ3885">
        <v>0</v>
      </c>
      <c r="AR3885">
        <v>8.6300000000000008</v>
      </c>
      <c r="AS3885">
        <v>21</v>
      </c>
      <c r="AT3885">
        <v>4.1100000000000003</v>
      </c>
      <c r="AU3885">
        <v>31</v>
      </c>
      <c r="AV3885">
        <v>1.82</v>
      </c>
      <c r="AW3885">
        <v>22</v>
      </c>
      <c r="AX3885">
        <v>-0.92</v>
      </c>
      <c r="AY3885">
        <v>29</v>
      </c>
      <c r="AZ3885">
        <v>5.24</v>
      </c>
      <c r="BA3885">
        <v>8</v>
      </c>
      <c r="BB3885">
        <v>4.34</v>
      </c>
      <c r="BC3885">
        <v>7</v>
      </c>
      <c r="BD3885">
        <v>0</v>
      </c>
      <c r="BE3885">
        <v>-0.03</v>
      </c>
      <c r="BF3885">
        <v>-0.1</v>
      </c>
      <c r="BG3885">
        <v>25</v>
      </c>
      <c r="BH3885">
        <v>-0.02</v>
      </c>
      <c r="BI3885">
        <v>3.82</v>
      </c>
      <c r="BJ3885">
        <v>0</v>
      </c>
      <c r="BK3885">
        <v>0</v>
      </c>
      <c r="BL3885">
        <v>0</v>
      </c>
      <c r="BM3885">
        <v>0</v>
      </c>
      <c r="BN3885">
        <v>0</v>
      </c>
      <c r="BO3885">
        <v>0</v>
      </c>
      <c r="BP3885">
        <v>0</v>
      </c>
      <c r="BQ3885">
        <v>0</v>
      </c>
      <c r="BR3885">
        <v>0</v>
      </c>
      <c r="BS3885">
        <v>0</v>
      </c>
      <c r="BT3885">
        <v>0</v>
      </c>
      <c r="BU3885">
        <v>0</v>
      </c>
      <c r="BV3885">
        <v>0</v>
      </c>
      <c r="BW3885">
        <v>0</v>
      </c>
      <c r="BX3885">
        <v>0</v>
      </c>
      <c r="BY3885">
        <v>0</v>
      </c>
      <c r="BZ3885">
        <v>0</v>
      </c>
      <c r="CA3885">
        <v>0</v>
      </c>
      <c r="CB3885">
        <v>0</v>
      </c>
      <c r="CC3885">
        <v>0</v>
      </c>
      <c r="CD3885">
        <v>0</v>
      </c>
      <c r="CE3885">
        <v>0</v>
      </c>
      <c r="CF3885">
        <v>0</v>
      </c>
      <c r="CG3885">
        <v>0</v>
      </c>
      <c r="CH3885">
        <v>0</v>
      </c>
      <c r="CI3885">
        <v>0</v>
      </c>
      <c r="CJ3885">
        <v>-12.1</v>
      </c>
      <c r="CK3885">
        <v>48</v>
      </c>
      <c r="CL3885">
        <v>-0.22</v>
      </c>
      <c r="CM3885">
        <v>43</v>
      </c>
      <c r="CN3885">
        <v>-0.43</v>
      </c>
      <c r="CO3885">
        <v>39</v>
      </c>
      <c r="CP3885">
        <v>-13.7</v>
      </c>
      <c r="CQ3885">
        <v>44</v>
      </c>
      <c r="CR3885">
        <v>0</v>
      </c>
      <c r="CS3885">
        <v>0</v>
      </c>
      <c r="CT3885">
        <v>-24.3</v>
      </c>
      <c r="CU3885">
        <v>44</v>
      </c>
      <c r="CV3885">
        <v>-0.32</v>
      </c>
      <c r="CW3885">
        <v>12</v>
      </c>
      <c r="CX3885" t="s">
        <v>1286</v>
      </c>
    </row>
    <row r="3886" spans="1:102" x14ac:dyDescent="0.3">
      <c r="A3886" t="str">
        <f>HYPERLINK("https://webapp.icbf.com/v2/app/bull-search/view/707539945","AFT")</f>
        <v>AFT</v>
      </c>
      <c r="B3886" t="s">
        <v>5327</v>
      </c>
      <c r="C3886" t="s">
        <v>5328</v>
      </c>
      <c r="D3886" s="1">
        <v>39417</v>
      </c>
      <c r="E3886" t="s">
        <v>92</v>
      </c>
      <c r="F3886">
        <v>100</v>
      </c>
      <c r="G3886" t="s">
        <v>93</v>
      </c>
      <c r="H3886">
        <v>-69.7</v>
      </c>
      <c r="I3886">
        <v>96</v>
      </c>
      <c r="J3886">
        <v>-4.58</v>
      </c>
      <c r="K3886">
        <v>99</v>
      </c>
      <c r="L3886">
        <v>-73.180000000000007</v>
      </c>
      <c r="M3886">
        <v>95</v>
      </c>
      <c r="N3886">
        <v>7.43</v>
      </c>
      <c r="O3886">
        <v>97</v>
      </c>
      <c r="P3886">
        <v>-12.56</v>
      </c>
      <c r="Q3886">
        <v>98</v>
      </c>
      <c r="R3886">
        <v>11.24</v>
      </c>
      <c r="S3886">
        <v>89</v>
      </c>
      <c r="T3886">
        <v>-0.31</v>
      </c>
      <c r="U3886">
        <v>94</v>
      </c>
      <c r="V3886">
        <v>2.2599999999999998</v>
      </c>
      <c r="W3886">
        <v>81</v>
      </c>
      <c r="X3886" t="s">
        <v>251</v>
      </c>
      <c r="Y3886" t="s">
        <v>1524</v>
      </c>
      <c r="Z3886" t="s">
        <v>96</v>
      </c>
      <c r="AA3886" t="s">
        <v>350</v>
      </c>
      <c r="AB3886" t="s">
        <v>5131</v>
      </c>
      <c r="AC3886">
        <v>877</v>
      </c>
      <c r="AD3886">
        <v>211</v>
      </c>
      <c r="AE3886">
        <v>99</v>
      </c>
      <c r="AF3886">
        <v>433.2</v>
      </c>
      <c r="AG3886">
        <v>4.0199999999999996</v>
      </c>
      <c r="AH3886">
        <v>4.43</v>
      </c>
      <c r="AI3886">
        <v>-0.21</v>
      </c>
      <c r="AJ3886">
        <v>-0.17</v>
      </c>
      <c r="AK3886">
        <v>95</v>
      </c>
      <c r="AL3886">
        <v>777</v>
      </c>
      <c r="AM3886">
        <v>211</v>
      </c>
      <c r="AN3886">
        <v>6.03</v>
      </c>
      <c r="AO3886">
        <v>0.22</v>
      </c>
      <c r="AP3886">
        <v>1393</v>
      </c>
      <c r="AQ3886">
        <v>0</v>
      </c>
      <c r="AR3886">
        <v>8.11</v>
      </c>
      <c r="AS3886">
        <v>96</v>
      </c>
      <c r="AT3886">
        <v>3.75</v>
      </c>
      <c r="AU3886">
        <v>98</v>
      </c>
      <c r="AV3886">
        <v>-2.65</v>
      </c>
      <c r="AW3886">
        <v>99</v>
      </c>
      <c r="AX3886">
        <v>1</v>
      </c>
      <c r="AY3886">
        <v>97</v>
      </c>
      <c r="AZ3886">
        <v>7.24</v>
      </c>
      <c r="BA3886">
        <v>91</v>
      </c>
      <c r="BB3886">
        <v>5.5</v>
      </c>
      <c r="BC3886">
        <v>88</v>
      </c>
      <c r="BD3886">
        <v>-0.05</v>
      </c>
      <c r="BE3886">
        <v>-0.05</v>
      </c>
      <c r="BF3886">
        <v>-0.08</v>
      </c>
      <c r="BG3886">
        <v>98</v>
      </c>
      <c r="BH3886">
        <v>-0.03</v>
      </c>
      <c r="BI3886">
        <v>-10.75</v>
      </c>
      <c r="BJ3886">
        <v>467</v>
      </c>
      <c r="BK3886">
        <v>158</v>
      </c>
      <c r="BL3886">
        <v>1.82</v>
      </c>
      <c r="BM3886">
        <v>0.08</v>
      </c>
      <c r="BN3886">
        <v>1.64</v>
      </c>
      <c r="BO3886">
        <v>1.5</v>
      </c>
      <c r="BP3886">
        <v>-0.98</v>
      </c>
      <c r="BQ3886">
        <v>3.84</v>
      </c>
      <c r="BR3886">
        <v>-0.82</v>
      </c>
      <c r="BS3886">
        <v>1.86</v>
      </c>
      <c r="BT3886">
        <v>2.14</v>
      </c>
      <c r="BU3886">
        <v>3.15</v>
      </c>
      <c r="BV3886">
        <v>3.23</v>
      </c>
      <c r="BW3886">
        <v>2.76</v>
      </c>
      <c r="BX3886">
        <v>2</v>
      </c>
      <c r="BY3886">
        <v>0.96</v>
      </c>
      <c r="BZ3886">
        <v>0.64</v>
      </c>
      <c r="CA3886">
        <v>2.4</v>
      </c>
      <c r="CB3886">
        <v>2.41</v>
      </c>
      <c r="CC3886">
        <v>1.57</v>
      </c>
      <c r="CD3886">
        <v>-0.48</v>
      </c>
      <c r="CE3886">
        <v>1.38</v>
      </c>
      <c r="CF3886">
        <v>2.34</v>
      </c>
      <c r="CG3886">
        <v>0</v>
      </c>
      <c r="CH3886">
        <v>0.93</v>
      </c>
      <c r="CI3886">
        <v>0</v>
      </c>
      <c r="CJ3886">
        <v>-4</v>
      </c>
      <c r="CK3886">
        <v>99</v>
      </c>
      <c r="CL3886">
        <v>-1.33</v>
      </c>
      <c r="CM3886">
        <v>98</v>
      </c>
      <c r="CN3886">
        <v>-0.53</v>
      </c>
      <c r="CO3886">
        <v>98</v>
      </c>
      <c r="CP3886">
        <v>3.2</v>
      </c>
      <c r="CQ3886">
        <v>97</v>
      </c>
      <c r="CR3886">
        <v>0</v>
      </c>
      <c r="CS3886">
        <v>0</v>
      </c>
      <c r="CT3886">
        <v>14.2</v>
      </c>
      <c r="CU3886">
        <v>94</v>
      </c>
      <c r="CV3886">
        <v>0.2</v>
      </c>
      <c r="CW3886">
        <v>46</v>
      </c>
      <c r="CX3886" t="s">
        <v>311</v>
      </c>
    </row>
    <row r="3887" spans="1:102" x14ac:dyDescent="0.3">
      <c r="A3887" t="str">
        <f>HYPERLINK("https://webapp.icbf.com/v2/app/bull-search/view/69091363","CNI")</f>
        <v>CNI</v>
      </c>
      <c r="B3887" t="s">
        <v>6580</v>
      </c>
      <c r="C3887" t="s">
        <v>6581</v>
      </c>
      <c r="D3887" s="1">
        <v>31791</v>
      </c>
      <c r="E3887" t="s">
        <v>140</v>
      </c>
      <c r="F3887">
        <v>0</v>
      </c>
      <c r="G3887" t="s">
        <v>93</v>
      </c>
      <c r="H3887">
        <v>-69.77</v>
      </c>
      <c r="I3887">
        <v>90</v>
      </c>
      <c r="J3887">
        <v>-48.39</v>
      </c>
      <c r="K3887">
        <v>98</v>
      </c>
      <c r="L3887">
        <v>3.26</v>
      </c>
      <c r="M3887">
        <v>82</v>
      </c>
      <c r="N3887">
        <v>-12.17</v>
      </c>
      <c r="O3887">
        <v>88</v>
      </c>
      <c r="P3887">
        <v>10.59</v>
      </c>
      <c r="Q3887">
        <v>96</v>
      </c>
      <c r="R3887">
        <v>-10.41</v>
      </c>
      <c r="S3887">
        <v>83</v>
      </c>
      <c r="T3887">
        <v>5.91</v>
      </c>
      <c r="U3887">
        <v>94</v>
      </c>
      <c r="V3887">
        <v>-18.559999999999999</v>
      </c>
      <c r="W3887">
        <v>78</v>
      </c>
      <c r="X3887" t="s">
        <v>94</v>
      </c>
      <c r="Y3887" t="s">
        <v>95</v>
      </c>
      <c r="Z3887">
        <v>0</v>
      </c>
      <c r="AA3887" t="s">
        <v>6582</v>
      </c>
      <c r="AB3887" t="s">
        <v>6583</v>
      </c>
      <c r="AC3887">
        <v>195</v>
      </c>
      <c r="AD3887">
        <v>85</v>
      </c>
      <c r="AE3887">
        <v>98</v>
      </c>
      <c r="AF3887">
        <v>-241.41</v>
      </c>
      <c r="AG3887">
        <v>-11.04</v>
      </c>
      <c r="AH3887">
        <v>-8.02</v>
      </c>
      <c r="AI3887">
        <v>-0.03</v>
      </c>
      <c r="AJ3887">
        <v>0</v>
      </c>
      <c r="AK3887">
        <v>82</v>
      </c>
      <c r="AL3887">
        <v>197</v>
      </c>
      <c r="AM3887">
        <v>97</v>
      </c>
      <c r="AN3887">
        <v>1.39</v>
      </c>
      <c r="AO3887">
        <v>1.67</v>
      </c>
      <c r="AP3887">
        <v>108</v>
      </c>
      <c r="AQ3887">
        <v>2</v>
      </c>
      <c r="AR3887">
        <v>6.15</v>
      </c>
      <c r="AS3887">
        <v>75</v>
      </c>
      <c r="AT3887">
        <v>3.48</v>
      </c>
      <c r="AU3887">
        <v>87</v>
      </c>
      <c r="AV3887">
        <v>1.65</v>
      </c>
      <c r="AW3887">
        <v>95</v>
      </c>
      <c r="AX3887">
        <v>-0.44</v>
      </c>
      <c r="AY3887">
        <v>90</v>
      </c>
      <c r="AZ3887">
        <v>6.34</v>
      </c>
      <c r="BA3887">
        <v>68</v>
      </c>
      <c r="BB3887">
        <v>5.22</v>
      </c>
      <c r="BC3887">
        <v>79</v>
      </c>
      <c r="BD3887">
        <v>0.05</v>
      </c>
      <c r="BE3887">
        <v>0.04</v>
      </c>
      <c r="BF3887">
        <v>0.08</v>
      </c>
      <c r="BG3887">
        <v>94</v>
      </c>
      <c r="BH3887">
        <v>-0.28999999999999998</v>
      </c>
      <c r="BI3887">
        <v>26.32</v>
      </c>
      <c r="BJ3887">
        <v>0</v>
      </c>
      <c r="BK3887">
        <v>0</v>
      </c>
      <c r="BL3887">
        <v>-1.1499999999999999</v>
      </c>
      <c r="BM3887">
        <v>2.48</v>
      </c>
      <c r="BN3887">
        <v>-1.8</v>
      </c>
      <c r="BO3887">
        <v>-2.62</v>
      </c>
      <c r="BP3887">
        <v>3.52</v>
      </c>
      <c r="BQ3887">
        <v>-2.0699999999999998</v>
      </c>
      <c r="BR3887">
        <v>-2.0299999999999998</v>
      </c>
      <c r="BS3887">
        <v>-0.17</v>
      </c>
      <c r="BT3887">
        <v>2.0299999999999998</v>
      </c>
      <c r="BU3887">
        <v>-3.3</v>
      </c>
      <c r="BV3887">
        <v>-3.54</v>
      </c>
      <c r="BW3887">
        <v>-3</v>
      </c>
      <c r="BX3887">
        <v>-3.24</v>
      </c>
      <c r="BY3887">
        <v>-1.68</v>
      </c>
      <c r="BZ3887">
        <v>1.42</v>
      </c>
      <c r="CA3887">
        <v>-2.09</v>
      </c>
      <c r="CB3887">
        <v>-2.64</v>
      </c>
      <c r="CC3887">
        <v>-0.42</v>
      </c>
      <c r="CD3887">
        <v>3.38</v>
      </c>
      <c r="CE3887">
        <v>-2.2799999999999998</v>
      </c>
      <c r="CF3887">
        <v>-1.39</v>
      </c>
      <c r="CG3887">
        <v>0</v>
      </c>
      <c r="CH3887">
        <v>-2.82</v>
      </c>
      <c r="CI3887">
        <v>0</v>
      </c>
      <c r="CJ3887">
        <v>3.8</v>
      </c>
      <c r="CK3887">
        <v>96</v>
      </c>
      <c r="CL3887">
        <v>0.11</v>
      </c>
      <c r="CM3887">
        <v>95</v>
      </c>
      <c r="CN3887">
        <v>-0.32</v>
      </c>
      <c r="CO3887">
        <v>95</v>
      </c>
      <c r="CP3887">
        <v>3.1</v>
      </c>
      <c r="CQ3887">
        <v>95</v>
      </c>
      <c r="CR3887">
        <v>0</v>
      </c>
      <c r="CS3887">
        <v>0</v>
      </c>
      <c r="CT3887">
        <v>5.8</v>
      </c>
      <c r="CU3887">
        <v>94</v>
      </c>
      <c r="CV3887">
        <v>0.14000000000000001</v>
      </c>
      <c r="CW3887">
        <v>45</v>
      </c>
      <c r="CX3887" t="s">
        <v>363</v>
      </c>
    </row>
    <row r="3888" spans="1:102" x14ac:dyDescent="0.3">
      <c r="A3888" t="str">
        <f>HYPERLINK("https://webapp.icbf.com/v2/app/bull-search/view/77856604","HTE")</f>
        <v>HTE</v>
      </c>
      <c r="B3888" t="s">
        <v>14284</v>
      </c>
      <c r="C3888" t="s">
        <v>14285</v>
      </c>
      <c r="D3888" s="1">
        <v>35595</v>
      </c>
      <c r="E3888" t="s">
        <v>92</v>
      </c>
      <c r="F3888">
        <v>100</v>
      </c>
      <c r="G3888" t="s">
        <v>93</v>
      </c>
      <c r="H3888">
        <v>-69.95</v>
      </c>
      <c r="I3888">
        <v>97</v>
      </c>
      <c r="J3888">
        <v>-23.21</v>
      </c>
      <c r="K3888">
        <v>99</v>
      </c>
      <c r="L3888">
        <v>-29.71</v>
      </c>
      <c r="M3888">
        <v>94</v>
      </c>
      <c r="N3888">
        <v>-18.05</v>
      </c>
      <c r="O3888">
        <v>98</v>
      </c>
      <c r="P3888">
        <v>-0.11</v>
      </c>
      <c r="Q3888">
        <v>99</v>
      </c>
      <c r="R3888">
        <v>-5.05</v>
      </c>
      <c r="S3888">
        <v>95</v>
      </c>
      <c r="T3888">
        <v>-0.68</v>
      </c>
      <c r="U3888">
        <v>99</v>
      </c>
      <c r="V3888">
        <v>6.86</v>
      </c>
      <c r="W3888">
        <v>95</v>
      </c>
      <c r="X3888" t="s">
        <v>94</v>
      </c>
      <c r="Y3888" t="s">
        <v>95</v>
      </c>
      <c r="Z3888" t="s">
        <v>96</v>
      </c>
      <c r="AA3888" t="s">
        <v>753</v>
      </c>
      <c r="AB3888" t="s">
        <v>7348</v>
      </c>
      <c r="AC3888">
        <v>1211</v>
      </c>
      <c r="AD3888">
        <v>752</v>
      </c>
      <c r="AE3888">
        <v>99</v>
      </c>
      <c r="AF3888">
        <v>-137.55000000000001</v>
      </c>
      <c r="AG3888">
        <v>-4.08</v>
      </c>
      <c r="AH3888">
        <v>-4.6100000000000003</v>
      </c>
      <c r="AI3888">
        <v>0.02</v>
      </c>
      <c r="AJ3888">
        <v>0</v>
      </c>
      <c r="AK3888">
        <v>94</v>
      </c>
      <c r="AL3888">
        <v>1525</v>
      </c>
      <c r="AM3888">
        <v>924</v>
      </c>
      <c r="AN3888">
        <v>0.78</v>
      </c>
      <c r="AO3888">
        <v>-1.6</v>
      </c>
      <c r="AP3888">
        <v>1941</v>
      </c>
      <c r="AQ3888">
        <v>11</v>
      </c>
      <c r="AR3888">
        <v>12.86</v>
      </c>
      <c r="AS3888">
        <v>93</v>
      </c>
      <c r="AT3888">
        <v>4.59</v>
      </c>
      <c r="AU3888">
        <v>98</v>
      </c>
      <c r="AV3888">
        <v>-1.64</v>
      </c>
      <c r="AW3888">
        <v>99</v>
      </c>
      <c r="AX3888">
        <v>-0.1</v>
      </c>
      <c r="AY3888">
        <v>98</v>
      </c>
      <c r="AZ3888">
        <v>6.52</v>
      </c>
      <c r="BA3888">
        <v>93</v>
      </c>
      <c r="BB3888">
        <v>4.7</v>
      </c>
      <c r="BC3888">
        <v>95</v>
      </c>
      <c r="BD3888">
        <v>-0.03</v>
      </c>
      <c r="BE3888">
        <v>0.04</v>
      </c>
      <c r="BF3888">
        <v>0.09</v>
      </c>
      <c r="BG3888">
        <v>98</v>
      </c>
      <c r="BH3888">
        <v>0.13</v>
      </c>
      <c r="BI3888">
        <v>-7.08</v>
      </c>
      <c r="BJ3888">
        <v>72</v>
      </c>
      <c r="BK3888">
        <v>58</v>
      </c>
      <c r="BL3888">
        <v>0.22</v>
      </c>
      <c r="BM3888">
        <v>2.08</v>
      </c>
      <c r="BN3888">
        <v>0.16</v>
      </c>
      <c r="BO3888">
        <v>-1.0900000000000001</v>
      </c>
      <c r="BP3888">
        <v>0.13</v>
      </c>
      <c r="BQ3888">
        <v>-0.76</v>
      </c>
      <c r="BR3888">
        <v>0.7</v>
      </c>
      <c r="BS3888">
        <v>-0.89</v>
      </c>
      <c r="BT3888">
        <v>-1.28</v>
      </c>
      <c r="BU3888">
        <v>-0.35</v>
      </c>
      <c r="BV3888">
        <v>-1.1100000000000001</v>
      </c>
      <c r="BW3888">
        <v>-0.96</v>
      </c>
      <c r="BX3888">
        <v>0.35</v>
      </c>
      <c r="BY3888">
        <v>-0.99</v>
      </c>
      <c r="BZ3888">
        <v>2.92</v>
      </c>
      <c r="CA3888">
        <v>-1.06</v>
      </c>
      <c r="CB3888">
        <v>-0.85</v>
      </c>
      <c r="CC3888">
        <v>-1.1299999999999999</v>
      </c>
      <c r="CD3888">
        <v>1.75</v>
      </c>
      <c r="CE3888">
        <v>-1.0900000000000001</v>
      </c>
      <c r="CF3888">
        <v>0.54</v>
      </c>
      <c r="CG3888">
        <v>0</v>
      </c>
      <c r="CH3888">
        <v>-0.63</v>
      </c>
      <c r="CI3888">
        <v>0</v>
      </c>
      <c r="CJ3888">
        <v>3.4</v>
      </c>
      <c r="CK3888">
        <v>99</v>
      </c>
      <c r="CL3888">
        <v>-0.45</v>
      </c>
      <c r="CM3888">
        <v>99</v>
      </c>
      <c r="CN3888">
        <v>0.08</v>
      </c>
      <c r="CO3888">
        <v>99</v>
      </c>
      <c r="CP3888">
        <v>5.2</v>
      </c>
      <c r="CQ3888">
        <v>99</v>
      </c>
      <c r="CR3888">
        <v>0</v>
      </c>
      <c r="CS3888">
        <v>0</v>
      </c>
      <c r="CT3888">
        <v>14.7</v>
      </c>
      <c r="CU3888">
        <v>99</v>
      </c>
      <c r="CV3888">
        <v>0.17</v>
      </c>
      <c r="CW3888">
        <v>47</v>
      </c>
      <c r="CX3888" t="s">
        <v>485</v>
      </c>
    </row>
    <row r="3889" spans="1:102" x14ac:dyDescent="0.3">
      <c r="A3889" t="str">
        <f>HYPERLINK("https://webapp.icbf.com/v2/app/bull-search/view/1456851639","S3317")</f>
        <v>S3317</v>
      </c>
      <c r="B3889" t="s">
        <v>7699</v>
      </c>
      <c r="C3889" t="s">
        <v>7700</v>
      </c>
      <c r="D3889" s="1">
        <v>42215</v>
      </c>
      <c r="E3889" t="s">
        <v>92</v>
      </c>
      <c r="F3889">
        <v>100</v>
      </c>
      <c r="G3889" t="s">
        <v>435</v>
      </c>
      <c r="H3889">
        <v>-69.989999999999995</v>
      </c>
      <c r="I3889">
        <v>66</v>
      </c>
      <c r="J3889">
        <v>10.06</v>
      </c>
      <c r="K3889">
        <v>88</v>
      </c>
      <c r="L3889">
        <v>-59.48</v>
      </c>
      <c r="M3889">
        <v>66</v>
      </c>
      <c r="N3889">
        <v>-9.36</v>
      </c>
      <c r="O3889">
        <v>51</v>
      </c>
      <c r="P3889">
        <v>-16.760000000000002</v>
      </c>
      <c r="Q3889">
        <v>37</v>
      </c>
      <c r="R3889">
        <v>6.35</v>
      </c>
      <c r="S3889">
        <v>63</v>
      </c>
      <c r="T3889">
        <v>-7.49</v>
      </c>
      <c r="U3889">
        <v>36</v>
      </c>
      <c r="V3889">
        <v>6.69</v>
      </c>
      <c r="W3889">
        <v>54</v>
      </c>
      <c r="X3889" t="s">
        <v>110</v>
      </c>
      <c r="Y3889" t="s">
        <v>2394</v>
      </c>
      <c r="Z3889" t="s">
        <v>96</v>
      </c>
      <c r="AA3889" t="s">
        <v>7701</v>
      </c>
      <c r="AB3889" t="s">
        <v>7702</v>
      </c>
      <c r="AC3889">
        <v>0</v>
      </c>
      <c r="AD3889">
        <v>0</v>
      </c>
      <c r="AE3889">
        <v>88</v>
      </c>
      <c r="AF3889">
        <v>265.32</v>
      </c>
      <c r="AG3889">
        <v>10.75</v>
      </c>
      <c r="AH3889">
        <v>1.97</v>
      </c>
      <c r="AI3889">
        <v>0</v>
      </c>
      <c r="AJ3889">
        <v>-0.11</v>
      </c>
      <c r="AK3889">
        <v>66</v>
      </c>
      <c r="AL3889">
        <v>0</v>
      </c>
      <c r="AM3889">
        <v>0</v>
      </c>
      <c r="AN3889">
        <v>3.48</v>
      </c>
      <c r="AO3889">
        <v>-1.26</v>
      </c>
      <c r="AP3889">
        <v>4</v>
      </c>
      <c r="AQ3889">
        <v>0</v>
      </c>
      <c r="AR3889">
        <v>7.66</v>
      </c>
      <c r="AS3889">
        <v>49</v>
      </c>
      <c r="AT3889">
        <v>4.53</v>
      </c>
      <c r="AU3889">
        <v>89</v>
      </c>
      <c r="AV3889">
        <v>-0.83</v>
      </c>
      <c r="AW3889">
        <v>38</v>
      </c>
      <c r="AX3889">
        <v>1.32</v>
      </c>
      <c r="AY3889">
        <v>40</v>
      </c>
      <c r="AZ3889">
        <v>5.84</v>
      </c>
      <c r="BA3889">
        <v>35</v>
      </c>
      <c r="BB3889">
        <v>4.92</v>
      </c>
      <c r="BC3889">
        <v>34</v>
      </c>
      <c r="BD3889">
        <v>-0.03</v>
      </c>
      <c r="BE3889">
        <v>-0.04</v>
      </c>
      <c r="BF3889">
        <v>-0.02</v>
      </c>
      <c r="BG3889">
        <v>76</v>
      </c>
      <c r="BH3889">
        <v>0.2</v>
      </c>
      <c r="BI3889">
        <v>1.56</v>
      </c>
      <c r="BJ3889">
        <v>0</v>
      </c>
      <c r="BK3889">
        <v>0</v>
      </c>
      <c r="BL3889">
        <v>3.69</v>
      </c>
      <c r="BM3889">
        <v>0.43</v>
      </c>
      <c r="BN3889">
        <v>2.2200000000000002</v>
      </c>
      <c r="BO3889">
        <v>1.95</v>
      </c>
      <c r="BP3889">
        <v>-1.29</v>
      </c>
      <c r="BQ3889">
        <v>3.07</v>
      </c>
      <c r="BR3889">
        <v>-0.99</v>
      </c>
      <c r="BS3889">
        <v>5.76</v>
      </c>
      <c r="BT3889">
        <v>2.9</v>
      </c>
      <c r="BU3889">
        <v>4.22</v>
      </c>
      <c r="BV3889">
        <v>4.16</v>
      </c>
      <c r="BW3889">
        <v>3.77</v>
      </c>
      <c r="BX3889">
        <v>3.62</v>
      </c>
      <c r="BY3889">
        <v>3.14</v>
      </c>
      <c r="BZ3889">
        <v>-0.8</v>
      </c>
      <c r="CA3889">
        <v>4.34</v>
      </c>
      <c r="CB3889">
        <v>3.19</v>
      </c>
      <c r="CC3889">
        <v>4.13</v>
      </c>
      <c r="CD3889">
        <v>-0.68</v>
      </c>
      <c r="CE3889">
        <v>1.17</v>
      </c>
      <c r="CF3889">
        <v>1.58</v>
      </c>
      <c r="CG3889">
        <v>0</v>
      </c>
      <c r="CH3889">
        <v>2.98</v>
      </c>
      <c r="CI3889">
        <v>0</v>
      </c>
      <c r="CJ3889">
        <v>-5.0999999999999996</v>
      </c>
      <c r="CK3889">
        <v>37</v>
      </c>
      <c r="CL3889">
        <v>-2.0499999999999998</v>
      </c>
      <c r="CM3889">
        <v>37</v>
      </c>
      <c r="CN3889">
        <v>-0.91</v>
      </c>
      <c r="CO3889">
        <v>37</v>
      </c>
      <c r="CP3889">
        <v>5.2</v>
      </c>
      <c r="CQ3889">
        <v>36</v>
      </c>
      <c r="CR3889">
        <v>0</v>
      </c>
      <c r="CS3889">
        <v>0</v>
      </c>
      <c r="CT3889">
        <v>23.9</v>
      </c>
      <c r="CU3889">
        <v>36</v>
      </c>
      <c r="CV3889">
        <v>0.21</v>
      </c>
      <c r="CW3889">
        <v>32</v>
      </c>
      <c r="CX3889" t="s">
        <v>6411</v>
      </c>
    </row>
    <row r="3890" spans="1:102" x14ac:dyDescent="0.3">
      <c r="A3890" t="str">
        <f>HYPERLINK("https://webapp.icbf.com/v2/app/bull-search/view/77855872","LOR")</f>
        <v>LOR</v>
      </c>
      <c r="B3890" t="s">
        <v>2789</v>
      </c>
      <c r="C3890" t="s">
        <v>2790</v>
      </c>
      <c r="D3890" s="1">
        <v>32382</v>
      </c>
      <c r="E3890" t="s">
        <v>92</v>
      </c>
      <c r="F3890">
        <v>100</v>
      </c>
      <c r="G3890" t="s">
        <v>93</v>
      </c>
      <c r="H3890">
        <v>-70.02</v>
      </c>
      <c r="I3890">
        <v>69</v>
      </c>
      <c r="J3890">
        <v>-64.39</v>
      </c>
      <c r="K3890">
        <v>85</v>
      </c>
      <c r="L3890">
        <v>11.75</v>
      </c>
      <c r="M3890">
        <v>65</v>
      </c>
      <c r="N3890">
        <v>-21.43</v>
      </c>
      <c r="O3890">
        <v>48</v>
      </c>
      <c r="P3890">
        <v>-10.68</v>
      </c>
      <c r="Q3890">
        <v>76</v>
      </c>
      <c r="R3890">
        <v>0.59</v>
      </c>
      <c r="S3890">
        <v>67</v>
      </c>
      <c r="T3890">
        <v>17.53</v>
      </c>
      <c r="U3890">
        <v>63</v>
      </c>
      <c r="V3890">
        <v>-3.39</v>
      </c>
      <c r="W3890">
        <v>33</v>
      </c>
      <c r="X3890" t="s">
        <v>94</v>
      </c>
      <c r="Y3890" t="s">
        <v>95</v>
      </c>
      <c r="Z3890" t="s">
        <v>96</v>
      </c>
      <c r="AA3890" t="s">
        <v>154</v>
      </c>
      <c r="AB3890" t="s">
        <v>2791</v>
      </c>
      <c r="AC3890">
        <v>36</v>
      </c>
      <c r="AD3890">
        <v>35</v>
      </c>
      <c r="AE3890">
        <v>85</v>
      </c>
      <c r="AF3890">
        <v>-109</v>
      </c>
      <c r="AG3890">
        <v>-13.34</v>
      </c>
      <c r="AH3890">
        <v>-7.9</v>
      </c>
      <c r="AI3890">
        <v>-0.15</v>
      </c>
      <c r="AJ3890">
        <v>-7.0000000000000007E-2</v>
      </c>
      <c r="AK3890">
        <v>65</v>
      </c>
      <c r="AL3890">
        <v>104</v>
      </c>
      <c r="AM3890">
        <v>76</v>
      </c>
      <c r="AN3890">
        <v>0.36</v>
      </c>
      <c r="AO3890">
        <v>1.31</v>
      </c>
      <c r="AP3890">
        <v>2</v>
      </c>
      <c r="AQ3890">
        <v>1</v>
      </c>
      <c r="AR3890">
        <v>8.1999999999999993</v>
      </c>
      <c r="AS3890">
        <v>32</v>
      </c>
      <c r="AT3890">
        <v>4.04</v>
      </c>
      <c r="AU3890">
        <v>43</v>
      </c>
      <c r="AV3890">
        <v>0.74</v>
      </c>
      <c r="AW3890">
        <v>55</v>
      </c>
      <c r="AX3890">
        <v>-0.33</v>
      </c>
      <c r="AY3890">
        <v>62</v>
      </c>
      <c r="AZ3890">
        <v>7.52</v>
      </c>
      <c r="BA3890">
        <v>31</v>
      </c>
      <c r="BB3890">
        <v>5.8</v>
      </c>
      <c r="BC3890">
        <v>41</v>
      </c>
      <c r="BD3890">
        <v>0.02</v>
      </c>
      <c r="BE3890">
        <v>7.0000000000000007E-2</v>
      </c>
      <c r="BF3890">
        <v>-0.18</v>
      </c>
      <c r="BG3890">
        <v>86</v>
      </c>
      <c r="BH3890">
        <v>0.08</v>
      </c>
      <c r="BI3890">
        <v>20.2</v>
      </c>
      <c r="BJ3890">
        <v>25</v>
      </c>
      <c r="BK3890">
        <v>17</v>
      </c>
      <c r="BL3890">
        <v>0.18</v>
      </c>
      <c r="BM3890">
        <v>0.32</v>
      </c>
      <c r="BN3890">
        <v>1.03</v>
      </c>
      <c r="BO3890">
        <v>0.42</v>
      </c>
      <c r="BP3890">
        <v>-0.49</v>
      </c>
      <c r="BQ3890">
        <v>0.46</v>
      </c>
      <c r="BR3890">
        <v>-0.86</v>
      </c>
      <c r="BS3890">
        <v>0.14000000000000001</v>
      </c>
      <c r="BT3890">
        <v>0.71</v>
      </c>
      <c r="BU3890">
        <v>-0.68</v>
      </c>
      <c r="BV3890">
        <v>-0.36</v>
      </c>
      <c r="BW3890">
        <v>-0.12</v>
      </c>
      <c r="BX3890">
        <v>-0.46</v>
      </c>
      <c r="BY3890">
        <v>0.1</v>
      </c>
      <c r="BZ3890">
        <v>0.02</v>
      </c>
      <c r="CA3890">
        <v>-0.03</v>
      </c>
      <c r="CB3890">
        <v>-0.09</v>
      </c>
      <c r="CC3890">
        <v>0.92</v>
      </c>
      <c r="CD3890">
        <v>-0.31</v>
      </c>
      <c r="CE3890">
        <v>0.48</v>
      </c>
      <c r="CF3890">
        <v>0.3</v>
      </c>
      <c r="CG3890">
        <v>0</v>
      </c>
      <c r="CH3890">
        <v>-0.26</v>
      </c>
      <c r="CI3890">
        <v>0</v>
      </c>
      <c r="CJ3890">
        <v>-2.8</v>
      </c>
      <c r="CK3890">
        <v>78</v>
      </c>
      <c r="CL3890">
        <v>-0.73</v>
      </c>
      <c r="CM3890">
        <v>75</v>
      </c>
      <c r="CN3890">
        <v>-0.15</v>
      </c>
      <c r="CO3890">
        <v>72</v>
      </c>
      <c r="CP3890">
        <v>-6.9</v>
      </c>
      <c r="CQ3890">
        <v>71</v>
      </c>
      <c r="CR3890">
        <v>0</v>
      </c>
      <c r="CS3890">
        <v>0</v>
      </c>
      <c r="CT3890">
        <v>-9.9</v>
      </c>
      <c r="CU3890">
        <v>63</v>
      </c>
      <c r="CV3890">
        <v>0.21</v>
      </c>
      <c r="CW3890">
        <v>22</v>
      </c>
      <c r="CX3890" t="s">
        <v>2792</v>
      </c>
    </row>
    <row r="3891" spans="1:102" x14ac:dyDescent="0.3">
      <c r="A3891" t="str">
        <f>HYPERLINK("https://webapp.icbf.com/v2/app/bull-search/view/138853916","WIO")</f>
        <v>WIO</v>
      </c>
      <c r="B3891" t="s">
        <v>11608</v>
      </c>
      <c r="C3891" t="s">
        <v>11609</v>
      </c>
      <c r="D3891" s="1">
        <v>36837</v>
      </c>
      <c r="E3891" t="s">
        <v>92</v>
      </c>
      <c r="F3891">
        <v>100</v>
      </c>
      <c r="G3891" t="s">
        <v>93</v>
      </c>
      <c r="H3891">
        <v>-70.099999999999994</v>
      </c>
      <c r="I3891">
        <v>85</v>
      </c>
      <c r="J3891">
        <v>38.97</v>
      </c>
      <c r="K3891">
        <v>96</v>
      </c>
      <c r="L3891">
        <v>-83.25</v>
      </c>
      <c r="M3891">
        <v>79</v>
      </c>
      <c r="N3891">
        <v>-12.04</v>
      </c>
      <c r="O3891">
        <v>80</v>
      </c>
      <c r="P3891">
        <v>-10.92</v>
      </c>
      <c r="Q3891">
        <v>90</v>
      </c>
      <c r="R3891">
        <v>-7.99</v>
      </c>
      <c r="S3891">
        <v>79</v>
      </c>
      <c r="T3891">
        <v>10.42</v>
      </c>
      <c r="U3891">
        <v>80</v>
      </c>
      <c r="V3891">
        <v>-5.29</v>
      </c>
      <c r="W3891">
        <v>74</v>
      </c>
      <c r="X3891" t="s">
        <v>94</v>
      </c>
      <c r="Y3891" t="s">
        <v>95</v>
      </c>
      <c r="Z3891" t="s">
        <v>96</v>
      </c>
      <c r="AA3891" t="s">
        <v>2570</v>
      </c>
      <c r="AB3891" t="s">
        <v>11610</v>
      </c>
      <c r="AC3891">
        <v>64</v>
      </c>
      <c r="AD3891">
        <v>52</v>
      </c>
      <c r="AE3891">
        <v>96</v>
      </c>
      <c r="AF3891">
        <v>81.97</v>
      </c>
      <c r="AG3891">
        <v>3.74</v>
      </c>
      <c r="AH3891">
        <v>6.56</v>
      </c>
      <c r="AI3891">
        <v>0.01</v>
      </c>
      <c r="AJ3891">
        <v>7.0000000000000007E-2</v>
      </c>
      <c r="AK3891">
        <v>79</v>
      </c>
      <c r="AL3891">
        <v>62</v>
      </c>
      <c r="AM3891">
        <v>49</v>
      </c>
      <c r="AN3891">
        <v>3.7</v>
      </c>
      <c r="AO3891">
        <v>-2.95</v>
      </c>
      <c r="AP3891">
        <v>74</v>
      </c>
      <c r="AQ3891">
        <v>0</v>
      </c>
      <c r="AR3891">
        <v>9.48</v>
      </c>
      <c r="AS3891">
        <v>66</v>
      </c>
      <c r="AT3891">
        <v>4.13</v>
      </c>
      <c r="AU3891">
        <v>82</v>
      </c>
      <c r="AV3891">
        <v>0.26</v>
      </c>
      <c r="AW3891">
        <v>91</v>
      </c>
      <c r="AX3891">
        <v>-0.6</v>
      </c>
      <c r="AY3891">
        <v>75</v>
      </c>
      <c r="AZ3891">
        <v>5.23</v>
      </c>
      <c r="BA3891">
        <v>61</v>
      </c>
      <c r="BB3891">
        <v>4.55</v>
      </c>
      <c r="BC3891">
        <v>64</v>
      </c>
      <c r="BD3891">
        <v>0.04</v>
      </c>
      <c r="BE3891">
        <v>0.03</v>
      </c>
      <c r="BF3891">
        <v>0.06</v>
      </c>
      <c r="BG3891">
        <v>88</v>
      </c>
      <c r="BH3891">
        <v>-0.17</v>
      </c>
      <c r="BI3891">
        <v>-2.6</v>
      </c>
      <c r="BJ3891">
        <v>30</v>
      </c>
      <c r="BK3891">
        <v>25</v>
      </c>
      <c r="BL3891">
        <v>0.57999999999999996</v>
      </c>
      <c r="BM3891">
        <v>0.2</v>
      </c>
      <c r="BN3891">
        <v>1.06</v>
      </c>
      <c r="BO3891">
        <v>0.47</v>
      </c>
      <c r="BP3891">
        <v>-1.3</v>
      </c>
      <c r="BQ3891">
        <v>-0.56000000000000005</v>
      </c>
      <c r="BR3891">
        <v>-0.09</v>
      </c>
      <c r="BS3891">
        <v>-0.57999999999999996</v>
      </c>
      <c r="BT3891">
        <v>-0.42</v>
      </c>
      <c r="BU3891">
        <v>-1.42</v>
      </c>
      <c r="BV3891">
        <v>-0.73</v>
      </c>
      <c r="BW3891">
        <v>-0.97</v>
      </c>
      <c r="BX3891">
        <v>-0.94</v>
      </c>
      <c r="BY3891">
        <v>-0.65</v>
      </c>
      <c r="BZ3891">
        <v>-0.28999999999999998</v>
      </c>
      <c r="CA3891">
        <v>-0.81</v>
      </c>
      <c r="CB3891">
        <v>-0.56000000000000005</v>
      </c>
      <c r="CC3891">
        <v>-0.62</v>
      </c>
      <c r="CD3891">
        <v>-0.11</v>
      </c>
      <c r="CE3891">
        <v>0.35</v>
      </c>
      <c r="CF3891">
        <v>0.46</v>
      </c>
      <c r="CG3891">
        <v>0</v>
      </c>
      <c r="CH3891">
        <v>-1.1200000000000001</v>
      </c>
      <c r="CI3891">
        <v>0</v>
      </c>
      <c r="CJ3891">
        <v>-4.3</v>
      </c>
      <c r="CK3891">
        <v>91</v>
      </c>
      <c r="CL3891">
        <v>-0.76</v>
      </c>
      <c r="CM3891">
        <v>90</v>
      </c>
      <c r="CN3891">
        <v>-0.32</v>
      </c>
      <c r="CO3891">
        <v>88</v>
      </c>
      <c r="CP3891">
        <v>-5.9</v>
      </c>
      <c r="CQ3891">
        <v>87</v>
      </c>
      <c r="CR3891">
        <v>0</v>
      </c>
      <c r="CS3891">
        <v>0</v>
      </c>
      <c r="CT3891">
        <v>-0.3</v>
      </c>
      <c r="CU3891">
        <v>80</v>
      </c>
      <c r="CV3891">
        <v>0.12</v>
      </c>
      <c r="CW3891">
        <v>44</v>
      </c>
      <c r="CX3891" t="s">
        <v>836</v>
      </c>
    </row>
    <row r="3892" spans="1:102" x14ac:dyDescent="0.3">
      <c r="A3892" t="str">
        <f>HYPERLINK("https://webapp.icbf.com/v2/app/bull-search/view/476656818","FZO")</f>
        <v>FZO</v>
      </c>
      <c r="B3892" t="s">
        <v>5182</v>
      </c>
      <c r="C3892" t="s">
        <v>5183</v>
      </c>
      <c r="D3892" s="1">
        <v>38936</v>
      </c>
      <c r="E3892" t="s">
        <v>92</v>
      </c>
      <c r="F3892">
        <v>100</v>
      </c>
      <c r="G3892" t="s">
        <v>435</v>
      </c>
      <c r="H3892">
        <v>-70.2</v>
      </c>
      <c r="I3892">
        <v>75</v>
      </c>
      <c r="J3892">
        <v>22.87</v>
      </c>
      <c r="K3892">
        <v>92</v>
      </c>
      <c r="L3892">
        <v>-118.85</v>
      </c>
      <c r="M3892">
        <v>74</v>
      </c>
      <c r="N3892">
        <v>22.09</v>
      </c>
      <c r="O3892">
        <v>58</v>
      </c>
      <c r="P3892">
        <v>2.06</v>
      </c>
      <c r="Q3892">
        <v>61</v>
      </c>
      <c r="R3892">
        <v>-4.6500000000000004</v>
      </c>
      <c r="S3892">
        <v>73</v>
      </c>
      <c r="T3892">
        <v>2.36</v>
      </c>
      <c r="U3892">
        <v>50</v>
      </c>
      <c r="V3892">
        <v>3.92</v>
      </c>
      <c r="W3892">
        <v>68</v>
      </c>
      <c r="X3892" t="s">
        <v>94</v>
      </c>
      <c r="Y3892" t="s">
        <v>1374</v>
      </c>
      <c r="Z3892" t="s">
        <v>96</v>
      </c>
      <c r="AA3892" t="s">
        <v>350</v>
      </c>
      <c r="AB3892" t="s">
        <v>5184</v>
      </c>
      <c r="AC3892">
        <v>2</v>
      </c>
      <c r="AD3892">
        <v>2</v>
      </c>
      <c r="AE3892">
        <v>92</v>
      </c>
      <c r="AF3892">
        <v>378.25</v>
      </c>
      <c r="AG3892">
        <v>9.9499999999999993</v>
      </c>
      <c r="AH3892">
        <v>6.16</v>
      </c>
      <c r="AI3892">
        <v>-0.08</v>
      </c>
      <c r="AJ3892">
        <v>-0.11</v>
      </c>
      <c r="AK3892">
        <v>74</v>
      </c>
      <c r="AL3892">
        <v>2</v>
      </c>
      <c r="AM3892">
        <v>2</v>
      </c>
      <c r="AN3892">
        <v>7.88</v>
      </c>
      <c r="AO3892">
        <v>-1.58</v>
      </c>
      <c r="AP3892">
        <v>5</v>
      </c>
      <c r="AQ3892">
        <v>0</v>
      </c>
      <c r="AR3892">
        <v>7.63</v>
      </c>
      <c r="AS3892">
        <v>61</v>
      </c>
      <c r="AT3892">
        <v>3.27</v>
      </c>
      <c r="AU3892">
        <v>72</v>
      </c>
      <c r="AV3892">
        <v>-2.82</v>
      </c>
      <c r="AW3892">
        <v>53</v>
      </c>
      <c r="AX3892">
        <v>-0.5</v>
      </c>
      <c r="AY3892">
        <v>50</v>
      </c>
      <c r="AZ3892">
        <v>6.63</v>
      </c>
      <c r="BA3892">
        <v>51</v>
      </c>
      <c r="BB3892">
        <v>4.99</v>
      </c>
      <c r="BC3892">
        <v>53</v>
      </c>
      <c r="BD3892">
        <v>0.06</v>
      </c>
      <c r="BE3892">
        <v>0.03</v>
      </c>
      <c r="BF3892">
        <v>-0.05</v>
      </c>
      <c r="BG3892">
        <v>82</v>
      </c>
      <c r="BH3892">
        <v>0.03</v>
      </c>
      <c r="BI3892">
        <v>-9.16</v>
      </c>
      <c r="BJ3892">
        <v>0</v>
      </c>
      <c r="BK3892">
        <v>0</v>
      </c>
      <c r="BL3892">
        <v>1.92</v>
      </c>
      <c r="BM3892">
        <v>-0.24</v>
      </c>
      <c r="BN3892">
        <v>1.39</v>
      </c>
      <c r="BO3892">
        <v>2.2599999999999998</v>
      </c>
      <c r="BP3892">
        <v>1.34</v>
      </c>
      <c r="BQ3892">
        <v>1.0900000000000001</v>
      </c>
      <c r="BR3892">
        <v>0.79</v>
      </c>
      <c r="BS3892">
        <v>0.81</v>
      </c>
      <c r="BT3892">
        <v>-0.11</v>
      </c>
      <c r="BU3892">
        <v>2.11</v>
      </c>
      <c r="BV3892">
        <v>1.37</v>
      </c>
      <c r="BW3892">
        <v>1.64</v>
      </c>
      <c r="BX3892">
        <v>2.08</v>
      </c>
      <c r="BY3892">
        <v>1.81</v>
      </c>
      <c r="BZ3892">
        <v>-0.32</v>
      </c>
      <c r="CA3892">
        <v>1.8</v>
      </c>
      <c r="CB3892">
        <v>1.53</v>
      </c>
      <c r="CC3892">
        <v>1.0900000000000001</v>
      </c>
      <c r="CD3892">
        <v>-1.6</v>
      </c>
      <c r="CE3892">
        <v>1.69</v>
      </c>
      <c r="CF3892">
        <v>1.81</v>
      </c>
      <c r="CG3892">
        <v>0</v>
      </c>
      <c r="CH3892">
        <v>0.56000000000000005</v>
      </c>
      <c r="CI3892">
        <v>0</v>
      </c>
      <c r="CJ3892">
        <v>2.7</v>
      </c>
      <c r="CK3892">
        <v>63</v>
      </c>
      <c r="CL3892">
        <v>-1.19</v>
      </c>
      <c r="CM3892">
        <v>60</v>
      </c>
      <c r="CN3892">
        <v>-0.85</v>
      </c>
      <c r="CO3892">
        <v>59</v>
      </c>
      <c r="CP3892">
        <v>4.4000000000000004</v>
      </c>
      <c r="CQ3892">
        <v>53</v>
      </c>
      <c r="CR3892">
        <v>0</v>
      </c>
      <c r="CS3892">
        <v>0</v>
      </c>
      <c r="CT3892">
        <v>10.6</v>
      </c>
      <c r="CU3892">
        <v>50</v>
      </c>
      <c r="CV3892">
        <v>0.24</v>
      </c>
      <c r="CW3892">
        <v>38</v>
      </c>
      <c r="CX3892" t="s">
        <v>596</v>
      </c>
    </row>
    <row r="3893" spans="1:102" x14ac:dyDescent="0.3">
      <c r="A3893" t="str">
        <f>HYPERLINK("https://webapp.icbf.com/v2/app/bull-search/view/77858887","CHV")</f>
        <v>CHV</v>
      </c>
      <c r="B3893" t="s">
        <v>9586</v>
      </c>
      <c r="C3893" t="s">
        <v>9587</v>
      </c>
      <c r="D3893" s="1">
        <v>33283</v>
      </c>
      <c r="E3893" t="s">
        <v>92</v>
      </c>
      <c r="F3893">
        <v>100</v>
      </c>
      <c r="G3893" t="s">
        <v>93</v>
      </c>
      <c r="H3893">
        <v>-70.23</v>
      </c>
      <c r="I3893">
        <v>68</v>
      </c>
      <c r="J3893">
        <v>9.61</v>
      </c>
      <c r="K3893">
        <v>87</v>
      </c>
      <c r="L3893">
        <v>-86.51</v>
      </c>
      <c r="M3893">
        <v>61</v>
      </c>
      <c r="N3893">
        <v>14.92</v>
      </c>
      <c r="O3893">
        <v>48</v>
      </c>
      <c r="P3893">
        <v>-11.3</v>
      </c>
      <c r="Q3893">
        <v>66</v>
      </c>
      <c r="R3893">
        <v>-6.7</v>
      </c>
      <c r="S3893">
        <v>64</v>
      </c>
      <c r="T3893">
        <v>14.27</v>
      </c>
      <c r="U3893">
        <v>68</v>
      </c>
      <c r="V3893">
        <v>-4.5199999999999996</v>
      </c>
      <c r="W3893">
        <v>31</v>
      </c>
      <c r="X3893" t="s">
        <v>94</v>
      </c>
      <c r="Y3893" t="s">
        <v>95</v>
      </c>
      <c r="Z3893" t="s">
        <v>96</v>
      </c>
      <c r="AA3893" t="s">
        <v>161</v>
      </c>
      <c r="AB3893" t="s">
        <v>9588</v>
      </c>
      <c r="AC3893">
        <v>36</v>
      </c>
      <c r="AD3893">
        <v>34</v>
      </c>
      <c r="AE3893">
        <v>87</v>
      </c>
      <c r="AF3893">
        <v>105.12</v>
      </c>
      <c r="AG3893">
        <v>1.1100000000000001</v>
      </c>
      <c r="AH3893">
        <v>2.85</v>
      </c>
      <c r="AI3893">
        <v>-0.05</v>
      </c>
      <c r="AJ3893">
        <v>-0.01</v>
      </c>
      <c r="AK3893">
        <v>61</v>
      </c>
      <c r="AL3893">
        <v>73</v>
      </c>
      <c r="AM3893">
        <v>60</v>
      </c>
      <c r="AN3893">
        <v>3.85</v>
      </c>
      <c r="AO3893">
        <v>-3.06</v>
      </c>
      <c r="AP3893">
        <v>1</v>
      </c>
      <c r="AQ3893">
        <v>0</v>
      </c>
      <c r="AR3893">
        <v>6.08</v>
      </c>
      <c r="AS3893">
        <v>31</v>
      </c>
      <c r="AT3893">
        <v>3.05</v>
      </c>
      <c r="AU3893">
        <v>46</v>
      </c>
      <c r="AV3893">
        <v>-0.87</v>
      </c>
      <c r="AW3893">
        <v>51</v>
      </c>
      <c r="AX3893">
        <v>-0.28999999999999998</v>
      </c>
      <c r="AY3893">
        <v>60</v>
      </c>
      <c r="AZ3893">
        <v>6.16</v>
      </c>
      <c r="BA3893">
        <v>32</v>
      </c>
      <c r="BB3893">
        <v>4.5</v>
      </c>
      <c r="BC3893">
        <v>44</v>
      </c>
      <c r="BD3893">
        <v>0.03</v>
      </c>
      <c r="BE3893">
        <v>0.06</v>
      </c>
      <c r="BF3893">
        <v>-0.01</v>
      </c>
      <c r="BG3893">
        <v>82</v>
      </c>
      <c r="BH3893">
        <v>-0.12</v>
      </c>
      <c r="BI3893">
        <v>0.7</v>
      </c>
      <c r="BJ3893">
        <v>11</v>
      </c>
      <c r="BK3893">
        <v>10</v>
      </c>
      <c r="BL3893">
        <v>0.18</v>
      </c>
      <c r="BM3893">
        <v>0.51</v>
      </c>
      <c r="BN3893">
        <v>-0.11</v>
      </c>
      <c r="BO3893">
        <v>-0.61</v>
      </c>
      <c r="BP3893">
        <v>-0.64</v>
      </c>
      <c r="BQ3893">
        <v>-1.04</v>
      </c>
      <c r="BR3893">
        <v>-0.7</v>
      </c>
      <c r="BS3893">
        <v>-0.02</v>
      </c>
      <c r="BT3893">
        <v>0.39</v>
      </c>
      <c r="BU3893">
        <v>-0.9</v>
      </c>
      <c r="BV3893">
        <v>-0.3</v>
      </c>
      <c r="BW3893">
        <v>7.0000000000000007E-2</v>
      </c>
      <c r="BX3893">
        <v>0</v>
      </c>
      <c r="BY3893">
        <v>-1.24</v>
      </c>
      <c r="BZ3893">
        <v>1.7</v>
      </c>
      <c r="CA3893">
        <v>-0.48</v>
      </c>
      <c r="CB3893">
        <v>-0.78</v>
      </c>
      <c r="CC3893">
        <v>0.16</v>
      </c>
      <c r="CD3893">
        <v>0.45</v>
      </c>
      <c r="CE3893">
        <v>-0.68</v>
      </c>
      <c r="CF3893">
        <v>-0.28999999999999998</v>
      </c>
      <c r="CG3893">
        <v>0</v>
      </c>
      <c r="CH3893">
        <v>-1.08</v>
      </c>
      <c r="CI3893">
        <v>0</v>
      </c>
      <c r="CJ3893">
        <v>-5.4</v>
      </c>
      <c r="CK3893">
        <v>68</v>
      </c>
      <c r="CL3893">
        <v>-0.56999999999999995</v>
      </c>
      <c r="CM3893">
        <v>64</v>
      </c>
      <c r="CN3893">
        <v>-0.22</v>
      </c>
      <c r="CO3893">
        <v>59</v>
      </c>
      <c r="CP3893">
        <v>-3.6</v>
      </c>
      <c r="CQ3893">
        <v>75</v>
      </c>
      <c r="CR3893">
        <v>0</v>
      </c>
      <c r="CS3893">
        <v>0</v>
      </c>
      <c r="CT3893">
        <v>-5.5</v>
      </c>
      <c r="CU3893">
        <v>68</v>
      </c>
      <c r="CV3893">
        <v>0.09</v>
      </c>
      <c r="CW3893">
        <v>18</v>
      </c>
      <c r="CX3893" t="s">
        <v>120</v>
      </c>
    </row>
    <row r="3894" spans="1:102" x14ac:dyDescent="0.3">
      <c r="A3894" t="str">
        <f>HYPERLINK("https://webapp.icbf.com/v2/app/bull-search/view/69091747","GDO")</f>
        <v>GDO</v>
      </c>
      <c r="B3894" t="s">
        <v>540</v>
      </c>
      <c r="C3894" t="s">
        <v>541</v>
      </c>
      <c r="D3894" s="1">
        <v>33338</v>
      </c>
      <c r="E3894" t="s">
        <v>92</v>
      </c>
      <c r="F3894">
        <v>100</v>
      </c>
      <c r="G3894" t="s">
        <v>109</v>
      </c>
      <c r="H3894">
        <v>-70.41</v>
      </c>
      <c r="I3894">
        <v>68</v>
      </c>
      <c r="J3894">
        <v>-18.47</v>
      </c>
      <c r="K3894">
        <v>83</v>
      </c>
      <c r="L3894">
        <v>-65.47</v>
      </c>
      <c r="M3894">
        <v>73</v>
      </c>
      <c r="N3894">
        <v>10.88</v>
      </c>
      <c r="O3894">
        <v>53</v>
      </c>
      <c r="P3894">
        <v>-5.52</v>
      </c>
      <c r="Q3894">
        <v>46</v>
      </c>
      <c r="R3894">
        <v>-0.01</v>
      </c>
      <c r="S3894">
        <v>65</v>
      </c>
      <c r="T3894">
        <v>10.27</v>
      </c>
      <c r="U3894">
        <v>45</v>
      </c>
      <c r="V3894">
        <v>-2.09</v>
      </c>
      <c r="W3894">
        <v>28</v>
      </c>
      <c r="X3894" t="s">
        <v>94</v>
      </c>
      <c r="Y3894" t="s">
        <v>95</v>
      </c>
      <c r="Z3894" t="s">
        <v>96</v>
      </c>
      <c r="AA3894" t="s">
        <v>161</v>
      </c>
      <c r="AB3894" t="s">
        <v>542</v>
      </c>
      <c r="AC3894">
        <v>0</v>
      </c>
      <c r="AD3894">
        <v>0</v>
      </c>
      <c r="AE3894">
        <v>83</v>
      </c>
      <c r="AF3894">
        <v>-25.17</v>
      </c>
      <c r="AG3894">
        <v>-1.94</v>
      </c>
      <c r="AH3894">
        <v>-2.84</v>
      </c>
      <c r="AI3894">
        <v>-0.02</v>
      </c>
      <c r="AJ3894">
        <v>-0.03</v>
      </c>
      <c r="AK3894">
        <v>73</v>
      </c>
      <c r="AL3894">
        <v>0</v>
      </c>
      <c r="AM3894">
        <v>0</v>
      </c>
      <c r="AN3894">
        <v>2.12</v>
      </c>
      <c r="AO3894">
        <v>-3.12</v>
      </c>
      <c r="AP3894">
        <v>0</v>
      </c>
      <c r="AQ3894">
        <v>1</v>
      </c>
      <c r="AR3894">
        <v>7.1</v>
      </c>
      <c r="AS3894">
        <v>29</v>
      </c>
      <c r="AT3894">
        <v>3.29</v>
      </c>
      <c r="AU3894">
        <v>87</v>
      </c>
      <c r="AV3894">
        <v>-1.38</v>
      </c>
      <c r="AW3894">
        <v>44</v>
      </c>
      <c r="AX3894">
        <v>-0.75</v>
      </c>
      <c r="AY3894">
        <v>51</v>
      </c>
      <c r="AZ3894">
        <v>7.07</v>
      </c>
      <c r="BA3894">
        <v>29</v>
      </c>
      <c r="BB3894">
        <v>5.17</v>
      </c>
      <c r="BC3894">
        <v>36</v>
      </c>
      <c r="BD3894">
        <v>0.02</v>
      </c>
      <c r="BE3894">
        <v>0.03</v>
      </c>
      <c r="BF3894">
        <v>-0.09</v>
      </c>
      <c r="BG3894">
        <v>86</v>
      </c>
      <c r="BH3894">
        <v>-0.03</v>
      </c>
      <c r="BI3894">
        <v>3.26</v>
      </c>
      <c r="BJ3894">
        <v>2</v>
      </c>
      <c r="BK3894">
        <v>2</v>
      </c>
      <c r="BL3894">
        <v>0.57999999999999996</v>
      </c>
      <c r="BM3894">
        <v>-1.7</v>
      </c>
      <c r="BN3894">
        <v>-0.75</v>
      </c>
      <c r="BO3894">
        <v>0.55000000000000004</v>
      </c>
      <c r="BP3894">
        <v>0.59</v>
      </c>
      <c r="BQ3894">
        <v>0.14000000000000001</v>
      </c>
      <c r="BR3894">
        <v>-0.34</v>
      </c>
      <c r="BS3894">
        <v>-1.51</v>
      </c>
      <c r="BT3894">
        <v>-0.61</v>
      </c>
      <c r="BU3894">
        <v>-0.09</v>
      </c>
      <c r="BV3894">
        <v>0.78</v>
      </c>
      <c r="BW3894">
        <v>0.94</v>
      </c>
      <c r="BX3894">
        <v>1.31</v>
      </c>
      <c r="BY3894">
        <v>-0.46</v>
      </c>
      <c r="BZ3894">
        <v>0.5</v>
      </c>
      <c r="CA3894">
        <v>0.32</v>
      </c>
      <c r="CB3894">
        <v>0.52</v>
      </c>
      <c r="CC3894">
        <v>-0.33</v>
      </c>
      <c r="CD3894">
        <v>-1.1599999999999999</v>
      </c>
      <c r="CE3894">
        <v>0.43</v>
      </c>
      <c r="CF3894">
        <v>-0.45</v>
      </c>
      <c r="CG3894">
        <v>0</v>
      </c>
      <c r="CH3894">
        <v>0.03</v>
      </c>
      <c r="CI3894">
        <v>0</v>
      </c>
      <c r="CJ3894">
        <v>-2.6</v>
      </c>
      <c r="CK3894">
        <v>47</v>
      </c>
      <c r="CL3894">
        <v>-0.73</v>
      </c>
      <c r="CM3894">
        <v>44</v>
      </c>
      <c r="CN3894">
        <v>-0.53</v>
      </c>
      <c r="CO3894">
        <v>38</v>
      </c>
      <c r="CP3894">
        <v>-4</v>
      </c>
      <c r="CQ3894">
        <v>60</v>
      </c>
      <c r="CR3894">
        <v>0</v>
      </c>
      <c r="CS3894">
        <v>0</v>
      </c>
      <c r="CT3894">
        <v>-0.1</v>
      </c>
      <c r="CU3894">
        <v>45</v>
      </c>
      <c r="CV3894">
        <v>0.19</v>
      </c>
      <c r="CW3894">
        <v>12</v>
      </c>
      <c r="CX3894" t="s">
        <v>543</v>
      </c>
    </row>
    <row r="3895" spans="1:102" x14ac:dyDescent="0.3">
      <c r="A3895" t="str">
        <f>HYPERLINK("https://webapp.icbf.com/v2/app/bull-search/view/507762600","DZF")</f>
        <v>DZF</v>
      </c>
      <c r="B3895" t="s">
        <v>1421</v>
      </c>
      <c r="C3895" t="s">
        <v>1422</v>
      </c>
      <c r="D3895" s="1">
        <v>38642</v>
      </c>
      <c r="E3895" t="s">
        <v>92</v>
      </c>
      <c r="F3895">
        <v>100</v>
      </c>
      <c r="G3895" t="s">
        <v>109</v>
      </c>
      <c r="H3895">
        <v>-70.599999999999994</v>
      </c>
      <c r="I3895">
        <v>60</v>
      </c>
      <c r="J3895">
        <v>34.65</v>
      </c>
      <c r="K3895">
        <v>74</v>
      </c>
      <c r="L3895">
        <v>-95.75</v>
      </c>
      <c r="M3895">
        <v>62</v>
      </c>
      <c r="N3895">
        <v>-16.14</v>
      </c>
      <c r="O3895">
        <v>49</v>
      </c>
      <c r="P3895">
        <v>-0.57999999999999996</v>
      </c>
      <c r="Q3895">
        <v>47</v>
      </c>
      <c r="R3895">
        <v>-5.32</v>
      </c>
      <c r="S3895">
        <v>57</v>
      </c>
      <c r="T3895">
        <v>3.91</v>
      </c>
      <c r="U3895">
        <v>39</v>
      </c>
      <c r="V3895">
        <v>8.6300000000000008</v>
      </c>
      <c r="W3895">
        <v>38</v>
      </c>
      <c r="X3895" t="s">
        <v>288</v>
      </c>
      <c r="Y3895" t="s">
        <v>1423</v>
      </c>
      <c r="Z3895" t="s">
        <v>96</v>
      </c>
      <c r="AA3895" t="s">
        <v>350</v>
      </c>
      <c r="AB3895" t="s">
        <v>1424</v>
      </c>
      <c r="AC3895">
        <v>0</v>
      </c>
      <c r="AD3895">
        <v>0</v>
      </c>
      <c r="AE3895">
        <v>74</v>
      </c>
      <c r="AF3895">
        <v>408.92</v>
      </c>
      <c r="AG3895">
        <v>6.65</v>
      </c>
      <c r="AH3895">
        <v>9.8000000000000007</v>
      </c>
      <c r="AI3895">
        <v>-0.14000000000000001</v>
      </c>
      <c r="AJ3895">
        <v>-7.0000000000000007E-2</v>
      </c>
      <c r="AK3895">
        <v>62</v>
      </c>
      <c r="AL3895">
        <v>0</v>
      </c>
      <c r="AM3895">
        <v>0</v>
      </c>
      <c r="AN3895">
        <v>4.93</v>
      </c>
      <c r="AO3895">
        <v>-2.71</v>
      </c>
      <c r="AP3895">
        <v>11</v>
      </c>
      <c r="AQ3895">
        <v>2</v>
      </c>
      <c r="AR3895">
        <v>9.9700000000000006</v>
      </c>
      <c r="AS3895">
        <v>33</v>
      </c>
      <c r="AT3895">
        <v>4.47</v>
      </c>
      <c r="AU3895">
        <v>55</v>
      </c>
      <c r="AV3895">
        <v>-0.21</v>
      </c>
      <c r="AW3895">
        <v>58</v>
      </c>
      <c r="AX3895">
        <v>7.0000000000000007E-2</v>
      </c>
      <c r="AY3895">
        <v>38</v>
      </c>
      <c r="AZ3895">
        <v>6.23</v>
      </c>
      <c r="BA3895">
        <v>32</v>
      </c>
      <c r="BB3895">
        <v>4.38</v>
      </c>
      <c r="BC3895">
        <v>30</v>
      </c>
      <c r="BD3895">
        <v>0.02</v>
      </c>
      <c r="BE3895">
        <v>0.01</v>
      </c>
      <c r="BF3895">
        <v>7.0000000000000007E-2</v>
      </c>
      <c r="BG3895">
        <v>76</v>
      </c>
      <c r="BH3895">
        <v>0.15</v>
      </c>
      <c r="BI3895">
        <v>-10.48</v>
      </c>
      <c r="BJ3895">
        <v>1</v>
      </c>
      <c r="BK3895">
        <v>1</v>
      </c>
      <c r="BL3895">
        <v>2.3199999999999998</v>
      </c>
      <c r="BM3895">
        <v>-1.1499999999999999</v>
      </c>
      <c r="BN3895">
        <v>1.55</v>
      </c>
      <c r="BO3895">
        <v>1.77</v>
      </c>
      <c r="BP3895">
        <v>1.52</v>
      </c>
      <c r="BQ3895">
        <v>1.95</v>
      </c>
      <c r="BR3895">
        <v>-0.18</v>
      </c>
      <c r="BS3895">
        <v>1.34</v>
      </c>
      <c r="BT3895">
        <v>0.13</v>
      </c>
      <c r="BU3895">
        <v>0.83</v>
      </c>
      <c r="BV3895">
        <v>1.04</v>
      </c>
      <c r="BW3895">
        <v>0.89</v>
      </c>
      <c r="BX3895">
        <v>-0.1</v>
      </c>
      <c r="BY3895">
        <v>0.66</v>
      </c>
      <c r="BZ3895">
        <v>1.55</v>
      </c>
      <c r="CA3895">
        <v>0.44</v>
      </c>
      <c r="CB3895">
        <v>0.25</v>
      </c>
      <c r="CC3895">
        <v>0.84</v>
      </c>
      <c r="CD3895">
        <v>-0.97</v>
      </c>
      <c r="CE3895">
        <v>1.04</v>
      </c>
      <c r="CF3895">
        <v>1.31</v>
      </c>
      <c r="CG3895">
        <v>0</v>
      </c>
      <c r="CH3895">
        <v>1.61</v>
      </c>
      <c r="CI3895">
        <v>0</v>
      </c>
      <c r="CJ3895">
        <v>3.3</v>
      </c>
      <c r="CK3895">
        <v>49</v>
      </c>
      <c r="CL3895">
        <v>-0.8</v>
      </c>
      <c r="CM3895">
        <v>45</v>
      </c>
      <c r="CN3895">
        <v>-0.25</v>
      </c>
      <c r="CO3895">
        <v>42</v>
      </c>
      <c r="CP3895">
        <v>1.3</v>
      </c>
      <c r="CQ3895">
        <v>48</v>
      </c>
      <c r="CR3895">
        <v>0</v>
      </c>
      <c r="CS3895">
        <v>0</v>
      </c>
      <c r="CT3895">
        <v>8.5</v>
      </c>
      <c r="CU3895">
        <v>39</v>
      </c>
      <c r="CV3895">
        <v>0.25</v>
      </c>
      <c r="CW3895">
        <v>13</v>
      </c>
      <c r="CX3895" t="s">
        <v>1425</v>
      </c>
    </row>
    <row r="3896" spans="1:102" x14ac:dyDescent="0.3">
      <c r="A3896" t="str">
        <f>HYPERLINK("https://webapp.icbf.com/v2/app/bull-search/view/740354265","S939")</f>
        <v>S939</v>
      </c>
      <c r="B3896" t="s">
        <v>14482</v>
      </c>
      <c r="C3896" t="s">
        <v>14483</v>
      </c>
      <c r="D3896" s="1">
        <v>39374</v>
      </c>
      <c r="E3896" t="s">
        <v>92</v>
      </c>
      <c r="F3896">
        <v>100</v>
      </c>
      <c r="G3896" t="s">
        <v>109</v>
      </c>
      <c r="H3896">
        <v>-70.78</v>
      </c>
      <c r="I3896">
        <v>71</v>
      </c>
      <c r="J3896">
        <v>93.22</v>
      </c>
      <c r="K3896">
        <v>87</v>
      </c>
      <c r="L3896">
        <v>-136.19999999999999</v>
      </c>
      <c r="M3896">
        <v>82</v>
      </c>
      <c r="N3896">
        <v>-22.1</v>
      </c>
      <c r="O3896">
        <v>49</v>
      </c>
      <c r="P3896">
        <v>2.29</v>
      </c>
      <c r="Q3896">
        <v>58</v>
      </c>
      <c r="R3896">
        <v>-5.36</v>
      </c>
      <c r="S3896">
        <v>59</v>
      </c>
      <c r="T3896">
        <v>-2.4500000000000002</v>
      </c>
      <c r="U3896">
        <v>35</v>
      </c>
      <c r="V3896">
        <v>-0.18</v>
      </c>
      <c r="W3896">
        <v>19</v>
      </c>
      <c r="X3896" t="s">
        <v>94</v>
      </c>
      <c r="Y3896" t="s">
        <v>303</v>
      </c>
      <c r="Z3896" t="s">
        <v>96</v>
      </c>
      <c r="AA3896" t="s">
        <v>5289</v>
      </c>
      <c r="AB3896" t="s">
        <v>14484</v>
      </c>
      <c r="AC3896">
        <v>0</v>
      </c>
      <c r="AD3896">
        <v>0</v>
      </c>
      <c r="AE3896">
        <v>87</v>
      </c>
      <c r="AF3896">
        <v>475.54</v>
      </c>
      <c r="AG3896">
        <v>18.86</v>
      </c>
      <c r="AH3896">
        <v>16.46</v>
      </c>
      <c r="AI3896">
        <v>0</v>
      </c>
      <c r="AJ3896">
        <v>0</v>
      </c>
      <c r="AK3896">
        <v>82</v>
      </c>
      <c r="AL3896">
        <v>0</v>
      </c>
      <c r="AM3896">
        <v>0</v>
      </c>
      <c r="AN3896">
        <v>6.77</v>
      </c>
      <c r="AO3896">
        <v>-4.0999999999999996</v>
      </c>
      <c r="AP3896">
        <v>6</v>
      </c>
      <c r="AQ3896">
        <v>0</v>
      </c>
      <c r="AR3896">
        <v>11.35</v>
      </c>
      <c r="AS3896">
        <v>30</v>
      </c>
      <c r="AT3896">
        <v>5.13</v>
      </c>
      <c r="AU3896">
        <v>88</v>
      </c>
      <c r="AV3896">
        <v>-1.99</v>
      </c>
      <c r="AW3896">
        <v>43</v>
      </c>
      <c r="AX3896">
        <v>0.22</v>
      </c>
      <c r="AY3896">
        <v>39</v>
      </c>
      <c r="AZ3896">
        <v>7.44</v>
      </c>
      <c r="BA3896">
        <v>25</v>
      </c>
      <c r="BB3896">
        <v>5.37</v>
      </c>
      <c r="BC3896">
        <v>21</v>
      </c>
      <c r="BD3896">
        <v>0.02</v>
      </c>
      <c r="BE3896">
        <v>0</v>
      </c>
      <c r="BF3896">
        <v>0.09</v>
      </c>
      <c r="BG3896">
        <v>89</v>
      </c>
      <c r="BH3896">
        <v>0.04</v>
      </c>
      <c r="BI3896">
        <v>5.21</v>
      </c>
      <c r="BJ3896">
        <v>0</v>
      </c>
      <c r="BK3896">
        <v>0</v>
      </c>
      <c r="BL3896">
        <v>3.14</v>
      </c>
      <c r="BM3896">
        <v>0.02</v>
      </c>
      <c r="BN3896">
        <v>2.1800000000000002</v>
      </c>
      <c r="BO3896">
        <v>1.92</v>
      </c>
      <c r="BP3896">
        <v>0.72</v>
      </c>
      <c r="BQ3896">
        <v>3.01</v>
      </c>
      <c r="BR3896">
        <v>-2.21</v>
      </c>
      <c r="BS3896">
        <v>1.84</v>
      </c>
      <c r="BT3896">
        <v>2.78</v>
      </c>
      <c r="BU3896">
        <v>1.34</v>
      </c>
      <c r="BV3896">
        <v>2.4300000000000002</v>
      </c>
      <c r="BW3896">
        <v>2.13</v>
      </c>
      <c r="BX3896">
        <v>1.24</v>
      </c>
      <c r="BY3896">
        <v>0.51</v>
      </c>
      <c r="BZ3896">
        <v>1.17</v>
      </c>
      <c r="CA3896">
        <v>1.86</v>
      </c>
      <c r="CB3896">
        <v>1.63</v>
      </c>
      <c r="CC3896">
        <v>1.65</v>
      </c>
      <c r="CD3896">
        <v>-1.28</v>
      </c>
      <c r="CE3896">
        <v>1.36</v>
      </c>
      <c r="CF3896">
        <v>1.75</v>
      </c>
      <c r="CG3896">
        <v>0</v>
      </c>
      <c r="CH3896">
        <v>0.94</v>
      </c>
      <c r="CI3896">
        <v>0</v>
      </c>
      <c r="CJ3896">
        <v>5.9</v>
      </c>
      <c r="CK3896">
        <v>61</v>
      </c>
      <c r="CL3896">
        <v>-1.33</v>
      </c>
      <c r="CM3896">
        <v>58</v>
      </c>
      <c r="CN3896">
        <v>-0.62</v>
      </c>
      <c r="CO3896">
        <v>57</v>
      </c>
      <c r="CP3896">
        <v>4.0999999999999996</v>
      </c>
      <c r="CQ3896">
        <v>42</v>
      </c>
      <c r="CR3896">
        <v>0</v>
      </c>
      <c r="CS3896">
        <v>0</v>
      </c>
      <c r="CT3896">
        <v>17.100000000000001</v>
      </c>
      <c r="CU3896">
        <v>35</v>
      </c>
      <c r="CV3896">
        <v>0.54</v>
      </c>
      <c r="CW3896">
        <v>17</v>
      </c>
      <c r="CX3896" t="s">
        <v>350</v>
      </c>
    </row>
    <row r="3897" spans="1:102" x14ac:dyDescent="0.3">
      <c r="A3897" t="str">
        <f>HYPERLINK("https://webapp.icbf.com/v2/app/bull-search/view/77854840","MSI")</f>
        <v>MSI</v>
      </c>
      <c r="B3897" t="s">
        <v>9871</v>
      </c>
      <c r="C3897" t="s">
        <v>9872</v>
      </c>
      <c r="D3897" s="1">
        <v>34728</v>
      </c>
      <c r="E3897" t="s">
        <v>92</v>
      </c>
      <c r="F3897">
        <v>100</v>
      </c>
      <c r="G3897" t="s">
        <v>93</v>
      </c>
      <c r="H3897">
        <v>-70.790000000000006</v>
      </c>
      <c r="I3897">
        <v>72</v>
      </c>
      <c r="J3897">
        <v>29.09</v>
      </c>
      <c r="K3897">
        <v>91</v>
      </c>
      <c r="L3897">
        <v>-96.81</v>
      </c>
      <c r="M3897">
        <v>59</v>
      </c>
      <c r="N3897">
        <v>8.01</v>
      </c>
      <c r="O3897">
        <v>64</v>
      </c>
      <c r="P3897">
        <v>7.36</v>
      </c>
      <c r="Q3897">
        <v>80</v>
      </c>
      <c r="R3897">
        <v>-7.28</v>
      </c>
      <c r="S3897">
        <v>64</v>
      </c>
      <c r="T3897">
        <v>-10.59</v>
      </c>
      <c r="U3897">
        <v>74</v>
      </c>
      <c r="V3897">
        <v>-0.56999999999999995</v>
      </c>
      <c r="W3897">
        <v>40</v>
      </c>
      <c r="X3897" t="s">
        <v>94</v>
      </c>
      <c r="Y3897" t="s">
        <v>95</v>
      </c>
      <c r="Z3897" t="s">
        <v>96</v>
      </c>
      <c r="AA3897" t="s">
        <v>207</v>
      </c>
      <c r="AB3897" t="s">
        <v>9873</v>
      </c>
      <c r="AC3897">
        <v>50</v>
      </c>
      <c r="AD3897">
        <v>40</v>
      </c>
      <c r="AE3897">
        <v>91</v>
      </c>
      <c r="AF3897">
        <v>398.76</v>
      </c>
      <c r="AG3897">
        <v>8.34</v>
      </c>
      <c r="AH3897">
        <v>8.1</v>
      </c>
      <c r="AI3897">
        <v>-0.11</v>
      </c>
      <c r="AJ3897">
        <v>-0.09</v>
      </c>
      <c r="AK3897">
        <v>59</v>
      </c>
      <c r="AL3897">
        <v>61</v>
      </c>
      <c r="AM3897">
        <v>50</v>
      </c>
      <c r="AN3897">
        <v>6.12</v>
      </c>
      <c r="AO3897">
        <v>-1.59</v>
      </c>
      <c r="AP3897">
        <v>20</v>
      </c>
      <c r="AQ3897">
        <v>0</v>
      </c>
      <c r="AR3897">
        <v>8.59</v>
      </c>
      <c r="AS3897">
        <v>44</v>
      </c>
      <c r="AT3897">
        <v>3.7</v>
      </c>
      <c r="AU3897">
        <v>56</v>
      </c>
      <c r="AV3897">
        <v>-2.12</v>
      </c>
      <c r="AW3897">
        <v>78</v>
      </c>
      <c r="AX3897">
        <v>-0.43</v>
      </c>
      <c r="AY3897">
        <v>69</v>
      </c>
      <c r="AZ3897">
        <v>7.03</v>
      </c>
      <c r="BA3897">
        <v>39</v>
      </c>
      <c r="BB3897">
        <v>5.18</v>
      </c>
      <c r="BC3897">
        <v>49</v>
      </c>
      <c r="BD3897">
        <v>0.02</v>
      </c>
      <c r="BE3897">
        <v>0.06</v>
      </c>
      <c r="BF3897">
        <v>0.02</v>
      </c>
      <c r="BG3897">
        <v>78</v>
      </c>
      <c r="BH3897">
        <v>-0.02</v>
      </c>
      <c r="BI3897">
        <v>-0.46</v>
      </c>
      <c r="BJ3897">
        <v>5</v>
      </c>
      <c r="BK3897">
        <v>4</v>
      </c>
      <c r="BL3897">
        <v>0.33</v>
      </c>
      <c r="BM3897">
        <v>1.1100000000000001</v>
      </c>
      <c r="BN3897">
        <v>0.28999999999999998</v>
      </c>
      <c r="BO3897">
        <v>-0.26</v>
      </c>
      <c r="BP3897">
        <v>0.8</v>
      </c>
      <c r="BQ3897">
        <v>-0.1</v>
      </c>
      <c r="BR3897">
        <v>-0.72</v>
      </c>
      <c r="BS3897">
        <v>-1.28</v>
      </c>
      <c r="BT3897">
        <v>0.56999999999999995</v>
      </c>
      <c r="BU3897">
        <v>-0.36</v>
      </c>
      <c r="BV3897">
        <v>-0.08</v>
      </c>
      <c r="BW3897">
        <v>-0.23</v>
      </c>
      <c r="BX3897">
        <v>-7.0000000000000007E-2</v>
      </c>
      <c r="BY3897">
        <v>0.14000000000000001</v>
      </c>
      <c r="BZ3897">
        <v>-0.81</v>
      </c>
      <c r="CA3897">
        <v>-0.3</v>
      </c>
      <c r="CB3897">
        <v>0.15</v>
      </c>
      <c r="CC3897">
        <v>-1.1399999999999999</v>
      </c>
      <c r="CD3897">
        <v>0.45</v>
      </c>
      <c r="CE3897">
        <v>-0.02</v>
      </c>
      <c r="CF3897">
        <v>0.57999999999999996</v>
      </c>
      <c r="CG3897">
        <v>0</v>
      </c>
      <c r="CH3897">
        <v>-0.48</v>
      </c>
      <c r="CI3897">
        <v>0</v>
      </c>
      <c r="CJ3897">
        <v>7.6</v>
      </c>
      <c r="CK3897">
        <v>82</v>
      </c>
      <c r="CL3897">
        <v>-0.36</v>
      </c>
      <c r="CM3897">
        <v>79</v>
      </c>
      <c r="CN3897">
        <v>0.05</v>
      </c>
      <c r="CO3897">
        <v>77</v>
      </c>
      <c r="CP3897">
        <v>7.8</v>
      </c>
      <c r="CQ3897">
        <v>79</v>
      </c>
      <c r="CR3897">
        <v>0</v>
      </c>
      <c r="CS3897">
        <v>0</v>
      </c>
      <c r="CT3897">
        <v>28.1</v>
      </c>
      <c r="CU3897">
        <v>74</v>
      </c>
      <c r="CV3897">
        <v>0.2</v>
      </c>
      <c r="CW3897">
        <v>24</v>
      </c>
      <c r="CX3897" t="s">
        <v>485</v>
      </c>
    </row>
    <row r="3898" spans="1:102" x14ac:dyDescent="0.3">
      <c r="A3898" t="str">
        <f>HYPERLINK("https://webapp.icbf.com/v2/app/bull-search/view/397921624","BMG")</f>
        <v>BMG</v>
      </c>
      <c r="B3898" t="s">
        <v>8798</v>
      </c>
      <c r="C3898" t="s">
        <v>8799</v>
      </c>
      <c r="D3898" s="1">
        <v>37569</v>
      </c>
      <c r="E3898" t="s">
        <v>108</v>
      </c>
      <c r="F3898">
        <v>31</v>
      </c>
      <c r="G3898" t="s">
        <v>93</v>
      </c>
      <c r="H3898">
        <v>-70.83</v>
      </c>
      <c r="I3898">
        <v>91</v>
      </c>
      <c r="J3898">
        <v>-12.45</v>
      </c>
      <c r="K3898">
        <v>97</v>
      </c>
      <c r="L3898">
        <v>-13.83</v>
      </c>
      <c r="M3898">
        <v>86</v>
      </c>
      <c r="N3898">
        <v>-52.2</v>
      </c>
      <c r="O3898">
        <v>90</v>
      </c>
      <c r="P3898">
        <v>-4.57</v>
      </c>
      <c r="Q3898">
        <v>97</v>
      </c>
      <c r="R3898">
        <v>7.66</v>
      </c>
      <c r="S3898">
        <v>84</v>
      </c>
      <c r="T3898">
        <v>5.32</v>
      </c>
      <c r="U3898">
        <v>94</v>
      </c>
      <c r="V3898">
        <v>-0.76</v>
      </c>
      <c r="W3898">
        <v>85</v>
      </c>
      <c r="X3898" t="s">
        <v>94</v>
      </c>
      <c r="Y3898" t="s">
        <v>1215</v>
      </c>
      <c r="Z3898" t="s">
        <v>96</v>
      </c>
      <c r="AA3898" t="s">
        <v>2574</v>
      </c>
      <c r="AB3898" t="s">
        <v>8800</v>
      </c>
      <c r="AC3898">
        <v>133</v>
      </c>
      <c r="AD3898">
        <v>80</v>
      </c>
      <c r="AE3898">
        <v>97</v>
      </c>
      <c r="AF3898">
        <v>-65.78</v>
      </c>
      <c r="AG3898">
        <v>0.27</v>
      </c>
      <c r="AH3898">
        <v>-3.22</v>
      </c>
      <c r="AI3898">
        <v>0.05</v>
      </c>
      <c r="AJ3898">
        <v>-0.02</v>
      </c>
      <c r="AK3898">
        <v>86</v>
      </c>
      <c r="AL3898">
        <v>229</v>
      </c>
      <c r="AM3898">
        <v>128</v>
      </c>
      <c r="AN3898">
        <v>0.21</v>
      </c>
      <c r="AO3898">
        <v>-0.9</v>
      </c>
      <c r="AP3898">
        <v>278</v>
      </c>
      <c r="AQ3898">
        <v>3</v>
      </c>
      <c r="AR3898">
        <v>13.74</v>
      </c>
      <c r="AS3898">
        <v>77</v>
      </c>
      <c r="AT3898">
        <v>6.07</v>
      </c>
      <c r="AU3898">
        <v>90</v>
      </c>
      <c r="AV3898">
        <v>0.11</v>
      </c>
      <c r="AW3898">
        <v>98</v>
      </c>
      <c r="AX3898">
        <v>-0.74</v>
      </c>
      <c r="AY3898">
        <v>91</v>
      </c>
      <c r="AZ3898">
        <v>6.83</v>
      </c>
      <c r="BA3898">
        <v>71</v>
      </c>
      <c r="BB3898">
        <v>4.13</v>
      </c>
      <c r="BC3898">
        <v>77</v>
      </c>
      <c r="BD3898">
        <v>0.03</v>
      </c>
      <c r="BE3898">
        <v>-0.04</v>
      </c>
      <c r="BF3898">
        <v>-0.15</v>
      </c>
      <c r="BG3898">
        <v>92</v>
      </c>
      <c r="BH3898">
        <v>-0.16</v>
      </c>
      <c r="BI3898">
        <v>-16.05</v>
      </c>
      <c r="BJ3898">
        <v>23</v>
      </c>
      <c r="BK3898">
        <v>14</v>
      </c>
      <c r="BL3898">
        <v>-1.38</v>
      </c>
      <c r="BM3898">
        <v>1.48</v>
      </c>
      <c r="BN3898">
        <v>-1.1200000000000001</v>
      </c>
      <c r="BO3898">
        <v>-1.93</v>
      </c>
      <c r="BP3898">
        <v>0.55000000000000004</v>
      </c>
      <c r="BQ3898">
        <v>1.62</v>
      </c>
      <c r="BR3898">
        <v>-0.15</v>
      </c>
      <c r="BS3898">
        <v>0.97</v>
      </c>
      <c r="BT3898">
        <v>1.0900000000000001</v>
      </c>
      <c r="BU3898">
        <v>-0.89</v>
      </c>
      <c r="BV3898">
        <v>-2.0099999999999998</v>
      </c>
      <c r="BW3898">
        <v>-1.28</v>
      </c>
      <c r="BX3898">
        <v>-0.87</v>
      </c>
      <c r="BY3898">
        <v>-1.59</v>
      </c>
      <c r="BZ3898">
        <v>0.21</v>
      </c>
      <c r="CA3898">
        <v>-1.33</v>
      </c>
      <c r="CB3898">
        <v>-1.93</v>
      </c>
      <c r="CC3898">
        <v>0.44</v>
      </c>
      <c r="CD3898">
        <v>2.11</v>
      </c>
      <c r="CE3898">
        <v>-1.93</v>
      </c>
      <c r="CF3898">
        <v>-0.92</v>
      </c>
      <c r="CG3898">
        <v>0</v>
      </c>
      <c r="CH3898">
        <v>-1.62</v>
      </c>
      <c r="CI3898">
        <v>0</v>
      </c>
      <c r="CJ3898">
        <v>-0.2</v>
      </c>
      <c r="CK3898">
        <v>98</v>
      </c>
      <c r="CL3898">
        <v>-0.25</v>
      </c>
      <c r="CM3898">
        <v>97</v>
      </c>
      <c r="CN3898">
        <v>0.13</v>
      </c>
      <c r="CO3898">
        <v>97</v>
      </c>
      <c r="CP3898">
        <v>-1.3</v>
      </c>
      <c r="CQ3898">
        <v>95</v>
      </c>
      <c r="CR3898">
        <v>0</v>
      </c>
      <c r="CS3898">
        <v>0</v>
      </c>
      <c r="CT3898">
        <v>6.6</v>
      </c>
      <c r="CU3898">
        <v>94</v>
      </c>
      <c r="CV3898">
        <v>0.11</v>
      </c>
      <c r="CW3898">
        <v>45</v>
      </c>
      <c r="CX3898" t="s">
        <v>8801</v>
      </c>
    </row>
    <row r="3899" spans="1:102" x14ac:dyDescent="0.3">
      <c r="A3899" t="str">
        <f>HYPERLINK("https://webapp.icbf.com/v2/app/bull-search/view/586068590","S1141")</f>
        <v>S1141</v>
      </c>
      <c r="B3899" t="s">
        <v>9107</v>
      </c>
      <c r="C3899" t="s">
        <v>9108</v>
      </c>
      <c r="D3899" s="1">
        <v>38660</v>
      </c>
      <c r="E3899" t="s">
        <v>92</v>
      </c>
      <c r="F3899">
        <v>100</v>
      </c>
      <c r="G3899" t="s">
        <v>109</v>
      </c>
      <c r="H3899">
        <v>-70.84</v>
      </c>
      <c r="I3899">
        <v>65</v>
      </c>
      <c r="J3899">
        <v>32.26</v>
      </c>
      <c r="K3899">
        <v>80</v>
      </c>
      <c r="L3899">
        <v>-107.78</v>
      </c>
      <c r="M3899">
        <v>75</v>
      </c>
      <c r="N3899">
        <v>18.010000000000002</v>
      </c>
      <c r="O3899">
        <v>43</v>
      </c>
      <c r="P3899">
        <v>-13.5</v>
      </c>
      <c r="Q3899">
        <v>39</v>
      </c>
      <c r="R3899">
        <v>2.9</v>
      </c>
      <c r="S3899">
        <v>60</v>
      </c>
      <c r="T3899">
        <v>-2.38</v>
      </c>
      <c r="U3899">
        <v>32</v>
      </c>
      <c r="V3899">
        <v>-0.35</v>
      </c>
      <c r="W3899">
        <v>27</v>
      </c>
      <c r="X3899" t="s">
        <v>747</v>
      </c>
      <c r="Y3899" t="s">
        <v>336</v>
      </c>
      <c r="Z3899" t="s">
        <v>96</v>
      </c>
      <c r="AA3899" t="s">
        <v>1680</v>
      </c>
      <c r="AB3899" t="s">
        <v>9109</v>
      </c>
      <c r="AC3899">
        <v>0</v>
      </c>
      <c r="AD3899">
        <v>0</v>
      </c>
      <c r="AE3899">
        <v>80</v>
      </c>
      <c r="AF3899">
        <v>394.32</v>
      </c>
      <c r="AG3899">
        <v>9.76</v>
      </c>
      <c r="AH3899">
        <v>8.07</v>
      </c>
      <c r="AI3899">
        <v>-0.09</v>
      </c>
      <c r="AJ3899">
        <v>-0.08</v>
      </c>
      <c r="AK3899">
        <v>75</v>
      </c>
      <c r="AL3899">
        <v>0</v>
      </c>
      <c r="AM3899">
        <v>0</v>
      </c>
      <c r="AN3899">
        <v>6.32</v>
      </c>
      <c r="AO3899">
        <v>-2.27</v>
      </c>
      <c r="AP3899">
        <v>1</v>
      </c>
      <c r="AQ3899">
        <v>0</v>
      </c>
      <c r="AR3899">
        <v>7.65</v>
      </c>
      <c r="AS3899">
        <v>28</v>
      </c>
      <c r="AT3899">
        <v>3.85</v>
      </c>
      <c r="AU3899">
        <v>78</v>
      </c>
      <c r="AV3899">
        <v>-2.57</v>
      </c>
      <c r="AW3899">
        <v>34</v>
      </c>
      <c r="AX3899">
        <v>-0.3</v>
      </c>
      <c r="AY3899">
        <v>34</v>
      </c>
      <c r="AZ3899">
        <v>5.81</v>
      </c>
      <c r="BA3899">
        <v>27</v>
      </c>
      <c r="BB3899">
        <v>4.42</v>
      </c>
      <c r="BC3899">
        <v>27</v>
      </c>
      <c r="BD3899">
        <v>0.02</v>
      </c>
      <c r="BE3899">
        <v>0</v>
      </c>
      <c r="BF3899">
        <v>-0.1</v>
      </c>
      <c r="BG3899">
        <v>87</v>
      </c>
      <c r="BH3899">
        <v>-0.11</v>
      </c>
      <c r="BI3899">
        <v>-11.58</v>
      </c>
      <c r="BJ3899">
        <v>2</v>
      </c>
      <c r="BK3899">
        <v>1</v>
      </c>
      <c r="BL3899">
        <v>0.97</v>
      </c>
      <c r="BM3899">
        <v>0.7</v>
      </c>
      <c r="BN3899">
        <v>1.18</v>
      </c>
      <c r="BO3899">
        <v>0.82</v>
      </c>
      <c r="BP3899">
        <v>0.85</v>
      </c>
      <c r="BQ3899">
        <v>1.93</v>
      </c>
      <c r="BR3899">
        <v>1.36</v>
      </c>
      <c r="BS3899">
        <v>-0.3</v>
      </c>
      <c r="BT3899">
        <v>-0.36</v>
      </c>
      <c r="BU3899">
        <v>2.44</v>
      </c>
      <c r="BV3899">
        <v>2.95</v>
      </c>
      <c r="BW3899">
        <v>1.72</v>
      </c>
      <c r="BX3899">
        <v>1.4</v>
      </c>
      <c r="BY3899">
        <v>2.2999999999999998</v>
      </c>
      <c r="BZ3899">
        <v>0.96</v>
      </c>
      <c r="CA3899">
        <v>1.83</v>
      </c>
      <c r="CB3899">
        <v>2.2999999999999998</v>
      </c>
      <c r="CC3899">
        <v>0.22</v>
      </c>
      <c r="CD3899">
        <v>0.16</v>
      </c>
      <c r="CE3899">
        <v>0.8</v>
      </c>
      <c r="CF3899">
        <v>0.88</v>
      </c>
      <c r="CG3899">
        <v>0</v>
      </c>
      <c r="CH3899">
        <v>1.24</v>
      </c>
      <c r="CI3899">
        <v>0</v>
      </c>
      <c r="CJ3899">
        <v>-6.6</v>
      </c>
      <c r="CK3899">
        <v>40</v>
      </c>
      <c r="CL3899">
        <v>-1.22</v>
      </c>
      <c r="CM3899">
        <v>38</v>
      </c>
      <c r="CN3899">
        <v>-0.69</v>
      </c>
      <c r="CO3899">
        <v>37</v>
      </c>
      <c r="CP3899">
        <v>0.8</v>
      </c>
      <c r="CQ3899">
        <v>36</v>
      </c>
      <c r="CR3899">
        <v>0</v>
      </c>
      <c r="CS3899">
        <v>0</v>
      </c>
      <c r="CT3899">
        <v>17</v>
      </c>
      <c r="CU3899">
        <v>32</v>
      </c>
      <c r="CV3899">
        <v>0.24</v>
      </c>
      <c r="CW3899">
        <v>11</v>
      </c>
      <c r="CX3899" t="s">
        <v>1216</v>
      </c>
    </row>
    <row r="3900" spans="1:102" x14ac:dyDescent="0.3">
      <c r="A3900" t="str">
        <f>HYPERLINK("https://webapp.icbf.com/v2/app/bull-search/view/939861370","S1237")</f>
        <v>S1237</v>
      </c>
      <c r="B3900" t="s">
        <v>1819</v>
      </c>
      <c r="C3900" t="s">
        <v>1820</v>
      </c>
      <c r="D3900" s="1">
        <v>38474</v>
      </c>
      <c r="E3900" t="s">
        <v>197</v>
      </c>
      <c r="F3900">
        <v>0</v>
      </c>
      <c r="G3900" t="s">
        <v>116</v>
      </c>
      <c r="H3900">
        <v>-70.989999999999995</v>
      </c>
      <c r="I3900">
        <v>42</v>
      </c>
      <c r="J3900">
        <v>-27.99</v>
      </c>
      <c r="K3900">
        <v>59</v>
      </c>
      <c r="L3900">
        <v>6.63</v>
      </c>
      <c r="M3900">
        <v>22</v>
      </c>
      <c r="N3900">
        <v>-63.94</v>
      </c>
      <c r="O3900">
        <v>45</v>
      </c>
      <c r="P3900">
        <v>13.47</v>
      </c>
      <c r="Q3900">
        <v>61</v>
      </c>
      <c r="R3900">
        <v>0.68</v>
      </c>
      <c r="S3900">
        <v>26</v>
      </c>
      <c r="T3900">
        <v>5.39</v>
      </c>
      <c r="U3900">
        <v>38</v>
      </c>
      <c r="V3900">
        <v>-5.23</v>
      </c>
      <c r="W3900">
        <v>34</v>
      </c>
      <c r="X3900" t="s">
        <v>198</v>
      </c>
      <c r="Y3900" t="s">
        <v>336</v>
      </c>
      <c r="Z3900">
        <v>0</v>
      </c>
      <c r="AA3900" t="s">
        <v>1821</v>
      </c>
      <c r="AB3900" t="s">
        <v>1822</v>
      </c>
      <c r="AC3900">
        <v>7</v>
      </c>
      <c r="AD3900">
        <v>2</v>
      </c>
      <c r="AE3900">
        <v>59</v>
      </c>
      <c r="AF3900">
        <v>-133.71</v>
      </c>
      <c r="AG3900">
        <v>-8.81</v>
      </c>
      <c r="AH3900">
        <v>-3.69</v>
      </c>
      <c r="AI3900">
        <v>-0.06</v>
      </c>
      <c r="AJ3900">
        <v>0.02</v>
      </c>
      <c r="AK3900">
        <v>22</v>
      </c>
      <c r="AL3900">
        <v>6</v>
      </c>
      <c r="AM3900">
        <v>2</v>
      </c>
      <c r="AN3900">
        <v>-1.8</v>
      </c>
      <c r="AO3900">
        <v>-1.29</v>
      </c>
      <c r="AP3900">
        <v>4</v>
      </c>
      <c r="AQ3900">
        <v>1</v>
      </c>
      <c r="AR3900">
        <v>8.98</v>
      </c>
      <c r="AS3900">
        <v>14</v>
      </c>
      <c r="AT3900">
        <v>7.18</v>
      </c>
      <c r="AU3900">
        <v>28</v>
      </c>
      <c r="AV3900">
        <v>2.5099999999999998</v>
      </c>
      <c r="AW3900">
        <v>77</v>
      </c>
      <c r="AX3900">
        <v>-0.14000000000000001</v>
      </c>
      <c r="AY3900">
        <v>39</v>
      </c>
      <c r="AZ3900">
        <v>5.77</v>
      </c>
      <c r="BA3900">
        <v>8</v>
      </c>
      <c r="BB3900">
        <v>3.44</v>
      </c>
      <c r="BC3900">
        <v>9</v>
      </c>
      <c r="BD3900">
        <v>0.02</v>
      </c>
      <c r="BE3900">
        <v>-0.01</v>
      </c>
      <c r="BF3900">
        <v>-0.03</v>
      </c>
      <c r="BG3900">
        <v>33</v>
      </c>
      <c r="BH3900">
        <v>-0.15</v>
      </c>
      <c r="BI3900">
        <v>-0.48</v>
      </c>
      <c r="BJ3900">
        <v>0</v>
      </c>
      <c r="BK3900">
        <v>0</v>
      </c>
      <c r="BL3900">
        <v>0</v>
      </c>
      <c r="BM3900">
        <v>0</v>
      </c>
      <c r="BN3900">
        <v>0</v>
      </c>
      <c r="BO3900">
        <v>0</v>
      </c>
      <c r="BP3900">
        <v>0</v>
      </c>
      <c r="BQ3900">
        <v>0</v>
      </c>
      <c r="BR3900">
        <v>0</v>
      </c>
      <c r="BS3900">
        <v>0</v>
      </c>
      <c r="BT3900">
        <v>0</v>
      </c>
      <c r="BU3900">
        <v>0</v>
      </c>
      <c r="BV3900">
        <v>0</v>
      </c>
      <c r="BW3900">
        <v>0</v>
      </c>
      <c r="BX3900">
        <v>0</v>
      </c>
      <c r="BY3900">
        <v>0</v>
      </c>
      <c r="BZ3900">
        <v>0</v>
      </c>
      <c r="CA3900">
        <v>0</v>
      </c>
      <c r="CB3900">
        <v>0</v>
      </c>
      <c r="CC3900">
        <v>0</v>
      </c>
      <c r="CD3900">
        <v>0</v>
      </c>
      <c r="CE3900">
        <v>0</v>
      </c>
      <c r="CF3900">
        <v>0</v>
      </c>
      <c r="CG3900">
        <v>0</v>
      </c>
      <c r="CH3900">
        <v>0</v>
      </c>
      <c r="CI3900">
        <v>0</v>
      </c>
      <c r="CJ3900">
        <v>8.1</v>
      </c>
      <c r="CK3900">
        <v>64</v>
      </c>
      <c r="CL3900">
        <v>-0.05</v>
      </c>
      <c r="CM3900">
        <v>60</v>
      </c>
      <c r="CN3900">
        <v>-0.16</v>
      </c>
      <c r="CO3900">
        <v>56</v>
      </c>
      <c r="CP3900">
        <v>6.2</v>
      </c>
      <c r="CQ3900">
        <v>45</v>
      </c>
      <c r="CR3900">
        <v>0</v>
      </c>
      <c r="CS3900">
        <v>0</v>
      </c>
      <c r="CT3900">
        <v>6.5</v>
      </c>
      <c r="CU3900">
        <v>38</v>
      </c>
      <c r="CV3900">
        <v>0.08</v>
      </c>
      <c r="CW3900">
        <v>17</v>
      </c>
      <c r="CX3900" t="s">
        <v>1053</v>
      </c>
    </row>
    <row r="3901" spans="1:102" x14ac:dyDescent="0.3">
      <c r="A3901" t="str">
        <f>HYPERLINK("https://webapp.icbf.com/v2/app/bull-search/view/77857933","FLO")</f>
        <v>FLO</v>
      </c>
      <c r="B3901" t="s">
        <v>8900</v>
      </c>
      <c r="C3901" t="s">
        <v>8901</v>
      </c>
      <c r="D3901" s="1">
        <v>34064</v>
      </c>
      <c r="E3901" t="s">
        <v>108</v>
      </c>
      <c r="F3901">
        <v>0</v>
      </c>
      <c r="G3901" t="s">
        <v>93</v>
      </c>
      <c r="H3901">
        <v>-71.05</v>
      </c>
      <c r="I3901">
        <v>93</v>
      </c>
      <c r="J3901">
        <v>-50.84</v>
      </c>
      <c r="K3901">
        <v>98</v>
      </c>
      <c r="L3901">
        <v>22.26</v>
      </c>
      <c r="M3901">
        <v>89</v>
      </c>
      <c r="N3901">
        <v>-50.87</v>
      </c>
      <c r="O3901">
        <v>91</v>
      </c>
      <c r="P3901">
        <v>-11.67</v>
      </c>
      <c r="Q3901">
        <v>98</v>
      </c>
      <c r="R3901">
        <v>-6.52</v>
      </c>
      <c r="S3901">
        <v>89</v>
      </c>
      <c r="T3901">
        <v>18.78</v>
      </c>
      <c r="U3901">
        <v>94</v>
      </c>
      <c r="V3901">
        <v>7.81</v>
      </c>
      <c r="W3901">
        <v>85</v>
      </c>
      <c r="X3901" t="s">
        <v>102</v>
      </c>
      <c r="Y3901" t="s">
        <v>95</v>
      </c>
      <c r="Z3901" t="s">
        <v>96</v>
      </c>
      <c r="AA3901" t="s">
        <v>2821</v>
      </c>
      <c r="AB3901" t="s">
        <v>8902</v>
      </c>
      <c r="AC3901">
        <v>283</v>
      </c>
      <c r="AD3901">
        <v>149</v>
      </c>
      <c r="AE3901">
        <v>98</v>
      </c>
      <c r="AF3901">
        <v>-296.68</v>
      </c>
      <c r="AG3901">
        <v>-13.25</v>
      </c>
      <c r="AH3901">
        <v>-8.5</v>
      </c>
      <c r="AI3901">
        <v>-0.03</v>
      </c>
      <c r="AJ3901">
        <v>0.03</v>
      </c>
      <c r="AK3901">
        <v>89</v>
      </c>
      <c r="AL3901">
        <v>412</v>
      </c>
      <c r="AM3901">
        <v>214</v>
      </c>
      <c r="AN3901">
        <v>-2.4</v>
      </c>
      <c r="AO3901">
        <v>-0.64</v>
      </c>
      <c r="AP3901">
        <v>147</v>
      </c>
      <c r="AQ3901">
        <v>6</v>
      </c>
      <c r="AR3901">
        <v>12.98</v>
      </c>
      <c r="AS3901">
        <v>82</v>
      </c>
      <c r="AT3901">
        <v>5.28</v>
      </c>
      <c r="AU3901">
        <v>91</v>
      </c>
      <c r="AV3901">
        <v>-0.21</v>
      </c>
      <c r="AW3901">
        <v>94</v>
      </c>
      <c r="AX3901">
        <v>-0.25</v>
      </c>
      <c r="AY3901">
        <v>93</v>
      </c>
      <c r="AZ3901">
        <v>6.79</v>
      </c>
      <c r="BA3901">
        <v>77</v>
      </c>
      <c r="BB3901">
        <v>6.86</v>
      </c>
      <c r="BC3901">
        <v>87</v>
      </c>
      <c r="BD3901">
        <v>0.03</v>
      </c>
      <c r="BE3901">
        <v>0</v>
      </c>
      <c r="BF3901">
        <v>0.1</v>
      </c>
      <c r="BG3901">
        <v>96</v>
      </c>
      <c r="BH3901">
        <v>0.14000000000000001</v>
      </c>
      <c r="BI3901">
        <v>-9.01</v>
      </c>
      <c r="BJ3901">
        <v>26</v>
      </c>
      <c r="BK3901">
        <v>17</v>
      </c>
      <c r="BL3901">
        <v>-2.65</v>
      </c>
      <c r="BM3901">
        <v>1.22</v>
      </c>
      <c r="BN3901">
        <v>-2.73</v>
      </c>
      <c r="BO3901">
        <v>-2.78</v>
      </c>
      <c r="BP3901">
        <v>-0.22</v>
      </c>
      <c r="BQ3901">
        <v>1.45</v>
      </c>
      <c r="BR3901">
        <v>-1.4</v>
      </c>
      <c r="BS3901">
        <v>-0.95</v>
      </c>
      <c r="BT3901">
        <v>0.27</v>
      </c>
      <c r="BU3901">
        <v>-2.11</v>
      </c>
      <c r="BV3901">
        <v>-3.31</v>
      </c>
      <c r="BW3901">
        <v>-2.35</v>
      </c>
      <c r="BX3901">
        <v>-0.14000000000000001</v>
      </c>
      <c r="BY3901">
        <v>-1.65</v>
      </c>
      <c r="BZ3901">
        <v>-0.55000000000000004</v>
      </c>
      <c r="CA3901">
        <v>-2.75</v>
      </c>
      <c r="CB3901">
        <v>-2.84</v>
      </c>
      <c r="CC3901">
        <v>-2.1800000000000002</v>
      </c>
      <c r="CD3901">
        <v>2.0299999999999998</v>
      </c>
      <c r="CE3901">
        <v>-2.8</v>
      </c>
      <c r="CF3901">
        <v>-1.46</v>
      </c>
      <c r="CG3901">
        <v>0</v>
      </c>
      <c r="CH3901">
        <v>-1.72</v>
      </c>
      <c r="CI3901">
        <v>0</v>
      </c>
      <c r="CJ3901">
        <v>-5.0999999999999996</v>
      </c>
      <c r="CK3901">
        <v>98</v>
      </c>
      <c r="CL3901">
        <v>-0.16</v>
      </c>
      <c r="CM3901">
        <v>97</v>
      </c>
      <c r="CN3901">
        <v>0.11</v>
      </c>
      <c r="CO3901">
        <v>97</v>
      </c>
      <c r="CP3901">
        <v>-11.3</v>
      </c>
      <c r="CQ3901">
        <v>97</v>
      </c>
      <c r="CR3901">
        <v>0</v>
      </c>
      <c r="CS3901">
        <v>0</v>
      </c>
      <c r="CT3901">
        <v>-11.6</v>
      </c>
      <c r="CU3901">
        <v>94</v>
      </c>
      <c r="CV3901">
        <v>0.11</v>
      </c>
      <c r="CW3901">
        <v>46</v>
      </c>
      <c r="CX3901" t="s">
        <v>4002</v>
      </c>
    </row>
    <row r="3902" spans="1:102" x14ac:dyDescent="0.3">
      <c r="A3902" t="str">
        <f>HYPERLINK("https://webapp.icbf.com/v2/app/bull-search/view/444518169","ABW")</f>
        <v>ABW</v>
      </c>
      <c r="B3902" t="s">
        <v>7113</v>
      </c>
      <c r="C3902" t="s">
        <v>7114</v>
      </c>
      <c r="D3902" s="1">
        <v>37156</v>
      </c>
      <c r="E3902" t="s">
        <v>92</v>
      </c>
      <c r="F3902">
        <v>100</v>
      </c>
      <c r="G3902" t="s">
        <v>93</v>
      </c>
      <c r="H3902">
        <v>-71.239999999999995</v>
      </c>
      <c r="I3902">
        <v>88</v>
      </c>
      <c r="J3902">
        <v>27</v>
      </c>
      <c r="K3902">
        <v>96</v>
      </c>
      <c r="L3902">
        <v>-92.88</v>
      </c>
      <c r="M3902">
        <v>88</v>
      </c>
      <c r="N3902">
        <v>7.8</v>
      </c>
      <c r="O3902">
        <v>81</v>
      </c>
      <c r="P3902">
        <v>-15.75</v>
      </c>
      <c r="Q3902">
        <v>87</v>
      </c>
      <c r="R3902">
        <v>8.3800000000000008</v>
      </c>
      <c r="S3902">
        <v>80</v>
      </c>
      <c r="T3902">
        <v>4.87</v>
      </c>
      <c r="U3902">
        <v>78</v>
      </c>
      <c r="V3902">
        <v>-10.66</v>
      </c>
      <c r="W3902">
        <v>73</v>
      </c>
      <c r="X3902" t="s">
        <v>276</v>
      </c>
      <c r="Y3902" t="s">
        <v>1208</v>
      </c>
      <c r="Z3902" t="s">
        <v>96</v>
      </c>
      <c r="AA3902" t="s">
        <v>289</v>
      </c>
      <c r="AB3902" t="s">
        <v>7115</v>
      </c>
      <c r="AC3902">
        <v>57</v>
      </c>
      <c r="AD3902">
        <v>23</v>
      </c>
      <c r="AE3902">
        <v>96</v>
      </c>
      <c r="AF3902">
        <v>309.11</v>
      </c>
      <c r="AG3902">
        <v>4.93</v>
      </c>
      <c r="AH3902">
        <v>7.58</v>
      </c>
      <c r="AI3902">
        <v>-0.12</v>
      </c>
      <c r="AJ3902">
        <v>-0.05</v>
      </c>
      <c r="AK3902">
        <v>88</v>
      </c>
      <c r="AL3902">
        <v>56</v>
      </c>
      <c r="AM3902">
        <v>25</v>
      </c>
      <c r="AN3902">
        <v>4.83</v>
      </c>
      <c r="AO3902">
        <v>-2.58</v>
      </c>
      <c r="AP3902">
        <v>117</v>
      </c>
      <c r="AQ3902">
        <v>0</v>
      </c>
      <c r="AR3902">
        <v>9.4600000000000009</v>
      </c>
      <c r="AS3902">
        <v>68</v>
      </c>
      <c r="AT3902">
        <v>4.47</v>
      </c>
      <c r="AU3902">
        <v>92</v>
      </c>
      <c r="AV3902">
        <v>-3.23</v>
      </c>
      <c r="AW3902">
        <v>88</v>
      </c>
      <c r="AX3902">
        <v>0.53</v>
      </c>
      <c r="AY3902">
        <v>72</v>
      </c>
      <c r="AZ3902">
        <v>5.69</v>
      </c>
      <c r="BA3902">
        <v>61</v>
      </c>
      <c r="BB3902">
        <v>4.68</v>
      </c>
      <c r="BC3902">
        <v>60</v>
      </c>
      <c r="BD3902">
        <v>-0.04</v>
      </c>
      <c r="BE3902">
        <v>-0.04</v>
      </c>
      <c r="BF3902">
        <v>-0.05</v>
      </c>
      <c r="BG3902">
        <v>91</v>
      </c>
      <c r="BH3902">
        <v>-0.28999999999999998</v>
      </c>
      <c r="BI3902">
        <v>0.85</v>
      </c>
      <c r="BJ3902">
        <v>14</v>
      </c>
      <c r="BK3902">
        <v>5</v>
      </c>
      <c r="BL3902">
        <v>1.33</v>
      </c>
      <c r="BM3902">
        <v>-1.81</v>
      </c>
      <c r="BN3902">
        <v>0.14000000000000001</v>
      </c>
      <c r="BO3902">
        <v>1.08</v>
      </c>
      <c r="BP3902">
        <v>1.1299999999999999</v>
      </c>
      <c r="BQ3902">
        <v>0.48</v>
      </c>
      <c r="BR3902">
        <v>0.46</v>
      </c>
      <c r="BS3902">
        <v>-1.6</v>
      </c>
      <c r="BT3902">
        <v>0.23</v>
      </c>
      <c r="BU3902">
        <v>1.45</v>
      </c>
      <c r="BV3902">
        <v>1.18</v>
      </c>
      <c r="BW3902">
        <v>1.4</v>
      </c>
      <c r="BX3902">
        <v>1.78</v>
      </c>
      <c r="BY3902">
        <v>1.87</v>
      </c>
      <c r="BZ3902">
        <v>-2.77</v>
      </c>
      <c r="CA3902">
        <v>0.43</v>
      </c>
      <c r="CB3902">
        <v>1.39</v>
      </c>
      <c r="CC3902">
        <v>-1.1299999999999999</v>
      </c>
      <c r="CD3902">
        <v>-1.37</v>
      </c>
      <c r="CE3902">
        <v>1.31</v>
      </c>
      <c r="CF3902">
        <v>1.07</v>
      </c>
      <c r="CG3902">
        <v>0</v>
      </c>
      <c r="CH3902">
        <v>2.2000000000000002</v>
      </c>
      <c r="CI3902">
        <v>0</v>
      </c>
      <c r="CJ3902">
        <v>-5.5</v>
      </c>
      <c r="CK3902">
        <v>88</v>
      </c>
      <c r="CL3902">
        <v>-1.45</v>
      </c>
      <c r="CM3902">
        <v>86</v>
      </c>
      <c r="CN3902">
        <v>-0.65</v>
      </c>
      <c r="CO3902">
        <v>84</v>
      </c>
      <c r="CP3902">
        <v>-5.4</v>
      </c>
      <c r="CQ3902">
        <v>84</v>
      </c>
      <c r="CR3902">
        <v>0</v>
      </c>
      <c r="CS3902">
        <v>0</v>
      </c>
      <c r="CT3902">
        <v>7.2</v>
      </c>
      <c r="CU3902">
        <v>78</v>
      </c>
      <c r="CV3902">
        <v>0.23</v>
      </c>
      <c r="CW3902">
        <v>43</v>
      </c>
      <c r="CX3902" t="s">
        <v>856</v>
      </c>
    </row>
    <row r="3903" spans="1:102" x14ac:dyDescent="0.3">
      <c r="A3903" t="str">
        <f>HYPERLINK("https://webapp.icbf.com/v2/app/bull-search/view/69092311","NON")</f>
        <v>NON</v>
      </c>
      <c r="B3903" t="s">
        <v>5024</v>
      </c>
      <c r="C3903" t="s">
        <v>5025</v>
      </c>
      <c r="D3903" s="1">
        <v>32425</v>
      </c>
      <c r="E3903" t="s">
        <v>197</v>
      </c>
      <c r="F3903">
        <v>0</v>
      </c>
      <c r="G3903" t="s">
        <v>116</v>
      </c>
      <c r="H3903">
        <v>-71.38</v>
      </c>
      <c r="I3903">
        <v>28</v>
      </c>
      <c r="J3903">
        <v>-40.81</v>
      </c>
      <c r="K3903">
        <v>47</v>
      </c>
      <c r="L3903">
        <v>-47.91</v>
      </c>
      <c r="M3903">
        <v>19</v>
      </c>
      <c r="N3903">
        <v>-1.97</v>
      </c>
      <c r="O3903">
        <v>16</v>
      </c>
      <c r="P3903">
        <v>5.13</v>
      </c>
      <c r="Q3903">
        <v>18</v>
      </c>
      <c r="R3903">
        <v>7.45</v>
      </c>
      <c r="S3903">
        <v>19</v>
      </c>
      <c r="T3903">
        <v>16.559999999999999</v>
      </c>
      <c r="U3903">
        <v>13</v>
      </c>
      <c r="V3903">
        <v>-9.83</v>
      </c>
      <c r="W3903">
        <v>23</v>
      </c>
      <c r="X3903" t="s">
        <v>94</v>
      </c>
      <c r="Y3903" t="s">
        <v>95</v>
      </c>
      <c r="Z3903">
        <v>0</v>
      </c>
      <c r="AA3903" t="s">
        <v>691</v>
      </c>
      <c r="AB3903" t="s">
        <v>5026</v>
      </c>
      <c r="AC3903">
        <v>4</v>
      </c>
      <c r="AD3903">
        <v>3</v>
      </c>
      <c r="AE3903">
        <v>47</v>
      </c>
      <c r="AF3903">
        <v>-208.69</v>
      </c>
      <c r="AG3903">
        <v>-8.27</v>
      </c>
      <c r="AH3903">
        <v>-7.21</v>
      </c>
      <c r="AI3903">
        <v>0</v>
      </c>
      <c r="AJ3903">
        <v>0</v>
      </c>
      <c r="AK3903">
        <v>19</v>
      </c>
      <c r="AL3903">
        <v>6</v>
      </c>
      <c r="AM3903">
        <v>5</v>
      </c>
      <c r="AN3903">
        <v>1.91</v>
      </c>
      <c r="AO3903">
        <v>-1.92</v>
      </c>
      <c r="AP3903">
        <v>5</v>
      </c>
      <c r="AQ3903">
        <v>1</v>
      </c>
      <c r="AR3903">
        <v>4.54</v>
      </c>
      <c r="AS3903">
        <v>19</v>
      </c>
      <c r="AT3903">
        <v>5.18</v>
      </c>
      <c r="AU3903">
        <v>7</v>
      </c>
      <c r="AV3903">
        <v>0.05</v>
      </c>
      <c r="AW3903">
        <v>21</v>
      </c>
      <c r="AX3903">
        <v>-0.56000000000000005</v>
      </c>
      <c r="AY3903">
        <v>25</v>
      </c>
      <c r="AZ3903">
        <v>5.77</v>
      </c>
      <c r="BA3903">
        <v>5</v>
      </c>
      <c r="BB3903">
        <v>3.44</v>
      </c>
      <c r="BC3903">
        <v>7</v>
      </c>
      <c r="BD3903">
        <v>-0.02</v>
      </c>
      <c r="BE3903">
        <v>-0.02</v>
      </c>
      <c r="BF3903">
        <v>-0.1</v>
      </c>
      <c r="BG3903">
        <v>23</v>
      </c>
      <c r="BH3903">
        <v>-0.28000000000000003</v>
      </c>
      <c r="BI3903">
        <v>-0.67</v>
      </c>
      <c r="BJ3903">
        <v>0</v>
      </c>
      <c r="BK3903">
        <v>0</v>
      </c>
      <c r="BL3903">
        <v>-1.22</v>
      </c>
      <c r="BM3903">
        <v>0.95</v>
      </c>
      <c r="BN3903">
        <v>-1.17</v>
      </c>
      <c r="BO3903">
        <v>-1.44</v>
      </c>
      <c r="BP3903">
        <v>-0.16</v>
      </c>
      <c r="BQ3903">
        <v>0.28000000000000003</v>
      </c>
      <c r="BR3903">
        <v>-0.59</v>
      </c>
      <c r="BS3903">
        <v>0.15</v>
      </c>
      <c r="BT3903">
        <v>-0.23</v>
      </c>
      <c r="BU3903">
        <v>-1.21</v>
      </c>
      <c r="BV3903">
        <v>-1.17</v>
      </c>
      <c r="BW3903">
        <v>-1.32</v>
      </c>
      <c r="BX3903">
        <v>-0.89</v>
      </c>
      <c r="BY3903">
        <v>-1</v>
      </c>
      <c r="BZ3903">
        <v>-0.51</v>
      </c>
      <c r="CA3903">
        <v>-1.58</v>
      </c>
      <c r="CB3903">
        <v>-1.41</v>
      </c>
      <c r="CC3903">
        <v>-1.32</v>
      </c>
      <c r="CD3903">
        <v>1.58</v>
      </c>
      <c r="CE3903">
        <v>-1.49</v>
      </c>
      <c r="CF3903">
        <v>-1.19</v>
      </c>
      <c r="CG3903">
        <v>0</v>
      </c>
      <c r="CH3903">
        <v>-1.44</v>
      </c>
      <c r="CI3903">
        <v>0</v>
      </c>
      <c r="CJ3903">
        <v>2.8</v>
      </c>
      <c r="CK3903">
        <v>20</v>
      </c>
      <c r="CL3903">
        <v>0</v>
      </c>
      <c r="CM3903">
        <v>16</v>
      </c>
      <c r="CN3903">
        <v>-0.17</v>
      </c>
      <c r="CO3903">
        <v>14</v>
      </c>
      <c r="CP3903">
        <v>-4.8</v>
      </c>
      <c r="CQ3903">
        <v>16</v>
      </c>
      <c r="CR3903">
        <v>0</v>
      </c>
      <c r="CS3903">
        <v>0</v>
      </c>
      <c r="CT3903">
        <v>-8.6</v>
      </c>
      <c r="CU3903">
        <v>13</v>
      </c>
      <c r="CV3903">
        <v>-0.08</v>
      </c>
      <c r="CW3903">
        <v>4</v>
      </c>
      <c r="CX3903" t="s">
        <v>5027</v>
      </c>
    </row>
    <row r="3904" spans="1:102" x14ac:dyDescent="0.3">
      <c r="A3904" t="str">
        <f>HYPERLINK("https://webapp.icbf.com/v2/app/bull-search/view/910793473","S1162")</f>
        <v>S1162</v>
      </c>
      <c r="B3904" t="s">
        <v>1789</v>
      </c>
      <c r="C3904" t="s">
        <v>1790</v>
      </c>
      <c r="D3904" s="1">
        <v>39849</v>
      </c>
      <c r="E3904" t="s">
        <v>92</v>
      </c>
      <c r="F3904">
        <v>100</v>
      </c>
      <c r="G3904" t="s">
        <v>109</v>
      </c>
      <c r="H3904">
        <v>-71.58</v>
      </c>
      <c r="I3904">
        <v>83</v>
      </c>
      <c r="J3904">
        <v>-22.74</v>
      </c>
      <c r="K3904">
        <v>93</v>
      </c>
      <c r="L3904">
        <v>-22.14</v>
      </c>
      <c r="M3904">
        <v>86</v>
      </c>
      <c r="N3904">
        <v>-24.44</v>
      </c>
      <c r="O3904">
        <v>75</v>
      </c>
      <c r="P3904">
        <v>-7.86</v>
      </c>
      <c r="Q3904">
        <v>70</v>
      </c>
      <c r="R3904">
        <v>13.61</v>
      </c>
      <c r="S3904">
        <v>76</v>
      </c>
      <c r="T3904">
        <v>-6.75</v>
      </c>
      <c r="U3904">
        <v>66</v>
      </c>
      <c r="V3904">
        <v>-1.26</v>
      </c>
      <c r="W3904">
        <v>60</v>
      </c>
      <c r="X3904" t="s">
        <v>251</v>
      </c>
      <c r="Y3904" t="s">
        <v>336</v>
      </c>
      <c r="Z3904" t="s">
        <v>96</v>
      </c>
      <c r="AA3904" t="s">
        <v>1791</v>
      </c>
      <c r="AB3904" t="s">
        <v>1792</v>
      </c>
      <c r="AC3904">
        <v>0</v>
      </c>
      <c r="AD3904">
        <v>0</v>
      </c>
      <c r="AE3904">
        <v>93</v>
      </c>
      <c r="AF3904">
        <v>62.68</v>
      </c>
      <c r="AG3904">
        <v>-5.82</v>
      </c>
      <c r="AH3904">
        <v>-0.85</v>
      </c>
      <c r="AI3904">
        <v>-0.14000000000000001</v>
      </c>
      <c r="AJ3904">
        <v>-0.05</v>
      </c>
      <c r="AK3904">
        <v>86</v>
      </c>
      <c r="AL3904">
        <v>0</v>
      </c>
      <c r="AM3904">
        <v>0</v>
      </c>
      <c r="AN3904">
        <v>1.64</v>
      </c>
      <c r="AO3904">
        <v>-0.12</v>
      </c>
      <c r="AP3904">
        <v>39</v>
      </c>
      <c r="AQ3904">
        <v>0</v>
      </c>
      <c r="AR3904">
        <v>10.07</v>
      </c>
      <c r="AS3904">
        <v>64</v>
      </c>
      <c r="AT3904">
        <v>4.5999999999999996</v>
      </c>
      <c r="AU3904">
        <v>91</v>
      </c>
      <c r="AV3904">
        <v>-0.46</v>
      </c>
      <c r="AW3904">
        <v>82</v>
      </c>
      <c r="AX3904">
        <v>1.02</v>
      </c>
      <c r="AY3904">
        <v>60</v>
      </c>
      <c r="AZ3904">
        <v>6.36</v>
      </c>
      <c r="BA3904">
        <v>52</v>
      </c>
      <c r="BB3904">
        <v>5.57</v>
      </c>
      <c r="BC3904">
        <v>49</v>
      </c>
      <c r="BD3904">
        <v>-0.03</v>
      </c>
      <c r="BE3904">
        <v>-7.0000000000000007E-2</v>
      </c>
      <c r="BF3904">
        <v>-0.13</v>
      </c>
      <c r="BG3904">
        <v>92</v>
      </c>
      <c r="BH3904">
        <v>-0.09</v>
      </c>
      <c r="BI3904">
        <v>-6.34</v>
      </c>
      <c r="BJ3904">
        <v>11</v>
      </c>
      <c r="BK3904">
        <v>7</v>
      </c>
      <c r="BL3904">
        <v>1.49</v>
      </c>
      <c r="BM3904">
        <v>-0.44</v>
      </c>
      <c r="BN3904">
        <v>0.14000000000000001</v>
      </c>
      <c r="BO3904">
        <v>0.7</v>
      </c>
      <c r="BP3904">
        <v>-1.23</v>
      </c>
      <c r="BQ3904">
        <v>1.98</v>
      </c>
      <c r="BR3904">
        <v>0.35</v>
      </c>
      <c r="BS3904">
        <v>1.9</v>
      </c>
      <c r="BT3904">
        <v>0.16</v>
      </c>
      <c r="BU3904">
        <v>2.0299999999999998</v>
      </c>
      <c r="BV3904">
        <v>1.59</v>
      </c>
      <c r="BW3904">
        <v>1.52</v>
      </c>
      <c r="BX3904">
        <v>2.5099999999999998</v>
      </c>
      <c r="BY3904">
        <v>0.96</v>
      </c>
      <c r="BZ3904">
        <v>-1.05</v>
      </c>
      <c r="CA3904">
        <v>1.66</v>
      </c>
      <c r="CB3904">
        <v>1.63</v>
      </c>
      <c r="CC3904">
        <v>1.03</v>
      </c>
      <c r="CD3904">
        <v>-0.2</v>
      </c>
      <c r="CE3904">
        <v>1.04</v>
      </c>
      <c r="CF3904">
        <v>1.58</v>
      </c>
      <c r="CG3904">
        <v>0</v>
      </c>
      <c r="CH3904">
        <v>1.34</v>
      </c>
      <c r="CI3904">
        <v>0</v>
      </c>
      <c r="CJ3904">
        <v>-3.2</v>
      </c>
      <c r="CK3904">
        <v>73</v>
      </c>
      <c r="CL3904">
        <v>-1.43</v>
      </c>
      <c r="CM3904">
        <v>68</v>
      </c>
      <c r="CN3904">
        <v>-0.91</v>
      </c>
      <c r="CO3904">
        <v>65</v>
      </c>
      <c r="CP3904">
        <v>4.4000000000000004</v>
      </c>
      <c r="CQ3904">
        <v>68</v>
      </c>
      <c r="CR3904">
        <v>0</v>
      </c>
      <c r="CS3904">
        <v>0</v>
      </c>
      <c r="CT3904">
        <v>22.9</v>
      </c>
      <c r="CU3904">
        <v>66</v>
      </c>
      <c r="CV3904">
        <v>0.13</v>
      </c>
      <c r="CW3904">
        <v>40</v>
      </c>
      <c r="CX3904" t="s">
        <v>350</v>
      </c>
    </row>
    <row r="3905" spans="1:102" x14ac:dyDescent="0.3">
      <c r="A3905" t="str">
        <f>HYPERLINK("https://webapp.icbf.com/v2/app/bull-search/view/77858350","DHC")</f>
        <v>DHC</v>
      </c>
      <c r="B3905" t="s">
        <v>728</v>
      </c>
      <c r="C3905" t="s">
        <v>729</v>
      </c>
      <c r="D3905" s="1">
        <v>35433</v>
      </c>
      <c r="E3905" t="s">
        <v>92</v>
      </c>
      <c r="F3905">
        <v>100</v>
      </c>
      <c r="G3905" t="s">
        <v>116</v>
      </c>
      <c r="H3905">
        <v>-71.75</v>
      </c>
      <c r="I3905">
        <v>34</v>
      </c>
      <c r="J3905">
        <v>16.3</v>
      </c>
      <c r="K3905">
        <v>42</v>
      </c>
      <c r="L3905">
        <v>-88.66</v>
      </c>
      <c r="M3905">
        <v>27</v>
      </c>
      <c r="N3905">
        <v>7.37</v>
      </c>
      <c r="O3905">
        <v>34</v>
      </c>
      <c r="P3905">
        <v>-12.89</v>
      </c>
      <c r="Q3905">
        <v>45</v>
      </c>
      <c r="R3905">
        <v>-10.130000000000001</v>
      </c>
      <c r="S3905">
        <v>32</v>
      </c>
      <c r="T3905">
        <v>15.16</v>
      </c>
      <c r="U3905">
        <v>32</v>
      </c>
      <c r="V3905">
        <v>1.1000000000000001</v>
      </c>
      <c r="W3905">
        <v>22</v>
      </c>
      <c r="X3905" t="s">
        <v>94</v>
      </c>
      <c r="Y3905" t="s">
        <v>730</v>
      </c>
      <c r="Z3905" t="s">
        <v>96</v>
      </c>
      <c r="AA3905" t="s">
        <v>731</v>
      </c>
      <c r="AB3905" t="s">
        <v>732</v>
      </c>
      <c r="AC3905">
        <v>3</v>
      </c>
      <c r="AD3905">
        <v>4</v>
      </c>
      <c r="AE3905">
        <v>42</v>
      </c>
      <c r="AF3905">
        <v>120.63</v>
      </c>
      <c r="AG3905">
        <v>4.21</v>
      </c>
      <c r="AH3905">
        <v>3.13</v>
      </c>
      <c r="AI3905">
        <v>-0.01</v>
      </c>
      <c r="AJ3905">
        <v>-0.02</v>
      </c>
      <c r="AK3905">
        <v>27</v>
      </c>
      <c r="AL3905">
        <v>4</v>
      </c>
      <c r="AM3905">
        <v>4</v>
      </c>
      <c r="AN3905">
        <v>4.08</v>
      </c>
      <c r="AO3905">
        <v>-3</v>
      </c>
      <c r="AP3905">
        <v>3</v>
      </c>
      <c r="AQ3905">
        <v>1</v>
      </c>
      <c r="AR3905">
        <v>8.81</v>
      </c>
      <c r="AS3905">
        <v>21</v>
      </c>
      <c r="AT3905">
        <v>3.73</v>
      </c>
      <c r="AU3905">
        <v>37</v>
      </c>
      <c r="AV3905">
        <v>-1.95</v>
      </c>
      <c r="AW3905">
        <v>40</v>
      </c>
      <c r="AX3905">
        <v>0.25</v>
      </c>
      <c r="AY3905">
        <v>34</v>
      </c>
      <c r="AZ3905">
        <v>5.76</v>
      </c>
      <c r="BA3905">
        <v>21</v>
      </c>
      <c r="BB3905">
        <v>4.8600000000000003</v>
      </c>
      <c r="BC3905">
        <v>24</v>
      </c>
      <c r="BD3905">
        <v>0.03</v>
      </c>
      <c r="BE3905">
        <v>7.0000000000000007E-2</v>
      </c>
      <c r="BF3905">
        <v>0.05</v>
      </c>
      <c r="BG3905">
        <v>38</v>
      </c>
      <c r="BH3905">
        <v>0.1</v>
      </c>
      <c r="BI3905">
        <v>8.02</v>
      </c>
      <c r="BJ3905">
        <v>0</v>
      </c>
      <c r="BK3905">
        <v>0</v>
      </c>
      <c r="BL3905">
        <v>0.52</v>
      </c>
      <c r="BM3905">
        <v>0.2</v>
      </c>
      <c r="BN3905">
        <v>0.96</v>
      </c>
      <c r="BO3905">
        <v>0.6</v>
      </c>
      <c r="BP3905">
        <v>1.52</v>
      </c>
      <c r="BQ3905">
        <v>-0.4</v>
      </c>
      <c r="BR3905">
        <v>1.3</v>
      </c>
      <c r="BS3905">
        <v>-1.8</v>
      </c>
      <c r="BT3905">
        <v>-1.34</v>
      </c>
      <c r="BU3905">
        <v>-0.76</v>
      </c>
      <c r="BV3905">
        <v>-0.49</v>
      </c>
      <c r="BW3905">
        <v>-0.95</v>
      </c>
      <c r="BX3905">
        <v>-0.82</v>
      </c>
      <c r="BY3905">
        <v>-0.72</v>
      </c>
      <c r="BZ3905">
        <v>-0.67</v>
      </c>
      <c r="CA3905">
        <v>-0.81</v>
      </c>
      <c r="CB3905">
        <v>-0.18</v>
      </c>
      <c r="CC3905">
        <v>-1.57</v>
      </c>
      <c r="CD3905">
        <v>-0.45</v>
      </c>
      <c r="CE3905">
        <v>0.81</v>
      </c>
      <c r="CF3905">
        <v>0.14000000000000001</v>
      </c>
      <c r="CG3905">
        <v>0</v>
      </c>
      <c r="CH3905">
        <v>-0.75</v>
      </c>
      <c r="CI3905">
        <v>0</v>
      </c>
      <c r="CJ3905">
        <v>-3.7</v>
      </c>
      <c r="CK3905">
        <v>48</v>
      </c>
      <c r="CL3905">
        <v>-0.74</v>
      </c>
      <c r="CM3905">
        <v>43</v>
      </c>
      <c r="CN3905">
        <v>-0.11</v>
      </c>
      <c r="CO3905">
        <v>41</v>
      </c>
      <c r="CP3905">
        <v>-9.6</v>
      </c>
      <c r="CQ3905">
        <v>37</v>
      </c>
      <c r="CR3905">
        <v>0</v>
      </c>
      <c r="CS3905">
        <v>0</v>
      </c>
      <c r="CT3905">
        <v>-6.7</v>
      </c>
      <c r="CU3905">
        <v>32</v>
      </c>
      <c r="CV3905">
        <v>0.14000000000000001</v>
      </c>
      <c r="CW3905">
        <v>13</v>
      </c>
      <c r="CX3905" t="s">
        <v>485</v>
      </c>
    </row>
    <row r="3906" spans="1:102" x14ac:dyDescent="0.3">
      <c r="A3906" t="str">
        <f>HYPERLINK("https://webapp.icbf.com/v2/app/bull-search/view/326609545","HGI")</f>
        <v>HGI</v>
      </c>
      <c r="B3906" t="s">
        <v>14130</v>
      </c>
      <c r="C3906" t="s">
        <v>14131</v>
      </c>
      <c r="D3906" s="1">
        <v>33918</v>
      </c>
      <c r="E3906" t="s">
        <v>140</v>
      </c>
      <c r="F3906">
        <v>0</v>
      </c>
      <c r="G3906" t="s">
        <v>93</v>
      </c>
      <c r="H3906">
        <v>-71.760000000000005</v>
      </c>
      <c r="I3906">
        <v>83</v>
      </c>
      <c r="J3906">
        <v>-67.31</v>
      </c>
      <c r="K3906">
        <v>96</v>
      </c>
      <c r="L3906">
        <v>15.18</v>
      </c>
      <c r="M3906">
        <v>74</v>
      </c>
      <c r="N3906">
        <v>-42.86</v>
      </c>
      <c r="O3906">
        <v>75</v>
      </c>
      <c r="P3906">
        <v>13.17</v>
      </c>
      <c r="Q3906">
        <v>85</v>
      </c>
      <c r="R3906">
        <v>4.0199999999999996</v>
      </c>
      <c r="S3906">
        <v>75</v>
      </c>
      <c r="T3906">
        <v>17.53</v>
      </c>
      <c r="U3906">
        <v>88</v>
      </c>
      <c r="V3906">
        <v>-11.49</v>
      </c>
      <c r="W3906">
        <v>59</v>
      </c>
      <c r="X3906" t="s">
        <v>102</v>
      </c>
      <c r="Y3906" t="s">
        <v>270</v>
      </c>
      <c r="Z3906" t="s">
        <v>96</v>
      </c>
      <c r="AA3906" t="s">
        <v>599</v>
      </c>
      <c r="AB3906" t="s">
        <v>14132</v>
      </c>
      <c r="AC3906">
        <v>80</v>
      </c>
      <c r="AD3906">
        <v>37</v>
      </c>
      <c r="AE3906">
        <v>96</v>
      </c>
      <c r="AF3906">
        <v>-189.91</v>
      </c>
      <c r="AG3906">
        <v>-16.18</v>
      </c>
      <c r="AH3906">
        <v>-8.6300000000000008</v>
      </c>
      <c r="AI3906">
        <v>-0.16</v>
      </c>
      <c r="AJ3906">
        <v>-0.04</v>
      </c>
      <c r="AK3906">
        <v>74</v>
      </c>
      <c r="AL3906">
        <v>82</v>
      </c>
      <c r="AM3906">
        <v>40</v>
      </c>
      <c r="AN3906">
        <v>-0.87</v>
      </c>
      <c r="AO3906">
        <v>0.34</v>
      </c>
      <c r="AP3906">
        <v>16</v>
      </c>
      <c r="AQ3906">
        <v>0</v>
      </c>
      <c r="AR3906">
        <v>11.24</v>
      </c>
      <c r="AS3906">
        <v>52</v>
      </c>
      <c r="AT3906">
        <v>5.0599999999999996</v>
      </c>
      <c r="AU3906">
        <v>71</v>
      </c>
      <c r="AV3906">
        <v>1.99</v>
      </c>
      <c r="AW3906">
        <v>87</v>
      </c>
      <c r="AX3906">
        <v>-0.8</v>
      </c>
      <c r="AY3906">
        <v>75</v>
      </c>
      <c r="AZ3906">
        <v>5.75</v>
      </c>
      <c r="BA3906">
        <v>48</v>
      </c>
      <c r="BB3906">
        <v>4.5</v>
      </c>
      <c r="BC3906">
        <v>64</v>
      </c>
      <c r="BD3906">
        <v>-0.02</v>
      </c>
      <c r="BE3906">
        <v>-0.01</v>
      </c>
      <c r="BF3906">
        <v>-0.04</v>
      </c>
      <c r="BG3906">
        <v>87</v>
      </c>
      <c r="BH3906">
        <v>-0.2</v>
      </c>
      <c r="BI3906">
        <v>13.94</v>
      </c>
      <c r="BJ3906">
        <v>0</v>
      </c>
      <c r="BK3906">
        <v>0</v>
      </c>
      <c r="BL3906">
        <v>-1.02</v>
      </c>
      <c r="BM3906">
        <v>3.31</v>
      </c>
      <c r="BN3906">
        <v>-1.88</v>
      </c>
      <c r="BO3906">
        <v>-3.13</v>
      </c>
      <c r="BP3906">
        <v>4.05</v>
      </c>
      <c r="BQ3906">
        <v>-2.17</v>
      </c>
      <c r="BR3906">
        <v>-2.75</v>
      </c>
      <c r="BS3906">
        <v>-0.53</v>
      </c>
      <c r="BT3906">
        <v>2.61</v>
      </c>
      <c r="BU3906">
        <v>-3.3</v>
      </c>
      <c r="BV3906">
        <v>-3.81</v>
      </c>
      <c r="BW3906">
        <v>-2.89</v>
      </c>
      <c r="BX3906">
        <v>-2.62</v>
      </c>
      <c r="BY3906">
        <v>-2.46</v>
      </c>
      <c r="BZ3906">
        <v>0.98</v>
      </c>
      <c r="CA3906">
        <v>-2.39</v>
      </c>
      <c r="CB3906">
        <v>-3.03</v>
      </c>
      <c r="CC3906">
        <v>-0.47</v>
      </c>
      <c r="CD3906">
        <v>3.87</v>
      </c>
      <c r="CE3906">
        <v>-3.12</v>
      </c>
      <c r="CF3906">
        <v>-1.27</v>
      </c>
      <c r="CG3906">
        <v>0</v>
      </c>
      <c r="CH3906">
        <v>-2.59</v>
      </c>
      <c r="CI3906">
        <v>0</v>
      </c>
      <c r="CJ3906">
        <v>3.8</v>
      </c>
      <c r="CK3906">
        <v>86</v>
      </c>
      <c r="CL3906">
        <v>0.52</v>
      </c>
      <c r="CM3906">
        <v>84</v>
      </c>
      <c r="CN3906">
        <v>-0.24</v>
      </c>
      <c r="CO3906">
        <v>82</v>
      </c>
      <c r="CP3906">
        <v>-1.7</v>
      </c>
      <c r="CQ3906">
        <v>88</v>
      </c>
      <c r="CR3906">
        <v>0</v>
      </c>
      <c r="CS3906">
        <v>0</v>
      </c>
      <c r="CT3906">
        <v>-9.9</v>
      </c>
      <c r="CU3906">
        <v>88</v>
      </c>
      <c r="CV3906">
        <v>0.08</v>
      </c>
      <c r="CW3906">
        <v>43</v>
      </c>
      <c r="CX3906" t="s">
        <v>2464</v>
      </c>
    </row>
    <row r="3907" spans="1:102" x14ac:dyDescent="0.3">
      <c r="A3907" t="str">
        <f>HYPERLINK("https://webapp.icbf.com/v2/app/bull-search/view/77568399","HWA")</f>
        <v>HWA</v>
      </c>
      <c r="B3907" t="s">
        <v>2746</v>
      </c>
      <c r="C3907" t="s">
        <v>2747</v>
      </c>
      <c r="D3907" s="1">
        <v>35487</v>
      </c>
      <c r="E3907" t="s">
        <v>92</v>
      </c>
      <c r="F3907">
        <v>91</v>
      </c>
      <c r="G3907" t="s">
        <v>116</v>
      </c>
      <c r="H3907">
        <v>-72.040000000000006</v>
      </c>
      <c r="I3907">
        <v>47</v>
      </c>
      <c r="J3907">
        <v>-22.71</v>
      </c>
      <c r="K3907">
        <v>59</v>
      </c>
      <c r="L3907">
        <v>-37.49</v>
      </c>
      <c r="M3907">
        <v>36</v>
      </c>
      <c r="N3907">
        <v>-3.75</v>
      </c>
      <c r="O3907">
        <v>43</v>
      </c>
      <c r="P3907">
        <v>-0.59</v>
      </c>
      <c r="Q3907">
        <v>55</v>
      </c>
      <c r="R3907">
        <v>-11.69</v>
      </c>
      <c r="S3907">
        <v>39</v>
      </c>
      <c r="T3907">
        <v>14.27</v>
      </c>
      <c r="U3907">
        <v>51</v>
      </c>
      <c r="V3907">
        <v>-10.08</v>
      </c>
      <c r="W3907">
        <v>27</v>
      </c>
      <c r="X3907" t="s">
        <v>102</v>
      </c>
      <c r="Y3907" t="s">
        <v>117</v>
      </c>
      <c r="Z3907" t="s">
        <v>96</v>
      </c>
      <c r="AA3907" t="s">
        <v>954</v>
      </c>
      <c r="AB3907" t="s">
        <v>2748</v>
      </c>
      <c r="AC3907">
        <v>8</v>
      </c>
      <c r="AD3907">
        <v>4</v>
      </c>
      <c r="AE3907">
        <v>59</v>
      </c>
      <c r="AF3907">
        <v>32.01</v>
      </c>
      <c r="AG3907">
        <v>-1.93</v>
      </c>
      <c r="AH3907">
        <v>-2.69</v>
      </c>
      <c r="AI3907">
        <v>-0.05</v>
      </c>
      <c r="AJ3907">
        <v>-0.06</v>
      </c>
      <c r="AK3907">
        <v>36</v>
      </c>
      <c r="AL3907">
        <v>8</v>
      </c>
      <c r="AM3907">
        <v>6</v>
      </c>
      <c r="AN3907">
        <v>2.04</v>
      </c>
      <c r="AO3907">
        <v>-0.95</v>
      </c>
      <c r="AP3907">
        <v>4</v>
      </c>
      <c r="AQ3907">
        <v>6</v>
      </c>
      <c r="AR3907">
        <v>7.54</v>
      </c>
      <c r="AS3907">
        <v>26</v>
      </c>
      <c r="AT3907">
        <v>3.27</v>
      </c>
      <c r="AU3907">
        <v>36</v>
      </c>
      <c r="AV3907">
        <v>0.41</v>
      </c>
      <c r="AW3907">
        <v>56</v>
      </c>
      <c r="AX3907">
        <v>-0.12</v>
      </c>
      <c r="AY3907">
        <v>43</v>
      </c>
      <c r="AZ3907">
        <v>6.4</v>
      </c>
      <c r="BA3907">
        <v>25</v>
      </c>
      <c r="BB3907">
        <v>4.96</v>
      </c>
      <c r="BC3907">
        <v>33</v>
      </c>
      <c r="BD3907">
        <v>0.04</v>
      </c>
      <c r="BE3907">
        <v>0.08</v>
      </c>
      <c r="BF3907">
        <v>0.05</v>
      </c>
      <c r="BG3907">
        <v>45</v>
      </c>
      <c r="BH3907">
        <v>-0.18</v>
      </c>
      <c r="BI3907">
        <v>11.71</v>
      </c>
      <c r="BJ3907">
        <v>0</v>
      </c>
      <c r="BK3907">
        <v>0</v>
      </c>
      <c r="BL3907">
        <v>-0.44</v>
      </c>
      <c r="BM3907">
        <v>0.43</v>
      </c>
      <c r="BN3907">
        <v>-0.27</v>
      </c>
      <c r="BO3907">
        <v>-0.39</v>
      </c>
      <c r="BP3907">
        <v>0.49</v>
      </c>
      <c r="BQ3907">
        <v>-0.63</v>
      </c>
      <c r="BR3907">
        <v>-0.32</v>
      </c>
      <c r="BS3907">
        <v>-0.64</v>
      </c>
      <c r="BT3907">
        <v>-0.05</v>
      </c>
      <c r="BU3907">
        <v>-1.04</v>
      </c>
      <c r="BV3907">
        <v>-0.28000000000000003</v>
      </c>
      <c r="BW3907">
        <v>-0.36</v>
      </c>
      <c r="BX3907">
        <v>-1.28</v>
      </c>
      <c r="BY3907">
        <v>-0.24</v>
      </c>
      <c r="BZ3907">
        <v>-0.08</v>
      </c>
      <c r="CA3907">
        <v>-0.39</v>
      </c>
      <c r="CB3907">
        <v>-0.31</v>
      </c>
      <c r="CC3907">
        <v>-0.4</v>
      </c>
      <c r="CD3907">
        <v>0.42</v>
      </c>
      <c r="CE3907">
        <v>-0.53</v>
      </c>
      <c r="CF3907">
        <v>-0.54</v>
      </c>
      <c r="CG3907">
        <v>0</v>
      </c>
      <c r="CH3907">
        <v>-0.5</v>
      </c>
      <c r="CI3907">
        <v>0</v>
      </c>
      <c r="CJ3907">
        <v>1.5</v>
      </c>
      <c r="CK3907">
        <v>57</v>
      </c>
      <c r="CL3907">
        <v>-0.21</v>
      </c>
      <c r="CM3907">
        <v>53</v>
      </c>
      <c r="CN3907">
        <v>-0.03</v>
      </c>
      <c r="CO3907">
        <v>50</v>
      </c>
      <c r="CP3907">
        <v>-5.6</v>
      </c>
      <c r="CQ3907">
        <v>51</v>
      </c>
      <c r="CR3907">
        <v>0</v>
      </c>
      <c r="CS3907">
        <v>0</v>
      </c>
      <c r="CT3907">
        <v>-5.5</v>
      </c>
      <c r="CU3907">
        <v>51</v>
      </c>
      <c r="CV3907">
        <v>0.09</v>
      </c>
      <c r="CW3907">
        <v>15</v>
      </c>
      <c r="CX3907" t="s">
        <v>2749</v>
      </c>
    </row>
    <row r="3908" spans="1:102" x14ac:dyDescent="0.3">
      <c r="A3908" t="str">
        <f>HYPERLINK("https://webapp.icbf.com/v2/app/bull-search/view/77858626","CTF")</f>
        <v>CTF</v>
      </c>
      <c r="B3908" t="s">
        <v>7318</v>
      </c>
      <c r="C3908" t="s">
        <v>7319</v>
      </c>
      <c r="D3908" s="1">
        <v>31929</v>
      </c>
      <c r="E3908" t="s">
        <v>92</v>
      </c>
      <c r="F3908">
        <v>100</v>
      </c>
      <c r="G3908" t="s">
        <v>109</v>
      </c>
      <c r="H3908">
        <v>-72.040000000000006</v>
      </c>
      <c r="I3908">
        <v>75</v>
      </c>
      <c r="J3908">
        <v>-8.9600000000000009</v>
      </c>
      <c r="K3908">
        <v>92</v>
      </c>
      <c r="L3908">
        <v>-56.83</v>
      </c>
      <c r="M3908">
        <v>77</v>
      </c>
      <c r="N3908">
        <v>7.63</v>
      </c>
      <c r="O3908">
        <v>58</v>
      </c>
      <c r="P3908">
        <v>-2.2799999999999998</v>
      </c>
      <c r="Q3908">
        <v>66</v>
      </c>
      <c r="R3908">
        <v>-17.02</v>
      </c>
      <c r="S3908">
        <v>65</v>
      </c>
      <c r="T3908">
        <v>3.17</v>
      </c>
      <c r="U3908">
        <v>59</v>
      </c>
      <c r="V3908">
        <v>2.25</v>
      </c>
      <c r="W3908">
        <v>28</v>
      </c>
      <c r="X3908" t="s">
        <v>110</v>
      </c>
      <c r="Y3908" t="s">
        <v>95</v>
      </c>
      <c r="Z3908" t="s">
        <v>96</v>
      </c>
      <c r="AA3908" t="s">
        <v>128</v>
      </c>
      <c r="AB3908" t="s">
        <v>7320</v>
      </c>
      <c r="AC3908">
        <v>38</v>
      </c>
      <c r="AD3908">
        <v>19</v>
      </c>
      <c r="AE3908">
        <v>92</v>
      </c>
      <c r="AF3908">
        <v>195.72</v>
      </c>
      <c r="AG3908">
        <v>2.04</v>
      </c>
      <c r="AH3908">
        <v>0.75</v>
      </c>
      <c r="AI3908">
        <v>-0.09</v>
      </c>
      <c r="AJ3908">
        <v>-0.1</v>
      </c>
      <c r="AK3908">
        <v>77</v>
      </c>
      <c r="AL3908">
        <v>41</v>
      </c>
      <c r="AM3908">
        <v>20</v>
      </c>
      <c r="AN3908">
        <v>3.28</v>
      </c>
      <c r="AO3908">
        <v>-1.25</v>
      </c>
      <c r="AP3908">
        <v>3</v>
      </c>
      <c r="AQ3908">
        <v>0</v>
      </c>
      <c r="AR3908">
        <v>6.74</v>
      </c>
      <c r="AS3908">
        <v>34</v>
      </c>
      <c r="AT3908">
        <v>2.79</v>
      </c>
      <c r="AU3908">
        <v>85</v>
      </c>
      <c r="AV3908">
        <v>-0.35</v>
      </c>
      <c r="AW3908">
        <v>52</v>
      </c>
      <c r="AX3908">
        <v>0.4</v>
      </c>
      <c r="AY3908">
        <v>60</v>
      </c>
      <c r="AZ3908">
        <v>6.24</v>
      </c>
      <c r="BA3908">
        <v>34</v>
      </c>
      <c r="BB3908">
        <v>4.87</v>
      </c>
      <c r="BC3908">
        <v>45</v>
      </c>
      <c r="BD3908">
        <v>0.08</v>
      </c>
      <c r="BE3908">
        <v>0.12</v>
      </c>
      <c r="BF3908">
        <v>0.03</v>
      </c>
      <c r="BG3908">
        <v>83</v>
      </c>
      <c r="BH3908">
        <v>0.06</v>
      </c>
      <c r="BI3908">
        <v>-0.33</v>
      </c>
      <c r="BJ3908">
        <v>1</v>
      </c>
      <c r="BK3908">
        <v>1</v>
      </c>
      <c r="BL3908">
        <v>0.5</v>
      </c>
      <c r="BM3908">
        <v>1.64</v>
      </c>
      <c r="BN3908">
        <v>1.41</v>
      </c>
      <c r="BO3908">
        <v>0.69</v>
      </c>
      <c r="BP3908">
        <v>-1.41</v>
      </c>
      <c r="BQ3908">
        <v>1.57</v>
      </c>
      <c r="BR3908">
        <v>2.0699999999999998</v>
      </c>
      <c r="BS3908">
        <v>-2.2400000000000002</v>
      </c>
      <c r="BT3908">
        <v>-1.45</v>
      </c>
      <c r="BU3908">
        <v>-0.84</v>
      </c>
      <c r="BV3908">
        <v>-1.81</v>
      </c>
      <c r="BW3908">
        <v>-1.87</v>
      </c>
      <c r="BX3908">
        <v>-1.33</v>
      </c>
      <c r="BY3908">
        <v>-0.69</v>
      </c>
      <c r="BZ3908">
        <v>-1</v>
      </c>
      <c r="CA3908">
        <v>-2.17</v>
      </c>
      <c r="CB3908">
        <v>-1.55</v>
      </c>
      <c r="CC3908">
        <v>-2.19</v>
      </c>
      <c r="CD3908">
        <v>0.17</v>
      </c>
      <c r="CE3908">
        <v>-0.21</v>
      </c>
      <c r="CF3908">
        <v>0.13</v>
      </c>
      <c r="CG3908">
        <v>0</v>
      </c>
      <c r="CH3908">
        <v>-0.42</v>
      </c>
      <c r="CI3908">
        <v>0</v>
      </c>
      <c r="CJ3908">
        <v>-1.3</v>
      </c>
      <c r="CK3908">
        <v>67</v>
      </c>
      <c r="CL3908">
        <v>-0.3</v>
      </c>
      <c r="CM3908">
        <v>63</v>
      </c>
      <c r="CN3908">
        <v>-0.2</v>
      </c>
      <c r="CO3908">
        <v>59</v>
      </c>
      <c r="CP3908">
        <v>1.8</v>
      </c>
      <c r="CQ3908">
        <v>73</v>
      </c>
      <c r="CR3908">
        <v>0</v>
      </c>
      <c r="CS3908">
        <v>0</v>
      </c>
      <c r="CT3908">
        <v>9.5</v>
      </c>
      <c r="CU3908">
        <v>59</v>
      </c>
      <c r="CV3908">
        <v>-0.02</v>
      </c>
      <c r="CW3908">
        <v>18</v>
      </c>
      <c r="CX3908" t="s">
        <v>120</v>
      </c>
    </row>
    <row r="3909" spans="1:102" x14ac:dyDescent="0.3">
      <c r="A3909" t="str">
        <f>HYPERLINK("https://webapp.icbf.com/v2/app/bull-search/view/409266338","TGG")</f>
        <v>TGG</v>
      </c>
      <c r="B3909" t="s">
        <v>7460</v>
      </c>
      <c r="C3909" t="s">
        <v>7461</v>
      </c>
      <c r="D3909" s="1">
        <v>36103</v>
      </c>
      <c r="E3909" t="s">
        <v>1061</v>
      </c>
      <c r="F3909">
        <v>0</v>
      </c>
      <c r="G3909" t="s">
        <v>109</v>
      </c>
      <c r="H3909">
        <v>-72.069999999999993</v>
      </c>
      <c r="I3909">
        <v>53</v>
      </c>
      <c r="J3909">
        <v>-48.65</v>
      </c>
      <c r="K3909">
        <v>68</v>
      </c>
      <c r="L3909">
        <v>39.35</v>
      </c>
      <c r="M3909">
        <v>58</v>
      </c>
      <c r="N3909">
        <v>-57.45</v>
      </c>
      <c r="O3909">
        <v>33</v>
      </c>
      <c r="P3909">
        <v>-36.28</v>
      </c>
      <c r="Q3909">
        <v>49</v>
      </c>
      <c r="R3909">
        <v>2.46</v>
      </c>
      <c r="S3909">
        <v>10</v>
      </c>
      <c r="T3909">
        <v>33.81</v>
      </c>
      <c r="U3909">
        <v>46</v>
      </c>
      <c r="V3909">
        <v>-5.31</v>
      </c>
      <c r="W3909">
        <v>10</v>
      </c>
      <c r="X3909" t="s">
        <v>94</v>
      </c>
      <c r="Y3909" t="s">
        <v>95</v>
      </c>
      <c r="Z3909">
        <v>0</v>
      </c>
      <c r="AA3909" t="s">
        <v>4509</v>
      </c>
      <c r="AB3909" t="s">
        <v>4508</v>
      </c>
      <c r="AC3909">
        <v>0</v>
      </c>
      <c r="AD3909">
        <v>0</v>
      </c>
      <c r="AE3909">
        <v>68</v>
      </c>
      <c r="AF3909">
        <v>-207.56</v>
      </c>
      <c r="AG3909">
        <v>-9.5299999999999994</v>
      </c>
      <c r="AH3909">
        <v>-8.08</v>
      </c>
      <c r="AI3909">
        <v>-0.02</v>
      </c>
      <c r="AJ3909">
        <v>-0.02</v>
      </c>
      <c r="AK3909">
        <v>58</v>
      </c>
      <c r="AL3909">
        <v>0</v>
      </c>
      <c r="AM3909">
        <v>0</v>
      </c>
      <c r="AN3909">
        <v>-1.21</v>
      </c>
      <c r="AO3909">
        <v>1.94</v>
      </c>
      <c r="AP3909">
        <v>7</v>
      </c>
      <c r="AQ3909">
        <v>0</v>
      </c>
      <c r="AR3909">
        <v>11.44</v>
      </c>
      <c r="AS3909">
        <v>20</v>
      </c>
      <c r="AT3909">
        <v>4.41</v>
      </c>
      <c r="AU3909">
        <v>38</v>
      </c>
      <c r="AV3909">
        <v>1.49</v>
      </c>
      <c r="AW3909">
        <v>37</v>
      </c>
      <c r="AX3909">
        <v>1.57</v>
      </c>
      <c r="AY3909">
        <v>32</v>
      </c>
      <c r="AZ3909">
        <v>9.4600000000000009</v>
      </c>
      <c r="BA3909">
        <v>11</v>
      </c>
      <c r="BB3909">
        <v>6.9</v>
      </c>
      <c r="BC3909">
        <v>24</v>
      </c>
      <c r="BD3909">
        <v>-0.01</v>
      </c>
      <c r="BE3909">
        <v>0</v>
      </c>
      <c r="BF3909">
        <v>-0.04</v>
      </c>
      <c r="BG3909">
        <v>11</v>
      </c>
      <c r="BH3909">
        <v>-0.09</v>
      </c>
      <c r="BI3909">
        <v>6.71</v>
      </c>
      <c r="BJ3909">
        <v>0</v>
      </c>
      <c r="BK3909">
        <v>0</v>
      </c>
      <c r="BL3909">
        <v>0</v>
      </c>
      <c r="BM3909">
        <v>0</v>
      </c>
      <c r="BN3909">
        <v>0</v>
      </c>
      <c r="BO3909">
        <v>0</v>
      </c>
      <c r="BP3909">
        <v>0</v>
      </c>
      <c r="BQ3909">
        <v>0</v>
      </c>
      <c r="BR3909">
        <v>0</v>
      </c>
      <c r="BS3909">
        <v>0</v>
      </c>
      <c r="BT3909">
        <v>0</v>
      </c>
      <c r="BU3909">
        <v>0</v>
      </c>
      <c r="BV3909">
        <v>0</v>
      </c>
      <c r="BW3909">
        <v>0</v>
      </c>
      <c r="BX3909">
        <v>0</v>
      </c>
      <c r="BY3909">
        <v>0</v>
      </c>
      <c r="BZ3909">
        <v>0</v>
      </c>
      <c r="CA3909">
        <v>0</v>
      </c>
      <c r="CB3909">
        <v>0</v>
      </c>
      <c r="CC3909">
        <v>0</v>
      </c>
      <c r="CD3909">
        <v>0</v>
      </c>
      <c r="CE3909">
        <v>0</v>
      </c>
      <c r="CF3909">
        <v>0</v>
      </c>
      <c r="CG3909">
        <v>0</v>
      </c>
      <c r="CH3909">
        <v>0</v>
      </c>
      <c r="CI3909">
        <v>0</v>
      </c>
      <c r="CJ3909">
        <v>-16.8</v>
      </c>
      <c r="CK3909">
        <v>51</v>
      </c>
      <c r="CL3909">
        <v>-0.92</v>
      </c>
      <c r="CM3909">
        <v>45</v>
      </c>
      <c r="CN3909">
        <v>0.03</v>
      </c>
      <c r="CO3909">
        <v>39</v>
      </c>
      <c r="CP3909">
        <v>-21.7</v>
      </c>
      <c r="CQ3909">
        <v>59</v>
      </c>
      <c r="CR3909">
        <v>0</v>
      </c>
      <c r="CS3909">
        <v>0</v>
      </c>
      <c r="CT3909">
        <v>-31.9</v>
      </c>
      <c r="CU3909">
        <v>46</v>
      </c>
      <c r="CV3909">
        <v>-0.11</v>
      </c>
      <c r="CW3909">
        <v>12</v>
      </c>
      <c r="CX3909" t="s">
        <v>3734</v>
      </c>
    </row>
    <row r="3910" spans="1:102" x14ac:dyDescent="0.3">
      <c r="A3910" t="str">
        <f>HYPERLINK("https://webapp.icbf.com/v2/app/bull-search/view/108367941","IOL")</f>
        <v>IOL</v>
      </c>
      <c r="B3910" t="s">
        <v>11798</v>
      </c>
      <c r="C3910" t="s">
        <v>11799</v>
      </c>
      <c r="D3910" s="1">
        <v>36814</v>
      </c>
      <c r="E3910" t="s">
        <v>140</v>
      </c>
      <c r="F3910">
        <v>0</v>
      </c>
      <c r="G3910" t="s">
        <v>93</v>
      </c>
      <c r="H3910">
        <v>-72.069999999999993</v>
      </c>
      <c r="I3910">
        <v>97</v>
      </c>
      <c r="J3910">
        <v>-13.82</v>
      </c>
      <c r="K3910">
        <v>99</v>
      </c>
      <c r="L3910">
        <v>71.180000000000007</v>
      </c>
      <c r="M3910">
        <v>94</v>
      </c>
      <c r="N3910">
        <v>-146.09</v>
      </c>
      <c r="O3910">
        <v>97</v>
      </c>
      <c r="P3910">
        <v>29.93</v>
      </c>
      <c r="Q3910">
        <v>99</v>
      </c>
      <c r="R3910">
        <v>-8.52</v>
      </c>
      <c r="S3910">
        <v>95</v>
      </c>
      <c r="T3910">
        <v>-4.53</v>
      </c>
      <c r="U3910">
        <v>99</v>
      </c>
      <c r="V3910">
        <v>-0.22</v>
      </c>
      <c r="W3910">
        <v>96</v>
      </c>
      <c r="X3910" t="s">
        <v>94</v>
      </c>
      <c r="Y3910" t="s">
        <v>95</v>
      </c>
      <c r="Z3910">
        <v>0</v>
      </c>
      <c r="AA3910" t="s">
        <v>247</v>
      </c>
      <c r="AB3910" t="s">
        <v>11800</v>
      </c>
      <c r="AC3910">
        <v>719</v>
      </c>
      <c r="AD3910">
        <v>335</v>
      </c>
      <c r="AE3910">
        <v>99</v>
      </c>
      <c r="AF3910">
        <v>-25.09</v>
      </c>
      <c r="AG3910">
        <v>-4.76</v>
      </c>
      <c r="AH3910">
        <v>-1.05</v>
      </c>
      <c r="AI3910">
        <v>-7.0000000000000007E-2</v>
      </c>
      <c r="AJ3910">
        <v>0</v>
      </c>
      <c r="AK3910">
        <v>94</v>
      </c>
      <c r="AL3910">
        <v>991</v>
      </c>
      <c r="AM3910">
        <v>495</v>
      </c>
      <c r="AN3910">
        <v>-3.58</v>
      </c>
      <c r="AO3910">
        <v>2.1</v>
      </c>
      <c r="AP3910">
        <v>1490</v>
      </c>
      <c r="AQ3910">
        <v>34</v>
      </c>
      <c r="AR3910">
        <v>18.5</v>
      </c>
      <c r="AS3910">
        <v>91</v>
      </c>
      <c r="AT3910">
        <v>9.31</v>
      </c>
      <c r="AU3910">
        <v>98</v>
      </c>
      <c r="AV3910">
        <v>1.4</v>
      </c>
      <c r="AW3910">
        <v>99</v>
      </c>
      <c r="AX3910">
        <v>1.24</v>
      </c>
      <c r="AY3910">
        <v>98</v>
      </c>
      <c r="AZ3910">
        <v>4.8</v>
      </c>
      <c r="BA3910">
        <v>91</v>
      </c>
      <c r="BB3910">
        <v>3.36</v>
      </c>
      <c r="BC3910">
        <v>94</v>
      </c>
      <c r="BD3910">
        <v>0.03</v>
      </c>
      <c r="BE3910">
        <v>0.04</v>
      </c>
      <c r="BF3910">
        <v>7.0000000000000007E-2</v>
      </c>
      <c r="BG3910">
        <v>98</v>
      </c>
      <c r="BH3910">
        <v>-0.05</v>
      </c>
      <c r="BI3910">
        <v>-5.09</v>
      </c>
      <c r="BJ3910">
        <v>11</v>
      </c>
      <c r="BK3910">
        <v>10</v>
      </c>
      <c r="BL3910">
        <v>0.03</v>
      </c>
      <c r="BM3910">
        <v>4.82</v>
      </c>
      <c r="BN3910">
        <v>-2.44</v>
      </c>
      <c r="BO3910">
        <v>-3.96</v>
      </c>
      <c r="BP3910">
        <v>5.98</v>
      </c>
      <c r="BQ3910">
        <v>-1.3</v>
      </c>
      <c r="BR3910">
        <v>-2.62</v>
      </c>
      <c r="BS3910">
        <v>-1.21</v>
      </c>
      <c r="BT3910">
        <v>2.68</v>
      </c>
      <c r="BU3910">
        <v>-4.1500000000000004</v>
      </c>
      <c r="BV3910">
        <v>-5.19</v>
      </c>
      <c r="BW3910">
        <v>-2.9</v>
      </c>
      <c r="BX3910">
        <v>-2.04</v>
      </c>
      <c r="BY3910">
        <v>-1.96</v>
      </c>
      <c r="BZ3910">
        <v>0.99</v>
      </c>
      <c r="CA3910">
        <v>-3.89</v>
      </c>
      <c r="CB3910">
        <v>-4.22</v>
      </c>
      <c r="CC3910">
        <v>-2.12</v>
      </c>
      <c r="CD3910">
        <v>4.9000000000000004</v>
      </c>
      <c r="CE3910">
        <v>-3.95</v>
      </c>
      <c r="CF3910">
        <v>-0.57999999999999996</v>
      </c>
      <c r="CG3910">
        <v>0</v>
      </c>
      <c r="CH3910">
        <v>-3.18</v>
      </c>
      <c r="CI3910">
        <v>0</v>
      </c>
      <c r="CJ3910">
        <v>15.2</v>
      </c>
      <c r="CK3910">
        <v>99</v>
      </c>
      <c r="CL3910">
        <v>0.42</v>
      </c>
      <c r="CM3910">
        <v>99</v>
      </c>
      <c r="CN3910">
        <v>-0.26</v>
      </c>
      <c r="CO3910">
        <v>99</v>
      </c>
      <c r="CP3910">
        <v>10.5</v>
      </c>
      <c r="CQ3910">
        <v>99</v>
      </c>
      <c r="CR3910">
        <v>0</v>
      </c>
      <c r="CS3910">
        <v>0</v>
      </c>
      <c r="CT3910">
        <v>19.899999999999999</v>
      </c>
      <c r="CU3910">
        <v>99</v>
      </c>
      <c r="CV3910">
        <v>0.28000000000000003</v>
      </c>
      <c r="CW3910">
        <v>47</v>
      </c>
      <c r="CX3910" t="s">
        <v>295</v>
      </c>
    </row>
    <row r="3911" spans="1:102" x14ac:dyDescent="0.3">
      <c r="A3911" t="str">
        <f>HYPERLINK("https://webapp.icbf.com/v2/app/bull-search/view/137158356","LDZ")</f>
        <v>LDZ</v>
      </c>
      <c r="B3911" t="s">
        <v>11613</v>
      </c>
      <c r="C3911" t="s">
        <v>11614</v>
      </c>
      <c r="D3911" s="1">
        <v>35570</v>
      </c>
      <c r="E3911" t="s">
        <v>92</v>
      </c>
      <c r="F3911">
        <v>97</v>
      </c>
      <c r="G3911" t="s">
        <v>93</v>
      </c>
      <c r="H3911">
        <v>-72.27</v>
      </c>
      <c r="I3911">
        <v>91</v>
      </c>
      <c r="J3911">
        <v>35.93</v>
      </c>
      <c r="K3911">
        <v>98</v>
      </c>
      <c r="L3911">
        <v>-100.99</v>
      </c>
      <c r="M3911">
        <v>87</v>
      </c>
      <c r="N3911">
        <v>-3.21</v>
      </c>
      <c r="O3911">
        <v>89</v>
      </c>
      <c r="P3911">
        <v>-3.09</v>
      </c>
      <c r="Q3911">
        <v>96</v>
      </c>
      <c r="R3911">
        <v>1.1000000000000001</v>
      </c>
      <c r="S3911">
        <v>83</v>
      </c>
      <c r="T3911">
        <v>6.35</v>
      </c>
      <c r="U3911">
        <v>90</v>
      </c>
      <c r="V3911">
        <v>-8.36</v>
      </c>
      <c r="W3911">
        <v>80</v>
      </c>
      <c r="X3911" t="s">
        <v>102</v>
      </c>
      <c r="Y3911" t="s">
        <v>95</v>
      </c>
      <c r="Z3911" t="s">
        <v>96</v>
      </c>
      <c r="AA3911" t="s">
        <v>188</v>
      </c>
      <c r="AB3911" t="s">
        <v>1234</v>
      </c>
      <c r="AC3911">
        <v>218</v>
      </c>
      <c r="AD3911">
        <v>79</v>
      </c>
      <c r="AE3911">
        <v>98</v>
      </c>
      <c r="AF3911">
        <v>242.27</v>
      </c>
      <c r="AG3911">
        <v>8.14</v>
      </c>
      <c r="AH3911">
        <v>6.94</v>
      </c>
      <c r="AI3911">
        <v>-0.02</v>
      </c>
      <c r="AJ3911">
        <v>-0.02</v>
      </c>
      <c r="AK3911">
        <v>87</v>
      </c>
      <c r="AL3911">
        <v>239</v>
      </c>
      <c r="AM3911">
        <v>91</v>
      </c>
      <c r="AN3911">
        <v>6.57</v>
      </c>
      <c r="AO3911">
        <v>-1.47</v>
      </c>
      <c r="AP3911">
        <v>281</v>
      </c>
      <c r="AQ3911">
        <v>1</v>
      </c>
      <c r="AR3911">
        <v>11.22</v>
      </c>
      <c r="AS3911">
        <v>74</v>
      </c>
      <c r="AT3911">
        <v>4.22</v>
      </c>
      <c r="AU3911">
        <v>90</v>
      </c>
      <c r="AV3911">
        <v>-1.85</v>
      </c>
      <c r="AW3911">
        <v>96</v>
      </c>
      <c r="AX3911">
        <v>-0.54</v>
      </c>
      <c r="AY3911">
        <v>89</v>
      </c>
      <c r="AZ3911">
        <v>5.95</v>
      </c>
      <c r="BA3911">
        <v>71</v>
      </c>
      <c r="BB3911">
        <v>4.53</v>
      </c>
      <c r="BC3911">
        <v>76</v>
      </c>
      <c r="BD3911">
        <v>-0.02</v>
      </c>
      <c r="BE3911">
        <v>0.02</v>
      </c>
      <c r="BF3911">
        <v>-0.03</v>
      </c>
      <c r="BG3911">
        <v>92</v>
      </c>
      <c r="BH3911">
        <v>-0.06</v>
      </c>
      <c r="BI3911">
        <v>20.04</v>
      </c>
      <c r="BJ3911">
        <v>18</v>
      </c>
      <c r="BK3911">
        <v>8</v>
      </c>
      <c r="BL3911">
        <v>0.67</v>
      </c>
      <c r="BM3911">
        <v>-0.27</v>
      </c>
      <c r="BN3911">
        <v>0.25</v>
      </c>
      <c r="BO3911">
        <v>0.25</v>
      </c>
      <c r="BP3911">
        <v>2.8</v>
      </c>
      <c r="BQ3911">
        <v>-1.1200000000000001</v>
      </c>
      <c r="BR3911">
        <v>1.65</v>
      </c>
      <c r="BS3911">
        <v>-0.38</v>
      </c>
      <c r="BT3911">
        <v>-1.58</v>
      </c>
      <c r="BU3911">
        <v>0.8</v>
      </c>
      <c r="BV3911">
        <v>-0.69</v>
      </c>
      <c r="BW3911">
        <v>-0.38</v>
      </c>
      <c r="BX3911">
        <v>0.66</v>
      </c>
      <c r="BY3911">
        <v>-0.09</v>
      </c>
      <c r="BZ3911">
        <v>2.39</v>
      </c>
      <c r="CA3911">
        <v>-0.06</v>
      </c>
      <c r="CB3911">
        <v>0.12</v>
      </c>
      <c r="CC3911">
        <v>-0.41</v>
      </c>
      <c r="CD3911">
        <v>-0.47</v>
      </c>
      <c r="CE3911">
        <v>1.18</v>
      </c>
      <c r="CF3911">
        <v>1.2</v>
      </c>
      <c r="CG3911">
        <v>0</v>
      </c>
      <c r="CH3911">
        <v>-1.18</v>
      </c>
      <c r="CI3911">
        <v>0</v>
      </c>
      <c r="CJ3911">
        <v>2</v>
      </c>
      <c r="CK3911">
        <v>97</v>
      </c>
      <c r="CL3911">
        <v>-0.84</v>
      </c>
      <c r="CM3911">
        <v>96</v>
      </c>
      <c r="CN3911">
        <v>-0.2</v>
      </c>
      <c r="CO3911">
        <v>96</v>
      </c>
      <c r="CP3911">
        <v>3.2</v>
      </c>
      <c r="CQ3911">
        <v>95</v>
      </c>
      <c r="CR3911">
        <v>0</v>
      </c>
      <c r="CS3911">
        <v>0</v>
      </c>
      <c r="CT3911">
        <v>5.2</v>
      </c>
      <c r="CU3911">
        <v>90</v>
      </c>
      <c r="CV3911">
        <v>0.33</v>
      </c>
      <c r="CW3911">
        <v>28</v>
      </c>
      <c r="CX3911" t="s">
        <v>193</v>
      </c>
    </row>
    <row r="3912" spans="1:102" x14ac:dyDescent="0.3">
      <c r="A3912" t="str">
        <f>HYPERLINK("https://webapp.icbf.com/v2/app/bull-search/view/77858662","CVI")</f>
        <v>CVI</v>
      </c>
      <c r="B3912" t="s">
        <v>7349</v>
      </c>
      <c r="C3912" t="s">
        <v>7350</v>
      </c>
      <c r="D3912" s="1">
        <v>32451</v>
      </c>
      <c r="E3912" t="s">
        <v>92</v>
      </c>
      <c r="F3912">
        <v>75</v>
      </c>
      <c r="G3912" t="s">
        <v>93</v>
      </c>
      <c r="H3912">
        <v>-72.349999999999994</v>
      </c>
      <c r="I3912">
        <v>76</v>
      </c>
      <c r="J3912">
        <v>-46.39</v>
      </c>
      <c r="K3912">
        <v>87</v>
      </c>
      <c r="L3912">
        <v>-43.4</v>
      </c>
      <c r="M3912">
        <v>70</v>
      </c>
      <c r="N3912">
        <v>16.61</v>
      </c>
      <c r="O3912">
        <v>70</v>
      </c>
      <c r="P3912">
        <v>-1.31</v>
      </c>
      <c r="Q3912">
        <v>84</v>
      </c>
      <c r="R3912">
        <v>-8.2799999999999994</v>
      </c>
      <c r="S3912">
        <v>67</v>
      </c>
      <c r="T3912">
        <v>11.38</v>
      </c>
      <c r="U3912">
        <v>73</v>
      </c>
      <c r="V3912">
        <v>-0.96</v>
      </c>
      <c r="W3912">
        <v>49</v>
      </c>
      <c r="X3912" t="s">
        <v>276</v>
      </c>
      <c r="Y3912" t="s">
        <v>95</v>
      </c>
      <c r="Z3912" t="s">
        <v>96</v>
      </c>
      <c r="AA3912" t="s">
        <v>3580</v>
      </c>
      <c r="AB3912" t="s">
        <v>7351</v>
      </c>
      <c r="AC3912">
        <v>36</v>
      </c>
      <c r="AD3912">
        <v>19</v>
      </c>
      <c r="AE3912">
        <v>87</v>
      </c>
      <c r="AF3912">
        <v>-320.64999999999998</v>
      </c>
      <c r="AG3912">
        <v>-3.3</v>
      </c>
      <c r="AH3912">
        <v>-11.63</v>
      </c>
      <c r="AI3912">
        <v>0.16</v>
      </c>
      <c r="AJ3912">
        <v>-0.01</v>
      </c>
      <c r="AK3912">
        <v>70</v>
      </c>
      <c r="AL3912">
        <v>141</v>
      </c>
      <c r="AM3912">
        <v>42</v>
      </c>
      <c r="AN3912">
        <v>0.92</v>
      </c>
      <c r="AO3912">
        <v>-2.56</v>
      </c>
      <c r="AP3912">
        <v>21</v>
      </c>
      <c r="AQ3912">
        <v>12</v>
      </c>
      <c r="AR3912">
        <v>5.85</v>
      </c>
      <c r="AS3912">
        <v>51</v>
      </c>
      <c r="AT3912">
        <v>2.42</v>
      </c>
      <c r="AU3912">
        <v>57</v>
      </c>
      <c r="AV3912">
        <v>-1.05</v>
      </c>
      <c r="AW3912">
        <v>85</v>
      </c>
      <c r="AX3912">
        <v>-0.51</v>
      </c>
      <c r="AY3912">
        <v>84</v>
      </c>
      <c r="AZ3912">
        <v>6.92</v>
      </c>
      <c r="BA3912">
        <v>41</v>
      </c>
      <c r="BB3912">
        <v>5.41</v>
      </c>
      <c r="BC3912">
        <v>52</v>
      </c>
      <c r="BD3912">
        <v>0.02</v>
      </c>
      <c r="BE3912">
        <v>0.03</v>
      </c>
      <c r="BF3912">
        <v>0.1</v>
      </c>
      <c r="BG3912">
        <v>89</v>
      </c>
      <c r="BH3912">
        <v>-0.01</v>
      </c>
      <c r="BI3912">
        <v>1.93</v>
      </c>
      <c r="BJ3912">
        <v>3</v>
      </c>
      <c r="BK3912">
        <v>3</v>
      </c>
      <c r="BL3912">
        <v>-0.25</v>
      </c>
      <c r="BM3912">
        <v>1.21</v>
      </c>
      <c r="BN3912">
        <v>-0.54</v>
      </c>
      <c r="BO3912">
        <v>-1.59</v>
      </c>
      <c r="BP3912">
        <v>-0.46</v>
      </c>
      <c r="BQ3912">
        <v>-0.11</v>
      </c>
      <c r="BR3912">
        <v>0.16</v>
      </c>
      <c r="BS3912">
        <v>-0.37</v>
      </c>
      <c r="BT3912">
        <v>-0.04</v>
      </c>
      <c r="BU3912">
        <v>0.44</v>
      </c>
      <c r="BV3912">
        <v>-0.7</v>
      </c>
      <c r="BW3912">
        <v>-0.95</v>
      </c>
      <c r="BX3912">
        <v>1.7</v>
      </c>
      <c r="BY3912">
        <v>-0.15</v>
      </c>
      <c r="BZ3912">
        <v>-2.06</v>
      </c>
      <c r="CA3912">
        <v>-1.19</v>
      </c>
      <c r="CB3912">
        <v>-0.87</v>
      </c>
      <c r="CC3912">
        <v>-1.5</v>
      </c>
      <c r="CD3912">
        <v>1.4</v>
      </c>
      <c r="CE3912">
        <v>-2.15</v>
      </c>
      <c r="CF3912">
        <v>-0.63</v>
      </c>
      <c r="CG3912">
        <v>0</v>
      </c>
      <c r="CH3912">
        <v>-1.07</v>
      </c>
      <c r="CI3912">
        <v>0</v>
      </c>
      <c r="CJ3912">
        <v>1.7</v>
      </c>
      <c r="CK3912">
        <v>85</v>
      </c>
      <c r="CL3912">
        <v>-0.15</v>
      </c>
      <c r="CM3912">
        <v>83</v>
      </c>
      <c r="CN3912">
        <v>0.13</v>
      </c>
      <c r="CO3912">
        <v>80</v>
      </c>
      <c r="CP3912">
        <v>-3.9</v>
      </c>
      <c r="CQ3912">
        <v>85</v>
      </c>
      <c r="CR3912">
        <v>0</v>
      </c>
      <c r="CS3912">
        <v>0</v>
      </c>
      <c r="CT3912">
        <v>-1.6</v>
      </c>
      <c r="CU3912">
        <v>73</v>
      </c>
      <c r="CV3912">
        <v>0.11</v>
      </c>
      <c r="CW3912">
        <v>23</v>
      </c>
      <c r="CX3912" t="s">
        <v>7352</v>
      </c>
    </row>
    <row r="3913" spans="1:102" x14ac:dyDescent="0.3">
      <c r="A3913" t="str">
        <f>HYPERLINK("https://webapp.icbf.com/v2/app/bull-search/view/77852803","VCB")</f>
        <v>VCB</v>
      </c>
      <c r="B3913" t="s">
        <v>10975</v>
      </c>
      <c r="C3913" t="s">
        <v>10976</v>
      </c>
      <c r="D3913" s="1">
        <v>32694</v>
      </c>
      <c r="E3913" t="s">
        <v>92</v>
      </c>
      <c r="F3913">
        <v>100</v>
      </c>
      <c r="G3913" t="s">
        <v>93</v>
      </c>
      <c r="H3913">
        <v>-72.63</v>
      </c>
      <c r="I3913">
        <v>82</v>
      </c>
      <c r="J3913">
        <v>-44.91</v>
      </c>
      <c r="K3913">
        <v>94</v>
      </c>
      <c r="L3913">
        <v>-34.979999999999997</v>
      </c>
      <c r="M3913">
        <v>87</v>
      </c>
      <c r="N3913">
        <v>25.35</v>
      </c>
      <c r="O3913">
        <v>68</v>
      </c>
      <c r="P3913">
        <v>-11.63</v>
      </c>
      <c r="Q3913">
        <v>76</v>
      </c>
      <c r="R3913">
        <v>-18.510000000000002</v>
      </c>
      <c r="S3913">
        <v>72</v>
      </c>
      <c r="T3913">
        <v>16.79</v>
      </c>
      <c r="U3913">
        <v>66</v>
      </c>
      <c r="V3913">
        <v>-4.74</v>
      </c>
      <c r="W3913">
        <v>32</v>
      </c>
      <c r="X3913" t="s">
        <v>558</v>
      </c>
      <c r="Y3913" t="s">
        <v>95</v>
      </c>
      <c r="Z3913" t="s">
        <v>96</v>
      </c>
      <c r="AA3913" t="s">
        <v>166</v>
      </c>
      <c r="AB3913" t="s">
        <v>10977</v>
      </c>
      <c r="AC3913">
        <v>81</v>
      </c>
      <c r="AD3913">
        <v>47</v>
      </c>
      <c r="AE3913">
        <v>94</v>
      </c>
      <c r="AF3913">
        <v>225.69</v>
      </c>
      <c r="AG3913">
        <v>-4.08</v>
      </c>
      <c r="AH3913">
        <v>-2.74</v>
      </c>
      <c r="AI3913">
        <v>-0.21</v>
      </c>
      <c r="AJ3913">
        <v>-0.17</v>
      </c>
      <c r="AK3913">
        <v>87</v>
      </c>
      <c r="AL3913">
        <v>104</v>
      </c>
      <c r="AM3913">
        <v>51</v>
      </c>
      <c r="AN3913">
        <v>2.67</v>
      </c>
      <c r="AO3913">
        <v>-0.11</v>
      </c>
      <c r="AP3913">
        <v>1</v>
      </c>
      <c r="AQ3913">
        <v>2</v>
      </c>
      <c r="AR3913">
        <v>4.32</v>
      </c>
      <c r="AS3913">
        <v>35</v>
      </c>
      <c r="AT3913">
        <v>2.23</v>
      </c>
      <c r="AU3913">
        <v>91</v>
      </c>
      <c r="AV3913">
        <v>-1.08</v>
      </c>
      <c r="AW3913">
        <v>68</v>
      </c>
      <c r="AX3913">
        <v>-0.35</v>
      </c>
      <c r="AY3913">
        <v>71</v>
      </c>
      <c r="AZ3913">
        <v>5.91</v>
      </c>
      <c r="BA3913">
        <v>37</v>
      </c>
      <c r="BB3913">
        <v>4.82</v>
      </c>
      <c r="BC3913">
        <v>54</v>
      </c>
      <c r="BD3913">
        <v>0.04</v>
      </c>
      <c r="BE3913">
        <v>0.11</v>
      </c>
      <c r="BF3913">
        <v>0.15</v>
      </c>
      <c r="BG3913">
        <v>92</v>
      </c>
      <c r="BH3913">
        <v>-0.14000000000000001</v>
      </c>
      <c r="BI3913">
        <v>-0.89</v>
      </c>
      <c r="BJ3913">
        <v>5</v>
      </c>
      <c r="BK3913">
        <v>5</v>
      </c>
      <c r="BL3913">
        <v>-1.29</v>
      </c>
      <c r="BM3913">
        <v>-3.04</v>
      </c>
      <c r="BN3913">
        <v>-2.9</v>
      </c>
      <c r="BO3913">
        <v>-0.35</v>
      </c>
      <c r="BP3913">
        <v>-0.85</v>
      </c>
      <c r="BQ3913">
        <v>-4.37</v>
      </c>
      <c r="BR3913">
        <v>-0.18</v>
      </c>
      <c r="BS3913">
        <v>-0.41</v>
      </c>
      <c r="BT3913">
        <v>-2.06</v>
      </c>
      <c r="BU3913">
        <v>-0.08</v>
      </c>
      <c r="BV3913">
        <v>-1.05</v>
      </c>
      <c r="BW3913">
        <v>-2.2799999999999998</v>
      </c>
      <c r="BX3913">
        <v>-0.28000000000000003</v>
      </c>
      <c r="BY3913">
        <v>0.24</v>
      </c>
      <c r="BZ3913">
        <v>-1.84</v>
      </c>
      <c r="CA3913">
        <v>-0.49</v>
      </c>
      <c r="CB3913">
        <v>-0.47</v>
      </c>
      <c r="CC3913">
        <v>-0.75</v>
      </c>
      <c r="CD3913">
        <v>-0.54</v>
      </c>
      <c r="CE3913">
        <v>-0.56000000000000005</v>
      </c>
      <c r="CF3913">
        <v>-0.84</v>
      </c>
      <c r="CG3913">
        <v>0</v>
      </c>
      <c r="CH3913">
        <v>0.86</v>
      </c>
      <c r="CI3913">
        <v>0</v>
      </c>
      <c r="CJ3913">
        <v>-5.6</v>
      </c>
      <c r="CK3913">
        <v>77</v>
      </c>
      <c r="CL3913">
        <v>-0.48</v>
      </c>
      <c r="CM3913">
        <v>74</v>
      </c>
      <c r="CN3913">
        <v>-0.25</v>
      </c>
      <c r="CO3913">
        <v>70</v>
      </c>
      <c r="CP3913">
        <v>-12.5</v>
      </c>
      <c r="CQ3913">
        <v>83</v>
      </c>
      <c r="CR3913">
        <v>0</v>
      </c>
      <c r="CS3913">
        <v>0</v>
      </c>
      <c r="CT3913">
        <v>-8.9</v>
      </c>
      <c r="CU3913">
        <v>66</v>
      </c>
      <c r="CV3913">
        <v>-0.01</v>
      </c>
      <c r="CW3913">
        <v>21</v>
      </c>
      <c r="CX3913" t="s">
        <v>707</v>
      </c>
    </row>
    <row r="3914" spans="1:102" x14ac:dyDescent="0.3">
      <c r="A3914" t="str">
        <f>HYPERLINK("https://webapp.icbf.com/v2/app/bull-search/view/77853277","TYN")</f>
        <v>TYN</v>
      </c>
      <c r="B3914" t="s">
        <v>8654</v>
      </c>
      <c r="C3914" t="s">
        <v>8655</v>
      </c>
      <c r="D3914" s="1">
        <v>34401</v>
      </c>
      <c r="E3914" t="s">
        <v>92</v>
      </c>
      <c r="F3914">
        <v>100</v>
      </c>
      <c r="G3914" t="s">
        <v>93</v>
      </c>
      <c r="H3914">
        <v>-72.650000000000006</v>
      </c>
      <c r="I3914">
        <v>77</v>
      </c>
      <c r="J3914">
        <v>-25.37</v>
      </c>
      <c r="K3914">
        <v>94</v>
      </c>
      <c r="L3914">
        <v>-40.68</v>
      </c>
      <c r="M3914">
        <v>68</v>
      </c>
      <c r="N3914">
        <v>-3.22</v>
      </c>
      <c r="O3914">
        <v>65</v>
      </c>
      <c r="P3914">
        <v>-21.39</v>
      </c>
      <c r="Q3914">
        <v>78</v>
      </c>
      <c r="R3914">
        <v>-11.83</v>
      </c>
      <c r="S3914">
        <v>71</v>
      </c>
      <c r="T3914">
        <v>31.51</v>
      </c>
      <c r="U3914">
        <v>81</v>
      </c>
      <c r="V3914">
        <v>-1.67</v>
      </c>
      <c r="W3914">
        <v>40</v>
      </c>
      <c r="X3914" t="s">
        <v>94</v>
      </c>
      <c r="Y3914" t="s">
        <v>95</v>
      </c>
      <c r="Z3914" t="s">
        <v>96</v>
      </c>
      <c r="AA3914" t="s">
        <v>612</v>
      </c>
      <c r="AB3914" t="s">
        <v>8656</v>
      </c>
      <c r="AC3914">
        <v>75</v>
      </c>
      <c r="AD3914">
        <v>58</v>
      </c>
      <c r="AE3914">
        <v>94</v>
      </c>
      <c r="AF3914">
        <v>105.49</v>
      </c>
      <c r="AG3914">
        <v>-3.08</v>
      </c>
      <c r="AH3914">
        <v>-1.61</v>
      </c>
      <c r="AI3914">
        <v>-0.12</v>
      </c>
      <c r="AJ3914">
        <v>-0.09</v>
      </c>
      <c r="AK3914">
        <v>68</v>
      </c>
      <c r="AL3914">
        <v>105</v>
      </c>
      <c r="AM3914">
        <v>75</v>
      </c>
      <c r="AN3914">
        <v>1.77</v>
      </c>
      <c r="AO3914">
        <v>-1.48</v>
      </c>
      <c r="AP3914">
        <v>18</v>
      </c>
      <c r="AQ3914">
        <v>0</v>
      </c>
      <c r="AR3914">
        <v>7.18</v>
      </c>
      <c r="AS3914">
        <v>45</v>
      </c>
      <c r="AT3914">
        <v>3.28</v>
      </c>
      <c r="AU3914">
        <v>65</v>
      </c>
      <c r="AV3914">
        <v>0.05</v>
      </c>
      <c r="AW3914">
        <v>71</v>
      </c>
      <c r="AX3914">
        <v>0.46</v>
      </c>
      <c r="AY3914">
        <v>76</v>
      </c>
      <c r="AZ3914">
        <v>6.53</v>
      </c>
      <c r="BA3914">
        <v>44</v>
      </c>
      <c r="BB3914">
        <v>5.24</v>
      </c>
      <c r="BC3914">
        <v>59</v>
      </c>
      <c r="BD3914">
        <v>0.03</v>
      </c>
      <c r="BE3914">
        <v>0.08</v>
      </c>
      <c r="BF3914">
        <v>7.0000000000000007E-2</v>
      </c>
      <c r="BG3914">
        <v>87</v>
      </c>
      <c r="BH3914">
        <v>0.08</v>
      </c>
      <c r="BI3914">
        <v>14.63</v>
      </c>
      <c r="BJ3914">
        <v>30</v>
      </c>
      <c r="BK3914">
        <v>19</v>
      </c>
      <c r="BL3914">
        <v>-0.31</v>
      </c>
      <c r="BM3914">
        <v>-1.56</v>
      </c>
      <c r="BN3914">
        <v>-0.88</v>
      </c>
      <c r="BO3914">
        <v>0.72</v>
      </c>
      <c r="BP3914">
        <v>1.95</v>
      </c>
      <c r="BQ3914">
        <v>-2.4300000000000002</v>
      </c>
      <c r="BR3914">
        <v>0.31</v>
      </c>
      <c r="BS3914">
        <v>0.18</v>
      </c>
      <c r="BT3914">
        <v>0.11</v>
      </c>
      <c r="BU3914">
        <v>-0.49</v>
      </c>
      <c r="BV3914">
        <v>-0.39</v>
      </c>
      <c r="BW3914">
        <v>0.53</v>
      </c>
      <c r="BX3914">
        <v>-0.82</v>
      </c>
      <c r="BY3914">
        <v>-0.09</v>
      </c>
      <c r="BZ3914">
        <v>0.47</v>
      </c>
      <c r="CA3914">
        <v>0.17</v>
      </c>
      <c r="CB3914">
        <v>0.04</v>
      </c>
      <c r="CC3914">
        <v>0.25</v>
      </c>
      <c r="CD3914">
        <v>-1.1599999999999999</v>
      </c>
      <c r="CE3914">
        <v>0.89</v>
      </c>
      <c r="CF3914">
        <v>-1.54</v>
      </c>
      <c r="CG3914">
        <v>0</v>
      </c>
      <c r="CH3914">
        <v>0.24</v>
      </c>
      <c r="CI3914">
        <v>0</v>
      </c>
      <c r="CJ3914">
        <v>-9</v>
      </c>
      <c r="CK3914">
        <v>79</v>
      </c>
      <c r="CL3914">
        <v>-0.53</v>
      </c>
      <c r="CM3914">
        <v>76</v>
      </c>
      <c r="CN3914">
        <v>0.05</v>
      </c>
      <c r="CO3914">
        <v>73</v>
      </c>
      <c r="CP3914">
        <v>-19.399999999999999</v>
      </c>
      <c r="CQ3914">
        <v>86</v>
      </c>
      <c r="CR3914">
        <v>0</v>
      </c>
      <c r="CS3914">
        <v>0</v>
      </c>
      <c r="CT3914">
        <v>-28.8</v>
      </c>
      <c r="CU3914">
        <v>81</v>
      </c>
      <c r="CV3914">
        <v>0.04</v>
      </c>
      <c r="CW3914">
        <v>22</v>
      </c>
      <c r="CX3914" t="s">
        <v>111</v>
      </c>
    </row>
    <row r="3915" spans="1:102" x14ac:dyDescent="0.3">
      <c r="A3915" t="str">
        <f>HYPERLINK("https://webapp.icbf.com/v2/app/bull-search/view/77859925","BRP")</f>
        <v>BRP</v>
      </c>
      <c r="B3915" t="s">
        <v>3178</v>
      </c>
      <c r="C3915" t="s">
        <v>3179</v>
      </c>
      <c r="D3915" s="1">
        <v>31434</v>
      </c>
      <c r="E3915" t="s">
        <v>92</v>
      </c>
      <c r="F3915">
        <v>63</v>
      </c>
      <c r="G3915" t="s">
        <v>116</v>
      </c>
      <c r="H3915">
        <v>-72.709999999999994</v>
      </c>
      <c r="I3915">
        <v>51</v>
      </c>
      <c r="J3915">
        <v>-33.43</v>
      </c>
      <c r="K3915">
        <v>63</v>
      </c>
      <c r="L3915">
        <v>-11.68</v>
      </c>
      <c r="M3915">
        <v>49</v>
      </c>
      <c r="N3915">
        <v>-15.24</v>
      </c>
      <c r="O3915">
        <v>29</v>
      </c>
      <c r="P3915">
        <v>-13.9</v>
      </c>
      <c r="Q3915">
        <v>62</v>
      </c>
      <c r="R3915">
        <v>-7.22</v>
      </c>
      <c r="S3915">
        <v>47</v>
      </c>
      <c r="T3915">
        <v>14.71</v>
      </c>
      <c r="U3915">
        <v>43</v>
      </c>
      <c r="V3915">
        <v>-5.95</v>
      </c>
      <c r="W3915">
        <v>16</v>
      </c>
      <c r="X3915" t="s">
        <v>94</v>
      </c>
      <c r="Y3915" t="s">
        <v>95</v>
      </c>
      <c r="Z3915" t="s">
        <v>96</v>
      </c>
      <c r="AA3915" t="s">
        <v>3180</v>
      </c>
      <c r="AB3915" t="s">
        <v>3181</v>
      </c>
      <c r="AC3915">
        <v>9</v>
      </c>
      <c r="AD3915">
        <v>9</v>
      </c>
      <c r="AE3915">
        <v>63</v>
      </c>
      <c r="AF3915">
        <v>-84.02</v>
      </c>
      <c r="AG3915">
        <v>0.22</v>
      </c>
      <c r="AH3915">
        <v>-7.05</v>
      </c>
      <c r="AI3915">
        <v>0.06</v>
      </c>
      <c r="AJ3915">
        <v>-7.0000000000000007E-2</v>
      </c>
      <c r="AK3915">
        <v>49</v>
      </c>
      <c r="AL3915">
        <v>36</v>
      </c>
      <c r="AM3915">
        <v>28</v>
      </c>
      <c r="AN3915">
        <v>-0.82</v>
      </c>
      <c r="AO3915">
        <v>-1.77</v>
      </c>
      <c r="AP3915">
        <v>1</v>
      </c>
      <c r="AQ3915">
        <v>0</v>
      </c>
      <c r="AR3915">
        <v>10.92</v>
      </c>
      <c r="AS3915">
        <v>18</v>
      </c>
      <c r="AT3915">
        <v>4.03</v>
      </c>
      <c r="AU3915">
        <v>24</v>
      </c>
      <c r="AV3915">
        <v>-0.46</v>
      </c>
      <c r="AW3915">
        <v>32</v>
      </c>
      <c r="AX3915">
        <v>0.01</v>
      </c>
      <c r="AY3915">
        <v>47</v>
      </c>
      <c r="AZ3915">
        <v>6.17</v>
      </c>
      <c r="BA3915">
        <v>15</v>
      </c>
      <c r="BB3915">
        <v>5.07</v>
      </c>
      <c r="BC3915">
        <v>24</v>
      </c>
      <c r="BD3915">
        <v>0.03</v>
      </c>
      <c r="BE3915">
        <v>0.04</v>
      </c>
      <c r="BF3915">
        <v>0.04</v>
      </c>
      <c r="BG3915">
        <v>65</v>
      </c>
      <c r="BH3915">
        <v>-0.13</v>
      </c>
      <c r="BI3915">
        <v>4.17</v>
      </c>
      <c r="BJ3915">
        <v>3</v>
      </c>
      <c r="BK3915">
        <v>3</v>
      </c>
      <c r="BL3915">
        <v>-2.19</v>
      </c>
      <c r="BM3915">
        <v>-0.15</v>
      </c>
      <c r="BN3915">
        <v>-2.2400000000000002</v>
      </c>
      <c r="BO3915">
        <v>-1.7</v>
      </c>
      <c r="BP3915">
        <v>0.42</v>
      </c>
      <c r="BQ3915">
        <v>0.06</v>
      </c>
      <c r="BR3915">
        <v>0.92</v>
      </c>
      <c r="BS3915">
        <v>-1.02</v>
      </c>
      <c r="BT3915">
        <v>-0.96</v>
      </c>
      <c r="BU3915">
        <v>-1.78</v>
      </c>
      <c r="BV3915">
        <v>-1.69</v>
      </c>
      <c r="BW3915">
        <v>-1.87</v>
      </c>
      <c r="BX3915">
        <v>-2.4500000000000002</v>
      </c>
      <c r="BY3915">
        <v>-0.36</v>
      </c>
      <c r="BZ3915">
        <v>-0.95</v>
      </c>
      <c r="CA3915">
        <v>-1.78</v>
      </c>
      <c r="CB3915">
        <v>-1.35</v>
      </c>
      <c r="CC3915">
        <v>-1.95</v>
      </c>
      <c r="CD3915">
        <v>1.05</v>
      </c>
      <c r="CE3915">
        <v>-2.1</v>
      </c>
      <c r="CF3915">
        <v>-2.67</v>
      </c>
      <c r="CG3915">
        <v>0</v>
      </c>
      <c r="CH3915">
        <v>-1.51</v>
      </c>
      <c r="CI3915">
        <v>0</v>
      </c>
      <c r="CJ3915">
        <v>-5</v>
      </c>
      <c r="CK3915">
        <v>67</v>
      </c>
      <c r="CL3915">
        <v>-0.24</v>
      </c>
      <c r="CM3915">
        <v>57</v>
      </c>
      <c r="CN3915">
        <v>0.22</v>
      </c>
      <c r="CO3915">
        <v>53</v>
      </c>
      <c r="CP3915">
        <v>-13</v>
      </c>
      <c r="CQ3915">
        <v>55</v>
      </c>
      <c r="CR3915">
        <v>0</v>
      </c>
      <c r="CS3915">
        <v>0</v>
      </c>
      <c r="CT3915">
        <v>-6.1</v>
      </c>
      <c r="CU3915">
        <v>43</v>
      </c>
      <c r="CV3915">
        <v>0.05</v>
      </c>
      <c r="CW3915">
        <v>19</v>
      </c>
      <c r="CX3915" t="s">
        <v>3182</v>
      </c>
    </row>
    <row r="3916" spans="1:102" x14ac:dyDescent="0.3">
      <c r="A3916" t="str">
        <f>HYPERLINK("https://webapp.icbf.com/v2/app/bull-search/view/69091465","DFL")</f>
        <v>DFL</v>
      </c>
      <c r="B3916" t="s">
        <v>12143</v>
      </c>
      <c r="C3916" t="s">
        <v>12144</v>
      </c>
      <c r="D3916" s="1">
        <v>35676</v>
      </c>
      <c r="E3916" t="s">
        <v>92</v>
      </c>
      <c r="F3916">
        <v>100</v>
      </c>
      <c r="G3916" t="s">
        <v>93</v>
      </c>
      <c r="H3916">
        <v>-72.95</v>
      </c>
      <c r="I3916">
        <v>93</v>
      </c>
      <c r="J3916">
        <v>21.2</v>
      </c>
      <c r="K3916">
        <v>98</v>
      </c>
      <c r="L3916">
        <v>-97.43</v>
      </c>
      <c r="M3916">
        <v>88</v>
      </c>
      <c r="N3916">
        <v>7.51</v>
      </c>
      <c r="O3916">
        <v>92</v>
      </c>
      <c r="P3916">
        <v>-7.06</v>
      </c>
      <c r="Q3916">
        <v>98</v>
      </c>
      <c r="R3916">
        <v>-9.25</v>
      </c>
      <c r="S3916">
        <v>89</v>
      </c>
      <c r="T3916">
        <v>11.83</v>
      </c>
      <c r="U3916">
        <v>96</v>
      </c>
      <c r="V3916">
        <v>0.25</v>
      </c>
      <c r="W3916">
        <v>86</v>
      </c>
      <c r="X3916" t="s">
        <v>102</v>
      </c>
      <c r="Y3916" t="s">
        <v>95</v>
      </c>
      <c r="Z3916" t="s">
        <v>96</v>
      </c>
      <c r="AA3916" t="s">
        <v>218</v>
      </c>
      <c r="AB3916" t="s">
        <v>12145</v>
      </c>
      <c r="AC3916">
        <v>297</v>
      </c>
      <c r="AD3916">
        <v>152</v>
      </c>
      <c r="AE3916">
        <v>98</v>
      </c>
      <c r="AF3916">
        <v>-34.51</v>
      </c>
      <c r="AG3916">
        <v>3.27</v>
      </c>
      <c r="AH3916">
        <v>1.92</v>
      </c>
      <c r="AI3916">
        <v>0.08</v>
      </c>
      <c r="AJ3916">
        <v>0.05</v>
      </c>
      <c r="AK3916">
        <v>88</v>
      </c>
      <c r="AL3916">
        <v>365</v>
      </c>
      <c r="AM3916">
        <v>193</v>
      </c>
      <c r="AN3916">
        <v>5.3</v>
      </c>
      <c r="AO3916">
        <v>-2.4700000000000002</v>
      </c>
      <c r="AP3916">
        <v>403</v>
      </c>
      <c r="AQ3916">
        <v>6</v>
      </c>
      <c r="AR3916">
        <v>7.92</v>
      </c>
      <c r="AS3916">
        <v>86</v>
      </c>
      <c r="AT3916">
        <v>3.61</v>
      </c>
      <c r="AU3916">
        <v>93</v>
      </c>
      <c r="AV3916">
        <v>-1.2</v>
      </c>
      <c r="AW3916">
        <v>95</v>
      </c>
      <c r="AX3916">
        <v>-0.32</v>
      </c>
      <c r="AY3916">
        <v>94</v>
      </c>
      <c r="AZ3916">
        <v>5.83</v>
      </c>
      <c r="BA3916">
        <v>81</v>
      </c>
      <c r="BB3916">
        <v>4.67</v>
      </c>
      <c r="BC3916">
        <v>84</v>
      </c>
      <c r="BD3916">
        <v>0.01</v>
      </c>
      <c r="BE3916">
        <v>0.04</v>
      </c>
      <c r="BF3916">
        <v>0.12</v>
      </c>
      <c r="BG3916">
        <v>95</v>
      </c>
      <c r="BH3916">
        <v>0.13</v>
      </c>
      <c r="BI3916">
        <v>14.24</v>
      </c>
      <c r="BJ3916">
        <v>19</v>
      </c>
      <c r="BK3916">
        <v>17</v>
      </c>
      <c r="BL3916">
        <v>-0.22</v>
      </c>
      <c r="BM3916">
        <v>-0.47</v>
      </c>
      <c r="BN3916">
        <v>-0.36</v>
      </c>
      <c r="BO3916">
        <v>0.39</v>
      </c>
      <c r="BP3916">
        <v>0.93</v>
      </c>
      <c r="BQ3916">
        <v>-0.15</v>
      </c>
      <c r="BR3916">
        <v>1.7</v>
      </c>
      <c r="BS3916">
        <v>-1.45</v>
      </c>
      <c r="BT3916">
        <v>-0.74</v>
      </c>
      <c r="BU3916">
        <v>-0.77</v>
      </c>
      <c r="BV3916">
        <v>-0.36</v>
      </c>
      <c r="BW3916">
        <v>-0.24</v>
      </c>
      <c r="BX3916">
        <v>-1.01</v>
      </c>
      <c r="BY3916">
        <v>0.08</v>
      </c>
      <c r="BZ3916">
        <v>0.77</v>
      </c>
      <c r="CA3916">
        <v>-0.75</v>
      </c>
      <c r="CB3916">
        <v>-0.59</v>
      </c>
      <c r="CC3916">
        <v>-1.3</v>
      </c>
      <c r="CD3916">
        <v>-0.14000000000000001</v>
      </c>
      <c r="CE3916">
        <v>0.18</v>
      </c>
      <c r="CF3916">
        <v>-0.06</v>
      </c>
      <c r="CG3916">
        <v>0</v>
      </c>
      <c r="CH3916">
        <v>0.17</v>
      </c>
      <c r="CI3916">
        <v>0</v>
      </c>
      <c r="CJ3916">
        <v>-2.5</v>
      </c>
      <c r="CK3916">
        <v>98</v>
      </c>
      <c r="CL3916">
        <v>-0.47</v>
      </c>
      <c r="CM3916">
        <v>97</v>
      </c>
      <c r="CN3916">
        <v>-0.18</v>
      </c>
      <c r="CO3916">
        <v>97</v>
      </c>
      <c r="CP3916">
        <v>-5.8</v>
      </c>
      <c r="CQ3916">
        <v>97</v>
      </c>
      <c r="CR3916">
        <v>0</v>
      </c>
      <c r="CS3916">
        <v>0</v>
      </c>
      <c r="CT3916">
        <v>-2.2000000000000002</v>
      </c>
      <c r="CU3916">
        <v>96</v>
      </c>
      <c r="CV3916">
        <v>0.04</v>
      </c>
      <c r="CW3916">
        <v>46</v>
      </c>
      <c r="CX3916" t="s">
        <v>128</v>
      </c>
    </row>
    <row r="3917" spans="1:102" x14ac:dyDescent="0.3">
      <c r="A3917" t="str">
        <f>HYPERLINK("https://webapp.icbf.com/v2/app/bull-search/view/69091471","DIL")</f>
        <v>DIL</v>
      </c>
      <c r="B3917" t="s">
        <v>3501</v>
      </c>
      <c r="C3917" t="s">
        <v>3502</v>
      </c>
      <c r="D3917" s="1">
        <v>36262</v>
      </c>
      <c r="E3917" t="s">
        <v>92</v>
      </c>
      <c r="F3917">
        <v>100</v>
      </c>
      <c r="G3917" t="s">
        <v>93</v>
      </c>
      <c r="H3917">
        <v>-72.97</v>
      </c>
      <c r="I3917">
        <v>84</v>
      </c>
      <c r="J3917">
        <v>-4.13</v>
      </c>
      <c r="K3917">
        <v>96</v>
      </c>
      <c r="L3917">
        <v>-67.3</v>
      </c>
      <c r="M3917">
        <v>78</v>
      </c>
      <c r="N3917">
        <v>1.19</v>
      </c>
      <c r="O3917">
        <v>78</v>
      </c>
      <c r="P3917">
        <v>-7.88</v>
      </c>
      <c r="Q3917">
        <v>88</v>
      </c>
      <c r="R3917">
        <v>-7.12</v>
      </c>
      <c r="S3917">
        <v>78</v>
      </c>
      <c r="T3917">
        <v>12.94</v>
      </c>
      <c r="U3917">
        <v>79</v>
      </c>
      <c r="V3917">
        <v>-0.67</v>
      </c>
      <c r="W3917">
        <v>68</v>
      </c>
      <c r="X3917" t="s">
        <v>94</v>
      </c>
      <c r="Y3917" t="s">
        <v>95</v>
      </c>
      <c r="Z3917" t="s">
        <v>96</v>
      </c>
      <c r="AA3917" t="s">
        <v>961</v>
      </c>
      <c r="AB3917" t="s">
        <v>3503</v>
      </c>
      <c r="AC3917">
        <v>75</v>
      </c>
      <c r="AD3917">
        <v>56</v>
      </c>
      <c r="AE3917">
        <v>96</v>
      </c>
      <c r="AF3917">
        <v>30.36</v>
      </c>
      <c r="AG3917">
        <v>5.18</v>
      </c>
      <c r="AH3917">
        <v>-2.0699999999999998</v>
      </c>
      <c r="AI3917">
        <v>7.0000000000000007E-2</v>
      </c>
      <c r="AJ3917">
        <v>-0.05</v>
      </c>
      <c r="AK3917">
        <v>78</v>
      </c>
      <c r="AL3917">
        <v>75</v>
      </c>
      <c r="AM3917">
        <v>55</v>
      </c>
      <c r="AN3917">
        <v>4.21</v>
      </c>
      <c r="AO3917">
        <v>-1.1499999999999999</v>
      </c>
      <c r="AP3917">
        <v>53</v>
      </c>
      <c r="AQ3917">
        <v>0</v>
      </c>
      <c r="AR3917">
        <v>7.87</v>
      </c>
      <c r="AS3917">
        <v>69</v>
      </c>
      <c r="AT3917">
        <v>4.03</v>
      </c>
      <c r="AU3917">
        <v>80</v>
      </c>
      <c r="AV3917">
        <v>-0.48</v>
      </c>
      <c r="AW3917">
        <v>86</v>
      </c>
      <c r="AX3917">
        <v>-0.34</v>
      </c>
      <c r="AY3917">
        <v>76</v>
      </c>
      <c r="AZ3917">
        <v>4.8</v>
      </c>
      <c r="BA3917">
        <v>59</v>
      </c>
      <c r="BB3917">
        <v>4.24</v>
      </c>
      <c r="BC3917">
        <v>63</v>
      </c>
      <c r="BD3917">
        <v>0.01</v>
      </c>
      <c r="BE3917">
        <v>0.03</v>
      </c>
      <c r="BF3917">
        <v>0.09</v>
      </c>
      <c r="BG3917">
        <v>88</v>
      </c>
      <c r="BH3917">
        <v>0.05</v>
      </c>
      <c r="BI3917">
        <v>7.95</v>
      </c>
      <c r="BJ3917">
        <v>15</v>
      </c>
      <c r="BK3917">
        <v>13</v>
      </c>
      <c r="BL3917">
        <v>1.27</v>
      </c>
      <c r="BM3917">
        <v>-1.92</v>
      </c>
      <c r="BN3917">
        <v>0.38</v>
      </c>
      <c r="BO3917">
        <v>1.47</v>
      </c>
      <c r="BP3917">
        <v>-0.34</v>
      </c>
      <c r="BQ3917">
        <v>-0.83</v>
      </c>
      <c r="BR3917">
        <v>0.41</v>
      </c>
      <c r="BS3917">
        <v>-1.52</v>
      </c>
      <c r="BT3917">
        <v>0.97</v>
      </c>
      <c r="BU3917">
        <v>-0.04</v>
      </c>
      <c r="BV3917">
        <v>1.28</v>
      </c>
      <c r="BW3917">
        <v>1.03</v>
      </c>
      <c r="BX3917">
        <v>0.5</v>
      </c>
      <c r="BY3917">
        <v>0.8</v>
      </c>
      <c r="BZ3917">
        <v>1.27</v>
      </c>
      <c r="CA3917">
        <v>0.1</v>
      </c>
      <c r="CB3917">
        <v>0.76</v>
      </c>
      <c r="CC3917">
        <v>-0.82</v>
      </c>
      <c r="CD3917">
        <v>-2.0099999999999998</v>
      </c>
      <c r="CE3917">
        <v>1.26</v>
      </c>
      <c r="CF3917">
        <v>0.21</v>
      </c>
      <c r="CG3917">
        <v>0</v>
      </c>
      <c r="CH3917">
        <v>0.42</v>
      </c>
      <c r="CI3917">
        <v>0</v>
      </c>
      <c r="CJ3917">
        <v>0.2</v>
      </c>
      <c r="CK3917">
        <v>89</v>
      </c>
      <c r="CL3917">
        <v>-0.95</v>
      </c>
      <c r="CM3917">
        <v>87</v>
      </c>
      <c r="CN3917">
        <v>-0.23</v>
      </c>
      <c r="CO3917">
        <v>86</v>
      </c>
      <c r="CP3917">
        <v>-7</v>
      </c>
      <c r="CQ3917">
        <v>88</v>
      </c>
      <c r="CR3917">
        <v>0</v>
      </c>
      <c r="CS3917">
        <v>0</v>
      </c>
      <c r="CT3917">
        <v>-3.7</v>
      </c>
      <c r="CU3917">
        <v>79</v>
      </c>
      <c r="CV3917">
        <v>0.26</v>
      </c>
      <c r="CW3917">
        <v>44</v>
      </c>
      <c r="CX3917" t="s">
        <v>105</v>
      </c>
    </row>
    <row r="3918" spans="1:102" x14ac:dyDescent="0.3">
      <c r="A3918" t="str">
        <f>HYPERLINK("https://webapp.icbf.com/v2/app/bull-search/view/77853448","SRO")</f>
        <v>SRO</v>
      </c>
      <c r="B3918" t="s">
        <v>11168</v>
      </c>
      <c r="C3918" t="s">
        <v>11169</v>
      </c>
      <c r="D3918" s="1">
        <v>33414</v>
      </c>
      <c r="E3918" t="s">
        <v>92</v>
      </c>
      <c r="F3918">
        <v>100</v>
      </c>
      <c r="G3918" t="s">
        <v>93</v>
      </c>
      <c r="H3918">
        <v>-73.010000000000005</v>
      </c>
      <c r="I3918">
        <v>96</v>
      </c>
      <c r="J3918">
        <v>-10.09</v>
      </c>
      <c r="K3918">
        <v>99</v>
      </c>
      <c r="L3918">
        <v>-66.19</v>
      </c>
      <c r="M3918">
        <v>94</v>
      </c>
      <c r="N3918">
        <v>11.99</v>
      </c>
      <c r="O3918">
        <v>95</v>
      </c>
      <c r="P3918">
        <v>-11.89</v>
      </c>
      <c r="Q3918">
        <v>98</v>
      </c>
      <c r="R3918">
        <v>-15.35</v>
      </c>
      <c r="S3918">
        <v>92</v>
      </c>
      <c r="T3918">
        <v>18.78</v>
      </c>
      <c r="U3918">
        <v>98</v>
      </c>
      <c r="V3918">
        <v>-0.26</v>
      </c>
      <c r="W3918">
        <v>88</v>
      </c>
      <c r="X3918" t="s">
        <v>131</v>
      </c>
      <c r="Y3918" t="s">
        <v>95</v>
      </c>
      <c r="Z3918" t="s">
        <v>96</v>
      </c>
      <c r="AA3918" t="s">
        <v>132</v>
      </c>
      <c r="AB3918" t="s">
        <v>10348</v>
      </c>
      <c r="AC3918">
        <v>632</v>
      </c>
      <c r="AD3918">
        <v>289</v>
      </c>
      <c r="AE3918">
        <v>99</v>
      </c>
      <c r="AF3918">
        <v>84.32</v>
      </c>
      <c r="AG3918">
        <v>-2.59</v>
      </c>
      <c r="AH3918">
        <v>0.49</v>
      </c>
      <c r="AI3918">
        <v>-0.1</v>
      </c>
      <c r="AJ3918">
        <v>-0.04</v>
      </c>
      <c r="AK3918">
        <v>94</v>
      </c>
      <c r="AL3918">
        <v>617</v>
      </c>
      <c r="AM3918">
        <v>272</v>
      </c>
      <c r="AN3918">
        <v>2.74</v>
      </c>
      <c r="AO3918">
        <v>-2.5499999999999998</v>
      </c>
      <c r="AP3918">
        <v>649</v>
      </c>
      <c r="AQ3918">
        <v>0</v>
      </c>
      <c r="AR3918">
        <v>7.8</v>
      </c>
      <c r="AS3918">
        <v>93</v>
      </c>
      <c r="AT3918">
        <v>3.23</v>
      </c>
      <c r="AU3918">
        <v>96</v>
      </c>
      <c r="AV3918">
        <v>-2.41</v>
      </c>
      <c r="AW3918">
        <v>98</v>
      </c>
      <c r="AX3918">
        <v>-0.46</v>
      </c>
      <c r="AY3918">
        <v>96</v>
      </c>
      <c r="AZ3918">
        <v>7.73</v>
      </c>
      <c r="BA3918">
        <v>88</v>
      </c>
      <c r="BB3918">
        <v>5.9</v>
      </c>
      <c r="BC3918">
        <v>91</v>
      </c>
      <c r="BD3918">
        <v>0.06</v>
      </c>
      <c r="BE3918">
        <v>7.0000000000000007E-2</v>
      </c>
      <c r="BF3918">
        <v>0.12</v>
      </c>
      <c r="BG3918">
        <v>98</v>
      </c>
      <c r="BH3918">
        <v>-0.08</v>
      </c>
      <c r="BI3918">
        <v>-8.43</v>
      </c>
      <c r="BJ3918">
        <v>81</v>
      </c>
      <c r="BK3918">
        <v>43</v>
      </c>
      <c r="BL3918">
        <v>0.28000000000000003</v>
      </c>
      <c r="BM3918">
        <v>-1.43</v>
      </c>
      <c r="BN3918">
        <v>0.14000000000000001</v>
      </c>
      <c r="BO3918">
        <v>0.66</v>
      </c>
      <c r="BP3918">
        <v>-0.78</v>
      </c>
      <c r="BQ3918">
        <v>-3.05</v>
      </c>
      <c r="BR3918">
        <v>0.62</v>
      </c>
      <c r="BS3918">
        <v>0.48</v>
      </c>
      <c r="BT3918">
        <v>-1.47</v>
      </c>
      <c r="BU3918">
        <v>0.51</v>
      </c>
      <c r="BV3918">
        <v>0.61</v>
      </c>
      <c r="BW3918">
        <v>-0.53</v>
      </c>
      <c r="BX3918">
        <v>0</v>
      </c>
      <c r="BY3918">
        <v>-0.09</v>
      </c>
      <c r="BZ3918">
        <v>3.28</v>
      </c>
      <c r="CA3918">
        <v>0.34</v>
      </c>
      <c r="CB3918">
        <v>-0.05</v>
      </c>
      <c r="CC3918">
        <v>0.85</v>
      </c>
      <c r="CD3918">
        <v>-0.86</v>
      </c>
      <c r="CE3918">
        <v>0.61</v>
      </c>
      <c r="CF3918">
        <v>-0.15</v>
      </c>
      <c r="CG3918">
        <v>0</v>
      </c>
      <c r="CH3918">
        <v>-0.1</v>
      </c>
      <c r="CI3918">
        <v>0</v>
      </c>
      <c r="CJ3918">
        <v>-1.8</v>
      </c>
      <c r="CK3918">
        <v>98</v>
      </c>
      <c r="CL3918">
        <v>-0.85</v>
      </c>
      <c r="CM3918">
        <v>98</v>
      </c>
      <c r="CN3918">
        <v>-0.05</v>
      </c>
      <c r="CO3918">
        <v>98</v>
      </c>
      <c r="CP3918">
        <v>-8.1</v>
      </c>
      <c r="CQ3918">
        <v>98</v>
      </c>
      <c r="CR3918">
        <v>0</v>
      </c>
      <c r="CS3918">
        <v>0</v>
      </c>
      <c r="CT3918">
        <v>-11.6</v>
      </c>
      <c r="CU3918">
        <v>98</v>
      </c>
      <c r="CV3918">
        <v>0.21</v>
      </c>
      <c r="CW3918">
        <v>46</v>
      </c>
      <c r="CX3918" t="s">
        <v>4347</v>
      </c>
    </row>
    <row r="3919" spans="1:102" x14ac:dyDescent="0.3">
      <c r="A3919" t="str">
        <f>HYPERLINK("https://webapp.icbf.com/v2/app/bull-search/view/77855086","NVL")</f>
        <v>NVL</v>
      </c>
      <c r="B3919" t="s">
        <v>14816</v>
      </c>
      <c r="C3919" t="s">
        <v>14817</v>
      </c>
      <c r="D3919" s="1">
        <v>35516</v>
      </c>
      <c r="E3919" t="s">
        <v>92</v>
      </c>
      <c r="F3919">
        <v>100</v>
      </c>
      <c r="G3919" t="s">
        <v>93</v>
      </c>
      <c r="H3919">
        <v>-73.08</v>
      </c>
      <c r="I3919">
        <v>91</v>
      </c>
      <c r="J3919">
        <v>38.5</v>
      </c>
      <c r="K3919">
        <v>98</v>
      </c>
      <c r="L3919">
        <v>-97.75</v>
      </c>
      <c r="M3919">
        <v>86</v>
      </c>
      <c r="N3919">
        <v>-10.48</v>
      </c>
      <c r="O3919">
        <v>87</v>
      </c>
      <c r="P3919">
        <v>-4.87</v>
      </c>
      <c r="Q3919">
        <v>94</v>
      </c>
      <c r="R3919">
        <v>2.2599999999999998</v>
      </c>
      <c r="S3919">
        <v>85</v>
      </c>
      <c r="T3919">
        <v>2.5</v>
      </c>
      <c r="U3919">
        <v>89</v>
      </c>
      <c r="V3919">
        <v>-3.24</v>
      </c>
      <c r="W3919">
        <v>78</v>
      </c>
      <c r="X3919" t="s">
        <v>94</v>
      </c>
      <c r="Y3919" t="s">
        <v>95</v>
      </c>
      <c r="Z3919" t="s">
        <v>96</v>
      </c>
      <c r="AA3919" t="s">
        <v>188</v>
      </c>
      <c r="AB3919" t="s">
        <v>14818</v>
      </c>
      <c r="AC3919">
        <v>203</v>
      </c>
      <c r="AD3919">
        <v>116</v>
      </c>
      <c r="AE3919">
        <v>98</v>
      </c>
      <c r="AF3919">
        <v>126.69</v>
      </c>
      <c r="AG3919">
        <v>6.89</v>
      </c>
      <c r="AH3919">
        <v>6.05</v>
      </c>
      <c r="AI3919">
        <v>0.03</v>
      </c>
      <c r="AJ3919">
        <v>0.03</v>
      </c>
      <c r="AK3919">
        <v>86</v>
      </c>
      <c r="AL3919">
        <v>200</v>
      </c>
      <c r="AM3919">
        <v>110</v>
      </c>
      <c r="AN3919">
        <v>6.5</v>
      </c>
      <c r="AO3919">
        <v>-1.28</v>
      </c>
      <c r="AP3919">
        <v>110</v>
      </c>
      <c r="AQ3919">
        <v>0</v>
      </c>
      <c r="AR3919">
        <v>7.6</v>
      </c>
      <c r="AS3919">
        <v>79</v>
      </c>
      <c r="AT3919">
        <v>3.59</v>
      </c>
      <c r="AU3919">
        <v>90</v>
      </c>
      <c r="AV3919">
        <v>0.97</v>
      </c>
      <c r="AW3919">
        <v>91</v>
      </c>
      <c r="AX3919">
        <v>0.34</v>
      </c>
      <c r="AY3919">
        <v>89</v>
      </c>
      <c r="AZ3919">
        <v>5.96</v>
      </c>
      <c r="BA3919">
        <v>75</v>
      </c>
      <c r="BB3919">
        <v>4.67</v>
      </c>
      <c r="BC3919">
        <v>80</v>
      </c>
      <c r="BD3919">
        <v>0</v>
      </c>
      <c r="BE3919">
        <v>0.02</v>
      </c>
      <c r="BF3919">
        <v>-0.09</v>
      </c>
      <c r="BG3919">
        <v>94</v>
      </c>
      <c r="BH3919">
        <v>0.04</v>
      </c>
      <c r="BI3919">
        <v>15.07</v>
      </c>
      <c r="BJ3919">
        <v>20</v>
      </c>
      <c r="BK3919">
        <v>17</v>
      </c>
      <c r="BL3919">
        <v>0.17</v>
      </c>
      <c r="BM3919">
        <v>0.81</v>
      </c>
      <c r="BN3919">
        <v>0.65</v>
      </c>
      <c r="BO3919">
        <v>0.37</v>
      </c>
      <c r="BP3919">
        <v>2.04</v>
      </c>
      <c r="BQ3919">
        <v>0.25</v>
      </c>
      <c r="BR3919">
        <v>-0.28000000000000003</v>
      </c>
      <c r="BS3919">
        <v>-0.15</v>
      </c>
      <c r="BT3919">
        <v>-0.28000000000000003</v>
      </c>
      <c r="BU3919">
        <v>-0.18</v>
      </c>
      <c r="BV3919">
        <v>-0.15</v>
      </c>
      <c r="BW3919">
        <v>-0.39</v>
      </c>
      <c r="BX3919">
        <v>-1.78</v>
      </c>
      <c r="BY3919">
        <v>-0.17</v>
      </c>
      <c r="BZ3919">
        <v>0.64</v>
      </c>
      <c r="CA3919">
        <v>0.18</v>
      </c>
      <c r="CB3919">
        <v>0.42</v>
      </c>
      <c r="CC3919">
        <v>0.09</v>
      </c>
      <c r="CD3919">
        <v>0.43</v>
      </c>
      <c r="CE3919">
        <v>0.67</v>
      </c>
      <c r="CF3919">
        <v>0.78</v>
      </c>
      <c r="CG3919">
        <v>0</v>
      </c>
      <c r="CH3919">
        <v>-0.28000000000000003</v>
      </c>
      <c r="CI3919">
        <v>0</v>
      </c>
      <c r="CJ3919">
        <v>-0.6</v>
      </c>
      <c r="CK3919">
        <v>94</v>
      </c>
      <c r="CL3919">
        <v>-0.68</v>
      </c>
      <c r="CM3919">
        <v>93</v>
      </c>
      <c r="CN3919">
        <v>-0.28999999999999998</v>
      </c>
      <c r="CO3919">
        <v>92</v>
      </c>
      <c r="CP3919">
        <v>-2.8</v>
      </c>
      <c r="CQ3919">
        <v>95</v>
      </c>
      <c r="CR3919">
        <v>0</v>
      </c>
      <c r="CS3919">
        <v>0</v>
      </c>
      <c r="CT3919">
        <v>10.4</v>
      </c>
      <c r="CU3919">
        <v>89</v>
      </c>
      <c r="CV3919">
        <v>0.11</v>
      </c>
      <c r="CW3919">
        <v>45</v>
      </c>
      <c r="CX3919" t="s">
        <v>485</v>
      </c>
    </row>
    <row r="3920" spans="1:102" x14ac:dyDescent="0.3">
      <c r="A3920" t="str">
        <f>HYPERLINK("https://webapp.icbf.com/v2/app/bull-search/view/77854828","MSB")</f>
        <v>MSB</v>
      </c>
      <c r="B3920" t="s">
        <v>11405</v>
      </c>
      <c r="C3920" t="s">
        <v>11406</v>
      </c>
      <c r="D3920" s="1">
        <v>33635</v>
      </c>
      <c r="E3920" t="s">
        <v>92</v>
      </c>
      <c r="F3920">
        <v>69</v>
      </c>
      <c r="G3920" t="s">
        <v>93</v>
      </c>
      <c r="H3920">
        <v>-73.13</v>
      </c>
      <c r="I3920">
        <v>87</v>
      </c>
      <c r="J3920">
        <v>8.77</v>
      </c>
      <c r="K3920">
        <v>97</v>
      </c>
      <c r="L3920">
        <v>-80.900000000000006</v>
      </c>
      <c r="M3920">
        <v>82</v>
      </c>
      <c r="N3920">
        <v>2.97</v>
      </c>
      <c r="O3920">
        <v>78</v>
      </c>
      <c r="P3920">
        <v>-1.73</v>
      </c>
      <c r="Q3920">
        <v>89</v>
      </c>
      <c r="R3920">
        <v>-14.64</v>
      </c>
      <c r="S3920">
        <v>81</v>
      </c>
      <c r="T3920">
        <v>16.05</v>
      </c>
      <c r="U3920">
        <v>87</v>
      </c>
      <c r="V3920">
        <v>-3.65</v>
      </c>
      <c r="W3920">
        <v>70</v>
      </c>
      <c r="X3920" t="s">
        <v>94</v>
      </c>
      <c r="Y3920" t="s">
        <v>95</v>
      </c>
      <c r="Z3920" t="s">
        <v>96</v>
      </c>
      <c r="AA3920" t="s">
        <v>193</v>
      </c>
      <c r="AB3920" t="s">
        <v>11407</v>
      </c>
      <c r="AC3920">
        <v>137</v>
      </c>
      <c r="AD3920">
        <v>90</v>
      </c>
      <c r="AE3920">
        <v>97</v>
      </c>
      <c r="AF3920">
        <v>-49.35</v>
      </c>
      <c r="AG3920">
        <v>4.91</v>
      </c>
      <c r="AH3920">
        <v>-1</v>
      </c>
      <c r="AI3920">
        <v>0.12</v>
      </c>
      <c r="AJ3920">
        <v>0.01</v>
      </c>
      <c r="AK3920">
        <v>82</v>
      </c>
      <c r="AL3920">
        <v>214</v>
      </c>
      <c r="AM3920">
        <v>132</v>
      </c>
      <c r="AN3920">
        <v>6.11</v>
      </c>
      <c r="AO3920">
        <v>-0.32</v>
      </c>
      <c r="AP3920">
        <v>13</v>
      </c>
      <c r="AQ3920">
        <v>0</v>
      </c>
      <c r="AR3920">
        <v>6.87</v>
      </c>
      <c r="AS3920">
        <v>62</v>
      </c>
      <c r="AT3920">
        <v>2.68</v>
      </c>
      <c r="AU3920">
        <v>77</v>
      </c>
      <c r="AV3920">
        <v>-0.28999999999999998</v>
      </c>
      <c r="AW3920">
        <v>85</v>
      </c>
      <c r="AX3920">
        <v>-0.21</v>
      </c>
      <c r="AY3920">
        <v>84</v>
      </c>
      <c r="AZ3920">
        <v>7.02</v>
      </c>
      <c r="BA3920">
        <v>57</v>
      </c>
      <c r="BB3920">
        <v>5.87</v>
      </c>
      <c r="BC3920">
        <v>68</v>
      </c>
      <c r="BD3920">
        <v>0.04</v>
      </c>
      <c r="BE3920">
        <v>0.1</v>
      </c>
      <c r="BF3920">
        <v>0.08</v>
      </c>
      <c r="BG3920">
        <v>93</v>
      </c>
      <c r="BH3920">
        <v>7.0000000000000007E-2</v>
      </c>
      <c r="BI3920">
        <v>19.87</v>
      </c>
      <c r="BJ3920">
        <v>19</v>
      </c>
      <c r="BK3920">
        <v>15</v>
      </c>
      <c r="BL3920">
        <v>-0.14000000000000001</v>
      </c>
      <c r="BM3920">
        <v>-1.54</v>
      </c>
      <c r="BN3920">
        <v>-1.77</v>
      </c>
      <c r="BO3920">
        <v>-0.08</v>
      </c>
      <c r="BP3920">
        <v>-0.26</v>
      </c>
      <c r="BQ3920">
        <v>-3.12</v>
      </c>
      <c r="BR3920">
        <v>-0.78</v>
      </c>
      <c r="BS3920">
        <v>-0.37</v>
      </c>
      <c r="BT3920">
        <v>-0.48</v>
      </c>
      <c r="BU3920">
        <v>-0.61</v>
      </c>
      <c r="BV3920">
        <v>0.17</v>
      </c>
      <c r="BW3920">
        <v>0.13</v>
      </c>
      <c r="BX3920">
        <v>-0.38</v>
      </c>
      <c r="BY3920">
        <v>-1.83</v>
      </c>
      <c r="BZ3920">
        <v>2.06</v>
      </c>
      <c r="CA3920">
        <v>-0.36</v>
      </c>
      <c r="CB3920">
        <v>-0.48</v>
      </c>
      <c r="CC3920">
        <v>0.32</v>
      </c>
      <c r="CD3920">
        <v>-0.03</v>
      </c>
      <c r="CE3920">
        <v>0.23</v>
      </c>
      <c r="CF3920">
        <v>-0.75</v>
      </c>
      <c r="CG3920">
        <v>0</v>
      </c>
      <c r="CH3920">
        <v>-1.35</v>
      </c>
      <c r="CI3920">
        <v>0</v>
      </c>
      <c r="CJ3920">
        <v>1.5</v>
      </c>
      <c r="CK3920">
        <v>90</v>
      </c>
      <c r="CL3920">
        <v>-0.51</v>
      </c>
      <c r="CM3920">
        <v>88</v>
      </c>
      <c r="CN3920">
        <v>-0.19</v>
      </c>
      <c r="CO3920">
        <v>86</v>
      </c>
      <c r="CP3920">
        <v>-5.0999999999999996</v>
      </c>
      <c r="CQ3920">
        <v>93</v>
      </c>
      <c r="CR3920">
        <v>0</v>
      </c>
      <c r="CS3920">
        <v>0</v>
      </c>
      <c r="CT3920">
        <v>-7.9</v>
      </c>
      <c r="CU3920">
        <v>87</v>
      </c>
      <c r="CV3920">
        <v>0.18</v>
      </c>
      <c r="CW3920">
        <v>44</v>
      </c>
      <c r="CX3920" t="s">
        <v>663</v>
      </c>
    </row>
    <row r="3921" spans="1:102" x14ac:dyDescent="0.3">
      <c r="A3921" t="str">
        <f>HYPERLINK("https://webapp.icbf.com/v2/app/bull-search/view/380533392","FIF")</f>
        <v>FIF</v>
      </c>
      <c r="B3921" t="s">
        <v>6671</v>
      </c>
      <c r="C3921" t="s">
        <v>6672</v>
      </c>
      <c r="D3921" s="1">
        <v>37654</v>
      </c>
      <c r="E3921" t="s">
        <v>92</v>
      </c>
      <c r="F3921">
        <v>100</v>
      </c>
      <c r="G3921" t="s">
        <v>93</v>
      </c>
      <c r="H3921">
        <v>-73.27</v>
      </c>
      <c r="I3921">
        <v>89</v>
      </c>
      <c r="J3921">
        <v>-46.9</v>
      </c>
      <c r="K3921">
        <v>96</v>
      </c>
      <c r="L3921">
        <v>-23.6</v>
      </c>
      <c r="M3921">
        <v>88</v>
      </c>
      <c r="N3921">
        <v>-0.48</v>
      </c>
      <c r="O3921">
        <v>85</v>
      </c>
      <c r="P3921">
        <v>-13.03</v>
      </c>
      <c r="Q3921">
        <v>91</v>
      </c>
      <c r="R3921">
        <v>0.78</v>
      </c>
      <c r="S3921">
        <v>82</v>
      </c>
      <c r="T3921">
        <v>6.8</v>
      </c>
      <c r="U3921">
        <v>83</v>
      </c>
      <c r="V3921">
        <v>3.16</v>
      </c>
      <c r="W3921">
        <v>74</v>
      </c>
      <c r="X3921" t="s">
        <v>94</v>
      </c>
      <c r="Y3921" t="s">
        <v>1215</v>
      </c>
      <c r="Z3921" t="s">
        <v>96</v>
      </c>
      <c r="AA3921" t="s">
        <v>6673</v>
      </c>
      <c r="AB3921" t="s">
        <v>6674</v>
      </c>
      <c r="AC3921">
        <v>78</v>
      </c>
      <c r="AD3921">
        <v>46</v>
      </c>
      <c r="AE3921">
        <v>96</v>
      </c>
      <c r="AF3921">
        <v>-442.86</v>
      </c>
      <c r="AG3921">
        <v>-1.82</v>
      </c>
      <c r="AH3921">
        <v>-14.11</v>
      </c>
      <c r="AI3921">
        <v>0.28999999999999998</v>
      </c>
      <c r="AJ3921">
        <v>0.02</v>
      </c>
      <c r="AK3921">
        <v>88</v>
      </c>
      <c r="AL3921">
        <v>60</v>
      </c>
      <c r="AM3921">
        <v>36</v>
      </c>
      <c r="AN3921">
        <v>-0.91</v>
      </c>
      <c r="AO3921">
        <v>-2.82</v>
      </c>
      <c r="AP3921">
        <v>173</v>
      </c>
      <c r="AQ3921">
        <v>0</v>
      </c>
      <c r="AR3921">
        <v>6.39</v>
      </c>
      <c r="AS3921">
        <v>78</v>
      </c>
      <c r="AT3921">
        <v>3.82</v>
      </c>
      <c r="AU3921">
        <v>91</v>
      </c>
      <c r="AV3921">
        <v>-1.87</v>
      </c>
      <c r="AW3921">
        <v>93</v>
      </c>
      <c r="AX3921">
        <v>-7.0000000000000007E-2</v>
      </c>
      <c r="AY3921">
        <v>80</v>
      </c>
      <c r="AZ3921">
        <v>8.86</v>
      </c>
      <c r="BA3921">
        <v>66</v>
      </c>
      <c r="BB3921">
        <v>6.5</v>
      </c>
      <c r="BC3921">
        <v>63</v>
      </c>
      <c r="BD3921">
        <v>0.03</v>
      </c>
      <c r="BE3921">
        <v>-0.02</v>
      </c>
      <c r="BF3921">
        <v>-0.03</v>
      </c>
      <c r="BG3921">
        <v>93</v>
      </c>
      <c r="BH3921">
        <v>0.13</v>
      </c>
      <c r="BI3921">
        <v>4.83</v>
      </c>
      <c r="BJ3921">
        <v>32</v>
      </c>
      <c r="BK3921">
        <v>23</v>
      </c>
      <c r="BL3921">
        <v>0.63</v>
      </c>
      <c r="BM3921">
        <v>0.9</v>
      </c>
      <c r="BN3921">
        <v>1.19</v>
      </c>
      <c r="BO3921">
        <v>0</v>
      </c>
      <c r="BP3921">
        <v>-0.79</v>
      </c>
      <c r="BQ3921">
        <v>2.2599999999999998</v>
      </c>
      <c r="BR3921">
        <v>1.94</v>
      </c>
      <c r="BS3921">
        <v>-3.48</v>
      </c>
      <c r="BT3921">
        <v>-0.88</v>
      </c>
      <c r="BU3921">
        <v>1.32</v>
      </c>
      <c r="BV3921">
        <v>-0.34</v>
      </c>
      <c r="BW3921">
        <v>-0.26</v>
      </c>
      <c r="BX3921">
        <v>1</v>
      </c>
      <c r="BY3921">
        <v>0.41</v>
      </c>
      <c r="BZ3921">
        <v>-1.04</v>
      </c>
      <c r="CA3921">
        <v>-0.44</v>
      </c>
      <c r="CB3921">
        <v>0.43</v>
      </c>
      <c r="CC3921">
        <v>-1.89</v>
      </c>
      <c r="CD3921">
        <v>0.82</v>
      </c>
      <c r="CE3921">
        <v>0.13</v>
      </c>
      <c r="CF3921">
        <v>1.05</v>
      </c>
      <c r="CG3921">
        <v>0</v>
      </c>
      <c r="CH3921">
        <v>0.27</v>
      </c>
      <c r="CI3921">
        <v>0</v>
      </c>
      <c r="CJ3921">
        <v>-5.8</v>
      </c>
      <c r="CK3921">
        <v>92</v>
      </c>
      <c r="CL3921">
        <v>-1</v>
      </c>
      <c r="CM3921">
        <v>90</v>
      </c>
      <c r="CN3921">
        <v>-0.46</v>
      </c>
      <c r="CO3921">
        <v>89</v>
      </c>
      <c r="CP3921">
        <v>-0.6</v>
      </c>
      <c r="CQ3921">
        <v>89</v>
      </c>
      <c r="CR3921">
        <v>0</v>
      </c>
      <c r="CS3921">
        <v>0</v>
      </c>
      <c r="CT3921">
        <v>4.5999999999999996</v>
      </c>
      <c r="CU3921">
        <v>83</v>
      </c>
      <c r="CV3921">
        <v>0.09</v>
      </c>
      <c r="CW3921">
        <v>44</v>
      </c>
      <c r="CX3921" t="s">
        <v>6675</v>
      </c>
    </row>
    <row r="3922" spans="1:102" x14ac:dyDescent="0.3">
      <c r="A3922" t="str">
        <f>HYPERLINK("https://webapp.icbf.com/v2/app/bull-search/view/77856340","JOS")</f>
        <v>JOS</v>
      </c>
      <c r="B3922" t="s">
        <v>6876</v>
      </c>
      <c r="C3922" t="s">
        <v>6877</v>
      </c>
      <c r="D3922" s="1">
        <v>33299</v>
      </c>
      <c r="E3922" t="s">
        <v>92</v>
      </c>
      <c r="F3922">
        <v>100</v>
      </c>
      <c r="G3922" t="s">
        <v>93</v>
      </c>
      <c r="H3922">
        <v>-73.41</v>
      </c>
      <c r="I3922">
        <v>99</v>
      </c>
      <c r="J3922">
        <v>43.12</v>
      </c>
      <c r="K3922">
        <v>99</v>
      </c>
      <c r="L3922">
        <v>-114.45</v>
      </c>
      <c r="M3922">
        <v>99</v>
      </c>
      <c r="N3922">
        <v>10</v>
      </c>
      <c r="O3922">
        <v>99</v>
      </c>
      <c r="P3922">
        <v>-5.92</v>
      </c>
      <c r="Q3922">
        <v>99</v>
      </c>
      <c r="R3922">
        <v>-15.12</v>
      </c>
      <c r="S3922">
        <v>98</v>
      </c>
      <c r="T3922">
        <v>9.5299999999999994</v>
      </c>
      <c r="U3922">
        <v>99</v>
      </c>
      <c r="V3922">
        <v>-0.56999999999999995</v>
      </c>
      <c r="W3922">
        <v>99</v>
      </c>
      <c r="X3922" t="s">
        <v>94</v>
      </c>
      <c r="Y3922" t="s">
        <v>95</v>
      </c>
      <c r="Z3922" t="s">
        <v>96</v>
      </c>
      <c r="AA3922" t="s">
        <v>118</v>
      </c>
      <c r="AB3922" t="s">
        <v>6878</v>
      </c>
      <c r="AC3922">
        <v>22268</v>
      </c>
      <c r="AD3922">
        <v>4874</v>
      </c>
      <c r="AE3922">
        <v>99</v>
      </c>
      <c r="AF3922">
        <v>46.35</v>
      </c>
      <c r="AG3922">
        <v>3.4</v>
      </c>
      <c r="AH3922">
        <v>6.84</v>
      </c>
      <c r="AI3922">
        <v>0.03</v>
      </c>
      <c r="AJ3922">
        <v>0.09</v>
      </c>
      <c r="AK3922">
        <v>99</v>
      </c>
      <c r="AL3922">
        <v>25410</v>
      </c>
      <c r="AM3922">
        <v>8199</v>
      </c>
      <c r="AN3922">
        <v>6</v>
      </c>
      <c r="AO3922">
        <v>-3.13</v>
      </c>
      <c r="AP3922">
        <v>1572</v>
      </c>
      <c r="AQ3922">
        <v>13</v>
      </c>
      <c r="AR3922">
        <v>7.6</v>
      </c>
      <c r="AS3922">
        <v>99</v>
      </c>
      <c r="AT3922">
        <v>2.93</v>
      </c>
      <c r="AU3922">
        <v>99</v>
      </c>
      <c r="AV3922">
        <v>-2.06</v>
      </c>
      <c r="AW3922">
        <v>99</v>
      </c>
      <c r="AX3922">
        <v>0.09</v>
      </c>
      <c r="AY3922">
        <v>99</v>
      </c>
      <c r="AZ3922">
        <v>7.92</v>
      </c>
      <c r="BA3922">
        <v>99</v>
      </c>
      <c r="BB3922">
        <v>6.01</v>
      </c>
      <c r="BC3922">
        <v>99</v>
      </c>
      <c r="BD3922">
        <v>0.1</v>
      </c>
      <c r="BE3922">
        <v>0.09</v>
      </c>
      <c r="BF3922">
        <v>0.01</v>
      </c>
      <c r="BG3922">
        <v>99</v>
      </c>
      <c r="BH3922">
        <v>0.03</v>
      </c>
      <c r="BI3922">
        <v>5.3</v>
      </c>
      <c r="BJ3922">
        <v>552</v>
      </c>
      <c r="BK3922">
        <v>349</v>
      </c>
      <c r="BL3922">
        <v>0.16</v>
      </c>
      <c r="BM3922">
        <v>0.31</v>
      </c>
      <c r="BN3922">
        <v>0.95</v>
      </c>
      <c r="BO3922">
        <v>0.26</v>
      </c>
      <c r="BP3922">
        <v>-0.37</v>
      </c>
      <c r="BQ3922">
        <v>-0.51</v>
      </c>
      <c r="BR3922">
        <v>0.69</v>
      </c>
      <c r="BS3922">
        <v>0.69</v>
      </c>
      <c r="BT3922">
        <v>-0.74</v>
      </c>
      <c r="BU3922">
        <v>-1.46</v>
      </c>
      <c r="BV3922">
        <v>0.01</v>
      </c>
      <c r="BW3922">
        <v>-0.38</v>
      </c>
      <c r="BX3922">
        <v>-1.48</v>
      </c>
      <c r="BY3922">
        <v>-0.17</v>
      </c>
      <c r="BZ3922">
        <v>-1.82</v>
      </c>
      <c r="CA3922">
        <v>-0.08</v>
      </c>
      <c r="CB3922">
        <v>-0.23</v>
      </c>
      <c r="CC3922">
        <v>0.49</v>
      </c>
      <c r="CD3922">
        <v>-0.31</v>
      </c>
      <c r="CE3922">
        <v>0.31</v>
      </c>
      <c r="CF3922">
        <v>7.0000000000000007E-2</v>
      </c>
      <c r="CG3922">
        <v>0</v>
      </c>
      <c r="CH3922">
        <v>-0.12</v>
      </c>
      <c r="CI3922">
        <v>0</v>
      </c>
      <c r="CJ3922">
        <v>-1.5</v>
      </c>
      <c r="CK3922">
        <v>99</v>
      </c>
      <c r="CL3922">
        <v>-0.51</v>
      </c>
      <c r="CM3922">
        <v>99</v>
      </c>
      <c r="CN3922">
        <v>-0.19</v>
      </c>
      <c r="CO3922">
        <v>99</v>
      </c>
      <c r="CP3922">
        <v>-5.4</v>
      </c>
      <c r="CQ3922">
        <v>99</v>
      </c>
      <c r="CR3922">
        <v>0</v>
      </c>
      <c r="CS3922">
        <v>0</v>
      </c>
      <c r="CT3922">
        <v>0.9</v>
      </c>
      <c r="CU3922">
        <v>99</v>
      </c>
      <c r="CV3922">
        <v>0.1</v>
      </c>
      <c r="CW3922">
        <v>49</v>
      </c>
      <c r="CX3922" t="s">
        <v>6879</v>
      </c>
    </row>
    <row r="3923" spans="1:102" x14ac:dyDescent="0.3">
      <c r="A3923" t="str">
        <f>HYPERLINK("https://webapp.icbf.com/v2/app/bull-search/view/77855800","LLU")</f>
        <v>LLU</v>
      </c>
      <c r="B3923" t="s">
        <v>10831</v>
      </c>
      <c r="C3923" t="s">
        <v>10832</v>
      </c>
      <c r="D3923" s="1">
        <v>33062</v>
      </c>
      <c r="E3923" t="s">
        <v>92</v>
      </c>
      <c r="F3923">
        <v>100</v>
      </c>
      <c r="G3923" t="s">
        <v>93</v>
      </c>
      <c r="H3923">
        <v>-73.44</v>
      </c>
      <c r="I3923">
        <v>79</v>
      </c>
      <c r="J3923">
        <v>-52.11</v>
      </c>
      <c r="K3923">
        <v>95</v>
      </c>
      <c r="L3923">
        <v>-15.96</v>
      </c>
      <c r="M3923">
        <v>73</v>
      </c>
      <c r="N3923">
        <v>1.71</v>
      </c>
      <c r="O3923">
        <v>65</v>
      </c>
      <c r="P3923">
        <v>-7.3</v>
      </c>
      <c r="Q3923">
        <v>81</v>
      </c>
      <c r="R3923">
        <v>-2.15</v>
      </c>
      <c r="S3923">
        <v>72</v>
      </c>
      <c r="T3923">
        <v>5.61</v>
      </c>
      <c r="U3923">
        <v>73</v>
      </c>
      <c r="V3923">
        <v>-3.24</v>
      </c>
      <c r="W3923">
        <v>36</v>
      </c>
      <c r="X3923" t="s">
        <v>94</v>
      </c>
      <c r="Y3923" t="s">
        <v>95</v>
      </c>
      <c r="Z3923" t="s">
        <v>96</v>
      </c>
      <c r="AA3923" t="s">
        <v>154</v>
      </c>
      <c r="AB3923" t="s">
        <v>10833</v>
      </c>
      <c r="AC3923">
        <v>105</v>
      </c>
      <c r="AD3923">
        <v>61</v>
      </c>
      <c r="AE3923">
        <v>95</v>
      </c>
      <c r="AF3923">
        <v>-233.26</v>
      </c>
      <c r="AG3923">
        <v>-7.44</v>
      </c>
      <c r="AH3923">
        <v>-9.8000000000000007</v>
      </c>
      <c r="AI3923">
        <v>0.03</v>
      </c>
      <c r="AJ3923">
        <v>-0.03</v>
      </c>
      <c r="AK3923">
        <v>73</v>
      </c>
      <c r="AL3923">
        <v>173</v>
      </c>
      <c r="AM3923">
        <v>96</v>
      </c>
      <c r="AN3923">
        <v>1.0900000000000001</v>
      </c>
      <c r="AO3923">
        <v>-0.18</v>
      </c>
      <c r="AP3923">
        <v>3</v>
      </c>
      <c r="AQ3923">
        <v>0</v>
      </c>
      <c r="AR3923">
        <v>6.99</v>
      </c>
      <c r="AS3923">
        <v>40</v>
      </c>
      <c r="AT3923">
        <v>3.66</v>
      </c>
      <c r="AU3923">
        <v>59</v>
      </c>
      <c r="AV3923">
        <v>-0.34</v>
      </c>
      <c r="AW3923">
        <v>75</v>
      </c>
      <c r="AX3923">
        <v>-0.15</v>
      </c>
      <c r="AY3923">
        <v>79</v>
      </c>
      <c r="AZ3923">
        <v>5.24</v>
      </c>
      <c r="BA3923">
        <v>40</v>
      </c>
      <c r="BB3923">
        <v>4.9800000000000004</v>
      </c>
      <c r="BC3923">
        <v>58</v>
      </c>
      <c r="BD3923">
        <v>-0.01</v>
      </c>
      <c r="BE3923">
        <v>0.04</v>
      </c>
      <c r="BF3923">
        <v>-0.01</v>
      </c>
      <c r="BG3923">
        <v>91</v>
      </c>
      <c r="BH3923">
        <v>-7.0000000000000007E-2</v>
      </c>
      <c r="BI3923">
        <v>2.35</v>
      </c>
      <c r="BJ3923">
        <v>24</v>
      </c>
      <c r="BK3923">
        <v>19</v>
      </c>
      <c r="BL3923">
        <v>0.5</v>
      </c>
      <c r="BM3923">
        <v>1.26</v>
      </c>
      <c r="BN3923">
        <v>1.38</v>
      </c>
      <c r="BO3923">
        <v>0.08</v>
      </c>
      <c r="BP3923">
        <v>-1.76</v>
      </c>
      <c r="BQ3923">
        <v>0.43</v>
      </c>
      <c r="BR3923">
        <v>-0.78</v>
      </c>
      <c r="BS3923">
        <v>0.97</v>
      </c>
      <c r="BT3923">
        <v>0.9</v>
      </c>
      <c r="BU3923">
        <v>-0.8</v>
      </c>
      <c r="BV3923">
        <v>-0.65</v>
      </c>
      <c r="BW3923">
        <v>-0.08</v>
      </c>
      <c r="BX3923">
        <v>0.06</v>
      </c>
      <c r="BY3923">
        <v>-0.44</v>
      </c>
      <c r="BZ3923">
        <v>0.12</v>
      </c>
      <c r="CA3923">
        <v>0.18</v>
      </c>
      <c r="CB3923">
        <v>-0.35</v>
      </c>
      <c r="CC3923">
        <v>1.69</v>
      </c>
      <c r="CD3923">
        <v>0.21</v>
      </c>
      <c r="CE3923">
        <v>0.3</v>
      </c>
      <c r="CF3923">
        <v>1.17</v>
      </c>
      <c r="CG3923">
        <v>0</v>
      </c>
      <c r="CH3923">
        <v>-1.05</v>
      </c>
      <c r="CI3923">
        <v>0</v>
      </c>
      <c r="CJ3923">
        <v>-4.3</v>
      </c>
      <c r="CK3923">
        <v>82</v>
      </c>
      <c r="CL3923">
        <v>-0.31</v>
      </c>
      <c r="CM3923">
        <v>79</v>
      </c>
      <c r="CN3923">
        <v>-0.15</v>
      </c>
      <c r="CO3923">
        <v>77</v>
      </c>
      <c r="CP3923">
        <v>0.5</v>
      </c>
      <c r="CQ3923">
        <v>85</v>
      </c>
      <c r="CR3923">
        <v>0</v>
      </c>
      <c r="CS3923">
        <v>0</v>
      </c>
      <c r="CT3923">
        <v>6.2</v>
      </c>
      <c r="CU3923">
        <v>73</v>
      </c>
      <c r="CV3923">
        <v>-0.03</v>
      </c>
      <c r="CW3923">
        <v>23</v>
      </c>
      <c r="CX3923" t="s">
        <v>10834</v>
      </c>
    </row>
    <row r="3924" spans="1:102" x14ac:dyDescent="0.3">
      <c r="A3924" t="str">
        <f>HYPERLINK("https://webapp.icbf.com/v2/app/bull-search/view/77854651","OWD")</f>
        <v>OWD</v>
      </c>
      <c r="B3924" t="s">
        <v>14965</v>
      </c>
      <c r="C3924" t="s">
        <v>14966</v>
      </c>
      <c r="D3924" s="1">
        <v>31794</v>
      </c>
      <c r="E3924" t="s">
        <v>92</v>
      </c>
      <c r="F3924">
        <v>100</v>
      </c>
      <c r="G3924" t="s">
        <v>109</v>
      </c>
      <c r="H3924">
        <v>-73.569999999999993</v>
      </c>
      <c r="I3924">
        <v>75</v>
      </c>
      <c r="J3924">
        <v>-14.25</v>
      </c>
      <c r="K3924">
        <v>89</v>
      </c>
      <c r="L3924">
        <v>-54.63</v>
      </c>
      <c r="M3924">
        <v>81</v>
      </c>
      <c r="N3924">
        <v>2.4</v>
      </c>
      <c r="O3924">
        <v>57</v>
      </c>
      <c r="P3924">
        <v>-4.54</v>
      </c>
      <c r="Q3924">
        <v>56</v>
      </c>
      <c r="R3924">
        <v>-2.54</v>
      </c>
      <c r="S3924">
        <v>67</v>
      </c>
      <c r="T3924">
        <v>3.1</v>
      </c>
      <c r="U3924">
        <v>62</v>
      </c>
      <c r="V3924">
        <v>-3.11</v>
      </c>
      <c r="W3924">
        <v>31</v>
      </c>
      <c r="X3924" t="s">
        <v>110</v>
      </c>
      <c r="Y3924" t="s">
        <v>95</v>
      </c>
      <c r="Z3924" t="s">
        <v>96</v>
      </c>
      <c r="AA3924" t="s">
        <v>154</v>
      </c>
      <c r="AB3924" t="s">
        <v>14967</v>
      </c>
      <c r="AC3924">
        <v>24</v>
      </c>
      <c r="AD3924">
        <v>20</v>
      </c>
      <c r="AE3924">
        <v>89</v>
      </c>
      <c r="AF3924">
        <v>-106.35</v>
      </c>
      <c r="AG3924">
        <v>4.5199999999999996</v>
      </c>
      <c r="AH3924">
        <v>-5.65</v>
      </c>
      <c r="AI3924">
        <v>0.15</v>
      </c>
      <c r="AJ3924">
        <v>-0.03</v>
      </c>
      <c r="AK3924">
        <v>81</v>
      </c>
      <c r="AL3924">
        <v>36</v>
      </c>
      <c r="AM3924">
        <v>23</v>
      </c>
      <c r="AN3924">
        <v>3.5</v>
      </c>
      <c r="AO3924">
        <v>-0.85</v>
      </c>
      <c r="AP3924">
        <v>1</v>
      </c>
      <c r="AQ3924">
        <v>0</v>
      </c>
      <c r="AR3924">
        <v>7.87</v>
      </c>
      <c r="AS3924">
        <v>29</v>
      </c>
      <c r="AT3924">
        <v>3.72</v>
      </c>
      <c r="AU3924">
        <v>87</v>
      </c>
      <c r="AV3924">
        <v>-1.37</v>
      </c>
      <c r="AW3924">
        <v>53</v>
      </c>
      <c r="AX3924">
        <v>-0.35</v>
      </c>
      <c r="AY3924">
        <v>55</v>
      </c>
      <c r="AZ3924">
        <v>6.47</v>
      </c>
      <c r="BA3924">
        <v>29</v>
      </c>
      <c r="BB3924">
        <v>5.61</v>
      </c>
      <c r="BC3924">
        <v>35</v>
      </c>
      <c r="BD3924">
        <v>0.02</v>
      </c>
      <c r="BE3924">
        <v>0.05</v>
      </c>
      <c r="BF3924">
        <v>-7.0000000000000007E-2</v>
      </c>
      <c r="BG3924">
        <v>87</v>
      </c>
      <c r="BH3924">
        <v>-0.02</v>
      </c>
      <c r="BI3924">
        <v>7.72</v>
      </c>
      <c r="BJ3924">
        <v>8</v>
      </c>
      <c r="BK3924">
        <v>4</v>
      </c>
      <c r="BL3924">
        <v>0.95</v>
      </c>
      <c r="BM3924">
        <v>2.02</v>
      </c>
      <c r="BN3924">
        <v>2.2000000000000002</v>
      </c>
      <c r="BO3924">
        <v>0.73</v>
      </c>
      <c r="BP3924">
        <v>-0.7</v>
      </c>
      <c r="BQ3924">
        <v>-0.51</v>
      </c>
      <c r="BR3924">
        <v>1.64</v>
      </c>
      <c r="BS3924">
        <v>-0.64</v>
      </c>
      <c r="BT3924">
        <v>-0.1</v>
      </c>
      <c r="BU3924">
        <v>-0.11</v>
      </c>
      <c r="BV3924">
        <v>0.11</v>
      </c>
      <c r="BW3924">
        <v>0.56000000000000005</v>
      </c>
      <c r="BX3924">
        <v>0.49</v>
      </c>
      <c r="BY3924">
        <v>0.45</v>
      </c>
      <c r="BZ3924">
        <v>0</v>
      </c>
      <c r="CA3924">
        <v>0.05</v>
      </c>
      <c r="CB3924">
        <v>0.15</v>
      </c>
      <c r="CC3924">
        <v>0</v>
      </c>
      <c r="CD3924">
        <v>0.64</v>
      </c>
      <c r="CE3924">
        <v>-0.26</v>
      </c>
      <c r="CF3924">
        <v>0.91</v>
      </c>
      <c r="CG3924">
        <v>0</v>
      </c>
      <c r="CH3924">
        <v>-0.4</v>
      </c>
      <c r="CI3924">
        <v>0</v>
      </c>
      <c r="CJ3924">
        <v>-3.6</v>
      </c>
      <c r="CK3924">
        <v>58</v>
      </c>
      <c r="CL3924">
        <v>-0.56999999999999995</v>
      </c>
      <c r="CM3924">
        <v>53</v>
      </c>
      <c r="CN3924">
        <v>-0.54</v>
      </c>
      <c r="CO3924">
        <v>47</v>
      </c>
      <c r="CP3924">
        <v>-0.1</v>
      </c>
      <c r="CQ3924">
        <v>69</v>
      </c>
      <c r="CR3924">
        <v>0</v>
      </c>
      <c r="CS3924">
        <v>0</v>
      </c>
      <c r="CT3924">
        <v>9.6</v>
      </c>
      <c r="CU3924">
        <v>62</v>
      </c>
      <c r="CV3924">
        <v>0.01</v>
      </c>
      <c r="CW3924">
        <v>15</v>
      </c>
      <c r="CX3924" t="s">
        <v>617</v>
      </c>
    </row>
    <row r="3925" spans="1:102" x14ac:dyDescent="0.3">
      <c r="A3925" t="str">
        <f>HYPERLINK("https://webapp.icbf.com/v2/app/bull-search/view/77856316","JLG")</f>
        <v>JLG</v>
      </c>
      <c r="B3925" t="s">
        <v>7440</v>
      </c>
      <c r="C3925" t="s">
        <v>7441</v>
      </c>
      <c r="D3925" s="1">
        <v>33831</v>
      </c>
      <c r="E3925" t="s">
        <v>92</v>
      </c>
      <c r="F3925">
        <v>100</v>
      </c>
      <c r="G3925" t="s">
        <v>93</v>
      </c>
      <c r="H3925">
        <v>-73.62</v>
      </c>
      <c r="I3925">
        <v>86</v>
      </c>
      <c r="J3925">
        <v>1.1100000000000001</v>
      </c>
      <c r="K3925">
        <v>94</v>
      </c>
      <c r="L3925">
        <v>-91.88</v>
      </c>
      <c r="M3925">
        <v>90</v>
      </c>
      <c r="N3925">
        <v>13.14</v>
      </c>
      <c r="O3925">
        <v>77</v>
      </c>
      <c r="P3925">
        <v>-11.25</v>
      </c>
      <c r="Q3925">
        <v>83</v>
      </c>
      <c r="R3925">
        <v>-3.1</v>
      </c>
      <c r="S3925">
        <v>78</v>
      </c>
      <c r="T3925">
        <v>16.79</v>
      </c>
      <c r="U3925">
        <v>74</v>
      </c>
      <c r="V3925">
        <v>1.57</v>
      </c>
      <c r="W3925">
        <v>59</v>
      </c>
      <c r="X3925" t="s">
        <v>558</v>
      </c>
      <c r="Y3925" t="s">
        <v>95</v>
      </c>
      <c r="Z3925" t="s">
        <v>96</v>
      </c>
      <c r="AA3925" t="s">
        <v>561</v>
      </c>
      <c r="AB3925" t="s">
        <v>7442</v>
      </c>
      <c r="AC3925">
        <v>41</v>
      </c>
      <c r="AD3925">
        <v>26</v>
      </c>
      <c r="AE3925">
        <v>94</v>
      </c>
      <c r="AF3925">
        <v>276.27</v>
      </c>
      <c r="AG3925">
        <v>5.08</v>
      </c>
      <c r="AH3925">
        <v>2.62</v>
      </c>
      <c r="AI3925">
        <v>-0.1</v>
      </c>
      <c r="AJ3925">
        <v>-0.11</v>
      </c>
      <c r="AK3925">
        <v>90</v>
      </c>
      <c r="AL3925">
        <v>36</v>
      </c>
      <c r="AM3925">
        <v>19</v>
      </c>
      <c r="AN3925">
        <v>4.79</v>
      </c>
      <c r="AO3925">
        <v>-2.54</v>
      </c>
      <c r="AP3925">
        <v>11</v>
      </c>
      <c r="AQ3925">
        <v>0</v>
      </c>
      <c r="AR3925">
        <v>4.8</v>
      </c>
      <c r="AS3925">
        <v>68</v>
      </c>
      <c r="AT3925">
        <v>2.6</v>
      </c>
      <c r="AU3925">
        <v>89</v>
      </c>
      <c r="AV3925">
        <v>-0.91</v>
      </c>
      <c r="AW3925">
        <v>78</v>
      </c>
      <c r="AX3925">
        <v>0.71</v>
      </c>
      <c r="AY3925">
        <v>75</v>
      </c>
      <c r="AZ3925">
        <v>6.85</v>
      </c>
      <c r="BA3925">
        <v>56</v>
      </c>
      <c r="BB3925">
        <v>5.46</v>
      </c>
      <c r="BC3925">
        <v>61</v>
      </c>
      <c r="BD3925">
        <v>0.05</v>
      </c>
      <c r="BE3925">
        <v>0.02</v>
      </c>
      <c r="BF3925">
        <v>-0.05</v>
      </c>
      <c r="BG3925">
        <v>93</v>
      </c>
      <c r="BH3925">
        <v>0.03</v>
      </c>
      <c r="BI3925">
        <v>-1.58</v>
      </c>
      <c r="BJ3925">
        <v>16</v>
      </c>
      <c r="BK3925">
        <v>11</v>
      </c>
      <c r="BL3925">
        <v>-0.39</v>
      </c>
      <c r="BM3925">
        <v>-1.37</v>
      </c>
      <c r="BN3925">
        <v>-0.41</v>
      </c>
      <c r="BO3925">
        <v>0.1</v>
      </c>
      <c r="BP3925">
        <v>0.34</v>
      </c>
      <c r="BQ3925">
        <v>-0.01</v>
      </c>
      <c r="BR3925">
        <v>0.43</v>
      </c>
      <c r="BS3925">
        <v>-1.91</v>
      </c>
      <c r="BT3925">
        <v>-0.4</v>
      </c>
      <c r="BU3925">
        <v>-0.42</v>
      </c>
      <c r="BV3925">
        <v>-0.05</v>
      </c>
      <c r="BW3925">
        <v>-0.8</v>
      </c>
      <c r="BX3925">
        <v>0.01</v>
      </c>
      <c r="BY3925">
        <v>0.28999999999999998</v>
      </c>
      <c r="BZ3925">
        <v>-0.75</v>
      </c>
      <c r="CA3925">
        <v>-0.34</v>
      </c>
      <c r="CB3925">
        <v>-0.15</v>
      </c>
      <c r="CC3925">
        <v>-0.32</v>
      </c>
      <c r="CD3925">
        <v>-0.41</v>
      </c>
      <c r="CE3925">
        <v>0.63</v>
      </c>
      <c r="CF3925">
        <v>-0.28999999999999998</v>
      </c>
      <c r="CG3925">
        <v>0</v>
      </c>
      <c r="CH3925">
        <v>0.32</v>
      </c>
      <c r="CI3925">
        <v>0</v>
      </c>
      <c r="CJ3925">
        <v>-6.6</v>
      </c>
      <c r="CK3925">
        <v>84</v>
      </c>
      <c r="CL3925">
        <v>-0.78</v>
      </c>
      <c r="CM3925">
        <v>82</v>
      </c>
      <c r="CN3925">
        <v>-0.56000000000000005</v>
      </c>
      <c r="CO3925">
        <v>80</v>
      </c>
      <c r="CP3925">
        <v>-4.3</v>
      </c>
      <c r="CQ3925">
        <v>85</v>
      </c>
      <c r="CR3925">
        <v>0</v>
      </c>
      <c r="CS3925">
        <v>0</v>
      </c>
      <c r="CT3925">
        <v>-8.9</v>
      </c>
      <c r="CU3925">
        <v>74</v>
      </c>
      <c r="CV3925">
        <v>0.05</v>
      </c>
      <c r="CW3925">
        <v>42</v>
      </c>
      <c r="CX3925" t="s">
        <v>543</v>
      </c>
    </row>
    <row r="3926" spans="1:102" x14ac:dyDescent="0.3">
      <c r="A3926" t="str">
        <f>HYPERLINK("https://webapp.icbf.com/v2/app/bull-search/view/77859148","ABX")</f>
        <v>ABX</v>
      </c>
      <c r="B3926" t="s">
        <v>6615</v>
      </c>
      <c r="C3926" t="s">
        <v>6616</v>
      </c>
      <c r="D3926" s="1">
        <v>34280</v>
      </c>
      <c r="E3926" t="s">
        <v>92</v>
      </c>
      <c r="F3926">
        <v>100</v>
      </c>
      <c r="G3926" t="s">
        <v>93</v>
      </c>
      <c r="H3926">
        <v>-73.64</v>
      </c>
      <c r="I3926">
        <v>71</v>
      </c>
      <c r="J3926">
        <v>18.46</v>
      </c>
      <c r="K3926">
        <v>91</v>
      </c>
      <c r="L3926">
        <v>-104.16</v>
      </c>
      <c r="M3926">
        <v>60</v>
      </c>
      <c r="N3926">
        <v>16.13</v>
      </c>
      <c r="O3926">
        <v>53</v>
      </c>
      <c r="P3926">
        <v>-12</v>
      </c>
      <c r="Q3926">
        <v>74</v>
      </c>
      <c r="R3926">
        <v>-13.38</v>
      </c>
      <c r="S3926">
        <v>63</v>
      </c>
      <c r="T3926">
        <v>20.34</v>
      </c>
      <c r="U3926">
        <v>77</v>
      </c>
      <c r="V3926">
        <v>0.97</v>
      </c>
      <c r="W3926">
        <v>31</v>
      </c>
      <c r="X3926" t="s">
        <v>94</v>
      </c>
      <c r="Y3926" t="s">
        <v>95</v>
      </c>
      <c r="Z3926" t="s">
        <v>96</v>
      </c>
      <c r="AA3926" t="s">
        <v>999</v>
      </c>
      <c r="AB3926" t="s">
        <v>6617</v>
      </c>
      <c r="AC3926">
        <v>60</v>
      </c>
      <c r="AD3926">
        <v>45</v>
      </c>
      <c r="AE3926">
        <v>91</v>
      </c>
      <c r="AF3926">
        <v>286.48</v>
      </c>
      <c r="AG3926">
        <v>10.47</v>
      </c>
      <c r="AH3926">
        <v>3.82</v>
      </c>
      <c r="AI3926">
        <v>-0.01</v>
      </c>
      <c r="AJ3926">
        <v>-0.09</v>
      </c>
      <c r="AK3926">
        <v>60</v>
      </c>
      <c r="AL3926">
        <v>69</v>
      </c>
      <c r="AM3926">
        <v>48</v>
      </c>
      <c r="AN3926">
        <v>5.42</v>
      </c>
      <c r="AO3926">
        <v>-2.89</v>
      </c>
      <c r="AP3926">
        <v>11</v>
      </c>
      <c r="AQ3926">
        <v>0</v>
      </c>
      <c r="AR3926">
        <v>6.97</v>
      </c>
      <c r="AS3926">
        <v>32</v>
      </c>
      <c r="AT3926">
        <v>2.91</v>
      </c>
      <c r="AU3926">
        <v>51</v>
      </c>
      <c r="AV3926">
        <v>-0.93</v>
      </c>
      <c r="AW3926">
        <v>60</v>
      </c>
      <c r="AX3926">
        <v>-0.24</v>
      </c>
      <c r="AY3926">
        <v>68</v>
      </c>
      <c r="AZ3926">
        <v>5.23</v>
      </c>
      <c r="BA3926">
        <v>31</v>
      </c>
      <c r="BB3926">
        <v>4.37</v>
      </c>
      <c r="BC3926">
        <v>43</v>
      </c>
      <c r="BD3926">
        <v>0.04</v>
      </c>
      <c r="BE3926">
        <v>0.09</v>
      </c>
      <c r="BF3926">
        <v>7.0000000000000007E-2</v>
      </c>
      <c r="BG3926">
        <v>80</v>
      </c>
      <c r="BH3926">
        <v>0.09</v>
      </c>
      <c r="BI3926">
        <v>7.27</v>
      </c>
      <c r="BJ3926">
        <v>19</v>
      </c>
      <c r="BK3926">
        <v>18</v>
      </c>
      <c r="BL3926">
        <v>-0.11</v>
      </c>
      <c r="BM3926">
        <v>0.39</v>
      </c>
      <c r="BN3926">
        <v>0.24</v>
      </c>
      <c r="BO3926">
        <v>-0.28000000000000003</v>
      </c>
      <c r="BP3926">
        <v>0.66</v>
      </c>
      <c r="BQ3926">
        <v>-1.01</v>
      </c>
      <c r="BR3926">
        <v>-0.08</v>
      </c>
      <c r="BS3926">
        <v>-0.47</v>
      </c>
      <c r="BT3926">
        <v>0.77</v>
      </c>
      <c r="BU3926">
        <v>-1.19</v>
      </c>
      <c r="BV3926">
        <v>-0.69</v>
      </c>
      <c r="BW3926">
        <v>-1.45</v>
      </c>
      <c r="BX3926">
        <v>-0.86</v>
      </c>
      <c r="BY3926">
        <v>-1.44</v>
      </c>
      <c r="BZ3926">
        <v>-2.11</v>
      </c>
      <c r="CA3926">
        <v>-0.92</v>
      </c>
      <c r="CB3926">
        <v>-0.77</v>
      </c>
      <c r="CC3926">
        <v>-0.65</v>
      </c>
      <c r="CD3926">
        <v>0.34</v>
      </c>
      <c r="CE3926">
        <v>-0.3</v>
      </c>
      <c r="CF3926">
        <v>-0.62</v>
      </c>
      <c r="CG3926">
        <v>0</v>
      </c>
      <c r="CH3926">
        <v>-1.01</v>
      </c>
      <c r="CI3926">
        <v>0</v>
      </c>
      <c r="CJ3926">
        <v>-3.2</v>
      </c>
      <c r="CK3926">
        <v>75</v>
      </c>
      <c r="CL3926">
        <v>-0.6</v>
      </c>
      <c r="CM3926">
        <v>71</v>
      </c>
      <c r="CN3926">
        <v>-0.03</v>
      </c>
      <c r="CO3926">
        <v>67</v>
      </c>
      <c r="CP3926">
        <v>-11.6</v>
      </c>
      <c r="CQ3926">
        <v>81</v>
      </c>
      <c r="CR3926">
        <v>0</v>
      </c>
      <c r="CS3926">
        <v>0</v>
      </c>
      <c r="CT3926">
        <v>-13.7</v>
      </c>
      <c r="CU3926">
        <v>77</v>
      </c>
      <c r="CV3926">
        <v>0.18</v>
      </c>
      <c r="CW3926">
        <v>20</v>
      </c>
      <c r="CX3926" t="s">
        <v>3720</v>
      </c>
    </row>
    <row r="3927" spans="1:102" x14ac:dyDescent="0.3">
      <c r="A3927" t="str">
        <f>HYPERLINK("https://webapp.icbf.com/v2/app/bull-search/view/69091249","BIH")</f>
        <v>BIH</v>
      </c>
      <c r="B3927" t="s">
        <v>8516</v>
      </c>
      <c r="C3927" t="s">
        <v>8517</v>
      </c>
      <c r="D3927" s="1">
        <v>34687</v>
      </c>
      <c r="E3927" t="s">
        <v>92</v>
      </c>
      <c r="F3927">
        <v>100</v>
      </c>
      <c r="G3927" t="s">
        <v>93</v>
      </c>
      <c r="H3927">
        <v>-73.67</v>
      </c>
      <c r="I3927">
        <v>88</v>
      </c>
      <c r="J3927">
        <v>32.520000000000003</v>
      </c>
      <c r="K3927">
        <v>95</v>
      </c>
      <c r="L3927">
        <v>-105.62</v>
      </c>
      <c r="M3927">
        <v>87</v>
      </c>
      <c r="N3927">
        <v>-3.47</v>
      </c>
      <c r="O3927">
        <v>78</v>
      </c>
      <c r="P3927">
        <v>-11.35</v>
      </c>
      <c r="Q3927">
        <v>87</v>
      </c>
      <c r="R3927">
        <v>-2.57</v>
      </c>
      <c r="S3927">
        <v>79</v>
      </c>
      <c r="T3927">
        <v>17.600000000000001</v>
      </c>
      <c r="U3927">
        <v>89</v>
      </c>
      <c r="V3927">
        <v>-0.78</v>
      </c>
      <c r="W3927">
        <v>72</v>
      </c>
      <c r="X3927" t="s">
        <v>94</v>
      </c>
      <c r="Y3927" t="s">
        <v>95</v>
      </c>
      <c r="Z3927" t="s">
        <v>96</v>
      </c>
      <c r="AA3927" t="s">
        <v>954</v>
      </c>
      <c r="AB3927" t="s">
        <v>8518</v>
      </c>
      <c r="AC3927">
        <v>51</v>
      </c>
      <c r="AD3927">
        <v>33</v>
      </c>
      <c r="AE3927">
        <v>95</v>
      </c>
      <c r="AF3927">
        <v>117.23</v>
      </c>
      <c r="AG3927">
        <v>3.04</v>
      </c>
      <c r="AH3927">
        <v>6.25</v>
      </c>
      <c r="AI3927">
        <v>-0.03</v>
      </c>
      <c r="AJ3927">
        <v>0.04</v>
      </c>
      <c r="AK3927">
        <v>87</v>
      </c>
      <c r="AL3927">
        <v>0</v>
      </c>
      <c r="AM3927">
        <v>0</v>
      </c>
      <c r="AN3927">
        <v>4.47</v>
      </c>
      <c r="AO3927">
        <v>-3.97</v>
      </c>
      <c r="AP3927">
        <v>73</v>
      </c>
      <c r="AQ3927">
        <v>0</v>
      </c>
      <c r="AR3927">
        <v>6.96</v>
      </c>
      <c r="AS3927">
        <v>62</v>
      </c>
      <c r="AT3927">
        <v>2.97</v>
      </c>
      <c r="AU3927">
        <v>84</v>
      </c>
      <c r="AV3927">
        <v>-0.34</v>
      </c>
      <c r="AW3927">
        <v>85</v>
      </c>
      <c r="AX3927">
        <v>0.7</v>
      </c>
      <c r="AY3927">
        <v>75</v>
      </c>
      <c r="AZ3927">
        <v>7.51</v>
      </c>
      <c r="BA3927">
        <v>58</v>
      </c>
      <c r="BB3927">
        <v>6.04</v>
      </c>
      <c r="BC3927">
        <v>62</v>
      </c>
      <c r="BD3927">
        <v>0</v>
      </c>
      <c r="BE3927">
        <v>0.01</v>
      </c>
      <c r="BF3927">
        <v>0.04</v>
      </c>
      <c r="BG3927">
        <v>89</v>
      </c>
      <c r="BH3927">
        <v>0.04</v>
      </c>
      <c r="BI3927">
        <v>7.13</v>
      </c>
      <c r="BJ3927">
        <v>2</v>
      </c>
      <c r="BK3927">
        <v>2</v>
      </c>
      <c r="BL3927">
        <v>-0.19</v>
      </c>
      <c r="BM3927">
        <v>0.22</v>
      </c>
      <c r="BN3927">
        <v>1.1200000000000001</v>
      </c>
      <c r="BO3927">
        <v>0.96</v>
      </c>
      <c r="BP3927">
        <v>-0.59</v>
      </c>
      <c r="BQ3927">
        <v>0.13</v>
      </c>
      <c r="BR3927">
        <v>1.17</v>
      </c>
      <c r="BS3927">
        <v>-2.15</v>
      </c>
      <c r="BT3927">
        <v>-2.2400000000000002</v>
      </c>
      <c r="BU3927">
        <v>-1.25</v>
      </c>
      <c r="BV3927">
        <v>-0.18</v>
      </c>
      <c r="BW3927">
        <v>0.4</v>
      </c>
      <c r="BX3927">
        <v>-2.23</v>
      </c>
      <c r="BY3927">
        <v>2.21</v>
      </c>
      <c r="BZ3927">
        <v>-1.26</v>
      </c>
      <c r="CA3927">
        <v>-0.76</v>
      </c>
      <c r="CB3927">
        <v>0.37</v>
      </c>
      <c r="CC3927">
        <v>-2.0499999999999998</v>
      </c>
      <c r="CD3927">
        <v>-1.19</v>
      </c>
      <c r="CE3927">
        <v>0.9</v>
      </c>
      <c r="CF3927">
        <v>0.15</v>
      </c>
      <c r="CG3927">
        <v>0</v>
      </c>
      <c r="CH3927">
        <v>2.35</v>
      </c>
      <c r="CI3927">
        <v>0</v>
      </c>
      <c r="CJ3927">
        <v>-3.6</v>
      </c>
      <c r="CK3927">
        <v>88</v>
      </c>
      <c r="CL3927">
        <v>-0.73</v>
      </c>
      <c r="CM3927">
        <v>86</v>
      </c>
      <c r="CN3927">
        <v>-0.23</v>
      </c>
      <c r="CO3927">
        <v>84</v>
      </c>
      <c r="CP3927">
        <v>-10.3</v>
      </c>
      <c r="CQ3927">
        <v>87</v>
      </c>
      <c r="CR3927">
        <v>0</v>
      </c>
      <c r="CS3927">
        <v>0</v>
      </c>
      <c r="CT3927">
        <v>-10</v>
      </c>
      <c r="CU3927">
        <v>89</v>
      </c>
      <c r="CV3927">
        <v>0.09</v>
      </c>
      <c r="CW3927">
        <v>43</v>
      </c>
      <c r="CX3927" t="s">
        <v>485</v>
      </c>
    </row>
    <row r="3928" spans="1:102" x14ac:dyDescent="0.3">
      <c r="A3928" t="str">
        <f>HYPERLINK("https://webapp.icbf.com/v2/app/bull-search/view/108351184","MEI")</f>
        <v>MEI</v>
      </c>
      <c r="B3928" t="s">
        <v>10779</v>
      </c>
      <c r="C3928" t="s">
        <v>5375</v>
      </c>
      <c r="D3928" s="1">
        <v>33966</v>
      </c>
      <c r="E3928" t="s">
        <v>1061</v>
      </c>
      <c r="F3928">
        <v>0</v>
      </c>
      <c r="G3928" t="s">
        <v>109</v>
      </c>
      <c r="H3928">
        <v>-73.69</v>
      </c>
      <c r="I3928">
        <v>66</v>
      </c>
      <c r="J3928">
        <v>-57.16</v>
      </c>
      <c r="K3928">
        <v>79</v>
      </c>
      <c r="L3928">
        <v>47.09</v>
      </c>
      <c r="M3928">
        <v>73</v>
      </c>
      <c r="N3928">
        <v>-61.68</v>
      </c>
      <c r="O3928">
        <v>44</v>
      </c>
      <c r="P3928">
        <v>-41.74</v>
      </c>
      <c r="Q3928">
        <v>60</v>
      </c>
      <c r="R3928">
        <v>5.19</v>
      </c>
      <c r="S3928">
        <v>29</v>
      </c>
      <c r="T3928">
        <v>39.65</v>
      </c>
      <c r="U3928">
        <v>52</v>
      </c>
      <c r="V3928">
        <v>-5.04</v>
      </c>
      <c r="W3928">
        <v>30</v>
      </c>
      <c r="X3928" t="s">
        <v>94</v>
      </c>
      <c r="Y3928" t="s">
        <v>95</v>
      </c>
      <c r="Z3928">
        <v>0</v>
      </c>
      <c r="AA3928" t="s">
        <v>10780</v>
      </c>
      <c r="AB3928" t="s">
        <v>10781</v>
      </c>
      <c r="AC3928">
        <v>0</v>
      </c>
      <c r="AD3928">
        <v>0</v>
      </c>
      <c r="AE3928">
        <v>79</v>
      </c>
      <c r="AF3928">
        <v>-375.21</v>
      </c>
      <c r="AG3928">
        <v>-12.11</v>
      </c>
      <c r="AH3928">
        <v>-11.18</v>
      </c>
      <c r="AI3928">
        <v>0.05</v>
      </c>
      <c r="AJ3928">
        <v>0.03</v>
      </c>
      <c r="AK3928">
        <v>73</v>
      </c>
      <c r="AL3928">
        <v>0</v>
      </c>
      <c r="AM3928">
        <v>0</v>
      </c>
      <c r="AN3928">
        <v>-1.41</v>
      </c>
      <c r="AO3928">
        <v>2.36</v>
      </c>
      <c r="AP3928">
        <v>8</v>
      </c>
      <c r="AQ3928">
        <v>0</v>
      </c>
      <c r="AR3928">
        <v>14.3</v>
      </c>
      <c r="AS3928">
        <v>29</v>
      </c>
      <c r="AT3928">
        <v>5.38</v>
      </c>
      <c r="AU3928">
        <v>43</v>
      </c>
      <c r="AV3928">
        <v>1.29</v>
      </c>
      <c r="AW3928">
        <v>54</v>
      </c>
      <c r="AX3928">
        <v>-0.45</v>
      </c>
      <c r="AY3928">
        <v>47</v>
      </c>
      <c r="AZ3928">
        <v>7.24</v>
      </c>
      <c r="BA3928">
        <v>22</v>
      </c>
      <c r="BB3928">
        <v>5.42</v>
      </c>
      <c r="BC3928">
        <v>28</v>
      </c>
      <c r="BD3928">
        <v>0.01</v>
      </c>
      <c r="BE3928">
        <v>-0.04</v>
      </c>
      <c r="BF3928">
        <v>-0.06</v>
      </c>
      <c r="BG3928">
        <v>35</v>
      </c>
      <c r="BH3928">
        <v>-0.16</v>
      </c>
      <c r="BI3928">
        <v>-2.2599999999999998</v>
      </c>
      <c r="BJ3928">
        <v>0</v>
      </c>
      <c r="BK3928">
        <v>0</v>
      </c>
      <c r="BL3928">
        <v>0</v>
      </c>
      <c r="BM3928">
        <v>0</v>
      </c>
      <c r="BN3928">
        <v>0</v>
      </c>
      <c r="BO3928">
        <v>0</v>
      </c>
      <c r="BP3928">
        <v>0</v>
      </c>
      <c r="BQ3928">
        <v>0</v>
      </c>
      <c r="BR3928">
        <v>0</v>
      </c>
      <c r="BS3928">
        <v>0</v>
      </c>
      <c r="BT3928">
        <v>0</v>
      </c>
      <c r="BU3928">
        <v>0</v>
      </c>
      <c r="BV3928">
        <v>0</v>
      </c>
      <c r="BW3928">
        <v>0</v>
      </c>
      <c r="BX3928">
        <v>0</v>
      </c>
      <c r="BY3928">
        <v>0</v>
      </c>
      <c r="BZ3928">
        <v>0</v>
      </c>
      <c r="CA3928">
        <v>0</v>
      </c>
      <c r="CB3928">
        <v>0</v>
      </c>
      <c r="CC3928">
        <v>0</v>
      </c>
      <c r="CD3928">
        <v>0</v>
      </c>
      <c r="CE3928">
        <v>0</v>
      </c>
      <c r="CF3928">
        <v>0</v>
      </c>
      <c r="CG3928">
        <v>0</v>
      </c>
      <c r="CH3928">
        <v>0</v>
      </c>
      <c r="CI3928">
        <v>0</v>
      </c>
      <c r="CJ3928">
        <v>-22</v>
      </c>
      <c r="CK3928">
        <v>62</v>
      </c>
      <c r="CL3928">
        <v>-0.82</v>
      </c>
      <c r="CM3928">
        <v>58</v>
      </c>
      <c r="CN3928">
        <v>-0.13</v>
      </c>
      <c r="CO3928">
        <v>54</v>
      </c>
      <c r="CP3928">
        <v>-29.6</v>
      </c>
      <c r="CQ3928">
        <v>61</v>
      </c>
      <c r="CR3928">
        <v>0</v>
      </c>
      <c r="CS3928">
        <v>0</v>
      </c>
      <c r="CT3928">
        <v>-39.799999999999997</v>
      </c>
      <c r="CU3928">
        <v>52</v>
      </c>
      <c r="CV3928">
        <v>-0.2</v>
      </c>
      <c r="CW3928">
        <v>16</v>
      </c>
      <c r="CX3928" t="s">
        <v>10782</v>
      </c>
    </row>
    <row r="3929" spans="1:102" x14ac:dyDescent="0.3">
      <c r="A3929" t="str">
        <f>HYPERLINK("https://webapp.icbf.com/v2/app/bull-search/view/122809053","YDB")</f>
        <v>YDB</v>
      </c>
      <c r="B3929" t="s">
        <v>11442</v>
      </c>
      <c r="C3929" t="s">
        <v>11443</v>
      </c>
      <c r="D3929" s="1">
        <v>34523</v>
      </c>
      <c r="E3929" t="s">
        <v>92</v>
      </c>
      <c r="F3929">
        <v>100</v>
      </c>
      <c r="G3929" t="s">
        <v>93</v>
      </c>
      <c r="H3929">
        <v>-73.69</v>
      </c>
      <c r="I3929">
        <v>60</v>
      </c>
      <c r="J3929">
        <v>-49.35</v>
      </c>
      <c r="K3929">
        <v>83</v>
      </c>
      <c r="L3929">
        <v>-40.86</v>
      </c>
      <c r="M3929">
        <v>43</v>
      </c>
      <c r="N3929">
        <v>17.309999999999999</v>
      </c>
      <c r="O3929">
        <v>50</v>
      </c>
      <c r="P3929">
        <v>-12.99</v>
      </c>
      <c r="Q3929">
        <v>69</v>
      </c>
      <c r="R3929">
        <v>-2.04</v>
      </c>
      <c r="S3929">
        <v>47</v>
      </c>
      <c r="T3929">
        <v>17.010000000000002</v>
      </c>
      <c r="U3929">
        <v>59</v>
      </c>
      <c r="V3929">
        <v>-2.77</v>
      </c>
      <c r="W3929">
        <v>34</v>
      </c>
      <c r="X3929" t="s">
        <v>276</v>
      </c>
      <c r="Y3929" t="s">
        <v>95</v>
      </c>
      <c r="Z3929" t="s">
        <v>96</v>
      </c>
      <c r="AA3929" t="s">
        <v>6675</v>
      </c>
      <c r="AB3929" t="s">
        <v>11444</v>
      </c>
      <c r="AC3929">
        <v>21</v>
      </c>
      <c r="AD3929">
        <v>17</v>
      </c>
      <c r="AE3929">
        <v>83</v>
      </c>
      <c r="AF3929">
        <v>-177.04</v>
      </c>
      <c r="AG3929">
        <v>-9.48</v>
      </c>
      <c r="AH3929">
        <v>-7.75</v>
      </c>
      <c r="AI3929">
        <v>-0.04</v>
      </c>
      <c r="AJ3929">
        <v>-0.03</v>
      </c>
      <c r="AK3929">
        <v>43</v>
      </c>
      <c r="AL3929">
        <v>18</v>
      </c>
      <c r="AM3929">
        <v>14</v>
      </c>
      <c r="AN3929">
        <v>2.09</v>
      </c>
      <c r="AO3929">
        <v>-1.17</v>
      </c>
      <c r="AP3929">
        <v>11</v>
      </c>
      <c r="AQ3929">
        <v>0</v>
      </c>
      <c r="AR3929">
        <v>5.54</v>
      </c>
      <c r="AS3929">
        <v>30</v>
      </c>
      <c r="AT3929">
        <v>3.27</v>
      </c>
      <c r="AU3929">
        <v>49</v>
      </c>
      <c r="AV3929">
        <v>-1.75</v>
      </c>
      <c r="AW3929">
        <v>63</v>
      </c>
      <c r="AX3929">
        <v>0.28999999999999998</v>
      </c>
      <c r="AY3929">
        <v>46</v>
      </c>
      <c r="AZ3929">
        <v>6.26</v>
      </c>
      <c r="BA3929">
        <v>29</v>
      </c>
      <c r="BB3929">
        <v>5.0199999999999996</v>
      </c>
      <c r="BC3929">
        <v>33</v>
      </c>
      <c r="BD3929">
        <v>0</v>
      </c>
      <c r="BE3929">
        <v>0.03</v>
      </c>
      <c r="BF3929">
        <v>-0.01</v>
      </c>
      <c r="BG3929">
        <v>59</v>
      </c>
      <c r="BH3929">
        <v>-0.1</v>
      </c>
      <c r="BI3929">
        <v>-2.62</v>
      </c>
      <c r="BJ3929">
        <v>3</v>
      </c>
      <c r="BK3929">
        <v>3</v>
      </c>
      <c r="BL3929">
        <v>0.79</v>
      </c>
      <c r="BM3929">
        <v>-0.08</v>
      </c>
      <c r="BN3929">
        <v>0.54</v>
      </c>
      <c r="BO3929">
        <v>0.39</v>
      </c>
      <c r="BP3929">
        <v>-0.01</v>
      </c>
      <c r="BQ3929">
        <v>0.55000000000000004</v>
      </c>
      <c r="BR3929">
        <v>0.73</v>
      </c>
      <c r="BS3929">
        <v>-0.26</v>
      </c>
      <c r="BT3929">
        <v>7.0000000000000007E-2</v>
      </c>
      <c r="BU3929">
        <v>0.32</v>
      </c>
      <c r="BV3929">
        <v>0.47</v>
      </c>
      <c r="BW3929">
        <v>0.56999999999999995</v>
      </c>
      <c r="BX3929">
        <v>0.61</v>
      </c>
      <c r="BY3929">
        <v>-1.26</v>
      </c>
      <c r="BZ3929">
        <v>1.19</v>
      </c>
      <c r="CA3929">
        <v>0.12</v>
      </c>
      <c r="CB3929">
        <v>0.22</v>
      </c>
      <c r="CC3929">
        <v>-0.09</v>
      </c>
      <c r="CD3929">
        <v>-0.13</v>
      </c>
      <c r="CE3929">
        <v>0.51</v>
      </c>
      <c r="CF3929">
        <v>1.21</v>
      </c>
      <c r="CG3929">
        <v>0</v>
      </c>
      <c r="CH3929">
        <v>-0.72</v>
      </c>
      <c r="CI3929">
        <v>0</v>
      </c>
      <c r="CJ3929">
        <v>-5.8</v>
      </c>
      <c r="CK3929">
        <v>71</v>
      </c>
      <c r="CL3929">
        <v>-0.56000000000000005</v>
      </c>
      <c r="CM3929">
        <v>67</v>
      </c>
      <c r="CN3929">
        <v>-0.12</v>
      </c>
      <c r="CO3929">
        <v>63</v>
      </c>
      <c r="CP3929">
        <v>-4.0999999999999996</v>
      </c>
      <c r="CQ3929">
        <v>66</v>
      </c>
      <c r="CR3929">
        <v>0</v>
      </c>
      <c r="CS3929">
        <v>0</v>
      </c>
      <c r="CT3929">
        <v>-9.1999999999999993</v>
      </c>
      <c r="CU3929">
        <v>59</v>
      </c>
      <c r="CV3929">
        <v>0.1</v>
      </c>
      <c r="CW3929">
        <v>19</v>
      </c>
      <c r="CX3929" t="s">
        <v>11445</v>
      </c>
    </row>
    <row r="3930" spans="1:102" x14ac:dyDescent="0.3">
      <c r="A3930" t="str">
        <f>HYPERLINK("https://webapp.icbf.com/v2/app/bull-search/view/122810019","GWD")</f>
        <v>GWD</v>
      </c>
      <c r="B3930" t="s">
        <v>12088</v>
      </c>
      <c r="C3930" t="s">
        <v>12089</v>
      </c>
      <c r="D3930" s="1">
        <v>33424</v>
      </c>
      <c r="E3930" t="s">
        <v>92</v>
      </c>
      <c r="F3930">
        <v>100</v>
      </c>
      <c r="G3930" t="s">
        <v>93</v>
      </c>
      <c r="H3930">
        <v>-73.69</v>
      </c>
      <c r="I3930">
        <v>93</v>
      </c>
      <c r="J3930">
        <v>12.88</v>
      </c>
      <c r="K3930">
        <v>98</v>
      </c>
      <c r="L3930">
        <v>-86.6</v>
      </c>
      <c r="M3930">
        <v>92</v>
      </c>
      <c r="N3930">
        <v>1.35</v>
      </c>
      <c r="O3930">
        <v>89</v>
      </c>
      <c r="P3930">
        <v>-5.22</v>
      </c>
      <c r="Q3930">
        <v>96</v>
      </c>
      <c r="R3930">
        <v>-4.13</v>
      </c>
      <c r="S3930">
        <v>87</v>
      </c>
      <c r="T3930">
        <v>10.57</v>
      </c>
      <c r="U3930">
        <v>91</v>
      </c>
      <c r="V3930">
        <v>-2.54</v>
      </c>
      <c r="W3930">
        <v>80</v>
      </c>
      <c r="X3930" t="s">
        <v>110</v>
      </c>
      <c r="Y3930" t="s">
        <v>95</v>
      </c>
      <c r="Z3930" t="s">
        <v>96</v>
      </c>
      <c r="AA3930" t="s">
        <v>118</v>
      </c>
      <c r="AB3930" t="s">
        <v>12090</v>
      </c>
      <c r="AC3930">
        <v>284</v>
      </c>
      <c r="AD3930">
        <v>137</v>
      </c>
      <c r="AE3930">
        <v>98</v>
      </c>
      <c r="AF3930">
        <v>123.39</v>
      </c>
      <c r="AG3930">
        <v>-0.4</v>
      </c>
      <c r="AH3930">
        <v>4.22</v>
      </c>
      <c r="AI3930">
        <v>-0.09</v>
      </c>
      <c r="AJ3930">
        <v>0</v>
      </c>
      <c r="AK3930">
        <v>92</v>
      </c>
      <c r="AL3930">
        <v>290</v>
      </c>
      <c r="AM3930">
        <v>128</v>
      </c>
      <c r="AN3930">
        <v>5.22</v>
      </c>
      <c r="AO3930">
        <v>-1.68</v>
      </c>
      <c r="AP3930">
        <v>164</v>
      </c>
      <c r="AQ3930">
        <v>7</v>
      </c>
      <c r="AR3930">
        <v>9.4600000000000009</v>
      </c>
      <c r="AS3930">
        <v>86</v>
      </c>
      <c r="AT3930">
        <v>3.86</v>
      </c>
      <c r="AU3930">
        <v>91</v>
      </c>
      <c r="AV3930">
        <v>-1.41</v>
      </c>
      <c r="AW3930">
        <v>92</v>
      </c>
      <c r="AX3930">
        <v>-0.25</v>
      </c>
      <c r="AY3930">
        <v>91</v>
      </c>
      <c r="AZ3930">
        <v>6.54</v>
      </c>
      <c r="BA3930">
        <v>75</v>
      </c>
      <c r="BB3930">
        <v>4.57</v>
      </c>
      <c r="BC3930">
        <v>82</v>
      </c>
      <c r="BD3930">
        <v>0</v>
      </c>
      <c r="BE3930">
        <v>0.05</v>
      </c>
      <c r="BF3930">
        <v>0</v>
      </c>
      <c r="BG3930">
        <v>96</v>
      </c>
      <c r="BH3930">
        <v>-0.02</v>
      </c>
      <c r="BI3930">
        <v>5.88</v>
      </c>
      <c r="BJ3930">
        <v>21</v>
      </c>
      <c r="BK3930">
        <v>15</v>
      </c>
      <c r="BL3930">
        <v>0.24</v>
      </c>
      <c r="BM3930">
        <v>-0.78</v>
      </c>
      <c r="BN3930">
        <v>-0.66</v>
      </c>
      <c r="BO3930">
        <v>0.11</v>
      </c>
      <c r="BP3930">
        <v>-1.2</v>
      </c>
      <c r="BQ3930">
        <v>0.25</v>
      </c>
      <c r="BR3930">
        <v>-0.59</v>
      </c>
      <c r="BS3930">
        <v>-0.02</v>
      </c>
      <c r="BT3930">
        <v>1</v>
      </c>
      <c r="BU3930">
        <v>-0.47</v>
      </c>
      <c r="BV3930">
        <v>0.37</v>
      </c>
      <c r="BW3930">
        <v>1.34</v>
      </c>
      <c r="BX3930">
        <v>-0.28999999999999998</v>
      </c>
      <c r="BY3930">
        <v>-0.97</v>
      </c>
      <c r="BZ3930">
        <v>-0.27</v>
      </c>
      <c r="CA3930">
        <v>7.0000000000000007E-2</v>
      </c>
      <c r="CB3930">
        <v>-0.03</v>
      </c>
      <c r="CC3930">
        <v>0.11</v>
      </c>
      <c r="CD3930">
        <v>-0.77</v>
      </c>
      <c r="CE3930">
        <v>0.64</v>
      </c>
      <c r="CF3930">
        <v>-0.16</v>
      </c>
      <c r="CG3930">
        <v>0</v>
      </c>
      <c r="CH3930">
        <v>-1.27</v>
      </c>
      <c r="CI3930">
        <v>0</v>
      </c>
      <c r="CJ3930">
        <v>-1.3</v>
      </c>
      <c r="CK3930">
        <v>96</v>
      </c>
      <c r="CL3930">
        <v>-0.47</v>
      </c>
      <c r="CM3930">
        <v>95</v>
      </c>
      <c r="CN3930">
        <v>-0.16</v>
      </c>
      <c r="CO3930">
        <v>94</v>
      </c>
      <c r="CP3930">
        <v>-3</v>
      </c>
      <c r="CQ3930">
        <v>96</v>
      </c>
      <c r="CR3930">
        <v>0</v>
      </c>
      <c r="CS3930">
        <v>0</v>
      </c>
      <c r="CT3930">
        <v>-0.5</v>
      </c>
      <c r="CU3930">
        <v>91</v>
      </c>
      <c r="CV3930">
        <v>7.0000000000000007E-2</v>
      </c>
      <c r="CW3930">
        <v>45</v>
      </c>
      <c r="CX3930" t="s">
        <v>825</v>
      </c>
    </row>
    <row r="3931" spans="1:102" x14ac:dyDescent="0.3">
      <c r="A3931" t="str">
        <f>HYPERLINK("https://webapp.icbf.com/v2/app/bull-search/view/77858593","CSL")</f>
        <v>CSL</v>
      </c>
      <c r="B3931" t="s">
        <v>486</v>
      </c>
      <c r="C3931" t="s">
        <v>487</v>
      </c>
      <c r="D3931" s="1">
        <v>32770</v>
      </c>
      <c r="E3931" t="s">
        <v>92</v>
      </c>
      <c r="F3931">
        <v>63</v>
      </c>
      <c r="G3931" t="s">
        <v>93</v>
      </c>
      <c r="H3931">
        <v>-73.77</v>
      </c>
      <c r="I3931">
        <v>78</v>
      </c>
      <c r="J3931">
        <v>-102.68</v>
      </c>
      <c r="K3931">
        <v>97</v>
      </c>
      <c r="L3931">
        <v>10.61</v>
      </c>
      <c r="M3931">
        <v>71</v>
      </c>
      <c r="N3931">
        <v>3.05</v>
      </c>
      <c r="O3931">
        <v>68</v>
      </c>
      <c r="P3931">
        <v>-7.96</v>
      </c>
      <c r="Q3931">
        <v>86</v>
      </c>
      <c r="R3931">
        <v>-3.02</v>
      </c>
      <c r="S3931">
        <v>69</v>
      </c>
      <c r="T3931">
        <v>25.81</v>
      </c>
      <c r="U3931">
        <v>68</v>
      </c>
      <c r="V3931">
        <v>0.42</v>
      </c>
      <c r="W3931">
        <v>27</v>
      </c>
      <c r="X3931" t="s">
        <v>110</v>
      </c>
      <c r="Y3931" t="s">
        <v>95</v>
      </c>
      <c r="Z3931" t="s">
        <v>96</v>
      </c>
      <c r="AA3931" t="s">
        <v>488</v>
      </c>
      <c r="AB3931" t="s">
        <v>489</v>
      </c>
      <c r="AC3931">
        <v>133</v>
      </c>
      <c r="AD3931">
        <v>13</v>
      </c>
      <c r="AE3931">
        <v>97</v>
      </c>
      <c r="AF3931">
        <v>-361.7</v>
      </c>
      <c r="AG3931">
        <v>-18.600000000000001</v>
      </c>
      <c r="AH3931">
        <v>-16.420000000000002</v>
      </c>
      <c r="AI3931">
        <v>-0.08</v>
      </c>
      <c r="AJ3931">
        <v>-7.0000000000000007E-2</v>
      </c>
      <c r="AK3931">
        <v>71</v>
      </c>
      <c r="AL3931">
        <v>147</v>
      </c>
      <c r="AM3931">
        <v>23</v>
      </c>
      <c r="AN3931">
        <v>-1.84</v>
      </c>
      <c r="AO3931">
        <v>-1.01</v>
      </c>
      <c r="AP3931">
        <v>11</v>
      </c>
      <c r="AQ3931">
        <v>0</v>
      </c>
      <c r="AR3931">
        <v>5.98</v>
      </c>
      <c r="AS3931">
        <v>38</v>
      </c>
      <c r="AT3931">
        <v>2.86</v>
      </c>
      <c r="AU3931">
        <v>68</v>
      </c>
      <c r="AV3931">
        <v>-0.55000000000000004</v>
      </c>
      <c r="AW3931">
        <v>74</v>
      </c>
      <c r="AX3931">
        <v>1.1299999999999999</v>
      </c>
      <c r="AY3931">
        <v>81</v>
      </c>
      <c r="AZ3931">
        <v>7.24</v>
      </c>
      <c r="BA3931">
        <v>43</v>
      </c>
      <c r="BB3931">
        <v>5.64</v>
      </c>
      <c r="BC3931">
        <v>65</v>
      </c>
      <c r="BD3931">
        <v>0.05</v>
      </c>
      <c r="BE3931">
        <v>0.04</v>
      </c>
      <c r="BF3931">
        <v>-0.09</v>
      </c>
      <c r="BG3931">
        <v>88</v>
      </c>
      <c r="BH3931">
        <v>0.16</v>
      </c>
      <c r="BI3931">
        <v>17.149999999999999</v>
      </c>
      <c r="BJ3931">
        <v>0</v>
      </c>
      <c r="BK3931">
        <v>0</v>
      </c>
      <c r="BL3931">
        <v>-0.7</v>
      </c>
      <c r="BM3931">
        <v>1.43</v>
      </c>
      <c r="BN3931">
        <v>-0.09</v>
      </c>
      <c r="BO3931">
        <v>-1.35</v>
      </c>
      <c r="BP3931">
        <v>-0.37</v>
      </c>
      <c r="BQ3931">
        <v>-0.11</v>
      </c>
      <c r="BR3931">
        <v>0.64</v>
      </c>
      <c r="BS3931">
        <v>-0.91</v>
      </c>
      <c r="BT3931">
        <v>-1.32</v>
      </c>
      <c r="BU3931">
        <v>-0.21</v>
      </c>
      <c r="BV3931">
        <v>-0.77</v>
      </c>
      <c r="BW3931">
        <v>-1.25</v>
      </c>
      <c r="BX3931">
        <v>0.34</v>
      </c>
      <c r="BY3931">
        <v>-1.17</v>
      </c>
      <c r="BZ3931">
        <v>-0.97</v>
      </c>
      <c r="CA3931">
        <v>-1.36</v>
      </c>
      <c r="CB3931">
        <v>-1.1299999999999999</v>
      </c>
      <c r="CC3931">
        <v>-1.26</v>
      </c>
      <c r="CD3931">
        <v>1.22</v>
      </c>
      <c r="CE3931">
        <v>-1.39</v>
      </c>
      <c r="CF3931">
        <v>-0.43</v>
      </c>
      <c r="CG3931">
        <v>0</v>
      </c>
      <c r="CH3931">
        <v>-1.2</v>
      </c>
      <c r="CI3931">
        <v>0</v>
      </c>
      <c r="CJ3931">
        <v>-3.6</v>
      </c>
      <c r="CK3931">
        <v>87</v>
      </c>
      <c r="CL3931">
        <v>-0.35</v>
      </c>
      <c r="CM3931">
        <v>85</v>
      </c>
      <c r="CN3931">
        <v>-0.23</v>
      </c>
      <c r="CO3931">
        <v>83</v>
      </c>
      <c r="CP3931">
        <v>-13.8</v>
      </c>
      <c r="CQ3931">
        <v>89</v>
      </c>
      <c r="CR3931">
        <v>0</v>
      </c>
      <c r="CS3931">
        <v>0</v>
      </c>
      <c r="CT3931">
        <v>-21.1</v>
      </c>
      <c r="CU3931">
        <v>68</v>
      </c>
      <c r="CV3931">
        <v>0.03</v>
      </c>
      <c r="CW3931">
        <v>24</v>
      </c>
      <c r="CX3931" t="s">
        <v>490</v>
      </c>
    </row>
    <row r="3932" spans="1:102" x14ac:dyDescent="0.3">
      <c r="A3932" t="str">
        <f>HYPERLINK("https://webapp.icbf.com/v2/app/bull-search/view/77853190","TRN")</f>
        <v>TRN</v>
      </c>
      <c r="B3932" t="s">
        <v>10403</v>
      </c>
      <c r="C3932" t="s">
        <v>10404</v>
      </c>
      <c r="D3932" s="1">
        <v>34540</v>
      </c>
      <c r="E3932" t="s">
        <v>92</v>
      </c>
      <c r="F3932">
        <v>100</v>
      </c>
      <c r="G3932" t="s">
        <v>93</v>
      </c>
      <c r="H3932">
        <v>-73.87</v>
      </c>
      <c r="I3932">
        <v>86</v>
      </c>
      <c r="J3932">
        <v>17.52</v>
      </c>
      <c r="K3932">
        <v>95</v>
      </c>
      <c r="L3932">
        <v>-69.53</v>
      </c>
      <c r="M3932">
        <v>86</v>
      </c>
      <c r="N3932">
        <v>0.33</v>
      </c>
      <c r="O3932">
        <v>78</v>
      </c>
      <c r="P3932">
        <v>-4.91</v>
      </c>
      <c r="Q3932">
        <v>82</v>
      </c>
      <c r="R3932">
        <v>-8.39</v>
      </c>
      <c r="S3932">
        <v>78</v>
      </c>
      <c r="T3932">
        <v>2.21</v>
      </c>
      <c r="U3932">
        <v>73</v>
      </c>
      <c r="V3932">
        <v>-11.1</v>
      </c>
      <c r="W3932">
        <v>67</v>
      </c>
      <c r="X3932" t="s">
        <v>94</v>
      </c>
      <c r="Y3932" t="s">
        <v>95</v>
      </c>
      <c r="Z3932" t="s">
        <v>96</v>
      </c>
      <c r="AA3932" t="s">
        <v>105</v>
      </c>
      <c r="AB3932" t="s">
        <v>10405</v>
      </c>
      <c r="AC3932">
        <v>42</v>
      </c>
      <c r="AD3932">
        <v>17</v>
      </c>
      <c r="AE3932">
        <v>95</v>
      </c>
      <c r="AF3932">
        <v>187.58</v>
      </c>
      <c r="AG3932">
        <v>1.5</v>
      </c>
      <c r="AH3932">
        <v>5.32</v>
      </c>
      <c r="AI3932">
        <v>-0.1</v>
      </c>
      <c r="AJ3932">
        <v>-0.02</v>
      </c>
      <c r="AK3932">
        <v>86</v>
      </c>
      <c r="AL3932">
        <v>35</v>
      </c>
      <c r="AM3932">
        <v>21</v>
      </c>
      <c r="AN3932">
        <v>3.4</v>
      </c>
      <c r="AO3932">
        <v>-2.15</v>
      </c>
      <c r="AP3932">
        <v>64</v>
      </c>
      <c r="AQ3932">
        <v>0</v>
      </c>
      <c r="AR3932">
        <v>6.88</v>
      </c>
      <c r="AS3932">
        <v>66</v>
      </c>
      <c r="AT3932">
        <v>3.11</v>
      </c>
      <c r="AU3932">
        <v>86</v>
      </c>
      <c r="AV3932">
        <v>-7.0000000000000007E-2</v>
      </c>
      <c r="AW3932">
        <v>85</v>
      </c>
      <c r="AX3932">
        <v>1.78</v>
      </c>
      <c r="AY3932">
        <v>70</v>
      </c>
      <c r="AZ3932">
        <v>5.71</v>
      </c>
      <c r="BA3932">
        <v>58</v>
      </c>
      <c r="BB3932">
        <v>4.72</v>
      </c>
      <c r="BC3932">
        <v>59</v>
      </c>
      <c r="BD3932">
        <v>0.03</v>
      </c>
      <c r="BE3932">
        <v>7.0000000000000007E-2</v>
      </c>
      <c r="BF3932">
        <v>0.01</v>
      </c>
      <c r="BG3932">
        <v>90</v>
      </c>
      <c r="BH3932">
        <v>-0.15</v>
      </c>
      <c r="BI3932">
        <v>18.46</v>
      </c>
      <c r="BJ3932">
        <v>3</v>
      </c>
      <c r="BK3932">
        <v>3</v>
      </c>
      <c r="BL3932">
        <v>1.18</v>
      </c>
      <c r="BM3932">
        <v>-1.1299999999999999</v>
      </c>
      <c r="BN3932">
        <v>0.02</v>
      </c>
      <c r="BO3932">
        <v>0.59</v>
      </c>
      <c r="BP3932">
        <v>1.07</v>
      </c>
      <c r="BQ3932">
        <v>-1.28</v>
      </c>
      <c r="BR3932">
        <v>-0.47</v>
      </c>
      <c r="BS3932">
        <v>0.05</v>
      </c>
      <c r="BT3932">
        <v>-1.03</v>
      </c>
      <c r="BU3932">
        <v>-0.02</v>
      </c>
      <c r="BV3932">
        <v>0.62</v>
      </c>
      <c r="BW3932">
        <v>0.35</v>
      </c>
      <c r="BX3932">
        <v>0.67</v>
      </c>
      <c r="BY3932">
        <v>-0.7</v>
      </c>
      <c r="BZ3932">
        <v>2.72</v>
      </c>
      <c r="CA3932">
        <v>0.42</v>
      </c>
      <c r="CB3932">
        <v>0.2</v>
      </c>
      <c r="CC3932">
        <v>0.13</v>
      </c>
      <c r="CD3932">
        <v>-0.41</v>
      </c>
      <c r="CE3932">
        <v>0.73</v>
      </c>
      <c r="CF3932">
        <v>0.28999999999999998</v>
      </c>
      <c r="CG3932">
        <v>0</v>
      </c>
      <c r="CH3932">
        <v>-0.57999999999999996</v>
      </c>
      <c r="CI3932">
        <v>0</v>
      </c>
      <c r="CJ3932">
        <v>0.5</v>
      </c>
      <c r="CK3932">
        <v>83</v>
      </c>
      <c r="CL3932">
        <v>-0.81</v>
      </c>
      <c r="CM3932">
        <v>81</v>
      </c>
      <c r="CN3932">
        <v>-0.25</v>
      </c>
      <c r="CO3932">
        <v>78</v>
      </c>
      <c r="CP3932">
        <v>-1.1000000000000001</v>
      </c>
      <c r="CQ3932">
        <v>83</v>
      </c>
      <c r="CR3932">
        <v>0</v>
      </c>
      <c r="CS3932">
        <v>0</v>
      </c>
      <c r="CT3932">
        <v>10.8</v>
      </c>
      <c r="CU3932">
        <v>73</v>
      </c>
      <c r="CV3932">
        <v>0.13</v>
      </c>
      <c r="CW3932">
        <v>42</v>
      </c>
      <c r="CX3932" t="s">
        <v>3905</v>
      </c>
    </row>
    <row r="3933" spans="1:102" x14ac:dyDescent="0.3">
      <c r="A3933" t="str">
        <f>HYPERLINK("https://webapp.icbf.com/v2/app/bull-search/view/108368014","RIC")</f>
        <v>RIC</v>
      </c>
      <c r="B3933" t="s">
        <v>11130</v>
      </c>
      <c r="C3933" t="s">
        <v>11131</v>
      </c>
      <c r="D3933" s="1">
        <v>35351</v>
      </c>
      <c r="E3933" t="s">
        <v>92</v>
      </c>
      <c r="F3933">
        <v>100</v>
      </c>
      <c r="G3933" t="s">
        <v>109</v>
      </c>
      <c r="H3933">
        <v>-74.069999999999993</v>
      </c>
      <c r="I3933">
        <v>83</v>
      </c>
      <c r="J3933">
        <v>-31.94</v>
      </c>
      <c r="K3933">
        <v>93</v>
      </c>
      <c r="L3933">
        <v>-49.54</v>
      </c>
      <c r="M3933">
        <v>87</v>
      </c>
      <c r="N3933">
        <v>-6.53</v>
      </c>
      <c r="O3933">
        <v>71</v>
      </c>
      <c r="P3933">
        <v>-2.4300000000000002</v>
      </c>
      <c r="Q3933">
        <v>66</v>
      </c>
      <c r="R3933">
        <v>3</v>
      </c>
      <c r="S3933">
        <v>80</v>
      </c>
      <c r="T3933">
        <v>8.65</v>
      </c>
      <c r="U3933">
        <v>64</v>
      </c>
      <c r="V3933">
        <v>4.72</v>
      </c>
      <c r="W3933">
        <v>68</v>
      </c>
      <c r="X3933" t="s">
        <v>251</v>
      </c>
      <c r="Y3933" t="s">
        <v>95</v>
      </c>
      <c r="Z3933" t="s">
        <v>96</v>
      </c>
      <c r="AA3933" t="s">
        <v>856</v>
      </c>
      <c r="AB3933" t="s">
        <v>11132</v>
      </c>
      <c r="AC3933">
        <v>0</v>
      </c>
      <c r="AD3933">
        <v>0</v>
      </c>
      <c r="AE3933">
        <v>93</v>
      </c>
      <c r="AF3933">
        <v>229.3</v>
      </c>
      <c r="AG3933">
        <v>-6.62</v>
      </c>
      <c r="AH3933">
        <v>0.42</v>
      </c>
      <c r="AI3933">
        <v>-0.26</v>
      </c>
      <c r="AJ3933">
        <v>-0.12</v>
      </c>
      <c r="AK3933">
        <v>87</v>
      </c>
      <c r="AL3933">
        <v>0</v>
      </c>
      <c r="AM3933">
        <v>0</v>
      </c>
      <c r="AN3933">
        <v>3.56</v>
      </c>
      <c r="AO3933">
        <v>-0.38</v>
      </c>
      <c r="AP3933">
        <v>13</v>
      </c>
      <c r="AQ3933">
        <v>0</v>
      </c>
      <c r="AR3933">
        <v>8.36</v>
      </c>
      <c r="AS3933">
        <v>61</v>
      </c>
      <c r="AT3933">
        <v>4.17</v>
      </c>
      <c r="AU3933">
        <v>89</v>
      </c>
      <c r="AV3933">
        <v>0.08</v>
      </c>
      <c r="AW3933">
        <v>73</v>
      </c>
      <c r="AX3933">
        <v>-0.42</v>
      </c>
      <c r="AY3933">
        <v>56</v>
      </c>
      <c r="AZ3933">
        <v>5.69</v>
      </c>
      <c r="BA3933">
        <v>51</v>
      </c>
      <c r="BB3933">
        <v>4.0999999999999996</v>
      </c>
      <c r="BC3933">
        <v>54</v>
      </c>
      <c r="BD3933">
        <v>-0.03</v>
      </c>
      <c r="BE3933">
        <v>-0.01</v>
      </c>
      <c r="BF3933">
        <v>0</v>
      </c>
      <c r="BG3933">
        <v>93</v>
      </c>
      <c r="BH3933">
        <v>0.04</v>
      </c>
      <c r="BI3933">
        <v>-10.6</v>
      </c>
      <c r="BJ3933">
        <v>3</v>
      </c>
      <c r="BK3933">
        <v>1</v>
      </c>
      <c r="BL3933">
        <v>0.23</v>
      </c>
      <c r="BM3933">
        <v>-1.76</v>
      </c>
      <c r="BN3933">
        <v>-0.89</v>
      </c>
      <c r="BO3933">
        <v>0.63</v>
      </c>
      <c r="BP3933">
        <v>1.34</v>
      </c>
      <c r="BQ3933">
        <v>-0.42</v>
      </c>
      <c r="BR3933">
        <v>0.33</v>
      </c>
      <c r="BS3933">
        <v>1.38</v>
      </c>
      <c r="BT3933">
        <v>0.69</v>
      </c>
      <c r="BU3933">
        <v>0.4</v>
      </c>
      <c r="BV3933">
        <v>0.61</v>
      </c>
      <c r="BW3933">
        <v>0.72</v>
      </c>
      <c r="BX3933">
        <v>1.02</v>
      </c>
      <c r="BY3933">
        <v>2.5299999999999998</v>
      </c>
      <c r="BZ3933">
        <v>-1.65</v>
      </c>
      <c r="CA3933">
        <v>1.57</v>
      </c>
      <c r="CB3933">
        <v>1.22</v>
      </c>
      <c r="CC3933">
        <v>1.42</v>
      </c>
      <c r="CD3933">
        <v>-1.26</v>
      </c>
      <c r="CE3933">
        <v>0.9</v>
      </c>
      <c r="CF3933">
        <v>-0.48</v>
      </c>
      <c r="CG3933">
        <v>0</v>
      </c>
      <c r="CH3933">
        <v>2.37</v>
      </c>
      <c r="CI3933">
        <v>0</v>
      </c>
      <c r="CJ3933">
        <v>0</v>
      </c>
      <c r="CK3933">
        <v>68</v>
      </c>
      <c r="CL3933">
        <v>-0.91</v>
      </c>
      <c r="CM3933">
        <v>64</v>
      </c>
      <c r="CN3933">
        <v>-0.61</v>
      </c>
      <c r="CO3933">
        <v>61</v>
      </c>
      <c r="CP3933">
        <v>-1.2</v>
      </c>
      <c r="CQ3933">
        <v>71</v>
      </c>
      <c r="CR3933">
        <v>0</v>
      </c>
      <c r="CS3933">
        <v>0</v>
      </c>
      <c r="CT3933">
        <v>2.1</v>
      </c>
      <c r="CU3933">
        <v>64</v>
      </c>
      <c r="CV3933">
        <v>0.18</v>
      </c>
      <c r="CW3933">
        <v>39</v>
      </c>
      <c r="CX3933" t="s">
        <v>678</v>
      </c>
    </row>
    <row r="3934" spans="1:102" x14ac:dyDescent="0.3">
      <c r="A3934" t="str">
        <f>HYPERLINK("https://webapp.icbf.com/v2/app/bull-search/view/77860177","CCD")</f>
        <v>CCD</v>
      </c>
      <c r="B3934" t="s">
        <v>623</v>
      </c>
      <c r="C3934" t="s">
        <v>624</v>
      </c>
      <c r="D3934" s="1">
        <v>31900</v>
      </c>
      <c r="E3934" t="s">
        <v>92</v>
      </c>
      <c r="F3934">
        <v>100</v>
      </c>
      <c r="G3934" t="s">
        <v>93</v>
      </c>
      <c r="H3934">
        <v>-74.239999999999995</v>
      </c>
      <c r="I3934">
        <v>82</v>
      </c>
      <c r="J3934">
        <v>-33.68</v>
      </c>
      <c r="K3934">
        <v>94</v>
      </c>
      <c r="L3934">
        <v>-48.44</v>
      </c>
      <c r="M3934">
        <v>82</v>
      </c>
      <c r="N3934">
        <v>4.9800000000000004</v>
      </c>
      <c r="O3934">
        <v>65</v>
      </c>
      <c r="P3934">
        <v>-13.01</v>
      </c>
      <c r="Q3934">
        <v>79</v>
      </c>
      <c r="R3934">
        <v>-3.02</v>
      </c>
      <c r="S3934">
        <v>73</v>
      </c>
      <c r="T3934">
        <v>22.41</v>
      </c>
      <c r="U3934">
        <v>79</v>
      </c>
      <c r="V3934">
        <v>-3.48</v>
      </c>
      <c r="W3934">
        <v>44</v>
      </c>
      <c r="X3934" t="s">
        <v>131</v>
      </c>
      <c r="Y3934" t="s">
        <v>95</v>
      </c>
      <c r="Z3934" t="s">
        <v>96</v>
      </c>
      <c r="AA3934" t="s">
        <v>154</v>
      </c>
      <c r="AB3934" t="s">
        <v>625</v>
      </c>
      <c r="AC3934">
        <v>80</v>
      </c>
      <c r="AD3934">
        <v>51</v>
      </c>
      <c r="AE3934">
        <v>94</v>
      </c>
      <c r="AF3934">
        <v>-353.51</v>
      </c>
      <c r="AG3934">
        <v>0.74</v>
      </c>
      <c r="AH3934">
        <v>-11.4</v>
      </c>
      <c r="AI3934">
        <v>0.26</v>
      </c>
      <c r="AJ3934">
        <v>0.01</v>
      </c>
      <c r="AK3934">
        <v>82</v>
      </c>
      <c r="AL3934">
        <v>106</v>
      </c>
      <c r="AM3934">
        <v>62</v>
      </c>
      <c r="AN3934">
        <v>2.1</v>
      </c>
      <c r="AO3934">
        <v>-1.77</v>
      </c>
      <c r="AP3934">
        <v>3</v>
      </c>
      <c r="AQ3934">
        <v>0</v>
      </c>
      <c r="AR3934">
        <v>7.21</v>
      </c>
      <c r="AS3934">
        <v>41</v>
      </c>
      <c r="AT3934">
        <v>3.97</v>
      </c>
      <c r="AU3934">
        <v>61</v>
      </c>
      <c r="AV3934">
        <v>-0.83</v>
      </c>
      <c r="AW3934">
        <v>75</v>
      </c>
      <c r="AX3934">
        <v>-0.22</v>
      </c>
      <c r="AY3934">
        <v>75</v>
      </c>
      <c r="AZ3934">
        <v>5.23</v>
      </c>
      <c r="BA3934">
        <v>43</v>
      </c>
      <c r="BB3934">
        <v>4.37</v>
      </c>
      <c r="BC3934">
        <v>57</v>
      </c>
      <c r="BD3934">
        <v>0.02</v>
      </c>
      <c r="BE3934">
        <v>0.04</v>
      </c>
      <c r="BF3934">
        <v>-0.04</v>
      </c>
      <c r="BG3934">
        <v>91</v>
      </c>
      <c r="BH3934">
        <v>-0.11</v>
      </c>
      <c r="BI3934">
        <v>-1.51</v>
      </c>
      <c r="BJ3934">
        <v>2</v>
      </c>
      <c r="BK3934">
        <v>2</v>
      </c>
      <c r="BL3934">
        <v>0.54</v>
      </c>
      <c r="BM3934">
        <v>-0.03</v>
      </c>
      <c r="BN3934">
        <v>0.8</v>
      </c>
      <c r="BO3934">
        <v>0.47</v>
      </c>
      <c r="BP3934">
        <v>1.01</v>
      </c>
      <c r="BQ3934">
        <v>-0.16</v>
      </c>
      <c r="BR3934">
        <v>-0.82</v>
      </c>
      <c r="BS3934">
        <v>0.06</v>
      </c>
      <c r="BT3934">
        <v>1.26</v>
      </c>
      <c r="BU3934">
        <v>0.41</v>
      </c>
      <c r="BV3934">
        <v>0.25</v>
      </c>
      <c r="BW3934">
        <v>0.77</v>
      </c>
      <c r="BX3934">
        <v>1.49</v>
      </c>
      <c r="BY3934">
        <v>-0.49</v>
      </c>
      <c r="BZ3934">
        <v>1.44</v>
      </c>
      <c r="CA3934">
        <v>0.32</v>
      </c>
      <c r="CB3934">
        <v>-0.11</v>
      </c>
      <c r="CC3934">
        <v>1.1599999999999999</v>
      </c>
      <c r="CD3934">
        <v>-0.63</v>
      </c>
      <c r="CE3934">
        <v>0.49</v>
      </c>
      <c r="CF3934">
        <v>0.74</v>
      </c>
      <c r="CG3934">
        <v>0</v>
      </c>
      <c r="CH3934">
        <v>0.21</v>
      </c>
      <c r="CI3934">
        <v>0</v>
      </c>
      <c r="CJ3934">
        <v>-8.1999999999999993</v>
      </c>
      <c r="CK3934">
        <v>80</v>
      </c>
      <c r="CL3934">
        <v>-0.48</v>
      </c>
      <c r="CM3934">
        <v>77</v>
      </c>
      <c r="CN3934">
        <v>-0.44</v>
      </c>
      <c r="CO3934">
        <v>74</v>
      </c>
      <c r="CP3934">
        <v>-12.6</v>
      </c>
      <c r="CQ3934">
        <v>85</v>
      </c>
      <c r="CR3934">
        <v>0</v>
      </c>
      <c r="CS3934">
        <v>0</v>
      </c>
      <c r="CT3934">
        <v>-16.5</v>
      </c>
      <c r="CU3934">
        <v>79</v>
      </c>
      <c r="CV3934">
        <v>-0.05</v>
      </c>
      <c r="CW3934">
        <v>22</v>
      </c>
      <c r="CX3934" t="s">
        <v>626</v>
      </c>
    </row>
    <row r="3935" spans="1:102" x14ac:dyDescent="0.3">
      <c r="A3935" t="str">
        <f>HYPERLINK("https://webapp.icbf.com/v2/app/bull-search/view/77859427","AX6")</f>
        <v>AX6</v>
      </c>
      <c r="B3935" t="s">
        <v>14612</v>
      </c>
      <c r="C3935" t="s">
        <v>14613</v>
      </c>
      <c r="D3935" s="1">
        <v>35043</v>
      </c>
      <c r="E3935" t="s">
        <v>92</v>
      </c>
      <c r="F3935">
        <v>97</v>
      </c>
      <c r="G3935" t="s">
        <v>93</v>
      </c>
      <c r="H3935">
        <v>-74.27</v>
      </c>
      <c r="I3935">
        <v>78</v>
      </c>
      <c r="J3935">
        <v>41.42</v>
      </c>
      <c r="K3935">
        <v>94</v>
      </c>
      <c r="L3935">
        <v>-95.87</v>
      </c>
      <c r="M3935">
        <v>75</v>
      </c>
      <c r="N3935">
        <v>-7.22</v>
      </c>
      <c r="O3935">
        <v>62</v>
      </c>
      <c r="P3935">
        <v>-6.3</v>
      </c>
      <c r="Q3935">
        <v>71</v>
      </c>
      <c r="R3935">
        <v>-17.829999999999998</v>
      </c>
      <c r="S3935">
        <v>74</v>
      </c>
      <c r="T3935">
        <v>18.559999999999999</v>
      </c>
      <c r="U3935">
        <v>65</v>
      </c>
      <c r="V3935">
        <v>-7.03</v>
      </c>
      <c r="W3935">
        <v>63</v>
      </c>
      <c r="X3935" t="s">
        <v>102</v>
      </c>
      <c r="Y3935" t="s">
        <v>95</v>
      </c>
      <c r="Z3935" t="s">
        <v>96</v>
      </c>
      <c r="AA3935" t="s">
        <v>105</v>
      </c>
      <c r="AB3935" t="s">
        <v>14614</v>
      </c>
      <c r="AC3935">
        <v>34</v>
      </c>
      <c r="AD3935">
        <v>25</v>
      </c>
      <c r="AE3935">
        <v>94</v>
      </c>
      <c r="AF3935">
        <v>292.57</v>
      </c>
      <c r="AG3935">
        <v>6.99</v>
      </c>
      <c r="AH3935">
        <v>9.0500000000000007</v>
      </c>
      <c r="AI3935">
        <v>-7.0000000000000007E-2</v>
      </c>
      <c r="AJ3935">
        <v>-0.01</v>
      </c>
      <c r="AK3935">
        <v>75</v>
      </c>
      <c r="AL3935">
        <v>30</v>
      </c>
      <c r="AM3935">
        <v>23</v>
      </c>
      <c r="AN3935">
        <v>6.43</v>
      </c>
      <c r="AO3935">
        <v>-1.2</v>
      </c>
      <c r="AP3935">
        <v>1</v>
      </c>
      <c r="AQ3935">
        <v>0</v>
      </c>
      <c r="AR3935">
        <v>10.31</v>
      </c>
      <c r="AS3935">
        <v>56</v>
      </c>
      <c r="AT3935">
        <v>4.05</v>
      </c>
      <c r="AU3935">
        <v>70</v>
      </c>
      <c r="AV3935">
        <v>-0.32</v>
      </c>
      <c r="AW3935">
        <v>60</v>
      </c>
      <c r="AX3935">
        <v>-0.28000000000000003</v>
      </c>
      <c r="AY3935">
        <v>65</v>
      </c>
      <c r="AZ3935">
        <v>4.5599999999999996</v>
      </c>
      <c r="BA3935">
        <v>48</v>
      </c>
      <c r="BB3935">
        <v>4.08</v>
      </c>
      <c r="BC3935">
        <v>58</v>
      </c>
      <c r="BD3935">
        <v>0.09</v>
      </c>
      <c r="BE3935">
        <v>0.1</v>
      </c>
      <c r="BF3935">
        <v>7.0000000000000007E-2</v>
      </c>
      <c r="BG3935">
        <v>84</v>
      </c>
      <c r="BH3935">
        <v>-0.11</v>
      </c>
      <c r="BI3935">
        <v>9.94</v>
      </c>
      <c r="BJ3935">
        <v>2</v>
      </c>
      <c r="BK3935">
        <v>2</v>
      </c>
      <c r="BL3935">
        <v>0.05</v>
      </c>
      <c r="BM3935">
        <v>0.12</v>
      </c>
      <c r="BN3935">
        <v>0.65</v>
      </c>
      <c r="BO3935">
        <v>0.25</v>
      </c>
      <c r="BP3935">
        <v>-0.62</v>
      </c>
      <c r="BQ3935">
        <v>-1.42</v>
      </c>
      <c r="BR3935">
        <v>-1.22</v>
      </c>
      <c r="BS3935">
        <v>-0.02</v>
      </c>
      <c r="BT3935">
        <v>1.69</v>
      </c>
      <c r="BU3935">
        <v>-0.94</v>
      </c>
      <c r="BV3935">
        <v>0.05</v>
      </c>
      <c r="BW3935">
        <v>0.05</v>
      </c>
      <c r="BX3935">
        <v>-1.92</v>
      </c>
      <c r="BY3935">
        <v>0.21</v>
      </c>
      <c r="BZ3935">
        <v>1.7</v>
      </c>
      <c r="CA3935">
        <v>-0.15</v>
      </c>
      <c r="CB3935">
        <v>-0.12</v>
      </c>
      <c r="CC3935">
        <v>-0.01</v>
      </c>
      <c r="CD3935">
        <v>-0.22</v>
      </c>
      <c r="CE3935">
        <v>0.51</v>
      </c>
      <c r="CF3935">
        <v>-0.01</v>
      </c>
      <c r="CG3935">
        <v>0</v>
      </c>
      <c r="CH3935">
        <v>-0.77</v>
      </c>
      <c r="CI3935">
        <v>0</v>
      </c>
      <c r="CJ3935">
        <v>-2</v>
      </c>
      <c r="CK3935">
        <v>72</v>
      </c>
      <c r="CL3935">
        <v>-0.68</v>
      </c>
      <c r="CM3935">
        <v>70</v>
      </c>
      <c r="CN3935">
        <v>-0.41</v>
      </c>
      <c r="CO3935">
        <v>66</v>
      </c>
      <c r="CP3935">
        <v>-8.8000000000000007</v>
      </c>
      <c r="CQ3935">
        <v>76</v>
      </c>
      <c r="CR3935">
        <v>0</v>
      </c>
      <c r="CS3935">
        <v>0</v>
      </c>
      <c r="CT3935">
        <v>-11.3</v>
      </c>
      <c r="CU3935">
        <v>65</v>
      </c>
      <c r="CV3935">
        <v>0.06</v>
      </c>
      <c r="CW3935">
        <v>40</v>
      </c>
      <c r="CX3935" t="s">
        <v>10674</v>
      </c>
    </row>
    <row r="3936" spans="1:102" x14ac:dyDescent="0.3">
      <c r="A3936" t="str">
        <f>HYPERLINK("https://webapp.icbf.com/v2/app/bull-search/view/138800561","IRL")</f>
        <v>IRL</v>
      </c>
      <c r="B3936" t="s">
        <v>9691</v>
      </c>
      <c r="C3936" t="s">
        <v>9692</v>
      </c>
      <c r="D3936" s="1">
        <v>35899</v>
      </c>
      <c r="E3936" t="s">
        <v>92</v>
      </c>
      <c r="F3936">
        <v>100</v>
      </c>
      <c r="G3936" t="s">
        <v>93</v>
      </c>
      <c r="H3936">
        <v>-74.319999999999993</v>
      </c>
      <c r="I3936">
        <v>98</v>
      </c>
      <c r="J3936">
        <v>19.18</v>
      </c>
      <c r="K3936">
        <v>99</v>
      </c>
      <c r="L3936">
        <v>-49.83</v>
      </c>
      <c r="M3936">
        <v>96</v>
      </c>
      <c r="N3936">
        <v>-34.770000000000003</v>
      </c>
      <c r="O3936">
        <v>99</v>
      </c>
      <c r="P3936">
        <v>0.04</v>
      </c>
      <c r="Q3936">
        <v>99</v>
      </c>
      <c r="R3936">
        <v>-1.36</v>
      </c>
      <c r="S3936">
        <v>98</v>
      </c>
      <c r="T3936">
        <v>12.05</v>
      </c>
      <c r="U3936">
        <v>99</v>
      </c>
      <c r="V3936">
        <v>-19.63</v>
      </c>
      <c r="W3936">
        <v>98</v>
      </c>
      <c r="X3936" t="s">
        <v>94</v>
      </c>
      <c r="Y3936" t="s">
        <v>95</v>
      </c>
      <c r="Z3936" t="s">
        <v>96</v>
      </c>
      <c r="AA3936" t="s">
        <v>643</v>
      </c>
      <c r="AB3936" t="s">
        <v>9693</v>
      </c>
      <c r="AC3936">
        <v>3185</v>
      </c>
      <c r="AD3936">
        <v>1346</v>
      </c>
      <c r="AE3936">
        <v>99</v>
      </c>
      <c r="AF3936">
        <v>32.1</v>
      </c>
      <c r="AG3936">
        <v>3.77</v>
      </c>
      <c r="AH3936">
        <v>2.42</v>
      </c>
      <c r="AI3936">
        <v>0.04</v>
      </c>
      <c r="AJ3936">
        <v>0.02</v>
      </c>
      <c r="AK3936">
        <v>96</v>
      </c>
      <c r="AL3936">
        <v>3596</v>
      </c>
      <c r="AM3936">
        <v>1595</v>
      </c>
      <c r="AN3936">
        <v>3.01</v>
      </c>
      <c r="AO3936">
        <v>-0.96</v>
      </c>
      <c r="AP3936">
        <v>5021</v>
      </c>
      <c r="AQ3936">
        <v>22</v>
      </c>
      <c r="AR3936">
        <v>12.03</v>
      </c>
      <c r="AS3936">
        <v>97</v>
      </c>
      <c r="AT3936">
        <v>5.05</v>
      </c>
      <c r="AU3936">
        <v>99</v>
      </c>
      <c r="AV3936">
        <v>0.55000000000000004</v>
      </c>
      <c r="AW3936">
        <v>99</v>
      </c>
      <c r="AX3936">
        <v>-0.25</v>
      </c>
      <c r="AY3936">
        <v>99</v>
      </c>
      <c r="AZ3936">
        <v>5.26</v>
      </c>
      <c r="BA3936">
        <v>97</v>
      </c>
      <c r="BB3936">
        <v>4.4000000000000004</v>
      </c>
      <c r="BC3936">
        <v>98</v>
      </c>
      <c r="BD3936">
        <v>-0.01</v>
      </c>
      <c r="BE3936">
        <v>0.02</v>
      </c>
      <c r="BF3936">
        <v>0.01</v>
      </c>
      <c r="BG3936">
        <v>99</v>
      </c>
      <c r="BH3936">
        <v>-0.34</v>
      </c>
      <c r="BI3936">
        <v>23.98</v>
      </c>
      <c r="BJ3936">
        <v>140</v>
      </c>
      <c r="BK3936">
        <v>90</v>
      </c>
      <c r="BL3936">
        <v>-7.0000000000000007E-2</v>
      </c>
      <c r="BM3936">
        <v>-0.56999999999999995</v>
      </c>
      <c r="BN3936">
        <v>-0.87</v>
      </c>
      <c r="BO3936">
        <v>-0.31</v>
      </c>
      <c r="BP3936">
        <v>2.0499999999999998</v>
      </c>
      <c r="BQ3936">
        <v>-1.73</v>
      </c>
      <c r="BR3936">
        <v>1.06</v>
      </c>
      <c r="BS3936">
        <v>0.25</v>
      </c>
      <c r="BT3936">
        <v>0.04</v>
      </c>
      <c r="BU3936">
        <v>-0.77</v>
      </c>
      <c r="BV3936">
        <v>-0.32</v>
      </c>
      <c r="BW3936">
        <v>0.21</v>
      </c>
      <c r="BX3936">
        <v>-0.52</v>
      </c>
      <c r="BY3936">
        <v>-0.15</v>
      </c>
      <c r="BZ3936">
        <v>-0.81</v>
      </c>
      <c r="CA3936">
        <v>-0.43</v>
      </c>
      <c r="CB3936">
        <v>-0.25</v>
      </c>
      <c r="CC3936">
        <v>-0.55000000000000004</v>
      </c>
      <c r="CD3936">
        <v>-0.04</v>
      </c>
      <c r="CE3936">
        <v>-0.23</v>
      </c>
      <c r="CF3936">
        <v>-0.64</v>
      </c>
      <c r="CG3936">
        <v>0</v>
      </c>
      <c r="CH3936">
        <v>-0.01</v>
      </c>
      <c r="CI3936">
        <v>0</v>
      </c>
      <c r="CJ3936">
        <v>0.1</v>
      </c>
      <c r="CK3936">
        <v>99</v>
      </c>
      <c r="CL3936">
        <v>-0.37</v>
      </c>
      <c r="CM3936">
        <v>99</v>
      </c>
      <c r="CN3936">
        <v>-0.37</v>
      </c>
      <c r="CO3936">
        <v>99</v>
      </c>
      <c r="CP3936">
        <v>-4.0999999999999996</v>
      </c>
      <c r="CQ3936">
        <v>99</v>
      </c>
      <c r="CR3936">
        <v>0</v>
      </c>
      <c r="CS3936">
        <v>0</v>
      </c>
      <c r="CT3936">
        <v>-2.5</v>
      </c>
      <c r="CU3936">
        <v>99</v>
      </c>
      <c r="CV3936">
        <v>0.06</v>
      </c>
      <c r="CW3936">
        <v>47</v>
      </c>
      <c r="CX3936" t="s">
        <v>6611</v>
      </c>
    </row>
    <row r="3937" spans="1:102" x14ac:dyDescent="0.3">
      <c r="A3937" t="str">
        <f>HYPERLINK("https://webapp.icbf.com/v2/app/bull-search/view/77854216","S114")</f>
        <v>S114</v>
      </c>
      <c r="B3937" t="s">
        <v>144</v>
      </c>
      <c r="C3937" t="s">
        <v>9888</v>
      </c>
      <c r="D3937" s="1">
        <v>35115</v>
      </c>
      <c r="E3937" t="s">
        <v>92</v>
      </c>
      <c r="F3937">
        <v>100</v>
      </c>
      <c r="G3937" t="s">
        <v>93</v>
      </c>
      <c r="H3937">
        <v>-74.36</v>
      </c>
      <c r="I3937">
        <v>58</v>
      </c>
      <c r="J3937">
        <v>-14.59</v>
      </c>
      <c r="K3937">
        <v>79</v>
      </c>
      <c r="L3937">
        <v>-46.02</v>
      </c>
      <c r="M3937">
        <v>45</v>
      </c>
      <c r="N3937">
        <v>-2.34</v>
      </c>
      <c r="O3937">
        <v>44</v>
      </c>
      <c r="P3937">
        <v>-9.69</v>
      </c>
      <c r="Q3937">
        <v>61</v>
      </c>
      <c r="R3937">
        <v>-11.48</v>
      </c>
      <c r="S3937">
        <v>49</v>
      </c>
      <c r="T3937">
        <v>9.61</v>
      </c>
      <c r="U3937">
        <v>51</v>
      </c>
      <c r="V3937">
        <v>0.15</v>
      </c>
      <c r="W3937">
        <v>32</v>
      </c>
      <c r="X3937" t="s">
        <v>110</v>
      </c>
      <c r="Y3937" t="s">
        <v>545</v>
      </c>
      <c r="Z3937" t="s">
        <v>96</v>
      </c>
      <c r="AA3937" t="s">
        <v>1008</v>
      </c>
      <c r="AB3937" t="s">
        <v>9889</v>
      </c>
      <c r="AC3937">
        <v>15</v>
      </c>
      <c r="AD3937">
        <v>6</v>
      </c>
      <c r="AE3937">
        <v>79</v>
      </c>
      <c r="AF3937">
        <v>112.43</v>
      </c>
      <c r="AG3937">
        <v>-4.2699999999999996</v>
      </c>
      <c r="AH3937">
        <v>0.75</v>
      </c>
      <c r="AI3937">
        <v>-0.14000000000000001</v>
      </c>
      <c r="AJ3937">
        <v>-0.05</v>
      </c>
      <c r="AK3937">
        <v>45</v>
      </c>
      <c r="AL3937">
        <v>14</v>
      </c>
      <c r="AM3937">
        <v>8</v>
      </c>
      <c r="AN3937">
        <v>3.26</v>
      </c>
      <c r="AO3937">
        <v>-0.4</v>
      </c>
      <c r="AP3937">
        <v>10</v>
      </c>
      <c r="AQ3937">
        <v>0</v>
      </c>
      <c r="AR3937">
        <v>10.210000000000001</v>
      </c>
      <c r="AS3937">
        <v>34</v>
      </c>
      <c r="AT3937">
        <v>4.22</v>
      </c>
      <c r="AU3937">
        <v>50</v>
      </c>
      <c r="AV3937">
        <v>-1.5</v>
      </c>
      <c r="AW3937">
        <v>43</v>
      </c>
      <c r="AX3937">
        <v>-0.49</v>
      </c>
      <c r="AY3937">
        <v>47</v>
      </c>
      <c r="AZ3937">
        <v>5.23</v>
      </c>
      <c r="BA3937">
        <v>33</v>
      </c>
      <c r="BB3937">
        <v>4.67</v>
      </c>
      <c r="BC3937">
        <v>40</v>
      </c>
      <c r="BD3937">
        <v>0.03</v>
      </c>
      <c r="BE3937">
        <v>0.06</v>
      </c>
      <c r="BF3937">
        <v>0.1</v>
      </c>
      <c r="BG3937">
        <v>58</v>
      </c>
      <c r="BH3937">
        <v>0.01</v>
      </c>
      <c r="BI3937">
        <v>0.66</v>
      </c>
      <c r="BJ3937">
        <v>0</v>
      </c>
      <c r="BK3937">
        <v>0</v>
      </c>
      <c r="BL3937">
        <v>0.67</v>
      </c>
      <c r="BM3937">
        <v>0.72</v>
      </c>
      <c r="BN3937">
        <v>1.27</v>
      </c>
      <c r="BO3937">
        <v>0.45</v>
      </c>
      <c r="BP3937">
        <v>-0.56000000000000005</v>
      </c>
      <c r="BQ3937">
        <v>0.48</v>
      </c>
      <c r="BR3937">
        <v>-0.31</v>
      </c>
      <c r="BS3937">
        <v>0.05</v>
      </c>
      <c r="BT3937">
        <v>0.77</v>
      </c>
      <c r="BU3937">
        <v>-0.42</v>
      </c>
      <c r="BV3937">
        <v>-0.11</v>
      </c>
      <c r="BW3937">
        <v>0.49</v>
      </c>
      <c r="BX3937">
        <v>-0.15</v>
      </c>
      <c r="BY3937">
        <v>-0.33</v>
      </c>
      <c r="BZ3937">
        <v>0.27</v>
      </c>
      <c r="CA3937">
        <v>0.12</v>
      </c>
      <c r="CB3937">
        <v>0</v>
      </c>
      <c r="CC3937">
        <v>0.43</v>
      </c>
      <c r="CD3937">
        <v>-0.21</v>
      </c>
      <c r="CE3937">
        <v>0.41</v>
      </c>
      <c r="CF3937">
        <v>0.81</v>
      </c>
      <c r="CG3937">
        <v>0</v>
      </c>
      <c r="CH3937">
        <v>-0.18</v>
      </c>
      <c r="CI3937">
        <v>0</v>
      </c>
      <c r="CJ3937">
        <v>-0.2</v>
      </c>
      <c r="CK3937">
        <v>63</v>
      </c>
      <c r="CL3937">
        <v>-0.81</v>
      </c>
      <c r="CM3937">
        <v>60</v>
      </c>
      <c r="CN3937">
        <v>0</v>
      </c>
      <c r="CO3937">
        <v>56</v>
      </c>
      <c r="CP3937">
        <v>-7</v>
      </c>
      <c r="CQ3937">
        <v>64</v>
      </c>
      <c r="CR3937">
        <v>0</v>
      </c>
      <c r="CS3937">
        <v>0</v>
      </c>
      <c r="CT3937">
        <v>0.8</v>
      </c>
      <c r="CU3937">
        <v>51</v>
      </c>
      <c r="CV3937">
        <v>0.34</v>
      </c>
      <c r="CW3937">
        <v>17</v>
      </c>
      <c r="CX3937" t="s">
        <v>118</v>
      </c>
    </row>
    <row r="3938" spans="1:102" x14ac:dyDescent="0.3">
      <c r="A3938" t="str">
        <f>HYPERLINK("https://webapp.icbf.com/v2/app/bull-search/view/77859736","BKE")</f>
        <v>BKE</v>
      </c>
      <c r="B3938" t="s">
        <v>10804</v>
      </c>
      <c r="C3938" t="s">
        <v>10805</v>
      </c>
      <c r="D3938" s="1">
        <v>34243</v>
      </c>
      <c r="E3938" t="s">
        <v>92</v>
      </c>
      <c r="F3938">
        <v>100</v>
      </c>
      <c r="G3938" t="s">
        <v>93</v>
      </c>
      <c r="H3938">
        <v>-74.45</v>
      </c>
      <c r="I3938">
        <v>69</v>
      </c>
      <c r="J3938">
        <v>-10.01</v>
      </c>
      <c r="K3938">
        <v>89</v>
      </c>
      <c r="L3938">
        <v>-50.03</v>
      </c>
      <c r="M3938">
        <v>59</v>
      </c>
      <c r="N3938">
        <v>-17.440000000000001</v>
      </c>
      <c r="O3938">
        <v>55</v>
      </c>
      <c r="P3938">
        <v>-12.99</v>
      </c>
      <c r="Q3938">
        <v>71</v>
      </c>
      <c r="R3938">
        <v>-5.5</v>
      </c>
      <c r="S3938">
        <v>62</v>
      </c>
      <c r="T3938">
        <v>24.85</v>
      </c>
      <c r="U3938">
        <v>66</v>
      </c>
      <c r="V3938">
        <v>-3.33</v>
      </c>
      <c r="W3938">
        <v>37</v>
      </c>
      <c r="X3938" t="s">
        <v>94</v>
      </c>
      <c r="Y3938" t="s">
        <v>95</v>
      </c>
      <c r="Z3938" t="s">
        <v>96</v>
      </c>
      <c r="AA3938" t="s">
        <v>152</v>
      </c>
      <c r="AB3938" t="s">
        <v>10806</v>
      </c>
      <c r="AC3938">
        <v>44</v>
      </c>
      <c r="AD3938">
        <v>47</v>
      </c>
      <c r="AE3938">
        <v>89</v>
      </c>
      <c r="AF3938">
        <v>266.74</v>
      </c>
      <c r="AG3938">
        <v>-3.56</v>
      </c>
      <c r="AH3938">
        <v>3.64</v>
      </c>
      <c r="AI3938">
        <v>-0.22</v>
      </c>
      <c r="AJ3938">
        <v>-0.09</v>
      </c>
      <c r="AK3938">
        <v>59</v>
      </c>
      <c r="AL3938">
        <v>67</v>
      </c>
      <c r="AM3938">
        <v>57</v>
      </c>
      <c r="AN3938">
        <v>3.5</v>
      </c>
      <c r="AO3938">
        <v>-0.48</v>
      </c>
      <c r="AP3938">
        <v>5</v>
      </c>
      <c r="AQ3938">
        <v>0</v>
      </c>
      <c r="AR3938">
        <v>9.4600000000000009</v>
      </c>
      <c r="AS3938">
        <v>31</v>
      </c>
      <c r="AT3938">
        <v>3.82</v>
      </c>
      <c r="AU3938">
        <v>50</v>
      </c>
      <c r="AV3938">
        <v>-0.77</v>
      </c>
      <c r="AW3938">
        <v>66</v>
      </c>
      <c r="AX3938">
        <v>-0.23</v>
      </c>
      <c r="AY3938">
        <v>64</v>
      </c>
      <c r="AZ3938">
        <v>8.33</v>
      </c>
      <c r="BA3938">
        <v>32</v>
      </c>
      <c r="BB3938">
        <v>6.59</v>
      </c>
      <c r="BC3938">
        <v>46</v>
      </c>
      <c r="BD3938">
        <v>0.02</v>
      </c>
      <c r="BE3938">
        <v>7.0000000000000007E-2</v>
      </c>
      <c r="BF3938">
        <v>-0.04</v>
      </c>
      <c r="BG3938">
        <v>79</v>
      </c>
      <c r="BH3938">
        <v>0.03</v>
      </c>
      <c r="BI3938">
        <v>14.22</v>
      </c>
      <c r="BJ3938">
        <v>15</v>
      </c>
      <c r="BK3938">
        <v>15</v>
      </c>
      <c r="BL3938">
        <v>-0.84</v>
      </c>
      <c r="BM3938">
        <v>-1.22</v>
      </c>
      <c r="BN3938">
        <v>-0.85</v>
      </c>
      <c r="BO3938">
        <v>0.12</v>
      </c>
      <c r="BP3938">
        <v>-0.03</v>
      </c>
      <c r="BQ3938">
        <v>-1.89</v>
      </c>
      <c r="BR3938">
        <v>-0.38</v>
      </c>
      <c r="BS3938">
        <v>0.27</v>
      </c>
      <c r="BT3938">
        <v>0.56999999999999995</v>
      </c>
      <c r="BU3938">
        <v>-0.19</v>
      </c>
      <c r="BV3938">
        <v>0.51</v>
      </c>
      <c r="BW3938">
        <v>0.56000000000000005</v>
      </c>
      <c r="BX3938">
        <v>-0.26</v>
      </c>
      <c r="BY3938">
        <v>-0.11</v>
      </c>
      <c r="BZ3938">
        <v>1.33</v>
      </c>
      <c r="CA3938">
        <v>0.38</v>
      </c>
      <c r="CB3938">
        <v>0.42</v>
      </c>
      <c r="CC3938">
        <v>0.77</v>
      </c>
      <c r="CD3938">
        <v>-0.88</v>
      </c>
      <c r="CE3938">
        <v>0.27</v>
      </c>
      <c r="CF3938">
        <v>-1.3</v>
      </c>
      <c r="CG3938">
        <v>0</v>
      </c>
      <c r="CH3938">
        <v>0.72</v>
      </c>
      <c r="CI3938">
        <v>0</v>
      </c>
      <c r="CJ3938">
        <v>-7.8</v>
      </c>
      <c r="CK3938">
        <v>73</v>
      </c>
      <c r="CL3938">
        <v>-0.24</v>
      </c>
      <c r="CM3938">
        <v>69</v>
      </c>
      <c r="CN3938">
        <v>-0.17</v>
      </c>
      <c r="CO3938">
        <v>65</v>
      </c>
      <c r="CP3938">
        <v>-11.6</v>
      </c>
      <c r="CQ3938">
        <v>77</v>
      </c>
      <c r="CR3938">
        <v>0</v>
      </c>
      <c r="CS3938">
        <v>0</v>
      </c>
      <c r="CT3938">
        <v>-19.8</v>
      </c>
      <c r="CU3938">
        <v>66</v>
      </c>
      <c r="CV3938">
        <v>-7.0000000000000007E-2</v>
      </c>
      <c r="CW3938">
        <v>20</v>
      </c>
      <c r="CX3938" t="s">
        <v>111</v>
      </c>
    </row>
    <row r="3939" spans="1:102" x14ac:dyDescent="0.3">
      <c r="A3939" t="str">
        <f>HYPERLINK("https://webapp.icbf.com/v2/app/bull-search/view/131680358","DIC")</f>
        <v>DIC</v>
      </c>
      <c r="B3939" t="s">
        <v>2446</v>
      </c>
      <c r="C3939" t="s">
        <v>2447</v>
      </c>
      <c r="D3939" s="1">
        <v>32423</v>
      </c>
      <c r="E3939" t="s">
        <v>92</v>
      </c>
      <c r="F3939">
        <v>100</v>
      </c>
      <c r="G3939" t="s">
        <v>109</v>
      </c>
      <c r="H3939">
        <v>-74.489999999999995</v>
      </c>
      <c r="I3939">
        <v>78</v>
      </c>
      <c r="J3939">
        <v>-12.86</v>
      </c>
      <c r="K3939">
        <v>92</v>
      </c>
      <c r="L3939">
        <v>-78.760000000000005</v>
      </c>
      <c r="M3939">
        <v>81</v>
      </c>
      <c r="N3939">
        <v>17.239999999999998</v>
      </c>
      <c r="O3939">
        <v>52</v>
      </c>
      <c r="P3939">
        <v>-12.55</v>
      </c>
      <c r="Q3939">
        <v>77</v>
      </c>
      <c r="R3939">
        <v>-8.5399999999999991</v>
      </c>
      <c r="S3939">
        <v>66</v>
      </c>
      <c r="T3939">
        <v>21.08</v>
      </c>
      <c r="U3939">
        <v>74</v>
      </c>
      <c r="V3939">
        <v>-0.1</v>
      </c>
      <c r="W3939">
        <v>23</v>
      </c>
      <c r="X3939" t="s">
        <v>102</v>
      </c>
      <c r="Y3939" t="s">
        <v>95</v>
      </c>
      <c r="Z3939" t="s">
        <v>96</v>
      </c>
      <c r="AA3939" t="s">
        <v>158</v>
      </c>
      <c r="AB3939" t="s">
        <v>2448</v>
      </c>
      <c r="AC3939">
        <v>46</v>
      </c>
      <c r="AD3939">
        <v>28</v>
      </c>
      <c r="AE3939">
        <v>92</v>
      </c>
      <c r="AF3939">
        <v>-196.17</v>
      </c>
      <c r="AG3939">
        <v>3.31</v>
      </c>
      <c r="AH3939">
        <v>-6.36</v>
      </c>
      <c r="AI3939">
        <v>0.19</v>
      </c>
      <c r="AJ3939">
        <v>0.01</v>
      </c>
      <c r="AK3939">
        <v>81</v>
      </c>
      <c r="AL3939">
        <v>47</v>
      </c>
      <c r="AM3939">
        <v>29</v>
      </c>
      <c r="AN3939">
        <v>5.14</v>
      </c>
      <c r="AO3939">
        <v>-1.1299999999999999</v>
      </c>
      <c r="AP3939">
        <v>26</v>
      </c>
      <c r="AQ3939">
        <v>0</v>
      </c>
      <c r="AR3939">
        <v>5.49</v>
      </c>
      <c r="AS3939">
        <v>44</v>
      </c>
      <c r="AT3939">
        <v>2.84</v>
      </c>
      <c r="AU3939">
        <v>59</v>
      </c>
      <c r="AV3939">
        <v>-1.22</v>
      </c>
      <c r="AW3939">
        <v>50</v>
      </c>
      <c r="AX3939">
        <v>-0.47</v>
      </c>
      <c r="AY3939">
        <v>68</v>
      </c>
      <c r="AZ3939">
        <v>6.23</v>
      </c>
      <c r="BA3939">
        <v>28</v>
      </c>
      <c r="BB3939">
        <v>5.29</v>
      </c>
      <c r="BC3939">
        <v>44</v>
      </c>
      <c r="BD3939">
        <v>0.02</v>
      </c>
      <c r="BE3939">
        <v>7.0000000000000007E-2</v>
      </c>
      <c r="BF3939">
        <v>0.03</v>
      </c>
      <c r="BG3939">
        <v>87</v>
      </c>
      <c r="BH3939">
        <v>0.09</v>
      </c>
      <c r="BI3939">
        <v>10.74</v>
      </c>
      <c r="BJ3939">
        <v>1</v>
      </c>
      <c r="BK3939">
        <v>1</v>
      </c>
      <c r="BL3939">
        <v>0.01</v>
      </c>
      <c r="BM3939">
        <v>-1.1599999999999999</v>
      </c>
      <c r="BN3939">
        <v>-0.87</v>
      </c>
      <c r="BO3939">
        <v>0.09</v>
      </c>
      <c r="BP3939">
        <v>-0.11</v>
      </c>
      <c r="BQ3939">
        <v>0.03</v>
      </c>
      <c r="BR3939">
        <v>-1.67</v>
      </c>
      <c r="BS3939">
        <v>-0.16</v>
      </c>
      <c r="BT3939">
        <v>1.92</v>
      </c>
      <c r="BU3939">
        <v>-0.06</v>
      </c>
      <c r="BV3939">
        <v>0.04</v>
      </c>
      <c r="BW3939">
        <v>0.08</v>
      </c>
      <c r="BX3939">
        <v>0.28999999999999998</v>
      </c>
      <c r="BY3939">
        <v>0.26</v>
      </c>
      <c r="BZ3939">
        <v>-0.64</v>
      </c>
      <c r="CA3939">
        <v>-0.51</v>
      </c>
      <c r="CB3939">
        <v>-0.69</v>
      </c>
      <c r="CC3939">
        <v>-0.01</v>
      </c>
      <c r="CD3939">
        <v>-0.56000000000000005</v>
      </c>
      <c r="CE3939">
        <v>0.52</v>
      </c>
      <c r="CF3939">
        <v>0.37</v>
      </c>
      <c r="CG3939">
        <v>0</v>
      </c>
      <c r="CH3939">
        <v>-0.06</v>
      </c>
      <c r="CI3939">
        <v>0</v>
      </c>
      <c r="CJ3939">
        <v>-6.8</v>
      </c>
      <c r="CK3939">
        <v>79</v>
      </c>
      <c r="CL3939">
        <v>-0.52</v>
      </c>
      <c r="CM3939">
        <v>76</v>
      </c>
      <c r="CN3939">
        <v>-0.32</v>
      </c>
      <c r="CO3939">
        <v>72</v>
      </c>
      <c r="CP3939">
        <v>-10.3</v>
      </c>
      <c r="CQ3939">
        <v>78</v>
      </c>
      <c r="CR3939">
        <v>0</v>
      </c>
      <c r="CS3939">
        <v>0</v>
      </c>
      <c r="CT3939">
        <v>-14.7</v>
      </c>
      <c r="CU3939">
        <v>74</v>
      </c>
      <c r="CV3939">
        <v>0.01</v>
      </c>
      <c r="CW3939">
        <v>22</v>
      </c>
      <c r="CX3939" t="s">
        <v>707</v>
      </c>
    </row>
    <row r="3940" spans="1:102" x14ac:dyDescent="0.3">
      <c r="A3940" t="str">
        <f>HYPERLINK("https://webapp.icbf.com/v2/app/bull-search/view/122808758","NKP")</f>
        <v>NKP</v>
      </c>
      <c r="B3940" t="s">
        <v>998</v>
      </c>
      <c r="C3940" t="s">
        <v>999</v>
      </c>
      <c r="D3940" s="1">
        <v>31914</v>
      </c>
      <c r="E3940" t="s">
        <v>92</v>
      </c>
      <c r="F3940">
        <v>100</v>
      </c>
      <c r="G3940" t="s">
        <v>93</v>
      </c>
      <c r="H3940">
        <v>-74.64</v>
      </c>
      <c r="I3940">
        <v>95</v>
      </c>
      <c r="J3940">
        <v>11.42</v>
      </c>
      <c r="K3940">
        <v>99</v>
      </c>
      <c r="L3940">
        <v>-84.03</v>
      </c>
      <c r="M3940">
        <v>95</v>
      </c>
      <c r="N3940">
        <v>-1.56</v>
      </c>
      <c r="O3940">
        <v>92</v>
      </c>
      <c r="P3940">
        <v>-9.3000000000000007</v>
      </c>
      <c r="Q3940">
        <v>96</v>
      </c>
      <c r="R3940">
        <v>-10.24</v>
      </c>
      <c r="S3940">
        <v>90</v>
      </c>
      <c r="T3940">
        <v>12.64</v>
      </c>
      <c r="U3940">
        <v>95</v>
      </c>
      <c r="V3940">
        <v>6.43</v>
      </c>
      <c r="W3940">
        <v>83</v>
      </c>
      <c r="X3940" t="s">
        <v>102</v>
      </c>
      <c r="Y3940" t="s">
        <v>95</v>
      </c>
      <c r="Z3940" t="s">
        <v>96</v>
      </c>
      <c r="AA3940" t="s">
        <v>128</v>
      </c>
      <c r="AB3940" t="s">
        <v>1000</v>
      </c>
      <c r="AC3940">
        <v>543</v>
      </c>
      <c r="AD3940">
        <v>296</v>
      </c>
      <c r="AE3940">
        <v>99</v>
      </c>
      <c r="AF3940">
        <v>333.82</v>
      </c>
      <c r="AG3940">
        <v>4.95</v>
      </c>
      <c r="AH3940">
        <v>5.3</v>
      </c>
      <c r="AI3940">
        <v>-0.13</v>
      </c>
      <c r="AJ3940">
        <v>-0.1</v>
      </c>
      <c r="AK3940">
        <v>95</v>
      </c>
      <c r="AL3940">
        <v>750</v>
      </c>
      <c r="AM3940">
        <v>354</v>
      </c>
      <c r="AN3940">
        <v>5.45</v>
      </c>
      <c r="AO3940">
        <v>-1.24</v>
      </c>
      <c r="AP3940">
        <v>7</v>
      </c>
      <c r="AQ3940">
        <v>0</v>
      </c>
      <c r="AR3940">
        <v>8.33</v>
      </c>
      <c r="AS3940">
        <v>83</v>
      </c>
      <c r="AT3940">
        <v>3.47</v>
      </c>
      <c r="AU3940">
        <v>96</v>
      </c>
      <c r="AV3940">
        <v>-0.13</v>
      </c>
      <c r="AW3940">
        <v>92</v>
      </c>
      <c r="AX3940">
        <v>-0.33</v>
      </c>
      <c r="AY3940">
        <v>95</v>
      </c>
      <c r="AZ3940">
        <v>5.65</v>
      </c>
      <c r="BA3940">
        <v>79</v>
      </c>
      <c r="BB3940">
        <v>4.88</v>
      </c>
      <c r="BC3940">
        <v>88</v>
      </c>
      <c r="BD3940">
        <v>0.05</v>
      </c>
      <c r="BE3940">
        <v>0.08</v>
      </c>
      <c r="BF3940">
        <v>0</v>
      </c>
      <c r="BG3940">
        <v>98</v>
      </c>
      <c r="BH3940">
        <v>0.23</v>
      </c>
      <c r="BI3940">
        <v>5.88</v>
      </c>
      <c r="BJ3940">
        <v>63</v>
      </c>
      <c r="BK3940">
        <v>44</v>
      </c>
      <c r="BL3940">
        <v>-0.06</v>
      </c>
      <c r="BM3940">
        <v>-0.27</v>
      </c>
      <c r="BN3940">
        <v>-0.43</v>
      </c>
      <c r="BO3940">
        <v>-0.16</v>
      </c>
      <c r="BP3940">
        <v>-0.47</v>
      </c>
      <c r="BQ3940">
        <v>0.43</v>
      </c>
      <c r="BR3940">
        <v>0.23</v>
      </c>
      <c r="BS3940">
        <v>-1.9</v>
      </c>
      <c r="BT3940">
        <v>0.34</v>
      </c>
      <c r="BU3940">
        <v>-2.12</v>
      </c>
      <c r="BV3940">
        <v>-0.24</v>
      </c>
      <c r="BW3940">
        <v>-1.24</v>
      </c>
      <c r="BX3940">
        <v>-2.0299999999999998</v>
      </c>
      <c r="BY3940">
        <v>-1.43</v>
      </c>
      <c r="BZ3940">
        <v>-0.05</v>
      </c>
      <c r="CA3940">
        <v>-1.68</v>
      </c>
      <c r="CB3940">
        <v>-1.24</v>
      </c>
      <c r="CC3940">
        <v>-1.96</v>
      </c>
      <c r="CD3940">
        <v>0.05</v>
      </c>
      <c r="CE3940">
        <v>0.01</v>
      </c>
      <c r="CF3940">
        <v>-0.66</v>
      </c>
      <c r="CG3940">
        <v>0</v>
      </c>
      <c r="CH3940">
        <v>-1.46</v>
      </c>
      <c r="CI3940">
        <v>0</v>
      </c>
      <c r="CJ3940">
        <v>-3.3</v>
      </c>
      <c r="CK3940">
        <v>96</v>
      </c>
      <c r="CL3940">
        <v>-0.51</v>
      </c>
      <c r="CM3940">
        <v>95</v>
      </c>
      <c r="CN3940">
        <v>-0.17</v>
      </c>
      <c r="CO3940">
        <v>94</v>
      </c>
      <c r="CP3940">
        <v>-9.8000000000000007</v>
      </c>
      <c r="CQ3940">
        <v>97</v>
      </c>
      <c r="CR3940">
        <v>0</v>
      </c>
      <c r="CS3940">
        <v>0</v>
      </c>
      <c r="CT3940">
        <v>-3.3</v>
      </c>
      <c r="CU3940">
        <v>95</v>
      </c>
      <c r="CV3940">
        <v>0.13</v>
      </c>
      <c r="CW3940">
        <v>46</v>
      </c>
      <c r="CX3940" t="s">
        <v>806</v>
      </c>
    </row>
    <row r="3941" spans="1:102" x14ac:dyDescent="0.3">
      <c r="A3941" t="str">
        <f>HYPERLINK("https://webapp.icbf.com/v2/app/bull-search/view/77855410","LTC")</f>
        <v>LTC</v>
      </c>
      <c r="B3941" t="s">
        <v>3148</v>
      </c>
      <c r="C3941" t="s">
        <v>3149</v>
      </c>
      <c r="D3941" s="1">
        <v>34839</v>
      </c>
      <c r="E3941" t="s">
        <v>92</v>
      </c>
      <c r="F3941">
        <v>100</v>
      </c>
      <c r="G3941" t="s">
        <v>93</v>
      </c>
      <c r="H3941">
        <v>-74.98</v>
      </c>
      <c r="I3941">
        <v>89</v>
      </c>
      <c r="J3941">
        <v>-14.55</v>
      </c>
      <c r="K3941">
        <v>98</v>
      </c>
      <c r="L3941">
        <v>-75.819999999999993</v>
      </c>
      <c r="M3941">
        <v>84</v>
      </c>
      <c r="N3941">
        <v>23.34</v>
      </c>
      <c r="O3941">
        <v>82</v>
      </c>
      <c r="P3941">
        <v>-9.8000000000000007</v>
      </c>
      <c r="Q3941">
        <v>91</v>
      </c>
      <c r="R3941">
        <v>-18.27</v>
      </c>
      <c r="S3941">
        <v>82</v>
      </c>
      <c r="T3941">
        <v>20.34</v>
      </c>
      <c r="U3941">
        <v>92</v>
      </c>
      <c r="V3941">
        <v>-0.22</v>
      </c>
      <c r="W3941">
        <v>71</v>
      </c>
      <c r="X3941" t="s">
        <v>94</v>
      </c>
      <c r="Y3941" t="s">
        <v>95</v>
      </c>
      <c r="Z3941" t="s">
        <v>96</v>
      </c>
      <c r="AA3941" t="s">
        <v>265</v>
      </c>
      <c r="AB3941" t="s">
        <v>3150</v>
      </c>
      <c r="AC3941">
        <v>173</v>
      </c>
      <c r="AD3941">
        <v>125</v>
      </c>
      <c r="AE3941">
        <v>98</v>
      </c>
      <c r="AF3941">
        <v>-27.88</v>
      </c>
      <c r="AG3941">
        <v>-3.65</v>
      </c>
      <c r="AH3941">
        <v>-1.61</v>
      </c>
      <c r="AI3941">
        <v>-0.05</v>
      </c>
      <c r="AJ3941">
        <v>-0.01</v>
      </c>
      <c r="AK3941">
        <v>84</v>
      </c>
      <c r="AL3941">
        <v>185</v>
      </c>
      <c r="AM3941">
        <v>132</v>
      </c>
      <c r="AN3941">
        <v>3.88</v>
      </c>
      <c r="AO3941">
        <v>-2.17</v>
      </c>
      <c r="AP3941">
        <v>11</v>
      </c>
      <c r="AQ3941">
        <v>0</v>
      </c>
      <c r="AR3941">
        <v>4.92</v>
      </c>
      <c r="AS3941">
        <v>67</v>
      </c>
      <c r="AT3941">
        <v>2.56</v>
      </c>
      <c r="AU3941">
        <v>84</v>
      </c>
      <c r="AV3941">
        <v>-1.53</v>
      </c>
      <c r="AW3941">
        <v>86</v>
      </c>
      <c r="AX3941">
        <v>-0.44</v>
      </c>
      <c r="AY3941">
        <v>87</v>
      </c>
      <c r="AZ3941">
        <v>6.81</v>
      </c>
      <c r="BA3941">
        <v>61</v>
      </c>
      <c r="BB3941">
        <v>5.05</v>
      </c>
      <c r="BC3941">
        <v>77</v>
      </c>
      <c r="BD3941">
        <v>0.06</v>
      </c>
      <c r="BE3941">
        <v>0.1</v>
      </c>
      <c r="BF3941">
        <v>0.13</v>
      </c>
      <c r="BG3941">
        <v>93</v>
      </c>
      <c r="BH3941">
        <v>0.14000000000000001</v>
      </c>
      <c r="BI3941">
        <v>16.89</v>
      </c>
      <c r="BJ3941">
        <v>17</v>
      </c>
      <c r="BK3941">
        <v>10</v>
      </c>
      <c r="BL3941">
        <v>-0.88</v>
      </c>
      <c r="BM3941">
        <v>-1.97</v>
      </c>
      <c r="BN3941">
        <v>-1.1299999999999999</v>
      </c>
      <c r="BO3941">
        <v>-7.0000000000000007E-2</v>
      </c>
      <c r="BP3941">
        <v>-0.99</v>
      </c>
      <c r="BQ3941">
        <v>-1.51</v>
      </c>
      <c r="BR3941">
        <v>-0.66</v>
      </c>
      <c r="BS3941">
        <v>0.79</v>
      </c>
      <c r="BT3941">
        <v>-0.26</v>
      </c>
      <c r="BU3941">
        <v>1.07</v>
      </c>
      <c r="BV3941">
        <v>-0.13</v>
      </c>
      <c r="BW3941">
        <v>0.28000000000000003</v>
      </c>
      <c r="BX3941">
        <v>-0.33</v>
      </c>
      <c r="BY3941">
        <v>0.12</v>
      </c>
      <c r="BZ3941">
        <v>0.26</v>
      </c>
      <c r="CA3941">
        <v>0.44</v>
      </c>
      <c r="CB3941">
        <v>0.34</v>
      </c>
      <c r="CC3941">
        <v>0.34</v>
      </c>
      <c r="CD3941">
        <v>-0.94</v>
      </c>
      <c r="CE3941">
        <v>-0.14000000000000001</v>
      </c>
      <c r="CF3941">
        <v>-2.29</v>
      </c>
      <c r="CG3941">
        <v>0</v>
      </c>
      <c r="CH3941">
        <v>0.5</v>
      </c>
      <c r="CI3941">
        <v>0</v>
      </c>
      <c r="CJ3941">
        <v>-4</v>
      </c>
      <c r="CK3941">
        <v>91</v>
      </c>
      <c r="CL3941">
        <v>-0.69</v>
      </c>
      <c r="CM3941">
        <v>90</v>
      </c>
      <c r="CN3941">
        <v>-0.38</v>
      </c>
      <c r="CO3941">
        <v>88</v>
      </c>
      <c r="CP3941">
        <v>-10.7</v>
      </c>
      <c r="CQ3941">
        <v>93</v>
      </c>
      <c r="CR3941">
        <v>0</v>
      </c>
      <c r="CS3941">
        <v>0</v>
      </c>
      <c r="CT3941">
        <v>-13.7</v>
      </c>
      <c r="CU3941">
        <v>92</v>
      </c>
      <c r="CV3941">
        <v>0.06</v>
      </c>
      <c r="CW3941">
        <v>44</v>
      </c>
      <c r="CX3941" t="s">
        <v>161</v>
      </c>
    </row>
    <row r="3942" spans="1:102" x14ac:dyDescent="0.3">
      <c r="A3942" t="str">
        <f>HYPERLINK("https://webapp.icbf.com/v2/app/bull-search/view/660052166","S1516")</f>
        <v>S1516</v>
      </c>
      <c r="B3942" t="s">
        <v>5918</v>
      </c>
      <c r="C3942" t="s">
        <v>5919</v>
      </c>
      <c r="D3942" s="1">
        <v>38751</v>
      </c>
      <c r="E3942" t="s">
        <v>92</v>
      </c>
      <c r="F3942">
        <v>100</v>
      </c>
      <c r="G3942" t="s">
        <v>109</v>
      </c>
      <c r="H3942">
        <v>-75.069999999999993</v>
      </c>
      <c r="I3942">
        <v>64</v>
      </c>
      <c r="J3942">
        <v>21.33</v>
      </c>
      <c r="K3942">
        <v>82</v>
      </c>
      <c r="L3942">
        <v>-76.22</v>
      </c>
      <c r="M3942">
        <v>72</v>
      </c>
      <c r="N3942">
        <v>-13.86</v>
      </c>
      <c r="O3942">
        <v>50</v>
      </c>
      <c r="P3942">
        <v>-7.28</v>
      </c>
      <c r="Q3942">
        <v>32</v>
      </c>
      <c r="R3942">
        <v>4.45</v>
      </c>
      <c r="S3942">
        <v>59</v>
      </c>
      <c r="T3942">
        <v>-3.12</v>
      </c>
      <c r="U3942">
        <v>28</v>
      </c>
      <c r="V3942">
        <v>-0.37</v>
      </c>
      <c r="W3942">
        <v>26</v>
      </c>
      <c r="X3942" t="s">
        <v>234</v>
      </c>
      <c r="Y3942" t="s">
        <v>362</v>
      </c>
      <c r="Z3942" t="s">
        <v>96</v>
      </c>
      <c r="AA3942" t="s">
        <v>309</v>
      </c>
      <c r="AB3942" t="s">
        <v>5920</v>
      </c>
      <c r="AC3942">
        <v>0</v>
      </c>
      <c r="AD3942">
        <v>0</v>
      </c>
      <c r="AE3942">
        <v>82</v>
      </c>
      <c r="AF3942">
        <v>214.98</v>
      </c>
      <c r="AG3942">
        <v>8.42</v>
      </c>
      <c r="AH3942">
        <v>3.94</v>
      </c>
      <c r="AI3942">
        <v>0</v>
      </c>
      <c r="AJ3942">
        <v>-0.05</v>
      </c>
      <c r="AK3942">
        <v>72</v>
      </c>
      <c r="AL3942">
        <v>0</v>
      </c>
      <c r="AM3942">
        <v>0</v>
      </c>
      <c r="AN3942">
        <v>6.34</v>
      </c>
      <c r="AO3942">
        <v>0.28999999999999998</v>
      </c>
      <c r="AP3942">
        <v>4</v>
      </c>
      <c r="AQ3942">
        <v>0</v>
      </c>
      <c r="AR3942">
        <v>11.2</v>
      </c>
      <c r="AS3942">
        <v>27</v>
      </c>
      <c r="AT3942">
        <v>4.97</v>
      </c>
      <c r="AU3942">
        <v>87</v>
      </c>
      <c r="AV3942">
        <v>-2</v>
      </c>
      <c r="AW3942">
        <v>46</v>
      </c>
      <c r="AX3942">
        <v>-0.19</v>
      </c>
      <c r="AY3942">
        <v>30</v>
      </c>
      <c r="AZ3942">
        <v>6.2</v>
      </c>
      <c r="BA3942">
        <v>27</v>
      </c>
      <c r="BB3942">
        <v>4.87</v>
      </c>
      <c r="BC3942">
        <v>26</v>
      </c>
      <c r="BD3942">
        <v>0.01</v>
      </c>
      <c r="BE3942">
        <v>-0.01</v>
      </c>
      <c r="BF3942">
        <v>-0.1</v>
      </c>
      <c r="BG3942">
        <v>84</v>
      </c>
      <c r="BH3942">
        <v>-0.06</v>
      </c>
      <c r="BI3942">
        <v>-5.75</v>
      </c>
      <c r="BJ3942">
        <v>0</v>
      </c>
      <c r="BK3942">
        <v>0</v>
      </c>
      <c r="BL3942">
        <v>2.0099999999999998</v>
      </c>
      <c r="BM3942">
        <v>-1.07</v>
      </c>
      <c r="BN3942">
        <v>0.88</v>
      </c>
      <c r="BO3942">
        <v>1.81</v>
      </c>
      <c r="BP3942">
        <v>1.03</v>
      </c>
      <c r="BQ3942">
        <v>-0.12</v>
      </c>
      <c r="BR3942">
        <v>0.26</v>
      </c>
      <c r="BS3942">
        <v>1.18</v>
      </c>
      <c r="BT3942">
        <v>0.63</v>
      </c>
      <c r="BU3942">
        <v>1.39</v>
      </c>
      <c r="BV3942">
        <v>2.56</v>
      </c>
      <c r="BW3942">
        <v>1.52</v>
      </c>
      <c r="BX3942">
        <v>1.2</v>
      </c>
      <c r="BY3942">
        <v>-1.06</v>
      </c>
      <c r="BZ3942">
        <v>1.06</v>
      </c>
      <c r="CA3942">
        <v>1.34</v>
      </c>
      <c r="CB3942">
        <v>1.1299999999999999</v>
      </c>
      <c r="CC3942">
        <v>1.17</v>
      </c>
      <c r="CD3942">
        <v>-1.59</v>
      </c>
      <c r="CE3942">
        <v>0</v>
      </c>
      <c r="CF3942">
        <v>0</v>
      </c>
      <c r="CG3942">
        <v>0</v>
      </c>
      <c r="CH3942">
        <v>0</v>
      </c>
      <c r="CI3942">
        <v>0</v>
      </c>
      <c r="CJ3942">
        <v>-1.3</v>
      </c>
      <c r="CK3942">
        <v>33</v>
      </c>
      <c r="CL3942">
        <v>-1.1399999999999999</v>
      </c>
      <c r="CM3942">
        <v>31</v>
      </c>
      <c r="CN3942">
        <v>-0.55000000000000004</v>
      </c>
      <c r="CO3942">
        <v>31</v>
      </c>
      <c r="CP3942">
        <v>-1.1000000000000001</v>
      </c>
      <c r="CQ3942">
        <v>29</v>
      </c>
      <c r="CR3942">
        <v>0</v>
      </c>
      <c r="CS3942">
        <v>0</v>
      </c>
      <c r="CT3942">
        <v>18</v>
      </c>
      <c r="CU3942">
        <v>28</v>
      </c>
      <c r="CV3942">
        <v>0.33</v>
      </c>
      <c r="CW3942">
        <v>9</v>
      </c>
      <c r="CX3942" t="s">
        <v>5921</v>
      </c>
    </row>
    <row r="3943" spans="1:102" x14ac:dyDescent="0.3">
      <c r="A3943" t="str">
        <f>HYPERLINK("https://webapp.icbf.com/v2/app/bull-search/view/77856544","HRC")</f>
        <v>HRC</v>
      </c>
      <c r="B3943" t="s">
        <v>8003</v>
      </c>
      <c r="C3943" t="s">
        <v>8004</v>
      </c>
      <c r="D3943" s="1">
        <v>31446</v>
      </c>
      <c r="E3943" t="s">
        <v>92</v>
      </c>
      <c r="F3943">
        <v>100</v>
      </c>
      <c r="G3943" t="s">
        <v>109</v>
      </c>
      <c r="H3943">
        <v>-75.23</v>
      </c>
      <c r="I3943">
        <v>74</v>
      </c>
      <c r="J3943">
        <v>-58</v>
      </c>
      <c r="K3943">
        <v>88</v>
      </c>
      <c r="L3943">
        <v>12.61</v>
      </c>
      <c r="M3943">
        <v>79</v>
      </c>
      <c r="N3943">
        <v>-25.93</v>
      </c>
      <c r="O3943">
        <v>50</v>
      </c>
      <c r="P3943">
        <v>-6.97</v>
      </c>
      <c r="Q3943">
        <v>61</v>
      </c>
      <c r="R3943">
        <v>-9.02</v>
      </c>
      <c r="S3943">
        <v>65</v>
      </c>
      <c r="T3943">
        <v>15.16</v>
      </c>
      <c r="U3943">
        <v>59</v>
      </c>
      <c r="V3943">
        <v>-3.08</v>
      </c>
      <c r="W3943">
        <v>32</v>
      </c>
      <c r="X3943" t="s">
        <v>110</v>
      </c>
      <c r="Y3943" t="s">
        <v>95</v>
      </c>
      <c r="Z3943" t="s">
        <v>96</v>
      </c>
      <c r="AA3943" t="s">
        <v>120</v>
      </c>
      <c r="AB3943" t="s">
        <v>784</v>
      </c>
      <c r="AC3943">
        <v>16</v>
      </c>
      <c r="AD3943">
        <v>14</v>
      </c>
      <c r="AE3943">
        <v>88</v>
      </c>
      <c r="AF3943">
        <v>-371.1</v>
      </c>
      <c r="AG3943">
        <v>-1.82</v>
      </c>
      <c r="AH3943">
        <v>-14.9</v>
      </c>
      <c r="AI3943">
        <v>0.22</v>
      </c>
      <c r="AJ3943">
        <v>-0.04</v>
      </c>
      <c r="AK3943">
        <v>79</v>
      </c>
      <c r="AL3943">
        <v>33</v>
      </c>
      <c r="AM3943">
        <v>25</v>
      </c>
      <c r="AN3943">
        <v>-1.1100000000000001</v>
      </c>
      <c r="AO3943">
        <v>-0.11</v>
      </c>
      <c r="AP3943">
        <v>3</v>
      </c>
      <c r="AQ3943">
        <v>0</v>
      </c>
      <c r="AR3943">
        <v>9.5500000000000007</v>
      </c>
      <c r="AS3943">
        <v>33</v>
      </c>
      <c r="AT3943">
        <v>4.63</v>
      </c>
      <c r="AU3943">
        <v>49</v>
      </c>
      <c r="AV3943">
        <v>-0.06</v>
      </c>
      <c r="AW3943">
        <v>56</v>
      </c>
      <c r="AX3943">
        <v>0.05</v>
      </c>
      <c r="AY3943">
        <v>61</v>
      </c>
      <c r="AZ3943">
        <v>8.14</v>
      </c>
      <c r="BA3943">
        <v>33</v>
      </c>
      <c r="BB3943">
        <v>5.47</v>
      </c>
      <c r="BC3943">
        <v>42</v>
      </c>
      <c r="BD3943">
        <v>0.02</v>
      </c>
      <c r="BE3943">
        <v>0.06</v>
      </c>
      <c r="BF3943">
        <v>0.06</v>
      </c>
      <c r="BG3943">
        <v>84</v>
      </c>
      <c r="BH3943">
        <v>-0.09</v>
      </c>
      <c r="BI3943">
        <v>-0.46</v>
      </c>
      <c r="BJ3943">
        <v>5</v>
      </c>
      <c r="BK3943">
        <v>2</v>
      </c>
      <c r="BL3943">
        <v>0.71</v>
      </c>
      <c r="BM3943">
        <v>-1.2</v>
      </c>
      <c r="BN3943">
        <v>-0.35</v>
      </c>
      <c r="BO3943">
        <v>0.06</v>
      </c>
      <c r="BP3943">
        <v>0.54</v>
      </c>
      <c r="BQ3943">
        <v>-1.35</v>
      </c>
      <c r="BR3943">
        <v>-0.87</v>
      </c>
      <c r="BS3943">
        <v>-0.56999999999999995</v>
      </c>
      <c r="BT3943">
        <v>1.7</v>
      </c>
      <c r="BU3943">
        <v>0.24</v>
      </c>
      <c r="BV3943">
        <v>-1.1299999999999999</v>
      </c>
      <c r="BW3943">
        <v>-0.38</v>
      </c>
      <c r="BX3943">
        <v>2</v>
      </c>
      <c r="BY3943">
        <v>-0.15</v>
      </c>
      <c r="BZ3943">
        <v>-0.23</v>
      </c>
      <c r="CA3943">
        <v>-0.37</v>
      </c>
      <c r="CB3943">
        <v>-0.25</v>
      </c>
      <c r="CC3943">
        <v>-0.05</v>
      </c>
      <c r="CD3943">
        <v>-1.29</v>
      </c>
      <c r="CE3943">
        <v>0.61</v>
      </c>
      <c r="CF3943">
        <v>-0.25</v>
      </c>
      <c r="CG3943">
        <v>0</v>
      </c>
      <c r="CH3943">
        <v>-0.59</v>
      </c>
      <c r="CI3943">
        <v>0</v>
      </c>
      <c r="CJ3943">
        <v>-5.3</v>
      </c>
      <c r="CK3943">
        <v>63</v>
      </c>
      <c r="CL3943">
        <v>-0.39</v>
      </c>
      <c r="CM3943">
        <v>59</v>
      </c>
      <c r="CN3943">
        <v>-0.45</v>
      </c>
      <c r="CO3943">
        <v>55</v>
      </c>
      <c r="CP3943">
        <v>-6</v>
      </c>
      <c r="CQ3943">
        <v>67</v>
      </c>
      <c r="CR3943">
        <v>0</v>
      </c>
      <c r="CS3943">
        <v>0</v>
      </c>
      <c r="CT3943">
        <v>-6.7</v>
      </c>
      <c r="CU3943">
        <v>59</v>
      </c>
      <c r="CV3943">
        <v>-0.04</v>
      </c>
      <c r="CW3943">
        <v>17</v>
      </c>
      <c r="CX3943" t="s">
        <v>785</v>
      </c>
    </row>
    <row r="3944" spans="1:102" x14ac:dyDescent="0.3">
      <c r="A3944" t="str">
        <f>HYPERLINK("https://webapp.icbf.com/v2/app/bull-search/view/77858425","DKY")</f>
        <v>DKY</v>
      </c>
      <c r="B3944" t="s">
        <v>767</v>
      </c>
      <c r="C3944" t="s">
        <v>768</v>
      </c>
      <c r="D3944" s="1">
        <v>31648</v>
      </c>
      <c r="E3944" t="s">
        <v>92</v>
      </c>
      <c r="F3944">
        <v>100</v>
      </c>
      <c r="G3944" t="s">
        <v>93</v>
      </c>
      <c r="H3944">
        <v>-75.349999999999994</v>
      </c>
      <c r="I3944">
        <v>92</v>
      </c>
      <c r="J3944">
        <v>0.02</v>
      </c>
      <c r="K3944">
        <v>97</v>
      </c>
      <c r="L3944">
        <v>-51.28</v>
      </c>
      <c r="M3944">
        <v>92</v>
      </c>
      <c r="N3944">
        <v>-13.26</v>
      </c>
      <c r="O3944">
        <v>90</v>
      </c>
      <c r="P3944">
        <v>-8.64</v>
      </c>
      <c r="Q3944">
        <v>94</v>
      </c>
      <c r="R3944">
        <v>-3.74</v>
      </c>
      <c r="S3944">
        <v>84</v>
      </c>
      <c r="T3944">
        <v>4.0599999999999996</v>
      </c>
      <c r="U3944">
        <v>91</v>
      </c>
      <c r="V3944">
        <v>-2.5099999999999998</v>
      </c>
      <c r="W3944">
        <v>73</v>
      </c>
      <c r="X3944" t="s">
        <v>131</v>
      </c>
      <c r="Y3944" t="s">
        <v>95</v>
      </c>
      <c r="Z3944" t="s">
        <v>96</v>
      </c>
      <c r="AA3944" t="s">
        <v>543</v>
      </c>
      <c r="AB3944" t="s">
        <v>769</v>
      </c>
      <c r="AC3944">
        <v>160</v>
      </c>
      <c r="AD3944">
        <v>103</v>
      </c>
      <c r="AE3944">
        <v>97</v>
      </c>
      <c r="AF3944">
        <v>248.88</v>
      </c>
      <c r="AG3944">
        <v>2.61</v>
      </c>
      <c r="AH3944">
        <v>2.89</v>
      </c>
      <c r="AI3944">
        <v>-0.11</v>
      </c>
      <c r="AJ3944">
        <v>-0.09</v>
      </c>
      <c r="AK3944">
        <v>92</v>
      </c>
      <c r="AL3944">
        <v>162</v>
      </c>
      <c r="AM3944">
        <v>93</v>
      </c>
      <c r="AN3944">
        <v>3.54</v>
      </c>
      <c r="AO3944">
        <v>-0.54</v>
      </c>
      <c r="AP3944">
        <v>26</v>
      </c>
      <c r="AQ3944">
        <v>0</v>
      </c>
      <c r="AR3944">
        <v>8.35</v>
      </c>
      <c r="AS3944">
        <v>82</v>
      </c>
      <c r="AT3944">
        <v>3.81</v>
      </c>
      <c r="AU3944">
        <v>95</v>
      </c>
      <c r="AV3944">
        <v>-1.74</v>
      </c>
      <c r="AW3944">
        <v>91</v>
      </c>
      <c r="AX3944">
        <v>0.45</v>
      </c>
      <c r="AY3944">
        <v>90</v>
      </c>
      <c r="AZ3944">
        <v>9.36</v>
      </c>
      <c r="BA3944">
        <v>78</v>
      </c>
      <c r="BB3944">
        <v>7.1</v>
      </c>
      <c r="BC3944">
        <v>82</v>
      </c>
      <c r="BD3944">
        <v>0.09</v>
      </c>
      <c r="BE3944">
        <v>0.04</v>
      </c>
      <c r="BF3944">
        <v>-0.14000000000000001</v>
      </c>
      <c r="BG3944">
        <v>94</v>
      </c>
      <c r="BH3944">
        <v>0.05</v>
      </c>
      <c r="BI3944">
        <v>13.87</v>
      </c>
      <c r="BJ3944">
        <v>96</v>
      </c>
      <c r="BK3944">
        <v>50</v>
      </c>
      <c r="BL3944">
        <v>1.23</v>
      </c>
      <c r="BM3944">
        <v>-0.38</v>
      </c>
      <c r="BN3944">
        <v>0.87</v>
      </c>
      <c r="BO3944">
        <v>1.06</v>
      </c>
      <c r="BP3944">
        <v>-0.4</v>
      </c>
      <c r="BQ3944">
        <v>2.38</v>
      </c>
      <c r="BR3944">
        <v>3.4</v>
      </c>
      <c r="BS3944">
        <v>-2.72</v>
      </c>
      <c r="BT3944">
        <v>-2.33</v>
      </c>
      <c r="BU3944">
        <v>1.4</v>
      </c>
      <c r="BV3944">
        <v>1.3</v>
      </c>
      <c r="BW3944">
        <v>0.31</v>
      </c>
      <c r="BX3944">
        <v>1.46</v>
      </c>
      <c r="BY3944">
        <v>-0.69</v>
      </c>
      <c r="BZ3944">
        <v>-1.08</v>
      </c>
      <c r="CA3944">
        <v>0.18</v>
      </c>
      <c r="CB3944">
        <v>1.25</v>
      </c>
      <c r="CC3944">
        <v>-1.9</v>
      </c>
      <c r="CD3944">
        <v>-0.84</v>
      </c>
      <c r="CE3944">
        <v>1.17</v>
      </c>
      <c r="CF3944">
        <v>1.74</v>
      </c>
      <c r="CG3944">
        <v>0</v>
      </c>
      <c r="CH3944">
        <v>-0.38</v>
      </c>
      <c r="CI3944">
        <v>0</v>
      </c>
      <c r="CJ3944">
        <v>-4.2</v>
      </c>
      <c r="CK3944">
        <v>94</v>
      </c>
      <c r="CL3944">
        <v>-1.05</v>
      </c>
      <c r="CM3944">
        <v>93</v>
      </c>
      <c r="CN3944">
        <v>-0.69</v>
      </c>
      <c r="CO3944">
        <v>92</v>
      </c>
      <c r="CP3944">
        <v>-0.6</v>
      </c>
      <c r="CQ3944">
        <v>95</v>
      </c>
      <c r="CR3944">
        <v>0</v>
      </c>
      <c r="CS3944">
        <v>0</v>
      </c>
      <c r="CT3944">
        <v>8.3000000000000007</v>
      </c>
      <c r="CU3944">
        <v>91</v>
      </c>
      <c r="CV3944">
        <v>0.21</v>
      </c>
      <c r="CW3944">
        <v>27</v>
      </c>
      <c r="CX3944" t="s">
        <v>617</v>
      </c>
    </row>
    <row r="3945" spans="1:102" x14ac:dyDescent="0.3">
      <c r="A3945" t="str">
        <f>HYPERLINK("https://webapp.icbf.com/v2/app/bull-search/view/157302057","AVI")</f>
        <v>AVI</v>
      </c>
      <c r="B3945" t="s">
        <v>4093</v>
      </c>
      <c r="C3945" t="s">
        <v>4094</v>
      </c>
      <c r="D3945" s="1">
        <v>37111</v>
      </c>
      <c r="E3945" t="s">
        <v>92</v>
      </c>
      <c r="F3945">
        <v>100</v>
      </c>
      <c r="G3945" t="s">
        <v>93</v>
      </c>
      <c r="H3945">
        <v>-75.45</v>
      </c>
      <c r="I3945">
        <v>86</v>
      </c>
      <c r="J3945">
        <v>45.26</v>
      </c>
      <c r="K3945">
        <v>97</v>
      </c>
      <c r="L3945">
        <v>-120.55</v>
      </c>
      <c r="M3945">
        <v>75</v>
      </c>
      <c r="N3945">
        <v>-0.65</v>
      </c>
      <c r="O3945">
        <v>84</v>
      </c>
      <c r="P3945">
        <v>-6.13</v>
      </c>
      <c r="Q3945">
        <v>93</v>
      </c>
      <c r="R3945">
        <v>0.78</v>
      </c>
      <c r="S3945">
        <v>78</v>
      </c>
      <c r="T3945">
        <v>11.83</v>
      </c>
      <c r="U3945">
        <v>90</v>
      </c>
      <c r="V3945">
        <v>-5.99</v>
      </c>
      <c r="W3945">
        <v>69</v>
      </c>
      <c r="X3945" t="s">
        <v>94</v>
      </c>
      <c r="Y3945" t="s">
        <v>95</v>
      </c>
      <c r="Z3945" t="s">
        <v>96</v>
      </c>
      <c r="AA3945" t="s">
        <v>4095</v>
      </c>
      <c r="AB3945" t="s">
        <v>4096</v>
      </c>
      <c r="AC3945">
        <v>112</v>
      </c>
      <c r="AD3945">
        <v>66</v>
      </c>
      <c r="AE3945">
        <v>97</v>
      </c>
      <c r="AF3945">
        <v>-201.95</v>
      </c>
      <c r="AG3945">
        <v>13.56</v>
      </c>
      <c r="AH3945">
        <v>-0.19</v>
      </c>
      <c r="AI3945">
        <v>0.39</v>
      </c>
      <c r="AJ3945">
        <v>0.12</v>
      </c>
      <c r="AK3945">
        <v>75</v>
      </c>
      <c r="AL3945">
        <v>104</v>
      </c>
      <c r="AM3945">
        <v>55</v>
      </c>
      <c r="AN3945">
        <v>6.06</v>
      </c>
      <c r="AO3945">
        <v>-3.56</v>
      </c>
      <c r="AP3945">
        <v>216</v>
      </c>
      <c r="AQ3945">
        <v>1</v>
      </c>
      <c r="AR3945">
        <v>8.6999999999999993</v>
      </c>
      <c r="AS3945">
        <v>64</v>
      </c>
      <c r="AT3945">
        <v>3.93</v>
      </c>
      <c r="AU3945">
        <v>89</v>
      </c>
      <c r="AV3945">
        <v>-1.61</v>
      </c>
      <c r="AW3945">
        <v>93</v>
      </c>
      <c r="AX3945">
        <v>0.45</v>
      </c>
      <c r="AY3945">
        <v>82</v>
      </c>
      <c r="AZ3945">
        <v>6.54</v>
      </c>
      <c r="BA3945">
        <v>63</v>
      </c>
      <c r="BB3945">
        <v>5.25</v>
      </c>
      <c r="BC3945">
        <v>64</v>
      </c>
      <c r="BD3945">
        <v>0</v>
      </c>
      <c r="BE3945">
        <v>-0.02</v>
      </c>
      <c r="BF3945">
        <v>0.02</v>
      </c>
      <c r="BG3945">
        <v>89</v>
      </c>
      <c r="BH3945">
        <v>-0.21</v>
      </c>
      <c r="BI3945">
        <v>-4.9800000000000004</v>
      </c>
      <c r="BJ3945">
        <v>33</v>
      </c>
      <c r="BK3945">
        <v>16</v>
      </c>
      <c r="BL3945">
        <v>0.4</v>
      </c>
      <c r="BM3945">
        <v>0.65</v>
      </c>
      <c r="BN3945">
        <v>1.06</v>
      </c>
      <c r="BO3945">
        <v>0.34</v>
      </c>
      <c r="BP3945">
        <v>-1.1299999999999999</v>
      </c>
      <c r="BQ3945">
        <v>0.2</v>
      </c>
      <c r="BR3945">
        <v>1.94</v>
      </c>
      <c r="BS3945">
        <v>-1.41</v>
      </c>
      <c r="BT3945">
        <v>-2.23</v>
      </c>
      <c r="BU3945">
        <v>0.2</v>
      </c>
      <c r="BV3945">
        <v>-0.25</v>
      </c>
      <c r="BW3945">
        <v>-0.41</v>
      </c>
      <c r="BX3945">
        <v>0.27</v>
      </c>
      <c r="BY3945">
        <v>-0.33</v>
      </c>
      <c r="BZ3945">
        <v>-2.2000000000000002</v>
      </c>
      <c r="CA3945">
        <v>-1.2</v>
      </c>
      <c r="CB3945">
        <v>-0.25</v>
      </c>
      <c r="CC3945">
        <v>-2.27</v>
      </c>
      <c r="CD3945">
        <v>-0.28000000000000003</v>
      </c>
      <c r="CE3945">
        <v>-0.42</v>
      </c>
      <c r="CF3945">
        <v>0.72</v>
      </c>
      <c r="CG3945">
        <v>0</v>
      </c>
      <c r="CH3945">
        <v>0.4</v>
      </c>
      <c r="CI3945">
        <v>0</v>
      </c>
      <c r="CJ3945">
        <v>0.5</v>
      </c>
      <c r="CK3945">
        <v>94</v>
      </c>
      <c r="CL3945">
        <v>-0.73</v>
      </c>
      <c r="CM3945">
        <v>93</v>
      </c>
      <c r="CN3945">
        <v>-0.09</v>
      </c>
      <c r="CO3945">
        <v>92</v>
      </c>
      <c r="CP3945">
        <v>-2.2999999999999998</v>
      </c>
      <c r="CQ3945">
        <v>92</v>
      </c>
      <c r="CR3945">
        <v>0</v>
      </c>
      <c r="CS3945">
        <v>0</v>
      </c>
      <c r="CT3945">
        <v>-2.2000000000000002</v>
      </c>
      <c r="CU3945">
        <v>90</v>
      </c>
      <c r="CV3945">
        <v>0.2</v>
      </c>
      <c r="CW3945">
        <v>44</v>
      </c>
      <c r="CX3945" t="s">
        <v>985</v>
      </c>
    </row>
    <row r="3946" spans="1:102" x14ac:dyDescent="0.3">
      <c r="A3946" t="str">
        <f>HYPERLINK("https://webapp.icbf.com/v2/app/bull-search/view/77857753","EVT")</f>
        <v>EVT</v>
      </c>
      <c r="B3946" t="s">
        <v>8011</v>
      </c>
      <c r="C3946" t="s">
        <v>8012</v>
      </c>
      <c r="D3946" s="1">
        <v>35176</v>
      </c>
      <c r="E3946" t="s">
        <v>92</v>
      </c>
      <c r="F3946">
        <v>100</v>
      </c>
      <c r="G3946" t="s">
        <v>93</v>
      </c>
      <c r="H3946">
        <v>-75.489999999999995</v>
      </c>
      <c r="I3946">
        <v>90</v>
      </c>
      <c r="J3946">
        <v>-2.58</v>
      </c>
      <c r="K3946">
        <v>98</v>
      </c>
      <c r="L3946">
        <v>-54.46</v>
      </c>
      <c r="M3946">
        <v>83</v>
      </c>
      <c r="N3946">
        <v>-17.420000000000002</v>
      </c>
      <c r="O3946">
        <v>89</v>
      </c>
      <c r="P3946">
        <v>-6.46</v>
      </c>
      <c r="Q3946">
        <v>95</v>
      </c>
      <c r="R3946">
        <v>-3.54</v>
      </c>
      <c r="S3946">
        <v>82</v>
      </c>
      <c r="T3946">
        <v>10.87</v>
      </c>
      <c r="U3946">
        <v>89</v>
      </c>
      <c r="V3946">
        <v>-1.9</v>
      </c>
      <c r="W3946">
        <v>76</v>
      </c>
      <c r="X3946" t="s">
        <v>94</v>
      </c>
      <c r="Y3946" t="s">
        <v>95</v>
      </c>
      <c r="Z3946" t="s">
        <v>96</v>
      </c>
      <c r="AA3946" t="s">
        <v>97</v>
      </c>
      <c r="AB3946" t="s">
        <v>8013</v>
      </c>
      <c r="AC3946">
        <v>144</v>
      </c>
      <c r="AD3946">
        <v>109</v>
      </c>
      <c r="AE3946">
        <v>98</v>
      </c>
      <c r="AF3946">
        <v>-13.56</v>
      </c>
      <c r="AG3946">
        <v>-3.27</v>
      </c>
      <c r="AH3946">
        <v>0.51</v>
      </c>
      <c r="AI3946">
        <v>-0.05</v>
      </c>
      <c r="AJ3946">
        <v>0.02</v>
      </c>
      <c r="AK3946">
        <v>83</v>
      </c>
      <c r="AL3946">
        <v>167</v>
      </c>
      <c r="AM3946">
        <v>120</v>
      </c>
      <c r="AN3946">
        <v>2.4300000000000002</v>
      </c>
      <c r="AO3946">
        <v>-1.92</v>
      </c>
      <c r="AP3946">
        <v>241</v>
      </c>
      <c r="AQ3946">
        <v>4</v>
      </c>
      <c r="AR3946">
        <v>10.16</v>
      </c>
      <c r="AS3946">
        <v>84</v>
      </c>
      <c r="AT3946">
        <v>4.12</v>
      </c>
      <c r="AU3946">
        <v>89</v>
      </c>
      <c r="AV3946">
        <v>0.19</v>
      </c>
      <c r="AW3946">
        <v>96</v>
      </c>
      <c r="AX3946">
        <v>0.94</v>
      </c>
      <c r="AY3946">
        <v>87</v>
      </c>
      <c r="AZ3946">
        <v>5.14</v>
      </c>
      <c r="BA3946">
        <v>69</v>
      </c>
      <c r="BB3946">
        <v>4.54</v>
      </c>
      <c r="BC3946">
        <v>75</v>
      </c>
      <c r="BD3946">
        <v>0.02</v>
      </c>
      <c r="BE3946">
        <v>0.02</v>
      </c>
      <c r="BF3946">
        <v>0.01</v>
      </c>
      <c r="BG3946">
        <v>92</v>
      </c>
      <c r="BH3946">
        <v>-0.01</v>
      </c>
      <c r="BI3946">
        <v>4.96</v>
      </c>
      <c r="BJ3946">
        <v>6</v>
      </c>
      <c r="BK3946">
        <v>6</v>
      </c>
      <c r="BL3946">
        <v>-0.04</v>
      </c>
      <c r="BM3946">
        <v>-1.58</v>
      </c>
      <c r="BN3946">
        <v>-1.41</v>
      </c>
      <c r="BO3946">
        <v>7.0000000000000007E-2</v>
      </c>
      <c r="BP3946">
        <v>0.18</v>
      </c>
      <c r="BQ3946">
        <v>-1.29</v>
      </c>
      <c r="BR3946">
        <v>0.36</v>
      </c>
      <c r="BS3946">
        <v>0.39</v>
      </c>
      <c r="BT3946">
        <v>-0.23</v>
      </c>
      <c r="BU3946">
        <v>-0.01</v>
      </c>
      <c r="BV3946">
        <v>0.54</v>
      </c>
      <c r="BW3946">
        <v>0.91</v>
      </c>
      <c r="BX3946">
        <v>1.27</v>
      </c>
      <c r="BY3946">
        <v>0.96</v>
      </c>
      <c r="BZ3946">
        <v>-1.34</v>
      </c>
      <c r="CA3946">
        <v>0.45</v>
      </c>
      <c r="CB3946">
        <v>0.4</v>
      </c>
      <c r="CC3946">
        <v>-0.13</v>
      </c>
      <c r="CD3946">
        <v>-0.63</v>
      </c>
      <c r="CE3946">
        <v>0.14000000000000001</v>
      </c>
      <c r="CF3946">
        <v>-0.75</v>
      </c>
      <c r="CG3946">
        <v>0</v>
      </c>
      <c r="CH3946">
        <v>1.37</v>
      </c>
      <c r="CI3946">
        <v>0</v>
      </c>
      <c r="CJ3946">
        <v>-1.6</v>
      </c>
      <c r="CK3946">
        <v>96</v>
      </c>
      <c r="CL3946">
        <v>-0.56999999999999995</v>
      </c>
      <c r="CM3946">
        <v>95</v>
      </c>
      <c r="CN3946">
        <v>-0.26</v>
      </c>
      <c r="CO3946">
        <v>94</v>
      </c>
      <c r="CP3946">
        <v>-9.4</v>
      </c>
      <c r="CQ3946">
        <v>94</v>
      </c>
      <c r="CR3946">
        <v>0</v>
      </c>
      <c r="CS3946">
        <v>0</v>
      </c>
      <c r="CT3946">
        <v>-0.9</v>
      </c>
      <c r="CU3946">
        <v>89</v>
      </c>
      <c r="CV3946">
        <v>7.0000000000000007E-2</v>
      </c>
      <c r="CW3946">
        <v>45</v>
      </c>
      <c r="CX3946" t="s">
        <v>612</v>
      </c>
    </row>
    <row r="3947" spans="1:102" x14ac:dyDescent="0.3">
      <c r="A3947" t="str">
        <f>HYPERLINK("https://webapp.icbf.com/v2/app/bull-search/view/474732759","S447")</f>
        <v>S447</v>
      </c>
      <c r="B3947" t="s">
        <v>1426</v>
      </c>
      <c r="C3947" t="s">
        <v>1427</v>
      </c>
      <c r="D3947" s="1">
        <v>36831</v>
      </c>
      <c r="E3947" t="s">
        <v>92</v>
      </c>
      <c r="F3947">
        <v>100</v>
      </c>
      <c r="G3947" t="s">
        <v>93</v>
      </c>
      <c r="H3947">
        <v>-75.540000000000006</v>
      </c>
      <c r="I3947">
        <v>95</v>
      </c>
      <c r="J3947">
        <v>58.85</v>
      </c>
      <c r="K3947">
        <v>98</v>
      </c>
      <c r="L3947">
        <v>-147.41999999999999</v>
      </c>
      <c r="M3947">
        <v>94</v>
      </c>
      <c r="N3947">
        <v>0.42</v>
      </c>
      <c r="O3947">
        <v>94</v>
      </c>
      <c r="P3947">
        <v>0.18</v>
      </c>
      <c r="Q3947">
        <v>96</v>
      </c>
      <c r="R3947">
        <v>11.24</v>
      </c>
      <c r="S3947">
        <v>90</v>
      </c>
      <c r="T3947">
        <v>-8.67</v>
      </c>
      <c r="U3947">
        <v>93</v>
      </c>
      <c r="V3947">
        <v>9.86</v>
      </c>
      <c r="W3947">
        <v>87</v>
      </c>
      <c r="X3947" t="s">
        <v>102</v>
      </c>
      <c r="Y3947" t="s">
        <v>95</v>
      </c>
      <c r="Z3947" t="s">
        <v>96</v>
      </c>
      <c r="AA3947" t="s">
        <v>273</v>
      </c>
      <c r="AB3947" t="s">
        <v>1428</v>
      </c>
      <c r="AC3947">
        <v>240</v>
      </c>
      <c r="AD3947">
        <v>83</v>
      </c>
      <c r="AE3947">
        <v>98</v>
      </c>
      <c r="AF3947">
        <v>366.48</v>
      </c>
      <c r="AG3947">
        <v>6.41</v>
      </c>
      <c r="AH3947">
        <v>13.35</v>
      </c>
      <c r="AI3947">
        <v>-0.13</v>
      </c>
      <c r="AJ3947">
        <v>0.02</v>
      </c>
      <c r="AK3947">
        <v>94</v>
      </c>
      <c r="AL3947">
        <v>221</v>
      </c>
      <c r="AM3947">
        <v>80</v>
      </c>
      <c r="AN3947">
        <v>10.07</v>
      </c>
      <c r="AO3947">
        <v>-1.66</v>
      </c>
      <c r="AP3947">
        <v>280</v>
      </c>
      <c r="AQ3947">
        <v>1</v>
      </c>
      <c r="AR3947">
        <v>8.2899999999999991</v>
      </c>
      <c r="AS3947">
        <v>91</v>
      </c>
      <c r="AT3947">
        <v>4.2300000000000004</v>
      </c>
      <c r="AU3947">
        <v>98</v>
      </c>
      <c r="AV3947">
        <v>-1.72</v>
      </c>
      <c r="AW3947">
        <v>97</v>
      </c>
      <c r="AX3947">
        <v>0</v>
      </c>
      <c r="AY3947">
        <v>92</v>
      </c>
      <c r="AZ3947">
        <v>5.75</v>
      </c>
      <c r="BA3947">
        <v>84</v>
      </c>
      <c r="BB3947">
        <v>5.33</v>
      </c>
      <c r="BC3947">
        <v>82</v>
      </c>
      <c r="BD3947">
        <v>-0.05</v>
      </c>
      <c r="BE3947">
        <v>-0.05</v>
      </c>
      <c r="BF3947">
        <v>-0.08</v>
      </c>
      <c r="BG3947">
        <v>96</v>
      </c>
      <c r="BH3947">
        <v>0.15</v>
      </c>
      <c r="BI3947">
        <v>-14.45</v>
      </c>
      <c r="BJ3947">
        <v>164</v>
      </c>
      <c r="BK3947">
        <v>53</v>
      </c>
      <c r="BL3947">
        <v>1.76</v>
      </c>
      <c r="BM3947">
        <v>-0.26</v>
      </c>
      <c r="BN3947">
        <v>0.63</v>
      </c>
      <c r="BO3947">
        <v>0.83</v>
      </c>
      <c r="BP3947">
        <v>0.72</v>
      </c>
      <c r="BQ3947">
        <v>0.85</v>
      </c>
      <c r="BR3947">
        <v>-2.98</v>
      </c>
      <c r="BS3947">
        <v>-0.37</v>
      </c>
      <c r="BT3947">
        <v>2.5</v>
      </c>
      <c r="BU3947">
        <v>1.47</v>
      </c>
      <c r="BV3947">
        <v>2.02</v>
      </c>
      <c r="BW3947">
        <v>1.5</v>
      </c>
      <c r="BX3947">
        <v>2.11</v>
      </c>
      <c r="BY3947">
        <v>1.42</v>
      </c>
      <c r="BZ3947">
        <v>-0.57999999999999996</v>
      </c>
      <c r="CA3947">
        <v>1.65</v>
      </c>
      <c r="CB3947">
        <v>1.69</v>
      </c>
      <c r="CC3947">
        <v>0.74</v>
      </c>
      <c r="CD3947">
        <v>-0.89</v>
      </c>
      <c r="CE3947">
        <v>0.73</v>
      </c>
      <c r="CF3947">
        <v>0.53</v>
      </c>
      <c r="CG3947">
        <v>0</v>
      </c>
      <c r="CH3947">
        <v>1.25</v>
      </c>
      <c r="CI3947">
        <v>0</v>
      </c>
      <c r="CJ3947">
        <v>5.8</v>
      </c>
      <c r="CK3947">
        <v>96</v>
      </c>
      <c r="CL3947">
        <v>-1.21</v>
      </c>
      <c r="CM3947">
        <v>95</v>
      </c>
      <c r="CN3947">
        <v>-0.26</v>
      </c>
      <c r="CO3947">
        <v>95</v>
      </c>
      <c r="CP3947">
        <v>10.8</v>
      </c>
      <c r="CQ3947">
        <v>96</v>
      </c>
      <c r="CR3947">
        <v>0</v>
      </c>
      <c r="CS3947">
        <v>0</v>
      </c>
      <c r="CT3947">
        <v>25.5</v>
      </c>
      <c r="CU3947">
        <v>93</v>
      </c>
      <c r="CV3947">
        <v>0.48</v>
      </c>
      <c r="CW3947">
        <v>45</v>
      </c>
      <c r="CX3947" t="s">
        <v>751</v>
      </c>
    </row>
    <row r="3948" spans="1:102" x14ac:dyDescent="0.3">
      <c r="A3948" t="str">
        <f>HYPERLINK("https://webapp.icbf.com/v2/app/bull-search/view/444518001","S991")</f>
        <v>S991</v>
      </c>
      <c r="B3948" t="s">
        <v>12698</v>
      </c>
      <c r="C3948" t="s">
        <v>12699</v>
      </c>
      <c r="D3948" s="1">
        <v>36886</v>
      </c>
      <c r="E3948" t="s">
        <v>92</v>
      </c>
      <c r="F3948">
        <v>100</v>
      </c>
      <c r="G3948" t="s">
        <v>93</v>
      </c>
      <c r="H3948">
        <v>-75.62</v>
      </c>
      <c r="I3948">
        <v>85</v>
      </c>
      <c r="J3948">
        <v>46</v>
      </c>
      <c r="K3948">
        <v>95</v>
      </c>
      <c r="L3948">
        <v>-101.92</v>
      </c>
      <c r="M3948">
        <v>86</v>
      </c>
      <c r="N3948">
        <v>1.42</v>
      </c>
      <c r="O3948">
        <v>77</v>
      </c>
      <c r="P3948">
        <v>-3.07</v>
      </c>
      <c r="Q3948">
        <v>83</v>
      </c>
      <c r="R3948">
        <v>-9.9700000000000006</v>
      </c>
      <c r="S3948">
        <v>78</v>
      </c>
      <c r="T3948">
        <v>0.65</v>
      </c>
      <c r="U3948">
        <v>70</v>
      </c>
      <c r="V3948">
        <v>-8.73</v>
      </c>
      <c r="W3948">
        <v>65</v>
      </c>
      <c r="X3948" t="s">
        <v>102</v>
      </c>
      <c r="Y3948" t="s">
        <v>303</v>
      </c>
      <c r="Z3948" t="s">
        <v>96</v>
      </c>
      <c r="AA3948" t="s">
        <v>834</v>
      </c>
      <c r="AB3948" t="s">
        <v>12700</v>
      </c>
      <c r="AC3948">
        <v>44</v>
      </c>
      <c r="AD3948">
        <v>12</v>
      </c>
      <c r="AE3948">
        <v>95</v>
      </c>
      <c r="AF3948">
        <v>392.53</v>
      </c>
      <c r="AG3948">
        <v>11</v>
      </c>
      <c r="AH3948">
        <v>9.94</v>
      </c>
      <c r="AI3948">
        <v>-7.0000000000000007E-2</v>
      </c>
      <c r="AJ3948">
        <v>-0.06</v>
      </c>
      <c r="AK3948">
        <v>86</v>
      </c>
      <c r="AL3948">
        <v>0</v>
      </c>
      <c r="AM3948">
        <v>0</v>
      </c>
      <c r="AN3948">
        <v>5.41</v>
      </c>
      <c r="AO3948">
        <v>-2.72</v>
      </c>
      <c r="AP3948">
        <v>65</v>
      </c>
      <c r="AQ3948">
        <v>0</v>
      </c>
      <c r="AR3948">
        <v>10.199999999999999</v>
      </c>
      <c r="AS3948">
        <v>69</v>
      </c>
      <c r="AT3948">
        <v>3.86</v>
      </c>
      <c r="AU3948">
        <v>96</v>
      </c>
      <c r="AV3948">
        <v>-2.25</v>
      </c>
      <c r="AW3948">
        <v>78</v>
      </c>
      <c r="AX3948">
        <v>0.46</v>
      </c>
      <c r="AY3948">
        <v>71</v>
      </c>
      <c r="AZ3948">
        <v>6.59</v>
      </c>
      <c r="BA3948">
        <v>56</v>
      </c>
      <c r="BB3948">
        <v>5.05</v>
      </c>
      <c r="BC3948">
        <v>55</v>
      </c>
      <c r="BD3948">
        <v>0.08</v>
      </c>
      <c r="BE3948">
        <v>0.04</v>
      </c>
      <c r="BF3948">
        <v>0.02</v>
      </c>
      <c r="BG3948">
        <v>91</v>
      </c>
      <c r="BH3948">
        <v>-0.18</v>
      </c>
      <c r="BI3948">
        <v>7.33</v>
      </c>
      <c r="BJ3948">
        <v>11</v>
      </c>
      <c r="BK3948">
        <v>4</v>
      </c>
      <c r="BL3948">
        <v>1.1000000000000001</v>
      </c>
      <c r="BM3948">
        <v>-1.1399999999999999</v>
      </c>
      <c r="BN3948">
        <v>-0.23</v>
      </c>
      <c r="BO3948">
        <v>0.75</v>
      </c>
      <c r="BP3948">
        <v>-1.51</v>
      </c>
      <c r="BQ3948">
        <v>-1.3</v>
      </c>
      <c r="BR3948">
        <v>-0.32</v>
      </c>
      <c r="BS3948">
        <v>0.19</v>
      </c>
      <c r="BT3948">
        <v>1.78</v>
      </c>
      <c r="BU3948">
        <v>1.1200000000000001</v>
      </c>
      <c r="BV3948">
        <v>-0.26</v>
      </c>
      <c r="BW3948">
        <v>0.43</v>
      </c>
      <c r="BX3948">
        <v>1.35</v>
      </c>
      <c r="BY3948">
        <v>0.47</v>
      </c>
      <c r="BZ3948">
        <v>-0.25</v>
      </c>
      <c r="CA3948">
        <v>0.74</v>
      </c>
      <c r="CB3948">
        <v>0.22</v>
      </c>
      <c r="CC3948">
        <v>1.02</v>
      </c>
      <c r="CD3948">
        <v>-1.1000000000000001</v>
      </c>
      <c r="CE3948">
        <v>0.7</v>
      </c>
      <c r="CF3948">
        <v>0.11</v>
      </c>
      <c r="CG3948">
        <v>0</v>
      </c>
      <c r="CH3948">
        <v>0.48</v>
      </c>
      <c r="CI3948">
        <v>0</v>
      </c>
      <c r="CJ3948">
        <v>0.8</v>
      </c>
      <c r="CK3948">
        <v>85</v>
      </c>
      <c r="CL3948">
        <v>-0.9</v>
      </c>
      <c r="CM3948">
        <v>82</v>
      </c>
      <c r="CN3948">
        <v>-0.37</v>
      </c>
      <c r="CO3948">
        <v>80</v>
      </c>
      <c r="CP3948">
        <v>5.2</v>
      </c>
      <c r="CQ3948">
        <v>79</v>
      </c>
      <c r="CR3948">
        <v>0</v>
      </c>
      <c r="CS3948">
        <v>0</v>
      </c>
      <c r="CT3948">
        <v>12.9</v>
      </c>
      <c r="CU3948">
        <v>70</v>
      </c>
      <c r="CV3948">
        <v>0.23</v>
      </c>
      <c r="CW3948">
        <v>42</v>
      </c>
      <c r="CX3948" t="s">
        <v>7275</v>
      </c>
    </row>
    <row r="3949" spans="1:102" x14ac:dyDescent="0.3">
      <c r="A3949" t="str">
        <f>HYPERLINK("https://webapp.icbf.com/v2/app/bull-search/view/69092587","S106")</f>
        <v>S106</v>
      </c>
      <c r="B3949" t="s">
        <v>1075</v>
      </c>
      <c r="C3949" t="s">
        <v>1076</v>
      </c>
      <c r="D3949" s="1">
        <v>33405</v>
      </c>
      <c r="E3949" t="s">
        <v>92</v>
      </c>
      <c r="F3949">
        <v>100</v>
      </c>
      <c r="G3949" t="s">
        <v>109</v>
      </c>
      <c r="H3949">
        <v>-75.67</v>
      </c>
      <c r="I3949">
        <v>65</v>
      </c>
      <c r="J3949">
        <v>-11.95</v>
      </c>
      <c r="K3949">
        <v>71</v>
      </c>
      <c r="L3949">
        <v>-60.19</v>
      </c>
      <c r="M3949">
        <v>65</v>
      </c>
      <c r="N3949">
        <v>7.63</v>
      </c>
      <c r="O3949">
        <v>52</v>
      </c>
      <c r="P3949">
        <v>-8.19</v>
      </c>
      <c r="Q3949">
        <v>67</v>
      </c>
      <c r="R3949">
        <v>-4.47</v>
      </c>
      <c r="S3949">
        <v>63</v>
      </c>
      <c r="T3949">
        <v>4.72</v>
      </c>
      <c r="U3949">
        <v>70</v>
      </c>
      <c r="V3949">
        <v>-3.22</v>
      </c>
      <c r="W3949">
        <v>24</v>
      </c>
      <c r="X3949" t="s">
        <v>110</v>
      </c>
      <c r="Y3949" t="s">
        <v>95</v>
      </c>
      <c r="Z3949" t="s">
        <v>96</v>
      </c>
      <c r="AA3949" t="s">
        <v>1077</v>
      </c>
      <c r="AB3949" t="s">
        <v>1078</v>
      </c>
      <c r="AC3949">
        <v>0</v>
      </c>
      <c r="AD3949">
        <v>0</v>
      </c>
      <c r="AE3949">
        <v>71</v>
      </c>
      <c r="AF3949">
        <v>-132.41</v>
      </c>
      <c r="AG3949">
        <v>-0.08</v>
      </c>
      <c r="AH3949">
        <v>-4.03</v>
      </c>
      <c r="AI3949">
        <v>0.09</v>
      </c>
      <c r="AJ3949">
        <v>0.01</v>
      </c>
      <c r="AK3949">
        <v>65</v>
      </c>
      <c r="AL3949">
        <v>0</v>
      </c>
      <c r="AM3949">
        <v>0</v>
      </c>
      <c r="AN3949">
        <v>2.5</v>
      </c>
      <c r="AO3949">
        <v>-2.31</v>
      </c>
      <c r="AP3949">
        <v>19</v>
      </c>
      <c r="AQ3949">
        <v>1</v>
      </c>
      <c r="AR3949">
        <v>7.19</v>
      </c>
      <c r="AS3949">
        <v>31</v>
      </c>
      <c r="AT3949">
        <v>3.4</v>
      </c>
      <c r="AU3949">
        <v>51</v>
      </c>
      <c r="AV3949">
        <v>-0.78</v>
      </c>
      <c r="AW3949">
        <v>65</v>
      </c>
      <c r="AX3949">
        <v>-0.84</v>
      </c>
      <c r="AY3949">
        <v>49</v>
      </c>
      <c r="AZ3949">
        <v>5.69</v>
      </c>
      <c r="BA3949">
        <v>32</v>
      </c>
      <c r="BB3949">
        <v>5.1100000000000003</v>
      </c>
      <c r="BC3949">
        <v>36</v>
      </c>
      <c r="BD3949">
        <v>0.01</v>
      </c>
      <c r="BE3949">
        <v>0.04</v>
      </c>
      <c r="BF3949">
        <v>0.01</v>
      </c>
      <c r="BG3949">
        <v>85</v>
      </c>
      <c r="BH3949">
        <v>-0.03</v>
      </c>
      <c r="BI3949">
        <v>6.92</v>
      </c>
      <c r="BJ3949">
        <v>2</v>
      </c>
      <c r="BK3949">
        <v>2</v>
      </c>
      <c r="BL3949">
        <v>0.43</v>
      </c>
      <c r="BM3949">
        <v>0.79</v>
      </c>
      <c r="BN3949">
        <v>1.36</v>
      </c>
      <c r="BO3949">
        <v>0.12</v>
      </c>
      <c r="BP3949">
        <v>-1.68</v>
      </c>
      <c r="BQ3949">
        <v>1.56</v>
      </c>
      <c r="BR3949">
        <v>0.98</v>
      </c>
      <c r="BS3949">
        <v>-0.05</v>
      </c>
      <c r="BT3949">
        <v>-0.74</v>
      </c>
      <c r="BU3949">
        <v>-0.09</v>
      </c>
      <c r="BV3949">
        <v>-0.76</v>
      </c>
      <c r="BW3949">
        <v>-0.28999999999999998</v>
      </c>
      <c r="BX3949">
        <v>-0.06</v>
      </c>
      <c r="BY3949">
        <v>-0.19</v>
      </c>
      <c r="BZ3949">
        <v>-1.21</v>
      </c>
      <c r="CA3949">
        <v>-0.21</v>
      </c>
      <c r="CB3949">
        <v>-0.1</v>
      </c>
      <c r="CC3949">
        <v>-0.16</v>
      </c>
      <c r="CD3949">
        <v>-0.64</v>
      </c>
      <c r="CE3949">
        <v>0.79</v>
      </c>
      <c r="CF3949">
        <v>1.68</v>
      </c>
      <c r="CG3949">
        <v>0</v>
      </c>
      <c r="CH3949">
        <v>0.18</v>
      </c>
      <c r="CI3949">
        <v>0</v>
      </c>
      <c r="CJ3949">
        <v>-2.9</v>
      </c>
      <c r="CK3949">
        <v>69</v>
      </c>
      <c r="CL3949">
        <v>-0.9</v>
      </c>
      <c r="CM3949">
        <v>64</v>
      </c>
      <c r="CN3949">
        <v>-0.46</v>
      </c>
      <c r="CO3949">
        <v>59</v>
      </c>
      <c r="CP3949">
        <v>-1.9</v>
      </c>
      <c r="CQ3949">
        <v>71</v>
      </c>
      <c r="CR3949">
        <v>0</v>
      </c>
      <c r="CS3949">
        <v>0</v>
      </c>
      <c r="CT3949">
        <v>7.4</v>
      </c>
      <c r="CU3949">
        <v>70</v>
      </c>
      <c r="CV3949">
        <v>0.23</v>
      </c>
      <c r="CW3949">
        <v>18</v>
      </c>
      <c r="CX3949" t="s">
        <v>914</v>
      </c>
    </row>
    <row r="3950" spans="1:102" x14ac:dyDescent="0.3">
      <c r="A3950" t="str">
        <f>HYPERLINK("https://webapp.icbf.com/v2/app/bull-search/view/83029278","LEH")</f>
        <v>LEH</v>
      </c>
      <c r="B3950" t="s">
        <v>11328</v>
      </c>
      <c r="C3950" t="s">
        <v>11329</v>
      </c>
      <c r="D3950" s="1">
        <v>37105</v>
      </c>
      <c r="E3950" t="s">
        <v>92</v>
      </c>
      <c r="F3950">
        <v>100</v>
      </c>
      <c r="G3950" t="s">
        <v>93</v>
      </c>
      <c r="H3950">
        <v>-75.7</v>
      </c>
      <c r="I3950">
        <v>93</v>
      </c>
      <c r="J3950">
        <v>17.18</v>
      </c>
      <c r="K3950">
        <v>99</v>
      </c>
      <c r="L3950">
        <v>-83.73</v>
      </c>
      <c r="M3950">
        <v>87</v>
      </c>
      <c r="N3950">
        <v>-12.29</v>
      </c>
      <c r="O3950">
        <v>93</v>
      </c>
      <c r="P3950">
        <v>-4.57</v>
      </c>
      <c r="Q3950">
        <v>98</v>
      </c>
      <c r="R3950">
        <v>2.9</v>
      </c>
      <c r="S3950">
        <v>89</v>
      </c>
      <c r="T3950">
        <v>5.91</v>
      </c>
      <c r="U3950">
        <v>95</v>
      </c>
      <c r="V3950">
        <v>-1.1000000000000001</v>
      </c>
      <c r="W3950">
        <v>87</v>
      </c>
      <c r="X3950" t="s">
        <v>94</v>
      </c>
      <c r="Y3950" t="s">
        <v>95</v>
      </c>
      <c r="Z3950" t="s">
        <v>96</v>
      </c>
      <c r="AA3950" t="s">
        <v>285</v>
      </c>
      <c r="AB3950" t="s">
        <v>10705</v>
      </c>
      <c r="AC3950">
        <v>273</v>
      </c>
      <c r="AD3950">
        <v>196</v>
      </c>
      <c r="AE3950">
        <v>99</v>
      </c>
      <c r="AF3950">
        <v>354.01</v>
      </c>
      <c r="AG3950">
        <v>3.59</v>
      </c>
      <c r="AH3950">
        <v>7.07</v>
      </c>
      <c r="AI3950">
        <v>-0.17</v>
      </c>
      <c r="AJ3950">
        <v>-0.08</v>
      </c>
      <c r="AK3950">
        <v>87</v>
      </c>
      <c r="AL3950">
        <v>265</v>
      </c>
      <c r="AM3950">
        <v>189</v>
      </c>
      <c r="AN3950">
        <v>5.13</v>
      </c>
      <c r="AO3950">
        <v>-1.54</v>
      </c>
      <c r="AP3950">
        <v>472</v>
      </c>
      <c r="AQ3950">
        <v>2</v>
      </c>
      <c r="AR3950">
        <v>7.84</v>
      </c>
      <c r="AS3950">
        <v>83</v>
      </c>
      <c r="AT3950">
        <v>4.2</v>
      </c>
      <c r="AU3950">
        <v>94</v>
      </c>
      <c r="AV3950">
        <v>0.69</v>
      </c>
      <c r="AW3950">
        <v>98</v>
      </c>
      <c r="AX3950">
        <v>-0.1</v>
      </c>
      <c r="AY3950">
        <v>93</v>
      </c>
      <c r="AZ3950">
        <v>5.63</v>
      </c>
      <c r="BA3950">
        <v>80</v>
      </c>
      <c r="BB3950">
        <v>4.42</v>
      </c>
      <c r="BC3950">
        <v>84</v>
      </c>
      <c r="BD3950">
        <v>0.02</v>
      </c>
      <c r="BE3950">
        <v>0</v>
      </c>
      <c r="BF3950">
        <v>-0.1</v>
      </c>
      <c r="BG3950">
        <v>95</v>
      </c>
      <c r="BH3950">
        <v>-0.05</v>
      </c>
      <c r="BI3950">
        <v>-2.2400000000000002</v>
      </c>
      <c r="BJ3950">
        <v>57</v>
      </c>
      <c r="BK3950">
        <v>35</v>
      </c>
      <c r="BL3950">
        <v>0.48</v>
      </c>
      <c r="BM3950">
        <v>0.79</v>
      </c>
      <c r="BN3950">
        <v>0.53</v>
      </c>
      <c r="BO3950">
        <v>0.43</v>
      </c>
      <c r="BP3950">
        <v>-0.94</v>
      </c>
      <c r="BQ3950">
        <v>0.64</v>
      </c>
      <c r="BR3950">
        <v>-2.0099999999999998</v>
      </c>
      <c r="BS3950">
        <v>0.23</v>
      </c>
      <c r="BT3950">
        <v>1.48</v>
      </c>
      <c r="BU3950">
        <v>0.87</v>
      </c>
      <c r="BV3950">
        <v>0.64</v>
      </c>
      <c r="BW3950">
        <v>0.64</v>
      </c>
      <c r="BX3950">
        <v>0.41</v>
      </c>
      <c r="BY3950">
        <v>1.26</v>
      </c>
      <c r="BZ3950">
        <v>-0.7</v>
      </c>
      <c r="CA3950">
        <v>1.28</v>
      </c>
      <c r="CB3950">
        <v>1.27</v>
      </c>
      <c r="CC3950">
        <v>0.43</v>
      </c>
      <c r="CD3950">
        <v>0.05</v>
      </c>
      <c r="CE3950">
        <v>0.71</v>
      </c>
      <c r="CF3950">
        <v>0.5</v>
      </c>
      <c r="CG3950">
        <v>0</v>
      </c>
      <c r="CH3950">
        <v>0.88</v>
      </c>
      <c r="CI3950">
        <v>0</v>
      </c>
      <c r="CJ3950">
        <v>-0.3</v>
      </c>
      <c r="CK3950">
        <v>98</v>
      </c>
      <c r="CL3950">
        <v>-0.76</v>
      </c>
      <c r="CM3950">
        <v>98</v>
      </c>
      <c r="CN3950">
        <v>-0.36</v>
      </c>
      <c r="CO3950">
        <v>97</v>
      </c>
      <c r="CP3950">
        <v>-3.5</v>
      </c>
      <c r="CQ3950">
        <v>96</v>
      </c>
      <c r="CR3950">
        <v>0</v>
      </c>
      <c r="CS3950">
        <v>0</v>
      </c>
      <c r="CT3950">
        <v>5.8</v>
      </c>
      <c r="CU3950">
        <v>95</v>
      </c>
      <c r="CV3950">
        <v>0.15</v>
      </c>
      <c r="CW3950">
        <v>46</v>
      </c>
      <c r="CX3950" t="s">
        <v>1106</v>
      </c>
    </row>
    <row r="3951" spans="1:102" x14ac:dyDescent="0.3">
      <c r="A3951" t="str">
        <f>HYPERLINK("https://webapp.icbf.com/v2/app/bull-search/view/77858605","CST")</f>
        <v>CST</v>
      </c>
      <c r="B3951" t="s">
        <v>8847</v>
      </c>
      <c r="C3951" t="s">
        <v>8848</v>
      </c>
      <c r="D3951" s="1">
        <v>31451</v>
      </c>
      <c r="E3951" t="s">
        <v>92</v>
      </c>
      <c r="F3951">
        <v>50</v>
      </c>
      <c r="G3951" t="s">
        <v>116</v>
      </c>
      <c r="H3951">
        <v>-75.73</v>
      </c>
      <c r="I3951">
        <v>40</v>
      </c>
      <c r="J3951">
        <v>-75.63</v>
      </c>
      <c r="K3951">
        <v>43</v>
      </c>
      <c r="L3951">
        <v>0.89</v>
      </c>
      <c r="M3951">
        <v>48</v>
      </c>
      <c r="N3951">
        <v>3.76</v>
      </c>
      <c r="O3951">
        <v>22</v>
      </c>
      <c r="P3951">
        <v>-19.239999999999998</v>
      </c>
      <c r="Q3951">
        <v>37</v>
      </c>
      <c r="R3951">
        <v>-5.15</v>
      </c>
      <c r="S3951">
        <v>45</v>
      </c>
      <c r="T3951">
        <v>23.59</v>
      </c>
      <c r="U3951">
        <v>33</v>
      </c>
      <c r="V3951">
        <v>-3.95</v>
      </c>
      <c r="W3951">
        <v>11</v>
      </c>
      <c r="X3951" t="s">
        <v>94</v>
      </c>
      <c r="Y3951" t="s">
        <v>95</v>
      </c>
      <c r="Z3951" t="s">
        <v>96</v>
      </c>
      <c r="AA3951" t="s">
        <v>8849</v>
      </c>
      <c r="AB3951" t="s">
        <v>8850</v>
      </c>
      <c r="AC3951">
        <v>4</v>
      </c>
      <c r="AD3951">
        <v>4</v>
      </c>
      <c r="AE3951">
        <v>43</v>
      </c>
      <c r="AF3951">
        <v>-266.76</v>
      </c>
      <c r="AG3951">
        <v>-17.600000000000001</v>
      </c>
      <c r="AH3951">
        <v>-10.72</v>
      </c>
      <c r="AI3951">
        <v>-0.12</v>
      </c>
      <c r="AJ3951">
        <v>-0.03</v>
      </c>
      <c r="AK3951">
        <v>48</v>
      </c>
      <c r="AL3951">
        <v>61</v>
      </c>
      <c r="AM3951">
        <v>36</v>
      </c>
      <c r="AN3951">
        <v>-0.12</v>
      </c>
      <c r="AO3951">
        <v>-0.05</v>
      </c>
      <c r="AP3951">
        <v>5</v>
      </c>
      <c r="AQ3951">
        <v>0</v>
      </c>
      <c r="AR3951">
        <v>8.26</v>
      </c>
      <c r="AS3951">
        <v>18</v>
      </c>
      <c r="AT3951">
        <v>3.4</v>
      </c>
      <c r="AU3951">
        <v>15</v>
      </c>
      <c r="AV3951">
        <v>-1.18</v>
      </c>
      <c r="AW3951">
        <v>29</v>
      </c>
      <c r="AX3951">
        <v>-0.57999999999999996</v>
      </c>
      <c r="AY3951">
        <v>32</v>
      </c>
      <c r="AZ3951">
        <v>6.74</v>
      </c>
      <c r="BA3951">
        <v>8</v>
      </c>
      <c r="BB3951">
        <v>5.45</v>
      </c>
      <c r="BC3951">
        <v>12</v>
      </c>
      <c r="BD3951">
        <v>0.02</v>
      </c>
      <c r="BE3951">
        <v>0.05</v>
      </c>
      <c r="BF3951">
        <v>-0.01</v>
      </c>
      <c r="BG3951">
        <v>70</v>
      </c>
      <c r="BH3951">
        <v>-0.03</v>
      </c>
      <c r="BI3951">
        <v>9.2799999999999994</v>
      </c>
      <c r="BJ3951">
        <v>13</v>
      </c>
      <c r="BK3951">
        <v>8</v>
      </c>
      <c r="BL3951">
        <v>-2.2000000000000002</v>
      </c>
      <c r="BM3951">
        <v>0.06</v>
      </c>
      <c r="BN3951">
        <v>-1.84</v>
      </c>
      <c r="BO3951">
        <v>-1.54</v>
      </c>
      <c r="BP3951">
        <v>-0.15</v>
      </c>
      <c r="BQ3951">
        <v>-1.84</v>
      </c>
      <c r="BR3951">
        <v>-0.3</v>
      </c>
      <c r="BS3951">
        <v>-0.54</v>
      </c>
      <c r="BT3951">
        <v>0.11</v>
      </c>
      <c r="BU3951">
        <v>-1.1399999999999999</v>
      </c>
      <c r="BV3951">
        <v>-1.03</v>
      </c>
      <c r="BW3951">
        <v>-0.97</v>
      </c>
      <c r="BX3951">
        <v>-0.49</v>
      </c>
      <c r="BY3951">
        <v>-1.76</v>
      </c>
      <c r="BZ3951">
        <v>0.9</v>
      </c>
      <c r="CA3951">
        <v>-1.52</v>
      </c>
      <c r="CB3951">
        <v>-1.48</v>
      </c>
      <c r="CC3951">
        <v>-1.07</v>
      </c>
      <c r="CD3951">
        <v>1.01</v>
      </c>
      <c r="CE3951">
        <v>-1.6</v>
      </c>
      <c r="CF3951">
        <v>-2.13</v>
      </c>
      <c r="CG3951">
        <v>0</v>
      </c>
      <c r="CH3951">
        <v>-1.05</v>
      </c>
      <c r="CI3951">
        <v>0</v>
      </c>
      <c r="CJ3951">
        <v>-8.3000000000000007</v>
      </c>
      <c r="CK3951">
        <v>39</v>
      </c>
      <c r="CL3951">
        <v>-0.35</v>
      </c>
      <c r="CM3951">
        <v>34</v>
      </c>
      <c r="CN3951">
        <v>0.19</v>
      </c>
      <c r="CO3951">
        <v>30</v>
      </c>
      <c r="CP3951">
        <v>-13</v>
      </c>
      <c r="CQ3951">
        <v>37</v>
      </c>
      <c r="CR3951">
        <v>0</v>
      </c>
      <c r="CS3951">
        <v>0</v>
      </c>
      <c r="CT3951">
        <v>-18.100000000000001</v>
      </c>
      <c r="CU3951">
        <v>33</v>
      </c>
      <c r="CV3951">
        <v>0.01</v>
      </c>
      <c r="CW3951">
        <v>9</v>
      </c>
      <c r="CX3951" t="s">
        <v>8851</v>
      </c>
    </row>
    <row r="3952" spans="1:102" x14ac:dyDescent="0.3">
      <c r="A3952" t="str">
        <f>HYPERLINK("https://webapp.icbf.com/v2/app/bull-search/view/360326088","OWX")</f>
        <v>OWX</v>
      </c>
      <c r="B3952" t="s">
        <v>7403</v>
      </c>
      <c r="C3952" t="s">
        <v>7404</v>
      </c>
      <c r="D3952" s="1">
        <v>37271</v>
      </c>
      <c r="E3952" t="s">
        <v>92</v>
      </c>
      <c r="F3952">
        <v>100</v>
      </c>
      <c r="G3952" t="s">
        <v>93</v>
      </c>
      <c r="H3952">
        <v>-75.77</v>
      </c>
      <c r="I3952">
        <v>84</v>
      </c>
      <c r="J3952">
        <v>12.28</v>
      </c>
      <c r="K3952">
        <v>95</v>
      </c>
      <c r="L3952">
        <v>-86.84</v>
      </c>
      <c r="M3952">
        <v>79</v>
      </c>
      <c r="N3952">
        <v>11.31</v>
      </c>
      <c r="O3952">
        <v>79</v>
      </c>
      <c r="P3952">
        <v>-11.34</v>
      </c>
      <c r="Q3952">
        <v>88</v>
      </c>
      <c r="R3952">
        <v>-1.7</v>
      </c>
      <c r="S3952">
        <v>70</v>
      </c>
      <c r="T3952">
        <v>-3.93</v>
      </c>
      <c r="U3952">
        <v>84</v>
      </c>
      <c r="V3952">
        <v>4.45</v>
      </c>
      <c r="W3952">
        <v>46</v>
      </c>
      <c r="X3952" t="s">
        <v>131</v>
      </c>
      <c r="Y3952" t="s">
        <v>171</v>
      </c>
      <c r="Z3952" t="s">
        <v>96</v>
      </c>
      <c r="AA3952" t="s">
        <v>311</v>
      </c>
      <c r="AB3952" t="s">
        <v>7405</v>
      </c>
      <c r="AC3952">
        <v>76</v>
      </c>
      <c r="AD3952">
        <v>39</v>
      </c>
      <c r="AE3952">
        <v>95</v>
      </c>
      <c r="AF3952">
        <v>198.54</v>
      </c>
      <c r="AG3952">
        <v>-0.66</v>
      </c>
      <c r="AH3952">
        <v>5.36</v>
      </c>
      <c r="AI3952">
        <v>-0.13</v>
      </c>
      <c r="AJ3952">
        <v>-0.02</v>
      </c>
      <c r="AK3952">
        <v>79</v>
      </c>
      <c r="AL3952">
        <v>77</v>
      </c>
      <c r="AM3952">
        <v>38</v>
      </c>
      <c r="AN3952">
        <v>3.6</v>
      </c>
      <c r="AO3952">
        <v>-3.34</v>
      </c>
      <c r="AP3952">
        <v>141</v>
      </c>
      <c r="AQ3952">
        <v>0</v>
      </c>
      <c r="AR3952">
        <v>8.02</v>
      </c>
      <c r="AS3952">
        <v>66</v>
      </c>
      <c r="AT3952">
        <v>3.88</v>
      </c>
      <c r="AU3952">
        <v>82</v>
      </c>
      <c r="AV3952">
        <v>-2.0299999999999998</v>
      </c>
      <c r="AW3952">
        <v>91</v>
      </c>
      <c r="AX3952">
        <v>0.47</v>
      </c>
      <c r="AY3952">
        <v>78</v>
      </c>
      <c r="AZ3952">
        <v>5.23</v>
      </c>
      <c r="BA3952">
        <v>57</v>
      </c>
      <c r="BB3952">
        <v>4.37</v>
      </c>
      <c r="BC3952">
        <v>55</v>
      </c>
      <c r="BD3952">
        <v>-0.03</v>
      </c>
      <c r="BE3952">
        <v>0.01</v>
      </c>
      <c r="BF3952">
        <v>7.0000000000000007E-2</v>
      </c>
      <c r="BG3952">
        <v>85</v>
      </c>
      <c r="BH3952">
        <v>0.01</v>
      </c>
      <c r="BI3952">
        <v>-13.19</v>
      </c>
      <c r="BJ3952">
        <v>22</v>
      </c>
      <c r="BK3952">
        <v>17</v>
      </c>
      <c r="BL3952">
        <v>1.1299999999999999</v>
      </c>
      <c r="BM3952">
        <v>-0.11</v>
      </c>
      <c r="BN3952">
        <v>1.01</v>
      </c>
      <c r="BO3952">
        <v>0.64</v>
      </c>
      <c r="BP3952">
        <v>-1.6</v>
      </c>
      <c r="BQ3952">
        <v>1.95</v>
      </c>
      <c r="BR3952">
        <v>1.31</v>
      </c>
      <c r="BS3952">
        <v>-1.22</v>
      </c>
      <c r="BT3952">
        <v>-1</v>
      </c>
      <c r="BU3952">
        <v>0.06</v>
      </c>
      <c r="BV3952">
        <v>1.35</v>
      </c>
      <c r="BW3952">
        <v>2.21</v>
      </c>
      <c r="BX3952">
        <v>0.53</v>
      </c>
      <c r="BY3952">
        <v>0.13</v>
      </c>
      <c r="BZ3952">
        <v>-0.64</v>
      </c>
      <c r="CA3952">
        <v>0.27</v>
      </c>
      <c r="CB3952">
        <v>0.6</v>
      </c>
      <c r="CC3952">
        <v>-0.41</v>
      </c>
      <c r="CD3952">
        <v>-0.26</v>
      </c>
      <c r="CE3952">
        <v>1.03</v>
      </c>
      <c r="CF3952">
        <v>1.1200000000000001</v>
      </c>
      <c r="CG3952">
        <v>0</v>
      </c>
      <c r="CH3952">
        <v>1.82</v>
      </c>
      <c r="CI3952">
        <v>0</v>
      </c>
      <c r="CJ3952">
        <v>-2.9</v>
      </c>
      <c r="CK3952">
        <v>89</v>
      </c>
      <c r="CL3952">
        <v>-1.1200000000000001</v>
      </c>
      <c r="CM3952">
        <v>87</v>
      </c>
      <c r="CN3952">
        <v>-0.36</v>
      </c>
      <c r="CO3952">
        <v>85</v>
      </c>
      <c r="CP3952">
        <v>0</v>
      </c>
      <c r="CQ3952">
        <v>90</v>
      </c>
      <c r="CR3952">
        <v>0</v>
      </c>
      <c r="CS3952">
        <v>0</v>
      </c>
      <c r="CT3952">
        <v>19.100000000000001</v>
      </c>
      <c r="CU3952">
        <v>84</v>
      </c>
      <c r="CV3952">
        <v>0.32</v>
      </c>
      <c r="CW3952">
        <v>26</v>
      </c>
      <c r="CX3952" t="s">
        <v>190</v>
      </c>
    </row>
    <row r="3953" spans="1:102" x14ac:dyDescent="0.3">
      <c r="A3953" t="str">
        <f>HYPERLINK("https://webapp.icbf.com/v2/app/bull-search/view/77854855","MTF")</f>
        <v>MTF</v>
      </c>
      <c r="B3953" t="s">
        <v>2800</v>
      </c>
      <c r="C3953" t="s">
        <v>2801</v>
      </c>
      <c r="D3953" s="1">
        <v>32815</v>
      </c>
      <c r="E3953" t="s">
        <v>92</v>
      </c>
      <c r="F3953">
        <v>50</v>
      </c>
      <c r="G3953" t="s">
        <v>93</v>
      </c>
      <c r="H3953">
        <v>-76.22</v>
      </c>
      <c r="I3953">
        <v>54</v>
      </c>
      <c r="J3953">
        <v>-57.14</v>
      </c>
      <c r="K3953">
        <v>55</v>
      </c>
      <c r="L3953">
        <v>-24.28</v>
      </c>
      <c r="M3953">
        <v>52</v>
      </c>
      <c r="N3953">
        <v>9.82</v>
      </c>
      <c r="O3953">
        <v>43</v>
      </c>
      <c r="P3953">
        <v>-10.41</v>
      </c>
      <c r="Q3953">
        <v>74</v>
      </c>
      <c r="R3953">
        <v>-8.06</v>
      </c>
      <c r="S3953">
        <v>49</v>
      </c>
      <c r="T3953">
        <v>19.010000000000002</v>
      </c>
      <c r="U3953">
        <v>63</v>
      </c>
      <c r="V3953">
        <v>-5.16</v>
      </c>
      <c r="W3953">
        <v>39</v>
      </c>
      <c r="X3953" t="s">
        <v>94</v>
      </c>
      <c r="Y3953" t="s">
        <v>95</v>
      </c>
      <c r="Z3953" t="s">
        <v>96</v>
      </c>
      <c r="AA3953" t="s">
        <v>2585</v>
      </c>
      <c r="AB3953" t="s">
        <v>2802</v>
      </c>
      <c r="AC3953">
        <v>14</v>
      </c>
      <c r="AD3953">
        <v>7</v>
      </c>
      <c r="AE3953">
        <v>55</v>
      </c>
      <c r="AF3953">
        <v>-329.13</v>
      </c>
      <c r="AG3953">
        <v>-10.84</v>
      </c>
      <c r="AH3953">
        <v>-10.92</v>
      </c>
      <c r="AI3953">
        <v>0.04</v>
      </c>
      <c r="AJ3953">
        <v>0.01</v>
      </c>
      <c r="AK3953">
        <v>52</v>
      </c>
      <c r="AL3953">
        <v>43</v>
      </c>
      <c r="AM3953">
        <v>12</v>
      </c>
      <c r="AN3953">
        <v>1.06</v>
      </c>
      <c r="AO3953">
        <v>-0.88</v>
      </c>
      <c r="AP3953">
        <v>3</v>
      </c>
      <c r="AQ3953">
        <v>0</v>
      </c>
      <c r="AR3953">
        <v>7.2</v>
      </c>
      <c r="AS3953">
        <v>25</v>
      </c>
      <c r="AT3953">
        <v>3.52</v>
      </c>
      <c r="AU3953">
        <v>39</v>
      </c>
      <c r="AV3953">
        <v>-1.1299999999999999</v>
      </c>
      <c r="AW3953">
        <v>49</v>
      </c>
      <c r="AX3953">
        <v>-0.85</v>
      </c>
      <c r="AY3953">
        <v>61</v>
      </c>
      <c r="AZ3953">
        <v>6.26</v>
      </c>
      <c r="BA3953">
        <v>26</v>
      </c>
      <c r="BB3953">
        <v>4.82</v>
      </c>
      <c r="BC3953">
        <v>36</v>
      </c>
      <c r="BD3953">
        <v>0.05</v>
      </c>
      <c r="BE3953">
        <v>0.08</v>
      </c>
      <c r="BF3953">
        <v>-0.05</v>
      </c>
      <c r="BG3953">
        <v>55</v>
      </c>
      <c r="BH3953">
        <v>-0.05</v>
      </c>
      <c r="BI3953">
        <v>10.85</v>
      </c>
      <c r="BJ3953">
        <v>1</v>
      </c>
      <c r="BK3953">
        <v>1</v>
      </c>
      <c r="BL3953">
        <v>-1.24</v>
      </c>
      <c r="BM3953">
        <v>0.28000000000000003</v>
      </c>
      <c r="BN3953">
        <v>-0.56999999999999995</v>
      </c>
      <c r="BO3953">
        <v>-0.95</v>
      </c>
      <c r="BP3953">
        <v>-1.1299999999999999</v>
      </c>
      <c r="BQ3953">
        <v>-0.83</v>
      </c>
      <c r="BR3953">
        <v>-0.73</v>
      </c>
      <c r="BS3953">
        <v>1.03</v>
      </c>
      <c r="BT3953">
        <v>0.2</v>
      </c>
      <c r="BU3953">
        <v>0.45</v>
      </c>
      <c r="BV3953">
        <v>-0.55000000000000004</v>
      </c>
      <c r="BW3953">
        <v>-0.62</v>
      </c>
      <c r="BX3953">
        <v>0.42</v>
      </c>
      <c r="BY3953">
        <v>0.25</v>
      </c>
      <c r="BZ3953">
        <v>-0.11</v>
      </c>
      <c r="CA3953">
        <v>0.18</v>
      </c>
      <c r="CB3953">
        <v>-0.33</v>
      </c>
      <c r="CC3953">
        <v>1.06</v>
      </c>
      <c r="CD3953">
        <v>0.79</v>
      </c>
      <c r="CE3953">
        <v>-1.1299999999999999</v>
      </c>
      <c r="CF3953">
        <v>-0.92</v>
      </c>
      <c r="CG3953">
        <v>0</v>
      </c>
      <c r="CH3953">
        <v>-0.76</v>
      </c>
      <c r="CI3953">
        <v>0</v>
      </c>
      <c r="CJ3953">
        <v>-4</v>
      </c>
      <c r="CK3953">
        <v>76</v>
      </c>
      <c r="CL3953">
        <v>-0.67</v>
      </c>
      <c r="CM3953">
        <v>72</v>
      </c>
      <c r="CN3953">
        <v>-0.21</v>
      </c>
      <c r="CO3953">
        <v>68</v>
      </c>
      <c r="CP3953">
        <v>-2.9</v>
      </c>
      <c r="CQ3953">
        <v>77</v>
      </c>
      <c r="CR3953">
        <v>0</v>
      </c>
      <c r="CS3953">
        <v>0</v>
      </c>
      <c r="CT3953">
        <v>-11.9</v>
      </c>
      <c r="CU3953">
        <v>63</v>
      </c>
      <c r="CV3953">
        <v>0.16</v>
      </c>
      <c r="CW3953">
        <v>20</v>
      </c>
      <c r="CX3953" t="s">
        <v>2803</v>
      </c>
    </row>
    <row r="3954" spans="1:102" x14ac:dyDescent="0.3">
      <c r="A3954" t="str">
        <f>HYPERLINK("https://webapp.icbf.com/v2/app/bull-search/view/69092668","SIF")</f>
        <v>SIF</v>
      </c>
      <c r="B3954" t="s">
        <v>10519</v>
      </c>
      <c r="C3954" t="s">
        <v>10520</v>
      </c>
      <c r="D3954" s="1">
        <v>36252</v>
      </c>
      <c r="E3954" t="s">
        <v>92</v>
      </c>
      <c r="F3954">
        <v>100</v>
      </c>
      <c r="G3954" t="s">
        <v>93</v>
      </c>
      <c r="H3954">
        <v>-76.27</v>
      </c>
      <c r="I3954">
        <v>91</v>
      </c>
      <c r="J3954">
        <v>12.55</v>
      </c>
      <c r="K3954">
        <v>99</v>
      </c>
      <c r="L3954">
        <v>-79.3</v>
      </c>
      <c r="M3954">
        <v>83</v>
      </c>
      <c r="N3954">
        <v>-0.09</v>
      </c>
      <c r="O3954">
        <v>92</v>
      </c>
      <c r="P3954">
        <v>-2.0499999999999998</v>
      </c>
      <c r="Q3954">
        <v>98</v>
      </c>
      <c r="R3954">
        <v>-14.24</v>
      </c>
      <c r="S3954">
        <v>84</v>
      </c>
      <c r="T3954">
        <v>1.47</v>
      </c>
      <c r="U3954">
        <v>94</v>
      </c>
      <c r="V3954">
        <v>5.39</v>
      </c>
      <c r="W3954">
        <v>79</v>
      </c>
      <c r="X3954" t="s">
        <v>94</v>
      </c>
      <c r="Y3954" t="s">
        <v>95</v>
      </c>
      <c r="Z3954" t="s">
        <v>96</v>
      </c>
      <c r="AA3954" t="s">
        <v>1696</v>
      </c>
      <c r="AB3954" t="s">
        <v>10521</v>
      </c>
      <c r="AC3954">
        <v>333</v>
      </c>
      <c r="AD3954">
        <v>261</v>
      </c>
      <c r="AE3954">
        <v>99</v>
      </c>
      <c r="AF3954">
        <v>195.03</v>
      </c>
      <c r="AG3954">
        <v>10.57</v>
      </c>
      <c r="AH3954">
        <v>1.38</v>
      </c>
      <c r="AI3954">
        <v>0.05</v>
      </c>
      <c r="AJ3954">
        <v>-0.09</v>
      </c>
      <c r="AK3954">
        <v>83</v>
      </c>
      <c r="AL3954">
        <v>327</v>
      </c>
      <c r="AM3954">
        <v>246</v>
      </c>
      <c r="AN3954">
        <v>3.07</v>
      </c>
      <c r="AO3954">
        <v>-3.27</v>
      </c>
      <c r="AP3954">
        <v>451</v>
      </c>
      <c r="AQ3954">
        <v>3</v>
      </c>
      <c r="AR3954">
        <v>7.29</v>
      </c>
      <c r="AS3954">
        <v>80</v>
      </c>
      <c r="AT3954">
        <v>3.61</v>
      </c>
      <c r="AU3954">
        <v>93</v>
      </c>
      <c r="AV3954">
        <v>0.09</v>
      </c>
      <c r="AW3954">
        <v>97</v>
      </c>
      <c r="AX3954">
        <v>-0.35</v>
      </c>
      <c r="AY3954">
        <v>93</v>
      </c>
      <c r="AZ3954">
        <v>6.24</v>
      </c>
      <c r="BA3954">
        <v>80</v>
      </c>
      <c r="BB3954">
        <v>4.37</v>
      </c>
      <c r="BC3954">
        <v>83</v>
      </c>
      <c r="BD3954">
        <v>0.08</v>
      </c>
      <c r="BE3954">
        <v>0.06</v>
      </c>
      <c r="BF3954">
        <v>0.08</v>
      </c>
      <c r="BG3954">
        <v>94</v>
      </c>
      <c r="BH3954">
        <v>0.23</v>
      </c>
      <c r="BI3954">
        <v>9.2100000000000009</v>
      </c>
      <c r="BJ3954">
        <v>38</v>
      </c>
      <c r="BK3954">
        <v>29</v>
      </c>
      <c r="BL3954">
        <v>0.79</v>
      </c>
      <c r="BM3954">
        <v>0.09</v>
      </c>
      <c r="BN3954">
        <v>0.55000000000000004</v>
      </c>
      <c r="BO3954">
        <v>0.48</v>
      </c>
      <c r="BP3954">
        <v>1.82</v>
      </c>
      <c r="BQ3954">
        <v>0.03</v>
      </c>
      <c r="BR3954">
        <v>0.05</v>
      </c>
      <c r="BS3954">
        <v>-0.45</v>
      </c>
      <c r="BT3954">
        <v>-1.0900000000000001</v>
      </c>
      <c r="BU3954">
        <v>0.65</v>
      </c>
      <c r="BV3954">
        <v>1.1299999999999999</v>
      </c>
      <c r="BW3954">
        <v>0.53</v>
      </c>
      <c r="BX3954">
        <v>0.76</v>
      </c>
      <c r="BY3954">
        <v>1.07</v>
      </c>
      <c r="BZ3954">
        <v>-2.62</v>
      </c>
      <c r="CA3954">
        <v>0.95</v>
      </c>
      <c r="CB3954">
        <v>0.91</v>
      </c>
      <c r="CC3954">
        <v>0.65</v>
      </c>
      <c r="CD3954">
        <v>0.13</v>
      </c>
      <c r="CE3954">
        <v>0.63</v>
      </c>
      <c r="CF3954">
        <v>1.07</v>
      </c>
      <c r="CG3954">
        <v>0</v>
      </c>
      <c r="CH3954">
        <v>0.95</v>
      </c>
      <c r="CI3954">
        <v>0</v>
      </c>
      <c r="CJ3954">
        <v>2.5</v>
      </c>
      <c r="CK3954">
        <v>98</v>
      </c>
      <c r="CL3954">
        <v>-0.68</v>
      </c>
      <c r="CM3954">
        <v>97</v>
      </c>
      <c r="CN3954">
        <v>-0.14000000000000001</v>
      </c>
      <c r="CO3954">
        <v>97</v>
      </c>
      <c r="CP3954">
        <v>-0.8</v>
      </c>
      <c r="CQ3954">
        <v>97</v>
      </c>
      <c r="CR3954">
        <v>0</v>
      </c>
      <c r="CS3954">
        <v>0</v>
      </c>
      <c r="CT3954">
        <v>11.8</v>
      </c>
      <c r="CU3954">
        <v>94</v>
      </c>
      <c r="CV3954">
        <v>0.25</v>
      </c>
      <c r="CW3954">
        <v>29</v>
      </c>
      <c r="CX3954" t="s">
        <v>1106</v>
      </c>
    </row>
    <row r="3955" spans="1:102" x14ac:dyDescent="0.3">
      <c r="A3955" t="str">
        <f>HYPERLINK("https://webapp.icbf.com/v2/app/bull-search/view/77853706","SBT")</f>
        <v>SBT</v>
      </c>
      <c r="B3955" t="s">
        <v>10959</v>
      </c>
      <c r="C3955" t="s">
        <v>10960</v>
      </c>
      <c r="D3955" s="1">
        <v>33651</v>
      </c>
      <c r="E3955" t="s">
        <v>92</v>
      </c>
      <c r="F3955">
        <v>100</v>
      </c>
      <c r="G3955" t="s">
        <v>93</v>
      </c>
      <c r="H3955">
        <v>-76.58</v>
      </c>
      <c r="I3955">
        <v>71</v>
      </c>
      <c r="J3955">
        <v>0.38</v>
      </c>
      <c r="K3955">
        <v>91</v>
      </c>
      <c r="L3955">
        <v>-55.54</v>
      </c>
      <c r="M3955">
        <v>63</v>
      </c>
      <c r="N3955">
        <v>-15.18</v>
      </c>
      <c r="O3955">
        <v>53</v>
      </c>
      <c r="P3955">
        <v>-7.16</v>
      </c>
      <c r="Q3955">
        <v>74</v>
      </c>
      <c r="R3955">
        <v>-7.86</v>
      </c>
      <c r="S3955">
        <v>67</v>
      </c>
      <c r="T3955">
        <v>12.64</v>
      </c>
      <c r="U3955">
        <v>64</v>
      </c>
      <c r="V3955">
        <v>-3.86</v>
      </c>
      <c r="W3955">
        <v>36</v>
      </c>
      <c r="X3955" t="s">
        <v>94</v>
      </c>
      <c r="Y3955" t="s">
        <v>95</v>
      </c>
      <c r="Z3955" t="s">
        <v>96</v>
      </c>
      <c r="AA3955" t="s">
        <v>111</v>
      </c>
      <c r="AB3955" t="s">
        <v>10961</v>
      </c>
      <c r="AC3955">
        <v>58</v>
      </c>
      <c r="AD3955">
        <v>57</v>
      </c>
      <c r="AE3955">
        <v>91</v>
      </c>
      <c r="AF3955">
        <v>114.41</v>
      </c>
      <c r="AG3955">
        <v>1.0900000000000001</v>
      </c>
      <c r="AH3955">
        <v>1.43</v>
      </c>
      <c r="AI3955">
        <v>-0.05</v>
      </c>
      <c r="AJ3955">
        <v>-0.04</v>
      </c>
      <c r="AK3955">
        <v>63</v>
      </c>
      <c r="AL3955">
        <v>101</v>
      </c>
      <c r="AM3955">
        <v>70</v>
      </c>
      <c r="AN3955">
        <v>1.44</v>
      </c>
      <c r="AO3955">
        <v>-3.01</v>
      </c>
      <c r="AP3955">
        <v>20</v>
      </c>
      <c r="AQ3955">
        <v>0</v>
      </c>
      <c r="AR3955">
        <v>9</v>
      </c>
      <c r="AS3955">
        <v>42</v>
      </c>
      <c r="AT3955">
        <v>3.96</v>
      </c>
      <c r="AU3955">
        <v>51</v>
      </c>
      <c r="AV3955">
        <v>0.31</v>
      </c>
      <c r="AW3955">
        <v>59</v>
      </c>
      <c r="AX3955">
        <v>-0.63</v>
      </c>
      <c r="AY3955">
        <v>65</v>
      </c>
      <c r="AZ3955">
        <v>7.1</v>
      </c>
      <c r="BA3955">
        <v>32</v>
      </c>
      <c r="BB3955">
        <v>5.25</v>
      </c>
      <c r="BC3955">
        <v>41</v>
      </c>
      <c r="BD3955">
        <v>0.04</v>
      </c>
      <c r="BE3955">
        <v>0.06</v>
      </c>
      <c r="BF3955">
        <v>0</v>
      </c>
      <c r="BG3955">
        <v>85</v>
      </c>
      <c r="BH3955">
        <v>-0.02</v>
      </c>
      <c r="BI3955">
        <v>10.15</v>
      </c>
      <c r="BJ3955">
        <v>12</v>
      </c>
      <c r="BK3955">
        <v>10</v>
      </c>
      <c r="BL3955">
        <v>-0.66</v>
      </c>
      <c r="BM3955">
        <v>-0.46</v>
      </c>
      <c r="BN3955">
        <v>-0.74</v>
      </c>
      <c r="BO3955">
        <v>-0.3</v>
      </c>
      <c r="BP3955">
        <v>1.48</v>
      </c>
      <c r="BQ3955">
        <v>-1.29</v>
      </c>
      <c r="BR3955">
        <v>1.01</v>
      </c>
      <c r="BS3955">
        <v>-0.61</v>
      </c>
      <c r="BT3955">
        <v>-1.08</v>
      </c>
      <c r="BU3955">
        <v>-0.37</v>
      </c>
      <c r="BV3955">
        <v>-1.02</v>
      </c>
      <c r="BW3955">
        <v>-0.46</v>
      </c>
      <c r="BX3955">
        <v>-0.15</v>
      </c>
      <c r="BY3955">
        <v>0.66</v>
      </c>
      <c r="BZ3955">
        <v>-2.11</v>
      </c>
      <c r="CA3955">
        <v>-1.34</v>
      </c>
      <c r="CB3955">
        <v>-1.1200000000000001</v>
      </c>
      <c r="CC3955">
        <v>-1.19</v>
      </c>
      <c r="CD3955">
        <v>-0.35</v>
      </c>
      <c r="CE3955">
        <v>-0.26</v>
      </c>
      <c r="CF3955">
        <v>-0.95</v>
      </c>
      <c r="CG3955">
        <v>0</v>
      </c>
      <c r="CH3955">
        <v>0.83</v>
      </c>
      <c r="CI3955">
        <v>0</v>
      </c>
      <c r="CJ3955">
        <v>0.7</v>
      </c>
      <c r="CK3955">
        <v>76</v>
      </c>
      <c r="CL3955">
        <v>-0.71</v>
      </c>
      <c r="CM3955">
        <v>72</v>
      </c>
      <c r="CN3955">
        <v>0</v>
      </c>
      <c r="CO3955">
        <v>68</v>
      </c>
      <c r="CP3955">
        <v>-5.3</v>
      </c>
      <c r="CQ3955">
        <v>77</v>
      </c>
      <c r="CR3955">
        <v>0</v>
      </c>
      <c r="CS3955">
        <v>0</v>
      </c>
      <c r="CT3955">
        <v>-3.3</v>
      </c>
      <c r="CU3955">
        <v>64</v>
      </c>
      <c r="CV3955">
        <v>0.28000000000000003</v>
      </c>
      <c r="CW3955">
        <v>21</v>
      </c>
      <c r="CX3955" t="s">
        <v>10962</v>
      </c>
    </row>
    <row r="3956" spans="1:102" x14ac:dyDescent="0.3">
      <c r="A3956" t="str">
        <f>HYPERLINK("https://webapp.icbf.com/v2/app/bull-search/view/77859622","BFG")</f>
        <v>BFG</v>
      </c>
      <c r="B3956" t="s">
        <v>3679</v>
      </c>
      <c r="C3956" t="s">
        <v>937</v>
      </c>
      <c r="D3956" s="1">
        <v>31651</v>
      </c>
      <c r="E3956" t="s">
        <v>92</v>
      </c>
      <c r="F3956">
        <v>100</v>
      </c>
      <c r="G3956" t="s">
        <v>93</v>
      </c>
      <c r="H3956">
        <v>-76.59</v>
      </c>
      <c r="I3956">
        <v>92</v>
      </c>
      <c r="J3956">
        <v>3.48</v>
      </c>
      <c r="K3956">
        <v>99</v>
      </c>
      <c r="L3956">
        <v>-58.39</v>
      </c>
      <c r="M3956">
        <v>92</v>
      </c>
      <c r="N3956">
        <v>-28.84</v>
      </c>
      <c r="O3956">
        <v>87</v>
      </c>
      <c r="P3956">
        <v>-13.47</v>
      </c>
      <c r="Q3956">
        <v>94</v>
      </c>
      <c r="R3956">
        <v>2.02</v>
      </c>
      <c r="S3956">
        <v>82</v>
      </c>
      <c r="T3956">
        <v>18.64</v>
      </c>
      <c r="U3956">
        <v>91</v>
      </c>
      <c r="V3956">
        <v>-0.03</v>
      </c>
      <c r="W3956">
        <v>64</v>
      </c>
      <c r="X3956" t="s">
        <v>558</v>
      </c>
      <c r="Y3956" t="s">
        <v>95</v>
      </c>
      <c r="Z3956" t="s">
        <v>96</v>
      </c>
      <c r="AA3956" t="s">
        <v>3680</v>
      </c>
      <c r="AB3956" t="s">
        <v>3681</v>
      </c>
      <c r="AC3956">
        <v>400</v>
      </c>
      <c r="AD3956">
        <v>226</v>
      </c>
      <c r="AE3956">
        <v>99</v>
      </c>
      <c r="AF3956">
        <v>112.97</v>
      </c>
      <c r="AG3956">
        <v>2.83</v>
      </c>
      <c r="AH3956">
        <v>1.32</v>
      </c>
      <c r="AI3956">
        <v>-0.03</v>
      </c>
      <c r="AJ3956">
        <v>-0.04</v>
      </c>
      <c r="AK3956">
        <v>92</v>
      </c>
      <c r="AL3956">
        <v>516</v>
      </c>
      <c r="AM3956">
        <v>248</v>
      </c>
      <c r="AN3956">
        <v>4.4400000000000004</v>
      </c>
      <c r="AO3956">
        <v>-0.2</v>
      </c>
      <c r="AP3956">
        <v>15</v>
      </c>
      <c r="AQ3956">
        <v>0</v>
      </c>
      <c r="AR3956">
        <v>10.06</v>
      </c>
      <c r="AS3956">
        <v>63</v>
      </c>
      <c r="AT3956">
        <v>4.45</v>
      </c>
      <c r="AU3956">
        <v>92</v>
      </c>
      <c r="AV3956">
        <v>0.99</v>
      </c>
      <c r="AW3956">
        <v>89</v>
      </c>
      <c r="AX3956">
        <v>-0.17</v>
      </c>
      <c r="AY3956">
        <v>93</v>
      </c>
      <c r="AZ3956">
        <v>7.25</v>
      </c>
      <c r="BA3956">
        <v>65</v>
      </c>
      <c r="BB3956">
        <v>4.87</v>
      </c>
      <c r="BC3956">
        <v>84</v>
      </c>
      <c r="BD3956">
        <v>7.0000000000000007E-2</v>
      </c>
      <c r="BE3956">
        <v>0.03</v>
      </c>
      <c r="BF3956">
        <v>-0.22</v>
      </c>
      <c r="BG3956">
        <v>97</v>
      </c>
      <c r="BH3956">
        <v>0.02</v>
      </c>
      <c r="BI3956">
        <v>2.4</v>
      </c>
      <c r="BJ3956">
        <v>66</v>
      </c>
      <c r="BK3956">
        <v>49</v>
      </c>
      <c r="BL3956">
        <v>-0.88</v>
      </c>
      <c r="BM3956">
        <v>-0.75</v>
      </c>
      <c r="BN3956">
        <v>-1.23</v>
      </c>
      <c r="BO3956">
        <v>-0.91</v>
      </c>
      <c r="BP3956">
        <v>-0.71</v>
      </c>
      <c r="BQ3956">
        <v>-2.46</v>
      </c>
      <c r="BR3956">
        <v>1.57</v>
      </c>
      <c r="BS3956">
        <v>-1.47</v>
      </c>
      <c r="BT3956">
        <v>-0.01</v>
      </c>
      <c r="BU3956">
        <v>0.52</v>
      </c>
      <c r="BV3956">
        <v>0.06</v>
      </c>
      <c r="BW3956">
        <v>-0.91</v>
      </c>
      <c r="BX3956">
        <v>-0.76</v>
      </c>
      <c r="BY3956">
        <v>-0.75</v>
      </c>
      <c r="BZ3956">
        <v>0.02</v>
      </c>
      <c r="CA3956">
        <v>-1.2</v>
      </c>
      <c r="CB3956">
        <v>-0.51</v>
      </c>
      <c r="CC3956">
        <v>-2.29</v>
      </c>
      <c r="CD3956">
        <v>0.57999999999999996</v>
      </c>
      <c r="CE3956">
        <v>-0.99</v>
      </c>
      <c r="CF3956">
        <v>-2.02</v>
      </c>
      <c r="CG3956">
        <v>0</v>
      </c>
      <c r="CH3956">
        <v>0.08</v>
      </c>
      <c r="CI3956">
        <v>0</v>
      </c>
      <c r="CJ3956">
        <v>-5.9</v>
      </c>
      <c r="CK3956">
        <v>94</v>
      </c>
      <c r="CL3956">
        <v>-0.62</v>
      </c>
      <c r="CM3956">
        <v>93</v>
      </c>
      <c r="CN3956">
        <v>-0.18</v>
      </c>
      <c r="CO3956">
        <v>93</v>
      </c>
      <c r="CP3956">
        <v>-6.9</v>
      </c>
      <c r="CQ3956">
        <v>96</v>
      </c>
      <c r="CR3956">
        <v>0</v>
      </c>
      <c r="CS3956">
        <v>0</v>
      </c>
      <c r="CT3956">
        <v>-11.4</v>
      </c>
      <c r="CU3956">
        <v>91</v>
      </c>
      <c r="CV3956">
        <v>0.06</v>
      </c>
      <c r="CW3956">
        <v>27</v>
      </c>
      <c r="CX3956" t="s">
        <v>3682</v>
      </c>
    </row>
    <row r="3957" spans="1:102" x14ac:dyDescent="0.3">
      <c r="A3957" t="str">
        <f>HYPERLINK("https://webapp.icbf.com/v2/app/bull-search/view/427828401","RDX")</f>
        <v>RDX</v>
      </c>
      <c r="B3957" t="s">
        <v>2900</v>
      </c>
      <c r="C3957" t="s">
        <v>2901</v>
      </c>
      <c r="D3957" s="1">
        <v>36670</v>
      </c>
      <c r="E3957" t="s">
        <v>92</v>
      </c>
      <c r="F3957">
        <v>100</v>
      </c>
      <c r="G3957" t="s">
        <v>93</v>
      </c>
      <c r="H3957">
        <v>-76.599999999999994</v>
      </c>
      <c r="I3957">
        <v>94</v>
      </c>
      <c r="J3957">
        <v>47.75</v>
      </c>
      <c r="K3957">
        <v>98</v>
      </c>
      <c r="L3957">
        <v>-161.66999999999999</v>
      </c>
      <c r="M3957">
        <v>92</v>
      </c>
      <c r="N3957">
        <v>27.57</v>
      </c>
      <c r="O3957">
        <v>91</v>
      </c>
      <c r="P3957">
        <v>-5.15</v>
      </c>
      <c r="Q3957">
        <v>96</v>
      </c>
      <c r="R3957">
        <v>2.17</v>
      </c>
      <c r="S3957">
        <v>89</v>
      </c>
      <c r="T3957">
        <v>8.5</v>
      </c>
      <c r="U3957">
        <v>93</v>
      </c>
      <c r="V3957">
        <v>4.2300000000000004</v>
      </c>
      <c r="W3957">
        <v>87</v>
      </c>
      <c r="X3957" t="s">
        <v>276</v>
      </c>
      <c r="Y3957" t="s">
        <v>95</v>
      </c>
      <c r="Z3957" t="s">
        <v>96</v>
      </c>
      <c r="AA3957" t="s">
        <v>273</v>
      </c>
      <c r="AB3957" t="s">
        <v>2902</v>
      </c>
      <c r="AC3957">
        <v>257</v>
      </c>
      <c r="AD3957">
        <v>125</v>
      </c>
      <c r="AE3957">
        <v>98</v>
      </c>
      <c r="AF3957">
        <v>354.26</v>
      </c>
      <c r="AG3957">
        <v>9.76</v>
      </c>
      <c r="AH3957">
        <v>10.09</v>
      </c>
      <c r="AI3957">
        <v>-7.0000000000000007E-2</v>
      </c>
      <c r="AJ3957">
        <v>-0.03</v>
      </c>
      <c r="AK3957">
        <v>92</v>
      </c>
      <c r="AL3957">
        <v>264</v>
      </c>
      <c r="AM3957">
        <v>129</v>
      </c>
      <c r="AN3957">
        <v>9.81</v>
      </c>
      <c r="AO3957">
        <v>-3.07</v>
      </c>
      <c r="AP3957">
        <v>335</v>
      </c>
      <c r="AQ3957">
        <v>6</v>
      </c>
      <c r="AR3957">
        <v>7.44</v>
      </c>
      <c r="AS3957">
        <v>89</v>
      </c>
      <c r="AT3957">
        <v>3.49</v>
      </c>
      <c r="AU3957">
        <v>93</v>
      </c>
      <c r="AV3957">
        <v>-3.25</v>
      </c>
      <c r="AW3957">
        <v>96</v>
      </c>
      <c r="AX3957">
        <v>-0.56999999999999995</v>
      </c>
      <c r="AY3957">
        <v>91</v>
      </c>
      <c r="AZ3957">
        <v>5.37</v>
      </c>
      <c r="BA3957">
        <v>78</v>
      </c>
      <c r="BB3957">
        <v>4.66</v>
      </c>
      <c r="BC3957">
        <v>78</v>
      </c>
      <c r="BD3957">
        <v>-0.03</v>
      </c>
      <c r="BE3957">
        <v>0</v>
      </c>
      <c r="BF3957">
        <v>0</v>
      </c>
      <c r="BG3957">
        <v>95</v>
      </c>
      <c r="BH3957">
        <v>0.16</v>
      </c>
      <c r="BI3957">
        <v>4.8600000000000003</v>
      </c>
      <c r="BJ3957">
        <v>68</v>
      </c>
      <c r="BK3957">
        <v>26</v>
      </c>
      <c r="BL3957">
        <v>0.49</v>
      </c>
      <c r="BM3957">
        <v>-0.05</v>
      </c>
      <c r="BN3957">
        <v>1.55</v>
      </c>
      <c r="BO3957">
        <v>0.96</v>
      </c>
      <c r="BP3957">
        <v>-0.25</v>
      </c>
      <c r="BQ3957">
        <v>-0.53</v>
      </c>
      <c r="BR3957">
        <v>-2.98</v>
      </c>
      <c r="BS3957">
        <v>1.22</v>
      </c>
      <c r="BT3957">
        <v>0.87</v>
      </c>
      <c r="BU3957">
        <v>0.96</v>
      </c>
      <c r="BV3957">
        <v>1.49</v>
      </c>
      <c r="BW3957">
        <v>0.88</v>
      </c>
      <c r="BX3957">
        <v>-0.37</v>
      </c>
      <c r="BY3957">
        <v>1.21</v>
      </c>
      <c r="BZ3957">
        <v>1.1200000000000001</v>
      </c>
      <c r="CA3957">
        <v>1.22</v>
      </c>
      <c r="CB3957">
        <v>0.8</v>
      </c>
      <c r="CC3957">
        <v>1.73</v>
      </c>
      <c r="CD3957">
        <v>-0.95</v>
      </c>
      <c r="CE3957">
        <v>1.1200000000000001</v>
      </c>
      <c r="CF3957">
        <v>-0.02</v>
      </c>
      <c r="CG3957">
        <v>0</v>
      </c>
      <c r="CH3957">
        <v>1.1000000000000001</v>
      </c>
      <c r="CI3957">
        <v>0</v>
      </c>
      <c r="CJ3957">
        <v>0.5</v>
      </c>
      <c r="CK3957">
        <v>96</v>
      </c>
      <c r="CL3957">
        <v>-1.02</v>
      </c>
      <c r="CM3957">
        <v>96</v>
      </c>
      <c r="CN3957">
        <v>-0.43</v>
      </c>
      <c r="CO3957">
        <v>95</v>
      </c>
      <c r="CP3957">
        <v>-2.2999999999999998</v>
      </c>
      <c r="CQ3957">
        <v>95</v>
      </c>
      <c r="CR3957">
        <v>0</v>
      </c>
      <c r="CS3957">
        <v>0</v>
      </c>
      <c r="CT3957">
        <v>2.2999999999999998</v>
      </c>
      <c r="CU3957">
        <v>93</v>
      </c>
      <c r="CV3957">
        <v>0.31</v>
      </c>
      <c r="CW3957">
        <v>45</v>
      </c>
      <c r="CX3957" t="s">
        <v>2903</v>
      </c>
    </row>
    <row r="3958" spans="1:102" x14ac:dyDescent="0.3">
      <c r="A3958" t="str">
        <f>HYPERLINK("https://webapp.icbf.com/v2/app/bull-search/view/586036061","S1113")</f>
        <v>S1113</v>
      </c>
      <c r="B3958" t="s">
        <v>3048</v>
      </c>
      <c r="C3958" t="s">
        <v>3049</v>
      </c>
      <c r="D3958" s="1">
        <v>38658</v>
      </c>
      <c r="E3958" t="s">
        <v>92</v>
      </c>
      <c r="F3958">
        <v>100</v>
      </c>
      <c r="G3958" t="s">
        <v>93</v>
      </c>
      <c r="H3958">
        <v>-76.64</v>
      </c>
      <c r="I3958">
        <v>89</v>
      </c>
      <c r="J3958">
        <v>24.64</v>
      </c>
      <c r="K3958">
        <v>97</v>
      </c>
      <c r="L3958">
        <v>-99.91</v>
      </c>
      <c r="M3958">
        <v>90</v>
      </c>
      <c r="N3958">
        <v>-10.58</v>
      </c>
      <c r="O3958">
        <v>84</v>
      </c>
      <c r="P3958">
        <v>-3.65</v>
      </c>
      <c r="Q3958">
        <v>87</v>
      </c>
      <c r="R3958">
        <v>1.1599999999999999</v>
      </c>
      <c r="S3958">
        <v>82</v>
      </c>
      <c r="T3958">
        <v>8.35</v>
      </c>
      <c r="U3958">
        <v>76</v>
      </c>
      <c r="V3958">
        <v>3.35</v>
      </c>
      <c r="W3958">
        <v>72</v>
      </c>
      <c r="X3958" t="s">
        <v>251</v>
      </c>
      <c r="Y3958" t="s">
        <v>336</v>
      </c>
      <c r="Z3958" t="s">
        <v>96</v>
      </c>
      <c r="AA3958" t="s">
        <v>350</v>
      </c>
      <c r="AB3958" t="s">
        <v>3050</v>
      </c>
      <c r="AC3958">
        <v>120</v>
      </c>
      <c r="AD3958">
        <v>44</v>
      </c>
      <c r="AE3958">
        <v>97</v>
      </c>
      <c r="AF3958">
        <v>488.99</v>
      </c>
      <c r="AG3958">
        <v>6.6</v>
      </c>
      <c r="AH3958">
        <v>9.34</v>
      </c>
      <c r="AI3958">
        <v>-0.2</v>
      </c>
      <c r="AJ3958">
        <v>-0.12</v>
      </c>
      <c r="AK3958">
        <v>90</v>
      </c>
      <c r="AL3958">
        <v>115</v>
      </c>
      <c r="AM3958">
        <v>40</v>
      </c>
      <c r="AN3958">
        <v>6.85</v>
      </c>
      <c r="AO3958">
        <v>-1.1000000000000001</v>
      </c>
      <c r="AP3958">
        <v>152</v>
      </c>
      <c r="AQ3958">
        <v>0</v>
      </c>
      <c r="AR3958">
        <v>11.27</v>
      </c>
      <c r="AS3958">
        <v>85</v>
      </c>
      <c r="AT3958">
        <v>4.3</v>
      </c>
      <c r="AU3958">
        <v>85</v>
      </c>
      <c r="AV3958">
        <v>-1.8</v>
      </c>
      <c r="AW3958">
        <v>92</v>
      </c>
      <c r="AX3958">
        <v>0.28999999999999998</v>
      </c>
      <c r="AY3958">
        <v>83</v>
      </c>
      <c r="AZ3958">
        <v>6.15</v>
      </c>
      <c r="BA3958">
        <v>67</v>
      </c>
      <c r="BB3958">
        <v>5.26</v>
      </c>
      <c r="BC3958">
        <v>64</v>
      </c>
      <c r="BD3958">
        <v>0.05</v>
      </c>
      <c r="BE3958">
        <v>0</v>
      </c>
      <c r="BF3958">
        <v>-0.11</v>
      </c>
      <c r="BG3958">
        <v>94</v>
      </c>
      <c r="BH3958">
        <v>0.11</v>
      </c>
      <c r="BI3958">
        <v>1.92</v>
      </c>
      <c r="BJ3958">
        <v>59</v>
      </c>
      <c r="BK3958">
        <v>22</v>
      </c>
      <c r="BL3958">
        <v>1.51</v>
      </c>
      <c r="BM3958">
        <v>-0.74</v>
      </c>
      <c r="BN3958">
        <v>0.82</v>
      </c>
      <c r="BO3958">
        <v>1.33</v>
      </c>
      <c r="BP3958">
        <v>1.71</v>
      </c>
      <c r="BQ3958">
        <v>3.04</v>
      </c>
      <c r="BR3958">
        <v>0.91</v>
      </c>
      <c r="BS3958">
        <v>0.85</v>
      </c>
      <c r="BT3958">
        <v>-1.29</v>
      </c>
      <c r="BU3958">
        <v>1.34</v>
      </c>
      <c r="BV3958">
        <v>1.99</v>
      </c>
      <c r="BW3958">
        <v>1.85</v>
      </c>
      <c r="BX3958">
        <v>1.2</v>
      </c>
      <c r="BY3958">
        <v>1.5</v>
      </c>
      <c r="BZ3958">
        <v>-1</v>
      </c>
      <c r="CA3958">
        <v>1.59</v>
      </c>
      <c r="CB3958">
        <v>1.64</v>
      </c>
      <c r="CC3958">
        <v>0.97</v>
      </c>
      <c r="CD3958">
        <v>-0.83</v>
      </c>
      <c r="CE3958">
        <v>1.67</v>
      </c>
      <c r="CF3958">
        <v>1.87</v>
      </c>
      <c r="CG3958">
        <v>0</v>
      </c>
      <c r="CH3958">
        <v>1.46</v>
      </c>
      <c r="CI3958">
        <v>0</v>
      </c>
      <c r="CJ3958">
        <v>0.4</v>
      </c>
      <c r="CK3958">
        <v>88</v>
      </c>
      <c r="CL3958">
        <v>-1.05</v>
      </c>
      <c r="CM3958">
        <v>85</v>
      </c>
      <c r="CN3958">
        <v>-0.56000000000000005</v>
      </c>
      <c r="CO3958">
        <v>84</v>
      </c>
      <c r="CP3958">
        <v>0.5</v>
      </c>
      <c r="CQ3958">
        <v>86</v>
      </c>
      <c r="CR3958">
        <v>0</v>
      </c>
      <c r="CS3958">
        <v>0</v>
      </c>
      <c r="CT3958">
        <v>2.5</v>
      </c>
      <c r="CU3958">
        <v>76</v>
      </c>
      <c r="CV3958">
        <v>0.21</v>
      </c>
      <c r="CW3958">
        <v>43</v>
      </c>
      <c r="CX3958" t="s">
        <v>3043</v>
      </c>
    </row>
    <row r="3959" spans="1:102" x14ac:dyDescent="0.3">
      <c r="A3959" t="str">
        <f>HYPERLINK("https://webapp.icbf.com/v2/app/bull-search/view/221964524","BIJ")</f>
        <v>BIJ</v>
      </c>
      <c r="B3959" t="s">
        <v>4720</v>
      </c>
      <c r="C3959" t="s">
        <v>4721</v>
      </c>
      <c r="D3959" s="1">
        <v>35829</v>
      </c>
      <c r="E3959" t="s">
        <v>92</v>
      </c>
      <c r="F3959">
        <v>100</v>
      </c>
      <c r="G3959" t="s">
        <v>93</v>
      </c>
      <c r="H3959">
        <v>-76.7</v>
      </c>
      <c r="I3959">
        <v>96</v>
      </c>
      <c r="J3959">
        <v>34.56</v>
      </c>
      <c r="K3959">
        <v>99</v>
      </c>
      <c r="L3959">
        <v>-125.35</v>
      </c>
      <c r="M3959">
        <v>94</v>
      </c>
      <c r="N3959">
        <v>10.24</v>
      </c>
      <c r="O3959">
        <v>96</v>
      </c>
      <c r="P3959">
        <v>-5.82</v>
      </c>
      <c r="Q3959">
        <v>99</v>
      </c>
      <c r="R3959">
        <v>8.67</v>
      </c>
      <c r="S3959">
        <v>91</v>
      </c>
      <c r="T3959">
        <v>-2.23</v>
      </c>
      <c r="U3959">
        <v>97</v>
      </c>
      <c r="V3959">
        <v>3.23</v>
      </c>
      <c r="W3959">
        <v>91</v>
      </c>
      <c r="X3959" t="s">
        <v>276</v>
      </c>
      <c r="Y3959" t="s">
        <v>95</v>
      </c>
      <c r="Z3959" t="s">
        <v>96</v>
      </c>
      <c r="AA3959" t="s">
        <v>3469</v>
      </c>
      <c r="AB3959" t="s">
        <v>4722</v>
      </c>
      <c r="AC3959">
        <v>531</v>
      </c>
      <c r="AD3959">
        <v>178</v>
      </c>
      <c r="AE3959">
        <v>99</v>
      </c>
      <c r="AF3959">
        <v>196.23</v>
      </c>
      <c r="AG3959">
        <v>6.42</v>
      </c>
      <c r="AH3959">
        <v>6.61</v>
      </c>
      <c r="AI3959">
        <v>-0.02</v>
      </c>
      <c r="AJ3959">
        <v>0</v>
      </c>
      <c r="AK3959">
        <v>94</v>
      </c>
      <c r="AL3959">
        <v>554</v>
      </c>
      <c r="AM3959">
        <v>207</v>
      </c>
      <c r="AN3959">
        <v>6.59</v>
      </c>
      <c r="AO3959">
        <v>-3.41</v>
      </c>
      <c r="AP3959">
        <v>1004</v>
      </c>
      <c r="AQ3959">
        <v>2</v>
      </c>
      <c r="AR3959">
        <v>6.96</v>
      </c>
      <c r="AS3959">
        <v>90</v>
      </c>
      <c r="AT3959">
        <v>2.88</v>
      </c>
      <c r="AU3959">
        <v>97</v>
      </c>
      <c r="AV3959">
        <v>-1.6</v>
      </c>
      <c r="AW3959">
        <v>99</v>
      </c>
      <c r="AX3959">
        <v>0.01</v>
      </c>
      <c r="AY3959">
        <v>96</v>
      </c>
      <c r="AZ3959">
        <v>8.66</v>
      </c>
      <c r="BA3959">
        <v>87</v>
      </c>
      <c r="BB3959">
        <v>5.49</v>
      </c>
      <c r="BC3959">
        <v>88</v>
      </c>
      <c r="BD3959">
        <v>-0.08</v>
      </c>
      <c r="BE3959">
        <v>-0.04</v>
      </c>
      <c r="BF3959">
        <v>0.01</v>
      </c>
      <c r="BG3959">
        <v>97</v>
      </c>
      <c r="BH3959">
        <v>-0.01</v>
      </c>
      <c r="BI3959">
        <v>-11.58</v>
      </c>
      <c r="BJ3959">
        <v>104</v>
      </c>
      <c r="BK3959">
        <v>44</v>
      </c>
      <c r="BL3959">
        <v>1.17</v>
      </c>
      <c r="BM3959">
        <v>0.97</v>
      </c>
      <c r="BN3959">
        <v>1.5</v>
      </c>
      <c r="BO3959">
        <v>0.68</v>
      </c>
      <c r="BP3959">
        <v>0.43</v>
      </c>
      <c r="BQ3959">
        <v>1.66</v>
      </c>
      <c r="BR3959">
        <v>-0.68</v>
      </c>
      <c r="BS3959">
        <v>1.27</v>
      </c>
      <c r="BT3959">
        <v>0.56999999999999995</v>
      </c>
      <c r="BU3959">
        <v>1.1399999999999999</v>
      </c>
      <c r="BV3959">
        <v>0.94</v>
      </c>
      <c r="BW3959">
        <v>0.83</v>
      </c>
      <c r="BX3959">
        <v>0.95</v>
      </c>
      <c r="BY3959">
        <v>0.65</v>
      </c>
      <c r="BZ3959">
        <v>2.31</v>
      </c>
      <c r="CA3959">
        <v>1.36</v>
      </c>
      <c r="CB3959">
        <v>1.28</v>
      </c>
      <c r="CC3959">
        <v>1.35</v>
      </c>
      <c r="CD3959">
        <v>0.1</v>
      </c>
      <c r="CE3959">
        <v>0.74</v>
      </c>
      <c r="CF3959">
        <v>1.27</v>
      </c>
      <c r="CG3959">
        <v>0</v>
      </c>
      <c r="CH3959">
        <v>0.61</v>
      </c>
      <c r="CI3959">
        <v>0</v>
      </c>
      <c r="CJ3959">
        <v>-3</v>
      </c>
      <c r="CK3959">
        <v>99</v>
      </c>
      <c r="CL3959">
        <v>-1.01</v>
      </c>
      <c r="CM3959">
        <v>98</v>
      </c>
      <c r="CN3959">
        <v>-0.68</v>
      </c>
      <c r="CO3959">
        <v>98</v>
      </c>
      <c r="CP3959">
        <v>5.2</v>
      </c>
      <c r="CQ3959">
        <v>98</v>
      </c>
      <c r="CR3959">
        <v>0</v>
      </c>
      <c r="CS3959">
        <v>0</v>
      </c>
      <c r="CT3959">
        <v>16.8</v>
      </c>
      <c r="CU3959">
        <v>97</v>
      </c>
      <c r="CV3959">
        <v>0.17</v>
      </c>
      <c r="CW3959">
        <v>46</v>
      </c>
      <c r="CX3959" t="s">
        <v>4723</v>
      </c>
    </row>
    <row r="3960" spans="1:102" x14ac:dyDescent="0.3">
      <c r="A3960" t="str">
        <f>HYPERLINK("https://webapp.icbf.com/v2/app/bull-search/view/124414629","DVB")</f>
        <v>DVB</v>
      </c>
      <c r="B3960" t="s">
        <v>991</v>
      </c>
      <c r="C3960" t="s">
        <v>992</v>
      </c>
      <c r="D3960" s="1">
        <v>35446</v>
      </c>
      <c r="E3960" t="s">
        <v>92</v>
      </c>
      <c r="F3960">
        <v>69</v>
      </c>
      <c r="G3960" t="s">
        <v>93</v>
      </c>
      <c r="H3960">
        <v>-76.94</v>
      </c>
      <c r="I3960">
        <v>83</v>
      </c>
      <c r="J3960">
        <v>14.93</v>
      </c>
      <c r="K3960">
        <v>96</v>
      </c>
      <c r="L3960">
        <v>-73.61</v>
      </c>
      <c r="M3960">
        <v>77</v>
      </c>
      <c r="N3960">
        <v>-7.33</v>
      </c>
      <c r="O3960">
        <v>72</v>
      </c>
      <c r="P3960">
        <v>-12.67</v>
      </c>
      <c r="Q3960">
        <v>84</v>
      </c>
      <c r="R3960">
        <v>-4.6500000000000004</v>
      </c>
      <c r="S3960">
        <v>76</v>
      </c>
      <c r="T3960">
        <v>8.1999999999999993</v>
      </c>
      <c r="U3960">
        <v>81</v>
      </c>
      <c r="V3960">
        <v>-1.81</v>
      </c>
      <c r="W3960">
        <v>63</v>
      </c>
      <c r="X3960" t="s">
        <v>102</v>
      </c>
      <c r="Y3960" t="s">
        <v>95</v>
      </c>
      <c r="Z3960" t="s">
        <v>96</v>
      </c>
      <c r="AA3960" t="s">
        <v>118</v>
      </c>
      <c r="AB3960" t="s">
        <v>993</v>
      </c>
      <c r="AC3960">
        <v>81</v>
      </c>
      <c r="AD3960">
        <v>55</v>
      </c>
      <c r="AE3960">
        <v>96</v>
      </c>
      <c r="AF3960">
        <v>-87.94</v>
      </c>
      <c r="AG3960">
        <v>4.25</v>
      </c>
      <c r="AH3960">
        <v>-0.31</v>
      </c>
      <c r="AI3960">
        <v>0.14000000000000001</v>
      </c>
      <c r="AJ3960">
        <v>0.05</v>
      </c>
      <c r="AK3960">
        <v>77</v>
      </c>
      <c r="AL3960">
        <v>91</v>
      </c>
      <c r="AM3960">
        <v>63</v>
      </c>
      <c r="AN3960">
        <v>4.0599999999999996</v>
      </c>
      <c r="AO3960">
        <v>-1.81</v>
      </c>
      <c r="AP3960">
        <v>8</v>
      </c>
      <c r="AQ3960">
        <v>1</v>
      </c>
      <c r="AR3960">
        <v>9.85</v>
      </c>
      <c r="AS3960">
        <v>57</v>
      </c>
      <c r="AT3960">
        <v>4.2</v>
      </c>
      <c r="AU3960">
        <v>73</v>
      </c>
      <c r="AV3960">
        <v>-1.24</v>
      </c>
      <c r="AW3960">
        <v>77</v>
      </c>
      <c r="AX3960">
        <v>-0.73</v>
      </c>
      <c r="AY3960">
        <v>77</v>
      </c>
      <c r="AZ3960">
        <v>6.58</v>
      </c>
      <c r="BA3960">
        <v>52</v>
      </c>
      <c r="BB3960">
        <v>5.3</v>
      </c>
      <c r="BC3960">
        <v>64</v>
      </c>
      <c r="BD3960">
        <v>0.03</v>
      </c>
      <c r="BE3960">
        <v>0.03</v>
      </c>
      <c r="BF3960">
        <v>0</v>
      </c>
      <c r="BG3960">
        <v>87</v>
      </c>
      <c r="BH3960">
        <v>0</v>
      </c>
      <c r="BI3960">
        <v>5.84</v>
      </c>
      <c r="BJ3960">
        <v>2</v>
      </c>
      <c r="BK3960">
        <v>2</v>
      </c>
      <c r="BL3960">
        <v>-0.92</v>
      </c>
      <c r="BM3960">
        <v>0.47</v>
      </c>
      <c r="BN3960">
        <v>0.09</v>
      </c>
      <c r="BO3960">
        <v>-0.7</v>
      </c>
      <c r="BP3960">
        <v>-0.74</v>
      </c>
      <c r="BQ3960">
        <v>-0.33</v>
      </c>
      <c r="BR3960">
        <v>-1.38</v>
      </c>
      <c r="BS3960">
        <v>0.68</v>
      </c>
      <c r="BT3960">
        <v>0.64</v>
      </c>
      <c r="BU3960">
        <v>-0.28999999999999998</v>
      </c>
      <c r="BV3960">
        <v>-1.08</v>
      </c>
      <c r="BW3960">
        <v>-0.95</v>
      </c>
      <c r="BX3960">
        <v>0.03</v>
      </c>
      <c r="BY3960">
        <v>-0.18</v>
      </c>
      <c r="BZ3960">
        <v>-0.86</v>
      </c>
      <c r="CA3960">
        <v>-0.22</v>
      </c>
      <c r="CB3960">
        <v>-0.66</v>
      </c>
      <c r="CC3960">
        <v>0.78</v>
      </c>
      <c r="CD3960">
        <v>0.94</v>
      </c>
      <c r="CE3960">
        <v>-0.88</v>
      </c>
      <c r="CF3960">
        <v>-1.03</v>
      </c>
      <c r="CG3960">
        <v>0</v>
      </c>
      <c r="CH3960">
        <v>-0.8</v>
      </c>
      <c r="CI3960">
        <v>0</v>
      </c>
      <c r="CJ3960">
        <v>-5.3</v>
      </c>
      <c r="CK3960">
        <v>85</v>
      </c>
      <c r="CL3960">
        <v>-0.45</v>
      </c>
      <c r="CM3960">
        <v>82</v>
      </c>
      <c r="CN3960">
        <v>-0.06</v>
      </c>
      <c r="CO3960">
        <v>80</v>
      </c>
      <c r="CP3960">
        <v>-9.4</v>
      </c>
      <c r="CQ3960">
        <v>89</v>
      </c>
      <c r="CR3960">
        <v>0</v>
      </c>
      <c r="CS3960">
        <v>0</v>
      </c>
      <c r="CT3960">
        <v>2.7</v>
      </c>
      <c r="CU3960">
        <v>81</v>
      </c>
      <c r="CV3960">
        <v>7.0000000000000007E-2</v>
      </c>
      <c r="CW3960">
        <v>43</v>
      </c>
      <c r="CX3960" t="s">
        <v>607</v>
      </c>
    </row>
    <row r="3961" spans="1:102" x14ac:dyDescent="0.3">
      <c r="A3961" t="str">
        <f>HYPERLINK("https://webapp.icbf.com/v2/app/bull-search/view/69092149","LMZ")</f>
        <v>LMZ</v>
      </c>
      <c r="B3961" t="s">
        <v>8451</v>
      </c>
      <c r="C3961" t="s">
        <v>8452</v>
      </c>
      <c r="D3961" s="1">
        <v>34728</v>
      </c>
      <c r="E3961" t="s">
        <v>92</v>
      </c>
      <c r="F3961">
        <v>100</v>
      </c>
      <c r="G3961" t="s">
        <v>93</v>
      </c>
      <c r="H3961">
        <v>-77.069999999999993</v>
      </c>
      <c r="I3961">
        <v>98</v>
      </c>
      <c r="J3961">
        <v>49.8</v>
      </c>
      <c r="K3961">
        <v>99</v>
      </c>
      <c r="L3961">
        <v>-138.34</v>
      </c>
      <c r="M3961">
        <v>96</v>
      </c>
      <c r="N3961">
        <v>32.35</v>
      </c>
      <c r="O3961">
        <v>99</v>
      </c>
      <c r="P3961">
        <v>-6.07</v>
      </c>
      <c r="Q3961">
        <v>99</v>
      </c>
      <c r="R3961">
        <v>-10.47</v>
      </c>
      <c r="S3961">
        <v>98</v>
      </c>
      <c r="T3961">
        <v>7.46</v>
      </c>
      <c r="U3961">
        <v>99</v>
      </c>
      <c r="V3961">
        <v>-11.8</v>
      </c>
      <c r="W3961">
        <v>98</v>
      </c>
      <c r="X3961" t="s">
        <v>94</v>
      </c>
      <c r="Y3961" t="s">
        <v>95</v>
      </c>
      <c r="Z3961" t="s">
        <v>96</v>
      </c>
      <c r="AA3961" t="s">
        <v>4070</v>
      </c>
      <c r="AB3961" t="s">
        <v>8453</v>
      </c>
      <c r="AC3961">
        <v>3361</v>
      </c>
      <c r="AD3961">
        <v>1077</v>
      </c>
      <c r="AE3961">
        <v>99</v>
      </c>
      <c r="AF3961">
        <v>213.42</v>
      </c>
      <c r="AG3961">
        <v>9.9700000000000006</v>
      </c>
      <c r="AH3961">
        <v>8.2100000000000009</v>
      </c>
      <c r="AI3961">
        <v>0.03</v>
      </c>
      <c r="AJ3961">
        <v>0.02</v>
      </c>
      <c r="AK3961">
        <v>96</v>
      </c>
      <c r="AL3961">
        <v>3421</v>
      </c>
      <c r="AM3961">
        <v>1248</v>
      </c>
      <c r="AN3961">
        <v>6.94</v>
      </c>
      <c r="AO3961">
        <v>-4.0999999999999996</v>
      </c>
      <c r="AP3961">
        <v>5533</v>
      </c>
      <c r="AQ3961">
        <v>45</v>
      </c>
      <c r="AR3961">
        <v>5.2</v>
      </c>
      <c r="AS3961">
        <v>99</v>
      </c>
      <c r="AT3961">
        <v>2.2999999999999998</v>
      </c>
      <c r="AU3961">
        <v>99</v>
      </c>
      <c r="AV3961">
        <v>-2.31</v>
      </c>
      <c r="AW3961">
        <v>99</v>
      </c>
      <c r="AX3961">
        <v>0.12</v>
      </c>
      <c r="AY3961">
        <v>99</v>
      </c>
      <c r="AZ3961">
        <v>5.27</v>
      </c>
      <c r="BA3961">
        <v>97</v>
      </c>
      <c r="BB3961">
        <v>4.87</v>
      </c>
      <c r="BC3961">
        <v>98</v>
      </c>
      <c r="BD3961">
        <v>0.01</v>
      </c>
      <c r="BE3961">
        <v>0.06</v>
      </c>
      <c r="BF3961">
        <v>0.11</v>
      </c>
      <c r="BG3961">
        <v>99</v>
      </c>
      <c r="BH3961">
        <v>-0.11</v>
      </c>
      <c r="BI3961">
        <v>25.33</v>
      </c>
      <c r="BJ3961">
        <v>255</v>
      </c>
      <c r="BK3961">
        <v>116</v>
      </c>
      <c r="BL3961">
        <v>0.99</v>
      </c>
      <c r="BM3961">
        <v>0.4</v>
      </c>
      <c r="BN3961">
        <v>1.48</v>
      </c>
      <c r="BO3961">
        <v>1.04</v>
      </c>
      <c r="BP3961">
        <v>-2.21</v>
      </c>
      <c r="BQ3961">
        <v>1.1200000000000001</v>
      </c>
      <c r="BR3961">
        <v>0.69</v>
      </c>
      <c r="BS3961">
        <v>0.84</v>
      </c>
      <c r="BT3961">
        <v>-0.37</v>
      </c>
      <c r="BU3961">
        <v>-0.43</v>
      </c>
      <c r="BV3961">
        <v>0.67</v>
      </c>
      <c r="BW3961">
        <v>1.07</v>
      </c>
      <c r="BX3961">
        <v>-0.43</v>
      </c>
      <c r="BY3961">
        <v>-0.33</v>
      </c>
      <c r="BZ3961">
        <v>1.28</v>
      </c>
      <c r="CA3961">
        <v>0.53</v>
      </c>
      <c r="CB3961">
        <v>0.43</v>
      </c>
      <c r="CC3961">
        <v>0.57999999999999996</v>
      </c>
      <c r="CD3961">
        <v>-0.8</v>
      </c>
      <c r="CE3961">
        <v>1.17</v>
      </c>
      <c r="CF3961">
        <v>0.47</v>
      </c>
      <c r="CG3961">
        <v>0</v>
      </c>
      <c r="CH3961">
        <v>-0.42</v>
      </c>
      <c r="CI3961">
        <v>0</v>
      </c>
      <c r="CJ3961">
        <v>1.6</v>
      </c>
      <c r="CK3961">
        <v>99</v>
      </c>
      <c r="CL3961">
        <v>-1.02</v>
      </c>
      <c r="CM3961">
        <v>99</v>
      </c>
      <c r="CN3961">
        <v>-0.22</v>
      </c>
      <c r="CO3961">
        <v>99</v>
      </c>
      <c r="CP3961">
        <v>-2.2000000000000002</v>
      </c>
      <c r="CQ3961">
        <v>99</v>
      </c>
      <c r="CR3961">
        <v>0</v>
      </c>
      <c r="CS3961">
        <v>0</v>
      </c>
      <c r="CT3961">
        <v>3.7</v>
      </c>
      <c r="CU3961">
        <v>99</v>
      </c>
      <c r="CV3961">
        <v>0.28000000000000003</v>
      </c>
      <c r="CW3961">
        <v>46</v>
      </c>
      <c r="CX3961" t="s">
        <v>8454</v>
      </c>
    </row>
    <row r="3962" spans="1:102" x14ac:dyDescent="0.3">
      <c r="A3962" t="str">
        <f>HYPERLINK("https://webapp.icbf.com/v2/app/bull-search/view/77856583","HSF")</f>
        <v>HSF</v>
      </c>
      <c r="B3962" t="s">
        <v>4919</v>
      </c>
      <c r="C3962" t="s">
        <v>4920</v>
      </c>
      <c r="D3962" s="1">
        <v>35007</v>
      </c>
      <c r="E3962" t="s">
        <v>92</v>
      </c>
      <c r="F3962">
        <v>100</v>
      </c>
      <c r="G3962" t="s">
        <v>93</v>
      </c>
      <c r="H3962">
        <v>-77.180000000000007</v>
      </c>
      <c r="I3962">
        <v>86</v>
      </c>
      <c r="J3962">
        <v>4.2300000000000004</v>
      </c>
      <c r="K3962">
        <v>97</v>
      </c>
      <c r="L3962">
        <v>-65.91</v>
      </c>
      <c r="M3962">
        <v>81</v>
      </c>
      <c r="N3962">
        <v>-6.55</v>
      </c>
      <c r="O3962">
        <v>78</v>
      </c>
      <c r="P3962">
        <v>-7.35</v>
      </c>
      <c r="Q3962">
        <v>86</v>
      </c>
      <c r="R3962">
        <v>-0.54</v>
      </c>
      <c r="S3962">
        <v>80</v>
      </c>
      <c r="T3962">
        <v>9.68</v>
      </c>
      <c r="U3962">
        <v>84</v>
      </c>
      <c r="V3962">
        <v>-10.74</v>
      </c>
      <c r="W3962">
        <v>67</v>
      </c>
      <c r="X3962" t="s">
        <v>94</v>
      </c>
      <c r="Y3962" t="s">
        <v>95</v>
      </c>
      <c r="Z3962" t="s">
        <v>96</v>
      </c>
      <c r="AA3962" t="s">
        <v>1106</v>
      </c>
      <c r="AB3962" t="s">
        <v>4921</v>
      </c>
      <c r="AC3962">
        <v>123</v>
      </c>
      <c r="AD3962">
        <v>104</v>
      </c>
      <c r="AE3962">
        <v>97</v>
      </c>
      <c r="AF3962">
        <v>56.36</v>
      </c>
      <c r="AG3962">
        <v>12.39</v>
      </c>
      <c r="AH3962">
        <v>-2.8</v>
      </c>
      <c r="AI3962">
        <v>0.18</v>
      </c>
      <c r="AJ3962">
        <v>-0.08</v>
      </c>
      <c r="AK3962">
        <v>81</v>
      </c>
      <c r="AL3962">
        <v>129</v>
      </c>
      <c r="AM3962">
        <v>108</v>
      </c>
      <c r="AN3962">
        <v>3.29</v>
      </c>
      <c r="AO3962">
        <v>-1.97</v>
      </c>
      <c r="AP3962">
        <v>3</v>
      </c>
      <c r="AQ3962">
        <v>0</v>
      </c>
      <c r="AR3962">
        <v>8.5</v>
      </c>
      <c r="AS3962">
        <v>60</v>
      </c>
      <c r="AT3962">
        <v>3.93</v>
      </c>
      <c r="AU3962">
        <v>80</v>
      </c>
      <c r="AV3962">
        <v>-0.68</v>
      </c>
      <c r="AW3962">
        <v>83</v>
      </c>
      <c r="AX3962">
        <v>-0.26</v>
      </c>
      <c r="AY3962">
        <v>81</v>
      </c>
      <c r="AZ3962">
        <v>7.06</v>
      </c>
      <c r="BA3962">
        <v>54</v>
      </c>
      <c r="BB3962">
        <v>5.29</v>
      </c>
      <c r="BC3962">
        <v>71</v>
      </c>
      <c r="BD3962">
        <v>0.02</v>
      </c>
      <c r="BE3962">
        <v>0.01</v>
      </c>
      <c r="BF3962">
        <v>-0.04</v>
      </c>
      <c r="BG3962">
        <v>92</v>
      </c>
      <c r="BH3962">
        <v>-0.21</v>
      </c>
      <c r="BI3962">
        <v>10.35</v>
      </c>
      <c r="BJ3962">
        <v>5</v>
      </c>
      <c r="BK3962">
        <v>4</v>
      </c>
      <c r="BL3962">
        <v>1.52</v>
      </c>
      <c r="BM3962">
        <v>0.18</v>
      </c>
      <c r="BN3962">
        <v>1.51</v>
      </c>
      <c r="BO3962">
        <v>0.91</v>
      </c>
      <c r="BP3962">
        <v>0.64</v>
      </c>
      <c r="BQ3962">
        <v>-0.15</v>
      </c>
      <c r="BR3962">
        <v>-0.78</v>
      </c>
      <c r="BS3962">
        <v>-1.02</v>
      </c>
      <c r="BT3962">
        <v>1.65</v>
      </c>
      <c r="BU3962">
        <v>-1.65</v>
      </c>
      <c r="BV3962">
        <v>-0.45</v>
      </c>
      <c r="BW3962">
        <v>-1.19</v>
      </c>
      <c r="BX3962">
        <v>-1.47</v>
      </c>
      <c r="BY3962">
        <v>-1.7</v>
      </c>
      <c r="BZ3962">
        <v>1.07</v>
      </c>
      <c r="CA3962">
        <v>-1.5</v>
      </c>
      <c r="CB3962">
        <v>-1.55</v>
      </c>
      <c r="CC3962">
        <v>-0.1</v>
      </c>
      <c r="CD3962">
        <v>-0.33</v>
      </c>
      <c r="CE3962">
        <v>0.74</v>
      </c>
      <c r="CF3962">
        <v>1.0900000000000001</v>
      </c>
      <c r="CG3962">
        <v>0</v>
      </c>
      <c r="CH3962">
        <v>-3.05</v>
      </c>
      <c r="CI3962">
        <v>0</v>
      </c>
      <c r="CJ3962">
        <v>0.1</v>
      </c>
      <c r="CK3962">
        <v>87</v>
      </c>
      <c r="CL3962">
        <v>-0.64</v>
      </c>
      <c r="CM3962">
        <v>85</v>
      </c>
      <c r="CN3962">
        <v>0</v>
      </c>
      <c r="CO3962">
        <v>83</v>
      </c>
      <c r="CP3962">
        <v>-5.9</v>
      </c>
      <c r="CQ3962">
        <v>90</v>
      </c>
      <c r="CR3962">
        <v>0</v>
      </c>
      <c r="CS3962">
        <v>0</v>
      </c>
      <c r="CT3962">
        <v>0.7</v>
      </c>
      <c r="CU3962">
        <v>84</v>
      </c>
      <c r="CV3962">
        <v>0.16</v>
      </c>
      <c r="CW3962">
        <v>43</v>
      </c>
      <c r="CX3962" t="s">
        <v>531</v>
      </c>
    </row>
    <row r="3963" spans="1:102" x14ac:dyDescent="0.3">
      <c r="A3963" t="str">
        <f>HYPERLINK("https://webapp.icbf.com/v2/app/bull-search/view/69091570","EIO")</f>
        <v>EIO</v>
      </c>
      <c r="B3963" t="s">
        <v>3255</v>
      </c>
      <c r="C3963" t="s">
        <v>3256</v>
      </c>
      <c r="D3963" s="1">
        <v>35719</v>
      </c>
      <c r="E3963" t="s">
        <v>92</v>
      </c>
      <c r="F3963">
        <v>100</v>
      </c>
      <c r="G3963" t="s">
        <v>116</v>
      </c>
      <c r="H3963">
        <v>-77.349999999999994</v>
      </c>
      <c r="I3963">
        <v>33</v>
      </c>
      <c r="J3963">
        <v>3.92</v>
      </c>
      <c r="K3963">
        <v>33</v>
      </c>
      <c r="L3963">
        <v>-65.94</v>
      </c>
      <c r="M3963">
        <v>33</v>
      </c>
      <c r="N3963">
        <v>-1.9</v>
      </c>
      <c r="O3963">
        <v>30</v>
      </c>
      <c r="P3963">
        <v>-6.45</v>
      </c>
      <c r="Q3963">
        <v>33</v>
      </c>
      <c r="R3963">
        <v>-12.89</v>
      </c>
      <c r="S3963">
        <v>32</v>
      </c>
      <c r="T3963">
        <v>8.5500000000000007</v>
      </c>
      <c r="U3963">
        <v>33</v>
      </c>
      <c r="V3963">
        <v>-2.64</v>
      </c>
      <c r="W3963">
        <v>33</v>
      </c>
      <c r="X3963" t="s">
        <v>94</v>
      </c>
      <c r="Y3963" t="s">
        <v>1333</v>
      </c>
      <c r="Z3963">
        <v>0</v>
      </c>
      <c r="AA3963" t="s">
        <v>2898</v>
      </c>
      <c r="AB3963" t="s">
        <v>3257</v>
      </c>
      <c r="AC3963">
        <v>0</v>
      </c>
      <c r="AD3963">
        <v>0</v>
      </c>
      <c r="AE3963">
        <v>33</v>
      </c>
      <c r="AF3963">
        <v>168.48</v>
      </c>
      <c r="AG3963">
        <v>0.13</v>
      </c>
      <c r="AH3963">
        <v>3.2</v>
      </c>
      <c r="AI3963">
        <v>-0.12</v>
      </c>
      <c r="AJ3963">
        <v>-0.06</v>
      </c>
      <c r="AK3963">
        <v>33</v>
      </c>
      <c r="AL3963">
        <v>0</v>
      </c>
      <c r="AM3963">
        <v>0</v>
      </c>
      <c r="AN3963">
        <v>3.5</v>
      </c>
      <c r="AO3963">
        <v>-1.76</v>
      </c>
      <c r="AP3963">
        <v>0</v>
      </c>
      <c r="AQ3963">
        <v>1</v>
      </c>
      <c r="AR3963">
        <v>8.15</v>
      </c>
      <c r="AS3963">
        <v>28</v>
      </c>
      <c r="AT3963">
        <v>3.39</v>
      </c>
      <c r="AU3963">
        <v>33</v>
      </c>
      <c r="AV3963">
        <v>-0.46</v>
      </c>
      <c r="AW3963">
        <v>29</v>
      </c>
      <c r="AX3963">
        <v>-0.25</v>
      </c>
      <c r="AY3963">
        <v>33</v>
      </c>
      <c r="AZ3963">
        <v>7.08</v>
      </c>
      <c r="BA3963">
        <v>28</v>
      </c>
      <c r="BB3963">
        <v>5.28</v>
      </c>
      <c r="BC3963">
        <v>29</v>
      </c>
      <c r="BD3963">
        <v>0.08</v>
      </c>
      <c r="BE3963">
        <v>7.0000000000000007E-2</v>
      </c>
      <c r="BF3963">
        <v>0.03</v>
      </c>
      <c r="BG3963">
        <v>33</v>
      </c>
      <c r="BH3963">
        <v>0.04</v>
      </c>
      <c r="BI3963">
        <v>13.14</v>
      </c>
      <c r="BJ3963">
        <v>0</v>
      </c>
      <c r="BK3963">
        <v>0</v>
      </c>
      <c r="BL3963">
        <v>0.28999999999999998</v>
      </c>
      <c r="BM3963">
        <v>0.53</v>
      </c>
      <c r="BN3963">
        <v>0.43</v>
      </c>
      <c r="BO3963">
        <v>-0.01</v>
      </c>
      <c r="BP3963">
        <v>0.38</v>
      </c>
      <c r="BQ3963">
        <v>-0.14000000000000001</v>
      </c>
      <c r="BR3963">
        <v>-0.13</v>
      </c>
      <c r="BS3963">
        <v>0.76</v>
      </c>
      <c r="BT3963">
        <v>0.35</v>
      </c>
      <c r="BU3963">
        <v>-0.08</v>
      </c>
      <c r="BV3963">
        <v>-0.36</v>
      </c>
      <c r="BW3963">
        <v>-0.6</v>
      </c>
      <c r="BX3963">
        <v>-0.59</v>
      </c>
      <c r="BY3963">
        <v>-0.06</v>
      </c>
      <c r="BZ3963">
        <v>0.03</v>
      </c>
      <c r="CA3963">
        <v>0.34</v>
      </c>
      <c r="CB3963">
        <v>-0.05</v>
      </c>
      <c r="CC3963">
        <v>0.9</v>
      </c>
      <c r="CD3963">
        <v>0.35</v>
      </c>
      <c r="CE3963">
        <v>0.15</v>
      </c>
      <c r="CF3963">
        <v>0.62</v>
      </c>
      <c r="CG3963">
        <v>0</v>
      </c>
      <c r="CH3963">
        <v>-0.17</v>
      </c>
      <c r="CI3963">
        <v>0</v>
      </c>
      <c r="CJ3963">
        <v>0.27</v>
      </c>
      <c r="CK3963">
        <v>33</v>
      </c>
      <c r="CL3963">
        <v>-0.66</v>
      </c>
      <c r="CM3963">
        <v>33</v>
      </c>
      <c r="CN3963">
        <v>-0.05</v>
      </c>
      <c r="CO3963">
        <v>33</v>
      </c>
      <c r="CP3963">
        <v>-3.95</v>
      </c>
      <c r="CQ3963">
        <v>33</v>
      </c>
      <c r="CR3963">
        <v>0</v>
      </c>
      <c r="CS3963">
        <v>0</v>
      </c>
      <c r="CT3963">
        <v>2.23</v>
      </c>
      <c r="CU3963">
        <v>33</v>
      </c>
      <c r="CV3963">
        <v>0.18</v>
      </c>
      <c r="CW3963">
        <v>16</v>
      </c>
      <c r="CX3963" t="s">
        <v>132</v>
      </c>
    </row>
    <row r="3964" spans="1:102" x14ac:dyDescent="0.3">
      <c r="A3964" t="str">
        <f>HYPERLINK("https://webapp.icbf.com/v2/app/bull-search/view/77859277","ALL")</f>
        <v>ALL</v>
      </c>
      <c r="B3964" t="s">
        <v>3674</v>
      </c>
      <c r="C3964" t="s">
        <v>1244</v>
      </c>
      <c r="D3964" s="1">
        <v>35395</v>
      </c>
      <c r="E3964" t="s">
        <v>92</v>
      </c>
      <c r="F3964">
        <v>100</v>
      </c>
      <c r="G3964" t="s">
        <v>93</v>
      </c>
      <c r="H3964">
        <v>-77.42</v>
      </c>
      <c r="I3964">
        <v>86</v>
      </c>
      <c r="J3964">
        <v>-23.81</v>
      </c>
      <c r="K3964">
        <v>97</v>
      </c>
      <c r="L3964">
        <v>0.88</v>
      </c>
      <c r="M3964">
        <v>80</v>
      </c>
      <c r="N3964">
        <v>-51.34</v>
      </c>
      <c r="O3964">
        <v>81</v>
      </c>
      <c r="P3964">
        <v>-5.86</v>
      </c>
      <c r="Q3964">
        <v>88</v>
      </c>
      <c r="R3964">
        <v>-8.52</v>
      </c>
      <c r="S3964">
        <v>79</v>
      </c>
      <c r="T3964">
        <v>17.38</v>
      </c>
      <c r="U3964">
        <v>87</v>
      </c>
      <c r="V3964">
        <v>-6.15</v>
      </c>
      <c r="W3964">
        <v>68</v>
      </c>
      <c r="X3964" t="s">
        <v>94</v>
      </c>
      <c r="Y3964" t="s">
        <v>95</v>
      </c>
      <c r="Z3964" t="s">
        <v>96</v>
      </c>
      <c r="AA3964" t="s">
        <v>97</v>
      </c>
      <c r="AB3964" t="s">
        <v>2895</v>
      </c>
      <c r="AC3964">
        <v>115</v>
      </c>
      <c r="AD3964">
        <v>97</v>
      </c>
      <c r="AE3964">
        <v>97</v>
      </c>
      <c r="AF3964">
        <v>-149.69999999999999</v>
      </c>
      <c r="AG3964">
        <v>-4.78</v>
      </c>
      <c r="AH3964">
        <v>-4.6500000000000004</v>
      </c>
      <c r="AI3964">
        <v>0.02</v>
      </c>
      <c r="AJ3964">
        <v>0.01</v>
      </c>
      <c r="AK3964">
        <v>80</v>
      </c>
      <c r="AL3964">
        <v>105</v>
      </c>
      <c r="AM3964">
        <v>88</v>
      </c>
      <c r="AN3964">
        <v>-7.0000000000000007E-2</v>
      </c>
      <c r="AO3964">
        <v>0</v>
      </c>
      <c r="AP3964">
        <v>19</v>
      </c>
      <c r="AQ3964">
        <v>1</v>
      </c>
      <c r="AR3964">
        <v>12.89</v>
      </c>
      <c r="AS3964">
        <v>62</v>
      </c>
      <c r="AT3964">
        <v>5.73</v>
      </c>
      <c r="AU3964">
        <v>81</v>
      </c>
      <c r="AV3964">
        <v>0.36</v>
      </c>
      <c r="AW3964">
        <v>88</v>
      </c>
      <c r="AX3964">
        <v>-0.19</v>
      </c>
      <c r="AY3964">
        <v>83</v>
      </c>
      <c r="AZ3964">
        <v>6.29</v>
      </c>
      <c r="BA3964">
        <v>57</v>
      </c>
      <c r="BB3964">
        <v>5.18</v>
      </c>
      <c r="BC3964">
        <v>72</v>
      </c>
      <c r="BD3964">
        <v>0.03</v>
      </c>
      <c r="BE3964">
        <v>0.04</v>
      </c>
      <c r="BF3964">
        <v>7.0000000000000007E-2</v>
      </c>
      <c r="BG3964">
        <v>91</v>
      </c>
      <c r="BH3964">
        <v>-7.0000000000000007E-2</v>
      </c>
      <c r="BI3964">
        <v>11.73</v>
      </c>
      <c r="BJ3964">
        <v>0</v>
      </c>
      <c r="BK3964">
        <v>0</v>
      </c>
      <c r="BL3964">
        <v>-0.91</v>
      </c>
      <c r="BM3964">
        <v>-1.51</v>
      </c>
      <c r="BN3964">
        <v>-2.4</v>
      </c>
      <c r="BO3964">
        <v>-1.07</v>
      </c>
      <c r="BP3964">
        <v>0.68</v>
      </c>
      <c r="BQ3964">
        <v>-2.72</v>
      </c>
      <c r="BR3964">
        <v>-0.98</v>
      </c>
      <c r="BS3964">
        <v>0.85</v>
      </c>
      <c r="BT3964">
        <v>1.18</v>
      </c>
      <c r="BU3964">
        <v>-1.02</v>
      </c>
      <c r="BV3964">
        <v>-1.91</v>
      </c>
      <c r="BW3964">
        <v>-0.75</v>
      </c>
      <c r="BX3964">
        <v>0.15</v>
      </c>
      <c r="BY3964">
        <v>-0.13</v>
      </c>
      <c r="BZ3964">
        <v>-1.89</v>
      </c>
      <c r="CA3964">
        <v>-0.62</v>
      </c>
      <c r="CB3964">
        <v>-1.19</v>
      </c>
      <c r="CC3964">
        <v>0.61</v>
      </c>
      <c r="CD3964">
        <v>0.44</v>
      </c>
      <c r="CE3964">
        <v>-0.43</v>
      </c>
      <c r="CF3964">
        <v>-0.68</v>
      </c>
      <c r="CG3964">
        <v>0</v>
      </c>
      <c r="CH3964">
        <v>0.23</v>
      </c>
      <c r="CI3964">
        <v>0</v>
      </c>
      <c r="CJ3964">
        <v>-1.3</v>
      </c>
      <c r="CK3964">
        <v>89</v>
      </c>
      <c r="CL3964">
        <v>-0.46</v>
      </c>
      <c r="CM3964">
        <v>87</v>
      </c>
      <c r="CN3964">
        <v>-0.15</v>
      </c>
      <c r="CO3964">
        <v>86</v>
      </c>
      <c r="CP3964">
        <v>-7.2</v>
      </c>
      <c r="CQ3964">
        <v>92</v>
      </c>
      <c r="CR3964">
        <v>0</v>
      </c>
      <c r="CS3964">
        <v>0</v>
      </c>
      <c r="CT3964">
        <v>-9.6999999999999993</v>
      </c>
      <c r="CU3964">
        <v>87</v>
      </c>
      <c r="CV3964">
        <v>0.12</v>
      </c>
      <c r="CW3964">
        <v>43</v>
      </c>
      <c r="CX3964" t="s">
        <v>1488</v>
      </c>
    </row>
    <row r="3965" spans="1:102" x14ac:dyDescent="0.3">
      <c r="A3965" t="str">
        <f>HYPERLINK("https://webapp.icbf.com/v2/app/bull-search/view/1276123661","FR2172")</f>
        <v>FR2172</v>
      </c>
      <c r="B3965" t="s">
        <v>9326</v>
      </c>
      <c r="C3965" t="s">
        <v>9327</v>
      </c>
      <c r="D3965" s="1">
        <v>41496</v>
      </c>
      <c r="E3965" t="s">
        <v>92</v>
      </c>
      <c r="F3965">
        <v>100</v>
      </c>
      <c r="G3965" t="s">
        <v>109</v>
      </c>
      <c r="H3965">
        <v>-77.72</v>
      </c>
      <c r="I3965">
        <v>78</v>
      </c>
      <c r="J3965">
        <v>85.38</v>
      </c>
      <c r="K3965">
        <v>93</v>
      </c>
      <c r="L3965">
        <v>-147.9</v>
      </c>
      <c r="M3965">
        <v>84</v>
      </c>
      <c r="N3965">
        <v>-17.82</v>
      </c>
      <c r="O3965">
        <v>71</v>
      </c>
      <c r="P3965">
        <v>-10.94</v>
      </c>
      <c r="Q3965">
        <v>49</v>
      </c>
      <c r="R3965">
        <v>20.76</v>
      </c>
      <c r="S3965">
        <v>74</v>
      </c>
      <c r="T3965">
        <v>-12.59</v>
      </c>
      <c r="U3965">
        <v>44</v>
      </c>
      <c r="V3965">
        <v>5.39</v>
      </c>
      <c r="W3965">
        <v>60</v>
      </c>
      <c r="X3965" t="s">
        <v>251</v>
      </c>
      <c r="Y3965" t="s">
        <v>405</v>
      </c>
      <c r="Z3965" t="s">
        <v>96</v>
      </c>
      <c r="AA3965" t="s">
        <v>2216</v>
      </c>
      <c r="AB3965" t="s">
        <v>9328</v>
      </c>
      <c r="AC3965">
        <v>0</v>
      </c>
      <c r="AD3965">
        <v>0</v>
      </c>
      <c r="AE3965">
        <v>93</v>
      </c>
      <c r="AF3965">
        <v>578.83000000000004</v>
      </c>
      <c r="AG3965">
        <v>16.82</v>
      </c>
      <c r="AH3965">
        <v>17.43</v>
      </c>
      <c r="AI3965">
        <v>-0.09</v>
      </c>
      <c r="AJ3965">
        <v>-0.04</v>
      </c>
      <c r="AK3965">
        <v>84</v>
      </c>
      <c r="AL3965">
        <v>0</v>
      </c>
      <c r="AM3965">
        <v>0</v>
      </c>
      <c r="AN3965">
        <v>9.1999999999999993</v>
      </c>
      <c r="AO3965">
        <v>-2.58</v>
      </c>
      <c r="AP3965">
        <v>51</v>
      </c>
      <c r="AQ3965">
        <v>0</v>
      </c>
      <c r="AR3965">
        <v>12.73</v>
      </c>
      <c r="AS3965">
        <v>67</v>
      </c>
      <c r="AT3965">
        <v>4.28</v>
      </c>
      <c r="AU3965">
        <v>88</v>
      </c>
      <c r="AV3965">
        <v>-3.17</v>
      </c>
      <c r="AW3965">
        <v>76</v>
      </c>
      <c r="AX3965">
        <v>2.23</v>
      </c>
      <c r="AY3965">
        <v>58</v>
      </c>
      <c r="AZ3965">
        <v>7.93</v>
      </c>
      <c r="BA3965">
        <v>48</v>
      </c>
      <c r="BB3965">
        <v>6.19</v>
      </c>
      <c r="BC3965">
        <v>43</v>
      </c>
      <c r="BD3965">
        <v>-0.08</v>
      </c>
      <c r="BE3965">
        <v>-0.06</v>
      </c>
      <c r="BF3965">
        <v>-0.23</v>
      </c>
      <c r="BG3965">
        <v>91</v>
      </c>
      <c r="BH3965">
        <v>0.14000000000000001</v>
      </c>
      <c r="BI3965">
        <v>-1.19</v>
      </c>
      <c r="BJ3965">
        <v>3</v>
      </c>
      <c r="BK3965">
        <v>2</v>
      </c>
      <c r="BL3965">
        <v>3.22</v>
      </c>
      <c r="BM3965">
        <v>-1.44</v>
      </c>
      <c r="BN3965">
        <v>1.88</v>
      </c>
      <c r="BO3965">
        <v>2.63</v>
      </c>
      <c r="BP3965">
        <v>-3.86</v>
      </c>
      <c r="BQ3965">
        <v>2.96</v>
      </c>
      <c r="BR3965">
        <v>0.26</v>
      </c>
      <c r="BS3965">
        <v>2.2200000000000002</v>
      </c>
      <c r="BT3965">
        <v>1.23</v>
      </c>
      <c r="BU3965">
        <v>3.52</v>
      </c>
      <c r="BV3965">
        <v>3.87</v>
      </c>
      <c r="BW3965">
        <v>3.44</v>
      </c>
      <c r="BX3965">
        <v>3.24</v>
      </c>
      <c r="BY3965">
        <v>1.43</v>
      </c>
      <c r="BZ3965">
        <v>-0.77</v>
      </c>
      <c r="CA3965">
        <v>3.15</v>
      </c>
      <c r="CB3965">
        <v>2.96</v>
      </c>
      <c r="CC3965">
        <v>1.95</v>
      </c>
      <c r="CD3965">
        <v>-2.62</v>
      </c>
      <c r="CE3965">
        <v>1.64</v>
      </c>
      <c r="CF3965">
        <v>1.67</v>
      </c>
      <c r="CG3965">
        <v>0</v>
      </c>
      <c r="CH3965">
        <v>1.34</v>
      </c>
      <c r="CI3965">
        <v>0</v>
      </c>
      <c r="CJ3965">
        <v>-3</v>
      </c>
      <c r="CK3965">
        <v>50</v>
      </c>
      <c r="CL3965">
        <v>-1.81</v>
      </c>
      <c r="CM3965">
        <v>48</v>
      </c>
      <c r="CN3965">
        <v>-0.95</v>
      </c>
      <c r="CO3965">
        <v>47</v>
      </c>
      <c r="CP3965">
        <v>5</v>
      </c>
      <c r="CQ3965">
        <v>47</v>
      </c>
      <c r="CR3965">
        <v>0</v>
      </c>
      <c r="CS3965">
        <v>0</v>
      </c>
      <c r="CT3965">
        <v>30.8</v>
      </c>
      <c r="CU3965">
        <v>44</v>
      </c>
      <c r="CV3965">
        <v>0.27</v>
      </c>
      <c r="CW3965">
        <v>35</v>
      </c>
      <c r="CX3965" t="s">
        <v>2220</v>
      </c>
    </row>
    <row r="3966" spans="1:102" x14ac:dyDescent="0.3">
      <c r="A3966" t="str">
        <f>HYPERLINK("https://webapp.icbf.com/v2/app/bull-search/view/124414877","LWO")</f>
        <v>LWO</v>
      </c>
      <c r="B3966" t="s">
        <v>11490</v>
      </c>
      <c r="C3966" t="s">
        <v>11491</v>
      </c>
      <c r="D3966" s="1">
        <v>33892</v>
      </c>
      <c r="E3966" t="s">
        <v>92</v>
      </c>
      <c r="F3966">
        <v>100</v>
      </c>
      <c r="G3966" t="s">
        <v>93</v>
      </c>
      <c r="H3966">
        <v>-77.739999999999995</v>
      </c>
      <c r="I3966">
        <v>55</v>
      </c>
      <c r="J3966">
        <v>-4.42</v>
      </c>
      <c r="K3966">
        <v>80</v>
      </c>
      <c r="L3966">
        <v>-53.23</v>
      </c>
      <c r="M3966">
        <v>40</v>
      </c>
      <c r="N3966">
        <v>-6.81</v>
      </c>
      <c r="O3966">
        <v>37</v>
      </c>
      <c r="P3966">
        <v>-6.2</v>
      </c>
      <c r="Q3966">
        <v>58</v>
      </c>
      <c r="R3966">
        <v>-6.35</v>
      </c>
      <c r="S3966">
        <v>46</v>
      </c>
      <c r="T3966">
        <v>6.65</v>
      </c>
      <c r="U3966">
        <v>59</v>
      </c>
      <c r="V3966">
        <v>-7.38</v>
      </c>
      <c r="W3966">
        <v>21</v>
      </c>
      <c r="X3966" t="s">
        <v>110</v>
      </c>
      <c r="Y3966" t="s">
        <v>117</v>
      </c>
      <c r="Z3966" t="s">
        <v>96</v>
      </c>
      <c r="AA3966" t="s">
        <v>267</v>
      </c>
      <c r="AB3966" t="s">
        <v>11492</v>
      </c>
      <c r="AC3966">
        <v>20</v>
      </c>
      <c r="AD3966">
        <v>7</v>
      </c>
      <c r="AE3966">
        <v>80</v>
      </c>
      <c r="AF3966">
        <v>15.85</v>
      </c>
      <c r="AG3966">
        <v>3.28</v>
      </c>
      <c r="AH3966">
        <v>-1.67</v>
      </c>
      <c r="AI3966">
        <v>0.04</v>
      </c>
      <c r="AJ3966">
        <v>-0.04</v>
      </c>
      <c r="AK3966">
        <v>40</v>
      </c>
      <c r="AL3966">
        <v>20</v>
      </c>
      <c r="AM3966">
        <v>8</v>
      </c>
      <c r="AN3966">
        <v>3.31</v>
      </c>
      <c r="AO3966">
        <v>-0.93</v>
      </c>
      <c r="AP3966">
        <v>3</v>
      </c>
      <c r="AQ3966">
        <v>0</v>
      </c>
      <c r="AR3966">
        <v>8.51</v>
      </c>
      <c r="AS3966">
        <v>21</v>
      </c>
      <c r="AT3966">
        <v>3.84</v>
      </c>
      <c r="AU3966">
        <v>36</v>
      </c>
      <c r="AV3966">
        <v>-0.76</v>
      </c>
      <c r="AW3966">
        <v>43</v>
      </c>
      <c r="AX3966">
        <v>0.26</v>
      </c>
      <c r="AY3966">
        <v>39</v>
      </c>
      <c r="AZ3966">
        <v>7.6</v>
      </c>
      <c r="BA3966">
        <v>22</v>
      </c>
      <c r="BB3966">
        <v>5.22</v>
      </c>
      <c r="BC3966">
        <v>27</v>
      </c>
      <c r="BD3966">
        <v>0.06</v>
      </c>
      <c r="BE3966">
        <v>0.04</v>
      </c>
      <c r="BF3966">
        <v>-0.03</v>
      </c>
      <c r="BG3966">
        <v>56</v>
      </c>
      <c r="BH3966">
        <v>-0.25</v>
      </c>
      <c r="BI3966">
        <v>-5.12</v>
      </c>
      <c r="BJ3966">
        <v>1</v>
      </c>
      <c r="BK3966">
        <v>1</v>
      </c>
      <c r="BL3966">
        <v>0.43</v>
      </c>
      <c r="BM3966">
        <v>-0.26</v>
      </c>
      <c r="BN3966">
        <v>0.37</v>
      </c>
      <c r="BO3966">
        <v>0.38</v>
      </c>
      <c r="BP3966">
        <v>0.56000000000000005</v>
      </c>
      <c r="BQ3966">
        <v>-0.57999999999999996</v>
      </c>
      <c r="BR3966">
        <v>-0.47</v>
      </c>
      <c r="BS3966">
        <v>-0.47</v>
      </c>
      <c r="BT3966">
        <v>0.82</v>
      </c>
      <c r="BU3966">
        <v>-0.32</v>
      </c>
      <c r="BV3966">
        <v>-0.32</v>
      </c>
      <c r="BW3966">
        <v>-0.22</v>
      </c>
      <c r="BX3966">
        <v>0.03</v>
      </c>
      <c r="BY3966">
        <v>7.0000000000000007E-2</v>
      </c>
      <c r="BZ3966">
        <v>-0.03</v>
      </c>
      <c r="CA3966">
        <v>-0.63</v>
      </c>
      <c r="CB3966">
        <v>-0.47</v>
      </c>
      <c r="CC3966">
        <v>-0.63</v>
      </c>
      <c r="CD3966">
        <v>-0.19</v>
      </c>
      <c r="CE3966">
        <v>0.14000000000000001</v>
      </c>
      <c r="CF3966">
        <v>0.25</v>
      </c>
      <c r="CG3966">
        <v>0</v>
      </c>
      <c r="CH3966">
        <v>-0.32</v>
      </c>
      <c r="CI3966">
        <v>0</v>
      </c>
      <c r="CJ3966">
        <v>-0.8</v>
      </c>
      <c r="CK3966">
        <v>60</v>
      </c>
      <c r="CL3966">
        <v>-0.56999999999999995</v>
      </c>
      <c r="CM3966">
        <v>56</v>
      </c>
      <c r="CN3966">
        <v>-0.09</v>
      </c>
      <c r="CO3966">
        <v>51</v>
      </c>
      <c r="CP3966">
        <v>-1.8</v>
      </c>
      <c r="CQ3966">
        <v>64</v>
      </c>
      <c r="CR3966">
        <v>0</v>
      </c>
      <c r="CS3966">
        <v>0</v>
      </c>
      <c r="CT3966">
        <v>4.8</v>
      </c>
      <c r="CU3966">
        <v>59</v>
      </c>
      <c r="CV3966">
        <v>0.17</v>
      </c>
      <c r="CW3966">
        <v>15</v>
      </c>
      <c r="CX3966" t="s">
        <v>11493</v>
      </c>
    </row>
    <row r="3967" spans="1:102" x14ac:dyDescent="0.3">
      <c r="A3967" t="str">
        <f>HYPERLINK("https://webapp.icbf.com/v2/app/bull-search/view/168880080","S319")</f>
        <v>S319</v>
      </c>
      <c r="B3967" t="s">
        <v>144</v>
      </c>
      <c r="C3967" t="s">
        <v>8495</v>
      </c>
      <c r="D3967" s="1">
        <v>34549</v>
      </c>
      <c r="E3967" t="s">
        <v>895</v>
      </c>
      <c r="F3967">
        <v>0</v>
      </c>
      <c r="G3967" t="s">
        <v>93</v>
      </c>
      <c r="H3967">
        <v>-77.91</v>
      </c>
      <c r="I3967">
        <v>67</v>
      </c>
      <c r="J3967">
        <v>-69.64</v>
      </c>
      <c r="K3967">
        <v>89</v>
      </c>
      <c r="L3967">
        <v>-3.71</v>
      </c>
      <c r="M3967">
        <v>45</v>
      </c>
      <c r="N3967">
        <v>-23.11</v>
      </c>
      <c r="O3967">
        <v>61</v>
      </c>
      <c r="P3967">
        <v>-10.62</v>
      </c>
      <c r="Q3967">
        <v>84</v>
      </c>
      <c r="R3967">
        <v>12.64</v>
      </c>
      <c r="S3967">
        <v>53</v>
      </c>
      <c r="T3967">
        <v>21.89</v>
      </c>
      <c r="U3967">
        <v>77</v>
      </c>
      <c r="V3967">
        <v>-5.36</v>
      </c>
      <c r="W3967">
        <v>45</v>
      </c>
      <c r="X3967" t="s">
        <v>276</v>
      </c>
      <c r="Y3967" t="s">
        <v>545</v>
      </c>
      <c r="Z3967">
        <v>0</v>
      </c>
      <c r="AA3967" t="s">
        <v>7452</v>
      </c>
      <c r="AB3967" t="s">
        <v>8496</v>
      </c>
      <c r="AC3967">
        <v>42</v>
      </c>
      <c r="AD3967">
        <v>25</v>
      </c>
      <c r="AE3967">
        <v>89</v>
      </c>
      <c r="AF3967">
        <v>-444.93</v>
      </c>
      <c r="AG3967">
        <v>-15.67</v>
      </c>
      <c r="AH3967">
        <v>-13.11</v>
      </c>
      <c r="AI3967">
        <v>0.03</v>
      </c>
      <c r="AJ3967">
        <v>0.04</v>
      </c>
      <c r="AK3967">
        <v>45</v>
      </c>
      <c r="AL3967">
        <v>43</v>
      </c>
      <c r="AM3967">
        <v>28</v>
      </c>
      <c r="AN3967">
        <v>-0.11</v>
      </c>
      <c r="AO3967">
        <v>-0.41</v>
      </c>
      <c r="AP3967">
        <v>63</v>
      </c>
      <c r="AQ3967">
        <v>0</v>
      </c>
      <c r="AR3967">
        <v>8.23</v>
      </c>
      <c r="AS3967">
        <v>32</v>
      </c>
      <c r="AT3967">
        <v>3.92</v>
      </c>
      <c r="AU3967">
        <v>62</v>
      </c>
      <c r="AV3967">
        <v>2.85</v>
      </c>
      <c r="AW3967">
        <v>79</v>
      </c>
      <c r="AX3967">
        <v>-1.03</v>
      </c>
      <c r="AY3967">
        <v>58</v>
      </c>
      <c r="AZ3967">
        <v>4.51</v>
      </c>
      <c r="BA3967">
        <v>29</v>
      </c>
      <c r="BB3967">
        <v>4.25</v>
      </c>
      <c r="BC3967">
        <v>32</v>
      </c>
      <c r="BD3967">
        <v>-0.04</v>
      </c>
      <c r="BE3967">
        <v>-0.06</v>
      </c>
      <c r="BF3967">
        <v>-0.11</v>
      </c>
      <c r="BG3967">
        <v>64</v>
      </c>
      <c r="BH3967">
        <v>-0.19</v>
      </c>
      <c r="BI3967">
        <v>-4.7</v>
      </c>
      <c r="BJ3967">
        <v>0</v>
      </c>
      <c r="BK3967">
        <v>0</v>
      </c>
      <c r="BL3967">
        <v>0</v>
      </c>
      <c r="BM3967">
        <v>0</v>
      </c>
      <c r="BN3967">
        <v>0</v>
      </c>
      <c r="BO3967">
        <v>0</v>
      </c>
      <c r="BP3967">
        <v>0</v>
      </c>
      <c r="BQ3967">
        <v>0</v>
      </c>
      <c r="BR3967">
        <v>0</v>
      </c>
      <c r="BS3967">
        <v>0</v>
      </c>
      <c r="BT3967">
        <v>0</v>
      </c>
      <c r="BU3967">
        <v>0</v>
      </c>
      <c r="BV3967">
        <v>0</v>
      </c>
      <c r="BW3967">
        <v>0</v>
      </c>
      <c r="BX3967">
        <v>0</v>
      </c>
      <c r="BY3967">
        <v>0</v>
      </c>
      <c r="BZ3967">
        <v>0</v>
      </c>
      <c r="CA3967">
        <v>0</v>
      </c>
      <c r="CB3967">
        <v>0</v>
      </c>
      <c r="CC3967">
        <v>0</v>
      </c>
      <c r="CD3967">
        <v>0</v>
      </c>
      <c r="CE3967">
        <v>0</v>
      </c>
      <c r="CF3967">
        <v>0</v>
      </c>
      <c r="CG3967">
        <v>0</v>
      </c>
      <c r="CH3967">
        <v>0</v>
      </c>
      <c r="CI3967">
        <v>0</v>
      </c>
      <c r="CJ3967">
        <v>-4.0999999999999996</v>
      </c>
      <c r="CK3967">
        <v>86</v>
      </c>
      <c r="CL3967">
        <v>-0.37</v>
      </c>
      <c r="CM3967">
        <v>83</v>
      </c>
      <c r="CN3967">
        <v>0.04</v>
      </c>
      <c r="CO3967">
        <v>81</v>
      </c>
      <c r="CP3967">
        <v>-4.5</v>
      </c>
      <c r="CQ3967">
        <v>80</v>
      </c>
      <c r="CR3967">
        <v>0</v>
      </c>
      <c r="CS3967">
        <v>0</v>
      </c>
      <c r="CT3967">
        <v>-15.8</v>
      </c>
      <c r="CU3967">
        <v>77</v>
      </c>
      <c r="CV3967">
        <v>-0.02</v>
      </c>
      <c r="CW3967">
        <v>24</v>
      </c>
      <c r="CX3967" t="s">
        <v>8497</v>
      </c>
    </row>
    <row r="3968" spans="1:102" x14ac:dyDescent="0.3">
      <c r="A3968" t="str">
        <f>HYPERLINK("https://webapp.icbf.com/v2/app/bull-search/view/77859049","CNY")</f>
        <v>CNY</v>
      </c>
      <c r="B3968" t="s">
        <v>3427</v>
      </c>
      <c r="C3968" t="s">
        <v>3428</v>
      </c>
      <c r="D3968" s="1">
        <v>33168</v>
      </c>
      <c r="E3968" t="s">
        <v>92</v>
      </c>
      <c r="F3968">
        <v>100</v>
      </c>
      <c r="G3968" t="s">
        <v>109</v>
      </c>
      <c r="H3968">
        <v>-77.98</v>
      </c>
      <c r="I3968">
        <v>76</v>
      </c>
      <c r="J3968">
        <v>12.96</v>
      </c>
      <c r="K3968">
        <v>90</v>
      </c>
      <c r="L3968">
        <v>-86.11</v>
      </c>
      <c r="M3968">
        <v>79</v>
      </c>
      <c r="N3968">
        <v>4.66</v>
      </c>
      <c r="O3968">
        <v>57</v>
      </c>
      <c r="P3968">
        <v>-5.46</v>
      </c>
      <c r="Q3968">
        <v>65</v>
      </c>
      <c r="R3968">
        <v>-4.8099999999999996</v>
      </c>
      <c r="S3968">
        <v>66</v>
      </c>
      <c r="T3968">
        <v>1.62</v>
      </c>
      <c r="U3968">
        <v>64</v>
      </c>
      <c r="V3968">
        <v>-0.84</v>
      </c>
      <c r="W3968">
        <v>35</v>
      </c>
      <c r="X3968" t="s">
        <v>558</v>
      </c>
      <c r="Y3968" t="s">
        <v>95</v>
      </c>
      <c r="Z3968" t="s">
        <v>96</v>
      </c>
      <c r="AA3968" t="s">
        <v>118</v>
      </c>
      <c r="AB3968" t="s">
        <v>3429</v>
      </c>
      <c r="AC3968">
        <v>30</v>
      </c>
      <c r="AD3968">
        <v>19</v>
      </c>
      <c r="AE3968">
        <v>90</v>
      </c>
      <c r="AF3968">
        <v>42.55</v>
      </c>
      <c r="AG3968">
        <v>2.87</v>
      </c>
      <c r="AH3968">
        <v>1.84</v>
      </c>
      <c r="AI3968">
        <v>0.02</v>
      </c>
      <c r="AJ3968">
        <v>0.01</v>
      </c>
      <c r="AK3968">
        <v>79</v>
      </c>
      <c r="AL3968">
        <v>36</v>
      </c>
      <c r="AM3968">
        <v>20</v>
      </c>
      <c r="AN3968">
        <v>4.46</v>
      </c>
      <c r="AO3968">
        <v>-2.41</v>
      </c>
      <c r="AP3968">
        <v>3</v>
      </c>
      <c r="AQ3968">
        <v>0</v>
      </c>
      <c r="AR3968">
        <v>8.02</v>
      </c>
      <c r="AS3968">
        <v>38</v>
      </c>
      <c r="AT3968">
        <v>3.66</v>
      </c>
      <c r="AU3968">
        <v>80</v>
      </c>
      <c r="AV3968">
        <v>-0.93</v>
      </c>
      <c r="AW3968">
        <v>51</v>
      </c>
      <c r="AX3968">
        <v>-0.43</v>
      </c>
      <c r="AY3968">
        <v>59</v>
      </c>
      <c r="AZ3968">
        <v>5.9</v>
      </c>
      <c r="BA3968">
        <v>38</v>
      </c>
      <c r="BB3968">
        <v>4.71</v>
      </c>
      <c r="BC3968">
        <v>44</v>
      </c>
      <c r="BD3968">
        <v>0.04</v>
      </c>
      <c r="BE3968">
        <v>0.06</v>
      </c>
      <c r="BF3968">
        <v>-7.0000000000000007E-2</v>
      </c>
      <c r="BG3968">
        <v>86</v>
      </c>
      <c r="BH3968">
        <v>-0.04</v>
      </c>
      <c r="BI3968">
        <v>-1.92</v>
      </c>
      <c r="BJ3968">
        <v>0</v>
      </c>
      <c r="BK3968">
        <v>0</v>
      </c>
      <c r="BL3968">
        <v>0.55000000000000004</v>
      </c>
      <c r="BM3968">
        <v>0.55000000000000004</v>
      </c>
      <c r="BN3968">
        <v>0.11</v>
      </c>
      <c r="BO3968">
        <v>-0.43</v>
      </c>
      <c r="BP3968">
        <v>1.24</v>
      </c>
      <c r="BQ3968">
        <v>0.54</v>
      </c>
      <c r="BR3968">
        <v>0.67</v>
      </c>
      <c r="BS3968">
        <v>-1.61</v>
      </c>
      <c r="BT3968">
        <v>0.14000000000000001</v>
      </c>
      <c r="BU3968">
        <v>0.47</v>
      </c>
      <c r="BV3968">
        <v>-7.0000000000000007E-2</v>
      </c>
      <c r="BW3968">
        <v>1.03</v>
      </c>
      <c r="BX3968">
        <v>1.05</v>
      </c>
      <c r="BY3968">
        <v>1.46</v>
      </c>
      <c r="BZ3968">
        <v>-0.86</v>
      </c>
      <c r="CA3968">
        <v>0.13</v>
      </c>
      <c r="CB3968">
        <v>0.55000000000000004</v>
      </c>
      <c r="CC3968">
        <v>-0.83</v>
      </c>
      <c r="CD3968">
        <v>0.26</v>
      </c>
      <c r="CE3968">
        <v>0.28000000000000003</v>
      </c>
      <c r="CF3968">
        <v>0.33</v>
      </c>
      <c r="CG3968">
        <v>0</v>
      </c>
      <c r="CH3968">
        <v>0.15</v>
      </c>
      <c r="CI3968">
        <v>0</v>
      </c>
      <c r="CJ3968">
        <v>-2.6</v>
      </c>
      <c r="CK3968">
        <v>67</v>
      </c>
      <c r="CL3968">
        <v>-0.69</v>
      </c>
      <c r="CM3968">
        <v>63</v>
      </c>
      <c r="CN3968">
        <v>-0.43</v>
      </c>
      <c r="CO3968">
        <v>57</v>
      </c>
      <c r="CP3968">
        <v>1.4</v>
      </c>
      <c r="CQ3968">
        <v>74</v>
      </c>
      <c r="CR3968">
        <v>0</v>
      </c>
      <c r="CS3968">
        <v>0</v>
      </c>
      <c r="CT3968">
        <v>11.6</v>
      </c>
      <c r="CU3968">
        <v>64</v>
      </c>
      <c r="CV3968">
        <v>0.12</v>
      </c>
      <c r="CW3968">
        <v>18</v>
      </c>
      <c r="CX3968" t="s">
        <v>663</v>
      </c>
    </row>
    <row r="3969" spans="1:102" x14ac:dyDescent="0.3">
      <c r="A3969" t="str">
        <f>HYPERLINK("https://webapp.icbf.com/v2/app/bull-search/view/604328011","DZA")</f>
        <v>DZA</v>
      </c>
      <c r="B3969" t="s">
        <v>15622</v>
      </c>
      <c r="C3969" t="s">
        <v>15623</v>
      </c>
      <c r="D3969" s="1">
        <v>37438</v>
      </c>
      <c r="E3969" t="s">
        <v>92</v>
      </c>
      <c r="F3969">
        <v>100</v>
      </c>
      <c r="G3969" t="s">
        <v>109</v>
      </c>
      <c r="H3969">
        <v>-77.98</v>
      </c>
      <c r="I3969">
        <v>70</v>
      </c>
      <c r="J3969">
        <v>29.62</v>
      </c>
      <c r="K3969">
        <v>74</v>
      </c>
      <c r="L3969">
        <v>-84.64</v>
      </c>
      <c r="M3969">
        <v>72</v>
      </c>
      <c r="N3969">
        <v>-14.81</v>
      </c>
      <c r="O3969">
        <v>65</v>
      </c>
      <c r="P3969">
        <v>-0.67</v>
      </c>
      <c r="Q3969">
        <v>70</v>
      </c>
      <c r="R3969">
        <v>-1.1200000000000001</v>
      </c>
      <c r="S3969">
        <v>65</v>
      </c>
      <c r="T3969">
        <v>0.65</v>
      </c>
      <c r="U3969">
        <v>73</v>
      </c>
      <c r="V3969">
        <v>-7.01</v>
      </c>
      <c r="W3969">
        <v>35</v>
      </c>
      <c r="X3969" t="s">
        <v>1589</v>
      </c>
      <c r="Y3969" t="s">
        <v>221</v>
      </c>
      <c r="Z3969" t="s">
        <v>96</v>
      </c>
      <c r="AA3969" t="s">
        <v>4979</v>
      </c>
      <c r="AB3969" t="s">
        <v>15624</v>
      </c>
      <c r="AC3969">
        <v>0</v>
      </c>
      <c r="AD3969">
        <v>0</v>
      </c>
      <c r="AE3969">
        <v>74</v>
      </c>
      <c r="AF3969">
        <v>182.17</v>
      </c>
      <c r="AG3969">
        <v>5.19</v>
      </c>
      <c r="AH3969">
        <v>5.99</v>
      </c>
      <c r="AI3969">
        <v>-0.03</v>
      </c>
      <c r="AJ3969">
        <v>0</v>
      </c>
      <c r="AK3969">
        <v>72</v>
      </c>
      <c r="AL3969">
        <v>0</v>
      </c>
      <c r="AM3969">
        <v>0</v>
      </c>
      <c r="AN3969">
        <v>6.16</v>
      </c>
      <c r="AO3969">
        <v>-0.56999999999999995</v>
      </c>
      <c r="AP3969">
        <v>43</v>
      </c>
      <c r="AQ3969">
        <v>3</v>
      </c>
      <c r="AR3969">
        <v>10.3</v>
      </c>
      <c r="AS3969">
        <v>38</v>
      </c>
      <c r="AT3969">
        <v>4.53</v>
      </c>
      <c r="AU3969">
        <v>75</v>
      </c>
      <c r="AV3969">
        <v>-1.32</v>
      </c>
      <c r="AW3969">
        <v>78</v>
      </c>
      <c r="AX3969">
        <v>-7.0000000000000007E-2</v>
      </c>
      <c r="AY3969">
        <v>57</v>
      </c>
      <c r="AZ3969">
        <v>7.17</v>
      </c>
      <c r="BA3969">
        <v>38</v>
      </c>
      <c r="BB3969">
        <v>5.33</v>
      </c>
      <c r="BC3969">
        <v>35</v>
      </c>
      <c r="BD3969">
        <v>0.01</v>
      </c>
      <c r="BE3969">
        <v>0.01</v>
      </c>
      <c r="BF3969">
        <v>-0.01</v>
      </c>
      <c r="BG3969">
        <v>87</v>
      </c>
      <c r="BH3969">
        <v>-0.1</v>
      </c>
      <c r="BI3969">
        <v>11.05</v>
      </c>
      <c r="BJ3969">
        <v>11</v>
      </c>
      <c r="BK3969">
        <v>8</v>
      </c>
      <c r="BL3969">
        <v>1.38</v>
      </c>
      <c r="BM3969">
        <v>-0.96</v>
      </c>
      <c r="BN3969">
        <v>1.43</v>
      </c>
      <c r="BO3969">
        <v>1.4</v>
      </c>
      <c r="BP3969">
        <v>-0.21</v>
      </c>
      <c r="BQ3969">
        <v>-1.53</v>
      </c>
      <c r="BR3969">
        <v>0.21</v>
      </c>
      <c r="BS3969">
        <v>0.63</v>
      </c>
      <c r="BT3969">
        <v>1.56</v>
      </c>
      <c r="BU3969">
        <v>1.27</v>
      </c>
      <c r="BV3969">
        <v>0.73</v>
      </c>
      <c r="BW3969">
        <v>-0.05</v>
      </c>
      <c r="BX3969">
        <v>0.79</v>
      </c>
      <c r="BY3969">
        <v>1.42</v>
      </c>
      <c r="BZ3969">
        <v>-2.54</v>
      </c>
      <c r="CA3969">
        <v>0.85</v>
      </c>
      <c r="CB3969">
        <v>0.75</v>
      </c>
      <c r="CC3969">
        <v>0.75</v>
      </c>
      <c r="CD3969">
        <v>-0.83</v>
      </c>
      <c r="CE3969">
        <v>0.41</v>
      </c>
      <c r="CF3969">
        <v>0.57999999999999996</v>
      </c>
      <c r="CG3969">
        <v>0</v>
      </c>
      <c r="CH3969">
        <v>-0.7</v>
      </c>
      <c r="CI3969">
        <v>0</v>
      </c>
      <c r="CJ3969">
        <v>1.1000000000000001</v>
      </c>
      <c r="CK3969">
        <v>72</v>
      </c>
      <c r="CL3969">
        <v>-0.6</v>
      </c>
      <c r="CM3969">
        <v>67</v>
      </c>
      <c r="CN3969">
        <v>-0.31</v>
      </c>
      <c r="CO3969">
        <v>63</v>
      </c>
      <c r="CP3969">
        <v>2.5</v>
      </c>
      <c r="CQ3969">
        <v>78</v>
      </c>
      <c r="CR3969">
        <v>0</v>
      </c>
      <c r="CS3969">
        <v>0</v>
      </c>
      <c r="CT3969">
        <v>12.9</v>
      </c>
      <c r="CU3969">
        <v>73</v>
      </c>
      <c r="CV3969">
        <v>0.14000000000000001</v>
      </c>
      <c r="CW3969">
        <v>19</v>
      </c>
      <c r="CX3969" t="s">
        <v>3310</v>
      </c>
    </row>
    <row r="3970" spans="1:102" x14ac:dyDescent="0.3">
      <c r="A3970" t="str">
        <f>HYPERLINK("https://webapp.icbf.com/v2/app/bull-search/view/77858404","DJL")</f>
        <v>DJL</v>
      </c>
      <c r="B3970" t="s">
        <v>7766</v>
      </c>
      <c r="C3970" t="s">
        <v>7767</v>
      </c>
      <c r="D3970" s="1">
        <v>34690</v>
      </c>
      <c r="E3970" t="s">
        <v>92</v>
      </c>
      <c r="F3970">
        <v>100</v>
      </c>
      <c r="G3970" t="s">
        <v>93</v>
      </c>
      <c r="H3970">
        <v>-78.09</v>
      </c>
      <c r="I3970">
        <v>76</v>
      </c>
      <c r="J3970">
        <v>-45.15</v>
      </c>
      <c r="K3970">
        <v>93</v>
      </c>
      <c r="L3970">
        <v>-20.32</v>
      </c>
      <c r="M3970">
        <v>65</v>
      </c>
      <c r="N3970">
        <v>-2.1</v>
      </c>
      <c r="O3970">
        <v>63</v>
      </c>
      <c r="P3970">
        <v>-11.32</v>
      </c>
      <c r="Q3970">
        <v>82</v>
      </c>
      <c r="R3970">
        <v>-11.11</v>
      </c>
      <c r="S3970">
        <v>68</v>
      </c>
      <c r="T3970">
        <v>11.9</v>
      </c>
      <c r="U3970">
        <v>80</v>
      </c>
      <c r="V3970">
        <v>0.01</v>
      </c>
      <c r="W3970">
        <v>42</v>
      </c>
      <c r="X3970" t="s">
        <v>94</v>
      </c>
      <c r="Y3970" t="s">
        <v>95</v>
      </c>
      <c r="Z3970" t="s">
        <v>96</v>
      </c>
      <c r="AA3970" t="s">
        <v>207</v>
      </c>
      <c r="AB3970" t="s">
        <v>7768</v>
      </c>
      <c r="AC3970">
        <v>70</v>
      </c>
      <c r="AD3970">
        <v>56</v>
      </c>
      <c r="AE3970">
        <v>93</v>
      </c>
      <c r="AF3970">
        <v>69.27</v>
      </c>
      <c r="AG3970">
        <v>-13.76</v>
      </c>
      <c r="AH3970">
        <v>-1.75</v>
      </c>
      <c r="AI3970">
        <v>-0.27</v>
      </c>
      <c r="AJ3970">
        <v>-7.0000000000000007E-2</v>
      </c>
      <c r="AK3970">
        <v>65</v>
      </c>
      <c r="AL3970">
        <v>90</v>
      </c>
      <c r="AM3970">
        <v>73</v>
      </c>
      <c r="AN3970">
        <v>3.45</v>
      </c>
      <c r="AO3970">
        <v>1.86</v>
      </c>
      <c r="AP3970">
        <v>10</v>
      </c>
      <c r="AQ3970">
        <v>3</v>
      </c>
      <c r="AR3970">
        <v>9.81</v>
      </c>
      <c r="AS3970">
        <v>38</v>
      </c>
      <c r="AT3970">
        <v>4.09</v>
      </c>
      <c r="AU3970">
        <v>60</v>
      </c>
      <c r="AV3970">
        <v>-1.47</v>
      </c>
      <c r="AW3970">
        <v>71</v>
      </c>
      <c r="AX3970">
        <v>0.13</v>
      </c>
      <c r="AY3970">
        <v>77</v>
      </c>
      <c r="AZ3970">
        <v>6.33</v>
      </c>
      <c r="BA3970">
        <v>38</v>
      </c>
      <c r="BB3970">
        <v>4.4800000000000004</v>
      </c>
      <c r="BC3970">
        <v>55</v>
      </c>
      <c r="BD3970">
        <v>0.02</v>
      </c>
      <c r="BE3970">
        <v>0.08</v>
      </c>
      <c r="BF3970">
        <v>7.0000000000000007E-2</v>
      </c>
      <c r="BG3970">
        <v>82</v>
      </c>
      <c r="BH3970">
        <v>0.11</v>
      </c>
      <c r="BI3970">
        <v>12.69</v>
      </c>
      <c r="BJ3970">
        <v>6</v>
      </c>
      <c r="BK3970">
        <v>4</v>
      </c>
      <c r="BL3970">
        <v>0.34</v>
      </c>
      <c r="BM3970">
        <v>0.55000000000000004</v>
      </c>
      <c r="BN3970">
        <v>-7.0000000000000007E-2</v>
      </c>
      <c r="BO3970">
        <v>-0.11</v>
      </c>
      <c r="BP3970">
        <v>0.7</v>
      </c>
      <c r="BQ3970">
        <v>-0.44</v>
      </c>
      <c r="BR3970">
        <v>-1.29</v>
      </c>
      <c r="BS3970">
        <v>-0.11</v>
      </c>
      <c r="BT3970">
        <v>1.05</v>
      </c>
      <c r="BU3970">
        <v>-0.78</v>
      </c>
      <c r="BV3970">
        <v>-0.4</v>
      </c>
      <c r="BW3970">
        <v>-0.55000000000000004</v>
      </c>
      <c r="BX3970">
        <v>-1.07</v>
      </c>
      <c r="BY3970">
        <v>0.53</v>
      </c>
      <c r="BZ3970">
        <v>-0.37</v>
      </c>
      <c r="CA3970">
        <v>0.24</v>
      </c>
      <c r="CB3970">
        <v>0</v>
      </c>
      <c r="CC3970">
        <v>0.53</v>
      </c>
      <c r="CD3970">
        <v>0.03</v>
      </c>
      <c r="CE3970">
        <v>-0.1</v>
      </c>
      <c r="CF3970">
        <v>0.08</v>
      </c>
      <c r="CG3970">
        <v>0</v>
      </c>
      <c r="CH3970">
        <v>-0.2</v>
      </c>
      <c r="CI3970">
        <v>0</v>
      </c>
      <c r="CJ3970">
        <v>-4.3</v>
      </c>
      <c r="CK3970">
        <v>83</v>
      </c>
      <c r="CL3970">
        <v>-0.18</v>
      </c>
      <c r="CM3970">
        <v>80</v>
      </c>
      <c r="CN3970">
        <v>0.19</v>
      </c>
      <c r="CO3970">
        <v>77</v>
      </c>
      <c r="CP3970">
        <v>-8.6999999999999993</v>
      </c>
      <c r="CQ3970">
        <v>86</v>
      </c>
      <c r="CR3970">
        <v>0</v>
      </c>
      <c r="CS3970">
        <v>0</v>
      </c>
      <c r="CT3970">
        <v>-2.2999999999999998</v>
      </c>
      <c r="CU3970">
        <v>80</v>
      </c>
      <c r="CV3970">
        <v>-0.05</v>
      </c>
      <c r="CW3970">
        <v>24</v>
      </c>
      <c r="CX3970" t="s">
        <v>485</v>
      </c>
    </row>
    <row r="3971" spans="1:102" x14ac:dyDescent="0.3">
      <c r="A3971" t="str">
        <f>HYPERLINK("https://webapp.icbf.com/v2/app/bull-search/view/77855422","LUK")</f>
        <v>LUK</v>
      </c>
      <c r="B3971" t="s">
        <v>11829</v>
      </c>
      <c r="C3971" t="s">
        <v>11830</v>
      </c>
      <c r="D3971" s="1">
        <v>32897</v>
      </c>
      <c r="E3971" t="s">
        <v>92</v>
      </c>
      <c r="F3971">
        <v>88</v>
      </c>
      <c r="G3971" t="s">
        <v>93</v>
      </c>
      <c r="H3971">
        <v>-78.12</v>
      </c>
      <c r="I3971">
        <v>64</v>
      </c>
      <c r="J3971">
        <v>-31.45</v>
      </c>
      <c r="K3971">
        <v>78</v>
      </c>
      <c r="L3971">
        <v>-58.61</v>
      </c>
      <c r="M3971">
        <v>57</v>
      </c>
      <c r="N3971">
        <v>15.28</v>
      </c>
      <c r="O3971">
        <v>49</v>
      </c>
      <c r="P3971">
        <v>-10.87</v>
      </c>
      <c r="Q3971">
        <v>68</v>
      </c>
      <c r="R3971">
        <v>-6.35</v>
      </c>
      <c r="S3971">
        <v>61</v>
      </c>
      <c r="T3971">
        <v>19.670000000000002</v>
      </c>
      <c r="U3971">
        <v>66</v>
      </c>
      <c r="V3971">
        <v>-5.79</v>
      </c>
      <c r="W3971">
        <v>31</v>
      </c>
      <c r="X3971" t="s">
        <v>94</v>
      </c>
      <c r="Y3971" t="s">
        <v>95</v>
      </c>
      <c r="Z3971" t="s">
        <v>96</v>
      </c>
      <c r="AA3971" t="s">
        <v>154</v>
      </c>
      <c r="AB3971" t="s">
        <v>11831</v>
      </c>
      <c r="AC3971">
        <v>19</v>
      </c>
      <c r="AD3971">
        <v>19</v>
      </c>
      <c r="AE3971">
        <v>78</v>
      </c>
      <c r="AF3971">
        <v>-107</v>
      </c>
      <c r="AG3971">
        <v>-4.8499999999999996</v>
      </c>
      <c r="AH3971">
        <v>-5.27</v>
      </c>
      <c r="AI3971">
        <v>-0.01</v>
      </c>
      <c r="AJ3971">
        <v>-0.03</v>
      </c>
      <c r="AK3971">
        <v>57</v>
      </c>
      <c r="AL3971">
        <v>62</v>
      </c>
      <c r="AM3971">
        <v>52</v>
      </c>
      <c r="AN3971">
        <v>2.73</v>
      </c>
      <c r="AO3971">
        <v>-1.95</v>
      </c>
      <c r="AP3971">
        <v>16</v>
      </c>
      <c r="AQ3971">
        <v>0</v>
      </c>
      <c r="AR3971">
        <v>4.0999999999999996</v>
      </c>
      <c r="AS3971">
        <v>33</v>
      </c>
      <c r="AT3971">
        <v>2.23</v>
      </c>
      <c r="AU3971">
        <v>47</v>
      </c>
      <c r="AV3971">
        <v>0.02</v>
      </c>
      <c r="AW3971">
        <v>57</v>
      </c>
      <c r="AX3971">
        <v>-0.01</v>
      </c>
      <c r="AY3971">
        <v>58</v>
      </c>
      <c r="AZ3971">
        <v>6.19</v>
      </c>
      <c r="BA3971">
        <v>30</v>
      </c>
      <c r="BB3971">
        <v>4.92</v>
      </c>
      <c r="BC3971">
        <v>37</v>
      </c>
      <c r="BD3971">
        <v>0.03</v>
      </c>
      <c r="BE3971">
        <v>0.04</v>
      </c>
      <c r="BF3971">
        <v>0.02</v>
      </c>
      <c r="BG3971">
        <v>78</v>
      </c>
      <c r="BH3971">
        <v>-0.06</v>
      </c>
      <c r="BI3971">
        <v>11.75</v>
      </c>
      <c r="BJ3971">
        <v>11</v>
      </c>
      <c r="BK3971">
        <v>10</v>
      </c>
      <c r="BL3971">
        <v>-0.1</v>
      </c>
      <c r="BM3971">
        <v>0.76</v>
      </c>
      <c r="BN3971">
        <v>0.06</v>
      </c>
      <c r="BO3971">
        <v>-0.61</v>
      </c>
      <c r="BP3971">
        <v>-0.88</v>
      </c>
      <c r="BQ3971">
        <v>-0.41</v>
      </c>
      <c r="BR3971">
        <v>-0.77</v>
      </c>
      <c r="BS3971">
        <v>0.64</v>
      </c>
      <c r="BT3971">
        <v>1.33</v>
      </c>
      <c r="BU3971">
        <v>0.12</v>
      </c>
      <c r="BV3971">
        <v>0.15</v>
      </c>
      <c r="BW3971">
        <v>0.37</v>
      </c>
      <c r="BX3971">
        <v>0.33</v>
      </c>
      <c r="BY3971">
        <v>-0.11</v>
      </c>
      <c r="BZ3971">
        <v>-0.5</v>
      </c>
      <c r="CA3971">
        <v>0.71</v>
      </c>
      <c r="CB3971">
        <v>0.24</v>
      </c>
      <c r="CC3971">
        <v>1.23</v>
      </c>
      <c r="CD3971">
        <v>0.46</v>
      </c>
      <c r="CE3971">
        <v>-0.89</v>
      </c>
      <c r="CF3971">
        <v>-0.25</v>
      </c>
      <c r="CG3971">
        <v>0</v>
      </c>
      <c r="CH3971">
        <v>0.37</v>
      </c>
      <c r="CI3971">
        <v>0</v>
      </c>
      <c r="CJ3971">
        <v>-7</v>
      </c>
      <c r="CK3971">
        <v>70</v>
      </c>
      <c r="CL3971">
        <v>-0.36</v>
      </c>
      <c r="CM3971">
        <v>66</v>
      </c>
      <c r="CN3971">
        <v>-0.35</v>
      </c>
      <c r="CO3971">
        <v>62</v>
      </c>
      <c r="CP3971">
        <v>-10.6</v>
      </c>
      <c r="CQ3971">
        <v>69</v>
      </c>
      <c r="CR3971">
        <v>0</v>
      </c>
      <c r="CS3971">
        <v>0</v>
      </c>
      <c r="CT3971">
        <v>-12.8</v>
      </c>
      <c r="CU3971">
        <v>66</v>
      </c>
      <c r="CV3971">
        <v>-0.04</v>
      </c>
      <c r="CW3971">
        <v>19</v>
      </c>
      <c r="CX3971" t="s">
        <v>1485</v>
      </c>
    </row>
    <row r="3972" spans="1:102" x14ac:dyDescent="0.3">
      <c r="A3972" t="str">
        <f>HYPERLINK("https://webapp.icbf.com/v2/app/bull-search/view/77856295","JGR")</f>
        <v>JGR</v>
      </c>
      <c r="B3972" t="s">
        <v>9830</v>
      </c>
      <c r="C3972" t="s">
        <v>9831</v>
      </c>
      <c r="D3972" s="1">
        <v>34474</v>
      </c>
      <c r="E3972" t="s">
        <v>92</v>
      </c>
      <c r="F3972">
        <v>97</v>
      </c>
      <c r="G3972" t="s">
        <v>109</v>
      </c>
      <c r="H3972">
        <v>-78.19</v>
      </c>
      <c r="I3972">
        <v>82</v>
      </c>
      <c r="J3972">
        <v>8.17</v>
      </c>
      <c r="K3972">
        <v>95</v>
      </c>
      <c r="L3972">
        <v>-79.62</v>
      </c>
      <c r="M3972">
        <v>85</v>
      </c>
      <c r="N3972">
        <v>-2.27</v>
      </c>
      <c r="O3972">
        <v>68</v>
      </c>
      <c r="P3972">
        <v>0.51</v>
      </c>
      <c r="Q3972">
        <v>71</v>
      </c>
      <c r="R3972">
        <v>-21.18</v>
      </c>
      <c r="S3972">
        <v>76</v>
      </c>
      <c r="T3972">
        <v>15.31</v>
      </c>
      <c r="U3972">
        <v>64</v>
      </c>
      <c r="V3972">
        <v>0.89</v>
      </c>
      <c r="W3972">
        <v>59</v>
      </c>
      <c r="X3972" t="s">
        <v>110</v>
      </c>
      <c r="Y3972" t="s">
        <v>95</v>
      </c>
      <c r="Z3972" t="s">
        <v>96</v>
      </c>
      <c r="AA3972" t="s">
        <v>207</v>
      </c>
      <c r="AB3972" t="s">
        <v>9832</v>
      </c>
      <c r="AC3972">
        <v>34</v>
      </c>
      <c r="AD3972">
        <v>18</v>
      </c>
      <c r="AE3972">
        <v>95</v>
      </c>
      <c r="AF3972">
        <v>381.98</v>
      </c>
      <c r="AG3972">
        <v>-1.03</v>
      </c>
      <c r="AH3972">
        <v>7.6</v>
      </c>
      <c r="AI3972">
        <v>-0.26</v>
      </c>
      <c r="AJ3972">
        <v>-0.09</v>
      </c>
      <c r="AK3972">
        <v>85</v>
      </c>
      <c r="AL3972">
        <v>37</v>
      </c>
      <c r="AM3972">
        <v>20</v>
      </c>
      <c r="AN3972">
        <v>5.09</v>
      </c>
      <c r="AO3972">
        <v>-1.25</v>
      </c>
      <c r="AP3972">
        <v>1</v>
      </c>
      <c r="AQ3972">
        <v>0</v>
      </c>
      <c r="AR3972">
        <v>6.37</v>
      </c>
      <c r="AS3972">
        <v>58</v>
      </c>
      <c r="AT3972">
        <v>3.52</v>
      </c>
      <c r="AU3972">
        <v>91</v>
      </c>
      <c r="AV3972">
        <v>0.85</v>
      </c>
      <c r="AW3972">
        <v>62</v>
      </c>
      <c r="AX3972">
        <v>-0.63</v>
      </c>
      <c r="AY3972">
        <v>68</v>
      </c>
      <c r="AZ3972">
        <v>5.32</v>
      </c>
      <c r="BA3972">
        <v>52</v>
      </c>
      <c r="BB3972">
        <v>4.6900000000000004</v>
      </c>
      <c r="BC3972">
        <v>55</v>
      </c>
      <c r="BD3972">
        <v>0.09</v>
      </c>
      <c r="BE3972">
        <v>0.13</v>
      </c>
      <c r="BF3972">
        <v>0.09</v>
      </c>
      <c r="BG3972">
        <v>90</v>
      </c>
      <c r="BH3972">
        <v>0.12</v>
      </c>
      <c r="BI3972">
        <v>11.02</v>
      </c>
      <c r="BJ3972">
        <v>17</v>
      </c>
      <c r="BK3972">
        <v>8</v>
      </c>
      <c r="BL3972">
        <v>0.47</v>
      </c>
      <c r="BM3972">
        <v>0</v>
      </c>
      <c r="BN3972">
        <v>-0.14000000000000001</v>
      </c>
      <c r="BO3972">
        <v>-0.2</v>
      </c>
      <c r="BP3972">
        <v>3.32</v>
      </c>
      <c r="BQ3972">
        <v>0.43</v>
      </c>
      <c r="BR3972">
        <v>0.48</v>
      </c>
      <c r="BS3972">
        <v>-3.02</v>
      </c>
      <c r="BT3972">
        <v>-0.35</v>
      </c>
      <c r="BU3972">
        <v>-0.87</v>
      </c>
      <c r="BV3972">
        <v>-1.9</v>
      </c>
      <c r="BW3972">
        <v>-1.33</v>
      </c>
      <c r="BX3972">
        <v>-0.64</v>
      </c>
      <c r="BY3972">
        <v>-0.8</v>
      </c>
      <c r="BZ3972">
        <v>-0.23</v>
      </c>
      <c r="CA3972">
        <v>-1.29</v>
      </c>
      <c r="CB3972">
        <v>-1</v>
      </c>
      <c r="CC3972">
        <v>-2.09</v>
      </c>
      <c r="CD3972">
        <v>-0.17</v>
      </c>
      <c r="CE3972">
        <v>0.09</v>
      </c>
      <c r="CF3972">
        <v>0.11</v>
      </c>
      <c r="CG3972">
        <v>0</v>
      </c>
      <c r="CH3972">
        <v>-0.28999999999999998</v>
      </c>
      <c r="CI3972">
        <v>0</v>
      </c>
      <c r="CJ3972">
        <v>3.5</v>
      </c>
      <c r="CK3972">
        <v>72</v>
      </c>
      <c r="CL3972">
        <v>-0.63</v>
      </c>
      <c r="CM3972">
        <v>70</v>
      </c>
      <c r="CN3972">
        <v>-0.2</v>
      </c>
      <c r="CO3972">
        <v>66</v>
      </c>
      <c r="CP3972">
        <v>-1.1000000000000001</v>
      </c>
      <c r="CQ3972">
        <v>81</v>
      </c>
      <c r="CR3972">
        <v>0</v>
      </c>
      <c r="CS3972">
        <v>0</v>
      </c>
      <c r="CT3972">
        <v>-6.9</v>
      </c>
      <c r="CU3972">
        <v>64</v>
      </c>
      <c r="CV3972">
        <v>0.1</v>
      </c>
      <c r="CW3972">
        <v>40</v>
      </c>
      <c r="CX3972" t="s">
        <v>3577</v>
      </c>
    </row>
    <row r="3973" spans="1:102" x14ac:dyDescent="0.3">
      <c r="A3973" t="str">
        <f>HYPERLINK("https://webapp.icbf.com/v2/app/bull-search/view/77855251","MMA")</f>
        <v>MMA</v>
      </c>
      <c r="B3973" t="s">
        <v>6466</v>
      </c>
      <c r="C3973" t="s">
        <v>6467</v>
      </c>
      <c r="D3973" s="1">
        <v>33909</v>
      </c>
      <c r="E3973" t="s">
        <v>92</v>
      </c>
      <c r="F3973">
        <v>100</v>
      </c>
      <c r="G3973" t="s">
        <v>93</v>
      </c>
      <c r="H3973">
        <v>-78.44</v>
      </c>
      <c r="I3973">
        <v>59</v>
      </c>
      <c r="J3973">
        <v>-28.05</v>
      </c>
      <c r="K3973">
        <v>80</v>
      </c>
      <c r="L3973">
        <v>-63.4</v>
      </c>
      <c r="M3973">
        <v>50</v>
      </c>
      <c r="N3973">
        <v>20.97</v>
      </c>
      <c r="O3973">
        <v>41</v>
      </c>
      <c r="P3973">
        <v>-18.84</v>
      </c>
      <c r="Q3973">
        <v>53</v>
      </c>
      <c r="R3973">
        <v>-5.15</v>
      </c>
      <c r="S3973">
        <v>55</v>
      </c>
      <c r="T3973">
        <v>19.149999999999999</v>
      </c>
      <c r="U3973">
        <v>55</v>
      </c>
      <c r="V3973">
        <v>-3.12</v>
      </c>
      <c r="W3973">
        <v>28</v>
      </c>
      <c r="X3973" t="s">
        <v>94</v>
      </c>
      <c r="Y3973" t="s">
        <v>95</v>
      </c>
      <c r="Z3973" t="s">
        <v>96</v>
      </c>
      <c r="AA3973" t="s">
        <v>161</v>
      </c>
      <c r="AB3973" t="s">
        <v>2524</v>
      </c>
      <c r="AC3973">
        <v>20</v>
      </c>
      <c r="AD3973">
        <v>17</v>
      </c>
      <c r="AE3973">
        <v>80</v>
      </c>
      <c r="AF3973">
        <v>52.41</v>
      </c>
      <c r="AG3973">
        <v>-6.64</v>
      </c>
      <c r="AH3973">
        <v>-1.62</v>
      </c>
      <c r="AI3973">
        <v>-0.14000000000000001</v>
      </c>
      <c r="AJ3973">
        <v>-0.06</v>
      </c>
      <c r="AK3973">
        <v>50</v>
      </c>
      <c r="AL3973">
        <v>31</v>
      </c>
      <c r="AM3973">
        <v>25</v>
      </c>
      <c r="AN3973">
        <v>3.95</v>
      </c>
      <c r="AO3973">
        <v>-1.1000000000000001</v>
      </c>
      <c r="AP3973">
        <v>2</v>
      </c>
      <c r="AQ3973">
        <v>0</v>
      </c>
      <c r="AR3973">
        <v>5.2</v>
      </c>
      <c r="AS3973">
        <v>28</v>
      </c>
      <c r="AT3973">
        <v>2.61</v>
      </c>
      <c r="AU3973">
        <v>38</v>
      </c>
      <c r="AV3973">
        <v>-0.94</v>
      </c>
      <c r="AW3973">
        <v>48</v>
      </c>
      <c r="AX3973">
        <v>-0.36</v>
      </c>
      <c r="AY3973">
        <v>45</v>
      </c>
      <c r="AZ3973">
        <v>6.06</v>
      </c>
      <c r="BA3973">
        <v>28</v>
      </c>
      <c r="BB3973">
        <v>4.54</v>
      </c>
      <c r="BC3973">
        <v>35</v>
      </c>
      <c r="BD3973">
        <v>0.02</v>
      </c>
      <c r="BE3973">
        <v>0.05</v>
      </c>
      <c r="BF3973">
        <v>-0.01</v>
      </c>
      <c r="BG3973">
        <v>68</v>
      </c>
      <c r="BH3973">
        <v>-0.04</v>
      </c>
      <c r="BI3973">
        <v>5.44</v>
      </c>
      <c r="BJ3973">
        <v>4</v>
      </c>
      <c r="BK3973">
        <v>4</v>
      </c>
      <c r="BL3973">
        <v>0.65</v>
      </c>
      <c r="BM3973">
        <v>-0.73</v>
      </c>
      <c r="BN3973">
        <v>-0.02</v>
      </c>
      <c r="BO3973">
        <v>0.51</v>
      </c>
      <c r="BP3973">
        <v>0.21</v>
      </c>
      <c r="BQ3973">
        <v>-0.57999999999999996</v>
      </c>
      <c r="BR3973">
        <v>-1.49</v>
      </c>
      <c r="BS3973">
        <v>0.8</v>
      </c>
      <c r="BT3973">
        <v>1.4</v>
      </c>
      <c r="BU3973">
        <v>-0.04</v>
      </c>
      <c r="BV3973">
        <v>0.62</v>
      </c>
      <c r="BW3973">
        <v>0.93</v>
      </c>
      <c r="BX3973">
        <v>1.2</v>
      </c>
      <c r="BY3973">
        <v>-0.45</v>
      </c>
      <c r="BZ3973">
        <v>1.19</v>
      </c>
      <c r="CA3973">
        <v>0.5</v>
      </c>
      <c r="CB3973">
        <v>7.0000000000000007E-2</v>
      </c>
      <c r="CC3973">
        <v>1.06</v>
      </c>
      <c r="CD3973">
        <v>-0.62</v>
      </c>
      <c r="CE3973">
        <v>0.32</v>
      </c>
      <c r="CF3973">
        <v>0.2</v>
      </c>
      <c r="CG3973">
        <v>0</v>
      </c>
      <c r="CH3973">
        <v>0.06</v>
      </c>
      <c r="CI3973">
        <v>0</v>
      </c>
      <c r="CJ3973">
        <v>-8.1999999999999993</v>
      </c>
      <c r="CK3973">
        <v>55</v>
      </c>
      <c r="CL3973">
        <v>-0.7</v>
      </c>
      <c r="CM3973">
        <v>51</v>
      </c>
      <c r="CN3973">
        <v>-0.09</v>
      </c>
      <c r="CO3973">
        <v>45</v>
      </c>
      <c r="CP3973">
        <v>-9</v>
      </c>
      <c r="CQ3973">
        <v>61</v>
      </c>
      <c r="CR3973">
        <v>0</v>
      </c>
      <c r="CS3973">
        <v>0</v>
      </c>
      <c r="CT3973">
        <v>-12.1</v>
      </c>
      <c r="CU3973">
        <v>55</v>
      </c>
      <c r="CV3973">
        <v>0.08</v>
      </c>
      <c r="CW3973">
        <v>14</v>
      </c>
      <c r="CX3973" t="s">
        <v>111</v>
      </c>
    </row>
    <row r="3974" spans="1:102" x14ac:dyDescent="0.3">
      <c r="A3974" t="str">
        <f>HYPERLINK("https://webapp.icbf.com/v2/app/bull-search/view/381923417","LWI")</f>
        <v>LWI</v>
      </c>
      <c r="B3974" t="s">
        <v>9958</v>
      </c>
      <c r="C3974" t="s">
        <v>9959</v>
      </c>
      <c r="D3974" s="1">
        <v>36084</v>
      </c>
      <c r="E3974" t="s">
        <v>92</v>
      </c>
      <c r="F3974">
        <v>100</v>
      </c>
      <c r="G3974" t="s">
        <v>109</v>
      </c>
      <c r="H3974">
        <v>-78.459999999999994</v>
      </c>
      <c r="I3974">
        <v>86</v>
      </c>
      <c r="J3974">
        <v>8.2899999999999991</v>
      </c>
      <c r="K3974">
        <v>95</v>
      </c>
      <c r="L3974">
        <v>-74.39</v>
      </c>
      <c r="M3974">
        <v>87</v>
      </c>
      <c r="N3974">
        <v>-7.97</v>
      </c>
      <c r="O3974">
        <v>72</v>
      </c>
      <c r="P3974">
        <v>-10.66</v>
      </c>
      <c r="Q3974">
        <v>82</v>
      </c>
      <c r="R3974">
        <v>2.2599999999999998</v>
      </c>
      <c r="S3974">
        <v>78</v>
      </c>
      <c r="T3974">
        <v>10.35</v>
      </c>
      <c r="U3974">
        <v>76</v>
      </c>
      <c r="V3974">
        <v>-6.34</v>
      </c>
      <c r="W3974">
        <v>69</v>
      </c>
      <c r="X3974" t="s">
        <v>102</v>
      </c>
      <c r="Y3974" t="s">
        <v>95</v>
      </c>
      <c r="Z3974" t="s">
        <v>96</v>
      </c>
      <c r="AA3974" t="s">
        <v>291</v>
      </c>
      <c r="AB3974" t="s">
        <v>9960</v>
      </c>
      <c r="AC3974">
        <v>32</v>
      </c>
      <c r="AD3974">
        <v>17</v>
      </c>
      <c r="AE3974">
        <v>95</v>
      </c>
      <c r="AF3974">
        <v>157.32</v>
      </c>
      <c r="AG3974">
        <v>7.26</v>
      </c>
      <c r="AH3974">
        <v>1.25</v>
      </c>
      <c r="AI3974">
        <v>0.02</v>
      </c>
      <c r="AJ3974">
        <v>-7.0000000000000007E-2</v>
      </c>
      <c r="AK3974">
        <v>87</v>
      </c>
      <c r="AL3974">
        <v>47</v>
      </c>
      <c r="AM3974">
        <v>23</v>
      </c>
      <c r="AN3974">
        <v>4.26</v>
      </c>
      <c r="AO3974">
        <v>-1.67</v>
      </c>
      <c r="AP3974">
        <v>73</v>
      </c>
      <c r="AQ3974">
        <v>0</v>
      </c>
      <c r="AR3974">
        <v>9.17</v>
      </c>
      <c r="AS3974">
        <v>67</v>
      </c>
      <c r="AT3974">
        <v>4.08</v>
      </c>
      <c r="AU3974">
        <v>89</v>
      </c>
      <c r="AV3974">
        <v>-1.1499999999999999</v>
      </c>
      <c r="AW3974">
        <v>72</v>
      </c>
      <c r="AX3974">
        <v>0.53</v>
      </c>
      <c r="AY3974">
        <v>69</v>
      </c>
      <c r="AZ3974">
        <v>7.19</v>
      </c>
      <c r="BA3974">
        <v>53</v>
      </c>
      <c r="BB3974">
        <v>5.15</v>
      </c>
      <c r="BC3974">
        <v>53</v>
      </c>
      <c r="BD3974">
        <v>0</v>
      </c>
      <c r="BE3974">
        <v>0.02</v>
      </c>
      <c r="BF3974">
        <v>-0.09</v>
      </c>
      <c r="BG3974">
        <v>92</v>
      </c>
      <c r="BH3974">
        <v>-7.0000000000000007E-2</v>
      </c>
      <c r="BI3974">
        <v>12.37</v>
      </c>
      <c r="BJ3974">
        <v>9</v>
      </c>
      <c r="BK3974">
        <v>2</v>
      </c>
      <c r="BL3974">
        <v>1.69</v>
      </c>
      <c r="BM3974">
        <v>-2.68</v>
      </c>
      <c r="BN3974">
        <v>-0.74</v>
      </c>
      <c r="BO3974">
        <v>1.17</v>
      </c>
      <c r="BP3974">
        <v>0.86</v>
      </c>
      <c r="BQ3974">
        <v>1.27</v>
      </c>
      <c r="BR3974">
        <v>0.85</v>
      </c>
      <c r="BS3974">
        <v>-0.25</v>
      </c>
      <c r="BT3974">
        <v>0.26</v>
      </c>
      <c r="BU3974">
        <v>0.56999999999999995</v>
      </c>
      <c r="BV3974">
        <v>0.71</v>
      </c>
      <c r="BW3974">
        <v>0.35</v>
      </c>
      <c r="BX3974">
        <v>0.96</v>
      </c>
      <c r="BY3974">
        <v>-0.34</v>
      </c>
      <c r="BZ3974">
        <v>-0.85</v>
      </c>
      <c r="CA3974">
        <v>0.13</v>
      </c>
      <c r="CB3974">
        <v>0.22</v>
      </c>
      <c r="CC3974">
        <v>0.18</v>
      </c>
      <c r="CD3974">
        <v>-1.82</v>
      </c>
      <c r="CE3974">
        <v>0.49</v>
      </c>
      <c r="CF3974">
        <v>0.37</v>
      </c>
      <c r="CG3974">
        <v>0</v>
      </c>
      <c r="CH3974">
        <v>-0.71</v>
      </c>
      <c r="CI3974">
        <v>0</v>
      </c>
      <c r="CJ3974">
        <v>-2.1</v>
      </c>
      <c r="CK3974">
        <v>83</v>
      </c>
      <c r="CL3974">
        <v>-0.92</v>
      </c>
      <c r="CM3974">
        <v>80</v>
      </c>
      <c r="CN3974">
        <v>-0.27</v>
      </c>
      <c r="CO3974">
        <v>77</v>
      </c>
      <c r="CP3974">
        <v>-9.5</v>
      </c>
      <c r="CQ3974">
        <v>83</v>
      </c>
      <c r="CR3974">
        <v>0</v>
      </c>
      <c r="CS3974">
        <v>0</v>
      </c>
      <c r="CT3974">
        <v>-0.2</v>
      </c>
      <c r="CU3974">
        <v>76</v>
      </c>
      <c r="CV3974">
        <v>0.14000000000000001</v>
      </c>
      <c r="CW3974">
        <v>42</v>
      </c>
      <c r="CX3974" t="s">
        <v>1106</v>
      </c>
    </row>
    <row r="3975" spans="1:102" x14ac:dyDescent="0.3">
      <c r="A3975" t="str">
        <f>HYPERLINK("https://webapp.icbf.com/v2/app/bull-search/view/77856139","LBZ")</f>
        <v>LBZ</v>
      </c>
      <c r="B3975" t="s">
        <v>10611</v>
      </c>
      <c r="C3975" t="s">
        <v>10612</v>
      </c>
      <c r="D3975" s="1">
        <v>34876</v>
      </c>
      <c r="E3975" t="s">
        <v>92</v>
      </c>
      <c r="F3975">
        <v>100</v>
      </c>
      <c r="G3975" t="s">
        <v>116</v>
      </c>
      <c r="H3975">
        <v>-78.59</v>
      </c>
      <c r="I3975">
        <v>32</v>
      </c>
      <c r="J3975">
        <v>5.9</v>
      </c>
      <c r="K3975">
        <v>25</v>
      </c>
      <c r="L3975">
        <v>-93.36</v>
      </c>
      <c r="M3975">
        <v>30</v>
      </c>
      <c r="N3975">
        <v>11.62</v>
      </c>
      <c r="O3975">
        <v>37</v>
      </c>
      <c r="P3975">
        <v>-2.5299999999999998</v>
      </c>
      <c r="Q3975">
        <v>59</v>
      </c>
      <c r="R3975">
        <v>-8.5399999999999991</v>
      </c>
      <c r="S3975">
        <v>36</v>
      </c>
      <c r="T3975">
        <v>12.64</v>
      </c>
      <c r="U3975">
        <v>37</v>
      </c>
      <c r="V3975">
        <v>-4.32</v>
      </c>
      <c r="W3975">
        <v>32</v>
      </c>
      <c r="X3975" t="s">
        <v>94</v>
      </c>
      <c r="Y3975" t="s">
        <v>1499</v>
      </c>
      <c r="Z3975" t="s">
        <v>96</v>
      </c>
      <c r="AA3975" t="s">
        <v>924</v>
      </c>
      <c r="AB3975" t="s">
        <v>10613</v>
      </c>
      <c r="AC3975">
        <v>0</v>
      </c>
      <c r="AD3975">
        <v>0</v>
      </c>
      <c r="AE3975">
        <v>25</v>
      </c>
      <c r="AF3975">
        <v>251.43</v>
      </c>
      <c r="AG3975">
        <v>2.41</v>
      </c>
      <c r="AH3975">
        <v>4</v>
      </c>
      <c r="AI3975">
        <v>-0.12</v>
      </c>
      <c r="AJ3975">
        <v>-0.08</v>
      </c>
      <c r="AK3975">
        <v>30</v>
      </c>
      <c r="AL3975">
        <v>0</v>
      </c>
      <c r="AM3975">
        <v>0</v>
      </c>
      <c r="AN3975">
        <v>6.3</v>
      </c>
      <c r="AO3975">
        <v>-1.1299999999999999</v>
      </c>
      <c r="AP3975">
        <v>7</v>
      </c>
      <c r="AQ3975">
        <v>1</v>
      </c>
      <c r="AR3975">
        <v>6.07</v>
      </c>
      <c r="AS3975">
        <v>32</v>
      </c>
      <c r="AT3975">
        <v>2.68</v>
      </c>
      <c r="AU3975">
        <v>38</v>
      </c>
      <c r="AV3975">
        <v>-0.28999999999999998</v>
      </c>
      <c r="AW3975">
        <v>40</v>
      </c>
      <c r="AX3975">
        <v>-0.73</v>
      </c>
      <c r="AY3975">
        <v>38</v>
      </c>
      <c r="AZ3975">
        <v>6.25</v>
      </c>
      <c r="BA3975">
        <v>28</v>
      </c>
      <c r="BB3975">
        <v>5.05</v>
      </c>
      <c r="BC3975">
        <v>29</v>
      </c>
      <c r="BD3975">
        <v>0.05</v>
      </c>
      <c r="BE3975">
        <v>7.0000000000000007E-2</v>
      </c>
      <c r="BF3975">
        <v>-0.02</v>
      </c>
      <c r="BG3975">
        <v>39</v>
      </c>
      <c r="BH3975">
        <v>0.04</v>
      </c>
      <c r="BI3975">
        <v>18.55</v>
      </c>
      <c r="BJ3975">
        <v>0</v>
      </c>
      <c r="BK3975">
        <v>0</v>
      </c>
      <c r="BL3975">
        <v>0.01</v>
      </c>
      <c r="BM3975">
        <v>-0.92</v>
      </c>
      <c r="BN3975">
        <v>-0.38</v>
      </c>
      <c r="BO3975">
        <v>0.5</v>
      </c>
      <c r="BP3975">
        <v>1.36</v>
      </c>
      <c r="BQ3975">
        <v>-1.26</v>
      </c>
      <c r="BR3975">
        <v>-0.64</v>
      </c>
      <c r="BS3975">
        <v>-0.16</v>
      </c>
      <c r="BT3975">
        <v>0.61</v>
      </c>
      <c r="BU3975">
        <v>0.34</v>
      </c>
      <c r="BV3975">
        <v>0.28000000000000003</v>
      </c>
      <c r="BW3975">
        <v>0.18</v>
      </c>
      <c r="BX3975">
        <v>-0.16</v>
      </c>
      <c r="BY3975">
        <v>-7.0000000000000007E-2</v>
      </c>
      <c r="BZ3975">
        <v>1.33</v>
      </c>
      <c r="CA3975">
        <v>0.59</v>
      </c>
      <c r="CB3975">
        <v>0.62</v>
      </c>
      <c r="CC3975">
        <v>0.28000000000000003</v>
      </c>
      <c r="CD3975">
        <v>-0.6</v>
      </c>
      <c r="CE3975">
        <v>0.56999999999999995</v>
      </c>
      <c r="CF3975">
        <v>0</v>
      </c>
      <c r="CG3975">
        <v>0</v>
      </c>
      <c r="CH3975">
        <v>-0.06</v>
      </c>
      <c r="CI3975">
        <v>0</v>
      </c>
      <c r="CJ3975">
        <v>-0.7</v>
      </c>
      <c r="CK3975">
        <v>63</v>
      </c>
      <c r="CL3975">
        <v>-0.59</v>
      </c>
      <c r="CM3975">
        <v>58</v>
      </c>
      <c r="CN3975">
        <v>-0.47</v>
      </c>
      <c r="CO3975">
        <v>57</v>
      </c>
      <c r="CP3975">
        <v>-6.5</v>
      </c>
      <c r="CQ3975">
        <v>42</v>
      </c>
      <c r="CR3975">
        <v>0</v>
      </c>
      <c r="CS3975">
        <v>0</v>
      </c>
      <c r="CT3975">
        <v>-3.3</v>
      </c>
      <c r="CU3975">
        <v>37</v>
      </c>
      <c r="CV3975">
        <v>0.06</v>
      </c>
      <c r="CW3975">
        <v>17</v>
      </c>
      <c r="CX3975" t="s">
        <v>3760</v>
      </c>
    </row>
    <row r="3976" spans="1:102" x14ac:dyDescent="0.3">
      <c r="A3976" t="str">
        <f>HYPERLINK("https://webapp.icbf.com/v2/app/bull-search/view/77858161","EHE")</f>
        <v>EHE</v>
      </c>
      <c r="B3976" t="s">
        <v>8666</v>
      </c>
      <c r="C3976" t="s">
        <v>8667</v>
      </c>
      <c r="D3976" s="1">
        <v>35260</v>
      </c>
      <c r="E3976" t="s">
        <v>92</v>
      </c>
      <c r="F3976">
        <v>97</v>
      </c>
      <c r="G3976" t="s">
        <v>93</v>
      </c>
      <c r="H3976">
        <v>-78.66</v>
      </c>
      <c r="I3976">
        <v>85</v>
      </c>
      <c r="J3976">
        <v>-14.06</v>
      </c>
      <c r="K3976">
        <v>97</v>
      </c>
      <c r="L3976">
        <v>-84.65</v>
      </c>
      <c r="M3976">
        <v>80</v>
      </c>
      <c r="N3976">
        <v>13.64</v>
      </c>
      <c r="O3976">
        <v>71</v>
      </c>
      <c r="P3976">
        <v>-2.9</v>
      </c>
      <c r="Q3976">
        <v>81</v>
      </c>
      <c r="R3976">
        <v>-1.75</v>
      </c>
      <c r="S3976">
        <v>79</v>
      </c>
      <c r="T3976">
        <v>8.0500000000000007</v>
      </c>
      <c r="U3976">
        <v>89</v>
      </c>
      <c r="V3976">
        <v>3.01</v>
      </c>
      <c r="W3976">
        <v>69</v>
      </c>
      <c r="X3976" t="s">
        <v>94</v>
      </c>
      <c r="Y3976" t="s">
        <v>95</v>
      </c>
      <c r="Z3976" t="s">
        <v>96</v>
      </c>
      <c r="AA3976" t="s">
        <v>2594</v>
      </c>
      <c r="AB3976" t="s">
        <v>1234</v>
      </c>
      <c r="AC3976">
        <v>87</v>
      </c>
      <c r="AD3976">
        <v>72</v>
      </c>
      <c r="AE3976">
        <v>97</v>
      </c>
      <c r="AF3976">
        <v>-29.03</v>
      </c>
      <c r="AG3976">
        <v>-3.24</v>
      </c>
      <c r="AH3976">
        <v>-1.69</v>
      </c>
      <c r="AI3976">
        <v>-0.04</v>
      </c>
      <c r="AJ3976">
        <v>-0.01</v>
      </c>
      <c r="AK3976">
        <v>80</v>
      </c>
      <c r="AL3976">
        <v>81</v>
      </c>
      <c r="AM3976">
        <v>64</v>
      </c>
      <c r="AN3976">
        <v>6.22</v>
      </c>
      <c r="AO3976">
        <v>-0.51</v>
      </c>
      <c r="AP3976">
        <v>2</v>
      </c>
      <c r="AQ3976">
        <v>0</v>
      </c>
      <c r="AR3976">
        <v>7.71</v>
      </c>
      <c r="AS3976">
        <v>61</v>
      </c>
      <c r="AT3976">
        <v>2.63</v>
      </c>
      <c r="AU3976">
        <v>77</v>
      </c>
      <c r="AV3976">
        <v>-1.21</v>
      </c>
      <c r="AW3976">
        <v>71</v>
      </c>
      <c r="AX3976">
        <v>-0.24</v>
      </c>
      <c r="AY3976">
        <v>78</v>
      </c>
      <c r="AZ3976">
        <v>6.8</v>
      </c>
      <c r="BA3976">
        <v>56</v>
      </c>
      <c r="BB3976">
        <v>4.99</v>
      </c>
      <c r="BC3976">
        <v>67</v>
      </c>
      <c r="BD3976">
        <v>-0.01</v>
      </c>
      <c r="BE3976">
        <v>0.03</v>
      </c>
      <c r="BF3976">
        <v>0</v>
      </c>
      <c r="BG3976">
        <v>89</v>
      </c>
      <c r="BH3976">
        <v>0.14000000000000001</v>
      </c>
      <c r="BI3976">
        <v>6.5</v>
      </c>
      <c r="BJ3976">
        <v>2</v>
      </c>
      <c r="BK3976">
        <v>1</v>
      </c>
      <c r="BL3976">
        <v>0.36</v>
      </c>
      <c r="BM3976">
        <v>-0.43</v>
      </c>
      <c r="BN3976">
        <v>-0.48</v>
      </c>
      <c r="BO3976">
        <v>-0.22</v>
      </c>
      <c r="BP3976">
        <v>1.71</v>
      </c>
      <c r="BQ3976">
        <v>-1.86</v>
      </c>
      <c r="BR3976">
        <v>-0.51</v>
      </c>
      <c r="BS3976">
        <v>-1.81</v>
      </c>
      <c r="BT3976">
        <v>-1.08</v>
      </c>
      <c r="BU3976">
        <v>0.06</v>
      </c>
      <c r="BV3976">
        <v>-0.47</v>
      </c>
      <c r="BW3976">
        <v>-0.81</v>
      </c>
      <c r="BX3976">
        <v>1.1499999999999999</v>
      </c>
      <c r="BY3976">
        <v>-0.32</v>
      </c>
      <c r="BZ3976">
        <v>-0.14000000000000001</v>
      </c>
      <c r="CA3976">
        <v>-1.01</v>
      </c>
      <c r="CB3976">
        <v>-0.8</v>
      </c>
      <c r="CC3976">
        <v>-1.36</v>
      </c>
      <c r="CD3976">
        <v>-0.16</v>
      </c>
      <c r="CE3976">
        <v>0.41</v>
      </c>
      <c r="CF3976">
        <v>0.61</v>
      </c>
      <c r="CG3976">
        <v>0</v>
      </c>
      <c r="CH3976">
        <v>-0.54</v>
      </c>
      <c r="CI3976">
        <v>0</v>
      </c>
      <c r="CJ3976">
        <v>-0.8</v>
      </c>
      <c r="CK3976">
        <v>82</v>
      </c>
      <c r="CL3976">
        <v>-0.5</v>
      </c>
      <c r="CM3976">
        <v>80</v>
      </c>
      <c r="CN3976">
        <v>-0.34</v>
      </c>
      <c r="CO3976">
        <v>77</v>
      </c>
      <c r="CP3976">
        <v>-4.0999999999999996</v>
      </c>
      <c r="CQ3976">
        <v>88</v>
      </c>
      <c r="CR3976">
        <v>0</v>
      </c>
      <c r="CS3976">
        <v>0</v>
      </c>
      <c r="CT3976">
        <v>2.9</v>
      </c>
      <c r="CU3976">
        <v>89</v>
      </c>
      <c r="CV3976">
        <v>7.0000000000000007E-2</v>
      </c>
      <c r="CW3976">
        <v>42</v>
      </c>
      <c r="CX3976" t="s">
        <v>193</v>
      </c>
    </row>
    <row r="3977" spans="1:102" x14ac:dyDescent="0.3">
      <c r="A3977" t="str">
        <f>HYPERLINK("https://webapp.icbf.com/v2/app/bull-search/view/77858188","EJN")</f>
        <v>EJN</v>
      </c>
      <c r="B3977" t="s">
        <v>8705</v>
      </c>
      <c r="C3977" t="s">
        <v>3229</v>
      </c>
      <c r="D3977" s="1">
        <v>32592</v>
      </c>
      <c r="E3977" t="s">
        <v>92</v>
      </c>
      <c r="F3977">
        <v>100</v>
      </c>
      <c r="G3977" t="s">
        <v>93</v>
      </c>
      <c r="H3977">
        <v>-78.66</v>
      </c>
      <c r="I3977">
        <v>92</v>
      </c>
      <c r="J3977">
        <v>14.49</v>
      </c>
      <c r="K3977">
        <v>98</v>
      </c>
      <c r="L3977">
        <v>-91.3</v>
      </c>
      <c r="M3977">
        <v>93</v>
      </c>
      <c r="N3977">
        <v>6.77</v>
      </c>
      <c r="O3977">
        <v>84</v>
      </c>
      <c r="P3977">
        <v>-4.08</v>
      </c>
      <c r="Q3977">
        <v>90</v>
      </c>
      <c r="R3977">
        <v>-4.2300000000000004</v>
      </c>
      <c r="S3977">
        <v>85</v>
      </c>
      <c r="T3977">
        <v>5.61</v>
      </c>
      <c r="U3977">
        <v>87</v>
      </c>
      <c r="V3977">
        <v>-5.92</v>
      </c>
      <c r="W3977">
        <v>74</v>
      </c>
      <c r="X3977" t="s">
        <v>276</v>
      </c>
      <c r="Y3977" t="s">
        <v>95</v>
      </c>
      <c r="Z3977" t="s">
        <v>96</v>
      </c>
      <c r="AA3977" t="s">
        <v>166</v>
      </c>
      <c r="AB3977" t="s">
        <v>8706</v>
      </c>
      <c r="AC3977">
        <v>266</v>
      </c>
      <c r="AD3977">
        <v>127</v>
      </c>
      <c r="AE3977">
        <v>98</v>
      </c>
      <c r="AF3977">
        <v>313.27999999999997</v>
      </c>
      <c r="AG3977">
        <v>4.24</v>
      </c>
      <c r="AH3977">
        <v>5.76</v>
      </c>
      <c r="AI3977">
        <v>-0.13</v>
      </c>
      <c r="AJ3977">
        <v>-0.08</v>
      </c>
      <c r="AK3977">
        <v>93</v>
      </c>
      <c r="AL3977">
        <v>301</v>
      </c>
      <c r="AM3977">
        <v>133</v>
      </c>
      <c r="AN3977">
        <v>5.85</v>
      </c>
      <c r="AO3977">
        <v>-1.42</v>
      </c>
      <c r="AP3977">
        <v>2</v>
      </c>
      <c r="AQ3977">
        <v>0</v>
      </c>
      <c r="AR3977">
        <v>9.11</v>
      </c>
      <c r="AS3977">
        <v>72</v>
      </c>
      <c r="AT3977">
        <v>3.34</v>
      </c>
      <c r="AU3977">
        <v>95</v>
      </c>
      <c r="AV3977">
        <v>-1.66</v>
      </c>
      <c r="AW3977">
        <v>83</v>
      </c>
      <c r="AX3977">
        <v>-0.39</v>
      </c>
      <c r="AY3977">
        <v>89</v>
      </c>
      <c r="AZ3977">
        <v>7.13</v>
      </c>
      <c r="BA3977">
        <v>65</v>
      </c>
      <c r="BB3977">
        <v>5.04</v>
      </c>
      <c r="BC3977">
        <v>77</v>
      </c>
      <c r="BD3977">
        <v>0.02</v>
      </c>
      <c r="BE3977">
        <v>0.06</v>
      </c>
      <c r="BF3977">
        <v>-0.05</v>
      </c>
      <c r="BG3977">
        <v>96</v>
      </c>
      <c r="BH3977">
        <v>-0.14000000000000001</v>
      </c>
      <c r="BI3977">
        <v>2.89</v>
      </c>
      <c r="BJ3977">
        <v>26</v>
      </c>
      <c r="BK3977">
        <v>13</v>
      </c>
      <c r="BL3977">
        <v>7.0000000000000007E-2</v>
      </c>
      <c r="BM3977">
        <v>-0.76</v>
      </c>
      <c r="BN3977">
        <v>-0.16</v>
      </c>
      <c r="BO3977">
        <v>0.64</v>
      </c>
      <c r="BP3977">
        <v>-1.1100000000000001</v>
      </c>
      <c r="BQ3977">
        <v>-1.85</v>
      </c>
      <c r="BR3977">
        <v>0</v>
      </c>
      <c r="BS3977">
        <v>-0.94</v>
      </c>
      <c r="BT3977">
        <v>-1.91</v>
      </c>
      <c r="BU3977">
        <v>0.26</v>
      </c>
      <c r="BV3977">
        <v>-7.0000000000000007E-2</v>
      </c>
      <c r="BW3977">
        <v>-1.1100000000000001</v>
      </c>
      <c r="BX3977">
        <v>-0.26</v>
      </c>
      <c r="BY3977">
        <v>-0.23</v>
      </c>
      <c r="BZ3977">
        <v>-1.2</v>
      </c>
      <c r="CA3977">
        <v>-0.15</v>
      </c>
      <c r="CB3977">
        <v>0.09</v>
      </c>
      <c r="CC3977">
        <v>-0.85</v>
      </c>
      <c r="CD3977">
        <v>-1.02</v>
      </c>
      <c r="CE3977">
        <v>0.64</v>
      </c>
      <c r="CF3977">
        <v>-0.35</v>
      </c>
      <c r="CG3977">
        <v>0</v>
      </c>
      <c r="CH3977">
        <v>-0.36</v>
      </c>
      <c r="CI3977">
        <v>0</v>
      </c>
      <c r="CJ3977">
        <v>-0.5</v>
      </c>
      <c r="CK3977">
        <v>91</v>
      </c>
      <c r="CL3977">
        <v>-0.56999999999999995</v>
      </c>
      <c r="CM3977">
        <v>89</v>
      </c>
      <c r="CN3977">
        <v>-0.3</v>
      </c>
      <c r="CO3977">
        <v>88</v>
      </c>
      <c r="CP3977">
        <v>-6.8</v>
      </c>
      <c r="CQ3977">
        <v>95</v>
      </c>
      <c r="CR3977">
        <v>0</v>
      </c>
      <c r="CS3977">
        <v>0</v>
      </c>
      <c r="CT3977">
        <v>6.2</v>
      </c>
      <c r="CU3977">
        <v>87</v>
      </c>
      <c r="CV3977">
        <v>0.14000000000000001</v>
      </c>
      <c r="CW3977">
        <v>44</v>
      </c>
      <c r="CX3977" t="s">
        <v>707</v>
      </c>
    </row>
    <row r="3978" spans="1:102" x14ac:dyDescent="0.3">
      <c r="A3978" t="str">
        <f>HYPERLINK("https://webapp.icbf.com/v2/app/bull-search/view/77859361","ARM")</f>
        <v>ARM</v>
      </c>
      <c r="B3978" t="s">
        <v>6513</v>
      </c>
      <c r="C3978" t="s">
        <v>6514</v>
      </c>
      <c r="D3978" s="1">
        <v>35326</v>
      </c>
      <c r="E3978" t="s">
        <v>92</v>
      </c>
      <c r="F3978">
        <v>100</v>
      </c>
      <c r="G3978" t="s">
        <v>93</v>
      </c>
      <c r="H3978">
        <v>-78.67</v>
      </c>
      <c r="I3978">
        <v>75</v>
      </c>
      <c r="J3978">
        <v>-22.78</v>
      </c>
      <c r="K3978">
        <v>95</v>
      </c>
      <c r="L3978">
        <v>-64.599999999999994</v>
      </c>
      <c r="M3978">
        <v>62</v>
      </c>
      <c r="N3978">
        <v>9.52</v>
      </c>
      <c r="O3978">
        <v>64</v>
      </c>
      <c r="P3978">
        <v>-6.41</v>
      </c>
      <c r="Q3978">
        <v>81</v>
      </c>
      <c r="R3978">
        <v>-7.42</v>
      </c>
      <c r="S3978">
        <v>66</v>
      </c>
      <c r="T3978">
        <v>12.2</v>
      </c>
      <c r="U3978">
        <v>79</v>
      </c>
      <c r="V3978">
        <v>0.82</v>
      </c>
      <c r="W3978">
        <v>32</v>
      </c>
      <c r="X3978" t="s">
        <v>94</v>
      </c>
      <c r="Y3978" t="s">
        <v>95</v>
      </c>
      <c r="Z3978" t="s">
        <v>96</v>
      </c>
      <c r="AA3978" t="s">
        <v>731</v>
      </c>
      <c r="AB3978" t="s">
        <v>6515</v>
      </c>
      <c r="AC3978">
        <v>82</v>
      </c>
      <c r="AD3978">
        <v>72</v>
      </c>
      <c r="AE3978">
        <v>95</v>
      </c>
      <c r="AF3978">
        <v>122.49</v>
      </c>
      <c r="AG3978">
        <v>-1.95</v>
      </c>
      <c r="AH3978">
        <v>-1.31</v>
      </c>
      <c r="AI3978">
        <v>-0.11</v>
      </c>
      <c r="AJ3978">
        <v>-0.09</v>
      </c>
      <c r="AK3978">
        <v>62</v>
      </c>
      <c r="AL3978">
        <v>79</v>
      </c>
      <c r="AM3978">
        <v>66</v>
      </c>
      <c r="AN3978">
        <v>4.43</v>
      </c>
      <c r="AO3978">
        <v>-0.71</v>
      </c>
      <c r="AP3978">
        <v>0</v>
      </c>
      <c r="AQ3978">
        <v>1</v>
      </c>
      <c r="AR3978">
        <v>8.1300000000000008</v>
      </c>
      <c r="AS3978">
        <v>36</v>
      </c>
      <c r="AT3978">
        <v>3.54</v>
      </c>
      <c r="AU3978">
        <v>61</v>
      </c>
      <c r="AV3978">
        <v>-2.44</v>
      </c>
      <c r="AW3978">
        <v>73</v>
      </c>
      <c r="AX3978">
        <v>1.05</v>
      </c>
      <c r="AY3978">
        <v>73</v>
      </c>
      <c r="AZ3978">
        <v>6.25</v>
      </c>
      <c r="BA3978">
        <v>39</v>
      </c>
      <c r="BB3978">
        <v>5.42</v>
      </c>
      <c r="BC3978">
        <v>57</v>
      </c>
      <c r="BD3978">
        <v>0.04</v>
      </c>
      <c r="BE3978">
        <v>0.06</v>
      </c>
      <c r="BF3978">
        <v>-0.01</v>
      </c>
      <c r="BG3978">
        <v>82</v>
      </c>
      <c r="BH3978">
        <v>0.17</v>
      </c>
      <c r="BI3978">
        <v>17.02</v>
      </c>
      <c r="BJ3978">
        <v>2</v>
      </c>
      <c r="BK3978">
        <v>2</v>
      </c>
      <c r="BL3978">
        <v>0.94</v>
      </c>
      <c r="BM3978">
        <v>0.11</v>
      </c>
      <c r="BN3978">
        <v>1.1399999999999999</v>
      </c>
      <c r="BO3978">
        <v>0.89</v>
      </c>
      <c r="BP3978">
        <v>0.41</v>
      </c>
      <c r="BQ3978">
        <v>1.17</v>
      </c>
      <c r="BR3978">
        <v>1.92</v>
      </c>
      <c r="BS3978">
        <v>-1.65</v>
      </c>
      <c r="BT3978">
        <v>-1.66</v>
      </c>
      <c r="BU3978">
        <v>0</v>
      </c>
      <c r="BV3978">
        <v>0.22</v>
      </c>
      <c r="BW3978">
        <v>-0.42</v>
      </c>
      <c r="BX3978">
        <v>-0.43</v>
      </c>
      <c r="BY3978">
        <v>-0.65</v>
      </c>
      <c r="BZ3978">
        <v>-0.05</v>
      </c>
      <c r="CA3978">
        <v>-0.44</v>
      </c>
      <c r="CB3978">
        <v>0.06</v>
      </c>
      <c r="CC3978">
        <v>-1.1000000000000001</v>
      </c>
      <c r="CD3978">
        <v>-0.36</v>
      </c>
      <c r="CE3978">
        <v>1.05</v>
      </c>
      <c r="CF3978">
        <v>1.3</v>
      </c>
      <c r="CG3978">
        <v>0</v>
      </c>
      <c r="CH3978">
        <v>-0.51</v>
      </c>
      <c r="CI3978">
        <v>0</v>
      </c>
      <c r="CJ3978">
        <v>-2.2999999999999998</v>
      </c>
      <c r="CK3978">
        <v>82</v>
      </c>
      <c r="CL3978">
        <v>-0.35</v>
      </c>
      <c r="CM3978">
        <v>78</v>
      </c>
      <c r="CN3978">
        <v>-0.09</v>
      </c>
      <c r="CO3978">
        <v>75</v>
      </c>
      <c r="CP3978">
        <v>-4.5</v>
      </c>
      <c r="CQ3978">
        <v>88</v>
      </c>
      <c r="CR3978">
        <v>0</v>
      </c>
      <c r="CS3978">
        <v>0</v>
      </c>
      <c r="CT3978">
        <v>-2.7</v>
      </c>
      <c r="CU3978">
        <v>79</v>
      </c>
      <c r="CV3978">
        <v>0.01</v>
      </c>
      <c r="CW3978">
        <v>23</v>
      </c>
      <c r="CX3978" t="s">
        <v>485</v>
      </c>
    </row>
    <row r="3979" spans="1:102" x14ac:dyDescent="0.3">
      <c r="A3979" t="str">
        <f>HYPERLINK("https://webapp.icbf.com/v2/app/bull-search/view/77852752","YAC")</f>
        <v>YAC</v>
      </c>
      <c r="B3979" t="s">
        <v>2973</v>
      </c>
      <c r="C3979" t="s">
        <v>2974</v>
      </c>
      <c r="D3979" s="1">
        <v>32739</v>
      </c>
      <c r="E3979" t="s">
        <v>92</v>
      </c>
      <c r="F3979">
        <v>100</v>
      </c>
      <c r="G3979" t="s">
        <v>109</v>
      </c>
      <c r="H3979">
        <v>-78.7</v>
      </c>
      <c r="I3979">
        <v>63</v>
      </c>
      <c r="J3979">
        <v>-28.76</v>
      </c>
      <c r="K3979">
        <v>76</v>
      </c>
      <c r="L3979">
        <v>-39.369999999999997</v>
      </c>
      <c r="M3979">
        <v>75</v>
      </c>
      <c r="N3979">
        <v>-2.89</v>
      </c>
      <c r="O3979">
        <v>37</v>
      </c>
      <c r="P3979">
        <v>5.54</v>
      </c>
      <c r="Q3979">
        <v>41</v>
      </c>
      <c r="R3979">
        <v>-16.86</v>
      </c>
      <c r="S3979">
        <v>60</v>
      </c>
      <c r="T3979">
        <v>6.87</v>
      </c>
      <c r="U3979">
        <v>33</v>
      </c>
      <c r="V3979">
        <v>-3.23</v>
      </c>
      <c r="W3979">
        <v>25</v>
      </c>
      <c r="X3979" t="s">
        <v>110</v>
      </c>
      <c r="Y3979" t="s">
        <v>95</v>
      </c>
      <c r="Z3979" t="s">
        <v>96</v>
      </c>
      <c r="AA3979" t="s">
        <v>166</v>
      </c>
      <c r="AB3979" t="s">
        <v>2975</v>
      </c>
      <c r="AC3979">
        <v>0</v>
      </c>
      <c r="AD3979">
        <v>0</v>
      </c>
      <c r="AE3979">
        <v>76</v>
      </c>
      <c r="AF3979">
        <v>-10.25</v>
      </c>
      <c r="AG3979">
        <v>-10.37</v>
      </c>
      <c r="AH3979">
        <v>-1.38</v>
      </c>
      <c r="AI3979">
        <v>-0.17</v>
      </c>
      <c r="AJ3979">
        <v>-0.02</v>
      </c>
      <c r="AK3979">
        <v>75</v>
      </c>
      <c r="AL3979">
        <v>0</v>
      </c>
      <c r="AM3979">
        <v>0</v>
      </c>
      <c r="AN3979">
        <v>2.14</v>
      </c>
      <c r="AO3979">
        <v>-1</v>
      </c>
      <c r="AP3979">
        <v>3</v>
      </c>
      <c r="AQ3979">
        <v>1</v>
      </c>
      <c r="AR3979">
        <v>7.38</v>
      </c>
      <c r="AS3979">
        <v>25</v>
      </c>
      <c r="AT3979">
        <v>3.38</v>
      </c>
      <c r="AU3979">
        <v>59</v>
      </c>
      <c r="AV3979">
        <v>0.55000000000000004</v>
      </c>
      <c r="AW3979">
        <v>31</v>
      </c>
      <c r="AX3979">
        <v>-0.48</v>
      </c>
      <c r="AY3979">
        <v>38</v>
      </c>
      <c r="AZ3979">
        <v>6.24</v>
      </c>
      <c r="BA3979">
        <v>25</v>
      </c>
      <c r="BB3979">
        <v>4.67</v>
      </c>
      <c r="BC3979">
        <v>27</v>
      </c>
      <c r="BD3979">
        <v>0.04</v>
      </c>
      <c r="BE3979">
        <v>0.09</v>
      </c>
      <c r="BF3979">
        <v>0.15</v>
      </c>
      <c r="BG3979">
        <v>87</v>
      </c>
      <c r="BH3979">
        <v>0</v>
      </c>
      <c r="BI3979">
        <v>10.42</v>
      </c>
      <c r="BJ3979">
        <v>0</v>
      </c>
      <c r="BK3979">
        <v>0</v>
      </c>
      <c r="BL3979">
        <v>0.39</v>
      </c>
      <c r="BM3979">
        <v>1.17</v>
      </c>
      <c r="BN3979">
        <v>0.42</v>
      </c>
      <c r="BO3979">
        <v>-0.47</v>
      </c>
      <c r="BP3979">
        <v>1.31</v>
      </c>
      <c r="BQ3979">
        <v>-1.52</v>
      </c>
      <c r="BR3979">
        <v>-0.65</v>
      </c>
      <c r="BS3979">
        <v>0.34</v>
      </c>
      <c r="BT3979">
        <v>0.24</v>
      </c>
      <c r="BU3979">
        <v>-1.1000000000000001</v>
      </c>
      <c r="BV3979">
        <v>-1.32</v>
      </c>
      <c r="BW3979">
        <v>-0.41</v>
      </c>
      <c r="BX3979">
        <v>-0.45</v>
      </c>
      <c r="BY3979">
        <v>-2.21</v>
      </c>
      <c r="BZ3979">
        <v>0.9</v>
      </c>
      <c r="CA3979">
        <v>-0.97</v>
      </c>
      <c r="CB3979">
        <v>-0.74</v>
      </c>
      <c r="CC3979">
        <v>-1.07</v>
      </c>
      <c r="CD3979">
        <v>0.03</v>
      </c>
      <c r="CE3979">
        <v>-0.19</v>
      </c>
      <c r="CF3979">
        <v>-0.61</v>
      </c>
      <c r="CG3979">
        <v>0</v>
      </c>
      <c r="CH3979">
        <v>-0.55000000000000004</v>
      </c>
      <c r="CI3979">
        <v>0</v>
      </c>
      <c r="CJ3979">
        <v>3.9</v>
      </c>
      <c r="CK3979">
        <v>43</v>
      </c>
      <c r="CL3979">
        <v>-0.28999999999999998</v>
      </c>
      <c r="CM3979">
        <v>40</v>
      </c>
      <c r="CN3979">
        <v>-0.27</v>
      </c>
      <c r="CO3979">
        <v>38</v>
      </c>
      <c r="CP3979">
        <v>-0.1</v>
      </c>
      <c r="CQ3979">
        <v>39</v>
      </c>
      <c r="CR3979">
        <v>0</v>
      </c>
      <c r="CS3979">
        <v>0</v>
      </c>
      <c r="CT3979">
        <v>4.5</v>
      </c>
      <c r="CU3979">
        <v>33</v>
      </c>
      <c r="CV3979">
        <v>0.14000000000000001</v>
      </c>
      <c r="CW3979">
        <v>12</v>
      </c>
      <c r="CX3979" t="s">
        <v>2976</v>
      </c>
    </row>
    <row r="3980" spans="1:102" x14ac:dyDescent="0.3">
      <c r="A3980" t="str">
        <f>HYPERLINK("https://webapp.icbf.com/v2/app/bull-search/view/130498798","EST")</f>
        <v>EST</v>
      </c>
      <c r="B3980" t="s">
        <v>4592</v>
      </c>
      <c r="C3980" t="s">
        <v>4593</v>
      </c>
      <c r="D3980" s="1">
        <v>32420</v>
      </c>
      <c r="E3980" t="s">
        <v>92</v>
      </c>
      <c r="F3980">
        <v>100</v>
      </c>
      <c r="G3980" t="s">
        <v>93</v>
      </c>
      <c r="H3980">
        <v>-78.760000000000005</v>
      </c>
      <c r="I3980">
        <v>79</v>
      </c>
      <c r="J3980">
        <v>-95.64</v>
      </c>
      <c r="K3980">
        <v>93</v>
      </c>
      <c r="L3980">
        <v>14.18</v>
      </c>
      <c r="M3980">
        <v>75</v>
      </c>
      <c r="N3980">
        <v>1.5</v>
      </c>
      <c r="O3980">
        <v>64</v>
      </c>
      <c r="P3980">
        <v>-0.27</v>
      </c>
      <c r="Q3980">
        <v>81</v>
      </c>
      <c r="R3980">
        <v>-14.79</v>
      </c>
      <c r="S3980">
        <v>72</v>
      </c>
      <c r="T3980">
        <v>17.16</v>
      </c>
      <c r="U3980">
        <v>75</v>
      </c>
      <c r="V3980">
        <v>-0.9</v>
      </c>
      <c r="W3980">
        <v>39</v>
      </c>
      <c r="X3980" t="s">
        <v>110</v>
      </c>
      <c r="Y3980" t="s">
        <v>95</v>
      </c>
      <c r="Z3980" t="s">
        <v>96</v>
      </c>
      <c r="AA3980" t="s">
        <v>113</v>
      </c>
      <c r="AB3980" t="s">
        <v>4594</v>
      </c>
      <c r="AC3980">
        <v>79</v>
      </c>
      <c r="AD3980">
        <v>63</v>
      </c>
      <c r="AE3980">
        <v>93</v>
      </c>
      <c r="AF3980">
        <v>-151.77000000000001</v>
      </c>
      <c r="AG3980">
        <v>-8.39</v>
      </c>
      <c r="AH3980">
        <v>-15.62</v>
      </c>
      <c r="AI3980">
        <v>-0.04</v>
      </c>
      <c r="AJ3980">
        <v>-0.18</v>
      </c>
      <c r="AK3980">
        <v>75</v>
      </c>
      <c r="AL3980">
        <v>230</v>
      </c>
      <c r="AM3980">
        <v>109</v>
      </c>
      <c r="AN3980">
        <v>-2.4</v>
      </c>
      <c r="AO3980">
        <v>-1.29</v>
      </c>
      <c r="AP3980">
        <v>4</v>
      </c>
      <c r="AQ3980">
        <v>0</v>
      </c>
      <c r="AR3980">
        <v>8.76</v>
      </c>
      <c r="AS3980">
        <v>40</v>
      </c>
      <c r="AT3980">
        <v>4.1900000000000004</v>
      </c>
      <c r="AU3980">
        <v>60</v>
      </c>
      <c r="AV3980">
        <v>-1.17</v>
      </c>
      <c r="AW3980">
        <v>71</v>
      </c>
      <c r="AX3980">
        <v>-0.57999999999999996</v>
      </c>
      <c r="AY3980">
        <v>85</v>
      </c>
      <c r="AZ3980">
        <v>5.23</v>
      </c>
      <c r="BA3980">
        <v>38</v>
      </c>
      <c r="BB3980">
        <v>4.42</v>
      </c>
      <c r="BC3980">
        <v>57</v>
      </c>
      <c r="BD3980">
        <v>0.03</v>
      </c>
      <c r="BE3980">
        <v>0.1</v>
      </c>
      <c r="BF3980">
        <v>0.1</v>
      </c>
      <c r="BG3980">
        <v>93</v>
      </c>
      <c r="BH3980">
        <v>0</v>
      </c>
      <c r="BI3980">
        <v>2.89</v>
      </c>
      <c r="BJ3980">
        <v>48</v>
      </c>
      <c r="BK3980">
        <v>32</v>
      </c>
      <c r="BL3980">
        <v>0.52</v>
      </c>
      <c r="BM3980">
        <v>-1.51</v>
      </c>
      <c r="BN3980">
        <v>-0.56999999999999995</v>
      </c>
      <c r="BO3980">
        <v>0.54</v>
      </c>
      <c r="BP3980">
        <v>-0.51</v>
      </c>
      <c r="BQ3980">
        <v>0.66</v>
      </c>
      <c r="BR3980">
        <v>-0.17</v>
      </c>
      <c r="BS3980">
        <v>-0.27</v>
      </c>
      <c r="BT3980">
        <v>0.64</v>
      </c>
      <c r="BU3980">
        <v>1.53</v>
      </c>
      <c r="BV3980">
        <v>-0.5</v>
      </c>
      <c r="BW3980">
        <v>0.17</v>
      </c>
      <c r="BX3980">
        <v>2.2400000000000002</v>
      </c>
      <c r="BY3980">
        <v>-1.3</v>
      </c>
      <c r="BZ3980">
        <v>0.65</v>
      </c>
      <c r="CA3980">
        <v>0.42</v>
      </c>
      <c r="CB3980">
        <v>-0.23</v>
      </c>
      <c r="CC3980">
        <v>1.48</v>
      </c>
      <c r="CD3980">
        <v>-1.26</v>
      </c>
      <c r="CE3980">
        <v>0.45</v>
      </c>
      <c r="CF3980">
        <v>0.51</v>
      </c>
      <c r="CG3980">
        <v>0</v>
      </c>
      <c r="CH3980">
        <v>-1.55</v>
      </c>
      <c r="CI3980">
        <v>0</v>
      </c>
      <c r="CJ3980">
        <v>-1.8</v>
      </c>
      <c r="CK3980">
        <v>83</v>
      </c>
      <c r="CL3980">
        <v>-0.5</v>
      </c>
      <c r="CM3980">
        <v>79</v>
      </c>
      <c r="CN3980">
        <v>-0.65</v>
      </c>
      <c r="CO3980">
        <v>77</v>
      </c>
      <c r="CP3980">
        <v>-1.6</v>
      </c>
      <c r="CQ3980">
        <v>85</v>
      </c>
      <c r="CR3980">
        <v>0</v>
      </c>
      <c r="CS3980">
        <v>0</v>
      </c>
      <c r="CT3980">
        <v>-9.4</v>
      </c>
      <c r="CU3980">
        <v>75</v>
      </c>
      <c r="CV3980">
        <v>7.0000000000000007E-2</v>
      </c>
      <c r="CW3980">
        <v>24</v>
      </c>
      <c r="CX3980" t="s">
        <v>4595</v>
      </c>
    </row>
    <row r="3981" spans="1:102" x14ac:dyDescent="0.3">
      <c r="A3981" t="str">
        <f>HYPERLINK("https://webapp.icbf.com/v2/app/bull-search/view/431968772","S412")</f>
        <v>S412</v>
      </c>
      <c r="B3981" t="s">
        <v>10087</v>
      </c>
      <c r="C3981" t="s">
        <v>10088</v>
      </c>
      <c r="D3981" s="1">
        <v>36583</v>
      </c>
      <c r="E3981" t="s">
        <v>92</v>
      </c>
      <c r="F3981">
        <v>100</v>
      </c>
      <c r="G3981" t="s">
        <v>109</v>
      </c>
      <c r="H3981">
        <v>-78.92</v>
      </c>
      <c r="I3981">
        <v>63</v>
      </c>
      <c r="J3981">
        <v>25.41</v>
      </c>
      <c r="K3981">
        <v>78</v>
      </c>
      <c r="L3981">
        <v>-114.79</v>
      </c>
      <c r="M3981">
        <v>72</v>
      </c>
      <c r="N3981">
        <v>11.83</v>
      </c>
      <c r="O3981">
        <v>41</v>
      </c>
      <c r="P3981">
        <v>7.64</v>
      </c>
      <c r="Q3981">
        <v>39</v>
      </c>
      <c r="R3981">
        <v>-4.3600000000000003</v>
      </c>
      <c r="S3981">
        <v>59</v>
      </c>
      <c r="T3981">
        <v>0.28000000000000003</v>
      </c>
      <c r="U3981">
        <v>31</v>
      </c>
      <c r="V3981">
        <v>-4.93</v>
      </c>
      <c r="W3981">
        <v>28</v>
      </c>
      <c r="X3981" t="s">
        <v>110</v>
      </c>
      <c r="Y3981" t="s">
        <v>545</v>
      </c>
      <c r="Z3981" t="s">
        <v>96</v>
      </c>
      <c r="AA3981" t="s">
        <v>174</v>
      </c>
      <c r="AB3981" t="s">
        <v>10089</v>
      </c>
      <c r="AC3981">
        <v>0</v>
      </c>
      <c r="AD3981">
        <v>0</v>
      </c>
      <c r="AE3981">
        <v>78</v>
      </c>
      <c r="AF3981">
        <v>433.46</v>
      </c>
      <c r="AG3981">
        <v>-7.0000000000000007E-2</v>
      </c>
      <c r="AH3981">
        <v>10.98</v>
      </c>
      <c r="AI3981">
        <v>-0.26</v>
      </c>
      <c r="AJ3981">
        <v>-0.06</v>
      </c>
      <c r="AK3981">
        <v>72</v>
      </c>
      <c r="AL3981">
        <v>0</v>
      </c>
      <c r="AM3981">
        <v>0</v>
      </c>
      <c r="AN3981">
        <v>6.61</v>
      </c>
      <c r="AO3981">
        <v>-2.54</v>
      </c>
      <c r="AP3981">
        <v>6</v>
      </c>
      <c r="AQ3981">
        <v>0</v>
      </c>
      <c r="AR3981">
        <v>7.26</v>
      </c>
      <c r="AS3981">
        <v>29</v>
      </c>
      <c r="AT3981">
        <v>3.01</v>
      </c>
      <c r="AU3981">
        <v>78</v>
      </c>
      <c r="AV3981">
        <v>-1.4</v>
      </c>
      <c r="AW3981">
        <v>29</v>
      </c>
      <c r="AX3981">
        <v>-0.4</v>
      </c>
      <c r="AY3981">
        <v>29</v>
      </c>
      <c r="AZ3981">
        <v>7.23</v>
      </c>
      <c r="BA3981">
        <v>29</v>
      </c>
      <c r="BB3981">
        <v>5.19</v>
      </c>
      <c r="BC3981">
        <v>28</v>
      </c>
      <c r="BD3981">
        <v>-0.01</v>
      </c>
      <c r="BE3981">
        <v>0.03</v>
      </c>
      <c r="BF3981">
        <v>0.06</v>
      </c>
      <c r="BG3981">
        <v>84</v>
      </c>
      <c r="BH3981">
        <v>-0.05</v>
      </c>
      <c r="BI3981">
        <v>10.130000000000001</v>
      </c>
      <c r="BJ3981">
        <v>1</v>
      </c>
      <c r="BK3981">
        <v>1</v>
      </c>
      <c r="BL3981">
        <v>0.76</v>
      </c>
      <c r="BM3981">
        <v>1.39</v>
      </c>
      <c r="BN3981">
        <v>1.29</v>
      </c>
      <c r="BO3981">
        <v>0.06</v>
      </c>
      <c r="BP3981">
        <v>1.44</v>
      </c>
      <c r="BQ3981">
        <v>0.11</v>
      </c>
      <c r="BR3981">
        <v>-0.49</v>
      </c>
      <c r="BS3981">
        <v>-1.48</v>
      </c>
      <c r="BT3981">
        <v>0.17</v>
      </c>
      <c r="BU3981">
        <v>0.37</v>
      </c>
      <c r="BV3981">
        <v>0.02</v>
      </c>
      <c r="BW3981">
        <v>0.96</v>
      </c>
      <c r="BX3981">
        <v>-0.67</v>
      </c>
      <c r="BY3981">
        <v>0.93</v>
      </c>
      <c r="BZ3981">
        <v>2.21</v>
      </c>
      <c r="CA3981">
        <v>-0.06</v>
      </c>
      <c r="CB3981">
        <v>0.34</v>
      </c>
      <c r="CC3981">
        <v>-0.73</v>
      </c>
      <c r="CD3981">
        <v>0.36</v>
      </c>
      <c r="CE3981">
        <v>0.2</v>
      </c>
      <c r="CF3981">
        <v>-0.24</v>
      </c>
      <c r="CG3981">
        <v>0</v>
      </c>
      <c r="CH3981">
        <v>1.25</v>
      </c>
      <c r="CI3981">
        <v>0</v>
      </c>
      <c r="CJ3981">
        <v>8</v>
      </c>
      <c r="CK3981">
        <v>40</v>
      </c>
      <c r="CL3981">
        <v>-0.64</v>
      </c>
      <c r="CM3981">
        <v>38</v>
      </c>
      <c r="CN3981">
        <v>-0.22</v>
      </c>
      <c r="CO3981">
        <v>37</v>
      </c>
      <c r="CP3981">
        <v>4.2</v>
      </c>
      <c r="CQ3981">
        <v>33</v>
      </c>
      <c r="CR3981">
        <v>0</v>
      </c>
      <c r="CS3981">
        <v>0</v>
      </c>
      <c r="CT3981">
        <v>13.4</v>
      </c>
      <c r="CU3981">
        <v>31</v>
      </c>
      <c r="CV3981">
        <v>0.34</v>
      </c>
      <c r="CW3981">
        <v>12</v>
      </c>
      <c r="CX3981" t="s">
        <v>643</v>
      </c>
    </row>
    <row r="3982" spans="1:102" x14ac:dyDescent="0.3">
      <c r="A3982" t="str">
        <f>HYPERLINK("https://webapp.icbf.com/v2/app/bull-search/view/69091939","IEH")</f>
        <v>IEH</v>
      </c>
      <c r="B3982" t="s">
        <v>592</v>
      </c>
      <c r="C3982" t="s">
        <v>593</v>
      </c>
      <c r="D3982" s="1">
        <v>36490</v>
      </c>
      <c r="E3982" t="s">
        <v>92</v>
      </c>
      <c r="F3982">
        <v>100</v>
      </c>
      <c r="G3982" t="s">
        <v>93</v>
      </c>
      <c r="H3982">
        <v>-79.069999999999993</v>
      </c>
      <c r="I3982">
        <v>92</v>
      </c>
      <c r="J3982">
        <v>8.68</v>
      </c>
      <c r="K3982">
        <v>98</v>
      </c>
      <c r="L3982">
        <v>-101.11</v>
      </c>
      <c r="M3982">
        <v>86</v>
      </c>
      <c r="N3982">
        <v>-4.91</v>
      </c>
      <c r="O3982">
        <v>91</v>
      </c>
      <c r="P3982">
        <v>-4.3</v>
      </c>
      <c r="Q3982">
        <v>97</v>
      </c>
      <c r="R3982">
        <v>7.06</v>
      </c>
      <c r="S3982">
        <v>85</v>
      </c>
      <c r="T3982">
        <v>11.9</v>
      </c>
      <c r="U3982">
        <v>94</v>
      </c>
      <c r="V3982">
        <v>3.61</v>
      </c>
      <c r="W3982">
        <v>79</v>
      </c>
      <c r="X3982" t="s">
        <v>94</v>
      </c>
      <c r="Y3982" t="s">
        <v>95</v>
      </c>
      <c r="Z3982" t="s">
        <v>96</v>
      </c>
      <c r="AA3982" t="s">
        <v>594</v>
      </c>
      <c r="AB3982" t="s">
        <v>595</v>
      </c>
      <c r="AC3982">
        <v>239</v>
      </c>
      <c r="AD3982">
        <v>220</v>
      </c>
      <c r="AE3982">
        <v>98</v>
      </c>
      <c r="AF3982">
        <v>346.51</v>
      </c>
      <c r="AG3982">
        <v>1.27</v>
      </c>
      <c r="AH3982">
        <v>6.33</v>
      </c>
      <c r="AI3982">
        <v>-0.2</v>
      </c>
      <c r="AJ3982">
        <v>-0.09</v>
      </c>
      <c r="AK3982">
        <v>86</v>
      </c>
      <c r="AL3982">
        <v>236</v>
      </c>
      <c r="AM3982">
        <v>211</v>
      </c>
      <c r="AN3982">
        <v>5.01</v>
      </c>
      <c r="AO3982">
        <v>-3.06</v>
      </c>
      <c r="AP3982">
        <v>348</v>
      </c>
      <c r="AQ3982">
        <v>1</v>
      </c>
      <c r="AR3982">
        <v>7.07</v>
      </c>
      <c r="AS3982">
        <v>80</v>
      </c>
      <c r="AT3982">
        <v>3.32</v>
      </c>
      <c r="AU3982">
        <v>93</v>
      </c>
      <c r="AV3982">
        <v>-0.08</v>
      </c>
      <c r="AW3982">
        <v>97</v>
      </c>
      <c r="AX3982">
        <v>0.31</v>
      </c>
      <c r="AY3982">
        <v>90</v>
      </c>
      <c r="AZ3982">
        <v>6.98</v>
      </c>
      <c r="BA3982">
        <v>77</v>
      </c>
      <c r="BB3982">
        <v>5.69</v>
      </c>
      <c r="BC3982">
        <v>80</v>
      </c>
      <c r="BD3982">
        <v>-0.02</v>
      </c>
      <c r="BE3982">
        <v>-0.01</v>
      </c>
      <c r="BF3982">
        <v>-0.11</v>
      </c>
      <c r="BG3982">
        <v>94</v>
      </c>
      <c r="BH3982">
        <v>0.12</v>
      </c>
      <c r="BI3982">
        <v>2.25</v>
      </c>
      <c r="BJ3982">
        <v>46</v>
      </c>
      <c r="BK3982">
        <v>35</v>
      </c>
      <c r="BL3982">
        <v>0.36</v>
      </c>
      <c r="BM3982">
        <v>-0.44</v>
      </c>
      <c r="BN3982">
        <v>0.76</v>
      </c>
      <c r="BO3982">
        <v>0.73</v>
      </c>
      <c r="BP3982">
        <v>-3.2</v>
      </c>
      <c r="BQ3982">
        <v>-1.34</v>
      </c>
      <c r="BR3982">
        <v>2.48</v>
      </c>
      <c r="BS3982">
        <v>-1.98</v>
      </c>
      <c r="BT3982">
        <v>-2.81</v>
      </c>
      <c r="BU3982">
        <v>-0.22</v>
      </c>
      <c r="BV3982">
        <v>0.91</v>
      </c>
      <c r="BW3982">
        <v>0.4</v>
      </c>
      <c r="BX3982">
        <v>-0.73</v>
      </c>
      <c r="BY3982">
        <v>-0.34</v>
      </c>
      <c r="BZ3982">
        <v>-1.03</v>
      </c>
      <c r="CA3982">
        <v>-0.68</v>
      </c>
      <c r="CB3982">
        <v>0.35</v>
      </c>
      <c r="CC3982">
        <v>-2.42</v>
      </c>
      <c r="CD3982">
        <v>-0.8</v>
      </c>
      <c r="CE3982">
        <v>0.7</v>
      </c>
      <c r="CF3982">
        <v>-0.4</v>
      </c>
      <c r="CG3982">
        <v>0</v>
      </c>
      <c r="CH3982">
        <v>0.39</v>
      </c>
      <c r="CI3982">
        <v>0</v>
      </c>
      <c r="CJ3982">
        <v>0.1</v>
      </c>
      <c r="CK3982">
        <v>97</v>
      </c>
      <c r="CL3982">
        <v>-0.73</v>
      </c>
      <c r="CM3982">
        <v>97</v>
      </c>
      <c r="CN3982">
        <v>-0.28999999999999998</v>
      </c>
      <c r="CO3982">
        <v>96</v>
      </c>
      <c r="CP3982">
        <v>-2</v>
      </c>
      <c r="CQ3982">
        <v>96</v>
      </c>
      <c r="CR3982">
        <v>0</v>
      </c>
      <c r="CS3982">
        <v>0</v>
      </c>
      <c r="CT3982">
        <v>-2.2999999999999998</v>
      </c>
      <c r="CU3982">
        <v>94</v>
      </c>
      <c r="CV3982">
        <v>0.14000000000000001</v>
      </c>
      <c r="CW3982">
        <v>45</v>
      </c>
      <c r="CX3982" t="s">
        <v>596</v>
      </c>
    </row>
    <row r="3983" spans="1:102" x14ac:dyDescent="0.3">
      <c r="A3983" t="str">
        <f>HYPERLINK("https://webapp.icbf.com/v2/app/bull-search/view/77859334","APD")</f>
        <v>APD</v>
      </c>
      <c r="B3983" t="s">
        <v>4904</v>
      </c>
      <c r="C3983" t="s">
        <v>4905</v>
      </c>
      <c r="D3983" s="1">
        <v>32655</v>
      </c>
      <c r="E3983" t="s">
        <v>92</v>
      </c>
      <c r="F3983">
        <v>100</v>
      </c>
      <c r="G3983" t="s">
        <v>109</v>
      </c>
      <c r="H3983">
        <v>-79.180000000000007</v>
      </c>
      <c r="I3983">
        <v>78</v>
      </c>
      <c r="J3983">
        <v>-25.9</v>
      </c>
      <c r="K3983">
        <v>91</v>
      </c>
      <c r="L3983">
        <v>-18.13</v>
      </c>
      <c r="M3983">
        <v>80</v>
      </c>
      <c r="N3983">
        <v>-26.05</v>
      </c>
      <c r="O3983">
        <v>58</v>
      </c>
      <c r="P3983">
        <v>4.28</v>
      </c>
      <c r="Q3983">
        <v>69</v>
      </c>
      <c r="R3983">
        <v>-12.41</v>
      </c>
      <c r="S3983">
        <v>65</v>
      </c>
      <c r="T3983">
        <v>-2.23</v>
      </c>
      <c r="U3983">
        <v>71</v>
      </c>
      <c r="V3983">
        <v>1.26</v>
      </c>
      <c r="W3983">
        <v>37</v>
      </c>
      <c r="X3983" t="s">
        <v>131</v>
      </c>
      <c r="Y3983" t="s">
        <v>95</v>
      </c>
      <c r="Z3983" t="s">
        <v>96</v>
      </c>
      <c r="AA3983" t="s">
        <v>914</v>
      </c>
      <c r="AB3983" t="s">
        <v>769</v>
      </c>
      <c r="AC3983">
        <v>30</v>
      </c>
      <c r="AD3983">
        <v>20</v>
      </c>
      <c r="AE3983">
        <v>91</v>
      </c>
      <c r="AF3983">
        <v>-0.41</v>
      </c>
      <c r="AG3983">
        <v>-1.05</v>
      </c>
      <c r="AH3983">
        <v>-4.04</v>
      </c>
      <c r="AI3983">
        <v>-0.02</v>
      </c>
      <c r="AJ3983">
        <v>-7.0000000000000007E-2</v>
      </c>
      <c r="AK3983">
        <v>80</v>
      </c>
      <c r="AL3983">
        <v>29</v>
      </c>
      <c r="AM3983">
        <v>18</v>
      </c>
      <c r="AN3983">
        <v>0.67</v>
      </c>
      <c r="AO3983">
        <v>-0.78</v>
      </c>
      <c r="AP3983">
        <v>3</v>
      </c>
      <c r="AQ3983">
        <v>0</v>
      </c>
      <c r="AR3983">
        <v>8.94</v>
      </c>
      <c r="AS3983">
        <v>36</v>
      </c>
      <c r="AT3983">
        <v>4.05</v>
      </c>
      <c r="AU3983">
        <v>77</v>
      </c>
      <c r="AV3983">
        <v>0.47</v>
      </c>
      <c r="AW3983">
        <v>57</v>
      </c>
      <c r="AX3983">
        <v>0.65</v>
      </c>
      <c r="AY3983">
        <v>58</v>
      </c>
      <c r="AZ3983">
        <v>7.18</v>
      </c>
      <c r="BA3983">
        <v>36</v>
      </c>
      <c r="BB3983">
        <v>6.25</v>
      </c>
      <c r="BC3983">
        <v>40</v>
      </c>
      <c r="BD3983">
        <v>0.05</v>
      </c>
      <c r="BE3983">
        <v>0.08</v>
      </c>
      <c r="BF3983">
        <v>0.05</v>
      </c>
      <c r="BG3983">
        <v>84</v>
      </c>
      <c r="BH3983">
        <v>0.09</v>
      </c>
      <c r="BI3983">
        <v>6.35</v>
      </c>
      <c r="BJ3983">
        <v>9</v>
      </c>
      <c r="BK3983">
        <v>5</v>
      </c>
      <c r="BL3983">
        <v>1.27</v>
      </c>
      <c r="BM3983">
        <v>0.28000000000000003</v>
      </c>
      <c r="BN3983">
        <v>0.01</v>
      </c>
      <c r="BO3983">
        <v>-0.09</v>
      </c>
      <c r="BP3983">
        <v>0.06</v>
      </c>
      <c r="BQ3983">
        <v>0.74</v>
      </c>
      <c r="BR3983">
        <v>2.36</v>
      </c>
      <c r="BS3983">
        <v>-0.36</v>
      </c>
      <c r="BT3983">
        <v>-1.81</v>
      </c>
      <c r="BU3983">
        <v>0.8</v>
      </c>
      <c r="BV3983">
        <v>0.24</v>
      </c>
      <c r="BW3983">
        <v>0.72</v>
      </c>
      <c r="BX3983">
        <v>1.34</v>
      </c>
      <c r="BY3983">
        <v>0.81</v>
      </c>
      <c r="BZ3983">
        <v>0.88</v>
      </c>
      <c r="CA3983">
        <v>0.03</v>
      </c>
      <c r="CB3983">
        <v>0.74</v>
      </c>
      <c r="CC3983">
        <v>-1.58</v>
      </c>
      <c r="CD3983">
        <v>-0.56999999999999995</v>
      </c>
      <c r="CE3983">
        <v>0.56999999999999995</v>
      </c>
      <c r="CF3983">
        <v>1.1299999999999999</v>
      </c>
      <c r="CG3983">
        <v>0</v>
      </c>
      <c r="CH3983">
        <v>-0.69</v>
      </c>
      <c r="CI3983">
        <v>0</v>
      </c>
      <c r="CJ3983">
        <v>4.2</v>
      </c>
      <c r="CK3983">
        <v>71</v>
      </c>
      <c r="CL3983">
        <v>-0.66</v>
      </c>
      <c r="CM3983">
        <v>67</v>
      </c>
      <c r="CN3983">
        <v>-0.35</v>
      </c>
      <c r="CO3983">
        <v>63</v>
      </c>
      <c r="CP3983">
        <v>8</v>
      </c>
      <c r="CQ3983">
        <v>76</v>
      </c>
      <c r="CR3983">
        <v>0</v>
      </c>
      <c r="CS3983">
        <v>0</v>
      </c>
      <c r="CT3983">
        <v>16.8</v>
      </c>
      <c r="CU3983">
        <v>71</v>
      </c>
      <c r="CV3983">
        <v>0.22</v>
      </c>
      <c r="CW3983">
        <v>19</v>
      </c>
      <c r="CX3983" t="s">
        <v>617</v>
      </c>
    </row>
    <row r="3984" spans="1:102" x14ac:dyDescent="0.3">
      <c r="A3984" t="str">
        <f>HYPERLINK("https://webapp.icbf.com/v2/app/bull-search/view/69091891","HND")</f>
        <v>HND</v>
      </c>
      <c r="B3984" t="s">
        <v>10468</v>
      </c>
      <c r="C3984" t="s">
        <v>10469</v>
      </c>
      <c r="D3984" s="1">
        <v>35115</v>
      </c>
      <c r="E3984" t="s">
        <v>92</v>
      </c>
      <c r="F3984">
        <v>100</v>
      </c>
      <c r="G3984" t="s">
        <v>116</v>
      </c>
      <c r="H3984">
        <v>-79.180000000000007</v>
      </c>
      <c r="I3984">
        <v>28</v>
      </c>
      <c r="J3984">
        <v>3.87</v>
      </c>
      <c r="K3984">
        <v>44</v>
      </c>
      <c r="L3984">
        <v>-74.05</v>
      </c>
      <c r="M3984">
        <v>18</v>
      </c>
      <c r="N3984">
        <v>-3.37</v>
      </c>
      <c r="O3984">
        <v>18</v>
      </c>
      <c r="P3984">
        <v>2.33</v>
      </c>
      <c r="Q3984">
        <v>26</v>
      </c>
      <c r="R3984">
        <v>-14.87</v>
      </c>
      <c r="S3984">
        <v>24</v>
      </c>
      <c r="T3984">
        <v>9.61</v>
      </c>
      <c r="U3984">
        <v>24</v>
      </c>
      <c r="V3984">
        <v>-2.7</v>
      </c>
      <c r="W3984">
        <v>22</v>
      </c>
      <c r="X3984" t="s">
        <v>110</v>
      </c>
      <c r="Y3984" t="s">
        <v>1499</v>
      </c>
      <c r="Z3984">
        <v>0</v>
      </c>
      <c r="AA3984" t="s">
        <v>3235</v>
      </c>
      <c r="AB3984" t="s">
        <v>10470</v>
      </c>
      <c r="AC3984">
        <v>4</v>
      </c>
      <c r="AD3984">
        <v>3</v>
      </c>
      <c r="AE3984">
        <v>44</v>
      </c>
      <c r="AF3984">
        <v>76.91</v>
      </c>
      <c r="AG3984">
        <v>1.57</v>
      </c>
      <c r="AH3984">
        <v>1.28</v>
      </c>
      <c r="AI3984">
        <v>-0.02</v>
      </c>
      <c r="AJ3984">
        <v>-0.02</v>
      </c>
      <c r="AK3984">
        <v>18</v>
      </c>
      <c r="AL3984">
        <v>4</v>
      </c>
      <c r="AM3984">
        <v>4</v>
      </c>
      <c r="AN3984">
        <v>4.43</v>
      </c>
      <c r="AO3984">
        <v>-1.47</v>
      </c>
      <c r="AP3984">
        <v>0</v>
      </c>
      <c r="AQ3984">
        <v>1</v>
      </c>
      <c r="AR3984">
        <v>8.93</v>
      </c>
      <c r="AS3984">
        <v>13</v>
      </c>
      <c r="AT3984">
        <v>3.81</v>
      </c>
      <c r="AU3984">
        <v>29</v>
      </c>
      <c r="AV3984">
        <v>-1.27</v>
      </c>
      <c r="AW3984">
        <v>14</v>
      </c>
      <c r="AX3984">
        <v>-0.43</v>
      </c>
      <c r="AY3984">
        <v>21</v>
      </c>
      <c r="AZ3984">
        <v>7.37</v>
      </c>
      <c r="BA3984">
        <v>12</v>
      </c>
      <c r="BB3984">
        <v>5.54</v>
      </c>
      <c r="BC3984">
        <v>13</v>
      </c>
      <c r="BD3984">
        <v>0.06</v>
      </c>
      <c r="BE3984">
        <v>0.08</v>
      </c>
      <c r="BF3984">
        <v>0.09</v>
      </c>
      <c r="BG3984">
        <v>28</v>
      </c>
      <c r="BH3984">
        <v>-0.02</v>
      </c>
      <c r="BI3984">
        <v>6.4</v>
      </c>
      <c r="BJ3984">
        <v>0</v>
      </c>
      <c r="BK3984">
        <v>0</v>
      </c>
      <c r="BL3984">
        <v>-0.41</v>
      </c>
      <c r="BM3984">
        <v>-0.28999999999999998</v>
      </c>
      <c r="BN3984">
        <v>-0.09</v>
      </c>
      <c r="BO3984">
        <v>-0.21</v>
      </c>
      <c r="BP3984">
        <v>0.41</v>
      </c>
      <c r="BQ3984">
        <v>-1.66</v>
      </c>
      <c r="BR3984">
        <v>-1.52</v>
      </c>
      <c r="BS3984">
        <v>-0.33</v>
      </c>
      <c r="BT3984">
        <v>0.71</v>
      </c>
      <c r="BU3984">
        <v>-0.93</v>
      </c>
      <c r="BV3984">
        <v>-0.26</v>
      </c>
      <c r="BW3984">
        <v>-0.38</v>
      </c>
      <c r="BX3984">
        <v>-1.77</v>
      </c>
      <c r="BY3984">
        <v>-0.43</v>
      </c>
      <c r="BZ3984">
        <v>1.1499999999999999</v>
      </c>
      <c r="CA3984">
        <v>-0.2</v>
      </c>
      <c r="CB3984">
        <v>-0.5</v>
      </c>
      <c r="CC3984">
        <v>0.19</v>
      </c>
      <c r="CD3984">
        <v>-0.15</v>
      </c>
      <c r="CE3984">
        <v>0.23</v>
      </c>
      <c r="CF3984">
        <v>-0.56000000000000005</v>
      </c>
      <c r="CG3984">
        <v>0</v>
      </c>
      <c r="CH3984">
        <v>-0.18</v>
      </c>
      <c r="CI3984">
        <v>0</v>
      </c>
      <c r="CJ3984">
        <v>2.6</v>
      </c>
      <c r="CK3984">
        <v>27</v>
      </c>
      <c r="CL3984">
        <v>-0.39</v>
      </c>
      <c r="CM3984">
        <v>24</v>
      </c>
      <c r="CN3984">
        <v>-0.23</v>
      </c>
      <c r="CO3984">
        <v>20</v>
      </c>
      <c r="CP3984">
        <v>0.5</v>
      </c>
      <c r="CQ3984">
        <v>34</v>
      </c>
      <c r="CR3984">
        <v>0</v>
      </c>
      <c r="CS3984">
        <v>0</v>
      </c>
      <c r="CT3984">
        <v>0.8</v>
      </c>
      <c r="CU3984">
        <v>24</v>
      </c>
      <c r="CV3984">
        <v>0.15</v>
      </c>
      <c r="CW3984">
        <v>6</v>
      </c>
      <c r="CX3984" t="s">
        <v>152</v>
      </c>
    </row>
    <row r="3985" spans="1:102" x14ac:dyDescent="0.3">
      <c r="A3985" t="str">
        <f>HYPERLINK("https://webapp.icbf.com/v2/app/bull-search/view/77854909","MVY")</f>
        <v>MVY</v>
      </c>
      <c r="B3985" t="s">
        <v>14801</v>
      </c>
      <c r="C3985" t="s">
        <v>14802</v>
      </c>
      <c r="D3985" s="1">
        <v>34024</v>
      </c>
      <c r="E3985" t="s">
        <v>92</v>
      </c>
      <c r="F3985">
        <v>75</v>
      </c>
      <c r="G3985" t="s">
        <v>93</v>
      </c>
      <c r="H3985">
        <v>-79.2</v>
      </c>
      <c r="I3985">
        <v>77</v>
      </c>
      <c r="J3985">
        <v>-49.68</v>
      </c>
      <c r="K3985">
        <v>93</v>
      </c>
      <c r="L3985">
        <v>-41.38</v>
      </c>
      <c r="M3985">
        <v>70</v>
      </c>
      <c r="N3985">
        <v>25.97</v>
      </c>
      <c r="O3985">
        <v>61</v>
      </c>
      <c r="P3985">
        <v>-22.94</v>
      </c>
      <c r="Q3985">
        <v>79</v>
      </c>
      <c r="R3985">
        <v>-13.42</v>
      </c>
      <c r="S3985">
        <v>72</v>
      </c>
      <c r="T3985">
        <v>24.48</v>
      </c>
      <c r="U3985">
        <v>85</v>
      </c>
      <c r="V3985">
        <v>-2.23</v>
      </c>
      <c r="W3985">
        <v>40</v>
      </c>
      <c r="X3985" t="s">
        <v>94</v>
      </c>
      <c r="Y3985" t="s">
        <v>95</v>
      </c>
      <c r="Z3985" t="s">
        <v>96</v>
      </c>
      <c r="AA3985" t="s">
        <v>485</v>
      </c>
      <c r="AB3985" t="s">
        <v>14803</v>
      </c>
      <c r="AC3985">
        <v>71</v>
      </c>
      <c r="AD3985">
        <v>57</v>
      </c>
      <c r="AE3985">
        <v>93</v>
      </c>
      <c r="AF3985">
        <v>-106.24</v>
      </c>
      <c r="AG3985">
        <v>-5.0199999999999996</v>
      </c>
      <c r="AH3985">
        <v>-8.3000000000000007</v>
      </c>
      <c r="AI3985">
        <v>-0.01</v>
      </c>
      <c r="AJ3985">
        <v>-0.08</v>
      </c>
      <c r="AK3985">
        <v>70</v>
      </c>
      <c r="AL3985">
        <v>122</v>
      </c>
      <c r="AM3985">
        <v>82</v>
      </c>
      <c r="AN3985">
        <v>2.2599999999999998</v>
      </c>
      <c r="AO3985">
        <v>-1.04</v>
      </c>
      <c r="AP3985">
        <v>2</v>
      </c>
      <c r="AQ3985">
        <v>0</v>
      </c>
      <c r="AR3985">
        <v>5.08</v>
      </c>
      <c r="AS3985">
        <v>40</v>
      </c>
      <c r="AT3985">
        <v>2.64</v>
      </c>
      <c r="AU3985">
        <v>58</v>
      </c>
      <c r="AV3985">
        <v>-1.32</v>
      </c>
      <c r="AW3985">
        <v>67</v>
      </c>
      <c r="AX3985">
        <v>-0.59</v>
      </c>
      <c r="AY3985">
        <v>73</v>
      </c>
      <c r="AZ3985">
        <v>5.42</v>
      </c>
      <c r="BA3985">
        <v>41</v>
      </c>
      <c r="BB3985">
        <v>4.4400000000000004</v>
      </c>
      <c r="BC3985">
        <v>56</v>
      </c>
      <c r="BD3985">
        <v>0.04</v>
      </c>
      <c r="BE3985">
        <v>0.08</v>
      </c>
      <c r="BF3985">
        <v>0.09</v>
      </c>
      <c r="BG3985">
        <v>89</v>
      </c>
      <c r="BH3985">
        <v>-0.05</v>
      </c>
      <c r="BI3985">
        <v>1.42</v>
      </c>
      <c r="BJ3985">
        <v>13</v>
      </c>
      <c r="BK3985">
        <v>11</v>
      </c>
      <c r="BL3985">
        <v>-0.77</v>
      </c>
      <c r="BM3985">
        <v>-0.13</v>
      </c>
      <c r="BN3985">
        <v>-0.6</v>
      </c>
      <c r="BO3985">
        <v>-0.21</v>
      </c>
      <c r="BP3985">
        <v>-2.34</v>
      </c>
      <c r="BQ3985">
        <v>-0.54</v>
      </c>
      <c r="BR3985">
        <v>2.27</v>
      </c>
      <c r="BS3985">
        <v>-1.65</v>
      </c>
      <c r="BT3985">
        <v>-1.77</v>
      </c>
      <c r="BU3985">
        <v>-0.13</v>
      </c>
      <c r="BV3985">
        <v>0.02</v>
      </c>
      <c r="BW3985">
        <v>-0.48</v>
      </c>
      <c r="BX3985">
        <v>-1.01</v>
      </c>
      <c r="BY3985">
        <v>0.96</v>
      </c>
      <c r="BZ3985">
        <v>-2.71</v>
      </c>
      <c r="CA3985">
        <v>-0.66</v>
      </c>
      <c r="CB3985">
        <v>-0.03</v>
      </c>
      <c r="CC3985">
        <v>-1.69</v>
      </c>
      <c r="CD3985">
        <v>-0.14000000000000001</v>
      </c>
      <c r="CE3985">
        <v>0.02</v>
      </c>
      <c r="CF3985">
        <v>-1.05</v>
      </c>
      <c r="CG3985">
        <v>0</v>
      </c>
      <c r="CH3985">
        <v>1.35</v>
      </c>
      <c r="CI3985">
        <v>0</v>
      </c>
      <c r="CJ3985">
        <v>-10</v>
      </c>
      <c r="CK3985">
        <v>80</v>
      </c>
      <c r="CL3985">
        <v>-0.59</v>
      </c>
      <c r="CM3985">
        <v>77</v>
      </c>
      <c r="CN3985">
        <v>0.04</v>
      </c>
      <c r="CO3985">
        <v>74</v>
      </c>
      <c r="CP3985">
        <v>-17.2</v>
      </c>
      <c r="CQ3985">
        <v>83</v>
      </c>
      <c r="CR3985">
        <v>0</v>
      </c>
      <c r="CS3985">
        <v>0</v>
      </c>
      <c r="CT3985">
        <v>-19.3</v>
      </c>
      <c r="CU3985">
        <v>85</v>
      </c>
      <c r="CV3985">
        <v>-0.06</v>
      </c>
      <c r="CW3985">
        <v>23</v>
      </c>
      <c r="CX3985" t="s">
        <v>154</v>
      </c>
    </row>
    <row r="3986" spans="1:102" x14ac:dyDescent="0.3">
      <c r="A3986" t="str">
        <f>HYPERLINK("https://webapp.icbf.com/v2/app/bull-search/view/77854342","QGJ")</f>
        <v>QGJ</v>
      </c>
      <c r="B3986" t="s">
        <v>4990</v>
      </c>
      <c r="C3986" t="s">
        <v>4991</v>
      </c>
      <c r="D3986" s="1">
        <v>35678</v>
      </c>
      <c r="E3986" t="s">
        <v>92</v>
      </c>
      <c r="F3986">
        <v>100</v>
      </c>
      <c r="G3986" t="s">
        <v>93</v>
      </c>
      <c r="H3986">
        <v>-79.349999999999994</v>
      </c>
      <c r="I3986">
        <v>81</v>
      </c>
      <c r="J3986">
        <v>-19.63</v>
      </c>
      <c r="K3986">
        <v>96</v>
      </c>
      <c r="L3986">
        <v>-60.08</v>
      </c>
      <c r="M3986">
        <v>70</v>
      </c>
      <c r="N3986">
        <v>4.6900000000000004</v>
      </c>
      <c r="O3986">
        <v>73</v>
      </c>
      <c r="P3986">
        <v>-5.7</v>
      </c>
      <c r="Q3986">
        <v>87</v>
      </c>
      <c r="R3986">
        <v>-6.89</v>
      </c>
      <c r="S3986">
        <v>73</v>
      </c>
      <c r="T3986">
        <v>5.46</v>
      </c>
      <c r="U3986">
        <v>80</v>
      </c>
      <c r="V3986">
        <v>2.8</v>
      </c>
      <c r="W3986">
        <v>54</v>
      </c>
      <c r="X3986" t="s">
        <v>94</v>
      </c>
      <c r="Y3986" t="s">
        <v>95</v>
      </c>
      <c r="Z3986" t="s">
        <v>96</v>
      </c>
      <c r="AA3986" t="s">
        <v>2898</v>
      </c>
      <c r="AB3986" t="s">
        <v>4992</v>
      </c>
      <c r="AC3986">
        <v>101</v>
      </c>
      <c r="AD3986">
        <v>87</v>
      </c>
      <c r="AE3986">
        <v>96</v>
      </c>
      <c r="AF3986">
        <v>85.79</v>
      </c>
      <c r="AG3986">
        <v>-7.59</v>
      </c>
      <c r="AH3986">
        <v>0.66</v>
      </c>
      <c r="AI3986">
        <v>-0.18</v>
      </c>
      <c r="AJ3986">
        <v>-0.04</v>
      </c>
      <c r="AK3986">
        <v>70</v>
      </c>
      <c r="AL3986">
        <v>108</v>
      </c>
      <c r="AM3986">
        <v>90</v>
      </c>
      <c r="AN3986">
        <v>3.35</v>
      </c>
      <c r="AO3986">
        <v>-1.44</v>
      </c>
      <c r="AP3986">
        <v>6</v>
      </c>
      <c r="AQ3986">
        <v>0</v>
      </c>
      <c r="AR3986">
        <v>7.32</v>
      </c>
      <c r="AS3986">
        <v>55</v>
      </c>
      <c r="AT3986">
        <v>3.14</v>
      </c>
      <c r="AU3986">
        <v>69</v>
      </c>
      <c r="AV3986">
        <v>-0.43</v>
      </c>
      <c r="AW3986">
        <v>80</v>
      </c>
      <c r="AX3986">
        <v>0.03</v>
      </c>
      <c r="AY3986">
        <v>79</v>
      </c>
      <c r="AZ3986">
        <v>6.66</v>
      </c>
      <c r="BA3986">
        <v>60</v>
      </c>
      <c r="BB3986">
        <v>4.79</v>
      </c>
      <c r="BC3986">
        <v>66</v>
      </c>
      <c r="BD3986">
        <v>0.05</v>
      </c>
      <c r="BE3986">
        <v>0.05</v>
      </c>
      <c r="BF3986">
        <v>-0.02</v>
      </c>
      <c r="BG3986">
        <v>85</v>
      </c>
      <c r="BH3986">
        <v>0.15</v>
      </c>
      <c r="BI3986">
        <v>8.32</v>
      </c>
      <c r="BJ3986">
        <v>5</v>
      </c>
      <c r="BK3986">
        <v>5</v>
      </c>
      <c r="BL3986">
        <v>-0.22</v>
      </c>
      <c r="BM3986">
        <v>1.1000000000000001</v>
      </c>
      <c r="BN3986">
        <v>0.13</v>
      </c>
      <c r="BO3986">
        <v>-0.5</v>
      </c>
      <c r="BP3986">
        <v>0.67</v>
      </c>
      <c r="BQ3986">
        <v>0.1</v>
      </c>
      <c r="BR3986">
        <v>0.74</v>
      </c>
      <c r="BS3986">
        <v>-0.39</v>
      </c>
      <c r="BT3986">
        <v>-0.54</v>
      </c>
      <c r="BU3986">
        <v>-0.57999999999999996</v>
      </c>
      <c r="BV3986">
        <v>-0.83</v>
      </c>
      <c r="BW3986">
        <v>-1.31</v>
      </c>
      <c r="BX3986">
        <v>-0.57999999999999996</v>
      </c>
      <c r="BY3986">
        <v>-1.1200000000000001</v>
      </c>
      <c r="BZ3986">
        <v>-1</v>
      </c>
      <c r="CA3986">
        <v>-0.94</v>
      </c>
      <c r="CB3986">
        <v>-0.93</v>
      </c>
      <c r="CC3986">
        <v>-0.5</v>
      </c>
      <c r="CD3986">
        <v>1.01</v>
      </c>
      <c r="CE3986">
        <v>-0.41</v>
      </c>
      <c r="CF3986">
        <v>-0.33</v>
      </c>
      <c r="CG3986">
        <v>0</v>
      </c>
      <c r="CH3986">
        <v>-1.34</v>
      </c>
      <c r="CI3986">
        <v>0</v>
      </c>
      <c r="CJ3986">
        <v>0.8</v>
      </c>
      <c r="CK3986">
        <v>88</v>
      </c>
      <c r="CL3986">
        <v>-0.69</v>
      </c>
      <c r="CM3986">
        <v>86</v>
      </c>
      <c r="CN3986">
        <v>-0.08</v>
      </c>
      <c r="CO3986">
        <v>84</v>
      </c>
      <c r="CP3986">
        <v>-4.0999999999999996</v>
      </c>
      <c r="CQ3986">
        <v>90</v>
      </c>
      <c r="CR3986">
        <v>0</v>
      </c>
      <c r="CS3986">
        <v>0</v>
      </c>
      <c r="CT3986">
        <v>6.4</v>
      </c>
      <c r="CU3986">
        <v>80</v>
      </c>
      <c r="CV3986">
        <v>0.19</v>
      </c>
      <c r="CW3986">
        <v>26</v>
      </c>
      <c r="CX3986" t="s">
        <v>485</v>
      </c>
    </row>
    <row r="3987" spans="1:102" x14ac:dyDescent="0.3">
      <c r="A3987" t="str">
        <f>HYPERLINK("https://webapp.icbf.com/v2/app/bull-search/view/124414705","GTY")</f>
        <v>GTY</v>
      </c>
      <c r="B3987" t="s">
        <v>8089</v>
      </c>
      <c r="C3987" t="s">
        <v>8090</v>
      </c>
      <c r="D3987" s="1">
        <v>34465</v>
      </c>
      <c r="E3987" t="s">
        <v>92</v>
      </c>
      <c r="F3987">
        <v>100</v>
      </c>
      <c r="G3987" t="s">
        <v>109</v>
      </c>
      <c r="H3987">
        <v>-79.36</v>
      </c>
      <c r="I3987">
        <v>67</v>
      </c>
      <c r="J3987">
        <v>9.8000000000000007</v>
      </c>
      <c r="K3987">
        <v>74</v>
      </c>
      <c r="L3987">
        <v>-74.39</v>
      </c>
      <c r="M3987">
        <v>73</v>
      </c>
      <c r="N3987">
        <v>-12.5</v>
      </c>
      <c r="O3987">
        <v>53</v>
      </c>
      <c r="P3987">
        <v>-6.39</v>
      </c>
      <c r="Q3987">
        <v>67</v>
      </c>
      <c r="R3987">
        <v>-5.35</v>
      </c>
      <c r="S3987">
        <v>63</v>
      </c>
      <c r="T3987">
        <v>8.35</v>
      </c>
      <c r="U3987">
        <v>51</v>
      </c>
      <c r="V3987">
        <v>1.1200000000000001</v>
      </c>
      <c r="W3987">
        <v>37</v>
      </c>
      <c r="X3987" t="s">
        <v>110</v>
      </c>
      <c r="Y3987" t="s">
        <v>95</v>
      </c>
      <c r="Z3987" t="s">
        <v>96</v>
      </c>
      <c r="AA3987" t="s">
        <v>207</v>
      </c>
      <c r="AB3987" t="s">
        <v>8091</v>
      </c>
      <c r="AC3987">
        <v>0</v>
      </c>
      <c r="AD3987">
        <v>0</v>
      </c>
      <c r="AE3987">
        <v>74</v>
      </c>
      <c r="AF3987">
        <v>275.61</v>
      </c>
      <c r="AG3987">
        <v>2.39</v>
      </c>
      <c r="AH3987">
        <v>5.04</v>
      </c>
      <c r="AI3987">
        <v>-0.13</v>
      </c>
      <c r="AJ3987">
        <v>-7.0000000000000007E-2</v>
      </c>
      <c r="AK3987">
        <v>73</v>
      </c>
      <c r="AL3987">
        <v>0</v>
      </c>
      <c r="AM3987">
        <v>0</v>
      </c>
      <c r="AN3987">
        <v>5.01</v>
      </c>
      <c r="AO3987">
        <v>-0.91</v>
      </c>
      <c r="AP3987">
        <v>7</v>
      </c>
      <c r="AQ3987">
        <v>0</v>
      </c>
      <c r="AR3987">
        <v>10.37</v>
      </c>
      <c r="AS3987">
        <v>31</v>
      </c>
      <c r="AT3987">
        <v>4.2699999999999996</v>
      </c>
      <c r="AU3987">
        <v>63</v>
      </c>
      <c r="AV3987">
        <v>-0.51</v>
      </c>
      <c r="AW3987">
        <v>59</v>
      </c>
      <c r="AX3987">
        <v>-0.2</v>
      </c>
      <c r="AY3987">
        <v>51</v>
      </c>
      <c r="AZ3987">
        <v>6.07</v>
      </c>
      <c r="BA3987">
        <v>32</v>
      </c>
      <c r="BB3987">
        <v>4.54</v>
      </c>
      <c r="BC3987">
        <v>33</v>
      </c>
      <c r="BD3987">
        <v>0</v>
      </c>
      <c r="BE3987">
        <v>7.0000000000000007E-2</v>
      </c>
      <c r="BF3987">
        <v>-0.01</v>
      </c>
      <c r="BG3987">
        <v>85</v>
      </c>
      <c r="BH3987">
        <v>0.15</v>
      </c>
      <c r="BI3987">
        <v>13.73</v>
      </c>
      <c r="BJ3987">
        <v>3</v>
      </c>
      <c r="BK3987">
        <v>2</v>
      </c>
      <c r="BL3987">
        <v>0.4</v>
      </c>
      <c r="BM3987">
        <v>-0.52</v>
      </c>
      <c r="BN3987">
        <v>0.27</v>
      </c>
      <c r="BO3987">
        <v>0.73</v>
      </c>
      <c r="BP3987">
        <v>1.58</v>
      </c>
      <c r="BQ3987">
        <v>-0.96</v>
      </c>
      <c r="BR3987">
        <v>0.84</v>
      </c>
      <c r="BS3987">
        <v>-1.5</v>
      </c>
      <c r="BT3987">
        <v>7.0000000000000007E-2</v>
      </c>
      <c r="BU3987">
        <v>-1.34</v>
      </c>
      <c r="BV3987">
        <v>-0.63</v>
      </c>
      <c r="BW3987">
        <v>-0.81</v>
      </c>
      <c r="BX3987">
        <v>-1.83</v>
      </c>
      <c r="BY3987">
        <v>-0.56000000000000005</v>
      </c>
      <c r="BZ3987">
        <v>-0.52</v>
      </c>
      <c r="CA3987">
        <v>-0.99</v>
      </c>
      <c r="CB3987">
        <v>-0.53</v>
      </c>
      <c r="CC3987">
        <v>-1.39</v>
      </c>
      <c r="CD3987">
        <v>-0.92</v>
      </c>
      <c r="CE3987">
        <v>0.16</v>
      </c>
      <c r="CF3987">
        <v>0.17</v>
      </c>
      <c r="CG3987">
        <v>0</v>
      </c>
      <c r="CH3987">
        <v>-0.44</v>
      </c>
      <c r="CI3987">
        <v>0</v>
      </c>
      <c r="CJ3987">
        <v>0.7</v>
      </c>
      <c r="CK3987">
        <v>69</v>
      </c>
      <c r="CL3987">
        <v>-0.79</v>
      </c>
      <c r="CM3987">
        <v>65</v>
      </c>
      <c r="CN3987">
        <v>-0.11</v>
      </c>
      <c r="CO3987">
        <v>61</v>
      </c>
      <c r="CP3987">
        <v>-3.3</v>
      </c>
      <c r="CQ3987">
        <v>64</v>
      </c>
      <c r="CR3987">
        <v>0</v>
      </c>
      <c r="CS3987">
        <v>0</v>
      </c>
      <c r="CT3987">
        <v>2.5</v>
      </c>
      <c r="CU3987">
        <v>51</v>
      </c>
      <c r="CV3987">
        <v>0.25</v>
      </c>
      <c r="CW3987">
        <v>19</v>
      </c>
      <c r="CX3987" t="s">
        <v>166</v>
      </c>
    </row>
    <row r="3988" spans="1:102" x14ac:dyDescent="0.3">
      <c r="A3988" t="str">
        <f>HYPERLINK("https://webapp.icbf.com/v2/app/bull-search/view/300469774","ZEC")</f>
        <v>ZEC</v>
      </c>
      <c r="B3988" t="s">
        <v>11810</v>
      </c>
      <c r="C3988" t="s">
        <v>11811</v>
      </c>
      <c r="D3988" s="1">
        <v>35547</v>
      </c>
      <c r="E3988" t="s">
        <v>92</v>
      </c>
      <c r="F3988">
        <v>100</v>
      </c>
      <c r="G3988" t="s">
        <v>109</v>
      </c>
      <c r="H3988">
        <v>-79.37</v>
      </c>
      <c r="I3988">
        <v>82</v>
      </c>
      <c r="J3988">
        <v>9.41</v>
      </c>
      <c r="K3988">
        <v>92</v>
      </c>
      <c r="L3988">
        <v>-69.25</v>
      </c>
      <c r="M3988">
        <v>84</v>
      </c>
      <c r="N3988">
        <v>-16.73</v>
      </c>
      <c r="O3988">
        <v>76</v>
      </c>
      <c r="P3988">
        <v>-5.38</v>
      </c>
      <c r="Q3988">
        <v>72</v>
      </c>
      <c r="R3988">
        <v>-4.28</v>
      </c>
      <c r="S3988">
        <v>76</v>
      </c>
      <c r="T3988">
        <v>11.53</v>
      </c>
      <c r="U3988">
        <v>59</v>
      </c>
      <c r="V3988">
        <v>-4.67</v>
      </c>
      <c r="W3988">
        <v>60</v>
      </c>
      <c r="X3988" t="s">
        <v>102</v>
      </c>
      <c r="Y3988" t="s">
        <v>95</v>
      </c>
      <c r="Z3988" t="s">
        <v>96</v>
      </c>
      <c r="AA3988" t="s">
        <v>3977</v>
      </c>
      <c r="AB3988" t="s">
        <v>11812</v>
      </c>
      <c r="AC3988">
        <v>0</v>
      </c>
      <c r="AD3988">
        <v>0</v>
      </c>
      <c r="AE3988">
        <v>92</v>
      </c>
      <c r="AF3988">
        <v>-6.7</v>
      </c>
      <c r="AG3988">
        <v>10.85</v>
      </c>
      <c r="AH3988">
        <v>-2.34</v>
      </c>
      <c r="AI3988">
        <v>0.19</v>
      </c>
      <c r="AJ3988">
        <v>-0.04</v>
      </c>
      <c r="AK3988">
        <v>84</v>
      </c>
      <c r="AL3988">
        <v>0</v>
      </c>
      <c r="AM3988">
        <v>0</v>
      </c>
      <c r="AN3988">
        <v>4.76</v>
      </c>
      <c r="AO3988">
        <v>-0.75</v>
      </c>
      <c r="AP3988">
        <v>47</v>
      </c>
      <c r="AQ3988">
        <v>0</v>
      </c>
      <c r="AR3988">
        <v>9.48</v>
      </c>
      <c r="AS3988">
        <v>64</v>
      </c>
      <c r="AT3988">
        <v>4.08</v>
      </c>
      <c r="AU3988">
        <v>88</v>
      </c>
      <c r="AV3988">
        <v>0.32</v>
      </c>
      <c r="AW3988">
        <v>84</v>
      </c>
      <c r="AX3988">
        <v>-0.84</v>
      </c>
      <c r="AY3988">
        <v>63</v>
      </c>
      <c r="AZ3988">
        <v>6.87</v>
      </c>
      <c r="BA3988">
        <v>48</v>
      </c>
      <c r="BB3988">
        <v>5.18</v>
      </c>
      <c r="BC3988">
        <v>52</v>
      </c>
      <c r="BD3988">
        <v>0.05</v>
      </c>
      <c r="BE3988">
        <v>0.05</v>
      </c>
      <c r="BF3988">
        <v>-0.08</v>
      </c>
      <c r="BG3988">
        <v>92</v>
      </c>
      <c r="BH3988">
        <v>-0.02</v>
      </c>
      <c r="BI3988">
        <v>12.76</v>
      </c>
      <c r="BJ3988">
        <v>9</v>
      </c>
      <c r="BK3988">
        <v>6</v>
      </c>
      <c r="BL3988">
        <v>0.15</v>
      </c>
      <c r="BM3988">
        <v>-1.01</v>
      </c>
      <c r="BN3988">
        <v>-0.14000000000000001</v>
      </c>
      <c r="BO3988">
        <v>0.47</v>
      </c>
      <c r="BP3988">
        <v>-7.0000000000000007E-2</v>
      </c>
      <c r="BQ3988">
        <v>-2.27</v>
      </c>
      <c r="BR3988">
        <v>-0.48</v>
      </c>
      <c r="BS3988">
        <v>0.11</v>
      </c>
      <c r="BT3988">
        <v>1.81</v>
      </c>
      <c r="BU3988">
        <v>0.84</v>
      </c>
      <c r="BV3988">
        <v>0.19</v>
      </c>
      <c r="BW3988">
        <v>0.28999999999999998</v>
      </c>
      <c r="BX3988">
        <v>0.7</v>
      </c>
      <c r="BY3988">
        <v>1.23</v>
      </c>
      <c r="BZ3988">
        <v>-2.2599999999999998</v>
      </c>
      <c r="CA3988">
        <v>0.92</v>
      </c>
      <c r="CB3988">
        <v>0.53</v>
      </c>
      <c r="CC3988">
        <v>0.79</v>
      </c>
      <c r="CD3988">
        <v>-0.49</v>
      </c>
      <c r="CE3988">
        <v>-0.15</v>
      </c>
      <c r="CF3988">
        <v>-0.09</v>
      </c>
      <c r="CG3988">
        <v>0</v>
      </c>
      <c r="CH3988">
        <v>1.44</v>
      </c>
      <c r="CI3988">
        <v>0</v>
      </c>
      <c r="CJ3988">
        <v>-1.7</v>
      </c>
      <c r="CK3988">
        <v>74</v>
      </c>
      <c r="CL3988">
        <v>-0.7</v>
      </c>
      <c r="CM3988">
        <v>71</v>
      </c>
      <c r="CN3988">
        <v>-0.46</v>
      </c>
      <c r="CO3988">
        <v>68</v>
      </c>
      <c r="CP3988">
        <v>-8</v>
      </c>
      <c r="CQ3988">
        <v>71</v>
      </c>
      <c r="CR3988">
        <v>0</v>
      </c>
      <c r="CS3988">
        <v>0</v>
      </c>
      <c r="CT3988">
        <v>-1.8</v>
      </c>
      <c r="CU3988">
        <v>59</v>
      </c>
      <c r="CV3988">
        <v>0.04</v>
      </c>
      <c r="CW3988">
        <v>40</v>
      </c>
      <c r="CX3988" t="s">
        <v>111</v>
      </c>
    </row>
    <row r="3989" spans="1:102" x14ac:dyDescent="0.3">
      <c r="A3989" t="str">
        <f>HYPERLINK("https://webapp.icbf.com/v2/app/bull-search/view/77858518","DOW")</f>
        <v>DOW</v>
      </c>
      <c r="B3989" t="s">
        <v>12136</v>
      </c>
      <c r="C3989" t="s">
        <v>12137</v>
      </c>
      <c r="D3989" s="1">
        <v>32182</v>
      </c>
      <c r="E3989" t="s">
        <v>92</v>
      </c>
      <c r="F3989">
        <v>75</v>
      </c>
      <c r="G3989" t="s">
        <v>93</v>
      </c>
      <c r="H3989">
        <v>-79.430000000000007</v>
      </c>
      <c r="I3989">
        <v>92</v>
      </c>
      <c r="J3989">
        <v>-48.8</v>
      </c>
      <c r="K3989">
        <v>99</v>
      </c>
      <c r="L3989">
        <v>-32.83</v>
      </c>
      <c r="M3989">
        <v>89</v>
      </c>
      <c r="N3989">
        <v>-0.98</v>
      </c>
      <c r="O3989">
        <v>87</v>
      </c>
      <c r="P3989">
        <v>-7.73</v>
      </c>
      <c r="Q3989">
        <v>96</v>
      </c>
      <c r="R3989">
        <v>-6.36</v>
      </c>
      <c r="S3989">
        <v>83</v>
      </c>
      <c r="T3989">
        <v>22.48</v>
      </c>
      <c r="U3989">
        <v>94</v>
      </c>
      <c r="V3989">
        <v>-5.21</v>
      </c>
      <c r="W3989">
        <v>66</v>
      </c>
      <c r="X3989" t="s">
        <v>94</v>
      </c>
      <c r="Y3989" t="s">
        <v>95</v>
      </c>
      <c r="Z3989" t="s">
        <v>96</v>
      </c>
      <c r="AA3989" t="s">
        <v>154</v>
      </c>
      <c r="AB3989" t="s">
        <v>12138</v>
      </c>
      <c r="AC3989">
        <v>611</v>
      </c>
      <c r="AD3989">
        <v>433</v>
      </c>
      <c r="AE3989">
        <v>99</v>
      </c>
      <c r="AF3989">
        <v>-152.49</v>
      </c>
      <c r="AG3989">
        <v>-3.63</v>
      </c>
      <c r="AH3989">
        <v>-9.35</v>
      </c>
      <c r="AI3989">
        <v>0.04</v>
      </c>
      <c r="AJ3989">
        <v>-7.0000000000000007E-2</v>
      </c>
      <c r="AK3989">
        <v>89</v>
      </c>
      <c r="AL3989">
        <v>1040</v>
      </c>
      <c r="AM3989">
        <v>670</v>
      </c>
      <c r="AN3989">
        <v>2.41</v>
      </c>
      <c r="AO3989">
        <v>-0.2</v>
      </c>
      <c r="AP3989">
        <v>6</v>
      </c>
      <c r="AQ3989">
        <v>0</v>
      </c>
      <c r="AR3989">
        <v>7.18</v>
      </c>
      <c r="AS3989">
        <v>61</v>
      </c>
      <c r="AT3989">
        <v>3.61</v>
      </c>
      <c r="AU3989">
        <v>87</v>
      </c>
      <c r="AV3989">
        <v>-0.81</v>
      </c>
      <c r="AW3989">
        <v>93</v>
      </c>
      <c r="AX3989">
        <v>-0.19</v>
      </c>
      <c r="AY3989">
        <v>94</v>
      </c>
      <c r="AZ3989">
        <v>6.79</v>
      </c>
      <c r="BA3989">
        <v>65</v>
      </c>
      <c r="BB3989">
        <v>5.79</v>
      </c>
      <c r="BC3989">
        <v>87</v>
      </c>
      <c r="BD3989">
        <v>0.05</v>
      </c>
      <c r="BE3989">
        <v>7.0000000000000007E-2</v>
      </c>
      <c r="BF3989">
        <v>-7.0000000000000007E-2</v>
      </c>
      <c r="BG3989">
        <v>98</v>
      </c>
      <c r="BH3989">
        <v>0</v>
      </c>
      <c r="BI3989">
        <v>16.8</v>
      </c>
      <c r="BJ3989">
        <v>57</v>
      </c>
      <c r="BK3989">
        <v>52</v>
      </c>
      <c r="BL3989">
        <v>-0.59</v>
      </c>
      <c r="BM3989">
        <v>0.43</v>
      </c>
      <c r="BN3989">
        <v>-0.35</v>
      </c>
      <c r="BO3989">
        <v>-0.66</v>
      </c>
      <c r="BP3989">
        <v>-0.77</v>
      </c>
      <c r="BQ3989">
        <v>0.57999999999999996</v>
      </c>
      <c r="BR3989">
        <v>-0.53</v>
      </c>
      <c r="BS3989">
        <v>0.31</v>
      </c>
      <c r="BT3989">
        <v>0.74</v>
      </c>
      <c r="BU3989">
        <v>-0.99</v>
      </c>
      <c r="BV3989">
        <v>-0.75</v>
      </c>
      <c r="BW3989">
        <v>-0.01</v>
      </c>
      <c r="BX3989">
        <v>-1.02</v>
      </c>
      <c r="BY3989">
        <v>-0.71</v>
      </c>
      <c r="BZ3989">
        <v>-0.92</v>
      </c>
      <c r="CA3989">
        <v>-0.04</v>
      </c>
      <c r="CB3989">
        <v>-0.64</v>
      </c>
      <c r="CC3989">
        <v>1.48</v>
      </c>
      <c r="CD3989">
        <v>0.56999999999999995</v>
      </c>
      <c r="CE3989">
        <v>-0.33</v>
      </c>
      <c r="CF3989">
        <v>-0.19</v>
      </c>
      <c r="CG3989">
        <v>0</v>
      </c>
      <c r="CH3989">
        <v>-0.45</v>
      </c>
      <c r="CI3989">
        <v>0</v>
      </c>
      <c r="CJ3989">
        <v>-2.4</v>
      </c>
      <c r="CK3989">
        <v>96</v>
      </c>
      <c r="CL3989">
        <v>-0.6</v>
      </c>
      <c r="CM3989">
        <v>96</v>
      </c>
      <c r="CN3989">
        <v>-0.25</v>
      </c>
      <c r="CO3989">
        <v>95</v>
      </c>
      <c r="CP3989">
        <v>-7.7</v>
      </c>
      <c r="CQ3989">
        <v>97</v>
      </c>
      <c r="CR3989">
        <v>0</v>
      </c>
      <c r="CS3989">
        <v>0</v>
      </c>
      <c r="CT3989">
        <v>-16.600000000000001</v>
      </c>
      <c r="CU3989">
        <v>94</v>
      </c>
      <c r="CV3989">
        <v>0.12</v>
      </c>
      <c r="CW3989">
        <v>28</v>
      </c>
      <c r="CX3989" t="s">
        <v>622</v>
      </c>
    </row>
    <row r="3990" spans="1:102" x14ac:dyDescent="0.3">
      <c r="A3990" t="str">
        <f>HYPERLINK("https://webapp.icbf.com/v2/app/bull-search/view/423375749","NNX")</f>
        <v>NNX</v>
      </c>
      <c r="B3990" t="s">
        <v>4437</v>
      </c>
      <c r="C3990" t="s">
        <v>4438</v>
      </c>
      <c r="D3990" s="1">
        <v>36475</v>
      </c>
      <c r="E3990" t="s">
        <v>92</v>
      </c>
      <c r="F3990">
        <v>100</v>
      </c>
      <c r="G3990" t="s">
        <v>93</v>
      </c>
      <c r="H3990">
        <v>-79.61</v>
      </c>
      <c r="I3990">
        <v>92</v>
      </c>
      <c r="J3990">
        <v>21.49</v>
      </c>
      <c r="K3990">
        <v>98</v>
      </c>
      <c r="L3990">
        <v>-92.64</v>
      </c>
      <c r="M3990">
        <v>87</v>
      </c>
      <c r="N3990">
        <v>-14.82</v>
      </c>
      <c r="O3990">
        <v>88</v>
      </c>
      <c r="P3990">
        <v>-3.51</v>
      </c>
      <c r="Q3990">
        <v>96</v>
      </c>
      <c r="R3990">
        <v>2.17</v>
      </c>
      <c r="S3990">
        <v>83</v>
      </c>
      <c r="T3990">
        <v>5.0199999999999996</v>
      </c>
      <c r="U3990">
        <v>91</v>
      </c>
      <c r="V3990">
        <v>2.68</v>
      </c>
      <c r="W3990">
        <v>86</v>
      </c>
      <c r="X3990" t="s">
        <v>251</v>
      </c>
      <c r="Y3990" t="s">
        <v>95</v>
      </c>
      <c r="Z3990" t="s">
        <v>96</v>
      </c>
      <c r="AA3990" t="s">
        <v>4439</v>
      </c>
      <c r="AB3990" t="s">
        <v>4440</v>
      </c>
      <c r="AC3990">
        <v>191</v>
      </c>
      <c r="AD3990">
        <v>84</v>
      </c>
      <c r="AE3990">
        <v>98</v>
      </c>
      <c r="AF3990">
        <v>279.62</v>
      </c>
      <c r="AG3990">
        <v>6.6</v>
      </c>
      <c r="AH3990">
        <v>5.6</v>
      </c>
      <c r="AI3990">
        <v>-7.0000000000000007E-2</v>
      </c>
      <c r="AJ3990">
        <v>-0.06</v>
      </c>
      <c r="AK3990">
        <v>87</v>
      </c>
      <c r="AL3990">
        <v>220</v>
      </c>
      <c r="AM3990">
        <v>87</v>
      </c>
      <c r="AN3990">
        <v>5.65</v>
      </c>
      <c r="AO3990">
        <v>-1.73</v>
      </c>
      <c r="AP3990">
        <v>321</v>
      </c>
      <c r="AQ3990">
        <v>1</v>
      </c>
      <c r="AR3990">
        <v>11.87</v>
      </c>
      <c r="AS3990">
        <v>73</v>
      </c>
      <c r="AT3990">
        <v>5.15</v>
      </c>
      <c r="AU3990">
        <v>90</v>
      </c>
      <c r="AV3990">
        <v>-1.89</v>
      </c>
      <c r="AW3990">
        <v>96</v>
      </c>
      <c r="AX3990">
        <v>-0.99</v>
      </c>
      <c r="AY3990">
        <v>89</v>
      </c>
      <c r="AZ3990">
        <v>5.84</v>
      </c>
      <c r="BA3990">
        <v>72</v>
      </c>
      <c r="BB3990">
        <v>4.37</v>
      </c>
      <c r="BC3990">
        <v>75</v>
      </c>
      <c r="BD3990">
        <v>-0.03</v>
      </c>
      <c r="BE3990">
        <v>0</v>
      </c>
      <c r="BF3990">
        <v>0</v>
      </c>
      <c r="BG3990">
        <v>90</v>
      </c>
      <c r="BH3990">
        <v>0.03</v>
      </c>
      <c r="BI3990">
        <v>-5.19</v>
      </c>
      <c r="BJ3990">
        <v>28</v>
      </c>
      <c r="BK3990">
        <v>11</v>
      </c>
      <c r="BL3990">
        <v>0.63</v>
      </c>
      <c r="BM3990">
        <v>0.83</v>
      </c>
      <c r="BN3990">
        <v>1.25</v>
      </c>
      <c r="BO3990">
        <v>0.65</v>
      </c>
      <c r="BP3990">
        <v>0.25</v>
      </c>
      <c r="BQ3990">
        <v>7.0000000000000007E-2</v>
      </c>
      <c r="BR3990">
        <v>-0.36</v>
      </c>
      <c r="BS3990">
        <v>0.55000000000000004</v>
      </c>
      <c r="BT3990">
        <v>0.6</v>
      </c>
      <c r="BU3990">
        <v>1.38</v>
      </c>
      <c r="BV3990">
        <v>0.6</v>
      </c>
      <c r="BW3990">
        <v>0.21</v>
      </c>
      <c r="BX3990">
        <v>0.82</v>
      </c>
      <c r="BY3990">
        <v>0.84</v>
      </c>
      <c r="BZ3990">
        <v>-2.41</v>
      </c>
      <c r="CA3990">
        <v>0.88</v>
      </c>
      <c r="CB3990">
        <v>1.06</v>
      </c>
      <c r="CC3990">
        <v>0.25</v>
      </c>
      <c r="CD3990">
        <v>0.25</v>
      </c>
      <c r="CE3990">
        <v>0.65</v>
      </c>
      <c r="CF3990">
        <v>0.41</v>
      </c>
      <c r="CG3990">
        <v>0</v>
      </c>
      <c r="CH3990">
        <v>0.57999999999999996</v>
      </c>
      <c r="CI3990">
        <v>0</v>
      </c>
      <c r="CJ3990">
        <v>-1.5</v>
      </c>
      <c r="CK3990">
        <v>97</v>
      </c>
      <c r="CL3990">
        <v>-0.71</v>
      </c>
      <c r="CM3990">
        <v>96</v>
      </c>
      <c r="CN3990">
        <v>-0.49</v>
      </c>
      <c r="CO3990">
        <v>95</v>
      </c>
      <c r="CP3990">
        <v>1</v>
      </c>
      <c r="CQ3990">
        <v>95</v>
      </c>
      <c r="CR3990">
        <v>0</v>
      </c>
      <c r="CS3990">
        <v>0</v>
      </c>
      <c r="CT3990">
        <v>7</v>
      </c>
      <c r="CU3990">
        <v>91</v>
      </c>
      <c r="CV3990">
        <v>0.16</v>
      </c>
      <c r="CW3990">
        <v>28</v>
      </c>
      <c r="CX3990" t="s">
        <v>751</v>
      </c>
    </row>
    <row r="3991" spans="1:102" x14ac:dyDescent="0.3">
      <c r="A3991" t="str">
        <f>HYPERLINK("https://webapp.icbf.com/v2/app/bull-search/view/77856973","HLG")</f>
        <v>HLG</v>
      </c>
      <c r="B3991" t="s">
        <v>7821</v>
      </c>
      <c r="C3991" t="s">
        <v>7822</v>
      </c>
      <c r="D3991" s="1">
        <v>32206</v>
      </c>
      <c r="E3991" t="s">
        <v>92</v>
      </c>
      <c r="F3991">
        <v>100</v>
      </c>
      <c r="G3991" t="s">
        <v>93</v>
      </c>
      <c r="H3991">
        <v>-79.63</v>
      </c>
      <c r="I3991">
        <v>91</v>
      </c>
      <c r="J3991">
        <v>-23.66</v>
      </c>
      <c r="K3991">
        <v>98</v>
      </c>
      <c r="L3991">
        <v>-23.66</v>
      </c>
      <c r="M3991">
        <v>88</v>
      </c>
      <c r="N3991">
        <v>-11.45</v>
      </c>
      <c r="O3991">
        <v>86</v>
      </c>
      <c r="P3991">
        <v>-14.56</v>
      </c>
      <c r="Q3991">
        <v>93</v>
      </c>
      <c r="R3991">
        <v>-18.559999999999999</v>
      </c>
      <c r="S3991">
        <v>85</v>
      </c>
      <c r="T3991">
        <v>11.38</v>
      </c>
      <c r="U3991">
        <v>91</v>
      </c>
      <c r="V3991">
        <v>0.88</v>
      </c>
      <c r="W3991">
        <v>74</v>
      </c>
      <c r="X3991" t="s">
        <v>110</v>
      </c>
      <c r="Y3991" t="s">
        <v>95</v>
      </c>
      <c r="Z3991" t="s">
        <v>96</v>
      </c>
      <c r="AA3991" t="s">
        <v>3549</v>
      </c>
      <c r="AB3991" t="s">
        <v>4928</v>
      </c>
      <c r="AC3991">
        <v>275</v>
      </c>
      <c r="AD3991">
        <v>150</v>
      </c>
      <c r="AE3991">
        <v>98</v>
      </c>
      <c r="AF3991">
        <v>124.91</v>
      </c>
      <c r="AG3991">
        <v>-1.1100000000000001</v>
      </c>
      <c r="AH3991">
        <v>-1.72</v>
      </c>
      <c r="AI3991">
        <v>-0.1</v>
      </c>
      <c r="AJ3991">
        <v>-0.1</v>
      </c>
      <c r="AK3991">
        <v>88</v>
      </c>
      <c r="AL3991">
        <v>398</v>
      </c>
      <c r="AM3991">
        <v>194</v>
      </c>
      <c r="AN3991">
        <v>1.02</v>
      </c>
      <c r="AO3991">
        <v>-0.87</v>
      </c>
      <c r="AP3991">
        <v>34</v>
      </c>
      <c r="AQ3991">
        <v>2</v>
      </c>
      <c r="AR3991">
        <v>8.65</v>
      </c>
      <c r="AS3991">
        <v>72</v>
      </c>
      <c r="AT3991">
        <v>4.1100000000000003</v>
      </c>
      <c r="AU3991">
        <v>87</v>
      </c>
      <c r="AV3991">
        <v>-1.61</v>
      </c>
      <c r="AW3991">
        <v>88</v>
      </c>
      <c r="AX3991">
        <v>-0.32</v>
      </c>
      <c r="AY3991">
        <v>93</v>
      </c>
      <c r="AZ3991">
        <v>8.15</v>
      </c>
      <c r="BA3991">
        <v>68</v>
      </c>
      <c r="BB3991">
        <v>6.72</v>
      </c>
      <c r="BC3991">
        <v>81</v>
      </c>
      <c r="BD3991">
        <v>0.04</v>
      </c>
      <c r="BE3991">
        <v>0.1</v>
      </c>
      <c r="BF3991">
        <v>0.17</v>
      </c>
      <c r="BG3991">
        <v>97</v>
      </c>
      <c r="BH3991">
        <v>0.15</v>
      </c>
      <c r="BI3991">
        <v>14.5</v>
      </c>
      <c r="BJ3991">
        <v>120</v>
      </c>
      <c r="BK3991">
        <v>70</v>
      </c>
      <c r="BL3991">
        <v>0.82</v>
      </c>
      <c r="BM3991">
        <v>-7.0000000000000007E-2</v>
      </c>
      <c r="BN3991">
        <v>0.59</v>
      </c>
      <c r="BO3991">
        <v>0.47</v>
      </c>
      <c r="BP3991">
        <v>-0.53</v>
      </c>
      <c r="BQ3991">
        <v>-2.3199999999999998</v>
      </c>
      <c r="BR3991">
        <v>-0.98</v>
      </c>
      <c r="BS3991">
        <v>0.65</v>
      </c>
      <c r="BT3991">
        <v>-0.15</v>
      </c>
      <c r="BU3991">
        <v>-0.42</v>
      </c>
      <c r="BV3991">
        <v>0.77</v>
      </c>
      <c r="BW3991">
        <v>0.38</v>
      </c>
      <c r="BX3991">
        <v>-0.08</v>
      </c>
      <c r="BY3991">
        <v>-1.52</v>
      </c>
      <c r="BZ3991">
        <v>0.44</v>
      </c>
      <c r="CA3991">
        <v>0.44</v>
      </c>
      <c r="CB3991">
        <v>-0.11</v>
      </c>
      <c r="CC3991">
        <v>1.1000000000000001</v>
      </c>
      <c r="CD3991">
        <v>-0.57999999999999996</v>
      </c>
      <c r="CE3991">
        <v>0.47</v>
      </c>
      <c r="CF3991">
        <v>0.6</v>
      </c>
      <c r="CG3991">
        <v>0</v>
      </c>
      <c r="CH3991">
        <v>-1.43</v>
      </c>
      <c r="CI3991">
        <v>0</v>
      </c>
      <c r="CJ3991">
        <v>-7.1</v>
      </c>
      <c r="CK3991">
        <v>93</v>
      </c>
      <c r="CL3991">
        <v>-0.92</v>
      </c>
      <c r="CM3991">
        <v>92</v>
      </c>
      <c r="CN3991">
        <v>-0.44</v>
      </c>
      <c r="CO3991">
        <v>91</v>
      </c>
      <c r="CP3991">
        <v>-2.8</v>
      </c>
      <c r="CQ3991">
        <v>95</v>
      </c>
      <c r="CR3991">
        <v>0</v>
      </c>
      <c r="CS3991">
        <v>0</v>
      </c>
      <c r="CT3991">
        <v>-1.6</v>
      </c>
      <c r="CU3991">
        <v>91</v>
      </c>
      <c r="CV3991">
        <v>0</v>
      </c>
      <c r="CW3991">
        <v>44</v>
      </c>
      <c r="CX3991" t="s">
        <v>154</v>
      </c>
    </row>
    <row r="3992" spans="1:102" x14ac:dyDescent="0.3">
      <c r="A3992" t="str">
        <f>HYPERLINK("https://webapp.icbf.com/v2/app/bull-search/view/132151432","CIK")</f>
        <v>CIK</v>
      </c>
      <c r="B3992" t="s">
        <v>2856</v>
      </c>
      <c r="C3992" t="s">
        <v>2857</v>
      </c>
      <c r="D3992" s="1">
        <v>35433</v>
      </c>
      <c r="E3992" t="s">
        <v>92</v>
      </c>
      <c r="F3992">
        <v>100</v>
      </c>
      <c r="G3992" t="s">
        <v>93</v>
      </c>
      <c r="H3992">
        <v>-79.7</v>
      </c>
      <c r="I3992">
        <v>81</v>
      </c>
      <c r="J3992">
        <v>45.11</v>
      </c>
      <c r="K3992">
        <v>91</v>
      </c>
      <c r="L3992">
        <v>-116.19</v>
      </c>
      <c r="M3992">
        <v>76</v>
      </c>
      <c r="N3992">
        <v>-10.33</v>
      </c>
      <c r="O3992">
        <v>74</v>
      </c>
      <c r="P3992">
        <v>-8.8000000000000007</v>
      </c>
      <c r="Q3992">
        <v>90</v>
      </c>
      <c r="R3992">
        <v>0.33</v>
      </c>
      <c r="S3992">
        <v>69</v>
      </c>
      <c r="T3992">
        <v>15.08</v>
      </c>
      <c r="U3992">
        <v>77</v>
      </c>
      <c r="V3992">
        <v>-4.9000000000000004</v>
      </c>
      <c r="W3992">
        <v>48</v>
      </c>
      <c r="X3992" t="s">
        <v>970</v>
      </c>
      <c r="Y3992" t="s">
        <v>95</v>
      </c>
      <c r="Z3992" t="s">
        <v>96</v>
      </c>
      <c r="AA3992" t="s">
        <v>218</v>
      </c>
      <c r="AB3992" t="s">
        <v>2858</v>
      </c>
      <c r="AC3992">
        <v>44</v>
      </c>
      <c r="AD3992">
        <v>22</v>
      </c>
      <c r="AE3992">
        <v>91</v>
      </c>
      <c r="AF3992">
        <v>202.77</v>
      </c>
      <c r="AG3992">
        <v>11.21</v>
      </c>
      <c r="AH3992">
        <v>6.81</v>
      </c>
      <c r="AI3992">
        <v>0.05</v>
      </c>
      <c r="AJ3992">
        <v>0</v>
      </c>
      <c r="AK3992">
        <v>76</v>
      </c>
      <c r="AL3992">
        <v>43</v>
      </c>
      <c r="AM3992">
        <v>20</v>
      </c>
      <c r="AN3992">
        <v>5.26</v>
      </c>
      <c r="AO3992">
        <v>-4.0199999999999996</v>
      </c>
      <c r="AP3992">
        <v>87</v>
      </c>
      <c r="AQ3992">
        <v>0</v>
      </c>
      <c r="AR3992">
        <v>8.77</v>
      </c>
      <c r="AS3992">
        <v>50</v>
      </c>
      <c r="AT3992">
        <v>4.32</v>
      </c>
      <c r="AU3992">
        <v>76</v>
      </c>
      <c r="AV3992">
        <v>-0.27</v>
      </c>
      <c r="AW3992">
        <v>85</v>
      </c>
      <c r="AX3992">
        <v>-0.08</v>
      </c>
      <c r="AY3992">
        <v>73</v>
      </c>
      <c r="AZ3992">
        <v>5.34</v>
      </c>
      <c r="BA3992">
        <v>49</v>
      </c>
      <c r="BB3992">
        <v>4.83</v>
      </c>
      <c r="BC3992">
        <v>54</v>
      </c>
      <c r="BD3992">
        <v>-0.01</v>
      </c>
      <c r="BE3992">
        <v>0.01</v>
      </c>
      <c r="BF3992">
        <v>-0.01</v>
      </c>
      <c r="BG3992">
        <v>79</v>
      </c>
      <c r="BH3992">
        <v>-0.02</v>
      </c>
      <c r="BI3992">
        <v>13.48</v>
      </c>
      <c r="BJ3992">
        <v>1</v>
      </c>
      <c r="BK3992">
        <v>1</v>
      </c>
      <c r="BL3992">
        <v>0.86</v>
      </c>
      <c r="BM3992">
        <v>0.56000000000000005</v>
      </c>
      <c r="BN3992">
        <v>1.55</v>
      </c>
      <c r="BO3992">
        <v>0.98</v>
      </c>
      <c r="BP3992">
        <v>0.87</v>
      </c>
      <c r="BQ3992">
        <v>1.26</v>
      </c>
      <c r="BR3992">
        <v>2.58</v>
      </c>
      <c r="BS3992">
        <v>-1.6</v>
      </c>
      <c r="BT3992">
        <v>-1.89</v>
      </c>
      <c r="BU3992">
        <v>-0.69</v>
      </c>
      <c r="BV3992">
        <v>0.8</v>
      </c>
      <c r="BW3992">
        <v>-0.19</v>
      </c>
      <c r="BX3992">
        <v>-2.21</v>
      </c>
      <c r="BY3992">
        <v>1.63</v>
      </c>
      <c r="BZ3992">
        <v>-1.3</v>
      </c>
      <c r="CA3992">
        <v>-0.43</v>
      </c>
      <c r="CB3992">
        <v>0.19</v>
      </c>
      <c r="CC3992">
        <v>-1.21</v>
      </c>
      <c r="CD3992">
        <v>-0.74</v>
      </c>
      <c r="CE3992">
        <v>0.55000000000000004</v>
      </c>
      <c r="CF3992">
        <v>0.78</v>
      </c>
      <c r="CG3992">
        <v>0</v>
      </c>
      <c r="CH3992">
        <v>2.0499999999999998</v>
      </c>
      <c r="CI3992">
        <v>0</v>
      </c>
      <c r="CJ3992">
        <v>0.3</v>
      </c>
      <c r="CK3992">
        <v>91</v>
      </c>
      <c r="CL3992">
        <v>-0.99</v>
      </c>
      <c r="CM3992">
        <v>89</v>
      </c>
      <c r="CN3992">
        <v>-0.2</v>
      </c>
      <c r="CO3992">
        <v>87</v>
      </c>
      <c r="CP3992">
        <v>-8.9</v>
      </c>
      <c r="CQ3992">
        <v>85</v>
      </c>
      <c r="CR3992">
        <v>0</v>
      </c>
      <c r="CS3992">
        <v>0</v>
      </c>
      <c r="CT3992">
        <v>-6.6</v>
      </c>
      <c r="CU3992">
        <v>77</v>
      </c>
      <c r="CV3992">
        <v>0.34</v>
      </c>
      <c r="CW3992">
        <v>26</v>
      </c>
      <c r="CX3992" t="s">
        <v>485</v>
      </c>
    </row>
    <row r="3993" spans="1:102" x14ac:dyDescent="0.3">
      <c r="A3993" t="str">
        <f>HYPERLINK("https://webapp.icbf.com/v2/app/bull-search/view/572114728","RDW")</f>
        <v>RDW</v>
      </c>
      <c r="B3993" t="s">
        <v>8215</v>
      </c>
      <c r="C3993" t="s">
        <v>8216</v>
      </c>
      <c r="D3993" s="1">
        <v>38856</v>
      </c>
      <c r="E3993" t="s">
        <v>92</v>
      </c>
      <c r="F3993">
        <v>100</v>
      </c>
      <c r="G3993" t="s">
        <v>93</v>
      </c>
      <c r="H3993">
        <v>-79.7</v>
      </c>
      <c r="I3993">
        <v>91</v>
      </c>
      <c r="J3993">
        <v>-10.130000000000001</v>
      </c>
      <c r="K3993">
        <v>97</v>
      </c>
      <c r="L3993">
        <v>-71.38</v>
      </c>
      <c r="M3993">
        <v>88</v>
      </c>
      <c r="N3993">
        <v>-2.5499999999999998</v>
      </c>
      <c r="O3993">
        <v>87</v>
      </c>
      <c r="P3993">
        <v>-11.05</v>
      </c>
      <c r="Q3993">
        <v>93</v>
      </c>
      <c r="R3993">
        <v>4.41</v>
      </c>
      <c r="S3993">
        <v>80</v>
      </c>
      <c r="T3993">
        <v>5.76</v>
      </c>
      <c r="U3993">
        <v>90</v>
      </c>
      <c r="V3993">
        <v>5.24</v>
      </c>
      <c r="W3993">
        <v>73</v>
      </c>
      <c r="X3993" t="s">
        <v>276</v>
      </c>
      <c r="Y3993" t="s">
        <v>2581</v>
      </c>
      <c r="Z3993" t="s">
        <v>96</v>
      </c>
      <c r="AA3993" t="s">
        <v>8217</v>
      </c>
      <c r="AB3993" t="s">
        <v>8218</v>
      </c>
      <c r="AC3993">
        <v>113</v>
      </c>
      <c r="AD3993">
        <v>67</v>
      </c>
      <c r="AE3993">
        <v>97</v>
      </c>
      <c r="AF3993">
        <v>5.44</v>
      </c>
      <c r="AG3993">
        <v>-0.79</v>
      </c>
      <c r="AH3993">
        <v>-1.36</v>
      </c>
      <c r="AI3993">
        <v>-0.02</v>
      </c>
      <c r="AJ3993">
        <v>-0.03</v>
      </c>
      <c r="AK3993">
        <v>88</v>
      </c>
      <c r="AL3993">
        <v>129</v>
      </c>
      <c r="AM3993">
        <v>78</v>
      </c>
      <c r="AN3993">
        <v>4.1100000000000003</v>
      </c>
      <c r="AO3993">
        <v>-1.58</v>
      </c>
      <c r="AP3993">
        <v>245</v>
      </c>
      <c r="AQ3993">
        <v>2</v>
      </c>
      <c r="AR3993">
        <v>8.68</v>
      </c>
      <c r="AS3993">
        <v>81</v>
      </c>
      <c r="AT3993">
        <v>4.54</v>
      </c>
      <c r="AU3993">
        <v>91</v>
      </c>
      <c r="AV3993">
        <v>-3.16</v>
      </c>
      <c r="AW3993">
        <v>94</v>
      </c>
      <c r="AX3993">
        <v>0.3</v>
      </c>
      <c r="AY3993">
        <v>86</v>
      </c>
      <c r="AZ3993">
        <v>8.0399999999999991</v>
      </c>
      <c r="BA3993">
        <v>68</v>
      </c>
      <c r="BB3993">
        <v>6.27</v>
      </c>
      <c r="BC3993">
        <v>64</v>
      </c>
      <c r="BD3993">
        <v>-0.02</v>
      </c>
      <c r="BE3993">
        <v>-0.02</v>
      </c>
      <c r="BF3993">
        <v>-0.03</v>
      </c>
      <c r="BG3993">
        <v>93</v>
      </c>
      <c r="BH3993">
        <v>-0.05</v>
      </c>
      <c r="BI3993">
        <v>-22.7</v>
      </c>
      <c r="BJ3993">
        <v>40</v>
      </c>
      <c r="BK3993">
        <v>27</v>
      </c>
      <c r="BL3993">
        <v>1.37</v>
      </c>
      <c r="BM3993">
        <v>-1.96</v>
      </c>
      <c r="BN3993">
        <v>-1.3</v>
      </c>
      <c r="BO3993">
        <v>0.65</v>
      </c>
      <c r="BP3993">
        <v>-2.12</v>
      </c>
      <c r="BQ3993">
        <v>-0.09</v>
      </c>
      <c r="BR3993">
        <v>-0.08</v>
      </c>
      <c r="BS3993">
        <v>0.74</v>
      </c>
      <c r="BT3993">
        <v>0.97</v>
      </c>
      <c r="BU3993">
        <v>3.54</v>
      </c>
      <c r="BV3993">
        <v>2.2599999999999998</v>
      </c>
      <c r="BW3993">
        <v>0.99</v>
      </c>
      <c r="BX3993">
        <v>4.59</v>
      </c>
      <c r="BY3993">
        <v>0.77</v>
      </c>
      <c r="BZ3993">
        <v>-2.84</v>
      </c>
      <c r="CA3993">
        <v>2.2200000000000002</v>
      </c>
      <c r="CB3993">
        <v>2.27</v>
      </c>
      <c r="CC3993">
        <v>0.28999999999999998</v>
      </c>
      <c r="CD3993">
        <v>-1.02</v>
      </c>
      <c r="CE3993">
        <v>0.46</v>
      </c>
      <c r="CF3993">
        <v>0.08</v>
      </c>
      <c r="CG3993">
        <v>0</v>
      </c>
      <c r="CH3993">
        <v>0.83</v>
      </c>
      <c r="CI3993">
        <v>0</v>
      </c>
      <c r="CJ3993">
        <v>-5.0999999999999996</v>
      </c>
      <c r="CK3993">
        <v>94</v>
      </c>
      <c r="CL3993">
        <v>-1.23</v>
      </c>
      <c r="CM3993">
        <v>92</v>
      </c>
      <c r="CN3993">
        <v>-0.72</v>
      </c>
      <c r="CO3993">
        <v>91</v>
      </c>
      <c r="CP3993">
        <v>1.7</v>
      </c>
      <c r="CQ3993">
        <v>91</v>
      </c>
      <c r="CR3993">
        <v>0</v>
      </c>
      <c r="CS3993">
        <v>0</v>
      </c>
      <c r="CT3993">
        <v>6</v>
      </c>
      <c r="CU3993">
        <v>90</v>
      </c>
      <c r="CV3993">
        <v>0.14000000000000001</v>
      </c>
      <c r="CW3993">
        <v>44</v>
      </c>
      <c r="CX3993" t="s">
        <v>8219</v>
      </c>
    </row>
    <row r="3994" spans="1:102" x14ac:dyDescent="0.3">
      <c r="A3994" t="str">
        <f>HYPERLINK("https://webapp.icbf.com/v2/app/bull-search/view/77854960","MYS")</f>
        <v>MYS</v>
      </c>
      <c r="B3994" t="s">
        <v>15705</v>
      </c>
      <c r="C3994" t="s">
        <v>15706</v>
      </c>
      <c r="D3994" s="1">
        <v>36359</v>
      </c>
      <c r="E3994" t="s">
        <v>92</v>
      </c>
      <c r="F3994">
        <v>100</v>
      </c>
      <c r="G3994" t="s">
        <v>93</v>
      </c>
      <c r="H3994">
        <v>-79.83</v>
      </c>
      <c r="I3994">
        <v>73</v>
      </c>
      <c r="J3994">
        <v>30.91</v>
      </c>
      <c r="K3994">
        <v>93</v>
      </c>
      <c r="L3994">
        <v>-95.35</v>
      </c>
      <c r="M3994">
        <v>57</v>
      </c>
      <c r="N3994">
        <v>-22.5</v>
      </c>
      <c r="O3994">
        <v>69</v>
      </c>
      <c r="P3994">
        <v>-13.03</v>
      </c>
      <c r="Q3994">
        <v>85</v>
      </c>
      <c r="R3994">
        <v>-1.9</v>
      </c>
      <c r="S3994">
        <v>62</v>
      </c>
      <c r="T3994">
        <v>18.64</v>
      </c>
      <c r="U3994">
        <v>76</v>
      </c>
      <c r="V3994">
        <v>3.4</v>
      </c>
      <c r="W3994">
        <v>40</v>
      </c>
      <c r="X3994" t="s">
        <v>94</v>
      </c>
      <c r="Y3994" t="s">
        <v>95</v>
      </c>
      <c r="Z3994" t="s">
        <v>96</v>
      </c>
      <c r="AA3994" t="s">
        <v>985</v>
      </c>
      <c r="AB3994" t="s">
        <v>15707</v>
      </c>
      <c r="AC3994">
        <v>54</v>
      </c>
      <c r="AD3994">
        <v>37</v>
      </c>
      <c r="AE3994">
        <v>93</v>
      </c>
      <c r="AF3994">
        <v>-87.96</v>
      </c>
      <c r="AG3994">
        <v>11</v>
      </c>
      <c r="AH3994">
        <v>0.02</v>
      </c>
      <c r="AI3994">
        <v>0.24</v>
      </c>
      <c r="AJ3994">
        <v>0.05</v>
      </c>
      <c r="AK3994">
        <v>57</v>
      </c>
      <c r="AL3994">
        <v>52</v>
      </c>
      <c r="AM3994">
        <v>38</v>
      </c>
      <c r="AN3994">
        <v>5.54</v>
      </c>
      <c r="AO3994">
        <v>-2.06</v>
      </c>
      <c r="AP3994">
        <v>47</v>
      </c>
      <c r="AQ3994">
        <v>2</v>
      </c>
      <c r="AR3994">
        <v>12.69</v>
      </c>
      <c r="AS3994">
        <v>47</v>
      </c>
      <c r="AT3994">
        <v>5.0199999999999996</v>
      </c>
      <c r="AU3994">
        <v>64</v>
      </c>
      <c r="AV3994">
        <v>-1.96</v>
      </c>
      <c r="AW3994">
        <v>86</v>
      </c>
      <c r="AX3994">
        <v>0.76</v>
      </c>
      <c r="AY3994">
        <v>66</v>
      </c>
      <c r="AZ3994">
        <v>6.06</v>
      </c>
      <c r="BA3994">
        <v>47</v>
      </c>
      <c r="BB3994">
        <v>4.8099999999999996</v>
      </c>
      <c r="BC3994">
        <v>46</v>
      </c>
      <c r="BD3994">
        <v>0.01</v>
      </c>
      <c r="BE3994">
        <v>0.03</v>
      </c>
      <c r="BF3994">
        <v>-0.03</v>
      </c>
      <c r="BG3994">
        <v>75</v>
      </c>
      <c r="BH3994">
        <v>0.06</v>
      </c>
      <c r="BI3994">
        <v>-4.03</v>
      </c>
      <c r="BJ3994">
        <v>16</v>
      </c>
      <c r="BK3994">
        <v>12</v>
      </c>
      <c r="BL3994">
        <v>0.13</v>
      </c>
      <c r="BM3994">
        <v>-0.49</v>
      </c>
      <c r="BN3994">
        <v>0.33</v>
      </c>
      <c r="BO3994">
        <v>0.52</v>
      </c>
      <c r="BP3994">
        <v>-0.8</v>
      </c>
      <c r="BQ3994">
        <v>-0.7</v>
      </c>
      <c r="BR3994">
        <v>1.1399999999999999</v>
      </c>
      <c r="BS3994">
        <v>-1.17</v>
      </c>
      <c r="BT3994">
        <v>-1.2</v>
      </c>
      <c r="BU3994">
        <v>-0.02</v>
      </c>
      <c r="BV3994">
        <v>0.48</v>
      </c>
      <c r="BW3994">
        <v>-0.35</v>
      </c>
      <c r="BX3994">
        <v>-0.15</v>
      </c>
      <c r="BY3994">
        <v>-0.24</v>
      </c>
      <c r="BZ3994">
        <v>1.21</v>
      </c>
      <c r="CA3994">
        <v>-0.41</v>
      </c>
      <c r="CB3994">
        <v>-0.06</v>
      </c>
      <c r="CC3994">
        <v>-0.89</v>
      </c>
      <c r="CD3994">
        <v>-0.35</v>
      </c>
      <c r="CE3994">
        <v>0.72</v>
      </c>
      <c r="CF3994">
        <v>-0.06</v>
      </c>
      <c r="CG3994">
        <v>0</v>
      </c>
      <c r="CH3994">
        <v>-0.37</v>
      </c>
      <c r="CI3994">
        <v>0</v>
      </c>
      <c r="CJ3994">
        <v>-0.8</v>
      </c>
      <c r="CK3994">
        <v>87</v>
      </c>
      <c r="CL3994">
        <v>-1.0900000000000001</v>
      </c>
      <c r="CM3994">
        <v>84</v>
      </c>
      <c r="CN3994">
        <v>-0.02</v>
      </c>
      <c r="CO3994">
        <v>82</v>
      </c>
      <c r="CP3994">
        <v>-6.1</v>
      </c>
      <c r="CQ3994">
        <v>84</v>
      </c>
      <c r="CR3994">
        <v>0</v>
      </c>
      <c r="CS3994">
        <v>0</v>
      </c>
      <c r="CT3994">
        <v>-11.4</v>
      </c>
      <c r="CU3994">
        <v>76</v>
      </c>
      <c r="CV3994">
        <v>0.39</v>
      </c>
      <c r="CW3994">
        <v>24</v>
      </c>
      <c r="CX3994" t="s">
        <v>3553</v>
      </c>
    </row>
    <row r="3995" spans="1:102" x14ac:dyDescent="0.3">
      <c r="A3995" t="str">
        <f>HYPERLINK("https://webapp.icbf.com/v2/app/bull-search/view/395870443","KLR")</f>
        <v>KLR</v>
      </c>
      <c r="B3995" t="s">
        <v>1162</v>
      </c>
      <c r="C3995" t="s">
        <v>1163</v>
      </c>
      <c r="D3995" s="1">
        <v>38391</v>
      </c>
      <c r="E3995" t="s">
        <v>92</v>
      </c>
      <c r="F3995">
        <v>72</v>
      </c>
      <c r="G3995" t="s">
        <v>93</v>
      </c>
      <c r="H3995">
        <v>-79.97</v>
      </c>
      <c r="I3995">
        <v>87</v>
      </c>
      <c r="J3995">
        <v>-3.76</v>
      </c>
      <c r="K3995">
        <v>96</v>
      </c>
      <c r="L3995">
        <v>-98.37</v>
      </c>
      <c r="M3995">
        <v>79</v>
      </c>
      <c r="N3995">
        <v>16.88</v>
      </c>
      <c r="O3995">
        <v>84</v>
      </c>
      <c r="P3995">
        <v>-2.75</v>
      </c>
      <c r="Q3995">
        <v>90</v>
      </c>
      <c r="R3995">
        <v>0.33</v>
      </c>
      <c r="S3995">
        <v>81</v>
      </c>
      <c r="T3995">
        <v>4.87</v>
      </c>
      <c r="U3995">
        <v>86</v>
      </c>
      <c r="V3995">
        <v>2.83</v>
      </c>
      <c r="W3995">
        <v>80</v>
      </c>
      <c r="X3995" t="s">
        <v>94</v>
      </c>
      <c r="Y3995" t="s">
        <v>1164</v>
      </c>
      <c r="Z3995" t="s">
        <v>96</v>
      </c>
      <c r="AA3995" t="s">
        <v>1165</v>
      </c>
      <c r="AB3995" t="s">
        <v>1166</v>
      </c>
      <c r="AC3995">
        <v>70</v>
      </c>
      <c r="AD3995">
        <v>58</v>
      </c>
      <c r="AE3995">
        <v>96</v>
      </c>
      <c r="AF3995">
        <v>-29.81</v>
      </c>
      <c r="AG3995">
        <v>2.98</v>
      </c>
      <c r="AH3995">
        <v>-2.15</v>
      </c>
      <c r="AI3995">
        <v>7.0000000000000007E-2</v>
      </c>
      <c r="AJ3995">
        <v>-0.02</v>
      </c>
      <c r="AK3995">
        <v>79</v>
      </c>
      <c r="AL3995">
        <v>69</v>
      </c>
      <c r="AM3995">
        <v>58</v>
      </c>
      <c r="AN3995">
        <v>7.28</v>
      </c>
      <c r="AO3995">
        <v>-0.54</v>
      </c>
      <c r="AP3995">
        <v>136</v>
      </c>
      <c r="AQ3995">
        <v>1</v>
      </c>
      <c r="AR3995">
        <v>8.6300000000000008</v>
      </c>
      <c r="AS3995">
        <v>72</v>
      </c>
      <c r="AT3995">
        <v>2.85</v>
      </c>
      <c r="AU3995">
        <v>86</v>
      </c>
      <c r="AV3995">
        <v>-2.11</v>
      </c>
      <c r="AW3995">
        <v>93</v>
      </c>
      <c r="AX3995">
        <v>0.19</v>
      </c>
      <c r="AY3995">
        <v>78</v>
      </c>
      <c r="AZ3995">
        <v>6.57</v>
      </c>
      <c r="BA3995">
        <v>65</v>
      </c>
      <c r="BB3995">
        <v>4.78</v>
      </c>
      <c r="BC3995">
        <v>67</v>
      </c>
      <c r="BD3995">
        <v>-0.01</v>
      </c>
      <c r="BE3995">
        <v>0.01</v>
      </c>
      <c r="BF3995">
        <v>-0.01</v>
      </c>
      <c r="BG3995">
        <v>88</v>
      </c>
      <c r="BH3995">
        <v>-0.01</v>
      </c>
      <c r="BI3995">
        <v>-10.28</v>
      </c>
      <c r="BJ3995">
        <v>25</v>
      </c>
      <c r="BK3995">
        <v>18</v>
      </c>
      <c r="BL3995">
        <v>0.48</v>
      </c>
      <c r="BM3995">
        <v>-0.51</v>
      </c>
      <c r="BN3995">
        <v>-0.04</v>
      </c>
      <c r="BO3995">
        <v>0.33</v>
      </c>
      <c r="BP3995">
        <v>1.62</v>
      </c>
      <c r="BQ3995">
        <v>-0.42</v>
      </c>
      <c r="BR3995">
        <v>1.46</v>
      </c>
      <c r="BS3995">
        <v>0.35</v>
      </c>
      <c r="BT3995">
        <v>-2.73</v>
      </c>
      <c r="BU3995">
        <v>-0.91</v>
      </c>
      <c r="BV3995">
        <v>-0.72</v>
      </c>
      <c r="BW3995">
        <v>0.13</v>
      </c>
      <c r="BX3995">
        <v>0.23</v>
      </c>
      <c r="BY3995">
        <v>-0.76</v>
      </c>
      <c r="BZ3995">
        <v>-3.56</v>
      </c>
      <c r="CA3995">
        <v>-0.21</v>
      </c>
      <c r="CB3995">
        <v>0.08</v>
      </c>
      <c r="CC3995">
        <v>-0.66</v>
      </c>
      <c r="CD3995">
        <v>-0.4</v>
      </c>
      <c r="CE3995">
        <v>0.33</v>
      </c>
      <c r="CF3995">
        <v>-0.18</v>
      </c>
      <c r="CG3995">
        <v>0</v>
      </c>
      <c r="CH3995">
        <v>-7.0000000000000007E-2</v>
      </c>
      <c r="CI3995">
        <v>0</v>
      </c>
      <c r="CJ3995">
        <v>2.2000000000000002</v>
      </c>
      <c r="CK3995">
        <v>91</v>
      </c>
      <c r="CL3995">
        <v>-0.77</v>
      </c>
      <c r="CM3995">
        <v>89</v>
      </c>
      <c r="CN3995">
        <v>-0.22</v>
      </c>
      <c r="CO3995">
        <v>88</v>
      </c>
      <c r="CP3995">
        <v>-2.8</v>
      </c>
      <c r="CQ3995">
        <v>88</v>
      </c>
      <c r="CR3995">
        <v>0</v>
      </c>
      <c r="CS3995">
        <v>0</v>
      </c>
      <c r="CT3995">
        <v>7.2</v>
      </c>
      <c r="CU3995">
        <v>86</v>
      </c>
      <c r="CV3995">
        <v>0.34</v>
      </c>
      <c r="CW3995">
        <v>46</v>
      </c>
      <c r="CX3995" t="s">
        <v>792</v>
      </c>
    </row>
    <row r="3996" spans="1:102" x14ac:dyDescent="0.3">
      <c r="A3996" t="str">
        <f>HYPERLINK("https://webapp.icbf.com/v2/app/bull-search/view/326620662","OJO")</f>
        <v>OJO</v>
      </c>
      <c r="B3996" t="s">
        <v>7428</v>
      </c>
      <c r="C3996" t="s">
        <v>6804</v>
      </c>
      <c r="D3996" s="1">
        <v>36113</v>
      </c>
      <c r="E3996" t="s">
        <v>140</v>
      </c>
      <c r="F3996">
        <v>0</v>
      </c>
      <c r="G3996" t="s">
        <v>109</v>
      </c>
      <c r="H3996">
        <v>-80.08</v>
      </c>
      <c r="I3996">
        <v>66</v>
      </c>
      <c r="J3996">
        <v>-46.78</v>
      </c>
      <c r="K3996">
        <v>77</v>
      </c>
      <c r="L3996">
        <v>-1.82</v>
      </c>
      <c r="M3996">
        <v>51</v>
      </c>
      <c r="N3996">
        <v>-43.15</v>
      </c>
      <c r="O3996">
        <v>69</v>
      </c>
      <c r="P3996">
        <v>9.76</v>
      </c>
      <c r="Q3996">
        <v>89</v>
      </c>
      <c r="R3996">
        <v>6.83</v>
      </c>
      <c r="S3996">
        <v>48</v>
      </c>
      <c r="T3996">
        <v>0.88</v>
      </c>
      <c r="U3996">
        <v>72</v>
      </c>
      <c r="V3996">
        <v>-5.8</v>
      </c>
      <c r="W3996">
        <v>49</v>
      </c>
      <c r="X3996" t="s">
        <v>94</v>
      </c>
      <c r="Y3996" t="s">
        <v>270</v>
      </c>
      <c r="Z3996">
        <v>0</v>
      </c>
      <c r="AA3996" t="s">
        <v>295</v>
      </c>
      <c r="AB3996" t="s">
        <v>7429</v>
      </c>
      <c r="AC3996">
        <v>0</v>
      </c>
      <c r="AD3996">
        <v>0</v>
      </c>
      <c r="AE3996">
        <v>77</v>
      </c>
      <c r="AF3996">
        <v>-177.3</v>
      </c>
      <c r="AG3996">
        <v>-12.1</v>
      </c>
      <c r="AH3996">
        <v>-6.39</v>
      </c>
      <c r="AI3996">
        <v>-0.09</v>
      </c>
      <c r="AJ3996">
        <v>-0.01</v>
      </c>
      <c r="AK3996">
        <v>51</v>
      </c>
      <c r="AL3996">
        <v>35</v>
      </c>
      <c r="AM3996">
        <v>18</v>
      </c>
      <c r="AN3996">
        <v>1.3</v>
      </c>
      <c r="AO3996">
        <v>1.17</v>
      </c>
      <c r="AP3996">
        <v>44</v>
      </c>
      <c r="AQ3996">
        <v>2</v>
      </c>
      <c r="AR3996">
        <v>10.35</v>
      </c>
      <c r="AS3996">
        <v>39</v>
      </c>
      <c r="AT3996">
        <v>5.55</v>
      </c>
      <c r="AU3996">
        <v>64</v>
      </c>
      <c r="AV3996">
        <v>1.29</v>
      </c>
      <c r="AW3996">
        <v>90</v>
      </c>
      <c r="AX3996">
        <v>0.99</v>
      </c>
      <c r="AY3996">
        <v>68</v>
      </c>
      <c r="AZ3996">
        <v>5.23</v>
      </c>
      <c r="BA3996">
        <v>35</v>
      </c>
      <c r="BB3996">
        <v>4.29</v>
      </c>
      <c r="BC3996">
        <v>43</v>
      </c>
      <c r="BD3996">
        <v>0</v>
      </c>
      <c r="BE3996">
        <v>-0.03</v>
      </c>
      <c r="BF3996">
        <v>-0.1</v>
      </c>
      <c r="BG3996">
        <v>56</v>
      </c>
      <c r="BH3996">
        <v>-0.24</v>
      </c>
      <c r="BI3996">
        <v>-9.06</v>
      </c>
      <c r="BJ3996">
        <v>0</v>
      </c>
      <c r="BK3996">
        <v>0</v>
      </c>
      <c r="BL3996">
        <v>-0.64</v>
      </c>
      <c r="BM3996">
        <v>3.95</v>
      </c>
      <c r="BN3996">
        <v>-1.53</v>
      </c>
      <c r="BO3996">
        <v>-3.15</v>
      </c>
      <c r="BP3996">
        <v>4.38</v>
      </c>
      <c r="BQ3996">
        <v>-1.78</v>
      </c>
      <c r="BR3996">
        <v>-2.67</v>
      </c>
      <c r="BS3996">
        <v>-0.24</v>
      </c>
      <c r="BT3996">
        <v>2.64</v>
      </c>
      <c r="BU3996">
        <v>-3.44</v>
      </c>
      <c r="BV3996">
        <v>-3.86</v>
      </c>
      <c r="BW3996">
        <v>-2.83</v>
      </c>
      <c r="BX3996">
        <v>-2.77</v>
      </c>
      <c r="BY3996">
        <v>-1.87</v>
      </c>
      <c r="BZ3996">
        <v>0.87</v>
      </c>
      <c r="CA3996">
        <v>-2.52</v>
      </c>
      <c r="CB3996">
        <v>-3.23</v>
      </c>
      <c r="CC3996">
        <v>-0.4</v>
      </c>
      <c r="CD3996">
        <v>4.1399999999999997</v>
      </c>
      <c r="CE3996">
        <v>-3.16</v>
      </c>
      <c r="CF3996">
        <v>-0.85</v>
      </c>
      <c r="CG3996">
        <v>0</v>
      </c>
      <c r="CH3996">
        <v>-2.92</v>
      </c>
      <c r="CI3996">
        <v>0</v>
      </c>
      <c r="CJ3996">
        <v>3.3</v>
      </c>
      <c r="CK3996">
        <v>91</v>
      </c>
      <c r="CL3996">
        <v>-7.0000000000000007E-2</v>
      </c>
      <c r="CM3996">
        <v>89</v>
      </c>
      <c r="CN3996">
        <v>-0.41</v>
      </c>
      <c r="CO3996">
        <v>87</v>
      </c>
      <c r="CP3996">
        <v>7.5</v>
      </c>
      <c r="CQ3996">
        <v>78</v>
      </c>
      <c r="CR3996">
        <v>0</v>
      </c>
      <c r="CS3996">
        <v>0</v>
      </c>
      <c r="CT3996">
        <v>12.6</v>
      </c>
      <c r="CU3996">
        <v>72</v>
      </c>
      <c r="CV3996">
        <v>-0.08</v>
      </c>
      <c r="CW3996">
        <v>26</v>
      </c>
      <c r="CX3996" t="s">
        <v>224</v>
      </c>
    </row>
    <row r="3997" spans="1:102" x14ac:dyDescent="0.3">
      <c r="A3997" t="str">
        <f>HYPERLINK("https://webapp.icbf.com/v2/app/bull-search/view/77858245","EOS")</f>
        <v>EOS</v>
      </c>
      <c r="B3997" t="s">
        <v>9822</v>
      </c>
      <c r="C3997" t="s">
        <v>9823</v>
      </c>
      <c r="D3997" s="1">
        <v>34935</v>
      </c>
      <c r="E3997" t="s">
        <v>92</v>
      </c>
      <c r="F3997">
        <v>84</v>
      </c>
      <c r="G3997" t="s">
        <v>93</v>
      </c>
      <c r="H3997">
        <v>-80.11</v>
      </c>
      <c r="I3997">
        <v>91</v>
      </c>
      <c r="J3997">
        <v>-11.19</v>
      </c>
      <c r="K3997">
        <v>98</v>
      </c>
      <c r="L3997">
        <v>-84</v>
      </c>
      <c r="M3997">
        <v>86</v>
      </c>
      <c r="N3997">
        <v>16.989999999999998</v>
      </c>
      <c r="O3997">
        <v>89</v>
      </c>
      <c r="P3997">
        <v>-6.78</v>
      </c>
      <c r="Q3997">
        <v>96</v>
      </c>
      <c r="R3997">
        <v>-20.36</v>
      </c>
      <c r="S3997">
        <v>86</v>
      </c>
      <c r="T3997">
        <v>25.89</v>
      </c>
      <c r="U3997">
        <v>88</v>
      </c>
      <c r="V3997">
        <v>-0.66</v>
      </c>
      <c r="W3997">
        <v>79</v>
      </c>
      <c r="X3997" t="s">
        <v>94</v>
      </c>
      <c r="Y3997" t="s">
        <v>95</v>
      </c>
      <c r="Z3997" t="s">
        <v>96</v>
      </c>
      <c r="AA3997" t="s">
        <v>265</v>
      </c>
      <c r="AB3997" t="s">
        <v>9824</v>
      </c>
      <c r="AC3997">
        <v>243</v>
      </c>
      <c r="AD3997">
        <v>157</v>
      </c>
      <c r="AE3997">
        <v>98</v>
      </c>
      <c r="AF3997">
        <v>168.49</v>
      </c>
      <c r="AG3997">
        <v>-2.78</v>
      </c>
      <c r="AH3997">
        <v>1.66</v>
      </c>
      <c r="AI3997">
        <v>-0.16</v>
      </c>
      <c r="AJ3997">
        <v>-7.0000000000000007E-2</v>
      </c>
      <c r="AK3997">
        <v>86</v>
      </c>
      <c r="AL3997">
        <v>224</v>
      </c>
      <c r="AM3997">
        <v>150</v>
      </c>
      <c r="AN3997">
        <v>4.49</v>
      </c>
      <c r="AO3997">
        <v>-2.21</v>
      </c>
      <c r="AP3997">
        <v>120</v>
      </c>
      <c r="AQ3997">
        <v>2</v>
      </c>
      <c r="AR3997">
        <v>7.18</v>
      </c>
      <c r="AS3997">
        <v>76</v>
      </c>
      <c r="AT3997">
        <v>3.33</v>
      </c>
      <c r="AU3997">
        <v>88</v>
      </c>
      <c r="AV3997">
        <v>-2.15</v>
      </c>
      <c r="AW3997">
        <v>96</v>
      </c>
      <c r="AX3997">
        <v>-0.79</v>
      </c>
      <c r="AY3997">
        <v>90</v>
      </c>
      <c r="AZ3997">
        <v>6.43</v>
      </c>
      <c r="BA3997">
        <v>71</v>
      </c>
      <c r="BB3997">
        <v>5.27</v>
      </c>
      <c r="BC3997">
        <v>79</v>
      </c>
      <c r="BD3997">
        <v>0</v>
      </c>
      <c r="BE3997">
        <v>0.12</v>
      </c>
      <c r="BF3997">
        <v>0.24</v>
      </c>
      <c r="BG3997">
        <v>95</v>
      </c>
      <c r="BH3997">
        <v>0.2</v>
      </c>
      <c r="BI3997">
        <v>25.26</v>
      </c>
      <c r="BJ3997">
        <v>26</v>
      </c>
      <c r="BK3997">
        <v>18</v>
      </c>
      <c r="BL3997">
        <v>-0.16</v>
      </c>
      <c r="BM3997">
        <v>-3.99</v>
      </c>
      <c r="BN3997">
        <v>-1.51</v>
      </c>
      <c r="BO3997">
        <v>1.0900000000000001</v>
      </c>
      <c r="BP3997">
        <v>-1.26</v>
      </c>
      <c r="BQ3997">
        <v>-3.68</v>
      </c>
      <c r="BR3997">
        <v>1.35</v>
      </c>
      <c r="BS3997">
        <v>0.4</v>
      </c>
      <c r="BT3997">
        <v>-1.95</v>
      </c>
      <c r="BU3997">
        <v>-0.54</v>
      </c>
      <c r="BV3997">
        <v>0.23</v>
      </c>
      <c r="BW3997">
        <v>-0.36</v>
      </c>
      <c r="BX3997">
        <v>-0.38</v>
      </c>
      <c r="BY3997">
        <v>-0.87</v>
      </c>
      <c r="BZ3997">
        <v>2.2000000000000002</v>
      </c>
      <c r="CA3997">
        <v>0.08</v>
      </c>
      <c r="CB3997">
        <v>-0.17</v>
      </c>
      <c r="CC3997">
        <v>0.16</v>
      </c>
      <c r="CD3997">
        <v>-2.25</v>
      </c>
      <c r="CE3997">
        <v>1.0900000000000001</v>
      </c>
      <c r="CF3997">
        <v>-1.37</v>
      </c>
      <c r="CG3997">
        <v>0</v>
      </c>
      <c r="CH3997">
        <v>-0.67</v>
      </c>
      <c r="CI3997">
        <v>0</v>
      </c>
      <c r="CJ3997">
        <v>-3.8</v>
      </c>
      <c r="CK3997">
        <v>96</v>
      </c>
      <c r="CL3997">
        <v>-0.56999999999999995</v>
      </c>
      <c r="CM3997">
        <v>95</v>
      </c>
      <c r="CN3997">
        <v>-0.54</v>
      </c>
      <c r="CO3997">
        <v>95</v>
      </c>
      <c r="CP3997">
        <v>-13.2</v>
      </c>
      <c r="CQ3997">
        <v>95</v>
      </c>
      <c r="CR3997">
        <v>0</v>
      </c>
      <c r="CS3997">
        <v>0</v>
      </c>
      <c r="CT3997">
        <v>-21.2</v>
      </c>
      <c r="CU3997">
        <v>88</v>
      </c>
      <c r="CV3997">
        <v>7.0000000000000007E-2</v>
      </c>
      <c r="CW3997">
        <v>45</v>
      </c>
      <c r="CX3997" t="s">
        <v>193</v>
      </c>
    </row>
    <row r="3998" spans="1:102" x14ac:dyDescent="0.3">
      <c r="A3998" t="str">
        <f>HYPERLINK("https://webapp.icbf.com/v2/app/bull-search/view/143581772","SWI")</f>
        <v>SWI</v>
      </c>
      <c r="B3998" t="s">
        <v>11539</v>
      </c>
      <c r="C3998" t="s">
        <v>11540</v>
      </c>
      <c r="D3998" s="1">
        <v>35674</v>
      </c>
      <c r="E3998" t="s">
        <v>92</v>
      </c>
      <c r="F3998">
        <v>100</v>
      </c>
      <c r="G3998" t="s">
        <v>109</v>
      </c>
      <c r="H3998">
        <v>-80.13</v>
      </c>
      <c r="I3998">
        <v>76</v>
      </c>
      <c r="J3998">
        <v>-28.57</v>
      </c>
      <c r="K3998">
        <v>83</v>
      </c>
      <c r="L3998">
        <v>-48.85</v>
      </c>
      <c r="M3998">
        <v>80</v>
      </c>
      <c r="N3998">
        <v>8.66</v>
      </c>
      <c r="O3998">
        <v>66</v>
      </c>
      <c r="P3998">
        <v>-1.79</v>
      </c>
      <c r="Q3998">
        <v>72</v>
      </c>
      <c r="R3998">
        <v>0.91</v>
      </c>
      <c r="S3998">
        <v>67</v>
      </c>
      <c r="T3998">
        <v>-9.85</v>
      </c>
      <c r="U3998">
        <v>69</v>
      </c>
      <c r="V3998">
        <v>-0.64</v>
      </c>
      <c r="W3998">
        <v>38</v>
      </c>
      <c r="X3998" t="s">
        <v>251</v>
      </c>
      <c r="Y3998" t="s">
        <v>95</v>
      </c>
      <c r="Z3998" t="s">
        <v>96</v>
      </c>
      <c r="AA3998" t="s">
        <v>4558</v>
      </c>
      <c r="AB3998" t="s">
        <v>11541</v>
      </c>
      <c r="AC3998">
        <v>0</v>
      </c>
      <c r="AD3998">
        <v>0</v>
      </c>
      <c r="AE3998">
        <v>83</v>
      </c>
      <c r="AF3998">
        <v>238.65</v>
      </c>
      <c r="AG3998">
        <v>-6.97</v>
      </c>
      <c r="AH3998">
        <v>1.26</v>
      </c>
      <c r="AI3998">
        <v>-0.26</v>
      </c>
      <c r="AJ3998">
        <v>-0.11</v>
      </c>
      <c r="AK3998">
        <v>80</v>
      </c>
      <c r="AL3998">
        <v>0</v>
      </c>
      <c r="AM3998">
        <v>0</v>
      </c>
      <c r="AN3998">
        <v>3.08</v>
      </c>
      <c r="AO3998">
        <v>-0.81</v>
      </c>
      <c r="AP3998">
        <v>35</v>
      </c>
      <c r="AQ3998">
        <v>0</v>
      </c>
      <c r="AR3998">
        <v>5.32</v>
      </c>
      <c r="AS3998">
        <v>55</v>
      </c>
      <c r="AT3998">
        <v>2.66</v>
      </c>
      <c r="AU3998">
        <v>88</v>
      </c>
      <c r="AV3998">
        <v>-0.86</v>
      </c>
      <c r="AW3998">
        <v>69</v>
      </c>
      <c r="AX3998">
        <v>1.06</v>
      </c>
      <c r="AY3998">
        <v>55</v>
      </c>
      <c r="AZ3998">
        <v>6.89</v>
      </c>
      <c r="BA3998">
        <v>39</v>
      </c>
      <c r="BB3998">
        <v>5.76</v>
      </c>
      <c r="BC3998">
        <v>41</v>
      </c>
      <c r="BD3998">
        <v>0</v>
      </c>
      <c r="BE3998">
        <v>0.01</v>
      </c>
      <c r="BF3998">
        <v>-0.04</v>
      </c>
      <c r="BG3998">
        <v>86</v>
      </c>
      <c r="BH3998">
        <v>-0.13</v>
      </c>
      <c r="BI3998">
        <v>-12.98</v>
      </c>
      <c r="BJ3998">
        <v>9</v>
      </c>
      <c r="BK3998">
        <v>4</v>
      </c>
      <c r="BL3998">
        <v>1.8</v>
      </c>
      <c r="BM3998">
        <v>0.43</v>
      </c>
      <c r="BN3998">
        <v>0.93</v>
      </c>
      <c r="BO3998">
        <v>0.61</v>
      </c>
      <c r="BP3998">
        <v>-1.78</v>
      </c>
      <c r="BQ3998">
        <v>1.86</v>
      </c>
      <c r="BR3998">
        <v>-0.46</v>
      </c>
      <c r="BS3998">
        <v>-0.25</v>
      </c>
      <c r="BT3998">
        <v>1.1599999999999999</v>
      </c>
      <c r="BU3998">
        <v>1.79</v>
      </c>
      <c r="BV3998">
        <v>0.85</v>
      </c>
      <c r="BW3998">
        <v>1.71</v>
      </c>
      <c r="BX3998">
        <v>2.2400000000000002</v>
      </c>
      <c r="BY3998">
        <v>1.64</v>
      </c>
      <c r="BZ3998">
        <v>0.64</v>
      </c>
      <c r="CA3998">
        <v>1.57</v>
      </c>
      <c r="CB3998">
        <v>1.36</v>
      </c>
      <c r="CC3998">
        <v>1.24</v>
      </c>
      <c r="CD3998">
        <v>-0.21</v>
      </c>
      <c r="CE3998">
        <v>0.98</v>
      </c>
      <c r="CF3998">
        <v>2.02</v>
      </c>
      <c r="CG3998">
        <v>0</v>
      </c>
      <c r="CH3998">
        <v>0.93</v>
      </c>
      <c r="CI3998">
        <v>0</v>
      </c>
      <c r="CJ3998">
        <v>1.1000000000000001</v>
      </c>
      <c r="CK3998">
        <v>74</v>
      </c>
      <c r="CL3998">
        <v>-0.94</v>
      </c>
      <c r="CM3998">
        <v>71</v>
      </c>
      <c r="CN3998">
        <v>-0.44</v>
      </c>
      <c r="CO3998">
        <v>66</v>
      </c>
      <c r="CP3998">
        <v>8.3000000000000007</v>
      </c>
      <c r="CQ3998">
        <v>75</v>
      </c>
      <c r="CR3998">
        <v>0</v>
      </c>
      <c r="CS3998">
        <v>0</v>
      </c>
      <c r="CT3998">
        <v>27.1</v>
      </c>
      <c r="CU3998">
        <v>69</v>
      </c>
      <c r="CV3998">
        <v>0.28999999999999998</v>
      </c>
      <c r="CW3998">
        <v>20</v>
      </c>
      <c r="CX3998" t="s">
        <v>839</v>
      </c>
    </row>
    <row r="3999" spans="1:102" x14ac:dyDescent="0.3">
      <c r="A3999" t="str">
        <f>HYPERLINK("https://webapp.icbf.com/v2/app/bull-search/view/77856271","JBM")</f>
        <v>JBM</v>
      </c>
      <c r="B3999" t="s">
        <v>3462</v>
      </c>
      <c r="C3999" t="s">
        <v>3463</v>
      </c>
      <c r="D3999" s="1">
        <v>35126</v>
      </c>
      <c r="E3999" t="s">
        <v>92</v>
      </c>
      <c r="F3999">
        <v>94</v>
      </c>
      <c r="G3999" t="s">
        <v>93</v>
      </c>
      <c r="H3999">
        <v>-80.25</v>
      </c>
      <c r="I3999">
        <v>79</v>
      </c>
      <c r="J3999">
        <v>14.5</v>
      </c>
      <c r="K3999">
        <v>94</v>
      </c>
      <c r="L3999">
        <v>-78.27</v>
      </c>
      <c r="M3999">
        <v>76</v>
      </c>
      <c r="N3999">
        <v>-13.34</v>
      </c>
      <c r="O3999">
        <v>65</v>
      </c>
      <c r="P3999">
        <v>-10.57</v>
      </c>
      <c r="Q3999">
        <v>68</v>
      </c>
      <c r="R3999">
        <v>-5.81</v>
      </c>
      <c r="S3999">
        <v>75</v>
      </c>
      <c r="T3999">
        <v>20.86</v>
      </c>
      <c r="U3999">
        <v>67</v>
      </c>
      <c r="V3999">
        <v>-7.62</v>
      </c>
      <c r="W3999">
        <v>68</v>
      </c>
      <c r="X3999" t="s">
        <v>94</v>
      </c>
      <c r="Y3999" t="s">
        <v>95</v>
      </c>
      <c r="Z3999" t="s">
        <v>96</v>
      </c>
      <c r="AA3999" t="s">
        <v>105</v>
      </c>
      <c r="AB3999" t="s">
        <v>3464</v>
      </c>
      <c r="AC3999">
        <v>27</v>
      </c>
      <c r="AD3999">
        <v>20</v>
      </c>
      <c r="AE3999">
        <v>94</v>
      </c>
      <c r="AF3999">
        <v>-88.98</v>
      </c>
      <c r="AG3999">
        <v>3.97</v>
      </c>
      <c r="AH3999">
        <v>-0.3</v>
      </c>
      <c r="AI3999">
        <v>0.13</v>
      </c>
      <c r="AJ3999">
        <v>0.05</v>
      </c>
      <c r="AK3999">
        <v>76</v>
      </c>
      <c r="AL3999">
        <v>27</v>
      </c>
      <c r="AM3999">
        <v>17</v>
      </c>
      <c r="AN3999">
        <v>5.18</v>
      </c>
      <c r="AO3999">
        <v>-1.05</v>
      </c>
      <c r="AP3999">
        <v>8</v>
      </c>
      <c r="AQ3999">
        <v>0</v>
      </c>
      <c r="AR3999">
        <v>10.029999999999999</v>
      </c>
      <c r="AS3999">
        <v>58</v>
      </c>
      <c r="AT3999">
        <v>4.4800000000000004</v>
      </c>
      <c r="AU3999">
        <v>72</v>
      </c>
      <c r="AV3999">
        <v>-0.4</v>
      </c>
      <c r="AW3999">
        <v>65</v>
      </c>
      <c r="AX3999">
        <v>-0.23</v>
      </c>
      <c r="AY3999">
        <v>65</v>
      </c>
      <c r="AZ3999">
        <v>5</v>
      </c>
      <c r="BA3999">
        <v>50</v>
      </c>
      <c r="BB3999">
        <v>4.57</v>
      </c>
      <c r="BC3999">
        <v>58</v>
      </c>
      <c r="BD3999">
        <v>0.04</v>
      </c>
      <c r="BE3999">
        <v>0.03</v>
      </c>
      <c r="BF3999">
        <v>0.01</v>
      </c>
      <c r="BG3999">
        <v>84</v>
      </c>
      <c r="BH3999">
        <v>-0.17</v>
      </c>
      <c r="BI3999">
        <v>4.93</v>
      </c>
      <c r="BJ3999">
        <v>0</v>
      </c>
      <c r="BK3999">
        <v>0</v>
      </c>
      <c r="BL3999">
        <v>0.48</v>
      </c>
      <c r="BM3999">
        <v>0.71</v>
      </c>
      <c r="BN3999">
        <v>0.63</v>
      </c>
      <c r="BO3999">
        <v>0.18</v>
      </c>
      <c r="BP3999">
        <v>-0.92</v>
      </c>
      <c r="BQ3999">
        <v>-0.37</v>
      </c>
      <c r="BR3999">
        <v>-0.94</v>
      </c>
      <c r="BS3999">
        <v>0.03</v>
      </c>
      <c r="BT3999">
        <v>1.61</v>
      </c>
      <c r="BU3999">
        <v>-0.31</v>
      </c>
      <c r="BV3999">
        <v>0.5</v>
      </c>
      <c r="BW3999">
        <v>0.85</v>
      </c>
      <c r="BX3999">
        <v>-0.42</v>
      </c>
      <c r="BY3999">
        <v>0.26</v>
      </c>
      <c r="BZ3999">
        <v>0.51</v>
      </c>
      <c r="CA3999">
        <v>0.04</v>
      </c>
      <c r="CB3999">
        <v>0.17</v>
      </c>
      <c r="CC3999">
        <v>0</v>
      </c>
      <c r="CD3999">
        <v>0.35</v>
      </c>
      <c r="CE3999">
        <v>0.25</v>
      </c>
      <c r="CF3999">
        <v>0</v>
      </c>
      <c r="CG3999">
        <v>0</v>
      </c>
      <c r="CH3999">
        <v>-1.03</v>
      </c>
      <c r="CI3999">
        <v>0</v>
      </c>
      <c r="CJ3999">
        <v>-6.6</v>
      </c>
      <c r="CK3999">
        <v>69</v>
      </c>
      <c r="CL3999">
        <v>-0.46</v>
      </c>
      <c r="CM3999">
        <v>66</v>
      </c>
      <c r="CN3999">
        <v>-0.42</v>
      </c>
      <c r="CO3999">
        <v>62</v>
      </c>
      <c r="CP3999">
        <v>-10.9</v>
      </c>
      <c r="CQ3999">
        <v>77</v>
      </c>
      <c r="CR3999">
        <v>0</v>
      </c>
      <c r="CS3999">
        <v>0</v>
      </c>
      <c r="CT3999">
        <v>-14.4</v>
      </c>
      <c r="CU3999">
        <v>67</v>
      </c>
      <c r="CV3999">
        <v>-0.01</v>
      </c>
      <c r="CW3999">
        <v>39</v>
      </c>
      <c r="CX3999" t="s">
        <v>99</v>
      </c>
    </row>
    <row r="4000" spans="1:102" x14ac:dyDescent="0.3">
      <c r="A4000" t="str">
        <f>HYPERLINK("https://webapp.icbf.com/v2/app/bull-search/view/378258262","PGZ")</f>
        <v>PGZ</v>
      </c>
      <c r="B4000" t="s">
        <v>10070</v>
      </c>
      <c r="C4000" t="s">
        <v>1266</v>
      </c>
      <c r="D4000" s="1">
        <v>36213</v>
      </c>
      <c r="E4000" t="s">
        <v>92</v>
      </c>
      <c r="F4000">
        <v>100</v>
      </c>
      <c r="G4000" t="s">
        <v>93</v>
      </c>
      <c r="H4000">
        <v>-80.290000000000006</v>
      </c>
      <c r="I4000">
        <v>97</v>
      </c>
      <c r="J4000">
        <v>62.37</v>
      </c>
      <c r="K4000">
        <v>99</v>
      </c>
      <c r="L4000">
        <v>-128.91999999999999</v>
      </c>
      <c r="M4000">
        <v>93</v>
      </c>
      <c r="N4000">
        <v>-27.86</v>
      </c>
      <c r="O4000">
        <v>97</v>
      </c>
      <c r="P4000">
        <v>-3.05</v>
      </c>
      <c r="Q4000">
        <v>99</v>
      </c>
      <c r="R4000">
        <v>7.08</v>
      </c>
      <c r="S4000">
        <v>96</v>
      </c>
      <c r="T4000">
        <v>7.76</v>
      </c>
      <c r="U4000">
        <v>99</v>
      </c>
      <c r="V4000">
        <v>2.33</v>
      </c>
      <c r="W4000">
        <v>96</v>
      </c>
      <c r="X4000" t="s">
        <v>94</v>
      </c>
      <c r="Y4000" t="s">
        <v>95</v>
      </c>
      <c r="Z4000" t="s">
        <v>96</v>
      </c>
      <c r="AA4000" t="s">
        <v>1606</v>
      </c>
      <c r="AB4000" t="s">
        <v>10071</v>
      </c>
      <c r="AC4000">
        <v>1207</v>
      </c>
      <c r="AD4000">
        <v>407</v>
      </c>
      <c r="AE4000">
        <v>99</v>
      </c>
      <c r="AF4000">
        <v>138.75</v>
      </c>
      <c r="AG4000">
        <v>8.4</v>
      </c>
      <c r="AH4000">
        <v>9.76</v>
      </c>
      <c r="AI4000">
        <v>0.05</v>
      </c>
      <c r="AJ4000">
        <v>0.09</v>
      </c>
      <c r="AK4000">
        <v>93</v>
      </c>
      <c r="AL4000">
        <v>1259</v>
      </c>
      <c r="AM4000">
        <v>457</v>
      </c>
      <c r="AN4000">
        <v>7.12</v>
      </c>
      <c r="AO4000">
        <v>-3.16</v>
      </c>
      <c r="AP4000">
        <v>2365</v>
      </c>
      <c r="AQ4000">
        <v>5</v>
      </c>
      <c r="AR4000">
        <v>10.31</v>
      </c>
      <c r="AS4000">
        <v>95</v>
      </c>
      <c r="AT4000">
        <v>5.09</v>
      </c>
      <c r="AU4000">
        <v>98</v>
      </c>
      <c r="AV4000">
        <v>0.6</v>
      </c>
      <c r="AW4000">
        <v>99</v>
      </c>
      <c r="AX4000">
        <v>-0.6</v>
      </c>
      <c r="AY4000">
        <v>98</v>
      </c>
      <c r="AZ4000">
        <v>5.2</v>
      </c>
      <c r="BA4000">
        <v>94</v>
      </c>
      <c r="BB4000">
        <v>4.3600000000000003</v>
      </c>
      <c r="BC4000">
        <v>94</v>
      </c>
      <c r="BD4000">
        <v>0.02</v>
      </c>
      <c r="BE4000">
        <v>-0.04</v>
      </c>
      <c r="BF4000">
        <v>-0.12</v>
      </c>
      <c r="BG4000">
        <v>98</v>
      </c>
      <c r="BH4000">
        <v>0.09</v>
      </c>
      <c r="BI4000">
        <v>2.89</v>
      </c>
      <c r="BJ4000">
        <v>218</v>
      </c>
      <c r="BK4000">
        <v>84</v>
      </c>
      <c r="BL4000">
        <v>0.72</v>
      </c>
      <c r="BM4000">
        <v>-1.32</v>
      </c>
      <c r="BN4000">
        <v>-0.41</v>
      </c>
      <c r="BO4000">
        <v>0.42</v>
      </c>
      <c r="BP4000">
        <v>1.2</v>
      </c>
      <c r="BQ4000">
        <v>-0.42</v>
      </c>
      <c r="BR4000">
        <v>-0.46</v>
      </c>
      <c r="BS4000">
        <v>1.47</v>
      </c>
      <c r="BT4000">
        <v>0.35</v>
      </c>
      <c r="BU4000">
        <v>-0.44</v>
      </c>
      <c r="BV4000">
        <v>-0.01</v>
      </c>
      <c r="BW4000">
        <v>0.49</v>
      </c>
      <c r="BX4000">
        <v>0.33</v>
      </c>
      <c r="BY4000">
        <v>-0.88</v>
      </c>
      <c r="BZ4000">
        <v>0.89</v>
      </c>
      <c r="CA4000">
        <v>0.31</v>
      </c>
      <c r="CB4000">
        <v>0</v>
      </c>
      <c r="CC4000">
        <v>0.88</v>
      </c>
      <c r="CD4000">
        <v>-0.86</v>
      </c>
      <c r="CE4000">
        <v>0.38</v>
      </c>
      <c r="CF4000">
        <v>0.05</v>
      </c>
      <c r="CG4000">
        <v>0</v>
      </c>
      <c r="CH4000">
        <v>-0.74</v>
      </c>
      <c r="CI4000">
        <v>0</v>
      </c>
      <c r="CJ4000">
        <v>0.3</v>
      </c>
      <c r="CK4000">
        <v>99</v>
      </c>
      <c r="CL4000">
        <v>-0.86</v>
      </c>
      <c r="CM4000">
        <v>99</v>
      </c>
      <c r="CN4000">
        <v>-0.47</v>
      </c>
      <c r="CO4000">
        <v>99</v>
      </c>
      <c r="CP4000">
        <v>-0.6</v>
      </c>
      <c r="CQ4000">
        <v>99</v>
      </c>
      <c r="CR4000">
        <v>0</v>
      </c>
      <c r="CS4000">
        <v>0</v>
      </c>
      <c r="CT4000">
        <v>3.3</v>
      </c>
      <c r="CU4000">
        <v>99</v>
      </c>
      <c r="CV4000">
        <v>0.23</v>
      </c>
      <c r="CW4000">
        <v>46</v>
      </c>
      <c r="CX4000" t="s">
        <v>678</v>
      </c>
    </row>
    <row r="4001" spans="1:102" x14ac:dyDescent="0.3">
      <c r="A4001" t="str">
        <f>HYPERLINK("https://webapp.icbf.com/v2/app/bull-search/view/143572987","KKI")</f>
        <v>KKI</v>
      </c>
      <c r="B4001" t="s">
        <v>11795</v>
      </c>
      <c r="C4001" t="s">
        <v>11796</v>
      </c>
      <c r="D4001" s="1">
        <v>37003</v>
      </c>
      <c r="E4001" t="s">
        <v>92</v>
      </c>
      <c r="F4001">
        <v>100</v>
      </c>
      <c r="G4001" t="s">
        <v>93</v>
      </c>
      <c r="H4001">
        <v>-80.38</v>
      </c>
      <c r="I4001">
        <v>88</v>
      </c>
      <c r="J4001">
        <v>59.65</v>
      </c>
      <c r="K4001">
        <v>97</v>
      </c>
      <c r="L4001">
        <v>-142.69999999999999</v>
      </c>
      <c r="M4001">
        <v>81</v>
      </c>
      <c r="N4001">
        <v>12.9</v>
      </c>
      <c r="O4001">
        <v>86</v>
      </c>
      <c r="P4001">
        <v>-13.24</v>
      </c>
      <c r="Q4001">
        <v>94</v>
      </c>
      <c r="R4001">
        <v>-3.93</v>
      </c>
      <c r="S4001">
        <v>81</v>
      </c>
      <c r="T4001">
        <v>4.3499999999999996</v>
      </c>
      <c r="U4001">
        <v>87</v>
      </c>
      <c r="V4001">
        <v>2.59</v>
      </c>
      <c r="W4001">
        <v>74</v>
      </c>
      <c r="X4001" t="s">
        <v>94</v>
      </c>
      <c r="Y4001" t="s">
        <v>95</v>
      </c>
      <c r="Z4001" t="s">
        <v>96</v>
      </c>
      <c r="AA4001" t="s">
        <v>273</v>
      </c>
      <c r="AB4001" t="s">
        <v>11797</v>
      </c>
      <c r="AC4001">
        <v>99</v>
      </c>
      <c r="AD4001">
        <v>84</v>
      </c>
      <c r="AE4001">
        <v>97</v>
      </c>
      <c r="AF4001">
        <v>257.18</v>
      </c>
      <c r="AG4001">
        <v>10.32</v>
      </c>
      <c r="AH4001">
        <v>10.43</v>
      </c>
      <c r="AI4001">
        <v>0.01</v>
      </c>
      <c r="AJ4001">
        <v>0.03</v>
      </c>
      <c r="AK4001">
        <v>81</v>
      </c>
      <c r="AL4001">
        <v>93</v>
      </c>
      <c r="AM4001">
        <v>71</v>
      </c>
      <c r="AN4001">
        <v>7.77</v>
      </c>
      <c r="AO4001">
        <v>-3.61</v>
      </c>
      <c r="AP4001">
        <v>193</v>
      </c>
      <c r="AQ4001">
        <v>0</v>
      </c>
      <c r="AR4001">
        <v>7.81</v>
      </c>
      <c r="AS4001">
        <v>73</v>
      </c>
      <c r="AT4001">
        <v>3.82</v>
      </c>
      <c r="AU4001">
        <v>88</v>
      </c>
      <c r="AV4001">
        <v>-2.27</v>
      </c>
      <c r="AW4001">
        <v>95</v>
      </c>
      <c r="AX4001">
        <v>0.68</v>
      </c>
      <c r="AY4001">
        <v>83</v>
      </c>
      <c r="AZ4001">
        <v>6.14</v>
      </c>
      <c r="BA4001">
        <v>67</v>
      </c>
      <c r="BB4001">
        <v>4.3099999999999996</v>
      </c>
      <c r="BC4001">
        <v>67</v>
      </c>
      <c r="BD4001">
        <v>-0.04</v>
      </c>
      <c r="BE4001">
        <v>0.03</v>
      </c>
      <c r="BF4001">
        <v>0.1</v>
      </c>
      <c r="BG4001">
        <v>90</v>
      </c>
      <c r="BH4001">
        <v>0.08</v>
      </c>
      <c r="BI4001">
        <v>0.9</v>
      </c>
      <c r="BJ4001">
        <v>34</v>
      </c>
      <c r="BK4001">
        <v>27</v>
      </c>
      <c r="BL4001">
        <v>0.15</v>
      </c>
      <c r="BM4001">
        <v>0.55000000000000004</v>
      </c>
      <c r="BN4001">
        <v>0.92</v>
      </c>
      <c r="BO4001">
        <v>0.34</v>
      </c>
      <c r="BP4001">
        <v>1.84</v>
      </c>
      <c r="BQ4001">
        <v>0.16</v>
      </c>
      <c r="BR4001">
        <v>-0.75</v>
      </c>
      <c r="BS4001">
        <v>0.4</v>
      </c>
      <c r="BT4001">
        <v>0.1</v>
      </c>
      <c r="BU4001">
        <v>0.28999999999999998</v>
      </c>
      <c r="BV4001">
        <v>0.51</v>
      </c>
      <c r="BW4001">
        <v>0.26</v>
      </c>
      <c r="BX4001">
        <v>-0.28000000000000003</v>
      </c>
      <c r="BY4001">
        <v>0.83</v>
      </c>
      <c r="BZ4001">
        <v>1.63</v>
      </c>
      <c r="CA4001">
        <v>0.46</v>
      </c>
      <c r="CB4001">
        <v>0.69</v>
      </c>
      <c r="CC4001">
        <v>-0.04</v>
      </c>
      <c r="CD4001">
        <v>0.02</v>
      </c>
      <c r="CE4001">
        <v>0.54</v>
      </c>
      <c r="CF4001">
        <v>0.26</v>
      </c>
      <c r="CG4001">
        <v>0</v>
      </c>
      <c r="CH4001">
        <v>0.81</v>
      </c>
      <c r="CI4001">
        <v>0</v>
      </c>
      <c r="CJ4001">
        <v>-3.1</v>
      </c>
      <c r="CK4001">
        <v>95</v>
      </c>
      <c r="CL4001">
        <v>-1.0900000000000001</v>
      </c>
      <c r="CM4001">
        <v>93</v>
      </c>
      <c r="CN4001">
        <v>-0.24</v>
      </c>
      <c r="CO4001">
        <v>92</v>
      </c>
      <c r="CP4001">
        <v>-3.5</v>
      </c>
      <c r="CQ4001">
        <v>91</v>
      </c>
      <c r="CR4001">
        <v>0</v>
      </c>
      <c r="CS4001">
        <v>0</v>
      </c>
      <c r="CT4001">
        <v>7.9</v>
      </c>
      <c r="CU4001">
        <v>87</v>
      </c>
      <c r="CV4001">
        <v>0.25</v>
      </c>
      <c r="CW4001">
        <v>45</v>
      </c>
      <c r="CX4001" t="s">
        <v>836</v>
      </c>
    </row>
    <row r="4002" spans="1:102" x14ac:dyDescent="0.3">
      <c r="A4002" t="str">
        <f>HYPERLINK("https://webapp.icbf.com/v2/app/bull-search/view/69091399","CWG")</f>
        <v>CWG</v>
      </c>
      <c r="B4002" t="s">
        <v>6894</v>
      </c>
      <c r="C4002" t="s">
        <v>6895</v>
      </c>
      <c r="D4002" s="1">
        <v>32694</v>
      </c>
      <c r="E4002" t="s">
        <v>1061</v>
      </c>
      <c r="F4002">
        <v>0</v>
      </c>
      <c r="G4002" t="s">
        <v>109</v>
      </c>
      <c r="H4002">
        <v>-80.400000000000006</v>
      </c>
      <c r="I4002">
        <v>70</v>
      </c>
      <c r="J4002">
        <v>-91.73</v>
      </c>
      <c r="K4002">
        <v>78</v>
      </c>
      <c r="L4002">
        <v>24.12</v>
      </c>
      <c r="M4002">
        <v>74</v>
      </c>
      <c r="N4002">
        <v>-2.4900000000000002</v>
      </c>
      <c r="O4002">
        <v>51</v>
      </c>
      <c r="P4002">
        <v>-46.46</v>
      </c>
      <c r="Q4002">
        <v>77</v>
      </c>
      <c r="R4002">
        <v>6.78</v>
      </c>
      <c r="S4002">
        <v>44</v>
      </c>
      <c r="T4002">
        <v>30.33</v>
      </c>
      <c r="U4002">
        <v>68</v>
      </c>
      <c r="V4002">
        <v>-0.95</v>
      </c>
      <c r="W4002">
        <v>36</v>
      </c>
      <c r="X4002" t="s">
        <v>94</v>
      </c>
      <c r="Y4002" t="s">
        <v>95</v>
      </c>
      <c r="Z4002">
        <v>0</v>
      </c>
      <c r="AA4002" t="s">
        <v>6896</v>
      </c>
      <c r="AB4002" t="s">
        <v>6897</v>
      </c>
      <c r="AC4002">
        <v>0</v>
      </c>
      <c r="AD4002">
        <v>0</v>
      </c>
      <c r="AE4002">
        <v>78</v>
      </c>
      <c r="AF4002">
        <v>-306.88</v>
      </c>
      <c r="AG4002">
        <v>-13.31</v>
      </c>
      <c r="AH4002">
        <v>-15.59</v>
      </c>
      <c r="AI4002">
        <v>-0.02</v>
      </c>
      <c r="AJ4002">
        <v>-0.09</v>
      </c>
      <c r="AK4002">
        <v>74</v>
      </c>
      <c r="AL4002">
        <v>0</v>
      </c>
      <c r="AM4002">
        <v>0</v>
      </c>
      <c r="AN4002">
        <v>-0.05</v>
      </c>
      <c r="AO4002">
        <v>1.89</v>
      </c>
      <c r="AP4002">
        <v>13</v>
      </c>
      <c r="AQ4002">
        <v>1</v>
      </c>
      <c r="AR4002">
        <v>5.9</v>
      </c>
      <c r="AS4002">
        <v>20</v>
      </c>
      <c r="AT4002">
        <v>2.48</v>
      </c>
      <c r="AU4002">
        <v>41</v>
      </c>
      <c r="AV4002">
        <v>1.59</v>
      </c>
      <c r="AW4002">
        <v>72</v>
      </c>
      <c r="AX4002">
        <v>0.14000000000000001</v>
      </c>
      <c r="AY4002">
        <v>59</v>
      </c>
      <c r="AZ4002">
        <v>6.28</v>
      </c>
      <c r="BA4002">
        <v>15</v>
      </c>
      <c r="BB4002">
        <v>4.8</v>
      </c>
      <c r="BC4002">
        <v>27</v>
      </c>
      <c r="BD4002">
        <v>-0.03</v>
      </c>
      <c r="BE4002">
        <v>-0.04</v>
      </c>
      <c r="BF4002">
        <v>-0.03</v>
      </c>
      <c r="BG4002">
        <v>56</v>
      </c>
      <c r="BH4002">
        <v>-0.15</v>
      </c>
      <c r="BI4002">
        <v>-14.28</v>
      </c>
      <c r="BJ4002">
        <v>0</v>
      </c>
      <c r="BK4002">
        <v>0</v>
      </c>
      <c r="BL4002">
        <v>-0.62</v>
      </c>
      <c r="BM4002">
        <v>0.36</v>
      </c>
      <c r="BN4002">
        <v>-0.54</v>
      </c>
      <c r="BO4002">
        <v>-0.64</v>
      </c>
      <c r="BP4002">
        <v>0.31</v>
      </c>
      <c r="BQ4002">
        <v>-0.2</v>
      </c>
      <c r="BR4002">
        <v>0.25</v>
      </c>
      <c r="BS4002">
        <v>-0.25</v>
      </c>
      <c r="BT4002">
        <v>-0.17</v>
      </c>
      <c r="BU4002">
        <v>-0.41</v>
      </c>
      <c r="BV4002">
        <v>-0.78</v>
      </c>
      <c r="BW4002">
        <v>-0.7</v>
      </c>
      <c r="BX4002">
        <v>-0.31</v>
      </c>
      <c r="BY4002">
        <v>-0.44</v>
      </c>
      <c r="BZ4002">
        <v>-0.15</v>
      </c>
      <c r="CA4002">
        <v>-0.63</v>
      </c>
      <c r="CB4002">
        <v>-0.64</v>
      </c>
      <c r="CC4002">
        <v>-0.37</v>
      </c>
      <c r="CD4002">
        <v>0.5</v>
      </c>
      <c r="CE4002">
        <v>-0.67</v>
      </c>
      <c r="CF4002">
        <v>-0.72</v>
      </c>
      <c r="CG4002">
        <v>0</v>
      </c>
      <c r="CH4002">
        <v>-0.68</v>
      </c>
      <c r="CI4002">
        <v>0</v>
      </c>
      <c r="CJ4002">
        <v>-25.2</v>
      </c>
      <c r="CK4002">
        <v>79</v>
      </c>
      <c r="CL4002">
        <v>-0.95</v>
      </c>
      <c r="CM4002">
        <v>74</v>
      </c>
      <c r="CN4002">
        <v>-0.12</v>
      </c>
      <c r="CO4002">
        <v>70</v>
      </c>
      <c r="CP4002">
        <v>-21.9</v>
      </c>
      <c r="CQ4002">
        <v>77</v>
      </c>
      <c r="CR4002">
        <v>0</v>
      </c>
      <c r="CS4002">
        <v>0</v>
      </c>
      <c r="CT4002">
        <v>-27.2</v>
      </c>
      <c r="CU4002">
        <v>68</v>
      </c>
      <c r="CV4002">
        <v>-0.27</v>
      </c>
      <c r="CW4002">
        <v>21</v>
      </c>
      <c r="CX4002" t="s">
        <v>6898</v>
      </c>
    </row>
    <row r="4003" spans="1:102" x14ac:dyDescent="0.3">
      <c r="A4003" t="str">
        <f>HYPERLINK("https://webapp.icbf.com/v2/app/bull-search/view/77854729","PFF")</f>
        <v>PFF</v>
      </c>
      <c r="B4003" t="s">
        <v>9900</v>
      </c>
      <c r="C4003" t="s">
        <v>9901</v>
      </c>
      <c r="D4003" s="1">
        <v>35322</v>
      </c>
      <c r="E4003" t="s">
        <v>92</v>
      </c>
      <c r="F4003">
        <v>97</v>
      </c>
      <c r="G4003" t="s">
        <v>93</v>
      </c>
      <c r="H4003">
        <v>-80.63</v>
      </c>
      <c r="I4003">
        <v>72</v>
      </c>
      <c r="J4003">
        <v>-6.69</v>
      </c>
      <c r="K4003">
        <v>92</v>
      </c>
      <c r="L4003">
        <v>-77.02</v>
      </c>
      <c r="M4003">
        <v>58</v>
      </c>
      <c r="N4003">
        <v>8.5299999999999994</v>
      </c>
      <c r="O4003">
        <v>58</v>
      </c>
      <c r="P4003">
        <v>-4.75</v>
      </c>
      <c r="Q4003">
        <v>78</v>
      </c>
      <c r="R4003">
        <v>-22.88</v>
      </c>
      <c r="S4003">
        <v>63</v>
      </c>
      <c r="T4003">
        <v>20.56</v>
      </c>
      <c r="U4003">
        <v>87</v>
      </c>
      <c r="V4003">
        <v>1.62</v>
      </c>
      <c r="W4003">
        <v>35</v>
      </c>
      <c r="X4003" t="s">
        <v>94</v>
      </c>
      <c r="Y4003" t="s">
        <v>95</v>
      </c>
      <c r="Z4003" t="s">
        <v>96</v>
      </c>
      <c r="AA4003" t="s">
        <v>3915</v>
      </c>
      <c r="AB4003" t="s">
        <v>9902</v>
      </c>
      <c r="AC4003">
        <v>54</v>
      </c>
      <c r="AD4003">
        <v>51</v>
      </c>
      <c r="AE4003">
        <v>92</v>
      </c>
      <c r="AF4003">
        <v>157.53</v>
      </c>
      <c r="AG4003">
        <v>-2.14</v>
      </c>
      <c r="AH4003">
        <v>2.0299999999999998</v>
      </c>
      <c r="AI4003">
        <v>-0.13</v>
      </c>
      <c r="AJ4003">
        <v>-0.05</v>
      </c>
      <c r="AK4003">
        <v>58</v>
      </c>
      <c r="AL4003">
        <v>53</v>
      </c>
      <c r="AM4003">
        <v>50</v>
      </c>
      <c r="AN4003">
        <v>4.38</v>
      </c>
      <c r="AO4003">
        <v>-1.76</v>
      </c>
      <c r="AP4003">
        <v>2</v>
      </c>
      <c r="AQ4003">
        <v>0</v>
      </c>
      <c r="AR4003">
        <v>5.17</v>
      </c>
      <c r="AS4003">
        <v>35</v>
      </c>
      <c r="AT4003">
        <v>2.39</v>
      </c>
      <c r="AU4003">
        <v>55</v>
      </c>
      <c r="AV4003">
        <v>-0.64</v>
      </c>
      <c r="AW4003">
        <v>64</v>
      </c>
      <c r="AX4003">
        <v>2.08</v>
      </c>
      <c r="AY4003">
        <v>73</v>
      </c>
      <c r="AZ4003">
        <v>7.02</v>
      </c>
      <c r="BA4003">
        <v>36</v>
      </c>
      <c r="BB4003">
        <v>5.35</v>
      </c>
      <c r="BC4003">
        <v>51</v>
      </c>
      <c r="BD4003">
        <v>0.06</v>
      </c>
      <c r="BE4003">
        <v>0.14000000000000001</v>
      </c>
      <c r="BF4003">
        <v>0.16</v>
      </c>
      <c r="BG4003">
        <v>75</v>
      </c>
      <c r="BH4003">
        <v>0.04</v>
      </c>
      <c r="BI4003">
        <v>-0.61</v>
      </c>
      <c r="BJ4003">
        <v>1</v>
      </c>
      <c r="BK4003">
        <v>1</v>
      </c>
      <c r="BL4003">
        <v>0.27</v>
      </c>
      <c r="BM4003">
        <v>-0.63</v>
      </c>
      <c r="BN4003">
        <v>0.32</v>
      </c>
      <c r="BO4003">
        <v>0.72</v>
      </c>
      <c r="BP4003">
        <v>1.06</v>
      </c>
      <c r="BQ4003">
        <v>-0.97</v>
      </c>
      <c r="BR4003">
        <v>1.0900000000000001</v>
      </c>
      <c r="BS4003">
        <v>-0.13</v>
      </c>
      <c r="BT4003">
        <v>-0.84</v>
      </c>
      <c r="BU4003">
        <v>0.28000000000000003</v>
      </c>
      <c r="BV4003">
        <v>0.28000000000000003</v>
      </c>
      <c r="BW4003">
        <v>0.6</v>
      </c>
      <c r="BX4003">
        <v>-0.16</v>
      </c>
      <c r="BY4003">
        <v>-0.96</v>
      </c>
      <c r="BZ4003">
        <v>0.08</v>
      </c>
      <c r="CA4003">
        <v>0.37</v>
      </c>
      <c r="CB4003">
        <v>0.37</v>
      </c>
      <c r="CC4003">
        <v>0.25</v>
      </c>
      <c r="CD4003">
        <v>-0.84</v>
      </c>
      <c r="CE4003">
        <v>0.79</v>
      </c>
      <c r="CF4003">
        <v>0.3</v>
      </c>
      <c r="CG4003">
        <v>0</v>
      </c>
      <c r="CH4003">
        <v>0.12</v>
      </c>
      <c r="CI4003">
        <v>0</v>
      </c>
      <c r="CJ4003">
        <v>-2.1</v>
      </c>
      <c r="CK4003">
        <v>79</v>
      </c>
      <c r="CL4003">
        <v>-0.35</v>
      </c>
      <c r="CM4003">
        <v>76</v>
      </c>
      <c r="CN4003">
        <v>-0.3</v>
      </c>
      <c r="CO4003">
        <v>72</v>
      </c>
      <c r="CP4003">
        <v>-11.7</v>
      </c>
      <c r="CQ4003">
        <v>85</v>
      </c>
      <c r="CR4003">
        <v>0</v>
      </c>
      <c r="CS4003">
        <v>0</v>
      </c>
      <c r="CT4003">
        <v>-14</v>
      </c>
      <c r="CU4003">
        <v>87</v>
      </c>
      <c r="CV4003">
        <v>0.11</v>
      </c>
      <c r="CW4003">
        <v>22</v>
      </c>
      <c r="CX4003" t="s">
        <v>193</v>
      </c>
    </row>
    <row r="4004" spans="1:102" x14ac:dyDescent="0.3">
      <c r="A4004" t="str">
        <f>HYPERLINK("https://webapp.icbf.com/v2/app/bull-search/view/77859382","ASI")</f>
        <v>ASI</v>
      </c>
      <c r="B4004" t="s">
        <v>11789</v>
      </c>
      <c r="C4004" t="s">
        <v>2898</v>
      </c>
      <c r="D4004" s="1">
        <v>32884</v>
      </c>
      <c r="E4004" t="s">
        <v>92</v>
      </c>
      <c r="F4004">
        <v>100</v>
      </c>
      <c r="G4004" t="s">
        <v>93</v>
      </c>
      <c r="H4004">
        <v>-80.66</v>
      </c>
      <c r="I4004">
        <v>99</v>
      </c>
      <c r="J4004">
        <v>24.18</v>
      </c>
      <c r="K4004">
        <v>99</v>
      </c>
      <c r="L4004">
        <v>-86.71</v>
      </c>
      <c r="M4004">
        <v>98</v>
      </c>
      <c r="N4004">
        <v>0.76</v>
      </c>
      <c r="O4004">
        <v>99</v>
      </c>
      <c r="P4004">
        <v>-5.61</v>
      </c>
      <c r="Q4004">
        <v>99</v>
      </c>
      <c r="R4004">
        <v>-15.02</v>
      </c>
      <c r="S4004">
        <v>98</v>
      </c>
      <c r="T4004">
        <v>2.95</v>
      </c>
      <c r="U4004">
        <v>99</v>
      </c>
      <c r="V4004">
        <v>-1.21</v>
      </c>
      <c r="W4004">
        <v>98</v>
      </c>
      <c r="X4004" t="s">
        <v>94</v>
      </c>
      <c r="Y4004" t="s">
        <v>95</v>
      </c>
      <c r="Z4004" t="s">
        <v>96</v>
      </c>
      <c r="AA4004" t="s">
        <v>111</v>
      </c>
      <c r="AB4004" t="s">
        <v>11790</v>
      </c>
      <c r="AC4004">
        <v>7863</v>
      </c>
      <c r="AD4004">
        <v>2203</v>
      </c>
      <c r="AE4004">
        <v>99</v>
      </c>
      <c r="AF4004">
        <v>211.52</v>
      </c>
      <c r="AG4004">
        <v>1.64</v>
      </c>
      <c r="AH4004">
        <v>6.77</v>
      </c>
      <c r="AI4004">
        <v>-0.11</v>
      </c>
      <c r="AJ4004">
        <v>-0.01</v>
      </c>
      <c r="AK4004">
        <v>98</v>
      </c>
      <c r="AL4004">
        <v>7972</v>
      </c>
      <c r="AM4004">
        <v>2521</v>
      </c>
      <c r="AN4004">
        <v>4.32</v>
      </c>
      <c r="AO4004">
        <v>-2.6</v>
      </c>
      <c r="AP4004">
        <v>5290</v>
      </c>
      <c r="AQ4004">
        <v>12</v>
      </c>
      <c r="AR4004">
        <v>7.24</v>
      </c>
      <c r="AS4004">
        <v>99</v>
      </c>
      <c r="AT4004">
        <v>2.89</v>
      </c>
      <c r="AU4004">
        <v>99</v>
      </c>
      <c r="AV4004">
        <v>-0.35</v>
      </c>
      <c r="AW4004">
        <v>99</v>
      </c>
      <c r="AX4004">
        <v>0.14000000000000001</v>
      </c>
      <c r="AY4004">
        <v>99</v>
      </c>
      <c r="AZ4004">
        <v>7.6</v>
      </c>
      <c r="BA4004">
        <v>99</v>
      </c>
      <c r="BB4004">
        <v>5.54</v>
      </c>
      <c r="BC4004">
        <v>99</v>
      </c>
      <c r="BD4004">
        <v>0.11</v>
      </c>
      <c r="BE4004">
        <v>0.08</v>
      </c>
      <c r="BF4004">
        <v>0.01</v>
      </c>
      <c r="BG4004">
        <v>99</v>
      </c>
      <c r="BH4004">
        <v>0.15</v>
      </c>
      <c r="BI4004">
        <v>21.24</v>
      </c>
      <c r="BJ4004">
        <v>533</v>
      </c>
      <c r="BK4004">
        <v>278</v>
      </c>
      <c r="BL4004">
        <v>0.44</v>
      </c>
      <c r="BM4004">
        <v>2.13</v>
      </c>
      <c r="BN4004">
        <v>1.34</v>
      </c>
      <c r="BO4004">
        <v>-0.26</v>
      </c>
      <c r="BP4004">
        <v>1</v>
      </c>
      <c r="BQ4004">
        <v>1.5</v>
      </c>
      <c r="BR4004">
        <v>0.83</v>
      </c>
      <c r="BS4004">
        <v>0.02</v>
      </c>
      <c r="BT4004">
        <v>-0.47</v>
      </c>
      <c r="BU4004">
        <v>0.06</v>
      </c>
      <c r="BV4004">
        <v>-0.82</v>
      </c>
      <c r="BW4004">
        <v>-0.92</v>
      </c>
      <c r="BX4004">
        <v>-0.89</v>
      </c>
      <c r="BY4004">
        <v>-0.16</v>
      </c>
      <c r="BZ4004">
        <v>-0.7</v>
      </c>
      <c r="CA4004">
        <v>0.02</v>
      </c>
      <c r="CB4004">
        <v>-0.08</v>
      </c>
      <c r="CC4004">
        <v>0.4</v>
      </c>
      <c r="CD4004">
        <v>1.1000000000000001</v>
      </c>
      <c r="CE4004">
        <v>-7.0000000000000007E-2</v>
      </c>
      <c r="CF4004">
        <v>1.42</v>
      </c>
      <c r="CG4004">
        <v>0</v>
      </c>
      <c r="CH4004">
        <v>-0.13</v>
      </c>
      <c r="CI4004">
        <v>0</v>
      </c>
      <c r="CJ4004">
        <v>3.2</v>
      </c>
      <c r="CK4004">
        <v>99</v>
      </c>
      <c r="CL4004">
        <v>-0.78</v>
      </c>
      <c r="CM4004">
        <v>99</v>
      </c>
      <c r="CN4004">
        <v>0.16</v>
      </c>
      <c r="CO4004">
        <v>99</v>
      </c>
      <c r="CP4004">
        <v>-0.7</v>
      </c>
      <c r="CQ4004">
        <v>99</v>
      </c>
      <c r="CR4004">
        <v>0</v>
      </c>
      <c r="CS4004">
        <v>0</v>
      </c>
      <c r="CT4004">
        <v>9.8000000000000007</v>
      </c>
      <c r="CU4004">
        <v>99</v>
      </c>
      <c r="CV4004">
        <v>0.28000000000000003</v>
      </c>
      <c r="CW4004">
        <v>47</v>
      </c>
      <c r="CX4004" t="s">
        <v>166</v>
      </c>
    </row>
    <row r="4005" spans="1:102" x14ac:dyDescent="0.3">
      <c r="A4005" t="str">
        <f>HYPERLINK("https://webapp.icbf.com/v2/app/bull-search/view/77858923","CIV")</f>
        <v>CIV</v>
      </c>
      <c r="B4005" t="s">
        <v>7270</v>
      </c>
      <c r="C4005" t="s">
        <v>7271</v>
      </c>
      <c r="D4005" s="1">
        <v>33841</v>
      </c>
      <c r="E4005" t="s">
        <v>92</v>
      </c>
      <c r="F4005">
        <v>100</v>
      </c>
      <c r="G4005" t="s">
        <v>93</v>
      </c>
      <c r="H4005">
        <v>-80.72</v>
      </c>
      <c r="I4005">
        <v>79</v>
      </c>
      <c r="J4005">
        <v>-38.21</v>
      </c>
      <c r="K4005">
        <v>95</v>
      </c>
      <c r="L4005">
        <v>-60.61</v>
      </c>
      <c r="M4005">
        <v>72</v>
      </c>
      <c r="N4005">
        <v>25.52</v>
      </c>
      <c r="O4005">
        <v>68</v>
      </c>
      <c r="P4005">
        <v>-13.8</v>
      </c>
      <c r="Q4005">
        <v>82</v>
      </c>
      <c r="R4005">
        <v>-11.87</v>
      </c>
      <c r="S4005">
        <v>73</v>
      </c>
      <c r="T4005">
        <v>17.53</v>
      </c>
      <c r="U4005">
        <v>80</v>
      </c>
      <c r="V4005">
        <v>0.72</v>
      </c>
      <c r="W4005">
        <v>38</v>
      </c>
      <c r="X4005" t="s">
        <v>94</v>
      </c>
      <c r="Y4005" t="s">
        <v>95</v>
      </c>
      <c r="Z4005" t="s">
        <v>96</v>
      </c>
      <c r="AA4005" t="s">
        <v>161</v>
      </c>
      <c r="AB4005" t="s">
        <v>7272</v>
      </c>
      <c r="AC4005">
        <v>105</v>
      </c>
      <c r="AD4005">
        <v>88</v>
      </c>
      <c r="AE4005">
        <v>95</v>
      </c>
      <c r="AF4005">
        <v>53.34</v>
      </c>
      <c r="AG4005">
        <v>-3.85</v>
      </c>
      <c r="AH4005">
        <v>-4.32</v>
      </c>
      <c r="AI4005">
        <v>-0.1</v>
      </c>
      <c r="AJ4005">
        <v>-0.1</v>
      </c>
      <c r="AK4005">
        <v>72</v>
      </c>
      <c r="AL4005">
        <v>167</v>
      </c>
      <c r="AM4005">
        <v>113</v>
      </c>
      <c r="AN4005">
        <v>2.78</v>
      </c>
      <c r="AO4005">
        <v>-2.06</v>
      </c>
      <c r="AP4005">
        <v>3</v>
      </c>
      <c r="AQ4005">
        <v>0</v>
      </c>
      <c r="AR4005">
        <v>5.76</v>
      </c>
      <c r="AS4005">
        <v>41</v>
      </c>
      <c r="AT4005">
        <v>2.87</v>
      </c>
      <c r="AU4005">
        <v>65</v>
      </c>
      <c r="AV4005">
        <v>-2.09</v>
      </c>
      <c r="AW4005">
        <v>76</v>
      </c>
      <c r="AX4005">
        <v>-0.34</v>
      </c>
      <c r="AY4005">
        <v>78</v>
      </c>
      <c r="AZ4005">
        <v>6.41</v>
      </c>
      <c r="BA4005">
        <v>42</v>
      </c>
      <c r="BB4005">
        <v>4.7300000000000004</v>
      </c>
      <c r="BC4005">
        <v>64</v>
      </c>
      <c r="BD4005">
        <v>0.03</v>
      </c>
      <c r="BE4005">
        <v>7.0000000000000007E-2</v>
      </c>
      <c r="BF4005">
        <v>0.09</v>
      </c>
      <c r="BG4005">
        <v>91</v>
      </c>
      <c r="BH4005">
        <v>7.0000000000000007E-2</v>
      </c>
      <c r="BI4005">
        <v>5.78</v>
      </c>
      <c r="BJ4005">
        <v>29</v>
      </c>
      <c r="BK4005">
        <v>22</v>
      </c>
      <c r="BL4005">
        <v>0.36</v>
      </c>
      <c r="BM4005">
        <v>-1.28</v>
      </c>
      <c r="BN4005">
        <v>-0.23</v>
      </c>
      <c r="BO4005">
        <v>0.41</v>
      </c>
      <c r="BP4005">
        <v>-1.3</v>
      </c>
      <c r="BQ4005">
        <v>-1.79</v>
      </c>
      <c r="BR4005">
        <v>-0.63</v>
      </c>
      <c r="BS4005">
        <v>-0.04</v>
      </c>
      <c r="BT4005">
        <v>-0.04</v>
      </c>
      <c r="BU4005">
        <v>-0.37</v>
      </c>
      <c r="BV4005">
        <v>0.45</v>
      </c>
      <c r="BW4005">
        <v>0.92</v>
      </c>
      <c r="BX4005">
        <v>1.47</v>
      </c>
      <c r="BY4005">
        <v>-2.13</v>
      </c>
      <c r="BZ4005">
        <v>0.66</v>
      </c>
      <c r="CA4005">
        <v>-0.01</v>
      </c>
      <c r="CB4005">
        <v>-0.15</v>
      </c>
      <c r="CC4005">
        <v>0.49</v>
      </c>
      <c r="CD4005">
        <v>-0.83</v>
      </c>
      <c r="CE4005">
        <v>7.0000000000000007E-2</v>
      </c>
      <c r="CF4005">
        <v>0.02</v>
      </c>
      <c r="CG4005">
        <v>0</v>
      </c>
      <c r="CH4005">
        <v>0</v>
      </c>
      <c r="CI4005">
        <v>0</v>
      </c>
      <c r="CJ4005">
        <v>-6</v>
      </c>
      <c r="CK4005">
        <v>83</v>
      </c>
      <c r="CL4005">
        <v>-0.82</v>
      </c>
      <c r="CM4005">
        <v>80</v>
      </c>
      <c r="CN4005">
        <v>-0.34</v>
      </c>
      <c r="CO4005">
        <v>78</v>
      </c>
      <c r="CP4005">
        <v>-6.9</v>
      </c>
      <c r="CQ4005">
        <v>89</v>
      </c>
      <c r="CR4005">
        <v>0</v>
      </c>
      <c r="CS4005">
        <v>0</v>
      </c>
      <c r="CT4005">
        <v>-9.9</v>
      </c>
      <c r="CU4005">
        <v>80</v>
      </c>
      <c r="CV4005">
        <v>0.18</v>
      </c>
      <c r="CW4005">
        <v>23</v>
      </c>
      <c r="CX4005" t="s">
        <v>2615</v>
      </c>
    </row>
    <row r="4006" spans="1:102" x14ac:dyDescent="0.3">
      <c r="A4006" t="str">
        <f>HYPERLINK("https://webapp.icbf.com/v2/app/bull-search/view/495513820","S1378")</f>
        <v>S1378</v>
      </c>
      <c r="B4006" t="s">
        <v>3063</v>
      </c>
      <c r="C4006" t="s">
        <v>3064</v>
      </c>
      <c r="D4006" s="1">
        <v>36814</v>
      </c>
      <c r="E4006" t="s">
        <v>92</v>
      </c>
      <c r="F4006">
        <v>100</v>
      </c>
      <c r="G4006" t="s">
        <v>109</v>
      </c>
      <c r="H4006">
        <v>-80.739999999999995</v>
      </c>
      <c r="I4006">
        <v>60</v>
      </c>
      <c r="J4006">
        <v>-39.659999999999997</v>
      </c>
      <c r="K4006">
        <v>71</v>
      </c>
      <c r="L4006">
        <v>-14.1</v>
      </c>
      <c r="M4006">
        <v>68</v>
      </c>
      <c r="N4006">
        <v>-13.24</v>
      </c>
      <c r="O4006">
        <v>47</v>
      </c>
      <c r="P4006">
        <v>-9.2200000000000006</v>
      </c>
      <c r="Q4006">
        <v>42</v>
      </c>
      <c r="R4006">
        <v>-6.84</v>
      </c>
      <c r="S4006">
        <v>61</v>
      </c>
      <c r="T4006">
        <v>5.61</v>
      </c>
      <c r="U4006">
        <v>33</v>
      </c>
      <c r="V4006">
        <v>-3.29</v>
      </c>
      <c r="W4006">
        <v>26</v>
      </c>
      <c r="X4006" t="s">
        <v>110</v>
      </c>
      <c r="Y4006" t="s">
        <v>342</v>
      </c>
      <c r="Z4006" t="s">
        <v>96</v>
      </c>
      <c r="AA4006" t="s">
        <v>154</v>
      </c>
      <c r="AB4006" t="s">
        <v>3065</v>
      </c>
      <c r="AC4006">
        <v>0</v>
      </c>
      <c r="AD4006">
        <v>0</v>
      </c>
      <c r="AE4006">
        <v>71</v>
      </c>
      <c r="AF4006">
        <v>210.83</v>
      </c>
      <c r="AG4006">
        <v>-5.25</v>
      </c>
      <c r="AH4006">
        <v>-1.66</v>
      </c>
      <c r="AI4006">
        <v>-0.22</v>
      </c>
      <c r="AJ4006">
        <v>-0.14000000000000001</v>
      </c>
      <c r="AK4006">
        <v>68</v>
      </c>
      <c r="AL4006">
        <v>0</v>
      </c>
      <c r="AM4006">
        <v>0</v>
      </c>
      <c r="AN4006">
        <v>0.32</v>
      </c>
      <c r="AO4006">
        <v>-0.81</v>
      </c>
      <c r="AP4006">
        <v>4</v>
      </c>
      <c r="AQ4006">
        <v>0</v>
      </c>
      <c r="AR4006">
        <v>8.93</v>
      </c>
      <c r="AS4006">
        <v>33</v>
      </c>
      <c r="AT4006">
        <v>4.4400000000000004</v>
      </c>
      <c r="AU4006">
        <v>33</v>
      </c>
      <c r="AV4006">
        <v>-1.03</v>
      </c>
      <c r="AW4006">
        <v>67</v>
      </c>
      <c r="AX4006">
        <v>-0.02</v>
      </c>
      <c r="AY4006">
        <v>39</v>
      </c>
      <c r="AZ4006">
        <v>7.07</v>
      </c>
      <c r="BA4006">
        <v>32</v>
      </c>
      <c r="BB4006">
        <v>5.68</v>
      </c>
      <c r="BC4006">
        <v>29</v>
      </c>
      <c r="BD4006">
        <v>0.05</v>
      </c>
      <c r="BE4006">
        <v>0.06</v>
      </c>
      <c r="BF4006">
        <v>-0.04</v>
      </c>
      <c r="BG4006">
        <v>83</v>
      </c>
      <c r="BH4006">
        <v>-0.02</v>
      </c>
      <c r="BI4006">
        <v>8.31</v>
      </c>
      <c r="BJ4006">
        <v>0</v>
      </c>
      <c r="BK4006">
        <v>0</v>
      </c>
      <c r="BL4006">
        <v>0.84</v>
      </c>
      <c r="BM4006">
        <v>0.26</v>
      </c>
      <c r="BN4006">
        <v>0.2</v>
      </c>
      <c r="BO4006">
        <v>0.24</v>
      </c>
      <c r="BP4006">
        <v>0.01</v>
      </c>
      <c r="BQ4006">
        <v>0.62</v>
      </c>
      <c r="BR4006">
        <v>-0.27</v>
      </c>
      <c r="BS4006">
        <v>0.56000000000000005</v>
      </c>
      <c r="BT4006">
        <v>0.41</v>
      </c>
      <c r="BU4006">
        <v>1.47</v>
      </c>
      <c r="BV4006">
        <v>1.63</v>
      </c>
      <c r="BW4006">
        <v>0.67</v>
      </c>
      <c r="BX4006">
        <v>1.66</v>
      </c>
      <c r="BY4006">
        <v>0.84</v>
      </c>
      <c r="BZ4006">
        <v>-0.76</v>
      </c>
      <c r="CA4006">
        <v>1.33</v>
      </c>
      <c r="CB4006">
        <v>1.2</v>
      </c>
      <c r="CC4006">
        <v>0.92</v>
      </c>
      <c r="CD4006">
        <v>-0.01</v>
      </c>
      <c r="CE4006">
        <v>0</v>
      </c>
      <c r="CF4006">
        <v>0</v>
      </c>
      <c r="CG4006">
        <v>0</v>
      </c>
      <c r="CH4006">
        <v>0</v>
      </c>
      <c r="CI4006">
        <v>0</v>
      </c>
      <c r="CJ4006">
        <v>-4.7</v>
      </c>
      <c r="CK4006">
        <v>44</v>
      </c>
      <c r="CL4006">
        <v>-0.75</v>
      </c>
      <c r="CM4006">
        <v>41</v>
      </c>
      <c r="CN4006">
        <v>-0.44</v>
      </c>
      <c r="CO4006">
        <v>40</v>
      </c>
      <c r="CP4006">
        <v>-1</v>
      </c>
      <c r="CQ4006">
        <v>37</v>
      </c>
      <c r="CR4006">
        <v>0</v>
      </c>
      <c r="CS4006">
        <v>0</v>
      </c>
      <c r="CT4006">
        <v>6.2</v>
      </c>
      <c r="CU4006">
        <v>33</v>
      </c>
      <c r="CV4006">
        <v>0.1</v>
      </c>
      <c r="CW4006">
        <v>12</v>
      </c>
      <c r="CX4006" t="s">
        <v>768</v>
      </c>
    </row>
    <row r="4007" spans="1:102" x14ac:dyDescent="0.3">
      <c r="A4007" t="str">
        <f>HYPERLINK("https://webapp.icbf.com/v2/app/bull-search/view/77859286","ALX")</f>
        <v>ALX</v>
      </c>
      <c r="B4007" t="s">
        <v>10672</v>
      </c>
      <c r="C4007" t="s">
        <v>10673</v>
      </c>
      <c r="D4007" s="1">
        <v>33447</v>
      </c>
      <c r="E4007" t="s">
        <v>92</v>
      </c>
      <c r="F4007">
        <v>100</v>
      </c>
      <c r="G4007" t="s">
        <v>93</v>
      </c>
      <c r="H4007">
        <v>-80.83</v>
      </c>
      <c r="I4007">
        <v>89</v>
      </c>
      <c r="J4007">
        <v>31.21</v>
      </c>
      <c r="K4007">
        <v>98</v>
      </c>
      <c r="L4007">
        <v>-96.67</v>
      </c>
      <c r="M4007">
        <v>84</v>
      </c>
      <c r="N4007">
        <v>-3.48</v>
      </c>
      <c r="O4007">
        <v>81</v>
      </c>
      <c r="P4007">
        <v>-2.0499999999999998</v>
      </c>
      <c r="Q4007">
        <v>90</v>
      </c>
      <c r="R4007">
        <v>-16.82</v>
      </c>
      <c r="S4007">
        <v>82</v>
      </c>
      <c r="T4007">
        <v>13.38</v>
      </c>
      <c r="U4007">
        <v>92</v>
      </c>
      <c r="V4007">
        <v>-6.4</v>
      </c>
      <c r="W4007">
        <v>66</v>
      </c>
      <c r="X4007" t="s">
        <v>94</v>
      </c>
      <c r="Y4007" t="s">
        <v>95</v>
      </c>
      <c r="Z4007" t="s">
        <v>96</v>
      </c>
      <c r="AA4007" t="s">
        <v>10674</v>
      </c>
      <c r="AB4007" t="s">
        <v>9855</v>
      </c>
      <c r="AC4007">
        <v>190</v>
      </c>
      <c r="AD4007">
        <v>134</v>
      </c>
      <c r="AE4007">
        <v>98</v>
      </c>
      <c r="AF4007">
        <v>-28.09</v>
      </c>
      <c r="AG4007">
        <v>11.47</v>
      </c>
      <c r="AH4007">
        <v>0.82</v>
      </c>
      <c r="AI4007">
        <v>0.22</v>
      </c>
      <c r="AJ4007">
        <v>0.03</v>
      </c>
      <c r="AK4007">
        <v>84</v>
      </c>
      <c r="AL4007">
        <v>327</v>
      </c>
      <c r="AM4007">
        <v>201</v>
      </c>
      <c r="AN4007">
        <v>6</v>
      </c>
      <c r="AO4007">
        <v>-1.7</v>
      </c>
      <c r="AP4007">
        <v>45</v>
      </c>
      <c r="AQ4007">
        <v>2</v>
      </c>
      <c r="AR4007">
        <v>8.14</v>
      </c>
      <c r="AS4007">
        <v>66</v>
      </c>
      <c r="AT4007">
        <v>3.27</v>
      </c>
      <c r="AU4007">
        <v>80</v>
      </c>
      <c r="AV4007">
        <v>0.59</v>
      </c>
      <c r="AW4007">
        <v>88</v>
      </c>
      <c r="AX4007">
        <v>-0.55000000000000004</v>
      </c>
      <c r="AY4007">
        <v>87</v>
      </c>
      <c r="AZ4007">
        <v>5.62</v>
      </c>
      <c r="BA4007">
        <v>58</v>
      </c>
      <c r="BB4007">
        <v>4.7300000000000004</v>
      </c>
      <c r="BC4007">
        <v>70</v>
      </c>
      <c r="BD4007">
        <v>0.01</v>
      </c>
      <c r="BE4007">
        <v>0.1</v>
      </c>
      <c r="BF4007">
        <v>0.18</v>
      </c>
      <c r="BG4007">
        <v>96</v>
      </c>
      <c r="BH4007">
        <v>-0.17</v>
      </c>
      <c r="BI4007">
        <v>0.99</v>
      </c>
      <c r="BJ4007">
        <v>39</v>
      </c>
      <c r="BK4007">
        <v>30</v>
      </c>
      <c r="BL4007">
        <v>-0.22</v>
      </c>
      <c r="BM4007">
        <v>-0.08</v>
      </c>
      <c r="BN4007">
        <v>-0.31</v>
      </c>
      <c r="BO4007">
        <v>-0.41</v>
      </c>
      <c r="BP4007">
        <v>0.31</v>
      </c>
      <c r="BQ4007">
        <v>-2.92</v>
      </c>
      <c r="BR4007">
        <v>0.94</v>
      </c>
      <c r="BS4007">
        <v>-1.18</v>
      </c>
      <c r="BT4007">
        <v>-0.64</v>
      </c>
      <c r="BU4007">
        <v>-1.44</v>
      </c>
      <c r="BV4007">
        <v>-1.51</v>
      </c>
      <c r="BW4007">
        <v>-1.1299999999999999</v>
      </c>
      <c r="BX4007">
        <v>-1.35</v>
      </c>
      <c r="BY4007">
        <v>-1.69</v>
      </c>
      <c r="BZ4007">
        <v>0.93</v>
      </c>
      <c r="CA4007">
        <v>-1.42</v>
      </c>
      <c r="CB4007">
        <v>-1.74</v>
      </c>
      <c r="CC4007">
        <v>-1.46</v>
      </c>
      <c r="CD4007">
        <v>-0.15</v>
      </c>
      <c r="CE4007">
        <v>-0.92</v>
      </c>
      <c r="CF4007">
        <v>-0.77</v>
      </c>
      <c r="CG4007">
        <v>0</v>
      </c>
      <c r="CH4007">
        <v>-2.08</v>
      </c>
      <c r="CI4007">
        <v>0</v>
      </c>
      <c r="CJ4007">
        <v>2.1</v>
      </c>
      <c r="CK4007">
        <v>90</v>
      </c>
      <c r="CL4007">
        <v>-0.57999999999999996</v>
      </c>
      <c r="CM4007">
        <v>89</v>
      </c>
      <c r="CN4007">
        <v>-0.13</v>
      </c>
      <c r="CO4007">
        <v>87</v>
      </c>
      <c r="CP4007">
        <v>-3.2</v>
      </c>
      <c r="CQ4007">
        <v>93</v>
      </c>
      <c r="CR4007">
        <v>0</v>
      </c>
      <c r="CS4007">
        <v>0</v>
      </c>
      <c r="CT4007">
        <v>-4.3</v>
      </c>
      <c r="CU4007">
        <v>92</v>
      </c>
      <c r="CV4007">
        <v>0.17</v>
      </c>
      <c r="CW4007">
        <v>44</v>
      </c>
      <c r="CX4007" t="s">
        <v>3889</v>
      </c>
    </row>
    <row r="4008" spans="1:102" x14ac:dyDescent="0.3">
      <c r="A4008" t="str">
        <f>HYPERLINK("https://webapp.icbf.com/v2/app/bull-search/view/77855944","KKY")</f>
        <v>KKY</v>
      </c>
      <c r="B4008" t="s">
        <v>14310</v>
      </c>
      <c r="C4008" t="s">
        <v>14311</v>
      </c>
      <c r="D4008" s="1">
        <v>32888</v>
      </c>
      <c r="E4008" t="s">
        <v>92</v>
      </c>
      <c r="F4008">
        <v>81</v>
      </c>
      <c r="G4008" t="s">
        <v>93</v>
      </c>
      <c r="H4008">
        <v>-80.94</v>
      </c>
      <c r="I4008">
        <v>66</v>
      </c>
      <c r="J4008">
        <v>-27.02</v>
      </c>
      <c r="K4008">
        <v>81</v>
      </c>
      <c r="L4008">
        <v>-23.89</v>
      </c>
      <c r="M4008">
        <v>61</v>
      </c>
      <c r="N4008">
        <v>-13.58</v>
      </c>
      <c r="O4008">
        <v>46</v>
      </c>
      <c r="P4008">
        <v>-15.89</v>
      </c>
      <c r="Q4008">
        <v>71</v>
      </c>
      <c r="R4008">
        <v>-12.6</v>
      </c>
      <c r="S4008">
        <v>61</v>
      </c>
      <c r="T4008">
        <v>13.01</v>
      </c>
      <c r="U4008">
        <v>64</v>
      </c>
      <c r="V4008">
        <v>-0.97</v>
      </c>
      <c r="W4008">
        <v>21</v>
      </c>
      <c r="X4008" t="s">
        <v>94</v>
      </c>
      <c r="Y4008" t="s">
        <v>95</v>
      </c>
      <c r="Z4008" t="s">
        <v>96</v>
      </c>
      <c r="AA4008" t="s">
        <v>14312</v>
      </c>
      <c r="AB4008" t="s">
        <v>14313</v>
      </c>
      <c r="AC4008">
        <v>25</v>
      </c>
      <c r="AD4008">
        <v>21</v>
      </c>
      <c r="AE4008">
        <v>81</v>
      </c>
      <c r="AF4008">
        <v>-122.87</v>
      </c>
      <c r="AG4008">
        <v>0.38</v>
      </c>
      <c r="AH4008">
        <v>-6.61</v>
      </c>
      <c r="AI4008">
        <v>0.09</v>
      </c>
      <c r="AJ4008">
        <v>-0.04</v>
      </c>
      <c r="AK4008">
        <v>61</v>
      </c>
      <c r="AL4008">
        <v>107</v>
      </c>
      <c r="AM4008">
        <v>69</v>
      </c>
      <c r="AN4008">
        <v>1.72</v>
      </c>
      <c r="AO4008">
        <v>-0.18</v>
      </c>
      <c r="AP4008">
        <v>11</v>
      </c>
      <c r="AQ4008">
        <v>1</v>
      </c>
      <c r="AR4008">
        <v>10.01</v>
      </c>
      <c r="AS4008">
        <v>21</v>
      </c>
      <c r="AT4008">
        <v>4.3899999999999997</v>
      </c>
      <c r="AU4008">
        <v>41</v>
      </c>
      <c r="AV4008">
        <v>-0.45</v>
      </c>
      <c r="AW4008">
        <v>57</v>
      </c>
      <c r="AX4008">
        <v>-0.12</v>
      </c>
      <c r="AY4008">
        <v>62</v>
      </c>
      <c r="AZ4008">
        <v>5.57</v>
      </c>
      <c r="BA4008">
        <v>22</v>
      </c>
      <c r="BB4008">
        <v>4.74</v>
      </c>
      <c r="BC4008">
        <v>33</v>
      </c>
      <c r="BD4008">
        <v>0.04</v>
      </c>
      <c r="BE4008">
        <v>7.0000000000000007E-2</v>
      </c>
      <c r="BF4008">
        <v>0.09</v>
      </c>
      <c r="BG4008">
        <v>85</v>
      </c>
      <c r="BH4008">
        <v>0.08</v>
      </c>
      <c r="BI4008">
        <v>12.37</v>
      </c>
      <c r="BJ4008">
        <v>21</v>
      </c>
      <c r="BK4008">
        <v>16</v>
      </c>
      <c r="BL4008">
        <v>-0.69</v>
      </c>
      <c r="BM4008">
        <v>1.35</v>
      </c>
      <c r="BN4008">
        <v>-0.02</v>
      </c>
      <c r="BO4008">
        <v>-1.0900000000000001</v>
      </c>
      <c r="BP4008">
        <v>-0.47</v>
      </c>
      <c r="BQ4008">
        <v>1.42</v>
      </c>
      <c r="BR4008">
        <v>-1.18</v>
      </c>
      <c r="BS4008">
        <v>1.08</v>
      </c>
      <c r="BT4008">
        <v>1.42</v>
      </c>
      <c r="BU4008">
        <v>-0.34</v>
      </c>
      <c r="BV4008">
        <v>-0.52</v>
      </c>
      <c r="BW4008">
        <v>-0.56000000000000005</v>
      </c>
      <c r="BX4008">
        <v>-0.28999999999999998</v>
      </c>
      <c r="BY4008">
        <v>-0.31</v>
      </c>
      <c r="BZ4008">
        <v>0.45</v>
      </c>
      <c r="CA4008">
        <v>-0.33</v>
      </c>
      <c r="CB4008">
        <v>-0.85</v>
      </c>
      <c r="CC4008">
        <v>0.47</v>
      </c>
      <c r="CD4008">
        <v>1.04</v>
      </c>
      <c r="CE4008">
        <v>-1.06</v>
      </c>
      <c r="CF4008">
        <v>-0.62</v>
      </c>
      <c r="CG4008">
        <v>0</v>
      </c>
      <c r="CH4008">
        <v>-0.75</v>
      </c>
      <c r="CI4008">
        <v>0</v>
      </c>
      <c r="CJ4008">
        <v>-7.6</v>
      </c>
      <c r="CK4008">
        <v>73</v>
      </c>
      <c r="CL4008">
        <v>-0.27</v>
      </c>
      <c r="CM4008">
        <v>69</v>
      </c>
      <c r="CN4008">
        <v>7.0000000000000007E-2</v>
      </c>
      <c r="CO4008">
        <v>66</v>
      </c>
      <c r="CP4008">
        <v>-12</v>
      </c>
      <c r="CQ4008">
        <v>73</v>
      </c>
      <c r="CR4008">
        <v>0</v>
      </c>
      <c r="CS4008">
        <v>0</v>
      </c>
      <c r="CT4008">
        <v>-3.8</v>
      </c>
      <c r="CU4008">
        <v>64</v>
      </c>
      <c r="CV4008">
        <v>-0.09</v>
      </c>
      <c r="CW4008">
        <v>19</v>
      </c>
      <c r="CX4008" t="s">
        <v>1485</v>
      </c>
    </row>
    <row r="4009" spans="1:102" x14ac:dyDescent="0.3">
      <c r="A4009" t="str">
        <f>HYPERLINK("https://webapp.icbf.com/v2/app/bull-search/view/77856664","HWR")</f>
        <v>HWR</v>
      </c>
      <c r="B4009" t="s">
        <v>7984</v>
      </c>
      <c r="C4009" t="s">
        <v>7985</v>
      </c>
      <c r="D4009" s="1">
        <v>33434</v>
      </c>
      <c r="E4009" t="s">
        <v>92</v>
      </c>
      <c r="F4009">
        <v>100</v>
      </c>
      <c r="G4009" t="s">
        <v>93</v>
      </c>
      <c r="H4009">
        <v>-80.98</v>
      </c>
      <c r="I4009">
        <v>90</v>
      </c>
      <c r="J4009">
        <v>-5.18</v>
      </c>
      <c r="K4009">
        <v>98</v>
      </c>
      <c r="L4009">
        <v>-81.040000000000006</v>
      </c>
      <c r="M4009">
        <v>90</v>
      </c>
      <c r="N4009">
        <v>14.45</v>
      </c>
      <c r="O4009">
        <v>83</v>
      </c>
      <c r="P4009">
        <v>-10.67</v>
      </c>
      <c r="Q4009">
        <v>90</v>
      </c>
      <c r="R4009">
        <v>-6.16</v>
      </c>
      <c r="S4009">
        <v>82</v>
      </c>
      <c r="T4009">
        <v>9.24</v>
      </c>
      <c r="U4009">
        <v>85</v>
      </c>
      <c r="V4009">
        <v>-1.62</v>
      </c>
      <c r="W4009">
        <v>69</v>
      </c>
      <c r="X4009" t="s">
        <v>276</v>
      </c>
      <c r="Y4009" t="s">
        <v>95</v>
      </c>
      <c r="Z4009" t="s">
        <v>96</v>
      </c>
      <c r="AA4009" t="s">
        <v>132</v>
      </c>
      <c r="AB4009" t="s">
        <v>7986</v>
      </c>
      <c r="AC4009">
        <v>131</v>
      </c>
      <c r="AD4009">
        <v>82</v>
      </c>
      <c r="AE4009">
        <v>98</v>
      </c>
      <c r="AF4009">
        <v>384.56</v>
      </c>
      <c r="AG4009">
        <v>0.55000000000000004</v>
      </c>
      <c r="AH4009">
        <v>4.8099999999999996</v>
      </c>
      <c r="AI4009">
        <v>-0.24</v>
      </c>
      <c r="AJ4009">
        <v>-0.13</v>
      </c>
      <c r="AK4009">
        <v>90</v>
      </c>
      <c r="AL4009">
        <v>127</v>
      </c>
      <c r="AM4009">
        <v>68</v>
      </c>
      <c r="AN4009">
        <v>5.42</v>
      </c>
      <c r="AO4009">
        <v>-1.03</v>
      </c>
      <c r="AP4009">
        <v>70</v>
      </c>
      <c r="AQ4009">
        <v>1</v>
      </c>
      <c r="AR4009">
        <v>6.77</v>
      </c>
      <c r="AS4009">
        <v>76</v>
      </c>
      <c r="AT4009">
        <v>2.95</v>
      </c>
      <c r="AU4009">
        <v>94</v>
      </c>
      <c r="AV4009">
        <v>-1.55</v>
      </c>
      <c r="AW4009">
        <v>81</v>
      </c>
      <c r="AX4009">
        <v>-0.84</v>
      </c>
      <c r="AY4009">
        <v>83</v>
      </c>
      <c r="AZ4009">
        <v>6.81</v>
      </c>
      <c r="BA4009">
        <v>66</v>
      </c>
      <c r="BB4009">
        <v>5.59</v>
      </c>
      <c r="BC4009">
        <v>74</v>
      </c>
      <c r="BD4009">
        <v>0.01</v>
      </c>
      <c r="BE4009">
        <v>0.05</v>
      </c>
      <c r="BF4009">
        <v>0.03</v>
      </c>
      <c r="BG4009">
        <v>95</v>
      </c>
      <c r="BH4009">
        <v>-0.03</v>
      </c>
      <c r="BI4009">
        <v>1.76</v>
      </c>
      <c r="BJ4009">
        <v>24</v>
      </c>
      <c r="BK4009">
        <v>18</v>
      </c>
      <c r="BL4009">
        <v>0.62</v>
      </c>
      <c r="BM4009">
        <v>-3.24</v>
      </c>
      <c r="BN4009">
        <v>-1.1599999999999999</v>
      </c>
      <c r="BO4009">
        <v>1</v>
      </c>
      <c r="BP4009">
        <v>1.99</v>
      </c>
      <c r="BQ4009">
        <v>-1.91</v>
      </c>
      <c r="BR4009">
        <v>-3.36</v>
      </c>
      <c r="BS4009">
        <v>2.2599999999999998</v>
      </c>
      <c r="BT4009">
        <v>3.15</v>
      </c>
      <c r="BU4009">
        <v>-0.77</v>
      </c>
      <c r="BV4009">
        <v>1.1499999999999999</v>
      </c>
      <c r="BW4009">
        <v>0.73</v>
      </c>
      <c r="BX4009">
        <v>-0.8</v>
      </c>
      <c r="BY4009">
        <v>-2.08</v>
      </c>
      <c r="BZ4009">
        <v>4.1399999999999997</v>
      </c>
      <c r="CA4009">
        <v>0.67</v>
      </c>
      <c r="CB4009">
        <v>-0.65</v>
      </c>
      <c r="CC4009">
        <v>2.9</v>
      </c>
      <c r="CD4009">
        <v>-1.73</v>
      </c>
      <c r="CE4009">
        <v>0.75</v>
      </c>
      <c r="CF4009">
        <v>0.69</v>
      </c>
      <c r="CG4009">
        <v>0</v>
      </c>
      <c r="CH4009">
        <v>-2.13</v>
      </c>
      <c r="CI4009">
        <v>0</v>
      </c>
      <c r="CJ4009">
        <v>-4.5999999999999996</v>
      </c>
      <c r="CK4009">
        <v>91</v>
      </c>
      <c r="CL4009">
        <v>-0.72</v>
      </c>
      <c r="CM4009">
        <v>89</v>
      </c>
      <c r="CN4009">
        <v>-0.36</v>
      </c>
      <c r="CO4009">
        <v>88</v>
      </c>
      <c r="CP4009">
        <v>-7.4</v>
      </c>
      <c r="CQ4009">
        <v>91</v>
      </c>
      <c r="CR4009">
        <v>0</v>
      </c>
      <c r="CS4009">
        <v>0</v>
      </c>
      <c r="CT4009">
        <v>1.3</v>
      </c>
      <c r="CU4009">
        <v>85</v>
      </c>
      <c r="CV4009">
        <v>0.02</v>
      </c>
      <c r="CW4009">
        <v>44</v>
      </c>
      <c r="CX4009" t="s">
        <v>168</v>
      </c>
    </row>
    <row r="4010" spans="1:102" x14ac:dyDescent="0.3">
      <c r="A4010" t="str">
        <f>HYPERLINK("https://webapp.icbf.com/v2/app/bull-search/view/77860207","CDD")</f>
        <v>CDD</v>
      </c>
      <c r="B4010" t="s">
        <v>4900</v>
      </c>
      <c r="C4010" t="s">
        <v>4901</v>
      </c>
      <c r="D4010" s="1">
        <v>34670</v>
      </c>
      <c r="E4010" t="s">
        <v>92</v>
      </c>
      <c r="F4010">
        <v>100</v>
      </c>
      <c r="G4010" t="s">
        <v>93</v>
      </c>
      <c r="H4010">
        <v>-81.08</v>
      </c>
      <c r="I4010">
        <v>75</v>
      </c>
      <c r="J4010">
        <v>-35.53</v>
      </c>
      <c r="K4010">
        <v>92</v>
      </c>
      <c r="L4010">
        <v>-33.65</v>
      </c>
      <c r="M4010">
        <v>65</v>
      </c>
      <c r="N4010">
        <v>-18.059999999999999</v>
      </c>
      <c r="O4010">
        <v>64</v>
      </c>
      <c r="P4010">
        <v>-0.71</v>
      </c>
      <c r="Q4010">
        <v>81</v>
      </c>
      <c r="R4010">
        <v>-1.61</v>
      </c>
      <c r="S4010">
        <v>69</v>
      </c>
      <c r="T4010">
        <v>9.5299999999999994</v>
      </c>
      <c r="U4010">
        <v>76</v>
      </c>
      <c r="V4010">
        <v>-1.05</v>
      </c>
      <c r="W4010">
        <v>42</v>
      </c>
      <c r="X4010" t="s">
        <v>94</v>
      </c>
      <c r="Y4010" t="s">
        <v>95</v>
      </c>
      <c r="Z4010" t="s">
        <v>96</v>
      </c>
      <c r="AA4010" t="s">
        <v>743</v>
      </c>
      <c r="AB4010" t="s">
        <v>3967</v>
      </c>
      <c r="AC4010">
        <v>63</v>
      </c>
      <c r="AD4010">
        <v>61</v>
      </c>
      <c r="AE4010">
        <v>92</v>
      </c>
      <c r="AF4010">
        <v>-95.11</v>
      </c>
      <c r="AG4010">
        <v>-5.51</v>
      </c>
      <c r="AH4010">
        <v>-5.55</v>
      </c>
      <c r="AI4010">
        <v>-0.03</v>
      </c>
      <c r="AJ4010">
        <v>-0.04</v>
      </c>
      <c r="AK4010">
        <v>65</v>
      </c>
      <c r="AL4010">
        <v>79</v>
      </c>
      <c r="AM4010">
        <v>67</v>
      </c>
      <c r="AN4010">
        <v>1.36</v>
      </c>
      <c r="AO4010">
        <v>-1.33</v>
      </c>
      <c r="AP4010">
        <v>8</v>
      </c>
      <c r="AQ4010">
        <v>2</v>
      </c>
      <c r="AR4010">
        <v>11.25</v>
      </c>
      <c r="AS4010">
        <v>37</v>
      </c>
      <c r="AT4010">
        <v>4.72</v>
      </c>
      <c r="AU4010">
        <v>60</v>
      </c>
      <c r="AV4010">
        <v>-0.72</v>
      </c>
      <c r="AW4010">
        <v>73</v>
      </c>
      <c r="AX4010">
        <v>0.05</v>
      </c>
      <c r="AY4010">
        <v>77</v>
      </c>
      <c r="AZ4010">
        <v>5.23</v>
      </c>
      <c r="BA4010">
        <v>39</v>
      </c>
      <c r="BB4010">
        <v>4.37</v>
      </c>
      <c r="BC4010">
        <v>57</v>
      </c>
      <c r="BD4010">
        <v>0</v>
      </c>
      <c r="BE4010">
        <v>0.03</v>
      </c>
      <c r="BF4010">
        <v>-0.02</v>
      </c>
      <c r="BG4010">
        <v>83</v>
      </c>
      <c r="BH4010">
        <v>-0.03</v>
      </c>
      <c r="BI4010">
        <v>-0.08</v>
      </c>
      <c r="BJ4010">
        <v>21</v>
      </c>
      <c r="BK4010">
        <v>18</v>
      </c>
      <c r="BL4010">
        <v>0.68</v>
      </c>
      <c r="BM4010">
        <v>0.44</v>
      </c>
      <c r="BN4010">
        <v>-1.54</v>
      </c>
      <c r="BO4010">
        <v>-1</v>
      </c>
      <c r="BP4010">
        <v>2.5</v>
      </c>
      <c r="BQ4010">
        <v>-0.15</v>
      </c>
      <c r="BR4010">
        <v>-1.43</v>
      </c>
      <c r="BS4010">
        <v>0.65</v>
      </c>
      <c r="BT4010">
        <v>1.47</v>
      </c>
      <c r="BU4010">
        <v>-0.34</v>
      </c>
      <c r="BV4010">
        <v>-1.1399999999999999</v>
      </c>
      <c r="BW4010">
        <v>-0.6</v>
      </c>
      <c r="BX4010">
        <v>1.62</v>
      </c>
      <c r="BY4010">
        <v>-2.0099999999999998</v>
      </c>
      <c r="BZ4010">
        <v>0.82</v>
      </c>
      <c r="CA4010">
        <v>-0.87</v>
      </c>
      <c r="CB4010">
        <v>-1.74</v>
      </c>
      <c r="CC4010">
        <v>0.92</v>
      </c>
      <c r="CD4010">
        <v>1.33</v>
      </c>
      <c r="CE4010">
        <v>-0.95</v>
      </c>
      <c r="CF4010">
        <v>0.32</v>
      </c>
      <c r="CG4010">
        <v>0</v>
      </c>
      <c r="CH4010">
        <v>-1.86</v>
      </c>
      <c r="CI4010">
        <v>0</v>
      </c>
      <c r="CJ4010">
        <v>2.6</v>
      </c>
      <c r="CK4010">
        <v>82</v>
      </c>
      <c r="CL4010">
        <v>-0.42</v>
      </c>
      <c r="CM4010">
        <v>79</v>
      </c>
      <c r="CN4010">
        <v>-7.0000000000000007E-2</v>
      </c>
      <c r="CO4010">
        <v>77</v>
      </c>
      <c r="CP4010">
        <v>-5.2</v>
      </c>
      <c r="CQ4010">
        <v>85</v>
      </c>
      <c r="CR4010">
        <v>0</v>
      </c>
      <c r="CS4010">
        <v>0</v>
      </c>
      <c r="CT4010">
        <v>0.9</v>
      </c>
      <c r="CU4010">
        <v>76</v>
      </c>
      <c r="CV4010">
        <v>0.17</v>
      </c>
      <c r="CW4010">
        <v>23</v>
      </c>
      <c r="CX4010" t="s">
        <v>99</v>
      </c>
    </row>
    <row r="4011" spans="1:102" x14ac:dyDescent="0.3">
      <c r="A4011" t="str">
        <f>HYPERLINK("https://webapp.icbf.com/v2/app/bull-search/view/77858209","ELF")</f>
        <v>ELF</v>
      </c>
      <c r="B4011" t="s">
        <v>15415</v>
      </c>
      <c r="C4011" t="s">
        <v>15416</v>
      </c>
      <c r="D4011" s="1">
        <v>32926</v>
      </c>
      <c r="E4011" t="s">
        <v>92</v>
      </c>
      <c r="F4011">
        <v>100</v>
      </c>
      <c r="G4011" t="s">
        <v>93</v>
      </c>
      <c r="H4011">
        <v>-81.150000000000006</v>
      </c>
      <c r="I4011">
        <v>89</v>
      </c>
      <c r="J4011">
        <v>-4.1500000000000004</v>
      </c>
      <c r="K4011">
        <v>98</v>
      </c>
      <c r="L4011">
        <v>-86.13</v>
      </c>
      <c r="M4011">
        <v>89</v>
      </c>
      <c r="N4011">
        <v>20.82</v>
      </c>
      <c r="O4011">
        <v>79</v>
      </c>
      <c r="P4011">
        <v>-12.11</v>
      </c>
      <c r="Q4011">
        <v>92</v>
      </c>
      <c r="R4011">
        <v>-14.93</v>
      </c>
      <c r="S4011">
        <v>79</v>
      </c>
      <c r="T4011">
        <v>16.79</v>
      </c>
      <c r="U4011">
        <v>86</v>
      </c>
      <c r="V4011">
        <v>-1.44</v>
      </c>
      <c r="W4011">
        <v>53</v>
      </c>
      <c r="X4011" t="s">
        <v>94</v>
      </c>
      <c r="Y4011" t="s">
        <v>95</v>
      </c>
      <c r="Z4011" t="s">
        <v>96</v>
      </c>
      <c r="AA4011" t="s">
        <v>111</v>
      </c>
      <c r="AB4011" t="s">
        <v>10769</v>
      </c>
      <c r="AC4011">
        <v>246</v>
      </c>
      <c r="AD4011">
        <v>139</v>
      </c>
      <c r="AE4011">
        <v>98</v>
      </c>
      <c r="AF4011">
        <v>216.53</v>
      </c>
      <c r="AG4011">
        <v>-0.56999999999999995</v>
      </c>
      <c r="AH4011">
        <v>2.81</v>
      </c>
      <c r="AI4011">
        <v>-0.14000000000000001</v>
      </c>
      <c r="AJ4011">
        <v>-7.0000000000000007E-2</v>
      </c>
      <c r="AK4011">
        <v>89</v>
      </c>
      <c r="AL4011">
        <v>296</v>
      </c>
      <c r="AM4011">
        <v>160</v>
      </c>
      <c r="AN4011">
        <v>5.35</v>
      </c>
      <c r="AO4011">
        <v>-1.51</v>
      </c>
      <c r="AP4011">
        <v>6</v>
      </c>
      <c r="AQ4011">
        <v>22</v>
      </c>
      <c r="AR4011">
        <v>4.62</v>
      </c>
      <c r="AS4011">
        <v>53</v>
      </c>
      <c r="AT4011">
        <v>2.4300000000000002</v>
      </c>
      <c r="AU4011">
        <v>81</v>
      </c>
      <c r="AV4011">
        <v>-0.56000000000000005</v>
      </c>
      <c r="AW4011">
        <v>86</v>
      </c>
      <c r="AX4011">
        <v>-0.82</v>
      </c>
      <c r="AY4011">
        <v>90</v>
      </c>
      <c r="AZ4011">
        <v>5.5</v>
      </c>
      <c r="BA4011">
        <v>51</v>
      </c>
      <c r="BB4011">
        <v>4.8899999999999997</v>
      </c>
      <c r="BC4011">
        <v>71</v>
      </c>
      <c r="BD4011">
        <v>0.02</v>
      </c>
      <c r="BE4011">
        <v>0.1</v>
      </c>
      <c r="BF4011">
        <v>0.12</v>
      </c>
      <c r="BG4011">
        <v>94</v>
      </c>
      <c r="BH4011">
        <v>0.01</v>
      </c>
      <c r="BI4011">
        <v>5.81</v>
      </c>
      <c r="BJ4011">
        <v>19</v>
      </c>
      <c r="BK4011">
        <v>18</v>
      </c>
      <c r="BL4011">
        <v>-0.66</v>
      </c>
      <c r="BM4011">
        <v>0.1</v>
      </c>
      <c r="BN4011">
        <v>-0.72</v>
      </c>
      <c r="BO4011">
        <v>-0.54</v>
      </c>
      <c r="BP4011">
        <v>0.7</v>
      </c>
      <c r="BQ4011">
        <v>-1.19</v>
      </c>
      <c r="BR4011">
        <v>0.19</v>
      </c>
      <c r="BS4011">
        <v>0.31</v>
      </c>
      <c r="BT4011">
        <v>-0.45</v>
      </c>
      <c r="BU4011">
        <v>0.28000000000000003</v>
      </c>
      <c r="BV4011">
        <v>-0.47</v>
      </c>
      <c r="BW4011">
        <v>-0.28000000000000003</v>
      </c>
      <c r="BX4011">
        <v>-0.15</v>
      </c>
      <c r="BY4011">
        <v>1.28</v>
      </c>
      <c r="BZ4011">
        <v>0.97</v>
      </c>
      <c r="CA4011">
        <v>0.2</v>
      </c>
      <c r="CB4011">
        <v>0.08</v>
      </c>
      <c r="CC4011">
        <v>0.24</v>
      </c>
      <c r="CD4011">
        <v>0.31</v>
      </c>
      <c r="CE4011">
        <v>-0.52</v>
      </c>
      <c r="CF4011">
        <v>-1.69</v>
      </c>
      <c r="CG4011">
        <v>0</v>
      </c>
      <c r="CH4011">
        <v>-0.15</v>
      </c>
      <c r="CI4011">
        <v>0</v>
      </c>
      <c r="CJ4011">
        <v>-5.9</v>
      </c>
      <c r="CK4011">
        <v>93</v>
      </c>
      <c r="CL4011">
        <v>-0.28999999999999998</v>
      </c>
      <c r="CM4011">
        <v>91</v>
      </c>
      <c r="CN4011">
        <v>-0.04</v>
      </c>
      <c r="CO4011">
        <v>90</v>
      </c>
      <c r="CP4011">
        <v>-9.6</v>
      </c>
      <c r="CQ4011">
        <v>95</v>
      </c>
      <c r="CR4011">
        <v>0</v>
      </c>
      <c r="CS4011">
        <v>0</v>
      </c>
      <c r="CT4011">
        <v>-8.9</v>
      </c>
      <c r="CU4011">
        <v>86</v>
      </c>
      <c r="CV4011">
        <v>-0.01</v>
      </c>
      <c r="CW4011">
        <v>27</v>
      </c>
      <c r="CX4011" t="s">
        <v>707</v>
      </c>
    </row>
    <row r="4012" spans="1:102" x14ac:dyDescent="0.3">
      <c r="A4012" t="str">
        <f>HYPERLINK("https://webapp.icbf.com/v2/app/bull-search/view/69092074","KMS")</f>
        <v>KMS</v>
      </c>
      <c r="B4012" t="s">
        <v>15403</v>
      </c>
      <c r="C4012" t="s">
        <v>15404</v>
      </c>
      <c r="D4012" s="1">
        <v>34916</v>
      </c>
      <c r="E4012" t="s">
        <v>92</v>
      </c>
      <c r="F4012">
        <v>100</v>
      </c>
      <c r="G4012" t="s">
        <v>93</v>
      </c>
      <c r="H4012">
        <v>-81.19</v>
      </c>
      <c r="I4012">
        <v>95</v>
      </c>
      <c r="J4012">
        <v>-4.5199999999999996</v>
      </c>
      <c r="K4012">
        <v>99</v>
      </c>
      <c r="L4012">
        <v>-66.09</v>
      </c>
      <c r="M4012">
        <v>92</v>
      </c>
      <c r="N4012">
        <v>-14.56</v>
      </c>
      <c r="O4012">
        <v>95</v>
      </c>
      <c r="P4012">
        <v>-3.73</v>
      </c>
      <c r="Q4012">
        <v>98</v>
      </c>
      <c r="R4012">
        <v>0.19</v>
      </c>
      <c r="S4012">
        <v>89</v>
      </c>
      <c r="T4012">
        <v>11.31</v>
      </c>
      <c r="U4012">
        <v>94</v>
      </c>
      <c r="V4012">
        <v>-3.79</v>
      </c>
      <c r="W4012">
        <v>86</v>
      </c>
      <c r="X4012" t="s">
        <v>251</v>
      </c>
      <c r="Y4012" t="s">
        <v>95</v>
      </c>
      <c r="Z4012" t="s">
        <v>96</v>
      </c>
      <c r="AA4012" t="s">
        <v>715</v>
      </c>
      <c r="AB4012" t="s">
        <v>15405</v>
      </c>
      <c r="AC4012">
        <v>502</v>
      </c>
      <c r="AD4012">
        <v>159</v>
      </c>
      <c r="AE4012">
        <v>99</v>
      </c>
      <c r="AF4012">
        <v>155.26</v>
      </c>
      <c r="AG4012">
        <v>3.19</v>
      </c>
      <c r="AH4012">
        <v>0.48</v>
      </c>
      <c r="AI4012">
        <v>-0.05</v>
      </c>
      <c r="AJ4012">
        <v>-0.08</v>
      </c>
      <c r="AK4012">
        <v>92</v>
      </c>
      <c r="AL4012">
        <v>462</v>
      </c>
      <c r="AM4012">
        <v>158</v>
      </c>
      <c r="AN4012">
        <v>3.62</v>
      </c>
      <c r="AO4012">
        <v>-1.65</v>
      </c>
      <c r="AP4012">
        <v>765</v>
      </c>
      <c r="AQ4012">
        <v>2</v>
      </c>
      <c r="AR4012">
        <v>10.199999999999999</v>
      </c>
      <c r="AS4012">
        <v>96</v>
      </c>
      <c r="AT4012">
        <v>4.08</v>
      </c>
      <c r="AU4012">
        <v>93</v>
      </c>
      <c r="AV4012">
        <v>-0.65</v>
      </c>
      <c r="AW4012">
        <v>98</v>
      </c>
      <c r="AX4012">
        <v>0.16</v>
      </c>
      <c r="AY4012">
        <v>95</v>
      </c>
      <c r="AZ4012">
        <v>6.07</v>
      </c>
      <c r="BA4012">
        <v>86</v>
      </c>
      <c r="BB4012">
        <v>5.53</v>
      </c>
      <c r="BC4012">
        <v>87</v>
      </c>
      <c r="BD4012">
        <v>0.01</v>
      </c>
      <c r="BE4012">
        <v>0.01</v>
      </c>
      <c r="BF4012">
        <v>-0.04</v>
      </c>
      <c r="BG4012">
        <v>97</v>
      </c>
      <c r="BH4012">
        <v>-0.06</v>
      </c>
      <c r="BI4012">
        <v>5.27</v>
      </c>
      <c r="BJ4012">
        <v>133</v>
      </c>
      <c r="BK4012">
        <v>50</v>
      </c>
      <c r="BL4012">
        <v>1.1000000000000001</v>
      </c>
      <c r="BM4012">
        <v>-2.12</v>
      </c>
      <c r="BN4012">
        <v>-0.26</v>
      </c>
      <c r="BO4012">
        <v>0.89</v>
      </c>
      <c r="BP4012">
        <v>-0.89</v>
      </c>
      <c r="BQ4012">
        <v>0.27</v>
      </c>
      <c r="BR4012">
        <v>-0.61</v>
      </c>
      <c r="BS4012">
        <v>0.13</v>
      </c>
      <c r="BT4012">
        <v>0.39</v>
      </c>
      <c r="BU4012">
        <v>1.35</v>
      </c>
      <c r="BV4012">
        <v>1.31</v>
      </c>
      <c r="BW4012">
        <v>1.1599999999999999</v>
      </c>
      <c r="BX4012">
        <v>1.47</v>
      </c>
      <c r="BY4012">
        <v>0.24</v>
      </c>
      <c r="BZ4012">
        <v>2.59</v>
      </c>
      <c r="CA4012">
        <v>0.93</v>
      </c>
      <c r="CB4012">
        <v>0.78</v>
      </c>
      <c r="CC4012">
        <v>0.68</v>
      </c>
      <c r="CD4012">
        <v>-2.12</v>
      </c>
      <c r="CE4012">
        <v>0.94</v>
      </c>
      <c r="CF4012">
        <v>0</v>
      </c>
      <c r="CG4012">
        <v>0</v>
      </c>
      <c r="CH4012">
        <v>0.26</v>
      </c>
      <c r="CI4012">
        <v>0</v>
      </c>
      <c r="CJ4012">
        <v>0.3</v>
      </c>
      <c r="CK4012">
        <v>98</v>
      </c>
      <c r="CL4012">
        <v>-0.89</v>
      </c>
      <c r="CM4012">
        <v>98</v>
      </c>
      <c r="CN4012">
        <v>-0.51</v>
      </c>
      <c r="CO4012">
        <v>97</v>
      </c>
      <c r="CP4012">
        <v>-6.2</v>
      </c>
      <c r="CQ4012">
        <v>98</v>
      </c>
      <c r="CR4012">
        <v>0</v>
      </c>
      <c r="CS4012">
        <v>0</v>
      </c>
      <c r="CT4012">
        <v>-1.5</v>
      </c>
      <c r="CU4012">
        <v>94</v>
      </c>
      <c r="CV4012">
        <v>0.15</v>
      </c>
      <c r="CW4012">
        <v>45</v>
      </c>
      <c r="CX4012" t="s">
        <v>132</v>
      </c>
    </row>
    <row r="4013" spans="1:102" x14ac:dyDescent="0.3">
      <c r="A4013" t="str">
        <f>HYPERLINK("https://webapp.icbf.com/v2/app/bull-search/view/69091468","DIE")</f>
        <v>DIE</v>
      </c>
      <c r="B4013" t="s">
        <v>3210</v>
      </c>
      <c r="C4013" t="s">
        <v>1489</v>
      </c>
      <c r="D4013" s="1">
        <v>32200</v>
      </c>
      <c r="E4013" t="s">
        <v>197</v>
      </c>
      <c r="F4013">
        <v>0</v>
      </c>
      <c r="G4013" t="s">
        <v>93</v>
      </c>
      <c r="H4013">
        <v>-81.540000000000006</v>
      </c>
      <c r="I4013">
        <v>61</v>
      </c>
      <c r="J4013">
        <v>-60.92</v>
      </c>
      <c r="K4013">
        <v>86</v>
      </c>
      <c r="L4013">
        <v>14.14</v>
      </c>
      <c r="M4013">
        <v>43</v>
      </c>
      <c r="N4013">
        <v>-23.18</v>
      </c>
      <c r="O4013">
        <v>46</v>
      </c>
      <c r="P4013">
        <v>10.32</v>
      </c>
      <c r="Q4013">
        <v>77</v>
      </c>
      <c r="R4013">
        <v>-13.95</v>
      </c>
      <c r="S4013">
        <v>42</v>
      </c>
      <c r="T4013">
        <v>-2.38</v>
      </c>
      <c r="U4013">
        <v>78</v>
      </c>
      <c r="V4013">
        <v>-5.57</v>
      </c>
      <c r="W4013">
        <v>6</v>
      </c>
      <c r="X4013" t="s">
        <v>94</v>
      </c>
      <c r="Y4013" t="s">
        <v>95</v>
      </c>
      <c r="Z4013">
        <v>0</v>
      </c>
      <c r="AA4013" t="s">
        <v>3211</v>
      </c>
      <c r="AB4013" t="s">
        <v>3212</v>
      </c>
      <c r="AC4013">
        <v>29</v>
      </c>
      <c r="AD4013">
        <v>18</v>
      </c>
      <c r="AE4013">
        <v>86</v>
      </c>
      <c r="AF4013">
        <v>-354.88</v>
      </c>
      <c r="AG4013">
        <v>-11.71</v>
      </c>
      <c r="AH4013">
        <v>-11.65</v>
      </c>
      <c r="AI4013">
        <v>0.04</v>
      </c>
      <c r="AJ4013">
        <v>0.01</v>
      </c>
      <c r="AK4013">
        <v>43</v>
      </c>
      <c r="AL4013">
        <v>42</v>
      </c>
      <c r="AM4013">
        <v>25</v>
      </c>
      <c r="AN4013">
        <v>-2.9</v>
      </c>
      <c r="AO4013">
        <v>-1.8</v>
      </c>
      <c r="AP4013">
        <v>5</v>
      </c>
      <c r="AQ4013">
        <v>0</v>
      </c>
      <c r="AR4013">
        <v>4.93</v>
      </c>
      <c r="AS4013">
        <v>11</v>
      </c>
      <c r="AT4013">
        <v>5.24</v>
      </c>
      <c r="AU4013">
        <v>32</v>
      </c>
      <c r="AV4013">
        <v>2.71</v>
      </c>
      <c r="AW4013">
        <v>67</v>
      </c>
      <c r="AX4013">
        <v>-0.57999999999999996</v>
      </c>
      <c r="AY4013">
        <v>57</v>
      </c>
      <c r="AZ4013">
        <v>5.18</v>
      </c>
      <c r="BA4013">
        <v>11</v>
      </c>
      <c r="BB4013">
        <v>3.17</v>
      </c>
      <c r="BC4013">
        <v>26</v>
      </c>
      <c r="BD4013">
        <v>0.01</v>
      </c>
      <c r="BE4013">
        <v>0.06</v>
      </c>
      <c r="BF4013">
        <v>0.19</v>
      </c>
      <c r="BG4013">
        <v>56</v>
      </c>
      <c r="BH4013">
        <v>-0.11</v>
      </c>
      <c r="BI4013">
        <v>5.24</v>
      </c>
      <c r="BJ4013">
        <v>0</v>
      </c>
      <c r="BK4013">
        <v>0</v>
      </c>
      <c r="BL4013">
        <v>-1.35</v>
      </c>
      <c r="BM4013">
        <v>1.73</v>
      </c>
      <c r="BN4013">
        <v>-1.1200000000000001</v>
      </c>
      <c r="BO4013">
        <v>-1.9</v>
      </c>
      <c r="BP4013">
        <v>0.4</v>
      </c>
      <c r="BQ4013">
        <v>0.55000000000000004</v>
      </c>
      <c r="BR4013">
        <v>-0.8</v>
      </c>
      <c r="BS4013">
        <v>0.33</v>
      </c>
      <c r="BT4013">
        <v>0.01</v>
      </c>
      <c r="BU4013">
        <v>-1.41</v>
      </c>
      <c r="BV4013">
        <v>-1.48</v>
      </c>
      <c r="BW4013">
        <v>-1.51</v>
      </c>
      <c r="BX4013">
        <v>-1.1000000000000001</v>
      </c>
      <c r="BY4013">
        <v>-0.89</v>
      </c>
      <c r="BZ4013">
        <v>-0.13</v>
      </c>
      <c r="CA4013">
        <v>-1.53</v>
      </c>
      <c r="CB4013">
        <v>-1.66</v>
      </c>
      <c r="CC4013">
        <v>-0.68</v>
      </c>
      <c r="CD4013">
        <v>1.96</v>
      </c>
      <c r="CE4013">
        <v>-1.59</v>
      </c>
      <c r="CF4013">
        <v>-0.96</v>
      </c>
      <c r="CG4013">
        <v>0</v>
      </c>
      <c r="CH4013">
        <v>-1.04</v>
      </c>
      <c r="CI4013">
        <v>0</v>
      </c>
      <c r="CJ4013">
        <v>5.9</v>
      </c>
      <c r="CK4013">
        <v>79</v>
      </c>
      <c r="CL4013">
        <v>0.06</v>
      </c>
      <c r="CM4013">
        <v>75</v>
      </c>
      <c r="CN4013">
        <v>-0.06</v>
      </c>
      <c r="CO4013">
        <v>71</v>
      </c>
      <c r="CP4013">
        <v>5.7</v>
      </c>
      <c r="CQ4013">
        <v>81</v>
      </c>
      <c r="CR4013">
        <v>0</v>
      </c>
      <c r="CS4013">
        <v>0</v>
      </c>
      <c r="CT4013">
        <v>17</v>
      </c>
      <c r="CU4013">
        <v>78</v>
      </c>
      <c r="CV4013">
        <v>-0.03</v>
      </c>
      <c r="CW4013">
        <v>21</v>
      </c>
      <c r="CX4013" t="s">
        <v>3213</v>
      </c>
    </row>
    <row r="4014" spans="1:102" x14ac:dyDescent="0.3">
      <c r="A4014" t="str">
        <f>HYPERLINK("https://webapp.icbf.com/v2/app/bull-search/view/660011506","S1225")</f>
        <v>S1225</v>
      </c>
      <c r="B4014" t="s">
        <v>2473</v>
      </c>
      <c r="C4014" t="s">
        <v>2474</v>
      </c>
      <c r="D4014" s="1">
        <v>38867</v>
      </c>
      <c r="E4014" t="s">
        <v>92</v>
      </c>
      <c r="F4014">
        <v>100</v>
      </c>
      <c r="G4014" t="s">
        <v>109</v>
      </c>
      <c r="H4014">
        <v>-81.55</v>
      </c>
      <c r="I4014">
        <v>74</v>
      </c>
      <c r="J4014">
        <v>41.95</v>
      </c>
      <c r="K4014">
        <v>87</v>
      </c>
      <c r="L4014">
        <v>-128.25</v>
      </c>
      <c r="M4014">
        <v>82</v>
      </c>
      <c r="N4014">
        <v>9.14</v>
      </c>
      <c r="O4014">
        <v>57</v>
      </c>
      <c r="P4014">
        <v>5.46</v>
      </c>
      <c r="Q4014">
        <v>64</v>
      </c>
      <c r="R4014">
        <v>-4.9400000000000004</v>
      </c>
      <c r="S4014">
        <v>61</v>
      </c>
      <c r="T4014">
        <v>-2.5299999999999998</v>
      </c>
      <c r="U4014">
        <v>45</v>
      </c>
      <c r="V4014">
        <v>-2.38</v>
      </c>
      <c r="W4014">
        <v>28</v>
      </c>
      <c r="X4014" t="s">
        <v>234</v>
      </c>
      <c r="Y4014" t="s">
        <v>336</v>
      </c>
      <c r="Z4014" t="s">
        <v>96</v>
      </c>
      <c r="AA4014" t="s">
        <v>1795</v>
      </c>
      <c r="AB4014" t="s">
        <v>2475</v>
      </c>
      <c r="AC4014">
        <v>0</v>
      </c>
      <c r="AD4014">
        <v>0</v>
      </c>
      <c r="AE4014">
        <v>87</v>
      </c>
      <c r="AF4014">
        <v>564.95000000000005</v>
      </c>
      <c r="AG4014">
        <v>5.29</v>
      </c>
      <c r="AH4014">
        <v>13.91</v>
      </c>
      <c r="AI4014">
        <v>-0.25</v>
      </c>
      <c r="AJ4014">
        <v>-0.08</v>
      </c>
      <c r="AK4014">
        <v>82</v>
      </c>
      <c r="AL4014">
        <v>0</v>
      </c>
      <c r="AM4014">
        <v>0</v>
      </c>
      <c r="AN4014">
        <v>9.1300000000000008</v>
      </c>
      <c r="AO4014">
        <v>-1.07</v>
      </c>
      <c r="AP4014">
        <v>18</v>
      </c>
      <c r="AQ4014">
        <v>1</v>
      </c>
      <c r="AR4014">
        <v>8.1</v>
      </c>
      <c r="AS4014">
        <v>43</v>
      </c>
      <c r="AT4014">
        <v>3.65</v>
      </c>
      <c r="AU4014">
        <v>88</v>
      </c>
      <c r="AV4014">
        <v>-2.44</v>
      </c>
      <c r="AW4014">
        <v>57</v>
      </c>
      <c r="AX4014">
        <v>-0.84</v>
      </c>
      <c r="AY4014">
        <v>47</v>
      </c>
      <c r="AZ4014">
        <v>7.89</v>
      </c>
      <c r="BA4014">
        <v>27</v>
      </c>
      <c r="BB4014">
        <v>5.74</v>
      </c>
      <c r="BC4014">
        <v>22</v>
      </c>
      <c r="BD4014">
        <v>0.01</v>
      </c>
      <c r="BE4014">
        <v>0.03</v>
      </c>
      <c r="BF4014">
        <v>0.04</v>
      </c>
      <c r="BG4014">
        <v>90</v>
      </c>
      <c r="BH4014">
        <v>0.01</v>
      </c>
      <c r="BI4014">
        <v>8.84</v>
      </c>
      <c r="BJ4014">
        <v>2</v>
      </c>
      <c r="BK4014">
        <v>2</v>
      </c>
      <c r="BL4014">
        <v>1.1499999999999999</v>
      </c>
      <c r="BM4014">
        <v>-1.06</v>
      </c>
      <c r="BN4014">
        <v>0.81</v>
      </c>
      <c r="BO4014">
        <v>1.7</v>
      </c>
      <c r="BP4014">
        <v>1.47</v>
      </c>
      <c r="BQ4014">
        <v>1.01</v>
      </c>
      <c r="BR4014">
        <v>-1.1499999999999999</v>
      </c>
      <c r="BS4014">
        <v>2.2999999999999998</v>
      </c>
      <c r="BT4014">
        <v>1.39</v>
      </c>
      <c r="BU4014">
        <v>2.4</v>
      </c>
      <c r="BV4014">
        <v>3.2</v>
      </c>
      <c r="BW4014">
        <v>2.81</v>
      </c>
      <c r="BX4014">
        <v>1.75</v>
      </c>
      <c r="BY4014">
        <v>2.16</v>
      </c>
      <c r="BZ4014">
        <v>-1.34</v>
      </c>
      <c r="CA4014">
        <v>2.74</v>
      </c>
      <c r="CB4014">
        <v>2.63</v>
      </c>
      <c r="CC4014">
        <v>1.89</v>
      </c>
      <c r="CD4014">
        <v>-1.38</v>
      </c>
      <c r="CE4014">
        <v>1.25</v>
      </c>
      <c r="CF4014">
        <v>1.87</v>
      </c>
      <c r="CG4014">
        <v>0</v>
      </c>
      <c r="CH4014">
        <v>1.38</v>
      </c>
      <c r="CI4014">
        <v>0</v>
      </c>
      <c r="CJ4014">
        <v>6.5</v>
      </c>
      <c r="CK4014">
        <v>67</v>
      </c>
      <c r="CL4014">
        <v>-0.98</v>
      </c>
      <c r="CM4014">
        <v>64</v>
      </c>
      <c r="CN4014">
        <v>-0.49</v>
      </c>
      <c r="CO4014">
        <v>62</v>
      </c>
      <c r="CP4014">
        <v>5.8</v>
      </c>
      <c r="CQ4014">
        <v>48</v>
      </c>
      <c r="CR4014">
        <v>0</v>
      </c>
      <c r="CS4014">
        <v>0</v>
      </c>
      <c r="CT4014">
        <v>17.2</v>
      </c>
      <c r="CU4014">
        <v>45</v>
      </c>
      <c r="CV4014">
        <v>0.44</v>
      </c>
      <c r="CW4014">
        <v>18</v>
      </c>
      <c r="CX4014" t="s">
        <v>2476</v>
      </c>
    </row>
    <row r="4015" spans="1:102" x14ac:dyDescent="0.3">
      <c r="A4015" t="str">
        <f>HYPERLINK("https://webapp.icbf.com/v2/app/bull-search/view/77854555","ODO")</f>
        <v>ODO</v>
      </c>
      <c r="B4015" t="s">
        <v>10367</v>
      </c>
      <c r="C4015" t="s">
        <v>10368</v>
      </c>
      <c r="D4015" s="1">
        <v>35409</v>
      </c>
      <c r="E4015" t="s">
        <v>92</v>
      </c>
      <c r="F4015">
        <v>100</v>
      </c>
      <c r="G4015" t="s">
        <v>93</v>
      </c>
      <c r="H4015">
        <v>-81.569999999999993</v>
      </c>
      <c r="I4015">
        <v>66</v>
      </c>
      <c r="J4015">
        <v>-14.11</v>
      </c>
      <c r="K4015">
        <v>87</v>
      </c>
      <c r="L4015">
        <v>-70.150000000000006</v>
      </c>
      <c r="M4015">
        <v>53</v>
      </c>
      <c r="N4015">
        <v>-7.54</v>
      </c>
      <c r="O4015">
        <v>52</v>
      </c>
      <c r="P4015">
        <v>5.48</v>
      </c>
      <c r="Q4015">
        <v>63</v>
      </c>
      <c r="R4015">
        <v>-1.07</v>
      </c>
      <c r="S4015">
        <v>57</v>
      </c>
      <c r="T4015">
        <v>5.54</v>
      </c>
      <c r="U4015">
        <v>69</v>
      </c>
      <c r="V4015">
        <v>0.28000000000000003</v>
      </c>
      <c r="W4015">
        <v>35</v>
      </c>
      <c r="X4015" t="s">
        <v>94</v>
      </c>
      <c r="Y4015" t="s">
        <v>95</v>
      </c>
      <c r="Z4015" t="s">
        <v>96</v>
      </c>
      <c r="AA4015" t="s">
        <v>924</v>
      </c>
      <c r="AB4015" t="s">
        <v>10369</v>
      </c>
      <c r="AC4015">
        <v>35</v>
      </c>
      <c r="AD4015">
        <v>34</v>
      </c>
      <c r="AE4015">
        <v>87</v>
      </c>
      <c r="AF4015">
        <v>33.54</v>
      </c>
      <c r="AG4015">
        <v>-5.5</v>
      </c>
      <c r="AH4015">
        <v>0.06</v>
      </c>
      <c r="AI4015">
        <v>-0.11</v>
      </c>
      <c r="AJ4015">
        <v>-0.02</v>
      </c>
      <c r="AK4015">
        <v>53</v>
      </c>
      <c r="AL4015">
        <v>33</v>
      </c>
      <c r="AM4015">
        <v>32</v>
      </c>
      <c r="AN4015">
        <v>4.1500000000000004</v>
      </c>
      <c r="AO4015">
        <v>-1.44</v>
      </c>
      <c r="AP4015">
        <v>1</v>
      </c>
      <c r="AQ4015">
        <v>5</v>
      </c>
      <c r="AR4015">
        <v>9.14</v>
      </c>
      <c r="AS4015">
        <v>33</v>
      </c>
      <c r="AT4015">
        <v>3.8</v>
      </c>
      <c r="AU4015">
        <v>47</v>
      </c>
      <c r="AV4015">
        <v>-0.35</v>
      </c>
      <c r="AW4015">
        <v>60</v>
      </c>
      <c r="AX4015">
        <v>0.25</v>
      </c>
      <c r="AY4015">
        <v>65</v>
      </c>
      <c r="AZ4015">
        <v>6.41</v>
      </c>
      <c r="BA4015">
        <v>35</v>
      </c>
      <c r="BB4015">
        <v>4.78</v>
      </c>
      <c r="BC4015">
        <v>44</v>
      </c>
      <c r="BD4015">
        <v>0.01</v>
      </c>
      <c r="BE4015">
        <v>0.02</v>
      </c>
      <c r="BF4015">
        <v>-0.03</v>
      </c>
      <c r="BG4015">
        <v>68</v>
      </c>
      <c r="BH4015">
        <v>0.1</v>
      </c>
      <c r="BI4015">
        <v>10.67</v>
      </c>
      <c r="BJ4015">
        <v>1</v>
      </c>
      <c r="BK4015">
        <v>1</v>
      </c>
      <c r="BL4015">
        <v>-0.18</v>
      </c>
      <c r="BM4015">
        <v>0.81</v>
      </c>
      <c r="BN4015">
        <v>-0.25</v>
      </c>
      <c r="BO4015">
        <v>-0.64</v>
      </c>
      <c r="BP4015">
        <v>0.1</v>
      </c>
      <c r="BQ4015">
        <v>-0.91</v>
      </c>
      <c r="BR4015">
        <v>0.27</v>
      </c>
      <c r="BS4015">
        <v>-0.99</v>
      </c>
      <c r="BT4015">
        <v>-0.28000000000000003</v>
      </c>
      <c r="BU4015">
        <v>-0.03</v>
      </c>
      <c r="BV4015">
        <v>0</v>
      </c>
      <c r="BW4015">
        <v>-0.48</v>
      </c>
      <c r="BX4015">
        <v>-0.03</v>
      </c>
      <c r="BY4015">
        <v>0.1</v>
      </c>
      <c r="BZ4015">
        <v>1.02</v>
      </c>
      <c r="CA4015">
        <v>-0.37</v>
      </c>
      <c r="CB4015">
        <v>-0.16</v>
      </c>
      <c r="CC4015">
        <v>-0.75</v>
      </c>
      <c r="CD4015">
        <v>0.89</v>
      </c>
      <c r="CE4015">
        <v>-0.34</v>
      </c>
      <c r="CF4015">
        <v>-0.72</v>
      </c>
      <c r="CG4015">
        <v>0</v>
      </c>
      <c r="CH4015">
        <v>-0.61</v>
      </c>
      <c r="CI4015">
        <v>0</v>
      </c>
      <c r="CJ4015">
        <v>2.2000000000000002</v>
      </c>
      <c r="CK4015">
        <v>64</v>
      </c>
      <c r="CL4015">
        <v>-0.52</v>
      </c>
      <c r="CM4015">
        <v>60</v>
      </c>
      <c r="CN4015">
        <v>-0.69</v>
      </c>
      <c r="CO4015">
        <v>54</v>
      </c>
      <c r="CP4015">
        <v>-1.8</v>
      </c>
      <c r="CQ4015">
        <v>77</v>
      </c>
      <c r="CR4015">
        <v>0</v>
      </c>
      <c r="CS4015">
        <v>0</v>
      </c>
      <c r="CT4015">
        <v>6.3</v>
      </c>
      <c r="CU4015">
        <v>69</v>
      </c>
      <c r="CV4015">
        <v>0.1</v>
      </c>
      <c r="CW4015">
        <v>17</v>
      </c>
      <c r="CX4015" t="s">
        <v>485</v>
      </c>
    </row>
    <row r="4016" spans="1:102" x14ac:dyDescent="0.3">
      <c r="A4016" t="str">
        <f>HYPERLINK("https://webapp.icbf.com/v2/app/bull-search/view/69092008","JOG")</f>
        <v>JOG</v>
      </c>
      <c r="B4016" t="s">
        <v>562</v>
      </c>
      <c r="C4016" t="s">
        <v>563</v>
      </c>
      <c r="D4016" s="1">
        <v>34759</v>
      </c>
      <c r="E4016" t="s">
        <v>92</v>
      </c>
      <c r="F4016">
        <v>100</v>
      </c>
      <c r="G4016" t="s">
        <v>109</v>
      </c>
      <c r="H4016">
        <v>-81.760000000000005</v>
      </c>
      <c r="I4016">
        <v>86</v>
      </c>
      <c r="J4016">
        <v>0.15</v>
      </c>
      <c r="K4016">
        <v>95</v>
      </c>
      <c r="L4016">
        <v>-102.44</v>
      </c>
      <c r="M4016">
        <v>88</v>
      </c>
      <c r="N4016">
        <v>12.97</v>
      </c>
      <c r="O4016">
        <v>74</v>
      </c>
      <c r="P4016">
        <v>-9.56</v>
      </c>
      <c r="Q4016">
        <v>85</v>
      </c>
      <c r="R4016">
        <v>11.28</v>
      </c>
      <c r="S4016">
        <v>79</v>
      </c>
      <c r="T4016">
        <v>12.64</v>
      </c>
      <c r="U4016">
        <v>72</v>
      </c>
      <c r="V4016">
        <v>-6.8</v>
      </c>
      <c r="W4016">
        <v>67</v>
      </c>
      <c r="X4016" t="s">
        <v>94</v>
      </c>
      <c r="Y4016" t="s">
        <v>95</v>
      </c>
      <c r="Z4016" t="s">
        <v>96</v>
      </c>
      <c r="AA4016" t="s">
        <v>564</v>
      </c>
      <c r="AB4016" t="s">
        <v>565</v>
      </c>
      <c r="AC4016">
        <v>41</v>
      </c>
      <c r="AD4016">
        <v>10</v>
      </c>
      <c r="AE4016">
        <v>95</v>
      </c>
      <c r="AF4016">
        <v>176.19</v>
      </c>
      <c r="AG4016">
        <v>-0.5</v>
      </c>
      <c r="AH4016">
        <v>2.9</v>
      </c>
      <c r="AI4016">
        <v>-0.13</v>
      </c>
      <c r="AJ4016">
        <v>-0.05</v>
      </c>
      <c r="AK4016">
        <v>88</v>
      </c>
      <c r="AL4016">
        <v>33</v>
      </c>
      <c r="AM4016">
        <v>13</v>
      </c>
      <c r="AN4016">
        <v>5.55</v>
      </c>
      <c r="AO4016">
        <v>-2.62</v>
      </c>
      <c r="AP4016">
        <v>26</v>
      </c>
      <c r="AQ4016">
        <v>0</v>
      </c>
      <c r="AR4016">
        <v>9.09</v>
      </c>
      <c r="AS4016">
        <v>70</v>
      </c>
      <c r="AT4016">
        <v>3.16</v>
      </c>
      <c r="AU4016">
        <v>89</v>
      </c>
      <c r="AV4016">
        <v>-2.0299999999999998</v>
      </c>
      <c r="AW4016">
        <v>73</v>
      </c>
      <c r="AX4016">
        <v>-0.83</v>
      </c>
      <c r="AY4016">
        <v>73</v>
      </c>
      <c r="AZ4016">
        <v>7.15</v>
      </c>
      <c r="BA4016">
        <v>55</v>
      </c>
      <c r="BB4016">
        <v>4.9800000000000004</v>
      </c>
      <c r="BC4016">
        <v>56</v>
      </c>
      <c r="BD4016">
        <v>-0.05</v>
      </c>
      <c r="BE4016">
        <v>-0.04</v>
      </c>
      <c r="BF4016">
        <v>-0.1</v>
      </c>
      <c r="BG4016">
        <v>91</v>
      </c>
      <c r="BH4016">
        <v>-0.14000000000000001</v>
      </c>
      <c r="BI4016">
        <v>5.75</v>
      </c>
      <c r="BJ4016">
        <v>1</v>
      </c>
      <c r="BK4016">
        <v>1</v>
      </c>
      <c r="BL4016">
        <v>-0.43</v>
      </c>
      <c r="BM4016">
        <v>-2.41</v>
      </c>
      <c r="BN4016">
        <v>-1.56</v>
      </c>
      <c r="BO4016">
        <v>-0.12</v>
      </c>
      <c r="BP4016">
        <v>-3.27</v>
      </c>
      <c r="BQ4016">
        <v>-1.29</v>
      </c>
      <c r="BR4016">
        <v>0.15</v>
      </c>
      <c r="BS4016">
        <v>-1.2</v>
      </c>
      <c r="BT4016">
        <v>0.56999999999999995</v>
      </c>
      <c r="BU4016">
        <v>0.81</v>
      </c>
      <c r="BV4016">
        <v>1.01</v>
      </c>
      <c r="BW4016">
        <v>2.19</v>
      </c>
      <c r="BX4016">
        <v>0.92</v>
      </c>
      <c r="BY4016">
        <v>2.0499999999999998</v>
      </c>
      <c r="BZ4016">
        <v>-0.94</v>
      </c>
      <c r="CA4016">
        <v>0.43</v>
      </c>
      <c r="CB4016">
        <v>1</v>
      </c>
      <c r="CC4016">
        <v>-0.8</v>
      </c>
      <c r="CD4016">
        <v>-0.69</v>
      </c>
      <c r="CE4016">
        <v>0.77</v>
      </c>
      <c r="CF4016">
        <v>-1.48</v>
      </c>
      <c r="CG4016">
        <v>0</v>
      </c>
      <c r="CH4016">
        <v>2.21</v>
      </c>
      <c r="CI4016">
        <v>0</v>
      </c>
      <c r="CJ4016">
        <v>-4.3</v>
      </c>
      <c r="CK4016">
        <v>86</v>
      </c>
      <c r="CL4016">
        <v>-0.63</v>
      </c>
      <c r="CM4016">
        <v>84</v>
      </c>
      <c r="CN4016">
        <v>-0.33</v>
      </c>
      <c r="CO4016">
        <v>82</v>
      </c>
      <c r="CP4016">
        <v>-6.6</v>
      </c>
      <c r="CQ4016">
        <v>81</v>
      </c>
      <c r="CR4016">
        <v>0</v>
      </c>
      <c r="CS4016">
        <v>0</v>
      </c>
      <c r="CT4016">
        <v>-3.3</v>
      </c>
      <c r="CU4016">
        <v>72</v>
      </c>
      <c r="CV4016">
        <v>7.0000000000000007E-2</v>
      </c>
      <c r="CW4016">
        <v>43</v>
      </c>
      <c r="CX4016" t="s">
        <v>485</v>
      </c>
    </row>
    <row r="4017" spans="1:102" x14ac:dyDescent="0.3">
      <c r="A4017" t="str">
        <f>HYPERLINK("https://webapp.icbf.com/v2/app/bull-search/view/77854987","NDA")</f>
        <v>NDA</v>
      </c>
      <c r="B4017" t="s">
        <v>11587</v>
      </c>
      <c r="C4017" t="s">
        <v>11588</v>
      </c>
      <c r="D4017" s="1">
        <v>35580</v>
      </c>
      <c r="E4017" t="s">
        <v>92</v>
      </c>
      <c r="F4017">
        <v>100</v>
      </c>
      <c r="G4017" t="s">
        <v>93</v>
      </c>
      <c r="H4017">
        <v>-81.8</v>
      </c>
      <c r="I4017">
        <v>84</v>
      </c>
      <c r="J4017">
        <v>-7.81</v>
      </c>
      <c r="K4017">
        <v>96</v>
      </c>
      <c r="L4017">
        <v>-67.48</v>
      </c>
      <c r="M4017">
        <v>79</v>
      </c>
      <c r="N4017">
        <v>-0.02</v>
      </c>
      <c r="O4017">
        <v>74</v>
      </c>
      <c r="P4017">
        <v>2.35</v>
      </c>
      <c r="Q4017">
        <v>84</v>
      </c>
      <c r="R4017">
        <v>-8.8699999999999992</v>
      </c>
      <c r="S4017">
        <v>78</v>
      </c>
      <c r="T4017">
        <v>-0.01</v>
      </c>
      <c r="U4017">
        <v>83</v>
      </c>
      <c r="V4017">
        <v>0.04</v>
      </c>
      <c r="W4017">
        <v>68</v>
      </c>
      <c r="X4017" t="s">
        <v>94</v>
      </c>
      <c r="Y4017" t="s">
        <v>95</v>
      </c>
      <c r="Z4017" t="s">
        <v>96</v>
      </c>
      <c r="AA4017" t="s">
        <v>753</v>
      </c>
      <c r="AB4017" t="s">
        <v>11589</v>
      </c>
      <c r="AC4017">
        <v>74</v>
      </c>
      <c r="AD4017">
        <v>74</v>
      </c>
      <c r="AE4017">
        <v>96</v>
      </c>
      <c r="AF4017">
        <v>81.69</v>
      </c>
      <c r="AG4017">
        <v>-1.35</v>
      </c>
      <c r="AH4017">
        <v>0.4</v>
      </c>
      <c r="AI4017">
        <v>-0.08</v>
      </c>
      <c r="AJ4017">
        <v>-0.04</v>
      </c>
      <c r="AK4017">
        <v>79</v>
      </c>
      <c r="AL4017">
        <v>82</v>
      </c>
      <c r="AM4017">
        <v>75</v>
      </c>
      <c r="AN4017">
        <v>3.04</v>
      </c>
      <c r="AO4017">
        <v>-2.35</v>
      </c>
      <c r="AP4017">
        <v>1</v>
      </c>
      <c r="AQ4017">
        <v>0</v>
      </c>
      <c r="AR4017">
        <v>8.07</v>
      </c>
      <c r="AS4017">
        <v>67</v>
      </c>
      <c r="AT4017">
        <v>3.34</v>
      </c>
      <c r="AU4017">
        <v>77</v>
      </c>
      <c r="AV4017">
        <v>-0.7</v>
      </c>
      <c r="AW4017">
        <v>76</v>
      </c>
      <c r="AX4017">
        <v>-0.56999999999999995</v>
      </c>
      <c r="AY4017">
        <v>78</v>
      </c>
      <c r="AZ4017">
        <v>6.89</v>
      </c>
      <c r="BA4017">
        <v>62</v>
      </c>
      <c r="BB4017">
        <v>5.6</v>
      </c>
      <c r="BC4017">
        <v>65</v>
      </c>
      <c r="BD4017">
        <v>0.03</v>
      </c>
      <c r="BE4017">
        <v>0.06</v>
      </c>
      <c r="BF4017">
        <v>0.04</v>
      </c>
      <c r="BG4017">
        <v>88</v>
      </c>
      <c r="BH4017">
        <v>0.09</v>
      </c>
      <c r="BI4017">
        <v>10.27</v>
      </c>
      <c r="BJ4017">
        <v>25</v>
      </c>
      <c r="BK4017">
        <v>23</v>
      </c>
      <c r="BL4017">
        <v>-0.05</v>
      </c>
      <c r="BM4017">
        <v>1.21</v>
      </c>
      <c r="BN4017">
        <v>0.11</v>
      </c>
      <c r="BO4017">
        <v>-0.48</v>
      </c>
      <c r="BP4017">
        <v>-1.1000000000000001</v>
      </c>
      <c r="BQ4017">
        <v>0.87</v>
      </c>
      <c r="BR4017">
        <v>0.72</v>
      </c>
      <c r="BS4017">
        <v>-0.87</v>
      </c>
      <c r="BT4017">
        <v>-0.27</v>
      </c>
      <c r="BU4017">
        <v>-0.04</v>
      </c>
      <c r="BV4017">
        <v>-0.53</v>
      </c>
      <c r="BW4017">
        <v>-1.05</v>
      </c>
      <c r="BX4017">
        <v>-0.4</v>
      </c>
      <c r="BY4017">
        <v>-0.44</v>
      </c>
      <c r="BZ4017">
        <v>1.54</v>
      </c>
      <c r="CA4017">
        <v>-0.16</v>
      </c>
      <c r="CB4017">
        <v>0.1</v>
      </c>
      <c r="CC4017">
        <v>-0.59</v>
      </c>
      <c r="CD4017">
        <v>0.96</v>
      </c>
      <c r="CE4017">
        <v>0.16</v>
      </c>
      <c r="CF4017">
        <v>0.3</v>
      </c>
      <c r="CG4017">
        <v>0</v>
      </c>
      <c r="CH4017">
        <v>-0.17</v>
      </c>
      <c r="CI4017">
        <v>0</v>
      </c>
      <c r="CJ4017">
        <v>3.6</v>
      </c>
      <c r="CK4017">
        <v>85</v>
      </c>
      <c r="CL4017">
        <v>-0.42</v>
      </c>
      <c r="CM4017">
        <v>82</v>
      </c>
      <c r="CN4017">
        <v>-0.14000000000000001</v>
      </c>
      <c r="CO4017">
        <v>80</v>
      </c>
      <c r="CP4017">
        <v>0.5</v>
      </c>
      <c r="CQ4017">
        <v>89</v>
      </c>
      <c r="CR4017">
        <v>0</v>
      </c>
      <c r="CS4017">
        <v>0</v>
      </c>
      <c r="CT4017">
        <v>13.8</v>
      </c>
      <c r="CU4017">
        <v>83</v>
      </c>
      <c r="CV4017">
        <v>0.17</v>
      </c>
      <c r="CW4017">
        <v>43</v>
      </c>
      <c r="CX4017" t="s">
        <v>485</v>
      </c>
    </row>
    <row r="4018" spans="1:102" x14ac:dyDescent="0.3">
      <c r="A4018" t="str">
        <f>HYPERLINK("https://webapp.icbf.com/v2/app/bull-search/view/77857411","FRN")</f>
        <v>FRN</v>
      </c>
      <c r="B4018" t="s">
        <v>3381</v>
      </c>
      <c r="C4018" t="s">
        <v>3382</v>
      </c>
      <c r="D4018" s="1">
        <v>35115</v>
      </c>
      <c r="E4018" t="s">
        <v>92</v>
      </c>
      <c r="F4018">
        <v>100</v>
      </c>
      <c r="G4018" t="s">
        <v>93</v>
      </c>
      <c r="H4018">
        <v>-81.849999999999994</v>
      </c>
      <c r="I4018">
        <v>82</v>
      </c>
      <c r="J4018">
        <v>-2.69</v>
      </c>
      <c r="K4018">
        <v>94</v>
      </c>
      <c r="L4018">
        <v>-72.59</v>
      </c>
      <c r="M4018">
        <v>77</v>
      </c>
      <c r="N4018">
        <v>-5.08</v>
      </c>
      <c r="O4018">
        <v>66</v>
      </c>
      <c r="P4018">
        <v>-9.49</v>
      </c>
      <c r="Q4018">
        <v>84</v>
      </c>
      <c r="R4018">
        <v>-7.07</v>
      </c>
      <c r="S4018">
        <v>74</v>
      </c>
      <c r="T4018">
        <v>19.75</v>
      </c>
      <c r="U4018">
        <v>78</v>
      </c>
      <c r="V4018">
        <v>-4.68</v>
      </c>
      <c r="W4018">
        <v>66</v>
      </c>
      <c r="X4018" t="s">
        <v>94</v>
      </c>
      <c r="Y4018" t="s">
        <v>95</v>
      </c>
      <c r="Z4018" t="s">
        <v>96</v>
      </c>
      <c r="AA4018" t="s">
        <v>3383</v>
      </c>
      <c r="AB4018" t="s">
        <v>3384</v>
      </c>
      <c r="AC4018">
        <v>46</v>
      </c>
      <c r="AD4018">
        <v>36</v>
      </c>
      <c r="AE4018">
        <v>94</v>
      </c>
      <c r="AF4018">
        <v>174.43</v>
      </c>
      <c r="AG4018">
        <v>0.09</v>
      </c>
      <c r="AH4018">
        <v>2.1800000000000002</v>
      </c>
      <c r="AI4018">
        <v>-0.11</v>
      </c>
      <c r="AJ4018">
        <v>-0.06</v>
      </c>
      <c r="AK4018">
        <v>77</v>
      </c>
      <c r="AL4018">
        <v>59</v>
      </c>
      <c r="AM4018">
        <v>34</v>
      </c>
      <c r="AN4018">
        <v>3.9</v>
      </c>
      <c r="AO4018">
        <v>-1.89</v>
      </c>
      <c r="AP4018">
        <v>2</v>
      </c>
      <c r="AQ4018">
        <v>0</v>
      </c>
      <c r="AR4018">
        <v>10.95</v>
      </c>
      <c r="AS4018">
        <v>52</v>
      </c>
      <c r="AT4018">
        <v>4.04</v>
      </c>
      <c r="AU4018">
        <v>72</v>
      </c>
      <c r="AV4018">
        <v>-1.64</v>
      </c>
      <c r="AW4018">
        <v>70</v>
      </c>
      <c r="AX4018">
        <v>-0.77</v>
      </c>
      <c r="AY4018">
        <v>72</v>
      </c>
      <c r="AZ4018">
        <v>7.27</v>
      </c>
      <c r="BA4018">
        <v>44</v>
      </c>
      <c r="BB4018">
        <v>4.92</v>
      </c>
      <c r="BC4018">
        <v>56</v>
      </c>
      <c r="BD4018">
        <v>0.04</v>
      </c>
      <c r="BE4018">
        <v>0.04</v>
      </c>
      <c r="BF4018">
        <v>0.02</v>
      </c>
      <c r="BG4018">
        <v>85</v>
      </c>
      <c r="BH4018">
        <v>-0.03</v>
      </c>
      <c r="BI4018">
        <v>11.62</v>
      </c>
      <c r="BJ4018">
        <v>0</v>
      </c>
      <c r="BK4018">
        <v>0</v>
      </c>
      <c r="BL4018">
        <v>-0.35</v>
      </c>
      <c r="BM4018">
        <v>-0.4</v>
      </c>
      <c r="BN4018">
        <v>-1.97</v>
      </c>
      <c r="BO4018">
        <v>-1.17</v>
      </c>
      <c r="BP4018">
        <v>2.39</v>
      </c>
      <c r="BQ4018">
        <v>-1.18</v>
      </c>
      <c r="BR4018">
        <v>-1.1599999999999999</v>
      </c>
      <c r="BS4018">
        <v>-1.57</v>
      </c>
      <c r="BT4018">
        <v>0.9</v>
      </c>
      <c r="BU4018">
        <v>-0.46</v>
      </c>
      <c r="BV4018">
        <v>-0.11</v>
      </c>
      <c r="BW4018">
        <v>0.26</v>
      </c>
      <c r="BX4018">
        <v>-0.26</v>
      </c>
      <c r="BY4018">
        <v>-0.28000000000000003</v>
      </c>
      <c r="BZ4018">
        <v>0.81</v>
      </c>
      <c r="CA4018">
        <v>-0.59</v>
      </c>
      <c r="CB4018">
        <v>-0.36</v>
      </c>
      <c r="CC4018">
        <v>-0.56999999999999995</v>
      </c>
      <c r="CD4018">
        <v>0.51</v>
      </c>
      <c r="CE4018">
        <v>-0.3</v>
      </c>
      <c r="CF4018">
        <v>-1.32</v>
      </c>
      <c r="CG4018">
        <v>0</v>
      </c>
      <c r="CH4018">
        <v>-0.71</v>
      </c>
      <c r="CI4018">
        <v>0</v>
      </c>
      <c r="CJ4018">
        <v>-5.4</v>
      </c>
      <c r="CK4018">
        <v>85</v>
      </c>
      <c r="CL4018">
        <v>-0.56000000000000005</v>
      </c>
      <c r="CM4018">
        <v>82</v>
      </c>
      <c r="CN4018">
        <v>-0.46</v>
      </c>
      <c r="CO4018">
        <v>80</v>
      </c>
      <c r="CP4018">
        <v>-11</v>
      </c>
      <c r="CQ4018">
        <v>83</v>
      </c>
      <c r="CR4018">
        <v>0</v>
      </c>
      <c r="CS4018">
        <v>0</v>
      </c>
      <c r="CT4018">
        <v>-12.9</v>
      </c>
      <c r="CU4018">
        <v>78</v>
      </c>
      <c r="CV4018">
        <v>-0.01</v>
      </c>
      <c r="CW4018">
        <v>42</v>
      </c>
      <c r="CX4018" t="s">
        <v>161</v>
      </c>
    </row>
    <row r="4019" spans="1:102" x14ac:dyDescent="0.3">
      <c r="A4019" t="str">
        <f>HYPERLINK("https://webapp.icbf.com/v2/app/bull-search/view/403241921","NVA")</f>
        <v>NVA</v>
      </c>
      <c r="B4019" t="s">
        <v>7091</v>
      </c>
      <c r="C4019" t="s">
        <v>7092</v>
      </c>
      <c r="D4019" s="1">
        <v>35670</v>
      </c>
      <c r="E4019" t="s">
        <v>895</v>
      </c>
      <c r="F4019">
        <v>0</v>
      </c>
      <c r="G4019" t="s">
        <v>93</v>
      </c>
      <c r="H4019">
        <v>-81.97</v>
      </c>
      <c r="I4019">
        <v>55</v>
      </c>
      <c r="J4019">
        <v>-8.8699999999999992</v>
      </c>
      <c r="K4019">
        <v>74</v>
      </c>
      <c r="L4019">
        <v>-87.49</v>
      </c>
      <c r="M4019">
        <v>39</v>
      </c>
      <c r="N4019">
        <v>-11.3</v>
      </c>
      <c r="O4019">
        <v>39</v>
      </c>
      <c r="P4019">
        <v>-9.2899999999999991</v>
      </c>
      <c r="Q4019">
        <v>83</v>
      </c>
      <c r="R4019">
        <v>6.54</v>
      </c>
      <c r="S4019">
        <v>36</v>
      </c>
      <c r="T4019">
        <v>30.25</v>
      </c>
      <c r="U4019">
        <v>63</v>
      </c>
      <c r="V4019">
        <v>-1.81</v>
      </c>
      <c r="W4019">
        <v>10</v>
      </c>
      <c r="X4019" t="s">
        <v>94</v>
      </c>
      <c r="Y4019" t="s">
        <v>95</v>
      </c>
      <c r="Z4019">
        <v>0</v>
      </c>
      <c r="AA4019" t="s">
        <v>1284</v>
      </c>
      <c r="AB4019" t="s">
        <v>7093</v>
      </c>
      <c r="AC4019">
        <v>32</v>
      </c>
      <c r="AD4019">
        <v>3</v>
      </c>
      <c r="AE4019">
        <v>74</v>
      </c>
      <c r="AF4019">
        <v>-127.61</v>
      </c>
      <c r="AG4019">
        <v>-1.22</v>
      </c>
      <c r="AH4019">
        <v>-3.03</v>
      </c>
      <c r="AI4019">
        <v>0.06</v>
      </c>
      <c r="AJ4019">
        <v>0.02</v>
      </c>
      <c r="AK4019">
        <v>39</v>
      </c>
      <c r="AL4019">
        <v>33</v>
      </c>
      <c r="AM4019">
        <v>8</v>
      </c>
      <c r="AN4019">
        <v>6.09</v>
      </c>
      <c r="AO4019">
        <v>-0.87</v>
      </c>
      <c r="AP4019">
        <v>4</v>
      </c>
      <c r="AQ4019">
        <v>0</v>
      </c>
      <c r="AR4019">
        <v>8.25</v>
      </c>
      <c r="AS4019">
        <v>10</v>
      </c>
      <c r="AT4019">
        <v>3.91</v>
      </c>
      <c r="AU4019">
        <v>22</v>
      </c>
      <c r="AV4019">
        <v>0.96</v>
      </c>
      <c r="AW4019">
        <v>60</v>
      </c>
      <c r="AX4019">
        <v>-0.47</v>
      </c>
      <c r="AY4019">
        <v>59</v>
      </c>
      <c r="AZ4019">
        <v>5.41</v>
      </c>
      <c r="BA4019">
        <v>6</v>
      </c>
      <c r="BB4019">
        <v>4.3899999999999997</v>
      </c>
      <c r="BC4019">
        <v>15</v>
      </c>
      <c r="BD4019">
        <v>-0.02</v>
      </c>
      <c r="BE4019">
        <v>-0.03</v>
      </c>
      <c r="BF4019">
        <v>-0.06</v>
      </c>
      <c r="BG4019">
        <v>45</v>
      </c>
      <c r="BH4019">
        <v>0.06</v>
      </c>
      <c r="BI4019">
        <v>12.79</v>
      </c>
      <c r="BJ4019">
        <v>0</v>
      </c>
      <c r="BK4019">
        <v>0</v>
      </c>
      <c r="BL4019">
        <v>0</v>
      </c>
      <c r="BM4019">
        <v>0</v>
      </c>
      <c r="BN4019">
        <v>0</v>
      </c>
      <c r="BO4019">
        <v>0</v>
      </c>
      <c r="BP4019">
        <v>0</v>
      </c>
      <c r="BQ4019">
        <v>0</v>
      </c>
      <c r="BR4019">
        <v>0</v>
      </c>
      <c r="BS4019">
        <v>0</v>
      </c>
      <c r="BT4019">
        <v>0</v>
      </c>
      <c r="BU4019">
        <v>0</v>
      </c>
      <c r="BV4019">
        <v>0</v>
      </c>
      <c r="BW4019">
        <v>0</v>
      </c>
      <c r="BX4019">
        <v>0</v>
      </c>
      <c r="BY4019">
        <v>0</v>
      </c>
      <c r="BZ4019">
        <v>0</v>
      </c>
      <c r="CA4019">
        <v>0</v>
      </c>
      <c r="CB4019">
        <v>0</v>
      </c>
      <c r="CC4019">
        <v>0</v>
      </c>
      <c r="CD4019">
        <v>0</v>
      </c>
      <c r="CE4019">
        <v>0</v>
      </c>
      <c r="CF4019">
        <v>0</v>
      </c>
      <c r="CG4019">
        <v>0</v>
      </c>
      <c r="CH4019">
        <v>0</v>
      </c>
      <c r="CI4019">
        <v>0</v>
      </c>
      <c r="CJ4019">
        <v>-5</v>
      </c>
      <c r="CK4019">
        <v>85</v>
      </c>
      <c r="CL4019">
        <v>-0.27</v>
      </c>
      <c r="CM4019">
        <v>82</v>
      </c>
      <c r="CN4019">
        <v>-0.23</v>
      </c>
      <c r="CO4019">
        <v>79</v>
      </c>
      <c r="CP4019">
        <v>-15.3</v>
      </c>
      <c r="CQ4019">
        <v>77</v>
      </c>
      <c r="CR4019">
        <v>0</v>
      </c>
      <c r="CS4019">
        <v>0</v>
      </c>
      <c r="CT4019">
        <v>-27.1</v>
      </c>
      <c r="CU4019">
        <v>63</v>
      </c>
      <c r="CV4019">
        <v>-0.1</v>
      </c>
      <c r="CW4019">
        <v>22</v>
      </c>
      <c r="CX4019" t="s">
        <v>7094</v>
      </c>
    </row>
    <row r="4020" spans="1:102" x14ac:dyDescent="0.3">
      <c r="A4020" t="str">
        <f>HYPERLINK("https://webapp.icbf.com/v2/app/bull-search/view/328711707","ARX")</f>
        <v>ARX</v>
      </c>
      <c r="B4020" t="s">
        <v>5203</v>
      </c>
      <c r="C4020" t="s">
        <v>5204</v>
      </c>
      <c r="D4020" s="1">
        <v>38024</v>
      </c>
      <c r="E4020" t="s">
        <v>92</v>
      </c>
      <c r="F4020">
        <v>94</v>
      </c>
      <c r="G4020" t="s">
        <v>93</v>
      </c>
      <c r="H4020">
        <v>-82.08</v>
      </c>
      <c r="I4020">
        <v>86</v>
      </c>
      <c r="J4020">
        <v>8.7899999999999991</v>
      </c>
      <c r="K4020">
        <v>96</v>
      </c>
      <c r="L4020">
        <v>-58.95</v>
      </c>
      <c r="M4020">
        <v>78</v>
      </c>
      <c r="N4020">
        <v>-19.260000000000002</v>
      </c>
      <c r="O4020">
        <v>85</v>
      </c>
      <c r="P4020">
        <v>-8.11</v>
      </c>
      <c r="Q4020">
        <v>90</v>
      </c>
      <c r="R4020">
        <v>-7.66</v>
      </c>
      <c r="S4020">
        <v>81</v>
      </c>
      <c r="T4020">
        <v>11.75</v>
      </c>
      <c r="U4020">
        <v>87</v>
      </c>
      <c r="V4020">
        <v>-8.64</v>
      </c>
      <c r="W4020">
        <v>78</v>
      </c>
      <c r="X4020" t="s">
        <v>94</v>
      </c>
      <c r="Y4020" t="s">
        <v>95</v>
      </c>
      <c r="Z4020" t="s">
        <v>96</v>
      </c>
      <c r="AA4020" t="s">
        <v>4342</v>
      </c>
      <c r="AB4020" t="s">
        <v>5205</v>
      </c>
      <c r="AC4020">
        <v>73</v>
      </c>
      <c r="AD4020">
        <v>56</v>
      </c>
      <c r="AE4020">
        <v>96</v>
      </c>
      <c r="AF4020">
        <v>-87.33</v>
      </c>
      <c r="AG4020">
        <v>-3.65</v>
      </c>
      <c r="AH4020">
        <v>1.45</v>
      </c>
      <c r="AI4020">
        <v>0</v>
      </c>
      <c r="AJ4020">
        <v>0.08</v>
      </c>
      <c r="AK4020">
        <v>78</v>
      </c>
      <c r="AL4020">
        <v>72</v>
      </c>
      <c r="AM4020">
        <v>57</v>
      </c>
      <c r="AN4020">
        <v>0.98</v>
      </c>
      <c r="AO4020">
        <v>-3.75</v>
      </c>
      <c r="AP4020">
        <v>180</v>
      </c>
      <c r="AQ4020">
        <v>0</v>
      </c>
      <c r="AR4020">
        <v>8.6300000000000008</v>
      </c>
      <c r="AS4020">
        <v>69</v>
      </c>
      <c r="AT4020">
        <v>3.97</v>
      </c>
      <c r="AU4020">
        <v>87</v>
      </c>
      <c r="AV4020">
        <v>0.68</v>
      </c>
      <c r="AW4020">
        <v>95</v>
      </c>
      <c r="AX4020">
        <v>-0.47</v>
      </c>
      <c r="AY4020">
        <v>80</v>
      </c>
      <c r="AZ4020">
        <v>6.99</v>
      </c>
      <c r="BA4020">
        <v>64</v>
      </c>
      <c r="BB4020">
        <v>5.63</v>
      </c>
      <c r="BC4020">
        <v>68</v>
      </c>
      <c r="BD4020">
        <v>0</v>
      </c>
      <c r="BE4020">
        <v>0.04</v>
      </c>
      <c r="BF4020">
        <v>0.1</v>
      </c>
      <c r="BG4020">
        <v>88</v>
      </c>
      <c r="BH4020">
        <v>-0.23</v>
      </c>
      <c r="BI4020">
        <v>1.28</v>
      </c>
      <c r="BJ4020">
        <v>40</v>
      </c>
      <c r="BK4020">
        <v>31</v>
      </c>
      <c r="BL4020">
        <v>0.03</v>
      </c>
      <c r="BM4020">
        <v>0.47</v>
      </c>
      <c r="BN4020">
        <v>-0.13</v>
      </c>
      <c r="BO4020">
        <v>-0.38</v>
      </c>
      <c r="BP4020">
        <v>1.97</v>
      </c>
      <c r="BQ4020">
        <v>-0.4</v>
      </c>
      <c r="BR4020">
        <v>-0.42</v>
      </c>
      <c r="BS4020">
        <v>1.08</v>
      </c>
      <c r="BT4020">
        <v>0.04</v>
      </c>
      <c r="BU4020">
        <v>-2.11</v>
      </c>
      <c r="BV4020">
        <v>-0.5</v>
      </c>
      <c r="BW4020">
        <v>-1</v>
      </c>
      <c r="BX4020">
        <v>-0.34</v>
      </c>
      <c r="BY4020">
        <v>-2.64</v>
      </c>
      <c r="BZ4020">
        <v>0.56000000000000005</v>
      </c>
      <c r="CA4020">
        <v>-1.1299999999999999</v>
      </c>
      <c r="CB4020">
        <v>-1.76</v>
      </c>
      <c r="CC4020">
        <v>0.56000000000000005</v>
      </c>
      <c r="CD4020">
        <v>0.51</v>
      </c>
      <c r="CE4020">
        <v>-0.4</v>
      </c>
      <c r="CF4020">
        <v>0.17</v>
      </c>
      <c r="CG4020">
        <v>0</v>
      </c>
      <c r="CH4020">
        <v>-3.09</v>
      </c>
      <c r="CI4020">
        <v>0</v>
      </c>
      <c r="CJ4020">
        <v>-2.8</v>
      </c>
      <c r="CK4020">
        <v>91</v>
      </c>
      <c r="CL4020">
        <v>-0.64</v>
      </c>
      <c r="CM4020">
        <v>89</v>
      </c>
      <c r="CN4020">
        <v>-0.28000000000000003</v>
      </c>
      <c r="CO4020">
        <v>87</v>
      </c>
      <c r="CP4020">
        <v>-6.1</v>
      </c>
      <c r="CQ4020">
        <v>89</v>
      </c>
      <c r="CR4020">
        <v>0</v>
      </c>
      <c r="CS4020">
        <v>0</v>
      </c>
      <c r="CT4020">
        <v>-2.1</v>
      </c>
      <c r="CU4020">
        <v>87</v>
      </c>
      <c r="CV4020">
        <v>0.04</v>
      </c>
      <c r="CW4020">
        <v>44</v>
      </c>
      <c r="CX4020" t="s">
        <v>722</v>
      </c>
    </row>
    <row r="4021" spans="1:102" x14ac:dyDescent="0.3">
      <c r="A4021" t="str">
        <f>HYPERLINK("https://webapp.icbf.com/v2/app/bull-search/view/423579354","TDZ")</f>
        <v>TDZ</v>
      </c>
      <c r="B4021" t="s">
        <v>4447</v>
      </c>
      <c r="C4021" t="s">
        <v>4448</v>
      </c>
      <c r="D4021" s="1">
        <v>36675</v>
      </c>
      <c r="E4021" t="s">
        <v>92</v>
      </c>
      <c r="F4021">
        <v>100</v>
      </c>
      <c r="G4021" t="s">
        <v>93</v>
      </c>
      <c r="H4021">
        <v>-82.5</v>
      </c>
      <c r="I4021">
        <v>97</v>
      </c>
      <c r="J4021">
        <v>56.42</v>
      </c>
      <c r="K4021">
        <v>99</v>
      </c>
      <c r="L4021">
        <v>-129</v>
      </c>
      <c r="M4021">
        <v>93</v>
      </c>
      <c r="N4021">
        <v>16.399999999999999</v>
      </c>
      <c r="O4021">
        <v>98</v>
      </c>
      <c r="P4021">
        <v>5.98</v>
      </c>
      <c r="Q4021">
        <v>99</v>
      </c>
      <c r="R4021">
        <v>5.42</v>
      </c>
      <c r="S4021">
        <v>95</v>
      </c>
      <c r="T4021">
        <v>-26.36</v>
      </c>
      <c r="U4021">
        <v>98</v>
      </c>
      <c r="V4021">
        <v>-11.36</v>
      </c>
      <c r="W4021">
        <v>97</v>
      </c>
      <c r="X4021" t="s">
        <v>276</v>
      </c>
      <c r="Y4021" t="s">
        <v>1208</v>
      </c>
      <c r="Z4021" t="s">
        <v>96</v>
      </c>
      <c r="AA4021" t="s">
        <v>174</v>
      </c>
      <c r="AB4021" t="s">
        <v>4449</v>
      </c>
      <c r="AC4021">
        <v>1151</v>
      </c>
      <c r="AD4021">
        <v>391</v>
      </c>
      <c r="AE4021">
        <v>99</v>
      </c>
      <c r="AF4021">
        <v>205.55</v>
      </c>
      <c r="AG4021">
        <v>9.39</v>
      </c>
      <c r="AH4021">
        <v>9.42</v>
      </c>
      <c r="AI4021">
        <v>0.02</v>
      </c>
      <c r="AJ4021">
        <v>0.04</v>
      </c>
      <c r="AK4021">
        <v>93</v>
      </c>
      <c r="AL4021">
        <v>1201</v>
      </c>
      <c r="AM4021">
        <v>435</v>
      </c>
      <c r="AN4021">
        <v>6.08</v>
      </c>
      <c r="AO4021">
        <v>-4.22</v>
      </c>
      <c r="AP4021">
        <v>2098</v>
      </c>
      <c r="AQ4021">
        <v>3</v>
      </c>
      <c r="AR4021">
        <v>7.99</v>
      </c>
      <c r="AS4021">
        <v>96</v>
      </c>
      <c r="AT4021">
        <v>3.12</v>
      </c>
      <c r="AU4021">
        <v>98</v>
      </c>
      <c r="AV4021">
        <v>-1.87</v>
      </c>
      <c r="AW4021">
        <v>99</v>
      </c>
      <c r="AX4021">
        <v>-0.51</v>
      </c>
      <c r="AY4021">
        <v>98</v>
      </c>
      <c r="AZ4021">
        <v>6.25</v>
      </c>
      <c r="BA4021">
        <v>93</v>
      </c>
      <c r="BB4021">
        <v>4.8099999999999996</v>
      </c>
      <c r="BC4021">
        <v>93</v>
      </c>
      <c r="BD4021">
        <v>-0.04</v>
      </c>
      <c r="BE4021">
        <v>-0.02</v>
      </c>
      <c r="BF4021">
        <v>-0.02</v>
      </c>
      <c r="BG4021">
        <v>98</v>
      </c>
      <c r="BH4021">
        <v>-0.21</v>
      </c>
      <c r="BI4021">
        <v>12.35</v>
      </c>
      <c r="BJ4021">
        <v>177</v>
      </c>
      <c r="BK4021">
        <v>49</v>
      </c>
      <c r="BL4021">
        <v>1.1599999999999999</v>
      </c>
      <c r="BM4021">
        <v>2.29</v>
      </c>
      <c r="BN4021">
        <v>2.21</v>
      </c>
      <c r="BO4021">
        <v>0.56999999999999995</v>
      </c>
      <c r="BP4021">
        <v>-0.06</v>
      </c>
      <c r="BQ4021">
        <v>1.28</v>
      </c>
      <c r="BR4021">
        <v>1</v>
      </c>
      <c r="BS4021">
        <v>-3.32</v>
      </c>
      <c r="BT4021">
        <v>-1.77</v>
      </c>
      <c r="BU4021">
        <v>0.45</v>
      </c>
      <c r="BV4021">
        <v>0.68</v>
      </c>
      <c r="BW4021">
        <v>1.04</v>
      </c>
      <c r="BX4021">
        <v>0.12</v>
      </c>
      <c r="BY4021">
        <v>1.94</v>
      </c>
      <c r="BZ4021">
        <v>0.5</v>
      </c>
      <c r="CA4021">
        <v>-0.14000000000000001</v>
      </c>
      <c r="CB4021">
        <v>1.1399999999999999</v>
      </c>
      <c r="CC4021">
        <v>-2.5099999999999998</v>
      </c>
      <c r="CD4021">
        <v>0.4</v>
      </c>
      <c r="CE4021">
        <v>0.53</v>
      </c>
      <c r="CF4021">
        <v>1.51</v>
      </c>
      <c r="CG4021">
        <v>0</v>
      </c>
      <c r="CH4021">
        <v>2.04</v>
      </c>
      <c r="CI4021">
        <v>0</v>
      </c>
      <c r="CJ4021">
        <v>6.6</v>
      </c>
      <c r="CK4021">
        <v>99</v>
      </c>
      <c r="CL4021">
        <v>-0.94</v>
      </c>
      <c r="CM4021">
        <v>99</v>
      </c>
      <c r="CN4021">
        <v>-0.31</v>
      </c>
      <c r="CO4021">
        <v>99</v>
      </c>
      <c r="CP4021">
        <v>19.600000000000001</v>
      </c>
      <c r="CQ4021">
        <v>99</v>
      </c>
      <c r="CR4021">
        <v>0</v>
      </c>
      <c r="CS4021">
        <v>0</v>
      </c>
      <c r="CT4021">
        <v>49.4</v>
      </c>
      <c r="CU4021">
        <v>98</v>
      </c>
      <c r="CV4021">
        <v>0.24</v>
      </c>
      <c r="CW4021">
        <v>46</v>
      </c>
      <c r="CX4021" t="s">
        <v>3737</v>
      </c>
    </row>
    <row r="4022" spans="1:102" x14ac:dyDescent="0.3">
      <c r="A4022" t="str">
        <f>HYPERLINK("https://webapp.icbf.com/v2/app/bull-search/view/77852692","WSE")</f>
        <v>WSE</v>
      </c>
      <c r="B4022" t="s">
        <v>14962</v>
      </c>
      <c r="C4022" t="s">
        <v>14963</v>
      </c>
      <c r="D4022" s="1">
        <v>33841</v>
      </c>
      <c r="E4022" t="s">
        <v>108</v>
      </c>
      <c r="F4022">
        <v>25</v>
      </c>
      <c r="G4022" t="s">
        <v>93</v>
      </c>
      <c r="H4022">
        <v>-82.53</v>
      </c>
      <c r="I4022">
        <v>89</v>
      </c>
      <c r="J4022">
        <v>-16.670000000000002</v>
      </c>
      <c r="K4022">
        <v>97</v>
      </c>
      <c r="L4022">
        <v>-73</v>
      </c>
      <c r="M4022">
        <v>89</v>
      </c>
      <c r="N4022">
        <v>5.63</v>
      </c>
      <c r="O4022">
        <v>77</v>
      </c>
      <c r="P4022">
        <v>-15.7</v>
      </c>
      <c r="Q4022">
        <v>87</v>
      </c>
      <c r="R4022">
        <v>-9.93</v>
      </c>
      <c r="S4022">
        <v>82</v>
      </c>
      <c r="T4022">
        <v>24.56</v>
      </c>
      <c r="U4022">
        <v>84</v>
      </c>
      <c r="V4022">
        <v>2.58</v>
      </c>
      <c r="W4022">
        <v>74</v>
      </c>
      <c r="X4022" t="s">
        <v>302</v>
      </c>
      <c r="Y4022" t="s">
        <v>95</v>
      </c>
      <c r="Z4022" t="s">
        <v>96</v>
      </c>
      <c r="AA4022" t="s">
        <v>4293</v>
      </c>
      <c r="AB4022" t="s">
        <v>14964</v>
      </c>
      <c r="AC4022">
        <v>105</v>
      </c>
      <c r="AD4022">
        <v>37</v>
      </c>
      <c r="AE4022">
        <v>97</v>
      </c>
      <c r="AF4022">
        <v>9.9600000000000009</v>
      </c>
      <c r="AG4022">
        <v>-9.56</v>
      </c>
      <c r="AH4022">
        <v>0.7</v>
      </c>
      <c r="AI4022">
        <v>-0.17</v>
      </c>
      <c r="AJ4022">
        <v>0.01</v>
      </c>
      <c r="AK4022">
        <v>89</v>
      </c>
      <c r="AL4022">
        <v>119</v>
      </c>
      <c r="AM4022">
        <v>39</v>
      </c>
      <c r="AN4022">
        <v>4.09</v>
      </c>
      <c r="AO4022">
        <v>-1.73</v>
      </c>
      <c r="AP4022">
        <v>6</v>
      </c>
      <c r="AQ4022">
        <v>0</v>
      </c>
      <c r="AR4022">
        <v>5.77</v>
      </c>
      <c r="AS4022">
        <v>61</v>
      </c>
      <c r="AT4022">
        <v>2.3199999999999998</v>
      </c>
      <c r="AU4022">
        <v>77</v>
      </c>
      <c r="AV4022">
        <v>0.4</v>
      </c>
      <c r="AW4022">
        <v>84</v>
      </c>
      <c r="AX4022">
        <v>0.56000000000000005</v>
      </c>
      <c r="AY4022">
        <v>79</v>
      </c>
      <c r="AZ4022">
        <v>6.02</v>
      </c>
      <c r="BA4022">
        <v>59</v>
      </c>
      <c r="BB4022">
        <v>5.23</v>
      </c>
      <c r="BC4022">
        <v>69</v>
      </c>
      <c r="BD4022">
        <v>0.02</v>
      </c>
      <c r="BE4022">
        <v>0.05</v>
      </c>
      <c r="BF4022">
        <v>0.1</v>
      </c>
      <c r="BG4022">
        <v>93</v>
      </c>
      <c r="BH4022">
        <v>0.09</v>
      </c>
      <c r="BI4022">
        <v>2.1</v>
      </c>
      <c r="BJ4022">
        <v>2</v>
      </c>
      <c r="BK4022">
        <v>1</v>
      </c>
      <c r="BL4022">
        <v>-1.95</v>
      </c>
      <c r="BM4022">
        <v>1.41</v>
      </c>
      <c r="BN4022">
        <v>-0.49</v>
      </c>
      <c r="BO4022">
        <v>-1.47</v>
      </c>
      <c r="BP4022">
        <v>-0.6</v>
      </c>
      <c r="BQ4022">
        <v>-2.17</v>
      </c>
      <c r="BR4022">
        <v>2.2400000000000002</v>
      </c>
      <c r="BS4022">
        <v>-1.85</v>
      </c>
      <c r="BT4022">
        <v>-3.2</v>
      </c>
      <c r="BU4022">
        <v>-1.1499999999999999</v>
      </c>
      <c r="BV4022">
        <v>-2.44</v>
      </c>
      <c r="BW4022">
        <v>-2.4300000000000002</v>
      </c>
      <c r="BX4022">
        <v>-4.42</v>
      </c>
      <c r="BY4022">
        <v>-1.73</v>
      </c>
      <c r="BZ4022">
        <v>0.49</v>
      </c>
      <c r="CA4022">
        <v>-2.2999999999999998</v>
      </c>
      <c r="CB4022">
        <v>-2.37</v>
      </c>
      <c r="CC4022">
        <v>-2.6</v>
      </c>
      <c r="CD4022">
        <v>0.96</v>
      </c>
      <c r="CE4022">
        <v>-1.26</v>
      </c>
      <c r="CF4022">
        <v>-1.68</v>
      </c>
      <c r="CG4022">
        <v>0</v>
      </c>
      <c r="CH4022">
        <v>-1.46</v>
      </c>
      <c r="CI4022">
        <v>0</v>
      </c>
      <c r="CJ4022">
        <v>-9.1999999999999993</v>
      </c>
      <c r="CK4022">
        <v>88</v>
      </c>
      <c r="CL4022">
        <v>-0.27</v>
      </c>
      <c r="CM4022">
        <v>86</v>
      </c>
      <c r="CN4022">
        <v>-0.23</v>
      </c>
      <c r="CO4022">
        <v>84</v>
      </c>
      <c r="CP4022">
        <v>-19.399999999999999</v>
      </c>
      <c r="CQ4022">
        <v>92</v>
      </c>
      <c r="CR4022">
        <v>0</v>
      </c>
      <c r="CS4022">
        <v>0</v>
      </c>
      <c r="CT4022">
        <v>-19.399999999999999</v>
      </c>
      <c r="CU4022">
        <v>84</v>
      </c>
      <c r="CV4022">
        <v>-0.12</v>
      </c>
      <c r="CW4022">
        <v>43</v>
      </c>
      <c r="CX4022" t="s">
        <v>2844</v>
      </c>
    </row>
    <row r="4023" spans="1:102" x14ac:dyDescent="0.3">
      <c r="A4023" t="str">
        <f>HYPERLINK("https://webapp.icbf.com/v2/app/bull-search/view/69092554","RXH")</f>
        <v>RXH</v>
      </c>
      <c r="B4023" t="s">
        <v>1508</v>
      </c>
      <c r="C4023" t="s">
        <v>1509</v>
      </c>
      <c r="D4023" s="1">
        <v>34840</v>
      </c>
      <c r="E4023" t="s">
        <v>92</v>
      </c>
      <c r="F4023">
        <v>100</v>
      </c>
      <c r="G4023" t="s">
        <v>116</v>
      </c>
      <c r="H4023">
        <v>-82.56</v>
      </c>
      <c r="I4023">
        <v>31</v>
      </c>
      <c r="J4023">
        <v>12.71</v>
      </c>
      <c r="K4023">
        <v>32</v>
      </c>
      <c r="L4023">
        <v>-101.13</v>
      </c>
      <c r="M4023">
        <v>31</v>
      </c>
      <c r="N4023">
        <v>14.56</v>
      </c>
      <c r="O4023">
        <v>35</v>
      </c>
      <c r="P4023">
        <v>-11.24</v>
      </c>
      <c r="Q4023">
        <v>32</v>
      </c>
      <c r="R4023">
        <v>-8.25</v>
      </c>
      <c r="S4023">
        <v>32</v>
      </c>
      <c r="T4023">
        <v>14.94</v>
      </c>
      <c r="U4023">
        <v>29</v>
      </c>
      <c r="V4023">
        <v>-4.1500000000000004</v>
      </c>
      <c r="W4023">
        <v>22</v>
      </c>
      <c r="X4023" t="s">
        <v>94</v>
      </c>
      <c r="Y4023" t="s">
        <v>1499</v>
      </c>
      <c r="Z4023">
        <v>0</v>
      </c>
      <c r="AA4023" t="s">
        <v>954</v>
      </c>
      <c r="AB4023" t="s">
        <v>1510</v>
      </c>
      <c r="AC4023">
        <v>2</v>
      </c>
      <c r="AD4023">
        <v>2</v>
      </c>
      <c r="AE4023">
        <v>32</v>
      </c>
      <c r="AF4023">
        <v>228.37</v>
      </c>
      <c r="AG4023">
        <v>5.9</v>
      </c>
      <c r="AH4023">
        <v>3.57</v>
      </c>
      <c r="AI4023">
        <v>-0.05</v>
      </c>
      <c r="AJ4023">
        <v>-7.0000000000000007E-2</v>
      </c>
      <c r="AK4023">
        <v>31</v>
      </c>
      <c r="AL4023">
        <v>1</v>
      </c>
      <c r="AM4023">
        <v>1</v>
      </c>
      <c r="AN4023">
        <v>5.9</v>
      </c>
      <c r="AO4023">
        <v>-2.16</v>
      </c>
      <c r="AP4023">
        <v>2</v>
      </c>
      <c r="AQ4023">
        <v>2</v>
      </c>
      <c r="AR4023">
        <v>7.56</v>
      </c>
      <c r="AS4023">
        <v>24</v>
      </c>
      <c r="AT4023">
        <v>3.06</v>
      </c>
      <c r="AU4023">
        <v>36</v>
      </c>
      <c r="AV4023">
        <v>-1.32</v>
      </c>
      <c r="AW4023">
        <v>40</v>
      </c>
      <c r="AX4023">
        <v>-0.46</v>
      </c>
      <c r="AY4023">
        <v>34</v>
      </c>
      <c r="AZ4023">
        <v>5.97</v>
      </c>
      <c r="BA4023">
        <v>25</v>
      </c>
      <c r="BB4023">
        <v>4.67</v>
      </c>
      <c r="BC4023">
        <v>28</v>
      </c>
      <c r="BD4023">
        <v>0.04</v>
      </c>
      <c r="BE4023">
        <v>7.0000000000000007E-2</v>
      </c>
      <c r="BF4023">
        <v>-0.01</v>
      </c>
      <c r="BG4023">
        <v>38</v>
      </c>
      <c r="BH4023">
        <v>0</v>
      </c>
      <c r="BI4023">
        <v>13.4</v>
      </c>
      <c r="BJ4023">
        <v>0</v>
      </c>
      <c r="BK4023">
        <v>0</v>
      </c>
      <c r="BL4023">
        <v>-0.28999999999999998</v>
      </c>
      <c r="BM4023">
        <v>0.54</v>
      </c>
      <c r="BN4023">
        <v>-0.19</v>
      </c>
      <c r="BO4023">
        <v>-0.42</v>
      </c>
      <c r="BP4023">
        <v>0.56999999999999995</v>
      </c>
      <c r="BQ4023">
        <v>-0.88</v>
      </c>
      <c r="BR4023">
        <v>0.19</v>
      </c>
      <c r="BS4023">
        <v>-1.18</v>
      </c>
      <c r="BT4023">
        <v>-0.81</v>
      </c>
      <c r="BU4023">
        <v>-0.75</v>
      </c>
      <c r="BV4023">
        <v>0</v>
      </c>
      <c r="BW4023">
        <v>-0.22</v>
      </c>
      <c r="BX4023">
        <v>-0.99</v>
      </c>
      <c r="BY4023">
        <v>0.27</v>
      </c>
      <c r="BZ4023">
        <v>0.16</v>
      </c>
      <c r="CA4023">
        <v>-0.61</v>
      </c>
      <c r="CB4023">
        <v>-0.26</v>
      </c>
      <c r="CC4023">
        <v>-1.1000000000000001</v>
      </c>
      <c r="CD4023">
        <v>0.53</v>
      </c>
      <c r="CE4023">
        <v>-0.62</v>
      </c>
      <c r="CF4023">
        <v>-0.65</v>
      </c>
      <c r="CG4023">
        <v>0</v>
      </c>
      <c r="CH4023">
        <v>0.08</v>
      </c>
      <c r="CI4023">
        <v>0</v>
      </c>
      <c r="CJ4023">
        <v>-3.8</v>
      </c>
      <c r="CK4023">
        <v>32</v>
      </c>
      <c r="CL4023">
        <v>-0.52</v>
      </c>
      <c r="CM4023">
        <v>32</v>
      </c>
      <c r="CN4023">
        <v>-0.05</v>
      </c>
      <c r="CO4023">
        <v>31</v>
      </c>
      <c r="CP4023">
        <v>-8.1</v>
      </c>
      <c r="CQ4023">
        <v>31</v>
      </c>
      <c r="CR4023">
        <v>0</v>
      </c>
      <c r="CS4023">
        <v>0</v>
      </c>
      <c r="CT4023">
        <v>-6.4</v>
      </c>
      <c r="CU4023">
        <v>29</v>
      </c>
      <c r="CV4023">
        <v>0.11</v>
      </c>
      <c r="CW4023">
        <v>9</v>
      </c>
      <c r="CX4023" t="s">
        <v>717</v>
      </c>
    </row>
    <row r="4024" spans="1:102" x14ac:dyDescent="0.3">
      <c r="A4024" t="str">
        <f>HYPERLINK("https://webapp.icbf.com/v2/app/bull-search/view/586045589","S918")</f>
        <v>S918</v>
      </c>
      <c r="B4024" t="s">
        <v>1766</v>
      </c>
      <c r="C4024" t="s">
        <v>1767</v>
      </c>
      <c r="D4024" s="1">
        <v>38551</v>
      </c>
      <c r="E4024" t="s">
        <v>92</v>
      </c>
      <c r="F4024">
        <v>100</v>
      </c>
      <c r="G4024" t="s">
        <v>109</v>
      </c>
      <c r="H4024">
        <v>-82.56</v>
      </c>
      <c r="I4024">
        <v>84</v>
      </c>
      <c r="J4024">
        <v>40.4</v>
      </c>
      <c r="K4024">
        <v>93</v>
      </c>
      <c r="L4024">
        <v>-139.80000000000001</v>
      </c>
      <c r="M4024">
        <v>87</v>
      </c>
      <c r="N4024">
        <v>8.57</v>
      </c>
      <c r="O4024">
        <v>77</v>
      </c>
      <c r="P4024">
        <v>-4.0599999999999996</v>
      </c>
      <c r="Q4024">
        <v>81</v>
      </c>
      <c r="R4024">
        <v>-4.26</v>
      </c>
      <c r="S4024">
        <v>78</v>
      </c>
      <c r="T4024">
        <v>13.01</v>
      </c>
      <c r="U4024">
        <v>61</v>
      </c>
      <c r="V4024">
        <v>3.58</v>
      </c>
      <c r="W4024">
        <v>65</v>
      </c>
      <c r="X4024" t="s">
        <v>251</v>
      </c>
      <c r="Y4024" t="s">
        <v>303</v>
      </c>
      <c r="Z4024" t="s">
        <v>96</v>
      </c>
      <c r="AA4024" t="s">
        <v>350</v>
      </c>
      <c r="AB4024" t="s">
        <v>1768</v>
      </c>
      <c r="AC4024">
        <v>0</v>
      </c>
      <c r="AD4024">
        <v>0</v>
      </c>
      <c r="AE4024">
        <v>93</v>
      </c>
      <c r="AF4024">
        <v>458.74</v>
      </c>
      <c r="AG4024">
        <v>7.1</v>
      </c>
      <c r="AH4024">
        <v>11.38</v>
      </c>
      <c r="AI4024">
        <v>-0.17</v>
      </c>
      <c r="AJ4024">
        <v>-7.0000000000000007E-2</v>
      </c>
      <c r="AK4024">
        <v>87</v>
      </c>
      <c r="AL4024">
        <v>0</v>
      </c>
      <c r="AM4024">
        <v>0</v>
      </c>
      <c r="AN4024">
        <v>8.33</v>
      </c>
      <c r="AO4024">
        <v>-2.81</v>
      </c>
      <c r="AP4024">
        <v>61</v>
      </c>
      <c r="AQ4024">
        <v>0</v>
      </c>
      <c r="AR4024">
        <v>9.69</v>
      </c>
      <c r="AS4024">
        <v>60</v>
      </c>
      <c r="AT4024">
        <v>3.59</v>
      </c>
      <c r="AU4024">
        <v>92</v>
      </c>
      <c r="AV4024">
        <v>-2.5299999999999998</v>
      </c>
      <c r="AW4024">
        <v>84</v>
      </c>
      <c r="AX4024">
        <v>0.67</v>
      </c>
      <c r="AY4024">
        <v>62</v>
      </c>
      <c r="AZ4024">
        <v>6.34</v>
      </c>
      <c r="BA4024">
        <v>50</v>
      </c>
      <c r="BB4024">
        <v>4.92</v>
      </c>
      <c r="BC4024">
        <v>51</v>
      </c>
      <c r="BD4024">
        <v>0</v>
      </c>
      <c r="BE4024">
        <v>0.02</v>
      </c>
      <c r="BF4024">
        <v>0.06</v>
      </c>
      <c r="BG4024">
        <v>93</v>
      </c>
      <c r="BH4024">
        <v>0.09</v>
      </c>
      <c r="BI4024">
        <v>-1.1399999999999999</v>
      </c>
      <c r="BJ4024">
        <v>6</v>
      </c>
      <c r="BK4024">
        <v>4</v>
      </c>
      <c r="BL4024">
        <v>1.42</v>
      </c>
      <c r="BM4024">
        <v>-1.62</v>
      </c>
      <c r="BN4024">
        <v>-0.08</v>
      </c>
      <c r="BO4024">
        <v>1.34</v>
      </c>
      <c r="BP4024">
        <v>0.59</v>
      </c>
      <c r="BQ4024">
        <v>1.55</v>
      </c>
      <c r="BR4024">
        <v>0.18</v>
      </c>
      <c r="BS4024">
        <v>-1.28</v>
      </c>
      <c r="BT4024">
        <v>-0.55000000000000004</v>
      </c>
      <c r="BU4024">
        <v>1.98</v>
      </c>
      <c r="BV4024">
        <v>1.18</v>
      </c>
      <c r="BW4024">
        <v>0.05</v>
      </c>
      <c r="BX4024">
        <v>1.05</v>
      </c>
      <c r="BY4024">
        <v>2.2799999999999998</v>
      </c>
      <c r="BZ4024">
        <v>0.15</v>
      </c>
      <c r="CA4024">
        <v>1.1399999999999999</v>
      </c>
      <c r="CB4024">
        <v>1.47</v>
      </c>
      <c r="CC4024">
        <v>-0.11</v>
      </c>
      <c r="CD4024">
        <v>-1.36</v>
      </c>
      <c r="CE4024">
        <v>1.26</v>
      </c>
      <c r="CF4024">
        <v>0.84</v>
      </c>
      <c r="CG4024">
        <v>0</v>
      </c>
      <c r="CH4024">
        <v>2.2599999999999998</v>
      </c>
      <c r="CI4024">
        <v>0</v>
      </c>
      <c r="CJ4024">
        <v>-0.3</v>
      </c>
      <c r="CK4024">
        <v>83</v>
      </c>
      <c r="CL4024">
        <v>-1.02</v>
      </c>
      <c r="CM4024">
        <v>80</v>
      </c>
      <c r="CN4024">
        <v>-0.6</v>
      </c>
      <c r="CO4024">
        <v>78</v>
      </c>
      <c r="CP4024">
        <v>-1</v>
      </c>
      <c r="CQ4024">
        <v>72</v>
      </c>
      <c r="CR4024">
        <v>0</v>
      </c>
      <c r="CS4024">
        <v>0</v>
      </c>
      <c r="CT4024">
        <v>-3.8</v>
      </c>
      <c r="CU4024">
        <v>61</v>
      </c>
      <c r="CV4024">
        <v>0.1</v>
      </c>
      <c r="CW4024">
        <v>42</v>
      </c>
      <c r="CX4024" t="s">
        <v>1656</v>
      </c>
    </row>
    <row r="4025" spans="1:102" x14ac:dyDescent="0.3">
      <c r="A4025" t="str">
        <f>HYPERLINK("https://webapp.icbf.com/v2/app/bull-search/view/77858899","CHZ")</f>
        <v>CHZ</v>
      </c>
      <c r="B4025" t="s">
        <v>2964</v>
      </c>
      <c r="C4025" t="s">
        <v>2965</v>
      </c>
      <c r="D4025" s="1">
        <v>33600</v>
      </c>
      <c r="E4025" t="s">
        <v>92</v>
      </c>
      <c r="F4025">
        <v>100</v>
      </c>
      <c r="G4025" t="s">
        <v>93</v>
      </c>
      <c r="H4025">
        <v>-82.57</v>
      </c>
      <c r="I4025">
        <v>77</v>
      </c>
      <c r="J4025">
        <v>-7.73</v>
      </c>
      <c r="K4025">
        <v>90</v>
      </c>
      <c r="L4025">
        <v>-96.83</v>
      </c>
      <c r="M4025">
        <v>70</v>
      </c>
      <c r="N4025">
        <v>34.17</v>
      </c>
      <c r="O4025">
        <v>71</v>
      </c>
      <c r="P4025">
        <v>-16.11</v>
      </c>
      <c r="Q4025">
        <v>89</v>
      </c>
      <c r="R4025">
        <v>-5.58</v>
      </c>
      <c r="S4025">
        <v>70</v>
      </c>
      <c r="T4025">
        <v>10.64</v>
      </c>
      <c r="U4025">
        <v>79</v>
      </c>
      <c r="V4025">
        <v>-1.1299999999999999</v>
      </c>
      <c r="W4025">
        <v>32</v>
      </c>
      <c r="X4025" t="s">
        <v>94</v>
      </c>
      <c r="Y4025" t="s">
        <v>95</v>
      </c>
      <c r="Z4025" t="s">
        <v>96</v>
      </c>
      <c r="AA4025" t="s">
        <v>111</v>
      </c>
      <c r="AB4025" t="s">
        <v>2966</v>
      </c>
      <c r="AC4025">
        <v>55</v>
      </c>
      <c r="AD4025">
        <v>48</v>
      </c>
      <c r="AE4025">
        <v>90</v>
      </c>
      <c r="AF4025">
        <v>-272.08999999999997</v>
      </c>
      <c r="AG4025">
        <v>4.95</v>
      </c>
      <c r="AH4025">
        <v>-7.23</v>
      </c>
      <c r="AI4025">
        <v>0.27</v>
      </c>
      <c r="AJ4025">
        <v>0.04</v>
      </c>
      <c r="AK4025">
        <v>70</v>
      </c>
      <c r="AL4025">
        <v>158</v>
      </c>
      <c r="AM4025">
        <v>113</v>
      </c>
      <c r="AN4025">
        <v>5.46</v>
      </c>
      <c r="AO4025">
        <v>-2.2599999999999998</v>
      </c>
      <c r="AP4025">
        <v>50</v>
      </c>
      <c r="AQ4025">
        <v>23</v>
      </c>
      <c r="AR4025">
        <v>5.76</v>
      </c>
      <c r="AS4025">
        <v>49</v>
      </c>
      <c r="AT4025">
        <v>2.95</v>
      </c>
      <c r="AU4025">
        <v>65</v>
      </c>
      <c r="AV4025">
        <v>-3.06</v>
      </c>
      <c r="AW4025">
        <v>86</v>
      </c>
      <c r="AX4025">
        <v>0.02</v>
      </c>
      <c r="AY4025">
        <v>79</v>
      </c>
      <c r="AZ4025">
        <v>5.75</v>
      </c>
      <c r="BA4025">
        <v>41</v>
      </c>
      <c r="BB4025">
        <v>4.37</v>
      </c>
      <c r="BC4025">
        <v>50</v>
      </c>
      <c r="BD4025">
        <v>0.02</v>
      </c>
      <c r="BE4025">
        <v>0.05</v>
      </c>
      <c r="BF4025">
        <v>0</v>
      </c>
      <c r="BG4025">
        <v>89</v>
      </c>
      <c r="BH4025">
        <v>0.02</v>
      </c>
      <c r="BI4025">
        <v>5.96</v>
      </c>
      <c r="BJ4025">
        <v>35</v>
      </c>
      <c r="BK4025">
        <v>30</v>
      </c>
      <c r="BL4025">
        <v>7.0000000000000007E-2</v>
      </c>
      <c r="BM4025">
        <v>-0.49</v>
      </c>
      <c r="BN4025">
        <v>0.74</v>
      </c>
      <c r="BO4025">
        <v>0.34</v>
      </c>
      <c r="BP4025">
        <v>-1.86</v>
      </c>
      <c r="BQ4025">
        <v>-1.03</v>
      </c>
      <c r="BR4025">
        <v>-0.13</v>
      </c>
      <c r="BS4025">
        <v>0.21</v>
      </c>
      <c r="BT4025">
        <v>0.21</v>
      </c>
      <c r="BU4025">
        <v>0.92</v>
      </c>
      <c r="BV4025">
        <v>-0.21</v>
      </c>
      <c r="BW4025">
        <v>0.48</v>
      </c>
      <c r="BX4025">
        <v>1.01</v>
      </c>
      <c r="BY4025">
        <v>1.1200000000000001</v>
      </c>
      <c r="BZ4025">
        <v>-1.51</v>
      </c>
      <c r="CA4025">
        <v>0.34</v>
      </c>
      <c r="CB4025">
        <v>0.5</v>
      </c>
      <c r="CC4025">
        <v>0.39</v>
      </c>
      <c r="CD4025">
        <v>-0.88</v>
      </c>
      <c r="CE4025">
        <v>0.48</v>
      </c>
      <c r="CF4025">
        <v>-0.15</v>
      </c>
      <c r="CG4025">
        <v>0</v>
      </c>
      <c r="CH4025">
        <v>0.77</v>
      </c>
      <c r="CI4025">
        <v>0</v>
      </c>
      <c r="CJ4025">
        <v>-5.6</v>
      </c>
      <c r="CK4025">
        <v>90</v>
      </c>
      <c r="CL4025">
        <v>-0.75</v>
      </c>
      <c r="CM4025">
        <v>88</v>
      </c>
      <c r="CN4025">
        <v>0.01</v>
      </c>
      <c r="CO4025">
        <v>87</v>
      </c>
      <c r="CP4025">
        <v>-3.5</v>
      </c>
      <c r="CQ4025">
        <v>82</v>
      </c>
      <c r="CR4025">
        <v>0</v>
      </c>
      <c r="CS4025">
        <v>0</v>
      </c>
      <c r="CT4025">
        <v>-0.6</v>
      </c>
      <c r="CU4025">
        <v>79</v>
      </c>
      <c r="CV4025">
        <v>0.15</v>
      </c>
      <c r="CW4025">
        <v>26</v>
      </c>
      <c r="CX4025" t="s">
        <v>2967</v>
      </c>
    </row>
    <row r="4026" spans="1:102" x14ac:dyDescent="0.3">
      <c r="A4026" t="str">
        <f>HYPERLINK("https://webapp.icbf.com/v2/app/bull-search/view/77854708","PDN")</f>
        <v>PDN</v>
      </c>
      <c r="B4026" t="s">
        <v>10749</v>
      </c>
      <c r="C4026" t="s">
        <v>3222</v>
      </c>
      <c r="D4026" s="1">
        <v>33998</v>
      </c>
      <c r="E4026" t="s">
        <v>92</v>
      </c>
      <c r="F4026">
        <v>100</v>
      </c>
      <c r="G4026" t="s">
        <v>109</v>
      </c>
      <c r="H4026">
        <v>-82.64</v>
      </c>
      <c r="I4026">
        <v>88</v>
      </c>
      <c r="J4026">
        <v>21.18</v>
      </c>
      <c r="K4026">
        <v>96</v>
      </c>
      <c r="L4026">
        <v>-124.92</v>
      </c>
      <c r="M4026">
        <v>91</v>
      </c>
      <c r="N4026">
        <v>20.170000000000002</v>
      </c>
      <c r="O4026">
        <v>77</v>
      </c>
      <c r="P4026">
        <v>-18.309999999999999</v>
      </c>
      <c r="Q4026">
        <v>77</v>
      </c>
      <c r="R4026">
        <v>-7.42</v>
      </c>
      <c r="S4026">
        <v>83</v>
      </c>
      <c r="T4026">
        <v>31.14</v>
      </c>
      <c r="U4026">
        <v>73</v>
      </c>
      <c r="V4026">
        <v>-4.4800000000000004</v>
      </c>
      <c r="W4026">
        <v>75</v>
      </c>
      <c r="X4026" t="s">
        <v>251</v>
      </c>
      <c r="Y4026" t="s">
        <v>95</v>
      </c>
      <c r="Z4026" t="s">
        <v>96</v>
      </c>
      <c r="AA4026" t="s">
        <v>3414</v>
      </c>
      <c r="AB4026" t="s">
        <v>10750</v>
      </c>
      <c r="AC4026">
        <v>17</v>
      </c>
      <c r="AD4026">
        <v>17</v>
      </c>
      <c r="AE4026">
        <v>96</v>
      </c>
      <c r="AF4026">
        <v>252.77</v>
      </c>
      <c r="AG4026">
        <v>3.34</v>
      </c>
      <c r="AH4026">
        <v>6.29</v>
      </c>
      <c r="AI4026">
        <v>-0.11</v>
      </c>
      <c r="AJ4026">
        <v>-0.04</v>
      </c>
      <c r="AK4026">
        <v>91</v>
      </c>
      <c r="AL4026">
        <v>13</v>
      </c>
      <c r="AM4026">
        <v>11</v>
      </c>
      <c r="AN4026">
        <v>8.52</v>
      </c>
      <c r="AO4026">
        <v>-1.42</v>
      </c>
      <c r="AP4026">
        <v>3</v>
      </c>
      <c r="AQ4026">
        <v>0</v>
      </c>
      <c r="AR4026">
        <v>5.35</v>
      </c>
      <c r="AS4026">
        <v>72</v>
      </c>
      <c r="AT4026">
        <v>3.21</v>
      </c>
      <c r="AU4026">
        <v>98</v>
      </c>
      <c r="AV4026">
        <v>-2.16</v>
      </c>
      <c r="AW4026">
        <v>71</v>
      </c>
      <c r="AX4026">
        <v>0.17</v>
      </c>
      <c r="AY4026">
        <v>71</v>
      </c>
      <c r="AZ4026">
        <v>6.32</v>
      </c>
      <c r="BA4026">
        <v>64</v>
      </c>
      <c r="BB4026">
        <v>5.33</v>
      </c>
      <c r="BC4026">
        <v>66</v>
      </c>
      <c r="BD4026">
        <v>0.01</v>
      </c>
      <c r="BE4026">
        <v>0.06</v>
      </c>
      <c r="BF4026">
        <v>0.04</v>
      </c>
      <c r="BG4026">
        <v>94</v>
      </c>
      <c r="BH4026">
        <v>-0.05</v>
      </c>
      <c r="BI4026">
        <v>8.67</v>
      </c>
      <c r="BJ4026">
        <v>8</v>
      </c>
      <c r="BK4026">
        <v>6</v>
      </c>
      <c r="BL4026">
        <v>-0.85</v>
      </c>
      <c r="BM4026">
        <v>-1.56</v>
      </c>
      <c r="BN4026">
        <v>0.87</v>
      </c>
      <c r="BO4026">
        <v>1.4</v>
      </c>
      <c r="BP4026">
        <v>-0.08</v>
      </c>
      <c r="BQ4026">
        <v>-1.79</v>
      </c>
      <c r="BR4026">
        <v>0.74</v>
      </c>
      <c r="BS4026">
        <v>0.13</v>
      </c>
      <c r="BT4026">
        <v>-2.84</v>
      </c>
      <c r="BU4026">
        <v>-1.1399999999999999</v>
      </c>
      <c r="BV4026">
        <v>-0.87</v>
      </c>
      <c r="BW4026">
        <v>-0.51</v>
      </c>
      <c r="BX4026">
        <v>-2.33</v>
      </c>
      <c r="BY4026">
        <v>-0.08</v>
      </c>
      <c r="BZ4026">
        <v>-0.05</v>
      </c>
      <c r="CA4026">
        <v>-0.68</v>
      </c>
      <c r="CB4026">
        <v>-0.4</v>
      </c>
      <c r="CC4026">
        <v>-0.08</v>
      </c>
      <c r="CD4026">
        <v>-1.99</v>
      </c>
      <c r="CE4026">
        <v>0.79</v>
      </c>
      <c r="CF4026">
        <v>-0.67</v>
      </c>
      <c r="CG4026">
        <v>0</v>
      </c>
      <c r="CH4026">
        <v>-0.18</v>
      </c>
      <c r="CI4026">
        <v>0</v>
      </c>
      <c r="CJ4026">
        <v>-8.8000000000000007</v>
      </c>
      <c r="CK4026">
        <v>78</v>
      </c>
      <c r="CL4026">
        <v>-0.72</v>
      </c>
      <c r="CM4026">
        <v>76</v>
      </c>
      <c r="CN4026">
        <v>-0.34</v>
      </c>
      <c r="CO4026">
        <v>74</v>
      </c>
      <c r="CP4026">
        <v>-18.100000000000001</v>
      </c>
      <c r="CQ4026">
        <v>79</v>
      </c>
      <c r="CR4026">
        <v>0</v>
      </c>
      <c r="CS4026">
        <v>0</v>
      </c>
      <c r="CT4026">
        <v>-28.3</v>
      </c>
      <c r="CU4026">
        <v>73</v>
      </c>
      <c r="CV4026">
        <v>0.09</v>
      </c>
      <c r="CW4026">
        <v>42</v>
      </c>
      <c r="CX4026" t="s">
        <v>111</v>
      </c>
    </row>
    <row r="4027" spans="1:102" x14ac:dyDescent="0.3">
      <c r="A4027" t="str">
        <f>HYPERLINK("https://webapp.icbf.com/v2/app/bull-search/view/77853661","SAA")</f>
        <v>SAA</v>
      </c>
      <c r="B4027" t="s">
        <v>11432</v>
      </c>
      <c r="C4027" t="s">
        <v>11433</v>
      </c>
      <c r="D4027" s="1">
        <v>34715</v>
      </c>
      <c r="E4027" t="s">
        <v>92</v>
      </c>
      <c r="F4027">
        <v>100</v>
      </c>
      <c r="G4027" t="s">
        <v>109</v>
      </c>
      <c r="H4027">
        <v>-82.79</v>
      </c>
      <c r="I4027">
        <v>80</v>
      </c>
      <c r="J4027">
        <v>-4.54</v>
      </c>
      <c r="K4027">
        <v>92</v>
      </c>
      <c r="L4027">
        <v>-86.79</v>
      </c>
      <c r="M4027">
        <v>86</v>
      </c>
      <c r="N4027">
        <v>6.77</v>
      </c>
      <c r="O4027">
        <v>64</v>
      </c>
      <c r="P4027">
        <v>-15.29</v>
      </c>
      <c r="Q4027">
        <v>69</v>
      </c>
      <c r="R4027">
        <v>-7.38</v>
      </c>
      <c r="S4027">
        <v>73</v>
      </c>
      <c r="T4027">
        <v>20.71</v>
      </c>
      <c r="U4027">
        <v>57</v>
      </c>
      <c r="V4027">
        <v>3.73</v>
      </c>
      <c r="W4027">
        <v>54</v>
      </c>
      <c r="X4027" t="s">
        <v>251</v>
      </c>
      <c r="Y4027" t="s">
        <v>95</v>
      </c>
      <c r="Z4027" t="s">
        <v>96</v>
      </c>
      <c r="AA4027" t="s">
        <v>3814</v>
      </c>
      <c r="AB4027" t="s">
        <v>11434</v>
      </c>
      <c r="AC4027">
        <v>0</v>
      </c>
      <c r="AD4027">
        <v>0</v>
      </c>
      <c r="AE4027">
        <v>92</v>
      </c>
      <c r="AF4027">
        <v>333.57</v>
      </c>
      <c r="AG4027">
        <v>3.12</v>
      </c>
      <c r="AH4027">
        <v>3.23</v>
      </c>
      <c r="AI4027">
        <v>-0.16</v>
      </c>
      <c r="AJ4027">
        <v>-0.13</v>
      </c>
      <c r="AK4027">
        <v>86</v>
      </c>
      <c r="AL4027">
        <v>0</v>
      </c>
      <c r="AM4027">
        <v>0</v>
      </c>
      <c r="AN4027">
        <v>5.63</v>
      </c>
      <c r="AO4027">
        <v>-1.28</v>
      </c>
      <c r="AP4027">
        <v>34</v>
      </c>
      <c r="AQ4027">
        <v>0</v>
      </c>
      <c r="AR4027">
        <v>8.6199999999999992</v>
      </c>
      <c r="AS4027">
        <v>66</v>
      </c>
      <c r="AT4027">
        <v>3.35</v>
      </c>
      <c r="AU4027">
        <v>90</v>
      </c>
      <c r="AV4027">
        <v>-1.44</v>
      </c>
      <c r="AW4027">
        <v>58</v>
      </c>
      <c r="AX4027">
        <v>-0.74</v>
      </c>
      <c r="AY4027">
        <v>65</v>
      </c>
      <c r="AZ4027">
        <v>7.03</v>
      </c>
      <c r="BA4027">
        <v>38</v>
      </c>
      <c r="BB4027">
        <v>5.17</v>
      </c>
      <c r="BC4027">
        <v>41</v>
      </c>
      <c r="BD4027">
        <v>-0.02</v>
      </c>
      <c r="BE4027">
        <v>7.0000000000000007E-2</v>
      </c>
      <c r="BF4027">
        <v>7.0000000000000007E-2</v>
      </c>
      <c r="BG4027">
        <v>92</v>
      </c>
      <c r="BH4027">
        <v>0.09</v>
      </c>
      <c r="BI4027">
        <v>-1.62</v>
      </c>
      <c r="BJ4027">
        <v>0</v>
      </c>
      <c r="BK4027">
        <v>0</v>
      </c>
      <c r="BL4027">
        <v>-0.23</v>
      </c>
      <c r="BM4027">
        <v>-0.82</v>
      </c>
      <c r="BN4027">
        <v>0.14000000000000001</v>
      </c>
      <c r="BO4027">
        <v>0.71</v>
      </c>
      <c r="BP4027">
        <v>-1.57</v>
      </c>
      <c r="BQ4027">
        <v>2.71</v>
      </c>
      <c r="BR4027">
        <v>1.0900000000000001</v>
      </c>
      <c r="BS4027">
        <v>-0.09</v>
      </c>
      <c r="BT4027">
        <v>-1.01</v>
      </c>
      <c r="BU4027">
        <v>0.34</v>
      </c>
      <c r="BV4027">
        <v>1.27</v>
      </c>
      <c r="BW4027">
        <v>0.91</v>
      </c>
      <c r="BX4027">
        <v>-0.55000000000000004</v>
      </c>
      <c r="BY4027">
        <v>1.36</v>
      </c>
      <c r="BZ4027">
        <v>0.94</v>
      </c>
      <c r="CA4027">
        <v>0.73</v>
      </c>
      <c r="CB4027">
        <v>1.1299999999999999</v>
      </c>
      <c r="CC4027">
        <v>0.02</v>
      </c>
      <c r="CD4027">
        <v>-1.39</v>
      </c>
      <c r="CE4027">
        <v>0.93</v>
      </c>
      <c r="CF4027">
        <v>0.21</v>
      </c>
      <c r="CG4027">
        <v>0</v>
      </c>
      <c r="CH4027">
        <v>1.21</v>
      </c>
      <c r="CI4027">
        <v>0</v>
      </c>
      <c r="CJ4027">
        <v>-9.5</v>
      </c>
      <c r="CK4027">
        <v>72</v>
      </c>
      <c r="CL4027">
        <v>-0.56000000000000005</v>
      </c>
      <c r="CM4027">
        <v>69</v>
      </c>
      <c r="CN4027">
        <v>-0.46</v>
      </c>
      <c r="CO4027">
        <v>66</v>
      </c>
      <c r="CP4027">
        <v>-11.9</v>
      </c>
      <c r="CQ4027">
        <v>59</v>
      </c>
      <c r="CR4027">
        <v>0</v>
      </c>
      <c r="CS4027">
        <v>0</v>
      </c>
      <c r="CT4027">
        <v>-14.2</v>
      </c>
      <c r="CU4027">
        <v>57</v>
      </c>
      <c r="CV4027">
        <v>-0.16</v>
      </c>
      <c r="CW4027">
        <v>40</v>
      </c>
      <c r="CX4027" t="s">
        <v>2745</v>
      </c>
    </row>
    <row r="4028" spans="1:102" x14ac:dyDescent="0.3">
      <c r="A4028" t="str">
        <f>HYPERLINK("https://webapp.icbf.com/v2/app/bull-search/view/354821229","GID")</f>
        <v>GID</v>
      </c>
      <c r="B4028" t="s">
        <v>5214</v>
      </c>
      <c r="C4028" t="s">
        <v>5215</v>
      </c>
      <c r="D4028" s="1">
        <v>37503</v>
      </c>
      <c r="E4028" t="s">
        <v>92</v>
      </c>
      <c r="F4028">
        <v>100</v>
      </c>
      <c r="G4028" t="s">
        <v>93</v>
      </c>
      <c r="H4028">
        <v>-83.05</v>
      </c>
      <c r="I4028">
        <v>87</v>
      </c>
      <c r="J4028">
        <v>33.85</v>
      </c>
      <c r="K4028">
        <v>97</v>
      </c>
      <c r="L4028">
        <v>-132.81</v>
      </c>
      <c r="M4028">
        <v>79</v>
      </c>
      <c r="N4028">
        <v>8.6999999999999993</v>
      </c>
      <c r="O4028">
        <v>84</v>
      </c>
      <c r="P4028">
        <v>-18.2</v>
      </c>
      <c r="Q4028">
        <v>90</v>
      </c>
      <c r="R4028">
        <v>-2.23</v>
      </c>
      <c r="S4028">
        <v>79</v>
      </c>
      <c r="T4028">
        <v>27.07</v>
      </c>
      <c r="U4028">
        <v>89</v>
      </c>
      <c r="V4028">
        <v>0.56999999999999995</v>
      </c>
      <c r="W4028">
        <v>75</v>
      </c>
      <c r="X4028" t="s">
        <v>94</v>
      </c>
      <c r="Y4028" t="s">
        <v>2565</v>
      </c>
      <c r="Z4028" t="s">
        <v>96</v>
      </c>
      <c r="AA4028" t="s">
        <v>5216</v>
      </c>
      <c r="AB4028" t="s">
        <v>4471</v>
      </c>
      <c r="AC4028">
        <v>88</v>
      </c>
      <c r="AD4028">
        <v>64</v>
      </c>
      <c r="AE4028">
        <v>97</v>
      </c>
      <c r="AF4028">
        <v>99.26</v>
      </c>
      <c r="AG4028">
        <v>8.27</v>
      </c>
      <c r="AH4028">
        <v>4.3499999999999996</v>
      </c>
      <c r="AI4028">
        <v>0.08</v>
      </c>
      <c r="AJ4028">
        <v>0.02</v>
      </c>
      <c r="AK4028">
        <v>79</v>
      </c>
      <c r="AL4028">
        <v>78</v>
      </c>
      <c r="AM4028">
        <v>59</v>
      </c>
      <c r="AN4028">
        <v>7.38</v>
      </c>
      <c r="AO4028">
        <v>-3.21</v>
      </c>
      <c r="AP4028">
        <v>151</v>
      </c>
      <c r="AQ4028">
        <v>0</v>
      </c>
      <c r="AR4028">
        <v>6.39</v>
      </c>
      <c r="AS4028">
        <v>66</v>
      </c>
      <c r="AT4028">
        <v>2.99</v>
      </c>
      <c r="AU4028">
        <v>88</v>
      </c>
      <c r="AV4028">
        <v>-1.31</v>
      </c>
      <c r="AW4028">
        <v>94</v>
      </c>
      <c r="AX4028">
        <v>0.15</v>
      </c>
      <c r="AY4028">
        <v>80</v>
      </c>
      <c r="AZ4028">
        <v>7.33</v>
      </c>
      <c r="BA4028">
        <v>61</v>
      </c>
      <c r="BB4028">
        <v>5.78</v>
      </c>
      <c r="BC4028">
        <v>63</v>
      </c>
      <c r="BD4028">
        <v>0.02</v>
      </c>
      <c r="BE4028">
        <v>0.02</v>
      </c>
      <c r="BF4028">
        <v>-0.02</v>
      </c>
      <c r="BG4028">
        <v>88</v>
      </c>
      <c r="BH4028">
        <v>0.09</v>
      </c>
      <c r="BI4028">
        <v>8.56</v>
      </c>
      <c r="BJ4028">
        <v>30</v>
      </c>
      <c r="BK4028">
        <v>17</v>
      </c>
      <c r="BL4028">
        <v>-0.2</v>
      </c>
      <c r="BM4028">
        <v>0.16</v>
      </c>
      <c r="BN4028">
        <v>0.57999999999999996</v>
      </c>
      <c r="BO4028">
        <v>0.55000000000000004</v>
      </c>
      <c r="BP4028">
        <v>-2.36</v>
      </c>
      <c r="BQ4028">
        <v>-1.33</v>
      </c>
      <c r="BR4028">
        <v>1.03</v>
      </c>
      <c r="BS4028">
        <v>-1.1000000000000001</v>
      </c>
      <c r="BT4028">
        <v>-0.45</v>
      </c>
      <c r="BU4028">
        <v>0.22</v>
      </c>
      <c r="BV4028">
        <v>0.02</v>
      </c>
      <c r="BW4028">
        <v>-0.05</v>
      </c>
      <c r="BX4028">
        <v>-0.17</v>
      </c>
      <c r="BY4028">
        <v>0.36</v>
      </c>
      <c r="BZ4028">
        <v>2.76</v>
      </c>
      <c r="CA4028">
        <v>-0.17</v>
      </c>
      <c r="CB4028">
        <v>0.03</v>
      </c>
      <c r="CC4028">
        <v>-0.45</v>
      </c>
      <c r="CD4028">
        <v>-0.39</v>
      </c>
      <c r="CE4028">
        <v>0.26</v>
      </c>
      <c r="CF4028">
        <v>-0.13</v>
      </c>
      <c r="CG4028">
        <v>0</v>
      </c>
      <c r="CH4028">
        <v>0.48</v>
      </c>
      <c r="CI4028">
        <v>0</v>
      </c>
      <c r="CJ4028">
        <v>-7.9</v>
      </c>
      <c r="CK4028">
        <v>91</v>
      </c>
      <c r="CL4028">
        <v>-0.9</v>
      </c>
      <c r="CM4028">
        <v>89</v>
      </c>
      <c r="CN4028">
        <v>-0.37</v>
      </c>
      <c r="CO4028">
        <v>88</v>
      </c>
      <c r="CP4028">
        <v>-15.6</v>
      </c>
      <c r="CQ4028">
        <v>89</v>
      </c>
      <c r="CR4028">
        <v>0</v>
      </c>
      <c r="CS4028">
        <v>0</v>
      </c>
      <c r="CT4028">
        <v>-22.8</v>
      </c>
      <c r="CU4028">
        <v>89</v>
      </c>
      <c r="CV4028">
        <v>0.13</v>
      </c>
      <c r="CW4028">
        <v>44</v>
      </c>
      <c r="CX4028" t="s">
        <v>985</v>
      </c>
    </row>
    <row r="4029" spans="1:102" x14ac:dyDescent="0.3">
      <c r="A4029" t="str">
        <f>HYPERLINK("https://webapp.icbf.com/v2/app/bull-search/view/77855545","MBM")</f>
        <v>MBM</v>
      </c>
      <c r="B4029" t="s">
        <v>10356</v>
      </c>
      <c r="C4029" t="s">
        <v>10357</v>
      </c>
      <c r="D4029" s="1">
        <v>32258</v>
      </c>
      <c r="E4029" t="s">
        <v>92</v>
      </c>
      <c r="F4029">
        <v>100</v>
      </c>
      <c r="G4029" t="s">
        <v>93</v>
      </c>
      <c r="H4029">
        <v>-83.09</v>
      </c>
      <c r="I4029">
        <v>64</v>
      </c>
      <c r="J4029">
        <v>-29.54</v>
      </c>
      <c r="K4029">
        <v>83</v>
      </c>
      <c r="L4029">
        <v>-42.16</v>
      </c>
      <c r="M4029">
        <v>52</v>
      </c>
      <c r="N4029">
        <v>-0.94</v>
      </c>
      <c r="O4029">
        <v>51</v>
      </c>
      <c r="P4029">
        <v>-7.95</v>
      </c>
      <c r="Q4029">
        <v>76</v>
      </c>
      <c r="R4029">
        <v>-9.16</v>
      </c>
      <c r="S4029">
        <v>54</v>
      </c>
      <c r="T4029">
        <v>11.16</v>
      </c>
      <c r="U4029">
        <v>64</v>
      </c>
      <c r="V4029">
        <v>-4.5</v>
      </c>
      <c r="W4029">
        <v>23</v>
      </c>
      <c r="X4029" t="s">
        <v>276</v>
      </c>
      <c r="Y4029" t="s">
        <v>95</v>
      </c>
      <c r="Z4029" t="s">
        <v>96</v>
      </c>
      <c r="AA4029" t="s">
        <v>260</v>
      </c>
      <c r="AB4029" t="s">
        <v>10358</v>
      </c>
      <c r="AC4029">
        <v>25</v>
      </c>
      <c r="AD4029">
        <v>20</v>
      </c>
      <c r="AE4029">
        <v>83</v>
      </c>
      <c r="AF4029">
        <v>-183.3</v>
      </c>
      <c r="AG4029">
        <v>0.2</v>
      </c>
      <c r="AH4029">
        <v>-7.9</v>
      </c>
      <c r="AI4029">
        <v>0.13</v>
      </c>
      <c r="AJ4029">
        <v>-0.03</v>
      </c>
      <c r="AK4029">
        <v>52</v>
      </c>
      <c r="AL4029">
        <v>40</v>
      </c>
      <c r="AM4029">
        <v>29</v>
      </c>
      <c r="AN4029">
        <v>2.4700000000000002</v>
      </c>
      <c r="AO4029">
        <v>-0.89</v>
      </c>
      <c r="AP4029">
        <v>9</v>
      </c>
      <c r="AQ4029">
        <v>4</v>
      </c>
      <c r="AR4029">
        <v>8</v>
      </c>
      <c r="AS4029">
        <v>34</v>
      </c>
      <c r="AT4029">
        <v>3.78</v>
      </c>
      <c r="AU4029">
        <v>45</v>
      </c>
      <c r="AV4029">
        <v>-0.95</v>
      </c>
      <c r="AW4029">
        <v>62</v>
      </c>
      <c r="AX4029">
        <v>-0.63</v>
      </c>
      <c r="AY4029">
        <v>61</v>
      </c>
      <c r="AZ4029">
        <v>6.59</v>
      </c>
      <c r="BA4029">
        <v>25</v>
      </c>
      <c r="BB4029">
        <v>5.52</v>
      </c>
      <c r="BC4029">
        <v>36</v>
      </c>
      <c r="BD4029">
        <v>0.01</v>
      </c>
      <c r="BE4029">
        <v>0.06</v>
      </c>
      <c r="BF4029">
        <v>0.08</v>
      </c>
      <c r="BG4029">
        <v>69</v>
      </c>
      <c r="BH4029">
        <v>-0.08</v>
      </c>
      <c r="BI4029">
        <v>5.25</v>
      </c>
      <c r="BJ4029">
        <v>0</v>
      </c>
      <c r="BK4029">
        <v>0</v>
      </c>
      <c r="BL4029">
        <v>-1.1399999999999999</v>
      </c>
      <c r="BM4029">
        <v>0.33</v>
      </c>
      <c r="BN4029">
        <v>-0.55000000000000004</v>
      </c>
      <c r="BO4029">
        <v>-0.98</v>
      </c>
      <c r="BP4029">
        <v>-2.6</v>
      </c>
      <c r="BQ4029">
        <v>0.66</v>
      </c>
      <c r="BR4029">
        <v>0.96</v>
      </c>
      <c r="BS4029">
        <v>-0.17</v>
      </c>
      <c r="BT4029">
        <v>-1.19</v>
      </c>
      <c r="BU4029">
        <v>0.41</v>
      </c>
      <c r="BV4029">
        <v>-0.34</v>
      </c>
      <c r="BW4029">
        <v>-0.52</v>
      </c>
      <c r="BX4029">
        <v>0.92</v>
      </c>
      <c r="BY4029">
        <v>-0.93</v>
      </c>
      <c r="BZ4029">
        <v>0.65</v>
      </c>
      <c r="CA4029">
        <v>-0.72</v>
      </c>
      <c r="CB4029">
        <v>-0.21</v>
      </c>
      <c r="CC4029">
        <v>-1.45</v>
      </c>
      <c r="CD4029">
        <v>0.78</v>
      </c>
      <c r="CE4029">
        <v>-0.44</v>
      </c>
      <c r="CF4029">
        <v>0.48</v>
      </c>
      <c r="CG4029">
        <v>0</v>
      </c>
      <c r="CH4029">
        <v>-1.78</v>
      </c>
      <c r="CI4029">
        <v>0</v>
      </c>
      <c r="CJ4029">
        <v>-4</v>
      </c>
      <c r="CK4029">
        <v>78</v>
      </c>
      <c r="CL4029">
        <v>-0.34</v>
      </c>
      <c r="CM4029">
        <v>74</v>
      </c>
      <c r="CN4029">
        <v>-0.17</v>
      </c>
      <c r="CO4029">
        <v>71</v>
      </c>
      <c r="CP4029">
        <v>-6.1</v>
      </c>
      <c r="CQ4029">
        <v>77</v>
      </c>
      <c r="CR4029">
        <v>0</v>
      </c>
      <c r="CS4029">
        <v>0</v>
      </c>
      <c r="CT4029">
        <v>-1.3</v>
      </c>
      <c r="CU4029">
        <v>64</v>
      </c>
      <c r="CV4029">
        <v>7.0000000000000007E-2</v>
      </c>
      <c r="CW4029">
        <v>21</v>
      </c>
      <c r="CX4029" t="s">
        <v>10359</v>
      </c>
    </row>
    <row r="4030" spans="1:102" x14ac:dyDescent="0.3">
      <c r="A4030" t="str">
        <f>HYPERLINK("https://webapp.icbf.com/v2/app/bull-search/view/77857426","FST")</f>
        <v>FST</v>
      </c>
      <c r="B4030" t="s">
        <v>11176</v>
      </c>
      <c r="C4030" t="s">
        <v>11177</v>
      </c>
      <c r="D4030" s="1">
        <v>33128</v>
      </c>
      <c r="E4030" t="s">
        <v>92</v>
      </c>
      <c r="F4030">
        <v>100</v>
      </c>
      <c r="G4030" t="s">
        <v>93</v>
      </c>
      <c r="H4030">
        <v>-83.13</v>
      </c>
      <c r="I4030">
        <v>81</v>
      </c>
      <c r="J4030">
        <v>-18.05</v>
      </c>
      <c r="K4030">
        <v>91</v>
      </c>
      <c r="L4030">
        <v>-89.27</v>
      </c>
      <c r="M4030">
        <v>85</v>
      </c>
      <c r="N4030">
        <v>20.11</v>
      </c>
      <c r="O4030">
        <v>65</v>
      </c>
      <c r="P4030">
        <v>2.33</v>
      </c>
      <c r="Q4030">
        <v>85</v>
      </c>
      <c r="R4030">
        <v>-8.39</v>
      </c>
      <c r="S4030">
        <v>71</v>
      </c>
      <c r="T4030">
        <v>12.35</v>
      </c>
      <c r="U4030">
        <v>68</v>
      </c>
      <c r="V4030">
        <v>-2.21</v>
      </c>
      <c r="W4030">
        <v>42</v>
      </c>
      <c r="X4030" t="s">
        <v>110</v>
      </c>
      <c r="Y4030" t="s">
        <v>95</v>
      </c>
      <c r="Z4030" t="s">
        <v>96</v>
      </c>
      <c r="AA4030" t="s">
        <v>111</v>
      </c>
      <c r="AB4030" t="s">
        <v>11178</v>
      </c>
      <c r="AC4030">
        <v>53</v>
      </c>
      <c r="AD4030">
        <v>38</v>
      </c>
      <c r="AE4030">
        <v>91</v>
      </c>
      <c r="AF4030">
        <v>200.24</v>
      </c>
      <c r="AG4030">
        <v>-0.24</v>
      </c>
      <c r="AH4030">
        <v>0.08</v>
      </c>
      <c r="AI4030">
        <v>-0.13</v>
      </c>
      <c r="AJ4030">
        <v>-0.11</v>
      </c>
      <c r="AK4030">
        <v>85</v>
      </c>
      <c r="AL4030">
        <v>62</v>
      </c>
      <c r="AM4030">
        <v>32</v>
      </c>
      <c r="AN4030">
        <v>5.6</v>
      </c>
      <c r="AO4030">
        <v>-1.51</v>
      </c>
      <c r="AP4030">
        <v>0</v>
      </c>
      <c r="AQ4030">
        <v>20</v>
      </c>
      <c r="AR4030">
        <v>5.76</v>
      </c>
      <c r="AS4030">
        <v>34</v>
      </c>
      <c r="AT4030">
        <v>2.91</v>
      </c>
      <c r="AU4030">
        <v>87</v>
      </c>
      <c r="AV4030">
        <v>-1.08</v>
      </c>
      <c r="AW4030">
        <v>63</v>
      </c>
      <c r="AX4030">
        <v>-0.84</v>
      </c>
      <c r="AY4030">
        <v>74</v>
      </c>
      <c r="AZ4030">
        <v>5.99</v>
      </c>
      <c r="BA4030">
        <v>36</v>
      </c>
      <c r="BB4030">
        <v>4.49</v>
      </c>
      <c r="BC4030">
        <v>49</v>
      </c>
      <c r="BD4030">
        <v>0.06</v>
      </c>
      <c r="BE4030">
        <v>7.0000000000000007E-2</v>
      </c>
      <c r="BF4030">
        <v>-0.04</v>
      </c>
      <c r="BG4030">
        <v>88</v>
      </c>
      <c r="BH4030">
        <v>0.11</v>
      </c>
      <c r="BI4030">
        <v>19.86</v>
      </c>
      <c r="BJ4030">
        <v>5</v>
      </c>
      <c r="BK4030">
        <v>3</v>
      </c>
      <c r="BL4030">
        <v>-0.26</v>
      </c>
      <c r="BM4030">
        <v>-1.44</v>
      </c>
      <c r="BN4030">
        <v>0.12</v>
      </c>
      <c r="BO4030">
        <v>0.67</v>
      </c>
      <c r="BP4030">
        <v>1.85</v>
      </c>
      <c r="BQ4030">
        <v>-0.24</v>
      </c>
      <c r="BR4030">
        <v>0.97</v>
      </c>
      <c r="BS4030">
        <v>-0.1</v>
      </c>
      <c r="BT4030">
        <v>-1.63</v>
      </c>
      <c r="BU4030">
        <v>1.78</v>
      </c>
      <c r="BV4030">
        <v>0.52</v>
      </c>
      <c r="BW4030">
        <v>-0.14000000000000001</v>
      </c>
      <c r="BX4030">
        <v>1.04</v>
      </c>
      <c r="BY4030">
        <v>-0.25</v>
      </c>
      <c r="BZ4030">
        <v>0.22</v>
      </c>
      <c r="CA4030">
        <v>0.76</v>
      </c>
      <c r="CB4030">
        <v>0.81</v>
      </c>
      <c r="CC4030">
        <v>0.48</v>
      </c>
      <c r="CD4030">
        <v>-0.68</v>
      </c>
      <c r="CE4030">
        <v>-0.41</v>
      </c>
      <c r="CF4030">
        <v>-0.9</v>
      </c>
      <c r="CG4030">
        <v>0</v>
      </c>
      <c r="CH4030">
        <v>-0.13</v>
      </c>
      <c r="CI4030">
        <v>0</v>
      </c>
      <c r="CJ4030">
        <v>2.7</v>
      </c>
      <c r="CK4030">
        <v>86</v>
      </c>
      <c r="CL4030">
        <v>-0.19</v>
      </c>
      <c r="CM4030">
        <v>83</v>
      </c>
      <c r="CN4030">
        <v>-0.11</v>
      </c>
      <c r="CO4030">
        <v>81</v>
      </c>
      <c r="CP4030">
        <v>-4.8</v>
      </c>
      <c r="CQ4030">
        <v>85</v>
      </c>
      <c r="CR4030">
        <v>0</v>
      </c>
      <c r="CS4030">
        <v>0</v>
      </c>
      <c r="CT4030">
        <v>-2.9</v>
      </c>
      <c r="CU4030">
        <v>68</v>
      </c>
      <c r="CV4030">
        <v>0.12</v>
      </c>
      <c r="CW4030">
        <v>25</v>
      </c>
      <c r="CX4030" t="s">
        <v>168</v>
      </c>
    </row>
    <row r="4031" spans="1:102" x14ac:dyDescent="0.3">
      <c r="A4031" t="str">
        <f>HYPERLINK("https://webapp.icbf.com/v2/app/bull-search/view/77860243","CEN")</f>
        <v>CEN</v>
      </c>
      <c r="B4031" t="s">
        <v>10605</v>
      </c>
      <c r="C4031" t="s">
        <v>10606</v>
      </c>
      <c r="D4031" s="1">
        <v>32202</v>
      </c>
      <c r="E4031" t="s">
        <v>108</v>
      </c>
      <c r="F4031">
        <v>0</v>
      </c>
      <c r="G4031" t="s">
        <v>93</v>
      </c>
      <c r="H4031">
        <v>-83.27</v>
      </c>
      <c r="I4031">
        <v>68</v>
      </c>
      <c r="J4031">
        <v>17.079999999999998</v>
      </c>
      <c r="K4031">
        <v>88</v>
      </c>
      <c r="L4031">
        <v>-37.54</v>
      </c>
      <c r="M4031">
        <v>53</v>
      </c>
      <c r="N4031">
        <v>-62.5</v>
      </c>
      <c r="O4031">
        <v>63</v>
      </c>
      <c r="P4031">
        <v>0.53</v>
      </c>
      <c r="Q4031">
        <v>85</v>
      </c>
      <c r="R4031">
        <v>-19.95</v>
      </c>
      <c r="S4031">
        <v>53</v>
      </c>
      <c r="T4031">
        <v>17.82</v>
      </c>
      <c r="U4031">
        <v>64</v>
      </c>
      <c r="V4031">
        <v>1.29</v>
      </c>
      <c r="W4031">
        <v>37</v>
      </c>
      <c r="X4031" t="s">
        <v>94</v>
      </c>
      <c r="Y4031" t="s">
        <v>95</v>
      </c>
      <c r="Z4031" t="s">
        <v>96</v>
      </c>
      <c r="AA4031" t="s">
        <v>3934</v>
      </c>
      <c r="AB4031" t="s">
        <v>10607</v>
      </c>
      <c r="AC4031">
        <v>36</v>
      </c>
      <c r="AD4031">
        <v>20</v>
      </c>
      <c r="AE4031">
        <v>88</v>
      </c>
      <c r="AF4031">
        <v>-159.85</v>
      </c>
      <c r="AG4031">
        <v>2.5099999999999998</v>
      </c>
      <c r="AH4031">
        <v>-0.43</v>
      </c>
      <c r="AI4031">
        <v>0.15</v>
      </c>
      <c r="AJ4031">
        <v>0.09</v>
      </c>
      <c r="AK4031">
        <v>53</v>
      </c>
      <c r="AL4031">
        <v>40</v>
      </c>
      <c r="AM4031">
        <v>20</v>
      </c>
      <c r="AN4031">
        <v>0.78</v>
      </c>
      <c r="AO4031">
        <v>-2.23</v>
      </c>
      <c r="AP4031">
        <v>59</v>
      </c>
      <c r="AQ4031">
        <v>0</v>
      </c>
      <c r="AR4031">
        <v>15.14</v>
      </c>
      <c r="AS4031">
        <v>33</v>
      </c>
      <c r="AT4031">
        <v>5.66</v>
      </c>
      <c r="AU4031">
        <v>64</v>
      </c>
      <c r="AV4031">
        <v>0.49</v>
      </c>
      <c r="AW4031">
        <v>78</v>
      </c>
      <c r="AX4031">
        <v>0.42</v>
      </c>
      <c r="AY4031">
        <v>67</v>
      </c>
      <c r="AZ4031">
        <v>7.01</v>
      </c>
      <c r="BA4031">
        <v>36</v>
      </c>
      <c r="BB4031">
        <v>4.93</v>
      </c>
      <c r="BC4031">
        <v>35</v>
      </c>
      <c r="BD4031">
        <v>7.0000000000000007E-2</v>
      </c>
      <c r="BE4031">
        <v>0.08</v>
      </c>
      <c r="BF4031">
        <v>0.19</v>
      </c>
      <c r="BG4031">
        <v>66</v>
      </c>
      <c r="BH4031">
        <v>0.05</v>
      </c>
      <c r="BI4031">
        <v>1.63</v>
      </c>
      <c r="BJ4031">
        <v>1</v>
      </c>
      <c r="BK4031">
        <v>1</v>
      </c>
      <c r="BL4031">
        <v>-3.1</v>
      </c>
      <c r="BM4031">
        <v>1.3</v>
      </c>
      <c r="BN4031">
        <v>-2.5299999999999998</v>
      </c>
      <c r="BO4031">
        <v>-2.64</v>
      </c>
      <c r="BP4031">
        <v>0.2</v>
      </c>
      <c r="BQ4031">
        <v>-0.22</v>
      </c>
      <c r="BR4031">
        <v>-0.71</v>
      </c>
      <c r="BS4031">
        <v>-0.21</v>
      </c>
      <c r="BT4031">
        <v>0.46</v>
      </c>
      <c r="BU4031">
        <v>-2.31</v>
      </c>
      <c r="BV4031">
        <v>-3.17</v>
      </c>
      <c r="BW4031">
        <v>-3.24</v>
      </c>
      <c r="BX4031">
        <v>-2.42</v>
      </c>
      <c r="BY4031">
        <v>-0.86</v>
      </c>
      <c r="BZ4031">
        <v>-1.23</v>
      </c>
      <c r="CA4031">
        <v>-2.4700000000000002</v>
      </c>
      <c r="CB4031">
        <v>-2.5299999999999998</v>
      </c>
      <c r="CC4031">
        <v>-1.39</v>
      </c>
      <c r="CD4031">
        <v>2.2200000000000002</v>
      </c>
      <c r="CE4031">
        <v>-2.72</v>
      </c>
      <c r="CF4031">
        <v>-2.97</v>
      </c>
      <c r="CG4031">
        <v>0</v>
      </c>
      <c r="CH4031">
        <v>-2.02</v>
      </c>
      <c r="CI4031">
        <v>0</v>
      </c>
      <c r="CJ4031">
        <v>3.1</v>
      </c>
      <c r="CK4031">
        <v>87</v>
      </c>
      <c r="CL4031">
        <v>-0.2</v>
      </c>
      <c r="CM4031">
        <v>85</v>
      </c>
      <c r="CN4031">
        <v>0.04</v>
      </c>
      <c r="CO4031">
        <v>83</v>
      </c>
      <c r="CP4031">
        <v>-8.1</v>
      </c>
      <c r="CQ4031">
        <v>80</v>
      </c>
      <c r="CR4031">
        <v>0</v>
      </c>
      <c r="CS4031">
        <v>0</v>
      </c>
      <c r="CT4031">
        <v>-10.3</v>
      </c>
      <c r="CU4031">
        <v>64</v>
      </c>
      <c r="CV4031">
        <v>0.14000000000000001</v>
      </c>
      <c r="CW4031">
        <v>24</v>
      </c>
      <c r="CX4031" t="s">
        <v>10608</v>
      </c>
    </row>
    <row r="4032" spans="1:102" x14ac:dyDescent="0.3">
      <c r="A4032" t="str">
        <f>HYPERLINK("https://webapp.icbf.com/v2/app/bull-search/view/77859247","AJP")</f>
        <v>AJP</v>
      </c>
      <c r="B4032" t="s">
        <v>8565</v>
      </c>
      <c r="C4032" t="s">
        <v>8566</v>
      </c>
      <c r="D4032" s="1">
        <v>32421</v>
      </c>
      <c r="E4032" t="s">
        <v>92</v>
      </c>
      <c r="F4032">
        <v>100</v>
      </c>
      <c r="G4032" t="s">
        <v>93</v>
      </c>
      <c r="H4032">
        <v>-83.35</v>
      </c>
      <c r="I4032">
        <v>89</v>
      </c>
      <c r="J4032">
        <v>-19.97</v>
      </c>
      <c r="K4032">
        <v>98</v>
      </c>
      <c r="L4032">
        <v>-61.7</v>
      </c>
      <c r="M4032">
        <v>91</v>
      </c>
      <c r="N4032">
        <v>5.35</v>
      </c>
      <c r="O4032">
        <v>78</v>
      </c>
      <c r="P4032">
        <v>-5.13</v>
      </c>
      <c r="Q4032">
        <v>84</v>
      </c>
      <c r="R4032">
        <v>-16.14</v>
      </c>
      <c r="S4032">
        <v>80</v>
      </c>
      <c r="T4032">
        <v>12.94</v>
      </c>
      <c r="U4032">
        <v>85</v>
      </c>
      <c r="V4032">
        <v>1.3</v>
      </c>
      <c r="W4032">
        <v>65</v>
      </c>
      <c r="X4032" t="s">
        <v>131</v>
      </c>
      <c r="Y4032" t="s">
        <v>95</v>
      </c>
      <c r="Z4032" t="s">
        <v>96</v>
      </c>
      <c r="AA4032" t="s">
        <v>166</v>
      </c>
      <c r="AB4032" t="s">
        <v>8567</v>
      </c>
      <c r="AC4032">
        <v>143</v>
      </c>
      <c r="AD4032">
        <v>89</v>
      </c>
      <c r="AE4032">
        <v>98</v>
      </c>
      <c r="AF4032">
        <v>240.52</v>
      </c>
      <c r="AG4032">
        <v>-1.91</v>
      </c>
      <c r="AH4032">
        <v>0.96</v>
      </c>
      <c r="AI4032">
        <v>-0.19</v>
      </c>
      <c r="AJ4032">
        <v>-0.12</v>
      </c>
      <c r="AK4032">
        <v>91</v>
      </c>
      <c r="AL4032">
        <v>164</v>
      </c>
      <c r="AM4032">
        <v>102</v>
      </c>
      <c r="AN4032">
        <v>4.1500000000000004</v>
      </c>
      <c r="AO4032">
        <v>-0.76</v>
      </c>
      <c r="AP4032">
        <v>12</v>
      </c>
      <c r="AQ4032">
        <v>1</v>
      </c>
      <c r="AR4032">
        <v>8.44</v>
      </c>
      <c r="AS4032">
        <v>60</v>
      </c>
      <c r="AT4032">
        <v>4.05</v>
      </c>
      <c r="AU4032">
        <v>90</v>
      </c>
      <c r="AV4032">
        <v>-1.29</v>
      </c>
      <c r="AW4032">
        <v>79</v>
      </c>
      <c r="AX4032">
        <v>-0.71</v>
      </c>
      <c r="AY4032">
        <v>83</v>
      </c>
      <c r="AZ4032">
        <v>5.37</v>
      </c>
      <c r="BA4032">
        <v>55</v>
      </c>
      <c r="BB4032">
        <v>4.3600000000000003</v>
      </c>
      <c r="BC4032">
        <v>69</v>
      </c>
      <c r="BD4032">
        <v>0.03</v>
      </c>
      <c r="BE4032">
        <v>0.09</v>
      </c>
      <c r="BF4032">
        <v>0.15</v>
      </c>
      <c r="BG4032">
        <v>93</v>
      </c>
      <c r="BH4032">
        <v>0.12</v>
      </c>
      <c r="BI4032">
        <v>9.6999999999999993</v>
      </c>
      <c r="BJ4032">
        <v>23</v>
      </c>
      <c r="BK4032">
        <v>13</v>
      </c>
      <c r="BL4032">
        <v>0.83</v>
      </c>
      <c r="BM4032">
        <v>-0.12</v>
      </c>
      <c r="BN4032">
        <v>0.6</v>
      </c>
      <c r="BO4032">
        <v>0.87</v>
      </c>
      <c r="BP4032">
        <v>2.4300000000000002</v>
      </c>
      <c r="BQ4032">
        <v>-0.2</v>
      </c>
      <c r="BR4032">
        <v>1.08</v>
      </c>
      <c r="BS4032">
        <v>-0.49</v>
      </c>
      <c r="BT4032">
        <v>-0.65</v>
      </c>
      <c r="BU4032">
        <v>-0.41</v>
      </c>
      <c r="BV4032">
        <v>-0.42</v>
      </c>
      <c r="BW4032">
        <v>-0.53</v>
      </c>
      <c r="BX4032">
        <v>-0.73</v>
      </c>
      <c r="BY4032">
        <v>-0.65</v>
      </c>
      <c r="BZ4032">
        <v>-1.56</v>
      </c>
      <c r="CA4032">
        <v>0.4</v>
      </c>
      <c r="CB4032">
        <v>0.45</v>
      </c>
      <c r="CC4032">
        <v>0.19</v>
      </c>
      <c r="CD4032">
        <v>-0.61</v>
      </c>
      <c r="CE4032">
        <v>1.07</v>
      </c>
      <c r="CF4032">
        <v>0.99</v>
      </c>
      <c r="CG4032">
        <v>0</v>
      </c>
      <c r="CH4032">
        <v>-0.67</v>
      </c>
      <c r="CI4032">
        <v>0</v>
      </c>
      <c r="CJ4032">
        <v>-1.2</v>
      </c>
      <c r="CK4032">
        <v>85</v>
      </c>
      <c r="CL4032">
        <v>-0.69</v>
      </c>
      <c r="CM4032">
        <v>83</v>
      </c>
      <c r="CN4032">
        <v>-0.37</v>
      </c>
      <c r="CO4032">
        <v>80</v>
      </c>
      <c r="CP4032">
        <v>-4.5999999999999996</v>
      </c>
      <c r="CQ4032">
        <v>91</v>
      </c>
      <c r="CR4032">
        <v>0</v>
      </c>
      <c r="CS4032">
        <v>0</v>
      </c>
      <c r="CT4032">
        <v>-3.7</v>
      </c>
      <c r="CU4032">
        <v>85</v>
      </c>
      <c r="CV4032">
        <v>7.0000000000000007E-2</v>
      </c>
      <c r="CW4032">
        <v>43</v>
      </c>
      <c r="CX4032" t="s">
        <v>626</v>
      </c>
    </row>
    <row r="4033" spans="1:102" x14ac:dyDescent="0.3">
      <c r="A4033" t="str">
        <f>HYPERLINK("https://webapp.icbf.com/v2/app/bull-search/view/77857735","EUE")</f>
        <v>EUE</v>
      </c>
      <c r="B4033" t="s">
        <v>121</v>
      </c>
      <c r="C4033" t="s">
        <v>122</v>
      </c>
      <c r="D4033" s="1">
        <v>32572</v>
      </c>
      <c r="E4033" t="s">
        <v>92</v>
      </c>
      <c r="F4033">
        <v>100</v>
      </c>
      <c r="G4033" t="s">
        <v>93</v>
      </c>
      <c r="H4033">
        <v>-83.59</v>
      </c>
      <c r="I4033">
        <v>79</v>
      </c>
      <c r="J4033">
        <v>-34.46</v>
      </c>
      <c r="K4033">
        <v>94</v>
      </c>
      <c r="L4033">
        <v>-27.39</v>
      </c>
      <c r="M4033">
        <v>76</v>
      </c>
      <c r="N4033">
        <v>-23.49</v>
      </c>
      <c r="O4033">
        <v>64</v>
      </c>
      <c r="P4033">
        <v>9.69</v>
      </c>
      <c r="Q4033">
        <v>84</v>
      </c>
      <c r="R4033">
        <v>-20.98</v>
      </c>
      <c r="S4033">
        <v>72</v>
      </c>
      <c r="T4033">
        <v>14.64</v>
      </c>
      <c r="U4033">
        <v>74</v>
      </c>
      <c r="V4033">
        <v>-1.6</v>
      </c>
      <c r="W4033">
        <v>31</v>
      </c>
      <c r="X4033" t="s">
        <v>94</v>
      </c>
      <c r="Y4033" t="s">
        <v>95</v>
      </c>
      <c r="Z4033" t="s">
        <v>96</v>
      </c>
      <c r="AA4033" t="s">
        <v>113</v>
      </c>
      <c r="AB4033" t="s">
        <v>123</v>
      </c>
      <c r="AC4033">
        <v>93</v>
      </c>
      <c r="AD4033">
        <v>67</v>
      </c>
      <c r="AE4033">
        <v>94</v>
      </c>
      <c r="AF4033">
        <v>-123.09</v>
      </c>
      <c r="AG4033">
        <v>-1.17</v>
      </c>
      <c r="AH4033">
        <v>-7.33</v>
      </c>
      <c r="AI4033">
        <v>0.06</v>
      </c>
      <c r="AJ4033">
        <v>-0.05</v>
      </c>
      <c r="AK4033">
        <v>76</v>
      </c>
      <c r="AL4033">
        <v>253</v>
      </c>
      <c r="AM4033">
        <v>140</v>
      </c>
      <c r="AN4033">
        <v>0.26</v>
      </c>
      <c r="AO4033">
        <v>-1.94</v>
      </c>
      <c r="AP4033">
        <v>1</v>
      </c>
      <c r="AQ4033">
        <v>0</v>
      </c>
      <c r="AR4033">
        <v>10.14</v>
      </c>
      <c r="AS4033">
        <v>38</v>
      </c>
      <c r="AT4033">
        <v>4.58</v>
      </c>
      <c r="AU4033">
        <v>61</v>
      </c>
      <c r="AV4033">
        <v>-0.03</v>
      </c>
      <c r="AW4033">
        <v>70</v>
      </c>
      <c r="AX4033">
        <v>0.19</v>
      </c>
      <c r="AY4033">
        <v>83</v>
      </c>
      <c r="AZ4033">
        <v>7.26</v>
      </c>
      <c r="BA4033">
        <v>40</v>
      </c>
      <c r="BB4033">
        <v>4.87</v>
      </c>
      <c r="BC4033">
        <v>60</v>
      </c>
      <c r="BD4033">
        <v>0.05</v>
      </c>
      <c r="BE4033">
        <v>0.11</v>
      </c>
      <c r="BF4033">
        <v>0.19</v>
      </c>
      <c r="BG4033">
        <v>93</v>
      </c>
      <c r="BH4033">
        <v>0.01</v>
      </c>
      <c r="BI4033">
        <v>6.31</v>
      </c>
      <c r="BJ4033">
        <v>24</v>
      </c>
      <c r="BK4033">
        <v>17</v>
      </c>
      <c r="BL4033">
        <v>1.01</v>
      </c>
      <c r="BM4033">
        <v>1.44</v>
      </c>
      <c r="BN4033">
        <v>2.4</v>
      </c>
      <c r="BO4033">
        <v>0.68</v>
      </c>
      <c r="BP4033">
        <v>1.23</v>
      </c>
      <c r="BQ4033">
        <v>1.06</v>
      </c>
      <c r="BR4033">
        <v>0.28999999999999998</v>
      </c>
      <c r="BS4033">
        <v>-0.43</v>
      </c>
      <c r="BT4033">
        <v>0.4</v>
      </c>
      <c r="BU4033">
        <v>-0.67</v>
      </c>
      <c r="BV4033">
        <v>-1.03</v>
      </c>
      <c r="BW4033">
        <v>0.37</v>
      </c>
      <c r="BX4033">
        <v>-0.12</v>
      </c>
      <c r="BY4033">
        <v>-1.61</v>
      </c>
      <c r="BZ4033">
        <v>0.77</v>
      </c>
      <c r="CA4033">
        <v>-0.43</v>
      </c>
      <c r="CB4033">
        <v>-0.78</v>
      </c>
      <c r="CC4033">
        <v>0.82</v>
      </c>
      <c r="CD4033">
        <v>-0.32</v>
      </c>
      <c r="CE4033">
        <v>0.24</v>
      </c>
      <c r="CF4033">
        <v>1.6</v>
      </c>
      <c r="CG4033">
        <v>0</v>
      </c>
      <c r="CH4033">
        <v>-1.03</v>
      </c>
      <c r="CI4033">
        <v>0</v>
      </c>
      <c r="CJ4033">
        <v>2.9</v>
      </c>
      <c r="CK4033">
        <v>85</v>
      </c>
      <c r="CL4033">
        <v>-0.4</v>
      </c>
      <c r="CM4033">
        <v>82</v>
      </c>
      <c r="CN4033">
        <v>-0.81</v>
      </c>
      <c r="CO4033">
        <v>80</v>
      </c>
      <c r="CP4033">
        <v>2.2000000000000002</v>
      </c>
      <c r="CQ4033">
        <v>86</v>
      </c>
      <c r="CR4033">
        <v>0</v>
      </c>
      <c r="CS4033">
        <v>0</v>
      </c>
      <c r="CT4033">
        <v>-6</v>
      </c>
      <c r="CU4033">
        <v>74</v>
      </c>
      <c r="CV4033">
        <v>0.1</v>
      </c>
      <c r="CW4033">
        <v>25</v>
      </c>
      <c r="CX4033" t="s">
        <v>120</v>
      </c>
    </row>
    <row r="4034" spans="1:102" x14ac:dyDescent="0.3">
      <c r="A4034" t="str">
        <f>HYPERLINK("https://webapp.icbf.com/v2/app/bull-search/view/77853454","SRS")</f>
        <v>SRS</v>
      </c>
      <c r="B4034" t="s">
        <v>12172</v>
      </c>
      <c r="C4034" t="s">
        <v>1330</v>
      </c>
      <c r="D4034" s="1">
        <v>33375</v>
      </c>
      <c r="E4034" t="s">
        <v>92</v>
      </c>
      <c r="F4034">
        <v>100</v>
      </c>
      <c r="G4034" t="s">
        <v>93</v>
      </c>
      <c r="H4034">
        <v>-83.7</v>
      </c>
      <c r="I4034">
        <v>94</v>
      </c>
      <c r="J4034">
        <v>6.07</v>
      </c>
      <c r="K4034">
        <v>99</v>
      </c>
      <c r="L4034">
        <v>-61.68</v>
      </c>
      <c r="M4034">
        <v>93</v>
      </c>
      <c r="N4034">
        <v>-12.54</v>
      </c>
      <c r="O4034">
        <v>89</v>
      </c>
      <c r="P4034">
        <v>-8.06</v>
      </c>
      <c r="Q4034">
        <v>95</v>
      </c>
      <c r="R4034">
        <v>-10.57</v>
      </c>
      <c r="S4034">
        <v>86</v>
      </c>
      <c r="T4034">
        <v>10.050000000000001</v>
      </c>
      <c r="U4034">
        <v>90</v>
      </c>
      <c r="V4034">
        <v>-6.97</v>
      </c>
      <c r="W4034">
        <v>78</v>
      </c>
      <c r="X4034" t="s">
        <v>558</v>
      </c>
      <c r="Y4034" t="s">
        <v>95</v>
      </c>
      <c r="Z4034" t="s">
        <v>96</v>
      </c>
      <c r="AA4034" t="s">
        <v>132</v>
      </c>
      <c r="AB4034" t="s">
        <v>12173</v>
      </c>
      <c r="AC4034">
        <v>302</v>
      </c>
      <c r="AD4034">
        <v>178</v>
      </c>
      <c r="AE4034">
        <v>99</v>
      </c>
      <c r="AF4034">
        <v>243.88</v>
      </c>
      <c r="AG4034">
        <v>6.8</v>
      </c>
      <c r="AH4034">
        <v>2.36</v>
      </c>
      <c r="AI4034">
        <v>-0.05</v>
      </c>
      <c r="AJ4034">
        <v>-0.1</v>
      </c>
      <c r="AK4034">
        <v>93</v>
      </c>
      <c r="AL4034">
        <v>275</v>
      </c>
      <c r="AM4034">
        <v>147</v>
      </c>
      <c r="AN4034">
        <v>4.03</v>
      </c>
      <c r="AO4034">
        <v>-0.88</v>
      </c>
      <c r="AP4034">
        <v>74</v>
      </c>
      <c r="AQ4034">
        <v>0</v>
      </c>
      <c r="AR4034">
        <v>10.85</v>
      </c>
      <c r="AS4034">
        <v>80</v>
      </c>
      <c r="AT4034">
        <v>4.04</v>
      </c>
      <c r="AU4034">
        <v>94</v>
      </c>
      <c r="AV4034">
        <v>-0.14000000000000001</v>
      </c>
      <c r="AW4034">
        <v>90</v>
      </c>
      <c r="AX4034">
        <v>-0.5</v>
      </c>
      <c r="AY4034">
        <v>91</v>
      </c>
      <c r="AZ4034">
        <v>5.34</v>
      </c>
      <c r="BA4034">
        <v>77</v>
      </c>
      <c r="BB4034">
        <v>4.4800000000000004</v>
      </c>
      <c r="BC4034">
        <v>85</v>
      </c>
      <c r="BD4034">
        <v>0.03</v>
      </c>
      <c r="BE4034">
        <v>7.0000000000000007E-2</v>
      </c>
      <c r="BF4034">
        <v>0.06</v>
      </c>
      <c r="BG4034">
        <v>96</v>
      </c>
      <c r="BH4034">
        <v>-0.05</v>
      </c>
      <c r="BI4034">
        <v>16.71</v>
      </c>
      <c r="BJ4034">
        <v>59</v>
      </c>
      <c r="BK4034">
        <v>42</v>
      </c>
      <c r="BL4034">
        <v>0.48</v>
      </c>
      <c r="BM4034">
        <v>-2.5499999999999998</v>
      </c>
      <c r="BN4034">
        <v>-0.76</v>
      </c>
      <c r="BO4034">
        <v>1.17</v>
      </c>
      <c r="BP4034">
        <v>0.43</v>
      </c>
      <c r="BQ4034">
        <v>-1.1599999999999999</v>
      </c>
      <c r="BR4034">
        <v>0.64</v>
      </c>
      <c r="BS4034">
        <v>1.26</v>
      </c>
      <c r="BT4034">
        <v>-1.29</v>
      </c>
      <c r="BU4034">
        <v>-0.54</v>
      </c>
      <c r="BV4034">
        <v>1.4</v>
      </c>
      <c r="BW4034">
        <v>2.13</v>
      </c>
      <c r="BX4034">
        <v>0.04</v>
      </c>
      <c r="BY4034">
        <v>-1.49</v>
      </c>
      <c r="BZ4034">
        <v>4.32</v>
      </c>
      <c r="CA4034">
        <v>0.43</v>
      </c>
      <c r="CB4034">
        <v>0.1</v>
      </c>
      <c r="CC4034">
        <v>0.92</v>
      </c>
      <c r="CD4034">
        <v>-2.39</v>
      </c>
      <c r="CE4034">
        <v>1.2</v>
      </c>
      <c r="CF4034">
        <v>-0.27</v>
      </c>
      <c r="CG4034">
        <v>0</v>
      </c>
      <c r="CH4034">
        <v>-1.48</v>
      </c>
      <c r="CI4034">
        <v>0</v>
      </c>
      <c r="CJ4034">
        <v>-2.2999999999999998</v>
      </c>
      <c r="CK4034">
        <v>95</v>
      </c>
      <c r="CL4034">
        <v>-0.82</v>
      </c>
      <c r="CM4034">
        <v>94</v>
      </c>
      <c r="CN4034">
        <v>-0.4</v>
      </c>
      <c r="CO4034">
        <v>93</v>
      </c>
      <c r="CP4034">
        <v>-7.4</v>
      </c>
      <c r="CQ4034">
        <v>96</v>
      </c>
      <c r="CR4034">
        <v>0</v>
      </c>
      <c r="CS4034">
        <v>0</v>
      </c>
      <c r="CT4034">
        <v>0.2</v>
      </c>
      <c r="CU4034">
        <v>90</v>
      </c>
      <c r="CV4034">
        <v>0.14000000000000001</v>
      </c>
      <c r="CW4034">
        <v>45</v>
      </c>
      <c r="CX4034" t="s">
        <v>543</v>
      </c>
    </row>
    <row r="4035" spans="1:102" x14ac:dyDescent="0.3">
      <c r="A4035" t="str">
        <f>HYPERLINK("https://webapp.icbf.com/v2/app/bull-search/view/395532744","KRP")</f>
        <v>KRP</v>
      </c>
      <c r="B4035" t="s">
        <v>1575</v>
      </c>
      <c r="C4035" t="s">
        <v>1576</v>
      </c>
      <c r="D4035" s="1">
        <v>35282</v>
      </c>
      <c r="E4035" t="s">
        <v>92</v>
      </c>
      <c r="F4035">
        <v>100</v>
      </c>
      <c r="G4035" t="s">
        <v>109</v>
      </c>
      <c r="H4035">
        <v>-83.93</v>
      </c>
      <c r="I4035">
        <v>64</v>
      </c>
      <c r="J4035">
        <v>24.38</v>
      </c>
      <c r="K4035">
        <v>73</v>
      </c>
      <c r="L4035">
        <v>-73.900000000000006</v>
      </c>
      <c r="M4035">
        <v>71</v>
      </c>
      <c r="N4035">
        <v>-27.43</v>
      </c>
      <c r="O4035">
        <v>50</v>
      </c>
      <c r="P4035">
        <v>-7.33</v>
      </c>
      <c r="Q4035">
        <v>55</v>
      </c>
      <c r="R4035">
        <v>-4.6500000000000004</v>
      </c>
      <c r="S4035">
        <v>59</v>
      </c>
      <c r="T4035">
        <v>10.130000000000001</v>
      </c>
      <c r="U4035">
        <v>39</v>
      </c>
      <c r="V4035">
        <v>-5.13</v>
      </c>
      <c r="W4035">
        <v>28</v>
      </c>
      <c r="X4035" t="s">
        <v>276</v>
      </c>
      <c r="Y4035" t="s">
        <v>95</v>
      </c>
      <c r="Z4035" t="s">
        <v>96</v>
      </c>
      <c r="AA4035" t="s">
        <v>1334</v>
      </c>
      <c r="AB4035" t="s">
        <v>1577</v>
      </c>
      <c r="AC4035">
        <v>0</v>
      </c>
      <c r="AD4035">
        <v>0</v>
      </c>
      <c r="AE4035">
        <v>73</v>
      </c>
      <c r="AF4035">
        <v>181.63</v>
      </c>
      <c r="AG4035">
        <v>7.51</v>
      </c>
      <c r="AH4035">
        <v>4.2699999999999996</v>
      </c>
      <c r="AI4035">
        <v>0.01</v>
      </c>
      <c r="AJ4035">
        <v>-0.03</v>
      </c>
      <c r="AK4035">
        <v>71</v>
      </c>
      <c r="AL4035">
        <v>0</v>
      </c>
      <c r="AM4035">
        <v>0</v>
      </c>
      <c r="AN4035">
        <v>5.05</v>
      </c>
      <c r="AO4035">
        <v>-0.83</v>
      </c>
      <c r="AP4035">
        <v>17</v>
      </c>
      <c r="AQ4035">
        <v>0</v>
      </c>
      <c r="AR4035">
        <v>9.59</v>
      </c>
      <c r="AS4035">
        <v>14</v>
      </c>
      <c r="AT4035">
        <v>4.1500000000000004</v>
      </c>
      <c r="AU4035">
        <v>72</v>
      </c>
      <c r="AV4035">
        <v>0.79</v>
      </c>
      <c r="AW4035">
        <v>60</v>
      </c>
      <c r="AX4035">
        <v>-0.23</v>
      </c>
      <c r="AY4035">
        <v>37</v>
      </c>
      <c r="AZ4035">
        <v>6.95</v>
      </c>
      <c r="BA4035">
        <v>12</v>
      </c>
      <c r="BB4035">
        <v>5.95</v>
      </c>
      <c r="BC4035">
        <v>18</v>
      </c>
      <c r="BD4035">
        <v>0.03</v>
      </c>
      <c r="BE4035">
        <v>0.03</v>
      </c>
      <c r="BF4035">
        <v>0</v>
      </c>
      <c r="BG4035">
        <v>87</v>
      </c>
      <c r="BH4035">
        <v>-0.08</v>
      </c>
      <c r="BI4035">
        <v>7.28</v>
      </c>
      <c r="BJ4035">
        <v>0</v>
      </c>
      <c r="BK4035">
        <v>0</v>
      </c>
      <c r="BL4035">
        <v>7.0000000000000007E-2</v>
      </c>
      <c r="BM4035">
        <v>1.9</v>
      </c>
      <c r="BN4035">
        <v>1.24</v>
      </c>
      <c r="BO4035">
        <v>-0.17</v>
      </c>
      <c r="BP4035">
        <v>0.77</v>
      </c>
      <c r="BQ4035">
        <v>1.17</v>
      </c>
      <c r="BR4035">
        <v>0.21</v>
      </c>
      <c r="BS4035">
        <v>-0.28000000000000003</v>
      </c>
      <c r="BT4035">
        <v>-0.13</v>
      </c>
      <c r="BU4035">
        <v>0.03</v>
      </c>
      <c r="BV4035">
        <v>-0.88</v>
      </c>
      <c r="BW4035">
        <v>-1.36</v>
      </c>
      <c r="BX4035">
        <v>-0.46</v>
      </c>
      <c r="BY4035">
        <v>-1.94</v>
      </c>
      <c r="BZ4035">
        <v>1.08</v>
      </c>
      <c r="CA4035">
        <v>-0.79</v>
      </c>
      <c r="CB4035">
        <v>-0.97</v>
      </c>
      <c r="CC4035">
        <v>0.15</v>
      </c>
      <c r="CD4035">
        <v>0.56000000000000005</v>
      </c>
      <c r="CE4035">
        <v>0</v>
      </c>
      <c r="CF4035">
        <v>0</v>
      </c>
      <c r="CG4035">
        <v>0</v>
      </c>
      <c r="CH4035">
        <v>0</v>
      </c>
      <c r="CI4035">
        <v>0</v>
      </c>
      <c r="CJ4035">
        <v>-4.5999999999999996</v>
      </c>
      <c r="CK4035">
        <v>57</v>
      </c>
      <c r="CL4035">
        <v>-0.37</v>
      </c>
      <c r="CM4035">
        <v>53</v>
      </c>
      <c r="CN4035">
        <v>-0.28999999999999998</v>
      </c>
      <c r="CO4035">
        <v>48</v>
      </c>
      <c r="CP4035">
        <v>-3.7</v>
      </c>
      <c r="CQ4035">
        <v>53</v>
      </c>
      <c r="CR4035">
        <v>0</v>
      </c>
      <c r="CS4035">
        <v>0</v>
      </c>
      <c r="CT4035">
        <v>0.1</v>
      </c>
      <c r="CU4035">
        <v>39</v>
      </c>
      <c r="CV4035">
        <v>-0.03</v>
      </c>
      <c r="CW4035">
        <v>14</v>
      </c>
      <c r="CX4035" t="s">
        <v>1578</v>
      </c>
    </row>
    <row r="4036" spans="1:102" x14ac:dyDescent="0.3">
      <c r="A4036" t="str">
        <f>HYPERLINK("https://webapp.icbf.com/v2/app/bull-search/view/77856154","LCS")</f>
        <v>LCS</v>
      </c>
      <c r="B4036" t="s">
        <v>8686</v>
      </c>
      <c r="C4036" t="s">
        <v>8687</v>
      </c>
      <c r="D4036" s="1">
        <v>33289</v>
      </c>
      <c r="E4036" t="s">
        <v>92</v>
      </c>
      <c r="F4036">
        <v>100</v>
      </c>
      <c r="G4036" t="s">
        <v>93</v>
      </c>
      <c r="H4036">
        <v>-84.03</v>
      </c>
      <c r="I4036">
        <v>62</v>
      </c>
      <c r="J4036">
        <v>-13.84</v>
      </c>
      <c r="K4036">
        <v>77</v>
      </c>
      <c r="L4036">
        <v>-55.56</v>
      </c>
      <c r="M4036">
        <v>58</v>
      </c>
      <c r="N4036">
        <v>-2.96</v>
      </c>
      <c r="O4036">
        <v>49</v>
      </c>
      <c r="P4036">
        <v>2.36</v>
      </c>
      <c r="Q4036">
        <v>57</v>
      </c>
      <c r="R4036">
        <v>-10.53</v>
      </c>
      <c r="S4036">
        <v>62</v>
      </c>
      <c r="T4036">
        <v>3.61</v>
      </c>
      <c r="U4036">
        <v>57</v>
      </c>
      <c r="V4036">
        <v>-7.11</v>
      </c>
      <c r="W4036">
        <v>32</v>
      </c>
      <c r="X4036" t="s">
        <v>110</v>
      </c>
      <c r="Y4036" t="s">
        <v>95</v>
      </c>
      <c r="Z4036" t="s">
        <v>96</v>
      </c>
      <c r="AA4036" t="s">
        <v>154</v>
      </c>
      <c r="AB4036" t="s">
        <v>1464</v>
      </c>
      <c r="AC4036">
        <v>22</v>
      </c>
      <c r="AD4036">
        <v>11</v>
      </c>
      <c r="AE4036">
        <v>77</v>
      </c>
      <c r="AF4036">
        <v>-41.41</v>
      </c>
      <c r="AG4036">
        <v>0.15</v>
      </c>
      <c r="AH4036">
        <v>-3.04</v>
      </c>
      <c r="AI4036">
        <v>0.03</v>
      </c>
      <c r="AJ4036">
        <v>-0.03</v>
      </c>
      <c r="AK4036">
        <v>58</v>
      </c>
      <c r="AL4036">
        <v>45</v>
      </c>
      <c r="AM4036">
        <v>12</v>
      </c>
      <c r="AN4036">
        <v>3.08</v>
      </c>
      <c r="AO4036">
        <v>-1.35</v>
      </c>
      <c r="AP4036">
        <v>2</v>
      </c>
      <c r="AQ4036">
        <v>1</v>
      </c>
      <c r="AR4036">
        <v>9.7100000000000009</v>
      </c>
      <c r="AS4036">
        <v>36</v>
      </c>
      <c r="AT4036">
        <v>4.16</v>
      </c>
      <c r="AU4036">
        <v>44</v>
      </c>
      <c r="AV4036">
        <v>-2.2799999999999998</v>
      </c>
      <c r="AW4036">
        <v>55</v>
      </c>
      <c r="AX4036">
        <v>-0.19</v>
      </c>
      <c r="AY4036">
        <v>61</v>
      </c>
      <c r="AZ4036">
        <v>6.8</v>
      </c>
      <c r="BA4036">
        <v>35</v>
      </c>
      <c r="BB4036">
        <v>5.85</v>
      </c>
      <c r="BC4036">
        <v>41</v>
      </c>
      <c r="BD4036">
        <v>0.06</v>
      </c>
      <c r="BE4036">
        <v>0.08</v>
      </c>
      <c r="BF4036">
        <v>-0.01</v>
      </c>
      <c r="BG4036">
        <v>77</v>
      </c>
      <c r="BH4036">
        <v>-0.01</v>
      </c>
      <c r="BI4036">
        <v>21.77</v>
      </c>
      <c r="BJ4036">
        <v>13</v>
      </c>
      <c r="BK4036">
        <v>4</v>
      </c>
      <c r="BL4036">
        <v>-0.32</v>
      </c>
      <c r="BM4036">
        <v>-0.83</v>
      </c>
      <c r="BN4036">
        <v>-1.02</v>
      </c>
      <c r="BO4036">
        <v>-0.15</v>
      </c>
      <c r="BP4036">
        <v>0.24</v>
      </c>
      <c r="BQ4036">
        <v>-0.8</v>
      </c>
      <c r="BR4036">
        <v>-0.75</v>
      </c>
      <c r="BS4036">
        <v>0.46</v>
      </c>
      <c r="BT4036">
        <v>0.48</v>
      </c>
      <c r="BU4036">
        <v>-0.45</v>
      </c>
      <c r="BV4036">
        <v>0.1</v>
      </c>
      <c r="BW4036">
        <v>0.12</v>
      </c>
      <c r="BX4036">
        <v>0.26</v>
      </c>
      <c r="BY4036">
        <v>-0.28999999999999998</v>
      </c>
      <c r="BZ4036">
        <v>0.88</v>
      </c>
      <c r="CA4036">
        <v>0.03</v>
      </c>
      <c r="CB4036">
        <v>-0.01</v>
      </c>
      <c r="CC4036">
        <v>-0.02</v>
      </c>
      <c r="CD4036">
        <v>-0.25</v>
      </c>
      <c r="CE4036">
        <v>-0.1</v>
      </c>
      <c r="CF4036">
        <v>-0.41</v>
      </c>
      <c r="CG4036">
        <v>0</v>
      </c>
      <c r="CH4036">
        <v>-0.12</v>
      </c>
      <c r="CI4036">
        <v>0</v>
      </c>
      <c r="CJ4036">
        <v>2.6</v>
      </c>
      <c r="CK4036">
        <v>58</v>
      </c>
      <c r="CL4036">
        <v>-0.59</v>
      </c>
      <c r="CM4036">
        <v>55</v>
      </c>
      <c r="CN4036">
        <v>-0.46</v>
      </c>
      <c r="CO4036">
        <v>50</v>
      </c>
      <c r="CP4036">
        <v>-3.5</v>
      </c>
      <c r="CQ4036">
        <v>67</v>
      </c>
      <c r="CR4036">
        <v>0</v>
      </c>
      <c r="CS4036">
        <v>0</v>
      </c>
      <c r="CT4036">
        <v>8.9</v>
      </c>
      <c r="CU4036">
        <v>57</v>
      </c>
      <c r="CV4036">
        <v>0.14000000000000001</v>
      </c>
      <c r="CW4036">
        <v>16</v>
      </c>
      <c r="CX4036" t="s">
        <v>638</v>
      </c>
    </row>
    <row r="4037" spans="1:102" x14ac:dyDescent="0.3">
      <c r="A4037" t="str">
        <f>HYPERLINK("https://webapp.icbf.com/v2/app/bull-search/view/77857951","FNC")</f>
        <v>FNC</v>
      </c>
      <c r="B4037" t="s">
        <v>11181</v>
      </c>
      <c r="C4037" t="s">
        <v>11182</v>
      </c>
      <c r="D4037" s="1">
        <v>33149</v>
      </c>
      <c r="E4037" t="s">
        <v>92</v>
      </c>
      <c r="F4037">
        <v>100</v>
      </c>
      <c r="G4037" t="s">
        <v>93</v>
      </c>
      <c r="H4037">
        <v>-84.07</v>
      </c>
      <c r="I4037">
        <v>93</v>
      </c>
      <c r="J4037">
        <v>9.01</v>
      </c>
      <c r="K4037">
        <v>99</v>
      </c>
      <c r="L4037">
        <v>-98.94</v>
      </c>
      <c r="M4037">
        <v>93</v>
      </c>
      <c r="N4037">
        <v>7.77</v>
      </c>
      <c r="O4037">
        <v>88</v>
      </c>
      <c r="P4037">
        <v>-0.23</v>
      </c>
      <c r="Q4037">
        <v>94</v>
      </c>
      <c r="R4037">
        <v>-14.83</v>
      </c>
      <c r="S4037">
        <v>86</v>
      </c>
      <c r="T4037">
        <v>13.75</v>
      </c>
      <c r="U4037">
        <v>91</v>
      </c>
      <c r="V4037">
        <v>-0.6</v>
      </c>
      <c r="W4037">
        <v>76</v>
      </c>
      <c r="X4037" t="s">
        <v>110</v>
      </c>
      <c r="Y4037" t="s">
        <v>95</v>
      </c>
      <c r="Z4037" t="s">
        <v>96</v>
      </c>
      <c r="AA4037" t="s">
        <v>111</v>
      </c>
      <c r="AB4037" t="s">
        <v>11183</v>
      </c>
      <c r="AC4037">
        <v>380</v>
      </c>
      <c r="AD4037">
        <v>196</v>
      </c>
      <c r="AE4037">
        <v>99</v>
      </c>
      <c r="AF4037">
        <v>55.85</v>
      </c>
      <c r="AG4037">
        <v>6.72</v>
      </c>
      <c r="AH4037">
        <v>0.01</v>
      </c>
      <c r="AI4037">
        <v>0.08</v>
      </c>
      <c r="AJ4037">
        <v>-0.03</v>
      </c>
      <c r="AK4037">
        <v>93</v>
      </c>
      <c r="AL4037">
        <v>383</v>
      </c>
      <c r="AM4037">
        <v>175</v>
      </c>
      <c r="AN4037">
        <v>6.22</v>
      </c>
      <c r="AO4037">
        <v>-1.66</v>
      </c>
      <c r="AP4037">
        <v>8</v>
      </c>
      <c r="AQ4037">
        <v>0</v>
      </c>
      <c r="AR4037">
        <v>5.4</v>
      </c>
      <c r="AS4037">
        <v>78</v>
      </c>
      <c r="AT4037">
        <v>2.4500000000000002</v>
      </c>
      <c r="AU4037">
        <v>90</v>
      </c>
      <c r="AV4037">
        <v>-0.51</v>
      </c>
      <c r="AW4037">
        <v>90</v>
      </c>
      <c r="AX4037">
        <v>-0.48</v>
      </c>
      <c r="AY4037">
        <v>92</v>
      </c>
      <c r="AZ4037">
        <v>8.16</v>
      </c>
      <c r="BA4037">
        <v>76</v>
      </c>
      <c r="BB4037">
        <v>5.98</v>
      </c>
      <c r="BC4037">
        <v>85</v>
      </c>
      <c r="BD4037">
        <v>0.06</v>
      </c>
      <c r="BE4037">
        <v>0.09</v>
      </c>
      <c r="BF4037">
        <v>7.0000000000000007E-2</v>
      </c>
      <c r="BG4037">
        <v>97</v>
      </c>
      <c r="BH4037">
        <v>0.04</v>
      </c>
      <c r="BI4037">
        <v>6.55</v>
      </c>
      <c r="BJ4037">
        <v>49</v>
      </c>
      <c r="BK4037">
        <v>26</v>
      </c>
      <c r="BL4037">
        <v>0.56999999999999995</v>
      </c>
      <c r="BM4037">
        <v>-0.61</v>
      </c>
      <c r="BN4037">
        <v>0.9</v>
      </c>
      <c r="BO4037">
        <v>1.1000000000000001</v>
      </c>
      <c r="BP4037">
        <v>0.65</v>
      </c>
      <c r="BQ4037">
        <v>-0.28000000000000003</v>
      </c>
      <c r="BR4037">
        <v>0.01</v>
      </c>
      <c r="BS4037">
        <v>1.25</v>
      </c>
      <c r="BT4037">
        <v>-0.53</v>
      </c>
      <c r="BU4037">
        <v>0.72</v>
      </c>
      <c r="BV4037">
        <v>0.06</v>
      </c>
      <c r="BW4037">
        <v>1.65</v>
      </c>
      <c r="BX4037">
        <v>0.15</v>
      </c>
      <c r="BY4037">
        <v>0.87</v>
      </c>
      <c r="BZ4037">
        <v>0.87</v>
      </c>
      <c r="CA4037">
        <v>1.89</v>
      </c>
      <c r="CB4037">
        <v>1.1599999999999999</v>
      </c>
      <c r="CC4037">
        <v>2.44</v>
      </c>
      <c r="CD4037">
        <v>-0.99</v>
      </c>
      <c r="CE4037">
        <v>1.2</v>
      </c>
      <c r="CF4037">
        <v>1.07</v>
      </c>
      <c r="CG4037">
        <v>0</v>
      </c>
      <c r="CH4037">
        <v>0.88</v>
      </c>
      <c r="CI4037">
        <v>0</v>
      </c>
      <c r="CJ4037">
        <v>1.4</v>
      </c>
      <c r="CK4037">
        <v>94</v>
      </c>
      <c r="CL4037">
        <v>-0.7</v>
      </c>
      <c r="CM4037">
        <v>93</v>
      </c>
      <c r="CN4037">
        <v>-0.43</v>
      </c>
      <c r="CO4037">
        <v>92</v>
      </c>
      <c r="CP4037">
        <v>0.2</v>
      </c>
      <c r="CQ4037">
        <v>96</v>
      </c>
      <c r="CR4037">
        <v>0</v>
      </c>
      <c r="CS4037">
        <v>0</v>
      </c>
      <c r="CT4037">
        <v>-4.8</v>
      </c>
      <c r="CU4037">
        <v>91</v>
      </c>
      <c r="CV4037">
        <v>0.16</v>
      </c>
      <c r="CW4037">
        <v>45</v>
      </c>
      <c r="CX4037" t="s">
        <v>11184</v>
      </c>
    </row>
    <row r="4038" spans="1:102" x14ac:dyDescent="0.3">
      <c r="A4038" t="str">
        <f>HYPERLINK("https://webapp.icbf.com/v2/app/bull-search/view/77858494","DNY")</f>
        <v>DNY</v>
      </c>
      <c r="B4038" t="s">
        <v>3540</v>
      </c>
      <c r="C4038" t="s">
        <v>3541</v>
      </c>
      <c r="D4038" s="1">
        <v>33607</v>
      </c>
      <c r="E4038" t="s">
        <v>92</v>
      </c>
      <c r="F4038">
        <v>75</v>
      </c>
      <c r="G4038" t="s">
        <v>93</v>
      </c>
      <c r="H4038">
        <v>-84.21</v>
      </c>
      <c r="I4038">
        <v>89</v>
      </c>
      <c r="J4038">
        <v>-20.07</v>
      </c>
      <c r="K4038">
        <v>98</v>
      </c>
      <c r="L4038">
        <v>-45.06</v>
      </c>
      <c r="M4038">
        <v>85</v>
      </c>
      <c r="N4038">
        <v>1.27</v>
      </c>
      <c r="O4038">
        <v>83</v>
      </c>
      <c r="P4038">
        <v>-1.1200000000000001</v>
      </c>
      <c r="Q4038">
        <v>94</v>
      </c>
      <c r="R4038">
        <v>-18.91</v>
      </c>
      <c r="S4038">
        <v>80</v>
      </c>
      <c r="T4038">
        <v>9.61</v>
      </c>
      <c r="U4038">
        <v>91</v>
      </c>
      <c r="V4038">
        <v>-9.93</v>
      </c>
      <c r="W4038">
        <v>59</v>
      </c>
      <c r="X4038" t="s">
        <v>94</v>
      </c>
      <c r="Y4038" t="s">
        <v>95</v>
      </c>
      <c r="Z4038" t="s">
        <v>96</v>
      </c>
      <c r="AA4038" t="s">
        <v>193</v>
      </c>
      <c r="AB4038" t="s">
        <v>3542</v>
      </c>
      <c r="AC4038">
        <v>322</v>
      </c>
      <c r="AD4038">
        <v>216</v>
      </c>
      <c r="AE4038">
        <v>98</v>
      </c>
      <c r="AF4038">
        <v>17.2</v>
      </c>
      <c r="AG4038">
        <v>0.31</v>
      </c>
      <c r="AH4038">
        <v>-3.26</v>
      </c>
      <c r="AI4038">
        <v>-0.01</v>
      </c>
      <c r="AJ4038">
        <v>-0.06</v>
      </c>
      <c r="AK4038">
        <v>85</v>
      </c>
      <c r="AL4038">
        <v>521</v>
      </c>
      <c r="AM4038">
        <v>313</v>
      </c>
      <c r="AN4038">
        <v>2.74</v>
      </c>
      <c r="AO4038">
        <v>-0.85</v>
      </c>
      <c r="AP4038">
        <v>4</v>
      </c>
      <c r="AQ4038">
        <v>1</v>
      </c>
      <c r="AR4038">
        <v>7.17</v>
      </c>
      <c r="AS4038">
        <v>53</v>
      </c>
      <c r="AT4038">
        <v>3</v>
      </c>
      <c r="AU4038">
        <v>81</v>
      </c>
      <c r="AV4038">
        <v>-0.99</v>
      </c>
      <c r="AW4038">
        <v>90</v>
      </c>
      <c r="AX4038">
        <v>-0.24</v>
      </c>
      <c r="AY4038">
        <v>91</v>
      </c>
      <c r="AZ4038">
        <v>6.74</v>
      </c>
      <c r="BA4038">
        <v>57</v>
      </c>
      <c r="BB4038">
        <v>6.62</v>
      </c>
      <c r="BC4038">
        <v>80</v>
      </c>
      <c r="BD4038">
        <v>0.04</v>
      </c>
      <c r="BE4038">
        <v>0.12</v>
      </c>
      <c r="BF4038">
        <v>0.14000000000000001</v>
      </c>
      <c r="BG4038">
        <v>96</v>
      </c>
      <c r="BH4038">
        <v>-0.19</v>
      </c>
      <c r="BI4038">
        <v>10.06</v>
      </c>
      <c r="BJ4038">
        <v>48</v>
      </c>
      <c r="BK4038">
        <v>37</v>
      </c>
      <c r="BL4038">
        <v>0.17</v>
      </c>
      <c r="BM4038">
        <v>-0.22</v>
      </c>
      <c r="BN4038">
        <v>0.21</v>
      </c>
      <c r="BO4038">
        <v>0.45</v>
      </c>
      <c r="BP4038">
        <v>-0.96</v>
      </c>
      <c r="BQ4038">
        <v>-0.56999999999999995</v>
      </c>
      <c r="BR4038">
        <v>0.71</v>
      </c>
      <c r="BS4038">
        <v>-0.41</v>
      </c>
      <c r="BT4038">
        <v>-1.08</v>
      </c>
      <c r="BU4038">
        <v>-0.13</v>
      </c>
      <c r="BV4038">
        <v>0.35</v>
      </c>
      <c r="BW4038">
        <v>0.44</v>
      </c>
      <c r="BX4038">
        <v>0.34</v>
      </c>
      <c r="BY4038">
        <v>-1.27</v>
      </c>
      <c r="BZ4038">
        <v>0.42</v>
      </c>
      <c r="CA4038">
        <v>-0.44</v>
      </c>
      <c r="CB4038">
        <v>-0.1</v>
      </c>
      <c r="CC4038">
        <v>-0.91</v>
      </c>
      <c r="CD4038">
        <v>0.35</v>
      </c>
      <c r="CE4038">
        <v>0.66</v>
      </c>
      <c r="CF4038">
        <v>0.32</v>
      </c>
      <c r="CG4038">
        <v>0</v>
      </c>
      <c r="CH4038">
        <v>-1.33</v>
      </c>
      <c r="CI4038">
        <v>0</v>
      </c>
      <c r="CJ4038">
        <v>2.8</v>
      </c>
      <c r="CK4038">
        <v>94</v>
      </c>
      <c r="CL4038">
        <v>-0.43</v>
      </c>
      <c r="CM4038">
        <v>93</v>
      </c>
      <c r="CN4038">
        <v>-0.03</v>
      </c>
      <c r="CO4038">
        <v>92</v>
      </c>
      <c r="CP4038">
        <v>-6</v>
      </c>
      <c r="CQ4038">
        <v>96</v>
      </c>
      <c r="CR4038">
        <v>0</v>
      </c>
      <c r="CS4038">
        <v>0</v>
      </c>
      <c r="CT4038">
        <v>0.8</v>
      </c>
      <c r="CU4038">
        <v>91</v>
      </c>
      <c r="CV4038">
        <v>0.27</v>
      </c>
      <c r="CW4038">
        <v>28</v>
      </c>
      <c r="CX4038" t="s">
        <v>260</v>
      </c>
    </row>
    <row r="4039" spans="1:102" x14ac:dyDescent="0.3">
      <c r="A4039" t="str">
        <f>HYPERLINK("https://webapp.icbf.com/v2/app/bull-search/view/69092146","LMX")</f>
        <v>LMX</v>
      </c>
      <c r="B4039" t="s">
        <v>9802</v>
      </c>
      <c r="C4039" t="s">
        <v>9803</v>
      </c>
      <c r="D4039" s="1">
        <v>36196</v>
      </c>
      <c r="E4039" t="s">
        <v>92</v>
      </c>
      <c r="F4039">
        <v>100</v>
      </c>
      <c r="G4039" t="s">
        <v>93</v>
      </c>
      <c r="H4039">
        <v>-84.27</v>
      </c>
      <c r="I4039">
        <v>81</v>
      </c>
      <c r="J4039">
        <v>-12.22</v>
      </c>
      <c r="K4039">
        <v>93</v>
      </c>
      <c r="L4039">
        <v>-98.67</v>
      </c>
      <c r="M4039">
        <v>67</v>
      </c>
      <c r="N4039">
        <v>-7.49</v>
      </c>
      <c r="O4039">
        <v>80</v>
      </c>
      <c r="P4039">
        <v>22.75</v>
      </c>
      <c r="Q4039">
        <v>98</v>
      </c>
      <c r="R4039">
        <v>6.19</v>
      </c>
      <c r="S4039">
        <v>68</v>
      </c>
      <c r="T4039">
        <v>9.02</v>
      </c>
      <c r="U4039">
        <v>92</v>
      </c>
      <c r="V4039">
        <v>-3.85</v>
      </c>
      <c r="W4039">
        <v>53</v>
      </c>
      <c r="X4039" t="s">
        <v>102</v>
      </c>
      <c r="Y4039" t="s">
        <v>95</v>
      </c>
      <c r="Z4039" t="s">
        <v>96</v>
      </c>
      <c r="AA4039" t="s">
        <v>961</v>
      </c>
      <c r="AB4039" t="s">
        <v>9804</v>
      </c>
      <c r="AC4039">
        <v>63</v>
      </c>
      <c r="AD4039">
        <v>47</v>
      </c>
      <c r="AE4039">
        <v>93</v>
      </c>
      <c r="AF4039">
        <v>-25.15</v>
      </c>
      <c r="AG4039">
        <v>-2.95</v>
      </c>
      <c r="AH4039">
        <v>-1.42</v>
      </c>
      <c r="AI4039">
        <v>-0.03</v>
      </c>
      <c r="AJ4039">
        <v>-0.01</v>
      </c>
      <c r="AK4039">
        <v>67</v>
      </c>
      <c r="AL4039">
        <v>80</v>
      </c>
      <c r="AM4039">
        <v>54</v>
      </c>
      <c r="AN4039">
        <v>5.28</v>
      </c>
      <c r="AO4039">
        <v>-2.59</v>
      </c>
      <c r="AP4039">
        <v>143</v>
      </c>
      <c r="AQ4039">
        <v>576</v>
      </c>
      <c r="AR4039">
        <v>8.2100000000000009</v>
      </c>
      <c r="AS4039">
        <v>74</v>
      </c>
      <c r="AT4039">
        <v>3.96</v>
      </c>
      <c r="AU4039">
        <v>75</v>
      </c>
      <c r="AV4039">
        <v>0.6</v>
      </c>
      <c r="AW4039">
        <v>91</v>
      </c>
      <c r="AX4039">
        <v>-0.86</v>
      </c>
      <c r="AY4039">
        <v>95</v>
      </c>
      <c r="AZ4039">
        <v>5.22</v>
      </c>
      <c r="BA4039">
        <v>53</v>
      </c>
      <c r="BB4039">
        <v>4.3600000000000003</v>
      </c>
      <c r="BC4039">
        <v>54</v>
      </c>
      <c r="BD4039">
        <v>-0.02</v>
      </c>
      <c r="BE4039">
        <v>-0.01</v>
      </c>
      <c r="BF4039">
        <v>-0.09</v>
      </c>
      <c r="BG4039">
        <v>79</v>
      </c>
      <c r="BH4039">
        <v>-0.17</v>
      </c>
      <c r="BI4039">
        <v>-7.23</v>
      </c>
      <c r="BJ4039">
        <v>10</v>
      </c>
      <c r="BK4039">
        <v>7</v>
      </c>
      <c r="BL4039">
        <v>0.71</v>
      </c>
      <c r="BM4039">
        <v>-1.19</v>
      </c>
      <c r="BN4039">
        <v>-1.25</v>
      </c>
      <c r="BO4039">
        <v>0.7</v>
      </c>
      <c r="BP4039">
        <v>-1.01</v>
      </c>
      <c r="BQ4039">
        <v>-1.74</v>
      </c>
      <c r="BR4039">
        <v>-1.35</v>
      </c>
      <c r="BS4039">
        <v>1.33</v>
      </c>
      <c r="BT4039">
        <v>0.63</v>
      </c>
      <c r="BU4039">
        <v>-0.12</v>
      </c>
      <c r="BV4039">
        <v>0.28000000000000003</v>
      </c>
      <c r="BW4039">
        <v>0.38</v>
      </c>
      <c r="BX4039">
        <v>0.47</v>
      </c>
      <c r="BY4039">
        <v>-0.09</v>
      </c>
      <c r="BZ4039">
        <v>1.58</v>
      </c>
      <c r="CA4039">
        <v>1.22</v>
      </c>
      <c r="CB4039">
        <v>0.42</v>
      </c>
      <c r="CC4039">
        <v>1.94</v>
      </c>
      <c r="CD4039">
        <v>-1.23</v>
      </c>
      <c r="CE4039">
        <v>0.64</v>
      </c>
      <c r="CF4039">
        <v>0.15</v>
      </c>
      <c r="CG4039">
        <v>0</v>
      </c>
      <c r="CH4039">
        <v>0.2</v>
      </c>
      <c r="CI4039">
        <v>0</v>
      </c>
      <c r="CJ4039">
        <v>8</v>
      </c>
      <c r="CK4039">
        <v>98</v>
      </c>
      <c r="CL4039">
        <v>0.88</v>
      </c>
      <c r="CM4039">
        <v>98</v>
      </c>
      <c r="CN4039">
        <v>-0.18</v>
      </c>
      <c r="CO4039">
        <v>98</v>
      </c>
      <c r="CP4039">
        <v>3.5</v>
      </c>
      <c r="CQ4039">
        <v>93</v>
      </c>
      <c r="CR4039">
        <v>0</v>
      </c>
      <c r="CS4039">
        <v>0</v>
      </c>
      <c r="CT4039">
        <v>1.6</v>
      </c>
      <c r="CU4039">
        <v>92</v>
      </c>
      <c r="CV4039">
        <v>-0.23</v>
      </c>
      <c r="CW4039">
        <v>30</v>
      </c>
      <c r="CX4039" t="s">
        <v>132</v>
      </c>
    </row>
    <row r="4040" spans="1:102" x14ac:dyDescent="0.3">
      <c r="A4040" t="str">
        <f>HYPERLINK("https://webapp.icbf.com/v2/app/bull-search/view/77856709","IDA")</f>
        <v>IDA</v>
      </c>
      <c r="B4040" t="s">
        <v>1141</v>
      </c>
      <c r="C4040" t="s">
        <v>1142</v>
      </c>
      <c r="D4040" s="1">
        <v>34086</v>
      </c>
      <c r="E4040" t="s">
        <v>92</v>
      </c>
      <c r="F4040">
        <v>100</v>
      </c>
      <c r="G4040" t="s">
        <v>93</v>
      </c>
      <c r="H4040">
        <v>-84.34</v>
      </c>
      <c r="I4040">
        <v>97</v>
      </c>
      <c r="J4040">
        <v>53.97</v>
      </c>
      <c r="K4040">
        <v>99</v>
      </c>
      <c r="L4040">
        <v>-114.71</v>
      </c>
      <c r="M4040">
        <v>95</v>
      </c>
      <c r="N4040">
        <v>-23.49</v>
      </c>
      <c r="O4040">
        <v>98</v>
      </c>
      <c r="P4040">
        <v>-6.43</v>
      </c>
      <c r="Q4040">
        <v>99</v>
      </c>
      <c r="R4040">
        <v>2.17</v>
      </c>
      <c r="S4040">
        <v>95</v>
      </c>
      <c r="T4040">
        <v>5.09</v>
      </c>
      <c r="U4040">
        <v>99</v>
      </c>
      <c r="V4040">
        <v>-0.94</v>
      </c>
      <c r="W4040">
        <v>95</v>
      </c>
      <c r="X4040" t="s">
        <v>276</v>
      </c>
      <c r="Y4040" t="s">
        <v>95</v>
      </c>
      <c r="Z4040" t="s">
        <v>96</v>
      </c>
      <c r="AA4040" t="s">
        <v>485</v>
      </c>
      <c r="AB4040" t="s">
        <v>1143</v>
      </c>
      <c r="AC4040">
        <v>1609</v>
      </c>
      <c r="AD4040">
        <v>656</v>
      </c>
      <c r="AE4040">
        <v>99</v>
      </c>
      <c r="AF4040">
        <v>272.23</v>
      </c>
      <c r="AG4040">
        <v>12.99</v>
      </c>
      <c r="AH4040">
        <v>8.75</v>
      </c>
      <c r="AI4040">
        <v>0.04</v>
      </c>
      <c r="AJ4040">
        <v>-0.01</v>
      </c>
      <c r="AK4040">
        <v>95</v>
      </c>
      <c r="AL4040">
        <v>1682</v>
      </c>
      <c r="AM4040">
        <v>689</v>
      </c>
      <c r="AN4040">
        <v>5.29</v>
      </c>
      <c r="AO4040">
        <v>-3.87</v>
      </c>
      <c r="AP4040">
        <v>1831</v>
      </c>
      <c r="AQ4040">
        <v>6</v>
      </c>
      <c r="AR4040">
        <v>11.32</v>
      </c>
      <c r="AS4040">
        <v>98</v>
      </c>
      <c r="AT4040">
        <v>4.5</v>
      </c>
      <c r="AU4040">
        <v>98</v>
      </c>
      <c r="AV4040">
        <v>0.08</v>
      </c>
      <c r="AW4040">
        <v>99</v>
      </c>
      <c r="AX4040">
        <v>0.28000000000000003</v>
      </c>
      <c r="AY4040">
        <v>98</v>
      </c>
      <c r="AZ4040">
        <v>5.74</v>
      </c>
      <c r="BA4040">
        <v>95</v>
      </c>
      <c r="BB4040">
        <v>4.41</v>
      </c>
      <c r="BC4040">
        <v>96</v>
      </c>
      <c r="BD4040">
        <v>0.03</v>
      </c>
      <c r="BE4040">
        <v>0</v>
      </c>
      <c r="BF4040">
        <v>-0.1</v>
      </c>
      <c r="BG4040">
        <v>99</v>
      </c>
      <c r="BH4040">
        <v>0.11</v>
      </c>
      <c r="BI4040">
        <v>15.76</v>
      </c>
      <c r="BJ4040">
        <v>166</v>
      </c>
      <c r="BK4040">
        <v>78</v>
      </c>
      <c r="BL4040">
        <v>0.46</v>
      </c>
      <c r="BM4040">
        <v>1.5</v>
      </c>
      <c r="BN4040">
        <v>1.31</v>
      </c>
      <c r="BO4040">
        <v>0.02</v>
      </c>
      <c r="BP4040">
        <v>-2.0699999999999998</v>
      </c>
      <c r="BQ4040">
        <v>0.73</v>
      </c>
      <c r="BR4040">
        <v>1.69</v>
      </c>
      <c r="BS4040">
        <v>-2.0099999999999998</v>
      </c>
      <c r="BT4040">
        <v>-1.67</v>
      </c>
      <c r="BU4040">
        <v>1.89</v>
      </c>
      <c r="BV4040">
        <v>1.26</v>
      </c>
      <c r="BW4040">
        <v>0.92</v>
      </c>
      <c r="BX4040">
        <v>0.57999999999999996</v>
      </c>
      <c r="BY4040">
        <v>2.09</v>
      </c>
      <c r="BZ4040">
        <v>-1.72</v>
      </c>
      <c r="CA4040">
        <v>0.81</v>
      </c>
      <c r="CB4040">
        <v>1.65</v>
      </c>
      <c r="CC4040">
        <v>-1.27</v>
      </c>
      <c r="CD4040">
        <v>0.56999999999999995</v>
      </c>
      <c r="CE4040">
        <v>0.4</v>
      </c>
      <c r="CF4040">
        <v>0.51</v>
      </c>
      <c r="CG4040">
        <v>0</v>
      </c>
      <c r="CH4040">
        <v>2.19</v>
      </c>
      <c r="CI4040">
        <v>0</v>
      </c>
      <c r="CJ4040">
        <v>-1.8</v>
      </c>
      <c r="CK4040">
        <v>99</v>
      </c>
      <c r="CL4040">
        <v>-0.75</v>
      </c>
      <c r="CM4040">
        <v>99</v>
      </c>
      <c r="CN4040">
        <v>-0.36</v>
      </c>
      <c r="CO4040">
        <v>99</v>
      </c>
      <c r="CP4040">
        <v>-2.8</v>
      </c>
      <c r="CQ4040">
        <v>99</v>
      </c>
      <c r="CR4040">
        <v>0</v>
      </c>
      <c r="CS4040">
        <v>0</v>
      </c>
      <c r="CT4040">
        <v>6.9</v>
      </c>
      <c r="CU4040">
        <v>99</v>
      </c>
      <c r="CV4040">
        <v>0.16</v>
      </c>
      <c r="CW4040">
        <v>47</v>
      </c>
      <c r="CX4040" t="s">
        <v>543</v>
      </c>
    </row>
    <row r="4041" spans="1:102" x14ac:dyDescent="0.3">
      <c r="A4041" t="str">
        <f>HYPERLINK("https://webapp.icbf.com/v2/app/bull-search/view/77855041","NPH")</f>
        <v>NPH</v>
      </c>
      <c r="B4041" t="s">
        <v>8903</v>
      </c>
      <c r="C4041" t="s">
        <v>8904</v>
      </c>
      <c r="D4041" s="1">
        <v>35695</v>
      </c>
      <c r="E4041" t="s">
        <v>92</v>
      </c>
      <c r="F4041">
        <v>100</v>
      </c>
      <c r="G4041" t="s">
        <v>93</v>
      </c>
      <c r="H4041">
        <v>-84.37</v>
      </c>
      <c r="I4041">
        <v>80</v>
      </c>
      <c r="J4041">
        <v>-19.91</v>
      </c>
      <c r="K4041">
        <v>96</v>
      </c>
      <c r="L4041">
        <v>-75.56</v>
      </c>
      <c r="M4041">
        <v>70</v>
      </c>
      <c r="N4041">
        <v>2.15</v>
      </c>
      <c r="O4041">
        <v>74</v>
      </c>
      <c r="P4041">
        <v>-13.04</v>
      </c>
      <c r="Q4041">
        <v>87</v>
      </c>
      <c r="R4041">
        <v>5.36</v>
      </c>
      <c r="S4041">
        <v>71</v>
      </c>
      <c r="T4041">
        <v>10.57</v>
      </c>
      <c r="U4041">
        <v>82</v>
      </c>
      <c r="V4041">
        <v>6.06</v>
      </c>
      <c r="W4041">
        <v>45</v>
      </c>
      <c r="X4041" t="s">
        <v>94</v>
      </c>
      <c r="Y4041" t="s">
        <v>95</v>
      </c>
      <c r="Z4041" t="s">
        <v>96</v>
      </c>
      <c r="AA4041" t="s">
        <v>751</v>
      </c>
      <c r="AB4041" t="s">
        <v>8905</v>
      </c>
      <c r="AC4041">
        <v>103</v>
      </c>
      <c r="AD4041">
        <v>90</v>
      </c>
      <c r="AE4041">
        <v>96</v>
      </c>
      <c r="AF4041">
        <v>78.53</v>
      </c>
      <c r="AG4041">
        <v>-9.06</v>
      </c>
      <c r="AH4041">
        <v>1.02</v>
      </c>
      <c r="AI4041">
        <v>-0.2</v>
      </c>
      <c r="AJ4041">
        <v>-0.03</v>
      </c>
      <c r="AK4041">
        <v>70</v>
      </c>
      <c r="AL4041">
        <v>108</v>
      </c>
      <c r="AM4041">
        <v>87</v>
      </c>
      <c r="AN4041">
        <v>4.5999999999999996</v>
      </c>
      <c r="AO4041">
        <v>-1.42</v>
      </c>
      <c r="AP4041">
        <v>7</v>
      </c>
      <c r="AQ4041">
        <v>0</v>
      </c>
      <c r="AR4041">
        <v>8.59</v>
      </c>
      <c r="AS4041">
        <v>55</v>
      </c>
      <c r="AT4041">
        <v>3.84</v>
      </c>
      <c r="AU4041">
        <v>69</v>
      </c>
      <c r="AV4041">
        <v>-1.37</v>
      </c>
      <c r="AW4041">
        <v>83</v>
      </c>
      <c r="AX4041">
        <v>0.02</v>
      </c>
      <c r="AY4041">
        <v>80</v>
      </c>
      <c r="AZ4041">
        <v>6.62</v>
      </c>
      <c r="BA4041">
        <v>59</v>
      </c>
      <c r="BB4041">
        <v>4.7699999999999996</v>
      </c>
      <c r="BC4041">
        <v>65</v>
      </c>
      <c r="BD4041">
        <v>0.04</v>
      </c>
      <c r="BE4041">
        <v>0</v>
      </c>
      <c r="BF4041">
        <v>-0.19</v>
      </c>
      <c r="BG4041">
        <v>85</v>
      </c>
      <c r="BH4041">
        <v>0.16</v>
      </c>
      <c r="BI4041">
        <v>-1.03</v>
      </c>
      <c r="BJ4041">
        <v>28</v>
      </c>
      <c r="BK4041">
        <v>24</v>
      </c>
      <c r="BL4041">
        <v>-0.43</v>
      </c>
      <c r="BM4041">
        <v>0.3</v>
      </c>
      <c r="BN4041">
        <v>-0.17</v>
      </c>
      <c r="BO4041">
        <v>-0.28000000000000003</v>
      </c>
      <c r="BP4041">
        <v>0.59</v>
      </c>
      <c r="BQ4041">
        <v>-1.76</v>
      </c>
      <c r="BR4041">
        <v>0.62</v>
      </c>
      <c r="BS4041">
        <v>0.45</v>
      </c>
      <c r="BT4041">
        <v>-0.52</v>
      </c>
      <c r="BU4041">
        <v>0.85</v>
      </c>
      <c r="BV4041">
        <v>1.1299999999999999</v>
      </c>
      <c r="BW4041">
        <v>0.43</v>
      </c>
      <c r="BX4041">
        <v>-0.05</v>
      </c>
      <c r="BY4041">
        <v>0.36</v>
      </c>
      <c r="BZ4041">
        <v>-1.9</v>
      </c>
      <c r="CA4041">
        <v>0.92</v>
      </c>
      <c r="CB4041">
        <v>1.02</v>
      </c>
      <c r="CC4041">
        <v>0.22</v>
      </c>
      <c r="CD4041">
        <v>0.28000000000000003</v>
      </c>
      <c r="CE4041">
        <v>-0.2</v>
      </c>
      <c r="CF4041">
        <v>-0.76</v>
      </c>
      <c r="CG4041">
        <v>0</v>
      </c>
      <c r="CH4041">
        <v>-0.66</v>
      </c>
      <c r="CI4041">
        <v>0</v>
      </c>
      <c r="CJ4041">
        <v>-6.9</v>
      </c>
      <c r="CK4041">
        <v>88</v>
      </c>
      <c r="CL4041">
        <v>-0.82</v>
      </c>
      <c r="CM4041">
        <v>86</v>
      </c>
      <c r="CN4041">
        <v>-0.53</v>
      </c>
      <c r="CO4041">
        <v>85</v>
      </c>
      <c r="CP4041">
        <v>-8.4</v>
      </c>
      <c r="CQ4041">
        <v>91</v>
      </c>
      <c r="CR4041">
        <v>0</v>
      </c>
      <c r="CS4041">
        <v>0</v>
      </c>
      <c r="CT4041">
        <v>-0.5</v>
      </c>
      <c r="CU4041">
        <v>82</v>
      </c>
      <c r="CV4041">
        <v>0.14000000000000001</v>
      </c>
      <c r="CW4041">
        <v>26</v>
      </c>
      <c r="CX4041" t="s">
        <v>485</v>
      </c>
    </row>
    <row r="4042" spans="1:102" x14ac:dyDescent="0.3">
      <c r="A4042" t="str">
        <f>HYPERLINK("https://webapp.icbf.com/v2/app/bull-search/view/69091993","JJT")</f>
        <v>JJT</v>
      </c>
      <c r="B4042" t="s">
        <v>4385</v>
      </c>
      <c r="C4042" t="s">
        <v>4386</v>
      </c>
      <c r="D4042" s="1">
        <v>34649</v>
      </c>
      <c r="E4042" t="s">
        <v>92</v>
      </c>
      <c r="F4042">
        <v>100</v>
      </c>
      <c r="G4042" t="s">
        <v>93</v>
      </c>
      <c r="H4042">
        <v>-84.38</v>
      </c>
      <c r="I4042">
        <v>89</v>
      </c>
      <c r="J4042">
        <v>36.89</v>
      </c>
      <c r="K4042">
        <v>98</v>
      </c>
      <c r="L4042">
        <v>-77.83</v>
      </c>
      <c r="M4042">
        <v>84</v>
      </c>
      <c r="N4042">
        <v>-34.86</v>
      </c>
      <c r="O4042">
        <v>86</v>
      </c>
      <c r="P4042">
        <v>0.53</v>
      </c>
      <c r="Q4042">
        <v>95</v>
      </c>
      <c r="R4042">
        <v>-6.5</v>
      </c>
      <c r="S4042">
        <v>78</v>
      </c>
      <c r="T4042">
        <v>-0.46</v>
      </c>
      <c r="U4042">
        <v>86</v>
      </c>
      <c r="V4042">
        <v>-2.15</v>
      </c>
      <c r="W4042">
        <v>64</v>
      </c>
      <c r="X4042" t="s">
        <v>102</v>
      </c>
      <c r="Y4042" t="s">
        <v>95</v>
      </c>
      <c r="Z4042" t="s">
        <v>96</v>
      </c>
      <c r="AA4042" t="s">
        <v>3216</v>
      </c>
      <c r="AB4042" t="s">
        <v>4387</v>
      </c>
      <c r="AC4042">
        <v>175</v>
      </c>
      <c r="AD4042">
        <v>71</v>
      </c>
      <c r="AE4042">
        <v>98</v>
      </c>
      <c r="AF4042">
        <v>283.54000000000002</v>
      </c>
      <c r="AG4042">
        <v>7.73</v>
      </c>
      <c r="AH4042">
        <v>7.88</v>
      </c>
      <c r="AI4042">
        <v>-0.05</v>
      </c>
      <c r="AJ4042">
        <v>-0.03</v>
      </c>
      <c r="AK4042">
        <v>84</v>
      </c>
      <c r="AL4042">
        <v>196</v>
      </c>
      <c r="AM4042">
        <v>88</v>
      </c>
      <c r="AN4042">
        <v>4.79</v>
      </c>
      <c r="AO4042">
        <v>-1.41</v>
      </c>
      <c r="AP4042">
        <v>235</v>
      </c>
      <c r="AQ4042">
        <v>2</v>
      </c>
      <c r="AR4042">
        <v>11.88</v>
      </c>
      <c r="AS4042">
        <v>76</v>
      </c>
      <c r="AT4042">
        <v>5.52</v>
      </c>
      <c r="AU4042">
        <v>90</v>
      </c>
      <c r="AV4042">
        <v>-0.31</v>
      </c>
      <c r="AW4042">
        <v>89</v>
      </c>
      <c r="AX4042">
        <v>0.33</v>
      </c>
      <c r="AY4042">
        <v>87</v>
      </c>
      <c r="AZ4042">
        <v>5.28</v>
      </c>
      <c r="BA4042">
        <v>69</v>
      </c>
      <c r="BB4042">
        <v>4.37</v>
      </c>
      <c r="BC4042">
        <v>75</v>
      </c>
      <c r="BD4042">
        <v>0.02</v>
      </c>
      <c r="BE4042">
        <v>0.04</v>
      </c>
      <c r="BF4042">
        <v>0.04</v>
      </c>
      <c r="BG4042">
        <v>90</v>
      </c>
      <c r="BH4042">
        <v>-0.16</v>
      </c>
      <c r="BI4042">
        <v>-11.57</v>
      </c>
      <c r="BJ4042">
        <v>19</v>
      </c>
      <c r="BK4042">
        <v>9</v>
      </c>
      <c r="BL4042">
        <v>1.34</v>
      </c>
      <c r="BM4042">
        <v>-0.88</v>
      </c>
      <c r="BN4042">
        <v>0.55000000000000004</v>
      </c>
      <c r="BO4042">
        <v>1.31</v>
      </c>
      <c r="BP4042">
        <v>-0.14000000000000001</v>
      </c>
      <c r="BQ4042">
        <v>1.93</v>
      </c>
      <c r="BR4042">
        <v>1.79</v>
      </c>
      <c r="BS4042">
        <v>-2.06</v>
      </c>
      <c r="BT4042">
        <v>-1.02</v>
      </c>
      <c r="BU4042">
        <v>0.3</v>
      </c>
      <c r="BV4042">
        <v>0.57999999999999996</v>
      </c>
      <c r="BW4042">
        <v>1.37</v>
      </c>
      <c r="BX4042">
        <v>1.1599999999999999</v>
      </c>
      <c r="BY4042">
        <v>-0.51</v>
      </c>
      <c r="BZ4042">
        <v>1.3</v>
      </c>
      <c r="CA4042">
        <v>-0.06</v>
      </c>
      <c r="CB4042">
        <v>0.56999999999999995</v>
      </c>
      <c r="CC4042">
        <v>-1.19</v>
      </c>
      <c r="CD4042">
        <v>-1.51</v>
      </c>
      <c r="CE4042">
        <v>0.86</v>
      </c>
      <c r="CF4042">
        <v>0.78</v>
      </c>
      <c r="CG4042">
        <v>0</v>
      </c>
      <c r="CH4042">
        <v>0.43</v>
      </c>
      <c r="CI4042">
        <v>0</v>
      </c>
      <c r="CJ4042">
        <v>4.5</v>
      </c>
      <c r="CK4042">
        <v>96</v>
      </c>
      <c r="CL4042">
        <v>-0.65</v>
      </c>
      <c r="CM4042">
        <v>95</v>
      </c>
      <c r="CN4042">
        <v>-0.08</v>
      </c>
      <c r="CO4042">
        <v>94</v>
      </c>
      <c r="CP4042">
        <v>0.6</v>
      </c>
      <c r="CQ4042">
        <v>95</v>
      </c>
      <c r="CR4042">
        <v>0</v>
      </c>
      <c r="CS4042">
        <v>0</v>
      </c>
      <c r="CT4042">
        <v>14.4</v>
      </c>
      <c r="CU4042">
        <v>86</v>
      </c>
      <c r="CV4042">
        <v>0.32</v>
      </c>
      <c r="CW4042">
        <v>27</v>
      </c>
      <c r="CX4042" t="s">
        <v>99</v>
      </c>
    </row>
    <row r="4043" spans="1:102" x14ac:dyDescent="0.3">
      <c r="A4043" t="str">
        <f>HYPERLINK("https://webapp.icbf.com/v2/app/bull-search/view/76332376","TKC")</f>
        <v>TKC</v>
      </c>
      <c r="B4043" t="s">
        <v>10706</v>
      </c>
      <c r="C4043" t="s">
        <v>10707</v>
      </c>
      <c r="D4043" s="1">
        <v>35938</v>
      </c>
      <c r="E4043" t="s">
        <v>92</v>
      </c>
      <c r="F4043">
        <v>100</v>
      </c>
      <c r="G4043" t="s">
        <v>93</v>
      </c>
      <c r="H4043">
        <v>-84.39</v>
      </c>
      <c r="I4043">
        <v>86</v>
      </c>
      <c r="J4043">
        <v>17.690000000000001</v>
      </c>
      <c r="K4043">
        <v>97</v>
      </c>
      <c r="L4043">
        <v>-94.4</v>
      </c>
      <c r="M4043">
        <v>81</v>
      </c>
      <c r="N4043">
        <v>-14.99</v>
      </c>
      <c r="O4043">
        <v>79</v>
      </c>
      <c r="P4043">
        <v>-17.09</v>
      </c>
      <c r="Q4043">
        <v>88</v>
      </c>
      <c r="R4043">
        <v>-8.58</v>
      </c>
      <c r="S4043">
        <v>79</v>
      </c>
      <c r="T4043">
        <v>29.07</v>
      </c>
      <c r="U4043">
        <v>82</v>
      </c>
      <c r="V4043">
        <v>3.91</v>
      </c>
      <c r="W4043">
        <v>70</v>
      </c>
      <c r="X4043" t="s">
        <v>94</v>
      </c>
      <c r="Y4043" t="s">
        <v>95</v>
      </c>
      <c r="Z4043" t="s">
        <v>96</v>
      </c>
      <c r="AA4043" t="s">
        <v>1361</v>
      </c>
      <c r="AB4043" t="s">
        <v>10708</v>
      </c>
      <c r="AC4043">
        <v>87</v>
      </c>
      <c r="AD4043">
        <v>79</v>
      </c>
      <c r="AE4043">
        <v>97</v>
      </c>
      <c r="AF4043">
        <v>201.94</v>
      </c>
      <c r="AG4043">
        <v>3.87</v>
      </c>
      <c r="AH4043">
        <v>4.7300000000000004</v>
      </c>
      <c r="AI4043">
        <v>-7.0000000000000007E-2</v>
      </c>
      <c r="AJ4043">
        <v>-0.04</v>
      </c>
      <c r="AK4043">
        <v>81</v>
      </c>
      <c r="AL4043">
        <v>82</v>
      </c>
      <c r="AM4043">
        <v>67</v>
      </c>
      <c r="AN4043">
        <v>5.79</v>
      </c>
      <c r="AO4043">
        <v>-1.73</v>
      </c>
      <c r="AP4043">
        <v>25</v>
      </c>
      <c r="AQ4043">
        <v>0</v>
      </c>
      <c r="AR4043">
        <v>9.41</v>
      </c>
      <c r="AS4043">
        <v>67</v>
      </c>
      <c r="AT4043">
        <v>3.97</v>
      </c>
      <c r="AU4043">
        <v>81</v>
      </c>
      <c r="AV4043">
        <v>0.2</v>
      </c>
      <c r="AW4043">
        <v>85</v>
      </c>
      <c r="AX4043">
        <v>0.13</v>
      </c>
      <c r="AY4043">
        <v>79</v>
      </c>
      <c r="AZ4043">
        <v>6.13</v>
      </c>
      <c r="BA4043">
        <v>62</v>
      </c>
      <c r="BB4043">
        <v>5.03</v>
      </c>
      <c r="BC4043">
        <v>67</v>
      </c>
      <c r="BD4043">
        <v>0.05</v>
      </c>
      <c r="BE4043">
        <v>0.06</v>
      </c>
      <c r="BF4043">
        <v>0</v>
      </c>
      <c r="BG4043">
        <v>90</v>
      </c>
      <c r="BH4043">
        <v>0.18</v>
      </c>
      <c r="BI4043">
        <v>8.1999999999999993</v>
      </c>
      <c r="BJ4043">
        <v>25</v>
      </c>
      <c r="BK4043">
        <v>20</v>
      </c>
      <c r="BL4043">
        <v>-0.74</v>
      </c>
      <c r="BM4043">
        <v>-0.4</v>
      </c>
      <c r="BN4043">
        <v>0.04</v>
      </c>
      <c r="BO4043">
        <v>0.03</v>
      </c>
      <c r="BP4043">
        <v>-0.53</v>
      </c>
      <c r="BQ4043">
        <v>-0.71</v>
      </c>
      <c r="BR4043">
        <v>1.91</v>
      </c>
      <c r="BS4043">
        <v>-1.45</v>
      </c>
      <c r="BT4043">
        <v>-2.0499999999999998</v>
      </c>
      <c r="BU4043">
        <v>-0.79</v>
      </c>
      <c r="BV4043">
        <v>0.02</v>
      </c>
      <c r="BW4043">
        <v>-0.86</v>
      </c>
      <c r="BX4043">
        <v>-1.32</v>
      </c>
      <c r="BY4043">
        <v>0.68</v>
      </c>
      <c r="BZ4043">
        <v>1.65</v>
      </c>
      <c r="CA4043">
        <v>-0.42</v>
      </c>
      <c r="CB4043">
        <v>0.03</v>
      </c>
      <c r="CC4043">
        <v>-1.3</v>
      </c>
      <c r="CD4043">
        <v>-0.59</v>
      </c>
      <c r="CE4043">
        <v>0.1</v>
      </c>
      <c r="CF4043">
        <v>-0.95</v>
      </c>
      <c r="CG4043">
        <v>0</v>
      </c>
      <c r="CH4043">
        <v>-0.26</v>
      </c>
      <c r="CI4043">
        <v>0</v>
      </c>
      <c r="CJ4043">
        <v>-5.2</v>
      </c>
      <c r="CK4043">
        <v>89</v>
      </c>
      <c r="CL4043">
        <v>-0.73</v>
      </c>
      <c r="CM4043">
        <v>87</v>
      </c>
      <c r="CN4043">
        <v>-0.03</v>
      </c>
      <c r="CO4043">
        <v>85</v>
      </c>
      <c r="CP4043">
        <v>-18.2</v>
      </c>
      <c r="CQ4043">
        <v>90</v>
      </c>
      <c r="CR4043">
        <v>0</v>
      </c>
      <c r="CS4043">
        <v>0</v>
      </c>
      <c r="CT4043">
        <v>-25.5</v>
      </c>
      <c r="CU4043">
        <v>82</v>
      </c>
      <c r="CV4043">
        <v>0.15</v>
      </c>
      <c r="CW4043">
        <v>44</v>
      </c>
      <c r="CX4043" t="s">
        <v>105</v>
      </c>
    </row>
    <row r="4044" spans="1:102" x14ac:dyDescent="0.3">
      <c r="A4044" t="str">
        <f>HYPERLINK("https://webapp.icbf.com/v2/app/bull-search/view/77858368","DIF")</f>
        <v>DIF</v>
      </c>
      <c r="B4044" t="s">
        <v>6650</v>
      </c>
      <c r="C4044" t="s">
        <v>6651</v>
      </c>
      <c r="D4044" s="1">
        <v>32427</v>
      </c>
      <c r="E4044" t="s">
        <v>92</v>
      </c>
      <c r="F4044">
        <v>100</v>
      </c>
      <c r="G4044" t="s">
        <v>109</v>
      </c>
      <c r="H4044">
        <v>-84.42</v>
      </c>
      <c r="I4044">
        <v>75</v>
      </c>
      <c r="J4044">
        <v>-30.34</v>
      </c>
      <c r="K4044">
        <v>90</v>
      </c>
      <c r="L4044">
        <v>-52.9</v>
      </c>
      <c r="M4044">
        <v>80</v>
      </c>
      <c r="N4044">
        <v>11.92</v>
      </c>
      <c r="O4044">
        <v>46</v>
      </c>
      <c r="P4044">
        <v>-18.32</v>
      </c>
      <c r="Q4044">
        <v>64</v>
      </c>
      <c r="R4044">
        <v>-16.66</v>
      </c>
      <c r="S4044">
        <v>66</v>
      </c>
      <c r="T4044">
        <v>20.63</v>
      </c>
      <c r="U4044">
        <v>63</v>
      </c>
      <c r="V4044">
        <v>1.25</v>
      </c>
      <c r="W4044">
        <v>31</v>
      </c>
      <c r="X4044" t="s">
        <v>110</v>
      </c>
      <c r="Y4044" t="s">
        <v>95</v>
      </c>
      <c r="Z4044" t="s">
        <v>96</v>
      </c>
      <c r="AA4044" t="s">
        <v>825</v>
      </c>
      <c r="AB4044" t="s">
        <v>809</v>
      </c>
      <c r="AC4044">
        <v>31</v>
      </c>
      <c r="AD4044">
        <v>20</v>
      </c>
      <c r="AE4044">
        <v>90</v>
      </c>
      <c r="AF4044">
        <v>-145.34</v>
      </c>
      <c r="AG4044">
        <v>-6.43</v>
      </c>
      <c r="AH4044">
        <v>-5.1100000000000003</v>
      </c>
      <c r="AI4044">
        <v>-0.01</v>
      </c>
      <c r="AJ4044">
        <v>0</v>
      </c>
      <c r="AK4044">
        <v>80</v>
      </c>
      <c r="AL4044">
        <v>30</v>
      </c>
      <c r="AM4044">
        <v>20</v>
      </c>
      <c r="AN4044">
        <v>3.59</v>
      </c>
      <c r="AO4044">
        <v>-0.62</v>
      </c>
      <c r="AP4044">
        <v>2</v>
      </c>
      <c r="AQ4044">
        <v>0</v>
      </c>
      <c r="AR4044">
        <v>7.86</v>
      </c>
      <c r="AS4044">
        <v>29</v>
      </c>
      <c r="AT4044">
        <v>3.31</v>
      </c>
      <c r="AU4044">
        <v>44</v>
      </c>
      <c r="AV4044">
        <v>-1.24</v>
      </c>
      <c r="AW4044">
        <v>53</v>
      </c>
      <c r="AX4044">
        <v>-0.43</v>
      </c>
      <c r="AY4044">
        <v>56</v>
      </c>
      <c r="AZ4044">
        <v>5.77</v>
      </c>
      <c r="BA4044">
        <v>28</v>
      </c>
      <c r="BB4044">
        <v>4.5</v>
      </c>
      <c r="BC4044">
        <v>36</v>
      </c>
      <c r="BD4044">
        <v>0</v>
      </c>
      <c r="BE4044">
        <v>7.0000000000000007E-2</v>
      </c>
      <c r="BF4044">
        <v>0.25</v>
      </c>
      <c r="BG4044">
        <v>87</v>
      </c>
      <c r="BH4044">
        <v>0.11</v>
      </c>
      <c r="BI4044">
        <v>8.68</v>
      </c>
      <c r="BJ4044">
        <v>4</v>
      </c>
      <c r="BK4044">
        <v>4</v>
      </c>
      <c r="BL4044">
        <v>0.42</v>
      </c>
      <c r="BM4044">
        <v>-1.03</v>
      </c>
      <c r="BN4044">
        <v>0.02</v>
      </c>
      <c r="BO4044">
        <v>0.64</v>
      </c>
      <c r="BP4044">
        <v>0.17</v>
      </c>
      <c r="BQ4044">
        <v>-0.98</v>
      </c>
      <c r="BR4044">
        <v>-0.61</v>
      </c>
      <c r="BS4044">
        <v>-0.8</v>
      </c>
      <c r="BT4044">
        <v>-0.28000000000000003</v>
      </c>
      <c r="BU4044">
        <v>-1.25</v>
      </c>
      <c r="BV4044">
        <v>-0.81</v>
      </c>
      <c r="BW4044">
        <v>0.28000000000000003</v>
      </c>
      <c r="BX4044">
        <v>-0.72</v>
      </c>
      <c r="BY4044">
        <v>1.45</v>
      </c>
      <c r="BZ4044">
        <v>-2.2599999999999998</v>
      </c>
      <c r="CA4044">
        <v>-0.27</v>
      </c>
      <c r="CB4044">
        <v>-0.68</v>
      </c>
      <c r="CC4044">
        <v>0.64</v>
      </c>
      <c r="CD4044">
        <v>-0.89</v>
      </c>
      <c r="CE4044">
        <v>0.27</v>
      </c>
      <c r="CF4044">
        <v>0.19</v>
      </c>
      <c r="CG4044">
        <v>0</v>
      </c>
      <c r="CH4044">
        <v>0.37</v>
      </c>
      <c r="CI4044">
        <v>0</v>
      </c>
      <c r="CJ4044">
        <v>-9.1</v>
      </c>
      <c r="CK4044">
        <v>65</v>
      </c>
      <c r="CL4044">
        <v>-0.49</v>
      </c>
      <c r="CM4044">
        <v>61</v>
      </c>
      <c r="CN4044">
        <v>-0.16</v>
      </c>
      <c r="CO4044">
        <v>56</v>
      </c>
      <c r="CP4044">
        <v>-17.2</v>
      </c>
      <c r="CQ4044">
        <v>73</v>
      </c>
      <c r="CR4044">
        <v>0</v>
      </c>
      <c r="CS4044">
        <v>0</v>
      </c>
      <c r="CT4044">
        <v>-14.1</v>
      </c>
      <c r="CU4044">
        <v>63</v>
      </c>
      <c r="CV4044">
        <v>0.02</v>
      </c>
      <c r="CW4044">
        <v>18</v>
      </c>
      <c r="CX4044" t="s">
        <v>707</v>
      </c>
    </row>
    <row r="4045" spans="1:102" x14ac:dyDescent="0.3">
      <c r="A4045" t="str">
        <f>HYPERLINK("https://webapp.icbf.com/v2/app/bull-search/view/77855893","LPM")</f>
        <v>LPM</v>
      </c>
      <c r="B4045" t="s">
        <v>8449</v>
      </c>
      <c r="C4045" t="s">
        <v>8450</v>
      </c>
      <c r="D4045" s="1">
        <v>32361</v>
      </c>
      <c r="E4045" t="s">
        <v>92</v>
      </c>
      <c r="F4045">
        <v>100</v>
      </c>
      <c r="G4045" t="s">
        <v>93</v>
      </c>
      <c r="H4045">
        <v>-84.51</v>
      </c>
      <c r="I4045">
        <v>93</v>
      </c>
      <c r="J4045">
        <v>32.26</v>
      </c>
      <c r="K4045">
        <v>99</v>
      </c>
      <c r="L4045">
        <v>-123.26</v>
      </c>
      <c r="M4045">
        <v>93</v>
      </c>
      <c r="N4045">
        <v>4.37</v>
      </c>
      <c r="O4045">
        <v>91</v>
      </c>
      <c r="P4045">
        <v>6.97</v>
      </c>
      <c r="Q4045">
        <v>96</v>
      </c>
      <c r="R4045">
        <v>-4.28</v>
      </c>
      <c r="S4045">
        <v>84</v>
      </c>
      <c r="T4045">
        <v>5.09</v>
      </c>
      <c r="U4045">
        <v>94</v>
      </c>
      <c r="V4045">
        <v>-5.66</v>
      </c>
      <c r="W4045">
        <v>61</v>
      </c>
      <c r="X4045" t="s">
        <v>110</v>
      </c>
      <c r="Y4045" t="s">
        <v>95</v>
      </c>
      <c r="Z4045" t="s">
        <v>96</v>
      </c>
      <c r="AA4045" t="s">
        <v>543</v>
      </c>
      <c r="AB4045" t="s">
        <v>6907</v>
      </c>
      <c r="AC4045">
        <v>604</v>
      </c>
      <c r="AD4045">
        <v>282</v>
      </c>
      <c r="AE4045">
        <v>99</v>
      </c>
      <c r="AF4045">
        <v>90.1</v>
      </c>
      <c r="AG4045">
        <v>13.16</v>
      </c>
      <c r="AH4045">
        <v>2.21</v>
      </c>
      <c r="AI4045">
        <v>0.16</v>
      </c>
      <c r="AJ4045">
        <v>-0.01</v>
      </c>
      <c r="AK4045">
        <v>93</v>
      </c>
      <c r="AL4045">
        <v>655</v>
      </c>
      <c r="AM4045">
        <v>302</v>
      </c>
      <c r="AN4045">
        <v>8.2899999999999991</v>
      </c>
      <c r="AO4045">
        <v>-1.52</v>
      </c>
      <c r="AP4045">
        <v>132</v>
      </c>
      <c r="AQ4045">
        <v>0</v>
      </c>
      <c r="AR4045">
        <v>8.27</v>
      </c>
      <c r="AS4045">
        <v>77</v>
      </c>
      <c r="AT4045">
        <v>3.39</v>
      </c>
      <c r="AU4045">
        <v>92</v>
      </c>
      <c r="AV4045">
        <v>-0.43</v>
      </c>
      <c r="AW4045">
        <v>93</v>
      </c>
      <c r="AX4045">
        <v>-0.2</v>
      </c>
      <c r="AY4045">
        <v>95</v>
      </c>
      <c r="AZ4045">
        <v>5.23</v>
      </c>
      <c r="BA4045">
        <v>77</v>
      </c>
      <c r="BB4045">
        <v>4.37</v>
      </c>
      <c r="BC4045">
        <v>88</v>
      </c>
      <c r="BD4045">
        <v>0.05</v>
      </c>
      <c r="BE4045">
        <v>0.05</v>
      </c>
      <c r="BF4045">
        <v>-0.08</v>
      </c>
      <c r="BG4045">
        <v>98</v>
      </c>
      <c r="BH4045">
        <v>-7.0000000000000007E-2</v>
      </c>
      <c r="BI4045">
        <v>10.15</v>
      </c>
      <c r="BJ4045">
        <v>111</v>
      </c>
      <c r="BK4045">
        <v>57</v>
      </c>
      <c r="BL4045">
        <v>0.87</v>
      </c>
      <c r="BM4045">
        <v>0.04</v>
      </c>
      <c r="BN4045">
        <v>0.72</v>
      </c>
      <c r="BO4045">
        <v>0.55000000000000004</v>
      </c>
      <c r="BP4045">
        <v>0.12</v>
      </c>
      <c r="BQ4045">
        <v>1.63</v>
      </c>
      <c r="BR4045">
        <v>0.44</v>
      </c>
      <c r="BS4045">
        <v>-1.1499999999999999</v>
      </c>
      <c r="BT4045">
        <v>-0.54</v>
      </c>
      <c r="BU4045">
        <v>7.0000000000000007E-2</v>
      </c>
      <c r="BV4045">
        <v>-0.43</v>
      </c>
      <c r="BW4045">
        <v>0.63</v>
      </c>
      <c r="BX4045">
        <v>0.3</v>
      </c>
      <c r="BY4045">
        <v>-0.94</v>
      </c>
      <c r="BZ4045">
        <v>0.54</v>
      </c>
      <c r="CA4045">
        <v>-0.57999999999999996</v>
      </c>
      <c r="CB4045">
        <v>-0.28000000000000003</v>
      </c>
      <c r="CC4045">
        <v>-0.81</v>
      </c>
      <c r="CD4045">
        <v>-0.24</v>
      </c>
      <c r="CE4045">
        <v>0.51</v>
      </c>
      <c r="CF4045">
        <v>1.08</v>
      </c>
      <c r="CG4045">
        <v>0</v>
      </c>
      <c r="CH4045">
        <v>-0.17</v>
      </c>
      <c r="CI4045">
        <v>0</v>
      </c>
      <c r="CJ4045">
        <v>6</v>
      </c>
      <c r="CK4045">
        <v>96</v>
      </c>
      <c r="CL4045">
        <v>-0.56000000000000005</v>
      </c>
      <c r="CM4045">
        <v>96</v>
      </c>
      <c r="CN4045">
        <v>-0.33</v>
      </c>
      <c r="CO4045">
        <v>95</v>
      </c>
      <c r="CP4045">
        <v>4</v>
      </c>
      <c r="CQ4045">
        <v>97</v>
      </c>
      <c r="CR4045">
        <v>0</v>
      </c>
      <c r="CS4045">
        <v>0</v>
      </c>
      <c r="CT4045">
        <v>6.9</v>
      </c>
      <c r="CU4045">
        <v>94</v>
      </c>
      <c r="CV4045">
        <v>0.26</v>
      </c>
      <c r="CW4045">
        <v>28</v>
      </c>
      <c r="CX4045" t="s">
        <v>707</v>
      </c>
    </row>
    <row r="4046" spans="1:102" x14ac:dyDescent="0.3">
      <c r="A4046" t="str">
        <f>HYPERLINK("https://webapp.icbf.com/v2/app/bull-search/view/869969843","S1091")</f>
        <v>S1091</v>
      </c>
      <c r="B4046" t="s">
        <v>12986</v>
      </c>
      <c r="C4046" t="s">
        <v>12987</v>
      </c>
      <c r="D4046" s="1">
        <v>38277</v>
      </c>
      <c r="E4046" t="s">
        <v>197</v>
      </c>
      <c r="F4046">
        <v>0</v>
      </c>
      <c r="G4046" t="s">
        <v>116</v>
      </c>
      <c r="H4046">
        <v>-84.52</v>
      </c>
      <c r="I4046">
        <v>39</v>
      </c>
      <c r="J4046">
        <v>21.12</v>
      </c>
      <c r="K4046">
        <v>64</v>
      </c>
      <c r="L4046">
        <v>-9.7100000000000009</v>
      </c>
      <c r="M4046">
        <v>16</v>
      </c>
      <c r="N4046">
        <v>-105.55</v>
      </c>
      <c r="O4046">
        <v>27</v>
      </c>
      <c r="P4046">
        <v>17.21</v>
      </c>
      <c r="Q4046">
        <v>54</v>
      </c>
      <c r="R4046">
        <v>-2.2799999999999998</v>
      </c>
      <c r="S4046">
        <v>23</v>
      </c>
      <c r="T4046">
        <v>-0.16</v>
      </c>
      <c r="U4046">
        <v>52</v>
      </c>
      <c r="V4046">
        <v>-5.15</v>
      </c>
      <c r="W4046">
        <v>3</v>
      </c>
      <c r="X4046" t="s">
        <v>198</v>
      </c>
      <c r="Y4046" t="s">
        <v>336</v>
      </c>
      <c r="Z4046">
        <v>0</v>
      </c>
      <c r="AA4046" t="s">
        <v>11300</v>
      </c>
      <c r="AB4046" t="s">
        <v>12988</v>
      </c>
      <c r="AC4046">
        <v>8</v>
      </c>
      <c r="AD4046">
        <v>2</v>
      </c>
      <c r="AE4046">
        <v>64</v>
      </c>
      <c r="AF4046">
        <v>-102.59</v>
      </c>
      <c r="AG4046">
        <v>0.09</v>
      </c>
      <c r="AH4046">
        <v>1.99</v>
      </c>
      <c r="AI4046">
        <v>7.0000000000000007E-2</v>
      </c>
      <c r="AJ4046">
        <v>0.09</v>
      </c>
      <c r="AK4046">
        <v>16</v>
      </c>
      <c r="AL4046">
        <v>6</v>
      </c>
      <c r="AM4046">
        <v>2</v>
      </c>
      <c r="AN4046">
        <v>-0.66</v>
      </c>
      <c r="AO4046">
        <v>-1.45</v>
      </c>
      <c r="AP4046">
        <v>14</v>
      </c>
      <c r="AQ4046">
        <v>0</v>
      </c>
      <c r="AR4046">
        <v>13.49</v>
      </c>
      <c r="AS4046">
        <v>8</v>
      </c>
      <c r="AT4046">
        <v>9.64</v>
      </c>
      <c r="AU4046">
        <v>28</v>
      </c>
      <c r="AV4046">
        <v>-0.97</v>
      </c>
      <c r="AW4046">
        <v>40</v>
      </c>
      <c r="AX4046">
        <v>-0.82</v>
      </c>
      <c r="AY4046">
        <v>21</v>
      </c>
      <c r="AZ4046">
        <v>7.17</v>
      </c>
      <c r="BA4046">
        <v>8</v>
      </c>
      <c r="BB4046">
        <v>4.34</v>
      </c>
      <c r="BC4046">
        <v>8</v>
      </c>
      <c r="BD4046">
        <v>0.05</v>
      </c>
      <c r="BE4046">
        <v>0.01</v>
      </c>
      <c r="BF4046">
        <v>-0.05</v>
      </c>
      <c r="BG4046">
        <v>28</v>
      </c>
      <c r="BH4046">
        <v>-0.15</v>
      </c>
      <c r="BI4046">
        <v>-0.73</v>
      </c>
      <c r="BJ4046">
        <v>0</v>
      </c>
      <c r="BK4046">
        <v>0</v>
      </c>
      <c r="BL4046">
        <v>0</v>
      </c>
      <c r="BM4046">
        <v>0</v>
      </c>
      <c r="BN4046">
        <v>0</v>
      </c>
      <c r="BO4046">
        <v>0</v>
      </c>
      <c r="BP4046">
        <v>0</v>
      </c>
      <c r="BQ4046">
        <v>0</v>
      </c>
      <c r="BR4046">
        <v>0</v>
      </c>
      <c r="BS4046">
        <v>0</v>
      </c>
      <c r="BT4046">
        <v>0</v>
      </c>
      <c r="BU4046">
        <v>0</v>
      </c>
      <c r="BV4046">
        <v>0</v>
      </c>
      <c r="BW4046">
        <v>0</v>
      </c>
      <c r="BX4046">
        <v>0</v>
      </c>
      <c r="BY4046">
        <v>0</v>
      </c>
      <c r="BZ4046">
        <v>0</v>
      </c>
      <c r="CA4046">
        <v>0</v>
      </c>
      <c r="CB4046">
        <v>0</v>
      </c>
      <c r="CC4046">
        <v>0</v>
      </c>
      <c r="CD4046">
        <v>0</v>
      </c>
      <c r="CE4046">
        <v>0</v>
      </c>
      <c r="CF4046">
        <v>0</v>
      </c>
      <c r="CG4046">
        <v>0</v>
      </c>
      <c r="CH4046">
        <v>0</v>
      </c>
      <c r="CI4046">
        <v>0</v>
      </c>
      <c r="CJ4046">
        <v>12.7</v>
      </c>
      <c r="CK4046">
        <v>58</v>
      </c>
      <c r="CL4046">
        <v>-0.23</v>
      </c>
      <c r="CM4046">
        <v>51</v>
      </c>
      <c r="CN4046">
        <v>-0.08</v>
      </c>
      <c r="CO4046">
        <v>47</v>
      </c>
      <c r="CP4046">
        <v>7.5</v>
      </c>
      <c r="CQ4046">
        <v>50</v>
      </c>
      <c r="CR4046">
        <v>0</v>
      </c>
      <c r="CS4046">
        <v>0</v>
      </c>
      <c r="CT4046">
        <v>14</v>
      </c>
      <c r="CU4046">
        <v>52</v>
      </c>
      <c r="CV4046">
        <v>0.2</v>
      </c>
      <c r="CW4046">
        <v>14</v>
      </c>
      <c r="CX4046" t="s">
        <v>1672</v>
      </c>
    </row>
    <row r="4047" spans="1:102" x14ac:dyDescent="0.3">
      <c r="A4047" t="str">
        <f>HYPERLINK("https://webapp.icbf.com/v2/app/bull-search/view/77856601","HTC")</f>
        <v>HTC</v>
      </c>
      <c r="B4047" t="s">
        <v>929</v>
      </c>
      <c r="C4047" t="s">
        <v>930</v>
      </c>
      <c r="D4047" s="1">
        <v>35683</v>
      </c>
      <c r="E4047" t="s">
        <v>92</v>
      </c>
      <c r="F4047">
        <v>100</v>
      </c>
      <c r="G4047" t="s">
        <v>93</v>
      </c>
      <c r="H4047">
        <v>-84.54</v>
      </c>
      <c r="I4047">
        <v>86</v>
      </c>
      <c r="J4047">
        <v>61.33</v>
      </c>
      <c r="K4047">
        <v>97</v>
      </c>
      <c r="L4047">
        <v>-156.07</v>
      </c>
      <c r="M4047">
        <v>80</v>
      </c>
      <c r="N4047">
        <v>21.83</v>
      </c>
      <c r="O4047">
        <v>81</v>
      </c>
      <c r="P4047">
        <v>-10.29</v>
      </c>
      <c r="Q4047">
        <v>91</v>
      </c>
      <c r="R4047">
        <v>-8.58</v>
      </c>
      <c r="S4047">
        <v>80</v>
      </c>
      <c r="T4047">
        <v>8.94</v>
      </c>
      <c r="U4047">
        <v>82</v>
      </c>
      <c r="V4047">
        <v>-1.7</v>
      </c>
      <c r="W4047">
        <v>71</v>
      </c>
      <c r="X4047" t="s">
        <v>94</v>
      </c>
      <c r="Y4047" t="s">
        <v>95</v>
      </c>
      <c r="Z4047" t="s">
        <v>96</v>
      </c>
      <c r="AA4047" t="s">
        <v>751</v>
      </c>
      <c r="AB4047" t="s">
        <v>931</v>
      </c>
      <c r="AC4047">
        <v>72</v>
      </c>
      <c r="AD4047">
        <v>58</v>
      </c>
      <c r="AE4047">
        <v>97</v>
      </c>
      <c r="AF4047">
        <v>269.67</v>
      </c>
      <c r="AG4047">
        <v>7.91</v>
      </c>
      <c r="AH4047">
        <v>11.76</v>
      </c>
      <c r="AI4047">
        <v>-0.04</v>
      </c>
      <c r="AJ4047">
        <v>0.04</v>
      </c>
      <c r="AK4047">
        <v>80</v>
      </c>
      <c r="AL4047">
        <v>69</v>
      </c>
      <c r="AM4047">
        <v>50</v>
      </c>
      <c r="AN4047">
        <v>8.99</v>
      </c>
      <c r="AO4047">
        <v>-3.45</v>
      </c>
      <c r="AP4047">
        <v>53</v>
      </c>
      <c r="AQ4047">
        <v>0</v>
      </c>
      <c r="AR4047">
        <v>5.48</v>
      </c>
      <c r="AS4047">
        <v>69</v>
      </c>
      <c r="AT4047">
        <v>2.84</v>
      </c>
      <c r="AU4047">
        <v>81</v>
      </c>
      <c r="AV4047">
        <v>-1.1599999999999999</v>
      </c>
      <c r="AW4047">
        <v>91</v>
      </c>
      <c r="AX4047">
        <v>-0.43</v>
      </c>
      <c r="AY4047">
        <v>78</v>
      </c>
      <c r="AZ4047">
        <v>5.68</v>
      </c>
      <c r="BA4047">
        <v>64</v>
      </c>
      <c r="BB4047">
        <v>4.38</v>
      </c>
      <c r="BC4047">
        <v>65</v>
      </c>
      <c r="BD4047">
        <v>0.02</v>
      </c>
      <c r="BE4047">
        <v>0.06</v>
      </c>
      <c r="BF4047">
        <v>0.05</v>
      </c>
      <c r="BG4047">
        <v>89</v>
      </c>
      <c r="BH4047">
        <v>0</v>
      </c>
      <c r="BI4047">
        <v>5.49</v>
      </c>
      <c r="BJ4047">
        <v>35</v>
      </c>
      <c r="BK4047">
        <v>28</v>
      </c>
      <c r="BL4047">
        <v>1.03</v>
      </c>
      <c r="BM4047">
        <v>-0.84</v>
      </c>
      <c r="BN4047">
        <v>0.33</v>
      </c>
      <c r="BO4047">
        <v>1</v>
      </c>
      <c r="BP4047">
        <v>-0.54</v>
      </c>
      <c r="BQ4047">
        <v>-0.1</v>
      </c>
      <c r="BR4047">
        <v>-0.41</v>
      </c>
      <c r="BS4047">
        <v>-1.0900000000000001</v>
      </c>
      <c r="BT4047">
        <v>0.05</v>
      </c>
      <c r="BU4047">
        <v>-2.5</v>
      </c>
      <c r="BV4047">
        <v>-1.1399999999999999</v>
      </c>
      <c r="BW4047">
        <v>-0.55000000000000004</v>
      </c>
      <c r="BX4047">
        <v>-2.38</v>
      </c>
      <c r="BY4047">
        <v>-3.18</v>
      </c>
      <c r="BZ4047">
        <v>1.92</v>
      </c>
      <c r="CA4047">
        <v>-1.62</v>
      </c>
      <c r="CB4047">
        <v>-1.78</v>
      </c>
      <c r="CC4047">
        <v>-0.22</v>
      </c>
      <c r="CD4047">
        <v>-1.63</v>
      </c>
      <c r="CE4047">
        <v>0.99</v>
      </c>
      <c r="CF4047">
        <v>0.13</v>
      </c>
      <c r="CG4047">
        <v>0</v>
      </c>
      <c r="CH4047">
        <v>-3.22</v>
      </c>
      <c r="CI4047">
        <v>0</v>
      </c>
      <c r="CJ4047">
        <v>-1.6</v>
      </c>
      <c r="CK4047">
        <v>92</v>
      </c>
      <c r="CL4047">
        <v>-0.97</v>
      </c>
      <c r="CM4047">
        <v>91</v>
      </c>
      <c r="CN4047">
        <v>-0.23</v>
      </c>
      <c r="CO4047">
        <v>90</v>
      </c>
      <c r="CP4047">
        <v>-5.0999999999999996</v>
      </c>
      <c r="CQ4047">
        <v>89</v>
      </c>
      <c r="CR4047">
        <v>0</v>
      </c>
      <c r="CS4047">
        <v>0</v>
      </c>
      <c r="CT4047">
        <v>1.7</v>
      </c>
      <c r="CU4047">
        <v>82</v>
      </c>
      <c r="CV4047">
        <v>0.18</v>
      </c>
      <c r="CW4047">
        <v>44</v>
      </c>
      <c r="CX4047" t="s">
        <v>485</v>
      </c>
    </row>
    <row r="4048" spans="1:102" x14ac:dyDescent="0.3">
      <c r="A4048" t="str">
        <f>HYPERLINK("https://webapp.icbf.com/v2/app/bull-search/view/465990996","S974")</f>
        <v>S974</v>
      </c>
      <c r="B4048" t="s">
        <v>8994</v>
      </c>
      <c r="C4048" t="s">
        <v>8995</v>
      </c>
      <c r="D4048" s="1">
        <v>37265</v>
      </c>
      <c r="E4048" t="s">
        <v>92</v>
      </c>
      <c r="F4048">
        <v>100</v>
      </c>
      <c r="G4048" t="s">
        <v>109</v>
      </c>
      <c r="H4048">
        <v>-84.55</v>
      </c>
      <c r="I4048">
        <v>68</v>
      </c>
      <c r="J4048">
        <v>2.8</v>
      </c>
      <c r="K4048">
        <v>83</v>
      </c>
      <c r="L4048">
        <v>-91.64</v>
      </c>
      <c r="M4048">
        <v>80</v>
      </c>
      <c r="N4048">
        <v>10.4</v>
      </c>
      <c r="O4048">
        <v>45</v>
      </c>
      <c r="P4048">
        <v>-8.2200000000000006</v>
      </c>
      <c r="Q4048">
        <v>35</v>
      </c>
      <c r="R4048">
        <v>5.18</v>
      </c>
      <c r="S4048">
        <v>61</v>
      </c>
      <c r="T4048">
        <v>-2.38</v>
      </c>
      <c r="U4048">
        <v>34</v>
      </c>
      <c r="V4048">
        <v>-0.69</v>
      </c>
      <c r="W4048">
        <v>37</v>
      </c>
      <c r="X4048" t="s">
        <v>251</v>
      </c>
      <c r="Y4048" t="s">
        <v>303</v>
      </c>
      <c r="Z4048" t="s">
        <v>96</v>
      </c>
      <c r="AA4048" t="s">
        <v>311</v>
      </c>
      <c r="AB4048" t="s">
        <v>8996</v>
      </c>
      <c r="AC4048">
        <v>0</v>
      </c>
      <c r="AD4048">
        <v>0</v>
      </c>
      <c r="AE4048">
        <v>83</v>
      </c>
      <c r="AF4048">
        <v>353.21</v>
      </c>
      <c r="AG4048">
        <v>2.0699999999999998</v>
      </c>
      <c r="AH4048">
        <v>5.15</v>
      </c>
      <c r="AI4048">
        <v>-0.18</v>
      </c>
      <c r="AJ4048">
        <v>-0.11</v>
      </c>
      <c r="AK4048">
        <v>80</v>
      </c>
      <c r="AL4048">
        <v>0</v>
      </c>
      <c r="AM4048">
        <v>0</v>
      </c>
      <c r="AN4048">
        <v>4.08</v>
      </c>
      <c r="AO4048">
        <v>-3.24</v>
      </c>
      <c r="AP4048">
        <v>1</v>
      </c>
      <c r="AQ4048">
        <v>0</v>
      </c>
      <c r="AR4048">
        <v>8.74</v>
      </c>
      <c r="AS4048">
        <v>27</v>
      </c>
      <c r="AT4048">
        <v>4.07</v>
      </c>
      <c r="AU4048">
        <v>87</v>
      </c>
      <c r="AV4048">
        <v>-2.21</v>
      </c>
      <c r="AW4048">
        <v>33</v>
      </c>
      <c r="AX4048">
        <v>-0.28000000000000003</v>
      </c>
      <c r="AY4048">
        <v>34</v>
      </c>
      <c r="AZ4048">
        <v>5.39</v>
      </c>
      <c r="BA4048">
        <v>27</v>
      </c>
      <c r="BB4048">
        <v>4.37</v>
      </c>
      <c r="BC4048">
        <v>28</v>
      </c>
      <c r="BD4048">
        <v>-0.03</v>
      </c>
      <c r="BE4048">
        <v>-0.01</v>
      </c>
      <c r="BF4048">
        <v>-0.05</v>
      </c>
      <c r="BG4048">
        <v>89</v>
      </c>
      <c r="BH4048">
        <v>-0.13</v>
      </c>
      <c r="BI4048">
        <v>-12.8</v>
      </c>
      <c r="BJ4048">
        <v>0</v>
      </c>
      <c r="BK4048">
        <v>0</v>
      </c>
      <c r="BL4048">
        <v>0.93</v>
      </c>
      <c r="BM4048">
        <v>-1.38</v>
      </c>
      <c r="BN4048">
        <v>-0.21</v>
      </c>
      <c r="BO4048">
        <v>1.18</v>
      </c>
      <c r="BP4048">
        <v>1.37</v>
      </c>
      <c r="BQ4048">
        <v>0.18</v>
      </c>
      <c r="BR4048">
        <v>0.46</v>
      </c>
      <c r="BS4048">
        <v>0.85</v>
      </c>
      <c r="BT4048">
        <v>1.04</v>
      </c>
      <c r="BU4048">
        <v>0.98</v>
      </c>
      <c r="BV4048">
        <v>2.0699999999999998</v>
      </c>
      <c r="BW4048">
        <v>2.93</v>
      </c>
      <c r="BX4048">
        <v>0.96</v>
      </c>
      <c r="BY4048">
        <v>1.52</v>
      </c>
      <c r="BZ4048">
        <v>-1.48</v>
      </c>
      <c r="CA4048">
        <v>1.43</v>
      </c>
      <c r="CB4048">
        <v>1.19</v>
      </c>
      <c r="CC4048">
        <v>1.25</v>
      </c>
      <c r="CD4048">
        <v>-1.37</v>
      </c>
      <c r="CE4048">
        <v>0</v>
      </c>
      <c r="CF4048">
        <v>0</v>
      </c>
      <c r="CG4048">
        <v>0</v>
      </c>
      <c r="CH4048">
        <v>0</v>
      </c>
      <c r="CI4048">
        <v>0</v>
      </c>
      <c r="CJ4048">
        <v>-2.8</v>
      </c>
      <c r="CK4048">
        <v>36</v>
      </c>
      <c r="CL4048">
        <v>-1.17</v>
      </c>
      <c r="CM4048">
        <v>34</v>
      </c>
      <c r="CN4048">
        <v>-0.59</v>
      </c>
      <c r="CO4048">
        <v>32</v>
      </c>
      <c r="CP4048">
        <v>5.4</v>
      </c>
      <c r="CQ4048">
        <v>40</v>
      </c>
      <c r="CR4048">
        <v>0</v>
      </c>
      <c r="CS4048">
        <v>0</v>
      </c>
      <c r="CT4048">
        <v>17</v>
      </c>
      <c r="CU4048">
        <v>34</v>
      </c>
      <c r="CV4048">
        <v>0.21</v>
      </c>
      <c r="CW4048">
        <v>10</v>
      </c>
      <c r="CX4048" t="s">
        <v>1384</v>
      </c>
    </row>
    <row r="4049" spans="1:102" x14ac:dyDescent="0.3">
      <c r="A4049" t="str">
        <f>HYPERLINK("https://webapp.icbf.com/v2/app/bull-search/view/69092905","WMG")</f>
        <v>WMG</v>
      </c>
      <c r="B4049" t="s">
        <v>144</v>
      </c>
      <c r="C4049" t="s">
        <v>2771</v>
      </c>
      <c r="D4049" s="1">
        <v>32931</v>
      </c>
      <c r="E4049" t="s">
        <v>895</v>
      </c>
      <c r="F4049">
        <v>0</v>
      </c>
      <c r="G4049" t="s">
        <v>93</v>
      </c>
      <c r="H4049">
        <v>-84.57</v>
      </c>
      <c r="I4049">
        <v>71</v>
      </c>
      <c r="J4049">
        <v>-42.04</v>
      </c>
      <c r="K4049">
        <v>91</v>
      </c>
      <c r="L4049">
        <v>-25.91</v>
      </c>
      <c r="M4049">
        <v>53</v>
      </c>
      <c r="N4049">
        <v>-7.52</v>
      </c>
      <c r="O4049">
        <v>68</v>
      </c>
      <c r="P4049">
        <v>-5.92</v>
      </c>
      <c r="Q4049">
        <v>85</v>
      </c>
      <c r="R4049">
        <v>-1.55</v>
      </c>
      <c r="S4049">
        <v>60</v>
      </c>
      <c r="T4049">
        <v>9.5299999999999994</v>
      </c>
      <c r="U4049">
        <v>81</v>
      </c>
      <c r="V4049">
        <v>-11.16</v>
      </c>
      <c r="W4049">
        <v>36</v>
      </c>
      <c r="X4049" t="s">
        <v>94</v>
      </c>
      <c r="Y4049" t="s">
        <v>95</v>
      </c>
      <c r="Z4049">
        <v>0</v>
      </c>
      <c r="AA4049" t="s">
        <v>1042</v>
      </c>
      <c r="AB4049" t="s">
        <v>2772</v>
      </c>
      <c r="AC4049">
        <v>49</v>
      </c>
      <c r="AD4049">
        <v>24</v>
      </c>
      <c r="AE4049">
        <v>91</v>
      </c>
      <c r="AF4049">
        <v>-406.76</v>
      </c>
      <c r="AG4049">
        <v>-10.9</v>
      </c>
      <c r="AH4049">
        <v>-9.52</v>
      </c>
      <c r="AI4049">
        <v>0.09</v>
      </c>
      <c r="AJ4049">
        <v>0.08</v>
      </c>
      <c r="AK4049">
        <v>53</v>
      </c>
      <c r="AL4049">
        <v>43</v>
      </c>
      <c r="AM4049">
        <v>20</v>
      </c>
      <c r="AN4049">
        <v>2.66</v>
      </c>
      <c r="AO4049">
        <v>0.61</v>
      </c>
      <c r="AP4049">
        <v>52</v>
      </c>
      <c r="AQ4049">
        <v>3</v>
      </c>
      <c r="AR4049">
        <v>8.74</v>
      </c>
      <c r="AS4049">
        <v>54</v>
      </c>
      <c r="AT4049">
        <v>3.87</v>
      </c>
      <c r="AU4049">
        <v>67</v>
      </c>
      <c r="AV4049">
        <v>0.84</v>
      </c>
      <c r="AW4049">
        <v>80</v>
      </c>
      <c r="AX4049">
        <v>-0.34</v>
      </c>
      <c r="AY4049">
        <v>69</v>
      </c>
      <c r="AZ4049">
        <v>4.43</v>
      </c>
      <c r="BA4049">
        <v>42</v>
      </c>
      <c r="BB4049">
        <v>3.65</v>
      </c>
      <c r="BC4049">
        <v>48</v>
      </c>
      <c r="BD4049">
        <v>0.01</v>
      </c>
      <c r="BE4049">
        <v>0.01</v>
      </c>
      <c r="BF4049">
        <v>0</v>
      </c>
      <c r="BG4049">
        <v>75</v>
      </c>
      <c r="BH4049">
        <v>-0.14000000000000001</v>
      </c>
      <c r="BI4049">
        <v>19.79</v>
      </c>
      <c r="BJ4049">
        <v>0</v>
      </c>
      <c r="BK4049">
        <v>0</v>
      </c>
      <c r="BL4049">
        <v>-1.26</v>
      </c>
      <c r="BM4049">
        <v>1.21</v>
      </c>
      <c r="BN4049">
        <v>-1.24</v>
      </c>
      <c r="BO4049">
        <v>-1.8</v>
      </c>
      <c r="BP4049">
        <v>0.56999999999999995</v>
      </c>
      <c r="BQ4049">
        <v>0</v>
      </c>
      <c r="BR4049">
        <v>-0.56000000000000005</v>
      </c>
      <c r="BS4049">
        <v>-0.26</v>
      </c>
      <c r="BT4049">
        <v>-0.77</v>
      </c>
      <c r="BU4049">
        <v>-1.21</v>
      </c>
      <c r="BV4049">
        <v>-1.44</v>
      </c>
      <c r="BW4049">
        <v>-1.87</v>
      </c>
      <c r="BX4049">
        <v>-1.19</v>
      </c>
      <c r="BY4049">
        <v>-1.03</v>
      </c>
      <c r="BZ4049">
        <v>0.35</v>
      </c>
      <c r="CA4049">
        <v>-1.37</v>
      </c>
      <c r="CB4049">
        <v>-1.67</v>
      </c>
      <c r="CC4049">
        <v>-0.3</v>
      </c>
      <c r="CD4049">
        <v>1.7</v>
      </c>
      <c r="CE4049">
        <v>-1.88</v>
      </c>
      <c r="CF4049">
        <v>-1.06</v>
      </c>
      <c r="CG4049">
        <v>0</v>
      </c>
      <c r="CH4049">
        <v>-0.35</v>
      </c>
      <c r="CI4049">
        <v>0</v>
      </c>
      <c r="CJ4049">
        <v>-3</v>
      </c>
      <c r="CK4049">
        <v>86</v>
      </c>
      <c r="CL4049">
        <v>-0.28999999999999998</v>
      </c>
      <c r="CM4049">
        <v>84</v>
      </c>
      <c r="CN4049">
        <v>-0.16</v>
      </c>
      <c r="CO4049">
        <v>82</v>
      </c>
      <c r="CP4049">
        <v>-4.4000000000000004</v>
      </c>
      <c r="CQ4049">
        <v>83</v>
      </c>
      <c r="CR4049">
        <v>0</v>
      </c>
      <c r="CS4049">
        <v>0</v>
      </c>
      <c r="CT4049">
        <v>0.9</v>
      </c>
      <c r="CU4049">
        <v>81</v>
      </c>
      <c r="CV4049">
        <v>-7.0000000000000007E-2</v>
      </c>
      <c r="CW4049">
        <v>24</v>
      </c>
      <c r="CX4049">
        <v>0</v>
      </c>
    </row>
    <row r="4050" spans="1:102" x14ac:dyDescent="0.3">
      <c r="A4050" t="str">
        <f>HYPERLINK("https://webapp.icbf.com/v2/app/bull-search/view/381922789","MUH")</f>
        <v>MUH</v>
      </c>
      <c r="B4050" t="s">
        <v>6941</v>
      </c>
      <c r="C4050" t="s">
        <v>6942</v>
      </c>
      <c r="D4050" s="1">
        <v>36373</v>
      </c>
      <c r="E4050" t="s">
        <v>92</v>
      </c>
      <c r="F4050">
        <v>100</v>
      </c>
      <c r="G4050" t="s">
        <v>109</v>
      </c>
      <c r="H4050">
        <v>-84.67</v>
      </c>
      <c r="I4050">
        <v>73</v>
      </c>
      <c r="J4050">
        <v>30.79</v>
      </c>
      <c r="K4050">
        <v>80</v>
      </c>
      <c r="L4050">
        <v>-112.63</v>
      </c>
      <c r="M4050">
        <v>80</v>
      </c>
      <c r="N4050">
        <v>8.64</v>
      </c>
      <c r="O4050">
        <v>67</v>
      </c>
      <c r="P4050">
        <v>-11.85</v>
      </c>
      <c r="Q4050">
        <v>65</v>
      </c>
      <c r="R4050">
        <v>-5.48</v>
      </c>
      <c r="S4050">
        <v>65</v>
      </c>
      <c r="T4050">
        <v>4.43</v>
      </c>
      <c r="U4050">
        <v>58</v>
      </c>
      <c r="V4050">
        <v>1.43</v>
      </c>
      <c r="W4050">
        <v>38</v>
      </c>
      <c r="X4050" t="s">
        <v>102</v>
      </c>
      <c r="Y4050" t="s">
        <v>95</v>
      </c>
      <c r="Z4050" t="s">
        <v>96</v>
      </c>
      <c r="AA4050" t="s">
        <v>216</v>
      </c>
      <c r="AB4050" t="s">
        <v>6943</v>
      </c>
      <c r="AC4050">
        <v>0</v>
      </c>
      <c r="AD4050">
        <v>0</v>
      </c>
      <c r="AE4050">
        <v>80</v>
      </c>
      <c r="AF4050">
        <v>545.89</v>
      </c>
      <c r="AG4050">
        <v>9.08</v>
      </c>
      <c r="AH4050">
        <v>10.38</v>
      </c>
      <c r="AI4050">
        <v>-0.19</v>
      </c>
      <c r="AJ4050">
        <v>-0.13</v>
      </c>
      <c r="AK4050">
        <v>80</v>
      </c>
      <c r="AL4050">
        <v>0</v>
      </c>
      <c r="AM4050">
        <v>0</v>
      </c>
      <c r="AN4050">
        <v>6.28</v>
      </c>
      <c r="AO4050">
        <v>-2.7</v>
      </c>
      <c r="AP4050">
        <v>19</v>
      </c>
      <c r="AQ4050">
        <v>1</v>
      </c>
      <c r="AR4050">
        <v>9.7100000000000009</v>
      </c>
      <c r="AS4050">
        <v>42</v>
      </c>
      <c r="AT4050">
        <v>4.13</v>
      </c>
      <c r="AU4050">
        <v>92</v>
      </c>
      <c r="AV4050">
        <v>-2.76</v>
      </c>
      <c r="AW4050">
        <v>74</v>
      </c>
      <c r="AX4050">
        <v>-0.28000000000000003</v>
      </c>
      <c r="AY4050">
        <v>48</v>
      </c>
      <c r="AZ4050">
        <v>5.86</v>
      </c>
      <c r="BA4050">
        <v>31</v>
      </c>
      <c r="BB4050">
        <v>4.74</v>
      </c>
      <c r="BC4050">
        <v>34</v>
      </c>
      <c r="BD4050">
        <v>0.03</v>
      </c>
      <c r="BE4050">
        <v>0.04</v>
      </c>
      <c r="BF4050">
        <v>0</v>
      </c>
      <c r="BG4050">
        <v>88</v>
      </c>
      <c r="BH4050">
        <v>0.05</v>
      </c>
      <c r="BI4050">
        <v>1.17</v>
      </c>
      <c r="BJ4050">
        <v>3</v>
      </c>
      <c r="BK4050">
        <v>2</v>
      </c>
      <c r="BL4050">
        <v>0.16</v>
      </c>
      <c r="BM4050">
        <v>-0.3</v>
      </c>
      <c r="BN4050">
        <v>-0.13</v>
      </c>
      <c r="BO4050">
        <v>0.59</v>
      </c>
      <c r="BP4050">
        <v>-0.93</v>
      </c>
      <c r="BQ4050">
        <v>-0.65</v>
      </c>
      <c r="BR4050">
        <v>-2.39</v>
      </c>
      <c r="BS4050">
        <v>0.43</v>
      </c>
      <c r="BT4050">
        <v>1.73</v>
      </c>
      <c r="BU4050">
        <v>0.65</v>
      </c>
      <c r="BV4050">
        <v>1.18</v>
      </c>
      <c r="BW4050">
        <v>0.5</v>
      </c>
      <c r="BX4050">
        <v>0.64</v>
      </c>
      <c r="BY4050">
        <v>0.96</v>
      </c>
      <c r="BZ4050">
        <v>0.28999999999999998</v>
      </c>
      <c r="CA4050">
        <v>0.85</v>
      </c>
      <c r="CB4050">
        <v>0.64</v>
      </c>
      <c r="CC4050">
        <v>0.83</v>
      </c>
      <c r="CD4050">
        <v>-0.84</v>
      </c>
      <c r="CE4050">
        <v>0.42</v>
      </c>
      <c r="CF4050">
        <v>-0.12</v>
      </c>
      <c r="CG4050">
        <v>0</v>
      </c>
      <c r="CH4050">
        <v>-0.17</v>
      </c>
      <c r="CI4050">
        <v>0</v>
      </c>
      <c r="CJ4050">
        <v>-3.9</v>
      </c>
      <c r="CK4050">
        <v>67</v>
      </c>
      <c r="CL4050">
        <v>-0.7</v>
      </c>
      <c r="CM4050">
        <v>63</v>
      </c>
      <c r="CN4050">
        <v>-0.14000000000000001</v>
      </c>
      <c r="CO4050">
        <v>59</v>
      </c>
      <c r="CP4050">
        <v>-5.9</v>
      </c>
      <c r="CQ4050">
        <v>61</v>
      </c>
      <c r="CR4050">
        <v>0</v>
      </c>
      <c r="CS4050">
        <v>0</v>
      </c>
      <c r="CT4050">
        <v>7.8</v>
      </c>
      <c r="CU4050">
        <v>58</v>
      </c>
      <c r="CV4050">
        <v>0.14000000000000001</v>
      </c>
      <c r="CW4050">
        <v>19</v>
      </c>
      <c r="CX4050" t="s">
        <v>678</v>
      </c>
    </row>
    <row r="4051" spans="1:102" x14ac:dyDescent="0.3">
      <c r="A4051" t="str">
        <f>HYPERLINK("https://webapp.icbf.com/v2/app/bull-search/view/77854927","MWO")</f>
        <v>MWO</v>
      </c>
      <c r="B4051" t="s">
        <v>2583</v>
      </c>
      <c r="C4051" t="s">
        <v>2584</v>
      </c>
      <c r="D4051" s="1">
        <v>32494</v>
      </c>
      <c r="E4051" t="s">
        <v>92</v>
      </c>
      <c r="F4051">
        <v>81</v>
      </c>
      <c r="G4051" t="s">
        <v>116</v>
      </c>
      <c r="H4051">
        <v>-84.68</v>
      </c>
      <c r="I4051">
        <v>37</v>
      </c>
      <c r="J4051">
        <v>-72.3</v>
      </c>
      <c r="K4051">
        <v>33</v>
      </c>
      <c r="L4051">
        <v>-11.81</v>
      </c>
      <c r="M4051">
        <v>42</v>
      </c>
      <c r="N4051">
        <v>1.25</v>
      </c>
      <c r="O4051">
        <v>33</v>
      </c>
      <c r="P4051">
        <v>-2.81</v>
      </c>
      <c r="Q4051">
        <v>43</v>
      </c>
      <c r="R4051">
        <v>-7.09</v>
      </c>
      <c r="S4051">
        <v>44</v>
      </c>
      <c r="T4051">
        <v>13.09</v>
      </c>
      <c r="U4051">
        <v>35</v>
      </c>
      <c r="V4051">
        <v>-5.01</v>
      </c>
      <c r="W4051">
        <v>22</v>
      </c>
      <c r="X4051" t="s">
        <v>94</v>
      </c>
      <c r="Y4051" t="s">
        <v>95</v>
      </c>
      <c r="Z4051" t="s">
        <v>96</v>
      </c>
      <c r="AA4051" t="s">
        <v>2585</v>
      </c>
      <c r="AB4051" t="s">
        <v>2586</v>
      </c>
      <c r="AC4051">
        <v>2</v>
      </c>
      <c r="AD4051">
        <v>2</v>
      </c>
      <c r="AE4051">
        <v>33</v>
      </c>
      <c r="AF4051">
        <v>-349.58</v>
      </c>
      <c r="AG4051">
        <v>-9.49</v>
      </c>
      <c r="AH4051">
        <v>-14.29</v>
      </c>
      <c r="AI4051">
        <v>7.0000000000000007E-2</v>
      </c>
      <c r="AJ4051">
        <v>-0.04</v>
      </c>
      <c r="AK4051">
        <v>42</v>
      </c>
      <c r="AL4051">
        <v>15</v>
      </c>
      <c r="AM4051">
        <v>12</v>
      </c>
      <c r="AN4051">
        <v>0.01</v>
      </c>
      <c r="AO4051">
        <v>-0.94</v>
      </c>
      <c r="AP4051">
        <v>3</v>
      </c>
      <c r="AQ4051">
        <v>0</v>
      </c>
      <c r="AR4051">
        <v>7.83</v>
      </c>
      <c r="AS4051">
        <v>24</v>
      </c>
      <c r="AT4051">
        <v>3.86</v>
      </c>
      <c r="AU4051">
        <v>32</v>
      </c>
      <c r="AV4051">
        <v>-1.78</v>
      </c>
      <c r="AW4051">
        <v>37</v>
      </c>
      <c r="AX4051">
        <v>-0.33</v>
      </c>
      <c r="AY4051">
        <v>41</v>
      </c>
      <c r="AZ4051">
        <v>7.47</v>
      </c>
      <c r="BA4051">
        <v>24</v>
      </c>
      <c r="BB4051">
        <v>5.87</v>
      </c>
      <c r="BC4051">
        <v>28</v>
      </c>
      <c r="BD4051">
        <v>0.03</v>
      </c>
      <c r="BE4051">
        <v>7.0000000000000007E-2</v>
      </c>
      <c r="BF4051">
        <v>-0.02</v>
      </c>
      <c r="BG4051">
        <v>58</v>
      </c>
      <c r="BH4051">
        <v>-0.06</v>
      </c>
      <c r="BI4051">
        <v>9.2200000000000006</v>
      </c>
      <c r="BJ4051">
        <v>4</v>
      </c>
      <c r="BK4051">
        <v>4</v>
      </c>
      <c r="BL4051">
        <v>-0.75</v>
      </c>
      <c r="BM4051">
        <v>0.6</v>
      </c>
      <c r="BN4051">
        <v>0</v>
      </c>
      <c r="BO4051">
        <v>-0.76</v>
      </c>
      <c r="BP4051">
        <v>-2.0299999999999998</v>
      </c>
      <c r="BQ4051">
        <v>-0.72</v>
      </c>
      <c r="BR4051">
        <v>0.65</v>
      </c>
      <c r="BS4051">
        <v>0.15</v>
      </c>
      <c r="BT4051">
        <v>-0.62</v>
      </c>
      <c r="BU4051">
        <v>0.34</v>
      </c>
      <c r="BV4051">
        <v>-0.77</v>
      </c>
      <c r="BW4051">
        <v>-0.72</v>
      </c>
      <c r="BX4051">
        <v>-0.23</v>
      </c>
      <c r="BY4051">
        <v>0.52</v>
      </c>
      <c r="BZ4051">
        <v>-0.27</v>
      </c>
      <c r="CA4051">
        <v>-0.47</v>
      </c>
      <c r="CB4051">
        <v>-0.48</v>
      </c>
      <c r="CC4051">
        <v>-0.26</v>
      </c>
      <c r="CD4051">
        <v>0.86</v>
      </c>
      <c r="CE4051">
        <v>-0.92</v>
      </c>
      <c r="CF4051">
        <v>-0.33</v>
      </c>
      <c r="CG4051">
        <v>0</v>
      </c>
      <c r="CH4051">
        <v>-0.26</v>
      </c>
      <c r="CI4051">
        <v>0</v>
      </c>
      <c r="CJ4051">
        <v>-2.8</v>
      </c>
      <c r="CK4051">
        <v>45</v>
      </c>
      <c r="CL4051">
        <v>-0.16</v>
      </c>
      <c r="CM4051">
        <v>42</v>
      </c>
      <c r="CN4051">
        <v>-0.25</v>
      </c>
      <c r="CO4051">
        <v>40</v>
      </c>
      <c r="CP4051">
        <v>-1.5</v>
      </c>
      <c r="CQ4051">
        <v>42</v>
      </c>
      <c r="CR4051">
        <v>0</v>
      </c>
      <c r="CS4051">
        <v>0</v>
      </c>
      <c r="CT4051">
        <v>-3.9</v>
      </c>
      <c r="CU4051">
        <v>35</v>
      </c>
      <c r="CV4051">
        <v>-0.05</v>
      </c>
      <c r="CW4051">
        <v>12</v>
      </c>
      <c r="CX4051" t="s">
        <v>622</v>
      </c>
    </row>
    <row r="4052" spans="1:102" x14ac:dyDescent="0.3">
      <c r="A4052" t="str">
        <f>HYPERLINK("https://webapp.icbf.com/v2/app/bull-search/view/440200839","WID")</f>
        <v>WID</v>
      </c>
      <c r="B4052" t="s">
        <v>4789</v>
      </c>
      <c r="C4052" t="s">
        <v>4790</v>
      </c>
      <c r="D4052" s="1">
        <v>38311</v>
      </c>
      <c r="E4052" t="s">
        <v>108</v>
      </c>
      <c r="F4052">
        <v>0</v>
      </c>
      <c r="G4052" t="s">
        <v>93</v>
      </c>
      <c r="H4052">
        <v>-84.68</v>
      </c>
      <c r="I4052">
        <v>92</v>
      </c>
      <c r="J4052">
        <v>-7.32</v>
      </c>
      <c r="K4052">
        <v>98</v>
      </c>
      <c r="L4052">
        <v>-43.02</v>
      </c>
      <c r="M4052">
        <v>86</v>
      </c>
      <c r="N4052">
        <v>-35.46</v>
      </c>
      <c r="O4052">
        <v>91</v>
      </c>
      <c r="P4052">
        <v>-15.27</v>
      </c>
      <c r="Q4052">
        <v>97</v>
      </c>
      <c r="R4052">
        <v>2.48</v>
      </c>
      <c r="S4052">
        <v>87</v>
      </c>
      <c r="T4052">
        <v>8.35</v>
      </c>
      <c r="U4052">
        <v>92</v>
      </c>
      <c r="V4052">
        <v>5.56</v>
      </c>
      <c r="W4052">
        <v>89</v>
      </c>
      <c r="X4052" t="s">
        <v>102</v>
      </c>
      <c r="Y4052" t="s">
        <v>1164</v>
      </c>
      <c r="Z4052" t="s">
        <v>96</v>
      </c>
      <c r="AA4052" t="s">
        <v>4576</v>
      </c>
      <c r="AB4052" t="s">
        <v>4465</v>
      </c>
      <c r="AC4052">
        <v>163</v>
      </c>
      <c r="AD4052">
        <v>102</v>
      </c>
      <c r="AE4052">
        <v>98</v>
      </c>
      <c r="AF4052">
        <v>-110.4</v>
      </c>
      <c r="AG4052">
        <v>2.19</v>
      </c>
      <c r="AH4052">
        <v>-3.71</v>
      </c>
      <c r="AI4052">
        <v>0.12</v>
      </c>
      <c r="AJ4052">
        <v>0</v>
      </c>
      <c r="AK4052">
        <v>86</v>
      </c>
      <c r="AL4052">
        <v>202</v>
      </c>
      <c r="AM4052">
        <v>121</v>
      </c>
      <c r="AN4052">
        <v>2.4</v>
      </c>
      <c r="AO4052">
        <v>-1.03</v>
      </c>
      <c r="AP4052">
        <v>344</v>
      </c>
      <c r="AQ4052">
        <v>2</v>
      </c>
      <c r="AR4052">
        <v>12.36</v>
      </c>
      <c r="AS4052">
        <v>82</v>
      </c>
      <c r="AT4052">
        <v>4.67</v>
      </c>
      <c r="AU4052">
        <v>93</v>
      </c>
      <c r="AV4052">
        <v>-0.27</v>
      </c>
      <c r="AW4052">
        <v>97</v>
      </c>
      <c r="AX4052">
        <v>-0.78</v>
      </c>
      <c r="AY4052">
        <v>91</v>
      </c>
      <c r="AZ4052">
        <v>7.65</v>
      </c>
      <c r="BA4052">
        <v>76</v>
      </c>
      <c r="BB4052">
        <v>6.08</v>
      </c>
      <c r="BC4052">
        <v>79</v>
      </c>
      <c r="BD4052">
        <v>0.03</v>
      </c>
      <c r="BE4052">
        <v>-0.03</v>
      </c>
      <c r="BF4052">
        <v>-0.05</v>
      </c>
      <c r="BG4052">
        <v>93</v>
      </c>
      <c r="BH4052">
        <v>0.05</v>
      </c>
      <c r="BI4052">
        <v>-12.15</v>
      </c>
      <c r="BJ4052">
        <v>34</v>
      </c>
      <c r="BK4052">
        <v>19</v>
      </c>
      <c r="BL4052">
        <v>-1.04</v>
      </c>
      <c r="BM4052">
        <v>2.71</v>
      </c>
      <c r="BN4052">
        <v>0.56999999999999995</v>
      </c>
      <c r="BO4052">
        <v>-1.77</v>
      </c>
      <c r="BP4052">
        <v>-4.05</v>
      </c>
      <c r="BQ4052">
        <v>3.2</v>
      </c>
      <c r="BR4052">
        <v>-0.57999999999999996</v>
      </c>
      <c r="BS4052">
        <v>-0.21</v>
      </c>
      <c r="BT4052">
        <v>-0.01</v>
      </c>
      <c r="BU4052">
        <v>-0.27</v>
      </c>
      <c r="BV4052">
        <v>-1.03</v>
      </c>
      <c r="BW4052">
        <v>-0.47</v>
      </c>
      <c r="BX4052">
        <v>0.67</v>
      </c>
      <c r="BY4052">
        <v>-0.32</v>
      </c>
      <c r="BZ4052">
        <v>-1.96</v>
      </c>
      <c r="CA4052">
        <v>-0.79</v>
      </c>
      <c r="CB4052">
        <v>-0.52</v>
      </c>
      <c r="CC4052">
        <v>-0.18</v>
      </c>
      <c r="CD4052">
        <v>1.96</v>
      </c>
      <c r="CE4052">
        <v>-2.4300000000000002</v>
      </c>
      <c r="CF4052">
        <v>-0.71</v>
      </c>
      <c r="CG4052">
        <v>0</v>
      </c>
      <c r="CH4052">
        <v>0.9</v>
      </c>
      <c r="CI4052">
        <v>0</v>
      </c>
      <c r="CJ4052">
        <v>-6.3</v>
      </c>
      <c r="CK4052">
        <v>97</v>
      </c>
      <c r="CL4052">
        <v>-0.57999999999999996</v>
      </c>
      <c r="CM4052">
        <v>97</v>
      </c>
      <c r="CN4052">
        <v>-0.06</v>
      </c>
      <c r="CO4052">
        <v>96</v>
      </c>
      <c r="CP4052">
        <v>-8.6</v>
      </c>
      <c r="CQ4052">
        <v>95</v>
      </c>
      <c r="CR4052">
        <v>0</v>
      </c>
      <c r="CS4052">
        <v>0</v>
      </c>
      <c r="CT4052">
        <v>2.5</v>
      </c>
      <c r="CU4052">
        <v>92</v>
      </c>
      <c r="CV4052">
        <v>0.12</v>
      </c>
      <c r="CW4052">
        <v>45</v>
      </c>
      <c r="CX4052" t="s">
        <v>2821</v>
      </c>
    </row>
    <row r="4053" spans="1:102" x14ac:dyDescent="0.3">
      <c r="A4053" t="str">
        <f>HYPERLINK("https://webapp.icbf.com/v2/app/bull-search/view/444467695","VDZ")</f>
        <v>VDZ</v>
      </c>
      <c r="B4053" t="s">
        <v>1591</v>
      </c>
      <c r="C4053" t="s">
        <v>1592</v>
      </c>
      <c r="D4053" s="1">
        <v>37069</v>
      </c>
      <c r="E4053" t="s">
        <v>92</v>
      </c>
      <c r="F4053">
        <v>100</v>
      </c>
      <c r="G4053" t="s">
        <v>93</v>
      </c>
      <c r="H4053">
        <v>-84.69</v>
      </c>
      <c r="I4053">
        <v>96</v>
      </c>
      <c r="J4053">
        <v>-3.38</v>
      </c>
      <c r="K4053">
        <v>99</v>
      </c>
      <c r="L4053">
        <v>-78.069999999999993</v>
      </c>
      <c r="M4053">
        <v>93</v>
      </c>
      <c r="N4053">
        <v>18.14</v>
      </c>
      <c r="O4053">
        <v>96</v>
      </c>
      <c r="P4053">
        <v>-8.9700000000000006</v>
      </c>
      <c r="Q4053">
        <v>98</v>
      </c>
      <c r="R4053">
        <v>2.2799999999999998</v>
      </c>
      <c r="S4053">
        <v>91</v>
      </c>
      <c r="T4053">
        <v>-1.64</v>
      </c>
      <c r="U4053">
        <v>97</v>
      </c>
      <c r="V4053">
        <v>-13.05</v>
      </c>
      <c r="W4053">
        <v>91</v>
      </c>
      <c r="X4053" t="s">
        <v>288</v>
      </c>
      <c r="Y4053" t="s">
        <v>1208</v>
      </c>
      <c r="Z4053" t="s">
        <v>96</v>
      </c>
      <c r="AA4053" t="s">
        <v>289</v>
      </c>
      <c r="AB4053" t="s">
        <v>1593</v>
      </c>
      <c r="AC4053">
        <v>531</v>
      </c>
      <c r="AD4053">
        <v>164</v>
      </c>
      <c r="AE4053">
        <v>99</v>
      </c>
      <c r="AF4053">
        <v>241.59</v>
      </c>
      <c r="AG4053">
        <v>-1.32</v>
      </c>
      <c r="AH4053">
        <v>3.59</v>
      </c>
      <c r="AI4053">
        <v>-0.18</v>
      </c>
      <c r="AJ4053">
        <v>-0.08</v>
      </c>
      <c r="AK4053">
        <v>93</v>
      </c>
      <c r="AL4053">
        <v>489</v>
      </c>
      <c r="AM4053">
        <v>154</v>
      </c>
      <c r="AN4053">
        <v>3.15</v>
      </c>
      <c r="AO4053">
        <v>-3.09</v>
      </c>
      <c r="AP4053">
        <v>967</v>
      </c>
      <c r="AQ4053">
        <v>3</v>
      </c>
      <c r="AR4053">
        <v>8.4499999999999993</v>
      </c>
      <c r="AS4053">
        <v>92</v>
      </c>
      <c r="AT4053">
        <v>3.81</v>
      </c>
      <c r="AU4053">
        <v>98</v>
      </c>
      <c r="AV4053">
        <v>-3.26</v>
      </c>
      <c r="AW4053">
        <v>99</v>
      </c>
      <c r="AX4053">
        <v>0.44</v>
      </c>
      <c r="AY4053">
        <v>95</v>
      </c>
      <c r="AZ4053">
        <v>5.89</v>
      </c>
      <c r="BA4053">
        <v>87</v>
      </c>
      <c r="BB4053">
        <v>4.6900000000000004</v>
      </c>
      <c r="BC4053">
        <v>85</v>
      </c>
      <c r="BD4053">
        <v>-0.02</v>
      </c>
      <c r="BE4053">
        <v>-0.01</v>
      </c>
      <c r="BF4053">
        <v>0</v>
      </c>
      <c r="BG4053">
        <v>97</v>
      </c>
      <c r="BH4053">
        <v>-0.31</v>
      </c>
      <c r="BI4053">
        <v>6.24</v>
      </c>
      <c r="BJ4053">
        <v>158</v>
      </c>
      <c r="BK4053">
        <v>56</v>
      </c>
      <c r="BL4053">
        <v>0.93</v>
      </c>
      <c r="BM4053">
        <v>-0.65</v>
      </c>
      <c r="BN4053">
        <v>1.23</v>
      </c>
      <c r="BO4053">
        <v>0.8</v>
      </c>
      <c r="BP4053">
        <v>-0.61</v>
      </c>
      <c r="BQ4053">
        <v>-1.44</v>
      </c>
      <c r="BR4053">
        <v>-1.22</v>
      </c>
      <c r="BS4053">
        <v>0.41</v>
      </c>
      <c r="BT4053">
        <v>0.75</v>
      </c>
      <c r="BU4053">
        <v>1.03</v>
      </c>
      <c r="BV4053">
        <v>0.91</v>
      </c>
      <c r="BW4053">
        <v>1.38</v>
      </c>
      <c r="BX4053">
        <v>0.56000000000000005</v>
      </c>
      <c r="BY4053">
        <v>1.67</v>
      </c>
      <c r="BZ4053">
        <v>-0.56999999999999995</v>
      </c>
      <c r="CA4053">
        <v>0.7</v>
      </c>
      <c r="CB4053">
        <v>0.97</v>
      </c>
      <c r="CC4053">
        <v>-0.08</v>
      </c>
      <c r="CD4053">
        <v>-0.54</v>
      </c>
      <c r="CE4053">
        <v>0.49</v>
      </c>
      <c r="CF4053">
        <v>0.03</v>
      </c>
      <c r="CG4053">
        <v>0</v>
      </c>
      <c r="CH4053">
        <v>1.54</v>
      </c>
      <c r="CI4053">
        <v>0</v>
      </c>
      <c r="CJ4053">
        <v>-1.7</v>
      </c>
      <c r="CK4053">
        <v>98</v>
      </c>
      <c r="CL4053">
        <v>-1.08</v>
      </c>
      <c r="CM4053">
        <v>98</v>
      </c>
      <c r="CN4053">
        <v>-0.39</v>
      </c>
      <c r="CO4053">
        <v>97</v>
      </c>
      <c r="CP4053">
        <v>-0.3</v>
      </c>
      <c r="CQ4053">
        <v>98</v>
      </c>
      <c r="CR4053">
        <v>0</v>
      </c>
      <c r="CS4053">
        <v>0</v>
      </c>
      <c r="CT4053">
        <v>16</v>
      </c>
      <c r="CU4053">
        <v>97</v>
      </c>
      <c r="CV4053">
        <v>0.32</v>
      </c>
      <c r="CW4053">
        <v>46</v>
      </c>
      <c r="CX4053" t="s">
        <v>1278</v>
      </c>
    </row>
    <row r="4054" spans="1:102" x14ac:dyDescent="0.3">
      <c r="A4054" t="str">
        <f>HYPERLINK("https://webapp.icbf.com/v2/app/bull-search/view/77855134","MGM")</f>
        <v>MGM</v>
      </c>
      <c r="B4054" t="s">
        <v>3640</v>
      </c>
      <c r="C4054" t="s">
        <v>3641</v>
      </c>
      <c r="D4054" s="1">
        <v>34075</v>
      </c>
      <c r="E4054" t="s">
        <v>92</v>
      </c>
      <c r="F4054">
        <v>100</v>
      </c>
      <c r="G4054" t="s">
        <v>93</v>
      </c>
      <c r="H4054">
        <v>-84.69</v>
      </c>
      <c r="I4054">
        <v>68</v>
      </c>
      <c r="J4054">
        <v>3.98</v>
      </c>
      <c r="K4054">
        <v>88</v>
      </c>
      <c r="L4054">
        <v>-79.13</v>
      </c>
      <c r="M4054">
        <v>58</v>
      </c>
      <c r="N4054">
        <v>-4.74</v>
      </c>
      <c r="O4054">
        <v>53</v>
      </c>
      <c r="P4054">
        <v>-7.45</v>
      </c>
      <c r="Q4054">
        <v>65</v>
      </c>
      <c r="R4054">
        <v>-11.48</v>
      </c>
      <c r="S4054">
        <v>64</v>
      </c>
      <c r="T4054">
        <v>13.53</v>
      </c>
      <c r="U4054">
        <v>66</v>
      </c>
      <c r="V4054">
        <v>0.6</v>
      </c>
      <c r="W4054">
        <v>40</v>
      </c>
      <c r="X4054" t="s">
        <v>94</v>
      </c>
      <c r="Y4054" t="s">
        <v>95</v>
      </c>
      <c r="Z4054" t="s">
        <v>96</v>
      </c>
      <c r="AA4054" t="s">
        <v>485</v>
      </c>
      <c r="AB4054" t="s">
        <v>3642</v>
      </c>
      <c r="AC4054">
        <v>33</v>
      </c>
      <c r="AD4054">
        <v>25</v>
      </c>
      <c r="AE4054">
        <v>88</v>
      </c>
      <c r="AF4054">
        <v>160.5</v>
      </c>
      <c r="AG4054">
        <v>-0.3</v>
      </c>
      <c r="AH4054">
        <v>3.24</v>
      </c>
      <c r="AI4054">
        <v>-0.11</v>
      </c>
      <c r="AJ4054">
        <v>-0.04</v>
      </c>
      <c r="AK4054">
        <v>58</v>
      </c>
      <c r="AL4054">
        <v>55</v>
      </c>
      <c r="AM4054">
        <v>31</v>
      </c>
      <c r="AN4054">
        <v>4.38</v>
      </c>
      <c r="AO4054">
        <v>-1.93</v>
      </c>
      <c r="AP4054">
        <v>2</v>
      </c>
      <c r="AQ4054">
        <v>1</v>
      </c>
      <c r="AR4054">
        <v>9.7200000000000006</v>
      </c>
      <c r="AS4054">
        <v>33</v>
      </c>
      <c r="AT4054">
        <v>4.66</v>
      </c>
      <c r="AU4054">
        <v>48</v>
      </c>
      <c r="AV4054">
        <v>-1.54</v>
      </c>
      <c r="AW4054">
        <v>63</v>
      </c>
      <c r="AX4054">
        <v>-0.84</v>
      </c>
      <c r="AY4054">
        <v>59</v>
      </c>
      <c r="AZ4054">
        <v>6.01</v>
      </c>
      <c r="BA4054">
        <v>34</v>
      </c>
      <c r="BB4054">
        <v>4.51</v>
      </c>
      <c r="BC4054">
        <v>44</v>
      </c>
      <c r="BD4054">
        <v>0.03</v>
      </c>
      <c r="BE4054">
        <v>0.06</v>
      </c>
      <c r="BF4054">
        <v>0.1</v>
      </c>
      <c r="BG4054">
        <v>74</v>
      </c>
      <c r="BH4054">
        <v>0.11</v>
      </c>
      <c r="BI4054">
        <v>10.78</v>
      </c>
      <c r="BJ4054">
        <v>7</v>
      </c>
      <c r="BK4054">
        <v>6</v>
      </c>
      <c r="BL4054">
        <v>-0.06</v>
      </c>
      <c r="BM4054">
        <v>0.28000000000000003</v>
      </c>
      <c r="BN4054">
        <v>0.49</v>
      </c>
      <c r="BO4054">
        <v>7.0000000000000007E-2</v>
      </c>
      <c r="BP4054">
        <v>-1.05</v>
      </c>
      <c r="BQ4054">
        <v>-0.28000000000000003</v>
      </c>
      <c r="BR4054">
        <v>1.62</v>
      </c>
      <c r="BS4054">
        <v>-1.56</v>
      </c>
      <c r="BT4054">
        <v>-1.06</v>
      </c>
      <c r="BU4054">
        <v>0.28999999999999998</v>
      </c>
      <c r="BV4054">
        <v>0.5</v>
      </c>
      <c r="BW4054">
        <v>-0.02</v>
      </c>
      <c r="BX4054">
        <v>-0.56000000000000005</v>
      </c>
      <c r="BY4054">
        <v>0.05</v>
      </c>
      <c r="BZ4054">
        <v>-0.81</v>
      </c>
      <c r="CA4054">
        <v>-0.15</v>
      </c>
      <c r="CB4054">
        <v>0.62</v>
      </c>
      <c r="CC4054">
        <v>-1.61</v>
      </c>
      <c r="CD4054">
        <v>-0.03</v>
      </c>
      <c r="CE4054">
        <v>0.23</v>
      </c>
      <c r="CF4054">
        <v>-0.38</v>
      </c>
      <c r="CG4054">
        <v>0</v>
      </c>
      <c r="CH4054">
        <v>0.21</v>
      </c>
      <c r="CI4054">
        <v>0</v>
      </c>
      <c r="CJ4054">
        <v>-2.7</v>
      </c>
      <c r="CK4054">
        <v>67</v>
      </c>
      <c r="CL4054">
        <v>-0.64</v>
      </c>
      <c r="CM4054">
        <v>63</v>
      </c>
      <c r="CN4054">
        <v>-0.37</v>
      </c>
      <c r="CO4054">
        <v>58</v>
      </c>
      <c r="CP4054">
        <v>-9.6999999999999993</v>
      </c>
      <c r="CQ4054">
        <v>73</v>
      </c>
      <c r="CR4054">
        <v>0</v>
      </c>
      <c r="CS4054">
        <v>0</v>
      </c>
      <c r="CT4054">
        <v>-4.5</v>
      </c>
      <c r="CU4054">
        <v>66</v>
      </c>
      <c r="CV4054">
        <v>0.12</v>
      </c>
      <c r="CW4054">
        <v>19</v>
      </c>
      <c r="CX4054" t="s">
        <v>120</v>
      </c>
    </row>
    <row r="4055" spans="1:102" x14ac:dyDescent="0.3">
      <c r="A4055" t="str">
        <f>HYPERLINK("https://webapp.icbf.com/v2/app/bull-search/view/381923692","NAO")</f>
        <v>NAO</v>
      </c>
      <c r="B4055" t="s">
        <v>9961</v>
      </c>
      <c r="C4055" t="s">
        <v>9962</v>
      </c>
      <c r="D4055" s="1">
        <v>35717</v>
      </c>
      <c r="E4055" t="s">
        <v>92</v>
      </c>
      <c r="F4055">
        <v>100</v>
      </c>
      <c r="G4055" t="s">
        <v>93</v>
      </c>
      <c r="H4055">
        <v>-84.71</v>
      </c>
      <c r="I4055">
        <v>89</v>
      </c>
      <c r="J4055">
        <v>31.89</v>
      </c>
      <c r="K4055">
        <v>97</v>
      </c>
      <c r="L4055">
        <v>-99.01</v>
      </c>
      <c r="M4055">
        <v>86</v>
      </c>
      <c r="N4055">
        <v>-10.87</v>
      </c>
      <c r="O4055">
        <v>83</v>
      </c>
      <c r="P4055">
        <v>-9.8000000000000007</v>
      </c>
      <c r="Q4055">
        <v>91</v>
      </c>
      <c r="R4055">
        <v>-2.33</v>
      </c>
      <c r="S4055">
        <v>81</v>
      </c>
      <c r="T4055">
        <v>6.2</v>
      </c>
      <c r="U4055">
        <v>83</v>
      </c>
      <c r="V4055">
        <v>-0.79</v>
      </c>
      <c r="W4055">
        <v>75</v>
      </c>
      <c r="X4055" t="s">
        <v>102</v>
      </c>
      <c r="Y4055" t="s">
        <v>95</v>
      </c>
      <c r="Z4055" t="s">
        <v>96</v>
      </c>
      <c r="AA4055" t="s">
        <v>8044</v>
      </c>
      <c r="AB4055" t="s">
        <v>9963</v>
      </c>
      <c r="AC4055">
        <v>75</v>
      </c>
      <c r="AD4055">
        <v>46</v>
      </c>
      <c r="AE4055">
        <v>97</v>
      </c>
      <c r="AF4055">
        <v>296.95</v>
      </c>
      <c r="AG4055">
        <v>2.71</v>
      </c>
      <c r="AH4055">
        <v>9.01</v>
      </c>
      <c r="AI4055">
        <v>-0.15</v>
      </c>
      <c r="AJ4055">
        <v>-0.02</v>
      </c>
      <c r="AK4055">
        <v>86</v>
      </c>
      <c r="AL4055">
        <v>83</v>
      </c>
      <c r="AM4055">
        <v>53</v>
      </c>
      <c r="AN4055">
        <v>5.0599999999999996</v>
      </c>
      <c r="AO4055">
        <v>-2.84</v>
      </c>
      <c r="AP4055">
        <v>149</v>
      </c>
      <c r="AQ4055">
        <v>0</v>
      </c>
      <c r="AR4055">
        <v>9.98</v>
      </c>
      <c r="AS4055">
        <v>66</v>
      </c>
      <c r="AT4055">
        <v>4.1100000000000003</v>
      </c>
      <c r="AU4055">
        <v>92</v>
      </c>
      <c r="AV4055">
        <v>-0.78</v>
      </c>
      <c r="AW4055">
        <v>91</v>
      </c>
      <c r="AX4055">
        <v>-0.34</v>
      </c>
      <c r="AY4055">
        <v>80</v>
      </c>
      <c r="AZ4055">
        <v>6.89</v>
      </c>
      <c r="BA4055">
        <v>60</v>
      </c>
      <c r="BB4055">
        <v>5.0999999999999996</v>
      </c>
      <c r="BC4055">
        <v>63</v>
      </c>
      <c r="BD4055">
        <v>0.01</v>
      </c>
      <c r="BE4055">
        <v>0.03</v>
      </c>
      <c r="BF4055">
        <v>-0.02</v>
      </c>
      <c r="BG4055">
        <v>90</v>
      </c>
      <c r="BH4055">
        <v>-0.14000000000000001</v>
      </c>
      <c r="BI4055">
        <v>-13.64</v>
      </c>
      <c r="BJ4055">
        <v>18</v>
      </c>
      <c r="BK4055">
        <v>12</v>
      </c>
      <c r="BL4055">
        <v>0.73</v>
      </c>
      <c r="BM4055">
        <v>-0.55000000000000004</v>
      </c>
      <c r="BN4055">
        <v>0.42</v>
      </c>
      <c r="BO4055">
        <v>0.33</v>
      </c>
      <c r="BP4055">
        <v>-0.67</v>
      </c>
      <c r="BQ4055">
        <v>-0.62</v>
      </c>
      <c r="BR4055">
        <v>0.27</v>
      </c>
      <c r="BS4055">
        <v>0.08</v>
      </c>
      <c r="BT4055">
        <v>-0.99</v>
      </c>
      <c r="BU4055">
        <v>-1.24</v>
      </c>
      <c r="BV4055">
        <v>0.35</v>
      </c>
      <c r="BW4055">
        <v>0.41</v>
      </c>
      <c r="BX4055">
        <v>-0.12</v>
      </c>
      <c r="BY4055">
        <v>-1.03</v>
      </c>
      <c r="BZ4055">
        <v>0.86</v>
      </c>
      <c r="CA4055">
        <v>-0.1</v>
      </c>
      <c r="CB4055">
        <v>-0.2</v>
      </c>
      <c r="CC4055">
        <v>0.09</v>
      </c>
      <c r="CD4055">
        <v>-1.55</v>
      </c>
      <c r="CE4055">
        <v>0.8</v>
      </c>
      <c r="CF4055">
        <v>0.02</v>
      </c>
      <c r="CG4055">
        <v>0</v>
      </c>
      <c r="CH4055">
        <v>-0.88</v>
      </c>
      <c r="CI4055">
        <v>0</v>
      </c>
      <c r="CJ4055">
        <v>-0.6</v>
      </c>
      <c r="CK4055">
        <v>92</v>
      </c>
      <c r="CL4055">
        <v>-0.8</v>
      </c>
      <c r="CM4055">
        <v>90</v>
      </c>
      <c r="CN4055">
        <v>-0.05</v>
      </c>
      <c r="CO4055">
        <v>89</v>
      </c>
      <c r="CP4055">
        <v>-8.6999999999999993</v>
      </c>
      <c r="CQ4055">
        <v>88</v>
      </c>
      <c r="CR4055">
        <v>0</v>
      </c>
      <c r="CS4055">
        <v>0</v>
      </c>
      <c r="CT4055">
        <v>5.4</v>
      </c>
      <c r="CU4055">
        <v>83</v>
      </c>
      <c r="CV4055">
        <v>0.17</v>
      </c>
      <c r="CW4055">
        <v>44</v>
      </c>
      <c r="CX4055" t="s">
        <v>531</v>
      </c>
    </row>
    <row r="4056" spans="1:102" x14ac:dyDescent="0.3">
      <c r="A4056" t="str">
        <f>HYPERLINK("https://webapp.icbf.com/v2/app/bull-search/view/77854519","NWR")</f>
        <v>NWR</v>
      </c>
      <c r="B4056" t="s">
        <v>11400</v>
      </c>
      <c r="C4056" t="s">
        <v>11401</v>
      </c>
      <c r="D4056" s="1">
        <v>34766</v>
      </c>
      <c r="E4056" t="s">
        <v>92</v>
      </c>
      <c r="F4056">
        <v>97</v>
      </c>
      <c r="G4056" t="s">
        <v>93</v>
      </c>
      <c r="H4056">
        <v>-84.74</v>
      </c>
      <c r="I4056">
        <v>86</v>
      </c>
      <c r="J4056">
        <v>6.06</v>
      </c>
      <c r="K4056">
        <v>98</v>
      </c>
      <c r="L4056">
        <v>-70.47</v>
      </c>
      <c r="M4056">
        <v>78</v>
      </c>
      <c r="N4056">
        <v>-12.07</v>
      </c>
      <c r="O4056">
        <v>81</v>
      </c>
      <c r="P4056">
        <v>-14.94</v>
      </c>
      <c r="Q4056">
        <v>93</v>
      </c>
      <c r="R4056">
        <v>-3.49</v>
      </c>
      <c r="S4056">
        <v>79</v>
      </c>
      <c r="T4056">
        <v>20.86</v>
      </c>
      <c r="U4056">
        <v>85</v>
      </c>
      <c r="V4056">
        <v>-10.69</v>
      </c>
      <c r="W4056">
        <v>58</v>
      </c>
      <c r="X4056" t="s">
        <v>102</v>
      </c>
      <c r="Y4056" t="s">
        <v>95</v>
      </c>
      <c r="Z4056" t="s">
        <v>96</v>
      </c>
      <c r="AA4056" t="s">
        <v>265</v>
      </c>
      <c r="AB4056" t="s">
        <v>772</v>
      </c>
      <c r="AC4056">
        <v>197</v>
      </c>
      <c r="AD4056">
        <v>91</v>
      </c>
      <c r="AE4056">
        <v>98</v>
      </c>
      <c r="AF4056">
        <v>9.5500000000000007</v>
      </c>
      <c r="AG4056">
        <v>-1.28</v>
      </c>
      <c r="AH4056">
        <v>1.63</v>
      </c>
      <c r="AI4056">
        <v>-0.03</v>
      </c>
      <c r="AJ4056">
        <v>0.02</v>
      </c>
      <c r="AK4056">
        <v>78</v>
      </c>
      <c r="AL4056">
        <v>195</v>
      </c>
      <c r="AM4056">
        <v>97</v>
      </c>
      <c r="AN4056">
        <v>4.63</v>
      </c>
      <c r="AO4056">
        <v>-0.98</v>
      </c>
      <c r="AP4056">
        <v>20</v>
      </c>
      <c r="AQ4056">
        <v>7</v>
      </c>
      <c r="AR4056">
        <v>9.76</v>
      </c>
      <c r="AS4056">
        <v>64</v>
      </c>
      <c r="AT4056">
        <v>4.2699999999999996</v>
      </c>
      <c r="AU4056">
        <v>80</v>
      </c>
      <c r="AV4056">
        <v>-1.1399999999999999</v>
      </c>
      <c r="AW4056">
        <v>86</v>
      </c>
      <c r="AX4056">
        <v>-0.03</v>
      </c>
      <c r="AY4056">
        <v>88</v>
      </c>
      <c r="AZ4056">
        <v>7.71</v>
      </c>
      <c r="BA4056">
        <v>66</v>
      </c>
      <c r="BB4056">
        <v>5.28</v>
      </c>
      <c r="BC4056">
        <v>77</v>
      </c>
      <c r="BD4056">
        <v>-0.01</v>
      </c>
      <c r="BE4056">
        <v>0.03</v>
      </c>
      <c r="BF4056">
        <v>0.04</v>
      </c>
      <c r="BG4056">
        <v>92</v>
      </c>
      <c r="BH4056">
        <v>-0.15</v>
      </c>
      <c r="BI4056">
        <v>17.14</v>
      </c>
      <c r="BJ4056">
        <v>1</v>
      </c>
      <c r="BK4056">
        <v>1</v>
      </c>
      <c r="BL4056">
        <v>-0.28000000000000003</v>
      </c>
      <c r="BM4056">
        <v>-1.34</v>
      </c>
      <c r="BN4056">
        <v>-0.59</v>
      </c>
      <c r="BO4056">
        <v>0.26</v>
      </c>
      <c r="BP4056">
        <v>1.01</v>
      </c>
      <c r="BQ4056">
        <v>-2.38</v>
      </c>
      <c r="BR4056">
        <v>-0.76</v>
      </c>
      <c r="BS4056">
        <v>1.44</v>
      </c>
      <c r="BT4056">
        <v>0.76</v>
      </c>
      <c r="BU4056">
        <v>0</v>
      </c>
      <c r="BV4056">
        <v>-0.21</v>
      </c>
      <c r="BW4056">
        <v>-0.46</v>
      </c>
      <c r="BX4056">
        <v>-0.49</v>
      </c>
      <c r="BY4056">
        <v>0.2</v>
      </c>
      <c r="BZ4056">
        <v>0.99</v>
      </c>
      <c r="CA4056">
        <v>0.09</v>
      </c>
      <c r="CB4056">
        <v>-0.24</v>
      </c>
      <c r="CC4056">
        <v>0.63</v>
      </c>
      <c r="CD4056">
        <v>-1.04</v>
      </c>
      <c r="CE4056">
        <v>0.27</v>
      </c>
      <c r="CF4056">
        <v>-0.95</v>
      </c>
      <c r="CG4056">
        <v>0</v>
      </c>
      <c r="CH4056">
        <v>1.1000000000000001</v>
      </c>
      <c r="CI4056">
        <v>0</v>
      </c>
      <c r="CJ4056">
        <v>-7.7</v>
      </c>
      <c r="CK4056">
        <v>93</v>
      </c>
      <c r="CL4056">
        <v>-0.46</v>
      </c>
      <c r="CM4056">
        <v>92</v>
      </c>
      <c r="CN4056">
        <v>-0.22</v>
      </c>
      <c r="CO4056">
        <v>91</v>
      </c>
      <c r="CP4056">
        <v>-14.3</v>
      </c>
      <c r="CQ4056">
        <v>95</v>
      </c>
      <c r="CR4056">
        <v>0</v>
      </c>
      <c r="CS4056">
        <v>0</v>
      </c>
      <c r="CT4056">
        <v>-14.4</v>
      </c>
      <c r="CU4056">
        <v>85</v>
      </c>
      <c r="CV4056">
        <v>0.06</v>
      </c>
      <c r="CW4056">
        <v>28</v>
      </c>
      <c r="CX4056" t="s">
        <v>724</v>
      </c>
    </row>
    <row r="4057" spans="1:102" x14ac:dyDescent="0.3">
      <c r="A4057" t="str">
        <f>HYPERLINK("https://webapp.icbf.com/v2/app/bull-search/view/77854333","QGC")</f>
        <v>QGC</v>
      </c>
      <c r="B4057" t="s">
        <v>7273</v>
      </c>
      <c r="C4057" t="s">
        <v>7274</v>
      </c>
      <c r="D4057" s="1">
        <v>35746</v>
      </c>
      <c r="E4057" t="s">
        <v>92</v>
      </c>
      <c r="F4057">
        <v>100</v>
      </c>
      <c r="G4057" t="s">
        <v>93</v>
      </c>
      <c r="H4057">
        <v>-84.77</v>
      </c>
      <c r="I4057">
        <v>56</v>
      </c>
      <c r="J4057">
        <v>29.45</v>
      </c>
      <c r="K4057">
        <v>85</v>
      </c>
      <c r="L4057">
        <v>-81.150000000000006</v>
      </c>
      <c r="M4057">
        <v>42</v>
      </c>
      <c r="N4057">
        <v>-22.04</v>
      </c>
      <c r="O4057">
        <v>35</v>
      </c>
      <c r="P4057">
        <v>-4.82</v>
      </c>
      <c r="Q4057">
        <v>54</v>
      </c>
      <c r="R4057">
        <v>-13.86</v>
      </c>
      <c r="S4057">
        <v>47</v>
      </c>
      <c r="T4057">
        <v>10.27</v>
      </c>
      <c r="U4057">
        <v>46</v>
      </c>
      <c r="V4057">
        <v>-2.62</v>
      </c>
      <c r="W4057">
        <v>19</v>
      </c>
      <c r="X4057" t="s">
        <v>94</v>
      </c>
      <c r="Y4057" t="s">
        <v>95</v>
      </c>
      <c r="Z4057" t="s">
        <v>96</v>
      </c>
      <c r="AA4057" t="s">
        <v>7275</v>
      </c>
      <c r="AB4057" t="s">
        <v>7276</v>
      </c>
      <c r="AC4057">
        <v>27</v>
      </c>
      <c r="AD4057">
        <v>2</v>
      </c>
      <c r="AE4057">
        <v>85</v>
      </c>
      <c r="AF4057">
        <v>417.42</v>
      </c>
      <c r="AG4057">
        <v>5.62</v>
      </c>
      <c r="AH4057">
        <v>9.41</v>
      </c>
      <c r="AI4057">
        <v>-0.17</v>
      </c>
      <c r="AJ4057">
        <v>-0.08</v>
      </c>
      <c r="AK4057">
        <v>42</v>
      </c>
      <c r="AL4057">
        <v>24</v>
      </c>
      <c r="AM4057">
        <v>1</v>
      </c>
      <c r="AN4057">
        <v>5.34</v>
      </c>
      <c r="AO4057">
        <v>-1.1200000000000001</v>
      </c>
      <c r="AP4057">
        <v>4</v>
      </c>
      <c r="AQ4057">
        <v>0</v>
      </c>
      <c r="AR4057">
        <v>10.95</v>
      </c>
      <c r="AS4057">
        <v>22</v>
      </c>
      <c r="AT4057">
        <v>4.68</v>
      </c>
      <c r="AU4057">
        <v>46</v>
      </c>
      <c r="AV4057">
        <v>-0.46</v>
      </c>
      <c r="AW4057">
        <v>33</v>
      </c>
      <c r="AX4057">
        <v>-0.84</v>
      </c>
      <c r="AY4057">
        <v>42</v>
      </c>
      <c r="AZ4057">
        <v>7.05</v>
      </c>
      <c r="BA4057">
        <v>21</v>
      </c>
      <c r="BB4057">
        <v>5.05</v>
      </c>
      <c r="BC4057">
        <v>29</v>
      </c>
      <c r="BD4057">
        <v>0.04</v>
      </c>
      <c r="BE4057">
        <v>0.08</v>
      </c>
      <c r="BF4057">
        <v>0.1</v>
      </c>
      <c r="BG4057">
        <v>59</v>
      </c>
      <c r="BH4057">
        <v>-0.03</v>
      </c>
      <c r="BI4057">
        <v>4.97</v>
      </c>
      <c r="BJ4057">
        <v>0</v>
      </c>
      <c r="BK4057">
        <v>0</v>
      </c>
      <c r="BL4057">
        <v>0.41</v>
      </c>
      <c r="BM4057">
        <v>-0.66</v>
      </c>
      <c r="BN4057">
        <v>-0.03</v>
      </c>
      <c r="BO4057">
        <v>0.47</v>
      </c>
      <c r="BP4057">
        <v>0.1</v>
      </c>
      <c r="BQ4057">
        <v>-0.82</v>
      </c>
      <c r="BR4057">
        <v>0.42</v>
      </c>
      <c r="BS4057">
        <v>-0.89</v>
      </c>
      <c r="BT4057">
        <v>0.14000000000000001</v>
      </c>
      <c r="BU4057">
        <v>0.24</v>
      </c>
      <c r="BV4057">
        <v>0.62</v>
      </c>
      <c r="BW4057">
        <v>-0.05</v>
      </c>
      <c r="BX4057">
        <v>0.03</v>
      </c>
      <c r="BY4057">
        <v>-0.08</v>
      </c>
      <c r="BZ4057">
        <v>0.76</v>
      </c>
      <c r="CA4057">
        <v>0.41</v>
      </c>
      <c r="CB4057">
        <v>0.62</v>
      </c>
      <c r="CC4057">
        <v>-0.25</v>
      </c>
      <c r="CD4057">
        <v>-0.5</v>
      </c>
      <c r="CE4057">
        <v>0.63</v>
      </c>
      <c r="CF4057">
        <v>0.1</v>
      </c>
      <c r="CG4057">
        <v>0</v>
      </c>
      <c r="CH4057">
        <v>0.17</v>
      </c>
      <c r="CI4057">
        <v>0</v>
      </c>
      <c r="CJ4057">
        <v>-1.5</v>
      </c>
      <c r="CK4057">
        <v>56</v>
      </c>
      <c r="CL4057">
        <v>-0.62</v>
      </c>
      <c r="CM4057">
        <v>52</v>
      </c>
      <c r="CN4057">
        <v>-0.36</v>
      </c>
      <c r="CO4057">
        <v>44</v>
      </c>
      <c r="CP4057">
        <v>-3.8</v>
      </c>
      <c r="CQ4057">
        <v>68</v>
      </c>
      <c r="CR4057">
        <v>0</v>
      </c>
      <c r="CS4057">
        <v>0</v>
      </c>
      <c r="CT4057">
        <v>-0.1</v>
      </c>
      <c r="CU4057">
        <v>46</v>
      </c>
      <c r="CV4057">
        <v>0.09</v>
      </c>
      <c r="CW4057">
        <v>14</v>
      </c>
      <c r="CX4057" t="s">
        <v>485</v>
      </c>
    </row>
    <row r="4058" spans="1:102" x14ac:dyDescent="0.3">
      <c r="A4058" t="str">
        <f>HYPERLINK("https://webapp.icbf.com/v2/app/bull-search/view/77858914","CII")</f>
        <v>CII</v>
      </c>
      <c r="B4058" t="s">
        <v>14108</v>
      </c>
      <c r="C4058" t="s">
        <v>14109</v>
      </c>
      <c r="D4058" s="1">
        <v>35035</v>
      </c>
      <c r="E4058" t="s">
        <v>92</v>
      </c>
      <c r="F4058">
        <v>100</v>
      </c>
      <c r="G4058" t="s">
        <v>116</v>
      </c>
      <c r="H4058">
        <v>-84.87</v>
      </c>
      <c r="I4058">
        <v>48</v>
      </c>
      <c r="J4058">
        <v>1.18</v>
      </c>
      <c r="K4058">
        <v>63</v>
      </c>
      <c r="L4058">
        <v>-71.75</v>
      </c>
      <c r="M4058">
        <v>35</v>
      </c>
      <c r="N4058">
        <v>10.35</v>
      </c>
      <c r="O4058">
        <v>49</v>
      </c>
      <c r="P4058">
        <v>-13.58</v>
      </c>
      <c r="Q4058">
        <v>59</v>
      </c>
      <c r="R4058">
        <v>-14.4</v>
      </c>
      <c r="S4058">
        <v>38</v>
      </c>
      <c r="T4058">
        <v>13.68</v>
      </c>
      <c r="U4058">
        <v>41</v>
      </c>
      <c r="V4058">
        <v>-10.35</v>
      </c>
      <c r="W4058">
        <v>27</v>
      </c>
      <c r="X4058" t="s">
        <v>94</v>
      </c>
      <c r="Y4058" t="s">
        <v>1499</v>
      </c>
      <c r="Z4058" t="s">
        <v>96</v>
      </c>
      <c r="AA4058" t="s">
        <v>1106</v>
      </c>
      <c r="AB4058" t="s">
        <v>14110</v>
      </c>
      <c r="AC4058">
        <v>6</v>
      </c>
      <c r="AD4058">
        <v>1</v>
      </c>
      <c r="AE4058">
        <v>63</v>
      </c>
      <c r="AF4058">
        <v>229.98</v>
      </c>
      <c r="AG4058">
        <v>3.59</v>
      </c>
      <c r="AH4058">
        <v>2.4500000000000002</v>
      </c>
      <c r="AI4058">
        <v>-0.09</v>
      </c>
      <c r="AJ4058">
        <v>-0.09</v>
      </c>
      <c r="AK4058">
        <v>35</v>
      </c>
      <c r="AL4058">
        <v>5</v>
      </c>
      <c r="AM4058">
        <v>1</v>
      </c>
      <c r="AN4058">
        <v>4.82</v>
      </c>
      <c r="AO4058">
        <v>-0.89</v>
      </c>
      <c r="AP4058">
        <v>10</v>
      </c>
      <c r="AQ4058">
        <v>0</v>
      </c>
      <c r="AR4058">
        <v>7.47</v>
      </c>
      <c r="AS4058">
        <v>30</v>
      </c>
      <c r="AT4058">
        <v>3.4</v>
      </c>
      <c r="AU4058">
        <v>42</v>
      </c>
      <c r="AV4058">
        <v>-1.48</v>
      </c>
      <c r="AW4058">
        <v>68</v>
      </c>
      <c r="AX4058">
        <v>0.28000000000000003</v>
      </c>
      <c r="AY4058">
        <v>40</v>
      </c>
      <c r="AZ4058">
        <v>5.89</v>
      </c>
      <c r="BA4058">
        <v>28</v>
      </c>
      <c r="BB4058">
        <v>4.8600000000000003</v>
      </c>
      <c r="BC4058">
        <v>31</v>
      </c>
      <c r="BD4058">
        <v>0.06</v>
      </c>
      <c r="BE4058">
        <v>0.09</v>
      </c>
      <c r="BF4058">
        <v>0.06</v>
      </c>
      <c r="BG4058">
        <v>44</v>
      </c>
      <c r="BH4058">
        <v>-0.18</v>
      </c>
      <c r="BI4058">
        <v>12.56</v>
      </c>
      <c r="BJ4058">
        <v>0</v>
      </c>
      <c r="BK4058">
        <v>0</v>
      </c>
      <c r="BL4058">
        <v>0.57999999999999996</v>
      </c>
      <c r="BM4058">
        <v>-0.82</v>
      </c>
      <c r="BN4058">
        <v>0.45</v>
      </c>
      <c r="BO4058">
        <v>0.71</v>
      </c>
      <c r="BP4058">
        <v>-0.25</v>
      </c>
      <c r="BQ4058">
        <v>-1.25</v>
      </c>
      <c r="BR4058">
        <v>-0.96</v>
      </c>
      <c r="BS4058">
        <v>-0.72</v>
      </c>
      <c r="BT4058">
        <v>0.69</v>
      </c>
      <c r="BU4058">
        <v>-0.38</v>
      </c>
      <c r="BV4058">
        <v>-0.11</v>
      </c>
      <c r="BW4058">
        <v>-0.22</v>
      </c>
      <c r="BX4058">
        <v>-0.66</v>
      </c>
      <c r="BY4058">
        <v>-0.67</v>
      </c>
      <c r="BZ4058">
        <v>0.99</v>
      </c>
      <c r="CA4058">
        <v>-0.22</v>
      </c>
      <c r="CB4058">
        <v>-0.37</v>
      </c>
      <c r="CC4058">
        <v>0.19</v>
      </c>
      <c r="CD4058">
        <v>-0.51</v>
      </c>
      <c r="CE4058">
        <v>0.87</v>
      </c>
      <c r="CF4058">
        <v>0.27</v>
      </c>
      <c r="CG4058">
        <v>0</v>
      </c>
      <c r="CH4058">
        <v>-0.62</v>
      </c>
      <c r="CI4058">
        <v>0</v>
      </c>
      <c r="CJ4058">
        <v>-5</v>
      </c>
      <c r="CK4058">
        <v>62</v>
      </c>
      <c r="CL4058">
        <v>-0.9</v>
      </c>
      <c r="CM4058">
        <v>58</v>
      </c>
      <c r="CN4058">
        <v>-0.36</v>
      </c>
      <c r="CO4058">
        <v>55</v>
      </c>
      <c r="CP4058">
        <v>-10.7</v>
      </c>
      <c r="CQ4058">
        <v>53</v>
      </c>
      <c r="CR4058">
        <v>0</v>
      </c>
      <c r="CS4058">
        <v>0</v>
      </c>
      <c r="CT4058">
        <v>-4.7</v>
      </c>
      <c r="CU4058">
        <v>41</v>
      </c>
      <c r="CV4058">
        <v>0.21</v>
      </c>
      <c r="CW4058">
        <v>17</v>
      </c>
      <c r="CX4058" t="s">
        <v>3414</v>
      </c>
    </row>
    <row r="4059" spans="1:102" x14ac:dyDescent="0.3">
      <c r="A4059" t="str">
        <f>HYPERLINK("https://webapp.icbf.com/v2/app/bull-search/view/77856745","ILP")</f>
        <v>ILP</v>
      </c>
      <c r="B4059" t="s">
        <v>491</v>
      </c>
      <c r="C4059" t="s">
        <v>492</v>
      </c>
      <c r="D4059" s="1">
        <v>32007</v>
      </c>
      <c r="E4059" t="s">
        <v>92</v>
      </c>
      <c r="F4059">
        <v>63</v>
      </c>
      <c r="G4059" t="s">
        <v>116</v>
      </c>
      <c r="H4059">
        <v>-84.9</v>
      </c>
      <c r="I4059">
        <v>41</v>
      </c>
      <c r="J4059">
        <v>-62.12</v>
      </c>
      <c r="K4059">
        <v>34</v>
      </c>
      <c r="L4059">
        <v>-36.42</v>
      </c>
      <c r="M4059">
        <v>56</v>
      </c>
      <c r="N4059">
        <v>5.17</v>
      </c>
      <c r="O4059">
        <v>30</v>
      </c>
      <c r="P4059">
        <v>-5.9</v>
      </c>
      <c r="Q4059">
        <v>36</v>
      </c>
      <c r="R4059">
        <v>-3.9</v>
      </c>
      <c r="S4059">
        <v>52</v>
      </c>
      <c r="T4059">
        <v>17.3</v>
      </c>
      <c r="U4059">
        <v>31</v>
      </c>
      <c r="V4059">
        <v>0.97</v>
      </c>
      <c r="W4059">
        <v>13</v>
      </c>
      <c r="X4059" t="s">
        <v>94</v>
      </c>
      <c r="Y4059" t="s">
        <v>95</v>
      </c>
      <c r="Z4059" t="s">
        <v>96</v>
      </c>
      <c r="AA4059" t="s">
        <v>493</v>
      </c>
      <c r="AB4059" t="s">
        <v>494</v>
      </c>
      <c r="AC4059">
        <v>3</v>
      </c>
      <c r="AD4059">
        <v>3</v>
      </c>
      <c r="AE4059">
        <v>34</v>
      </c>
      <c r="AF4059">
        <v>-258.61</v>
      </c>
      <c r="AG4059">
        <v>-6.03</v>
      </c>
      <c r="AH4059">
        <v>-12.39</v>
      </c>
      <c r="AI4059">
        <v>7.0000000000000007E-2</v>
      </c>
      <c r="AJ4059">
        <v>-0.06</v>
      </c>
      <c r="AK4059">
        <v>56</v>
      </c>
      <c r="AL4059">
        <v>73</v>
      </c>
      <c r="AM4059">
        <v>53</v>
      </c>
      <c r="AN4059">
        <v>0</v>
      </c>
      <c r="AO4059">
        <v>-2.93</v>
      </c>
      <c r="AP4059">
        <v>2</v>
      </c>
      <c r="AQ4059">
        <v>0</v>
      </c>
      <c r="AR4059">
        <v>8.1999999999999993</v>
      </c>
      <c r="AS4059">
        <v>13</v>
      </c>
      <c r="AT4059">
        <v>3.37</v>
      </c>
      <c r="AU4059">
        <v>22</v>
      </c>
      <c r="AV4059">
        <v>-1.6</v>
      </c>
      <c r="AW4059">
        <v>38</v>
      </c>
      <c r="AX4059">
        <v>-0.3</v>
      </c>
      <c r="AY4059">
        <v>49</v>
      </c>
      <c r="AZ4059">
        <v>6.79</v>
      </c>
      <c r="BA4059">
        <v>12</v>
      </c>
      <c r="BB4059">
        <v>5.75</v>
      </c>
      <c r="BC4059">
        <v>17</v>
      </c>
      <c r="BD4059">
        <v>0.04</v>
      </c>
      <c r="BE4059">
        <v>7.0000000000000007E-2</v>
      </c>
      <c r="BF4059">
        <v>-0.11</v>
      </c>
      <c r="BG4059">
        <v>76</v>
      </c>
      <c r="BH4059">
        <v>0.08</v>
      </c>
      <c r="BI4059">
        <v>6.11</v>
      </c>
      <c r="BJ4059">
        <v>11</v>
      </c>
      <c r="BK4059">
        <v>9</v>
      </c>
      <c r="BL4059">
        <v>-0.79</v>
      </c>
      <c r="BM4059">
        <v>0.28999999999999998</v>
      </c>
      <c r="BN4059">
        <v>-1.1599999999999999</v>
      </c>
      <c r="BO4059">
        <v>-0.94</v>
      </c>
      <c r="BP4059">
        <v>0.02</v>
      </c>
      <c r="BQ4059">
        <v>-0.11</v>
      </c>
      <c r="BR4059">
        <v>0.55000000000000004</v>
      </c>
      <c r="BS4059">
        <v>-0.49</v>
      </c>
      <c r="BT4059">
        <v>-0.26</v>
      </c>
      <c r="BU4059">
        <v>-0.99</v>
      </c>
      <c r="BV4059">
        <v>-1.41</v>
      </c>
      <c r="BW4059">
        <v>-2.06</v>
      </c>
      <c r="BX4059">
        <v>-0.48</v>
      </c>
      <c r="BY4059">
        <v>-2.57</v>
      </c>
      <c r="BZ4059">
        <v>-0.64</v>
      </c>
      <c r="CA4059">
        <v>-1.81</v>
      </c>
      <c r="CB4059">
        <v>-1.51</v>
      </c>
      <c r="CC4059">
        <v>-1.72</v>
      </c>
      <c r="CD4059">
        <v>1</v>
      </c>
      <c r="CE4059">
        <v>-1.1100000000000001</v>
      </c>
      <c r="CF4059">
        <v>-1.28</v>
      </c>
      <c r="CG4059">
        <v>0</v>
      </c>
      <c r="CH4059">
        <v>-2.0299999999999998</v>
      </c>
      <c r="CI4059">
        <v>0</v>
      </c>
      <c r="CJ4059">
        <v>-2.6</v>
      </c>
      <c r="CK4059">
        <v>37</v>
      </c>
      <c r="CL4059">
        <v>-0.22</v>
      </c>
      <c r="CM4059">
        <v>34</v>
      </c>
      <c r="CN4059">
        <v>-0.08</v>
      </c>
      <c r="CO4059">
        <v>29</v>
      </c>
      <c r="CP4059">
        <v>-6.5</v>
      </c>
      <c r="CQ4059">
        <v>42</v>
      </c>
      <c r="CR4059">
        <v>0</v>
      </c>
      <c r="CS4059">
        <v>0</v>
      </c>
      <c r="CT4059">
        <v>-9.6</v>
      </c>
      <c r="CU4059">
        <v>31</v>
      </c>
      <c r="CV4059">
        <v>0.03</v>
      </c>
      <c r="CW4059">
        <v>9</v>
      </c>
      <c r="CX4059" t="s">
        <v>495</v>
      </c>
    </row>
    <row r="4060" spans="1:102" x14ac:dyDescent="0.3">
      <c r="A4060" t="str">
        <f>HYPERLINK("https://webapp.icbf.com/v2/app/bull-search/view/660310644","VFL")</f>
        <v>VFL</v>
      </c>
      <c r="B4060" t="s">
        <v>15592</v>
      </c>
      <c r="C4060" t="s">
        <v>5975</v>
      </c>
      <c r="D4060" s="1">
        <v>38020</v>
      </c>
      <c r="E4060" t="s">
        <v>140</v>
      </c>
      <c r="F4060">
        <v>0</v>
      </c>
      <c r="G4060" t="s">
        <v>93</v>
      </c>
      <c r="H4060">
        <v>-84.99</v>
      </c>
      <c r="I4060">
        <v>89</v>
      </c>
      <c r="J4060">
        <v>1.53</v>
      </c>
      <c r="K4060">
        <v>98</v>
      </c>
      <c r="L4060">
        <v>-18.760000000000002</v>
      </c>
      <c r="M4060">
        <v>81</v>
      </c>
      <c r="N4060">
        <v>-68.349999999999994</v>
      </c>
      <c r="O4060">
        <v>89</v>
      </c>
      <c r="P4060">
        <v>3.51</v>
      </c>
      <c r="Q4060">
        <v>96</v>
      </c>
      <c r="R4060">
        <v>12.98</v>
      </c>
      <c r="S4060">
        <v>81</v>
      </c>
      <c r="T4060">
        <v>-3.56</v>
      </c>
      <c r="U4060">
        <v>88</v>
      </c>
      <c r="V4060">
        <v>-12.34</v>
      </c>
      <c r="W4060">
        <v>75</v>
      </c>
      <c r="X4060" t="s">
        <v>94</v>
      </c>
      <c r="Y4060" t="s">
        <v>282</v>
      </c>
      <c r="Z4060">
        <v>0</v>
      </c>
      <c r="AA4060" t="s">
        <v>139</v>
      </c>
      <c r="AB4060" t="s">
        <v>15593</v>
      </c>
      <c r="AC4060">
        <v>156</v>
      </c>
      <c r="AD4060">
        <v>44</v>
      </c>
      <c r="AE4060">
        <v>98</v>
      </c>
      <c r="AF4060">
        <v>-30.65</v>
      </c>
      <c r="AG4060">
        <v>-2.4</v>
      </c>
      <c r="AH4060">
        <v>0.64</v>
      </c>
      <c r="AI4060">
        <v>-0.02</v>
      </c>
      <c r="AJ4060">
        <v>0.03</v>
      </c>
      <c r="AK4060">
        <v>81</v>
      </c>
      <c r="AL4060">
        <v>198</v>
      </c>
      <c r="AM4060">
        <v>64</v>
      </c>
      <c r="AN4060">
        <v>1.47</v>
      </c>
      <c r="AO4060">
        <v>-0.02</v>
      </c>
      <c r="AP4060">
        <v>317</v>
      </c>
      <c r="AQ4060">
        <v>15</v>
      </c>
      <c r="AR4060">
        <v>13.73</v>
      </c>
      <c r="AS4060">
        <v>82</v>
      </c>
      <c r="AT4060">
        <v>6.12</v>
      </c>
      <c r="AU4060">
        <v>90</v>
      </c>
      <c r="AV4060">
        <v>2.11</v>
      </c>
      <c r="AW4060">
        <v>98</v>
      </c>
      <c r="AX4060">
        <v>-0.01</v>
      </c>
      <c r="AY4060">
        <v>90</v>
      </c>
      <c r="AZ4060">
        <v>5.59</v>
      </c>
      <c r="BA4060">
        <v>75</v>
      </c>
      <c r="BB4060">
        <v>3.95</v>
      </c>
      <c r="BC4060">
        <v>69</v>
      </c>
      <c r="BD4060">
        <v>-0.02</v>
      </c>
      <c r="BE4060">
        <v>-0.05</v>
      </c>
      <c r="BF4060">
        <v>-0.17</v>
      </c>
      <c r="BG4060">
        <v>91</v>
      </c>
      <c r="BH4060">
        <v>-0.41</v>
      </c>
      <c r="BI4060">
        <v>-7.63</v>
      </c>
      <c r="BJ4060">
        <v>0</v>
      </c>
      <c r="BK4060">
        <v>0</v>
      </c>
      <c r="BL4060">
        <v>-0.82</v>
      </c>
      <c r="BM4060">
        <v>3.02</v>
      </c>
      <c r="BN4060">
        <v>-1.75</v>
      </c>
      <c r="BO4060">
        <v>-2.77</v>
      </c>
      <c r="BP4060">
        <v>4.04</v>
      </c>
      <c r="BQ4060">
        <v>-2.3199999999999998</v>
      </c>
      <c r="BR4060">
        <v>-2.65</v>
      </c>
      <c r="BS4060">
        <v>-0.45</v>
      </c>
      <c r="BT4060">
        <v>2.4900000000000002</v>
      </c>
      <c r="BU4060">
        <v>-3.21</v>
      </c>
      <c r="BV4060">
        <v>-3.74</v>
      </c>
      <c r="BW4060">
        <v>-2.83</v>
      </c>
      <c r="BX4060">
        <v>-2.48</v>
      </c>
      <c r="BY4060">
        <v>-2.16</v>
      </c>
      <c r="BZ4060">
        <v>1.07</v>
      </c>
      <c r="CA4060">
        <v>-2.35</v>
      </c>
      <c r="CB4060">
        <v>-3</v>
      </c>
      <c r="CC4060">
        <v>-0.41</v>
      </c>
      <c r="CD4060">
        <v>3.53</v>
      </c>
      <c r="CE4060">
        <v>-2.74</v>
      </c>
      <c r="CF4060">
        <v>-1.08</v>
      </c>
      <c r="CG4060">
        <v>0</v>
      </c>
      <c r="CH4060">
        <v>-2.4900000000000002</v>
      </c>
      <c r="CI4060">
        <v>0</v>
      </c>
      <c r="CJ4060">
        <v>-1.8</v>
      </c>
      <c r="CK4060">
        <v>97</v>
      </c>
      <c r="CL4060">
        <v>-0.12</v>
      </c>
      <c r="CM4060">
        <v>96</v>
      </c>
      <c r="CN4060">
        <v>-0.55000000000000004</v>
      </c>
      <c r="CO4060">
        <v>96</v>
      </c>
      <c r="CP4060">
        <v>5.3</v>
      </c>
      <c r="CQ4060">
        <v>89</v>
      </c>
      <c r="CR4060">
        <v>0</v>
      </c>
      <c r="CS4060">
        <v>0</v>
      </c>
      <c r="CT4060">
        <v>18.600000000000001</v>
      </c>
      <c r="CU4060">
        <v>88</v>
      </c>
      <c r="CV4060">
        <v>0.16</v>
      </c>
      <c r="CW4060">
        <v>46</v>
      </c>
      <c r="CX4060" t="s">
        <v>13064</v>
      </c>
    </row>
    <row r="4061" spans="1:102" x14ac:dyDescent="0.3">
      <c r="A4061" t="str">
        <f>HYPERLINK("https://webapp.icbf.com/v2/app/bull-search/view/365585813","LHX")</f>
        <v>LHX</v>
      </c>
      <c r="B4061" t="s">
        <v>6920</v>
      </c>
      <c r="C4061" t="s">
        <v>6921</v>
      </c>
      <c r="D4061" s="1">
        <v>38143</v>
      </c>
      <c r="E4061" t="s">
        <v>92</v>
      </c>
      <c r="F4061">
        <v>100</v>
      </c>
      <c r="G4061" t="s">
        <v>93</v>
      </c>
      <c r="H4061">
        <v>-85</v>
      </c>
      <c r="I4061">
        <v>85</v>
      </c>
      <c r="J4061">
        <v>35.909999999999997</v>
      </c>
      <c r="K4061">
        <v>96</v>
      </c>
      <c r="L4061">
        <v>-102.79</v>
      </c>
      <c r="M4061">
        <v>79</v>
      </c>
      <c r="N4061">
        <v>8.6300000000000008</v>
      </c>
      <c r="O4061">
        <v>82</v>
      </c>
      <c r="P4061">
        <v>-15.23</v>
      </c>
      <c r="Q4061">
        <v>88</v>
      </c>
      <c r="R4061">
        <v>-11.34</v>
      </c>
      <c r="S4061">
        <v>80</v>
      </c>
      <c r="T4061">
        <v>4.43</v>
      </c>
      <c r="U4061">
        <v>76</v>
      </c>
      <c r="V4061">
        <v>-4.6100000000000003</v>
      </c>
      <c r="W4061">
        <v>74</v>
      </c>
      <c r="X4061" t="s">
        <v>94</v>
      </c>
      <c r="Y4061" t="s">
        <v>95</v>
      </c>
      <c r="Z4061" t="s">
        <v>96</v>
      </c>
      <c r="AA4061" t="s">
        <v>283</v>
      </c>
      <c r="AB4061" t="s">
        <v>6922</v>
      </c>
      <c r="AC4061">
        <v>60</v>
      </c>
      <c r="AD4061">
        <v>44</v>
      </c>
      <c r="AE4061">
        <v>96</v>
      </c>
      <c r="AF4061">
        <v>323.81</v>
      </c>
      <c r="AG4061">
        <v>4.42</v>
      </c>
      <c r="AH4061">
        <v>9.5</v>
      </c>
      <c r="AI4061">
        <v>-0.14000000000000001</v>
      </c>
      <c r="AJ4061">
        <v>-0.02</v>
      </c>
      <c r="AK4061">
        <v>79</v>
      </c>
      <c r="AL4061">
        <v>55</v>
      </c>
      <c r="AM4061">
        <v>42</v>
      </c>
      <c r="AN4061">
        <v>6.2</v>
      </c>
      <c r="AO4061">
        <v>-1.99</v>
      </c>
      <c r="AP4061">
        <v>105</v>
      </c>
      <c r="AQ4061">
        <v>1</v>
      </c>
      <c r="AR4061">
        <v>8.44</v>
      </c>
      <c r="AS4061">
        <v>73</v>
      </c>
      <c r="AT4061">
        <v>4.07</v>
      </c>
      <c r="AU4061">
        <v>84</v>
      </c>
      <c r="AV4061">
        <v>-2.0499999999999998</v>
      </c>
      <c r="AW4061">
        <v>92</v>
      </c>
      <c r="AX4061">
        <v>-0.2</v>
      </c>
      <c r="AY4061">
        <v>75</v>
      </c>
      <c r="AZ4061">
        <v>5.74</v>
      </c>
      <c r="BA4061">
        <v>62</v>
      </c>
      <c r="BB4061">
        <v>4.51</v>
      </c>
      <c r="BC4061">
        <v>64</v>
      </c>
      <c r="BD4061">
        <v>0.01</v>
      </c>
      <c r="BE4061">
        <v>0.06</v>
      </c>
      <c r="BF4061">
        <v>0.13</v>
      </c>
      <c r="BG4061">
        <v>88</v>
      </c>
      <c r="BH4061">
        <v>-0.08</v>
      </c>
      <c r="BI4061">
        <v>5.63</v>
      </c>
      <c r="BJ4061">
        <v>21</v>
      </c>
      <c r="BK4061">
        <v>19</v>
      </c>
      <c r="BL4061">
        <v>0.5</v>
      </c>
      <c r="BM4061">
        <v>-1.47</v>
      </c>
      <c r="BN4061">
        <v>0</v>
      </c>
      <c r="BO4061">
        <v>1.03</v>
      </c>
      <c r="BP4061">
        <v>1.51</v>
      </c>
      <c r="BQ4061">
        <v>0.37</v>
      </c>
      <c r="BR4061">
        <v>-0.36</v>
      </c>
      <c r="BS4061">
        <v>0.14000000000000001</v>
      </c>
      <c r="BT4061">
        <v>0.71</v>
      </c>
      <c r="BU4061">
        <v>0.75</v>
      </c>
      <c r="BV4061">
        <v>1.41</v>
      </c>
      <c r="BW4061">
        <v>1</v>
      </c>
      <c r="BX4061">
        <v>0.88</v>
      </c>
      <c r="BY4061">
        <v>0.36</v>
      </c>
      <c r="BZ4061">
        <v>-0.05</v>
      </c>
      <c r="CA4061">
        <v>0.41</v>
      </c>
      <c r="CB4061">
        <v>0.66</v>
      </c>
      <c r="CC4061">
        <v>-0.23</v>
      </c>
      <c r="CD4061">
        <v>-1.19</v>
      </c>
      <c r="CE4061">
        <v>0.76</v>
      </c>
      <c r="CF4061">
        <v>0.04</v>
      </c>
      <c r="CG4061">
        <v>0</v>
      </c>
      <c r="CH4061">
        <v>-0.39</v>
      </c>
      <c r="CI4061">
        <v>0</v>
      </c>
      <c r="CJ4061">
        <v>-5.0999999999999996</v>
      </c>
      <c r="CK4061">
        <v>89</v>
      </c>
      <c r="CL4061">
        <v>-1.1000000000000001</v>
      </c>
      <c r="CM4061">
        <v>87</v>
      </c>
      <c r="CN4061">
        <v>-0.32</v>
      </c>
      <c r="CO4061">
        <v>85</v>
      </c>
      <c r="CP4061">
        <v>-3.9</v>
      </c>
      <c r="CQ4061">
        <v>86</v>
      </c>
      <c r="CR4061">
        <v>0</v>
      </c>
      <c r="CS4061">
        <v>0</v>
      </c>
      <c r="CT4061">
        <v>7.8</v>
      </c>
      <c r="CU4061">
        <v>76</v>
      </c>
      <c r="CV4061">
        <v>0.06</v>
      </c>
      <c r="CW4061">
        <v>43</v>
      </c>
      <c r="CX4061" t="s">
        <v>1682</v>
      </c>
    </row>
    <row r="4062" spans="1:102" x14ac:dyDescent="0.3">
      <c r="A4062" t="str">
        <f>HYPERLINK("https://webapp.icbf.com/v2/app/bull-search/view/77857030","HMP")</f>
        <v>HMP</v>
      </c>
      <c r="B4062" t="s">
        <v>8673</v>
      </c>
      <c r="C4062" t="s">
        <v>906</v>
      </c>
      <c r="D4062" s="1">
        <v>34193</v>
      </c>
      <c r="E4062" t="s">
        <v>92</v>
      </c>
      <c r="F4062">
        <v>100</v>
      </c>
      <c r="G4062" t="s">
        <v>93</v>
      </c>
      <c r="H4062">
        <v>-85.01</v>
      </c>
      <c r="I4062">
        <v>90</v>
      </c>
      <c r="J4062">
        <v>38.29</v>
      </c>
      <c r="K4062">
        <v>97</v>
      </c>
      <c r="L4062">
        <v>-113.85</v>
      </c>
      <c r="M4062">
        <v>92</v>
      </c>
      <c r="N4062">
        <v>0.57999999999999996</v>
      </c>
      <c r="O4062">
        <v>81</v>
      </c>
      <c r="P4062">
        <v>-2</v>
      </c>
      <c r="Q4062">
        <v>85</v>
      </c>
      <c r="R4062">
        <v>-12.54</v>
      </c>
      <c r="S4062">
        <v>82</v>
      </c>
      <c r="T4062">
        <v>6.8</v>
      </c>
      <c r="U4062">
        <v>81</v>
      </c>
      <c r="V4062">
        <v>-2.29</v>
      </c>
      <c r="W4062">
        <v>70</v>
      </c>
      <c r="X4062" t="s">
        <v>102</v>
      </c>
      <c r="Y4062" t="s">
        <v>95</v>
      </c>
      <c r="Z4062" t="s">
        <v>96</v>
      </c>
      <c r="AA4062" t="s">
        <v>3177</v>
      </c>
      <c r="AB4062" t="s">
        <v>3208</v>
      </c>
      <c r="AC4062">
        <v>87</v>
      </c>
      <c r="AD4062">
        <v>46</v>
      </c>
      <c r="AE4062">
        <v>97</v>
      </c>
      <c r="AF4062">
        <v>103.59</v>
      </c>
      <c r="AG4062">
        <v>12.6</v>
      </c>
      <c r="AH4062">
        <v>3.64</v>
      </c>
      <c r="AI4062">
        <v>0.15</v>
      </c>
      <c r="AJ4062">
        <v>0</v>
      </c>
      <c r="AK4062">
        <v>92</v>
      </c>
      <c r="AL4062">
        <v>79</v>
      </c>
      <c r="AM4062">
        <v>39</v>
      </c>
      <c r="AN4062">
        <v>6.13</v>
      </c>
      <c r="AO4062">
        <v>-2.95</v>
      </c>
      <c r="AP4062">
        <v>8</v>
      </c>
      <c r="AQ4062">
        <v>0</v>
      </c>
      <c r="AR4062">
        <v>11.29</v>
      </c>
      <c r="AS4062">
        <v>70</v>
      </c>
      <c r="AT4062">
        <v>3.84</v>
      </c>
      <c r="AU4062">
        <v>96</v>
      </c>
      <c r="AV4062">
        <v>-2.1</v>
      </c>
      <c r="AW4062">
        <v>78</v>
      </c>
      <c r="AX4062">
        <v>0.11</v>
      </c>
      <c r="AY4062">
        <v>81</v>
      </c>
      <c r="AZ4062">
        <v>6</v>
      </c>
      <c r="BA4062">
        <v>66</v>
      </c>
      <c r="BB4062">
        <v>4.66</v>
      </c>
      <c r="BC4062">
        <v>70</v>
      </c>
      <c r="BD4062">
        <v>0.08</v>
      </c>
      <c r="BE4062">
        <v>0.05</v>
      </c>
      <c r="BF4062">
        <v>0.06</v>
      </c>
      <c r="BG4062">
        <v>94</v>
      </c>
      <c r="BH4062">
        <v>-0.04</v>
      </c>
      <c r="BI4062">
        <v>2.76</v>
      </c>
      <c r="BJ4062">
        <v>4</v>
      </c>
      <c r="BK4062">
        <v>3</v>
      </c>
      <c r="BL4062">
        <v>-0.13</v>
      </c>
      <c r="BM4062">
        <v>0.74</v>
      </c>
      <c r="BN4062">
        <v>0.83</v>
      </c>
      <c r="BO4062">
        <v>-0.35</v>
      </c>
      <c r="BP4062">
        <v>3.85</v>
      </c>
      <c r="BQ4062">
        <v>-1.87</v>
      </c>
      <c r="BR4062">
        <v>-2.4700000000000002</v>
      </c>
      <c r="BS4062">
        <v>-0.78</v>
      </c>
      <c r="BT4062">
        <v>1.64</v>
      </c>
      <c r="BU4062">
        <v>-1.83</v>
      </c>
      <c r="BV4062">
        <v>-0.92</v>
      </c>
      <c r="BW4062">
        <v>-0.41</v>
      </c>
      <c r="BX4062">
        <v>-1.19</v>
      </c>
      <c r="BY4062">
        <v>-1.48</v>
      </c>
      <c r="BZ4062">
        <v>1.36</v>
      </c>
      <c r="CA4062">
        <v>-1.36</v>
      </c>
      <c r="CB4062">
        <v>-1.49</v>
      </c>
      <c r="CC4062">
        <v>-0.76</v>
      </c>
      <c r="CD4062">
        <v>0.28999999999999998</v>
      </c>
      <c r="CE4062">
        <v>-0.04</v>
      </c>
      <c r="CF4062">
        <v>-0.19</v>
      </c>
      <c r="CG4062">
        <v>0</v>
      </c>
      <c r="CH4062">
        <v>-1.54</v>
      </c>
      <c r="CI4062">
        <v>0</v>
      </c>
      <c r="CJ4062">
        <v>0.1</v>
      </c>
      <c r="CK4062">
        <v>86</v>
      </c>
      <c r="CL4062">
        <v>-0.38</v>
      </c>
      <c r="CM4062">
        <v>84</v>
      </c>
      <c r="CN4062">
        <v>-0.15</v>
      </c>
      <c r="CO4062">
        <v>82</v>
      </c>
      <c r="CP4062">
        <v>0.2</v>
      </c>
      <c r="CQ4062">
        <v>90</v>
      </c>
      <c r="CR4062">
        <v>0</v>
      </c>
      <c r="CS4062">
        <v>0</v>
      </c>
      <c r="CT4062">
        <v>4.5999999999999996</v>
      </c>
      <c r="CU4062">
        <v>81</v>
      </c>
      <c r="CV4062">
        <v>7.0000000000000007E-2</v>
      </c>
      <c r="CW4062">
        <v>43</v>
      </c>
      <c r="CX4062" t="s">
        <v>3209</v>
      </c>
    </row>
    <row r="4063" spans="1:102" x14ac:dyDescent="0.3">
      <c r="A4063" t="str">
        <f>HYPERLINK("https://webapp.icbf.com/v2/app/bull-search/view/77858062","DVU")</f>
        <v>DVU</v>
      </c>
      <c r="B4063" t="s">
        <v>776</v>
      </c>
      <c r="C4063" t="s">
        <v>777</v>
      </c>
      <c r="D4063" s="1">
        <v>32873</v>
      </c>
      <c r="E4063" t="s">
        <v>92</v>
      </c>
      <c r="F4063">
        <v>94</v>
      </c>
      <c r="G4063" t="s">
        <v>93</v>
      </c>
      <c r="H4063">
        <v>-85.1</v>
      </c>
      <c r="I4063">
        <v>84</v>
      </c>
      <c r="J4063">
        <v>2.1800000000000002</v>
      </c>
      <c r="K4063">
        <v>97</v>
      </c>
      <c r="L4063">
        <v>-53.32</v>
      </c>
      <c r="M4063">
        <v>79</v>
      </c>
      <c r="N4063">
        <v>-24.45</v>
      </c>
      <c r="O4063">
        <v>71</v>
      </c>
      <c r="P4063">
        <v>-3.04</v>
      </c>
      <c r="Q4063">
        <v>89</v>
      </c>
      <c r="R4063">
        <v>-2.2000000000000002</v>
      </c>
      <c r="S4063">
        <v>77</v>
      </c>
      <c r="T4063">
        <v>2.13</v>
      </c>
      <c r="U4063">
        <v>79</v>
      </c>
      <c r="V4063">
        <v>-6.4</v>
      </c>
      <c r="W4063">
        <v>55</v>
      </c>
      <c r="X4063" t="s">
        <v>102</v>
      </c>
      <c r="Y4063" t="s">
        <v>95</v>
      </c>
      <c r="Z4063" t="s">
        <v>96</v>
      </c>
      <c r="AA4063" t="s">
        <v>778</v>
      </c>
      <c r="AB4063" t="s">
        <v>779</v>
      </c>
      <c r="AC4063">
        <v>133</v>
      </c>
      <c r="AD4063">
        <v>86</v>
      </c>
      <c r="AE4063">
        <v>97</v>
      </c>
      <c r="AF4063">
        <v>50.84</v>
      </c>
      <c r="AG4063">
        <v>4.38</v>
      </c>
      <c r="AH4063">
        <v>-0.4</v>
      </c>
      <c r="AI4063">
        <v>0.04</v>
      </c>
      <c r="AJ4063">
        <v>-0.04</v>
      </c>
      <c r="AK4063">
        <v>79</v>
      </c>
      <c r="AL4063">
        <v>226</v>
      </c>
      <c r="AM4063">
        <v>114</v>
      </c>
      <c r="AN4063">
        <v>3.1</v>
      </c>
      <c r="AO4063">
        <v>-1.1499999999999999</v>
      </c>
      <c r="AP4063">
        <v>2</v>
      </c>
      <c r="AQ4063">
        <v>1</v>
      </c>
      <c r="AR4063">
        <v>7.71</v>
      </c>
      <c r="AS4063">
        <v>49</v>
      </c>
      <c r="AT4063">
        <v>4.1100000000000003</v>
      </c>
      <c r="AU4063">
        <v>72</v>
      </c>
      <c r="AV4063">
        <v>1.04</v>
      </c>
      <c r="AW4063">
        <v>75</v>
      </c>
      <c r="AX4063">
        <v>-0.15</v>
      </c>
      <c r="AY4063">
        <v>84</v>
      </c>
      <c r="AZ4063">
        <v>7.37</v>
      </c>
      <c r="BA4063">
        <v>43</v>
      </c>
      <c r="BB4063">
        <v>6.02</v>
      </c>
      <c r="BC4063">
        <v>64</v>
      </c>
      <c r="BD4063">
        <v>0.04</v>
      </c>
      <c r="BE4063">
        <v>0.06</v>
      </c>
      <c r="BF4063">
        <v>-0.13</v>
      </c>
      <c r="BG4063">
        <v>93</v>
      </c>
      <c r="BH4063">
        <v>0.06</v>
      </c>
      <c r="BI4063">
        <v>27.58</v>
      </c>
      <c r="BJ4063">
        <v>40</v>
      </c>
      <c r="BK4063">
        <v>28</v>
      </c>
      <c r="BL4063">
        <v>-0.17</v>
      </c>
      <c r="BM4063">
        <v>0.42</v>
      </c>
      <c r="BN4063">
        <v>0.63</v>
      </c>
      <c r="BO4063">
        <v>-0.1</v>
      </c>
      <c r="BP4063">
        <v>-1.28</v>
      </c>
      <c r="BQ4063">
        <v>1.18</v>
      </c>
      <c r="BR4063">
        <v>0.89</v>
      </c>
      <c r="BS4063">
        <v>-2.11</v>
      </c>
      <c r="BT4063">
        <v>-1.31</v>
      </c>
      <c r="BU4063">
        <v>0.25</v>
      </c>
      <c r="BV4063">
        <v>-0.62</v>
      </c>
      <c r="BW4063">
        <v>-0.79</v>
      </c>
      <c r="BX4063">
        <v>0.26</v>
      </c>
      <c r="BY4063">
        <v>1.04</v>
      </c>
      <c r="BZ4063">
        <v>-0.88</v>
      </c>
      <c r="CA4063">
        <v>-0.45</v>
      </c>
      <c r="CB4063">
        <v>0.23</v>
      </c>
      <c r="CC4063">
        <v>-1.69</v>
      </c>
      <c r="CD4063">
        <v>0.46</v>
      </c>
      <c r="CE4063">
        <v>-0.41</v>
      </c>
      <c r="CF4063">
        <v>-0.28999999999999998</v>
      </c>
      <c r="CG4063">
        <v>0</v>
      </c>
      <c r="CH4063">
        <v>0.85</v>
      </c>
      <c r="CI4063">
        <v>0</v>
      </c>
      <c r="CJ4063">
        <v>-1.7</v>
      </c>
      <c r="CK4063">
        <v>90</v>
      </c>
      <c r="CL4063">
        <v>-0.57999999999999996</v>
      </c>
      <c r="CM4063">
        <v>88</v>
      </c>
      <c r="CN4063">
        <v>-0.44</v>
      </c>
      <c r="CO4063">
        <v>86</v>
      </c>
      <c r="CP4063">
        <v>0.9</v>
      </c>
      <c r="CQ4063">
        <v>91</v>
      </c>
      <c r="CR4063">
        <v>0</v>
      </c>
      <c r="CS4063">
        <v>0</v>
      </c>
      <c r="CT4063">
        <v>10.9</v>
      </c>
      <c r="CU4063">
        <v>79</v>
      </c>
      <c r="CV4063">
        <v>0.05</v>
      </c>
      <c r="CW4063">
        <v>44</v>
      </c>
      <c r="CX4063" t="s">
        <v>780</v>
      </c>
    </row>
    <row r="4064" spans="1:102" x14ac:dyDescent="0.3">
      <c r="A4064" t="str">
        <f>HYPERLINK("https://webapp.icbf.com/v2/app/bull-search/view/146701184","LYI")</f>
        <v>LYI</v>
      </c>
      <c r="B4064" t="s">
        <v>11600</v>
      </c>
      <c r="C4064" t="s">
        <v>11601</v>
      </c>
      <c r="D4064" s="1">
        <v>37217</v>
      </c>
      <c r="E4064" t="s">
        <v>92</v>
      </c>
      <c r="F4064">
        <v>100</v>
      </c>
      <c r="G4064" t="s">
        <v>93</v>
      </c>
      <c r="H4064">
        <v>-85.33</v>
      </c>
      <c r="I4064">
        <v>86</v>
      </c>
      <c r="J4064">
        <v>41.43</v>
      </c>
      <c r="K4064">
        <v>96</v>
      </c>
      <c r="L4064">
        <v>-143.69</v>
      </c>
      <c r="M4064">
        <v>78</v>
      </c>
      <c r="N4064">
        <v>24.11</v>
      </c>
      <c r="O4064">
        <v>84</v>
      </c>
      <c r="P4064">
        <v>-9.34</v>
      </c>
      <c r="Q4064">
        <v>92</v>
      </c>
      <c r="R4064">
        <v>3.48</v>
      </c>
      <c r="S4064">
        <v>79</v>
      </c>
      <c r="T4064">
        <v>20.04</v>
      </c>
      <c r="U4064">
        <v>85</v>
      </c>
      <c r="V4064">
        <v>-21.36</v>
      </c>
      <c r="W4064">
        <v>72</v>
      </c>
      <c r="X4064" t="s">
        <v>94</v>
      </c>
      <c r="Y4064" t="s">
        <v>95</v>
      </c>
      <c r="Z4064" t="s">
        <v>96</v>
      </c>
      <c r="AA4064" t="s">
        <v>714</v>
      </c>
      <c r="AB4064" t="s">
        <v>11602</v>
      </c>
      <c r="AC4064">
        <v>81</v>
      </c>
      <c r="AD4064">
        <v>58</v>
      </c>
      <c r="AE4064">
        <v>96</v>
      </c>
      <c r="AF4064">
        <v>148.9</v>
      </c>
      <c r="AG4064">
        <v>9.85</v>
      </c>
      <c r="AH4064">
        <v>5.84</v>
      </c>
      <c r="AI4064">
        <v>7.0000000000000007E-2</v>
      </c>
      <c r="AJ4064">
        <v>0.01</v>
      </c>
      <c r="AK4064">
        <v>78</v>
      </c>
      <c r="AL4064">
        <v>71</v>
      </c>
      <c r="AM4064">
        <v>54</v>
      </c>
      <c r="AN4064">
        <v>8.5399999999999991</v>
      </c>
      <c r="AO4064">
        <v>-2.91</v>
      </c>
      <c r="AP4064">
        <v>153</v>
      </c>
      <c r="AQ4064">
        <v>0</v>
      </c>
      <c r="AR4064">
        <v>6.13</v>
      </c>
      <c r="AS4064">
        <v>70</v>
      </c>
      <c r="AT4064">
        <v>2.31</v>
      </c>
      <c r="AU4064">
        <v>88</v>
      </c>
      <c r="AV4064">
        <v>-1.86</v>
      </c>
      <c r="AW4064">
        <v>93</v>
      </c>
      <c r="AX4064">
        <v>-0.3</v>
      </c>
      <c r="AY4064">
        <v>79</v>
      </c>
      <c r="AZ4064">
        <v>7.21</v>
      </c>
      <c r="BA4064">
        <v>63</v>
      </c>
      <c r="BB4064">
        <v>5.0599999999999996</v>
      </c>
      <c r="BC4064">
        <v>64</v>
      </c>
      <c r="BD4064">
        <v>-0.03</v>
      </c>
      <c r="BE4064">
        <v>0</v>
      </c>
      <c r="BF4064">
        <v>-0.03</v>
      </c>
      <c r="BG4064">
        <v>88</v>
      </c>
      <c r="BH4064">
        <v>-0.44</v>
      </c>
      <c r="BI4064">
        <v>17.989999999999998</v>
      </c>
      <c r="BJ4064">
        <v>31</v>
      </c>
      <c r="BK4064">
        <v>23</v>
      </c>
      <c r="BL4064">
        <v>-0.33</v>
      </c>
      <c r="BM4064">
        <v>-3.26</v>
      </c>
      <c r="BN4064">
        <v>-1.69</v>
      </c>
      <c r="BO4064">
        <v>0.57999999999999996</v>
      </c>
      <c r="BP4064">
        <v>-0.54</v>
      </c>
      <c r="BQ4064">
        <v>-2</v>
      </c>
      <c r="BR4064">
        <v>1.1000000000000001</v>
      </c>
      <c r="BS4064">
        <v>-0.94</v>
      </c>
      <c r="BT4064">
        <v>-1.67</v>
      </c>
      <c r="BU4064">
        <v>0.35</v>
      </c>
      <c r="BV4064">
        <v>2.0299999999999998</v>
      </c>
      <c r="BW4064">
        <v>0.79</v>
      </c>
      <c r="BX4064">
        <v>0.17</v>
      </c>
      <c r="BY4064">
        <v>-0.98</v>
      </c>
      <c r="BZ4064">
        <v>-1.26</v>
      </c>
      <c r="CA4064">
        <v>-0.09</v>
      </c>
      <c r="CB4064">
        <v>0.54</v>
      </c>
      <c r="CC4064">
        <v>-1.41</v>
      </c>
      <c r="CD4064">
        <v>-1.81</v>
      </c>
      <c r="CE4064">
        <v>0.59</v>
      </c>
      <c r="CF4064">
        <v>-1.45</v>
      </c>
      <c r="CG4064">
        <v>0</v>
      </c>
      <c r="CH4064">
        <v>-0.4</v>
      </c>
      <c r="CI4064">
        <v>0</v>
      </c>
      <c r="CJ4064">
        <v>-4.2</v>
      </c>
      <c r="CK4064">
        <v>93</v>
      </c>
      <c r="CL4064">
        <v>-0.76</v>
      </c>
      <c r="CM4064">
        <v>92</v>
      </c>
      <c r="CN4064">
        <v>-0.54</v>
      </c>
      <c r="CO4064">
        <v>91</v>
      </c>
      <c r="CP4064">
        <v>-13.5</v>
      </c>
      <c r="CQ4064">
        <v>89</v>
      </c>
      <c r="CR4064">
        <v>0</v>
      </c>
      <c r="CS4064">
        <v>0</v>
      </c>
      <c r="CT4064">
        <v>-13.3</v>
      </c>
      <c r="CU4064">
        <v>85</v>
      </c>
      <c r="CV4064">
        <v>0.03</v>
      </c>
      <c r="CW4064">
        <v>44</v>
      </c>
      <c r="CX4064" t="s">
        <v>643</v>
      </c>
    </row>
    <row r="4065" spans="1:102" x14ac:dyDescent="0.3">
      <c r="A4065" t="str">
        <f>HYPERLINK("https://webapp.icbf.com/v2/app/bull-search/view/77855728","LID")</f>
        <v>LID</v>
      </c>
      <c r="B4065" t="s">
        <v>2809</v>
      </c>
      <c r="C4065" t="s">
        <v>2810</v>
      </c>
      <c r="D4065" s="1">
        <v>31472</v>
      </c>
      <c r="E4065" t="s">
        <v>92</v>
      </c>
      <c r="F4065">
        <v>50</v>
      </c>
      <c r="G4065" t="s">
        <v>116</v>
      </c>
      <c r="H4065">
        <v>-85.42</v>
      </c>
      <c r="I4065">
        <v>57</v>
      </c>
      <c r="J4065">
        <v>-63.76</v>
      </c>
      <c r="K4065">
        <v>67</v>
      </c>
      <c r="L4065">
        <v>-23.96</v>
      </c>
      <c r="M4065">
        <v>58</v>
      </c>
      <c r="N4065">
        <v>15.6</v>
      </c>
      <c r="O4065">
        <v>37</v>
      </c>
      <c r="P4065">
        <v>-19.82</v>
      </c>
      <c r="Q4065">
        <v>65</v>
      </c>
      <c r="R4065">
        <v>-2.44</v>
      </c>
      <c r="S4065">
        <v>54</v>
      </c>
      <c r="T4065">
        <v>13.31</v>
      </c>
      <c r="U4065">
        <v>43</v>
      </c>
      <c r="V4065">
        <v>-4.3499999999999996</v>
      </c>
      <c r="W4065">
        <v>28</v>
      </c>
      <c r="X4065" t="s">
        <v>94</v>
      </c>
      <c r="Y4065" t="s">
        <v>95</v>
      </c>
      <c r="Z4065" t="s">
        <v>96</v>
      </c>
      <c r="AA4065" t="s">
        <v>1485</v>
      </c>
      <c r="AB4065" t="s">
        <v>2811</v>
      </c>
      <c r="AC4065">
        <v>9</v>
      </c>
      <c r="AD4065">
        <v>9</v>
      </c>
      <c r="AE4065">
        <v>67</v>
      </c>
      <c r="AF4065">
        <v>-149.11000000000001</v>
      </c>
      <c r="AG4065">
        <v>-9.09</v>
      </c>
      <c r="AH4065">
        <v>-9.91</v>
      </c>
      <c r="AI4065">
        <v>-0.06</v>
      </c>
      <c r="AJ4065">
        <v>-0.08</v>
      </c>
      <c r="AK4065">
        <v>58</v>
      </c>
      <c r="AL4065">
        <v>70</v>
      </c>
      <c r="AM4065">
        <v>49</v>
      </c>
      <c r="AN4065">
        <v>-0.16</v>
      </c>
      <c r="AO4065">
        <v>-2.09</v>
      </c>
      <c r="AP4065">
        <v>6</v>
      </c>
      <c r="AQ4065">
        <v>0</v>
      </c>
      <c r="AR4065">
        <v>4.78</v>
      </c>
      <c r="AS4065">
        <v>29</v>
      </c>
      <c r="AT4065">
        <v>2</v>
      </c>
      <c r="AU4065">
        <v>34</v>
      </c>
      <c r="AV4065">
        <v>-0.02</v>
      </c>
      <c r="AW4065">
        <v>40</v>
      </c>
      <c r="AX4065">
        <v>-0.12</v>
      </c>
      <c r="AY4065">
        <v>54</v>
      </c>
      <c r="AZ4065">
        <v>6.57</v>
      </c>
      <c r="BA4065">
        <v>24</v>
      </c>
      <c r="BB4065">
        <v>4.8899999999999997</v>
      </c>
      <c r="BC4065">
        <v>31</v>
      </c>
      <c r="BD4065">
        <v>0.03</v>
      </c>
      <c r="BE4065">
        <v>0.04</v>
      </c>
      <c r="BF4065">
        <v>-7.0000000000000007E-2</v>
      </c>
      <c r="BG4065">
        <v>73</v>
      </c>
      <c r="BH4065">
        <v>0</v>
      </c>
      <c r="BI4065">
        <v>14.02</v>
      </c>
      <c r="BJ4065">
        <v>10</v>
      </c>
      <c r="BK4065">
        <v>8</v>
      </c>
      <c r="BL4065">
        <v>-1.36</v>
      </c>
      <c r="BM4065">
        <v>0.71</v>
      </c>
      <c r="BN4065">
        <v>-1.45</v>
      </c>
      <c r="BO4065">
        <v>-1.6</v>
      </c>
      <c r="BP4065">
        <v>0.26</v>
      </c>
      <c r="BQ4065">
        <v>0.23</v>
      </c>
      <c r="BR4065">
        <v>0.35</v>
      </c>
      <c r="BS4065">
        <v>-0.02</v>
      </c>
      <c r="BT4065">
        <v>-0.14000000000000001</v>
      </c>
      <c r="BU4065">
        <v>-0.68</v>
      </c>
      <c r="BV4065">
        <v>-1.37</v>
      </c>
      <c r="BW4065">
        <v>-1.1200000000000001</v>
      </c>
      <c r="BX4065">
        <v>-0.17</v>
      </c>
      <c r="BY4065">
        <v>-0.16</v>
      </c>
      <c r="BZ4065">
        <v>-0.6</v>
      </c>
      <c r="CA4065">
        <v>-1.37</v>
      </c>
      <c r="CB4065">
        <v>-1.27</v>
      </c>
      <c r="CC4065">
        <v>-1.08</v>
      </c>
      <c r="CD4065">
        <v>1.35</v>
      </c>
      <c r="CE4065">
        <v>-1.42</v>
      </c>
      <c r="CF4065">
        <v>-1.1200000000000001</v>
      </c>
      <c r="CG4065">
        <v>0</v>
      </c>
      <c r="CH4065">
        <v>-0.61</v>
      </c>
      <c r="CI4065">
        <v>0</v>
      </c>
      <c r="CJ4065">
        <v>-9.9</v>
      </c>
      <c r="CK4065">
        <v>70</v>
      </c>
      <c r="CL4065">
        <v>-0.43</v>
      </c>
      <c r="CM4065">
        <v>61</v>
      </c>
      <c r="CN4065">
        <v>0</v>
      </c>
      <c r="CO4065">
        <v>59</v>
      </c>
      <c r="CP4065">
        <v>-11.5</v>
      </c>
      <c r="CQ4065">
        <v>54</v>
      </c>
      <c r="CR4065">
        <v>0</v>
      </c>
      <c r="CS4065">
        <v>0</v>
      </c>
      <c r="CT4065">
        <v>-4.2</v>
      </c>
      <c r="CU4065">
        <v>43</v>
      </c>
      <c r="CV4065">
        <v>-0.08</v>
      </c>
      <c r="CW4065">
        <v>20</v>
      </c>
      <c r="CX4065" t="s">
        <v>2812</v>
      </c>
    </row>
    <row r="4066" spans="1:102" x14ac:dyDescent="0.3">
      <c r="A4066" t="str">
        <f>HYPERLINK("https://webapp.icbf.com/v2/app/bull-search/view/108367960","CIZ")</f>
        <v>CIZ</v>
      </c>
      <c r="B4066" t="s">
        <v>1612</v>
      </c>
      <c r="C4066" t="s">
        <v>1613</v>
      </c>
      <c r="D4066" s="1">
        <v>35236</v>
      </c>
      <c r="E4066" t="s">
        <v>92</v>
      </c>
      <c r="F4066">
        <v>100</v>
      </c>
      <c r="G4066" t="s">
        <v>93</v>
      </c>
      <c r="H4066">
        <v>-85.48</v>
      </c>
      <c r="I4066">
        <v>93</v>
      </c>
      <c r="J4066">
        <v>1.73</v>
      </c>
      <c r="K4066">
        <v>98</v>
      </c>
      <c r="L4066">
        <v>-57.48</v>
      </c>
      <c r="M4066">
        <v>91</v>
      </c>
      <c r="N4066">
        <v>-14.13</v>
      </c>
      <c r="O4066">
        <v>92</v>
      </c>
      <c r="P4066">
        <v>-0.11</v>
      </c>
      <c r="Q4066">
        <v>96</v>
      </c>
      <c r="R4066">
        <v>-13.61</v>
      </c>
      <c r="S4066">
        <v>86</v>
      </c>
      <c r="T4066">
        <v>7.24</v>
      </c>
      <c r="U4066">
        <v>90</v>
      </c>
      <c r="V4066">
        <v>-9.1199999999999992</v>
      </c>
      <c r="W4066">
        <v>81</v>
      </c>
      <c r="X4066" t="s">
        <v>276</v>
      </c>
      <c r="Y4066" t="s">
        <v>95</v>
      </c>
      <c r="Z4066" t="s">
        <v>96</v>
      </c>
      <c r="AA4066" t="s">
        <v>1106</v>
      </c>
      <c r="AB4066" t="s">
        <v>1614</v>
      </c>
      <c r="AC4066">
        <v>228</v>
      </c>
      <c r="AD4066">
        <v>120</v>
      </c>
      <c r="AE4066">
        <v>98</v>
      </c>
      <c r="AF4066">
        <v>226.12</v>
      </c>
      <c r="AG4066">
        <v>2.5299999999999998</v>
      </c>
      <c r="AH4066">
        <v>2.86</v>
      </c>
      <c r="AI4066">
        <v>-0.11</v>
      </c>
      <c r="AJ4066">
        <v>-0.08</v>
      </c>
      <c r="AK4066">
        <v>91</v>
      </c>
      <c r="AL4066">
        <v>205</v>
      </c>
      <c r="AM4066">
        <v>94</v>
      </c>
      <c r="AN4066">
        <v>2.67</v>
      </c>
      <c r="AO4066">
        <v>-1.92</v>
      </c>
      <c r="AP4066">
        <v>445</v>
      </c>
      <c r="AQ4066">
        <v>2</v>
      </c>
      <c r="AR4066">
        <v>11.17</v>
      </c>
      <c r="AS4066">
        <v>87</v>
      </c>
      <c r="AT4066">
        <v>4.28</v>
      </c>
      <c r="AU4066">
        <v>98</v>
      </c>
      <c r="AV4066">
        <v>-0.91</v>
      </c>
      <c r="AW4066">
        <v>95</v>
      </c>
      <c r="AX4066">
        <v>0.25</v>
      </c>
      <c r="AY4066">
        <v>90</v>
      </c>
      <c r="AZ4066">
        <v>5.64</v>
      </c>
      <c r="BA4066">
        <v>80</v>
      </c>
      <c r="BB4066">
        <v>4.83</v>
      </c>
      <c r="BC4066">
        <v>80</v>
      </c>
      <c r="BD4066">
        <v>0.09</v>
      </c>
      <c r="BE4066">
        <v>7.0000000000000007E-2</v>
      </c>
      <c r="BF4066">
        <v>0.03</v>
      </c>
      <c r="BG4066">
        <v>95</v>
      </c>
      <c r="BH4066">
        <v>-0.18</v>
      </c>
      <c r="BI4066">
        <v>8.61</v>
      </c>
      <c r="BJ4066">
        <v>60</v>
      </c>
      <c r="BK4066">
        <v>31</v>
      </c>
      <c r="BL4066">
        <v>1.01</v>
      </c>
      <c r="BM4066">
        <v>-1.06</v>
      </c>
      <c r="BN4066">
        <v>-0.53</v>
      </c>
      <c r="BO4066">
        <v>0.32</v>
      </c>
      <c r="BP4066">
        <v>-0.13</v>
      </c>
      <c r="BQ4066">
        <v>-0.46</v>
      </c>
      <c r="BR4066">
        <v>0.03</v>
      </c>
      <c r="BS4066">
        <v>0.15</v>
      </c>
      <c r="BT4066">
        <v>0.19</v>
      </c>
      <c r="BU4066">
        <v>0.45</v>
      </c>
      <c r="BV4066">
        <v>0.71</v>
      </c>
      <c r="BW4066">
        <v>0.69</v>
      </c>
      <c r="BX4066">
        <v>0.52</v>
      </c>
      <c r="BY4066">
        <v>-0.74</v>
      </c>
      <c r="BZ4066">
        <v>0.03</v>
      </c>
      <c r="CA4066">
        <v>0.74</v>
      </c>
      <c r="CB4066">
        <v>0.56000000000000005</v>
      </c>
      <c r="CC4066">
        <v>0.49</v>
      </c>
      <c r="CD4066">
        <v>-0.06</v>
      </c>
      <c r="CE4066">
        <v>0.76</v>
      </c>
      <c r="CF4066">
        <v>0.56999999999999995</v>
      </c>
      <c r="CG4066">
        <v>0</v>
      </c>
      <c r="CH4066">
        <v>-0.7</v>
      </c>
      <c r="CI4066">
        <v>0</v>
      </c>
      <c r="CJ4066">
        <v>2.5</v>
      </c>
      <c r="CK4066">
        <v>96</v>
      </c>
      <c r="CL4066">
        <v>-0.81</v>
      </c>
      <c r="CM4066">
        <v>96</v>
      </c>
      <c r="CN4066">
        <v>-0.42</v>
      </c>
      <c r="CO4066">
        <v>95</v>
      </c>
      <c r="CP4066">
        <v>-0.8</v>
      </c>
      <c r="CQ4066">
        <v>95</v>
      </c>
      <c r="CR4066">
        <v>0</v>
      </c>
      <c r="CS4066">
        <v>0</v>
      </c>
      <c r="CT4066">
        <v>4</v>
      </c>
      <c r="CU4066">
        <v>90</v>
      </c>
      <c r="CV4066">
        <v>0.21</v>
      </c>
      <c r="CW4066">
        <v>45</v>
      </c>
      <c r="CX4066" t="s">
        <v>132</v>
      </c>
    </row>
    <row r="4067" spans="1:102" x14ac:dyDescent="0.3">
      <c r="A4067" t="str">
        <f>HYPERLINK("https://webapp.icbf.com/v2/app/bull-search/view/392513843","KFI")</f>
        <v>KFI</v>
      </c>
      <c r="B4067" t="s">
        <v>5155</v>
      </c>
      <c r="C4067" t="s">
        <v>5156</v>
      </c>
      <c r="D4067" s="1">
        <v>38379</v>
      </c>
      <c r="E4067" t="s">
        <v>92</v>
      </c>
      <c r="F4067">
        <v>100</v>
      </c>
      <c r="G4067" t="s">
        <v>93</v>
      </c>
      <c r="H4067">
        <v>-85.53</v>
      </c>
      <c r="I4067">
        <v>88</v>
      </c>
      <c r="J4067">
        <v>47.45</v>
      </c>
      <c r="K4067">
        <v>97</v>
      </c>
      <c r="L4067">
        <v>-151.81</v>
      </c>
      <c r="M4067">
        <v>83</v>
      </c>
      <c r="N4067">
        <v>21.77</v>
      </c>
      <c r="O4067">
        <v>85</v>
      </c>
      <c r="P4067">
        <v>-6.66</v>
      </c>
      <c r="Q4067">
        <v>88</v>
      </c>
      <c r="R4067">
        <v>-0.73</v>
      </c>
      <c r="S4067">
        <v>84</v>
      </c>
      <c r="T4067">
        <v>3.54</v>
      </c>
      <c r="U4067">
        <v>85</v>
      </c>
      <c r="V4067">
        <v>0.91</v>
      </c>
      <c r="W4067">
        <v>81</v>
      </c>
      <c r="X4067" t="s">
        <v>94</v>
      </c>
      <c r="Y4067" t="s">
        <v>1164</v>
      </c>
      <c r="Z4067" t="s">
        <v>96</v>
      </c>
      <c r="AA4067" t="s">
        <v>316</v>
      </c>
      <c r="AB4067" t="s">
        <v>5157</v>
      </c>
      <c r="AC4067">
        <v>71</v>
      </c>
      <c r="AD4067">
        <v>51</v>
      </c>
      <c r="AE4067">
        <v>97</v>
      </c>
      <c r="AF4067">
        <v>391.75</v>
      </c>
      <c r="AG4067">
        <v>12.68</v>
      </c>
      <c r="AH4067">
        <v>9.58</v>
      </c>
      <c r="AI4067">
        <v>-0.04</v>
      </c>
      <c r="AJ4067">
        <v>-0.06</v>
      </c>
      <c r="AK4067">
        <v>83</v>
      </c>
      <c r="AL4067">
        <v>71</v>
      </c>
      <c r="AM4067">
        <v>46</v>
      </c>
      <c r="AN4067">
        <v>8.0399999999999991</v>
      </c>
      <c r="AO4067">
        <v>-4.07</v>
      </c>
      <c r="AP4067">
        <v>139</v>
      </c>
      <c r="AQ4067">
        <v>0</v>
      </c>
      <c r="AR4067">
        <v>6.02</v>
      </c>
      <c r="AS4067">
        <v>73</v>
      </c>
      <c r="AT4067">
        <v>2.8</v>
      </c>
      <c r="AU4067">
        <v>87</v>
      </c>
      <c r="AV4067">
        <v>-2.2000000000000002</v>
      </c>
      <c r="AW4067">
        <v>94</v>
      </c>
      <c r="AX4067">
        <v>-0.54</v>
      </c>
      <c r="AY4067">
        <v>77</v>
      </c>
      <c r="AZ4067">
        <v>6.1</v>
      </c>
      <c r="BA4067">
        <v>68</v>
      </c>
      <c r="BB4067">
        <v>5.81</v>
      </c>
      <c r="BC4067">
        <v>67</v>
      </c>
      <c r="BD4067">
        <v>-0.02</v>
      </c>
      <c r="BE4067">
        <v>0</v>
      </c>
      <c r="BF4067">
        <v>0.05</v>
      </c>
      <c r="BG4067">
        <v>90</v>
      </c>
      <c r="BH4067">
        <v>-0.02</v>
      </c>
      <c r="BI4067">
        <v>-5.26</v>
      </c>
      <c r="BJ4067">
        <v>34</v>
      </c>
      <c r="BK4067">
        <v>27</v>
      </c>
      <c r="BL4067">
        <v>0.22</v>
      </c>
      <c r="BM4067">
        <v>2.36</v>
      </c>
      <c r="BN4067">
        <v>1.57</v>
      </c>
      <c r="BO4067">
        <v>-0.28999999999999998</v>
      </c>
      <c r="BP4067">
        <v>-1.55</v>
      </c>
      <c r="BQ4067">
        <v>0.99</v>
      </c>
      <c r="BR4067">
        <v>-2.2999999999999998</v>
      </c>
      <c r="BS4067">
        <v>-0.09</v>
      </c>
      <c r="BT4067">
        <v>1.62</v>
      </c>
      <c r="BU4067">
        <v>0.27</v>
      </c>
      <c r="BV4067">
        <v>-0.42</v>
      </c>
      <c r="BW4067">
        <v>-0.63</v>
      </c>
      <c r="BX4067">
        <v>1.04</v>
      </c>
      <c r="BY4067">
        <v>-2.1</v>
      </c>
      <c r="BZ4067">
        <v>-0.79</v>
      </c>
      <c r="CA4067">
        <v>-0.2</v>
      </c>
      <c r="CB4067">
        <v>-0.24</v>
      </c>
      <c r="CC4067">
        <v>0.13</v>
      </c>
      <c r="CD4067">
        <v>1.54</v>
      </c>
      <c r="CE4067">
        <v>-0.22</v>
      </c>
      <c r="CF4067">
        <v>0.92</v>
      </c>
      <c r="CG4067">
        <v>0</v>
      </c>
      <c r="CH4067">
        <v>-1.89</v>
      </c>
      <c r="CI4067">
        <v>0</v>
      </c>
      <c r="CJ4067">
        <v>0</v>
      </c>
      <c r="CK4067">
        <v>89</v>
      </c>
      <c r="CL4067">
        <v>-0.76</v>
      </c>
      <c r="CM4067">
        <v>87</v>
      </c>
      <c r="CN4067">
        <v>-0.11</v>
      </c>
      <c r="CO4067">
        <v>85</v>
      </c>
      <c r="CP4067">
        <v>-0.7</v>
      </c>
      <c r="CQ4067">
        <v>88</v>
      </c>
      <c r="CR4067">
        <v>0</v>
      </c>
      <c r="CS4067">
        <v>0</v>
      </c>
      <c r="CT4067">
        <v>9</v>
      </c>
      <c r="CU4067">
        <v>85</v>
      </c>
      <c r="CV4067">
        <v>0.23</v>
      </c>
      <c r="CW4067">
        <v>46</v>
      </c>
      <c r="CX4067" t="s">
        <v>2743</v>
      </c>
    </row>
    <row r="4068" spans="1:102" x14ac:dyDescent="0.3">
      <c r="A4068" t="str">
        <f>HYPERLINK("https://webapp.icbf.com/v2/app/bull-search/view/77857006","HMA")</f>
        <v>HMA</v>
      </c>
      <c r="B4068" t="s">
        <v>3373</v>
      </c>
      <c r="C4068" t="s">
        <v>3374</v>
      </c>
      <c r="D4068" s="1">
        <v>34190</v>
      </c>
      <c r="E4068" t="s">
        <v>92</v>
      </c>
      <c r="F4068">
        <v>97</v>
      </c>
      <c r="G4068" t="s">
        <v>93</v>
      </c>
      <c r="H4068">
        <v>-85.95</v>
      </c>
      <c r="I4068">
        <v>86</v>
      </c>
      <c r="J4068">
        <v>32.04</v>
      </c>
      <c r="K4068">
        <v>98</v>
      </c>
      <c r="L4068">
        <v>-116.51</v>
      </c>
      <c r="M4068">
        <v>80</v>
      </c>
      <c r="N4068">
        <v>-1.0900000000000001</v>
      </c>
      <c r="O4068">
        <v>77</v>
      </c>
      <c r="P4068">
        <v>-7.93</v>
      </c>
      <c r="Q4068">
        <v>93</v>
      </c>
      <c r="R4068">
        <v>-9.26</v>
      </c>
      <c r="S4068">
        <v>77</v>
      </c>
      <c r="T4068">
        <v>18.27</v>
      </c>
      <c r="U4068">
        <v>85</v>
      </c>
      <c r="V4068">
        <v>-1.47</v>
      </c>
      <c r="W4068">
        <v>52</v>
      </c>
      <c r="X4068" t="s">
        <v>102</v>
      </c>
      <c r="Y4068" t="s">
        <v>95</v>
      </c>
      <c r="Z4068" t="s">
        <v>96</v>
      </c>
      <c r="AA4068" t="s">
        <v>999</v>
      </c>
      <c r="AB4068" t="s">
        <v>3208</v>
      </c>
      <c r="AC4068">
        <v>218</v>
      </c>
      <c r="AD4068">
        <v>135</v>
      </c>
      <c r="AE4068">
        <v>98</v>
      </c>
      <c r="AF4068">
        <v>183.47</v>
      </c>
      <c r="AG4068">
        <v>14.92</v>
      </c>
      <c r="AH4068">
        <v>2.98</v>
      </c>
      <c r="AI4068">
        <v>0.12</v>
      </c>
      <c r="AJ4068">
        <v>-0.05</v>
      </c>
      <c r="AK4068">
        <v>80</v>
      </c>
      <c r="AL4068">
        <v>311</v>
      </c>
      <c r="AM4068">
        <v>190</v>
      </c>
      <c r="AN4068">
        <v>6.49</v>
      </c>
      <c r="AO4068">
        <v>-2.8</v>
      </c>
      <c r="AP4068">
        <v>25</v>
      </c>
      <c r="AQ4068">
        <v>0</v>
      </c>
      <c r="AR4068">
        <v>8.92</v>
      </c>
      <c r="AS4068">
        <v>51</v>
      </c>
      <c r="AT4068">
        <v>3.47</v>
      </c>
      <c r="AU4068">
        <v>77</v>
      </c>
      <c r="AV4068">
        <v>-0.84</v>
      </c>
      <c r="AW4068">
        <v>82</v>
      </c>
      <c r="AX4068">
        <v>-0.34</v>
      </c>
      <c r="AY4068">
        <v>90</v>
      </c>
      <c r="AZ4068">
        <v>6.65</v>
      </c>
      <c r="BA4068">
        <v>53</v>
      </c>
      <c r="BB4068">
        <v>5.3</v>
      </c>
      <c r="BC4068">
        <v>73</v>
      </c>
      <c r="BD4068">
        <v>0.03</v>
      </c>
      <c r="BE4068">
        <v>7.0000000000000007E-2</v>
      </c>
      <c r="BF4068">
        <v>0.03</v>
      </c>
      <c r="BG4068">
        <v>94</v>
      </c>
      <c r="BH4068">
        <v>0</v>
      </c>
      <c r="BI4068">
        <v>4.75</v>
      </c>
      <c r="BJ4068">
        <v>33</v>
      </c>
      <c r="BK4068">
        <v>22</v>
      </c>
      <c r="BL4068">
        <v>-0.91</v>
      </c>
      <c r="BM4068">
        <v>-0.5</v>
      </c>
      <c r="BN4068">
        <v>-0.85</v>
      </c>
      <c r="BO4068">
        <v>-0.59</v>
      </c>
      <c r="BP4068">
        <v>0.62</v>
      </c>
      <c r="BQ4068">
        <v>-1.48</v>
      </c>
      <c r="BR4068">
        <v>-0.64</v>
      </c>
      <c r="BS4068">
        <v>-0.56999999999999995</v>
      </c>
      <c r="BT4068">
        <v>0.56999999999999995</v>
      </c>
      <c r="BU4068">
        <v>-1.94</v>
      </c>
      <c r="BV4068">
        <v>-0.39</v>
      </c>
      <c r="BW4068">
        <v>-0.19</v>
      </c>
      <c r="BX4068">
        <v>-0.7</v>
      </c>
      <c r="BY4068">
        <v>-2.14</v>
      </c>
      <c r="BZ4068">
        <v>0.2</v>
      </c>
      <c r="CA4068">
        <v>-1.05</v>
      </c>
      <c r="CB4068">
        <v>-1.04</v>
      </c>
      <c r="CC4068">
        <v>-0.55000000000000004</v>
      </c>
      <c r="CD4068">
        <v>-0.05</v>
      </c>
      <c r="CE4068">
        <v>-0.49</v>
      </c>
      <c r="CF4068">
        <v>-1.59</v>
      </c>
      <c r="CG4068">
        <v>0</v>
      </c>
      <c r="CH4068">
        <v>-0.6</v>
      </c>
      <c r="CI4068">
        <v>0</v>
      </c>
      <c r="CJ4068">
        <v>1.3</v>
      </c>
      <c r="CK4068">
        <v>94</v>
      </c>
      <c r="CL4068">
        <v>-0.44</v>
      </c>
      <c r="CM4068">
        <v>92</v>
      </c>
      <c r="CN4068">
        <v>0.28000000000000003</v>
      </c>
      <c r="CO4068">
        <v>91</v>
      </c>
      <c r="CP4068">
        <v>-12.7</v>
      </c>
      <c r="CQ4068">
        <v>95</v>
      </c>
      <c r="CR4068">
        <v>0</v>
      </c>
      <c r="CS4068">
        <v>0</v>
      </c>
      <c r="CT4068">
        <v>-10.9</v>
      </c>
      <c r="CU4068">
        <v>85</v>
      </c>
      <c r="CV4068">
        <v>0.26</v>
      </c>
      <c r="CW4068">
        <v>28</v>
      </c>
      <c r="CX4068" t="s">
        <v>3209</v>
      </c>
    </row>
    <row r="4069" spans="1:102" x14ac:dyDescent="0.3">
      <c r="A4069" t="str">
        <f>HYPERLINK("https://webapp.icbf.com/v2/app/bull-search/view/77860135","CAW")</f>
        <v>CAW</v>
      </c>
      <c r="B4069" t="s">
        <v>803</v>
      </c>
      <c r="C4069" t="s">
        <v>804</v>
      </c>
      <c r="D4069" s="1">
        <v>31532</v>
      </c>
      <c r="E4069" t="s">
        <v>92</v>
      </c>
      <c r="F4069">
        <v>100</v>
      </c>
      <c r="G4069" t="s">
        <v>93</v>
      </c>
      <c r="H4069">
        <v>-86.07</v>
      </c>
      <c r="I4069">
        <v>92</v>
      </c>
      <c r="J4069">
        <v>-11.53</v>
      </c>
      <c r="K4069">
        <v>98</v>
      </c>
      <c r="L4069">
        <v>-99.37</v>
      </c>
      <c r="M4069">
        <v>93</v>
      </c>
      <c r="N4069">
        <v>23.78</v>
      </c>
      <c r="O4069">
        <v>84</v>
      </c>
      <c r="P4069">
        <v>-10.45</v>
      </c>
      <c r="Q4069">
        <v>91</v>
      </c>
      <c r="R4069">
        <v>2.1</v>
      </c>
      <c r="S4069">
        <v>85</v>
      </c>
      <c r="T4069">
        <v>14.94</v>
      </c>
      <c r="U4069">
        <v>86</v>
      </c>
      <c r="V4069">
        <v>-5.54</v>
      </c>
      <c r="W4069">
        <v>71</v>
      </c>
      <c r="X4069" t="s">
        <v>110</v>
      </c>
      <c r="Y4069" t="s">
        <v>95</v>
      </c>
      <c r="Z4069" t="s">
        <v>96</v>
      </c>
      <c r="AA4069" t="s">
        <v>707</v>
      </c>
      <c r="AB4069" t="s">
        <v>805</v>
      </c>
      <c r="AC4069">
        <v>322</v>
      </c>
      <c r="AD4069">
        <v>146</v>
      </c>
      <c r="AE4069">
        <v>98</v>
      </c>
      <c r="AF4069">
        <v>209.36</v>
      </c>
      <c r="AG4069">
        <v>2.16</v>
      </c>
      <c r="AH4069">
        <v>0.48</v>
      </c>
      <c r="AI4069">
        <v>-0.1</v>
      </c>
      <c r="AJ4069">
        <v>-0.11</v>
      </c>
      <c r="AK4069">
        <v>93</v>
      </c>
      <c r="AL4069">
        <v>504</v>
      </c>
      <c r="AM4069">
        <v>176</v>
      </c>
      <c r="AN4069">
        <v>6.56</v>
      </c>
      <c r="AO4069">
        <v>-1.35</v>
      </c>
      <c r="AP4069">
        <v>2</v>
      </c>
      <c r="AQ4069">
        <v>0</v>
      </c>
      <c r="AR4069">
        <v>4.78</v>
      </c>
      <c r="AS4069">
        <v>68</v>
      </c>
      <c r="AT4069">
        <v>2.08</v>
      </c>
      <c r="AU4069">
        <v>87</v>
      </c>
      <c r="AV4069">
        <v>-1.52</v>
      </c>
      <c r="AW4069">
        <v>86</v>
      </c>
      <c r="AX4069">
        <v>-0.35</v>
      </c>
      <c r="AY4069">
        <v>90</v>
      </c>
      <c r="AZ4069">
        <v>6.9</v>
      </c>
      <c r="BA4069">
        <v>65</v>
      </c>
      <c r="BB4069">
        <v>5.53</v>
      </c>
      <c r="BC4069">
        <v>79</v>
      </c>
      <c r="BD4069">
        <v>-0.02</v>
      </c>
      <c r="BE4069">
        <v>0.05</v>
      </c>
      <c r="BF4069">
        <v>-0.11</v>
      </c>
      <c r="BG4069">
        <v>97</v>
      </c>
      <c r="BH4069">
        <v>-0.12</v>
      </c>
      <c r="BI4069">
        <v>3.98</v>
      </c>
      <c r="BJ4069">
        <v>58</v>
      </c>
      <c r="BK4069">
        <v>24</v>
      </c>
      <c r="BL4069">
        <v>-0.81</v>
      </c>
      <c r="BM4069">
        <v>-0.51</v>
      </c>
      <c r="BN4069">
        <v>-0.19</v>
      </c>
      <c r="BO4069">
        <v>-0.31</v>
      </c>
      <c r="BP4069">
        <v>-1.05</v>
      </c>
      <c r="BQ4069">
        <v>-2.2000000000000002</v>
      </c>
      <c r="BR4069">
        <v>0.73</v>
      </c>
      <c r="BS4069">
        <v>-0.24</v>
      </c>
      <c r="BT4069">
        <v>-0.92</v>
      </c>
      <c r="BU4069">
        <v>-0.45</v>
      </c>
      <c r="BV4069">
        <v>-1.18</v>
      </c>
      <c r="BW4069">
        <v>-0.52</v>
      </c>
      <c r="BX4069">
        <v>-1.25</v>
      </c>
      <c r="BY4069">
        <v>1.03</v>
      </c>
      <c r="BZ4069">
        <v>-0.64</v>
      </c>
      <c r="CA4069">
        <v>-0.75</v>
      </c>
      <c r="CB4069">
        <v>-0.59</v>
      </c>
      <c r="CC4069">
        <v>-0.73</v>
      </c>
      <c r="CD4069">
        <v>-0.19</v>
      </c>
      <c r="CE4069">
        <v>0.18</v>
      </c>
      <c r="CF4069">
        <v>-1.08</v>
      </c>
      <c r="CG4069">
        <v>0</v>
      </c>
      <c r="CH4069">
        <v>0.83</v>
      </c>
      <c r="CI4069">
        <v>0</v>
      </c>
      <c r="CJ4069">
        <v>-4.8</v>
      </c>
      <c r="CK4069">
        <v>91</v>
      </c>
      <c r="CL4069">
        <v>-0.53</v>
      </c>
      <c r="CM4069">
        <v>90</v>
      </c>
      <c r="CN4069">
        <v>-0.27</v>
      </c>
      <c r="CO4069">
        <v>88</v>
      </c>
      <c r="CP4069">
        <v>-10.1</v>
      </c>
      <c r="CQ4069">
        <v>94</v>
      </c>
      <c r="CR4069">
        <v>0</v>
      </c>
      <c r="CS4069">
        <v>0</v>
      </c>
      <c r="CT4069">
        <v>-6.4</v>
      </c>
      <c r="CU4069">
        <v>86</v>
      </c>
      <c r="CV4069">
        <v>0.08</v>
      </c>
      <c r="CW4069">
        <v>44</v>
      </c>
      <c r="CX4069" t="s">
        <v>806</v>
      </c>
    </row>
    <row r="4070" spans="1:102" x14ac:dyDescent="0.3">
      <c r="A4070" t="str">
        <f>HYPERLINK("https://webapp.icbf.com/v2/app/bull-search/view/124414829","KNC")</f>
        <v>KNC</v>
      </c>
      <c r="B4070" t="s">
        <v>4639</v>
      </c>
      <c r="C4070" t="s">
        <v>4640</v>
      </c>
      <c r="D4070" s="1">
        <v>33053</v>
      </c>
      <c r="E4070" t="s">
        <v>92</v>
      </c>
      <c r="F4070">
        <v>100</v>
      </c>
      <c r="G4070" t="s">
        <v>93</v>
      </c>
      <c r="H4070">
        <v>-86.08</v>
      </c>
      <c r="I4070">
        <v>95</v>
      </c>
      <c r="J4070">
        <v>-18.64</v>
      </c>
      <c r="K4070">
        <v>99</v>
      </c>
      <c r="L4070">
        <v>-76.87</v>
      </c>
      <c r="M4070">
        <v>93</v>
      </c>
      <c r="N4070">
        <v>8.14</v>
      </c>
      <c r="O4070">
        <v>94</v>
      </c>
      <c r="P4070">
        <v>-2.77</v>
      </c>
      <c r="Q4070">
        <v>98</v>
      </c>
      <c r="R4070">
        <v>2.5499999999999998</v>
      </c>
      <c r="S4070">
        <v>90</v>
      </c>
      <c r="T4070">
        <v>2.2799999999999998</v>
      </c>
      <c r="U4070">
        <v>96</v>
      </c>
      <c r="V4070">
        <v>-0.77</v>
      </c>
      <c r="W4070">
        <v>87</v>
      </c>
      <c r="X4070" t="s">
        <v>110</v>
      </c>
      <c r="Y4070" t="s">
        <v>95</v>
      </c>
      <c r="Z4070" t="s">
        <v>96</v>
      </c>
      <c r="AA4070" t="s">
        <v>111</v>
      </c>
      <c r="AB4070" t="s">
        <v>4641</v>
      </c>
      <c r="AC4070">
        <v>670</v>
      </c>
      <c r="AD4070">
        <v>336</v>
      </c>
      <c r="AE4070">
        <v>99</v>
      </c>
      <c r="AF4070">
        <v>173.86</v>
      </c>
      <c r="AG4070">
        <v>-4.55</v>
      </c>
      <c r="AH4070">
        <v>1.1000000000000001</v>
      </c>
      <c r="AI4070">
        <v>-0.19</v>
      </c>
      <c r="AJ4070">
        <v>-0.08</v>
      </c>
      <c r="AK4070">
        <v>93</v>
      </c>
      <c r="AL4070">
        <v>666</v>
      </c>
      <c r="AM4070">
        <v>308</v>
      </c>
      <c r="AN4070">
        <v>4.99</v>
      </c>
      <c r="AO4070">
        <v>-1.1299999999999999</v>
      </c>
      <c r="AP4070">
        <v>268</v>
      </c>
      <c r="AQ4070">
        <v>1</v>
      </c>
      <c r="AR4070">
        <v>5.87</v>
      </c>
      <c r="AS4070">
        <v>90</v>
      </c>
      <c r="AT4070">
        <v>2.66</v>
      </c>
      <c r="AU4070">
        <v>95</v>
      </c>
      <c r="AV4070">
        <v>-0.89</v>
      </c>
      <c r="AW4070">
        <v>96</v>
      </c>
      <c r="AX4070">
        <v>-0.33</v>
      </c>
      <c r="AY4070">
        <v>96</v>
      </c>
      <c r="AZ4070">
        <v>8.3000000000000007</v>
      </c>
      <c r="BA4070">
        <v>88</v>
      </c>
      <c r="BB4070">
        <v>5.88</v>
      </c>
      <c r="BC4070">
        <v>91</v>
      </c>
      <c r="BD4070">
        <v>-0.01</v>
      </c>
      <c r="BE4070">
        <v>0.02</v>
      </c>
      <c r="BF4070">
        <v>-0.08</v>
      </c>
      <c r="BG4070">
        <v>97</v>
      </c>
      <c r="BH4070">
        <v>0.08</v>
      </c>
      <c r="BI4070">
        <v>11.74</v>
      </c>
      <c r="BJ4070">
        <v>85</v>
      </c>
      <c r="BK4070">
        <v>52</v>
      </c>
      <c r="BL4070">
        <v>0.78</v>
      </c>
      <c r="BM4070">
        <v>1.22</v>
      </c>
      <c r="BN4070">
        <v>1.83</v>
      </c>
      <c r="BO4070">
        <v>0.68</v>
      </c>
      <c r="BP4070">
        <v>1.19</v>
      </c>
      <c r="BQ4070">
        <v>1.34</v>
      </c>
      <c r="BR4070">
        <v>1.64</v>
      </c>
      <c r="BS4070">
        <v>-0.73</v>
      </c>
      <c r="BT4070">
        <v>-1.86</v>
      </c>
      <c r="BU4070">
        <v>0.96</v>
      </c>
      <c r="BV4070">
        <v>0.9</v>
      </c>
      <c r="BW4070">
        <v>0.66</v>
      </c>
      <c r="BX4070">
        <v>0.13</v>
      </c>
      <c r="BY4070">
        <v>7.0000000000000007E-2</v>
      </c>
      <c r="BZ4070">
        <v>2.77</v>
      </c>
      <c r="CA4070">
        <v>0.32</v>
      </c>
      <c r="CB4070">
        <v>0.7</v>
      </c>
      <c r="CC4070">
        <v>-0.51</v>
      </c>
      <c r="CD4070">
        <v>0.27</v>
      </c>
      <c r="CE4070">
        <v>0.28999999999999998</v>
      </c>
      <c r="CF4070">
        <v>0.86</v>
      </c>
      <c r="CG4070">
        <v>0</v>
      </c>
      <c r="CH4070">
        <v>0.12</v>
      </c>
      <c r="CI4070">
        <v>0</v>
      </c>
      <c r="CJ4070">
        <v>-0.1</v>
      </c>
      <c r="CK4070">
        <v>98</v>
      </c>
      <c r="CL4070">
        <v>-0.72</v>
      </c>
      <c r="CM4070">
        <v>98</v>
      </c>
      <c r="CN4070">
        <v>-0.38</v>
      </c>
      <c r="CO4070">
        <v>97</v>
      </c>
      <c r="CP4070">
        <v>2.2999999999999998</v>
      </c>
      <c r="CQ4070">
        <v>98</v>
      </c>
      <c r="CR4070">
        <v>0</v>
      </c>
      <c r="CS4070">
        <v>0</v>
      </c>
      <c r="CT4070">
        <v>10.7</v>
      </c>
      <c r="CU4070">
        <v>96</v>
      </c>
      <c r="CV4070">
        <v>0.14000000000000001</v>
      </c>
      <c r="CW4070">
        <v>46</v>
      </c>
      <c r="CX4070" t="s">
        <v>543</v>
      </c>
    </row>
    <row r="4071" spans="1:102" x14ac:dyDescent="0.3">
      <c r="A4071" t="str">
        <f>HYPERLINK("https://webapp.icbf.com/v2/app/bull-search/view/120577490","MUE")</f>
        <v>MUE</v>
      </c>
      <c r="B4071" t="s">
        <v>9978</v>
      </c>
      <c r="C4071" t="s">
        <v>9979</v>
      </c>
      <c r="D4071" s="1">
        <v>35339</v>
      </c>
      <c r="E4071" t="s">
        <v>92</v>
      </c>
      <c r="F4071">
        <v>100</v>
      </c>
      <c r="G4071" t="s">
        <v>93</v>
      </c>
      <c r="H4071">
        <v>-86.1</v>
      </c>
      <c r="I4071">
        <v>96</v>
      </c>
      <c r="J4071">
        <v>48.66</v>
      </c>
      <c r="K4071">
        <v>99</v>
      </c>
      <c r="L4071">
        <v>-106.63</v>
      </c>
      <c r="M4071">
        <v>92</v>
      </c>
      <c r="N4071">
        <v>-13.8</v>
      </c>
      <c r="O4071">
        <v>96</v>
      </c>
      <c r="P4071">
        <v>-5.3</v>
      </c>
      <c r="Q4071">
        <v>99</v>
      </c>
      <c r="R4071">
        <v>-15.4</v>
      </c>
      <c r="S4071">
        <v>92</v>
      </c>
      <c r="T4071">
        <v>4.8</v>
      </c>
      <c r="U4071">
        <v>96</v>
      </c>
      <c r="V4071">
        <v>1.57</v>
      </c>
      <c r="W4071">
        <v>91</v>
      </c>
      <c r="X4071" t="s">
        <v>94</v>
      </c>
      <c r="Y4071" t="s">
        <v>95</v>
      </c>
      <c r="Z4071" t="s">
        <v>96</v>
      </c>
      <c r="AA4071" t="s">
        <v>218</v>
      </c>
      <c r="AB4071" t="s">
        <v>9980</v>
      </c>
      <c r="AC4071">
        <v>467</v>
      </c>
      <c r="AD4071">
        <v>224</v>
      </c>
      <c r="AE4071">
        <v>99</v>
      </c>
      <c r="AF4071">
        <v>256.13</v>
      </c>
      <c r="AG4071">
        <v>5.64</v>
      </c>
      <c r="AH4071">
        <v>10.199999999999999</v>
      </c>
      <c r="AI4071">
        <v>-7.0000000000000007E-2</v>
      </c>
      <c r="AJ4071">
        <v>0.03</v>
      </c>
      <c r="AK4071">
        <v>92</v>
      </c>
      <c r="AL4071">
        <v>471</v>
      </c>
      <c r="AM4071">
        <v>230</v>
      </c>
      <c r="AN4071">
        <v>4.57</v>
      </c>
      <c r="AO4071">
        <v>-3.95</v>
      </c>
      <c r="AP4071">
        <v>857</v>
      </c>
      <c r="AQ4071">
        <v>2</v>
      </c>
      <c r="AR4071">
        <v>10.77</v>
      </c>
      <c r="AS4071">
        <v>91</v>
      </c>
      <c r="AT4071">
        <v>4.5199999999999996</v>
      </c>
      <c r="AU4071">
        <v>97</v>
      </c>
      <c r="AV4071">
        <v>-0.85</v>
      </c>
      <c r="AW4071">
        <v>98</v>
      </c>
      <c r="AX4071">
        <v>0.18</v>
      </c>
      <c r="AY4071">
        <v>95</v>
      </c>
      <c r="AZ4071">
        <v>5.61</v>
      </c>
      <c r="BA4071">
        <v>88</v>
      </c>
      <c r="BB4071">
        <v>4.37</v>
      </c>
      <c r="BC4071">
        <v>89</v>
      </c>
      <c r="BD4071">
        <v>0.06</v>
      </c>
      <c r="BE4071">
        <v>0.06</v>
      </c>
      <c r="BF4071">
        <v>0.14000000000000001</v>
      </c>
      <c r="BG4071">
        <v>97</v>
      </c>
      <c r="BH4071">
        <v>0.15</v>
      </c>
      <c r="BI4071">
        <v>12.3</v>
      </c>
      <c r="BJ4071">
        <v>60</v>
      </c>
      <c r="BK4071">
        <v>40</v>
      </c>
      <c r="BL4071">
        <v>0.67</v>
      </c>
      <c r="BM4071">
        <v>-0.06</v>
      </c>
      <c r="BN4071">
        <v>0.39</v>
      </c>
      <c r="BO4071">
        <v>0.82</v>
      </c>
      <c r="BP4071">
        <v>-0.13</v>
      </c>
      <c r="BQ4071">
        <v>1.74</v>
      </c>
      <c r="BR4071">
        <v>1.93</v>
      </c>
      <c r="BS4071">
        <v>-1.07</v>
      </c>
      <c r="BT4071">
        <v>-0.13</v>
      </c>
      <c r="BU4071">
        <v>1.04</v>
      </c>
      <c r="BV4071">
        <v>1.29</v>
      </c>
      <c r="BW4071">
        <v>0.24</v>
      </c>
      <c r="BX4071">
        <v>0.26</v>
      </c>
      <c r="BY4071">
        <v>2.2200000000000002</v>
      </c>
      <c r="BZ4071">
        <v>-1.33</v>
      </c>
      <c r="CA4071">
        <v>1.1200000000000001</v>
      </c>
      <c r="CB4071">
        <v>1.83</v>
      </c>
      <c r="CC4071">
        <v>-0.57999999999999996</v>
      </c>
      <c r="CD4071">
        <v>-0.87</v>
      </c>
      <c r="CE4071">
        <v>0.96</v>
      </c>
      <c r="CF4071">
        <v>0.43</v>
      </c>
      <c r="CG4071">
        <v>0</v>
      </c>
      <c r="CH4071">
        <v>2.78</v>
      </c>
      <c r="CI4071">
        <v>0</v>
      </c>
      <c r="CJ4071">
        <v>0.7</v>
      </c>
      <c r="CK4071">
        <v>99</v>
      </c>
      <c r="CL4071">
        <v>-0.8</v>
      </c>
      <c r="CM4071">
        <v>98</v>
      </c>
      <c r="CN4071">
        <v>-0.23</v>
      </c>
      <c r="CO4071">
        <v>98</v>
      </c>
      <c r="CP4071">
        <v>-4.7</v>
      </c>
      <c r="CQ4071">
        <v>98</v>
      </c>
      <c r="CR4071">
        <v>0</v>
      </c>
      <c r="CS4071">
        <v>0</v>
      </c>
      <c r="CT4071">
        <v>7.3</v>
      </c>
      <c r="CU4071">
        <v>96</v>
      </c>
      <c r="CV4071">
        <v>0.19</v>
      </c>
      <c r="CW4071">
        <v>46</v>
      </c>
      <c r="CX4071" t="s">
        <v>485</v>
      </c>
    </row>
    <row r="4072" spans="1:102" x14ac:dyDescent="0.3">
      <c r="A4072" t="str">
        <f>HYPERLINK("https://webapp.icbf.com/v2/app/bull-search/view/69091396","CVG")</f>
        <v>CVG</v>
      </c>
      <c r="B4072" t="s">
        <v>3496</v>
      </c>
      <c r="C4072" t="s">
        <v>3497</v>
      </c>
      <c r="D4072" s="1">
        <v>34349</v>
      </c>
      <c r="E4072" t="s">
        <v>92</v>
      </c>
      <c r="F4072">
        <v>100</v>
      </c>
      <c r="G4072" t="s">
        <v>116</v>
      </c>
      <c r="H4072">
        <v>-86.17</v>
      </c>
      <c r="I4072">
        <v>46</v>
      </c>
      <c r="J4072">
        <v>-29</v>
      </c>
      <c r="K4072">
        <v>58</v>
      </c>
      <c r="L4072">
        <v>-64.64</v>
      </c>
      <c r="M4072">
        <v>39</v>
      </c>
      <c r="N4072">
        <v>6.09</v>
      </c>
      <c r="O4072">
        <v>37</v>
      </c>
      <c r="P4072">
        <v>-13.18</v>
      </c>
      <c r="Q4072">
        <v>55</v>
      </c>
      <c r="R4072">
        <v>0.46</v>
      </c>
      <c r="S4072">
        <v>42</v>
      </c>
      <c r="T4072">
        <v>17.079999999999998</v>
      </c>
      <c r="U4072">
        <v>42</v>
      </c>
      <c r="V4072">
        <v>-2.98</v>
      </c>
      <c r="W4072">
        <v>27</v>
      </c>
      <c r="X4072" t="s">
        <v>110</v>
      </c>
      <c r="Y4072" t="s">
        <v>95</v>
      </c>
      <c r="Z4072" t="s">
        <v>96</v>
      </c>
      <c r="AA4072" t="s">
        <v>132</v>
      </c>
      <c r="AB4072" t="s">
        <v>144</v>
      </c>
      <c r="AC4072">
        <v>7</v>
      </c>
      <c r="AD4072">
        <v>2</v>
      </c>
      <c r="AE4072">
        <v>58</v>
      </c>
      <c r="AF4072">
        <v>53.79</v>
      </c>
      <c r="AG4072">
        <v>-4.18</v>
      </c>
      <c r="AH4072">
        <v>-2.63</v>
      </c>
      <c r="AI4072">
        <v>-0.1</v>
      </c>
      <c r="AJ4072">
        <v>-7.0000000000000007E-2</v>
      </c>
      <c r="AK4072">
        <v>39</v>
      </c>
      <c r="AL4072">
        <v>10</v>
      </c>
      <c r="AM4072">
        <v>3</v>
      </c>
      <c r="AN4072">
        <v>3.92</v>
      </c>
      <c r="AO4072">
        <v>-1.23</v>
      </c>
      <c r="AP4072">
        <v>8</v>
      </c>
      <c r="AQ4072">
        <v>0</v>
      </c>
      <c r="AR4072">
        <v>7.36</v>
      </c>
      <c r="AS4072">
        <v>36</v>
      </c>
      <c r="AT4072">
        <v>3.35</v>
      </c>
      <c r="AU4072">
        <v>35</v>
      </c>
      <c r="AV4072">
        <v>-1.01</v>
      </c>
      <c r="AW4072">
        <v>39</v>
      </c>
      <c r="AX4072">
        <v>-0.22</v>
      </c>
      <c r="AY4072">
        <v>52</v>
      </c>
      <c r="AZ4072">
        <v>6.5</v>
      </c>
      <c r="BA4072">
        <v>28</v>
      </c>
      <c r="BB4072">
        <v>5.22</v>
      </c>
      <c r="BC4072">
        <v>30</v>
      </c>
      <c r="BD4072">
        <v>0.02</v>
      </c>
      <c r="BE4072">
        <v>0.04</v>
      </c>
      <c r="BF4072">
        <v>-0.12</v>
      </c>
      <c r="BG4072">
        <v>49</v>
      </c>
      <c r="BH4072">
        <v>-0.03</v>
      </c>
      <c r="BI4072">
        <v>6.15</v>
      </c>
      <c r="BJ4072">
        <v>3</v>
      </c>
      <c r="BK4072">
        <v>1</v>
      </c>
      <c r="BL4072">
        <v>0.88</v>
      </c>
      <c r="BM4072">
        <v>0.37</v>
      </c>
      <c r="BN4072">
        <v>1.1599999999999999</v>
      </c>
      <c r="BO4072">
        <v>0.5</v>
      </c>
      <c r="BP4072">
        <v>-1.21</v>
      </c>
      <c r="BQ4072">
        <v>-7.0000000000000007E-2</v>
      </c>
      <c r="BR4072">
        <v>-0.9</v>
      </c>
      <c r="BS4072">
        <v>1.57</v>
      </c>
      <c r="BT4072">
        <v>0.99</v>
      </c>
      <c r="BU4072">
        <v>0.38</v>
      </c>
      <c r="BV4072">
        <v>0.53</v>
      </c>
      <c r="BW4072">
        <v>0.45</v>
      </c>
      <c r="BX4072">
        <v>0.52</v>
      </c>
      <c r="BY4072">
        <v>0.2</v>
      </c>
      <c r="BZ4072">
        <v>0.2</v>
      </c>
      <c r="CA4072">
        <v>0.99</v>
      </c>
      <c r="CB4072">
        <v>0.39</v>
      </c>
      <c r="CC4072">
        <v>1.76</v>
      </c>
      <c r="CD4072">
        <v>-0.09</v>
      </c>
      <c r="CE4072">
        <v>0.56000000000000005</v>
      </c>
      <c r="CF4072">
        <v>1.1200000000000001</v>
      </c>
      <c r="CG4072">
        <v>0</v>
      </c>
      <c r="CH4072">
        <v>0.11</v>
      </c>
      <c r="CI4072">
        <v>0</v>
      </c>
      <c r="CJ4072">
        <v>-4.5</v>
      </c>
      <c r="CK4072">
        <v>57</v>
      </c>
      <c r="CL4072">
        <v>-0.44</v>
      </c>
      <c r="CM4072">
        <v>54</v>
      </c>
      <c r="CN4072">
        <v>0.09</v>
      </c>
      <c r="CO4072">
        <v>50</v>
      </c>
      <c r="CP4072">
        <v>-9.1999999999999993</v>
      </c>
      <c r="CQ4072">
        <v>55</v>
      </c>
      <c r="CR4072">
        <v>0</v>
      </c>
      <c r="CS4072">
        <v>0</v>
      </c>
      <c r="CT4072">
        <v>-9.3000000000000007</v>
      </c>
      <c r="CU4072">
        <v>42</v>
      </c>
      <c r="CV4072">
        <v>0.04</v>
      </c>
      <c r="CW4072">
        <v>16</v>
      </c>
      <c r="CX4072" t="s">
        <v>111</v>
      </c>
    </row>
    <row r="4073" spans="1:102" x14ac:dyDescent="0.3">
      <c r="A4073" t="str">
        <f>HYPERLINK("https://webapp.icbf.com/v2/app/bull-search/view/77856490","KHM")</f>
        <v>KHM</v>
      </c>
      <c r="B4073" t="s">
        <v>2793</v>
      </c>
      <c r="C4073" t="s">
        <v>2794</v>
      </c>
      <c r="D4073" s="1">
        <v>33862</v>
      </c>
      <c r="E4073" t="s">
        <v>92</v>
      </c>
      <c r="F4073">
        <v>100</v>
      </c>
      <c r="G4073" t="s">
        <v>93</v>
      </c>
      <c r="H4073">
        <v>-86.32</v>
      </c>
      <c r="I4073">
        <v>94</v>
      </c>
      <c r="J4073">
        <v>16.23</v>
      </c>
      <c r="K4073">
        <v>99</v>
      </c>
      <c r="L4073">
        <v>-94.94</v>
      </c>
      <c r="M4073">
        <v>90</v>
      </c>
      <c r="N4073">
        <v>-10.79</v>
      </c>
      <c r="O4073">
        <v>93</v>
      </c>
      <c r="P4073">
        <v>-2.19</v>
      </c>
      <c r="Q4073">
        <v>98</v>
      </c>
      <c r="R4073">
        <v>-1.9</v>
      </c>
      <c r="S4073">
        <v>89</v>
      </c>
      <c r="T4073">
        <v>4.5</v>
      </c>
      <c r="U4073">
        <v>96</v>
      </c>
      <c r="V4073">
        <v>2.77</v>
      </c>
      <c r="W4073">
        <v>84</v>
      </c>
      <c r="X4073" t="s">
        <v>94</v>
      </c>
      <c r="Y4073" t="s">
        <v>95</v>
      </c>
      <c r="Z4073" t="s">
        <v>96</v>
      </c>
      <c r="AA4073" t="s">
        <v>485</v>
      </c>
      <c r="AB4073" t="s">
        <v>2795</v>
      </c>
      <c r="AC4073">
        <v>489</v>
      </c>
      <c r="AD4073">
        <v>315</v>
      </c>
      <c r="AE4073">
        <v>99</v>
      </c>
      <c r="AF4073">
        <v>296.92</v>
      </c>
      <c r="AG4073">
        <v>-0.44</v>
      </c>
      <c r="AH4073">
        <v>7.46</v>
      </c>
      <c r="AI4073">
        <v>-0.2</v>
      </c>
      <c r="AJ4073">
        <v>-0.04</v>
      </c>
      <c r="AK4073">
        <v>90</v>
      </c>
      <c r="AL4073">
        <v>611</v>
      </c>
      <c r="AM4073">
        <v>382</v>
      </c>
      <c r="AN4073">
        <v>6.06</v>
      </c>
      <c r="AO4073">
        <v>-1.5</v>
      </c>
      <c r="AP4073">
        <v>287</v>
      </c>
      <c r="AQ4073">
        <v>0</v>
      </c>
      <c r="AR4073">
        <v>9.44</v>
      </c>
      <c r="AS4073">
        <v>82</v>
      </c>
      <c r="AT4073">
        <v>4.3899999999999997</v>
      </c>
      <c r="AU4073">
        <v>94</v>
      </c>
      <c r="AV4073">
        <v>-0.71</v>
      </c>
      <c r="AW4073">
        <v>97</v>
      </c>
      <c r="AX4073">
        <v>-0.09</v>
      </c>
      <c r="AY4073">
        <v>95</v>
      </c>
      <c r="AZ4073">
        <v>6.42</v>
      </c>
      <c r="BA4073">
        <v>80</v>
      </c>
      <c r="BB4073">
        <v>4.72</v>
      </c>
      <c r="BC4073">
        <v>89</v>
      </c>
      <c r="BD4073">
        <v>0.01</v>
      </c>
      <c r="BE4073">
        <v>0.03</v>
      </c>
      <c r="BF4073">
        <v>-0.03</v>
      </c>
      <c r="BG4073">
        <v>97</v>
      </c>
      <c r="BH4073">
        <v>0.18</v>
      </c>
      <c r="BI4073">
        <v>11.88</v>
      </c>
      <c r="BJ4073">
        <v>68</v>
      </c>
      <c r="BK4073">
        <v>47</v>
      </c>
      <c r="BL4073">
        <v>0.34</v>
      </c>
      <c r="BM4073">
        <v>2.35</v>
      </c>
      <c r="BN4073">
        <v>1.24</v>
      </c>
      <c r="BO4073">
        <v>-0.23</v>
      </c>
      <c r="BP4073">
        <v>-0.28000000000000003</v>
      </c>
      <c r="BQ4073">
        <v>1.25</v>
      </c>
      <c r="BR4073">
        <v>0.86</v>
      </c>
      <c r="BS4073">
        <v>-0.38</v>
      </c>
      <c r="BT4073">
        <v>0.46</v>
      </c>
      <c r="BU4073">
        <v>0.25</v>
      </c>
      <c r="BV4073">
        <v>0.87</v>
      </c>
      <c r="BW4073">
        <v>-0.01</v>
      </c>
      <c r="BX4073">
        <v>-1.0900000000000001</v>
      </c>
      <c r="BY4073">
        <v>-0.46</v>
      </c>
      <c r="BZ4073">
        <v>1.32</v>
      </c>
      <c r="CA4073">
        <v>0.63</v>
      </c>
      <c r="CB4073">
        <v>0.89</v>
      </c>
      <c r="CC4073">
        <v>0.1</v>
      </c>
      <c r="CD4073">
        <v>1.41</v>
      </c>
      <c r="CE4073">
        <v>0.1</v>
      </c>
      <c r="CF4073">
        <v>0.67</v>
      </c>
      <c r="CG4073">
        <v>0</v>
      </c>
      <c r="CH4073">
        <v>-0.56000000000000005</v>
      </c>
      <c r="CI4073">
        <v>0</v>
      </c>
      <c r="CJ4073">
        <v>-0.1</v>
      </c>
      <c r="CK4073">
        <v>98</v>
      </c>
      <c r="CL4073">
        <v>-0.54</v>
      </c>
      <c r="CM4073">
        <v>98</v>
      </c>
      <c r="CN4073">
        <v>-0.28000000000000003</v>
      </c>
      <c r="CO4073">
        <v>97</v>
      </c>
      <c r="CP4073">
        <v>1.6</v>
      </c>
      <c r="CQ4073">
        <v>98</v>
      </c>
      <c r="CR4073">
        <v>0</v>
      </c>
      <c r="CS4073">
        <v>0</v>
      </c>
      <c r="CT4073">
        <v>7.7</v>
      </c>
      <c r="CU4073">
        <v>96</v>
      </c>
      <c r="CV4073">
        <v>0.02</v>
      </c>
      <c r="CW4073">
        <v>46</v>
      </c>
      <c r="CX4073" t="s">
        <v>111</v>
      </c>
    </row>
    <row r="4074" spans="1:102" x14ac:dyDescent="0.3">
      <c r="A4074" t="str">
        <f>HYPERLINK("https://webapp.icbf.com/v2/app/bull-search/view/108372546","HDI")</f>
        <v>HDI</v>
      </c>
      <c r="B4074" t="s">
        <v>144</v>
      </c>
      <c r="C4074" t="s">
        <v>4062</v>
      </c>
      <c r="D4074" s="1">
        <v>34722</v>
      </c>
      <c r="E4074" t="s">
        <v>895</v>
      </c>
      <c r="F4074">
        <v>0</v>
      </c>
      <c r="G4074" t="s">
        <v>93</v>
      </c>
      <c r="H4074">
        <v>-86.32</v>
      </c>
      <c r="I4074">
        <v>49</v>
      </c>
      <c r="J4074">
        <v>-36.08</v>
      </c>
      <c r="K4074">
        <v>75</v>
      </c>
      <c r="L4074">
        <v>-46.4</v>
      </c>
      <c r="M4074">
        <v>27</v>
      </c>
      <c r="N4074">
        <v>-12.58</v>
      </c>
      <c r="O4074">
        <v>47</v>
      </c>
      <c r="P4074">
        <v>-9.3000000000000007</v>
      </c>
      <c r="Q4074">
        <v>67</v>
      </c>
      <c r="R4074">
        <v>3.52</v>
      </c>
      <c r="S4074">
        <v>33</v>
      </c>
      <c r="T4074">
        <v>20.41</v>
      </c>
      <c r="U4074">
        <v>52</v>
      </c>
      <c r="V4074">
        <v>-5.89</v>
      </c>
      <c r="W4074">
        <v>4</v>
      </c>
      <c r="X4074" t="s">
        <v>747</v>
      </c>
      <c r="Y4074" t="s">
        <v>95</v>
      </c>
      <c r="Z4074">
        <v>0</v>
      </c>
      <c r="AA4074" t="s">
        <v>4063</v>
      </c>
      <c r="AB4074" t="s">
        <v>1285</v>
      </c>
      <c r="AC4074">
        <v>14</v>
      </c>
      <c r="AD4074">
        <v>8</v>
      </c>
      <c r="AE4074">
        <v>75</v>
      </c>
      <c r="AF4074">
        <v>-190.83</v>
      </c>
      <c r="AG4074">
        <v>-12.29</v>
      </c>
      <c r="AH4074">
        <v>-4.71</v>
      </c>
      <c r="AI4074">
        <v>-0.08</v>
      </c>
      <c r="AJ4074">
        <v>0.03</v>
      </c>
      <c r="AK4074">
        <v>27</v>
      </c>
      <c r="AL4074">
        <v>17</v>
      </c>
      <c r="AM4074">
        <v>10</v>
      </c>
      <c r="AN4074">
        <v>3.32</v>
      </c>
      <c r="AO4074">
        <v>-0.37</v>
      </c>
      <c r="AP4074">
        <v>33</v>
      </c>
      <c r="AQ4074">
        <v>0</v>
      </c>
      <c r="AR4074">
        <v>7.57</v>
      </c>
      <c r="AS4074">
        <v>38</v>
      </c>
      <c r="AT4074">
        <v>3.73</v>
      </c>
      <c r="AU4074">
        <v>38</v>
      </c>
      <c r="AV4074">
        <v>1.24</v>
      </c>
      <c r="AW4074">
        <v>67</v>
      </c>
      <c r="AX4074">
        <v>1</v>
      </c>
      <c r="AY4074">
        <v>46</v>
      </c>
      <c r="AZ4074">
        <v>5.05</v>
      </c>
      <c r="BA4074">
        <v>16</v>
      </c>
      <c r="BB4074">
        <v>4.28</v>
      </c>
      <c r="BC4074">
        <v>15</v>
      </c>
      <c r="BD4074">
        <v>0</v>
      </c>
      <c r="BE4074">
        <v>0.01</v>
      </c>
      <c r="BF4074">
        <v>-0.1</v>
      </c>
      <c r="BG4074">
        <v>42</v>
      </c>
      <c r="BH4074">
        <v>-0.16</v>
      </c>
      <c r="BI4074">
        <v>0.49</v>
      </c>
      <c r="BJ4074">
        <v>0</v>
      </c>
      <c r="BK4074">
        <v>0</v>
      </c>
      <c r="BL4074">
        <v>0</v>
      </c>
      <c r="BM4074">
        <v>0</v>
      </c>
      <c r="BN4074">
        <v>0</v>
      </c>
      <c r="BO4074">
        <v>0</v>
      </c>
      <c r="BP4074">
        <v>0</v>
      </c>
      <c r="BQ4074">
        <v>0</v>
      </c>
      <c r="BR4074">
        <v>0</v>
      </c>
      <c r="BS4074">
        <v>0</v>
      </c>
      <c r="BT4074">
        <v>0</v>
      </c>
      <c r="BU4074">
        <v>0</v>
      </c>
      <c r="BV4074">
        <v>0</v>
      </c>
      <c r="BW4074">
        <v>0</v>
      </c>
      <c r="BX4074">
        <v>0</v>
      </c>
      <c r="BY4074">
        <v>0</v>
      </c>
      <c r="BZ4074">
        <v>0</v>
      </c>
      <c r="CA4074">
        <v>0</v>
      </c>
      <c r="CB4074">
        <v>0</v>
      </c>
      <c r="CC4074">
        <v>0</v>
      </c>
      <c r="CD4074">
        <v>0</v>
      </c>
      <c r="CE4074">
        <v>0</v>
      </c>
      <c r="CF4074">
        <v>0</v>
      </c>
      <c r="CG4074">
        <v>0</v>
      </c>
      <c r="CH4074">
        <v>0</v>
      </c>
      <c r="CI4074">
        <v>0</v>
      </c>
      <c r="CJ4074">
        <v>-5.0999999999999996</v>
      </c>
      <c r="CK4074">
        <v>70</v>
      </c>
      <c r="CL4074">
        <v>-0.42</v>
      </c>
      <c r="CM4074">
        <v>65</v>
      </c>
      <c r="CN4074">
        <v>-0.28999999999999998</v>
      </c>
      <c r="CO4074">
        <v>61</v>
      </c>
      <c r="CP4074">
        <v>-8.8000000000000007</v>
      </c>
      <c r="CQ4074">
        <v>57</v>
      </c>
      <c r="CR4074">
        <v>0</v>
      </c>
      <c r="CS4074">
        <v>0</v>
      </c>
      <c r="CT4074">
        <v>-13.8</v>
      </c>
      <c r="CU4074">
        <v>52</v>
      </c>
      <c r="CV4074">
        <v>-0.08</v>
      </c>
      <c r="CW4074">
        <v>18</v>
      </c>
      <c r="CX4074">
        <v>0</v>
      </c>
    </row>
    <row r="4075" spans="1:102" x14ac:dyDescent="0.3">
      <c r="A4075" t="str">
        <f>HYPERLINK("https://webapp.icbf.com/v2/app/bull-search/view/69092440","QGA")</f>
        <v>QGA</v>
      </c>
      <c r="B4075" t="s">
        <v>5141</v>
      </c>
      <c r="C4075" t="s">
        <v>5142</v>
      </c>
      <c r="D4075" s="1">
        <v>34861</v>
      </c>
      <c r="E4075" t="s">
        <v>92</v>
      </c>
      <c r="F4075">
        <v>100</v>
      </c>
      <c r="G4075" t="s">
        <v>116</v>
      </c>
      <c r="H4075">
        <v>-86.41</v>
      </c>
      <c r="I4075">
        <v>31</v>
      </c>
      <c r="J4075">
        <v>20.170000000000002</v>
      </c>
      <c r="K4075">
        <v>33</v>
      </c>
      <c r="L4075">
        <v>-91.7</v>
      </c>
      <c r="M4075">
        <v>29</v>
      </c>
      <c r="N4075">
        <v>-3.09</v>
      </c>
      <c r="O4075">
        <v>30</v>
      </c>
      <c r="P4075">
        <v>-6.26</v>
      </c>
      <c r="Q4075">
        <v>33</v>
      </c>
      <c r="R4075">
        <v>-14.93</v>
      </c>
      <c r="S4075">
        <v>31</v>
      </c>
      <c r="T4075">
        <v>12.57</v>
      </c>
      <c r="U4075">
        <v>31</v>
      </c>
      <c r="V4075">
        <v>-3.17</v>
      </c>
      <c r="W4075">
        <v>28</v>
      </c>
      <c r="X4075" t="s">
        <v>94</v>
      </c>
      <c r="Y4075" t="s">
        <v>1499</v>
      </c>
      <c r="Z4075">
        <v>0</v>
      </c>
      <c r="AA4075" t="s">
        <v>954</v>
      </c>
      <c r="AB4075" t="s">
        <v>5143</v>
      </c>
      <c r="AC4075">
        <v>0</v>
      </c>
      <c r="AD4075">
        <v>0</v>
      </c>
      <c r="AE4075">
        <v>33</v>
      </c>
      <c r="AF4075">
        <v>147.81</v>
      </c>
      <c r="AG4075">
        <v>4.25</v>
      </c>
      <c r="AH4075">
        <v>4.1900000000000004</v>
      </c>
      <c r="AI4075">
        <v>-0.02</v>
      </c>
      <c r="AJ4075">
        <v>-0.01</v>
      </c>
      <c r="AK4075">
        <v>29</v>
      </c>
      <c r="AL4075">
        <v>2</v>
      </c>
      <c r="AM4075">
        <v>2</v>
      </c>
      <c r="AN4075">
        <v>5.22</v>
      </c>
      <c r="AO4075">
        <v>-2.09</v>
      </c>
      <c r="AP4075">
        <v>1</v>
      </c>
      <c r="AQ4075">
        <v>0</v>
      </c>
      <c r="AR4075">
        <v>8.8800000000000008</v>
      </c>
      <c r="AS4075">
        <v>26</v>
      </c>
      <c r="AT4075">
        <v>3.83</v>
      </c>
      <c r="AU4075">
        <v>31</v>
      </c>
      <c r="AV4075">
        <v>-0.38</v>
      </c>
      <c r="AW4075">
        <v>30</v>
      </c>
      <c r="AX4075">
        <v>-0.37</v>
      </c>
      <c r="AY4075">
        <v>32</v>
      </c>
      <c r="AZ4075">
        <v>5.73</v>
      </c>
      <c r="BA4075">
        <v>26</v>
      </c>
      <c r="BB4075">
        <v>4.53</v>
      </c>
      <c r="BC4075">
        <v>28</v>
      </c>
      <c r="BD4075">
        <v>0.05</v>
      </c>
      <c r="BE4075">
        <v>0.1</v>
      </c>
      <c r="BF4075">
        <v>7.0000000000000007E-2</v>
      </c>
      <c r="BG4075">
        <v>34</v>
      </c>
      <c r="BH4075">
        <v>0.02</v>
      </c>
      <c r="BI4075">
        <v>12.53</v>
      </c>
      <c r="BJ4075">
        <v>0</v>
      </c>
      <c r="BK4075">
        <v>0</v>
      </c>
      <c r="BL4075">
        <v>-0.15</v>
      </c>
      <c r="BM4075">
        <v>0.47</v>
      </c>
      <c r="BN4075">
        <v>0.09</v>
      </c>
      <c r="BO4075">
        <v>-7.0000000000000007E-2</v>
      </c>
      <c r="BP4075">
        <v>0.74</v>
      </c>
      <c r="BQ4075">
        <v>-0.82</v>
      </c>
      <c r="BR4075">
        <v>0.83</v>
      </c>
      <c r="BS4075">
        <v>-1.75</v>
      </c>
      <c r="BT4075">
        <v>-1.1399999999999999</v>
      </c>
      <c r="BU4075">
        <v>-0.75</v>
      </c>
      <c r="BV4075">
        <v>0.16</v>
      </c>
      <c r="BW4075">
        <v>-0.15</v>
      </c>
      <c r="BX4075">
        <v>-1.5</v>
      </c>
      <c r="BY4075">
        <v>0.38</v>
      </c>
      <c r="BZ4075">
        <v>-0.04</v>
      </c>
      <c r="CA4075">
        <v>-0.47</v>
      </c>
      <c r="CB4075">
        <v>0.17</v>
      </c>
      <c r="CC4075">
        <v>-1.55</v>
      </c>
      <c r="CD4075">
        <v>0.37</v>
      </c>
      <c r="CE4075">
        <v>-0.01</v>
      </c>
      <c r="CF4075">
        <v>-0.4</v>
      </c>
      <c r="CG4075">
        <v>0</v>
      </c>
      <c r="CH4075">
        <v>0.51</v>
      </c>
      <c r="CI4075">
        <v>0</v>
      </c>
      <c r="CJ4075">
        <v>-1.6</v>
      </c>
      <c r="CK4075">
        <v>33</v>
      </c>
      <c r="CL4075">
        <v>-0.45</v>
      </c>
      <c r="CM4075">
        <v>32</v>
      </c>
      <c r="CN4075">
        <v>-0.14000000000000001</v>
      </c>
      <c r="CO4075">
        <v>31</v>
      </c>
      <c r="CP4075">
        <v>-7</v>
      </c>
      <c r="CQ4075">
        <v>34</v>
      </c>
      <c r="CR4075">
        <v>0</v>
      </c>
      <c r="CS4075">
        <v>0</v>
      </c>
      <c r="CT4075">
        <v>-3.2</v>
      </c>
      <c r="CU4075">
        <v>31</v>
      </c>
      <c r="CV4075">
        <v>7.0000000000000007E-2</v>
      </c>
      <c r="CW4075">
        <v>10</v>
      </c>
      <c r="CX4075" t="s">
        <v>485</v>
      </c>
    </row>
    <row r="4076" spans="1:102" x14ac:dyDescent="0.3">
      <c r="A4076" t="str">
        <f>HYPERLINK("https://webapp.icbf.com/v2/app/bull-search/view/77857939","FMK")</f>
        <v>FMK</v>
      </c>
      <c r="B4076" t="s">
        <v>15009</v>
      </c>
      <c r="C4076" t="s">
        <v>15010</v>
      </c>
      <c r="D4076" s="1">
        <v>33057</v>
      </c>
      <c r="E4076" t="s">
        <v>92</v>
      </c>
      <c r="F4076">
        <v>100</v>
      </c>
      <c r="G4076" t="s">
        <v>93</v>
      </c>
      <c r="H4076">
        <v>-86.56</v>
      </c>
      <c r="I4076">
        <v>85</v>
      </c>
      <c r="J4076">
        <v>25.97</v>
      </c>
      <c r="K4076">
        <v>97</v>
      </c>
      <c r="L4076">
        <v>-109.84</v>
      </c>
      <c r="M4076">
        <v>87</v>
      </c>
      <c r="N4076">
        <v>9.01</v>
      </c>
      <c r="O4076">
        <v>74</v>
      </c>
      <c r="P4076">
        <v>-17.989999999999998</v>
      </c>
      <c r="Q4076">
        <v>84</v>
      </c>
      <c r="R4076">
        <v>-16.190000000000001</v>
      </c>
      <c r="S4076">
        <v>72</v>
      </c>
      <c r="T4076">
        <v>20.78</v>
      </c>
      <c r="U4076">
        <v>76</v>
      </c>
      <c r="V4076">
        <v>1.7</v>
      </c>
      <c r="W4076">
        <v>35</v>
      </c>
      <c r="X4076" t="s">
        <v>110</v>
      </c>
      <c r="Y4076" t="s">
        <v>95</v>
      </c>
      <c r="Z4076" t="s">
        <v>96</v>
      </c>
      <c r="AA4076" t="s">
        <v>2615</v>
      </c>
      <c r="AB4076" t="s">
        <v>3623</v>
      </c>
      <c r="AC4076">
        <v>153</v>
      </c>
      <c r="AD4076">
        <v>91</v>
      </c>
      <c r="AE4076">
        <v>97</v>
      </c>
      <c r="AF4076">
        <v>230.29</v>
      </c>
      <c r="AG4076">
        <v>1.87</v>
      </c>
      <c r="AH4076">
        <v>7.28</v>
      </c>
      <c r="AI4076">
        <v>-0.11</v>
      </c>
      <c r="AJ4076">
        <v>-0.01</v>
      </c>
      <c r="AK4076">
        <v>87</v>
      </c>
      <c r="AL4076">
        <v>146</v>
      </c>
      <c r="AM4076">
        <v>82</v>
      </c>
      <c r="AN4076">
        <v>6.72</v>
      </c>
      <c r="AO4076">
        <v>-2.0299999999999998</v>
      </c>
      <c r="AP4076">
        <v>3</v>
      </c>
      <c r="AQ4076">
        <v>0</v>
      </c>
      <c r="AR4076">
        <v>6.22</v>
      </c>
      <c r="AS4076">
        <v>43</v>
      </c>
      <c r="AT4076">
        <v>2.73</v>
      </c>
      <c r="AU4076">
        <v>88</v>
      </c>
      <c r="AV4076">
        <v>-0.82</v>
      </c>
      <c r="AW4076">
        <v>74</v>
      </c>
      <c r="AX4076">
        <v>-0.35</v>
      </c>
      <c r="AY4076">
        <v>82</v>
      </c>
      <c r="AZ4076">
        <v>7.79</v>
      </c>
      <c r="BA4076">
        <v>44</v>
      </c>
      <c r="BB4076">
        <v>5.57</v>
      </c>
      <c r="BC4076">
        <v>65</v>
      </c>
      <c r="BD4076">
        <v>0.05</v>
      </c>
      <c r="BE4076">
        <v>0.11</v>
      </c>
      <c r="BF4076">
        <v>0.08</v>
      </c>
      <c r="BG4076">
        <v>90</v>
      </c>
      <c r="BH4076">
        <v>0.1</v>
      </c>
      <c r="BI4076">
        <v>6.07</v>
      </c>
      <c r="BJ4076">
        <v>19</v>
      </c>
      <c r="BK4076">
        <v>11</v>
      </c>
      <c r="BL4076">
        <v>-0.13</v>
      </c>
      <c r="BM4076">
        <v>-0.1</v>
      </c>
      <c r="BN4076">
        <v>-0.1</v>
      </c>
      <c r="BO4076">
        <v>-0.09</v>
      </c>
      <c r="BP4076">
        <v>-0.16</v>
      </c>
      <c r="BQ4076">
        <v>0.74</v>
      </c>
      <c r="BR4076">
        <v>1.93</v>
      </c>
      <c r="BS4076">
        <v>-3.16</v>
      </c>
      <c r="BT4076">
        <v>-3.73</v>
      </c>
      <c r="BU4076">
        <v>-1.04</v>
      </c>
      <c r="BV4076">
        <v>0</v>
      </c>
      <c r="BW4076">
        <v>1.0900000000000001</v>
      </c>
      <c r="BX4076">
        <v>-0.4</v>
      </c>
      <c r="BY4076">
        <v>0.34</v>
      </c>
      <c r="BZ4076">
        <v>-2.48</v>
      </c>
      <c r="CA4076">
        <v>-1.34</v>
      </c>
      <c r="CB4076">
        <v>-0.39</v>
      </c>
      <c r="CC4076">
        <v>-2.61</v>
      </c>
      <c r="CD4076">
        <v>-0.2</v>
      </c>
      <c r="CE4076">
        <v>-0.43</v>
      </c>
      <c r="CF4076">
        <v>-0.12</v>
      </c>
      <c r="CG4076">
        <v>0</v>
      </c>
      <c r="CH4076">
        <v>0.31</v>
      </c>
      <c r="CI4076">
        <v>0</v>
      </c>
      <c r="CJ4076">
        <v>-8.3000000000000007</v>
      </c>
      <c r="CK4076">
        <v>85</v>
      </c>
      <c r="CL4076">
        <v>-0.8</v>
      </c>
      <c r="CM4076">
        <v>82</v>
      </c>
      <c r="CN4076">
        <v>-0.24</v>
      </c>
      <c r="CO4076">
        <v>80</v>
      </c>
      <c r="CP4076">
        <v>-7.3</v>
      </c>
      <c r="CQ4076">
        <v>91</v>
      </c>
      <c r="CR4076">
        <v>0</v>
      </c>
      <c r="CS4076">
        <v>0</v>
      </c>
      <c r="CT4076">
        <v>-14.3</v>
      </c>
      <c r="CU4076">
        <v>76</v>
      </c>
      <c r="CV4076">
        <v>0.12</v>
      </c>
      <c r="CW4076">
        <v>23</v>
      </c>
      <c r="CX4076" t="s">
        <v>543</v>
      </c>
    </row>
    <row r="4077" spans="1:102" x14ac:dyDescent="0.3">
      <c r="A4077" t="str">
        <f>HYPERLINK("https://webapp.icbf.com/v2/app/bull-search/view/77857438","FUR")</f>
        <v>FUR</v>
      </c>
      <c r="B4077" t="s">
        <v>3385</v>
      </c>
      <c r="C4077" t="s">
        <v>3386</v>
      </c>
      <c r="D4077" s="1">
        <v>33133</v>
      </c>
      <c r="E4077" t="s">
        <v>92</v>
      </c>
      <c r="F4077">
        <v>100</v>
      </c>
      <c r="G4077" t="s">
        <v>93</v>
      </c>
      <c r="H4077">
        <v>-86.63</v>
      </c>
      <c r="I4077">
        <v>92</v>
      </c>
      <c r="J4077">
        <v>-8.7899999999999991</v>
      </c>
      <c r="K4077">
        <v>98</v>
      </c>
      <c r="L4077">
        <v>-56.8</v>
      </c>
      <c r="M4077">
        <v>92</v>
      </c>
      <c r="N4077">
        <v>-16.55</v>
      </c>
      <c r="O4077">
        <v>85</v>
      </c>
      <c r="P4077">
        <v>-4.84</v>
      </c>
      <c r="Q4077">
        <v>91</v>
      </c>
      <c r="R4077">
        <v>2.12</v>
      </c>
      <c r="S4077">
        <v>85</v>
      </c>
      <c r="T4077">
        <v>3.39</v>
      </c>
      <c r="U4077">
        <v>89</v>
      </c>
      <c r="V4077">
        <v>-5.16</v>
      </c>
      <c r="W4077">
        <v>72</v>
      </c>
      <c r="X4077" t="s">
        <v>110</v>
      </c>
      <c r="Y4077" t="s">
        <v>95</v>
      </c>
      <c r="Z4077" t="s">
        <v>96</v>
      </c>
      <c r="AA4077" t="s">
        <v>111</v>
      </c>
      <c r="AB4077" t="s">
        <v>3387</v>
      </c>
      <c r="AC4077">
        <v>285</v>
      </c>
      <c r="AD4077">
        <v>131</v>
      </c>
      <c r="AE4077">
        <v>98</v>
      </c>
      <c r="AF4077">
        <v>133.35</v>
      </c>
      <c r="AG4077">
        <v>1.91</v>
      </c>
      <c r="AH4077">
        <v>-0.13</v>
      </c>
      <c r="AI4077">
        <v>-0.06</v>
      </c>
      <c r="AJ4077">
        <v>-0.08</v>
      </c>
      <c r="AK4077">
        <v>92</v>
      </c>
      <c r="AL4077">
        <v>294</v>
      </c>
      <c r="AM4077">
        <v>128</v>
      </c>
      <c r="AN4077">
        <v>3.09</v>
      </c>
      <c r="AO4077">
        <v>-1.44</v>
      </c>
      <c r="AP4077">
        <v>8</v>
      </c>
      <c r="AQ4077">
        <v>0</v>
      </c>
      <c r="AR4077">
        <v>11.45</v>
      </c>
      <c r="AS4077">
        <v>73</v>
      </c>
      <c r="AT4077">
        <v>4.68</v>
      </c>
      <c r="AU4077">
        <v>91</v>
      </c>
      <c r="AV4077">
        <v>-0.93</v>
      </c>
      <c r="AW4077">
        <v>86</v>
      </c>
      <c r="AX4077">
        <v>-0.28000000000000003</v>
      </c>
      <c r="AY4077">
        <v>90</v>
      </c>
      <c r="AZ4077">
        <v>5.59</v>
      </c>
      <c r="BA4077">
        <v>70</v>
      </c>
      <c r="BB4077">
        <v>4.42</v>
      </c>
      <c r="BC4077">
        <v>81</v>
      </c>
      <c r="BD4077">
        <v>0.02</v>
      </c>
      <c r="BE4077">
        <v>0.02</v>
      </c>
      <c r="BF4077">
        <v>-0.12</v>
      </c>
      <c r="BG4077">
        <v>95</v>
      </c>
      <c r="BH4077">
        <v>-0.1</v>
      </c>
      <c r="BI4077">
        <v>5.09</v>
      </c>
      <c r="BJ4077">
        <v>52</v>
      </c>
      <c r="BK4077">
        <v>20</v>
      </c>
      <c r="BL4077">
        <v>1.02</v>
      </c>
      <c r="BM4077">
        <v>-0.08</v>
      </c>
      <c r="BN4077">
        <v>1.31</v>
      </c>
      <c r="BO4077">
        <v>1.1399999999999999</v>
      </c>
      <c r="BP4077">
        <v>2.27</v>
      </c>
      <c r="BQ4077">
        <v>2.29</v>
      </c>
      <c r="BR4077">
        <v>2.33</v>
      </c>
      <c r="BS4077">
        <v>0.4</v>
      </c>
      <c r="BT4077">
        <v>-1.38</v>
      </c>
      <c r="BU4077">
        <v>-0.08</v>
      </c>
      <c r="BV4077">
        <v>-0.39</v>
      </c>
      <c r="BW4077">
        <v>1.4</v>
      </c>
      <c r="BX4077">
        <v>0.28000000000000003</v>
      </c>
      <c r="BY4077">
        <v>-0.24</v>
      </c>
      <c r="BZ4077">
        <v>0.24</v>
      </c>
      <c r="CA4077">
        <v>0.57999999999999996</v>
      </c>
      <c r="CB4077">
        <v>0.19</v>
      </c>
      <c r="CC4077">
        <v>1.37</v>
      </c>
      <c r="CD4077">
        <v>-0.95</v>
      </c>
      <c r="CE4077">
        <v>1.05</v>
      </c>
      <c r="CF4077">
        <v>1.1000000000000001</v>
      </c>
      <c r="CG4077">
        <v>0</v>
      </c>
      <c r="CH4077">
        <v>-0.1</v>
      </c>
      <c r="CI4077">
        <v>0</v>
      </c>
      <c r="CJ4077">
        <v>-0.5</v>
      </c>
      <c r="CK4077">
        <v>91</v>
      </c>
      <c r="CL4077">
        <v>-0.91</v>
      </c>
      <c r="CM4077">
        <v>90</v>
      </c>
      <c r="CN4077">
        <v>-0.43</v>
      </c>
      <c r="CO4077">
        <v>88</v>
      </c>
      <c r="CP4077">
        <v>1.4</v>
      </c>
      <c r="CQ4077">
        <v>95</v>
      </c>
      <c r="CR4077">
        <v>0</v>
      </c>
      <c r="CS4077">
        <v>0</v>
      </c>
      <c r="CT4077">
        <v>9.1999999999999993</v>
      </c>
      <c r="CU4077">
        <v>89</v>
      </c>
      <c r="CV4077">
        <v>0.13</v>
      </c>
      <c r="CW4077">
        <v>44</v>
      </c>
      <c r="CX4077" t="s">
        <v>543</v>
      </c>
    </row>
    <row r="4078" spans="1:102" x14ac:dyDescent="0.3">
      <c r="A4078" t="str">
        <f>HYPERLINK("https://webapp.icbf.com/v2/app/bull-search/view/77856160","LDA")</f>
        <v>LDA</v>
      </c>
      <c r="B4078" t="s">
        <v>2559</v>
      </c>
      <c r="C4078" t="s">
        <v>2560</v>
      </c>
      <c r="D4078" s="1">
        <v>33286</v>
      </c>
      <c r="E4078" t="s">
        <v>92</v>
      </c>
      <c r="F4078">
        <v>81</v>
      </c>
      <c r="G4078" t="s">
        <v>93</v>
      </c>
      <c r="H4078">
        <v>-86.82</v>
      </c>
      <c r="I4078">
        <v>65</v>
      </c>
      <c r="J4078">
        <v>-47.22</v>
      </c>
      <c r="K4078">
        <v>81</v>
      </c>
      <c r="L4078">
        <v>-30.63</v>
      </c>
      <c r="M4078">
        <v>59</v>
      </c>
      <c r="N4078">
        <v>-13.14</v>
      </c>
      <c r="O4078">
        <v>45</v>
      </c>
      <c r="P4078">
        <v>-13.12</v>
      </c>
      <c r="Q4078">
        <v>68</v>
      </c>
      <c r="R4078">
        <v>-8.1</v>
      </c>
      <c r="S4078">
        <v>60</v>
      </c>
      <c r="T4078">
        <v>23.52</v>
      </c>
      <c r="U4078">
        <v>65</v>
      </c>
      <c r="V4078">
        <v>1.87</v>
      </c>
      <c r="W4078">
        <v>22</v>
      </c>
      <c r="X4078" t="s">
        <v>94</v>
      </c>
      <c r="Y4078" t="s">
        <v>95</v>
      </c>
      <c r="Z4078" t="s">
        <v>96</v>
      </c>
      <c r="AA4078" t="s">
        <v>2561</v>
      </c>
      <c r="AB4078" t="s">
        <v>2562</v>
      </c>
      <c r="AC4078">
        <v>26</v>
      </c>
      <c r="AD4078">
        <v>22</v>
      </c>
      <c r="AE4078">
        <v>81</v>
      </c>
      <c r="AF4078">
        <v>-215.53</v>
      </c>
      <c r="AG4078">
        <v>-6.67</v>
      </c>
      <c r="AH4078">
        <v>-8.9700000000000006</v>
      </c>
      <c r="AI4078">
        <v>0.03</v>
      </c>
      <c r="AJ4078">
        <v>-0.03</v>
      </c>
      <c r="AK4078">
        <v>59</v>
      </c>
      <c r="AL4078">
        <v>73</v>
      </c>
      <c r="AM4078">
        <v>49</v>
      </c>
      <c r="AN4078">
        <v>1.86</v>
      </c>
      <c r="AO4078">
        <v>-0.57999999999999996</v>
      </c>
      <c r="AP4078">
        <v>19</v>
      </c>
      <c r="AQ4078">
        <v>0</v>
      </c>
      <c r="AR4078">
        <v>8.01</v>
      </c>
      <c r="AS4078">
        <v>26</v>
      </c>
      <c r="AT4078">
        <v>3.26</v>
      </c>
      <c r="AU4078">
        <v>50</v>
      </c>
      <c r="AV4078">
        <v>0.91</v>
      </c>
      <c r="AW4078">
        <v>47</v>
      </c>
      <c r="AX4078">
        <v>1.02</v>
      </c>
      <c r="AY4078">
        <v>59</v>
      </c>
      <c r="AZ4078">
        <v>6.91</v>
      </c>
      <c r="BA4078">
        <v>24</v>
      </c>
      <c r="BB4078">
        <v>5.0599999999999996</v>
      </c>
      <c r="BC4078">
        <v>36</v>
      </c>
      <c r="BD4078">
        <v>0.02</v>
      </c>
      <c r="BE4078">
        <v>7.0000000000000007E-2</v>
      </c>
      <c r="BF4078">
        <v>0.02</v>
      </c>
      <c r="BG4078">
        <v>80</v>
      </c>
      <c r="BH4078">
        <v>0.13</v>
      </c>
      <c r="BI4078">
        <v>8.99</v>
      </c>
      <c r="BJ4078">
        <v>13</v>
      </c>
      <c r="BK4078">
        <v>11</v>
      </c>
      <c r="BL4078">
        <v>-0.96</v>
      </c>
      <c r="BM4078">
        <v>0.73</v>
      </c>
      <c r="BN4078">
        <v>-0.88</v>
      </c>
      <c r="BO4078">
        <v>-1.3</v>
      </c>
      <c r="BP4078">
        <v>-0.1</v>
      </c>
      <c r="BQ4078">
        <v>-0.23</v>
      </c>
      <c r="BR4078">
        <v>0.88</v>
      </c>
      <c r="BS4078">
        <v>-0.34</v>
      </c>
      <c r="BT4078">
        <v>0.04</v>
      </c>
      <c r="BU4078">
        <v>-0.19</v>
      </c>
      <c r="BV4078">
        <v>-0.27</v>
      </c>
      <c r="BW4078">
        <v>0.06</v>
      </c>
      <c r="BX4078">
        <v>-0.26</v>
      </c>
      <c r="BY4078">
        <v>-0.37</v>
      </c>
      <c r="BZ4078">
        <v>0.8</v>
      </c>
      <c r="CA4078">
        <v>-0.03</v>
      </c>
      <c r="CB4078">
        <v>-0.11</v>
      </c>
      <c r="CC4078">
        <v>0.01</v>
      </c>
      <c r="CD4078">
        <v>1.01</v>
      </c>
      <c r="CE4078">
        <v>-1.18</v>
      </c>
      <c r="CF4078">
        <v>-1.1399999999999999</v>
      </c>
      <c r="CG4078">
        <v>0</v>
      </c>
      <c r="CH4078">
        <v>-0.37</v>
      </c>
      <c r="CI4078">
        <v>0</v>
      </c>
      <c r="CJ4078">
        <v>-4.4000000000000004</v>
      </c>
      <c r="CK4078">
        <v>70</v>
      </c>
      <c r="CL4078">
        <v>-0.68</v>
      </c>
      <c r="CM4078">
        <v>66</v>
      </c>
      <c r="CN4078">
        <v>-0.14000000000000001</v>
      </c>
      <c r="CO4078">
        <v>62</v>
      </c>
      <c r="CP4078">
        <v>-11.1</v>
      </c>
      <c r="CQ4078">
        <v>71</v>
      </c>
      <c r="CR4078">
        <v>0</v>
      </c>
      <c r="CS4078">
        <v>0</v>
      </c>
      <c r="CT4078">
        <v>-18</v>
      </c>
      <c r="CU4078">
        <v>65</v>
      </c>
      <c r="CV4078">
        <v>0.16</v>
      </c>
      <c r="CW4078">
        <v>19</v>
      </c>
      <c r="CX4078" t="s">
        <v>1485</v>
      </c>
    </row>
    <row r="4079" spans="1:102" x14ac:dyDescent="0.3">
      <c r="A4079" t="str">
        <f>HYPERLINK("https://webapp.icbf.com/v2/app/bull-search/view/77855140","MGO")</f>
        <v>MGO</v>
      </c>
      <c r="B4079" t="s">
        <v>10841</v>
      </c>
      <c r="C4079" t="s">
        <v>10842</v>
      </c>
      <c r="D4079" s="1">
        <v>34346</v>
      </c>
      <c r="E4079" t="s">
        <v>92</v>
      </c>
      <c r="F4079">
        <v>100</v>
      </c>
      <c r="G4079" t="s">
        <v>93</v>
      </c>
      <c r="H4079">
        <v>-86.86</v>
      </c>
      <c r="I4079">
        <v>79</v>
      </c>
      <c r="J4079">
        <v>-12.62</v>
      </c>
      <c r="K4079">
        <v>94</v>
      </c>
      <c r="L4079">
        <v>-49.32</v>
      </c>
      <c r="M4079">
        <v>69</v>
      </c>
      <c r="N4079">
        <v>-39.04</v>
      </c>
      <c r="O4079">
        <v>69</v>
      </c>
      <c r="P4079">
        <v>7.81</v>
      </c>
      <c r="Q4079">
        <v>88</v>
      </c>
      <c r="R4079">
        <v>-5.48</v>
      </c>
      <c r="S4079">
        <v>71</v>
      </c>
      <c r="T4079">
        <v>14.34</v>
      </c>
      <c r="U4079">
        <v>82</v>
      </c>
      <c r="V4079">
        <v>-2.5499999999999998</v>
      </c>
      <c r="W4079">
        <v>36</v>
      </c>
      <c r="X4079" t="s">
        <v>94</v>
      </c>
      <c r="Y4079" t="s">
        <v>95</v>
      </c>
      <c r="Z4079" t="s">
        <v>96</v>
      </c>
      <c r="AA4079" t="s">
        <v>161</v>
      </c>
      <c r="AB4079" t="s">
        <v>10843</v>
      </c>
      <c r="AC4079">
        <v>86</v>
      </c>
      <c r="AD4079">
        <v>74</v>
      </c>
      <c r="AE4079">
        <v>94</v>
      </c>
      <c r="AF4079">
        <v>58.81</v>
      </c>
      <c r="AG4079">
        <v>3.49</v>
      </c>
      <c r="AH4079">
        <v>-2.48</v>
      </c>
      <c r="AI4079">
        <v>0.02</v>
      </c>
      <c r="AJ4079">
        <v>-7.0000000000000007E-2</v>
      </c>
      <c r="AK4079">
        <v>69</v>
      </c>
      <c r="AL4079">
        <v>112</v>
      </c>
      <c r="AM4079">
        <v>78</v>
      </c>
      <c r="AN4079">
        <v>2.91</v>
      </c>
      <c r="AO4079">
        <v>-1.02</v>
      </c>
      <c r="AP4079">
        <v>4</v>
      </c>
      <c r="AQ4079">
        <v>152</v>
      </c>
      <c r="AR4079">
        <v>10.74</v>
      </c>
      <c r="AS4079">
        <v>40</v>
      </c>
      <c r="AT4079">
        <v>4.82</v>
      </c>
      <c r="AU4079">
        <v>60</v>
      </c>
      <c r="AV4079">
        <v>0.71</v>
      </c>
      <c r="AW4079">
        <v>83</v>
      </c>
      <c r="AX4079">
        <v>0.06</v>
      </c>
      <c r="AY4079">
        <v>85</v>
      </c>
      <c r="AZ4079">
        <v>7.09</v>
      </c>
      <c r="BA4079">
        <v>40</v>
      </c>
      <c r="BB4079">
        <v>5.87</v>
      </c>
      <c r="BC4079">
        <v>58</v>
      </c>
      <c r="BD4079">
        <v>0.03</v>
      </c>
      <c r="BE4079">
        <v>0.04</v>
      </c>
      <c r="BF4079">
        <v>0</v>
      </c>
      <c r="BG4079">
        <v>88</v>
      </c>
      <c r="BH4079">
        <v>0</v>
      </c>
      <c r="BI4079">
        <v>8.23</v>
      </c>
      <c r="BJ4079">
        <v>26</v>
      </c>
      <c r="BK4079">
        <v>21</v>
      </c>
      <c r="BL4079">
        <v>-0.11</v>
      </c>
      <c r="BM4079">
        <v>-0.39</v>
      </c>
      <c r="BN4079">
        <v>-0.41</v>
      </c>
      <c r="BO4079">
        <v>-0.06</v>
      </c>
      <c r="BP4079">
        <v>-1.28</v>
      </c>
      <c r="BQ4079">
        <v>-1.26</v>
      </c>
      <c r="BR4079">
        <v>-1.34</v>
      </c>
      <c r="BS4079">
        <v>1.39</v>
      </c>
      <c r="BT4079">
        <v>1.68</v>
      </c>
      <c r="BU4079">
        <v>-0.56000000000000005</v>
      </c>
      <c r="BV4079">
        <v>0.85</v>
      </c>
      <c r="BW4079">
        <v>0.7</v>
      </c>
      <c r="BX4079">
        <v>0.08</v>
      </c>
      <c r="BY4079">
        <v>-0.96</v>
      </c>
      <c r="BZ4079">
        <v>2.84</v>
      </c>
      <c r="CA4079">
        <v>0.89</v>
      </c>
      <c r="CB4079">
        <v>0.39</v>
      </c>
      <c r="CC4079">
        <v>2.08</v>
      </c>
      <c r="CD4079">
        <v>-0.02</v>
      </c>
      <c r="CE4079">
        <v>0.09</v>
      </c>
      <c r="CF4079">
        <v>-0.44</v>
      </c>
      <c r="CG4079">
        <v>0</v>
      </c>
      <c r="CH4079">
        <v>0.06</v>
      </c>
      <c r="CI4079">
        <v>0</v>
      </c>
      <c r="CJ4079">
        <v>1.1000000000000001</v>
      </c>
      <c r="CK4079">
        <v>89</v>
      </c>
      <c r="CL4079">
        <v>7.0000000000000007E-2</v>
      </c>
      <c r="CM4079">
        <v>87</v>
      </c>
      <c r="CN4079">
        <v>-0.54</v>
      </c>
      <c r="CO4079">
        <v>85</v>
      </c>
      <c r="CP4079">
        <v>-5</v>
      </c>
      <c r="CQ4079">
        <v>86</v>
      </c>
      <c r="CR4079">
        <v>0</v>
      </c>
      <c r="CS4079">
        <v>0</v>
      </c>
      <c r="CT4079">
        <v>-5.6</v>
      </c>
      <c r="CU4079">
        <v>82</v>
      </c>
      <c r="CV4079">
        <v>-0.05</v>
      </c>
      <c r="CW4079">
        <v>26</v>
      </c>
      <c r="CX4079" t="s">
        <v>111</v>
      </c>
    </row>
    <row r="4080" spans="1:102" x14ac:dyDescent="0.3">
      <c r="A4080" t="str">
        <f>HYPERLINK("https://webapp.icbf.com/v2/app/bull-search/view/77856589","HSL")</f>
        <v>HSL</v>
      </c>
      <c r="B4080" t="s">
        <v>11101</v>
      </c>
      <c r="C4080" t="s">
        <v>11102</v>
      </c>
      <c r="D4080" s="1">
        <v>33309</v>
      </c>
      <c r="E4080" t="s">
        <v>92</v>
      </c>
      <c r="F4080">
        <v>100</v>
      </c>
      <c r="G4080" t="s">
        <v>109</v>
      </c>
      <c r="H4080">
        <v>-86.89</v>
      </c>
      <c r="I4080">
        <v>80</v>
      </c>
      <c r="J4080">
        <v>-14.18</v>
      </c>
      <c r="K4080">
        <v>93</v>
      </c>
      <c r="L4080">
        <v>-105.79</v>
      </c>
      <c r="M4080">
        <v>85</v>
      </c>
      <c r="N4080">
        <v>24.2</v>
      </c>
      <c r="O4080">
        <v>66</v>
      </c>
      <c r="P4080">
        <v>-4.0999999999999996</v>
      </c>
      <c r="Q4080">
        <v>71</v>
      </c>
      <c r="R4080">
        <v>-3.6</v>
      </c>
      <c r="S4080">
        <v>70</v>
      </c>
      <c r="T4080">
        <v>18.27</v>
      </c>
      <c r="U4080">
        <v>61</v>
      </c>
      <c r="V4080">
        <v>-1.69</v>
      </c>
      <c r="W4080">
        <v>33</v>
      </c>
      <c r="X4080" t="s">
        <v>110</v>
      </c>
      <c r="Y4080" t="s">
        <v>95</v>
      </c>
      <c r="Z4080" t="s">
        <v>96</v>
      </c>
      <c r="AA4080" t="s">
        <v>111</v>
      </c>
      <c r="AB4080" t="s">
        <v>635</v>
      </c>
      <c r="AC4080">
        <v>39</v>
      </c>
      <c r="AD4080">
        <v>25</v>
      </c>
      <c r="AE4080">
        <v>93</v>
      </c>
      <c r="AF4080">
        <v>-39.86</v>
      </c>
      <c r="AG4080">
        <v>-3.54</v>
      </c>
      <c r="AH4080">
        <v>-1.77</v>
      </c>
      <c r="AI4080">
        <v>-0.03</v>
      </c>
      <c r="AJ4080">
        <v>-0.01</v>
      </c>
      <c r="AK4080">
        <v>85</v>
      </c>
      <c r="AL4080">
        <v>37</v>
      </c>
      <c r="AM4080">
        <v>19</v>
      </c>
      <c r="AN4080">
        <v>6.26</v>
      </c>
      <c r="AO4080">
        <v>-2.17</v>
      </c>
      <c r="AP4080">
        <v>2</v>
      </c>
      <c r="AQ4080">
        <v>0</v>
      </c>
      <c r="AR4080">
        <v>7.31</v>
      </c>
      <c r="AS4080">
        <v>39</v>
      </c>
      <c r="AT4080">
        <v>3.45</v>
      </c>
      <c r="AU4080">
        <v>84</v>
      </c>
      <c r="AV4080">
        <v>-2.79</v>
      </c>
      <c r="AW4080">
        <v>70</v>
      </c>
      <c r="AX4080">
        <v>-0.73</v>
      </c>
      <c r="AY4080">
        <v>62</v>
      </c>
      <c r="AZ4080">
        <v>6.05</v>
      </c>
      <c r="BA4080">
        <v>36</v>
      </c>
      <c r="BB4080">
        <v>4.6399999999999997</v>
      </c>
      <c r="BC4080">
        <v>44</v>
      </c>
      <c r="BD4080">
        <v>0.01</v>
      </c>
      <c r="BE4080">
        <v>0.04</v>
      </c>
      <c r="BF4080">
        <v>-0.01</v>
      </c>
      <c r="BG4080">
        <v>89</v>
      </c>
      <c r="BH4080">
        <v>0.03</v>
      </c>
      <c r="BI4080">
        <v>8.93</v>
      </c>
      <c r="BJ4080">
        <v>10</v>
      </c>
      <c r="BK4080">
        <v>8</v>
      </c>
      <c r="BL4080">
        <v>0.98</v>
      </c>
      <c r="BM4080">
        <v>-0.38</v>
      </c>
      <c r="BN4080">
        <v>0.68</v>
      </c>
      <c r="BO4080">
        <v>0.8</v>
      </c>
      <c r="BP4080">
        <v>0.21</v>
      </c>
      <c r="BQ4080">
        <v>-0.76</v>
      </c>
      <c r="BR4080">
        <v>-1.02</v>
      </c>
      <c r="BS4080">
        <v>1.66</v>
      </c>
      <c r="BT4080">
        <v>0.92</v>
      </c>
      <c r="BU4080">
        <v>0.72</v>
      </c>
      <c r="BV4080">
        <v>1.52</v>
      </c>
      <c r="BW4080">
        <v>1.57</v>
      </c>
      <c r="BX4080">
        <v>0.76</v>
      </c>
      <c r="BY4080">
        <v>-0.64</v>
      </c>
      <c r="BZ4080">
        <v>1.43</v>
      </c>
      <c r="CA4080">
        <v>1.87</v>
      </c>
      <c r="CB4080">
        <v>1.22</v>
      </c>
      <c r="CC4080">
        <v>2.31</v>
      </c>
      <c r="CD4080">
        <v>-0.26</v>
      </c>
      <c r="CE4080">
        <v>0.5</v>
      </c>
      <c r="CF4080">
        <v>-0.35</v>
      </c>
      <c r="CG4080">
        <v>0</v>
      </c>
      <c r="CH4080">
        <v>0.36</v>
      </c>
      <c r="CI4080">
        <v>0</v>
      </c>
      <c r="CJ4080">
        <v>-0.7</v>
      </c>
      <c r="CK4080">
        <v>73</v>
      </c>
      <c r="CL4080">
        <v>-0.63</v>
      </c>
      <c r="CM4080">
        <v>69</v>
      </c>
      <c r="CN4080">
        <v>-0.34</v>
      </c>
      <c r="CO4080">
        <v>66</v>
      </c>
      <c r="CP4080">
        <v>-4.0999999999999996</v>
      </c>
      <c r="CQ4080">
        <v>75</v>
      </c>
      <c r="CR4080">
        <v>0</v>
      </c>
      <c r="CS4080">
        <v>0</v>
      </c>
      <c r="CT4080">
        <v>-10.9</v>
      </c>
      <c r="CU4080">
        <v>61</v>
      </c>
      <c r="CV4080">
        <v>0.14000000000000001</v>
      </c>
      <c r="CW4080">
        <v>20</v>
      </c>
      <c r="CX4080" t="s">
        <v>166</v>
      </c>
    </row>
    <row r="4081" spans="1:102" x14ac:dyDescent="0.3">
      <c r="A4081" t="str">
        <f>HYPERLINK("https://webapp.icbf.com/v2/app/bull-search/view/122845649","DEW")</f>
        <v>DEW</v>
      </c>
      <c r="B4081" t="s">
        <v>14635</v>
      </c>
      <c r="C4081" t="s">
        <v>205</v>
      </c>
      <c r="D4081" s="1">
        <v>34718</v>
      </c>
      <c r="E4081" t="s">
        <v>92</v>
      </c>
      <c r="F4081">
        <v>100</v>
      </c>
      <c r="G4081" t="s">
        <v>93</v>
      </c>
      <c r="H4081">
        <v>-86.9</v>
      </c>
      <c r="I4081">
        <v>91</v>
      </c>
      <c r="J4081">
        <v>53.41</v>
      </c>
      <c r="K4081">
        <v>96</v>
      </c>
      <c r="L4081">
        <v>-145.78</v>
      </c>
      <c r="M4081">
        <v>92</v>
      </c>
      <c r="N4081">
        <v>18.05</v>
      </c>
      <c r="O4081">
        <v>87</v>
      </c>
      <c r="P4081">
        <v>-11.76</v>
      </c>
      <c r="Q4081">
        <v>90</v>
      </c>
      <c r="R4081">
        <v>-17.38</v>
      </c>
      <c r="S4081">
        <v>87</v>
      </c>
      <c r="T4081">
        <v>17.75</v>
      </c>
      <c r="U4081">
        <v>85</v>
      </c>
      <c r="V4081">
        <v>-1.19</v>
      </c>
      <c r="W4081">
        <v>80</v>
      </c>
      <c r="X4081" t="s">
        <v>94</v>
      </c>
      <c r="Y4081" t="s">
        <v>95</v>
      </c>
      <c r="Z4081" t="s">
        <v>96</v>
      </c>
      <c r="AA4081" t="s">
        <v>265</v>
      </c>
      <c r="AB4081" t="s">
        <v>815</v>
      </c>
      <c r="AC4081">
        <v>47</v>
      </c>
      <c r="AD4081">
        <v>36</v>
      </c>
      <c r="AE4081">
        <v>96</v>
      </c>
      <c r="AF4081">
        <v>255.97</v>
      </c>
      <c r="AG4081">
        <v>13.09</v>
      </c>
      <c r="AH4081">
        <v>8.3699999999999992</v>
      </c>
      <c r="AI4081">
        <v>0.05</v>
      </c>
      <c r="AJ4081">
        <v>-0.01</v>
      </c>
      <c r="AK4081">
        <v>92</v>
      </c>
      <c r="AL4081">
        <v>58</v>
      </c>
      <c r="AM4081">
        <v>45</v>
      </c>
      <c r="AN4081">
        <v>8.3699999999999992</v>
      </c>
      <c r="AO4081">
        <v>-3.25</v>
      </c>
      <c r="AP4081">
        <v>68</v>
      </c>
      <c r="AQ4081">
        <v>0</v>
      </c>
      <c r="AR4081">
        <v>6.7</v>
      </c>
      <c r="AS4081">
        <v>79</v>
      </c>
      <c r="AT4081">
        <v>3.25</v>
      </c>
      <c r="AU4081">
        <v>99</v>
      </c>
      <c r="AV4081">
        <v>-2.5099999999999998</v>
      </c>
      <c r="AW4081">
        <v>90</v>
      </c>
      <c r="AX4081">
        <v>0.41</v>
      </c>
      <c r="AY4081">
        <v>81</v>
      </c>
      <c r="AZ4081">
        <v>7.37</v>
      </c>
      <c r="BA4081">
        <v>71</v>
      </c>
      <c r="BB4081">
        <v>5.14</v>
      </c>
      <c r="BC4081">
        <v>74</v>
      </c>
      <c r="BD4081">
        <v>0.04</v>
      </c>
      <c r="BE4081">
        <v>7.0000000000000007E-2</v>
      </c>
      <c r="BF4081">
        <v>0.2</v>
      </c>
      <c r="BG4081">
        <v>95</v>
      </c>
      <c r="BH4081">
        <v>-0.02</v>
      </c>
      <c r="BI4081">
        <v>1.54</v>
      </c>
      <c r="BJ4081">
        <v>7</v>
      </c>
      <c r="BK4081">
        <v>6</v>
      </c>
      <c r="BL4081">
        <v>-0.77</v>
      </c>
      <c r="BM4081">
        <v>-1.45</v>
      </c>
      <c r="BN4081">
        <v>-1.02</v>
      </c>
      <c r="BO4081">
        <v>-7.0000000000000007E-2</v>
      </c>
      <c r="BP4081">
        <v>-1.64</v>
      </c>
      <c r="BQ4081">
        <v>-2.33</v>
      </c>
      <c r="BR4081">
        <v>-0.68</v>
      </c>
      <c r="BS4081">
        <v>0.41</v>
      </c>
      <c r="BT4081">
        <v>-0.45</v>
      </c>
      <c r="BU4081">
        <v>-0.06</v>
      </c>
      <c r="BV4081">
        <v>7.0000000000000007E-2</v>
      </c>
      <c r="BW4081">
        <v>-0.43</v>
      </c>
      <c r="BX4081">
        <v>-0.94</v>
      </c>
      <c r="BY4081">
        <v>0.66</v>
      </c>
      <c r="BZ4081">
        <v>-0.2</v>
      </c>
      <c r="CA4081">
        <v>-0.08</v>
      </c>
      <c r="CB4081">
        <v>-0.26</v>
      </c>
      <c r="CC4081">
        <v>-0.28999999999999998</v>
      </c>
      <c r="CD4081">
        <v>-0.74</v>
      </c>
      <c r="CE4081">
        <v>-0.08</v>
      </c>
      <c r="CF4081">
        <v>-1.18</v>
      </c>
      <c r="CG4081">
        <v>0</v>
      </c>
      <c r="CH4081">
        <v>0.62</v>
      </c>
      <c r="CI4081">
        <v>0</v>
      </c>
      <c r="CJ4081">
        <v>-3.4</v>
      </c>
      <c r="CK4081">
        <v>91</v>
      </c>
      <c r="CL4081">
        <v>-0.62</v>
      </c>
      <c r="CM4081">
        <v>89</v>
      </c>
      <c r="CN4081">
        <v>-0.08</v>
      </c>
      <c r="CO4081">
        <v>88</v>
      </c>
      <c r="CP4081">
        <v>-10.7</v>
      </c>
      <c r="CQ4081">
        <v>89</v>
      </c>
      <c r="CR4081">
        <v>0</v>
      </c>
      <c r="CS4081">
        <v>0</v>
      </c>
      <c r="CT4081">
        <v>-10.199999999999999</v>
      </c>
      <c r="CU4081">
        <v>85</v>
      </c>
      <c r="CV4081">
        <v>0.13</v>
      </c>
      <c r="CW4081">
        <v>46</v>
      </c>
      <c r="CX4081" t="s">
        <v>118</v>
      </c>
    </row>
    <row r="4082" spans="1:102" x14ac:dyDescent="0.3">
      <c r="A4082" t="str">
        <f>HYPERLINK("https://webapp.icbf.com/v2/app/bull-search/view/77856907","HHN")</f>
        <v>HHN</v>
      </c>
      <c r="B4082" t="s">
        <v>4348</v>
      </c>
      <c r="C4082" t="s">
        <v>4349</v>
      </c>
      <c r="D4082" s="1">
        <v>31432</v>
      </c>
      <c r="E4082" t="s">
        <v>92</v>
      </c>
      <c r="F4082">
        <v>50</v>
      </c>
      <c r="G4082" t="s">
        <v>116</v>
      </c>
      <c r="H4082">
        <v>-86.91</v>
      </c>
      <c r="I4082">
        <v>36</v>
      </c>
      <c r="J4082">
        <v>-58.29</v>
      </c>
      <c r="K4082">
        <v>26</v>
      </c>
      <c r="L4082">
        <v>-18.61</v>
      </c>
      <c r="M4082">
        <v>48</v>
      </c>
      <c r="N4082">
        <v>-4.32</v>
      </c>
      <c r="O4082">
        <v>29</v>
      </c>
      <c r="P4082">
        <v>-11.36</v>
      </c>
      <c r="Q4082">
        <v>39</v>
      </c>
      <c r="R4082">
        <v>-5.97</v>
      </c>
      <c r="S4082">
        <v>43</v>
      </c>
      <c r="T4082">
        <v>12.79</v>
      </c>
      <c r="U4082">
        <v>34</v>
      </c>
      <c r="V4082">
        <v>-1.1499999999999999</v>
      </c>
      <c r="W4082">
        <v>19</v>
      </c>
      <c r="X4082" t="s">
        <v>94</v>
      </c>
      <c r="Y4082" t="s">
        <v>95</v>
      </c>
      <c r="Z4082" t="s">
        <v>96</v>
      </c>
      <c r="AA4082" t="s">
        <v>609</v>
      </c>
      <c r="AB4082" t="s">
        <v>4350</v>
      </c>
      <c r="AC4082">
        <v>2</v>
      </c>
      <c r="AD4082">
        <v>2</v>
      </c>
      <c r="AE4082">
        <v>26</v>
      </c>
      <c r="AF4082">
        <v>-280.3</v>
      </c>
      <c r="AG4082">
        <v>-7.22</v>
      </c>
      <c r="AH4082">
        <v>-11.65</v>
      </c>
      <c r="AI4082">
        <v>0.06</v>
      </c>
      <c r="AJ4082">
        <v>-0.04</v>
      </c>
      <c r="AK4082">
        <v>48</v>
      </c>
      <c r="AL4082">
        <v>30</v>
      </c>
      <c r="AM4082">
        <v>25</v>
      </c>
      <c r="AN4082">
        <v>-0.21</v>
      </c>
      <c r="AO4082">
        <v>-1.71</v>
      </c>
      <c r="AP4082">
        <v>1</v>
      </c>
      <c r="AQ4082">
        <v>0</v>
      </c>
      <c r="AR4082">
        <v>6.67</v>
      </c>
      <c r="AS4082">
        <v>19</v>
      </c>
      <c r="AT4082">
        <v>2.71</v>
      </c>
      <c r="AU4082">
        <v>26</v>
      </c>
      <c r="AV4082">
        <v>1.63</v>
      </c>
      <c r="AW4082">
        <v>32</v>
      </c>
      <c r="AX4082">
        <v>-0.04</v>
      </c>
      <c r="AY4082">
        <v>42</v>
      </c>
      <c r="AZ4082">
        <v>5.86</v>
      </c>
      <c r="BA4082">
        <v>18</v>
      </c>
      <c r="BB4082">
        <v>4.6100000000000003</v>
      </c>
      <c r="BC4082">
        <v>22</v>
      </c>
      <c r="BD4082">
        <v>0.05</v>
      </c>
      <c r="BE4082">
        <v>0.06</v>
      </c>
      <c r="BF4082">
        <v>-0.06</v>
      </c>
      <c r="BG4082">
        <v>60</v>
      </c>
      <c r="BH4082">
        <v>-0.03</v>
      </c>
      <c r="BI4082">
        <v>0.23</v>
      </c>
      <c r="BJ4082">
        <v>4</v>
      </c>
      <c r="BK4082">
        <v>3</v>
      </c>
      <c r="BL4082">
        <v>-2.99</v>
      </c>
      <c r="BM4082">
        <v>0.19</v>
      </c>
      <c r="BN4082">
        <v>-2.29</v>
      </c>
      <c r="BO4082">
        <v>-2.25</v>
      </c>
      <c r="BP4082">
        <v>-1.05</v>
      </c>
      <c r="BQ4082">
        <v>-1.52</v>
      </c>
      <c r="BR4082">
        <v>-0.28999999999999998</v>
      </c>
      <c r="BS4082">
        <v>-0.15</v>
      </c>
      <c r="BT4082">
        <v>0.51</v>
      </c>
      <c r="BU4082">
        <v>-1.59</v>
      </c>
      <c r="BV4082">
        <v>-1.63</v>
      </c>
      <c r="BW4082">
        <v>-1.61</v>
      </c>
      <c r="BX4082">
        <v>-2.94</v>
      </c>
      <c r="BY4082">
        <v>-0.6</v>
      </c>
      <c r="BZ4082">
        <v>-1.32</v>
      </c>
      <c r="CA4082">
        <v>-1.6</v>
      </c>
      <c r="CB4082">
        <v>-1.5</v>
      </c>
      <c r="CC4082">
        <v>-1.26</v>
      </c>
      <c r="CD4082">
        <v>1.43</v>
      </c>
      <c r="CE4082">
        <v>-1.83</v>
      </c>
      <c r="CF4082">
        <v>-3.64</v>
      </c>
      <c r="CG4082">
        <v>0</v>
      </c>
      <c r="CH4082">
        <v>-0.92</v>
      </c>
      <c r="CI4082">
        <v>0</v>
      </c>
      <c r="CJ4082">
        <v>-4.7</v>
      </c>
      <c r="CK4082">
        <v>40</v>
      </c>
      <c r="CL4082">
        <v>-0.27</v>
      </c>
      <c r="CM4082">
        <v>38</v>
      </c>
      <c r="CN4082">
        <v>0.04</v>
      </c>
      <c r="CO4082">
        <v>35</v>
      </c>
      <c r="CP4082">
        <v>-10.8</v>
      </c>
      <c r="CQ4082">
        <v>39</v>
      </c>
      <c r="CR4082">
        <v>0</v>
      </c>
      <c r="CS4082">
        <v>0</v>
      </c>
      <c r="CT4082">
        <v>-3.5</v>
      </c>
      <c r="CU4082">
        <v>34</v>
      </c>
      <c r="CV4082">
        <v>0</v>
      </c>
      <c r="CW4082">
        <v>11</v>
      </c>
      <c r="CX4082" t="s">
        <v>4351</v>
      </c>
    </row>
    <row r="4083" spans="1:102" x14ac:dyDescent="0.3">
      <c r="A4083" t="str">
        <f>HYPERLINK("https://webapp.icbf.com/v2/app/bull-search/view/462679691","WRM")</f>
        <v>WRM</v>
      </c>
      <c r="B4083" t="s">
        <v>8805</v>
      </c>
      <c r="C4083" t="s">
        <v>8806</v>
      </c>
      <c r="D4083" s="1">
        <v>38048</v>
      </c>
      <c r="E4083" t="s">
        <v>92</v>
      </c>
      <c r="F4083">
        <v>100</v>
      </c>
      <c r="G4083" t="s">
        <v>93</v>
      </c>
      <c r="H4083">
        <v>-87.25</v>
      </c>
      <c r="I4083">
        <v>91</v>
      </c>
      <c r="J4083">
        <v>19.86</v>
      </c>
      <c r="K4083">
        <v>97</v>
      </c>
      <c r="L4083">
        <v>-80.67</v>
      </c>
      <c r="M4083">
        <v>89</v>
      </c>
      <c r="N4083">
        <v>-13.99</v>
      </c>
      <c r="O4083">
        <v>87</v>
      </c>
      <c r="P4083">
        <v>-7.44</v>
      </c>
      <c r="Q4083">
        <v>93</v>
      </c>
      <c r="R4083">
        <v>-2.9</v>
      </c>
      <c r="S4083">
        <v>83</v>
      </c>
      <c r="T4083">
        <v>-10.08</v>
      </c>
      <c r="U4083">
        <v>90</v>
      </c>
      <c r="V4083">
        <v>7.97</v>
      </c>
      <c r="W4083">
        <v>76</v>
      </c>
      <c r="X4083" t="s">
        <v>131</v>
      </c>
      <c r="Y4083" t="s">
        <v>1215</v>
      </c>
      <c r="Z4083" t="s">
        <v>96</v>
      </c>
      <c r="AA4083" t="s">
        <v>1752</v>
      </c>
      <c r="AB4083" t="s">
        <v>8807</v>
      </c>
      <c r="AC4083">
        <v>132</v>
      </c>
      <c r="AD4083">
        <v>60</v>
      </c>
      <c r="AE4083">
        <v>97</v>
      </c>
      <c r="AF4083">
        <v>196.94</v>
      </c>
      <c r="AG4083">
        <v>2.89</v>
      </c>
      <c r="AH4083">
        <v>5.37</v>
      </c>
      <c r="AI4083">
        <v>-0.08</v>
      </c>
      <c r="AJ4083">
        <v>-0.02</v>
      </c>
      <c r="AK4083">
        <v>89</v>
      </c>
      <c r="AL4083">
        <v>100</v>
      </c>
      <c r="AM4083">
        <v>52</v>
      </c>
      <c r="AN4083">
        <v>3.87</v>
      </c>
      <c r="AO4083">
        <v>-2.57</v>
      </c>
      <c r="AP4083">
        <v>246</v>
      </c>
      <c r="AQ4083">
        <v>0</v>
      </c>
      <c r="AR4083">
        <v>8.67</v>
      </c>
      <c r="AS4083">
        <v>80</v>
      </c>
      <c r="AT4083">
        <v>4.57</v>
      </c>
      <c r="AU4083">
        <v>91</v>
      </c>
      <c r="AV4083">
        <v>-0.87</v>
      </c>
      <c r="AW4083">
        <v>95</v>
      </c>
      <c r="AX4083">
        <v>0.53</v>
      </c>
      <c r="AY4083">
        <v>86</v>
      </c>
      <c r="AZ4083">
        <v>5.57</v>
      </c>
      <c r="BA4083">
        <v>68</v>
      </c>
      <c r="BB4083">
        <v>5.66</v>
      </c>
      <c r="BC4083">
        <v>64</v>
      </c>
      <c r="BD4083">
        <v>-0.05</v>
      </c>
      <c r="BE4083">
        <v>0</v>
      </c>
      <c r="BF4083">
        <v>0.15</v>
      </c>
      <c r="BG4083">
        <v>94</v>
      </c>
      <c r="BH4083">
        <v>0.1</v>
      </c>
      <c r="BI4083">
        <v>-14.13</v>
      </c>
      <c r="BJ4083">
        <v>68</v>
      </c>
      <c r="BK4083">
        <v>42</v>
      </c>
      <c r="BL4083">
        <v>1.51</v>
      </c>
      <c r="BM4083">
        <v>1.8</v>
      </c>
      <c r="BN4083">
        <v>2.1</v>
      </c>
      <c r="BO4083">
        <v>0.7</v>
      </c>
      <c r="BP4083">
        <v>-0.33</v>
      </c>
      <c r="BQ4083">
        <v>1.4</v>
      </c>
      <c r="BR4083">
        <v>0.11</v>
      </c>
      <c r="BS4083">
        <v>0.15</v>
      </c>
      <c r="BT4083">
        <v>0.68</v>
      </c>
      <c r="BU4083">
        <v>2.16</v>
      </c>
      <c r="BV4083">
        <v>1.32</v>
      </c>
      <c r="BW4083">
        <v>0.33</v>
      </c>
      <c r="BX4083">
        <v>1.72</v>
      </c>
      <c r="BY4083">
        <v>1.3</v>
      </c>
      <c r="BZ4083">
        <v>2.67</v>
      </c>
      <c r="CA4083">
        <v>0.85</v>
      </c>
      <c r="CB4083">
        <v>1.19</v>
      </c>
      <c r="CC4083">
        <v>0.19</v>
      </c>
      <c r="CD4083">
        <v>0.94</v>
      </c>
      <c r="CE4083">
        <v>0.51</v>
      </c>
      <c r="CF4083">
        <v>2.44</v>
      </c>
      <c r="CG4083">
        <v>0</v>
      </c>
      <c r="CH4083">
        <v>1.32</v>
      </c>
      <c r="CI4083">
        <v>0</v>
      </c>
      <c r="CJ4083">
        <v>-1.4</v>
      </c>
      <c r="CK4083">
        <v>94</v>
      </c>
      <c r="CL4083">
        <v>-1.19</v>
      </c>
      <c r="CM4083">
        <v>93</v>
      </c>
      <c r="CN4083">
        <v>-0.49</v>
      </c>
      <c r="CO4083">
        <v>92</v>
      </c>
      <c r="CP4083">
        <v>6.9</v>
      </c>
      <c r="CQ4083">
        <v>91</v>
      </c>
      <c r="CR4083">
        <v>0</v>
      </c>
      <c r="CS4083">
        <v>0</v>
      </c>
      <c r="CT4083">
        <v>27.4</v>
      </c>
      <c r="CU4083">
        <v>90</v>
      </c>
      <c r="CV4083">
        <v>0.23</v>
      </c>
      <c r="CW4083">
        <v>44</v>
      </c>
      <c r="CX4083" t="s">
        <v>4568</v>
      </c>
    </row>
    <row r="4084" spans="1:102" x14ac:dyDescent="0.3">
      <c r="A4084" t="str">
        <f>HYPERLINK("https://webapp.icbf.com/v2/app/bull-search/view/495513462","DZU")</f>
        <v>DZU</v>
      </c>
      <c r="B4084" t="s">
        <v>12276</v>
      </c>
      <c r="C4084" t="s">
        <v>5289</v>
      </c>
      <c r="D4084" s="1">
        <v>37462</v>
      </c>
      <c r="E4084" t="s">
        <v>92</v>
      </c>
      <c r="F4084">
        <v>100</v>
      </c>
      <c r="G4084" t="s">
        <v>93</v>
      </c>
      <c r="H4084">
        <v>-87.4</v>
      </c>
      <c r="I4084">
        <v>90</v>
      </c>
      <c r="J4084">
        <v>56.27</v>
      </c>
      <c r="K4084">
        <v>96</v>
      </c>
      <c r="L4084">
        <v>-114.21</v>
      </c>
      <c r="M4084">
        <v>90</v>
      </c>
      <c r="N4084">
        <v>-13.56</v>
      </c>
      <c r="O4084">
        <v>88</v>
      </c>
      <c r="P4084">
        <v>4.29</v>
      </c>
      <c r="Q4084">
        <v>94</v>
      </c>
      <c r="R4084">
        <v>-7.16</v>
      </c>
      <c r="S4084">
        <v>75</v>
      </c>
      <c r="T4084">
        <v>-10.08</v>
      </c>
      <c r="U4084">
        <v>88</v>
      </c>
      <c r="V4084">
        <v>-2.95</v>
      </c>
      <c r="W4084">
        <v>57</v>
      </c>
      <c r="X4084" t="s">
        <v>94</v>
      </c>
      <c r="Y4084" t="s">
        <v>221</v>
      </c>
      <c r="Z4084" t="s">
        <v>96</v>
      </c>
      <c r="AA4084" t="s">
        <v>12277</v>
      </c>
      <c r="AB4084" t="s">
        <v>12278</v>
      </c>
      <c r="AC4084">
        <v>112</v>
      </c>
      <c r="AD4084">
        <v>50</v>
      </c>
      <c r="AE4084">
        <v>96</v>
      </c>
      <c r="AF4084">
        <v>425.54</v>
      </c>
      <c r="AG4084">
        <v>7.5</v>
      </c>
      <c r="AH4084">
        <v>13.43</v>
      </c>
      <c r="AI4084">
        <v>-0.14000000000000001</v>
      </c>
      <c r="AJ4084">
        <v>-0.02</v>
      </c>
      <c r="AK4084">
        <v>90</v>
      </c>
      <c r="AL4084">
        <v>94</v>
      </c>
      <c r="AM4084">
        <v>47</v>
      </c>
      <c r="AN4084">
        <v>6.84</v>
      </c>
      <c r="AO4084">
        <v>-2.2599999999999998</v>
      </c>
      <c r="AP4084">
        <v>240</v>
      </c>
      <c r="AQ4084">
        <v>0</v>
      </c>
      <c r="AR4084">
        <v>10.17</v>
      </c>
      <c r="AS4084">
        <v>81</v>
      </c>
      <c r="AT4084">
        <v>4.5999999999999996</v>
      </c>
      <c r="AU4084">
        <v>98</v>
      </c>
      <c r="AV4084">
        <v>-2.6</v>
      </c>
      <c r="AW4084">
        <v>95</v>
      </c>
      <c r="AX4084">
        <v>0.55000000000000004</v>
      </c>
      <c r="AY4084">
        <v>87</v>
      </c>
      <c r="AZ4084">
        <v>8.5399999999999991</v>
      </c>
      <c r="BA4084">
        <v>67</v>
      </c>
      <c r="BB4084">
        <v>6.15</v>
      </c>
      <c r="BC4084">
        <v>62</v>
      </c>
      <c r="BD4084">
        <v>0.04</v>
      </c>
      <c r="BE4084">
        <v>0.02</v>
      </c>
      <c r="BF4084">
        <v>0.06</v>
      </c>
      <c r="BG4084">
        <v>93</v>
      </c>
      <c r="BH4084">
        <v>-0.02</v>
      </c>
      <c r="BI4084">
        <v>7.2</v>
      </c>
      <c r="BJ4084">
        <v>72</v>
      </c>
      <c r="BK4084">
        <v>32</v>
      </c>
      <c r="BL4084">
        <v>2.1</v>
      </c>
      <c r="BM4084">
        <v>-1.01</v>
      </c>
      <c r="BN4084">
        <v>1.08</v>
      </c>
      <c r="BO4084">
        <v>1.78</v>
      </c>
      <c r="BP4084">
        <v>0.64</v>
      </c>
      <c r="BQ4084">
        <v>1.9</v>
      </c>
      <c r="BR4084">
        <v>-1.64</v>
      </c>
      <c r="BS4084">
        <v>1.98</v>
      </c>
      <c r="BT4084">
        <v>2.98</v>
      </c>
      <c r="BU4084">
        <v>1.65</v>
      </c>
      <c r="BV4084">
        <v>2.29</v>
      </c>
      <c r="BW4084">
        <v>1.3</v>
      </c>
      <c r="BX4084">
        <v>1.06</v>
      </c>
      <c r="BY4084">
        <v>0.36</v>
      </c>
      <c r="BZ4084">
        <v>-1.75</v>
      </c>
      <c r="CA4084">
        <v>1.93</v>
      </c>
      <c r="CB4084">
        <v>1.41</v>
      </c>
      <c r="CC4084">
        <v>2.2200000000000002</v>
      </c>
      <c r="CD4084">
        <v>-1.39</v>
      </c>
      <c r="CE4084">
        <v>1.34</v>
      </c>
      <c r="CF4084">
        <v>1.66</v>
      </c>
      <c r="CG4084">
        <v>0</v>
      </c>
      <c r="CH4084">
        <v>1.03</v>
      </c>
      <c r="CI4084">
        <v>0</v>
      </c>
      <c r="CJ4084">
        <v>5.5</v>
      </c>
      <c r="CK4084">
        <v>95</v>
      </c>
      <c r="CL4084">
        <v>-1.05</v>
      </c>
      <c r="CM4084">
        <v>93</v>
      </c>
      <c r="CN4084">
        <v>-0.51</v>
      </c>
      <c r="CO4084">
        <v>93</v>
      </c>
      <c r="CP4084">
        <v>10.4</v>
      </c>
      <c r="CQ4084">
        <v>89</v>
      </c>
      <c r="CR4084">
        <v>0</v>
      </c>
      <c r="CS4084">
        <v>0</v>
      </c>
      <c r="CT4084">
        <v>27.4</v>
      </c>
      <c r="CU4084">
        <v>88</v>
      </c>
      <c r="CV4084">
        <v>0.45</v>
      </c>
      <c r="CW4084">
        <v>27</v>
      </c>
      <c r="CX4084" t="s">
        <v>1325</v>
      </c>
    </row>
    <row r="4085" spans="1:102" x14ac:dyDescent="0.3">
      <c r="A4085" t="str">
        <f>HYPERLINK("https://webapp.icbf.com/v2/app/bull-search/view/430913251","KZD")</f>
        <v>KZD</v>
      </c>
      <c r="B4085" t="s">
        <v>280</v>
      </c>
      <c r="C4085" t="s">
        <v>281</v>
      </c>
      <c r="D4085" s="1">
        <v>38165</v>
      </c>
      <c r="E4085" t="s">
        <v>92</v>
      </c>
      <c r="F4085">
        <v>100</v>
      </c>
      <c r="G4085" t="s">
        <v>93</v>
      </c>
      <c r="H4085">
        <v>-87.41</v>
      </c>
      <c r="I4085">
        <v>76</v>
      </c>
      <c r="J4085">
        <v>9.5399999999999991</v>
      </c>
      <c r="K4085">
        <v>92</v>
      </c>
      <c r="L4085">
        <v>-104.77</v>
      </c>
      <c r="M4085">
        <v>60</v>
      </c>
      <c r="N4085">
        <v>0.77</v>
      </c>
      <c r="O4085">
        <v>75</v>
      </c>
      <c r="P4085">
        <v>-10.3</v>
      </c>
      <c r="Q4085">
        <v>88</v>
      </c>
      <c r="R4085">
        <v>2.71</v>
      </c>
      <c r="S4085">
        <v>67</v>
      </c>
      <c r="T4085">
        <v>11.75</v>
      </c>
      <c r="U4085">
        <v>79</v>
      </c>
      <c r="V4085">
        <v>2.89</v>
      </c>
      <c r="W4085">
        <v>55</v>
      </c>
      <c r="X4085" t="s">
        <v>251</v>
      </c>
      <c r="Y4085" t="s">
        <v>282</v>
      </c>
      <c r="Z4085" t="s">
        <v>96</v>
      </c>
      <c r="AA4085" t="s">
        <v>283</v>
      </c>
      <c r="AB4085" t="s">
        <v>284</v>
      </c>
      <c r="AC4085">
        <v>50</v>
      </c>
      <c r="AD4085">
        <v>31</v>
      </c>
      <c r="AE4085">
        <v>92</v>
      </c>
      <c r="AF4085">
        <v>206.77</v>
      </c>
      <c r="AG4085">
        <v>-0.15</v>
      </c>
      <c r="AH4085">
        <v>4.84</v>
      </c>
      <c r="AI4085">
        <v>-0.13</v>
      </c>
      <c r="AJ4085">
        <v>-0.04</v>
      </c>
      <c r="AK4085">
        <v>60</v>
      </c>
      <c r="AL4085">
        <v>49</v>
      </c>
      <c r="AM4085">
        <v>31</v>
      </c>
      <c r="AN4085">
        <v>5.36</v>
      </c>
      <c r="AO4085">
        <v>-3</v>
      </c>
      <c r="AP4085">
        <v>94</v>
      </c>
      <c r="AQ4085">
        <v>0</v>
      </c>
      <c r="AR4085">
        <v>7.69</v>
      </c>
      <c r="AS4085">
        <v>58</v>
      </c>
      <c r="AT4085">
        <v>3.68</v>
      </c>
      <c r="AU4085">
        <v>74</v>
      </c>
      <c r="AV4085">
        <v>-0.1</v>
      </c>
      <c r="AW4085">
        <v>89</v>
      </c>
      <c r="AX4085">
        <v>-0.28999999999999998</v>
      </c>
      <c r="AY4085">
        <v>70</v>
      </c>
      <c r="AZ4085">
        <v>5.34</v>
      </c>
      <c r="BA4085">
        <v>52</v>
      </c>
      <c r="BB4085">
        <v>4.37</v>
      </c>
      <c r="BC4085">
        <v>53</v>
      </c>
      <c r="BD4085">
        <v>-0.02</v>
      </c>
      <c r="BE4085">
        <v>-0.01</v>
      </c>
      <c r="BF4085">
        <v>-0.01</v>
      </c>
      <c r="BG4085">
        <v>76</v>
      </c>
      <c r="BH4085">
        <v>-0.11</v>
      </c>
      <c r="BI4085">
        <v>-22.05</v>
      </c>
      <c r="BJ4085">
        <v>16</v>
      </c>
      <c r="BK4085">
        <v>10</v>
      </c>
      <c r="BL4085">
        <v>0.92</v>
      </c>
      <c r="BM4085">
        <v>1.23</v>
      </c>
      <c r="BN4085">
        <v>1.06</v>
      </c>
      <c r="BO4085">
        <v>0.57999999999999996</v>
      </c>
      <c r="BP4085">
        <v>1.2</v>
      </c>
      <c r="BQ4085">
        <v>2.02</v>
      </c>
      <c r="BR4085">
        <v>0.86</v>
      </c>
      <c r="BS4085">
        <v>-2.19</v>
      </c>
      <c r="BT4085">
        <v>0.36</v>
      </c>
      <c r="BU4085">
        <v>0.32</v>
      </c>
      <c r="BV4085">
        <v>1.57</v>
      </c>
      <c r="BW4085">
        <v>1.86</v>
      </c>
      <c r="BX4085">
        <v>0.79</v>
      </c>
      <c r="BY4085">
        <v>1.04</v>
      </c>
      <c r="BZ4085">
        <v>1.34</v>
      </c>
      <c r="CA4085">
        <v>0.44</v>
      </c>
      <c r="CB4085">
        <v>1.45</v>
      </c>
      <c r="CC4085">
        <v>-1.63</v>
      </c>
      <c r="CD4085">
        <v>-0.17</v>
      </c>
      <c r="CE4085">
        <v>0.61</v>
      </c>
      <c r="CF4085">
        <v>1.1599999999999999</v>
      </c>
      <c r="CG4085">
        <v>0</v>
      </c>
      <c r="CH4085">
        <v>1.33</v>
      </c>
      <c r="CI4085">
        <v>0</v>
      </c>
      <c r="CJ4085">
        <v>-3.6</v>
      </c>
      <c r="CK4085">
        <v>89</v>
      </c>
      <c r="CL4085">
        <v>-0.94</v>
      </c>
      <c r="CM4085">
        <v>87</v>
      </c>
      <c r="CN4085">
        <v>-0.41</v>
      </c>
      <c r="CO4085">
        <v>85</v>
      </c>
      <c r="CP4085">
        <v>-2.9</v>
      </c>
      <c r="CQ4085">
        <v>84</v>
      </c>
      <c r="CR4085">
        <v>0</v>
      </c>
      <c r="CS4085">
        <v>0</v>
      </c>
      <c r="CT4085">
        <v>-2.1</v>
      </c>
      <c r="CU4085">
        <v>79</v>
      </c>
      <c r="CV4085">
        <v>0.24</v>
      </c>
      <c r="CW4085">
        <v>25</v>
      </c>
      <c r="CX4085" t="s">
        <v>285</v>
      </c>
    </row>
    <row r="4086" spans="1:102" x14ac:dyDescent="0.3">
      <c r="A4086" t="str">
        <f>HYPERLINK("https://webapp.icbf.com/v2/app/bull-search/view/494938431","YBO")</f>
        <v>YBO</v>
      </c>
      <c r="B4086" t="s">
        <v>1403</v>
      </c>
      <c r="C4086" t="s">
        <v>1404</v>
      </c>
      <c r="D4086" s="1">
        <v>39116</v>
      </c>
      <c r="E4086" t="s">
        <v>92</v>
      </c>
      <c r="F4086">
        <v>91</v>
      </c>
      <c r="G4086" t="s">
        <v>93</v>
      </c>
      <c r="H4086">
        <v>-87.46</v>
      </c>
      <c r="I4086">
        <v>82</v>
      </c>
      <c r="J4086">
        <v>7.32</v>
      </c>
      <c r="K4086">
        <v>95</v>
      </c>
      <c r="L4086">
        <v>-21.08</v>
      </c>
      <c r="M4086">
        <v>68</v>
      </c>
      <c r="N4086">
        <v>-63.21</v>
      </c>
      <c r="O4086">
        <v>83</v>
      </c>
      <c r="P4086">
        <v>-8.92</v>
      </c>
      <c r="Q4086">
        <v>92</v>
      </c>
      <c r="R4086">
        <v>-8.57</v>
      </c>
      <c r="S4086">
        <v>77</v>
      </c>
      <c r="T4086">
        <v>8.8699999999999992</v>
      </c>
      <c r="U4086">
        <v>86</v>
      </c>
      <c r="V4086">
        <v>-1.87</v>
      </c>
      <c r="W4086">
        <v>75</v>
      </c>
      <c r="X4086" t="s">
        <v>94</v>
      </c>
      <c r="Y4086" t="s">
        <v>1405</v>
      </c>
      <c r="Z4086" t="s">
        <v>96</v>
      </c>
      <c r="AA4086" t="s">
        <v>1406</v>
      </c>
      <c r="AB4086" t="s">
        <v>1407</v>
      </c>
      <c r="AC4086">
        <v>89</v>
      </c>
      <c r="AD4086">
        <v>60</v>
      </c>
      <c r="AE4086">
        <v>95</v>
      </c>
      <c r="AF4086">
        <v>-75.53</v>
      </c>
      <c r="AG4086">
        <v>-1.7</v>
      </c>
      <c r="AH4086">
        <v>0.69</v>
      </c>
      <c r="AI4086">
        <v>0.02</v>
      </c>
      <c r="AJ4086">
        <v>0.05</v>
      </c>
      <c r="AK4086">
        <v>68</v>
      </c>
      <c r="AL4086">
        <v>82</v>
      </c>
      <c r="AM4086">
        <v>55</v>
      </c>
      <c r="AN4086">
        <v>0.43</v>
      </c>
      <c r="AO4086">
        <v>-1.26</v>
      </c>
      <c r="AP4086">
        <v>226</v>
      </c>
      <c r="AQ4086">
        <v>2</v>
      </c>
      <c r="AR4086">
        <v>16.79</v>
      </c>
      <c r="AS4086">
        <v>58</v>
      </c>
      <c r="AT4086">
        <v>6.69</v>
      </c>
      <c r="AU4086">
        <v>86</v>
      </c>
      <c r="AV4086">
        <v>-2.65</v>
      </c>
      <c r="AW4086">
        <v>97</v>
      </c>
      <c r="AX4086">
        <v>0.55000000000000004</v>
      </c>
      <c r="AY4086">
        <v>79</v>
      </c>
      <c r="AZ4086">
        <v>7.02</v>
      </c>
      <c r="BA4086">
        <v>60</v>
      </c>
      <c r="BB4086">
        <v>5.1100000000000003</v>
      </c>
      <c r="BC4086">
        <v>60</v>
      </c>
      <c r="BD4086">
        <v>0.03</v>
      </c>
      <c r="BE4086">
        <v>0.03</v>
      </c>
      <c r="BF4086">
        <v>0.09</v>
      </c>
      <c r="BG4086">
        <v>83</v>
      </c>
      <c r="BH4086">
        <v>0.04</v>
      </c>
      <c r="BI4086">
        <v>10.66</v>
      </c>
      <c r="BJ4086">
        <v>11</v>
      </c>
      <c r="BK4086">
        <v>10</v>
      </c>
      <c r="BL4086">
        <v>-0.44</v>
      </c>
      <c r="BM4086">
        <v>0.46</v>
      </c>
      <c r="BN4086">
        <v>-1.3</v>
      </c>
      <c r="BO4086">
        <v>-1.03</v>
      </c>
      <c r="BP4086">
        <v>0.49</v>
      </c>
      <c r="BQ4086">
        <v>-0.63</v>
      </c>
      <c r="BR4086">
        <v>0.68</v>
      </c>
      <c r="BS4086">
        <v>-2.2000000000000002</v>
      </c>
      <c r="BT4086">
        <v>-0.83</v>
      </c>
      <c r="BU4086">
        <v>0.63</v>
      </c>
      <c r="BV4086">
        <v>0.05</v>
      </c>
      <c r="BW4086">
        <v>0.02</v>
      </c>
      <c r="BX4086">
        <v>1.1499999999999999</v>
      </c>
      <c r="BY4086">
        <v>1.06</v>
      </c>
      <c r="BZ4086">
        <v>2.2200000000000002</v>
      </c>
      <c r="CA4086">
        <v>-0.28999999999999998</v>
      </c>
      <c r="CB4086">
        <v>0.19</v>
      </c>
      <c r="CC4086">
        <v>-1.59</v>
      </c>
      <c r="CD4086">
        <v>0.78</v>
      </c>
      <c r="CE4086">
        <v>-0.75</v>
      </c>
      <c r="CF4086">
        <v>-0.63</v>
      </c>
      <c r="CG4086">
        <v>0</v>
      </c>
      <c r="CH4086">
        <v>0.77</v>
      </c>
      <c r="CI4086">
        <v>0</v>
      </c>
      <c r="CJ4086">
        <v>2</v>
      </c>
      <c r="CK4086">
        <v>93</v>
      </c>
      <c r="CL4086">
        <v>-1.01</v>
      </c>
      <c r="CM4086">
        <v>91</v>
      </c>
      <c r="CN4086">
        <v>7.0000000000000007E-2</v>
      </c>
      <c r="CO4086">
        <v>90</v>
      </c>
      <c r="CP4086">
        <v>-2.9</v>
      </c>
      <c r="CQ4086">
        <v>89</v>
      </c>
      <c r="CR4086">
        <v>0</v>
      </c>
      <c r="CS4086">
        <v>0</v>
      </c>
      <c r="CT4086">
        <v>1.8</v>
      </c>
      <c r="CU4086">
        <v>86</v>
      </c>
      <c r="CV4086">
        <v>0.34</v>
      </c>
      <c r="CW4086">
        <v>28</v>
      </c>
      <c r="CX4086" t="s">
        <v>1037</v>
      </c>
    </row>
    <row r="4087" spans="1:102" x14ac:dyDescent="0.3">
      <c r="A4087" t="str">
        <f>HYPERLINK("https://webapp.icbf.com/v2/app/bull-search/view/77859865","BOT")</f>
        <v>BOT</v>
      </c>
      <c r="B4087" t="s">
        <v>827</v>
      </c>
      <c r="C4087" t="s">
        <v>828</v>
      </c>
      <c r="D4087" s="1">
        <v>31434</v>
      </c>
      <c r="E4087" t="s">
        <v>108</v>
      </c>
      <c r="F4087">
        <v>3</v>
      </c>
      <c r="G4087" t="s">
        <v>93</v>
      </c>
      <c r="H4087">
        <v>-87.56</v>
      </c>
      <c r="I4087">
        <v>62</v>
      </c>
      <c r="J4087">
        <v>-84.94</v>
      </c>
      <c r="K4087">
        <v>76</v>
      </c>
      <c r="L4087">
        <v>-13.83</v>
      </c>
      <c r="M4087">
        <v>54</v>
      </c>
      <c r="N4087">
        <v>23.91</v>
      </c>
      <c r="O4087">
        <v>43</v>
      </c>
      <c r="P4087">
        <v>-7.03</v>
      </c>
      <c r="Q4087">
        <v>71</v>
      </c>
      <c r="R4087">
        <v>-10.220000000000001</v>
      </c>
      <c r="S4087">
        <v>57</v>
      </c>
      <c r="T4087">
        <v>9.5299999999999994</v>
      </c>
      <c r="U4087">
        <v>70</v>
      </c>
      <c r="V4087">
        <v>-4.9800000000000004</v>
      </c>
      <c r="W4087">
        <v>23</v>
      </c>
      <c r="X4087" t="s">
        <v>94</v>
      </c>
      <c r="Y4087" t="s">
        <v>95</v>
      </c>
      <c r="Z4087" t="s">
        <v>96</v>
      </c>
      <c r="AA4087" t="s">
        <v>829</v>
      </c>
      <c r="AB4087" t="s">
        <v>830</v>
      </c>
      <c r="AC4087">
        <v>19</v>
      </c>
      <c r="AD4087">
        <v>17</v>
      </c>
      <c r="AE4087">
        <v>76</v>
      </c>
      <c r="AF4087">
        <v>-431.5</v>
      </c>
      <c r="AG4087">
        <v>-15.35</v>
      </c>
      <c r="AH4087">
        <v>-15.62</v>
      </c>
      <c r="AI4087">
        <v>0.03</v>
      </c>
      <c r="AJ4087">
        <v>-0.01</v>
      </c>
      <c r="AK4087">
        <v>54</v>
      </c>
      <c r="AL4087">
        <v>44</v>
      </c>
      <c r="AM4087">
        <v>37</v>
      </c>
      <c r="AN4087">
        <v>0.23</v>
      </c>
      <c r="AO4087">
        <v>-0.88</v>
      </c>
      <c r="AP4087">
        <v>1</v>
      </c>
      <c r="AQ4087">
        <v>0</v>
      </c>
      <c r="AR4087">
        <v>5.89</v>
      </c>
      <c r="AS4087">
        <v>24</v>
      </c>
      <c r="AT4087">
        <v>2.27</v>
      </c>
      <c r="AU4087">
        <v>36</v>
      </c>
      <c r="AV4087">
        <v>-0.85</v>
      </c>
      <c r="AW4087">
        <v>51</v>
      </c>
      <c r="AX4087">
        <v>-0.66</v>
      </c>
      <c r="AY4087">
        <v>56</v>
      </c>
      <c r="AZ4087">
        <v>5.65</v>
      </c>
      <c r="BA4087">
        <v>21</v>
      </c>
      <c r="BB4087">
        <v>4.25</v>
      </c>
      <c r="BC4087">
        <v>35</v>
      </c>
      <c r="BD4087">
        <v>0.06</v>
      </c>
      <c r="BE4087">
        <v>0.05</v>
      </c>
      <c r="BF4087">
        <v>0.04</v>
      </c>
      <c r="BG4087">
        <v>76</v>
      </c>
      <c r="BH4087">
        <v>-0.11</v>
      </c>
      <c r="BI4087">
        <v>3.34</v>
      </c>
      <c r="BJ4087">
        <v>2</v>
      </c>
      <c r="BK4087">
        <v>2</v>
      </c>
      <c r="BL4087">
        <v>-2.78</v>
      </c>
      <c r="BM4087">
        <v>2.06</v>
      </c>
      <c r="BN4087">
        <v>-1.95</v>
      </c>
      <c r="BO4087">
        <v>-3.05</v>
      </c>
      <c r="BP4087">
        <v>-0.8</v>
      </c>
      <c r="BQ4087">
        <v>0.42</v>
      </c>
      <c r="BR4087">
        <v>-0.88</v>
      </c>
      <c r="BS4087">
        <v>-0.33</v>
      </c>
      <c r="BT4087">
        <v>-0.83</v>
      </c>
      <c r="BU4087">
        <v>-1.0900000000000001</v>
      </c>
      <c r="BV4087">
        <v>-2.13</v>
      </c>
      <c r="BW4087">
        <v>-1.9</v>
      </c>
      <c r="BX4087">
        <v>-0.54</v>
      </c>
      <c r="BY4087">
        <v>-1.18</v>
      </c>
      <c r="BZ4087">
        <v>-0.99</v>
      </c>
      <c r="CA4087">
        <v>-2.0299999999999998</v>
      </c>
      <c r="CB4087">
        <v>-2.16</v>
      </c>
      <c r="CC4087">
        <v>-1.01</v>
      </c>
      <c r="CD4087">
        <v>2.82</v>
      </c>
      <c r="CE4087">
        <v>-2.95</v>
      </c>
      <c r="CF4087">
        <v>-2.69</v>
      </c>
      <c r="CG4087">
        <v>0</v>
      </c>
      <c r="CH4087">
        <v>-1.28</v>
      </c>
      <c r="CI4087">
        <v>0</v>
      </c>
      <c r="CJ4087">
        <v>-5.5</v>
      </c>
      <c r="CK4087">
        <v>74</v>
      </c>
      <c r="CL4087">
        <v>-0.06</v>
      </c>
      <c r="CM4087">
        <v>67</v>
      </c>
      <c r="CN4087">
        <v>-0.17</v>
      </c>
      <c r="CO4087">
        <v>64</v>
      </c>
      <c r="CP4087">
        <v>-5.4</v>
      </c>
      <c r="CQ4087">
        <v>70</v>
      </c>
      <c r="CR4087">
        <v>0</v>
      </c>
      <c r="CS4087">
        <v>0</v>
      </c>
      <c r="CT4087">
        <v>0.9</v>
      </c>
      <c r="CU4087">
        <v>70</v>
      </c>
      <c r="CV4087">
        <v>-0.14000000000000001</v>
      </c>
      <c r="CW4087">
        <v>21</v>
      </c>
      <c r="CX4087" t="s">
        <v>831</v>
      </c>
    </row>
    <row r="4088" spans="1:102" x14ac:dyDescent="0.3">
      <c r="A4088" t="str">
        <f>HYPERLINK("https://webapp.icbf.com/v2/app/bull-search/view/77857258","GSZ")</f>
        <v>GSZ</v>
      </c>
      <c r="B4088" t="s">
        <v>12407</v>
      </c>
      <c r="C4088" t="s">
        <v>12408</v>
      </c>
      <c r="D4088" s="1">
        <v>34332</v>
      </c>
      <c r="E4088" t="s">
        <v>92</v>
      </c>
      <c r="F4088">
        <v>100</v>
      </c>
      <c r="G4088" t="s">
        <v>93</v>
      </c>
      <c r="H4088">
        <v>-87.68</v>
      </c>
      <c r="I4088">
        <v>70</v>
      </c>
      <c r="J4088">
        <v>-12.76</v>
      </c>
      <c r="K4088">
        <v>90</v>
      </c>
      <c r="L4088">
        <v>-87.8</v>
      </c>
      <c r="M4088">
        <v>59</v>
      </c>
      <c r="N4088">
        <v>25.03</v>
      </c>
      <c r="O4088">
        <v>57</v>
      </c>
      <c r="P4088">
        <v>-4.79</v>
      </c>
      <c r="Q4088">
        <v>73</v>
      </c>
      <c r="R4088">
        <v>-16.57</v>
      </c>
      <c r="S4088">
        <v>64</v>
      </c>
      <c r="T4088">
        <v>15.31</v>
      </c>
      <c r="U4088">
        <v>69</v>
      </c>
      <c r="V4088">
        <v>-6.1</v>
      </c>
      <c r="W4088">
        <v>33</v>
      </c>
      <c r="X4088" t="s">
        <v>94</v>
      </c>
      <c r="Y4088" t="s">
        <v>95</v>
      </c>
      <c r="Z4088" t="s">
        <v>96</v>
      </c>
      <c r="AA4088" t="s">
        <v>1185</v>
      </c>
      <c r="AB4088" t="s">
        <v>12409</v>
      </c>
      <c r="AC4088">
        <v>50</v>
      </c>
      <c r="AD4088">
        <v>47</v>
      </c>
      <c r="AE4088">
        <v>90</v>
      </c>
      <c r="AF4088">
        <v>-4.08</v>
      </c>
      <c r="AG4088">
        <v>4.43</v>
      </c>
      <c r="AH4088">
        <v>-3.8</v>
      </c>
      <c r="AI4088">
        <v>0.08</v>
      </c>
      <c r="AJ4088">
        <v>-0.06</v>
      </c>
      <c r="AK4088">
        <v>59</v>
      </c>
      <c r="AL4088">
        <v>68</v>
      </c>
      <c r="AM4088">
        <v>58</v>
      </c>
      <c r="AN4088">
        <v>4.1500000000000004</v>
      </c>
      <c r="AO4088">
        <v>-2.86</v>
      </c>
      <c r="AP4088">
        <v>6</v>
      </c>
      <c r="AQ4088">
        <v>0</v>
      </c>
      <c r="AR4088">
        <v>5.35</v>
      </c>
      <c r="AS4088">
        <v>32</v>
      </c>
      <c r="AT4088">
        <v>2.74</v>
      </c>
      <c r="AU4088">
        <v>50</v>
      </c>
      <c r="AV4088">
        <v>-1.44</v>
      </c>
      <c r="AW4088">
        <v>68</v>
      </c>
      <c r="AX4088">
        <v>-0.15</v>
      </c>
      <c r="AY4088">
        <v>65</v>
      </c>
      <c r="AZ4088">
        <v>5.26</v>
      </c>
      <c r="BA4088">
        <v>32</v>
      </c>
      <c r="BB4088">
        <v>4.37</v>
      </c>
      <c r="BC4088">
        <v>47</v>
      </c>
      <c r="BD4088">
        <v>0.06</v>
      </c>
      <c r="BE4088">
        <v>0.09</v>
      </c>
      <c r="BF4088">
        <v>0.11</v>
      </c>
      <c r="BG4088">
        <v>80</v>
      </c>
      <c r="BH4088">
        <v>-0.11</v>
      </c>
      <c r="BI4088">
        <v>6.95</v>
      </c>
      <c r="BJ4088">
        <v>13</v>
      </c>
      <c r="BK4088">
        <v>13</v>
      </c>
      <c r="BL4088">
        <v>0.55000000000000004</v>
      </c>
      <c r="BM4088">
        <v>-1.1200000000000001</v>
      </c>
      <c r="BN4088">
        <v>-0.62</v>
      </c>
      <c r="BO4088">
        <v>0.32</v>
      </c>
      <c r="BP4088">
        <v>3.14</v>
      </c>
      <c r="BQ4088">
        <v>0.04</v>
      </c>
      <c r="BR4088">
        <v>-0.8</v>
      </c>
      <c r="BS4088">
        <v>1.47</v>
      </c>
      <c r="BT4088">
        <v>0.96</v>
      </c>
      <c r="BU4088">
        <v>-0.68</v>
      </c>
      <c r="BV4088">
        <v>-0.3</v>
      </c>
      <c r="BW4088">
        <v>-0.15</v>
      </c>
      <c r="BX4088">
        <v>-0.25</v>
      </c>
      <c r="BY4088">
        <v>-1.03</v>
      </c>
      <c r="BZ4088">
        <v>0.68</v>
      </c>
      <c r="CA4088">
        <v>0.09</v>
      </c>
      <c r="CB4088">
        <v>-0.13</v>
      </c>
      <c r="CC4088">
        <v>0.77</v>
      </c>
      <c r="CD4088">
        <v>-0.26</v>
      </c>
      <c r="CE4088">
        <v>0.55000000000000004</v>
      </c>
      <c r="CF4088">
        <v>0.88</v>
      </c>
      <c r="CG4088">
        <v>0</v>
      </c>
      <c r="CH4088">
        <v>0.47</v>
      </c>
      <c r="CI4088">
        <v>0</v>
      </c>
      <c r="CJ4088">
        <v>-2.1</v>
      </c>
      <c r="CK4088">
        <v>74</v>
      </c>
      <c r="CL4088">
        <v>-0.46</v>
      </c>
      <c r="CM4088">
        <v>71</v>
      </c>
      <c r="CN4088">
        <v>-0.34</v>
      </c>
      <c r="CO4088">
        <v>67</v>
      </c>
      <c r="CP4088">
        <v>-7.5</v>
      </c>
      <c r="CQ4088">
        <v>79</v>
      </c>
      <c r="CR4088">
        <v>0</v>
      </c>
      <c r="CS4088">
        <v>0</v>
      </c>
      <c r="CT4088">
        <v>-6.9</v>
      </c>
      <c r="CU4088">
        <v>69</v>
      </c>
      <c r="CV4088">
        <v>0.08</v>
      </c>
      <c r="CW4088">
        <v>20</v>
      </c>
      <c r="CX4088" t="s">
        <v>166</v>
      </c>
    </row>
    <row r="4089" spans="1:102" x14ac:dyDescent="0.3">
      <c r="A4089" t="str">
        <f>HYPERLINK("https://webapp.icbf.com/v2/app/bull-search/view/77858122","EDD")</f>
        <v>EDD</v>
      </c>
      <c r="B4089" t="s">
        <v>656</v>
      </c>
      <c r="C4089" t="s">
        <v>657</v>
      </c>
      <c r="D4089" s="1">
        <v>31741</v>
      </c>
      <c r="E4089" t="s">
        <v>92</v>
      </c>
      <c r="F4089">
        <v>100</v>
      </c>
      <c r="G4089" t="s">
        <v>93</v>
      </c>
      <c r="H4089">
        <v>-87.81</v>
      </c>
      <c r="I4089">
        <v>89</v>
      </c>
      <c r="J4089">
        <v>-13.12</v>
      </c>
      <c r="K4089">
        <v>98</v>
      </c>
      <c r="L4089">
        <v>-46.5</v>
      </c>
      <c r="M4089">
        <v>89</v>
      </c>
      <c r="N4089">
        <v>-19.52</v>
      </c>
      <c r="O4089">
        <v>74</v>
      </c>
      <c r="P4089">
        <v>-15.82</v>
      </c>
      <c r="Q4089">
        <v>93</v>
      </c>
      <c r="R4089">
        <v>-6.35</v>
      </c>
      <c r="S4089">
        <v>80</v>
      </c>
      <c r="T4089">
        <v>17.010000000000002</v>
      </c>
      <c r="U4089">
        <v>86</v>
      </c>
      <c r="V4089">
        <v>-3.51</v>
      </c>
      <c r="W4089">
        <v>64</v>
      </c>
      <c r="X4089" t="s">
        <v>110</v>
      </c>
      <c r="Y4089" t="s">
        <v>95</v>
      </c>
      <c r="Z4089" t="s">
        <v>96</v>
      </c>
      <c r="AA4089" t="s">
        <v>658</v>
      </c>
      <c r="AB4089" t="s">
        <v>659</v>
      </c>
      <c r="AC4089">
        <v>205</v>
      </c>
      <c r="AD4089">
        <v>96</v>
      </c>
      <c r="AE4089">
        <v>98</v>
      </c>
      <c r="AF4089">
        <v>-143.38999999999999</v>
      </c>
      <c r="AG4089">
        <v>-3.24</v>
      </c>
      <c r="AH4089">
        <v>-3.28</v>
      </c>
      <c r="AI4089">
        <v>0.04</v>
      </c>
      <c r="AJ4089">
        <v>0.03</v>
      </c>
      <c r="AK4089">
        <v>89</v>
      </c>
      <c r="AL4089">
        <v>332</v>
      </c>
      <c r="AM4089">
        <v>131</v>
      </c>
      <c r="AN4089">
        <v>1.62</v>
      </c>
      <c r="AO4089">
        <v>-2.1</v>
      </c>
      <c r="AP4089">
        <v>7</v>
      </c>
      <c r="AQ4089">
        <v>1</v>
      </c>
      <c r="AR4089">
        <v>9.17</v>
      </c>
      <c r="AS4089">
        <v>60</v>
      </c>
      <c r="AT4089">
        <v>4.21</v>
      </c>
      <c r="AU4089">
        <v>78</v>
      </c>
      <c r="AV4089">
        <v>-0.03</v>
      </c>
      <c r="AW4089">
        <v>74</v>
      </c>
      <c r="AX4089">
        <v>-0.36</v>
      </c>
      <c r="AY4089">
        <v>87</v>
      </c>
      <c r="AZ4089">
        <v>7.11</v>
      </c>
      <c r="BA4089">
        <v>52</v>
      </c>
      <c r="BB4089">
        <v>5.84</v>
      </c>
      <c r="BC4089">
        <v>68</v>
      </c>
      <c r="BD4089">
        <v>0</v>
      </c>
      <c r="BE4089">
        <v>0.04</v>
      </c>
      <c r="BF4089">
        <v>7.0000000000000007E-2</v>
      </c>
      <c r="BG4089">
        <v>96</v>
      </c>
      <c r="BH4089">
        <v>-0.12</v>
      </c>
      <c r="BI4089">
        <v>-2.5499999999999998</v>
      </c>
      <c r="BJ4089">
        <v>21</v>
      </c>
      <c r="BK4089">
        <v>13</v>
      </c>
      <c r="BL4089">
        <v>0.56000000000000005</v>
      </c>
      <c r="BM4089">
        <v>-1.56</v>
      </c>
      <c r="BN4089">
        <v>0.47</v>
      </c>
      <c r="BO4089">
        <v>0.98</v>
      </c>
      <c r="BP4089">
        <v>0.47</v>
      </c>
      <c r="BQ4089">
        <v>0.03</v>
      </c>
      <c r="BR4089">
        <v>0.91</v>
      </c>
      <c r="BS4089">
        <v>0.37</v>
      </c>
      <c r="BT4089">
        <v>-0.18</v>
      </c>
      <c r="BU4089">
        <v>-0.42</v>
      </c>
      <c r="BV4089">
        <v>-0.09</v>
      </c>
      <c r="BW4089">
        <v>0.79</v>
      </c>
      <c r="BX4089">
        <v>0.37</v>
      </c>
      <c r="BY4089">
        <v>0.43</v>
      </c>
      <c r="BZ4089">
        <v>-0.74</v>
      </c>
      <c r="CA4089">
        <v>0.16</v>
      </c>
      <c r="CB4089">
        <v>0.08</v>
      </c>
      <c r="CC4089">
        <v>0.65</v>
      </c>
      <c r="CD4089">
        <v>-1.46</v>
      </c>
      <c r="CE4089">
        <v>1.56</v>
      </c>
      <c r="CF4089">
        <v>1.41</v>
      </c>
      <c r="CG4089">
        <v>0</v>
      </c>
      <c r="CH4089">
        <v>0.25</v>
      </c>
      <c r="CI4089">
        <v>0</v>
      </c>
      <c r="CJ4089">
        <v>-8.1</v>
      </c>
      <c r="CK4089">
        <v>94</v>
      </c>
      <c r="CL4089">
        <v>-0.59</v>
      </c>
      <c r="CM4089">
        <v>92</v>
      </c>
      <c r="CN4089">
        <v>-0.18</v>
      </c>
      <c r="CO4089">
        <v>92</v>
      </c>
      <c r="CP4089">
        <v>-4.4000000000000004</v>
      </c>
      <c r="CQ4089">
        <v>93</v>
      </c>
      <c r="CR4089">
        <v>0</v>
      </c>
      <c r="CS4089">
        <v>0</v>
      </c>
      <c r="CT4089">
        <v>-9.1999999999999993</v>
      </c>
      <c r="CU4089">
        <v>86</v>
      </c>
      <c r="CV4089">
        <v>-7.0000000000000007E-2</v>
      </c>
      <c r="CW4089">
        <v>44</v>
      </c>
      <c r="CX4089" t="s">
        <v>120</v>
      </c>
    </row>
    <row r="4090" spans="1:102" x14ac:dyDescent="0.3">
      <c r="A4090" t="str">
        <f>HYPERLINK("https://webapp.icbf.com/v2/app/bull-search/view/77857708","ESQ")</f>
        <v>ESQ</v>
      </c>
      <c r="B4090" t="s">
        <v>11392</v>
      </c>
      <c r="C4090" t="s">
        <v>1008</v>
      </c>
      <c r="D4090" s="1">
        <v>32746</v>
      </c>
      <c r="E4090" t="s">
        <v>92</v>
      </c>
      <c r="F4090">
        <v>100</v>
      </c>
      <c r="G4090" t="s">
        <v>93</v>
      </c>
      <c r="H4090">
        <v>-88.16</v>
      </c>
      <c r="I4090">
        <v>97</v>
      </c>
      <c r="J4090">
        <v>-4.5</v>
      </c>
      <c r="K4090">
        <v>99</v>
      </c>
      <c r="L4090">
        <v>-60.17</v>
      </c>
      <c r="M4090">
        <v>95</v>
      </c>
      <c r="N4090">
        <v>-12.45</v>
      </c>
      <c r="O4090">
        <v>97</v>
      </c>
      <c r="P4090">
        <v>-6.16</v>
      </c>
      <c r="Q4090">
        <v>99</v>
      </c>
      <c r="R4090">
        <v>-15.16</v>
      </c>
      <c r="S4090">
        <v>93</v>
      </c>
      <c r="T4090">
        <v>6.43</v>
      </c>
      <c r="U4090">
        <v>98</v>
      </c>
      <c r="V4090">
        <v>3.85</v>
      </c>
      <c r="W4090">
        <v>91</v>
      </c>
      <c r="X4090" t="s">
        <v>94</v>
      </c>
      <c r="Y4090" t="s">
        <v>95</v>
      </c>
      <c r="Z4090" t="s">
        <v>96</v>
      </c>
      <c r="AA4090" t="s">
        <v>1488</v>
      </c>
      <c r="AB4090" t="s">
        <v>11393</v>
      </c>
      <c r="AC4090">
        <v>2171</v>
      </c>
      <c r="AD4090">
        <v>962</v>
      </c>
      <c r="AE4090">
        <v>99</v>
      </c>
      <c r="AF4090">
        <v>187.6</v>
      </c>
      <c r="AG4090">
        <v>-2.78</v>
      </c>
      <c r="AH4090">
        <v>3.09</v>
      </c>
      <c r="AI4090">
        <v>-0.17</v>
      </c>
      <c r="AJ4090">
        <v>-0.06</v>
      </c>
      <c r="AK4090">
        <v>95</v>
      </c>
      <c r="AL4090">
        <v>2190</v>
      </c>
      <c r="AM4090">
        <v>988</v>
      </c>
      <c r="AN4090">
        <v>3.91</v>
      </c>
      <c r="AO4090">
        <v>-0.88</v>
      </c>
      <c r="AP4090">
        <v>132</v>
      </c>
      <c r="AQ4090">
        <v>3</v>
      </c>
      <c r="AR4090">
        <v>11.71</v>
      </c>
      <c r="AS4090">
        <v>92</v>
      </c>
      <c r="AT4090">
        <v>4.21</v>
      </c>
      <c r="AU4090">
        <v>99</v>
      </c>
      <c r="AV4090">
        <v>-1.1599999999999999</v>
      </c>
      <c r="AW4090">
        <v>98</v>
      </c>
      <c r="AX4090">
        <v>0.2</v>
      </c>
      <c r="AY4090">
        <v>99</v>
      </c>
      <c r="AZ4090">
        <v>5.24</v>
      </c>
      <c r="BA4090">
        <v>91</v>
      </c>
      <c r="BB4090">
        <v>4.78</v>
      </c>
      <c r="BC4090">
        <v>96</v>
      </c>
      <c r="BD4090">
        <v>0.01</v>
      </c>
      <c r="BE4090">
        <v>0.08</v>
      </c>
      <c r="BF4090">
        <v>0.18</v>
      </c>
      <c r="BG4090">
        <v>99</v>
      </c>
      <c r="BH4090">
        <v>0.09</v>
      </c>
      <c r="BI4090">
        <v>-2.02</v>
      </c>
      <c r="BJ4090">
        <v>305</v>
      </c>
      <c r="BK4090">
        <v>179</v>
      </c>
      <c r="BL4090">
        <v>1.02</v>
      </c>
      <c r="BM4090">
        <v>0.34</v>
      </c>
      <c r="BN4090">
        <v>2.2200000000000002</v>
      </c>
      <c r="BO4090">
        <v>1.4</v>
      </c>
      <c r="BP4090">
        <v>-1.29</v>
      </c>
      <c r="BQ4090">
        <v>0.95</v>
      </c>
      <c r="BR4090">
        <v>-0.08</v>
      </c>
      <c r="BS4090">
        <v>0.76</v>
      </c>
      <c r="BT4090">
        <v>0.22</v>
      </c>
      <c r="BU4090">
        <v>-0.05</v>
      </c>
      <c r="BV4090">
        <v>0.2</v>
      </c>
      <c r="BW4090">
        <v>1.1100000000000001</v>
      </c>
      <c r="BX4090">
        <v>0.12</v>
      </c>
      <c r="BY4090">
        <v>0.55000000000000004</v>
      </c>
      <c r="BZ4090">
        <v>0.75</v>
      </c>
      <c r="CA4090">
        <v>1.04</v>
      </c>
      <c r="CB4090">
        <v>0.69</v>
      </c>
      <c r="CC4090">
        <v>1.58</v>
      </c>
      <c r="CD4090">
        <v>-0.94</v>
      </c>
      <c r="CE4090">
        <v>1.43</v>
      </c>
      <c r="CF4090">
        <v>1.79</v>
      </c>
      <c r="CG4090">
        <v>0</v>
      </c>
      <c r="CH4090">
        <v>0.55000000000000004</v>
      </c>
      <c r="CI4090">
        <v>0</v>
      </c>
      <c r="CJ4090">
        <v>0.5</v>
      </c>
      <c r="CK4090">
        <v>99</v>
      </c>
      <c r="CL4090">
        <v>-0.86</v>
      </c>
      <c r="CM4090">
        <v>99</v>
      </c>
      <c r="CN4090">
        <v>-0.2</v>
      </c>
      <c r="CO4090">
        <v>98</v>
      </c>
      <c r="CP4090">
        <v>-2.1</v>
      </c>
      <c r="CQ4090">
        <v>99</v>
      </c>
      <c r="CR4090">
        <v>0</v>
      </c>
      <c r="CS4090">
        <v>0</v>
      </c>
      <c r="CT4090">
        <v>5.0999999999999996</v>
      </c>
      <c r="CU4090">
        <v>98</v>
      </c>
      <c r="CV4090">
        <v>0.21</v>
      </c>
      <c r="CW4090">
        <v>46</v>
      </c>
      <c r="CX4090" t="s">
        <v>154</v>
      </c>
    </row>
    <row r="4091" spans="1:102" x14ac:dyDescent="0.3">
      <c r="A4091" t="str">
        <f>HYPERLINK("https://webapp.icbf.com/v2/app/bull-search/view/426772928","ROI")</f>
        <v>ROI</v>
      </c>
      <c r="B4091" t="s">
        <v>8815</v>
      </c>
      <c r="C4091" t="s">
        <v>8816</v>
      </c>
      <c r="D4091" s="1">
        <v>36613</v>
      </c>
      <c r="E4091" t="s">
        <v>92</v>
      </c>
      <c r="F4091">
        <v>100</v>
      </c>
      <c r="G4091" t="s">
        <v>93</v>
      </c>
      <c r="H4091">
        <v>-88.21</v>
      </c>
      <c r="I4091">
        <v>96</v>
      </c>
      <c r="J4091">
        <v>29.68</v>
      </c>
      <c r="K4091">
        <v>99</v>
      </c>
      <c r="L4091">
        <v>-130.79</v>
      </c>
      <c r="M4091">
        <v>94</v>
      </c>
      <c r="N4091">
        <v>26.92</v>
      </c>
      <c r="O4091">
        <v>96</v>
      </c>
      <c r="P4091">
        <v>2.21</v>
      </c>
      <c r="Q4091">
        <v>99</v>
      </c>
      <c r="R4091">
        <v>-2.96</v>
      </c>
      <c r="S4091">
        <v>94</v>
      </c>
      <c r="T4091">
        <v>-14.81</v>
      </c>
      <c r="U4091">
        <v>96</v>
      </c>
      <c r="V4091">
        <v>1.54</v>
      </c>
      <c r="W4091">
        <v>94</v>
      </c>
      <c r="X4091" t="s">
        <v>94</v>
      </c>
      <c r="Y4091" t="s">
        <v>95</v>
      </c>
      <c r="Z4091" t="s">
        <v>96</v>
      </c>
      <c r="AA4091" t="s">
        <v>174</v>
      </c>
      <c r="AB4091" t="s">
        <v>2902</v>
      </c>
      <c r="AC4091">
        <v>807</v>
      </c>
      <c r="AD4091">
        <v>225</v>
      </c>
      <c r="AE4091">
        <v>99</v>
      </c>
      <c r="AF4091">
        <v>369.65</v>
      </c>
      <c r="AG4091">
        <v>2.7</v>
      </c>
      <c r="AH4091">
        <v>9.75</v>
      </c>
      <c r="AI4091">
        <v>-0.19</v>
      </c>
      <c r="AJ4091">
        <v>-0.05</v>
      </c>
      <c r="AK4091">
        <v>94</v>
      </c>
      <c r="AL4091">
        <v>729</v>
      </c>
      <c r="AM4091">
        <v>227</v>
      </c>
      <c r="AN4091">
        <v>6.35</v>
      </c>
      <c r="AO4091">
        <v>-4.09</v>
      </c>
      <c r="AP4091">
        <v>1487</v>
      </c>
      <c r="AQ4091">
        <v>15</v>
      </c>
      <c r="AR4091">
        <v>7.29</v>
      </c>
      <c r="AS4091">
        <v>97</v>
      </c>
      <c r="AT4091">
        <v>2.36</v>
      </c>
      <c r="AU4091">
        <v>97</v>
      </c>
      <c r="AV4091">
        <v>-3.25</v>
      </c>
      <c r="AW4091">
        <v>99</v>
      </c>
      <c r="AX4091">
        <v>0.05</v>
      </c>
      <c r="AY4091">
        <v>97</v>
      </c>
      <c r="AZ4091">
        <v>7.21</v>
      </c>
      <c r="BA4091">
        <v>90</v>
      </c>
      <c r="BB4091">
        <v>5.87</v>
      </c>
      <c r="BC4091">
        <v>89</v>
      </c>
      <c r="BD4091">
        <v>0</v>
      </c>
      <c r="BE4091">
        <v>0.02</v>
      </c>
      <c r="BF4091">
        <v>0.03</v>
      </c>
      <c r="BG4091">
        <v>98</v>
      </c>
      <c r="BH4091">
        <v>0.02</v>
      </c>
      <c r="BI4091">
        <v>-2.66</v>
      </c>
      <c r="BJ4091">
        <v>143</v>
      </c>
      <c r="BK4091">
        <v>58</v>
      </c>
      <c r="BL4091">
        <v>1.45</v>
      </c>
      <c r="BM4091">
        <v>1.53</v>
      </c>
      <c r="BN4091">
        <v>2.11</v>
      </c>
      <c r="BO4091">
        <v>0.8</v>
      </c>
      <c r="BP4091">
        <v>0.5</v>
      </c>
      <c r="BQ4091">
        <v>1.21</v>
      </c>
      <c r="BR4091">
        <v>-1.39</v>
      </c>
      <c r="BS4091">
        <v>-0.76</v>
      </c>
      <c r="BT4091">
        <v>1.1299999999999999</v>
      </c>
      <c r="BU4091">
        <v>1.72</v>
      </c>
      <c r="BV4091">
        <v>1.84</v>
      </c>
      <c r="BW4091">
        <v>1.06</v>
      </c>
      <c r="BX4091">
        <v>1.1399999999999999</v>
      </c>
      <c r="BY4091">
        <v>3.84</v>
      </c>
      <c r="BZ4091">
        <v>-0.68</v>
      </c>
      <c r="CA4091">
        <v>1.35</v>
      </c>
      <c r="CB4091">
        <v>1.85</v>
      </c>
      <c r="CC4091">
        <v>0.05</v>
      </c>
      <c r="CD4091">
        <v>0.01</v>
      </c>
      <c r="CE4091">
        <v>0.61</v>
      </c>
      <c r="CF4091">
        <v>1.54</v>
      </c>
      <c r="CG4091">
        <v>0</v>
      </c>
      <c r="CH4091">
        <v>3.9</v>
      </c>
      <c r="CI4091">
        <v>0</v>
      </c>
      <c r="CJ4091">
        <v>3.5</v>
      </c>
      <c r="CK4091">
        <v>99</v>
      </c>
      <c r="CL4091">
        <v>-0.87</v>
      </c>
      <c r="CM4091">
        <v>98</v>
      </c>
      <c r="CN4091">
        <v>-0.37</v>
      </c>
      <c r="CO4091">
        <v>98</v>
      </c>
      <c r="CP4091">
        <v>13.5</v>
      </c>
      <c r="CQ4091">
        <v>98</v>
      </c>
      <c r="CR4091">
        <v>0</v>
      </c>
      <c r="CS4091">
        <v>0</v>
      </c>
      <c r="CT4091">
        <v>33.799999999999997</v>
      </c>
      <c r="CU4091">
        <v>96</v>
      </c>
      <c r="CV4091">
        <v>0.23</v>
      </c>
      <c r="CW4091">
        <v>46</v>
      </c>
      <c r="CX4091" t="s">
        <v>2903</v>
      </c>
    </row>
    <row r="4092" spans="1:102" x14ac:dyDescent="0.3">
      <c r="A4092" t="str">
        <f>HYPERLINK("https://webapp.icbf.com/v2/app/bull-search/view/124414545","DDO")</f>
        <v>DDO</v>
      </c>
      <c r="B4092" t="s">
        <v>12075</v>
      </c>
      <c r="C4092" t="s">
        <v>12076</v>
      </c>
      <c r="D4092" s="1">
        <v>35092</v>
      </c>
      <c r="E4092" t="s">
        <v>92</v>
      </c>
      <c r="F4092">
        <v>100</v>
      </c>
      <c r="G4092" t="s">
        <v>93</v>
      </c>
      <c r="H4092">
        <v>-88.22</v>
      </c>
      <c r="I4092">
        <v>78</v>
      </c>
      <c r="J4092">
        <v>-18.72</v>
      </c>
      <c r="K4092">
        <v>93</v>
      </c>
      <c r="L4092">
        <v>-85.71</v>
      </c>
      <c r="M4092">
        <v>73</v>
      </c>
      <c r="N4092">
        <v>20.72</v>
      </c>
      <c r="O4092">
        <v>65</v>
      </c>
      <c r="P4092">
        <v>-0.08</v>
      </c>
      <c r="Q4092">
        <v>78</v>
      </c>
      <c r="R4092">
        <v>-6.02</v>
      </c>
      <c r="S4092">
        <v>72</v>
      </c>
      <c r="T4092">
        <v>7.98</v>
      </c>
      <c r="U4092">
        <v>67</v>
      </c>
      <c r="V4092">
        <v>-6.39</v>
      </c>
      <c r="W4092">
        <v>62</v>
      </c>
      <c r="X4092" t="s">
        <v>102</v>
      </c>
      <c r="Y4092" t="s">
        <v>95</v>
      </c>
      <c r="Z4092" t="s">
        <v>96</v>
      </c>
      <c r="AA4092" t="s">
        <v>924</v>
      </c>
      <c r="AB4092" t="s">
        <v>12077</v>
      </c>
      <c r="AC4092">
        <v>34</v>
      </c>
      <c r="AD4092">
        <v>16</v>
      </c>
      <c r="AE4092">
        <v>93</v>
      </c>
      <c r="AF4092">
        <v>117.98</v>
      </c>
      <c r="AG4092">
        <v>-1.72</v>
      </c>
      <c r="AH4092">
        <v>-0.77</v>
      </c>
      <c r="AI4092">
        <v>-0.11</v>
      </c>
      <c r="AJ4092">
        <v>-0.08</v>
      </c>
      <c r="AK4092">
        <v>73</v>
      </c>
      <c r="AL4092">
        <v>30</v>
      </c>
      <c r="AM4092">
        <v>14</v>
      </c>
      <c r="AN4092">
        <v>5.85</v>
      </c>
      <c r="AO4092">
        <v>-0.97</v>
      </c>
      <c r="AP4092">
        <v>7</v>
      </c>
      <c r="AQ4092">
        <v>0</v>
      </c>
      <c r="AR4092">
        <v>6.73</v>
      </c>
      <c r="AS4092">
        <v>55</v>
      </c>
      <c r="AT4092">
        <v>2.2000000000000002</v>
      </c>
      <c r="AU4092">
        <v>73</v>
      </c>
      <c r="AV4092">
        <v>-1.64</v>
      </c>
      <c r="AW4092">
        <v>66</v>
      </c>
      <c r="AX4092">
        <v>-0.21</v>
      </c>
      <c r="AY4092">
        <v>67</v>
      </c>
      <c r="AZ4092">
        <v>7.27</v>
      </c>
      <c r="BA4092">
        <v>47</v>
      </c>
      <c r="BB4092">
        <v>5.22</v>
      </c>
      <c r="BC4092">
        <v>58</v>
      </c>
      <c r="BD4092">
        <v>0.02</v>
      </c>
      <c r="BE4092">
        <v>0.05</v>
      </c>
      <c r="BF4092">
        <v>0.01</v>
      </c>
      <c r="BG4092">
        <v>83</v>
      </c>
      <c r="BH4092">
        <v>-0.01</v>
      </c>
      <c r="BI4092">
        <v>19.45</v>
      </c>
      <c r="BJ4092">
        <v>3</v>
      </c>
      <c r="BK4092">
        <v>1</v>
      </c>
      <c r="BL4092">
        <v>0.03</v>
      </c>
      <c r="BM4092">
        <v>0.28999999999999998</v>
      </c>
      <c r="BN4092">
        <v>0.3</v>
      </c>
      <c r="BO4092">
        <v>-0.33</v>
      </c>
      <c r="BP4092">
        <v>-0.7</v>
      </c>
      <c r="BQ4092">
        <v>-0.5</v>
      </c>
      <c r="BR4092">
        <v>-0.9</v>
      </c>
      <c r="BS4092">
        <v>0.16</v>
      </c>
      <c r="BT4092">
        <v>0.53</v>
      </c>
      <c r="BU4092">
        <v>-0.15</v>
      </c>
      <c r="BV4092">
        <v>-0.68</v>
      </c>
      <c r="BW4092">
        <v>-1.1000000000000001</v>
      </c>
      <c r="BX4092">
        <v>-1.42</v>
      </c>
      <c r="BY4092">
        <v>-1.19</v>
      </c>
      <c r="BZ4092">
        <v>0.65</v>
      </c>
      <c r="CA4092">
        <v>-0.06</v>
      </c>
      <c r="CB4092">
        <v>-0.22</v>
      </c>
      <c r="CC4092">
        <v>0.28999999999999998</v>
      </c>
      <c r="CD4092">
        <v>0.57999999999999996</v>
      </c>
      <c r="CE4092">
        <v>0.15</v>
      </c>
      <c r="CF4092">
        <v>1.1499999999999999</v>
      </c>
      <c r="CG4092">
        <v>0</v>
      </c>
      <c r="CH4092">
        <v>-0.4</v>
      </c>
      <c r="CI4092">
        <v>0</v>
      </c>
      <c r="CJ4092">
        <v>3.5</v>
      </c>
      <c r="CK4092">
        <v>79</v>
      </c>
      <c r="CL4092">
        <v>-0.61</v>
      </c>
      <c r="CM4092">
        <v>77</v>
      </c>
      <c r="CN4092">
        <v>-0.12</v>
      </c>
      <c r="CO4092">
        <v>74</v>
      </c>
      <c r="CP4092">
        <v>-0.1</v>
      </c>
      <c r="CQ4092">
        <v>79</v>
      </c>
      <c r="CR4092">
        <v>0</v>
      </c>
      <c r="CS4092">
        <v>0</v>
      </c>
      <c r="CT4092">
        <v>3</v>
      </c>
      <c r="CU4092">
        <v>67</v>
      </c>
      <c r="CV4092">
        <v>0.2</v>
      </c>
      <c r="CW4092">
        <v>41</v>
      </c>
      <c r="CX4092" t="s">
        <v>12078</v>
      </c>
    </row>
    <row r="4093" spans="1:102" x14ac:dyDescent="0.3">
      <c r="A4093" t="str">
        <f>HYPERLINK("https://webapp.icbf.com/v2/app/bull-search/view/678702701","S1016")</f>
        <v>S1016</v>
      </c>
      <c r="B4093" t="s">
        <v>5308</v>
      </c>
      <c r="C4093" t="s">
        <v>5309</v>
      </c>
      <c r="D4093" s="1">
        <v>38725</v>
      </c>
      <c r="E4093" t="s">
        <v>92</v>
      </c>
      <c r="F4093">
        <v>100</v>
      </c>
      <c r="G4093" t="s">
        <v>93</v>
      </c>
      <c r="H4093">
        <v>-88.25</v>
      </c>
      <c r="I4093">
        <v>91</v>
      </c>
      <c r="J4093">
        <v>59.54</v>
      </c>
      <c r="K4093">
        <v>98</v>
      </c>
      <c r="L4093">
        <v>-138.08000000000001</v>
      </c>
      <c r="M4093">
        <v>90</v>
      </c>
      <c r="N4093">
        <v>-0.71</v>
      </c>
      <c r="O4093">
        <v>91</v>
      </c>
      <c r="P4093">
        <v>-4.76</v>
      </c>
      <c r="Q4093">
        <v>95</v>
      </c>
      <c r="R4093">
        <v>-5.03</v>
      </c>
      <c r="S4093">
        <v>75</v>
      </c>
      <c r="T4093">
        <v>8.57</v>
      </c>
      <c r="U4093">
        <v>86</v>
      </c>
      <c r="V4093">
        <v>-7.78</v>
      </c>
      <c r="W4093">
        <v>50</v>
      </c>
      <c r="X4093" t="s">
        <v>94</v>
      </c>
      <c r="Y4093" t="s">
        <v>303</v>
      </c>
      <c r="Z4093" t="s">
        <v>96</v>
      </c>
      <c r="AA4093" t="s">
        <v>5310</v>
      </c>
      <c r="AB4093" t="s">
        <v>2475</v>
      </c>
      <c r="AC4093">
        <v>273</v>
      </c>
      <c r="AD4093">
        <v>104</v>
      </c>
      <c r="AE4093">
        <v>98</v>
      </c>
      <c r="AF4093">
        <v>505.42</v>
      </c>
      <c r="AG4093">
        <v>17.05</v>
      </c>
      <c r="AH4093">
        <v>11.83</v>
      </c>
      <c r="AI4093">
        <v>-0.04</v>
      </c>
      <c r="AJ4093">
        <v>-0.08</v>
      </c>
      <c r="AK4093">
        <v>90</v>
      </c>
      <c r="AL4093">
        <v>244</v>
      </c>
      <c r="AM4093">
        <v>96</v>
      </c>
      <c r="AN4093">
        <v>9.99</v>
      </c>
      <c r="AO4093">
        <v>-0.99</v>
      </c>
      <c r="AP4093">
        <v>372</v>
      </c>
      <c r="AQ4093">
        <v>2</v>
      </c>
      <c r="AR4093">
        <v>9.8800000000000008</v>
      </c>
      <c r="AS4093">
        <v>88</v>
      </c>
      <c r="AT4093">
        <v>4.12</v>
      </c>
      <c r="AU4093">
        <v>97</v>
      </c>
      <c r="AV4093">
        <v>-2.08</v>
      </c>
      <c r="AW4093">
        <v>96</v>
      </c>
      <c r="AX4093">
        <v>-0.46</v>
      </c>
      <c r="AY4093">
        <v>92</v>
      </c>
      <c r="AZ4093">
        <v>6.19</v>
      </c>
      <c r="BA4093">
        <v>80</v>
      </c>
      <c r="BB4093">
        <v>5.45</v>
      </c>
      <c r="BC4093">
        <v>69</v>
      </c>
      <c r="BD4093">
        <v>0.01</v>
      </c>
      <c r="BE4093">
        <v>0.01</v>
      </c>
      <c r="BF4093">
        <v>0.08</v>
      </c>
      <c r="BG4093">
        <v>93</v>
      </c>
      <c r="BH4093">
        <v>0.15</v>
      </c>
      <c r="BI4093">
        <v>42.45</v>
      </c>
      <c r="BJ4093">
        <v>168</v>
      </c>
      <c r="BK4093">
        <v>92</v>
      </c>
      <c r="BL4093">
        <v>2.12</v>
      </c>
      <c r="BM4093">
        <v>-0.04</v>
      </c>
      <c r="BN4093">
        <v>2.08</v>
      </c>
      <c r="BO4093">
        <v>1.7</v>
      </c>
      <c r="BP4093">
        <v>0.2</v>
      </c>
      <c r="BQ4093">
        <v>2.59</v>
      </c>
      <c r="BR4093">
        <v>-1.51</v>
      </c>
      <c r="BS4093">
        <v>4.08</v>
      </c>
      <c r="BT4093">
        <v>2.2799999999999998</v>
      </c>
      <c r="BU4093">
        <v>2.7</v>
      </c>
      <c r="BV4093">
        <v>3.41</v>
      </c>
      <c r="BW4093">
        <v>2.06</v>
      </c>
      <c r="BX4093">
        <v>1.46</v>
      </c>
      <c r="BY4093">
        <v>1.1599999999999999</v>
      </c>
      <c r="BZ4093">
        <v>-2.97</v>
      </c>
      <c r="CA4093">
        <v>2.88</v>
      </c>
      <c r="CB4093">
        <v>2.23</v>
      </c>
      <c r="CC4093">
        <v>3.12</v>
      </c>
      <c r="CD4093">
        <v>-0.2</v>
      </c>
      <c r="CE4093">
        <v>1.49</v>
      </c>
      <c r="CF4093">
        <v>2.2400000000000002</v>
      </c>
      <c r="CG4093">
        <v>0</v>
      </c>
      <c r="CH4093">
        <v>1.33</v>
      </c>
      <c r="CI4093">
        <v>0</v>
      </c>
      <c r="CJ4093">
        <v>-0.1</v>
      </c>
      <c r="CK4093">
        <v>96</v>
      </c>
      <c r="CL4093">
        <v>-1.1299999999999999</v>
      </c>
      <c r="CM4093">
        <v>95</v>
      </c>
      <c r="CN4093">
        <v>-0.59</v>
      </c>
      <c r="CO4093">
        <v>94</v>
      </c>
      <c r="CP4093">
        <v>0.9</v>
      </c>
      <c r="CQ4093">
        <v>93</v>
      </c>
      <c r="CR4093">
        <v>0</v>
      </c>
      <c r="CS4093">
        <v>0</v>
      </c>
      <c r="CT4093">
        <v>2.2000000000000002</v>
      </c>
      <c r="CU4093">
        <v>86</v>
      </c>
      <c r="CV4093">
        <v>0.35</v>
      </c>
      <c r="CW4093">
        <v>28</v>
      </c>
      <c r="CX4093" t="s">
        <v>2476</v>
      </c>
    </row>
    <row r="4094" spans="1:102" x14ac:dyDescent="0.3">
      <c r="A4094" t="str">
        <f>HYPERLINK("https://webapp.icbf.com/v2/app/bull-search/view/77854420","RBB")</f>
        <v>RBB</v>
      </c>
      <c r="B4094" t="s">
        <v>8172</v>
      </c>
      <c r="C4094" t="s">
        <v>8173</v>
      </c>
      <c r="D4094" s="1">
        <v>32001</v>
      </c>
      <c r="E4094" t="s">
        <v>92</v>
      </c>
      <c r="F4094">
        <v>100</v>
      </c>
      <c r="G4094" t="s">
        <v>93</v>
      </c>
      <c r="H4094">
        <v>-88.37</v>
      </c>
      <c r="I4094">
        <v>59</v>
      </c>
      <c r="J4094">
        <v>-72.28</v>
      </c>
      <c r="K4094">
        <v>68</v>
      </c>
      <c r="L4094">
        <v>-2.2200000000000002</v>
      </c>
      <c r="M4094">
        <v>59</v>
      </c>
      <c r="N4094">
        <v>-13.45</v>
      </c>
      <c r="O4094">
        <v>43</v>
      </c>
      <c r="P4094">
        <v>-0.69</v>
      </c>
      <c r="Q4094">
        <v>67</v>
      </c>
      <c r="R4094">
        <v>-10.86</v>
      </c>
      <c r="S4094">
        <v>62</v>
      </c>
      <c r="T4094">
        <v>12.57</v>
      </c>
      <c r="U4094">
        <v>51</v>
      </c>
      <c r="V4094">
        <v>-1.44</v>
      </c>
      <c r="W4094">
        <v>34</v>
      </c>
      <c r="X4094" t="s">
        <v>110</v>
      </c>
      <c r="Y4094" t="s">
        <v>95</v>
      </c>
      <c r="Z4094" t="s">
        <v>96</v>
      </c>
      <c r="AA4094" t="s">
        <v>154</v>
      </c>
      <c r="AB4094" t="s">
        <v>7417</v>
      </c>
      <c r="AC4094">
        <v>14</v>
      </c>
      <c r="AD4094">
        <v>9</v>
      </c>
      <c r="AE4094">
        <v>68</v>
      </c>
      <c r="AF4094">
        <v>-503.39</v>
      </c>
      <c r="AG4094">
        <v>-10.17</v>
      </c>
      <c r="AH4094">
        <v>-16.399999999999999</v>
      </c>
      <c r="AI4094">
        <v>0.17</v>
      </c>
      <c r="AJ4094">
        <v>0.02</v>
      </c>
      <c r="AK4094">
        <v>59</v>
      </c>
      <c r="AL4094">
        <v>66</v>
      </c>
      <c r="AM4094">
        <v>15</v>
      </c>
      <c r="AN4094">
        <v>-0.09</v>
      </c>
      <c r="AO4094">
        <v>-0.27</v>
      </c>
      <c r="AP4094">
        <v>8</v>
      </c>
      <c r="AQ4094">
        <v>0</v>
      </c>
      <c r="AR4094">
        <v>8.07</v>
      </c>
      <c r="AS4094">
        <v>28</v>
      </c>
      <c r="AT4094">
        <v>3.8</v>
      </c>
      <c r="AU4094">
        <v>39</v>
      </c>
      <c r="AV4094">
        <v>0.09</v>
      </c>
      <c r="AW4094">
        <v>48</v>
      </c>
      <c r="AX4094">
        <v>-0.09</v>
      </c>
      <c r="AY4094">
        <v>65</v>
      </c>
      <c r="AZ4094">
        <v>6.82</v>
      </c>
      <c r="BA4094">
        <v>29</v>
      </c>
      <c r="BB4094">
        <v>5.91</v>
      </c>
      <c r="BC4094">
        <v>31</v>
      </c>
      <c r="BD4094">
        <v>0.01</v>
      </c>
      <c r="BE4094">
        <v>7.0000000000000007E-2</v>
      </c>
      <c r="BF4094">
        <v>0.1</v>
      </c>
      <c r="BG4094">
        <v>80</v>
      </c>
      <c r="BH4094">
        <v>0.04</v>
      </c>
      <c r="BI4094">
        <v>9.27</v>
      </c>
      <c r="BJ4094">
        <v>2</v>
      </c>
      <c r="BK4094">
        <v>1</v>
      </c>
      <c r="BL4094">
        <v>-0.09</v>
      </c>
      <c r="BM4094">
        <v>-0.02</v>
      </c>
      <c r="BN4094">
        <v>-0.31</v>
      </c>
      <c r="BO4094">
        <v>-0.2</v>
      </c>
      <c r="BP4094">
        <v>0</v>
      </c>
      <c r="BQ4094">
        <v>-0.75</v>
      </c>
      <c r="BR4094">
        <v>-0.78</v>
      </c>
      <c r="BS4094">
        <v>0.11</v>
      </c>
      <c r="BT4094">
        <v>0.72</v>
      </c>
      <c r="BU4094">
        <v>-1.1399999999999999</v>
      </c>
      <c r="BV4094">
        <v>-0.2</v>
      </c>
      <c r="BW4094">
        <v>0.17</v>
      </c>
      <c r="BX4094">
        <v>-0.18</v>
      </c>
      <c r="BY4094">
        <v>-1.4</v>
      </c>
      <c r="BZ4094">
        <v>1.48</v>
      </c>
      <c r="CA4094">
        <v>-0.36</v>
      </c>
      <c r="CB4094">
        <v>-0.68</v>
      </c>
      <c r="CC4094">
        <v>0.37</v>
      </c>
      <c r="CD4094">
        <v>0.06</v>
      </c>
      <c r="CE4094">
        <v>-0.25</v>
      </c>
      <c r="CF4094">
        <v>-0.42</v>
      </c>
      <c r="CG4094">
        <v>0</v>
      </c>
      <c r="CH4094">
        <v>-0.17</v>
      </c>
      <c r="CI4094">
        <v>0</v>
      </c>
      <c r="CJ4094">
        <v>0.7</v>
      </c>
      <c r="CK4094">
        <v>69</v>
      </c>
      <c r="CL4094">
        <v>-0.48</v>
      </c>
      <c r="CM4094">
        <v>65</v>
      </c>
      <c r="CN4094">
        <v>-0.38</v>
      </c>
      <c r="CO4094">
        <v>62</v>
      </c>
      <c r="CP4094">
        <v>-7.7</v>
      </c>
      <c r="CQ4094">
        <v>63</v>
      </c>
      <c r="CR4094">
        <v>0</v>
      </c>
      <c r="CS4094">
        <v>0</v>
      </c>
      <c r="CT4094">
        <v>-3.2</v>
      </c>
      <c r="CU4094">
        <v>51</v>
      </c>
      <c r="CV4094">
        <v>0.2</v>
      </c>
      <c r="CW4094">
        <v>19</v>
      </c>
      <c r="CX4094" t="s">
        <v>617</v>
      </c>
    </row>
    <row r="4095" spans="1:102" x14ac:dyDescent="0.3">
      <c r="A4095" t="str">
        <f>HYPERLINK("https://webapp.icbf.com/v2/app/bull-search/view/77857717","ETA")</f>
        <v>ETA</v>
      </c>
      <c r="B4095" t="s">
        <v>7051</v>
      </c>
      <c r="C4095" t="s">
        <v>4053</v>
      </c>
      <c r="D4095" s="1">
        <v>32872</v>
      </c>
      <c r="E4095" t="s">
        <v>92</v>
      </c>
      <c r="F4095">
        <v>100</v>
      </c>
      <c r="G4095" t="s">
        <v>93</v>
      </c>
      <c r="H4095">
        <v>-88.51</v>
      </c>
      <c r="I4095">
        <v>93</v>
      </c>
      <c r="J4095">
        <v>-19.79</v>
      </c>
      <c r="K4095">
        <v>98</v>
      </c>
      <c r="L4095">
        <v>-52.25</v>
      </c>
      <c r="M4095">
        <v>93</v>
      </c>
      <c r="N4095">
        <v>7.22</v>
      </c>
      <c r="O4095">
        <v>88</v>
      </c>
      <c r="P4095">
        <v>-12.95</v>
      </c>
      <c r="Q4095">
        <v>92</v>
      </c>
      <c r="R4095">
        <v>-20.69</v>
      </c>
      <c r="S4095">
        <v>86</v>
      </c>
      <c r="T4095">
        <v>11.09</v>
      </c>
      <c r="U4095">
        <v>91</v>
      </c>
      <c r="V4095">
        <v>-1.1399999999999999</v>
      </c>
      <c r="W4095">
        <v>78</v>
      </c>
      <c r="X4095" t="s">
        <v>747</v>
      </c>
      <c r="Y4095" t="s">
        <v>95</v>
      </c>
      <c r="Z4095" t="s">
        <v>96</v>
      </c>
      <c r="AA4095" t="s">
        <v>111</v>
      </c>
      <c r="AB4095" t="s">
        <v>7052</v>
      </c>
      <c r="AC4095">
        <v>218</v>
      </c>
      <c r="AD4095">
        <v>137</v>
      </c>
      <c r="AE4095">
        <v>98</v>
      </c>
      <c r="AF4095">
        <v>-16.399999999999999</v>
      </c>
      <c r="AG4095">
        <v>-4.43</v>
      </c>
      <c r="AH4095">
        <v>-2.0499999999999998</v>
      </c>
      <c r="AI4095">
        <v>-7.0000000000000007E-2</v>
      </c>
      <c r="AJ4095">
        <v>-0.03</v>
      </c>
      <c r="AK4095">
        <v>93</v>
      </c>
      <c r="AL4095">
        <v>228</v>
      </c>
      <c r="AM4095">
        <v>127</v>
      </c>
      <c r="AN4095">
        <v>1.8</v>
      </c>
      <c r="AO4095">
        <v>-2.38</v>
      </c>
      <c r="AP4095">
        <v>23</v>
      </c>
      <c r="AQ4095">
        <v>1</v>
      </c>
      <c r="AR4095">
        <v>7.21</v>
      </c>
      <c r="AS4095">
        <v>81</v>
      </c>
      <c r="AT4095">
        <v>3.45</v>
      </c>
      <c r="AU4095">
        <v>92</v>
      </c>
      <c r="AV4095">
        <v>-1.03</v>
      </c>
      <c r="AW4095">
        <v>89</v>
      </c>
      <c r="AX4095">
        <v>-0.47</v>
      </c>
      <c r="AY4095">
        <v>91</v>
      </c>
      <c r="AZ4095">
        <v>6.37</v>
      </c>
      <c r="BA4095">
        <v>75</v>
      </c>
      <c r="BB4095">
        <v>5.0999999999999996</v>
      </c>
      <c r="BC4095">
        <v>83</v>
      </c>
      <c r="BD4095">
        <v>7.0000000000000007E-2</v>
      </c>
      <c r="BE4095">
        <v>0.11</v>
      </c>
      <c r="BF4095">
        <v>0.15</v>
      </c>
      <c r="BG4095">
        <v>96</v>
      </c>
      <c r="BH4095">
        <v>0</v>
      </c>
      <c r="BI4095">
        <v>3.67</v>
      </c>
      <c r="BJ4095">
        <v>61</v>
      </c>
      <c r="BK4095">
        <v>43</v>
      </c>
      <c r="BL4095">
        <v>0.87</v>
      </c>
      <c r="BM4095">
        <v>-0.69</v>
      </c>
      <c r="BN4095">
        <v>0.43</v>
      </c>
      <c r="BO4095">
        <v>0.46</v>
      </c>
      <c r="BP4095">
        <v>2.04</v>
      </c>
      <c r="BQ4095">
        <v>-1.64</v>
      </c>
      <c r="BR4095">
        <v>1.5</v>
      </c>
      <c r="BS4095">
        <v>-0.79</v>
      </c>
      <c r="BT4095">
        <v>-1.1000000000000001</v>
      </c>
      <c r="BU4095">
        <v>1.22</v>
      </c>
      <c r="BV4095">
        <v>-0.09</v>
      </c>
      <c r="BW4095">
        <v>0.17</v>
      </c>
      <c r="BX4095">
        <v>1.52</v>
      </c>
      <c r="BY4095">
        <v>-0.3</v>
      </c>
      <c r="BZ4095">
        <v>1.25</v>
      </c>
      <c r="CA4095">
        <v>0.3</v>
      </c>
      <c r="CB4095">
        <v>0.17</v>
      </c>
      <c r="CC4095">
        <v>0.42</v>
      </c>
      <c r="CD4095">
        <v>-0.88</v>
      </c>
      <c r="CE4095">
        <v>0.49</v>
      </c>
      <c r="CF4095">
        <v>0.92</v>
      </c>
      <c r="CG4095">
        <v>0</v>
      </c>
      <c r="CH4095">
        <v>-0.24</v>
      </c>
      <c r="CI4095">
        <v>0</v>
      </c>
      <c r="CJ4095">
        <v>-5.7</v>
      </c>
      <c r="CK4095">
        <v>92</v>
      </c>
      <c r="CL4095">
        <v>-0.8</v>
      </c>
      <c r="CM4095">
        <v>91</v>
      </c>
      <c r="CN4095">
        <v>-0.33</v>
      </c>
      <c r="CO4095">
        <v>90</v>
      </c>
      <c r="CP4095">
        <v>-4.5999999999999996</v>
      </c>
      <c r="CQ4095">
        <v>95</v>
      </c>
      <c r="CR4095">
        <v>0</v>
      </c>
      <c r="CS4095">
        <v>0</v>
      </c>
      <c r="CT4095">
        <v>-1.2</v>
      </c>
      <c r="CU4095">
        <v>91</v>
      </c>
      <c r="CV4095">
        <v>0.05</v>
      </c>
      <c r="CW4095">
        <v>44</v>
      </c>
      <c r="CX4095" t="s">
        <v>914</v>
      </c>
    </row>
    <row r="4096" spans="1:102" x14ac:dyDescent="0.3">
      <c r="A4096" t="str">
        <f>HYPERLINK("https://webapp.icbf.com/v2/app/bull-search/view/116464909","SIG")</f>
        <v>SIG</v>
      </c>
      <c r="B4096" t="s">
        <v>11377</v>
      </c>
      <c r="C4096" t="s">
        <v>11378</v>
      </c>
      <c r="D4096" s="1">
        <v>35168</v>
      </c>
      <c r="E4096" t="s">
        <v>92</v>
      </c>
      <c r="F4096">
        <v>100</v>
      </c>
      <c r="G4096" t="s">
        <v>93</v>
      </c>
      <c r="H4096">
        <v>-88.53</v>
      </c>
      <c r="I4096">
        <v>89</v>
      </c>
      <c r="J4096">
        <v>1.37</v>
      </c>
      <c r="K4096">
        <v>95</v>
      </c>
      <c r="L4096">
        <v>-81.08</v>
      </c>
      <c r="M4096">
        <v>89</v>
      </c>
      <c r="N4096">
        <v>-3.04</v>
      </c>
      <c r="O4096">
        <v>86</v>
      </c>
      <c r="P4096">
        <v>-6.95</v>
      </c>
      <c r="Q4096">
        <v>89</v>
      </c>
      <c r="R4096">
        <v>-2.3199999999999998</v>
      </c>
      <c r="S4096">
        <v>81</v>
      </c>
      <c r="T4096">
        <v>4.87</v>
      </c>
      <c r="U4096">
        <v>84</v>
      </c>
      <c r="V4096">
        <v>-1.38</v>
      </c>
      <c r="W4096">
        <v>72</v>
      </c>
      <c r="X4096" t="s">
        <v>276</v>
      </c>
      <c r="Y4096" t="s">
        <v>95</v>
      </c>
      <c r="Z4096" t="s">
        <v>96</v>
      </c>
      <c r="AA4096" t="s">
        <v>8060</v>
      </c>
      <c r="AB4096" t="s">
        <v>11379</v>
      </c>
      <c r="AC4096">
        <v>52</v>
      </c>
      <c r="AD4096">
        <v>36</v>
      </c>
      <c r="AE4096">
        <v>95</v>
      </c>
      <c r="AF4096">
        <v>77.22</v>
      </c>
      <c r="AG4096">
        <v>2.33</v>
      </c>
      <c r="AH4096">
        <v>0.59</v>
      </c>
      <c r="AI4096">
        <v>-0.01</v>
      </c>
      <c r="AJ4096">
        <v>-0.04</v>
      </c>
      <c r="AK4096">
        <v>89</v>
      </c>
      <c r="AL4096">
        <v>49</v>
      </c>
      <c r="AM4096">
        <v>27</v>
      </c>
      <c r="AN4096">
        <v>4.1100000000000003</v>
      </c>
      <c r="AO4096">
        <v>-2.36</v>
      </c>
      <c r="AP4096">
        <v>91</v>
      </c>
      <c r="AQ4096">
        <v>2</v>
      </c>
      <c r="AR4096">
        <v>8.44</v>
      </c>
      <c r="AS4096">
        <v>81</v>
      </c>
      <c r="AT4096">
        <v>3.49</v>
      </c>
      <c r="AU4096">
        <v>99</v>
      </c>
      <c r="AV4096">
        <v>-1.1000000000000001</v>
      </c>
      <c r="AW4096">
        <v>89</v>
      </c>
      <c r="AX4096">
        <v>0.38</v>
      </c>
      <c r="AY4096">
        <v>81</v>
      </c>
      <c r="AZ4096">
        <v>7.54</v>
      </c>
      <c r="BA4096">
        <v>63</v>
      </c>
      <c r="BB4096">
        <v>5.65</v>
      </c>
      <c r="BC4096">
        <v>66</v>
      </c>
      <c r="BD4096">
        <v>0.05</v>
      </c>
      <c r="BE4096">
        <v>0</v>
      </c>
      <c r="BF4096">
        <v>-0.03</v>
      </c>
      <c r="BG4096">
        <v>92</v>
      </c>
      <c r="BH4096">
        <v>0.05</v>
      </c>
      <c r="BI4096">
        <v>10.23</v>
      </c>
      <c r="BJ4096">
        <v>34</v>
      </c>
      <c r="BK4096">
        <v>16</v>
      </c>
      <c r="BL4096">
        <v>0.7</v>
      </c>
      <c r="BM4096">
        <v>-1.07</v>
      </c>
      <c r="BN4096">
        <v>0.72</v>
      </c>
      <c r="BO4096">
        <v>0.88</v>
      </c>
      <c r="BP4096">
        <v>-1.53</v>
      </c>
      <c r="BQ4096">
        <v>-2.68</v>
      </c>
      <c r="BR4096">
        <v>0.51</v>
      </c>
      <c r="BS4096">
        <v>0.04</v>
      </c>
      <c r="BT4096">
        <v>0.56000000000000005</v>
      </c>
      <c r="BU4096">
        <v>-0.13</v>
      </c>
      <c r="BV4096">
        <v>-0.1</v>
      </c>
      <c r="BW4096">
        <v>-0.56000000000000005</v>
      </c>
      <c r="BX4096">
        <v>-0.64</v>
      </c>
      <c r="BY4096">
        <v>0.74</v>
      </c>
      <c r="BZ4096">
        <v>-2.72</v>
      </c>
      <c r="CA4096">
        <v>0.14000000000000001</v>
      </c>
      <c r="CB4096">
        <v>0.03</v>
      </c>
      <c r="CC4096">
        <v>0.22</v>
      </c>
      <c r="CD4096">
        <v>-1.08</v>
      </c>
      <c r="CE4096">
        <v>1.07</v>
      </c>
      <c r="CF4096">
        <v>-0.31</v>
      </c>
      <c r="CG4096">
        <v>0</v>
      </c>
      <c r="CH4096">
        <v>0.71</v>
      </c>
      <c r="CI4096">
        <v>0</v>
      </c>
      <c r="CJ4096">
        <v>-2.2000000000000002</v>
      </c>
      <c r="CK4096">
        <v>90</v>
      </c>
      <c r="CL4096">
        <v>-0.82</v>
      </c>
      <c r="CM4096">
        <v>88</v>
      </c>
      <c r="CN4096">
        <v>-0.44</v>
      </c>
      <c r="CO4096">
        <v>86</v>
      </c>
      <c r="CP4096">
        <v>-4</v>
      </c>
      <c r="CQ4096">
        <v>89</v>
      </c>
      <c r="CR4096">
        <v>0</v>
      </c>
      <c r="CS4096">
        <v>0</v>
      </c>
      <c r="CT4096">
        <v>7.2</v>
      </c>
      <c r="CU4096">
        <v>84</v>
      </c>
      <c r="CV4096">
        <v>0.12</v>
      </c>
      <c r="CW4096">
        <v>43</v>
      </c>
      <c r="CX4096" t="s">
        <v>561</v>
      </c>
    </row>
    <row r="4097" spans="1:102" x14ac:dyDescent="0.3">
      <c r="A4097" t="str">
        <f>HYPERLINK("https://webapp.icbf.com/v2/app/bull-search/view/77853685","SBB")</f>
        <v>SBB</v>
      </c>
      <c r="B4097" t="s">
        <v>2549</v>
      </c>
      <c r="C4097" t="s">
        <v>2550</v>
      </c>
      <c r="D4097" s="1">
        <v>32083</v>
      </c>
      <c r="E4097" t="s">
        <v>92</v>
      </c>
      <c r="F4097">
        <v>100</v>
      </c>
      <c r="G4097" t="s">
        <v>93</v>
      </c>
      <c r="H4097">
        <v>-88.54</v>
      </c>
      <c r="I4097">
        <v>88</v>
      </c>
      <c r="J4097">
        <v>-13.96</v>
      </c>
      <c r="K4097">
        <v>96</v>
      </c>
      <c r="L4097">
        <v>-70.41</v>
      </c>
      <c r="M4097">
        <v>89</v>
      </c>
      <c r="N4097">
        <v>-2.69</v>
      </c>
      <c r="O4097">
        <v>76</v>
      </c>
      <c r="P4097">
        <v>-1.21</v>
      </c>
      <c r="Q4097">
        <v>87</v>
      </c>
      <c r="R4097">
        <v>-12.56</v>
      </c>
      <c r="S4097">
        <v>76</v>
      </c>
      <c r="T4097">
        <v>15.97</v>
      </c>
      <c r="U4097">
        <v>86</v>
      </c>
      <c r="V4097">
        <v>-3.68</v>
      </c>
      <c r="W4097">
        <v>60</v>
      </c>
      <c r="X4097" t="s">
        <v>110</v>
      </c>
      <c r="Y4097" t="s">
        <v>95</v>
      </c>
      <c r="Z4097" t="s">
        <v>96</v>
      </c>
      <c r="AA4097" t="s">
        <v>158</v>
      </c>
      <c r="AB4097" t="s">
        <v>2551</v>
      </c>
      <c r="AC4097">
        <v>150</v>
      </c>
      <c r="AD4097">
        <v>92</v>
      </c>
      <c r="AE4097">
        <v>96</v>
      </c>
      <c r="AF4097">
        <v>71.75</v>
      </c>
      <c r="AG4097">
        <v>0.86</v>
      </c>
      <c r="AH4097">
        <v>-1.58</v>
      </c>
      <c r="AI4097">
        <v>-0.03</v>
      </c>
      <c r="AJ4097">
        <v>-7.0000000000000007E-2</v>
      </c>
      <c r="AK4097">
        <v>89</v>
      </c>
      <c r="AL4097">
        <v>194</v>
      </c>
      <c r="AM4097">
        <v>109</v>
      </c>
      <c r="AN4097">
        <v>3.47</v>
      </c>
      <c r="AO4097">
        <v>-2.15</v>
      </c>
      <c r="AP4097">
        <v>18</v>
      </c>
      <c r="AQ4097">
        <v>1</v>
      </c>
      <c r="AR4097">
        <v>9.18</v>
      </c>
      <c r="AS4097">
        <v>53</v>
      </c>
      <c r="AT4097">
        <v>3.95</v>
      </c>
      <c r="AU4097">
        <v>84</v>
      </c>
      <c r="AV4097">
        <v>-0.6</v>
      </c>
      <c r="AW4097">
        <v>79</v>
      </c>
      <c r="AX4097">
        <v>-0.66</v>
      </c>
      <c r="AY4097">
        <v>86</v>
      </c>
      <c r="AZ4097">
        <v>5.84</v>
      </c>
      <c r="BA4097">
        <v>46</v>
      </c>
      <c r="BB4097">
        <v>4.49</v>
      </c>
      <c r="BC4097">
        <v>65</v>
      </c>
      <c r="BD4097">
        <v>0.04</v>
      </c>
      <c r="BE4097">
        <v>0.08</v>
      </c>
      <c r="BF4097">
        <v>7.0000000000000007E-2</v>
      </c>
      <c r="BG4097">
        <v>91</v>
      </c>
      <c r="BH4097">
        <v>0.04</v>
      </c>
      <c r="BI4097">
        <v>16.5</v>
      </c>
      <c r="BJ4097">
        <v>23</v>
      </c>
      <c r="BK4097">
        <v>11</v>
      </c>
      <c r="BL4097">
        <v>0.75</v>
      </c>
      <c r="BM4097">
        <v>0.19</v>
      </c>
      <c r="BN4097">
        <v>0.73</v>
      </c>
      <c r="BO4097">
        <v>0.41</v>
      </c>
      <c r="BP4097">
        <v>0.71</v>
      </c>
      <c r="BQ4097">
        <v>1.1100000000000001</v>
      </c>
      <c r="BR4097">
        <v>-1.24</v>
      </c>
      <c r="BS4097">
        <v>-1.94</v>
      </c>
      <c r="BT4097">
        <v>1.73</v>
      </c>
      <c r="BU4097">
        <v>0.54</v>
      </c>
      <c r="BV4097">
        <v>0.75</v>
      </c>
      <c r="BW4097">
        <v>-0.04</v>
      </c>
      <c r="BX4097">
        <v>0.26</v>
      </c>
      <c r="BY4097">
        <v>-0.01</v>
      </c>
      <c r="BZ4097">
        <v>0.33</v>
      </c>
      <c r="CA4097">
        <v>-0.3</v>
      </c>
      <c r="CB4097">
        <v>0.3</v>
      </c>
      <c r="CC4097">
        <v>-1.28</v>
      </c>
      <c r="CD4097">
        <v>0.47</v>
      </c>
      <c r="CE4097">
        <v>0.83</v>
      </c>
      <c r="CF4097">
        <v>-0.33</v>
      </c>
      <c r="CG4097">
        <v>0</v>
      </c>
      <c r="CH4097">
        <v>0.41</v>
      </c>
      <c r="CI4097">
        <v>0</v>
      </c>
      <c r="CJ4097">
        <v>1.2</v>
      </c>
      <c r="CK4097">
        <v>88</v>
      </c>
      <c r="CL4097">
        <v>-0.44</v>
      </c>
      <c r="CM4097">
        <v>86</v>
      </c>
      <c r="CN4097">
        <v>-0.22</v>
      </c>
      <c r="CO4097">
        <v>84</v>
      </c>
      <c r="CP4097">
        <v>-6</v>
      </c>
      <c r="CQ4097">
        <v>92</v>
      </c>
      <c r="CR4097">
        <v>0</v>
      </c>
      <c r="CS4097">
        <v>0</v>
      </c>
      <c r="CT4097">
        <v>-7.8</v>
      </c>
      <c r="CU4097">
        <v>86</v>
      </c>
      <c r="CV4097">
        <v>0.14000000000000001</v>
      </c>
      <c r="CW4097">
        <v>25</v>
      </c>
      <c r="CX4097" t="s">
        <v>663</v>
      </c>
    </row>
    <row r="4098" spans="1:102" x14ac:dyDescent="0.3">
      <c r="A4098" t="str">
        <f>HYPERLINK("https://webapp.icbf.com/v2/app/bull-search/view/77859490","BBF")</f>
        <v>BBF</v>
      </c>
      <c r="B4098" t="s">
        <v>5217</v>
      </c>
      <c r="C4098" t="s">
        <v>4070</v>
      </c>
      <c r="D4098" s="1">
        <v>31752</v>
      </c>
      <c r="E4098" t="s">
        <v>92</v>
      </c>
      <c r="F4098">
        <v>97</v>
      </c>
      <c r="G4098" t="s">
        <v>93</v>
      </c>
      <c r="H4098">
        <v>-88.57</v>
      </c>
      <c r="I4098">
        <v>96</v>
      </c>
      <c r="J4098">
        <v>-0.82</v>
      </c>
      <c r="K4098">
        <v>99</v>
      </c>
      <c r="L4098">
        <v>-100.62</v>
      </c>
      <c r="M4098">
        <v>94</v>
      </c>
      <c r="N4098">
        <v>19.71</v>
      </c>
      <c r="O4098">
        <v>96</v>
      </c>
      <c r="P4098">
        <v>-0.5</v>
      </c>
      <c r="Q4098">
        <v>98</v>
      </c>
      <c r="R4098">
        <v>-8.6</v>
      </c>
      <c r="S4098">
        <v>91</v>
      </c>
      <c r="T4098">
        <v>5.69</v>
      </c>
      <c r="U4098">
        <v>97</v>
      </c>
      <c r="V4098">
        <v>-3.43</v>
      </c>
      <c r="W4098">
        <v>85</v>
      </c>
      <c r="X4098" t="s">
        <v>110</v>
      </c>
      <c r="Y4098" t="s">
        <v>95</v>
      </c>
      <c r="Z4098" t="s">
        <v>96</v>
      </c>
      <c r="AA4098" t="s">
        <v>154</v>
      </c>
      <c r="AB4098" t="s">
        <v>5218</v>
      </c>
      <c r="AC4098">
        <v>1454</v>
      </c>
      <c r="AD4098">
        <v>585</v>
      </c>
      <c r="AE4098">
        <v>99</v>
      </c>
      <c r="AF4098">
        <v>252.2</v>
      </c>
      <c r="AG4098">
        <v>-1.07</v>
      </c>
      <c r="AH4098">
        <v>4.0999999999999996</v>
      </c>
      <c r="AI4098">
        <v>-0.17</v>
      </c>
      <c r="AJ4098">
        <v>-7.0000000000000007E-2</v>
      </c>
      <c r="AK4098">
        <v>94</v>
      </c>
      <c r="AL4098">
        <v>1670</v>
      </c>
      <c r="AM4098">
        <v>591</v>
      </c>
      <c r="AN4098">
        <v>5.07</v>
      </c>
      <c r="AO4098">
        <v>-2.96</v>
      </c>
      <c r="AP4098">
        <v>55</v>
      </c>
      <c r="AQ4098">
        <v>0</v>
      </c>
      <c r="AR4098">
        <v>5.52</v>
      </c>
      <c r="AS4098">
        <v>89</v>
      </c>
      <c r="AT4098">
        <v>2.59</v>
      </c>
      <c r="AU4098">
        <v>97</v>
      </c>
      <c r="AV4098">
        <v>-1.27</v>
      </c>
      <c r="AW4098">
        <v>97</v>
      </c>
      <c r="AX4098">
        <v>-0.23</v>
      </c>
      <c r="AY4098">
        <v>98</v>
      </c>
      <c r="AZ4098">
        <v>5.51</v>
      </c>
      <c r="BA4098">
        <v>89</v>
      </c>
      <c r="BB4098">
        <v>5.34</v>
      </c>
      <c r="BC4098">
        <v>95</v>
      </c>
      <c r="BD4098">
        <v>0.04</v>
      </c>
      <c r="BE4098">
        <v>0.09</v>
      </c>
      <c r="BF4098">
        <v>-0.04</v>
      </c>
      <c r="BG4098">
        <v>99</v>
      </c>
      <c r="BH4098">
        <v>0.09</v>
      </c>
      <c r="BI4098">
        <v>21.49</v>
      </c>
      <c r="BJ4098">
        <v>405</v>
      </c>
      <c r="BK4098">
        <v>161</v>
      </c>
      <c r="BL4098">
        <v>1.4</v>
      </c>
      <c r="BM4098">
        <v>1.92</v>
      </c>
      <c r="BN4098">
        <v>2.36</v>
      </c>
      <c r="BO4098">
        <v>0.85</v>
      </c>
      <c r="BP4098">
        <v>-0.11</v>
      </c>
      <c r="BQ4098">
        <v>3.02</v>
      </c>
      <c r="BR4098">
        <v>-2.08</v>
      </c>
      <c r="BS4098">
        <v>1.75</v>
      </c>
      <c r="BT4098">
        <v>1.91</v>
      </c>
      <c r="BU4098">
        <v>-1.1000000000000001</v>
      </c>
      <c r="BV4098">
        <v>0.87</v>
      </c>
      <c r="BW4098">
        <v>1.18</v>
      </c>
      <c r="BX4098">
        <v>-1.76</v>
      </c>
      <c r="BY4098">
        <v>-1.87</v>
      </c>
      <c r="BZ4098">
        <v>1.55</v>
      </c>
      <c r="CA4098">
        <v>0.12</v>
      </c>
      <c r="CB4098">
        <v>-0.45</v>
      </c>
      <c r="CC4098">
        <v>1.54</v>
      </c>
      <c r="CD4098">
        <v>-0.17</v>
      </c>
      <c r="CE4098">
        <v>0.97</v>
      </c>
      <c r="CF4098">
        <v>2.44</v>
      </c>
      <c r="CG4098">
        <v>0</v>
      </c>
      <c r="CH4098">
        <v>-0.27</v>
      </c>
      <c r="CI4098">
        <v>0</v>
      </c>
      <c r="CJ4098">
        <v>1.5</v>
      </c>
      <c r="CK4098">
        <v>98</v>
      </c>
      <c r="CL4098">
        <v>-0.65</v>
      </c>
      <c r="CM4098">
        <v>98</v>
      </c>
      <c r="CN4098">
        <v>-0.36</v>
      </c>
      <c r="CO4098">
        <v>98</v>
      </c>
      <c r="CP4098">
        <v>-0.5</v>
      </c>
      <c r="CQ4098">
        <v>99</v>
      </c>
      <c r="CR4098">
        <v>0</v>
      </c>
      <c r="CS4098">
        <v>0</v>
      </c>
      <c r="CT4098">
        <v>6.1</v>
      </c>
      <c r="CU4098">
        <v>97</v>
      </c>
      <c r="CV4098">
        <v>0.25</v>
      </c>
      <c r="CW4098">
        <v>29</v>
      </c>
      <c r="CX4098" t="s">
        <v>5219</v>
      </c>
    </row>
    <row r="4099" spans="1:102" x14ac:dyDescent="0.3">
      <c r="A4099" t="str">
        <f>HYPERLINK("https://webapp.icbf.com/v2/app/bull-search/view/77858935","CJP")</f>
        <v>CJP</v>
      </c>
      <c r="B4099" t="s">
        <v>10997</v>
      </c>
      <c r="C4099" t="s">
        <v>10998</v>
      </c>
      <c r="D4099" s="1">
        <v>34740</v>
      </c>
      <c r="E4099" t="s">
        <v>92</v>
      </c>
      <c r="F4099">
        <v>100</v>
      </c>
      <c r="G4099" t="s">
        <v>93</v>
      </c>
      <c r="H4099">
        <v>-88.59</v>
      </c>
      <c r="I4099">
        <v>88</v>
      </c>
      <c r="J4099">
        <v>-9.9</v>
      </c>
      <c r="K4099">
        <v>97</v>
      </c>
      <c r="L4099">
        <v>-57.66</v>
      </c>
      <c r="M4099">
        <v>85</v>
      </c>
      <c r="N4099">
        <v>-12.87</v>
      </c>
      <c r="O4099">
        <v>79</v>
      </c>
      <c r="P4099">
        <v>-2.15</v>
      </c>
      <c r="Q4099">
        <v>86</v>
      </c>
      <c r="R4099">
        <v>1.29</v>
      </c>
      <c r="S4099">
        <v>83</v>
      </c>
      <c r="T4099">
        <v>-0.01</v>
      </c>
      <c r="U4099">
        <v>85</v>
      </c>
      <c r="V4099">
        <v>-7.29</v>
      </c>
      <c r="W4099">
        <v>72</v>
      </c>
      <c r="X4099" t="s">
        <v>94</v>
      </c>
      <c r="Y4099" t="s">
        <v>95</v>
      </c>
      <c r="Z4099" t="s">
        <v>96</v>
      </c>
      <c r="AA4099" t="s">
        <v>105</v>
      </c>
      <c r="AB4099" t="s">
        <v>10999</v>
      </c>
      <c r="AC4099">
        <v>128</v>
      </c>
      <c r="AD4099">
        <v>98</v>
      </c>
      <c r="AE4099">
        <v>97</v>
      </c>
      <c r="AF4099">
        <v>-1.5</v>
      </c>
      <c r="AG4099">
        <v>-3.13</v>
      </c>
      <c r="AH4099">
        <v>-0.6</v>
      </c>
      <c r="AI4099">
        <v>-0.05</v>
      </c>
      <c r="AJ4099">
        <v>-0.01</v>
      </c>
      <c r="AK4099">
        <v>85</v>
      </c>
      <c r="AL4099">
        <v>153</v>
      </c>
      <c r="AM4099">
        <v>100</v>
      </c>
      <c r="AN4099">
        <v>2.25</v>
      </c>
      <c r="AO4099">
        <v>-2.36</v>
      </c>
      <c r="AP4099">
        <v>11</v>
      </c>
      <c r="AQ4099">
        <v>0</v>
      </c>
      <c r="AR4099">
        <v>8.2100000000000009</v>
      </c>
      <c r="AS4099">
        <v>65</v>
      </c>
      <c r="AT4099">
        <v>4.2300000000000004</v>
      </c>
      <c r="AU4099">
        <v>82</v>
      </c>
      <c r="AV4099">
        <v>-0.39</v>
      </c>
      <c r="AW4099">
        <v>82</v>
      </c>
      <c r="AX4099">
        <v>0.04</v>
      </c>
      <c r="AY4099">
        <v>85</v>
      </c>
      <c r="AZ4099">
        <v>6.77</v>
      </c>
      <c r="BA4099">
        <v>59</v>
      </c>
      <c r="BB4099">
        <v>5.56</v>
      </c>
      <c r="BC4099">
        <v>73</v>
      </c>
      <c r="BD4099">
        <v>0.02</v>
      </c>
      <c r="BE4099">
        <v>0.03</v>
      </c>
      <c r="BF4099">
        <v>-0.12</v>
      </c>
      <c r="BG4099">
        <v>94</v>
      </c>
      <c r="BH4099">
        <v>0.05</v>
      </c>
      <c r="BI4099">
        <v>29.31</v>
      </c>
      <c r="BJ4099">
        <v>14</v>
      </c>
      <c r="BK4099">
        <v>10</v>
      </c>
      <c r="BL4099">
        <v>0.37</v>
      </c>
      <c r="BM4099">
        <v>-0.03</v>
      </c>
      <c r="BN4099">
        <v>0.46</v>
      </c>
      <c r="BO4099">
        <v>0.12</v>
      </c>
      <c r="BP4099">
        <v>-1.46</v>
      </c>
      <c r="BQ4099">
        <v>-2.04</v>
      </c>
      <c r="BR4099">
        <v>0.42</v>
      </c>
      <c r="BS4099">
        <v>-0.82</v>
      </c>
      <c r="BT4099">
        <v>0.35</v>
      </c>
      <c r="BU4099">
        <v>0.12</v>
      </c>
      <c r="BV4099">
        <v>-0.09</v>
      </c>
      <c r="BW4099">
        <v>0.59</v>
      </c>
      <c r="BX4099">
        <v>0.93</v>
      </c>
      <c r="BY4099">
        <v>0.33</v>
      </c>
      <c r="BZ4099">
        <v>1.2</v>
      </c>
      <c r="CA4099">
        <v>0.36</v>
      </c>
      <c r="CB4099">
        <v>0.61</v>
      </c>
      <c r="CC4099">
        <v>-0.56000000000000005</v>
      </c>
      <c r="CD4099">
        <v>-0.6</v>
      </c>
      <c r="CE4099">
        <v>0.59</v>
      </c>
      <c r="CF4099">
        <v>0</v>
      </c>
      <c r="CG4099">
        <v>0</v>
      </c>
      <c r="CH4099">
        <v>0.32</v>
      </c>
      <c r="CI4099">
        <v>0</v>
      </c>
      <c r="CJ4099">
        <v>1.3</v>
      </c>
      <c r="CK4099">
        <v>87</v>
      </c>
      <c r="CL4099">
        <v>-0.8</v>
      </c>
      <c r="CM4099">
        <v>85</v>
      </c>
      <c r="CN4099">
        <v>-0.38</v>
      </c>
      <c r="CO4099">
        <v>83</v>
      </c>
      <c r="CP4099">
        <v>-0.9</v>
      </c>
      <c r="CQ4099">
        <v>90</v>
      </c>
      <c r="CR4099">
        <v>0</v>
      </c>
      <c r="CS4099">
        <v>0</v>
      </c>
      <c r="CT4099">
        <v>13.8</v>
      </c>
      <c r="CU4099">
        <v>85</v>
      </c>
      <c r="CV4099">
        <v>0.22</v>
      </c>
      <c r="CW4099">
        <v>43</v>
      </c>
      <c r="CX4099" t="s">
        <v>111</v>
      </c>
    </row>
    <row r="4100" spans="1:102" x14ac:dyDescent="0.3">
      <c r="A4100" t="str">
        <f>HYPERLINK("https://webapp.icbf.com/v2/app/bull-search/view/77855653","LEG")</f>
        <v>LEG</v>
      </c>
      <c r="B4100" t="s">
        <v>14823</v>
      </c>
      <c r="C4100" t="s">
        <v>14824</v>
      </c>
      <c r="D4100" s="1">
        <v>34713</v>
      </c>
      <c r="E4100" t="s">
        <v>92</v>
      </c>
      <c r="F4100">
        <v>100</v>
      </c>
      <c r="G4100" t="s">
        <v>93</v>
      </c>
      <c r="H4100">
        <v>-88.63</v>
      </c>
      <c r="I4100">
        <v>81</v>
      </c>
      <c r="J4100">
        <v>0.44</v>
      </c>
      <c r="K4100">
        <v>95</v>
      </c>
      <c r="L4100">
        <v>-83.16</v>
      </c>
      <c r="M4100">
        <v>74</v>
      </c>
      <c r="N4100">
        <v>3.63</v>
      </c>
      <c r="O4100">
        <v>70</v>
      </c>
      <c r="P4100">
        <v>-5.66</v>
      </c>
      <c r="Q4100">
        <v>84</v>
      </c>
      <c r="R4100">
        <v>-17.149999999999999</v>
      </c>
      <c r="S4100">
        <v>73</v>
      </c>
      <c r="T4100">
        <v>12.27</v>
      </c>
      <c r="U4100">
        <v>80</v>
      </c>
      <c r="V4100">
        <v>1</v>
      </c>
      <c r="W4100">
        <v>58</v>
      </c>
      <c r="X4100" t="s">
        <v>94</v>
      </c>
      <c r="Y4100" t="s">
        <v>95</v>
      </c>
      <c r="Z4100" t="s">
        <v>96</v>
      </c>
      <c r="AA4100" t="s">
        <v>10661</v>
      </c>
      <c r="AB4100" t="s">
        <v>14825</v>
      </c>
      <c r="AC4100">
        <v>67</v>
      </c>
      <c r="AD4100">
        <v>57</v>
      </c>
      <c r="AE4100">
        <v>95</v>
      </c>
      <c r="AF4100">
        <v>339</v>
      </c>
      <c r="AG4100">
        <v>-0.67</v>
      </c>
      <c r="AH4100">
        <v>5.5</v>
      </c>
      <c r="AI4100">
        <v>-0.23</v>
      </c>
      <c r="AJ4100">
        <v>-0.1</v>
      </c>
      <c r="AK4100">
        <v>74</v>
      </c>
      <c r="AL4100">
        <v>90</v>
      </c>
      <c r="AM4100">
        <v>70</v>
      </c>
      <c r="AN4100">
        <v>5.48</v>
      </c>
      <c r="AO4100">
        <v>-1.1399999999999999</v>
      </c>
      <c r="AP4100">
        <v>23</v>
      </c>
      <c r="AQ4100">
        <v>2</v>
      </c>
      <c r="AR4100">
        <v>8.5299999999999994</v>
      </c>
      <c r="AS4100">
        <v>53</v>
      </c>
      <c r="AT4100">
        <v>3.44</v>
      </c>
      <c r="AU4100">
        <v>75</v>
      </c>
      <c r="AV4100">
        <v>-0.97</v>
      </c>
      <c r="AW4100">
        <v>74</v>
      </c>
      <c r="AX4100">
        <v>-0.56999999999999995</v>
      </c>
      <c r="AY4100">
        <v>78</v>
      </c>
      <c r="AZ4100">
        <v>6.23</v>
      </c>
      <c r="BA4100">
        <v>44</v>
      </c>
      <c r="BB4100">
        <v>5.09</v>
      </c>
      <c r="BC4100">
        <v>59</v>
      </c>
      <c r="BD4100">
        <v>0.08</v>
      </c>
      <c r="BE4100">
        <v>0.09</v>
      </c>
      <c r="BF4100">
        <v>0.09</v>
      </c>
      <c r="BG4100">
        <v>87</v>
      </c>
      <c r="BH4100">
        <v>-0.05</v>
      </c>
      <c r="BI4100">
        <v>-9.01</v>
      </c>
      <c r="BJ4100">
        <v>13</v>
      </c>
      <c r="BK4100">
        <v>11</v>
      </c>
      <c r="BL4100">
        <v>0.12</v>
      </c>
      <c r="BM4100">
        <v>-1.47</v>
      </c>
      <c r="BN4100">
        <v>-1.35</v>
      </c>
      <c r="BO4100">
        <v>0.33</v>
      </c>
      <c r="BP4100">
        <v>-0.89</v>
      </c>
      <c r="BQ4100">
        <v>-1.07</v>
      </c>
      <c r="BR4100">
        <v>0.13</v>
      </c>
      <c r="BS4100">
        <v>-2.34</v>
      </c>
      <c r="BT4100">
        <v>-0.22</v>
      </c>
      <c r="BU4100">
        <v>-2.25</v>
      </c>
      <c r="BV4100">
        <v>-1.3</v>
      </c>
      <c r="BW4100">
        <v>-0.73</v>
      </c>
      <c r="BX4100">
        <v>-0.9</v>
      </c>
      <c r="BY4100">
        <v>-1.21</v>
      </c>
      <c r="BZ4100">
        <v>-0.57999999999999996</v>
      </c>
      <c r="CA4100">
        <v>-1.66</v>
      </c>
      <c r="CB4100">
        <v>-1.25</v>
      </c>
      <c r="CC4100">
        <v>-1.58</v>
      </c>
      <c r="CD4100">
        <v>-1.58</v>
      </c>
      <c r="CE4100">
        <v>0.14000000000000001</v>
      </c>
      <c r="CF4100">
        <v>-0.57999999999999996</v>
      </c>
      <c r="CG4100">
        <v>0</v>
      </c>
      <c r="CH4100">
        <v>-1.19</v>
      </c>
      <c r="CI4100">
        <v>0</v>
      </c>
      <c r="CJ4100">
        <v>0.2</v>
      </c>
      <c r="CK4100">
        <v>85</v>
      </c>
      <c r="CL4100">
        <v>-0.57999999999999996</v>
      </c>
      <c r="CM4100">
        <v>82</v>
      </c>
      <c r="CN4100">
        <v>-0.08</v>
      </c>
      <c r="CO4100">
        <v>80</v>
      </c>
      <c r="CP4100">
        <v>-5.9</v>
      </c>
      <c r="CQ4100">
        <v>86</v>
      </c>
      <c r="CR4100">
        <v>0</v>
      </c>
      <c r="CS4100">
        <v>0</v>
      </c>
      <c r="CT4100">
        <v>-2.8</v>
      </c>
      <c r="CU4100">
        <v>80</v>
      </c>
      <c r="CV4100">
        <v>0.26</v>
      </c>
      <c r="CW4100">
        <v>42</v>
      </c>
      <c r="CX4100" t="s">
        <v>137</v>
      </c>
    </row>
    <row r="4101" spans="1:102" x14ac:dyDescent="0.3">
      <c r="A4101" t="str">
        <f>HYPERLINK("https://webapp.icbf.com/v2/app/bull-search/view/77854918","MWD")</f>
        <v>MWD</v>
      </c>
      <c r="B4101" t="s">
        <v>9596</v>
      </c>
      <c r="C4101" t="s">
        <v>1106</v>
      </c>
      <c r="D4101" s="1">
        <v>32647</v>
      </c>
      <c r="E4101" t="s">
        <v>92</v>
      </c>
      <c r="F4101">
        <v>100</v>
      </c>
      <c r="G4101" t="s">
        <v>93</v>
      </c>
      <c r="H4101">
        <v>-88.75</v>
      </c>
      <c r="I4101">
        <v>97</v>
      </c>
      <c r="J4101">
        <v>-9.06</v>
      </c>
      <c r="K4101">
        <v>99</v>
      </c>
      <c r="L4101">
        <v>-67.66</v>
      </c>
      <c r="M4101">
        <v>95</v>
      </c>
      <c r="N4101">
        <v>12.54</v>
      </c>
      <c r="O4101">
        <v>97</v>
      </c>
      <c r="P4101">
        <v>-7.22</v>
      </c>
      <c r="Q4101">
        <v>98</v>
      </c>
      <c r="R4101">
        <v>-11.73</v>
      </c>
      <c r="S4101">
        <v>94</v>
      </c>
      <c r="T4101">
        <v>8.42</v>
      </c>
      <c r="U4101">
        <v>97</v>
      </c>
      <c r="V4101">
        <v>-14.04</v>
      </c>
      <c r="W4101">
        <v>92</v>
      </c>
      <c r="X4101" t="s">
        <v>558</v>
      </c>
      <c r="Y4101" t="s">
        <v>95</v>
      </c>
      <c r="Z4101" t="s">
        <v>96</v>
      </c>
      <c r="AA4101" t="s">
        <v>267</v>
      </c>
      <c r="AB4101" t="s">
        <v>9597</v>
      </c>
      <c r="AC4101">
        <v>1622</v>
      </c>
      <c r="AD4101">
        <v>601</v>
      </c>
      <c r="AE4101">
        <v>99</v>
      </c>
      <c r="AF4101">
        <v>279.64</v>
      </c>
      <c r="AG4101">
        <v>4.04</v>
      </c>
      <c r="AH4101">
        <v>1.31</v>
      </c>
      <c r="AI4101">
        <v>-0.11</v>
      </c>
      <c r="AJ4101">
        <v>-0.14000000000000001</v>
      </c>
      <c r="AK4101">
        <v>95</v>
      </c>
      <c r="AL4101">
        <v>1605</v>
      </c>
      <c r="AM4101">
        <v>580</v>
      </c>
      <c r="AN4101">
        <v>4.1500000000000004</v>
      </c>
      <c r="AO4101">
        <v>-1.24</v>
      </c>
      <c r="AP4101">
        <v>78</v>
      </c>
      <c r="AQ4101">
        <v>0</v>
      </c>
      <c r="AR4101">
        <v>7.03</v>
      </c>
      <c r="AS4101">
        <v>93</v>
      </c>
      <c r="AT4101">
        <v>3.41</v>
      </c>
      <c r="AU4101">
        <v>99</v>
      </c>
      <c r="AV4101">
        <v>-1.8</v>
      </c>
      <c r="AW4101">
        <v>98</v>
      </c>
      <c r="AX4101">
        <v>-0.13</v>
      </c>
      <c r="AY4101">
        <v>98</v>
      </c>
      <c r="AZ4101">
        <v>6.65</v>
      </c>
      <c r="BA4101">
        <v>92</v>
      </c>
      <c r="BB4101">
        <v>5.16</v>
      </c>
      <c r="BC4101">
        <v>96</v>
      </c>
      <c r="BD4101">
        <v>0.1</v>
      </c>
      <c r="BE4101">
        <v>7.0000000000000007E-2</v>
      </c>
      <c r="BF4101">
        <v>-0.03</v>
      </c>
      <c r="BG4101">
        <v>99</v>
      </c>
      <c r="BH4101">
        <v>-0.28999999999999998</v>
      </c>
      <c r="BI4101">
        <v>11.73</v>
      </c>
      <c r="BJ4101">
        <v>336</v>
      </c>
      <c r="BK4101">
        <v>147</v>
      </c>
      <c r="BL4101">
        <v>1.53</v>
      </c>
      <c r="BM4101">
        <v>-0.78</v>
      </c>
      <c r="BN4101">
        <v>0.71</v>
      </c>
      <c r="BO4101">
        <v>1.1200000000000001</v>
      </c>
      <c r="BP4101">
        <v>-0.11</v>
      </c>
      <c r="BQ4101">
        <v>-1.04</v>
      </c>
      <c r="BR4101">
        <v>-0.87</v>
      </c>
      <c r="BS4101">
        <v>-1.94</v>
      </c>
      <c r="BT4101">
        <v>0.53</v>
      </c>
      <c r="BU4101">
        <v>-1.62</v>
      </c>
      <c r="BV4101">
        <v>-0.26</v>
      </c>
      <c r="BW4101">
        <v>-0.83</v>
      </c>
      <c r="BX4101">
        <v>-1.26</v>
      </c>
      <c r="BY4101">
        <v>-1</v>
      </c>
      <c r="BZ4101">
        <v>1.39</v>
      </c>
      <c r="CA4101">
        <v>-1.04</v>
      </c>
      <c r="CB4101">
        <v>-1.04</v>
      </c>
      <c r="CC4101">
        <v>-0.71</v>
      </c>
      <c r="CD4101">
        <v>-0.66</v>
      </c>
      <c r="CE4101">
        <v>1.35</v>
      </c>
      <c r="CF4101">
        <v>1.36</v>
      </c>
      <c r="CG4101">
        <v>0</v>
      </c>
      <c r="CH4101">
        <v>-1.28</v>
      </c>
      <c r="CI4101">
        <v>0</v>
      </c>
      <c r="CJ4101">
        <v>-0.8</v>
      </c>
      <c r="CK4101">
        <v>98</v>
      </c>
      <c r="CL4101">
        <v>-0.83</v>
      </c>
      <c r="CM4101">
        <v>98</v>
      </c>
      <c r="CN4101">
        <v>-0.28000000000000003</v>
      </c>
      <c r="CO4101">
        <v>98</v>
      </c>
      <c r="CP4101">
        <v>-5.5</v>
      </c>
      <c r="CQ4101">
        <v>99</v>
      </c>
      <c r="CR4101">
        <v>0</v>
      </c>
      <c r="CS4101">
        <v>0</v>
      </c>
      <c r="CT4101">
        <v>2.4</v>
      </c>
      <c r="CU4101">
        <v>97</v>
      </c>
      <c r="CV4101">
        <v>0.2</v>
      </c>
      <c r="CW4101">
        <v>46</v>
      </c>
      <c r="CX4101" t="s">
        <v>707</v>
      </c>
    </row>
    <row r="4102" spans="1:102" x14ac:dyDescent="0.3">
      <c r="A4102" t="str">
        <f>HYPERLINK("https://webapp.icbf.com/v2/app/bull-search/view/77852833","VLE")</f>
        <v>VLE</v>
      </c>
      <c r="B4102" t="s">
        <v>14351</v>
      </c>
      <c r="C4102" t="s">
        <v>14352</v>
      </c>
      <c r="D4102" s="1">
        <v>33413</v>
      </c>
      <c r="E4102" t="s">
        <v>92</v>
      </c>
      <c r="F4102">
        <v>100</v>
      </c>
      <c r="G4102" t="s">
        <v>109</v>
      </c>
      <c r="H4102">
        <v>-88.8</v>
      </c>
      <c r="I4102">
        <v>74</v>
      </c>
      <c r="J4102">
        <v>-33.17</v>
      </c>
      <c r="K4102">
        <v>87</v>
      </c>
      <c r="L4102">
        <v>-27.84</v>
      </c>
      <c r="M4102">
        <v>74</v>
      </c>
      <c r="N4102">
        <v>-16.75</v>
      </c>
      <c r="O4102">
        <v>59</v>
      </c>
      <c r="P4102">
        <v>-3.16</v>
      </c>
      <c r="Q4102">
        <v>68</v>
      </c>
      <c r="R4102">
        <v>-15.69</v>
      </c>
      <c r="S4102">
        <v>61</v>
      </c>
      <c r="T4102">
        <v>15.82</v>
      </c>
      <c r="U4102">
        <v>66</v>
      </c>
      <c r="V4102">
        <v>-8.01</v>
      </c>
      <c r="W4102">
        <v>38</v>
      </c>
      <c r="X4102" t="s">
        <v>110</v>
      </c>
      <c r="Y4102" t="s">
        <v>95</v>
      </c>
      <c r="Z4102" t="s">
        <v>96</v>
      </c>
      <c r="AA4102" t="s">
        <v>161</v>
      </c>
      <c r="AB4102" t="s">
        <v>14353</v>
      </c>
      <c r="AC4102">
        <v>26</v>
      </c>
      <c r="AD4102">
        <v>22</v>
      </c>
      <c r="AE4102">
        <v>87</v>
      </c>
      <c r="AF4102">
        <v>-53.03</v>
      </c>
      <c r="AG4102">
        <v>-10.58</v>
      </c>
      <c r="AH4102">
        <v>-2.71</v>
      </c>
      <c r="AI4102">
        <v>-0.14000000000000001</v>
      </c>
      <c r="AJ4102">
        <v>-0.01</v>
      </c>
      <c r="AK4102">
        <v>74</v>
      </c>
      <c r="AL4102">
        <v>27</v>
      </c>
      <c r="AM4102">
        <v>15</v>
      </c>
      <c r="AN4102">
        <v>-0.01</v>
      </c>
      <c r="AO4102">
        <v>-2.25</v>
      </c>
      <c r="AP4102">
        <v>2</v>
      </c>
      <c r="AQ4102">
        <v>2</v>
      </c>
      <c r="AR4102">
        <v>8.9499999999999993</v>
      </c>
      <c r="AS4102">
        <v>39</v>
      </c>
      <c r="AT4102">
        <v>4.24</v>
      </c>
      <c r="AU4102">
        <v>65</v>
      </c>
      <c r="AV4102">
        <v>0.32</v>
      </c>
      <c r="AW4102">
        <v>63</v>
      </c>
      <c r="AX4102">
        <v>-0.02</v>
      </c>
      <c r="AY4102">
        <v>68</v>
      </c>
      <c r="AZ4102">
        <v>6.63</v>
      </c>
      <c r="BA4102">
        <v>38</v>
      </c>
      <c r="BB4102">
        <v>4.84</v>
      </c>
      <c r="BC4102">
        <v>46</v>
      </c>
      <c r="BD4102">
        <v>0.04</v>
      </c>
      <c r="BE4102">
        <v>0.06</v>
      </c>
      <c r="BF4102">
        <v>0.18</v>
      </c>
      <c r="BG4102">
        <v>75</v>
      </c>
      <c r="BH4102">
        <v>-0.09</v>
      </c>
      <c r="BI4102">
        <v>15.44</v>
      </c>
      <c r="BJ4102">
        <v>10</v>
      </c>
      <c r="BK4102">
        <v>5</v>
      </c>
      <c r="BL4102">
        <v>1.24</v>
      </c>
      <c r="BM4102">
        <v>0.06</v>
      </c>
      <c r="BN4102">
        <v>1.07</v>
      </c>
      <c r="BO4102">
        <v>1.46</v>
      </c>
      <c r="BP4102">
        <v>0.98</v>
      </c>
      <c r="BQ4102">
        <v>0.39</v>
      </c>
      <c r="BR4102">
        <v>-0.01</v>
      </c>
      <c r="BS4102">
        <v>0.22</v>
      </c>
      <c r="BT4102">
        <v>0.56999999999999995</v>
      </c>
      <c r="BU4102">
        <v>0.24</v>
      </c>
      <c r="BV4102">
        <v>1.24</v>
      </c>
      <c r="BW4102">
        <v>1.98</v>
      </c>
      <c r="BX4102">
        <v>0.8</v>
      </c>
      <c r="BY4102">
        <v>-0.77</v>
      </c>
      <c r="BZ4102">
        <v>4.47</v>
      </c>
      <c r="CA4102">
        <v>0.63</v>
      </c>
      <c r="CB4102">
        <v>0.47</v>
      </c>
      <c r="CC4102">
        <v>0.81</v>
      </c>
      <c r="CD4102">
        <v>-0.15</v>
      </c>
      <c r="CE4102">
        <v>0.98</v>
      </c>
      <c r="CF4102">
        <v>1.21</v>
      </c>
      <c r="CG4102">
        <v>0</v>
      </c>
      <c r="CH4102">
        <v>1.39</v>
      </c>
      <c r="CI4102">
        <v>0</v>
      </c>
      <c r="CJ4102">
        <v>-0.1</v>
      </c>
      <c r="CK4102">
        <v>70</v>
      </c>
      <c r="CL4102">
        <v>-0.55000000000000004</v>
      </c>
      <c r="CM4102">
        <v>65</v>
      </c>
      <c r="CN4102">
        <v>-0.26</v>
      </c>
      <c r="CO4102">
        <v>61</v>
      </c>
      <c r="CP4102">
        <v>-2.6</v>
      </c>
      <c r="CQ4102">
        <v>73</v>
      </c>
      <c r="CR4102">
        <v>0</v>
      </c>
      <c r="CS4102">
        <v>0</v>
      </c>
      <c r="CT4102">
        <v>-7.6</v>
      </c>
      <c r="CU4102">
        <v>66</v>
      </c>
      <c r="CV4102">
        <v>0.17</v>
      </c>
      <c r="CW4102">
        <v>19</v>
      </c>
      <c r="CX4102" t="s">
        <v>543</v>
      </c>
    </row>
    <row r="4103" spans="1:102" x14ac:dyDescent="0.3">
      <c r="A4103" t="str">
        <f>HYPERLINK("https://webapp.icbf.com/v2/app/bull-search/view/444455636","ACJ")</f>
        <v>ACJ</v>
      </c>
      <c r="B4103" t="s">
        <v>7571</v>
      </c>
      <c r="C4103" t="s">
        <v>7572</v>
      </c>
      <c r="D4103" s="1">
        <v>32375</v>
      </c>
      <c r="E4103" t="s">
        <v>92</v>
      </c>
      <c r="F4103">
        <v>100</v>
      </c>
      <c r="G4103" t="s">
        <v>109</v>
      </c>
      <c r="H4103">
        <v>-89.01</v>
      </c>
      <c r="I4103">
        <v>70</v>
      </c>
      <c r="J4103">
        <v>-34.92</v>
      </c>
      <c r="K4103">
        <v>84</v>
      </c>
      <c r="L4103">
        <v>-51.73</v>
      </c>
      <c r="M4103">
        <v>80</v>
      </c>
      <c r="N4103">
        <v>22.61</v>
      </c>
      <c r="O4103">
        <v>47</v>
      </c>
      <c r="P4103">
        <v>-16.03</v>
      </c>
      <c r="Q4103">
        <v>63</v>
      </c>
      <c r="R4103">
        <v>-16.920000000000002</v>
      </c>
      <c r="S4103">
        <v>61</v>
      </c>
      <c r="T4103">
        <v>8.7200000000000006</v>
      </c>
      <c r="U4103">
        <v>44</v>
      </c>
      <c r="V4103">
        <v>-0.74</v>
      </c>
      <c r="W4103">
        <v>14</v>
      </c>
      <c r="X4103" t="s">
        <v>1589</v>
      </c>
      <c r="Y4103" t="s">
        <v>95</v>
      </c>
      <c r="Z4103" t="s">
        <v>96</v>
      </c>
      <c r="AA4103" t="s">
        <v>7573</v>
      </c>
      <c r="AB4103" t="s">
        <v>7574</v>
      </c>
      <c r="AC4103">
        <v>0</v>
      </c>
      <c r="AD4103">
        <v>0</v>
      </c>
      <c r="AE4103">
        <v>84</v>
      </c>
      <c r="AF4103">
        <v>-36.25</v>
      </c>
      <c r="AG4103">
        <v>1.1499999999999999</v>
      </c>
      <c r="AH4103">
        <v>-6.9</v>
      </c>
      <c r="AI4103">
        <v>0.04</v>
      </c>
      <c r="AJ4103">
        <v>-0.09</v>
      </c>
      <c r="AK4103">
        <v>80</v>
      </c>
      <c r="AL4103">
        <v>0</v>
      </c>
      <c r="AM4103">
        <v>0</v>
      </c>
      <c r="AN4103">
        <v>3.23</v>
      </c>
      <c r="AO4103">
        <v>-0.89</v>
      </c>
      <c r="AP4103">
        <v>7</v>
      </c>
      <c r="AQ4103">
        <v>0</v>
      </c>
      <c r="AR4103">
        <v>5.19</v>
      </c>
      <c r="AS4103">
        <v>25</v>
      </c>
      <c r="AT4103">
        <v>2.77</v>
      </c>
      <c r="AU4103">
        <v>87</v>
      </c>
      <c r="AV4103">
        <v>-1.91</v>
      </c>
      <c r="AW4103">
        <v>38</v>
      </c>
      <c r="AX4103">
        <v>-0.66</v>
      </c>
      <c r="AY4103">
        <v>46</v>
      </c>
      <c r="AZ4103">
        <v>7.34</v>
      </c>
      <c r="BA4103">
        <v>16</v>
      </c>
      <c r="BB4103">
        <v>5.3</v>
      </c>
      <c r="BC4103">
        <v>21</v>
      </c>
      <c r="BD4103">
        <v>0.06</v>
      </c>
      <c r="BE4103">
        <v>0.11</v>
      </c>
      <c r="BF4103">
        <v>0.08</v>
      </c>
      <c r="BG4103">
        <v>89</v>
      </c>
      <c r="BH4103">
        <v>0.04</v>
      </c>
      <c r="BI4103">
        <v>7</v>
      </c>
      <c r="BJ4103">
        <v>8</v>
      </c>
      <c r="BK4103">
        <v>7</v>
      </c>
      <c r="BL4103">
        <v>0.42</v>
      </c>
      <c r="BM4103">
        <v>-2.75</v>
      </c>
      <c r="BN4103">
        <v>0.43</v>
      </c>
      <c r="BO4103">
        <v>1.39</v>
      </c>
      <c r="BP4103">
        <v>-1.26</v>
      </c>
      <c r="BQ4103">
        <v>-3.06</v>
      </c>
      <c r="BR4103">
        <v>-1.39</v>
      </c>
      <c r="BS4103">
        <v>1.49</v>
      </c>
      <c r="BT4103">
        <v>1.25</v>
      </c>
      <c r="BU4103">
        <v>1.5</v>
      </c>
      <c r="BV4103">
        <v>1.59</v>
      </c>
      <c r="BW4103">
        <v>0.47</v>
      </c>
      <c r="BX4103">
        <v>1.9</v>
      </c>
      <c r="BY4103">
        <v>0.59</v>
      </c>
      <c r="BZ4103">
        <v>-0.75</v>
      </c>
      <c r="CA4103">
        <v>1.71</v>
      </c>
      <c r="CB4103">
        <v>1.33</v>
      </c>
      <c r="CC4103">
        <v>1.68</v>
      </c>
      <c r="CD4103">
        <v>-2.39</v>
      </c>
      <c r="CE4103">
        <v>0.62</v>
      </c>
      <c r="CF4103">
        <v>-0.1</v>
      </c>
      <c r="CG4103">
        <v>0</v>
      </c>
      <c r="CH4103">
        <v>-0.16</v>
      </c>
      <c r="CI4103">
        <v>0</v>
      </c>
      <c r="CJ4103">
        <v>-7.2</v>
      </c>
      <c r="CK4103">
        <v>66</v>
      </c>
      <c r="CL4103">
        <v>-0.95</v>
      </c>
      <c r="CM4103">
        <v>61</v>
      </c>
      <c r="CN4103">
        <v>-0.36</v>
      </c>
      <c r="CO4103">
        <v>57</v>
      </c>
      <c r="CP4103">
        <v>-3.4</v>
      </c>
      <c r="CQ4103">
        <v>60</v>
      </c>
      <c r="CR4103">
        <v>0</v>
      </c>
      <c r="CS4103">
        <v>0</v>
      </c>
      <c r="CT4103">
        <v>2</v>
      </c>
      <c r="CU4103">
        <v>44</v>
      </c>
      <c r="CV4103">
        <v>0.09</v>
      </c>
      <c r="CW4103">
        <v>17</v>
      </c>
      <c r="CX4103" t="s">
        <v>168</v>
      </c>
    </row>
    <row r="4104" spans="1:102" x14ac:dyDescent="0.3">
      <c r="A4104" t="str">
        <f>HYPERLINK("https://webapp.icbf.com/v2/app/bull-search/view/859879942","MGW")</f>
        <v>MGW</v>
      </c>
      <c r="B4104" t="s">
        <v>9124</v>
      </c>
      <c r="C4104" t="s">
        <v>9125</v>
      </c>
      <c r="D4104" s="1">
        <v>38529</v>
      </c>
      <c r="E4104" t="s">
        <v>895</v>
      </c>
      <c r="F4104">
        <v>0</v>
      </c>
      <c r="G4104" t="s">
        <v>93</v>
      </c>
      <c r="H4104">
        <v>-89.03</v>
      </c>
      <c r="I4104">
        <v>45</v>
      </c>
      <c r="J4104">
        <v>-20.89</v>
      </c>
      <c r="K4104">
        <v>71</v>
      </c>
      <c r="L4104">
        <v>-39.840000000000003</v>
      </c>
      <c r="M4104">
        <v>22</v>
      </c>
      <c r="N4104">
        <v>-35.619999999999997</v>
      </c>
      <c r="O4104">
        <v>34</v>
      </c>
      <c r="P4104">
        <v>5.44</v>
      </c>
      <c r="Q4104">
        <v>59</v>
      </c>
      <c r="R4104">
        <v>0.64</v>
      </c>
      <c r="S4104">
        <v>26</v>
      </c>
      <c r="T4104">
        <v>5.76</v>
      </c>
      <c r="U4104">
        <v>58</v>
      </c>
      <c r="V4104">
        <v>-4.5199999999999996</v>
      </c>
      <c r="W4104">
        <v>7</v>
      </c>
      <c r="X4104" t="s">
        <v>234</v>
      </c>
      <c r="Y4104" t="s">
        <v>1756</v>
      </c>
      <c r="Z4104">
        <v>0</v>
      </c>
      <c r="AA4104" t="s">
        <v>9126</v>
      </c>
      <c r="AB4104" t="s">
        <v>9127</v>
      </c>
      <c r="AC4104">
        <v>13</v>
      </c>
      <c r="AD4104">
        <v>6</v>
      </c>
      <c r="AE4104">
        <v>71</v>
      </c>
      <c r="AF4104">
        <v>-356.27</v>
      </c>
      <c r="AG4104">
        <v>-13.22</v>
      </c>
      <c r="AH4104">
        <v>-4.33</v>
      </c>
      <c r="AI4104">
        <v>0.01</v>
      </c>
      <c r="AJ4104">
        <v>0.14000000000000001</v>
      </c>
      <c r="AK4104">
        <v>22</v>
      </c>
      <c r="AL4104">
        <v>12</v>
      </c>
      <c r="AM4104">
        <v>4</v>
      </c>
      <c r="AN4104">
        <v>3.51</v>
      </c>
      <c r="AO4104">
        <v>0.35</v>
      </c>
      <c r="AP4104">
        <v>26</v>
      </c>
      <c r="AQ4104">
        <v>0</v>
      </c>
      <c r="AR4104">
        <v>11.52</v>
      </c>
      <c r="AS4104">
        <v>16</v>
      </c>
      <c r="AT4104">
        <v>4.87</v>
      </c>
      <c r="AU4104">
        <v>39</v>
      </c>
      <c r="AV4104">
        <v>1.07</v>
      </c>
      <c r="AW4104">
        <v>44</v>
      </c>
      <c r="AX4104">
        <v>0.51</v>
      </c>
      <c r="AY4104">
        <v>30</v>
      </c>
      <c r="AZ4104">
        <v>5.35</v>
      </c>
      <c r="BA4104">
        <v>16</v>
      </c>
      <c r="BB4104">
        <v>4.17</v>
      </c>
      <c r="BC4104">
        <v>10</v>
      </c>
      <c r="BD4104">
        <v>-0.01</v>
      </c>
      <c r="BE4104">
        <v>-0.02</v>
      </c>
      <c r="BF4104">
        <v>0.04</v>
      </c>
      <c r="BG4104">
        <v>34</v>
      </c>
      <c r="BH4104">
        <v>-0.05</v>
      </c>
      <c r="BI4104">
        <v>8.8000000000000007</v>
      </c>
      <c r="BJ4104">
        <v>0</v>
      </c>
      <c r="BK4104">
        <v>0</v>
      </c>
      <c r="BL4104">
        <v>-0.6</v>
      </c>
      <c r="BM4104">
        <v>0.48</v>
      </c>
      <c r="BN4104">
        <v>-0.49</v>
      </c>
      <c r="BO4104">
        <v>-0.69</v>
      </c>
      <c r="BP4104">
        <v>0.32</v>
      </c>
      <c r="BQ4104">
        <v>-0.13</v>
      </c>
      <c r="BR4104">
        <v>0.26</v>
      </c>
      <c r="BS4104">
        <v>-0.21</v>
      </c>
      <c r="BT4104">
        <v>-0.16</v>
      </c>
      <c r="BU4104">
        <v>-0.46</v>
      </c>
      <c r="BV4104">
        <v>-0.92</v>
      </c>
      <c r="BW4104">
        <v>-0.81</v>
      </c>
      <c r="BX4104">
        <v>-0.28000000000000003</v>
      </c>
      <c r="BY4104">
        <v>-0.47</v>
      </c>
      <c r="BZ4104">
        <v>-0.1</v>
      </c>
      <c r="CA4104">
        <v>-0.72</v>
      </c>
      <c r="CB4104">
        <v>-0.74</v>
      </c>
      <c r="CC4104">
        <v>-0.4</v>
      </c>
      <c r="CD4104">
        <v>0.59</v>
      </c>
      <c r="CE4104">
        <v>-0.72</v>
      </c>
      <c r="CF4104">
        <v>-0.67</v>
      </c>
      <c r="CG4104">
        <v>0</v>
      </c>
      <c r="CH4104">
        <v>-0.73</v>
      </c>
      <c r="CI4104">
        <v>0</v>
      </c>
      <c r="CJ4104">
        <v>5.8</v>
      </c>
      <c r="CK4104">
        <v>63</v>
      </c>
      <c r="CL4104">
        <v>-0.31</v>
      </c>
      <c r="CM4104">
        <v>56</v>
      </c>
      <c r="CN4104">
        <v>-0.02</v>
      </c>
      <c r="CO4104">
        <v>50</v>
      </c>
      <c r="CP4104">
        <v>2.7</v>
      </c>
      <c r="CQ4104">
        <v>57</v>
      </c>
      <c r="CR4104">
        <v>0</v>
      </c>
      <c r="CS4104">
        <v>0</v>
      </c>
      <c r="CT4104">
        <v>6</v>
      </c>
      <c r="CU4104">
        <v>58</v>
      </c>
      <c r="CV4104">
        <v>0.09</v>
      </c>
      <c r="CW4104">
        <v>16</v>
      </c>
      <c r="CX4104" t="s">
        <v>9128</v>
      </c>
    </row>
    <row r="4105" spans="1:102" x14ac:dyDescent="0.3">
      <c r="A4105" t="str">
        <f>HYPERLINK("https://webapp.icbf.com/v2/app/bull-search/view/77859655","BGH")</f>
        <v>BGH</v>
      </c>
      <c r="B4105" t="s">
        <v>8443</v>
      </c>
      <c r="C4105" t="s">
        <v>8444</v>
      </c>
      <c r="D4105" s="1">
        <v>35353</v>
      </c>
      <c r="E4105" t="s">
        <v>92</v>
      </c>
      <c r="F4105">
        <v>100</v>
      </c>
      <c r="G4105" t="s">
        <v>93</v>
      </c>
      <c r="H4105">
        <v>-89.11</v>
      </c>
      <c r="I4105">
        <v>88</v>
      </c>
      <c r="J4105">
        <v>58.6</v>
      </c>
      <c r="K4105">
        <v>98</v>
      </c>
      <c r="L4105">
        <v>-156.58000000000001</v>
      </c>
      <c r="M4105">
        <v>83</v>
      </c>
      <c r="N4105">
        <v>12.96</v>
      </c>
      <c r="O4105">
        <v>83</v>
      </c>
      <c r="P4105">
        <v>2.4900000000000002</v>
      </c>
      <c r="Q4105">
        <v>92</v>
      </c>
      <c r="R4105">
        <v>-16.66</v>
      </c>
      <c r="S4105">
        <v>81</v>
      </c>
      <c r="T4105">
        <v>3.76</v>
      </c>
      <c r="U4105">
        <v>87</v>
      </c>
      <c r="V4105">
        <v>6.32</v>
      </c>
      <c r="W4105">
        <v>69</v>
      </c>
      <c r="X4105" t="s">
        <v>94</v>
      </c>
      <c r="Y4105" t="s">
        <v>95</v>
      </c>
      <c r="Z4105" t="s">
        <v>96</v>
      </c>
      <c r="AA4105" t="s">
        <v>3553</v>
      </c>
      <c r="AB4105" t="s">
        <v>8445</v>
      </c>
      <c r="AC4105">
        <v>211</v>
      </c>
      <c r="AD4105">
        <v>153</v>
      </c>
      <c r="AE4105">
        <v>98</v>
      </c>
      <c r="AF4105">
        <v>90.55</v>
      </c>
      <c r="AG4105">
        <v>17.28</v>
      </c>
      <c r="AH4105">
        <v>5.24</v>
      </c>
      <c r="AI4105">
        <v>0.24</v>
      </c>
      <c r="AJ4105">
        <v>0.04</v>
      </c>
      <c r="AK4105">
        <v>83</v>
      </c>
      <c r="AL4105">
        <v>208</v>
      </c>
      <c r="AM4105">
        <v>148</v>
      </c>
      <c r="AN4105">
        <v>9.11</v>
      </c>
      <c r="AO4105">
        <v>-3.37</v>
      </c>
      <c r="AP4105">
        <v>24</v>
      </c>
      <c r="AQ4105">
        <v>0</v>
      </c>
      <c r="AR4105">
        <v>9.3699999999999992</v>
      </c>
      <c r="AS4105">
        <v>67</v>
      </c>
      <c r="AT4105">
        <v>4</v>
      </c>
      <c r="AU4105">
        <v>84</v>
      </c>
      <c r="AV4105">
        <v>-2.5499999999999998</v>
      </c>
      <c r="AW4105">
        <v>88</v>
      </c>
      <c r="AX4105">
        <v>-1.05</v>
      </c>
      <c r="AY4105">
        <v>88</v>
      </c>
      <c r="AZ4105">
        <v>5.47</v>
      </c>
      <c r="BA4105">
        <v>61</v>
      </c>
      <c r="BB4105">
        <v>4.51</v>
      </c>
      <c r="BC4105">
        <v>75</v>
      </c>
      <c r="BD4105">
        <v>0.06</v>
      </c>
      <c r="BE4105">
        <v>7.0000000000000007E-2</v>
      </c>
      <c r="BF4105">
        <v>0.15</v>
      </c>
      <c r="BG4105">
        <v>94</v>
      </c>
      <c r="BH4105">
        <v>0.2</v>
      </c>
      <c r="BI4105">
        <v>2.74</v>
      </c>
      <c r="BJ4105">
        <v>6</v>
      </c>
      <c r="BK4105">
        <v>5</v>
      </c>
      <c r="BL4105">
        <v>0.86</v>
      </c>
      <c r="BM4105">
        <v>-0.95</v>
      </c>
      <c r="BN4105">
        <v>0.33</v>
      </c>
      <c r="BO4105">
        <v>1.05</v>
      </c>
      <c r="BP4105">
        <v>0.26</v>
      </c>
      <c r="BQ4105">
        <v>-0.02</v>
      </c>
      <c r="BR4105">
        <v>0.61</v>
      </c>
      <c r="BS4105">
        <v>-0.52</v>
      </c>
      <c r="BT4105">
        <v>0.81</v>
      </c>
      <c r="BU4105">
        <v>-0.91</v>
      </c>
      <c r="BV4105">
        <v>-0.75</v>
      </c>
      <c r="BW4105">
        <v>0.41</v>
      </c>
      <c r="BX4105">
        <v>0</v>
      </c>
      <c r="BY4105">
        <v>0.37</v>
      </c>
      <c r="BZ4105">
        <v>-1.31</v>
      </c>
      <c r="CA4105">
        <v>-0.37</v>
      </c>
      <c r="CB4105">
        <v>-0.36</v>
      </c>
      <c r="CC4105">
        <v>-0.2</v>
      </c>
      <c r="CD4105">
        <v>-1.1299999999999999</v>
      </c>
      <c r="CE4105">
        <v>0.76</v>
      </c>
      <c r="CF4105">
        <v>0.82</v>
      </c>
      <c r="CG4105">
        <v>0</v>
      </c>
      <c r="CH4105">
        <v>0.02</v>
      </c>
      <c r="CI4105">
        <v>0</v>
      </c>
      <c r="CJ4105">
        <v>4.9000000000000004</v>
      </c>
      <c r="CK4105">
        <v>92</v>
      </c>
      <c r="CL4105">
        <v>-0.71</v>
      </c>
      <c r="CM4105">
        <v>91</v>
      </c>
      <c r="CN4105">
        <v>-0.22</v>
      </c>
      <c r="CO4105">
        <v>89</v>
      </c>
      <c r="CP4105">
        <v>3.2</v>
      </c>
      <c r="CQ4105">
        <v>94</v>
      </c>
      <c r="CR4105">
        <v>0</v>
      </c>
      <c r="CS4105">
        <v>0</v>
      </c>
      <c r="CT4105">
        <v>8.6999999999999993</v>
      </c>
      <c r="CU4105">
        <v>87</v>
      </c>
      <c r="CV4105">
        <v>0.21</v>
      </c>
      <c r="CW4105">
        <v>44</v>
      </c>
      <c r="CX4105" t="s">
        <v>207</v>
      </c>
    </row>
    <row r="4106" spans="1:102" x14ac:dyDescent="0.3">
      <c r="A4106" t="str">
        <f>HYPERLINK("https://webapp.icbf.com/v2/app/bull-search/view/122808902","ANN")</f>
        <v>ANN</v>
      </c>
      <c r="B4106" t="s">
        <v>11383</v>
      </c>
      <c r="C4106" t="s">
        <v>11384</v>
      </c>
      <c r="D4106" s="1">
        <v>35389</v>
      </c>
      <c r="E4106" t="s">
        <v>92</v>
      </c>
      <c r="F4106">
        <v>100</v>
      </c>
      <c r="G4106" t="s">
        <v>93</v>
      </c>
      <c r="H4106">
        <v>-89.22</v>
      </c>
      <c r="I4106">
        <v>96</v>
      </c>
      <c r="J4106">
        <v>4.05</v>
      </c>
      <c r="K4106">
        <v>99</v>
      </c>
      <c r="L4106">
        <v>-56.63</v>
      </c>
      <c r="M4106">
        <v>93</v>
      </c>
      <c r="N4106">
        <v>-24.07</v>
      </c>
      <c r="O4106">
        <v>97</v>
      </c>
      <c r="P4106">
        <v>-11.04</v>
      </c>
      <c r="Q4106">
        <v>99</v>
      </c>
      <c r="R4106">
        <v>-4.5999999999999996</v>
      </c>
      <c r="S4106">
        <v>94</v>
      </c>
      <c r="T4106">
        <v>9.83</v>
      </c>
      <c r="U4106">
        <v>98</v>
      </c>
      <c r="V4106">
        <v>-6.76</v>
      </c>
      <c r="W4106">
        <v>95</v>
      </c>
      <c r="X4106" t="s">
        <v>251</v>
      </c>
      <c r="Y4106" t="s">
        <v>95</v>
      </c>
      <c r="Z4106" t="s">
        <v>96</v>
      </c>
      <c r="AA4106" t="s">
        <v>218</v>
      </c>
      <c r="AB4106" t="s">
        <v>11385</v>
      </c>
      <c r="AC4106">
        <v>896</v>
      </c>
      <c r="AD4106">
        <v>321</v>
      </c>
      <c r="AE4106">
        <v>99</v>
      </c>
      <c r="AF4106">
        <v>61.94</v>
      </c>
      <c r="AG4106">
        <v>-1.1399999999999999</v>
      </c>
      <c r="AH4106">
        <v>2.04</v>
      </c>
      <c r="AI4106">
        <v>-0.06</v>
      </c>
      <c r="AJ4106">
        <v>0</v>
      </c>
      <c r="AK4106">
        <v>93</v>
      </c>
      <c r="AL4106">
        <v>914</v>
      </c>
      <c r="AM4106">
        <v>297</v>
      </c>
      <c r="AN4106">
        <v>2.79</v>
      </c>
      <c r="AO4106">
        <v>-1.73</v>
      </c>
      <c r="AP4106">
        <v>1453</v>
      </c>
      <c r="AQ4106">
        <v>4</v>
      </c>
      <c r="AR4106">
        <v>9.08</v>
      </c>
      <c r="AS4106">
        <v>94</v>
      </c>
      <c r="AT4106">
        <v>4.0999999999999996</v>
      </c>
      <c r="AU4106">
        <v>98</v>
      </c>
      <c r="AV4106">
        <v>1.85</v>
      </c>
      <c r="AW4106">
        <v>99</v>
      </c>
      <c r="AX4106">
        <v>-0.55000000000000004</v>
      </c>
      <c r="AY4106">
        <v>97</v>
      </c>
      <c r="AZ4106">
        <v>5.17</v>
      </c>
      <c r="BA4106">
        <v>93</v>
      </c>
      <c r="BB4106">
        <v>4.75</v>
      </c>
      <c r="BC4106">
        <v>94</v>
      </c>
      <c r="BD4106">
        <v>0.04</v>
      </c>
      <c r="BE4106">
        <v>0.01</v>
      </c>
      <c r="BF4106">
        <v>0.02</v>
      </c>
      <c r="BG4106">
        <v>98</v>
      </c>
      <c r="BH4106">
        <v>-0.15</v>
      </c>
      <c r="BI4106">
        <v>4.46</v>
      </c>
      <c r="BJ4106">
        <v>107</v>
      </c>
      <c r="BK4106">
        <v>41</v>
      </c>
      <c r="BL4106">
        <v>0.51</v>
      </c>
      <c r="BM4106">
        <v>-0.66</v>
      </c>
      <c r="BN4106">
        <v>0.26</v>
      </c>
      <c r="BO4106">
        <v>0.56999999999999995</v>
      </c>
      <c r="BP4106">
        <v>0.44</v>
      </c>
      <c r="BQ4106">
        <v>0.52</v>
      </c>
      <c r="BR4106">
        <v>-1.62</v>
      </c>
      <c r="BS4106">
        <v>1.1000000000000001</v>
      </c>
      <c r="BT4106">
        <v>1.0900000000000001</v>
      </c>
      <c r="BU4106">
        <v>0.3</v>
      </c>
      <c r="BV4106">
        <v>0.72</v>
      </c>
      <c r="BW4106">
        <v>0.09</v>
      </c>
      <c r="BX4106">
        <v>0.36</v>
      </c>
      <c r="BY4106">
        <v>0.83</v>
      </c>
      <c r="BZ4106">
        <v>-0.73</v>
      </c>
      <c r="CA4106">
        <v>1.34</v>
      </c>
      <c r="CB4106">
        <v>0.81</v>
      </c>
      <c r="CC4106">
        <v>1.99</v>
      </c>
      <c r="CD4106">
        <v>0.25</v>
      </c>
      <c r="CE4106">
        <v>0.66</v>
      </c>
      <c r="CF4106">
        <v>0.82</v>
      </c>
      <c r="CG4106">
        <v>0</v>
      </c>
      <c r="CH4106">
        <v>0.7</v>
      </c>
      <c r="CI4106">
        <v>0</v>
      </c>
      <c r="CJ4106">
        <v>-3.7</v>
      </c>
      <c r="CK4106">
        <v>99</v>
      </c>
      <c r="CL4106">
        <v>-0.61</v>
      </c>
      <c r="CM4106">
        <v>99</v>
      </c>
      <c r="CN4106">
        <v>-0.14000000000000001</v>
      </c>
      <c r="CO4106">
        <v>99</v>
      </c>
      <c r="CP4106">
        <v>-8.5</v>
      </c>
      <c r="CQ4106">
        <v>99</v>
      </c>
      <c r="CR4106">
        <v>0</v>
      </c>
      <c r="CS4106">
        <v>0</v>
      </c>
      <c r="CT4106">
        <v>0.5</v>
      </c>
      <c r="CU4106">
        <v>98</v>
      </c>
      <c r="CV4106">
        <v>0.09</v>
      </c>
      <c r="CW4106">
        <v>46</v>
      </c>
      <c r="CX4106" t="s">
        <v>1185</v>
      </c>
    </row>
    <row r="4107" spans="1:102" x14ac:dyDescent="0.3">
      <c r="A4107" t="str">
        <f>HYPERLINK("https://webapp.icbf.com/v2/app/bull-search/view/74683143","EMO")</f>
        <v>EMO</v>
      </c>
      <c r="B4107" t="s">
        <v>8001</v>
      </c>
      <c r="C4107" t="s">
        <v>285</v>
      </c>
      <c r="D4107" s="1">
        <v>34450</v>
      </c>
      <c r="E4107" t="s">
        <v>92</v>
      </c>
      <c r="F4107">
        <v>100</v>
      </c>
      <c r="G4107" t="s">
        <v>93</v>
      </c>
      <c r="H4107">
        <v>-89.33</v>
      </c>
      <c r="I4107">
        <v>98</v>
      </c>
      <c r="J4107">
        <v>60.2</v>
      </c>
      <c r="K4107">
        <v>99</v>
      </c>
      <c r="L4107">
        <v>-110.98</v>
      </c>
      <c r="M4107">
        <v>97</v>
      </c>
      <c r="N4107">
        <v>-43.2</v>
      </c>
      <c r="O4107">
        <v>99</v>
      </c>
      <c r="P4107">
        <v>-0.47</v>
      </c>
      <c r="Q4107">
        <v>99</v>
      </c>
      <c r="R4107">
        <v>-0.16</v>
      </c>
      <c r="S4107">
        <v>98</v>
      </c>
      <c r="T4107">
        <v>-1.79</v>
      </c>
      <c r="U4107">
        <v>99</v>
      </c>
      <c r="V4107">
        <v>7.07</v>
      </c>
      <c r="W4107">
        <v>98</v>
      </c>
      <c r="X4107" t="s">
        <v>251</v>
      </c>
      <c r="Y4107" t="s">
        <v>95</v>
      </c>
      <c r="Z4107" t="s">
        <v>96</v>
      </c>
      <c r="AA4107" t="s">
        <v>207</v>
      </c>
      <c r="AB4107" t="s">
        <v>8002</v>
      </c>
      <c r="AC4107">
        <v>2971</v>
      </c>
      <c r="AD4107">
        <v>755</v>
      </c>
      <c r="AE4107">
        <v>99</v>
      </c>
      <c r="AF4107">
        <v>474.5</v>
      </c>
      <c r="AG4107">
        <v>7.04</v>
      </c>
      <c r="AH4107">
        <v>15.01</v>
      </c>
      <c r="AI4107">
        <v>-0.18</v>
      </c>
      <c r="AJ4107">
        <v>-0.02</v>
      </c>
      <c r="AK4107">
        <v>97</v>
      </c>
      <c r="AL4107">
        <v>3005</v>
      </c>
      <c r="AM4107">
        <v>804</v>
      </c>
      <c r="AN4107">
        <v>6.85</v>
      </c>
      <c r="AO4107">
        <v>-1.99</v>
      </c>
      <c r="AP4107">
        <v>5268</v>
      </c>
      <c r="AQ4107">
        <v>19</v>
      </c>
      <c r="AR4107">
        <v>12.26</v>
      </c>
      <c r="AS4107">
        <v>98</v>
      </c>
      <c r="AT4107">
        <v>6.19</v>
      </c>
      <c r="AU4107">
        <v>99</v>
      </c>
      <c r="AV4107">
        <v>-0.71</v>
      </c>
      <c r="AW4107">
        <v>99</v>
      </c>
      <c r="AX4107">
        <v>0.42</v>
      </c>
      <c r="AY4107">
        <v>99</v>
      </c>
      <c r="AZ4107">
        <v>5.32</v>
      </c>
      <c r="BA4107">
        <v>97</v>
      </c>
      <c r="BB4107">
        <v>4.38</v>
      </c>
      <c r="BC4107">
        <v>98</v>
      </c>
      <c r="BD4107">
        <v>-0.02</v>
      </c>
      <c r="BE4107">
        <v>0.03</v>
      </c>
      <c r="BF4107">
        <v>-0.02</v>
      </c>
      <c r="BG4107">
        <v>99</v>
      </c>
      <c r="BH4107">
        <v>0.1</v>
      </c>
      <c r="BI4107">
        <v>-11.23</v>
      </c>
      <c r="BJ4107">
        <v>478</v>
      </c>
      <c r="BK4107">
        <v>157</v>
      </c>
      <c r="BL4107">
        <v>0.99</v>
      </c>
      <c r="BM4107">
        <v>1.03</v>
      </c>
      <c r="BN4107">
        <v>0.78</v>
      </c>
      <c r="BO4107">
        <v>0.3</v>
      </c>
      <c r="BP4107">
        <v>2</v>
      </c>
      <c r="BQ4107">
        <v>0.57999999999999996</v>
      </c>
      <c r="BR4107">
        <v>-1.05</v>
      </c>
      <c r="BS4107">
        <v>-2.88</v>
      </c>
      <c r="BT4107">
        <v>0.56000000000000005</v>
      </c>
      <c r="BU4107">
        <v>-0.28000000000000003</v>
      </c>
      <c r="BV4107">
        <v>-0.01</v>
      </c>
      <c r="BW4107">
        <v>0.48</v>
      </c>
      <c r="BX4107">
        <v>-0.14000000000000001</v>
      </c>
      <c r="BY4107">
        <v>0.6</v>
      </c>
      <c r="BZ4107">
        <v>-1.1299999999999999</v>
      </c>
      <c r="CA4107">
        <v>-0.28999999999999998</v>
      </c>
      <c r="CB4107">
        <v>0.59</v>
      </c>
      <c r="CC4107">
        <v>-1.91</v>
      </c>
      <c r="CD4107">
        <v>-0.35</v>
      </c>
      <c r="CE4107">
        <v>0.43</v>
      </c>
      <c r="CF4107">
        <v>1.24</v>
      </c>
      <c r="CG4107">
        <v>0</v>
      </c>
      <c r="CH4107">
        <v>0.66</v>
      </c>
      <c r="CI4107">
        <v>0</v>
      </c>
      <c r="CJ4107">
        <v>3.8</v>
      </c>
      <c r="CK4107">
        <v>99</v>
      </c>
      <c r="CL4107">
        <v>-0.89</v>
      </c>
      <c r="CM4107">
        <v>99</v>
      </c>
      <c r="CN4107">
        <v>-0.25</v>
      </c>
      <c r="CO4107">
        <v>99</v>
      </c>
      <c r="CP4107">
        <v>3.6</v>
      </c>
      <c r="CQ4107">
        <v>99</v>
      </c>
      <c r="CR4107">
        <v>0</v>
      </c>
      <c r="CS4107">
        <v>0</v>
      </c>
      <c r="CT4107">
        <v>16.2</v>
      </c>
      <c r="CU4107">
        <v>99</v>
      </c>
      <c r="CV4107">
        <v>0.28000000000000003</v>
      </c>
      <c r="CW4107">
        <v>47</v>
      </c>
      <c r="CX4107" t="s">
        <v>485</v>
      </c>
    </row>
    <row r="4108" spans="1:102" x14ac:dyDescent="0.3">
      <c r="A4108" t="str">
        <f>HYPERLINK("https://webapp.icbf.com/v2/app/bull-search/view/124414361","BAO")</f>
        <v>BAO</v>
      </c>
      <c r="B4108" t="s">
        <v>1009</v>
      </c>
      <c r="C4108" t="s">
        <v>1010</v>
      </c>
      <c r="D4108" s="1">
        <v>31527</v>
      </c>
      <c r="E4108" t="s">
        <v>92</v>
      </c>
      <c r="F4108">
        <v>56</v>
      </c>
      <c r="G4108" t="s">
        <v>116</v>
      </c>
      <c r="H4108">
        <v>-89.36</v>
      </c>
      <c r="I4108">
        <v>26</v>
      </c>
      <c r="J4108">
        <v>-88.59</v>
      </c>
      <c r="K4108">
        <v>19</v>
      </c>
      <c r="L4108">
        <v>6.71</v>
      </c>
      <c r="M4108">
        <v>28</v>
      </c>
      <c r="N4108">
        <v>-16.18</v>
      </c>
      <c r="O4108">
        <v>25</v>
      </c>
      <c r="P4108">
        <v>-3.6</v>
      </c>
      <c r="Q4108">
        <v>50</v>
      </c>
      <c r="R4108">
        <v>-1.86</v>
      </c>
      <c r="S4108">
        <v>29</v>
      </c>
      <c r="T4108">
        <v>14.86</v>
      </c>
      <c r="U4108">
        <v>32</v>
      </c>
      <c r="V4108">
        <v>-0.7</v>
      </c>
      <c r="W4108">
        <v>13</v>
      </c>
      <c r="X4108" t="s">
        <v>110</v>
      </c>
      <c r="Y4108">
        <v>0</v>
      </c>
      <c r="Z4108" t="s">
        <v>96</v>
      </c>
      <c r="AA4108" t="s">
        <v>640</v>
      </c>
      <c r="AB4108" t="s">
        <v>1011</v>
      </c>
      <c r="AC4108">
        <v>1</v>
      </c>
      <c r="AD4108">
        <v>1</v>
      </c>
      <c r="AE4108">
        <v>19</v>
      </c>
      <c r="AF4108">
        <v>-344.26</v>
      </c>
      <c r="AG4108">
        <v>-15.17</v>
      </c>
      <c r="AH4108">
        <v>-14.97</v>
      </c>
      <c r="AI4108">
        <v>-0.03</v>
      </c>
      <c r="AJ4108">
        <v>-0.06</v>
      </c>
      <c r="AK4108">
        <v>28</v>
      </c>
      <c r="AL4108">
        <v>1</v>
      </c>
      <c r="AM4108">
        <v>1</v>
      </c>
      <c r="AN4108">
        <v>-0.78</v>
      </c>
      <c r="AO4108">
        <v>-0.25</v>
      </c>
      <c r="AP4108">
        <v>3</v>
      </c>
      <c r="AQ4108">
        <v>5</v>
      </c>
      <c r="AR4108">
        <v>8.0399999999999991</v>
      </c>
      <c r="AS4108">
        <v>17</v>
      </c>
      <c r="AT4108">
        <v>3.5</v>
      </c>
      <c r="AU4108">
        <v>24</v>
      </c>
      <c r="AV4108">
        <v>0.69</v>
      </c>
      <c r="AW4108">
        <v>25</v>
      </c>
      <c r="AX4108">
        <v>1.0900000000000001</v>
      </c>
      <c r="AY4108">
        <v>48</v>
      </c>
      <c r="AZ4108">
        <v>6.59</v>
      </c>
      <c r="BA4108">
        <v>14</v>
      </c>
      <c r="BB4108">
        <v>5.6</v>
      </c>
      <c r="BC4108">
        <v>20</v>
      </c>
      <c r="BD4108">
        <v>0.04</v>
      </c>
      <c r="BE4108">
        <v>0.04</v>
      </c>
      <c r="BF4108">
        <v>-0.1</v>
      </c>
      <c r="BG4108">
        <v>40</v>
      </c>
      <c r="BH4108">
        <v>0.03</v>
      </c>
      <c r="BI4108">
        <v>5.74</v>
      </c>
      <c r="BJ4108">
        <v>0</v>
      </c>
      <c r="BK4108">
        <v>0</v>
      </c>
      <c r="BL4108">
        <v>-1.32</v>
      </c>
      <c r="BM4108">
        <v>0.19</v>
      </c>
      <c r="BN4108">
        <v>-0.96</v>
      </c>
      <c r="BO4108">
        <v>-1.02</v>
      </c>
      <c r="BP4108">
        <v>0.41</v>
      </c>
      <c r="BQ4108">
        <v>-0.7</v>
      </c>
      <c r="BR4108">
        <v>0.68</v>
      </c>
      <c r="BS4108">
        <v>-1.34</v>
      </c>
      <c r="BT4108">
        <v>-0.44</v>
      </c>
      <c r="BU4108">
        <v>-0.49</v>
      </c>
      <c r="BV4108">
        <v>-0.7</v>
      </c>
      <c r="BW4108">
        <v>-1.56</v>
      </c>
      <c r="BX4108">
        <v>-1.1399999999999999</v>
      </c>
      <c r="BY4108">
        <v>-0.46</v>
      </c>
      <c r="BZ4108">
        <v>-1.05</v>
      </c>
      <c r="CA4108">
        <v>-1.1200000000000001</v>
      </c>
      <c r="CB4108">
        <v>-0.77</v>
      </c>
      <c r="CC4108">
        <v>-1.38</v>
      </c>
      <c r="CD4108">
        <v>1.03</v>
      </c>
      <c r="CE4108">
        <v>-1.05</v>
      </c>
      <c r="CF4108">
        <v>-1.05</v>
      </c>
      <c r="CG4108">
        <v>0</v>
      </c>
      <c r="CH4108">
        <v>-1.28</v>
      </c>
      <c r="CI4108">
        <v>0</v>
      </c>
      <c r="CJ4108">
        <v>-3.8</v>
      </c>
      <c r="CK4108">
        <v>53</v>
      </c>
      <c r="CL4108">
        <v>0</v>
      </c>
      <c r="CM4108">
        <v>48</v>
      </c>
      <c r="CN4108">
        <v>-0.28000000000000003</v>
      </c>
      <c r="CO4108">
        <v>45</v>
      </c>
      <c r="CP4108">
        <v>-10.9</v>
      </c>
      <c r="CQ4108">
        <v>39</v>
      </c>
      <c r="CR4108">
        <v>0</v>
      </c>
      <c r="CS4108">
        <v>0</v>
      </c>
      <c r="CT4108">
        <v>-6.3</v>
      </c>
      <c r="CU4108">
        <v>32</v>
      </c>
      <c r="CV4108">
        <v>-0.11</v>
      </c>
      <c r="CW4108">
        <v>15</v>
      </c>
      <c r="CX4108" t="s">
        <v>1012</v>
      </c>
    </row>
    <row r="4109" spans="1:102" x14ac:dyDescent="0.3">
      <c r="A4109" t="str">
        <f>HYPERLINK("https://webapp.icbf.com/v2/app/bull-search/view/660020410","WFA")</f>
        <v>WFA</v>
      </c>
      <c r="B4109" t="s">
        <v>5107</v>
      </c>
      <c r="C4109" t="s">
        <v>5108</v>
      </c>
      <c r="D4109" s="1">
        <v>39132</v>
      </c>
      <c r="E4109" t="s">
        <v>92</v>
      </c>
      <c r="F4109">
        <v>100</v>
      </c>
      <c r="G4109" t="s">
        <v>93</v>
      </c>
      <c r="H4109">
        <v>-89.59</v>
      </c>
      <c r="I4109">
        <v>95</v>
      </c>
      <c r="J4109">
        <v>31.84</v>
      </c>
      <c r="K4109">
        <v>99</v>
      </c>
      <c r="L4109">
        <v>-135.88</v>
      </c>
      <c r="M4109">
        <v>91</v>
      </c>
      <c r="N4109">
        <v>14.87</v>
      </c>
      <c r="O4109">
        <v>96</v>
      </c>
      <c r="P4109">
        <v>-14.17</v>
      </c>
      <c r="Q4109">
        <v>98</v>
      </c>
      <c r="R4109">
        <v>7.7</v>
      </c>
      <c r="S4109">
        <v>87</v>
      </c>
      <c r="T4109">
        <v>3.1</v>
      </c>
      <c r="U4109">
        <v>97</v>
      </c>
      <c r="V4109">
        <v>2.95</v>
      </c>
      <c r="W4109">
        <v>82</v>
      </c>
      <c r="X4109" t="s">
        <v>276</v>
      </c>
      <c r="Y4109" t="s">
        <v>1524</v>
      </c>
      <c r="Z4109" t="s">
        <v>96</v>
      </c>
      <c r="AA4109" t="s">
        <v>350</v>
      </c>
      <c r="AB4109" t="s">
        <v>5109</v>
      </c>
      <c r="AC4109">
        <v>624</v>
      </c>
      <c r="AD4109">
        <v>250</v>
      </c>
      <c r="AE4109">
        <v>99</v>
      </c>
      <c r="AF4109">
        <v>286.61</v>
      </c>
      <c r="AG4109">
        <v>15.78</v>
      </c>
      <c r="AH4109">
        <v>4.22</v>
      </c>
      <c r="AI4109">
        <v>0.08</v>
      </c>
      <c r="AJ4109">
        <v>-0.09</v>
      </c>
      <c r="AK4109">
        <v>91</v>
      </c>
      <c r="AL4109">
        <v>601</v>
      </c>
      <c r="AM4109">
        <v>251</v>
      </c>
      <c r="AN4109">
        <v>7.09</v>
      </c>
      <c r="AO4109">
        <v>-3.75</v>
      </c>
      <c r="AP4109">
        <v>1408</v>
      </c>
      <c r="AQ4109">
        <v>1</v>
      </c>
      <c r="AR4109">
        <v>6.31</v>
      </c>
      <c r="AS4109">
        <v>94</v>
      </c>
      <c r="AT4109">
        <v>3.22</v>
      </c>
      <c r="AU4109">
        <v>97</v>
      </c>
      <c r="AV4109">
        <v>-2.71</v>
      </c>
      <c r="AW4109">
        <v>99</v>
      </c>
      <c r="AX4109">
        <v>0.85</v>
      </c>
      <c r="AY4109">
        <v>96</v>
      </c>
      <c r="AZ4109">
        <v>8.76</v>
      </c>
      <c r="BA4109">
        <v>89</v>
      </c>
      <c r="BB4109">
        <v>5.6</v>
      </c>
      <c r="BC4109">
        <v>86</v>
      </c>
      <c r="BD4109">
        <v>0</v>
      </c>
      <c r="BE4109">
        <v>-0.03</v>
      </c>
      <c r="BF4109">
        <v>-0.12</v>
      </c>
      <c r="BG4109">
        <v>97</v>
      </c>
      <c r="BH4109">
        <v>-0.11</v>
      </c>
      <c r="BI4109">
        <v>-22.24</v>
      </c>
      <c r="BJ4109">
        <v>223</v>
      </c>
      <c r="BK4109">
        <v>100</v>
      </c>
      <c r="BL4109">
        <v>1.8</v>
      </c>
      <c r="BM4109">
        <v>-0.01</v>
      </c>
      <c r="BN4109">
        <v>1.89</v>
      </c>
      <c r="BO4109">
        <v>1.64</v>
      </c>
      <c r="BP4109">
        <v>-0.31</v>
      </c>
      <c r="BQ4109">
        <v>1.64</v>
      </c>
      <c r="BR4109">
        <v>0.7</v>
      </c>
      <c r="BS4109">
        <v>-0.55000000000000004</v>
      </c>
      <c r="BT4109">
        <v>0.5</v>
      </c>
      <c r="BU4109">
        <v>1.83</v>
      </c>
      <c r="BV4109">
        <v>2.5</v>
      </c>
      <c r="BW4109">
        <v>2.86</v>
      </c>
      <c r="BX4109">
        <v>1.23</v>
      </c>
      <c r="BY4109">
        <v>1.93</v>
      </c>
      <c r="BZ4109">
        <v>-0.48</v>
      </c>
      <c r="CA4109">
        <v>1.53</v>
      </c>
      <c r="CB4109">
        <v>1.69</v>
      </c>
      <c r="CC4109">
        <v>0.54</v>
      </c>
      <c r="CD4109">
        <v>-1</v>
      </c>
      <c r="CE4109">
        <v>1.28</v>
      </c>
      <c r="CF4109">
        <v>1.93</v>
      </c>
      <c r="CG4109">
        <v>0</v>
      </c>
      <c r="CH4109">
        <v>1.74</v>
      </c>
      <c r="CI4109">
        <v>0</v>
      </c>
      <c r="CJ4109">
        <v>-6.3</v>
      </c>
      <c r="CK4109">
        <v>99</v>
      </c>
      <c r="CL4109">
        <v>-1.33</v>
      </c>
      <c r="CM4109">
        <v>98</v>
      </c>
      <c r="CN4109">
        <v>-0.69</v>
      </c>
      <c r="CO4109">
        <v>98</v>
      </c>
      <c r="CP4109">
        <v>1.1000000000000001</v>
      </c>
      <c r="CQ4109">
        <v>97</v>
      </c>
      <c r="CR4109">
        <v>0</v>
      </c>
      <c r="CS4109">
        <v>0</v>
      </c>
      <c r="CT4109">
        <v>9.6</v>
      </c>
      <c r="CU4109">
        <v>97</v>
      </c>
      <c r="CV4109">
        <v>0.09</v>
      </c>
      <c r="CW4109">
        <v>46</v>
      </c>
      <c r="CX4109" t="s">
        <v>311</v>
      </c>
    </row>
    <row r="4110" spans="1:102" x14ac:dyDescent="0.3">
      <c r="A4110" t="str">
        <f>HYPERLINK("https://webapp.icbf.com/v2/app/bull-search/view/77854510","RGC")</f>
        <v>RGC</v>
      </c>
      <c r="B4110" t="s">
        <v>11398</v>
      </c>
      <c r="C4110" t="s">
        <v>2100</v>
      </c>
      <c r="D4110" s="1">
        <v>33068</v>
      </c>
      <c r="E4110" t="s">
        <v>92</v>
      </c>
      <c r="F4110">
        <v>100</v>
      </c>
      <c r="G4110" t="s">
        <v>109</v>
      </c>
      <c r="H4110">
        <v>-89.59</v>
      </c>
      <c r="I4110">
        <v>64</v>
      </c>
      <c r="J4110">
        <v>-24.15</v>
      </c>
      <c r="K4110">
        <v>76</v>
      </c>
      <c r="L4110">
        <v>-92.18</v>
      </c>
      <c r="M4110">
        <v>61</v>
      </c>
      <c r="N4110">
        <v>22.58</v>
      </c>
      <c r="O4110">
        <v>45</v>
      </c>
      <c r="P4110">
        <v>-17.72</v>
      </c>
      <c r="Q4110">
        <v>67</v>
      </c>
      <c r="R4110">
        <v>-12.37</v>
      </c>
      <c r="S4110">
        <v>60</v>
      </c>
      <c r="T4110">
        <v>36.770000000000003</v>
      </c>
      <c r="U4110">
        <v>75</v>
      </c>
      <c r="V4110">
        <v>-2.52</v>
      </c>
      <c r="W4110">
        <v>24</v>
      </c>
      <c r="X4110" t="s">
        <v>234</v>
      </c>
      <c r="Y4110" t="s">
        <v>95</v>
      </c>
      <c r="Z4110" t="s">
        <v>96</v>
      </c>
      <c r="AA4110" t="s">
        <v>2615</v>
      </c>
      <c r="AB4110" t="s">
        <v>11399</v>
      </c>
      <c r="AC4110">
        <v>0</v>
      </c>
      <c r="AD4110">
        <v>0</v>
      </c>
      <c r="AE4110">
        <v>76</v>
      </c>
      <c r="AF4110">
        <v>7.3</v>
      </c>
      <c r="AG4110">
        <v>-3.66</v>
      </c>
      <c r="AH4110">
        <v>-2.7</v>
      </c>
      <c r="AI4110">
        <v>-7.0000000000000007E-2</v>
      </c>
      <c r="AJ4110">
        <v>-0.05</v>
      </c>
      <c r="AK4110">
        <v>61</v>
      </c>
      <c r="AL4110">
        <v>0</v>
      </c>
      <c r="AM4110">
        <v>0</v>
      </c>
      <c r="AN4110">
        <v>6.69</v>
      </c>
      <c r="AO4110">
        <v>-0.64</v>
      </c>
      <c r="AP4110">
        <v>3</v>
      </c>
      <c r="AQ4110">
        <v>0</v>
      </c>
      <c r="AR4110">
        <v>4.42</v>
      </c>
      <c r="AS4110">
        <v>16</v>
      </c>
      <c r="AT4110">
        <v>2.09</v>
      </c>
      <c r="AU4110">
        <v>65</v>
      </c>
      <c r="AV4110">
        <v>-1.27</v>
      </c>
      <c r="AW4110">
        <v>43</v>
      </c>
      <c r="AX4110">
        <v>-0.84</v>
      </c>
      <c r="AY4110">
        <v>54</v>
      </c>
      <c r="AZ4110">
        <v>7.47</v>
      </c>
      <c r="BA4110">
        <v>17</v>
      </c>
      <c r="BB4110">
        <v>5.56</v>
      </c>
      <c r="BC4110">
        <v>33</v>
      </c>
      <c r="BD4110">
        <v>0.05</v>
      </c>
      <c r="BE4110">
        <v>0.09</v>
      </c>
      <c r="BF4110">
        <v>0.03</v>
      </c>
      <c r="BG4110">
        <v>82</v>
      </c>
      <c r="BH4110">
        <v>-0.06</v>
      </c>
      <c r="BI4110">
        <v>1.19</v>
      </c>
      <c r="BJ4110">
        <v>1</v>
      </c>
      <c r="BK4110">
        <v>1</v>
      </c>
      <c r="BL4110">
        <v>-0.47</v>
      </c>
      <c r="BM4110">
        <v>-1.84</v>
      </c>
      <c r="BN4110">
        <v>-1.78</v>
      </c>
      <c r="BO4110">
        <v>-0.19</v>
      </c>
      <c r="BP4110">
        <v>-1.81</v>
      </c>
      <c r="BQ4110">
        <v>-2.0099999999999998</v>
      </c>
      <c r="BR4110">
        <v>1.56</v>
      </c>
      <c r="BS4110">
        <v>0.27</v>
      </c>
      <c r="BT4110">
        <v>-1.64</v>
      </c>
      <c r="BU4110">
        <v>-1.55</v>
      </c>
      <c r="BV4110">
        <v>-0.92</v>
      </c>
      <c r="BW4110">
        <v>-0.27</v>
      </c>
      <c r="BX4110">
        <v>-0.45</v>
      </c>
      <c r="BY4110">
        <v>-1</v>
      </c>
      <c r="BZ4110">
        <v>-1.03</v>
      </c>
      <c r="CA4110">
        <v>-1.06</v>
      </c>
      <c r="CB4110">
        <v>-0.94</v>
      </c>
      <c r="CC4110">
        <v>-1.24</v>
      </c>
      <c r="CD4110">
        <v>0.12</v>
      </c>
      <c r="CE4110">
        <v>-0.38</v>
      </c>
      <c r="CF4110">
        <v>-0.56999999999999995</v>
      </c>
      <c r="CG4110">
        <v>0</v>
      </c>
      <c r="CH4110">
        <v>-7.0000000000000007E-2</v>
      </c>
      <c r="CI4110">
        <v>0</v>
      </c>
      <c r="CJ4110">
        <v>-6.7</v>
      </c>
      <c r="CK4110">
        <v>69</v>
      </c>
      <c r="CL4110">
        <v>-0.49</v>
      </c>
      <c r="CM4110">
        <v>65</v>
      </c>
      <c r="CN4110">
        <v>0.06</v>
      </c>
      <c r="CO4110">
        <v>60</v>
      </c>
      <c r="CP4110">
        <v>-18.100000000000001</v>
      </c>
      <c r="CQ4110">
        <v>72</v>
      </c>
      <c r="CR4110">
        <v>0</v>
      </c>
      <c r="CS4110">
        <v>0</v>
      </c>
      <c r="CT4110">
        <v>-35.9</v>
      </c>
      <c r="CU4110">
        <v>75</v>
      </c>
      <c r="CV4110">
        <v>0.14000000000000001</v>
      </c>
      <c r="CW4110">
        <v>18</v>
      </c>
      <c r="CX4110" t="s">
        <v>2976</v>
      </c>
    </row>
    <row r="4111" spans="1:102" x14ac:dyDescent="0.3">
      <c r="A4111" t="str">
        <f>HYPERLINK("https://webapp.icbf.com/v2/app/bull-search/view/77857552","GEO")</f>
        <v>GEO</v>
      </c>
      <c r="B4111" t="s">
        <v>14812</v>
      </c>
      <c r="C4111" t="s">
        <v>14813</v>
      </c>
      <c r="D4111" s="1">
        <v>33394</v>
      </c>
      <c r="E4111" t="s">
        <v>92</v>
      </c>
      <c r="F4111">
        <v>100</v>
      </c>
      <c r="G4111" t="s">
        <v>109</v>
      </c>
      <c r="H4111">
        <v>-89.6</v>
      </c>
      <c r="I4111">
        <v>74</v>
      </c>
      <c r="J4111">
        <v>-1.61</v>
      </c>
      <c r="K4111">
        <v>86</v>
      </c>
      <c r="L4111">
        <v>-105.77</v>
      </c>
      <c r="M4111">
        <v>83</v>
      </c>
      <c r="N4111">
        <v>17.489999999999998</v>
      </c>
      <c r="O4111">
        <v>57</v>
      </c>
      <c r="P4111">
        <v>-3.97</v>
      </c>
      <c r="Q4111">
        <v>58</v>
      </c>
      <c r="R4111">
        <v>-1.42</v>
      </c>
      <c r="S4111">
        <v>66</v>
      </c>
      <c r="T4111">
        <v>4.72</v>
      </c>
      <c r="U4111">
        <v>52</v>
      </c>
      <c r="V4111">
        <v>0.96</v>
      </c>
      <c r="W4111">
        <v>35</v>
      </c>
      <c r="X4111" t="s">
        <v>110</v>
      </c>
      <c r="Y4111" t="s">
        <v>95</v>
      </c>
      <c r="Z4111" t="s">
        <v>96</v>
      </c>
      <c r="AA4111" t="s">
        <v>132</v>
      </c>
      <c r="AB4111" t="s">
        <v>14814</v>
      </c>
      <c r="AC4111">
        <v>0</v>
      </c>
      <c r="AD4111">
        <v>0</v>
      </c>
      <c r="AE4111">
        <v>86</v>
      </c>
      <c r="AF4111">
        <v>116.53</v>
      </c>
      <c r="AG4111">
        <v>7.52</v>
      </c>
      <c r="AH4111">
        <v>-1.1499999999999999</v>
      </c>
      <c r="AI4111">
        <v>0.05</v>
      </c>
      <c r="AJ4111">
        <v>-0.08</v>
      </c>
      <c r="AK4111">
        <v>83</v>
      </c>
      <c r="AL4111">
        <v>0</v>
      </c>
      <c r="AM4111">
        <v>0</v>
      </c>
      <c r="AN4111">
        <v>6.94</v>
      </c>
      <c r="AO4111">
        <v>-1.48</v>
      </c>
      <c r="AP4111">
        <v>11</v>
      </c>
      <c r="AQ4111">
        <v>0</v>
      </c>
      <c r="AR4111">
        <v>4.33</v>
      </c>
      <c r="AS4111">
        <v>36</v>
      </c>
      <c r="AT4111">
        <v>2.2000000000000002</v>
      </c>
      <c r="AU4111">
        <v>88</v>
      </c>
      <c r="AV4111">
        <v>-0.44</v>
      </c>
      <c r="AW4111">
        <v>53</v>
      </c>
      <c r="AX4111">
        <v>-0.43</v>
      </c>
      <c r="AY4111">
        <v>53</v>
      </c>
      <c r="AZ4111">
        <v>6.31</v>
      </c>
      <c r="BA4111">
        <v>29</v>
      </c>
      <c r="BB4111">
        <v>5.34</v>
      </c>
      <c r="BC4111">
        <v>37</v>
      </c>
      <c r="BD4111">
        <v>0.01</v>
      </c>
      <c r="BE4111">
        <v>0.04</v>
      </c>
      <c r="BF4111">
        <v>-0.06</v>
      </c>
      <c r="BG4111">
        <v>89</v>
      </c>
      <c r="BH4111">
        <v>0.05</v>
      </c>
      <c r="BI4111">
        <v>2.68</v>
      </c>
      <c r="BJ4111">
        <v>0</v>
      </c>
      <c r="BK4111">
        <v>0</v>
      </c>
      <c r="BL4111">
        <v>-0.04</v>
      </c>
      <c r="BM4111">
        <v>-0.41</v>
      </c>
      <c r="BN4111">
        <v>0.45</v>
      </c>
      <c r="BO4111">
        <v>0.64</v>
      </c>
      <c r="BP4111">
        <v>-2.82</v>
      </c>
      <c r="BQ4111">
        <v>-2.41</v>
      </c>
      <c r="BR4111">
        <v>-0.19</v>
      </c>
      <c r="BS4111">
        <v>1.78</v>
      </c>
      <c r="BT4111">
        <v>1.45</v>
      </c>
      <c r="BU4111">
        <v>-0.66</v>
      </c>
      <c r="BV4111">
        <v>0.03</v>
      </c>
      <c r="BW4111">
        <v>0.01</v>
      </c>
      <c r="BX4111">
        <v>-0.45</v>
      </c>
      <c r="BY4111">
        <v>-0.28000000000000003</v>
      </c>
      <c r="BZ4111">
        <v>-0.27</v>
      </c>
      <c r="CA4111">
        <v>0.61</v>
      </c>
      <c r="CB4111">
        <v>-0.12</v>
      </c>
      <c r="CC4111">
        <v>1.75</v>
      </c>
      <c r="CD4111">
        <v>-1.1599999999999999</v>
      </c>
      <c r="CE4111">
        <v>0.38</v>
      </c>
      <c r="CF4111">
        <v>0.11</v>
      </c>
      <c r="CG4111">
        <v>0</v>
      </c>
      <c r="CH4111">
        <v>0</v>
      </c>
      <c r="CI4111">
        <v>0</v>
      </c>
      <c r="CJ4111">
        <v>-0.5</v>
      </c>
      <c r="CK4111">
        <v>60</v>
      </c>
      <c r="CL4111">
        <v>-0.66</v>
      </c>
      <c r="CM4111">
        <v>56</v>
      </c>
      <c r="CN4111">
        <v>-0.28000000000000003</v>
      </c>
      <c r="CO4111">
        <v>52</v>
      </c>
      <c r="CP4111">
        <v>1.7</v>
      </c>
      <c r="CQ4111">
        <v>60</v>
      </c>
      <c r="CR4111">
        <v>0</v>
      </c>
      <c r="CS4111">
        <v>0</v>
      </c>
      <c r="CT4111">
        <v>7.4</v>
      </c>
      <c r="CU4111">
        <v>52</v>
      </c>
      <c r="CV4111">
        <v>0.13</v>
      </c>
      <c r="CW4111">
        <v>17</v>
      </c>
      <c r="CX4111" t="s">
        <v>14815</v>
      </c>
    </row>
    <row r="4112" spans="1:102" x14ac:dyDescent="0.3">
      <c r="A4112" t="str">
        <f>HYPERLINK("https://webapp.icbf.com/v2/app/bull-search/view/739271939","GEH")</f>
        <v>GEH</v>
      </c>
      <c r="B4112" t="s">
        <v>144</v>
      </c>
      <c r="C4112" t="s">
        <v>6412</v>
      </c>
      <c r="D4112" s="1">
        <v>37418</v>
      </c>
      <c r="E4112" t="s">
        <v>1061</v>
      </c>
      <c r="F4112">
        <v>0</v>
      </c>
      <c r="G4112" t="s">
        <v>93</v>
      </c>
      <c r="H4112">
        <v>-89.7</v>
      </c>
      <c r="I4112">
        <v>50</v>
      </c>
      <c r="J4112">
        <v>-5.79</v>
      </c>
      <c r="K4112">
        <v>70</v>
      </c>
      <c r="L4112">
        <v>-16.2</v>
      </c>
      <c r="M4112">
        <v>32</v>
      </c>
      <c r="N4112">
        <v>-64.489999999999995</v>
      </c>
      <c r="O4112">
        <v>52</v>
      </c>
      <c r="P4112">
        <v>-32.28</v>
      </c>
      <c r="Q4112">
        <v>67</v>
      </c>
      <c r="R4112">
        <v>2.23</v>
      </c>
      <c r="S4112">
        <v>24</v>
      </c>
      <c r="T4112">
        <v>35.14</v>
      </c>
      <c r="U4112">
        <v>43</v>
      </c>
      <c r="V4112">
        <v>-8.31</v>
      </c>
      <c r="W4112">
        <v>27</v>
      </c>
      <c r="X4112" t="s">
        <v>1645</v>
      </c>
      <c r="Y4112" t="s">
        <v>1756</v>
      </c>
      <c r="Z4112">
        <v>0</v>
      </c>
      <c r="AA4112" t="s">
        <v>6413</v>
      </c>
      <c r="AB4112" t="s">
        <v>6414</v>
      </c>
      <c r="AC4112">
        <v>13</v>
      </c>
      <c r="AD4112">
        <v>8</v>
      </c>
      <c r="AE4112">
        <v>70</v>
      </c>
      <c r="AF4112">
        <v>-176.81</v>
      </c>
      <c r="AG4112">
        <v>0.08</v>
      </c>
      <c r="AH4112">
        <v>-3.72</v>
      </c>
      <c r="AI4112">
        <v>0.12</v>
      </c>
      <c r="AJ4112">
        <v>0.04</v>
      </c>
      <c r="AK4112">
        <v>32</v>
      </c>
      <c r="AL4112">
        <v>28</v>
      </c>
      <c r="AM4112">
        <v>12</v>
      </c>
      <c r="AN4112">
        <v>1.01</v>
      </c>
      <c r="AO4112">
        <v>-0.28000000000000003</v>
      </c>
      <c r="AP4112">
        <v>20</v>
      </c>
      <c r="AQ4112">
        <v>1</v>
      </c>
      <c r="AR4112">
        <v>14.86</v>
      </c>
      <c r="AS4112">
        <v>26</v>
      </c>
      <c r="AT4112">
        <v>5.32</v>
      </c>
      <c r="AU4112">
        <v>47</v>
      </c>
      <c r="AV4112">
        <v>0.81</v>
      </c>
      <c r="AW4112">
        <v>75</v>
      </c>
      <c r="AX4112">
        <v>-1.03</v>
      </c>
      <c r="AY4112">
        <v>43</v>
      </c>
      <c r="AZ4112">
        <v>9.15</v>
      </c>
      <c r="BA4112">
        <v>20</v>
      </c>
      <c r="BB4112">
        <v>6.01</v>
      </c>
      <c r="BC4112">
        <v>22</v>
      </c>
      <c r="BD4112">
        <v>0.01</v>
      </c>
      <c r="BE4112">
        <v>-0.02</v>
      </c>
      <c r="BF4112">
        <v>-0.03</v>
      </c>
      <c r="BG4112">
        <v>31</v>
      </c>
      <c r="BH4112">
        <v>-7.0000000000000007E-2</v>
      </c>
      <c r="BI4112">
        <v>18.72</v>
      </c>
      <c r="BJ4112">
        <v>0</v>
      </c>
      <c r="BK4112">
        <v>0</v>
      </c>
      <c r="BL4112">
        <v>0</v>
      </c>
      <c r="BM4112">
        <v>0</v>
      </c>
      <c r="BN4112">
        <v>0</v>
      </c>
      <c r="BO4112">
        <v>0</v>
      </c>
      <c r="BP4112">
        <v>0</v>
      </c>
      <c r="BQ4112">
        <v>0</v>
      </c>
      <c r="BR4112">
        <v>0</v>
      </c>
      <c r="BS4112">
        <v>0</v>
      </c>
      <c r="BT4112">
        <v>0</v>
      </c>
      <c r="BU4112">
        <v>0</v>
      </c>
      <c r="BV4112">
        <v>0</v>
      </c>
      <c r="BW4112">
        <v>0</v>
      </c>
      <c r="BX4112">
        <v>0</v>
      </c>
      <c r="BY4112">
        <v>0</v>
      </c>
      <c r="BZ4112">
        <v>0</v>
      </c>
      <c r="CA4112">
        <v>0</v>
      </c>
      <c r="CB4112">
        <v>0</v>
      </c>
      <c r="CC4112">
        <v>0</v>
      </c>
      <c r="CD4112">
        <v>0</v>
      </c>
      <c r="CE4112">
        <v>0</v>
      </c>
      <c r="CF4112">
        <v>0</v>
      </c>
      <c r="CG4112">
        <v>0</v>
      </c>
      <c r="CH4112">
        <v>0</v>
      </c>
      <c r="CI4112">
        <v>0</v>
      </c>
      <c r="CJ4112">
        <v>-13.7</v>
      </c>
      <c r="CK4112">
        <v>70</v>
      </c>
      <c r="CL4112">
        <v>-0.95</v>
      </c>
      <c r="CM4112">
        <v>65</v>
      </c>
      <c r="CN4112">
        <v>0.05</v>
      </c>
      <c r="CO4112">
        <v>61</v>
      </c>
      <c r="CP4112">
        <v>-19.899999999999999</v>
      </c>
      <c r="CQ4112">
        <v>56</v>
      </c>
      <c r="CR4112">
        <v>0</v>
      </c>
      <c r="CS4112">
        <v>0</v>
      </c>
      <c r="CT4112">
        <v>-33.700000000000003</v>
      </c>
      <c r="CU4112">
        <v>43</v>
      </c>
      <c r="CV4112">
        <v>-0.02</v>
      </c>
      <c r="CW4112">
        <v>18</v>
      </c>
      <c r="CX4112" t="s">
        <v>6415</v>
      </c>
    </row>
    <row r="4113" spans="1:102" x14ac:dyDescent="0.3">
      <c r="A4113" t="str">
        <f>HYPERLINK("https://webapp.icbf.com/v2/app/bull-search/view/77859877","BPD")</f>
        <v>BPD</v>
      </c>
      <c r="B4113" t="s">
        <v>3174</v>
      </c>
      <c r="C4113" t="s">
        <v>3175</v>
      </c>
      <c r="D4113" s="1">
        <v>35376</v>
      </c>
      <c r="E4113" t="s">
        <v>92</v>
      </c>
      <c r="F4113">
        <v>97</v>
      </c>
      <c r="G4113" t="s">
        <v>93</v>
      </c>
      <c r="H4113">
        <v>-89.75</v>
      </c>
      <c r="I4113">
        <v>68</v>
      </c>
      <c r="J4113">
        <v>-31.52</v>
      </c>
      <c r="K4113">
        <v>89</v>
      </c>
      <c r="L4113">
        <v>-58.2</v>
      </c>
      <c r="M4113">
        <v>54</v>
      </c>
      <c r="N4113">
        <v>12.63</v>
      </c>
      <c r="O4113">
        <v>55</v>
      </c>
      <c r="P4113">
        <v>-2.56</v>
      </c>
      <c r="Q4113">
        <v>73</v>
      </c>
      <c r="R4113">
        <v>-22.24</v>
      </c>
      <c r="S4113">
        <v>58</v>
      </c>
      <c r="T4113">
        <v>10.130000000000001</v>
      </c>
      <c r="U4113">
        <v>70</v>
      </c>
      <c r="V4113">
        <v>2.0099999999999998</v>
      </c>
      <c r="W4113">
        <v>31</v>
      </c>
      <c r="X4113" t="s">
        <v>94</v>
      </c>
      <c r="Y4113" t="s">
        <v>95</v>
      </c>
      <c r="Z4113" t="s">
        <v>96</v>
      </c>
      <c r="AA4113" t="s">
        <v>753</v>
      </c>
      <c r="AB4113" t="s">
        <v>3176</v>
      </c>
      <c r="AC4113">
        <v>35</v>
      </c>
      <c r="AD4113">
        <v>34</v>
      </c>
      <c r="AE4113">
        <v>89</v>
      </c>
      <c r="AF4113">
        <v>-82.33</v>
      </c>
      <c r="AG4113">
        <v>-6.56</v>
      </c>
      <c r="AH4113">
        <v>-4.3</v>
      </c>
      <c r="AI4113">
        <v>-0.06</v>
      </c>
      <c r="AJ4113">
        <v>-0.02</v>
      </c>
      <c r="AK4113">
        <v>54</v>
      </c>
      <c r="AL4113">
        <v>33</v>
      </c>
      <c r="AM4113">
        <v>28</v>
      </c>
      <c r="AN4113">
        <v>4.07</v>
      </c>
      <c r="AO4113">
        <v>-0.56000000000000005</v>
      </c>
      <c r="AP4113">
        <v>7</v>
      </c>
      <c r="AQ4113">
        <v>1</v>
      </c>
      <c r="AR4113">
        <v>7.07</v>
      </c>
      <c r="AS4113">
        <v>42</v>
      </c>
      <c r="AT4113">
        <v>2.68</v>
      </c>
      <c r="AU4113">
        <v>49</v>
      </c>
      <c r="AV4113">
        <v>-1.3</v>
      </c>
      <c r="AW4113">
        <v>65</v>
      </c>
      <c r="AX4113">
        <v>-0.8</v>
      </c>
      <c r="AY4113">
        <v>60</v>
      </c>
      <c r="AZ4113">
        <v>7.93</v>
      </c>
      <c r="BA4113">
        <v>38</v>
      </c>
      <c r="BB4113">
        <v>5.47</v>
      </c>
      <c r="BC4113">
        <v>45</v>
      </c>
      <c r="BD4113">
        <v>0.05</v>
      </c>
      <c r="BE4113">
        <v>0.12</v>
      </c>
      <c r="BF4113">
        <v>0.2</v>
      </c>
      <c r="BG4113">
        <v>70</v>
      </c>
      <c r="BH4113">
        <v>0.08</v>
      </c>
      <c r="BI4113">
        <v>2.77</v>
      </c>
      <c r="BJ4113">
        <v>5</v>
      </c>
      <c r="BK4113">
        <v>4</v>
      </c>
      <c r="BL4113">
        <v>0.01</v>
      </c>
      <c r="BM4113">
        <v>-0.01</v>
      </c>
      <c r="BN4113">
        <v>-0.15</v>
      </c>
      <c r="BO4113">
        <v>-0.13</v>
      </c>
      <c r="BP4113">
        <v>1.17</v>
      </c>
      <c r="BQ4113">
        <v>-1.1200000000000001</v>
      </c>
      <c r="BR4113">
        <v>0.38</v>
      </c>
      <c r="BS4113">
        <v>-0.68</v>
      </c>
      <c r="BT4113">
        <v>-0.4</v>
      </c>
      <c r="BU4113">
        <v>-0.03</v>
      </c>
      <c r="BV4113">
        <v>-0.62</v>
      </c>
      <c r="BW4113">
        <v>-0.62</v>
      </c>
      <c r="BX4113">
        <v>-0.08</v>
      </c>
      <c r="BY4113">
        <v>-0.48</v>
      </c>
      <c r="BZ4113">
        <v>0.72</v>
      </c>
      <c r="CA4113">
        <v>-0.43</v>
      </c>
      <c r="CB4113">
        <v>-0.13</v>
      </c>
      <c r="CC4113">
        <v>-0.89</v>
      </c>
      <c r="CD4113">
        <v>-0.1</v>
      </c>
      <c r="CE4113">
        <v>-0.09</v>
      </c>
      <c r="CF4113">
        <v>-0.52</v>
      </c>
      <c r="CG4113">
        <v>0</v>
      </c>
      <c r="CH4113">
        <v>-0.56999999999999995</v>
      </c>
      <c r="CI4113">
        <v>0</v>
      </c>
      <c r="CJ4113">
        <v>0.1</v>
      </c>
      <c r="CK4113">
        <v>74</v>
      </c>
      <c r="CL4113">
        <v>-0.47</v>
      </c>
      <c r="CM4113">
        <v>71</v>
      </c>
      <c r="CN4113">
        <v>-0.25</v>
      </c>
      <c r="CO4113">
        <v>67</v>
      </c>
      <c r="CP4113">
        <v>-5.2</v>
      </c>
      <c r="CQ4113">
        <v>76</v>
      </c>
      <c r="CR4113">
        <v>0</v>
      </c>
      <c r="CS4113">
        <v>0</v>
      </c>
      <c r="CT4113">
        <v>0.1</v>
      </c>
      <c r="CU4113">
        <v>70</v>
      </c>
      <c r="CV4113">
        <v>0.15</v>
      </c>
      <c r="CW4113">
        <v>21</v>
      </c>
      <c r="CX4113" t="s">
        <v>3177</v>
      </c>
    </row>
    <row r="4114" spans="1:102" x14ac:dyDescent="0.3">
      <c r="A4114" t="str">
        <f>HYPERLINK("https://webapp.icbf.com/v2/app/bull-search/view/77857813","FAZ")</f>
        <v>FAZ</v>
      </c>
      <c r="B4114" t="s">
        <v>3475</v>
      </c>
      <c r="C4114" t="s">
        <v>3476</v>
      </c>
      <c r="D4114" s="1">
        <v>34180</v>
      </c>
      <c r="E4114" t="s">
        <v>92</v>
      </c>
      <c r="F4114">
        <v>100</v>
      </c>
      <c r="G4114" t="s">
        <v>109</v>
      </c>
      <c r="H4114">
        <v>-89.87</v>
      </c>
      <c r="I4114">
        <v>67</v>
      </c>
      <c r="J4114">
        <v>-59.76</v>
      </c>
      <c r="K4114">
        <v>77</v>
      </c>
      <c r="L4114">
        <v>-53.73</v>
      </c>
      <c r="M4114">
        <v>72</v>
      </c>
      <c r="N4114">
        <v>16.13</v>
      </c>
      <c r="O4114">
        <v>53</v>
      </c>
      <c r="P4114">
        <v>1.98</v>
      </c>
      <c r="Q4114">
        <v>53</v>
      </c>
      <c r="R4114">
        <v>-4.28</v>
      </c>
      <c r="S4114">
        <v>61</v>
      </c>
      <c r="T4114">
        <v>13.9</v>
      </c>
      <c r="U4114">
        <v>57</v>
      </c>
      <c r="V4114">
        <v>-4.1100000000000003</v>
      </c>
      <c r="W4114">
        <v>37</v>
      </c>
      <c r="X4114" t="s">
        <v>747</v>
      </c>
      <c r="Y4114" t="s">
        <v>95</v>
      </c>
      <c r="Z4114" t="s">
        <v>96</v>
      </c>
      <c r="AA4114" t="s">
        <v>132</v>
      </c>
      <c r="AB4114" t="s">
        <v>3477</v>
      </c>
      <c r="AC4114">
        <v>0</v>
      </c>
      <c r="AD4114">
        <v>0</v>
      </c>
      <c r="AE4114">
        <v>77</v>
      </c>
      <c r="AF4114">
        <v>-86.25</v>
      </c>
      <c r="AG4114">
        <v>-8.35</v>
      </c>
      <c r="AH4114">
        <v>-8.5299999999999994</v>
      </c>
      <c r="AI4114">
        <v>-0.08</v>
      </c>
      <c r="AJ4114">
        <v>-0.09</v>
      </c>
      <c r="AK4114">
        <v>72</v>
      </c>
      <c r="AL4114">
        <v>0</v>
      </c>
      <c r="AM4114">
        <v>0</v>
      </c>
      <c r="AN4114">
        <v>3.31</v>
      </c>
      <c r="AO4114">
        <v>-0.97</v>
      </c>
      <c r="AP4114">
        <v>8</v>
      </c>
      <c r="AQ4114">
        <v>0</v>
      </c>
      <c r="AR4114">
        <v>4.92</v>
      </c>
      <c r="AS4114">
        <v>30</v>
      </c>
      <c r="AT4114">
        <v>2.31</v>
      </c>
      <c r="AU4114">
        <v>73</v>
      </c>
      <c r="AV4114">
        <v>-0.55000000000000004</v>
      </c>
      <c r="AW4114">
        <v>56</v>
      </c>
      <c r="AX4114">
        <v>-0.6</v>
      </c>
      <c r="AY4114">
        <v>42</v>
      </c>
      <c r="AZ4114">
        <v>6.73</v>
      </c>
      <c r="BA4114">
        <v>30</v>
      </c>
      <c r="BB4114">
        <v>5.36</v>
      </c>
      <c r="BC4114">
        <v>31</v>
      </c>
      <c r="BD4114">
        <v>0.02</v>
      </c>
      <c r="BE4114">
        <v>0.05</v>
      </c>
      <c r="BF4114">
        <v>-0.03</v>
      </c>
      <c r="BG4114">
        <v>83</v>
      </c>
      <c r="BH4114">
        <v>-0.03</v>
      </c>
      <c r="BI4114">
        <v>9.7899999999999991</v>
      </c>
      <c r="BJ4114">
        <v>1</v>
      </c>
      <c r="BK4114">
        <v>1</v>
      </c>
      <c r="BL4114">
        <v>0.12</v>
      </c>
      <c r="BM4114">
        <v>-1.25</v>
      </c>
      <c r="BN4114">
        <v>-0.43</v>
      </c>
      <c r="BO4114">
        <v>-0.11</v>
      </c>
      <c r="BP4114">
        <v>-0.96</v>
      </c>
      <c r="BQ4114">
        <v>-1.29</v>
      </c>
      <c r="BR4114">
        <v>-0.43</v>
      </c>
      <c r="BS4114">
        <v>0.76</v>
      </c>
      <c r="BT4114">
        <v>-0.85</v>
      </c>
      <c r="BU4114">
        <v>0.66</v>
      </c>
      <c r="BV4114">
        <v>0.59</v>
      </c>
      <c r="BW4114">
        <v>0.08</v>
      </c>
      <c r="BX4114">
        <v>0.71</v>
      </c>
      <c r="BY4114">
        <v>-1.36</v>
      </c>
      <c r="BZ4114">
        <v>2.83</v>
      </c>
      <c r="CA4114">
        <v>0.46</v>
      </c>
      <c r="CB4114">
        <v>-0.06</v>
      </c>
      <c r="CC4114">
        <v>1.1499999999999999</v>
      </c>
      <c r="CD4114">
        <v>0.06</v>
      </c>
      <c r="CE4114">
        <v>0.73</v>
      </c>
      <c r="CF4114">
        <v>0.09</v>
      </c>
      <c r="CG4114">
        <v>0</v>
      </c>
      <c r="CH4114">
        <v>0.02</v>
      </c>
      <c r="CI4114">
        <v>0</v>
      </c>
      <c r="CJ4114">
        <v>2.9</v>
      </c>
      <c r="CK4114">
        <v>55</v>
      </c>
      <c r="CL4114">
        <v>-0.71</v>
      </c>
      <c r="CM4114">
        <v>51</v>
      </c>
      <c r="CN4114">
        <v>-0.52</v>
      </c>
      <c r="CO4114">
        <v>46</v>
      </c>
      <c r="CP4114">
        <v>-5.2</v>
      </c>
      <c r="CQ4114">
        <v>57</v>
      </c>
      <c r="CR4114">
        <v>0</v>
      </c>
      <c r="CS4114">
        <v>0</v>
      </c>
      <c r="CT4114">
        <v>-5</v>
      </c>
      <c r="CU4114">
        <v>57</v>
      </c>
      <c r="CV4114">
        <v>0.28000000000000003</v>
      </c>
      <c r="CW4114">
        <v>15</v>
      </c>
      <c r="CX4114" t="s">
        <v>111</v>
      </c>
    </row>
    <row r="4115" spans="1:102" x14ac:dyDescent="0.3">
      <c r="A4115" t="str">
        <f>HYPERLINK("https://webapp.icbf.com/v2/app/bull-search/view/182428015","S328")</f>
        <v>S328</v>
      </c>
      <c r="B4115" t="s">
        <v>144</v>
      </c>
      <c r="C4115" t="s">
        <v>10011</v>
      </c>
      <c r="D4115" s="1">
        <v>35088</v>
      </c>
      <c r="E4115" t="s">
        <v>895</v>
      </c>
      <c r="F4115">
        <v>0</v>
      </c>
      <c r="G4115" t="s">
        <v>116</v>
      </c>
      <c r="H4115">
        <v>-90.01</v>
      </c>
      <c r="I4115">
        <v>27</v>
      </c>
      <c r="J4115">
        <v>-56.2</v>
      </c>
      <c r="K4115">
        <v>41</v>
      </c>
      <c r="L4115">
        <v>-32.79</v>
      </c>
      <c r="M4115">
        <v>15</v>
      </c>
      <c r="N4115">
        <v>-5.73</v>
      </c>
      <c r="O4115">
        <v>17</v>
      </c>
      <c r="P4115">
        <v>-18.2</v>
      </c>
      <c r="Q4115">
        <v>45</v>
      </c>
      <c r="R4115">
        <v>3.73</v>
      </c>
      <c r="S4115">
        <v>18</v>
      </c>
      <c r="T4115">
        <v>21.52</v>
      </c>
      <c r="U4115">
        <v>29</v>
      </c>
      <c r="V4115">
        <v>-2.34</v>
      </c>
      <c r="W4115">
        <v>5</v>
      </c>
      <c r="X4115" t="s">
        <v>110</v>
      </c>
      <c r="Y4115" t="s">
        <v>545</v>
      </c>
      <c r="Z4115">
        <v>0</v>
      </c>
      <c r="AA4115" t="s">
        <v>2923</v>
      </c>
      <c r="AB4115" t="s">
        <v>10012</v>
      </c>
      <c r="AC4115">
        <v>6</v>
      </c>
      <c r="AD4115">
        <v>2</v>
      </c>
      <c r="AE4115">
        <v>41</v>
      </c>
      <c r="AF4115">
        <v>-480.91</v>
      </c>
      <c r="AG4115">
        <v>-13.37</v>
      </c>
      <c r="AH4115">
        <v>-12.19</v>
      </c>
      <c r="AI4115">
        <v>0.1</v>
      </c>
      <c r="AJ4115">
        <v>0.08</v>
      </c>
      <c r="AK4115">
        <v>15</v>
      </c>
      <c r="AL4115">
        <v>2</v>
      </c>
      <c r="AM4115">
        <v>2</v>
      </c>
      <c r="AN4115">
        <v>2.98</v>
      </c>
      <c r="AO4115">
        <v>0.38</v>
      </c>
      <c r="AP4115">
        <v>15</v>
      </c>
      <c r="AQ4115">
        <v>0</v>
      </c>
      <c r="AR4115">
        <v>7.56</v>
      </c>
      <c r="AS4115">
        <v>9</v>
      </c>
      <c r="AT4115">
        <v>3.41</v>
      </c>
      <c r="AU4115">
        <v>30</v>
      </c>
      <c r="AV4115">
        <v>1.05</v>
      </c>
      <c r="AW4115">
        <v>14</v>
      </c>
      <c r="AX4115">
        <v>0.02</v>
      </c>
      <c r="AY4115">
        <v>25</v>
      </c>
      <c r="AZ4115">
        <v>5.58</v>
      </c>
      <c r="BA4115">
        <v>9</v>
      </c>
      <c r="BB4115">
        <v>4.18</v>
      </c>
      <c r="BC4115">
        <v>7</v>
      </c>
      <c r="BD4115">
        <v>-0.01</v>
      </c>
      <c r="BE4115">
        <v>-0.01</v>
      </c>
      <c r="BF4115">
        <v>-0.05</v>
      </c>
      <c r="BG4115">
        <v>22</v>
      </c>
      <c r="BH4115">
        <v>-0.1</v>
      </c>
      <c r="BI4115">
        <v>-4.01</v>
      </c>
      <c r="BJ4115">
        <v>0</v>
      </c>
      <c r="BK4115">
        <v>0</v>
      </c>
      <c r="BL4115">
        <v>0</v>
      </c>
      <c r="BM4115">
        <v>0</v>
      </c>
      <c r="BN4115">
        <v>0</v>
      </c>
      <c r="BO4115">
        <v>0</v>
      </c>
      <c r="BP4115">
        <v>0</v>
      </c>
      <c r="BQ4115">
        <v>0</v>
      </c>
      <c r="BR4115">
        <v>0</v>
      </c>
      <c r="BS4115">
        <v>0</v>
      </c>
      <c r="BT4115">
        <v>0</v>
      </c>
      <c r="BU4115">
        <v>0</v>
      </c>
      <c r="BV4115">
        <v>0</v>
      </c>
      <c r="BW4115">
        <v>0</v>
      </c>
      <c r="BX4115">
        <v>0</v>
      </c>
      <c r="BY4115">
        <v>0</v>
      </c>
      <c r="BZ4115">
        <v>0</v>
      </c>
      <c r="CA4115">
        <v>0</v>
      </c>
      <c r="CB4115">
        <v>0</v>
      </c>
      <c r="CC4115">
        <v>0</v>
      </c>
      <c r="CD4115">
        <v>0</v>
      </c>
      <c r="CE4115">
        <v>0</v>
      </c>
      <c r="CF4115">
        <v>0</v>
      </c>
      <c r="CG4115">
        <v>0</v>
      </c>
      <c r="CH4115">
        <v>0</v>
      </c>
      <c r="CI4115">
        <v>0</v>
      </c>
      <c r="CJ4115">
        <v>-10.6</v>
      </c>
      <c r="CK4115">
        <v>48</v>
      </c>
      <c r="CL4115">
        <v>-0.41</v>
      </c>
      <c r="CM4115">
        <v>43</v>
      </c>
      <c r="CN4115">
        <v>-0.22</v>
      </c>
      <c r="CO4115">
        <v>38</v>
      </c>
      <c r="CP4115">
        <v>-12.8</v>
      </c>
      <c r="CQ4115">
        <v>41</v>
      </c>
      <c r="CR4115">
        <v>0</v>
      </c>
      <c r="CS4115">
        <v>0</v>
      </c>
      <c r="CT4115">
        <v>-15.3</v>
      </c>
      <c r="CU4115">
        <v>29</v>
      </c>
      <c r="CV4115">
        <v>-0.19</v>
      </c>
      <c r="CW4115">
        <v>11</v>
      </c>
      <c r="CX4115" t="s">
        <v>10013</v>
      </c>
    </row>
    <row r="4116" spans="1:102" x14ac:dyDescent="0.3">
      <c r="A4116" t="str">
        <f>HYPERLINK("https://webapp.icbf.com/v2/app/bull-search/view/68514529","BBT")</f>
        <v>BBT</v>
      </c>
      <c r="B4116" t="s">
        <v>10525</v>
      </c>
      <c r="C4116" t="s">
        <v>10526</v>
      </c>
      <c r="D4116" s="1">
        <v>32906</v>
      </c>
      <c r="E4116" t="s">
        <v>92</v>
      </c>
      <c r="F4116">
        <v>100</v>
      </c>
      <c r="G4116" t="s">
        <v>93</v>
      </c>
      <c r="H4116">
        <v>-90.05</v>
      </c>
      <c r="I4116">
        <v>80</v>
      </c>
      <c r="J4116">
        <v>-52.08</v>
      </c>
      <c r="K4116">
        <v>94</v>
      </c>
      <c r="L4116">
        <v>-6.53</v>
      </c>
      <c r="M4116">
        <v>76</v>
      </c>
      <c r="N4116">
        <v>-18.43</v>
      </c>
      <c r="O4116">
        <v>64</v>
      </c>
      <c r="P4116">
        <v>-3.18</v>
      </c>
      <c r="Q4116">
        <v>77</v>
      </c>
      <c r="R4116">
        <v>-8.34</v>
      </c>
      <c r="S4116">
        <v>75</v>
      </c>
      <c r="T4116">
        <v>7.61</v>
      </c>
      <c r="U4116">
        <v>74</v>
      </c>
      <c r="V4116">
        <v>-9.1</v>
      </c>
      <c r="W4116">
        <v>63</v>
      </c>
      <c r="X4116" t="s">
        <v>110</v>
      </c>
      <c r="Y4116" t="s">
        <v>95</v>
      </c>
      <c r="Z4116" t="s">
        <v>96</v>
      </c>
      <c r="AA4116" t="s">
        <v>111</v>
      </c>
      <c r="AB4116" t="s">
        <v>10527</v>
      </c>
      <c r="AC4116">
        <v>43</v>
      </c>
      <c r="AD4116">
        <v>35</v>
      </c>
      <c r="AE4116">
        <v>94</v>
      </c>
      <c r="AF4116">
        <v>-96.77</v>
      </c>
      <c r="AG4116">
        <v>-9.52</v>
      </c>
      <c r="AH4116">
        <v>-6.97</v>
      </c>
      <c r="AI4116">
        <v>-0.1</v>
      </c>
      <c r="AJ4116">
        <v>-7.0000000000000007E-2</v>
      </c>
      <c r="AK4116">
        <v>76</v>
      </c>
      <c r="AL4116">
        <v>48</v>
      </c>
      <c r="AM4116">
        <v>36</v>
      </c>
      <c r="AN4116">
        <v>-0.36</v>
      </c>
      <c r="AO4116">
        <v>-0.89</v>
      </c>
      <c r="AP4116">
        <v>4</v>
      </c>
      <c r="AQ4116">
        <v>5</v>
      </c>
      <c r="AR4116">
        <v>8.44</v>
      </c>
      <c r="AS4116">
        <v>57</v>
      </c>
      <c r="AT4116">
        <v>4.83</v>
      </c>
      <c r="AU4116">
        <v>70</v>
      </c>
      <c r="AV4116">
        <v>-0.24</v>
      </c>
      <c r="AW4116">
        <v>64</v>
      </c>
      <c r="AX4116">
        <v>-0.17</v>
      </c>
      <c r="AY4116">
        <v>71</v>
      </c>
      <c r="AZ4116">
        <v>6.31</v>
      </c>
      <c r="BA4116">
        <v>48</v>
      </c>
      <c r="BB4116">
        <v>5.26</v>
      </c>
      <c r="BC4116">
        <v>57</v>
      </c>
      <c r="BD4116">
        <v>0.04</v>
      </c>
      <c r="BE4116">
        <v>0.05</v>
      </c>
      <c r="BF4116">
        <v>0.03</v>
      </c>
      <c r="BG4116">
        <v>87</v>
      </c>
      <c r="BH4116">
        <v>-0.1</v>
      </c>
      <c r="BI4116">
        <v>17.78</v>
      </c>
      <c r="BJ4116">
        <v>2</v>
      </c>
      <c r="BK4116">
        <v>2</v>
      </c>
      <c r="BL4116">
        <v>0.1</v>
      </c>
      <c r="BM4116">
        <v>0.76</v>
      </c>
      <c r="BN4116">
        <v>1.0900000000000001</v>
      </c>
      <c r="BO4116">
        <v>0.02</v>
      </c>
      <c r="BP4116">
        <v>1.1399999999999999</v>
      </c>
      <c r="BQ4116">
        <v>0.55000000000000004</v>
      </c>
      <c r="BR4116">
        <v>-1.51</v>
      </c>
      <c r="BS4116">
        <v>0.48</v>
      </c>
      <c r="BT4116">
        <v>1.25</v>
      </c>
      <c r="BU4116">
        <v>-0.02</v>
      </c>
      <c r="BV4116">
        <v>-0.88</v>
      </c>
      <c r="BW4116">
        <v>-0.75</v>
      </c>
      <c r="BX4116">
        <v>-0.25</v>
      </c>
      <c r="BY4116">
        <v>-0.12</v>
      </c>
      <c r="BZ4116">
        <v>0.23</v>
      </c>
      <c r="CA4116">
        <v>-0.17</v>
      </c>
      <c r="CB4116">
        <v>-0.47</v>
      </c>
      <c r="CC4116">
        <v>1</v>
      </c>
      <c r="CD4116">
        <v>1.05</v>
      </c>
      <c r="CE4116">
        <v>0.06</v>
      </c>
      <c r="CF4116">
        <v>0.78</v>
      </c>
      <c r="CG4116">
        <v>0</v>
      </c>
      <c r="CH4116">
        <v>-0.64</v>
      </c>
      <c r="CI4116">
        <v>0</v>
      </c>
      <c r="CJ4116">
        <v>-1.8</v>
      </c>
      <c r="CK4116">
        <v>78</v>
      </c>
      <c r="CL4116">
        <v>-0.55000000000000004</v>
      </c>
      <c r="CM4116">
        <v>75</v>
      </c>
      <c r="CN4116">
        <v>-0.41</v>
      </c>
      <c r="CO4116">
        <v>72</v>
      </c>
      <c r="CP4116">
        <v>1.2</v>
      </c>
      <c r="CQ4116">
        <v>79</v>
      </c>
      <c r="CR4116">
        <v>0</v>
      </c>
      <c r="CS4116">
        <v>0</v>
      </c>
      <c r="CT4116">
        <v>3.5</v>
      </c>
      <c r="CU4116">
        <v>74</v>
      </c>
      <c r="CV4116">
        <v>0.01</v>
      </c>
      <c r="CW4116">
        <v>41</v>
      </c>
      <c r="CX4116" t="s">
        <v>113</v>
      </c>
    </row>
    <row r="4117" spans="1:102" x14ac:dyDescent="0.3">
      <c r="A4117" t="str">
        <f>HYPERLINK("https://webapp.icbf.com/v2/app/bull-search/view/77855131","MGK")</f>
        <v>MGK</v>
      </c>
      <c r="B4117" t="s">
        <v>745</v>
      </c>
      <c r="C4117" t="s">
        <v>746</v>
      </c>
      <c r="D4117" s="1">
        <v>33228</v>
      </c>
      <c r="E4117" t="s">
        <v>92</v>
      </c>
      <c r="F4117">
        <v>100</v>
      </c>
      <c r="G4117" t="s">
        <v>93</v>
      </c>
      <c r="H4117">
        <v>-90.1</v>
      </c>
      <c r="I4117">
        <v>88</v>
      </c>
      <c r="J4117">
        <v>-8.51</v>
      </c>
      <c r="K4117">
        <v>96</v>
      </c>
      <c r="L4117">
        <v>-70.66</v>
      </c>
      <c r="M4117">
        <v>90</v>
      </c>
      <c r="N4117">
        <v>10.77</v>
      </c>
      <c r="O4117">
        <v>79</v>
      </c>
      <c r="P4117">
        <v>-6.7</v>
      </c>
      <c r="Q4117">
        <v>83</v>
      </c>
      <c r="R4117">
        <v>-26.54</v>
      </c>
      <c r="S4117">
        <v>82</v>
      </c>
      <c r="T4117">
        <v>16.559999999999999</v>
      </c>
      <c r="U4117">
        <v>79</v>
      </c>
      <c r="V4117">
        <v>-5.0199999999999996</v>
      </c>
      <c r="W4117">
        <v>67</v>
      </c>
      <c r="X4117" t="s">
        <v>747</v>
      </c>
      <c r="Y4117" t="s">
        <v>95</v>
      </c>
      <c r="Z4117" t="s">
        <v>96</v>
      </c>
      <c r="AA4117" t="s">
        <v>132</v>
      </c>
      <c r="AB4117" t="s">
        <v>748</v>
      </c>
      <c r="AC4117">
        <v>85</v>
      </c>
      <c r="AD4117">
        <v>69</v>
      </c>
      <c r="AE4117">
        <v>96</v>
      </c>
      <c r="AF4117">
        <v>297.7</v>
      </c>
      <c r="AG4117">
        <v>-0.85</v>
      </c>
      <c r="AH4117">
        <v>3.41</v>
      </c>
      <c r="AI4117">
        <v>-0.21</v>
      </c>
      <c r="AJ4117">
        <v>-0.11</v>
      </c>
      <c r="AK4117">
        <v>90</v>
      </c>
      <c r="AL4117">
        <v>84</v>
      </c>
      <c r="AM4117">
        <v>55</v>
      </c>
      <c r="AN4117">
        <v>5.01</v>
      </c>
      <c r="AO4117">
        <v>-0.61</v>
      </c>
      <c r="AP4117">
        <v>10</v>
      </c>
      <c r="AQ4117">
        <v>0</v>
      </c>
      <c r="AR4117">
        <v>6.71</v>
      </c>
      <c r="AS4117">
        <v>66</v>
      </c>
      <c r="AT4117">
        <v>2.91</v>
      </c>
      <c r="AU4117">
        <v>98</v>
      </c>
      <c r="AV4117">
        <v>-1.39</v>
      </c>
      <c r="AW4117">
        <v>74</v>
      </c>
      <c r="AX4117">
        <v>-0.59</v>
      </c>
      <c r="AY4117">
        <v>80</v>
      </c>
      <c r="AZ4117">
        <v>7.45</v>
      </c>
      <c r="BA4117">
        <v>61</v>
      </c>
      <c r="BB4117">
        <v>5.81</v>
      </c>
      <c r="BC4117">
        <v>70</v>
      </c>
      <c r="BD4117">
        <v>0.11</v>
      </c>
      <c r="BE4117">
        <v>0.13</v>
      </c>
      <c r="BF4117">
        <v>0.18</v>
      </c>
      <c r="BG4117">
        <v>94</v>
      </c>
      <c r="BH4117">
        <v>-0.08</v>
      </c>
      <c r="BI4117">
        <v>6.94</v>
      </c>
      <c r="BJ4117">
        <v>26</v>
      </c>
      <c r="BK4117">
        <v>21</v>
      </c>
      <c r="BL4117">
        <v>0.1</v>
      </c>
      <c r="BM4117">
        <v>-1.24</v>
      </c>
      <c r="BN4117">
        <v>-0.57999999999999996</v>
      </c>
      <c r="BO4117">
        <v>0.53</v>
      </c>
      <c r="BP4117">
        <v>-0.35</v>
      </c>
      <c r="BQ4117">
        <v>-0.65</v>
      </c>
      <c r="BR4117">
        <v>-0.89</v>
      </c>
      <c r="BS4117">
        <v>0.16</v>
      </c>
      <c r="BT4117">
        <v>0.16</v>
      </c>
      <c r="BU4117">
        <v>0.16</v>
      </c>
      <c r="BV4117">
        <v>1.4</v>
      </c>
      <c r="BW4117">
        <v>0.08</v>
      </c>
      <c r="BX4117">
        <v>-0.98</v>
      </c>
      <c r="BY4117">
        <v>-1.1200000000000001</v>
      </c>
      <c r="BZ4117">
        <v>2.5</v>
      </c>
      <c r="CA4117">
        <v>0.67</v>
      </c>
      <c r="CB4117">
        <v>0.41</v>
      </c>
      <c r="CC4117">
        <v>0.91</v>
      </c>
      <c r="CD4117">
        <v>-0.7</v>
      </c>
      <c r="CE4117">
        <v>0.96</v>
      </c>
      <c r="CF4117">
        <v>0.21</v>
      </c>
      <c r="CG4117">
        <v>0</v>
      </c>
      <c r="CH4117">
        <v>-1.34</v>
      </c>
      <c r="CI4117">
        <v>0</v>
      </c>
      <c r="CJ4117">
        <v>-2.6</v>
      </c>
      <c r="CK4117">
        <v>84</v>
      </c>
      <c r="CL4117">
        <v>-0.55000000000000004</v>
      </c>
      <c r="CM4117">
        <v>82</v>
      </c>
      <c r="CN4117">
        <v>-0.32</v>
      </c>
      <c r="CO4117">
        <v>80</v>
      </c>
      <c r="CP4117">
        <v>-7.9</v>
      </c>
      <c r="CQ4117">
        <v>88</v>
      </c>
      <c r="CR4117">
        <v>0</v>
      </c>
      <c r="CS4117">
        <v>0</v>
      </c>
      <c r="CT4117">
        <v>-8.6</v>
      </c>
      <c r="CU4117">
        <v>79</v>
      </c>
      <c r="CV4117">
        <v>0.05</v>
      </c>
      <c r="CW4117">
        <v>43</v>
      </c>
      <c r="CX4117" t="s">
        <v>543</v>
      </c>
    </row>
    <row r="4118" spans="1:102" x14ac:dyDescent="0.3">
      <c r="A4118" t="str">
        <f>HYPERLINK("https://webapp.icbf.com/v2/app/bull-search/view/495063536","HZP")</f>
        <v>HZP</v>
      </c>
      <c r="B4118" t="s">
        <v>10039</v>
      </c>
      <c r="C4118" t="s">
        <v>10040</v>
      </c>
      <c r="D4118" s="1">
        <v>38389</v>
      </c>
      <c r="E4118" t="s">
        <v>108</v>
      </c>
      <c r="F4118">
        <v>0</v>
      </c>
      <c r="G4118" t="s">
        <v>93</v>
      </c>
      <c r="H4118">
        <v>-90.19</v>
      </c>
      <c r="I4118">
        <v>90</v>
      </c>
      <c r="J4118">
        <v>-74.87</v>
      </c>
      <c r="K4118">
        <v>98</v>
      </c>
      <c r="L4118">
        <v>58.66</v>
      </c>
      <c r="M4118">
        <v>82</v>
      </c>
      <c r="N4118">
        <v>-74.13</v>
      </c>
      <c r="O4118">
        <v>89</v>
      </c>
      <c r="P4118">
        <v>-5.13</v>
      </c>
      <c r="Q4118">
        <v>96</v>
      </c>
      <c r="R4118">
        <v>1.75</v>
      </c>
      <c r="S4118">
        <v>86</v>
      </c>
      <c r="T4118">
        <v>-0.6</v>
      </c>
      <c r="U4118">
        <v>92</v>
      </c>
      <c r="V4118">
        <v>4.13</v>
      </c>
      <c r="W4118">
        <v>90</v>
      </c>
      <c r="X4118" t="s">
        <v>102</v>
      </c>
      <c r="Y4118" t="s">
        <v>228</v>
      </c>
      <c r="Z4118" t="s">
        <v>96</v>
      </c>
      <c r="AA4118" t="s">
        <v>10041</v>
      </c>
      <c r="AB4118" t="s">
        <v>10042</v>
      </c>
      <c r="AC4118">
        <v>141</v>
      </c>
      <c r="AD4118">
        <v>87</v>
      </c>
      <c r="AE4118">
        <v>98</v>
      </c>
      <c r="AF4118">
        <v>-229.01</v>
      </c>
      <c r="AG4118">
        <v>-14.75</v>
      </c>
      <c r="AH4118">
        <v>-11.02</v>
      </c>
      <c r="AI4118">
        <v>-0.11</v>
      </c>
      <c r="AJ4118">
        <v>-0.06</v>
      </c>
      <c r="AK4118">
        <v>82</v>
      </c>
      <c r="AL4118">
        <v>166</v>
      </c>
      <c r="AM4118">
        <v>102</v>
      </c>
      <c r="AN4118">
        <v>-4.6100000000000003</v>
      </c>
      <c r="AO4118">
        <v>0.05</v>
      </c>
      <c r="AP4118">
        <v>286</v>
      </c>
      <c r="AQ4118">
        <v>3</v>
      </c>
      <c r="AR4118">
        <v>14.85</v>
      </c>
      <c r="AS4118">
        <v>75</v>
      </c>
      <c r="AT4118">
        <v>5.85</v>
      </c>
      <c r="AU4118">
        <v>91</v>
      </c>
      <c r="AV4118">
        <v>-0.33</v>
      </c>
      <c r="AW4118">
        <v>97</v>
      </c>
      <c r="AX4118">
        <v>0.95</v>
      </c>
      <c r="AY4118">
        <v>88</v>
      </c>
      <c r="AZ4118">
        <v>9.67</v>
      </c>
      <c r="BA4118">
        <v>69</v>
      </c>
      <c r="BB4118">
        <v>6.75</v>
      </c>
      <c r="BC4118">
        <v>75</v>
      </c>
      <c r="BD4118">
        <v>0.01</v>
      </c>
      <c r="BE4118">
        <v>-0.03</v>
      </c>
      <c r="BF4118">
        <v>0</v>
      </c>
      <c r="BG4118">
        <v>91</v>
      </c>
      <c r="BH4118">
        <v>0.01</v>
      </c>
      <c r="BI4118">
        <v>-12.17</v>
      </c>
      <c r="BJ4118">
        <v>13</v>
      </c>
      <c r="BK4118">
        <v>11</v>
      </c>
      <c r="BL4118">
        <v>-3.84</v>
      </c>
      <c r="BM4118">
        <v>2.96</v>
      </c>
      <c r="BN4118">
        <v>-2.48</v>
      </c>
      <c r="BO4118">
        <v>-3.67</v>
      </c>
      <c r="BP4118">
        <v>0.35</v>
      </c>
      <c r="BQ4118">
        <v>1.06</v>
      </c>
      <c r="BR4118">
        <v>-2.2599999999999998</v>
      </c>
      <c r="BS4118">
        <v>1.6</v>
      </c>
      <c r="BT4118">
        <v>0.66</v>
      </c>
      <c r="BU4118">
        <v>-1.78</v>
      </c>
      <c r="BV4118">
        <v>-3.68</v>
      </c>
      <c r="BW4118">
        <v>-2.4500000000000002</v>
      </c>
      <c r="BX4118">
        <v>-1.1299999999999999</v>
      </c>
      <c r="BY4118">
        <v>-0.25</v>
      </c>
      <c r="BZ4118">
        <v>-1.37</v>
      </c>
      <c r="CA4118">
        <v>-2.0099999999999998</v>
      </c>
      <c r="CB4118">
        <v>-2.79</v>
      </c>
      <c r="CC4118">
        <v>-0.19</v>
      </c>
      <c r="CD4118">
        <v>3.74</v>
      </c>
      <c r="CE4118">
        <v>-3.39</v>
      </c>
      <c r="CF4118">
        <v>-1.91</v>
      </c>
      <c r="CG4118">
        <v>0</v>
      </c>
      <c r="CH4118">
        <v>-0.19</v>
      </c>
      <c r="CI4118">
        <v>0</v>
      </c>
      <c r="CJ4118">
        <v>-6.1</v>
      </c>
      <c r="CK4118">
        <v>97</v>
      </c>
      <c r="CL4118">
        <v>-0.06</v>
      </c>
      <c r="CM4118">
        <v>96</v>
      </c>
      <c r="CN4118">
        <v>-0.32</v>
      </c>
      <c r="CO4118">
        <v>96</v>
      </c>
      <c r="CP4118">
        <v>1.1000000000000001</v>
      </c>
      <c r="CQ4118">
        <v>92</v>
      </c>
      <c r="CR4118">
        <v>0</v>
      </c>
      <c r="CS4118">
        <v>0</v>
      </c>
      <c r="CT4118">
        <v>14.6</v>
      </c>
      <c r="CU4118">
        <v>92</v>
      </c>
      <c r="CV4118">
        <v>-0.02</v>
      </c>
      <c r="CW4118">
        <v>45</v>
      </c>
      <c r="CX4118" t="s">
        <v>6463</v>
      </c>
    </row>
    <row r="4119" spans="1:102" x14ac:dyDescent="0.3">
      <c r="A4119" t="str">
        <f>HYPERLINK("https://webapp.icbf.com/v2/app/bull-search/view/377647488","S421")</f>
        <v>S421</v>
      </c>
      <c r="B4119" t="s">
        <v>12532</v>
      </c>
      <c r="C4119" t="s">
        <v>6022</v>
      </c>
      <c r="D4119" s="1">
        <v>36587</v>
      </c>
      <c r="E4119" t="s">
        <v>92</v>
      </c>
      <c r="F4119">
        <v>100</v>
      </c>
      <c r="G4119" t="s">
        <v>109</v>
      </c>
      <c r="H4119">
        <v>-90.19</v>
      </c>
      <c r="I4119">
        <v>79</v>
      </c>
      <c r="J4119">
        <v>105.56</v>
      </c>
      <c r="K4119">
        <v>93</v>
      </c>
      <c r="L4119">
        <v>-199.03</v>
      </c>
      <c r="M4119">
        <v>85</v>
      </c>
      <c r="N4119">
        <v>8.49</v>
      </c>
      <c r="O4119">
        <v>56</v>
      </c>
      <c r="P4119">
        <v>-8.17</v>
      </c>
      <c r="Q4119">
        <v>64</v>
      </c>
      <c r="R4119">
        <v>-9.44</v>
      </c>
      <c r="S4119">
        <v>70</v>
      </c>
      <c r="T4119">
        <v>16.420000000000002</v>
      </c>
      <c r="U4119">
        <v>52</v>
      </c>
      <c r="V4119">
        <v>-4.0199999999999996</v>
      </c>
      <c r="W4119">
        <v>53</v>
      </c>
      <c r="X4119" t="s">
        <v>6737</v>
      </c>
      <c r="Y4119" t="s">
        <v>95</v>
      </c>
      <c r="Z4119" t="s">
        <v>96</v>
      </c>
      <c r="AA4119" t="s">
        <v>1191</v>
      </c>
      <c r="AB4119" t="s">
        <v>12533</v>
      </c>
      <c r="AC4119">
        <v>0</v>
      </c>
      <c r="AD4119">
        <v>0</v>
      </c>
      <c r="AE4119">
        <v>93</v>
      </c>
      <c r="AF4119">
        <v>702.86</v>
      </c>
      <c r="AG4119">
        <v>21.26</v>
      </c>
      <c r="AH4119">
        <v>21.19</v>
      </c>
      <c r="AI4119">
        <v>-0.09</v>
      </c>
      <c r="AJ4119">
        <v>-0.04</v>
      </c>
      <c r="AK4119">
        <v>85</v>
      </c>
      <c r="AL4119">
        <v>0</v>
      </c>
      <c r="AM4119">
        <v>0</v>
      </c>
      <c r="AN4119">
        <v>11.81</v>
      </c>
      <c r="AO4119">
        <v>-4.05</v>
      </c>
      <c r="AP4119">
        <v>60</v>
      </c>
      <c r="AQ4119">
        <v>0</v>
      </c>
      <c r="AR4119">
        <v>7.42</v>
      </c>
      <c r="AS4119">
        <v>46</v>
      </c>
      <c r="AT4119">
        <v>3.47</v>
      </c>
      <c r="AU4119">
        <v>97</v>
      </c>
      <c r="AV4119">
        <v>-0.94</v>
      </c>
      <c r="AW4119">
        <v>43</v>
      </c>
      <c r="AX4119">
        <v>0.38</v>
      </c>
      <c r="AY4119">
        <v>43</v>
      </c>
      <c r="AZ4119">
        <v>5.23</v>
      </c>
      <c r="BA4119">
        <v>42</v>
      </c>
      <c r="BB4119">
        <v>4.37</v>
      </c>
      <c r="BC4119">
        <v>37</v>
      </c>
      <c r="BD4119">
        <v>0</v>
      </c>
      <c r="BE4119">
        <v>0.03</v>
      </c>
      <c r="BF4119">
        <v>0.16</v>
      </c>
      <c r="BG4119">
        <v>93</v>
      </c>
      <c r="BH4119">
        <v>-0.13</v>
      </c>
      <c r="BI4119">
        <v>-2.06</v>
      </c>
      <c r="BJ4119">
        <v>7</v>
      </c>
      <c r="BK4119">
        <v>2</v>
      </c>
      <c r="BL4119">
        <v>0.16</v>
      </c>
      <c r="BM4119">
        <v>-2.36</v>
      </c>
      <c r="BN4119">
        <v>-0.81</v>
      </c>
      <c r="BO4119">
        <v>0.94</v>
      </c>
      <c r="BP4119">
        <v>2.44</v>
      </c>
      <c r="BQ4119">
        <v>-0.89</v>
      </c>
      <c r="BR4119">
        <v>-0.57999999999999996</v>
      </c>
      <c r="BS4119">
        <v>0.41</v>
      </c>
      <c r="BT4119">
        <v>0.24</v>
      </c>
      <c r="BU4119">
        <v>-1.1599999999999999</v>
      </c>
      <c r="BV4119">
        <v>0.01</v>
      </c>
      <c r="BW4119">
        <v>-0.39</v>
      </c>
      <c r="BX4119">
        <v>-0.96</v>
      </c>
      <c r="BY4119">
        <v>1.98</v>
      </c>
      <c r="BZ4119">
        <v>0.08</v>
      </c>
      <c r="CA4119">
        <v>-0.01</v>
      </c>
      <c r="CB4119">
        <v>0.56999999999999995</v>
      </c>
      <c r="CC4119">
        <v>-1.1599999999999999</v>
      </c>
      <c r="CD4119">
        <v>-1.71</v>
      </c>
      <c r="CE4119">
        <v>0.62</v>
      </c>
      <c r="CF4119">
        <v>-0.61</v>
      </c>
      <c r="CG4119">
        <v>0</v>
      </c>
      <c r="CH4119">
        <v>1.17</v>
      </c>
      <c r="CI4119">
        <v>0</v>
      </c>
      <c r="CJ4119">
        <v>-2.1</v>
      </c>
      <c r="CK4119">
        <v>66</v>
      </c>
      <c r="CL4119">
        <v>-0.62</v>
      </c>
      <c r="CM4119">
        <v>61</v>
      </c>
      <c r="CN4119">
        <v>-0.25</v>
      </c>
      <c r="CO4119">
        <v>57</v>
      </c>
      <c r="CP4119">
        <v>-12</v>
      </c>
      <c r="CQ4119">
        <v>64</v>
      </c>
      <c r="CR4119">
        <v>0</v>
      </c>
      <c r="CS4119">
        <v>0</v>
      </c>
      <c r="CT4119">
        <v>-8.4</v>
      </c>
      <c r="CU4119">
        <v>52</v>
      </c>
      <c r="CV4119">
        <v>0.21</v>
      </c>
      <c r="CW4119">
        <v>18</v>
      </c>
      <c r="CX4119" t="s">
        <v>265</v>
      </c>
    </row>
    <row r="4120" spans="1:102" x14ac:dyDescent="0.3">
      <c r="A4120" t="str">
        <f>HYPERLINK("https://webapp.icbf.com/v2/app/bull-search/view/77855011","NIM")</f>
        <v>NIM</v>
      </c>
      <c r="B4120" t="s">
        <v>11040</v>
      </c>
      <c r="C4120" t="s">
        <v>11041</v>
      </c>
      <c r="D4120" s="1">
        <v>32529</v>
      </c>
      <c r="E4120" t="s">
        <v>92</v>
      </c>
      <c r="F4120">
        <v>100</v>
      </c>
      <c r="G4120" t="s">
        <v>109</v>
      </c>
      <c r="H4120">
        <v>-90.33</v>
      </c>
      <c r="I4120">
        <v>68</v>
      </c>
      <c r="J4120">
        <v>-0.53</v>
      </c>
      <c r="K4120">
        <v>73</v>
      </c>
      <c r="L4120">
        <v>-90.24</v>
      </c>
      <c r="M4120">
        <v>72</v>
      </c>
      <c r="N4120">
        <v>-13.15</v>
      </c>
      <c r="O4120">
        <v>51</v>
      </c>
      <c r="P4120">
        <v>18.46</v>
      </c>
      <c r="Q4120">
        <v>74</v>
      </c>
      <c r="R4120">
        <v>-17.920000000000002</v>
      </c>
      <c r="S4120">
        <v>65</v>
      </c>
      <c r="T4120">
        <v>14.94</v>
      </c>
      <c r="U4120">
        <v>64</v>
      </c>
      <c r="V4120">
        <v>-1.89</v>
      </c>
      <c r="W4120">
        <v>33</v>
      </c>
      <c r="X4120" t="s">
        <v>276</v>
      </c>
      <c r="Y4120" t="s">
        <v>95</v>
      </c>
      <c r="Z4120" t="s">
        <v>96</v>
      </c>
      <c r="AA4120" t="s">
        <v>166</v>
      </c>
      <c r="AB4120" t="s">
        <v>11042</v>
      </c>
      <c r="AC4120">
        <v>0</v>
      </c>
      <c r="AD4120">
        <v>0</v>
      </c>
      <c r="AE4120">
        <v>73</v>
      </c>
      <c r="AF4120">
        <v>204.08</v>
      </c>
      <c r="AG4120">
        <v>5.0999999999999996</v>
      </c>
      <c r="AH4120">
        <v>1.23</v>
      </c>
      <c r="AI4120">
        <v>-0.05</v>
      </c>
      <c r="AJ4120">
        <v>-0.09</v>
      </c>
      <c r="AK4120">
        <v>72</v>
      </c>
      <c r="AL4120">
        <v>0</v>
      </c>
      <c r="AM4120">
        <v>0</v>
      </c>
      <c r="AN4120">
        <v>5.45</v>
      </c>
      <c r="AO4120">
        <v>-1.74</v>
      </c>
      <c r="AP4120">
        <v>4</v>
      </c>
      <c r="AQ4120">
        <v>42</v>
      </c>
      <c r="AR4120">
        <v>8.16</v>
      </c>
      <c r="AS4120">
        <v>30</v>
      </c>
      <c r="AT4120">
        <v>4.18</v>
      </c>
      <c r="AU4120">
        <v>42</v>
      </c>
      <c r="AV4120">
        <v>0.53</v>
      </c>
      <c r="AW4120">
        <v>64</v>
      </c>
      <c r="AX4120">
        <v>-0.84</v>
      </c>
      <c r="AY4120">
        <v>67</v>
      </c>
      <c r="AZ4120">
        <v>6.59</v>
      </c>
      <c r="BA4120">
        <v>31</v>
      </c>
      <c r="BB4120">
        <v>4.82</v>
      </c>
      <c r="BC4120">
        <v>36</v>
      </c>
      <c r="BD4120">
        <v>0.03</v>
      </c>
      <c r="BE4120">
        <v>0.08</v>
      </c>
      <c r="BF4120">
        <v>0.21</v>
      </c>
      <c r="BG4120">
        <v>87</v>
      </c>
      <c r="BH4120">
        <v>0.02</v>
      </c>
      <c r="BI4120">
        <v>8.42</v>
      </c>
      <c r="BJ4120">
        <v>0</v>
      </c>
      <c r="BK4120">
        <v>0</v>
      </c>
      <c r="BL4120">
        <v>-0.18</v>
      </c>
      <c r="BM4120">
        <v>-0.3</v>
      </c>
      <c r="BN4120">
        <v>0.84</v>
      </c>
      <c r="BO4120">
        <v>0.01</v>
      </c>
      <c r="BP4120">
        <v>2.0299999999999998</v>
      </c>
      <c r="BQ4120">
        <v>-1.55</v>
      </c>
      <c r="BR4120">
        <v>0.09</v>
      </c>
      <c r="BS4120">
        <v>0.46</v>
      </c>
      <c r="BT4120">
        <v>0.04</v>
      </c>
      <c r="BU4120">
        <v>-0.93</v>
      </c>
      <c r="BV4120">
        <v>-0.95</v>
      </c>
      <c r="BW4120">
        <v>-1.24</v>
      </c>
      <c r="BX4120">
        <v>-0.86</v>
      </c>
      <c r="BY4120">
        <v>-2.29</v>
      </c>
      <c r="BZ4120">
        <v>-2.27</v>
      </c>
      <c r="CA4120">
        <v>-1.08</v>
      </c>
      <c r="CB4120">
        <v>-0.76</v>
      </c>
      <c r="CC4120">
        <v>-1.08</v>
      </c>
      <c r="CD4120">
        <v>-0.68</v>
      </c>
      <c r="CE4120">
        <v>0.86</v>
      </c>
      <c r="CF4120">
        <v>0.27</v>
      </c>
      <c r="CG4120">
        <v>0</v>
      </c>
      <c r="CH4120">
        <v>0.32</v>
      </c>
      <c r="CI4120">
        <v>0</v>
      </c>
      <c r="CJ4120">
        <v>6.4</v>
      </c>
      <c r="CK4120">
        <v>77</v>
      </c>
      <c r="CL4120">
        <v>0.6</v>
      </c>
      <c r="CM4120">
        <v>73</v>
      </c>
      <c r="CN4120">
        <v>-0.32</v>
      </c>
      <c r="CO4120">
        <v>69</v>
      </c>
      <c r="CP4120">
        <v>-2.1</v>
      </c>
      <c r="CQ4120">
        <v>69</v>
      </c>
      <c r="CR4120">
        <v>0</v>
      </c>
      <c r="CS4120">
        <v>0</v>
      </c>
      <c r="CT4120">
        <v>-6.4</v>
      </c>
      <c r="CU4120">
        <v>64</v>
      </c>
      <c r="CV4120">
        <v>-0.14000000000000001</v>
      </c>
      <c r="CW4120">
        <v>22</v>
      </c>
      <c r="CX4120" t="s">
        <v>120</v>
      </c>
    </row>
    <row r="4121" spans="1:102" x14ac:dyDescent="0.3">
      <c r="A4121" t="str">
        <f>HYPERLINK("https://webapp.icbf.com/v2/app/bull-search/view/1022010268","S1443")</f>
        <v>S1443</v>
      </c>
      <c r="B4121" t="s">
        <v>13122</v>
      </c>
      <c r="C4121" t="s">
        <v>13123</v>
      </c>
      <c r="D4121" s="1">
        <v>40368</v>
      </c>
      <c r="E4121" t="s">
        <v>92</v>
      </c>
      <c r="F4121">
        <v>100</v>
      </c>
      <c r="G4121" t="s">
        <v>109</v>
      </c>
      <c r="H4121">
        <v>-90.42</v>
      </c>
      <c r="I4121">
        <v>79</v>
      </c>
      <c r="J4121">
        <v>47.69</v>
      </c>
      <c r="K4121">
        <v>92</v>
      </c>
      <c r="L4121">
        <v>-143.61000000000001</v>
      </c>
      <c r="M4121">
        <v>83</v>
      </c>
      <c r="N4121">
        <v>1.39</v>
      </c>
      <c r="O4121">
        <v>67</v>
      </c>
      <c r="P4121">
        <v>20.93</v>
      </c>
      <c r="Q4121">
        <v>75</v>
      </c>
      <c r="R4121">
        <v>9.44</v>
      </c>
      <c r="S4121">
        <v>65</v>
      </c>
      <c r="T4121">
        <v>-27.32</v>
      </c>
      <c r="U4121">
        <v>61</v>
      </c>
      <c r="V4121">
        <v>1.06</v>
      </c>
      <c r="W4121">
        <v>21</v>
      </c>
      <c r="X4121" t="s">
        <v>94</v>
      </c>
      <c r="Y4121" t="s">
        <v>342</v>
      </c>
      <c r="Z4121" t="s">
        <v>96</v>
      </c>
      <c r="AA4121" t="s">
        <v>2220</v>
      </c>
      <c r="AB4121" t="s">
        <v>13124</v>
      </c>
      <c r="AC4121">
        <v>35</v>
      </c>
      <c r="AD4121">
        <v>18</v>
      </c>
      <c r="AE4121">
        <v>92</v>
      </c>
      <c r="AF4121">
        <v>486.63</v>
      </c>
      <c r="AG4121">
        <v>19.84</v>
      </c>
      <c r="AH4121">
        <v>8.5399999999999991</v>
      </c>
      <c r="AI4121">
        <v>0.01</v>
      </c>
      <c r="AJ4121">
        <v>-0.12</v>
      </c>
      <c r="AK4121">
        <v>83</v>
      </c>
      <c r="AL4121">
        <v>24</v>
      </c>
      <c r="AM4121">
        <v>15</v>
      </c>
      <c r="AN4121">
        <v>8.82</v>
      </c>
      <c r="AO4121">
        <v>-2.62</v>
      </c>
      <c r="AP4121">
        <v>53</v>
      </c>
      <c r="AQ4121">
        <v>6</v>
      </c>
      <c r="AR4121">
        <v>8.8699999999999992</v>
      </c>
      <c r="AS4121">
        <v>54</v>
      </c>
      <c r="AT4121">
        <v>4.16</v>
      </c>
      <c r="AU4121">
        <v>89</v>
      </c>
      <c r="AV4121">
        <v>-2.2000000000000002</v>
      </c>
      <c r="AW4121">
        <v>72</v>
      </c>
      <c r="AX4121">
        <v>0.34</v>
      </c>
      <c r="AY4121">
        <v>55</v>
      </c>
      <c r="AZ4121">
        <v>7.29</v>
      </c>
      <c r="BA4121">
        <v>38</v>
      </c>
      <c r="BB4121">
        <v>5.04</v>
      </c>
      <c r="BC4121">
        <v>32</v>
      </c>
      <c r="BD4121">
        <v>-0.03</v>
      </c>
      <c r="BE4121">
        <v>-0.03</v>
      </c>
      <c r="BF4121">
        <v>-0.11</v>
      </c>
      <c r="BG4121">
        <v>89</v>
      </c>
      <c r="BH4121">
        <v>0.03</v>
      </c>
      <c r="BI4121">
        <v>0.05</v>
      </c>
      <c r="BJ4121">
        <v>22</v>
      </c>
      <c r="BK4121">
        <v>14</v>
      </c>
      <c r="BL4121">
        <v>3.44</v>
      </c>
      <c r="BM4121">
        <v>-0.72</v>
      </c>
      <c r="BN4121">
        <v>2.46</v>
      </c>
      <c r="BO4121">
        <v>2.12</v>
      </c>
      <c r="BP4121">
        <v>-0.04</v>
      </c>
      <c r="BQ4121">
        <v>3.36</v>
      </c>
      <c r="BR4121">
        <v>-3.2</v>
      </c>
      <c r="BS4121">
        <v>3.32</v>
      </c>
      <c r="BT4121">
        <v>3.53</v>
      </c>
      <c r="BU4121">
        <v>2.61</v>
      </c>
      <c r="BV4121">
        <v>3.59</v>
      </c>
      <c r="BW4121">
        <v>3.35</v>
      </c>
      <c r="BX4121">
        <v>2.12</v>
      </c>
      <c r="BY4121">
        <v>1.28</v>
      </c>
      <c r="BZ4121">
        <v>0.81</v>
      </c>
      <c r="CA4121">
        <v>3.09</v>
      </c>
      <c r="CB4121">
        <v>2.68</v>
      </c>
      <c r="CC4121">
        <v>2.7</v>
      </c>
      <c r="CD4121">
        <v>-0.33</v>
      </c>
      <c r="CE4121">
        <v>1.68</v>
      </c>
      <c r="CF4121">
        <v>2.33</v>
      </c>
      <c r="CG4121">
        <v>0</v>
      </c>
      <c r="CH4121">
        <v>1.66</v>
      </c>
      <c r="CI4121">
        <v>0</v>
      </c>
      <c r="CJ4121">
        <v>18.2</v>
      </c>
      <c r="CK4121">
        <v>78</v>
      </c>
      <c r="CL4121">
        <v>-1.57</v>
      </c>
      <c r="CM4121">
        <v>73</v>
      </c>
      <c r="CN4121">
        <v>-0.73</v>
      </c>
      <c r="CO4121">
        <v>71</v>
      </c>
      <c r="CP4121">
        <v>23.1</v>
      </c>
      <c r="CQ4121">
        <v>62</v>
      </c>
      <c r="CR4121">
        <v>0</v>
      </c>
      <c r="CS4121">
        <v>0</v>
      </c>
      <c r="CT4121">
        <v>50.7</v>
      </c>
      <c r="CU4121">
        <v>61</v>
      </c>
      <c r="CV4121">
        <v>0.8</v>
      </c>
      <c r="CW4121">
        <v>22</v>
      </c>
      <c r="CX4121" t="s">
        <v>350</v>
      </c>
    </row>
    <row r="4122" spans="1:102" x14ac:dyDescent="0.3">
      <c r="A4122" t="str">
        <f>HYPERLINK("https://webapp.icbf.com/v2/app/bull-search/view/69091798","GST")</f>
        <v>GST</v>
      </c>
      <c r="B4122" t="s">
        <v>517</v>
      </c>
      <c r="C4122" t="s">
        <v>518</v>
      </c>
      <c r="D4122" s="1">
        <v>33463</v>
      </c>
      <c r="E4122" t="s">
        <v>92</v>
      </c>
      <c r="F4122">
        <v>100</v>
      </c>
      <c r="G4122" t="s">
        <v>109</v>
      </c>
      <c r="H4122">
        <v>-90.46</v>
      </c>
      <c r="I4122">
        <v>65</v>
      </c>
      <c r="J4122">
        <v>-25.45</v>
      </c>
      <c r="K4122">
        <v>82</v>
      </c>
      <c r="L4122">
        <v>-50.25</v>
      </c>
      <c r="M4122">
        <v>70</v>
      </c>
      <c r="N4122">
        <v>-6.4</v>
      </c>
      <c r="O4122">
        <v>43</v>
      </c>
      <c r="P4122">
        <v>-10.039999999999999</v>
      </c>
      <c r="Q4122">
        <v>44</v>
      </c>
      <c r="R4122">
        <v>-2.97</v>
      </c>
      <c r="S4122">
        <v>61</v>
      </c>
      <c r="T4122">
        <v>9.76</v>
      </c>
      <c r="U4122">
        <v>43</v>
      </c>
      <c r="V4122">
        <v>-5.1100000000000003</v>
      </c>
      <c r="W4122">
        <v>26</v>
      </c>
      <c r="X4122" t="s">
        <v>110</v>
      </c>
      <c r="Y4122" t="s">
        <v>95</v>
      </c>
      <c r="Z4122" t="s">
        <v>96</v>
      </c>
      <c r="AA4122" t="s">
        <v>132</v>
      </c>
      <c r="AB4122" t="s">
        <v>519</v>
      </c>
      <c r="AC4122">
        <v>0</v>
      </c>
      <c r="AD4122">
        <v>0</v>
      </c>
      <c r="AE4122">
        <v>82</v>
      </c>
      <c r="AF4122">
        <v>154.30000000000001</v>
      </c>
      <c r="AG4122">
        <v>-2.48</v>
      </c>
      <c r="AH4122">
        <v>-1.0900000000000001</v>
      </c>
      <c r="AI4122">
        <v>-0.14000000000000001</v>
      </c>
      <c r="AJ4122">
        <v>-0.1</v>
      </c>
      <c r="AK4122">
        <v>70</v>
      </c>
      <c r="AL4122">
        <v>0</v>
      </c>
      <c r="AM4122">
        <v>0</v>
      </c>
      <c r="AN4122">
        <v>2.5299999999999998</v>
      </c>
      <c r="AO4122">
        <v>-1.48</v>
      </c>
      <c r="AP4122">
        <v>1</v>
      </c>
      <c r="AQ4122">
        <v>1</v>
      </c>
      <c r="AR4122">
        <v>9.43</v>
      </c>
      <c r="AS4122">
        <v>26</v>
      </c>
      <c r="AT4122">
        <v>3.87</v>
      </c>
      <c r="AU4122">
        <v>73</v>
      </c>
      <c r="AV4122">
        <v>-0.84</v>
      </c>
      <c r="AW4122">
        <v>36</v>
      </c>
      <c r="AX4122">
        <v>-0.71</v>
      </c>
      <c r="AY4122">
        <v>34</v>
      </c>
      <c r="AZ4122">
        <v>6.73</v>
      </c>
      <c r="BA4122">
        <v>26</v>
      </c>
      <c r="BB4122">
        <v>5.39</v>
      </c>
      <c r="BC4122">
        <v>30</v>
      </c>
      <c r="BD4122">
        <v>0.02</v>
      </c>
      <c r="BE4122">
        <v>0.05</v>
      </c>
      <c r="BF4122">
        <v>-0.06</v>
      </c>
      <c r="BG4122">
        <v>86</v>
      </c>
      <c r="BH4122">
        <v>-0.1</v>
      </c>
      <c r="BI4122">
        <v>4.9000000000000004</v>
      </c>
      <c r="BJ4122">
        <v>0</v>
      </c>
      <c r="BK4122">
        <v>0</v>
      </c>
      <c r="BL4122">
        <v>0.32</v>
      </c>
      <c r="BM4122">
        <v>-0.35</v>
      </c>
      <c r="BN4122">
        <v>-0.08</v>
      </c>
      <c r="BO4122">
        <v>-0.04</v>
      </c>
      <c r="BP4122">
        <v>-2.2599999999999998</v>
      </c>
      <c r="BQ4122">
        <v>-0.91</v>
      </c>
      <c r="BR4122">
        <v>-0.31</v>
      </c>
      <c r="BS4122">
        <v>0.84</v>
      </c>
      <c r="BT4122">
        <v>0.23</v>
      </c>
      <c r="BU4122">
        <v>0</v>
      </c>
      <c r="BV4122">
        <v>0.28000000000000003</v>
      </c>
      <c r="BW4122">
        <v>-0.13</v>
      </c>
      <c r="BX4122">
        <v>-0.12</v>
      </c>
      <c r="BY4122">
        <v>0.79</v>
      </c>
      <c r="BZ4122">
        <v>2.16</v>
      </c>
      <c r="CA4122">
        <v>0.25</v>
      </c>
      <c r="CB4122">
        <v>-0.08</v>
      </c>
      <c r="CC4122">
        <v>0.63</v>
      </c>
      <c r="CD4122">
        <v>-0.11</v>
      </c>
      <c r="CE4122">
        <v>0.04</v>
      </c>
      <c r="CF4122">
        <v>-7.0000000000000007E-2</v>
      </c>
      <c r="CG4122">
        <v>0</v>
      </c>
      <c r="CH4122">
        <v>-0.08</v>
      </c>
      <c r="CI4122">
        <v>0</v>
      </c>
      <c r="CJ4122">
        <v>-3.5</v>
      </c>
      <c r="CK4122">
        <v>45</v>
      </c>
      <c r="CL4122">
        <v>-0.81</v>
      </c>
      <c r="CM4122">
        <v>42</v>
      </c>
      <c r="CN4122">
        <v>-0.32</v>
      </c>
      <c r="CO4122">
        <v>38</v>
      </c>
      <c r="CP4122">
        <v>-4</v>
      </c>
      <c r="CQ4122">
        <v>47</v>
      </c>
      <c r="CR4122">
        <v>0</v>
      </c>
      <c r="CS4122">
        <v>0</v>
      </c>
      <c r="CT4122">
        <v>0.6</v>
      </c>
      <c r="CU4122">
        <v>43</v>
      </c>
      <c r="CV4122">
        <v>0.11</v>
      </c>
      <c r="CW4122">
        <v>12</v>
      </c>
      <c r="CX4122" t="s">
        <v>520</v>
      </c>
    </row>
    <row r="4123" spans="1:102" x14ac:dyDescent="0.3">
      <c r="A4123" t="str">
        <f>HYPERLINK("https://webapp.icbf.com/v2/app/bull-search/view/345361688","NVJ")</f>
        <v>NVJ</v>
      </c>
      <c r="B4123" t="s">
        <v>5195</v>
      </c>
      <c r="C4123" t="s">
        <v>5196</v>
      </c>
      <c r="D4123" s="1">
        <v>34951</v>
      </c>
      <c r="E4123" t="s">
        <v>895</v>
      </c>
      <c r="F4123">
        <v>0</v>
      </c>
      <c r="G4123" t="s">
        <v>93</v>
      </c>
      <c r="H4123">
        <v>-90.48</v>
      </c>
      <c r="I4123">
        <v>72</v>
      </c>
      <c r="J4123">
        <v>-40.54</v>
      </c>
      <c r="K4123">
        <v>92</v>
      </c>
      <c r="L4123">
        <v>-58.38</v>
      </c>
      <c r="M4123">
        <v>51</v>
      </c>
      <c r="N4123">
        <v>-8.68</v>
      </c>
      <c r="O4123">
        <v>72</v>
      </c>
      <c r="P4123">
        <v>-13.27</v>
      </c>
      <c r="Q4123">
        <v>89</v>
      </c>
      <c r="R4123">
        <v>3.93</v>
      </c>
      <c r="S4123">
        <v>58</v>
      </c>
      <c r="T4123">
        <v>31.14</v>
      </c>
      <c r="U4123">
        <v>82</v>
      </c>
      <c r="V4123">
        <v>-4.68</v>
      </c>
      <c r="W4123">
        <v>46</v>
      </c>
      <c r="X4123" t="s">
        <v>276</v>
      </c>
      <c r="Y4123" t="s">
        <v>545</v>
      </c>
      <c r="Z4123">
        <v>0</v>
      </c>
      <c r="AA4123" t="s">
        <v>5197</v>
      </c>
      <c r="AB4123" t="s">
        <v>5198</v>
      </c>
      <c r="AC4123">
        <v>54</v>
      </c>
      <c r="AD4123">
        <v>28</v>
      </c>
      <c r="AE4123">
        <v>92</v>
      </c>
      <c r="AF4123">
        <v>-482.59</v>
      </c>
      <c r="AG4123">
        <v>-8.4</v>
      </c>
      <c r="AH4123">
        <v>-11.31</v>
      </c>
      <c r="AI4123">
        <v>0.19</v>
      </c>
      <c r="AJ4123">
        <v>0.09</v>
      </c>
      <c r="AK4123">
        <v>51</v>
      </c>
      <c r="AL4123">
        <v>56</v>
      </c>
      <c r="AM4123">
        <v>32</v>
      </c>
      <c r="AN4123">
        <v>5.19</v>
      </c>
      <c r="AO4123">
        <v>0.56000000000000005</v>
      </c>
      <c r="AP4123">
        <v>105</v>
      </c>
      <c r="AQ4123">
        <v>5</v>
      </c>
      <c r="AR4123">
        <v>5.5</v>
      </c>
      <c r="AS4123">
        <v>59</v>
      </c>
      <c r="AT4123">
        <v>2.86</v>
      </c>
      <c r="AU4123">
        <v>69</v>
      </c>
      <c r="AV4123">
        <v>1.88</v>
      </c>
      <c r="AW4123">
        <v>89</v>
      </c>
      <c r="AX4123">
        <v>0.15</v>
      </c>
      <c r="AY4123">
        <v>70</v>
      </c>
      <c r="AZ4123">
        <v>6.14</v>
      </c>
      <c r="BA4123">
        <v>39</v>
      </c>
      <c r="BB4123">
        <v>5.23</v>
      </c>
      <c r="BC4123">
        <v>40</v>
      </c>
      <c r="BD4123">
        <v>-0.02</v>
      </c>
      <c r="BE4123">
        <v>-0.03</v>
      </c>
      <c r="BF4123">
        <v>0</v>
      </c>
      <c r="BG4123">
        <v>69</v>
      </c>
      <c r="BH4123">
        <v>-0.12</v>
      </c>
      <c r="BI4123">
        <v>1.2</v>
      </c>
      <c r="BJ4123">
        <v>0</v>
      </c>
      <c r="BK4123">
        <v>0</v>
      </c>
      <c r="BL4123">
        <v>0</v>
      </c>
      <c r="BM4123">
        <v>0</v>
      </c>
      <c r="BN4123">
        <v>0</v>
      </c>
      <c r="BO4123">
        <v>0</v>
      </c>
      <c r="BP4123">
        <v>0</v>
      </c>
      <c r="BQ4123">
        <v>0</v>
      </c>
      <c r="BR4123">
        <v>0</v>
      </c>
      <c r="BS4123">
        <v>0</v>
      </c>
      <c r="BT4123">
        <v>0</v>
      </c>
      <c r="BU4123">
        <v>0</v>
      </c>
      <c r="BV4123">
        <v>0</v>
      </c>
      <c r="BW4123">
        <v>0</v>
      </c>
      <c r="BX4123">
        <v>0</v>
      </c>
      <c r="BY4123">
        <v>0</v>
      </c>
      <c r="BZ4123">
        <v>0</v>
      </c>
      <c r="CA4123">
        <v>0</v>
      </c>
      <c r="CB4123">
        <v>0</v>
      </c>
      <c r="CC4123">
        <v>0</v>
      </c>
      <c r="CD4123">
        <v>0</v>
      </c>
      <c r="CE4123">
        <v>0</v>
      </c>
      <c r="CF4123">
        <v>0</v>
      </c>
      <c r="CG4123">
        <v>0</v>
      </c>
      <c r="CH4123">
        <v>0</v>
      </c>
      <c r="CI4123">
        <v>0</v>
      </c>
      <c r="CJ4123">
        <v>-6.5</v>
      </c>
      <c r="CK4123">
        <v>91</v>
      </c>
      <c r="CL4123">
        <v>-0.47</v>
      </c>
      <c r="CM4123">
        <v>89</v>
      </c>
      <c r="CN4123">
        <v>-0.18</v>
      </c>
      <c r="CO4123">
        <v>87</v>
      </c>
      <c r="CP4123">
        <v>-10.4</v>
      </c>
      <c r="CQ4123">
        <v>84</v>
      </c>
      <c r="CR4123">
        <v>0</v>
      </c>
      <c r="CS4123">
        <v>0</v>
      </c>
      <c r="CT4123">
        <v>-28.3</v>
      </c>
      <c r="CU4123">
        <v>82</v>
      </c>
      <c r="CV4123">
        <v>-0.12</v>
      </c>
      <c r="CW4123">
        <v>25</v>
      </c>
      <c r="CX4123" t="s">
        <v>5199</v>
      </c>
    </row>
    <row r="4124" spans="1:102" x14ac:dyDescent="0.3">
      <c r="A4124" t="str">
        <f>HYPERLINK("https://webapp.icbf.com/v2/app/bull-search/view/1059830925","S1531")</f>
        <v>S1531</v>
      </c>
      <c r="B4124" t="s">
        <v>13177</v>
      </c>
      <c r="C4124" t="s">
        <v>13178</v>
      </c>
      <c r="D4124" s="1">
        <v>39657</v>
      </c>
      <c r="E4124" t="s">
        <v>197</v>
      </c>
      <c r="F4124">
        <v>0</v>
      </c>
      <c r="G4124" t="s">
        <v>435</v>
      </c>
      <c r="H4124">
        <v>-90.66</v>
      </c>
      <c r="I4124">
        <v>31</v>
      </c>
      <c r="J4124">
        <v>-26.45</v>
      </c>
      <c r="K4124">
        <v>46</v>
      </c>
      <c r="L4124">
        <v>42.17</v>
      </c>
      <c r="M4124">
        <v>10</v>
      </c>
      <c r="N4124">
        <v>-124.72</v>
      </c>
      <c r="O4124">
        <v>42</v>
      </c>
      <c r="P4124">
        <v>12.15</v>
      </c>
      <c r="Q4124">
        <v>49</v>
      </c>
      <c r="R4124">
        <v>-1.55</v>
      </c>
      <c r="S4124">
        <v>13</v>
      </c>
      <c r="T4124">
        <v>13.31</v>
      </c>
      <c r="U4124">
        <v>44</v>
      </c>
      <c r="V4124">
        <v>-5.57</v>
      </c>
      <c r="W4124">
        <v>2</v>
      </c>
      <c r="X4124" t="s">
        <v>198</v>
      </c>
      <c r="Y4124" t="s">
        <v>362</v>
      </c>
      <c r="Z4124">
        <v>0</v>
      </c>
      <c r="AA4124" t="s">
        <v>13179</v>
      </c>
      <c r="AB4124" t="s">
        <v>13180</v>
      </c>
      <c r="AC4124">
        <v>4</v>
      </c>
      <c r="AD4124">
        <v>2</v>
      </c>
      <c r="AE4124">
        <v>46</v>
      </c>
      <c r="AF4124">
        <v>-221.41</v>
      </c>
      <c r="AG4124">
        <v>-8.2200000000000006</v>
      </c>
      <c r="AH4124">
        <v>-4.9800000000000004</v>
      </c>
      <c r="AI4124">
        <v>0.01</v>
      </c>
      <c r="AJ4124">
        <v>0.05</v>
      </c>
      <c r="AK4124">
        <v>10</v>
      </c>
      <c r="AL4124">
        <v>4</v>
      </c>
      <c r="AM4124">
        <v>2</v>
      </c>
      <c r="AN4124">
        <v>-4.08</v>
      </c>
      <c r="AO4124">
        <v>-0.74</v>
      </c>
      <c r="AP4124">
        <v>7</v>
      </c>
      <c r="AQ4124">
        <v>0</v>
      </c>
      <c r="AR4124">
        <v>11.72</v>
      </c>
      <c r="AS4124">
        <v>21</v>
      </c>
      <c r="AT4124">
        <v>10.15</v>
      </c>
      <c r="AU4124">
        <v>39</v>
      </c>
      <c r="AV4124">
        <v>1.69</v>
      </c>
      <c r="AW4124">
        <v>58</v>
      </c>
      <c r="AX4124">
        <v>0.17</v>
      </c>
      <c r="AY4124">
        <v>37</v>
      </c>
      <c r="AZ4124">
        <v>7.2</v>
      </c>
      <c r="BA4124">
        <v>15</v>
      </c>
      <c r="BB4124">
        <v>3.43</v>
      </c>
      <c r="BC4124">
        <v>17</v>
      </c>
      <c r="BD4124">
        <v>0.01</v>
      </c>
      <c r="BE4124">
        <v>0.01</v>
      </c>
      <c r="BF4124">
        <v>0</v>
      </c>
      <c r="BG4124">
        <v>15</v>
      </c>
      <c r="BH4124">
        <v>-0.13</v>
      </c>
      <c r="BI4124">
        <v>2.94</v>
      </c>
      <c r="BJ4124">
        <v>0</v>
      </c>
      <c r="BK4124">
        <v>0</v>
      </c>
      <c r="BL4124">
        <v>0</v>
      </c>
      <c r="BM4124">
        <v>0</v>
      </c>
      <c r="BN4124">
        <v>0</v>
      </c>
      <c r="BO4124">
        <v>0</v>
      </c>
      <c r="BP4124">
        <v>0</v>
      </c>
      <c r="BQ4124">
        <v>0</v>
      </c>
      <c r="BR4124">
        <v>0</v>
      </c>
      <c r="BS4124">
        <v>0</v>
      </c>
      <c r="BT4124">
        <v>0</v>
      </c>
      <c r="BU4124">
        <v>0</v>
      </c>
      <c r="BV4124">
        <v>0</v>
      </c>
      <c r="BW4124">
        <v>0</v>
      </c>
      <c r="BX4124">
        <v>0</v>
      </c>
      <c r="BY4124">
        <v>0</v>
      </c>
      <c r="BZ4124">
        <v>0</v>
      </c>
      <c r="CA4124">
        <v>0</v>
      </c>
      <c r="CB4124">
        <v>0</v>
      </c>
      <c r="CC4124">
        <v>0</v>
      </c>
      <c r="CD4124">
        <v>0</v>
      </c>
      <c r="CE4124">
        <v>0</v>
      </c>
      <c r="CF4124">
        <v>0</v>
      </c>
      <c r="CG4124">
        <v>0</v>
      </c>
      <c r="CH4124">
        <v>0</v>
      </c>
      <c r="CI4124">
        <v>0</v>
      </c>
      <c r="CJ4124">
        <v>4.3</v>
      </c>
      <c r="CK4124">
        <v>51</v>
      </c>
      <c r="CL4124">
        <v>0.46</v>
      </c>
      <c r="CM4124">
        <v>47</v>
      </c>
      <c r="CN4124">
        <v>-0.12</v>
      </c>
      <c r="CO4124">
        <v>46</v>
      </c>
      <c r="CP4124">
        <v>0.4</v>
      </c>
      <c r="CQ4124">
        <v>43</v>
      </c>
      <c r="CR4124">
        <v>0</v>
      </c>
      <c r="CS4124">
        <v>0</v>
      </c>
      <c r="CT4124">
        <v>-4.2</v>
      </c>
      <c r="CU4124">
        <v>44</v>
      </c>
      <c r="CV4124">
        <v>-0.12</v>
      </c>
      <c r="CW4124">
        <v>35</v>
      </c>
      <c r="CX4124" t="s">
        <v>13181</v>
      </c>
    </row>
    <row r="4125" spans="1:102" x14ac:dyDescent="0.3">
      <c r="A4125" t="str">
        <f>HYPERLINK("https://webapp.icbf.com/v2/app/bull-search/view/77858452","DMC")</f>
        <v>DMC</v>
      </c>
      <c r="B4125" t="s">
        <v>8020</v>
      </c>
      <c r="C4125" t="s">
        <v>8021</v>
      </c>
      <c r="D4125" s="1">
        <v>33185</v>
      </c>
      <c r="E4125" t="s">
        <v>92</v>
      </c>
      <c r="F4125">
        <v>50</v>
      </c>
      <c r="G4125" t="s">
        <v>93</v>
      </c>
      <c r="H4125">
        <v>-90.79</v>
      </c>
      <c r="I4125">
        <v>68</v>
      </c>
      <c r="J4125">
        <v>-68.19</v>
      </c>
      <c r="K4125">
        <v>90</v>
      </c>
      <c r="L4125">
        <v>-3.36</v>
      </c>
      <c r="M4125">
        <v>61</v>
      </c>
      <c r="N4125">
        <v>-12.52</v>
      </c>
      <c r="O4125">
        <v>41</v>
      </c>
      <c r="P4125">
        <v>-25.16</v>
      </c>
      <c r="Q4125">
        <v>74</v>
      </c>
      <c r="R4125">
        <v>-2.23</v>
      </c>
      <c r="S4125">
        <v>64</v>
      </c>
      <c r="T4125">
        <v>25.37</v>
      </c>
      <c r="U4125">
        <v>55</v>
      </c>
      <c r="V4125">
        <v>-4.7</v>
      </c>
      <c r="W4125">
        <v>22</v>
      </c>
      <c r="X4125" t="s">
        <v>94</v>
      </c>
      <c r="Y4125" t="s">
        <v>95</v>
      </c>
      <c r="Z4125" t="s">
        <v>96</v>
      </c>
      <c r="AA4125" t="s">
        <v>8022</v>
      </c>
      <c r="AB4125" t="s">
        <v>8023</v>
      </c>
      <c r="AC4125">
        <v>64</v>
      </c>
      <c r="AD4125">
        <v>47</v>
      </c>
      <c r="AE4125">
        <v>90</v>
      </c>
      <c r="AF4125">
        <v>-420.71</v>
      </c>
      <c r="AG4125">
        <v>-8.7799999999999994</v>
      </c>
      <c r="AH4125">
        <v>-14.93</v>
      </c>
      <c r="AI4125">
        <v>0.14000000000000001</v>
      </c>
      <c r="AJ4125">
        <v>-0.01</v>
      </c>
      <c r="AK4125">
        <v>61</v>
      </c>
      <c r="AL4125">
        <v>105</v>
      </c>
      <c r="AM4125">
        <v>73</v>
      </c>
      <c r="AN4125">
        <v>-3.06</v>
      </c>
      <c r="AO4125">
        <v>-3.37</v>
      </c>
      <c r="AP4125">
        <v>2</v>
      </c>
      <c r="AQ4125">
        <v>0</v>
      </c>
      <c r="AR4125">
        <v>7.94</v>
      </c>
      <c r="AS4125">
        <v>16</v>
      </c>
      <c r="AT4125">
        <v>3.33</v>
      </c>
      <c r="AU4125">
        <v>31</v>
      </c>
      <c r="AV4125">
        <v>0.03</v>
      </c>
      <c r="AW4125">
        <v>52</v>
      </c>
      <c r="AX4125">
        <v>0.21</v>
      </c>
      <c r="AY4125">
        <v>61</v>
      </c>
      <c r="AZ4125">
        <v>7.35</v>
      </c>
      <c r="BA4125">
        <v>16</v>
      </c>
      <c r="BB4125">
        <v>6.38</v>
      </c>
      <c r="BC4125">
        <v>28</v>
      </c>
      <c r="BD4125">
        <v>0.05</v>
      </c>
      <c r="BE4125">
        <v>0.02</v>
      </c>
      <c r="BF4125">
        <v>-7.0000000000000007E-2</v>
      </c>
      <c r="BG4125">
        <v>87</v>
      </c>
      <c r="BH4125">
        <v>-0.08</v>
      </c>
      <c r="BI4125">
        <v>5.92</v>
      </c>
      <c r="BJ4125">
        <v>18</v>
      </c>
      <c r="BK4125">
        <v>15</v>
      </c>
      <c r="BL4125">
        <v>-1.98</v>
      </c>
      <c r="BM4125">
        <v>0.61</v>
      </c>
      <c r="BN4125">
        <v>-2.16</v>
      </c>
      <c r="BO4125">
        <v>-2.0499999999999998</v>
      </c>
      <c r="BP4125">
        <v>-0.76</v>
      </c>
      <c r="BQ4125">
        <v>0.53</v>
      </c>
      <c r="BR4125">
        <v>-0.39</v>
      </c>
      <c r="BS4125">
        <v>-0.51</v>
      </c>
      <c r="BT4125">
        <v>0.28000000000000003</v>
      </c>
      <c r="BU4125">
        <v>-2.69</v>
      </c>
      <c r="BV4125">
        <v>-2.82</v>
      </c>
      <c r="BW4125">
        <v>-2.2000000000000002</v>
      </c>
      <c r="BX4125">
        <v>-1.78</v>
      </c>
      <c r="BY4125">
        <v>-0.77</v>
      </c>
      <c r="BZ4125">
        <v>1.06</v>
      </c>
      <c r="CA4125">
        <v>-2.0299999999999998</v>
      </c>
      <c r="CB4125">
        <v>-2.37</v>
      </c>
      <c r="CC4125">
        <v>-0.75</v>
      </c>
      <c r="CD4125">
        <v>1.37</v>
      </c>
      <c r="CE4125">
        <v>-1.7</v>
      </c>
      <c r="CF4125">
        <v>-1.89</v>
      </c>
      <c r="CG4125">
        <v>0</v>
      </c>
      <c r="CH4125">
        <v>-1.88</v>
      </c>
      <c r="CI4125">
        <v>0</v>
      </c>
      <c r="CJ4125">
        <v>-11.6</v>
      </c>
      <c r="CK4125">
        <v>77</v>
      </c>
      <c r="CL4125">
        <v>-0.21</v>
      </c>
      <c r="CM4125">
        <v>71</v>
      </c>
      <c r="CN4125">
        <v>0.37</v>
      </c>
      <c r="CO4125">
        <v>67</v>
      </c>
      <c r="CP4125">
        <v>-17.7</v>
      </c>
      <c r="CQ4125">
        <v>72</v>
      </c>
      <c r="CR4125">
        <v>0</v>
      </c>
      <c r="CS4125">
        <v>0</v>
      </c>
      <c r="CT4125">
        <v>-20.5</v>
      </c>
      <c r="CU4125">
        <v>55</v>
      </c>
      <c r="CV4125">
        <v>-0.12</v>
      </c>
      <c r="CW4125">
        <v>23</v>
      </c>
      <c r="CX4125" t="s">
        <v>8024</v>
      </c>
    </row>
    <row r="4126" spans="1:102" x14ac:dyDescent="0.3">
      <c r="A4126" t="str">
        <f>HYPERLINK("https://webapp.icbf.com/v2/app/bull-search/view/77858458","DME")</f>
        <v>DME</v>
      </c>
      <c r="B4126" t="s">
        <v>11021</v>
      </c>
      <c r="C4126" t="s">
        <v>11022</v>
      </c>
      <c r="D4126" s="1">
        <v>34273</v>
      </c>
      <c r="E4126" t="s">
        <v>92</v>
      </c>
      <c r="F4126">
        <v>88</v>
      </c>
      <c r="G4126" t="s">
        <v>93</v>
      </c>
      <c r="H4126">
        <v>-90.95</v>
      </c>
      <c r="I4126">
        <v>86</v>
      </c>
      <c r="J4126">
        <v>-38.17</v>
      </c>
      <c r="K4126">
        <v>97</v>
      </c>
      <c r="L4126">
        <v>-44.7</v>
      </c>
      <c r="M4126">
        <v>80</v>
      </c>
      <c r="N4126">
        <v>5.21</v>
      </c>
      <c r="O4126">
        <v>75</v>
      </c>
      <c r="P4126">
        <v>-8.5399999999999991</v>
      </c>
      <c r="Q4126">
        <v>90</v>
      </c>
      <c r="R4126">
        <v>-14.73</v>
      </c>
      <c r="S4126">
        <v>79</v>
      </c>
      <c r="T4126">
        <v>9.9</v>
      </c>
      <c r="U4126">
        <v>85</v>
      </c>
      <c r="V4126">
        <v>0.08</v>
      </c>
      <c r="W4126">
        <v>66</v>
      </c>
      <c r="X4126" t="s">
        <v>102</v>
      </c>
      <c r="Y4126" t="s">
        <v>95</v>
      </c>
      <c r="Z4126" t="s">
        <v>96</v>
      </c>
      <c r="AA4126" t="s">
        <v>2550</v>
      </c>
      <c r="AB4126" t="s">
        <v>11023</v>
      </c>
      <c r="AC4126">
        <v>143</v>
      </c>
      <c r="AD4126">
        <v>99</v>
      </c>
      <c r="AE4126">
        <v>97</v>
      </c>
      <c r="AF4126">
        <v>-218.68</v>
      </c>
      <c r="AG4126">
        <v>-1.1000000000000001</v>
      </c>
      <c r="AH4126">
        <v>-9.4499999999999993</v>
      </c>
      <c r="AI4126">
        <v>0.13</v>
      </c>
      <c r="AJ4126">
        <v>-0.04</v>
      </c>
      <c r="AK4126">
        <v>80</v>
      </c>
      <c r="AL4126">
        <v>184</v>
      </c>
      <c r="AM4126">
        <v>111</v>
      </c>
      <c r="AN4126">
        <v>2.02</v>
      </c>
      <c r="AO4126">
        <v>-1.55</v>
      </c>
      <c r="AP4126">
        <v>10</v>
      </c>
      <c r="AQ4126">
        <v>0</v>
      </c>
      <c r="AR4126">
        <v>6.79</v>
      </c>
      <c r="AS4126">
        <v>58</v>
      </c>
      <c r="AT4126">
        <v>3.29</v>
      </c>
      <c r="AU4126">
        <v>79</v>
      </c>
      <c r="AV4126">
        <v>-0.88</v>
      </c>
      <c r="AW4126">
        <v>78</v>
      </c>
      <c r="AX4126">
        <v>0.09</v>
      </c>
      <c r="AY4126">
        <v>85</v>
      </c>
      <c r="AZ4126">
        <v>7.12</v>
      </c>
      <c r="BA4126">
        <v>50</v>
      </c>
      <c r="BB4126">
        <v>5.22</v>
      </c>
      <c r="BC4126">
        <v>71</v>
      </c>
      <c r="BD4126">
        <v>7.0000000000000007E-2</v>
      </c>
      <c r="BE4126">
        <v>0.08</v>
      </c>
      <c r="BF4126">
        <v>7.0000000000000007E-2</v>
      </c>
      <c r="BG4126">
        <v>92</v>
      </c>
      <c r="BH4126">
        <v>0.09</v>
      </c>
      <c r="BI4126">
        <v>10.15</v>
      </c>
      <c r="BJ4126">
        <v>21</v>
      </c>
      <c r="BK4126">
        <v>16</v>
      </c>
      <c r="BL4126">
        <v>-0.13</v>
      </c>
      <c r="BM4126">
        <v>0.7</v>
      </c>
      <c r="BN4126">
        <v>0.25</v>
      </c>
      <c r="BO4126">
        <v>-0.62</v>
      </c>
      <c r="BP4126">
        <v>-1.1100000000000001</v>
      </c>
      <c r="BQ4126">
        <v>0.01</v>
      </c>
      <c r="BR4126">
        <v>-0.04</v>
      </c>
      <c r="BS4126">
        <v>-0.43</v>
      </c>
      <c r="BT4126">
        <v>0.05</v>
      </c>
      <c r="BU4126">
        <v>0.57999999999999996</v>
      </c>
      <c r="BV4126">
        <v>0.06</v>
      </c>
      <c r="BW4126">
        <v>-0.14000000000000001</v>
      </c>
      <c r="BX4126">
        <v>0.77</v>
      </c>
      <c r="BY4126">
        <v>-2.02</v>
      </c>
      <c r="BZ4126">
        <v>-0.38</v>
      </c>
      <c r="CA4126">
        <v>-0.02</v>
      </c>
      <c r="CB4126">
        <v>-0.08</v>
      </c>
      <c r="CC4126">
        <v>-0.13</v>
      </c>
      <c r="CD4126">
        <v>0.14000000000000001</v>
      </c>
      <c r="CE4126">
        <v>-1.03</v>
      </c>
      <c r="CF4126">
        <v>-0.66</v>
      </c>
      <c r="CG4126">
        <v>0</v>
      </c>
      <c r="CH4126">
        <v>-1.59</v>
      </c>
      <c r="CI4126">
        <v>0</v>
      </c>
      <c r="CJ4126">
        <v>-4.5999999999999996</v>
      </c>
      <c r="CK4126">
        <v>91</v>
      </c>
      <c r="CL4126">
        <v>-0.54</v>
      </c>
      <c r="CM4126">
        <v>89</v>
      </c>
      <c r="CN4126">
        <v>-0.33</v>
      </c>
      <c r="CO4126">
        <v>88</v>
      </c>
      <c r="CP4126">
        <v>-3.2</v>
      </c>
      <c r="CQ4126">
        <v>93</v>
      </c>
      <c r="CR4126">
        <v>0</v>
      </c>
      <c r="CS4126">
        <v>0</v>
      </c>
      <c r="CT4126">
        <v>0.4</v>
      </c>
      <c r="CU4126">
        <v>85</v>
      </c>
      <c r="CV4126">
        <v>0.04</v>
      </c>
      <c r="CW4126">
        <v>44</v>
      </c>
      <c r="CX4126" t="s">
        <v>154</v>
      </c>
    </row>
    <row r="4127" spans="1:102" x14ac:dyDescent="0.3">
      <c r="A4127" t="str">
        <f>HYPERLINK("https://webapp.icbf.com/v2/app/bull-search/view/547761257","ADW")</f>
        <v>ADW</v>
      </c>
      <c r="B4127" t="s">
        <v>15708</v>
      </c>
      <c r="C4127" t="s">
        <v>8460</v>
      </c>
      <c r="D4127" s="1">
        <v>37682</v>
      </c>
      <c r="E4127" t="s">
        <v>92</v>
      </c>
      <c r="F4127">
        <v>100</v>
      </c>
      <c r="G4127" t="s">
        <v>93</v>
      </c>
      <c r="H4127">
        <v>-90.98</v>
      </c>
      <c r="I4127">
        <v>91</v>
      </c>
      <c r="J4127">
        <v>25.69</v>
      </c>
      <c r="K4127">
        <v>98</v>
      </c>
      <c r="L4127">
        <v>-77.92</v>
      </c>
      <c r="M4127">
        <v>90</v>
      </c>
      <c r="N4127">
        <v>-27.81</v>
      </c>
      <c r="O4127">
        <v>88</v>
      </c>
      <c r="P4127">
        <v>-9.5299999999999994</v>
      </c>
      <c r="Q4127">
        <v>93</v>
      </c>
      <c r="R4127">
        <v>-2.75</v>
      </c>
      <c r="S4127">
        <v>81</v>
      </c>
      <c r="T4127">
        <v>-0.68</v>
      </c>
      <c r="U4127">
        <v>88</v>
      </c>
      <c r="V4127">
        <v>2.02</v>
      </c>
      <c r="W4127">
        <v>65</v>
      </c>
      <c r="X4127" t="s">
        <v>251</v>
      </c>
      <c r="Y4127" t="s">
        <v>270</v>
      </c>
      <c r="Z4127" t="s">
        <v>96</v>
      </c>
      <c r="AA4127" t="s">
        <v>2597</v>
      </c>
      <c r="AB4127" t="s">
        <v>15709</v>
      </c>
      <c r="AC4127">
        <v>133</v>
      </c>
      <c r="AD4127">
        <v>74</v>
      </c>
      <c r="AE4127">
        <v>98</v>
      </c>
      <c r="AF4127">
        <v>163.79</v>
      </c>
      <c r="AG4127">
        <v>7.34</v>
      </c>
      <c r="AH4127">
        <v>4.28</v>
      </c>
      <c r="AI4127">
        <v>0.02</v>
      </c>
      <c r="AJ4127">
        <v>-0.02</v>
      </c>
      <c r="AK4127">
        <v>90</v>
      </c>
      <c r="AL4127">
        <v>109</v>
      </c>
      <c r="AM4127">
        <v>62</v>
      </c>
      <c r="AN4127">
        <v>4.5599999999999996</v>
      </c>
      <c r="AO4127">
        <v>-1.65</v>
      </c>
      <c r="AP4127">
        <v>262</v>
      </c>
      <c r="AQ4127">
        <v>0</v>
      </c>
      <c r="AR4127">
        <v>11.95</v>
      </c>
      <c r="AS4127">
        <v>83</v>
      </c>
      <c r="AT4127">
        <v>4.83</v>
      </c>
      <c r="AU4127">
        <v>92</v>
      </c>
      <c r="AV4127">
        <v>-1.0900000000000001</v>
      </c>
      <c r="AW4127">
        <v>96</v>
      </c>
      <c r="AX4127">
        <v>-0.08</v>
      </c>
      <c r="AY4127">
        <v>85</v>
      </c>
      <c r="AZ4127">
        <v>7.74</v>
      </c>
      <c r="BA4127">
        <v>66</v>
      </c>
      <c r="BB4127">
        <v>5.44</v>
      </c>
      <c r="BC4127">
        <v>63</v>
      </c>
      <c r="BD4127">
        <v>0.02</v>
      </c>
      <c r="BE4127">
        <v>0</v>
      </c>
      <c r="BF4127">
        <v>0.03</v>
      </c>
      <c r="BG4127">
        <v>95</v>
      </c>
      <c r="BH4127">
        <v>0.06</v>
      </c>
      <c r="BI4127">
        <v>0.44</v>
      </c>
      <c r="BJ4127">
        <v>83</v>
      </c>
      <c r="BK4127">
        <v>47</v>
      </c>
      <c r="BL4127">
        <v>1.18</v>
      </c>
      <c r="BM4127">
        <v>0.19</v>
      </c>
      <c r="BN4127">
        <v>1.1599999999999999</v>
      </c>
      <c r="BO4127">
        <v>1.1499999999999999</v>
      </c>
      <c r="BP4127">
        <v>-0.13</v>
      </c>
      <c r="BQ4127">
        <v>2.6</v>
      </c>
      <c r="BR4127">
        <v>2.85</v>
      </c>
      <c r="BS4127">
        <v>-0.76</v>
      </c>
      <c r="BT4127">
        <v>-1.76</v>
      </c>
      <c r="BU4127">
        <v>1.62</v>
      </c>
      <c r="BV4127">
        <v>1.73</v>
      </c>
      <c r="BW4127">
        <v>1.55</v>
      </c>
      <c r="BX4127">
        <v>0.96</v>
      </c>
      <c r="BY4127">
        <v>2.0099999999999998</v>
      </c>
      <c r="BZ4127">
        <v>-1.53</v>
      </c>
      <c r="CA4127">
        <v>1.28</v>
      </c>
      <c r="CB4127">
        <v>1.79</v>
      </c>
      <c r="CC4127">
        <v>-0.16</v>
      </c>
      <c r="CD4127">
        <v>-0.66</v>
      </c>
      <c r="CE4127">
        <v>1.31</v>
      </c>
      <c r="CF4127">
        <v>1.44</v>
      </c>
      <c r="CG4127">
        <v>0</v>
      </c>
      <c r="CH4127">
        <v>1.92</v>
      </c>
      <c r="CI4127">
        <v>0</v>
      </c>
      <c r="CJ4127">
        <v>-4.3</v>
      </c>
      <c r="CK4127">
        <v>94</v>
      </c>
      <c r="CL4127">
        <v>-1.05</v>
      </c>
      <c r="CM4127">
        <v>92</v>
      </c>
      <c r="CN4127">
        <v>-0.6</v>
      </c>
      <c r="CO4127">
        <v>91</v>
      </c>
      <c r="CP4127">
        <v>1.4</v>
      </c>
      <c r="CQ4127">
        <v>89</v>
      </c>
      <c r="CR4127">
        <v>0</v>
      </c>
      <c r="CS4127">
        <v>0</v>
      </c>
      <c r="CT4127">
        <v>14.7</v>
      </c>
      <c r="CU4127">
        <v>88</v>
      </c>
      <c r="CV4127">
        <v>0.14000000000000001</v>
      </c>
      <c r="CW4127">
        <v>44</v>
      </c>
      <c r="CX4127" t="s">
        <v>4568</v>
      </c>
    </row>
    <row r="4128" spans="1:102" x14ac:dyDescent="0.3">
      <c r="A4128" t="str">
        <f>HYPERLINK("https://webapp.icbf.com/v2/app/bull-search/view/143582167","WVR")</f>
        <v>WVR</v>
      </c>
      <c r="B4128" t="s">
        <v>8092</v>
      </c>
      <c r="C4128" t="s">
        <v>8093</v>
      </c>
      <c r="D4128" s="1">
        <v>36940</v>
      </c>
      <c r="E4128" t="s">
        <v>92</v>
      </c>
      <c r="F4128">
        <v>100</v>
      </c>
      <c r="G4128" t="s">
        <v>93</v>
      </c>
      <c r="H4128">
        <v>-90.99</v>
      </c>
      <c r="I4128">
        <v>61</v>
      </c>
      <c r="J4128">
        <v>-32.81</v>
      </c>
      <c r="K4128">
        <v>80</v>
      </c>
      <c r="L4128">
        <v>-67.39</v>
      </c>
      <c r="M4128">
        <v>45</v>
      </c>
      <c r="N4128">
        <v>13.17</v>
      </c>
      <c r="O4128">
        <v>65</v>
      </c>
      <c r="P4128">
        <v>-13.91</v>
      </c>
      <c r="Q4128">
        <v>66</v>
      </c>
      <c r="R4128">
        <v>5.03</v>
      </c>
      <c r="S4128">
        <v>51</v>
      </c>
      <c r="T4128">
        <v>4.87</v>
      </c>
      <c r="U4128">
        <v>59</v>
      </c>
      <c r="V4128">
        <v>0.05</v>
      </c>
      <c r="W4128">
        <v>37</v>
      </c>
      <c r="X4128" t="s">
        <v>251</v>
      </c>
      <c r="Y4128" t="s">
        <v>1062</v>
      </c>
      <c r="Z4128" t="s">
        <v>96</v>
      </c>
      <c r="AA4128" t="s">
        <v>4568</v>
      </c>
      <c r="AB4128" t="s">
        <v>8094</v>
      </c>
      <c r="AC4128">
        <v>15</v>
      </c>
      <c r="AD4128">
        <v>13</v>
      </c>
      <c r="AE4128">
        <v>80</v>
      </c>
      <c r="AF4128">
        <v>158.02000000000001</v>
      </c>
      <c r="AG4128">
        <v>-3.62</v>
      </c>
      <c r="AH4128">
        <v>-1.88</v>
      </c>
      <c r="AI4128">
        <v>-0.16</v>
      </c>
      <c r="AJ4128">
        <v>-0.12</v>
      </c>
      <c r="AK4128">
        <v>45</v>
      </c>
      <c r="AL4128">
        <v>15</v>
      </c>
      <c r="AM4128">
        <v>12</v>
      </c>
      <c r="AN4128">
        <v>3.24</v>
      </c>
      <c r="AO4128">
        <v>-2.14</v>
      </c>
      <c r="AP4128">
        <v>32</v>
      </c>
      <c r="AQ4128">
        <v>0</v>
      </c>
      <c r="AR4128">
        <v>5.93</v>
      </c>
      <c r="AS4128">
        <v>38</v>
      </c>
      <c r="AT4128">
        <v>3.25</v>
      </c>
      <c r="AU4128">
        <v>80</v>
      </c>
      <c r="AV4128">
        <v>-1.88</v>
      </c>
      <c r="AW4128">
        <v>75</v>
      </c>
      <c r="AX4128">
        <v>0.23</v>
      </c>
      <c r="AY4128">
        <v>54</v>
      </c>
      <c r="AZ4128">
        <v>7.05</v>
      </c>
      <c r="BA4128">
        <v>37</v>
      </c>
      <c r="BB4128">
        <v>5.65</v>
      </c>
      <c r="BC4128">
        <v>37</v>
      </c>
      <c r="BD4128">
        <v>-0.01</v>
      </c>
      <c r="BE4128">
        <v>-0.01</v>
      </c>
      <c r="BF4128">
        <v>-0.08</v>
      </c>
      <c r="BG4128">
        <v>59</v>
      </c>
      <c r="BH4128">
        <v>7.0000000000000007E-2</v>
      </c>
      <c r="BI4128">
        <v>7.95</v>
      </c>
      <c r="BJ4128">
        <v>9</v>
      </c>
      <c r="BK4128">
        <v>7</v>
      </c>
      <c r="BL4128">
        <v>1.37</v>
      </c>
      <c r="BM4128">
        <v>-0.67</v>
      </c>
      <c r="BN4128">
        <v>-0.19</v>
      </c>
      <c r="BO4128">
        <v>0.68</v>
      </c>
      <c r="BP4128">
        <v>-3.86</v>
      </c>
      <c r="BQ4128">
        <v>1.79</v>
      </c>
      <c r="BR4128">
        <v>-0.75</v>
      </c>
      <c r="BS4128">
        <v>1.24</v>
      </c>
      <c r="BT4128">
        <v>1.58</v>
      </c>
      <c r="BU4128">
        <v>2.8</v>
      </c>
      <c r="BV4128">
        <v>2.19</v>
      </c>
      <c r="BW4128">
        <v>1.78</v>
      </c>
      <c r="BX4128">
        <v>2.9</v>
      </c>
      <c r="BY4128">
        <v>1.79</v>
      </c>
      <c r="BZ4128">
        <v>0.6</v>
      </c>
      <c r="CA4128">
        <v>2.44</v>
      </c>
      <c r="CB4128">
        <v>2.3199999999999998</v>
      </c>
      <c r="CC4128">
        <v>1.37</v>
      </c>
      <c r="CD4128">
        <v>-0.93</v>
      </c>
      <c r="CE4128">
        <v>0.01</v>
      </c>
      <c r="CF4128">
        <v>-0.37</v>
      </c>
      <c r="CG4128">
        <v>0</v>
      </c>
      <c r="CH4128">
        <v>0.76</v>
      </c>
      <c r="CI4128">
        <v>0</v>
      </c>
      <c r="CJ4128">
        <v>-5.6</v>
      </c>
      <c r="CK4128">
        <v>68</v>
      </c>
      <c r="CL4128">
        <v>-1.21</v>
      </c>
      <c r="CM4128">
        <v>64</v>
      </c>
      <c r="CN4128">
        <v>-0.56000000000000005</v>
      </c>
      <c r="CO4128">
        <v>60</v>
      </c>
      <c r="CP4128">
        <v>-1.7</v>
      </c>
      <c r="CQ4128">
        <v>68</v>
      </c>
      <c r="CR4128">
        <v>0</v>
      </c>
      <c r="CS4128">
        <v>0</v>
      </c>
      <c r="CT4128">
        <v>7.2</v>
      </c>
      <c r="CU4128">
        <v>59</v>
      </c>
      <c r="CV4128">
        <v>0.19</v>
      </c>
      <c r="CW4128">
        <v>18</v>
      </c>
      <c r="CX4128" t="s">
        <v>596</v>
      </c>
    </row>
    <row r="4129" spans="1:102" x14ac:dyDescent="0.3">
      <c r="A4129" t="str">
        <f>HYPERLINK("https://webapp.icbf.com/v2/app/bull-search/view/77859235","AJB")</f>
        <v>AJB</v>
      </c>
      <c r="B4129" t="s">
        <v>8670</v>
      </c>
      <c r="C4129" t="s">
        <v>8671</v>
      </c>
      <c r="D4129" s="1">
        <v>35510</v>
      </c>
      <c r="E4129" t="s">
        <v>92</v>
      </c>
      <c r="F4129">
        <v>94</v>
      </c>
      <c r="G4129" t="s">
        <v>93</v>
      </c>
      <c r="H4129">
        <v>-91.15</v>
      </c>
      <c r="I4129">
        <v>74</v>
      </c>
      <c r="J4129">
        <v>35.56</v>
      </c>
      <c r="K4129">
        <v>92</v>
      </c>
      <c r="L4129">
        <v>-132.66</v>
      </c>
      <c r="M4129">
        <v>61</v>
      </c>
      <c r="N4129">
        <v>1.86</v>
      </c>
      <c r="O4129">
        <v>64</v>
      </c>
      <c r="P4129">
        <v>-0.93</v>
      </c>
      <c r="Q4129">
        <v>79</v>
      </c>
      <c r="R4129">
        <v>-2.97</v>
      </c>
      <c r="S4129">
        <v>64</v>
      </c>
      <c r="T4129">
        <v>7.02</v>
      </c>
      <c r="U4129">
        <v>75</v>
      </c>
      <c r="V4129">
        <v>0.97</v>
      </c>
      <c r="W4129">
        <v>48</v>
      </c>
      <c r="X4129" t="s">
        <v>558</v>
      </c>
      <c r="Y4129" t="s">
        <v>95</v>
      </c>
      <c r="Z4129" t="s">
        <v>96</v>
      </c>
      <c r="AA4129" t="s">
        <v>188</v>
      </c>
      <c r="AB4129" t="s">
        <v>8672</v>
      </c>
      <c r="AC4129">
        <v>53</v>
      </c>
      <c r="AD4129">
        <v>45</v>
      </c>
      <c r="AE4129">
        <v>92</v>
      </c>
      <c r="AF4129">
        <v>149.16</v>
      </c>
      <c r="AG4129">
        <v>11.17</v>
      </c>
      <c r="AH4129">
        <v>4.38</v>
      </c>
      <c r="AI4129">
        <v>0.09</v>
      </c>
      <c r="AJ4129">
        <v>-0.01</v>
      </c>
      <c r="AK4129">
        <v>61</v>
      </c>
      <c r="AL4129">
        <v>59</v>
      </c>
      <c r="AM4129">
        <v>36</v>
      </c>
      <c r="AN4129">
        <v>7.99</v>
      </c>
      <c r="AO4129">
        <v>-2.58</v>
      </c>
      <c r="AP4129">
        <v>10</v>
      </c>
      <c r="AQ4129">
        <v>0</v>
      </c>
      <c r="AR4129">
        <v>6.27</v>
      </c>
      <c r="AS4129">
        <v>53</v>
      </c>
      <c r="AT4129">
        <v>2.75</v>
      </c>
      <c r="AU4129">
        <v>59</v>
      </c>
      <c r="AV4129">
        <v>0.05</v>
      </c>
      <c r="AW4129">
        <v>71</v>
      </c>
      <c r="AX4129">
        <v>0.56000000000000005</v>
      </c>
      <c r="AY4129">
        <v>71</v>
      </c>
      <c r="AZ4129">
        <v>6.33</v>
      </c>
      <c r="BA4129">
        <v>49</v>
      </c>
      <c r="BB4129">
        <v>5.57</v>
      </c>
      <c r="BC4129">
        <v>54</v>
      </c>
      <c r="BD4129">
        <v>-0.01</v>
      </c>
      <c r="BE4129">
        <v>0.05</v>
      </c>
      <c r="BF4129">
        <v>-0.01</v>
      </c>
      <c r="BG4129">
        <v>76</v>
      </c>
      <c r="BH4129">
        <v>0.02</v>
      </c>
      <c r="BI4129">
        <v>-0.81</v>
      </c>
      <c r="BJ4129">
        <v>18</v>
      </c>
      <c r="BK4129">
        <v>13</v>
      </c>
      <c r="BL4129">
        <v>0.83</v>
      </c>
      <c r="BM4129">
        <v>-0.96</v>
      </c>
      <c r="BN4129">
        <v>0.09</v>
      </c>
      <c r="BO4129">
        <v>0.9</v>
      </c>
      <c r="BP4129">
        <v>1.41</v>
      </c>
      <c r="BQ4129">
        <v>0.09</v>
      </c>
      <c r="BR4129">
        <v>1.76</v>
      </c>
      <c r="BS4129">
        <v>-1.28</v>
      </c>
      <c r="BT4129">
        <v>-2.25</v>
      </c>
      <c r="BU4129">
        <v>-0.23</v>
      </c>
      <c r="BV4129">
        <v>0.32</v>
      </c>
      <c r="BW4129">
        <v>-0.48</v>
      </c>
      <c r="BX4129">
        <v>-0.46</v>
      </c>
      <c r="BY4129">
        <v>-2.21</v>
      </c>
      <c r="BZ4129">
        <v>0.91</v>
      </c>
      <c r="CA4129">
        <v>-0.97</v>
      </c>
      <c r="CB4129">
        <v>-0.71</v>
      </c>
      <c r="CC4129">
        <v>-1.02</v>
      </c>
      <c r="CD4129">
        <v>-1.26</v>
      </c>
      <c r="CE4129">
        <v>1.05</v>
      </c>
      <c r="CF4129">
        <v>0.69</v>
      </c>
      <c r="CG4129">
        <v>0</v>
      </c>
      <c r="CH4129">
        <v>-1.75</v>
      </c>
      <c r="CI4129">
        <v>0</v>
      </c>
      <c r="CJ4129">
        <v>1</v>
      </c>
      <c r="CK4129">
        <v>80</v>
      </c>
      <c r="CL4129">
        <v>-0.79</v>
      </c>
      <c r="CM4129">
        <v>77</v>
      </c>
      <c r="CN4129">
        <v>-0.49</v>
      </c>
      <c r="CO4129">
        <v>73</v>
      </c>
      <c r="CP4129">
        <v>0.7</v>
      </c>
      <c r="CQ4129">
        <v>82</v>
      </c>
      <c r="CR4129">
        <v>0</v>
      </c>
      <c r="CS4129">
        <v>0</v>
      </c>
      <c r="CT4129">
        <v>4.3</v>
      </c>
      <c r="CU4129">
        <v>75</v>
      </c>
      <c r="CV4129">
        <v>0.27</v>
      </c>
      <c r="CW4129">
        <v>22</v>
      </c>
      <c r="CX4129" t="s">
        <v>193</v>
      </c>
    </row>
    <row r="4130" spans="1:102" x14ac:dyDescent="0.3">
      <c r="A4130" t="str">
        <f>HYPERLINK("https://webapp.icbf.com/v2/app/bull-search/view/69091609","ESG")</f>
        <v>ESG</v>
      </c>
      <c r="B4130" t="s">
        <v>15555</v>
      </c>
      <c r="C4130" t="s">
        <v>15556</v>
      </c>
      <c r="D4130" s="1">
        <v>34990</v>
      </c>
      <c r="E4130" t="s">
        <v>92</v>
      </c>
      <c r="F4130">
        <v>97</v>
      </c>
      <c r="G4130" t="s">
        <v>116</v>
      </c>
      <c r="H4130">
        <v>-91.36</v>
      </c>
      <c r="I4130">
        <v>50</v>
      </c>
      <c r="J4130">
        <v>8.5</v>
      </c>
      <c r="K4130">
        <v>65</v>
      </c>
      <c r="L4130">
        <v>-80.760000000000005</v>
      </c>
      <c r="M4130">
        <v>39</v>
      </c>
      <c r="N4130">
        <v>-4.83</v>
      </c>
      <c r="O4130">
        <v>40</v>
      </c>
      <c r="P4130">
        <v>-5.36</v>
      </c>
      <c r="Q4130">
        <v>61</v>
      </c>
      <c r="R4130">
        <v>-12.02</v>
      </c>
      <c r="S4130">
        <v>43</v>
      </c>
      <c r="T4130">
        <v>6.57</v>
      </c>
      <c r="U4130">
        <v>53</v>
      </c>
      <c r="V4130">
        <v>-3.46</v>
      </c>
      <c r="W4130">
        <v>31</v>
      </c>
      <c r="X4130" t="s">
        <v>94</v>
      </c>
      <c r="Y4130" t="s">
        <v>1499</v>
      </c>
      <c r="Z4130">
        <v>0</v>
      </c>
      <c r="AA4130" t="s">
        <v>924</v>
      </c>
      <c r="AB4130" t="s">
        <v>15557</v>
      </c>
      <c r="AC4130">
        <v>10</v>
      </c>
      <c r="AD4130">
        <v>10</v>
      </c>
      <c r="AE4130">
        <v>65</v>
      </c>
      <c r="AF4130">
        <v>79.510000000000005</v>
      </c>
      <c r="AG4130">
        <v>0.46</v>
      </c>
      <c r="AH4130">
        <v>2.5</v>
      </c>
      <c r="AI4130">
        <v>-0.04</v>
      </c>
      <c r="AJ4130">
        <v>0</v>
      </c>
      <c r="AK4130">
        <v>39</v>
      </c>
      <c r="AL4130">
        <v>9</v>
      </c>
      <c r="AM4130">
        <v>6</v>
      </c>
      <c r="AN4130">
        <v>3.66</v>
      </c>
      <c r="AO4130">
        <v>-2.79</v>
      </c>
      <c r="AP4130">
        <v>4</v>
      </c>
      <c r="AQ4130">
        <v>0</v>
      </c>
      <c r="AR4130">
        <v>6.63</v>
      </c>
      <c r="AS4130">
        <v>36</v>
      </c>
      <c r="AT4130">
        <v>3.05</v>
      </c>
      <c r="AU4130">
        <v>37</v>
      </c>
      <c r="AV4130">
        <v>1.05</v>
      </c>
      <c r="AW4130">
        <v>45</v>
      </c>
      <c r="AX4130">
        <v>-0.17</v>
      </c>
      <c r="AY4130">
        <v>46</v>
      </c>
      <c r="AZ4130">
        <v>6.16</v>
      </c>
      <c r="BA4130">
        <v>30</v>
      </c>
      <c r="BB4130">
        <v>5.1100000000000003</v>
      </c>
      <c r="BC4130">
        <v>32</v>
      </c>
      <c r="BD4130">
        <v>0.05</v>
      </c>
      <c r="BE4130">
        <v>7.0000000000000007E-2</v>
      </c>
      <c r="BF4130">
        <v>0.06</v>
      </c>
      <c r="BG4130">
        <v>49</v>
      </c>
      <c r="BH4130">
        <v>0</v>
      </c>
      <c r="BI4130">
        <v>11.17</v>
      </c>
      <c r="BJ4130">
        <v>0</v>
      </c>
      <c r="BK4130">
        <v>0</v>
      </c>
      <c r="BL4130">
        <v>0.39</v>
      </c>
      <c r="BM4130">
        <v>-0.67</v>
      </c>
      <c r="BN4130">
        <v>0.11</v>
      </c>
      <c r="BO4130">
        <v>0.56000000000000005</v>
      </c>
      <c r="BP4130">
        <v>0.79</v>
      </c>
      <c r="BQ4130">
        <v>-1.1200000000000001</v>
      </c>
      <c r="BR4130">
        <v>0.52</v>
      </c>
      <c r="BS4130">
        <v>-1.1200000000000001</v>
      </c>
      <c r="BT4130">
        <v>-0.6</v>
      </c>
      <c r="BU4130">
        <v>0.36</v>
      </c>
      <c r="BV4130">
        <v>0.18</v>
      </c>
      <c r="BW4130">
        <v>0.01</v>
      </c>
      <c r="BX4130">
        <v>0.06</v>
      </c>
      <c r="BY4130">
        <v>-0.4</v>
      </c>
      <c r="BZ4130">
        <v>1.25</v>
      </c>
      <c r="CA4130">
        <v>-0.02</v>
      </c>
      <c r="CB4130">
        <v>0.38</v>
      </c>
      <c r="CC4130">
        <v>-0.77</v>
      </c>
      <c r="CD4130">
        <v>-0.63</v>
      </c>
      <c r="CE4130">
        <v>0.77</v>
      </c>
      <c r="CF4130">
        <v>0.56999999999999995</v>
      </c>
      <c r="CG4130">
        <v>0</v>
      </c>
      <c r="CH4130">
        <v>-0.41</v>
      </c>
      <c r="CI4130">
        <v>0</v>
      </c>
      <c r="CJ4130">
        <v>-0.6</v>
      </c>
      <c r="CK4130">
        <v>63</v>
      </c>
      <c r="CL4130">
        <v>-0.59</v>
      </c>
      <c r="CM4130">
        <v>59</v>
      </c>
      <c r="CN4130">
        <v>-0.16</v>
      </c>
      <c r="CO4130">
        <v>55</v>
      </c>
      <c r="CP4130">
        <v>-2.1</v>
      </c>
      <c r="CQ4130">
        <v>57</v>
      </c>
      <c r="CR4130">
        <v>0</v>
      </c>
      <c r="CS4130">
        <v>0</v>
      </c>
      <c r="CT4130">
        <v>4.9000000000000004</v>
      </c>
      <c r="CU4130">
        <v>53</v>
      </c>
      <c r="CV4130">
        <v>0.12</v>
      </c>
      <c r="CW4130">
        <v>17</v>
      </c>
      <c r="CX4130" t="s">
        <v>193</v>
      </c>
    </row>
    <row r="4131" spans="1:102" x14ac:dyDescent="0.3">
      <c r="A4131" t="str">
        <f>HYPERLINK("https://webapp.icbf.com/v2/app/bull-search/view/77856766","IPA")</f>
        <v>IPA</v>
      </c>
      <c r="B4131" t="s">
        <v>3164</v>
      </c>
      <c r="C4131" t="s">
        <v>3165</v>
      </c>
      <c r="D4131" s="1">
        <v>34141</v>
      </c>
      <c r="E4131" t="s">
        <v>92</v>
      </c>
      <c r="F4131">
        <v>100</v>
      </c>
      <c r="G4131" t="s">
        <v>93</v>
      </c>
      <c r="H4131">
        <v>-91.55</v>
      </c>
      <c r="I4131">
        <v>70</v>
      </c>
      <c r="J4131">
        <v>-13.26</v>
      </c>
      <c r="K4131">
        <v>91</v>
      </c>
      <c r="L4131">
        <v>-70.69</v>
      </c>
      <c r="M4131">
        <v>60</v>
      </c>
      <c r="N4131">
        <v>-5.04</v>
      </c>
      <c r="O4131">
        <v>51</v>
      </c>
      <c r="P4131">
        <v>-7.85</v>
      </c>
      <c r="Q4131">
        <v>72</v>
      </c>
      <c r="R4131">
        <v>-11.58</v>
      </c>
      <c r="S4131">
        <v>64</v>
      </c>
      <c r="T4131">
        <v>16.34</v>
      </c>
      <c r="U4131">
        <v>65</v>
      </c>
      <c r="V4131">
        <v>0.53</v>
      </c>
      <c r="W4131">
        <v>28</v>
      </c>
      <c r="X4131" t="s">
        <v>94</v>
      </c>
      <c r="Y4131" t="s">
        <v>95</v>
      </c>
      <c r="Z4131" t="s">
        <v>96</v>
      </c>
      <c r="AA4131" t="s">
        <v>798</v>
      </c>
      <c r="AB4131" t="s">
        <v>3166</v>
      </c>
      <c r="AC4131">
        <v>58</v>
      </c>
      <c r="AD4131">
        <v>45</v>
      </c>
      <c r="AE4131">
        <v>91</v>
      </c>
      <c r="AF4131">
        <v>78.599999999999994</v>
      </c>
      <c r="AG4131">
        <v>1.21</v>
      </c>
      <c r="AH4131">
        <v>-1.48</v>
      </c>
      <c r="AI4131">
        <v>-0.03</v>
      </c>
      <c r="AJ4131">
        <v>-7.0000000000000007E-2</v>
      </c>
      <c r="AK4131">
        <v>60</v>
      </c>
      <c r="AL4131">
        <v>73</v>
      </c>
      <c r="AM4131">
        <v>57</v>
      </c>
      <c r="AN4131">
        <v>4.4400000000000004</v>
      </c>
      <c r="AO4131">
        <v>-1.19</v>
      </c>
      <c r="AP4131">
        <v>4</v>
      </c>
      <c r="AQ4131">
        <v>0</v>
      </c>
      <c r="AR4131">
        <v>8.5299999999999994</v>
      </c>
      <c r="AS4131">
        <v>25</v>
      </c>
      <c r="AT4131">
        <v>3.49</v>
      </c>
      <c r="AU4131">
        <v>50</v>
      </c>
      <c r="AV4131">
        <v>0.19</v>
      </c>
      <c r="AW4131">
        <v>57</v>
      </c>
      <c r="AX4131">
        <v>0.56000000000000005</v>
      </c>
      <c r="AY4131">
        <v>66</v>
      </c>
      <c r="AZ4131">
        <v>5.8</v>
      </c>
      <c r="BA4131">
        <v>27</v>
      </c>
      <c r="BB4131">
        <v>4.38</v>
      </c>
      <c r="BC4131">
        <v>45</v>
      </c>
      <c r="BD4131">
        <v>0.02</v>
      </c>
      <c r="BE4131">
        <v>7.0000000000000007E-2</v>
      </c>
      <c r="BF4131">
        <v>0.1</v>
      </c>
      <c r="BG4131">
        <v>82</v>
      </c>
      <c r="BH4131">
        <v>0</v>
      </c>
      <c r="BI4131">
        <v>-1.71</v>
      </c>
      <c r="BJ4131">
        <v>15</v>
      </c>
      <c r="BK4131">
        <v>15</v>
      </c>
      <c r="BL4131">
        <v>-0.35</v>
      </c>
      <c r="BM4131">
        <v>-1.43</v>
      </c>
      <c r="BN4131">
        <v>-1.03</v>
      </c>
      <c r="BO4131">
        <v>0.25</v>
      </c>
      <c r="BP4131">
        <v>0.14000000000000001</v>
      </c>
      <c r="BQ4131">
        <v>-1.57</v>
      </c>
      <c r="BR4131">
        <v>-1.18</v>
      </c>
      <c r="BS4131">
        <v>1.59</v>
      </c>
      <c r="BT4131">
        <v>1.56</v>
      </c>
      <c r="BU4131">
        <v>-0.39</v>
      </c>
      <c r="BV4131">
        <v>0.39</v>
      </c>
      <c r="BW4131">
        <v>-0.16</v>
      </c>
      <c r="BX4131">
        <v>-0.05</v>
      </c>
      <c r="BY4131">
        <v>-0.38</v>
      </c>
      <c r="BZ4131">
        <v>1.28</v>
      </c>
      <c r="CA4131">
        <v>0.22</v>
      </c>
      <c r="CB4131">
        <v>-0.42</v>
      </c>
      <c r="CC4131">
        <v>1.58</v>
      </c>
      <c r="CD4131">
        <v>-0.99</v>
      </c>
      <c r="CE4131">
        <v>0.25</v>
      </c>
      <c r="CF4131">
        <v>-1.31</v>
      </c>
      <c r="CG4131">
        <v>0</v>
      </c>
      <c r="CH4131">
        <v>-1</v>
      </c>
      <c r="CI4131">
        <v>0</v>
      </c>
      <c r="CJ4131">
        <v>-1.9</v>
      </c>
      <c r="CK4131">
        <v>74</v>
      </c>
      <c r="CL4131">
        <v>-0.46</v>
      </c>
      <c r="CM4131">
        <v>70</v>
      </c>
      <c r="CN4131">
        <v>-7.0000000000000007E-2</v>
      </c>
      <c r="CO4131">
        <v>66</v>
      </c>
      <c r="CP4131">
        <v>-8.6999999999999993</v>
      </c>
      <c r="CQ4131">
        <v>78</v>
      </c>
      <c r="CR4131">
        <v>0</v>
      </c>
      <c r="CS4131">
        <v>0</v>
      </c>
      <c r="CT4131">
        <v>-8.3000000000000007</v>
      </c>
      <c r="CU4131">
        <v>65</v>
      </c>
      <c r="CV4131">
        <v>0.1</v>
      </c>
      <c r="CW4131">
        <v>20</v>
      </c>
      <c r="CX4131" t="s">
        <v>132</v>
      </c>
    </row>
    <row r="4132" spans="1:102" x14ac:dyDescent="0.3">
      <c r="A4132" t="str">
        <f>HYPERLINK("https://webapp.icbf.com/v2/app/bull-search/view/77860237","CEI")</f>
        <v>CEI</v>
      </c>
      <c r="B4132" t="s">
        <v>4895</v>
      </c>
      <c r="C4132" t="s">
        <v>4896</v>
      </c>
      <c r="D4132" s="1">
        <v>34977</v>
      </c>
      <c r="E4132" t="s">
        <v>92</v>
      </c>
      <c r="F4132">
        <v>100</v>
      </c>
      <c r="G4132" t="s">
        <v>116</v>
      </c>
      <c r="H4132">
        <v>-91.58</v>
      </c>
      <c r="I4132">
        <v>49</v>
      </c>
      <c r="J4132">
        <v>12.39</v>
      </c>
      <c r="K4132">
        <v>64</v>
      </c>
      <c r="L4132">
        <v>-113.81</v>
      </c>
      <c r="M4132">
        <v>39</v>
      </c>
      <c r="N4132">
        <v>13.73</v>
      </c>
      <c r="O4132">
        <v>41</v>
      </c>
      <c r="P4132">
        <v>-6.55</v>
      </c>
      <c r="Q4132">
        <v>50</v>
      </c>
      <c r="R4132">
        <v>-14.58</v>
      </c>
      <c r="S4132">
        <v>45</v>
      </c>
      <c r="T4132">
        <v>20.41</v>
      </c>
      <c r="U4132">
        <v>44</v>
      </c>
      <c r="V4132">
        <v>-3.17</v>
      </c>
      <c r="W4132">
        <v>29</v>
      </c>
      <c r="X4132" t="s">
        <v>94</v>
      </c>
      <c r="Y4132" t="s">
        <v>1499</v>
      </c>
      <c r="Z4132" t="s">
        <v>96</v>
      </c>
      <c r="AA4132" t="s">
        <v>2855</v>
      </c>
      <c r="AB4132" t="s">
        <v>3530</v>
      </c>
      <c r="AC4132">
        <v>7</v>
      </c>
      <c r="AD4132">
        <v>5</v>
      </c>
      <c r="AE4132">
        <v>64</v>
      </c>
      <c r="AF4132">
        <v>64.61</v>
      </c>
      <c r="AG4132">
        <v>2.9</v>
      </c>
      <c r="AH4132">
        <v>2.0699999999999998</v>
      </c>
      <c r="AI4132">
        <v>0.01</v>
      </c>
      <c r="AJ4132">
        <v>0</v>
      </c>
      <c r="AK4132">
        <v>39</v>
      </c>
      <c r="AL4132">
        <v>5</v>
      </c>
      <c r="AM4132">
        <v>3</v>
      </c>
      <c r="AN4132">
        <v>6.67</v>
      </c>
      <c r="AO4132">
        <v>-2.4</v>
      </c>
      <c r="AP4132">
        <v>3</v>
      </c>
      <c r="AQ4132">
        <v>0</v>
      </c>
      <c r="AR4132">
        <v>5.69</v>
      </c>
      <c r="AS4132">
        <v>32</v>
      </c>
      <c r="AT4132">
        <v>2.4900000000000002</v>
      </c>
      <c r="AU4132">
        <v>41</v>
      </c>
      <c r="AV4132">
        <v>-0.71</v>
      </c>
      <c r="AW4132">
        <v>43</v>
      </c>
      <c r="AX4132">
        <v>-0.14000000000000001</v>
      </c>
      <c r="AY4132">
        <v>44</v>
      </c>
      <c r="AZ4132">
        <v>7.22</v>
      </c>
      <c r="BA4132">
        <v>31</v>
      </c>
      <c r="BB4132">
        <v>5.14</v>
      </c>
      <c r="BC4132">
        <v>37</v>
      </c>
      <c r="BD4132">
        <v>0.02</v>
      </c>
      <c r="BE4132">
        <v>0.08</v>
      </c>
      <c r="BF4132">
        <v>0.15</v>
      </c>
      <c r="BG4132">
        <v>54</v>
      </c>
      <c r="BH4132">
        <v>-0.08</v>
      </c>
      <c r="BI4132">
        <v>0.98</v>
      </c>
      <c r="BJ4132">
        <v>0</v>
      </c>
      <c r="BK4132">
        <v>0</v>
      </c>
      <c r="BL4132">
        <v>0.61</v>
      </c>
      <c r="BM4132">
        <v>-0.18</v>
      </c>
      <c r="BN4132">
        <v>1.49</v>
      </c>
      <c r="BO4132">
        <v>0.93</v>
      </c>
      <c r="BP4132">
        <v>-1.6</v>
      </c>
      <c r="BQ4132">
        <v>-0.46</v>
      </c>
      <c r="BR4132">
        <v>0.08</v>
      </c>
      <c r="BS4132">
        <v>-0.88</v>
      </c>
      <c r="BT4132">
        <v>-0.76</v>
      </c>
      <c r="BU4132">
        <v>-0.34</v>
      </c>
      <c r="BV4132">
        <v>0.57999999999999996</v>
      </c>
      <c r="BW4132">
        <v>0.49</v>
      </c>
      <c r="BX4132">
        <v>-0.66</v>
      </c>
      <c r="BY4132">
        <v>0.17</v>
      </c>
      <c r="BZ4132">
        <v>0.79</v>
      </c>
      <c r="CA4132">
        <v>-0.15</v>
      </c>
      <c r="CB4132">
        <v>0.04</v>
      </c>
      <c r="CC4132">
        <v>-0.31</v>
      </c>
      <c r="CD4132">
        <v>-0.65</v>
      </c>
      <c r="CE4132">
        <v>0.76</v>
      </c>
      <c r="CF4132">
        <v>0.56999999999999995</v>
      </c>
      <c r="CG4132">
        <v>0</v>
      </c>
      <c r="CH4132">
        <v>-0.18</v>
      </c>
      <c r="CI4132">
        <v>0</v>
      </c>
      <c r="CJ4132">
        <v>-2.7</v>
      </c>
      <c r="CK4132">
        <v>51</v>
      </c>
      <c r="CL4132">
        <v>-0.55000000000000004</v>
      </c>
      <c r="CM4132">
        <v>49</v>
      </c>
      <c r="CN4132">
        <v>-0.37</v>
      </c>
      <c r="CO4132">
        <v>47</v>
      </c>
      <c r="CP4132">
        <v>-9.9</v>
      </c>
      <c r="CQ4132">
        <v>50</v>
      </c>
      <c r="CR4132">
        <v>0</v>
      </c>
      <c r="CS4132">
        <v>0</v>
      </c>
      <c r="CT4132">
        <v>-13.8</v>
      </c>
      <c r="CU4132">
        <v>44</v>
      </c>
      <c r="CV4132">
        <v>0.15</v>
      </c>
      <c r="CW4132">
        <v>14</v>
      </c>
      <c r="CX4132" t="s">
        <v>161</v>
      </c>
    </row>
    <row r="4133" spans="1:102" x14ac:dyDescent="0.3">
      <c r="A4133" t="str">
        <f>HYPERLINK("https://webapp.icbf.com/v2/app/bull-search/view/77853505","STM")</f>
        <v>STM</v>
      </c>
      <c r="B4133" t="s">
        <v>7394</v>
      </c>
      <c r="C4133" t="s">
        <v>7395</v>
      </c>
      <c r="D4133" s="1">
        <v>34809</v>
      </c>
      <c r="E4133" t="s">
        <v>92</v>
      </c>
      <c r="F4133">
        <v>100</v>
      </c>
      <c r="G4133" t="s">
        <v>93</v>
      </c>
      <c r="H4133">
        <v>-91.59</v>
      </c>
      <c r="I4133">
        <v>72</v>
      </c>
      <c r="J4133">
        <v>-35.31</v>
      </c>
      <c r="K4133">
        <v>94</v>
      </c>
      <c r="L4133">
        <v>-72.08</v>
      </c>
      <c r="M4133">
        <v>60</v>
      </c>
      <c r="N4133">
        <v>13.39</v>
      </c>
      <c r="O4133">
        <v>61</v>
      </c>
      <c r="P4133">
        <v>0.9</v>
      </c>
      <c r="Q4133">
        <v>71</v>
      </c>
      <c r="R4133">
        <v>-8.58</v>
      </c>
      <c r="S4133">
        <v>65</v>
      </c>
      <c r="T4133">
        <v>9.61</v>
      </c>
      <c r="U4133">
        <v>62</v>
      </c>
      <c r="V4133">
        <v>0.48</v>
      </c>
      <c r="W4133">
        <v>35</v>
      </c>
      <c r="X4133" t="s">
        <v>94</v>
      </c>
      <c r="Y4133" t="s">
        <v>95</v>
      </c>
      <c r="Z4133" t="s">
        <v>96</v>
      </c>
      <c r="AA4133" t="s">
        <v>207</v>
      </c>
      <c r="AB4133" t="s">
        <v>7396</v>
      </c>
      <c r="AC4133">
        <v>65</v>
      </c>
      <c r="AD4133">
        <v>8</v>
      </c>
      <c r="AE4133">
        <v>94</v>
      </c>
      <c r="AF4133">
        <v>-25.93</v>
      </c>
      <c r="AG4133">
        <v>-5.46</v>
      </c>
      <c r="AH4133">
        <v>-4.47</v>
      </c>
      <c r="AI4133">
        <v>-7.0000000000000007E-2</v>
      </c>
      <c r="AJ4133">
        <v>-0.06</v>
      </c>
      <c r="AK4133">
        <v>60</v>
      </c>
      <c r="AL4133">
        <v>64</v>
      </c>
      <c r="AM4133">
        <v>9</v>
      </c>
      <c r="AN4133">
        <v>3.04</v>
      </c>
      <c r="AO4133">
        <v>-2.72</v>
      </c>
      <c r="AP4133">
        <v>23</v>
      </c>
      <c r="AQ4133">
        <v>0</v>
      </c>
      <c r="AR4133">
        <v>8.52</v>
      </c>
      <c r="AS4133">
        <v>34</v>
      </c>
      <c r="AT4133">
        <v>3.78</v>
      </c>
      <c r="AU4133">
        <v>57</v>
      </c>
      <c r="AV4133">
        <v>-2.8</v>
      </c>
      <c r="AW4133">
        <v>75</v>
      </c>
      <c r="AX4133">
        <v>0.39</v>
      </c>
      <c r="AY4133">
        <v>67</v>
      </c>
      <c r="AZ4133">
        <v>6.68</v>
      </c>
      <c r="BA4133">
        <v>36</v>
      </c>
      <c r="BB4133">
        <v>4.75</v>
      </c>
      <c r="BC4133">
        <v>44</v>
      </c>
      <c r="BD4133">
        <v>-0.01</v>
      </c>
      <c r="BE4133">
        <v>0.06</v>
      </c>
      <c r="BF4133">
        <v>0.1</v>
      </c>
      <c r="BG4133">
        <v>79</v>
      </c>
      <c r="BH4133">
        <v>0.11</v>
      </c>
      <c r="BI4133">
        <v>11.17</v>
      </c>
      <c r="BJ4133">
        <v>0</v>
      </c>
      <c r="BK4133">
        <v>0</v>
      </c>
      <c r="BL4133">
        <v>0.56999999999999995</v>
      </c>
      <c r="BM4133">
        <v>0.65</v>
      </c>
      <c r="BN4133">
        <v>0.56999999999999995</v>
      </c>
      <c r="BO4133">
        <v>0.23</v>
      </c>
      <c r="BP4133">
        <v>1.07</v>
      </c>
      <c r="BQ4133">
        <v>0.19</v>
      </c>
      <c r="BR4133">
        <v>0.11</v>
      </c>
      <c r="BS4133">
        <v>-1.55</v>
      </c>
      <c r="BT4133">
        <v>0.15</v>
      </c>
      <c r="BU4133">
        <v>-0.78</v>
      </c>
      <c r="BV4133">
        <v>-0.36</v>
      </c>
      <c r="BW4133">
        <v>-0.24</v>
      </c>
      <c r="BX4133">
        <v>-0.43</v>
      </c>
      <c r="BY4133">
        <v>0.48</v>
      </c>
      <c r="BZ4133">
        <v>-0.59</v>
      </c>
      <c r="CA4133">
        <v>-0.6</v>
      </c>
      <c r="CB4133">
        <v>-0.11</v>
      </c>
      <c r="CC4133">
        <v>-1.28</v>
      </c>
      <c r="CD4133">
        <v>0.18</v>
      </c>
      <c r="CE4133">
        <v>0.34</v>
      </c>
      <c r="CF4133">
        <v>0.59</v>
      </c>
      <c r="CG4133">
        <v>0</v>
      </c>
      <c r="CH4133">
        <v>-0.27</v>
      </c>
      <c r="CI4133">
        <v>0</v>
      </c>
      <c r="CJ4133">
        <v>2.9</v>
      </c>
      <c r="CK4133">
        <v>72</v>
      </c>
      <c r="CL4133">
        <v>-0.66</v>
      </c>
      <c r="CM4133">
        <v>69</v>
      </c>
      <c r="CN4133">
        <v>-0.28999999999999998</v>
      </c>
      <c r="CO4133">
        <v>63</v>
      </c>
      <c r="CP4133">
        <v>2.1</v>
      </c>
      <c r="CQ4133">
        <v>84</v>
      </c>
      <c r="CR4133">
        <v>0</v>
      </c>
      <c r="CS4133">
        <v>0</v>
      </c>
      <c r="CT4133">
        <v>0.8</v>
      </c>
      <c r="CU4133">
        <v>62</v>
      </c>
      <c r="CV4133">
        <v>0.19</v>
      </c>
      <c r="CW4133">
        <v>20</v>
      </c>
      <c r="CX4133" t="s">
        <v>485</v>
      </c>
    </row>
    <row r="4134" spans="1:102" x14ac:dyDescent="0.3">
      <c r="A4134" t="str">
        <f>HYPERLINK("https://webapp.icbf.com/v2/app/bull-search/view/135704190","MRJ")</f>
        <v>MRJ</v>
      </c>
      <c r="B4134" t="s">
        <v>11582</v>
      </c>
      <c r="C4134" t="s">
        <v>11583</v>
      </c>
      <c r="D4134" s="1">
        <v>37558</v>
      </c>
      <c r="E4134" t="s">
        <v>92</v>
      </c>
      <c r="F4134">
        <v>100</v>
      </c>
      <c r="G4134" t="s">
        <v>93</v>
      </c>
      <c r="H4134">
        <v>-91.77</v>
      </c>
      <c r="I4134">
        <v>79</v>
      </c>
      <c r="J4134">
        <v>44.46</v>
      </c>
      <c r="K4134">
        <v>95</v>
      </c>
      <c r="L4134">
        <v>-80.489999999999995</v>
      </c>
      <c r="M4134">
        <v>65</v>
      </c>
      <c r="N4134">
        <v>-65.36</v>
      </c>
      <c r="O4134">
        <v>79</v>
      </c>
      <c r="P4134">
        <v>-7.92</v>
      </c>
      <c r="Q4134">
        <v>90</v>
      </c>
      <c r="R4134">
        <v>3.09</v>
      </c>
      <c r="S4134">
        <v>70</v>
      </c>
      <c r="T4134">
        <v>12.86</v>
      </c>
      <c r="U4134">
        <v>80</v>
      </c>
      <c r="V4134">
        <v>1.59</v>
      </c>
      <c r="W4134">
        <v>55</v>
      </c>
      <c r="X4134" t="s">
        <v>94</v>
      </c>
      <c r="Y4134" t="s">
        <v>95</v>
      </c>
      <c r="Z4134" t="s">
        <v>96</v>
      </c>
      <c r="AA4134" t="s">
        <v>285</v>
      </c>
      <c r="AB4134" t="s">
        <v>11584</v>
      </c>
      <c r="AC4134">
        <v>67</v>
      </c>
      <c r="AD4134">
        <v>53</v>
      </c>
      <c r="AE4134">
        <v>95</v>
      </c>
      <c r="AF4134">
        <v>373.37</v>
      </c>
      <c r="AG4134">
        <v>2.93</v>
      </c>
      <c r="AH4134">
        <v>12.24</v>
      </c>
      <c r="AI4134">
        <v>-0.18</v>
      </c>
      <c r="AJ4134">
        <v>-0.01</v>
      </c>
      <c r="AK4134">
        <v>65</v>
      </c>
      <c r="AL4134">
        <v>76</v>
      </c>
      <c r="AM4134">
        <v>61</v>
      </c>
      <c r="AN4134">
        <v>4.3099999999999996</v>
      </c>
      <c r="AO4134">
        <v>-2.11</v>
      </c>
      <c r="AP4134">
        <v>110</v>
      </c>
      <c r="AQ4134">
        <v>1</v>
      </c>
      <c r="AR4134">
        <v>14.66</v>
      </c>
      <c r="AS4134">
        <v>61</v>
      </c>
      <c r="AT4134">
        <v>6.65</v>
      </c>
      <c r="AU4134">
        <v>76</v>
      </c>
      <c r="AV4134">
        <v>-0.49</v>
      </c>
      <c r="AW4134">
        <v>93</v>
      </c>
      <c r="AX4134">
        <v>1.43</v>
      </c>
      <c r="AY4134">
        <v>75</v>
      </c>
      <c r="AZ4134">
        <v>5.23</v>
      </c>
      <c r="BA4134">
        <v>54</v>
      </c>
      <c r="BB4134">
        <v>4.37</v>
      </c>
      <c r="BC4134">
        <v>57</v>
      </c>
      <c r="BD4134">
        <v>0</v>
      </c>
      <c r="BE4134">
        <v>0.01</v>
      </c>
      <c r="BF4134">
        <v>-0.09</v>
      </c>
      <c r="BG4134">
        <v>80</v>
      </c>
      <c r="BH4134">
        <v>7.0000000000000007E-2</v>
      </c>
      <c r="BI4134">
        <v>2.97</v>
      </c>
      <c r="BJ4134">
        <v>26</v>
      </c>
      <c r="BK4134">
        <v>22</v>
      </c>
      <c r="BL4134">
        <v>1.1499999999999999</v>
      </c>
      <c r="BM4134">
        <v>0.9</v>
      </c>
      <c r="BN4134">
        <v>1.1000000000000001</v>
      </c>
      <c r="BO4134">
        <v>0.63</v>
      </c>
      <c r="BP4134">
        <v>1.53</v>
      </c>
      <c r="BQ4134">
        <v>0.71</v>
      </c>
      <c r="BR4134">
        <v>0.14000000000000001</v>
      </c>
      <c r="BS4134">
        <v>-1.48</v>
      </c>
      <c r="BT4134">
        <v>-0.32</v>
      </c>
      <c r="BU4134">
        <v>-0.67</v>
      </c>
      <c r="BV4134">
        <v>-0.09</v>
      </c>
      <c r="BW4134">
        <v>0.23</v>
      </c>
      <c r="BX4134">
        <v>-1.07</v>
      </c>
      <c r="BY4134">
        <v>1.1499999999999999</v>
      </c>
      <c r="BZ4134">
        <v>-1.85</v>
      </c>
      <c r="CA4134">
        <v>0.3</v>
      </c>
      <c r="CB4134">
        <v>0.49</v>
      </c>
      <c r="CC4134">
        <v>-0.11</v>
      </c>
      <c r="CD4134">
        <v>0</v>
      </c>
      <c r="CE4134">
        <v>0.7</v>
      </c>
      <c r="CF4134">
        <v>1.43</v>
      </c>
      <c r="CG4134">
        <v>0</v>
      </c>
      <c r="CH4134">
        <v>1.44</v>
      </c>
      <c r="CI4134">
        <v>0</v>
      </c>
      <c r="CJ4134">
        <v>-0.7</v>
      </c>
      <c r="CK4134">
        <v>91</v>
      </c>
      <c r="CL4134">
        <v>-0.88</v>
      </c>
      <c r="CM4134">
        <v>89</v>
      </c>
      <c r="CN4134">
        <v>-0.2</v>
      </c>
      <c r="CO4134">
        <v>87</v>
      </c>
      <c r="CP4134">
        <v>-1.4</v>
      </c>
      <c r="CQ4134">
        <v>87</v>
      </c>
      <c r="CR4134">
        <v>0</v>
      </c>
      <c r="CS4134">
        <v>0</v>
      </c>
      <c r="CT4134">
        <v>-3.6</v>
      </c>
      <c r="CU4134">
        <v>80</v>
      </c>
      <c r="CV4134">
        <v>0.26</v>
      </c>
      <c r="CW4134">
        <v>26</v>
      </c>
      <c r="CX4134" t="s">
        <v>218</v>
      </c>
    </row>
    <row r="4135" spans="1:102" x14ac:dyDescent="0.3">
      <c r="A4135" t="str">
        <f>HYPERLINK("https://webapp.icbf.com/v2/app/bull-search/view/910793999","S1229")</f>
        <v>S1229</v>
      </c>
      <c r="B4135" t="s">
        <v>6538</v>
      </c>
      <c r="C4135" t="s">
        <v>6539</v>
      </c>
      <c r="D4135" s="1">
        <v>40051</v>
      </c>
      <c r="E4135" t="s">
        <v>92</v>
      </c>
      <c r="F4135">
        <v>100</v>
      </c>
      <c r="G4135" t="s">
        <v>109</v>
      </c>
      <c r="H4135">
        <v>-91.8</v>
      </c>
      <c r="I4135">
        <v>72</v>
      </c>
      <c r="J4135">
        <v>60.48</v>
      </c>
      <c r="K4135">
        <v>87</v>
      </c>
      <c r="L4135">
        <v>-154.12</v>
      </c>
      <c r="M4135">
        <v>82</v>
      </c>
      <c r="N4135">
        <v>12.87</v>
      </c>
      <c r="O4135">
        <v>59</v>
      </c>
      <c r="P4135">
        <v>1.91</v>
      </c>
      <c r="Q4135">
        <v>46</v>
      </c>
      <c r="R4135">
        <v>-3.44</v>
      </c>
      <c r="S4135">
        <v>60</v>
      </c>
      <c r="T4135">
        <v>-8.89</v>
      </c>
      <c r="U4135">
        <v>38</v>
      </c>
      <c r="V4135">
        <v>-0.61</v>
      </c>
      <c r="W4135">
        <v>24</v>
      </c>
      <c r="X4135" t="s">
        <v>94</v>
      </c>
      <c r="Y4135" t="s">
        <v>336</v>
      </c>
      <c r="Z4135" t="s">
        <v>96</v>
      </c>
      <c r="AA4135" t="s">
        <v>6307</v>
      </c>
      <c r="AB4135" t="s">
        <v>6540</v>
      </c>
      <c r="AC4135">
        <v>0</v>
      </c>
      <c r="AD4135">
        <v>0</v>
      </c>
      <c r="AE4135">
        <v>87</v>
      </c>
      <c r="AF4135">
        <v>447.57</v>
      </c>
      <c r="AG4135">
        <v>15.34</v>
      </c>
      <c r="AH4135">
        <v>11.71</v>
      </c>
      <c r="AI4135">
        <v>-0.03</v>
      </c>
      <c r="AJ4135">
        <v>-0.06</v>
      </c>
      <c r="AK4135">
        <v>82</v>
      </c>
      <c r="AL4135">
        <v>0</v>
      </c>
      <c r="AM4135">
        <v>0</v>
      </c>
      <c r="AN4135">
        <v>8.48</v>
      </c>
      <c r="AO4135">
        <v>-3.81</v>
      </c>
      <c r="AP4135">
        <v>15</v>
      </c>
      <c r="AQ4135">
        <v>0</v>
      </c>
      <c r="AR4135">
        <v>6.81</v>
      </c>
      <c r="AS4135">
        <v>29</v>
      </c>
      <c r="AT4135">
        <v>3.1</v>
      </c>
      <c r="AU4135">
        <v>89</v>
      </c>
      <c r="AV4135">
        <v>-1.67</v>
      </c>
      <c r="AW4135">
        <v>66</v>
      </c>
      <c r="AX4135">
        <v>-7.0000000000000007E-2</v>
      </c>
      <c r="AY4135">
        <v>37</v>
      </c>
      <c r="AZ4135">
        <v>7.04</v>
      </c>
      <c r="BA4135">
        <v>26</v>
      </c>
      <c r="BB4135">
        <v>5.38</v>
      </c>
      <c r="BC4135">
        <v>22</v>
      </c>
      <c r="BD4135">
        <v>0</v>
      </c>
      <c r="BE4135">
        <v>0.01</v>
      </c>
      <c r="BF4135">
        <v>0.06</v>
      </c>
      <c r="BG4135">
        <v>89</v>
      </c>
      <c r="BH4135">
        <v>-0.02</v>
      </c>
      <c r="BI4135">
        <v>-0.35</v>
      </c>
      <c r="BJ4135">
        <v>1</v>
      </c>
      <c r="BK4135">
        <v>1</v>
      </c>
      <c r="BL4135">
        <v>2.48</v>
      </c>
      <c r="BM4135">
        <v>-0.53</v>
      </c>
      <c r="BN4135">
        <v>1.56</v>
      </c>
      <c r="BO4135">
        <v>1.74</v>
      </c>
      <c r="BP4135">
        <v>1.89</v>
      </c>
      <c r="BQ4135">
        <v>1.74</v>
      </c>
      <c r="BR4135">
        <v>-0.02</v>
      </c>
      <c r="BS4135">
        <v>2.41</v>
      </c>
      <c r="BT4135">
        <v>1.18</v>
      </c>
      <c r="BU4135">
        <v>2.0699999999999998</v>
      </c>
      <c r="BV4135">
        <v>2.61</v>
      </c>
      <c r="BW4135">
        <v>1.77</v>
      </c>
      <c r="BX4135">
        <v>1.46</v>
      </c>
      <c r="BY4135">
        <v>1.63</v>
      </c>
      <c r="BZ4135">
        <v>0.95</v>
      </c>
      <c r="CA4135">
        <v>1.55</v>
      </c>
      <c r="CB4135">
        <v>1.63</v>
      </c>
      <c r="CC4135">
        <v>0.85</v>
      </c>
      <c r="CD4135">
        <v>-0.92</v>
      </c>
      <c r="CE4135">
        <v>1.29</v>
      </c>
      <c r="CF4135">
        <v>1.7</v>
      </c>
      <c r="CG4135">
        <v>0</v>
      </c>
      <c r="CH4135">
        <v>1.37</v>
      </c>
      <c r="CI4135">
        <v>0</v>
      </c>
      <c r="CJ4135">
        <v>6.1</v>
      </c>
      <c r="CK4135">
        <v>49</v>
      </c>
      <c r="CL4135">
        <v>-1.26</v>
      </c>
      <c r="CM4135">
        <v>44</v>
      </c>
      <c r="CN4135">
        <v>-0.46</v>
      </c>
      <c r="CO4135">
        <v>43</v>
      </c>
      <c r="CP4135">
        <v>7.4</v>
      </c>
      <c r="CQ4135">
        <v>38</v>
      </c>
      <c r="CR4135">
        <v>0</v>
      </c>
      <c r="CS4135">
        <v>0</v>
      </c>
      <c r="CT4135">
        <v>25.8</v>
      </c>
      <c r="CU4135">
        <v>38</v>
      </c>
      <c r="CV4135">
        <v>0.48</v>
      </c>
      <c r="CW4135">
        <v>13</v>
      </c>
      <c r="CX4135" t="s">
        <v>5310</v>
      </c>
    </row>
    <row r="4136" spans="1:102" x14ac:dyDescent="0.3">
      <c r="A4136" t="str">
        <f>HYPERLINK("https://webapp.icbf.com/v2/app/bull-search/view/77856844","HEZ")</f>
        <v>HEZ</v>
      </c>
      <c r="B4136" t="s">
        <v>8072</v>
      </c>
      <c r="C4136" t="s">
        <v>8073</v>
      </c>
      <c r="D4136" s="1">
        <v>34614</v>
      </c>
      <c r="E4136" t="s">
        <v>92</v>
      </c>
      <c r="F4136">
        <v>100</v>
      </c>
      <c r="G4136" t="s">
        <v>93</v>
      </c>
      <c r="H4136">
        <v>-92.18</v>
      </c>
      <c r="I4136">
        <v>76</v>
      </c>
      <c r="J4136">
        <v>-23.51</v>
      </c>
      <c r="K4136">
        <v>93</v>
      </c>
      <c r="L4136">
        <v>-53.54</v>
      </c>
      <c r="M4136">
        <v>65</v>
      </c>
      <c r="N4136">
        <v>-14.63</v>
      </c>
      <c r="O4136">
        <v>61</v>
      </c>
      <c r="P4136">
        <v>-10.99</v>
      </c>
      <c r="Q4136">
        <v>80</v>
      </c>
      <c r="R4136">
        <v>-20.59</v>
      </c>
      <c r="S4136">
        <v>67</v>
      </c>
      <c r="T4136">
        <v>32.47</v>
      </c>
      <c r="U4136">
        <v>89</v>
      </c>
      <c r="V4136">
        <v>-1.39</v>
      </c>
      <c r="W4136">
        <v>36</v>
      </c>
      <c r="X4136" t="s">
        <v>94</v>
      </c>
      <c r="Y4136" t="s">
        <v>95</v>
      </c>
      <c r="Z4136" t="s">
        <v>96</v>
      </c>
      <c r="AA4136" t="s">
        <v>531</v>
      </c>
      <c r="AB4136" t="s">
        <v>8074</v>
      </c>
      <c r="AC4136">
        <v>69</v>
      </c>
      <c r="AD4136">
        <v>54</v>
      </c>
      <c r="AE4136">
        <v>93</v>
      </c>
      <c r="AF4136">
        <v>51.62</v>
      </c>
      <c r="AG4136">
        <v>-7.94</v>
      </c>
      <c r="AH4136">
        <v>-0.4</v>
      </c>
      <c r="AI4136">
        <v>-0.16</v>
      </c>
      <c r="AJ4136">
        <v>-0.04</v>
      </c>
      <c r="AK4136">
        <v>65</v>
      </c>
      <c r="AL4136">
        <v>89</v>
      </c>
      <c r="AM4136">
        <v>62</v>
      </c>
      <c r="AN4136">
        <v>3.69</v>
      </c>
      <c r="AO4136">
        <v>-0.56999999999999995</v>
      </c>
      <c r="AP4136">
        <v>36</v>
      </c>
      <c r="AQ4136">
        <v>5</v>
      </c>
      <c r="AR4136">
        <v>11.11</v>
      </c>
      <c r="AS4136">
        <v>57</v>
      </c>
      <c r="AT4136">
        <v>4.43</v>
      </c>
      <c r="AU4136">
        <v>61</v>
      </c>
      <c r="AV4136">
        <v>-0.55000000000000004</v>
      </c>
      <c r="AW4136">
        <v>63</v>
      </c>
      <c r="AX4136">
        <v>-0.28000000000000003</v>
      </c>
      <c r="AY4136">
        <v>79</v>
      </c>
      <c r="AZ4136">
        <v>5.23</v>
      </c>
      <c r="BA4136">
        <v>37</v>
      </c>
      <c r="BB4136">
        <v>4.37</v>
      </c>
      <c r="BC4136">
        <v>54</v>
      </c>
      <c r="BD4136">
        <v>0.02</v>
      </c>
      <c r="BE4136">
        <v>0.1</v>
      </c>
      <c r="BF4136">
        <v>0.25</v>
      </c>
      <c r="BG4136">
        <v>83</v>
      </c>
      <c r="BH4136">
        <v>-0.12</v>
      </c>
      <c r="BI4136">
        <v>-9.39</v>
      </c>
      <c r="BJ4136">
        <v>16</v>
      </c>
      <c r="BK4136">
        <v>11</v>
      </c>
      <c r="BL4136">
        <v>-1.1299999999999999</v>
      </c>
      <c r="BM4136">
        <v>-1.94</v>
      </c>
      <c r="BN4136">
        <v>-1.78</v>
      </c>
      <c r="BO4136">
        <v>-0.28000000000000003</v>
      </c>
      <c r="BP4136">
        <v>0.02</v>
      </c>
      <c r="BQ4136">
        <v>-3.3</v>
      </c>
      <c r="BR4136">
        <v>1.95</v>
      </c>
      <c r="BS4136">
        <v>-0.74</v>
      </c>
      <c r="BT4136">
        <v>-2.34</v>
      </c>
      <c r="BU4136">
        <v>-1.8</v>
      </c>
      <c r="BV4136">
        <v>-0.28999999999999998</v>
      </c>
      <c r="BW4136">
        <v>0.05</v>
      </c>
      <c r="BX4136">
        <v>-2.04</v>
      </c>
      <c r="BY4136">
        <v>-1.87</v>
      </c>
      <c r="BZ4136">
        <v>0.15</v>
      </c>
      <c r="CA4136">
        <v>-1.03</v>
      </c>
      <c r="CB4136">
        <v>-1.23</v>
      </c>
      <c r="CC4136">
        <v>-0.4</v>
      </c>
      <c r="CD4136">
        <v>-0.9</v>
      </c>
      <c r="CE4136">
        <v>-0.46</v>
      </c>
      <c r="CF4136">
        <v>-1.9</v>
      </c>
      <c r="CG4136">
        <v>0</v>
      </c>
      <c r="CH4136">
        <v>-0.42</v>
      </c>
      <c r="CI4136">
        <v>0</v>
      </c>
      <c r="CJ4136">
        <v>-4.7</v>
      </c>
      <c r="CK4136">
        <v>81</v>
      </c>
      <c r="CL4136">
        <v>-0.22</v>
      </c>
      <c r="CM4136">
        <v>78</v>
      </c>
      <c r="CN4136">
        <v>-0.1</v>
      </c>
      <c r="CO4136">
        <v>75</v>
      </c>
      <c r="CP4136">
        <v>-22.7</v>
      </c>
      <c r="CQ4136">
        <v>85</v>
      </c>
      <c r="CR4136">
        <v>0</v>
      </c>
      <c r="CS4136">
        <v>0</v>
      </c>
      <c r="CT4136">
        <v>-30.1</v>
      </c>
      <c r="CU4136">
        <v>89</v>
      </c>
      <c r="CV4136">
        <v>0.02</v>
      </c>
      <c r="CW4136">
        <v>23</v>
      </c>
      <c r="CX4136" t="s">
        <v>99</v>
      </c>
    </row>
    <row r="4137" spans="1:102" x14ac:dyDescent="0.3">
      <c r="A4137" t="str">
        <f>HYPERLINK("https://webapp.icbf.com/v2/app/bull-search/view/588657823","S627")</f>
        <v>S627</v>
      </c>
      <c r="B4137" t="s">
        <v>144</v>
      </c>
      <c r="C4137" t="s">
        <v>8921</v>
      </c>
      <c r="D4137" s="1">
        <v>36008</v>
      </c>
      <c r="E4137" t="s">
        <v>895</v>
      </c>
      <c r="F4137">
        <v>0</v>
      </c>
      <c r="G4137" t="s">
        <v>93</v>
      </c>
      <c r="H4137">
        <v>-92.28</v>
      </c>
      <c r="I4137">
        <v>56</v>
      </c>
      <c r="J4137">
        <v>-58.97</v>
      </c>
      <c r="K4137">
        <v>83</v>
      </c>
      <c r="L4137">
        <v>0.08</v>
      </c>
      <c r="M4137">
        <v>33</v>
      </c>
      <c r="N4137">
        <v>-52.79</v>
      </c>
      <c r="O4137">
        <v>59</v>
      </c>
      <c r="P4137">
        <v>20.059999999999999</v>
      </c>
      <c r="Q4137">
        <v>68</v>
      </c>
      <c r="R4137">
        <v>-0.52</v>
      </c>
      <c r="S4137">
        <v>38</v>
      </c>
      <c r="T4137">
        <v>8.8699999999999992</v>
      </c>
      <c r="U4137">
        <v>55</v>
      </c>
      <c r="V4137">
        <v>-9.01</v>
      </c>
      <c r="W4137">
        <v>18</v>
      </c>
      <c r="X4137" t="s">
        <v>94</v>
      </c>
      <c r="Y4137" t="s">
        <v>1122</v>
      </c>
      <c r="Z4137">
        <v>0</v>
      </c>
      <c r="AA4137" t="s">
        <v>8922</v>
      </c>
      <c r="AB4137" t="s">
        <v>8923</v>
      </c>
      <c r="AC4137">
        <v>19</v>
      </c>
      <c r="AD4137">
        <v>3</v>
      </c>
      <c r="AE4137">
        <v>83</v>
      </c>
      <c r="AF4137">
        <v>-359.58</v>
      </c>
      <c r="AG4137">
        <v>-15.5</v>
      </c>
      <c r="AH4137">
        <v>-10.050000000000001</v>
      </c>
      <c r="AI4137">
        <v>-0.03</v>
      </c>
      <c r="AJ4137">
        <v>0.04</v>
      </c>
      <c r="AK4137">
        <v>33</v>
      </c>
      <c r="AL4137">
        <v>17</v>
      </c>
      <c r="AM4137">
        <v>3</v>
      </c>
      <c r="AN4137">
        <v>1.85</v>
      </c>
      <c r="AO4137">
        <v>1.88</v>
      </c>
      <c r="AP4137">
        <v>49</v>
      </c>
      <c r="AQ4137">
        <v>0</v>
      </c>
      <c r="AR4137">
        <v>10.79</v>
      </c>
      <c r="AS4137">
        <v>39</v>
      </c>
      <c r="AT4137">
        <v>4.3</v>
      </c>
      <c r="AU4137">
        <v>53</v>
      </c>
      <c r="AV4137">
        <v>4.22</v>
      </c>
      <c r="AW4137">
        <v>85</v>
      </c>
      <c r="AX4137">
        <v>1.04</v>
      </c>
      <c r="AY4137">
        <v>44</v>
      </c>
      <c r="AZ4137">
        <v>5.03</v>
      </c>
      <c r="BA4137">
        <v>21</v>
      </c>
      <c r="BB4137">
        <v>4.3499999999999996</v>
      </c>
      <c r="BC4137">
        <v>25</v>
      </c>
      <c r="BD4137">
        <v>-0.03</v>
      </c>
      <c r="BE4137">
        <v>-0.02</v>
      </c>
      <c r="BF4137">
        <v>0.1</v>
      </c>
      <c r="BG4137">
        <v>46</v>
      </c>
      <c r="BH4137">
        <v>-0.2</v>
      </c>
      <c r="BI4137">
        <v>5.94</v>
      </c>
      <c r="BJ4137">
        <v>0</v>
      </c>
      <c r="BK4137">
        <v>0</v>
      </c>
      <c r="BL4137">
        <v>0</v>
      </c>
      <c r="BM4137">
        <v>0</v>
      </c>
      <c r="BN4137">
        <v>0</v>
      </c>
      <c r="BO4137">
        <v>0</v>
      </c>
      <c r="BP4137">
        <v>0</v>
      </c>
      <c r="BQ4137">
        <v>0</v>
      </c>
      <c r="BR4137">
        <v>0</v>
      </c>
      <c r="BS4137">
        <v>0</v>
      </c>
      <c r="BT4137">
        <v>0</v>
      </c>
      <c r="BU4137">
        <v>0</v>
      </c>
      <c r="BV4137">
        <v>0</v>
      </c>
      <c r="BW4137">
        <v>0</v>
      </c>
      <c r="BX4137">
        <v>0</v>
      </c>
      <c r="BY4137">
        <v>0</v>
      </c>
      <c r="BZ4137">
        <v>0</v>
      </c>
      <c r="CA4137">
        <v>0</v>
      </c>
      <c r="CB4137">
        <v>0</v>
      </c>
      <c r="CC4137">
        <v>0</v>
      </c>
      <c r="CD4137">
        <v>0</v>
      </c>
      <c r="CE4137">
        <v>0</v>
      </c>
      <c r="CF4137">
        <v>0</v>
      </c>
      <c r="CG4137">
        <v>0</v>
      </c>
      <c r="CH4137">
        <v>0</v>
      </c>
      <c r="CI4137">
        <v>0</v>
      </c>
      <c r="CJ4137">
        <v>11.2</v>
      </c>
      <c r="CK4137">
        <v>71</v>
      </c>
      <c r="CL4137">
        <v>0.1</v>
      </c>
      <c r="CM4137">
        <v>66</v>
      </c>
      <c r="CN4137">
        <v>-0.21</v>
      </c>
      <c r="CO4137">
        <v>62</v>
      </c>
      <c r="CP4137">
        <v>7.4</v>
      </c>
      <c r="CQ4137">
        <v>64</v>
      </c>
      <c r="CR4137">
        <v>0</v>
      </c>
      <c r="CS4137">
        <v>0</v>
      </c>
      <c r="CT4137">
        <v>1.8</v>
      </c>
      <c r="CU4137">
        <v>55</v>
      </c>
      <c r="CV4137">
        <v>0.06</v>
      </c>
      <c r="CW4137">
        <v>19</v>
      </c>
      <c r="CX4137" t="s">
        <v>896</v>
      </c>
    </row>
    <row r="4138" spans="1:102" x14ac:dyDescent="0.3">
      <c r="A4138" t="str">
        <f>HYPERLINK("https://webapp.icbf.com/v2/app/bull-search/view/77853592","TBB")</f>
        <v>TBB</v>
      </c>
      <c r="B4138" t="s">
        <v>14380</v>
      </c>
      <c r="C4138" t="s">
        <v>14381</v>
      </c>
      <c r="D4138" s="1">
        <v>32208</v>
      </c>
      <c r="E4138" t="s">
        <v>92</v>
      </c>
      <c r="F4138">
        <v>100</v>
      </c>
      <c r="G4138" t="s">
        <v>116</v>
      </c>
      <c r="H4138">
        <v>-92.69</v>
      </c>
      <c r="I4138">
        <v>45</v>
      </c>
      <c r="J4138">
        <v>-86.99</v>
      </c>
      <c r="K4138">
        <v>64</v>
      </c>
      <c r="L4138">
        <v>-7.2</v>
      </c>
      <c r="M4138">
        <v>37</v>
      </c>
      <c r="N4138">
        <v>9.1199999999999992</v>
      </c>
      <c r="O4138">
        <v>34</v>
      </c>
      <c r="P4138">
        <v>-6.16</v>
      </c>
      <c r="Q4138">
        <v>37</v>
      </c>
      <c r="R4138">
        <v>-12.12</v>
      </c>
      <c r="S4138">
        <v>41</v>
      </c>
      <c r="T4138">
        <v>13.16</v>
      </c>
      <c r="U4138">
        <v>37</v>
      </c>
      <c r="V4138">
        <v>-2.5</v>
      </c>
      <c r="W4138">
        <v>12</v>
      </c>
      <c r="X4138" t="s">
        <v>276</v>
      </c>
      <c r="Y4138" t="s">
        <v>95</v>
      </c>
      <c r="Z4138" t="s">
        <v>96</v>
      </c>
      <c r="AA4138" t="s">
        <v>10656</v>
      </c>
      <c r="AB4138" t="s">
        <v>14382</v>
      </c>
      <c r="AC4138">
        <v>8</v>
      </c>
      <c r="AD4138">
        <v>3</v>
      </c>
      <c r="AE4138">
        <v>64</v>
      </c>
      <c r="AF4138">
        <v>-185.72</v>
      </c>
      <c r="AG4138">
        <v>-14.18</v>
      </c>
      <c r="AH4138">
        <v>-12.62</v>
      </c>
      <c r="AI4138">
        <v>-0.12</v>
      </c>
      <c r="AJ4138">
        <v>-0.11</v>
      </c>
      <c r="AK4138">
        <v>37</v>
      </c>
      <c r="AL4138">
        <v>19</v>
      </c>
      <c r="AM4138">
        <v>15</v>
      </c>
      <c r="AN4138">
        <v>-0.81</v>
      </c>
      <c r="AO4138">
        <v>-1.4</v>
      </c>
      <c r="AP4138">
        <v>0</v>
      </c>
      <c r="AQ4138">
        <v>1</v>
      </c>
      <c r="AR4138">
        <v>4.46</v>
      </c>
      <c r="AS4138">
        <v>13</v>
      </c>
      <c r="AT4138">
        <v>2.21</v>
      </c>
      <c r="AU4138">
        <v>55</v>
      </c>
      <c r="AV4138">
        <v>0.08</v>
      </c>
      <c r="AW4138">
        <v>30</v>
      </c>
      <c r="AX4138">
        <v>0.02</v>
      </c>
      <c r="AY4138">
        <v>37</v>
      </c>
      <c r="AZ4138">
        <v>7.17</v>
      </c>
      <c r="BA4138">
        <v>13</v>
      </c>
      <c r="BB4138">
        <v>5.6</v>
      </c>
      <c r="BC4138">
        <v>21</v>
      </c>
      <c r="BD4138">
        <v>0.04</v>
      </c>
      <c r="BE4138">
        <v>0.08</v>
      </c>
      <c r="BF4138">
        <v>0.06</v>
      </c>
      <c r="BG4138">
        <v>56</v>
      </c>
      <c r="BH4138">
        <v>-0.01</v>
      </c>
      <c r="BI4138">
        <v>6.92</v>
      </c>
      <c r="BJ4138">
        <v>2</v>
      </c>
      <c r="BK4138">
        <v>2</v>
      </c>
      <c r="BL4138">
        <v>0.95</v>
      </c>
      <c r="BM4138">
        <v>0.4</v>
      </c>
      <c r="BN4138">
        <v>1.1000000000000001</v>
      </c>
      <c r="BO4138">
        <v>0.5</v>
      </c>
      <c r="BP4138">
        <v>-0.85</v>
      </c>
      <c r="BQ4138">
        <v>0.14000000000000001</v>
      </c>
      <c r="BR4138">
        <v>0.91</v>
      </c>
      <c r="BS4138">
        <v>-1.23</v>
      </c>
      <c r="BT4138">
        <v>-0.36</v>
      </c>
      <c r="BU4138">
        <v>-0.55000000000000004</v>
      </c>
      <c r="BV4138">
        <v>-1.57</v>
      </c>
      <c r="BW4138">
        <v>-0.2</v>
      </c>
      <c r="BX4138">
        <v>-0.21</v>
      </c>
      <c r="BY4138">
        <v>0.48</v>
      </c>
      <c r="BZ4138">
        <v>-1.95</v>
      </c>
      <c r="CA4138">
        <v>-0.65</v>
      </c>
      <c r="CB4138">
        <v>-0.57999999999999996</v>
      </c>
      <c r="CC4138">
        <v>-0.44</v>
      </c>
      <c r="CD4138">
        <v>-0.43</v>
      </c>
      <c r="CE4138">
        <v>0.25</v>
      </c>
      <c r="CF4138">
        <v>0.74</v>
      </c>
      <c r="CG4138">
        <v>0</v>
      </c>
      <c r="CH4138">
        <v>-7.0000000000000007E-2</v>
      </c>
      <c r="CI4138">
        <v>0</v>
      </c>
      <c r="CJ4138">
        <v>-2.6</v>
      </c>
      <c r="CK4138">
        <v>39</v>
      </c>
      <c r="CL4138">
        <v>-0.63</v>
      </c>
      <c r="CM4138">
        <v>35</v>
      </c>
      <c r="CN4138">
        <v>-0.38</v>
      </c>
      <c r="CO4138">
        <v>30</v>
      </c>
      <c r="CP4138">
        <v>-3.5</v>
      </c>
      <c r="CQ4138">
        <v>46</v>
      </c>
      <c r="CR4138">
        <v>0</v>
      </c>
      <c r="CS4138">
        <v>0</v>
      </c>
      <c r="CT4138">
        <v>-4</v>
      </c>
      <c r="CU4138">
        <v>37</v>
      </c>
      <c r="CV4138">
        <v>0.09</v>
      </c>
      <c r="CW4138">
        <v>9</v>
      </c>
      <c r="CX4138" t="s">
        <v>663</v>
      </c>
    </row>
    <row r="4139" spans="1:102" x14ac:dyDescent="0.3">
      <c r="A4139" t="str">
        <f>HYPERLINK("https://webapp.icbf.com/v2/app/bull-search/view/77856733","IGM")</f>
        <v>IGM</v>
      </c>
      <c r="B4139" t="s">
        <v>2813</v>
      </c>
      <c r="C4139" t="s">
        <v>1196</v>
      </c>
      <c r="D4139" s="1">
        <v>34034</v>
      </c>
      <c r="E4139" t="s">
        <v>92</v>
      </c>
      <c r="F4139">
        <v>100</v>
      </c>
      <c r="G4139" t="s">
        <v>93</v>
      </c>
      <c r="H4139">
        <v>-92.95</v>
      </c>
      <c r="I4139">
        <v>95</v>
      </c>
      <c r="J4139">
        <v>25.18</v>
      </c>
      <c r="K4139">
        <v>99</v>
      </c>
      <c r="L4139">
        <v>-112.67</v>
      </c>
      <c r="M4139">
        <v>94</v>
      </c>
      <c r="N4139">
        <v>5.26</v>
      </c>
      <c r="O4139">
        <v>94</v>
      </c>
      <c r="P4139">
        <v>-3.07</v>
      </c>
      <c r="Q4139">
        <v>97</v>
      </c>
      <c r="R4139">
        <v>-22.91</v>
      </c>
      <c r="S4139">
        <v>89</v>
      </c>
      <c r="T4139">
        <v>13.09</v>
      </c>
      <c r="U4139">
        <v>95</v>
      </c>
      <c r="V4139">
        <v>2.17</v>
      </c>
      <c r="W4139">
        <v>83</v>
      </c>
      <c r="X4139" t="s">
        <v>94</v>
      </c>
      <c r="Y4139" t="s">
        <v>95</v>
      </c>
      <c r="Z4139" t="s">
        <v>96</v>
      </c>
      <c r="AA4139" t="s">
        <v>485</v>
      </c>
      <c r="AB4139" t="s">
        <v>2814</v>
      </c>
      <c r="AC4139">
        <v>537</v>
      </c>
      <c r="AD4139">
        <v>285</v>
      </c>
      <c r="AE4139">
        <v>99</v>
      </c>
      <c r="AF4139">
        <v>275.94</v>
      </c>
      <c r="AG4139">
        <v>0.3</v>
      </c>
      <c r="AH4139">
        <v>8.4</v>
      </c>
      <c r="AI4139">
        <v>-0.17</v>
      </c>
      <c r="AJ4139">
        <v>-0.02</v>
      </c>
      <c r="AK4139">
        <v>94</v>
      </c>
      <c r="AL4139">
        <v>505</v>
      </c>
      <c r="AM4139">
        <v>225</v>
      </c>
      <c r="AN4139">
        <v>4.99</v>
      </c>
      <c r="AO4139">
        <v>-4.01</v>
      </c>
      <c r="AP4139">
        <v>47</v>
      </c>
      <c r="AQ4139">
        <v>0</v>
      </c>
      <c r="AR4139">
        <v>8.08</v>
      </c>
      <c r="AS4139">
        <v>89</v>
      </c>
      <c r="AT4139">
        <v>3.66</v>
      </c>
      <c r="AU4139">
        <v>98</v>
      </c>
      <c r="AV4139">
        <v>-1.1499999999999999</v>
      </c>
      <c r="AW4139">
        <v>95</v>
      </c>
      <c r="AX4139">
        <v>-0.96</v>
      </c>
      <c r="AY4139">
        <v>95</v>
      </c>
      <c r="AZ4139">
        <v>6.34</v>
      </c>
      <c r="BA4139">
        <v>88</v>
      </c>
      <c r="BB4139">
        <v>5.04</v>
      </c>
      <c r="BC4139">
        <v>89</v>
      </c>
      <c r="BD4139">
        <v>0.1</v>
      </c>
      <c r="BE4139">
        <v>0.1</v>
      </c>
      <c r="BF4139">
        <v>0.17</v>
      </c>
      <c r="BG4139">
        <v>97</v>
      </c>
      <c r="BH4139">
        <v>0.04</v>
      </c>
      <c r="BI4139">
        <v>-2.38</v>
      </c>
      <c r="BJ4139">
        <v>124</v>
      </c>
      <c r="BK4139">
        <v>61</v>
      </c>
      <c r="BL4139">
        <v>-0.16</v>
      </c>
      <c r="BM4139">
        <v>-1.83</v>
      </c>
      <c r="BN4139">
        <v>-0.77</v>
      </c>
      <c r="BO4139">
        <v>0.7</v>
      </c>
      <c r="BP4139">
        <v>0.61</v>
      </c>
      <c r="BQ4139">
        <v>-1.53</v>
      </c>
      <c r="BR4139">
        <v>0.45</v>
      </c>
      <c r="BS4139">
        <v>-1.19</v>
      </c>
      <c r="BT4139">
        <v>-2.0099999999999998</v>
      </c>
      <c r="BU4139">
        <v>-1.07</v>
      </c>
      <c r="BV4139">
        <v>0.23</v>
      </c>
      <c r="BW4139">
        <v>-1.65</v>
      </c>
      <c r="BX4139">
        <v>-1.44</v>
      </c>
      <c r="BY4139">
        <v>-1.22</v>
      </c>
      <c r="BZ4139">
        <v>-2.02</v>
      </c>
      <c r="CA4139">
        <v>-1.1599999999999999</v>
      </c>
      <c r="CB4139">
        <v>-0.67</v>
      </c>
      <c r="CC4139">
        <v>-1.63</v>
      </c>
      <c r="CD4139">
        <v>-1.36</v>
      </c>
      <c r="CE4139">
        <v>0.63</v>
      </c>
      <c r="CF4139">
        <v>-0.42</v>
      </c>
      <c r="CG4139">
        <v>0</v>
      </c>
      <c r="CH4139">
        <v>-1.05</v>
      </c>
      <c r="CI4139">
        <v>0</v>
      </c>
      <c r="CJ4139">
        <v>0.4</v>
      </c>
      <c r="CK4139">
        <v>97</v>
      </c>
      <c r="CL4139">
        <v>-0.65</v>
      </c>
      <c r="CM4139">
        <v>96</v>
      </c>
      <c r="CN4139">
        <v>-0.38</v>
      </c>
      <c r="CO4139">
        <v>96</v>
      </c>
      <c r="CP4139">
        <v>-9.1</v>
      </c>
      <c r="CQ4139">
        <v>98</v>
      </c>
      <c r="CR4139">
        <v>0</v>
      </c>
      <c r="CS4139">
        <v>0</v>
      </c>
      <c r="CT4139">
        <v>-3.9</v>
      </c>
      <c r="CU4139">
        <v>95</v>
      </c>
      <c r="CV4139">
        <v>0.15</v>
      </c>
      <c r="CW4139">
        <v>47</v>
      </c>
      <c r="CX4139" t="s">
        <v>118</v>
      </c>
    </row>
    <row r="4140" spans="1:102" x14ac:dyDescent="0.3">
      <c r="A4140" t="str">
        <f>HYPERLINK("https://webapp.icbf.com/v2/app/bull-search/view/462434317","X100")</f>
        <v>X100</v>
      </c>
      <c r="B4140" t="s">
        <v>7104</v>
      </c>
      <c r="C4140" t="s">
        <v>7105</v>
      </c>
      <c r="D4140" s="1">
        <v>37162</v>
      </c>
      <c r="E4140" t="s">
        <v>92</v>
      </c>
      <c r="F4140">
        <v>100</v>
      </c>
      <c r="G4140" t="s">
        <v>93</v>
      </c>
      <c r="H4140">
        <v>-92.96</v>
      </c>
      <c r="I4140">
        <v>87</v>
      </c>
      <c r="J4140">
        <v>-6.1</v>
      </c>
      <c r="K4140">
        <v>96</v>
      </c>
      <c r="L4140">
        <v>-40.18</v>
      </c>
      <c r="M4140">
        <v>87</v>
      </c>
      <c r="N4140">
        <v>-30.87</v>
      </c>
      <c r="O4140">
        <v>77</v>
      </c>
      <c r="P4140">
        <v>-7.29</v>
      </c>
      <c r="Q4140">
        <v>92</v>
      </c>
      <c r="R4140">
        <v>3.33</v>
      </c>
      <c r="S4140">
        <v>71</v>
      </c>
      <c r="T4140">
        <v>-12</v>
      </c>
      <c r="U4140">
        <v>85</v>
      </c>
      <c r="V4140">
        <v>0.15</v>
      </c>
      <c r="W4140">
        <v>47</v>
      </c>
      <c r="X4140" t="s">
        <v>747</v>
      </c>
      <c r="Y4140" t="s">
        <v>95</v>
      </c>
      <c r="Z4140" t="s">
        <v>96</v>
      </c>
      <c r="AA4140" t="s">
        <v>5921</v>
      </c>
      <c r="AB4140" t="s">
        <v>7106</v>
      </c>
      <c r="AC4140">
        <v>97</v>
      </c>
      <c r="AD4140">
        <v>21</v>
      </c>
      <c r="AE4140">
        <v>96</v>
      </c>
      <c r="AF4140">
        <v>442.26</v>
      </c>
      <c r="AG4140">
        <v>6.11</v>
      </c>
      <c r="AH4140">
        <v>3.57</v>
      </c>
      <c r="AI4140">
        <v>-0.17</v>
      </c>
      <c r="AJ4140">
        <v>-0.18</v>
      </c>
      <c r="AK4140">
        <v>87</v>
      </c>
      <c r="AL4140">
        <v>89</v>
      </c>
      <c r="AM4140">
        <v>27</v>
      </c>
      <c r="AN4140">
        <v>3.33</v>
      </c>
      <c r="AO4140">
        <v>0.14000000000000001</v>
      </c>
      <c r="AP4140">
        <v>94</v>
      </c>
      <c r="AQ4140">
        <v>0</v>
      </c>
      <c r="AR4140">
        <v>11.85</v>
      </c>
      <c r="AS4140">
        <v>54</v>
      </c>
      <c r="AT4140">
        <v>5.6</v>
      </c>
      <c r="AU4140">
        <v>89</v>
      </c>
      <c r="AV4140">
        <v>-0.67</v>
      </c>
      <c r="AW4140">
        <v>88</v>
      </c>
      <c r="AX4140">
        <v>-0.5</v>
      </c>
      <c r="AY4140">
        <v>82</v>
      </c>
      <c r="AZ4140">
        <v>5.23</v>
      </c>
      <c r="BA4140">
        <v>43</v>
      </c>
      <c r="BB4140">
        <v>4.37</v>
      </c>
      <c r="BC4140">
        <v>42</v>
      </c>
      <c r="BD4140">
        <v>0.02</v>
      </c>
      <c r="BE4140">
        <v>0</v>
      </c>
      <c r="BF4140">
        <v>-0.11</v>
      </c>
      <c r="BG4140">
        <v>89</v>
      </c>
      <c r="BH4140">
        <v>-0.01</v>
      </c>
      <c r="BI4140">
        <v>-1.63</v>
      </c>
      <c r="BJ4140">
        <v>55</v>
      </c>
      <c r="BK4140">
        <v>15</v>
      </c>
      <c r="BL4140">
        <v>1.32</v>
      </c>
      <c r="BM4140">
        <v>2.23</v>
      </c>
      <c r="BN4140">
        <v>2</v>
      </c>
      <c r="BO4140">
        <v>0.87</v>
      </c>
      <c r="BP4140">
        <v>-0.16</v>
      </c>
      <c r="BQ4140">
        <v>3.88</v>
      </c>
      <c r="BR4140">
        <v>0.03</v>
      </c>
      <c r="BS4140">
        <v>1.49</v>
      </c>
      <c r="BT4140">
        <v>0.54</v>
      </c>
      <c r="BU4140">
        <v>2.12</v>
      </c>
      <c r="BV4140">
        <v>1.1499999999999999</v>
      </c>
      <c r="BW4140">
        <v>1.54</v>
      </c>
      <c r="BX4140">
        <v>0.49</v>
      </c>
      <c r="BY4140">
        <v>-0.15</v>
      </c>
      <c r="BZ4140">
        <v>1.75</v>
      </c>
      <c r="CA4140">
        <v>1.71</v>
      </c>
      <c r="CB4140">
        <v>1.33</v>
      </c>
      <c r="CC4140">
        <v>2.0099999999999998</v>
      </c>
      <c r="CD4140">
        <v>0.76</v>
      </c>
      <c r="CE4140">
        <v>0.66</v>
      </c>
      <c r="CF4140">
        <v>2.14</v>
      </c>
      <c r="CG4140">
        <v>0</v>
      </c>
      <c r="CH4140">
        <v>-0.03</v>
      </c>
      <c r="CI4140">
        <v>0</v>
      </c>
      <c r="CJ4140">
        <v>-3.5</v>
      </c>
      <c r="CK4140">
        <v>93</v>
      </c>
      <c r="CL4140">
        <v>-1.03</v>
      </c>
      <c r="CM4140">
        <v>91</v>
      </c>
      <c r="CN4140">
        <v>-0.65</v>
      </c>
      <c r="CO4140">
        <v>90</v>
      </c>
      <c r="CP4140">
        <v>3.7</v>
      </c>
      <c r="CQ4140">
        <v>86</v>
      </c>
      <c r="CR4140">
        <v>0</v>
      </c>
      <c r="CS4140">
        <v>0</v>
      </c>
      <c r="CT4140">
        <v>30</v>
      </c>
      <c r="CU4140">
        <v>85</v>
      </c>
      <c r="CV4140">
        <v>0.24</v>
      </c>
      <c r="CW4140">
        <v>26</v>
      </c>
      <c r="CX4140" t="s">
        <v>1068</v>
      </c>
    </row>
    <row r="4141" spans="1:102" x14ac:dyDescent="0.3">
      <c r="A4141" t="str">
        <f>HYPERLINK("https://webapp.icbf.com/v2/app/bull-search/view/659984635","ATN")</f>
        <v>ATN</v>
      </c>
      <c r="B4141" t="s">
        <v>5129</v>
      </c>
      <c r="C4141" t="s">
        <v>5130</v>
      </c>
      <c r="D4141" s="1">
        <v>39119</v>
      </c>
      <c r="E4141" t="s">
        <v>92</v>
      </c>
      <c r="F4141">
        <v>100</v>
      </c>
      <c r="G4141" t="s">
        <v>93</v>
      </c>
      <c r="H4141">
        <v>-93</v>
      </c>
      <c r="I4141">
        <v>93</v>
      </c>
      <c r="J4141">
        <v>12.9</v>
      </c>
      <c r="K4141">
        <v>98</v>
      </c>
      <c r="L4141">
        <v>-105.02</v>
      </c>
      <c r="M4141">
        <v>92</v>
      </c>
      <c r="N4141">
        <v>-3.54</v>
      </c>
      <c r="O4141">
        <v>91</v>
      </c>
      <c r="P4141">
        <v>-15.22</v>
      </c>
      <c r="Q4141">
        <v>94</v>
      </c>
      <c r="R4141">
        <v>21.4</v>
      </c>
      <c r="S4141">
        <v>86</v>
      </c>
      <c r="T4141">
        <v>-1.79</v>
      </c>
      <c r="U4141">
        <v>89</v>
      </c>
      <c r="V4141">
        <v>-1.73</v>
      </c>
      <c r="W4141">
        <v>79</v>
      </c>
      <c r="X4141" t="s">
        <v>288</v>
      </c>
      <c r="Y4141" t="s">
        <v>1524</v>
      </c>
      <c r="Z4141" t="s">
        <v>96</v>
      </c>
      <c r="AA4141" t="s">
        <v>309</v>
      </c>
      <c r="AB4141" t="s">
        <v>5131</v>
      </c>
      <c r="AC4141">
        <v>222</v>
      </c>
      <c r="AD4141">
        <v>81</v>
      </c>
      <c r="AE4141">
        <v>98</v>
      </c>
      <c r="AF4141">
        <v>320.57</v>
      </c>
      <c r="AG4141">
        <v>7.21</v>
      </c>
      <c r="AH4141">
        <v>4.55</v>
      </c>
      <c r="AI4141">
        <v>-0.09</v>
      </c>
      <c r="AJ4141">
        <v>-0.1</v>
      </c>
      <c r="AK4141">
        <v>92</v>
      </c>
      <c r="AL4141">
        <v>187</v>
      </c>
      <c r="AM4141">
        <v>76</v>
      </c>
      <c r="AN4141">
        <v>5.38</v>
      </c>
      <c r="AO4141">
        <v>-3</v>
      </c>
      <c r="AP4141">
        <v>407</v>
      </c>
      <c r="AQ4141">
        <v>1</v>
      </c>
      <c r="AR4141">
        <v>10.28</v>
      </c>
      <c r="AS4141">
        <v>87</v>
      </c>
      <c r="AT4141">
        <v>4.5199999999999996</v>
      </c>
      <c r="AU4141">
        <v>95</v>
      </c>
      <c r="AV4141">
        <v>-2.82</v>
      </c>
      <c r="AW4141">
        <v>97</v>
      </c>
      <c r="AX4141">
        <v>0.79</v>
      </c>
      <c r="AY4141">
        <v>89</v>
      </c>
      <c r="AZ4141">
        <v>6.22</v>
      </c>
      <c r="BA4141">
        <v>78</v>
      </c>
      <c r="BB4141">
        <v>5.36</v>
      </c>
      <c r="BC4141">
        <v>76</v>
      </c>
      <c r="BD4141">
        <v>-0.09</v>
      </c>
      <c r="BE4141">
        <v>-0.08</v>
      </c>
      <c r="BF4141">
        <v>-0.19</v>
      </c>
      <c r="BG4141">
        <v>94</v>
      </c>
      <c r="BH4141">
        <v>-0.11</v>
      </c>
      <c r="BI4141">
        <v>-7.14</v>
      </c>
      <c r="BJ4141">
        <v>104</v>
      </c>
      <c r="BK4141">
        <v>52</v>
      </c>
      <c r="BL4141">
        <v>2.6</v>
      </c>
      <c r="BM4141">
        <v>-1.1000000000000001</v>
      </c>
      <c r="BN4141">
        <v>0.67</v>
      </c>
      <c r="BO4141">
        <v>1.35</v>
      </c>
      <c r="BP4141">
        <v>-1.62</v>
      </c>
      <c r="BQ4141">
        <v>2.56</v>
      </c>
      <c r="BR4141">
        <v>-1.04</v>
      </c>
      <c r="BS4141">
        <v>0.67</v>
      </c>
      <c r="BT4141">
        <v>1.78</v>
      </c>
      <c r="BU4141">
        <v>3.73</v>
      </c>
      <c r="BV4141">
        <v>3.83</v>
      </c>
      <c r="BW4141">
        <v>3.35</v>
      </c>
      <c r="BX4141">
        <v>3.28</v>
      </c>
      <c r="BY4141">
        <v>1.25</v>
      </c>
      <c r="BZ4141">
        <v>0.54</v>
      </c>
      <c r="CA4141">
        <v>2.31</v>
      </c>
      <c r="CB4141">
        <v>2.72</v>
      </c>
      <c r="CC4141">
        <v>0.47</v>
      </c>
      <c r="CD4141">
        <v>-0.97</v>
      </c>
      <c r="CE4141">
        <v>1.1100000000000001</v>
      </c>
      <c r="CF4141">
        <v>1.96</v>
      </c>
      <c r="CG4141">
        <v>0</v>
      </c>
      <c r="CH4141">
        <v>1.07</v>
      </c>
      <c r="CI4141">
        <v>0</v>
      </c>
      <c r="CJ4141">
        <v>-4.4000000000000004</v>
      </c>
      <c r="CK4141">
        <v>95</v>
      </c>
      <c r="CL4141">
        <v>-1.66</v>
      </c>
      <c r="CM4141">
        <v>94</v>
      </c>
      <c r="CN4141">
        <v>-0.7</v>
      </c>
      <c r="CO4141">
        <v>94</v>
      </c>
      <c r="CP4141">
        <v>-1.4</v>
      </c>
      <c r="CQ4141">
        <v>93</v>
      </c>
      <c r="CR4141">
        <v>0</v>
      </c>
      <c r="CS4141">
        <v>0</v>
      </c>
      <c r="CT4141">
        <v>16.2</v>
      </c>
      <c r="CU4141">
        <v>89</v>
      </c>
      <c r="CV4141">
        <v>0.3</v>
      </c>
      <c r="CW4141">
        <v>45</v>
      </c>
      <c r="CX4141" t="s">
        <v>311</v>
      </c>
    </row>
    <row r="4142" spans="1:102" x14ac:dyDescent="0.3">
      <c r="A4142" t="str">
        <f>HYPERLINK("https://webapp.icbf.com/v2/app/bull-search/view/1028535741","S1466")</f>
        <v>S1466</v>
      </c>
      <c r="B4142" t="s">
        <v>5656</v>
      </c>
      <c r="C4142" t="s">
        <v>5657</v>
      </c>
      <c r="D4142" s="1">
        <v>38192</v>
      </c>
      <c r="E4142" t="s">
        <v>895</v>
      </c>
      <c r="F4142">
        <v>0</v>
      </c>
      <c r="G4142" t="s">
        <v>93</v>
      </c>
      <c r="H4142">
        <v>-93.44</v>
      </c>
      <c r="I4142">
        <v>58</v>
      </c>
      <c r="J4142">
        <v>-28.32</v>
      </c>
      <c r="K4142">
        <v>76</v>
      </c>
      <c r="L4142">
        <v>4.67</v>
      </c>
      <c r="M4142">
        <v>33</v>
      </c>
      <c r="N4142">
        <v>-90.46</v>
      </c>
      <c r="O4142">
        <v>69</v>
      </c>
      <c r="P4142">
        <v>-5.91</v>
      </c>
      <c r="Q4142">
        <v>77</v>
      </c>
      <c r="R4142">
        <v>2.81</v>
      </c>
      <c r="S4142">
        <v>29</v>
      </c>
      <c r="T4142">
        <v>24.04</v>
      </c>
      <c r="U4142">
        <v>73</v>
      </c>
      <c r="V4142">
        <v>-0.27</v>
      </c>
      <c r="W4142">
        <v>39</v>
      </c>
      <c r="X4142" t="s">
        <v>102</v>
      </c>
      <c r="Y4142" t="s">
        <v>342</v>
      </c>
      <c r="Z4142">
        <v>0</v>
      </c>
      <c r="AA4142" t="s">
        <v>5658</v>
      </c>
      <c r="AB4142" t="s">
        <v>5659</v>
      </c>
      <c r="AC4142">
        <v>28</v>
      </c>
      <c r="AD4142">
        <v>12</v>
      </c>
      <c r="AE4142">
        <v>76</v>
      </c>
      <c r="AF4142">
        <v>-424.07</v>
      </c>
      <c r="AG4142">
        <v>-10.99</v>
      </c>
      <c r="AH4142">
        <v>-7.42</v>
      </c>
      <c r="AI4142">
        <v>0.1</v>
      </c>
      <c r="AJ4142">
        <v>0.13</v>
      </c>
      <c r="AK4142">
        <v>33</v>
      </c>
      <c r="AL4142">
        <v>24</v>
      </c>
      <c r="AM4142">
        <v>13</v>
      </c>
      <c r="AN4142">
        <v>1.1200000000000001</v>
      </c>
      <c r="AO4142">
        <v>1.51</v>
      </c>
      <c r="AP4142">
        <v>98</v>
      </c>
      <c r="AQ4142">
        <v>0</v>
      </c>
      <c r="AR4142">
        <v>16.03</v>
      </c>
      <c r="AS4142">
        <v>45</v>
      </c>
      <c r="AT4142">
        <v>6.35</v>
      </c>
      <c r="AU4142">
        <v>73</v>
      </c>
      <c r="AV4142">
        <v>2.68</v>
      </c>
      <c r="AW4142">
        <v>90</v>
      </c>
      <c r="AX4142">
        <v>1.03</v>
      </c>
      <c r="AY4142">
        <v>64</v>
      </c>
      <c r="AZ4142">
        <v>5.16</v>
      </c>
      <c r="BA4142">
        <v>36</v>
      </c>
      <c r="BB4142">
        <v>4.1900000000000004</v>
      </c>
      <c r="BC4142">
        <v>24</v>
      </c>
      <c r="BD4142">
        <v>-0.01</v>
      </c>
      <c r="BE4142">
        <v>-0.02</v>
      </c>
      <c r="BF4142">
        <v>-0.01</v>
      </c>
      <c r="BG4142">
        <v>36</v>
      </c>
      <c r="BH4142">
        <v>-0.1</v>
      </c>
      <c r="BI4142">
        <v>-10.7</v>
      </c>
      <c r="BJ4142">
        <v>0</v>
      </c>
      <c r="BK4142">
        <v>0</v>
      </c>
      <c r="BL4142">
        <v>0</v>
      </c>
      <c r="BM4142">
        <v>0</v>
      </c>
      <c r="BN4142">
        <v>0</v>
      </c>
      <c r="BO4142">
        <v>0</v>
      </c>
      <c r="BP4142">
        <v>0</v>
      </c>
      <c r="BQ4142">
        <v>0</v>
      </c>
      <c r="BR4142">
        <v>0</v>
      </c>
      <c r="BS4142">
        <v>0</v>
      </c>
      <c r="BT4142">
        <v>0</v>
      </c>
      <c r="BU4142">
        <v>0</v>
      </c>
      <c r="BV4142">
        <v>0</v>
      </c>
      <c r="BW4142">
        <v>0</v>
      </c>
      <c r="BX4142">
        <v>0</v>
      </c>
      <c r="BY4142">
        <v>0</v>
      </c>
      <c r="BZ4142">
        <v>0</v>
      </c>
      <c r="CA4142">
        <v>0</v>
      </c>
      <c r="CB4142">
        <v>0</v>
      </c>
      <c r="CC4142">
        <v>0</v>
      </c>
      <c r="CD4142">
        <v>0</v>
      </c>
      <c r="CE4142">
        <v>0</v>
      </c>
      <c r="CF4142">
        <v>0</v>
      </c>
      <c r="CG4142">
        <v>0</v>
      </c>
      <c r="CH4142">
        <v>0</v>
      </c>
      <c r="CI4142">
        <v>0</v>
      </c>
      <c r="CJ4142">
        <v>-1.7</v>
      </c>
      <c r="CK4142">
        <v>80</v>
      </c>
      <c r="CL4142">
        <v>-0.18</v>
      </c>
      <c r="CM4142">
        <v>76</v>
      </c>
      <c r="CN4142">
        <v>0.02</v>
      </c>
      <c r="CO4142">
        <v>73</v>
      </c>
      <c r="CP4142">
        <v>-9.8000000000000007</v>
      </c>
      <c r="CQ4142">
        <v>66</v>
      </c>
      <c r="CR4142">
        <v>0</v>
      </c>
      <c r="CS4142">
        <v>0</v>
      </c>
      <c r="CT4142">
        <v>-18.7</v>
      </c>
      <c r="CU4142">
        <v>73</v>
      </c>
      <c r="CV4142">
        <v>0.01</v>
      </c>
      <c r="CW4142">
        <v>41</v>
      </c>
      <c r="CX4142" t="s">
        <v>5660</v>
      </c>
    </row>
    <row r="4143" spans="1:102" x14ac:dyDescent="0.3">
      <c r="A4143" t="str">
        <f>HYPERLINK("https://webapp.icbf.com/v2/app/bull-search/view/77858791","DAT")</f>
        <v>DAT</v>
      </c>
      <c r="B4143" t="s">
        <v>15081</v>
      </c>
      <c r="C4143" t="s">
        <v>15082</v>
      </c>
      <c r="D4143" s="1">
        <v>31965</v>
      </c>
      <c r="E4143" t="s">
        <v>92</v>
      </c>
      <c r="F4143">
        <v>100</v>
      </c>
      <c r="G4143" t="s">
        <v>93</v>
      </c>
      <c r="H4143">
        <v>-93.52</v>
      </c>
      <c r="I4143">
        <v>89</v>
      </c>
      <c r="J4143">
        <v>-40.46</v>
      </c>
      <c r="K4143">
        <v>97</v>
      </c>
      <c r="L4143">
        <v>-47.05</v>
      </c>
      <c r="M4143">
        <v>85</v>
      </c>
      <c r="N4143">
        <v>0.28999999999999998</v>
      </c>
      <c r="O4143">
        <v>80</v>
      </c>
      <c r="P4143">
        <v>-6.46</v>
      </c>
      <c r="Q4143">
        <v>92</v>
      </c>
      <c r="R4143">
        <v>-18.7</v>
      </c>
      <c r="S4143">
        <v>83</v>
      </c>
      <c r="T4143">
        <v>17.010000000000002</v>
      </c>
      <c r="U4143">
        <v>94</v>
      </c>
      <c r="V4143">
        <v>1.85</v>
      </c>
      <c r="W4143">
        <v>72</v>
      </c>
      <c r="X4143" t="s">
        <v>94</v>
      </c>
      <c r="Y4143" t="s">
        <v>95</v>
      </c>
      <c r="Z4143" t="s">
        <v>96</v>
      </c>
      <c r="AA4143" t="s">
        <v>120</v>
      </c>
      <c r="AB4143" t="s">
        <v>15083</v>
      </c>
      <c r="AC4143">
        <v>187</v>
      </c>
      <c r="AD4143">
        <v>80</v>
      </c>
      <c r="AE4143">
        <v>97</v>
      </c>
      <c r="AF4143">
        <v>-149.80000000000001</v>
      </c>
      <c r="AG4143">
        <v>-5.92</v>
      </c>
      <c r="AH4143">
        <v>-7.08</v>
      </c>
      <c r="AI4143">
        <v>0</v>
      </c>
      <c r="AJ4143">
        <v>-0.04</v>
      </c>
      <c r="AK4143">
        <v>85</v>
      </c>
      <c r="AL4143">
        <v>289</v>
      </c>
      <c r="AM4143">
        <v>140</v>
      </c>
      <c r="AN4143">
        <v>2.72</v>
      </c>
      <c r="AO4143">
        <v>-1.03</v>
      </c>
      <c r="AP4143">
        <v>14</v>
      </c>
      <c r="AQ4143">
        <v>0</v>
      </c>
      <c r="AR4143">
        <v>7.31</v>
      </c>
      <c r="AS4143">
        <v>66</v>
      </c>
      <c r="AT4143">
        <v>3.27</v>
      </c>
      <c r="AU4143">
        <v>81</v>
      </c>
      <c r="AV4143">
        <v>-0.17</v>
      </c>
      <c r="AW4143">
        <v>83</v>
      </c>
      <c r="AX4143">
        <v>-0.21</v>
      </c>
      <c r="AY4143">
        <v>90</v>
      </c>
      <c r="AZ4143">
        <v>6.55</v>
      </c>
      <c r="BA4143">
        <v>60</v>
      </c>
      <c r="BB4143">
        <v>5.18</v>
      </c>
      <c r="BC4143">
        <v>74</v>
      </c>
      <c r="BD4143">
        <v>0.09</v>
      </c>
      <c r="BE4143">
        <v>0.1</v>
      </c>
      <c r="BF4143">
        <v>0.09</v>
      </c>
      <c r="BG4143">
        <v>94</v>
      </c>
      <c r="BH4143">
        <v>0.18</v>
      </c>
      <c r="BI4143">
        <v>14.86</v>
      </c>
      <c r="BJ4143">
        <v>26</v>
      </c>
      <c r="BK4143">
        <v>13</v>
      </c>
      <c r="BL4143">
        <v>0.68</v>
      </c>
      <c r="BM4143">
        <v>-0.35</v>
      </c>
      <c r="BN4143">
        <v>0.57999999999999996</v>
      </c>
      <c r="BO4143">
        <v>0.41</v>
      </c>
      <c r="BP4143">
        <v>-0.34</v>
      </c>
      <c r="BQ4143">
        <v>0.19</v>
      </c>
      <c r="BR4143">
        <v>0.43</v>
      </c>
      <c r="BS4143">
        <v>-0.91</v>
      </c>
      <c r="BT4143">
        <v>-0.72</v>
      </c>
      <c r="BU4143">
        <v>0.25</v>
      </c>
      <c r="BV4143">
        <v>0.78</v>
      </c>
      <c r="BW4143">
        <v>0.48</v>
      </c>
      <c r="BX4143">
        <v>0.42</v>
      </c>
      <c r="BY4143">
        <v>-1.48</v>
      </c>
      <c r="BZ4143">
        <v>1.54</v>
      </c>
      <c r="CA4143">
        <v>-0.27</v>
      </c>
      <c r="CB4143">
        <v>0.16</v>
      </c>
      <c r="CC4143">
        <v>-0.92</v>
      </c>
      <c r="CD4143">
        <v>-0.43</v>
      </c>
      <c r="CE4143">
        <v>0.61</v>
      </c>
      <c r="CF4143">
        <v>1.01</v>
      </c>
      <c r="CG4143">
        <v>0</v>
      </c>
      <c r="CH4143">
        <v>-1.88</v>
      </c>
      <c r="CI4143">
        <v>0</v>
      </c>
      <c r="CJ4143">
        <v>-1.9</v>
      </c>
      <c r="CK4143">
        <v>93</v>
      </c>
      <c r="CL4143">
        <v>-0.51</v>
      </c>
      <c r="CM4143">
        <v>91</v>
      </c>
      <c r="CN4143">
        <v>-0.25</v>
      </c>
      <c r="CO4143">
        <v>90</v>
      </c>
      <c r="CP4143">
        <v>-10</v>
      </c>
      <c r="CQ4143">
        <v>95</v>
      </c>
      <c r="CR4143">
        <v>0</v>
      </c>
      <c r="CS4143">
        <v>0</v>
      </c>
      <c r="CT4143">
        <v>-9.1999999999999993</v>
      </c>
      <c r="CU4143">
        <v>94</v>
      </c>
      <c r="CV4143">
        <v>0.13</v>
      </c>
      <c r="CW4143">
        <v>45</v>
      </c>
      <c r="CX4143" t="s">
        <v>617</v>
      </c>
    </row>
    <row r="4144" spans="1:102" x14ac:dyDescent="0.3">
      <c r="A4144" t="str">
        <f>HYPERLINK("https://webapp.icbf.com/v2/app/bull-search/view/69092713","SRW")</f>
        <v>SRW</v>
      </c>
      <c r="B4144" t="s">
        <v>15672</v>
      </c>
      <c r="C4144" t="s">
        <v>15673</v>
      </c>
      <c r="D4144" s="1">
        <v>33185</v>
      </c>
      <c r="E4144" t="s">
        <v>108</v>
      </c>
      <c r="F4144">
        <v>0</v>
      </c>
      <c r="G4144" t="s">
        <v>93</v>
      </c>
      <c r="H4144">
        <v>-93.6</v>
      </c>
      <c r="I4144">
        <v>83</v>
      </c>
      <c r="J4144">
        <v>-98.04</v>
      </c>
      <c r="K4144">
        <v>97</v>
      </c>
      <c r="L4144">
        <v>-6.44</v>
      </c>
      <c r="M4144">
        <v>75</v>
      </c>
      <c r="N4144">
        <v>1.39</v>
      </c>
      <c r="O4144">
        <v>75</v>
      </c>
      <c r="P4144">
        <v>-0.25</v>
      </c>
      <c r="Q4144">
        <v>92</v>
      </c>
      <c r="R4144">
        <v>5.07</v>
      </c>
      <c r="S4144">
        <v>71</v>
      </c>
      <c r="T4144">
        <v>5.83</v>
      </c>
      <c r="U4144">
        <v>90</v>
      </c>
      <c r="V4144">
        <v>-1.1599999999999999</v>
      </c>
      <c r="W4144">
        <v>38</v>
      </c>
      <c r="X4144" t="s">
        <v>94</v>
      </c>
      <c r="Y4144" t="s">
        <v>95</v>
      </c>
      <c r="Z4144" t="s">
        <v>96</v>
      </c>
      <c r="AA4144" t="s">
        <v>15674</v>
      </c>
      <c r="AB4144" t="s">
        <v>15675</v>
      </c>
      <c r="AC4144">
        <v>143</v>
      </c>
      <c r="AD4144">
        <v>85</v>
      </c>
      <c r="AE4144">
        <v>97</v>
      </c>
      <c r="AF4144">
        <v>-622.96</v>
      </c>
      <c r="AG4144">
        <v>-22.16</v>
      </c>
      <c r="AH4144">
        <v>-18.37</v>
      </c>
      <c r="AI4144">
        <v>0.04</v>
      </c>
      <c r="AJ4144">
        <v>0.06</v>
      </c>
      <c r="AK4144">
        <v>75</v>
      </c>
      <c r="AL4144">
        <v>247</v>
      </c>
      <c r="AM4144">
        <v>149</v>
      </c>
      <c r="AN4144">
        <v>-0.91</v>
      </c>
      <c r="AO4144">
        <v>-1.44</v>
      </c>
      <c r="AP4144">
        <v>14</v>
      </c>
      <c r="AQ4144">
        <v>0</v>
      </c>
      <c r="AR4144">
        <v>9.2100000000000009</v>
      </c>
      <c r="AS4144">
        <v>36</v>
      </c>
      <c r="AT4144">
        <v>3.62</v>
      </c>
      <c r="AU4144">
        <v>70</v>
      </c>
      <c r="AV4144">
        <v>-1.62</v>
      </c>
      <c r="AW4144">
        <v>87</v>
      </c>
      <c r="AX4144">
        <v>-0.01</v>
      </c>
      <c r="AY4144">
        <v>87</v>
      </c>
      <c r="AZ4144">
        <v>7.73</v>
      </c>
      <c r="BA4144">
        <v>36</v>
      </c>
      <c r="BB4144">
        <v>5.0599999999999996</v>
      </c>
      <c r="BC4144">
        <v>68</v>
      </c>
      <c r="BD4144">
        <v>0.02</v>
      </c>
      <c r="BE4144">
        <v>0</v>
      </c>
      <c r="BF4144">
        <v>-0.15</v>
      </c>
      <c r="BG4144">
        <v>92</v>
      </c>
      <c r="BH4144">
        <v>-0.11</v>
      </c>
      <c r="BI4144">
        <v>-8.98</v>
      </c>
      <c r="BJ4144">
        <v>1</v>
      </c>
      <c r="BK4144">
        <v>1</v>
      </c>
      <c r="BL4144">
        <v>-1.72</v>
      </c>
      <c r="BM4144">
        <v>1.97</v>
      </c>
      <c r="BN4144">
        <v>-1.45</v>
      </c>
      <c r="BO4144">
        <v>-2.12</v>
      </c>
      <c r="BP4144">
        <v>0.33</v>
      </c>
      <c r="BQ4144">
        <v>1.32</v>
      </c>
      <c r="BR4144">
        <v>-0.82</v>
      </c>
      <c r="BS4144">
        <v>1.29</v>
      </c>
      <c r="BT4144">
        <v>0.52</v>
      </c>
      <c r="BU4144">
        <v>-2.12</v>
      </c>
      <c r="BV4144">
        <v>-2.69</v>
      </c>
      <c r="BW4144">
        <v>-2.11</v>
      </c>
      <c r="BX4144">
        <v>-0.55000000000000004</v>
      </c>
      <c r="BY4144">
        <v>-0.86</v>
      </c>
      <c r="BZ4144">
        <v>0.01</v>
      </c>
      <c r="CA4144">
        <v>-2.3199999999999998</v>
      </c>
      <c r="CB4144">
        <v>-2.88</v>
      </c>
      <c r="CC4144">
        <v>-0.22</v>
      </c>
      <c r="CD4144">
        <v>2.37</v>
      </c>
      <c r="CE4144">
        <v>-2.42</v>
      </c>
      <c r="CF4144">
        <v>-0.48</v>
      </c>
      <c r="CG4144">
        <v>0</v>
      </c>
      <c r="CH4144">
        <v>-2.3199999999999998</v>
      </c>
      <c r="CI4144">
        <v>0</v>
      </c>
      <c r="CJ4144">
        <v>-0.5</v>
      </c>
      <c r="CK4144">
        <v>92</v>
      </c>
      <c r="CL4144">
        <v>0.28000000000000003</v>
      </c>
      <c r="CM4144">
        <v>91</v>
      </c>
      <c r="CN4144">
        <v>0.28000000000000003</v>
      </c>
      <c r="CO4144">
        <v>90</v>
      </c>
      <c r="CP4144">
        <v>5.5</v>
      </c>
      <c r="CQ4144">
        <v>92</v>
      </c>
      <c r="CR4144">
        <v>0</v>
      </c>
      <c r="CS4144">
        <v>0</v>
      </c>
      <c r="CT4144">
        <v>5.9</v>
      </c>
      <c r="CU4144">
        <v>90</v>
      </c>
      <c r="CV4144">
        <v>-0.11</v>
      </c>
      <c r="CW4144">
        <v>26</v>
      </c>
      <c r="CX4144">
        <v>0</v>
      </c>
    </row>
    <row r="4145" spans="1:102" x14ac:dyDescent="0.3">
      <c r="A4145" t="str">
        <f>HYPERLINK("https://webapp.icbf.com/v2/app/bull-search/view/437084821","RJS")</f>
        <v>RJS</v>
      </c>
      <c r="B4145" t="s">
        <v>11928</v>
      </c>
      <c r="C4145" t="s">
        <v>11929</v>
      </c>
      <c r="D4145" s="1">
        <v>36072</v>
      </c>
      <c r="E4145" t="s">
        <v>92</v>
      </c>
      <c r="F4145">
        <v>100</v>
      </c>
      <c r="G4145" t="s">
        <v>109</v>
      </c>
      <c r="H4145">
        <v>-93.65</v>
      </c>
      <c r="I4145">
        <v>81</v>
      </c>
      <c r="J4145">
        <v>-22.71</v>
      </c>
      <c r="K4145">
        <v>94</v>
      </c>
      <c r="L4145">
        <v>-64.180000000000007</v>
      </c>
      <c r="M4145">
        <v>87</v>
      </c>
      <c r="N4145">
        <v>14.93</v>
      </c>
      <c r="O4145">
        <v>68</v>
      </c>
      <c r="P4145">
        <v>-23.62</v>
      </c>
      <c r="Q4145">
        <v>55</v>
      </c>
      <c r="R4145">
        <v>-11.58</v>
      </c>
      <c r="S4145">
        <v>76</v>
      </c>
      <c r="T4145">
        <v>9.76</v>
      </c>
      <c r="U4145">
        <v>52</v>
      </c>
      <c r="V4145">
        <v>3.75</v>
      </c>
      <c r="W4145">
        <v>63</v>
      </c>
      <c r="X4145" t="s">
        <v>110</v>
      </c>
      <c r="Y4145" t="s">
        <v>95</v>
      </c>
      <c r="Z4145" t="s">
        <v>96</v>
      </c>
      <c r="AA4145" t="s">
        <v>216</v>
      </c>
      <c r="AB4145" t="s">
        <v>11930</v>
      </c>
      <c r="AC4145">
        <v>0</v>
      </c>
      <c r="AD4145">
        <v>0</v>
      </c>
      <c r="AE4145">
        <v>94</v>
      </c>
      <c r="AF4145">
        <v>682.47</v>
      </c>
      <c r="AG4145">
        <v>2.95</v>
      </c>
      <c r="AH4145">
        <v>5.54</v>
      </c>
      <c r="AI4145">
        <v>-0.37</v>
      </c>
      <c r="AJ4145">
        <v>-0.27</v>
      </c>
      <c r="AK4145">
        <v>87</v>
      </c>
      <c r="AL4145">
        <v>0</v>
      </c>
      <c r="AM4145">
        <v>0</v>
      </c>
      <c r="AN4145">
        <v>4.13</v>
      </c>
      <c r="AO4145">
        <v>-0.98</v>
      </c>
      <c r="AP4145">
        <v>6</v>
      </c>
      <c r="AQ4145">
        <v>0</v>
      </c>
      <c r="AR4145">
        <v>5.86</v>
      </c>
      <c r="AS4145">
        <v>55</v>
      </c>
      <c r="AT4145">
        <v>3.7</v>
      </c>
      <c r="AU4145">
        <v>97</v>
      </c>
      <c r="AV4145">
        <v>-2.5</v>
      </c>
      <c r="AW4145">
        <v>66</v>
      </c>
      <c r="AX4145">
        <v>-0.42</v>
      </c>
      <c r="AY4145">
        <v>49</v>
      </c>
      <c r="AZ4145">
        <v>6.25</v>
      </c>
      <c r="BA4145">
        <v>46</v>
      </c>
      <c r="BB4145">
        <v>6.09</v>
      </c>
      <c r="BC4145">
        <v>48</v>
      </c>
      <c r="BD4145">
        <v>0.08</v>
      </c>
      <c r="BE4145">
        <v>7.0000000000000007E-2</v>
      </c>
      <c r="BF4145">
        <v>0</v>
      </c>
      <c r="BG4145">
        <v>92</v>
      </c>
      <c r="BH4145">
        <v>0.12</v>
      </c>
      <c r="BI4145">
        <v>1.8</v>
      </c>
      <c r="BJ4145">
        <v>0</v>
      </c>
      <c r="BK4145">
        <v>0</v>
      </c>
      <c r="BL4145">
        <v>0.9</v>
      </c>
      <c r="BM4145">
        <v>0.97</v>
      </c>
      <c r="BN4145">
        <v>1.27</v>
      </c>
      <c r="BO4145">
        <v>0.48</v>
      </c>
      <c r="BP4145">
        <v>1.49</v>
      </c>
      <c r="BQ4145">
        <v>1.04</v>
      </c>
      <c r="BR4145">
        <v>0.02</v>
      </c>
      <c r="BS4145">
        <v>-1.74</v>
      </c>
      <c r="BT4145">
        <v>-0.34</v>
      </c>
      <c r="BU4145">
        <v>0.81</v>
      </c>
      <c r="BV4145">
        <v>0.75</v>
      </c>
      <c r="BW4145">
        <v>1.5</v>
      </c>
      <c r="BX4145">
        <v>0.83</v>
      </c>
      <c r="BY4145">
        <v>1.18</v>
      </c>
      <c r="BZ4145">
        <v>1.1399999999999999</v>
      </c>
      <c r="CA4145">
        <v>0.18</v>
      </c>
      <c r="CB4145">
        <v>0.76</v>
      </c>
      <c r="CC4145">
        <v>-1.27</v>
      </c>
      <c r="CD4145">
        <v>-0.12</v>
      </c>
      <c r="CE4145">
        <v>0.52</v>
      </c>
      <c r="CF4145">
        <v>0.95</v>
      </c>
      <c r="CG4145">
        <v>0</v>
      </c>
      <c r="CH4145">
        <v>1.23</v>
      </c>
      <c r="CI4145">
        <v>0</v>
      </c>
      <c r="CJ4145">
        <v>-9.6999999999999993</v>
      </c>
      <c r="CK4145">
        <v>57</v>
      </c>
      <c r="CL4145">
        <v>-1.03</v>
      </c>
      <c r="CM4145">
        <v>54</v>
      </c>
      <c r="CN4145">
        <v>-0.2</v>
      </c>
      <c r="CO4145">
        <v>54</v>
      </c>
      <c r="CP4145">
        <v>-13</v>
      </c>
      <c r="CQ4145">
        <v>51</v>
      </c>
      <c r="CR4145">
        <v>0</v>
      </c>
      <c r="CS4145">
        <v>0</v>
      </c>
      <c r="CT4145">
        <v>0.6</v>
      </c>
      <c r="CU4145">
        <v>52</v>
      </c>
      <c r="CV4145">
        <v>0.11</v>
      </c>
      <c r="CW4145">
        <v>37</v>
      </c>
      <c r="CX4145" t="s">
        <v>1106</v>
      </c>
    </row>
    <row r="4146" spans="1:102" x14ac:dyDescent="0.3">
      <c r="A4146" t="str">
        <f>HYPERLINK("https://webapp.icbf.com/v2/app/bull-search/view/77857495","GBN")</f>
        <v>GBN</v>
      </c>
      <c r="B4146" t="s">
        <v>9903</v>
      </c>
      <c r="C4146" t="s">
        <v>751</v>
      </c>
      <c r="D4146" s="1">
        <v>33477</v>
      </c>
      <c r="E4146" t="s">
        <v>92</v>
      </c>
      <c r="F4146">
        <v>100</v>
      </c>
      <c r="G4146" t="s">
        <v>93</v>
      </c>
      <c r="H4146">
        <v>-93.76</v>
      </c>
      <c r="I4146">
        <v>98</v>
      </c>
      <c r="J4146">
        <v>23.51</v>
      </c>
      <c r="K4146">
        <v>99</v>
      </c>
      <c r="L4146">
        <v>-130.08000000000001</v>
      </c>
      <c r="M4146">
        <v>96</v>
      </c>
      <c r="N4146">
        <v>5.98</v>
      </c>
      <c r="O4146">
        <v>98</v>
      </c>
      <c r="P4146">
        <v>0.23</v>
      </c>
      <c r="Q4146">
        <v>99</v>
      </c>
      <c r="R4146">
        <v>2.41</v>
      </c>
      <c r="S4146">
        <v>96</v>
      </c>
      <c r="T4146">
        <v>-1.27</v>
      </c>
      <c r="U4146">
        <v>98</v>
      </c>
      <c r="V4146">
        <v>5.46</v>
      </c>
      <c r="W4146">
        <v>95</v>
      </c>
      <c r="X4146" t="s">
        <v>558</v>
      </c>
      <c r="Y4146" t="s">
        <v>95</v>
      </c>
      <c r="Z4146" t="s">
        <v>96</v>
      </c>
      <c r="AA4146" t="s">
        <v>118</v>
      </c>
      <c r="AB4146" t="s">
        <v>9904</v>
      </c>
      <c r="AC4146">
        <v>2070</v>
      </c>
      <c r="AD4146">
        <v>688</v>
      </c>
      <c r="AE4146">
        <v>99</v>
      </c>
      <c r="AF4146">
        <v>267.18</v>
      </c>
      <c r="AG4146">
        <v>-1.1100000000000001</v>
      </c>
      <c r="AH4146">
        <v>8.48</v>
      </c>
      <c r="AI4146">
        <v>-0.19</v>
      </c>
      <c r="AJ4146">
        <v>-0.01</v>
      </c>
      <c r="AK4146">
        <v>96</v>
      </c>
      <c r="AL4146">
        <v>1954</v>
      </c>
      <c r="AM4146">
        <v>625</v>
      </c>
      <c r="AN4146">
        <v>7.39</v>
      </c>
      <c r="AO4146">
        <v>-2.98</v>
      </c>
      <c r="AP4146">
        <v>812</v>
      </c>
      <c r="AQ4146">
        <v>1</v>
      </c>
      <c r="AR4146">
        <v>9.1</v>
      </c>
      <c r="AS4146">
        <v>96</v>
      </c>
      <c r="AT4146">
        <v>4.18</v>
      </c>
      <c r="AU4146">
        <v>99</v>
      </c>
      <c r="AV4146">
        <v>-2.34</v>
      </c>
      <c r="AW4146">
        <v>99</v>
      </c>
      <c r="AX4146">
        <v>0.17</v>
      </c>
      <c r="AY4146">
        <v>99</v>
      </c>
      <c r="AZ4146">
        <v>6.19</v>
      </c>
      <c r="BA4146">
        <v>96</v>
      </c>
      <c r="BB4146">
        <v>4.5599999999999996</v>
      </c>
      <c r="BC4146">
        <v>97</v>
      </c>
      <c r="BD4146">
        <v>0.04</v>
      </c>
      <c r="BE4146">
        <v>0.02</v>
      </c>
      <c r="BF4146">
        <v>-0.16</v>
      </c>
      <c r="BG4146">
        <v>99</v>
      </c>
      <c r="BH4146">
        <v>0.08</v>
      </c>
      <c r="BI4146">
        <v>-8.35</v>
      </c>
      <c r="BJ4146">
        <v>325</v>
      </c>
      <c r="BK4146">
        <v>152</v>
      </c>
      <c r="BL4146">
        <v>0.66</v>
      </c>
      <c r="BM4146">
        <v>0.66</v>
      </c>
      <c r="BN4146">
        <v>0.98</v>
      </c>
      <c r="BO4146">
        <v>0.3</v>
      </c>
      <c r="BP4146">
        <v>0.2</v>
      </c>
      <c r="BQ4146">
        <v>0.34</v>
      </c>
      <c r="BR4146">
        <v>0.56999999999999995</v>
      </c>
      <c r="BS4146">
        <v>-0.85</v>
      </c>
      <c r="BT4146">
        <v>-1.21</v>
      </c>
      <c r="BU4146">
        <v>-0.84</v>
      </c>
      <c r="BV4146">
        <v>0.06</v>
      </c>
      <c r="BW4146">
        <v>-7.0000000000000007E-2</v>
      </c>
      <c r="BX4146">
        <v>-0.97</v>
      </c>
      <c r="BY4146">
        <v>-0.98</v>
      </c>
      <c r="BZ4146">
        <v>-1.94</v>
      </c>
      <c r="CA4146">
        <v>-0.44</v>
      </c>
      <c r="CB4146">
        <v>-0.43</v>
      </c>
      <c r="CC4146">
        <v>-0.18</v>
      </c>
      <c r="CD4146">
        <v>-0.24</v>
      </c>
      <c r="CE4146">
        <v>0.56000000000000005</v>
      </c>
      <c r="CF4146">
        <v>0.77</v>
      </c>
      <c r="CG4146">
        <v>0</v>
      </c>
      <c r="CH4146">
        <v>-1.05</v>
      </c>
      <c r="CI4146">
        <v>0</v>
      </c>
      <c r="CJ4146">
        <v>2.5</v>
      </c>
      <c r="CK4146">
        <v>99</v>
      </c>
      <c r="CL4146">
        <v>-0.76</v>
      </c>
      <c r="CM4146">
        <v>99</v>
      </c>
      <c r="CN4146">
        <v>-0.35</v>
      </c>
      <c r="CO4146">
        <v>99</v>
      </c>
      <c r="CP4146">
        <v>3.5</v>
      </c>
      <c r="CQ4146">
        <v>99</v>
      </c>
      <c r="CR4146">
        <v>0</v>
      </c>
      <c r="CS4146">
        <v>0</v>
      </c>
      <c r="CT4146">
        <v>15.5</v>
      </c>
      <c r="CU4146">
        <v>98</v>
      </c>
      <c r="CV4146">
        <v>0.25</v>
      </c>
      <c r="CW4146">
        <v>47</v>
      </c>
      <c r="CX4146" t="s">
        <v>3473</v>
      </c>
    </row>
    <row r="4147" spans="1:102" x14ac:dyDescent="0.3">
      <c r="A4147" t="str">
        <f>HYPERLINK("https://webapp.icbf.com/v2/app/bull-search/view/444483420","SJS")</f>
        <v>SJS</v>
      </c>
      <c r="B4147" t="s">
        <v>11967</v>
      </c>
      <c r="C4147" t="s">
        <v>11968</v>
      </c>
      <c r="D4147" s="1">
        <v>36796</v>
      </c>
      <c r="E4147" t="s">
        <v>92</v>
      </c>
      <c r="F4147">
        <v>100</v>
      </c>
      <c r="G4147" t="s">
        <v>109</v>
      </c>
      <c r="H4147">
        <v>-93.77</v>
      </c>
      <c r="I4147">
        <v>75</v>
      </c>
      <c r="J4147">
        <v>20.9</v>
      </c>
      <c r="K4147">
        <v>80</v>
      </c>
      <c r="L4147">
        <v>-136.65</v>
      </c>
      <c r="M4147">
        <v>79</v>
      </c>
      <c r="N4147">
        <v>17.29</v>
      </c>
      <c r="O4147">
        <v>71</v>
      </c>
      <c r="P4147">
        <v>-2.39</v>
      </c>
      <c r="Q4147">
        <v>73</v>
      </c>
      <c r="R4147">
        <v>-0.78</v>
      </c>
      <c r="S4147">
        <v>69</v>
      </c>
      <c r="T4147">
        <v>7.61</v>
      </c>
      <c r="U4147">
        <v>67</v>
      </c>
      <c r="V4147">
        <v>0.25</v>
      </c>
      <c r="W4147">
        <v>33</v>
      </c>
      <c r="X4147" t="s">
        <v>288</v>
      </c>
      <c r="Y4147" t="s">
        <v>1208</v>
      </c>
      <c r="Z4147" t="s">
        <v>96</v>
      </c>
      <c r="AA4147" t="s">
        <v>273</v>
      </c>
      <c r="AB4147" t="s">
        <v>11969</v>
      </c>
      <c r="AC4147">
        <v>0</v>
      </c>
      <c r="AD4147">
        <v>0</v>
      </c>
      <c r="AE4147">
        <v>80</v>
      </c>
      <c r="AF4147">
        <v>244.68</v>
      </c>
      <c r="AG4147">
        <v>2.88</v>
      </c>
      <c r="AH4147">
        <v>6.28</v>
      </c>
      <c r="AI4147">
        <v>-0.11</v>
      </c>
      <c r="AJ4147">
        <v>-0.03</v>
      </c>
      <c r="AK4147">
        <v>79</v>
      </c>
      <c r="AL4147">
        <v>0</v>
      </c>
      <c r="AM4147">
        <v>0</v>
      </c>
      <c r="AN4147">
        <v>8.0399999999999991</v>
      </c>
      <c r="AO4147">
        <v>-2.85</v>
      </c>
      <c r="AP4147">
        <v>43</v>
      </c>
      <c r="AQ4147">
        <v>0</v>
      </c>
      <c r="AR4147">
        <v>7.14</v>
      </c>
      <c r="AS4147">
        <v>40</v>
      </c>
      <c r="AT4147">
        <v>3.61</v>
      </c>
      <c r="AU4147">
        <v>87</v>
      </c>
      <c r="AV4147">
        <v>-2.0699999999999998</v>
      </c>
      <c r="AW4147">
        <v>85</v>
      </c>
      <c r="AX4147">
        <v>-0.8</v>
      </c>
      <c r="AY4147">
        <v>54</v>
      </c>
      <c r="AZ4147">
        <v>5.85</v>
      </c>
      <c r="BA4147">
        <v>39</v>
      </c>
      <c r="BB4147">
        <v>4.79</v>
      </c>
      <c r="BC4147">
        <v>39</v>
      </c>
      <c r="BD4147">
        <v>0</v>
      </c>
      <c r="BE4147">
        <v>0.02</v>
      </c>
      <c r="BF4147">
        <v>-0.02</v>
      </c>
      <c r="BG4147">
        <v>88</v>
      </c>
      <c r="BH4147">
        <v>0.03</v>
      </c>
      <c r="BI4147">
        <v>2.67</v>
      </c>
      <c r="BJ4147">
        <v>6</v>
      </c>
      <c r="BK4147">
        <v>2</v>
      </c>
      <c r="BL4147">
        <v>1.61</v>
      </c>
      <c r="BM4147">
        <v>1</v>
      </c>
      <c r="BN4147">
        <v>1.86</v>
      </c>
      <c r="BO4147">
        <v>1.41</v>
      </c>
      <c r="BP4147">
        <v>-0.42</v>
      </c>
      <c r="BQ4147">
        <v>0.64</v>
      </c>
      <c r="BR4147">
        <v>-0.15</v>
      </c>
      <c r="BS4147">
        <v>-0.62</v>
      </c>
      <c r="BT4147">
        <v>0.51</v>
      </c>
      <c r="BU4147">
        <v>1.46</v>
      </c>
      <c r="BV4147">
        <v>1.64</v>
      </c>
      <c r="BW4147">
        <v>1.45</v>
      </c>
      <c r="BX4147">
        <v>1.0900000000000001</v>
      </c>
      <c r="BY4147">
        <v>-0.08</v>
      </c>
      <c r="BZ4147">
        <v>0.64</v>
      </c>
      <c r="CA4147">
        <v>1.02</v>
      </c>
      <c r="CB4147">
        <v>1.61</v>
      </c>
      <c r="CC4147">
        <v>-0.47</v>
      </c>
      <c r="CD4147">
        <v>-0.63</v>
      </c>
      <c r="CE4147">
        <v>0.32</v>
      </c>
      <c r="CF4147">
        <v>0.18</v>
      </c>
      <c r="CG4147">
        <v>0</v>
      </c>
      <c r="CH4147">
        <v>0.53</v>
      </c>
      <c r="CI4147">
        <v>0</v>
      </c>
      <c r="CJ4147">
        <v>1.6</v>
      </c>
      <c r="CK4147">
        <v>75</v>
      </c>
      <c r="CL4147">
        <v>-0.95</v>
      </c>
      <c r="CM4147">
        <v>71</v>
      </c>
      <c r="CN4147">
        <v>-0.47</v>
      </c>
      <c r="CO4147">
        <v>67</v>
      </c>
      <c r="CP4147">
        <v>-2</v>
      </c>
      <c r="CQ4147">
        <v>74</v>
      </c>
      <c r="CR4147">
        <v>0</v>
      </c>
      <c r="CS4147">
        <v>0</v>
      </c>
      <c r="CT4147">
        <v>3.5</v>
      </c>
      <c r="CU4147">
        <v>67</v>
      </c>
      <c r="CV4147">
        <v>0.32</v>
      </c>
      <c r="CW4147">
        <v>21</v>
      </c>
      <c r="CX4147" t="s">
        <v>3752</v>
      </c>
    </row>
    <row r="4148" spans="1:102" x14ac:dyDescent="0.3">
      <c r="A4148" t="str">
        <f>HYPERLINK("https://webapp.icbf.com/v2/app/bull-search/view/133696576","RTJ")</f>
        <v>RTJ</v>
      </c>
      <c r="B4148" t="s">
        <v>7059</v>
      </c>
      <c r="C4148" t="s">
        <v>7060</v>
      </c>
      <c r="D4148" s="1">
        <v>35114</v>
      </c>
      <c r="E4148" t="s">
        <v>92</v>
      </c>
      <c r="F4148">
        <v>100</v>
      </c>
      <c r="G4148" t="s">
        <v>93</v>
      </c>
      <c r="H4148">
        <v>-93.82</v>
      </c>
      <c r="I4148">
        <v>95</v>
      </c>
      <c r="J4148">
        <v>-4.84</v>
      </c>
      <c r="K4148">
        <v>99</v>
      </c>
      <c r="L4148">
        <v>-91.47</v>
      </c>
      <c r="M4148">
        <v>93</v>
      </c>
      <c r="N4148">
        <v>21.91</v>
      </c>
      <c r="O4148">
        <v>94</v>
      </c>
      <c r="P4148">
        <v>-2.19</v>
      </c>
      <c r="Q4148">
        <v>98</v>
      </c>
      <c r="R4148">
        <v>-10.42</v>
      </c>
      <c r="S4148">
        <v>90</v>
      </c>
      <c r="T4148">
        <v>-6.67</v>
      </c>
      <c r="U4148">
        <v>92</v>
      </c>
      <c r="V4148">
        <v>-0.14000000000000001</v>
      </c>
      <c r="W4148">
        <v>88</v>
      </c>
      <c r="X4148" t="s">
        <v>94</v>
      </c>
      <c r="Y4148" t="s">
        <v>95</v>
      </c>
      <c r="Z4148" t="s">
        <v>96</v>
      </c>
      <c r="AA4148" t="s">
        <v>839</v>
      </c>
      <c r="AB4148" t="s">
        <v>7061</v>
      </c>
      <c r="AC4148">
        <v>384</v>
      </c>
      <c r="AD4148">
        <v>126</v>
      </c>
      <c r="AE4148">
        <v>99</v>
      </c>
      <c r="AF4148">
        <v>289.39</v>
      </c>
      <c r="AG4148">
        <v>2.42</v>
      </c>
      <c r="AH4148">
        <v>2.75</v>
      </c>
      <c r="AI4148">
        <v>-0.15</v>
      </c>
      <c r="AJ4148">
        <v>-0.12</v>
      </c>
      <c r="AK4148">
        <v>93</v>
      </c>
      <c r="AL4148">
        <v>333</v>
      </c>
      <c r="AM4148">
        <v>120</v>
      </c>
      <c r="AN4148">
        <v>3.77</v>
      </c>
      <c r="AO4148">
        <v>-3.54</v>
      </c>
      <c r="AP4148">
        <v>713</v>
      </c>
      <c r="AQ4148">
        <v>1</v>
      </c>
      <c r="AR4148">
        <v>5.96</v>
      </c>
      <c r="AS4148">
        <v>95</v>
      </c>
      <c r="AT4148">
        <v>2.4500000000000002</v>
      </c>
      <c r="AU4148">
        <v>95</v>
      </c>
      <c r="AV4148">
        <v>-1.75</v>
      </c>
      <c r="AW4148">
        <v>98</v>
      </c>
      <c r="AX4148">
        <v>-0.7</v>
      </c>
      <c r="AY4148">
        <v>93</v>
      </c>
      <c r="AZ4148">
        <v>6.11</v>
      </c>
      <c r="BA4148">
        <v>84</v>
      </c>
      <c r="BB4148">
        <v>5.71</v>
      </c>
      <c r="BC4148">
        <v>84</v>
      </c>
      <c r="BD4148">
        <v>0.01</v>
      </c>
      <c r="BE4148">
        <v>7.0000000000000007E-2</v>
      </c>
      <c r="BF4148">
        <v>0.09</v>
      </c>
      <c r="BG4148">
        <v>96</v>
      </c>
      <c r="BH4148">
        <v>0.02</v>
      </c>
      <c r="BI4148">
        <v>2.77</v>
      </c>
      <c r="BJ4148">
        <v>49</v>
      </c>
      <c r="BK4148">
        <v>25</v>
      </c>
      <c r="BL4148">
        <v>1.37</v>
      </c>
      <c r="BM4148">
        <v>-0.54</v>
      </c>
      <c r="BN4148">
        <v>0.92</v>
      </c>
      <c r="BO4148">
        <v>1.01</v>
      </c>
      <c r="BP4148">
        <v>-1.1299999999999999</v>
      </c>
      <c r="BQ4148">
        <v>0.92</v>
      </c>
      <c r="BR4148">
        <v>1.57</v>
      </c>
      <c r="BS4148">
        <v>-1.1299999999999999</v>
      </c>
      <c r="BT4148">
        <v>-1.54</v>
      </c>
      <c r="BU4148">
        <v>0.95</v>
      </c>
      <c r="BV4148">
        <v>1.1599999999999999</v>
      </c>
      <c r="BW4148">
        <v>1.24</v>
      </c>
      <c r="BX4148">
        <v>1.4</v>
      </c>
      <c r="BY4148">
        <v>0.65</v>
      </c>
      <c r="BZ4148">
        <v>1.91</v>
      </c>
      <c r="CA4148">
        <v>0.92</v>
      </c>
      <c r="CB4148">
        <v>1.17</v>
      </c>
      <c r="CC4148">
        <v>-0.2</v>
      </c>
      <c r="CD4148">
        <v>-0.97</v>
      </c>
      <c r="CE4148">
        <v>1.36</v>
      </c>
      <c r="CF4148">
        <v>1.23</v>
      </c>
      <c r="CG4148">
        <v>0</v>
      </c>
      <c r="CH4148">
        <v>0.35</v>
      </c>
      <c r="CI4148">
        <v>0</v>
      </c>
      <c r="CJ4148">
        <v>1.8</v>
      </c>
      <c r="CK4148">
        <v>98</v>
      </c>
      <c r="CL4148">
        <v>-0.96</v>
      </c>
      <c r="CM4148">
        <v>98</v>
      </c>
      <c r="CN4148">
        <v>-0.36</v>
      </c>
      <c r="CO4148">
        <v>97</v>
      </c>
      <c r="CP4148">
        <v>6.8</v>
      </c>
      <c r="CQ4148">
        <v>97</v>
      </c>
      <c r="CR4148">
        <v>0</v>
      </c>
      <c r="CS4148">
        <v>0</v>
      </c>
      <c r="CT4148">
        <v>22.8</v>
      </c>
      <c r="CU4148">
        <v>92</v>
      </c>
      <c r="CV4148">
        <v>0.25</v>
      </c>
      <c r="CW4148">
        <v>45</v>
      </c>
      <c r="CX4148" t="s">
        <v>132</v>
      </c>
    </row>
    <row r="4149" spans="1:102" x14ac:dyDescent="0.3">
      <c r="A4149" t="str">
        <f>HYPERLINK("https://webapp.icbf.com/v2/app/bull-search/view/139828562","SLE")</f>
        <v>SLE</v>
      </c>
      <c r="B4149" t="s">
        <v>11536</v>
      </c>
      <c r="C4149" t="s">
        <v>11537</v>
      </c>
      <c r="D4149" s="1">
        <v>37035</v>
      </c>
      <c r="E4149" t="s">
        <v>92</v>
      </c>
      <c r="F4149">
        <v>100</v>
      </c>
      <c r="G4149" t="s">
        <v>93</v>
      </c>
      <c r="H4149">
        <v>-93.86</v>
      </c>
      <c r="I4149">
        <v>71</v>
      </c>
      <c r="J4149">
        <v>37.92</v>
      </c>
      <c r="K4149">
        <v>90</v>
      </c>
      <c r="L4149">
        <v>-131.19</v>
      </c>
      <c r="M4149">
        <v>55</v>
      </c>
      <c r="N4149">
        <v>4.13</v>
      </c>
      <c r="O4149">
        <v>70</v>
      </c>
      <c r="P4149">
        <v>-20.45</v>
      </c>
      <c r="Q4149">
        <v>83</v>
      </c>
      <c r="R4149">
        <v>-5.73</v>
      </c>
      <c r="S4149">
        <v>61</v>
      </c>
      <c r="T4149">
        <v>23.37</v>
      </c>
      <c r="U4149">
        <v>67</v>
      </c>
      <c r="V4149">
        <v>-1.91</v>
      </c>
      <c r="W4149">
        <v>43</v>
      </c>
      <c r="X4149" t="s">
        <v>558</v>
      </c>
      <c r="Y4149" t="s">
        <v>95</v>
      </c>
      <c r="Z4149" t="s">
        <v>96</v>
      </c>
      <c r="AA4149" t="s">
        <v>273</v>
      </c>
      <c r="AB4149" t="s">
        <v>11538</v>
      </c>
      <c r="AC4149">
        <v>38</v>
      </c>
      <c r="AD4149">
        <v>29</v>
      </c>
      <c r="AE4149">
        <v>90</v>
      </c>
      <c r="AF4149">
        <v>296.88</v>
      </c>
      <c r="AG4149">
        <v>4.7300000000000004</v>
      </c>
      <c r="AH4149">
        <v>9.32</v>
      </c>
      <c r="AI4149">
        <v>-0.11</v>
      </c>
      <c r="AJ4149">
        <v>-0.01</v>
      </c>
      <c r="AK4149">
        <v>55</v>
      </c>
      <c r="AL4149">
        <v>35</v>
      </c>
      <c r="AM4149">
        <v>27</v>
      </c>
      <c r="AN4149">
        <v>8.1199999999999992</v>
      </c>
      <c r="AO4149">
        <v>-2.33</v>
      </c>
      <c r="AP4149">
        <v>78</v>
      </c>
      <c r="AQ4149">
        <v>0</v>
      </c>
      <c r="AR4149">
        <v>7.68</v>
      </c>
      <c r="AS4149">
        <v>51</v>
      </c>
      <c r="AT4149">
        <v>3.87</v>
      </c>
      <c r="AU4149">
        <v>76</v>
      </c>
      <c r="AV4149">
        <v>-1.05</v>
      </c>
      <c r="AW4149">
        <v>81</v>
      </c>
      <c r="AX4149">
        <v>-0.51</v>
      </c>
      <c r="AY4149">
        <v>65</v>
      </c>
      <c r="AZ4149">
        <v>5.64</v>
      </c>
      <c r="BA4149">
        <v>46</v>
      </c>
      <c r="BB4149">
        <v>4.9000000000000004</v>
      </c>
      <c r="BC4149">
        <v>46</v>
      </c>
      <c r="BD4149">
        <v>0.01</v>
      </c>
      <c r="BE4149">
        <v>0.05</v>
      </c>
      <c r="BF4149">
        <v>0.02</v>
      </c>
      <c r="BG4149">
        <v>71</v>
      </c>
      <c r="BH4149">
        <v>-0.02</v>
      </c>
      <c r="BI4149">
        <v>3.85</v>
      </c>
      <c r="BJ4149">
        <v>15</v>
      </c>
      <c r="BK4149">
        <v>12</v>
      </c>
      <c r="BL4149">
        <v>0.45</v>
      </c>
      <c r="BM4149">
        <v>-1.76</v>
      </c>
      <c r="BN4149">
        <v>0.08</v>
      </c>
      <c r="BO4149">
        <v>1.31</v>
      </c>
      <c r="BP4149">
        <v>1.19</v>
      </c>
      <c r="BQ4149">
        <v>-0.9</v>
      </c>
      <c r="BR4149">
        <v>-0.77</v>
      </c>
      <c r="BS4149">
        <v>0.28999999999999998</v>
      </c>
      <c r="BT4149">
        <v>0.92</v>
      </c>
      <c r="BU4149">
        <v>-0.65</v>
      </c>
      <c r="BV4149">
        <v>0.44</v>
      </c>
      <c r="BW4149">
        <v>0.2</v>
      </c>
      <c r="BX4149">
        <v>-2.11</v>
      </c>
      <c r="BY4149">
        <v>0.54</v>
      </c>
      <c r="BZ4149">
        <v>-0.34</v>
      </c>
      <c r="CA4149">
        <v>-0.24</v>
      </c>
      <c r="CB4149">
        <v>-0.36</v>
      </c>
      <c r="CC4149">
        <v>0.19</v>
      </c>
      <c r="CD4149">
        <v>-1.22</v>
      </c>
      <c r="CE4149">
        <v>1.07</v>
      </c>
      <c r="CF4149">
        <v>-0.25</v>
      </c>
      <c r="CG4149">
        <v>0</v>
      </c>
      <c r="CH4149">
        <v>0.48</v>
      </c>
      <c r="CI4149">
        <v>0</v>
      </c>
      <c r="CJ4149">
        <v>-6.7</v>
      </c>
      <c r="CK4149">
        <v>85</v>
      </c>
      <c r="CL4149">
        <v>-1.06</v>
      </c>
      <c r="CM4149">
        <v>82</v>
      </c>
      <c r="CN4149">
        <v>-0.2</v>
      </c>
      <c r="CO4149">
        <v>80</v>
      </c>
      <c r="CP4149">
        <v>-17.399999999999999</v>
      </c>
      <c r="CQ4149">
        <v>80</v>
      </c>
      <c r="CR4149">
        <v>0</v>
      </c>
      <c r="CS4149">
        <v>0</v>
      </c>
      <c r="CT4149">
        <v>-17.8</v>
      </c>
      <c r="CU4149">
        <v>67</v>
      </c>
      <c r="CV4149">
        <v>0.26</v>
      </c>
      <c r="CW4149">
        <v>24</v>
      </c>
      <c r="CX4149" t="s">
        <v>188</v>
      </c>
    </row>
    <row r="4150" spans="1:102" x14ac:dyDescent="0.3">
      <c r="A4150" t="str">
        <f>HYPERLINK("https://webapp.icbf.com/v2/app/bull-search/view/69091984","JES")</f>
        <v>JES</v>
      </c>
      <c r="B4150" t="s">
        <v>7338</v>
      </c>
      <c r="C4150" t="s">
        <v>1682</v>
      </c>
      <c r="D4150" s="1">
        <v>34627</v>
      </c>
      <c r="E4150" t="s">
        <v>92</v>
      </c>
      <c r="F4150">
        <v>100</v>
      </c>
      <c r="G4150" t="s">
        <v>93</v>
      </c>
      <c r="H4150">
        <v>-93.95</v>
      </c>
      <c r="I4150">
        <v>96</v>
      </c>
      <c r="J4150">
        <v>15.75</v>
      </c>
      <c r="K4150">
        <v>99</v>
      </c>
      <c r="L4150">
        <v>-86.55</v>
      </c>
      <c r="M4150">
        <v>93</v>
      </c>
      <c r="N4150">
        <v>-17.07</v>
      </c>
      <c r="O4150">
        <v>97</v>
      </c>
      <c r="P4150">
        <v>-4.88</v>
      </c>
      <c r="Q4150">
        <v>99</v>
      </c>
      <c r="R4150">
        <v>0.85</v>
      </c>
      <c r="S4150">
        <v>94</v>
      </c>
      <c r="T4150">
        <v>7.68</v>
      </c>
      <c r="U4150">
        <v>97</v>
      </c>
      <c r="V4150">
        <v>-9.73</v>
      </c>
      <c r="W4150">
        <v>94</v>
      </c>
      <c r="X4150" t="s">
        <v>102</v>
      </c>
      <c r="Y4150" t="s">
        <v>95</v>
      </c>
      <c r="Z4150" t="s">
        <v>96</v>
      </c>
      <c r="AA4150" t="s">
        <v>207</v>
      </c>
      <c r="AB4150" t="s">
        <v>3217</v>
      </c>
      <c r="AC4150">
        <v>735</v>
      </c>
      <c r="AD4150">
        <v>221</v>
      </c>
      <c r="AE4150">
        <v>99</v>
      </c>
      <c r="AF4150">
        <v>417.69</v>
      </c>
      <c r="AG4150">
        <v>2.0699999999999998</v>
      </c>
      <c r="AH4150">
        <v>8.34</v>
      </c>
      <c r="AI4150">
        <v>-0.23</v>
      </c>
      <c r="AJ4150">
        <v>-0.09</v>
      </c>
      <c r="AK4150">
        <v>93</v>
      </c>
      <c r="AL4150">
        <v>753</v>
      </c>
      <c r="AM4150">
        <v>239</v>
      </c>
      <c r="AN4150">
        <v>5.65</v>
      </c>
      <c r="AO4150">
        <v>-1.24</v>
      </c>
      <c r="AP4150">
        <v>1036</v>
      </c>
      <c r="AQ4150">
        <v>0</v>
      </c>
      <c r="AR4150">
        <v>13.39</v>
      </c>
      <c r="AS4150">
        <v>95</v>
      </c>
      <c r="AT4150">
        <v>4.92</v>
      </c>
      <c r="AU4150">
        <v>99</v>
      </c>
      <c r="AV4150">
        <v>-2.39</v>
      </c>
      <c r="AW4150">
        <v>99</v>
      </c>
      <c r="AX4150">
        <v>0.17</v>
      </c>
      <c r="AY4150">
        <v>97</v>
      </c>
      <c r="AZ4150">
        <v>5.78</v>
      </c>
      <c r="BA4150">
        <v>92</v>
      </c>
      <c r="BB4150">
        <v>4.46</v>
      </c>
      <c r="BC4150">
        <v>92</v>
      </c>
      <c r="BD4150">
        <v>-0.01</v>
      </c>
      <c r="BE4150">
        <v>0.03</v>
      </c>
      <c r="BF4150">
        <v>-0.06</v>
      </c>
      <c r="BG4150">
        <v>98</v>
      </c>
      <c r="BH4150">
        <v>-0.16</v>
      </c>
      <c r="BI4150">
        <v>12.87</v>
      </c>
      <c r="BJ4150">
        <v>227</v>
      </c>
      <c r="BK4150">
        <v>74</v>
      </c>
      <c r="BL4150">
        <v>0.7</v>
      </c>
      <c r="BM4150">
        <v>0.3</v>
      </c>
      <c r="BN4150">
        <v>0.24</v>
      </c>
      <c r="BO4150">
        <v>0.49</v>
      </c>
      <c r="BP4150">
        <v>0.8</v>
      </c>
      <c r="BQ4150">
        <v>1.05</v>
      </c>
      <c r="BR4150">
        <v>0.52</v>
      </c>
      <c r="BS4150">
        <v>1.26</v>
      </c>
      <c r="BT4150">
        <v>-0.06</v>
      </c>
      <c r="BU4150">
        <v>0.79</v>
      </c>
      <c r="BV4150">
        <v>0.75</v>
      </c>
      <c r="BW4150">
        <v>0.6</v>
      </c>
      <c r="BX4150">
        <v>7.0000000000000007E-2</v>
      </c>
      <c r="BY4150">
        <v>0.46</v>
      </c>
      <c r="BZ4150">
        <v>-0.78</v>
      </c>
      <c r="CA4150">
        <v>0.9</v>
      </c>
      <c r="CB4150">
        <v>0.78</v>
      </c>
      <c r="CC4150">
        <v>0.96</v>
      </c>
      <c r="CD4150">
        <v>-0.04</v>
      </c>
      <c r="CE4150">
        <v>0.98</v>
      </c>
      <c r="CF4150">
        <v>1.34</v>
      </c>
      <c r="CG4150">
        <v>0</v>
      </c>
      <c r="CH4150">
        <v>0.48</v>
      </c>
      <c r="CI4150">
        <v>0</v>
      </c>
      <c r="CJ4150">
        <v>1</v>
      </c>
      <c r="CK4150">
        <v>99</v>
      </c>
      <c r="CL4150">
        <v>-0.86</v>
      </c>
      <c r="CM4150">
        <v>98</v>
      </c>
      <c r="CN4150">
        <v>-0.24</v>
      </c>
      <c r="CO4150">
        <v>98</v>
      </c>
      <c r="CP4150">
        <v>-1.3</v>
      </c>
      <c r="CQ4150">
        <v>98</v>
      </c>
      <c r="CR4150">
        <v>0</v>
      </c>
      <c r="CS4150">
        <v>0</v>
      </c>
      <c r="CT4150">
        <v>3.4</v>
      </c>
      <c r="CU4150">
        <v>97</v>
      </c>
      <c r="CV4150">
        <v>0.21</v>
      </c>
      <c r="CW4150">
        <v>46</v>
      </c>
      <c r="CX4150" t="s">
        <v>564</v>
      </c>
    </row>
    <row r="4151" spans="1:102" x14ac:dyDescent="0.3">
      <c r="A4151" t="str">
        <f>HYPERLINK("https://webapp.icbf.com/v2/app/bull-search/view/77855476","LZC")</f>
        <v>LZC</v>
      </c>
      <c r="B4151" t="s">
        <v>15096</v>
      </c>
      <c r="C4151" t="s">
        <v>15097</v>
      </c>
      <c r="D4151" s="1">
        <v>34918</v>
      </c>
      <c r="E4151" t="s">
        <v>92</v>
      </c>
      <c r="F4151">
        <v>97</v>
      </c>
      <c r="G4151" t="s">
        <v>93</v>
      </c>
      <c r="H4151">
        <v>-94.02</v>
      </c>
      <c r="I4151">
        <v>84</v>
      </c>
      <c r="J4151">
        <v>-7.15</v>
      </c>
      <c r="K4151">
        <v>96</v>
      </c>
      <c r="L4151">
        <v>-83.25</v>
      </c>
      <c r="M4151">
        <v>79</v>
      </c>
      <c r="N4151">
        <v>-2.14</v>
      </c>
      <c r="O4151">
        <v>76</v>
      </c>
      <c r="P4151">
        <v>-15.24</v>
      </c>
      <c r="Q4151">
        <v>85</v>
      </c>
      <c r="R4151">
        <v>-6.99</v>
      </c>
      <c r="S4151">
        <v>79</v>
      </c>
      <c r="T4151">
        <v>21.67</v>
      </c>
      <c r="U4151">
        <v>80</v>
      </c>
      <c r="V4151">
        <v>-0.92</v>
      </c>
      <c r="W4151">
        <v>68</v>
      </c>
      <c r="X4151" t="s">
        <v>94</v>
      </c>
      <c r="Y4151" t="s">
        <v>95</v>
      </c>
      <c r="Z4151" t="s">
        <v>96</v>
      </c>
      <c r="AA4151" t="s">
        <v>265</v>
      </c>
      <c r="AB4151" t="s">
        <v>444</v>
      </c>
      <c r="AC4151">
        <v>92</v>
      </c>
      <c r="AD4151">
        <v>81</v>
      </c>
      <c r="AE4151">
        <v>96</v>
      </c>
      <c r="AF4151">
        <v>-163.12</v>
      </c>
      <c r="AG4151">
        <v>-1.76</v>
      </c>
      <c r="AH4151">
        <v>-3.09</v>
      </c>
      <c r="AI4151">
        <v>0.08</v>
      </c>
      <c r="AJ4151">
        <v>0.04</v>
      </c>
      <c r="AK4151">
        <v>79</v>
      </c>
      <c r="AL4151">
        <v>92</v>
      </c>
      <c r="AM4151">
        <v>68</v>
      </c>
      <c r="AN4151">
        <v>6</v>
      </c>
      <c r="AO4151">
        <v>-0.62</v>
      </c>
      <c r="AP4151">
        <v>23</v>
      </c>
      <c r="AQ4151">
        <v>9</v>
      </c>
      <c r="AR4151">
        <v>8.14</v>
      </c>
      <c r="AS4151">
        <v>60</v>
      </c>
      <c r="AT4151">
        <v>3.86</v>
      </c>
      <c r="AU4151">
        <v>79</v>
      </c>
      <c r="AV4151">
        <v>-1.2</v>
      </c>
      <c r="AW4151">
        <v>81</v>
      </c>
      <c r="AX4151">
        <v>-0.39</v>
      </c>
      <c r="AY4151">
        <v>82</v>
      </c>
      <c r="AZ4151">
        <v>7.47</v>
      </c>
      <c r="BA4151">
        <v>53</v>
      </c>
      <c r="BB4151">
        <v>5.52</v>
      </c>
      <c r="BC4151">
        <v>67</v>
      </c>
      <c r="BD4151">
        <v>0.01</v>
      </c>
      <c r="BE4151">
        <v>0.06</v>
      </c>
      <c r="BF4151">
        <v>0.03</v>
      </c>
      <c r="BG4151">
        <v>90</v>
      </c>
      <c r="BH4151">
        <v>0.16</v>
      </c>
      <c r="BI4151">
        <v>21.48</v>
      </c>
      <c r="BJ4151">
        <v>23</v>
      </c>
      <c r="BK4151">
        <v>15</v>
      </c>
      <c r="BL4151">
        <v>-0.52</v>
      </c>
      <c r="BM4151">
        <v>-2.17</v>
      </c>
      <c r="BN4151">
        <v>-1.7</v>
      </c>
      <c r="BO4151">
        <v>-0.1</v>
      </c>
      <c r="BP4151">
        <v>0.9</v>
      </c>
      <c r="BQ4151">
        <v>-3.7</v>
      </c>
      <c r="BR4151">
        <v>-1.36</v>
      </c>
      <c r="BS4151">
        <v>1.43</v>
      </c>
      <c r="BT4151">
        <v>-1.1000000000000001</v>
      </c>
      <c r="BU4151">
        <v>0.47</v>
      </c>
      <c r="BV4151">
        <v>-0.28000000000000003</v>
      </c>
      <c r="BW4151">
        <v>-0.78</v>
      </c>
      <c r="BX4151">
        <v>0.21</v>
      </c>
      <c r="BY4151">
        <v>-0.15</v>
      </c>
      <c r="BZ4151">
        <v>1.68</v>
      </c>
      <c r="CA4151">
        <v>0.14000000000000001</v>
      </c>
      <c r="CB4151">
        <v>-0.28999999999999998</v>
      </c>
      <c r="CC4151">
        <v>0.66</v>
      </c>
      <c r="CD4151">
        <v>-0.69</v>
      </c>
      <c r="CE4151">
        <v>-0.55000000000000004</v>
      </c>
      <c r="CF4151">
        <v>-2.81</v>
      </c>
      <c r="CG4151">
        <v>0</v>
      </c>
      <c r="CH4151">
        <v>-0.22</v>
      </c>
      <c r="CI4151">
        <v>0</v>
      </c>
      <c r="CJ4151">
        <v>-7.5</v>
      </c>
      <c r="CK4151">
        <v>86</v>
      </c>
      <c r="CL4151">
        <v>-0.59</v>
      </c>
      <c r="CM4151">
        <v>84</v>
      </c>
      <c r="CN4151">
        <v>-0.25</v>
      </c>
      <c r="CO4151">
        <v>82</v>
      </c>
      <c r="CP4151">
        <v>-11.5</v>
      </c>
      <c r="CQ4151">
        <v>88</v>
      </c>
      <c r="CR4151">
        <v>0</v>
      </c>
      <c r="CS4151">
        <v>0</v>
      </c>
      <c r="CT4151">
        <v>-15.5</v>
      </c>
      <c r="CU4151">
        <v>80</v>
      </c>
      <c r="CV4151">
        <v>0.05</v>
      </c>
      <c r="CW4151">
        <v>43</v>
      </c>
      <c r="CX4151" t="s">
        <v>193</v>
      </c>
    </row>
    <row r="4152" spans="1:102" x14ac:dyDescent="0.3">
      <c r="A4152" t="str">
        <f>HYPERLINK("https://webapp.icbf.com/v2/app/bull-search/view/300484231","VZI")</f>
        <v>VZI</v>
      </c>
      <c r="B4152" t="s">
        <v>899</v>
      </c>
      <c r="C4152" t="s">
        <v>900</v>
      </c>
      <c r="D4152" s="1">
        <v>35978</v>
      </c>
      <c r="E4152" t="s">
        <v>92</v>
      </c>
      <c r="F4152">
        <v>100</v>
      </c>
      <c r="G4152" t="s">
        <v>109</v>
      </c>
      <c r="H4152">
        <v>-94.15</v>
      </c>
      <c r="I4152">
        <v>85</v>
      </c>
      <c r="J4152">
        <v>94.06</v>
      </c>
      <c r="K4152">
        <v>94</v>
      </c>
      <c r="L4152">
        <v>-171.62</v>
      </c>
      <c r="M4152">
        <v>86</v>
      </c>
      <c r="N4152">
        <v>-12.66</v>
      </c>
      <c r="O4152">
        <v>74</v>
      </c>
      <c r="P4152">
        <v>-3.78</v>
      </c>
      <c r="Q4152">
        <v>77</v>
      </c>
      <c r="R4152">
        <v>-8.52</v>
      </c>
      <c r="S4152">
        <v>77</v>
      </c>
      <c r="T4152">
        <v>3.39</v>
      </c>
      <c r="U4152">
        <v>76</v>
      </c>
      <c r="V4152">
        <v>4.9800000000000004</v>
      </c>
      <c r="W4152">
        <v>62</v>
      </c>
      <c r="X4152" t="s">
        <v>747</v>
      </c>
      <c r="Y4152" t="s">
        <v>95</v>
      </c>
      <c r="Z4152" t="s">
        <v>96</v>
      </c>
      <c r="AA4152" t="s">
        <v>901</v>
      </c>
      <c r="AB4152" t="s">
        <v>902</v>
      </c>
      <c r="AC4152">
        <v>0</v>
      </c>
      <c r="AD4152">
        <v>0</v>
      </c>
      <c r="AE4152">
        <v>94</v>
      </c>
      <c r="AF4152">
        <v>608.45000000000005</v>
      </c>
      <c r="AG4152">
        <v>15.32</v>
      </c>
      <c r="AH4152">
        <v>19.89</v>
      </c>
      <c r="AI4152">
        <v>-0.13</v>
      </c>
      <c r="AJ4152">
        <v>-0.01</v>
      </c>
      <c r="AK4152">
        <v>86</v>
      </c>
      <c r="AL4152">
        <v>0</v>
      </c>
      <c r="AM4152">
        <v>0</v>
      </c>
      <c r="AN4152">
        <v>10.65</v>
      </c>
      <c r="AO4152">
        <v>-3.02</v>
      </c>
      <c r="AP4152">
        <v>51</v>
      </c>
      <c r="AQ4152">
        <v>0</v>
      </c>
      <c r="AR4152">
        <v>10.82</v>
      </c>
      <c r="AS4152">
        <v>64</v>
      </c>
      <c r="AT4152">
        <v>4.59</v>
      </c>
      <c r="AU4152">
        <v>91</v>
      </c>
      <c r="AV4152">
        <v>-2.27</v>
      </c>
      <c r="AW4152">
        <v>77</v>
      </c>
      <c r="AX4152">
        <v>-0.84</v>
      </c>
      <c r="AY4152">
        <v>65</v>
      </c>
      <c r="AZ4152">
        <v>8.1999999999999993</v>
      </c>
      <c r="BA4152">
        <v>51</v>
      </c>
      <c r="BB4152">
        <v>5.9</v>
      </c>
      <c r="BC4152">
        <v>55</v>
      </c>
      <c r="BD4152">
        <v>0.03</v>
      </c>
      <c r="BE4152">
        <v>0.04</v>
      </c>
      <c r="BF4152">
        <v>7.0000000000000007E-2</v>
      </c>
      <c r="BG4152">
        <v>92</v>
      </c>
      <c r="BH4152">
        <v>0.11</v>
      </c>
      <c r="BI4152">
        <v>-3.34</v>
      </c>
      <c r="BJ4152">
        <v>11</v>
      </c>
      <c r="BK4152">
        <v>8</v>
      </c>
      <c r="BL4152">
        <v>0.83</v>
      </c>
      <c r="BM4152">
        <v>-0.62</v>
      </c>
      <c r="BN4152">
        <v>0.83</v>
      </c>
      <c r="BO4152">
        <v>1.54</v>
      </c>
      <c r="BP4152">
        <v>-2.35</v>
      </c>
      <c r="BQ4152">
        <v>-0.3</v>
      </c>
      <c r="BR4152">
        <v>1.36</v>
      </c>
      <c r="BS4152">
        <v>-0.63</v>
      </c>
      <c r="BT4152">
        <v>-1.72</v>
      </c>
      <c r="BU4152">
        <v>-0.42</v>
      </c>
      <c r="BV4152">
        <v>1.61</v>
      </c>
      <c r="BW4152">
        <v>1.65</v>
      </c>
      <c r="BX4152">
        <v>-1.43</v>
      </c>
      <c r="BY4152">
        <v>-0.03</v>
      </c>
      <c r="BZ4152">
        <v>2.0699999999999998</v>
      </c>
      <c r="CA4152">
        <v>0.54</v>
      </c>
      <c r="CB4152">
        <v>0.68</v>
      </c>
      <c r="CC4152">
        <v>-0.18</v>
      </c>
      <c r="CD4152">
        <v>-1.78</v>
      </c>
      <c r="CE4152">
        <v>0.92</v>
      </c>
      <c r="CF4152">
        <v>0.54</v>
      </c>
      <c r="CG4152">
        <v>0</v>
      </c>
      <c r="CH4152">
        <v>0.17</v>
      </c>
      <c r="CI4152">
        <v>0</v>
      </c>
      <c r="CJ4152">
        <v>1.1000000000000001</v>
      </c>
      <c r="CK4152">
        <v>78</v>
      </c>
      <c r="CL4152">
        <v>-0.86</v>
      </c>
      <c r="CM4152">
        <v>76</v>
      </c>
      <c r="CN4152">
        <v>-0.28000000000000003</v>
      </c>
      <c r="CO4152">
        <v>73</v>
      </c>
      <c r="CP4152">
        <v>2</v>
      </c>
      <c r="CQ4152">
        <v>81</v>
      </c>
      <c r="CR4152">
        <v>0</v>
      </c>
      <c r="CS4152">
        <v>0</v>
      </c>
      <c r="CT4152">
        <v>9.1999999999999993</v>
      </c>
      <c r="CU4152">
        <v>76</v>
      </c>
      <c r="CV4152">
        <v>0.19</v>
      </c>
      <c r="CW4152">
        <v>41</v>
      </c>
      <c r="CX4152" t="s">
        <v>218</v>
      </c>
    </row>
    <row r="4153" spans="1:102" x14ac:dyDescent="0.3">
      <c r="A4153" t="str">
        <f>HYPERLINK("https://webapp.icbf.com/v2/app/bull-search/view/77853631","TDT")</f>
        <v>TDT</v>
      </c>
      <c r="B4153" t="s">
        <v>12203</v>
      </c>
      <c r="C4153" t="s">
        <v>12204</v>
      </c>
      <c r="D4153" s="1">
        <v>34955</v>
      </c>
      <c r="E4153" t="s">
        <v>92</v>
      </c>
      <c r="F4153">
        <v>100</v>
      </c>
      <c r="G4153" t="s">
        <v>116</v>
      </c>
      <c r="H4153">
        <v>-94.17</v>
      </c>
      <c r="I4153">
        <v>29</v>
      </c>
      <c r="J4153">
        <v>-36.69</v>
      </c>
      <c r="K4153">
        <v>25</v>
      </c>
      <c r="L4153">
        <v>-55.75</v>
      </c>
      <c r="M4153">
        <v>32</v>
      </c>
      <c r="N4153">
        <v>14.74</v>
      </c>
      <c r="O4153">
        <v>29</v>
      </c>
      <c r="P4153">
        <v>-3.31</v>
      </c>
      <c r="Q4153">
        <v>38</v>
      </c>
      <c r="R4153">
        <v>-15.85</v>
      </c>
      <c r="S4153">
        <v>31</v>
      </c>
      <c r="T4153">
        <v>4.43</v>
      </c>
      <c r="U4153">
        <v>30</v>
      </c>
      <c r="V4153">
        <v>-1.74</v>
      </c>
      <c r="W4153">
        <v>26</v>
      </c>
      <c r="X4153" t="s">
        <v>94</v>
      </c>
      <c r="Y4153" t="s">
        <v>1499</v>
      </c>
      <c r="Z4153" t="s">
        <v>96</v>
      </c>
      <c r="AA4153" t="s">
        <v>4053</v>
      </c>
      <c r="AB4153" t="s">
        <v>1500</v>
      </c>
      <c r="AC4153">
        <v>0</v>
      </c>
      <c r="AD4153">
        <v>0</v>
      </c>
      <c r="AE4153">
        <v>25</v>
      </c>
      <c r="AF4153">
        <v>19.100000000000001</v>
      </c>
      <c r="AG4153">
        <v>-7.06</v>
      </c>
      <c r="AH4153">
        <v>-3.45</v>
      </c>
      <c r="AI4153">
        <v>-0.14000000000000001</v>
      </c>
      <c r="AJ4153">
        <v>-0.08</v>
      </c>
      <c r="AK4153">
        <v>32</v>
      </c>
      <c r="AL4153">
        <v>0</v>
      </c>
      <c r="AM4153">
        <v>0</v>
      </c>
      <c r="AN4153">
        <v>2.71</v>
      </c>
      <c r="AO4153">
        <v>-1.74</v>
      </c>
      <c r="AP4153">
        <v>2</v>
      </c>
      <c r="AQ4153">
        <v>0</v>
      </c>
      <c r="AR4153">
        <v>7.23</v>
      </c>
      <c r="AS4153">
        <v>27</v>
      </c>
      <c r="AT4153">
        <v>3.47</v>
      </c>
      <c r="AU4153">
        <v>31</v>
      </c>
      <c r="AV4153">
        <v>-2.0499999999999998</v>
      </c>
      <c r="AW4153">
        <v>29</v>
      </c>
      <c r="AX4153">
        <v>-0.24</v>
      </c>
      <c r="AY4153">
        <v>31</v>
      </c>
      <c r="AZ4153">
        <v>6.49</v>
      </c>
      <c r="BA4153">
        <v>22</v>
      </c>
      <c r="BB4153">
        <v>5.01</v>
      </c>
      <c r="BC4153">
        <v>25</v>
      </c>
      <c r="BD4153">
        <v>0.05</v>
      </c>
      <c r="BE4153">
        <v>0.09</v>
      </c>
      <c r="BF4153">
        <v>0.11</v>
      </c>
      <c r="BG4153">
        <v>35</v>
      </c>
      <c r="BH4153">
        <v>0.01</v>
      </c>
      <c r="BI4153">
        <v>6.78</v>
      </c>
      <c r="BJ4153">
        <v>0</v>
      </c>
      <c r="BK4153">
        <v>0</v>
      </c>
      <c r="BL4153">
        <v>0.55000000000000004</v>
      </c>
      <c r="BM4153">
        <v>-0.43</v>
      </c>
      <c r="BN4153">
        <v>0.33</v>
      </c>
      <c r="BO4153">
        <v>0.34</v>
      </c>
      <c r="BP4153">
        <v>2.4500000000000002</v>
      </c>
      <c r="BQ4153">
        <v>-1.27</v>
      </c>
      <c r="BR4153">
        <v>1.38</v>
      </c>
      <c r="BS4153">
        <v>-1.06</v>
      </c>
      <c r="BT4153">
        <v>-1.1100000000000001</v>
      </c>
      <c r="BU4153">
        <v>0.11</v>
      </c>
      <c r="BV4153">
        <v>-0.53</v>
      </c>
      <c r="BW4153">
        <v>-0.52</v>
      </c>
      <c r="BX4153">
        <v>0.13</v>
      </c>
      <c r="BY4153">
        <v>-1.01</v>
      </c>
      <c r="BZ4153">
        <v>1.73</v>
      </c>
      <c r="CA4153">
        <v>-0.61</v>
      </c>
      <c r="CB4153">
        <v>-0.52</v>
      </c>
      <c r="CC4153">
        <v>-0.46</v>
      </c>
      <c r="CD4153">
        <v>-0.46</v>
      </c>
      <c r="CE4153">
        <v>0.25</v>
      </c>
      <c r="CF4153">
        <v>0.22</v>
      </c>
      <c r="CG4153">
        <v>0</v>
      </c>
      <c r="CH4153">
        <v>-1.1299999999999999</v>
      </c>
      <c r="CI4153">
        <v>0</v>
      </c>
      <c r="CJ4153">
        <v>-0.8</v>
      </c>
      <c r="CK4153">
        <v>39</v>
      </c>
      <c r="CL4153">
        <v>-0.65</v>
      </c>
      <c r="CM4153">
        <v>37</v>
      </c>
      <c r="CN4153">
        <v>-0.4</v>
      </c>
      <c r="CO4153">
        <v>36</v>
      </c>
      <c r="CP4153">
        <v>-1.2</v>
      </c>
      <c r="CQ4153">
        <v>33</v>
      </c>
      <c r="CR4153">
        <v>0</v>
      </c>
      <c r="CS4153">
        <v>0</v>
      </c>
      <c r="CT4153">
        <v>7.8</v>
      </c>
      <c r="CU4153">
        <v>30</v>
      </c>
      <c r="CV4153">
        <v>0.15</v>
      </c>
      <c r="CW4153">
        <v>11</v>
      </c>
      <c r="CX4153" t="s">
        <v>666</v>
      </c>
    </row>
    <row r="4154" spans="1:102" x14ac:dyDescent="0.3">
      <c r="A4154" t="str">
        <f>HYPERLINK("https://webapp.icbf.com/v2/app/bull-search/view/334908685","KDI")</f>
        <v>KDI</v>
      </c>
      <c r="B4154" t="s">
        <v>11290</v>
      </c>
      <c r="C4154" t="s">
        <v>11291</v>
      </c>
      <c r="D4154" s="1">
        <v>38015</v>
      </c>
      <c r="E4154" t="s">
        <v>92</v>
      </c>
      <c r="F4154">
        <v>88</v>
      </c>
      <c r="G4154" t="s">
        <v>93</v>
      </c>
      <c r="H4154">
        <v>-94.21</v>
      </c>
      <c r="I4154">
        <v>84</v>
      </c>
      <c r="J4154">
        <v>10.16</v>
      </c>
      <c r="K4154">
        <v>96</v>
      </c>
      <c r="L4154">
        <v>-100.61</v>
      </c>
      <c r="M4154">
        <v>75</v>
      </c>
      <c r="N4154">
        <v>0.26</v>
      </c>
      <c r="O4154">
        <v>83</v>
      </c>
      <c r="P4154">
        <v>-10.92</v>
      </c>
      <c r="Q4154">
        <v>87</v>
      </c>
      <c r="R4154">
        <v>-3.72</v>
      </c>
      <c r="S4154">
        <v>78</v>
      </c>
      <c r="T4154">
        <v>9.68</v>
      </c>
      <c r="U4154">
        <v>84</v>
      </c>
      <c r="V4154">
        <v>0.94</v>
      </c>
      <c r="W4154">
        <v>74</v>
      </c>
      <c r="X4154" t="s">
        <v>94</v>
      </c>
      <c r="Y4154" t="s">
        <v>95</v>
      </c>
      <c r="Z4154" t="s">
        <v>96</v>
      </c>
      <c r="AA4154" t="s">
        <v>1109</v>
      </c>
      <c r="AB4154" t="s">
        <v>1553</v>
      </c>
      <c r="AC4154">
        <v>65</v>
      </c>
      <c r="AD4154">
        <v>48</v>
      </c>
      <c r="AE4154">
        <v>96</v>
      </c>
      <c r="AF4154">
        <v>-11.45</v>
      </c>
      <c r="AG4154">
        <v>-1.21</v>
      </c>
      <c r="AH4154">
        <v>1.98</v>
      </c>
      <c r="AI4154">
        <v>-0.01</v>
      </c>
      <c r="AJ4154">
        <v>0.04</v>
      </c>
      <c r="AK4154">
        <v>75</v>
      </c>
      <c r="AL4154">
        <v>58</v>
      </c>
      <c r="AM4154">
        <v>45</v>
      </c>
      <c r="AN4154">
        <v>4.18</v>
      </c>
      <c r="AO4154">
        <v>-3.86</v>
      </c>
      <c r="AP4154">
        <v>142</v>
      </c>
      <c r="AQ4154">
        <v>0</v>
      </c>
      <c r="AR4154">
        <v>8.15</v>
      </c>
      <c r="AS4154">
        <v>66</v>
      </c>
      <c r="AT4154">
        <v>3.14</v>
      </c>
      <c r="AU4154">
        <v>84</v>
      </c>
      <c r="AV4154">
        <v>-2</v>
      </c>
      <c r="AW4154">
        <v>95</v>
      </c>
      <c r="AX4154">
        <v>1.44</v>
      </c>
      <c r="AY4154">
        <v>76</v>
      </c>
      <c r="AZ4154">
        <v>8.36</v>
      </c>
      <c r="BA4154">
        <v>60</v>
      </c>
      <c r="BB4154">
        <v>6.29</v>
      </c>
      <c r="BC4154">
        <v>61</v>
      </c>
      <c r="BD4154">
        <v>7.0000000000000007E-2</v>
      </c>
      <c r="BE4154">
        <v>0.01</v>
      </c>
      <c r="BF4154">
        <v>-0.05</v>
      </c>
      <c r="BG4154">
        <v>86</v>
      </c>
      <c r="BH4154">
        <v>0</v>
      </c>
      <c r="BI4154">
        <v>-3.03</v>
      </c>
      <c r="BJ4154">
        <v>15</v>
      </c>
      <c r="BK4154">
        <v>12</v>
      </c>
      <c r="BL4154">
        <v>0.28999999999999998</v>
      </c>
      <c r="BM4154">
        <v>1.17</v>
      </c>
      <c r="BN4154">
        <v>0.03</v>
      </c>
      <c r="BO4154">
        <v>-0.84</v>
      </c>
      <c r="BP4154">
        <v>2.29</v>
      </c>
      <c r="BQ4154">
        <v>-0.39</v>
      </c>
      <c r="BR4154">
        <v>-1.5</v>
      </c>
      <c r="BS4154">
        <v>0.11</v>
      </c>
      <c r="BT4154">
        <v>1.78</v>
      </c>
      <c r="BU4154">
        <v>-1.5</v>
      </c>
      <c r="BV4154">
        <v>-0.66</v>
      </c>
      <c r="BW4154">
        <v>-1.3</v>
      </c>
      <c r="BX4154">
        <v>-0.78</v>
      </c>
      <c r="BY4154">
        <v>-1.72</v>
      </c>
      <c r="BZ4154">
        <v>-1.27</v>
      </c>
      <c r="CA4154">
        <v>-1.44</v>
      </c>
      <c r="CB4154">
        <v>-1.67</v>
      </c>
      <c r="CC4154">
        <v>-0.38</v>
      </c>
      <c r="CD4154">
        <v>0.88</v>
      </c>
      <c r="CE4154">
        <v>-1.47</v>
      </c>
      <c r="CF4154">
        <v>-0.14000000000000001</v>
      </c>
      <c r="CG4154">
        <v>0</v>
      </c>
      <c r="CH4154">
        <v>-1.27</v>
      </c>
      <c r="CI4154">
        <v>0</v>
      </c>
      <c r="CJ4154">
        <v>-4.9000000000000004</v>
      </c>
      <c r="CK4154">
        <v>88</v>
      </c>
      <c r="CL4154">
        <v>-0.35</v>
      </c>
      <c r="CM4154">
        <v>86</v>
      </c>
      <c r="CN4154">
        <v>-0.02</v>
      </c>
      <c r="CO4154">
        <v>84</v>
      </c>
      <c r="CP4154">
        <v>-5.2</v>
      </c>
      <c r="CQ4154">
        <v>87</v>
      </c>
      <c r="CR4154">
        <v>0</v>
      </c>
      <c r="CS4154">
        <v>0</v>
      </c>
      <c r="CT4154">
        <v>0.7</v>
      </c>
      <c r="CU4154">
        <v>84</v>
      </c>
      <c r="CV4154">
        <v>0</v>
      </c>
      <c r="CW4154">
        <v>43</v>
      </c>
      <c r="CX4154" t="s">
        <v>906</v>
      </c>
    </row>
    <row r="4155" spans="1:102" x14ac:dyDescent="0.3">
      <c r="A4155" t="str">
        <f>HYPERLINK("https://webapp.icbf.com/v2/app/bull-search/view/721602326","WBZ")</f>
        <v>WBZ</v>
      </c>
      <c r="B4155" t="s">
        <v>7555</v>
      </c>
      <c r="C4155" t="s">
        <v>7556</v>
      </c>
      <c r="D4155" s="1">
        <v>39555</v>
      </c>
      <c r="E4155" t="s">
        <v>92</v>
      </c>
      <c r="F4155">
        <v>100</v>
      </c>
      <c r="G4155" t="s">
        <v>93</v>
      </c>
      <c r="H4155">
        <v>-94.22</v>
      </c>
      <c r="I4155">
        <v>88</v>
      </c>
      <c r="J4155">
        <v>35.96</v>
      </c>
      <c r="K4155">
        <v>98</v>
      </c>
      <c r="L4155">
        <v>-102.34</v>
      </c>
      <c r="M4155">
        <v>81</v>
      </c>
      <c r="N4155">
        <v>-3.58</v>
      </c>
      <c r="O4155">
        <v>86</v>
      </c>
      <c r="P4155">
        <v>-10.28</v>
      </c>
      <c r="Q4155">
        <v>92</v>
      </c>
      <c r="R4155">
        <v>-15.4</v>
      </c>
      <c r="S4155">
        <v>78</v>
      </c>
      <c r="T4155">
        <v>5.69</v>
      </c>
      <c r="U4155">
        <v>90</v>
      </c>
      <c r="V4155">
        <v>-4.2699999999999996</v>
      </c>
      <c r="W4155">
        <v>68</v>
      </c>
      <c r="X4155" t="s">
        <v>276</v>
      </c>
      <c r="Y4155" t="s">
        <v>329</v>
      </c>
      <c r="Z4155" t="s">
        <v>96</v>
      </c>
      <c r="AA4155" t="s">
        <v>5289</v>
      </c>
      <c r="AB4155" t="s">
        <v>7557</v>
      </c>
      <c r="AC4155">
        <v>191</v>
      </c>
      <c r="AD4155">
        <v>80</v>
      </c>
      <c r="AE4155">
        <v>98</v>
      </c>
      <c r="AF4155">
        <v>400.6</v>
      </c>
      <c r="AG4155">
        <v>8.81</v>
      </c>
      <c r="AH4155">
        <v>9.1300000000000008</v>
      </c>
      <c r="AI4155">
        <v>-0.11</v>
      </c>
      <c r="AJ4155">
        <v>-7.0000000000000007E-2</v>
      </c>
      <c r="AK4155">
        <v>81</v>
      </c>
      <c r="AL4155">
        <v>181</v>
      </c>
      <c r="AM4155">
        <v>80</v>
      </c>
      <c r="AN4155">
        <v>6.47</v>
      </c>
      <c r="AO4155">
        <v>-1.68</v>
      </c>
      <c r="AP4155">
        <v>242</v>
      </c>
      <c r="AQ4155">
        <v>1</v>
      </c>
      <c r="AR4155">
        <v>8.9600000000000009</v>
      </c>
      <c r="AS4155">
        <v>87</v>
      </c>
      <c r="AT4155">
        <v>4.71</v>
      </c>
      <c r="AU4155">
        <v>86</v>
      </c>
      <c r="AV4155">
        <v>-3.15</v>
      </c>
      <c r="AW4155">
        <v>95</v>
      </c>
      <c r="AX4155">
        <v>-0.37</v>
      </c>
      <c r="AY4155">
        <v>86</v>
      </c>
      <c r="AZ4155">
        <v>8.17</v>
      </c>
      <c r="BA4155">
        <v>70</v>
      </c>
      <c r="BB4155">
        <v>6.19</v>
      </c>
      <c r="BC4155">
        <v>65</v>
      </c>
      <c r="BD4155">
        <v>0.06</v>
      </c>
      <c r="BE4155">
        <v>0.06</v>
      </c>
      <c r="BF4155">
        <v>0.14000000000000001</v>
      </c>
      <c r="BG4155">
        <v>92</v>
      </c>
      <c r="BH4155">
        <v>-0.1</v>
      </c>
      <c r="BI4155">
        <v>2.21</v>
      </c>
      <c r="BJ4155">
        <v>69</v>
      </c>
      <c r="BK4155">
        <v>38</v>
      </c>
      <c r="BL4155">
        <v>1.08</v>
      </c>
      <c r="BM4155">
        <v>-3.33</v>
      </c>
      <c r="BN4155">
        <v>-0.11</v>
      </c>
      <c r="BO4155">
        <v>1.94</v>
      </c>
      <c r="BP4155">
        <v>1.78</v>
      </c>
      <c r="BQ4155">
        <v>-0.04</v>
      </c>
      <c r="BR4155">
        <v>-1.1200000000000001</v>
      </c>
      <c r="BS4155">
        <v>1.33</v>
      </c>
      <c r="BT4155">
        <v>1.55</v>
      </c>
      <c r="BU4155">
        <v>1.53</v>
      </c>
      <c r="BV4155">
        <v>2.61</v>
      </c>
      <c r="BW4155">
        <v>1.57</v>
      </c>
      <c r="BX4155">
        <v>0.71</v>
      </c>
      <c r="BY4155">
        <v>2.2200000000000002</v>
      </c>
      <c r="BZ4155">
        <v>-3.76</v>
      </c>
      <c r="CA4155">
        <v>1.71</v>
      </c>
      <c r="CB4155">
        <v>1.32</v>
      </c>
      <c r="CC4155">
        <v>1.8</v>
      </c>
      <c r="CD4155">
        <v>-2.4700000000000002</v>
      </c>
      <c r="CE4155">
        <v>2.1800000000000002</v>
      </c>
      <c r="CF4155">
        <v>0.82</v>
      </c>
      <c r="CG4155">
        <v>0</v>
      </c>
      <c r="CH4155">
        <v>2.09</v>
      </c>
      <c r="CI4155">
        <v>0</v>
      </c>
      <c r="CJ4155">
        <v>-2.2000000000000002</v>
      </c>
      <c r="CK4155">
        <v>93</v>
      </c>
      <c r="CL4155">
        <v>-0.96</v>
      </c>
      <c r="CM4155">
        <v>92</v>
      </c>
      <c r="CN4155">
        <v>-0.27</v>
      </c>
      <c r="CO4155">
        <v>91</v>
      </c>
      <c r="CP4155">
        <v>-3.3</v>
      </c>
      <c r="CQ4155">
        <v>90</v>
      </c>
      <c r="CR4155">
        <v>0</v>
      </c>
      <c r="CS4155">
        <v>0</v>
      </c>
      <c r="CT4155">
        <v>6.1</v>
      </c>
      <c r="CU4155">
        <v>90</v>
      </c>
      <c r="CV4155">
        <v>0.19</v>
      </c>
      <c r="CW4155">
        <v>44</v>
      </c>
      <c r="CX4155" t="s">
        <v>4584</v>
      </c>
    </row>
    <row r="4156" spans="1:102" x14ac:dyDescent="0.3">
      <c r="A4156" t="str">
        <f>HYPERLINK("https://webapp.icbf.com/v2/app/bull-search/view/77857696","ERM")</f>
        <v>ERM</v>
      </c>
      <c r="B4156" t="s">
        <v>11389</v>
      </c>
      <c r="C4156" t="s">
        <v>11390</v>
      </c>
      <c r="D4156" s="1">
        <v>33769</v>
      </c>
      <c r="E4156" t="s">
        <v>92</v>
      </c>
      <c r="F4156">
        <v>100</v>
      </c>
      <c r="G4156" t="s">
        <v>93</v>
      </c>
      <c r="H4156">
        <v>-94.47</v>
      </c>
      <c r="I4156">
        <v>89</v>
      </c>
      <c r="J4156">
        <v>-18.66</v>
      </c>
      <c r="K4156">
        <v>98</v>
      </c>
      <c r="L4156">
        <v>-67.89</v>
      </c>
      <c r="M4156">
        <v>89</v>
      </c>
      <c r="N4156">
        <v>-9.1</v>
      </c>
      <c r="O4156">
        <v>81</v>
      </c>
      <c r="P4156">
        <v>2.2999999999999998</v>
      </c>
      <c r="Q4156">
        <v>90</v>
      </c>
      <c r="R4156">
        <v>-9.35</v>
      </c>
      <c r="S4156">
        <v>80</v>
      </c>
      <c r="T4156">
        <v>-0.68</v>
      </c>
      <c r="U4156">
        <v>81</v>
      </c>
      <c r="V4156">
        <v>8.91</v>
      </c>
      <c r="W4156">
        <v>64</v>
      </c>
      <c r="X4156" t="s">
        <v>94</v>
      </c>
      <c r="Y4156" t="s">
        <v>95</v>
      </c>
      <c r="Z4156" t="s">
        <v>96</v>
      </c>
      <c r="AA4156" t="s">
        <v>485</v>
      </c>
      <c r="AB4156" t="s">
        <v>11391</v>
      </c>
      <c r="AC4156">
        <v>181</v>
      </c>
      <c r="AD4156">
        <v>116</v>
      </c>
      <c r="AE4156">
        <v>98</v>
      </c>
      <c r="AF4156">
        <v>101.64</v>
      </c>
      <c r="AG4156">
        <v>-7.91</v>
      </c>
      <c r="AH4156">
        <v>1.18</v>
      </c>
      <c r="AI4156">
        <v>-0.2</v>
      </c>
      <c r="AJ4156">
        <v>-0.04</v>
      </c>
      <c r="AK4156">
        <v>89</v>
      </c>
      <c r="AL4156">
        <v>181</v>
      </c>
      <c r="AM4156">
        <v>109</v>
      </c>
      <c r="AN4156">
        <v>3.24</v>
      </c>
      <c r="AO4156">
        <v>-2.1800000000000002</v>
      </c>
      <c r="AP4156">
        <v>7</v>
      </c>
      <c r="AQ4156">
        <v>8</v>
      </c>
      <c r="AR4156">
        <v>10.16</v>
      </c>
      <c r="AS4156">
        <v>63</v>
      </c>
      <c r="AT4156">
        <v>4.32</v>
      </c>
      <c r="AU4156">
        <v>86</v>
      </c>
      <c r="AV4156">
        <v>-1.05</v>
      </c>
      <c r="AW4156">
        <v>84</v>
      </c>
      <c r="AX4156">
        <v>0.22</v>
      </c>
      <c r="AY4156">
        <v>86</v>
      </c>
      <c r="AZ4156">
        <v>6.1</v>
      </c>
      <c r="BA4156">
        <v>58</v>
      </c>
      <c r="BB4156">
        <v>4.5199999999999996</v>
      </c>
      <c r="BC4156">
        <v>73</v>
      </c>
      <c r="BD4156">
        <v>0.03</v>
      </c>
      <c r="BE4156">
        <v>0.05</v>
      </c>
      <c r="BF4156">
        <v>7.0000000000000007E-2</v>
      </c>
      <c r="BG4156">
        <v>93</v>
      </c>
      <c r="BH4156">
        <v>0.27</v>
      </c>
      <c r="BI4156">
        <v>2.48</v>
      </c>
      <c r="BJ4156">
        <v>3</v>
      </c>
      <c r="BK4156">
        <v>3</v>
      </c>
      <c r="BL4156">
        <v>0.46</v>
      </c>
      <c r="BM4156">
        <v>1.57</v>
      </c>
      <c r="BN4156">
        <v>-0.04</v>
      </c>
      <c r="BO4156">
        <v>-0.95</v>
      </c>
      <c r="BP4156">
        <v>0.96</v>
      </c>
      <c r="BQ4156">
        <v>-0.09</v>
      </c>
      <c r="BR4156">
        <v>1.02</v>
      </c>
      <c r="BS4156">
        <v>-1.43</v>
      </c>
      <c r="BT4156">
        <v>0.41</v>
      </c>
      <c r="BU4156">
        <v>0.11</v>
      </c>
      <c r="BV4156">
        <v>0.44</v>
      </c>
      <c r="BW4156">
        <v>-1.18</v>
      </c>
      <c r="BX4156">
        <v>0.28999999999999998</v>
      </c>
      <c r="BY4156">
        <v>-1.71</v>
      </c>
      <c r="BZ4156">
        <v>0.45</v>
      </c>
      <c r="CA4156">
        <v>-0.37</v>
      </c>
      <c r="CB4156">
        <v>-0.23</v>
      </c>
      <c r="CC4156">
        <v>-1.37</v>
      </c>
      <c r="CD4156">
        <v>1.81</v>
      </c>
      <c r="CE4156">
        <v>-0.1</v>
      </c>
      <c r="CF4156">
        <v>0.53</v>
      </c>
      <c r="CG4156">
        <v>0</v>
      </c>
      <c r="CH4156">
        <v>-1.55</v>
      </c>
      <c r="CI4156">
        <v>0</v>
      </c>
      <c r="CJ4156">
        <v>1.8</v>
      </c>
      <c r="CK4156">
        <v>90</v>
      </c>
      <c r="CL4156">
        <v>-0.41</v>
      </c>
      <c r="CM4156">
        <v>89</v>
      </c>
      <c r="CN4156">
        <v>-0.32</v>
      </c>
      <c r="CO4156">
        <v>87</v>
      </c>
      <c r="CP4156">
        <v>2</v>
      </c>
      <c r="CQ4156">
        <v>94</v>
      </c>
      <c r="CR4156">
        <v>0</v>
      </c>
      <c r="CS4156">
        <v>0</v>
      </c>
      <c r="CT4156">
        <v>14.7</v>
      </c>
      <c r="CU4156">
        <v>81</v>
      </c>
      <c r="CV4156">
        <v>0.05</v>
      </c>
      <c r="CW4156">
        <v>44</v>
      </c>
      <c r="CX4156" t="s">
        <v>717</v>
      </c>
    </row>
    <row r="4157" spans="1:102" x14ac:dyDescent="0.3">
      <c r="A4157" t="str">
        <f>HYPERLINK("https://webapp.icbf.com/v2/app/bull-search/view/543645261","DTX")</f>
        <v>DTX</v>
      </c>
      <c r="B4157" t="s">
        <v>1601</v>
      </c>
      <c r="C4157" t="s">
        <v>1602</v>
      </c>
      <c r="D4157" s="1">
        <v>38796</v>
      </c>
      <c r="E4157" t="s">
        <v>92</v>
      </c>
      <c r="F4157">
        <v>100</v>
      </c>
      <c r="G4157" t="s">
        <v>93</v>
      </c>
      <c r="H4157">
        <v>-94.66</v>
      </c>
      <c r="I4157">
        <v>80</v>
      </c>
      <c r="J4157">
        <v>34.35</v>
      </c>
      <c r="K4157">
        <v>91</v>
      </c>
      <c r="L4157">
        <v>-131.72</v>
      </c>
      <c r="M4157">
        <v>81</v>
      </c>
      <c r="N4157">
        <v>11.31</v>
      </c>
      <c r="O4157">
        <v>73</v>
      </c>
      <c r="P4157">
        <v>-21.35</v>
      </c>
      <c r="Q4157">
        <v>81</v>
      </c>
      <c r="R4157">
        <v>4.16</v>
      </c>
      <c r="S4157">
        <v>69</v>
      </c>
      <c r="T4157">
        <v>6.13</v>
      </c>
      <c r="U4157">
        <v>70</v>
      </c>
      <c r="V4157">
        <v>2.46</v>
      </c>
      <c r="W4157">
        <v>33</v>
      </c>
      <c r="X4157" t="s">
        <v>110</v>
      </c>
      <c r="Y4157" t="s">
        <v>1534</v>
      </c>
      <c r="Z4157" t="s">
        <v>96</v>
      </c>
      <c r="AA4157" t="s">
        <v>309</v>
      </c>
      <c r="AB4157" t="s">
        <v>1603</v>
      </c>
      <c r="AC4157">
        <v>44</v>
      </c>
      <c r="AD4157">
        <v>24</v>
      </c>
      <c r="AE4157">
        <v>91</v>
      </c>
      <c r="AF4157">
        <v>291.26</v>
      </c>
      <c r="AG4157">
        <v>6.7</v>
      </c>
      <c r="AH4157">
        <v>7.93</v>
      </c>
      <c r="AI4157">
        <v>-7.0000000000000007E-2</v>
      </c>
      <c r="AJ4157">
        <v>-0.03</v>
      </c>
      <c r="AK4157">
        <v>81</v>
      </c>
      <c r="AL4157">
        <v>36</v>
      </c>
      <c r="AM4157">
        <v>22</v>
      </c>
      <c r="AN4157">
        <v>6.75</v>
      </c>
      <c r="AO4157">
        <v>-3.76</v>
      </c>
      <c r="AP4157">
        <v>76</v>
      </c>
      <c r="AQ4157">
        <v>1</v>
      </c>
      <c r="AR4157">
        <v>7.74</v>
      </c>
      <c r="AS4157">
        <v>56</v>
      </c>
      <c r="AT4157">
        <v>3.36</v>
      </c>
      <c r="AU4157">
        <v>82</v>
      </c>
      <c r="AV4157">
        <v>-2.73</v>
      </c>
      <c r="AW4157">
        <v>85</v>
      </c>
      <c r="AX4157">
        <v>-0.54</v>
      </c>
      <c r="AY4157">
        <v>63</v>
      </c>
      <c r="AZ4157">
        <v>7.85</v>
      </c>
      <c r="BA4157">
        <v>48</v>
      </c>
      <c r="BB4157">
        <v>6.26</v>
      </c>
      <c r="BC4157">
        <v>44</v>
      </c>
      <c r="BD4157">
        <v>-0.01</v>
      </c>
      <c r="BE4157">
        <v>-0.01</v>
      </c>
      <c r="BF4157">
        <v>-0.06</v>
      </c>
      <c r="BG4157">
        <v>87</v>
      </c>
      <c r="BH4157">
        <v>-0.05</v>
      </c>
      <c r="BI4157">
        <v>-13.73</v>
      </c>
      <c r="BJ4157">
        <v>25</v>
      </c>
      <c r="BK4157">
        <v>13</v>
      </c>
      <c r="BL4157">
        <v>1.2</v>
      </c>
      <c r="BM4157">
        <v>-2.65</v>
      </c>
      <c r="BN4157">
        <v>1.48</v>
      </c>
      <c r="BO4157">
        <v>2.23</v>
      </c>
      <c r="BP4157">
        <v>-0.56000000000000005</v>
      </c>
      <c r="BQ4157">
        <v>0.69</v>
      </c>
      <c r="BR4157">
        <v>-0.01</v>
      </c>
      <c r="BS4157">
        <v>2.5</v>
      </c>
      <c r="BT4157">
        <v>0.39</v>
      </c>
      <c r="BU4157">
        <v>1.91</v>
      </c>
      <c r="BV4157">
        <v>2.76</v>
      </c>
      <c r="BW4157">
        <v>2.97</v>
      </c>
      <c r="BX4157">
        <v>0.68</v>
      </c>
      <c r="BY4157">
        <v>2.2000000000000002</v>
      </c>
      <c r="BZ4157">
        <v>1.7</v>
      </c>
      <c r="CA4157">
        <v>1.87</v>
      </c>
      <c r="CB4157">
        <v>1.8</v>
      </c>
      <c r="CC4157">
        <v>1.47</v>
      </c>
      <c r="CD4157">
        <v>-2.69</v>
      </c>
      <c r="CE4157">
        <v>1.98</v>
      </c>
      <c r="CF4157">
        <v>0.65</v>
      </c>
      <c r="CG4157">
        <v>0</v>
      </c>
      <c r="CH4157">
        <v>2.1</v>
      </c>
      <c r="CI4157">
        <v>0</v>
      </c>
      <c r="CJ4157">
        <v>-11.3</v>
      </c>
      <c r="CK4157">
        <v>83</v>
      </c>
      <c r="CL4157">
        <v>-1.32</v>
      </c>
      <c r="CM4157">
        <v>80</v>
      </c>
      <c r="CN4157">
        <v>-0.76</v>
      </c>
      <c r="CO4157">
        <v>77</v>
      </c>
      <c r="CP4157">
        <v>-6.9</v>
      </c>
      <c r="CQ4157">
        <v>79</v>
      </c>
      <c r="CR4157">
        <v>0</v>
      </c>
      <c r="CS4157">
        <v>0</v>
      </c>
      <c r="CT4157">
        <v>5.5</v>
      </c>
      <c r="CU4157">
        <v>70</v>
      </c>
      <c r="CV4157">
        <v>0.17</v>
      </c>
      <c r="CW4157">
        <v>23</v>
      </c>
      <c r="CX4157" t="s">
        <v>311</v>
      </c>
    </row>
    <row r="4158" spans="1:102" x14ac:dyDescent="0.3">
      <c r="A4158" t="str">
        <f>HYPERLINK("https://webapp.icbf.com/v2/app/bull-search/view/586046361","S790")</f>
        <v>S790</v>
      </c>
      <c r="B4158" t="s">
        <v>2638</v>
      </c>
      <c r="C4158" t="s">
        <v>2639</v>
      </c>
      <c r="D4158" s="1">
        <v>38244</v>
      </c>
      <c r="E4158" t="s">
        <v>92</v>
      </c>
      <c r="F4158">
        <v>100</v>
      </c>
      <c r="G4158" t="s">
        <v>109</v>
      </c>
      <c r="H4158">
        <v>-94.73</v>
      </c>
      <c r="I4158">
        <v>86</v>
      </c>
      <c r="J4158">
        <v>42.65</v>
      </c>
      <c r="K4158">
        <v>96</v>
      </c>
      <c r="L4158">
        <v>-92.12</v>
      </c>
      <c r="M4158">
        <v>88</v>
      </c>
      <c r="N4158">
        <v>-12.71</v>
      </c>
      <c r="O4158">
        <v>78</v>
      </c>
      <c r="P4158">
        <v>-16.260000000000002</v>
      </c>
      <c r="Q4158">
        <v>80</v>
      </c>
      <c r="R4158">
        <v>-0.48</v>
      </c>
      <c r="S4158">
        <v>78</v>
      </c>
      <c r="T4158">
        <v>-13.04</v>
      </c>
      <c r="U4158">
        <v>73</v>
      </c>
      <c r="V4158">
        <v>-2.77</v>
      </c>
      <c r="W4158">
        <v>64</v>
      </c>
      <c r="X4158" t="s">
        <v>276</v>
      </c>
      <c r="Y4158" t="s">
        <v>1494</v>
      </c>
      <c r="Z4158" t="s">
        <v>96</v>
      </c>
      <c r="AA4158" t="s">
        <v>2030</v>
      </c>
      <c r="AB4158" t="s">
        <v>2640</v>
      </c>
      <c r="AC4158">
        <v>42</v>
      </c>
      <c r="AD4158">
        <v>14</v>
      </c>
      <c r="AE4158">
        <v>96</v>
      </c>
      <c r="AF4158">
        <v>395.78</v>
      </c>
      <c r="AG4158">
        <v>9.2200000000000006</v>
      </c>
      <c r="AH4158">
        <v>10.050000000000001</v>
      </c>
      <c r="AI4158">
        <v>-0.1</v>
      </c>
      <c r="AJ4158">
        <v>-0.06</v>
      </c>
      <c r="AK4158">
        <v>88</v>
      </c>
      <c r="AL4158">
        <v>35</v>
      </c>
      <c r="AM4158">
        <v>14</v>
      </c>
      <c r="AN4158">
        <v>4.7300000000000004</v>
      </c>
      <c r="AO4158">
        <v>-2.62</v>
      </c>
      <c r="AP4158">
        <v>65</v>
      </c>
      <c r="AQ4158">
        <v>1</v>
      </c>
      <c r="AR4158">
        <v>10.83</v>
      </c>
      <c r="AS4158">
        <v>71</v>
      </c>
      <c r="AT4158">
        <v>4.82</v>
      </c>
      <c r="AU4158">
        <v>92</v>
      </c>
      <c r="AV4158">
        <v>-2.4900000000000002</v>
      </c>
      <c r="AW4158">
        <v>81</v>
      </c>
      <c r="AX4158">
        <v>-0.21</v>
      </c>
      <c r="AY4158">
        <v>73</v>
      </c>
      <c r="AZ4158">
        <v>7.6</v>
      </c>
      <c r="BA4158">
        <v>58</v>
      </c>
      <c r="BB4158">
        <v>5.61</v>
      </c>
      <c r="BC4158">
        <v>55</v>
      </c>
      <c r="BD4158">
        <v>-0.03</v>
      </c>
      <c r="BE4158">
        <v>-0.01</v>
      </c>
      <c r="BF4158">
        <v>0.08</v>
      </c>
      <c r="BG4158">
        <v>92</v>
      </c>
      <c r="BH4158">
        <v>-0.19</v>
      </c>
      <c r="BI4158">
        <v>-13.03</v>
      </c>
      <c r="BJ4158">
        <v>20</v>
      </c>
      <c r="BK4158">
        <v>8</v>
      </c>
      <c r="BL4158">
        <v>1.47</v>
      </c>
      <c r="BM4158">
        <v>-1.77</v>
      </c>
      <c r="BN4158">
        <v>-0.71</v>
      </c>
      <c r="BO4158">
        <v>1.1599999999999999</v>
      </c>
      <c r="BP4158">
        <v>-0.03</v>
      </c>
      <c r="BQ4158">
        <v>1.46</v>
      </c>
      <c r="BR4158">
        <v>0.44</v>
      </c>
      <c r="BS4158">
        <v>1.48</v>
      </c>
      <c r="BT4158">
        <v>0.19</v>
      </c>
      <c r="BU4158">
        <v>2.5</v>
      </c>
      <c r="BV4158">
        <v>2.2200000000000002</v>
      </c>
      <c r="BW4158">
        <v>1.54</v>
      </c>
      <c r="BX4158">
        <v>2.4300000000000002</v>
      </c>
      <c r="BY4158">
        <v>1.6</v>
      </c>
      <c r="BZ4158">
        <v>-2.27</v>
      </c>
      <c r="CA4158">
        <v>2.4300000000000002</v>
      </c>
      <c r="CB4158">
        <v>2.2200000000000002</v>
      </c>
      <c r="CC4158">
        <v>1.78</v>
      </c>
      <c r="CD4158">
        <v>-0.8</v>
      </c>
      <c r="CE4158">
        <v>1.94</v>
      </c>
      <c r="CF4158">
        <v>2.5099999999999998</v>
      </c>
      <c r="CG4158">
        <v>0</v>
      </c>
      <c r="CH4158">
        <v>1.89</v>
      </c>
      <c r="CI4158">
        <v>0</v>
      </c>
      <c r="CJ4158">
        <v>-5.4</v>
      </c>
      <c r="CK4158">
        <v>82</v>
      </c>
      <c r="CL4158">
        <v>-1.44</v>
      </c>
      <c r="CM4158">
        <v>79</v>
      </c>
      <c r="CN4158">
        <v>-0.4</v>
      </c>
      <c r="CO4158">
        <v>77</v>
      </c>
      <c r="CP4158">
        <v>9.1</v>
      </c>
      <c r="CQ4158">
        <v>78</v>
      </c>
      <c r="CR4158">
        <v>0</v>
      </c>
      <c r="CS4158">
        <v>0</v>
      </c>
      <c r="CT4158">
        <v>31.4</v>
      </c>
      <c r="CU4158">
        <v>73</v>
      </c>
      <c r="CV4158">
        <v>0.11</v>
      </c>
      <c r="CW4158">
        <v>42</v>
      </c>
      <c r="CX4158" t="s">
        <v>311</v>
      </c>
    </row>
    <row r="4159" spans="1:102" x14ac:dyDescent="0.3">
      <c r="A4159" t="str">
        <f>HYPERLINK("https://webapp.icbf.com/v2/app/bull-search/view/77854021","RKY")</f>
        <v>RKY</v>
      </c>
      <c r="B4159" t="s">
        <v>11410</v>
      </c>
      <c r="C4159" t="s">
        <v>11411</v>
      </c>
      <c r="D4159" s="1">
        <v>34765</v>
      </c>
      <c r="E4159" t="s">
        <v>92</v>
      </c>
      <c r="F4159">
        <v>100</v>
      </c>
      <c r="G4159" t="s">
        <v>93</v>
      </c>
      <c r="H4159">
        <v>-95.17</v>
      </c>
      <c r="I4159">
        <v>68</v>
      </c>
      <c r="J4159">
        <v>-10.9</v>
      </c>
      <c r="K4159">
        <v>90</v>
      </c>
      <c r="L4159">
        <v>-75.900000000000006</v>
      </c>
      <c r="M4159">
        <v>55</v>
      </c>
      <c r="N4159">
        <v>1.69</v>
      </c>
      <c r="O4159">
        <v>53</v>
      </c>
      <c r="P4159">
        <v>6.61</v>
      </c>
      <c r="Q4159">
        <v>76</v>
      </c>
      <c r="R4159">
        <v>-19.670000000000002</v>
      </c>
      <c r="S4159">
        <v>61</v>
      </c>
      <c r="T4159">
        <v>8.35</v>
      </c>
      <c r="U4159">
        <v>66</v>
      </c>
      <c r="V4159">
        <v>-5.35</v>
      </c>
      <c r="W4159">
        <v>35</v>
      </c>
      <c r="X4159" t="s">
        <v>94</v>
      </c>
      <c r="Y4159" t="s">
        <v>95</v>
      </c>
      <c r="Z4159" t="s">
        <v>96</v>
      </c>
      <c r="AA4159" t="s">
        <v>265</v>
      </c>
      <c r="AB4159" t="s">
        <v>11412</v>
      </c>
      <c r="AC4159">
        <v>43</v>
      </c>
      <c r="AD4159">
        <v>38</v>
      </c>
      <c r="AE4159">
        <v>90</v>
      </c>
      <c r="AF4159">
        <v>39.770000000000003</v>
      </c>
      <c r="AG4159">
        <v>-0.44</v>
      </c>
      <c r="AH4159">
        <v>-1.0900000000000001</v>
      </c>
      <c r="AI4159">
        <v>-0.03</v>
      </c>
      <c r="AJ4159">
        <v>-0.04</v>
      </c>
      <c r="AK4159">
        <v>55</v>
      </c>
      <c r="AL4159">
        <v>39</v>
      </c>
      <c r="AM4159">
        <v>31</v>
      </c>
      <c r="AN4159">
        <v>4.3899999999999997</v>
      </c>
      <c r="AO4159">
        <v>-1.66</v>
      </c>
      <c r="AP4159">
        <v>5</v>
      </c>
      <c r="AQ4159">
        <v>22</v>
      </c>
      <c r="AR4159">
        <v>8.23</v>
      </c>
      <c r="AS4159">
        <v>31</v>
      </c>
      <c r="AT4159">
        <v>3.97</v>
      </c>
      <c r="AU4159">
        <v>48</v>
      </c>
      <c r="AV4159">
        <v>-1.83</v>
      </c>
      <c r="AW4159">
        <v>63</v>
      </c>
      <c r="AX4159">
        <v>-0.33</v>
      </c>
      <c r="AY4159">
        <v>66</v>
      </c>
      <c r="AZ4159">
        <v>7.23</v>
      </c>
      <c r="BA4159">
        <v>32</v>
      </c>
      <c r="BB4159">
        <v>5.52</v>
      </c>
      <c r="BC4159">
        <v>43</v>
      </c>
      <c r="BD4159">
        <v>0.05</v>
      </c>
      <c r="BE4159">
        <v>0.11</v>
      </c>
      <c r="BF4159">
        <v>0.16</v>
      </c>
      <c r="BG4159">
        <v>74</v>
      </c>
      <c r="BH4159">
        <v>-0.01</v>
      </c>
      <c r="BI4159">
        <v>16.100000000000001</v>
      </c>
      <c r="BJ4159">
        <v>10</v>
      </c>
      <c r="BK4159">
        <v>9</v>
      </c>
      <c r="BL4159">
        <v>-0.6</v>
      </c>
      <c r="BM4159">
        <v>-2.84</v>
      </c>
      <c r="BN4159">
        <v>-1.31</v>
      </c>
      <c r="BO4159">
        <v>0.64</v>
      </c>
      <c r="BP4159">
        <v>0.92</v>
      </c>
      <c r="BQ4159">
        <v>-3.62</v>
      </c>
      <c r="BR4159">
        <v>-0.93</v>
      </c>
      <c r="BS4159">
        <v>0.8</v>
      </c>
      <c r="BT4159">
        <v>0.32</v>
      </c>
      <c r="BU4159">
        <v>0.16</v>
      </c>
      <c r="BV4159">
        <v>-0.32</v>
      </c>
      <c r="BW4159">
        <v>-0.26</v>
      </c>
      <c r="BX4159">
        <v>-0.62</v>
      </c>
      <c r="BY4159">
        <v>0.28999999999999998</v>
      </c>
      <c r="BZ4159">
        <v>1.46</v>
      </c>
      <c r="CA4159">
        <v>0.61</v>
      </c>
      <c r="CB4159">
        <v>0.16</v>
      </c>
      <c r="CC4159">
        <v>1.0900000000000001</v>
      </c>
      <c r="CD4159">
        <v>-1.24</v>
      </c>
      <c r="CE4159">
        <v>0.56000000000000005</v>
      </c>
      <c r="CF4159">
        <v>-1.2</v>
      </c>
      <c r="CG4159">
        <v>0</v>
      </c>
      <c r="CH4159">
        <v>0.36</v>
      </c>
      <c r="CI4159">
        <v>0</v>
      </c>
      <c r="CJ4159">
        <v>3.5</v>
      </c>
      <c r="CK4159">
        <v>78</v>
      </c>
      <c r="CL4159">
        <v>-0.05</v>
      </c>
      <c r="CM4159">
        <v>74</v>
      </c>
      <c r="CN4159">
        <v>-0.26</v>
      </c>
      <c r="CO4159">
        <v>71</v>
      </c>
      <c r="CP4159">
        <v>-5</v>
      </c>
      <c r="CQ4159">
        <v>77</v>
      </c>
      <c r="CR4159">
        <v>0</v>
      </c>
      <c r="CS4159">
        <v>0</v>
      </c>
      <c r="CT4159">
        <v>2.5</v>
      </c>
      <c r="CU4159">
        <v>66</v>
      </c>
      <c r="CV4159">
        <v>0.1</v>
      </c>
      <c r="CW4159">
        <v>22</v>
      </c>
      <c r="CX4159" t="s">
        <v>111</v>
      </c>
    </row>
    <row r="4160" spans="1:102" x14ac:dyDescent="0.3">
      <c r="A4160" t="str">
        <f>HYPERLINK("https://webapp.icbf.com/v2/app/bull-search/view/77854912","MWB")</f>
        <v>MWB</v>
      </c>
      <c r="B4160" t="s">
        <v>15319</v>
      </c>
      <c r="C4160" t="s">
        <v>15320</v>
      </c>
      <c r="D4160" s="1">
        <v>31826</v>
      </c>
      <c r="E4160" t="s">
        <v>92</v>
      </c>
      <c r="F4160">
        <v>100</v>
      </c>
      <c r="G4160" t="s">
        <v>93</v>
      </c>
      <c r="H4160">
        <v>-95.2</v>
      </c>
      <c r="I4160">
        <v>56</v>
      </c>
      <c r="J4160">
        <v>-0.86</v>
      </c>
      <c r="K4160">
        <v>70</v>
      </c>
      <c r="L4160">
        <v>-66</v>
      </c>
      <c r="M4160">
        <v>45</v>
      </c>
      <c r="N4160">
        <v>-22.38</v>
      </c>
      <c r="O4160">
        <v>45</v>
      </c>
      <c r="P4160">
        <v>-4.17</v>
      </c>
      <c r="Q4160">
        <v>59</v>
      </c>
      <c r="R4160">
        <v>-7.47</v>
      </c>
      <c r="S4160">
        <v>50</v>
      </c>
      <c r="T4160">
        <v>5.39</v>
      </c>
      <c r="U4160">
        <v>60</v>
      </c>
      <c r="V4160">
        <v>0.28999999999999998</v>
      </c>
      <c r="W4160">
        <v>39</v>
      </c>
      <c r="X4160" t="s">
        <v>276</v>
      </c>
      <c r="Y4160" t="s">
        <v>95</v>
      </c>
      <c r="Z4160" t="s">
        <v>96</v>
      </c>
      <c r="AA4160" t="s">
        <v>128</v>
      </c>
      <c r="AB4160" t="s">
        <v>15321</v>
      </c>
      <c r="AC4160">
        <v>11</v>
      </c>
      <c r="AD4160">
        <v>12</v>
      </c>
      <c r="AE4160">
        <v>70</v>
      </c>
      <c r="AF4160">
        <v>120.44</v>
      </c>
      <c r="AG4160">
        <v>1.69</v>
      </c>
      <c r="AH4160">
        <v>1.1000000000000001</v>
      </c>
      <c r="AI4160">
        <v>-0.05</v>
      </c>
      <c r="AJ4160">
        <v>-0.05</v>
      </c>
      <c r="AK4160">
        <v>45</v>
      </c>
      <c r="AL4160">
        <v>19</v>
      </c>
      <c r="AM4160">
        <v>14</v>
      </c>
      <c r="AN4160">
        <v>3.88</v>
      </c>
      <c r="AO4160">
        <v>-1.38</v>
      </c>
      <c r="AP4160">
        <v>2</v>
      </c>
      <c r="AQ4160">
        <v>0</v>
      </c>
      <c r="AR4160">
        <v>11.53</v>
      </c>
      <c r="AS4160">
        <v>27</v>
      </c>
      <c r="AT4160">
        <v>4.88</v>
      </c>
      <c r="AU4160">
        <v>57</v>
      </c>
      <c r="AV4160">
        <v>-0.42</v>
      </c>
      <c r="AW4160">
        <v>46</v>
      </c>
      <c r="AX4160">
        <v>-0.39</v>
      </c>
      <c r="AY4160">
        <v>46</v>
      </c>
      <c r="AZ4160">
        <v>5.23</v>
      </c>
      <c r="BA4160">
        <v>28</v>
      </c>
      <c r="BB4160">
        <v>4.37</v>
      </c>
      <c r="BC4160">
        <v>34</v>
      </c>
      <c r="BD4160">
        <v>0.04</v>
      </c>
      <c r="BE4160">
        <v>0.05</v>
      </c>
      <c r="BF4160">
        <v>0.01</v>
      </c>
      <c r="BG4160">
        <v>61</v>
      </c>
      <c r="BH4160">
        <v>0.06</v>
      </c>
      <c r="BI4160">
        <v>6.01</v>
      </c>
      <c r="BJ4160">
        <v>3</v>
      </c>
      <c r="BK4160">
        <v>2</v>
      </c>
      <c r="BL4160">
        <v>0.27</v>
      </c>
      <c r="BM4160">
        <v>0.71</v>
      </c>
      <c r="BN4160">
        <v>0.74</v>
      </c>
      <c r="BO4160">
        <v>-0.3</v>
      </c>
      <c r="BP4160">
        <v>-2.57</v>
      </c>
      <c r="BQ4160">
        <v>0.56000000000000005</v>
      </c>
      <c r="BR4160">
        <v>0.91</v>
      </c>
      <c r="BS4160">
        <v>-0.93</v>
      </c>
      <c r="BT4160">
        <v>0.11</v>
      </c>
      <c r="BU4160">
        <v>-1.66</v>
      </c>
      <c r="BV4160">
        <v>-1.89</v>
      </c>
      <c r="BW4160">
        <v>-1</v>
      </c>
      <c r="BX4160">
        <v>-1.62</v>
      </c>
      <c r="BY4160">
        <v>-0.41</v>
      </c>
      <c r="BZ4160">
        <v>0.51</v>
      </c>
      <c r="CA4160">
        <v>-1.5</v>
      </c>
      <c r="CB4160">
        <v>-1.7</v>
      </c>
      <c r="CC4160">
        <v>-0.08</v>
      </c>
      <c r="CD4160">
        <v>0.23</v>
      </c>
      <c r="CE4160">
        <v>0.15</v>
      </c>
      <c r="CF4160">
        <v>0.49</v>
      </c>
      <c r="CG4160">
        <v>0</v>
      </c>
      <c r="CH4160">
        <v>-0.52</v>
      </c>
      <c r="CI4160">
        <v>0</v>
      </c>
      <c r="CJ4160">
        <v>-1.4</v>
      </c>
      <c r="CK4160">
        <v>61</v>
      </c>
      <c r="CL4160">
        <v>-0.51</v>
      </c>
      <c r="CM4160">
        <v>57</v>
      </c>
      <c r="CN4160">
        <v>-0.26</v>
      </c>
      <c r="CO4160">
        <v>53</v>
      </c>
      <c r="CP4160">
        <v>-0.1</v>
      </c>
      <c r="CQ4160">
        <v>62</v>
      </c>
      <c r="CR4160">
        <v>0</v>
      </c>
      <c r="CS4160">
        <v>0</v>
      </c>
      <c r="CT4160">
        <v>6.5</v>
      </c>
      <c r="CU4160">
        <v>60</v>
      </c>
      <c r="CV4160">
        <v>0.1</v>
      </c>
      <c r="CW4160">
        <v>17</v>
      </c>
      <c r="CX4160" t="s">
        <v>120</v>
      </c>
    </row>
    <row r="4161" spans="1:102" x14ac:dyDescent="0.3">
      <c r="A4161" t="str">
        <f>HYPERLINK("https://webapp.icbf.com/v2/app/bull-search/view/163414776","MCC")</f>
        <v>MCC</v>
      </c>
      <c r="B4161" t="s">
        <v>6663</v>
      </c>
      <c r="C4161" t="s">
        <v>1808</v>
      </c>
      <c r="D4161" s="1">
        <v>35331</v>
      </c>
      <c r="E4161" t="s">
        <v>140</v>
      </c>
      <c r="F4161">
        <v>0</v>
      </c>
      <c r="G4161" t="s">
        <v>93</v>
      </c>
      <c r="H4161">
        <v>-95.37</v>
      </c>
      <c r="I4161">
        <v>88</v>
      </c>
      <c r="J4161">
        <v>-22.45</v>
      </c>
      <c r="K4161">
        <v>97</v>
      </c>
      <c r="L4161">
        <v>-44.93</v>
      </c>
      <c r="M4161">
        <v>76</v>
      </c>
      <c r="N4161">
        <v>-40.83</v>
      </c>
      <c r="O4161">
        <v>88</v>
      </c>
      <c r="P4161">
        <v>17.440000000000001</v>
      </c>
      <c r="Q4161">
        <v>96</v>
      </c>
      <c r="R4161">
        <v>2.2799999999999998</v>
      </c>
      <c r="S4161">
        <v>81</v>
      </c>
      <c r="T4161">
        <v>6.72</v>
      </c>
      <c r="U4161">
        <v>93</v>
      </c>
      <c r="V4161">
        <v>-13.6</v>
      </c>
      <c r="W4161">
        <v>82</v>
      </c>
      <c r="X4161" t="s">
        <v>102</v>
      </c>
      <c r="Y4161" t="s">
        <v>95</v>
      </c>
      <c r="Z4161">
        <v>0</v>
      </c>
      <c r="AA4161" t="s">
        <v>1296</v>
      </c>
      <c r="AB4161" t="s">
        <v>6664</v>
      </c>
      <c r="AC4161">
        <v>139</v>
      </c>
      <c r="AD4161">
        <v>48</v>
      </c>
      <c r="AE4161">
        <v>97</v>
      </c>
      <c r="AF4161">
        <v>75.459999999999994</v>
      </c>
      <c r="AG4161">
        <v>-5.66</v>
      </c>
      <c r="AH4161">
        <v>-0.66</v>
      </c>
      <c r="AI4161">
        <v>-0.14000000000000001</v>
      </c>
      <c r="AJ4161">
        <v>-0.05</v>
      </c>
      <c r="AK4161">
        <v>76</v>
      </c>
      <c r="AL4161">
        <v>150</v>
      </c>
      <c r="AM4161">
        <v>66</v>
      </c>
      <c r="AN4161">
        <v>1.1299999999999999</v>
      </c>
      <c r="AO4161">
        <v>-2.4700000000000002</v>
      </c>
      <c r="AP4161">
        <v>191</v>
      </c>
      <c r="AQ4161">
        <v>0</v>
      </c>
      <c r="AR4161">
        <v>11.44</v>
      </c>
      <c r="AS4161">
        <v>78</v>
      </c>
      <c r="AT4161">
        <v>5.57</v>
      </c>
      <c r="AU4161">
        <v>90</v>
      </c>
      <c r="AV4161">
        <v>1.3</v>
      </c>
      <c r="AW4161">
        <v>95</v>
      </c>
      <c r="AX4161">
        <v>-0.74</v>
      </c>
      <c r="AY4161">
        <v>88</v>
      </c>
      <c r="AZ4161">
        <v>4.63</v>
      </c>
      <c r="BA4161">
        <v>71</v>
      </c>
      <c r="BB4161">
        <v>3.85</v>
      </c>
      <c r="BC4161">
        <v>75</v>
      </c>
      <c r="BD4161">
        <v>0.04</v>
      </c>
      <c r="BE4161">
        <v>-0.01</v>
      </c>
      <c r="BF4161">
        <v>-0.1</v>
      </c>
      <c r="BG4161">
        <v>89</v>
      </c>
      <c r="BH4161">
        <v>-0.57999999999999996</v>
      </c>
      <c r="BI4161">
        <v>-23.22</v>
      </c>
      <c r="BJ4161">
        <v>1</v>
      </c>
      <c r="BK4161">
        <v>1</v>
      </c>
      <c r="BL4161">
        <v>-0.37</v>
      </c>
      <c r="BM4161">
        <v>3.07</v>
      </c>
      <c r="BN4161">
        <v>-1.42</v>
      </c>
      <c r="BO4161">
        <v>-2.48</v>
      </c>
      <c r="BP4161">
        <v>4.74</v>
      </c>
      <c r="BQ4161">
        <v>-2.31</v>
      </c>
      <c r="BR4161">
        <v>-2.9</v>
      </c>
      <c r="BS4161">
        <v>-0.57999999999999996</v>
      </c>
      <c r="BT4161">
        <v>2.59</v>
      </c>
      <c r="BU4161">
        <v>-3.04</v>
      </c>
      <c r="BV4161">
        <v>-3.6</v>
      </c>
      <c r="BW4161">
        <v>-2.73</v>
      </c>
      <c r="BX4161">
        <v>-2.2000000000000002</v>
      </c>
      <c r="BY4161">
        <v>-2.27</v>
      </c>
      <c r="BZ4161">
        <v>1.42</v>
      </c>
      <c r="CA4161">
        <v>-2.0299999999999998</v>
      </c>
      <c r="CB4161">
        <v>-2.83</v>
      </c>
      <c r="CC4161">
        <v>0.08</v>
      </c>
      <c r="CD4161">
        <v>3.72</v>
      </c>
      <c r="CE4161">
        <v>-2.4500000000000002</v>
      </c>
      <c r="CF4161">
        <v>-0.42</v>
      </c>
      <c r="CG4161">
        <v>0</v>
      </c>
      <c r="CH4161">
        <v>-1.75</v>
      </c>
      <c r="CI4161">
        <v>0</v>
      </c>
      <c r="CJ4161">
        <v>6.2</v>
      </c>
      <c r="CK4161">
        <v>97</v>
      </c>
      <c r="CL4161">
        <v>0.22</v>
      </c>
      <c r="CM4161">
        <v>96</v>
      </c>
      <c r="CN4161">
        <v>-0.52</v>
      </c>
      <c r="CO4161">
        <v>95</v>
      </c>
      <c r="CP4161">
        <v>3.5</v>
      </c>
      <c r="CQ4161">
        <v>94</v>
      </c>
      <c r="CR4161">
        <v>0</v>
      </c>
      <c r="CS4161">
        <v>0</v>
      </c>
      <c r="CT4161">
        <v>4.7</v>
      </c>
      <c r="CU4161">
        <v>93</v>
      </c>
      <c r="CV4161">
        <v>-7.0000000000000007E-2</v>
      </c>
      <c r="CW4161">
        <v>28</v>
      </c>
      <c r="CX4161" t="s">
        <v>1179</v>
      </c>
    </row>
    <row r="4162" spans="1:102" x14ac:dyDescent="0.3">
      <c r="A4162" t="str">
        <f>HYPERLINK("https://webapp.icbf.com/v2/app/bull-search/view/124414693","GHJ")</f>
        <v>GHJ</v>
      </c>
      <c r="B4162" t="s">
        <v>15535</v>
      </c>
      <c r="C4162" t="s">
        <v>15536</v>
      </c>
      <c r="D4162" s="1">
        <v>34423</v>
      </c>
      <c r="E4162" t="s">
        <v>92</v>
      </c>
      <c r="F4162">
        <v>100</v>
      </c>
      <c r="G4162" t="s">
        <v>109</v>
      </c>
      <c r="H4162">
        <v>-95.62</v>
      </c>
      <c r="I4162">
        <v>58</v>
      </c>
      <c r="J4162">
        <v>-16.489999999999998</v>
      </c>
      <c r="K4162">
        <v>76</v>
      </c>
      <c r="L4162">
        <v>-81.81</v>
      </c>
      <c r="M4162">
        <v>74</v>
      </c>
      <c r="N4162">
        <v>9.4600000000000009</v>
      </c>
      <c r="O4162">
        <v>32</v>
      </c>
      <c r="P4162">
        <v>-4.0599999999999996</v>
      </c>
      <c r="Q4162">
        <v>16</v>
      </c>
      <c r="R4162">
        <v>-9.5500000000000007</v>
      </c>
      <c r="S4162">
        <v>51</v>
      </c>
      <c r="T4162">
        <v>9.9</v>
      </c>
      <c r="U4162">
        <v>14</v>
      </c>
      <c r="V4162">
        <v>-3.07</v>
      </c>
      <c r="W4162">
        <v>10</v>
      </c>
      <c r="X4162" t="s">
        <v>110</v>
      </c>
      <c r="Y4162" t="s">
        <v>95</v>
      </c>
      <c r="Z4162" t="s">
        <v>96</v>
      </c>
      <c r="AA4162" t="s">
        <v>10616</v>
      </c>
      <c r="AB4162" t="s">
        <v>15537</v>
      </c>
      <c r="AC4162">
        <v>0</v>
      </c>
      <c r="AD4162">
        <v>0</v>
      </c>
      <c r="AE4162">
        <v>76</v>
      </c>
      <c r="AF4162">
        <v>366.24</v>
      </c>
      <c r="AG4162">
        <v>2.86</v>
      </c>
      <c r="AH4162">
        <v>1.79</v>
      </c>
      <c r="AI4162">
        <v>-0.18</v>
      </c>
      <c r="AJ4162">
        <v>-0.17</v>
      </c>
      <c r="AK4162">
        <v>74</v>
      </c>
      <c r="AL4162">
        <v>0</v>
      </c>
      <c r="AM4162">
        <v>0</v>
      </c>
      <c r="AN4162">
        <v>4.78</v>
      </c>
      <c r="AO4162">
        <v>-1.74</v>
      </c>
      <c r="AP4162">
        <v>2</v>
      </c>
      <c r="AQ4162">
        <v>0</v>
      </c>
      <c r="AR4162">
        <v>6.51</v>
      </c>
      <c r="AS4162">
        <v>10</v>
      </c>
      <c r="AT4162">
        <v>2.98</v>
      </c>
      <c r="AU4162">
        <v>75</v>
      </c>
      <c r="AV4162">
        <v>-0.72</v>
      </c>
      <c r="AW4162">
        <v>22</v>
      </c>
      <c r="AX4162">
        <v>0.19</v>
      </c>
      <c r="AY4162">
        <v>20</v>
      </c>
      <c r="AZ4162">
        <v>6.38</v>
      </c>
      <c r="BA4162">
        <v>10</v>
      </c>
      <c r="BB4162">
        <v>4.9800000000000004</v>
      </c>
      <c r="BC4162">
        <v>11</v>
      </c>
      <c r="BD4162">
        <v>0.04</v>
      </c>
      <c r="BE4162">
        <v>7.0000000000000007E-2</v>
      </c>
      <c r="BF4162">
        <v>0.02</v>
      </c>
      <c r="BG4162">
        <v>83</v>
      </c>
      <c r="BH4162">
        <v>0</v>
      </c>
      <c r="BI4162">
        <v>9.9</v>
      </c>
      <c r="BJ4162">
        <v>0</v>
      </c>
      <c r="BK4162">
        <v>0</v>
      </c>
      <c r="BL4162">
        <v>0.11</v>
      </c>
      <c r="BM4162">
        <v>0.78</v>
      </c>
      <c r="BN4162">
        <v>0.73</v>
      </c>
      <c r="BO4162">
        <v>0.22</v>
      </c>
      <c r="BP4162">
        <v>-2.16</v>
      </c>
      <c r="BQ4162">
        <v>-0.83</v>
      </c>
      <c r="BR4162">
        <v>-0.13</v>
      </c>
      <c r="BS4162">
        <v>-1.51</v>
      </c>
      <c r="BT4162">
        <v>-0.28000000000000003</v>
      </c>
      <c r="BU4162">
        <v>-0.6</v>
      </c>
      <c r="BV4162">
        <v>-0.13</v>
      </c>
      <c r="BW4162">
        <v>-0.48</v>
      </c>
      <c r="BX4162">
        <v>-1.78</v>
      </c>
      <c r="BY4162">
        <v>-0.76</v>
      </c>
      <c r="BZ4162">
        <v>-0.2</v>
      </c>
      <c r="CA4162">
        <v>-0.98</v>
      </c>
      <c r="CB4162">
        <v>-0.78</v>
      </c>
      <c r="CC4162">
        <v>-0.92</v>
      </c>
      <c r="CD4162">
        <v>0.25</v>
      </c>
      <c r="CE4162">
        <v>0</v>
      </c>
      <c r="CF4162">
        <v>0</v>
      </c>
      <c r="CG4162">
        <v>0</v>
      </c>
      <c r="CH4162">
        <v>0</v>
      </c>
      <c r="CI4162">
        <v>0</v>
      </c>
      <c r="CJ4162">
        <v>-0.7</v>
      </c>
      <c r="CK4162">
        <v>18</v>
      </c>
      <c r="CL4162">
        <v>-0.54</v>
      </c>
      <c r="CM4162">
        <v>14</v>
      </c>
      <c r="CN4162">
        <v>-0.25</v>
      </c>
      <c r="CO4162">
        <v>13</v>
      </c>
      <c r="CP4162">
        <v>-3</v>
      </c>
      <c r="CQ4162">
        <v>15</v>
      </c>
      <c r="CR4162">
        <v>0</v>
      </c>
      <c r="CS4162">
        <v>0</v>
      </c>
      <c r="CT4162">
        <v>0.4</v>
      </c>
      <c r="CU4162">
        <v>14</v>
      </c>
      <c r="CV4162">
        <v>0.17</v>
      </c>
      <c r="CW4162">
        <v>5</v>
      </c>
      <c r="CX4162" t="s">
        <v>111</v>
      </c>
    </row>
    <row r="4163" spans="1:102" x14ac:dyDescent="0.3">
      <c r="A4163" t="str">
        <f>HYPERLINK("https://webapp.icbf.com/v2/app/bull-search/view/77853376","SND")</f>
        <v>SND</v>
      </c>
      <c r="B4163" t="s">
        <v>10854</v>
      </c>
      <c r="C4163" t="s">
        <v>10855</v>
      </c>
      <c r="D4163" s="1">
        <v>33583</v>
      </c>
      <c r="E4163" t="s">
        <v>92</v>
      </c>
      <c r="F4163">
        <v>100</v>
      </c>
      <c r="G4163" t="s">
        <v>93</v>
      </c>
      <c r="H4163">
        <v>-95.77</v>
      </c>
      <c r="I4163">
        <v>95</v>
      </c>
      <c r="J4163">
        <v>-25.68</v>
      </c>
      <c r="K4163">
        <v>99</v>
      </c>
      <c r="L4163">
        <v>-42.26</v>
      </c>
      <c r="M4163">
        <v>93</v>
      </c>
      <c r="N4163">
        <v>-12.89</v>
      </c>
      <c r="O4163">
        <v>91</v>
      </c>
      <c r="P4163">
        <v>-7.93</v>
      </c>
      <c r="Q4163">
        <v>97</v>
      </c>
      <c r="R4163">
        <v>-9.74</v>
      </c>
      <c r="S4163">
        <v>89</v>
      </c>
      <c r="T4163">
        <v>7.24</v>
      </c>
      <c r="U4163">
        <v>94</v>
      </c>
      <c r="V4163">
        <v>-4.51</v>
      </c>
      <c r="W4163">
        <v>82</v>
      </c>
      <c r="X4163" t="s">
        <v>94</v>
      </c>
      <c r="Y4163" t="s">
        <v>95</v>
      </c>
      <c r="Z4163" t="s">
        <v>96</v>
      </c>
      <c r="AA4163" t="s">
        <v>111</v>
      </c>
      <c r="AB4163" t="s">
        <v>7362</v>
      </c>
      <c r="AC4163">
        <v>469</v>
      </c>
      <c r="AD4163">
        <v>270</v>
      </c>
      <c r="AE4163">
        <v>99</v>
      </c>
      <c r="AF4163">
        <v>-10.220000000000001</v>
      </c>
      <c r="AG4163">
        <v>-3.49</v>
      </c>
      <c r="AH4163">
        <v>-3.29</v>
      </c>
      <c r="AI4163">
        <v>-0.05</v>
      </c>
      <c r="AJ4163">
        <v>-0.05</v>
      </c>
      <c r="AK4163">
        <v>93</v>
      </c>
      <c r="AL4163">
        <v>474</v>
      </c>
      <c r="AM4163">
        <v>264</v>
      </c>
      <c r="AN4163">
        <v>1.52</v>
      </c>
      <c r="AO4163">
        <v>-1.86</v>
      </c>
      <c r="AP4163">
        <v>133</v>
      </c>
      <c r="AQ4163">
        <v>0</v>
      </c>
      <c r="AR4163">
        <v>8.8800000000000008</v>
      </c>
      <c r="AS4163">
        <v>86</v>
      </c>
      <c r="AT4163">
        <v>4.4400000000000004</v>
      </c>
      <c r="AU4163">
        <v>93</v>
      </c>
      <c r="AV4163">
        <v>0.01</v>
      </c>
      <c r="AW4163">
        <v>93</v>
      </c>
      <c r="AX4163">
        <v>-0.42</v>
      </c>
      <c r="AY4163">
        <v>94</v>
      </c>
      <c r="AZ4163">
        <v>5.92</v>
      </c>
      <c r="BA4163">
        <v>85</v>
      </c>
      <c r="BB4163">
        <v>4.55</v>
      </c>
      <c r="BC4163">
        <v>88</v>
      </c>
      <c r="BD4163">
        <v>0.06</v>
      </c>
      <c r="BE4163">
        <v>0.06</v>
      </c>
      <c r="BF4163">
        <v>0.01</v>
      </c>
      <c r="BG4163">
        <v>97</v>
      </c>
      <c r="BH4163">
        <v>-7.0000000000000007E-2</v>
      </c>
      <c r="BI4163">
        <v>6.44</v>
      </c>
      <c r="BJ4163">
        <v>72</v>
      </c>
      <c r="BK4163">
        <v>48</v>
      </c>
      <c r="BL4163">
        <v>0.11</v>
      </c>
      <c r="BM4163">
        <v>0.35</v>
      </c>
      <c r="BN4163">
        <v>1.02</v>
      </c>
      <c r="BO4163">
        <v>0.19</v>
      </c>
      <c r="BP4163">
        <v>0.45</v>
      </c>
      <c r="BQ4163">
        <v>0.89</v>
      </c>
      <c r="BR4163">
        <v>0.4</v>
      </c>
      <c r="BS4163">
        <v>0.64</v>
      </c>
      <c r="BT4163">
        <v>-0.59</v>
      </c>
      <c r="BU4163">
        <v>1.3</v>
      </c>
      <c r="BV4163">
        <v>0.51</v>
      </c>
      <c r="BW4163">
        <v>0.19</v>
      </c>
      <c r="BX4163">
        <v>-0.05</v>
      </c>
      <c r="BY4163">
        <v>1.22</v>
      </c>
      <c r="BZ4163">
        <v>0.11</v>
      </c>
      <c r="CA4163">
        <v>0.8</v>
      </c>
      <c r="CB4163">
        <v>0.6</v>
      </c>
      <c r="CC4163">
        <v>1.1000000000000001</v>
      </c>
      <c r="CD4163">
        <v>0.36</v>
      </c>
      <c r="CE4163">
        <v>0.26</v>
      </c>
      <c r="CF4163">
        <v>0.36</v>
      </c>
      <c r="CG4163">
        <v>0</v>
      </c>
      <c r="CH4163">
        <v>1.33</v>
      </c>
      <c r="CI4163">
        <v>0</v>
      </c>
      <c r="CJ4163">
        <v>-1.9</v>
      </c>
      <c r="CK4163">
        <v>97</v>
      </c>
      <c r="CL4163">
        <v>-0.87</v>
      </c>
      <c r="CM4163">
        <v>96</v>
      </c>
      <c r="CN4163">
        <v>-0.31</v>
      </c>
      <c r="CO4163">
        <v>96</v>
      </c>
      <c r="CP4163">
        <v>0.3</v>
      </c>
      <c r="CQ4163">
        <v>97</v>
      </c>
      <c r="CR4163">
        <v>0</v>
      </c>
      <c r="CS4163">
        <v>0</v>
      </c>
      <c r="CT4163">
        <v>4</v>
      </c>
      <c r="CU4163">
        <v>94</v>
      </c>
      <c r="CV4163">
        <v>0.22</v>
      </c>
      <c r="CW4163">
        <v>46</v>
      </c>
      <c r="CX4163" t="s">
        <v>543</v>
      </c>
    </row>
    <row r="4164" spans="1:102" x14ac:dyDescent="0.3">
      <c r="A4164" t="str">
        <f>HYPERLINK("https://webapp.icbf.com/v2/app/bull-search/view/480921368","MXC")</f>
        <v>MXC</v>
      </c>
      <c r="B4164" t="s">
        <v>12257</v>
      </c>
      <c r="C4164" t="s">
        <v>12258</v>
      </c>
      <c r="D4164" s="1">
        <v>38330</v>
      </c>
      <c r="E4164" t="s">
        <v>92</v>
      </c>
      <c r="F4164">
        <v>100</v>
      </c>
      <c r="G4164" t="s">
        <v>93</v>
      </c>
      <c r="H4164">
        <v>-95.8</v>
      </c>
      <c r="I4164">
        <v>62</v>
      </c>
      <c r="J4164">
        <v>-22.98</v>
      </c>
      <c r="K4164">
        <v>83</v>
      </c>
      <c r="L4164">
        <v>-81.010000000000005</v>
      </c>
      <c r="M4164">
        <v>45</v>
      </c>
      <c r="N4164">
        <v>21.21</v>
      </c>
      <c r="O4164">
        <v>61</v>
      </c>
      <c r="P4164">
        <v>-23.98</v>
      </c>
      <c r="Q4164">
        <v>71</v>
      </c>
      <c r="R4164">
        <v>3</v>
      </c>
      <c r="S4164">
        <v>52</v>
      </c>
      <c r="T4164">
        <v>7.68</v>
      </c>
      <c r="U4164">
        <v>50</v>
      </c>
      <c r="V4164">
        <v>0.28000000000000003</v>
      </c>
      <c r="W4164">
        <v>35</v>
      </c>
      <c r="X4164" t="s">
        <v>288</v>
      </c>
      <c r="Y4164" t="s">
        <v>329</v>
      </c>
      <c r="Z4164" t="s">
        <v>96</v>
      </c>
      <c r="AA4164" t="s">
        <v>311</v>
      </c>
      <c r="AB4164" t="s">
        <v>12259</v>
      </c>
      <c r="AC4164">
        <v>21</v>
      </c>
      <c r="AD4164">
        <v>10</v>
      </c>
      <c r="AE4164">
        <v>83</v>
      </c>
      <c r="AF4164">
        <v>273.64</v>
      </c>
      <c r="AG4164">
        <v>-3.28</v>
      </c>
      <c r="AH4164">
        <v>1.44</v>
      </c>
      <c r="AI4164">
        <v>-0.22</v>
      </c>
      <c r="AJ4164">
        <v>-0.13</v>
      </c>
      <c r="AK4164">
        <v>45</v>
      </c>
      <c r="AL4164">
        <v>21</v>
      </c>
      <c r="AM4164">
        <v>10</v>
      </c>
      <c r="AN4164">
        <v>5.2</v>
      </c>
      <c r="AO4164">
        <v>-1.25</v>
      </c>
      <c r="AP4164">
        <v>36</v>
      </c>
      <c r="AQ4164">
        <v>0</v>
      </c>
      <c r="AR4164">
        <v>7.97</v>
      </c>
      <c r="AS4164">
        <v>34</v>
      </c>
      <c r="AT4164">
        <v>3.71</v>
      </c>
      <c r="AU4164">
        <v>73</v>
      </c>
      <c r="AV4164">
        <v>-3.41</v>
      </c>
      <c r="AW4164">
        <v>72</v>
      </c>
      <c r="AX4164">
        <v>-0.22</v>
      </c>
      <c r="AY4164">
        <v>54</v>
      </c>
      <c r="AZ4164">
        <v>6.28</v>
      </c>
      <c r="BA4164">
        <v>32</v>
      </c>
      <c r="BB4164">
        <v>5.05</v>
      </c>
      <c r="BC4164">
        <v>35</v>
      </c>
      <c r="BD4164">
        <v>-0.03</v>
      </c>
      <c r="BE4164">
        <v>-0.01</v>
      </c>
      <c r="BF4164">
        <v>0</v>
      </c>
      <c r="BG4164">
        <v>59</v>
      </c>
      <c r="BH4164">
        <v>-0.08</v>
      </c>
      <c r="BI4164">
        <v>-10.15</v>
      </c>
      <c r="BJ4164">
        <v>13</v>
      </c>
      <c r="BK4164">
        <v>7</v>
      </c>
      <c r="BL4164">
        <v>0.87</v>
      </c>
      <c r="BM4164">
        <v>-1.55</v>
      </c>
      <c r="BN4164">
        <v>0.51</v>
      </c>
      <c r="BO4164">
        <v>1.42</v>
      </c>
      <c r="BP4164">
        <v>0.9</v>
      </c>
      <c r="BQ4164">
        <v>0.05</v>
      </c>
      <c r="BR4164">
        <v>0.48</v>
      </c>
      <c r="BS4164">
        <v>1.18</v>
      </c>
      <c r="BT4164">
        <v>-0.02</v>
      </c>
      <c r="BU4164">
        <v>2.94</v>
      </c>
      <c r="BV4164">
        <v>1.96</v>
      </c>
      <c r="BW4164">
        <v>2.5499999999999998</v>
      </c>
      <c r="BX4164">
        <v>2.13</v>
      </c>
      <c r="BY4164">
        <v>2.15</v>
      </c>
      <c r="BZ4164">
        <v>-0.84</v>
      </c>
      <c r="CA4164">
        <v>2.4900000000000002</v>
      </c>
      <c r="CB4164">
        <v>2.35</v>
      </c>
      <c r="CC4164">
        <v>1.73</v>
      </c>
      <c r="CD4164">
        <v>-1.26</v>
      </c>
      <c r="CE4164">
        <v>0.97</v>
      </c>
      <c r="CF4164">
        <v>0.56000000000000005</v>
      </c>
      <c r="CG4164">
        <v>0</v>
      </c>
      <c r="CH4164">
        <v>2.1</v>
      </c>
      <c r="CI4164">
        <v>0</v>
      </c>
      <c r="CJ4164">
        <v>-12.8</v>
      </c>
      <c r="CK4164">
        <v>73</v>
      </c>
      <c r="CL4164">
        <v>-1.3</v>
      </c>
      <c r="CM4164">
        <v>70</v>
      </c>
      <c r="CN4164">
        <v>-0.71</v>
      </c>
      <c r="CO4164">
        <v>66</v>
      </c>
      <c r="CP4164">
        <v>-8.1</v>
      </c>
      <c r="CQ4164">
        <v>65</v>
      </c>
      <c r="CR4164">
        <v>0</v>
      </c>
      <c r="CS4164">
        <v>0</v>
      </c>
      <c r="CT4164">
        <v>3.4</v>
      </c>
      <c r="CU4164">
        <v>50</v>
      </c>
      <c r="CV4164">
        <v>0.14000000000000001</v>
      </c>
      <c r="CW4164">
        <v>21</v>
      </c>
      <c r="CX4164" t="s">
        <v>1273</v>
      </c>
    </row>
    <row r="4165" spans="1:102" x14ac:dyDescent="0.3">
      <c r="A4165" t="str">
        <f>HYPERLINK("https://webapp.icbf.com/v2/app/bull-search/view/77859424","AWP")</f>
        <v>AWP</v>
      </c>
      <c r="B4165" t="s">
        <v>3612</v>
      </c>
      <c r="C4165" t="s">
        <v>3613</v>
      </c>
      <c r="D4165" s="1">
        <v>36033</v>
      </c>
      <c r="E4165" t="s">
        <v>92</v>
      </c>
      <c r="F4165">
        <v>100</v>
      </c>
      <c r="G4165" t="s">
        <v>93</v>
      </c>
      <c r="H4165">
        <v>-95.84</v>
      </c>
      <c r="I4165">
        <v>70</v>
      </c>
      <c r="J4165">
        <v>4.4000000000000004</v>
      </c>
      <c r="K4165">
        <v>88</v>
      </c>
      <c r="L4165">
        <v>-97.03</v>
      </c>
      <c r="M4165">
        <v>56</v>
      </c>
      <c r="N4165">
        <v>1.84</v>
      </c>
      <c r="O4165">
        <v>60</v>
      </c>
      <c r="P4165">
        <v>-13.51</v>
      </c>
      <c r="Q4165">
        <v>83</v>
      </c>
      <c r="R4165">
        <v>2.46</v>
      </c>
      <c r="S4165">
        <v>60</v>
      </c>
      <c r="T4165">
        <v>10.27</v>
      </c>
      <c r="U4165">
        <v>73</v>
      </c>
      <c r="V4165">
        <v>-4.2699999999999996</v>
      </c>
      <c r="W4165">
        <v>44</v>
      </c>
      <c r="X4165" t="s">
        <v>558</v>
      </c>
      <c r="Y4165" t="s">
        <v>95</v>
      </c>
      <c r="Z4165" t="s">
        <v>96</v>
      </c>
      <c r="AA4165" t="s">
        <v>751</v>
      </c>
      <c r="AB4165" t="s">
        <v>3614</v>
      </c>
      <c r="AC4165">
        <v>37</v>
      </c>
      <c r="AD4165">
        <v>28</v>
      </c>
      <c r="AE4165">
        <v>88</v>
      </c>
      <c r="AF4165">
        <v>118.81</v>
      </c>
      <c r="AG4165">
        <v>-2.95</v>
      </c>
      <c r="AH4165">
        <v>3.61</v>
      </c>
      <c r="AI4165">
        <v>-0.12</v>
      </c>
      <c r="AJ4165">
        <v>-0.01</v>
      </c>
      <c r="AK4165">
        <v>56</v>
      </c>
      <c r="AL4165">
        <v>33</v>
      </c>
      <c r="AM4165">
        <v>20</v>
      </c>
      <c r="AN4165">
        <v>5.15</v>
      </c>
      <c r="AO4165">
        <v>-2.59</v>
      </c>
      <c r="AP4165">
        <v>25</v>
      </c>
      <c r="AQ4165">
        <v>0</v>
      </c>
      <c r="AR4165">
        <v>8.5</v>
      </c>
      <c r="AS4165">
        <v>45</v>
      </c>
      <c r="AT4165">
        <v>3.97</v>
      </c>
      <c r="AU4165">
        <v>61</v>
      </c>
      <c r="AV4165">
        <v>-1.66</v>
      </c>
      <c r="AW4165">
        <v>65</v>
      </c>
      <c r="AX4165">
        <v>0.3</v>
      </c>
      <c r="AY4165">
        <v>67</v>
      </c>
      <c r="AZ4165">
        <v>6.05</v>
      </c>
      <c r="BA4165">
        <v>49</v>
      </c>
      <c r="BB4165">
        <v>5.12</v>
      </c>
      <c r="BC4165">
        <v>48</v>
      </c>
      <c r="BD4165">
        <v>-0.01</v>
      </c>
      <c r="BE4165">
        <v>0</v>
      </c>
      <c r="BF4165">
        <v>-0.04</v>
      </c>
      <c r="BG4165">
        <v>71</v>
      </c>
      <c r="BH4165">
        <v>0</v>
      </c>
      <c r="BI4165">
        <v>13.76</v>
      </c>
      <c r="BJ4165">
        <v>24</v>
      </c>
      <c r="BK4165">
        <v>16</v>
      </c>
      <c r="BL4165">
        <v>0.1</v>
      </c>
      <c r="BM4165">
        <v>-0.67</v>
      </c>
      <c r="BN4165">
        <v>0.19</v>
      </c>
      <c r="BO4165">
        <v>0.39</v>
      </c>
      <c r="BP4165">
        <v>-0.71</v>
      </c>
      <c r="BQ4165">
        <v>-2.2000000000000002</v>
      </c>
      <c r="BR4165">
        <v>0.69</v>
      </c>
      <c r="BS4165">
        <v>-2.36</v>
      </c>
      <c r="BT4165">
        <v>-0.74</v>
      </c>
      <c r="BU4165">
        <v>-0.48</v>
      </c>
      <c r="BV4165">
        <v>-0.09</v>
      </c>
      <c r="BW4165">
        <v>-0.56000000000000005</v>
      </c>
      <c r="BX4165">
        <v>-0.97</v>
      </c>
      <c r="BY4165">
        <v>0.37</v>
      </c>
      <c r="BZ4165">
        <v>-0.5</v>
      </c>
      <c r="CA4165">
        <v>-1.24</v>
      </c>
      <c r="CB4165">
        <v>-0.6</v>
      </c>
      <c r="CC4165">
        <v>-2.02</v>
      </c>
      <c r="CD4165">
        <v>-0.14000000000000001</v>
      </c>
      <c r="CE4165">
        <v>0.06</v>
      </c>
      <c r="CF4165">
        <v>-0.72</v>
      </c>
      <c r="CG4165">
        <v>0</v>
      </c>
      <c r="CH4165">
        <v>-1.01</v>
      </c>
      <c r="CI4165">
        <v>0</v>
      </c>
      <c r="CJ4165">
        <v>-5.8</v>
      </c>
      <c r="CK4165">
        <v>85</v>
      </c>
      <c r="CL4165">
        <v>-0.77</v>
      </c>
      <c r="CM4165">
        <v>82</v>
      </c>
      <c r="CN4165">
        <v>-0.28000000000000003</v>
      </c>
      <c r="CO4165">
        <v>79</v>
      </c>
      <c r="CP4165">
        <v>-5.6</v>
      </c>
      <c r="CQ4165">
        <v>83</v>
      </c>
      <c r="CR4165">
        <v>0</v>
      </c>
      <c r="CS4165">
        <v>0</v>
      </c>
      <c r="CT4165">
        <v>-0.1</v>
      </c>
      <c r="CU4165">
        <v>73</v>
      </c>
      <c r="CV4165">
        <v>0.16</v>
      </c>
      <c r="CW4165">
        <v>24</v>
      </c>
      <c r="CX4165" t="s">
        <v>564</v>
      </c>
    </row>
    <row r="4166" spans="1:102" x14ac:dyDescent="0.3">
      <c r="A4166" t="str">
        <f>HYPERLINK("https://webapp.icbf.com/v2/app/bull-search/view/77854330","QGB")</f>
        <v>QGB</v>
      </c>
      <c r="B4166" t="s">
        <v>6634</v>
      </c>
      <c r="C4166" t="s">
        <v>6635</v>
      </c>
      <c r="D4166" s="1">
        <v>35628</v>
      </c>
      <c r="E4166" t="s">
        <v>92</v>
      </c>
      <c r="F4166">
        <v>100</v>
      </c>
      <c r="G4166" t="s">
        <v>93</v>
      </c>
      <c r="H4166">
        <v>-96.41</v>
      </c>
      <c r="I4166">
        <v>88</v>
      </c>
      <c r="J4166">
        <v>-8.89</v>
      </c>
      <c r="K4166">
        <v>97</v>
      </c>
      <c r="L4166">
        <v>-87.36</v>
      </c>
      <c r="M4166">
        <v>83</v>
      </c>
      <c r="N4166">
        <v>-2.81</v>
      </c>
      <c r="O4166">
        <v>82</v>
      </c>
      <c r="P4166">
        <v>-7.79</v>
      </c>
      <c r="Q4166">
        <v>88</v>
      </c>
      <c r="R4166">
        <v>-3.45</v>
      </c>
      <c r="S4166">
        <v>82</v>
      </c>
      <c r="T4166">
        <v>11.68</v>
      </c>
      <c r="U4166">
        <v>85</v>
      </c>
      <c r="V4166">
        <v>2.21</v>
      </c>
      <c r="W4166">
        <v>73</v>
      </c>
      <c r="X4166" t="s">
        <v>94</v>
      </c>
      <c r="Y4166" t="s">
        <v>95</v>
      </c>
      <c r="Z4166" t="s">
        <v>96</v>
      </c>
      <c r="AA4166" t="s">
        <v>1278</v>
      </c>
      <c r="AB4166" t="s">
        <v>6636</v>
      </c>
      <c r="AC4166">
        <v>112</v>
      </c>
      <c r="AD4166">
        <v>100</v>
      </c>
      <c r="AE4166">
        <v>97</v>
      </c>
      <c r="AF4166">
        <v>212.19</v>
      </c>
      <c r="AG4166">
        <v>1.63</v>
      </c>
      <c r="AH4166">
        <v>1.1599999999999999</v>
      </c>
      <c r="AI4166">
        <v>-0.11</v>
      </c>
      <c r="AJ4166">
        <v>-0.1</v>
      </c>
      <c r="AK4166">
        <v>83</v>
      </c>
      <c r="AL4166">
        <v>113</v>
      </c>
      <c r="AM4166">
        <v>94</v>
      </c>
      <c r="AN4166">
        <v>3.76</v>
      </c>
      <c r="AO4166">
        <v>-3.22</v>
      </c>
      <c r="AP4166">
        <v>2</v>
      </c>
      <c r="AQ4166">
        <v>0</v>
      </c>
      <c r="AR4166">
        <v>9.02</v>
      </c>
      <c r="AS4166">
        <v>73</v>
      </c>
      <c r="AT4166">
        <v>3.47</v>
      </c>
      <c r="AU4166">
        <v>83</v>
      </c>
      <c r="AV4166">
        <v>-0.57999999999999996</v>
      </c>
      <c r="AW4166">
        <v>85</v>
      </c>
      <c r="AX4166">
        <v>-0.18</v>
      </c>
      <c r="AY4166">
        <v>83</v>
      </c>
      <c r="AZ4166">
        <v>7.42</v>
      </c>
      <c r="BA4166">
        <v>69</v>
      </c>
      <c r="BB4166">
        <v>4.8499999999999996</v>
      </c>
      <c r="BC4166">
        <v>75</v>
      </c>
      <c r="BD4166">
        <v>0.02</v>
      </c>
      <c r="BE4166">
        <v>0.04</v>
      </c>
      <c r="BF4166">
        <v>-0.03</v>
      </c>
      <c r="BG4166">
        <v>92</v>
      </c>
      <c r="BH4166">
        <v>0.13</v>
      </c>
      <c r="BI4166">
        <v>7.9</v>
      </c>
      <c r="BJ4166">
        <v>9</v>
      </c>
      <c r="BK4166">
        <v>8</v>
      </c>
      <c r="BL4166">
        <v>-0.12</v>
      </c>
      <c r="BM4166">
        <v>0.59</v>
      </c>
      <c r="BN4166">
        <v>0.28000000000000003</v>
      </c>
      <c r="BO4166">
        <v>-0.23</v>
      </c>
      <c r="BP4166">
        <v>-0.72</v>
      </c>
      <c r="BQ4166">
        <v>-0.98</v>
      </c>
      <c r="BR4166">
        <v>1.53</v>
      </c>
      <c r="BS4166">
        <v>-1.93</v>
      </c>
      <c r="BT4166">
        <v>-1.66</v>
      </c>
      <c r="BU4166">
        <v>1.22</v>
      </c>
      <c r="BV4166">
        <v>0.82</v>
      </c>
      <c r="BW4166">
        <v>-0.59</v>
      </c>
      <c r="BX4166">
        <v>0.87</v>
      </c>
      <c r="BY4166">
        <v>0.76</v>
      </c>
      <c r="BZ4166">
        <v>-7.0000000000000007E-2</v>
      </c>
      <c r="CA4166">
        <v>-0.39</v>
      </c>
      <c r="CB4166">
        <v>0.95</v>
      </c>
      <c r="CC4166">
        <v>-2.4500000000000002</v>
      </c>
      <c r="CD4166">
        <v>0.54</v>
      </c>
      <c r="CE4166">
        <v>-0.17</v>
      </c>
      <c r="CF4166">
        <v>-0.31</v>
      </c>
      <c r="CG4166">
        <v>0</v>
      </c>
      <c r="CH4166">
        <v>1.45</v>
      </c>
      <c r="CI4166">
        <v>0</v>
      </c>
      <c r="CJ4166">
        <v>-0.3</v>
      </c>
      <c r="CK4166">
        <v>89</v>
      </c>
      <c r="CL4166">
        <v>-0.73</v>
      </c>
      <c r="CM4166">
        <v>87</v>
      </c>
      <c r="CN4166">
        <v>-0.14000000000000001</v>
      </c>
      <c r="CO4166">
        <v>86</v>
      </c>
      <c r="CP4166">
        <v>-9.9</v>
      </c>
      <c r="CQ4166">
        <v>92</v>
      </c>
      <c r="CR4166">
        <v>0</v>
      </c>
      <c r="CS4166">
        <v>0</v>
      </c>
      <c r="CT4166">
        <v>-2</v>
      </c>
      <c r="CU4166">
        <v>85</v>
      </c>
      <c r="CV4166">
        <v>0.26</v>
      </c>
      <c r="CW4166">
        <v>44</v>
      </c>
      <c r="CX4166" t="s">
        <v>485</v>
      </c>
    </row>
    <row r="4167" spans="1:102" x14ac:dyDescent="0.3">
      <c r="A4167" t="str">
        <f>HYPERLINK("https://webapp.icbf.com/v2/app/bull-search/view/77857864","FFM")</f>
        <v>FFM</v>
      </c>
      <c r="B4167" t="s">
        <v>810</v>
      </c>
      <c r="C4167" t="s">
        <v>811</v>
      </c>
      <c r="D4167" s="1">
        <v>34174</v>
      </c>
      <c r="E4167" t="s">
        <v>92</v>
      </c>
      <c r="F4167">
        <v>94</v>
      </c>
      <c r="G4167" t="s">
        <v>109</v>
      </c>
      <c r="H4167">
        <v>-96.47</v>
      </c>
      <c r="I4167">
        <v>77</v>
      </c>
      <c r="J4167">
        <v>7.56</v>
      </c>
      <c r="K4167">
        <v>88</v>
      </c>
      <c r="L4167">
        <v>-90.5</v>
      </c>
      <c r="M4167">
        <v>80</v>
      </c>
      <c r="N4167">
        <v>11.38</v>
      </c>
      <c r="O4167">
        <v>62</v>
      </c>
      <c r="P4167">
        <v>-8.3699999999999992</v>
      </c>
      <c r="Q4167">
        <v>71</v>
      </c>
      <c r="R4167">
        <v>-16.34</v>
      </c>
      <c r="S4167">
        <v>67</v>
      </c>
      <c r="T4167">
        <v>0.14000000000000001</v>
      </c>
      <c r="U4167">
        <v>76</v>
      </c>
      <c r="V4167">
        <v>-0.34</v>
      </c>
      <c r="W4167">
        <v>33</v>
      </c>
      <c r="X4167" t="s">
        <v>234</v>
      </c>
      <c r="Y4167" t="s">
        <v>95</v>
      </c>
      <c r="Z4167" t="s">
        <v>96</v>
      </c>
      <c r="AA4167" t="s">
        <v>193</v>
      </c>
      <c r="AB4167" t="s">
        <v>812</v>
      </c>
      <c r="AC4167">
        <v>29</v>
      </c>
      <c r="AD4167">
        <v>17</v>
      </c>
      <c r="AE4167">
        <v>88</v>
      </c>
      <c r="AF4167">
        <v>123.36</v>
      </c>
      <c r="AG4167">
        <v>1.1399999999999999</v>
      </c>
      <c r="AH4167">
        <v>2.77</v>
      </c>
      <c r="AI4167">
        <v>-0.06</v>
      </c>
      <c r="AJ4167">
        <v>-0.02</v>
      </c>
      <c r="AK4167">
        <v>80</v>
      </c>
      <c r="AL4167">
        <v>32</v>
      </c>
      <c r="AM4167">
        <v>18</v>
      </c>
      <c r="AN4167">
        <v>3.97</v>
      </c>
      <c r="AO4167">
        <v>-3.26</v>
      </c>
      <c r="AP4167">
        <v>11</v>
      </c>
      <c r="AQ4167">
        <v>0</v>
      </c>
      <c r="AR4167">
        <v>8.3800000000000008</v>
      </c>
      <c r="AS4167">
        <v>43</v>
      </c>
      <c r="AT4167">
        <v>3.35</v>
      </c>
      <c r="AU4167">
        <v>65</v>
      </c>
      <c r="AV4167">
        <v>-2.13</v>
      </c>
      <c r="AW4167">
        <v>72</v>
      </c>
      <c r="AX4167">
        <v>-0.04</v>
      </c>
      <c r="AY4167">
        <v>59</v>
      </c>
      <c r="AZ4167">
        <v>6.47</v>
      </c>
      <c r="BA4167">
        <v>41</v>
      </c>
      <c r="BB4167">
        <v>5.28</v>
      </c>
      <c r="BC4167">
        <v>43</v>
      </c>
      <c r="BD4167">
        <v>0.04</v>
      </c>
      <c r="BE4167">
        <v>0.11</v>
      </c>
      <c r="BF4167">
        <v>0.1</v>
      </c>
      <c r="BG4167">
        <v>85</v>
      </c>
      <c r="BH4167">
        <v>0.04</v>
      </c>
      <c r="BI4167">
        <v>5.72</v>
      </c>
      <c r="BJ4167">
        <v>10</v>
      </c>
      <c r="BK4167">
        <v>5</v>
      </c>
      <c r="BL4167">
        <v>1.08</v>
      </c>
      <c r="BM4167">
        <v>1.48</v>
      </c>
      <c r="BN4167">
        <v>0.88</v>
      </c>
      <c r="BO4167">
        <v>0.16</v>
      </c>
      <c r="BP4167">
        <v>0.8</v>
      </c>
      <c r="BQ4167">
        <v>0.12</v>
      </c>
      <c r="BR4167">
        <v>1.08</v>
      </c>
      <c r="BS4167">
        <v>-1.87</v>
      </c>
      <c r="BT4167">
        <v>-0.62</v>
      </c>
      <c r="BU4167">
        <v>-1.42</v>
      </c>
      <c r="BV4167">
        <v>-0.86</v>
      </c>
      <c r="BW4167">
        <v>-0.31</v>
      </c>
      <c r="BX4167">
        <v>-1.29</v>
      </c>
      <c r="BY4167">
        <v>-1.1200000000000001</v>
      </c>
      <c r="BZ4167">
        <v>1.49</v>
      </c>
      <c r="CA4167">
        <v>-1.45</v>
      </c>
      <c r="CB4167">
        <v>-1.02</v>
      </c>
      <c r="CC4167">
        <v>-1.65</v>
      </c>
      <c r="CD4167">
        <v>0.53</v>
      </c>
      <c r="CE4167">
        <v>0.57999999999999996</v>
      </c>
      <c r="CF4167">
        <v>-0.55000000000000004</v>
      </c>
      <c r="CG4167">
        <v>0</v>
      </c>
      <c r="CH4167">
        <v>-0.34</v>
      </c>
      <c r="CI4167">
        <v>0</v>
      </c>
      <c r="CJ4167">
        <v>-2.7</v>
      </c>
      <c r="CK4167">
        <v>73</v>
      </c>
      <c r="CL4167">
        <v>-0.92</v>
      </c>
      <c r="CM4167">
        <v>69</v>
      </c>
      <c r="CN4167">
        <v>-0.41</v>
      </c>
      <c r="CO4167">
        <v>65</v>
      </c>
      <c r="CP4167">
        <v>0.3</v>
      </c>
      <c r="CQ4167">
        <v>76</v>
      </c>
      <c r="CR4167">
        <v>0</v>
      </c>
      <c r="CS4167">
        <v>0</v>
      </c>
      <c r="CT4167">
        <v>13.6</v>
      </c>
      <c r="CU4167">
        <v>76</v>
      </c>
      <c r="CV4167">
        <v>0.19</v>
      </c>
      <c r="CW4167">
        <v>20</v>
      </c>
      <c r="CX4167" t="s">
        <v>118</v>
      </c>
    </row>
    <row r="4168" spans="1:102" x14ac:dyDescent="0.3">
      <c r="A4168" t="str">
        <f>HYPERLINK("https://webapp.icbf.com/v2/app/bull-search/view/403247756","DXA")</f>
        <v>DXA</v>
      </c>
      <c r="B4168" t="s">
        <v>4489</v>
      </c>
      <c r="C4168" t="s">
        <v>4490</v>
      </c>
      <c r="D4168" s="1">
        <v>36594</v>
      </c>
      <c r="E4168" t="s">
        <v>92</v>
      </c>
      <c r="F4168">
        <v>100</v>
      </c>
      <c r="G4168" t="s">
        <v>93</v>
      </c>
      <c r="H4168">
        <v>-96.47</v>
      </c>
      <c r="I4168">
        <v>97</v>
      </c>
      <c r="J4168">
        <v>67.94</v>
      </c>
      <c r="K4168">
        <v>99</v>
      </c>
      <c r="L4168">
        <v>-128.19</v>
      </c>
      <c r="M4168">
        <v>95</v>
      </c>
      <c r="N4168">
        <v>-33.58</v>
      </c>
      <c r="O4168">
        <v>97</v>
      </c>
      <c r="P4168">
        <v>3.38</v>
      </c>
      <c r="Q4168">
        <v>99</v>
      </c>
      <c r="R4168">
        <v>6.58</v>
      </c>
      <c r="S4168">
        <v>94</v>
      </c>
      <c r="T4168">
        <v>-3.12</v>
      </c>
      <c r="U4168">
        <v>97</v>
      </c>
      <c r="V4168">
        <v>-9.48</v>
      </c>
      <c r="W4168">
        <v>94</v>
      </c>
      <c r="X4168" t="s">
        <v>94</v>
      </c>
      <c r="Y4168" t="s">
        <v>95</v>
      </c>
      <c r="Z4168" t="s">
        <v>96</v>
      </c>
      <c r="AA4168" t="s">
        <v>174</v>
      </c>
      <c r="AB4168" t="s">
        <v>2644</v>
      </c>
      <c r="AC4168">
        <v>765</v>
      </c>
      <c r="AD4168">
        <v>281</v>
      </c>
      <c r="AE4168">
        <v>99</v>
      </c>
      <c r="AF4168">
        <v>135.09</v>
      </c>
      <c r="AG4168">
        <v>12.39</v>
      </c>
      <c r="AH4168">
        <v>9.24</v>
      </c>
      <c r="AI4168">
        <v>0.12</v>
      </c>
      <c r="AJ4168">
        <v>0.08</v>
      </c>
      <c r="AK4168">
        <v>95</v>
      </c>
      <c r="AL4168">
        <v>753</v>
      </c>
      <c r="AM4168">
        <v>277</v>
      </c>
      <c r="AN4168">
        <v>6.44</v>
      </c>
      <c r="AO4168">
        <v>-3.79</v>
      </c>
      <c r="AP4168">
        <v>1428</v>
      </c>
      <c r="AQ4168">
        <v>2</v>
      </c>
      <c r="AR4168">
        <v>10.72</v>
      </c>
      <c r="AS4168">
        <v>93</v>
      </c>
      <c r="AT4168">
        <v>4.26</v>
      </c>
      <c r="AU4168">
        <v>98</v>
      </c>
      <c r="AV4168">
        <v>0.32</v>
      </c>
      <c r="AW4168">
        <v>99</v>
      </c>
      <c r="AX4168">
        <v>-0.15</v>
      </c>
      <c r="AY4168">
        <v>97</v>
      </c>
      <c r="AZ4168">
        <v>9.25</v>
      </c>
      <c r="BA4168">
        <v>91</v>
      </c>
      <c r="BB4168">
        <v>6.04</v>
      </c>
      <c r="BC4168">
        <v>91</v>
      </c>
      <c r="BD4168">
        <v>-0.02</v>
      </c>
      <c r="BE4168">
        <v>-0.02</v>
      </c>
      <c r="BF4168">
        <v>-0.08</v>
      </c>
      <c r="BG4168">
        <v>98</v>
      </c>
      <c r="BH4168">
        <v>-0.31</v>
      </c>
      <c r="BI4168">
        <v>-5.29</v>
      </c>
      <c r="BJ4168">
        <v>143</v>
      </c>
      <c r="BK4168">
        <v>59</v>
      </c>
      <c r="BL4168">
        <v>0.85</v>
      </c>
      <c r="BM4168">
        <v>0.61</v>
      </c>
      <c r="BN4168">
        <v>0.4</v>
      </c>
      <c r="BO4168">
        <v>0.08</v>
      </c>
      <c r="BP4168">
        <v>2.92</v>
      </c>
      <c r="BQ4168">
        <v>-0.39</v>
      </c>
      <c r="BR4168">
        <v>-1.06</v>
      </c>
      <c r="BS4168">
        <v>-1.57</v>
      </c>
      <c r="BT4168">
        <v>1.19</v>
      </c>
      <c r="BU4168">
        <v>-0.01</v>
      </c>
      <c r="BV4168">
        <v>0.89</v>
      </c>
      <c r="BW4168">
        <v>1.28</v>
      </c>
      <c r="BX4168">
        <v>-0.02</v>
      </c>
      <c r="BY4168">
        <v>2.0099999999999998</v>
      </c>
      <c r="BZ4168">
        <v>-0.22</v>
      </c>
      <c r="CA4168">
        <v>-0.18</v>
      </c>
      <c r="CB4168">
        <v>0.7</v>
      </c>
      <c r="CC4168">
        <v>-1.83</v>
      </c>
      <c r="CD4168">
        <v>-0.17</v>
      </c>
      <c r="CE4168">
        <v>0.03</v>
      </c>
      <c r="CF4168">
        <v>0.35</v>
      </c>
      <c r="CG4168">
        <v>0</v>
      </c>
      <c r="CH4168">
        <v>2.3199999999999998</v>
      </c>
      <c r="CI4168">
        <v>0</v>
      </c>
      <c r="CJ4168">
        <v>5.0999999999999996</v>
      </c>
      <c r="CK4168">
        <v>99</v>
      </c>
      <c r="CL4168">
        <v>-0.63</v>
      </c>
      <c r="CM4168">
        <v>98</v>
      </c>
      <c r="CN4168">
        <v>-0.13</v>
      </c>
      <c r="CO4168">
        <v>98</v>
      </c>
      <c r="CP4168">
        <v>8.8000000000000007</v>
      </c>
      <c r="CQ4168">
        <v>99</v>
      </c>
      <c r="CR4168">
        <v>0</v>
      </c>
      <c r="CS4168">
        <v>0</v>
      </c>
      <c r="CT4168">
        <v>18</v>
      </c>
      <c r="CU4168">
        <v>97</v>
      </c>
      <c r="CV4168">
        <v>0.25</v>
      </c>
      <c r="CW4168">
        <v>46</v>
      </c>
      <c r="CX4168" t="s">
        <v>643</v>
      </c>
    </row>
    <row r="4169" spans="1:102" x14ac:dyDescent="0.3">
      <c r="A4169" t="str">
        <f>HYPERLINK("https://webapp.icbf.com/v2/app/bull-search/view/77858080","DYS")</f>
        <v>DYS</v>
      </c>
      <c r="B4169" t="s">
        <v>14618</v>
      </c>
      <c r="C4169" t="s">
        <v>14619</v>
      </c>
      <c r="D4169" s="1">
        <v>32933</v>
      </c>
      <c r="E4169" t="s">
        <v>92</v>
      </c>
      <c r="F4169">
        <v>63</v>
      </c>
      <c r="G4169" t="s">
        <v>116</v>
      </c>
      <c r="H4169">
        <v>-96.47</v>
      </c>
      <c r="I4169">
        <v>42</v>
      </c>
      <c r="J4169">
        <v>-78.38</v>
      </c>
      <c r="K4169">
        <v>29</v>
      </c>
      <c r="L4169">
        <v>-18.8</v>
      </c>
      <c r="M4169">
        <v>49</v>
      </c>
      <c r="N4169">
        <v>-8.9</v>
      </c>
      <c r="O4169">
        <v>42</v>
      </c>
      <c r="P4169">
        <v>-6.5</v>
      </c>
      <c r="Q4169">
        <v>53</v>
      </c>
      <c r="R4169">
        <v>-2.39</v>
      </c>
      <c r="S4169">
        <v>51</v>
      </c>
      <c r="T4169">
        <v>20.34</v>
      </c>
      <c r="U4169">
        <v>57</v>
      </c>
      <c r="V4169">
        <v>-1.84</v>
      </c>
      <c r="W4169">
        <v>28</v>
      </c>
      <c r="X4169" t="s">
        <v>110</v>
      </c>
      <c r="Y4169" t="s">
        <v>95</v>
      </c>
      <c r="Z4169" t="s">
        <v>96</v>
      </c>
      <c r="AA4169" t="s">
        <v>154</v>
      </c>
      <c r="AB4169" t="s">
        <v>14620</v>
      </c>
      <c r="AC4169">
        <v>3</v>
      </c>
      <c r="AD4169">
        <v>3</v>
      </c>
      <c r="AE4169">
        <v>29</v>
      </c>
      <c r="AF4169">
        <v>-244.38</v>
      </c>
      <c r="AG4169">
        <v>-12.95</v>
      </c>
      <c r="AH4169">
        <v>-12.49</v>
      </c>
      <c r="AI4169">
        <v>-0.06</v>
      </c>
      <c r="AJ4169">
        <v>-7.0000000000000007E-2</v>
      </c>
      <c r="AK4169">
        <v>49</v>
      </c>
      <c r="AL4169">
        <v>21</v>
      </c>
      <c r="AM4169">
        <v>4</v>
      </c>
      <c r="AN4169">
        <v>-0.56000000000000005</v>
      </c>
      <c r="AO4169">
        <v>-2.08</v>
      </c>
      <c r="AP4169">
        <v>2</v>
      </c>
      <c r="AQ4169">
        <v>0</v>
      </c>
      <c r="AR4169">
        <v>8.1300000000000008</v>
      </c>
      <c r="AS4169">
        <v>31</v>
      </c>
      <c r="AT4169">
        <v>4.08</v>
      </c>
      <c r="AU4169">
        <v>38</v>
      </c>
      <c r="AV4169">
        <v>-0.4</v>
      </c>
      <c r="AW4169">
        <v>46</v>
      </c>
      <c r="AX4169">
        <v>0.03</v>
      </c>
      <c r="AY4169">
        <v>53</v>
      </c>
      <c r="AZ4169">
        <v>6.37</v>
      </c>
      <c r="BA4169">
        <v>32</v>
      </c>
      <c r="BB4169">
        <v>5.3</v>
      </c>
      <c r="BC4169">
        <v>36</v>
      </c>
      <c r="BD4169">
        <v>0.03</v>
      </c>
      <c r="BE4169">
        <v>0.05</v>
      </c>
      <c r="BF4169">
        <v>-0.09</v>
      </c>
      <c r="BG4169">
        <v>66</v>
      </c>
      <c r="BH4169">
        <v>0.01</v>
      </c>
      <c r="BI4169">
        <v>7.08</v>
      </c>
      <c r="BJ4169">
        <v>0</v>
      </c>
      <c r="BK4169">
        <v>0</v>
      </c>
      <c r="BL4169">
        <v>-0.59</v>
      </c>
      <c r="BM4169">
        <v>1.24</v>
      </c>
      <c r="BN4169">
        <v>0.25</v>
      </c>
      <c r="BO4169">
        <v>-0.79</v>
      </c>
      <c r="BP4169">
        <v>-1.36</v>
      </c>
      <c r="BQ4169">
        <v>0.21</v>
      </c>
      <c r="BR4169">
        <v>-0.54</v>
      </c>
      <c r="BS4169">
        <v>7.0000000000000007E-2</v>
      </c>
      <c r="BT4169">
        <v>0.48</v>
      </c>
      <c r="BU4169">
        <v>-0.6</v>
      </c>
      <c r="BV4169">
        <v>-0.25</v>
      </c>
      <c r="BW4169">
        <v>0.09</v>
      </c>
      <c r="BX4169">
        <v>-0.33</v>
      </c>
      <c r="BY4169">
        <v>-0.8</v>
      </c>
      <c r="BZ4169">
        <v>0.48</v>
      </c>
      <c r="CA4169">
        <v>-0.37</v>
      </c>
      <c r="CB4169">
        <v>-0.67</v>
      </c>
      <c r="CC4169">
        <v>0.41</v>
      </c>
      <c r="CD4169">
        <v>1.08</v>
      </c>
      <c r="CE4169">
        <v>-0.84</v>
      </c>
      <c r="CF4169">
        <v>-0.28000000000000003</v>
      </c>
      <c r="CG4169">
        <v>0</v>
      </c>
      <c r="CH4169">
        <v>-0.14000000000000001</v>
      </c>
      <c r="CI4169">
        <v>0</v>
      </c>
      <c r="CJ4169">
        <v>-5.5</v>
      </c>
      <c r="CK4169">
        <v>55</v>
      </c>
      <c r="CL4169">
        <v>-0.31</v>
      </c>
      <c r="CM4169">
        <v>51</v>
      </c>
      <c r="CN4169">
        <v>-0.48</v>
      </c>
      <c r="CO4169">
        <v>47</v>
      </c>
      <c r="CP4169">
        <v>-8.9</v>
      </c>
      <c r="CQ4169">
        <v>58</v>
      </c>
      <c r="CR4169">
        <v>0</v>
      </c>
      <c r="CS4169">
        <v>0</v>
      </c>
      <c r="CT4169">
        <v>-13.7</v>
      </c>
      <c r="CU4169">
        <v>57</v>
      </c>
      <c r="CV4169">
        <v>-0.05</v>
      </c>
      <c r="CW4169">
        <v>15</v>
      </c>
      <c r="CX4169" t="s">
        <v>3601</v>
      </c>
    </row>
    <row r="4170" spans="1:102" x14ac:dyDescent="0.3">
      <c r="A4170" t="str">
        <f>HYPERLINK("https://webapp.icbf.com/v2/app/bull-search/view/139152395","NAE")</f>
        <v>NAE</v>
      </c>
      <c r="B4170" t="s">
        <v>4067</v>
      </c>
      <c r="C4170" t="s">
        <v>4068</v>
      </c>
      <c r="D4170" s="1">
        <v>35622</v>
      </c>
      <c r="E4170" t="s">
        <v>92</v>
      </c>
      <c r="F4170">
        <v>100</v>
      </c>
      <c r="G4170" t="s">
        <v>93</v>
      </c>
      <c r="H4170">
        <v>-96.51</v>
      </c>
      <c r="I4170">
        <v>87</v>
      </c>
      <c r="J4170">
        <v>29.43</v>
      </c>
      <c r="K4170">
        <v>95</v>
      </c>
      <c r="L4170">
        <v>-91.96</v>
      </c>
      <c r="M4170">
        <v>83</v>
      </c>
      <c r="N4170">
        <v>-38.24</v>
      </c>
      <c r="O4170">
        <v>78</v>
      </c>
      <c r="P4170">
        <v>-11.02</v>
      </c>
      <c r="Q4170">
        <v>91</v>
      </c>
      <c r="R4170">
        <v>13.51</v>
      </c>
      <c r="S4170">
        <v>80</v>
      </c>
      <c r="T4170">
        <v>0.65</v>
      </c>
      <c r="U4170">
        <v>83</v>
      </c>
      <c r="V4170">
        <v>1.1200000000000001</v>
      </c>
      <c r="W4170">
        <v>73</v>
      </c>
      <c r="X4170" t="s">
        <v>102</v>
      </c>
      <c r="Y4170" t="s">
        <v>95</v>
      </c>
      <c r="Z4170" t="s">
        <v>96</v>
      </c>
      <c r="AA4170" t="s">
        <v>751</v>
      </c>
      <c r="AB4170" t="s">
        <v>4069</v>
      </c>
      <c r="AC4170">
        <v>49</v>
      </c>
      <c r="AD4170">
        <v>31</v>
      </c>
      <c r="AE4170">
        <v>95</v>
      </c>
      <c r="AF4170">
        <v>174.69</v>
      </c>
      <c r="AG4170">
        <v>3.9</v>
      </c>
      <c r="AH4170">
        <v>6.3</v>
      </c>
      <c r="AI4170">
        <v>-0.05</v>
      </c>
      <c r="AJ4170">
        <v>0.01</v>
      </c>
      <c r="AK4170">
        <v>83</v>
      </c>
      <c r="AL4170">
        <v>67</v>
      </c>
      <c r="AM4170">
        <v>31</v>
      </c>
      <c r="AN4170">
        <v>4.5199999999999996</v>
      </c>
      <c r="AO4170">
        <v>-2.82</v>
      </c>
      <c r="AP4170">
        <v>72</v>
      </c>
      <c r="AQ4170">
        <v>2</v>
      </c>
      <c r="AR4170">
        <v>13.47</v>
      </c>
      <c r="AS4170">
        <v>72</v>
      </c>
      <c r="AT4170">
        <v>5.2</v>
      </c>
      <c r="AU4170">
        <v>89</v>
      </c>
      <c r="AV4170">
        <v>-1.32</v>
      </c>
      <c r="AW4170">
        <v>79</v>
      </c>
      <c r="AX4170">
        <v>-0.32</v>
      </c>
      <c r="AY4170">
        <v>77</v>
      </c>
      <c r="AZ4170">
        <v>7.34</v>
      </c>
      <c r="BA4170">
        <v>61</v>
      </c>
      <c r="BB4170">
        <v>5.92</v>
      </c>
      <c r="BC4170">
        <v>63</v>
      </c>
      <c r="BD4170">
        <v>-0.04</v>
      </c>
      <c r="BE4170">
        <v>-0.06</v>
      </c>
      <c r="BF4170">
        <v>-0.13</v>
      </c>
      <c r="BG4170">
        <v>89</v>
      </c>
      <c r="BH4170">
        <v>0.02</v>
      </c>
      <c r="BI4170">
        <v>-1.29</v>
      </c>
      <c r="BJ4170">
        <v>3</v>
      </c>
      <c r="BK4170">
        <v>3</v>
      </c>
      <c r="BL4170">
        <v>0.95</v>
      </c>
      <c r="BM4170">
        <v>0.97</v>
      </c>
      <c r="BN4170">
        <v>1.31</v>
      </c>
      <c r="BO4170">
        <v>0.34</v>
      </c>
      <c r="BP4170">
        <v>1.1399999999999999</v>
      </c>
      <c r="BQ4170">
        <v>3.03</v>
      </c>
      <c r="BR4170">
        <v>-1.35</v>
      </c>
      <c r="BS4170">
        <v>2.09</v>
      </c>
      <c r="BT4170">
        <v>1.79</v>
      </c>
      <c r="BU4170">
        <v>-0.13</v>
      </c>
      <c r="BV4170">
        <v>0.76</v>
      </c>
      <c r="BW4170">
        <v>0.97</v>
      </c>
      <c r="BX4170">
        <v>-0.21</v>
      </c>
      <c r="BY4170">
        <v>-0.68</v>
      </c>
      <c r="BZ4170">
        <v>-1.49</v>
      </c>
      <c r="CA4170">
        <v>1.01</v>
      </c>
      <c r="CB4170">
        <v>0.11</v>
      </c>
      <c r="CC4170">
        <v>2.12</v>
      </c>
      <c r="CD4170">
        <v>0.28000000000000003</v>
      </c>
      <c r="CE4170">
        <v>0.95</v>
      </c>
      <c r="CF4170">
        <v>1.44</v>
      </c>
      <c r="CG4170">
        <v>0</v>
      </c>
      <c r="CH4170">
        <v>-1.1000000000000001</v>
      </c>
      <c r="CI4170">
        <v>0</v>
      </c>
      <c r="CJ4170">
        <v>-4.4000000000000004</v>
      </c>
      <c r="CK4170">
        <v>92</v>
      </c>
      <c r="CL4170">
        <v>-1.04</v>
      </c>
      <c r="CM4170">
        <v>91</v>
      </c>
      <c r="CN4170">
        <v>-0.48</v>
      </c>
      <c r="CO4170">
        <v>89</v>
      </c>
      <c r="CP4170">
        <v>1.1000000000000001</v>
      </c>
      <c r="CQ4170">
        <v>90</v>
      </c>
      <c r="CR4170">
        <v>0</v>
      </c>
      <c r="CS4170">
        <v>0</v>
      </c>
      <c r="CT4170">
        <v>12.9</v>
      </c>
      <c r="CU4170">
        <v>83</v>
      </c>
      <c r="CV4170">
        <v>0.19</v>
      </c>
      <c r="CW4170">
        <v>44</v>
      </c>
      <c r="CX4170" t="s">
        <v>4070</v>
      </c>
    </row>
    <row r="4171" spans="1:102" x14ac:dyDescent="0.3">
      <c r="A4171" t="str">
        <f>HYPERLINK("https://webapp.icbf.com/v2/app/bull-search/view/77859046","CNX")</f>
        <v>CNX</v>
      </c>
      <c r="B4171" t="s">
        <v>11284</v>
      </c>
      <c r="C4171" t="s">
        <v>11285</v>
      </c>
      <c r="D4171" s="1">
        <v>32015</v>
      </c>
      <c r="E4171" t="s">
        <v>92</v>
      </c>
      <c r="F4171">
        <v>100</v>
      </c>
      <c r="G4171" t="s">
        <v>93</v>
      </c>
      <c r="H4171">
        <v>-96.69</v>
      </c>
      <c r="I4171">
        <v>88</v>
      </c>
      <c r="J4171">
        <v>-15.85</v>
      </c>
      <c r="K4171">
        <v>98</v>
      </c>
      <c r="L4171">
        <v>-54.15</v>
      </c>
      <c r="M4171">
        <v>87</v>
      </c>
      <c r="N4171">
        <v>-26.35</v>
      </c>
      <c r="O4171">
        <v>78</v>
      </c>
      <c r="P4171">
        <v>-7.78</v>
      </c>
      <c r="Q4171">
        <v>88</v>
      </c>
      <c r="R4171">
        <v>-9.6999999999999993</v>
      </c>
      <c r="S4171">
        <v>83</v>
      </c>
      <c r="T4171">
        <v>14.42</v>
      </c>
      <c r="U4171">
        <v>78</v>
      </c>
      <c r="V4171">
        <v>2.72</v>
      </c>
      <c r="W4171">
        <v>68</v>
      </c>
      <c r="X4171" t="s">
        <v>558</v>
      </c>
      <c r="Y4171" t="s">
        <v>95</v>
      </c>
      <c r="Z4171" t="s">
        <v>96</v>
      </c>
      <c r="AA4171" t="s">
        <v>128</v>
      </c>
      <c r="AB4171" t="s">
        <v>11286</v>
      </c>
      <c r="AC4171">
        <v>167</v>
      </c>
      <c r="AD4171">
        <v>61</v>
      </c>
      <c r="AE4171">
        <v>98</v>
      </c>
      <c r="AF4171">
        <v>81.900000000000006</v>
      </c>
      <c r="AG4171">
        <v>-2.38</v>
      </c>
      <c r="AH4171">
        <v>-0.6</v>
      </c>
      <c r="AI4171">
        <v>-0.1</v>
      </c>
      <c r="AJ4171">
        <v>-0.06</v>
      </c>
      <c r="AK4171">
        <v>87</v>
      </c>
      <c r="AL4171">
        <v>205</v>
      </c>
      <c r="AM4171">
        <v>71</v>
      </c>
      <c r="AN4171">
        <v>2.85</v>
      </c>
      <c r="AO4171">
        <v>-1.47</v>
      </c>
      <c r="AP4171">
        <v>14</v>
      </c>
      <c r="AQ4171">
        <v>1</v>
      </c>
      <c r="AR4171">
        <v>9.48</v>
      </c>
      <c r="AS4171">
        <v>64</v>
      </c>
      <c r="AT4171">
        <v>4.1399999999999997</v>
      </c>
      <c r="AU4171">
        <v>81</v>
      </c>
      <c r="AV4171">
        <v>1.39</v>
      </c>
      <c r="AW4171">
        <v>79</v>
      </c>
      <c r="AX4171">
        <v>0.04</v>
      </c>
      <c r="AY4171">
        <v>85</v>
      </c>
      <c r="AZ4171">
        <v>6.79</v>
      </c>
      <c r="BA4171">
        <v>61</v>
      </c>
      <c r="BB4171">
        <v>4.84</v>
      </c>
      <c r="BC4171">
        <v>74</v>
      </c>
      <c r="BD4171">
        <v>0.09</v>
      </c>
      <c r="BE4171">
        <v>7.0000000000000007E-2</v>
      </c>
      <c r="BF4171">
        <v>-0.06</v>
      </c>
      <c r="BG4171">
        <v>94</v>
      </c>
      <c r="BH4171">
        <v>0.06</v>
      </c>
      <c r="BI4171">
        <v>-1.82</v>
      </c>
      <c r="BJ4171">
        <v>2</v>
      </c>
      <c r="BK4171">
        <v>2</v>
      </c>
      <c r="BL4171">
        <v>-0.76</v>
      </c>
      <c r="BM4171">
        <v>1.02</v>
      </c>
      <c r="BN4171">
        <v>0.04</v>
      </c>
      <c r="BO4171">
        <v>-0.94</v>
      </c>
      <c r="BP4171">
        <v>-0.61</v>
      </c>
      <c r="BQ4171">
        <v>-0.6</v>
      </c>
      <c r="BR4171">
        <v>2.2200000000000002</v>
      </c>
      <c r="BS4171">
        <v>-2.0499999999999998</v>
      </c>
      <c r="BT4171">
        <v>-2.2799999999999998</v>
      </c>
      <c r="BU4171">
        <v>-0.86</v>
      </c>
      <c r="BV4171">
        <v>-1.06</v>
      </c>
      <c r="BW4171">
        <v>-1.23</v>
      </c>
      <c r="BX4171">
        <v>-1.06</v>
      </c>
      <c r="BY4171">
        <v>-0.91</v>
      </c>
      <c r="BZ4171">
        <v>1.74</v>
      </c>
      <c r="CA4171">
        <v>-1.38</v>
      </c>
      <c r="CB4171">
        <v>-0.8</v>
      </c>
      <c r="CC4171">
        <v>-1.94</v>
      </c>
      <c r="CD4171">
        <v>0.65</v>
      </c>
      <c r="CE4171">
        <v>-0.33</v>
      </c>
      <c r="CF4171">
        <v>-0.13</v>
      </c>
      <c r="CG4171">
        <v>0</v>
      </c>
      <c r="CH4171">
        <v>-1.1100000000000001</v>
      </c>
      <c r="CI4171">
        <v>0</v>
      </c>
      <c r="CJ4171">
        <v>-5.6</v>
      </c>
      <c r="CK4171">
        <v>89</v>
      </c>
      <c r="CL4171">
        <v>-0.39</v>
      </c>
      <c r="CM4171">
        <v>87</v>
      </c>
      <c r="CN4171">
        <v>-0.41</v>
      </c>
      <c r="CO4171">
        <v>85</v>
      </c>
      <c r="CP4171">
        <v>-5.5</v>
      </c>
      <c r="CQ4171">
        <v>92</v>
      </c>
      <c r="CR4171">
        <v>0</v>
      </c>
      <c r="CS4171">
        <v>0</v>
      </c>
      <c r="CT4171">
        <v>-5.7</v>
      </c>
      <c r="CU4171">
        <v>78</v>
      </c>
      <c r="CV4171">
        <v>-0.1</v>
      </c>
      <c r="CW4171">
        <v>44</v>
      </c>
      <c r="CX4171" t="s">
        <v>3391</v>
      </c>
    </row>
    <row r="4172" spans="1:102" x14ac:dyDescent="0.3">
      <c r="A4172" t="str">
        <f>HYPERLINK("https://webapp.icbf.com/v2/app/bull-search/view/77857786","EZS")</f>
        <v>EZS</v>
      </c>
      <c r="B4172" t="s">
        <v>11671</v>
      </c>
      <c r="C4172" t="s">
        <v>11672</v>
      </c>
      <c r="D4172" s="1">
        <v>33556</v>
      </c>
      <c r="E4172" t="s">
        <v>92</v>
      </c>
      <c r="F4172">
        <v>100</v>
      </c>
      <c r="G4172" t="s">
        <v>93</v>
      </c>
      <c r="H4172">
        <v>-96.72</v>
      </c>
      <c r="I4172">
        <v>87</v>
      </c>
      <c r="J4172">
        <v>-24.32</v>
      </c>
      <c r="K4172">
        <v>97</v>
      </c>
      <c r="L4172">
        <v>-65.36</v>
      </c>
      <c r="M4172">
        <v>79</v>
      </c>
      <c r="N4172">
        <v>-16.8</v>
      </c>
      <c r="O4172">
        <v>83</v>
      </c>
      <c r="P4172">
        <v>6.05</v>
      </c>
      <c r="Q4172">
        <v>94</v>
      </c>
      <c r="R4172">
        <v>-5.67</v>
      </c>
      <c r="S4172">
        <v>78</v>
      </c>
      <c r="T4172">
        <v>10.64</v>
      </c>
      <c r="U4172">
        <v>90</v>
      </c>
      <c r="V4172">
        <v>-1.26</v>
      </c>
      <c r="W4172">
        <v>68</v>
      </c>
      <c r="X4172" t="s">
        <v>110</v>
      </c>
      <c r="Y4172" t="s">
        <v>95</v>
      </c>
      <c r="Z4172" t="s">
        <v>96</v>
      </c>
      <c r="AA4172" t="s">
        <v>111</v>
      </c>
      <c r="AB4172" t="s">
        <v>11673</v>
      </c>
      <c r="AC4172">
        <v>169</v>
      </c>
      <c r="AD4172">
        <v>93</v>
      </c>
      <c r="AE4172">
        <v>97</v>
      </c>
      <c r="AF4172">
        <v>-17.45</v>
      </c>
      <c r="AG4172">
        <v>-3.77</v>
      </c>
      <c r="AH4172">
        <v>-3.07</v>
      </c>
      <c r="AI4172">
        <v>-0.05</v>
      </c>
      <c r="AJ4172">
        <v>-0.04</v>
      </c>
      <c r="AK4172">
        <v>79</v>
      </c>
      <c r="AL4172">
        <v>180</v>
      </c>
      <c r="AM4172">
        <v>94</v>
      </c>
      <c r="AN4172">
        <v>3.73</v>
      </c>
      <c r="AO4172">
        <v>-1.48</v>
      </c>
      <c r="AP4172">
        <v>135</v>
      </c>
      <c r="AQ4172">
        <v>0</v>
      </c>
      <c r="AR4172">
        <v>9.36</v>
      </c>
      <c r="AS4172">
        <v>78</v>
      </c>
      <c r="AT4172">
        <v>4.7300000000000004</v>
      </c>
      <c r="AU4172">
        <v>79</v>
      </c>
      <c r="AV4172">
        <v>-0.63</v>
      </c>
      <c r="AW4172">
        <v>91</v>
      </c>
      <c r="AX4172">
        <v>0.93</v>
      </c>
      <c r="AY4172">
        <v>86</v>
      </c>
      <c r="AZ4172">
        <v>5.99</v>
      </c>
      <c r="BA4172">
        <v>61</v>
      </c>
      <c r="BB4172">
        <v>4.68</v>
      </c>
      <c r="BC4172">
        <v>69</v>
      </c>
      <c r="BD4172">
        <v>-0.01</v>
      </c>
      <c r="BE4172">
        <v>0.03</v>
      </c>
      <c r="BF4172">
        <v>0.09</v>
      </c>
      <c r="BG4172">
        <v>90</v>
      </c>
      <c r="BH4172">
        <v>0</v>
      </c>
      <c r="BI4172">
        <v>4.08</v>
      </c>
      <c r="BJ4172">
        <v>18</v>
      </c>
      <c r="BK4172">
        <v>4</v>
      </c>
      <c r="BL4172">
        <v>0.6</v>
      </c>
      <c r="BM4172">
        <v>7.0000000000000007E-2</v>
      </c>
      <c r="BN4172">
        <v>1.41</v>
      </c>
      <c r="BO4172">
        <v>0.88</v>
      </c>
      <c r="BP4172">
        <v>0.85</v>
      </c>
      <c r="BQ4172">
        <v>-0.63</v>
      </c>
      <c r="BR4172">
        <v>0.06</v>
      </c>
      <c r="BS4172">
        <v>2.09</v>
      </c>
      <c r="BT4172">
        <v>0.1</v>
      </c>
      <c r="BU4172">
        <v>0.28999999999999998</v>
      </c>
      <c r="BV4172">
        <v>0.2</v>
      </c>
      <c r="BW4172">
        <v>0.6</v>
      </c>
      <c r="BX4172">
        <v>-0.16</v>
      </c>
      <c r="BY4172">
        <v>0.39</v>
      </c>
      <c r="BZ4172">
        <v>1.3</v>
      </c>
      <c r="CA4172">
        <v>0.78</v>
      </c>
      <c r="CB4172">
        <v>0.1</v>
      </c>
      <c r="CC4172">
        <v>1.97</v>
      </c>
      <c r="CD4172">
        <v>-0.7</v>
      </c>
      <c r="CE4172">
        <v>0.67</v>
      </c>
      <c r="CF4172">
        <v>0.74</v>
      </c>
      <c r="CG4172">
        <v>0</v>
      </c>
      <c r="CH4172">
        <v>0.81</v>
      </c>
      <c r="CI4172">
        <v>0</v>
      </c>
      <c r="CJ4172">
        <v>7.7</v>
      </c>
      <c r="CK4172">
        <v>95</v>
      </c>
      <c r="CL4172">
        <v>-0.48</v>
      </c>
      <c r="CM4172">
        <v>93</v>
      </c>
      <c r="CN4172">
        <v>-0.03</v>
      </c>
      <c r="CO4172">
        <v>93</v>
      </c>
      <c r="CP4172">
        <v>0.2</v>
      </c>
      <c r="CQ4172">
        <v>94</v>
      </c>
      <c r="CR4172">
        <v>0</v>
      </c>
      <c r="CS4172">
        <v>0</v>
      </c>
      <c r="CT4172">
        <v>-0.6</v>
      </c>
      <c r="CU4172">
        <v>90</v>
      </c>
      <c r="CV4172">
        <v>0.33</v>
      </c>
      <c r="CW4172">
        <v>27</v>
      </c>
      <c r="CX4172" t="s">
        <v>113</v>
      </c>
    </row>
    <row r="4173" spans="1:102" x14ac:dyDescent="0.3">
      <c r="A4173" t="str">
        <f>HYPERLINK("https://webapp.icbf.com/v2/app/bull-search/view/77856187","LDM")</f>
        <v>LDM</v>
      </c>
      <c r="B4173" t="s">
        <v>7034</v>
      </c>
      <c r="C4173" t="s">
        <v>7035</v>
      </c>
      <c r="D4173" s="1">
        <v>33801</v>
      </c>
      <c r="E4173" t="s">
        <v>92</v>
      </c>
      <c r="F4173">
        <v>100</v>
      </c>
      <c r="G4173" t="s">
        <v>93</v>
      </c>
      <c r="H4173">
        <v>-96.8</v>
      </c>
      <c r="I4173">
        <v>71</v>
      </c>
      <c r="J4173">
        <v>-6.98</v>
      </c>
      <c r="K4173">
        <v>91</v>
      </c>
      <c r="L4173">
        <v>-98.87</v>
      </c>
      <c r="M4173">
        <v>61</v>
      </c>
      <c r="N4173">
        <v>14.49</v>
      </c>
      <c r="O4173">
        <v>54</v>
      </c>
      <c r="P4173">
        <v>-16.760000000000002</v>
      </c>
      <c r="Q4173">
        <v>69</v>
      </c>
      <c r="R4173">
        <v>-9.26</v>
      </c>
      <c r="S4173">
        <v>66</v>
      </c>
      <c r="T4173">
        <v>21.52</v>
      </c>
      <c r="U4173">
        <v>70</v>
      </c>
      <c r="V4173">
        <v>-0.94</v>
      </c>
      <c r="W4173">
        <v>34</v>
      </c>
      <c r="X4173" t="s">
        <v>94</v>
      </c>
      <c r="Y4173" t="s">
        <v>95</v>
      </c>
      <c r="Z4173" t="s">
        <v>96</v>
      </c>
      <c r="AA4173" t="s">
        <v>161</v>
      </c>
      <c r="AB4173" t="s">
        <v>655</v>
      </c>
      <c r="AC4173">
        <v>61</v>
      </c>
      <c r="AD4173">
        <v>57</v>
      </c>
      <c r="AE4173">
        <v>91</v>
      </c>
      <c r="AF4173">
        <v>-37.840000000000003</v>
      </c>
      <c r="AG4173">
        <v>1.31</v>
      </c>
      <c r="AH4173">
        <v>-2.23</v>
      </c>
      <c r="AI4173">
        <v>0.05</v>
      </c>
      <c r="AJ4173">
        <v>-0.02</v>
      </c>
      <c r="AK4173">
        <v>61</v>
      </c>
      <c r="AL4173">
        <v>71</v>
      </c>
      <c r="AM4173">
        <v>58</v>
      </c>
      <c r="AN4173">
        <v>5.78</v>
      </c>
      <c r="AO4173">
        <v>-2.1</v>
      </c>
      <c r="AP4173">
        <v>4</v>
      </c>
      <c r="AQ4173">
        <v>0</v>
      </c>
      <c r="AR4173">
        <v>5.97</v>
      </c>
      <c r="AS4173">
        <v>36</v>
      </c>
      <c r="AT4173">
        <v>2.81</v>
      </c>
      <c r="AU4173">
        <v>50</v>
      </c>
      <c r="AV4173">
        <v>-0.62</v>
      </c>
      <c r="AW4173">
        <v>62</v>
      </c>
      <c r="AX4173">
        <v>-0.17</v>
      </c>
      <c r="AY4173">
        <v>63</v>
      </c>
      <c r="AZ4173">
        <v>6.35</v>
      </c>
      <c r="BA4173">
        <v>35</v>
      </c>
      <c r="BB4173">
        <v>4.51</v>
      </c>
      <c r="BC4173">
        <v>46</v>
      </c>
      <c r="BD4173">
        <v>0.03</v>
      </c>
      <c r="BE4173">
        <v>7.0000000000000007E-2</v>
      </c>
      <c r="BF4173">
        <v>0.03</v>
      </c>
      <c r="BG4173">
        <v>82</v>
      </c>
      <c r="BH4173">
        <v>-0.02</v>
      </c>
      <c r="BI4173">
        <v>0.72</v>
      </c>
      <c r="BJ4173">
        <v>8</v>
      </c>
      <c r="BK4173">
        <v>8</v>
      </c>
      <c r="BL4173">
        <v>-0.5</v>
      </c>
      <c r="BM4173">
        <v>-1.44</v>
      </c>
      <c r="BN4173">
        <v>-1.42</v>
      </c>
      <c r="BO4173">
        <v>-0.25</v>
      </c>
      <c r="BP4173">
        <v>-0.66</v>
      </c>
      <c r="BQ4173">
        <v>-2.2599999999999998</v>
      </c>
      <c r="BR4173">
        <v>-2.06</v>
      </c>
      <c r="BS4173">
        <v>0.75</v>
      </c>
      <c r="BT4173">
        <v>2.23</v>
      </c>
      <c r="BU4173">
        <v>-0.67</v>
      </c>
      <c r="BV4173">
        <v>0.47</v>
      </c>
      <c r="BW4173">
        <v>-0.02</v>
      </c>
      <c r="BX4173">
        <v>0.02</v>
      </c>
      <c r="BY4173">
        <v>-1.98</v>
      </c>
      <c r="BZ4173">
        <v>2.4</v>
      </c>
      <c r="CA4173">
        <v>-0.05</v>
      </c>
      <c r="CB4173">
        <v>-0.56999999999999995</v>
      </c>
      <c r="CC4173">
        <v>0.76</v>
      </c>
      <c r="CD4173">
        <v>-0.67</v>
      </c>
      <c r="CE4173">
        <v>-0.39</v>
      </c>
      <c r="CF4173">
        <v>-1.65</v>
      </c>
      <c r="CG4173">
        <v>0</v>
      </c>
      <c r="CH4173">
        <v>-1.06</v>
      </c>
      <c r="CI4173">
        <v>0</v>
      </c>
      <c r="CJ4173">
        <v>-7.9</v>
      </c>
      <c r="CK4173">
        <v>71</v>
      </c>
      <c r="CL4173">
        <v>-0.49</v>
      </c>
      <c r="CM4173">
        <v>67</v>
      </c>
      <c r="CN4173">
        <v>-0.14000000000000001</v>
      </c>
      <c r="CO4173">
        <v>63</v>
      </c>
      <c r="CP4173">
        <v>-16.3</v>
      </c>
      <c r="CQ4173">
        <v>75</v>
      </c>
      <c r="CR4173">
        <v>0</v>
      </c>
      <c r="CS4173">
        <v>0</v>
      </c>
      <c r="CT4173">
        <v>-15.3</v>
      </c>
      <c r="CU4173">
        <v>70</v>
      </c>
      <c r="CV4173">
        <v>0.09</v>
      </c>
      <c r="CW4173">
        <v>19</v>
      </c>
      <c r="CX4173" t="s">
        <v>168</v>
      </c>
    </row>
    <row r="4174" spans="1:102" x14ac:dyDescent="0.3">
      <c r="A4174" t="str">
        <f>HYPERLINK("https://webapp.icbf.com/v2/app/bull-search/view/77852866","VSJ")</f>
        <v>VSJ</v>
      </c>
      <c r="B4174" t="s">
        <v>6938</v>
      </c>
      <c r="C4174" t="s">
        <v>6939</v>
      </c>
      <c r="D4174" s="1">
        <v>34041</v>
      </c>
      <c r="E4174" t="s">
        <v>92</v>
      </c>
      <c r="F4174">
        <v>91</v>
      </c>
      <c r="G4174" t="s">
        <v>93</v>
      </c>
      <c r="H4174">
        <v>-96.88</v>
      </c>
      <c r="I4174">
        <v>69</v>
      </c>
      <c r="J4174">
        <v>24.12</v>
      </c>
      <c r="K4174">
        <v>88</v>
      </c>
      <c r="L4174">
        <v>-112.7</v>
      </c>
      <c r="M4174">
        <v>59</v>
      </c>
      <c r="N4174">
        <v>9.92</v>
      </c>
      <c r="O4174">
        <v>53</v>
      </c>
      <c r="P4174">
        <v>-14.34</v>
      </c>
      <c r="Q4174">
        <v>67</v>
      </c>
      <c r="R4174">
        <v>-18.91</v>
      </c>
      <c r="S4174">
        <v>65</v>
      </c>
      <c r="T4174">
        <v>20.63</v>
      </c>
      <c r="U4174">
        <v>64</v>
      </c>
      <c r="V4174">
        <v>-5.6</v>
      </c>
      <c r="W4174">
        <v>42</v>
      </c>
      <c r="X4174" t="s">
        <v>94</v>
      </c>
      <c r="Y4174" t="s">
        <v>95</v>
      </c>
      <c r="Z4174" t="s">
        <v>96</v>
      </c>
      <c r="AA4174" t="s">
        <v>193</v>
      </c>
      <c r="AB4174" t="s">
        <v>6940</v>
      </c>
      <c r="AC4174">
        <v>40</v>
      </c>
      <c r="AD4174">
        <v>36</v>
      </c>
      <c r="AE4174">
        <v>88</v>
      </c>
      <c r="AF4174">
        <v>182.57</v>
      </c>
      <c r="AG4174">
        <v>8.36</v>
      </c>
      <c r="AH4174">
        <v>3.94</v>
      </c>
      <c r="AI4174">
        <v>0.02</v>
      </c>
      <c r="AJ4174">
        <v>-0.04</v>
      </c>
      <c r="AK4174">
        <v>59</v>
      </c>
      <c r="AL4174">
        <v>50</v>
      </c>
      <c r="AM4174">
        <v>40</v>
      </c>
      <c r="AN4174">
        <v>6.74</v>
      </c>
      <c r="AO4174">
        <v>-2.2400000000000002</v>
      </c>
      <c r="AP4174">
        <v>2</v>
      </c>
      <c r="AQ4174">
        <v>0</v>
      </c>
      <c r="AR4174">
        <v>8.0399999999999991</v>
      </c>
      <c r="AS4174">
        <v>34</v>
      </c>
      <c r="AT4174">
        <v>3.16</v>
      </c>
      <c r="AU4174">
        <v>49</v>
      </c>
      <c r="AV4174">
        <v>-1.77</v>
      </c>
      <c r="AW4174">
        <v>61</v>
      </c>
      <c r="AX4174">
        <v>-0.04</v>
      </c>
      <c r="AY4174">
        <v>61</v>
      </c>
      <c r="AZ4174">
        <v>6.32</v>
      </c>
      <c r="BA4174">
        <v>35</v>
      </c>
      <c r="BB4174">
        <v>5.58</v>
      </c>
      <c r="BC4174">
        <v>47</v>
      </c>
      <c r="BD4174">
        <v>0.04</v>
      </c>
      <c r="BE4174">
        <v>0.12</v>
      </c>
      <c r="BF4174">
        <v>0.14000000000000001</v>
      </c>
      <c r="BG4174">
        <v>79</v>
      </c>
      <c r="BH4174">
        <v>0.03</v>
      </c>
      <c r="BI4174">
        <v>21.54</v>
      </c>
      <c r="BJ4174">
        <v>8</v>
      </c>
      <c r="BK4174">
        <v>6</v>
      </c>
      <c r="BL4174">
        <v>-0.35</v>
      </c>
      <c r="BM4174">
        <v>-0.8</v>
      </c>
      <c r="BN4174">
        <v>-0.82</v>
      </c>
      <c r="BO4174">
        <v>0.18</v>
      </c>
      <c r="BP4174">
        <v>0.95</v>
      </c>
      <c r="BQ4174">
        <v>-1.3</v>
      </c>
      <c r="BR4174">
        <v>2.21</v>
      </c>
      <c r="BS4174">
        <v>-1.75</v>
      </c>
      <c r="BT4174">
        <v>-2.16</v>
      </c>
      <c r="BU4174">
        <v>-1.1200000000000001</v>
      </c>
      <c r="BV4174">
        <v>-0.03</v>
      </c>
      <c r="BW4174">
        <v>-0.25</v>
      </c>
      <c r="BX4174">
        <v>-1.47</v>
      </c>
      <c r="BY4174">
        <v>-1.18</v>
      </c>
      <c r="BZ4174">
        <v>0.24</v>
      </c>
      <c r="CA4174">
        <v>-1.26</v>
      </c>
      <c r="CB4174">
        <v>-0.61</v>
      </c>
      <c r="CC4174">
        <v>-2.0499999999999998</v>
      </c>
      <c r="CD4174">
        <v>-0.77</v>
      </c>
      <c r="CE4174">
        <v>0.5</v>
      </c>
      <c r="CF4174">
        <v>-0.51</v>
      </c>
      <c r="CG4174">
        <v>0</v>
      </c>
      <c r="CH4174">
        <v>-1.47</v>
      </c>
      <c r="CI4174">
        <v>0</v>
      </c>
      <c r="CJ4174">
        <v>-5.3</v>
      </c>
      <c r="CK4174">
        <v>69</v>
      </c>
      <c r="CL4174">
        <v>-0.47</v>
      </c>
      <c r="CM4174">
        <v>65</v>
      </c>
      <c r="CN4174">
        <v>0</v>
      </c>
      <c r="CO4174">
        <v>62</v>
      </c>
      <c r="CP4174">
        <v>-14.5</v>
      </c>
      <c r="CQ4174">
        <v>72</v>
      </c>
      <c r="CR4174">
        <v>0</v>
      </c>
      <c r="CS4174">
        <v>0</v>
      </c>
      <c r="CT4174">
        <v>-14.1</v>
      </c>
      <c r="CU4174">
        <v>64</v>
      </c>
      <c r="CV4174">
        <v>0.13</v>
      </c>
      <c r="CW4174">
        <v>20</v>
      </c>
      <c r="CX4174" t="s">
        <v>166</v>
      </c>
    </row>
    <row r="4175" spans="1:102" x14ac:dyDescent="0.3">
      <c r="A4175" t="str">
        <f>HYPERLINK("https://webapp.icbf.com/v2/app/bull-search/view/122808944","EYL")</f>
        <v>EYL</v>
      </c>
      <c r="B4175" t="s">
        <v>14639</v>
      </c>
      <c r="C4175" t="s">
        <v>14640</v>
      </c>
      <c r="D4175" s="1">
        <v>35525</v>
      </c>
      <c r="E4175" t="s">
        <v>92</v>
      </c>
      <c r="F4175">
        <v>100</v>
      </c>
      <c r="G4175" t="s">
        <v>93</v>
      </c>
      <c r="H4175">
        <v>-96.96</v>
      </c>
      <c r="I4175">
        <v>78</v>
      </c>
      <c r="J4175">
        <v>-3.89</v>
      </c>
      <c r="K4175">
        <v>94</v>
      </c>
      <c r="L4175">
        <v>-92.46</v>
      </c>
      <c r="M4175">
        <v>68</v>
      </c>
      <c r="N4175">
        <v>11.86</v>
      </c>
      <c r="O4175">
        <v>67</v>
      </c>
      <c r="P4175">
        <v>-6.05</v>
      </c>
      <c r="Q4175">
        <v>84</v>
      </c>
      <c r="R4175">
        <v>-13.57</v>
      </c>
      <c r="S4175">
        <v>70</v>
      </c>
      <c r="T4175">
        <v>4.6500000000000004</v>
      </c>
      <c r="U4175">
        <v>84</v>
      </c>
      <c r="V4175">
        <v>2.5</v>
      </c>
      <c r="W4175">
        <v>47</v>
      </c>
      <c r="X4175" t="s">
        <v>94</v>
      </c>
      <c r="Y4175" t="s">
        <v>95</v>
      </c>
      <c r="Z4175" t="s">
        <v>96</v>
      </c>
      <c r="AA4175" t="s">
        <v>188</v>
      </c>
      <c r="AB4175" t="s">
        <v>11453</v>
      </c>
      <c r="AC4175">
        <v>67</v>
      </c>
      <c r="AD4175">
        <v>66</v>
      </c>
      <c r="AE4175">
        <v>94</v>
      </c>
      <c r="AF4175">
        <v>116.95</v>
      </c>
      <c r="AG4175">
        <v>-1.22</v>
      </c>
      <c r="AH4175">
        <v>1.56</v>
      </c>
      <c r="AI4175">
        <v>-0.09</v>
      </c>
      <c r="AJ4175">
        <v>-0.04</v>
      </c>
      <c r="AK4175">
        <v>68</v>
      </c>
      <c r="AL4175">
        <v>110</v>
      </c>
      <c r="AM4175">
        <v>61</v>
      </c>
      <c r="AN4175">
        <v>6.12</v>
      </c>
      <c r="AO4175">
        <v>-1.24</v>
      </c>
      <c r="AP4175">
        <v>3</v>
      </c>
      <c r="AQ4175">
        <v>0</v>
      </c>
      <c r="AR4175">
        <v>5.04</v>
      </c>
      <c r="AS4175">
        <v>49</v>
      </c>
      <c r="AT4175">
        <v>2.5</v>
      </c>
      <c r="AU4175">
        <v>62</v>
      </c>
      <c r="AV4175">
        <v>0.68</v>
      </c>
      <c r="AW4175">
        <v>75</v>
      </c>
      <c r="AX4175">
        <v>-0.62</v>
      </c>
      <c r="AY4175">
        <v>77</v>
      </c>
      <c r="AZ4175">
        <v>5.23</v>
      </c>
      <c r="BA4175">
        <v>51</v>
      </c>
      <c r="BB4175">
        <v>4.37</v>
      </c>
      <c r="BC4175">
        <v>60</v>
      </c>
      <c r="BD4175">
        <v>0.09</v>
      </c>
      <c r="BE4175">
        <v>0.08</v>
      </c>
      <c r="BF4175">
        <v>0.01</v>
      </c>
      <c r="BG4175">
        <v>81</v>
      </c>
      <c r="BH4175">
        <v>0.12</v>
      </c>
      <c r="BI4175">
        <v>5.83</v>
      </c>
      <c r="BJ4175">
        <v>3</v>
      </c>
      <c r="BK4175">
        <v>3</v>
      </c>
      <c r="BL4175">
        <v>-0.17</v>
      </c>
      <c r="BM4175">
        <v>-0.44</v>
      </c>
      <c r="BN4175">
        <v>0.06</v>
      </c>
      <c r="BO4175">
        <v>0.38</v>
      </c>
      <c r="BP4175">
        <v>0.52</v>
      </c>
      <c r="BQ4175">
        <v>-0.48</v>
      </c>
      <c r="BR4175">
        <v>0.98</v>
      </c>
      <c r="BS4175">
        <v>0.15</v>
      </c>
      <c r="BT4175">
        <v>-0.52</v>
      </c>
      <c r="BU4175">
        <v>0.36</v>
      </c>
      <c r="BV4175">
        <v>0.98</v>
      </c>
      <c r="BW4175">
        <v>0.25</v>
      </c>
      <c r="BX4175">
        <v>-0.3</v>
      </c>
      <c r="BY4175">
        <v>0.79</v>
      </c>
      <c r="BZ4175">
        <v>-0.62</v>
      </c>
      <c r="CA4175">
        <v>0.67</v>
      </c>
      <c r="CB4175">
        <v>0.94</v>
      </c>
      <c r="CC4175">
        <v>-0.13</v>
      </c>
      <c r="CD4175">
        <v>-0.68</v>
      </c>
      <c r="CE4175">
        <v>0.84</v>
      </c>
      <c r="CF4175">
        <v>-0.3</v>
      </c>
      <c r="CG4175">
        <v>0</v>
      </c>
      <c r="CH4175">
        <v>1.96</v>
      </c>
      <c r="CI4175">
        <v>0</v>
      </c>
      <c r="CJ4175">
        <v>-0.3</v>
      </c>
      <c r="CK4175">
        <v>85</v>
      </c>
      <c r="CL4175">
        <v>-0.81</v>
      </c>
      <c r="CM4175">
        <v>83</v>
      </c>
      <c r="CN4175">
        <v>-0.24</v>
      </c>
      <c r="CO4175">
        <v>80</v>
      </c>
      <c r="CP4175">
        <v>-0.6</v>
      </c>
      <c r="CQ4175">
        <v>90</v>
      </c>
      <c r="CR4175">
        <v>0</v>
      </c>
      <c r="CS4175">
        <v>0</v>
      </c>
      <c r="CT4175">
        <v>7.5</v>
      </c>
      <c r="CU4175">
        <v>84</v>
      </c>
      <c r="CV4175">
        <v>0.22</v>
      </c>
      <c r="CW4175">
        <v>24</v>
      </c>
      <c r="CX4175" t="s">
        <v>485</v>
      </c>
    </row>
    <row r="4176" spans="1:102" x14ac:dyDescent="0.3">
      <c r="A4176" t="str">
        <f>HYPERLINK("https://webapp.icbf.com/v2/app/bull-search/view/69092911","WMS")</f>
        <v>WMS</v>
      </c>
      <c r="B4176" t="s">
        <v>1336</v>
      </c>
      <c r="C4176" t="s">
        <v>1337</v>
      </c>
      <c r="D4176" s="1">
        <v>33736</v>
      </c>
      <c r="E4176" t="s">
        <v>92</v>
      </c>
      <c r="F4176">
        <v>100</v>
      </c>
      <c r="G4176" t="s">
        <v>109</v>
      </c>
      <c r="H4176">
        <v>-97.01</v>
      </c>
      <c r="I4176">
        <v>76</v>
      </c>
      <c r="J4176">
        <v>14.65</v>
      </c>
      <c r="K4176">
        <v>82</v>
      </c>
      <c r="L4176">
        <v>-111.59</v>
      </c>
      <c r="M4176">
        <v>77</v>
      </c>
      <c r="N4176">
        <v>8.68</v>
      </c>
      <c r="O4176">
        <v>72</v>
      </c>
      <c r="P4176">
        <v>-14.09</v>
      </c>
      <c r="Q4176">
        <v>76</v>
      </c>
      <c r="R4176">
        <v>-12.21</v>
      </c>
      <c r="S4176">
        <v>70</v>
      </c>
      <c r="T4176">
        <v>17.899999999999999</v>
      </c>
      <c r="U4176">
        <v>74</v>
      </c>
      <c r="V4176">
        <v>-0.35</v>
      </c>
      <c r="W4176">
        <v>39</v>
      </c>
      <c r="X4176" t="s">
        <v>110</v>
      </c>
      <c r="Y4176" t="s">
        <v>95</v>
      </c>
      <c r="Z4176" t="s">
        <v>96</v>
      </c>
      <c r="AA4176" t="s">
        <v>485</v>
      </c>
      <c r="AB4176" t="s">
        <v>1338</v>
      </c>
      <c r="AC4176">
        <v>0</v>
      </c>
      <c r="AD4176">
        <v>0</v>
      </c>
      <c r="AE4176">
        <v>82</v>
      </c>
      <c r="AF4176">
        <v>269.51</v>
      </c>
      <c r="AG4176">
        <v>4.74</v>
      </c>
      <c r="AH4176">
        <v>4.9400000000000004</v>
      </c>
      <c r="AI4176">
        <v>-0.09</v>
      </c>
      <c r="AJ4176">
        <v>-7.0000000000000007E-2</v>
      </c>
      <c r="AK4176">
        <v>77</v>
      </c>
      <c r="AL4176">
        <v>0</v>
      </c>
      <c r="AM4176">
        <v>0</v>
      </c>
      <c r="AN4176">
        <v>5.24</v>
      </c>
      <c r="AO4176">
        <v>-3.67</v>
      </c>
      <c r="AP4176">
        <v>1</v>
      </c>
      <c r="AQ4176">
        <v>0</v>
      </c>
      <c r="AR4176">
        <v>10.18</v>
      </c>
      <c r="AS4176">
        <v>41</v>
      </c>
      <c r="AT4176">
        <v>4.45</v>
      </c>
      <c r="AU4176">
        <v>87</v>
      </c>
      <c r="AV4176">
        <v>-3.1</v>
      </c>
      <c r="AW4176">
        <v>80</v>
      </c>
      <c r="AX4176">
        <v>-0.84</v>
      </c>
      <c r="AY4176">
        <v>62</v>
      </c>
      <c r="AZ4176">
        <v>5.77</v>
      </c>
      <c r="BA4176">
        <v>44</v>
      </c>
      <c r="BB4176">
        <v>4.5199999999999996</v>
      </c>
      <c r="BC4176">
        <v>55</v>
      </c>
      <c r="BD4176">
        <v>0.04</v>
      </c>
      <c r="BE4176">
        <v>0.06</v>
      </c>
      <c r="BF4176">
        <v>0.1</v>
      </c>
      <c r="BG4176">
        <v>86</v>
      </c>
      <c r="BH4176">
        <v>0.04</v>
      </c>
      <c r="BI4176">
        <v>5.74</v>
      </c>
      <c r="BJ4176">
        <v>1</v>
      </c>
      <c r="BK4176">
        <v>1</v>
      </c>
      <c r="BL4176">
        <v>0.74</v>
      </c>
      <c r="BM4176">
        <v>0.23</v>
      </c>
      <c r="BN4176">
        <v>1.08</v>
      </c>
      <c r="BO4176">
        <v>0.99</v>
      </c>
      <c r="BP4176">
        <v>0.28999999999999998</v>
      </c>
      <c r="BQ4176">
        <v>-0.65</v>
      </c>
      <c r="BR4176">
        <v>1.91</v>
      </c>
      <c r="BS4176">
        <v>-1.03</v>
      </c>
      <c r="BT4176">
        <v>-0.23</v>
      </c>
      <c r="BU4176">
        <v>-0.22</v>
      </c>
      <c r="BV4176">
        <v>0.21</v>
      </c>
      <c r="BW4176">
        <v>-0.26</v>
      </c>
      <c r="BX4176">
        <v>-0.64</v>
      </c>
      <c r="BY4176">
        <v>-0.75</v>
      </c>
      <c r="BZ4176">
        <v>0.53</v>
      </c>
      <c r="CA4176">
        <v>-0.4</v>
      </c>
      <c r="CB4176">
        <v>-0.16</v>
      </c>
      <c r="CC4176">
        <v>-0.59</v>
      </c>
      <c r="CD4176">
        <v>-0.98</v>
      </c>
      <c r="CE4176">
        <v>0.42</v>
      </c>
      <c r="CF4176">
        <v>-0.3</v>
      </c>
      <c r="CG4176">
        <v>0</v>
      </c>
      <c r="CH4176">
        <v>1.02</v>
      </c>
      <c r="CI4176">
        <v>0</v>
      </c>
      <c r="CJ4176">
        <v>-7.3</v>
      </c>
      <c r="CK4176">
        <v>78</v>
      </c>
      <c r="CL4176">
        <v>-0.82</v>
      </c>
      <c r="CM4176">
        <v>74</v>
      </c>
      <c r="CN4176">
        <v>-0.55000000000000004</v>
      </c>
      <c r="CO4176">
        <v>70</v>
      </c>
      <c r="CP4176">
        <v>-13.3</v>
      </c>
      <c r="CQ4176">
        <v>81</v>
      </c>
      <c r="CR4176">
        <v>0</v>
      </c>
      <c r="CS4176">
        <v>0</v>
      </c>
      <c r="CT4176">
        <v>-10.4</v>
      </c>
      <c r="CU4176">
        <v>74</v>
      </c>
      <c r="CV4176">
        <v>0.06</v>
      </c>
      <c r="CW4176">
        <v>23</v>
      </c>
      <c r="CX4176" t="s">
        <v>166</v>
      </c>
    </row>
    <row r="4177" spans="1:102" x14ac:dyDescent="0.3">
      <c r="A4177" t="str">
        <f>HYPERLINK("https://webapp.icbf.com/v2/app/bull-search/view/124414821","KES")</f>
        <v>KES</v>
      </c>
      <c r="B4177" t="s">
        <v>14390</v>
      </c>
      <c r="C4177" t="s">
        <v>9185</v>
      </c>
      <c r="D4177" s="1">
        <v>36461</v>
      </c>
      <c r="E4177" t="s">
        <v>92</v>
      </c>
      <c r="F4177">
        <v>100</v>
      </c>
      <c r="G4177" t="s">
        <v>93</v>
      </c>
      <c r="H4177">
        <v>-97.05</v>
      </c>
      <c r="I4177">
        <v>98</v>
      </c>
      <c r="J4177">
        <v>38.869999999999997</v>
      </c>
      <c r="K4177">
        <v>99</v>
      </c>
      <c r="L4177">
        <v>-180.09</v>
      </c>
      <c r="M4177">
        <v>95</v>
      </c>
      <c r="N4177">
        <v>-1.5</v>
      </c>
      <c r="O4177">
        <v>98</v>
      </c>
      <c r="P4177">
        <v>-5.04</v>
      </c>
      <c r="Q4177">
        <v>99</v>
      </c>
      <c r="R4177">
        <v>6.44</v>
      </c>
      <c r="S4177">
        <v>97</v>
      </c>
      <c r="T4177">
        <v>29.81</v>
      </c>
      <c r="U4177">
        <v>99</v>
      </c>
      <c r="V4177">
        <v>14.46</v>
      </c>
      <c r="W4177">
        <v>99</v>
      </c>
      <c r="X4177" t="s">
        <v>94</v>
      </c>
      <c r="Y4177" t="s">
        <v>95</v>
      </c>
      <c r="Z4177" t="s">
        <v>96</v>
      </c>
      <c r="AA4177" t="s">
        <v>1196</v>
      </c>
      <c r="AB4177" t="s">
        <v>1154</v>
      </c>
      <c r="AC4177">
        <v>2254</v>
      </c>
      <c r="AD4177">
        <v>983</v>
      </c>
      <c r="AE4177">
        <v>99</v>
      </c>
      <c r="AF4177">
        <v>377.84</v>
      </c>
      <c r="AG4177">
        <v>8.01</v>
      </c>
      <c r="AH4177">
        <v>9.56</v>
      </c>
      <c r="AI4177">
        <v>-0.11</v>
      </c>
      <c r="AJ4177">
        <v>-0.05</v>
      </c>
      <c r="AK4177">
        <v>95</v>
      </c>
      <c r="AL4177">
        <v>2340</v>
      </c>
      <c r="AM4177">
        <v>1081</v>
      </c>
      <c r="AN4177">
        <v>9.9499999999999993</v>
      </c>
      <c r="AO4177">
        <v>-4.41</v>
      </c>
      <c r="AP4177">
        <v>4477</v>
      </c>
      <c r="AQ4177">
        <v>18</v>
      </c>
      <c r="AR4177">
        <v>6.95</v>
      </c>
      <c r="AS4177">
        <v>99</v>
      </c>
      <c r="AT4177">
        <v>2.68</v>
      </c>
      <c r="AU4177">
        <v>99</v>
      </c>
      <c r="AV4177">
        <v>0.49</v>
      </c>
      <c r="AW4177">
        <v>99</v>
      </c>
      <c r="AX4177">
        <v>-0.62</v>
      </c>
      <c r="AY4177">
        <v>99</v>
      </c>
      <c r="AZ4177">
        <v>7.99</v>
      </c>
      <c r="BA4177">
        <v>96</v>
      </c>
      <c r="BB4177">
        <v>5.42</v>
      </c>
      <c r="BC4177">
        <v>96</v>
      </c>
      <c r="BD4177">
        <v>-0.03</v>
      </c>
      <c r="BE4177">
        <v>-0.02</v>
      </c>
      <c r="BF4177">
        <v>-0.06</v>
      </c>
      <c r="BG4177">
        <v>99</v>
      </c>
      <c r="BH4177">
        <v>0.25</v>
      </c>
      <c r="BI4177">
        <v>-17.73</v>
      </c>
      <c r="BJ4177">
        <v>126</v>
      </c>
      <c r="BK4177">
        <v>88</v>
      </c>
      <c r="BL4177">
        <v>-0.66</v>
      </c>
      <c r="BM4177">
        <v>-1.31</v>
      </c>
      <c r="BN4177">
        <v>0.03</v>
      </c>
      <c r="BO4177">
        <v>0.8</v>
      </c>
      <c r="BP4177">
        <v>0.61</v>
      </c>
      <c r="BQ4177">
        <v>-1.0900000000000001</v>
      </c>
      <c r="BR4177">
        <v>-0.26</v>
      </c>
      <c r="BS4177">
        <v>-2.41</v>
      </c>
      <c r="BT4177">
        <v>-1.69</v>
      </c>
      <c r="BU4177">
        <v>0.09</v>
      </c>
      <c r="BV4177">
        <v>0.57999999999999996</v>
      </c>
      <c r="BW4177">
        <v>-0.2</v>
      </c>
      <c r="BX4177">
        <v>-1.43</v>
      </c>
      <c r="BY4177">
        <v>1.38</v>
      </c>
      <c r="BZ4177">
        <v>-0.9</v>
      </c>
      <c r="CA4177">
        <v>-0.95</v>
      </c>
      <c r="CB4177">
        <v>0.34</v>
      </c>
      <c r="CC4177">
        <v>-2.95</v>
      </c>
      <c r="CD4177">
        <v>-0.75</v>
      </c>
      <c r="CE4177">
        <v>0.67</v>
      </c>
      <c r="CF4177">
        <v>-1.18</v>
      </c>
      <c r="CG4177">
        <v>0</v>
      </c>
      <c r="CH4177">
        <v>1.02</v>
      </c>
      <c r="CI4177">
        <v>0</v>
      </c>
      <c r="CJ4177">
        <v>0.4</v>
      </c>
      <c r="CK4177">
        <v>99</v>
      </c>
      <c r="CL4177">
        <v>-0.63</v>
      </c>
      <c r="CM4177">
        <v>99</v>
      </c>
      <c r="CN4177">
        <v>-0.26</v>
      </c>
      <c r="CO4177">
        <v>99</v>
      </c>
      <c r="CP4177">
        <v>-14.2</v>
      </c>
      <c r="CQ4177">
        <v>99</v>
      </c>
      <c r="CR4177">
        <v>0</v>
      </c>
      <c r="CS4177">
        <v>0</v>
      </c>
      <c r="CT4177">
        <v>-26.5</v>
      </c>
      <c r="CU4177">
        <v>99</v>
      </c>
      <c r="CV4177">
        <v>0.21</v>
      </c>
      <c r="CW4177">
        <v>33</v>
      </c>
      <c r="CX4177" t="s">
        <v>751</v>
      </c>
    </row>
    <row r="4178" spans="1:102" x14ac:dyDescent="0.3">
      <c r="A4178" t="str">
        <f>HYPERLINK("https://webapp.icbf.com/v2/app/bull-search/view/77855734","LIY")</f>
        <v>LIY</v>
      </c>
      <c r="B4178" t="s">
        <v>10826</v>
      </c>
      <c r="C4178" t="s">
        <v>10827</v>
      </c>
      <c r="D4178" s="1">
        <v>32120</v>
      </c>
      <c r="E4178" t="s">
        <v>92</v>
      </c>
      <c r="F4178">
        <v>72</v>
      </c>
      <c r="G4178" t="s">
        <v>116</v>
      </c>
      <c r="H4178">
        <v>-97.08</v>
      </c>
      <c r="I4178">
        <v>54</v>
      </c>
      <c r="J4178">
        <v>-51.26</v>
      </c>
      <c r="K4178">
        <v>65</v>
      </c>
      <c r="L4178">
        <v>-55.3</v>
      </c>
      <c r="M4178">
        <v>56</v>
      </c>
      <c r="N4178">
        <v>20.95</v>
      </c>
      <c r="O4178">
        <v>31</v>
      </c>
      <c r="P4178">
        <v>-2.75</v>
      </c>
      <c r="Q4178">
        <v>72</v>
      </c>
      <c r="R4178">
        <v>-14.25</v>
      </c>
      <c r="S4178">
        <v>54</v>
      </c>
      <c r="T4178">
        <v>8.7200000000000006</v>
      </c>
      <c r="U4178">
        <v>34</v>
      </c>
      <c r="V4178">
        <v>-3.19</v>
      </c>
      <c r="W4178">
        <v>10</v>
      </c>
      <c r="X4178" t="s">
        <v>94</v>
      </c>
      <c r="Y4178" t="s">
        <v>95</v>
      </c>
      <c r="Z4178" t="s">
        <v>96</v>
      </c>
      <c r="AA4178" t="s">
        <v>10828</v>
      </c>
      <c r="AB4178" t="s">
        <v>10829</v>
      </c>
      <c r="AC4178">
        <v>8</v>
      </c>
      <c r="AD4178">
        <v>5</v>
      </c>
      <c r="AE4178">
        <v>65</v>
      </c>
      <c r="AF4178">
        <v>-199.72</v>
      </c>
      <c r="AG4178">
        <v>-5.0999999999999996</v>
      </c>
      <c r="AH4178">
        <v>-9.9700000000000006</v>
      </c>
      <c r="AI4178">
        <v>0.05</v>
      </c>
      <c r="AJ4178">
        <v>-0.05</v>
      </c>
      <c r="AK4178">
        <v>56</v>
      </c>
      <c r="AL4178">
        <v>77</v>
      </c>
      <c r="AM4178">
        <v>49</v>
      </c>
      <c r="AN4178">
        <v>3</v>
      </c>
      <c r="AO4178">
        <v>-1.41</v>
      </c>
      <c r="AP4178">
        <v>9</v>
      </c>
      <c r="AQ4178">
        <v>1</v>
      </c>
      <c r="AR4178">
        <v>5.31</v>
      </c>
      <c r="AS4178">
        <v>10</v>
      </c>
      <c r="AT4178">
        <v>2.36</v>
      </c>
      <c r="AU4178">
        <v>36</v>
      </c>
      <c r="AV4178">
        <v>-1.18</v>
      </c>
      <c r="AW4178">
        <v>36</v>
      </c>
      <c r="AX4178">
        <v>-0.56000000000000005</v>
      </c>
      <c r="AY4178">
        <v>44</v>
      </c>
      <c r="AZ4178">
        <v>6.27</v>
      </c>
      <c r="BA4178">
        <v>11</v>
      </c>
      <c r="BB4178">
        <v>5.3</v>
      </c>
      <c r="BC4178">
        <v>17</v>
      </c>
      <c r="BD4178">
        <v>0.04</v>
      </c>
      <c r="BE4178">
        <v>0.09</v>
      </c>
      <c r="BF4178">
        <v>0.09</v>
      </c>
      <c r="BG4178">
        <v>80</v>
      </c>
      <c r="BH4178">
        <v>0</v>
      </c>
      <c r="BI4178">
        <v>10.29</v>
      </c>
      <c r="BJ4178">
        <v>13</v>
      </c>
      <c r="BK4178">
        <v>8</v>
      </c>
      <c r="BL4178">
        <v>-0.85</v>
      </c>
      <c r="BM4178">
        <v>0.82</v>
      </c>
      <c r="BN4178">
        <v>0.13</v>
      </c>
      <c r="BO4178">
        <v>-0.72</v>
      </c>
      <c r="BP4178">
        <v>0.63</v>
      </c>
      <c r="BQ4178">
        <v>1.04</v>
      </c>
      <c r="BR4178">
        <v>-0.17</v>
      </c>
      <c r="BS4178">
        <v>-0.52</v>
      </c>
      <c r="BT4178">
        <v>-0.82</v>
      </c>
      <c r="BU4178">
        <v>-1</v>
      </c>
      <c r="BV4178">
        <v>-0.96</v>
      </c>
      <c r="BW4178">
        <v>-1.42</v>
      </c>
      <c r="BX4178">
        <v>-0.65</v>
      </c>
      <c r="BY4178">
        <v>-1.03</v>
      </c>
      <c r="BZ4178">
        <v>-0.81</v>
      </c>
      <c r="CA4178">
        <v>-0.87</v>
      </c>
      <c r="CB4178">
        <v>-1.04</v>
      </c>
      <c r="CC4178">
        <v>0.01</v>
      </c>
      <c r="CD4178">
        <v>0.45</v>
      </c>
      <c r="CE4178">
        <v>-0.8</v>
      </c>
      <c r="CF4178">
        <v>-0.2</v>
      </c>
      <c r="CG4178">
        <v>0</v>
      </c>
      <c r="CH4178">
        <v>-1.58</v>
      </c>
      <c r="CI4178">
        <v>0</v>
      </c>
      <c r="CJ4178">
        <v>1.3</v>
      </c>
      <c r="CK4178">
        <v>76</v>
      </c>
      <c r="CL4178">
        <v>-0.79</v>
      </c>
      <c r="CM4178">
        <v>72</v>
      </c>
      <c r="CN4178">
        <v>-0.38</v>
      </c>
      <c r="CO4178">
        <v>70</v>
      </c>
      <c r="CP4178">
        <v>-5.6</v>
      </c>
      <c r="CQ4178">
        <v>52</v>
      </c>
      <c r="CR4178">
        <v>0</v>
      </c>
      <c r="CS4178">
        <v>0</v>
      </c>
      <c r="CT4178">
        <v>2</v>
      </c>
      <c r="CU4178">
        <v>34</v>
      </c>
      <c r="CV4178">
        <v>0.34</v>
      </c>
      <c r="CW4178">
        <v>20</v>
      </c>
      <c r="CX4178" t="s">
        <v>10830</v>
      </c>
    </row>
    <row r="4179" spans="1:102" x14ac:dyDescent="0.3">
      <c r="A4179" t="str">
        <f>HYPERLINK("https://webapp.icbf.com/v2/app/bull-search/view/221968294","RVI")</f>
        <v>RVI</v>
      </c>
      <c r="B4179" t="s">
        <v>1059</v>
      </c>
      <c r="C4179" t="s">
        <v>1060</v>
      </c>
      <c r="D4179" s="1">
        <v>36444</v>
      </c>
      <c r="E4179" t="s">
        <v>1061</v>
      </c>
      <c r="F4179">
        <v>0</v>
      </c>
      <c r="G4179" t="s">
        <v>93</v>
      </c>
      <c r="H4179">
        <v>-97.31</v>
      </c>
      <c r="I4179">
        <v>63</v>
      </c>
      <c r="J4179">
        <v>-39.799999999999997</v>
      </c>
      <c r="K4179">
        <v>86</v>
      </c>
      <c r="L4179">
        <v>-40.06</v>
      </c>
      <c r="M4179">
        <v>48</v>
      </c>
      <c r="N4179">
        <v>-18.7</v>
      </c>
      <c r="O4179">
        <v>50</v>
      </c>
      <c r="P4179">
        <v>-13.34</v>
      </c>
      <c r="Q4179">
        <v>73</v>
      </c>
      <c r="R4179">
        <v>-1.3</v>
      </c>
      <c r="S4179">
        <v>48</v>
      </c>
      <c r="T4179">
        <v>24.63</v>
      </c>
      <c r="U4179">
        <v>61</v>
      </c>
      <c r="V4179">
        <v>-8.74</v>
      </c>
      <c r="W4179">
        <v>26</v>
      </c>
      <c r="X4179" t="s">
        <v>276</v>
      </c>
      <c r="Y4179" t="s">
        <v>1062</v>
      </c>
      <c r="Z4179">
        <v>0</v>
      </c>
      <c r="AA4179" t="s">
        <v>1063</v>
      </c>
      <c r="AB4179" t="s">
        <v>1064</v>
      </c>
      <c r="AC4179">
        <v>40</v>
      </c>
      <c r="AD4179">
        <v>4</v>
      </c>
      <c r="AE4179">
        <v>86</v>
      </c>
      <c r="AF4179">
        <v>-260.68</v>
      </c>
      <c r="AG4179">
        <v>-6.81</v>
      </c>
      <c r="AH4179">
        <v>-8.35</v>
      </c>
      <c r="AI4179">
        <v>0.06</v>
      </c>
      <c r="AJ4179">
        <v>0.01</v>
      </c>
      <c r="AK4179">
        <v>48</v>
      </c>
      <c r="AL4179">
        <v>46</v>
      </c>
      <c r="AM4179">
        <v>8</v>
      </c>
      <c r="AN4179">
        <v>0.99</v>
      </c>
      <c r="AO4179">
        <v>-2.2200000000000002</v>
      </c>
      <c r="AP4179">
        <v>8</v>
      </c>
      <c r="AQ4179">
        <v>0</v>
      </c>
      <c r="AR4179">
        <v>9.51</v>
      </c>
      <c r="AS4179">
        <v>10</v>
      </c>
      <c r="AT4179">
        <v>3.8</v>
      </c>
      <c r="AU4179">
        <v>45</v>
      </c>
      <c r="AV4179">
        <v>0.56999999999999995</v>
      </c>
      <c r="AW4179">
        <v>67</v>
      </c>
      <c r="AX4179">
        <v>-0.28000000000000003</v>
      </c>
      <c r="AY4179">
        <v>51</v>
      </c>
      <c r="AZ4179">
        <v>6.73</v>
      </c>
      <c r="BA4179">
        <v>12</v>
      </c>
      <c r="BB4179">
        <v>5.49</v>
      </c>
      <c r="BC4179">
        <v>36</v>
      </c>
      <c r="BD4179">
        <v>0</v>
      </c>
      <c r="BE4179">
        <v>0</v>
      </c>
      <c r="BF4179">
        <v>0.03</v>
      </c>
      <c r="BG4179">
        <v>55</v>
      </c>
      <c r="BH4179">
        <v>-0.23</v>
      </c>
      <c r="BI4179">
        <v>1.59</v>
      </c>
      <c r="BJ4179">
        <v>0</v>
      </c>
      <c r="BK4179">
        <v>0</v>
      </c>
      <c r="BL4179">
        <v>-0.92</v>
      </c>
      <c r="BM4179">
        <v>0.82</v>
      </c>
      <c r="BN4179">
        <v>-0.76</v>
      </c>
      <c r="BO4179">
        <v>-1.37</v>
      </c>
      <c r="BP4179">
        <v>0.5</v>
      </c>
      <c r="BQ4179">
        <v>0.05</v>
      </c>
      <c r="BR4179">
        <v>0.25</v>
      </c>
      <c r="BS4179">
        <v>0.3</v>
      </c>
      <c r="BT4179">
        <v>-0.28000000000000003</v>
      </c>
      <c r="BU4179">
        <v>-0.64</v>
      </c>
      <c r="BV4179">
        <v>-1.55</v>
      </c>
      <c r="BW4179">
        <v>-1.53</v>
      </c>
      <c r="BX4179">
        <v>-0.27</v>
      </c>
      <c r="BY4179">
        <v>-1.1000000000000001</v>
      </c>
      <c r="BZ4179">
        <v>7.0000000000000007E-2</v>
      </c>
      <c r="CA4179">
        <v>-1.27</v>
      </c>
      <c r="CB4179">
        <v>-1.26</v>
      </c>
      <c r="CC4179">
        <v>-0.81</v>
      </c>
      <c r="CD4179">
        <v>1.31</v>
      </c>
      <c r="CE4179">
        <v>-1.36</v>
      </c>
      <c r="CF4179">
        <v>-0.84</v>
      </c>
      <c r="CG4179">
        <v>0</v>
      </c>
      <c r="CH4179">
        <v>-0.89</v>
      </c>
      <c r="CI4179">
        <v>0</v>
      </c>
      <c r="CJ4179">
        <v>-9</v>
      </c>
      <c r="CK4179">
        <v>75</v>
      </c>
      <c r="CL4179">
        <v>-0.31</v>
      </c>
      <c r="CM4179">
        <v>70</v>
      </c>
      <c r="CN4179">
        <v>-0.41</v>
      </c>
      <c r="CO4179">
        <v>66</v>
      </c>
      <c r="CP4179">
        <v>-16.8</v>
      </c>
      <c r="CQ4179">
        <v>78</v>
      </c>
      <c r="CR4179">
        <v>0</v>
      </c>
      <c r="CS4179">
        <v>0</v>
      </c>
      <c r="CT4179">
        <v>-19.5</v>
      </c>
      <c r="CU4179">
        <v>61</v>
      </c>
      <c r="CV4179">
        <v>-0.2</v>
      </c>
      <c r="CW4179">
        <v>20</v>
      </c>
      <c r="CX4179" t="s">
        <v>1065</v>
      </c>
    </row>
    <row r="4180" spans="1:102" x14ac:dyDescent="0.3">
      <c r="A4180" t="str">
        <f>HYPERLINK("https://webapp.icbf.com/v2/app/bull-search/view/378258746","FYS")</f>
        <v>FYS</v>
      </c>
      <c r="B4180" t="s">
        <v>1194</v>
      </c>
      <c r="C4180" t="s">
        <v>1195</v>
      </c>
      <c r="D4180" s="1">
        <v>36443</v>
      </c>
      <c r="E4180" t="s">
        <v>92</v>
      </c>
      <c r="F4180">
        <v>100</v>
      </c>
      <c r="G4180" t="s">
        <v>109</v>
      </c>
      <c r="H4180">
        <v>-97.34</v>
      </c>
      <c r="I4180">
        <v>57</v>
      </c>
      <c r="J4180">
        <v>14.2</v>
      </c>
      <c r="K4180">
        <v>70</v>
      </c>
      <c r="L4180">
        <v>-114.43</v>
      </c>
      <c r="M4180">
        <v>62</v>
      </c>
      <c r="N4180">
        <v>14.46</v>
      </c>
      <c r="O4180">
        <v>49</v>
      </c>
      <c r="P4180">
        <v>-4.3499999999999996</v>
      </c>
      <c r="Q4180">
        <v>38</v>
      </c>
      <c r="R4180">
        <v>-14.44</v>
      </c>
      <c r="S4180">
        <v>55</v>
      </c>
      <c r="T4180">
        <v>9.02</v>
      </c>
      <c r="U4180">
        <v>33</v>
      </c>
      <c r="V4180">
        <v>-1.8</v>
      </c>
      <c r="W4180">
        <v>25</v>
      </c>
      <c r="X4180" t="s">
        <v>94</v>
      </c>
      <c r="Y4180" t="s">
        <v>95</v>
      </c>
      <c r="Z4180" t="s">
        <v>96</v>
      </c>
      <c r="AA4180" t="s">
        <v>1196</v>
      </c>
      <c r="AB4180" t="s">
        <v>1197</v>
      </c>
      <c r="AC4180">
        <v>0</v>
      </c>
      <c r="AD4180">
        <v>0</v>
      </c>
      <c r="AE4180">
        <v>70</v>
      </c>
      <c r="AF4180">
        <v>233.98</v>
      </c>
      <c r="AG4180">
        <v>1.1499999999999999</v>
      </c>
      <c r="AH4180">
        <v>5.59</v>
      </c>
      <c r="AI4180">
        <v>-0.13</v>
      </c>
      <c r="AJ4180">
        <v>-0.04</v>
      </c>
      <c r="AK4180">
        <v>62</v>
      </c>
      <c r="AL4180">
        <v>0</v>
      </c>
      <c r="AM4180">
        <v>0</v>
      </c>
      <c r="AN4180">
        <v>5.89</v>
      </c>
      <c r="AO4180">
        <v>-3.24</v>
      </c>
      <c r="AP4180">
        <v>8</v>
      </c>
      <c r="AQ4180">
        <v>0</v>
      </c>
      <c r="AR4180">
        <v>6.93</v>
      </c>
      <c r="AS4180">
        <v>35</v>
      </c>
      <c r="AT4180">
        <v>3.29</v>
      </c>
      <c r="AU4180">
        <v>55</v>
      </c>
      <c r="AV4180">
        <v>-1.64</v>
      </c>
      <c r="AW4180">
        <v>60</v>
      </c>
      <c r="AX4180">
        <v>-0.17</v>
      </c>
      <c r="AY4180">
        <v>36</v>
      </c>
      <c r="AZ4180">
        <v>6.2</v>
      </c>
      <c r="BA4180">
        <v>28</v>
      </c>
      <c r="BB4180">
        <v>4.93</v>
      </c>
      <c r="BC4180">
        <v>28</v>
      </c>
      <c r="BD4180">
        <v>0.09</v>
      </c>
      <c r="BE4180">
        <v>0.08</v>
      </c>
      <c r="BF4180">
        <v>0.03</v>
      </c>
      <c r="BG4180">
        <v>78</v>
      </c>
      <c r="BH4180">
        <v>-0.06</v>
      </c>
      <c r="BI4180">
        <v>-1.1399999999999999</v>
      </c>
      <c r="BJ4180">
        <v>0</v>
      </c>
      <c r="BK4180">
        <v>0</v>
      </c>
      <c r="BL4180">
        <v>0.81</v>
      </c>
      <c r="BM4180">
        <v>-0.78</v>
      </c>
      <c r="BN4180">
        <v>0.36</v>
      </c>
      <c r="BO4180">
        <v>0.24</v>
      </c>
      <c r="BP4180">
        <v>0.51</v>
      </c>
      <c r="BQ4180">
        <v>0.16</v>
      </c>
      <c r="BR4180">
        <v>-0.57999999999999996</v>
      </c>
      <c r="BS4180">
        <v>-2.2799999999999998</v>
      </c>
      <c r="BT4180">
        <v>-0.68</v>
      </c>
      <c r="BU4180">
        <v>1.48</v>
      </c>
      <c r="BV4180">
        <v>1.1299999999999999</v>
      </c>
      <c r="BW4180">
        <v>0.35</v>
      </c>
      <c r="BX4180">
        <v>1.25</v>
      </c>
      <c r="BY4180">
        <v>0.14000000000000001</v>
      </c>
      <c r="BZ4180">
        <v>-0.64</v>
      </c>
      <c r="CA4180">
        <v>0.38</v>
      </c>
      <c r="CB4180">
        <v>0.92</v>
      </c>
      <c r="CC4180">
        <v>-0.88</v>
      </c>
      <c r="CD4180">
        <v>-0.7</v>
      </c>
      <c r="CE4180">
        <v>0</v>
      </c>
      <c r="CF4180">
        <v>0</v>
      </c>
      <c r="CG4180">
        <v>0</v>
      </c>
      <c r="CH4180">
        <v>0</v>
      </c>
      <c r="CI4180">
        <v>0</v>
      </c>
      <c r="CJ4180">
        <v>-0.8</v>
      </c>
      <c r="CK4180">
        <v>39</v>
      </c>
      <c r="CL4180">
        <v>-0.79</v>
      </c>
      <c r="CM4180">
        <v>37</v>
      </c>
      <c r="CN4180">
        <v>-0.5</v>
      </c>
      <c r="CO4180">
        <v>36</v>
      </c>
      <c r="CP4180">
        <v>-6.3</v>
      </c>
      <c r="CQ4180">
        <v>37</v>
      </c>
      <c r="CR4180">
        <v>0</v>
      </c>
      <c r="CS4180">
        <v>0</v>
      </c>
      <c r="CT4180">
        <v>1.6</v>
      </c>
      <c r="CU4180">
        <v>33</v>
      </c>
      <c r="CV4180">
        <v>0.25</v>
      </c>
      <c r="CW4180">
        <v>11</v>
      </c>
      <c r="CX4180" t="s">
        <v>1106</v>
      </c>
    </row>
    <row r="4181" spans="1:102" x14ac:dyDescent="0.3">
      <c r="A4181" t="str">
        <f>HYPERLINK("https://webapp.icbf.com/v2/app/bull-search/view/427828088","ERI")</f>
        <v>ERI</v>
      </c>
      <c r="B4181" t="s">
        <v>1235</v>
      </c>
      <c r="C4181" t="s">
        <v>1236</v>
      </c>
      <c r="D4181" s="1">
        <v>36730</v>
      </c>
      <c r="E4181" t="s">
        <v>92</v>
      </c>
      <c r="F4181">
        <v>100</v>
      </c>
      <c r="G4181" t="s">
        <v>93</v>
      </c>
      <c r="H4181">
        <v>-97.36</v>
      </c>
      <c r="I4181">
        <v>97</v>
      </c>
      <c r="J4181">
        <v>17.47</v>
      </c>
      <c r="K4181">
        <v>99</v>
      </c>
      <c r="L4181">
        <v>-103.34</v>
      </c>
      <c r="M4181">
        <v>96</v>
      </c>
      <c r="N4181">
        <v>-5.57</v>
      </c>
      <c r="O4181">
        <v>97</v>
      </c>
      <c r="P4181">
        <v>-12.31</v>
      </c>
      <c r="Q4181">
        <v>99</v>
      </c>
      <c r="R4181">
        <v>8.19</v>
      </c>
      <c r="S4181">
        <v>92</v>
      </c>
      <c r="T4181">
        <v>-9.19</v>
      </c>
      <c r="U4181">
        <v>97</v>
      </c>
      <c r="V4181">
        <v>7.39</v>
      </c>
      <c r="W4181">
        <v>91</v>
      </c>
      <c r="X4181" t="s">
        <v>276</v>
      </c>
      <c r="Y4181" t="s">
        <v>95</v>
      </c>
      <c r="Z4181" t="s">
        <v>96</v>
      </c>
      <c r="AA4181" t="s">
        <v>311</v>
      </c>
      <c r="AB4181" t="s">
        <v>1237</v>
      </c>
      <c r="AC4181">
        <v>684</v>
      </c>
      <c r="AD4181">
        <v>235</v>
      </c>
      <c r="AE4181">
        <v>99</v>
      </c>
      <c r="AF4181">
        <v>251.9</v>
      </c>
      <c r="AG4181">
        <v>-5.0999999999999996</v>
      </c>
      <c r="AH4181">
        <v>8.6300000000000008</v>
      </c>
      <c r="AI4181">
        <v>-0.25</v>
      </c>
      <c r="AJ4181">
        <v>0</v>
      </c>
      <c r="AK4181">
        <v>96</v>
      </c>
      <c r="AL4181">
        <v>577</v>
      </c>
      <c r="AM4181">
        <v>211</v>
      </c>
      <c r="AN4181">
        <v>6.51</v>
      </c>
      <c r="AO4181">
        <v>-1.72</v>
      </c>
      <c r="AP4181">
        <v>1236</v>
      </c>
      <c r="AQ4181">
        <v>4</v>
      </c>
      <c r="AR4181">
        <v>7.71</v>
      </c>
      <c r="AS4181">
        <v>97</v>
      </c>
      <c r="AT4181">
        <v>3.55</v>
      </c>
      <c r="AU4181">
        <v>98</v>
      </c>
      <c r="AV4181">
        <v>-0.04</v>
      </c>
      <c r="AW4181">
        <v>99</v>
      </c>
      <c r="AX4181">
        <v>0.64</v>
      </c>
      <c r="AY4181">
        <v>97</v>
      </c>
      <c r="AZ4181">
        <v>5.89</v>
      </c>
      <c r="BA4181">
        <v>93</v>
      </c>
      <c r="BB4181">
        <v>5.18</v>
      </c>
      <c r="BC4181">
        <v>91</v>
      </c>
      <c r="BD4181">
        <v>-0.08</v>
      </c>
      <c r="BE4181">
        <v>-0.05</v>
      </c>
      <c r="BF4181">
        <v>0.04</v>
      </c>
      <c r="BG4181">
        <v>98</v>
      </c>
      <c r="BH4181">
        <v>0</v>
      </c>
      <c r="BI4181">
        <v>-23.83</v>
      </c>
      <c r="BJ4181">
        <v>427</v>
      </c>
      <c r="BK4181">
        <v>167</v>
      </c>
      <c r="BL4181">
        <v>1.65</v>
      </c>
      <c r="BM4181">
        <v>1.51</v>
      </c>
      <c r="BN4181">
        <v>2.48</v>
      </c>
      <c r="BO4181">
        <v>1.1599999999999999</v>
      </c>
      <c r="BP4181">
        <v>1.03</v>
      </c>
      <c r="BQ4181">
        <v>4.33</v>
      </c>
      <c r="BR4181">
        <v>-3.08</v>
      </c>
      <c r="BS4181">
        <v>3.04</v>
      </c>
      <c r="BT4181">
        <v>2.23</v>
      </c>
      <c r="BU4181">
        <v>2.6</v>
      </c>
      <c r="BV4181">
        <v>2.56</v>
      </c>
      <c r="BW4181">
        <v>2.91</v>
      </c>
      <c r="BX4181">
        <v>1.53</v>
      </c>
      <c r="BY4181">
        <v>1.24</v>
      </c>
      <c r="BZ4181">
        <v>0.03</v>
      </c>
      <c r="CA4181">
        <v>2.41</v>
      </c>
      <c r="CB4181">
        <v>2.0099999999999998</v>
      </c>
      <c r="CC4181">
        <v>2.54</v>
      </c>
      <c r="CD4181">
        <v>0.61</v>
      </c>
      <c r="CE4181">
        <v>0.8</v>
      </c>
      <c r="CF4181">
        <v>2.5499999999999998</v>
      </c>
      <c r="CG4181">
        <v>0</v>
      </c>
      <c r="CH4181">
        <v>1.2</v>
      </c>
      <c r="CI4181">
        <v>0</v>
      </c>
      <c r="CJ4181">
        <v>-7</v>
      </c>
      <c r="CK4181">
        <v>99</v>
      </c>
      <c r="CL4181">
        <v>-1.34</v>
      </c>
      <c r="CM4181">
        <v>98</v>
      </c>
      <c r="CN4181">
        <v>-0.83</v>
      </c>
      <c r="CO4181">
        <v>98</v>
      </c>
      <c r="CP4181">
        <v>9.6999999999999993</v>
      </c>
      <c r="CQ4181">
        <v>98</v>
      </c>
      <c r="CR4181">
        <v>0</v>
      </c>
      <c r="CS4181">
        <v>0</v>
      </c>
      <c r="CT4181">
        <v>26.2</v>
      </c>
      <c r="CU4181">
        <v>97</v>
      </c>
      <c r="CV4181">
        <v>0.18</v>
      </c>
      <c r="CW4181">
        <v>46</v>
      </c>
      <c r="CX4181" t="s">
        <v>1068</v>
      </c>
    </row>
    <row r="4182" spans="1:102" x14ac:dyDescent="0.3">
      <c r="A4182" t="str">
        <f>HYPERLINK("https://webapp.icbf.com/v2/app/bull-search/view/77858806","DBV")</f>
        <v>DBV</v>
      </c>
      <c r="B4182" t="s">
        <v>11108</v>
      </c>
      <c r="C4182" t="s">
        <v>11109</v>
      </c>
      <c r="D4182" s="1">
        <v>31665</v>
      </c>
      <c r="E4182" t="s">
        <v>92</v>
      </c>
      <c r="F4182">
        <v>94</v>
      </c>
      <c r="G4182" t="s">
        <v>109</v>
      </c>
      <c r="H4182">
        <v>-97.45</v>
      </c>
      <c r="I4182">
        <v>58</v>
      </c>
      <c r="J4182">
        <v>-68.930000000000007</v>
      </c>
      <c r="K4182">
        <v>71</v>
      </c>
      <c r="L4182">
        <v>5.23</v>
      </c>
      <c r="M4182">
        <v>59</v>
      </c>
      <c r="N4182">
        <v>-25.91</v>
      </c>
      <c r="O4182">
        <v>37</v>
      </c>
      <c r="P4182">
        <v>-11.69</v>
      </c>
      <c r="Q4182">
        <v>52</v>
      </c>
      <c r="R4182">
        <v>-5.44</v>
      </c>
      <c r="S4182">
        <v>61</v>
      </c>
      <c r="T4182">
        <v>12.64</v>
      </c>
      <c r="U4182">
        <v>54</v>
      </c>
      <c r="V4182">
        <v>-3.35</v>
      </c>
      <c r="W4182">
        <v>24</v>
      </c>
      <c r="X4182" t="s">
        <v>234</v>
      </c>
      <c r="Y4182" t="s">
        <v>95</v>
      </c>
      <c r="Z4182" t="s">
        <v>96</v>
      </c>
      <c r="AA4182" t="s">
        <v>154</v>
      </c>
      <c r="AB4182" t="s">
        <v>11110</v>
      </c>
      <c r="AC4182">
        <v>0</v>
      </c>
      <c r="AD4182">
        <v>0</v>
      </c>
      <c r="AE4182">
        <v>71</v>
      </c>
      <c r="AF4182">
        <v>-159.58000000000001</v>
      </c>
      <c r="AG4182">
        <v>-12.03</v>
      </c>
      <c r="AH4182">
        <v>-9.91</v>
      </c>
      <c r="AI4182">
        <v>-0.1</v>
      </c>
      <c r="AJ4182">
        <v>-0.08</v>
      </c>
      <c r="AK4182">
        <v>59</v>
      </c>
      <c r="AL4182">
        <v>0</v>
      </c>
      <c r="AM4182">
        <v>0</v>
      </c>
      <c r="AN4182">
        <v>-1.64</v>
      </c>
      <c r="AO4182">
        <v>-1.24</v>
      </c>
      <c r="AP4182">
        <v>2</v>
      </c>
      <c r="AQ4182">
        <v>0</v>
      </c>
      <c r="AR4182">
        <v>9.73</v>
      </c>
      <c r="AS4182">
        <v>26</v>
      </c>
      <c r="AT4182">
        <v>4.49</v>
      </c>
      <c r="AU4182">
        <v>35</v>
      </c>
      <c r="AV4182">
        <v>0.21</v>
      </c>
      <c r="AW4182">
        <v>41</v>
      </c>
      <c r="AX4182">
        <v>0.03</v>
      </c>
      <c r="AY4182">
        <v>48</v>
      </c>
      <c r="AZ4182">
        <v>7</v>
      </c>
      <c r="BA4182">
        <v>26</v>
      </c>
      <c r="BB4182">
        <v>5.58</v>
      </c>
      <c r="BC4182">
        <v>32</v>
      </c>
      <c r="BD4182">
        <v>0.03</v>
      </c>
      <c r="BE4182">
        <v>0.05</v>
      </c>
      <c r="BF4182">
        <v>-0.02</v>
      </c>
      <c r="BG4182">
        <v>84</v>
      </c>
      <c r="BH4182">
        <v>0</v>
      </c>
      <c r="BI4182">
        <v>10.81</v>
      </c>
      <c r="BJ4182">
        <v>0</v>
      </c>
      <c r="BK4182">
        <v>0</v>
      </c>
      <c r="BL4182">
        <v>-0.24</v>
      </c>
      <c r="BM4182">
        <v>0.95</v>
      </c>
      <c r="BN4182">
        <v>7.0000000000000007E-2</v>
      </c>
      <c r="BO4182">
        <v>-0.81</v>
      </c>
      <c r="BP4182">
        <v>-1.79</v>
      </c>
      <c r="BQ4182">
        <v>-0.88</v>
      </c>
      <c r="BR4182">
        <v>-0.32</v>
      </c>
      <c r="BS4182">
        <v>0.12</v>
      </c>
      <c r="BT4182">
        <v>-0.3</v>
      </c>
      <c r="BU4182">
        <v>-0.27</v>
      </c>
      <c r="BV4182">
        <v>-1.41</v>
      </c>
      <c r="BW4182">
        <v>-0.86</v>
      </c>
      <c r="BX4182">
        <v>-0.62</v>
      </c>
      <c r="BY4182">
        <v>-0.15</v>
      </c>
      <c r="BZ4182">
        <v>0.89</v>
      </c>
      <c r="CA4182">
        <v>-0.21</v>
      </c>
      <c r="CB4182">
        <v>-0.48</v>
      </c>
      <c r="CC4182">
        <v>0.28999999999999998</v>
      </c>
      <c r="CD4182">
        <v>0.99</v>
      </c>
      <c r="CE4182">
        <v>-0.14000000000000001</v>
      </c>
      <c r="CF4182">
        <v>0.64</v>
      </c>
      <c r="CG4182">
        <v>0</v>
      </c>
      <c r="CH4182">
        <v>-0.62</v>
      </c>
      <c r="CI4182">
        <v>0</v>
      </c>
      <c r="CJ4182">
        <v>-6.2</v>
      </c>
      <c r="CK4182">
        <v>54</v>
      </c>
      <c r="CL4182">
        <v>-0.62</v>
      </c>
      <c r="CM4182">
        <v>50</v>
      </c>
      <c r="CN4182">
        <v>-0.38</v>
      </c>
      <c r="CO4182">
        <v>46</v>
      </c>
      <c r="CP4182">
        <v>-7.9</v>
      </c>
      <c r="CQ4182">
        <v>55</v>
      </c>
      <c r="CR4182">
        <v>0</v>
      </c>
      <c r="CS4182">
        <v>0</v>
      </c>
      <c r="CT4182">
        <v>-3.3</v>
      </c>
      <c r="CU4182">
        <v>54</v>
      </c>
      <c r="CV4182">
        <v>0.04</v>
      </c>
      <c r="CW4182">
        <v>14</v>
      </c>
      <c r="CX4182" t="s">
        <v>11111</v>
      </c>
    </row>
    <row r="4183" spans="1:102" x14ac:dyDescent="0.3">
      <c r="A4183" t="str">
        <f>HYPERLINK("https://webapp.icbf.com/v2/app/bull-search/view/124414617","DPJ")</f>
        <v>DPJ</v>
      </c>
      <c r="B4183" t="s">
        <v>4028</v>
      </c>
      <c r="C4183" t="s">
        <v>4029</v>
      </c>
      <c r="D4183" s="1">
        <v>36349</v>
      </c>
      <c r="E4183" t="s">
        <v>92</v>
      </c>
      <c r="F4183">
        <v>100</v>
      </c>
      <c r="G4183" t="s">
        <v>93</v>
      </c>
      <c r="H4183">
        <v>-97.46</v>
      </c>
      <c r="I4183">
        <v>78</v>
      </c>
      <c r="J4183">
        <v>50.9</v>
      </c>
      <c r="K4183">
        <v>95</v>
      </c>
      <c r="L4183">
        <v>-136.41</v>
      </c>
      <c r="M4183">
        <v>62</v>
      </c>
      <c r="N4183">
        <v>7.73</v>
      </c>
      <c r="O4183">
        <v>77</v>
      </c>
      <c r="P4183">
        <v>4.01</v>
      </c>
      <c r="Q4183">
        <v>91</v>
      </c>
      <c r="R4183">
        <v>-15.16</v>
      </c>
      <c r="S4183">
        <v>67</v>
      </c>
      <c r="T4183">
        <v>-6.6</v>
      </c>
      <c r="U4183">
        <v>79</v>
      </c>
      <c r="V4183">
        <v>-1.93</v>
      </c>
      <c r="W4183">
        <v>52</v>
      </c>
      <c r="X4183" t="s">
        <v>94</v>
      </c>
      <c r="Y4183" t="s">
        <v>95</v>
      </c>
      <c r="Z4183" t="s">
        <v>96</v>
      </c>
      <c r="AA4183" t="s">
        <v>4030</v>
      </c>
      <c r="AB4183" t="s">
        <v>4031</v>
      </c>
      <c r="AC4183">
        <v>87</v>
      </c>
      <c r="AD4183">
        <v>61</v>
      </c>
      <c r="AE4183">
        <v>95</v>
      </c>
      <c r="AF4183">
        <v>174.73</v>
      </c>
      <c r="AG4183">
        <v>11.82</v>
      </c>
      <c r="AH4183">
        <v>7.15</v>
      </c>
      <c r="AI4183">
        <v>0.08</v>
      </c>
      <c r="AJ4183">
        <v>0.02</v>
      </c>
      <c r="AK4183">
        <v>62</v>
      </c>
      <c r="AL4183">
        <v>79</v>
      </c>
      <c r="AM4183">
        <v>57</v>
      </c>
      <c r="AN4183">
        <v>8.1300000000000008</v>
      </c>
      <c r="AO4183">
        <v>-2.74</v>
      </c>
      <c r="AP4183">
        <v>119</v>
      </c>
      <c r="AQ4183">
        <v>1</v>
      </c>
      <c r="AR4183">
        <v>6.08</v>
      </c>
      <c r="AS4183">
        <v>50</v>
      </c>
      <c r="AT4183">
        <v>2.7</v>
      </c>
      <c r="AU4183">
        <v>78</v>
      </c>
      <c r="AV4183">
        <v>-0.36</v>
      </c>
      <c r="AW4183">
        <v>92</v>
      </c>
      <c r="AX4183">
        <v>-0.01</v>
      </c>
      <c r="AY4183">
        <v>77</v>
      </c>
      <c r="AZ4183">
        <v>7.52</v>
      </c>
      <c r="BA4183">
        <v>51</v>
      </c>
      <c r="BB4183">
        <v>5.14</v>
      </c>
      <c r="BC4183">
        <v>52</v>
      </c>
      <c r="BD4183">
        <v>0.04</v>
      </c>
      <c r="BE4183">
        <v>0.08</v>
      </c>
      <c r="BF4183">
        <v>0.13</v>
      </c>
      <c r="BG4183">
        <v>82</v>
      </c>
      <c r="BH4183">
        <v>0.12</v>
      </c>
      <c r="BI4183">
        <v>20.12</v>
      </c>
      <c r="BJ4183">
        <v>31</v>
      </c>
      <c r="BK4183">
        <v>21</v>
      </c>
      <c r="BL4183">
        <v>-0.1</v>
      </c>
      <c r="BM4183">
        <v>0.8</v>
      </c>
      <c r="BN4183">
        <v>0.7</v>
      </c>
      <c r="BO4183">
        <v>-0.21</v>
      </c>
      <c r="BP4183">
        <v>1.01</v>
      </c>
      <c r="BQ4183">
        <v>-2.48</v>
      </c>
      <c r="BR4183">
        <v>-0.72</v>
      </c>
      <c r="BS4183">
        <v>-0.4</v>
      </c>
      <c r="BT4183">
        <v>-0.14000000000000001</v>
      </c>
      <c r="BU4183">
        <v>-0.66</v>
      </c>
      <c r="BV4183">
        <v>-0.69</v>
      </c>
      <c r="BW4183">
        <v>-0.88</v>
      </c>
      <c r="BX4183">
        <v>-0.91</v>
      </c>
      <c r="BY4183">
        <v>0.05</v>
      </c>
      <c r="BZ4183">
        <v>0.78</v>
      </c>
      <c r="CA4183">
        <v>-1.23</v>
      </c>
      <c r="CB4183">
        <v>-1.01</v>
      </c>
      <c r="CC4183">
        <v>-1.1100000000000001</v>
      </c>
      <c r="CD4183">
        <v>0.27</v>
      </c>
      <c r="CE4183">
        <v>-0.5</v>
      </c>
      <c r="CF4183">
        <v>-0.64</v>
      </c>
      <c r="CG4183">
        <v>0</v>
      </c>
      <c r="CH4183">
        <v>-1.2</v>
      </c>
      <c r="CI4183">
        <v>0</v>
      </c>
      <c r="CJ4183">
        <v>4.2</v>
      </c>
      <c r="CK4183">
        <v>92</v>
      </c>
      <c r="CL4183">
        <v>-0.47</v>
      </c>
      <c r="CM4183">
        <v>90</v>
      </c>
      <c r="CN4183">
        <v>-0.19</v>
      </c>
      <c r="CO4183">
        <v>89</v>
      </c>
      <c r="CP4183">
        <v>5.6</v>
      </c>
      <c r="CQ4183">
        <v>89</v>
      </c>
      <c r="CR4183">
        <v>0</v>
      </c>
      <c r="CS4183">
        <v>0</v>
      </c>
      <c r="CT4183">
        <v>22.7</v>
      </c>
      <c r="CU4183">
        <v>79</v>
      </c>
      <c r="CV4183">
        <v>0.25</v>
      </c>
      <c r="CW4183">
        <v>25</v>
      </c>
      <c r="CX4183" t="s">
        <v>265</v>
      </c>
    </row>
    <row r="4184" spans="1:102" x14ac:dyDescent="0.3">
      <c r="A4184" t="str">
        <f>HYPERLINK("https://webapp.icbf.com/v2/app/bull-search/view/403243877","BXL")</f>
        <v>BXL</v>
      </c>
      <c r="B4184" t="s">
        <v>14163</v>
      </c>
      <c r="C4184" t="s">
        <v>14164</v>
      </c>
      <c r="D4184" s="1">
        <v>36444</v>
      </c>
      <c r="E4184" t="s">
        <v>92</v>
      </c>
      <c r="F4184">
        <v>100</v>
      </c>
      <c r="G4184" t="s">
        <v>93</v>
      </c>
      <c r="H4184">
        <v>-97.66</v>
      </c>
      <c r="I4184">
        <v>97</v>
      </c>
      <c r="J4184">
        <v>58.29</v>
      </c>
      <c r="K4184">
        <v>99</v>
      </c>
      <c r="L4184">
        <v>-160.46</v>
      </c>
      <c r="M4184">
        <v>94</v>
      </c>
      <c r="N4184">
        <v>5.87</v>
      </c>
      <c r="O4184">
        <v>97</v>
      </c>
      <c r="P4184">
        <v>1.42</v>
      </c>
      <c r="Q4184">
        <v>99</v>
      </c>
      <c r="R4184">
        <v>7.55</v>
      </c>
      <c r="S4184">
        <v>93</v>
      </c>
      <c r="T4184">
        <v>-6.52</v>
      </c>
      <c r="U4184">
        <v>98</v>
      </c>
      <c r="V4184">
        <v>-3.81</v>
      </c>
      <c r="W4184">
        <v>93</v>
      </c>
      <c r="X4184" t="s">
        <v>94</v>
      </c>
      <c r="Y4184" t="s">
        <v>95</v>
      </c>
      <c r="Z4184" t="s">
        <v>96</v>
      </c>
      <c r="AA4184" t="s">
        <v>174</v>
      </c>
      <c r="AB4184" t="s">
        <v>10408</v>
      </c>
      <c r="AC4184">
        <v>725</v>
      </c>
      <c r="AD4184">
        <v>206</v>
      </c>
      <c r="AE4184">
        <v>99</v>
      </c>
      <c r="AF4184">
        <v>302.89</v>
      </c>
      <c r="AG4184">
        <v>5.68</v>
      </c>
      <c r="AH4184">
        <v>12.54</v>
      </c>
      <c r="AI4184">
        <v>-0.1</v>
      </c>
      <c r="AJ4184">
        <v>0.04</v>
      </c>
      <c r="AK4184">
        <v>94</v>
      </c>
      <c r="AL4184">
        <v>700</v>
      </c>
      <c r="AM4184">
        <v>253</v>
      </c>
      <c r="AN4184">
        <v>8.5</v>
      </c>
      <c r="AO4184">
        <v>-4.3</v>
      </c>
      <c r="AP4184">
        <v>1493</v>
      </c>
      <c r="AQ4184">
        <v>1</v>
      </c>
      <c r="AR4184">
        <v>9.81</v>
      </c>
      <c r="AS4184">
        <v>92</v>
      </c>
      <c r="AT4184">
        <v>4</v>
      </c>
      <c r="AU4184">
        <v>98</v>
      </c>
      <c r="AV4184">
        <v>-2.13</v>
      </c>
      <c r="AW4184">
        <v>99</v>
      </c>
      <c r="AX4184">
        <v>-0.09</v>
      </c>
      <c r="AY4184">
        <v>97</v>
      </c>
      <c r="AZ4184">
        <v>5.63</v>
      </c>
      <c r="BA4184">
        <v>90</v>
      </c>
      <c r="BB4184">
        <v>4.4400000000000004</v>
      </c>
      <c r="BC4184">
        <v>90</v>
      </c>
      <c r="BD4184">
        <v>-0.04</v>
      </c>
      <c r="BE4184">
        <v>-0.03</v>
      </c>
      <c r="BF4184">
        <v>-0.05</v>
      </c>
      <c r="BG4184">
        <v>97</v>
      </c>
      <c r="BH4184">
        <v>0.13</v>
      </c>
      <c r="BI4184">
        <v>27.33</v>
      </c>
      <c r="BJ4184">
        <v>133</v>
      </c>
      <c r="BK4184">
        <v>51</v>
      </c>
      <c r="BL4184">
        <v>0.62</v>
      </c>
      <c r="BM4184">
        <v>1.44</v>
      </c>
      <c r="BN4184">
        <v>0.88</v>
      </c>
      <c r="BO4184">
        <v>-0.19</v>
      </c>
      <c r="BP4184">
        <v>-0.96</v>
      </c>
      <c r="BQ4184">
        <v>1.07</v>
      </c>
      <c r="BR4184">
        <v>-1.22</v>
      </c>
      <c r="BS4184">
        <v>-1.73</v>
      </c>
      <c r="BT4184">
        <v>0.56000000000000005</v>
      </c>
      <c r="BU4184">
        <v>1.04</v>
      </c>
      <c r="BV4184">
        <v>1.34</v>
      </c>
      <c r="BW4184">
        <v>1.19</v>
      </c>
      <c r="BX4184">
        <v>0.77</v>
      </c>
      <c r="BY4184">
        <v>3.5</v>
      </c>
      <c r="BZ4184">
        <v>-0.15</v>
      </c>
      <c r="CA4184">
        <v>0.28000000000000003</v>
      </c>
      <c r="CB4184">
        <v>1.1599999999999999</v>
      </c>
      <c r="CC4184">
        <v>-1.59</v>
      </c>
      <c r="CD4184">
        <v>0.78</v>
      </c>
      <c r="CE4184">
        <v>0.03</v>
      </c>
      <c r="CF4184">
        <v>0.09</v>
      </c>
      <c r="CG4184">
        <v>0</v>
      </c>
      <c r="CH4184">
        <v>3.61</v>
      </c>
      <c r="CI4184">
        <v>0</v>
      </c>
      <c r="CJ4184">
        <v>4.9000000000000004</v>
      </c>
      <c r="CK4184">
        <v>99</v>
      </c>
      <c r="CL4184">
        <v>-0.96</v>
      </c>
      <c r="CM4184">
        <v>98</v>
      </c>
      <c r="CN4184">
        <v>-0.24</v>
      </c>
      <c r="CO4184">
        <v>98</v>
      </c>
      <c r="CP4184">
        <v>11.7</v>
      </c>
      <c r="CQ4184">
        <v>98</v>
      </c>
      <c r="CR4184">
        <v>0</v>
      </c>
      <c r="CS4184">
        <v>0</v>
      </c>
      <c r="CT4184">
        <v>22.6</v>
      </c>
      <c r="CU4184">
        <v>98</v>
      </c>
      <c r="CV4184">
        <v>0.26</v>
      </c>
      <c r="CW4184">
        <v>46</v>
      </c>
      <c r="CX4184" t="s">
        <v>105</v>
      </c>
    </row>
    <row r="4185" spans="1:102" x14ac:dyDescent="0.3">
      <c r="A4185" t="str">
        <f>HYPERLINK("https://webapp.icbf.com/v2/app/bull-search/view/297592320","MZO")</f>
        <v>MZO</v>
      </c>
      <c r="B4185" t="s">
        <v>11265</v>
      </c>
      <c r="C4185" t="s">
        <v>3108</v>
      </c>
      <c r="D4185" s="1">
        <v>35370</v>
      </c>
      <c r="E4185" t="s">
        <v>140</v>
      </c>
      <c r="F4185">
        <v>0</v>
      </c>
      <c r="G4185" t="s">
        <v>93</v>
      </c>
      <c r="H4185">
        <v>-97.67</v>
      </c>
      <c r="I4185">
        <v>85</v>
      </c>
      <c r="J4185">
        <v>-43.18</v>
      </c>
      <c r="K4185">
        <v>96</v>
      </c>
      <c r="L4185">
        <v>-48.08</v>
      </c>
      <c r="M4185">
        <v>72</v>
      </c>
      <c r="N4185">
        <v>-30.13</v>
      </c>
      <c r="O4185">
        <v>85</v>
      </c>
      <c r="P4185">
        <v>9.99</v>
      </c>
      <c r="Q4185">
        <v>94</v>
      </c>
      <c r="R4185">
        <v>6.39</v>
      </c>
      <c r="S4185">
        <v>76</v>
      </c>
      <c r="T4185">
        <v>12.27</v>
      </c>
      <c r="U4185">
        <v>91</v>
      </c>
      <c r="V4185">
        <v>-4.93</v>
      </c>
      <c r="W4185">
        <v>78</v>
      </c>
      <c r="X4185" t="s">
        <v>102</v>
      </c>
      <c r="Y4185" t="s">
        <v>95</v>
      </c>
      <c r="Z4185">
        <v>0</v>
      </c>
      <c r="AA4185" t="s">
        <v>295</v>
      </c>
      <c r="AB4185" t="s">
        <v>11266</v>
      </c>
      <c r="AC4185">
        <v>101</v>
      </c>
      <c r="AD4185">
        <v>29</v>
      </c>
      <c r="AE4185">
        <v>96</v>
      </c>
      <c r="AF4185">
        <v>-109.67</v>
      </c>
      <c r="AG4185">
        <v>-6.34</v>
      </c>
      <c r="AH4185">
        <v>-6.78</v>
      </c>
      <c r="AI4185">
        <v>-0.03</v>
      </c>
      <c r="AJ4185">
        <v>-0.05</v>
      </c>
      <c r="AK4185">
        <v>72</v>
      </c>
      <c r="AL4185">
        <v>109</v>
      </c>
      <c r="AM4185">
        <v>41</v>
      </c>
      <c r="AN4185">
        <v>2.2000000000000002</v>
      </c>
      <c r="AO4185">
        <v>-1.64</v>
      </c>
      <c r="AP4185">
        <v>167</v>
      </c>
      <c r="AQ4185">
        <v>7</v>
      </c>
      <c r="AR4185">
        <v>8.5</v>
      </c>
      <c r="AS4185">
        <v>68</v>
      </c>
      <c r="AT4185">
        <v>4.8499999999999996</v>
      </c>
      <c r="AU4185">
        <v>86</v>
      </c>
      <c r="AV4185">
        <v>1.71</v>
      </c>
      <c r="AW4185">
        <v>94</v>
      </c>
      <c r="AX4185">
        <v>0.68</v>
      </c>
      <c r="AY4185">
        <v>86</v>
      </c>
      <c r="AZ4185">
        <v>5.77</v>
      </c>
      <c r="BA4185">
        <v>64</v>
      </c>
      <c r="BB4185">
        <v>4.0599999999999996</v>
      </c>
      <c r="BC4185">
        <v>68</v>
      </c>
      <c r="BD4185">
        <v>0</v>
      </c>
      <c r="BE4185">
        <v>-0.03</v>
      </c>
      <c r="BF4185">
        <v>-0.09</v>
      </c>
      <c r="BG4185">
        <v>85</v>
      </c>
      <c r="BH4185">
        <v>-0.22</v>
      </c>
      <c r="BI4185">
        <v>-9.5299999999999994</v>
      </c>
      <c r="BJ4185">
        <v>0</v>
      </c>
      <c r="BK4185">
        <v>0</v>
      </c>
      <c r="BL4185">
        <v>-0.61</v>
      </c>
      <c r="BM4185">
        <v>4.07</v>
      </c>
      <c r="BN4185">
        <v>-1.38</v>
      </c>
      <c r="BO4185">
        <v>-3.12</v>
      </c>
      <c r="BP4185">
        <v>4.3499999999999996</v>
      </c>
      <c r="BQ4185">
        <v>-1.5</v>
      </c>
      <c r="BR4185">
        <v>-2.5099999999999998</v>
      </c>
      <c r="BS4185">
        <v>-0.23</v>
      </c>
      <c r="BT4185">
        <v>2.5</v>
      </c>
      <c r="BU4185">
        <v>-3.41</v>
      </c>
      <c r="BV4185">
        <v>-3.87</v>
      </c>
      <c r="BW4185">
        <v>-2.88</v>
      </c>
      <c r="BX4185">
        <v>-2.72</v>
      </c>
      <c r="BY4185">
        <v>-1.8</v>
      </c>
      <c r="BZ4185">
        <v>0.97</v>
      </c>
      <c r="CA4185">
        <v>-2.58</v>
      </c>
      <c r="CB4185">
        <v>-3.28</v>
      </c>
      <c r="CC4185">
        <v>-0.44</v>
      </c>
      <c r="CD4185">
        <v>4.18</v>
      </c>
      <c r="CE4185">
        <v>-3.13</v>
      </c>
      <c r="CF4185">
        <v>-0.76</v>
      </c>
      <c r="CG4185">
        <v>0</v>
      </c>
      <c r="CH4185">
        <v>-2.95</v>
      </c>
      <c r="CI4185">
        <v>0</v>
      </c>
      <c r="CJ4185">
        <v>1.1000000000000001</v>
      </c>
      <c r="CK4185">
        <v>95</v>
      </c>
      <c r="CL4185">
        <v>0.17</v>
      </c>
      <c r="CM4185">
        <v>94</v>
      </c>
      <c r="CN4185">
        <v>-0.52</v>
      </c>
      <c r="CO4185">
        <v>94</v>
      </c>
      <c r="CP4185">
        <v>4.2</v>
      </c>
      <c r="CQ4185">
        <v>92</v>
      </c>
      <c r="CR4185">
        <v>0</v>
      </c>
      <c r="CS4185">
        <v>0</v>
      </c>
      <c r="CT4185">
        <v>-2.8</v>
      </c>
      <c r="CU4185">
        <v>91</v>
      </c>
      <c r="CV4185">
        <v>-0.17</v>
      </c>
      <c r="CW4185">
        <v>28</v>
      </c>
      <c r="CX4185" t="s">
        <v>224</v>
      </c>
    </row>
    <row r="4186" spans="1:102" x14ac:dyDescent="0.3">
      <c r="A4186" t="str">
        <f>HYPERLINK("https://webapp.icbf.com/v2/app/bull-search/view/137157624","OVW")</f>
        <v>OVW</v>
      </c>
      <c r="B4186" t="s">
        <v>15372</v>
      </c>
      <c r="C4186" t="s">
        <v>15373</v>
      </c>
      <c r="D4186" s="1">
        <v>35959</v>
      </c>
      <c r="E4186" t="s">
        <v>92</v>
      </c>
      <c r="F4186">
        <v>100</v>
      </c>
      <c r="G4186" t="s">
        <v>93</v>
      </c>
      <c r="H4186">
        <v>-97.69</v>
      </c>
      <c r="I4186">
        <v>94</v>
      </c>
      <c r="J4186">
        <v>-2.25</v>
      </c>
      <c r="K4186">
        <v>99</v>
      </c>
      <c r="L4186">
        <v>-109.9</v>
      </c>
      <c r="M4186">
        <v>92</v>
      </c>
      <c r="N4186">
        <v>15.81</v>
      </c>
      <c r="O4186">
        <v>93</v>
      </c>
      <c r="P4186">
        <v>-13.29</v>
      </c>
      <c r="Q4186">
        <v>97</v>
      </c>
      <c r="R4186">
        <v>11.18</v>
      </c>
      <c r="S4186">
        <v>88</v>
      </c>
      <c r="T4186">
        <v>1.99</v>
      </c>
      <c r="U4186">
        <v>94</v>
      </c>
      <c r="V4186">
        <v>-1.23</v>
      </c>
      <c r="W4186">
        <v>83</v>
      </c>
      <c r="X4186" t="s">
        <v>276</v>
      </c>
      <c r="Y4186" t="s">
        <v>95</v>
      </c>
      <c r="Z4186" t="s">
        <v>96</v>
      </c>
      <c r="AA4186" t="s">
        <v>1325</v>
      </c>
      <c r="AB4186" t="s">
        <v>8860</v>
      </c>
      <c r="AC4186">
        <v>353</v>
      </c>
      <c r="AD4186">
        <v>194</v>
      </c>
      <c r="AE4186">
        <v>99</v>
      </c>
      <c r="AF4186">
        <v>185.1</v>
      </c>
      <c r="AG4186">
        <v>4.0999999999999996</v>
      </c>
      <c r="AH4186">
        <v>1</v>
      </c>
      <c r="AI4186">
        <v>-0.05</v>
      </c>
      <c r="AJ4186">
        <v>-0.09</v>
      </c>
      <c r="AK4186">
        <v>92</v>
      </c>
      <c r="AL4186">
        <v>330</v>
      </c>
      <c r="AM4186">
        <v>163</v>
      </c>
      <c r="AN4186">
        <v>6.31</v>
      </c>
      <c r="AO4186">
        <v>-2.4500000000000002</v>
      </c>
      <c r="AP4186">
        <v>620</v>
      </c>
      <c r="AQ4186">
        <v>0</v>
      </c>
      <c r="AR4186">
        <v>6.23</v>
      </c>
      <c r="AS4186">
        <v>90</v>
      </c>
      <c r="AT4186">
        <v>2.69</v>
      </c>
      <c r="AU4186">
        <v>94</v>
      </c>
      <c r="AV4186">
        <v>-1.79</v>
      </c>
      <c r="AW4186">
        <v>97</v>
      </c>
      <c r="AX4186">
        <v>-0.31</v>
      </c>
      <c r="AY4186">
        <v>93</v>
      </c>
      <c r="AZ4186">
        <v>7.05</v>
      </c>
      <c r="BA4186">
        <v>82</v>
      </c>
      <c r="BB4186">
        <v>5.98</v>
      </c>
      <c r="BC4186">
        <v>82</v>
      </c>
      <c r="BD4186">
        <v>-0.03</v>
      </c>
      <c r="BE4186">
        <v>-0.03</v>
      </c>
      <c r="BF4186">
        <v>-0.15</v>
      </c>
      <c r="BG4186">
        <v>96</v>
      </c>
      <c r="BH4186">
        <v>-0.15</v>
      </c>
      <c r="BI4186">
        <v>-13.38</v>
      </c>
      <c r="BJ4186">
        <v>166</v>
      </c>
      <c r="BK4186">
        <v>82</v>
      </c>
      <c r="BL4186">
        <v>0.74</v>
      </c>
      <c r="BM4186">
        <v>-0.99</v>
      </c>
      <c r="BN4186">
        <v>0.71</v>
      </c>
      <c r="BO4186">
        <v>0.97</v>
      </c>
      <c r="BP4186">
        <v>-0.23</v>
      </c>
      <c r="BQ4186">
        <v>-0.95</v>
      </c>
      <c r="BR4186">
        <v>-2.31</v>
      </c>
      <c r="BS4186">
        <v>2.54</v>
      </c>
      <c r="BT4186">
        <v>1.79</v>
      </c>
      <c r="BU4186">
        <v>1.71</v>
      </c>
      <c r="BV4186">
        <v>0.33</v>
      </c>
      <c r="BW4186">
        <v>0.63</v>
      </c>
      <c r="BX4186">
        <v>1.55</v>
      </c>
      <c r="BY4186">
        <v>0.34</v>
      </c>
      <c r="BZ4186">
        <v>0.03</v>
      </c>
      <c r="CA4186">
        <v>1.42</v>
      </c>
      <c r="CB4186">
        <v>0.79</v>
      </c>
      <c r="CC4186">
        <v>1.98</v>
      </c>
      <c r="CD4186">
        <v>-1.32</v>
      </c>
      <c r="CE4186">
        <v>0.83</v>
      </c>
      <c r="CF4186">
        <v>0.65</v>
      </c>
      <c r="CG4186">
        <v>0</v>
      </c>
      <c r="CH4186">
        <v>0.42</v>
      </c>
      <c r="CI4186">
        <v>0</v>
      </c>
      <c r="CJ4186">
        <v>-3</v>
      </c>
      <c r="CK4186">
        <v>97</v>
      </c>
      <c r="CL4186">
        <v>-0.99</v>
      </c>
      <c r="CM4186">
        <v>97</v>
      </c>
      <c r="CN4186">
        <v>-0.06</v>
      </c>
      <c r="CO4186">
        <v>96</v>
      </c>
      <c r="CP4186">
        <v>2.4</v>
      </c>
      <c r="CQ4186">
        <v>97</v>
      </c>
      <c r="CR4186">
        <v>0</v>
      </c>
      <c r="CS4186">
        <v>0</v>
      </c>
      <c r="CT4186">
        <v>11.1</v>
      </c>
      <c r="CU4186">
        <v>94</v>
      </c>
      <c r="CV4186">
        <v>0.12</v>
      </c>
      <c r="CW4186">
        <v>45</v>
      </c>
      <c r="CX4186" t="s">
        <v>111</v>
      </c>
    </row>
    <row r="4187" spans="1:102" x14ac:dyDescent="0.3">
      <c r="A4187" t="str">
        <f>HYPERLINK("https://webapp.icbf.com/v2/app/bull-search/view/77857477","GAJ")</f>
        <v>GAJ</v>
      </c>
      <c r="B4187" t="s">
        <v>12212</v>
      </c>
      <c r="C4187" t="s">
        <v>12213</v>
      </c>
      <c r="D4187" s="1">
        <v>32946</v>
      </c>
      <c r="E4187" t="s">
        <v>92</v>
      </c>
      <c r="F4187">
        <v>75</v>
      </c>
      <c r="G4187" t="s">
        <v>93</v>
      </c>
      <c r="H4187">
        <v>-97.75</v>
      </c>
      <c r="I4187">
        <v>55</v>
      </c>
      <c r="J4187">
        <v>-54.92</v>
      </c>
      <c r="K4187">
        <v>67</v>
      </c>
      <c r="L4187">
        <v>-40.32</v>
      </c>
      <c r="M4187">
        <v>55</v>
      </c>
      <c r="N4187">
        <v>0.67</v>
      </c>
      <c r="O4187">
        <v>35</v>
      </c>
      <c r="P4187">
        <v>-8.8800000000000008</v>
      </c>
      <c r="Q4187">
        <v>49</v>
      </c>
      <c r="R4187">
        <v>-4.9000000000000004</v>
      </c>
      <c r="S4187">
        <v>57</v>
      </c>
      <c r="T4187">
        <v>15.08</v>
      </c>
      <c r="U4187">
        <v>49</v>
      </c>
      <c r="V4187">
        <v>-4.4800000000000004</v>
      </c>
      <c r="W4187">
        <v>22</v>
      </c>
      <c r="X4187" t="s">
        <v>94</v>
      </c>
      <c r="Y4187" t="s">
        <v>95</v>
      </c>
      <c r="Z4187" t="s">
        <v>96</v>
      </c>
      <c r="AA4187" t="s">
        <v>260</v>
      </c>
      <c r="AB4187" t="s">
        <v>12214</v>
      </c>
      <c r="AC4187">
        <v>15</v>
      </c>
      <c r="AD4187">
        <v>14</v>
      </c>
      <c r="AE4187">
        <v>67</v>
      </c>
      <c r="AF4187">
        <v>-130.9</v>
      </c>
      <c r="AG4187">
        <v>-1.2</v>
      </c>
      <c r="AH4187">
        <v>-10.92</v>
      </c>
      <c r="AI4187">
        <v>7.0000000000000007E-2</v>
      </c>
      <c r="AJ4187">
        <v>-0.11</v>
      </c>
      <c r="AK4187">
        <v>55</v>
      </c>
      <c r="AL4187">
        <v>52</v>
      </c>
      <c r="AM4187">
        <v>38</v>
      </c>
      <c r="AN4187">
        <v>1.06</v>
      </c>
      <c r="AO4187">
        <v>-2.17</v>
      </c>
      <c r="AP4187">
        <v>0</v>
      </c>
      <c r="AQ4187">
        <v>1</v>
      </c>
      <c r="AR4187">
        <v>7.28</v>
      </c>
      <c r="AS4187">
        <v>24</v>
      </c>
      <c r="AT4187">
        <v>3.26</v>
      </c>
      <c r="AU4187">
        <v>33</v>
      </c>
      <c r="AV4187">
        <v>-0.28999999999999998</v>
      </c>
      <c r="AW4187">
        <v>36</v>
      </c>
      <c r="AX4187">
        <v>-0.16</v>
      </c>
      <c r="AY4187">
        <v>52</v>
      </c>
      <c r="AZ4187">
        <v>6.35</v>
      </c>
      <c r="BA4187">
        <v>24</v>
      </c>
      <c r="BB4187">
        <v>5.37</v>
      </c>
      <c r="BC4187">
        <v>31</v>
      </c>
      <c r="BD4187">
        <v>-0.02</v>
      </c>
      <c r="BE4187">
        <v>0.04</v>
      </c>
      <c r="BF4187">
        <v>7.0000000000000007E-2</v>
      </c>
      <c r="BG4187">
        <v>78</v>
      </c>
      <c r="BH4187">
        <v>-0.09</v>
      </c>
      <c r="BI4187">
        <v>4.03</v>
      </c>
      <c r="BJ4187">
        <v>22</v>
      </c>
      <c r="BK4187">
        <v>20</v>
      </c>
      <c r="BL4187">
        <v>-0.96</v>
      </c>
      <c r="BM4187">
        <v>0.54</v>
      </c>
      <c r="BN4187">
        <v>0.49</v>
      </c>
      <c r="BO4187">
        <v>-0.45</v>
      </c>
      <c r="BP4187">
        <v>-1.97</v>
      </c>
      <c r="BQ4187">
        <v>1.33</v>
      </c>
      <c r="BR4187">
        <v>1.76</v>
      </c>
      <c r="BS4187">
        <v>-0.23</v>
      </c>
      <c r="BT4187">
        <v>-1.89</v>
      </c>
      <c r="BU4187">
        <v>-0.24</v>
      </c>
      <c r="BV4187">
        <v>-0.74</v>
      </c>
      <c r="BW4187">
        <v>-1.23</v>
      </c>
      <c r="BX4187">
        <v>-0.86</v>
      </c>
      <c r="BY4187">
        <v>-1.5</v>
      </c>
      <c r="BZ4187">
        <v>-0.26</v>
      </c>
      <c r="CA4187">
        <v>-1.51</v>
      </c>
      <c r="CB4187">
        <v>-1.23</v>
      </c>
      <c r="CC4187">
        <v>-1.52</v>
      </c>
      <c r="CD4187">
        <v>0.77</v>
      </c>
      <c r="CE4187">
        <v>-0.86</v>
      </c>
      <c r="CF4187">
        <v>-0.71</v>
      </c>
      <c r="CG4187">
        <v>0</v>
      </c>
      <c r="CH4187">
        <v>-2.0299999999999998</v>
      </c>
      <c r="CI4187">
        <v>0</v>
      </c>
      <c r="CJ4187">
        <v>-4.3</v>
      </c>
      <c r="CK4187">
        <v>50</v>
      </c>
      <c r="CL4187">
        <v>-0.21</v>
      </c>
      <c r="CM4187">
        <v>47</v>
      </c>
      <c r="CN4187">
        <v>-0.04</v>
      </c>
      <c r="CO4187">
        <v>42</v>
      </c>
      <c r="CP4187">
        <v>-8.3000000000000007</v>
      </c>
      <c r="CQ4187">
        <v>56</v>
      </c>
      <c r="CR4187">
        <v>0</v>
      </c>
      <c r="CS4187">
        <v>0</v>
      </c>
      <c r="CT4187">
        <v>-6.6</v>
      </c>
      <c r="CU4187">
        <v>49</v>
      </c>
      <c r="CV4187">
        <v>0.03</v>
      </c>
      <c r="CW4187">
        <v>13</v>
      </c>
      <c r="CX4187" t="s">
        <v>622</v>
      </c>
    </row>
    <row r="4188" spans="1:102" x14ac:dyDescent="0.3">
      <c r="A4188" t="str">
        <f>HYPERLINK("https://webapp.icbf.com/v2/app/bull-search/view/77854687","PBU")</f>
        <v>PBU</v>
      </c>
      <c r="B4188" t="s">
        <v>10980</v>
      </c>
      <c r="C4188" t="s">
        <v>10981</v>
      </c>
      <c r="D4188" s="1">
        <v>32531</v>
      </c>
      <c r="E4188" t="s">
        <v>92</v>
      </c>
      <c r="F4188">
        <v>100</v>
      </c>
      <c r="G4188" t="s">
        <v>93</v>
      </c>
      <c r="H4188">
        <v>-97.78</v>
      </c>
      <c r="I4188">
        <v>86</v>
      </c>
      <c r="J4188">
        <v>-13.64</v>
      </c>
      <c r="K4188">
        <v>96</v>
      </c>
      <c r="L4188">
        <v>-70.599999999999994</v>
      </c>
      <c r="M4188">
        <v>88</v>
      </c>
      <c r="N4188">
        <v>-8.81</v>
      </c>
      <c r="O4188">
        <v>74</v>
      </c>
      <c r="P4188">
        <v>-0.81</v>
      </c>
      <c r="Q4188">
        <v>81</v>
      </c>
      <c r="R4188">
        <v>-4.38</v>
      </c>
      <c r="S4188">
        <v>79</v>
      </c>
      <c r="T4188">
        <v>5.98</v>
      </c>
      <c r="U4188">
        <v>73</v>
      </c>
      <c r="V4188">
        <v>-5.52</v>
      </c>
      <c r="W4188">
        <v>62</v>
      </c>
      <c r="X4188" t="s">
        <v>558</v>
      </c>
      <c r="Y4188" t="s">
        <v>95</v>
      </c>
      <c r="Z4188" t="s">
        <v>96</v>
      </c>
      <c r="AA4188" t="s">
        <v>166</v>
      </c>
      <c r="AB4188" t="s">
        <v>10982</v>
      </c>
      <c r="AC4188">
        <v>83</v>
      </c>
      <c r="AD4188">
        <v>49</v>
      </c>
      <c r="AE4188">
        <v>96</v>
      </c>
      <c r="AF4188">
        <v>159.35</v>
      </c>
      <c r="AG4188">
        <v>3.76</v>
      </c>
      <c r="AH4188">
        <v>-1.21</v>
      </c>
      <c r="AI4188">
        <v>-0.04</v>
      </c>
      <c r="AJ4188">
        <v>-0.11</v>
      </c>
      <c r="AK4188">
        <v>88</v>
      </c>
      <c r="AL4188">
        <v>98</v>
      </c>
      <c r="AM4188">
        <v>53</v>
      </c>
      <c r="AN4188">
        <v>4.6399999999999997</v>
      </c>
      <c r="AO4188">
        <v>-0.98</v>
      </c>
      <c r="AP4188">
        <v>6</v>
      </c>
      <c r="AQ4188">
        <v>0</v>
      </c>
      <c r="AR4188">
        <v>9.2899999999999991</v>
      </c>
      <c r="AS4188">
        <v>56</v>
      </c>
      <c r="AT4188">
        <v>3.72</v>
      </c>
      <c r="AU4188">
        <v>84</v>
      </c>
      <c r="AV4188">
        <v>-0.28000000000000003</v>
      </c>
      <c r="AW4188">
        <v>76</v>
      </c>
      <c r="AX4188">
        <v>-0.45</v>
      </c>
      <c r="AY4188">
        <v>77</v>
      </c>
      <c r="AZ4188">
        <v>7.16</v>
      </c>
      <c r="BA4188">
        <v>51</v>
      </c>
      <c r="BB4188">
        <v>5.13</v>
      </c>
      <c r="BC4188">
        <v>63</v>
      </c>
      <c r="BD4188">
        <v>0.01</v>
      </c>
      <c r="BE4188">
        <v>0.06</v>
      </c>
      <c r="BF4188">
        <v>-0.03</v>
      </c>
      <c r="BG4188">
        <v>93</v>
      </c>
      <c r="BH4188">
        <v>-0.06</v>
      </c>
      <c r="BI4188">
        <v>10.88</v>
      </c>
      <c r="BJ4188">
        <v>20</v>
      </c>
      <c r="BK4188">
        <v>15</v>
      </c>
      <c r="BL4188">
        <v>0.17</v>
      </c>
      <c r="BM4188">
        <v>-0.66</v>
      </c>
      <c r="BN4188">
        <v>-0.41</v>
      </c>
      <c r="BO4188">
        <v>0.19</v>
      </c>
      <c r="BP4188">
        <v>1.44</v>
      </c>
      <c r="BQ4188">
        <v>-1.1499999999999999</v>
      </c>
      <c r="BR4188">
        <v>1.32</v>
      </c>
      <c r="BS4188">
        <v>-1.44</v>
      </c>
      <c r="BT4188">
        <v>-0.88</v>
      </c>
      <c r="BU4188">
        <v>-0.52</v>
      </c>
      <c r="BV4188">
        <v>-0.41</v>
      </c>
      <c r="BW4188">
        <v>0.43</v>
      </c>
      <c r="BX4188">
        <v>0.17</v>
      </c>
      <c r="BY4188">
        <v>-1.53</v>
      </c>
      <c r="BZ4188">
        <v>2.33</v>
      </c>
      <c r="CA4188">
        <v>-0.63</v>
      </c>
      <c r="CB4188">
        <v>-0.28999999999999998</v>
      </c>
      <c r="CC4188">
        <v>-0.85</v>
      </c>
      <c r="CD4188">
        <v>-0.27</v>
      </c>
      <c r="CE4188">
        <v>0.04</v>
      </c>
      <c r="CF4188">
        <v>0.37</v>
      </c>
      <c r="CG4188">
        <v>0</v>
      </c>
      <c r="CH4188">
        <v>-1.51</v>
      </c>
      <c r="CI4188">
        <v>0</v>
      </c>
      <c r="CJ4188">
        <v>-1.1000000000000001</v>
      </c>
      <c r="CK4188">
        <v>82</v>
      </c>
      <c r="CL4188">
        <v>-0.62</v>
      </c>
      <c r="CM4188">
        <v>79</v>
      </c>
      <c r="CN4188">
        <v>-0.62</v>
      </c>
      <c r="CO4188">
        <v>76</v>
      </c>
      <c r="CP4188">
        <v>-1</v>
      </c>
      <c r="CQ4188">
        <v>85</v>
      </c>
      <c r="CR4188">
        <v>0</v>
      </c>
      <c r="CS4188">
        <v>0</v>
      </c>
      <c r="CT4188">
        <v>5.7</v>
      </c>
      <c r="CU4188">
        <v>73</v>
      </c>
      <c r="CV4188">
        <v>0.08</v>
      </c>
      <c r="CW4188">
        <v>42</v>
      </c>
      <c r="CX4188" t="s">
        <v>543</v>
      </c>
    </row>
    <row r="4189" spans="1:102" x14ac:dyDescent="0.3">
      <c r="A4189" t="str">
        <f>HYPERLINK("https://webapp.icbf.com/v2/app/bull-search/view/77854939","MXA")</f>
        <v>MXA</v>
      </c>
      <c r="B4189" t="s">
        <v>3721</v>
      </c>
      <c r="C4189" t="s">
        <v>3722</v>
      </c>
      <c r="D4189" s="1">
        <v>32294</v>
      </c>
      <c r="E4189" t="s">
        <v>92</v>
      </c>
      <c r="F4189">
        <v>100</v>
      </c>
      <c r="G4189" t="s">
        <v>109</v>
      </c>
      <c r="H4189">
        <v>-97.8</v>
      </c>
      <c r="I4189">
        <v>62</v>
      </c>
      <c r="J4189">
        <v>10.48</v>
      </c>
      <c r="K4189">
        <v>72</v>
      </c>
      <c r="L4189">
        <v>-89.81</v>
      </c>
      <c r="M4189">
        <v>73</v>
      </c>
      <c r="N4189">
        <v>-14.76</v>
      </c>
      <c r="O4189">
        <v>36</v>
      </c>
      <c r="P4189">
        <v>-7.63</v>
      </c>
      <c r="Q4189">
        <v>47</v>
      </c>
      <c r="R4189">
        <v>-9.83</v>
      </c>
      <c r="S4189">
        <v>60</v>
      </c>
      <c r="T4189">
        <v>11.53</v>
      </c>
      <c r="U4189">
        <v>45</v>
      </c>
      <c r="V4189">
        <v>2.2200000000000002</v>
      </c>
      <c r="W4189">
        <v>25</v>
      </c>
      <c r="X4189" t="s">
        <v>110</v>
      </c>
      <c r="Y4189" t="s">
        <v>95</v>
      </c>
      <c r="Z4189" t="s">
        <v>96</v>
      </c>
      <c r="AA4189" t="s">
        <v>128</v>
      </c>
      <c r="AB4189" t="s">
        <v>3723</v>
      </c>
      <c r="AC4189">
        <v>0</v>
      </c>
      <c r="AD4189">
        <v>0</v>
      </c>
      <c r="AE4189">
        <v>72</v>
      </c>
      <c r="AF4189">
        <v>-73.180000000000007</v>
      </c>
      <c r="AG4189">
        <v>8.09</v>
      </c>
      <c r="AH4189">
        <v>-2.2000000000000002</v>
      </c>
      <c r="AI4189">
        <v>0.18</v>
      </c>
      <c r="AJ4189">
        <v>0.01</v>
      </c>
      <c r="AK4189">
        <v>73</v>
      </c>
      <c r="AL4189">
        <v>0</v>
      </c>
      <c r="AM4189">
        <v>0</v>
      </c>
      <c r="AN4189">
        <v>5.05</v>
      </c>
      <c r="AO4189">
        <v>-2.11</v>
      </c>
      <c r="AP4189">
        <v>2</v>
      </c>
      <c r="AQ4189">
        <v>0</v>
      </c>
      <c r="AR4189">
        <v>10.84</v>
      </c>
      <c r="AS4189">
        <v>27</v>
      </c>
      <c r="AT4189">
        <v>4.3499999999999996</v>
      </c>
      <c r="AU4189">
        <v>34</v>
      </c>
      <c r="AV4189">
        <v>-0.63</v>
      </c>
      <c r="AW4189">
        <v>42</v>
      </c>
      <c r="AX4189">
        <v>-0.73</v>
      </c>
      <c r="AY4189">
        <v>42</v>
      </c>
      <c r="AZ4189">
        <v>6.13</v>
      </c>
      <c r="BA4189">
        <v>25</v>
      </c>
      <c r="BB4189">
        <v>4.95</v>
      </c>
      <c r="BC4189">
        <v>28</v>
      </c>
      <c r="BD4189">
        <v>0.03</v>
      </c>
      <c r="BE4189">
        <v>0.04</v>
      </c>
      <c r="BF4189">
        <v>0.1</v>
      </c>
      <c r="BG4189">
        <v>85</v>
      </c>
      <c r="BH4189">
        <v>0.11</v>
      </c>
      <c r="BI4189">
        <v>5.55</v>
      </c>
      <c r="BJ4189">
        <v>0</v>
      </c>
      <c r="BK4189">
        <v>0</v>
      </c>
      <c r="BL4189">
        <v>-0.13</v>
      </c>
      <c r="BM4189">
        <v>-1.26</v>
      </c>
      <c r="BN4189">
        <v>0.43</v>
      </c>
      <c r="BO4189">
        <v>1.19</v>
      </c>
      <c r="BP4189">
        <v>0.28999999999999998</v>
      </c>
      <c r="BQ4189">
        <v>-1.87</v>
      </c>
      <c r="BR4189">
        <v>1.17</v>
      </c>
      <c r="BS4189">
        <v>-0.93</v>
      </c>
      <c r="BT4189">
        <v>0.2</v>
      </c>
      <c r="BU4189">
        <v>-0.89</v>
      </c>
      <c r="BV4189">
        <v>-0.43</v>
      </c>
      <c r="BW4189">
        <v>-0.49</v>
      </c>
      <c r="BX4189">
        <v>-1.06</v>
      </c>
      <c r="BY4189">
        <v>0.14000000000000001</v>
      </c>
      <c r="BZ4189">
        <v>7.0000000000000007E-2</v>
      </c>
      <c r="CA4189">
        <v>-0.11</v>
      </c>
      <c r="CB4189">
        <v>0.1</v>
      </c>
      <c r="CC4189">
        <v>-0.36</v>
      </c>
      <c r="CD4189">
        <v>-2.27</v>
      </c>
      <c r="CE4189">
        <v>0</v>
      </c>
      <c r="CF4189">
        <v>0</v>
      </c>
      <c r="CG4189">
        <v>0</v>
      </c>
      <c r="CH4189">
        <v>0</v>
      </c>
      <c r="CI4189">
        <v>0</v>
      </c>
      <c r="CJ4189">
        <v>-2.1</v>
      </c>
      <c r="CK4189">
        <v>49</v>
      </c>
      <c r="CL4189">
        <v>-0.49</v>
      </c>
      <c r="CM4189">
        <v>46</v>
      </c>
      <c r="CN4189">
        <v>-7.0000000000000007E-2</v>
      </c>
      <c r="CO4189">
        <v>42</v>
      </c>
      <c r="CP4189">
        <v>-3.3</v>
      </c>
      <c r="CQ4189">
        <v>50</v>
      </c>
      <c r="CR4189">
        <v>0</v>
      </c>
      <c r="CS4189">
        <v>0</v>
      </c>
      <c r="CT4189">
        <v>-1.8</v>
      </c>
      <c r="CU4189">
        <v>45</v>
      </c>
      <c r="CV4189">
        <v>0.09</v>
      </c>
      <c r="CW4189">
        <v>13</v>
      </c>
      <c r="CX4189" t="s">
        <v>113</v>
      </c>
    </row>
    <row r="4190" spans="1:102" x14ac:dyDescent="0.3">
      <c r="A4190" t="str">
        <f>HYPERLINK("https://webapp.icbf.com/v2/app/bull-search/view/77853238","TUP")</f>
        <v>TUP</v>
      </c>
      <c r="B4190" t="s">
        <v>3821</v>
      </c>
      <c r="C4190" t="s">
        <v>3822</v>
      </c>
      <c r="D4190" s="1">
        <v>32691</v>
      </c>
      <c r="E4190" t="s">
        <v>92</v>
      </c>
      <c r="F4190">
        <v>88</v>
      </c>
      <c r="G4190" t="s">
        <v>93</v>
      </c>
      <c r="H4190">
        <v>-97.81</v>
      </c>
      <c r="I4190">
        <v>97</v>
      </c>
      <c r="J4190">
        <v>5.51</v>
      </c>
      <c r="K4190">
        <v>99</v>
      </c>
      <c r="L4190">
        <v>-75.62</v>
      </c>
      <c r="M4190">
        <v>96</v>
      </c>
      <c r="N4190">
        <v>0.59</v>
      </c>
      <c r="O4190">
        <v>97</v>
      </c>
      <c r="P4190">
        <v>-13.01</v>
      </c>
      <c r="Q4190">
        <v>99</v>
      </c>
      <c r="R4190">
        <v>-17.829999999999998</v>
      </c>
      <c r="S4190">
        <v>93</v>
      </c>
      <c r="T4190">
        <v>8.57</v>
      </c>
      <c r="U4190">
        <v>99</v>
      </c>
      <c r="V4190">
        <v>-6.02</v>
      </c>
      <c r="W4190">
        <v>91</v>
      </c>
      <c r="X4190" t="s">
        <v>94</v>
      </c>
      <c r="Y4190" t="s">
        <v>95</v>
      </c>
      <c r="Z4190" t="s">
        <v>96</v>
      </c>
      <c r="AA4190" t="s">
        <v>537</v>
      </c>
      <c r="AB4190" t="s">
        <v>3823</v>
      </c>
      <c r="AC4190">
        <v>2836</v>
      </c>
      <c r="AD4190">
        <v>1571</v>
      </c>
      <c r="AE4190">
        <v>99</v>
      </c>
      <c r="AF4190">
        <v>51.42</v>
      </c>
      <c r="AG4190">
        <v>9</v>
      </c>
      <c r="AH4190">
        <v>-1.46</v>
      </c>
      <c r="AI4190">
        <v>0.12</v>
      </c>
      <c r="AJ4190">
        <v>-0.06</v>
      </c>
      <c r="AK4190">
        <v>96</v>
      </c>
      <c r="AL4190">
        <v>4021</v>
      </c>
      <c r="AM4190">
        <v>2262</v>
      </c>
      <c r="AN4190">
        <v>3.39</v>
      </c>
      <c r="AO4190">
        <v>-2.65</v>
      </c>
      <c r="AP4190">
        <v>33</v>
      </c>
      <c r="AQ4190">
        <v>6</v>
      </c>
      <c r="AR4190">
        <v>6.3</v>
      </c>
      <c r="AS4190">
        <v>87</v>
      </c>
      <c r="AT4190">
        <v>3.14</v>
      </c>
      <c r="AU4190">
        <v>97</v>
      </c>
      <c r="AV4190">
        <v>-0.17</v>
      </c>
      <c r="AW4190">
        <v>99</v>
      </c>
      <c r="AX4190">
        <v>-0.04</v>
      </c>
      <c r="AY4190">
        <v>99</v>
      </c>
      <c r="AZ4190">
        <v>6.35</v>
      </c>
      <c r="BA4190">
        <v>88</v>
      </c>
      <c r="BB4190">
        <v>5.81</v>
      </c>
      <c r="BC4190">
        <v>97</v>
      </c>
      <c r="BD4190">
        <v>0.06</v>
      </c>
      <c r="BE4190">
        <v>0.1</v>
      </c>
      <c r="BF4190">
        <v>0.12</v>
      </c>
      <c r="BG4190">
        <v>99</v>
      </c>
      <c r="BH4190">
        <v>-0.05</v>
      </c>
      <c r="BI4190">
        <v>13.62</v>
      </c>
      <c r="BJ4190">
        <v>227</v>
      </c>
      <c r="BK4190">
        <v>164</v>
      </c>
      <c r="BL4190">
        <v>0.37</v>
      </c>
      <c r="BM4190">
        <v>0.68</v>
      </c>
      <c r="BN4190">
        <v>1.55</v>
      </c>
      <c r="BO4190">
        <v>0.23</v>
      </c>
      <c r="BP4190">
        <v>-2.19</v>
      </c>
      <c r="BQ4190">
        <v>0.03</v>
      </c>
      <c r="BR4190">
        <v>1.43</v>
      </c>
      <c r="BS4190">
        <v>-0.62</v>
      </c>
      <c r="BT4190">
        <v>-2.52</v>
      </c>
      <c r="BU4190">
        <v>-1.1399999999999999</v>
      </c>
      <c r="BV4190">
        <v>-0.14000000000000001</v>
      </c>
      <c r="BW4190">
        <v>-0.52</v>
      </c>
      <c r="BX4190">
        <v>-1.96</v>
      </c>
      <c r="BY4190">
        <v>-2.36</v>
      </c>
      <c r="BZ4190">
        <v>1.3</v>
      </c>
      <c r="CA4190">
        <v>-0.93</v>
      </c>
      <c r="CB4190">
        <v>-0.76</v>
      </c>
      <c r="CC4190">
        <v>-0.7</v>
      </c>
      <c r="CD4190">
        <v>0.55000000000000004</v>
      </c>
      <c r="CE4190">
        <v>0.11</v>
      </c>
      <c r="CF4190">
        <v>0.79</v>
      </c>
      <c r="CG4190">
        <v>0</v>
      </c>
      <c r="CH4190">
        <v>-2.21</v>
      </c>
      <c r="CI4190">
        <v>0</v>
      </c>
      <c r="CJ4190">
        <v>-4.2</v>
      </c>
      <c r="CK4190">
        <v>99</v>
      </c>
      <c r="CL4190">
        <v>-0.7</v>
      </c>
      <c r="CM4190">
        <v>99</v>
      </c>
      <c r="CN4190">
        <v>-7.0000000000000007E-2</v>
      </c>
      <c r="CO4190">
        <v>99</v>
      </c>
      <c r="CP4190">
        <v>-5.4</v>
      </c>
      <c r="CQ4190">
        <v>99</v>
      </c>
      <c r="CR4190">
        <v>0</v>
      </c>
      <c r="CS4190">
        <v>0</v>
      </c>
      <c r="CT4190">
        <v>2.2000000000000002</v>
      </c>
      <c r="CU4190">
        <v>99</v>
      </c>
      <c r="CV4190">
        <v>0.14000000000000001</v>
      </c>
      <c r="CW4190">
        <v>46</v>
      </c>
      <c r="CX4190" t="s">
        <v>163</v>
      </c>
    </row>
    <row r="4191" spans="1:102" x14ac:dyDescent="0.3">
      <c r="A4191" t="str">
        <f>HYPERLINK("https://webapp.icbf.com/v2/app/bull-search/view/740354825","CWQ")</f>
        <v>CWQ</v>
      </c>
      <c r="B4191" t="s">
        <v>8261</v>
      </c>
      <c r="C4191" t="s">
        <v>8262</v>
      </c>
      <c r="D4191" s="1">
        <v>38321</v>
      </c>
      <c r="E4191" t="s">
        <v>92</v>
      </c>
      <c r="F4191">
        <v>100</v>
      </c>
      <c r="G4191" t="s">
        <v>109</v>
      </c>
      <c r="H4191">
        <v>-97.82</v>
      </c>
      <c r="I4191">
        <v>69</v>
      </c>
      <c r="J4191">
        <v>58.02</v>
      </c>
      <c r="K4191">
        <v>76</v>
      </c>
      <c r="L4191">
        <v>-126.08</v>
      </c>
      <c r="M4191">
        <v>71</v>
      </c>
      <c r="N4191">
        <v>-30.39</v>
      </c>
      <c r="O4191">
        <v>57</v>
      </c>
      <c r="P4191">
        <v>-6.28</v>
      </c>
      <c r="Q4191">
        <v>67</v>
      </c>
      <c r="R4191">
        <v>-8.36</v>
      </c>
      <c r="S4191">
        <v>62</v>
      </c>
      <c r="T4191">
        <v>18.12</v>
      </c>
      <c r="U4191">
        <v>63</v>
      </c>
      <c r="V4191">
        <v>-2.85</v>
      </c>
      <c r="W4191">
        <v>46</v>
      </c>
      <c r="X4191" t="s">
        <v>276</v>
      </c>
      <c r="Y4191" t="s">
        <v>303</v>
      </c>
      <c r="Z4191" t="s">
        <v>96</v>
      </c>
      <c r="AA4191" t="s">
        <v>2491</v>
      </c>
      <c r="AB4191" t="s">
        <v>8263</v>
      </c>
      <c r="AC4191">
        <v>0</v>
      </c>
      <c r="AD4191">
        <v>0</v>
      </c>
      <c r="AE4191">
        <v>76</v>
      </c>
      <c r="AF4191">
        <v>364.27</v>
      </c>
      <c r="AG4191">
        <v>11.12</v>
      </c>
      <c r="AH4191">
        <v>11.51</v>
      </c>
      <c r="AI4191">
        <v>-0.05</v>
      </c>
      <c r="AJ4191">
        <v>-0.02</v>
      </c>
      <c r="AK4191">
        <v>71</v>
      </c>
      <c r="AL4191">
        <v>0</v>
      </c>
      <c r="AM4191">
        <v>0</v>
      </c>
      <c r="AN4191">
        <v>8.0299999999999994</v>
      </c>
      <c r="AO4191">
        <v>-2.0099999999999998</v>
      </c>
      <c r="AP4191">
        <v>30</v>
      </c>
      <c r="AQ4191">
        <v>0</v>
      </c>
      <c r="AR4191">
        <v>11.84</v>
      </c>
      <c r="AS4191">
        <v>41</v>
      </c>
      <c r="AT4191">
        <v>5.36</v>
      </c>
      <c r="AU4191">
        <v>63</v>
      </c>
      <c r="AV4191">
        <v>-0.46</v>
      </c>
      <c r="AW4191">
        <v>70</v>
      </c>
      <c r="AX4191">
        <v>-0.6</v>
      </c>
      <c r="AY4191">
        <v>46</v>
      </c>
      <c r="AZ4191">
        <v>5.77</v>
      </c>
      <c r="BA4191">
        <v>28</v>
      </c>
      <c r="BB4191">
        <v>4.54</v>
      </c>
      <c r="BC4191">
        <v>32</v>
      </c>
      <c r="BD4191">
        <v>0.02</v>
      </c>
      <c r="BE4191">
        <v>0.01</v>
      </c>
      <c r="BF4191">
        <v>0.14000000000000001</v>
      </c>
      <c r="BG4191">
        <v>86</v>
      </c>
      <c r="BH4191">
        <v>-0.08</v>
      </c>
      <c r="BI4191">
        <v>-0.06</v>
      </c>
      <c r="BJ4191">
        <v>1</v>
      </c>
      <c r="BK4191">
        <v>1</v>
      </c>
      <c r="BL4191">
        <v>0.89</v>
      </c>
      <c r="BM4191">
        <v>0.17</v>
      </c>
      <c r="BN4191">
        <v>-0.23</v>
      </c>
      <c r="BO4191">
        <v>0.5</v>
      </c>
      <c r="BP4191">
        <v>-1.32</v>
      </c>
      <c r="BQ4191">
        <v>0.71</v>
      </c>
      <c r="BR4191">
        <v>-0.4</v>
      </c>
      <c r="BS4191">
        <v>0.06</v>
      </c>
      <c r="BT4191">
        <v>1.28</v>
      </c>
      <c r="BU4191">
        <v>0.3</v>
      </c>
      <c r="BV4191">
        <v>1.18</v>
      </c>
      <c r="BW4191">
        <v>1.69</v>
      </c>
      <c r="BX4191">
        <v>1.06</v>
      </c>
      <c r="BY4191">
        <v>0.4</v>
      </c>
      <c r="BZ4191">
        <v>2.21</v>
      </c>
      <c r="CA4191">
        <v>0.84</v>
      </c>
      <c r="CB4191">
        <v>0.98</v>
      </c>
      <c r="CC4191">
        <v>0.05</v>
      </c>
      <c r="CD4191">
        <v>-0.56999999999999995</v>
      </c>
      <c r="CE4191">
        <v>0.47</v>
      </c>
      <c r="CF4191">
        <v>-0.37</v>
      </c>
      <c r="CG4191">
        <v>0</v>
      </c>
      <c r="CH4191">
        <v>0.55000000000000004</v>
      </c>
      <c r="CI4191">
        <v>0</v>
      </c>
      <c r="CJ4191">
        <v>-1.7</v>
      </c>
      <c r="CK4191">
        <v>70</v>
      </c>
      <c r="CL4191">
        <v>-0.72</v>
      </c>
      <c r="CM4191">
        <v>65</v>
      </c>
      <c r="CN4191">
        <v>-0.37</v>
      </c>
      <c r="CO4191">
        <v>60</v>
      </c>
      <c r="CP4191">
        <v>-5.6</v>
      </c>
      <c r="CQ4191">
        <v>67</v>
      </c>
      <c r="CR4191">
        <v>0</v>
      </c>
      <c r="CS4191">
        <v>0</v>
      </c>
      <c r="CT4191">
        <v>-10.7</v>
      </c>
      <c r="CU4191">
        <v>63</v>
      </c>
      <c r="CV4191">
        <v>0.21</v>
      </c>
      <c r="CW4191">
        <v>19</v>
      </c>
      <c r="CX4191" t="s">
        <v>7121</v>
      </c>
    </row>
    <row r="4192" spans="1:102" x14ac:dyDescent="0.3">
      <c r="A4192" t="str">
        <f>HYPERLINK("https://webapp.icbf.com/v2/app/bull-search/view/77855191","MJB")</f>
        <v>MJB</v>
      </c>
      <c r="B4192" t="s">
        <v>11507</v>
      </c>
      <c r="C4192" t="s">
        <v>11508</v>
      </c>
      <c r="D4192" s="1">
        <v>34335</v>
      </c>
      <c r="E4192" t="s">
        <v>92</v>
      </c>
      <c r="F4192">
        <v>100</v>
      </c>
      <c r="G4192" t="s">
        <v>109</v>
      </c>
      <c r="H4192">
        <v>-97.85</v>
      </c>
      <c r="I4192">
        <v>64</v>
      </c>
      <c r="J4192">
        <v>3.63</v>
      </c>
      <c r="K4192">
        <v>77</v>
      </c>
      <c r="L4192">
        <v>-99.54</v>
      </c>
      <c r="M4192">
        <v>69</v>
      </c>
      <c r="N4192">
        <v>-9.7200000000000006</v>
      </c>
      <c r="O4192">
        <v>49</v>
      </c>
      <c r="P4192">
        <v>0.01</v>
      </c>
      <c r="Q4192">
        <v>46</v>
      </c>
      <c r="R4192">
        <v>-3.64</v>
      </c>
      <c r="S4192">
        <v>58</v>
      </c>
      <c r="T4192">
        <v>9.09</v>
      </c>
      <c r="U4192">
        <v>41</v>
      </c>
      <c r="V4192">
        <v>2.3199999999999998</v>
      </c>
      <c r="W4192">
        <v>29</v>
      </c>
      <c r="X4192" t="s">
        <v>251</v>
      </c>
      <c r="Y4192" t="s">
        <v>95</v>
      </c>
      <c r="Z4192" t="s">
        <v>96</v>
      </c>
      <c r="AA4192" t="s">
        <v>682</v>
      </c>
      <c r="AB4192" t="s">
        <v>11509</v>
      </c>
      <c r="AC4192">
        <v>0</v>
      </c>
      <c r="AD4192">
        <v>0</v>
      </c>
      <c r="AE4192">
        <v>77</v>
      </c>
      <c r="AF4192">
        <v>33.19</v>
      </c>
      <c r="AG4192">
        <v>3.83</v>
      </c>
      <c r="AH4192">
        <v>-0.23</v>
      </c>
      <c r="AI4192">
        <v>0.04</v>
      </c>
      <c r="AJ4192">
        <v>-0.02</v>
      </c>
      <c r="AK4192">
        <v>69</v>
      </c>
      <c r="AL4192">
        <v>0</v>
      </c>
      <c r="AM4192">
        <v>0</v>
      </c>
      <c r="AN4192">
        <v>5.3</v>
      </c>
      <c r="AO4192">
        <v>-2.64</v>
      </c>
      <c r="AP4192">
        <v>2</v>
      </c>
      <c r="AQ4192">
        <v>0</v>
      </c>
      <c r="AR4192">
        <v>7.16</v>
      </c>
      <c r="AS4192">
        <v>33</v>
      </c>
      <c r="AT4192">
        <v>4.12</v>
      </c>
      <c r="AU4192">
        <v>72</v>
      </c>
      <c r="AV4192">
        <v>0.68</v>
      </c>
      <c r="AW4192">
        <v>47</v>
      </c>
      <c r="AX4192">
        <v>-0.28999999999999998</v>
      </c>
      <c r="AY4192">
        <v>40</v>
      </c>
      <c r="AZ4192">
        <v>6.35</v>
      </c>
      <c r="BA4192">
        <v>32</v>
      </c>
      <c r="BB4192">
        <v>4.4000000000000004</v>
      </c>
      <c r="BC4192">
        <v>33</v>
      </c>
      <c r="BD4192">
        <v>0.04</v>
      </c>
      <c r="BE4192">
        <v>0.03</v>
      </c>
      <c r="BF4192">
        <v>-0.04</v>
      </c>
      <c r="BG4192">
        <v>78</v>
      </c>
      <c r="BH4192">
        <v>0.21</v>
      </c>
      <c r="BI4192">
        <v>16.82</v>
      </c>
      <c r="BJ4192">
        <v>3</v>
      </c>
      <c r="BK4192">
        <v>1</v>
      </c>
      <c r="BL4192">
        <v>0.82</v>
      </c>
      <c r="BM4192">
        <v>0.13</v>
      </c>
      <c r="BN4192">
        <v>1.41</v>
      </c>
      <c r="BO4192">
        <v>0.41</v>
      </c>
      <c r="BP4192">
        <v>0.91</v>
      </c>
      <c r="BQ4192">
        <v>0.24</v>
      </c>
      <c r="BR4192">
        <v>-0.28000000000000003</v>
      </c>
      <c r="BS4192">
        <v>0.22</v>
      </c>
      <c r="BT4192">
        <v>0.39</v>
      </c>
      <c r="BU4192">
        <v>0.62</v>
      </c>
      <c r="BV4192">
        <v>-0.02</v>
      </c>
      <c r="BW4192">
        <v>0.64</v>
      </c>
      <c r="BX4192">
        <v>0.74</v>
      </c>
      <c r="BY4192">
        <v>0.79</v>
      </c>
      <c r="BZ4192">
        <v>-0.69</v>
      </c>
      <c r="CA4192">
        <v>0.59</v>
      </c>
      <c r="CB4192">
        <v>0.54</v>
      </c>
      <c r="CC4192">
        <v>0.57999999999999996</v>
      </c>
      <c r="CD4192">
        <v>-0.4</v>
      </c>
      <c r="CE4192">
        <v>0.95</v>
      </c>
      <c r="CF4192">
        <v>0.86</v>
      </c>
      <c r="CG4192">
        <v>0</v>
      </c>
      <c r="CH4192">
        <v>0.7</v>
      </c>
      <c r="CI4192">
        <v>0</v>
      </c>
      <c r="CJ4192">
        <v>-0.7</v>
      </c>
      <c r="CK4192">
        <v>48</v>
      </c>
      <c r="CL4192">
        <v>-0.61</v>
      </c>
      <c r="CM4192">
        <v>44</v>
      </c>
      <c r="CN4192">
        <v>-0.62</v>
      </c>
      <c r="CO4192">
        <v>41</v>
      </c>
      <c r="CP4192">
        <v>0.1</v>
      </c>
      <c r="CQ4192">
        <v>48</v>
      </c>
      <c r="CR4192">
        <v>0</v>
      </c>
      <c r="CS4192">
        <v>0</v>
      </c>
      <c r="CT4192">
        <v>1.5</v>
      </c>
      <c r="CU4192">
        <v>41</v>
      </c>
      <c r="CV4192">
        <v>0.09</v>
      </c>
      <c r="CW4192">
        <v>13</v>
      </c>
      <c r="CX4192" t="s">
        <v>111</v>
      </c>
    </row>
    <row r="4193" spans="1:102" x14ac:dyDescent="0.3">
      <c r="A4193" t="str">
        <f>HYPERLINK("https://webapp.icbf.com/v2/app/bull-search/view/68527345","DCI")</f>
        <v>DCI</v>
      </c>
      <c r="B4193" t="s">
        <v>8534</v>
      </c>
      <c r="C4193" t="s">
        <v>8535</v>
      </c>
      <c r="D4193" s="1">
        <v>35744</v>
      </c>
      <c r="E4193" t="s">
        <v>92</v>
      </c>
      <c r="F4193">
        <v>100</v>
      </c>
      <c r="G4193" t="s">
        <v>93</v>
      </c>
      <c r="H4193">
        <v>-97.89</v>
      </c>
      <c r="I4193">
        <v>92</v>
      </c>
      <c r="J4193">
        <v>41.22</v>
      </c>
      <c r="K4193">
        <v>98</v>
      </c>
      <c r="L4193">
        <v>-161.44999999999999</v>
      </c>
      <c r="M4193">
        <v>91</v>
      </c>
      <c r="N4193">
        <v>4.25</v>
      </c>
      <c r="O4193">
        <v>88</v>
      </c>
      <c r="P4193">
        <v>-0.21</v>
      </c>
      <c r="Q4193">
        <v>93</v>
      </c>
      <c r="R4193">
        <v>1.35</v>
      </c>
      <c r="S4193">
        <v>84</v>
      </c>
      <c r="T4193">
        <v>9.76</v>
      </c>
      <c r="U4193">
        <v>88</v>
      </c>
      <c r="V4193">
        <v>7.19</v>
      </c>
      <c r="W4193">
        <v>77</v>
      </c>
      <c r="X4193" t="s">
        <v>558</v>
      </c>
      <c r="Y4193" t="s">
        <v>95</v>
      </c>
      <c r="Z4193" t="s">
        <v>96</v>
      </c>
      <c r="AA4193" t="s">
        <v>961</v>
      </c>
      <c r="AB4193" t="s">
        <v>8536</v>
      </c>
      <c r="AC4193">
        <v>149</v>
      </c>
      <c r="AD4193">
        <v>67</v>
      </c>
      <c r="AE4193">
        <v>98</v>
      </c>
      <c r="AF4193">
        <v>319.35000000000002</v>
      </c>
      <c r="AG4193">
        <v>8.76</v>
      </c>
      <c r="AH4193">
        <v>8.8000000000000007</v>
      </c>
      <c r="AI4193">
        <v>-0.06</v>
      </c>
      <c r="AJ4193">
        <v>-0.03</v>
      </c>
      <c r="AK4193">
        <v>91</v>
      </c>
      <c r="AL4193">
        <v>129</v>
      </c>
      <c r="AM4193">
        <v>55</v>
      </c>
      <c r="AN4193">
        <v>9.1999999999999993</v>
      </c>
      <c r="AO4193">
        <v>-3.67</v>
      </c>
      <c r="AP4193">
        <v>228</v>
      </c>
      <c r="AQ4193">
        <v>1</v>
      </c>
      <c r="AR4193">
        <v>7.58</v>
      </c>
      <c r="AS4193">
        <v>85</v>
      </c>
      <c r="AT4193">
        <v>3.59</v>
      </c>
      <c r="AU4193">
        <v>92</v>
      </c>
      <c r="AV4193">
        <v>-0.93</v>
      </c>
      <c r="AW4193">
        <v>93</v>
      </c>
      <c r="AX4193">
        <v>0.21</v>
      </c>
      <c r="AY4193">
        <v>84</v>
      </c>
      <c r="AZ4193">
        <v>6.26</v>
      </c>
      <c r="BA4193">
        <v>71</v>
      </c>
      <c r="BB4193">
        <v>4.7300000000000004</v>
      </c>
      <c r="BC4193">
        <v>72</v>
      </c>
      <c r="BD4193">
        <v>-0.03</v>
      </c>
      <c r="BE4193">
        <v>0.01</v>
      </c>
      <c r="BF4193">
        <v>0</v>
      </c>
      <c r="BG4193">
        <v>95</v>
      </c>
      <c r="BH4193">
        <v>0.19</v>
      </c>
      <c r="BI4193">
        <v>-1.23</v>
      </c>
      <c r="BJ4193">
        <v>31</v>
      </c>
      <c r="BK4193">
        <v>13</v>
      </c>
      <c r="BL4193">
        <v>0.48</v>
      </c>
      <c r="BM4193">
        <v>-1.29</v>
      </c>
      <c r="BN4193">
        <v>-0.04</v>
      </c>
      <c r="BO4193">
        <v>1.04</v>
      </c>
      <c r="BP4193">
        <v>0.92</v>
      </c>
      <c r="BQ4193">
        <v>-1.76</v>
      </c>
      <c r="BR4193">
        <v>0.69</v>
      </c>
      <c r="BS4193">
        <v>-0.57999999999999996</v>
      </c>
      <c r="BT4193">
        <v>0.35</v>
      </c>
      <c r="BU4193">
        <v>-0.6</v>
      </c>
      <c r="BV4193">
        <v>0.4</v>
      </c>
      <c r="BW4193">
        <v>0.19</v>
      </c>
      <c r="BX4193">
        <v>0.05</v>
      </c>
      <c r="BY4193">
        <v>-0.74</v>
      </c>
      <c r="BZ4193">
        <v>1.04</v>
      </c>
      <c r="CA4193">
        <v>0.22</v>
      </c>
      <c r="CB4193">
        <v>0.37</v>
      </c>
      <c r="CC4193">
        <v>-0.16</v>
      </c>
      <c r="CD4193">
        <v>-1.62</v>
      </c>
      <c r="CE4193">
        <v>0.7</v>
      </c>
      <c r="CF4193">
        <v>-0.24</v>
      </c>
      <c r="CG4193">
        <v>0</v>
      </c>
      <c r="CH4193">
        <v>-0.85</v>
      </c>
      <c r="CI4193">
        <v>0</v>
      </c>
      <c r="CJ4193">
        <v>1.8</v>
      </c>
      <c r="CK4193">
        <v>94</v>
      </c>
      <c r="CL4193">
        <v>-0.66</v>
      </c>
      <c r="CM4193">
        <v>93</v>
      </c>
      <c r="CN4193">
        <v>-0.44</v>
      </c>
      <c r="CO4193">
        <v>92</v>
      </c>
      <c r="CP4193">
        <v>-6.9</v>
      </c>
      <c r="CQ4193">
        <v>93</v>
      </c>
      <c r="CR4193">
        <v>0</v>
      </c>
      <c r="CS4193">
        <v>0</v>
      </c>
      <c r="CT4193">
        <v>0.6</v>
      </c>
      <c r="CU4193">
        <v>88</v>
      </c>
      <c r="CV4193">
        <v>0.13</v>
      </c>
      <c r="CW4193">
        <v>45</v>
      </c>
      <c r="CX4193" t="s">
        <v>485</v>
      </c>
    </row>
    <row r="4194" spans="1:102" x14ac:dyDescent="0.3">
      <c r="A4194" t="str">
        <f>HYPERLINK("https://webapp.icbf.com/v2/app/bull-search/view/77854327","QGZ")</f>
        <v>QGZ</v>
      </c>
      <c r="B4194" t="s">
        <v>12158</v>
      </c>
      <c r="C4194" t="s">
        <v>2917</v>
      </c>
      <c r="D4194" s="1">
        <v>36355</v>
      </c>
      <c r="E4194" t="s">
        <v>92</v>
      </c>
      <c r="F4194">
        <v>100</v>
      </c>
      <c r="G4194" t="s">
        <v>93</v>
      </c>
      <c r="H4194">
        <v>-97.96</v>
      </c>
      <c r="I4194">
        <v>86</v>
      </c>
      <c r="J4194">
        <v>52.7</v>
      </c>
      <c r="K4194">
        <v>96</v>
      </c>
      <c r="L4194">
        <v>-182.23</v>
      </c>
      <c r="M4194">
        <v>81</v>
      </c>
      <c r="N4194">
        <v>8.49</v>
      </c>
      <c r="O4194">
        <v>81</v>
      </c>
      <c r="P4194">
        <v>3.58</v>
      </c>
      <c r="Q4194">
        <v>86</v>
      </c>
      <c r="R4194">
        <v>0.43</v>
      </c>
      <c r="S4194">
        <v>81</v>
      </c>
      <c r="T4194">
        <v>12.72</v>
      </c>
      <c r="U4194">
        <v>77</v>
      </c>
      <c r="V4194">
        <v>6.35</v>
      </c>
      <c r="W4194">
        <v>75</v>
      </c>
      <c r="X4194" t="s">
        <v>94</v>
      </c>
      <c r="Y4194" t="s">
        <v>95</v>
      </c>
      <c r="Z4194" t="s">
        <v>96</v>
      </c>
      <c r="AA4194" t="s">
        <v>985</v>
      </c>
      <c r="AB4194" t="s">
        <v>12142</v>
      </c>
      <c r="AC4194">
        <v>58</v>
      </c>
      <c r="AD4194">
        <v>44</v>
      </c>
      <c r="AE4194">
        <v>96</v>
      </c>
      <c r="AF4194">
        <v>40.44</v>
      </c>
      <c r="AG4194">
        <v>11.17</v>
      </c>
      <c r="AH4194">
        <v>5.63</v>
      </c>
      <c r="AI4194">
        <v>0.17</v>
      </c>
      <c r="AJ4194">
        <v>7.0000000000000007E-2</v>
      </c>
      <c r="AK4194">
        <v>81</v>
      </c>
      <c r="AL4194">
        <v>48</v>
      </c>
      <c r="AM4194">
        <v>36</v>
      </c>
      <c r="AN4194">
        <v>10.89</v>
      </c>
      <c r="AO4194">
        <v>-3.63</v>
      </c>
      <c r="AP4194">
        <v>48</v>
      </c>
      <c r="AQ4194">
        <v>0</v>
      </c>
      <c r="AR4194">
        <v>8.5299999999999994</v>
      </c>
      <c r="AS4194">
        <v>72</v>
      </c>
      <c r="AT4194">
        <v>3.83</v>
      </c>
      <c r="AU4194">
        <v>82</v>
      </c>
      <c r="AV4194">
        <v>-2.93</v>
      </c>
      <c r="AW4194">
        <v>90</v>
      </c>
      <c r="AX4194">
        <v>-0.02</v>
      </c>
      <c r="AY4194">
        <v>73</v>
      </c>
      <c r="AZ4194">
        <v>7.17</v>
      </c>
      <c r="BA4194">
        <v>65</v>
      </c>
      <c r="BB4194">
        <v>5.83</v>
      </c>
      <c r="BC4194">
        <v>66</v>
      </c>
      <c r="BD4194">
        <v>-0.03</v>
      </c>
      <c r="BE4194">
        <v>0</v>
      </c>
      <c r="BF4194">
        <v>0.04</v>
      </c>
      <c r="BG4194">
        <v>89</v>
      </c>
      <c r="BH4194">
        <v>0.12</v>
      </c>
      <c r="BI4194">
        <v>-6.61</v>
      </c>
      <c r="BJ4194">
        <v>9</v>
      </c>
      <c r="BK4194">
        <v>7</v>
      </c>
      <c r="BL4194">
        <v>0.36</v>
      </c>
      <c r="BM4194">
        <v>1.63</v>
      </c>
      <c r="BN4194">
        <v>0.92</v>
      </c>
      <c r="BO4194">
        <v>0.01</v>
      </c>
      <c r="BP4194">
        <v>-0.85</v>
      </c>
      <c r="BQ4194">
        <v>0.56000000000000005</v>
      </c>
      <c r="BR4194">
        <v>0.43</v>
      </c>
      <c r="BS4194">
        <v>-0.63</v>
      </c>
      <c r="BT4194">
        <v>-0.33</v>
      </c>
      <c r="BU4194">
        <v>1.41</v>
      </c>
      <c r="BV4194">
        <v>1.59</v>
      </c>
      <c r="BW4194">
        <v>0.88</v>
      </c>
      <c r="BX4194">
        <v>1.26</v>
      </c>
      <c r="BY4194">
        <v>0.92</v>
      </c>
      <c r="BZ4194">
        <v>-0.52</v>
      </c>
      <c r="CA4194">
        <v>0.5</v>
      </c>
      <c r="CB4194">
        <v>1.33</v>
      </c>
      <c r="CC4194">
        <v>-0.79</v>
      </c>
      <c r="CD4194">
        <v>-0.23</v>
      </c>
      <c r="CE4194">
        <v>-0.18</v>
      </c>
      <c r="CF4194">
        <v>-0.35</v>
      </c>
      <c r="CG4194">
        <v>0</v>
      </c>
      <c r="CH4194">
        <v>0.41</v>
      </c>
      <c r="CI4194">
        <v>0</v>
      </c>
      <c r="CJ4194">
        <v>4.0999999999999996</v>
      </c>
      <c r="CK4194">
        <v>87</v>
      </c>
      <c r="CL4194">
        <v>-0.71</v>
      </c>
      <c r="CM4194">
        <v>85</v>
      </c>
      <c r="CN4194">
        <v>-0.51</v>
      </c>
      <c r="CO4194">
        <v>83</v>
      </c>
      <c r="CP4194">
        <v>-4.8</v>
      </c>
      <c r="CQ4194">
        <v>86</v>
      </c>
      <c r="CR4194">
        <v>0</v>
      </c>
      <c r="CS4194">
        <v>0</v>
      </c>
      <c r="CT4194">
        <v>-3.4</v>
      </c>
      <c r="CU4194">
        <v>77</v>
      </c>
      <c r="CV4194">
        <v>0.25</v>
      </c>
      <c r="CW4194">
        <v>43</v>
      </c>
      <c r="CX4194" t="s">
        <v>485</v>
      </c>
    </row>
    <row r="4195" spans="1:102" x14ac:dyDescent="0.3">
      <c r="A4195" t="str">
        <f>HYPERLINK("https://webapp.icbf.com/v2/app/bull-search/view/586139658","S668")</f>
        <v>S668</v>
      </c>
      <c r="B4195" t="s">
        <v>7437</v>
      </c>
      <c r="C4195" t="s">
        <v>7438</v>
      </c>
      <c r="D4195" s="1">
        <v>37873</v>
      </c>
      <c r="E4195" t="s">
        <v>92</v>
      </c>
      <c r="F4195">
        <v>100</v>
      </c>
      <c r="G4195" t="s">
        <v>93</v>
      </c>
      <c r="H4195">
        <v>-97.97</v>
      </c>
      <c r="I4195">
        <v>88</v>
      </c>
      <c r="J4195">
        <v>26.01</v>
      </c>
      <c r="K4195">
        <v>96</v>
      </c>
      <c r="L4195">
        <v>-135.47</v>
      </c>
      <c r="M4195">
        <v>89</v>
      </c>
      <c r="N4195">
        <v>33.729999999999997</v>
      </c>
      <c r="O4195">
        <v>76</v>
      </c>
      <c r="P4195">
        <v>-1.67</v>
      </c>
      <c r="Q4195">
        <v>89</v>
      </c>
      <c r="R4195">
        <v>-5.34</v>
      </c>
      <c r="S4195">
        <v>79</v>
      </c>
      <c r="T4195">
        <v>-9.7100000000000009</v>
      </c>
      <c r="U4195">
        <v>81</v>
      </c>
      <c r="V4195">
        <v>-5.52</v>
      </c>
      <c r="W4195">
        <v>64</v>
      </c>
      <c r="X4195" t="s">
        <v>110</v>
      </c>
      <c r="Y4195" t="s">
        <v>1122</v>
      </c>
      <c r="Z4195" t="s">
        <v>96</v>
      </c>
      <c r="AA4195" t="s">
        <v>1246</v>
      </c>
      <c r="AB4195" t="s">
        <v>7439</v>
      </c>
      <c r="AC4195">
        <v>57</v>
      </c>
      <c r="AD4195">
        <v>25</v>
      </c>
      <c r="AE4195">
        <v>96</v>
      </c>
      <c r="AF4195">
        <v>445.74</v>
      </c>
      <c r="AG4195">
        <v>4.34</v>
      </c>
      <c r="AH4195">
        <v>9.7100000000000009</v>
      </c>
      <c r="AI4195">
        <v>-0.21</v>
      </c>
      <c r="AJ4195">
        <v>-0.09</v>
      </c>
      <c r="AK4195">
        <v>89</v>
      </c>
      <c r="AL4195">
        <v>43</v>
      </c>
      <c r="AM4195">
        <v>23</v>
      </c>
      <c r="AN4195">
        <v>7.69</v>
      </c>
      <c r="AO4195">
        <v>-3.11</v>
      </c>
      <c r="AP4195">
        <v>55</v>
      </c>
      <c r="AQ4195">
        <v>0</v>
      </c>
      <c r="AR4195">
        <v>5.97</v>
      </c>
      <c r="AS4195">
        <v>70</v>
      </c>
      <c r="AT4195">
        <v>2.68</v>
      </c>
      <c r="AU4195">
        <v>93</v>
      </c>
      <c r="AV4195">
        <v>-2.94</v>
      </c>
      <c r="AW4195">
        <v>77</v>
      </c>
      <c r="AX4195">
        <v>-0.44</v>
      </c>
      <c r="AY4195">
        <v>76</v>
      </c>
      <c r="AZ4195">
        <v>6.29</v>
      </c>
      <c r="BA4195">
        <v>49</v>
      </c>
      <c r="BB4195">
        <v>4.7</v>
      </c>
      <c r="BC4195">
        <v>49</v>
      </c>
      <c r="BD4195">
        <v>0.01</v>
      </c>
      <c r="BE4195">
        <v>0.04</v>
      </c>
      <c r="BF4195">
        <v>0.03</v>
      </c>
      <c r="BG4195">
        <v>94</v>
      </c>
      <c r="BH4195">
        <v>-0.14000000000000001</v>
      </c>
      <c r="BI4195">
        <v>1.6</v>
      </c>
      <c r="BJ4195">
        <v>32</v>
      </c>
      <c r="BK4195">
        <v>14</v>
      </c>
      <c r="BL4195">
        <v>1.1200000000000001</v>
      </c>
      <c r="BM4195">
        <v>-1.27</v>
      </c>
      <c r="BN4195">
        <v>0.42</v>
      </c>
      <c r="BO4195">
        <v>1.51</v>
      </c>
      <c r="BP4195">
        <v>2.2200000000000002</v>
      </c>
      <c r="BQ4195">
        <v>0.65</v>
      </c>
      <c r="BR4195">
        <v>0.48</v>
      </c>
      <c r="BS4195">
        <v>0.9</v>
      </c>
      <c r="BT4195">
        <v>-0.39</v>
      </c>
      <c r="BU4195">
        <v>1.5</v>
      </c>
      <c r="BV4195">
        <v>1.97</v>
      </c>
      <c r="BW4195">
        <v>2.9</v>
      </c>
      <c r="BX4195">
        <v>0.94</v>
      </c>
      <c r="BY4195">
        <v>3.46</v>
      </c>
      <c r="BZ4195">
        <v>2.4900000000000002</v>
      </c>
      <c r="CA4195">
        <v>1.98</v>
      </c>
      <c r="CB4195">
        <v>2.16</v>
      </c>
      <c r="CC4195">
        <v>0.86</v>
      </c>
      <c r="CD4195">
        <v>-1.46</v>
      </c>
      <c r="CE4195">
        <v>1.69</v>
      </c>
      <c r="CF4195">
        <v>1.23</v>
      </c>
      <c r="CG4195">
        <v>0</v>
      </c>
      <c r="CH4195">
        <v>3.43</v>
      </c>
      <c r="CI4195">
        <v>0</v>
      </c>
      <c r="CJ4195">
        <v>2.8</v>
      </c>
      <c r="CK4195">
        <v>90</v>
      </c>
      <c r="CL4195">
        <v>-1.2</v>
      </c>
      <c r="CM4195">
        <v>88</v>
      </c>
      <c r="CN4195">
        <v>-0.49</v>
      </c>
      <c r="CO4195">
        <v>86</v>
      </c>
      <c r="CP4195">
        <v>7.4</v>
      </c>
      <c r="CQ4195">
        <v>84</v>
      </c>
      <c r="CR4195">
        <v>0</v>
      </c>
      <c r="CS4195">
        <v>0</v>
      </c>
      <c r="CT4195">
        <v>26.9</v>
      </c>
      <c r="CU4195">
        <v>81</v>
      </c>
      <c r="CV4195">
        <v>0.33</v>
      </c>
      <c r="CW4195">
        <v>43</v>
      </c>
      <c r="CX4195" t="s">
        <v>289</v>
      </c>
    </row>
    <row r="4196" spans="1:102" x14ac:dyDescent="0.3">
      <c r="A4196" t="str">
        <f>HYPERLINK("https://webapp.icbf.com/v2/app/bull-search/view/77856613","HTK")</f>
        <v>HTK</v>
      </c>
      <c r="B4196" t="s">
        <v>2519</v>
      </c>
      <c r="C4196" t="s">
        <v>2520</v>
      </c>
      <c r="D4196" s="1">
        <v>34740</v>
      </c>
      <c r="E4196" t="s">
        <v>92</v>
      </c>
      <c r="F4196">
        <v>100</v>
      </c>
      <c r="G4196" t="s">
        <v>93</v>
      </c>
      <c r="H4196">
        <v>-98.13</v>
      </c>
      <c r="I4196">
        <v>63</v>
      </c>
      <c r="J4196">
        <v>1.87</v>
      </c>
      <c r="K4196">
        <v>87</v>
      </c>
      <c r="L4196">
        <v>-74.66</v>
      </c>
      <c r="M4196">
        <v>50</v>
      </c>
      <c r="N4196">
        <v>-3.1</v>
      </c>
      <c r="O4196">
        <v>46</v>
      </c>
      <c r="P4196">
        <v>-17.149999999999999</v>
      </c>
      <c r="Q4196">
        <v>59</v>
      </c>
      <c r="R4196">
        <v>-16.670000000000002</v>
      </c>
      <c r="S4196">
        <v>56</v>
      </c>
      <c r="T4196">
        <v>15.82</v>
      </c>
      <c r="U4196">
        <v>58</v>
      </c>
      <c r="V4196">
        <v>-4.24</v>
      </c>
      <c r="W4196">
        <v>28</v>
      </c>
      <c r="X4196" t="s">
        <v>94</v>
      </c>
      <c r="Y4196" t="s">
        <v>95</v>
      </c>
      <c r="Z4196" t="s">
        <v>96</v>
      </c>
      <c r="AA4196" t="s">
        <v>954</v>
      </c>
      <c r="AB4196" t="s">
        <v>2521</v>
      </c>
      <c r="AC4196">
        <v>32</v>
      </c>
      <c r="AD4196">
        <v>27</v>
      </c>
      <c r="AE4196">
        <v>87</v>
      </c>
      <c r="AF4196">
        <v>250.13</v>
      </c>
      <c r="AG4196">
        <v>-0.86</v>
      </c>
      <c r="AH4196">
        <v>4.45</v>
      </c>
      <c r="AI4196">
        <v>-0.17</v>
      </c>
      <c r="AJ4196">
        <v>-7.0000000000000007E-2</v>
      </c>
      <c r="AK4196">
        <v>50</v>
      </c>
      <c r="AL4196">
        <v>32</v>
      </c>
      <c r="AM4196">
        <v>25</v>
      </c>
      <c r="AN4196">
        <v>3.59</v>
      </c>
      <c r="AO4196">
        <v>-2.37</v>
      </c>
      <c r="AP4196">
        <v>2</v>
      </c>
      <c r="AQ4196">
        <v>0</v>
      </c>
      <c r="AR4196">
        <v>8.3800000000000008</v>
      </c>
      <c r="AS4196">
        <v>28</v>
      </c>
      <c r="AT4196">
        <v>3.59</v>
      </c>
      <c r="AU4196">
        <v>43</v>
      </c>
      <c r="AV4196">
        <v>-0.1</v>
      </c>
      <c r="AW4196">
        <v>52</v>
      </c>
      <c r="AX4196">
        <v>-0.05</v>
      </c>
      <c r="AY4196">
        <v>56</v>
      </c>
      <c r="AZ4196">
        <v>5.84</v>
      </c>
      <c r="BA4196">
        <v>29</v>
      </c>
      <c r="BB4196">
        <v>4.68</v>
      </c>
      <c r="BC4196">
        <v>39</v>
      </c>
      <c r="BD4196">
        <v>0.05</v>
      </c>
      <c r="BE4196">
        <v>0.1</v>
      </c>
      <c r="BF4196">
        <v>0.11</v>
      </c>
      <c r="BG4196">
        <v>68</v>
      </c>
      <c r="BH4196">
        <v>-0.04</v>
      </c>
      <c r="BI4196">
        <v>9.06</v>
      </c>
      <c r="BJ4196">
        <v>12</v>
      </c>
      <c r="BK4196">
        <v>9</v>
      </c>
      <c r="BL4196">
        <v>-0.53</v>
      </c>
      <c r="BM4196">
        <v>2.2400000000000002</v>
      </c>
      <c r="BN4196">
        <v>0.56999999999999995</v>
      </c>
      <c r="BO4196">
        <v>-1.04</v>
      </c>
      <c r="BP4196">
        <v>0.96</v>
      </c>
      <c r="BQ4196">
        <v>0.19</v>
      </c>
      <c r="BR4196">
        <v>0.43</v>
      </c>
      <c r="BS4196">
        <v>-0.16</v>
      </c>
      <c r="BT4196">
        <v>-0.77</v>
      </c>
      <c r="BU4196">
        <v>-0.9</v>
      </c>
      <c r="BV4196">
        <v>0.18</v>
      </c>
      <c r="BW4196">
        <v>0.44</v>
      </c>
      <c r="BX4196">
        <v>-1.1200000000000001</v>
      </c>
      <c r="BY4196">
        <v>0.37</v>
      </c>
      <c r="BZ4196">
        <v>0.09</v>
      </c>
      <c r="CA4196">
        <v>0</v>
      </c>
      <c r="CB4196">
        <v>-0.03</v>
      </c>
      <c r="CC4196">
        <v>0.12</v>
      </c>
      <c r="CD4196">
        <v>1.31</v>
      </c>
      <c r="CE4196">
        <v>-0.53</v>
      </c>
      <c r="CF4196">
        <v>-0.45</v>
      </c>
      <c r="CG4196">
        <v>0</v>
      </c>
      <c r="CH4196">
        <v>0.47</v>
      </c>
      <c r="CI4196">
        <v>0</v>
      </c>
      <c r="CJ4196">
        <v>-9.1</v>
      </c>
      <c r="CK4196">
        <v>60</v>
      </c>
      <c r="CL4196">
        <v>-0.64</v>
      </c>
      <c r="CM4196">
        <v>56</v>
      </c>
      <c r="CN4196">
        <v>-0.31</v>
      </c>
      <c r="CO4196">
        <v>51</v>
      </c>
      <c r="CP4196">
        <v>-10.8</v>
      </c>
      <c r="CQ4196">
        <v>69</v>
      </c>
      <c r="CR4196">
        <v>0</v>
      </c>
      <c r="CS4196">
        <v>0</v>
      </c>
      <c r="CT4196">
        <v>-7.6</v>
      </c>
      <c r="CU4196">
        <v>58</v>
      </c>
      <c r="CV4196">
        <v>0</v>
      </c>
      <c r="CW4196">
        <v>16</v>
      </c>
      <c r="CX4196" t="s">
        <v>111</v>
      </c>
    </row>
    <row r="4197" spans="1:102" x14ac:dyDescent="0.3">
      <c r="A4197" t="str">
        <f>HYPERLINK("https://webapp.icbf.com/v2/app/bull-search/view/221967578","GEY")</f>
        <v>GEY</v>
      </c>
      <c r="B4197" t="s">
        <v>4140</v>
      </c>
      <c r="C4197" t="s">
        <v>4141</v>
      </c>
      <c r="D4197" s="1">
        <v>35927</v>
      </c>
      <c r="E4197" t="s">
        <v>92</v>
      </c>
      <c r="F4197">
        <v>100</v>
      </c>
      <c r="G4197" t="s">
        <v>109</v>
      </c>
      <c r="H4197">
        <v>-98.19</v>
      </c>
      <c r="I4197">
        <v>86</v>
      </c>
      <c r="J4197">
        <v>8.43</v>
      </c>
      <c r="K4197">
        <v>95</v>
      </c>
      <c r="L4197">
        <v>-99.47</v>
      </c>
      <c r="M4197">
        <v>85</v>
      </c>
      <c r="N4197">
        <v>-5.22</v>
      </c>
      <c r="O4197">
        <v>74</v>
      </c>
      <c r="P4197">
        <v>-2.77</v>
      </c>
      <c r="Q4197">
        <v>84</v>
      </c>
      <c r="R4197">
        <v>2.7</v>
      </c>
      <c r="S4197">
        <v>80</v>
      </c>
      <c r="T4197">
        <v>-0.6</v>
      </c>
      <c r="U4197">
        <v>81</v>
      </c>
      <c r="V4197">
        <v>-1.26</v>
      </c>
      <c r="W4197">
        <v>74</v>
      </c>
      <c r="X4197" t="s">
        <v>276</v>
      </c>
      <c r="Y4197" t="s">
        <v>95</v>
      </c>
      <c r="Z4197" t="s">
        <v>96</v>
      </c>
      <c r="AA4197" t="s">
        <v>188</v>
      </c>
      <c r="AB4197" t="s">
        <v>4142</v>
      </c>
      <c r="AC4197">
        <v>40</v>
      </c>
      <c r="AD4197">
        <v>27</v>
      </c>
      <c r="AE4197">
        <v>95</v>
      </c>
      <c r="AF4197">
        <v>80.81</v>
      </c>
      <c r="AG4197">
        <v>4.07</v>
      </c>
      <c r="AH4197">
        <v>1.23</v>
      </c>
      <c r="AI4197">
        <v>0.02</v>
      </c>
      <c r="AJ4197">
        <v>-0.03</v>
      </c>
      <c r="AK4197">
        <v>85</v>
      </c>
      <c r="AL4197">
        <v>31</v>
      </c>
      <c r="AM4197">
        <v>21</v>
      </c>
      <c r="AN4197">
        <v>4.8499999999999996</v>
      </c>
      <c r="AO4197">
        <v>-3.09</v>
      </c>
      <c r="AP4197">
        <v>60</v>
      </c>
      <c r="AQ4197">
        <v>1</v>
      </c>
      <c r="AR4197">
        <v>7.73</v>
      </c>
      <c r="AS4197">
        <v>61</v>
      </c>
      <c r="AT4197">
        <v>4.55</v>
      </c>
      <c r="AU4197">
        <v>82</v>
      </c>
      <c r="AV4197">
        <v>-0.87</v>
      </c>
      <c r="AW4197">
        <v>80</v>
      </c>
      <c r="AX4197">
        <v>-0.84</v>
      </c>
      <c r="AY4197">
        <v>72</v>
      </c>
      <c r="AZ4197">
        <v>6.07</v>
      </c>
      <c r="BA4197">
        <v>53</v>
      </c>
      <c r="BB4197">
        <v>5.12</v>
      </c>
      <c r="BC4197">
        <v>55</v>
      </c>
      <c r="BD4197">
        <v>0</v>
      </c>
      <c r="BE4197">
        <v>0.02</v>
      </c>
      <c r="BF4197">
        <v>-0.1</v>
      </c>
      <c r="BG4197">
        <v>89</v>
      </c>
      <c r="BH4197">
        <v>0.01</v>
      </c>
      <c r="BI4197">
        <v>5.22</v>
      </c>
      <c r="BJ4197">
        <v>4</v>
      </c>
      <c r="BK4197">
        <v>3</v>
      </c>
      <c r="BL4197">
        <v>1.74</v>
      </c>
      <c r="BM4197">
        <v>1.6</v>
      </c>
      <c r="BN4197">
        <v>1.59</v>
      </c>
      <c r="BO4197">
        <v>-0.05</v>
      </c>
      <c r="BP4197">
        <v>0.83</v>
      </c>
      <c r="BQ4197">
        <v>1.1200000000000001</v>
      </c>
      <c r="BR4197">
        <v>-0.04</v>
      </c>
      <c r="BS4197">
        <v>0.23</v>
      </c>
      <c r="BT4197">
        <v>0.97</v>
      </c>
      <c r="BU4197">
        <v>1.92</v>
      </c>
      <c r="BV4197">
        <v>1.45</v>
      </c>
      <c r="BW4197">
        <v>1.05</v>
      </c>
      <c r="BX4197">
        <v>1.8</v>
      </c>
      <c r="BY4197">
        <v>-0.47</v>
      </c>
      <c r="BZ4197">
        <v>1.0900000000000001</v>
      </c>
      <c r="CA4197">
        <v>1.71</v>
      </c>
      <c r="CB4197">
        <v>1.68</v>
      </c>
      <c r="CC4197">
        <v>0.43</v>
      </c>
      <c r="CD4197">
        <v>0.46</v>
      </c>
      <c r="CE4197">
        <v>1.08</v>
      </c>
      <c r="CF4197">
        <v>0.89</v>
      </c>
      <c r="CG4197">
        <v>0</v>
      </c>
      <c r="CH4197">
        <v>0.09</v>
      </c>
      <c r="CI4197">
        <v>0</v>
      </c>
      <c r="CJ4197">
        <v>1.1000000000000001</v>
      </c>
      <c r="CK4197">
        <v>85</v>
      </c>
      <c r="CL4197">
        <v>-1.1200000000000001</v>
      </c>
      <c r="CM4197">
        <v>82</v>
      </c>
      <c r="CN4197">
        <v>-0.55000000000000004</v>
      </c>
      <c r="CO4197">
        <v>80</v>
      </c>
      <c r="CP4197">
        <v>5.5</v>
      </c>
      <c r="CQ4197">
        <v>84</v>
      </c>
      <c r="CR4197">
        <v>0</v>
      </c>
      <c r="CS4197">
        <v>0</v>
      </c>
      <c r="CT4197">
        <v>14.6</v>
      </c>
      <c r="CU4197">
        <v>81</v>
      </c>
      <c r="CV4197">
        <v>0.26</v>
      </c>
      <c r="CW4197">
        <v>42</v>
      </c>
      <c r="CX4197" t="s">
        <v>485</v>
      </c>
    </row>
    <row r="4198" spans="1:102" x14ac:dyDescent="0.3">
      <c r="A4198" t="str">
        <f>HYPERLINK("https://webapp.icbf.com/v2/app/bull-search/view/77854150","RTP")</f>
        <v>RTP</v>
      </c>
      <c r="B4198" t="s">
        <v>8702</v>
      </c>
      <c r="C4198" t="s">
        <v>8703</v>
      </c>
      <c r="D4198" s="1">
        <v>34492</v>
      </c>
      <c r="E4198" t="s">
        <v>92</v>
      </c>
      <c r="F4198">
        <v>100</v>
      </c>
      <c r="G4198" t="s">
        <v>93</v>
      </c>
      <c r="H4198">
        <v>-98.24</v>
      </c>
      <c r="I4198">
        <v>78</v>
      </c>
      <c r="J4198">
        <v>-0.52</v>
      </c>
      <c r="K4198">
        <v>91</v>
      </c>
      <c r="L4198">
        <v>-116.21</v>
      </c>
      <c r="M4198">
        <v>76</v>
      </c>
      <c r="N4198">
        <v>19.32</v>
      </c>
      <c r="O4198">
        <v>63</v>
      </c>
      <c r="P4198">
        <v>1.62</v>
      </c>
      <c r="Q4198">
        <v>82</v>
      </c>
      <c r="R4198">
        <v>-5.05</v>
      </c>
      <c r="S4198">
        <v>64</v>
      </c>
      <c r="T4198">
        <v>5.32</v>
      </c>
      <c r="U4198">
        <v>69</v>
      </c>
      <c r="V4198">
        <v>-2.72</v>
      </c>
      <c r="W4198">
        <v>39</v>
      </c>
      <c r="X4198" t="s">
        <v>251</v>
      </c>
      <c r="Y4198" t="s">
        <v>95</v>
      </c>
      <c r="Z4198" t="s">
        <v>96</v>
      </c>
      <c r="AA4198" t="s">
        <v>8704</v>
      </c>
      <c r="AB4198" t="s">
        <v>8051</v>
      </c>
      <c r="AC4198">
        <v>42</v>
      </c>
      <c r="AD4198">
        <v>22</v>
      </c>
      <c r="AE4198">
        <v>91</v>
      </c>
      <c r="AF4198">
        <v>143.02000000000001</v>
      </c>
      <c r="AG4198">
        <v>-3.22</v>
      </c>
      <c r="AH4198">
        <v>3.24</v>
      </c>
      <c r="AI4198">
        <v>-0.14000000000000001</v>
      </c>
      <c r="AJ4198">
        <v>-0.03</v>
      </c>
      <c r="AK4198">
        <v>76</v>
      </c>
      <c r="AL4198">
        <v>48</v>
      </c>
      <c r="AM4198">
        <v>23</v>
      </c>
      <c r="AN4198">
        <v>5.38</v>
      </c>
      <c r="AO4198">
        <v>-3.9</v>
      </c>
      <c r="AP4198">
        <v>32</v>
      </c>
      <c r="AQ4198">
        <v>0</v>
      </c>
      <c r="AR4198">
        <v>7.23</v>
      </c>
      <c r="AS4198">
        <v>42</v>
      </c>
      <c r="AT4198">
        <v>3.42</v>
      </c>
      <c r="AU4198">
        <v>74</v>
      </c>
      <c r="AV4198">
        <v>-2.1</v>
      </c>
      <c r="AW4198">
        <v>67</v>
      </c>
      <c r="AX4198">
        <v>-0.28999999999999998</v>
      </c>
      <c r="AY4198">
        <v>66</v>
      </c>
      <c r="AZ4198">
        <v>6.04</v>
      </c>
      <c r="BA4198">
        <v>38</v>
      </c>
      <c r="BB4198">
        <v>4.37</v>
      </c>
      <c r="BC4198">
        <v>44</v>
      </c>
      <c r="BD4198">
        <v>0.03</v>
      </c>
      <c r="BE4198">
        <v>0.04</v>
      </c>
      <c r="BF4198">
        <v>-0.01</v>
      </c>
      <c r="BG4198">
        <v>81</v>
      </c>
      <c r="BH4198">
        <v>0.03</v>
      </c>
      <c r="BI4198">
        <v>12.26</v>
      </c>
      <c r="BJ4198">
        <v>6</v>
      </c>
      <c r="BK4198">
        <v>3</v>
      </c>
      <c r="BL4198">
        <v>0.35</v>
      </c>
      <c r="BM4198">
        <v>0.76</v>
      </c>
      <c r="BN4198">
        <v>0.8</v>
      </c>
      <c r="BO4198">
        <v>-0.25</v>
      </c>
      <c r="BP4198">
        <v>-0.88</v>
      </c>
      <c r="BQ4198">
        <v>1.76</v>
      </c>
      <c r="BR4198">
        <v>0.77</v>
      </c>
      <c r="BS4198">
        <v>-1.75</v>
      </c>
      <c r="BT4198">
        <v>-0.72</v>
      </c>
      <c r="BU4198">
        <v>-0.17</v>
      </c>
      <c r="BV4198">
        <v>-0.42</v>
      </c>
      <c r="BW4198">
        <v>0.03</v>
      </c>
      <c r="BX4198">
        <v>0.3</v>
      </c>
      <c r="BY4198">
        <v>-0.05</v>
      </c>
      <c r="BZ4198">
        <v>-0.41</v>
      </c>
      <c r="CA4198">
        <v>-0.86</v>
      </c>
      <c r="CB4198">
        <v>-0.44</v>
      </c>
      <c r="CC4198">
        <v>-1.21</v>
      </c>
      <c r="CD4198">
        <v>0.55000000000000004</v>
      </c>
      <c r="CE4198">
        <v>0.03</v>
      </c>
      <c r="CF4198">
        <v>-0.56000000000000005</v>
      </c>
      <c r="CG4198">
        <v>0</v>
      </c>
      <c r="CH4198">
        <v>0.41</v>
      </c>
      <c r="CI4198">
        <v>0</v>
      </c>
      <c r="CJ4198">
        <v>0.5</v>
      </c>
      <c r="CK4198">
        <v>84</v>
      </c>
      <c r="CL4198">
        <v>-0.61</v>
      </c>
      <c r="CM4198">
        <v>80</v>
      </c>
      <c r="CN4198">
        <v>-0.6</v>
      </c>
      <c r="CO4198">
        <v>78</v>
      </c>
      <c r="CP4198">
        <v>1.3</v>
      </c>
      <c r="CQ4198">
        <v>84</v>
      </c>
      <c r="CR4198">
        <v>0</v>
      </c>
      <c r="CS4198">
        <v>0</v>
      </c>
      <c r="CT4198">
        <v>6.6</v>
      </c>
      <c r="CU4198">
        <v>69</v>
      </c>
      <c r="CV4198">
        <v>0.17</v>
      </c>
      <c r="CW4198">
        <v>23</v>
      </c>
      <c r="CX4198" t="s">
        <v>118</v>
      </c>
    </row>
    <row r="4199" spans="1:102" x14ac:dyDescent="0.3">
      <c r="A4199" t="str">
        <f>HYPERLINK("https://webapp.icbf.com/v2/app/bull-search/view/120554443","AIR")</f>
        <v>AIR</v>
      </c>
      <c r="B4199" t="s">
        <v>12417</v>
      </c>
      <c r="C4199" t="s">
        <v>12418</v>
      </c>
      <c r="D4199" s="1">
        <v>36784</v>
      </c>
      <c r="E4199" t="s">
        <v>92</v>
      </c>
      <c r="F4199">
        <v>100</v>
      </c>
      <c r="G4199" t="s">
        <v>93</v>
      </c>
      <c r="H4199">
        <v>-98.24</v>
      </c>
      <c r="I4199">
        <v>81</v>
      </c>
      <c r="J4199">
        <v>23.11</v>
      </c>
      <c r="K4199">
        <v>96</v>
      </c>
      <c r="L4199">
        <v>-110.62</v>
      </c>
      <c r="M4199">
        <v>66</v>
      </c>
      <c r="N4199">
        <v>-6.19</v>
      </c>
      <c r="O4199">
        <v>83</v>
      </c>
      <c r="P4199">
        <v>-10.23</v>
      </c>
      <c r="Q4199">
        <v>93</v>
      </c>
      <c r="R4199">
        <v>1.31</v>
      </c>
      <c r="S4199">
        <v>70</v>
      </c>
      <c r="T4199">
        <v>8.7899999999999991</v>
      </c>
      <c r="U4199">
        <v>83</v>
      </c>
      <c r="V4199">
        <v>-4.41</v>
      </c>
      <c r="W4199">
        <v>56</v>
      </c>
      <c r="X4199" t="s">
        <v>94</v>
      </c>
      <c r="Y4199" t="s">
        <v>95</v>
      </c>
      <c r="Z4199" t="s">
        <v>96</v>
      </c>
      <c r="AA4199" t="s">
        <v>2570</v>
      </c>
      <c r="AB4199" t="s">
        <v>12419</v>
      </c>
      <c r="AC4199">
        <v>96</v>
      </c>
      <c r="AD4199">
        <v>77</v>
      </c>
      <c r="AE4199">
        <v>96</v>
      </c>
      <c r="AF4199">
        <v>176.27</v>
      </c>
      <c r="AG4199">
        <v>-0.23</v>
      </c>
      <c r="AH4199">
        <v>6.71</v>
      </c>
      <c r="AI4199">
        <v>-0.11</v>
      </c>
      <c r="AJ4199">
        <v>0.01</v>
      </c>
      <c r="AK4199">
        <v>66</v>
      </c>
      <c r="AL4199">
        <v>86</v>
      </c>
      <c r="AM4199">
        <v>67</v>
      </c>
      <c r="AN4199">
        <v>6.92</v>
      </c>
      <c r="AO4199">
        <v>-1.89</v>
      </c>
      <c r="AP4199">
        <v>149</v>
      </c>
      <c r="AQ4199">
        <v>2</v>
      </c>
      <c r="AR4199">
        <v>8.57</v>
      </c>
      <c r="AS4199">
        <v>52</v>
      </c>
      <c r="AT4199">
        <v>4.0999999999999996</v>
      </c>
      <c r="AU4199">
        <v>92</v>
      </c>
      <c r="AV4199">
        <v>-0.32</v>
      </c>
      <c r="AW4199">
        <v>93</v>
      </c>
      <c r="AX4199">
        <v>0.46</v>
      </c>
      <c r="AY4199">
        <v>79</v>
      </c>
      <c r="AZ4199">
        <v>5.23</v>
      </c>
      <c r="BA4199">
        <v>55</v>
      </c>
      <c r="BB4199">
        <v>4.37</v>
      </c>
      <c r="BC4199">
        <v>60</v>
      </c>
      <c r="BD4199">
        <v>0.03</v>
      </c>
      <c r="BE4199">
        <v>0</v>
      </c>
      <c r="BF4199">
        <v>-0.08</v>
      </c>
      <c r="BG4199">
        <v>83</v>
      </c>
      <c r="BH4199">
        <v>-0.02</v>
      </c>
      <c r="BI4199">
        <v>11.92</v>
      </c>
      <c r="BJ4199">
        <v>31</v>
      </c>
      <c r="BK4199">
        <v>18</v>
      </c>
      <c r="BL4199">
        <v>1.26</v>
      </c>
      <c r="BM4199">
        <v>-0.11</v>
      </c>
      <c r="BN4199">
        <v>-0.02</v>
      </c>
      <c r="BO4199">
        <v>0.55000000000000004</v>
      </c>
      <c r="BP4199">
        <v>1.69</v>
      </c>
      <c r="BQ4199">
        <v>-0.28999999999999998</v>
      </c>
      <c r="BR4199">
        <v>-2.29</v>
      </c>
      <c r="BS4199">
        <v>1</v>
      </c>
      <c r="BT4199">
        <v>2.97</v>
      </c>
      <c r="BU4199">
        <v>1.32</v>
      </c>
      <c r="BV4199">
        <v>1.1399999999999999</v>
      </c>
      <c r="BW4199">
        <v>0.75</v>
      </c>
      <c r="BX4199">
        <v>2.2000000000000002</v>
      </c>
      <c r="BY4199">
        <v>-1.1399999999999999</v>
      </c>
      <c r="BZ4199">
        <v>2.25</v>
      </c>
      <c r="CA4199">
        <v>0.97</v>
      </c>
      <c r="CB4199">
        <v>0.33</v>
      </c>
      <c r="CC4199">
        <v>1.69</v>
      </c>
      <c r="CD4199">
        <v>-0.09</v>
      </c>
      <c r="CE4199">
        <v>0.82</v>
      </c>
      <c r="CF4199">
        <v>0.85</v>
      </c>
      <c r="CG4199">
        <v>0</v>
      </c>
      <c r="CH4199">
        <v>-1.41</v>
      </c>
      <c r="CI4199">
        <v>0</v>
      </c>
      <c r="CJ4199">
        <v>-3.8</v>
      </c>
      <c r="CK4199">
        <v>94</v>
      </c>
      <c r="CL4199">
        <v>-0.93</v>
      </c>
      <c r="CM4199">
        <v>93</v>
      </c>
      <c r="CN4199">
        <v>-0.48</v>
      </c>
      <c r="CO4199">
        <v>92</v>
      </c>
      <c r="CP4199">
        <v>-6.7</v>
      </c>
      <c r="CQ4199">
        <v>90</v>
      </c>
      <c r="CR4199">
        <v>0</v>
      </c>
      <c r="CS4199">
        <v>0</v>
      </c>
      <c r="CT4199">
        <v>1.9</v>
      </c>
      <c r="CU4199">
        <v>83</v>
      </c>
      <c r="CV4199">
        <v>0.23</v>
      </c>
      <c r="CW4199">
        <v>27</v>
      </c>
      <c r="CX4199" t="s">
        <v>643</v>
      </c>
    </row>
    <row r="4200" spans="1:102" x14ac:dyDescent="0.3">
      <c r="A4200" t="str">
        <f>HYPERLINK("https://webapp.icbf.com/v2/app/bull-search/view/139828242","SOZ")</f>
        <v>SOZ</v>
      </c>
      <c r="B4200" t="s">
        <v>11623</v>
      </c>
      <c r="C4200" t="s">
        <v>11624</v>
      </c>
      <c r="D4200" s="1">
        <v>36971</v>
      </c>
      <c r="E4200" t="s">
        <v>92</v>
      </c>
      <c r="F4200">
        <v>100</v>
      </c>
      <c r="G4200" t="s">
        <v>93</v>
      </c>
      <c r="H4200">
        <v>-98.37</v>
      </c>
      <c r="I4200">
        <v>84</v>
      </c>
      <c r="J4200">
        <v>27.18</v>
      </c>
      <c r="K4200">
        <v>95</v>
      </c>
      <c r="L4200">
        <v>-106.39</v>
      </c>
      <c r="M4200">
        <v>79</v>
      </c>
      <c r="N4200">
        <v>6.81</v>
      </c>
      <c r="O4200">
        <v>78</v>
      </c>
      <c r="P4200">
        <v>-2.48</v>
      </c>
      <c r="Q4200">
        <v>86</v>
      </c>
      <c r="R4200">
        <v>-21.69</v>
      </c>
      <c r="S4200">
        <v>78</v>
      </c>
      <c r="T4200">
        <v>5.39</v>
      </c>
      <c r="U4200">
        <v>71</v>
      </c>
      <c r="V4200">
        <v>-7.19</v>
      </c>
      <c r="W4200">
        <v>70</v>
      </c>
      <c r="X4200" t="s">
        <v>558</v>
      </c>
      <c r="Y4200" t="s">
        <v>95</v>
      </c>
      <c r="Z4200" t="s">
        <v>96</v>
      </c>
      <c r="AA4200" t="s">
        <v>834</v>
      </c>
      <c r="AB4200" t="s">
        <v>2455</v>
      </c>
      <c r="AC4200">
        <v>40</v>
      </c>
      <c r="AD4200">
        <v>28</v>
      </c>
      <c r="AE4200">
        <v>95</v>
      </c>
      <c r="AF4200">
        <v>201.62</v>
      </c>
      <c r="AG4200">
        <v>6.27</v>
      </c>
      <c r="AH4200">
        <v>5.49</v>
      </c>
      <c r="AI4200">
        <v>-0.03</v>
      </c>
      <c r="AJ4200">
        <v>-0.02</v>
      </c>
      <c r="AK4200">
        <v>79</v>
      </c>
      <c r="AL4200">
        <v>38</v>
      </c>
      <c r="AM4200">
        <v>23</v>
      </c>
      <c r="AN4200">
        <v>4.59</v>
      </c>
      <c r="AO4200">
        <v>-3.91</v>
      </c>
      <c r="AP4200">
        <v>76</v>
      </c>
      <c r="AQ4200">
        <v>0</v>
      </c>
      <c r="AR4200">
        <v>7.46</v>
      </c>
      <c r="AS4200">
        <v>71</v>
      </c>
      <c r="AT4200">
        <v>2.92</v>
      </c>
      <c r="AU4200">
        <v>86</v>
      </c>
      <c r="AV4200">
        <v>-0.48</v>
      </c>
      <c r="AW4200">
        <v>84</v>
      </c>
      <c r="AX4200">
        <v>0.52</v>
      </c>
      <c r="AY4200">
        <v>70</v>
      </c>
      <c r="AZ4200">
        <v>5.89</v>
      </c>
      <c r="BA4200">
        <v>60</v>
      </c>
      <c r="BB4200">
        <v>4.72</v>
      </c>
      <c r="BC4200">
        <v>60</v>
      </c>
      <c r="BD4200">
        <v>0.13</v>
      </c>
      <c r="BE4200">
        <v>0.08</v>
      </c>
      <c r="BF4200">
        <v>0.13</v>
      </c>
      <c r="BG4200">
        <v>87</v>
      </c>
      <c r="BH4200">
        <v>-0.18</v>
      </c>
      <c r="BI4200">
        <v>2.38</v>
      </c>
      <c r="BJ4200">
        <v>11</v>
      </c>
      <c r="BK4200">
        <v>8</v>
      </c>
      <c r="BL4200">
        <v>1.02</v>
      </c>
      <c r="BM4200">
        <v>0.78</v>
      </c>
      <c r="BN4200">
        <v>1.27</v>
      </c>
      <c r="BO4200">
        <v>0.33</v>
      </c>
      <c r="BP4200">
        <v>-1.96</v>
      </c>
      <c r="BQ4200">
        <v>-0.82</v>
      </c>
      <c r="BR4200">
        <v>0.06</v>
      </c>
      <c r="BS4200">
        <v>0.33</v>
      </c>
      <c r="BT4200">
        <v>-0.15</v>
      </c>
      <c r="BU4200">
        <v>0.4</v>
      </c>
      <c r="BV4200">
        <v>-0.6</v>
      </c>
      <c r="BW4200">
        <v>-1.1200000000000001</v>
      </c>
      <c r="BX4200">
        <v>-0.34</v>
      </c>
      <c r="BY4200">
        <v>-0.48</v>
      </c>
      <c r="BZ4200">
        <v>0.49</v>
      </c>
      <c r="CA4200">
        <v>-0.31</v>
      </c>
      <c r="CB4200">
        <v>-0.64</v>
      </c>
      <c r="CC4200">
        <v>0.47</v>
      </c>
      <c r="CD4200">
        <v>-0.28000000000000003</v>
      </c>
      <c r="CE4200">
        <v>0.33</v>
      </c>
      <c r="CF4200">
        <v>0.53</v>
      </c>
      <c r="CG4200">
        <v>0</v>
      </c>
      <c r="CH4200">
        <v>-0.64</v>
      </c>
      <c r="CI4200">
        <v>0</v>
      </c>
      <c r="CJ4200">
        <v>3.3</v>
      </c>
      <c r="CK4200">
        <v>87</v>
      </c>
      <c r="CL4200">
        <v>-0.93</v>
      </c>
      <c r="CM4200">
        <v>85</v>
      </c>
      <c r="CN4200">
        <v>-0.27</v>
      </c>
      <c r="CO4200">
        <v>83</v>
      </c>
      <c r="CP4200">
        <v>-4</v>
      </c>
      <c r="CQ4200">
        <v>81</v>
      </c>
      <c r="CR4200">
        <v>0</v>
      </c>
      <c r="CS4200">
        <v>0</v>
      </c>
      <c r="CT4200">
        <v>6.5</v>
      </c>
      <c r="CU4200">
        <v>71</v>
      </c>
      <c r="CV4200">
        <v>0.35</v>
      </c>
      <c r="CW4200">
        <v>43</v>
      </c>
      <c r="CX4200" t="s">
        <v>1278</v>
      </c>
    </row>
    <row r="4201" spans="1:102" x14ac:dyDescent="0.3">
      <c r="A4201" t="str">
        <f>HYPERLINK("https://webapp.icbf.com/v2/app/bull-search/view/352718307","TUM")</f>
        <v>TUM</v>
      </c>
      <c r="B4201" t="s">
        <v>11824</v>
      </c>
      <c r="C4201" t="s">
        <v>11825</v>
      </c>
      <c r="D4201" s="1">
        <v>36981</v>
      </c>
      <c r="E4201" t="s">
        <v>92</v>
      </c>
      <c r="F4201">
        <v>100</v>
      </c>
      <c r="G4201" t="s">
        <v>93</v>
      </c>
      <c r="H4201">
        <v>-98.67</v>
      </c>
      <c r="I4201">
        <v>93</v>
      </c>
      <c r="J4201">
        <v>30.91</v>
      </c>
      <c r="K4201">
        <v>98</v>
      </c>
      <c r="L4201">
        <v>-59.11</v>
      </c>
      <c r="M4201">
        <v>91</v>
      </c>
      <c r="N4201">
        <v>-56.06</v>
      </c>
      <c r="O4201">
        <v>91</v>
      </c>
      <c r="P4201">
        <v>-5.79</v>
      </c>
      <c r="Q4201">
        <v>95</v>
      </c>
      <c r="R4201">
        <v>6.49</v>
      </c>
      <c r="S4201">
        <v>87</v>
      </c>
      <c r="T4201">
        <v>-16.66</v>
      </c>
      <c r="U4201">
        <v>92</v>
      </c>
      <c r="V4201">
        <v>1.55</v>
      </c>
      <c r="W4201">
        <v>83</v>
      </c>
      <c r="X4201" t="s">
        <v>94</v>
      </c>
      <c r="Y4201" t="s">
        <v>95</v>
      </c>
      <c r="Z4201" t="s">
        <v>96</v>
      </c>
      <c r="AA4201" t="s">
        <v>311</v>
      </c>
      <c r="AB4201" t="s">
        <v>11826</v>
      </c>
      <c r="AC4201">
        <v>213</v>
      </c>
      <c r="AD4201">
        <v>95</v>
      </c>
      <c r="AE4201">
        <v>98</v>
      </c>
      <c r="AF4201">
        <v>94.91</v>
      </c>
      <c r="AG4201">
        <v>3.7</v>
      </c>
      <c r="AH4201">
        <v>5.4</v>
      </c>
      <c r="AI4201">
        <v>0</v>
      </c>
      <c r="AJ4201">
        <v>0.04</v>
      </c>
      <c r="AK4201">
        <v>91</v>
      </c>
      <c r="AL4201">
        <v>188</v>
      </c>
      <c r="AM4201">
        <v>84</v>
      </c>
      <c r="AN4201">
        <v>1.98</v>
      </c>
      <c r="AO4201">
        <v>-2.75</v>
      </c>
      <c r="AP4201">
        <v>505</v>
      </c>
      <c r="AQ4201">
        <v>0</v>
      </c>
      <c r="AR4201">
        <v>12.05</v>
      </c>
      <c r="AS4201">
        <v>86</v>
      </c>
      <c r="AT4201">
        <v>6.24</v>
      </c>
      <c r="AU4201">
        <v>94</v>
      </c>
      <c r="AV4201">
        <v>0.78</v>
      </c>
      <c r="AW4201">
        <v>97</v>
      </c>
      <c r="AX4201">
        <v>0.72</v>
      </c>
      <c r="AY4201">
        <v>90</v>
      </c>
      <c r="AZ4201">
        <v>5.25</v>
      </c>
      <c r="BA4201">
        <v>79</v>
      </c>
      <c r="BB4201">
        <v>4.51</v>
      </c>
      <c r="BC4201">
        <v>76</v>
      </c>
      <c r="BD4201">
        <v>-0.08</v>
      </c>
      <c r="BE4201">
        <v>-0.04</v>
      </c>
      <c r="BF4201">
        <v>0.06</v>
      </c>
      <c r="BG4201">
        <v>93</v>
      </c>
      <c r="BH4201">
        <v>7.0000000000000007E-2</v>
      </c>
      <c r="BI4201">
        <v>3.11</v>
      </c>
      <c r="BJ4201">
        <v>88</v>
      </c>
      <c r="BK4201">
        <v>40</v>
      </c>
      <c r="BL4201">
        <v>1.68</v>
      </c>
      <c r="BM4201">
        <v>-0.89</v>
      </c>
      <c r="BN4201">
        <v>-0.56000000000000005</v>
      </c>
      <c r="BO4201">
        <v>0.43</v>
      </c>
      <c r="BP4201">
        <v>1.93</v>
      </c>
      <c r="BQ4201">
        <v>0.85</v>
      </c>
      <c r="BR4201">
        <v>0.63</v>
      </c>
      <c r="BS4201">
        <v>1.51</v>
      </c>
      <c r="BT4201">
        <v>0.22</v>
      </c>
      <c r="BU4201">
        <v>1.72</v>
      </c>
      <c r="BV4201">
        <v>1.01</v>
      </c>
      <c r="BW4201">
        <v>1.64</v>
      </c>
      <c r="BX4201">
        <v>2.67</v>
      </c>
      <c r="BY4201">
        <v>0.37</v>
      </c>
      <c r="BZ4201">
        <v>0.41</v>
      </c>
      <c r="CA4201">
        <v>1.49</v>
      </c>
      <c r="CB4201">
        <v>1.1499999999999999</v>
      </c>
      <c r="CC4201">
        <v>1.21</v>
      </c>
      <c r="CD4201">
        <v>-0.51</v>
      </c>
      <c r="CE4201">
        <v>0.46</v>
      </c>
      <c r="CF4201">
        <v>1.31</v>
      </c>
      <c r="CG4201">
        <v>0</v>
      </c>
      <c r="CH4201">
        <v>0.22</v>
      </c>
      <c r="CI4201">
        <v>0</v>
      </c>
      <c r="CJ4201">
        <v>-0.6</v>
      </c>
      <c r="CK4201">
        <v>96</v>
      </c>
      <c r="CL4201">
        <v>-1.34</v>
      </c>
      <c r="CM4201">
        <v>95</v>
      </c>
      <c r="CN4201">
        <v>-0.61</v>
      </c>
      <c r="CO4201">
        <v>94</v>
      </c>
      <c r="CP4201">
        <v>11.5</v>
      </c>
      <c r="CQ4201">
        <v>95</v>
      </c>
      <c r="CR4201">
        <v>0</v>
      </c>
      <c r="CS4201">
        <v>0</v>
      </c>
      <c r="CT4201">
        <v>36.299999999999997</v>
      </c>
      <c r="CU4201">
        <v>92</v>
      </c>
      <c r="CV4201">
        <v>0.31</v>
      </c>
      <c r="CW4201">
        <v>45</v>
      </c>
      <c r="CX4201" t="s">
        <v>9705</v>
      </c>
    </row>
    <row r="4202" spans="1:102" x14ac:dyDescent="0.3">
      <c r="A4202" t="str">
        <f>HYPERLINK("https://webapp.icbf.com/v2/app/bull-search/view/68432947","GUF")</f>
        <v>GUF</v>
      </c>
      <c r="B4202" t="s">
        <v>12155</v>
      </c>
      <c r="C4202" t="s">
        <v>4760</v>
      </c>
      <c r="D4202" s="1">
        <v>35947</v>
      </c>
      <c r="E4202" t="s">
        <v>92</v>
      </c>
      <c r="F4202">
        <v>100</v>
      </c>
      <c r="G4202" t="s">
        <v>93</v>
      </c>
      <c r="H4202">
        <v>-98.87</v>
      </c>
      <c r="I4202">
        <v>94</v>
      </c>
      <c r="J4202">
        <v>70.510000000000005</v>
      </c>
      <c r="K4202">
        <v>98</v>
      </c>
      <c r="L4202">
        <v>-156.54</v>
      </c>
      <c r="M4202">
        <v>90</v>
      </c>
      <c r="N4202">
        <v>-11.44</v>
      </c>
      <c r="O4202">
        <v>92</v>
      </c>
      <c r="P4202">
        <v>-17.45</v>
      </c>
      <c r="Q4202">
        <v>97</v>
      </c>
      <c r="R4202">
        <v>0.57999999999999996</v>
      </c>
      <c r="S4202">
        <v>89</v>
      </c>
      <c r="T4202">
        <v>11.53</v>
      </c>
      <c r="U4202">
        <v>94</v>
      </c>
      <c r="V4202">
        <v>3.94</v>
      </c>
      <c r="W4202">
        <v>88</v>
      </c>
      <c r="X4202" t="s">
        <v>251</v>
      </c>
      <c r="Y4202" t="s">
        <v>95</v>
      </c>
      <c r="Z4202" t="s">
        <v>96</v>
      </c>
      <c r="AA4202" t="s">
        <v>1233</v>
      </c>
      <c r="AB4202" t="s">
        <v>3820</v>
      </c>
      <c r="AC4202">
        <v>240</v>
      </c>
      <c r="AD4202">
        <v>137</v>
      </c>
      <c r="AE4202">
        <v>98</v>
      </c>
      <c r="AF4202">
        <v>162.30000000000001</v>
      </c>
      <c r="AG4202">
        <v>12.88</v>
      </c>
      <c r="AH4202">
        <v>9.92</v>
      </c>
      <c r="AI4202">
        <v>0.11</v>
      </c>
      <c r="AJ4202">
        <v>0.08</v>
      </c>
      <c r="AK4202">
        <v>90</v>
      </c>
      <c r="AL4202">
        <v>268</v>
      </c>
      <c r="AM4202">
        <v>135</v>
      </c>
      <c r="AN4202">
        <v>8.0299999999999994</v>
      </c>
      <c r="AO4202">
        <v>-4.46</v>
      </c>
      <c r="AP4202">
        <v>473</v>
      </c>
      <c r="AQ4202">
        <v>6</v>
      </c>
      <c r="AR4202">
        <v>9.7899999999999991</v>
      </c>
      <c r="AS4202">
        <v>84</v>
      </c>
      <c r="AT4202">
        <v>3.87</v>
      </c>
      <c r="AU4202">
        <v>94</v>
      </c>
      <c r="AV4202">
        <v>-1.64</v>
      </c>
      <c r="AW4202">
        <v>97</v>
      </c>
      <c r="AX4202">
        <v>-0.06</v>
      </c>
      <c r="AY4202">
        <v>92</v>
      </c>
      <c r="AZ4202">
        <v>8.9499999999999993</v>
      </c>
      <c r="BA4202">
        <v>80</v>
      </c>
      <c r="BB4202">
        <v>6.23</v>
      </c>
      <c r="BC4202">
        <v>82</v>
      </c>
      <c r="BD4202">
        <v>-0.02</v>
      </c>
      <c r="BE4202">
        <v>0</v>
      </c>
      <c r="BF4202">
        <v>0.02</v>
      </c>
      <c r="BG4202">
        <v>95</v>
      </c>
      <c r="BH4202">
        <v>-0.03</v>
      </c>
      <c r="BI4202">
        <v>-16.170000000000002</v>
      </c>
      <c r="BJ4202">
        <v>18</v>
      </c>
      <c r="BK4202">
        <v>8</v>
      </c>
      <c r="BL4202">
        <v>0.01</v>
      </c>
      <c r="BM4202">
        <v>-1.1499999999999999</v>
      </c>
      <c r="BN4202">
        <v>-0.39</v>
      </c>
      <c r="BO4202">
        <v>0.45</v>
      </c>
      <c r="BP4202">
        <v>-1.37</v>
      </c>
      <c r="BQ4202">
        <v>-1.98</v>
      </c>
      <c r="BR4202">
        <v>-0.81</v>
      </c>
      <c r="BS4202">
        <v>0.59</v>
      </c>
      <c r="BT4202">
        <v>0.39</v>
      </c>
      <c r="BU4202">
        <v>0.85</v>
      </c>
      <c r="BV4202">
        <v>0.92</v>
      </c>
      <c r="BW4202">
        <v>0.16</v>
      </c>
      <c r="BX4202">
        <v>-0.06</v>
      </c>
      <c r="BY4202">
        <v>0.63</v>
      </c>
      <c r="BZ4202">
        <v>1.29</v>
      </c>
      <c r="CA4202">
        <v>0.03</v>
      </c>
      <c r="CB4202">
        <v>0.54</v>
      </c>
      <c r="CC4202">
        <v>0.66</v>
      </c>
      <c r="CD4202">
        <v>-0.55000000000000004</v>
      </c>
      <c r="CE4202">
        <v>0.3</v>
      </c>
      <c r="CF4202">
        <v>-0.98</v>
      </c>
      <c r="CG4202">
        <v>0</v>
      </c>
      <c r="CH4202">
        <v>0.59</v>
      </c>
      <c r="CI4202">
        <v>0</v>
      </c>
      <c r="CJ4202">
        <v>-6.8</v>
      </c>
      <c r="CK4202">
        <v>98</v>
      </c>
      <c r="CL4202">
        <v>-0.68</v>
      </c>
      <c r="CM4202">
        <v>97</v>
      </c>
      <c r="CN4202">
        <v>-0.01</v>
      </c>
      <c r="CO4202">
        <v>97</v>
      </c>
      <c r="CP4202">
        <v>-7.8</v>
      </c>
      <c r="CQ4202">
        <v>96</v>
      </c>
      <c r="CR4202">
        <v>0</v>
      </c>
      <c r="CS4202">
        <v>0</v>
      </c>
      <c r="CT4202">
        <v>-1.8</v>
      </c>
      <c r="CU4202">
        <v>94</v>
      </c>
      <c r="CV4202">
        <v>0.05</v>
      </c>
      <c r="CW4202">
        <v>46</v>
      </c>
      <c r="CX4202" t="s">
        <v>485</v>
      </c>
    </row>
    <row r="4203" spans="1:102" x14ac:dyDescent="0.3">
      <c r="A4203" t="str">
        <f>HYPERLINK("https://webapp.icbf.com/v2/app/bull-search/view/74820852","DPH")</f>
        <v>DPH</v>
      </c>
      <c r="B4203" t="s">
        <v>14808</v>
      </c>
      <c r="C4203" t="s">
        <v>14809</v>
      </c>
      <c r="D4203" s="1">
        <v>32380</v>
      </c>
      <c r="E4203" t="s">
        <v>92</v>
      </c>
      <c r="F4203">
        <v>100</v>
      </c>
      <c r="G4203" t="s">
        <v>109</v>
      </c>
      <c r="H4203">
        <v>-98.95</v>
      </c>
      <c r="I4203">
        <v>68</v>
      </c>
      <c r="J4203">
        <v>-27.8</v>
      </c>
      <c r="K4203">
        <v>82</v>
      </c>
      <c r="L4203">
        <v>-65.349999999999994</v>
      </c>
      <c r="M4203">
        <v>74</v>
      </c>
      <c r="N4203">
        <v>0.34</v>
      </c>
      <c r="O4203">
        <v>47</v>
      </c>
      <c r="P4203">
        <v>-17.420000000000002</v>
      </c>
      <c r="Q4203">
        <v>57</v>
      </c>
      <c r="R4203">
        <v>-12.16</v>
      </c>
      <c r="S4203">
        <v>59</v>
      </c>
      <c r="T4203">
        <v>26.04</v>
      </c>
      <c r="U4203">
        <v>49</v>
      </c>
      <c r="V4203">
        <v>-2.6</v>
      </c>
      <c r="W4203">
        <v>16</v>
      </c>
      <c r="X4203" t="s">
        <v>110</v>
      </c>
      <c r="Y4203" t="s">
        <v>95</v>
      </c>
      <c r="Z4203" t="s">
        <v>96</v>
      </c>
      <c r="AA4203" t="s">
        <v>158</v>
      </c>
      <c r="AB4203" t="s">
        <v>14810</v>
      </c>
      <c r="AC4203">
        <v>0</v>
      </c>
      <c r="AD4203">
        <v>0</v>
      </c>
      <c r="AE4203">
        <v>82</v>
      </c>
      <c r="AF4203">
        <v>-74.38</v>
      </c>
      <c r="AG4203">
        <v>-2.9</v>
      </c>
      <c r="AH4203">
        <v>-4.84</v>
      </c>
      <c r="AI4203">
        <v>0</v>
      </c>
      <c r="AJ4203">
        <v>-0.04</v>
      </c>
      <c r="AK4203">
        <v>74</v>
      </c>
      <c r="AL4203">
        <v>0</v>
      </c>
      <c r="AM4203">
        <v>0</v>
      </c>
      <c r="AN4203">
        <v>4.49</v>
      </c>
      <c r="AO4203">
        <v>-0.71</v>
      </c>
      <c r="AP4203">
        <v>5</v>
      </c>
      <c r="AQ4203">
        <v>1</v>
      </c>
      <c r="AR4203">
        <v>7.35</v>
      </c>
      <c r="AS4203">
        <v>24</v>
      </c>
      <c r="AT4203">
        <v>3.64</v>
      </c>
      <c r="AU4203">
        <v>64</v>
      </c>
      <c r="AV4203">
        <v>-0.43</v>
      </c>
      <c r="AW4203">
        <v>49</v>
      </c>
      <c r="AX4203">
        <v>-0.84</v>
      </c>
      <c r="AY4203">
        <v>47</v>
      </c>
      <c r="AZ4203">
        <v>6.56</v>
      </c>
      <c r="BA4203">
        <v>25</v>
      </c>
      <c r="BB4203">
        <v>5.22</v>
      </c>
      <c r="BC4203">
        <v>30</v>
      </c>
      <c r="BD4203">
        <v>0.04</v>
      </c>
      <c r="BE4203">
        <v>7.0000000000000007E-2</v>
      </c>
      <c r="BF4203">
        <v>0.08</v>
      </c>
      <c r="BG4203">
        <v>86</v>
      </c>
      <c r="BH4203">
        <v>0</v>
      </c>
      <c r="BI4203">
        <v>8.4</v>
      </c>
      <c r="BJ4203">
        <v>0</v>
      </c>
      <c r="BK4203">
        <v>0</v>
      </c>
      <c r="BL4203">
        <v>-0.2</v>
      </c>
      <c r="BM4203">
        <v>-0.44</v>
      </c>
      <c r="BN4203">
        <v>-0.53</v>
      </c>
      <c r="BO4203">
        <v>-0.31</v>
      </c>
      <c r="BP4203">
        <v>-1.95</v>
      </c>
      <c r="BQ4203">
        <v>-1.37</v>
      </c>
      <c r="BR4203">
        <v>0.24</v>
      </c>
      <c r="BS4203">
        <v>-1.2</v>
      </c>
      <c r="BT4203">
        <v>0.84</v>
      </c>
      <c r="BU4203">
        <v>-0.03</v>
      </c>
      <c r="BV4203">
        <v>0.53</v>
      </c>
      <c r="BW4203">
        <v>-0.06</v>
      </c>
      <c r="BX4203">
        <v>-0.04</v>
      </c>
      <c r="BY4203">
        <v>0.39</v>
      </c>
      <c r="BZ4203">
        <v>-1.95</v>
      </c>
      <c r="CA4203">
        <v>-0.52</v>
      </c>
      <c r="CB4203">
        <v>-0.34</v>
      </c>
      <c r="CC4203">
        <v>-0.82</v>
      </c>
      <c r="CD4203">
        <v>0</v>
      </c>
      <c r="CE4203">
        <v>0</v>
      </c>
      <c r="CF4203">
        <v>0</v>
      </c>
      <c r="CG4203">
        <v>0</v>
      </c>
      <c r="CH4203">
        <v>0</v>
      </c>
      <c r="CI4203">
        <v>0</v>
      </c>
      <c r="CJ4203">
        <v>-9.6</v>
      </c>
      <c r="CK4203">
        <v>59</v>
      </c>
      <c r="CL4203">
        <v>-0.72</v>
      </c>
      <c r="CM4203">
        <v>55</v>
      </c>
      <c r="CN4203">
        <v>-0.44</v>
      </c>
      <c r="CO4203">
        <v>50</v>
      </c>
      <c r="CP4203">
        <v>-12.6</v>
      </c>
      <c r="CQ4203">
        <v>62</v>
      </c>
      <c r="CR4203">
        <v>0</v>
      </c>
      <c r="CS4203">
        <v>0</v>
      </c>
      <c r="CT4203">
        <v>-21.4</v>
      </c>
      <c r="CU4203">
        <v>49</v>
      </c>
      <c r="CV4203">
        <v>0.01</v>
      </c>
      <c r="CW4203">
        <v>15</v>
      </c>
      <c r="CX4203" t="s">
        <v>3805</v>
      </c>
    </row>
    <row r="4204" spans="1:102" x14ac:dyDescent="0.3">
      <c r="A4204" t="str">
        <f>HYPERLINK("https://webapp.icbf.com/v2/app/bull-search/view/297553993","NKX")</f>
        <v>NKX</v>
      </c>
      <c r="B4204" t="s">
        <v>3012</v>
      </c>
      <c r="C4204" t="s">
        <v>1997</v>
      </c>
      <c r="D4204" s="1">
        <v>35677</v>
      </c>
      <c r="E4204" t="s">
        <v>140</v>
      </c>
      <c r="F4204">
        <v>0</v>
      </c>
      <c r="G4204" t="s">
        <v>93</v>
      </c>
      <c r="H4204">
        <v>-99.07</v>
      </c>
      <c r="I4204">
        <v>87</v>
      </c>
      <c r="J4204">
        <v>-36.85</v>
      </c>
      <c r="K4204">
        <v>96</v>
      </c>
      <c r="L4204">
        <v>-65.25</v>
      </c>
      <c r="M4204">
        <v>75</v>
      </c>
      <c r="N4204">
        <v>-29.25</v>
      </c>
      <c r="O4204">
        <v>88</v>
      </c>
      <c r="P4204">
        <v>15.34</v>
      </c>
      <c r="Q4204">
        <v>97</v>
      </c>
      <c r="R4204">
        <v>13.27</v>
      </c>
      <c r="S4204">
        <v>78</v>
      </c>
      <c r="T4204">
        <v>7.46</v>
      </c>
      <c r="U4204">
        <v>91</v>
      </c>
      <c r="V4204">
        <v>-3.79</v>
      </c>
      <c r="W4204">
        <v>78</v>
      </c>
      <c r="X4204" t="s">
        <v>102</v>
      </c>
      <c r="Y4204" t="s">
        <v>95</v>
      </c>
      <c r="Z4204">
        <v>0</v>
      </c>
      <c r="AA4204" t="s">
        <v>1296</v>
      </c>
      <c r="AB4204" t="s">
        <v>3013</v>
      </c>
      <c r="AC4204">
        <v>119</v>
      </c>
      <c r="AD4204">
        <v>34</v>
      </c>
      <c r="AE4204">
        <v>96</v>
      </c>
      <c r="AF4204">
        <v>43.39</v>
      </c>
      <c r="AG4204">
        <v>-8.66</v>
      </c>
      <c r="AH4204">
        <v>-2.54</v>
      </c>
      <c r="AI4204">
        <v>-0.17</v>
      </c>
      <c r="AJ4204">
        <v>-7.0000000000000007E-2</v>
      </c>
      <c r="AK4204">
        <v>75</v>
      </c>
      <c r="AL4204">
        <v>153</v>
      </c>
      <c r="AM4204">
        <v>51</v>
      </c>
      <c r="AN4204">
        <v>3.05</v>
      </c>
      <c r="AO4204">
        <v>-2.16</v>
      </c>
      <c r="AP4204">
        <v>268</v>
      </c>
      <c r="AQ4204">
        <v>1</v>
      </c>
      <c r="AR4204">
        <v>7.05</v>
      </c>
      <c r="AS4204">
        <v>85</v>
      </c>
      <c r="AT4204">
        <v>3.54</v>
      </c>
      <c r="AU4204">
        <v>87</v>
      </c>
      <c r="AV4204">
        <v>2.37</v>
      </c>
      <c r="AW4204">
        <v>95</v>
      </c>
      <c r="AX4204">
        <v>0.8</v>
      </c>
      <c r="AY4204">
        <v>89</v>
      </c>
      <c r="AZ4204">
        <v>8.2200000000000006</v>
      </c>
      <c r="BA4204">
        <v>69</v>
      </c>
      <c r="BB4204">
        <v>5.62</v>
      </c>
      <c r="BC4204">
        <v>74</v>
      </c>
      <c r="BD4204">
        <v>0.03</v>
      </c>
      <c r="BE4204">
        <v>-0.05</v>
      </c>
      <c r="BF4204">
        <v>-0.26</v>
      </c>
      <c r="BG4204">
        <v>86</v>
      </c>
      <c r="BH4204">
        <v>-0.23</v>
      </c>
      <c r="BI4204">
        <v>-14.38</v>
      </c>
      <c r="BJ4204">
        <v>1</v>
      </c>
      <c r="BK4204">
        <v>1</v>
      </c>
      <c r="BL4204">
        <v>-0.38</v>
      </c>
      <c r="BM4204">
        <v>2.99</v>
      </c>
      <c r="BN4204">
        <v>-1.63</v>
      </c>
      <c r="BO4204">
        <v>-2.58</v>
      </c>
      <c r="BP4204">
        <v>4.5</v>
      </c>
      <c r="BQ4204">
        <v>-2.5299999999999998</v>
      </c>
      <c r="BR4204">
        <v>-2.31</v>
      </c>
      <c r="BS4204">
        <v>-1.04</v>
      </c>
      <c r="BT4204">
        <v>2.08</v>
      </c>
      <c r="BU4204">
        <v>-3.48</v>
      </c>
      <c r="BV4204">
        <v>-3.85</v>
      </c>
      <c r="BW4204">
        <v>-2.73</v>
      </c>
      <c r="BX4204">
        <v>-2.1800000000000002</v>
      </c>
      <c r="BY4204">
        <v>-2.5499999999999998</v>
      </c>
      <c r="BZ4204">
        <v>0.39</v>
      </c>
      <c r="CA4204">
        <v>-2.61</v>
      </c>
      <c r="CB4204">
        <v>-3.17</v>
      </c>
      <c r="CC4204">
        <v>-0.76</v>
      </c>
      <c r="CD4204">
        <v>3.64</v>
      </c>
      <c r="CE4204">
        <v>-2.4900000000000002</v>
      </c>
      <c r="CF4204">
        <v>-0.56999999999999995</v>
      </c>
      <c r="CG4204">
        <v>0</v>
      </c>
      <c r="CH4204">
        <v>-2.11</v>
      </c>
      <c r="CI4204">
        <v>0</v>
      </c>
      <c r="CJ4204">
        <v>3.7</v>
      </c>
      <c r="CK4204">
        <v>97</v>
      </c>
      <c r="CL4204">
        <v>0.42</v>
      </c>
      <c r="CM4204">
        <v>97</v>
      </c>
      <c r="CN4204">
        <v>-0.39</v>
      </c>
      <c r="CO4204">
        <v>96</v>
      </c>
      <c r="CP4204">
        <v>8.9</v>
      </c>
      <c r="CQ4204">
        <v>94</v>
      </c>
      <c r="CR4204">
        <v>0</v>
      </c>
      <c r="CS4204">
        <v>0</v>
      </c>
      <c r="CT4204">
        <v>3.7</v>
      </c>
      <c r="CU4204">
        <v>91</v>
      </c>
      <c r="CV4204">
        <v>-0.17</v>
      </c>
      <c r="CW4204">
        <v>28</v>
      </c>
      <c r="CX4204" t="s">
        <v>1610</v>
      </c>
    </row>
    <row r="4205" spans="1:102" x14ac:dyDescent="0.3">
      <c r="A4205" t="str">
        <f>HYPERLINK("https://webapp.icbf.com/v2/app/bull-search/view/678702705","S1682")</f>
        <v>S1682</v>
      </c>
      <c r="B4205" t="s">
        <v>8354</v>
      </c>
      <c r="C4205" t="s">
        <v>8355</v>
      </c>
      <c r="D4205" s="1">
        <v>38808</v>
      </c>
      <c r="E4205" t="s">
        <v>92</v>
      </c>
      <c r="F4205">
        <v>100</v>
      </c>
      <c r="G4205" t="s">
        <v>109</v>
      </c>
      <c r="H4205">
        <v>-99.1</v>
      </c>
      <c r="I4205">
        <v>64</v>
      </c>
      <c r="J4205">
        <v>13.1</v>
      </c>
      <c r="K4205">
        <v>84</v>
      </c>
      <c r="L4205">
        <v>-99.17</v>
      </c>
      <c r="M4205">
        <v>81</v>
      </c>
      <c r="N4205">
        <v>-12.05</v>
      </c>
      <c r="O4205">
        <v>37</v>
      </c>
      <c r="P4205">
        <v>-2.99</v>
      </c>
      <c r="Q4205">
        <v>22</v>
      </c>
      <c r="R4205">
        <v>-1.36</v>
      </c>
      <c r="S4205">
        <v>56</v>
      </c>
      <c r="T4205">
        <v>3.02</v>
      </c>
      <c r="U4205">
        <v>22</v>
      </c>
      <c r="V4205">
        <v>0.35</v>
      </c>
      <c r="W4205">
        <v>14</v>
      </c>
      <c r="X4205" t="s">
        <v>94</v>
      </c>
      <c r="Y4205" t="s">
        <v>362</v>
      </c>
      <c r="Z4205" t="s">
        <v>96</v>
      </c>
      <c r="AA4205" t="s">
        <v>5310</v>
      </c>
      <c r="AB4205" t="s">
        <v>8356</v>
      </c>
      <c r="AC4205">
        <v>0</v>
      </c>
      <c r="AD4205">
        <v>0</v>
      </c>
      <c r="AE4205">
        <v>84</v>
      </c>
      <c r="AF4205">
        <v>512.76</v>
      </c>
      <c r="AG4205">
        <v>6.01</v>
      </c>
      <c r="AH4205">
        <v>7.95</v>
      </c>
      <c r="AI4205">
        <v>-0.21</v>
      </c>
      <c r="AJ4205">
        <v>-0.15</v>
      </c>
      <c r="AK4205">
        <v>81</v>
      </c>
      <c r="AL4205">
        <v>0</v>
      </c>
      <c r="AM4205">
        <v>0</v>
      </c>
      <c r="AN4205">
        <v>6.85</v>
      </c>
      <c r="AO4205">
        <v>-1.04</v>
      </c>
      <c r="AP4205">
        <v>11</v>
      </c>
      <c r="AQ4205">
        <v>0</v>
      </c>
      <c r="AR4205">
        <v>9.85</v>
      </c>
      <c r="AS4205">
        <v>34</v>
      </c>
      <c r="AT4205">
        <v>4.1399999999999997</v>
      </c>
      <c r="AU4205">
        <v>89</v>
      </c>
      <c r="AV4205">
        <v>-0.95</v>
      </c>
      <c r="AW4205">
        <v>18</v>
      </c>
      <c r="AX4205">
        <v>0.25</v>
      </c>
      <c r="AY4205">
        <v>26</v>
      </c>
      <c r="AZ4205">
        <v>6.68</v>
      </c>
      <c r="BA4205">
        <v>20</v>
      </c>
      <c r="BB4205">
        <v>5.38</v>
      </c>
      <c r="BC4205">
        <v>16</v>
      </c>
      <c r="BD4205">
        <v>0.02</v>
      </c>
      <c r="BE4205">
        <v>0.02</v>
      </c>
      <c r="BF4205">
        <v>-0.04</v>
      </c>
      <c r="BG4205">
        <v>90</v>
      </c>
      <c r="BH4205">
        <v>0.06</v>
      </c>
      <c r="BI4205">
        <v>5.82</v>
      </c>
      <c r="BJ4205">
        <v>0</v>
      </c>
      <c r="BK4205">
        <v>0</v>
      </c>
      <c r="BL4205">
        <v>1.91</v>
      </c>
      <c r="BM4205">
        <v>0.37</v>
      </c>
      <c r="BN4205">
        <v>1.1000000000000001</v>
      </c>
      <c r="BO4205">
        <v>1.25</v>
      </c>
      <c r="BP4205">
        <v>1.23</v>
      </c>
      <c r="BQ4205">
        <v>2.76</v>
      </c>
      <c r="BR4205">
        <v>-3.84</v>
      </c>
      <c r="BS4205">
        <v>0.93</v>
      </c>
      <c r="BT4205">
        <v>4.57</v>
      </c>
      <c r="BU4205">
        <v>2.74</v>
      </c>
      <c r="BV4205">
        <v>2.39</v>
      </c>
      <c r="BW4205">
        <v>0.86</v>
      </c>
      <c r="BX4205">
        <v>2.2799999999999998</v>
      </c>
      <c r="BY4205">
        <v>0.56999999999999995</v>
      </c>
      <c r="BZ4205">
        <v>-1.47</v>
      </c>
      <c r="CA4205">
        <v>1.67</v>
      </c>
      <c r="CB4205">
        <v>1.8</v>
      </c>
      <c r="CC4205">
        <v>0.76</v>
      </c>
      <c r="CD4205">
        <v>-0.25</v>
      </c>
      <c r="CE4205">
        <v>0</v>
      </c>
      <c r="CF4205">
        <v>0</v>
      </c>
      <c r="CG4205">
        <v>0</v>
      </c>
      <c r="CH4205">
        <v>0</v>
      </c>
      <c r="CI4205">
        <v>0</v>
      </c>
      <c r="CJ4205">
        <v>0.7</v>
      </c>
      <c r="CK4205">
        <v>23</v>
      </c>
      <c r="CL4205">
        <v>-0.98</v>
      </c>
      <c r="CM4205">
        <v>21</v>
      </c>
      <c r="CN4205">
        <v>-0.53</v>
      </c>
      <c r="CO4205">
        <v>18</v>
      </c>
      <c r="CP4205">
        <v>-0.3</v>
      </c>
      <c r="CQ4205">
        <v>27</v>
      </c>
      <c r="CR4205">
        <v>0</v>
      </c>
      <c r="CS4205">
        <v>0</v>
      </c>
      <c r="CT4205">
        <v>9.6999999999999993</v>
      </c>
      <c r="CU4205">
        <v>22</v>
      </c>
      <c r="CV4205">
        <v>0.31</v>
      </c>
      <c r="CW4205">
        <v>6</v>
      </c>
      <c r="CX4205" t="s">
        <v>1752</v>
      </c>
    </row>
    <row r="4206" spans="1:102" x14ac:dyDescent="0.3">
      <c r="A4206" t="str">
        <f>HYPERLINK("https://webapp.icbf.com/v2/app/bull-search/view/760401035","S1197")</f>
        <v>S1197</v>
      </c>
      <c r="B4206" t="s">
        <v>5497</v>
      </c>
      <c r="C4206" t="s">
        <v>5498</v>
      </c>
      <c r="D4206" s="1">
        <v>39699</v>
      </c>
      <c r="E4206" t="s">
        <v>92</v>
      </c>
      <c r="F4206">
        <v>100</v>
      </c>
      <c r="G4206" t="s">
        <v>109</v>
      </c>
      <c r="H4206">
        <v>-99.23</v>
      </c>
      <c r="I4206">
        <v>66</v>
      </c>
      <c r="J4206">
        <v>-11.26</v>
      </c>
      <c r="K4206">
        <v>78</v>
      </c>
      <c r="L4206">
        <v>-16.260000000000002</v>
      </c>
      <c r="M4206">
        <v>74</v>
      </c>
      <c r="N4206">
        <v>-66.180000000000007</v>
      </c>
      <c r="O4206">
        <v>53</v>
      </c>
      <c r="P4206">
        <v>-9.81</v>
      </c>
      <c r="Q4206">
        <v>48</v>
      </c>
      <c r="R4206">
        <v>2.73</v>
      </c>
      <c r="S4206">
        <v>59</v>
      </c>
      <c r="T4206">
        <v>-3.56</v>
      </c>
      <c r="U4206">
        <v>41</v>
      </c>
      <c r="V4206">
        <v>5.1100000000000003</v>
      </c>
      <c r="W4206">
        <v>27</v>
      </c>
      <c r="X4206" t="s">
        <v>110</v>
      </c>
      <c r="Y4206" t="s">
        <v>336</v>
      </c>
      <c r="Z4206" t="s">
        <v>96</v>
      </c>
      <c r="AA4206" t="s">
        <v>4548</v>
      </c>
      <c r="AB4206" t="s">
        <v>5499</v>
      </c>
      <c r="AC4206">
        <v>0</v>
      </c>
      <c r="AD4206">
        <v>0</v>
      </c>
      <c r="AE4206">
        <v>78</v>
      </c>
      <c r="AF4206">
        <v>208.94</v>
      </c>
      <c r="AG4206">
        <v>2.92</v>
      </c>
      <c r="AH4206">
        <v>0.25</v>
      </c>
      <c r="AI4206">
        <v>-0.08</v>
      </c>
      <c r="AJ4206">
        <v>-0.11</v>
      </c>
      <c r="AK4206">
        <v>74</v>
      </c>
      <c r="AL4206">
        <v>0</v>
      </c>
      <c r="AM4206">
        <v>0</v>
      </c>
      <c r="AN4206">
        <v>1.41</v>
      </c>
      <c r="AO4206">
        <v>0.12</v>
      </c>
      <c r="AP4206">
        <v>2</v>
      </c>
      <c r="AQ4206">
        <v>0</v>
      </c>
      <c r="AR4206">
        <v>15.39</v>
      </c>
      <c r="AS4206">
        <v>28</v>
      </c>
      <c r="AT4206">
        <v>7.25</v>
      </c>
      <c r="AU4206">
        <v>82</v>
      </c>
      <c r="AV4206">
        <v>-1.95</v>
      </c>
      <c r="AW4206">
        <v>55</v>
      </c>
      <c r="AX4206">
        <v>0.5</v>
      </c>
      <c r="AY4206">
        <v>39</v>
      </c>
      <c r="AZ4206">
        <v>6.11</v>
      </c>
      <c r="BA4206">
        <v>27</v>
      </c>
      <c r="BB4206">
        <v>4.37</v>
      </c>
      <c r="BC4206">
        <v>27</v>
      </c>
      <c r="BD4206">
        <v>-0.04</v>
      </c>
      <c r="BE4206">
        <v>-0.04</v>
      </c>
      <c r="BF4206">
        <v>0.08</v>
      </c>
      <c r="BG4206">
        <v>84</v>
      </c>
      <c r="BH4206">
        <v>7.0000000000000007E-2</v>
      </c>
      <c r="BI4206">
        <v>-8.3800000000000008</v>
      </c>
      <c r="BJ4206">
        <v>1</v>
      </c>
      <c r="BK4206">
        <v>1</v>
      </c>
      <c r="BL4206">
        <v>1.26</v>
      </c>
      <c r="BM4206">
        <v>-1.95</v>
      </c>
      <c r="BN4206">
        <v>-0.01</v>
      </c>
      <c r="BO4206">
        <v>0.93</v>
      </c>
      <c r="BP4206">
        <v>0.66</v>
      </c>
      <c r="BQ4206">
        <v>-0.24</v>
      </c>
      <c r="BR4206">
        <v>-0.2</v>
      </c>
      <c r="BS4206">
        <v>1.18</v>
      </c>
      <c r="BT4206">
        <v>0.01</v>
      </c>
      <c r="BU4206">
        <v>3.22</v>
      </c>
      <c r="BV4206">
        <v>2.69</v>
      </c>
      <c r="BW4206">
        <v>1.72</v>
      </c>
      <c r="BX4206">
        <v>2.46</v>
      </c>
      <c r="BY4206">
        <v>1.33</v>
      </c>
      <c r="BZ4206">
        <v>3.41</v>
      </c>
      <c r="CA4206">
        <v>1.94</v>
      </c>
      <c r="CB4206">
        <v>2.11</v>
      </c>
      <c r="CC4206">
        <v>0.64</v>
      </c>
      <c r="CD4206">
        <v>-1.1599999999999999</v>
      </c>
      <c r="CE4206">
        <v>1.34</v>
      </c>
      <c r="CF4206">
        <v>0.81</v>
      </c>
      <c r="CG4206">
        <v>0</v>
      </c>
      <c r="CH4206">
        <v>1.38</v>
      </c>
      <c r="CI4206">
        <v>0</v>
      </c>
      <c r="CJ4206">
        <v>-3.5</v>
      </c>
      <c r="CK4206">
        <v>49</v>
      </c>
      <c r="CL4206">
        <v>-1.25</v>
      </c>
      <c r="CM4206">
        <v>47</v>
      </c>
      <c r="CN4206">
        <v>-0.67</v>
      </c>
      <c r="CO4206">
        <v>45</v>
      </c>
      <c r="CP4206">
        <v>0.5</v>
      </c>
      <c r="CQ4206">
        <v>44</v>
      </c>
      <c r="CR4206">
        <v>0</v>
      </c>
      <c r="CS4206">
        <v>0</v>
      </c>
      <c r="CT4206">
        <v>18.600000000000001</v>
      </c>
      <c r="CU4206">
        <v>41</v>
      </c>
      <c r="CV4206">
        <v>0.26</v>
      </c>
      <c r="CW4206">
        <v>13</v>
      </c>
      <c r="CX4206" t="s">
        <v>309</v>
      </c>
    </row>
    <row r="4207" spans="1:102" x14ac:dyDescent="0.3">
      <c r="A4207" t="str">
        <f>HYPERLINK("https://webapp.icbf.com/v2/app/bull-search/view/77854156","RTY")</f>
        <v>RTY</v>
      </c>
      <c r="B4207" t="s">
        <v>8766</v>
      </c>
      <c r="C4207" t="s">
        <v>8767</v>
      </c>
      <c r="D4207" s="1">
        <v>34035</v>
      </c>
      <c r="E4207" t="s">
        <v>92</v>
      </c>
      <c r="F4207">
        <v>100</v>
      </c>
      <c r="G4207" t="s">
        <v>93</v>
      </c>
      <c r="H4207">
        <v>-99.25</v>
      </c>
      <c r="I4207">
        <v>94</v>
      </c>
      <c r="J4207">
        <v>-14.23</v>
      </c>
      <c r="K4207">
        <v>99</v>
      </c>
      <c r="L4207">
        <v>-79.900000000000006</v>
      </c>
      <c r="M4207">
        <v>94</v>
      </c>
      <c r="N4207">
        <v>-1.96</v>
      </c>
      <c r="O4207">
        <v>91</v>
      </c>
      <c r="P4207">
        <v>-10.38</v>
      </c>
      <c r="Q4207">
        <v>96</v>
      </c>
      <c r="R4207">
        <v>-8.48</v>
      </c>
      <c r="S4207">
        <v>86</v>
      </c>
      <c r="T4207">
        <v>17.3</v>
      </c>
      <c r="U4207">
        <v>92</v>
      </c>
      <c r="V4207">
        <v>-1.6</v>
      </c>
      <c r="W4207">
        <v>77</v>
      </c>
      <c r="X4207" t="s">
        <v>558</v>
      </c>
      <c r="Y4207" t="s">
        <v>95</v>
      </c>
      <c r="Z4207" t="s">
        <v>96</v>
      </c>
      <c r="AA4207" t="s">
        <v>152</v>
      </c>
      <c r="AB4207" t="s">
        <v>3801</v>
      </c>
      <c r="AC4207">
        <v>319</v>
      </c>
      <c r="AD4207">
        <v>168</v>
      </c>
      <c r="AE4207">
        <v>99</v>
      </c>
      <c r="AF4207">
        <v>306.14999999999998</v>
      </c>
      <c r="AG4207">
        <v>-1.48</v>
      </c>
      <c r="AH4207">
        <v>2.79</v>
      </c>
      <c r="AI4207">
        <v>-0.22</v>
      </c>
      <c r="AJ4207">
        <v>-0.13</v>
      </c>
      <c r="AK4207">
        <v>94</v>
      </c>
      <c r="AL4207">
        <v>304</v>
      </c>
      <c r="AM4207">
        <v>127</v>
      </c>
      <c r="AN4207">
        <v>3.74</v>
      </c>
      <c r="AO4207">
        <v>-2.64</v>
      </c>
      <c r="AP4207">
        <v>83</v>
      </c>
      <c r="AQ4207">
        <v>0</v>
      </c>
      <c r="AR4207">
        <v>10.49</v>
      </c>
      <c r="AS4207">
        <v>87</v>
      </c>
      <c r="AT4207">
        <v>3.76</v>
      </c>
      <c r="AU4207">
        <v>98</v>
      </c>
      <c r="AV4207">
        <v>-2.36</v>
      </c>
      <c r="AW4207">
        <v>91</v>
      </c>
      <c r="AX4207">
        <v>-0.65</v>
      </c>
      <c r="AY4207">
        <v>92</v>
      </c>
      <c r="AZ4207">
        <v>6.8</v>
      </c>
      <c r="BA4207">
        <v>81</v>
      </c>
      <c r="BB4207">
        <v>6.32</v>
      </c>
      <c r="BC4207">
        <v>84</v>
      </c>
      <c r="BD4207">
        <v>0.06</v>
      </c>
      <c r="BE4207">
        <v>0.05</v>
      </c>
      <c r="BF4207">
        <v>0</v>
      </c>
      <c r="BG4207">
        <v>96</v>
      </c>
      <c r="BH4207">
        <v>0.02</v>
      </c>
      <c r="BI4207">
        <v>7.49</v>
      </c>
      <c r="BJ4207">
        <v>98</v>
      </c>
      <c r="BK4207">
        <v>43</v>
      </c>
      <c r="BL4207">
        <v>-0.28999999999999998</v>
      </c>
      <c r="BM4207">
        <v>0.4</v>
      </c>
      <c r="BN4207">
        <v>-0.09</v>
      </c>
      <c r="BO4207">
        <v>-0.13</v>
      </c>
      <c r="BP4207">
        <v>-0.06</v>
      </c>
      <c r="BQ4207">
        <v>0.48</v>
      </c>
      <c r="BR4207">
        <v>-0.88</v>
      </c>
      <c r="BS4207">
        <v>-0.15</v>
      </c>
      <c r="BT4207">
        <v>-0.08</v>
      </c>
      <c r="BU4207">
        <v>1.48</v>
      </c>
      <c r="BV4207">
        <v>1.4</v>
      </c>
      <c r="BW4207">
        <v>1.62</v>
      </c>
      <c r="BX4207">
        <v>0.73</v>
      </c>
      <c r="BY4207">
        <v>0.15</v>
      </c>
      <c r="BZ4207">
        <v>-1.49</v>
      </c>
      <c r="CA4207">
        <v>1.21</v>
      </c>
      <c r="CB4207">
        <v>1.05</v>
      </c>
      <c r="CC4207">
        <v>0.9</v>
      </c>
      <c r="CD4207">
        <v>0.38</v>
      </c>
      <c r="CE4207">
        <v>-0.08</v>
      </c>
      <c r="CF4207">
        <v>-0.19</v>
      </c>
      <c r="CG4207">
        <v>0</v>
      </c>
      <c r="CH4207">
        <v>0.1</v>
      </c>
      <c r="CI4207">
        <v>0</v>
      </c>
      <c r="CJ4207">
        <v>-3.9</v>
      </c>
      <c r="CK4207">
        <v>96</v>
      </c>
      <c r="CL4207">
        <v>-0.73</v>
      </c>
      <c r="CM4207">
        <v>95</v>
      </c>
      <c r="CN4207">
        <v>-0.3</v>
      </c>
      <c r="CO4207">
        <v>94</v>
      </c>
      <c r="CP4207">
        <v>-6.5</v>
      </c>
      <c r="CQ4207">
        <v>97</v>
      </c>
      <c r="CR4207">
        <v>0</v>
      </c>
      <c r="CS4207">
        <v>0</v>
      </c>
      <c r="CT4207">
        <v>-9.6</v>
      </c>
      <c r="CU4207">
        <v>92</v>
      </c>
      <c r="CV4207">
        <v>0.09</v>
      </c>
      <c r="CW4207">
        <v>45</v>
      </c>
      <c r="CX4207" t="s">
        <v>111</v>
      </c>
    </row>
    <row r="4208" spans="1:102" x14ac:dyDescent="0.3">
      <c r="A4208" t="str">
        <f>HYPERLINK("https://webapp.icbf.com/v2/app/bull-search/view/152160205","NAX")</f>
        <v>NAX</v>
      </c>
      <c r="B4208" t="s">
        <v>7066</v>
      </c>
      <c r="C4208" t="s">
        <v>7067</v>
      </c>
      <c r="D4208" s="1">
        <v>35733</v>
      </c>
      <c r="E4208" t="s">
        <v>92</v>
      </c>
      <c r="F4208">
        <v>100</v>
      </c>
      <c r="G4208" t="s">
        <v>93</v>
      </c>
      <c r="H4208">
        <v>-99.49</v>
      </c>
      <c r="I4208">
        <v>93</v>
      </c>
      <c r="J4208">
        <v>36.69</v>
      </c>
      <c r="K4208">
        <v>98</v>
      </c>
      <c r="L4208">
        <v>-128</v>
      </c>
      <c r="M4208">
        <v>89</v>
      </c>
      <c r="N4208">
        <v>-17.940000000000001</v>
      </c>
      <c r="O4208">
        <v>92</v>
      </c>
      <c r="P4208">
        <v>0.33</v>
      </c>
      <c r="Q4208">
        <v>97</v>
      </c>
      <c r="R4208">
        <v>5.47</v>
      </c>
      <c r="S4208">
        <v>88</v>
      </c>
      <c r="T4208">
        <v>2.73</v>
      </c>
      <c r="U4208">
        <v>93</v>
      </c>
      <c r="V4208">
        <v>1.23</v>
      </c>
      <c r="W4208">
        <v>86</v>
      </c>
      <c r="X4208" t="s">
        <v>94</v>
      </c>
      <c r="Y4208" t="s">
        <v>95</v>
      </c>
      <c r="Z4208" t="s">
        <v>96</v>
      </c>
      <c r="AA4208" t="s">
        <v>751</v>
      </c>
      <c r="AB4208" t="s">
        <v>7068</v>
      </c>
      <c r="AC4208">
        <v>283</v>
      </c>
      <c r="AD4208">
        <v>119</v>
      </c>
      <c r="AE4208">
        <v>98</v>
      </c>
      <c r="AF4208">
        <v>127.07</v>
      </c>
      <c r="AG4208">
        <v>4.99</v>
      </c>
      <c r="AH4208">
        <v>6.42</v>
      </c>
      <c r="AI4208">
        <v>0</v>
      </c>
      <c r="AJ4208">
        <v>0.04</v>
      </c>
      <c r="AK4208">
        <v>89</v>
      </c>
      <c r="AL4208">
        <v>305</v>
      </c>
      <c r="AM4208">
        <v>122</v>
      </c>
      <c r="AN4208">
        <v>6.78</v>
      </c>
      <c r="AO4208">
        <v>-3.43</v>
      </c>
      <c r="AP4208">
        <v>477</v>
      </c>
      <c r="AQ4208">
        <v>1</v>
      </c>
      <c r="AR4208">
        <v>11.13</v>
      </c>
      <c r="AS4208">
        <v>89</v>
      </c>
      <c r="AT4208">
        <v>4.79</v>
      </c>
      <c r="AU4208">
        <v>93</v>
      </c>
      <c r="AV4208">
        <v>-0.67</v>
      </c>
      <c r="AW4208">
        <v>97</v>
      </c>
      <c r="AX4208">
        <v>-0.14000000000000001</v>
      </c>
      <c r="AY4208">
        <v>92</v>
      </c>
      <c r="AZ4208">
        <v>5</v>
      </c>
      <c r="BA4208">
        <v>78</v>
      </c>
      <c r="BB4208">
        <v>4.32</v>
      </c>
      <c r="BC4208">
        <v>81</v>
      </c>
      <c r="BD4208">
        <v>0.02</v>
      </c>
      <c r="BE4208">
        <v>-0.01</v>
      </c>
      <c r="BF4208">
        <v>-0.14000000000000001</v>
      </c>
      <c r="BG4208">
        <v>95</v>
      </c>
      <c r="BH4208">
        <v>-0.03</v>
      </c>
      <c r="BI4208">
        <v>-7.45</v>
      </c>
      <c r="BJ4208">
        <v>27</v>
      </c>
      <c r="BK4208">
        <v>12</v>
      </c>
      <c r="BL4208">
        <v>0.5</v>
      </c>
      <c r="BM4208">
        <v>0.17</v>
      </c>
      <c r="BN4208">
        <v>0.84</v>
      </c>
      <c r="BO4208">
        <v>0.65</v>
      </c>
      <c r="BP4208">
        <v>0.02</v>
      </c>
      <c r="BQ4208">
        <v>-1.9</v>
      </c>
      <c r="BR4208">
        <v>1.39</v>
      </c>
      <c r="BS4208">
        <v>-1.64</v>
      </c>
      <c r="BT4208">
        <v>-2.39</v>
      </c>
      <c r="BU4208">
        <v>0.67</v>
      </c>
      <c r="BV4208">
        <v>-0.02</v>
      </c>
      <c r="BW4208">
        <v>-0.21</v>
      </c>
      <c r="BX4208">
        <v>0.94</v>
      </c>
      <c r="BY4208">
        <v>-0.73</v>
      </c>
      <c r="BZ4208">
        <v>1.78</v>
      </c>
      <c r="CA4208">
        <v>7.0000000000000007E-2</v>
      </c>
      <c r="CB4208">
        <v>0.61</v>
      </c>
      <c r="CC4208">
        <v>-1.1399999999999999</v>
      </c>
      <c r="CD4208">
        <v>-0.5</v>
      </c>
      <c r="CE4208">
        <v>0.54</v>
      </c>
      <c r="CF4208">
        <v>-0.06</v>
      </c>
      <c r="CG4208">
        <v>0</v>
      </c>
      <c r="CH4208">
        <v>-0.4</v>
      </c>
      <c r="CI4208">
        <v>0</v>
      </c>
      <c r="CJ4208">
        <v>2.4</v>
      </c>
      <c r="CK4208">
        <v>98</v>
      </c>
      <c r="CL4208">
        <v>-0.72</v>
      </c>
      <c r="CM4208">
        <v>97</v>
      </c>
      <c r="CN4208">
        <v>-0.35</v>
      </c>
      <c r="CO4208">
        <v>97</v>
      </c>
      <c r="CP4208">
        <v>2.2999999999999998</v>
      </c>
      <c r="CQ4208">
        <v>96</v>
      </c>
      <c r="CR4208">
        <v>0</v>
      </c>
      <c r="CS4208">
        <v>0</v>
      </c>
      <c r="CT4208">
        <v>10.1</v>
      </c>
      <c r="CU4208">
        <v>93</v>
      </c>
      <c r="CV4208">
        <v>0.27</v>
      </c>
      <c r="CW4208">
        <v>46</v>
      </c>
      <c r="CX4208" t="s">
        <v>105</v>
      </c>
    </row>
    <row r="4209" spans="1:102" x14ac:dyDescent="0.3">
      <c r="A4209" t="str">
        <f>HYPERLINK("https://webapp.icbf.com/v2/app/bull-search/view/169859627","DUF")</f>
        <v>DUF</v>
      </c>
      <c r="B4209" t="s">
        <v>15040</v>
      </c>
      <c r="C4209" t="s">
        <v>15041</v>
      </c>
      <c r="D4209" s="1">
        <v>37208</v>
      </c>
      <c r="E4209" t="s">
        <v>92</v>
      </c>
      <c r="F4209">
        <v>100</v>
      </c>
      <c r="G4209" t="s">
        <v>93</v>
      </c>
      <c r="H4209">
        <v>-99.81</v>
      </c>
      <c r="I4209">
        <v>76</v>
      </c>
      <c r="J4209">
        <v>39.68</v>
      </c>
      <c r="K4209">
        <v>93</v>
      </c>
      <c r="L4209">
        <v>-134.97</v>
      </c>
      <c r="M4209">
        <v>59</v>
      </c>
      <c r="N4209">
        <v>-18.04</v>
      </c>
      <c r="O4209">
        <v>77</v>
      </c>
      <c r="P4209">
        <v>-7.07</v>
      </c>
      <c r="Q4209">
        <v>91</v>
      </c>
      <c r="R4209">
        <v>-5.96</v>
      </c>
      <c r="S4209">
        <v>65</v>
      </c>
      <c r="T4209">
        <v>21.52</v>
      </c>
      <c r="U4209">
        <v>78</v>
      </c>
      <c r="V4209">
        <v>5.03</v>
      </c>
      <c r="W4209">
        <v>43</v>
      </c>
      <c r="X4209" t="s">
        <v>94</v>
      </c>
      <c r="Y4209" t="s">
        <v>95</v>
      </c>
      <c r="Z4209" t="s">
        <v>96</v>
      </c>
      <c r="AA4209" t="s">
        <v>7121</v>
      </c>
      <c r="AB4209" t="s">
        <v>15042</v>
      </c>
      <c r="AC4209">
        <v>60</v>
      </c>
      <c r="AD4209">
        <v>45</v>
      </c>
      <c r="AE4209">
        <v>93</v>
      </c>
      <c r="AF4209">
        <v>162.27000000000001</v>
      </c>
      <c r="AG4209">
        <v>5.83</v>
      </c>
      <c r="AH4209">
        <v>7.17</v>
      </c>
      <c r="AI4209">
        <v>-0.01</v>
      </c>
      <c r="AJ4209">
        <v>0.03</v>
      </c>
      <c r="AK4209">
        <v>59</v>
      </c>
      <c r="AL4209">
        <v>53</v>
      </c>
      <c r="AM4209">
        <v>42</v>
      </c>
      <c r="AN4209">
        <v>6.86</v>
      </c>
      <c r="AO4209">
        <v>-3.91</v>
      </c>
      <c r="AP4209">
        <v>128</v>
      </c>
      <c r="AQ4209">
        <v>2</v>
      </c>
      <c r="AR4209">
        <v>9.4600000000000009</v>
      </c>
      <c r="AS4209">
        <v>47</v>
      </c>
      <c r="AT4209">
        <v>3.96</v>
      </c>
      <c r="AU4209">
        <v>82</v>
      </c>
      <c r="AV4209">
        <v>0.14000000000000001</v>
      </c>
      <c r="AW4209">
        <v>92</v>
      </c>
      <c r="AX4209">
        <v>1.64</v>
      </c>
      <c r="AY4209">
        <v>74</v>
      </c>
      <c r="AZ4209">
        <v>5.85</v>
      </c>
      <c r="BA4209">
        <v>47</v>
      </c>
      <c r="BB4209">
        <v>5</v>
      </c>
      <c r="BC4209">
        <v>49</v>
      </c>
      <c r="BD4209">
        <v>0</v>
      </c>
      <c r="BE4209">
        <v>0.03</v>
      </c>
      <c r="BF4209">
        <v>0.08</v>
      </c>
      <c r="BG4209">
        <v>77</v>
      </c>
      <c r="BH4209">
        <v>0.25</v>
      </c>
      <c r="BI4209">
        <v>12.69</v>
      </c>
      <c r="BJ4209">
        <v>26</v>
      </c>
      <c r="BK4209">
        <v>18</v>
      </c>
      <c r="BL4209">
        <v>-0.26</v>
      </c>
      <c r="BM4209">
        <v>-0.96</v>
      </c>
      <c r="BN4209">
        <v>-0.34</v>
      </c>
      <c r="BO4209">
        <v>0.28000000000000003</v>
      </c>
      <c r="BP4209">
        <v>-2.19</v>
      </c>
      <c r="BQ4209">
        <v>-2.91</v>
      </c>
      <c r="BR4209">
        <v>-0.27</v>
      </c>
      <c r="BS4209">
        <v>0.35</v>
      </c>
      <c r="BT4209">
        <v>0.3</v>
      </c>
      <c r="BU4209">
        <v>0.02</v>
      </c>
      <c r="BV4209">
        <v>0.54</v>
      </c>
      <c r="BW4209">
        <v>0.55000000000000004</v>
      </c>
      <c r="BX4209">
        <v>-0.43</v>
      </c>
      <c r="BY4209">
        <v>1.32</v>
      </c>
      <c r="BZ4209">
        <v>-0.14000000000000001</v>
      </c>
      <c r="CA4209">
        <v>0.34</v>
      </c>
      <c r="CB4209">
        <v>0.16</v>
      </c>
      <c r="CC4209">
        <v>0.37</v>
      </c>
      <c r="CD4209">
        <v>0.06</v>
      </c>
      <c r="CE4209">
        <v>0.31</v>
      </c>
      <c r="CF4209">
        <v>-1.02</v>
      </c>
      <c r="CG4209">
        <v>0</v>
      </c>
      <c r="CH4209">
        <v>0.7</v>
      </c>
      <c r="CI4209">
        <v>0</v>
      </c>
      <c r="CJ4209">
        <v>-2.6</v>
      </c>
      <c r="CK4209">
        <v>92</v>
      </c>
      <c r="CL4209">
        <v>-0.32</v>
      </c>
      <c r="CM4209">
        <v>90</v>
      </c>
      <c r="CN4209">
        <v>-0.11</v>
      </c>
      <c r="CO4209">
        <v>89</v>
      </c>
      <c r="CP4209">
        <v>-9.8000000000000007</v>
      </c>
      <c r="CQ4209">
        <v>86</v>
      </c>
      <c r="CR4209">
        <v>0</v>
      </c>
      <c r="CS4209">
        <v>0</v>
      </c>
      <c r="CT4209">
        <v>-15.3</v>
      </c>
      <c r="CU4209">
        <v>78</v>
      </c>
      <c r="CV4209">
        <v>0.05</v>
      </c>
      <c r="CW4209">
        <v>26</v>
      </c>
      <c r="CX4209" t="s">
        <v>216</v>
      </c>
    </row>
    <row r="4210" spans="1:102" x14ac:dyDescent="0.3">
      <c r="A4210" t="str">
        <f>HYPERLINK("https://webapp.icbf.com/v2/app/bull-search/view/77857414","FRT")</f>
        <v>FRT</v>
      </c>
      <c r="B4210" t="s">
        <v>3985</v>
      </c>
      <c r="C4210" t="s">
        <v>3986</v>
      </c>
      <c r="D4210" s="1">
        <v>31417</v>
      </c>
      <c r="E4210" t="s">
        <v>92</v>
      </c>
      <c r="F4210">
        <v>100</v>
      </c>
      <c r="G4210" t="s">
        <v>109</v>
      </c>
      <c r="H4210">
        <v>-99.87</v>
      </c>
      <c r="I4210">
        <v>54</v>
      </c>
      <c r="J4210">
        <v>-94.25</v>
      </c>
      <c r="K4210">
        <v>71</v>
      </c>
      <c r="L4210">
        <v>6.51</v>
      </c>
      <c r="M4210">
        <v>58</v>
      </c>
      <c r="N4210">
        <v>-3.86</v>
      </c>
      <c r="O4210">
        <v>35</v>
      </c>
      <c r="P4210">
        <v>-13.19</v>
      </c>
      <c r="Q4210">
        <v>37</v>
      </c>
      <c r="R4210">
        <v>-1.23</v>
      </c>
      <c r="S4210">
        <v>53</v>
      </c>
      <c r="T4210">
        <v>9.76</v>
      </c>
      <c r="U4210">
        <v>30</v>
      </c>
      <c r="V4210">
        <v>-3.61</v>
      </c>
      <c r="W4210">
        <v>20</v>
      </c>
      <c r="X4210" t="s">
        <v>110</v>
      </c>
      <c r="Y4210" t="s">
        <v>95</v>
      </c>
      <c r="Z4210" t="s">
        <v>96</v>
      </c>
      <c r="AA4210" t="s">
        <v>2585</v>
      </c>
      <c r="AB4210" t="s">
        <v>3987</v>
      </c>
      <c r="AC4210">
        <v>0</v>
      </c>
      <c r="AD4210">
        <v>0</v>
      </c>
      <c r="AE4210">
        <v>71</v>
      </c>
      <c r="AF4210">
        <v>-387.73</v>
      </c>
      <c r="AG4210">
        <v>-15.87</v>
      </c>
      <c r="AH4210">
        <v>-16.350000000000001</v>
      </c>
      <c r="AI4210">
        <v>-0.01</v>
      </c>
      <c r="AJ4210">
        <v>-0.05</v>
      </c>
      <c r="AK4210">
        <v>58</v>
      </c>
      <c r="AL4210">
        <v>0</v>
      </c>
      <c r="AM4210">
        <v>0</v>
      </c>
      <c r="AN4210">
        <v>-1.05</v>
      </c>
      <c r="AO4210">
        <v>-0.54</v>
      </c>
      <c r="AP4210">
        <v>5</v>
      </c>
      <c r="AQ4210">
        <v>0</v>
      </c>
      <c r="AR4210">
        <v>7.89</v>
      </c>
      <c r="AS4210">
        <v>24</v>
      </c>
      <c r="AT4210">
        <v>3.94</v>
      </c>
      <c r="AU4210">
        <v>31</v>
      </c>
      <c r="AV4210">
        <v>-1.5</v>
      </c>
      <c r="AW4210">
        <v>44</v>
      </c>
      <c r="AX4210">
        <v>0.25</v>
      </c>
      <c r="AY4210">
        <v>40</v>
      </c>
      <c r="AZ4210">
        <v>7.71</v>
      </c>
      <c r="BA4210">
        <v>22</v>
      </c>
      <c r="BB4210">
        <v>5.87</v>
      </c>
      <c r="BC4210">
        <v>25</v>
      </c>
      <c r="BD4210">
        <v>0.02</v>
      </c>
      <c r="BE4210">
        <v>0.05</v>
      </c>
      <c r="BF4210">
        <v>-0.1</v>
      </c>
      <c r="BG4210">
        <v>80</v>
      </c>
      <c r="BH4210">
        <v>0</v>
      </c>
      <c r="BI4210">
        <v>11.66</v>
      </c>
      <c r="BJ4210">
        <v>0</v>
      </c>
      <c r="BK4210">
        <v>0</v>
      </c>
      <c r="BL4210">
        <v>-0.73</v>
      </c>
      <c r="BM4210">
        <v>0.9</v>
      </c>
      <c r="BN4210">
        <v>-0.28000000000000003</v>
      </c>
      <c r="BO4210">
        <v>-1.47</v>
      </c>
      <c r="BP4210">
        <v>-2.37</v>
      </c>
      <c r="BQ4210">
        <v>0.05</v>
      </c>
      <c r="BR4210">
        <v>7.0000000000000007E-2</v>
      </c>
      <c r="BS4210">
        <v>0.52</v>
      </c>
      <c r="BT4210">
        <v>0.14000000000000001</v>
      </c>
      <c r="BU4210">
        <v>1.1100000000000001</v>
      </c>
      <c r="BV4210">
        <v>-1.55</v>
      </c>
      <c r="BW4210">
        <v>-0.48</v>
      </c>
      <c r="BX4210">
        <v>1.1499999999999999</v>
      </c>
      <c r="BY4210">
        <v>0.51</v>
      </c>
      <c r="BZ4210">
        <v>-1.59</v>
      </c>
      <c r="CA4210">
        <v>-0.2</v>
      </c>
      <c r="CB4210">
        <v>-0.71</v>
      </c>
      <c r="CC4210">
        <v>0.78</v>
      </c>
      <c r="CD4210">
        <v>0</v>
      </c>
      <c r="CE4210">
        <v>0</v>
      </c>
      <c r="CF4210">
        <v>0</v>
      </c>
      <c r="CG4210">
        <v>0</v>
      </c>
      <c r="CH4210">
        <v>0</v>
      </c>
      <c r="CI4210">
        <v>0</v>
      </c>
      <c r="CJ4210">
        <v>-5.4</v>
      </c>
      <c r="CK4210">
        <v>38</v>
      </c>
      <c r="CL4210">
        <v>-0.65</v>
      </c>
      <c r="CM4210">
        <v>36</v>
      </c>
      <c r="CN4210">
        <v>-0.11</v>
      </c>
      <c r="CO4210">
        <v>35</v>
      </c>
      <c r="CP4210">
        <v>-2.1</v>
      </c>
      <c r="CQ4210">
        <v>34</v>
      </c>
      <c r="CR4210">
        <v>0</v>
      </c>
      <c r="CS4210">
        <v>0</v>
      </c>
      <c r="CT4210">
        <v>0.6</v>
      </c>
      <c r="CU4210">
        <v>30</v>
      </c>
      <c r="CV4210">
        <v>0.11</v>
      </c>
      <c r="CW4210">
        <v>10</v>
      </c>
      <c r="CX4210" t="s">
        <v>2792</v>
      </c>
    </row>
    <row r="4211" spans="1:102" x14ac:dyDescent="0.3">
      <c r="A4211" t="str">
        <f>HYPERLINK("https://webapp.icbf.com/v2/app/bull-search/view/586055222","S1030")</f>
        <v>S1030</v>
      </c>
      <c r="B4211" t="s">
        <v>9027</v>
      </c>
      <c r="C4211" t="s">
        <v>9028</v>
      </c>
      <c r="D4211" s="1">
        <v>38396</v>
      </c>
      <c r="E4211" t="s">
        <v>92</v>
      </c>
      <c r="F4211">
        <v>100</v>
      </c>
      <c r="G4211" t="s">
        <v>109</v>
      </c>
      <c r="H4211">
        <v>-99.95</v>
      </c>
      <c r="I4211">
        <v>67</v>
      </c>
      <c r="J4211">
        <v>56.77</v>
      </c>
      <c r="K4211">
        <v>84</v>
      </c>
      <c r="L4211">
        <v>-150.26</v>
      </c>
      <c r="M4211">
        <v>81</v>
      </c>
      <c r="N4211">
        <v>-18.3</v>
      </c>
      <c r="O4211">
        <v>43</v>
      </c>
      <c r="P4211">
        <v>-9.65</v>
      </c>
      <c r="Q4211">
        <v>31</v>
      </c>
      <c r="R4211">
        <v>7.02</v>
      </c>
      <c r="S4211">
        <v>60</v>
      </c>
      <c r="T4211">
        <v>12.86</v>
      </c>
      <c r="U4211">
        <v>29</v>
      </c>
      <c r="V4211">
        <v>1.61</v>
      </c>
      <c r="W4211">
        <v>25</v>
      </c>
      <c r="X4211" t="s">
        <v>251</v>
      </c>
      <c r="Y4211" t="s">
        <v>336</v>
      </c>
      <c r="Z4211" t="s">
        <v>96</v>
      </c>
      <c r="AA4211" t="s">
        <v>476</v>
      </c>
      <c r="AB4211" t="s">
        <v>9029</v>
      </c>
      <c r="AC4211">
        <v>0</v>
      </c>
      <c r="AD4211">
        <v>0</v>
      </c>
      <c r="AE4211">
        <v>84</v>
      </c>
      <c r="AF4211">
        <v>473.63</v>
      </c>
      <c r="AG4211">
        <v>8.83</v>
      </c>
      <c r="AH4211">
        <v>13.78</v>
      </c>
      <c r="AI4211">
        <v>-0.15</v>
      </c>
      <c r="AJ4211">
        <v>-0.04</v>
      </c>
      <c r="AK4211">
        <v>81</v>
      </c>
      <c r="AL4211">
        <v>0</v>
      </c>
      <c r="AM4211">
        <v>0</v>
      </c>
      <c r="AN4211">
        <v>10</v>
      </c>
      <c r="AO4211">
        <v>-1.96</v>
      </c>
      <c r="AP4211">
        <v>2</v>
      </c>
      <c r="AQ4211">
        <v>0</v>
      </c>
      <c r="AR4211">
        <v>10.69</v>
      </c>
      <c r="AS4211">
        <v>29</v>
      </c>
      <c r="AT4211">
        <v>5.0599999999999996</v>
      </c>
      <c r="AU4211">
        <v>89</v>
      </c>
      <c r="AV4211">
        <v>-1.25</v>
      </c>
      <c r="AW4211">
        <v>30</v>
      </c>
      <c r="AX4211">
        <v>0</v>
      </c>
      <c r="AY4211">
        <v>29</v>
      </c>
      <c r="AZ4211">
        <v>5.85</v>
      </c>
      <c r="BA4211">
        <v>25</v>
      </c>
      <c r="BB4211">
        <v>4.7300000000000004</v>
      </c>
      <c r="BC4211">
        <v>25</v>
      </c>
      <c r="BD4211">
        <v>-0.02</v>
      </c>
      <c r="BE4211">
        <v>-0.02</v>
      </c>
      <c r="BF4211">
        <v>-0.09</v>
      </c>
      <c r="BG4211">
        <v>88</v>
      </c>
      <c r="BH4211">
        <v>0.01</v>
      </c>
      <c r="BI4211">
        <v>-4.04</v>
      </c>
      <c r="BJ4211">
        <v>2</v>
      </c>
      <c r="BK4211">
        <v>1</v>
      </c>
      <c r="BL4211">
        <v>1.86</v>
      </c>
      <c r="BM4211">
        <v>0.42</v>
      </c>
      <c r="BN4211">
        <v>1.44</v>
      </c>
      <c r="BO4211">
        <v>1.55</v>
      </c>
      <c r="BP4211">
        <v>-0.9</v>
      </c>
      <c r="BQ4211">
        <v>3.07</v>
      </c>
      <c r="BR4211">
        <v>-1.1499999999999999</v>
      </c>
      <c r="BS4211">
        <v>3.52</v>
      </c>
      <c r="BT4211">
        <v>1.87</v>
      </c>
      <c r="BU4211">
        <v>2.29</v>
      </c>
      <c r="BV4211">
        <v>2.08</v>
      </c>
      <c r="BW4211">
        <v>1</v>
      </c>
      <c r="BX4211">
        <v>1.36</v>
      </c>
      <c r="BY4211">
        <v>0.62</v>
      </c>
      <c r="BZ4211">
        <v>0.48</v>
      </c>
      <c r="CA4211">
        <v>2.7</v>
      </c>
      <c r="CB4211">
        <v>2.27</v>
      </c>
      <c r="CC4211">
        <v>2.5</v>
      </c>
      <c r="CD4211">
        <v>-0.42</v>
      </c>
      <c r="CE4211">
        <v>1.0900000000000001</v>
      </c>
      <c r="CF4211">
        <v>0.17</v>
      </c>
      <c r="CG4211">
        <v>0</v>
      </c>
      <c r="CH4211">
        <v>1.0900000000000001</v>
      </c>
      <c r="CI4211">
        <v>0</v>
      </c>
      <c r="CJ4211">
        <v>-3.5</v>
      </c>
      <c r="CK4211">
        <v>31</v>
      </c>
      <c r="CL4211">
        <v>-0.88</v>
      </c>
      <c r="CM4211">
        <v>30</v>
      </c>
      <c r="CN4211">
        <v>-0.41</v>
      </c>
      <c r="CO4211">
        <v>29</v>
      </c>
      <c r="CP4211">
        <v>-3.6</v>
      </c>
      <c r="CQ4211">
        <v>32</v>
      </c>
      <c r="CR4211">
        <v>0</v>
      </c>
      <c r="CS4211">
        <v>0</v>
      </c>
      <c r="CT4211">
        <v>-3.6</v>
      </c>
      <c r="CU4211">
        <v>29</v>
      </c>
      <c r="CV4211">
        <v>0.2</v>
      </c>
      <c r="CW4211">
        <v>9</v>
      </c>
      <c r="CX4211" t="s">
        <v>4248</v>
      </c>
    </row>
    <row r="4212" spans="1:102" x14ac:dyDescent="0.3">
      <c r="A4212" t="str">
        <f>HYPERLINK("https://webapp.icbf.com/v2/app/bull-search/view/124415104","SWE")</f>
        <v>SWE</v>
      </c>
      <c r="B4212" t="s">
        <v>15367</v>
      </c>
      <c r="C4212" t="s">
        <v>15368</v>
      </c>
      <c r="D4212" s="1">
        <v>35107</v>
      </c>
      <c r="E4212" t="s">
        <v>92</v>
      </c>
      <c r="F4212">
        <v>100</v>
      </c>
      <c r="G4212" t="s">
        <v>93</v>
      </c>
      <c r="H4212">
        <v>-99.98</v>
      </c>
      <c r="I4212">
        <v>65</v>
      </c>
      <c r="J4212">
        <v>-37.31</v>
      </c>
      <c r="K4212">
        <v>84</v>
      </c>
      <c r="L4212">
        <v>-72.790000000000006</v>
      </c>
      <c r="M4212">
        <v>51</v>
      </c>
      <c r="N4212">
        <v>17.46</v>
      </c>
      <c r="O4212">
        <v>61</v>
      </c>
      <c r="P4212">
        <v>-6.03</v>
      </c>
      <c r="Q4212">
        <v>79</v>
      </c>
      <c r="R4212">
        <v>-7.76</v>
      </c>
      <c r="S4212">
        <v>54</v>
      </c>
      <c r="T4212">
        <v>12.42</v>
      </c>
      <c r="U4212">
        <v>56</v>
      </c>
      <c r="V4212">
        <v>-5.97</v>
      </c>
      <c r="W4212">
        <v>40</v>
      </c>
      <c r="X4212" t="s">
        <v>110</v>
      </c>
      <c r="Y4212" t="s">
        <v>95</v>
      </c>
      <c r="Z4212" t="s">
        <v>96</v>
      </c>
      <c r="AA4212" t="s">
        <v>97</v>
      </c>
      <c r="AB4212" t="s">
        <v>1500</v>
      </c>
      <c r="AC4212">
        <v>23</v>
      </c>
      <c r="AD4212">
        <v>15</v>
      </c>
      <c r="AE4212">
        <v>84</v>
      </c>
      <c r="AF4212">
        <v>66.87</v>
      </c>
      <c r="AG4212">
        <v>-5.49</v>
      </c>
      <c r="AH4212">
        <v>-3.38</v>
      </c>
      <c r="AI4212">
        <v>-0.13</v>
      </c>
      <c r="AJ4212">
        <v>-0.09</v>
      </c>
      <c r="AK4212">
        <v>51</v>
      </c>
      <c r="AL4212">
        <v>25</v>
      </c>
      <c r="AM4212">
        <v>13</v>
      </c>
      <c r="AN4212">
        <v>4.32</v>
      </c>
      <c r="AO4212">
        <v>-1.48</v>
      </c>
      <c r="AP4212">
        <v>34</v>
      </c>
      <c r="AQ4212">
        <v>0</v>
      </c>
      <c r="AR4212">
        <v>8.14</v>
      </c>
      <c r="AS4212">
        <v>52</v>
      </c>
      <c r="AT4212">
        <v>3.95</v>
      </c>
      <c r="AU4212">
        <v>55</v>
      </c>
      <c r="AV4212">
        <v>-3.38</v>
      </c>
      <c r="AW4212">
        <v>76</v>
      </c>
      <c r="AX4212">
        <v>-0.08</v>
      </c>
      <c r="AY4212">
        <v>58</v>
      </c>
      <c r="AZ4212">
        <v>6.92</v>
      </c>
      <c r="BA4212">
        <v>34</v>
      </c>
      <c r="BB4212">
        <v>4.92</v>
      </c>
      <c r="BC4212">
        <v>39</v>
      </c>
      <c r="BD4212">
        <v>0.02</v>
      </c>
      <c r="BE4212">
        <v>0.05</v>
      </c>
      <c r="BF4212">
        <v>0.05</v>
      </c>
      <c r="BG4212">
        <v>66</v>
      </c>
      <c r="BH4212">
        <v>-0.08</v>
      </c>
      <c r="BI4212">
        <v>9.99</v>
      </c>
      <c r="BJ4212">
        <v>4</v>
      </c>
      <c r="BK4212">
        <v>1</v>
      </c>
      <c r="BL4212">
        <v>-0.24</v>
      </c>
      <c r="BM4212">
        <v>-0.98</v>
      </c>
      <c r="BN4212">
        <v>-0.5</v>
      </c>
      <c r="BO4212">
        <v>0.26</v>
      </c>
      <c r="BP4212">
        <v>3.71</v>
      </c>
      <c r="BQ4212">
        <v>-1.7</v>
      </c>
      <c r="BR4212">
        <v>0.74</v>
      </c>
      <c r="BS4212">
        <v>0</v>
      </c>
      <c r="BT4212">
        <v>-0.94</v>
      </c>
      <c r="BU4212">
        <v>-0.93</v>
      </c>
      <c r="BV4212">
        <v>-1.1399999999999999</v>
      </c>
      <c r="BW4212">
        <v>-1.22</v>
      </c>
      <c r="BX4212">
        <v>-0.75</v>
      </c>
      <c r="BY4212">
        <v>-1.1499999999999999</v>
      </c>
      <c r="BZ4212">
        <v>0.4</v>
      </c>
      <c r="CA4212">
        <v>-0.97</v>
      </c>
      <c r="CB4212">
        <v>-1.03</v>
      </c>
      <c r="CC4212">
        <v>-0.37</v>
      </c>
      <c r="CD4212">
        <v>-0.23</v>
      </c>
      <c r="CE4212">
        <v>-0.15</v>
      </c>
      <c r="CF4212">
        <v>-1.35</v>
      </c>
      <c r="CG4212">
        <v>0</v>
      </c>
      <c r="CH4212">
        <v>-1.64</v>
      </c>
      <c r="CI4212">
        <v>0</v>
      </c>
      <c r="CJ4212">
        <v>-4.4000000000000004</v>
      </c>
      <c r="CK4212">
        <v>81</v>
      </c>
      <c r="CL4212">
        <v>-0.52</v>
      </c>
      <c r="CM4212">
        <v>77</v>
      </c>
      <c r="CN4212">
        <v>-0.55000000000000004</v>
      </c>
      <c r="CO4212">
        <v>75</v>
      </c>
      <c r="CP4212">
        <v>-6.9</v>
      </c>
      <c r="CQ4212">
        <v>72</v>
      </c>
      <c r="CR4212">
        <v>0</v>
      </c>
      <c r="CS4212">
        <v>0</v>
      </c>
      <c r="CT4212">
        <v>-3</v>
      </c>
      <c r="CU4212">
        <v>56</v>
      </c>
      <c r="CV4212">
        <v>0</v>
      </c>
      <c r="CW4212">
        <v>22</v>
      </c>
      <c r="CX4212" t="s">
        <v>666</v>
      </c>
    </row>
    <row r="4213" spans="1:102" x14ac:dyDescent="0.3">
      <c r="A4213" t="str">
        <f>HYPERLINK("https://webapp.icbf.com/v2/app/bull-search/view/260317260","LYT")</f>
        <v>LYT</v>
      </c>
      <c r="B4213" t="s">
        <v>11647</v>
      </c>
      <c r="C4213" t="s">
        <v>11648</v>
      </c>
      <c r="D4213" s="1">
        <v>37922</v>
      </c>
      <c r="E4213" t="s">
        <v>92</v>
      </c>
      <c r="F4213">
        <v>100</v>
      </c>
      <c r="G4213" t="s">
        <v>93</v>
      </c>
      <c r="H4213">
        <v>-99.99</v>
      </c>
      <c r="I4213">
        <v>87</v>
      </c>
      <c r="J4213">
        <v>-8.77</v>
      </c>
      <c r="K4213">
        <v>97</v>
      </c>
      <c r="L4213">
        <v>-101.35</v>
      </c>
      <c r="M4213">
        <v>75</v>
      </c>
      <c r="N4213">
        <v>16.88</v>
      </c>
      <c r="O4213">
        <v>87</v>
      </c>
      <c r="P4213">
        <v>-25.32</v>
      </c>
      <c r="Q4213">
        <v>94</v>
      </c>
      <c r="R4213">
        <v>7.74</v>
      </c>
      <c r="S4213">
        <v>82</v>
      </c>
      <c r="T4213">
        <v>8.5</v>
      </c>
      <c r="U4213">
        <v>93</v>
      </c>
      <c r="V4213">
        <v>2.33</v>
      </c>
      <c r="W4213">
        <v>81</v>
      </c>
      <c r="X4213" t="s">
        <v>102</v>
      </c>
      <c r="Y4213" t="s">
        <v>95</v>
      </c>
      <c r="Z4213" t="s">
        <v>96</v>
      </c>
      <c r="AA4213" t="s">
        <v>1707</v>
      </c>
      <c r="AB4213" t="s">
        <v>11649</v>
      </c>
      <c r="AC4213">
        <v>161</v>
      </c>
      <c r="AD4213">
        <v>77</v>
      </c>
      <c r="AE4213">
        <v>97</v>
      </c>
      <c r="AF4213">
        <v>274.98</v>
      </c>
      <c r="AG4213">
        <v>1.04</v>
      </c>
      <c r="AH4213">
        <v>2.35</v>
      </c>
      <c r="AI4213">
        <v>-0.15</v>
      </c>
      <c r="AJ4213">
        <v>-0.11</v>
      </c>
      <c r="AK4213">
        <v>75</v>
      </c>
      <c r="AL4213">
        <v>165</v>
      </c>
      <c r="AM4213">
        <v>88</v>
      </c>
      <c r="AN4213">
        <v>4.18</v>
      </c>
      <c r="AO4213">
        <v>-3.92</v>
      </c>
      <c r="AP4213">
        <v>303</v>
      </c>
      <c r="AQ4213">
        <v>0</v>
      </c>
      <c r="AR4213">
        <v>6.97</v>
      </c>
      <c r="AS4213">
        <v>76</v>
      </c>
      <c r="AT4213">
        <v>3.79</v>
      </c>
      <c r="AU4213">
        <v>88</v>
      </c>
      <c r="AV4213">
        <v>-2.61</v>
      </c>
      <c r="AW4213">
        <v>96</v>
      </c>
      <c r="AX4213">
        <v>1.18</v>
      </c>
      <c r="AY4213">
        <v>88</v>
      </c>
      <c r="AZ4213">
        <v>5.95</v>
      </c>
      <c r="BA4213">
        <v>67</v>
      </c>
      <c r="BB4213">
        <v>4.41</v>
      </c>
      <c r="BC4213">
        <v>71</v>
      </c>
      <c r="BD4213">
        <v>0</v>
      </c>
      <c r="BE4213">
        <v>-0.02</v>
      </c>
      <c r="BF4213">
        <v>-0.14000000000000001</v>
      </c>
      <c r="BG4213">
        <v>89</v>
      </c>
      <c r="BH4213">
        <v>0.13</v>
      </c>
      <c r="BI4213">
        <v>7.51</v>
      </c>
      <c r="BJ4213">
        <v>49</v>
      </c>
      <c r="BK4213">
        <v>23</v>
      </c>
      <c r="BL4213">
        <v>1.1599999999999999</v>
      </c>
      <c r="BM4213">
        <v>-2.73</v>
      </c>
      <c r="BN4213">
        <v>-0.01</v>
      </c>
      <c r="BO4213">
        <v>1.79</v>
      </c>
      <c r="BP4213">
        <v>2.33</v>
      </c>
      <c r="BQ4213">
        <v>-1.51</v>
      </c>
      <c r="BR4213">
        <v>1.07</v>
      </c>
      <c r="BS4213">
        <v>0.35</v>
      </c>
      <c r="BT4213">
        <v>-0.82</v>
      </c>
      <c r="BU4213">
        <v>0.79</v>
      </c>
      <c r="BV4213">
        <v>1.81</v>
      </c>
      <c r="BW4213">
        <v>1.08</v>
      </c>
      <c r="BX4213">
        <v>-0.11</v>
      </c>
      <c r="BY4213">
        <v>2.34</v>
      </c>
      <c r="BZ4213">
        <v>-1</v>
      </c>
      <c r="CA4213">
        <v>1.36</v>
      </c>
      <c r="CB4213">
        <v>1.63</v>
      </c>
      <c r="CC4213">
        <v>0.19</v>
      </c>
      <c r="CD4213">
        <v>-2.12</v>
      </c>
      <c r="CE4213">
        <v>1.72</v>
      </c>
      <c r="CF4213">
        <v>0.2</v>
      </c>
      <c r="CG4213">
        <v>0</v>
      </c>
      <c r="CH4213">
        <v>1.98</v>
      </c>
      <c r="CI4213">
        <v>0</v>
      </c>
      <c r="CJ4213">
        <v>-7.3</v>
      </c>
      <c r="CK4213">
        <v>95</v>
      </c>
      <c r="CL4213">
        <v>-1.44</v>
      </c>
      <c r="CM4213">
        <v>94</v>
      </c>
      <c r="CN4213">
        <v>-0.1</v>
      </c>
      <c r="CO4213">
        <v>93</v>
      </c>
      <c r="CP4213">
        <v>-10.4</v>
      </c>
      <c r="CQ4213">
        <v>93</v>
      </c>
      <c r="CR4213">
        <v>0</v>
      </c>
      <c r="CS4213">
        <v>0</v>
      </c>
      <c r="CT4213">
        <v>2.2999999999999998</v>
      </c>
      <c r="CU4213">
        <v>93</v>
      </c>
      <c r="CV4213">
        <v>0.34</v>
      </c>
      <c r="CW4213">
        <v>28</v>
      </c>
      <c r="CX4213" t="s">
        <v>2431</v>
      </c>
    </row>
    <row r="4214" spans="1:102" x14ac:dyDescent="0.3">
      <c r="A4214" t="str">
        <f>HYPERLINK("https://webapp.icbf.com/v2/app/bull-search/view/122819292","JDG")</f>
        <v>JDG</v>
      </c>
      <c r="B4214" t="s">
        <v>15363</v>
      </c>
      <c r="C4214" t="s">
        <v>1232</v>
      </c>
      <c r="D4214" s="1">
        <v>36127</v>
      </c>
      <c r="E4214" t="s">
        <v>92</v>
      </c>
      <c r="F4214">
        <v>100</v>
      </c>
      <c r="G4214" t="s">
        <v>93</v>
      </c>
      <c r="H4214">
        <v>-100.01</v>
      </c>
      <c r="I4214">
        <v>90</v>
      </c>
      <c r="J4214">
        <v>-25.96</v>
      </c>
      <c r="K4214">
        <v>98</v>
      </c>
      <c r="L4214">
        <v>-65.989999999999995</v>
      </c>
      <c r="M4214">
        <v>85</v>
      </c>
      <c r="N4214">
        <v>2.33</v>
      </c>
      <c r="O4214">
        <v>86</v>
      </c>
      <c r="P4214">
        <v>-10.08</v>
      </c>
      <c r="Q4214">
        <v>94</v>
      </c>
      <c r="R4214">
        <v>2.75</v>
      </c>
      <c r="S4214">
        <v>84</v>
      </c>
      <c r="T4214">
        <v>11.38</v>
      </c>
      <c r="U4214">
        <v>92</v>
      </c>
      <c r="V4214">
        <v>-14.44</v>
      </c>
      <c r="W4214">
        <v>78</v>
      </c>
      <c r="X4214" t="s">
        <v>94</v>
      </c>
      <c r="Y4214" t="s">
        <v>95</v>
      </c>
      <c r="Z4214" t="s">
        <v>96</v>
      </c>
      <c r="AA4214" t="s">
        <v>2444</v>
      </c>
      <c r="AB4214" t="s">
        <v>9804</v>
      </c>
      <c r="AC4214">
        <v>189</v>
      </c>
      <c r="AD4214">
        <v>148</v>
      </c>
      <c r="AE4214">
        <v>98</v>
      </c>
      <c r="AF4214">
        <v>-162.06</v>
      </c>
      <c r="AG4214">
        <v>-4.54</v>
      </c>
      <c r="AH4214">
        <v>-5.29</v>
      </c>
      <c r="AI4214">
        <v>0.03</v>
      </c>
      <c r="AJ4214">
        <v>0</v>
      </c>
      <c r="AK4214">
        <v>85</v>
      </c>
      <c r="AL4214">
        <v>201</v>
      </c>
      <c r="AM4214">
        <v>145</v>
      </c>
      <c r="AN4214">
        <v>3.77</v>
      </c>
      <c r="AO4214">
        <v>-1.49</v>
      </c>
      <c r="AP4214">
        <v>27</v>
      </c>
      <c r="AQ4214">
        <v>0</v>
      </c>
      <c r="AR4214">
        <v>6.36</v>
      </c>
      <c r="AS4214">
        <v>78</v>
      </c>
      <c r="AT4214">
        <v>3</v>
      </c>
      <c r="AU4214">
        <v>86</v>
      </c>
      <c r="AV4214">
        <v>0.05</v>
      </c>
      <c r="AW4214">
        <v>90</v>
      </c>
      <c r="AX4214">
        <v>0.06</v>
      </c>
      <c r="AY4214">
        <v>88</v>
      </c>
      <c r="AZ4214">
        <v>6.26</v>
      </c>
      <c r="BA4214">
        <v>76</v>
      </c>
      <c r="BB4214">
        <v>5.32</v>
      </c>
      <c r="BC4214">
        <v>80</v>
      </c>
      <c r="BD4214">
        <v>0.01</v>
      </c>
      <c r="BE4214">
        <v>0</v>
      </c>
      <c r="BF4214">
        <v>-0.08</v>
      </c>
      <c r="BG4214">
        <v>93</v>
      </c>
      <c r="BH4214">
        <v>-0.39</v>
      </c>
      <c r="BI4214">
        <v>1.48</v>
      </c>
      <c r="BJ4214">
        <v>34</v>
      </c>
      <c r="BK4214">
        <v>23</v>
      </c>
      <c r="BL4214">
        <v>0.18</v>
      </c>
      <c r="BM4214">
        <v>0.8</v>
      </c>
      <c r="BN4214">
        <v>0.45</v>
      </c>
      <c r="BO4214">
        <v>-0.36</v>
      </c>
      <c r="BP4214">
        <v>-1.29</v>
      </c>
      <c r="BQ4214">
        <v>-0.86</v>
      </c>
      <c r="BR4214">
        <v>-0.57999999999999996</v>
      </c>
      <c r="BS4214">
        <v>1.78</v>
      </c>
      <c r="BT4214">
        <v>0.8</v>
      </c>
      <c r="BU4214">
        <v>0.15</v>
      </c>
      <c r="BV4214">
        <v>-0.99</v>
      </c>
      <c r="BW4214">
        <v>-0.97</v>
      </c>
      <c r="BX4214">
        <v>0.97</v>
      </c>
      <c r="BY4214">
        <v>1.03</v>
      </c>
      <c r="BZ4214">
        <v>0.13</v>
      </c>
      <c r="CA4214">
        <v>-0.12</v>
      </c>
      <c r="CB4214">
        <v>-0.56999999999999995</v>
      </c>
      <c r="CC4214">
        <v>1.02</v>
      </c>
      <c r="CD4214">
        <v>0.57999999999999996</v>
      </c>
      <c r="CE4214">
        <v>-0.68</v>
      </c>
      <c r="CF4214">
        <v>0.02</v>
      </c>
      <c r="CG4214">
        <v>0</v>
      </c>
      <c r="CH4214">
        <v>1.1200000000000001</v>
      </c>
      <c r="CI4214">
        <v>0</v>
      </c>
      <c r="CJ4214">
        <v>-4</v>
      </c>
      <c r="CK4214">
        <v>94</v>
      </c>
      <c r="CL4214">
        <v>-0.76</v>
      </c>
      <c r="CM4214">
        <v>93</v>
      </c>
      <c r="CN4214">
        <v>-0.32</v>
      </c>
      <c r="CO4214">
        <v>92</v>
      </c>
      <c r="CP4214">
        <v>-3.1</v>
      </c>
      <c r="CQ4214">
        <v>95</v>
      </c>
      <c r="CR4214">
        <v>0</v>
      </c>
      <c r="CS4214">
        <v>0</v>
      </c>
      <c r="CT4214">
        <v>-1.6</v>
      </c>
      <c r="CU4214">
        <v>92</v>
      </c>
      <c r="CV4214">
        <v>0.09</v>
      </c>
      <c r="CW4214">
        <v>45</v>
      </c>
      <c r="CX4214" t="s">
        <v>132</v>
      </c>
    </row>
    <row r="4215" spans="1:102" x14ac:dyDescent="0.3">
      <c r="A4215" t="str">
        <f>HYPERLINK("https://webapp.icbf.com/v2/app/bull-search/view/120554344","SOE")</f>
        <v>SOE</v>
      </c>
      <c r="B4215" t="s">
        <v>8691</v>
      </c>
      <c r="C4215" t="s">
        <v>8692</v>
      </c>
      <c r="D4215" s="1">
        <v>34031</v>
      </c>
      <c r="E4215" t="s">
        <v>92</v>
      </c>
      <c r="F4215">
        <v>100</v>
      </c>
      <c r="G4215" t="s">
        <v>109</v>
      </c>
      <c r="H4215">
        <v>-100.09</v>
      </c>
      <c r="I4215">
        <v>72</v>
      </c>
      <c r="J4215">
        <v>22.28</v>
      </c>
      <c r="K4215">
        <v>84</v>
      </c>
      <c r="L4215">
        <v>-92.79</v>
      </c>
      <c r="M4215">
        <v>78</v>
      </c>
      <c r="N4215">
        <v>-34.53</v>
      </c>
      <c r="O4215">
        <v>55</v>
      </c>
      <c r="P4215">
        <v>10.06</v>
      </c>
      <c r="Q4215">
        <v>63</v>
      </c>
      <c r="R4215">
        <v>1.77</v>
      </c>
      <c r="S4215">
        <v>62</v>
      </c>
      <c r="T4215">
        <v>-4.9000000000000004</v>
      </c>
      <c r="U4215">
        <v>53</v>
      </c>
      <c r="V4215">
        <v>-1.98</v>
      </c>
      <c r="W4215">
        <v>27</v>
      </c>
      <c r="X4215" t="s">
        <v>102</v>
      </c>
      <c r="Y4215" t="s">
        <v>95</v>
      </c>
      <c r="Z4215" t="s">
        <v>96</v>
      </c>
      <c r="AA4215" t="s">
        <v>1041</v>
      </c>
      <c r="AB4215" t="s">
        <v>8693</v>
      </c>
      <c r="AC4215">
        <v>0</v>
      </c>
      <c r="AD4215">
        <v>0</v>
      </c>
      <c r="AE4215">
        <v>84</v>
      </c>
      <c r="AF4215">
        <v>751.47</v>
      </c>
      <c r="AG4215">
        <v>2.5499999999999998</v>
      </c>
      <c r="AH4215">
        <v>14.39</v>
      </c>
      <c r="AI4215">
        <v>-0.39</v>
      </c>
      <c r="AJ4215">
        <v>-0.17</v>
      </c>
      <c r="AK4215">
        <v>78</v>
      </c>
      <c r="AL4215">
        <v>0</v>
      </c>
      <c r="AM4215">
        <v>0</v>
      </c>
      <c r="AN4215">
        <v>5.03</v>
      </c>
      <c r="AO4215">
        <v>-2.37</v>
      </c>
      <c r="AP4215">
        <v>24</v>
      </c>
      <c r="AQ4215">
        <v>0</v>
      </c>
      <c r="AR4215">
        <v>13.51</v>
      </c>
      <c r="AS4215">
        <v>24</v>
      </c>
      <c r="AT4215">
        <v>5.24</v>
      </c>
      <c r="AU4215">
        <v>82</v>
      </c>
      <c r="AV4215">
        <v>-1.88</v>
      </c>
      <c r="AW4215">
        <v>58</v>
      </c>
      <c r="AX4215">
        <v>-0.2</v>
      </c>
      <c r="AY4215">
        <v>46</v>
      </c>
      <c r="AZ4215">
        <v>7.64</v>
      </c>
      <c r="BA4215">
        <v>25</v>
      </c>
      <c r="BB4215">
        <v>5.78</v>
      </c>
      <c r="BC4215">
        <v>24</v>
      </c>
      <c r="BD4215">
        <v>0.02</v>
      </c>
      <c r="BE4215">
        <v>0.04</v>
      </c>
      <c r="BF4215">
        <v>-0.15</v>
      </c>
      <c r="BG4215">
        <v>89</v>
      </c>
      <c r="BH4215">
        <v>0.06</v>
      </c>
      <c r="BI4215">
        <v>13.33</v>
      </c>
      <c r="BJ4215">
        <v>13</v>
      </c>
      <c r="BK4215">
        <v>7</v>
      </c>
      <c r="BL4215">
        <v>-0.43</v>
      </c>
      <c r="BM4215">
        <v>2.1</v>
      </c>
      <c r="BN4215">
        <v>0.7</v>
      </c>
      <c r="BO4215">
        <v>-0.7</v>
      </c>
      <c r="BP4215">
        <v>0.84</v>
      </c>
      <c r="BQ4215">
        <v>0.54</v>
      </c>
      <c r="BR4215">
        <v>2.11</v>
      </c>
      <c r="BS4215">
        <v>-3.2</v>
      </c>
      <c r="BT4215">
        <v>-2.4</v>
      </c>
      <c r="BU4215">
        <v>-1.43</v>
      </c>
      <c r="BV4215">
        <v>-0.88</v>
      </c>
      <c r="BW4215">
        <v>-1.92</v>
      </c>
      <c r="BX4215">
        <v>-2.0099999999999998</v>
      </c>
      <c r="BY4215">
        <v>-0.4</v>
      </c>
      <c r="BZ4215">
        <v>-3.27</v>
      </c>
      <c r="CA4215">
        <v>-2.2000000000000002</v>
      </c>
      <c r="CB4215">
        <v>-1.35</v>
      </c>
      <c r="CC4215">
        <v>-2.77</v>
      </c>
      <c r="CD4215">
        <v>0.89</v>
      </c>
      <c r="CE4215">
        <v>0.4</v>
      </c>
      <c r="CF4215">
        <v>1.69</v>
      </c>
      <c r="CG4215">
        <v>0</v>
      </c>
      <c r="CH4215">
        <v>0.1</v>
      </c>
      <c r="CI4215">
        <v>0</v>
      </c>
      <c r="CJ4215">
        <v>9</v>
      </c>
      <c r="CK4215">
        <v>65</v>
      </c>
      <c r="CL4215">
        <v>-0.52</v>
      </c>
      <c r="CM4215">
        <v>61</v>
      </c>
      <c r="CN4215">
        <v>-0.19</v>
      </c>
      <c r="CO4215">
        <v>55</v>
      </c>
      <c r="CP4215">
        <v>5.2</v>
      </c>
      <c r="CQ4215">
        <v>70</v>
      </c>
      <c r="CR4215">
        <v>0</v>
      </c>
      <c r="CS4215">
        <v>0</v>
      </c>
      <c r="CT4215">
        <v>20.399999999999999</v>
      </c>
      <c r="CU4215">
        <v>53</v>
      </c>
      <c r="CV4215">
        <v>0.36</v>
      </c>
      <c r="CW4215">
        <v>16</v>
      </c>
      <c r="CX4215" t="s">
        <v>163</v>
      </c>
    </row>
    <row r="4216" spans="1:102" x14ac:dyDescent="0.3">
      <c r="A4216" t="str">
        <f>HYPERLINK("https://webapp.icbf.com/v2/app/bull-search/view/77853577","SZM")</f>
        <v>SZM</v>
      </c>
      <c r="B4216" t="s">
        <v>8025</v>
      </c>
      <c r="C4216" t="s">
        <v>8026</v>
      </c>
      <c r="D4216" s="1">
        <v>34494</v>
      </c>
      <c r="E4216" t="s">
        <v>92</v>
      </c>
      <c r="F4216">
        <v>100</v>
      </c>
      <c r="G4216" t="s">
        <v>93</v>
      </c>
      <c r="H4216">
        <v>-100.17</v>
      </c>
      <c r="I4216">
        <v>92</v>
      </c>
      <c r="J4216">
        <v>-5.42</v>
      </c>
      <c r="K4216">
        <v>98</v>
      </c>
      <c r="L4216">
        <v>-89.36</v>
      </c>
      <c r="M4216">
        <v>88</v>
      </c>
      <c r="N4216">
        <v>5.42</v>
      </c>
      <c r="O4216">
        <v>89</v>
      </c>
      <c r="P4216">
        <v>-15.28</v>
      </c>
      <c r="Q4216">
        <v>97</v>
      </c>
      <c r="R4216">
        <v>-18.45</v>
      </c>
      <c r="S4216">
        <v>83</v>
      </c>
      <c r="T4216">
        <v>23.74</v>
      </c>
      <c r="U4216">
        <v>92</v>
      </c>
      <c r="V4216">
        <v>-0.82</v>
      </c>
      <c r="W4216">
        <v>77</v>
      </c>
      <c r="X4216" t="s">
        <v>276</v>
      </c>
      <c r="Y4216" t="s">
        <v>95</v>
      </c>
      <c r="Z4216" t="s">
        <v>96</v>
      </c>
      <c r="AA4216" t="s">
        <v>8027</v>
      </c>
      <c r="AB4216" t="s">
        <v>8028</v>
      </c>
      <c r="AC4216">
        <v>225</v>
      </c>
      <c r="AD4216">
        <v>120</v>
      </c>
      <c r="AE4216">
        <v>98</v>
      </c>
      <c r="AF4216">
        <v>55.14</v>
      </c>
      <c r="AG4216">
        <v>-2.2000000000000002</v>
      </c>
      <c r="AH4216">
        <v>0.7</v>
      </c>
      <c r="AI4216">
        <v>-0.08</v>
      </c>
      <c r="AJ4216">
        <v>-0.02</v>
      </c>
      <c r="AK4216">
        <v>88</v>
      </c>
      <c r="AL4216">
        <v>253</v>
      </c>
      <c r="AM4216">
        <v>126</v>
      </c>
      <c r="AN4216">
        <v>6.13</v>
      </c>
      <c r="AO4216">
        <v>-0.98</v>
      </c>
      <c r="AP4216">
        <v>265</v>
      </c>
      <c r="AQ4216">
        <v>0</v>
      </c>
      <c r="AR4216">
        <v>9.0299999999999994</v>
      </c>
      <c r="AS4216">
        <v>91</v>
      </c>
      <c r="AT4216">
        <v>4.1100000000000003</v>
      </c>
      <c r="AU4216">
        <v>87</v>
      </c>
      <c r="AV4216">
        <v>-1.79</v>
      </c>
      <c r="AW4216">
        <v>94</v>
      </c>
      <c r="AX4216">
        <v>-0.6</v>
      </c>
      <c r="AY4216">
        <v>91</v>
      </c>
      <c r="AZ4216">
        <v>5.64</v>
      </c>
      <c r="BA4216">
        <v>75</v>
      </c>
      <c r="BB4216">
        <v>4.53</v>
      </c>
      <c r="BC4216">
        <v>79</v>
      </c>
      <c r="BD4216">
        <v>0.08</v>
      </c>
      <c r="BE4216">
        <v>0.09</v>
      </c>
      <c r="BF4216">
        <v>0.12</v>
      </c>
      <c r="BG4216">
        <v>94</v>
      </c>
      <c r="BH4216">
        <v>-0.08</v>
      </c>
      <c r="BI4216">
        <v>-6.61</v>
      </c>
      <c r="BJ4216">
        <v>22</v>
      </c>
      <c r="BK4216">
        <v>9</v>
      </c>
      <c r="BL4216">
        <v>0.44</v>
      </c>
      <c r="BM4216">
        <v>-0.69</v>
      </c>
      <c r="BN4216">
        <v>0.49</v>
      </c>
      <c r="BO4216">
        <v>0.82</v>
      </c>
      <c r="BP4216">
        <v>1.18</v>
      </c>
      <c r="BQ4216">
        <v>-0.22</v>
      </c>
      <c r="BR4216">
        <v>-0.06</v>
      </c>
      <c r="BS4216">
        <v>0.2</v>
      </c>
      <c r="BT4216">
        <v>1.2</v>
      </c>
      <c r="BU4216">
        <v>0.21</v>
      </c>
      <c r="BV4216">
        <v>1.4</v>
      </c>
      <c r="BW4216">
        <v>-0.24</v>
      </c>
      <c r="BX4216">
        <v>-0.05</v>
      </c>
      <c r="BY4216">
        <v>-0.36</v>
      </c>
      <c r="BZ4216">
        <v>0.75</v>
      </c>
      <c r="CA4216">
        <v>0.55000000000000004</v>
      </c>
      <c r="CB4216">
        <v>0.13</v>
      </c>
      <c r="CC4216">
        <v>0.61</v>
      </c>
      <c r="CD4216">
        <v>-1.38</v>
      </c>
      <c r="CE4216">
        <v>-0.17</v>
      </c>
      <c r="CF4216">
        <v>-1.06</v>
      </c>
      <c r="CG4216">
        <v>0</v>
      </c>
      <c r="CH4216">
        <v>-0.53</v>
      </c>
      <c r="CI4216">
        <v>0</v>
      </c>
      <c r="CJ4216">
        <v>-6.7</v>
      </c>
      <c r="CK4216">
        <v>97</v>
      </c>
      <c r="CL4216">
        <v>-0.75</v>
      </c>
      <c r="CM4216">
        <v>97</v>
      </c>
      <c r="CN4216">
        <v>-0.31</v>
      </c>
      <c r="CO4216">
        <v>96</v>
      </c>
      <c r="CP4216">
        <v>-12.8</v>
      </c>
      <c r="CQ4216">
        <v>96</v>
      </c>
      <c r="CR4216">
        <v>0</v>
      </c>
      <c r="CS4216">
        <v>0</v>
      </c>
      <c r="CT4216">
        <v>-18.3</v>
      </c>
      <c r="CU4216">
        <v>92</v>
      </c>
      <c r="CV4216">
        <v>7.0000000000000007E-2</v>
      </c>
      <c r="CW4216">
        <v>45</v>
      </c>
      <c r="CX4216" t="s">
        <v>3209</v>
      </c>
    </row>
    <row r="4217" spans="1:102" x14ac:dyDescent="0.3">
      <c r="A4217" t="str">
        <f>HYPERLINK("https://webapp.icbf.com/v2/app/bull-search/view/760394286","S1195")</f>
        <v>S1195</v>
      </c>
      <c r="B4217" t="s">
        <v>9113</v>
      </c>
      <c r="C4217" t="s">
        <v>9114</v>
      </c>
      <c r="D4217" s="1">
        <v>39742</v>
      </c>
      <c r="E4217" t="s">
        <v>92</v>
      </c>
      <c r="F4217">
        <v>100</v>
      </c>
      <c r="G4217" t="s">
        <v>109</v>
      </c>
      <c r="H4217">
        <v>-100.21</v>
      </c>
      <c r="I4217">
        <v>59</v>
      </c>
      <c r="J4217">
        <v>-6.98</v>
      </c>
      <c r="K4217">
        <v>73</v>
      </c>
      <c r="L4217">
        <v>-78.78</v>
      </c>
      <c r="M4217">
        <v>62</v>
      </c>
      <c r="N4217">
        <v>4.34</v>
      </c>
      <c r="O4217">
        <v>45</v>
      </c>
      <c r="P4217">
        <v>-9.08</v>
      </c>
      <c r="Q4217">
        <v>41</v>
      </c>
      <c r="R4217">
        <v>-5.76</v>
      </c>
      <c r="S4217">
        <v>51</v>
      </c>
      <c r="T4217">
        <v>-4.16</v>
      </c>
      <c r="U4217">
        <v>44</v>
      </c>
      <c r="V4217">
        <v>0.21</v>
      </c>
      <c r="W4217">
        <v>21</v>
      </c>
      <c r="X4217" t="s">
        <v>110</v>
      </c>
      <c r="Y4217" t="s">
        <v>336</v>
      </c>
      <c r="Z4217" t="s">
        <v>96</v>
      </c>
      <c r="AA4217" t="s">
        <v>348</v>
      </c>
      <c r="AB4217" t="s">
        <v>5499</v>
      </c>
      <c r="AC4217">
        <v>0</v>
      </c>
      <c r="AD4217">
        <v>0</v>
      </c>
      <c r="AE4217">
        <v>73</v>
      </c>
      <c r="AF4217">
        <v>362.09</v>
      </c>
      <c r="AG4217">
        <v>2.9</v>
      </c>
      <c r="AH4217">
        <v>3.33</v>
      </c>
      <c r="AI4217">
        <v>-0.18</v>
      </c>
      <c r="AJ4217">
        <v>-0.14000000000000001</v>
      </c>
      <c r="AK4217">
        <v>62</v>
      </c>
      <c r="AL4217">
        <v>0</v>
      </c>
      <c r="AM4217">
        <v>0</v>
      </c>
      <c r="AN4217">
        <v>4.4800000000000004</v>
      </c>
      <c r="AO4217">
        <v>-1.8</v>
      </c>
      <c r="AP4217">
        <v>4</v>
      </c>
      <c r="AQ4217">
        <v>0</v>
      </c>
      <c r="AR4217">
        <v>9.42</v>
      </c>
      <c r="AS4217">
        <v>25</v>
      </c>
      <c r="AT4217">
        <v>4.07</v>
      </c>
      <c r="AU4217">
        <v>70</v>
      </c>
      <c r="AV4217">
        <v>-2.56</v>
      </c>
      <c r="AW4217">
        <v>46</v>
      </c>
      <c r="AX4217">
        <v>0.44</v>
      </c>
      <c r="AY4217">
        <v>32</v>
      </c>
      <c r="AZ4217">
        <v>6.32</v>
      </c>
      <c r="BA4217">
        <v>22</v>
      </c>
      <c r="BB4217">
        <v>5.0999999999999996</v>
      </c>
      <c r="BC4217">
        <v>20</v>
      </c>
      <c r="BD4217">
        <v>0.02</v>
      </c>
      <c r="BE4217">
        <v>0.01</v>
      </c>
      <c r="BF4217">
        <v>0.08</v>
      </c>
      <c r="BG4217">
        <v>74</v>
      </c>
      <c r="BH4217">
        <v>0.05</v>
      </c>
      <c r="BI4217">
        <v>5.12</v>
      </c>
      <c r="BJ4217">
        <v>2</v>
      </c>
      <c r="BK4217">
        <v>1</v>
      </c>
      <c r="BL4217">
        <v>1.58</v>
      </c>
      <c r="BM4217">
        <v>0.72</v>
      </c>
      <c r="BN4217">
        <v>2.2599999999999998</v>
      </c>
      <c r="BO4217">
        <v>0.83</v>
      </c>
      <c r="BP4217">
        <v>0.98</v>
      </c>
      <c r="BQ4217">
        <v>1.89</v>
      </c>
      <c r="BR4217">
        <v>-0.9</v>
      </c>
      <c r="BS4217">
        <v>1.1499999999999999</v>
      </c>
      <c r="BT4217">
        <v>2.6</v>
      </c>
      <c r="BU4217">
        <v>2.59</v>
      </c>
      <c r="BV4217">
        <v>3.24</v>
      </c>
      <c r="BW4217">
        <v>1.67</v>
      </c>
      <c r="BX4217">
        <v>0.82</v>
      </c>
      <c r="BY4217">
        <v>0.32</v>
      </c>
      <c r="BZ4217">
        <v>1.61</v>
      </c>
      <c r="CA4217">
        <v>1.99</v>
      </c>
      <c r="CB4217">
        <v>2</v>
      </c>
      <c r="CC4217">
        <v>1.32</v>
      </c>
      <c r="CD4217">
        <v>0.37</v>
      </c>
      <c r="CE4217">
        <v>1.51</v>
      </c>
      <c r="CF4217">
        <v>1.87</v>
      </c>
      <c r="CG4217">
        <v>0</v>
      </c>
      <c r="CH4217">
        <v>1.4</v>
      </c>
      <c r="CI4217">
        <v>0</v>
      </c>
      <c r="CJ4217">
        <v>-3</v>
      </c>
      <c r="CK4217">
        <v>42</v>
      </c>
      <c r="CL4217">
        <v>-1.26</v>
      </c>
      <c r="CM4217">
        <v>39</v>
      </c>
      <c r="CN4217">
        <v>-0.66</v>
      </c>
      <c r="CO4217">
        <v>37</v>
      </c>
      <c r="CP4217">
        <v>2.2000000000000002</v>
      </c>
      <c r="CQ4217">
        <v>41</v>
      </c>
      <c r="CR4217">
        <v>0</v>
      </c>
      <c r="CS4217">
        <v>0</v>
      </c>
      <c r="CT4217">
        <v>19.399999999999999</v>
      </c>
      <c r="CU4217">
        <v>44</v>
      </c>
      <c r="CV4217">
        <v>0.27</v>
      </c>
      <c r="CW4217">
        <v>11</v>
      </c>
      <c r="CX4217" t="s">
        <v>309</v>
      </c>
    </row>
    <row r="4218" spans="1:102" x14ac:dyDescent="0.3">
      <c r="A4218" t="str">
        <f>HYPERLINK("https://webapp.icbf.com/v2/app/bull-search/view/77852890","VZM")</f>
        <v>VZM</v>
      </c>
      <c r="B4218" t="s">
        <v>7390</v>
      </c>
      <c r="C4218" t="s">
        <v>7391</v>
      </c>
      <c r="D4218" s="1">
        <v>35462</v>
      </c>
      <c r="E4218" t="s">
        <v>92</v>
      </c>
      <c r="F4218">
        <v>100</v>
      </c>
      <c r="G4218" t="s">
        <v>93</v>
      </c>
      <c r="H4218">
        <v>-100.29</v>
      </c>
      <c r="I4218">
        <v>73</v>
      </c>
      <c r="J4218">
        <v>27.26</v>
      </c>
      <c r="K4218">
        <v>95</v>
      </c>
      <c r="L4218">
        <v>-131.27000000000001</v>
      </c>
      <c r="M4218">
        <v>57</v>
      </c>
      <c r="N4218">
        <v>-2.72</v>
      </c>
      <c r="O4218">
        <v>65</v>
      </c>
      <c r="P4218">
        <v>8.74</v>
      </c>
      <c r="Q4218">
        <v>83</v>
      </c>
      <c r="R4218">
        <v>-3.6</v>
      </c>
      <c r="S4218">
        <v>62</v>
      </c>
      <c r="T4218">
        <v>3.47</v>
      </c>
      <c r="U4218">
        <v>74</v>
      </c>
      <c r="V4218">
        <v>-2.17</v>
      </c>
      <c r="W4218">
        <v>35</v>
      </c>
      <c r="X4218" t="s">
        <v>94</v>
      </c>
      <c r="Y4218" t="s">
        <v>95</v>
      </c>
      <c r="Z4218" t="s">
        <v>96</v>
      </c>
      <c r="AA4218" t="s">
        <v>7392</v>
      </c>
      <c r="AB4218" t="s">
        <v>7393</v>
      </c>
      <c r="AC4218">
        <v>79</v>
      </c>
      <c r="AD4218">
        <v>61</v>
      </c>
      <c r="AE4218">
        <v>95</v>
      </c>
      <c r="AF4218">
        <v>71.099999999999994</v>
      </c>
      <c r="AG4218">
        <v>1.17</v>
      </c>
      <c r="AH4218">
        <v>5.31</v>
      </c>
      <c r="AI4218">
        <v>-0.03</v>
      </c>
      <c r="AJ4218">
        <v>0.05</v>
      </c>
      <c r="AK4218">
        <v>57</v>
      </c>
      <c r="AL4218">
        <v>70</v>
      </c>
      <c r="AM4218">
        <v>58</v>
      </c>
      <c r="AN4218">
        <v>7.06</v>
      </c>
      <c r="AO4218">
        <v>-3.41</v>
      </c>
      <c r="AP4218">
        <v>30</v>
      </c>
      <c r="AQ4218">
        <v>0</v>
      </c>
      <c r="AR4218">
        <v>9.25</v>
      </c>
      <c r="AS4218">
        <v>36</v>
      </c>
      <c r="AT4218">
        <v>4.3600000000000003</v>
      </c>
      <c r="AU4218">
        <v>64</v>
      </c>
      <c r="AV4218">
        <v>-1.38</v>
      </c>
      <c r="AW4218">
        <v>77</v>
      </c>
      <c r="AX4218">
        <v>-0.84</v>
      </c>
      <c r="AY4218">
        <v>71</v>
      </c>
      <c r="AZ4218">
        <v>6.93</v>
      </c>
      <c r="BA4218">
        <v>37</v>
      </c>
      <c r="BB4218">
        <v>4.5999999999999996</v>
      </c>
      <c r="BC4218">
        <v>48</v>
      </c>
      <c r="BD4218">
        <v>0.04</v>
      </c>
      <c r="BE4218">
        <v>0.04</v>
      </c>
      <c r="BF4218">
        <v>-0.06</v>
      </c>
      <c r="BG4218">
        <v>79</v>
      </c>
      <c r="BH4218">
        <v>-0.02</v>
      </c>
      <c r="BI4218">
        <v>4.68</v>
      </c>
      <c r="BJ4218">
        <v>35</v>
      </c>
      <c r="BK4218">
        <v>21</v>
      </c>
      <c r="BL4218">
        <v>0.55000000000000004</v>
      </c>
      <c r="BM4218">
        <v>-1.1000000000000001</v>
      </c>
      <c r="BN4218">
        <v>-0.42</v>
      </c>
      <c r="BO4218">
        <v>0.32</v>
      </c>
      <c r="BP4218">
        <v>0.54</v>
      </c>
      <c r="BQ4218">
        <v>-0.23</v>
      </c>
      <c r="BR4218">
        <v>-0.97</v>
      </c>
      <c r="BS4218">
        <v>0.4</v>
      </c>
      <c r="BT4218">
        <v>0.53</v>
      </c>
      <c r="BU4218">
        <v>0.62</v>
      </c>
      <c r="BV4218">
        <v>1.52</v>
      </c>
      <c r="BW4218">
        <v>1.36</v>
      </c>
      <c r="BX4218">
        <v>0.66</v>
      </c>
      <c r="BY4218">
        <v>0.01</v>
      </c>
      <c r="BZ4218">
        <v>-0.67</v>
      </c>
      <c r="CA4218">
        <v>1.05</v>
      </c>
      <c r="CB4218">
        <v>0.87</v>
      </c>
      <c r="CC4218">
        <v>0.83</v>
      </c>
      <c r="CD4218">
        <v>-0.71</v>
      </c>
      <c r="CE4218">
        <v>0.16</v>
      </c>
      <c r="CF4218">
        <v>0.64</v>
      </c>
      <c r="CG4218">
        <v>0</v>
      </c>
      <c r="CH4218">
        <v>1.34</v>
      </c>
      <c r="CI4218">
        <v>0</v>
      </c>
      <c r="CJ4218">
        <v>6</v>
      </c>
      <c r="CK4218">
        <v>84</v>
      </c>
      <c r="CL4218">
        <v>-0.52</v>
      </c>
      <c r="CM4218">
        <v>81</v>
      </c>
      <c r="CN4218">
        <v>-0.44</v>
      </c>
      <c r="CO4218">
        <v>79</v>
      </c>
      <c r="CP4218">
        <v>4.5</v>
      </c>
      <c r="CQ4218">
        <v>85</v>
      </c>
      <c r="CR4218">
        <v>0</v>
      </c>
      <c r="CS4218">
        <v>0</v>
      </c>
      <c r="CT4218">
        <v>9.1</v>
      </c>
      <c r="CU4218">
        <v>74</v>
      </c>
      <c r="CV4218">
        <v>0.24</v>
      </c>
      <c r="CW4218">
        <v>23</v>
      </c>
      <c r="CX4218" t="s">
        <v>678</v>
      </c>
    </row>
    <row r="4219" spans="1:102" x14ac:dyDescent="0.3">
      <c r="A4219" t="str">
        <f>HYPERLINK("https://webapp.icbf.com/v2/app/bull-search/view/77855932","LRV")</f>
        <v>LRV</v>
      </c>
      <c r="B4219" t="s">
        <v>1369</v>
      </c>
      <c r="C4219" t="s">
        <v>1370</v>
      </c>
      <c r="D4219" s="1">
        <v>34231</v>
      </c>
      <c r="E4219" t="s">
        <v>92</v>
      </c>
      <c r="F4219">
        <v>100</v>
      </c>
      <c r="G4219" t="s">
        <v>93</v>
      </c>
      <c r="H4219">
        <v>-100.36</v>
      </c>
      <c r="I4219">
        <v>82</v>
      </c>
      <c r="J4219">
        <v>-12.82</v>
      </c>
      <c r="K4219">
        <v>97</v>
      </c>
      <c r="L4219">
        <v>-95.16</v>
      </c>
      <c r="M4219">
        <v>75</v>
      </c>
      <c r="N4219">
        <v>5.13</v>
      </c>
      <c r="O4219">
        <v>69</v>
      </c>
      <c r="P4219">
        <v>0.9</v>
      </c>
      <c r="Q4219">
        <v>87</v>
      </c>
      <c r="R4219">
        <v>-8.83</v>
      </c>
      <c r="S4219">
        <v>76</v>
      </c>
      <c r="T4219">
        <v>8.2799999999999994</v>
      </c>
      <c r="U4219">
        <v>83</v>
      </c>
      <c r="V4219">
        <v>2.14</v>
      </c>
      <c r="W4219">
        <v>46</v>
      </c>
      <c r="X4219" t="s">
        <v>94</v>
      </c>
      <c r="Y4219" t="s">
        <v>95</v>
      </c>
      <c r="Z4219" t="s">
        <v>96</v>
      </c>
      <c r="AA4219" t="s">
        <v>485</v>
      </c>
      <c r="AB4219" t="s">
        <v>1371</v>
      </c>
      <c r="AC4219">
        <v>160</v>
      </c>
      <c r="AD4219">
        <v>105</v>
      </c>
      <c r="AE4219">
        <v>97</v>
      </c>
      <c r="AF4219">
        <v>271.04000000000002</v>
      </c>
      <c r="AG4219">
        <v>-6</v>
      </c>
      <c r="AH4219">
        <v>4.09</v>
      </c>
      <c r="AI4219">
        <v>-0.26</v>
      </c>
      <c r="AJ4219">
        <v>-0.08</v>
      </c>
      <c r="AK4219">
        <v>75</v>
      </c>
      <c r="AL4219">
        <v>186</v>
      </c>
      <c r="AM4219">
        <v>127</v>
      </c>
      <c r="AN4219">
        <v>5.13</v>
      </c>
      <c r="AO4219">
        <v>-2.46</v>
      </c>
      <c r="AP4219">
        <v>3</v>
      </c>
      <c r="AQ4219">
        <v>0</v>
      </c>
      <c r="AR4219">
        <v>8.25</v>
      </c>
      <c r="AS4219">
        <v>45</v>
      </c>
      <c r="AT4219">
        <v>3.88</v>
      </c>
      <c r="AU4219">
        <v>65</v>
      </c>
      <c r="AV4219">
        <v>-1.03</v>
      </c>
      <c r="AW4219">
        <v>76</v>
      </c>
      <c r="AX4219">
        <v>-0.51</v>
      </c>
      <c r="AY4219">
        <v>83</v>
      </c>
      <c r="AZ4219">
        <v>5.23</v>
      </c>
      <c r="BA4219">
        <v>47</v>
      </c>
      <c r="BB4219">
        <v>4.37</v>
      </c>
      <c r="BC4219">
        <v>64</v>
      </c>
      <c r="BD4219">
        <v>0.06</v>
      </c>
      <c r="BE4219">
        <v>7.0000000000000007E-2</v>
      </c>
      <c r="BF4219">
        <v>-0.03</v>
      </c>
      <c r="BG4219">
        <v>92</v>
      </c>
      <c r="BH4219">
        <v>0.18</v>
      </c>
      <c r="BI4219">
        <v>13.92</v>
      </c>
      <c r="BJ4219">
        <v>47</v>
      </c>
      <c r="BK4219">
        <v>34</v>
      </c>
      <c r="BL4219">
        <v>1.18</v>
      </c>
      <c r="BM4219">
        <v>1.63</v>
      </c>
      <c r="BN4219">
        <v>1.69</v>
      </c>
      <c r="BO4219">
        <v>0.56999999999999995</v>
      </c>
      <c r="BP4219">
        <v>-2.2599999999999998</v>
      </c>
      <c r="BQ4219">
        <v>1.37</v>
      </c>
      <c r="BR4219">
        <v>0.27</v>
      </c>
      <c r="BS4219">
        <v>-0.02</v>
      </c>
      <c r="BT4219">
        <v>0.82</v>
      </c>
      <c r="BU4219">
        <v>0.17</v>
      </c>
      <c r="BV4219">
        <v>0.59</v>
      </c>
      <c r="BW4219">
        <v>0.08</v>
      </c>
      <c r="BX4219">
        <v>1.27</v>
      </c>
      <c r="BY4219">
        <v>-0.2</v>
      </c>
      <c r="BZ4219">
        <v>0.36</v>
      </c>
      <c r="CA4219">
        <v>0.47</v>
      </c>
      <c r="CB4219">
        <v>0.53</v>
      </c>
      <c r="CC4219">
        <v>0.24</v>
      </c>
      <c r="CD4219">
        <v>0.28999999999999998</v>
      </c>
      <c r="CE4219">
        <v>1.06</v>
      </c>
      <c r="CF4219">
        <v>1.85</v>
      </c>
      <c r="CG4219">
        <v>0</v>
      </c>
      <c r="CH4219">
        <v>1.03</v>
      </c>
      <c r="CI4219">
        <v>0</v>
      </c>
      <c r="CJ4219">
        <v>2</v>
      </c>
      <c r="CK4219">
        <v>88</v>
      </c>
      <c r="CL4219">
        <v>-0.51</v>
      </c>
      <c r="CM4219">
        <v>85</v>
      </c>
      <c r="CN4219">
        <v>-0.31</v>
      </c>
      <c r="CO4219">
        <v>84</v>
      </c>
      <c r="CP4219">
        <v>-1.5</v>
      </c>
      <c r="CQ4219">
        <v>90</v>
      </c>
      <c r="CR4219">
        <v>0</v>
      </c>
      <c r="CS4219">
        <v>0</v>
      </c>
      <c r="CT4219">
        <v>2.6</v>
      </c>
      <c r="CU4219">
        <v>83</v>
      </c>
      <c r="CV4219">
        <v>0.17</v>
      </c>
      <c r="CW4219">
        <v>26</v>
      </c>
      <c r="CX4219" t="s">
        <v>161</v>
      </c>
    </row>
    <row r="4220" spans="1:102" x14ac:dyDescent="0.3">
      <c r="A4220" t="str">
        <f>HYPERLINK("https://webapp.icbf.com/v2/app/bull-search/view/77858911","CIF")</f>
        <v>CIF</v>
      </c>
      <c r="B4220" t="s">
        <v>951</v>
      </c>
      <c r="C4220" t="s">
        <v>952</v>
      </c>
      <c r="D4220" s="1">
        <v>35398</v>
      </c>
      <c r="E4220" t="s">
        <v>92</v>
      </c>
      <c r="F4220">
        <v>100</v>
      </c>
      <c r="G4220" t="s">
        <v>116</v>
      </c>
      <c r="H4220">
        <v>-100.46</v>
      </c>
      <c r="I4220">
        <v>45</v>
      </c>
      <c r="J4220">
        <v>31.04</v>
      </c>
      <c r="K4220">
        <v>53</v>
      </c>
      <c r="L4220">
        <v>-111.81</v>
      </c>
      <c r="M4220">
        <v>35</v>
      </c>
      <c r="N4220">
        <v>-13.98</v>
      </c>
      <c r="O4220">
        <v>43</v>
      </c>
      <c r="P4220">
        <v>-9.5</v>
      </c>
      <c r="Q4220">
        <v>54</v>
      </c>
      <c r="R4220">
        <v>-8.34</v>
      </c>
      <c r="S4220">
        <v>38</v>
      </c>
      <c r="T4220">
        <v>16.71</v>
      </c>
      <c r="U4220">
        <v>54</v>
      </c>
      <c r="V4220">
        <v>-4.58</v>
      </c>
      <c r="W4220">
        <v>31</v>
      </c>
      <c r="X4220" t="s">
        <v>94</v>
      </c>
      <c r="Y4220" t="s">
        <v>730</v>
      </c>
      <c r="Z4220" t="s">
        <v>96</v>
      </c>
      <c r="AA4220" t="s">
        <v>218</v>
      </c>
      <c r="AB4220" t="s">
        <v>953</v>
      </c>
      <c r="AC4220">
        <v>4</v>
      </c>
      <c r="AD4220">
        <v>5</v>
      </c>
      <c r="AE4220">
        <v>53</v>
      </c>
      <c r="AF4220">
        <v>51.29</v>
      </c>
      <c r="AG4220">
        <v>5.27</v>
      </c>
      <c r="AH4220">
        <v>4.2</v>
      </c>
      <c r="AI4220">
        <v>0.05</v>
      </c>
      <c r="AJ4220">
        <v>0.04</v>
      </c>
      <c r="AK4220">
        <v>35</v>
      </c>
      <c r="AL4220">
        <v>6</v>
      </c>
      <c r="AM4220">
        <v>6</v>
      </c>
      <c r="AN4220">
        <v>6.64</v>
      </c>
      <c r="AO4220">
        <v>-2.27</v>
      </c>
      <c r="AP4220">
        <v>5</v>
      </c>
      <c r="AQ4220">
        <v>0</v>
      </c>
      <c r="AR4220">
        <v>9.3000000000000007</v>
      </c>
      <c r="AS4220">
        <v>32</v>
      </c>
      <c r="AT4220">
        <v>4.2699999999999996</v>
      </c>
      <c r="AU4220">
        <v>37</v>
      </c>
      <c r="AV4220">
        <v>-0.28000000000000003</v>
      </c>
      <c r="AW4220">
        <v>54</v>
      </c>
      <c r="AX4220">
        <v>0.15</v>
      </c>
      <c r="AY4220">
        <v>37</v>
      </c>
      <c r="AZ4220">
        <v>6.19</v>
      </c>
      <c r="BA4220">
        <v>31</v>
      </c>
      <c r="BB4220">
        <v>4.97</v>
      </c>
      <c r="BC4220">
        <v>33</v>
      </c>
      <c r="BD4220">
        <v>0.04</v>
      </c>
      <c r="BE4220">
        <v>0.05</v>
      </c>
      <c r="BF4220">
        <v>0.03</v>
      </c>
      <c r="BG4220">
        <v>42</v>
      </c>
      <c r="BH4220">
        <v>-0.04</v>
      </c>
      <c r="BI4220">
        <v>10.15</v>
      </c>
      <c r="BJ4220">
        <v>0</v>
      </c>
      <c r="BK4220">
        <v>0</v>
      </c>
      <c r="BL4220">
        <v>0.06</v>
      </c>
      <c r="BM4220">
        <v>0.56999999999999995</v>
      </c>
      <c r="BN4220">
        <v>0.43</v>
      </c>
      <c r="BO4220">
        <v>0.09</v>
      </c>
      <c r="BP4220">
        <v>0.54</v>
      </c>
      <c r="BQ4220">
        <v>0</v>
      </c>
      <c r="BR4220">
        <v>1.45</v>
      </c>
      <c r="BS4220">
        <v>-1.34</v>
      </c>
      <c r="BT4220">
        <v>-1.47</v>
      </c>
      <c r="BU4220">
        <v>0.13</v>
      </c>
      <c r="BV4220">
        <v>0.74</v>
      </c>
      <c r="BW4220">
        <v>0.5</v>
      </c>
      <c r="BX4220">
        <v>-0.43</v>
      </c>
      <c r="BY4220">
        <v>1.42</v>
      </c>
      <c r="BZ4220">
        <v>-0.13</v>
      </c>
      <c r="CA4220">
        <v>0.13</v>
      </c>
      <c r="CB4220">
        <v>0.74</v>
      </c>
      <c r="CC4220">
        <v>-1.0900000000000001</v>
      </c>
      <c r="CD4220">
        <v>0.19</v>
      </c>
      <c r="CE4220">
        <v>0.18</v>
      </c>
      <c r="CF4220">
        <v>0.21</v>
      </c>
      <c r="CG4220">
        <v>0</v>
      </c>
      <c r="CH4220">
        <v>1.46</v>
      </c>
      <c r="CI4220">
        <v>0</v>
      </c>
      <c r="CJ4220">
        <v>-3</v>
      </c>
      <c r="CK4220">
        <v>56</v>
      </c>
      <c r="CL4220">
        <v>-0.56999999999999995</v>
      </c>
      <c r="CM4220">
        <v>52</v>
      </c>
      <c r="CN4220">
        <v>-0.17</v>
      </c>
      <c r="CO4220">
        <v>49</v>
      </c>
      <c r="CP4220">
        <v>-9.8000000000000007</v>
      </c>
      <c r="CQ4220">
        <v>52</v>
      </c>
      <c r="CR4220">
        <v>0</v>
      </c>
      <c r="CS4220">
        <v>0</v>
      </c>
      <c r="CT4220">
        <v>-8.8000000000000007</v>
      </c>
      <c r="CU4220">
        <v>54</v>
      </c>
      <c r="CV4220">
        <v>0.15</v>
      </c>
      <c r="CW4220">
        <v>16</v>
      </c>
      <c r="CX4220" t="s">
        <v>954</v>
      </c>
    </row>
    <row r="4221" spans="1:102" x14ac:dyDescent="0.3">
      <c r="A4221" t="str">
        <f>HYPERLINK("https://webapp.icbf.com/v2/app/bull-search/view/77854321","QBF")</f>
        <v>QBF</v>
      </c>
      <c r="B4221" t="s">
        <v>14305</v>
      </c>
      <c r="C4221" t="s">
        <v>14306</v>
      </c>
      <c r="D4221" s="1">
        <v>34097</v>
      </c>
      <c r="E4221" t="s">
        <v>92</v>
      </c>
      <c r="F4221">
        <v>100</v>
      </c>
      <c r="G4221" t="s">
        <v>93</v>
      </c>
      <c r="H4221">
        <v>-100.52</v>
      </c>
      <c r="I4221">
        <v>74</v>
      </c>
      <c r="J4221">
        <v>-19.18</v>
      </c>
      <c r="K4221">
        <v>94</v>
      </c>
      <c r="L4221">
        <v>-73.03</v>
      </c>
      <c r="M4221">
        <v>66</v>
      </c>
      <c r="N4221">
        <v>-0.3</v>
      </c>
      <c r="O4221">
        <v>58</v>
      </c>
      <c r="P4221">
        <v>-15.92</v>
      </c>
      <c r="Q4221">
        <v>72</v>
      </c>
      <c r="R4221">
        <v>-3.6</v>
      </c>
      <c r="S4221">
        <v>70</v>
      </c>
      <c r="T4221">
        <v>16.420000000000002</v>
      </c>
      <c r="U4221">
        <v>69</v>
      </c>
      <c r="V4221">
        <v>-4.91</v>
      </c>
      <c r="W4221">
        <v>32</v>
      </c>
      <c r="X4221" t="s">
        <v>94</v>
      </c>
      <c r="Y4221" t="s">
        <v>95</v>
      </c>
      <c r="Z4221" t="s">
        <v>96</v>
      </c>
      <c r="AA4221" t="s">
        <v>1185</v>
      </c>
      <c r="AB4221" t="s">
        <v>3556</v>
      </c>
      <c r="AC4221">
        <v>90</v>
      </c>
      <c r="AD4221">
        <v>83</v>
      </c>
      <c r="AE4221">
        <v>94</v>
      </c>
      <c r="AF4221">
        <v>-392.26</v>
      </c>
      <c r="AG4221">
        <v>4.93</v>
      </c>
      <c r="AH4221">
        <v>-11.01</v>
      </c>
      <c r="AI4221">
        <v>0.36</v>
      </c>
      <c r="AJ4221">
        <v>0.04</v>
      </c>
      <c r="AK4221">
        <v>66</v>
      </c>
      <c r="AL4221">
        <v>112</v>
      </c>
      <c r="AM4221">
        <v>84</v>
      </c>
      <c r="AN4221">
        <v>2.75</v>
      </c>
      <c r="AO4221">
        <v>-3.09</v>
      </c>
      <c r="AP4221">
        <v>2</v>
      </c>
      <c r="AQ4221">
        <v>0</v>
      </c>
      <c r="AR4221">
        <v>7.75</v>
      </c>
      <c r="AS4221">
        <v>37</v>
      </c>
      <c r="AT4221">
        <v>3.29</v>
      </c>
      <c r="AU4221">
        <v>53</v>
      </c>
      <c r="AV4221">
        <v>-0.37</v>
      </c>
      <c r="AW4221">
        <v>67</v>
      </c>
      <c r="AX4221">
        <v>-0.04</v>
      </c>
      <c r="AY4221">
        <v>69</v>
      </c>
      <c r="AZ4221">
        <v>6.57</v>
      </c>
      <c r="BA4221">
        <v>37</v>
      </c>
      <c r="BB4221">
        <v>5.25</v>
      </c>
      <c r="BC4221">
        <v>51</v>
      </c>
      <c r="BD4221">
        <v>-0.02</v>
      </c>
      <c r="BE4221">
        <v>0.04</v>
      </c>
      <c r="BF4221">
        <v>0.04</v>
      </c>
      <c r="BG4221">
        <v>87</v>
      </c>
      <c r="BH4221">
        <v>-0.04</v>
      </c>
      <c r="BI4221">
        <v>11.2</v>
      </c>
      <c r="BJ4221">
        <v>36</v>
      </c>
      <c r="BK4221">
        <v>33</v>
      </c>
      <c r="BL4221">
        <v>7.0000000000000007E-2</v>
      </c>
      <c r="BM4221">
        <v>0.78</v>
      </c>
      <c r="BN4221">
        <v>-0.54</v>
      </c>
      <c r="BO4221">
        <v>-0.9</v>
      </c>
      <c r="BP4221">
        <v>-0.72</v>
      </c>
      <c r="BQ4221">
        <v>0.16</v>
      </c>
      <c r="BR4221">
        <v>-1.38</v>
      </c>
      <c r="BS4221">
        <v>1.21</v>
      </c>
      <c r="BT4221">
        <v>0.94</v>
      </c>
      <c r="BU4221">
        <v>-2.1800000000000002</v>
      </c>
      <c r="BV4221">
        <v>-1.71</v>
      </c>
      <c r="BW4221">
        <v>-0.5</v>
      </c>
      <c r="BX4221">
        <v>-1.04</v>
      </c>
      <c r="BY4221">
        <v>-0.89</v>
      </c>
      <c r="BZ4221">
        <v>0.6</v>
      </c>
      <c r="CA4221">
        <v>-0.53</v>
      </c>
      <c r="CB4221">
        <v>-1.23</v>
      </c>
      <c r="CC4221">
        <v>0.95</v>
      </c>
      <c r="CD4221">
        <v>1.07</v>
      </c>
      <c r="CE4221">
        <v>-0.89</v>
      </c>
      <c r="CF4221">
        <v>0.15</v>
      </c>
      <c r="CG4221">
        <v>0</v>
      </c>
      <c r="CH4221">
        <v>-1.1000000000000001</v>
      </c>
      <c r="CI4221">
        <v>0</v>
      </c>
      <c r="CJ4221">
        <v>-7.1</v>
      </c>
      <c r="CK4221">
        <v>73</v>
      </c>
      <c r="CL4221">
        <v>-0.74</v>
      </c>
      <c r="CM4221">
        <v>70</v>
      </c>
      <c r="CN4221">
        <v>-0.22</v>
      </c>
      <c r="CO4221">
        <v>65</v>
      </c>
      <c r="CP4221">
        <v>-7.1</v>
      </c>
      <c r="CQ4221">
        <v>82</v>
      </c>
      <c r="CR4221">
        <v>0</v>
      </c>
      <c r="CS4221">
        <v>0</v>
      </c>
      <c r="CT4221">
        <v>-8.4</v>
      </c>
      <c r="CU4221">
        <v>69</v>
      </c>
      <c r="CV4221">
        <v>0.08</v>
      </c>
      <c r="CW4221">
        <v>20</v>
      </c>
      <c r="CX4221" t="s">
        <v>707</v>
      </c>
    </row>
    <row r="4222" spans="1:102" x14ac:dyDescent="0.3">
      <c r="A4222" t="str">
        <f>HYPERLINK("https://webapp.icbf.com/v2/app/bull-search/view/69091792","GRQ")</f>
        <v>GRQ</v>
      </c>
      <c r="B4222" t="s">
        <v>10711</v>
      </c>
      <c r="C4222" t="s">
        <v>10712</v>
      </c>
      <c r="D4222" s="1">
        <v>33573</v>
      </c>
      <c r="E4222" t="s">
        <v>197</v>
      </c>
      <c r="F4222">
        <v>0</v>
      </c>
      <c r="G4222" t="s">
        <v>93</v>
      </c>
      <c r="H4222">
        <v>-100.68</v>
      </c>
      <c r="I4222">
        <v>65</v>
      </c>
      <c r="J4222">
        <v>-36.97</v>
      </c>
      <c r="K4222">
        <v>88</v>
      </c>
      <c r="L4222">
        <v>47.33</v>
      </c>
      <c r="M4222">
        <v>46</v>
      </c>
      <c r="N4222">
        <v>-125.19</v>
      </c>
      <c r="O4222">
        <v>56</v>
      </c>
      <c r="P4222">
        <v>14.13</v>
      </c>
      <c r="Q4222">
        <v>73</v>
      </c>
      <c r="R4222">
        <v>1.01</v>
      </c>
      <c r="S4222">
        <v>51</v>
      </c>
      <c r="T4222">
        <v>0.8</v>
      </c>
      <c r="U4222">
        <v>79</v>
      </c>
      <c r="V4222">
        <v>-1.79</v>
      </c>
      <c r="W4222">
        <v>32</v>
      </c>
      <c r="X4222" t="s">
        <v>276</v>
      </c>
      <c r="Y4222" t="s">
        <v>95</v>
      </c>
      <c r="Z4222">
        <v>0</v>
      </c>
      <c r="AA4222" t="s">
        <v>4406</v>
      </c>
      <c r="AB4222" t="s">
        <v>10713</v>
      </c>
      <c r="AC4222">
        <v>32</v>
      </c>
      <c r="AD4222">
        <v>12</v>
      </c>
      <c r="AE4222">
        <v>88</v>
      </c>
      <c r="AF4222">
        <v>-122.8</v>
      </c>
      <c r="AG4222">
        <v>-10.34</v>
      </c>
      <c r="AH4222">
        <v>-4.51</v>
      </c>
      <c r="AI4222">
        <v>-0.09</v>
      </c>
      <c r="AJ4222">
        <v>0</v>
      </c>
      <c r="AK4222">
        <v>46</v>
      </c>
      <c r="AL4222">
        <v>28</v>
      </c>
      <c r="AM4222">
        <v>11</v>
      </c>
      <c r="AN4222">
        <v>-3.68</v>
      </c>
      <c r="AO4222">
        <v>0.08</v>
      </c>
      <c r="AP4222">
        <v>25</v>
      </c>
      <c r="AQ4222">
        <v>3</v>
      </c>
      <c r="AR4222">
        <v>12.34</v>
      </c>
      <c r="AS4222">
        <v>26</v>
      </c>
      <c r="AT4222">
        <v>9.1199999999999992</v>
      </c>
      <c r="AU4222">
        <v>52</v>
      </c>
      <c r="AV4222">
        <v>3.11</v>
      </c>
      <c r="AW4222">
        <v>72</v>
      </c>
      <c r="AX4222">
        <v>0.38</v>
      </c>
      <c r="AY4222">
        <v>59</v>
      </c>
      <c r="AZ4222">
        <v>7.51</v>
      </c>
      <c r="BA4222">
        <v>22</v>
      </c>
      <c r="BB4222">
        <v>4.3899999999999997</v>
      </c>
      <c r="BC4222">
        <v>38</v>
      </c>
      <c r="BD4222">
        <v>0.01</v>
      </c>
      <c r="BE4222">
        <v>0</v>
      </c>
      <c r="BF4222">
        <v>-0.04</v>
      </c>
      <c r="BG4222">
        <v>65</v>
      </c>
      <c r="BH4222">
        <v>-0.06</v>
      </c>
      <c r="BI4222">
        <v>-1.17</v>
      </c>
      <c r="BJ4222">
        <v>0</v>
      </c>
      <c r="BK4222">
        <v>0</v>
      </c>
      <c r="BL4222">
        <v>-0.99</v>
      </c>
      <c r="BM4222">
        <v>0.56000000000000005</v>
      </c>
      <c r="BN4222">
        <v>-1.25</v>
      </c>
      <c r="BO4222">
        <v>-1.66</v>
      </c>
      <c r="BP4222">
        <v>1.39</v>
      </c>
      <c r="BQ4222">
        <v>-0.02</v>
      </c>
      <c r="BR4222">
        <v>0.21</v>
      </c>
      <c r="BS4222">
        <v>0.44</v>
      </c>
      <c r="BT4222">
        <v>-0.48</v>
      </c>
      <c r="BU4222">
        <v>-0.65</v>
      </c>
      <c r="BV4222">
        <v>-2.02</v>
      </c>
      <c r="BW4222">
        <v>-2.02</v>
      </c>
      <c r="BX4222">
        <v>0.67</v>
      </c>
      <c r="BY4222">
        <v>-1.95</v>
      </c>
      <c r="BZ4222">
        <v>-0.5</v>
      </c>
      <c r="CA4222">
        <v>-1.52</v>
      </c>
      <c r="CB4222">
        <v>-1.5</v>
      </c>
      <c r="CC4222">
        <v>-1.01</v>
      </c>
      <c r="CD4222">
        <v>1.5</v>
      </c>
      <c r="CE4222">
        <v>-1.96</v>
      </c>
      <c r="CF4222">
        <v>-1.1000000000000001</v>
      </c>
      <c r="CG4222">
        <v>0</v>
      </c>
      <c r="CH4222">
        <v>-1.34</v>
      </c>
      <c r="CI4222">
        <v>0</v>
      </c>
      <c r="CJ4222">
        <v>6.8</v>
      </c>
      <c r="CK4222">
        <v>75</v>
      </c>
      <c r="CL4222">
        <v>0.18</v>
      </c>
      <c r="CM4222">
        <v>70</v>
      </c>
      <c r="CN4222">
        <v>-0.19</v>
      </c>
      <c r="CO4222">
        <v>66</v>
      </c>
      <c r="CP4222">
        <v>4.4000000000000004</v>
      </c>
      <c r="CQ4222">
        <v>74</v>
      </c>
      <c r="CR4222">
        <v>0</v>
      </c>
      <c r="CS4222">
        <v>0</v>
      </c>
      <c r="CT4222">
        <v>12.7</v>
      </c>
      <c r="CU4222">
        <v>79</v>
      </c>
      <c r="CV4222">
        <v>-0.04</v>
      </c>
      <c r="CW4222">
        <v>21</v>
      </c>
      <c r="CX4222" t="s">
        <v>10714</v>
      </c>
    </row>
    <row r="4223" spans="1:102" x14ac:dyDescent="0.3">
      <c r="A4223" t="str">
        <f>HYPERLINK("https://webapp.icbf.com/v2/app/bull-search/view/76514991","LHW")</f>
        <v>LHW</v>
      </c>
      <c r="B4223" t="s">
        <v>10702</v>
      </c>
      <c r="C4223" t="s">
        <v>10703</v>
      </c>
      <c r="D4223" s="1">
        <v>36856</v>
      </c>
      <c r="E4223" t="s">
        <v>92</v>
      </c>
      <c r="F4223">
        <v>100</v>
      </c>
      <c r="G4223" t="s">
        <v>93</v>
      </c>
      <c r="H4223">
        <v>-100.93</v>
      </c>
      <c r="I4223">
        <v>65</v>
      </c>
      <c r="J4223">
        <v>27.89</v>
      </c>
      <c r="K4223">
        <v>84</v>
      </c>
      <c r="L4223">
        <v>-130.11000000000001</v>
      </c>
      <c r="M4223">
        <v>48</v>
      </c>
      <c r="N4223">
        <v>14.7</v>
      </c>
      <c r="O4223">
        <v>62</v>
      </c>
      <c r="P4223">
        <v>-2.89</v>
      </c>
      <c r="Q4223">
        <v>81</v>
      </c>
      <c r="R4223">
        <v>-5.34</v>
      </c>
      <c r="S4223">
        <v>54</v>
      </c>
      <c r="T4223">
        <v>2.87</v>
      </c>
      <c r="U4223">
        <v>70</v>
      </c>
      <c r="V4223">
        <v>-8.0500000000000007</v>
      </c>
      <c r="W4223">
        <v>36</v>
      </c>
      <c r="X4223" t="s">
        <v>10704</v>
      </c>
      <c r="Y4223" t="s">
        <v>95</v>
      </c>
      <c r="Z4223" t="s">
        <v>96</v>
      </c>
      <c r="AA4223" t="s">
        <v>205</v>
      </c>
      <c r="AB4223" t="s">
        <v>10705</v>
      </c>
      <c r="AC4223">
        <v>24</v>
      </c>
      <c r="AD4223">
        <v>23</v>
      </c>
      <c r="AE4223">
        <v>84</v>
      </c>
      <c r="AF4223">
        <v>170.67</v>
      </c>
      <c r="AG4223">
        <v>9.5399999999999991</v>
      </c>
      <c r="AH4223">
        <v>3.98</v>
      </c>
      <c r="AI4223">
        <v>0.05</v>
      </c>
      <c r="AJ4223">
        <v>-0.03</v>
      </c>
      <c r="AK4223">
        <v>48</v>
      </c>
      <c r="AL4223">
        <v>29</v>
      </c>
      <c r="AM4223">
        <v>24</v>
      </c>
      <c r="AN4223">
        <v>6.82</v>
      </c>
      <c r="AO4223">
        <v>-3.56</v>
      </c>
      <c r="AP4223">
        <v>43</v>
      </c>
      <c r="AQ4223">
        <v>0</v>
      </c>
      <c r="AR4223">
        <v>5.1100000000000003</v>
      </c>
      <c r="AS4223">
        <v>42</v>
      </c>
      <c r="AT4223">
        <v>2.46</v>
      </c>
      <c r="AU4223">
        <v>61</v>
      </c>
      <c r="AV4223">
        <v>-0.84</v>
      </c>
      <c r="AW4223">
        <v>75</v>
      </c>
      <c r="AX4223">
        <v>0.61</v>
      </c>
      <c r="AY4223">
        <v>59</v>
      </c>
      <c r="AZ4223">
        <v>7.6</v>
      </c>
      <c r="BA4223">
        <v>38</v>
      </c>
      <c r="BB4223">
        <v>4.95</v>
      </c>
      <c r="BC4223">
        <v>39</v>
      </c>
      <c r="BD4223">
        <v>0.04</v>
      </c>
      <c r="BE4223">
        <v>0.04</v>
      </c>
      <c r="BF4223">
        <v>-0.02</v>
      </c>
      <c r="BG4223">
        <v>64</v>
      </c>
      <c r="BH4223">
        <v>-0.12</v>
      </c>
      <c r="BI4223">
        <v>12.09</v>
      </c>
      <c r="BJ4223">
        <v>6</v>
      </c>
      <c r="BK4223">
        <v>5</v>
      </c>
      <c r="BL4223">
        <v>-0.14000000000000001</v>
      </c>
      <c r="BM4223">
        <v>-0.27</v>
      </c>
      <c r="BN4223">
        <v>-0.08</v>
      </c>
      <c r="BO4223">
        <v>-0.2</v>
      </c>
      <c r="BP4223">
        <v>-1.76</v>
      </c>
      <c r="BQ4223">
        <v>-1.59</v>
      </c>
      <c r="BR4223">
        <v>-0.74</v>
      </c>
      <c r="BS4223">
        <v>-0.22</v>
      </c>
      <c r="BT4223">
        <v>0.51</v>
      </c>
      <c r="BU4223">
        <v>-0.65</v>
      </c>
      <c r="BV4223">
        <v>-0.52</v>
      </c>
      <c r="BW4223">
        <v>-1.74</v>
      </c>
      <c r="BX4223">
        <v>-0.65</v>
      </c>
      <c r="BY4223">
        <v>-1.78</v>
      </c>
      <c r="BZ4223">
        <v>2.82</v>
      </c>
      <c r="CA4223">
        <v>-1.21</v>
      </c>
      <c r="CB4223">
        <v>-1.39</v>
      </c>
      <c r="CC4223">
        <v>-0.38</v>
      </c>
      <c r="CD4223">
        <v>0.56000000000000005</v>
      </c>
      <c r="CE4223">
        <v>0.17</v>
      </c>
      <c r="CF4223">
        <v>-0.6</v>
      </c>
      <c r="CG4223">
        <v>0</v>
      </c>
      <c r="CH4223">
        <v>-0.62</v>
      </c>
      <c r="CI4223">
        <v>0</v>
      </c>
      <c r="CJ4223">
        <v>-0.1</v>
      </c>
      <c r="CK4223">
        <v>83</v>
      </c>
      <c r="CL4223">
        <v>-0.6</v>
      </c>
      <c r="CM4223">
        <v>80</v>
      </c>
      <c r="CN4223">
        <v>-0.31</v>
      </c>
      <c r="CO4223">
        <v>77</v>
      </c>
      <c r="CP4223">
        <v>-1.3</v>
      </c>
      <c r="CQ4223">
        <v>77</v>
      </c>
      <c r="CR4223">
        <v>0</v>
      </c>
      <c r="CS4223">
        <v>0</v>
      </c>
      <c r="CT4223">
        <v>9.9</v>
      </c>
      <c r="CU4223">
        <v>70</v>
      </c>
      <c r="CV4223">
        <v>0.18</v>
      </c>
      <c r="CW4223">
        <v>23</v>
      </c>
      <c r="CX4223" t="s">
        <v>1106</v>
      </c>
    </row>
    <row r="4224" spans="1:102" x14ac:dyDescent="0.3">
      <c r="A4224" t="str">
        <f>HYPERLINK("https://webapp.icbf.com/v2/app/bull-search/view/69092371","PCU")</f>
        <v>PCU</v>
      </c>
      <c r="B4224" t="s">
        <v>8446</v>
      </c>
      <c r="C4224" t="s">
        <v>8447</v>
      </c>
      <c r="D4224" s="1">
        <v>33815</v>
      </c>
      <c r="E4224" t="s">
        <v>108</v>
      </c>
      <c r="F4224">
        <v>0</v>
      </c>
      <c r="G4224" t="s">
        <v>109</v>
      </c>
      <c r="H4224">
        <v>-101.05</v>
      </c>
      <c r="I4224">
        <v>61</v>
      </c>
      <c r="J4224">
        <v>5.97</v>
      </c>
      <c r="K4224">
        <v>76</v>
      </c>
      <c r="L4224">
        <v>-95.1</v>
      </c>
      <c r="M4224">
        <v>64</v>
      </c>
      <c r="N4224">
        <v>-3.93</v>
      </c>
      <c r="O4224">
        <v>37</v>
      </c>
      <c r="P4224">
        <v>-13.7</v>
      </c>
      <c r="Q4224">
        <v>51</v>
      </c>
      <c r="R4224">
        <v>-12.93</v>
      </c>
      <c r="S4224">
        <v>55</v>
      </c>
      <c r="T4224">
        <v>24.26</v>
      </c>
      <c r="U4224">
        <v>49</v>
      </c>
      <c r="V4224">
        <v>-5.62</v>
      </c>
      <c r="W4224">
        <v>19</v>
      </c>
      <c r="X4224" t="s">
        <v>302</v>
      </c>
      <c r="Y4224" t="s">
        <v>95</v>
      </c>
      <c r="Z4224" t="s">
        <v>96</v>
      </c>
      <c r="AA4224" t="s">
        <v>3414</v>
      </c>
      <c r="AB4224" t="s">
        <v>8448</v>
      </c>
      <c r="AC4224">
        <v>0</v>
      </c>
      <c r="AD4224">
        <v>0</v>
      </c>
      <c r="AE4224">
        <v>76</v>
      </c>
      <c r="AF4224">
        <v>275.8</v>
      </c>
      <c r="AG4224">
        <v>0.98</v>
      </c>
      <c r="AH4224">
        <v>4.8899999999999997</v>
      </c>
      <c r="AI4224">
        <v>-0.16</v>
      </c>
      <c r="AJ4224">
        <v>-7.0000000000000007E-2</v>
      </c>
      <c r="AK4224">
        <v>64</v>
      </c>
      <c r="AL4224">
        <v>0</v>
      </c>
      <c r="AM4224">
        <v>0</v>
      </c>
      <c r="AN4224">
        <v>5.49</v>
      </c>
      <c r="AO4224">
        <v>-2.09</v>
      </c>
      <c r="AP4224">
        <v>9</v>
      </c>
      <c r="AQ4224">
        <v>0</v>
      </c>
      <c r="AR4224">
        <v>10.210000000000001</v>
      </c>
      <c r="AS4224">
        <v>19</v>
      </c>
      <c r="AT4224">
        <v>4.45</v>
      </c>
      <c r="AU4224">
        <v>72</v>
      </c>
      <c r="AV4224">
        <v>-1.91</v>
      </c>
      <c r="AW4224">
        <v>26</v>
      </c>
      <c r="AX4224">
        <v>-0.66</v>
      </c>
      <c r="AY4224">
        <v>31</v>
      </c>
      <c r="AZ4224">
        <v>6.11</v>
      </c>
      <c r="BA4224">
        <v>19</v>
      </c>
      <c r="BB4224">
        <v>4.99</v>
      </c>
      <c r="BC4224">
        <v>24</v>
      </c>
      <c r="BD4224">
        <v>0.02</v>
      </c>
      <c r="BE4224">
        <v>0.06</v>
      </c>
      <c r="BF4224">
        <v>0.15</v>
      </c>
      <c r="BG4224">
        <v>83</v>
      </c>
      <c r="BH4224">
        <v>-0.11</v>
      </c>
      <c r="BI4224">
        <v>5.4</v>
      </c>
      <c r="BJ4224">
        <v>0</v>
      </c>
      <c r="BK4224">
        <v>0</v>
      </c>
      <c r="BL4224">
        <v>-0.38</v>
      </c>
      <c r="BM4224">
        <v>-0.78</v>
      </c>
      <c r="BN4224">
        <v>-0.06</v>
      </c>
      <c r="BO4224">
        <v>0</v>
      </c>
      <c r="BP4224">
        <v>-2.66</v>
      </c>
      <c r="BQ4224">
        <v>-1.71</v>
      </c>
      <c r="BR4224">
        <v>7.0000000000000007E-2</v>
      </c>
      <c r="BS4224">
        <v>0</v>
      </c>
      <c r="BT4224">
        <v>0</v>
      </c>
      <c r="BU4224">
        <v>-1.81</v>
      </c>
      <c r="BV4224">
        <v>-0.55000000000000004</v>
      </c>
      <c r="BW4224">
        <v>-0.75</v>
      </c>
      <c r="BX4224">
        <v>0</v>
      </c>
      <c r="BY4224">
        <v>-1.03</v>
      </c>
      <c r="BZ4224">
        <v>0</v>
      </c>
      <c r="CA4224">
        <v>-0.57999999999999996</v>
      </c>
      <c r="CB4224">
        <v>-1</v>
      </c>
      <c r="CC4224">
        <v>0</v>
      </c>
      <c r="CD4224">
        <v>0</v>
      </c>
      <c r="CE4224">
        <v>0</v>
      </c>
      <c r="CF4224">
        <v>0</v>
      </c>
      <c r="CG4224">
        <v>0</v>
      </c>
      <c r="CH4224">
        <v>0</v>
      </c>
      <c r="CI4224">
        <v>0</v>
      </c>
      <c r="CJ4224">
        <v>-6.3</v>
      </c>
      <c r="CK4224">
        <v>54</v>
      </c>
      <c r="CL4224">
        <v>-0.46</v>
      </c>
      <c r="CM4224">
        <v>50</v>
      </c>
      <c r="CN4224">
        <v>-0.17</v>
      </c>
      <c r="CO4224">
        <v>46</v>
      </c>
      <c r="CP4224">
        <v>-15</v>
      </c>
      <c r="CQ4224">
        <v>47</v>
      </c>
      <c r="CR4224">
        <v>0</v>
      </c>
      <c r="CS4224">
        <v>0</v>
      </c>
      <c r="CT4224">
        <v>-19</v>
      </c>
      <c r="CU4224">
        <v>49</v>
      </c>
      <c r="CV4224">
        <v>0.06</v>
      </c>
      <c r="CW4224">
        <v>14</v>
      </c>
      <c r="CX4224" t="s">
        <v>111</v>
      </c>
    </row>
    <row r="4225" spans="1:102" x14ac:dyDescent="0.3">
      <c r="A4225" t="str">
        <f>HYPERLINK("https://webapp.icbf.com/v2/app/bull-search/view/77857816","FBB")</f>
        <v>FBB</v>
      </c>
      <c r="B4225" t="s">
        <v>11707</v>
      </c>
      <c r="C4225" t="s">
        <v>11708</v>
      </c>
      <c r="D4225" s="1">
        <v>32792</v>
      </c>
      <c r="E4225" t="s">
        <v>92</v>
      </c>
      <c r="F4225">
        <v>100</v>
      </c>
      <c r="G4225" t="s">
        <v>109</v>
      </c>
      <c r="H4225">
        <v>-101.08</v>
      </c>
      <c r="I4225">
        <v>86</v>
      </c>
      <c r="J4225">
        <v>-26.41</v>
      </c>
      <c r="K4225">
        <v>96</v>
      </c>
      <c r="L4225">
        <v>-65.62</v>
      </c>
      <c r="M4225">
        <v>90</v>
      </c>
      <c r="N4225">
        <v>10.039999999999999</v>
      </c>
      <c r="O4225">
        <v>71</v>
      </c>
      <c r="P4225">
        <v>-10.64</v>
      </c>
      <c r="Q4225">
        <v>72</v>
      </c>
      <c r="R4225">
        <v>-11.25</v>
      </c>
      <c r="S4225">
        <v>81</v>
      </c>
      <c r="T4225">
        <v>7.24</v>
      </c>
      <c r="U4225">
        <v>69</v>
      </c>
      <c r="V4225">
        <v>-4.4400000000000004</v>
      </c>
      <c r="W4225">
        <v>69</v>
      </c>
      <c r="X4225" t="s">
        <v>276</v>
      </c>
      <c r="Y4225" t="s">
        <v>95</v>
      </c>
      <c r="Z4225" t="s">
        <v>96</v>
      </c>
      <c r="AA4225" t="s">
        <v>111</v>
      </c>
      <c r="AB4225" t="s">
        <v>11709</v>
      </c>
      <c r="AC4225">
        <v>36</v>
      </c>
      <c r="AD4225">
        <v>35</v>
      </c>
      <c r="AE4225">
        <v>96</v>
      </c>
      <c r="AF4225">
        <v>177.57</v>
      </c>
      <c r="AG4225">
        <v>-2.61</v>
      </c>
      <c r="AH4225">
        <v>-0.85</v>
      </c>
      <c r="AI4225">
        <v>-0.16</v>
      </c>
      <c r="AJ4225">
        <v>-0.12</v>
      </c>
      <c r="AK4225">
        <v>90</v>
      </c>
      <c r="AL4225">
        <v>42</v>
      </c>
      <c r="AM4225">
        <v>28</v>
      </c>
      <c r="AN4225">
        <v>4.6100000000000003</v>
      </c>
      <c r="AO4225">
        <v>-0.61</v>
      </c>
      <c r="AP4225">
        <v>2</v>
      </c>
      <c r="AQ4225">
        <v>1</v>
      </c>
      <c r="AR4225">
        <v>7.27</v>
      </c>
      <c r="AS4225">
        <v>64</v>
      </c>
      <c r="AT4225">
        <v>3.8</v>
      </c>
      <c r="AU4225">
        <v>91</v>
      </c>
      <c r="AV4225">
        <v>-2.16</v>
      </c>
      <c r="AW4225">
        <v>64</v>
      </c>
      <c r="AX4225">
        <v>-0.25</v>
      </c>
      <c r="AY4225">
        <v>70</v>
      </c>
      <c r="AZ4225">
        <v>6.85</v>
      </c>
      <c r="BA4225">
        <v>55</v>
      </c>
      <c r="BB4225">
        <v>5.36</v>
      </c>
      <c r="BC4225">
        <v>63</v>
      </c>
      <c r="BD4225">
        <v>0.04</v>
      </c>
      <c r="BE4225">
        <v>0.08</v>
      </c>
      <c r="BF4225">
        <v>0.04</v>
      </c>
      <c r="BG4225">
        <v>93</v>
      </c>
      <c r="BH4225">
        <v>0.01</v>
      </c>
      <c r="BI4225">
        <v>15.49</v>
      </c>
      <c r="BJ4225">
        <v>19</v>
      </c>
      <c r="BK4225">
        <v>16</v>
      </c>
      <c r="BL4225">
        <v>0.42</v>
      </c>
      <c r="BM4225">
        <v>1.5</v>
      </c>
      <c r="BN4225">
        <v>1.31</v>
      </c>
      <c r="BO4225">
        <v>-0.13</v>
      </c>
      <c r="BP4225">
        <v>-1.23</v>
      </c>
      <c r="BQ4225">
        <v>0.27</v>
      </c>
      <c r="BR4225">
        <v>0.82</v>
      </c>
      <c r="BS4225">
        <v>1.41</v>
      </c>
      <c r="BT4225">
        <v>-0.33</v>
      </c>
      <c r="BU4225">
        <v>1.45</v>
      </c>
      <c r="BV4225">
        <v>1.71</v>
      </c>
      <c r="BW4225">
        <v>1.91</v>
      </c>
      <c r="BX4225">
        <v>1</v>
      </c>
      <c r="BY4225">
        <v>0.77</v>
      </c>
      <c r="BZ4225">
        <v>-1.38</v>
      </c>
      <c r="CA4225">
        <v>1.67</v>
      </c>
      <c r="CB4225">
        <v>1.45</v>
      </c>
      <c r="CC4225">
        <v>1.32</v>
      </c>
      <c r="CD4225">
        <v>1.0900000000000001</v>
      </c>
      <c r="CE4225">
        <v>0.5</v>
      </c>
      <c r="CF4225">
        <v>0.55000000000000004</v>
      </c>
      <c r="CG4225">
        <v>0</v>
      </c>
      <c r="CH4225">
        <v>0.8</v>
      </c>
      <c r="CI4225">
        <v>0</v>
      </c>
      <c r="CJ4225">
        <v>-4.3</v>
      </c>
      <c r="CK4225">
        <v>73</v>
      </c>
      <c r="CL4225">
        <v>-0.9</v>
      </c>
      <c r="CM4225">
        <v>70</v>
      </c>
      <c r="CN4225">
        <v>-0.43</v>
      </c>
      <c r="CO4225">
        <v>67</v>
      </c>
      <c r="CP4225">
        <v>-3</v>
      </c>
      <c r="CQ4225">
        <v>78</v>
      </c>
      <c r="CR4225">
        <v>0</v>
      </c>
      <c r="CS4225">
        <v>0</v>
      </c>
      <c r="CT4225">
        <v>4</v>
      </c>
      <c r="CU4225">
        <v>69</v>
      </c>
      <c r="CV4225">
        <v>0.09</v>
      </c>
      <c r="CW4225">
        <v>40</v>
      </c>
      <c r="CX4225" t="s">
        <v>543</v>
      </c>
    </row>
    <row r="4226" spans="1:102" x14ac:dyDescent="0.3">
      <c r="A4226" t="str">
        <f>HYPERLINK("https://webapp.icbf.com/v2/app/bull-search/view/423580964","HBX")</f>
        <v>HBX</v>
      </c>
      <c r="B4226" t="s">
        <v>2926</v>
      </c>
      <c r="C4226" t="s">
        <v>2927</v>
      </c>
      <c r="D4226" s="1">
        <v>37740</v>
      </c>
      <c r="E4226" t="s">
        <v>92</v>
      </c>
      <c r="F4226">
        <v>100</v>
      </c>
      <c r="G4226" t="s">
        <v>93</v>
      </c>
      <c r="H4226">
        <v>-101.09</v>
      </c>
      <c r="I4226">
        <v>86</v>
      </c>
      <c r="J4226">
        <v>13.86</v>
      </c>
      <c r="K4226">
        <v>96</v>
      </c>
      <c r="L4226">
        <v>-102.73</v>
      </c>
      <c r="M4226">
        <v>81</v>
      </c>
      <c r="N4226">
        <v>-0.8</v>
      </c>
      <c r="O4226">
        <v>82</v>
      </c>
      <c r="P4226">
        <v>-1.47</v>
      </c>
      <c r="Q4226">
        <v>90</v>
      </c>
      <c r="R4226">
        <v>-5.28</v>
      </c>
      <c r="S4226">
        <v>75</v>
      </c>
      <c r="T4226">
        <v>6.35</v>
      </c>
      <c r="U4226">
        <v>83</v>
      </c>
      <c r="V4226">
        <v>-11.02</v>
      </c>
      <c r="W4226">
        <v>57</v>
      </c>
      <c r="X4226" t="s">
        <v>276</v>
      </c>
      <c r="Y4226" t="s">
        <v>1534</v>
      </c>
      <c r="Z4226" t="s">
        <v>96</v>
      </c>
      <c r="AA4226" t="s">
        <v>1216</v>
      </c>
      <c r="AB4226" t="s">
        <v>2928</v>
      </c>
      <c r="AC4226">
        <v>96</v>
      </c>
      <c r="AD4226">
        <v>65</v>
      </c>
      <c r="AE4226">
        <v>96</v>
      </c>
      <c r="AF4226">
        <v>474.09</v>
      </c>
      <c r="AG4226">
        <v>8.86</v>
      </c>
      <c r="AH4226">
        <v>6.48</v>
      </c>
      <c r="AI4226">
        <v>-0.15</v>
      </c>
      <c r="AJ4226">
        <v>-0.15</v>
      </c>
      <c r="AK4226">
        <v>81</v>
      </c>
      <c r="AL4226">
        <v>88</v>
      </c>
      <c r="AM4226">
        <v>55</v>
      </c>
      <c r="AN4226">
        <v>5.04</v>
      </c>
      <c r="AO4226">
        <v>-3.16</v>
      </c>
      <c r="AP4226">
        <v>199</v>
      </c>
      <c r="AQ4226">
        <v>2</v>
      </c>
      <c r="AR4226">
        <v>8.58</v>
      </c>
      <c r="AS4226">
        <v>75</v>
      </c>
      <c r="AT4226">
        <v>4.45</v>
      </c>
      <c r="AU4226">
        <v>83</v>
      </c>
      <c r="AV4226">
        <v>-1.96</v>
      </c>
      <c r="AW4226">
        <v>91</v>
      </c>
      <c r="AX4226">
        <v>0.12</v>
      </c>
      <c r="AY4226">
        <v>81</v>
      </c>
      <c r="AZ4226">
        <v>5.47</v>
      </c>
      <c r="BA4226">
        <v>62</v>
      </c>
      <c r="BB4226">
        <v>5.31</v>
      </c>
      <c r="BC4226">
        <v>60</v>
      </c>
      <c r="BD4226">
        <v>0.02</v>
      </c>
      <c r="BE4226">
        <v>0.02</v>
      </c>
      <c r="BF4226">
        <v>0.05</v>
      </c>
      <c r="BG4226">
        <v>88</v>
      </c>
      <c r="BH4226">
        <v>-0.39</v>
      </c>
      <c r="BI4226">
        <v>-9.57</v>
      </c>
      <c r="BJ4226">
        <v>43</v>
      </c>
      <c r="BK4226">
        <v>28</v>
      </c>
      <c r="BL4226">
        <v>0.99</v>
      </c>
      <c r="BM4226">
        <v>-1.06</v>
      </c>
      <c r="BN4226">
        <v>0.19</v>
      </c>
      <c r="BO4226">
        <v>1.01</v>
      </c>
      <c r="BP4226">
        <v>2.34</v>
      </c>
      <c r="BQ4226">
        <v>-0.39</v>
      </c>
      <c r="BR4226">
        <v>2.39</v>
      </c>
      <c r="BS4226">
        <v>-2.21</v>
      </c>
      <c r="BT4226">
        <v>-3.39</v>
      </c>
      <c r="BU4226">
        <v>1.0900000000000001</v>
      </c>
      <c r="BV4226">
        <v>1.01</v>
      </c>
      <c r="BW4226">
        <v>0.54</v>
      </c>
      <c r="BX4226">
        <v>0.64</v>
      </c>
      <c r="BY4226">
        <v>1.07</v>
      </c>
      <c r="BZ4226">
        <v>0.52</v>
      </c>
      <c r="CA4226">
        <v>0.25</v>
      </c>
      <c r="CB4226">
        <v>0.79</v>
      </c>
      <c r="CC4226">
        <v>-0.93</v>
      </c>
      <c r="CD4226">
        <v>-0.88</v>
      </c>
      <c r="CE4226">
        <v>0.87</v>
      </c>
      <c r="CF4226">
        <v>0.72</v>
      </c>
      <c r="CG4226">
        <v>0</v>
      </c>
      <c r="CH4226">
        <v>1.56</v>
      </c>
      <c r="CI4226">
        <v>0</v>
      </c>
      <c r="CJ4226">
        <v>0.8</v>
      </c>
      <c r="CK4226">
        <v>91</v>
      </c>
      <c r="CL4226">
        <v>-0.95</v>
      </c>
      <c r="CM4226">
        <v>89</v>
      </c>
      <c r="CN4226">
        <v>-0.68</v>
      </c>
      <c r="CO4226">
        <v>88</v>
      </c>
      <c r="CP4226">
        <v>-4.9000000000000004</v>
      </c>
      <c r="CQ4226">
        <v>89</v>
      </c>
      <c r="CR4226">
        <v>0</v>
      </c>
      <c r="CS4226">
        <v>0</v>
      </c>
      <c r="CT4226">
        <v>5.2</v>
      </c>
      <c r="CU4226">
        <v>83</v>
      </c>
      <c r="CV4226">
        <v>0.33</v>
      </c>
      <c r="CW4226">
        <v>26</v>
      </c>
      <c r="CX4226" t="s">
        <v>311</v>
      </c>
    </row>
    <row r="4227" spans="1:102" x14ac:dyDescent="0.3">
      <c r="A4227" t="str">
        <f>HYPERLINK("https://webapp.icbf.com/v2/app/bull-search/view/883540225","S1122")</f>
        <v>S1122</v>
      </c>
      <c r="B4227" t="s">
        <v>14516</v>
      </c>
      <c r="C4227" t="s">
        <v>14517</v>
      </c>
      <c r="D4227" s="1">
        <v>39228</v>
      </c>
      <c r="E4227" t="s">
        <v>1061</v>
      </c>
      <c r="F4227">
        <v>0</v>
      </c>
      <c r="G4227" t="s">
        <v>109</v>
      </c>
      <c r="H4227">
        <v>-101.2</v>
      </c>
      <c r="I4227">
        <v>55</v>
      </c>
      <c r="J4227">
        <v>-38.950000000000003</v>
      </c>
      <c r="K4227">
        <v>69</v>
      </c>
      <c r="L4227">
        <v>-37.97</v>
      </c>
      <c r="M4227">
        <v>64</v>
      </c>
      <c r="N4227">
        <v>-25.46</v>
      </c>
      <c r="O4227">
        <v>36</v>
      </c>
      <c r="P4227">
        <v>-22.94</v>
      </c>
      <c r="Q4227">
        <v>42</v>
      </c>
      <c r="R4227">
        <v>-0.19</v>
      </c>
      <c r="S4227">
        <v>20</v>
      </c>
      <c r="T4227">
        <v>27.52</v>
      </c>
      <c r="U4227">
        <v>39</v>
      </c>
      <c r="V4227">
        <v>-3.21</v>
      </c>
      <c r="W4227">
        <v>17</v>
      </c>
      <c r="X4227" t="s">
        <v>1645</v>
      </c>
      <c r="Y4227" t="s">
        <v>336</v>
      </c>
      <c r="Z4227">
        <v>0</v>
      </c>
      <c r="AA4227" t="s">
        <v>14518</v>
      </c>
      <c r="AB4227" t="s">
        <v>14519</v>
      </c>
      <c r="AC4227">
        <v>0</v>
      </c>
      <c r="AD4227">
        <v>0</v>
      </c>
      <c r="AE4227">
        <v>69</v>
      </c>
      <c r="AF4227">
        <v>-249.29</v>
      </c>
      <c r="AG4227">
        <v>-4.58</v>
      </c>
      <c r="AH4227">
        <v>-8.82</v>
      </c>
      <c r="AI4227">
        <v>0.09</v>
      </c>
      <c r="AJ4227">
        <v>0</v>
      </c>
      <c r="AK4227">
        <v>64</v>
      </c>
      <c r="AL4227">
        <v>0</v>
      </c>
      <c r="AM4227">
        <v>0</v>
      </c>
      <c r="AN4227">
        <v>3.47</v>
      </c>
      <c r="AO4227">
        <v>0.46</v>
      </c>
      <c r="AP4227">
        <v>19</v>
      </c>
      <c r="AQ4227">
        <v>2</v>
      </c>
      <c r="AR4227">
        <v>10.33</v>
      </c>
      <c r="AS4227">
        <v>32</v>
      </c>
      <c r="AT4227">
        <v>3.87</v>
      </c>
      <c r="AU4227">
        <v>39</v>
      </c>
      <c r="AV4227">
        <v>0.78</v>
      </c>
      <c r="AW4227">
        <v>45</v>
      </c>
      <c r="AX4227">
        <v>0.17</v>
      </c>
      <c r="AY4227">
        <v>33</v>
      </c>
      <c r="AZ4227">
        <v>7.4</v>
      </c>
      <c r="BA4227">
        <v>15</v>
      </c>
      <c r="BB4227">
        <v>5.39</v>
      </c>
      <c r="BC4227">
        <v>11</v>
      </c>
      <c r="BD4227">
        <v>-0.01</v>
      </c>
      <c r="BE4227">
        <v>-0.01</v>
      </c>
      <c r="BF4227">
        <v>0.04</v>
      </c>
      <c r="BG4227">
        <v>26</v>
      </c>
      <c r="BH4227">
        <v>-7.0000000000000007E-2</v>
      </c>
      <c r="BI4227">
        <v>2.27</v>
      </c>
      <c r="BJ4227">
        <v>0</v>
      </c>
      <c r="BK4227">
        <v>0</v>
      </c>
      <c r="BL4227">
        <v>0</v>
      </c>
      <c r="BM4227">
        <v>0</v>
      </c>
      <c r="BN4227">
        <v>0</v>
      </c>
      <c r="BO4227">
        <v>0</v>
      </c>
      <c r="BP4227">
        <v>0</v>
      </c>
      <c r="BQ4227">
        <v>0</v>
      </c>
      <c r="BR4227">
        <v>0</v>
      </c>
      <c r="BS4227">
        <v>0</v>
      </c>
      <c r="BT4227">
        <v>0</v>
      </c>
      <c r="BU4227">
        <v>0</v>
      </c>
      <c r="BV4227">
        <v>0</v>
      </c>
      <c r="BW4227">
        <v>0</v>
      </c>
      <c r="BX4227">
        <v>0</v>
      </c>
      <c r="BY4227">
        <v>0</v>
      </c>
      <c r="BZ4227">
        <v>0</v>
      </c>
      <c r="CA4227">
        <v>0</v>
      </c>
      <c r="CB4227">
        <v>0</v>
      </c>
      <c r="CC4227">
        <v>0</v>
      </c>
      <c r="CD4227">
        <v>0</v>
      </c>
      <c r="CE4227">
        <v>0</v>
      </c>
      <c r="CF4227">
        <v>0</v>
      </c>
      <c r="CG4227">
        <v>0</v>
      </c>
      <c r="CH4227">
        <v>0</v>
      </c>
      <c r="CI4227">
        <v>0</v>
      </c>
      <c r="CJ4227">
        <v>-11.7</v>
      </c>
      <c r="CK4227">
        <v>46</v>
      </c>
      <c r="CL4227">
        <v>-0.66</v>
      </c>
      <c r="CM4227">
        <v>38</v>
      </c>
      <c r="CN4227">
        <v>-0.21</v>
      </c>
      <c r="CO4227">
        <v>33</v>
      </c>
      <c r="CP4227">
        <v>-16.3</v>
      </c>
      <c r="CQ4227">
        <v>42</v>
      </c>
      <c r="CR4227">
        <v>0</v>
      </c>
      <c r="CS4227">
        <v>0</v>
      </c>
      <c r="CT4227">
        <v>-23.4</v>
      </c>
      <c r="CU4227">
        <v>39</v>
      </c>
      <c r="CV4227">
        <v>-0.11</v>
      </c>
      <c r="CW4227">
        <v>11</v>
      </c>
      <c r="CX4227" t="s">
        <v>6895</v>
      </c>
    </row>
    <row r="4228" spans="1:102" x14ac:dyDescent="0.3">
      <c r="A4228" t="str">
        <f>HYPERLINK("https://webapp.icbf.com/v2/app/bull-search/view/77856793","ISI")</f>
        <v>ISI</v>
      </c>
      <c r="B4228" t="s">
        <v>10677</v>
      </c>
      <c r="C4228" t="s">
        <v>10678</v>
      </c>
      <c r="D4228" s="1">
        <v>36154</v>
      </c>
      <c r="E4228" t="s">
        <v>92</v>
      </c>
      <c r="F4228">
        <v>100</v>
      </c>
      <c r="G4228" t="s">
        <v>93</v>
      </c>
      <c r="H4228">
        <v>-101.4</v>
      </c>
      <c r="I4228">
        <v>75</v>
      </c>
      <c r="J4228">
        <v>6.27</v>
      </c>
      <c r="K4228">
        <v>94</v>
      </c>
      <c r="L4228">
        <v>-104.39</v>
      </c>
      <c r="M4228">
        <v>61</v>
      </c>
      <c r="N4228">
        <v>-3.69</v>
      </c>
      <c r="O4228">
        <v>66</v>
      </c>
      <c r="P4228">
        <v>-10.39</v>
      </c>
      <c r="Q4228">
        <v>86</v>
      </c>
      <c r="R4228">
        <v>-8.44</v>
      </c>
      <c r="S4228">
        <v>67</v>
      </c>
      <c r="T4228">
        <v>21.3</v>
      </c>
      <c r="U4228">
        <v>79</v>
      </c>
      <c r="V4228">
        <v>-2.06</v>
      </c>
      <c r="W4228">
        <v>44</v>
      </c>
      <c r="X4228" t="s">
        <v>94</v>
      </c>
      <c r="Y4228" t="s">
        <v>95</v>
      </c>
      <c r="Z4228" t="s">
        <v>96</v>
      </c>
      <c r="AA4228" t="s">
        <v>961</v>
      </c>
      <c r="AB4228" t="s">
        <v>10679</v>
      </c>
      <c r="AC4228">
        <v>68</v>
      </c>
      <c r="AD4228">
        <v>58</v>
      </c>
      <c r="AE4228">
        <v>94</v>
      </c>
      <c r="AF4228">
        <v>316.85000000000002</v>
      </c>
      <c r="AG4228">
        <v>1.29</v>
      </c>
      <c r="AH4228">
        <v>5.46</v>
      </c>
      <c r="AI4228">
        <v>-0.17</v>
      </c>
      <c r="AJ4228">
        <v>-0.09</v>
      </c>
      <c r="AK4228">
        <v>61</v>
      </c>
      <c r="AL4228">
        <v>63</v>
      </c>
      <c r="AM4228">
        <v>53</v>
      </c>
      <c r="AN4228">
        <v>5.28</v>
      </c>
      <c r="AO4228">
        <v>-3.05</v>
      </c>
      <c r="AP4228">
        <v>6</v>
      </c>
      <c r="AQ4228">
        <v>0</v>
      </c>
      <c r="AR4228">
        <v>8.5399999999999991</v>
      </c>
      <c r="AS4228">
        <v>45</v>
      </c>
      <c r="AT4228">
        <v>4</v>
      </c>
      <c r="AU4228">
        <v>61</v>
      </c>
      <c r="AV4228">
        <v>-0.31</v>
      </c>
      <c r="AW4228">
        <v>76</v>
      </c>
      <c r="AX4228">
        <v>-0.25</v>
      </c>
      <c r="AY4228">
        <v>72</v>
      </c>
      <c r="AZ4228">
        <v>5.23</v>
      </c>
      <c r="BA4228">
        <v>49</v>
      </c>
      <c r="BB4228">
        <v>4.4800000000000004</v>
      </c>
      <c r="BC4228">
        <v>56</v>
      </c>
      <c r="BD4228">
        <v>0.06</v>
      </c>
      <c r="BE4228">
        <v>0.06</v>
      </c>
      <c r="BF4228">
        <v>-0.02</v>
      </c>
      <c r="BG4228">
        <v>79</v>
      </c>
      <c r="BH4228">
        <v>-0.05</v>
      </c>
      <c r="BI4228">
        <v>0.87</v>
      </c>
      <c r="BJ4228">
        <v>18</v>
      </c>
      <c r="BK4228">
        <v>15</v>
      </c>
      <c r="BL4228">
        <v>0.09</v>
      </c>
      <c r="BM4228">
        <v>-1.21</v>
      </c>
      <c r="BN4228">
        <v>-0.11</v>
      </c>
      <c r="BO4228">
        <v>0.9</v>
      </c>
      <c r="BP4228">
        <v>0.97</v>
      </c>
      <c r="BQ4228">
        <v>-1.0900000000000001</v>
      </c>
      <c r="BR4228">
        <v>-0.22</v>
      </c>
      <c r="BS4228">
        <v>0.17</v>
      </c>
      <c r="BT4228">
        <v>0.61</v>
      </c>
      <c r="BU4228">
        <v>-0.59</v>
      </c>
      <c r="BV4228">
        <v>0.27</v>
      </c>
      <c r="BW4228">
        <v>0.47</v>
      </c>
      <c r="BX4228">
        <v>-0.97</v>
      </c>
      <c r="BY4228">
        <v>-1.18</v>
      </c>
      <c r="BZ4228">
        <v>0.28999999999999998</v>
      </c>
      <c r="CA4228">
        <v>0.51</v>
      </c>
      <c r="CB4228">
        <v>0.39</v>
      </c>
      <c r="CC4228">
        <v>0.55000000000000004</v>
      </c>
      <c r="CD4228">
        <v>-1.05</v>
      </c>
      <c r="CE4228">
        <v>1.32</v>
      </c>
      <c r="CF4228">
        <v>-0.2</v>
      </c>
      <c r="CG4228">
        <v>0</v>
      </c>
      <c r="CH4228">
        <v>0.66</v>
      </c>
      <c r="CI4228">
        <v>0</v>
      </c>
      <c r="CJ4228">
        <v>-4.7</v>
      </c>
      <c r="CK4228">
        <v>87</v>
      </c>
      <c r="CL4228">
        <v>-0.66</v>
      </c>
      <c r="CM4228">
        <v>85</v>
      </c>
      <c r="CN4228">
        <v>-0.42</v>
      </c>
      <c r="CO4228">
        <v>83</v>
      </c>
      <c r="CP4228">
        <v>-13.4</v>
      </c>
      <c r="CQ4228">
        <v>87</v>
      </c>
      <c r="CR4228">
        <v>0</v>
      </c>
      <c r="CS4228">
        <v>0</v>
      </c>
      <c r="CT4228">
        <v>-15</v>
      </c>
      <c r="CU4228">
        <v>79</v>
      </c>
      <c r="CV4228">
        <v>0.1</v>
      </c>
      <c r="CW4228">
        <v>24</v>
      </c>
      <c r="CX4228" t="s">
        <v>105</v>
      </c>
    </row>
    <row r="4229" spans="1:102" x14ac:dyDescent="0.3">
      <c r="A4229" t="str">
        <f>HYPERLINK("https://webapp.icbf.com/v2/app/bull-search/view/426778343","MFZ")</f>
        <v>MFZ</v>
      </c>
      <c r="B4229" t="s">
        <v>14627</v>
      </c>
      <c r="C4229" t="s">
        <v>14628</v>
      </c>
      <c r="D4229" s="1">
        <v>38083</v>
      </c>
      <c r="E4229" t="s">
        <v>92</v>
      </c>
      <c r="F4229">
        <v>100</v>
      </c>
      <c r="G4229" t="s">
        <v>93</v>
      </c>
      <c r="H4229">
        <v>-101.48</v>
      </c>
      <c r="I4229">
        <v>90</v>
      </c>
      <c r="J4229">
        <v>30.11</v>
      </c>
      <c r="K4229">
        <v>98</v>
      </c>
      <c r="L4229">
        <v>-144.88999999999999</v>
      </c>
      <c r="M4229">
        <v>84</v>
      </c>
      <c r="N4229">
        <v>9.59</v>
      </c>
      <c r="O4229">
        <v>90</v>
      </c>
      <c r="P4229">
        <v>-4.55</v>
      </c>
      <c r="Q4229">
        <v>93</v>
      </c>
      <c r="R4229">
        <v>-0.68</v>
      </c>
      <c r="S4229">
        <v>83</v>
      </c>
      <c r="T4229">
        <v>1.54</v>
      </c>
      <c r="U4229">
        <v>90</v>
      </c>
      <c r="V4229">
        <v>7.4</v>
      </c>
      <c r="W4229">
        <v>77</v>
      </c>
      <c r="X4229" t="s">
        <v>131</v>
      </c>
      <c r="Y4229" t="s">
        <v>1164</v>
      </c>
      <c r="Z4229" t="s">
        <v>96</v>
      </c>
      <c r="AA4229" t="s">
        <v>1752</v>
      </c>
      <c r="AB4229" t="s">
        <v>14629</v>
      </c>
      <c r="AC4229">
        <v>174</v>
      </c>
      <c r="AD4229">
        <v>89</v>
      </c>
      <c r="AE4229">
        <v>98</v>
      </c>
      <c r="AF4229">
        <v>368.67</v>
      </c>
      <c r="AG4229">
        <v>3.26</v>
      </c>
      <c r="AH4229">
        <v>9.61</v>
      </c>
      <c r="AI4229">
        <v>-0.18</v>
      </c>
      <c r="AJ4229">
        <v>-0.05</v>
      </c>
      <c r="AK4229">
        <v>84</v>
      </c>
      <c r="AL4229">
        <v>162</v>
      </c>
      <c r="AM4229">
        <v>83</v>
      </c>
      <c r="AN4229">
        <v>8.3000000000000007</v>
      </c>
      <c r="AO4229">
        <v>-3.25</v>
      </c>
      <c r="AP4229">
        <v>324</v>
      </c>
      <c r="AQ4229">
        <v>1</v>
      </c>
      <c r="AR4229">
        <v>7.98</v>
      </c>
      <c r="AS4229">
        <v>88</v>
      </c>
      <c r="AT4229">
        <v>3.68</v>
      </c>
      <c r="AU4229">
        <v>93</v>
      </c>
      <c r="AV4229">
        <v>-2.41</v>
      </c>
      <c r="AW4229">
        <v>96</v>
      </c>
      <c r="AX4229">
        <v>0.72</v>
      </c>
      <c r="AY4229">
        <v>88</v>
      </c>
      <c r="AZ4229">
        <v>5.48</v>
      </c>
      <c r="BA4229">
        <v>74</v>
      </c>
      <c r="BB4229">
        <v>5.59</v>
      </c>
      <c r="BC4229">
        <v>72</v>
      </c>
      <c r="BD4229">
        <v>0.01</v>
      </c>
      <c r="BE4229">
        <v>0.01</v>
      </c>
      <c r="BF4229">
        <v>-0.02</v>
      </c>
      <c r="BG4229">
        <v>93</v>
      </c>
      <c r="BH4229">
        <v>0.04</v>
      </c>
      <c r="BI4229">
        <v>-19.23</v>
      </c>
      <c r="BJ4229">
        <v>109</v>
      </c>
      <c r="BK4229">
        <v>52</v>
      </c>
      <c r="BL4229">
        <v>1.62</v>
      </c>
      <c r="BM4229">
        <v>-0.92</v>
      </c>
      <c r="BN4229">
        <v>0.16</v>
      </c>
      <c r="BO4229">
        <v>1.31</v>
      </c>
      <c r="BP4229">
        <v>2.0699999999999998</v>
      </c>
      <c r="BQ4229">
        <v>2.0099999999999998</v>
      </c>
      <c r="BR4229">
        <v>-1.29</v>
      </c>
      <c r="BS4229">
        <v>2.02</v>
      </c>
      <c r="BT4229">
        <v>1.82</v>
      </c>
      <c r="BU4229">
        <v>2.0099999999999998</v>
      </c>
      <c r="BV4229">
        <v>2.3199999999999998</v>
      </c>
      <c r="BW4229">
        <v>1.68</v>
      </c>
      <c r="BX4229">
        <v>2.35</v>
      </c>
      <c r="BY4229">
        <v>0.17</v>
      </c>
      <c r="BZ4229">
        <v>1.54</v>
      </c>
      <c r="CA4229">
        <v>1.98</v>
      </c>
      <c r="CB4229">
        <v>1.46</v>
      </c>
      <c r="CC4229">
        <v>2.2000000000000002</v>
      </c>
      <c r="CD4229">
        <v>-0.64</v>
      </c>
      <c r="CE4229">
        <v>1.38</v>
      </c>
      <c r="CF4229">
        <v>1.59</v>
      </c>
      <c r="CG4229">
        <v>0</v>
      </c>
      <c r="CH4229">
        <v>0.17</v>
      </c>
      <c r="CI4229">
        <v>0</v>
      </c>
      <c r="CJ4229">
        <v>-0.5</v>
      </c>
      <c r="CK4229">
        <v>94</v>
      </c>
      <c r="CL4229">
        <v>-1.1399999999999999</v>
      </c>
      <c r="CM4229">
        <v>92</v>
      </c>
      <c r="CN4229">
        <v>-0.68</v>
      </c>
      <c r="CO4229">
        <v>91</v>
      </c>
      <c r="CP4229">
        <v>-0.4</v>
      </c>
      <c r="CQ4229">
        <v>92</v>
      </c>
      <c r="CR4229">
        <v>0</v>
      </c>
      <c r="CS4229">
        <v>0</v>
      </c>
      <c r="CT4229">
        <v>11.7</v>
      </c>
      <c r="CU4229">
        <v>90</v>
      </c>
      <c r="CV4229">
        <v>0.17</v>
      </c>
      <c r="CW4229">
        <v>44</v>
      </c>
      <c r="CX4229" t="s">
        <v>2846</v>
      </c>
    </row>
    <row r="4230" spans="1:102" x14ac:dyDescent="0.3">
      <c r="A4230" t="str">
        <f>HYPERLINK("https://webapp.icbf.com/v2/app/bull-search/view/586060965","S801")</f>
        <v>S801</v>
      </c>
      <c r="B4230" t="s">
        <v>15311</v>
      </c>
      <c r="C4230" t="s">
        <v>15312</v>
      </c>
      <c r="D4230" s="1">
        <v>38320</v>
      </c>
      <c r="E4230" t="s">
        <v>92</v>
      </c>
      <c r="F4230">
        <v>100</v>
      </c>
      <c r="G4230" t="s">
        <v>109</v>
      </c>
      <c r="H4230">
        <v>-101.52</v>
      </c>
      <c r="I4230">
        <v>78</v>
      </c>
      <c r="J4230">
        <v>56.61</v>
      </c>
      <c r="K4230">
        <v>90</v>
      </c>
      <c r="L4230">
        <v>-166.56</v>
      </c>
      <c r="M4230">
        <v>83</v>
      </c>
      <c r="N4230">
        <v>10.029999999999999</v>
      </c>
      <c r="O4230">
        <v>58</v>
      </c>
      <c r="P4230">
        <v>-17.34</v>
      </c>
      <c r="Q4230">
        <v>80</v>
      </c>
      <c r="R4230">
        <v>6.64</v>
      </c>
      <c r="S4230">
        <v>66</v>
      </c>
      <c r="T4230">
        <v>12.2</v>
      </c>
      <c r="U4230">
        <v>59</v>
      </c>
      <c r="V4230">
        <v>-3.1</v>
      </c>
      <c r="W4230">
        <v>32</v>
      </c>
      <c r="X4230" t="s">
        <v>251</v>
      </c>
      <c r="Y4230" t="s">
        <v>1494</v>
      </c>
      <c r="Z4230" t="s">
        <v>96</v>
      </c>
      <c r="AA4230" t="s">
        <v>1566</v>
      </c>
      <c r="AB4230" t="s">
        <v>15313</v>
      </c>
      <c r="AC4230">
        <v>42</v>
      </c>
      <c r="AD4230">
        <v>10</v>
      </c>
      <c r="AE4230">
        <v>90</v>
      </c>
      <c r="AF4230">
        <v>220.95</v>
      </c>
      <c r="AG4230">
        <v>14.16</v>
      </c>
      <c r="AH4230">
        <v>8</v>
      </c>
      <c r="AI4230">
        <v>0.09</v>
      </c>
      <c r="AJ4230">
        <v>0.01</v>
      </c>
      <c r="AK4230">
        <v>83</v>
      </c>
      <c r="AL4230">
        <v>31</v>
      </c>
      <c r="AM4230">
        <v>10</v>
      </c>
      <c r="AN4230">
        <v>8.5299999999999994</v>
      </c>
      <c r="AO4230">
        <v>-4.76</v>
      </c>
      <c r="AP4230">
        <v>64</v>
      </c>
      <c r="AQ4230">
        <v>0</v>
      </c>
      <c r="AR4230">
        <v>6.71</v>
      </c>
      <c r="AS4230">
        <v>57</v>
      </c>
      <c r="AT4230">
        <v>3.07</v>
      </c>
      <c r="AU4230">
        <v>80</v>
      </c>
      <c r="AV4230">
        <v>-1.41</v>
      </c>
      <c r="AW4230">
        <v>50</v>
      </c>
      <c r="AX4230">
        <v>-0.84</v>
      </c>
      <c r="AY4230">
        <v>63</v>
      </c>
      <c r="AZ4230">
        <v>7.9</v>
      </c>
      <c r="BA4230">
        <v>44</v>
      </c>
      <c r="BB4230">
        <v>5.71</v>
      </c>
      <c r="BC4230">
        <v>39</v>
      </c>
      <c r="BD4230">
        <v>-0.04</v>
      </c>
      <c r="BE4230">
        <v>-0.04</v>
      </c>
      <c r="BF4230">
        <v>-0.01</v>
      </c>
      <c r="BG4230">
        <v>87</v>
      </c>
      <c r="BH4230">
        <v>-0.13</v>
      </c>
      <c r="BI4230">
        <v>-5.05</v>
      </c>
      <c r="BJ4230">
        <v>7</v>
      </c>
      <c r="BK4230">
        <v>6</v>
      </c>
      <c r="BL4230">
        <v>1.2</v>
      </c>
      <c r="BM4230">
        <v>-2.59</v>
      </c>
      <c r="BN4230">
        <v>-1.03</v>
      </c>
      <c r="BO4230">
        <v>0.9</v>
      </c>
      <c r="BP4230">
        <v>-0.15</v>
      </c>
      <c r="BQ4230">
        <v>-0.68</v>
      </c>
      <c r="BR4230">
        <v>-2.2999999999999998</v>
      </c>
      <c r="BS4230">
        <v>2.91</v>
      </c>
      <c r="BT4230">
        <v>3.97</v>
      </c>
      <c r="BU4230">
        <v>2.86</v>
      </c>
      <c r="BV4230">
        <v>2.6</v>
      </c>
      <c r="BW4230">
        <v>2.06</v>
      </c>
      <c r="BX4230">
        <v>3.11</v>
      </c>
      <c r="BY4230">
        <v>1.27</v>
      </c>
      <c r="BZ4230">
        <v>0.19</v>
      </c>
      <c r="CA4230">
        <v>2.74</v>
      </c>
      <c r="CB4230">
        <v>2.0499999999999998</v>
      </c>
      <c r="CC4230">
        <v>2.6</v>
      </c>
      <c r="CD4230">
        <v>-1.52</v>
      </c>
      <c r="CE4230">
        <v>1.1100000000000001</v>
      </c>
      <c r="CF4230">
        <v>0.9</v>
      </c>
      <c r="CG4230">
        <v>0</v>
      </c>
      <c r="CH4230">
        <v>0.92</v>
      </c>
      <c r="CI4230">
        <v>0</v>
      </c>
      <c r="CJ4230">
        <v>-8</v>
      </c>
      <c r="CK4230">
        <v>82</v>
      </c>
      <c r="CL4230">
        <v>-1.25</v>
      </c>
      <c r="CM4230">
        <v>79</v>
      </c>
      <c r="CN4230">
        <v>-0.71</v>
      </c>
      <c r="CO4230">
        <v>76</v>
      </c>
      <c r="CP4230">
        <v>-11.4</v>
      </c>
      <c r="CQ4230">
        <v>78</v>
      </c>
      <c r="CR4230">
        <v>0</v>
      </c>
      <c r="CS4230">
        <v>0</v>
      </c>
      <c r="CT4230">
        <v>-2.7</v>
      </c>
      <c r="CU4230">
        <v>59</v>
      </c>
      <c r="CV4230">
        <v>0.21</v>
      </c>
      <c r="CW4230">
        <v>22</v>
      </c>
      <c r="CX4230" t="s">
        <v>1574</v>
      </c>
    </row>
    <row r="4231" spans="1:102" x14ac:dyDescent="0.3">
      <c r="A4231" t="str">
        <f>HYPERLINK("https://webapp.icbf.com/v2/app/bull-search/view/77858365","DIA")</f>
        <v>DIA</v>
      </c>
      <c r="B4231" t="s">
        <v>6905</v>
      </c>
      <c r="C4231" t="s">
        <v>6906</v>
      </c>
      <c r="D4231" s="1">
        <v>32272</v>
      </c>
      <c r="E4231" t="s">
        <v>92</v>
      </c>
      <c r="F4231">
        <v>100</v>
      </c>
      <c r="G4231" t="s">
        <v>109</v>
      </c>
      <c r="H4231">
        <v>-101.54</v>
      </c>
      <c r="I4231">
        <v>77</v>
      </c>
      <c r="J4231">
        <v>-29.15</v>
      </c>
      <c r="K4231">
        <v>91</v>
      </c>
      <c r="L4231">
        <v>-85.56</v>
      </c>
      <c r="M4231">
        <v>83</v>
      </c>
      <c r="N4231">
        <v>13.34</v>
      </c>
      <c r="O4231">
        <v>58</v>
      </c>
      <c r="P4231">
        <v>-5.91</v>
      </c>
      <c r="Q4231">
        <v>66</v>
      </c>
      <c r="R4231">
        <v>-2.4900000000000002</v>
      </c>
      <c r="S4231">
        <v>66</v>
      </c>
      <c r="T4231">
        <v>10.5</v>
      </c>
      <c r="U4231">
        <v>60</v>
      </c>
      <c r="V4231">
        <v>-2.27</v>
      </c>
      <c r="W4231">
        <v>26</v>
      </c>
      <c r="X4231" t="s">
        <v>276</v>
      </c>
      <c r="Y4231" t="s">
        <v>95</v>
      </c>
      <c r="Z4231" t="s">
        <v>96</v>
      </c>
      <c r="AA4231" t="s">
        <v>168</v>
      </c>
      <c r="AB4231" t="s">
        <v>6907</v>
      </c>
      <c r="AC4231">
        <v>33</v>
      </c>
      <c r="AD4231">
        <v>26</v>
      </c>
      <c r="AE4231">
        <v>91</v>
      </c>
      <c r="AF4231">
        <v>2.44</v>
      </c>
      <c r="AG4231">
        <v>0.62</v>
      </c>
      <c r="AH4231">
        <v>-5.14</v>
      </c>
      <c r="AI4231">
        <v>0.01</v>
      </c>
      <c r="AJ4231">
        <v>-0.09</v>
      </c>
      <c r="AK4231">
        <v>83</v>
      </c>
      <c r="AL4231">
        <v>48</v>
      </c>
      <c r="AM4231">
        <v>33</v>
      </c>
      <c r="AN4231">
        <v>4.9400000000000004</v>
      </c>
      <c r="AO4231">
        <v>-1.88</v>
      </c>
      <c r="AP4231">
        <v>3</v>
      </c>
      <c r="AQ4231">
        <v>0</v>
      </c>
      <c r="AR4231">
        <v>7.44</v>
      </c>
      <c r="AS4231">
        <v>34</v>
      </c>
      <c r="AT4231">
        <v>3.44</v>
      </c>
      <c r="AU4231">
        <v>88</v>
      </c>
      <c r="AV4231">
        <v>-1.37</v>
      </c>
      <c r="AW4231">
        <v>52</v>
      </c>
      <c r="AX4231">
        <v>-0.57999999999999996</v>
      </c>
      <c r="AY4231">
        <v>62</v>
      </c>
      <c r="AZ4231">
        <v>6.19</v>
      </c>
      <c r="BA4231">
        <v>33</v>
      </c>
      <c r="BB4231">
        <v>4.37</v>
      </c>
      <c r="BC4231">
        <v>40</v>
      </c>
      <c r="BD4231">
        <v>0.05</v>
      </c>
      <c r="BE4231">
        <v>0.06</v>
      </c>
      <c r="BF4231">
        <v>-0.14000000000000001</v>
      </c>
      <c r="BG4231">
        <v>87</v>
      </c>
      <c r="BH4231">
        <v>-0.05</v>
      </c>
      <c r="BI4231">
        <v>1.53</v>
      </c>
      <c r="BJ4231">
        <v>10</v>
      </c>
      <c r="BK4231">
        <v>8</v>
      </c>
      <c r="BL4231">
        <v>1.0900000000000001</v>
      </c>
      <c r="BM4231">
        <v>-0.46</v>
      </c>
      <c r="BN4231">
        <v>0.34</v>
      </c>
      <c r="BO4231">
        <v>0.76</v>
      </c>
      <c r="BP4231">
        <v>-0.69</v>
      </c>
      <c r="BQ4231">
        <v>-0.11</v>
      </c>
      <c r="BR4231">
        <v>-0.63</v>
      </c>
      <c r="BS4231">
        <v>-0.66</v>
      </c>
      <c r="BT4231">
        <v>0.82</v>
      </c>
      <c r="BU4231">
        <v>-1.51</v>
      </c>
      <c r="BV4231">
        <v>-0.97</v>
      </c>
      <c r="BW4231">
        <v>-0.9</v>
      </c>
      <c r="BX4231">
        <v>-0.33</v>
      </c>
      <c r="BY4231">
        <v>-3.02</v>
      </c>
      <c r="BZ4231">
        <v>0.47</v>
      </c>
      <c r="CA4231">
        <v>-1</v>
      </c>
      <c r="CB4231">
        <v>-1.29</v>
      </c>
      <c r="CC4231">
        <v>-0.01</v>
      </c>
      <c r="CD4231">
        <v>-0.55000000000000004</v>
      </c>
      <c r="CE4231">
        <v>0.78</v>
      </c>
      <c r="CF4231">
        <v>0.72</v>
      </c>
      <c r="CG4231">
        <v>0</v>
      </c>
      <c r="CH4231">
        <v>-1.04</v>
      </c>
      <c r="CI4231">
        <v>0</v>
      </c>
      <c r="CJ4231">
        <v>-0.9</v>
      </c>
      <c r="CK4231">
        <v>68</v>
      </c>
      <c r="CL4231">
        <v>-0.7</v>
      </c>
      <c r="CM4231">
        <v>64</v>
      </c>
      <c r="CN4231">
        <v>-0.3</v>
      </c>
      <c r="CO4231">
        <v>60</v>
      </c>
      <c r="CP4231">
        <v>-6.4</v>
      </c>
      <c r="CQ4231">
        <v>72</v>
      </c>
      <c r="CR4231">
        <v>0</v>
      </c>
      <c r="CS4231">
        <v>0</v>
      </c>
      <c r="CT4231">
        <v>-0.4</v>
      </c>
      <c r="CU4231">
        <v>60</v>
      </c>
      <c r="CV4231">
        <v>0.19</v>
      </c>
      <c r="CW4231">
        <v>18</v>
      </c>
      <c r="CX4231" t="s">
        <v>707</v>
      </c>
    </row>
    <row r="4232" spans="1:102" x14ac:dyDescent="0.3">
      <c r="A4232" t="str">
        <f>HYPERLINK("https://webapp.icbf.com/v2/app/bull-search/view/77858893","CHX")</f>
        <v>CHX</v>
      </c>
      <c r="B4232" t="s">
        <v>159</v>
      </c>
      <c r="C4232" t="s">
        <v>160</v>
      </c>
      <c r="D4232" s="1">
        <v>33666</v>
      </c>
      <c r="E4232" t="s">
        <v>92</v>
      </c>
      <c r="F4232">
        <v>100</v>
      </c>
      <c r="G4232" t="s">
        <v>93</v>
      </c>
      <c r="H4232">
        <v>-101.61</v>
      </c>
      <c r="I4232">
        <v>81</v>
      </c>
      <c r="J4232">
        <v>-43.09</v>
      </c>
      <c r="K4232">
        <v>93</v>
      </c>
      <c r="L4232">
        <v>-63.43</v>
      </c>
      <c r="M4232">
        <v>70</v>
      </c>
      <c r="N4232">
        <v>-27.8</v>
      </c>
      <c r="O4232">
        <v>75</v>
      </c>
      <c r="P4232">
        <v>28.74</v>
      </c>
      <c r="Q4232">
        <v>97</v>
      </c>
      <c r="R4232">
        <v>-1.51</v>
      </c>
      <c r="S4232">
        <v>70</v>
      </c>
      <c r="T4232">
        <v>4.43</v>
      </c>
      <c r="U4232">
        <v>92</v>
      </c>
      <c r="V4232">
        <v>1.05</v>
      </c>
      <c r="W4232">
        <v>40</v>
      </c>
      <c r="X4232" t="s">
        <v>94</v>
      </c>
      <c r="Y4232" t="s">
        <v>95</v>
      </c>
      <c r="Z4232" t="s">
        <v>96</v>
      </c>
      <c r="AA4232" t="s">
        <v>161</v>
      </c>
      <c r="AB4232" t="s">
        <v>162</v>
      </c>
      <c r="AC4232">
        <v>75</v>
      </c>
      <c r="AD4232">
        <v>61</v>
      </c>
      <c r="AE4232">
        <v>93</v>
      </c>
      <c r="AF4232">
        <v>86.42</v>
      </c>
      <c r="AG4232">
        <v>-8.1300000000000008</v>
      </c>
      <c r="AH4232">
        <v>-3.13</v>
      </c>
      <c r="AI4232">
        <v>-0.19</v>
      </c>
      <c r="AJ4232">
        <v>-0.1</v>
      </c>
      <c r="AK4232">
        <v>70</v>
      </c>
      <c r="AL4232">
        <v>134</v>
      </c>
      <c r="AM4232">
        <v>97</v>
      </c>
      <c r="AN4232">
        <v>3.36</v>
      </c>
      <c r="AO4232">
        <v>-1.7</v>
      </c>
      <c r="AP4232">
        <v>63</v>
      </c>
      <c r="AQ4232">
        <v>696</v>
      </c>
      <c r="AR4232">
        <v>9</v>
      </c>
      <c r="AS4232">
        <v>56</v>
      </c>
      <c r="AT4232">
        <v>4.21</v>
      </c>
      <c r="AU4232">
        <v>67</v>
      </c>
      <c r="AV4232">
        <v>1.83</v>
      </c>
      <c r="AW4232">
        <v>88</v>
      </c>
      <c r="AX4232">
        <v>0.28000000000000003</v>
      </c>
      <c r="AY4232">
        <v>95</v>
      </c>
      <c r="AZ4232">
        <v>5.85</v>
      </c>
      <c r="BA4232">
        <v>38</v>
      </c>
      <c r="BB4232">
        <v>4.75</v>
      </c>
      <c r="BC4232">
        <v>54</v>
      </c>
      <c r="BD4232">
        <v>0.01</v>
      </c>
      <c r="BE4232">
        <v>0.02</v>
      </c>
      <c r="BF4232">
        <v>-0.02</v>
      </c>
      <c r="BG4232">
        <v>89</v>
      </c>
      <c r="BH4232">
        <v>0.01</v>
      </c>
      <c r="BI4232">
        <v>-2.2200000000000002</v>
      </c>
      <c r="BJ4232">
        <v>30</v>
      </c>
      <c r="BK4232">
        <v>25</v>
      </c>
      <c r="BL4232">
        <v>0.8</v>
      </c>
      <c r="BM4232">
        <v>-1.97</v>
      </c>
      <c r="BN4232">
        <v>-0.06</v>
      </c>
      <c r="BO4232">
        <v>1.1499999999999999</v>
      </c>
      <c r="BP4232">
        <v>0.37</v>
      </c>
      <c r="BQ4232">
        <v>-1.25</v>
      </c>
      <c r="BR4232">
        <v>-0.38</v>
      </c>
      <c r="BS4232">
        <v>-0.96</v>
      </c>
      <c r="BT4232">
        <v>-0.14000000000000001</v>
      </c>
      <c r="BU4232">
        <v>0.36</v>
      </c>
      <c r="BV4232">
        <v>0.74</v>
      </c>
      <c r="BW4232">
        <v>1.22</v>
      </c>
      <c r="BX4232">
        <v>1.86</v>
      </c>
      <c r="BY4232">
        <v>-1.07</v>
      </c>
      <c r="BZ4232">
        <v>0.78</v>
      </c>
      <c r="CA4232">
        <v>0.33</v>
      </c>
      <c r="CB4232">
        <v>0.42</v>
      </c>
      <c r="CC4232">
        <v>0.37</v>
      </c>
      <c r="CD4232">
        <v>-1.44</v>
      </c>
      <c r="CE4232">
        <v>1.25</v>
      </c>
      <c r="CF4232">
        <v>0.81</v>
      </c>
      <c r="CG4232">
        <v>0</v>
      </c>
      <c r="CH4232">
        <v>-0.1</v>
      </c>
      <c r="CI4232">
        <v>0</v>
      </c>
      <c r="CJ4232">
        <v>11</v>
      </c>
      <c r="CK4232">
        <v>98</v>
      </c>
      <c r="CL4232">
        <v>1.0900000000000001</v>
      </c>
      <c r="CM4232">
        <v>98</v>
      </c>
      <c r="CN4232">
        <v>-0.15</v>
      </c>
      <c r="CO4232">
        <v>98</v>
      </c>
      <c r="CP4232">
        <v>3.7</v>
      </c>
      <c r="CQ4232">
        <v>91</v>
      </c>
      <c r="CR4232">
        <v>0</v>
      </c>
      <c r="CS4232">
        <v>0</v>
      </c>
      <c r="CT4232">
        <v>7.8</v>
      </c>
      <c r="CU4232">
        <v>92</v>
      </c>
      <c r="CV4232">
        <v>-0.22</v>
      </c>
      <c r="CW4232">
        <v>29</v>
      </c>
      <c r="CX4232" t="s">
        <v>163</v>
      </c>
    </row>
    <row r="4233" spans="1:102" x14ac:dyDescent="0.3">
      <c r="A4233" t="str">
        <f>HYPERLINK("https://webapp.icbf.com/v2/app/bull-search/view/77856040","KSW")</f>
        <v>KSW</v>
      </c>
      <c r="B4233" t="s">
        <v>2961</v>
      </c>
      <c r="C4233" t="s">
        <v>2962</v>
      </c>
      <c r="D4233" s="1">
        <v>33578</v>
      </c>
      <c r="E4233" t="s">
        <v>92</v>
      </c>
      <c r="F4233">
        <v>75</v>
      </c>
      <c r="G4233" t="s">
        <v>93</v>
      </c>
      <c r="H4233">
        <v>-101.62</v>
      </c>
      <c r="I4233">
        <v>75</v>
      </c>
      <c r="J4233">
        <v>-59.11</v>
      </c>
      <c r="K4233">
        <v>92</v>
      </c>
      <c r="L4233">
        <v>-24.09</v>
      </c>
      <c r="M4233">
        <v>69</v>
      </c>
      <c r="N4233">
        <v>-8.8000000000000007</v>
      </c>
      <c r="O4233">
        <v>60</v>
      </c>
      <c r="P4233">
        <v>-15.68</v>
      </c>
      <c r="Q4233">
        <v>78</v>
      </c>
      <c r="R4233">
        <v>-7.81</v>
      </c>
      <c r="S4233">
        <v>71</v>
      </c>
      <c r="T4233">
        <v>16.489999999999998</v>
      </c>
      <c r="U4233">
        <v>72</v>
      </c>
      <c r="V4233">
        <v>-2.62</v>
      </c>
      <c r="W4233">
        <v>38</v>
      </c>
      <c r="X4233" t="s">
        <v>94</v>
      </c>
      <c r="Y4233" t="s">
        <v>95</v>
      </c>
      <c r="Z4233" t="s">
        <v>96</v>
      </c>
      <c r="AA4233" t="s">
        <v>118</v>
      </c>
      <c r="AB4233" t="s">
        <v>2963</v>
      </c>
      <c r="AC4233">
        <v>66</v>
      </c>
      <c r="AD4233">
        <v>58</v>
      </c>
      <c r="AE4233">
        <v>92</v>
      </c>
      <c r="AF4233">
        <v>-54.15</v>
      </c>
      <c r="AG4233">
        <v>-3.68</v>
      </c>
      <c r="AH4233">
        <v>-9.58</v>
      </c>
      <c r="AI4233">
        <v>-0.03</v>
      </c>
      <c r="AJ4233">
        <v>-0.13</v>
      </c>
      <c r="AK4233">
        <v>69</v>
      </c>
      <c r="AL4233">
        <v>114</v>
      </c>
      <c r="AM4233">
        <v>87</v>
      </c>
      <c r="AN4233">
        <v>2.21</v>
      </c>
      <c r="AO4233">
        <v>0.3</v>
      </c>
      <c r="AP4233">
        <v>4</v>
      </c>
      <c r="AQ4233">
        <v>0</v>
      </c>
      <c r="AR4233">
        <v>9.39</v>
      </c>
      <c r="AS4233">
        <v>36</v>
      </c>
      <c r="AT4233">
        <v>4.13</v>
      </c>
      <c r="AU4233">
        <v>57</v>
      </c>
      <c r="AV4233">
        <v>-0.91</v>
      </c>
      <c r="AW4233">
        <v>67</v>
      </c>
      <c r="AX4233">
        <v>-0.11</v>
      </c>
      <c r="AY4233">
        <v>71</v>
      </c>
      <c r="AZ4233">
        <v>6.47</v>
      </c>
      <c r="BA4233">
        <v>38</v>
      </c>
      <c r="BB4233">
        <v>5.23</v>
      </c>
      <c r="BC4233">
        <v>55</v>
      </c>
      <c r="BD4233">
        <v>0.04</v>
      </c>
      <c r="BE4233">
        <v>7.0000000000000007E-2</v>
      </c>
      <c r="BF4233">
        <v>-0.02</v>
      </c>
      <c r="BG4233">
        <v>89</v>
      </c>
      <c r="BH4233">
        <v>-0.08</v>
      </c>
      <c r="BI4233">
        <v>-0.81</v>
      </c>
      <c r="BJ4233">
        <v>25</v>
      </c>
      <c r="BK4233">
        <v>18</v>
      </c>
      <c r="BL4233">
        <v>-0.45</v>
      </c>
      <c r="BM4233">
        <v>0.33</v>
      </c>
      <c r="BN4233">
        <v>-0.03</v>
      </c>
      <c r="BO4233">
        <v>-0.48</v>
      </c>
      <c r="BP4233">
        <v>-1.36</v>
      </c>
      <c r="BQ4233">
        <v>-0.22</v>
      </c>
      <c r="BR4233">
        <v>-1.1599999999999999</v>
      </c>
      <c r="BS4233">
        <v>0.18</v>
      </c>
      <c r="BT4233">
        <v>1.05</v>
      </c>
      <c r="BU4233">
        <v>-0.12</v>
      </c>
      <c r="BV4233">
        <v>-0.61</v>
      </c>
      <c r="BW4233">
        <v>-0.7</v>
      </c>
      <c r="BX4233">
        <v>0.22</v>
      </c>
      <c r="BY4233">
        <v>-0.46</v>
      </c>
      <c r="BZ4233">
        <v>-1.32</v>
      </c>
      <c r="CA4233">
        <v>-0.38</v>
      </c>
      <c r="CB4233">
        <v>-0.51</v>
      </c>
      <c r="CC4233">
        <v>0.19</v>
      </c>
      <c r="CD4233">
        <v>0.46</v>
      </c>
      <c r="CE4233">
        <v>-0.46</v>
      </c>
      <c r="CF4233">
        <v>-0.52</v>
      </c>
      <c r="CG4233">
        <v>0</v>
      </c>
      <c r="CH4233">
        <v>-0.17</v>
      </c>
      <c r="CI4233">
        <v>0</v>
      </c>
      <c r="CJ4233">
        <v>-6.4</v>
      </c>
      <c r="CK4233">
        <v>79</v>
      </c>
      <c r="CL4233">
        <v>-0.57999999999999996</v>
      </c>
      <c r="CM4233">
        <v>76</v>
      </c>
      <c r="CN4233">
        <v>-0.09</v>
      </c>
      <c r="CO4233">
        <v>73</v>
      </c>
      <c r="CP4233">
        <v>-12.8</v>
      </c>
      <c r="CQ4233">
        <v>82</v>
      </c>
      <c r="CR4233">
        <v>0</v>
      </c>
      <c r="CS4233">
        <v>0</v>
      </c>
      <c r="CT4233">
        <v>-8.5</v>
      </c>
      <c r="CU4233">
        <v>72</v>
      </c>
      <c r="CV4233">
        <v>0.09</v>
      </c>
      <c r="CW4233">
        <v>23</v>
      </c>
      <c r="CX4233" t="s">
        <v>622</v>
      </c>
    </row>
    <row r="4234" spans="1:102" x14ac:dyDescent="0.3">
      <c r="A4234" t="str">
        <f>HYPERLINK("https://webapp.icbf.com/v2/app/bull-search/view/268085718","NOX")</f>
        <v>NOX</v>
      </c>
      <c r="B4234" t="s">
        <v>4362</v>
      </c>
      <c r="C4234" t="s">
        <v>4363</v>
      </c>
      <c r="D4234" s="1">
        <v>35670</v>
      </c>
      <c r="E4234" t="s">
        <v>92</v>
      </c>
      <c r="F4234">
        <v>100</v>
      </c>
      <c r="G4234" t="s">
        <v>93</v>
      </c>
      <c r="H4234">
        <v>-101.78</v>
      </c>
      <c r="I4234">
        <v>92</v>
      </c>
      <c r="J4234">
        <v>62.41</v>
      </c>
      <c r="K4234">
        <v>98</v>
      </c>
      <c r="L4234">
        <v>-95.77</v>
      </c>
      <c r="M4234">
        <v>89</v>
      </c>
      <c r="N4234">
        <v>-67.66</v>
      </c>
      <c r="O4234">
        <v>87</v>
      </c>
      <c r="P4234">
        <v>-2.9</v>
      </c>
      <c r="Q4234">
        <v>95</v>
      </c>
      <c r="R4234">
        <v>-4.9400000000000004</v>
      </c>
      <c r="S4234">
        <v>86</v>
      </c>
      <c r="T4234">
        <v>0.8</v>
      </c>
      <c r="U4234">
        <v>90</v>
      </c>
      <c r="V4234">
        <v>6.28</v>
      </c>
      <c r="W4234">
        <v>82</v>
      </c>
      <c r="X4234" t="s">
        <v>102</v>
      </c>
      <c r="Y4234" t="s">
        <v>95</v>
      </c>
      <c r="Z4234" t="s">
        <v>96</v>
      </c>
      <c r="AA4234" t="s">
        <v>751</v>
      </c>
      <c r="AB4234" t="s">
        <v>4364</v>
      </c>
      <c r="AC4234">
        <v>146</v>
      </c>
      <c r="AD4234">
        <v>61</v>
      </c>
      <c r="AE4234">
        <v>98</v>
      </c>
      <c r="AF4234">
        <v>284.17</v>
      </c>
      <c r="AG4234">
        <v>5.0999999999999996</v>
      </c>
      <c r="AH4234">
        <v>13.16</v>
      </c>
      <c r="AI4234">
        <v>-0.1</v>
      </c>
      <c r="AJ4234">
        <v>0.06</v>
      </c>
      <c r="AK4234">
        <v>89</v>
      </c>
      <c r="AL4234">
        <v>167</v>
      </c>
      <c r="AM4234">
        <v>67</v>
      </c>
      <c r="AN4234">
        <v>5.03</v>
      </c>
      <c r="AO4234">
        <v>-2.61</v>
      </c>
      <c r="AP4234">
        <v>209</v>
      </c>
      <c r="AQ4234">
        <v>3</v>
      </c>
      <c r="AR4234">
        <v>16.670000000000002</v>
      </c>
      <c r="AS4234">
        <v>78</v>
      </c>
      <c r="AT4234">
        <v>6.84</v>
      </c>
      <c r="AU4234">
        <v>93</v>
      </c>
      <c r="AV4234">
        <v>-1.52</v>
      </c>
      <c r="AW4234">
        <v>92</v>
      </c>
      <c r="AX4234">
        <v>-0.49</v>
      </c>
      <c r="AY4234">
        <v>87</v>
      </c>
      <c r="AZ4234">
        <v>5.4</v>
      </c>
      <c r="BA4234">
        <v>71</v>
      </c>
      <c r="BB4234">
        <v>4.82</v>
      </c>
      <c r="BC4234">
        <v>71</v>
      </c>
      <c r="BD4234">
        <v>0.04</v>
      </c>
      <c r="BE4234">
        <v>0.03</v>
      </c>
      <c r="BF4234">
        <v>-0.01</v>
      </c>
      <c r="BG4234">
        <v>94</v>
      </c>
      <c r="BH4234">
        <v>0.01</v>
      </c>
      <c r="BI4234">
        <v>-19.11</v>
      </c>
      <c r="BJ4234">
        <v>14</v>
      </c>
      <c r="BK4234">
        <v>9</v>
      </c>
      <c r="BL4234">
        <v>0.43</v>
      </c>
      <c r="BM4234">
        <v>1.53</v>
      </c>
      <c r="BN4234">
        <v>-0.06</v>
      </c>
      <c r="BO4234">
        <v>-0.52</v>
      </c>
      <c r="BP4234">
        <v>1.84</v>
      </c>
      <c r="BQ4234">
        <v>0.9</v>
      </c>
      <c r="BR4234">
        <v>0.26</v>
      </c>
      <c r="BS4234">
        <v>-1.18</v>
      </c>
      <c r="BT4234">
        <v>0.72</v>
      </c>
      <c r="BU4234">
        <v>-0.7</v>
      </c>
      <c r="BV4234">
        <v>0.56000000000000005</v>
      </c>
      <c r="BW4234">
        <v>-0.35</v>
      </c>
      <c r="BX4234">
        <v>-0.51</v>
      </c>
      <c r="BY4234">
        <v>0.41</v>
      </c>
      <c r="BZ4234">
        <v>-1.27</v>
      </c>
      <c r="CA4234">
        <v>0.4</v>
      </c>
      <c r="CB4234">
        <v>0.08</v>
      </c>
      <c r="CC4234">
        <v>0</v>
      </c>
      <c r="CD4234">
        <v>0.28999999999999998</v>
      </c>
      <c r="CE4234">
        <v>0.89</v>
      </c>
      <c r="CF4234">
        <v>0.66</v>
      </c>
      <c r="CG4234">
        <v>0</v>
      </c>
      <c r="CH4234">
        <v>0.22</v>
      </c>
      <c r="CI4234">
        <v>0</v>
      </c>
      <c r="CJ4234">
        <v>0.4</v>
      </c>
      <c r="CK4234">
        <v>96</v>
      </c>
      <c r="CL4234">
        <v>-0.76</v>
      </c>
      <c r="CM4234">
        <v>95</v>
      </c>
      <c r="CN4234">
        <v>-0.34</v>
      </c>
      <c r="CO4234">
        <v>95</v>
      </c>
      <c r="CP4234">
        <v>2.7</v>
      </c>
      <c r="CQ4234">
        <v>94</v>
      </c>
      <c r="CR4234">
        <v>0</v>
      </c>
      <c r="CS4234">
        <v>0</v>
      </c>
      <c r="CT4234">
        <v>12.7</v>
      </c>
      <c r="CU4234">
        <v>90</v>
      </c>
      <c r="CV4234">
        <v>0.1</v>
      </c>
      <c r="CW4234">
        <v>45</v>
      </c>
      <c r="CX4234" t="s">
        <v>1488</v>
      </c>
    </row>
    <row r="4235" spans="1:102" x14ac:dyDescent="0.3">
      <c r="A4235" t="str">
        <f>HYPERLINK("https://webapp.icbf.com/v2/app/bull-search/view/77856829","HEH")</f>
        <v>HEH</v>
      </c>
      <c r="B4235" t="s">
        <v>4160</v>
      </c>
      <c r="C4235" t="s">
        <v>4161</v>
      </c>
      <c r="D4235" s="1">
        <v>33554</v>
      </c>
      <c r="E4235" t="s">
        <v>108</v>
      </c>
      <c r="F4235">
        <v>0</v>
      </c>
      <c r="G4235" t="s">
        <v>93</v>
      </c>
      <c r="H4235">
        <v>-101.87</v>
      </c>
      <c r="I4235">
        <v>42</v>
      </c>
      <c r="J4235">
        <v>-94.39</v>
      </c>
      <c r="K4235">
        <v>65</v>
      </c>
      <c r="L4235">
        <v>-23.43</v>
      </c>
      <c r="M4235">
        <v>36</v>
      </c>
      <c r="N4235">
        <v>7.28</v>
      </c>
      <c r="O4235">
        <v>20</v>
      </c>
      <c r="P4235">
        <v>-8.9600000000000009</v>
      </c>
      <c r="Q4235">
        <v>35</v>
      </c>
      <c r="R4235">
        <v>-2.52</v>
      </c>
      <c r="S4235">
        <v>43</v>
      </c>
      <c r="T4235">
        <v>21.08</v>
      </c>
      <c r="U4235">
        <v>24</v>
      </c>
      <c r="V4235">
        <v>-0.93</v>
      </c>
      <c r="W4235">
        <v>6</v>
      </c>
      <c r="X4235" t="s">
        <v>102</v>
      </c>
      <c r="Y4235" t="s">
        <v>95</v>
      </c>
      <c r="Z4235" t="s">
        <v>96</v>
      </c>
      <c r="AA4235" t="s">
        <v>4162</v>
      </c>
      <c r="AB4235" t="s">
        <v>4163</v>
      </c>
      <c r="AC4235">
        <v>11</v>
      </c>
      <c r="AD4235">
        <v>10</v>
      </c>
      <c r="AE4235">
        <v>65</v>
      </c>
      <c r="AF4235">
        <v>-336.3</v>
      </c>
      <c r="AG4235">
        <v>-10.29</v>
      </c>
      <c r="AH4235">
        <v>-17.559999999999999</v>
      </c>
      <c r="AI4235">
        <v>0.05</v>
      </c>
      <c r="AJ4235">
        <v>-0.11</v>
      </c>
      <c r="AK4235">
        <v>36</v>
      </c>
      <c r="AL4235">
        <v>30</v>
      </c>
      <c r="AM4235">
        <v>26</v>
      </c>
      <c r="AN4235">
        <v>-0.38</v>
      </c>
      <c r="AO4235">
        <v>-2.27</v>
      </c>
      <c r="AP4235">
        <v>1</v>
      </c>
      <c r="AQ4235">
        <v>0</v>
      </c>
      <c r="AR4235">
        <v>6.7</v>
      </c>
      <c r="AS4235">
        <v>6</v>
      </c>
      <c r="AT4235">
        <v>2.68</v>
      </c>
      <c r="AU4235">
        <v>13</v>
      </c>
      <c r="AV4235">
        <v>-0.39</v>
      </c>
      <c r="AW4235">
        <v>28</v>
      </c>
      <c r="AX4235">
        <v>-0.48</v>
      </c>
      <c r="AY4235">
        <v>29</v>
      </c>
      <c r="AZ4235">
        <v>6.94</v>
      </c>
      <c r="BA4235">
        <v>7</v>
      </c>
      <c r="BB4235">
        <v>5.45</v>
      </c>
      <c r="BC4235">
        <v>11</v>
      </c>
      <c r="BD4235">
        <v>0.03</v>
      </c>
      <c r="BE4235">
        <v>0.02</v>
      </c>
      <c r="BF4235">
        <v>-0.03</v>
      </c>
      <c r="BG4235">
        <v>64</v>
      </c>
      <c r="BH4235">
        <v>-0.04</v>
      </c>
      <c r="BI4235">
        <v>-1.63</v>
      </c>
      <c r="BJ4235">
        <v>6</v>
      </c>
      <c r="BK4235">
        <v>5</v>
      </c>
      <c r="BL4235">
        <v>-3.07</v>
      </c>
      <c r="BM4235">
        <v>1.95</v>
      </c>
      <c r="BN4235">
        <v>-2.0299999999999998</v>
      </c>
      <c r="BO4235">
        <v>-2.82</v>
      </c>
      <c r="BP4235">
        <v>-0.64</v>
      </c>
      <c r="BQ4235">
        <v>0.81</v>
      </c>
      <c r="BR4235">
        <v>-1.75</v>
      </c>
      <c r="BS4235">
        <v>0.2</v>
      </c>
      <c r="BT4235">
        <v>0.01</v>
      </c>
      <c r="BU4235">
        <v>-2.35</v>
      </c>
      <c r="BV4235">
        <v>-2.2599999999999998</v>
      </c>
      <c r="BW4235">
        <v>-1.92</v>
      </c>
      <c r="BX4235">
        <v>-2.5299999999999998</v>
      </c>
      <c r="BY4235">
        <v>-0.81</v>
      </c>
      <c r="BZ4235">
        <v>0.45</v>
      </c>
      <c r="CA4235">
        <v>-1.97</v>
      </c>
      <c r="CB4235">
        <v>-2.2400000000000002</v>
      </c>
      <c r="CC4235">
        <v>-0.62</v>
      </c>
      <c r="CD4235">
        <v>2.85</v>
      </c>
      <c r="CE4235">
        <v>-2.7</v>
      </c>
      <c r="CF4235">
        <v>-2.19</v>
      </c>
      <c r="CG4235">
        <v>0</v>
      </c>
      <c r="CH4235">
        <v>-1.2</v>
      </c>
      <c r="CI4235">
        <v>0</v>
      </c>
      <c r="CJ4235">
        <v>-7.2</v>
      </c>
      <c r="CK4235">
        <v>37</v>
      </c>
      <c r="CL4235">
        <v>0.21</v>
      </c>
      <c r="CM4235">
        <v>33</v>
      </c>
      <c r="CN4235">
        <v>-0.03</v>
      </c>
      <c r="CO4235">
        <v>29</v>
      </c>
      <c r="CP4235">
        <v>-10.3</v>
      </c>
      <c r="CQ4235">
        <v>33</v>
      </c>
      <c r="CR4235">
        <v>0</v>
      </c>
      <c r="CS4235">
        <v>0</v>
      </c>
      <c r="CT4235">
        <v>-14.7</v>
      </c>
      <c r="CU4235">
        <v>24</v>
      </c>
      <c r="CV4235">
        <v>-0.24</v>
      </c>
      <c r="CW4235">
        <v>9</v>
      </c>
      <c r="CX4235" t="s">
        <v>481</v>
      </c>
    </row>
    <row r="4236" spans="1:102" x14ac:dyDescent="0.3">
      <c r="A4236" t="str">
        <f>HYPERLINK("https://webapp.icbf.com/v2/app/bull-search/view/586046799","TQT")</f>
        <v>TQT</v>
      </c>
      <c r="B4236" t="s">
        <v>1750</v>
      </c>
      <c r="C4236" t="s">
        <v>1751</v>
      </c>
      <c r="D4236" s="1">
        <v>38121</v>
      </c>
      <c r="E4236" t="s">
        <v>92</v>
      </c>
      <c r="F4236">
        <v>100</v>
      </c>
      <c r="G4236" t="s">
        <v>109</v>
      </c>
      <c r="H4236">
        <v>-101.88</v>
      </c>
      <c r="I4236">
        <v>79</v>
      </c>
      <c r="J4236">
        <v>-10.5</v>
      </c>
      <c r="K4236">
        <v>91</v>
      </c>
      <c r="L4236">
        <v>-72.64</v>
      </c>
      <c r="M4236">
        <v>77</v>
      </c>
      <c r="N4236">
        <v>-9.91</v>
      </c>
      <c r="O4236">
        <v>67</v>
      </c>
      <c r="P4236">
        <v>-17.100000000000001</v>
      </c>
      <c r="Q4236">
        <v>79</v>
      </c>
      <c r="R4236">
        <v>2.81</v>
      </c>
      <c r="S4236">
        <v>66</v>
      </c>
      <c r="T4236">
        <v>-2.31</v>
      </c>
      <c r="U4236">
        <v>77</v>
      </c>
      <c r="V4236">
        <v>7.77</v>
      </c>
      <c r="W4236">
        <v>31</v>
      </c>
      <c r="X4236" t="s">
        <v>747</v>
      </c>
      <c r="Y4236" t="s">
        <v>282</v>
      </c>
      <c r="Z4236" t="s">
        <v>96</v>
      </c>
      <c r="AA4236" t="s">
        <v>1752</v>
      </c>
      <c r="AB4236" t="s">
        <v>1753</v>
      </c>
      <c r="AC4236">
        <v>38</v>
      </c>
      <c r="AD4236">
        <v>16</v>
      </c>
      <c r="AE4236">
        <v>91</v>
      </c>
      <c r="AF4236">
        <v>-22.26</v>
      </c>
      <c r="AG4236">
        <v>-2.2799999999999998</v>
      </c>
      <c r="AH4236">
        <v>-1.32</v>
      </c>
      <c r="AI4236">
        <v>-0.02</v>
      </c>
      <c r="AJ4236">
        <v>-0.01</v>
      </c>
      <c r="AK4236">
        <v>77</v>
      </c>
      <c r="AL4236">
        <v>32</v>
      </c>
      <c r="AM4236">
        <v>17</v>
      </c>
      <c r="AN4236">
        <v>4.1900000000000004</v>
      </c>
      <c r="AO4236">
        <v>-1.6</v>
      </c>
      <c r="AP4236">
        <v>52</v>
      </c>
      <c r="AQ4236">
        <v>0</v>
      </c>
      <c r="AR4236">
        <v>9.0500000000000007</v>
      </c>
      <c r="AS4236">
        <v>51</v>
      </c>
      <c r="AT4236">
        <v>3.9</v>
      </c>
      <c r="AU4236">
        <v>85</v>
      </c>
      <c r="AV4236">
        <v>-0.04</v>
      </c>
      <c r="AW4236">
        <v>71</v>
      </c>
      <c r="AX4236">
        <v>0.03</v>
      </c>
      <c r="AY4236">
        <v>65</v>
      </c>
      <c r="AZ4236">
        <v>5.75</v>
      </c>
      <c r="BA4236">
        <v>40</v>
      </c>
      <c r="BB4236">
        <v>4.93</v>
      </c>
      <c r="BC4236">
        <v>37</v>
      </c>
      <c r="BD4236">
        <v>-0.04</v>
      </c>
      <c r="BE4236">
        <v>-0.02</v>
      </c>
      <c r="BF4236">
        <v>0.04</v>
      </c>
      <c r="BG4236">
        <v>84</v>
      </c>
      <c r="BH4236">
        <v>0.01</v>
      </c>
      <c r="BI4236">
        <v>-23.92</v>
      </c>
      <c r="BJ4236">
        <v>27</v>
      </c>
      <c r="BK4236">
        <v>14</v>
      </c>
      <c r="BL4236">
        <v>1.66</v>
      </c>
      <c r="BM4236">
        <v>-0.65</v>
      </c>
      <c r="BN4236">
        <v>0.79</v>
      </c>
      <c r="BO4236">
        <v>1.18</v>
      </c>
      <c r="BP4236">
        <v>2.02</v>
      </c>
      <c r="BQ4236">
        <v>2.6</v>
      </c>
      <c r="BR4236">
        <v>2.2799999999999998</v>
      </c>
      <c r="BS4236">
        <v>-0.75</v>
      </c>
      <c r="BT4236">
        <v>-2.42</v>
      </c>
      <c r="BU4236">
        <v>3.21</v>
      </c>
      <c r="BV4236">
        <v>2.99</v>
      </c>
      <c r="BW4236">
        <v>2.48</v>
      </c>
      <c r="BX4236">
        <v>3.25</v>
      </c>
      <c r="BY4236">
        <v>3</v>
      </c>
      <c r="BZ4236">
        <v>-0.31</v>
      </c>
      <c r="CA4236">
        <v>1.75</v>
      </c>
      <c r="CB4236">
        <v>2.67</v>
      </c>
      <c r="CC4236">
        <v>-0.75</v>
      </c>
      <c r="CD4236">
        <v>-1.28</v>
      </c>
      <c r="CE4236">
        <v>1.1299999999999999</v>
      </c>
      <c r="CF4236">
        <v>1.06</v>
      </c>
      <c r="CG4236">
        <v>0</v>
      </c>
      <c r="CH4236">
        <v>1.91</v>
      </c>
      <c r="CI4236">
        <v>0</v>
      </c>
      <c r="CJ4236">
        <v>-7.7</v>
      </c>
      <c r="CK4236">
        <v>81</v>
      </c>
      <c r="CL4236">
        <v>-1.55</v>
      </c>
      <c r="CM4236">
        <v>77</v>
      </c>
      <c r="CN4236">
        <v>-0.83</v>
      </c>
      <c r="CO4236">
        <v>74</v>
      </c>
      <c r="CP4236">
        <v>-1.3</v>
      </c>
      <c r="CQ4236">
        <v>75</v>
      </c>
      <c r="CR4236">
        <v>0</v>
      </c>
      <c r="CS4236">
        <v>0</v>
      </c>
      <c r="CT4236">
        <v>16.899999999999999</v>
      </c>
      <c r="CU4236">
        <v>77</v>
      </c>
      <c r="CV4236">
        <v>0.33</v>
      </c>
      <c r="CW4236">
        <v>22</v>
      </c>
      <c r="CX4236" t="s">
        <v>311</v>
      </c>
    </row>
    <row r="4237" spans="1:102" x14ac:dyDescent="0.3">
      <c r="A4237" t="str">
        <f>HYPERLINK("https://webapp.icbf.com/v2/app/bull-search/view/77853691","SBE")</f>
        <v>SBE</v>
      </c>
      <c r="B4237" t="s">
        <v>4998</v>
      </c>
      <c r="C4237" t="s">
        <v>2701</v>
      </c>
      <c r="D4237" s="1">
        <v>31425</v>
      </c>
      <c r="E4237" t="s">
        <v>92</v>
      </c>
      <c r="F4237">
        <v>100</v>
      </c>
      <c r="G4237" t="s">
        <v>93</v>
      </c>
      <c r="H4237">
        <v>-102.31</v>
      </c>
      <c r="I4237">
        <v>95</v>
      </c>
      <c r="J4237">
        <v>-46.84</v>
      </c>
      <c r="K4237">
        <v>99</v>
      </c>
      <c r="L4237">
        <v>-12.98</v>
      </c>
      <c r="M4237">
        <v>95</v>
      </c>
      <c r="N4237">
        <v>-33.700000000000003</v>
      </c>
      <c r="O4237">
        <v>92</v>
      </c>
      <c r="P4237">
        <v>-10.82</v>
      </c>
      <c r="Q4237">
        <v>96</v>
      </c>
      <c r="R4237">
        <v>-4.2300000000000004</v>
      </c>
      <c r="S4237">
        <v>88</v>
      </c>
      <c r="T4237">
        <v>4.72</v>
      </c>
      <c r="U4237">
        <v>94</v>
      </c>
      <c r="V4237">
        <v>1.54</v>
      </c>
      <c r="W4237">
        <v>80</v>
      </c>
      <c r="X4237" t="s">
        <v>94</v>
      </c>
      <c r="Y4237" t="s">
        <v>95</v>
      </c>
      <c r="Z4237" t="s">
        <v>96</v>
      </c>
      <c r="AA4237" t="s">
        <v>154</v>
      </c>
      <c r="AB4237" t="s">
        <v>4999</v>
      </c>
      <c r="AC4237">
        <v>644</v>
      </c>
      <c r="AD4237">
        <v>363</v>
      </c>
      <c r="AE4237">
        <v>99</v>
      </c>
      <c r="AF4237">
        <v>116.03</v>
      </c>
      <c r="AG4237">
        <v>-5.71</v>
      </c>
      <c r="AH4237">
        <v>-4.17</v>
      </c>
      <c r="AI4237">
        <v>-0.18</v>
      </c>
      <c r="AJ4237">
        <v>-0.14000000000000001</v>
      </c>
      <c r="AK4237">
        <v>95</v>
      </c>
      <c r="AL4237">
        <v>765</v>
      </c>
      <c r="AM4237">
        <v>362</v>
      </c>
      <c r="AN4237">
        <v>1.08</v>
      </c>
      <c r="AO4237">
        <v>0.05</v>
      </c>
      <c r="AP4237">
        <v>49</v>
      </c>
      <c r="AQ4237">
        <v>0</v>
      </c>
      <c r="AR4237">
        <v>10.72</v>
      </c>
      <c r="AS4237">
        <v>78</v>
      </c>
      <c r="AT4237">
        <v>4.96</v>
      </c>
      <c r="AU4237">
        <v>93</v>
      </c>
      <c r="AV4237">
        <v>1.03</v>
      </c>
      <c r="AW4237">
        <v>95</v>
      </c>
      <c r="AX4237">
        <v>-0.02</v>
      </c>
      <c r="AY4237">
        <v>96</v>
      </c>
      <c r="AZ4237">
        <v>5.39</v>
      </c>
      <c r="BA4237">
        <v>77</v>
      </c>
      <c r="BB4237">
        <v>4.54</v>
      </c>
      <c r="BC4237">
        <v>89</v>
      </c>
      <c r="BD4237">
        <v>0.05</v>
      </c>
      <c r="BE4237">
        <v>0.06</v>
      </c>
      <c r="BF4237">
        <v>-0.1</v>
      </c>
      <c r="BG4237">
        <v>98</v>
      </c>
      <c r="BH4237">
        <v>0.03</v>
      </c>
      <c r="BI4237">
        <v>-1.49</v>
      </c>
      <c r="BJ4237">
        <v>146</v>
      </c>
      <c r="BK4237">
        <v>71</v>
      </c>
      <c r="BL4237">
        <v>1.31</v>
      </c>
      <c r="BM4237">
        <v>1.48</v>
      </c>
      <c r="BN4237">
        <v>2.2799999999999998</v>
      </c>
      <c r="BO4237">
        <v>0.66</v>
      </c>
      <c r="BP4237">
        <v>1.01</v>
      </c>
      <c r="BQ4237">
        <v>1.6</v>
      </c>
      <c r="BR4237">
        <v>1.5</v>
      </c>
      <c r="BS4237">
        <v>-0.03</v>
      </c>
      <c r="BT4237">
        <v>-0.52</v>
      </c>
      <c r="BU4237">
        <v>-7.0000000000000007E-2</v>
      </c>
      <c r="BV4237">
        <v>1.1100000000000001</v>
      </c>
      <c r="BW4237">
        <v>0.82</v>
      </c>
      <c r="BX4237">
        <v>0.41</v>
      </c>
      <c r="BY4237">
        <v>0.32</v>
      </c>
      <c r="BZ4237">
        <v>-0.52</v>
      </c>
      <c r="CA4237">
        <v>0.56999999999999995</v>
      </c>
      <c r="CB4237">
        <v>0.8</v>
      </c>
      <c r="CC4237">
        <v>0.15</v>
      </c>
      <c r="CD4237">
        <v>-0.04</v>
      </c>
      <c r="CE4237">
        <v>0.72</v>
      </c>
      <c r="CF4237">
        <v>2.42</v>
      </c>
      <c r="CG4237">
        <v>0</v>
      </c>
      <c r="CH4237">
        <v>0.3</v>
      </c>
      <c r="CI4237">
        <v>0</v>
      </c>
      <c r="CJ4237">
        <v>-6</v>
      </c>
      <c r="CK4237">
        <v>96</v>
      </c>
      <c r="CL4237">
        <v>-0.89</v>
      </c>
      <c r="CM4237">
        <v>95</v>
      </c>
      <c r="CN4237">
        <v>-0.51</v>
      </c>
      <c r="CO4237">
        <v>95</v>
      </c>
      <c r="CP4237">
        <v>4.5</v>
      </c>
      <c r="CQ4237">
        <v>98</v>
      </c>
      <c r="CR4237">
        <v>0</v>
      </c>
      <c r="CS4237">
        <v>0</v>
      </c>
      <c r="CT4237">
        <v>7.4</v>
      </c>
      <c r="CU4237">
        <v>94</v>
      </c>
      <c r="CV4237">
        <v>0.09</v>
      </c>
      <c r="CW4237">
        <v>45</v>
      </c>
      <c r="CX4237" t="s">
        <v>5000</v>
      </c>
    </row>
    <row r="4238" spans="1:102" x14ac:dyDescent="0.3">
      <c r="A4238" t="str">
        <f>HYPERLINK("https://webapp.icbf.com/v2/app/bull-search/view/77854702","PCM")</f>
        <v>PCM</v>
      </c>
      <c r="B4238" t="s">
        <v>10377</v>
      </c>
      <c r="C4238" t="s">
        <v>10378</v>
      </c>
      <c r="D4238" s="1">
        <v>32218</v>
      </c>
      <c r="E4238" t="s">
        <v>92</v>
      </c>
      <c r="F4238">
        <v>100</v>
      </c>
      <c r="G4238" t="s">
        <v>109</v>
      </c>
      <c r="H4238">
        <v>-102.38</v>
      </c>
      <c r="I4238">
        <v>81</v>
      </c>
      <c r="J4238">
        <v>-22.56</v>
      </c>
      <c r="K4238">
        <v>93</v>
      </c>
      <c r="L4238">
        <v>-72.319999999999993</v>
      </c>
      <c r="M4238">
        <v>87</v>
      </c>
      <c r="N4238">
        <v>-2.99</v>
      </c>
      <c r="O4238">
        <v>65</v>
      </c>
      <c r="P4238">
        <v>-12.69</v>
      </c>
      <c r="Q4238">
        <v>61</v>
      </c>
      <c r="R4238">
        <v>-8.39</v>
      </c>
      <c r="S4238">
        <v>77</v>
      </c>
      <c r="T4238">
        <v>20.93</v>
      </c>
      <c r="U4238">
        <v>59</v>
      </c>
      <c r="V4238">
        <v>-4.3600000000000003</v>
      </c>
      <c r="W4238">
        <v>61</v>
      </c>
      <c r="X4238" t="s">
        <v>110</v>
      </c>
      <c r="Y4238" t="s">
        <v>95</v>
      </c>
      <c r="Z4238" t="s">
        <v>96</v>
      </c>
      <c r="AA4238" t="s">
        <v>724</v>
      </c>
      <c r="AB4238" t="s">
        <v>10379</v>
      </c>
      <c r="AC4238">
        <v>0</v>
      </c>
      <c r="AD4238">
        <v>0</v>
      </c>
      <c r="AE4238">
        <v>93</v>
      </c>
      <c r="AF4238">
        <v>304.58999999999997</v>
      </c>
      <c r="AG4238">
        <v>-3.29</v>
      </c>
      <c r="AH4238">
        <v>1.99</v>
      </c>
      <c r="AI4238">
        <v>-0.25</v>
      </c>
      <c r="AJ4238">
        <v>-0.14000000000000001</v>
      </c>
      <c r="AK4238">
        <v>87</v>
      </c>
      <c r="AL4238">
        <v>0</v>
      </c>
      <c r="AM4238">
        <v>0</v>
      </c>
      <c r="AN4238">
        <v>3.75</v>
      </c>
      <c r="AO4238">
        <v>-2.02</v>
      </c>
      <c r="AP4238">
        <v>3</v>
      </c>
      <c r="AQ4238">
        <v>0</v>
      </c>
      <c r="AR4238">
        <v>8.26</v>
      </c>
      <c r="AS4238">
        <v>56</v>
      </c>
      <c r="AT4238">
        <v>3.1</v>
      </c>
      <c r="AU4238">
        <v>89</v>
      </c>
      <c r="AV4238">
        <v>-0.23</v>
      </c>
      <c r="AW4238">
        <v>58</v>
      </c>
      <c r="AX4238">
        <v>-0.57999999999999996</v>
      </c>
      <c r="AY4238">
        <v>63</v>
      </c>
      <c r="AZ4238">
        <v>7.94</v>
      </c>
      <c r="BA4238">
        <v>45</v>
      </c>
      <c r="BB4238">
        <v>5.46</v>
      </c>
      <c r="BC4238">
        <v>51</v>
      </c>
      <c r="BD4238">
        <v>0.09</v>
      </c>
      <c r="BE4238">
        <v>7.0000000000000007E-2</v>
      </c>
      <c r="BF4238">
        <v>-0.09</v>
      </c>
      <c r="BG4238">
        <v>92</v>
      </c>
      <c r="BH4238">
        <v>-0.01</v>
      </c>
      <c r="BI4238">
        <v>12.9</v>
      </c>
      <c r="BJ4238">
        <v>6</v>
      </c>
      <c r="BK4238">
        <v>5</v>
      </c>
      <c r="BL4238">
        <v>-0.36</v>
      </c>
      <c r="BM4238">
        <v>-1.26</v>
      </c>
      <c r="BN4238">
        <v>-1.55</v>
      </c>
      <c r="BO4238">
        <v>0.01</v>
      </c>
      <c r="BP4238">
        <v>0.1</v>
      </c>
      <c r="BQ4238">
        <v>-0.77</v>
      </c>
      <c r="BR4238">
        <v>-0.47</v>
      </c>
      <c r="BS4238">
        <v>0.25</v>
      </c>
      <c r="BT4238">
        <v>0.42</v>
      </c>
      <c r="BU4238">
        <v>-0.49</v>
      </c>
      <c r="BV4238">
        <v>0.21</v>
      </c>
      <c r="BW4238">
        <v>-0.19</v>
      </c>
      <c r="BX4238">
        <v>0.11</v>
      </c>
      <c r="BY4238">
        <v>-0.31</v>
      </c>
      <c r="BZ4238">
        <v>0.54</v>
      </c>
      <c r="CA4238">
        <v>0.09</v>
      </c>
      <c r="CB4238">
        <v>-0.21</v>
      </c>
      <c r="CC4238">
        <v>0.51</v>
      </c>
      <c r="CD4238">
        <v>-0.6</v>
      </c>
      <c r="CE4238">
        <v>0.17</v>
      </c>
      <c r="CF4238">
        <v>-0.81</v>
      </c>
      <c r="CG4238">
        <v>0</v>
      </c>
      <c r="CH4238">
        <v>-0.49</v>
      </c>
      <c r="CI4238">
        <v>0</v>
      </c>
      <c r="CJ4238">
        <v>-5.8</v>
      </c>
      <c r="CK4238">
        <v>62</v>
      </c>
      <c r="CL4238">
        <v>-0.98</v>
      </c>
      <c r="CM4238">
        <v>60</v>
      </c>
      <c r="CN4238">
        <v>-0.64</v>
      </c>
      <c r="CO4238">
        <v>56</v>
      </c>
      <c r="CP4238">
        <v>-13.8</v>
      </c>
      <c r="CQ4238">
        <v>69</v>
      </c>
      <c r="CR4238">
        <v>0</v>
      </c>
      <c r="CS4238">
        <v>0</v>
      </c>
      <c r="CT4238">
        <v>-14.5</v>
      </c>
      <c r="CU4238">
        <v>59</v>
      </c>
      <c r="CV4238">
        <v>0.15</v>
      </c>
      <c r="CW4238">
        <v>37</v>
      </c>
      <c r="CX4238" t="s">
        <v>543</v>
      </c>
    </row>
    <row r="4239" spans="1:102" x14ac:dyDescent="0.3">
      <c r="A4239" t="str">
        <f>HYPERLINK("https://webapp.icbf.com/v2/app/bull-search/view/77860072","BXR")</f>
        <v>BXR</v>
      </c>
      <c r="B4239" t="s">
        <v>14373</v>
      </c>
      <c r="C4239" t="s">
        <v>14374</v>
      </c>
      <c r="D4239" s="1">
        <v>31572</v>
      </c>
      <c r="E4239" t="s">
        <v>92</v>
      </c>
      <c r="F4239">
        <v>100</v>
      </c>
      <c r="G4239" t="s">
        <v>93</v>
      </c>
      <c r="H4239">
        <v>-102.39</v>
      </c>
      <c r="I4239">
        <v>81</v>
      </c>
      <c r="J4239">
        <v>11.52</v>
      </c>
      <c r="K4239">
        <v>94</v>
      </c>
      <c r="L4239">
        <v>-70.61</v>
      </c>
      <c r="M4239">
        <v>83</v>
      </c>
      <c r="N4239">
        <v>-15.02</v>
      </c>
      <c r="O4239">
        <v>67</v>
      </c>
      <c r="P4239">
        <v>-5.66</v>
      </c>
      <c r="Q4239">
        <v>74</v>
      </c>
      <c r="R4239">
        <v>-22.72</v>
      </c>
      <c r="S4239">
        <v>73</v>
      </c>
      <c r="T4239">
        <v>8.5</v>
      </c>
      <c r="U4239">
        <v>68</v>
      </c>
      <c r="V4239">
        <v>-8.4</v>
      </c>
      <c r="W4239">
        <v>47</v>
      </c>
      <c r="X4239" t="s">
        <v>110</v>
      </c>
      <c r="Y4239" t="s">
        <v>95</v>
      </c>
      <c r="Z4239" t="s">
        <v>96</v>
      </c>
      <c r="AA4239" t="s">
        <v>14375</v>
      </c>
      <c r="AB4239" t="s">
        <v>14376</v>
      </c>
      <c r="AC4239">
        <v>62</v>
      </c>
      <c r="AD4239">
        <v>43</v>
      </c>
      <c r="AE4239">
        <v>94</v>
      </c>
      <c r="AF4239">
        <v>-211.81</v>
      </c>
      <c r="AG4239">
        <v>8.02</v>
      </c>
      <c r="AH4239">
        <v>-4.12</v>
      </c>
      <c r="AI4239">
        <v>0.28999999999999998</v>
      </c>
      <c r="AJ4239">
        <v>0.06</v>
      </c>
      <c r="AK4239">
        <v>83</v>
      </c>
      <c r="AL4239">
        <v>80</v>
      </c>
      <c r="AM4239">
        <v>47</v>
      </c>
      <c r="AN4239">
        <v>3.17</v>
      </c>
      <c r="AO4239">
        <v>-2.4700000000000002</v>
      </c>
      <c r="AP4239">
        <v>2</v>
      </c>
      <c r="AQ4239">
        <v>0</v>
      </c>
      <c r="AR4239">
        <v>8.49</v>
      </c>
      <c r="AS4239">
        <v>43</v>
      </c>
      <c r="AT4239">
        <v>3.31</v>
      </c>
      <c r="AU4239">
        <v>88</v>
      </c>
      <c r="AV4239">
        <v>0.13</v>
      </c>
      <c r="AW4239">
        <v>65</v>
      </c>
      <c r="AX4239">
        <v>-0.56000000000000005</v>
      </c>
      <c r="AY4239">
        <v>69</v>
      </c>
      <c r="AZ4239">
        <v>8.8000000000000007</v>
      </c>
      <c r="BA4239">
        <v>36</v>
      </c>
      <c r="BB4239">
        <v>6.33</v>
      </c>
      <c r="BC4239">
        <v>51</v>
      </c>
      <c r="BD4239">
        <v>0.08</v>
      </c>
      <c r="BE4239">
        <v>0.11</v>
      </c>
      <c r="BF4239">
        <v>0.18</v>
      </c>
      <c r="BG4239">
        <v>92</v>
      </c>
      <c r="BH4239">
        <v>0.01</v>
      </c>
      <c r="BI4239">
        <v>28.25</v>
      </c>
      <c r="BJ4239">
        <v>18</v>
      </c>
      <c r="BK4239">
        <v>9</v>
      </c>
      <c r="BL4239">
        <v>0.37</v>
      </c>
      <c r="BM4239">
        <v>1.1200000000000001</v>
      </c>
      <c r="BN4239">
        <v>1.83</v>
      </c>
      <c r="BO4239">
        <v>0.7</v>
      </c>
      <c r="BP4239">
        <v>-1.1000000000000001</v>
      </c>
      <c r="BQ4239">
        <v>1.0900000000000001</v>
      </c>
      <c r="BR4239">
        <v>2.4900000000000002</v>
      </c>
      <c r="BS4239">
        <v>-1.92</v>
      </c>
      <c r="BT4239">
        <v>-2.37</v>
      </c>
      <c r="BU4239">
        <v>-1.55</v>
      </c>
      <c r="BV4239">
        <v>-0.41</v>
      </c>
      <c r="BW4239">
        <v>-0.15</v>
      </c>
      <c r="BX4239">
        <v>-1.25</v>
      </c>
      <c r="BY4239">
        <v>-1.4</v>
      </c>
      <c r="BZ4239">
        <v>-0.63</v>
      </c>
      <c r="CA4239">
        <v>-1.95</v>
      </c>
      <c r="CB4239">
        <v>-1.06</v>
      </c>
      <c r="CC4239">
        <v>-2.19</v>
      </c>
      <c r="CD4239">
        <v>0.18</v>
      </c>
      <c r="CE4239">
        <v>0.84</v>
      </c>
      <c r="CF4239">
        <v>1.78</v>
      </c>
      <c r="CG4239">
        <v>0</v>
      </c>
      <c r="CH4239">
        <v>-1.63</v>
      </c>
      <c r="CI4239">
        <v>0</v>
      </c>
      <c r="CJ4239">
        <v>-2.5</v>
      </c>
      <c r="CK4239">
        <v>75</v>
      </c>
      <c r="CL4239">
        <v>-0.53</v>
      </c>
      <c r="CM4239">
        <v>72</v>
      </c>
      <c r="CN4239">
        <v>-0.31</v>
      </c>
      <c r="CO4239">
        <v>69</v>
      </c>
      <c r="CP4239">
        <v>-2.5</v>
      </c>
      <c r="CQ4239">
        <v>80</v>
      </c>
      <c r="CR4239">
        <v>0</v>
      </c>
      <c r="CS4239">
        <v>0</v>
      </c>
      <c r="CT4239">
        <v>2.2999999999999998</v>
      </c>
      <c r="CU4239">
        <v>68</v>
      </c>
      <c r="CV4239">
        <v>0.12</v>
      </c>
      <c r="CW4239">
        <v>40</v>
      </c>
      <c r="CX4239" t="s">
        <v>5223</v>
      </c>
    </row>
    <row r="4240" spans="1:102" x14ac:dyDescent="0.3">
      <c r="A4240" t="str">
        <f>HYPERLINK("https://webapp.icbf.com/v2/app/bull-search/view/77854726","PFC")</f>
        <v>PFC</v>
      </c>
      <c r="B4240" t="s">
        <v>482</v>
      </c>
      <c r="C4240" t="s">
        <v>483</v>
      </c>
      <c r="D4240" s="1">
        <v>35789</v>
      </c>
      <c r="E4240" t="s">
        <v>92</v>
      </c>
      <c r="F4240">
        <v>97</v>
      </c>
      <c r="G4240" t="s">
        <v>93</v>
      </c>
      <c r="H4240">
        <v>-102.59</v>
      </c>
      <c r="I4240">
        <v>78</v>
      </c>
      <c r="J4240">
        <v>-2.1</v>
      </c>
      <c r="K4240">
        <v>95</v>
      </c>
      <c r="L4240">
        <v>-103.59</v>
      </c>
      <c r="M4240">
        <v>66</v>
      </c>
      <c r="N4240">
        <v>-0.92</v>
      </c>
      <c r="O4240">
        <v>66</v>
      </c>
      <c r="P4240">
        <v>-1.66</v>
      </c>
      <c r="Q4240">
        <v>82</v>
      </c>
      <c r="R4240">
        <v>-6.16</v>
      </c>
      <c r="S4240">
        <v>69</v>
      </c>
      <c r="T4240">
        <v>13.09</v>
      </c>
      <c r="U4240">
        <v>90</v>
      </c>
      <c r="V4240">
        <v>-1.25</v>
      </c>
      <c r="W4240">
        <v>39</v>
      </c>
      <c r="X4240" t="s">
        <v>94</v>
      </c>
      <c r="Y4240" t="s">
        <v>95</v>
      </c>
      <c r="Z4240" t="s">
        <v>96</v>
      </c>
      <c r="AA4240" t="s">
        <v>218</v>
      </c>
      <c r="AB4240" t="s">
        <v>484</v>
      </c>
      <c r="AC4240">
        <v>80</v>
      </c>
      <c r="AD4240">
        <v>70</v>
      </c>
      <c r="AE4240">
        <v>95</v>
      </c>
      <c r="AF4240">
        <v>247.93</v>
      </c>
      <c r="AG4240">
        <v>-0.28999999999999998</v>
      </c>
      <c r="AH4240">
        <v>3.54</v>
      </c>
      <c r="AI4240">
        <v>-0.16</v>
      </c>
      <c r="AJ4240">
        <v>-0.08</v>
      </c>
      <c r="AK4240">
        <v>66</v>
      </c>
      <c r="AL4240">
        <v>83</v>
      </c>
      <c r="AM4240">
        <v>66</v>
      </c>
      <c r="AN4240">
        <v>5.71</v>
      </c>
      <c r="AO4240">
        <v>-2.5499999999999998</v>
      </c>
      <c r="AP4240">
        <v>3</v>
      </c>
      <c r="AQ4240">
        <v>0</v>
      </c>
      <c r="AR4240">
        <v>8.1999999999999993</v>
      </c>
      <c r="AS4240">
        <v>50</v>
      </c>
      <c r="AT4240">
        <v>4.01</v>
      </c>
      <c r="AU4240">
        <v>62</v>
      </c>
      <c r="AV4240">
        <v>-0.8</v>
      </c>
      <c r="AW4240">
        <v>72</v>
      </c>
      <c r="AX4240">
        <v>-0.5</v>
      </c>
      <c r="AY4240">
        <v>75</v>
      </c>
      <c r="AZ4240">
        <v>5.89</v>
      </c>
      <c r="BA4240">
        <v>51</v>
      </c>
      <c r="BB4240">
        <v>4.87</v>
      </c>
      <c r="BC4240">
        <v>60</v>
      </c>
      <c r="BD4240">
        <v>0.01</v>
      </c>
      <c r="BE4240">
        <v>0.05</v>
      </c>
      <c r="BF4240">
        <v>0.03</v>
      </c>
      <c r="BG4240">
        <v>81</v>
      </c>
      <c r="BH4240">
        <v>0</v>
      </c>
      <c r="BI4240">
        <v>4.03</v>
      </c>
      <c r="BJ4240">
        <v>29</v>
      </c>
      <c r="BK4240">
        <v>22</v>
      </c>
      <c r="BL4240">
        <v>-0.1</v>
      </c>
      <c r="BM4240">
        <v>-0.42</v>
      </c>
      <c r="BN4240">
        <v>-0.34</v>
      </c>
      <c r="BO4240">
        <v>0.08</v>
      </c>
      <c r="BP4240">
        <v>0.57999999999999996</v>
      </c>
      <c r="BQ4240">
        <v>-0.37</v>
      </c>
      <c r="BR4240">
        <v>2.63</v>
      </c>
      <c r="BS4240">
        <v>-1.8</v>
      </c>
      <c r="BT4240">
        <v>-2.6</v>
      </c>
      <c r="BU4240">
        <v>0.83</v>
      </c>
      <c r="BV4240">
        <v>0.45</v>
      </c>
      <c r="BW4240">
        <v>0.46</v>
      </c>
      <c r="BX4240">
        <v>-0.06</v>
      </c>
      <c r="BY4240">
        <v>1.75</v>
      </c>
      <c r="BZ4240">
        <v>-2.33</v>
      </c>
      <c r="CA4240">
        <v>-0.02</v>
      </c>
      <c r="CB4240">
        <v>1.2</v>
      </c>
      <c r="CC4240">
        <v>-2.4900000000000002</v>
      </c>
      <c r="CD4240">
        <v>-1.3</v>
      </c>
      <c r="CE4240">
        <v>0.41</v>
      </c>
      <c r="CF4240">
        <v>-0.19</v>
      </c>
      <c r="CG4240">
        <v>0</v>
      </c>
      <c r="CH4240">
        <v>1.74</v>
      </c>
      <c r="CI4240">
        <v>0</v>
      </c>
      <c r="CJ4240">
        <v>1.7</v>
      </c>
      <c r="CK4240">
        <v>83</v>
      </c>
      <c r="CL4240">
        <v>-0.56999999999999995</v>
      </c>
      <c r="CM4240">
        <v>80</v>
      </c>
      <c r="CN4240">
        <v>-0.24</v>
      </c>
      <c r="CO4240">
        <v>77</v>
      </c>
      <c r="CP4240">
        <v>-6.2</v>
      </c>
      <c r="CQ4240">
        <v>89</v>
      </c>
      <c r="CR4240">
        <v>0</v>
      </c>
      <c r="CS4240">
        <v>0</v>
      </c>
      <c r="CT4240">
        <v>-3.9</v>
      </c>
      <c r="CU4240">
        <v>90</v>
      </c>
      <c r="CV4240">
        <v>0.23</v>
      </c>
      <c r="CW4240">
        <v>24</v>
      </c>
      <c r="CX4240" t="s">
        <v>485</v>
      </c>
    </row>
    <row r="4241" spans="1:102" x14ac:dyDescent="0.3">
      <c r="A4241" t="str">
        <f>HYPERLINK("https://webapp.icbf.com/v2/app/bull-search/view/77857072","HOK")</f>
        <v>HOK</v>
      </c>
      <c r="B4241" t="s">
        <v>3789</v>
      </c>
      <c r="C4241" t="s">
        <v>3790</v>
      </c>
      <c r="D4241" s="1">
        <v>33935</v>
      </c>
      <c r="E4241" t="s">
        <v>92</v>
      </c>
      <c r="F4241">
        <v>100</v>
      </c>
      <c r="G4241" t="s">
        <v>93</v>
      </c>
      <c r="H4241">
        <v>-102.75</v>
      </c>
      <c r="I4241">
        <v>71</v>
      </c>
      <c r="J4241">
        <v>-52.71</v>
      </c>
      <c r="K4241">
        <v>91</v>
      </c>
      <c r="L4241">
        <v>-18.739999999999998</v>
      </c>
      <c r="M4241">
        <v>60</v>
      </c>
      <c r="N4241">
        <v>-31.24</v>
      </c>
      <c r="O4241">
        <v>57</v>
      </c>
      <c r="P4241">
        <v>-4.04</v>
      </c>
      <c r="Q4241">
        <v>73</v>
      </c>
      <c r="R4241">
        <v>-11.29</v>
      </c>
      <c r="S4241">
        <v>63</v>
      </c>
      <c r="T4241">
        <v>12.79</v>
      </c>
      <c r="U4241">
        <v>68</v>
      </c>
      <c r="V4241">
        <v>2.48</v>
      </c>
      <c r="W4241">
        <v>31</v>
      </c>
      <c r="X4241" t="s">
        <v>94</v>
      </c>
      <c r="Y4241" t="s">
        <v>95</v>
      </c>
      <c r="Z4241" t="s">
        <v>96</v>
      </c>
      <c r="AA4241" t="s">
        <v>1463</v>
      </c>
      <c r="AB4241" t="s">
        <v>3791</v>
      </c>
      <c r="AC4241">
        <v>60</v>
      </c>
      <c r="AD4241">
        <v>52</v>
      </c>
      <c r="AE4241">
        <v>91</v>
      </c>
      <c r="AF4241">
        <v>-178.75</v>
      </c>
      <c r="AG4241">
        <v>-7.89</v>
      </c>
      <c r="AH4241">
        <v>-8.91</v>
      </c>
      <c r="AI4241">
        <v>-0.02</v>
      </c>
      <c r="AJ4241">
        <v>-0.05</v>
      </c>
      <c r="AK4241">
        <v>60</v>
      </c>
      <c r="AL4241">
        <v>69</v>
      </c>
      <c r="AM4241">
        <v>52</v>
      </c>
      <c r="AN4241">
        <v>2.17</v>
      </c>
      <c r="AO4241">
        <v>0.69</v>
      </c>
      <c r="AP4241">
        <v>4</v>
      </c>
      <c r="AQ4241">
        <v>0</v>
      </c>
      <c r="AR4241">
        <v>11.01</v>
      </c>
      <c r="AS4241">
        <v>29</v>
      </c>
      <c r="AT4241">
        <v>4.78</v>
      </c>
      <c r="AU4241">
        <v>52</v>
      </c>
      <c r="AV4241">
        <v>0.37</v>
      </c>
      <c r="AW4241">
        <v>69</v>
      </c>
      <c r="AX4241">
        <v>-7.0000000000000007E-2</v>
      </c>
      <c r="AY4241">
        <v>66</v>
      </c>
      <c r="AZ4241">
        <v>6.68</v>
      </c>
      <c r="BA4241">
        <v>31</v>
      </c>
      <c r="BB4241">
        <v>5.01</v>
      </c>
      <c r="BC4241">
        <v>48</v>
      </c>
      <c r="BD4241">
        <v>0.04</v>
      </c>
      <c r="BE4241">
        <v>7.0000000000000007E-2</v>
      </c>
      <c r="BF4241">
        <v>0.06</v>
      </c>
      <c r="BG4241">
        <v>81</v>
      </c>
      <c r="BH4241">
        <v>0.01</v>
      </c>
      <c r="BI4241">
        <v>-6.84</v>
      </c>
      <c r="BJ4241">
        <v>12</v>
      </c>
      <c r="BK4241">
        <v>11</v>
      </c>
      <c r="BL4241">
        <v>0.39</v>
      </c>
      <c r="BM4241">
        <v>1.65</v>
      </c>
      <c r="BN4241">
        <v>1.3</v>
      </c>
      <c r="BO4241">
        <v>-0.27</v>
      </c>
      <c r="BP4241">
        <v>-1.1200000000000001</v>
      </c>
      <c r="BQ4241">
        <v>1.33</v>
      </c>
      <c r="BR4241">
        <v>0.76</v>
      </c>
      <c r="BS4241">
        <v>-0.28999999999999998</v>
      </c>
      <c r="BT4241">
        <v>0.14000000000000001</v>
      </c>
      <c r="BU4241">
        <v>-0.7</v>
      </c>
      <c r="BV4241">
        <v>0.05</v>
      </c>
      <c r="BW4241">
        <v>-0.39</v>
      </c>
      <c r="BX4241">
        <v>-1.33</v>
      </c>
      <c r="BY4241">
        <v>-0.06</v>
      </c>
      <c r="BZ4241">
        <v>-0.48</v>
      </c>
      <c r="CA4241">
        <v>-0.62</v>
      </c>
      <c r="CB4241">
        <v>-0.44</v>
      </c>
      <c r="CC4241">
        <v>-0.59</v>
      </c>
      <c r="CD4241">
        <v>0.81</v>
      </c>
      <c r="CE4241">
        <v>-0.22</v>
      </c>
      <c r="CF4241">
        <v>0.56999999999999995</v>
      </c>
      <c r="CG4241">
        <v>0</v>
      </c>
      <c r="CH4241">
        <v>-0.36</v>
      </c>
      <c r="CI4241">
        <v>0</v>
      </c>
      <c r="CJ4241">
        <v>-3.5</v>
      </c>
      <c r="CK4241">
        <v>74</v>
      </c>
      <c r="CL4241">
        <v>-0.44</v>
      </c>
      <c r="CM4241">
        <v>70</v>
      </c>
      <c r="CN4241">
        <v>-0.55000000000000004</v>
      </c>
      <c r="CO4241">
        <v>67</v>
      </c>
      <c r="CP4241">
        <v>-7.4</v>
      </c>
      <c r="CQ4241">
        <v>78</v>
      </c>
      <c r="CR4241">
        <v>0</v>
      </c>
      <c r="CS4241">
        <v>0</v>
      </c>
      <c r="CT4241">
        <v>-3.5</v>
      </c>
      <c r="CU4241">
        <v>68</v>
      </c>
      <c r="CV4241">
        <v>0.01</v>
      </c>
      <c r="CW4241">
        <v>20</v>
      </c>
      <c r="CX4241" t="s">
        <v>3792</v>
      </c>
    </row>
    <row r="4242" spans="1:102" x14ac:dyDescent="0.3">
      <c r="A4242" t="str">
        <f>HYPERLINK("https://webapp.icbf.com/v2/app/bull-search/view/77859280","ALT")</f>
        <v>ALT</v>
      </c>
      <c r="B4242" t="s">
        <v>3675</v>
      </c>
      <c r="C4242" t="s">
        <v>3676</v>
      </c>
      <c r="D4242" s="1">
        <v>32520</v>
      </c>
      <c r="E4242" t="s">
        <v>92</v>
      </c>
      <c r="F4242">
        <v>78</v>
      </c>
      <c r="G4242" t="s">
        <v>93</v>
      </c>
      <c r="H4242">
        <v>-102.9</v>
      </c>
      <c r="I4242">
        <v>65</v>
      </c>
      <c r="J4242">
        <v>-35.18</v>
      </c>
      <c r="K4242">
        <v>76</v>
      </c>
      <c r="L4242">
        <v>-61.31</v>
      </c>
      <c r="M4242">
        <v>61</v>
      </c>
      <c r="N4242">
        <v>7.47</v>
      </c>
      <c r="O4242">
        <v>49</v>
      </c>
      <c r="P4242">
        <v>-18.989999999999998</v>
      </c>
      <c r="Q4242">
        <v>78</v>
      </c>
      <c r="R4242">
        <v>-3.07</v>
      </c>
      <c r="S4242">
        <v>62</v>
      </c>
      <c r="T4242">
        <v>13.38</v>
      </c>
      <c r="U4242">
        <v>56</v>
      </c>
      <c r="V4242">
        <v>-5.2</v>
      </c>
      <c r="W4242">
        <v>43</v>
      </c>
      <c r="X4242" t="s">
        <v>94</v>
      </c>
      <c r="Y4242" t="s">
        <v>95</v>
      </c>
      <c r="Z4242" t="s">
        <v>96</v>
      </c>
      <c r="AA4242" t="s">
        <v>154</v>
      </c>
      <c r="AB4242" t="s">
        <v>3677</v>
      </c>
      <c r="AC4242">
        <v>21</v>
      </c>
      <c r="AD4242">
        <v>12</v>
      </c>
      <c r="AE4242">
        <v>76</v>
      </c>
      <c r="AF4242">
        <v>-70.62</v>
      </c>
      <c r="AG4242">
        <v>-3.77</v>
      </c>
      <c r="AH4242">
        <v>-5.73</v>
      </c>
      <c r="AI4242">
        <v>-0.02</v>
      </c>
      <c r="AJ4242">
        <v>-0.06</v>
      </c>
      <c r="AK4242">
        <v>61</v>
      </c>
      <c r="AL4242">
        <v>74</v>
      </c>
      <c r="AM4242">
        <v>51</v>
      </c>
      <c r="AN4242">
        <v>0.99</v>
      </c>
      <c r="AO4242">
        <v>-3.93</v>
      </c>
      <c r="AP4242">
        <v>8</v>
      </c>
      <c r="AQ4242">
        <v>0</v>
      </c>
      <c r="AR4242">
        <v>6.8</v>
      </c>
      <c r="AS4242">
        <v>40</v>
      </c>
      <c r="AT4242">
        <v>3.21</v>
      </c>
      <c r="AU4242">
        <v>42</v>
      </c>
      <c r="AV4242">
        <v>-0.78</v>
      </c>
      <c r="AW4242">
        <v>57</v>
      </c>
      <c r="AX4242">
        <v>-0.16</v>
      </c>
      <c r="AY4242">
        <v>55</v>
      </c>
      <c r="AZ4242">
        <v>6.45</v>
      </c>
      <c r="BA4242">
        <v>36</v>
      </c>
      <c r="BB4242">
        <v>5.09</v>
      </c>
      <c r="BC4242">
        <v>38</v>
      </c>
      <c r="BD4242">
        <v>0.04</v>
      </c>
      <c r="BE4242">
        <v>0.06</v>
      </c>
      <c r="BF4242">
        <v>-0.11</v>
      </c>
      <c r="BG4242">
        <v>80</v>
      </c>
      <c r="BH4242">
        <v>-0.05</v>
      </c>
      <c r="BI4242">
        <v>11</v>
      </c>
      <c r="BJ4242">
        <v>9</v>
      </c>
      <c r="BK4242">
        <v>8</v>
      </c>
      <c r="BL4242">
        <v>-0.38</v>
      </c>
      <c r="BM4242">
        <v>1.44</v>
      </c>
      <c r="BN4242">
        <v>0.6</v>
      </c>
      <c r="BO4242">
        <v>-0.61</v>
      </c>
      <c r="BP4242">
        <v>-0.17</v>
      </c>
      <c r="BQ4242">
        <v>0.46</v>
      </c>
      <c r="BR4242">
        <v>-7.0000000000000007E-2</v>
      </c>
      <c r="BS4242">
        <v>-0.18</v>
      </c>
      <c r="BT4242">
        <v>0.3</v>
      </c>
      <c r="BU4242">
        <v>-0.3</v>
      </c>
      <c r="BV4242">
        <v>-0.6</v>
      </c>
      <c r="BW4242">
        <v>-0.34</v>
      </c>
      <c r="BX4242">
        <v>0.26</v>
      </c>
      <c r="BY4242">
        <v>-1.08</v>
      </c>
      <c r="BZ4242">
        <v>0.35</v>
      </c>
      <c r="CA4242">
        <v>-0.25</v>
      </c>
      <c r="CB4242">
        <v>-0.42</v>
      </c>
      <c r="CC4242">
        <v>0.3</v>
      </c>
      <c r="CD4242">
        <v>1.07</v>
      </c>
      <c r="CE4242">
        <v>-0.73</v>
      </c>
      <c r="CF4242">
        <v>-7.0000000000000007E-2</v>
      </c>
      <c r="CG4242">
        <v>0</v>
      </c>
      <c r="CH4242">
        <v>-0.95</v>
      </c>
      <c r="CI4242">
        <v>0</v>
      </c>
      <c r="CJ4242">
        <v>-9.3000000000000007</v>
      </c>
      <c r="CK4242">
        <v>80</v>
      </c>
      <c r="CL4242">
        <v>-0.73</v>
      </c>
      <c r="CM4242">
        <v>77</v>
      </c>
      <c r="CN4242">
        <v>-0.25</v>
      </c>
      <c r="CO4242">
        <v>74</v>
      </c>
      <c r="CP4242">
        <v>-10.3</v>
      </c>
      <c r="CQ4242">
        <v>68</v>
      </c>
      <c r="CR4242">
        <v>0</v>
      </c>
      <c r="CS4242">
        <v>0</v>
      </c>
      <c r="CT4242">
        <v>-4.3</v>
      </c>
      <c r="CU4242">
        <v>56</v>
      </c>
      <c r="CV4242">
        <v>0.05</v>
      </c>
      <c r="CW4242">
        <v>22</v>
      </c>
      <c r="CX4242" t="s">
        <v>3678</v>
      </c>
    </row>
    <row r="4243" spans="1:102" x14ac:dyDescent="0.3">
      <c r="A4243" t="str">
        <f>HYPERLINK("https://webapp.icbf.com/v2/app/bull-search/view/77855425","LUM")</f>
        <v>LUM</v>
      </c>
      <c r="B4243" t="s">
        <v>3609</v>
      </c>
      <c r="C4243" t="s">
        <v>3610</v>
      </c>
      <c r="D4243" s="1">
        <v>33966</v>
      </c>
      <c r="E4243" t="s">
        <v>92</v>
      </c>
      <c r="F4243">
        <v>94</v>
      </c>
      <c r="G4243" t="s">
        <v>93</v>
      </c>
      <c r="H4243">
        <v>-102.92</v>
      </c>
      <c r="I4243">
        <v>84</v>
      </c>
      <c r="J4243">
        <v>9.1300000000000008</v>
      </c>
      <c r="K4243">
        <v>95</v>
      </c>
      <c r="L4243">
        <v>-92.71</v>
      </c>
      <c r="M4243">
        <v>78</v>
      </c>
      <c r="N4243">
        <v>-7.49</v>
      </c>
      <c r="O4243">
        <v>77</v>
      </c>
      <c r="P4243">
        <v>-3.49</v>
      </c>
      <c r="Q4243">
        <v>89</v>
      </c>
      <c r="R4243">
        <v>-16.18</v>
      </c>
      <c r="S4243">
        <v>77</v>
      </c>
      <c r="T4243">
        <v>9.83</v>
      </c>
      <c r="U4243">
        <v>83</v>
      </c>
      <c r="V4243">
        <v>-2.0099999999999998</v>
      </c>
      <c r="W4243">
        <v>66</v>
      </c>
      <c r="X4243" t="s">
        <v>94</v>
      </c>
      <c r="Y4243" t="s">
        <v>95</v>
      </c>
      <c r="Z4243" t="s">
        <v>96</v>
      </c>
      <c r="AA4243" t="s">
        <v>99</v>
      </c>
      <c r="AB4243" t="s">
        <v>3611</v>
      </c>
      <c r="AC4243">
        <v>63</v>
      </c>
      <c r="AD4243">
        <v>53</v>
      </c>
      <c r="AE4243">
        <v>95</v>
      </c>
      <c r="AF4243">
        <v>197.94</v>
      </c>
      <c r="AG4243">
        <v>0.77</v>
      </c>
      <c r="AH4243">
        <v>4.3099999999999996</v>
      </c>
      <c r="AI4243">
        <v>-0.12</v>
      </c>
      <c r="AJ4243">
        <v>-0.04</v>
      </c>
      <c r="AK4243">
        <v>78</v>
      </c>
      <c r="AL4243">
        <v>107</v>
      </c>
      <c r="AM4243">
        <v>74</v>
      </c>
      <c r="AN4243">
        <v>6.08</v>
      </c>
      <c r="AO4243">
        <v>-1.3</v>
      </c>
      <c r="AP4243">
        <v>40</v>
      </c>
      <c r="AQ4243">
        <v>38</v>
      </c>
      <c r="AR4243">
        <v>9.07</v>
      </c>
      <c r="AS4243">
        <v>63</v>
      </c>
      <c r="AT4243">
        <v>4.1100000000000003</v>
      </c>
      <c r="AU4243">
        <v>76</v>
      </c>
      <c r="AV4243">
        <v>-0.25</v>
      </c>
      <c r="AW4243">
        <v>86</v>
      </c>
      <c r="AX4243">
        <v>-0.27</v>
      </c>
      <c r="AY4243">
        <v>81</v>
      </c>
      <c r="AZ4243">
        <v>5.65</v>
      </c>
      <c r="BA4243">
        <v>50</v>
      </c>
      <c r="BB4243">
        <v>4.47</v>
      </c>
      <c r="BC4243">
        <v>62</v>
      </c>
      <c r="BD4243">
        <v>0.06</v>
      </c>
      <c r="BE4243">
        <v>0.08</v>
      </c>
      <c r="BF4243">
        <v>0.12</v>
      </c>
      <c r="BG4243">
        <v>89</v>
      </c>
      <c r="BH4243">
        <v>-0.11</v>
      </c>
      <c r="BI4243">
        <v>-6.25</v>
      </c>
      <c r="BJ4243">
        <v>12</v>
      </c>
      <c r="BK4243">
        <v>12</v>
      </c>
      <c r="BL4243">
        <v>0.49</v>
      </c>
      <c r="BM4243">
        <v>0.7</v>
      </c>
      <c r="BN4243">
        <v>-0.1</v>
      </c>
      <c r="BO4243">
        <v>-0.64</v>
      </c>
      <c r="BP4243">
        <v>1.4</v>
      </c>
      <c r="BQ4243">
        <v>-0.42</v>
      </c>
      <c r="BR4243">
        <v>0.28999999999999998</v>
      </c>
      <c r="BS4243">
        <v>-0.19</v>
      </c>
      <c r="BT4243">
        <v>-0.51</v>
      </c>
      <c r="BU4243">
        <v>-0.2</v>
      </c>
      <c r="BV4243">
        <v>-0.35</v>
      </c>
      <c r="BW4243">
        <v>-0.17</v>
      </c>
      <c r="BX4243">
        <v>-0.47</v>
      </c>
      <c r="BY4243">
        <v>0.56000000000000005</v>
      </c>
      <c r="BZ4243">
        <v>0.1</v>
      </c>
      <c r="CA4243">
        <v>7.0000000000000007E-2</v>
      </c>
      <c r="CB4243">
        <v>0.18</v>
      </c>
      <c r="CC4243">
        <v>0.17</v>
      </c>
      <c r="CD4243">
        <v>0.87</v>
      </c>
      <c r="CE4243">
        <v>0.13</v>
      </c>
      <c r="CF4243">
        <v>0.44</v>
      </c>
      <c r="CG4243">
        <v>0</v>
      </c>
      <c r="CH4243">
        <v>0.48</v>
      </c>
      <c r="CI4243">
        <v>0</v>
      </c>
      <c r="CJ4243">
        <v>1</v>
      </c>
      <c r="CK4243">
        <v>90</v>
      </c>
      <c r="CL4243">
        <v>-0.6</v>
      </c>
      <c r="CM4243">
        <v>88</v>
      </c>
      <c r="CN4243">
        <v>-0.2</v>
      </c>
      <c r="CO4243">
        <v>86</v>
      </c>
      <c r="CP4243">
        <v>-6.8</v>
      </c>
      <c r="CQ4243">
        <v>89</v>
      </c>
      <c r="CR4243">
        <v>0</v>
      </c>
      <c r="CS4243">
        <v>0</v>
      </c>
      <c r="CT4243">
        <v>0.5</v>
      </c>
      <c r="CU4243">
        <v>83</v>
      </c>
      <c r="CV4243">
        <v>0.11</v>
      </c>
      <c r="CW4243">
        <v>44</v>
      </c>
      <c r="CX4243" t="s">
        <v>1347</v>
      </c>
    </row>
    <row r="4244" spans="1:102" x14ac:dyDescent="0.3">
      <c r="A4244" t="str">
        <f>HYPERLINK("https://webapp.icbf.com/v2/app/bull-search/view/77858236","ENG")</f>
        <v>ENG</v>
      </c>
      <c r="B4244" t="s">
        <v>764</v>
      </c>
      <c r="C4244" t="s">
        <v>765</v>
      </c>
      <c r="D4244" s="1">
        <v>33839</v>
      </c>
      <c r="E4244" t="s">
        <v>92</v>
      </c>
      <c r="F4244">
        <v>100</v>
      </c>
      <c r="G4244" t="s">
        <v>93</v>
      </c>
      <c r="H4244">
        <v>-103.13</v>
      </c>
      <c r="I4244">
        <v>81</v>
      </c>
      <c r="J4244">
        <v>13.11</v>
      </c>
      <c r="K4244">
        <v>93</v>
      </c>
      <c r="L4244">
        <v>-120.86</v>
      </c>
      <c r="M4244">
        <v>81</v>
      </c>
      <c r="N4244">
        <v>0.94</v>
      </c>
      <c r="O4244">
        <v>67</v>
      </c>
      <c r="P4244">
        <v>-1.57</v>
      </c>
      <c r="Q4244">
        <v>82</v>
      </c>
      <c r="R4244">
        <v>-10.84</v>
      </c>
      <c r="S4244">
        <v>71</v>
      </c>
      <c r="T4244">
        <v>16.420000000000002</v>
      </c>
      <c r="U4244">
        <v>74</v>
      </c>
      <c r="V4244">
        <v>-0.33</v>
      </c>
      <c r="W4244">
        <v>49</v>
      </c>
      <c r="X4244" t="s">
        <v>94</v>
      </c>
      <c r="Y4244" t="s">
        <v>95</v>
      </c>
      <c r="Z4244" t="s">
        <v>96</v>
      </c>
      <c r="AA4244" t="s">
        <v>485</v>
      </c>
      <c r="AB4244" t="s">
        <v>766</v>
      </c>
      <c r="AC4244">
        <v>66</v>
      </c>
      <c r="AD4244">
        <v>37</v>
      </c>
      <c r="AE4244">
        <v>93</v>
      </c>
      <c r="AF4244">
        <v>82.89</v>
      </c>
      <c r="AG4244">
        <v>1.58</v>
      </c>
      <c r="AH4244">
        <v>2.94</v>
      </c>
      <c r="AI4244">
        <v>-0.03</v>
      </c>
      <c r="AJ4244">
        <v>0</v>
      </c>
      <c r="AK4244">
        <v>81</v>
      </c>
      <c r="AL4244">
        <v>59</v>
      </c>
      <c r="AM4244">
        <v>34</v>
      </c>
      <c r="AN4244">
        <v>6.47</v>
      </c>
      <c r="AO4244">
        <v>-3.17</v>
      </c>
      <c r="AP4244">
        <v>25</v>
      </c>
      <c r="AQ4244">
        <v>0</v>
      </c>
      <c r="AR4244">
        <v>9.3699999999999992</v>
      </c>
      <c r="AS4244">
        <v>50</v>
      </c>
      <c r="AT4244">
        <v>4.4000000000000004</v>
      </c>
      <c r="AU4244">
        <v>74</v>
      </c>
      <c r="AV4244">
        <v>-1.72</v>
      </c>
      <c r="AW4244">
        <v>73</v>
      </c>
      <c r="AX4244">
        <v>-0.84</v>
      </c>
      <c r="AY4244">
        <v>72</v>
      </c>
      <c r="AZ4244">
        <v>5.53</v>
      </c>
      <c r="BA4244">
        <v>43</v>
      </c>
      <c r="BB4244">
        <v>4.6399999999999997</v>
      </c>
      <c r="BC4244">
        <v>51</v>
      </c>
      <c r="BD4244">
        <v>0.02</v>
      </c>
      <c r="BE4244">
        <v>0.04</v>
      </c>
      <c r="BF4244">
        <v>0.14000000000000001</v>
      </c>
      <c r="BG4244">
        <v>86</v>
      </c>
      <c r="BH4244">
        <v>0.01</v>
      </c>
      <c r="BI4244">
        <v>2.2200000000000002</v>
      </c>
      <c r="BJ4244">
        <v>0</v>
      </c>
      <c r="BK4244">
        <v>0</v>
      </c>
      <c r="BL4244">
        <v>-0.37</v>
      </c>
      <c r="BM4244">
        <v>-0.66</v>
      </c>
      <c r="BN4244">
        <v>-0.03</v>
      </c>
      <c r="BO4244">
        <v>0.04</v>
      </c>
      <c r="BP4244">
        <v>-0.57999999999999996</v>
      </c>
      <c r="BQ4244">
        <v>-1.49</v>
      </c>
      <c r="BR4244">
        <v>1.08</v>
      </c>
      <c r="BS4244">
        <v>-1.1299999999999999</v>
      </c>
      <c r="BT4244">
        <v>-0.26</v>
      </c>
      <c r="BU4244">
        <v>-0.32</v>
      </c>
      <c r="BV4244">
        <v>0.81</v>
      </c>
      <c r="BW4244">
        <v>0.24</v>
      </c>
      <c r="BX4244">
        <v>-0.99</v>
      </c>
      <c r="BY4244">
        <v>-0.05</v>
      </c>
      <c r="BZ4244">
        <v>0.98</v>
      </c>
      <c r="CA4244">
        <v>-0.32</v>
      </c>
      <c r="CB4244">
        <v>0.21</v>
      </c>
      <c r="CC4244">
        <v>-2.23</v>
      </c>
      <c r="CD4244">
        <v>-0.28000000000000003</v>
      </c>
      <c r="CE4244">
        <v>0.17</v>
      </c>
      <c r="CF4244">
        <v>-0.68</v>
      </c>
      <c r="CG4244">
        <v>0</v>
      </c>
      <c r="CH4244">
        <v>0.78</v>
      </c>
      <c r="CI4244">
        <v>0</v>
      </c>
      <c r="CJ4244">
        <v>2.2000000000000002</v>
      </c>
      <c r="CK4244">
        <v>83</v>
      </c>
      <c r="CL4244">
        <v>-0.41</v>
      </c>
      <c r="CM4244">
        <v>81</v>
      </c>
      <c r="CN4244">
        <v>-0.1</v>
      </c>
      <c r="CO4244">
        <v>78</v>
      </c>
      <c r="CP4244">
        <v>-10.3</v>
      </c>
      <c r="CQ4244">
        <v>84</v>
      </c>
      <c r="CR4244">
        <v>0</v>
      </c>
      <c r="CS4244">
        <v>0</v>
      </c>
      <c r="CT4244">
        <v>-8.4</v>
      </c>
      <c r="CU4244">
        <v>74</v>
      </c>
      <c r="CV4244">
        <v>0.14000000000000001</v>
      </c>
      <c r="CW4244">
        <v>24</v>
      </c>
      <c r="CX4244" t="s">
        <v>166</v>
      </c>
    </row>
    <row r="4245" spans="1:102" x14ac:dyDescent="0.3">
      <c r="A4245" t="str">
        <f>HYPERLINK("https://webapp.icbf.com/v2/app/bull-search/view/77858572","CRT")</f>
        <v>CRT</v>
      </c>
      <c r="B4245" t="s">
        <v>1350</v>
      </c>
      <c r="C4245" t="s">
        <v>1351</v>
      </c>
      <c r="D4245" s="1">
        <v>31530</v>
      </c>
      <c r="E4245" t="s">
        <v>92</v>
      </c>
      <c r="F4245">
        <v>81</v>
      </c>
      <c r="G4245" t="s">
        <v>93</v>
      </c>
      <c r="H4245">
        <v>-103.2</v>
      </c>
      <c r="I4245">
        <v>67</v>
      </c>
      <c r="J4245">
        <v>-73.12</v>
      </c>
      <c r="K4245">
        <v>78</v>
      </c>
      <c r="L4245">
        <v>-9.9700000000000006</v>
      </c>
      <c r="M4245">
        <v>66</v>
      </c>
      <c r="N4245">
        <v>-6.72</v>
      </c>
      <c r="O4245">
        <v>45</v>
      </c>
      <c r="P4245">
        <v>-19.739999999999998</v>
      </c>
      <c r="Q4245">
        <v>79</v>
      </c>
      <c r="R4245">
        <v>-17.48</v>
      </c>
      <c r="S4245">
        <v>62</v>
      </c>
      <c r="T4245">
        <v>25.07</v>
      </c>
      <c r="U4245">
        <v>72</v>
      </c>
      <c r="V4245">
        <v>-1.24</v>
      </c>
      <c r="W4245">
        <v>18</v>
      </c>
      <c r="X4245" t="s">
        <v>94</v>
      </c>
      <c r="Y4245" t="s">
        <v>95</v>
      </c>
      <c r="Z4245" t="s">
        <v>96</v>
      </c>
      <c r="AA4245" t="s">
        <v>640</v>
      </c>
      <c r="AB4245" t="s">
        <v>1352</v>
      </c>
      <c r="AC4245">
        <v>27</v>
      </c>
      <c r="AD4245">
        <v>15</v>
      </c>
      <c r="AE4245">
        <v>78</v>
      </c>
      <c r="AF4245">
        <v>-171.14</v>
      </c>
      <c r="AG4245">
        <v>-9.51</v>
      </c>
      <c r="AH4245">
        <v>-11.69</v>
      </c>
      <c r="AI4245">
        <v>-0.05</v>
      </c>
      <c r="AJ4245">
        <v>-0.1</v>
      </c>
      <c r="AK4245">
        <v>66</v>
      </c>
      <c r="AL4245">
        <v>129</v>
      </c>
      <c r="AM4245">
        <v>74</v>
      </c>
      <c r="AN4245">
        <v>0.17</v>
      </c>
      <c r="AO4245">
        <v>-0.63</v>
      </c>
      <c r="AP4245">
        <v>9</v>
      </c>
      <c r="AQ4245">
        <v>1</v>
      </c>
      <c r="AR4245">
        <v>5.7</v>
      </c>
      <c r="AS4245">
        <v>32</v>
      </c>
      <c r="AT4245">
        <v>2.8</v>
      </c>
      <c r="AU4245">
        <v>39</v>
      </c>
      <c r="AV4245">
        <v>1.1100000000000001</v>
      </c>
      <c r="AW4245">
        <v>49</v>
      </c>
      <c r="AX4245">
        <v>0.3</v>
      </c>
      <c r="AY4245">
        <v>72</v>
      </c>
      <c r="AZ4245">
        <v>6.41</v>
      </c>
      <c r="BA4245">
        <v>25</v>
      </c>
      <c r="BB4245">
        <v>5.87</v>
      </c>
      <c r="BC4245">
        <v>35</v>
      </c>
      <c r="BD4245">
        <v>0.03</v>
      </c>
      <c r="BE4245">
        <v>0.08</v>
      </c>
      <c r="BF4245">
        <v>0.2</v>
      </c>
      <c r="BG4245">
        <v>86</v>
      </c>
      <c r="BH4245">
        <v>0.03</v>
      </c>
      <c r="BI4245">
        <v>7.48</v>
      </c>
      <c r="BJ4245">
        <v>19</v>
      </c>
      <c r="BK4245">
        <v>15</v>
      </c>
      <c r="BL4245">
        <v>-0.16</v>
      </c>
      <c r="BM4245">
        <v>-0.5</v>
      </c>
      <c r="BN4245">
        <v>-0.78</v>
      </c>
      <c r="BO4245">
        <v>-0.38</v>
      </c>
      <c r="BP4245">
        <v>-0.43</v>
      </c>
      <c r="BQ4245">
        <v>-0.71</v>
      </c>
      <c r="BR4245">
        <v>0.56999999999999995</v>
      </c>
      <c r="BS4245">
        <v>-0.69</v>
      </c>
      <c r="BT4245">
        <v>-0.69</v>
      </c>
      <c r="BU4245">
        <v>-0.77</v>
      </c>
      <c r="BV4245">
        <v>-0.82</v>
      </c>
      <c r="BW4245">
        <v>-0.74</v>
      </c>
      <c r="BX4245">
        <v>-0.93</v>
      </c>
      <c r="BY4245">
        <v>-0.74</v>
      </c>
      <c r="BZ4245">
        <v>-0.06</v>
      </c>
      <c r="CA4245">
        <v>-0.71</v>
      </c>
      <c r="CB4245">
        <v>-0.72</v>
      </c>
      <c r="CC4245">
        <v>-0.61</v>
      </c>
      <c r="CD4245">
        <v>0.28999999999999998</v>
      </c>
      <c r="CE4245">
        <v>-0.75</v>
      </c>
      <c r="CF4245">
        <v>0.03</v>
      </c>
      <c r="CG4245">
        <v>0</v>
      </c>
      <c r="CH4245">
        <v>-0.15</v>
      </c>
      <c r="CI4245">
        <v>0</v>
      </c>
      <c r="CJ4245">
        <v>-9.1</v>
      </c>
      <c r="CK4245">
        <v>81</v>
      </c>
      <c r="CL4245">
        <v>-0.86</v>
      </c>
      <c r="CM4245">
        <v>77</v>
      </c>
      <c r="CN4245">
        <v>-0.33</v>
      </c>
      <c r="CO4245">
        <v>74</v>
      </c>
      <c r="CP4245">
        <v>-14.5</v>
      </c>
      <c r="CQ4245">
        <v>73</v>
      </c>
      <c r="CR4245">
        <v>0</v>
      </c>
      <c r="CS4245">
        <v>0</v>
      </c>
      <c r="CT4245">
        <v>-20.100000000000001</v>
      </c>
      <c r="CU4245">
        <v>72</v>
      </c>
      <c r="CV4245">
        <v>0.14000000000000001</v>
      </c>
      <c r="CW4245">
        <v>23</v>
      </c>
      <c r="CX4245" t="s">
        <v>1353</v>
      </c>
    </row>
    <row r="4246" spans="1:102" x14ac:dyDescent="0.3">
      <c r="A4246" t="str">
        <f>HYPERLINK("https://webapp.icbf.com/v2/app/bull-search/view/415990762","EDK")</f>
        <v>EDK</v>
      </c>
      <c r="B4246" t="s">
        <v>11903</v>
      </c>
      <c r="C4246" t="s">
        <v>11904</v>
      </c>
      <c r="D4246" s="1">
        <v>36381</v>
      </c>
      <c r="E4246" t="s">
        <v>92</v>
      </c>
      <c r="F4246">
        <v>100</v>
      </c>
      <c r="G4246" t="s">
        <v>109</v>
      </c>
      <c r="H4246">
        <v>-103.29</v>
      </c>
      <c r="I4246">
        <v>75</v>
      </c>
      <c r="J4246">
        <v>35.47</v>
      </c>
      <c r="K4246">
        <v>89</v>
      </c>
      <c r="L4246">
        <v>-138.16999999999999</v>
      </c>
      <c r="M4246">
        <v>71</v>
      </c>
      <c r="N4246">
        <v>-1.24</v>
      </c>
      <c r="O4246">
        <v>70</v>
      </c>
      <c r="P4246">
        <v>-12.82</v>
      </c>
      <c r="Q4246">
        <v>76</v>
      </c>
      <c r="R4246">
        <v>-1.65</v>
      </c>
      <c r="S4246">
        <v>64</v>
      </c>
      <c r="T4246">
        <v>12.27</v>
      </c>
      <c r="U4246">
        <v>64</v>
      </c>
      <c r="V4246">
        <v>2.85</v>
      </c>
      <c r="W4246">
        <v>38</v>
      </c>
      <c r="X4246" t="s">
        <v>251</v>
      </c>
      <c r="Y4246" t="s">
        <v>95</v>
      </c>
      <c r="Z4246" t="s">
        <v>96</v>
      </c>
      <c r="AA4246" t="s">
        <v>2431</v>
      </c>
      <c r="AB4246" t="s">
        <v>11905</v>
      </c>
      <c r="AC4246">
        <v>31</v>
      </c>
      <c r="AD4246">
        <v>15</v>
      </c>
      <c r="AE4246">
        <v>89</v>
      </c>
      <c r="AF4246">
        <v>136.16</v>
      </c>
      <c r="AG4246">
        <v>2.59</v>
      </c>
      <c r="AH4246">
        <v>7.2</v>
      </c>
      <c r="AI4246">
        <v>-0.04</v>
      </c>
      <c r="AJ4246">
        <v>0.04</v>
      </c>
      <c r="AK4246">
        <v>71</v>
      </c>
      <c r="AL4246">
        <v>35</v>
      </c>
      <c r="AM4246">
        <v>19</v>
      </c>
      <c r="AN4246">
        <v>8.2100000000000009</v>
      </c>
      <c r="AO4246">
        <v>-2.8</v>
      </c>
      <c r="AP4246">
        <v>56</v>
      </c>
      <c r="AQ4246">
        <v>2</v>
      </c>
      <c r="AR4246">
        <v>9.64</v>
      </c>
      <c r="AS4246">
        <v>45</v>
      </c>
      <c r="AT4246">
        <v>4.7699999999999996</v>
      </c>
      <c r="AU4246">
        <v>75</v>
      </c>
      <c r="AV4246">
        <v>-2.21</v>
      </c>
      <c r="AW4246">
        <v>86</v>
      </c>
      <c r="AX4246">
        <v>-0.32</v>
      </c>
      <c r="AY4246">
        <v>58</v>
      </c>
      <c r="AZ4246">
        <v>6.08</v>
      </c>
      <c r="BA4246">
        <v>40</v>
      </c>
      <c r="BB4246">
        <v>4.37</v>
      </c>
      <c r="BC4246">
        <v>41</v>
      </c>
      <c r="BD4246">
        <v>0</v>
      </c>
      <c r="BE4246">
        <v>0.02</v>
      </c>
      <c r="BF4246">
        <v>0</v>
      </c>
      <c r="BG4246">
        <v>82</v>
      </c>
      <c r="BH4246">
        <v>0.11</v>
      </c>
      <c r="BI4246">
        <v>3.53</v>
      </c>
      <c r="BJ4246">
        <v>0</v>
      </c>
      <c r="BK4246">
        <v>0</v>
      </c>
      <c r="BL4246">
        <v>0.57999999999999996</v>
      </c>
      <c r="BM4246">
        <v>-0.23</v>
      </c>
      <c r="BN4246">
        <v>0.93</v>
      </c>
      <c r="BO4246">
        <v>1.01</v>
      </c>
      <c r="BP4246">
        <v>-1.96</v>
      </c>
      <c r="BQ4246">
        <v>1.2</v>
      </c>
      <c r="BR4246">
        <v>-0.02</v>
      </c>
      <c r="BS4246">
        <v>0.56999999999999995</v>
      </c>
      <c r="BT4246">
        <v>0.51</v>
      </c>
      <c r="BU4246">
        <v>0.76</v>
      </c>
      <c r="BV4246">
        <v>1.62</v>
      </c>
      <c r="BW4246">
        <v>0.6</v>
      </c>
      <c r="BX4246">
        <v>0.24</v>
      </c>
      <c r="BY4246">
        <v>0.61</v>
      </c>
      <c r="BZ4246">
        <v>0.02</v>
      </c>
      <c r="CA4246">
        <v>0.99</v>
      </c>
      <c r="CB4246">
        <v>1.1200000000000001</v>
      </c>
      <c r="CC4246">
        <v>0.43</v>
      </c>
      <c r="CD4246">
        <v>-0.73</v>
      </c>
      <c r="CE4246">
        <v>0.46</v>
      </c>
      <c r="CF4246">
        <v>-0.11</v>
      </c>
      <c r="CG4246">
        <v>0</v>
      </c>
      <c r="CH4246">
        <v>0.99</v>
      </c>
      <c r="CI4246">
        <v>0</v>
      </c>
      <c r="CJ4246">
        <v>-3.6</v>
      </c>
      <c r="CK4246">
        <v>78</v>
      </c>
      <c r="CL4246">
        <v>-0.81</v>
      </c>
      <c r="CM4246">
        <v>74</v>
      </c>
      <c r="CN4246">
        <v>-0.1</v>
      </c>
      <c r="CO4246">
        <v>70</v>
      </c>
      <c r="CP4246">
        <v>-4.4000000000000004</v>
      </c>
      <c r="CQ4246">
        <v>78</v>
      </c>
      <c r="CR4246">
        <v>0</v>
      </c>
      <c r="CS4246">
        <v>0</v>
      </c>
      <c r="CT4246">
        <v>-2.8</v>
      </c>
      <c r="CU4246">
        <v>64</v>
      </c>
      <c r="CV4246">
        <v>0.26</v>
      </c>
      <c r="CW4246">
        <v>21</v>
      </c>
      <c r="CX4246" t="s">
        <v>218</v>
      </c>
    </row>
    <row r="4247" spans="1:102" x14ac:dyDescent="0.3">
      <c r="A4247" t="str">
        <f>HYPERLINK("https://webapp.icbf.com/v2/app/bull-search/view/714774337","MPW")</f>
        <v>MPW</v>
      </c>
      <c r="B4247" t="s">
        <v>8980</v>
      </c>
      <c r="C4247" t="s">
        <v>2220</v>
      </c>
      <c r="D4247" s="1">
        <v>39137</v>
      </c>
      <c r="E4247" t="s">
        <v>92</v>
      </c>
      <c r="F4247">
        <v>100</v>
      </c>
      <c r="G4247" t="s">
        <v>93</v>
      </c>
      <c r="H4247">
        <v>-103.3</v>
      </c>
      <c r="I4247">
        <v>95</v>
      </c>
      <c r="J4247">
        <v>55.63</v>
      </c>
      <c r="K4247">
        <v>99</v>
      </c>
      <c r="L4247">
        <v>-144.65</v>
      </c>
      <c r="M4247">
        <v>93</v>
      </c>
      <c r="N4247">
        <v>-6.69</v>
      </c>
      <c r="O4247">
        <v>94</v>
      </c>
      <c r="P4247">
        <v>-6.27</v>
      </c>
      <c r="Q4247">
        <v>96</v>
      </c>
      <c r="R4247">
        <v>12.35</v>
      </c>
      <c r="S4247">
        <v>87</v>
      </c>
      <c r="T4247">
        <v>-14.07</v>
      </c>
      <c r="U4247">
        <v>93</v>
      </c>
      <c r="V4247">
        <v>0.4</v>
      </c>
      <c r="W4247">
        <v>79</v>
      </c>
      <c r="X4247" t="s">
        <v>276</v>
      </c>
      <c r="Y4247" t="s">
        <v>1524</v>
      </c>
      <c r="Z4247" t="s">
        <v>96</v>
      </c>
      <c r="AA4247" t="s">
        <v>309</v>
      </c>
      <c r="AB4247" t="s">
        <v>5131</v>
      </c>
      <c r="AC4247">
        <v>444</v>
      </c>
      <c r="AD4247">
        <v>142</v>
      </c>
      <c r="AE4247">
        <v>99</v>
      </c>
      <c r="AF4247">
        <v>388.66</v>
      </c>
      <c r="AG4247">
        <v>14.87</v>
      </c>
      <c r="AH4247">
        <v>10.15</v>
      </c>
      <c r="AI4247">
        <v>-0.01</v>
      </c>
      <c r="AJ4247">
        <v>-0.05</v>
      </c>
      <c r="AK4247">
        <v>93</v>
      </c>
      <c r="AL4247">
        <v>293</v>
      </c>
      <c r="AM4247">
        <v>117</v>
      </c>
      <c r="AN4247">
        <v>9.89</v>
      </c>
      <c r="AO4247">
        <v>-1.62</v>
      </c>
      <c r="AP4247">
        <v>640</v>
      </c>
      <c r="AQ4247">
        <v>3</v>
      </c>
      <c r="AR4247">
        <v>8.6</v>
      </c>
      <c r="AS4247">
        <v>94</v>
      </c>
      <c r="AT4247">
        <v>4.05</v>
      </c>
      <c r="AU4247">
        <v>98</v>
      </c>
      <c r="AV4247">
        <v>-2.02</v>
      </c>
      <c r="AW4247">
        <v>98</v>
      </c>
      <c r="AX4247">
        <v>0.78</v>
      </c>
      <c r="AY4247">
        <v>94</v>
      </c>
      <c r="AZ4247">
        <v>8.69</v>
      </c>
      <c r="BA4247">
        <v>84</v>
      </c>
      <c r="BB4247">
        <v>5.96</v>
      </c>
      <c r="BC4247">
        <v>78</v>
      </c>
      <c r="BD4247">
        <v>-0.06</v>
      </c>
      <c r="BE4247">
        <v>-0.06</v>
      </c>
      <c r="BF4247">
        <v>-7.0000000000000007E-2</v>
      </c>
      <c r="BG4247">
        <v>97</v>
      </c>
      <c r="BH4247">
        <v>0.01</v>
      </c>
      <c r="BI4247">
        <v>-0.14000000000000001</v>
      </c>
      <c r="BJ4247">
        <v>265</v>
      </c>
      <c r="BK4247">
        <v>112</v>
      </c>
      <c r="BL4247">
        <v>2.81</v>
      </c>
      <c r="BM4247">
        <v>-2.42</v>
      </c>
      <c r="BN4247">
        <v>1</v>
      </c>
      <c r="BO4247">
        <v>1.98</v>
      </c>
      <c r="BP4247">
        <v>-2.25</v>
      </c>
      <c r="BQ4247">
        <v>2.64</v>
      </c>
      <c r="BR4247">
        <v>-1.39</v>
      </c>
      <c r="BS4247">
        <v>2.84</v>
      </c>
      <c r="BT4247">
        <v>1.26</v>
      </c>
      <c r="BU4247">
        <v>3.26</v>
      </c>
      <c r="BV4247">
        <v>4.1100000000000003</v>
      </c>
      <c r="BW4247">
        <v>3.55</v>
      </c>
      <c r="BX4247">
        <v>2.5499999999999998</v>
      </c>
      <c r="BY4247">
        <v>1.94</v>
      </c>
      <c r="BZ4247">
        <v>1.03</v>
      </c>
      <c r="CA4247">
        <v>3.03</v>
      </c>
      <c r="CB4247">
        <v>2.83</v>
      </c>
      <c r="CC4247">
        <v>1.94</v>
      </c>
      <c r="CD4247">
        <v>-1.59</v>
      </c>
      <c r="CE4247">
        <v>1.57</v>
      </c>
      <c r="CF4247">
        <v>1.48</v>
      </c>
      <c r="CG4247">
        <v>0</v>
      </c>
      <c r="CH4247">
        <v>1.84</v>
      </c>
      <c r="CI4247">
        <v>0</v>
      </c>
      <c r="CJ4247">
        <v>-0.2</v>
      </c>
      <c r="CK4247">
        <v>97</v>
      </c>
      <c r="CL4247">
        <v>-1.52</v>
      </c>
      <c r="CM4247">
        <v>96</v>
      </c>
      <c r="CN4247">
        <v>-0.76</v>
      </c>
      <c r="CO4247">
        <v>95</v>
      </c>
      <c r="CP4247">
        <v>5.3</v>
      </c>
      <c r="CQ4247">
        <v>93</v>
      </c>
      <c r="CR4247">
        <v>0</v>
      </c>
      <c r="CS4247">
        <v>0</v>
      </c>
      <c r="CT4247">
        <v>32.799999999999997</v>
      </c>
      <c r="CU4247">
        <v>93</v>
      </c>
      <c r="CV4247">
        <v>0.34</v>
      </c>
      <c r="CW4247">
        <v>45</v>
      </c>
      <c r="CX4247" t="s">
        <v>311</v>
      </c>
    </row>
    <row r="4248" spans="1:102" x14ac:dyDescent="0.3">
      <c r="A4248" t="str">
        <f>HYPERLINK("https://webapp.icbf.com/v2/app/bull-search/view/423987671","LKI")</f>
        <v>LKI</v>
      </c>
      <c r="B4248" t="s">
        <v>1206</v>
      </c>
      <c r="C4248" t="s">
        <v>1207</v>
      </c>
      <c r="D4248" s="1">
        <v>36182</v>
      </c>
      <c r="E4248" t="s">
        <v>92</v>
      </c>
      <c r="F4248">
        <v>100</v>
      </c>
      <c r="G4248" t="s">
        <v>93</v>
      </c>
      <c r="H4248">
        <v>-103.32</v>
      </c>
      <c r="I4248">
        <v>96</v>
      </c>
      <c r="J4248">
        <v>44.58</v>
      </c>
      <c r="K4248">
        <v>99</v>
      </c>
      <c r="L4248">
        <v>-170.6</v>
      </c>
      <c r="M4248">
        <v>93</v>
      </c>
      <c r="N4248">
        <v>24.54</v>
      </c>
      <c r="O4248">
        <v>95</v>
      </c>
      <c r="P4248">
        <v>-3.04</v>
      </c>
      <c r="Q4248">
        <v>98</v>
      </c>
      <c r="R4248">
        <v>-8.5299999999999994</v>
      </c>
      <c r="S4248">
        <v>90</v>
      </c>
      <c r="T4248">
        <v>10.79</v>
      </c>
      <c r="U4248">
        <v>96</v>
      </c>
      <c r="V4248">
        <v>-1.06</v>
      </c>
      <c r="W4248">
        <v>89</v>
      </c>
      <c r="X4248" t="s">
        <v>288</v>
      </c>
      <c r="Y4248" t="s">
        <v>1208</v>
      </c>
      <c r="Z4248" t="s">
        <v>96</v>
      </c>
      <c r="AA4248" t="s">
        <v>961</v>
      </c>
      <c r="AB4248" t="s">
        <v>1209</v>
      </c>
      <c r="AC4248">
        <v>376</v>
      </c>
      <c r="AD4248">
        <v>140</v>
      </c>
      <c r="AE4248">
        <v>99</v>
      </c>
      <c r="AF4248">
        <v>302.11</v>
      </c>
      <c r="AG4248">
        <v>5.53</v>
      </c>
      <c r="AH4248">
        <v>10.25</v>
      </c>
      <c r="AI4248">
        <v>-0.1</v>
      </c>
      <c r="AJ4248">
        <v>0</v>
      </c>
      <c r="AK4248">
        <v>93</v>
      </c>
      <c r="AL4248">
        <v>373</v>
      </c>
      <c r="AM4248">
        <v>143</v>
      </c>
      <c r="AN4248">
        <v>9.73</v>
      </c>
      <c r="AO4248">
        <v>-3.87</v>
      </c>
      <c r="AP4248">
        <v>799</v>
      </c>
      <c r="AQ4248">
        <v>0</v>
      </c>
      <c r="AR4248">
        <v>7.52</v>
      </c>
      <c r="AS4248">
        <v>94</v>
      </c>
      <c r="AT4248">
        <v>3.26</v>
      </c>
      <c r="AU4248">
        <v>97</v>
      </c>
      <c r="AV4248">
        <v>-3.26</v>
      </c>
      <c r="AW4248">
        <v>98</v>
      </c>
      <c r="AX4248">
        <v>0.04</v>
      </c>
      <c r="AY4248">
        <v>94</v>
      </c>
      <c r="AZ4248">
        <v>6.39</v>
      </c>
      <c r="BA4248">
        <v>84</v>
      </c>
      <c r="BB4248">
        <v>5.0599999999999996</v>
      </c>
      <c r="BC4248">
        <v>84</v>
      </c>
      <c r="BD4248">
        <v>-0.03</v>
      </c>
      <c r="BE4248">
        <v>0.04</v>
      </c>
      <c r="BF4248">
        <v>0.17</v>
      </c>
      <c r="BG4248">
        <v>96</v>
      </c>
      <c r="BH4248">
        <v>7.0000000000000007E-2</v>
      </c>
      <c r="BI4248">
        <v>11.51</v>
      </c>
      <c r="BJ4248">
        <v>116</v>
      </c>
      <c r="BK4248">
        <v>45</v>
      </c>
      <c r="BL4248">
        <v>1.1000000000000001</v>
      </c>
      <c r="BM4248">
        <v>-0.89</v>
      </c>
      <c r="BN4248">
        <v>0.51</v>
      </c>
      <c r="BO4248">
        <v>0.85</v>
      </c>
      <c r="BP4248">
        <v>1.41</v>
      </c>
      <c r="BQ4248">
        <v>-2.09</v>
      </c>
      <c r="BR4248">
        <v>-1.65</v>
      </c>
      <c r="BS4248">
        <v>1.49</v>
      </c>
      <c r="BT4248">
        <v>1.33</v>
      </c>
      <c r="BU4248">
        <v>0.81</v>
      </c>
      <c r="BV4248">
        <v>0.84</v>
      </c>
      <c r="BW4248">
        <v>0.43</v>
      </c>
      <c r="BX4248">
        <v>0.49</v>
      </c>
      <c r="BY4248">
        <v>2.46</v>
      </c>
      <c r="BZ4248">
        <v>0.59</v>
      </c>
      <c r="CA4248">
        <v>1.7</v>
      </c>
      <c r="CB4248">
        <v>1.32</v>
      </c>
      <c r="CC4248">
        <v>1.58</v>
      </c>
      <c r="CD4248">
        <v>-0.82</v>
      </c>
      <c r="CE4248">
        <v>1.1200000000000001</v>
      </c>
      <c r="CF4248">
        <v>0.64</v>
      </c>
      <c r="CG4248">
        <v>0</v>
      </c>
      <c r="CH4248">
        <v>2.21</v>
      </c>
      <c r="CI4248">
        <v>0</v>
      </c>
      <c r="CJ4248">
        <v>0.9</v>
      </c>
      <c r="CK4248">
        <v>98</v>
      </c>
      <c r="CL4248">
        <v>-1.01</v>
      </c>
      <c r="CM4248">
        <v>97</v>
      </c>
      <c r="CN4248">
        <v>-0.55000000000000004</v>
      </c>
      <c r="CO4248">
        <v>97</v>
      </c>
      <c r="CP4248">
        <v>-2</v>
      </c>
      <c r="CQ4248">
        <v>97</v>
      </c>
      <c r="CR4248">
        <v>0</v>
      </c>
      <c r="CS4248">
        <v>0</v>
      </c>
      <c r="CT4248">
        <v>-0.8</v>
      </c>
      <c r="CU4248">
        <v>96</v>
      </c>
      <c r="CV4248">
        <v>0.3</v>
      </c>
      <c r="CW4248">
        <v>46</v>
      </c>
      <c r="CX4248" t="s">
        <v>265</v>
      </c>
    </row>
    <row r="4249" spans="1:102" x14ac:dyDescent="0.3">
      <c r="A4249" t="str">
        <f>HYPERLINK("https://webapp.icbf.com/v2/app/bull-search/view/77860024","BVH")</f>
        <v>BVH</v>
      </c>
      <c r="B4249" t="s">
        <v>10394</v>
      </c>
      <c r="C4249" t="s">
        <v>10395</v>
      </c>
      <c r="D4249" s="1">
        <v>33579</v>
      </c>
      <c r="E4249" t="s">
        <v>92</v>
      </c>
      <c r="F4249">
        <v>100</v>
      </c>
      <c r="G4249" t="s">
        <v>109</v>
      </c>
      <c r="H4249">
        <v>-103.37</v>
      </c>
      <c r="I4249">
        <v>79</v>
      </c>
      <c r="J4249">
        <v>10.78</v>
      </c>
      <c r="K4249">
        <v>90</v>
      </c>
      <c r="L4249">
        <v>-107.71</v>
      </c>
      <c r="M4249">
        <v>81</v>
      </c>
      <c r="N4249">
        <v>13.56</v>
      </c>
      <c r="O4249">
        <v>63</v>
      </c>
      <c r="P4249">
        <v>-20.47</v>
      </c>
      <c r="Q4249">
        <v>72</v>
      </c>
      <c r="R4249">
        <v>-20.350000000000001</v>
      </c>
      <c r="S4249">
        <v>72</v>
      </c>
      <c r="T4249">
        <v>21.89</v>
      </c>
      <c r="U4249">
        <v>69</v>
      </c>
      <c r="V4249">
        <v>-1.07</v>
      </c>
      <c r="W4249">
        <v>59</v>
      </c>
      <c r="X4249" t="s">
        <v>94</v>
      </c>
      <c r="Y4249" t="s">
        <v>95</v>
      </c>
      <c r="Z4249" t="s">
        <v>96</v>
      </c>
      <c r="AA4249" t="s">
        <v>152</v>
      </c>
      <c r="AB4249" t="s">
        <v>10396</v>
      </c>
      <c r="AC4249">
        <v>0</v>
      </c>
      <c r="AD4249">
        <v>0</v>
      </c>
      <c r="AE4249">
        <v>90</v>
      </c>
      <c r="AF4249">
        <v>201.95</v>
      </c>
      <c r="AG4249">
        <v>5.41</v>
      </c>
      <c r="AH4249">
        <v>3.01</v>
      </c>
      <c r="AI4249">
        <v>-0.04</v>
      </c>
      <c r="AJ4249">
        <v>-7.0000000000000007E-2</v>
      </c>
      <c r="AK4249">
        <v>81</v>
      </c>
      <c r="AL4249">
        <v>0</v>
      </c>
      <c r="AM4249">
        <v>0</v>
      </c>
      <c r="AN4249">
        <v>5.84</v>
      </c>
      <c r="AO4249">
        <v>-2.75</v>
      </c>
      <c r="AP4249">
        <v>0</v>
      </c>
      <c r="AQ4249">
        <v>1</v>
      </c>
      <c r="AR4249">
        <v>8.44</v>
      </c>
      <c r="AS4249">
        <v>52</v>
      </c>
      <c r="AT4249">
        <v>2.65</v>
      </c>
      <c r="AU4249">
        <v>82</v>
      </c>
      <c r="AV4249">
        <v>-1.39</v>
      </c>
      <c r="AW4249">
        <v>60</v>
      </c>
      <c r="AX4249">
        <v>-0.49</v>
      </c>
      <c r="AY4249">
        <v>61</v>
      </c>
      <c r="AZ4249">
        <v>6.28</v>
      </c>
      <c r="BA4249">
        <v>43</v>
      </c>
      <c r="BB4249">
        <v>5.19</v>
      </c>
      <c r="BC4249">
        <v>49</v>
      </c>
      <c r="BD4249">
        <v>0.06</v>
      </c>
      <c r="BE4249">
        <v>0.12</v>
      </c>
      <c r="BF4249">
        <v>0.14000000000000001</v>
      </c>
      <c r="BG4249">
        <v>86</v>
      </c>
      <c r="BH4249">
        <v>0.12</v>
      </c>
      <c r="BI4249">
        <v>17.32</v>
      </c>
      <c r="BJ4249">
        <v>0</v>
      </c>
      <c r="BK4249">
        <v>0</v>
      </c>
      <c r="BL4249">
        <v>-0.53</v>
      </c>
      <c r="BM4249">
        <v>-0.52</v>
      </c>
      <c r="BN4249">
        <v>-0.6</v>
      </c>
      <c r="BO4249">
        <v>0.21</v>
      </c>
      <c r="BP4249">
        <v>0.99</v>
      </c>
      <c r="BQ4249">
        <v>-2.2200000000000002</v>
      </c>
      <c r="BR4249">
        <v>0.88</v>
      </c>
      <c r="BS4249">
        <v>-1.1499999999999999</v>
      </c>
      <c r="BT4249">
        <v>-0.98</v>
      </c>
      <c r="BU4249">
        <v>-0.35</v>
      </c>
      <c r="BV4249">
        <v>-0.16</v>
      </c>
      <c r="BW4249">
        <v>0.26</v>
      </c>
      <c r="BX4249">
        <v>-1.27</v>
      </c>
      <c r="BY4249">
        <v>1.74</v>
      </c>
      <c r="BZ4249">
        <v>-0.75</v>
      </c>
      <c r="CA4249">
        <v>-0.68</v>
      </c>
      <c r="CB4249">
        <v>-0.3</v>
      </c>
      <c r="CC4249">
        <v>-0.93</v>
      </c>
      <c r="CD4249">
        <v>-0.34</v>
      </c>
      <c r="CE4249">
        <v>-0.1</v>
      </c>
      <c r="CF4249">
        <v>-0.34</v>
      </c>
      <c r="CG4249">
        <v>0</v>
      </c>
      <c r="CH4249">
        <v>1.52</v>
      </c>
      <c r="CI4249">
        <v>0</v>
      </c>
      <c r="CJ4249">
        <v>-10.1</v>
      </c>
      <c r="CK4249">
        <v>74</v>
      </c>
      <c r="CL4249">
        <v>-0.59</v>
      </c>
      <c r="CM4249">
        <v>70</v>
      </c>
      <c r="CN4249">
        <v>-0.18</v>
      </c>
      <c r="CO4249">
        <v>67</v>
      </c>
      <c r="CP4249">
        <v>-17</v>
      </c>
      <c r="CQ4249">
        <v>76</v>
      </c>
      <c r="CR4249">
        <v>0</v>
      </c>
      <c r="CS4249">
        <v>0</v>
      </c>
      <c r="CT4249">
        <v>-15.8</v>
      </c>
      <c r="CU4249">
        <v>69</v>
      </c>
      <c r="CV4249">
        <v>-0.02</v>
      </c>
      <c r="CW4249">
        <v>40</v>
      </c>
      <c r="CX4249" t="s">
        <v>128</v>
      </c>
    </row>
    <row r="4250" spans="1:102" x14ac:dyDescent="0.3">
      <c r="A4250" t="str">
        <f>HYPERLINK("https://webapp.icbf.com/v2/app/bull-search/view/77854048","RMS")</f>
        <v>RMS</v>
      </c>
      <c r="B4250" t="s">
        <v>12163</v>
      </c>
      <c r="C4250" t="s">
        <v>12164</v>
      </c>
      <c r="D4250" s="1">
        <v>33049</v>
      </c>
      <c r="E4250" t="s">
        <v>92</v>
      </c>
      <c r="F4250">
        <v>100</v>
      </c>
      <c r="G4250" t="s">
        <v>93</v>
      </c>
      <c r="H4250">
        <v>-103.47</v>
      </c>
      <c r="I4250">
        <v>88</v>
      </c>
      <c r="J4250">
        <v>-20.75</v>
      </c>
      <c r="K4250">
        <v>97</v>
      </c>
      <c r="L4250">
        <v>-95.33</v>
      </c>
      <c r="M4250">
        <v>90</v>
      </c>
      <c r="N4250">
        <v>9.77</v>
      </c>
      <c r="O4250">
        <v>80</v>
      </c>
      <c r="P4250">
        <v>-10.61</v>
      </c>
      <c r="Q4250">
        <v>87</v>
      </c>
      <c r="R4250">
        <v>-8.8699999999999992</v>
      </c>
      <c r="S4250">
        <v>76</v>
      </c>
      <c r="T4250">
        <v>25.07</v>
      </c>
      <c r="U4250">
        <v>84</v>
      </c>
      <c r="V4250">
        <v>-2.75</v>
      </c>
      <c r="W4250">
        <v>48</v>
      </c>
      <c r="X4250" t="s">
        <v>558</v>
      </c>
      <c r="Y4250" t="s">
        <v>95</v>
      </c>
      <c r="Z4250" t="s">
        <v>96</v>
      </c>
      <c r="AA4250" t="s">
        <v>543</v>
      </c>
      <c r="AB4250" t="s">
        <v>12165</v>
      </c>
      <c r="AC4250">
        <v>181</v>
      </c>
      <c r="AD4250">
        <v>87</v>
      </c>
      <c r="AE4250">
        <v>97</v>
      </c>
      <c r="AF4250">
        <v>233.49</v>
      </c>
      <c r="AG4250">
        <v>5.5</v>
      </c>
      <c r="AH4250">
        <v>-1.9</v>
      </c>
      <c r="AI4250">
        <v>-0.06</v>
      </c>
      <c r="AJ4250">
        <v>-0.16</v>
      </c>
      <c r="AK4250">
        <v>90</v>
      </c>
      <c r="AL4250">
        <v>161</v>
      </c>
      <c r="AM4250">
        <v>82</v>
      </c>
      <c r="AN4250">
        <v>6.14</v>
      </c>
      <c r="AO4250">
        <v>-1.45</v>
      </c>
      <c r="AP4250">
        <v>34</v>
      </c>
      <c r="AQ4250">
        <v>0</v>
      </c>
      <c r="AR4250">
        <v>5.25</v>
      </c>
      <c r="AS4250">
        <v>60</v>
      </c>
      <c r="AT4250">
        <v>2.48</v>
      </c>
      <c r="AU4250">
        <v>87</v>
      </c>
      <c r="AV4250">
        <v>-0.76</v>
      </c>
      <c r="AW4250">
        <v>85</v>
      </c>
      <c r="AX4250">
        <v>-0.84</v>
      </c>
      <c r="AY4250">
        <v>84</v>
      </c>
      <c r="AZ4250">
        <v>9.14</v>
      </c>
      <c r="BA4250">
        <v>58</v>
      </c>
      <c r="BB4250">
        <v>5.85</v>
      </c>
      <c r="BC4250">
        <v>69</v>
      </c>
      <c r="BD4250">
        <v>0.06</v>
      </c>
      <c r="BE4250">
        <v>0.06</v>
      </c>
      <c r="BF4250">
        <v>-0.01</v>
      </c>
      <c r="BG4250">
        <v>90</v>
      </c>
      <c r="BH4250">
        <v>0.02</v>
      </c>
      <c r="BI4250">
        <v>11.2</v>
      </c>
      <c r="BJ4250">
        <v>30</v>
      </c>
      <c r="BK4250">
        <v>15</v>
      </c>
      <c r="BL4250">
        <v>0.36</v>
      </c>
      <c r="BM4250">
        <v>0.33</v>
      </c>
      <c r="BN4250">
        <v>1.38</v>
      </c>
      <c r="BO4250">
        <v>0.79</v>
      </c>
      <c r="BP4250">
        <v>-0.59</v>
      </c>
      <c r="BQ4250">
        <v>1.2</v>
      </c>
      <c r="BR4250">
        <v>1.05</v>
      </c>
      <c r="BS4250">
        <v>-1.77</v>
      </c>
      <c r="BT4250">
        <v>-1.61</v>
      </c>
      <c r="BU4250">
        <v>1.71</v>
      </c>
      <c r="BV4250">
        <v>1.17</v>
      </c>
      <c r="BW4250">
        <v>0.24</v>
      </c>
      <c r="BX4250">
        <v>0.81</v>
      </c>
      <c r="BY4250">
        <v>0.67</v>
      </c>
      <c r="BZ4250">
        <v>0.73</v>
      </c>
      <c r="CA4250">
        <v>0.73</v>
      </c>
      <c r="CB4250">
        <v>1.17</v>
      </c>
      <c r="CC4250">
        <v>-0.24</v>
      </c>
      <c r="CD4250">
        <v>-0.28000000000000003</v>
      </c>
      <c r="CE4250">
        <v>0.7</v>
      </c>
      <c r="CF4250">
        <v>0.89</v>
      </c>
      <c r="CG4250">
        <v>0</v>
      </c>
      <c r="CH4250">
        <v>-1.06</v>
      </c>
      <c r="CI4250">
        <v>0</v>
      </c>
      <c r="CJ4250">
        <v>-6.6</v>
      </c>
      <c r="CK4250">
        <v>88</v>
      </c>
      <c r="CL4250">
        <v>-0.56999999999999995</v>
      </c>
      <c r="CM4250">
        <v>85</v>
      </c>
      <c r="CN4250">
        <v>-0.46</v>
      </c>
      <c r="CO4250">
        <v>83</v>
      </c>
      <c r="CP4250">
        <v>-6.7</v>
      </c>
      <c r="CQ4250">
        <v>92</v>
      </c>
      <c r="CR4250">
        <v>0</v>
      </c>
      <c r="CS4250">
        <v>0</v>
      </c>
      <c r="CT4250">
        <v>-20.100000000000001</v>
      </c>
      <c r="CU4250">
        <v>84</v>
      </c>
      <c r="CV4250">
        <v>0</v>
      </c>
      <c r="CW4250">
        <v>25</v>
      </c>
      <c r="CX4250" t="s">
        <v>648</v>
      </c>
    </row>
    <row r="4251" spans="1:102" x14ac:dyDescent="0.3">
      <c r="A4251" t="str">
        <f>HYPERLINK("https://webapp.icbf.com/v2/app/bull-search/view/423381854","FJK")</f>
        <v>FJK</v>
      </c>
      <c r="B4251" t="s">
        <v>11918</v>
      </c>
      <c r="C4251" t="s">
        <v>11919</v>
      </c>
      <c r="D4251" s="1">
        <v>36829</v>
      </c>
      <c r="E4251" t="s">
        <v>92</v>
      </c>
      <c r="F4251">
        <v>100</v>
      </c>
      <c r="G4251" t="s">
        <v>93</v>
      </c>
      <c r="H4251">
        <v>-103.52</v>
      </c>
      <c r="I4251">
        <v>96</v>
      </c>
      <c r="J4251">
        <v>-48.92</v>
      </c>
      <c r="K4251">
        <v>99</v>
      </c>
      <c r="L4251">
        <v>-66.62</v>
      </c>
      <c r="M4251">
        <v>93</v>
      </c>
      <c r="N4251">
        <v>28.16</v>
      </c>
      <c r="O4251">
        <v>97</v>
      </c>
      <c r="P4251">
        <v>-13.2</v>
      </c>
      <c r="Q4251">
        <v>99</v>
      </c>
      <c r="R4251">
        <v>8.48</v>
      </c>
      <c r="S4251">
        <v>95</v>
      </c>
      <c r="T4251">
        <v>-5.86</v>
      </c>
      <c r="U4251">
        <v>98</v>
      </c>
      <c r="V4251">
        <v>-5.56</v>
      </c>
      <c r="W4251">
        <v>95</v>
      </c>
      <c r="X4251" t="s">
        <v>251</v>
      </c>
      <c r="Y4251" t="s">
        <v>95</v>
      </c>
      <c r="Z4251" t="s">
        <v>96</v>
      </c>
      <c r="AA4251" t="s">
        <v>311</v>
      </c>
      <c r="AB4251" t="s">
        <v>1277</v>
      </c>
      <c r="AC4251">
        <v>946</v>
      </c>
      <c r="AD4251">
        <v>304</v>
      </c>
      <c r="AE4251">
        <v>99</v>
      </c>
      <c r="AF4251">
        <v>34.020000000000003</v>
      </c>
      <c r="AG4251">
        <v>-9.24</v>
      </c>
      <c r="AH4251">
        <v>-4.53</v>
      </c>
      <c r="AI4251">
        <v>-0.18</v>
      </c>
      <c r="AJ4251">
        <v>-0.1</v>
      </c>
      <c r="AK4251">
        <v>93</v>
      </c>
      <c r="AL4251">
        <v>869</v>
      </c>
      <c r="AM4251">
        <v>299</v>
      </c>
      <c r="AN4251">
        <v>1.52</v>
      </c>
      <c r="AO4251">
        <v>-3.82</v>
      </c>
      <c r="AP4251">
        <v>1741</v>
      </c>
      <c r="AQ4251">
        <v>2</v>
      </c>
      <c r="AR4251">
        <v>7.51</v>
      </c>
      <c r="AS4251">
        <v>98</v>
      </c>
      <c r="AT4251">
        <v>3.31</v>
      </c>
      <c r="AU4251">
        <v>98</v>
      </c>
      <c r="AV4251">
        <v>-3.28</v>
      </c>
      <c r="AW4251">
        <v>99</v>
      </c>
      <c r="AX4251">
        <v>-0.46</v>
      </c>
      <c r="AY4251">
        <v>97</v>
      </c>
      <c r="AZ4251">
        <v>5.98</v>
      </c>
      <c r="BA4251">
        <v>94</v>
      </c>
      <c r="BB4251">
        <v>4.6399999999999997</v>
      </c>
      <c r="BC4251">
        <v>92</v>
      </c>
      <c r="BD4251">
        <v>0</v>
      </c>
      <c r="BE4251">
        <v>-0.05</v>
      </c>
      <c r="BF4251">
        <v>-0.1</v>
      </c>
      <c r="BG4251">
        <v>98</v>
      </c>
      <c r="BH4251">
        <v>-0.15</v>
      </c>
      <c r="BI4251">
        <v>0.56999999999999995</v>
      </c>
      <c r="BJ4251">
        <v>435</v>
      </c>
      <c r="BK4251">
        <v>149</v>
      </c>
      <c r="BL4251">
        <v>1.1000000000000001</v>
      </c>
      <c r="BM4251">
        <v>0.27</v>
      </c>
      <c r="BN4251">
        <v>-0.05</v>
      </c>
      <c r="BO4251">
        <v>0.02</v>
      </c>
      <c r="BP4251">
        <v>-0.81</v>
      </c>
      <c r="BQ4251">
        <v>2.04</v>
      </c>
      <c r="BR4251">
        <v>1.29</v>
      </c>
      <c r="BS4251">
        <v>-1.81</v>
      </c>
      <c r="BT4251">
        <v>-0.35</v>
      </c>
      <c r="BU4251">
        <v>2.65</v>
      </c>
      <c r="BV4251">
        <v>2.62</v>
      </c>
      <c r="BW4251">
        <v>3.53</v>
      </c>
      <c r="BX4251">
        <v>2.5099999999999998</v>
      </c>
      <c r="BY4251">
        <v>2.86</v>
      </c>
      <c r="BZ4251">
        <v>-0.7</v>
      </c>
      <c r="CA4251">
        <v>1.18</v>
      </c>
      <c r="CB4251">
        <v>1.92</v>
      </c>
      <c r="CC4251">
        <v>-0.92</v>
      </c>
      <c r="CD4251">
        <v>0.27</v>
      </c>
      <c r="CE4251">
        <v>-0.1</v>
      </c>
      <c r="CF4251">
        <v>0.94</v>
      </c>
      <c r="CG4251">
        <v>0</v>
      </c>
      <c r="CH4251">
        <v>2.93</v>
      </c>
      <c r="CI4251">
        <v>0</v>
      </c>
      <c r="CJ4251">
        <v>-5.9</v>
      </c>
      <c r="CK4251">
        <v>99</v>
      </c>
      <c r="CL4251">
        <v>-1.25</v>
      </c>
      <c r="CM4251">
        <v>99</v>
      </c>
      <c r="CN4251">
        <v>-0.63</v>
      </c>
      <c r="CO4251">
        <v>99</v>
      </c>
      <c r="CP4251">
        <v>3.1</v>
      </c>
      <c r="CQ4251">
        <v>99</v>
      </c>
      <c r="CR4251">
        <v>0</v>
      </c>
      <c r="CS4251">
        <v>0</v>
      </c>
      <c r="CT4251">
        <v>21.7</v>
      </c>
      <c r="CU4251">
        <v>98</v>
      </c>
      <c r="CV4251">
        <v>0.24</v>
      </c>
      <c r="CW4251">
        <v>46</v>
      </c>
      <c r="CX4251" t="s">
        <v>1278</v>
      </c>
    </row>
    <row r="4252" spans="1:102" x14ac:dyDescent="0.3">
      <c r="A4252" t="str">
        <f>HYPERLINK("https://webapp.icbf.com/v2/app/bull-search/view/77853544","SWH")</f>
        <v>SWH</v>
      </c>
      <c r="B4252" t="s">
        <v>11504</v>
      </c>
      <c r="C4252" t="s">
        <v>11505</v>
      </c>
      <c r="D4252" s="1">
        <v>32465</v>
      </c>
      <c r="E4252" t="s">
        <v>92</v>
      </c>
      <c r="F4252">
        <v>50</v>
      </c>
      <c r="G4252" t="s">
        <v>93</v>
      </c>
      <c r="H4252">
        <v>-103.55</v>
      </c>
      <c r="I4252">
        <v>81</v>
      </c>
      <c r="J4252">
        <v>-13.11</v>
      </c>
      <c r="K4252">
        <v>94</v>
      </c>
      <c r="L4252">
        <v>-55.35</v>
      </c>
      <c r="M4252">
        <v>83</v>
      </c>
      <c r="N4252">
        <v>-30.55</v>
      </c>
      <c r="O4252">
        <v>63</v>
      </c>
      <c r="P4252">
        <v>-0.33</v>
      </c>
      <c r="Q4252">
        <v>73</v>
      </c>
      <c r="R4252">
        <v>-17.93</v>
      </c>
      <c r="S4252">
        <v>69</v>
      </c>
      <c r="T4252">
        <v>14.79</v>
      </c>
      <c r="U4252">
        <v>74</v>
      </c>
      <c r="V4252">
        <v>-1.07</v>
      </c>
      <c r="W4252">
        <v>42</v>
      </c>
      <c r="X4252" t="s">
        <v>110</v>
      </c>
      <c r="Y4252" t="s">
        <v>95</v>
      </c>
      <c r="Z4252" t="s">
        <v>96</v>
      </c>
      <c r="AA4252" t="s">
        <v>166</v>
      </c>
      <c r="AB4252" t="s">
        <v>11506</v>
      </c>
      <c r="AC4252">
        <v>73</v>
      </c>
      <c r="AD4252">
        <v>40</v>
      </c>
      <c r="AE4252">
        <v>94</v>
      </c>
      <c r="AF4252">
        <v>-40.880000000000003</v>
      </c>
      <c r="AG4252">
        <v>1.06</v>
      </c>
      <c r="AH4252">
        <v>-3.23</v>
      </c>
      <c r="AI4252">
        <v>0.04</v>
      </c>
      <c r="AJ4252">
        <v>-0.03</v>
      </c>
      <c r="AK4252">
        <v>83</v>
      </c>
      <c r="AL4252">
        <v>95</v>
      </c>
      <c r="AM4252">
        <v>56</v>
      </c>
      <c r="AN4252">
        <v>3.32</v>
      </c>
      <c r="AO4252">
        <v>-1.0900000000000001</v>
      </c>
      <c r="AP4252">
        <v>5</v>
      </c>
      <c r="AQ4252">
        <v>0</v>
      </c>
      <c r="AR4252">
        <v>11.17</v>
      </c>
      <c r="AS4252">
        <v>38</v>
      </c>
      <c r="AT4252">
        <v>5.48</v>
      </c>
      <c r="AU4252">
        <v>69</v>
      </c>
      <c r="AV4252">
        <v>-0.13</v>
      </c>
      <c r="AW4252">
        <v>67</v>
      </c>
      <c r="AX4252">
        <v>-0.7</v>
      </c>
      <c r="AY4252">
        <v>74</v>
      </c>
      <c r="AZ4252">
        <v>5.45</v>
      </c>
      <c r="BA4252">
        <v>41</v>
      </c>
      <c r="BB4252">
        <v>4.37</v>
      </c>
      <c r="BC4252">
        <v>52</v>
      </c>
      <c r="BD4252">
        <v>0.05</v>
      </c>
      <c r="BE4252">
        <v>0.11</v>
      </c>
      <c r="BF4252">
        <v>0.12</v>
      </c>
      <c r="BG4252">
        <v>84</v>
      </c>
      <c r="BH4252">
        <v>0.03</v>
      </c>
      <c r="BI4252">
        <v>6.92</v>
      </c>
      <c r="BJ4252">
        <v>8</v>
      </c>
      <c r="BK4252">
        <v>5</v>
      </c>
      <c r="BL4252">
        <v>-0.4</v>
      </c>
      <c r="BM4252">
        <v>-0.3</v>
      </c>
      <c r="BN4252">
        <v>-0.12</v>
      </c>
      <c r="BO4252">
        <v>0.09</v>
      </c>
      <c r="BP4252">
        <v>2.74</v>
      </c>
      <c r="BQ4252">
        <v>-1.93</v>
      </c>
      <c r="BR4252">
        <v>0.73</v>
      </c>
      <c r="BS4252">
        <v>-1.84</v>
      </c>
      <c r="BT4252">
        <v>-1.01</v>
      </c>
      <c r="BU4252">
        <v>0.28000000000000003</v>
      </c>
      <c r="BV4252">
        <v>-0.59</v>
      </c>
      <c r="BW4252">
        <v>-0.42</v>
      </c>
      <c r="BX4252">
        <v>-0.41</v>
      </c>
      <c r="BY4252">
        <v>0.49</v>
      </c>
      <c r="BZ4252">
        <v>-0.55000000000000004</v>
      </c>
      <c r="CA4252">
        <v>-0.61</v>
      </c>
      <c r="CB4252">
        <v>-0.01</v>
      </c>
      <c r="CC4252">
        <v>-1.52</v>
      </c>
      <c r="CD4252">
        <v>7.0000000000000007E-2</v>
      </c>
      <c r="CE4252">
        <v>-0.36</v>
      </c>
      <c r="CF4252">
        <v>-0.78</v>
      </c>
      <c r="CG4252">
        <v>0</v>
      </c>
      <c r="CH4252">
        <v>-0.11</v>
      </c>
      <c r="CI4252">
        <v>0</v>
      </c>
      <c r="CJ4252">
        <v>1.1000000000000001</v>
      </c>
      <c r="CK4252">
        <v>74</v>
      </c>
      <c r="CL4252">
        <v>-0.43</v>
      </c>
      <c r="CM4252">
        <v>70</v>
      </c>
      <c r="CN4252">
        <v>-0.26</v>
      </c>
      <c r="CO4252">
        <v>65</v>
      </c>
      <c r="CP4252">
        <v>-3</v>
      </c>
      <c r="CQ4252">
        <v>84</v>
      </c>
      <c r="CR4252">
        <v>0</v>
      </c>
      <c r="CS4252">
        <v>0</v>
      </c>
      <c r="CT4252">
        <v>-6.2</v>
      </c>
      <c r="CU4252">
        <v>74</v>
      </c>
      <c r="CV4252">
        <v>0.14000000000000001</v>
      </c>
      <c r="CW4252">
        <v>20</v>
      </c>
      <c r="CX4252" t="s">
        <v>120</v>
      </c>
    </row>
    <row r="4253" spans="1:102" x14ac:dyDescent="0.3">
      <c r="A4253" t="str">
        <f>HYPERLINK("https://webapp.icbf.com/v2/app/bull-search/view/77858743","CYU")</f>
        <v>CYU</v>
      </c>
      <c r="B4253" t="s">
        <v>7769</v>
      </c>
      <c r="C4253" t="s">
        <v>7770</v>
      </c>
      <c r="D4253" s="1">
        <v>35065</v>
      </c>
      <c r="E4253" t="s">
        <v>92</v>
      </c>
      <c r="F4253">
        <v>100</v>
      </c>
      <c r="G4253" t="s">
        <v>93</v>
      </c>
      <c r="H4253">
        <v>-103.84</v>
      </c>
      <c r="I4253">
        <v>83</v>
      </c>
      <c r="J4253">
        <v>12.95</v>
      </c>
      <c r="K4253">
        <v>96</v>
      </c>
      <c r="L4253">
        <v>-103.65</v>
      </c>
      <c r="M4253">
        <v>79</v>
      </c>
      <c r="N4253">
        <v>-10.3</v>
      </c>
      <c r="O4253">
        <v>70</v>
      </c>
      <c r="P4253">
        <v>-13.01</v>
      </c>
      <c r="Q4253">
        <v>76</v>
      </c>
      <c r="R4253">
        <v>-9.64</v>
      </c>
      <c r="S4253">
        <v>78</v>
      </c>
      <c r="T4253">
        <v>29.59</v>
      </c>
      <c r="U4253">
        <v>75</v>
      </c>
      <c r="V4253">
        <v>-9.7799999999999994</v>
      </c>
      <c r="W4253">
        <v>66</v>
      </c>
      <c r="X4253" t="s">
        <v>94</v>
      </c>
      <c r="Y4253" t="s">
        <v>95</v>
      </c>
      <c r="Z4253" t="s">
        <v>96</v>
      </c>
      <c r="AA4253" t="s">
        <v>265</v>
      </c>
      <c r="AB4253" t="s">
        <v>956</v>
      </c>
      <c r="AC4253">
        <v>63</v>
      </c>
      <c r="AD4253">
        <v>50</v>
      </c>
      <c r="AE4253">
        <v>96</v>
      </c>
      <c r="AF4253">
        <v>-109.55</v>
      </c>
      <c r="AG4253">
        <v>2.36</v>
      </c>
      <c r="AH4253">
        <v>-0.31</v>
      </c>
      <c r="AI4253">
        <v>0.12</v>
      </c>
      <c r="AJ4253">
        <v>0.06</v>
      </c>
      <c r="AK4253">
        <v>79</v>
      </c>
      <c r="AL4253">
        <v>53</v>
      </c>
      <c r="AM4253">
        <v>46</v>
      </c>
      <c r="AN4253">
        <v>5.34</v>
      </c>
      <c r="AO4253">
        <v>-2.93</v>
      </c>
      <c r="AP4253">
        <v>2</v>
      </c>
      <c r="AQ4253">
        <v>0</v>
      </c>
      <c r="AR4253">
        <v>8.57</v>
      </c>
      <c r="AS4253">
        <v>59</v>
      </c>
      <c r="AT4253">
        <v>3.87</v>
      </c>
      <c r="AU4253">
        <v>75</v>
      </c>
      <c r="AV4253">
        <v>-0.74</v>
      </c>
      <c r="AW4253">
        <v>73</v>
      </c>
      <c r="AX4253">
        <v>-0.04</v>
      </c>
      <c r="AY4253">
        <v>71</v>
      </c>
      <c r="AZ4253">
        <v>7.83</v>
      </c>
      <c r="BA4253">
        <v>53</v>
      </c>
      <c r="BB4253">
        <v>5.8</v>
      </c>
      <c r="BC4253">
        <v>63</v>
      </c>
      <c r="BD4253">
        <v>0.01</v>
      </c>
      <c r="BE4253">
        <v>0.05</v>
      </c>
      <c r="BF4253">
        <v>0.11</v>
      </c>
      <c r="BG4253">
        <v>88</v>
      </c>
      <c r="BH4253">
        <v>-0.16</v>
      </c>
      <c r="BI4253">
        <v>13.05</v>
      </c>
      <c r="BJ4253">
        <v>1</v>
      </c>
      <c r="BK4253">
        <v>1</v>
      </c>
      <c r="BL4253">
        <v>-0.72</v>
      </c>
      <c r="BM4253">
        <v>-1.65</v>
      </c>
      <c r="BN4253">
        <v>-0.65</v>
      </c>
      <c r="BO4253">
        <v>0.48</v>
      </c>
      <c r="BP4253">
        <v>-2.85</v>
      </c>
      <c r="BQ4253">
        <v>-2.63</v>
      </c>
      <c r="BR4253">
        <v>0.68</v>
      </c>
      <c r="BS4253">
        <v>-0.83</v>
      </c>
      <c r="BT4253">
        <v>-0.59</v>
      </c>
      <c r="BU4253">
        <v>7.0000000000000007E-2</v>
      </c>
      <c r="BV4253">
        <v>-0.23</v>
      </c>
      <c r="BW4253">
        <v>-0.34</v>
      </c>
      <c r="BX4253">
        <v>-0.48</v>
      </c>
      <c r="BY4253">
        <v>0.1</v>
      </c>
      <c r="BZ4253">
        <v>0.61</v>
      </c>
      <c r="CA4253">
        <v>-0.22</v>
      </c>
      <c r="CB4253">
        <v>-0.64</v>
      </c>
      <c r="CC4253">
        <v>-0.14000000000000001</v>
      </c>
      <c r="CD4253">
        <v>-1.64</v>
      </c>
      <c r="CE4253">
        <v>0.64</v>
      </c>
      <c r="CF4253">
        <v>-0.77</v>
      </c>
      <c r="CG4253">
        <v>0</v>
      </c>
      <c r="CH4253">
        <v>-2.06</v>
      </c>
      <c r="CI4253">
        <v>0</v>
      </c>
      <c r="CJ4253">
        <v>-4.2</v>
      </c>
      <c r="CK4253">
        <v>77</v>
      </c>
      <c r="CL4253">
        <v>-0.61</v>
      </c>
      <c r="CM4253">
        <v>75</v>
      </c>
      <c r="CN4253">
        <v>-0.12</v>
      </c>
      <c r="CO4253">
        <v>71</v>
      </c>
      <c r="CP4253">
        <v>-15.5</v>
      </c>
      <c r="CQ4253">
        <v>84</v>
      </c>
      <c r="CR4253">
        <v>0</v>
      </c>
      <c r="CS4253">
        <v>0</v>
      </c>
      <c r="CT4253">
        <v>-26.2</v>
      </c>
      <c r="CU4253">
        <v>75</v>
      </c>
      <c r="CV4253">
        <v>0.1</v>
      </c>
      <c r="CW4253">
        <v>41</v>
      </c>
      <c r="CX4253" t="s">
        <v>111</v>
      </c>
    </row>
    <row r="4254" spans="1:102" x14ac:dyDescent="0.3">
      <c r="A4254" t="str">
        <f>HYPERLINK("https://webapp.icbf.com/v2/app/bull-search/view/77856916","HHS")</f>
        <v>HHS</v>
      </c>
      <c r="B4254" t="s">
        <v>4925</v>
      </c>
      <c r="C4254" t="s">
        <v>4926</v>
      </c>
      <c r="D4254" s="1">
        <v>33964</v>
      </c>
      <c r="E4254" t="s">
        <v>92</v>
      </c>
      <c r="F4254">
        <v>100</v>
      </c>
      <c r="G4254" t="s">
        <v>109</v>
      </c>
      <c r="H4254">
        <v>-104.24</v>
      </c>
      <c r="I4254">
        <v>80</v>
      </c>
      <c r="J4254">
        <v>-35.380000000000003</v>
      </c>
      <c r="K4254">
        <v>91</v>
      </c>
      <c r="L4254">
        <v>-33.619999999999997</v>
      </c>
      <c r="M4254">
        <v>83</v>
      </c>
      <c r="N4254">
        <v>-5.99</v>
      </c>
      <c r="O4254">
        <v>68</v>
      </c>
      <c r="P4254">
        <v>-13.06</v>
      </c>
      <c r="Q4254">
        <v>76</v>
      </c>
      <c r="R4254">
        <v>-15.5</v>
      </c>
      <c r="S4254">
        <v>65</v>
      </c>
      <c r="T4254">
        <v>2.06</v>
      </c>
      <c r="U4254">
        <v>75</v>
      </c>
      <c r="V4254">
        <v>-2.75</v>
      </c>
      <c r="W4254">
        <v>33</v>
      </c>
      <c r="X4254" t="s">
        <v>131</v>
      </c>
      <c r="Y4254" t="s">
        <v>95</v>
      </c>
      <c r="Z4254" t="s">
        <v>96</v>
      </c>
      <c r="AA4254" t="s">
        <v>4927</v>
      </c>
      <c r="AB4254" t="s">
        <v>4928</v>
      </c>
      <c r="AC4254">
        <v>27</v>
      </c>
      <c r="AD4254">
        <v>24</v>
      </c>
      <c r="AE4254">
        <v>91</v>
      </c>
      <c r="AF4254">
        <v>-93.53</v>
      </c>
      <c r="AG4254">
        <v>-6.98</v>
      </c>
      <c r="AH4254">
        <v>-4.9800000000000004</v>
      </c>
      <c r="AI4254">
        <v>-0.06</v>
      </c>
      <c r="AJ4254">
        <v>-0.03</v>
      </c>
      <c r="AK4254">
        <v>83</v>
      </c>
      <c r="AL4254">
        <v>36</v>
      </c>
      <c r="AM4254">
        <v>21</v>
      </c>
      <c r="AN4254">
        <v>0.36</v>
      </c>
      <c r="AO4254">
        <v>-2.34</v>
      </c>
      <c r="AP4254">
        <v>37</v>
      </c>
      <c r="AQ4254">
        <v>0</v>
      </c>
      <c r="AR4254">
        <v>7.74</v>
      </c>
      <c r="AS4254">
        <v>51</v>
      </c>
      <c r="AT4254">
        <v>3.53</v>
      </c>
      <c r="AU4254">
        <v>87</v>
      </c>
      <c r="AV4254">
        <v>-0.73</v>
      </c>
      <c r="AW4254">
        <v>74</v>
      </c>
      <c r="AX4254">
        <v>0.24</v>
      </c>
      <c r="AY4254">
        <v>65</v>
      </c>
      <c r="AZ4254">
        <v>7.61</v>
      </c>
      <c r="BA4254">
        <v>30</v>
      </c>
      <c r="BB4254">
        <v>5.97</v>
      </c>
      <c r="BC4254">
        <v>36</v>
      </c>
      <c r="BD4254">
        <v>0.05</v>
      </c>
      <c r="BE4254">
        <v>7.0000000000000007E-2</v>
      </c>
      <c r="BF4254">
        <v>0.14000000000000001</v>
      </c>
      <c r="BG4254">
        <v>87</v>
      </c>
      <c r="BH4254">
        <v>-0.08</v>
      </c>
      <c r="BI4254">
        <v>-0.38</v>
      </c>
      <c r="BJ4254">
        <v>12</v>
      </c>
      <c r="BK4254">
        <v>7</v>
      </c>
      <c r="BL4254">
        <v>1.6</v>
      </c>
      <c r="BM4254">
        <v>0.47</v>
      </c>
      <c r="BN4254">
        <v>1.52</v>
      </c>
      <c r="BO4254">
        <v>0.97</v>
      </c>
      <c r="BP4254">
        <v>1.1100000000000001</v>
      </c>
      <c r="BQ4254">
        <v>1.74</v>
      </c>
      <c r="BR4254">
        <v>0.55000000000000004</v>
      </c>
      <c r="BS4254">
        <v>-0.76</v>
      </c>
      <c r="BT4254">
        <v>-0.21</v>
      </c>
      <c r="BU4254">
        <v>1.81</v>
      </c>
      <c r="BV4254">
        <v>1.36</v>
      </c>
      <c r="BW4254">
        <v>1.46</v>
      </c>
      <c r="BX4254">
        <v>1.61</v>
      </c>
      <c r="BY4254">
        <v>1.19</v>
      </c>
      <c r="BZ4254">
        <v>0.13</v>
      </c>
      <c r="CA4254">
        <v>1.17</v>
      </c>
      <c r="CB4254">
        <v>1.29</v>
      </c>
      <c r="CC4254">
        <v>0.55000000000000004</v>
      </c>
      <c r="CD4254">
        <v>-0.48</v>
      </c>
      <c r="CE4254">
        <v>0.88</v>
      </c>
      <c r="CF4254">
        <v>1.25</v>
      </c>
      <c r="CG4254">
        <v>0</v>
      </c>
      <c r="CH4254">
        <v>1.3</v>
      </c>
      <c r="CI4254">
        <v>0</v>
      </c>
      <c r="CJ4254">
        <v>-5.8</v>
      </c>
      <c r="CK4254">
        <v>78</v>
      </c>
      <c r="CL4254">
        <v>-0.83</v>
      </c>
      <c r="CM4254">
        <v>74</v>
      </c>
      <c r="CN4254">
        <v>-0.32</v>
      </c>
      <c r="CO4254">
        <v>71</v>
      </c>
      <c r="CP4254">
        <v>-1.6</v>
      </c>
      <c r="CQ4254">
        <v>80</v>
      </c>
      <c r="CR4254">
        <v>0</v>
      </c>
      <c r="CS4254">
        <v>0</v>
      </c>
      <c r="CT4254">
        <v>11</v>
      </c>
      <c r="CU4254">
        <v>75</v>
      </c>
      <c r="CV4254">
        <v>0.1</v>
      </c>
      <c r="CW4254">
        <v>21</v>
      </c>
      <c r="CX4254" t="s">
        <v>154</v>
      </c>
    </row>
    <row r="4255" spans="1:102" x14ac:dyDescent="0.3">
      <c r="A4255" t="str">
        <f>HYPERLINK("https://webapp.icbf.com/v2/app/bull-search/view/120396958","MOA")</f>
        <v>MOA</v>
      </c>
      <c r="B4255" t="s">
        <v>4604</v>
      </c>
      <c r="C4255" t="s">
        <v>4605</v>
      </c>
      <c r="D4255" s="1">
        <v>35161</v>
      </c>
      <c r="E4255" t="s">
        <v>92</v>
      </c>
      <c r="F4255">
        <v>100</v>
      </c>
      <c r="G4255" t="s">
        <v>93</v>
      </c>
      <c r="H4255">
        <v>-104.68</v>
      </c>
      <c r="I4255">
        <v>92</v>
      </c>
      <c r="J4255">
        <v>5.49</v>
      </c>
      <c r="K4255">
        <v>98</v>
      </c>
      <c r="L4255">
        <v>-93.78</v>
      </c>
      <c r="M4255">
        <v>90</v>
      </c>
      <c r="N4255">
        <v>-6.99</v>
      </c>
      <c r="O4255">
        <v>89</v>
      </c>
      <c r="P4255">
        <v>-9.11</v>
      </c>
      <c r="Q4255">
        <v>93</v>
      </c>
      <c r="R4255">
        <v>-5.62</v>
      </c>
      <c r="S4255">
        <v>84</v>
      </c>
      <c r="T4255">
        <v>7.83</v>
      </c>
      <c r="U4255">
        <v>88</v>
      </c>
      <c r="V4255">
        <v>-2.5</v>
      </c>
      <c r="W4255">
        <v>75</v>
      </c>
      <c r="X4255" t="s">
        <v>102</v>
      </c>
      <c r="Y4255" t="s">
        <v>95</v>
      </c>
      <c r="Z4255" t="s">
        <v>96</v>
      </c>
      <c r="AA4255" t="s">
        <v>4606</v>
      </c>
      <c r="AB4255" t="s">
        <v>4423</v>
      </c>
      <c r="AC4255">
        <v>138</v>
      </c>
      <c r="AD4255">
        <v>58</v>
      </c>
      <c r="AE4255">
        <v>98</v>
      </c>
      <c r="AF4255">
        <v>285.39</v>
      </c>
      <c r="AG4255">
        <v>4.87</v>
      </c>
      <c r="AH4255">
        <v>3.58</v>
      </c>
      <c r="AI4255">
        <v>-0.1</v>
      </c>
      <c r="AJ4255">
        <v>-0.1</v>
      </c>
      <c r="AK4255">
        <v>90</v>
      </c>
      <c r="AL4255">
        <v>127</v>
      </c>
      <c r="AM4255">
        <v>47</v>
      </c>
      <c r="AN4255">
        <v>5.0199999999999996</v>
      </c>
      <c r="AO4255">
        <v>-2.46</v>
      </c>
      <c r="AP4255">
        <v>251</v>
      </c>
      <c r="AQ4255">
        <v>0</v>
      </c>
      <c r="AR4255">
        <v>9.17</v>
      </c>
      <c r="AS4255">
        <v>84</v>
      </c>
      <c r="AT4255">
        <v>4.59</v>
      </c>
      <c r="AU4255">
        <v>92</v>
      </c>
      <c r="AV4255">
        <v>-0.96</v>
      </c>
      <c r="AW4255">
        <v>95</v>
      </c>
      <c r="AX4255">
        <v>-0.37</v>
      </c>
      <c r="AY4255">
        <v>86</v>
      </c>
      <c r="AZ4255">
        <v>5.5</v>
      </c>
      <c r="BA4255">
        <v>73</v>
      </c>
      <c r="BB4255">
        <v>4.4800000000000004</v>
      </c>
      <c r="BC4255">
        <v>74</v>
      </c>
      <c r="BD4255">
        <v>0.08</v>
      </c>
      <c r="BE4255">
        <v>0.04</v>
      </c>
      <c r="BF4255">
        <v>-0.08</v>
      </c>
      <c r="BG4255">
        <v>95</v>
      </c>
      <c r="BH4255">
        <v>-0.02</v>
      </c>
      <c r="BI4255">
        <v>5.75</v>
      </c>
      <c r="BJ4255">
        <v>49</v>
      </c>
      <c r="BK4255">
        <v>16</v>
      </c>
      <c r="BL4255">
        <v>1.74</v>
      </c>
      <c r="BM4255">
        <v>0.63</v>
      </c>
      <c r="BN4255">
        <v>2.12</v>
      </c>
      <c r="BO4255">
        <v>1.36</v>
      </c>
      <c r="BP4255">
        <v>-0.82</v>
      </c>
      <c r="BQ4255">
        <v>1.0900000000000001</v>
      </c>
      <c r="BR4255">
        <v>-0.85</v>
      </c>
      <c r="BS4255">
        <v>-1.1399999999999999</v>
      </c>
      <c r="BT4255">
        <v>0.53</v>
      </c>
      <c r="BU4255">
        <v>0.69</v>
      </c>
      <c r="BV4255">
        <v>-0.04</v>
      </c>
      <c r="BW4255">
        <v>0.33</v>
      </c>
      <c r="BX4255">
        <v>0.84</v>
      </c>
      <c r="BY4255">
        <v>-0.56000000000000005</v>
      </c>
      <c r="BZ4255">
        <v>1.89</v>
      </c>
      <c r="CA4255">
        <v>0.15</v>
      </c>
      <c r="CB4255">
        <v>0.33</v>
      </c>
      <c r="CC4255">
        <v>-0.52</v>
      </c>
      <c r="CD4255">
        <v>-1.01</v>
      </c>
      <c r="CE4255">
        <v>1.07</v>
      </c>
      <c r="CF4255">
        <v>1.32</v>
      </c>
      <c r="CG4255">
        <v>0</v>
      </c>
      <c r="CH4255">
        <v>-0.5</v>
      </c>
      <c r="CI4255">
        <v>0</v>
      </c>
      <c r="CJ4255">
        <v>-3.4</v>
      </c>
      <c r="CK4255">
        <v>94</v>
      </c>
      <c r="CL4255">
        <v>-1.05</v>
      </c>
      <c r="CM4255">
        <v>93</v>
      </c>
      <c r="CN4255">
        <v>-0.53</v>
      </c>
      <c r="CO4255">
        <v>92</v>
      </c>
      <c r="CP4255">
        <v>1.4</v>
      </c>
      <c r="CQ4255">
        <v>93</v>
      </c>
      <c r="CR4255">
        <v>0</v>
      </c>
      <c r="CS4255">
        <v>0</v>
      </c>
      <c r="CT4255">
        <v>3.2</v>
      </c>
      <c r="CU4255">
        <v>88</v>
      </c>
      <c r="CV4255">
        <v>0.18</v>
      </c>
      <c r="CW4255">
        <v>44</v>
      </c>
      <c r="CX4255" t="s">
        <v>267</v>
      </c>
    </row>
    <row r="4256" spans="1:102" x14ac:dyDescent="0.3">
      <c r="A4256" t="str">
        <f>HYPERLINK("https://webapp.icbf.com/v2/app/bull-search/view/268087126","OPI")</f>
        <v>OPI</v>
      </c>
      <c r="B4256" t="s">
        <v>2882</v>
      </c>
      <c r="C4256" t="s">
        <v>2883</v>
      </c>
      <c r="D4256" s="1">
        <v>35888</v>
      </c>
      <c r="E4256" t="s">
        <v>92</v>
      </c>
      <c r="F4256">
        <v>100</v>
      </c>
      <c r="G4256" t="s">
        <v>93</v>
      </c>
      <c r="H4256">
        <v>-104.75</v>
      </c>
      <c r="I4256">
        <v>93</v>
      </c>
      <c r="J4256">
        <v>43.94</v>
      </c>
      <c r="K4256">
        <v>98</v>
      </c>
      <c r="L4256">
        <v>-132.56</v>
      </c>
      <c r="M4256">
        <v>89</v>
      </c>
      <c r="N4256">
        <v>-11.98</v>
      </c>
      <c r="O4256">
        <v>90</v>
      </c>
      <c r="P4256">
        <v>-4.53</v>
      </c>
      <c r="Q4256">
        <v>97</v>
      </c>
      <c r="R4256">
        <v>4.0199999999999996</v>
      </c>
      <c r="S4256">
        <v>86</v>
      </c>
      <c r="T4256">
        <v>-3.34</v>
      </c>
      <c r="U4256">
        <v>94</v>
      </c>
      <c r="V4256">
        <v>-0.3</v>
      </c>
      <c r="W4256">
        <v>82</v>
      </c>
      <c r="X4256" t="s">
        <v>102</v>
      </c>
      <c r="Y4256" t="s">
        <v>95</v>
      </c>
      <c r="Z4256" t="s">
        <v>96</v>
      </c>
      <c r="AA4256" t="s">
        <v>751</v>
      </c>
      <c r="AB4256" t="s">
        <v>2884</v>
      </c>
      <c r="AC4256">
        <v>176</v>
      </c>
      <c r="AD4256">
        <v>81</v>
      </c>
      <c r="AE4256">
        <v>98</v>
      </c>
      <c r="AF4256">
        <v>317.58</v>
      </c>
      <c r="AG4256">
        <v>3.43</v>
      </c>
      <c r="AH4256">
        <v>11.12</v>
      </c>
      <c r="AI4256">
        <v>-0.15</v>
      </c>
      <c r="AJ4256">
        <v>0.01</v>
      </c>
      <c r="AK4256">
        <v>89</v>
      </c>
      <c r="AL4256">
        <v>240</v>
      </c>
      <c r="AM4256">
        <v>97</v>
      </c>
      <c r="AN4256">
        <v>8.09</v>
      </c>
      <c r="AO4256">
        <v>-2.4700000000000002</v>
      </c>
      <c r="AP4256">
        <v>429</v>
      </c>
      <c r="AQ4256">
        <v>2</v>
      </c>
      <c r="AR4256">
        <v>10.38</v>
      </c>
      <c r="AS4256">
        <v>85</v>
      </c>
      <c r="AT4256">
        <v>4.92</v>
      </c>
      <c r="AU4256">
        <v>94</v>
      </c>
      <c r="AV4256">
        <v>-1.64</v>
      </c>
      <c r="AW4256">
        <v>95</v>
      </c>
      <c r="AX4256">
        <v>0.59</v>
      </c>
      <c r="AY4256">
        <v>91</v>
      </c>
      <c r="AZ4256">
        <v>5.23</v>
      </c>
      <c r="BA4256">
        <v>76</v>
      </c>
      <c r="BB4256">
        <v>4.4800000000000004</v>
      </c>
      <c r="BC4256">
        <v>76</v>
      </c>
      <c r="BD4256">
        <v>0.01</v>
      </c>
      <c r="BE4256">
        <v>-0.01</v>
      </c>
      <c r="BF4256">
        <v>-0.09</v>
      </c>
      <c r="BG4256">
        <v>94</v>
      </c>
      <c r="BH4256">
        <v>-7.0000000000000007E-2</v>
      </c>
      <c r="BI4256">
        <v>-7.13</v>
      </c>
      <c r="BJ4256">
        <v>31</v>
      </c>
      <c r="BK4256">
        <v>20</v>
      </c>
      <c r="BL4256">
        <v>1.2</v>
      </c>
      <c r="BM4256">
        <v>1.8</v>
      </c>
      <c r="BN4256">
        <v>1.72</v>
      </c>
      <c r="BO4256">
        <v>0.28999999999999998</v>
      </c>
      <c r="BP4256">
        <v>-0.74</v>
      </c>
      <c r="BQ4256">
        <v>0.15</v>
      </c>
      <c r="BR4256">
        <v>-0.37</v>
      </c>
      <c r="BS4256">
        <v>-0.74</v>
      </c>
      <c r="BT4256">
        <v>0.42</v>
      </c>
      <c r="BU4256">
        <v>-0.32</v>
      </c>
      <c r="BV4256">
        <v>0.09</v>
      </c>
      <c r="BW4256">
        <v>-1.1100000000000001</v>
      </c>
      <c r="BX4256">
        <v>-0.24</v>
      </c>
      <c r="BY4256">
        <v>-0.94</v>
      </c>
      <c r="BZ4256">
        <v>-2.95</v>
      </c>
      <c r="CA4256">
        <v>-0.37</v>
      </c>
      <c r="CB4256">
        <v>-0.19</v>
      </c>
      <c r="CC4256">
        <v>-0.65</v>
      </c>
      <c r="CD4256">
        <v>-0.01</v>
      </c>
      <c r="CE4256">
        <v>0.46</v>
      </c>
      <c r="CF4256">
        <v>1</v>
      </c>
      <c r="CG4256">
        <v>0</v>
      </c>
      <c r="CH4256">
        <v>-0.78</v>
      </c>
      <c r="CI4256">
        <v>0</v>
      </c>
      <c r="CJ4256">
        <v>-0.6</v>
      </c>
      <c r="CK4256">
        <v>97</v>
      </c>
      <c r="CL4256">
        <v>-0.95</v>
      </c>
      <c r="CM4256">
        <v>97</v>
      </c>
      <c r="CN4256">
        <v>-0.47</v>
      </c>
      <c r="CO4256">
        <v>96</v>
      </c>
      <c r="CP4256">
        <v>4</v>
      </c>
      <c r="CQ4256">
        <v>96</v>
      </c>
      <c r="CR4256">
        <v>0</v>
      </c>
      <c r="CS4256">
        <v>0</v>
      </c>
      <c r="CT4256">
        <v>18.3</v>
      </c>
      <c r="CU4256">
        <v>94</v>
      </c>
      <c r="CV4256">
        <v>0.26</v>
      </c>
      <c r="CW4256">
        <v>45</v>
      </c>
      <c r="CX4256" t="s">
        <v>152</v>
      </c>
    </row>
    <row r="4257" spans="1:102" x14ac:dyDescent="0.3">
      <c r="A4257" t="str">
        <f>HYPERLINK("https://webapp.icbf.com/v2/app/bull-search/view/77854822","MRX")</f>
        <v>MRX</v>
      </c>
      <c r="B4257" t="s">
        <v>175</v>
      </c>
      <c r="C4257" t="s">
        <v>176</v>
      </c>
      <c r="D4257" s="1">
        <v>34735</v>
      </c>
      <c r="E4257" t="s">
        <v>92</v>
      </c>
      <c r="F4257">
        <v>97</v>
      </c>
      <c r="G4257" t="s">
        <v>93</v>
      </c>
      <c r="H4257">
        <v>-104.79</v>
      </c>
      <c r="I4257">
        <v>90</v>
      </c>
      <c r="J4257">
        <v>-6.94</v>
      </c>
      <c r="K4257">
        <v>98</v>
      </c>
      <c r="L4257">
        <v>-73.72</v>
      </c>
      <c r="M4257">
        <v>86</v>
      </c>
      <c r="N4257">
        <v>-31.91</v>
      </c>
      <c r="O4257">
        <v>82</v>
      </c>
      <c r="P4257">
        <v>-3.37</v>
      </c>
      <c r="Q4257">
        <v>91</v>
      </c>
      <c r="R4257">
        <v>-2.29</v>
      </c>
      <c r="S4257">
        <v>84</v>
      </c>
      <c r="T4257">
        <v>18.27</v>
      </c>
      <c r="U4257">
        <v>95</v>
      </c>
      <c r="V4257">
        <v>-4.83</v>
      </c>
      <c r="W4257">
        <v>72</v>
      </c>
      <c r="X4257" t="s">
        <v>94</v>
      </c>
      <c r="Y4257" t="s">
        <v>95</v>
      </c>
      <c r="Z4257" t="s">
        <v>96</v>
      </c>
      <c r="AA4257" t="s">
        <v>105</v>
      </c>
      <c r="AB4257" t="s">
        <v>177</v>
      </c>
      <c r="AC4257">
        <v>196</v>
      </c>
      <c r="AD4257">
        <v>142</v>
      </c>
      <c r="AE4257">
        <v>98</v>
      </c>
      <c r="AF4257">
        <v>-140.77000000000001</v>
      </c>
      <c r="AG4257">
        <v>-1.71</v>
      </c>
      <c r="AH4257">
        <v>-2.73</v>
      </c>
      <c r="AI4257">
        <v>7.0000000000000007E-2</v>
      </c>
      <c r="AJ4257">
        <v>0.04</v>
      </c>
      <c r="AK4257">
        <v>86</v>
      </c>
      <c r="AL4257">
        <v>253</v>
      </c>
      <c r="AM4257">
        <v>175</v>
      </c>
      <c r="AN4257">
        <v>3.97</v>
      </c>
      <c r="AO4257">
        <v>-1.91</v>
      </c>
      <c r="AP4257">
        <v>15</v>
      </c>
      <c r="AQ4257">
        <v>0</v>
      </c>
      <c r="AR4257">
        <v>11.61</v>
      </c>
      <c r="AS4257">
        <v>66</v>
      </c>
      <c r="AT4257">
        <v>4.66</v>
      </c>
      <c r="AU4257">
        <v>84</v>
      </c>
      <c r="AV4257">
        <v>0.81</v>
      </c>
      <c r="AW4257">
        <v>84</v>
      </c>
      <c r="AX4257">
        <v>-0.33</v>
      </c>
      <c r="AY4257">
        <v>90</v>
      </c>
      <c r="AZ4257">
        <v>6.08</v>
      </c>
      <c r="BA4257">
        <v>60</v>
      </c>
      <c r="BB4257">
        <v>4.57</v>
      </c>
      <c r="BC4257">
        <v>78</v>
      </c>
      <c r="BD4257">
        <v>0.04</v>
      </c>
      <c r="BE4257">
        <v>0.04</v>
      </c>
      <c r="BF4257">
        <v>-0.09</v>
      </c>
      <c r="BG4257">
        <v>95</v>
      </c>
      <c r="BH4257">
        <v>-0.04</v>
      </c>
      <c r="BI4257">
        <v>10.96</v>
      </c>
      <c r="BJ4257">
        <v>10</v>
      </c>
      <c r="BK4257">
        <v>10</v>
      </c>
      <c r="BL4257">
        <v>0.25</v>
      </c>
      <c r="BM4257">
        <v>-0.89</v>
      </c>
      <c r="BN4257">
        <v>-0.36</v>
      </c>
      <c r="BO4257">
        <v>0.06</v>
      </c>
      <c r="BP4257">
        <v>-1.75</v>
      </c>
      <c r="BQ4257">
        <v>-0.98</v>
      </c>
      <c r="BR4257">
        <v>-3.72</v>
      </c>
      <c r="BS4257">
        <v>1.46</v>
      </c>
      <c r="BT4257">
        <v>2.98</v>
      </c>
      <c r="BU4257">
        <v>0.12</v>
      </c>
      <c r="BV4257">
        <v>0.89</v>
      </c>
      <c r="BW4257">
        <v>0.23</v>
      </c>
      <c r="BX4257">
        <v>0.37</v>
      </c>
      <c r="BY4257">
        <v>1.17</v>
      </c>
      <c r="BZ4257">
        <v>-0.09</v>
      </c>
      <c r="CA4257">
        <v>0.87</v>
      </c>
      <c r="CB4257">
        <v>0.6</v>
      </c>
      <c r="CC4257">
        <v>0.94</v>
      </c>
      <c r="CD4257">
        <v>-0.98</v>
      </c>
      <c r="CE4257">
        <v>0.25</v>
      </c>
      <c r="CF4257">
        <v>0.05</v>
      </c>
      <c r="CG4257">
        <v>0</v>
      </c>
      <c r="CH4257">
        <v>0.59</v>
      </c>
      <c r="CI4257">
        <v>0</v>
      </c>
      <c r="CJ4257">
        <v>-0.1</v>
      </c>
      <c r="CK4257">
        <v>92</v>
      </c>
      <c r="CL4257">
        <v>-0.42</v>
      </c>
      <c r="CM4257">
        <v>90</v>
      </c>
      <c r="CN4257">
        <v>-0.19</v>
      </c>
      <c r="CO4257">
        <v>89</v>
      </c>
      <c r="CP4257">
        <v>-7.5</v>
      </c>
      <c r="CQ4257">
        <v>95</v>
      </c>
      <c r="CR4257">
        <v>0</v>
      </c>
      <c r="CS4257">
        <v>0</v>
      </c>
      <c r="CT4257">
        <v>-10.9</v>
      </c>
      <c r="CU4257">
        <v>95</v>
      </c>
      <c r="CV4257">
        <v>0.06</v>
      </c>
      <c r="CW4257">
        <v>44</v>
      </c>
      <c r="CX4257" t="s">
        <v>118</v>
      </c>
    </row>
    <row r="4258" spans="1:102" x14ac:dyDescent="0.3">
      <c r="A4258" t="str">
        <f>HYPERLINK("https://webapp.icbf.com/v2/app/bull-search/view/77853838","SHN")</f>
        <v>SHN</v>
      </c>
      <c r="B4258" t="s">
        <v>3724</v>
      </c>
      <c r="C4258" t="s">
        <v>3725</v>
      </c>
      <c r="D4258" s="1">
        <v>33344</v>
      </c>
      <c r="E4258" t="s">
        <v>92</v>
      </c>
      <c r="F4258">
        <v>100</v>
      </c>
      <c r="G4258" t="s">
        <v>93</v>
      </c>
      <c r="H4258">
        <v>-104.94</v>
      </c>
      <c r="I4258">
        <v>92</v>
      </c>
      <c r="J4258">
        <v>-47.56</v>
      </c>
      <c r="K4258">
        <v>98</v>
      </c>
      <c r="L4258">
        <v>7.98</v>
      </c>
      <c r="M4258">
        <v>92</v>
      </c>
      <c r="N4258">
        <v>-45.07</v>
      </c>
      <c r="O4258">
        <v>87</v>
      </c>
      <c r="P4258">
        <v>-3.15</v>
      </c>
      <c r="Q4258">
        <v>92</v>
      </c>
      <c r="R4258">
        <v>-12.41</v>
      </c>
      <c r="S4258">
        <v>85</v>
      </c>
      <c r="T4258">
        <v>-2.16</v>
      </c>
      <c r="U4258">
        <v>90</v>
      </c>
      <c r="V4258">
        <v>-2.57</v>
      </c>
      <c r="W4258">
        <v>76</v>
      </c>
      <c r="X4258" t="s">
        <v>131</v>
      </c>
      <c r="Y4258" t="s">
        <v>95</v>
      </c>
      <c r="Z4258" t="s">
        <v>96</v>
      </c>
      <c r="AA4258" t="s">
        <v>190</v>
      </c>
      <c r="AB4258" t="s">
        <v>3726</v>
      </c>
      <c r="AC4258">
        <v>198</v>
      </c>
      <c r="AD4258">
        <v>129</v>
      </c>
      <c r="AE4258">
        <v>98</v>
      </c>
      <c r="AF4258">
        <v>6.33</v>
      </c>
      <c r="AG4258">
        <v>-5.83</v>
      </c>
      <c r="AH4258">
        <v>-5.93</v>
      </c>
      <c r="AI4258">
        <v>-0.11</v>
      </c>
      <c r="AJ4258">
        <v>-0.11</v>
      </c>
      <c r="AK4258">
        <v>92</v>
      </c>
      <c r="AL4258">
        <v>196</v>
      </c>
      <c r="AM4258">
        <v>107</v>
      </c>
      <c r="AN4258">
        <v>-0.14000000000000001</v>
      </c>
      <c r="AO4258">
        <v>0.5</v>
      </c>
      <c r="AP4258">
        <v>7</v>
      </c>
      <c r="AQ4258">
        <v>0</v>
      </c>
      <c r="AR4258">
        <v>11.47</v>
      </c>
      <c r="AS4258">
        <v>80</v>
      </c>
      <c r="AT4258">
        <v>6.38</v>
      </c>
      <c r="AU4258">
        <v>91</v>
      </c>
      <c r="AV4258">
        <v>-0.27</v>
      </c>
      <c r="AW4258">
        <v>87</v>
      </c>
      <c r="AX4258">
        <v>-0.16</v>
      </c>
      <c r="AY4258">
        <v>89</v>
      </c>
      <c r="AZ4258">
        <v>5.53</v>
      </c>
      <c r="BA4258">
        <v>76</v>
      </c>
      <c r="BB4258">
        <v>4.47</v>
      </c>
      <c r="BC4258">
        <v>82</v>
      </c>
      <c r="BD4258">
        <v>0.02</v>
      </c>
      <c r="BE4258">
        <v>0.08</v>
      </c>
      <c r="BF4258">
        <v>0.1</v>
      </c>
      <c r="BG4258">
        <v>95</v>
      </c>
      <c r="BH4258">
        <v>-0.04</v>
      </c>
      <c r="BI4258">
        <v>3.66</v>
      </c>
      <c r="BJ4258">
        <v>65</v>
      </c>
      <c r="BK4258">
        <v>34</v>
      </c>
      <c r="BL4258">
        <v>1.43</v>
      </c>
      <c r="BM4258">
        <v>0.27</v>
      </c>
      <c r="BN4258">
        <v>1.18</v>
      </c>
      <c r="BO4258">
        <v>0.79</v>
      </c>
      <c r="BP4258">
        <v>-0.24</v>
      </c>
      <c r="BQ4258">
        <v>2</v>
      </c>
      <c r="BR4258">
        <v>3.32</v>
      </c>
      <c r="BS4258">
        <v>-4.41</v>
      </c>
      <c r="BT4258">
        <v>-2.72</v>
      </c>
      <c r="BU4258">
        <v>1.4</v>
      </c>
      <c r="BV4258">
        <v>0.77</v>
      </c>
      <c r="BW4258">
        <v>0.28999999999999998</v>
      </c>
      <c r="BX4258">
        <v>1.38</v>
      </c>
      <c r="BY4258">
        <v>-0.19</v>
      </c>
      <c r="BZ4258">
        <v>-0.23</v>
      </c>
      <c r="CA4258">
        <v>-0.4</v>
      </c>
      <c r="CB4258">
        <v>0.84</v>
      </c>
      <c r="CC4258">
        <v>-2.5</v>
      </c>
      <c r="CD4258">
        <v>0</v>
      </c>
      <c r="CE4258">
        <v>0.98</v>
      </c>
      <c r="CF4258">
        <v>1.93</v>
      </c>
      <c r="CG4258">
        <v>0</v>
      </c>
      <c r="CH4258">
        <v>-0.17</v>
      </c>
      <c r="CI4258">
        <v>0</v>
      </c>
      <c r="CJ4258">
        <v>-0.8</v>
      </c>
      <c r="CK4258">
        <v>92</v>
      </c>
      <c r="CL4258">
        <v>-0.67</v>
      </c>
      <c r="CM4258">
        <v>91</v>
      </c>
      <c r="CN4258">
        <v>-0.44</v>
      </c>
      <c r="CO4258">
        <v>90</v>
      </c>
      <c r="CP4258">
        <v>-1.9</v>
      </c>
      <c r="CQ4258">
        <v>95</v>
      </c>
      <c r="CR4258">
        <v>0</v>
      </c>
      <c r="CS4258">
        <v>0</v>
      </c>
      <c r="CT4258">
        <v>16.7</v>
      </c>
      <c r="CU4258">
        <v>90</v>
      </c>
      <c r="CV4258">
        <v>0.08</v>
      </c>
      <c r="CW4258">
        <v>44</v>
      </c>
      <c r="CX4258" t="s">
        <v>154</v>
      </c>
    </row>
    <row r="4259" spans="1:102" x14ac:dyDescent="0.3">
      <c r="A4259" t="str">
        <f>HYPERLINK("https://webapp.icbf.com/v2/app/bull-search/view/108367901","SOI")</f>
        <v>SOI</v>
      </c>
      <c r="B4259" t="s">
        <v>832</v>
      </c>
      <c r="C4259" t="s">
        <v>833</v>
      </c>
      <c r="D4259" s="1">
        <v>36944</v>
      </c>
      <c r="E4259" t="s">
        <v>92</v>
      </c>
      <c r="F4259">
        <v>100</v>
      </c>
      <c r="G4259" t="s">
        <v>93</v>
      </c>
      <c r="H4259">
        <v>-104.98</v>
      </c>
      <c r="I4259">
        <v>96</v>
      </c>
      <c r="J4259">
        <v>59.63</v>
      </c>
      <c r="K4259">
        <v>99</v>
      </c>
      <c r="L4259">
        <v>-140.26</v>
      </c>
      <c r="M4259">
        <v>91</v>
      </c>
      <c r="N4259">
        <v>5.0599999999999996</v>
      </c>
      <c r="O4259">
        <v>96</v>
      </c>
      <c r="P4259">
        <v>-6.69</v>
      </c>
      <c r="Q4259">
        <v>99</v>
      </c>
      <c r="R4259">
        <v>-12.87</v>
      </c>
      <c r="S4259">
        <v>94</v>
      </c>
      <c r="T4259">
        <v>10.64</v>
      </c>
      <c r="U4259">
        <v>98</v>
      </c>
      <c r="V4259">
        <v>-20.49</v>
      </c>
      <c r="W4259">
        <v>95</v>
      </c>
      <c r="X4259" t="s">
        <v>94</v>
      </c>
      <c r="Y4259" t="s">
        <v>95</v>
      </c>
      <c r="Z4259" t="s">
        <v>96</v>
      </c>
      <c r="AA4259" t="s">
        <v>834</v>
      </c>
      <c r="AB4259" t="s">
        <v>835</v>
      </c>
      <c r="AC4259">
        <v>662</v>
      </c>
      <c r="AD4259">
        <v>418</v>
      </c>
      <c r="AE4259">
        <v>99</v>
      </c>
      <c r="AF4259">
        <v>197.9</v>
      </c>
      <c r="AG4259">
        <v>13.6</v>
      </c>
      <c r="AH4259">
        <v>8.36</v>
      </c>
      <c r="AI4259">
        <v>0.1</v>
      </c>
      <c r="AJ4259">
        <v>0.03</v>
      </c>
      <c r="AK4259">
        <v>91</v>
      </c>
      <c r="AL4259">
        <v>753</v>
      </c>
      <c r="AM4259">
        <v>490</v>
      </c>
      <c r="AN4259">
        <v>5.76</v>
      </c>
      <c r="AO4259">
        <v>-5.45</v>
      </c>
      <c r="AP4259">
        <v>1263</v>
      </c>
      <c r="AQ4259">
        <v>5</v>
      </c>
      <c r="AR4259">
        <v>7.97</v>
      </c>
      <c r="AS4259">
        <v>89</v>
      </c>
      <c r="AT4259">
        <v>3.72</v>
      </c>
      <c r="AU4259">
        <v>97</v>
      </c>
      <c r="AV4259">
        <v>-0.79</v>
      </c>
      <c r="AW4259">
        <v>99</v>
      </c>
      <c r="AX4259">
        <v>-0.77</v>
      </c>
      <c r="AY4259">
        <v>97</v>
      </c>
      <c r="AZ4259">
        <v>5.77</v>
      </c>
      <c r="BA4259">
        <v>89</v>
      </c>
      <c r="BB4259">
        <v>4.5</v>
      </c>
      <c r="BC4259">
        <v>90</v>
      </c>
      <c r="BD4259">
        <v>0.06</v>
      </c>
      <c r="BE4259">
        <v>0.04</v>
      </c>
      <c r="BF4259">
        <v>0.12</v>
      </c>
      <c r="BG4259">
        <v>98</v>
      </c>
      <c r="BH4259">
        <v>-0.51</v>
      </c>
      <c r="BI4259">
        <v>7.1</v>
      </c>
      <c r="BJ4259">
        <v>32</v>
      </c>
      <c r="BK4259">
        <v>28</v>
      </c>
      <c r="BL4259">
        <v>0.68</v>
      </c>
      <c r="BM4259">
        <v>0.14000000000000001</v>
      </c>
      <c r="BN4259">
        <v>1.45</v>
      </c>
      <c r="BO4259">
        <v>0.95</v>
      </c>
      <c r="BP4259">
        <v>-1.77</v>
      </c>
      <c r="BQ4259">
        <v>0.97</v>
      </c>
      <c r="BR4259">
        <v>0.02</v>
      </c>
      <c r="BS4259">
        <v>-0.53</v>
      </c>
      <c r="BT4259">
        <v>0.23</v>
      </c>
      <c r="BU4259">
        <v>-0.77</v>
      </c>
      <c r="BV4259">
        <v>-0.46</v>
      </c>
      <c r="BW4259">
        <v>0.02</v>
      </c>
      <c r="BX4259">
        <v>-0.62</v>
      </c>
      <c r="BY4259">
        <v>0.71</v>
      </c>
      <c r="BZ4259">
        <v>0.52</v>
      </c>
      <c r="CA4259">
        <v>-0.13</v>
      </c>
      <c r="CB4259">
        <v>-0.08</v>
      </c>
      <c r="CC4259">
        <v>-0.27</v>
      </c>
      <c r="CD4259">
        <v>-1.19</v>
      </c>
      <c r="CE4259">
        <v>0.61</v>
      </c>
      <c r="CF4259">
        <v>-0.17</v>
      </c>
      <c r="CG4259">
        <v>0</v>
      </c>
      <c r="CH4259">
        <v>1</v>
      </c>
      <c r="CI4259">
        <v>0</v>
      </c>
      <c r="CJ4259">
        <v>-0.1</v>
      </c>
      <c r="CK4259">
        <v>99</v>
      </c>
      <c r="CL4259">
        <v>-1.07</v>
      </c>
      <c r="CM4259">
        <v>99</v>
      </c>
      <c r="CN4259">
        <v>-0.45</v>
      </c>
      <c r="CO4259">
        <v>99</v>
      </c>
      <c r="CP4259">
        <v>-5.2</v>
      </c>
      <c r="CQ4259">
        <v>98</v>
      </c>
      <c r="CR4259">
        <v>0</v>
      </c>
      <c r="CS4259">
        <v>0</v>
      </c>
      <c r="CT4259">
        <v>-0.6</v>
      </c>
      <c r="CU4259">
        <v>98</v>
      </c>
      <c r="CV4259">
        <v>0.27</v>
      </c>
      <c r="CW4259">
        <v>46</v>
      </c>
      <c r="CX4259" t="s">
        <v>836</v>
      </c>
    </row>
    <row r="4260" spans="1:102" x14ac:dyDescent="0.3">
      <c r="A4260" t="str">
        <f>HYPERLINK("https://webapp.icbf.com/v2/app/bull-search/view/122808935","FHT")</f>
        <v>FHT</v>
      </c>
      <c r="B4260" t="s">
        <v>4636</v>
      </c>
      <c r="C4260" t="s">
        <v>4637</v>
      </c>
      <c r="D4260" s="1">
        <v>35512</v>
      </c>
      <c r="E4260" t="s">
        <v>92</v>
      </c>
      <c r="F4260">
        <v>100</v>
      </c>
      <c r="G4260" t="s">
        <v>93</v>
      </c>
      <c r="H4260">
        <v>-105.22</v>
      </c>
      <c r="I4260">
        <v>76</v>
      </c>
      <c r="J4260">
        <v>36.549999999999997</v>
      </c>
      <c r="K4260">
        <v>94</v>
      </c>
      <c r="L4260">
        <v>-129.49</v>
      </c>
      <c r="M4260">
        <v>62</v>
      </c>
      <c r="N4260">
        <v>-20.22</v>
      </c>
      <c r="O4260">
        <v>64</v>
      </c>
      <c r="P4260">
        <v>0.28000000000000003</v>
      </c>
      <c r="Q4260">
        <v>84</v>
      </c>
      <c r="R4260">
        <v>-11.73</v>
      </c>
      <c r="S4260">
        <v>65</v>
      </c>
      <c r="T4260">
        <v>11.98</v>
      </c>
      <c r="U4260">
        <v>90</v>
      </c>
      <c r="V4260">
        <v>7.41</v>
      </c>
      <c r="W4260">
        <v>29</v>
      </c>
      <c r="X4260" t="s">
        <v>94</v>
      </c>
      <c r="Y4260" t="s">
        <v>95</v>
      </c>
      <c r="Z4260" t="s">
        <v>96</v>
      </c>
      <c r="AA4260" t="s">
        <v>3553</v>
      </c>
      <c r="AB4260" t="s">
        <v>4638</v>
      </c>
      <c r="AC4260">
        <v>78</v>
      </c>
      <c r="AD4260">
        <v>60</v>
      </c>
      <c r="AE4260">
        <v>94</v>
      </c>
      <c r="AF4260">
        <v>-135.85</v>
      </c>
      <c r="AG4260">
        <v>4.91</v>
      </c>
      <c r="AH4260">
        <v>2.4</v>
      </c>
      <c r="AI4260">
        <v>0.17</v>
      </c>
      <c r="AJ4260">
        <v>0.12</v>
      </c>
      <c r="AK4260">
        <v>62</v>
      </c>
      <c r="AL4260">
        <v>81</v>
      </c>
      <c r="AM4260">
        <v>62</v>
      </c>
      <c r="AN4260">
        <v>7.57</v>
      </c>
      <c r="AO4260">
        <v>-2.75</v>
      </c>
      <c r="AP4260">
        <v>5</v>
      </c>
      <c r="AQ4260">
        <v>6</v>
      </c>
      <c r="AR4260">
        <v>10.24</v>
      </c>
      <c r="AS4260">
        <v>45</v>
      </c>
      <c r="AT4260">
        <v>4.88</v>
      </c>
      <c r="AU4260">
        <v>62</v>
      </c>
      <c r="AV4260">
        <v>-0.27</v>
      </c>
      <c r="AW4260">
        <v>69</v>
      </c>
      <c r="AX4260">
        <v>0.18</v>
      </c>
      <c r="AY4260">
        <v>76</v>
      </c>
      <c r="AZ4260">
        <v>5.23</v>
      </c>
      <c r="BA4260">
        <v>49</v>
      </c>
      <c r="BB4260">
        <v>4.37</v>
      </c>
      <c r="BC4260">
        <v>56</v>
      </c>
      <c r="BD4260">
        <v>0.04</v>
      </c>
      <c r="BE4260">
        <v>7.0000000000000007E-2</v>
      </c>
      <c r="BF4260">
        <v>7.0000000000000007E-2</v>
      </c>
      <c r="BG4260">
        <v>81</v>
      </c>
      <c r="BH4260">
        <v>0.17</v>
      </c>
      <c r="BI4260">
        <v>-4.24</v>
      </c>
      <c r="BJ4260">
        <v>22</v>
      </c>
      <c r="BK4260">
        <v>21</v>
      </c>
      <c r="BL4260">
        <v>1.73</v>
      </c>
      <c r="BM4260">
        <v>-0.63</v>
      </c>
      <c r="BN4260">
        <v>0.38</v>
      </c>
      <c r="BO4260">
        <v>0.85</v>
      </c>
      <c r="BP4260">
        <v>0.51</v>
      </c>
      <c r="BQ4260">
        <v>-1.1000000000000001</v>
      </c>
      <c r="BR4260">
        <v>0.37</v>
      </c>
      <c r="BS4260">
        <v>-1.28</v>
      </c>
      <c r="BT4260">
        <v>1.3</v>
      </c>
      <c r="BU4260">
        <v>-0.27</v>
      </c>
      <c r="BV4260">
        <v>0.04</v>
      </c>
      <c r="BW4260">
        <v>0.08</v>
      </c>
      <c r="BX4260">
        <v>1.47</v>
      </c>
      <c r="BY4260">
        <v>0.59</v>
      </c>
      <c r="BZ4260">
        <v>-1.28</v>
      </c>
      <c r="CA4260">
        <v>-0.01</v>
      </c>
      <c r="CB4260">
        <v>0.27</v>
      </c>
      <c r="CC4260">
        <v>-0.72</v>
      </c>
      <c r="CD4260">
        <v>-0.9</v>
      </c>
      <c r="CE4260">
        <v>0.49</v>
      </c>
      <c r="CF4260">
        <v>0.33</v>
      </c>
      <c r="CG4260">
        <v>0</v>
      </c>
      <c r="CH4260">
        <v>1.22</v>
      </c>
      <c r="CI4260">
        <v>0</v>
      </c>
      <c r="CJ4260">
        <v>1.2</v>
      </c>
      <c r="CK4260">
        <v>85</v>
      </c>
      <c r="CL4260">
        <v>-0.51</v>
      </c>
      <c r="CM4260">
        <v>82</v>
      </c>
      <c r="CN4260">
        <v>-0.41</v>
      </c>
      <c r="CO4260">
        <v>79</v>
      </c>
      <c r="CP4260">
        <v>-6.1</v>
      </c>
      <c r="CQ4260">
        <v>88</v>
      </c>
      <c r="CR4260">
        <v>0</v>
      </c>
      <c r="CS4260">
        <v>0</v>
      </c>
      <c r="CT4260">
        <v>-2.4</v>
      </c>
      <c r="CU4260">
        <v>90</v>
      </c>
      <c r="CV4260">
        <v>0.13</v>
      </c>
      <c r="CW4260">
        <v>24</v>
      </c>
      <c r="CX4260" t="s">
        <v>485</v>
      </c>
    </row>
    <row r="4261" spans="1:102" x14ac:dyDescent="0.3">
      <c r="A4261" t="str">
        <f>HYPERLINK("https://webapp.icbf.com/v2/app/bull-search/view/77854438","RBT")</f>
        <v>RBT</v>
      </c>
      <c r="B4261" t="s">
        <v>8050</v>
      </c>
      <c r="C4261" t="s">
        <v>834</v>
      </c>
      <c r="D4261" s="1">
        <v>34772</v>
      </c>
      <c r="E4261" t="s">
        <v>92</v>
      </c>
      <c r="F4261">
        <v>100</v>
      </c>
      <c r="G4261" t="s">
        <v>93</v>
      </c>
      <c r="H4261">
        <v>-105.24</v>
      </c>
      <c r="I4261">
        <v>97</v>
      </c>
      <c r="J4261">
        <v>39.479999999999997</v>
      </c>
      <c r="K4261">
        <v>99</v>
      </c>
      <c r="L4261">
        <v>-124.72</v>
      </c>
      <c r="M4261">
        <v>95</v>
      </c>
      <c r="N4261">
        <v>12.27</v>
      </c>
      <c r="O4261">
        <v>97</v>
      </c>
      <c r="P4261">
        <v>0.7</v>
      </c>
      <c r="Q4261">
        <v>99</v>
      </c>
      <c r="R4261">
        <v>-20.05</v>
      </c>
      <c r="S4261">
        <v>92</v>
      </c>
      <c r="T4261">
        <v>0.57999999999999996</v>
      </c>
      <c r="U4261">
        <v>96</v>
      </c>
      <c r="V4261">
        <v>-13.5</v>
      </c>
      <c r="W4261">
        <v>90</v>
      </c>
      <c r="X4261" t="s">
        <v>251</v>
      </c>
      <c r="Y4261" t="s">
        <v>95</v>
      </c>
      <c r="Z4261" t="s">
        <v>96</v>
      </c>
      <c r="AA4261" t="s">
        <v>1106</v>
      </c>
      <c r="AB4261" t="s">
        <v>8051</v>
      </c>
      <c r="AC4261">
        <v>530</v>
      </c>
      <c r="AD4261">
        <v>202</v>
      </c>
      <c r="AE4261">
        <v>99</v>
      </c>
      <c r="AF4261">
        <v>246.56</v>
      </c>
      <c r="AG4261">
        <v>6.95</v>
      </c>
      <c r="AH4261">
        <v>8.0299999999999994</v>
      </c>
      <c r="AI4261">
        <v>-0.04</v>
      </c>
      <c r="AJ4261">
        <v>-0.01</v>
      </c>
      <c r="AK4261">
        <v>95</v>
      </c>
      <c r="AL4261">
        <v>498</v>
      </c>
      <c r="AM4261">
        <v>195</v>
      </c>
      <c r="AN4261">
        <v>5.71</v>
      </c>
      <c r="AO4261">
        <v>-4.25</v>
      </c>
      <c r="AP4261">
        <v>776</v>
      </c>
      <c r="AQ4261">
        <v>4</v>
      </c>
      <c r="AR4261">
        <v>6.86</v>
      </c>
      <c r="AS4261">
        <v>96</v>
      </c>
      <c r="AT4261">
        <v>2.97</v>
      </c>
      <c r="AU4261">
        <v>99</v>
      </c>
      <c r="AV4261">
        <v>-0.83</v>
      </c>
      <c r="AW4261">
        <v>98</v>
      </c>
      <c r="AX4261">
        <v>0.09</v>
      </c>
      <c r="AY4261">
        <v>96</v>
      </c>
      <c r="AZ4261">
        <v>5.86</v>
      </c>
      <c r="BA4261">
        <v>90</v>
      </c>
      <c r="BB4261">
        <v>4.62</v>
      </c>
      <c r="BC4261">
        <v>91</v>
      </c>
      <c r="BD4261">
        <v>0.12</v>
      </c>
      <c r="BE4261">
        <v>0.09</v>
      </c>
      <c r="BF4261">
        <v>0.09</v>
      </c>
      <c r="BG4261">
        <v>98</v>
      </c>
      <c r="BH4261">
        <v>-0.2</v>
      </c>
      <c r="BI4261">
        <v>20.399999999999999</v>
      </c>
      <c r="BJ4261">
        <v>61</v>
      </c>
      <c r="BK4261">
        <v>37</v>
      </c>
      <c r="BL4261">
        <v>1.27</v>
      </c>
      <c r="BM4261">
        <v>0.22</v>
      </c>
      <c r="BN4261">
        <v>1.1000000000000001</v>
      </c>
      <c r="BO4261">
        <v>0.75</v>
      </c>
      <c r="BP4261">
        <v>-3.11</v>
      </c>
      <c r="BQ4261">
        <v>-0.54</v>
      </c>
      <c r="BR4261">
        <v>1.06</v>
      </c>
      <c r="BS4261">
        <v>-1.55</v>
      </c>
      <c r="BT4261">
        <v>-0.43</v>
      </c>
      <c r="BU4261">
        <v>-0.43</v>
      </c>
      <c r="BV4261">
        <v>-0.54</v>
      </c>
      <c r="BW4261">
        <v>-0.79</v>
      </c>
      <c r="BX4261">
        <v>-0.26</v>
      </c>
      <c r="BY4261">
        <v>-0.66</v>
      </c>
      <c r="BZ4261">
        <v>1.37</v>
      </c>
      <c r="CA4261">
        <v>-1.1200000000000001</v>
      </c>
      <c r="CB4261">
        <v>-0.88</v>
      </c>
      <c r="CC4261">
        <v>-0.93</v>
      </c>
      <c r="CD4261">
        <v>-0.28999999999999998</v>
      </c>
      <c r="CE4261">
        <v>0.54</v>
      </c>
      <c r="CF4261">
        <v>0.26</v>
      </c>
      <c r="CG4261">
        <v>0</v>
      </c>
      <c r="CH4261">
        <v>-0.73</v>
      </c>
      <c r="CI4261">
        <v>0</v>
      </c>
      <c r="CJ4261">
        <v>4.4000000000000004</v>
      </c>
      <c r="CK4261">
        <v>99</v>
      </c>
      <c r="CL4261">
        <v>-0.93</v>
      </c>
      <c r="CM4261">
        <v>98</v>
      </c>
      <c r="CN4261">
        <v>-0.31</v>
      </c>
      <c r="CO4261">
        <v>98</v>
      </c>
      <c r="CP4261">
        <v>4</v>
      </c>
      <c r="CQ4261">
        <v>98</v>
      </c>
      <c r="CR4261">
        <v>0</v>
      </c>
      <c r="CS4261">
        <v>0</v>
      </c>
      <c r="CT4261">
        <v>13</v>
      </c>
      <c r="CU4261">
        <v>96</v>
      </c>
      <c r="CV4261">
        <v>0.28999999999999998</v>
      </c>
      <c r="CW4261">
        <v>46</v>
      </c>
      <c r="CX4261" t="s">
        <v>118</v>
      </c>
    </row>
    <row r="4262" spans="1:102" x14ac:dyDescent="0.3">
      <c r="A4262" t="str">
        <f>HYPERLINK("https://webapp.icbf.com/v2/app/bull-search/view/77855275","MMW")</f>
        <v>MMW</v>
      </c>
      <c r="B4262" t="s">
        <v>7776</v>
      </c>
      <c r="C4262" t="s">
        <v>7777</v>
      </c>
      <c r="D4262" s="1">
        <v>34496</v>
      </c>
      <c r="E4262" t="s">
        <v>92</v>
      </c>
      <c r="F4262">
        <v>100</v>
      </c>
      <c r="G4262" t="s">
        <v>93</v>
      </c>
      <c r="H4262">
        <v>-105.27</v>
      </c>
      <c r="I4262">
        <v>90</v>
      </c>
      <c r="J4262">
        <v>-8.7100000000000009</v>
      </c>
      <c r="K4262">
        <v>96</v>
      </c>
      <c r="L4262">
        <v>-122.47</v>
      </c>
      <c r="M4262">
        <v>89</v>
      </c>
      <c r="N4262">
        <v>31.71</v>
      </c>
      <c r="O4262">
        <v>83</v>
      </c>
      <c r="P4262">
        <v>-13.68</v>
      </c>
      <c r="Q4262">
        <v>89</v>
      </c>
      <c r="R4262">
        <v>-15.56</v>
      </c>
      <c r="S4262">
        <v>80</v>
      </c>
      <c r="T4262">
        <v>25.81</v>
      </c>
      <c r="U4262">
        <v>88</v>
      </c>
      <c r="V4262">
        <v>-2.37</v>
      </c>
      <c r="W4262">
        <v>71</v>
      </c>
      <c r="X4262" t="s">
        <v>131</v>
      </c>
      <c r="Y4262" t="s">
        <v>95</v>
      </c>
      <c r="Z4262" t="s">
        <v>96</v>
      </c>
      <c r="AA4262" t="s">
        <v>3763</v>
      </c>
      <c r="AB4262" t="s">
        <v>7778</v>
      </c>
      <c r="AC4262">
        <v>71</v>
      </c>
      <c r="AD4262">
        <v>42</v>
      </c>
      <c r="AE4262">
        <v>96</v>
      </c>
      <c r="AF4262">
        <v>329.76</v>
      </c>
      <c r="AG4262">
        <v>-1.03</v>
      </c>
      <c r="AH4262">
        <v>3.93</v>
      </c>
      <c r="AI4262">
        <v>-0.23</v>
      </c>
      <c r="AJ4262">
        <v>-0.12</v>
      </c>
      <c r="AK4262">
        <v>89</v>
      </c>
      <c r="AL4262">
        <v>73</v>
      </c>
      <c r="AM4262">
        <v>40</v>
      </c>
      <c r="AN4262">
        <v>7.21</v>
      </c>
      <c r="AO4262">
        <v>-2.5499999999999998</v>
      </c>
      <c r="AP4262">
        <v>45</v>
      </c>
      <c r="AQ4262">
        <v>0</v>
      </c>
      <c r="AR4262">
        <v>5.9</v>
      </c>
      <c r="AS4262">
        <v>74</v>
      </c>
      <c r="AT4262">
        <v>2.84</v>
      </c>
      <c r="AU4262">
        <v>89</v>
      </c>
      <c r="AV4262">
        <v>-2.4300000000000002</v>
      </c>
      <c r="AW4262">
        <v>88</v>
      </c>
      <c r="AX4262">
        <v>-0.55000000000000004</v>
      </c>
      <c r="AY4262">
        <v>80</v>
      </c>
      <c r="AZ4262">
        <v>5.29</v>
      </c>
      <c r="BA4262">
        <v>63</v>
      </c>
      <c r="BB4262">
        <v>4.41</v>
      </c>
      <c r="BC4262">
        <v>67</v>
      </c>
      <c r="BD4262">
        <v>7.0000000000000007E-2</v>
      </c>
      <c r="BE4262">
        <v>0.09</v>
      </c>
      <c r="BF4262">
        <v>7.0000000000000007E-2</v>
      </c>
      <c r="BG4262">
        <v>91</v>
      </c>
      <c r="BH4262">
        <v>-0.03</v>
      </c>
      <c r="BI4262">
        <v>4.16</v>
      </c>
      <c r="BJ4262">
        <v>5</v>
      </c>
      <c r="BK4262">
        <v>4</v>
      </c>
      <c r="BL4262">
        <v>1.08</v>
      </c>
      <c r="BM4262">
        <v>-2.87</v>
      </c>
      <c r="BN4262">
        <v>0.6</v>
      </c>
      <c r="BO4262">
        <v>1.84</v>
      </c>
      <c r="BP4262">
        <v>-1.43</v>
      </c>
      <c r="BQ4262">
        <v>0.21</v>
      </c>
      <c r="BR4262">
        <v>-0.51</v>
      </c>
      <c r="BS4262">
        <v>0.35</v>
      </c>
      <c r="BT4262">
        <v>1.1299999999999999</v>
      </c>
      <c r="BU4262">
        <v>-0.53</v>
      </c>
      <c r="BV4262">
        <v>0.88</v>
      </c>
      <c r="BW4262">
        <v>0.28999999999999998</v>
      </c>
      <c r="BX4262">
        <v>0.17</v>
      </c>
      <c r="BY4262">
        <v>-0.65</v>
      </c>
      <c r="BZ4262">
        <v>1.58</v>
      </c>
      <c r="CA4262">
        <v>0.65</v>
      </c>
      <c r="CB4262">
        <v>0.44</v>
      </c>
      <c r="CC4262">
        <v>0.77</v>
      </c>
      <c r="CD4262">
        <v>-2.86</v>
      </c>
      <c r="CE4262">
        <v>1.1100000000000001</v>
      </c>
      <c r="CF4262">
        <v>1.31</v>
      </c>
      <c r="CG4262">
        <v>0</v>
      </c>
      <c r="CH4262">
        <v>-0.62</v>
      </c>
      <c r="CI4262">
        <v>0</v>
      </c>
      <c r="CJ4262">
        <v>-6.9</v>
      </c>
      <c r="CK4262">
        <v>90</v>
      </c>
      <c r="CL4262">
        <v>-0.81</v>
      </c>
      <c r="CM4262">
        <v>87</v>
      </c>
      <c r="CN4262">
        <v>-0.5</v>
      </c>
      <c r="CO4262">
        <v>86</v>
      </c>
      <c r="CP4262">
        <v>-11</v>
      </c>
      <c r="CQ4262">
        <v>89</v>
      </c>
      <c r="CR4262">
        <v>0</v>
      </c>
      <c r="CS4262">
        <v>0</v>
      </c>
      <c r="CT4262">
        <v>-21.1</v>
      </c>
      <c r="CU4262">
        <v>88</v>
      </c>
      <c r="CV4262">
        <v>0.04</v>
      </c>
      <c r="CW4262">
        <v>44</v>
      </c>
      <c r="CX4262" t="s">
        <v>132</v>
      </c>
    </row>
    <row r="4263" spans="1:102" x14ac:dyDescent="0.3">
      <c r="A4263" t="str">
        <f>HYPERLINK("https://webapp.icbf.com/v2/app/bull-search/view/659984652","S1186")</f>
        <v>S1186</v>
      </c>
      <c r="B4263" t="s">
        <v>9121</v>
      </c>
      <c r="C4263" t="s">
        <v>9122</v>
      </c>
      <c r="D4263" s="1">
        <v>38419</v>
      </c>
      <c r="E4263" t="s">
        <v>92</v>
      </c>
      <c r="F4263">
        <v>100</v>
      </c>
      <c r="G4263" t="s">
        <v>109</v>
      </c>
      <c r="H4263">
        <v>-105.28</v>
      </c>
      <c r="I4263">
        <v>66</v>
      </c>
      <c r="J4263">
        <v>-22.27</v>
      </c>
      <c r="K4263">
        <v>78</v>
      </c>
      <c r="L4263">
        <v>-100.4</v>
      </c>
      <c r="M4263">
        <v>77</v>
      </c>
      <c r="N4263">
        <v>26.64</v>
      </c>
      <c r="O4263">
        <v>46</v>
      </c>
      <c r="P4263">
        <v>-5.26</v>
      </c>
      <c r="Q4263">
        <v>50</v>
      </c>
      <c r="R4263">
        <v>-4.7</v>
      </c>
      <c r="S4263">
        <v>60</v>
      </c>
      <c r="T4263">
        <v>4.6500000000000004</v>
      </c>
      <c r="U4263">
        <v>39</v>
      </c>
      <c r="V4263">
        <v>-3.94</v>
      </c>
      <c r="W4263">
        <v>24</v>
      </c>
      <c r="X4263" t="s">
        <v>94</v>
      </c>
      <c r="Y4263" t="s">
        <v>336</v>
      </c>
      <c r="Z4263" t="s">
        <v>96</v>
      </c>
      <c r="AA4263" t="s">
        <v>1566</v>
      </c>
      <c r="AB4263" t="s">
        <v>9123</v>
      </c>
      <c r="AC4263">
        <v>0</v>
      </c>
      <c r="AD4263">
        <v>0</v>
      </c>
      <c r="AE4263">
        <v>78</v>
      </c>
      <c r="AF4263">
        <v>231.37</v>
      </c>
      <c r="AG4263">
        <v>-6.32</v>
      </c>
      <c r="AH4263">
        <v>1.99</v>
      </c>
      <c r="AI4263">
        <v>-0.24</v>
      </c>
      <c r="AJ4263">
        <v>-0.09</v>
      </c>
      <c r="AK4263">
        <v>77</v>
      </c>
      <c r="AL4263">
        <v>0</v>
      </c>
      <c r="AM4263">
        <v>0</v>
      </c>
      <c r="AN4263">
        <v>4.42</v>
      </c>
      <c r="AO4263">
        <v>-3.6</v>
      </c>
      <c r="AP4263">
        <v>6</v>
      </c>
      <c r="AQ4263">
        <v>0</v>
      </c>
      <c r="AR4263">
        <v>4.8099999999999996</v>
      </c>
      <c r="AS4263">
        <v>29</v>
      </c>
      <c r="AT4263">
        <v>2.5299999999999998</v>
      </c>
      <c r="AU4263">
        <v>86</v>
      </c>
      <c r="AV4263">
        <v>-2.1800000000000002</v>
      </c>
      <c r="AW4263">
        <v>35</v>
      </c>
      <c r="AX4263">
        <v>-0.76</v>
      </c>
      <c r="AY4263">
        <v>33</v>
      </c>
      <c r="AZ4263">
        <v>7.46</v>
      </c>
      <c r="BA4263">
        <v>25</v>
      </c>
      <c r="BB4263">
        <v>5.45</v>
      </c>
      <c r="BC4263">
        <v>27</v>
      </c>
      <c r="BD4263">
        <v>0</v>
      </c>
      <c r="BE4263">
        <v>0.02</v>
      </c>
      <c r="BF4263">
        <v>7.0000000000000007E-2</v>
      </c>
      <c r="BG4263">
        <v>86</v>
      </c>
      <c r="BH4263">
        <v>-0.1</v>
      </c>
      <c r="BI4263">
        <v>1.1499999999999999</v>
      </c>
      <c r="BJ4263">
        <v>3</v>
      </c>
      <c r="BK4263">
        <v>2</v>
      </c>
      <c r="BL4263">
        <v>1.18</v>
      </c>
      <c r="BM4263">
        <v>-2.31</v>
      </c>
      <c r="BN4263">
        <v>-1.29</v>
      </c>
      <c r="BO4263">
        <v>0.76</v>
      </c>
      <c r="BP4263">
        <v>2.76</v>
      </c>
      <c r="BQ4263">
        <v>0.88</v>
      </c>
      <c r="BR4263">
        <v>-2</v>
      </c>
      <c r="BS4263">
        <v>-0.13</v>
      </c>
      <c r="BT4263">
        <v>0.85</v>
      </c>
      <c r="BU4263">
        <v>1.31</v>
      </c>
      <c r="BV4263">
        <v>1.3</v>
      </c>
      <c r="BW4263">
        <v>1.36</v>
      </c>
      <c r="BX4263">
        <v>1.86</v>
      </c>
      <c r="BY4263">
        <v>2.08</v>
      </c>
      <c r="BZ4263">
        <v>-2.5299999999999998</v>
      </c>
      <c r="CA4263">
        <v>0.82</v>
      </c>
      <c r="CB4263">
        <v>0.74</v>
      </c>
      <c r="CC4263">
        <v>0.48</v>
      </c>
      <c r="CD4263">
        <v>-1.35</v>
      </c>
      <c r="CE4263">
        <v>1</v>
      </c>
      <c r="CF4263">
        <v>0.13</v>
      </c>
      <c r="CG4263">
        <v>0</v>
      </c>
      <c r="CH4263">
        <v>1.9</v>
      </c>
      <c r="CI4263">
        <v>0</v>
      </c>
      <c r="CJ4263">
        <v>0.1</v>
      </c>
      <c r="CK4263">
        <v>53</v>
      </c>
      <c r="CL4263">
        <v>-0.97</v>
      </c>
      <c r="CM4263">
        <v>47</v>
      </c>
      <c r="CN4263">
        <v>-0.4</v>
      </c>
      <c r="CO4263">
        <v>44</v>
      </c>
      <c r="CP4263">
        <v>-0.5</v>
      </c>
      <c r="CQ4263">
        <v>48</v>
      </c>
      <c r="CR4263">
        <v>0</v>
      </c>
      <c r="CS4263">
        <v>0</v>
      </c>
      <c r="CT4263">
        <v>7.5</v>
      </c>
      <c r="CU4263">
        <v>39</v>
      </c>
      <c r="CV4263">
        <v>0.31</v>
      </c>
      <c r="CW4263">
        <v>14</v>
      </c>
      <c r="CX4263" t="s">
        <v>1384</v>
      </c>
    </row>
    <row r="4264" spans="1:102" x14ac:dyDescent="0.3">
      <c r="A4264" t="str">
        <f>HYPERLINK("https://webapp.icbf.com/v2/app/bull-search/view/444525385","BFY")</f>
        <v>BFY</v>
      </c>
      <c r="B4264" t="s">
        <v>11950</v>
      </c>
      <c r="C4264" t="s">
        <v>11951</v>
      </c>
      <c r="D4264" s="1">
        <v>37099</v>
      </c>
      <c r="E4264" t="s">
        <v>92</v>
      </c>
      <c r="F4264">
        <v>100</v>
      </c>
      <c r="G4264" t="s">
        <v>93</v>
      </c>
      <c r="H4264">
        <v>-105.48</v>
      </c>
      <c r="I4264">
        <v>95</v>
      </c>
      <c r="J4264">
        <v>18.12</v>
      </c>
      <c r="K4264">
        <v>98</v>
      </c>
      <c r="L4264">
        <v>-132.32</v>
      </c>
      <c r="M4264">
        <v>94</v>
      </c>
      <c r="N4264">
        <v>-3.17</v>
      </c>
      <c r="O4264">
        <v>93</v>
      </c>
      <c r="P4264">
        <v>-15.19</v>
      </c>
      <c r="Q4264">
        <v>97</v>
      </c>
      <c r="R4264">
        <v>12.05</v>
      </c>
      <c r="S4264">
        <v>88</v>
      </c>
      <c r="T4264">
        <v>11.24</v>
      </c>
      <c r="U4264">
        <v>92</v>
      </c>
      <c r="V4264">
        <v>3.79</v>
      </c>
      <c r="W4264">
        <v>88</v>
      </c>
      <c r="X4264" t="s">
        <v>288</v>
      </c>
      <c r="Y4264" t="s">
        <v>1208</v>
      </c>
      <c r="Z4264" t="s">
        <v>96</v>
      </c>
      <c r="AA4264" t="s">
        <v>3001</v>
      </c>
      <c r="AB4264" t="s">
        <v>4839</v>
      </c>
      <c r="AC4264">
        <v>287</v>
      </c>
      <c r="AD4264">
        <v>107</v>
      </c>
      <c r="AE4264">
        <v>98</v>
      </c>
      <c r="AF4264">
        <v>313.08999999999997</v>
      </c>
      <c r="AG4264">
        <v>7.7</v>
      </c>
      <c r="AH4264">
        <v>5.15</v>
      </c>
      <c r="AI4264">
        <v>-7.0000000000000007E-2</v>
      </c>
      <c r="AJ4264">
        <v>-0.09</v>
      </c>
      <c r="AK4264">
        <v>94</v>
      </c>
      <c r="AL4264">
        <v>273</v>
      </c>
      <c r="AM4264">
        <v>104</v>
      </c>
      <c r="AN4264">
        <v>7.37</v>
      </c>
      <c r="AO4264">
        <v>-3.18</v>
      </c>
      <c r="AP4264">
        <v>615</v>
      </c>
      <c r="AQ4264">
        <v>3</v>
      </c>
      <c r="AR4264">
        <v>7.18</v>
      </c>
      <c r="AS4264">
        <v>92</v>
      </c>
      <c r="AT4264">
        <v>3.8</v>
      </c>
      <c r="AU4264">
        <v>94</v>
      </c>
      <c r="AV4264">
        <v>-1.22</v>
      </c>
      <c r="AW4264">
        <v>97</v>
      </c>
      <c r="AX4264">
        <v>-0.77</v>
      </c>
      <c r="AY4264">
        <v>92</v>
      </c>
      <c r="AZ4264">
        <v>7.31</v>
      </c>
      <c r="BA4264">
        <v>82</v>
      </c>
      <c r="BB4264">
        <v>6.52</v>
      </c>
      <c r="BC4264">
        <v>79</v>
      </c>
      <c r="BD4264">
        <v>-0.06</v>
      </c>
      <c r="BE4264">
        <v>-0.03</v>
      </c>
      <c r="BF4264">
        <v>-0.12</v>
      </c>
      <c r="BG4264">
        <v>95</v>
      </c>
      <c r="BH4264">
        <v>-0.15</v>
      </c>
      <c r="BI4264">
        <v>-29.57</v>
      </c>
      <c r="BJ4264">
        <v>121</v>
      </c>
      <c r="BK4264">
        <v>47</v>
      </c>
      <c r="BL4264">
        <v>0.4</v>
      </c>
      <c r="BM4264">
        <v>-1.47</v>
      </c>
      <c r="BN4264">
        <v>1.72</v>
      </c>
      <c r="BO4264">
        <v>1.94</v>
      </c>
      <c r="BP4264">
        <v>1.1599999999999999</v>
      </c>
      <c r="BQ4264">
        <v>-0.46</v>
      </c>
      <c r="BR4264">
        <v>1.1299999999999999</v>
      </c>
      <c r="BS4264">
        <v>1.42</v>
      </c>
      <c r="BT4264">
        <v>-1.1599999999999999</v>
      </c>
      <c r="BU4264">
        <v>1.66</v>
      </c>
      <c r="BV4264">
        <v>1.47</v>
      </c>
      <c r="BW4264">
        <v>2.2200000000000002</v>
      </c>
      <c r="BX4264">
        <v>0.59</v>
      </c>
      <c r="BY4264">
        <v>1.31</v>
      </c>
      <c r="BZ4264">
        <v>-0.24</v>
      </c>
      <c r="CA4264">
        <v>1.28</v>
      </c>
      <c r="CB4264">
        <v>1.2</v>
      </c>
      <c r="CC4264">
        <v>1.1000000000000001</v>
      </c>
      <c r="CD4264">
        <v>-1.84</v>
      </c>
      <c r="CE4264">
        <v>1.5</v>
      </c>
      <c r="CF4264">
        <v>0.3</v>
      </c>
      <c r="CG4264">
        <v>0</v>
      </c>
      <c r="CH4264">
        <v>1.24</v>
      </c>
      <c r="CI4264">
        <v>0</v>
      </c>
      <c r="CJ4264">
        <v>-5.5</v>
      </c>
      <c r="CK4264">
        <v>97</v>
      </c>
      <c r="CL4264">
        <v>-1.29</v>
      </c>
      <c r="CM4264">
        <v>96</v>
      </c>
      <c r="CN4264">
        <v>-0.57999999999999996</v>
      </c>
      <c r="CO4264">
        <v>96</v>
      </c>
      <c r="CP4264">
        <v>-7.2</v>
      </c>
      <c r="CQ4264">
        <v>96</v>
      </c>
      <c r="CR4264">
        <v>0</v>
      </c>
      <c r="CS4264">
        <v>0</v>
      </c>
      <c r="CT4264">
        <v>-1.4</v>
      </c>
      <c r="CU4264">
        <v>92</v>
      </c>
      <c r="CV4264">
        <v>0.18</v>
      </c>
      <c r="CW4264">
        <v>45</v>
      </c>
      <c r="CX4264" t="s">
        <v>1325</v>
      </c>
    </row>
    <row r="4265" spans="1:102" x14ac:dyDescent="0.3">
      <c r="A4265" t="str">
        <f>HYPERLINK("https://webapp.icbf.com/v2/app/bull-search/view/660248974","S1312")</f>
        <v>S1312</v>
      </c>
      <c r="B4265" t="s">
        <v>9139</v>
      </c>
      <c r="C4265" t="s">
        <v>9140</v>
      </c>
      <c r="D4265" s="1">
        <v>39188</v>
      </c>
      <c r="E4265" t="s">
        <v>92</v>
      </c>
      <c r="F4265">
        <v>100</v>
      </c>
      <c r="G4265" t="s">
        <v>93</v>
      </c>
      <c r="H4265">
        <v>-105.53</v>
      </c>
      <c r="I4265">
        <v>81</v>
      </c>
      <c r="J4265">
        <v>63.04</v>
      </c>
      <c r="K4265">
        <v>90</v>
      </c>
      <c r="L4265">
        <v>-159.49</v>
      </c>
      <c r="M4265">
        <v>86</v>
      </c>
      <c r="N4265">
        <v>-9.5399999999999991</v>
      </c>
      <c r="O4265">
        <v>71</v>
      </c>
      <c r="P4265">
        <v>-8.6</v>
      </c>
      <c r="Q4265">
        <v>77</v>
      </c>
      <c r="R4265">
        <v>-1.54</v>
      </c>
      <c r="S4265">
        <v>69</v>
      </c>
      <c r="T4265">
        <v>5.54</v>
      </c>
      <c r="U4265">
        <v>69</v>
      </c>
      <c r="V4265">
        <v>5.0599999999999996</v>
      </c>
      <c r="W4265">
        <v>45</v>
      </c>
      <c r="X4265" t="s">
        <v>234</v>
      </c>
      <c r="Y4265" t="s">
        <v>342</v>
      </c>
      <c r="Z4265" t="s">
        <v>96</v>
      </c>
      <c r="AA4265" t="s">
        <v>4548</v>
      </c>
      <c r="AB4265" t="s">
        <v>2475</v>
      </c>
      <c r="AC4265">
        <v>47</v>
      </c>
      <c r="AD4265">
        <v>23</v>
      </c>
      <c r="AE4265">
        <v>90</v>
      </c>
      <c r="AF4265">
        <v>413.01</v>
      </c>
      <c r="AG4265">
        <v>19.91</v>
      </c>
      <c r="AH4265">
        <v>10</v>
      </c>
      <c r="AI4265">
        <v>0.06</v>
      </c>
      <c r="AJ4265">
        <v>-0.06</v>
      </c>
      <c r="AK4265">
        <v>86</v>
      </c>
      <c r="AL4265">
        <v>37</v>
      </c>
      <c r="AM4265">
        <v>26</v>
      </c>
      <c r="AN4265">
        <v>10.94</v>
      </c>
      <c r="AO4265">
        <v>-1.75</v>
      </c>
      <c r="AP4265">
        <v>89</v>
      </c>
      <c r="AQ4265">
        <v>0</v>
      </c>
      <c r="AR4265">
        <v>9.58</v>
      </c>
      <c r="AS4265">
        <v>64</v>
      </c>
      <c r="AT4265">
        <v>4.87</v>
      </c>
      <c r="AU4265">
        <v>89</v>
      </c>
      <c r="AV4265">
        <v>-1.08</v>
      </c>
      <c r="AW4265">
        <v>75</v>
      </c>
      <c r="AX4265">
        <v>-0.84</v>
      </c>
      <c r="AY4265">
        <v>68</v>
      </c>
      <c r="AZ4265">
        <v>5.87</v>
      </c>
      <c r="BA4265">
        <v>45</v>
      </c>
      <c r="BB4265">
        <v>4.37</v>
      </c>
      <c r="BC4265">
        <v>38</v>
      </c>
      <c r="BD4265">
        <v>-0.04</v>
      </c>
      <c r="BE4265">
        <v>-0.02</v>
      </c>
      <c r="BF4265">
        <v>0.14000000000000001</v>
      </c>
      <c r="BG4265">
        <v>91</v>
      </c>
      <c r="BH4265">
        <v>0.05</v>
      </c>
      <c r="BI4265">
        <v>-10.55</v>
      </c>
      <c r="BJ4265">
        <v>26</v>
      </c>
      <c r="BK4265">
        <v>17</v>
      </c>
      <c r="BL4265">
        <v>1.54</v>
      </c>
      <c r="BM4265">
        <v>-1.19</v>
      </c>
      <c r="BN4265">
        <v>0.86</v>
      </c>
      <c r="BO4265">
        <v>1.77</v>
      </c>
      <c r="BP4265">
        <v>-0.81</v>
      </c>
      <c r="BQ4265">
        <v>2.59</v>
      </c>
      <c r="BR4265">
        <v>-1.1000000000000001</v>
      </c>
      <c r="BS4265">
        <v>2.2799999999999998</v>
      </c>
      <c r="BT4265">
        <v>1.27</v>
      </c>
      <c r="BU4265">
        <v>3.77</v>
      </c>
      <c r="BV4265">
        <v>2.83</v>
      </c>
      <c r="BW4265">
        <v>1.23</v>
      </c>
      <c r="BX4265">
        <v>2.35</v>
      </c>
      <c r="BY4265">
        <v>2.67</v>
      </c>
      <c r="BZ4265">
        <v>-2.84</v>
      </c>
      <c r="CA4265">
        <v>2.75</v>
      </c>
      <c r="CB4265">
        <v>2.65</v>
      </c>
      <c r="CC4265">
        <v>1.85</v>
      </c>
      <c r="CD4265">
        <v>-1.43</v>
      </c>
      <c r="CE4265">
        <v>1.29</v>
      </c>
      <c r="CF4265">
        <v>1.02</v>
      </c>
      <c r="CG4265">
        <v>0</v>
      </c>
      <c r="CH4265">
        <v>1.04</v>
      </c>
      <c r="CI4265">
        <v>0</v>
      </c>
      <c r="CJ4265">
        <v>-2.2999999999999998</v>
      </c>
      <c r="CK4265">
        <v>79</v>
      </c>
      <c r="CL4265">
        <v>-1.2</v>
      </c>
      <c r="CM4265">
        <v>75</v>
      </c>
      <c r="CN4265">
        <v>-0.64</v>
      </c>
      <c r="CO4265">
        <v>72</v>
      </c>
      <c r="CP4265">
        <v>-3.6</v>
      </c>
      <c r="CQ4265">
        <v>71</v>
      </c>
      <c r="CR4265">
        <v>0</v>
      </c>
      <c r="CS4265">
        <v>0</v>
      </c>
      <c r="CT4265">
        <v>6.3</v>
      </c>
      <c r="CU4265">
        <v>69</v>
      </c>
      <c r="CV4265">
        <v>0.34</v>
      </c>
      <c r="CW4265">
        <v>22</v>
      </c>
      <c r="CX4265" t="s">
        <v>2476</v>
      </c>
    </row>
    <row r="4266" spans="1:102" x14ac:dyDescent="0.3">
      <c r="A4266" t="str">
        <f>HYPERLINK("https://webapp.icbf.com/v2/app/bull-search/view/77860180","CCE")</f>
        <v>CCE</v>
      </c>
      <c r="B4266" t="s">
        <v>11357</v>
      </c>
      <c r="C4266" t="s">
        <v>11358</v>
      </c>
      <c r="D4266" s="1">
        <v>32430</v>
      </c>
      <c r="E4266" t="s">
        <v>92</v>
      </c>
      <c r="F4266">
        <v>88</v>
      </c>
      <c r="G4266" t="s">
        <v>93</v>
      </c>
      <c r="H4266">
        <v>-105.6</v>
      </c>
      <c r="I4266">
        <v>90</v>
      </c>
      <c r="J4266">
        <v>-23.51</v>
      </c>
      <c r="K4266">
        <v>98</v>
      </c>
      <c r="L4266">
        <v>-70.12</v>
      </c>
      <c r="M4266">
        <v>90</v>
      </c>
      <c r="N4266">
        <v>4.78</v>
      </c>
      <c r="O4266">
        <v>81</v>
      </c>
      <c r="P4266">
        <v>-7.61</v>
      </c>
      <c r="Q4266">
        <v>89</v>
      </c>
      <c r="R4266">
        <v>-26.07</v>
      </c>
      <c r="S4266">
        <v>83</v>
      </c>
      <c r="T4266">
        <v>21.74</v>
      </c>
      <c r="U4266">
        <v>83</v>
      </c>
      <c r="V4266">
        <v>-4.8099999999999996</v>
      </c>
      <c r="W4266">
        <v>71</v>
      </c>
      <c r="X4266" t="s">
        <v>110</v>
      </c>
      <c r="Y4266" t="s">
        <v>95</v>
      </c>
      <c r="Z4266" t="s">
        <v>96</v>
      </c>
      <c r="AA4266" t="s">
        <v>166</v>
      </c>
      <c r="AB4266" t="s">
        <v>11359</v>
      </c>
      <c r="AC4266">
        <v>233</v>
      </c>
      <c r="AD4266">
        <v>142</v>
      </c>
      <c r="AE4266">
        <v>98</v>
      </c>
      <c r="AF4266">
        <v>236.43</v>
      </c>
      <c r="AG4266">
        <v>-2.23</v>
      </c>
      <c r="AH4266">
        <v>0.41</v>
      </c>
      <c r="AI4266">
        <v>-0.19</v>
      </c>
      <c r="AJ4266">
        <v>-0.13</v>
      </c>
      <c r="AK4266">
        <v>90</v>
      </c>
      <c r="AL4266">
        <v>293</v>
      </c>
      <c r="AM4266">
        <v>138</v>
      </c>
      <c r="AN4266">
        <v>3.96</v>
      </c>
      <c r="AO4266">
        <v>-1.63</v>
      </c>
      <c r="AP4266">
        <v>8</v>
      </c>
      <c r="AQ4266">
        <v>0</v>
      </c>
      <c r="AR4266">
        <v>7.53</v>
      </c>
      <c r="AS4266">
        <v>66</v>
      </c>
      <c r="AT4266">
        <v>3.02</v>
      </c>
      <c r="AU4266">
        <v>86</v>
      </c>
      <c r="AV4266">
        <v>-0.34</v>
      </c>
      <c r="AW4266">
        <v>83</v>
      </c>
      <c r="AX4266">
        <v>-0.38</v>
      </c>
      <c r="AY4266">
        <v>88</v>
      </c>
      <c r="AZ4266">
        <v>6.8</v>
      </c>
      <c r="BA4266">
        <v>62</v>
      </c>
      <c r="BB4266">
        <v>4.8899999999999997</v>
      </c>
      <c r="BC4266">
        <v>76</v>
      </c>
      <c r="BD4266">
        <v>0.08</v>
      </c>
      <c r="BE4266">
        <v>0.14000000000000001</v>
      </c>
      <c r="BF4266">
        <v>0.2</v>
      </c>
      <c r="BG4266">
        <v>95</v>
      </c>
      <c r="BH4266">
        <v>-0.06</v>
      </c>
      <c r="BI4266">
        <v>8.58</v>
      </c>
      <c r="BJ4266">
        <v>52</v>
      </c>
      <c r="BK4266">
        <v>34</v>
      </c>
      <c r="BL4266">
        <v>-0.5</v>
      </c>
      <c r="BM4266">
        <v>-0.93</v>
      </c>
      <c r="BN4266">
        <v>-0.74</v>
      </c>
      <c r="BO4266">
        <v>-0.16</v>
      </c>
      <c r="BP4266">
        <v>2.38</v>
      </c>
      <c r="BQ4266">
        <v>-2.6</v>
      </c>
      <c r="BR4266">
        <v>-0.78</v>
      </c>
      <c r="BS4266">
        <v>-0.48</v>
      </c>
      <c r="BT4266">
        <v>-0.55000000000000004</v>
      </c>
      <c r="BU4266">
        <v>0.84</v>
      </c>
      <c r="BV4266">
        <v>0.53</v>
      </c>
      <c r="BW4266">
        <v>-0.24</v>
      </c>
      <c r="BX4266">
        <v>0.66</v>
      </c>
      <c r="BY4266">
        <v>0.03</v>
      </c>
      <c r="BZ4266">
        <v>-2.2400000000000002</v>
      </c>
      <c r="CA4266">
        <v>0.61</v>
      </c>
      <c r="CB4266">
        <v>0.7</v>
      </c>
      <c r="CC4266">
        <v>0.03</v>
      </c>
      <c r="CD4266">
        <v>-0.27</v>
      </c>
      <c r="CE4266">
        <v>0.03</v>
      </c>
      <c r="CF4266">
        <v>-0.83</v>
      </c>
      <c r="CG4266">
        <v>0</v>
      </c>
      <c r="CH4266">
        <v>0.06</v>
      </c>
      <c r="CI4266">
        <v>0</v>
      </c>
      <c r="CJ4266">
        <v>-3.1</v>
      </c>
      <c r="CK4266">
        <v>90</v>
      </c>
      <c r="CL4266">
        <v>-0.42</v>
      </c>
      <c r="CM4266">
        <v>88</v>
      </c>
      <c r="CN4266">
        <v>-0.21</v>
      </c>
      <c r="CO4266">
        <v>87</v>
      </c>
      <c r="CP4266">
        <v>-9.6999999999999993</v>
      </c>
      <c r="CQ4266">
        <v>93</v>
      </c>
      <c r="CR4266">
        <v>0</v>
      </c>
      <c r="CS4266">
        <v>0</v>
      </c>
      <c r="CT4266">
        <v>-15.6</v>
      </c>
      <c r="CU4266">
        <v>83</v>
      </c>
      <c r="CV4266">
        <v>0</v>
      </c>
      <c r="CW4266">
        <v>44</v>
      </c>
      <c r="CX4266" t="s">
        <v>120</v>
      </c>
    </row>
    <row r="4267" spans="1:102" x14ac:dyDescent="0.3">
      <c r="A4267" t="str">
        <f>HYPERLINK("https://webapp.icbf.com/v2/app/bull-search/view/159174879","OIJ")</f>
        <v>OIJ</v>
      </c>
      <c r="B4267" t="s">
        <v>11579</v>
      </c>
      <c r="C4267" t="s">
        <v>11580</v>
      </c>
      <c r="D4267" s="1">
        <v>37163</v>
      </c>
      <c r="E4267" t="s">
        <v>92</v>
      </c>
      <c r="F4267">
        <v>88</v>
      </c>
      <c r="G4267" t="s">
        <v>93</v>
      </c>
      <c r="H4267">
        <v>-105.95</v>
      </c>
      <c r="I4267">
        <v>83</v>
      </c>
      <c r="J4267">
        <v>11.25</v>
      </c>
      <c r="K4267">
        <v>96</v>
      </c>
      <c r="L4267">
        <v>-77.150000000000006</v>
      </c>
      <c r="M4267">
        <v>71</v>
      </c>
      <c r="N4267">
        <v>-54.3</v>
      </c>
      <c r="O4267">
        <v>80</v>
      </c>
      <c r="P4267">
        <v>-2.98</v>
      </c>
      <c r="Q4267">
        <v>91</v>
      </c>
      <c r="R4267">
        <v>7.26</v>
      </c>
      <c r="S4267">
        <v>74</v>
      </c>
      <c r="T4267">
        <v>9.76</v>
      </c>
      <c r="U4267">
        <v>84</v>
      </c>
      <c r="V4267">
        <v>0.21</v>
      </c>
      <c r="W4267">
        <v>68</v>
      </c>
      <c r="X4267" t="s">
        <v>94</v>
      </c>
      <c r="Y4267" t="s">
        <v>95</v>
      </c>
      <c r="Z4267" t="s">
        <v>96</v>
      </c>
      <c r="AA4267" t="s">
        <v>4095</v>
      </c>
      <c r="AB4267" t="s">
        <v>11581</v>
      </c>
      <c r="AC4267">
        <v>64</v>
      </c>
      <c r="AD4267">
        <v>50</v>
      </c>
      <c r="AE4267">
        <v>96</v>
      </c>
      <c r="AF4267">
        <v>-86.87</v>
      </c>
      <c r="AG4267">
        <v>-4.03</v>
      </c>
      <c r="AH4267">
        <v>2.0099999999999998</v>
      </c>
      <c r="AI4267">
        <v>-0.01</v>
      </c>
      <c r="AJ4267">
        <v>0.09</v>
      </c>
      <c r="AK4267">
        <v>71</v>
      </c>
      <c r="AL4267">
        <v>66</v>
      </c>
      <c r="AM4267">
        <v>51</v>
      </c>
      <c r="AN4267">
        <v>2.88</v>
      </c>
      <c r="AO4267">
        <v>-3.29</v>
      </c>
      <c r="AP4267">
        <v>133</v>
      </c>
      <c r="AQ4267">
        <v>0</v>
      </c>
      <c r="AR4267">
        <v>11.73</v>
      </c>
      <c r="AS4267">
        <v>56</v>
      </c>
      <c r="AT4267">
        <v>5.05</v>
      </c>
      <c r="AU4267">
        <v>84</v>
      </c>
      <c r="AV4267">
        <v>0.5</v>
      </c>
      <c r="AW4267">
        <v>92</v>
      </c>
      <c r="AX4267">
        <v>2.98</v>
      </c>
      <c r="AY4267">
        <v>77</v>
      </c>
      <c r="AZ4267">
        <v>7.7</v>
      </c>
      <c r="BA4267">
        <v>52</v>
      </c>
      <c r="BB4267">
        <v>6.15</v>
      </c>
      <c r="BC4267">
        <v>58</v>
      </c>
      <c r="BD4267">
        <v>0</v>
      </c>
      <c r="BE4267">
        <v>-0.03</v>
      </c>
      <c r="BF4267">
        <v>-0.11</v>
      </c>
      <c r="BG4267">
        <v>85</v>
      </c>
      <c r="BH4267">
        <v>-0.01</v>
      </c>
      <c r="BI4267">
        <v>-1.84</v>
      </c>
      <c r="BJ4267">
        <v>26</v>
      </c>
      <c r="BK4267">
        <v>20</v>
      </c>
      <c r="BL4267">
        <v>0.2</v>
      </c>
      <c r="BM4267">
        <v>1.1599999999999999</v>
      </c>
      <c r="BN4267">
        <v>0.74</v>
      </c>
      <c r="BO4267">
        <v>-0.19</v>
      </c>
      <c r="BP4267">
        <v>1.37</v>
      </c>
      <c r="BQ4267">
        <v>-0.45</v>
      </c>
      <c r="BR4267">
        <v>0.51</v>
      </c>
      <c r="BS4267">
        <v>-0.46</v>
      </c>
      <c r="BT4267">
        <v>7.0000000000000007E-2</v>
      </c>
      <c r="BU4267">
        <v>0.64</v>
      </c>
      <c r="BV4267">
        <v>-0.5</v>
      </c>
      <c r="BW4267">
        <v>-0.79</v>
      </c>
      <c r="BX4267">
        <v>1.07</v>
      </c>
      <c r="BY4267">
        <v>1.98</v>
      </c>
      <c r="BZ4267">
        <v>-2.36</v>
      </c>
      <c r="CA4267">
        <v>-0.63</v>
      </c>
      <c r="CB4267">
        <v>-0.35</v>
      </c>
      <c r="CC4267">
        <v>-0.86</v>
      </c>
      <c r="CD4267">
        <v>0.63</v>
      </c>
      <c r="CE4267">
        <v>-0.61</v>
      </c>
      <c r="CF4267">
        <v>0.32</v>
      </c>
      <c r="CG4267">
        <v>0</v>
      </c>
      <c r="CH4267">
        <v>7.0000000000000007E-2</v>
      </c>
      <c r="CI4267">
        <v>0</v>
      </c>
      <c r="CJ4267">
        <v>-1.3</v>
      </c>
      <c r="CK4267">
        <v>92</v>
      </c>
      <c r="CL4267">
        <v>-0.63</v>
      </c>
      <c r="CM4267">
        <v>90</v>
      </c>
      <c r="CN4267">
        <v>-0.46</v>
      </c>
      <c r="CO4267">
        <v>89</v>
      </c>
      <c r="CP4267">
        <v>-0.5</v>
      </c>
      <c r="CQ4267">
        <v>87</v>
      </c>
      <c r="CR4267">
        <v>0</v>
      </c>
      <c r="CS4267">
        <v>0</v>
      </c>
      <c r="CT4267">
        <v>0.6</v>
      </c>
      <c r="CU4267">
        <v>84</v>
      </c>
      <c r="CV4267">
        <v>0.03</v>
      </c>
      <c r="CW4267">
        <v>44</v>
      </c>
      <c r="CX4267" t="s">
        <v>6474</v>
      </c>
    </row>
    <row r="4268" spans="1:102" x14ac:dyDescent="0.3">
      <c r="A4268" t="str">
        <f>HYPERLINK("https://webapp.icbf.com/v2/app/bull-search/view/444518111","WCA")</f>
        <v>WCA</v>
      </c>
      <c r="B4268" t="s">
        <v>11961</v>
      </c>
      <c r="C4268" t="s">
        <v>11962</v>
      </c>
      <c r="D4268" s="1">
        <v>37128</v>
      </c>
      <c r="E4268" t="s">
        <v>92</v>
      </c>
      <c r="F4268">
        <v>100</v>
      </c>
      <c r="G4268" t="s">
        <v>93</v>
      </c>
      <c r="H4268">
        <v>-105.96</v>
      </c>
      <c r="I4268">
        <v>87</v>
      </c>
      <c r="J4268">
        <v>27.38</v>
      </c>
      <c r="K4268">
        <v>96</v>
      </c>
      <c r="L4268">
        <v>-122.78</v>
      </c>
      <c r="M4268">
        <v>89</v>
      </c>
      <c r="N4268">
        <v>10.46</v>
      </c>
      <c r="O4268">
        <v>78</v>
      </c>
      <c r="P4268">
        <v>-11.11</v>
      </c>
      <c r="Q4268">
        <v>83</v>
      </c>
      <c r="R4268">
        <v>2.3199999999999998</v>
      </c>
      <c r="S4268">
        <v>81</v>
      </c>
      <c r="T4268">
        <v>-4.82</v>
      </c>
      <c r="U4268">
        <v>69</v>
      </c>
      <c r="V4268">
        <v>-7.41</v>
      </c>
      <c r="W4268">
        <v>71</v>
      </c>
      <c r="X4268" t="s">
        <v>251</v>
      </c>
      <c r="Y4268" t="s">
        <v>221</v>
      </c>
      <c r="Z4268" t="s">
        <v>96</v>
      </c>
      <c r="AA4268" t="s">
        <v>289</v>
      </c>
      <c r="AB4268" t="s">
        <v>11963</v>
      </c>
      <c r="AC4268">
        <v>57</v>
      </c>
      <c r="AD4268">
        <v>25</v>
      </c>
      <c r="AE4268">
        <v>96</v>
      </c>
      <c r="AF4268">
        <v>470.52</v>
      </c>
      <c r="AG4268">
        <v>8.76</v>
      </c>
      <c r="AH4268">
        <v>8.76</v>
      </c>
      <c r="AI4268">
        <v>-0.15</v>
      </c>
      <c r="AJ4268">
        <v>-0.12</v>
      </c>
      <c r="AK4268">
        <v>89</v>
      </c>
      <c r="AL4268">
        <v>41</v>
      </c>
      <c r="AM4268">
        <v>15</v>
      </c>
      <c r="AN4268">
        <v>5.24</v>
      </c>
      <c r="AO4268">
        <v>-4.57</v>
      </c>
      <c r="AP4268">
        <v>119</v>
      </c>
      <c r="AQ4268">
        <v>0</v>
      </c>
      <c r="AR4268">
        <v>7.97</v>
      </c>
      <c r="AS4268">
        <v>81</v>
      </c>
      <c r="AT4268">
        <v>3.82</v>
      </c>
      <c r="AU4268">
        <v>89</v>
      </c>
      <c r="AV4268">
        <v>-2.95</v>
      </c>
      <c r="AW4268">
        <v>81</v>
      </c>
      <c r="AX4268">
        <v>-0.13</v>
      </c>
      <c r="AY4268">
        <v>72</v>
      </c>
      <c r="AZ4268">
        <v>7.51</v>
      </c>
      <c r="BA4268">
        <v>60</v>
      </c>
      <c r="BB4268">
        <v>5.78</v>
      </c>
      <c r="BC4268">
        <v>58</v>
      </c>
      <c r="BD4268">
        <v>-0.02</v>
      </c>
      <c r="BE4268">
        <v>0</v>
      </c>
      <c r="BF4268">
        <v>-0.02</v>
      </c>
      <c r="BG4268">
        <v>92</v>
      </c>
      <c r="BH4268">
        <v>-0.22</v>
      </c>
      <c r="BI4268">
        <v>-1.55</v>
      </c>
      <c r="BJ4268">
        <v>27</v>
      </c>
      <c r="BK4268">
        <v>12</v>
      </c>
      <c r="BL4268">
        <v>1.64</v>
      </c>
      <c r="BM4268">
        <v>-1.2</v>
      </c>
      <c r="BN4268">
        <v>0.59</v>
      </c>
      <c r="BO4268">
        <v>1.63</v>
      </c>
      <c r="BP4268">
        <v>1.73</v>
      </c>
      <c r="BQ4268">
        <v>1.73</v>
      </c>
      <c r="BR4268">
        <v>-0.6</v>
      </c>
      <c r="BS4268">
        <v>0.15</v>
      </c>
      <c r="BT4268">
        <v>1.3</v>
      </c>
      <c r="BU4268">
        <v>1.67</v>
      </c>
      <c r="BV4268">
        <v>2.73</v>
      </c>
      <c r="BW4268">
        <v>1.81</v>
      </c>
      <c r="BX4268">
        <v>0.9</v>
      </c>
      <c r="BY4268">
        <v>2.0099999999999998</v>
      </c>
      <c r="BZ4268">
        <v>0.34</v>
      </c>
      <c r="CA4268">
        <v>1.19</v>
      </c>
      <c r="CB4268">
        <v>1.81</v>
      </c>
      <c r="CC4268">
        <v>-0.31</v>
      </c>
      <c r="CD4268">
        <v>-1.76</v>
      </c>
      <c r="CE4268">
        <v>1.91</v>
      </c>
      <c r="CF4268">
        <v>1.38</v>
      </c>
      <c r="CG4268">
        <v>0</v>
      </c>
      <c r="CH4268">
        <v>1.96</v>
      </c>
      <c r="CI4268">
        <v>0</v>
      </c>
      <c r="CJ4268">
        <v>-3.9</v>
      </c>
      <c r="CK4268">
        <v>85</v>
      </c>
      <c r="CL4268">
        <v>-1.28</v>
      </c>
      <c r="CM4268">
        <v>82</v>
      </c>
      <c r="CN4268">
        <v>-0.67</v>
      </c>
      <c r="CO4268">
        <v>80</v>
      </c>
      <c r="CP4268">
        <v>-2.4</v>
      </c>
      <c r="CQ4268">
        <v>82</v>
      </c>
      <c r="CR4268">
        <v>0</v>
      </c>
      <c r="CS4268">
        <v>0</v>
      </c>
      <c r="CT4268">
        <v>20.3</v>
      </c>
      <c r="CU4268">
        <v>69</v>
      </c>
      <c r="CV4268">
        <v>0.28999999999999998</v>
      </c>
      <c r="CW4268">
        <v>42</v>
      </c>
      <c r="CX4268" t="s">
        <v>4558</v>
      </c>
    </row>
    <row r="4269" spans="1:102" x14ac:dyDescent="0.3">
      <c r="A4269" t="str">
        <f>HYPERLINK("https://webapp.icbf.com/v2/app/bull-search/view/77854027","RLS")</f>
        <v>RLS</v>
      </c>
      <c r="B4269" t="s">
        <v>3571</v>
      </c>
      <c r="C4269" t="s">
        <v>3572</v>
      </c>
      <c r="D4269" s="1">
        <v>33575</v>
      </c>
      <c r="E4269" t="s">
        <v>92</v>
      </c>
      <c r="F4269">
        <v>100</v>
      </c>
      <c r="G4269" t="s">
        <v>109</v>
      </c>
      <c r="H4269">
        <v>-106.13</v>
      </c>
      <c r="I4269">
        <v>79</v>
      </c>
      <c r="J4269">
        <v>-10.74</v>
      </c>
      <c r="K4269">
        <v>92</v>
      </c>
      <c r="L4269">
        <v>-53.56</v>
      </c>
      <c r="M4269">
        <v>83</v>
      </c>
      <c r="N4269">
        <v>-21.24</v>
      </c>
      <c r="O4269">
        <v>62</v>
      </c>
      <c r="P4269">
        <v>-12.04</v>
      </c>
      <c r="Q4269">
        <v>60</v>
      </c>
      <c r="R4269">
        <v>-18.079999999999998</v>
      </c>
      <c r="S4269">
        <v>77</v>
      </c>
      <c r="T4269">
        <v>10.87</v>
      </c>
      <c r="U4269">
        <v>56</v>
      </c>
      <c r="V4269">
        <v>-1.34</v>
      </c>
      <c r="W4269">
        <v>61</v>
      </c>
      <c r="X4269" t="s">
        <v>276</v>
      </c>
      <c r="Y4269" t="s">
        <v>95</v>
      </c>
      <c r="Z4269" t="s">
        <v>96</v>
      </c>
      <c r="AA4269" t="s">
        <v>132</v>
      </c>
      <c r="AB4269" t="s">
        <v>3573</v>
      </c>
      <c r="AC4269">
        <v>0</v>
      </c>
      <c r="AD4269">
        <v>0</v>
      </c>
      <c r="AE4269">
        <v>92</v>
      </c>
      <c r="AF4269">
        <v>-67.44</v>
      </c>
      <c r="AG4269">
        <v>0.51</v>
      </c>
      <c r="AH4269">
        <v>-3.04</v>
      </c>
      <c r="AI4269">
        <v>0.06</v>
      </c>
      <c r="AJ4269">
        <v>-0.01</v>
      </c>
      <c r="AK4269">
        <v>83</v>
      </c>
      <c r="AL4269">
        <v>0</v>
      </c>
      <c r="AM4269">
        <v>0</v>
      </c>
      <c r="AN4269">
        <v>1.46</v>
      </c>
      <c r="AO4269">
        <v>-2.83</v>
      </c>
      <c r="AP4269">
        <v>1</v>
      </c>
      <c r="AQ4269">
        <v>0</v>
      </c>
      <c r="AR4269">
        <v>11.29</v>
      </c>
      <c r="AS4269">
        <v>54</v>
      </c>
      <c r="AT4269">
        <v>4.2699999999999996</v>
      </c>
      <c r="AU4269">
        <v>88</v>
      </c>
      <c r="AV4269">
        <v>-0.6</v>
      </c>
      <c r="AW4269">
        <v>55</v>
      </c>
      <c r="AX4269">
        <v>-0.78</v>
      </c>
      <c r="AY4269">
        <v>56</v>
      </c>
      <c r="AZ4269">
        <v>7.29</v>
      </c>
      <c r="BA4269">
        <v>45</v>
      </c>
      <c r="BB4269">
        <v>5.7</v>
      </c>
      <c r="BC4269">
        <v>51</v>
      </c>
      <c r="BD4269">
        <v>0.04</v>
      </c>
      <c r="BE4269">
        <v>0.11</v>
      </c>
      <c r="BF4269">
        <v>0.14000000000000001</v>
      </c>
      <c r="BG4269">
        <v>92</v>
      </c>
      <c r="BH4269">
        <v>-0.06</v>
      </c>
      <c r="BI4269">
        <v>-2.63</v>
      </c>
      <c r="BJ4269">
        <v>5</v>
      </c>
      <c r="BK4269">
        <v>2</v>
      </c>
      <c r="BL4269">
        <v>0.33</v>
      </c>
      <c r="BM4269">
        <v>1.73</v>
      </c>
      <c r="BN4269">
        <v>1.33</v>
      </c>
      <c r="BO4269">
        <v>-0.15</v>
      </c>
      <c r="BP4269">
        <v>-1.39</v>
      </c>
      <c r="BQ4269">
        <v>0.64</v>
      </c>
      <c r="BR4269">
        <v>-2.19</v>
      </c>
      <c r="BS4269">
        <v>1.66</v>
      </c>
      <c r="BT4269">
        <v>2.34</v>
      </c>
      <c r="BU4269">
        <v>-0.59</v>
      </c>
      <c r="BV4269">
        <v>-0.43</v>
      </c>
      <c r="BW4269">
        <v>-1.25</v>
      </c>
      <c r="BX4269">
        <v>-1.28</v>
      </c>
      <c r="BY4269">
        <v>-0.97</v>
      </c>
      <c r="BZ4269">
        <v>1.59</v>
      </c>
      <c r="CA4269">
        <v>-0.18</v>
      </c>
      <c r="CB4269">
        <v>-0.91</v>
      </c>
      <c r="CC4269">
        <v>1.19</v>
      </c>
      <c r="CD4269">
        <v>0.94</v>
      </c>
      <c r="CE4269">
        <v>0.03</v>
      </c>
      <c r="CF4269">
        <v>0.2</v>
      </c>
      <c r="CG4269">
        <v>0</v>
      </c>
      <c r="CH4269">
        <v>-0.98</v>
      </c>
      <c r="CI4269">
        <v>0</v>
      </c>
      <c r="CJ4269">
        <v>-7.3</v>
      </c>
      <c r="CK4269">
        <v>61</v>
      </c>
      <c r="CL4269">
        <v>-0.36</v>
      </c>
      <c r="CM4269">
        <v>59</v>
      </c>
      <c r="CN4269">
        <v>-0.24</v>
      </c>
      <c r="CO4269">
        <v>56</v>
      </c>
      <c r="CP4269">
        <v>-7.1</v>
      </c>
      <c r="CQ4269">
        <v>66</v>
      </c>
      <c r="CR4269">
        <v>0</v>
      </c>
      <c r="CS4269">
        <v>0</v>
      </c>
      <c r="CT4269">
        <v>-0.9</v>
      </c>
      <c r="CU4269">
        <v>56</v>
      </c>
      <c r="CV4269">
        <v>0</v>
      </c>
      <c r="CW4269">
        <v>38</v>
      </c>
      <c r="CX4269" t="s">
        <v>3549</v>
      </c>
    </row>
    <row r="4270" spans="1:102" x14ac:dyDescent="0.3">
      <c r="A4270" t="str">
        <f>HYPERLINK("https://webapp.icbf.com/v2/app/bull-search/view/69092287","MUF")</f>
        <v>MUF</v>
      </c>
      <c r="B4270" t="s">
        <v>10450</v>
      </c>
      <c r="C4270" t="s">
        <v>10451</v>
      </c>
      <c r="D4270" s="1">
        <v>32508</v>
      </c>
      <c r="E4270" t="s">
        <v>92</v>
      </c>
      <c r="F4270">
        <v>75</v>
      </c>
      <c r="G4270" t="s">
        <v>93</v>
      </c>
      <c r="H4270">
        <v>-106.21</v>
      </c>
      <c r="I4270">
        <v>93</v>
      </c>
      <c r="J4270">
        <v>-20.78</v>
      </c>
      <c r="K4270">
        <v>99</v>
      </c>
      <c r="L4270">
        <v>-73.010000000000005</v>
      </c>
      <c r="M4270">
        <v>90</v>
      </c>
      <c r="N4270">
        <v>-20.7</v>
      </c>
      <c r="O4270">
        <v>89</v>
      </c>
      <c r="P4270">
        <v>-16.23</v>
      </c>
      <c r="Q4270">
        <v>97</v>
      </c>
      <c r="R4270">
        <v>-5.73</v>
      </c>
      <c r="S4270">
        <v>84</v>
      </c>
      <c r="T4270">
        <v>35.43</v>
      </c>
      <c r="U4270">
        <v>98</v>
      </c>
      <c r="V4270">
        <v>-5.19</v>
      </c>
      <c r="W4270">
        <v>68</v>
      </c>
      <c r="X4270" t="s">
        <v>94</v>
      </c>
      <c r="Y4270" t="s">
        <v>95</v>
      </c>
      <c r="Z4270" t="s">
        <v>96</v>
      </c>
      <c r="AA4270" t="s">
        <v>638</v>
      </c>
      <c r="AB4270" t="s">
        <v>10452</v>
      </c>
      <c r="AC4270">
        <v>865</v>
      </c>
      <c r="AD4270">
        <v>615</v>
      </c>
      <c r="AE4270">
        <v>99</v>
      </c>
      <c r="AF4270">
        <v>-62.6</v>
      </c>
      <c r="AG4270">
        <v>-0.26</v>
      </c>
      <c r="AH4270">
        <v>-4.4000000000000004</v>
      </c>
      <c r="AI4270">
        <v>0.04</v>
      </c>
      <c r="AJ4270">
        <v>-0.04</v>
      </c>
      <c r="AK4270">
        <v>90</v>
      </c>
      <c r="AL4270">
        <v>1388</v>
      </c>
      <c r="AM4270">
        <v>913</v>
      </c>
      <c r="AN4270">
        <v>4.1399999999999997</v>
      </c>
      <c r="AO4270">
        <v>-1.68</v>
      </c>
      <c r="AP4270">
        <v>3</v>
      </c>
      <c r="AQ4270">
        <v>0</v>
      </c>
      <c r="AR4270">
        <v>9.42</v>
      </c>
      <c r="AS4270">
        <v>63</v>
      </c>
      <c r="AT4270">
        <v>4.1500000000000004</v>
      </c>
      <c r="AU4270">
        <v>89</v>
      </c>
      <c r="AV4270">
        <v>-0.53</v>
      </c>
      <c r="AW4270">
        <v>94</v>
      </c>
      <c r="AX4270">
        <v>0.06</v>
      </c>
      <c r="AY4270">
        <v>96</v>
      </c>
      <c r="AZ4270">
        <v>6.95</v>
      </c>
      <c r="BA4270">
        <v>66</v>
      </c>
      <c r="BB4270">
        <v>6.56</v>
      </c>
      <c r="BC4270">
        <v>89</v>
      </c>
      <c r="BD4270">
        <v>0.04</v>
      </c>
      <c r="BE4270">
        <v>0.05</v>
      </c>
      <c r="BF4270">
        <v>-0.03</v>
      </c>
      <c r="BG4270">
        <v>99</v>
      </c>
      <c r="BH4270">
        <v>-0.05</v>
      </c>
      <c r="BI4270">
        <v>10.97</v>
      </c>
      <c r="BJ4270">
        <v>82</v>
      </c>
      <c r="BK4270">
        <v>68</v>
      </c>
      <c r="BL4270">
        <v>-0.82</v>
      </c>
      <c r="BM4270">
        <v>-1.33</v>
      </c>
      <c r="BN4270">
        <v>-1.07</v>
      </c>
      <c r="BO4270">
        <v>-0.03</v>
      </c>
      <c r="BP4270">
        <v>-0.4</v>
      </c>
      <c r="BQ4270">
        <v>-2.63</v>
      </c>
      <c r="BR4270">
        <v>2.0099999999999998</v>
      </c>
      <c r="BS4270">
        <v>-0.59</v>
      </c>
      <c r="BT4270">
        <v>-2.73</v>
      </c>
      <c r="BU4270">
        <v>0.04</v>
      </c>
      <c r="BV4270">
        <v>-1.38</v>
      </c>
      <c r="BW4270">
        <v>-2.17</v>
      </c>
      <c r="BX4270">
        <v>-0.88</v>
      </c>
      <c r="BY4270">
        <v>0.22</v>
      </c>
      <c r="BZ4270">
        <v>-1.1599999999999999</v>
      </c>
      <c r="CA4270">
        <v>-0.92</v>
      </c>
      <c r="CB4270">
        <v>-0.65</v>
      </c>
      <c r="CC4270">
        <v>-1.17</v>
      </c>
      <c r="CD4270">
        <v>0.71</v>
      </c>
      <c r="CE4270">
        <v>0.41</v>
      </c>
      <c r="CF4270">
        <v>-0.65</v>
      </c>
      <c r="CG4270">
        <v>0</v>
      </c>
      <c r="CH4270">
        <v>-0.49</v>
      </c>
      <c r="CI4270">
        <v>0</v>
      </c>
      <c r="CJ4270">
        <v>-7.1</v>
      </c>
      <c r="CK4270">
        <v>97</v>
      </c>
      <c r="CL4270">
        <v>-0.52</v>
      </c>
      <c r="CM4270">
        <v>96</v>
      </c>
      <c r="CN4270">
        <v>-0.16</v>
      </c>
      <c r="CO4270">
        <v>96</v>
      </c>
      <c r="CP4270">
        <v>-19.600000000000001</v>
      </c>
      <c r="CQ4270">
        <v>98</v>
      </c>
      <c r="CR4270">
        <v>0</v>
      </c>
      <c r="CS4270">
        <v>0</v>
      </c>
      <c r="CT4270">
        <v>-34.1</v>
      </c>
      <c r="CU4270">
        <v>98</v>
      </c>
      <c r="CV4270">
        <v>-0.03</v>
      </c>
      <c r="CW4270">
        <v>28</v>
      </c>
      <c r="CX4270" t="s">
        <v>622</v>
      </c>
    </row>
    <row r="4271" spans="1:102" x14ac:dyDescent="0.3">
      <c r="A4271" t="str">
        <f>HYPERLINK("https://webapp.icbf.com/v2/app/bull-search/view/77859775","BLS")</f>
        <v>BLS</v>
      </c>
      <c r="B4271" t="s">
        <v>3851</v>
      </c>
      <c r="C4271" t="s">
        <v>3852</v>
      </c>
      <c r="D4271" s="1">
        <v>32305</v>
      </c>
      <c r="E4271" t="s">
        <v>92</v>
      </c>
      <c r="F4271">
        <v>100</v>
      </c>
      <c r="G4271" t="s">
        <v>93</v>
      </c>
      <c r="H4271">
        <v>-106.33</v>
      </c>
      <c r="I4271">
        <v>92</v>
      </c>
      <c r="J4271">
        <v>-27.4</v>
      </c>
      <c r="K4271">
        <v>98</v>
      </c>
      <c r="L4271">
        <v>-30.56</v>
      </c>
      <c r="M4271">
        <v>92</v>
      </c>
      <c r="N4271">
        <v>-29.46</v>
      </c>
      <c r="O4271">
        <v>86</v>
      </c>
      <c r="P4271">
        <v>-0.79</v>
      </c>
      <c r="Q4271">
        <v>92</v>
      </c>
      <c r="R4271">
        <v>-23.44</v>
      </c>
      <c r="S4271">
        <v>84</v>
      </c>
      <c r="T4271">
        <v>4.95</v>
      </c>
      <c r="U4271">
        <v>90</v>
      </c>
      <c r="V4271">
        <v>0.37</v>
      </c>
      <c r="W4271">
        <v>72</v>
      </c>
      <c r="X4271" t="s">
        <v>131</v>
      </c>
      <c r="Y4271" t="s">
        <v>95</v>
      </c>
      <c r="Z4271" t="s">
        <v>96</v>
      </c>
      <c r="AA4271" t="s">
        <v>914</v>
      </c>
      <c r="AB4271" t="s">
        <v>3853</v>
      </c>
      <c r="AC4271">
        <v>286</v>
      </c>
      <c r="AD4271">
        <v>162</v>
      </c>
      <c r="AE4271">
        <v>98</v>
      </c>
      <c r="AF4271">
        <v>-57.91</v>
      </c>
      <c r="AG4271">
        <v>-2.39</v>
      </c>
      <c r="AH4271">
        <v>-4.7</v>
      </c>
      <c r="AI4271">
        <v>0</v>
      </c>
      <c r="AJ4271">
        <v>-0.05</v>
      </c>
      <c r="AK4271">
        <v>92</v>
      </c>
      <c r="AL4271">
        <v>277</v>
      </c>
      <c r="AM4271">
        <v>130</v>
      </c>
      <c r="AN4271">
        <v>1.42</v>
      </c>
      <c r="AO4271">
        <v>-1.02</v>
      </c>
      <c r="AP4271">
        <v>40</v>
      </c>
      <c r="AQ4271">
        <v>0</v>
      </c>
      <c r="AR4271">
        <v>8.43</v>
      </c>
      <c r="AS4271">
        <v>78</v>
      </c>
      <c r="AT4271">
        <v>3.91</v>
      </c>
      <c r="AU4271">
        <v>91</v>
      </c>
      <c r="AV4271">
        <v>-0.46</v>
      </c>
      <c r="AW4271">
        <v>87</v>
      </c>
      <c r="AX4271">
        <v>-0.41</v>
      </c>
      <c r="AY4271">
        <v>91</v>
      </c>
      <c r="AZ4271">
        <v>10.09</v>
      </c>
      <c r="BA4271">
        <v>72</v>
      </c>
      <c r="BB4271">
        <v>7.87</v>
      </c>
      <c r="BC4271">
        <v>80</v>
      </c>
      <c r="BD4271">
        <v>0.09</v>
      </c>
      <c r="BE4271">
        <v>0.11</v>
      </c>
      <c r="BF4271">
        <v>0.18</v>
      </c>
      <c r="BG4271">
        <v>96</v>
      </c>
      <c r="BH4271">
        <v>0.13</v>
      </c>
      <c r="BI4271">
        <v>13.83</v>
      </c>
      <c r="BJ4271">
        <v>124</v>
      </c>
      <c r="BK4271">
        <v>61</v>
      </c>
      <c r="BL4271">
        <v>1.32</v>
      </c>
      <c r="BM4271">
        <v>-1.04</v>
      </c>
      <c r="BN4271">
        <v>0.81</v>
      </c>
      <c r="BO4271">
        <v>1.1100000000000001</v>
      </c>
      <c r="BP4271">
        <v>-0.89</v>
      </c>
      <c r="BQ4271">
        <v>1.18</v>
      </c>
      <c r="BR4271">
        <v>-0.1</v>
      </c>
      <c r="BS4271">
        <v>-0.21</v>
      </c>
      <c r="BT4271">
        <v>0.47</v>
      </c>
      <c r="BU4271">
        <v>1.94</v>
      </c>
      <c r="BV4271">
        <v>-0.61</v>
      </c>
      <c r="BW4271">
        <v>-0.71</v>
      </c>
      <c r="BX4271">
        <v>1.55</v>
      </c>
      <c r="BY4271">
        <v>0.86</v>
      </c>
      <c r="BZ4271">
        <v>0.98</v>
      </c>
      <c r="CA4271">
        <v>0.79</v>
      </c>
      <c r="CB4271">
        <v>0.82</v>
      </c>
      <c r="CC4271">
        <v>0.49</v>
      </c>
      <c r="CD4271">
        <v>-1.17</v>
      </c>
      <c r="CE4271">
        <v>1</v>
      </c>
      <c r="CF4271">
        <v>1.27</v>
      </c>
      <c r="CG4271">
        <v>0</v>
      </c>
      <c r="CH4271">
        <v>0.89</v>
      </c>
      <c r="CI4271">
        <v>0</v>
      </c>
      <c r="CJ4271">
        <v>1.6</v>
      </c>
      <c r="CK4271">
        <v>92</v>
      </c>
      <c r="CL4271">
        <v>-0.84</v>
      </c>
      <c r="CM4271">
        <v>91</v>
      </c>
      <c r="CN4271">
        <v>-0.47</v>
      </c>
      <c r="CO4271">
        <v>90</v>
      </c>
      <c r="CP4271">
        <v>1.1000000000000001</v>
      </c>
      <c r="CQ4271">
        <v>95</v>
      </c>
      <c r="CR4271">
        <v>0</v>
      </c>
      <c r="CS4271">
        <v>0</v>
      </c>
      <c r="CT4271">
        <v>7.1</v>
      </c>
      <c r="CU4271">
        <v>90</v>
      </c>
      <c r="CV4271">
        <v>0.17</v>
      </c>
      <c r="CW4271">
        <v>44</v>
      </c>
      <c r="CX4271" t="s">
        <v>3854</v>
      </c>
    </row>
    <row r="4272" spans="1:102" x14ac:dyDescent="0.3">
      <c r="A4272" t="str">
        <f>HYPERLINK("https://webapp.icbf.com/v2/app/bull-search/view/444582797","PIW")</f>
        <v>PIW</v>
      </c>
      <c r="B4272" t="s">
        <v>12549</v>
      </c>
      <c r="C4272" t="s">
        <v>12550</v>
      </c>
      <c r="D4272" s="1">
        <v>37311</v>
      </c>
      <c r="E4272" t="s">
        <v>92</v>
      </c>
      <c r="F4272">
        <v>100</v>
      </c>
      <c r="G4272" t="s">
        <v>93</v>
      </c>
      <c r="H4272">
        <v>-106.44</v>
      </c>
      <c r="I4272">
        <v>91</v>
      </c>
      <c r="J4272">
        <v>9.39</v>
      </c>
      <c r="K4272">
        <v>97</v>
      </c>
      <c r="L4272">
        <v>-126.27</v>
      </c>
      <c r="M4272">
        <v>89</v>
      </c>
      <c r="N4272">
        <v>19.850000000000001</v>
      </c>
      <c r="O4272">
        <v>85</v>
      </c>
      <c r="P4272">
        <v>-10.56</v>
      </c>
      <c r="Q4272">
        <v>92</v>
      </c>
      <c r="R4272">
        <v>6.2</v>
      </c>
      <c r="S4272">
        <v>84</v>
      </c>
      <c r="T4272">
        <v>-1.64</v>
      </c>
      <c r="U4272">
        <v>88</v>
      </c>
      <c r="V4272">
        <v>-3.41</v>
      </c>
      <c r="W4272">
        <v>76</v>
      </c>
      <c r="X4272" t="s">
        <v>94</v>
      </c>
      <c r="Y4272" t="s">
        <v>171</v>
      </c>
      <c r="Z4272" t="s">
        <v>96</v>
      </c>
      <c r="AA4272" t="s">
        <v>988</v>
      </c>
      <c r="AB4272" t="s">
        <v>7494</v>
      </c>
      <c r="AC4272">
        <v>96</v>
      </c>
      <c r="AD4272">
        <v>61</v>
      </c>
      <c r="AE4272">
        <v>97</v>
      </c>
      <c r="AF4272">
        <v>123.25</v>
      </c>
      <c r="AG4272">
        <v>-1.01</v>
      </c>
      <c r="AH4272">
        <v>3.84</v>
      </c>
      <c r="AI4272">
        <v>-0.1</v>
      </c>
      <c r="AJ4272">
        <v>-0.01</v>
      </c>
      <c r="AK4272">
        <v>89</v>
      </c>
      <c r="AL4272">
        <v>89</v>
      </c>
      <c r="AM4272">
        <v>49</v>
      </c>
      <c r="AN4272">
        <v>6.87</v>
      </c>
      <c r="AO4272">
        <v>-3.2</v>
      </c>
      <c r="AP4272">
        <v>166</v>
      </c>
      <c r="AQ4272">
        <v>0</v>
      </c>
      <c r="AR4272">
        <v>8.14</v>
      </c>
      <c r="AS4272">
        <v>78</v>
      </c>
      <c r="AT4272">
        <v>4.1900000000000004</v>
      </c>
      <c r="AU4272">
        <v>89</v>
      </c>
      <c r="AV4272">
        <v>-3.18</v>
      </c>
      <c r="AW4272">
        <v>92</v>
      </c>
      <c r="AX4272">
        <v>-0.73</v>
      </c>
      <c r="AY4272">
        <v>83</v>
      </c>
      <c r="AZ4272">
        <v>5.32</v>
      </c>
      <c r="BA4272">
        <v>67</v>
      </c>
      <c r="BB4272">
        <v>4.37</v>
      </c>
      <c r="BC4272">
        <v>69</v>
      </c>
      <c r="BD4272">
        <v>-7.0000000000000007E-2</v>
      </c>
      <c r="BE4272">
        <v>-0.04</v>
      </c>
      <c r="BF4272">
        <v>0.05</v>
      </c>
      <c r="BG4272">
        <v>94</v>
      </c>
      <c r="BH4272">
        <v>-0.1</v>
      </c>
      <c r="BI4272">
        <v>-0.57999999999999996</v>
      </c>
      <c r="BJ4272">
        <v>39</v>
      </c>
      <c r="BK4272">
        <v>23</v>
      </c>
      <c r="BL4272">
        <v>0.55000000000000004</v>
      </c>
      <c r="BM4272">
        <v>0.28999999999999998</v>
      </c>
      <c r="BN4272">
        <v>1.23</v>
      </c>
      <c r="BO4272">
        <v>0.61</v>
      </c>
      <c r="BP4272">
        <v>0.83</v>
      </c>
      <c r="BQ4272">
        <v>0.75</v>
      </c>
      <c r="BR4272">
        <v>0.96</v>
      </c>
      <c r="BS4272">
        <v>0.1</v>
      </c>
      <c r="BT4272">
        <v>-1.41</v>
      </c>
      <c r="BU4272">
        <v>1.1599999999999999</v>
      </c>
      <c r="BV4272">
        <v>1.92</v>
      </c>
      <c r="BW4272">
        <v>2.15</v>
      </c>
      <c r="BX4272">
        <v>0.57999999999999996</v>
      </c>
      <c r="BY4272">
        <v>1.32</v>
      </c>
      <c r="BZ4272">
        <v>-0.35</v>
      </c>
      <c r="CA4272">
        <v>1.39</v>
      </c>
      <c r="CB4272">
        <v>1.47</v>
      </c>
      <c r="CC4272">
        <v>0.46</v>
      </c>
      <c r="CD4272">
        <v>-0.28000000000000003</v>
      </c>
      <c r="CE4272">
        <v>0.72</v>
      </c>
      <c r="CF4272">
        <v>0.76</v>
      </c>
      <c r="CG4272">
        <v>0</v>
      </c>
      <c r="CH4272">
        <v>1.1499999999999999</v>
      </c>
      <c r="CI4272">
        <v>0</v>
      </c>
      <c r="CJ4272">
        <v>-4.2</v>
      </c>
      <c r="CK4272">
        <v>93</v>
      </c>
      <c r="CL4272">
        <v>-1.06</v>
      </c>
      <c r="CM4272">
        <v>92</v>
      </c>
      <c r="CN4272">
        <v>-0.53</v>
      </c>
      <c r="CO4272">
        <v>91</v>
      </c>
      <c r="CP4272">
        <v>-0.2</v>
      </c>
      <c r="CQ4272">
        <v>91</v>
      </c>
      <c r="CR4272">
        <v>0</v>
      </c>
      <c r="CS4272">
        <v>0</v>
      </c>
      <c r="CT4272">
        <v>16</v>
      </c>
      <c r="CU4272">
        <v>88</v>
      </c>
      <c r="CV4272">
        <v>0.17</v>
      </c>
      <c r="CW4272">
        <v>44</v>
      </c>
      <c r="CX4272" t="s">
        <v>311</v>
      </c>
    </row>
    <row r="4273" spans="1:102" x14ac:dyDescent="0.3">
      <c r="A4273" t="str">
        <f>HYPERLINK("https://webapp.icbf.com/v2/app/bull-search/view/122809167","LRI")</f>
        <v>LRI</v>
      </c>
      <c r="B4273" t="s">
        <v>4045</v>
      </c>
      <c r="C4273" t="s">
        <v>4046</v>
      </c>
      <c r="D4273" s="1">
        <v>33978</v>
      </c>
      <c r="E4273" t="s">
        <v>92</v>
      </c>
      <c r="F4273">
        <v>100</v>
      </c>
      <c r="G4273" t="s">
        <v>109</v>
      </c>
      <c r="H4273">
        <v>-106.48</v>
      </c>
      <c r="I4273">
        <v>81</v>
      </c>
      <c r="J4273">
        <v>-12.08</v>
      </c>
      <c r="K4273">
        <v>93</v>
      </c>
      <c r="L4273">
        <v>-78.55</v>
      </c>
      <c r="M4273">
        <v>87</v>
      </c>
      <c r="N4273">
        <v>-16.39</v>
      </c>
      <c r="O4273">
        <v>61</v>
      </c>
      <c r="P4273">
        <v>0.49</v>
      </c>
      <c r="Q4273">
        <v>61</v>
      </c>
      <c r="R4273">
        <v>-1.03</v>
      </c>
      <c r="S4273">
        <v>78</v>
      </c>
      <c r="T4273">
        <v>4.72</v>
      </c>
      <c r="U4273">
        <v>57</v>
      </c>
      <c r="V4273">
        <v>-3.64</v>
      </c>
      <c r="W4273">
        <v>65</v>
      </c>
      <c r="X4273" t="s">
        <v>94</v>
      </c>
      <c r="Y4273" t="s">
        <v>95</v>
      </c>
      <c r="Z4273" t="s">
        <v>96</v>
      </c>
      <c r="AA4273" t="s">
        <v>1506</v>
      </c>
      <c r="AB4273" t="s">
        <v>4047</v>
      </c>
      <c r="AC4273">
        <v>0</v>
      </c>
      <c r="AD4273">
        <v>0</v>
      </c>
      <c r="AE4273">
        <v>93</v>
      </c>
      <c r="AF4273">
        <v>37.83</v>
      </c>
      <c r="AG4273">
        <v>0.86</v>
      </c>
      <c r="AH4273">
        <v>-1.78</v>
      </c>
      <c r="AI4273">
        <v>-0.01</v>
      </c>
      <c r="AJ4273">
        <v>-0.05</v>
      </c>
      <c r="AK4273">
        <v>87</v>
      </c>
      <c r="AL4273">
        <v>0</v>
      </c>
      <c r="AM4273">
        <v>0</v>
      </c>
      <c r="AN4273">
        <v>4.59</v>
      </c>
      <c r="AO4273">
        <v>-1.67</v>
      </c>
      <c r="AP4273">
        <v>3</v>
      </c>
      <c r="AQ4273">
        <v>0</v>
      </c>
      <c r="AR4273">
        <v>10.130000000000001</v>
      </c>
      <c r="AS4273">
        <v>58</v>
      </c>
      <c r="AT4273">
        <v>4.6100000000000003</v>
      </c>
      <c r="AU4273">
        <v>85</v>
      </c>
      <c r="AV4273">
        <v>0.01</v>
      </c>
      <c r="AW4273">
        <v>53</v>
      </c>
      <c r="AX4273">
        <v>-0.61</v>
      </c>
      <c r="AY4273">
        <v>52</v>
      </c>
      <c r="AZ4273">
        <v>5.72</v>
      </c>
      <c r="BA4273">
        <v>49</v>
      </c>
      <c r="BB4273">
        <v>4.12</v>
      </c>
      <c r="BC4273">
        <v>52</v>
      </c>
      <c r="BD4273">
        <v>-0.02</v>
      </c>
      <c r="BE4273">
        <v>0.03</v>
      </c>
      <c r="BF4273">
        <v>0</v>
      </c>
      <c r="BG4273">
        <v>93</v>
      </c>
      <c r="BH4273">
        <v>0</v>
      </c>
      <c r="BI4273">
        <v>11.73</v>
      </c>
      <c r="BJ4273">
        <v>1</v>
      </c>
      <c r="BK4273">
        <v>1</v>
      </c>
      <c r="BL4273">
        <v>1.06</v>
      </c>
      <c r="BM4273">
        <v>-2.21</v>
      </c>
      <c r="BN4273">
        <v>-0.79</v>
      </c>
      <c r="BO4273">
        <v>1.2</v>
      </c>
      <c r="BP4273">
        <v>-0.17</v>
      </c>
      <c r="BQ4273">
        <v>-1.62</v>
      </c>
      <c r="BR4273">
        <v>-0.62</v>
      </c>
      <c r="BS4273">
        <v>2.34</v>
      </c>
      <c r="BT4273">
        <v>0.94</v>
      </c>
      <c r="BU4273">
        <v>-0.49</v>
      </c>
      <c r="BV4273">
        <v>-0.31</v>
      </c>
      <c r="BW4273">
        <v>1.1599999999999999</v>
      </c>
      <c r="BX4273">
        <v>0.76</v>
      </c>
      <c r="BY4273">
        <v>0.2</v>
      </c>
      <c r="BZ4273">
        <v>0.68</v>
      </c>
      <c r="CA4273">
        <v>1</v>
      </c>
      <c r="CB4273">
        <v>0.48</v>
      </c>
      <c r="CC4273">
        <v>1.72</v>
      </c>
      <c r="CD4273">
        <v>-1.56</v>
      </c>
      <c r="CE4273">
        <v>0.93</v>
      </c>
      <c r="CF4273">
        <v>0.57999999999999996</v>
      </c>
      <c r="CG4273">
        <v>0</v>
      </c>
      <c r="CH4273">
        <v>0.27</v>
      </c>
      <c r="CI4273">
        <v>0</v>
      </c>
      <c r="CJ4273">
        <v>0.7</v>
      </c>
      <c r="CK4273">
        <v>63</v>
      </c>
      <c r="CL4273">
        <v>-0.73</v>
      </c>
      <c r="CM4273">
        <v>60</v>
      </c>
      <c r="CN4273">
        <v>-0.5</v>
      </c>
      <c r="CO4273">
        <v>57</v>
      </c>
      <c r="CP4273">
        <v>8</v>
      </c>
      <c r="CQ4273">
        <v>62</v>
      </c>
      <c r="CR4273">
        <v>0</v>
      </c>
      <c r="CS4273">
        <v>0</v>
      </c>
      <c r="CT4273">
        <v>7.4</v>
      </c>
      <c r="CU4273">
        <v>57</v>
      </c>
      <c r="CV4273">
        <v>0.1</v>
      </c>
      <c r="CW4273">
        <v>38</v>
      </c>
      <c r="CX4273" t="s">
        <v>166</v>
      </c>
    </row>
    <row r="4274" spans="1:102" x14ac:dyDescent="0.3">
      <c r="A4274" t="str">
        <f>HYPERLINK("https://webapp.icbf.com/v2/app/bull-search/view/69091291","BTI")</f>
        <v>BTI</v>
      </c>
      <c r="B4274" t="s">
        <v>9656</v>
      </c>
      <c r="C4274" t="s">
        <v>9657</v>
      </c>
      <c r="D4274" s="1">
        <v>34973</v>
      </c>
      <c r="E4274" t="s">
        <v>92</v>
      </c>
      <c r="F4274">
        <v>100</v>
      </c>
      <c r="G4274" t="s">
        <v>116</v>
      </c>
      <c r="H4274">
        <v>-106.48</v>
      </c>
      <c r="I4274">
        <v>46</v>
      </c>
      <c r="J4274">
        <v>4.59</v>
      </c>
      <c r="K4274">
        <v>47</v>
      </c>
      <c r="L4274">
        <v>-102.8</v>
      </c>
      <c r="M4274">
        <v>37</v>
      </c>
      <c r="N4274">
        <v>-6.11</v>
      </c>
      <c r="O4274">
        <v>48</v>
      </c>
      <c r="P4274">
        <v>-7.69</v>
      </c>
      <c r="Q4274">
        <v>73</v>
      </c>
      <c r="R4274">
        <v>-6.1</v>
      </c>
      <c r="S4274">
        <v>36</v>
      </c>
      <c r="T4274">
        <v>11.9</v>
      </c>
      <c r="U4274">
        <v>57</v>
      </c>
      <c r="V4274">
        <v>-0.27</v>
      </c>
      <c r="W4274">
        <v>30</v>
      </c>
      <c r="X4274" t="s">
        <v>94</v>
      </c>
      <c r="Y4274" t="s">
        <v>1499</v>
      </c>
      <c r="Z4274">
        <v>0</v>
      </c>
      <c r="AA4274" t="s">
        <v>924</v>
      </c>
      <c r="AB4274" t="s">
        <v>9658</v>
      </c>
      <c r="AC4274">
        <v>7</v>
      </c>
      <c r="AD4274">
        <v>3</v>
      </c>
      <c r="AE4274">
        <v>47</v>
      </c>
      <c r="AF4274">
        <v>33.450000000000003</v>
      </c>
      <c r="AG4274">
        <v>-0.05</v>
      </c>
      <c r="AH4274">
        <v>1.31</v>
      </c>
      <c r="AI4274">
        <v>-0.02</v>
      </c>
      <c r="AJ4274">
        <v>0</v>
      </c>
      <c r="AK4274">
        <v>37</v>
      </c>
      <c r="AL4274">
        <v>9</v>
      </c>
      <c r="AM4274">
        <v>5</v>
      </c>
      <c r="AN4274">
        <v>6.26</v>
      </c>
      <c r="AO4274">
        <v>-1.93</v>
      </c>
      <c r="AP4274">
        <v>0</v>
      </c>
      <c r="AQ4274">
        <v>1</v>
      </c>
      <c r="AR4274">
        <v>7</v>
      </c>
      <c r="AS4274">
        <v>27</v>
      </c>
      <c r="AT4274">
        <v>3.22</v>
      </c>
      <c r="AU4274">
        <v>31</v>
      </c>
      <c r="AV4274">
        <v>1.49</v>
      </c>
      <c r="AW4274">
        <v>69</v>
      </c>
      <c r="AX4274">
        <v>-0.83</v>
      </c>
      <c r="AY4274">
        <v>49</v>
      </c>
      <c r="AZ4274">
        <v>5.87</v>
      </c>
      <c r="BA4274">
        <v>27</v>
      </c>
      <c r="BB4274">
        <v>4.59</v>
      </c>
      <c r="BC4274">
        <v>29</v>
      </c>
      <c r="BD4274">
        <v>0.05</v>
      </c>
      <c r="BE4274">
        <v>0.03</v>
      </c>
      <c r="BF4274">
        <v>0</v>
      </c>
      <c r="BG4274">
        <v>40</v>
      </c>
      <c r="BH4274">
        <v>0.09</v>
      </c>
      <c r="BI4274">
        <v>11.29</v>
      </c>
      <c r="BJ4274">
        <v>0</v>
      </c>
      <c r="BK4274">
        <v>0</v>
      </c>
      <c r="BL4274">
        <v>0.27</v>
      </c>
      <c r="BM4274">
        <v>-0.17</v>
      </c>
      <c r="BN4274">
        <v>0.1</v>
      </c>
      <c r="BO4274">
        <v>0.3</v>
      </c>
      <c r="BP4274">
        <v>0.17</v>
      </c>
      <c r="BQ4274">
        <v>-0.81</v>
      </c>
      <c r="BR4274">
        <v>0.1</v>
      </c>
      <c r="BS4274">
        <v>-1.02</v>
      </c>
      <c r="BT4274">
        <v>-0.09</v>
      </c>
      <c r="BU4274">
        <v>0.76</v>
      </c>
      <c r="BV4274">
        <v>0.3</v>
      </c>
      <c r="BW4274">
        <v>0.01</v>
      </c>
      <c r="BX4274">
        <v>0.33</v>
      </c>
      <c r="BY4274">
        <v>0.27</v>
      </c>
      <c r="BZ4274">
        <v>0.75</v>
      </c>
      <c r="CA4274">
        <v>0.28999999999999998</v>
      </c>
      <c r="CB4274">
        <v>0.69</v>
      </c>
      <c r="CC4274">
        <v>-0.63</v>
      </c>
      <c r="CD4274">
        <v>-0.05</v>
      </c>
      <c r="CE4274">
        <v>0.47</v>
      </c>
      <c r="CF4274">
        <v>0.34</v>
      </c>
      <c r="CG4274">
        <v>0</v>
      </c>
      <c r="CH4274">
        <v>0.2</v>
      </c>
      <c r="CI4274">
        <v>0</v>
      </c>
      <c r="CJ4274">
        <v>-1.6</v>
      </c>
      <c r="CK4274">
        <v>76</v>
      </c>
      <c r="CL4274">
        <v>-0.5</v>
      </c>
      <c r="CM4274">
        <v>72</v>
      </c>
      <c r="CN4274">
        <v>-0.08</v>
      </c>
      <c r="CO4274">
        <v>69</v>
      </c>
      <c r="CP4274">
        <v>-8.4</v>
      </c>
      <c r="CQ4274">
        <v>61</v>
      </c>
      <c r="CR4274">
        <v>0</v>
      </c>
      <c r="CS4274">
        <v>0</v>
      </c>
      <c r="CT4274">
        <v>-2.2999999999999998</v>
      </c>
      <c r="CU4274">
        <v>57</v>
      </c>
      <c r="CV4274">
        <v>7.0000000000000007E-2</v>
      </c>
      <c r="CW4274">
        <v>21</v>
      </c>
      <c r="CX4274" t="s">
        <v>485</v>
      </c>
    </row>
    <row r="4275" spans="1:102" x14ac:dyDescent="0.3">
      <c r="A4275" t="str">
        <f>HYPERLINK("https://webapp.icbf.com/v2/app/bull-search/view/62240367","MIH")</f>
        <v>MIH</v>
      </c>
      <c r="B4275" t="s">
        <v>7321</v>
      </c>
      <c r="C4275" t="s">
        <v>7322</v>
      </c>
      <c r="D4275" s="1">
        <v>36805</v>
      </c>
      <c r="E4275" t="s">
        <v>92</v>
      </c>
      <c r="F4275">
        <v>100</v>
      </c>
      <c r="G4275" t="s">
        <v>116</v>
      </c>
      <c r="H4275">
        <v>-106.52</v>
      </c>
      <c r="I4275">
        <v>42</v>
      </c>
      <c r="J4275">
        <v>8.98</v>
      </c>
      <c r="K4275">
        <v>50</v>
      </c>
      <c r="L4275">
        <v>-111.59</v>
      </c>
      <c r="M4275">
        <v>35</v>
      </c>
      <c r="N4275">
        <v>9.35</v>
      </c>
      <c r="O4275">
        <v>40</v>
      </c>
      <c r="P4275">
        <v>-4.3899999999999997</v>
      </c>
      <c r="Q4275">
        <v>45</v>
      </c>
      <c r="R4275">
        <v>-13.76</v>
      </c>
      <c r="S4275">
        <v>40</v>
      </c>
      <c r="T4275">
        <v>9.39</v>
      </c>
      <c r="U4275">
        <v>48</v>
      </c>
      <c r="V4275">
        <v>-4.5</v>
      </c>
      <c r="W4275">
        <v>30</v>
      </c>
      <c r="X4275" t="s">
        <v>94</v>
      </c>
      <c r="Y4275" t="s">
        <v>1062</v>
      </c>
      <c r="Z4275" t="s">
        <v>96</v>
      </c>
      <c r="AA4275" t="s">
        <v>1384</v>
      </c>
      <c r="AB4275" t="s">
        <v>7323</v>
      </c>
      <c r="AC4275">
        <v>4</v>
      </c>
      <c r="AD4275">
        <v>3</v>
      </c>
      <c r="AE4275">
        <v>50</v>
      </c>
      <c r="AF4275">
        <v>101.13</v>
      </c>
      <c r="AG4275">
        <v>5.44</v>
      </c>
      <c r="AH4275">
        <v>1.1499999999999999</v>
      </c>
      <c r="AI4275">
        <v>0.02</v>
      </c>
      <c r="AJ4275">
        <v>-0.04</v>
      </c>
      <c r="AK4275">
        <v>35</v>
      </c>
      <c r="AL4275">
        <v>3</v>
      </c>
      <c r="AM4275">
        <v>3</v>
      </c>
      <c r="AN4275">
        <v>6.01</v>
      </c>
      <c r="AO4275">
        <v>-2.89</v>
      </c>
      <c r="AP4275">
        <v>2</v>
      </c>
      <c r="AQ4275">
        <v>0</v>
      </c>
      <c r="AR4275">
        <v>7.44</v>
      </c>
      <c r="AS4275">
        <v>31</v>
      </c>
      <c r="AT4275">
        <v>3.77</v>
      </c>
      <c r="AU4275">
        <v>35</v>
      </c>
      <c r="AV4275">
        <v>-1.71</v>
      </c>
      <c r="AW4275">
        <v>48</v>
      </c>
      <c r="AX4275">
        <v>0.2</v>
      </c>
      <c r="AY4275">
        <v>37</v>
      </c>
      <c r="AZ4275">
        <v>6.95</v>
      </c>
      <c r="BA4275">
        <v>31</v>
      </c>
      <c r="BB4275">
        <v>4.5</v>
      </c>
      <c r="BC4275">
        <v>32</v>
      </c>
      <c r="BD4275">
        <v>0.05</v>
      </c>
      <c r="BE4275">
        <v>7.0000000000000007E-2</v>
      </c>
      <c r="BF4275">
        <v>0.1</v>
      </c>
      <c r="BG4275">
        <v>45</v>
      </c>
      <c r="BH4275">
        <v>-0.12</v>
      </c>
      <c r="BI4275">
        <v>0.62</v>
      </c>
      <c r="BJ4275">
        <v>0</v>
      </c>
      <c r="BK4275">
        <v>0</v>
      </c>
      <c r="BL4275">
        <v>0.9</v>
      </c>
      <c r="BM4275">
        <v>-0.26</v>
      </c>
      <c r="BN4275">
        <v>0.7</v>
      </c>
      <c r="BO4275">
        <v>0.79</v>
      </c>
      <c r="BP4275">
        <v>0.96</v>
      </c>
      <c r="BQ4275">
        <v>-0.33</v>
      </c>
      <c r="BR4275">
        <v>-0.08</v>
      </c>
      <c r="BS4275">
        <v>0.89</v>
      </c>
      <c r="BT4275">
        <v>0.49</v>
      </c>
      <c r="BU4275">
        <v>0.41</v>
      </c>
      <c r="BV4275">
        <v>0.45</v>
      </c>
      <c r="BW4275">
        <v>0.89</v>
      </c>
      <c r="BX4275">
        <v>0.55000000000000004</v>
      </c>
      <c r="BY4275">
        <v>1.2</v>
      </c>
      <c r="BZ4275">
        <v>-1.05</v>
      </c>
      <c r="CA4275">
        <v>0.59</v>
      </c>
      <c r="CB4275">
        <v>0.34</v>
      </c>
      <c r="CC4275">
        <v>0.86</v>
      </c>
      <c r="CD4275">
        <v>-0.38</v>
      </c>
      <c r="CE4275">
        <v>0.73</v>
      </c>
      <c r="CF4275">
        <v>0.88</v>
      </c>
      <c r="CG4275">
        <v>0</v>
      </c>
      <c r="CH4275">
        <v>1.72</v>
      </c>
      <c r="CI4275">
        <v>0</v>
      </c>
      <c r="CJ4275">
        <v>-0.7</v>
      </c>
      <c r="CK4275">
        <v>46</v>
      </c>
      <c r="CL4275">
        <v>-0.65</v>
      </c>
      <c r="CM4275">
        <v>43</v>
      </c>
      <c r="CN4275">
        <v>-0.32</v>
      </c>
      <c r="CO4275">
        <v>41</v>
      </c>
      <c r="CP4275">
        <v>-3.1</v>
      </c>
      <c r="CQ4275">
        <v>47</v>
      </c>
      <c r="CR4275">
        <v>0</v>
      </c>
      <c r="CS4275">
        <v>0</v>
      </c>
      <c r="CT4275">
        <v>1.1000000000000001</v>
      </c>
      <c r="CU4275">
        <v>48</v>
      </c>
      <c r="CV4275">
        <v>0.14000000000000001</v>
      </c>
      <c r="CW4275">
        <v>13</v>
      </c>
      <c r="CX4275" t="s">
        <v>1696</v>
      </c>
    </row>
    <row r="4276" spans="1:102" x14ac:dyDescent="0.3">
      <c r="A4276" t="str">
        <f>HYPERLINK("https://webapp.icbf.com/v2/app/bull-search/view/474731737","ETX")</f>
        <v>ETX</v>
      </c>
      <c r="B4276" t="s">
        <v>8193</v>
      </c>
      <c r="C4276" t="s">
        <v>348</v>
      </c>
      <c r="D4276" s="1">
        <v>37353</v>
      </c>
      <c r="E4276" t="s">
        <v>92</v>
      </c>
      <c r="F4276">
        <v>100</v>
      </c>
      <c r="G4276" t="s">
        <v>93</v>
      </c>
      <c r="H4276">
        <v>-106.59</v>
      </c>
      <c r="I4276">
        <v>93</v>
      </c>
      <c r="J4276">
        <v>36.96</v>
      </c>
      <c r="K4276">
        <v>98</v>
      </c>
      <c r="L4276">
        <v>-140.1</v>
      </c>
      <c r="M4276">
        <v>93</v>
      </c>
      <c r="N4276">
        <v>11.77</v>
      </c>
      <c r="O4276">
        <v>89</v>
      </c>
      <c r="P4276">
        <v>-6.97</v>
      </c>
      <c r="Q4276">
        <v>92</v>
      </c>
      <c r="R4276">
        <v>-5.05</v>
      </c>
      <c r="S4276">
        <v>84</v>
      </c>
      <c r="T4276">
        <v>-0.9</v>
      </c>
      <c r="U4276">
        <v>88</v>
      </c>
      <c r="V4276">
        <v>-2.2999999999999998</v>
      </c>
      <c r="W4276">
        <v>73</v>
      </c>
      <c r="X4276" t="s">
        <v>288</v>
      </c>
      <c r="Y4276" t="s">
        <v>221</v>
      </c>
      <c r="Z4276" t="s">
        <v>96</v>
      </c>
      <c r="AA4276" t="s">
        <v>2476</v>
      </c>
      <c r="AB4276" t="s">
        <v>8194</v>
      </c>
      <c r="AC4276">
        <v>127</v>
      </c>
      <c r="AD4276">
        <v>68</v>
      </c>
      <c r="AE4276">
        <v>98</v>
      </c>
      <c r="AF4276">
        <v>661.63</v>
      </c>
      <c r="AG4276">
        <v>15.47</v>
      </c>
      <c r="AH4276">
        <v>10.94</v>
      </c>
      <c r="AI4276">
        <v>-0.16</v>
      </c>
      <c r="AJ4276">
        <v>-0.18</v>
      </c>
      <c r="AK4276">
        <v>93</v>
      </c>
      <c r="AL4276">
        <v>129</v>
      </c>
      <c r="AM4276">
        <v>64</v>
      </c>
      <c r="AN4276">
        <v>10.18</v>
      </c>
      <c r="AO4276">
        <v>-0.96</v>
      </c>
      <c r="AP4276">
        <v>183</v>
      </c>
      <c r="AQ4276">
        <v>0</v>
      </c>
      <c r="AR4276">
        <v>8.85</v>
      </c>
      <c r="AS4276">
        <v>84</v>
      </c>
      <c r="AT4276">
        <v>3.59</v>
      </c>
      <c r="AU4276">
        <v>99</v>
      </c>
      <c r="AV4276">
        <v>-2.46</v>
      </c>
      <c r="AW4276">
        <v>93</v>
      </c>
      <c r="AX4276">
        <v>-0.9</v>
      </c>
      <c r="AY4276">
        <v>88</v>
      </c>
      <c r="AZ4276">
        <v>6.41</v>
      </c>
      <c r="BA4276">
        <v>73</v>
      </c>
      <c r="BB4276">
        <v>5.45</v>
      </c>
      <c r="BC4276">
        <v>68</v>
      </c>
      <c r="BD4276">
        <v>0.03</v>
      </c>
      <c r="BE4276">
        <v>0.04</v>
      </c>
      <c r="BF4276">
        <v>-0.01</v>
      </c>
      <c r="BG4276">
        <v>96</v>
      </c>
      <c r="BH4276">
        <v>0.04</v>
      </c>
      <c r="BI4276">
        <v>12.04</v>
      </c>
      <c r="BJ4276">
        <v>83</v>
      </c>
      <c r="BK4276">
        <v>45</v>
      </c>
      <c r="BL4276">
        <v>1.08</v>
      </c>
      <c r="BM4276">
        <v>0.13</v>
      </c>
      <c r="BN4276">
        <v>2.0699999999999998</v>
      </c>
      <c r="BO4276">
        <v>1.52</v>
      </c>
      <c r="BP4276">
        <v>0.99</v>
      </c>
      <c r="BQ4276">
        <v>1.33</v>
      </c>
      <c r="BR4276">
        <v>-1.55</v>
      </c>
      <c r="BS4276">
        <v>0.1</v>
      </c>
      <c r="BT4276">
        <v>1.57</v>
      </c>
      <c r="BU4276">
        <v>1.31</v>
      </c>
      <c r="BV4276">
        <v>2.87</v>
      </c>
      <c r="BW4276">
        <v>2.1</v>
      </c>
      <c r="BX4276">
        <v>-0.19</v>
      </c>
      <c r="BY4276">
        <v>-0.28999999999999998</v>
      </c>
      <c r="BZ4276">
        <v>1.82</v>
      </c>
      <c r="CA4276">
        <v>1.28</v>
      </c>
      <c r="CB4276">
        <v>1.47</v>
      </c>
      <c r="CC4276">
        <v>1.24</v>
      </c>
      <c r="CD4276">
        <v>-0.71</v>
      </c>
      <c r="CE4276">
        <v>1.63</v>
      </c>
      <c r="CF4276">
        <v>1.9</v>
      </c>
      <c r="CG4276">
        <v>0</v>
      </c>
      <c r="CH4276">
        <v>-0.51</v>
      </c>
      <c r="CI4276">
        <v>0</v>
      </c>
      <c r="CJ4276">
        <v>-2.4</v>
      </c>
      <c r="CK4276">
        <v>93</v>
      </c>
      <c r="CL4276">
        <v>-1.0900000000000001</v>
      </c>
      <c r="CM4276">
        <v>92</v>
      </c>
      <c r="CN4276">
        <v>-0.61</v>
      </c>
      <c r="CO4276">
        <v>91</v>
      </c>
      <c r="CP4276">
        <v>3</v>
      </c>
      <c r="CQ4276">
        <v>91</v>
      </c>
      <c r="CR4276">
        <v>0</v>
      </c>
      <c r="CS4276">
        <v>0</v>
      </c>
      <c r="CT4276">
        <v>15</v>
      </c>
      <c r="CU4276">
        <v>88</v>
      </c>
      <c r="CV4276">
        <v>0.2</v>
      </c>
      <c r="CW4276">
        <v>44</v>
      </c>
      <c r="CX4276" t="s">
        <v>3035</v>
      </c>
    </row>
    <row r="4277" spans="1:102" x14ac:dyDescent="0.3">
      <c r="A4277" t="str">
        <f>HYPERLINK("https://webapp.icbf.com/v2/app/bull-search/view/1097412984","S2305")</f>
        <v>S2305</v>
      </c>
      <c r="B4277" t="s">
        <v>15495</v>
      </c>
      <c r="C4277" t="s">
        <v>15496</v>
      </c>
      <c r="D4277" s="1">
        <v>40566</v>
      </c>
      <c r="E4277" t="s">
        <v>92</v>
      </c>
      <c r="F4277">
        <v>100</v>
      </c>
      <c r="G4277" t="s">
        <v>109</v>
      </c>
      <c r="H4277">
        <v>-106.73</v>
      </c>
      <c r="I4277">
        <v>65</v>
      </c>
      <c r="J4277">
        <v>17.25</v>
      </c>
      <c r="K4277">
        <v>83</v>
      </c>
      <c r="L4277">
        <v>-92.69</v>
      </c>
      <c r="M4277">
        <v>77</v>
      </c>
      <c r="N4277">
        <v>-18.600000000000001</v>
      </c>
      <c r="O4277">
        <v>41</v>
      </c>
      <c r="P4277">
        <v>-1.96</v>
      </c>
      <c r="Q4277">
        <v>28</v>
      </c>
      <c r="R4277">
        <v>1.01</v>
      </c>
      <c r="S4277">
        <v>56</v>
      </c>
      <c r="T4277">
        <v>-16.22</v>
      </c>
      <c r="U4277">
        <v>39</v>
      </c>
      <c r="V4277">
        <v>4.4800000000000004</v>
      </c>
      <c r="W4277">
        <v>16</v>
      </c>
      <c r="X4277" t="s">
        <v>428</v>
      </c>
      <c r="Y4277" t="s">
        <v>411</v>
      </c>
      <c r="Z4277" t="s">
        <v>96</v>
      </c>
      <c r="AA4277" t="s">
        <v>5474</v>
      </c>
      <c r="AB4277" t="s">
        <v>15497</v>
      </c>
      <c r="AC4277">
        <v>0</v>
      </c>
      <c r="AD4277">
        <v>0</v>
      </c>
      <c r="AE4277">
        <v>83</v>
      </c>
      <c r="AF4277">
        <v>512.97</v>
      </c>
      <c r="AG4277">
        <v>2.87</v>
      </c>
      <c r="AH4277">
        <v>9.77</v>
      </c>
      <c r="AI4277">
        <v>-0.26</v>
      </c>
      <c r="AJ4277">
        <v>-0.12</v>
      </c>
      <c r="AK4277">
        <v>77</v>
      </c>
      <c r="AL4277">
        <v>0</v>
      </c>
      <c r="AM4277">
        <v>0</v>
      </c>
      <c r="AN4277">
        <v>6.74</v>
      </c>
      <c r="AO4277">
        <v>-0.63</v>
      </c>
      <c r="AP4277">
        <v>18</v>
      </c>
      <c r="AQ4277">
        <v>0</v>
      </c>
      <c r="AR4277">
        <v>12.59</v>
      </c>
      <c r="AS4277">
        <v>24</v>
      </c>
      <c r="AT4277">
        <v>5.28</v>
      </c>
      <c r="AU4277">
        <v>87</v>
      </c>
      <c r="AV4277">
        <v>-2.33</v>
      </c>
      <c r="AW4277">
        <v>27</v>
      </c>
      <c r="AX4277">
        <v>-0.4</v>
      </c>
      <c r="AY4277">
        <v>35</v>
      </c>
      <c r="AZ4277">
        <v>5.97</v>
      </c>
      <c r="BA4277">
        <v>17</v>
      </c>
      <c r="BB4277">
        <v>4.5999999999999996</v>
      </c>
      <c r="BC4277">
        <v>16</v>
      </c>
      <c r="BD4277">
        <v>-0.02</v>
      </c>
      <c r="BE4277">
        <v>0</v>
      </c>
      <c r="BF4277">
        <v>0.01</v>
      </c>
      <c r="BG4277">
        <v>87</v>
      </c>
      <c r="BH4277">
        <v>0.02</v>
      </c>
      <c r="BI4277">
        <v>-12.14</v>
      </c>
      <c r="BJ4277">
        <v>0</v>
      </c>
      <c r="BK4277">
        <v>0</v>
      </c>
      <c r="BL4277">
        <v>3.1</v>
      </c>
      <c r="BM4277">
        <v>-1.76</v>
      </c>
      <c r="BN4277">
        <v>0.85</v>
      </c>
      <c r="BO4277">
        <v>2.27</v>
      </c>
      <c r="BP4277">
        <v>-0.97</v>
      </c>
      <c r="BQ4277">
        <v>2.5099999999999998</v>
      </c>
      <c r="BR4277">
        <v>-0.45</v>
      </c>
      <c r="BS4277">
        <v>2.25</v>
      </c>
      <c r="BT4277">
        <v>1.67</v>
      </c>
      <c r="BU4277">
        <v>3.6</v>
      </c>
      <c r="BV4277">
        <v>3.95</v>
      </c>
      <c r="BW4277">
        <v>3.35</v>
      </c>
      <c r="BX4277">
        <v>2.87</v>
      </c>
      <c r="BY4277">
        <v>2.4500000000000002</v>
      </c>
      <c r="BZ4277">
        <v>0.98</v>
      </c>
      <c r="CA4277">
        <v>3.5</v>
      </c>
      <c r="CB4277">
        <v>3.18</v>
      </c>
      <c r="CC4277">
        <v>2.5099999999999998</v>
      </c>
      <c r="CD4277">
        <v>-1.76</v>
      </c>
      <c r="CE4277">
        <v>0</v>
      </c>
      <c r="CF4277">
        <v>0</v>
      </c>
      <c r="CG4277">
        <v>0</v>
      </c>
      <c r="CH4277">
        <v>0</v>
      </c>
      <c r="CI4277">
        <v>0</v>
      </c>
      <c r="CJ4277">
        <v>0.3</v>
      </c>
      <c r="CK4277">
        <v>29</v>
      </c>
      <c r="CL4277">
        <v>-1.29</v>
      </c>
      <c r="CM4277">
        <v>26</v>
      </c>
      <c r="CN4277">
        <v>-0.77</v>
      </c>
      <c r="CO4277">
        <v>25</v>
      </c>
      <c r="CP4277">
        <v>12.8</v>
      </c>
      <c r="CQ4277">
        <v>32</v>
      </c>
      <c r="CR4277">
        <v>0</v>
      </c>
      <c r="CS4277">
        <v>0</v>
      </c>
      <c r="CT4277">
        <v>35.700000000000003</v>
      </c>
      <c r="CU4277">
        <v>39</v>
      </c>
      <c r="CV4277">
        <v>0.33</v>
      </c>
      <c r="CW4277">
        <v>8</v>
      </c>
      <c r="CX4277" t="s">
        <v>309</v>
      </c>
    </row>
    <row r="4278" spans="1:102" x14ac:dyDescent="0.3">
      <c r="A4278" t="str">
        <f>HYPERLINK("https://webapp.icbf.com/v2/app/bull-search/view/77855824","LML")</f>
        <v>LML</v>
      </c>
      <c r="B4278" t="s">
        <v>11253</v>
      </c>
      <c r="C4278" t="s">
        <v>3814</v>
      </c>
      <c r="D4278" s="1">
        <v>32236</v>
      </c>
      <c r="E4278" t="s">
        <v>92</v>
      </c>
      <c r="F4278">
        <v>100</v>
      </c>
      <c r="G4278" t="s">
        <v>109</v>
      </c>
      <c r="H4278">
        <v>-106.98</v>
      </c>
      <c r="I4278">
        <v>83</v>
      </c>
      <c r="J4278">
        <v>-25.01</v>
      </c>
      <c r="K4278">
        <v>92</v>
      </c>
      <c r="L4278">
        <v>-82.15</v>
      </c>
      <c r="M4278">
        <v>88</v>
      </c>
      <c r="N4278">
        <v>-0.06</v>
      </c>
      <c r="O4278">
        <v>71</v>
      </c>
      <c r="P4278">
        <v>-7.35</v>
      </c>
      <c r="Q4278">
        <v>75</v>
      </c>
      <c r="R4278">
        <v>-8.58</v>
      </c>
      <c r="S4278">
        <v>73</v>
      </c>
      <c r="T4278">
        <v>16.559999999999999</v>
      </c>
      <c r="U4278">
        <v>71</v>
      </c>
      <c r="V4278">
        <v>-0.39</v>
      </c>
      <c r="W4278">
        <v>45</v>
      </c>
      <c r="X4278" t="s">
        <v>276</v>
      </c>
      <c r="Y4278" t="s">
        <v>95</v>
      </c>
      <c r="Z4278" t="s">
        <v>96</v>
      </c>
      <c r="AA4278" t="s">
        <v>158</v>
      </c>
      <c r="AB4278" t="s">
        <v>11254</v>
      </c>
      <c r="AC4278">
        <v>12</v>
      </c>
      <c r="AD4278">
        <v>14</v>
      </c>
      <c r="AE4278">
        <v>92</v>
      </c>
      <c r="AF4278">
        <v>228.97</v>
      </c>
      <c r="AG4278">
        <v>3.51</v>
      </c>
      <c r="AH4278">
        <v>-1.99</v>
      </c>
      <c r="AI4278">
        <v>-0.09</v>
      </c>
      <c r="AJ4278">
        <v>-0.16</v>
      </c>
      <c r="AK4278">
        <v>88</v>
      </c>
      <c r="AL4278">
        <v>18</v>
      </c>
      <c r="AM4278">
        <v>16</v>
      </c>
      <c r="AN4278">
        <v>4.57</v>
      </c>
      <c r="AO4278">
        <v>-1.98</v>
      </c>
      <c r="AP4278">
        <v>8</v>
      </c>
      <c r="AQ4278">
        <v>8</v>
      </c>
      <c r="AR4278">
        <v>7.42</v>
      </c>
      <c r="AS4278">
        <v>56</v>
      </c>
      <c r="AT4278">
        <v>3.21</v>
      </c>
      <c r="AU4278">
        <v>96</v>
      </c>
      <c r="AV4278">
        <v>-0.46</v>
      </c>
      <c r="AW4278">
        <v>66</v>
      </c>
      <c r="AX4278">
        <v>-0.28999999999999998</v>
      </c>
      <c r="AY4278">
        <v>74</v>
      </c>
      <c r="AZ4278">
        <v>7.17</v>
      </c>
      <c r="BA4278">
        <v>49</v>
      </c>
      <c r="BB4278">
        <v>5.59</v>
      </c>
      <c r="BC4278">
        <v>54</v>
      </c>
      <c r="BD4278">
        <v>0.02</v>
      </c>
      <c r="BE4278">
        <v>0.06</v>
      </c>
      <c r="BF4278">
        <v>0.05</v>
      </c>
      <c r="BG4278">
        <v>92</v>
      </c>
      <c r="BH4278">
        <v>0.02</v>
      </c>
      <c r="BI4278">
        <v>3.57</v>
      </c>
      <c r="BJ4278">
        <v>7</v>
      </c>
      <c r="BK4278">
        <v>7</v>
      </c>
      <c r="BL4278">
        <v>-0.56999999999999995</v>
      </c>
      <c r="BM4278">
        <v>-0.77</v>
      </c>
      <c r="BN4278">
        <v>0.3</v>
      </c>
      <c r="BO4278">
        <v>0.46</v>
      </c>
      <c r="BP4278">
        <v>-2.12</v>
      </c>
      <c r="BQ4278">
        <v>0.35</v>
      </c>
      <c r="BR4278">
        <v>-1.23</v>
      </c>
      <c r="BS4278">
        <v>0.32</v>
      </c>
      <c r="BT4278">
        <v>1.88</v>
      </c>
      <c r="BU4278">
        <v>0.03</v>
      </c>
      <c r="BV4278">
        <v>0.6</v>
      </c>
      <c r="BW4278">
        <v>-0.02</v>
      </c>
      <c r="BX4278">
        <v>-0.86</v>
      </c>
      <c r="BY4278">
        <v>-0.62</v>
      </c>
      <c r="BZ4278">
        <v>1.38</v>
      </c>
      <c r="CA4278">
        <v>0.42</v>
      </c>
      <c r="CB4278">
        <v>0.44</v>
      </c>
      <c r="CC4278">
        <v>0.33</v>
      </c>
      <c r="CD4278">
        <v>-1.32</v>
      </c>
      <c r="CE4278">
        <v>0.77</v>
      </c>
      <c r="CF4278">
        <v>-0.51</v>
      </c>
      <c r="CG4278">
        <v>0</v>
      </c>
      <c r="CH4278">
        <v>-0.11</v>
      </c>
      <c r="CI4278">
        <v>0</v>
      </c>
      <c r="CJ4278">
        <v>-4.5999999999999996</v>
      </c>
      <c r="CK4278">
        <v>76</v>
      </c>
      <c r="CL4278">
        <v>-0.48</v>
      </c>
      <c r="CM4278">
        <v>73</v>
      </c>
      <c r="CN4278">
        <v>-0.48</v>
      </c>
      <c r="CO4278">
        <v>71</v>
      </c>
      <c r="CP4278">
        <v>-11.1</v>
      </c>
      <c r="CQ4278">
        <v>77</v>
      </c>
      <c r="CR4278">
        <v>0</v>
      </c>
      <c r="CS4278">
        <v>0</v>
      </c>
      <c r="CT4278">
        <v>-8.6</v>
      </c>
      <c r="CU4278">
        <v>71</v>
      </c>
      <c r="CV4278">
        <v>-0.01</v>
      </c>
      <c r="CW4278">
        <v>21</v>
      </c>
      <c r="CX4278" t="s">
        <v>11255</v>
      </c>
    </row>
    <row r="4279" spans="1:102" x14ac:dyDescent="0.3">
      <c r="A4279" t="str">
        <f>HYPERLINK("https://webapp.icbf.com/v2/app/bull-search/view/124415052","JMS")</f>
        <v>JMS</v>
      </c>
      <c r="B4279" t="s">
        <v>11454</v>
      </c>
      <c r="C4279" t="s">
        <v>11455</v>
      </c>
      <c r="D4279" s="1">
        <v>33664</v>
      </c>
      <c r="E4279" t="s">
        <v>92</v>
      </c>
      <c r="F4279">
        <v>100</v>
      </c>
      <c r="G4279" t="s">
        <v>93</v>
      </c>
      <c r="H4279">
        <v>-107.06</v>
      </c>
      <c r="I4279">
        <v>88</v>
      </c>
      <c r="J4279">
        <v>-71.040000000000006</v>
      </c>
      <c r="K4279">
        <v>97</v>
      </c>
      <c r="L4279">
        <v>-42.95</v>
      </c>
      <c r="M4279">
        <v>90</v>
      </c>
      <c r="N4279">
        <v>11.3</v>
      </c>
      <c r="O4279">
        <v>78</v>
      </c>
      <c r="P4279">
        <v>-6.26</v>
      </c>
      <c r="Q4279">
        <v>83</v>
      </c>
      <c r="R4279">
        <v>-17.440000000000001</v>
      </c>
      <c r="S4279">
        <v>82</v>
      </c>
      <c r="T4279">
        <v>17.97</v>
      </c>
      <c r="U4279">
        <v>78</v>
      </c>
      <c r="V4279">
        <v>1.36</v>
      </c>
      <c r="W4279">
        <v>66</v>
      </c>
      <c r="X4279" t="s">
        <v>110</v>
      </c>
      <c r="Y4279" t="s">
        <v>95</v>
      </c>
      <c r="Z4279" t="s">
        <v>96</v>
      </c>
      <c r="AA4279" t="s">
        <v>132</v>
      </c>
      <c r="AB4279" t="s">
        <v>11456</v>
      </c>
      <c r="AC4279">
        <v>111</v>
      </c>
      <c r="AD4279">
        <v>65</v>
      </c>
      <c r="AE4279">
        <v>97</v>
      </c>
      <c r="AF4279">
        <v>94.02</v>
      </c>
      <c r="AG4279">
        <v>-10.41</v>
      </c>
      <c r="AH4279">
        <v>-6.96</v>
      </c>
      <c r="AI4279">
        <v>-0.24</v>
      </c>
      <c r="AJ4279">
        <v>-0.17</v>
      </c>
      <c r="AK4279">
        <v>90</v>
      </c>
      <c r="AL4279">
        <v>104</v>
      </c>
      <c r="AM4279">
        <v>54</v>
      </c>
      <c r="AN4279">
        <v>3.55</v>
      </c>
      <c r="AO4279">
        <v>0.14000000000000001</v>
      </c>
      <c r="AP4279">
        <v>5</v>
      </c>
      <c r="AQ4279">
        <v>0</v>
      </c>
      <c r="AR4279">
        <v>6.73</v>
      </c>
      <c r="AS4279">
        <v>69</v>
      </c>
      <c r="AT4279">
        <v>2.58</v>
      </c>
      <c r="AU4279">
        <v>90</v>
      </c>
      <c r="AV4279">
        <v>-1.2</v>
      </c>
      <c r="AW4279">
        <v>76</v>
      </c>
      <c r="AX4279">
        <v>-0.35</v>
      </c>
      <c r="AY4279">
        <v>80</v>
      </c>
      <c r="AZ4279">
        <v>7.81</v>
      </c>
      <c r="BA4279">
        <v>63</v>
      </c>
      <c r="BB4279">
        <v>5.69</v>
      </c>
      <c r="BC4279">
        <v>69</v>
      </c>
      <c r="BD4279">
        <v>0.09</v>
      </c>
      <c r="BE4279">
        <v>0.09</v>
      </c>
      <c r="BF4279">
        <v>0.08</v>
      </c>
      <c r="BG4279">
        <v>95</v>
      </c>
      <c r="BH4279">
        <v>0.1</v>
      </c>
      <c r="BI4279">
        <v>7.17</v>
      </c>
      <c r="BJ4279">
        <v>16</v>
      </c>
      <c r="BK4279">
        <v>9</v>
      </c>
      <c r="BL4279">
        <v>0.68</v>
      </c>
      <c r="BM4279">
        <v>-1.32</v>
      </c>
      <c r="BN4279">
        <v>0.6</v>
      </c>
      <c r="BO4279">
        <v>1.19</v>
      </c>
      <c r="BP4279">
        <v>-1.06</v>
      </c>
      <c r="BQ4279">
        <v>-0.45</v>
      </c>
      <c r="BR4279">
        <v>0.65</v>
      </c>
      <c r="BS4279">
        <v>1.29</v>
      </c>
      <c r="BT4279">
        <v>0.37</v>
      </c>
      <c r="BU4279">
        <v>0.15</v>
      </c>
      <c r="BV4279">
        <v>0.79</v>
      </c>
      <c r="BW4279">
        <v>1.57</v>
      </c>
      <c r="BX4279">
        <v>-0.31</v>
      </c>
      <c r="BY4279">
        <v>-0.28000000000000003</v>
      </c>
      <c r="BZ4279">
        <v>2.19</v>
      </c>
      <c r="CA4279">
        <v>0.77</v>
      </c>
      <c r="CB4279">
        <v>0.35</v>
      </c>
      <c r="CC4279">
        <v>0.86</v>
      </c>
      <c r="CD4279">
        <v>-1.22</v>
      </c>
      <c r="CE4279">
        <v>0.57999999999999996</v>
      </c>
      <c r="CF4279">
        <v>1.0900000000000001</v>
      </c>
      <c r="CG4279">
        <v>0</v>
      </c>
      <c r="CH4279">
        <v>-0.26</v>
      </c>
      <c r="CI4279">
        <v>0</v>
      </c>
      <c r="CJ4279">
        <v>-3</v>
      </c>
      <c r="CK4279">
        <v>84</v>
      </c>
      <c r="CL4279">
        <v>-0.77</v>
      </c>
      <c r="CM4279">
        <v>82</v>
      </c>
      <c r="CN4279">
        <v>-0.6</v>
      </c>
      <c r="CO4279">
        <v>79</v>
      </c>
      <c r="CP4279">
        <v>-8</v>
      </c>
      <c r="CQ4279">
        <v>91</v>
      </c>
      <c r="CR4279">
        <v>0</v>
      </c>
      <c r="CS4279">
        <v>0</v>
      </c>
      <c r="CT4279">
        <v>-10.5</v>
      </c>
      <c r="CU4279">
        <v>78</v>
      </c>
      <c r="CV4279">
        <v>0.14000000000000001</v>
      </c>
      <c r="CW4279">
        <v>42</v>
      </c>
      <c r="CX4279" t="s">
        <v>11457</v>
      </c>
    </row>
    <row r="4280" spans="1:102" x14ac:dyDescent="0.3">
      <c r="A4280" t="str">
        <f>HYPERLINK("https://webapp.icbf.com/v2/app/bull-search/view/77856538","HQB")</f>
        <v>HQB</v>
      </c>
      <c r="B4280" t="s">
        <v>10364</v>
      </c>
      <c r="C4280" t="s">
        <v>10365</v>
      </c>
      <c r="D4280" s="1">
        <v>33414</v>
      </c>
      <c r="E4280" t="s">
        <v>92</v>
      </c>
      <c r="F4280">
        <v>100</v>
      </c>
      <c r="G4280" t="s">
        <v>109</v>
      </c>
      <c r="H4280">
        <v>-107.26</v>
      </c>
      <c r="I4280">
        <v>77</v>
      </c>
      <c r="J4280">
        <v>-31.7</v>
      </c>
      <c r="K4280">
        <v>92</v>
      </c>
      <c r="L4280">
        <v>-66.16</v>
      </c>
      <c r="M4280">
        <v>77</v>
      </c>
      <c r="N4280">
        <v>-13.73</v>
      </c>
      <c r="O4280">
        <v>61</v>
      </c>
      <c r="P4280">
        <v>-1.56</v>
      </c>
      <c r="Q4280">
        <v>61</v>
      </c>
      <c r="R4280">
        <v>-6.6</v>
      </c>
      <c r="S4280">
        <v>76</v>
      </c>
      <c r="T4280">
        <v>11.75</v>
      </c>
      <c r="U4280">
        <v>62</v>
      </c>
      <c r="V4280">
        <v>0.74</v>
      </c>
      <c r="W4280">
        <v>67</v>
      </c>
      <c r="X4280" t="s">
        <v>276</v>
      </c>
      <c r="Y4280" t="s">
        <v>95</v>
      </c>
      <c r="Z4280" t="s">
        <v>96</v>
      </c>
      <c r="AA4280" t="s">
        <v>111</v>
      </c>
      <c r="AB4280" t="s">
        <v>10366</v>
      </c>
      <c r="AC4280">
        <v>0</v>
      </c>
      <c r="AD4280">
        <v>0</v>
      </c>
      <c r="AE4280">
        <v>92</v>
      </c>
      <c r="AF4280">
        <v>116.87</v>
      </c>
      <c r="AG4280">
        <v>-3.03</v>
      </c>
      <c r="AH4280">
        <v>-2.5299999999999998</v>
      </c>
      <c r="AI4280">
        <v>-0.13</v>
      </c>
      <c r="AJ4280">
        <v>-0.11</v>
      </c>
      <c r="AK4280">
        <v>77</v>
      </c>
      <c r="AL4280">
        <v>0</v>
      </c>
      <c r="AM4280">
        <v>0</v>
      </c>
      <c r="AN4280">
        <v>3.34</v>
      </c>
      <c r="AO4280">
        <v>-1.94</v>
      </c>
      <c r="AP4280">
        <v>12</v>
      </c>
      <c r="AQ4280">
        <v>0</v>
      </c>
      <c r="AR4280">
        <v>9.17</v>
      </c>
      <c r="AS4280">
        <v>58</v>
      </c>
      <c r="AT4280">
        <v>4.13</v>
      </c>
      <c r="AU4280">
        <v>73</v>
      </c>
      <c r="AV4280">
        <v>-0.06</v>
      </c>
      <c r="AW4280">
        <v>59</v>
      </c>
      <c r="AX4280">
        <v>-0.31</v>
      </c>
      <c r="AY4280">
        <v>55</v>
      </c>
      <c r="AZ4280">
        <v>6.67</v>
      </c>
      <c r="BA4280">
        <v>50</v>
      </c>
      <c r="BB4280">
        <v>5.0599999999999996</v>
      </c>
      <c r="BC4280">
        <v>54</v>
      </c>
      <c r="BD4280">
        <v>0.01</v>
      </c>
      <c r="BE4280">
        <v>0.05</v>
      </c>
      <c r="BF4280">
        <v>0.04</v>
      </c>
      <c r="BG4280">
        <v>86</v>
      </c>
      <c r="BH4280">
        <v>0.18</v>
      </c>
      <c r="BI4280">
        <v>18.45</v>
      </c>
      <c r="BJ4280">
        <v>4</v>
      </c>
      <c r="BK4280">
        <v>3</v>
      </c>
      <c r="BL4280">
        <v>0.8</v>
      </c>
      <c r="BM4280">
        <v>-0.16</v>
      </c>
      <c r="BN4280">
        <v>1.33</v>
      </c>
      <c r="BO4280">
        <v>0.5</v>
      </c>
      <c r="BP4280">
        <v>-0.89</v>
      </c>
      <c r="BQ4280">
        <v>-0.45</v>
      </c>
      <c r="BR4280">
        <v>1.06</v>
      </c>
      <c r="BS4280">
        <v>0.16</v>
      </c>
      <c r="BT4280">
        <v>-1.45</v>
      </c>
      <c r="BU4280">
        <v>0.84</v>
      </c>
      <c r="BV4280">
        <v>0.56000000000000005</v>
      </c>
      <c r="BW4280">
        <v>0.38</v>
      </c>
      <c r="BX4280">
        <v>0.65</v>
      </c>
      <c r="BY4280">
        <v>0.31</v>
      </c>
      <c r="BZ4280">
        <v>-0.53</v>
      </c>
      <c r="CA4280">
        <v>0.47</v>
      </c>
      <c r="CB4280">
        <v>0.56999999999999995</v>
      </c>
      <c r="CC4280">
        <v>0.4</v>
      </c>
      <c r="CD4280">
        <v>-0.6</v>
      </c>
      <c r="CE4280">
        <v>1.32</v>
      </c>
      <c r="CF4280">
        <v>1.61</v>
      </c>
      <c r="CG4280">
        <v>0</v>
      </c>
      <c r="CH4280">
        <v>-0.17</v>
      </c>
      <c r="CI4280">
        <v>0</v>
      </c>
      <c r="CJ4280">
        <v>0</v>
      </c>
      <c r="CK4280">
        <v>62</v>
      </c>
      <c r="CL4280">
        <v>-0.56999999999999995</v>
      </c>
      <c r="CM4280">
        <v>59</v>
      </c>
      <c r="CN4280">
        <v>-0.4</v>
      </c>
      <c r="CO4280">
        <v>56</v>
      </c>
      <c r="CP4280">
        <v>-2.4</v>
      </c>
      <c r="CQ4280">
        <v>68</v>
      </c>
      <c r="CR4280">
        <v>0</v>
      </c>
      <c r="CS4280">
        <v>0</v>
      </c>
      <c r="CT4280">
        <v>-2.1</v>
      </c>
      <c r="CU4280">
        <v>62</v>
      </c>
      <c r="CV4280">
        <v>0.1</v>
      </c>
      <c r="CW4280">
        <v>38</v>
      </c>
      <c r="CX4280" t="s">
        <v>120</v>
      </c>
    </row>
    <row r="4281" spans="1:102" x14ac:dyDescent="0.3">
      <c r="A4281" t="str">
        <f>HYPERLINK("https://webapp.icbf.com/v2/app/bull-search/view/352593221","KQU")</f>
        <v>KQU</v>
      </c>
      <c r="B4281" t="s">
        <v>14468</v>
      </c>
      <c r="C4281" t="s">
        <v>14469</v>
      </c>
      <c r="D4281" s="1">
        <v>38064</v>
      </c>
      <c r="E4281" t="s">
        <v>92</v>
      </c>
      <c r="F4281">
        <v>100</v>
      </c>
      <c r="G4281" t="s">
        <v>93</v>
      </c>
      <c r="H4281">
        <v>-107.43</v>
      </c>
      <c r="I4281">
        <v>86</v>
      </c>
      <c r="J4281">
        <v>38.18</v>
      </c>
      <c r="K4281">
        <v>96</v>
      </c>
      <c r="L4281">
        <v>-144.33000000000001</v>
      </c>
      <c r="M4281">
        <v>77</v>
      </c>
      <c r="N4281">
        <v>2.3199999999999998</v>
      </c>
      <c r="O4281">
        <v>83</v>
      </c>
      <c r="P4281">
        <v>-11.38</v>
      </c>
      <c r="Q4281">
        <v>88</v>
      </c>
      <c r="R4281">
        <v>-5.65</v>
      </c>
      <c r="S4281">
        <v>80</v>
      </c>
      <c r="T4281">
        <v>10.42</v>
      </c>
      <c r="U4281">
        <v>86</v>
      </c>
      <c r="V4281">
        <v>3.01</v>
      </c>
      <c r="W4281">
        <v>75</v>
      </c>
      <c r="X4281" t="s">
        <v>94</v>
      </c>
      <c r="Y4281" t="s">
        <v>95</v>
      </c>
      <c r="Z4281" t="s">
        <v>96</v>
      </c>
      <c r="AA4281" t="s">
        <v>10920</v>
      </c>
      <c r="AB4281" t="s">
        <v>14470</v>
      </c>
      <c r="AC4281">
        <v>72</v>
      </c>
      <c r="AD4281">
        <v>61</v>
      </c>
      <c r="AE4281">
        <v>96</v>
      </c>
      <c r="AF4281">
        <v>-66.459999999999994</v>
      </c>
      <c r="AG4281">
        <v>9.77</v>
      </c>
      <c r="AH4281">
        <v>2.02</v>
      </c>
      <c r="AI4281">
        <v>0.22</v>
      </c>
      <c r="AJ4281">
        <v>0.08</v>
      </c>
      <c r="AK4281">
        <v>77</v>
      </c>
      <c r="AL4281">
        <v>70</v>
      </c>
      <c r="AM4281">
        <v>56</v>
      </c>
      <c r="AN4281">
        <v>8.68</v>
      </c>
      <c r="AO4281">
        <v>-2.82</v>
      </c>
      <c r="AP4281">
        <v>146</v>
      </c>
      <c r="AQ4281">
        <v>0</v>
      </c>
      <c r="AR4281">
        <v>7.59</v>
      </c>
      <c r="AS4281">
        <v>66</v>
      </c>
      <c r="AT4281">
        <v>3.39</v>
      </c>
      <c r="AU4281">
        <v>86</v>
      </c>
      <c r="AV4281">
        <v>-0.25</v>
      </c>
      <c r="AW4281">
        <v>95</v>
      </c>
      <c r="AX4281">
        <v>-0.28999999999999998</v>
      </c>
      <c r="AY4281">
        <v>78</v>
      </c>
      <c r="AZ4281">
        <v>6.04</v>
      </c>
      <c r="BA4281">
        <v>61</v>
      </c>
      <c r="BB4281">
        <v>4.72</v>
      </c>
      <c r="BC4281">
        <v>64</v>
      </c>
      <c r="BD4281">
        <v>0</v>
      </c>
      <c r="BE4281">
        <v>0</v>
      </c>
      <c r="BF4281">
        <v>0.13</v>
      </c>
      <c r="BG4281">
        <v>88</v>
      </c>
      <c r="BH4281">
        <v>0.09</v>
      </c>
      <c r="BI4281">
        <v>0.7</v>
      </c>
      <c r="BJ4281">
        <v>45</v>
      </c>
      <c r="BK4281">
        <v>35</v>
      </c>
      <c r="BL4281">
        <v>-0.69</v>
      </c>
      <c r="BM4281">
        <v>0.56999999999999995</v>
      </c>
      <c r="BN4281">
        <v>0.61</v>
      </c>
      <c r="BO4281">
        <v>0.05</v>
      </c>
      <c r="BP4281">
        <v>1.27</v>
      </c>
      <c r="BQ4281">
        <v>-0.42</v>
      </c>
      <c r="BR4281">
        <v>-0.4</v>
      </c>
      <c r="BS4281">
        <v>1.23</v>
      </c>
      <c r="BT4281">
        <v>0.77</v>
      </c>
      <c r="BU4281">
        <v>-0.8</v>
      </c>
      <c r="BV4281">
        <v>0.63</v>
      </c>
      <c r="BW4281">
        <v>0.31</v>
      </c>
      <c r="BX4281">
        <v>0.06</v>
      </c>
      <c r="BY4281">
        <v>0.08</v>
      </c>
      <c r="BZ4281">
        <v>2.31</v>
      </c>
      <c r="CA4281">
        <v>0.17</v>
      </c>
      <c r="CB4281">
        <v>-0.38</v>
      </c>
      <c r="CC4281">
        <v>1.29</v>
      </c>
      <c r="CD4281">
        <v>-0.28999999999999998</v>
      </c>
      <c r="CE4281">
        <v>-0.38</v>
      </c>
      <c r="CF4281">
        <v>0.35</v>
      </c>
      <c r="CG4281">
        <v>0</v>
      </c>
      <c r="CH4281">
        <v>-0.04</v>
      </c>
      <c r="CI4281">
        <v>0</v>
      </c>
      <c r="CJ4281">
        <v>-5</v>
      </c>
      <c r="CK4281">
        <v>89</v>
      </c>
      <c r="CL4281">
        <v>-0.36</v>
      </c>
      <c r="CM4281">
        <v>87</v>
      </c>
      <c r="CN4281">
        <v>-0.04</v>
      </c>
      <c r="CO4281">
        <v>86</v>
      </c>
      <c r="CP4281">
        <v>-8.1999999999999993</v>
      </c>
      <c r="CQ4281">
        <v>88</v>
      </c>
      <c r="CR4281">
        <v>0</v>
      </c>
      <c r="CS4281">
        <v>0</v>
      </c>
      <c r="CT4281">
        <v>-0.3</v>
      </c>
      <c r="CU4281">
        <v>86</v>
      </c>
      <c r="CV4281">
        <v>-0.03</v>
      </c>
      <c r="CW4281">
        <v>43</v>
      </c>
      <c r="CX4281" t="s">
        <v>643</v>
      </c>
    </row>
    <row r="4282" spans="1:102" x14ac:dyDescent="0.3">
      <c r="A4282" t="str">
        <f>HYPERLINK("https://webapp.icbf.com/v2/app/bull-search/view/124414493","CKY")</f>
        <v>CKY</v>
      </c>
      <c r="B4282" t="s">
        <v>6725</v>
      </c>
      <c r="C4282" t="s">
        <v>4186</v>
      </c>
      <c r="D4282" s="1">
        <v>34885</v>
      </c>
      <c r="E4282" t="s">
        <v>92</v>
      </c>
      <c r="F4282">
        <v>100</v>
      </c>
      <c r="G4282" t="s">
        <v>93</v>
      </c>
      <c r="H4282">
        <v>-107.46</v>
      </c>
      <c r="I4282">
        <v>87</v>
      </c>
      <c r="J4282">
        <v>19.559999999999999</v>
      </c>
      <c r="K4282">
        <v>95</v>
      </c>
      <c r="L4282">
        <v>-127.28</v>
      </c>
      <c r="M4282">
        <v>86</v>
      </c>
      <c r="N4282">
        <v>7.56</v>
      </c>
      <c r="O4282">
        <v>80</v>
      </c>
      <c r="P4282">
        <v>-5.95</v>
      </c>
      <c r="Q4282">
        <v>89</v>
      </c>
      <c r="R4282">
        <v>-7.12</v>
      </c>
      <c r="S4282">
        <v>74</v>
      </c>
      <c r="T4282">
        <v>13.38</v>
      </c>
      <c r="U4282">
        <v>85</v>
      </c>
      <c r="V4282">
        <v>-7.61</v>
      </c>
      <c r="W4282">
        <v>62</v>
      </c>
      <c r="X4282" t="s">
        <v>970</v>
      </c>
      <c r="Y4282" t="s">
        <v>95</v>
      </c>
      <c r="Z4282" t="s">
        <v>96</v>
      </c>
      <c r="AA4282" t="s">
        <v>105</v>
      </c>
      <c r="AB4282">
        <v>9187</v>
      </c>
      <c r="AC4282">
        <v>83</v>
      </c>
      <c r="AD4282">
        <v>32</v>
      </c>
      <c r="AE4282">
        <v>95</v>
      </c>
      <c r="AF4282">
        <v>75.510000000000005</v>
      </c>
      <c r="AG4282">
        <v>3.37</v>
      </c>
      <c r="AH4282">
        <v>3.29</v>
      </c>
      <c r="AI4282">
        <v>0.01</v>
      </c>
      <c r="AJ4282">
        <v>0.01</v>
      </c>
      <c r="AK4282">
        <v>86</v>
      </c>
      <c r="AL4282">
        <v>77</v>
      </c>
      <c r="AM4282">
        <v>30</v>
      </c>
      <c r="AN4282">
        <v>6.97</v>
      </c>
      <c r="AO4282">
        <v>-3.18</v>
      </c>
      <c r="AP4282">
        <v>133</v>
      </c>
      <c r="AQ4282">
        <v>3</v>
      </c>
      <c r="AR4282">
        <v>8.67</v>
      </c>
      <c r="AS4282">
        <v>66</v>
      </c>
      <c r="AT4282">
        <v>3.84</v>
      </c>
      <c r="AU4282">
        <v>81</v>
      </c>
      <c r="AV4282">
        <v>-1.92</v>
      </c>
      <c r="AW4282">
        <v>93</v>
      </c>
      <c r="AX4282">
        <v>0.98</v>
      </c>
      <c r="AY4282">
        <v>78</v>
      </c>
      <c r="AZ4282">
        <v>5.23</v>
      </c>
      <c r="BA4282">
        <v>57</v>
      </c>
      <c r="BB4282">
        <v>4.37</v>
      </c>
      <c r="BC4282">
        <v>56</v>
      </c>
      <c r="BD4282">
        <v>0.04</v>
      </c>
      <c r="BE4282">
        <v>0.03</v>
      </c>
      <c r="BF4282">
        <v>0.04</v>
      </c>
      <c r="BG4282">
        <v>88</v>
      </c>
      <c r="BH4282">
        <v>-0.1</v>
      </c>
      <c r="BI4282">
        <v>12.98</v>
      </c>
      <c r="BJ4282">
        <v>32</v>
      </c>
      <c r="BK4282">
        <v>9</v>
      </c>
      <c r="BL4282">
        <v>0.73</v>
      </c>
      <c r="BM4282">
        <v>0.55000000000000004</v>
      </c>
      <c r="BN4282">
        <v>1.18</v>
      </c>
      <c r="BO4282">
        <v>0.78</v>
      </c>
      <c r="BP4282">
        <v>-1.29</v>
      </c>
      <c r="BQ4282">
        <v>0.24</v>
      </c>
      <c r="BR4282">
        <v>-0.97</v>
      </c>
      <c r="BS4282">
        <v>0.19</v>
      </c>
      <c r="BT4282">
        <v>1.21</v>
      </c>
      <c r="BU4282">
        <v>0.59</v>
      </c>
      <c r="BV4282">
        <v>0.98</v>
      </c>
      <c r="BW4282">
        <v>1.1399999999999999</v>
      </c>
      <c r="BX4282">
        <v>0.8</v>
      </c>
      <c r="BY4282">
        <v>0.54</v>
      </c>
      <c r="BZ4282">
        <v>-0.83</v>
      </c>
      <c r="CA4282">
        <v>1.17</v>
      </c>
      <c r="CB4282">
        <v>1.19</v>
      </c>
      <c r="CC4282">
        <v>0.68</v>
      </c>
      <c r="CD4282">
        <v>-0.36</v>
      </c>
      <c r="CE4282">
        <v>0.76</v>
      </c>
      <c r="CF4282">
        <v>1.32</v>
      </c>
      <c r="CG4282">
        <v>0</v>
      </c>
      <c r="CH4282">
        <v>1.57</v>
      </c>
      <c r="CI4282">
        <v>0</v>
      </c>
      <c r="CJ4282">
        <v>-2</v>
      </c>
      <c r="CK4282">
        <v>90</v>
      </c>
      <c r="CL4282">
        <v>-0.71</v>
      </c>
      <c r="CM4282">
        <v>88</v>
      </c>
      <c r="CN4282">
        <v>-0.41</v>
      </c>
      <c r="CO4282">
        <v>86</v>
      </c>
      <c r="CP4282">
        <v>-4.4000000000000004</v>
      </c>
      <c r="CQ4282">
        <v>89</v>
      </c>
      <c r="CR4282">
        <v>0</v>
      </c>
      <c r="CS4282">
        <v>0</v>
      </c>
      <c r="CT4282">
        <v>-4.3</v>
      </c>
      <c r="CU4282">
        <v>85</v>
      </c>
      <c r="CV4282">
        <v>0.17</v>
      </c>
      <c r="CW4282">
        <v>26</v>
      </c>
      <c r="CX4282" t="s">
        <v>111</v>
      </c>
    </row>
    <row r="4283" spans="1:102" x14ac:dyDescent="0.3">
      <c r="A4283" t="str">
        <f>HYPERLINK("https://webapp.icbf.com/v2/app/bull-search/view/77853139","TMF")</f>
        <v>TMF</v>
      </c>
      <c r="B4283" t="s">
        <v>3183</v>
      </c>
      <c r="C4283" t="s">
        <v>3184</v>
      </c>
      <c r="D4283" s="1">
        <v>34272</v>
      </c>
      <c r="E4283" t="s">
        <v>92</v>
      </c>
      <c r="F4283">
        <v>100</v>
      </c>
      <c r="G4283" t="s">
        <v>109</v>
      </c>
      <c r="H4283">
        <v>-107.51</v>
      </c>
      <c r="I4283">
        <v>69</v>
      </c>
      <c r="J4283">
        <v>2.58</v>
      </c>
      <c r="K4283">
        <v>73</v>
      </c>
      <c r="L4283">
        <v>-113.59</v>
      </c>
      <c r="M4283">
        <v>75</v>
      </c>
      <c r="N4283">
        <v>17.77</v>
      </c>
      <c r="O4283">
        <v>51</v>
      </c>
      <c r="P4283">
        <v>-3.3</v>
      </c>
      <c r="Q4283">
        <v>64</v>
      </c>
      <c r="R4283">
        <v>-13.47</v>
      </c>
      <c r="S4283">
        <v>64</v>
      </c>
      <c r="T4283">
        <v>1.1000000000000001</v>
      </c>
      <c r="U4283">
        <v>71</v>
      </c>
      <c r="V4283">
        <v>1.4</v>
      </c>
      <c r="W4283">
        <v>31</v>
      </c>
      <c r="X4283" t="s">
        <v>234</v>
      </c>
      <c r="Y4283" t="s">
        <v>95</v>
      </c>
      <c r="Z4283" t="s">
        <v>96</v>
      </c>
      <c r="AA4283" t="s">
        <v>999</v>
      </c>
      <c r="AB4283" t="s">
        <v>3185</v>
      </c>
      <c r="AC4283">
        <v>0</v>
      </c>
      <c r="AD4283">
        <v>0</v>
      </c>
      <c r="AE4283">
        <v>73</v>
      </c>
      <c r="AF4283">
        <v>344.71</v>
      </c>
      <c r="AG4283">
        <v>2.5299999999999998</v>
      </c>
      <c r="AH4283">
        <v>4.82</v>
      </c>
      <c r="AI4283">
        <v>-0.17</v>
      </c>
      <c r="AJ4283">
        <v>-0.11</v>
      </c>
      <c r="AK4283">
        <v>75</v>
      </c>
      <c r="AL4283">
        <v>0</v>
      </c>
      <c r="AM4283">
        <v>0</v>
      </c>
      <c r="AN4283">
        <v>5.33</v>
      </c>
      <c r="AO4283">
        <v>-3.74</v>
      </c>
      <c r="AP4283">
        <v>13</v>
      </c>
      <c r="AQ4283">
        <v>0</v>
      </c>
      <c r="AR4283">
        <v>6.84</v>
      </c>
      <c r="AS4283">
        <v>39</v>
      </c>
      <c r="AT4283">
        <v>2.63</v>
      </c>
      <c r="AU4283">
        <v>69</v>
      </c>
      <c r="AV4283">
        <v>-1.74</v>
      </c>
      <c r="AW4283">
        <v>49</v>
      </c>
      <c r="AX4283">
        <v>0.87</v>
      </c>
      <c r="AY4283">
        <v>51</v>
      </c>
      <c r="AZ4283">
        <v>6.01</v>
      </c>
      <c r="BA4283">
        <v>34</v>
      </c>
      <c r="BB4283">
        <v>5.09</v>
      </c>
      <c r="BC4283">
        <v>35</v>
      </c>
      <c r="BD4283">
        <v>0.04</v>
      </c>
      <c r="BE4283">
        <v>7.0000000000000007E-2</v>
      </c>
      <c r="BF4283">
        <v>0.11</v>
      </c>
      <c r="BG4283">
        <v>86</v>
      </c>
      <c r="BH4283">
        <v>7.0000000000000007E-2</v>
      </c>
      <c r="BI4283">
        <v>3.57</v>
      </c>
      <c r="BJ4283">
        <v>3</v>
      </c>
      <c r="BK4283">
        <v>2</v>
      </c>
      <c r="BL4283">
        <v>1.39</v>
      </c>
      <c r="BM4283">
        <v>0.63</v>
      </c>
      <c r="BN4283">
        <v>0.73</v>
      </c>
      <c r="BO4283">
        <v>0.03</v>
      </c>
      <c r="BP4283">
        <v>-1.86</v>
      </c>
      <c r="BQ4283">
        <v>0.92</v>
      </c>
      <c r="BR4283">
        <v>-1.74</v>
      </c>
      <c r="BS4283">
        <v>-1.23</v>
      </c>
      <c r="BT4283">
        <v>1.64</v>
      </c>
      <c r="BU4283">
        <v>-0.3</v>
      </c>
      <c r="BV4283">
        <v>1.18</v>
      </c>
      <c r="BW4283">
        <v>-0.18</v>
      </c>
      <c r="BX4283">
        <v>0.03</v>
      </c>
      <c r="BY4283">
        <v>-0.35</v>
      </c>
      <c r="BZ4283">
        <v>1.3</v>
      </c>
      <c r="CA4283">
        <v>-0.48</v>
      </c>
      <c r="CB4283">
        <v>0</v>
      </c>
      <c r="CC4283">
        <v>-1.31</v>
      </c>
      <c r="CD4283">
        <v>0.27</v>
      </c>
      <c r="CE4283">
        <v>-0.15</v>
      </c>
      <c r="CF4283">
        <v>0.22</v>
      </c>
      <c r="CG4283">
        <v>0</v>
      </c>
      <c r="CH4283">
        <v>-1.23</v>
      </c>
      <c r="CI4283">
        <v>0</v>
      </c>
      <c r="CJ4283">
        <v>1.3</v>
      </c>
      <c r="CK4283">
        <v>66</v>
      </c>
      <c r="CL4283">
        <v>-0.65</v>
      </c>
      <c r="CM4283">
        <v>61</v>
      </c>
      <c r="CN4283">
        <v>-0.13</v>
      </c>
      <c r="CO4283">
        <v>56</v>
      </c>
      <c r="CP4283">
        <v>0.6</v>
      </c>
      <c r="CQ4283">
        <v>72</v>
      </c>
      <c r="CR4283">
        <v>0</v>
      </c>
      <c r="CS4283">
        <v>0</v>
      </c>
      <c r="CT4283">
        <v>12.3</v>
      </c>
      <c r="CU4283">
        <v>71</v>
      </c>
      <c r="CV4283">
        <v>0.2</v>
      </c>
      <c r="CW4283">
        <v>17</v>
      </c>
      <c r="CX4283" t="s">
        <v>2850</v>
      </c>
    </row>
    <row r="4284" spans="1:102" x14ac:dyDescent="0.3">
      <c r="A4284" t="str">
        <f>HYPERLINK("https://webapp.icbf.com/v2/app/bull-search/view/77859127","AAJ")</f>
        <v>AAJ</v>
      </c>
      <c r="B4284" t="s">
        <v>10732</v>
      </c>
      <c r="C4284" t="s">
        <v>10733</v>
      </c>
      <c r="D4284" s="1">
        <v>31594</v>
      </c>
      <c r="E4284" t="s">
        <v>92</v>
      </c>
      <c r="F4284">
        <v>100</v>
      </c>
      <c r="G4284" t="s">
        <v>116</v>
      </c>
      <c r="H4284">
        <v>-107.52</v>
      </c>
      <c r="I4284">
        <v>48</v>
      </c>
      <c r="J4284">
        <v>-45.15</v>
      </c>
      <c r="K4284">
        <v>54</v>
      </c>
      <c r="L4284">
        <v>-71.91</v>
      </c>
      <c r="M4284">
        <v>42</v>
      </c>
      <c r="N4284">
        <v>14.5</v>
      </c>
      <c r="O4284">
        <v>44</v>
      </c>
      <c r="P4284">
        <v>2.5499999999999998</v>
      </c>
      <c r="Q4284">
        <v>61</v>
      </c>
      <c r="R4284">
        <v>-7.28</v>
      </c>
      <c r="S4284">
        <v>45</v>
      </c>
      <c r="T4284">
        <v>3.39</v>
      </c>
      <c r="U4284">
        <v>47</v>
      </c>
      <c r="V4284">
        <v>-3.62</v>
      </c>
      <c r="W4284">
        <v>26</v>
      </c>
      <c r="X4284" t="s">
        <v>276</v>
      </c>
      <c r="Y4284" t="s">
        <v>95</v>
      </c>
      <c r="Z4284" t="s">
        <v>96</v>
      </c>
      <c r="AA4284" t="s">
        <v>543</v>
      </c>
      <c r="AB4284" t="s">
        <v>10734</v>
      </c>
      <c r="AC4284">
        <v>8</v>
      </c>
      <c r="AD4284">
        <v>6</v>
      </c>
      <c r="AE4284">
        <v>54</v>
      </c>
      <c r="AF4284">
        <v>-77.16</v>
      </c>
      <c r="AG4284">
        <v>-6.87</v>
      </c>
      <c r="AH4284">
        <v>-6.43</v>
      </c>
      <c r="AI4284">
        <v>-0.06</v>
      </c>
      <c r="AJ4284">
        <v>-0.06</v>
      </c>
      <c r="AK4284">
        <v>42</v>
      </c>
      <c r="AL4284">
        <v>18</v>
      </c>
      <c r="AM4284">
        <v>10</v>
      </c>
      <c r="AN4284">
        <v>5.04</v>
      </c>
      <c r="AO4284">
        <v>-0.68</v>
      </c>
      <c r="AP4284">
        <v>2</v>
      </c>
      <c r="AQ4284">
        <v>0</v>
      </c>
      <c r="AR4284">
        <v>6.2</v>
      </c>
      <c r="AS4284">
        <v>28</v>
      </c>
      <c r="AT4284">
        <v>2.93</v>
      </c>
      <c r="AU4284">
        <v>53</v>
      </c>
      <c r="AV4284">
        <v>-1.24</v>
      </c>
      <c r="AW4284">
        <v>48</v>
      </c>
      <c r="AX4284">
        <v>-0.77</v>
      </c>
      <c r="AY4284">
        <v>43</v>
      </c>
      <c r="AZ4284">
        <v>7.11</v>
      </c>
      <c r="BA4284">
        <v>26</v>
      </c>
      <c r="BB4284">
        <v>5.29</v>
      </c>
      <c r="BC4284">
        <v>29</v>
      </c>
      <c r="BD4284">
        <v>0.02</v>
      </c>
      <c r="BE4284">
        <v>0.06</v>
      </c>
      <c r="BF4284">
        <v>0.02</v>
      </c>
      <c r="BG4284">
        <v>57</v>
      </c>
      <c r="BH4284">
        <v>-7.0000000000000007E-2</v>
      </c>
      <c r="BI4284">
        <v>3.57</v>
      </c>
      <c r="BJ4284">
        <v>1</v>
      </c>
      <c r="BK4284">
        <v>1</v>
      </c>
      <c r="BL4284">
        <v>-0.21</v>
      </c>
      <c r="BM4284">
        <v>-0.66</v>
      </c>
      <c r="BN4284">
        <v>-0.16</v>
      </c>
      <c r="BO4284">
        <v>0.04</v>
      </c>
      <c r="BP4284">
        <v>-1.03</v>
      </c>
      <c r="BQ4284">
        <v>0.93</v>
      </c>
      <c r="BR4284">
        <v>1.22</v>
      </c>
      <c r="BS4284">
        <v>-1.24</v>
      </c>
      <c r="BT4284">
        <v>-1.32</v>
      </c>
      <c r="BU4284">
        <v>0.81</v>
      </c>
      <c r="BV4284">
        <v>0.84</v>
      </c>
      <c r="BW4284">
        <v>1.58</v>
      </c>
      <c r="BX4284">
        <v>0.62</v>
      </c>
      <c r="BY4284">
        <v>0.06</v>
      </c>
      <c r="BZ4284">
        <v>0.49</v>
      </c>
      <c r="CA4284">
        <v>-0.24</v>
      </c>
      <c r="CB4284">
        <v>0.52</v>
      </c>
      <c r="CC4284">
        <v>-1.34</v>
      </c>
      <c r="CD4284">
        <v>-0.01</v>
      </c>
      <c r="CE4284">
        <v>0.73</v>
      </c>
      <c r="CF4284">
        <v>0.54</v>
      </c>
      <c r="CG4284">
        <v>0</v>
      </c>
      <c r="CH4284">
        <v>0.13</v>
      </c>
      <c r="CI4284">
        <v>0</v>
      </c>
      <c r="CJ4284">
        <v>3.3</v>
      </c>
      <c r="CK4284">
        <v>64</v>
      </c>
      <c r="CL4284">
        <v>-0.18</v>
      </c>
      <c r="CM4284">
        <v>59</v>
      </c>
      <c r="CN4284">
        <v>0.02</v>
      </c>
      <c r="CO4284">
        <v>56</v>
      </c>
      <c r="CP4284">
        <v>0.6</v>
      </c>
      <c r="CQ4284">
        <v>53</v>
      </c>
      <c r="CR4284">
        <v>0</v>
      </c>
      <c r="CS4284">
        <v>0</v>
      </c>
      <c r="CT4284">
        <v>9.1999999999999993</v>
      </c>
      <c r="CU4284">
        <v>47</v>
      </c>
      <c r="CV4284">
        <v>0.13</v>
      </c>
      <c r="CW4284">
        <v>18</v>
      </c>
      <c r="CX4284" t="s">
        <v>707</v>
      </c>
    </row>
    <row r="4285" spans="1:102" x14ac:dyDescent="0.3">
      <c r="A4285" t="str">
        <f>HYPERLINK("https://webapp.icbf.com/v2/app/bull-search/view/77860138","CAX")</f>
        <v>CAX</v>
      </c>
      <c r="B4285" t="s">
        <v>11355</v>
      </c>
      <c r="C4285" t="s">
        <v>11356</v>
      </c>
      <c r="D4285" s="1">
        <v>33634</v>
      </c>
      <c r="E4285" t="s">
        <v>92</v>
      </c>
      <c r="F4285">
        <v>100</v>
      </c>
      <c r="G4285" t="s">
        <v>93</v>
      </c>
      <c r="H4285">
        <v>-107.62</v>
      </c>
      <c r="I4285">
        <v>78</v>
      </c>
      <c r="J4285">
        <v>-5.01</v>
      </c>
      <c r="K4285">
        <v>96</v>
      </c>
      <c r="L4285">
        <v>-106.88</v>
      </c>
      <c r="M4285">
        <v>70</v>
      </c>
      <c r="N4285">
        <v>-1.99</v>
      </c>
      <c r="O4285">
        <v>66</v>
      </c>
      <c r="P4285">
        <v>2.0299999999999998</v>
      </c>
      <c r="Q4285">
        <v>81</v>
      </c>
      <c r="R4285">
        <v>-2</v>
      </c>
      <c r="S4285">
        <v>72</v>
      </c>
      <c r="T4285">
        <v>8.1300000000000008</v>
      </c>
      <c r="U4285">
        <v>76</v>
      </c>
      <c r="V4285">
        <v>-1.9</v>
      </c>
      <c r="W4285">
        <v>37</v>
      </c>
      <c r="X4285" t="s">
        <v>94</v>
      </c>
      <c r="Y4285" t="s">
        <v>95</v>
      </c>
      <c r="Z4285" t="s">
        <v>96</v>
      </c>
      <c r="AA4285" t="s">
        <v>111</v>
      </c>
      <c r="AB4285" t="s">
        <v>7421</v>
      </c>
      <c r="AC4285">
        <v>104</v>
      </c>
      <c r="AD4285">
        <v>56</v>
      </c>
      <c r="AE4285">
        <v>96</v>
      </c>
      <c r="AF4285">
        <v>-20.83</v>
      </c>
      <c r="AG4285">
        <v>2.6</v>
      </c>
      <c r="AH4285">
        <v>-2.09</v>
      </c>
      <c r="AI4285">
        <v>0.06</v>
      </c>
      <c r="AJ4285">
        <v>-0.02</v>
      </c>
      <c r="AK4285">
        <v>70</v>
      </c>
      <c r="AL4285">
        <v>118</v>
      </c>
      <c r="AM4285">
        <v>54</v>
      </c>
      <c r="AN4285">
        <v>4.53</v>
      </c>
      <c r="AO4285">
        <v>-4.01</v>
      </c>
      <c r="AP4285">
        <v>5</v>
      </c>
      <c r="AQ4285">
        <v>0</v>
      </c>
      <c r="AR4285">
        <v>8.7100000000000009</v>
      </c>
      <c r="AS4285">
        <v>45</v>
      </c>
      <c r="AT4285">
        <v>3.87</v>
      </c>
      <c r="AU4285">
        <v>65</v>
      </c>
      <c r="AV4285">
        <v>-0.47</v>
      </c>
      <c r="AW4285">
        <v>70</v>
      </c>
      <c r="AX4285">
        <v>-0.56000000000000005</v>
      </c>
      <c r="AY4285">
        <v>78</v>
      </c>
      <c r="AZ4285">
        <v>5.85</v>
      </c>
      <c r="BA4285">
        <v>46</v>
      </c>
      <c r="BB4285">
        <v>4.55</v>
      </c>
      <c r="BC4285">
        <v>61</v>
      </c>
      <c r="BD4285">
        <v>0.03</v>
      </c>
      <c r="BE4285">
        <v>0.04</v>
      </c>
      <c r="BF4285">
        <v>-0.08</v>
      </c>
      <c r="BG4285">
        <v>88</v>
      </c>
      <c r="BH4285">
        <v>0.03</v>
      </c>
      <c r="BI4285">
        <v>9.59</v>
      </c>
      <c r="BJ4285">
        <v>26</v>
      </c>
      <c r="BK4285">
        <v>16</v>
      </c>
      <c r="BL4285">
        <v>1.6</v>
      </c>
      <c r="BM4285">
        <v>-0.8</v>
      </c>
      <c r="BN4285">
        <v>0.9</v>
      </c>
      <c r="BO4285">
        <v>1.38</v>
      </c>
      <c r="BP4285">
        <v>1.55</v>
      </c>
      <c r="BQ4285">
        <v>-0.28000000000000003</v>
      </c>
      <c r="BR4285">
        <v>0.1</v>
      </c>
      <c r="BS4285">
        <v>-0.19</v>
      </c>
      <c r="BT4285">
        <v>0.09</v>
      </c>
      <c r="BU4285">
        <v>0.2</v>
      </c>
      <c r="BV4285">
        <v>0.23</v>
      </c>
      <c r="BW4285">
        <v>1</v>
      </c>
      <c r="BX4285">
        <v>1.19</v>
      </c>
      <c r="BY4285">
        <v>-1.31</v>
      </c>
      <c r="BZ4285">
        <v>2.35</v>
      </c>
      <c r="CA4285">
        <v>0.21</v>
      </c>
      <c r="CB4285">
        <v>0.21</v>
      </c>
      <c r="CC4285">
        <v>0.18</v>
      </c>
      <c r="CD4285">
        <v>-0.97</v>
      </c>
      <c r="CE4285">
        <v>1.31</v>
      </c>
      <c r="CF4285">
        <v>1.3</v>
      </c>
      <c r="CG4285">
        <v>0</v>
      </c>
      <c r="CH4285">
        <v>-0.25</v>
      </c>
      <c r="CI4285">
        <v>0</v>
      </c>
      <c r="CJ4285">
        <v>4.0999999999999996</v>
      </c>
      <c r="CK4285">
        <v>82</v>
      </c>
      <c r="CL4285">
        <v>-0.75</v>
      </c>
      <c r="CM4285">
        <v>79</v>
      </c>
      <c r="CN4285">
        <v>-0.32</v>
      </c>
      <c r="CO4285">
        <v>76</v>
      </c>
      <c r="CP4285">
        <v>2.4</v>
      </c>
      <c r="CQ4285">
        <v>86</v>
      </c>
      <c r="CR4285">
        <v>0</v>
      </c>
      <c r="CS4285">
        <v>0</v>
      </c>
      <c r="CT4285">
        <v>2.8</v>
      </c>
      <c r="CU4285">
        <v>76</v>
      </c>
      <c r="CV4285">
        <v>0.27</v>
      </c>
      <c r="CW4285">
        <v>23</v>
      </c>
      <c r="CX4285" t="s">
        <v>648</v>
      </c>
    </row>
    <row r="4286" spans="1:102" x14ac:dyDescent="0.3">
      <c r="A4286" t="str">
        <f>HYPERLINK("https://webapp.icbf.com/v2/app/bull-search/view/77859412","AVA")</f>
        <v>AVA</v>
      </c>
      <c r="B4286" t="s">
        <v>756</v>
      </c>
      <c r="C4286" t="s">
        <v>757</v>
      </c>
      <c r="D4286" s="1">
        <v>32712</v>
      </c>
      <c r="E4286" t="s">
        <v>92</v>
      </c>
      <c r="F4286">
        <v>100</v>
      </c>
      <c r="G4286" t="s">
        <v>93</v>
      </c>
      <c r="H4286">
        <v>-107.82</v>
      </c>
      <c r="I4286">
        <v>78</v>
      </c>
      <c r="J4286">
        <v>-61.86</v>
      </c>
      <c r="K4286">
        <v>93</v>
      </c>
      <c r="L4286">
        <v>-21.08</v>
      </c>
      <c r="M4286">
        <v>73</v>
      </c>
      <c r="N4286">
        <v>-7.83</v>
      </c>
      <c r="O4286">
        <v>63</v>
      </c>
      <c r="P4286">
        <v>0.7</v>
      </c>
      <c r="Q4286">
        <v>77</v>
      </c>
      <c r="R4286">
        <v>-17.21</v>
      </c>
      <c r="S4286">
        <v>73</v>
      </c>
      <c r="T4286">
        <v>4.72</v>
      </c>
      <c r="U4286">
        <v>77</v>
      </c>
      <c r="V4286">
        <v>-5.26</v>
      </c>
      <c r="W4286">
        <v>35</v>
      </c>
      <c r="X4286" t="s">
        <v>94</v>
      </c>
      <c r="Y4286" t="s">
        <v>95</v>
      </c>
      <c r="Z4286" t="s">
        <v>96</v>
      </c>
      <c r="AA4286" t="s">
        <v>154</v>
      </c>
      <c r="AB4286" t="s">
        <v>758</v>
      </c>
      <c r="AC4286">
        <v>73</v>
      </c>
      <c r="AD4286">
        <v>53</v>
      </c>
      <c r="AE4286">
        <v>93</v>
      </c>
      <c r="AF4286">
        <v>-154.43</v>
      </c>
      <c r="AG4286">
        <v>-4.96</v>
      </c>
      <c r="AH4286">
        <v>-11.13</v>
      </c>
      <c r="AI4286">
        <v>0.02</v>
      </c>
      <c r="AJ4286">
        <v>-0.1</v>
      </c>
      <c r="AK4286">
        <v>73</v>
      </c>
      <c r="AL4286">
        <v>177</v>
      </c>
      <c r="AM4286">
        <v>104</v>
      </c>
      <c r="AN4286">
        <v>0.44</v>
      </c>
      <c r="AO4286">
        <v>-1.25</v>
      </c>
      <c r="AP4286">
        <v>3</v>
      </c>
      <c r="AQ4286">
        <v>1</v>
      </c>
      <c r="AR4286">
        <v>7.54</v>
      </c>
      <c r="AS4286">
        <v>39</v>
      </c>
      <c r="AT4286">
        <v>3.72</v>
      </c>
      <c r="AU4286">
        <v>58</v>
      </c>
      <c r="AV4286">
        <v>-0.26</v>
      </c>
      <c r="AW4286">
        <v>70</v>
      </c>
      <c r="AX4286">
        <v>0.46</v>
      </c>
      <c r="AY4286">
        <v>80</v>
      </c>
      <c r="AZ4286">
        <v>7.14</v>
      </c>
      <c r="BA4286">
        <v>39</v>
      </c>
      <c r="BB4286">
        <v>5.45</v>
      </c>
      <c r="BC4286">
        <v>55</v>
      </c>
      <c r="BD4286">
        <v>7.0000000000000007E-2</v>
      </c>
      <c r="BE4286">
        <v>0.11</v>
      </c>
      <c r="BF4286">
        <v>7.0000000000000007E-2</v>
      </c>
      <c r="BG4286">
        <v>92</v>
      </c>
      <c r="BH4286">
        <v>-0.04</v>
      </c>
      <c r="BI4286">
        <v>12.35</v>
      </c>
      <c r="BJ4286">
        <v>21</v>
      </c>
      <c r="BK4286">
        <v>17</v>
      </c>
      <c r="BL4286">
        <v>0.22</v>
      </c>
      <c r="BM4286">
        <v>1.3</v>
      </c>
      <c r="BN4286">
        <v>0.76</v>
      </c>
      <c r="BO4286">
        <v>-0.56000000000000005</v>
      </c>
      <c r="BP4286">
        <v>1.2</v>
      </c>
      <c r="BQ4286">
        <v>1.1499999999999999</v>
      </c>
      <c r="BR4286">
        <v>0.71</v>
      </c>
      <c r="BS4286">
        <v>-0.13</v>
      </c>
      <c r="BT4286">
        <v>-0.17</v>
      </c>
      <c r="BU4286">
        <v>-1.1299999999999999</v>
      </c>
      <c r="BV4286">
        <v>-0.93</v>
      </c>
      <c r="BW4286">
        <v>-0.23</v>
      </c>
      <c r="BX4286">
        <v>-0.06</v>
      </c>
      <c r="BY4286">
        <v>0.69</v>
      </c>
      <c r="BZ4286">
        <v>-1.53</v>
      </c>
      <c r="CA4286">
        <v>-0.71</v>
      </c>
      <c r="CB4286">
        <v>-0.75</v>
      </c>
      <c r="CC4286">
        <v>-0.26</v>
      </c>
      <c r="CD4286">
        <v>0.8</v>
      </c>
      <c r="CE4286">
        <v>-0.56000000000000005</v>
      </c>
      <c r="CF4286">
        <v>0.37</v>
      </c>
      <c r="CG4286">
        <v>0</v>
      </c>
      <c r="CH4286">
        <v>-0.55000000000000004</v>
      </c>
      <c r="CI4286">
        <v>0</v>
      </c>
      <c r="CJ4286">
        <v>-0.3</v>
      </c>
      <c r="CK4286">
        <v>78</v>
      </c>
      <c r="CL4286">
        <v>-0.26</v>
      </c>
      <c r="CM4286">
        <v>74</v>
      </c>
      <c r="CN4286">
        <v>-0.32</v>
      </c>
      <c r="CO4286">
        <v>71</v>
      </c>
      <c r="CP4286">
        <v>0.3</v>
      </c>
      <c r="CQ4286">
        <v>84</v>
      </c>
      <c r="CR4286">
        <v>0</v>
      </c>
      <c r="CS4286">
        <v>0</v>
      </c>
      <c r="CT4286">
        <v>7.4</v>
      </c>
      <c r="CU4286">
        <v>77</v>
      </c>
      <c r="CV4286">
        <v>0.03</v>
      </c>
      <c r="CW4286">
        <v>22</v>
      </c>
      <c r="CX4286" t="s">
        <v>759</v>
      </c>
    </row>
    <row r="4287" spans="1:102" x14ac:dyDescent="0.3">
      <c r="A4287" t="str">
        <f>HYPERLINK("https://webapp.icbf.com/v2/app/bull-search/view/77858248","EPG")</f>
        <v>EPG</v>
      </c>
      <c r="B4287" t="s">
        <v>4909</v>
      </c>
      <c r="C4287" t="s">
        <v>4910</v>
      </c>
      <c r="D4287" s="1">
        <v>32801</v>
      </c>
      <c r="E4287" t="s">
        <v>92</v>
      </c>
      <c r="F4287">
        <v>100</v>
      </c>
      <c r="G4287" t="s">
        <v>93</v>
      </c>
      <c r="H4287">
        <v>-108.02</v>
      </c>
      <c r="I4287">
        <v>78</v>
      </c>
      <c r="J4287">
        <v>-3.1</v>
      </c>
      <c r="K4287">
        <v>93</v>
      </c>
      <c r="L4287">
        <v>-111.52</v>
      </c>
      <c r="M4287">
        <v>81</v>
      </c>
      <c r="N4287">
        <v>6.68</v>
      </c>
      <c r="O4287">
        <v>61</v>
      </c>
      <c r="P4287">
        <v>-1.01</v>
      </c>
      <c r="Q4287">
        <v>72</v>
      </c>
      <c r="R4287">
        <v>-14.6</v>
      </c>
      <c r="S4287">
        <v>68</v>
      </c>
      <c r="T4287">
        <v>11.16</v>
      </c>
      <c r="U4287">
        <v>61</v>
      </c>
      <c r="V4287">
        <v>4.37</v>
      </c>
      <c r="W4287">
        <v>32</v>
      </c>
      <c r="X4287" t="s">
        <v>110</v>
      </c>
      <c r="Y4287" t="s">
        <v>95</v>
      </c>
      <c r="Z4287" t="s">
        <v>96</v>
      </c>
      <c r="AA4287" t="s">
        <v>128</v>
      </c>
      <c r="AB4287" t="s">
        <v>4911</v>
      </c>
      <c r="AC4287">
        <v>53</v>
      </c>
      <c r="AD4287">
        <v>26</v>
      </c>
      <c r="AE4287">
        <v>93</v>
      </c>
      <c r="AF4287">
        <v>319.91000000000003</v>
      </c>
      <c r="AG4287">
        <v>-3.76</v>
      </c>
      <c r="AH4287">
        <v>5.7</v>
      </c>
      <c r="AI4287">
        <v>-0.26</v>
      </c>
      <c r="AJ4287">
        <v>-0.08</v>
      </c>
      <c r="AK4287">
        <v>81</v>
      </c>
      <c r="AL4287">
        <v>58</v>
      </c>
      <c r="AM4287">
        <v>33</v>
      </c>
      <c r="AN4287">
        <v>5.56</v>
      </c>
      <c r="AO4287">
        <v>-3.34</v>
      </c>
      <c r="AP4287">
        <v>3</v>
      </c>
      <c r="AQ4287">
        <v>0</v>
      </c>
      <c r="AR4287">
        <v>9.1</v>
      </c>
      <c r="AS4287">
        <v>42</v>
      </c>
      <c r="AT4287">
        <v>3.74</v>
      </c>
      <c r="AU4287">
        <v>83</v>
      </c>
      <c r="AV4287">
        <v>-1.25</v>
      </c>
      <c r="AW4287">
        <v>55</v>
      </c>
      <c r="AX4287">
        <v>-0.84</v>
      </c>
      <c r="AY4287">
        <v>65</v>
      </c>
      <c r="AZ4287">
        <v>5.23</v>
      </c>
      <c r="BA4287">
        <v>41</v>
      </c>
      <c r="BB4287">
        <v>4.37</v>
      </c>
      <c r="BC4287">
        <v>53</v>
      </c>
      <c r="BD4287">
        <v>7.0000000000000007E-2</v>
      </c>
      <c r="BE4287">
        <v>0.11</v>
      </c>
      <c r="BF4287">
        <v>0.01</v>
      </c>
      <c r="BG4287">
        <v>85</v>
      </c>
      <c r="BH4287">
        <v>0.15</v>
      </c>
      <c r="BI4287">
        <v>3.25</v>
      </c>
      <c r="BJ4287">
        <v>2</v>
      </c>
      <c r="BK4287">
        <v>1</v>
      </c>
      <c r="BL4287">
        <v>-0.46</v>
      </c>
      <c r="BM4287">
        <v>-0.26</v>
      </c>
      <c r="BN4287">
        <v>-0.77</v>
      </c>
      <c r="BO4287">
        <v>-0.42</v>
      </c>
      <c r="BP4287">
        <v>0.32</v>
      </c>
      <c r="BQ4287">
        <v>-1.54</v>
      </c>
      <c r="BR4287">
        <v>0.57999999999999996</v>
      </c>
      <c r="BS4287">
        <v>-1.17</v>
      </c>
      <c r="BT4287">
        <v>-0.42</v>
      </c>
      <c r="BU4287">
        <v>-1.02</v>
      </c>
      <c r="BV4287">
        <v>-0.76</v>
      </c>
      <c r="BW4287">
        <v>-2.64</v>
      </c>
      <c r="BX4287">
        <v>-1.86</v>
      </c>
      <c r="BY4287">
        <v>-1.55</v>
      </c>
      <c r="BZ4287">
        <v>-0.56999999999999995</v>
      </c>
      <c r="CA4287">
        <v>-1.65</v>
      </c>
      <c r="CB4287">
        <v>-1.53</v>
      </c>
      <c r="CC4287">
        <v>-1.26</v>
      </c>
      <c r="CD4287">
        <v>-0.08</v>
      </c>
      <c r="CE4287">
        <v>0.09</v>
      </c>
      <c r="CF4287">
        <v>-0.56000000000000005</v>
      </c>
      <c r="CG4287">
        <v>0</v>
      </c>
      <c r="CH4287">
        <v>-1.1100000000000001</v>
      </c>
      <c r="CI4287">
        <v>0</v>
      </c>
      <c r="CJ4287">
        <v>-0.6</v>
      </c>
      <c r="CK4287">
        <v>73</v>
      </c>
      <c r="CL4287">
        <v>-0.03</v>
      </c>
      <c r="CM4287">
        <v>70</v>
      </c>
      <c r="CN4287">
        <v>-0.14000000000000001</v>
      </c>
      <c r="CO4287">
        <v>65</v>
      </c>
      <c r="CP4287">
        <v>-10.1</v>
      </c>
      <c r="CQ4287">
        <v>82</v>
      </c>
      <c r="CR4287">
        <v>0</v>
      </c>
      <c r="CS4287">
        <v>0</v>
      </c>
      <c r="CT4287">
        <v>-1.3</v>
      </c>
      <c r="CU4287">
        <v>61</v>
      </c>
      <c r="CV4287">
        <v>-0.01</v>
      </c>
      <c r="CW4287">
        <v>20</v>
      </c>
      <c r="CX4287" t="s">
        <v>168</v>
      </c>
    </row>
    <row r="4288" spans="1:102" x14ac:dyDescent="0.3">
      <c r="A4288" t="str">
        <f>HYPERLINK("https://webapp.icbf.com/v2/app/bull-search/view/77857942","FMN")</f>
        <v>FMN</v>
      </c>
      <c r="B4288" t="s">
        <v>11220</v>
      </c>
      <c r="C4288" t="s">
        <v>11221</v>
      </c>
      <c r="D4288" s="1">
        <v>33955</v>
      </c>
      <c r="E4288" t="s">
        <v>92</v>
      </c>
      <c r="F4288">
        <v>100</v>
      </c>
      <c r="G4288" t="s">
        <v>93</v>
      </c>
      <c r="H4288">
        <v>-108.04</v>
      </c>
      <c r="I4288">
        <v>74</v>
      </c>
      <c r="J4288">
        <v>-1.1299999999999999</v>
      </c>
      <c r="K4288">
        <v>93</v>
      </c>
      <c r="L4288">
        <v>-83.73</v>
      </c>
      <c r="M4288">
        <v>65</v>
      </c>
      <c r="N4288">
        <v>-12.52</v>
      </c>
      <c r="O4288">
        <v>59</v>
      </c>
      <c r="P4288">
        <v>-7.3</v>
      </c>
      <c r="Q4288">
        <v>76</v>
      </c>
      <c r="R4288">
        <v>-9.9499999999999993</v>
      </c>
      <c r="S4288">
        <v>69</v>
      </c>
      <c r="T4288">
        <v>4.3499999999999996</v>
      </c>
      <c r="U4288">
        <v>71</v>
      </c>
      <c r="V4288">
        <v>2.2400000000000002</v>
      </c>
      <c r="W4288">
        <v>33</v>
      </c>
      <c r="X4288" t="s">
        <v>94</v>
      </c>
      <c r="Y4288" t="s">
        <v>95</v>
      </c>
      <c r="Z4288" t="s">
        <v>96</v>
      </c>
      <c r="AA4288" t="s">
        <v>485</v>
      </c>
      <c r="AB4288" t="s">
        <v>11222</v>
      </c>
      <c r="AC4288">
        <v>73</v>
      </c>
      <c r="AD4288">
        <v>63</v>
      </c>
      <c r="AE4288">
        <v>93</v>
      </c>
      <c r="AF4288">
        <v>230.25</v>
      </c>
      <c r="AG4288">
        <v>-0.84</v>
      </c>
      <c r="AH4288">
        <v>3.63</v>
      </c>
      <c r="AI4288">
        <v>-0.16</v>
      </c>
      <c r="AJ4288">
        <v>-7.0000000000000007E-2</v>
      </c>
      <c r="AK4288">
        <v>65</v>
      </c>
      <c r="AL4288">
        <v>96</v>
      </c>
      <c r="AM4288">
        <v>75</v>
      </c>
      <c r="AN4288">
        <v>5.89</v>
      </c>
      <c r="AO4288">
        <v>-0.77</v>
      </c>
      <c r="AP4288">
        <v>1</v>
      </c>
      <c r="AQ4288">
        <v>0</v>
      </c>
      <c r="AR4288">
        <v>9.73</v>
      </c>
      <c r="AS4288">
        <v>35</v>
      </c>
      <c r="AT4288">
        <v>4.43</v>
      </c>
      <c r="AU4288">
        <v>53</v>
      </c>
      <c r="AV4288">
        <v>-0.66</v>
      </c>
      <c r="AW4288">
        <v>68</v>
      </c>
      <c r="AX4288">
        <v>-0.31</v>
      </c>
      <c r="AY4288">
        <v>69</v>
      </c>
      <c r="AZ4288">
        <v>6.49</v>
      </c>
      <c r="BA4288">
        <v>36</v>
      </c>
      <c r="BB4288">
        <v>4.79</v>
      </c>
      <c r="BC4288">
        <v>51</v>
      </c>
      <c r="BD4288">
        <v>0.04</v>
      </c>
      <c r="BE4288">
        <v>0.08</v>
      </c>
      <c r="BF4288">
        <v>0.01</v>
      </c>
      <c r="BG4288">
        <v>85</v>
      </c>
      <c r="BH4288">
        <v>0.1</v>
      </c>
      <c r="BI4288">
        <v>4.3499999999999996</v>
      </c>
      <c r="BJ4288">
        <v>20</v>
      </c>
      <c r="BK4288">
        <v>17</v>
      </c>
      <c r="BL4288">
        <v>0.69</v>
      </c>
      <c r="BM4288">
        <v>-0.06</v>
      </c>
      <c r="BN4288">
        <v>0.12</v>
      </c>
      <c r="BO4288">
        <v>0.33</v>
      </c>
      <c r="BP4288">
        <v>0.98</v>
      </c>
      <c r="BQ4288">
        <v>0.27</v>
      </c>
      <c r="BR4288">
        <v>0.09</v>
      </c>
      <c r="BS4288">
        <v>-0.48</v>
      </c>
      <c r="BT4288">
        <v>0.27</v>
      </c>
      <c r="BU4288">
        <v>-0.1</v>
      </c>
      <c r="BV4288">
        <v>0.51</v>
      </c>
      <c r="BW4288">
        <v>-0.18</v>
      </c>
      <c r="BX4288">
        <v>0.25</v>
      </c>
      <c r="BY4288">
        <v>-0.62</v>
      </c>
      <c r="BZ4288">
        <v>0.24</v>
      </c>
      <c r="CA4288">
        <v>0.35</v>
      </c>
      <c r="CB4288">
        <v>0.44</v>
      </c>
      <c r="CC4288">
        <v>0.01</v>
      </c>
      <c r="CD4288">
        <v>-0.09</v>
      </c>
      <c r="CE4288">
        <v>0.54</v>
      </c>
      <c r="CF4288">
        <v>0.27</v>
      </c>
      <c r="CG4288">
        <v>0</v>
      </c>
      <c r="CH4288">
        <v>0.38</v>
      </c>
      <c r="CI4288">
        <v>0</v>
      </c>
      <c r="CJ4288">
        <v>-2.5</v>
      </c>
      <c r="CK4288">
        <v>77</v>
      </c>
      <c r="CL4288">
        <v>-0.42</v>
      </c>
      <c r="CM4288">
        <v>74</v>
      </c>
      <c r="CN4288">
        <v>-0.08</v>
      </c>
      <c r="CO4288">
        <v>70</v>
      </c>
      <c r="CP4288">
        <v>-3</v>
      </c>
      <c r="CQ4288">
        <v>84</v>
      </c>
      <c r="CR4288">
        <v>0</v>
      </c>
      <c r="CS4288">
        <v>0</v>
      </c>
      <c r="CT4288">
        <v>7.9</v>
      </c>
      <c r="CU4288">
        <v>71</v>
      </c>
      <c r="CV4288">
        <v>0.03</v>
      </c>
      <c r="CW4288">
        <v>22</v>
      </c>
      <c r="CX4288" t="s">
        <v>161</v>
      </c>
    </row>
    <row r="4289" spans="1:102" x14ac:dyDescent="0.3">
      <c r="A4289" t="str">
        <f>HYPERLINK("https://webapp.icbf.com/v2/app/bull-search/view/77855791","LLN")</f>
        <v>LLN</v>
      </c>
      <c r="B4289" t="s">
        <v>10988</v>
      </c>
      <c r="C4289" t="s">
        <v>10989</v>
      </c>
      <c r="D4289" s="1">
        <v>33888</v>
      </c>
      <c r="E4289" t="s">
        <v>92</v>
      </c>
      <c r="F4289">
        <v>88</v>
      </c>
      <c r="G4289" t="s">
        <v>93</v>
      </c>
      <c r="H4289">
        <v>-108.27</v>
      </c>
      <c r="I4289">
        <v>70</v>
      </c>
      <c r="J4289">
        <v>-60.15</v>
      </c>
      <c r="K4289">
        <v>90</v>
      </c>
      <c r="L4289">
        <v>-36.79</v>
      </c>
      <c r="M4289">
        <v>62</v>
      </c>
      <c r="N4289">
        <v>4.6500000000000004</v>
      </c>
      <c r="O4289">
        <v>51</v>
      </c>
      <c r="P4289">
        <v>-19.079999999999998</v>
      </c>
      <c r="Q4289">
        <v>69</v>
      </c>
      <c r="R4289">
        <v>-13.66</v>
      </c>
      <c r="S4289">
        <v>66</v>
      </c>
      <c r="T4289">
        <v>18.86</v>
      </c>
      <c r="U4289">
        <v>63</v>
      </c>
      <c r="V4289">
        <v>-2.1</v>
      </c>
      <c r="W4289">
        <v>37</v>
      </c>
      <c r="X4289" t="s">
        <v>94</v>
      </c>
      <c r="Y4289" t="s">
        <v>95</v>
      </c>
      <c r="Z4289" t="s">
        <v>96</v>
      </c>
      <c r="AA4289" t="s">
        <v>161</v>
      </c>
      <c r="AB4289" t="s">
        <v>10990</v>
      </c>
      <c r="AC4289">
        <v>50</v>
      </c>
      <c r="AD4289">
        <v>38</v>
      </c>
      <c r="AE4289">
        <v>90</v>
      </c>
      <c r="AF4289">
        <v>-263.45</v>
      </c>
      <c r="AG4289">
        <v>-8.74</v>
      </c>
      <c r="AH4289">
        <v>-11.17</v>
      </c>
      <c r="AI4289">
        <v>0.03</v>
      </c>
      <c r="AJ4289">
        <v>-0.04</v>
      </c>
      <c r="AK4289">
        <v>62</v>
      </c>
      <c r="AL4289">
        <v>75</v>
      </c>
      <c r="AM4289">
        <v>55</v>
      </c>
      <c r="AN4289">
        <v>2.2999999999999998</v>
      </c>
      <c r="AO4289">
        <v>-0.63</v>
      </c>
      <c r="AP4289">
        <v>2</v>
      </c>
      <c r="AQ4289">
        <v>0</v>
      </c>
      <c r="AR4289">
        <v>6.75</v>
      </c>
      <c r="AS4289">
        <v>31</v>
      </c>
      <c r="AT4289">
        <v>2.96</v>
      </c>
      <c r="AU4289">
        <v>46</v>
      </c>
      <c r="AV4289">
        <v>-0.2</v>
      </c>
      <c r="AW4289">
        <v>58</v>
      </c>
      <c r="AX4289">
        <v>-0.24</v>
      </c>
      <c r="AY4289">
        <v>61</v>
      </c>
      <c r="AZ4289">
        <v>7.17</v>
      </c>
      <c r="BA4289">
        <v>33</v>
      </c>
      <c r="BB4289">
        <v>5.01</v>
      </c>
      <c r="BC4289">
        <v>45</v>
      </c>
      <c r="BD4289">
        <v>0.03</v>
      </c>
      <c r="BE4289">
        <v>0.06</v>
      </c>
      <c r="BF4289">
        <v>0.15</v>
      </c>
      <c r="BG4289">
        <v>83</v>
      </c>
      <c r="BH4289">
        <v>0.04</v>
      </c>
      <c r="BI4289">
        <v>11.41</v>
      </c>
      <c r="BJ4289">
        <v>17</v>
      </c>
      <c r="BK4289">
        <v>15</v>
      </c>
      <c r="BL4289">
        <v>-0.84</v>
      </c>
      <c r="BM4289">
        <v>-0.85</v>
      </c>
      <c r="BN4289">
        <v>-1</v>
      </c>
      <c r="BO4289">
        <v>-0.52</v>
      </c>
      <c r="BP4289">
        <v>-1.62</v>
      </c>
      <c r="BQ4289">
        <v>-1</v>
      </c>
      <c r="BR4289">
        <v>-0.16</v>
      </c>
      <c r="BS4289">
        <v>0.35</v>
      </c>
      <c r="BT4289">
        <v>0.45</v>
      </c>
      <c r="BU4289">
        <v>-0.82</v>
      </c>
      <c r="BV4289">
        <v>0.05</v>
      </c>
      <c r="BW4289">
        <v>0.2</v>
      </c>
      <c r="BX4289">
        <v>0.19</v>
      </c>
      <c r="BY4289">
        <v>-0.21</v>
      </c>
      <c r="BZ4289">
        <v>-1.68</v>
      </c>
      <c r="CA4289">
        <v>-0.15</v>
      </c>
      <c r="CB4289">
        <v>-0.19</v>
      </c>
      <c r="CC4289">
        <v>0.1</v>
      </c>
      <c r="CD4289">
        <v>-0.41</v>
      </c>
      <c r="CE4289">
        <v>-0.73</v>
      </c>
      <c r="CF4289">
        <v>-1.42</v>
      </c>
      <c r="CG4289">
        <v>0</v>
      </c>
      <c r="CH4289">
        <v>-0.3</v>
      </c>
      <c r="CI4289">
        <v>0</v>
      </c>
      <c r="CJ4289">
        <v>-8.8000000000000007</v>
      </c>
      <c r="CK4289">
        <v>70</v>
      </c>
      <c r="CL4289">
        <v>-0.86</v>
      </c>
      <c r="CM4289">
        <v>66</v>
      </c>
      <c r="CN4289">
        <v>-0.31</v>
      </c>
      <c r="CO4289">
        <v>62</v>
      </c>
      <c r="CP4289">
        <v>-11.3</v>
      </c>
      <c r="CQ4289">
        <v>78</v>
      </c>
      <c r="CR4289">
        <v>0</v>
      </c>
      <c r="CS4289">
        <v>0</v>
      </c>
      <c r="CT4289">
        <v>-11.7</v>
      </c>
      <c r="CU4289">
        <v>63</v>
      </c>
      <c r="CV4289">
        <v>0.16</v>
      </c>
      <c r="CW4289">
        <v>18</v>
      </c>
      <c r="CX4289" t="s">
        <v>1485</v>
      </c>
    </row>
    <row r="4290" spans="1:102" x14ac:dyDescent="0.3">
      <c r="A4290" t="str">
        <f>HYPERLINK("https://webapp.icbf.com/v2/app/bull-search/view/77860216","CDI")</f>
        <v>CDI</v>
      </c>
      <c r="B4290" t="s">
        <v>11010</v>
      </c>
      <c r="C4290" t="s">
        <v>11011</v>
      </c>
      <c r="D4290" s="1">
        <v>34629</v>
      </c>
      <c r="E4290" t="s">
        <v>92</v>
      </c>
      <c r="F4290">
        <v>100</v>
      </c>
      <c r="G4290" t="s">
        <v>93</v>
      </c>
      <c r="H4290">
        <v>-108.46</v>
      </c>
      <c r="I4290">
        <v>75</v>
      </c>
      <c r="J4290">
        <v>4.67</v>
      </c>
      <c r="K4290">
        <v>93</v>
      </c>
      <c r="L4290">
        <v>-72.150000000000006</v>
      </c>
      <c r="M4290">
        <v>65</v>
      </c>
      <c r="N4290">
        <v>-29.73</v>
      </c>
      <c r="O4290">
        <v>59</v>
      </c>
      <c r="P4290">
        <v>-2.0099999999999998</v>
      </c>
      <c r="Q4290">
        <v>77</v>
      </c>
      <c r="R4290">
        <v>-14.83</v>
      </c>
      <c r="S4290">
        <v>68</v>
      </c>
      <c r="T4290">
        <v>4.13</v>
      </c>
      <c r="U4290">
        <v>77</v>
      </c>
      <c r="V4290">
        <v>1.46</v>
      </c>
      <c r="W4290">
        <v>37</v>
      </c>
      <c r="X4290" t="s">
        <v>94</v>
      </c>
      <c r="Y4290" t="s">
        <v>95</v>
      </c>
      <c r="Z4290" t="s">
        <v>96</v>
      </c>
      <c r="AA4290" t="s">
        <v>743</v>
      </c>
      <c r="AB4290" t="s">
        <v>11012</v>
      </c>
      <c r="AC4290">
        <v>74</v>
      </c>
      <c r="AD4290">
        <v>63</v>
      </c>
      <c r="AE4290">
        <v>93</v>
      </c>
      <c r="AF4290">
        <v>86.16</v>
      </c>
      <c r="AG4290">
        <v>2.0699999999999998</v>
      </c>
      <c r="AH4290">
        <v>1.38</v>
      </c>
      <c r="AI4290">
        <v>-0.02</v>
      </c>
      <c r="AJ4290">
        <v>-0.03</v>
      </c>
      <c r="AK4290">
        <v>65</v>
      </c>
      <c r="AL4290">
        <v>94</v>
      </c>
      <c r="AM4290">
        <v>69</v>
      </c>
      <c r="AN4290">
        <v>4.22</v>
      </c>
      <c r="AO4290">
        <v>-1.53</v>
      </c>
      <c r="AP4290">
        <v>1</v>
      </c>
      <c r="AQ4290">
        <v>0</v>
      </c>
      <c r="AR4290">
        <v>12.11</v>
      </c>
      <c r="AS4290">
        <v>36</v>
      </c>
      <c r="AT4290">
        <v>4.92</v>
      </c>
      <c r="AU4290">
        <v>56</v>
      </c>
      <c r="AV4290">
        <v>-0.23</v>
      </c>
      <c r="AW4290">
        <v>64</v>
      </c>
      <c r="AX4290">
        <v>0.03</v>
      </c>
      <c r="AY4290">
        <v>76</v>
      </c>
      <c r="AZ4290">
        <v>5.95</v>
      </c>
      <c r="BA4290">
        <v>37</v>
      </c>
      <c r="BB4290">
        <v>4.63</v>
      </c>
      <c r="BC4290">
        <v>55</v>
      </c>
      <c r="BD4290">
        <v>0.06</v>
      </c>
      <c r="BE4290">
        <v>0.09</v>
      </c>
      <c r="BF4290">
        <v>7.0000000000000007E-2</v>
      </c>
      <c r="BG4290">
        <v>83</v>
      </c>
      <c r="BH4290">
        <v>0.02</v>
      </c>
      <c r="BI4290">
        <v>-2.39</v>
      </c>
      <c r="BJ4290">
        <v>5</v>
      </c>
      <c r="BK4290">
        <v>5</v>
      </c>
      <c r="BL4290">
        <v>0.26</v>
      </c>
      <c r="BM4290">
        <v>0.19</v>
      </c>
      <c r="BN4290">
        <v>-0.23</v>
      </c>
      <c r="BO4290">
        <v>-0.12</v>
      </c>
      <c r="BP4290">
        <v>-0.19</v>
      </c>
      <c r="BQ4290">
        <v>0.02</v>
      </c>
      <c r="BR4290">
        <v>-0.76</v>
      </c>
      <c r="BS4290">
        <v>0.28000000000000003</v>
      </c>
      <c r="BT4290">
        <v>0.3</v>
      </c>
      <c r="BU4290">
        <v>-0.88</v>
      </c>
      <c r="BV4290">
        <v>-0.61</v>
      </c>
      <c r="BW4290">
        <v>-0.53</v>
      </c>
      <c r="BX4290">
        <v>-0.3</v>
      </c>
      <c r="BY4290">
        <v>-2.56</v>
      </c>
      <c r="BZ4290">
        <v>1.99</v>
      </c>
      <c r="CA4290">
        <v>-0.98</v>
      </c>
      <c r="CB4290">
        <v>-1.34</v>
      </c>
      <c r="CC4290">
        <v>0.1</v>
      </c>
      <c r="CD4290">
        <v>0.36</v>
      </c>
      <c r="CE4290">
        <v>-0.41</v>
      </c>
      <c r="CF4290">
        <v>0.22</v>
      </c>
      <c r="CG4290">
        <v>0</v>
      </c>
      <c r="CH4290">
        <v>-1.28</v>
      </c>
      <c r="CI4290">
        <v>0</v>
      </c>
      <c r="CJ4290">
        <v>1</v>
      </c>
      <c r="CK4290">
        <v>78</v>
      </c>
      <c r="CL4290">
        <v>-0.45</v>
      </c>
      <c r="CM4290">
        <v>75</v>
      </c>
      <c r="CN4290">
        <v>-0.13</v>
      </c>
      <c r="CO4290">
        <v>71</v>
      </c>
      <c r="CP4290">
        <v>-1.8</v>
      </c>
      <c r="CQ4290">
        <v>85</v>
      </c>
      <c r="CR4290">
        <v>0</v>
      </c>
      <c r="CS4290">
        <v>0</v>
      </c>
      <c r="CT4290">
        <v>8.1999999999999993</v>
      </c>
      <c r="CU4290">
        <v>77</v>
      </c>
      <c r="CV4290">
        <v>0.12</v>
      </c>
      <c r="CW4290">
        <v>22</v>
      </c>
      <c r="CX4290" t="s">
        <v>161</v>
      </c>
    </row>
    <row r="4291" spans="1:102" x14ac:dyDescent="0.3">
      <c r="A4291" t="str">
        <f>HYPERLINK("https://webapp.icbf.com/v2/app/bull-search/view/381921999","LEF")</f>
        <v>LEF</v>
      </c>
      <c r="B4291" t="s">
        <v>8174</v>
      </c>
      <c r="C4291" t="s">
        <v>5942</v>
      </c>
      <c r="D4291" s="1">
        <v>36344</v>
      </c>
      <c r="E4291" t="s">
        <v>92</v>
      </c>
      <c r="F4291">
        <v>100</v>
      </c>
      <c r="G4291" t="s">
        <v>93</v>
      </c>
      <c r="H4291">
        <v>-108.59</v>
      </c>
      <c r="I4291">
        <v>97</v>
      </c>
      <c r="J4291">
        <v>12.64</v>
      </c>
      <c r="K4291">
        <v>99</v>
      </c>
      <c r="L4291">
        <v>-23.6</v>
      </c>
      <c r="M4291">
        <v>94</v>
      </c>
      <c r="N4291">
        <v>-113.2</v>
      </c>
      <c r="O4291">
        <v>96</v>
      </c>
      <c r="P4291">
        <v>5.38</v>
      </c>
      <c r="Q4291">
        <v>99</v>
      </c>
      <c r="R4291">
        <v>20.48</v>
      </c>
      <c r="S4291">
        <v>93</v>
      </c>
      <c r="T4291">
        <v>-7.86</v>
      </c>
      <c r="U4291">
        <v>98</v>
      </c>
      <c r="V4291">
        <v>-2.4300000000000002</v>
      </c>
      <c r="W4291">
        <v>94</v>
      </c>
      <c r="X4291" t="s">
        <v>102</v>
      </c>
      <c r="Y4291" t="s">
        <v>95</v>
      </c>
      <c r="Z4291" t="s">
        <v>96</v>
      </c>
      <c r="AA4291" t="s">
        <v>6632</v>
      </c>
      <c r="AB4291" t="s">
        <v>8175</v>
      </c>
      <c r="AC4291">
        <v>721</v>
      </c>
      <c r="AD4291">
        <v>217</v>
      </c>
      <c r="AE4291">
        <v>99</v>
      </c>
      <c r="AF4291">
        <v>156.97</v>
      </c>
      <c r="AG4291">
        <v>6.14</v>
      </c>
      <c r="AH4291">
        <v>2.38</v>
      </c>
      <c r="AI4291">
        <v>0</v>
      </c>
      <c r="AJ4291">
        <v>-0.05</v>
      </c>
      <c r="AK4291">
        <v>94</v>
      </c>
      <c r="AL4291">
        <v>793</v>
      </c>
      <c r="AM4291">
        <v>261</v>
      </c>
      <c r="AN4291">
        <v>1.44</v>
      </c>
      <c r="AO4291">
        <v>-0.44</v>
      </c>
      <c r="AP4291">
        <v>1266</v>
      </c>
      <c r="AQ4291">
        <v>3</v>
      </c>
      <c r="AR4291">
        <v>18.38</v>
      </c>
      <c r="AS4291">
        <v>90</v>
      </c>
      <c r="AT4291">
        <v>8.5399999999999991</v>
      </c>
      <c r="AU4291">
        <v>98</v>
      </c>
      <c r="AV4291">
        <v>-0.79</v>
      </c>
      <c r="AW4291">
        <v>99</v>
      </c>
      <c r="AX4291">
        <v>-0.23</v>
      </c>
      <c r="AY4291">
        <v>97</v>
      </c>
      <c r="AZ4291">
        <v>5.3</v>
      </c>
      <c r="BA4291">
        <v>90</v>
      </c>
      <c r="BB4291">
        <v>4.41</v>
      </c>
      <c r="BC4291">
        <v>91</v>
      </c>
      <c r="BD4291">
        <v>-0.06</v>
      </c>
      <c r="BE4291">
        <v>-0.09</v>
      </c>
      <c r="BF4291">
        <v>-0.2</v>
      </c>
      <c r="BG4291">
        <v>97</v>
      </c>
      <c r="BH4291">
        <v>-0.14000000000000001</v>
      </c>
      <c r="BI4291">
        <v>-8.35</v>
      </c>
      <c r="BJ4291">
        <v>125</v>
      </c>
      <c r="BK4291">
        <v>52</v>
      </c>
      <c r="BL4291">
        <v>0.87</v>
      </c>
      <c r="BM4291">
        <v>2.17</v>
      </c>
      <c r="BN4291">
        <v>0.95</v>
      </c>
      <c r="BO4291">
        <v>0.18</v>
      </c>
      <c r="BP4291">
        <v>-1.9</v>
      </c>
      <c r="BQ4291">
        <v>2.08</v>
      </c>
      <c r="BR4291">
        <v>-1.56</v>
      </c>
      <c r="BS4291">
        <v>2.04</v>
      </c>
      <c r="BT4291">
        <v>2</v>
      </c>
      <c r="BU4291">
        <v>1.1200000000000001</v>
      </c>
      <c r="BV4291">
        <v>1.42</v>
      </c>
      <c r="BW4291">
        <v>1.83</v>
      </c>
      <c r="BX4291">
        <v>1.03</v>
      </c>
      <c r="BY4291">
        <v>-0.05</v>
      </c>
      <c r="BZ4291">
        <v>0.18</v>
      </c>
      <c r="CA4291">
        <v>1.64</v>
      </c>
      <c r="CB4291">
        <v>1.19</v>
      </c>
      <c r="CC4291">
        <v>1.74</v>
      </c>
      <c r="CD4291">
        <v>1.1399999999999999</v>
      </c>
      <c r="CE4291">
        <v>0.16</v>
      </c>
      <c r="CF4291">
        <v>1.07</v>
      </c>
      <c r="CG4291">
        <v>0</v>
      </c>
      <c r="CH4291">
        <v>-0.11</v>
      </c>
      <c r="CI4291">
        <v>0</v>
      </c>
      <c r="CJ4291">
        <v>4</v>
      </c>
      <c r="CK4291">
        <v>99</v>
      </c>
      <c r="CL4291">
        <v>-0.77</v>
      </c>
      <c r="CM4291">
        <v>98</v>
      </c>
      <c r="CN4291">
        <v>-0.56000000000000005</v>
      </c>
      <c r="CO4291">
        <v>98</v>
      </c>
      <c r="CP4291">
        <v>8.3000000000000007</v>
      </c>
      <c r="CQ4291">
        <v>98</v>
      </c>
      <c r="CR4291">
        <v>0</v>
      </c>
      <c r="CS4291">
        <v>0</v>
      </c>
      <c r="CT4291">
        <v>24.4</v>
      </c>
      <c r="CU4291">
        <v>98</v>
      </c>
      <c r="CV4291">
        <v>0.22</v>
      </c>
      <c r="CW4291">
        <v>46</v>
      </c>
      <c r="CX4291" t="s">
        <v>3310</v>
      </c>
    </row>
    <row r="4292" spans="1:102" x14ac:dyDescent="0.3">
      <c r="A4292" t="str">
        <f>HYPERLINK("https://webapp.icbf.com/v2/app/bull-search/view/77858338","DGF")</f>
        <v>DGF</v>
      </c>
      <c r="B4292" t="s">
        <v>10880</v>
      </c>
      <c r="C4292" t="s">
        <v>10881</v>
      </c>
      <c r="D4292" s="1">
        <v>35091</v>
      </c>
      <c r="E4292" t="s">
        <v>92</v>
      </c>
      <c r="F4292">
        <v>100</v>
      </c>
      <c r="G4292" t="s">
        <v>93</v>
      </c>
      <c r="H4292">
        <v>-108.67</v>
      </c>
      <c r="I4292">
        <v>84</v>
      </c>
      <c r="J4292">
        <v>17.510000000000002</v>
      </c>
      <c r="K4292">
        <v>97</v>
      </c>
      <c r="L4292">
        <v>-121.14</v>
      </c>
      <c r="M4292">
        <v>78</v>
      </c>
      <c r="N4292">
        <v>1.9</v>
      </c>
      <c r="O4292">
        <v>72</v>
      </c>
      <c r="P4292">
        <v>-3.46</v>
      </c>
      <c r="Q4292">
        <v>86</v>
      </c>
      <c r="R4292">
        <v>-15.79</v>
      </c>
      <c r="S4292">
        <v>77</v>
      </c>
      <c r="T4292">
        <v>16.12</v>
      </c>
      <c r="U4292">
        <v>75</v>
      </c>
      <c r="V4292">
        <v>-3.81</v>
      </c>
      <c r="W4292">
        <v>65</v>
      </c>
      <c r="X4292" t="s">
        <v>102</v>
      </c>
      <c r="Y4292" t="s">
        <v>95</v>
      </c>
      <c r="Z4292" t="s">
        <v>96</v>
      </c>
      <c r="AA4292" t="s">
        <v>2855</v>
      </c>
      <c r="AB4292" t="s">
        <v>10882</v>
      </c>
      <c r="AC4292">
        <v>95</v>
      </c>
      <c r="AD4292">
        <v>58</v>
      </c>
      <c r="AE4292">
        <v>97</v>
      </c>
      <c r="AF4292">
        <v>-85.35</v>
      </c>
      <c r="AG4292">
        <v>8.77</v>
      </c>
      <c r="AH4292">
        <v>-1.43</v>
      </c>
      <c r="AI4292">
        <v>0.21</v>
      </c>
      <c r="AJ4292">
        <v>0.03</v>
      </c>
      <c r="AK4292">
        <v>78</v>
      </c>
      <c r="AL4292">
        <v>84</v>
      </c>
      <c r="AM4292">
        <v>55</v>
      </c>
      <c r="AN4292">
        <v>5.91</v>
      </c>
      <c r="AO4292">
        <v>-3.76</v>
      </c>
      <c r="AP4292">
        <v>22</v>
      </c>
      <c r="AQ4292">
        <v>0</v>
      </c>
      <c r="AR4292">
        <v>6.59</v>
      </c>
      <c r="AS4292">
        <v>61</v>
      </c>
      <c r="AT4292">
        <v>2.6</v>
      </c>
      <c r="AU4292">
        <v>77</v>
      </c>
      <c r="AV4292">
        <v>-0.37</v>
      </c>
      <c r="AW4292">
        <v>74</v>
      </c>
      <c r="AX4292">
        <v>-0.84</v>
      </c>
      <c r="AY4292">
        <v>77</v>
      </c>
      <c r="AZ4292">
        <v>8.57</v>
      </c>
      <c r="BA4292">
        <v>56</v>
      </c>
      <c r="BB4292">
        <v>6.18</v>
      </c>
      <c r="BC4292">
        <v>65</v>
      </c>
      <c r="BD4292">
        <v>0.06</v>
      </c>
      <c r="BE4292">
        <v>7.0000000000000007E-2</v>
      </c>
      <c r="BF4292">
        <v>0.13</v>
      </c>
      <c r="BG4292">
        <v>89</v>
      </c>
      <c r="BH4292">
        <v>-0.06</v>
      </c>
      <c r="BI4292">
        <v>5.35</v>
      </c>
      <c r="BJ4292">
        <v>5</v>
      </c>
      <c r="BK4292">
        <v>4</v>
      </c>
      <c r="BL4292">
        <v>0.28000000000000003</v>
      </c>
      <c r="BM4292">
        <v>0.75</v>
      </c>
      <c r="BN4292">
        <v>1.44</v>
      </c>
      <c r="BO4292">
        <v>0.46</v>
      </c>
      <c r="BP4292">
        <v>-3.28</v>
      </c>
      <c r="BQ4292">
        <v>1.86</v>
      </c>
      <c r="BR4292">
        <v>1.0900000000000001</v>
      </c>
      <c r="BS4292">
        <v>-1.55</v>
      </c>
      <c r="BT4292">
        <v>-2.52</v>
      </c>
      <c r="BU4292">
        <v>-0.15</v>
      </c>
      <c r="BV4292">
        <v>0.93</v>
      </c>
      <c r="BW4292">
        <v>1.24</v>
      </c>
      <c r="BX4292">
        <v>-1.56</v>
      </c>
      <c r="BY4292">
        <v>0.01</v>
      </c>
      <c r="BZ4292">
        <v>-1.25</v>
      </c>
      <c r="CA4292">
        <v>-0.44</v>
      </c>
      <c r="CB4292">
        <v>0.13</v>
      </c>
      <c r="CC4292">
        <v>-1.38</v>
      </c>
      <c r="CD4292">
        <v>-1.19</v>
      </c>
      <c r="CE4292">
        <v>7.0000000000000007E-2</v>
      </c>
      <c r="CF4292">
        <v>-0.56000000000000005</v>
      </c>
      <c r="CG4292">
        <v>0</v>
      </c>
      <c r="CH4292">
        <v>0.14000000000000001</v>
      </c>
      <c r="CI4292">
        <v>0</v>
      </c>
      <c r="CJ4292">
        <v>1.4</v>
      </c>
      <c r="CK4292">
        <v>87</v>
      </c>
      <c r="CL4292">
        <v>-0.59</v>
      </c>
      <c r="CM4292">
        <v>85</v>
      </c>
      <c r="CN4292">
        <v>-0.17</v>
      </c>
      <c r="CO4292">
        <v>83</v>
      </c>
      <c r="CP4292">
        <v>-8.6</v>
      </c>
      <c r="CQ4292">
        <v>88</v>
      </c>
      <c r="CR4292">
        <v>0</v>
      </c>
      <c r="CS4292">
        <v>0</v>
      </c>
      <c r="CT4292">
        <v>-8</v>
      </c>
      <c r="CU4292">
        <v>75</v>
      </c>
      <c r="CV4292">
        <v>0.16</v>
      </c>
      <c r="CW4292">
        <v>43</v>
      </c>
      <c r="CX4292" t="s">
        <v>552</v>
      </c>
    </row>
    <row r="4293" spans="1:102" x14ac:dyDescent="0.3">
      <c r="A4293" t="str">
        <f>HYPERLINK("https://webapp.icbf.com/v2/app/bull-search/view/760397484","DYP")</f>
        <v>DYP</v>
      </c>
      <c r="B4293" t="s">
        <v>8279</v>
      </c>
      <c r="C4293" t="s">
        <v>8280</v>
      </c>
      <c r="D4293" s="1">
        <v>37417</v>
      </c>
      <c r="E4293" t="s">
        <v>92</v>
      </c>
      <c r="F4293">
        <v>100</v>
      </c>
      <c r="G4293" t="s">
        <v>93</v>
      </c>
      <c r="H4293">
        <v>-108.76</v>
      </c>
      <c r="I4293">
        <v>89</v>
      </c>
      <c r="J4293">
        <v>-4.2699999999999996</v>
      </c>
      <c r="K4293">
        <v>96</v>
      </c>
      <c r="L4293">
        <v>-93.25</v>
      </c>
      <c r="M4293">
        <v>88</v>
      </c>
      <c r="N4293">
        <v>-16.21</v>
      </c>
      <c r="O4293">
        <v>84</v>
      </c>
      <c r="P4293">
        <v>-10.85</v>
      </c>
      <c r="Q4293">
        <v>89</v>
      </c>
      <c r="R4293">
        <v>-8.09</v>
      </c>
      <c r="S4293">
        <v>82</v>
      </c>
      <c r="T4293">
        <v>15.9</v>
      </c>
      <c r="U4293">
        <v>79</v>
      </c>
      <c r="V4293">
        <v>8.01</v>
      </c>
      <c r="W4293">
        <v>71</v>
      </c>
      <c r="X4293" t="s">
        <v>110</v>
      </c>
      <c r="Y4293" t="s">
        <v>95</v>
      </c>
      <c r="Z4293" t="s">
        <v>96</v>
      </c>
      <c r="AA4293" t="s">
        <v>7127</v>
      </c>
      <c r="AB4293" t="s">
        <v>8281</v>
      </c>
      <c r="AC4293">
        <v>80</v>
      </c>
      <c r="AD4293">
        <v>41</v>
      </c>
      <c r="AE4293">
        <v>96</v>
      </c>
      <c r="AF4293">
        <v>-37.83</v>
      </c>
      <c r="AG4293">
        <v>1.03</v>
      </c>
      <c r="AH4293">
        <v>-1.67</v>
      </c>
      <c r="AI4293">
        <v>0.04</v>
      </c>
      <c r="AJ4293">
        <v>-0.01</v>
      </c>
      <c r="AK4293">
        <v>88</v>
      </c>
      <c r="AL4293">
        <v>74</v>
      </c>
      <c r="AM4293">
        <v>39</v>
      </c>
      <c r="AN4293">
        <v>3.29</v>
      </c>
      <c r="AO4293">
        <v>-4.17</v>
      </c>
      <c r="AP4293">
        <v>142</v>
      </c>
      <c r="AQ4293">
        <v>4</v>
      </c>
      <c r="AR4293">
        <v>9.67</v>
      </c>
      <c r="AS4293">
        <v>80</v>
      </c>
      <c r="AT4293">
        <v>5.0999999999999996</v>
      </c>
      <c r="AU4293">
        <v>88</v>
      </c>
      <c r="AV4293">
        <v>-1.84</v>
      </c>
      <c r="AW4293">
        <v>93</v>
      </c>
      <c r="AX4293">
        <v>1.54</v>
      </c>
      <c r="AY4293">
        <v>77</v>
      </c>
      <c r="AZ4293">
        <v>6.77</v>
      </c>
      <c r="BA4293">
        <v>63</v>
      </c>
      <c r="BB4293">
        <v>4.84</v>
      </c>
      <c r="BC4293">
        <v>62</v>
      </c>
      <c r="BD4293">
        <v>0</v>
      </c>
      <c r="BE4293">
        <v>0.04</v>
      </c>
      <c r="BF4293">
        <v>0.11</v>
      </c>
      <c r="BG4293">
        <v>94</v>
      </c>
      <c r="BH4293">
        <v>0.3</v>
      </c>
      <c r="BI4293">
        <v>8.8699999999999992</v>
      </c>
      <c r="BJ4293">
        <v>27</v>
      </c>
      <c r="BK4293">
        <v>20</v>
      </c>
      <c r="BL4293">
        <v>0.87</v>
      </c>
      <c r="BM4293">
        <v>-2.89</v>
      </c>
      <c r="BN4293">
        <v>-1.17</v>
      </c>
      <c r="BO4293">
        <v>0.92</v>
      </c>
      <c r="BP4293">
        <v>-1.59</v>
      </c>
      <c r="BQ4293">
        <v>-1.83</v>
      </c>
      <c r="BR4293">
        <v>0.09</v>
      </c>
      <c r="BS4293">
        <v>0.91</v>
      </c>
      <c r="BT4293">
        <v>0.9</v>
      </c>
      <c r="BU4293">
        <v>1.87</v>
      </c>
      <c r="BV4293">
        <v>1.3</v>
      </c>
      <c r="BW4293">
        <v>1.7</v>
      </c>
      <c r="BX4293">
        <v>2.2799999999999998</v>
      </c>
      <c r="BY4293">
        <v>1.98</v>
      </c>
      <c r="BZ4293">
        <v>-2</v>
      </c>
      <c r="CA4293">
        <v>1.74</v>
      </c>
      <c r="CB4293">
        <v>1.75</v>
      </c>
      <c r="CC4293">
        <v>0.35</v>
      </c>
      <c r="CD4293">
        <v>-2.0299999999999998</v>
      </c>
      <c r="CE4293">
        <v>1.2</v>
      </c>
      <c r="CF4293">
        <v>-0.24</v>
      </c>
      <c r="CG4293">
        <v>0</v>
      </c>
      <c r="CH4293">
        <v>2.02</v>
      </c>
      <c r="CI4293">
        <v>0</v>
      </c>
      <c r="CJ4293">
        <v>-1.8</v>
      </c>
      <c r="CK4293">
        <v>90</v>
      </c>
      <c r="CL4293">
        <v>-0.96</v>
      </c>
      <c r="CM4293">
        <v>88</v>
      </c>
      <c r="CN4293">
        <v>-0.21</v>
      </c>
      <c r="CO4293">
        <v>87</v>
      </c>
      <c r="CP4293">
        <v>-6.1</v>
      </c>
      <c r="CQ4293">
        <v>87</v>
      </c>
      <c r="CR4293">
        <v>0</v>
      </c>
      <c r="CS4293">
        <v>0</v>
      </c>
      <c r="CT4293">
        <v>-7.7</v>
      </c>
      <c r="CU4293">
        <v>79</v>
      </c>
      <c r="CV4293">
        <v>0.19</v>
      </c>
      <c r="CW4293">
        <v>43</v>
      </c>
      <c r="CX4293" t="s">
        <v>1425</v>
      </c>
    </row>
    <row r="4294" spans="1:102" x14ac:dyDescent="0.3">
      <c r="A4294" t="str">
        <f>HYPERLINK("https://webapp.icbf.com/v2/app/bull-search/view/348063277","WHV")</f>
        <v>WHV</v>
      </c>
      <c r="B4294" t="s">
        <v>3873</v>
      </c>
      <c r="C4294" t="s">
        <v>3874</v>
      </c>
      <c r="D4294" s="1">
        <v>36311</v>
      </c>
      <c r="E4294" t="s">
        <v>92</v>
      </c>
      <c r="F4294">
        <v>100</v>
      </c>
      <c r="G4294" t="s">
        <v>93</v>
      </c>
      <c r="H4294">
        <v>-108.88</v>
      </c>
      <c r="I4294">
        <v>93</v>
      </c>
      <c r="J4294">
        <v>17.95</v>
      </c>
      <c r="K4294">
        <v>98</v>
      </c>
      <c r="L4294">
        <v>-116.37</v>
      </c>
      <c r="M4294">
        <v>92</v>
      </c>
      <c r="N4294">
        <v>-3.91</v>
      </c>
      <c r="O4294">
        <v>92</v>
      </c>
      <c r="P4294">
        <v>8.1199999999999992</v>
      </c>
      <c r="Q4294">
        <v>95</v>
      </c>
      <c r="R4294">
        <v>-10.51</v>
      </c>
      <c r="S4294">
        <v>86</v>
      </c>
      <c r="T4294">
        <v>-2.31</v>
      </c>
      <c r="U4294">
        <v>88</v>
      </c>
      <c r="V4294">
        <v>-1.85</v>
      </c>
      <c r="W4294">
        <v>82</v>
      </c>
      <c r="X4294" t="s">
        <v>94</v>
      </c>
      <c r="Y4294" t="s">
        <v>95</v>
      </c>
      <c r="Z4294" t="s">
        <v>96</v>
      </c>
      <c r="AA4294" t="s">
        <v>961</v>
      </c>
      <c r="AB4294" t="s">
        <v>3875</v>
      </c>
      <c r="AC4294">
        <v>225</v>
      </c>
      <c r="AD4294">
        <v>79</v>
      </c>
      <c r="AE4294">
        <v>98</v>
      </c>
      <c r="AF4294">
        <v>192.32</v>
      </c>
      <c r="AG4294">
        <v>0.47</v>
      </c>
      <c r="AH4294">
        <v>5.83</v>
      </c>
      <c r="AI4294">
        <v>-0.12</v>
      </c>
      <c r="AJ4294">
        <v>-0.01</v>
      </c>
      <c r="AK4294">
        <v>92</v>
      </c>
      <c r="AL4294">
        <v>212</v>
      </c>
      <c r="AM4294">
        <v>81</v>
      </c>
      <c r="AN4294">
        <v>6.39</v>
      </c>
      <c r="AO4294">
        <v>-2.89</v>
      </c>
      <c r="AP4294">
        <v>431</v>
      </c>
      <c r="AQ4294">
        <v>0</v>
      </c>
      <c r="AR4294">
        <v>9.58</v>
      </c>
      <c r="AS4294">
        <v>85</v>
      </c>
      <c r="AT4294">
        <v>4.3600000000000003</v>
      </c>
      <c r="AU4294">
        <v>94</v>
      </c>
      <c r="AV4294">
        <v>-1.1399999999999999</v>
      </c>
      <c r="AW4294">
        <v>98</v>
      </c>
      <c r="AX4294">
        <v>0.04</v>
      </c>
      <c r="AY4294">
        <v>89</v>
      </c>
      <c r="AZ4294">
        <v>5.03</v>
      </c>
      <c r="BA4294">
        <v>78</v>
      </c>
      <c r="BB4294">
        <v>4.26</v>
      </c>
      <c r="BC4294">
        <v>78</v>
      </c>
      <c r="BD4294">
        <v>-0.02</v>
      </c>
      <c r="BE4294">
        <v>0.05</v>
      </c>
      <c r="BF4294">
        <v>0.18</v>
      </c>
      <c r="BG4294">
        <v>94</v>
      </c>
      <c r="BH4294">
        <v>-0.02</v>
      </c>
      <c r="BI4294">
        <v>3.66</v>
      </c>
      <c r="BJ4294">
        <v>40</v>
      </c>
      <c r="BK4294">
        <v>17</v>
      </c>
      <c r="BL4294">
        <v>1.1499999999999999</v>
      </c>
      <c r="BM4294">
        <v>-1.66</v>
      </c>
      <c r="BN4294">
        <v>-0.27</v>
      </c>
      <c r="BO4294">
        <v>1.36</v>
      </c>
      <c r="BP4294">
        <v>0.33</v>
      </c>
      <c r="BQ4294">
        <v>-1.46</v>
      </c>
      <c r="BR4294">
        <v>0.82</v>
      </c>
      <c r="BS4294">
        <v>1.41</v>
      </c>
      <c r="BT4294">
        <v>0.08</v>
      </c>
      <c r="BU4294">
        <v>0.23</v>
      </c>
      <c r="BV4294">
        <v>0.41</v>
      </c>
      <c r="BW4294">
        <v>1.01</v>
      </c>
      <c r="BX4294">
        <v>-0.04</v>
      </c>
      <c r="BY4294">
        <v>1.24</v>
      </c>
      <c r="BZ4294">
        <v>-0.18</v>
      </c>
      <c r="CA4294">
        <v>0.93</v>
      </c>
      <c r="CB4294">
        <v>0.75</v>
      </c>
      <c r="CC4294">
        <v>0.54</v>
      </c>
      <c r="CD4294">
        <v>-1.46</v>
      </c>
      <c r="CE4294">
        <v>0.98</v>
      </c>
      <c r="CF4294">
        <v>-0.37</v>
      </c>
      <c r="CG4294">
        <v>0</v>
      </c>
      <c r="CH4294">
        <v>1.1399999999999999</v>
      </c>
      <c r="CI4294">
        <v>0</v>
      </c>
      <c r="CJ4294">
        <v>7.1</v>
      </c>
      <c r="CK4294">
        <v>96</v>
      </c>
      <c r="CL4294">
        <v>-0.69</v>
      </c>
      <c r="CM4294">
        <v>95</v>
      </c>
      <c r="CN4294">
        <v>-0.33</v>
      </c>
      <c r="CO4294">
        <v>94</v>
      </c>
      <c r="CP4294">
        <v>10.5</v>
      </c>
      <c r="CQ4294">
        <v>95</v>
      </c>
      <c r="CR4294">
        <v>0</v>
      </c>
      <c r="CS4294">
        <v>0</v>
      </c>
      <c r="CT4294">
        <v>16.899999999999999</v>
      </c>
      <c r="CU4294">
        <v>88</v>
      </c>
      <c r="CV4294">
        <v>0.26</v>
      </c>
      <c r="CW4294">
        <v>45</v>
      </c>
      <c r="CX4294" t="s">
        <v>265</v>
      </c>
    </row>
    <row r="4295" spans="1:102" x14ac:dyDescent="0.3">
      <c r="A4295" t="str">
        <f>HYPERLINK("https://webapp.icbf.com/v2/app/bull-search/view/77856571","HRW")</f>
        <v>HRW</v>
      </c>
      <c r="B4295" t="s">
        <v>15686</v>
      </c>
      <c r="C4295" t="s">
        <v>15687</v>
      </c>
      <c r="D4295" s="1">
        <v>33902</v>
      </c>
      <c r="E4295" t="s">
        <v>92</v>
      </c>
      <c r="F4295">
        <v>100</v>
      </c>
      <c r="G4295" t="s">
        <v>93</v>
      </c>
      <c r="H4295">
        <v>-109.09</v>
      </c>
      <c r="I4295">
        <v>51</v>
      </c>
      <c r="J4295">
        <v>-1.37</v>
      </c>
      <c r="K4295">
        <v>74</v>
      </c>
      <c r="L4295">
        <v>-80.5</v>
      </c>
      <c r="M4295">
        <v>43</v>
      </c>
      <c r="N4295">
        <v>-7.48</v>
      </c>
      <c r="O4295">
        <v>30</v>
      </c>
      <c r="P4295">
        <v>-12.47</v>
      </c>
      <c r="Q4295">
        <v>42</v>
      </c>
      <c r="R4295">
        <v>-18.079999999999998</v>
      </c>
      <c r="S4295">
        <v>47</v>
      </c>
      <c r="T4295">
        <v>10.72</v>
      </c>
      <c r="U4295">
        <v>43</v>
      </c>
      <c r="V4295">
        <v>0.09</v>
      </c>
      <c r="W4295">
        <v>22</v>
      </c>
      <c r="X4295" t="s">
        <v>94</v>
      </c>
      <c r="Y4295" t="s">
        <v>95</v>
      </c>
      <c r="Z4295" t="s">
        <v>96</v>
      </c>
      <c r="AA4295" t="s">
        <v>1488</v>
      </c>
      <c r="AB4295" t="s">
        <v>10224</v>
      </c>
      <c r="AC4295">
        <v>17</v>
      </c>
      <c r="AD4295">
        <v>17</v>
      </c>
      <c r="AE4295">
        <v>74</v>
      </c>
      <c r="AF4295">
        <v>456.89</v>
      </c>
      <c r="AG4295">
        <v>2.6</v>
      </c>
      <c r="AH4295">
        <v>5.84</v>
      </c>
      <c r="AI4295">
        <v>-0.23</v>
      </c>
      <c r="AJ4295">
        <v>-0.15</v>
      </c>
      <c r="AK4295">
        <v>43</v>
      </c>
      <c r="AL4295">
        <v>23</v>
      </c>
      <c r="AM4295">
        <v>19</v>
      </c>
      <c r="AN4295">
        <v>5.93</v>
      </c>
      <c r="AO4295">
        <v>-0.47</v>
      </c>
      <c r="AP4295">
        <v>0</v>
      </c>
      <c r="AQ4295">
        <v>1</v>
      </c>
      <c r="AR4295">
        <v>9.7200000000000006</v>
      </c>
      <c r="AS4295">
        <v>20</v>
      </c>
      <c r="AT4295">
        <v>4.03</v>
      </c>
      <c r="AU4295">
        <v>32</v>
      </c>
      <c r="AV4295">
        <v>-1.35</v>
      </c>
      <c r="AW4295">
        <v>31</v>
      </c>
      <c r="AX4295">
        <v>-0.06</v>
      </c>
      <c r="AY4295">
        <v>40</v>
      </c>
      <c r="AZ4295">
        <v>7.06</v>
      </c>
      <c r="BA4295">
        <v>21</v>
      </c>
      <c r="BB4295">
        <v>5.45</v>
      </c>
      <c r="BC4295">
        <v>27</v>
      </c>
      <c r="BD4295">
        <v>0.04</v>
      </c>
      <c r="BE4295">
        <v>0.11</v>
      </c>
      <c r="BF4295">
        <v>0.14000000000000001</v>
      </c>
      <c r="BG4295">
        <v>60</v>
      </c>
      <c r="BH4295">
        <v>0.09</v>
      </c>
      <c r="BI4295">
        <v>10.119999999999999</v>
      </c>
      <c r="BJ4295">
        <v>5</v>
      </c>
      <c r="BK4295">
        <v>5</v>
      </c>
      <c r="BL4295">
        <v>0.44</v>
      </c>
      <c r="BM4295">
        <v>-0.38</v>
      </c>
      <c r="BN4295">
        <v>0.33</v>
      </c>
      <c r="BO4295">
        <v>0.47</v>
      </c>
      <c r="BP4295">
        <v>-0.46</v>
      </c>
      <c r="BQ4295">
        <v>-0.34</v>
      </c>
      <c r="BR4295">
        <v>-0.56000000000000005</v>
      </c>
      <c r="BS4295">
        <v>1.0900000000000001</v>
      </c>
      <c r="BT4295">
        <v>0.6</v>
      </c>
      <c r="BU4295">
        <v>-1.1299999999999999</v>
      </c>
      <c r="BV4295">
        <v>-0.91</v>
      </c>
      <c r="BW4295">
        <v>-0.79</v>
      </c>
      <c r="BX4295">
        <v>-1.46</v>
      </c>
      <c r="BY4295">
        <v>-0.14000000000000001</v>
      </c>
      <c r="BZ4295">
        <v>0.89</v>
      </c>
      <c r="CA4295">
        <v>-0.18</v>
      </c>
      <c r="CB4295">
        <v>-0.66</v>
      </c>
      <c r="CC4295">
        <v>0.87</v>
      </c>
      <c r="CD4295">
        <v>-0.62</v>
      </c>
      <c r="CE4295">
        <v>0.54</v>
      </c>
      <c r="CF4295">
        <v>0.06</v>
      </c>
      <c r="CG4295">
        <v>0</v>
      </c>
      <c r="CH4295">
        <v>-1.01</v>
      </c>
      <c r="CI4295">
        <v>0</v>
      </c>
      <c r="CJ4295">
        <v>-5.2</v>
      </c>
      <c r="CK4295">
        <v>44</v>
      </c>
      <c r="CL4295">
        <v>-0.51</v>
      </c>
      <c r="CM4295">
        <v>40</v>
      </c>
      <c r="CN4295">
        <v>-7.0000000000000007E-2</v>
      </c>
      <c r="CO4295">
        <v>35</v>
      </c>
      <c r="CP4295">
        <v>-5.7</v>
      </c>
      <c r="CQ4295">
        <v>51</v>
      </c>
      <c r="CR4295">
        <v>0</v>
      </c>
      <c r="CS4295">
        <v>0</v>
      </c>
      <c r="CT4295">
        <v>-0.7</v>
      </c>
      <c r="CU4295">
        <v>43</v>
      </c>
      <c r="CV4295">
        <v>7.0000000000000007E-2</v>
      </c>
      <c r="CW4295">
        <v>11</v>
      </c>
      <c r="CX4295" t="s">
        <v>2615</v>
      </c>
    </row>
    <row r="4296" spans="1:102" x14ac:dyDescent="0.3">
      <c r="A4296" t="str">
        <f>HYPERLINK("https://webapp.icbf.com/v2/app/bull-search/view/74692422","BRW")</f>
        <v>BRW</v>
      </c>
      <c r="B4296" t="s">
        <v>9799</v>
      </c>
      <c r="C4296" t="s">
        <v>9800</v>
      </c>
      <c r="D4296" s="1">
        <v>36231</v>
      </c>
      <c r="E4296" t="s">
        <v>92</v>
      </c>
      <c r="F4296">
        <v>97</v>
      </c>
      <c r="G4296" t="s">
        <v>93</v>
      </c>
      <c r="H4296">
        <v>-109.11</v>
      </c>
      <c r="I4296">
        <v>77</v>
      </c>
      <c r="J4296">
        <v>32.82</v>
      </c>
      <c r="K4296">
        <v>95</v>
      </c>
      <c r="L4296">
        <v>-155.09</v>
      </c>
      <c r="M4296">
        <v>63</v>
      </c>
      <c r="N4296">
        <v>20.76</v>
      </c>
      <c r="O4296">
        <v>68</v>
      </c>
      <c r="P4296">
        <v>-13.44</v>
      </c>
      <c r="Q4296">
        <v>87</v>
      </c>
      <c r="R4296">
        <v>-8.0500000000000007</v>
      </c>
      <c r="S4296">
        <v>67</v>
      </c>
      <c r="T4296">
        <v>15.97</v>
      </c>
      <c r="U4296">
        <v>84</v>
      </c>
      <c r="V4296">
        <v>-2.08</v>
      </c>
      <c r="W4296">
        <v>39</v>
      </c>
      <c r="X4296" t="s">
        <v>94</v>
      </c>
      <c r="Y4296" t="s">
        <v>95</v>
      </c>
      <c r="Z4296" t="s">
        <v>96</v>
      </c>
      <c r="AA4296" t="s">
        <v>985</v>
      </c>
      <c r="AB4296" t="s">
        <v>9801</v>
      </c>
      <c r="AC4296">
        <v>82</v>
      </c>
      <c r="AD4296">
        <v>63</v>
      </c>
      <c r="AE4296">
        <v>95</v>
      </c>
      <c r="AF4296">
        <v>41.59</v>
      </c>
      <c r="AG4296">
        <v>16.73</v>
      </c>
      <c r="AH4296">
        <v>0.3</v>
      </c>
      <c r="AI4296">
        <v>0.25</v>
      </c>
      <c r="AJ4296">
        <v>-0.02</v>
      </c>
      <c r="AK4296">
        <v>63</v>
      </c>
      <c r="AL4296">
        <v>85</v>
      </c>
      <c r="AM4296">
        <v>66</v>
      </c>
      <c r="AN4296">
        <v>8.31</v>
      </c>
      <c r="AO4296">
        <v>-4.0599999999999996</v>
      </c>
      <c r="AP4296">
        <v>12</v>
      </c>
      <c r="AQ4296">
        <v>0</v>
      </c>
      <c r="AR4296">
        <v>6.99</v>
      </c>
      <c r="AS4296">
        <v>49</v>
      </c>
      <c r="AT4296">
        <v>2.87</v>
      </c>
      <c r="AU4296">
        <v>62</v>
      </c>
      <c r="AV4296">
        <v>-1.76</v>
      </c>
      <c r="AW4296">
        <v>79</v>
      </c>
      <c r="AX4296">
        <v>0.08</v>
      </c>
      <c r="AY4296">
        <v>75</v>
      </c>
      <c r="AZ4296">
        <v>5.25</v>
      </c>
      <c r="BA4296">
        <v>52</v>
      </c>
      <c r="BB4296">
        <v>4.66</v>
      </c>
      <c r="BC4296">
        <v>55</v>
      </c>
      <c r="BD4296">
        <v>0</v>
      </c>
      <c r="BE4296">
        <v>0.05</v>
      </c>
      <c r="BF4296">
        <v>0.09</v>
      </c>
      <c r="BG4296">
        <v>81</v>
      </c>
      <c r="BH4296">
        <v>-0.1</v>
      </c>
      <c r="BI4296">
        <v>-4.8499999999999996</v>
      </c>
      <c r="BJ4296">
        <v>17</v>
      </c>
      <c r="BK4296">
        <v>10</v>
      </c>
      <c r="BL4296">
        <v>-0.7</v>
      </c>
      <c r="BM4296">
        <v>-0.57999999999999996</v>
      </c>
      <c r="BN4296">
        <v>-0.33</v>
      </c>
      <c r="BO4296">
        <v>-0.3</v>
      </c>
      <c r="BP4296">
        <v>-0.7</v>
      </c>
      <c r="BQ4296">
        <v>-1.22</v>
      </c>
      <c r="BR4296">
        <v>0.79</v>
      </c>
      <c r="BS4296">
        <v>-0.92</v>
      </c>
      <c r="BT4296">
        <v>-0.59</v>
      </c>
      <c r="BU4296">
        <v>-1.08</v>
      </c>
      <c r="BV4296">
        <v>0.27</v>
      </c>
      <c r="BW4296">
        <v>-0.06</v>
      </c>
      <c r="BX4296">
        <v>-1.64</v>
      </c>
      <c r="BY4296">
        <v>0.53</v>
      </c>
      <c r="BZ4296">
        <v>0.35</v>
      </c>
      <c r="CA4296">
        <v>-0.71</v>
      </c>
      <c r="CB4296">
        <v>-0.48</v>
      </c>
      <c r="CC4296">
        <v>-0.88</v>
      </c>
      <c r="CD4296">
        <v>-0.56000000000000005</v>
      </c>
      <c r="CE4296">
        <v>-0.39</v>
      </c>
      <c r="CF4296">
        <v>-1.1200000000000001</v>
      </c>
      <c r="CG4296">
        <v>0</v>
      </c>
      <c r="CH4296">
        <v>-0.04</v>
      </c>
      <c r="CI4296">
        <v>0</v>
      </c>
      <c r="CJ4296">
        <v>-3.6</v>
      </c>
      <c r="CK4296">
        <v>88</v>
      </c>
      <c r="CL4296">
        <v>-0.7</v>
      </c>
      <c r="CM4296">
        <v>86</v>
      </c>
      <c r="CN4296">
        <v>-7.0000000000000007E-2</v>
      </c>
      <c r="CO4296">
        <v>84</v>
      </c>
      <c r="CP4296">
        <v>-13.8</v>
      </c>
      <c r="CQ4296">
        <v>89</v>
      </c>
      <c r="CR4296">
        <v>0</v>
      </c>
      <c r="CS4296">
        <v>0</v>
      </c>
      <c r="CT4296">
        <v>-7.8</v>
      </c>
      <c r="CU4296">
        <v>84</v>
      </c>
      <c r="CV4296">
        <v>0.2</v>
      </c>
      <c r="CW4296">
        <v>25</v>
      </c>
      <c r="CX4296" t="s">
        <v>218</v>
      </c>
    </row>
    <row r="4297" spans="1:102" x14ac:dyDescent="0.3">
      <c r="A4297" t="str">
        <f>HYPERLINK("https://webapp.icbf.com/v2/app/bull-search/view/77856868","HFO")</f>
        <v>HFO</v>
      </c>
      <c r="B4297" t="s">
        <v>1478</v>
      </c>
      <c r="C4297" t="s">
        <v>1479</v>
      </c>
      <c r="D4297" s="1">
        <v>35122</v>
      </c>
      <c r="E4297" t="s">
        <v>92</v>
      </c>
      <c r="F4297">
        <v>100</v>
      </c>
      <c r="G4297" t="s">
        <v>116</v>
      </c>
      <c r="H4297">
        <v>-109.16</v>
      </c>
      <c r="I4297">
        <v>27</v>
      </c>
      <c r="J4297">
        <v>-6.01</v>
      </c>
      <c r="K4297">
        <v>20</v>
      </c>
      <c r="L4297">
        <v>-103.33</v>
      </c>
      <c r="M4297">
        <v>29</v>
      </c>
      <c r="N4297">
        <v>14.56</v>
      </c>
      <c r="O4297">
        <v>30</v>
      </c>
      <c r="P4297">
        <v>-8.6300000000000008</v>
      </c>
      <c r="Q4297">
        <v>32</v>
      </c>
      <c r="R4297">
        <v>-5.92</v>
      </c>
      <c r="S4297">
        <v>32</v>
      </c>
      <c r="T4297">
        <v>8.65</v>
      </c>
      <c r="U4297">
        <v>31</v>
      </c>
      <c r="V4297">
        <v>-8.48</v>
      </c>
      <c r="W4297">
        <v>29</v>
      </c>
      <c r="X4297" t="s">
        <v>94</v>
      </c>
      <c r="Y4297" t="s">
        <v>1480</v>
      </c>
      <c r="Z4297" t="s">
        <v>96</v>
      </c>
      <c r="AA4297" t="s">
        <v>1106</v>
      </c>
      <c r="AB4297" t="s">
        <v>1481</v>
      </c>
      <c r="AC4297">
        <v>1</v>
      </c>
      <c r="AD4297">
        <v>1</v>
      </c>
      <c r="AE4297">
        <v>20</v>
      </c>
      <c r="AF4297">
        <v>108.05</v>
      </c>
      <c r="AG4297">
        <v>3</v>
      </c>
      <c r="AH4297">
        <v>-0.43</v>
      </c>
      <c r="AI4297">
        <v>-0.02</v>
      </c>
      <c r="AJ4297">
        <v>-7.0000000000000007E-2</v>
      </c>
      <c r="AK4297">
        <v>29</v>
      </c>
      <c r="AL4297">
        <v>1</v>
      </c>
      <c r="AM4297">
        <v>1</v>
      </c>
      <c r="AN4297">
        <v>5.67</v>
      </c>
      <c r="AO4297">
        <v>-2.57</v>
      </c>
      <c r="AP4297">
        <v>0</v>
      </c>
      <c r="AQ4297">
        <v>1</v>
      </c>
      <c r="AR4297">
        <v>7.69</v>
      </c>
      <c r="AS4297">
        <v>27</v>
      </c>
      <c r="AT4297">
        <v>3.47</v>
      </c>
      <c r="AU4297">
        <v>31</v>
      </c>
      <c r="AV4297">
        <v>-2.0299999999999998</v>
      </c>
      <c r="AW4297">
        <v>31</v>
      </c>
      <c r="AX4297">
        <v>-0.54</v>
      </c>
      <c r="AY4297">
        <v>33</v>
      </c>
      <c r="AZ4297">
        <v>6.26</v>
      </c>
      <c r="BA4297">
        <v>27</v>
      </c>
      <c r="BB4297">
        <v>4.97</v>
      </c>
      <c r="BC4297">
        <v>28</v>
      </c>
      <c r="BD4297">
        <v>0.03</v>
      </c>
      <c r="BE4297">
        <v>0.04</v>
      </c>
      <c r="BF4297">
        <v>0.01</v>
      </c>
      <c r="BG4297">
        <v>36</v>
      </c>
      <c r="BH4297">
        <v>-0.19</v>
      </c>
      <c r="BI4297">
        <v>5.39</v>
      </c>
      <c r="BJ4297">
        <v>0</v>
      </c>
      <c r="BK4297">
        <v>0</v>
      </c>
      <c r="BL4297">
        <v>0.87</v>
      </c>
      <c r="BM4297">
        <v>-1.03</v>
      </c>
      <c r="BN4297">
        <v>0.12</v>
      </c>
      <c r="BO4297">
        <v>0.82</v>
      </c>
      <c r="BP4297">
        <v>0.43</v>
      </c>
      <c r="BQ4297">
        <v>-1.18</v>
      </c>
      <c r="BR4297">
        <v>-0.22</v>
      </c>
      <c r="BS4297">
        <v>-1.07</v>
      </c>
      <c r="BT4297">
        <v>0.33</v>
      </c>
      <c r="BU4297">
        <v>-0.92</v>
      </c>
      <c r="BV4297">
        <v>-0.17</v>
      </c>
      <c r="BW4297">
        <v>-0.26</v>
      </c>
      <c r="BX4297">
        <v>-0.61</v>
      </c>
      <c r="BY4297">
        <v>-0.31</v>
      </c>
      <c r="BZ4297">
        <v>0.69</v>
      </c>
      <c r="CA4297">
        <v>-0.59</v>
      </c>
      <c r="CB4297">
        <v>-0.55000000000000004</v>
      </c>
      <c r="CC4297">
        <v>-0.52</v>
      </c>
      <c r="CD4297">
        <v>-0.78</v>
      </c>
      <c r="CE4297">
        <v>0.89</v>
      </c>
      <c r="CF4297">
        <v>0.43</v>
      </c>
      <c r="CG4297">
        <v>0</v>
      </c>
      <c r="CH4297">
        <v>-0.3</v>
      </c>
      <c r="CI4297">
        <v>0</v>
      </c>
      <c r="CJ4297">
        <v>-2.4</v>
      </c>
      <c r="CK4297">
        <v>32</v>
      </c>
      <c r="CL4297">
        <v>-0.71</v>
      </c>
      <c r="CM4297">
        <v>32</v>
      </c>
      <c r="CN4297">
        <v>-0.25</v>
      </c>
      <c r="CO4297">
        <v>31</v>
      </c>
      <c r="CP4297">
        <v>-6.1</v>
      </c>
      <c r="CQ4297">
        <v>33</v>
      </c>
      <c r="CR4297">
        <v>0</v>
      </c>
      <c r="CS4297">
        <v>0</v>
      </c>
      <c r="CT4297">
        <v>2.1</v>
      </c>
      <c r="CU4297">
        <v>31</v>
      </c>
      <c r="CV4297">
        <v>0.18</v>
      </c>
      <c r="CW4297">
        <v>9</v>
      </c>
      <c r="CX4297" t="s">
        <v>564</v>
      </c>
    </row>
    <row r="4298" spans="1:102" x14ac:dyDescent="0.3">
      <c r="A4298" t="str">
        <f>HYPERLINK("https://webapp.icbf.com/v2/app/bull-search/view/444599683","GFZ")</f>
        <v>GFZ</v>
      </c>
      <c r="B4298" t="s">
        <v>12570</v>
      </c>
      <c r="C4298" t="s">
        <v>12571</v>
      </c>
      <c r="D4298" s="1">
        <v>37082</v>
      </c>
      <c r="E4298" t="s">
        <v>92</v>
      </c>
      <c r="F4298">
        <v>100</v>
      </c>
      <c r="G4298" t="s">
        <v>93</v>
      </c>
      <c r="H4298">
        <v>-109.21</v>
      </c>
      <c r="I4298">
        <v>89</v>
      </c>
      <c r="J4298">
        <v>-5.0599999999999996</v>
      </c>
      <c r="K4298">
        <v>96</v>
      </c>
      <c r="L4298">
        <v>-111.21</v>
      </c>
      <c r="M4298">
        <v>91</v>
      </c>
      <c r="N4298">
        <v>-3.06</v>
      </c>
      <c r="O4298">
        <v>82</v>
      </c>
      <c r="P4298">
        <v>-21.14</v>
      </c>
      <c r="Q4298">
        <v>84</v>
      </c>
      <c r="R4298">
        <v>18.79</v>
      </c>
      <c r="S4298">
        <v>83</v>
      </c>
      <c r="T4298">
        <v>15.01</v>
      </c>
      <c r="U4298">
        <v>75</v>
      </c>
      <c r="V4298">
        <v>-2.54</v>
      </c>
      <c r="W4298">
        <v>72</v>
      </c>
      <c r="X4298" t="s">
        <v>94</v>
      </c>
      <c r="Y4298" t="s">
        <v>1208</v>
      </c>
      <c r="Z4298" t="s">
        <v>96</v>
      </c>
      <c r="AA4298" t="s">
        <v>4838</v>
      </c>
      <c r="AB4298" t="s">
        <v>12572</v>
      </c>
      <c r="AC4298">
        <v>55</v>
      </c>
      <c r="AD4298">
        <v>24</v>
      </c>
      <c r="AE4298">
        <v>96</v>
      </c>
      <c r="AF4298">
        <v>159.41999999999999</v>
      </c>
      <c r="AG4298">
        <v>5.03</v>
      </c>
      <c r="AH4298">
        <v>-0.2</v>
      </c>
      <c r="AI4298">
        <v>-0.02</v>
      </c>
      <c r="AJ4298">
        <v>-0.1</v>
      </c>
      <c r="AK4298">
        <v>91</v>
      </c>
      <c r="AL4298">
        <v>40</v>
      </c>
      <c r="AM4298">
        <v>19</v>
      </c>
      <c r="AN4298">
        <v>7.51</v>
      </c>
      <c r="AO4298">
        <v>-1.34</v>
      </c>
      <c r="AP4298">
        <v>109</v>
      </c>
      <c r="AQ4298">
        <v>3</v>
      </c>
      <c r="AR4298">
        <v>7.44</v>
      </c>
      <c r="AS4298">
        <v>71</v>
      </c>
      <c r="AT4298">
        <v>4.2699999999999996</v>
      </c>
      <c r="AU4298">
        <v>93</v>
      </c>
      <c r="AV4298">
        <v>-1.78</v>
      </c>
      <c r="AW4298">
        <v>89</v>
      </c>
      <c r="AX4298">
        <v>0.8</v>
      </c>
      <c r="AY4298">
        <v>71</v>
      </c>
      <c r="AZ4298">
        <v>6.6</v>
      </c>
      <c r="BA4298">
        <v>62</v>
      </c>
      <c r="BB4298">
        <v>5.85</v>
      </c>
      <c r="BC4298">
        <v>60</v>
      </c>
      <c r="BD4298">
        <v>-0.09</v>
      </c>
      <c r="BE4298">
        <v>-0.08</v>
      </c>
      <c r="BF4298">
        <v>-0.13</v>
      </c>
      <c r="BG4298">
        <v>94</v>
      </c>
      <c r="BH4298">
        <v>-0.1</v>
      </c>
      <c r="BI4298">
        <v>-3.37</v>
      </c>
      <c r="BJ4298">
        <v>36</v>
      </c>
      <c r="BK4298">
        <v>16</v>
      </c>
      <c r="BL4298">
        <v>1.17</v>
      </c>
      <c r="BM4298">
        <v>-1.58</v>
      </c>
      <c r="BN4298">
        <v>1.4</v>
      </c>
      <c r="BO4298">
        <v>1.88</v>
      </c>
      <c r="BP4298">
        <v>-1.01</v>
      </c>
      <c r="BQ4298">
        <v>1.06</v>
      </c>
      <c r="BR4298">
        <v>0.75</v>
      </c>
      <c r="BS4298">
        <v>2.39</v>
      </c>
      <c r="BT4298">
        <v>0.1</v>
      </c>
      <c r="BU4298">
        <v>2.0299999999999998</v>
      </c>
      <c r="BV4298">
        <v>2.4500000000000002</v>
      </c>
      <c r="BW4298">
        <v>2.21</v>
      </c>
      <c r="BX4298">
        <v>1.74</v>
      </c>
      <c r="BY4298">
        <v>0.35</v>
      </c>
      <c r="BZ4298">
        <v>-0.15</v>
      </c>
      <c r="CA4298">
        <v>1.73</v>
      </c>
      <c r="CB4298">
        <v>1.82</v>
      </c>
      <c r="CC4298">
        <v>0.93</v>
      </c>
      <c r="CD4298">
        <v>-1.73</v>
      </c>
      <c r="CE4298">
        <v>1.41</v>
      </c>
      <c r="CF4298">
        <v>1.02</v>
      </c>
      <c r="CG4298">
        <v>0</v>
      </c>
      <c r="CH4298">
        <v>0.28999999999999998</v>
      </c>
      <c r="CI4298">
        <v>0</v>
      </c>
      <c r="CJ4298">
        <v>-8.4</v>
      </c>
      <c r="CK4298">
        <v>85</v>
      </c>
      <c r="CL4298">
        <v>-1.39</v>
      </c>
      <c r="CM4298">
        <v>83</v>
      </c>
      <c r="CN4298">
        <v>-0.53</v>
      </c>
      <c r="CO4298">
        <v>81</v>
      </c>
      <c r="CP4298">
        <v>-9.4</v>
      </c>
      <c r="CQ4298">
        <v>81</v>
      </c>
      <c r="CR4298">
        <v>0</v>
      </c>
      <c r="CS4298">
        <v>0</v>
      </c>
      <c r="CT4298">
        <v>-6.5</v>
      </c>
      <c r="CU4298">
        <v>75</v>
      </c>
      <c r="CV4298">
        <v>0.1</v>
      </c>
      <c r="CW4298">
        <v>42</v>
      </c>
      <c r="CX4298" t="s">
        <v>1325</v>
      </c>
    </row>
    <row r="4299" spans="1:102" x14ac:dyDescent="0.3">
      <c r="A4299" t="str">
        <f>HYPERLINK("https://webapp.icbf.com/v2/app/bull-search/view/77857861","FFD")</f>
        <v>FFD</v>
      </c>
      <c r="B4299" t="s">
        <v>3478</v>
      </c>
      <c r="C4299" t="s">
        <v>3479</v>
      </c>
      <c r="D4299" s="1">
        <v>34660</v>
      </c>
      <c r="E4299" t="s">
        <v>92</v>
      </c>
      <c r="F4299">
        <v>100</v>
      </c>
      <c r="G4299" t="s">
        <v>93</v>
      </c>
      <c r="H4299">
        <v>-109.53</v>
      </c>
      <c r="I4299">
        <v>75</v>
      </c>
      <c r="J4299">
        <v>-26.44</v>
      </c>
      <c r="K4299">
        <v>94</v>
      </c>
      <c r="L4299">
        <v>-77.19</v>
      </c>
      <c r="M4299">
        <v>64</v>
      </c>
      <c r="N4299">
        <v>2.48</v>
      </c>
      <c r="O4299">
        <v>64</v>
      </c>
      <c r="P4299">
        <v>-5.9</v>
      </c>
      <c r="Q4299">
        <v>80</v>
      </c>
      <c r="R4299">
        <v>-12.84</v>
      </c>
      <c r="S4299">
        <v>68</v>
      </c>
      <c r="T4299">
        <v>15.53</v>
      </c>
      <c r="U4299">
        <v>74</v>
      </c>
      <c r="V4299">
        <v>-5.17</v>
      </c>
      <c r="W4299">
        <v>37</v>
      </c>
      <c r="X4299" t="s">
        <v>94</v>
      </c>
      <c r="Y4299" t="s">
        <v>95</v>
      </c>
      <c r="Z4299" t="s">
        <v>96</v>
      </c>
      <c r="AA4299" t="s">
        <v>3216</v>
      </c>
      <c r="AB4299" t="s">
        <v>3480</v>
      </c>
      <c r="AC4299">
        <v>76</v>
      </c>
      <c r="AD4299">
        <v>71</v>
      </c>
      <c r="AE4299">
        <v>94</v>
      </c>
      <c r="AF4299">
        <v>-23.96</v>
      </c>
      <c r="AG4299">
        <v>-4.08</v>
      </c>
      <c r="AH4299">
        <v>-3.42</v>
      </c>
      <c r="AI4299">
        <v>-0.05</v>
      </c>
      <c r="AJ4299">
        <v>-0.04</v>
      </c>
      <c r="AK4299">
        <v>64</v>
      </c>
      <c r="AL4299">
        <v>87</v>
      </c>
      <c r="AM4299">
        <v>75</v>
      </c>
      <c r="AN4299">
        <v>5.41</v>
      </c>
      <c r="AO4299">
        <v>-0.73</v>
      </c>
      <c r="AP4299">
        <v>1</v>
      </c>
      <c r="AQ4299">
        <v>0</v>
      </c>
      <c r="AR4299">
        <v>7.19</v>
      </c>
      <c r="AS4299">
        <v>34</v>
      </c>
      <c r="AT4299">
        <v>3.51</v>
      </c>
      <c r="AU4299">
        <v>60</v>
      </c>
      <c r="AV4299">
        <v>-7.0000000000000007E-2</v>
      </c>
      <c r="AW4299">
        <v>73</v>
      </c>
      <c r="AX4299">
        <v>-0.14000000000000001</v>
      </c>
      <c r="AY4299">
        <v>75</v>
      </c>
      <c r="AZ4299">
        <v>5.22</v>
      </c>
      <c r="BA4299">
        <v>36</v>
      </c>
      <c r="BB4299">
        <v>4.53</v>
      </c>
      <c r="BC4299">
        <v>57</v>
      </c>
      <c r="BD4299">
        <v>0.05</v>
      </c>
      <c r="BE4299">
        <v>0.08</v>
      </c>
      <c r="BF4299">
        <v>0.06</v>
      </c>
      <c r="BG4299">
        <v>84</v>
      </c>
      <c r="BH4299">
        <v>0.03</v>
      </c>
      <c r="BI4299">
        <v>20.16</v>
      </c>
      <c r="BJ4299">
        <v>6</v>
      </c>
      <c r="BK4299">
        <v>6</v>
      </c>
      <c r="BL4299">
        <v>0.49</v>
      </c>
      <c r="BM4299">
        <v>-2.14</v>
      </c>
      <c r="BN4299">
        <v>-0.84</v>
      </c>
      <c r="BO4299">
        <v>0.78</v>
      </c>
      <c r="BP4299">
        <v>0.08</v>
      </c>
      <c r="BQ4299">
        <v>-0.5</v>
      </c>
      <c r="BR4299">
        <v>1.84</v>
      </c>
      <c r="BS4299">
        <v>-1.82</v>
      </c>
      <c r="BT4299">
        <v>-0.92</v>
      </c>
      <c r="BU4299">
        <v>0.25</v>
      </c>
      <c r="BV4299">
        <v>-0.24</v>
      </c>
      <c r="BW4299">
        <v>0.4</v>
      </c>
      <c r="BX4299">
        <v>0.82</v>
      </c>
      <c r="BY4299">
        <v>-1.55</v>
      </c>
      <c r="BZ4299">
        <v>1.58</v>
      </c>
      <c r="CA4299">
        <v>-0.3</v>
      </c>
      <c r="CB4299">
        <v>-0.17</v>
      </c>
      <c r="CC4299">
        <v>-0.53</v>
      </c>
      <c r="CD4299">
        <v>-1.21</v>
      </c>
      <c r="CE4299">
        <v>0.72</v>
      </c>
      <c r="CF4299">
        <v>-0.37</v>
      </c>
      <c r="CG4299">
        <v>0</v>
      </c>
      <c r="CH4299">
        <v>-0.09</v>
      </c>
      <c r="CI4299">
        <v>0</v>
      </c>
      <c r="CJ4299">
        <v>-3.3</v>
      </c>
      <c r="CK4299">
        <v>81</v>
      </c>
      <c r="CL4299">
        <v>-0.46</v>
      </c>
      <c r="CM4299">
        <v>78</v>
      </c>
      <c r="CN4299">
        <v>-0.38</v>
      </c>
      <c r="CO4299">
        <v>75</v>
      </c>
      <c r="CP4299">
        <v>-7</v>
      </c>
      <c r="CQ4299">
        <v>85</v>
      </c>
      <c r="CR4299">
        <v>0</v>
      </c>
      <c r="CS4299">
        <v>0</v>
      </c>
      <c r="CT4299">
        <v>-7.2</v>
      </c>
      <c r="CU4299">
        <v>74</v>
      </c>
      <c r="CV4299">
        <v>0.06</v>
      </c>
      <c r="CW4299">
        <v>22</v>
      </c>
      <c r="CX4299" t="s">
        <v>99</v>
      </c>
    </row>
    <row r="4300" spans="1:102" x14ac:dyDescent="0.3">
      <c r="A4300" t="str">
        <f>HYPERLINK("https://webapp.icbf.com/v2/app/bull-search/view/77858650","CUD")</f>
        <v>CUD</v>
      </c>
      <c r="B4300" t="s">
        <v>3551</v>
      </c>
      <c r="C4300" t="s">
        <v>3552</v>
      </c>
      <c r="D4300" s="1">
        <v>35474</v>
      </c>
      <c r="E4300" t="s">
        <v>92</v>
      </c>
      <c r="F4300">
        <v>100</v>
      </c>
      <c r="G4300" t="s">
        <v>93</v>
      </c>
      <c r="H4300">
        <v>-109.9</v>
      </c>
      <c r="I4300">
        <v>70</v>
      </c>
      <c r="J4300">
        <v>33.32</v>
      </c>
      <c r="K4300">
        <v>92</v>
      </c>
      <c r="L4300">
        <v>-128.78</v>
      </c>
      <c r="M4300">
        <v>56</v>
      </c>
      <c r="N4300">
        <v>-24.08</v>
      </c>
      <c r="O4300">
        <v>58</v>
      </c>
      <c r="P4300">
        <v>-1</v>
      </c>
      <c r="Q4300">
        <v>72</v>
      </c>
      <c r="R4300">
        <v>-2.58</v>
      </c>
      <c r="S4300">
        <v>60</v>
      </c>
      <c r="T4300">
        <v>11.01</v>
      </c>
      <c r="U4300">
        <v>73</v>
      </c>
      <c r="V4300">
        <v>2.21</v>
      </c>
      <c r="W4300">
        <v>37</v>
      </c>
      <c r="X4300" t="s">
        <v>94</v>
      </c>
      <c r="Y4300" t="s">
        <v>95</v>
      </c>
      <c r="Z4300" t="s">
        <v>96</v>
      </c>
      <c r="AA4300" t="s">
        <v>3553</v>
      </c>
      <c r="AB4300" t="s">
        <v>861</v>
      </c>
      <c r="AC4300">
        <v>55</v>
      </c>
      <c r="AD4300">
        <v>51</v>
      </c>
      <c r="AE4300">
        <v>92</v>
      </c>
      <c r="AF4300">
        <v>282.23</v>
      </c>
      <c r="AG4300">
        <v>5.56</v>
      </c>
      <c r="AH4300">
        <v>8.02</v>
      </c>
      <c r="AI4300">
        <v>-0.09</v>
      </c>
      <c r="AJ4300">
        <v>-0.03</v>
      </c>
      <c r="AK4300">
        <v>56</v>
      </c>
      <c r="AL4300">
        <v>47</v>
      </c>
      <c r="AM4300">
        <v>41</v>
      </c>
      <c r="AN4300">
        <v>7.02</v>
      </c>
      <c r="AO4300">
        <v>-3.25</v>
      </c>
      <c r="AP4300">
        <v>5</v>
      </c>
      <c r="AQ4300">
        <v>0</v>
      </c>
      <c r="AR4300">
        <v>12.03</v>
      </c>
      <c r="AS4300">
        <v>33</v>
      </c>
      <c r="AT4300">
        <v>5.28</v>
      </c>
      <c r="AU4300">
        <v>56</v>
      </c>
      <c r="AV4300">
        <v>-1.63</v>
      </c>
      <c r="AW4300">
        <v>66</v>
      </c>
      <c r="AX4300">
        <v>0.89</v>
      </c>
      <c r="AY4300">
        <v>65</v>
      </c>
      <c r="AZ4300">
        <v>5.49</v>
      </c>
      <c r="BA4300">
        <v>36</v>
      </c>
      <c r="BB4300">
        <v>4.5</v>
      </c>
      <c r="BC4300">
        <v>50</v>
      </c>
      <c r="BD4300">
        <v>0.02</v>
      </c>
      <c r="BE4300">
        <v>0.04</v>
      </c>
      <c r="BF4300">
        <v>-0.05</v>
      </c>
      <c r="BG4300">
        <v>75</v>
      </c>
      <c r="BH4300">
        <v>0.02</v>
      </c>
      <c r="BI4300">
        <v>-4.8</v>
      </c>
      <c r="BJ4300">
        <v>0</v>
      </c>
      <c r="BK4300">
        <v>0</v>
      </c>
      <c r="BL4300">
        <v>-0.12</v>
      </c>
      <c r="BM4300">
        <v>-0.76</v>
      </c>
      <c r="BN4300">
        <v>-0.41</v>
      </c>
      <c r="BO4300">
        <v>0</v>
      </c>
      <c r="BP4300">
        <v>-0.81</v>
      </c>
      <c r="BQ4300">
        <v>-1.19</v>
      </c>
      <c r="BR4300">
        <v>-0.23</v>
      </c>
      <c r="BS4300">
        <v>-0.34</v>
      </c>
      <c r="BT4300">
        <v>0.59</v>
      </c>
      <c r="BU4300">
        <v>-0.53</v>
      </c>
      <c r="BV4300">
        <v>-0.17</v>
      </c>
      <c r="BW4300">
        <v>-0.43</v>
      </c>
      <c r="BX4300">
        <v>-0.26</v>
      </c>
      <c r="BY4300">
        <v>-0.99</v>
      </c>
      <c r="BZ4300">
        <v>-0.57999999999999996</v>
      </c>
      <c r="CA4300">
        <v>-0.42</v>
      </c>
      <c r="CB4300">
        <v>-0.5</v>
      </c>
      <c r="CC4300">
        <v>-0.16</v>
      </c>
      <c r="CD4300">
        <v>-0.8</v>
      </c>
      <c r="CE4300">
        <v>-0.23</v>
      </c>
      <c r="CF4300">
        <v>-0.93</v>
      </c>
      <c r="CG4300">
        <v>0</v>
      </c>
      <c r="CH4300">
        <v>-0.22</v>
      </c>
      <c r="CI4300">
        <v>0</v>
      </c>
      <c r="CJ4300">
        <v>0.7</v>
      </c>
      <c r="CK4300">
        <v>73</v>
      </c>
      <c r="CL4300">
        <v>-0.4</v>
      </c>
      <c r="CM4300">
        <v>69</v>
      </c>
      <c r="CN4300">
        <v>-0.21</v>
      </c>
      <c r="CO4300">
        <v>65</v>
      </c>
      <c r="CP4300">
        <v>-2</v>
      </c>
      <c r="CQ4300">
        <v>80</v>
      </c>
      <c r="CR4300">
        <v>0</v>
      </c>
      <c r="CS4300">
        <v>0</v>
      </c>
      <c r="CT4300">
        <v>-1.1000000000000001</v>
      </c>
      <c r="CU4300">
        <v>73</v>
      </c>
      <c r="CV4300">
        <v>0.14000000000000001</v>
      </c>
      <c r="CW4300">
        <v>19</v>
      </c>
      <c r="CX4300" t="s">
        <v>531</v>
      </c>
    </row>
    <row r="4301" spans="1:102" x14ac:dyDescent="0.3">
      <c r="A4301" t="str">
        <f>HYPERLINK("https://webapp.icbf.com/v2/app/bull-search/view/77855014","NKA")</f>
        <v>NKA</v>
      </c>
      <c r="B4301" t="s">
        <v>10046</v>
      </c>
      <c r="C4301" t="s">
        <v>10047</v>
      </c>
      <c r="D4301" s="1">
        <v>33507</v>
      </c>
      <c r="E4301" t="s">
        <v>92</v>
      </c>
      <c r="F4301">
        <v>75</v>
      </c>
      <c r="G4301" t="s">
        <v>93</v>
      </c>
      <c r="H4301">
        <v>-109.94</v>
      </c>
      <c r="I4301">
        <v>64</v>
      </c>
      <c r="J4301">
        <v>-39.119999999999997</v>
      </c>
      <c r="K4301">
        <v>83</v>
      </c>
      <c r="L4301">
        <v>-55.97</v>
      </c>
      <c r="M4301">
        <v>57</v>
      </c>
      <c r="N4301">
        <v>-5.9</v>
      </c>
      <c r="O4301">
        <v>44</v>
      </c>
      <c r="P4301">
        <v>-6.85</v>
      </c>
      <c r="Q4301">
        <v>59</v>
      </c>
      <c r="R4301">
        <v>-12.31</v>
      </c>
      <c r="S4301">
        <v>59</v>
      </c>
      <c r="T4301">
        <v>15.16</v>
      </c>
      <c r="U4301">
        <v>61</v>
      </c>
      <c r="V4301">
        <v>-4.95</v>
      </c>
      <c r="W4301">
        <v>26</v>
      </c>
      <c r="X4301" t="s">
        <v>94</v>
      </c>
      <c r="Y4301" t="s">
        <v>95</v>
      </c>
      <c r="Z4301" t="s">
        <v>96</v>
      </c>
      <c r="AA4301" t="s">
        <v>2745</v>
      </c>
      <c r="AB4301" t="s">
        <v>10048</v>
      </c>
      <c r="AC4301">
        <v>29</v>
      </c>
      <c r="AD4301">
        <v>26</v>
      </c>
      <c r="AE4301">
        <v>83</v>
      </c>
      <c r="AF4301">
        <v>-48.52</v>
      </c>
      <c r="AG4301">
        <v>-8.81</v>
      </c>
      <c r="AH4301">
        <v>-4.28</v>
      </c>
      <c r="AI4301">
        <v>-0.12</v>
      </c>
      <c r="AJ4301">
        <v>-0.04</v>
      </c>
      <c r="AK4301">
        <v>57</v>
      </c>
      <c r="AL4301">
        <v>68</v>
      </c>
      <c r="AM4301">
        <v>54</v>
      </c>
      <c r="AN4301">
        <v>3.32</v>
      </c>
      <c r="AO4301">
        <v>-1.1399999999999999</v>
      </c>
      <c r="AP4301">
        <v>2</v>
      </c>
      <c r="AQ4301">
        <v>0</v>
      </c>
      <c r="AR4301">
        <v>7.62</v>
      </c>
      <c r="AS4301">
        <v>20</v>
      </c>
      <c r="AT4301">
        <v>3.83</v>
      </c>
      <c r="AU4301">
        <v>38</v>
      </c>
      <c r="AV4301">
        <v>0.04</v>
      </c>
      <c r="AW4301">
        <v>55</v>
      </c>
      <c r="AX4301">
        <v>-0.34</v>
      </c>
      <c r="AY4301">
        <v>53</v>
      </c>
      <c r="AZ4301">
        <v>6.7</v>
      </c>
      <c r="BA4301">
        <v>20</v>
      </c>
      <c r="BB4301">
        <v>4.91</v>
      </c>
      <c r="BC4301">
        <v>32</v>
      </c>
      <c r="BD4301">
        <v>0.03</v>
      </c>
      <c r="BE4301">
        <v>7.0000000000000007E-2</v>
      </c>
      <c r="BF4301">
        <v>0.1</v>
      </c>
      <c r="BG4301">
        <v>81</v>
      </c>
      <c r="BH4301">
        <v>-0.05</v>
      </c>
      <c r="BI4301">
        <v>10.19</v>
      </c>
      <c r="BJ4301">
        <v>22</v>
      </c>
      <c r="BK4301">
        <v>18</v>
      </c>
      <c r="BL4301">
        <v>0.35</v>
      </c>
      <c r="BM4301">
        <v>1.05</v>
      </c>
      <c r="BN4301">
        <v>0.56000000000000005</v>
      </c>
      <c r="BO4301">
        <v>-0.22</v>
      </c>
      <c r="BP4301">
        <v>-1.1399999999999999</v>
      </c>
      <c r="BQ4301">
        <v>0.53</v>
      </c>
      <c r="BR4301">
        <v>-1.03</v>
      </c>
      <c r="BS4301">
        <v>0.69</v>
      </c>
      <c r="BT4301">
        <v>0.38</v>
      </c>
      <c r="BU4301">
        <v>-0.28999999999999998</v>
      </c>
      <c r="BV4301">
        <v>-0.91</v>
      </c>
      <c r="BW4301">
        <v>-1.1200000000000001</v>
      </c>
      <c r="BX4301">
        <v>-0.78</v>
      </c>
      <c r="BY4301">
        <v>0.53</v>
      </c>
      <c r="BZ4301">
        <v>-0.98</v>
      </c>
      <c r="CA4301">
        <v>-0.18</v>
      </c>
      <c r="CB4301">
        <v>-0.34</v>
      </c>
      <c r="CC4301">
        <v>0.67</v>
      </c>
      <c r="CD4301">
        <v>0.61</v>
      </c>
      <c r="CE4301">
        <v>0.21</v>
      </c>
      <c r="CF4301">
        <v>0.86</v>
      </c>
      <c r="CG4301">
        <v>0</v>
      </c>
      <c r="CH4301">
        <v>-0.4</v>
      </c>
      <c r="CI4301">
        <v>0</v>
      </c>
      <c r="CJ4301">
        <v>0.4</v>
      </c>
      <c r="CK4301">
        <v>61</v>
      </c>
      <c r="CL4301">
        <v>-0.35</v>
      </c>
      <c r="CM4301">
        <v>56</v>
      </c>
      <c r="CN4301">
        <v>0.28000000000000003</v>
      </c>
      <c r="CO4301">
        <v>52</v>
      </c>
      <c r="CP4301">
        <v>-3.4</v>
      </c>
      <c r="CQ4301">
        <v>64</v>
      </c>
      <c r="CR4301">
        <v>0</v>
      </c>
      <c r="CS4301">
        <v>0</v>
      </c>
      <c r="CT4301">
        <v>-6.7</v>
      </c>
      <c r="CU4301">
        <v>61</v>
      </c>
      <c r="CV4301">
        <v>0.13</v>
      </c>
      <c r="CW4301">
        <v>16</v>
      </c>
      <c r="CX4301" t="s">
        <v>113</v>
      </c>
    </row>
    <row r="4302" spans="1:102" x14ac:dyDescent="0.3">
      <c r="A4302" t="str">
        <f>HYPERLINK("https://webapp.icbf.com/v2/app/bull-search/view/1049154277","S1525")</f>
        <v>S1525</v>
      </c>
      <c r="B4302" t="s">
        <v>5973</v>
      </c>
      <c r="C4302" t="s">
        <v>5974</v>
      </c>
      <c r="D4302" s="1">
        <v>40670</v>
      </c>
      <c r="E4302" t="s">
        <v>140</v>
      </c>
      <c r="F4302">
        <v>0</v>
      </c>
      <c r="G4302" t="s">
        <v>109</v>
      </c>
      <c r="H4302">
        <v>-109.99</v>
      </c>
      <c r="I4302">
        <v>66</v>
      </c>
      <c r="J4302">
        <v>-6.29</v>
      </c>
      <c r="K4302">
        <v>86</v>
      </c>
      <c r="L4302">
        <v>-55.48</v>
      </c>
      <c r="M4302">
        <v>60</v>
      </c>
      <c r="N4302">
        <v>-50.94</v>
      </c>
      <c r="O4302">
        <v>49</v>
      </c>
      <c r="P4302">
        <v>0.3</v>
      </c>
      <c r="Q4302">
        <v>52</v>
      </c>
      <c r="R4302">
        <v>13.8</v>
      </c>
      <c r="S4302">
        <v>58</v>
      </c>
      <c r="T4302">
        <v>-2.38</v>
      </c>
      <c r="U4302">
        <v>50</v>
      </c>
      <c r="V4302">
        <v>-9</v>
      </c>
      <c r="W4302">
        <v>56</v>
      </c>
      <c r="X4302" t="s">
        <v>94</v>
      </c>
      <c r="Y4302" t="s">
        <v>362</v>
      </c>
      <c r="Z4302">
        <v>0</v>
      </c>
      <c r="AA4302" t="s">
        <v>5975</v>
      </c>
      <c r="AB4302" t="s">
        <v>5976</v>
      </c>
      <c r="AC4302">
        <v>0</v>
      </c>
      <c r="AD4302">
        <v>0</v>
      </c>
      <c r="AE4302">
        <v>86</v>
      </c>
      <c r="AF4302">
        <v>82.76</v>
      </c>
      <c r="AG4302">
        <v>-5.69</v>
      </c>
      <c r="AH4302">
        <v>2.21</v>
      </c>
      <c r="AI4302">
        <v>-0.16</v>
      </c>
      <c r="AJ4302">
        <v>-0.01</v>
      </c>
      <c r="AK4302">
        <v>60</v>
      </c>
      <c r="AL4302">
        <v>4</v>
      </c>
      <c r="AM4302">
        <v>2</v>
      </c>
      <c r="AN4302">
        <v>4.1399999999999997</v>
      </c>
      <c r="AO4302">
        <v>-0.27</v>
      </c>
      <c r="AP4302">
        <v>7</v>
      </c>
      <c r="AQ4302">
        <v>0</v>
      </c>
      <c r="AR4302">
        <v>11.55</v>
      </c>
      <c r="AS4302">
        <v>49</v>
      </c>
      <c r="AT4302">
        <v>6.12</v>
      </c>
      <c r="AU4302">
        <v>58</v>
      </c>
      <c r="AV4302">
        <v>1.0900000000000001</v>
      </c>
      <c r="AW4302">
        <v>46</v>
      </c>
      <c r="AX4302">
        <v>0.13</v>
      </c>
      <c r="AY4302">
        <v>47</v>
      </c>
      <c r="AZ4302">
        <v>5.77</v>
      </c>
      <c r="BA4302">
        <v>43</v>
      </c>
      <c r="BB4302">
        <v>3.86</v>
      </c>
      <c r="BC4302">
        <v>42</v>
      </c>
      <c r="BD4302">
        <v>-0.02</v>
      </c>
      <c r="BE4302">
        <v>-0.06</v>
      </c>
      <c r="BF4302">
        <v>-0.17</v>
      </c>
      <c r="BG4302">
        <v>64</v>
      </c>
      <c r="BH4302">
        <v>-0.3</v>
      </c>
      <c r="BI4302">
        <v>-5.67</v>
      </c>
      <c r="BJ4302">
        <v>0</v>
      </c>
      <c r="BK4302">
        <v>0</v>
      </c>
      <c r="BL4302">
        <v>-0.85</v>
      </c>
      <c r="BM4302">
        <v>3.25</v>
      </c>
      <c r="BN4302">
        <v>-1.73</v>
      </c>
      <c r="BO4302">
        <v>-2.9</v>
      </c>
      <c r="BP4302">
        <v>4.1399999999999997</v>
      </c>
      <c r="BQ4302">
        <v>-2.23</v>
      </c>
      <c r="BR4302">
        <v>-2.67</v>
      </c>
      <c r="BS4302">
        <v>-0.42</v>
      </c>
      <c r="BT4302">
        <v>2.5299999999999998</v>
      </c>
      <c r="BU4302">
        <v>-3.28</v>
      </c>
      <c r="BV4302">
        <v>-3.76</v>
      </c>
      <c r="BW4302">
        <v>-2.87</v>
      </c>
      <c r="BX4302">
        <v>-2.61</v>
      </c>
      <c r="BY4302">
        <v>-2.14</v>
      </c>
      <c r="BZ4302">
        <v>1.08</v>
      </c>
      <c r="CA4302">
        <v>-2.39</v>
      </c>
      <c r="CB4302">
        <v>-3.05</v>
      </c>
      <c r="CC4302">
        <v>-0.41</v>
      </c>
      <c r="CD4302">
        <v>3.72</v>
      </c>
      <c r="CE4302">
        <v>-2.87</v>
      </c>
      <c r="CF4302">
        <v>-1.1100000000000001</v>
      </c>
      <c r="CG4302">
        <v>0</v>
      </c>
      <c r="CH4302">
        <v>-2.58</v>
      </c>
      <c r="CI4302">
        <v>0</v>
      </c>
      <c r="CJ4302">
        <v>-3.3</v>
      </c>
      <c r="CK4302">
        <v>53</v>
      </c>
      <c r="CL4302">
        <v>-0.27</v>
      </c>
      <c r="CM4302">
        <v>51</v>
      </c>
      <c r="CN4302">
        <v>-0.54</v>
      </c>
      <c r="CO4302">
        <v>50</v>
      </c>
      <c r="CP4302">
        <v>8.8000000000000007</v>
      </c>
      <c r="CQ4302">
        <v>50</v>
      </c>
      <c r="CR4302">
        <v>0</v>
      </c>
      <c r="CS4302">
        <v>0</v>
      </c>
      <c r="CT4302">
        <v>17</v>
      </c>
      <c r="CU4302">
        <v>50</v>
      </c>
      <c r="CV4302">
        <v>0.15</v>
      </c>
      <c r="CW4302">
        <v>36</v>
      </c>
      <c r="CX4302" t="s">
        <v>2101</v>
      </c>
    </row>
    <row r="4303" spans="1:102" x14ac:dyDescent="0.3">
      <c r="A4303" t="str">
        <f>HYPERLINK("https://webapp.icbf.com/v2/app/bull-search/view/378258667","OFI")</f>
        <v>OFI</v>
      </c>
      <c r="B4303" t="s">
        <v>8794</v>
      </c>
      <c r="C4303" t="s">
        <v>8795</v>
      </c>
      <c r="D4303" s="1">
        <v>36022</v>
      </c>
      <c r="E4303" t="s">
        <v>92</v>
      </c>
      <c r="F4303">
        <v>100</v>
      </c>
      <c r="G4303" t="s">
        <v>93</v>
      </c>
      <c r="H4303">
        <v>-110.18</v>
      </c>
      <c r="I4303">
        <v>86</v>
      </c>
      <c r="J4303">
        <v>40.380000000000003</v>
      </c>
      <c r="K4303">
        <v>95</v>
      </c>
      <c r="L4303">
        <v>-94.03</v>
      </c>
      <c r="M4303">
        <v>86</v>
      </c>
      <c r="N4303">
        <v>-36.69</v>
      </c>
      <c r="O4303">
        <v>80</v>
      </c>
      <c r="P4303">
        <v>-0.68</v>
      </c>
      <c r="Q4303">
        <v>76</v>
      </c>
      <c r="R4303">
        <v>-23.73</v>
      </c>
      <c r="S4303">
        <v>80</v>
      </c>
      <c r="T4303">
        <v>8.35</v>
      </c>
      <c r="U4303">
        <v>77</v>
      </c>
      <c r="V4303">
        <v>-3.78</v>
      </c>
      <c r="W4303">
        <v>70</v>
      </c>
      <c r="X4303" t="s">
        <v>94</v>
      </c>
      <c r="Y4303" t="s">
        <v>95</v>
      </c>
      <c r="Z4303" t="s">
        <v>96</v>
      </c>
      <c r="AA4303" t="s">
        <v>1696</v>
      </c>
      <c r="AB4303">
        <v>9450</v>
      </c>
      <c r="AC4303">
        <v>40</v>
      </c>
      <c r="AD4303">
        <v>9</v>
      </c>
      <c r="AE4303">
        <v>95</v>
      </c>
      <c r="AF4303">
        <v>384.93</v>
      </c>
      <c r="AG4303">
        <v>8.76</v>
      </c>
      <c r="AH4303">
        <v>9.66</v>
      </c>
      <c r="AI4303">
        <v>-0.1</v>
      </c>
      <c r="AJ4303">
        <v>-0.06</v>
      </c>
      <c r="AK4303">
        <v>86</v>
      </c>
      <c r="AL4303">
        <v>0</v>
      </c>
      <c r="AM4303">
        <v>0</v>
      </c>
      <c r="AN4303">
        <v>4.25</v>
      </c>
      <c r="AO4303">
        <v>-3.26</v>
      </c>
      <c r="AP4303">
        <v>60</v>
      </c>
      <c r="AQ4303">
        <v>3</v>
      </c>
      <c r="AR4303">
        <v>9.69</v>
      </c>
      <c r="AS4303">
        <v>64</v>
      </c>
      <c r="AT4303">
        <v>4.74</v>
      </c>
      <c r="AU4303">
        <v>92</v>
      </c>
      <c r="AV4303">
        <v>-0.13</v>
      </c>
      <c r="AW4303">
        <v>87</v>
      </c>
      <c r="AX4303">
        <v>1.1499999999999999</v>
      </c>
      <c r="AY4303">
        <v>70</v>
      </c>
      <c r="AZ4303">
        <v>10.15</v>
      </c>
      <c r="BA4303">
        <v>58</v>
      </c>
      <c r="BB4303">
        <v>5.99</v>
      </c>
      <c r="BC4303">
        <v>58</v>
      </c>
      <c r="BD4303">
        <v>7.0000000000000007E-2</v>
      </c>
      <c r="BE4303">
        <v>0.11</v>
      </c>
      <c r="BF4303">
        <v>0.22</v>
      </c>
      <c r="BG4303">
        <v>91</v>
      </c>
      <c r="BH4303">
        <v>0.01</v>
      </c>
      <c r="BI4303">
        <v>13.34</v>
      </c>
      <c r="BJ4303">
        <v>9</v>
      </c>
      <c r="BK4303">
        <v>2</v>
      </c>
      <c r="BL4303">
        <v>1.0900000000000001</v>
      </c>
      <c r="BM4303">
        <v>-0.24</v>
      </c>
      <c r="BN4303">
        <v>0.42</v>
      </c>
      <c r="BO4303">
        <v>0.73</v>
      </c>
      <c r="BP4303">
        <v>-0.54</v>
      </c>
      <c r="BQ4303">
        <v>0.51</v>
      </c>
      <c r="BR4303">
        <v>-0.19</v>
      </c>
      <c r="BS4303">
        <v>0.17</v>
      </c>
      <c r="BT4303">
        <v>0.88</v>
      </c>
      <c r="BU4303">
        <v>0.15</v>
      </c>
      <c r="BV4303">
        <v>1.0900000000000001</v>
      </c>
      <c r="BW4303">
        <v>-0.53</v>
      </c>
      <c r="BX4303">
        <v>-0.31</v>
      </c>
      <c r="BY4303">
        <v>-1.07</v>
      </c>
      <c r="BZ4303">
        <v>-0.41</v>
      </c>
      <c r="CA4303">
        <v>0.44</v>
      </c>
      <c r="CB4303">
        <v>0.24</v>
      </c>
      <c r="CC4303">
        <v>0.85</v>
      </c>
      <c r="CD4303">
        <v>0.12</v>
      </c>
      <c r="CE4303">
        <v>0.42</v>
      </c>
      <c r="CF4303">
        <v>1.03</v>
      </c>
      <c r="CG4303">
        <v>0</v>
      </c>
      <c r="CH4303">
        <v>-1.23</v>
      </c>
      <c r="CI4303">
        <v>0</v>
      </c>
      <c r="CJ4303">
        <v>-0.1</v>
      </c>
      <c r="CK4303">
        <v>77</v>
      </c>
      <c r="CL4303">
        <v>-0.56000000000000005</v>
      </c>
      <c r="CM4303">
        <v>74</v>
      </c>
      <c r="CN4303">
        <v>-0.47</v>
      </c>
      <c r="CO4303">
        <v>70</v>
      </c>
      <c r="CP4303">
        <v>-1.8</v>
      </c>
      <c r="CQ4303">
        <v>82</v>
      </c>
      <c r="CR4303">
        <v>0</v>
      </c>
      <c r="CS4303">
        <v>0</v>
      </c>
      <c r="CT4303">
        <v>2.5</v>
      </c>
      <c r="CU4303">
        <v>77</v>
      </c>
      <c r="CV4303">
        <v>0.02</v>
      </c>
      <c r="CW4303">
        <v>41</v>
      </c>
      <c r="CX4303" t="s">
        <v>265</v>
      </c>
    </row>
    <row r="4304" spans="1:102" x14ac:dyDescent="0.3">
      <c r="A4304" t="str">
        <f>HYPERLINK("https://webapp.icbf.com/v2/app/bull-search/view/77852956","WCY")</f>
        <v>WCY</v>
      </c>
      <c r="B4304" t="s">
        <v>10746</v>
      </c>
      <c r="C4304" t="s">
        <v>2903</v>
      </c>
      <c r="D4304" s="1">
        <v>33409</v>
      </c>
      <c r="E4304" t="s">
        <v>92</v>
      </c>
      <c r="F4304">
        <v>100</v>
      </c>
      <c r="G4304" t="s">
        <v>93</v>
      </c>
      <c r="H4304">
        <v>-110.34</v>
      </c>
      <c r="I4304">
        <v>94</v>
      </c>
      <c r="J4304">
        <v>13.02</v>
      </c>
      <c r="K4304">
        <v>98</v>
      </c>
      <c r="L4304">
        <v>-120.84</v>
      </c>
      <c r="M4304">
        <v>94</v>
      </c>
      <c r="N4304">
        <v>11.23</v>
      </c>
      <c r="O4304">
        <v>91</v>
      </c>
      <c r="P4304">
        <v>-1</v>
      </c>
      <c r="Q4304">
        <v>95</v>
      </c>
      <c r="R4304">
        <v>-10.57</v>
      </c>
      <c r="S4304">
        <v>88</v>
      </c>
      <c r="T4304">
        <v>-1.05</v>
      </c>
      <c r="U4304">
        <v>92</v>
      </c>
      <c r="V4304">
        <v>-1.1299999999999999</v>
      </c>
      <c r="W4304">
        <v>82</v>
      </c>
      <c r="X4304" t="s">
        <v>251</v>
      </c>
      <c r="Y4304" t="s">
        <v>95</v>
      </c>
      <c r="Z4304" t="s">
        <v>96</v>
      </c>
      <c r="AA4304" t="s">
        <v>118</v>
      </c>
      <c r="AB4304" t="s">
        <v>3975</v>
      </c>
      <c r="AC4304">
        <v>306</v>
      </c>
      <c r="AD4304">
        <v>146</v>
      </c>
      <c r="AE4304">
        <v>98</v>
      </c>
      <c r="AF4304">
        <v>185.42</v>
      </c>
      <c r="AG4304">
        <v>2.21</v>
      </c>
      <c r="AH4304">
        <v>4.2699999999999996</v>
      </c>
      <c r="AI4304">
        <v>-0.09</v>
      </c>
      <c r="AJ4304">
        <v>-0.03</v>
      </c>
      <c r="AK4304">
        <v>94</v>
      </c>
      <c r="AL4304">
        <v>312</v>
      </c>
      <c r="AM4304">
        <v>134</v>
      </c>
      <c r="AN4304">
        <v>7.13</v>
      </c>
      <c r="AO4304">
        <v>-2.5</v>
      </c>
      <c r="AP4304">
        <v>25</v>
      </c>
      <c r="AQ4304">
        <v>0</v>
      </c>
      <c r="AR4304">
        <v>6.8</v>
      </c>
      <c r="AS4304">
        <v>83</v>
      </c>
      <c r="AT4304">
        <v>3.11</v>
      </c>
      <c r="AU4304">
        <v>98</v>
      </c>
      <c r="AV4304">
        <v>-2.16</v>
      </c>
      <c r="AW4304">
        <v>91</v>
      </c>
      <c r="AX4304">
        <v>0.24</v>
      </c>
      <c r="AY4304">
        <v>92</v>
      </c>
      <c r="AZ4304">
        <v>8.51</v>
      </c>
      <c r="BA4304">
        <v>80</v>
      </c>
      <c r="BB4304">
        <v>5.77</v>
      </c>
      <c r="BC4304">
        <v>86</v>
      </c>
      <c r="BD4304">
        <v>0.06</v>
      </c>
      <c r="BE4304">
        <v>7.0000000000000007E-2</v>
      </c>
      <c r="BF4304">
        <v>0.01</v>
      </c>
      <c r="BG4304">
        <v>96</v>
      </c>
      <c r="BH4304">
        <v>-0.08</v>
      </c>
      <c r="BI4304">
        <v>-5.62</v>
      </c>
      <c r="BJ4304">
        <v>25</v>
      </c>
      <c r="BK4304">
        <v>16</v>
      </c>
      <c r="BL4304">
        <v>-0.1</v>
      </c>
      <c r="BM4304">
        <v>0.72</v>
      </c>
      <c r="BN4304">
        <v>0.37</v>
      </c>
      <c r="BO4304">
        <v>-0.56000000000000005</v>
      </c>
      <c r="BP4304">
        <v>0.68</v>
      </c>
      <c r="BQ4304">
        <v>-1.58</v>
      </c>
      <c r="BR4304">
        <v>-3.11</v>
      </c>
      <c r="BS4304">
        <v>-0.05</v>
      </c>
      <c r="BT4304">
        <v>2.95</v>
      </c>
      <c r="BU4304">
        <v>-0.53</v>
      </c>
      <c r="BV4304">
        <v>-0.39</v>
      </c>
      <c r="BW4304">
        <v>0.01</v>
      </c>
      <c r="BX4304">
        <v>-0.66</v>
      </c>
      <c r="BY4304">
        <v>-0.18</v>
      </c>
      <c r="BZ4304">
        <v>0.75</v>
      </c>
      <c r="CA4304">
        <v>-0.32</v>
      </c>
      <c r="CB4304">
        <v>-0.72</v>
      </c>
      <c r="CC4304">
        <v>0.55000000000000004</v>
      </c>
      <c r="CD4304">
        <v>0.28000000000000003</v>
      </c>
      <c r="CE4304">
        <v>0</v>
      </c>
      <c r="CF4304">
        <v>-0.8</v>
      </c>
      <c r="CG4304">
        <v>0</v>
      </c>
      <c r="CH4304">
        <v>-7.0000000000000007E-2</v>
      </c>
      <c r="CI4304">
        <v>0</v>
      </c>
      <c r="CJ4304">
        <v>1.2</v>
      </c>
      <c r="CK4304">
        <v>95</v>
      </c>
      <c r="CL4304">
        <v>-0.5</v>
      </c>
      <c r="CM4304">
        <v>94</v>
      </c>
      <c r="CN4304">
        <v>-0.25</v>
      </c>
      <c r="CO4304">
        <v>93</v>
      </c>
      <c r="CP4304">
        <v>-2.8</v>
      </c>
      <c r="CQ4304">
        <v>96</v>
      </c>
      <c r="CR4304">
        <v>0</v>
      </c>
      <c r="CS4304">
        <v>0</v>
      </c>
      <c r="CT4304">
        <v>15.2</v>
      </c>
      <c r="CU4304">
        <v>92</v>
      </c>
      <c r="CV4304">
        <v>0.19</v>
      </c>
      <c r="CW4304">
        <v>45</v>
      </c>
      <c r="CX4304" t="s">
        <v>267</v>
      </c>
    </row>
    <row r="4305" spans="1:102" x14ac:dyDescent="0.3">
      <c r="A4305" t="str">
        <f>HYPERLINK("https://webapp.icbf.com/v2/app/bull-search/view/77853949","RGP")</f>
        <v>RGP</v>
      </c>
      <c r="B4305" t="s">
        <v>9856</v>
      </c>
      <c r="C4305" t="s">
        <v>9857</v>
      </c>
      <c r="D4305" s="1">
        <v>34149</v>
      </c>
      <c r="E4305" t="s">
        <v>92</v>
      </c>
      <c r="F4305">
        <v>75</v>
      </c>
      <c r="G4305" t="s">
        <v>109</v>
      </c>
      <c r="H4305">
        <v>-110.43</v>
      </c>
      <c r="I4305">
        <v>68</v>
      </c>
      <c r="J4305">
        <v>5.12</v>
      </c>
      <c r="K4305">
        <v>75</v>
      </c>
      <c r="L4305">
        <v>-70.77</v>
      </c>
      <c r="M4305">
        <v>72</v>
      </c>
      <c r="N4305">
        <v>-36.119999999999997</v>
      </c>
      <c r="O4305">
        <v>54</v>
      </c>
      <c r="P4305">
        <v>-22.47</v>
      </c>
      <c r="Q4305">
        <v>72</v>
      </c>
      <c r="R4305">
        <v>-2.97</v>
      </c>
      <c r="S4305">
        <v>64</v>
      </c>
      <c r="T4305">
        <v>17.16</v>
      </c>
      <c r="U4305">
        <v>60</v>
      </c>
      <c r="V4305">
        <v>-0.38</v>
      </c>
      <c r="W4305">
        <v>28</v>
      </c>
      <c r="X4305" t="s">
        <v>276</v>
      </c>
      <c r="Y4305" t="s">
        <v>95</v>
      </c>
      <c r="Z4305" t="s">
        <v>96</v>
      </c>
      <c r="AA4305" t="s">
        <v>118</v>
      </c>
      <c r="AB4305" t="s">
        <v>144</v>
      </c>
      <c r="AC4305">
        <v>0</v>
      </c>
      <c r="AD4305">
        <v>0</v>
      </c>
      <c r="AE4305">
        <v>75</v>
      </c>
      <c r="AF4305">
        <v>40.17</v>
      </c>
      <c r="AG4305">
        <v>1.57</v>
      </c>
      <c r="AH4305">
        <v>0.93</v>
      </c>
      <c r="AI4305">
        <v>0</v>
      </c>
      <c r="AJ4305">
        <v>-0.01</v>
      </c>
      <c r="AK4305">
        <v>72</v>
      </c>
      <c r="AL4305">
        <v>0</v>
      </c>
      <c r="AM4305">
        <v>0</v>
      </c>
      <c r="AN4305">
        <v>4.13</v>
      </c>
      <c r="AO4305">
        <v>-1.51</v>
      </c>
      <c r="AP4305">
        <v>12</v>
      </c>
      <c r="AQ4305">
        <v>0</v>
      </c>
      <c r="AR4305">
        <v>13.5</v>
      </c>
      <c r="AS4305">
        <v>32</v>
      </c>
      <c r="AT4305">
        <v>5.59</v>
      </c>
      <c r="AU4305">
        <v>81</v>
      </c>
      <c r="AV4305">
        <v>-1.39</v>
      </c>
      <c r="AW4305">
        <v>48</v>
      </c>
      <c r="AX4305">
        <v>0.6</v>
      </c>
      <c r="AY4305">
        <v>53</v>
      </c>
      <c r="AZ4305">
        <v>6.01</v>
      </c>
      <c r="BA4305">
        <v>34</v>
      </c>
      <c r="BB4305">
        <v>4.45</v>
      </c>
      <c r="BC4305">
        <v>42</v>
      </c>
      <c r="BD4305">
        <v>0.05</v>
      </c>
      <c r="BE4305">
        <v>0.05</v>
      </c>
      <c r="BF4305">
        <v>-0.11</v>
      </c>
      <c r="BG4305">
        <v>83</v>
      </c>
      <c r="BH4305">
        <v>-0.01</v>
      </c>
      <c r="BI4305">
        <v>7.0000000000000007E-2</v>
      </c>
      <c r="BJ4305">
        <v>1</v>
      </c>
      <c r="BK4305">
        <v>1</v>
      </c>
      <c r="BL4305">
        <v>0.27</v>
      </c>
      <c r="BM4305">
        <v>-0.48</v>
      </c>
      <c r="BN4305">
        <v>-0.16</v>
      </c>
      <c r="BO4305">
        <v>-0.04</v>
      </c>
      <c r="BP4305">
        <v>-1.17</v>
      </c>
      <c r="BQ4305">
        <v>-0.55000000000000004</v>
      </c>
      <c r="BR4305">
        <v>0.17</v>
      </c>
      <c r="BS4305">
        <v>0</v>
      </c>
      <c r="BT4305">
        <v>0.71</v>
      </c>
      <c r="BU4305">
        <v>-0.33</v>
      </c>
      <c r="BV4305">
        <v>-0.11</v>
      </c>
      <c r="BW4305">
        <v>0.64</v>
      </c>
      <c r="BX4305">
        <v>0.42</v>
      </c>
      <c r="BY4305">
        <v>-0.61</v>
      </c>
      <c r="BZ4305">
        <v>-1.53</v>
      </c>
      <c r="CA4305">
        <v>0.45</v>
      </c>
      <c r="CB4305">
        <v>0.05</v>
      </c>
      <c r="CC4305">
        <v>0.92</v>
      </c>
      <c r="CD4305">
        <v>-0.59</v>
      </c>
      <c r="CE4305">
        <v>-0.43</v>
      </c>
      <c r="CF4305">
        <v>-0.08</v>
      </c>
      <c r="CG4305">
        <v>0</v>
      </c>
      <c r="CH4305">
        <v>-0.4</v>
      </c>
      <c r="CI4305">
        <v>0</v>
      </c>
      <c r="CJ4305">
        <v>-11.7</v>
      </c>
      <c r="CK4305">
        <v>74</v>
      </c>
      <c r="CL4305">
        <v>-0.76</v>
      </c>
      <c r="CM4305">
        <v>70</v>
      </c>
      <c r="CN4305">
        <v>-0.3</v>
      </c>
      <c r="CO4305">
        <v>67</v>
      </c>
      <c r="CP4305">
        <v>-13.3</v>
      </c>
      <c r="CQ4305">
        <v>74</v>
      </c>
      <c r="CR4305">
        <v>0</v>
      </c>
      <c r="CS4305">
        <v>0</v>
      </c>
      <c r="CT4305">
        <v>-9.4</v>
      </c>
      <c r="CU4305">
        <v>60</v>
      </c>
      <c r="CV4305">
        <v>0.03</v>
      </c>
      <c r="CW4305">
        <v>21</v>
      </c>
      <c r="CX4305" t="s">
        <v>663</v>
      </c>
    </row>
    <row r="4306" spans="1:102" x14ac:dyDescent="0.3">
      <c r="A4306" t="str">
        <f>HYPERLINK("https://webapp.icbf.com/v2/app/bull-search/view/69091561","EFE")</f>
        <v>EFE</v>
      </c>
      <c r="B4306" t="s">
        <v>10556</v>
      </c>
      <c r="C4306" t="s">
        <v>10557</v>
      </c>
      <c r="D4306" s="1">
        <v>34687</v>
      </c>
      <c r="E4306" t="s">
        <v>92</v>
      </c>
      <c r="F4306">
        <v>100</v>
      </c>
      <c r="G4306" t="s">
        <v>109</v>
      </c>
      <c r="H4306">
        <v>-110.45</v>
      </c>
      <c r="I4306">
        <v>81</v>
      </c>
      <c r="J4306">
        <v>35.32</v>
      </c>
      <c r="K4306">
        <v>95</v>
      </c>
      <c r="L4306">
        <v>-135.63999999999999</v>
      </c>
      <c r="M4306">
        <v>87</v>
      </c>
      <c r="N4306">
        <v>-4.8600000000000003</v>
      </c>
      <c r="O4306">
        <v>66</v>
      </c>
      <c r="P4306">
        <v>-9.8800000000000008</v>
      </c>
      <c r="Q4306">
        <v>55</v>
      </c>
      <c r="R4306">
        <v>-12.66</v>
      </c>
      <c r="S4306">
        <v>80</v>
      </c>
      <c r="T4306">
        <v>19.45</v>
      </c>
      <c r="U4306">
        <v>52</v>
      </c>
      <c r="V4306">
        <v>-2.1800000000000002</v>
      </c>
      <c r="W4306">
        <v>69</v>
      </c>
      <c r="X4306" t="s">
        <v>94</v>
      </c>
      <c r="Y4306" t="s">
        <v>95</v>
      </c>
      <c r="Z4306" t="s">
        <v>96</v>
      </c>
      <c r="AA4306" t="s">
        <v>265</v>
      </c>
      <c r="AB4306" t="s">
        <v>3604</v>
      </c>
      <c r="AC4306">
        <v>0</v>
      </c>
      <c r="AD4306">
        <v>0</v>
      </c>
      <c r="AE4306">
        <v>95</v>
      </c>
      <c r="AF4306">
        <v>363.66</v>
      </c>
      <c r="AG4306">
        <v>7.84</v>
      </c>
      <c r="AH4306">
        <v>8.8000000000000007</v>
      </c>
      <c r="AI4306">
        <v>-0.1</v>
      </c>
      <c r="AJ4306">
        <v>-0.06</v>
      </c>
      <c r="AK4306">
        <v>87</v>
      </c>
      <c r="AL4306">
        <v>0</v>
      </c>
      <c r="AM4306">
        <v>0</v>
      </c>
      <c r="AN4306">
        <v>7.17</v>
      </c>
      <c r="AO4306">
        <v>-3.65</v>
      </c>
      <c r="AP4306">
        <v>4</v>
      </c>
      <c r="AQ4306">
        <v>0</v>
      </c>
      <c r="AR4306">
        <v>8.3800000000000008</v>
      </c>
      <c r="AS4306">
        <v>60</v>
      </c>
      <c r="AT4306">
        <v>4.3099999999999996</v>
      </c>
      <c r="AU4306">
        <v>92</v>
      </c>
      <c r="AV4306">
        <v>-2.08</v>
      </c>
      <c r="AW4306">
        <v>60</v>
      </c>
      <c r="AX4306">
        <v>-0.42</v>
      </c>
      <c r="AY4306">
        <v>52</v>
      </c>
      <c r="AZ4306">
        <v>7.48</v>
      </c>
      <c r="BA4306">
        <v>53</v>
      </c>
      <c r="BB4306">
        <v>6.27</v>
      </c>
      <c r="BC4306">
        <v>55</v>
      </c>
      <c r="BD4306">
        <v>0</v>
      </c>
      <c r="BE4306">
        <v>0.09</v>
      </c>
      <c r="BF4306">
        <v>0.12</v>
      </c>
      <c r="BG4306">
        <v>93</v>
      </c>
      <c r="BH4306">
        <v>0.16</v>
      </c>
      <c r="BI4306">
        <v>25.55</v>
      </c>
      <c r="BJ4306">
        <v>0</v>
      </c>
      <c r="BK4306">
        <v>0</v>
      </c>
      <c r="BL4306">
        <v>-0.75</v>
      </c>
      <c r="BM4306">
        <v>-2.0699999999999998</v>
      </c>
      <c r="BN4306">
        <v>-0.78</v>
      </c>
      <c r="BO4306">
        <v>0.24</v>
      </c>
      <c r="BP4306">
        <v>-0.84</v>
      </c>
      <c r="BQ4306">
        <v>-2.39</v>
      </c>
      <c r="BR4306">
        <v>0.28999999999999998</v>
      </c>
      <c r="BS4306">
        <v>1.1599999999999999</v>
      </c>
      <c r="BT4306">
        <v>0.27</v>
      </c>
      <c r="BU4306">
        <v>-0.93</v>
      </c>
      <c r="BV4306">
        <v>-0.34</v>
      </c>
      <c r="BW4306">
        <v>-2.2599999999999998</v>
      </c>
      <c r="BX4306">
        <v>-1.91</v>
      </c>
      <c r="BY4306">
        <v>-0.76</v>
      </c>
      <c r="BZ4306">
        <v>-1.53</v>
      </c>
      <c r="CA4306">
        <v>-0.62</v>
      </c>
      <c r="CB4306">
        <v>-0.86</v>
      </c>
      <c r="CC4306">
        <v>0.05</v>
      </c>
      <c r="CD4306">
        <v>-0.99</v>
      </c>
      <c r="CE4306">
        <v>-0.25</v>
      </c>
      <c r="CF4306">
        <v>-2.11</v>
      </c>
      <c r="CG4306">
        <v>0</v>
      </c>
      <c r="CH4306">
        <v>-0.45</v>
      </c>
      <c r="CI4306">
        <v>0</v>
      </c>
      <c r="CJ4306">
        <v>-2.9</v>
      </c>
      <c r="CK4306">
        <v>56</v>
      </c>
      <c r="CL4306">
        <v>-0.53</v>
      </c>
      <c r="CM4306">
        <v>55</v>
      </c>
      <c r="CN4306">
        <v>-0.08</v>
      </c>
      <c r="CO4306">
        <v>54</v>
      </c>
      <c r="CP4306">
        <v>-9</v>
      </c>
      <c r="CQ4306">
        <v>55</v>
      </c>
      <c r="CR4306">
        <v>0</v>
      </c>
      <c r="CS4306">
        <v>0</v>
      </c>
      <c r="CT4306">
        <v>-12.5</v>
      </c>
      <c r="CU4306">
        <v>52</v>
      </c>
      <c r="CV4306">
        <v>0.13</v>
      </c>
      <c r="CW4306">
        <v>37</v>
      </c>
      <c r="CX4306" t="s">
        <v>485</v>
      </c>
    </row>
    <row r="4307" spans="1:102" x14ac:dyDescent="0.3">
      <c r="A4307" t="str">
        <f>HYPERLINK("https://webapp.icbf.com/v2/app/bull-search/view/126528896","CMX")</f>
        <v>CMX</v>
      </c>
      <c r="B4307" t="s">
        <v>11450</v>
      </c>
      <c r="C4307" t="s">
        <v>1538</v>
      </c>
      <c r="D4307" s="1">
        <v>35380</v>
      </c>
      <c r="E4307" t="s">
        <v>92</v>
      </c>
      <c r="F4307">
        <v>100</v>
      </c>
      <c r="G4307" t="s">
        <v>93</v>
      </c>
      <c r="H4307">
        <v>-110.7</v>
      </c>
      <c r="I4307">
        <v>96</v>
      </c>
      <c r="J4307">
        <v>-13.25</v>
      </c>
      <c r="K4307">
        <v>99</v>
      </c>
      <c r="L4307">
        <v>-30.72</v>
      </c>
      <c r="M4307">
        <v>93</v>
      </c>
      <c r="N4307">
        <v>-57.83</v>
      </c>
      <c r="O4307">
        <v>98</v>
      </c>
      <c r="P4307">
        <v>6.66</v>
      </c>
      <c r="Q4307">
        <v>99</v>
      </c>
      <c r="R4307">
        <v>0.1</v>
      </c>
      <c r="S4307">
        <v>95</v>
      </c>
      <c r="T4307">
        <v>-15.03</v>
      </c>
      <c r="U4307">
        <v>98</v>
      </c>
      <c r="V4307">
        <v>-0.63</v>
      </c>
      <c r="W4307">
        <v>94</v>
      </c>
      <c r="X4307" t="s">
        <v>131</v>
      </c>
      <c r="Y4307" t="s">
        <v>95</v>
      </c>
      <c r="Z4307" t="s">
        <v>96</v>
      </c>
      <c r="AA4307" t="s">
        <v>4543</v>
      </c>
      <c r="AB4307" t="s">
        <v>3461</v>
      </c>
      <c r="AC4307">
        <v>1206</v>
      </c>
      <c r="AD4307">
        <v>381</v>
      </c>
      <c r="AE4307">
        <v>99</v>
      </c>
      <c r="AF4307">
        <v>180.32</v>
      </c>
      <c r="AG4307">
        <v>-2.33</v>
      </c>
      <c r="AH4307">
        <v>1.33</v>
      </c>
      <c r="AI4307">
        <v>-0.15</v>
      </c>
      <c r="AJ4307">
        <v>-0.08</v>
      </c>
      <c r="AK4307">
        <v>93</v>
      </c>
      <c r="AL4307">
        <v>1088</v>
      </c>
      <c r="AM4307">
        <v>369</v>
      </c>
      <c r="AN4307">
        <v>1.64</v>
      </c>
      <c r="AO4307">
        <v>-0.81</v>
      </c>
      <c r="AP4307">
        <v>2068</v>
      </c>
      <c r="AQ4307">
        <v>4</v>
      </c>
      <c r="AR4307">
        <v>13.56</v>
      </c>
      <c r="AS4307">
        <v>96</v>
      </c>
      <c r="AT4307">
        <v>7.27</v>
      </c>
      <c r="AU4307">
        <v>99</v>
      </c>
      <c r="AV4307">
        <v>-1.54</v>
      </c>
      <c r="AW4307">
        <v>99</v>
      </c>
      <c r="AX4307">
        <v>-0.15</v>
      </c>
      <c r="AY4307">
        <v>98</v>
      </c>
      <c r="AZ4307">
        <v>5.23</v>
      </c>
      <c r="BA4307">
        <v>94</v>
      </c>
      <c r="BB4307">
        <v>4.37</v>
      </c>
      <c r="BC4307">
        <v>94</v>
      </c>
      <c r="BD4307">
        <v>-0.08</v>
      </c>
      <c r="BE4307">
        <v>-0.01</v>
      </c>
      <c r="BF4307">
        <v>0.15</v>
      </c>
      <c r="BG4307">
        <v>99</v>
      </c>
      <c r="BH4307">
        <v>0.03</v>
      </c>
      <c r="BI4307">
        <v>5.5</v>
      </c>
      <c r="BJ4307">
        <v>586</v>
      </c>
      <c r="BK4307">
        <v>189</v>
      </c>
      <c r="BL4307">
        <v>1.72</v>
      </c>
      <c r="BM4307">
        <v>-0.17</v>
      </c>
      <c r="BN4307">
        <v>1.5</v>
      </c>
      <c r="BO4307">
        <v>1.51</v>
      </c>
      <c r="BP4307">
        <v>2.1</v>
      </c>
      <c r="BQ4307">
        <v>2.84</v>
      </c>
      <c r="BR4307">
        <v>0.95</v>
      </c>
      <c r="BS4307">
        <v>-0.39</v>
      </c>
      <c r="BT4307">
        <v>-1.42</v>
      </c>
      <c r="BU4307">
        <v>1.47</v>
      </c>
      <c r="BV4307">
        <v>2.0299999999999998</v>
      </c>
      <c r="BW4307">
        <v>2.5499999999999998</v>
      </c>
      <c r="BX4307">
        <v>1.0900000000000001</v>
      </c>
      <c r="BY4307">
        <v>1.42</v>
      </c>
      <c r="BZ4307">
        <v>1.04</v>
      </c>
      <c r="CA4307">
        <v>1.39</v>
      </c>
      <c r="CB4307">
        <v>1.86</v>
      </c>
      <c r="CC4307">
        <v>0.1</v>
      </c>
      <c r="CD4307">
        <v>-0.44</v>
      </c>
      <c r="CE4307">
        <v>1.33</v>
      </c>
      <c r="CF4307">
        <v>1.97</v>
      </c>
      <c r="CG4307">
        <v>0</v>
      </c>
      <c r="CH4307">
        <v>2.85</v>
      </c>
      <c r="CI4307">
        <v>0</v>
      </c>
      <c r="CJ4307">
        <v>5.8</v>
      </c>
      <c r="CK4307">
        <v>99</v>
      </c>
      <c r="CL4307">
        <v>-0.97</v>
      </c>
      <c r="CM4307">
        <v>99</v>
      </c>
      <c r="CN4307">
        <v>-0.62</v>
      </c>
      <c r="CO4307">
        <v>99</v>
      </c>
      <c r="CP4307">
        <v>9.4</v>
      </c>
      <c r="CQ4307">
        <v>99</v>
      </c>
      <c r="CR4307">
        <v>0</v>
      </c>
      <c r="CS4307">
        <v>0</v>
      </c>
      <c r="CT4307">
        <v>34.1</v>
      </c>
      <c r="CU4307">
        <v>98</v>
      </c>
      <c r="CV4307">
        <v>0.41</v>
      </c>
      <c r="CW4307">
        <v>29</v>
      </c>
      <c r="CX4307" t="s">
        <v>111</v>
      </c>
    </row>
    <row r="4308" spans="1:102" x14ac:dyDescent="0.3">
      <c r="A4308" t="str">
        <f>HYPERLINK("https://webapp.icbf.com/v2/app/bull-search/view/77857765","EZA")</f>
        <v>EZA</v>
      </c>
      <c r="B4308" t="s">
        <v>4887</v>
      </c>
      <c r="C4308" t="s">
        <v>174</v>
      </c>
      <c r="D4308" s="1">
        <v>34402</v>
      </c>
      <c r="E4308" t="s">
        <v>92</v>
      </c>
      <c r="F4308">
        <v>100</v>
      </c>
      <c r="G4308" t="s">
        <v>93</v>
      </c>
      <c r="H4308">
        <v>-110.82</v>
      </c>
      <c r="I4308">
        <v>98</v>
      </c>
      <c r="J4308">
        <v>28.16</v>
      </c>
      <c r="K4308">
        <v>99</v>
      </c>
      <c r="L4308">
        <v>-176.1</v>
      </c>
      <c r="M4308">
        <v>96</v>
      </c>
      <c r="N4308">
        <v>26.3</v>
      </c>
      <c r="O4308">
        <v>98</v>
      </c>
      <c r="P4308">
        <v>6.9</v>
      </c>
      <c r="Q4308">
        <v>99</v>
      </c>
      <c r="R4308">
        <v>4.87</v>
      </c>
      <c r="S4308">
        <v>96</v>
      </c>
      <c r="T4308">
        <v>-4.75</v>
      </c>
      <c r="U4308">
        <v>99</v>
      </c>
      <c r="V4308">
        <v>3.8</v>
      </c>
      <c r="W4308">
        <v>95</v>
      </c>
      <c r="X4308" t="s">
        <v>94</v>
      </c>
      <c r="Y4308" t="s">
        <v>95</v>
      </c>
      <c r="Z4308" t="s">
        <v>96</v>
      </c>
      <c r="AA4308" t="s">
        <v>207</v>
      </c>
      <c r="AB4308" t="s">
        <v>4888</v>
      </c>
      <c r="AC4308">
        <v>1719</v>
      </c>
      <c r="AD4308">
        <v>604</v>
      </c>
      <c r="AE4308">
        <v>99</v>
      </c>
      <c r="AF4308">
        <v>637.49</v>
      </c>
      <c r="AG4308">
        <v>2.4500000000000002</v>
      </c>
      <c r="AH4308">
        <v>13.68</v>
      </c>
      <c r="AI4308">
        <v>-0.35</v>
      </c>
      <c r="AJ4308">
        <v>-0.12</v>
      </c>
      <c r="AK4308">
        <v>96</v>
      </c>
      <c r="AL4308">
        <v>1610</v>
      </c>
      <c r="AM4308">
        <v>537</v>
      </c>
      <c r="AN4308">
        <v>9.9</v>
      </c>
      <c r="AO4308">
        <v>-4.1399999999999997</v>
      </c>
      <c r="AP4308">
        <v>1006</v>
      </c>
      <c r="AQ4308">
        <v>1</v>
      </c>
      <c r="AR4308">
        <v>5.75</v>
      </c>
      <c r="AS4308">
        <v>98</v>
      </c>
      <c r="AT4308">
        <v>2.2400000000000002</v>
      </c>
      <c r="AU4308">
        <v>99</v>
      </c>
      <c r="AV4308">
        <v>-2.41</v>
      </c>
      <c r="AW4308">
        <v>99</v>
      </c>
      <c r="AX4308">
        <v>-0.56000000000000005</v>
      </c>
      <c r="AY4308">
        <v>98</v>
      </c>
      <c r="AZ4308">
        <v>8.27</v>
      </c>
      <c r="BA4308">
        <v>96</v>
      </c>
      <c r="BB4308">
        <v>5.51</v>
      </c>
      <c r="BC4308">
        <v>96</v>
      </c>
      <c r="BD4308">
        <v>-0.03</v>
      </c>
      <c r="BE4308">
        <v>0.02</v>
      </c>
      <c r="BF4308">
        <v>-0.1</v>
      </c>
      <c r="BG4308">
        <v>99</v>
      </c>
      <c r="BH4308">
        <v>0.17</v>
      </c>
      <c r="BI4308">
        <v>7.41</v>
      </c>
      <c r="BJ4308">
        <v>449</v>
      </c>
      <c r="BK4308">
        <v>172</v>
      </c>
      <c r="BL4308">
        <v>0.17</v>
      </c>
      <c r="BM4308">
        <v>1.29</v>
      </c>
      <c r="BN4308">
        <v>0.54</v>
      </c>
      <c r="BO4308">
        <v>0.01</v>
      </c>
      <c r="BP4308">
        <v>2.58</v>
      </c>
      <c r="BQ4308">
        <v>0.55000000000000004</v>
      </c>
      <c r="BR4308">
        <v>-0.97</v>
      </c>
      <c r="BS4308">
        <v>-2.36</v>
      </c>
      <c r="BT4308">
        <v>0.55000000000000004</v>
      </c>
      <c r="BU4308">
        <v>0.27</v>
      </c>
      <c r="BV4308">
        <v>0.17</v>
      </c>
      <c r="BW4308">
        <v>0.95</v>
      </c>
      <c r="BX4308">
        <v>-0.42</v>
      </c>
      <c r="BY4308">
        <v>3.86</v>
      </c>
      <c r="BZ4308">
        <v>-0.19</v>
      </c>
      <c r="CA4308">
        <v>-0.14000000000000001</v>
      </c>
      <c r="CB4308">
        <v>0.8</v>
      </c>
      <c r="CC4308">
        <v>-1.83</v>
      </c>
      <c r="CD4308">
        <v>0.89</v>
      </c>
      <c r="CE4308">
        <v>0.17</v>
      </c>
      <c r="CF4308">
        <v>0.25</v>
      </c>
      <c r="CG4308">
        <v>0</v>
      </c>
      <c r="CH4308">
        <v>3.82</v>
      </c>
      <c r="CI4308">
        <v>0</v>
      </c>
      <c r="CJ4308">
        <v>6.9</v>
      </c>
      <c r="CK4308">
        <v>99</v>
      </c>
      <c r="CL4308">
        <v>-0.52</v>
      </c>
      <c r="CM4308">
        <v>99</v>
      </c>
      <c r="CN4308">
        <v>-0.12</v>
      </c>
      <c r="CO4308">
        <v>99</v>
      </c>
      <c r="CP4308">
        <v>8.9</v>
      </c>
      <c r="CQ4308">
        <v>99</v>
      </c>
      <c r="CR4308">
        <v>0</v>
      </c>
      <c r="CS4308">
        <v>0</v>
      </c>
      <c r="CT4308">
        <v>20.2</v>
      </c>
      <c r="CU4308">
        <v>99</v>
      </c>
      <c r="CV4308">
        <v>0.12</v>
      </c>
      <c r="CW4308">
        <v>47</v>
      </c>
      <c r="CX4308" t="s">
        <v>564</v>
      </c>
    </row>
    <row r="4309" spans="1:102" x14ac:dyDescent="0.3">
      <c r="A4309" t="str">
        <f>HYPERLINK("https://webapp.icbf.com/v2/app/bull-search/view/77859145","ABG")</f>
        <v>ABG</v>
      </c>
      <c r="B4309" t="s">
        <v>11213</v>
      </c>
      <c r="C4309" t="s">
        <v>11214</v>
      </c>
      <c r="D4309" s="1">
        <v>36106</v>
      </c>
      <c r="E4309" t="s">
        <v>92</v>
      </c>
      <c r="F4309">
        <v>100</v>
      </c>
      <c r="G4309" t="s">
        <v>93</v>
      </c>
      <c r="H4309">
        <v>-110.87</v>
      </c>
      <c r="I4309">
        <v>87</v>
      </c>
      <c r="J4309">
        <v>33.619999999999997</v>
      </c>
      <c r="K4309">
        <v>98</v>
      </c>
      <c r="L4309">
        <v>-152.71</v>
      </c>
      <c r="M4309">
        <v>81</v>
      </c>
      <c r="N4309">
        <v>9.36</v>
      </c>
      <c r="O4309">
        <v>80</v>
      </c>
      <c r="P4309">
        <v>-8.59</v>
      </c>
      <c r="Q4309">
        <v>92</v>
      </c>
      <c r="R4309">
        <v>-2.96</v>
      </c>
      <c r="S4309">
        <v>80</v>
      </c>
      <c r="T4309">
        <v>11.61</v>
      </c>
      <c r="U4309">
        <v>83</v>
      </c>
      <c r="V4309">
        <v>-1.2</v>
      </c>
      <c r="W4309">
        <v>69</v>
      </c>
      <c r="X4309" t="s">
        <v>94</v>
      </c>
      <c r="Y4309" t="s">
        <v>95</v>
      </c>
      <c r="Z4309" t="s">
        <v>96</v>
      </c>
      <c r="AA4309" t="s">
        <v>961</v>
      </c>
      <c r="AB4309" t="s">
        <v>4066</v>
      </c>
      <c r="AC4309">
        <v>118</v>
      </c>
      <c r="AD4309">
        <v>104</v>
      </c>
      <c r="AE4309">
        <v>98</v>
      </c>
      <c r="AF4309">
        <v>202.11</v>
      </c>
      <c r="AG4309">
        <v>11.51</v>
      </c>
      <c r="AH4309">
        <v>4.74</v>
      </c>
      <c r="AI4309">
        <v>0.06</v>
      </c>
      <c r="AJ4309">
        <v>-0.04</v>
      </c>
      <c r="AK4309">
        <v>81</v>
      </c>
      <c r="AL4309">
        <v>118</v>
      </c>
      <c r="AM4309">
        <v>98</v>
      </c>
      <c r="AN4309">
        <v>7.42</v>
      </c>
      <c r="AO4309">
        <v>-4.7699999999999996</v>
      </c>
      <c r="AP4309">
        <v>27</v>
      </c>
      <c r="AQ4309">
        <v>0</v>
      </c>
      <c r="AR4309">
        <v>7.51</v>
      </c>
      <c r="AS4309">
        <v>71</v>
      </c>
      <c r="AT4309">
        <v>3.21</v>
      </c>
      <c r="AU4309">
        <v>82</v>
      </c>
      <c r="AV4309">
        <v>-0.95</v>
      </c>
      <c r="AW4309">
        <v>85</v>
      </c>
      <c r="AX4309">
        <v>0.21</v>
      </c>
      <c r="AY4309">
        <v>83</v>
      </c>
      <c r="AZ4309">
        <v>5.6</v>
      </c>
      <c r="BA4309">
        <v>68</v>
      </c>
      <c r="BB4309">
        <v>4.6500000000000004</v>
      </c>
      <c r="BC4309">
        <v>71</v>
      </c>
      <c r="BD4309">
        <v>0</v>
      </c>
      <c r="BE4309">
        <v>0.02</v>
      </c>
      <c r="BF4309">
        <v>0.03</v>
      </c>
      <c r="BG4309">
        <v>91</v>
      </c>
      <c r="BH4309">
        <v>0.01</v>
      </c>
      <c r="BI4309">
        <v>5.03</v>
      </c>
      <c r="BJ4309">
        <v>40</v>
      </c>
      <c r="BK4309">
        <v>33</v>
      </c>
      <c r="BL4309">
        <v>0.7</v>
      </c>
      <c r="BM4309">
        <v>-1.21</v>
      </c>
      <c r="BN4309">
        <v>0.51</v>
      </c>
      <c r="BO4309">
        <v>1.1399999999999999</v>
      </c>
      <c r="BP4309">
        <v>-0.92</v>
      </c>
      <c r="BQ4309">
        <v>-0.64</v>
      </c>
      <c r="BR4309">
        <v>0.54</v>
      </c>
      <c r="BS4309">
        <v>-0.43</v>
      </c>
      <c r="BT4309">
        <v>0.28000000000000003</v>
      </c>
      <c r="BU4309">
        <v>7.0000000000000007E-2</v>
      </c>
      <c r="BV4309">
        <v>-0.46</v>
      </c>
      <c r="BW4309">
        <v>-0.43</v>
      </c>
      <c r="BX4309">
        <v>-0.18</v>
      </c>
      <c r="BY4309">
        <v>-0.9</v>
      </c>
      <c r="BZ4309">
        <v>-0.17</v>
      </c>
      <c r="CA4309">
        <v>-0.16</v>
      </c>
      <c r="CB4309">
        <v>0.16</v>
      </c>
      <c r="CC4309">
        <v>-0.53</v>
      </c>
      <c r="CD4309">
        <v>-1.22</v>
      </c>
      <c r="CE4309">
        <v>1.1399999999999999</v>
      </c>
      <c r="CF4309">
        <v>-0.18</v>
      </c>
      <c r="CG4309">
        <v>0</v>
      </c>
      <c r="CH4309">
        <v>-0.21</v>
      </c>
      <c r="CI4309">
        <v>0</v>
      </c>
      <c r="CJ4309">
        <v>-1</v>
      </c>
      <c r="CK4309">
        <v>93</v>
      </c>
      <c r="CL4309">
        <v>-0.81</v>
      </c>
      <c r="CM4309">
        <v>91</v>
      </c>
      <c r="CN4309">
        <v>-0.22</v>
      </c>
      <c r="CO4309">
        <v>90</v>
      </c>
      <c r="CP4309">
        <v>-9.5</v>
      </c>
      <c r="CQ4309">
        <v>91</v>
      </c>
      <c r="CR4309">
        <v>0</v>
      </c>
      <c r="CS4309">
        <v>0</v>
      </c>
      <c r="CT4309">
        <v>-1.9</v>
      </c>
      <c r="CU4309">
        <v>83</v>
      </c>
      <c r="CV4309">
        <v>0.16</v>
      </c>
      <c r="CW4309">
        <v>44</v>
      </c>
      <c r="CX4309" t="s">
        <v>1106</v>
      </c>
    </row>
    <row r="4310" spans="1:102" x14ac:dyDescent="0.3">
      <c r="A4310" t="str">
        <f>HYPERLINK("https://webapp.icbf.com/v2/app/bull-search/view/77856853","HFE")</f>
        <v>HFE</v>
      </c>
      <c r="B4310" t="s">
        <v>1144</v>
      </c>
      <c r="C4310" t="s">
        <v>1145</v>
      </c>
      <c r="D4310" s="1">
        <v>32430</v>
      </c>
      <c r="E4310" t="s">
        <v>92</v>
      </c>
      <c r="F4310">
        <v>100</v>
      </c>
      <c r="G4310" t="s">
        <v>93</v>
      </c>
      <c r="H4310">
        <v>-111.03</v>
      </c>
      <c r="I4310">
        <v>88</v>
      </c>
      <c r="J4310">
        <v>23.45</v>
      </c>
      <c r="K4310">
        <v>97</v>
      </c>
      <c r="L4310">
        <v>-132.6</v>
      </c>
      <c r="M4310">
        <v>90</v>
      </c>
      <c r="N4310">
        <v>1.19</v>
      </c>
      <c r="O4310">
        <v>79</v>
      </c>
      <c r="P4310">
        <v>-9.98</v>
      </c>
      <c r="Q4310">
        <v>85</v>
      </c>
      <c r="R4310">
        <v>-3.76</v>
      </c>
      <c r="S4310">
        <v>81</v>
      </c>
      <c r="T4310">
        <v>11.46</v>
      </c>
      <c r="U4310">
        <v>79</v>
      </c>
      <c r="V4310">
        <v>-0.79</v>
      </c>
      <c r="W4310">
        <v>62</v>
      </c>
      <c r="X4310" t="s">
        <v>94</v>
      </c>
      <c r="Y4310" t="s">
        <v>95</v>
      </c>
      <c r="Z4310" t="s">
        <v>96</v>
      </c>
      <c r="AA4310" t="s">
        <v>543</v>
      </c>
      <c r="AB4310" t="s">
        <v>1146</v>
      </c>
      <c r="AC4310">
        <v>151</v>
      </c>
      <c r="AD4310">
        <v>62</v>
      </c>
      <c r="AE4310">
        <v>97</v>
      </c>
      <c r="AF4310">
        <v>384.26</v>
      </c>
      <c r="AG4310">
        <v>7.52</v>
      </c>
      <c r="AH4310">
        <v>7.21</v>
      </c>
      <c r="AI4310">
        <v>-0.12</v>
      </c>
      <c r="AJ4310">
        <v>-0.1</v>
      </c>
      <c r="AK4310">
        <v>90</v>
      </c>
      <c r="AL4310">
        <v>168</v>
      </c>
      <c r="AM4310">
        <v>76</v>
      </c>
      <c r="AN4310">
        <v>9.14</v>
      </c>
      <c r="AO4310">
        <v>-1.41</v>
      </c>
      <c r="AP4310">
        <v>1</v>
      </c>
      <c r="AQ4310">
        <v>0</v>
      </c>
      <c r="AR4310">
        <v>4.91</v>
      </c>
      <c r="AS4310">
        <v>61</v>
      </c>
      <c r="AT4310">
        <v>2.61</v>
      </c>
      <c r="AU4310">
        <v>87</v>
      </c>
      <c r="AV4310">
        <v>0.62</v>
      </c>
      <c r="AW4310">
        <v>82</v>
      </c>
      <c r="AX4310">
        <v>-0.26</v>
      </c>
      <c r="AY4310">
        <v>83</v>
      </c>
      <c r="AZ4310">
        <v>7.22</v>
      </c>
      <c r="BA4310">
        <v>58</v>
      </c>
      <c r="BB4310">
        <v>5.73</v>
      </c>
      <c r="BC4310">
        <v>71</v>
      </c>
      <c r="BD4310">
        <v>0.02</v>
      </c>
      <c r="BE4310">
        <v>7.0000000000000007E-2</v>
      </c>
      <c r="BF4310">
        <v>-0.08</v>
      </c>
      <c r="BG4310">
        <v>93</v>
      </c>
      <c r="BH4310">
        <v>-0.03</v>
      </c>
      <c r="BI4310">
        <v>-0.93</v>
      </c>
      <c r="BJ4310">
        <v>25</v>
      </c>
      <c r="BK4310">
        <v>9</v>
      </c>
      <c r="BL4310">
        <v>-0.73</v>
      </c>
      <c r="BM4310">
        <v>-1.1100000000000001</v>
      </c>
      <c r="BN4310">
        <v>-0.05</v>
      </c>
      <c r="BO4310">
        <v>0.78</v>
      </c>
      <c r="BP4310">
        <v>-1.72</v>
      </c>
      <c r="BQ4310">
        <v>-1.06</v>
      </c>
      <c r="BR4310">
        <v>1.86</v>
      </c>
      <c r="BS4310">
        <v>-2.2799999999999998</v>
      </c>
      <c r="BT4310">
        <v>-1.55</v>
      </c>
      <c r="BU4310">
        <v>-0.16</v>
      </c>
      <c r="BV4310">
        <v>-0.06</v>
      </c>
      <c r="BW4310">
        <v>-7.0000000000000007E-2</v>
      </c>
      <c r="BX4310">
        <v>-1.32</v>
      </c>
      <c r="BY4310">
        <v>-0.17</v>
      </c>
      <c r="BZ4310">
        <v>1.62</v>
      </c>
      <c r="CA4310">
        <v>-0.71</v>
      </c>
      <c r="CB4310">
        <v>-0.31</v>
      </c>
      <c r="CC4310">
        <v>-1.18</v>
      </c>
      <c r="CD4310">
        <v>-0.89</v>
      </c>
      <c r="CE4310">
        <v>0.66</v>
      </c>
      <c r="CF4310">
        <v>-0.5</v>
      </c>
      <c r="CG4310">
        <v>0</v>
      </c>
      <c r="CH4310">
        <v>-0.21</v>
      </c>
      <c r="CI4310">
        <v>0</v>
      </c>
      <c r="CJ4310">
        <v>-5.9</v>
      </c>
      <c r="CK4310">
        <v>86</v>
      </c>
      <c r="CL4310">
        <v>-0.56999999999999995</v>
      </c>
      <c r="CM4310">
        <v>83</v>
      </c>
      <c r="CN4310">
        <v>-0.47</v>
      </c>
      <c r="CO4310">
        <v>81</v>
      </c>
      <c r="CP4310">
        <v>-9.6999999999999993</v>
      </c>
      <c r="CQ4310">
        <v>90</v>
      </c>
      <c r="CR4310">
        <v>0</v>
      </c>
      <c r="CS4310">
        <v>0</v>
      </c>
      <c r="CT4310">
        <v>-1.7</v>
      </c>
      <c r="CU4310">
        <v>79</v>
      </c>
      <c r="CV4310">
        <v>0.05</v>
      </c>
      <c r="CW4310">
        <v>43</v>
      </c>
      <c r="CX4310" t="s">
        <v>707</v>
      </c>
    </row>
    <row r="4311" spans="1:102" x14ac:dyDescent="0.3">
      <c r="A4311" t="str">
        <f>HYPERLINK("https://webapp.icbf.com/v2/app/bull-search/view/74740779","ALH")</f>
        <v>ALH</v>
      </c>
      <c r="B4311" t="s">
        <v>3322</v>
      </c>
      <c r="C4311" t="s">
        <v>3323</v>
      </c>
      <c r="D4311" s="1">
        <v>36077</v>
      </c>
      <c r="E4311" t="s">
        <v>92</v>
      </c>
      <c r="F4311">
        <v>100</v>
      </c>
      <c r="G4311" t="s">
        <v>93</v>
      </c>
      <c r="H4311">
        <v>-111.14</v>
      </c>
      <c r="I4311">
        <v>88</v>
      </c>
      <c r="J4311">
        <v>-0.2</v>
      </c>
      <c r="K4311">
        <v>97</v>
      </c>
      <c r="L4311">
        <v>-105.71</v>
      </c>
      <c r="M4311">
        <v>82</v>
      </c>
      <c r="N4311">
        <v>3.27</v>
      </c>
      <c r="O4311">
        <v>82</v>
      </c>
      <c r="P4311">
        <v>-5.88</v>
      </c>
      <c r="Q4311">
        <v>91</v>
      </c>
      <c r="R4311">
        <v>-8.2799999999999994</v>
      </c>
      <c r="S4311">
        <v>82</v>
      </c>
      <c r="T4311">
        <v>9.68</v>
      </c>
      <c r="U4311">
        <v>84</v>
      </c>
      <c r="V4311">
        <v>-4.0199999999999996</v>
      </c>
      <c r="W4311">
        <v>75</v>
      </c>
      <c r="X4311" t="s">
        <v>94</v>
      </c>
      <c r="Y4311" t="s">
        <v>95</v>
      </c>
      <c r="Z4311" t="s">
        <v>96</v>
      </c>
      <c r="AA4311" t="s">
        <v>1696</v>
      </c>
      <c r="AB4311" t="s">
        <v>2451</v>
      </c>
      <c r="AC4311">
        <v>99</v>
      </c>
      <c r="AD4311">
        <v>71</v>
      </c>
      <c r="AE4311">
        <v>97</v>
      </c>
      <c r="AF4311">
        <v>-46.99</v>
      </c>
      <c r="AG4311">
        <v>4.12</v>
      </c>
      <c r="AH4311">
        <v>-2.21</v>
      </c>
      <c r="AI4311">
        <v>0.11</v>
      </c>
      <c r="AJ4311">
        <v>-0.01</v>
      </c>
      <c r="AK4311">
        <v>82</v>
      </c>
      <c r="AL4311">
        <v>87</v>
      </c>
      <c r="AM4311">
        <v>62</v>
      </c>
      <c r="AN4311">
        <v>4.24</v>
      </c>
      <c r="AO4311">
        <v>-4.21</v>
      </c>
      <c r="AP4311">
        <v>56</v>
      </c>
      <c r="AQ4311">
        <v>0</v>
      </c>
      <c r="AR4311">
        <v>6.06</v>
      </c>
      <c r="AS4311">
        <v>72</v>
      </c>
      <c r="AT4311">
        <v>3.48</v>
      </c>
      <c r="AU4311">
        <v>84</v>
      </c>
      <c r="AV4311">
        <v>0.55000000000000004</v>
      </c>
      <c r="AW4311">
        <v>90</v>
      </c>
      <c r="AX4311">
        <v>-0.28999999999999998</v>
      </c>
      <c r="AY4311">
        <v>78</v>
      </c>
      <c r="AZ4311">
        <v>4.9000000000000004</v>
      </c>
      <c r="BA4311">
        <v>66</v>
      </c>
      <c r="BB4311">
        <v>4.17</v>
      </c>
      <c r="BC4311">
        <v>70</v>
      </c>
      <c r="BD4311">
        <v>0.08</v>
      </c>
      <c r="BE4311">
        <v>0.03</v>
      </c>
      <c r="BF4311">
        <v>0</v>
      </c>
      <c r="BG4311">
        <v>91</v>
      </c>
      <c r="BH4311">
        <v>-0.03</v>
      </c>
      <c r="BI4311">
        <v>9.5</v>
      </c>
      <c r="BJ4311">
        <v>25</v>
      </c>
      <c r="BK4311">
        <v>19</v>
      </c>
      <c r="BL4311">
        <v>0.06</v>
      </c>
      <c r="BM4311">
        <v>2.04</v>
      </c>
      <c r="BN4311">
        <v>0.98</v>
      </c>
      <c r="BO4311">
        <v>-0.52</v>
      </c>
      <c r="BP4311">
        <v>0.57999999999999996</v>
      </c>
      <c r="BQ4311">
        <v>1.49</v>
      </c>
      <c r="BR4311">
        <v>1.35</v>
      </c>
      <c r="BS4311">
        <v>-2.16</v>
      </c>
      <c r="BT4311">
        <v>-0.72</v>
      </c>
      <c r="BU4311">
        <v>0.59</v>
      </c>
      <c r="BV4311">
        <v>0.47</v>
      </c>
      <c r="BW4311">
        <v>0.15</v>
      </c>
      <c r="BX4311">
        <v>-0.12</v>
      </c>
      <c r="BY4311">
        <v>-0.43</v>
      </c>
      <c r="BZ4311">
        <v>-1.49</v>
      </c>
      <c r="CA4311">
        <v>-0.6</v>
      </c>
      <c r="CB4311">
        <v>0.28999999999999998</v>
      </c>
      <c r="CC4311">
        <v>-1.94</v>
      </c>
      <c r="CD4311">
        <v>0.9</v>
      </c>
      <c r="CE4311">
        <v>-0.26</v>
      </c>
      <c r="CF4311">
        <v>0.63</v>
      </c>
      <c r="CG4311">
        <v>0</v>
      </c>
      <c r="CH4311">
        <v>-0.61</v>
      </c>
      <c r="CI4311">
        <v>0</v>
      </c>
      <c r="CJ4311">
        <v>-1</v>
      </c>
      <c r="CK4311">
        <v>92</v>
      </c>
      <c r="CL4311">
        <v>-0.59</v>
      </c>
      <c r="CM4311">
        <v>91</v>
      </c>
      <c r="CN4311">
        <v>-0.21</v>
      </c>
      <c r="CO4311">
        <v>89</v>
      </c>
      <c r="CP4311">
        <v>-5.8</v>
      </c>
      <c r="CQ4311">
        <v>91</v>
      </c>
      <c r="CR4311">
        <v>0</v>
      </c>
      <c r="CS4311">
        <v>0</v>
      </c>
      <c r="CT4311">
        <v>0.7</v>
      </c>
      <c r="CU4311">
        <v>84</v>
      </c>
      <c r="CV4311">
        <v>0.11</v>
      </c>
      <c r="CW4311">
        <v>44</v>
      </c>
      <c r="CX4311" t="s">
        <v>105</v>
      </c>
    </row>
    <row r="4312" spans="1:102" x14ac:dyDescent="0.3">
      <c r="A4312" t="str">
        <f>HYPERLINK("https://webapp.icbf.com/v2/app/bull-search/view/77854549","OCD")</f>
        <v>OCD</v>
      </c>
      <c r="B4312" t="s">
        <v>4370</v>
      </c>
      <c r="C4312" t="s">
        <v>4371</v>
      </c>
      <c r="D4312" s="1">
        <v>33648</v>
      </c>
      <c r="E4312" t="s">
        <v>92</v>
      </c>
      <c r="F4312">
        <v>100</v>
      </c>
      <c r="G4312" t="s">
        <v>109</v>
      </c>
      <c r="H4312">
        <v>-111.14</v>
      </c>
      <c r="I4312">
        <v>72</v>
      </c>
      <c r="J4312">
        <v>-42.57</v>
      </c>
      <c r="K4312">
        <v>78</v>
      </c>
      <c r="L4312">
        <v>-68.77</v>
      </c>
      <c r="M4312">
        <v>78</v>
      </c>
      <c r="N4312">
        <v>14.07</v>
      </c>
      <c r="O4312">
        <v>63</v>
      </c>
      <c r="P4312">
        <v>-3.96</v>
      </c>
      <c r="Q4312">
        <v>69</v>
      </c>
      <c r="R4312">
        <v>-14.54</v>
      </c>
      <c r="S4312">
        <v>66</v>
      </c>
      <c r="T4312">
        <v>8.5</v>
      </c>
      <c r="U4312">
        <v>57</v>
      </c>
      <c r="V4312">
        <v>-3.87</v>
      </c>
      <c r="W4312">
        <v>36</v>
      </c>
      <c r="X4312" t="s">
        <v>94</v>
      </c>
      <c r="Y4312" t="s">
        <v>95</v>
      </c>
      <c r="Z4312" t="s">
        <v>96</v>
      </c>
      <c r="AA4312" t="s">
        <v>132</v>
      </c>
      <c r="AB4312" t="s">
        <v>4372</v>
      </c>
      <c r="AC4312">
        <v>0</v>
      </c>
      <c r="AD4312">
        <v>0</v>
      </c>
      <c r="AE4312">
        <v>78</v>
      </c>
      <c r="AF4312">
        <v>226.77</v>
      </c>
      <c r="AG4312">
        <v>-8.42</v>
      </c>
      <c r="AH4312">
        <v>-0.79</v>
      </c>
      <c r="AI4312">
        <v>-0.28000000000000003</v>
      </c>
      <c r="AJ4312">
        <v>-0.14000000000000001</v>
      </c>
      <c r="AK4312">
        <v>78</v>
      </c>
      <c r="AL4312">
        <v>0</v>
      </c>
      <c r="AM4312">
        <v>0</v>
      </c>
      <c r="AN4312">
        <v>2.54</v>
      </c>
      <c r="AO4312">
        <v>-2.96</v>
      </c>
      <c r="AP4312">
        <v>28</v>
      </c>
      <c r="AQ4312">
        <v>1</v>
      </c>
      <c r="AR4312">
        <v>7.32</v>
      </c>
      <c r="AS4312">
        <v>47</v>
      </c>
      <c r="AT4312">
        <v>3.41</v>
      </c>
      <c r="AU4312">
        <v>84</v>
      </c>
      <c r="AV4312">
        <v>-2.33</v>
      </c>
      <c r="AW4312">
        <v>66</v>
      </c>
      <c r="AX4312">
        <v>-0.04</v>
      </c>
      <c r="AY4312">
        <v>55</v>
      </c>
      <c r="AZ4312">
        <v>7.02</v>
      </c>
      <c r="BA4312">
        <v>35</v>
      </c>
      <c r="BB4312">
        <v>5.36</v>
      </c>
      <c r="BC4312">
        <v>37</v>
      </c>
      <c r="BD4312">
        <v>0.05</v>
      </c>
      <c r="BE4312">
        <v>0.09</v>
      </c>
      <c r="BF4312">
        <v>0.08</v>
      </c>
      <c r="BG4312">
        <v>87</v>
      </c>
      <c r="BH4312">
        <v>-0.11</v>
      </c>
      <c r="BI4312">
        <v>-0.24</v>
      </c>
      <c r="BJ4312">
        <v>2</v>
      </c>
      <c r="BK4312">
        <v>1</v>
      </c>
      <c r="BL4312">
        <v>0.72</v>
      </c>
      <c r="BM4312">
        <v>1.1200000000000001</v>
      </c>
      <c r="BN4312">
        <v>1.39</v>
      </c>
      <c r="BO4312">
        <v>0.41</v>
      </c>
      <c r="BP4312">
        <v>0.11</v>
      </c>
      <c r="BQ4312">
        <v>0.11</v>
      </c>
      <c r="BR4312">
        <v>-0.21</v>
      </c>
      <c r="BS4312">
        <v>1.72</v>
      </c>
      <c r="BT4312">
        <v>0.42</v>
      </c>
      <c r="BU4312">
        <v>0.55000000000000004</v>
      </c>
      <c r="BV4312">
        <v>0.24</v>
      </c>
      <c r="BW4312">
        <v>0.42</v>
      </c>
      <c r="BX4312">
        <v>-1.03</v>
      </c>
      <c r="BY4312">
        <v>0.75</v>
      </c>
      <c r="BZ4312">
        <v>2.64</v>
      </c>
      <c r="CA4312">
        <v>0.64</v>
      </c>
      <c r="CB4312">
        <v>0.23</v>
      </c>
      <c r="CC4312">
        <v>1.3</v>
      </c>
      <c r="CD4312">
        <v>0.03</v>
      </c>
      <c r="CE4312">
        <v>1.07</v>
      </c>
      <c r="CF4312">
        <v>0.49</v>
      </c>
      <c r="CG4312">
        <v>0</v>
      </c>
      <c r="CH4312">
        <v>0.43</v>
      </c>
      <c r="CI4312">
        <v>0</v>
      </c>
      <c r="CJ4312">
        <v>-0.7</v>
      </c>
      <c r="CK4312">
        <v>71</v>
      </c>
      <c r="CL4312">
        <v>-0.61</v>
      </c>
      <c r="CM4312">
        <v>67</v>
      </c>
      <c r="CN4312">
        <v>-0.3</v>
      </c>
      <c r="CO4312">
        <v>62</v>
      </c>
      <c r="CP4312">
        <v>-1.4</v>
      </c>
      <c r="CQ4312">
        <v>70</v>
      </c>
      <c r="CR4312">
        <v>0</v>
      </c>
      <c r="CS4312">
        <v>0</v>
      </c>
      <c r="CT4312">
        <v>2.2999999999999998</v>
      </c>
      <c r="CU4312">
        <v>57</v>
      </c>
      <c r="CV4312">
        <v>0.16</v>
      </c>
      <c r="CW4312">
        <v>20</v>
      </c>
      <c r="CX4312" t="s">
        <v>914</v>
      </c>
    </row>
    <row r="4313" spans="1:102" x14ac:dyDescent="0.3">
      <c r="A4313" t="str">
        <f>HYPERLINK("https://webapp.icbf.com/v2/app/bull-search/view/69091954","ITB")</f>
        <v>ITB</v>
      </c>
      <c r="B4313" t="s">
        <v>106</v>
      </c>
      <c r="C4313" t="s">
        <v>107</v>
      </c>
      <c r="D4313" s="1">
        <v>33150</v>
      </c>
      <c r="E4313" t="s">
        <v>108</v>
      </c>
      <c r="F4313">
        <v>0</v>
      </c>
      <c r="G4313" t="s">
        <v>109</v>
      </c>
      <c r="H4313">
        <v>-111.18</v>
      </c>
      <c r="I4313">
        <v>63</v>
      </c>
      <c r="J4313">
        <v>1.99</v>
      </c>
      <c r="K4313">
        <v>76</v>
      </c>
      <c r="L4313">
        <v>-67.599999999999994</v>
      </c>
      <c r="M4313">
        <v>75</v>
      </c>
      <c r="N4313">
        <v>-37.89</v>
      </c>
      <c r="O4313">
        <v>36</v>
      </c>
      <c r="P4313">
        <v>-4.6399999999999997</v>
      </c>
      <c r="Q4313">
        <v>39</v>
      </c>
      <c r="R4313">
        <v>-12.4</v>
      </c>
      <c r="S4313">
        <v>60</v>
      </c>
      <c r="T4313">
        <v>11.68</v>
      </c>
      <c r="U4313">
        <v>33</v>
      </c>
      <c r="V4313">
        <v>-2.3199999999999998</v>
      </c>
      <c r="W4313">
        <v>27</v>
      </c>
      <c r="X4313" t="s">
        <v>110</v>
      </c>
      <c r="Y4313" t="s">
        <v>95</v>
      </c>
      <c r="Z4313" t="s">
        <v>96</v>
      </c>
      <c r="AA4313" t="s">
        <v>111</v>
      </c>
      <c r="AB4313" t="s">
        <v>112</v>
      </c>
      <c r="AC4313">
        <v>0</v>
      </c>
      <c r="AD4313">
        <v>0</v>
      </c>
      <c r="AE4313">
        <v>76</v>
      </c>
      <c r="AF4313">
        <v>-5.76</v>
      </c>
      <c r="AG4313">
        <v>3.08</v>
      </c>
      <c r="AH4313">
        <v>-0.84</v>
      </c>
      <c r="AI4313">
        <v>0.05</v>
      </c>
      <c r="AJ4313">
        <v>-0.01</v>
      </c>
      <c r="AK4313">
        <v>75</v>
      </c>
      <c r="AL4313">
        <v>0</v>
      </c>
      <c r="AM4313">
        <v>0</v>
      </c>
      <c r="AN4313">
        <v>4.5199999999999996</v>
      </c>
      <c r="AO4313">
        <v>-0.86</v>
      </c>
      <c r="AP4313">
        <v>4</v>
      </c>
      <c r="AQ4313">
        <v>1</v>
      </c>
      <c r="AR4313">
        <v>12.62</v>
      </c>
      <c r="AS4313">
        <v>27</v>
      </c>
      <c r="AT4313">
        <v>5.74</v>
      </c>
      <c r="AU4313">
        <v>55</v>
      </c>
      <c r="AV4313">
        <v>-0.67</v>
      </c>
      <c r="AW4313">
        <v>29</v>
      </c>
      <c r="AX4313">
        <v>-0.49</v>
      </c>
      <c r="AY4313">
        <v>38</v>
      </c>
      <c r="AZ4313">
        <v>5.74</v>
      </c>
      <c r="BA4313">
        <v>27</v>
      </c>
      <c r="BB4313">
        <v>4.6500000000000004</v>
      </c>
      <c r="BC4313">
        <v>28</v>
      </c>
      <c r="BD4313">
        <v>0.03</v>
      </c>
      <c r="BE4313">
        <v>0.05</v>
      </c>
      <c r="BF4313">
        <v>0.14000000000000001</v>
      </c>
      <c r="BG4313">
        <v>87</v>
      </c>
      <c r="BH4313">
        <v>0.03</v>
      </c>
      <c r="BI4313">
        <v>10.96</v>
      </c>
      <c r="BJ4313">
        <v>0</v>
      </c>
      <c r="BK4313">
        <v>0</v>
      </c>
      <c r="BL4313">
        <v>0.1</v>
      </c>
      <c r="BM4313">
        <v>-0.12</v>
      </c>
      <c r="BN4313">
        <v>0.77</v>
      </c>
      <c r="BO4313">
        <v>0.48</v>
      </c>
      <c r="BP4313">
        <v>0.17</v>
      </c>
      <c r="BQ4313">
        <v>-1.1299999999999999</v>
      </c>
      <c r="BR4313">
        <v>0.94</v>
      </c>
      <c r="BS4313">
        <v>0.37</v>
      </c>
      <c r="BT4313">
        <v>-1.24</v>
      </c>
      <c r="BU4313">
        <v>0.36</v>
      </c>
      <c r="BV4313">
        <v>0.84</v>
      </c>
      <c r="BW4313">
        <v>0.87</v>
      </c>
      <c r="BX4313">
        <v>0.77</v>
      </c>
      <c r="BY4313">
        <v>-0.42</v>
      </c>
      <c r="BZ4313">
        <v>0.19</v>
      </c>
      <c r="CA4313">
        <v>0.54</v>
      </c>
      <c r="CB4313">
        <v>0.63</v>
      </c>
      <c r="CC4313">
        <v>0.19</v>
      </c>
      <c r="CD4313">
        <v>-0.84</v>
      </c>
      <c r="CE4313">
        <v>0</v>
      </c>
      <c r="CF4313">
        <v>0</v>
      </c>
      <c r="CG4313">
        <v>0</v>
      </c>
      <c r="CH4313">
        <v>0</v>
      </c>
      <c r="CI4313">
        <v>0</v>
      </c>
      <c r="CJ4313">
        <v>-1.2</v>
      </c>
      <c r="CK4313">
        <v>41</v>
      </c>
      <c r="CL4313">
        <v>-0.71</v>
      </c>
      <c r="CM4313">
        <v>38</v>
      </c>
      <c r="CN4313">
        <v>-0.4</v>
      </c>
      <c r="CO4313">
        <v>37</v>
      </c>
      <c r="CP4313">
        <v>-2.2999999999999998</v>
      </c>
      <c r="CQ4313">
        <v>36</v>
      </c>
      <c r="CR4313">
        <v>0</v>
      </c>
      <c r="CS4313">
        <v>0</v>
      </c>
      <c r="CT4313">
        <v>-2</v>
      </c>
      <c r="CU4313">
        <v>33</v>
      </c>
      <c r="CV4313">
        <v>0.16</v>
      </c>
      <c r="CW4313">
        <v>12</v>
      </c>
      <c r="CX4313" t="s">
        <v>113</v>
      </c>
    </row>
    <row r="4314" spans="1:102" x14ac:dyDescent="0.3">
      <c r="A4314" t="str">
        <f>HYPERLINK("https://webapp.icbf.com/v2/app/bull-search/view/77859964","BTB")</f>
        <v>BTB</v>
      </c>
      <c r="B4314" t="s">
        <v>3582</v>
      </c>
      <c r="C4314" t="s">
        <v>3583</v>
      </c>
      <c r="D4314" s="1">
        <v>33962</v>
      </c>
      <c r="E4314" t="s">
        <v>92</v>
      </c>
      <c r="F4314">
        <v>100</v>
      </c>
      <c r="G4314" t="s">
        <v>93</v>
      </c>
      <c r="H4314">
        <v>-111.21</v>
      </c>
      <c r="I4314">
        <v>65</v>
      </c>
      <c r="J4314">
        <v>12.31</v>
      </c>
      <c r="K4314">
        <v>87</v>
      </c>
      <c r="L4314">
        <v>-82.97</v>
      </c>
      <c r="M4314">
        <v>55</v>
      </c>
      <c r="N4314">
        <v>-39.33</v>
      </c>
      <c r="O4314">
        <v>48</v>
      </c>
      <c r="P4314">
        <v>2.58</v>
      </c>
      <c r="Q4314">
        <v>61</v>
      </c>
      <c r="R4314">
        <v>-13.72</v>
      </c>
      <c r="S4314">
        <v>60</v>
      </c>
      <c r="T4314">
        <v>11.61</v>
      </c>
      <c r="U4314">
        <v>61</v>
      </c>
      <c r="V4314">
        <v>-1.69</v>
      </c>
      <c r="W4314">
        <v>21</v>
      </c>
      <c r="X4314" t="s">
        <v>94</v>
      </c>
      <c r="Y4314" t="s">
        <v>95</v>
      </c>
      <c r="Z4314" t="s">
        <v>96</v>
      </c>
      <c r="AA4314" t="s">
        <v>3584</v>
      </c>
      <c r="AB4314" t="s">
        <v>3585</v>
      </c>
      <c r="AC4314">
        <v>38</v>
      </c>
      <c r="AD4314">
        <v>33</v>
      </c>
      <c r="AE4314">
        <v>87</v>
      </c>
      <c r="AF4314">
        <v>-56.5</v>
      </c>
      <c r="AG4314">
        <v>9.27</v>
      </c>
      <c r="AH4314">
        <v>-2.0499999999999998</v>
      </c>
      <c r="AI4314">
        <v>0.19</v>
      </c>
      <c r="AJ4314">
        <v>0</v>
      </c>
      <c r="AK4314">
        <v>55</v>
      </c>
      <c r="AL4314">
        <v>54</v>
      </c>
      <c r="AM4314">
        <v>40</v>
      </c>
      <c r="AN4314">
        <v>5.0199999999999996</v>
      </c>
      <c r="AO4314">
        <v>-1.59</v>
      </c>
      <c r="AP4314">
        <v>0</v>
      </c>
      <c r="AQ4314">
        <v>2</v>
      </c>
      <c r="AR4314">
        <v>9.15</v>
      </c>
      <c r="AS4314">
        <v>25</v>
      </c>
      <c r="AT4314">
        <v>3.97</v>
      </c>
      <c r="AU4314">
        <v>42</v>
      </c>
      <c r="AV4314">
        <v>1.85</v>
      </c>
      <c r="AW4314">
        <v>59</v>
      </c>
      <c r="AX4314">
        <v>0.52</v>
      </c>
      <c r="AY4314">
        <v>55</v>
      </c>
      <c r="AZ4314">
        <v>7.57</v>
      </c>
      <c r="BA4314">
        <v>26</v>
      </c>
      <c r="BB4314">
        <v>6.6</v>
      </c>
      <c r="BC4314">
        <v>40</v>
      </c>
      <c r="BD4314">
        <v>0.02</v>
      </c>
      <c r="BE4314">
        <v>0.08</v>
      </c>
      <c r="BF4314">
        <v>0.13</v>
      </c>
      <c r="BG4314">
        <v>79</v>
      </c>
      <c r="BH4314">
        <v>0.03</v>
      </c>
      <c r="BI4314">
        <v>8.93</v>
      </c>
      <c r="BJ4314">
        <v>9</v>
      </c>
      <c r="BK4314">
        <v>7</v>
      </c>
      <c r="BL4314">
        <v>0.02</v>
      </c>
      <c r="BM4314">
        <v>0.46</v>
      </c>
      <c r="BN4314">
        <v>0.48</v>
      </c>
      <c r="BO4314">
        <v>0</v>
      </c>
      <c r="BP4314">
        <v>0.5</v>
      </c>
      <c r="BQ4314">
        <v>-1.24</v>
      </c>
      <c r="BR4314">
        <v>0.87</v>
      </c>
      <c r="BS4314">
        <v>-0.39</v>
      </c>
      <c r="BT4314">
        <v>-1.1100000000000001</v>
      </c>
      <c r="BU4314">
        <v>-0.63</v>
      </c>
      <c r="BV4314">
        <v>-0.17</v>
      </c>
      <c r="BW4314">
        <v>0.53</v>
      </c>
      <c r="BX4314">
        <v>-0.34</v>
      </c>
      <c r="BY4314">
        <v>0.13</v>
      </c>
      <c r="BZ4314">
        <v>-0.83</v>
      </c>
      <c r="CA4314">
        <v>0.02</v>
      </c>
      <c r="CB4314">
        <v>-0.02</v>
      </c>
      <c r="CC4314">
        <v>0.12</v>
      </c>
      <c r="CD4314">
        <v>0.01</v>
      </c>
      <c r="CE4314">
        <v>-0.16</v>
      </c>
      <c r="CF4314">
        <v>0.19</v>
      </c>
      <c r="CG4314">
        <v>0</v>
      </c>
      <c r="CH4314">
        <v>0.77</v>
      </c>
      <c r="CI4314">
        <v>0</v>
      </c>
      <c r="CJ4314">
        <v>0.1</v>
      </c>
      <c r="CK4314">
        <v>63</v>
      </c>
      <c r="CL4314">
        <v>-0.22</v>
      </c>
      <c r="CM4314">
        <v>58</v>
      </c>
      <c r="CN4314">
        <v>-0.45</v>
      </c>
      <c r="CO4314">
        <v>53</v>
      </c>
      <c r="CP4314">
        <v>-3.7</v>
      </c>
      <c r="CQ4314">
        <v>68</v>
      </c>
      <c r="CR4314">
        <v>0</v>
      </c>
      <c r="CS4314">
        <v>0</v>
      </c>
      <c r="CT4314">
        <v>-1.9</v>
      </c>
      <c r="CU4314">
        <v>61</v>
      </c>
      <c r="CV4314">
        <v>0.06</v>
      </c>
      <c r="CW4314">
        <v>16</v>
      </c>
      <c r="CX4314" t="s">
        <v>3586</v>
      </c>
    </row>
    <row r="4315" spans="1:102" x14ac:dyDescent="0.3">
      <c r="A4315" t="str">
        <f>HYPERLINK("https://webapp.icbf.com/v2/app/bull-search/view/77854660","PAR")</f>
        <v>PAR</v>
      </c>
      <c r="B4315" t="s">
        <v>10370</v>
      </c>
      <c r="C4315" t="s">
        <v>10371</v>
      </c>
      <c r="D4315" s="1">
        <v>31816</v>
      </c>
      <c r="E4315" t="s">
        <v>108</v>
      </c>
      <c r="F4315">
        <v>9</v>
      </c>
      <c r="G4315" t="s">
        <v>93</v>
      </c>
      <c r="H4315">
        <v>-111.21</v>
      </c>
      <c r="I4315">
        <v>62</v>
      </c>
      <c r="J4315">
        <v>-68.989999999999995</v>
      </c>
      <c r="K4315">
        <v>74</v>
      </c>
      <c r="L4315">
        <v>-53.96</v>
      </c>
      <c r="M4315">
        <v>68</v>
      </c>
      <c r="N4315">
        <v>8.32</v>
      </c>
      <c r="O4315">
        <v>39</v>
      </c>
      <c r="P4315">
        <v>-7</v>
      </c>
      <c r="Q4315">
        <v>59</v>
      </c>
      <c r="R4315">
        <v>-7.09</v>
      </c>
      <c r="S4315">
        <v>60</v>
      </c>
      <c r="T4315">
        <v>18.34</v>
      </c>
      <c r="U4315">
        <v>43</v>
      </c>
      <c r="V4315">
        <v>-0.83</v>
      </c>
      <c r="W4315">
        <v>12</v>
      </c>
      <c r="X4315" t="s">
        <v>94</v>
      </c>
      <c r="Y4315" t="s">
        <v>95</v>
      </c>
      <c r="Z4315" t="s">
        <v>96</v>
      </c>
      <c r="AA4315" t="s">
        <v>851</v>
      </c>
      <c r="AB4315" t="s">
        <v>10372</v>
      </c>
      <c r="AC4315">
        <v>16</v>
      </c>
      <c r="AD4315">
        <v>14</v>
      </c>
      <c r="AE4315">
        <v>74</v>
      </c>
      <c r="AF4315">
        <v>-328.34</v>
      </c>
      <c r="AG4315">
        <v>-12.32</v>
      </c>
      <c r="AH4315">
        <v>-12.4</v>
      </c>
      <c r="AI4315">
        <v>0.01</v>
      </c>
      <c r="AJ4315">
        <v>-0.02</v>
      </c>
      <c r="AK4315">
        <v>68</v>
      </c>
      <c r="AL4315">
        <v>181</v>
      </c>
      <c r="AM4315">
        <v>78</v>
      </c>
      <c r="AN4315">
        <v>1.62</v>
      </c>
      <c r="AO4315">
        <v>-2.7</v>
      </c>
      <c r="AP4315">
        <v>6</v>
      </c>
      <c r="AQ4315">
        <v>0</v>
      </c>
      <c r="AR4315">
        <v>7.56</v>
      </c>
      <c r="AS4315">
        <v>22</v>
      </c>
      <c r="AT4315">
        <v>3.13</v>
      </c>
      <c r="AU4315">
        <v>24</v>
      </c>
      <c r="AV4315">
        <v>-0.65</v>
      </c>
      <c r="AW4315">
        <v>56</v>
      </c>
      <c r="AX4315">
        <v>0.26</v>
      </c>
      <c r="AY4315">
        <v>53</v>
      </c>
      <c r="AZ4315">
        <v>5.71</v>
      </c>
      <c r="BA4315">
        <v>12</v>
      </c>
      <c r="BB4315">
        <v>4.43</v>
      </c>
      <c r="BC4315">
        <v>19</v>
      </c>
      <c r="BD4315">
        <v>0.06</v>
      </c>
      <c r="BE4315">
        <v>7.0000000000000007E-2</v>
      </c>
      <c r="BF4315">
        <v>-7.0000000000000007E-2</v>
      </c>
      <c r="BG4315">
        <v>88</v>
      </c>
      <c r="BH4315">
        <v>-0.02</v>
      </c>
      <c r="BI4315">
        <v>0.35</v>
      </c>
      <c r="BJ4315">
        <v>26</v>
      </c>
      <c r="BK4315">
        <v>20</v>
      </c>
      <c r="BL4315">
        <v>-2.64</v>
      </c>
      <c r="BM4315">
        <v>1.37</v>
      </c>
      <c r="BN4315">
        <v>-1.65</v>
      </c>
      <c r="BO4315">
        <v>-2.35</v>
      </c>
      <c r="BP4315">
        <v>0.74</v>
      </c>
      <c r="BQ4315">
        <v>-0.33</v>
      </c>
      <c r="BR4315">
        <v>-0.95</v>
      </c>
      <c r="BS4315">
        <v>-0.06</v>
      </c>
      <c r="BT4315">
        <v>-0.95</v>
      </c>
      <c r="BU4315">
        <v>-2.06</v>
      </c>
      <c r="BV4315">
        <v>-2.42</v>
      </c>
      <c r="BW4315">
        <v>-2.85</v>
      </c>
      <c r="BX4315">
        <v>-2.5299999999999998</v>
      </c>
      <c r="BY4315">
        <v>-2.41</v>
      </c>
      <c r="BZ4315">
        <v>-0.46</v>
      </c>
      <c r="CA4315">
        <v>-2.27</v>
      </c>
      <c r="CB4315">
        <v>-2.39</v>
      </c>
      <c r="CC4315">
        <v>-1.06</v>
      </c>
      <c r="CD4315">
        <v>2.4700000000000002</v>
      </c>
      <c r="CE4315">
        <v>-2.5099999999999998</v>
      </c>
      <c r="CF4315">
        <v>-2.11</v>
      </c>
      <c r="CG4315">
        <v>0</v>
      </c>
      <c r="CH4315">
        <v>-2.33</v>
      </c>
      <c r="CI4315">
        <v>0</v>
      </c>
      <c r="CJ4315">
        <v>-3.4</v>
      </c>
      <c r="CK4315">
        <v>61</v>
      </c>
      <c r="CL4315">
        <v>-0.36</v>
      </c>
      <c r="CM4315">
        <v>57</v>
      </c>
      <c r="CN4315">
        <v>-0.22</v>
      </c>
      <c r="CO4315">
        <v>53</v>
      </c>
      <c r="CP4315">
        <v>-7.8</v>
      </c>
      <c r="CQ4315">
        <v>56</v>
      </c>
      <c r="CR4315">
        <v>0</v>
      </c>
      <c r="CS4315">
        <v>0</v>
      </c>
      <c r="CT4315">
        <v>-11</v>
      </c>
      <c r="CU4315">
        <v>43</v>
      </c>
      <c r="CV4315">
        <v>0.03</v>
      </c>
      <c r="CW4315">
        <v>16</v>
      </c>
      <c r="CX4315" t="s">
        <v>10373</v>
      </c>
    </row>
    <row r="4316" spans="1:102" x14ac:dyDescent="0.3">
      <c r="A4316" t="str">
        <f>HYPERLINK("https://webapp.icbf.com/v2/app/bull-search/view/529828002","STJ")</f>
        <v>STJ</v>
      </c>
      <c r="B4316" t="s">
        <v>11729</v>
      </c>
      <c r="C4316" t="s">
        <v>2131</v>
      </c>
      <c r="D4316" s="1">
        <v>37238</v>
      </c>
      <c r="E4316" t="s">
        <v>92</v>
      </c>
      <c r="F4316">
        <v>100</v>
      </c>
      <c r="G4316" t="s">
        <v>93</v>
      </c>
      <c r="H4316">
        <v>-111.43</v>
      </c>
      <c r="I4316">
        <v>93</v>
      </c>
      <c r="J4316">
        <v>67.56</v>
      </c>
      <c r="K4316">
        <v>98</v>
      </c>
      <c r="L4316">
        <v>-174.84</v>
      </c>
      <c r="M4316">
        <v>92</v>
      </c>
      <c r="N4316">
        <v>-2.69</v>
      </c>
      <c r="O4316">
        <v>90</v>
      </c>
      <c r="P4316">
        <v>-3.2</v>
      </c>
      <c r="Q4316">
        <v>94</v>
      </c>
      <c r="R4316">
        <v>-2.52</v>
      </c>
      <c r="S4316">
        <v>86</v>
      </c>
      <c r="T4316">
        <v>-3.12</v>
      </c>
      <c r="U4316">
        <v>90</v>
      </c>
      <c r="V4316">
        <v>7.38</v>
      </c>
      <c r="W4316">
        <v>83</v>
      </c>
      <c r="X4316" t="s">
        <v>276</v>
      </c>
      <c r="Y4316" t="s">
        <v>270</v>
      </c>
      <c r="Z4316" t="s">
        <v>96</v>
      </c>
      <c r="AA4316" t="s">
        <v>273</v>
      </c>
      <c r="AB4316" t="s">
        <v>11730</v>
      </c>
      <c r="AC4316">
        <v>162</v>
      </c>
      <c r="AD4316">
        <v>63</v>
      </c>
      <c r="AE4316">
        <v>98</v>
      </c>
      <c r="AF4316">
        <v>559.25</v>
      </c>
      <c r="AG4316">
        <v>6.36</v>
      </c>
      <c r="AH4316">
        <v>17.8</v>
      </c>
      <c r="AI4316">
        <v>-0.25</v>
      </c>
      <c r="AJ4316">
        <v>-0.02</v>
      </c>
      <c r="AK4316">
        <v>92</v>
      </c>
      <c r="AL4316">
        <v>151</v>
      </c>
      <c r="AM4316">
        <v>63</v>
      </c>
      <c r="AN4316">
        <v>9.7799999999999994</v>
      </c>
      <c r="AO4316">
        <v>-4.16</v>
      </c>
      <c r="AP4316">
        <v>278</v>
      </c>
      <c r="AQ4316">
        <v>3</v>
      </c>
      <c r="AR4316">
        <v>8.9700000000000006</v>
      </c>
      <c r="AS4316">
        <v>81</v>
      </c>
      <c r="AT4316">
        <v>4.13</v>
      </c>
      <c r="AU4316">
        <v>98</v>
      </c>
      <c r="AV4316">
        <v>-1.88</v>
      </c>
      <c r="AW4316">
        <v>95</v>
      </c>
      <c r="AX4316">
        <v>0.56999999999999995</v>
      </c>
      <c r="AY4316">
        <v>88</v>
      </c>
      <c r="AZ4316">
        <v>6.46</v>
      </c>
      <c r="BA4316">
        <v>76</v>
      </c>
      <c r="BB4316">
        <v>5.47</v>
      </c>
      <c r="BC4316">
        <v>74</v>
      </c>
      <c r="BD4316">
        <v>0.03</v>
      </c>
      <c r="BE4316">
        <v>0.02</v>
      </c>
      <c r="BF4316">
        <v>-0.03</v>
      </c>
      <c r="BG4316">
        <v>96</v>
      </c>
      <c r="BH4316">
        <v>0.1</v>
      </c>
      <c r="BI4316">
        <v>-12.25</v>
      </c>
      <c r="BJ4316">
        <v>51</v>
      </c>
      <c r="BK4316">
        <v>19</v>
      </c>
      <c r="BL4316">
        <v>1.27</v>
      </c>
      <c r="BM4316">
        <v>0.25</v>
      </c>
      <c r="BN4316">
        <v>1.54</v>
      </c>
      <c r="BO4316">
        <v>1.4</v>
      </c>
      <c r="BP4316">
        <v>2.12</v>
      </c>
      <c r="BQ4316">
        <v>1.44</v>
      </c>
      <c r="BR4316">
        <v>-0.66</v>
      </c>
      <c r="BS4316">
        <v>0.87</v>
      </c>
      <c r="BT4316">
        <v>0.25</v>
      </c>
      <c r="BU4316">
        <v>0.31</v>
      </c>
      <c r="BV4316">
        <v>1.52</v>
      </c>
      <c r="BW4316">
        <v>1.19</v>
      </c>
      <c r="BX4316">
        <v>-0.11</v>
      </c>
      <c r="BY4316">
        <v>1.39</v>
      </c>
      <c r="BZ4316">
        <v>0.75</v>
      </c>
      <c r="CA4316">
        <v>1.25</v>
      </c>
      <c r="CB4316">
        <v>1.32</v>
      </c>
      <c r="CC4316">
        <v>1.07</v>
      </c>
      <c r="CD4316">
        <v>-0.42</v>
      </c>
      <c r="CE4316">
        <v>1.69</v>
      </c>
      <c r="CF4316">
        <v>1.82</v>
      </c>
      <c r="CG4316">
        <v>0</v>
      </c>
      <c r="CH4316">
        <v>0.95</v>
      </c>
      <c r="CI4316">
        <v>0</v>
      </c>
      <c r="CJ4316">
        <v>2.2000000000000002</v>
      </c>
      <c r="CK4316">
        <v>95</v>
      </c>
      <c r="CL4316">
        <v>-1.01</v>
      </c>
      <c r="CM4316">
        <v>94</v>
      </c>
      <c r="CN4316">
        <v>-0.31</v>
      </c>
      <c r="CO4316">
        <v>93</v>
      </c>
      <c r="CP4316">
        <v>3.7</v>
      </c>
      <c r="CQ4316">
        <v>92</v>
      </c>
      <c r="CR4316">
        <v>0</v>
      </c>
      <c r="CS4316">
        <v>0</v>
      </c>
      <c r="CT4316">
        <v>18</v>
      </c>
      <c r="CU4316">
        <v>90</v>
      </c>
      <c r="CV4316">
        <v>0.32</v>
      </c>
      <c r="CW4316">
        <v>45</v>
      </c>
      <c r="CX4316" t="s">
        <v>216</v>
      </c>
    </row>
    <row r="4317" spans="1:102" x14ac:dyDescent="0.3">
      <c r="A4317" t="str">
        <f>HYPERLINK("https://webapp.icbf.com/v2/app/bull-search/view/77854612","ORC")</f>
        <v>ORC</v>
      </c>
      <c r="B4317" t="s">
        <v>15318</v>
      </c>
      <c r="C4317" t="s">
        <v>4248</v>
      </c>
      <c r="D4317" s="1">
        <v>34392</v>
      </c>
      <c r="E4317" t="s">
        <v>92</v>
      </c>
      <c r="F4317">
        <v>100</v>
      </c>
      <c r="G4317" t="s">
        <v>93</v>
      </c>
      <c r="H4317">
        <v>-111.48</v>
      </c>
      <c r="I4317">
        <v>96</v>
      </c>
      <c r="J4317">
        <v>-29.11</v>
      </c>
      <c r="K4317">
        <v>99</v>
      </c>
      <c r="L4317">
        <v>-38.770000000000003</v>
      </c>
      <c r="M4317">
        <v>95</v>
      </c>
      <c r="N4317">
        <v>-45.9</v>
      </c>
      <c r="O4317">
        <v>96</v>
      </c>
      <c r="P4317">
        <v>-1.1000000000000001</v>
      </c>
      <c r="Q4317">
        <v>98</v>
      </c>
      <c r="R4317">
        <v>-2.13</v>
      </c>
      <c r="S4317">
        <v>92</v>
      </c>
      <c r="T4317">
        <v>3.24</v>
      </c>
      <c r="U4317">
        <v>97</v>
      </c>
      <c r="V4317">
        <v>2.29</v>
      </c>
      <c r="W4317">
        <v>88</v>
      </c>
      <c r="X4317" t="s">
        <v>131</v>
      </c>
      <c r="Y4317" t="s">
        <v>95</v>
      </c>
      <c r="Z4317" t="s">
        <v>96</v>
      </c>
      <c r="AA4317" t="s">
        <v>1185</v>
      </c>
      <c r="AB4317" t="s">
        <v>10895</v>
      </c>
      <c r="AC4317">
        <v>546</v>
      </c>
      <c r="AD4317">
        <v>209</v>
      </c>
      <c r="AE4317">
        <v>99</v>
      </c>
      <c r="AF4317">
        <v>271.2</v>
      </c>
      <c r="AG4317">
        <v>3.31</v>
      </c>
      <c r="AH4317">
        <v>-1.97</v>
      </c>
      <c r="AI4317">
        <v>-0.12</v>
      </c>
      <c r="AJ4317">
        <v>-0.19</v>
      </c>
      <c r="AK4317">
        <v>95</v>
      </c>
      <c r="AL4317">
        <v>509</v>
      </c>
      <c r="AM4317">
        <v>187</v>
      </c>
      <c r="AN4317">
        <v>3.84</v>
      </c>
      <c r="AO4317">
        <v>0.77</v>
      </c>
      <c r="AP4317">
        <v>814</v>
      </c>
      <c r="AQ4317">
        <v>4</v>
      </c>
      <c r="AR4317">
        <v>13.04</v>
      </c>
      <c r="AS4317">
        <v>94</v>
      </c>
      <c r="AT4317">
        <v>6.44</v>
      </c>
      <c r="AU4317">
        <v>99</v>
      </c>
      <c r="AV4317">
        <v>-1.1000000000000001</v>
      </c>
      <c r="AW4317">
        <v>98</v>
      </c>
      <c r="AX4317">
        <v>-0.03</v>
      </c>
      <c r="AY4317">
        <v>96</v>
      </c>
      <c r="AZ4317">
        <v>5.23</v>
      </c>
      <c r="BA4317">
        <v>90</v>
      </c>
      <c r="BB4317">
        <v>4.3600000000000003</v>
      </c>
      <c r="BC4317">
        <v>90</v>
      </c>
      <c r="BD4317">
        <v>-0.03</v>
      </c>
      <c r="BE4317">
        <v>0.01</v>
      </c>
      <c r="BF4317">
        <v>0.08</v>
      </c>
      <c r="BG4317">
        <v>98</v>
      </c>
      <c r="BH4317">
        <v>0.18</v>
      </c>
      <c r="BI4317">
        <v>13.44</v>
      </c>
      <c r="BJ4317">
        <v>286</v>
      </c>
      <c r="BK4317">
        <v>89</v>
      </c>
      <c r="BL4317">
        <v>1.23</v>
      </c>
      <c r="BM4317">
        <v>0.08</v>
      </c>
      <c r="BN4317">
        <v>0.91</v>
      </c>
      <c r="BO4317">
        <v>1.06</v>
      </c>
      <c r="BP4317">
        <v>3</v>
      </c>
      <c r="BQ4317">
        <v>1.72</v>
      </c>
      <c r="BR4317">
        <v>-2.0499999999999998</v>
      </c>
      <c r="BS4317">
        <v>3.35</v>
      </c>
      <c r="BT4317">
        <v>2.27</v>
      </c>
      <c r="BU4317">
        <v>1.3</v>
      </c>
      <c r="BV4317">
        <v>1.31</v>
      </c>
      <c r="BW4317">
        <v>0.77</v>
      </c>
      <c r="BX4317">
        <v>0.89</v>
      </c>
      <c r="BY4317">
        <v>1.72</v>
      </c>
      <c r="BZ4317">
        <v>-0.23</v>
      </c>
      <c r="CA4317">
        <v>2.16</v>
      </c>
      <c r="CB4317">
        <v>1.64</v>
      </c>
      <c r="CC4317">
        <v>2.42</v>
      </c>
      <c r="CD4317">
        <v>0.26</v>
      </c>
      <c r="CE4317">
        <v>1.03</v>
      </c>
      <c r="CF4317">
        <v>1.63</v>
      </c>
      <c r="CG4317">
        <v>0</v>
      </c>
      <c r="CH4317">
        <v>1.69</v>
      </c>
      <c r="CI4317">
        <v>0</v>
      </c>
      <c r="CJ4317">
        <v>-0.5</v>
      </c>
      <c r="CK4317">
        <v>98</v>
      </c>
      <c r="CL4317">
        <v>-0.83</v>
      </c>
      <c r="CM4317">
        <v>98</v>
      </c>
      <c r="CN4317">
        <v>-0.63</v>
      </c>
      <c r="CO4317">
        <v>98</v>
      </c>
      <c r="CP4317">
        <v>5.2</v>
      </c>
      <c r="CQ4317">
        <v>98</v>
      </c>
      <c r="CR4317">
        <v>0</v>
      </c>
      <c r="CS4317">
        <v>0</v>
      </c>
      <c r="CT4317">
        <v>9.4</v>
      </c>
      <c r="CU4317">
        <v>97</v>
      </c>
      <c r="CV4317">
        <v>0.14000000000000001</v>
      </c>
      <c r="CW4317">
        <v>46</v>
      </c>
      <c r="CX4317" t="s">
        <v>111</v>
      </c>
    </row>
    <row r="4318" spans="1:102" x14ac:dyDescent="0.3">
      <c r="A4318" t="str">
        <f>HYPERLINK("https://webapp.icbf.com/v2/app/bull-search/view/77858170","EIM")</f>
        <v>EIM</v>
      </c>
      <c r="B4318" t="s">
        <v>3665</v>
      </c>
      <c r="C4318" t="s">
        <v>1696</v>
      </c>
      <c r="D4318" s="1">
        <v>33871</v>
      </c>
      <c r="E4318" t="s">
        <v>92</v>
      </c>
      <c r="F4318">
        <v>100</v>
      </c>
      <c r="G4318" t="s">
        <v>93</v>
      </c>
      <c r="H4318">
        <v>-111.55</v>
      </c>
      <c r="I4318">
        <v>96</v>
      </c>
      <c r="J4318">
        <v>6.05</v>
      </c>
      <c r="K4318">
        <v>99</v>
      </c>
      <c r="L4318">
        <v>-99.43</v>
      </c>
      <c r="M4318">
        <v>94</v>
      </c>
      <c r="N4318">
        <v>-3.07</v>
      </c>
      <c r="O4318">
        <v>97</v>
      </c>
      <c r="P4318">
        <v>3.26</v>
      </c>
      <c r="Q4318">
        <v>99</v>
      </c>
      <c r="R4318">
        <v>-19.760000000000002</v>
      </c>
      <c r="S4318">
        <v>93</v>
      </c>
      <c r="T4318">
        <v>2.5</v>
      </c>
      <c r="U4318">
        <v>97</v>
      </c>
      <c r="V4318">
        <v>-1.1000000000000001</v>
      </c>
      <c r="W4318">
        <v>92</v>
      </c>
      <c r="X4318" t="s">
        <v>251</v>
      </c>
      <c r="Y4318" t="s">
        <v>95</v>
      </c>
      <c r="Z4318" t="s">
        <v>96</v>
      </c>
      <c r="AA4318" t="s">
        <v>485</v>
      </c>
      <c r="AB4318" t="s">
        <v>3666</v>
      </c>
      <c r="AC4318">
        <v>1077</v>
      </c>
      <c r="AD4318">
        <v>461</v>
      </c>
      <c r="AE4318">
        <v>99</v>
      </c>
      <c r="AF4318">
        <v>287</v>
      </c>
      <c r="AG4318">
        <v>1.87</v>
      </c>
      <c r="AH4318">
        <v>4.76</v>
      </c>
      <c r="AI4318">
        <v>-0.16</v>
      </c>
      <c r="AJ4318">
        <v>-0.08</v>
      </c>
      <c r="AK4318">
        <v>94</v>
      </c>
      <c r="AL4318">
        <v>1039</v>
      </c>
      <c r="AM4318">
        <v>428</v>
      </c>
      <c r="AN4318">
        <v>3.8</v>
      </c>
      <c r="AO4318">
        <v>-4.1500000000000004</v>
      </c>
      <c r="AP4318">
        <v>530</v>
      </c>
      <c r="AQ4318">
        <v>0</v>
      </c>
      <c r="AR4318">
        <v>6.95</v>
      </c>
      <c r="AS4318">
        <v>94</v>
      </c>
      <c r="AT4318">
        <v>4.0199999999999996</v>
      </c>
      <c r="AU4318">
        <v>99</v>
      </c>
      <c r="AV4318">
        <v>-0.06</v>
      </c>
      <c r="AW4318">
        <v>98</v>
      </c>
      <c r="AX4318">
        <v>-0.23</v>
      </c>
      <c r="AY4318">
        <v>98</v>
      </c>
      <c r="AZ4318">
        <v>6.63</v>
      </c>
      <c r="BA4318">
        <v>93</v>
      </c>
      <c r="BB4318">
        <v>4.47</v>
      </c>
      <c r="BC4318">
        <v>95</v>
      </c>
      <c r="BD4318">
        <v>0.08</v>
      </c>
      <c r="BE4318">
        <v>0.09</v>
      </c>
      <c r="BF4318">
        <v>0.15</v>
      </c>
      <c r="BG4318">
        <v>98</v>
      </c>
      <c r="BH4318">
        <v>0.08</v>
      </c>
      <c r="BI4318">
        <v>12.81</v>
      </c>
      <c r="BJ4318">
        <v>116</v>
      </c>
      <c r="BK4318">
        <v>73</v>
      </c>
      <c r="BL4318">
        <v>0.66</v>
      </c>
      <c r="BM4318">
        <v>2.02</v>
      </c>
      <c r="BN4318">
        <v>1.03</v>
      </c>
      <c r="BO4318">
        <v>-0.24</v>
      </c>
      <c r="BP4318">
        <v>1.78</v>
      </c>
      <c r="BQ4318">
        <v>0.33</v>
      </c>
      <c r="BR4318">
        <v>1.27</v>
      </c>
      <c r="BS4318">
        <v>-0.09</v>
      </c>
      <c r="BT4318">
        <v>-0.75</v>
      </c>
      <c r="BU4318">
        <v>0.27</v>
      </c>
      <c r="BV4318">
        <v>7.0000000000000007E-2</v>
      </c>
      <c r="BW4318">
        <v>-0.16</v>
      </c>
      <c r="BX4318">
        <v>-0.49</v>
      </c>
      <c r="BY4318">
        <v>0.32</v>
      </c>
      <c r="BZ4318">
        <v>-3.01</v>
      </c>
      <c r="CA4318">
        <v>0.24</v>
      </c>
      <c r="CB4318">
        <v>0.25</v>
      </c>
      <c r="CC4318">
        <v>0.05</v>
      </c>
      <c r="CD4318">
        <v>1.36</v>
      </c>
      <c r="CE4318">
        <v>0</v>
      </c>
      <c r="CF4318">
        <v>1.21</v>
      </c>
      <c r="CG4318">
        <v>0</v>
      </c>
      <c r="CH4318">
        <v>0.48</v>
      </c>
      <c r="CI4318">
        <v>0</v>
      </c>
      <c r="CJ4318">
        <v>4.8</v>
      </c>
      <c r="CK4318">
        <v>99</v>
      </c>
      <c r="CL4318">
        <v>-0.64</v>
      </c>
      <c r="CM4318">
        <v>99</v>
      </c>
      <c r="CN4318">
        <v>-0.24</v>
      </c>
      <c r="CO4318">
        <v>99</v>
      </c>
      <c r="CP4318">
        <v>2.9</v>
      </c>
      <c r="CQ4318">
        <v>99</v>
      </c>
      <c r="CR4318">
        <v>0</v>
      </c>
      <c r="CS4318">
        <v>0</v>
      </c>
      <c r="CT4318">
        <v>10.4</v>
      </c>
      <c r="CU4318">
        <v>97</v>
      </c>
      <c r="CV4318">
        <v>0.22</v>
      </c>
      <c r="CW4318">
        <v>47</v>
      </c>
      <c r="CX4318" t="s">
        <v>111</v>
      </c>
    </row>
    <row r="4319" spans="1:102" x14ac:dyDescent="0.3">
      <c r="A4319" t="str">
        <f>HYPERLINK("https://webapp.icbf.com/v2/app/bull-search/view/315999173","DSG")</f>
        <v>DSG</v>
      </c>
      <c r="B4319" t="s">
        <v>2567</v>
      </c>
      <c r="C4319" t="s">
        <v>2568</v>
      </c>
      <c r="D4319" s="1">
        <v>37993</v>
      </c>
      <c r="E4319" t="s">
        <v>92</v>
      </c>
      <c r="F4319">
        <v>94</v>
      </c>
      <c r="G4319" t="s">
        <v>93</v>
      </c>
      <c r="H4319">
        <v>-111.56</v>
      </c>
      <c r="I4319">
        <v>84</v>
      </c>
      <c r="J4319">
        <v>21.75</v>
      </c>
      <c r="K4319">
        <v>95</v>
      </c>
      <c r="L4319">
        <v>-106.79</v>
      </c>
      <c r="M4319">
        <v>75</v>
      </c>
      <c r="N4319">
        <v>-5</v>
      </c>
      <c r="O4319">
        <v>81</v>
      </c>
      <c r="P4319">
        <v>-14.79</v>
      </c>
      <c r="Q4319">
        <v>87</v>
      </c>
      <c r="R4319">
        <v>-10.55</v>
      </c>
      <c r="S4319">
        <v>77</v>
      </c>
      <c r="T4319">
        <v>15.53</v>
      </c>
      <c r="U4319">
        <v>84</v>
      </c>
      <c r="V4319">
        <v>-11.71</v>
      </c>
      <c r="W4319">
        <v>76</v>
      </c>
      <c r="X4319" t="s">
        <v>94</v>
      </c>
      <c r="Y4319" t="s">
        <v>95</v>
      </c>
      <c r="Z4319" t="s">
        <v>96</v>
      </c>
      <c r="AA4319" t="s">
        <v>1109</v>
      </c>
      <c r="AB4319" t="s">
        <v>2569</v>
      </c>
      <c r="AC4319">
        <v>52</v>
      </c>
      <c r="AD4319">
        <v>44</v>
      </c>
      <c r="AE4319">
        <v>95</v>
      </c>
      <c r="AF4319">
        <v>40.83</v>
      </c>
      <c r="AG4319">
        <v>3.46</v>
      </c>
      <c r="AH4319">
        <v>3.1</v>
      </c>
      <c r="AI4319">
        <v>0.03</v>
      </c>
      <c r="AJ4319">
        <v>0.03</v>
      </c>
      <c r="AK4319">
        <v>75</v>
      </c>
      <c r="AL4319">
        <v>49</v>
      </c>
      <c r="AM4319">
        <v>38</v>
      </c>
      <c r="AN4319">
        <v>7.86</v>
      </c>
      <c r="AO4319">
        <v>-0.63</v>
      </c>
      <c r="AP4319">
        <v>99</v>
      </c>
      <c r="AQ4319">
        <v>0</v>
      </c>
      <c r="AR4319">
        <v>8.93</v>
      </c>
      <c r="AS4319">
        <v>65</v>
      </c>
      <c r="AT4319">
        <v>4.2300000000000004</v>
      </c>
      <c r="AU4319">
        <v>82</v>
      </c>
      <c r="AV4319">
        <v>-0.68</v>
      </c>
      <c r="AW4319">
        <v>92</v>
      </c>
      <c r="AX4319">
        <v>-0.42</v>
      </c>
      <c r="AY4319">
        <v>75</v>
      </c>
      <c r="AZ4319">
        <v>5.64</v>
      </c>
      <c r="BA4319">
        <v>59</v>
      </c>
      <c r="BB4319">
        <v>4.57</v>
      </c>
      <c r="BC4319">
        <v>61</v>
      </c>
      <c r="BD4319">
        <v>7.0000000000000007E-2</v>
      </c>
      <c r="BE4319">
        <v>0.04</v>
      </c>
      <c r="BF4319">
        <v>0.05</v>
      </c>
      <c r="BG4319">
        <v>85</v>
      </c>
      <c r="BH4319">
        <v>-0.32</v>
      </c>
      <c r="BI4319">
        <v>0.75</v>
      </c>
      <c r="BJ4319">
        <v>24</v>
      </c>
      <c r="BK4319">
        <v>18</v>
      </c>
      <c r="BL4319">
        <v>0.34</v>
      </c>
      <c r="BM4319">
        <v>0.75</v>
      </c>
      <c r="BN4319">
        <v>1.07</v>
      </c>
      <c r="BO4319">
        <v>-0.04</v>
      </c>
      <c r="BP4319">
        <v>1.75</v>
      </c>
      <c r="BQ4319">
        <v>-0.04</v>
      </c>
      <c r="BR4319">
        <v>-1.81</v>
      </c>
      <c r="BS4319">
        <v>0.14000000000000001</v>
      </c>
      <c r="BT4319">
        <v>0.73</v>
      </c>
      <c r="BU4319">
        <v>-1.22</v>
      </c>
      <c r="BV4319">
        <v>-0.68</v>
      </c>
      <c r="BW4319">
        <v>-0.87</v>
      </c>
      <c r="BX4319">
        <v>-1.08</v>
      </c>
      <c r="BY4319">
        <v>-0.98</v>
      </c>
      <c r="BZ4319">
        <v>1.87</v>
      </c>
      <c r="CA4319">
        <v>-0.4</v>
      </c>
      <c r="CB4319">
        <v>-0.68</v>
      </c>
      <c r="CC4319">
        <v>0.41</v>
      </c>
      <c r="CD4319">
        <v>0.97</v>
      </c>
      <c r="CE4319">
        <v>-0.11</v>
      </c>
      <c r="CF4319">
        <v>0.73</v>
      </c>
      <c r="CG4319">
        <v>0</v>
      </c>
      <c r="CH4319">
        <v>-1.76</v>
      </c>
      <c r="CI4319">
        <v>0</v>
      </c>
      <c r="CJ4319">
        <v>-5.7</v>
      </c>
      <c r="CK4319">
        <v>88</v>
      </c>
      <c r="CL4319">
        <v>-0.79</v>
      </c>
      <c r="CM4319">
        <v>86</v>
      </c>
      <c r="CN4319">
        <v>-0.27</v>
      </c>
      <c r="CO4319">
        <v>85</v>
      </c>
      <c r="CP4319">
        <v>-12.9</v>
      </c>
      <c r="CQ4319">
        <v>86</v>
      </c>
      <c r="CR4319">
        <v>0</v>
      </c>
      <c r="CS4319">
        <v>0</v>
      </c>
      <c r="CT4319">
        <v>-7.2</v>
      </c>
      <c r="CU4319">
        <v>84</v>
      </c>
      <c r="CV4319">
        <v>0.12</v>
      </c>
      <c r="CW4319">
        <v>43</v>
      </c>
      <c r="CX4319" t="s">
        <v>2570</v>
      </c>
    </row>
    <row r="4320" spans="1:102" x14ac:dyDescent="0.3">
      <c r="A4320" t="str">
        <f>HYPERLINK("https://webapp.icbf.com/v2/app/bull-search/view/77852836","VNT")</f>
        <v>VNT</v>
      </c>
      <c r="B4320" t="s">
        <v>8431</v>
      </c>
      <c r="C4320" t="s">
        <v>8432</v>
      </c>
      <c r="D4320" s="1">
        <v>34640</v>
      </c>
      <c r="E4320" t="s">
        <v>92</v>
      </c>
      <c r="F4320">
        <v>94</v>
      </c>
      <c r="G4320" t="s">
        <v>93</v>
      </c>
      <c r="H4320">
        <v>-111.69</v>
      </c>
      <c r="I4320">
        <v>80</v>
      </c>
      <c r="J4320">
        <v>-14.88</v>
      </c>
      <c r="K4320">
        <v>96</v>
      </c>
      <c r="L4320">
        <v>-76.44</v>
      </c>
      <c r="M4320">
        <v>71</v>
      </c>
      <c r="N4320">
        <v>-21.74</v>
      </c>
      <c r="O4320">
        <v>72</v>
      </c>
      <c r="P4320">
        <v>0.28999999999999998</v>
      </c>
      <c r="Q4320">
        <v>86</v>
      </c>
      <c r="R4320">
        <v>2.5499999999999998</v>
      </c>
      <c r="S4320">
        <v>70</v>
      </c>
      <c r="T4320">
        <v>5.54</v>
      </c>
      <c r="U4320">
        <v>81</v>
      </c>
      <c r="V4320">
        <v>-7.01</v>
      </c>
      <c r="W4320">
        <v>35</v>
      </c>
      <c r="X4320" t="s">
        <v>94</v>
      </c>
      <c r="Y4320" t="s">
        <v>95</v>
      </c>
      <c r="Z4320" t="s">
        <v>96</v>
      </c>
      <c r="AA4320" t="s">
        <v>8433</v>
      </c>
      <c r="AB4320" t="s">
        <v>8434</v>
      </c>
      <c r="AC4320">
        <v>113</v>
      </c>
      <c r="AD4320">
        <v>86</v>
      </c>
      <c r="AE4320">
        <v>96</v>
      </c>
      <c r="AF4320">
        <v>-55.35</v>
      </c>
      <c r="AG4320">
        <v>-3.47</v>
      </c>
      <c r="AH4320">
        <v>-2.15</v>
      </c>
      <c r="AI4320">
        <v>-0.02</v>
      </c>
      <c r="AJ4320">
        <v>0</v>
      </c>
      <c r="AK4320">
        <v>71</v>
      </c>
      <c r="AL4320">
        <v>160</v>
      </c>
      <c r="AM4320">
        <v>110</v>
      </c>
      <c r="AN4320">
        <v>2.29</v>
      </c>
      <c r="AO4320">
        <v>-3.83</v>
      </c>
      <c r="AP4320">
        <v>48</v>
      </c>
      <c r="AQ4320">
        <v>0</v>
      </c>
      <c r="AR4320">
        <v>10.45</v>
      </c>
      <c r="AS4320">
        <v>39</v>
      </c>
      <c r="AT4320">
        <v>4.25</v>
      </c>
      <c r="AU4320">
        <v>74</v>
      </c>
      <c r="AV4320">
        <v>-0.02</v>
      </c>
      <c r="AW4320">
        <v>78</v>
      </c>
      <c r="AX4320">
        <v>-0.28000000000000003</v>
      </c>
      <c r="AY4320">
        <v>85</v>
      </c>
      <c r="AZ4320">
        <v>6.86</v>
      </c>
      <c r="BA4320">
        <v>41</v>
      </c>
      <c r="BB4320">
        <v>5.39</v>
      </c>
      <c r="BC4320">
        <v>64</v>
      </c>
      <c r="BD4320">
        <v>0.02</v>
      </c>
      <c r="BE4320">
        <v>0.02</v>
      </c>
      <c r="BF4320">
        <v>-0.13</v>
      </c>
      <c r="BG4320">
        <v>89</v>
      </c>
      <c r="BH4320">
        <v>-0.22</v>
      </c>
      <c r="BI4320">
        <v>-2.83</v>
      </c>
      <c r="BJ4320">
        <v>5</v>
      </c>
      <c r="BK4320">
        <v>4</v>
      </c>
      <c r="BL4320">
        <v>-0.1</v>
      </c>
      <c r="BM4320">
        <v>0.18</v>
      </c>
      <c r="BN4320">
        <v>-0.65</v>
      </c>
      <c r="BO4320">
        <v>-0.42</v>
      </c>
      <c r="BP4320">
        <v>0.18</v>
      </c>
      <c r="BQ4320">
        <v>-0.35</v>
      </c>
      <c r="BR4320">
        <v>-0.12</v>
      </c>
      <c r="BS4320">
        <v>-0.91</v>
      </c>
      <c r="BT4320">
        <v>0.24</v>
      </c>
      <c r="BU4320">
        <v>-0.52</v>
      </c>
      <c r="BV4320">
        <v>-0.68</v>
      </c>
      <c r="BW4320">
        <v>-0.57999999999999996</v>
      </c>
      <c r="BX4320">
        <v>-0.32</v>
      </c>
      <c r="BY4320">
        <v>-0.37</v>
      </c>
      <c r="BZ4320">
        <v>-0.42</v>
      </c>
      <c r="CA4320">
        <v>-0.86</v>
      </c>
      <c r="CB4320">
        <v>-0.62</v>
      </c>
      <c r="CC4320">
        <v>-1.07</v>
      </c>
      <c r="CD4320">
        <v>0.57999999999999996</v>
      </c>
      <c r="CE4320">
        <v>-0.41</v>
      </c>
      <c r="CF4320">
        <v>-0.27</v>
      </c>
      <c r="CG4320">
        <v>0</v>
      </c>
      <c r="CH4320">
        <v>-0.17</v>
      </c>
      <c r="CI4320">
        <v>0</v>
      </c>
      <c r="CJ4320">
        <v>2.9</v>
      </c>
      <c r="CK4320">
        <v>87</v>
      </c>
      <c r="CL4320">
        <v>-0.56999999999999995</v>
      </c>
      <c r="CM4320">
        <v>85</v>
      </c>
      <c r="CN4320">
        <v>-0.16</v>
      </c>
      <c r="CO4320">
        <v>83</v>
      </c>
      <c r="CP4320">
        <v>2</v>
      </c>
      <c r="CQ4320">
        <v>89</v>
      </c>
      <c r="CR4320">
        <v>0</v>
      </c>
      <c r="CS4320">
        <v>0</v>
      </c>
      <c r="CT4320">
        <v>6.3</v>
      </c>
      <c r="CU4320">
        <v>81</v>
      </c>
      <c r="CV4320">
        <v>0.25</v>
      </c>
      <c r="CW4320">
        <v>24</v>
      </c>
      <c r="CX4320" t="s">
        <v>99</v>
      </c>
    </row>
    <row r="4321" spans="1:102" x14ac:dyDescent="0.3">
      <c r="A4321" t="str">
        <f>HYPERLINK("https://webapp.icbf.com/v2/app/bull-search/view/77859217","AGN")</f>
        <v>AGN</v>
      </c>
      <c r="B4321" t="s">
        <v>14111</v>
      </c>
      <c r="C4321" t="s">
        <v>14112</v>
      </c>
      <c r="D4321" s="1">
        <v>33952</v>
      </c>
      <c r="E4321" t="s">
        <v>92</v>
      </c>
      <c r="F4321">
        <v>100</v>
      </c>
      <c r="G4321" t="s">
        <v>93</v>
      </c>
      <c r="H4321">
        <v>-111.81</v>
      </c>
      <c r="I4321">
        <v>88</v>
      </c>
      <c r="J4321">
        <v>-28.2</v>
      </c>
      <c r="K4321">
        <v>97</v>
      </c>
      <c r="L4321">
        <v>-97.79</v>
      </c>
      <c r="M4321">
        <v>90</v>
      </c>
      <c r="N4321">
        <v>10.96</v>
      </c>
      <c r="O4321">
        <v>74</v>
      </c>
      <c r="P4321">
        <v>2.2200000000000002</v>
      </c>
      <c r="Q4321">
        <v>80</v>
      </c>
      <c r="R4321">
        <v>-9.6999999999999993</v>
      </c>
      <c r="S4321">
        <v>84</v>
      </c>
      <c r="T4321">
        <v>8.65</v>
      </c>
      <c r="U4321">
        <v>82</v>
      </c>
      <c r="V4321">
        <v>2.0499999999999998</v>
      </c>
      <c r="W4321">
        <v>74</v>
      </c>
      <c r="X4321" t="s">
        <v>558</v>
      </c>
      <c r="Y4321" t="s">
        <v>95</v>
      </c>
      <c r="Z4321" t="s">
        <v>96</v>
      </c>
      <c r="AA4321" t="s">
        <v>485</v>
      </c>
      <c r="AB4321" t="s">
        <v>14113</v>
      </c>
      <c r="AC4321">
        <v>74</v>
      </c>
      <c r="AD4321">
        <v>34</v>
      </c>
      <c r="AE4321">
        <v>97</v>
      </c>
      <c r="AF4321">
        <v>178.8</v>
      </c>
      <c r="AG4321">
        <v>2.0099999999999998</v>
      </c>
      <c r="AH4321">
        <v>-2.77</v>
      </c>
      <c r="AI4321">
        <v>-0.08</v>
      </c>
      <c r="AJ4321">
        <v>-0.15</v>
      </c>
      <c r="AK4321">
        <v>90</v>
      </c>
      <c r="AL4321">
        <v>73</v>
      </c>
      <c r="AM4321">
        <v>28</v>
      </c>
      <c r="AN4321">
        <v>4.46</v>
      </c>
      <c r="AO4321">
        <v>-3.35</v>
      </c>
      <c r="AP4321">
        <v>34</v>
      </c>
      <c r="AQ4321">
        <v>1</v>
      </c>
      <c r="AR4321">
        <v>6.97</v>
      </c>
      <c r="AS4321">
        <v>69</v>
      </c>
      <c r="AT4321">
        <v>3.78</v>
      </c>
      <c r="AU4321">
        <v>90</v>
      </c>
      <c r="AV4321">
        <v>-1.38</v>
      </c>
      <c r="AW4321">
        <v>68</v>
      </c>
      <c r="AX4321">
        <v>-0.01</v>
      </c>
      <c r="AY4321">
        <v>75</v>
      </c>
      <c r="AZ4321">
        <v>5.64</v>
      </c>
      <c r="BA4321">
        <v>64</v>
      </c>
      <c r="BB4321">
        <v>4.3499999999999996</v>
      </c>
      <c r="BC4321">
        <v>68</v>
      </c>
      <c r="BD4321">
        <v>0.06</v>
      </c>
      <c r="BE4321">
        <v>7.0000000000000007E-2</v>
      </c>
      <c r="BF4321">
        <v>-0.01</v>
      </c>
      <c r="BG4321">
        <v>94</v>
      </c>
      <c r="BH4321">
        <v>0.2</v>
      </c>
      <c r="BI4321">
        <v>16.52</v>
      </c>
      <c r="BJ4321">
        <v>5</v>
      </c>
      <c r="BK4321">
        <v>5</v>
      </c>
      <c r="BL4321">
        <v>0.48</v>
      </c>
      <c r="BM4321">
        <v>0.48</v>
      </c>
      <c r="BN4321">
        <v>0.77</v>
      </c>
      <c r="BO4321">
        <v>0.48</v>
      </c>
      <c r="BP4321">
        <v>0.39</v>
      </c>
      <c r="BQ4321">
        <v>1.89</v>
      </c>
      <c r="BR4321">
        <v>-0.28000000000000003</v>
      </c>
      <c r="BS4321">
        <v>0.83</v>
      </c>
      <c r="BT4321">
        <v>0.79</v>
      </c>
      <c r="BU4321">
        <v>0.48</v>
      </c>
      <c r="BV4321">
        <v>0.64</v>
      </c>
      <c r="BW4321">
        <v>0.41</v>
      </c>
      <c r="BX4321">
        <v>0.16</v>
      </c>
      <c r="BY4321">
        <v>-0.31</v>
      </c>
      <c r="BZ4321">
        <v>0.42</v>
      </c>
      <c r="CA4321">
        <v>0.01</v>
      </c>
      <c r="CB4321">
        <v>0.41</v>
      </c>
      <c r="CC4321">
        <v>0.45</v>
      </c>
      <c r="CD4321">
        <v>-0.37</v>
      </c>
      <c r="CE4321">
        <v>0.41</v>
      </c>
      <c r="CF4321">
        <v>0.32</v>
      </c>
      <c r="CG4321">
        <v>0</v>
      </c>
      <c r="CH4321">
        <v>-0.22</v>
      </c>
      <c r="CI4321">
        <v>0</v>
      </c>
      <c r="CJ4321">
        <v>3.5</v>
      </c>
      <c r="CK4321">
        <v>81</v>
      </c>
      <c r="CL4321">
        <v>-0.42</v>
      </c>
      <c r="CM4321">
        <v>79</v>
      </c>
      <c r="CN4321">
        <v>-0.2</v>
      </c>
      <c r="CO4321">
        <v>76</v>
      </c>
      <c r="CP4321">
        <v>-4.0999999999999996</v>
      </c>
      <c r="CQ4321">
        <v>87</v>
      </c>
      <c r="CR4321">
        <v>0</v>
      </c>
      <c r="CS4321">
        <v>0</v>
      </c>
      <c r="CT4321">
        <v>2.1</v>
      </c>
      <c r="CU4321">
        <v>82</v>
      </c>
      <c r="CV4321">
        <v>0.19</v>
      </c>
      <c r="CW4321">
        <v>42</v>
      </c>
      <c r="CX4321" t="s">
        <v>111</v>
      </c>
    </row>
    <row r="4322" spans="1:102" x14ac:dyDescent="0.3">
      <c r="A4322" t="str">
        <f>HYPERLINK("https://webapp.icbf.com/v2/app/bull-search/view/444516116","FDV")</f>
        <v>FDV</v>
      </c>
      <c r="B4322" t="s">
        <v>12051</v>
      </c>
      <c r="C4322" t="s">
        <v>12052</v>
      </c>
      <c r="D4322" s="1">
        <v>37068</v>
      </c>
      <c r="E4322" t="s">
        <v>92</v>
      </c>
      <c r="F4322">
        <v>100</v>
      </c>
      <c r="G4322" t="s">
        <v>93</v>
      </c>
      <c r="H4322">
        <v>-111.87</v>
      </c>
      <c r="I4322">
        <v>92</v>
      </c>
      <c r="J4322">
        <v>18.04</v>
      </c>
      <c r="K4322">
        <v>97</v>
      </c>
      <c r="L4322">
        <v>-135.63</v>
      </c>
      <c r="M4322">
        <v>91</v>
      </c>
      <c r="N4322">
        <v>27.99</v>
      </c>
      <c r="O4322">
        <v>88</v>
      </c>
      <c r="P4322">
        <v>-7.83</v>
      </c>
      <c r="Q4322">
        <v>92</v>
      </c>
      <c r="R4322">
        <v>-3.62</v>
      </c>
      <c r="S4322">
        <v>87</v>
      </c>
      <c r="T4322">
        <v>-2.38</v>
      </c>
      <c r="U4322">
        <v>85</v>
      </c>
      <c r="V4322">
        <v>-8.44</v>
      </c>
      <c r="W4322">
        <v>83</v>
      </c>
      <c r="X4322" t="s">
        <v>288</v>
      </c>
      <c r="Y4322" t="s">
        <v>1208</v>
      </c>
      <c r="Z4322" t="s">
        <v>96</v>
      </c>
      <c r="AA4322" t="s">
        <v>289</v>
      </c>
      <c r="AB4322" t="s">
        <v>1277</v>
      </c>
      <c r="AC4322">
        <v>115</v>
      </c>
      <c r="AD4322">
        <v>63</v>
      </c>
      <c r="AE4322">
        <v>97</v>
      </c>
      <c r="AF4322">
        <v>340.07</v>
      </c>
      <c r="AG4322">
        <v>3.88</v>
      </c>
      <c r="AH4322">
        <v>6.9</v>
      </c>
      <c r="AI4322">
        <v>-0.15</v>
      </c>
      <c r="AJ4322">
        <v>-0.08</v>
      </c>
      <c r="AK4322">
        <v>91</v>
      </c>
      <c r="AL4322">
        <v>105</v>
      </c>
      <c r="AM4322">
        <v>53</v>
      </c>
      <c r="AN4322">
        <v>5.54</v>
      </c>
      <c r="AO4322">
        <v>-5.3</v>
      </c>
      <c r="AP4322">
        <v>248</v>
      </c>
      <c r="AQ4322">
        <v>0</v>
      </c>
      <c r="AR4322">
        <v>6.8</v>
      </c>
      <c r="AS4322">
        <v>84</v>
      </c>
      <c r="AT4322">
        <v>3.58</v>
      </c>
      <c r="AU4322">
        <v>93</v>
      </c>
      <c r="AV4322">
        <v>-4.2699999999999996</v>
      </c>
      <c r="AW4322">
        <v>94</v>
      </c>
      <c r="AX4322">
        <v>-0.84</v>
      </c>
      <c r="AY4322">
        <v>84</v>
      </c>
      <c r="AZ4322">
        <v>8.24</v>
      </c>
      <c r="BA4322">
        <v>73</v>
      </c>
      <c r="BB4322">
        <v>5.62</v>
      </c>
      <c r="BC4322">
        <v>72</v>
      </c>
      <c r="BD4322">
        <v>0.02</v>
      </c>
      <c r="BE4322">
        <v>0</v>
      </c>
      <c r="BF4322">
        <v>0.05</v>
      </c>
      <c r="BG4322">
        <v>95</v>
      </c>
      <c r="BH4322">
        <v>-0.25</v>
      </c>
      <c r="BI4322">
        <v>-1.69</v>
      </c>
      <c r="BJ4322">
        <v>39</v>
      </c>
      <c r="BK4322">
        <v>20</v>
      </c>
      <c r="BL4322">
        <v>1.46</v>
      </c>
      <c r="BM4322">
        <v>-0.36</v>
      </c>
      <c r="BN4322">
        <v>0.97</v>
      </c>
      <c r="BO4322">
        <v>1.1499999999999999</v>
      </c>
      <c r="BP4322">
        <v>0.71</v>
      </c>
      <c r="BQ4322">
        <v>2.67</v>
      </c>
      <c r="BR4322">
        <v>0.97</v>
      </c>
      <c r="BS4322">
        <v>-0.56000000000000005</v>
      </c>
      <c r="BT4322">
        <v>0.46</v>
      </c>
      <c r="BU4322">
        <v>1.6</v>
      </c>
      <c r="BV4322">
        <v>2.02</v>
      </c>
      <c r="BW4322">
        <v>2.71</v>
      </c>
      <c r="BX4322">
        <v>0.99</v>
      </c>
      <c r="BY4322">
        <v>1.76</v>
      </c>
      <c r="BZ4322">
        <v>-0.06</v>
      </c>
      <c r="CA4322">
        <v>1.1399999999999999</v>
      </c>
      <c r="CB4322">
        <v>1.48</v>
      </c>
      <c r="CC4322">
        <v>-0.19</v>
      </c>
      <c r="CD4322">
        <v>-1.2</v>
      </c>
      <c r="CE4322">
        <v>1.03</v>
      </c>
      <c r="CF4322">
        <v>0.82</v>
      </c>
      <c r="CG4322">
        <v>0</v>
      </c>
      <c r="CH4322">
        <v>1.96</v>
      </c>
      <c r="CI4322">
        <v>0</v>
      </c>
      <c r="CJ4322">
        <v>-0.3</v>
      </c>
      <c r="CK4322">
        <v>93</v>
      </c>
      <c r="CL4322">
        <v>-1.17</v>
      </c>
      <c r="CM4322">
        <v>92</v>
      </c>
      <c r="CN4322">
        <v>-0.34</v>
      </c>
      <c r="CO4322">
        <v>91</v>
      </c>
      <c r="CP4322">
        <v>4.5</v>
      </c>
      <c r="CQ4322">
        <v>91</v>
      </c>
      <c r="CR4322">
        <v>0</v>
      </c>
      <c r="CS4322">
        <v>0</v>
      </c>
      <c r="CT4322">
        <v>17</v>
      </c>
      <c r="CU4322">
        <v>85</v>
      </c>
      <c r="CV4322">
        <v>0.35</v>
      </c>
      <c r="CW4322">
        <v>44</v>
      </c>
      <c r="CX4322" t="s">
        <v>1278</v>
      </c>
    </row>
    <row r="4323" spans="1:102" x14ac:dyDescent="0.3">
      <c r="A4323" t="str">
        <f>HYPERLINK("https://webapp.icbf.com/v2/app/bull-search/view/380534937","HDQ")</f>
        <v>HDQ</v>
      </c>
      <c r="B4323" t="s">
        <v>4454</v>
      </c>
      <c r="C4323" t="s">
        <v>4455</v>
      </c>
      <c r="D4323" s="1">
        <v>36425</v>
      </c>
      <c r="E4323" t="s">
        <v>92</v>
      </c>
      <c r="F4323">
        <v>100</v>
      </c>
      <c r="G4323" t="s">
        <v>109</v>
      </c>
      <c r="H4323">
        <v>-111.89</v>
      </c>
      <c r="I4323">
        <v>78</v>
      </c>
      <c r="J4323">
        <v>-12.5</v>
      </c>
      <c r="K4323">
        <v>91</v>
      </c>
      <c r="L4323">
        <v>-128.97</v>
      </c>
      <c r="M4323">
        <v>78</v>
      </c>
      <c r="N4323">
        <v>32.340000000000003</v>
      </c>
      <c r="O4323">
        <v>71</v>
      </c>
      <c r="P4323">
        <v>-9.7200000000000006</v>
      </c>
      <c r="Q4323">
        <v>72</v>
      </c>
      <c r="R4323">
        <v>10.84</v>
      </c>
      <c r="S4323">
        <v>67</v>
      </c>
      <c r="T4323">
        <v>-3.79</v>
      </c>
      <c r="U4323">
        <v>70</v>
      </c>
      <c r="V4323">
        <v>-0.09</v>
      </c>
      <c r="W4323">
        <v>34</v>
      </c>
      <c r="X4323" t="s">
        <v>251</v>
      </c>
      <c r="Y4323" t="s">
        <v>95</v>
      </c>
      <c r="Z4323" t="s">
        <v>96</v>
      </c>
      <c r="AA4323" t="s">
        <v>311</v>
      </c>
      <c r="AB4323" t="s">
        <v>4456</v>
      </c>
      <c r="AC4323">
        <v>28</v>
      </c>
      <c r="AD4323">
        <v>14</v>
      </c>
      <c r="AE4323">
        <v>91</v>
      </c>
      <c r="AF4323">
        <v>-63.68</v>
      </c>
      <c r="AG4323">
        <v>-4.75</v>
      </c>
      <c r="AH4323">
        <v>-1.42</v>
      </c>
      <c r="AI4323">
        <v>-0.04</v>
      </c>
      <c r="AJ4323">
        <v>0.01</v>
      </c>
      <c r="AK4323">
        <v>78</v>
      </c>
      <c r="AL4323">
        <v>27</v>
      </c>
      <c r="AM4323">
        <v>15</v>
      </c>
      <c r="AN4323">
        <v>5.86</v>
      </c>
      <c r="AO4323">
        <v>-4.4400000000000004</v>
      </c>
      <c r="AP4323">
        <v>33</v>
      </c>
      <c r="AQ4323">
        <v>0</v>
      </c>
      <c r="AR4323">
        <v>7.71</v>
      </c>
      <c r="AS4323">
        <v>50</v>
      </c>
      <c r="AT4323">
        <v>3.42</v>
      </c>
      <c r="AU4323">
        <v>81</v>
      </c>
      <c r="AV4323">
        <v>-3.89</v>
      </c>
      <c r="AW4323">
        <v>83</v>
      </c>
      <c r="AX4323">
        <v>-0.27</v>
      </c>
      <c r="AY4323">
        <v>59</v>
      </c>
      <c r="AZ4323">
        <v>5.44</v>
      </c>
      <c r="BA4323">
        <v>41</v>
      </c>
      <c r="BB4323">
        <v>4.51</v>
      </c>
      <c r="BC4323">
        <v>41</v>
      </c>
      <c r="BD4323">
        <v>-0.05</v>
      </c>
      <c r="BE4323">
        <v>-0.04</v>
      </c>
      <c r="BF4323">
        <v>-0.09</v>
      </c>
      <c r="BG4323">
        <v>85</v>
      </c>
      <c r="BH4323">
        <v>-0.08</v>
      </c>
      <c r="BI4323">
        <v>-8.9700000000000006</v>
      </c>
      <c r="BJ4323">
        <v>18</v>
      </c>
      <c r="BK4323">
        <v>8</v>
      </c>
      <c r="BL4323">
        <v>1.95</v>
      </c>
      <c r="BM4323">
        <v>7.0000000000000007E-2</v>
      </c>
      <c r="BN4323">
        <v>1.01</v>
      </c>
      <c r="BO4323">
        <v>0.5</v>
      </c>
      <c r="BP4323">
        <v>-0.64</v>
      </c>
      <c r="BQ4323">
        <v>3.33</v>
      </c>
      <c r="BR4323">
        <v>-1.1499999999999999</v>
      </c>
      <c r="BS4323">
        <v>-0.12</v>
      </c>
      <c r="BT4323">
        <v>1.29</v>
      </c>
      <c r="BU4323">
        <v>1.21</v>
      </c>
      <c r="BV4323">
        <v>1.41</v>
      </c>
      <c r="BW4323">
        <v>2.84</v>
      </c>
      <c r="BX4323">
        <v>1.64</v>
      </c>
      <c r="BY4323">
        <v>1.03</v>
      </c>
      <c r="BZ4323">
        <v>1.81</v>
      </c>
      <c r="CA4323">
        <v>1.01</v>
      </c>
      <c r="CB4323">
        <v>1.27</v>
      </c>
      <c r="CC4323">
        <v>0.09</v>
      </c>
      <c r="CD4323">
        <v>-0.21</v>
      </c>
      <c r="CE4323">
        <v>0.51</v>
      </c>
      <c r="CF4323">
        <v>1.21</v>
      </c>
      <c r="CG4323">
        <v>0</v>
      </c>
      <c r="CH4323">
        <v>1.06</v>
      </c>
      <c r="CI4323">
        <v>0</v>
      </c>
      <c r="CJ4323">
        <v>-2.2999999999999998</v>
      </c>
      <c r="CK4323">
        <v>74</v>
      </c>
      <c r="CL4323">
        <v>-1.41</v>
      </c>
      <c r="CM4323">
        <v>69</v>
      </c>
      <c r="CN4323">
        <v>-0.6</v>
      </c>
      <c r="CO4323">
        <v>64</v>
      </c>
      <c r="CP4323">
        <v>6.5</v>
      </c>
      <c r="CQ4323">
        <v>80</v>
      </c>
      <c r="CR4323">
        <v>0</v>
      </c>
      <c r="CS4323">
        <v>0</v>
      </c>
      <c r="CT4323">
        <v>18.899999999999999</v>
      </c>
      <c r="CU4323">
        <v>70</v>
      </c>
      <c r="CV4323">
        <v>0.37</v>
      </c>
      <c r="CW4323">
        <v>20</v>
      </c>
      <c r="CX4323" t="s">
        <v>1325</v>
      </c>
    </row>
    <row r="4324" spans="1:102" x14ac:dyDescent="0.3">
      <c r="A4324" t="str">
        <f>HYPERLINK("https://webapp.icbf.com/v2/app/bull-search/view/69091546","EDG")</f>
        <v>EDG</v>
      </c>
      <c r="B4324" t="s">
        <v>7324</v>
      </c>
      <c r="C4324" t="s">
        <v>7325</v>
      </c>
      <c r="D4324" s="1">
        <v>34968</v>
      </c>
      <c r="E4324" t="s">
        <v>108</v>
      </c>
      <c r="F4324">
        <v>0</v>
      </c>
      <c r="G4324" t="s">
        <v>116</v>
      </c>
      <c r="H4324">
        <v>-111.91</v>
      </c>
      <c r="I4324">
        <v>36</v>
      </c>
      <c r="J4324">
        <v>-14.29</v>
      </c>
      <c r="K4324">
        <v>20</v>
      </c>
      <c r="L4324">
        <v>-98.17</v>
      </c>
      <c r="M4324">
        <v>37</v>
      </c>
      <c r="N4324">
        <v>-9.14</v>
      </c>
      <c r="O4324">
        <v>53</v>
      </c>
      <c r="P4324">
        <v>12.16</v>
      </c>
      <c r="Q4324">
        <v>65</v>
      </c>
      <c r="R4324">
        <v>-15.56</v>
      </c>
      <c r="S4324">
        <v>39</v>
      </c>
      <c r="T4324">
        <v>16.559999999999999</v>
      </c>
      <c r="U4324">
        <v>41</v>
      </c>
      <c r="V4324">
        <v>-3.47</v>
      </c>
      <c r="W4324">
        <v>37</v>
      </c>
      <c r="X4324" t="s">
        <v>94</v>
      </c>
      <c r="Y4324" t="s">
        <v>1499</v>
      </c>
      <c r="Z4324" t="s">
        <v>96</v>
      </c>
      <c r="AA4324" t="s">
        <v>265</v>
      </c>
      <c r="AB4324" t="s">
        <v>3418</v>
      </c>
      <c r="AC4324">
        <v>3</v>
      </c>
      <c r="AD4324">
        <v>3</v>
      </c>
      <c r="AE4324">
        <v>20</v>
      </c>
      <c r="AF4324">
        <v>-31.65</v>
      </c>
      <c r="AG4324">
        <v>-2.81</v>
      </c>
      <c r="AH4324">
        <v>-1.92</v>
      </c>
      <c r="AI4324">
        <v>-0.03</v>
      </c>
      <c r="AJ4324">
        <v>-0.01</v>
      </c>
      <c r="AK4324">
        <v>37</v>
      </c>
      <c r="AL4324">
        <v>5</v>
      </c>
      <c r="AM4324">
        <v>4</v>
      </c>
      <c r="AN4324">
        <v>6.07</v>
      </c>
      <c r="AO4324">
        <v>-1.75</v>
      </c>
      <c r="AP4324">
        <v>14</v>
      </c>
      <c r="AQ4324">
        <v>19</v>
      </c>
      <c r="AR4324">
        <v>9.18</v>
      </c>
      <c r="AS4324">
        <v>31</v>
      </c>
      <c r="AT4324">
        <v>3.82</v>
      </c>
      <c r="AU4324">
        <v>45</v>
      </c>
      <c r="AV4324">
        <v>-0.56999999999999995</v>
      </c>
      <c r="AW4324">
        <v>69</v>
      </c>
      <c r="AX4324">
        <v>-0.52</v>
      </c>
      <c r="AY4324">
        <v>58</v>
      </c>
      <c r="AZ4324">
        <v>7.47</v>
      </c>
      <c r="BA4324">
        <v>30</v>
      </c>
      <c r="BB4324">
        <v>5.44</v>
      </c>
      <c r="BC4324">
        <v>32</v>
      </c>
      <c r="BD4324">
        <v>0.04</v>
      </c>
      <c r="BE4324">
        <v>0.09</v>
      </c>
      <c r="BF4324">
        <v>0.12</v>
      </c>
      <c r="BG4324">
        <v>44</v>
      </c>
      <c r="BH4324">
        <v>0.05</v>
      </c>
      <c r="BI4324">
        <v>16.97</v>
      </c>
      <c r="BJ4324">
        <v>0</v>
      </c>
      <c r="BK4324">
        <v>0</v>
      </c>
      <c r="BL4324">
        <v>-0.17</v>
      </c>
      <c r="BM4324">
        <v>-1.49</v>
      </c>
      <c r="BN4324">
        <v>-0.79</v>
      </c>
      <c r="BO4324">
        <v>0.32</v>
      </c>
      <c r="BP4324">
        <v>0.61</v>
      </c>
      <c r="BQ4324">
        <v>-2.4300000000000002</v>
      </c>
      <c r="BR4324">
        <v>-1.08</v>
      </c>
      <c r="BS4324">
        <v>1.54</v>
      </c>
      <c r="BT4324">
        <v>0.67</v>
      </c>
      <c r="BU4324">
        <v>0.23</v>
      </c>
      <c r="BV4324">
        <v>-0.25</v>
      </c>
      <c r="BW4324">
        <v>-0.74</v>
      </c>
      <c r="BX4324">
        <v>-0.35</v>
      </c>
      <c r="BY4324">
        <v>0.36</v>
      </c>
      <c r="BZ4324">
        <v>1.43</v>
      </c>
      <c r="CA4324">
        <v>0.68</v>
      </c>
      <c r="CB4324">
        <v>0.33</v>
      </c>
      <c r="CC4324">
        <v>0.96</v>
      </c>
      <c r="CD4324">
        <v>-0.63</v>
      </c>
      <c r="CE4324">
        <v>0.46</v>
      </c>
      <c r="CF4324">
        <v>-0.75</v>
      </c>
      <c r="CG4324">
        <v>0</v>
      </c>
      <c r="CH4324">
        <v>-0.09</v>
      </c>
      <c r="CI4324">
        <v>0</v>
      </c>
      <c r="CJ4324">
        <v>0.8</v>
      </c>
      <c r="CK4324">
        <v>69</v>
      </c>
      <c r="CL4324">
        <v>0.5</v>
      </c>
      <c r="CM4324">
        <v>64</v>
      </c>
      <c r="CN4324">
        <v>-0.61</v>
      </c>
      <c r="CO4324">
        <v>61</v>
      </c>
      <c r="CP4324">
        <v>-8.3000000000000007</v>
      </c>
      <c r="CQ4324">
        <v>48</v>
      </c>
      <c r="CR4324">
        <v>0</v>
      </c>
      <c r="CS4324">
        <v>0</v>
      </c>
      <c r="CT4324">
        <v>-8.6</v>
      </c>
      <c r="CU4324">
        <v>41</v>
      </c>
      <c r="CV4324">
        <v>-0.2</v>
      </c>
      <c r="CW4324">
        <v>19</v>
      </c>
      <c r="CX4324" t="s">
        <v>166</v>
      </c>
    </row>
    <row r="4325" spans="1:102" x14ac:dyDescent="0.3">
      <c r="A4325" t="str">
        <f>HYPERLINK("https://webapp.icbf.com/v2/app/bull-search/view/77856121","LBJ")</f>
        <v>LBJ</v>
      </c>
      <c r="B4325" t="s">
        <v>14333</v>
      </c>
      <c r="C4325" t="s">
        <v>14334</v>
      </c>
      <c r="D4325" s="1">
        <v>32881</v>
      </c>
      <c r="E4325" t="s">
        <v>92</v>
      </c>
      <c r="F4325">
        <v>100</v>
      </c>
      <c r="G4325" t="s">
        <v>93</v>
      </c>
      <c r="H4325">
        <v>-112.01</v>
      </c>
      <c r="I4325">
        <v>92</v>
      </c>
      <c r="J4325">
        <v>-40.68</v>
      </c>
      <c r="K4325">
        <v>98</v>
      </c>
      <c r="L4325">
        <v>-64.86</v>
      </c>
      <c r="M4325">
        <v>93</v>
      </c>
      <c r="N4325">
        <v>3.35</v>
      </c>
      <c r="O4325">
        <v>85</v>
      </c>
      <c r="P4325">
        <v>-12.12</v>
      </c>
      <c r="Q4325">
        <v>91</v>
      </c>
      <c r="R4325">
        <v>-9.41</v>
      </c>
      <c r="S4325">
        <v>85</v>
      </c>
      <c r="T4325">
        <v>13.53</v>
      </c>
      <c r="U4325">
        <v>86</v>
      </c>
      <c r="V4325">
        <v>-1.82</v>
      </c>
      <c r="W4325">
        <v>73</v>
      </c>
      <c r="X4325" t="s">
        <v>110</v>
      </c>
      <c r="Y4325" t="s">
        <v>95</v>
      </c>
      <c r="Z4325" t="s">
        <v>96</v>
      </c>
      <c r="AA4325" t="s">
        <v>111</v>
      </c>
      <c r="AB4325" t="s">
        <v>14335</v>
      </c>
      <c r="AC4325">
        <v>254</v>
      </c>
      <c r="AD4325">
        <v>122</v>
      </c>
      <c r="AE4325">
        <v>98</v>
      </c>
      <c r="AF4325">
        <v>366.03</v>
      </c>
      <c r="AG4325">
        <v>-4.2</v>
      </c>
      <c r="AH4325">
        <v>0.17</v>
      </c>
      <c r="AI4325">
        <v>-0.3</v>
      </c>
      <c r="AJ4325">
        <v>-0.2</v>
      </c>
      <c r="AK4325">
        <v>93</v>
      </c>
      <c r="AL4325">
        <v>272</v>
      </c>
      <c r="AM4325">
        <v>108</v>
      </c>
      <c r="AN4325">
        <v>3.76</v>
      </c>
      <c r="AO4325">
        <v>-1.41</v>
      </c>
      <c r="AP4325">
        <v>9</v>
      </c>
      <c r="AQ4325">
        <v>0</v>
      </c>
      <c r="AR4325">
        <v>6.64</v>
      </c>
      <c r="AS4325">
        <v>71</v>
      </c>
      <c r="AT4325">
        <v>3.69</v>
      </c>
      <c r="AU4325">
        <v>91</v>
      </c>
      <c r="AV4325">
        <v>-0.68</v>
      </c>
      <c r="AW4325">
        <v>86</v>
      </c>
      <c r="AX4325">
        <v>-0.32</v>
      </c>
      <c r="AY4325">
        <v>90</v>
      </c>
      <c r="AZ4325">
        <v>6.25</v>
      </c>
      <c r="BA4325">
        <v>68</v>
      </c>
      <c r="BB4325">
        <v>5.13</v>
      </c>
      <c r="BC4325">
        <v>80</v>
      </c>
      <c r="BD4325">
        <v>0.05</v>
      </c>
      <c r="BE4325">
        <v>7.0000000000000007E-2</v>
      </c>
      <c r="BF4325">
        <v>0</v>
      </c>
      <c r="BG4325">
        <v>96</v>
      </c>
      <c r="BH4325">
        <v>-0.01</v>
      </c>
      <c r="BI4325">
        <v>4.71</v>
      </c>
      <c r="BJ4325">
        <v>33</v>
      </c>
      <c r="BK4325">
        <v>24</v>
      </c>
      <c r="BL4325">
        <v>1.03</v>
      </c>
      <c r="BM4325">
        <v>0</v>
      </c>
      <c r="BN4325">
        <v>1.43</v>
      </c>
      <c r="BO4325">
        <v>0.9</v>
      </c>
      <c r="BP4325">
        <v>-0.6</v>
      </c>
      <c r="BQ4325">
        <v>0.37</v>
      </c>
      <c r="BR4325">
        <v>1.86</v>
      </c>
      <c r="BS4325">
        <v>0.08</v>
      </c>
      <c r="BT4325">
        <v>-2.13</v>
      </c>
      <c r="BU4325">
        <v>0.31</v>
      </c>
      <c r="BV4325">
        <v>0.44</v>
      </c>
      <c r="BW4325">
        <v>1.1399999999999999</v>
      </c>
      <c r="BX4325">
        <v>0.4</v>
      </c>
      <c r="BY4325">
        <v>-0.12</v>
      </c>
      <c r="BZ4325">
        <v>-0.45</v>
      </c>
      <c r="CA4325">
        <v>0.66</v>
      </c>
      <c r="CB4325">
        <v>0.56000000000000005</v>
      </c>
      <c r="CC4325">
        <v>0.48</v>
      </c>
      <c r="CD4325">
        <v>-0.68</v>
      </c>
      <c r="CE4325">
        <v>0.89</v>
      </c>
      <c r="CF4325">
        <v>1.1299999999999999</v>
      </c>
      <c r="CG4325">
        <v>0</v>
      </c>
      <c r="CH4325">
        <v>-0.04</v>
      </c>
      <c r="CI4325">
        <v>0</v>
      </c>
      <c r="CJ4325">
        <v>-3.5</v>
      </c>
      <c r="CK4325">
        <v>91</v>
      </c>
      <c r="CL4325">
        <v>-0.94</v>
      </c>
      <c r="CM4325">
        <v>90</v>
      </c>
      <c r="CN4325">
        <v>-0.32</v>
      </c>
      <c r="CO4325">
        <v>88</v>
      </c>
      <c r="CP4325">
        <v>-8.9</v>
      </c>
      <c r="CQ4325">
        <v>95</v>
      </c>
      <c r="CR4325">
        <v>0</v>
      </c>
      <c r="CS4325">
        <v>0</v>
      </c>
      <c r="CT4325">
        <v>-4.5</v>
      </c>
      <c r="CU4325">
        <v>86</v>
      </c>
      <c r="CV4325">
        <v>0.19</v>
      </c>
      <c r="CW4325">
        <v>44</v>
      </c>
      <c r="CX4325" t="s">
        <v>543</v>
      </c>
    </row>
    <row r="4326" spans="1:102" x14ac:dyDescent="0.3">
      <c r="A4326" t="str">
        <f>HYPERLINK("https://webapp.icbf.com/v2/app/bull-search/view/69989782","MYZ")</f>
        <v>MYZ</v>
      </c>
      <c r="B4326" t="s">
        <v>4617</v>
      </c>
      <c r="C4326" t="s">
        <v>4618</v>
      </c>
      <c r="D4326" s="1">
        <v>36795</v>
      </c>
      <c r="E4326" t="s">
        <v>92</v>
      </c>
      <c r="F4326">
        <v>100</v>
      </c>
      <c r="G4326" t="s">
        <v>93</v>
      </c>
      <c r="H4326">
        <v>-112.1</v>
      </c>
      <c r="I4326">
        <v>79</v>
      </c>
      <c r="J4326">
        <v>11.63</v>
      </c>
      <c r="K4326">
        <v>94</v>
      </c>
      <c r="L4326">
        <v>-127.77</v>
      </c>
      <c r="M4326">
        <v>65</v>
      </c>
      <c r="N4326">
        <v>1.81</v>
      </c>
      <c r="O4326">
        <v>79</v>
      </c>
      <c r="P4326">
        <v>-0.04</v>
      </c>
      <c r="Q4326">
        <v>92</v>
      </c>
      <c r="R4326">
        <v>-0.83</v>
      </c>
      <c r="S4326">
        <v>67</v>
      </c>
      <c r="T4326">
        <v>5.32</v>
      </c>
      <c r="U4326">
        <v>82</v>
      </c>
      <c r="V4326">
        <v>-2.2200000000000002</v>
      </c>
      <c r="W4326">
        <v>56</v>
      </c>
      <c r="X4326" t="s">
        <v>102</v>
      </c>
      <c r="Y4326" t="s">
        <v>95</v>
      </c>
      <c r="Z4326" t="s">
        <v>96</v>
      </c>
      <c r="AA4326" t="s">
        <v>4619</v>
      </c>
      <c r="AB4326" t="s">
        <v>4620</v>
      </c>
      <c r="AC4326">
        <v>58</v>
      </c>
      <c r="AD4326">
        <v>50</v>
      </c>
      <c r="AE4326">
        <v>94</v>
      </c>
      <c r="AF4326">
        <v>264.20999999999998</v>
      </c>
      <c r="AG4326">
        <v>1.42</v>
      </c>
      <c r="AH4326">
        <v>5.52</v>
      </c>
      <c r="AI4326">
        <v>-0.14000000000000001</v>
      </c>
      <c r="AJ4326">
        <v>-0.06</v>
      </c>
      <c r="AK4326">
        <v>65</v>
      </c>
      <c r="AL4326">
        <v>81</v>
      </c>
      <c r="AM4326">
        <v>62</v>
      </c>
      <c r="AN4326">
        <v>7.68</v>
      </c>
      <c r="AO4326">
        <v>-2.5</v>
      </c>
      <c r="AP4326">
        <v>131</v>
      </c>
      <c r="AQ4326">
        <v>0</v>
      </c>
      <c r="AR4326">
        <v>9.6999999999999993</v>
      </c>
      <c r="AS4326">
        <v>65</v>
      </c>
      <c r="AT4326">
        <v>4.1900000000000004</v>
      </c>
      <c r="AU4326">
        <v>78</v>
      </c>
      <c r="AV4326">
        <v>-2.36</v>
      </c>
      <c r="AW4326">
        <v>93</v>
      </c>
      <c r="AX4326">
        <v>0.79</v>
      </c>
      <c r="AY4326">
        <v>79</v>
      </c>
      <c r="AZ4326">
        <v>5.85</v>
      </c>
      <c r="BA4326">
        <v>52</v>
      </c>
      <c r="BB4326">
        <v>4.79</v>
      </c>
      <c r="BC4326">
        <v>54</v>
      </c>
      <c r="BD4326">
        <v>0.03</v>
      </c>
      <c r="BE4326">
        <v>0.01</v>
      </c>
      <c r="BF4326">
        <v>-0.05</v>
      </c>
      <c r="BG4326">
        <v>79</v>
      </c>
      <c r="BH4326">
        <v>0.06</v>
      </c>
      <c r="BI4326">
        <v>14.1</v>
      </c>
      <c r="BJ4326">
        <v>25</v>
      </c>
      <c r="BK4326">
        <v>16</v>
      </c>
      <c r="BL4326">
        <v>1.29</v>
      </c>
      <c r="BM4326">
        <v>-0.59</v>
      </c>
      <c r="BN4326">
        <v>2.09</v>
      </c>
      <c r="BO4326">
        <v>1.9</v>
      </c>
      <c r="BP4326">
        <v>1.43</v>
      </c>
      <c r="BQ4326">
        <v>0.14000000000000001</v>
      </c>
      <c r="BR4326">
        <v>1.61</v>
      </c>
      <c r="BS4326">
        <v>-0.68</v>
      </c>
      <c r="BT4326">
        <v>-1.02</v>
      </c>
      <c r="BU4326">
        <v>-1.08</v>
      </c>
      <c r="BV4326">
        <v>0.83</v>
      </c>
      <c r="BW4326">
        <v>0.73</v>
      </c>
      <c r="BX4326">
        <v>-1.56</v>
      </c>
      <c r="BY4326">
        <v>-0.56999999999999995</v>
      </c>
      <c r="BZ4326">
        <v>0</v>
      </c>
      <c r="CA4326">
        <v>-0.27</v>
      </c>
      <c r="CB4326">
        <v>-7.0000000000000007E-2</v>
      </c>
      <c r="CC4326">
        <v>-0.19</v>
      </c>
      <c r="CD4326">
        <v>-1.47</v>
      </c>
      <c r="CE4326">
        <v>1.49</v>
      </c>
      <c r="CF4326">
        <v>1.1000000000000001</v>
      </c>
      <c r="CG4326">
        <v>0</v>
      </c>
      <c r="CH4326">
        <v>0.81</v>
      </c>
      <c r="CI4326">
        <v>0</v>
      </c>
      <c r="CJ4326">
        <v>4.7</v>
      </c>
      <c r="CK4326">
        <v>93</v>
      </c>
      <c r="CL4326">
        <v>-0.9</v>
      </c>
      <c r="CM4326">
        <v>92</v>
      </c>
      <c r="CN4326">
        <v>-0.21</v>
      </c>
      <c r="CO4326">
        <v>91</v>
      </c>
      <c r="CP4326">
        <v>2</v>
      </c>
      <c r="CQ4326">
        <v>88</v>
      </c>
      <c r="CR4326">
        <v>0</v>
      </c>
      <c r="CS4326">
        <v>0</v>
      </c>
      <c r="CT4326">
        <v>6.6</v>
      </c>
      <c r="CU4326">
        <v>82</v>
      </c>
      <c r="CV4326">
        <v>0.37</v>
      </c>
      <c r="CW4326">
        <v>26</v>
      </c>
      <c r="CX4326" t="s">
        <v>596</v>
      </c>
    </row>
    <row r="4327" spans="1:102" x14ac:dyDescent="0.3">
      <c r="A4327" t="str">
        <f>HYPERLINK("https://webapp.icbf.com/v2/app/bull-search/view/69092098","LAK")</f>
        <v>LAK</v>
      </c>
      <c r="B4327" t="s">
        <v>10443</v>
      </c>
      <c r="C4327" t="s">
        <v>4114</v>
      </c>
      <c r="D4327" s="1">
        <v>34675</v>
      </c>
      <c r="E4327" t="s">
        <v>92</v>
      </c>
      <c r="F4327">
        <v>100</v>
      </c>
      <c r="G4327" t="s">
        <v>93</v>
      </c>
      <c r="H4327">
        <v>-112.12</v>
      </c>
      <c r="I4327">
        <v>92</v>
      </c>
      <c r="J4327">
        <v>7.32</v>
      </c>
      <c r="K4327">
        <v>98</v>
      </c>
      <c r="L4327">
        <v>-116.75</v>
      </c>
      <c r="M4327">
        <v>90</v>
      </c>
      <c r="N4327">
        <v>2.13</v>
      </c>
      <c r="O4327">
        <v>89</v>
      </c>
      <c r="P4327">
        <v>-7.95</v>
      </c>
      <c r="Q4327">
        <v>96</v>
      </c>
      <c r="R4327">
        <v>7.26</v>
      </c>
      <c r="S4327">
        <v>83</v>
      </c>
      <c r="T4327">
        <v>8.8699999999999992</v>
      </c>
      <c r="U4327">
        <v>86</v>
      </c>
      <c r="V4327">
        <v>-13</v>
      </c>
      <c r="W4327">
        <v>77</v>
      </c>
      <c r="X4327" t="s">
        <v>102</v>
      </c>
      <c r="Y4327" t="s">
        <v>95</v>
      </c>
      <c r="Z4327" t="s">
        <v>96</v>
      </c>
      <c r="AA4327" t="s">
        <v>678</v>
      </c>
      <c r="AB4327" t="s">
        <v>10444</v>
      </c>
      <c r="AC4327">
        <v>169</v>
      </c>
      <c r="AD4327">
        <v>76</v>
      </c>
      <c r="AE4327">
        <v>98</v>
      </c>
      <c r="AF4327">
        <v>-15.69</v>
      </c>
      <c r="AG4327">
        <v>-1.37</v>
      </c>
      <c r="AH4327">
        <v>1.49</v>
      </c>
      <c r="AI4327">
        <v>-0.01</v>
      </c>
      <c r="AJ4327">
        <v>0.04</v>
      </c>
      <c r="AK4327">
        <v>90</v>
      </c>
      <c r="AL4327">
        <v>169</v>
      </c>
      <c r="AM4327">
        <v>71</v>
      </c>
      <c r="AN4327">
        <v>5.67</v>
      </c>
      <c r="AO4327">
        <v>-3.65</v>
      </c>
      <c r="AP4327">
        <v>253</v>
      </c>
      <c r="AQ4327">
        <v>0</v>
      </c>
      <c r="AR4327">
        <v>5.85</v>
      </c>
      <c r="AS4327">
        <v>88</v>
      </c>
      <c r="AT4327">
        <v>3.58</v>
      </c>
      <c r="AU4327">
        <v>93</v>
      </c>
      <c r="AV4327">
        <v>-0.21</v>
      </c>
      <c r="AW4327">
        <v>93</v>
      </c>
      <c r="AX4327">
        <v>-0.49</v>
      </c>
      <c r="AY4327">
        <v>88</v>
      </c>
      <c r="AZ4327">
        <v>6.77</v>
      </c>
      <c r="BA4327">
        <v>75</v>
      </c>
      <c r="BB4327">
        <v>5.18</v>
      </c>
      <c r="BC4327">
        <v>78</v>
      </c>
      <c r="BD4327">
        <v>0</v>
      </c>
      <c r="BE4327">
        <v>-0.03</v>
      </c>
      <c r="BF4327">
        <v>-0.11</v>
      </c>
      <c r="BG4327">
        <v>93</v>
      </c>
      <c r="BH4327">
        <v>-0.28000000000000003</v>
      </c>
      <c r="BI4327">
        <v>9.56</v>
      </c>
      <c r="BJ4327">
        <v>31</v>
      </c>
      <c r="BK4327">
        <v>14</v>
      </c>
      <c r="BL4327">
        <v>0.22</v>
      </c>
      <c r="BM4327">
        <v>-1.59</v>
      </c>
      <c r="BN4327">
        <v>-0.28999999999999998</v>
      </c>
      <c r="BO4327">
        <v>0.56000000000000005</v>
      </c>
      <c r="BP4327">
        <v>-2.37</v>
      </c>
      <c r="BQ4327">
        <v>-0.54</v>
      </c>
      <c r="BR4327">
        <v>0.52</v>
      </c>
      <c r="BS4327">
        <v>-0.39</v>
      </c>
      <c r="BT4327">
        <v>0.8</v>
      </c>
      <c r="BU4327">
        <v>0.37</v>
      </c>
      <c r="BV4327">
        <v>0.14000000000000001</v>
      </c>
      <c r="BW4327">
        <v>0.64</v>
      </c>
      <c r="BX4327">
        <v>0.84</v>
      </c>
      <c r="BY4327">
        <v>1.57</v>
      </c>
      <c r="BZ4327">
        <v>1.2</v>
      </c>
      <c r="CA4327">
        <v>0.62</v>
      </c>
      <c r="CB4327">
        <v>0.87</v>
      </c>
      <c r="CC4327">
        <v>-0.14000000000000001</v>
      </c>
      <c r="CD4327">
        <v>-1.34</v>
      </c>
      <c r="CE4327">
        <v>0.46</v>
      </c>
      <c r="CF4327">
        <v>-0.84</v>
      </c>
      <c r="CG4327">
        <v>0</v>
      </c>
      <c r="CH4327">
        <v>1.58</v>
      </c>
      <c r="CI4327">
        <v>0</v>
      </c>
      <c r="CJ4327">
        <v>-1.7</v>
      </c>
      <c r="CK4327">
        <v>97</v>
      </c>
      <c r="CL4327">
        <v>-0.77</v>
      </c>
      <c r="CM4327">
        <v>96</v>
      </c>
      <c r="CN4327">
        <v>-0.19</v>
      </c>
      <c r="CO4327">
        <v>95</v>
      </c>
      <c r="CP4327">
        <v>0.8</v>
      </c>
      <c r="CQ4327">
        <v>94</v>
      </c>
      <c r="CR4327">
        <v>0</v>
      </c>
      <c r="CS4327">
        <v>0</v>
      </c>
      <c r="CT4327">
        <v>1.8</v>
      </c>
      <c r="CU4327">
        <v>86</v>
      </c>
      <c r="CV4327">
        <v>0.15</v>
      </c>
      <c r="CW4327">
        <v>45</v>
      </c>
      <c r="CX4327" t="s">
        <v>2745</v>
      </c>
    </row>
    <row r="4328" spans="1:102" x14ac:dyDescent="0.3">
      <c r="A4328" t="str">
        <f>HYPERLINK("https://webapp.icbf.com/v2/app/bull-search/view/74683128","SUL")</f>
        <v>SUL</v>
      </c>
      <c r="B4328" t="s">
        <v>3324</v>
      </c>
      <c r="C4328" t="s">
        <v>3325</v>
      </c>
      <c r="D4328" s="1">
        <v>33418</v>
      </c>
      <c r="E4328" t="s">
        <v>92</v>
      </c>
      <c r="F4328">
        <v>100</v>
      </c>
      <c r="G4328" t="s">
        <v>93</v>
      </c>
      <c r="H4328">
        <v>-112.4</v>
      </c>
      <c r="I4328">
        <v>91</v>
      </c>
      <c r="J4328">
        <v>27.48</v>
      </c>
      <c r="K4328">
        <v>97</v>
      </c>
      <c r="L4328">
        <v>-99.68</v>
      </c>
      <c r="M4328">
        <v>91</v>
      </c>
      <c r="N4328">
        <v>-27.48</v>
      </c>
      <c r="O4328">
        <v>84</v>
      </c>
      <c r="P4328">
        <v>-8.58</v>
      </c>
      <c r="Q4328">
        <v>90</v>
      </c>
      <c r="R4328">
        <v>-10.029999999999999</v>
      </c>
      <c r="S4328">
        <v>83</v>
      </c>
      <c r="T4328">
        <v>6.94</v>
      </c>
      <c r="U4328">
        <v>87</v>
      </c>
      <c r="V4328">
        <v>-1.05</v>
      </c>
      <c r="W4328">
        <v>70</v>
      </c>
      <c r="X4328" t="s">
        <v>94</v>
      </c>
      <c r="Y4328" t="s">
        <v>95</v>
      </c>
      <c r="Z4328" t="s">
        <v>96</v>
      </c>
      <c r="AA4328" t="s">
        <v>118</v>
      </c>
      <c r="AB4328" t="s">
        <v>3326</v>
      </c>
      <c r="AC4328">
        <v>122</v>
      </c>
      <c r="AD4328">
        <v>57</v>
      </c>
      <c r="AE4328">
        <v>97</v>
      </c>
      <c r="AF4328">
        <v>153.76</v>
      </c>
      <c r="AG4328">
        <v>4.26</v>
      </c>
      <c r="AH4328">
        <v>5.52</v>
      </c>
      <c r="AI4328">
        <v>-0.03</v>
      </c>
      <c r="AJ4328">
        <v>0.01</v>
      </c>
      <c r="AK4328">
        <v>91</v>
      </c>
      <c r="AL4328">
        <v>123</v>
      </c>
      <c r="AM4328">
        <v>48</v>
      </c>
      <c r="AN4328">
        <v>6.18</v>
      </c>
      <c r="AO4328">
        <v>-1.76</v>
      </c>
      <c r="AP4328">
        <v>36</v>
      </c>
      <c r="AQ4328">
        <v>0</v>
      </c>
      <c r="AR4328">
        <v>13.28</v>
      </c>
      <c r="AS4328">
        <v>71</v>
      </c>
      <c r="AT4328">
        <v>4.97</v>
      </c>
      <c r="AU4328">
        <v>95</v>
      </c>
      <c r="AV4328">
        <v>-1.23</v>
      </c>
      <c r="AW4328">
        <v>85</v>
      </c>
      <c r="AX4328">
        <v>0.48</v>
      </c>
      <c r="AY4328">
        <v>84</v>
      </c>
      <c r="AZ4328">
        <v>5.86</v>
      </c>
      <c r="BA4328">
        <v>69</v>
      </c>
      <c r="BB4328">
        <v>4.4800000000000004</v>
      </c>
      <c r="BC4328">
        <v>73</v>
      </c>
      <c r="BD4328">
        <v>7.0000000000000007E-2</v>
      </c>
      <c r="BE4328">
        <v>0.06</v>
      </c>
      <c r="BF4328">
        <v>0</v>
      </c>
      <c r="BG4328">
        <v>95</v>
      </c>
      <c r="BH4328">
        <v>-0.14000000000000001</v>
      </c>
      <c r="BI4328">
        <v>-12.82</v>
      </c>
      <c r="BJ4328">
        <v>9</v>
      </c>
      <c r="BK4328">
        <v>7</v>
      </c>
      <c r="BL4328">
        <v>0.42</v>
      </c>
      <c r="BM4328">
        <v>1.1299999999999999</v>
      </c>
      <c r="BN4328">
        <v>2.0099999999999998</v>
      </c>
      <c r="BO4328">
        <v>0.61</v>
      </c>
      <c r="BP4328">
        <v>1.47</v>
      </c>
      <c r="BQ4328">
        <v>1.24</v>
      </c>
      <c r="BR4328">
        <v>0.83</v>
      </c>
      <c r="BS4328">
        <v>-0.05</v>
      </c>
      <c r="BT4328">
        <v>0.74</v>
      </c>
      <c r="BU4328">
        <v>-0.26</v>
      </c>
      <c r="BV4328">
        <v>0.37</v>
      </c>
      <c r="BW4328">
        <v>-0.06</v>
      </c>
      <c r="BX4328">
        <v>-1.44</v>
      </c>
      <c r="BY4328">
        <v>-0.23</v>
      </c>
      <c r="BZ4328">
        <v>0.32</v>
      </c>
      <c r="CA4328">
        <v>-0.28999999999999998</v>
      </c>
      <c r="CB4328">
        <v>-0.06</v>
      </c>
      <c r="CC4328">
        <v>0.03</v>
      </c>
      <c r="CD4328">
        <v>-0.22</v>
      </c>
      <c r="CE4328">
        <v>0.82</v>
      </c>
      <c r="CF4328">
        <v>0.71</v>
      </c>
      <c r="CG4328">
        <v>0</v>
      </c>
      <c r="CH4328">
        <v>0.05</v>
      </c>
      <c r="CI4328">
        <v>0</v>
      </c>
      <c r="CJ4328">
        <v>0.5</v>
      </c>
      <c r="CK4328">
        <v>91</v>
      </c>
      <c r="CL4328">
        <v>-0.77</v>
      </c>
      <c r="CM4328">
        <v>90</v>
      </c>
      <c r="CN4328">
        <v>0.08</v>
      </c>
      <c r="CO4328">
        <v>88</v>
      </c>
      <c r="CP4328">
        <v>-2.6</v>
      </c>
      <c r="CQ4328">
        <v>92</v>
      </c>
      <c r="CR4328">
        <v>0</v>
      </c>
      <c r="CS4328">
        <v>0</v>
      </c>
      <c r="CT4328">
        <v>4.4000000000000004</v>
      </c>
      <c r="CU4328">
        <v>87</v>
      </c>
      <c r="CV4328">
        <v>0.18</v>
      </c>
      <c r="CW4328">
        <v>44</v>
      </c>
      <c r="CX4328" t="s">
        <v>914</v>
      </c>
    </row>
    <row r="4329" spans="1:102" x14ac:dyDescent="0.3">
      <c r="A4329" t="str">
        <f>HYPERLINK("https://webapp.icbf.com/v2/app/bull-search/view/77854546","OBW")</f>
        <v>OBW</v>
      </c>
      <c r="B4329" t="s">
        <v>10792</v>
      </c>
      <c r="C4329" t="s">
        <v>10793</v>
      </c>
      <c r="D4329" s="1">
        <v>32884</v>
      </c>
      <c r="E4329" t="s">
        <v>92</v>
      </c>
      <c r="F4329">
        <v>100</v>
      </c>
      <c r="G4329" t="s">
        <v>109</v>
      </c>
      <c r="H4329">
        <v>-112.4</v>
      </c>
      <c r="I4329">
        <v>69</v>
      </c>
      <c r="J4329">
        <v>-34.19</v>
      </c>
      <c r="K4329">
        <v>82</v>
      </c>
      <c r="L4329">
        <v>-82.67</v>
      </c>
      <c r="M4329">
        <v>80</v>
      </c>
      <c r="N4329">
        <v>5.03</v>
      </c>
      <c r="O4329">
        <v>50</v>
      </c>
      <c r="P4329">
        <v>-12.22</v>
      </c>
      <c r="Q4329">
        <v>45</v>
      </c>
      <c r="R4329">
        <v>-7.0000000000000007E-2</v>
      </c>
      <c r="S4329">
        <v>64</v>
      </c>
      <c r="T4329">
        <v>11.68</v>
      </c>
      <c r="U4329">
        <v>38</v>
      </c>
      <c r="V4329">
        <v>0.04</v>
      </c>
      <c r="W4329">
        <v>32</v>
      </c>
      <c r="X4329" t="s">
        <v>276</v>
      </c>
      <c r="Y4329" t="s">
        <v>95</v>
      </c>
      <c r="Z4329" t="s">
        <v>96</v>
      </c>
      <c r="AA4329" t="s">
        <v>111</v>
      </c>
      <c r="AB4329" t="s">
        <v>10794</v>
      </c>
      <c r="AC4329">
        <v>0</v>
      </c>
      <c r="AD4329">
        <v>0</v>
      </c>
      <c r="AE4329">
        <v>82</v>
      </c>
      <c r="AF4329">
        <v>139.88</v>
      </c>
      <c r="AG4329">
        <v>-7.02</v>
      </c>
      <c r="AH4329">
        <v>-1.19</v>
      </c>
      <c r="AI4329">
        <v>-0.2</v>
      </c>
      <c r="AJ4329">
        <v>-0.1</v>
      </c>
      <c r="AK4329">
        <v>80</v>
      </c>
      <c r="AL4329">
        <v>0</v>
      </c>
      <c r="AM4329">
        <v>0</v>
      </c>
      <c r="AN4329">
        <v>4.72</v>
      </c>
      <c r="AO4329">
        <v>-1.87</v>
      </c>
      <c r="AP4329">
        <v>3</v>
      </c>
      <c r="AQ4329">
        <v>0</v>
      </c>
      <c r="AR4329">
        <v>8.68</v>
      </c>
      <c r="AS4329">
        <v>29</v>
      </c>
      <c r="AT4329">
        <v>3.84</v>
      </c>
      <c r="AU4329">
        <v>85</v>
      </c>
      <c r="AV4329">
        <v>-1.33</v>
      </c>
      <c r="AW4329">
        <v>44</v>
      </c>
      <c r="AX4329">
        <v>-0.37</v>
      </c>
      <c r="AY4329">
        <v>37</v>
      </c>
      <c r="AZ4329">
        <v>5.68</v>
      </c>
      <c r="BA4329">
        <v>30</v>
      </c>
      <c r="BB4329">
        <v>4.54</v>
      </c>
      <c r="BC4329">
        <v>30</v>
      </c>
      <c r="BD4329">
        <v>0.04</v>
      </c>
      <c r="BE4329">
        <v>0.05</v>
      </c>
      <c r="BF4329">
        <v>-0.16</v>
      </c>
      <c r="BG4329">
        <v>88</v>
      </c>
      <c r="BH4329">
        <v>0.1</v>
      </c>
      <c r="BI4329">
        <v>11.45</v>
      </c>
      <c r="BJ4329">
        <v>2</v>
      </c>
      <c r="BK4329">
        <v>1</v>
      </c>
      <c r="BL4329">
        <v>0.13</v>
      </c>
      <c r="BM4329">
        <v>1.1200000000000001</v>
      </c>
      <c r="BN4329">
        <v>1.51</v>
      </c>
      <c r="BO4329">
        <v>0.39</v>
      </c>
      <c r="BP4329">
        <v>-0.9</v>
      </c>
      <c r="BQ4329">
        <v>-0.04</v>
      </c>
      <c r="BR4329">
        <v>0.82</v>
      </c>
      <c r="BS4329">
        <v>0.21</v>
      </c>
      <c r="BT4329">
        <v>0.06</v>
      </c>
      <c r="BU4329">
        <v>1.41</v>
      </c>
      <c r="BV4329">
        <v>1.06</v>
      </c>
      <c r="BW4329">
        <v>0.23</v>
      </c>
      <c r="BX4329">
        <v>0.53</v>
      </c>
      <c r="BY4329">
        <v>0.64</v>
      </c>
      <c r="BZ4329">
        <v>-0.7</v>
      </c>
      <c r="CA4329">
        <v>0.61</v>
      </c>
      <c r="CB4329">
        <v>0.54</v>
      </c>
      <c r="CC4329">
        <v>0.66</v>
      </c>
      <c r="CD4329">
        <v>-0.04</v>
      </c>
      <c r="CE4329">
        <v>0.4</v>
      </c>
      <c r="CF4329">
        <v>0.65</v>
      </c>
      <c r="CG4329">
        <v>0</v>
      </c>
      <c r="CH4329">
        <v>0.57999999999999996</v>
      </c>
      <c r="CI4329">
        <v>0</v>
      </c>
      <c r="CJ4329">
        <v>-5.9</v>
      </c>
      <c r="CK4329">
        <v>47</v>
      </c>
      <c r="CL4329">
        <v>-0.62</v>
      </c>
      <c r="CM4329">
        <v>43</v>
      </c>
      <c r="CN4329">
        <v>-0.27</v>
      </c>
      <c r="CO4329">
        <v>40</v>
      </c>
      <c r="CP4329">
        <v>-5.6</v>
      </c>
      <c r="CQ4329">
        <v>45</v>
      </c>
      <c r="CR4329">
        <v>0</v>
      </c>
      <c r="CS4329">
        <v>0</v>
      </c>
      <c r="CT4329">
        <v>-2</v>
      </c>
      <c r="CU4329">
        <v>38</v>
      </c>
      <c r="CV4329">
        <v>0.01</v>
      </c>
      <c r="CW4329">
        <v>13</v>
      </c>
      <c r="CX4329" t="s">
        <v>128</v>
      </c>
    </row>
    <row r="4330" spans="1:102" x14ac:dyDescent="0.3">
      <c r="A4330" t="str">
        <f>HYPERLINK("https://webapp.icbf.com/v2/app/bull-search/view/77859679","BHM")</f>
        <v>BHM</v>
      </c>
      <c r="B4330" t="s">
        <v>12181</v>
      </c>
      <c r="C4330" t="s">
        <v>12182</v>
      </c>
      <c r="D4330" s="1">
        <v>32064</v>
      </c>
      <c r="E4330" t="s">
        <v>92</v>
      </c>
      <c r="F4330">
        <v>100</v>
      </c>
      <c r="G4330" t="s">
        <v>93</v>
      </c>
      <c r="H4330">
        <v>-112.49</v>
      </c>
      <c r="I4330">
        <v>91</v>
      </c>
      <c r="J4330">
        <v>-24.19</v>
      </c>
      <c r="K4330">
        <v>98</v>
      </c>
      <c r="L4330">
        <v>-92.78</v>
      </c>
      <c r="M4330">
        <v>91</v>
      </c>
      <c r="N4330">
        <v>-14.62</v>
      </c>
      <c r="O4330">
        <v>82</v>
      </c>
      <c r="P4330">
        <v>-2.21</v>
      </c>
      <c r="Q4330">
        <v>90</v>
      </c>
      <c r="R4330">
        <v>4.3899999999999997</v>
      </c>
      <c r="S4330">
        <v>84</v>
      </c>
      <c r="T4330">
        <v>12.05</v>
      </c>
      <c r="U4330">
        <v>86</v>
      </c>
      <c r="V4330">
        <v>4.87</v>
      </c>
      <c r="W4330">
        <v>71</v>
      </c>
      <c r="X4330" t="s">
        <v>276</v>
      </c>
      <c r="Y4330" t="s">
        <v>95</v>
      </c>
      <c r="Z4330" t="s">
        <v>96</v>
      </c>
      <c r="AA4330" t="s">
        <v>543</v>
      </c>
      <c r="AB4330" t="s">
        <v>12183</v>
      </c>
      <c r="AC4330">
        <v>188</v>
      </c>
      <c r="AD4330">
        <v>98</v>
      </c>
      <c r="AE4330">
        <v>98</v>
      </c>
      <c r="AF4330">
        <v>-21.69</v>
      </c>
      <c r="AG4330">
        <v>0.24</v>
      </c>
      <c r="AH4330">
        <v>-4.53</v>
      </c>
      <c r="AI4330">
        <v>0.02</v>
      </c>
      <c r="AJ4330">
        <v>-7.0000000000000007E-2</v>
      </c>
      <c r="AK4330">
        <v>91</v>
      </c>
      <c r="AL4330">
        <v>255</v>
      </c>
      <c r="AM4330">
        <v>115</v>
      </c>
      <c r="AN4330">
        <v>4.9800000000000004</v>
      </c>
      <c r="AO4330">
        <v>-2.42</v>
      </c>
      <c r="AP4330">
        <v>9</v>
      </c>
      <c r="AQ4330">
        <v>1</v>
      </c>
      <c r="AR4330">
        <v>6.75</v>
      </c>
      <c r="AS4330">
        <v>73</v>
      </c>
      <c r="AT4330">
        <v>2.96</v>
      </c>
      <c r="AU4330">
        <v>84</v>
      </c>
      <c r="AV4330">
        <v>0.93</v>
      </c>
      <c r="AW4330">
        <v>84</v>
      </c>
      <c r="AX4330">
        <v>-0.17</v>
      </c>
      <c r="AY4330">
        <v>88</v>
      </c>
      <c r="AZ4330">
        <v>10.210000000000001</v>
      </c>
      <c r="BA4330">
        <v>66</v>
      </c>
      <c r="BB4330">
        <v>5.9</v>
      </c>
      <c r="BC4330">
        <v>78</v>
      </c>
      <c r="BD4330">
        <v>0.03</v>
      </c>
      <c r="BE4330">
        <v>0.01</v>
      </c>
      <c r="BF4330">
        <v>-0.17</v>
      </c>
      <c r="BG4330">
        <v>95</v>
      </c>
      <c r="BH4330">
        <v>0.08</v>
      </c>
      <c r="BI4330">
        <v>-6.44</v>
      </c>
      <c r="BJ4330">
        <v>15</v>
      </c>
      <c r="BK4330">
        <v>9</v>
      </c>
      <c r="BL4330">
        <v>0.52</v>
      </c>
      <c r="BM4330">
        <v>0.51</v>
      </c>
      <c r="BN4330">
        <v>1.58</v>
      </c>
      <c r="BO4330">
        <v>0.47</v>
      </c>
      <c r="BP4330">
        <v>-2.77</v>
      </c>
      <c r="BQ4330">
        <v>1.1599999999999999</v>
      </c>
      <c r="BR4330">
        <v>2.72</v>
      </c>
      <c r="BS4330">
        <v>-2.46</v>
      </c>
      <c r="BT4330">
        <v>-1.62</v>
      </c>
      <c r="BU4330">
        <v>0.97</v>
      </c>
      <c r="BV4330">
        <v>0.77</v>
      </c>
      <c r="BW4330">
        <v>1.0900000000000001</v>
      </c>
      <c r="BX4330">
        <v>0.73</v>
      </c>
      <c r="BY4330">
        <v>0.27</v>
      </c>
      <c r="BZ4330">
        <v>-0.91</v>
      </c>
      <c r="CA4330">
        <v>0.19</v>
      </c>
      <c r="CB4330">
        <v>0.9</v>
      </c>
      <c r="CC4330">
        <v>-1.79</v>
      </c>
      <c r="CD4330">
        <v>0.18</v>
      </c>
      <c r="CE4330">
        <v>1.05</v>
      </c>
      <c r="CF4330">
        <v>1.48</v>
      </c>
      <c r="CG4330">
        <v>0</v>
      </c>
      <c r="CH4330">
        <v>0.54</v>
      </c>
      <c r="CI4330">
        <v>0</v>
      </c>
      <c r="CJ4330">
        <v>-0.6</v>
      </c>
      <c r="CK4330">
        <v>90</v>
      </c>
      <c r="CL4330">
        <v>-0.55000000000000004</v>
      </c>
      <c r="CM4330">
        <v>89</v>
      </c>
      <c r="CN4330">
        <v>-0.44</v>
      </c>
      <c r="CO4330">
        <v>87</v>
      </c>
      <c r="CP4330">
        <v>-5.7</v>
      </c>
      <c r="CQ4330">
        <v>92</v>
      </c>
      <c r="CR4330">
        <v>0</v>
      </c>
      <c r="CS4330">
        <v>0</v>
      </c>
      <c r="CT4330">
        <v>-2.5</v>
      </c>
      <c r="CU4330">
        <v>86</v>
      </c>
      <c r="CV4330">
        <v>7.0000000000000007E-2</v>
      </c>
      <c r="CW4330">
        <v>44</v>
      </c>
      <c r="CX4330" t="s">
        <v>120</v>
      </c>
    </row>
    <row r="4331" spans="1:102" x14ac:dyDescent="0.3">
      <c r="A4331" t="str">
        <f>HYPERLINK("https://webapp.icbf.com/v2/app/bull-search/view/77856049","KVA")</f>
        <v>KVA</v>
      </c>
      <c r="B4331" t="s">
        <v>4946</v>
      </c>
      <c r="C4331" t="s">
        <v>4947</v>
      </c>
      <c r="D4331" s="1">
        <v>34155</v>
      </c>
      <c r="E4331" t="s">
        <v>92</v>
      </c>
      <c r="F4331">
        <v>100</v>
      </c>
      <c r="G4331" t="s">
        <v>109</v>
      </c>
      <c r="H4331">
        <v>-112.73</v>
      </c>
      <c r="I4331">
        <v>72</v>
      </c>
      <c r="J4331">
        <v>-6.99</v>
      </c>
      <c r="K4331">
        <v>82</v>
      </c>
      <c r="L4331">
        <v>-72.97</v>
      </c>
      <c r="M4331">
        <v>76</v>
      </c>
      <c r="N4331">
        <v>-29.45</v>
      </c>
      <c r="O4331">
        <v>61</v>
      </c>
      <c r="P4331">
        <v>3.71</v>
      </c>
      <c r="Q4331">
        <v>71</v>
      </c>
      <c r="R4331">
        <v>-6.07</v>
      </c>
      <c r="S4331">
        <v>62</v>
      </c>
      <c r="T4331">
        <v>2.13</v>
      </c>
      <c r="U4331">
        <v>52</v>
      </c>
      <c r="V4331">
        <v>-3.09</v>
      </c>
      <c r="W4331">
        <v>36</v>
      </c>
      <c r="X4331" t="s">
        <v>131</v>
      </c>
      <c r="Y4331" t="s">
        <v>95</v>
      </c>
      <c r="Z4331" t="s">
        <v>96</v>
      </c>
      <c r="AA4331" t="s">
        <v>1185</v>
      </c>
      <c r="AB4331" t="s">
        <v>4948</v>
      </c>
      <c r="AC4331">
        <v>0</v>
      </c>
      <c r="AD4331">
        <v>0</v>
      </c>
      <c r="AE4331">
        <v>82</v>
      </c>
      <c r="AF4331">
        <v>139</v>
      </c>
      <c r="AG4331">
        <v>4.8</v>
      </c>
      <c r="AH4331">
        <v>-0.76</v>
      </c>
      <c r="AI4331">
        <v>-0.01</v>
      </c>
      <c r="AJ4331">
        <v>-0.09</v>
      </c>
      <c r="AK4331">
        <v>76</v>
      </c>
      <c r="AL4331">
        <v>0</v>
      </c>
      <c r="AM4331">
        <v>0</v>
      </c>
      <c r="AN4331">
        <v>4.67</v>
      </c>
      <c r="AO4331">
        <v>-1.1399999999999999</v>
      </c>
      <c r="AP4331">
        <v>15</v>
      </c>
      <c r="AQ4331">
        <v>2</v>
      </c>
      <c r="AR4331">
        <v>10.67</v>
      </c>
      <c r="AS4331">
        <v>32</v>
      </c>
      <c r="AT4331">
        <v>5.03</v>
      </c>
      <c r="AU4331">
        <v>85</v>
      </c>
      <c r="AV4331">
        <v>0.51</v>
      </c>
      <c r="AW4331">
        <v>67</v>
      </c>
      <c r="AX4331">
        <v>-0.28999999999999998</v>
      </c>
      <c r="AY4331">
        <v>47</v>
      </c>
      <c r="AZ4331">
        <v>5.41</v>
      </c>
      <c r="BA4331">
        <v>31</v>
      </c>
      <c r="BB4331">
        <v>4.49</v>
      </c>
      <c r="BC4331">
        <v>33</v>
      </c>
      <c r="BD4331">
        <v>0.04</v>
      </c>
      <c r="BE4331">
        <v>7.0000000000000007E-2</v>
      </c>
      <c r="BF4331">
        <v>-0.06</v>
      </c>
      <c r="BG4331">
        <v>85</v>
      </c>
      <c r="BH4331">
        <v>-0.05</v>
      </c>
      <c r="BI4331">
        <v>4.17</v>
      </c>
      <c r="BJ4331">
        <v>0</v>
      </c>
      <c r="BK4331">
        <v>0</v>
      </c>
      <c r="BL4331">
        <v>0.99</v>
      </c>
      <c r="BM4331">
        <v>-0.71</v>
      </c>
      <c r="BN4331">
        <v>0.37</v>
      </c>
      <c r="BO4331">
        <v>1.07</v>
      </c>
      <c r="BP4331">
        <v>0.36</v>
      </c>
      <c r="BQ4331">
        <v>0.47</v>
      </c>
      <c r="BR4331">
        <v>-0.56999999999999995</v>
      </c>
      <c r="BS4331">
        <v>1.36</v>
      </c>
      <c r="BT4331">
        <v>0.96</v>
      </c>
      <c r="BU4331">
        <v>0.33</v>
      </c>
      <c r="BV4331">
        <v>1.03</v>
      </c>
      <c r="BW4331">
        <v>0.55000000000000004</v>
      </c>
      <c r="BX4331">
        <v>0.6</v>
      </c>
      <c r="BY4331">
        <v>-1.25</v>
      </c>
      <c r="BZ4331">
        <v>-0.98</v>
      </c>
      <c r="CA4331">
        <v>1.24</v>
      </c>
      <c r="CB4331">
        <v>0.72</v>
      </c>
      <c r="CC4331">
        <v>1.76</v>
      </c>
      <c r="CD4331">
        <v>-0.39</v>
      </c>
      <c r="CE4331">
        <v>0</v>
      </c>
      <c r="CF4331">
        <v>0</v>
      </c>
      <c r="CG4331">
        <v>0</v>
      </c>
      <c r="CH4331">
        <v>0</v>
      </c>
      <c r="CI4331">
        <v>0</v>
      </c>
      <c r="CJ4331">
        <v>4.4000000000000004</v>
      </c>
      <c r="CK4331">
        <v>74</v>
      </c>
      <c r="CL4331">
        <v>-0.41</v>
      </c>
      <c r="CM4331">
        <v>70</v>
      </c>
      <c r="CN4331">
        <v>-0.11</v>
      </c>
      <c r="CO4331">
        <v>67</v>
      </c>
      <c r="CP4331">
        <v>3.9</v>
      </c>
      <c r="CQ4331">
        <v>60</v>
      </c>
      <c r="CR4331">
        <v>0</v>
      </c>
      <c r="CS4331">
        <v>0</v>
      </c>
      <c r="CT4331">
        <v>10.9</v>
      </c>
      <c r="CU4331">
        <v>52</v>
      </c>
      <c r="CV4331">
        <v>0.16</v>
      </c>
      <c r="CW4331">
        <v>20</v>
      </c>
      <c r="CX4331" t="s">
        <v>543</v>
      </c>
    </row>
    <row r="4332" spans="1:102" x14ac:dyDescent="0.3">
      <c r="A4332" t="str">
        <f>HYPERLINK("https://webapp.icbf.com/v2/app/bull-search/view/77852611","WLM")</f>
        <v>WLM</v>
      </c>
      <c r="B4332" t="s">
        <v>11154</v>
      </c>
      <c r="C4332" t="s">
        <v>11155</v>
      </c>
      <c r="D4332" s="1">
        <v>31747</v>
      </c>
      <c r="E4332" t="s">
        <v>92</v>
      </c>
      <c r="F4332">
        <v>100</v>
      </c>
      <c r="G4332" t="s">
        <v>109</v>
      </c>
      <c r="H4332">
        <v>-112.78</v>
      </c>
      <c r="I4332">
        <v>84</v>
      </c>
      <c r="J4332">
        <v>-22.28</v>
      </c>
      <c r="K4332">
        <v>95</v>
      </c>
      <c r="L4332">
        <v>-73.260000000000005</v>
      </c>
      <c r="M4332">
        <v>90</v>
      </c>
      <c r="N4332">
        <v>-16.55</v>
      </c>
      <c r="O4332">
        <v>68</v>
      </c>
      <c r="P4332">
        <v>-6.43</v>
      </c>
      <c r="Q4332">
        <v>67</v>
      </c>
      <c r="R4332">
        <v>-3.84</v>
      </c>
      <c r="S4332">
        <v>80</v>
      </c>
      <c r="T4332">
        <v>17.23</v>
      </c>
      <c r="U4332">
        <v>67</v>
      </c>
      <c r="V4332">
        <v>-7.65</v>
      </c>
      <c r="W4332">
        <v>66</v>
      </c>
      <c r="X4332" t="s">
        <v>110</v>
      </c>
      <c r="Y4332" t="s">
        <v>95</v>
      </c>
      <c r="Z4332" t="s">
        <v>96</v>
      </c>
      <c r="AA4332" t="s">
        <v>543</v>
      </c>
      <c r="AB4332" t="s">
        <v>11156</v>
      </c>
      <c r="AC4332">
        <v>23</v>
      </c>
      <c r="AD4332">
        <v>22</v>
      </c>
      <c r="AE4332">
        <v>95</v>
      </c>
      <c r="AF4332">
        <v>-63.6</v>
      </c>
      <c r="AG4332">
        <v>-0.63</v>
      </c>
      <c r="AH4332">
        <v>-4.54</v>
      </c>
      <c r="AI4332">
        <v>0.03</v>
      </c>
      <c r="AJ4332">
        <v>-0.04</v>
      </c>
      <c r="AK4332">
        <v>90</v>
      </c>
      <c r="AL4332">
        <v>56</v>
      </c>
      <c r="AM4332">
        <v>37</v>
      </c>
      <c r="AN4332">
        <v>2.6</v>
      </c>
      <c r="AO4332">
        <v>-3.26</v>
      </c>
      <c r="AP4332">
        <v>9</v>
      </c>
      <c r="AQ4332">
        <v>0</v>
      </c>
      <c r="AR4332">
        <v>6.55</v>
      </c>
      <c r="AS4332">
        <v>59</v>
      </c>
      <c r="AT4332">
        <v>3.68</v>
      </c>
      <c r="AU4332">
        <v>89</v>
      </c>
      <c r="AV4332">
        <v>0.72</v>
      </c>
      <c r="AW4332">
        <v>62</v>
      </c>
      <c r="AX4332">
        <v>0.18</v>
      </c>
      <c r="AY4332">
        <v>68</v>
      </c>
      <c r="AZ4332">
        <v>8.75</v>
      </c>
      <c r="BA4332">
        <v>53</v>
      </c>
      <c r="BB4332">
        <v>5.83</v>
      </c>
      <c r="BC4332">
        <v>58</v>
      </c>
      <c r="BD4332">
        <v>0.05</v>
      </c>
      <c r="BE4332">
        <v>0.05</v>
      </c>
      <c r="BF4332">
        <v>-0.09</v>
      </c>
      <c r="BG4332">
        <v>93</v>
      </c>
      <c r="BH4332">
        <v>-0.12</v>
      </c>
      <c r="BI4332">
        <v>10.78</v>
      </c>
      <c r="BJ4332">
        <v>13</v>
      </c>
      <c r="BK4332">
        <v>9</v>
      </c>
      <c r="BL4332">
        <v>1.04</v>
      </c>
      <c r="BM4332">
        <v>-0.87</v>
      </c>
      <c r="BN4332">
        <v>0</v>
      </c>
      <c r="BO4332">
        <v>0.64</v>
      </c>
      <c r="BP4332">
        <v>0.62</v>
      </c>
      <c r="BQ4332">
        <v>0.32</v>
      </c>
      <c r="BR4332">
        <v>3.2</v>
      </c>
      <c r="BS4332">
        <v>-2.12</v>
      </c>
      <c r="BT4332">
        <v>-0.85</v>
      </c>
      <c r="BU4332">
        <v>-0.18</v>
      </c>
      <c r="BV4332">
        <v>-0.48</v>
      </c>
      <c r="BW4332">
        <v>-0.03</v>
      </c>
      <c r="BX4332">
        <v>0</v>
      </c>
      <c r="BY4332">
        <v>-0.09</v>
      </c>
      <c r="BZ4332">
        <v>-0.17</v>
      </c>
      <c r="CA4332">
        <v>-0.78</v>
      </c>
      <c r="CB4332">
        <v>-0.5</v>
      </c>
      <c r="CC4332">
        <v>-1.0900000000000001</v>
      </c>
      <c r="CD4332">
        <v>-0.31</v>
      </c>
      <c r="CE4332">
        <v>0.93</v>
      </c>
      <c r="CF4332">
        <v>0.67</v>
      </c>
      <c r="CG4332">
        <v>0</v>
      </c>
      <c r="CH4332">
        <v>-0.43</v>
      </c>
      <c r="CI4332">
        <v>0</v>
      </c>
      <c r="CJ4332">
        <v>-4.2</v>
      </c>
      <c r="CK4332">
        <v>68</v>
      </c>
      <c r="CL4332">
        <v>-0.78</v>
      </c>
      <c r="CM4332">
        <v>64</v>
      </c>
      <c r="CN4332">
        <v>-0.74</v>
      </c>
      <c r="CO4332">
        <v>61</v>
      </c>
      <c r="CP4332">
        <v>-8.3000000000000007</v>
      </c>
      <c r="CQ4332">
        <v>72</v>
      </c>
      <c r="CR4332">
        <v>0</v>
      </c>
      <c r="CS4332">
        <v>0</v>
      </c>
      <c r="CT4332">
        <v>-9.5</v>
      </c>
      <c r="CU4332">
        <v>67</v>
      </c>
      <c r="CV4332">
        <v>0.14000000000000001</v>
      </c>
      <c r="CW4332">
        <v>39</v>
      </c>
      <c r="CX4332" t="s">
        <v>120</v>
      </c>
    </row>
    <row r="4333" spans="1:102" x14ac:dyDescent="0.3">
      <c r="A4333" t="str">
        <f>HYPERLINK("https://webapp.icbf.com/v2/app/bull-search/view/62485333","SCH")</f>
        <v>SCH</v>
      </c>
      <c r="B4333" t="s">
        <v>6726</v>
      </c>
      <c r="C4333" t="s">
        <v>6727</v>
      </c>
      <c r="D4333" s="1">
        <v>35854</v>
      </c>
      <c r="E4333" t="s">
        <v>92</v>
      </c>
      <c r="F4333">
        <v>72</v>
      </c>
      <c r="G4333" t="s">
        <v>116</v>
      </c>
      <c r="H4333">
        <v>-112.86</v>
      </c>
      <c r="I4333">
        <v>48</v>
      </c>
      <c r="J4333">
        <v>-54.88</v>
      </c>
      <c r="K4333">
        <v>61</v>
      </c>
      <c r="L4333">
        <v>-32.58</v>
      </c>
      <c r="M4333">
        <v>39</v>
      </c>
      <c r="N4333">
        <v>-16.420000000000002</v>
      </c>
      <c r="O4333">
        <v>39</v>
      </c>
      <c r="P4333">
        <v>-2.61</v>
      </c>
      <c r="Q4333">
        <v>50</v>
      </c>
      <c r="R4333">
        <v>-14.19</v>
      </c>
      <c r="S4333">
        <v>42</v>
      </c>
      <c r="T4333">
        <v>14.64</v>
      </c>
      <c r="U4333">
        <v>47</v>
      </c>
      <c r="V4333">
        <v>-6.82</v>
      </c>
      <c r="W4333">
        <v>32</v>
      </c>
      <c r="X4333" t="s">
        <v>276</v>
      </c>
      <c r="Y4333" t="s">
        <v>95</v>
      </c>
      <c r="Z4333" t="s">
        <v>96</v>
      </c>
      <c r="AA4333" t="s">
        <v>105</v>
      </c>
      <c r="AB4333" t="s">
        <v>6728</v>
      </c>
      <c r="AC4333">
        <v>9</v>
      </c>
      <c r="AD4333">
        <v>5</v>
      </c>
      <c r="AE4333">
        <v>61</v>
      </c>
      <c r="AF4333">
        <v>-439.1</v>
      </c>
      <c r="AG4333">
        <v>-13.07</v>
      </c>
      <c r="AH4333">
        <v>-11.43</v>
      </c>
      <c r="AI4333">
        <v>7.0000000000000007E-2</v>
      </c>
      <c r="AJ4333">
        <v>0.06</v>
      </c>
      <c r="AK4333">
        <v>39</v>
      </c>
      <c r="AL4333">
        <v>7</v>
      </c>
      <c r="AM4333">
        <v>4</v>
      </c>
      <c r="AN4333">
        <v>2.41</v>
      </c>
      <c r="AO4333">
        <v>-0.18</v>
      </c>
      <c r="AP4333">
        <v>4</v>
      </c>
      <c r="AQ4333">
        <v>10</v>
      </c>
      <c r="AR4333">
        <v>8.84</v>
      </c>
      <c r="AS4333">
        <v>31</v>
      </c>
      <c r="AT4333">
        <v>3.69</v>
      </c>
      <c r="AU4333">
        <v>37</v>
      </c>
      <c r="AV4333">
        <v>1.44</v>
      </c>
      <c r="AW4333">
        <v>43</v>
      </c>
      <c r="AX4333">
        <v>-0.21</v>
      </c>
      <c r="AY4333">
        <v>43</v>
      </c>
      <c r="AZ4333">
        <v>5.64</v>
      </c>
      <c r="BA4333">
        <v>30</v>
      </c>
      <c r="BB4333">
        <v>4.57</v>
      </c>
      <c r="BC4333">
        <v>34</v>
      </c>
      <c r="BD4333">
        <v>0.05</v>
      </c>
      <c r="BE4333">
        <v>7.0000000000000007E-2</v>
      </c>
      <c r="BF4333">
        <v>0.11</v>
      </c>
      <c r="BG4333">
        <v>48</v>
      </c>
      <c r="BH4333">
        <v>-0.05</v>
      </c>
      <c r="BI4333">
        <v>16.2</v>
      </c>
      <c r="BJ4333">
        <v>0</v>
      </c>
      <c r="BK4333">
        <v>0</v>
      </c>
      <c r="BL4333">
        <v>-0.33</v>
      </c>
      <c r="BM4333">
        <v>0.01</v>
      </c>
      <c r="BN4333">
        <v>-0.1</v>
      </c>
      <c r="BO4333">
        <v>0.03</v>
      </c>
      <c r="BP4333">
        <v>0.33</v>
      </c>
      <c r="BQ4333">
        <v>-0.99</v>
      </c>
      <c r="BR4333">
        <v>-0.48</v>
      </c>
      <c r="BS4333">
        <v>-0.2</v>
      </c>
      <c r="BT4333">
        <v>0.28999999999999998</v>
      </c>
      <c r="BU4333">
        <v>-1.03</v>
      </c>
      <c r="BV4333">
        <v>-0.37</v>
      </c>
      <c r="BW4333">
        <v>-0.35</v>
      </c>
      <c r="BX4333">
        <v>-1.1100000000000001</v>
      </c>
      <c r="BY4333">
        <v>-0.96</v>
      </c>
      <c r="BZ4333">
        <v>2.13</v>
      </c>
      <c r="CA4333">
        <v>-0.5</v>
      </c>
      <c r="CB4333">
        <v>-0.47</v>
      </c>
      <c r="CC4333">
        <v>-0.26</v>
      </c>
      <c r="CD4333">
        <v>-0.26</v>
      </c>
      <c r="CE4333">
        <v>0.17</v>
      </c>
      <c r="CF4333">
        <v>-0.33</v>
      </c>
      <c r="CG4333">
        <v>0</v>
      </c>
      <c r="CH4333">
        <v>-0.96</v>
      </c>
      <c r="CI4333">
        <v>0</v>
      </c>
      <c r="CJ4333">
        <v>1.6</v>
      </c>
      <c r="CK4333">
        <v>52</v>
      </c>
      <c r="CL4333">
        <v>-0.46</v>
      </c>
      <c r="CM4333">
        <v>48</v>
      </c>
      <c r="CN4333">
        <v>-0.08</v>
      </c>
      <c r="CO4333">
        <v>46</v>
      </c>
      <c r="CP4333">
        <v>-6.7</v>
      </c>
      <c r="CQ4333">
        <v>44</v>
      </c>
      <c r="CR4333">
        <v>0</v>
      </c>
      <c r="CS4333">
        <v>0</v>
      </c>
      <c r="CT4333">
        <v>-6</v>
      </c>
      <c r="CU4333">
        <v>47</v>
      </c>
      <c r="CV4333">
        <v>0.19</v>
      </c>
      <c r="CW4333">
        <v>14</v>
      </c>
      <c r="CX4333" t="s">
        <v>193</v>
      </c>
    </row>
    <row r="4334" spans="1:102" x14ac:dyDescent="0.3">
      <c r="A4334" t="str">
        <f>HYPERLINK("https://webapp.icbf.com/v2/app/bull-search/view/77857855","FES")</f>
        <v>FES</v>
      </c>
      <c r="B4334" t="s">
        <v>11055</v>
      </c>
      <c r="C4334" t="s">
        <v>11056</v>
      </c>
      <c r="D4334" s="1">
        <v>32877</v>
      </c>
      <c r="E4334" t="s">
        <v>92</v>
      </c>
      <c r="F4334">
        <v>100</v>
      </c>
      <c r="G4334" t="s">
        <v>93</v>
      </c>
      <c r="H4334">
        <v>-112.96</v>
      </c>
      <c r="I4334">
        <v>79</v>
      </c>
      <c r="J4334">
        <v>-17.3</v>
      </c>
      <c r="K4334">
        <v>92</v>
      </c>
      <c r="L4334">
        <v>-81.599999999999994</v>
      </c>
      <c r="M4334">
        <v>83</v>
      </c>
      <c r="N4334">
        <v>-12.11</v>
      </c>
      <c r="O4334">
        <v>57</v>
      </c>
      <c r="P4334">
        <v>-1.1000000000000001</v>
      </c>
      <c r="Q4334">
        <v>71</v>
      </c>
      <c r="R4334">
        <v>-8.93</v>
      </c>
      <c r="S4334">
        <v>72</v>
      </c>
      <c r="T4334">
        <v>13.23</v>
      </c>
      <c r="U4334">
        <v>72</v>
      </c>
      <c r="V4334">
        <v>-5.15</v>
      </c>
      <c r="W4334">
        <v>32</v>
      </c>
      <c r="X4334" t="s">
        <v>110</v>
      </c>
      <c r="Y4334" t="s">
        <v>95</v>
      </c>
      <c r="Z4334" t="s">
        <v>96</v>
      </c>
      <c r="AA4334" t="s">
        <v>111</v>
      </c>
      <c r="AB4334" t="s">
        <v>11057</v>
      </c>
      <c r="AC4334">
        <v>61</v>
      </c>
      <c r="AD4334">
        <v>37</v>
      </c>
      <c r="AE4334">
        <v>92</v>
      </c>
      <c r="AF4334">
        <v>91.06</v>
      </c>
      <c r="AG4334">
        <v>-4.63</v>
      </c>
      <c r="AH4334">
        <v>0.09</v>
      </c>
      <c r="AI4334">
        <v>-0.13</v>
      </c>
      <c r="AJ4334">
        <v>-0.05</v>
      </c>
      <c r="AK4334">
        <v>83</v>
      </c>
      <c r="AL4334">
        <v>95</v>
      </c>
      <c r="AM4334">
        <v>41</v>
      </c>
      <c r="AN4334">
        <v>2.73</v>
      </c>
      <c r="AO4334">
        <v>-3.8</v>
      </c>
      <c r="AP4334">
        <v>7</v>
      </c>
      <c r="AQ4334">
        <v>0</v>
      </c>
      <c r="AR4334">
        <v>7.49</v>
      </c>
      <c r="AS4334">
        <v>38</v>
      </c>
      <c r="AT4334">
        <v>3.89</v>
      </c>
      <c r="AU4334">
        <v>57</v>
      </c>
      <c r="AV4334">
        <v>1.01</v>
      </c>
      <c r="AW4334">
        <v>62</v>
      </c>
      <c r="AX4334">
        <v>-0.74</v>
      </c>
      <c r="AY4334">
        <v>71</v>
      </c>
      <c r="AZ4334">
        <v>6.37</v>
      </c>
      <c r="BA4334">
        <v>39</v>
      </c>
      <c r="BB4334">
        <v>4.8600000000000003</v>
      </c>
      <c r="BC4334">
        <v>50</v>
      </c>
      <c r="BD4334">
        <v>0.05</v>
      </c>
      <c r="BE4334">
        <v>0.08</v>
      </c>
      <c r="BF4334">
        <v>-0.03</v>
      </c>
      <c r="BG4334">
        <v>91</v>
      </c>
      <c r="BH4334">
        <v>-0.04</v>
      </c>
      <c r="BI4334">
        <v>11.99</v>
      </c>
      <c r="BJ4334">
        <v>6</v>
      </c>
      <c r="BK4334">
        <v>3</v>
      </c>
      <c r="BL4334">
        <v>0.44</v>
      </c>
      <c r="BM4334">
        <v>0.85</v>
      </c>
      <c r="BN4334">
        <v>1.9</v>
      </c>
      <c r="BO4334">
        <v>0.21</v>
      </c>
      <c r="BP4334">
        <v>1.38</v>
      </c>
      <c r="BQ4334">
        <v>0.88</v>
      </c>
      <c r="BR4334">
        <v>0.72</v>
      </c>
      <c r="BS4334">
        <v>0.32</v>
      </c>
      <c r="BT4334">
        <v>-1.08</v>
      </c>
      <c r="BU4334">
        <v>0.15</v>
      </c>
      <c r="BV4334">
        <v>-0.62</v>
      </c>
      <c r="BW4334">
        <v>0.32</v>
      </c>
      <c r="BX4334">
        <v>-0.06</v>
      </c>
      <c r="BY4334">
        <v>0.25</v>
      </c>
      <c r="BZ4334">
        <v>0.24</v>
      </c>
      <c r="CA4334">
        <v>0.42</v>
      </c>
      <c r="CB4334">
        <v>0.15</v>
      </c>
      <c r="CC4334">
        <v>1.06</v>
      </c>
      <c r="CD4334">
        <v>0.75</v>
      </c>
      <c r="CE4334">
        <v>0.09</v>
      </c>
      <c r="CF4334">
        <v>0.9</v>
      </c>
      <c r="CG4334">
        <v>0</v>
      </c>
      <c r="CH4334">
        <v>-0.52</v>
      </c>
      <c r="CI4334">
        <v>0</v>
      </c>
      <c r="CJ4334">
        <v>1.4</v>
      </c>
      <c r="CK4334">
        <v>72</v>
      </c>
      <c r="CL4334">
        <v>-0.85</v>
      </c>
      <c r="CM4334">
        <v>69</v>
      </c>
      <c r="CN4334">
        <v>-0.44</v>
      </c>
      <c r="CO4334">
        <v>64</v>
      </c>
      <c r="CP4334">
        <v>3.9</v>
      </c>
      <c r="CQ4334">
        <v>78</v>
      </c>
      <c r="CR4334">
        <v>0</v>
      </c>
      <c r="CS4334">
        <v>0</v>
      </c>
      <c r="CT4334">
        <v>-4.0999999999999996</v>
      </c>
      <c r="CU4334">
        <v>72</v>
      </c>
      <c r="CV4334">
        <v>0.24</v>
      </c>
      <c r="CW4334">
        <v>20</v>
      </c>
      <c r="CX4334" t="s">
        <v>120</v>
      </c>
    </row>
    <row r="4335" spans="1:102" x14ac:dyDescent="0.3">
      <c r="A4335" t="str">
        <f>HYPERLINK("https://webapp.icbf.com/v2/app/bull-search/view/77854405","RAP")</f>
        <v>RAP</v>
      </c>
      <c r="B4335" t="s">
        <v>15341</v>
      </c>
      <c r="C4335" t="s">
        <v>15342</v>
      </c>
      <c r="D4335" s="1">
        <v>32635</v>
      </c>
      <c r="E4335" t="s">
        <v>92</v>
      </c>
      <c r="F4335">
        <v>100</v>
      </c>
      <c r="G4335" t="s">
        <v>93</v>
      </c>
      <c r="H4335">
        <v>-113.11</v>
      </c>
      <c r="I4335">
        <v>92</v>
      </c>
      <c r="J4335">
        <v>-11.92</v>
      </c>
      <c r="K4335">
        <v>98</v>
      </c>
      <c r="L4335">
        <v>-83.9</v>
      </c>
      <c r="M4335">
        <v>92</v>
      </c>
      <c r="N4335">
        <v>-19.02</v>
      </c>
      <c r="O4335">
        <v>83</v>
      </c>
      <c r="P4335">
        <v>-7.36</v>
      </c>
      <c r="Q4335">
        <v>91</v>
      </c>
      <c r="R4335">
        <v>-9.5500000000000007</v>
      </c>
      <c r="S4335">
        <v>82</v>
      </c>
      <c r="T4335">
        <v>13.46</v>
      </c>
      <c r="U4335">
        <v>89</v>
      </c>
      <c r="V4335">
        <v>5.18</v>
      </c>
      <c r="W4335">
        <v>71</v>
      </c>
      <c r="X4335" t="s">
        <v>131</v>
      </c>
      <c r="Y4335" t="s">
        <v>95</v>
      </c>
      <c r="Z4335" t="s">
        <v>96</v>
      </c>
      <c r="AA4335" t="s">
        <v>914</v>
      </c>
      <c r="AB4335" t="s">
        <v>10435</v>
      </c>
      <c r="AC4335">
        <v>166</v>
      </c>
      <c r="AD4335">
        <v>92</v>
      </c>
      <c r="AE4335">
        <v>98</v>
      </c>
      <c r="AF4335">
        <v>121.86</v>
      </c>
      <c r="AG4335">
        <v>-1.59</v>
      </c>
      <c r="AH4335">
        <v>0.4</v>
      </c>
      <c r="AI4335">
        <v>-0.11</v>
      </c>
      <c r="AJ4335">
        <v>-0.06</v>
      </c>
      <c r="AK4335">
        <v>92</v>
      </c>
      <c r="AL4335">
        <v>203</v>
      </c>
      <c r="AM4335">
        <v>99</v>
      </c>
      <c r="AN4335">
        <v>5.44</v>
      </c>
      <c r="AO4335">
        <v>-1.24</v>
      </c>
      <c r="AP4335">
        <v>35</v>
      </c>
      <c r="AQ4335">
        <v>0</v>
      </c>
      <c r="AR4335">
        <v>11.27</v>
      </c>
      <c r="AS4335">
        <v>66</v>
      </c>
      <c r="AT4335">
        <v>4.38</v>
      </c>
      <c r="AU4335">
        <v>91</v>
      </c>
      <c r="AV4335">
        <v>-0.88</v>
      </c>
      <c r="AW4335">
        <v>86</v>
      </c>
      <c r="AX4335">
        <v>0.35</v>
      </c>
      <c r="AY4335">
        <v>87</v>
      </c>
      <c r="AZ4335">
        <v>6.43</v>
      </c>
      <c r="BA4335">
        <v>61</v>
      </c>
      <c r="BB4335">
        <v>5.18</v>
      </c>
      <c r="BC4335">
        <v>75</v>
      </c>
      <c r="BD4335">
        <v>0.01</v>
      </c>
      <c r="BE4335">
        <v>7.0000000000000007E-2</v>
      </c>
      <c r="BF4335">
        <v>7.0000000000000007E-2</v>
      </c>
      <c r="BG4335">
        <v>94</v>
      </c>
      <c r="BH4335">
        <v>0.26</v>
      </c>
      <c r="BI4335">
        <v>13.36</v>
      </c>
      <c r="BJ4335">
        <v>23</v>
      </c>
      <c r="BK4335">
        <v>17</v>
      </c>
      <c r="BL4335">
        <v>0.57999999999999996</v>
      </c>
      <c r="BM4335">
        <v>-0.06</v>
      </c>
      <c r="BN4335">
        <v>0.67</v>
      </c>
      <c r="BO4335">
        <v>0.72</v>
      </c>
      <c r="BP4335">
        <v>-0.89</v>
      </c>
      <c r="BQ4335">
        <v>0.19</v>
      </c>
      <c r="BR4335">
        <v>1.54</v>
      </c>
      <c r="BS4335">
        <v>-2</v>
      </c>
      <c r="BT4335">
        <v>-0.72</v>
      </c>
      <c r="BU4335">
        <v>1.31</v>
      </c>
      <c r="BV4335">
        <v>0.09</v>
      </c>
      <c r="BW4335">
        <v>0.16</v>
      </c>
      <c r="BX4335">
        <v>1.2</v>
      </c>
      <c r="BY4335">
        <v>0.95</v>
      </c>
      <c r="BZ4335">
        <v>0.17</v>
      </c>
      <c r="CA4335">
        <v>0.38</v>
      </c>
      <c r="CB4335">
        <v>1.03</v>
      </c>
      <c r="CC4335">
        <v>-0.97</v>
      </c>
      <c r="CD4335">
        <v>-0.65</v>
      </c>
      <c r="CE4335">
        <v>0.65</v>
      </c>
      <c r="CF4335">
        <v>0.49</v>
      </c>
      <c r="CG4335">
        <v>0</v>
      </c>
      <c r="CH4335">
        <v>0.89</v>
      </c>
      <c r="CI4335">
        <v>0</v>
      </c>
      <c r="CJ4335">
        <v>-0.2</v>
      </c>
      <c r="CK4335">
        <v>92</v>
      </c>
      <c r="CL4335">
        <v>-0.67</v>
      </c>
      <c r="CM4335">
        <v>90</v>
      </c>
      <c r="CN4335">
        <v>-0.08</v>
      </c>
      <c r="CO4335">
        <v>89</v>
      </c>
      <c r="CP4335">
        <v>-7.4</v>
      </c>
      <c r="CQ4335">
        <v>93</v>
      </c>
      <c r="CR4335">
        <v>0</v>
      </c>
      <c r="CS4335">
        <v>0</v>
      </c>
      <c r="CT4335">
        <v>-4.4000000000000004</v>
      </c>
      <c r="CU4335">
        <v>89</v>
      </c>
      <c r="CV4335">
        <v>0.15</v>
      </c>
      <c r="CW4335">
        <v>44</v>
      </c>
      <c r="CX4335" t="s">
        <v>3805</v>
      </c>
    </row>
    <row r="4336" spans="1:102" x14ac:dyDescent="0.3">
      <c r="A4336" t="str">
        <f>HYPERLINK("https://webapp.icbf.com/v2/app/bull-search/view/462433418","S603")</f>
        <v>S603</v>
      </c>
      <c r="B4336" t="s">
        <v>1587</v>
      </c>
      <c r="C4336" t="s">
        <v>1588</v>
      </c>
      <c r="D4336" s="1">
        <v>37227</v>
      </c>
      <c r="E4336" t="s">
        <v>92</v>
      </c>
      <c r="F4336">
        <v>100</v>
      </c>
      <c r="G4336" t="s">
        <v>109</v>
      </c>
      <c r="H4336">
        <v>-113.28</v>
      </c>
      <c r="I4336">
        <v>85</v>
      </c>
      <c r="J4336">
        <v>14.81</v>
      </c>
      <c r="K4336">
        <v>94</v>
      </c>
      <c r="L4336">
        <v>-122.92</v>
      </c>
      <c r="M4336">
        <v>88</v>
      </c>
      <c r="N4336">
        <v>15.21</v>
      </c>
      <c r="O4336">
        <v>76</v>
      </c>
      <c r="P4336">
        <v>-17.010000000000002</v>
      </c>
      <c r="Q4336">
        <v>75</v>
      </c>
      <c r="R4336">
        <v>3.89</v>
      </c>
      <c r="S4336">
        <v>80</v>
      </c>
      <c r="T4336">
        <v>-1.57</v>
      </c>
      <c r="U4336">
        <v>64</v>
      </c>
      <c r="V4336">
        <v>-5.69</v>
      </c>
      <c r="W4336">
        <v>66</v>
      </c>
      <c r="X4336" t="s">
        <v>1589</v>
      </c>
      <c r="Y4336" t="s">
        <v>1122</v>
      </c>
      <c r="Z4336" t="s">
        <v>96</v>
      </c>
      <c r="AA4336" t="s">
        <v>289</v>
      </c>
      <c r="AB4336" t="s">
        <v>1590</v>
      </c>
      <c r="AC4336">
        <v>0</v>
      </c>
      <c r="AD4336">
        <v>0</v>
      </c>
      <c r="AE4336">
        <v>94</v>
      </c>
      <c r="AF4336">
        <v>314.91000000000003</v>
      </c>
      <c r="AG4336">
        <v>7.29</v>
      </c>
      <c r="AH4336">
        <v>4.76</v>
      </c>
      <c r="AI4336">
        <v>-0.08</v>
      </c>
      <c r="AJ4336">
        <v>-0.1</v>
      </c>
      <c r="AK4336">
        <v>88</v>
      </c>
      <c r="AL4336">
        <v>0</v>
      </c>
      <c r="AM4336">
        <v>0</v>
      </c>
      <c r="AN4336">
        <v>6.15</v>
      </c>
      <c r="AO4336">
        <v>-3.66</v>
      </c>
      <c r="AP4336">
        <v>38</v>
      </c>
      <c r="AQ4336">
        <v>0</v>
      </c>
      <c r="AR4336">
        <v>8.85</v>
      </c>
      <c r="AS4336">
        <v>67</v>
      </c>
      <c r="AT4336">
        <v>4.55</v>
      </c>
      <c r="AU4336">
        <v>96</v>
      </c>
      <c r="AV4336">
        <v>-4.33</v>
      </c>
      <c r="AW4336">
        <v>79</v>
      </c>
      <c r="AX4336">
        <v>0.94</v>
      </c>
      <c r="AY4336">
        <v>62</v>
      </c>
      <c r="AZ4336">
        <v>5.81</v>
      </c>
      <c r="BA4336">
        <v>53</v>
      </c>
      <c r="BB4336">
        <v>4.9400000000000004</v>
      </c>
      <c r="BC4336">
        <v>54</v>
      </c>
      <c r="BD4336">
        <v>-0.02</v>
      </c>
      <c r="BE4336">
        <v>-0.04</v>
      </c>
      <c r="BF4336">
        <v>0.02</v>
      </c>
      <c r="BG4336">
        <v>94</v>
      </c>
      <c r="BH4336">
        <v>-0.19</v>
      </c>
      <c r="BI4336">
        <v>-3.62</v>
      </c>
      <c r="BJ4336">
        <v>12</v>
      </c>
      <c r="BK4336">
        <v>11</v>
      </c>
      <c r="BL4336">
        <v>2.0299999999999998</v>
      </c>
      <c r="BM4336">
        <v>-2.35</v>
      </c>
      <c r="BN4336">
        <v>0.69</v>
      </c>
      <c r="BO4336">
        <v>1.88</v>
      </c>
      <c r="BP4336">
        <v>2.09</v>
      </c>
      <c r="BQ4336">
        <v>-0.08</v>
      </c>
      <c r="BR4336">
        <v>0.73</v>
      </c>
      <c r="BS4336">
        <v>-1.65</v>
      </c>
      <c r="BT4336">
        <v>1.19</v>
      </c>
      <c r="BU4336">
        <v>1.05</v>
      </c>
      <c r="BV4336">
        <v>1.7</v>
      </c>
      <c r="BW4336">
        <v>1.68</v>
      </c>
      <c r="BX4336">
        <v>1.1100000000000001</v>
      </c>
      <c r="BY4336">
        <v>1.03</v>
      </c>
      <c r="BZ4336">
        <v>0.74</v>
      </c>
      <c r="CA4336">
        <v>0.84</v>
      </c>
      <c r="CB4336">
        <v>1.49</v>
      </c>
      <c r="CC4336">
        <v>-0.76</v>
      </c>
      <c r="CD4336">
        <v>-2.19</v>
      </c>
      <c r="CE4336">
        <v>1.83</v>
      </c>
      <c r="CF4336">
        <v>1.1000000000000001</v>
      </c>
      <c r="CG4336">
        <v>0</v>
      </c>
      <c r="CH4336">
        <v>0.95</v>
      </c>
      <c r="CI4336">
        <v>0</v>
      </c>
      <c r="CJ4336">
        <v>-5</v>
      </c>
      <c r="CK4336">
        <v>77</v>
      </c>
      <c r="CL4336">
        <v>-1.76</v>
      </c>
      <c r="CM4336">
        <v>74</v>
      </c>
      <c r="CN4336">
        <v>-0.69</v>
      </c>
      <c r="CO4336">
        <v>72</v>
      </c>
      <c r="CP4336">
        <v>-0.2</v>
      </c>
      <c r="CQ4336">
        <v>68</v>
      </c>
      <c r="CR4336">
        <v>0</v>
      </c>
      <c r="CS4336">
        <v>0</v>
      </c>
      <c r="CT4336">
        <v>15.9</v>
      </c>
      <c r="CU4336">
        <v>64</v>
      </c>
      <c r="CV4336">
        <v>0.32</v>
      </c>
      <c r="CW4336">
        <v>41</v>
      </c>
      <c r="CX4336" t="s">
        <v>1273</v>
      </c>
    </row>
    <row r="4337" spans="1:102" x14ac:dyDescent="0.3">
      <c r="A4337" t="str">
        <f>HYPERLINK("https://webapp.icbf.com/v2/app/bull-search/view/77858215","ELS")</f>
        <v>ELS</v>
      </c>
      <c r="B4337" t="s">
        <v>9915</v>
      </c>
      <c r="C4337" t="s">
        <v>9916</v>
      </c>
      <c r="D4337" s="1">
        <v>32685</v>
      </c>
      <c r="E4337" t="s">
        <v>92</v>
      </c>
      <c r="F4337">
        <v>100</v>
      </c>
      <c r="G4337" t="s">
        <v>116</v>
      </c>
      <c r="H4337">
        <v>-113.3</v>
      </c>
      <c r="I4337">
        <v>45</v>
      </c>
      <c r="J4337">
        <v>-52.72</v>
      </c>
      <c r="K4337">
        <v>45</v>
      </c>
      <c r="L4337">
        <v>-68.069999999999993</v>
      </c>
      <c r="M4337">
        <v>45</v>
      </c>
      <c r="N4337">
        <v>13.24</v>
      </c>
      <c r="O4337">
        <v>39</v>
      </c>
      <c r="P4337">
        <v>0.87</v>
      </c>
      <c r="Q4337">
        <v>57</v>
      </c>
      <c r="R4337">
        <v>-5.0999999999999996</v>
      </c>
      <c r="S4337">
        <v>46</v>
      </c>
      <c r="T4337">
        <v>-0.38</v>
      </c>
      <c r="U4337">
        <v>55</v>
      </c>
      <c r="V4337">
        <v>-1.1399999999999999</v>
      </c>
      <c r="W4337">
        <v>25</v>
      </c>
      <c r="X4337" t="s">
        <v>94</v>
      </c>
      <c r="Y4337" t="s">
        <v>95</v>
      </c>
      <c r="Z4337" t="s">
        <v>96</v>
      </c>
      <c r="AA4337" t="s">
        <v>724</v>
      </c>
      <c r="AB4337" t="s">
        <v>9917</v>
      </c>
      <c r="AC4337">
        <v>8</v>
      </c>
      <c r="AD4337">
        <v>8</v>
      </c>
      <c r="AE4337">
        <v>45</v>
      </c>
      <c r="AF4337">
        <v>-287.10000000000002</v>
      </c>
      <c r="AG4337">
        <v>-5.77</v>
      </c>
      <c r="AH4337">
        <v>-11.32</v>
      </c>
      <c r="AI4337">
        <v>0.09</v>
      </c>
      <c r="AJ4337">
        <v>-0.03</v>
      </c>
      <c r="AK4337">
        <v>45</v>
      </c>
      <c r="AL4337">
        <v>25</v>
      </c>
      <c r="AM4337">
        <v>19</v>
      </c>
      <c r="AN4337">
        <v>4.37</v>
      </c>
      <c r="AO4337">
        <v>-1.05</v>
      </c>
      <c r="AP4337">
        <v>2</v>
      </c>
      <c r="AQ4337">
        <v>0</v>
      </c>
      <c r="AR4337">
        <v>5.61</v>
      </c>
      <c r="AS4337">
        <v>23</v>
      </c>
      <c r="AT4337">
        <v>2.78</v>
      </c>
      <c r="AU4337">
        <v>36</v>
      </c>
      <c r="AV4337">
        <v>-0.66</v>
      </c>
      <c r="AW4337">
        <v>46</v>
      </c>
      <c r="AX4337">
        <v>-0.59</v>
      </c>
      <c r="AY4337">
        <v>49</v>
      </c>
      <c r="AZ4337">
        <v>6.73</v>
      </c>
      <c r="BA4337">
        <v>23</v>
      </c>
      <c r="BB4337">
        <v>5.16</v>
      </c>
      <c r="BC4337">
        <v>29</v>
      </c>
      <c r="BD4337">
        <v>0.05</v>
      </c>
      <c r="BE4337">
        <v>0.06</v>
      </c>
      <c r="BF4337">
        <v>-0.08</v>
      </c>
      <c r="BG4337">
        <v>60</v>
      </c>
      <c r="BH4337">
        <v>-0.02</v>
      </c>
      <c r="BI4337">
        <v>1.36</v>
      </c>
      <c r="BJ4337">
        <v>2</v>
      </c>
      <c r="BK4337">
        <v>2</v>
      </c>
      <c r="BL4337">
        <v>-0.88</v>
      </c>
      <c r="BM4337">
        <v>-0.9</v>
      </c>
      <c r="BN4337">
        <v>-2.08</v>
      </c>
      <c r="BO4337">
        <v>-0.85</v>
      </c>
      <c r="BP4337">
        <v>0.75</v>
      </c>
      <c r="BQ4337">
        <v>-1.22</v>
      </c>
      <c r="BR4337">
        <v>1.63</v>
      </c>
      <c r="BS4337">
        <v>-1.32</v>
      </c>
      <c r="BT4337">
        <v>-0.99</v>
      </c>
      <c r="BU4337">
        <v>-1.03</v>
      </c>
      <c r="BV4337">
        <v>-1.1499999999999999</v>
      </c>
      <c r="BW4337">
        <v>-0.66</v>
      </c>
      <c r="BX4337">
        <v>-0.17</v>
      </c>
      <c r="BY4337">
        <v>-0.41</v>
      </c>
      <c r="BZ4337">
        <v>-0.28000000000000003</v>
      </c>
      <c r="CA4337">
        <v>-1.59</v>
      </c>
      <c r="CB4337">
        <v>-1.1299999999999999</v>
      </c>
      <c r="CC4337">
        <v>-2.06</v>
      </c>
      <c r="CD4337">
        <v>-0.36</v>
      </c>
      <c r="CE4337">
        <v>-0.82</v>
      </c>
      <c r="CF4337">
        <v>-1.92</v>
      </c>
      <c r="CG4337">
        <v>0</v>
      </c>
      <c r="CH4337">
        <v>-0.23</v>
      </c>
      <c r="CI4337">
        <v>0</v>
      </c>
      <c r="CJ4337">
        <v>2.9</v>
      </c>
      <c r="CK4337">
        <v>59</v>
      </c>
      <c r="CL4337">
        <v>-0.7</v>
      </c>
      <c r="CM4337">
        <v>54</v>
      </c>
      <c r="CN4337">
        <v>-0.33</v>
      </c>
      <c r="CO4337">
        <v>51</v>
      </c>
      <c r="CP4337">
        <v>1.5</v>
      </c>
      <c r="CQ4337">
        <v>57</v>
      </c>
      <c r="CR4337">
        <v>0</v>
      </c>
      <c r="CS4337">
        <v>0</v>
      </c>
      <c r="CT4337">
        <v>14.3</v>
      </c>
      <c r="CU4337">
        <v>55</v>
      </c>
      <c r="CV4337">
        <v>0.21</v>
      </c>
      <c r="CW4337">
        <v>16</v>
      </c>
      <c r="CX4337" t="s">
        <v>806</v>
      </c>
    </row>
    <row r="4338" spans="1:102" x14ac:dyDescent="0.3">
      <c r="A4338" t="str">
        <f>HYPERLINK("https://webapp.icbf.com/v2/app/bull-search/view/77855779","LLE")</f>
        <v>LLE</v>
      </c>
      <c r="B4338" t="s">
        <v>10985</v>
      </c>
      <c r="C4338" t="s">
        <v>10986</v>
      </c>
      <c r="D4338" s="1">
        <v>33445</v>
      </c>
      <c r="E4338" t="s">
        <v>92</v>
      </c>
      <c r="F4338">
        <v>100</v>
      </c>
      <c r="G4338" t="s">
        <v>93</v>
      </c>
      <c r="H4338">
        <v>-113.31</v>
      </c>
      <c r="I4338">
        <v>80</v>
      </c>
      <c r="J4338">
        <v>-41.96</v>
      </c>
      <c r="K4338">
        <v>95</v>
      </c>
      <c r="L4338">
        <v>-92.12</v>
      </c>
      <c r="M4338">
        <v>74</v>
      </c>
      <c r="N4338">
        <v>6.32</v>
      </c>
      <c r="O4338">
        <v>64</v>
      </c>
      <c r="P4338">
        <v>-10.64</v>
      </c>
      <c r="Q4338">
        <v>81</v>
      </c>
      <c r="R4338">
        <v>5.31</v>
      </c>
      <c r="S4338">
        <v>73</v>
      </c>
      <c r="T4338">
        <v>21.6</v>
      </c>
      <c r="U4338">
        <v>81</v>
      </c>
      <c r="V4338">
        <v>-1.82</v>
      </c>
      <c r="W4338">
        <v>40</v>
      </c>
      <c r="X4338" t="s">
        <v>94</v>
      </c>
      <c r="Y4338" t="s">
        <v>95</v>
      </c>
      <c r="Z4338" t="s">
        <v>96</v>
      </c>
      <c r="AA4338" t="s">
        <v>161</v>
      </c>
      <c r="AB4338" t="s">
        <v>10987</v>
      </c>
      <c r="AC4338">
        <v>102</v>
      </c>
      <c r="AD4338">
        <v>87</v>
      </c>
      <c r="AE4338">
        <v>95</v>
      </c>
      <c r="AF4338">
        <v>-218.46</v>
      </c>
      <c r="AG4338">
        <v>-8.6199999999999992</v>
      </c>
      <c r="AH4338">
        <v>-7.43</v>
      </c>
      <c r="AI4338">
        <v>0</v>
      </c>
      <c r="AJ4338">
        <v>0</v>
      </c>
      <c r="AK4338">
        <v>74</v>
      </c>
      <c r="AL4338">
        <v>206</v>
      </c>
      <c r="AM4338">
        <v>133</v>
      </c>
      <c r="AN4338">
        <v>3.21</v>
      </c>
      <c r="AO4338">
        <v>-4.16</v>
      </c>
      <c r="AP4338">
        <v>13</v>
      </c>
      <c r="AQ4338">
        <v>0</v>
      </c>
      <c r="AR4338">
        <v>8.42</v>
      </c>
      <c r="AS4338">
        <v>43</v>
      </c>
      <c r="AT4338">
        <v>3.67</v>
      </c>
      <c r="AU4338">
        <v>59</v>
      </c>
      <c r="AV4338">
        <v>-1.78</v>
      </c>
      <c r="AW4338">
        <v>73</v>
      </c>
      <c r="AX4338">
        <v>-0.6</v>
      </c>
      <c r="AY4338">
        <v>80</v>
      </c>
      <c r="AZ4338">
        <v>6.94</v>
      </c>
      <c r="BA4338">
        <v>40</v>
      </c>
      <c r="BB4338">
        <v>5.25</v>
      </c>
      <c r="BC4338">
        <v>54</v>
      </c>
      <c r="BD4338">
        <v>0</v>
      </c>
      <c r="BE4338">
        <v>0.02</v>
      </c>
      <c r="BF4338">
        <v>-0.16</v>
      </c>
      <c r="BG4338">
        <v>92</v>
      </c>
      <c r="BH4338">
        <v>-0.06</v>
      </c>
      <c r="BI4338">
        <v>-1.06</v>
      </c>
      <c r="BJ4338">
        <v>21</v>
      </c>
      <c r="BK4338">
        <v>18</v>
      </c>
      <c r="BL4338">
        <v>0.19</v>
      </c>
      <c r="BM4338">
        <v>1.17</v>
      </c>
      <c r="BN4338">
        <v>0.38</v>
      </c>
      <c r="BO4338">
        <v>-0.76</v>
      </c>
      <c r="BP4338">
        <v>-0.9</v>
      </c>
      <c r="BQ4338">
        <v>-0.3</v>
      </c>
      <c r="BR4338">
        <v>-2.2200000000000002</v>
      </c>
      <c r="BS4338">
        <v>0.63</v>
      </c>
      <c r="BT4338">
        <v>1.52</v>
      </c>
      <c r="BU4338">
        <v>-0.7</v>
      </c>
      <c r="BV4338">
        <v>-0.03</v>
      </c>
      <c r="BW4338">
        <v>-0.26</v>
      </c>
      <c r="BX4338">
        <v>1</v>
      </c>
      <c r="BY4338">
        <v>-2.12</v>
      </c>
      <c r="BZ4338">
        <v>3.26</v>
      </c>
      <c r="CA4338">
        <v>0</v>
      </c>
      <c r="CB4338">
        <v>-0.23</v>
      </c>
      <c r="CC4338">
        <v>0.89</v>
      </c>
      <c r="CD4338">
        <v>0.9</v>
      </c>
      <c r="CE4338">
        <v>-0.62</v>
      </c>
      <c r="CF4338">
        <v>0.24</v>
      </c>
      <c r="CG4338">
        <v>0</v>
      </c>
      <c r="CH4338">
        <v>0.05</v>
      </c>
      <c r="CI4338">
        <v>0</v>
      </c>
      <c r="CJ4338">
        <v>-4.2</v>
      </c>
      <c r="CK4338">
        <v>82</v>
      </c>
      <c r="CL4338">
        <v>-0.57999999999999996</v>
      </c>
      <c r="CM4338">
        <v>79</v>
      </c>
      <c r="CN4338">
        <v>-0.19</v>
      </c>
      <c r="CO4338">
        <v>76</v>
      </c>
      <c r="CP4338">
        <v>-7.2</v>
      </c>
      <c r="CQ4338">
        <v>87</v>
      </c>
      <c r="CR4338">
        <v>0</v>
      </c>
      <c r="CS4338">
        <v>0</v>
      </c>
      <c r="CT4338">
        <v>-15.4</v>
      </c>
      <c r="CU4338">
        <v>81</v>
      </c>
      <c r="CV4338">
        <v>0.14000000000000001</v>
      </c>
      <c r="CW4338">
        <v>23</v>
      </c>
      <c r="CX4338" t="s">
        <v>707</v>
      </c>
    </row>
    <row r="4339" spans="1:102" x14ac:dyDescent="0.3">
      <c r="A4339" t="str">
        <f>HYPERLINK("https://webapp.icbf.com/v2/app/bull-search/view/604328775","URL")</f>
        <v>URL</v>
      </c>
      <c r="B4339" t="s">
        <v>14876</v>
      </c>
      <c r="C4339" t="s">
        <v>14877</v>
      </c>
      <c r="D4339" s="1">
        <v>37641</v>
      </c>
      <c r="E4339" t="s">
        <v>140</v>
      </c>
      <c r="F4339">
        <v>0</v>
      </c>
      <c r="G4339" t="s">
        <v>109</v>
      </c>
      <c r="H4339">
        <v>-113.34</v>
      </c>
      <c r="I4339">
        <v>64</v>
      </c>
      <c r="J4339">
        <v>-10.71</v>
      </c>
      <c r="K4339">
        <v>76</v>
      </c>
      <c r="L4339">
        <v>-24.8</v>
      </c>
      <c r="M4339">
        <v>49</v>
      </c>
      <c r="N4339">
        <v>-89.07</v>
      </c>
      <c r="O4339">
        <v>66</v>
      </c>
      <c r="P4339">
        <v>21.42</v>
      </c>
      <c r="Q4339">
        <v>83</v>
      </c>
      <c r="R4339">
        <v>4.55</v>
      </c>
      <c r="S4339">
        <v>44</v>
      </c>
      <c r="T4339">
        <v>-2.6</v>
      </c>
      <c r="U4339">
        <v>68</v>
      </c>
      <c r="V4339">
        <v>-12.13</v>
      </c>
      <c r="W4339">
        <v>49</v>
      </c>
      <c r="X4339" t="s">
        <v>94</v>
      </c>
      <c r="Y4339" t="s">
        <v>235</v>
      </c>
      <c r="Z4339">
        <v>0</v>
      </c>
      <c r="AA4339" t="s">
        <v>1808</v>
      </c>
      <c r="AB4339" t="s">
        <v>14878</v>
      </c>
      <c r="AC4339">
        <v>0</v>
      </c>
      <c r="AD4339">
        <v>0</v>
      </c>
      <c r="AE4339">
        <v>76</v>
      </c>
      <c r="AF4339">
        <v>79.06</v>
      </c>
      <c r="AG4339">
        <v>-3.17</v>
      </c>
      <c r="AH4339">
        <v>0.51</v>
      </c>
      <c r="AI4339">
        <v>-0.1</v>
      </c>
      <c r="AJ4339">
        <v>-0.04</v>
      </c>
      <c r="AK4339">
        <v>49</v>
      </c>
      <c r="AL4339">
        <v>41</v>
      </c>
      <c r="AM4339">
        <v>17</v>
      </c>
      <c r="AN4339">
        <v>1.2</v>
      </c>
      <c r="AO4339">
        <v>-0.78</v>
      </c>
      <c r="AP4339">
        <v>40</v>
      </c>
      <c r="AQ4339">
        <v>4</v>
      </c>
      <c r="AR4339">
        <v>15.73</v>
      </c>
      <c r="AS4339">
        <v>32</v>
      </c>
      <c r="AT4339">
        <v>7.19</v>
      </c>
      <c r="AU4339">
        <v>59</v>
      </c>
      <c r="AV4339">
        <v>0.95</v>
      </c>
      <c r="AW4339">
        <v>90</v>
      </c>
      <c r="AX4339">
        <v>0.04</v>
      </c>
      <c r="AY4339">
        <v>60</v>
      </c>
      <c r="AZ4339">
        <v>5.99</v>
      </c>
      <c r="BA4339">
        <v>33</v>
      </c>
      <c r="BB4339">
        <v>4.5</v>
      </c>
      <c r="BC4339">
        <v>35</v>
      </c>
      <c r="BD4339">
        <v>0.02</v>
      </c>
      <c r="BE4339">
        <v>-0.02</v>
      </c>
      <c r="BF4339">
        <v>-0.1</v>
      </c>
      <c r="BG4339">
        <v>51</v>
      </c>
      <c r="BH4339">
        <v>-0.45</v>
      </c>
      <c r="BI4339">
        <v>-12.91</v>
      </c>
      <c r="BJ4339">
        <v>0</v>
      </c>
      <c r="BK4339">
        <v>0</v>
      </c>
      <c r="BL4339">
        <v>-0.56999999999999995</v>
      </c>
      <c r="BM4339">
        <v>3.26</v>
      </c>
      <c r="BN4339">
        <v>-1.56</v>
      </c>
      <c r="BO4339">
        <v>-2.72</v>
      </c>
      <c r="BP4339">
        <v>4.4000000000000004</v>
      </c>
      <c r="BQ4339">
        <v>-2.23</v>
      </c>
      <c r="BR4339">
        <v>-2.81</v>
      </c>
      <c r="BS4339">
        <v>-0.42</v>
      </c>
      <c r="BT4339">
        <v>2.57</v>
      </c>
      <c r="BU4339">
        <v>-3.26</v>
      </c>
      <c r="BV4339">
        <v>-3.77</v>
      </c>
      <c r="BW4339">
        <v>-2.83</v>
      </c>
      <c r="BX4339">
        <v>-2.5099999999999998</v>
      </c>
      <c r="BY4339">
        <v>-2.1</v>
      </c>
      <c r="BZ4339">
        <v>1.21</v>
      </c>
      <c r="CA4339">
        <v>-2.2799999999999998</v>
      </c>
      <c r="CB4339">
        <v>-3.02</v>
      </c>
      <c r="CC4339">
        <v>-0.2</v>
      </c>
      <c r="CD4339">
        <v>3.79</v>
      </c>
      <c r="CE4339">
        <v>-2.71</v>
      </c>
      <c r="CF4339">
        <v>-0.67</v>
      </c>
      <c r="CG4339">
        <v>0</v>
      </c>
      <c r="CH4339">
        <v>-2.2599999999999998</v>
      </c>
      <c r="CI4339">
        <v>0</v>
      </c>
      <c r="CJ4339">
        <v>8.1</v>
      </c>
      <c r="CK4339">
        <v>85</v>
      </c>
      <c r="CL4339">
        <v>0.44</v>
      </c>
      <c r="CM4339">
        <v>82</v>
      </c>
      <c r="CN4339">
        <v>-0.31</v>
      </c>
      <c r="CO4339">
        <v>80</v>
      </c>
      <c r="CP4339">
        <v>13.8</v>
      </c>
      <c r="CQ4339">
        <v>74</v>
      </c>
      <c r="CR4339">
        <v>0</v>
      </c>
      <c r="CS4339">
        <v>0</v>
      </c>
      <c r="CT4339">
        <v>17.3</v>
      </c>
      <c r="CU4339">
        <v>68</v>
      </c>
      <c r="CV4339">
        <v>-0.14000000000000001</v>
      </c>
      <c r="CW4339">
        <v>24</v>
      </c>
      <c r="CX4339" t="s">
        <v>295</v>
      </c>
    </row>
    <row r="4340" spans="1:102" x14ac:dyDescent="0.3">
      <c r="A4340" t="str">
        <f>HYPERLINK("https://webapp.icbf.com/v2/app/bull-search/view/268095493","CGX")</f>
        <v>CGX</v>
      </c>
      <c r="B4340" t="s">
        <v>12197</v>
      </c>
      <c r="C4340" t="s">
        <v>12198</v>
      </c>
      <c r="D4340" s="1">
        <v>36141</v>
      </c>
      <c r="E4340" t="s">
        <v>92</v>
      </c>
      <c r="F4340">
        <v>100</v>
      </c>
      <c r="G4340" t="s">
        <v>93</v>
      </c>
      <c r="H4340">
        <v>-113.64</v>
      </c>
      <c r="I4340">
        <v>96</v>
      </c>
      <c r="J4340">
        <v>31.62</v>
      </c>
      <c r="K4340">
        <v>99</v>
      </c>
      <c r="L4340">
        <v>-131.93</v>
      </c>
      <c r="M4340">
        <v>94</v>
      </c>
      <c r="N4340">
        <v>8.9600000000000009</v>
      </c>
      <c r="O4340">
        <v>96</v>
      </c>
      <c r="P4340">
        <v>-2.34</v>
      </c>
      <c r="Q4340">
        <v>99</v>
      </c>
      <c r="R4340">
        <v>-17.09</v>
      </c>
      <c r="S4340">
        <v>92</v>
      </c>
      <c r="T4340">
        <v>-10.67</v>
      </c>
      <c r="U4340">
        <v>96</v>
      </c>
      <c r="V4340">
        <v>7.81</v>
      </c>
      <c r="W4340">
        <v>93</v>
      </c>
      <c r="X4340" t="s">
        <v>94</v>
      </c>
      <c r="Y4340" t="s">
        <v>95</v>
      </c>
      <c r="Z4340" t="s">
        <v>96</v>
      </c>
      <c r="AA4340" t="s">
        <v>901</v>
      </c>
      <c r="AB4340" t="s">
        <v>12199</v>
      </c>
      <c r="AC4340">
        <v>756</v>
      </c>
      <c r="AD4340">
        <v>221</v>
      </c>
      <c r="AE4340">
        <v>99</v>
      </c>
      <c r="AF4340">
        <v>263.04000000000002</v>
      </c>
      <c r="AG4340">
        <v>5.21</v>
      </c>
      <c r="AH4340">
        <v>7.56</v>
      </c>
      <c r="AI4340">
        <v>-0.08</v>
      </c>
      <c r="AJ4340">
        <v>-0.02</v>
      </c>
      <c r="AK4340">
        <v>94</v>
      </c>
      <c r="AL4340">
        <v>694</v>
      </c>
      <c r="AM4340">
        <v>231</v>
      </c>
      <c r="AN4340">
        <v>5.75</v>
      </c>
      <c r="AO4340">
        <v>-4.79</v>
      </c>
      <c r="AP4340">
        <v>1488</v>
      </c>
      <c r="AQ4340">
        <v>1</v>
      </c>
      <c r="AR4340">
        <v>8.1999999999999993</v>
      </c>
      <c r="AS4340">
        <v>92</v>
      </c>
      <c r="AT4340">
        <v>3.72</v>
      </c>
      <c r="AU4340">
        <v>98</v>
      </c>
      <c r="AV4340">
        <v>-1.91</v>
      </c>
      <c r="AW4340">
        <v>99</v>
      </c>
      <c r="AX4340">
        <v>-0.81</v>
      </c>
      <c r="AY4340">
        <v>96</v>
      </c>
      <c r="AZ4340">
        <v>6.16</v>
      </c>
      <c r="BA4340">
        <v>90</v>
      </c>
      <c r="BB4340">
        <v>5.3</v>
      </c>
      <c r="BC4340">
        <v>89</v>
      </c>
      <c r="BD4340">
        <v>0.03</v>
      </c>
      <c r="BE4340">
        <v>7.0000000000000007E-2</v>
      </c>
      <c r="BF4340">
        <v>0.21</v>
      </c>
      <c r="BG4340">
        <v>97</v>
      </c>
      <c r="BH4340">
        <v>0.26</v>
      </c>
      <c r="BI4340">
        <v>4.8899999999999997</v>
      </c>
      <c r="BJ4340">
        <v>130</v>
      </c>
      <c r="BK4340">
        <v>57</v>
      </c>
      <c r="BL4340">
        <v>1.22</v>
      </c>
      <c r="BM4340">
        <v>1.7</v>
      </c>
      <c r="BN4340">
        <v>2.52</v>
      </c>
      <c r="BO4340">
        <v>0.99</v>
      </c>
      <c r="BP4340">
        <v>-1.93</v>
      </c>
      <c r="BQ4340">
        <v>1.76</v>
      </c>
      <c r="BR4340">
        <v>0.68</v>
      </c>
      <c r="BS4340">
        <v>0.21</v>
      </c>
      <c r="BT4340">
        <v>-0.1</v>
      </c>
      <c r="BU4340">
        <v>0.89</v>
      </c>
      <c r="BV4340">
        <v>1.82</v>
      </c>
      <c r="BW4340">
        <v>1.82</v>
      </c>
      <c r="BX4340">
        <v>-0.57999999999999996</v>
      </c>
      <c r="BY4340">
        <v>0.56000000000000005</v>
      </c>
      <c r="BZ4340">
        <v>1.22</v>
      </c>
      <c r="CA4340">
        <v>1.05</v>
      </c>
      <c r="CB4340">
        <v>1.2</v>
      </c>
      <c r="CC4340">
        <v>0.69</v>
      </c>
      <c r="CD4340">
        <v>0.22</v>
      </c>
      <c r="CE4340">
        <v>1.07</v>
      </c>
      <c r="CF4340">
        <v>1.01</v>
      </c>
      <c r="CG4340">
        <v>0</v>
      </c>
      <c r="CH4340">
        <v>0.71</v>
      </c>
      <c r="CI4340">
        <v>0</v>
      </c>
      <c r="CJ4340">
        <v>3.1</v>
      </c>
      <c r="CK4340">
        <v>99</v>
      </c>
      <c r="CL4340">
        <v>-0.97</v>
      </c>
      <c r="CM4340">
        <v>99</v>
      </c>
      <c r="CN4340">
        <v>-0.2</v>
      </c>
      <c r="CO4340">
        <v>98</v>
      </c>
      <c r="CP4340">
        <v>7</v>
      </c>
      <c r="CQ4340">
        <v>98</v>
      </c>
      <c r="CR4340">
        <v>0</v>
      </c>
      <c r="CS4340">
        <v>0</v>
      </c>
      <c r="CT4340">
        <v>28.2</v>
      </c>
      <c r="CU4340">
        <v>96</v>
      </c>
      <c r="CV4340">
        <v>0.28999999999999998</v>
      </c>
      <c r="CW4340">
        <v>46</v>
      </c>
      <c r="CX4340" t="s">
        <v>218</v>
      </c>
    </row>
    <row r="4341" spans="1:102" x14ac:dyDescent="0.3">
      <c r="A4341" t="str">
        <f>HYPERLINK("https://webapp.icbf.com/v2/app/bull-search/view/77855386","LSL")</f>
        <v>LSL</v>
      </c>
      <c r="B4341" t="s">
        <v>14322</v>
      </c>
      <c r="C4341" t="s">
        <v>14323</v>
      </c>
      <c r="D4341" s="1">
        <v>32893</v>
      </c>
      <c r="E4341" t="s">
        <v>92</v>
      </c>
      <c r="F4341">
        <v>100</v>
      </c>
      <c r="G4341" t="s">
        <v>109</v>
      </c>
      <c r="H4341">
        <v>-113.65</v>
      </c>
      <c r="I4341">
        <v>76</v>
      </c>
      <c r="J4341">
        <v>-50.74</v>
      </c>
      <c r="K4341">
        <v>87</v>
      </c>
      <c r="L4341">
        <v>-53.79</v>
      </c>
      <c r="M4341">
        <v>81</v>
      </c>
      <c r="N4341">
        <v>-5.18</v>
      </c>
      <c r="O4341">
        <v>61</v>
      </c>
      <c r="P4341">
        <v>-0.44</v>
      </c>
      <c r="Q4341">
        <v>69</v>
      </c>
      <c r="R4341">
        <v>-11.27</v>
      </c>
      <c r="S4341">
        <v>66</v>
      </c>
      <c r="T4341">
        <v>7.17</v>
      </c>
      <c r="U4341">
        <v>64</v>
      </c>
      <c r="V4341">
        <v>0.6</v>
      </c>
      <c r="W4341">
        <v>30</v>
      </c>
      <c r="X4341" t="s">
        <v>131</v>
      </c>
      <c r="Y4341" t="s">
        <v>95</v>
      </c>
      <c r="Z4341" t="s">
        <v>96</v>
      </c>
      <c r="AA4341" t="s">
        <v>111</v>
      </c>
      <c r="AB4341" t="s">
        <v>14324</v>
      </c>
      <c r="AC4341">
        <v>21</v>
      </c>
      <c r="AD4341">
        <v>21</v>
      </c>
      <c r="AE4341">
        <v>87</v>
      </c>
      <c r="AF4341">
        <v>131.77000000000001</v>
      </c>
      <c r="AG4341">
        <v>-7.13</v>
      </c>
      <c r="AH4341">
        <v>-4.09</v>
      </c>
      <c r="AI4341">
        <v>-0.2</v>
      </c>
      <c r="AJ4341">
        <v>-0.14000000000000001</v>
      </c>
      <c r="AK4341">
        <v>81</v>
      </c>
      <c r="AL4341">
        <v>31</v>
      </c>
      <c r="AM4341">
        <v>21</v>
      </c>
      <c r="AN4341">
        <v>2.93</v>
      </c>
      <c r="AO4341">
        <v>-1.36</v>
      </c>
      <c r="AP4341">
        <v>10</v>
      </c>
      <c r="AQ4341">
        <v>2</v>
      </c>
      <c r="AR4341">
        <v>8.8000000000000007</v>
      </c>
      <c r="AS4341">
        <v>36</v>
      </c>
      <c r="AT4341">
        <v>4.2699999999999996</v>
      </c>
      <c r="AU4341">
        <v>83</v>
      </c>
      <c r="AV4341">
        <v>-1</v>
      </c>
      <c r="AW4341">
        <v>63</v>
      </c>
      <c r="AX4341">
        <v>7.0000000000000007E-2</v>
      </c>
      <c r="AY4341">
        <v>57</v>
      </c>
      <c r="AZ4341">
        <v>6.12</v>
      </c>
      <c r="BA4341">
        <v>34</v>
      </c>
      <c r="BB4341">
        <v>4.74</v>
      </c>
      <c r="BC4341">
        <v>38</v>
      </c>
      <c r="BD4341">
        <v>0.06</v>
      </c>
      <c r="BE4341">
        <v>0.11</v>
      </c>
      <c r="BF4341">
        <v>-0.05</v>
      </c>
      <c r="BG4341">
        <v>85</v>
      </c>
      <c r="BH4341">
        <v>0.1</v>
      </c>
      <c r="BI4341">
        <v>9.6199999999999992</v>
      </c>
      <c r="BJ4341">
        <v>7</v>
      </c>
      <c r="BK4341">
        <v>6</v>
      </c>
      <c r="BL4341">
        <v>1.65</v>
      </c>
      <c r="BM4341">
        <v>-0.51</v>
      </c>
      <c r="BN4341">
        <v>0.55000000000000004</v>
      </c>
      <c r="BO4341">
        <v>0.61</v>
      </c>
      <c r="BP4341">
        <v>0.4</v>
      </c>
      <c r="BQ4341">
        <v>-1.68</v>
      </c>
      <c r="BR4341">
        <v>0.17</v>
      </c>
      <c r="BS4341">
        <v>1.21</v>
      </c>
      <c r="BT4341">
        <v>0.01</v>
      </c>
      <c r="BU4341">
        <v>-0.09</v>
      </c>
      <c r="BV4341">
        <v>0.26</v>
      </c>
      <c r="BW4341">
        <v>0.57999999999999996</v>
      </c>
      <c r="BX4341">
        <v>0.91</v>
      </c>
      <c r="BY4341">
        <v>1.21</v>
      </c>
      <c r="BZ4341">
        <v>1.42</v>
      </c>
      <c r="CA4341">
        <v>1.1499999999999999</v>
      </c>
      <c r="CB4341">
        <v>0.56999999999999995</v>
      </c>
      <c r="CC4341">
        <v>1.62</v>
      </c>
      <c r="CD4341">
        <v>-0.73</v>
      </c>
      <c r="CE4341">
        <v>1.36</v>
      </c>
      <c r="CF4341">
        <v>1.46</v>
      </c>
      <c r="CG4341">
        <v>0</v>
      </c>
      <c r="CH4341">
        <v>0.49</v>
      </c>
      <c r="CI4341">
        <v>0</v>
      </c>
      <c r="CJ4341">
        <v>2.8</v>
      </c>
      <c r="CK4341">
        <v>71</v>
      </c>
      <c r="CL4341">
        <v>-0.64</v>
      </c>
      <c r="CM4341">
        <v>67</v>
      </c>
      <c r="CN4341">
        <v>-0.15</v>
      </c>
      <c r="CO4341">
        <v>63</v>
      </c>
      <c r="CP4341">
        <v>3.6</v>
      </c>
      <c r="CQ4341">
        <v>69</v>
      </c>
      <c r="CR4341">
        <v>0</v>
      </c>
      <c r="CS4341">
        <v>0</v>
      </c>
      <c r="CT4341">
        <v>4.0999999999999996</v>
      </c>
      <c r="CU4341">
        <v>64</v>
      </c>
      <c r="CV4341">
        <v>0.21</v>
      </c>
      <c r="CW4341">
        <v>20</v>
      </c>
      <c r="CX4341" t="s">
        <v>120</v>
      </c>
    </row>
    <row r="4342" spans="1:102" x14ac:dyDescent="0.3">
      <c r="A4342" t="str">
        <f>HYPERLINK("https://webapp.icbf.com/v2/app/bull-search/view/77855737","LJK")</f>
        <v>LJK</v>
      </c>
      <c r="B4342" t="s">
        <v>10983</v>
      </c>
      <c r="C4342" t="s">
        <v>10984</v>
      </c>
      <c r="D4342" s="1">
        <v>32532</v>
      </c>
      <c r="E4342" t="s">
        <v>92</v>
      </c>
      <c r="F4342">
        <v>100</v>
      </c>
      <c r="G4342" t="s">
        <v>93</v>
      </c>
      <c r="H4342">
        <v>-113.8</v>
      </c>
      <c r="I4342">
        <v>87</v>
      </c>
      <c r="J4342">
        <v>-27.03</v>
      </c>
      <c r="K4342">
        <v>98</v>
      </c>
      <c r="L4342">
        <v>-54.7</v>
      </c>
      <c r="M4342">
        <v>82</v>
      </c>
      <c r="N4342">
        <v>-18.600000000000001</v>
      </c>
      <c r="O4342">
        <v>79</v>
      </c>
      <c r="P4342">
        <v>-19.420000000000002</v>
      </c>
      <c r="Q4342">
        <v>91</v>
      </c>
      <c r="R4342">
        <v>-9.16</v>
      </c>
      <c r="S4342">
        <v>78</v>
      </c>
      <c r="T4342">
        <v>20.41</v>
      </c>
      <c r="U4342">
        <v>90</v>
      </c>
      <c r="V4342">
        <v>-5.3</v>
      </c>
      <c r="W4342">
        <v>50</v>
      </c>
      <c r="X4342" t="s">
        <v>94</v>
      </c>
      <c r="Y4342" t="s">
        <v>95</v>
      </c>
      <c r="Z4342" t="s">
        <v>96</v>
      </c>
      <c r="AA4342" t="s">
        <v>154</v>
      </c>
      <c r="AB4342" t="s">
        <v>10833</v>
      </c>
      <c r="AC4342">
        <v>244</v>
      </c>
      <c r="AD4342">
        <v>201</v>
      </c>
      <c r="AE4342">
        <v>98</v>
      </c>
      <c r="AF4342">
        <v>-177.69</v>
      </c>
      <c r="AG4342">
        <v>-4.91</v>
      </c>
      <c r="AH4342">
        <v>-5.58</v>
      </c>
      <c r="AI4342">
        <v>0.03</v>
      </c>
      <c r="AJ4342">
        <v>0.01</v>
      </c>
      <c r="AK4342">
        <v>82</v>
      </c>
      <c r="AL4342">
        <v>416</v>
      </c>
      <c r="AM4342">
        <v>310</v>
      </c>
      <c r="AN4342">
        <v>2.39</v>
      </c>
      <c r="AO4342">
        <v>-1.98</v>
      </c>
      <c r="AP4342">
        <v>16</v>
      </c>
      <c r="AQ4342">
        <v>0</v>
      </c>
      <c r="AR4342">
        <v>9.1199999999999992</v>
      </c>
      <c r="AS4342">
        <v>50</v>
      </c>
      <c r="AT4342">
        <v>4.43</v>
      </c>
      <c r="AU4342">
        <v>76</v>
      </c>
      <c r="AV4342">
        <v>0.02</v>
      </c>
      <c r="AW4342">
        <v>88</v>
      </c>
      <c r="AX4342">
        <v>0.45</v>
      </c>
      <c r="AY4342">
        <v>87</v>
      </c>
      <c r="AZ4342">
        <v>6.09</v>
      </c>
      <c r="BA4342">
        <v>50</v>
      </c>
      <c r="BB4342">
        <v>5.0599999999999996</v>
      </c>
      <c r="BC4342">
        <v>74</v>
      </c>
      <c r="BD4342">
        <v>0.01</v>
      </c>
      <c r="BE4342">
        <v>0.06</v>
      </c>
      <c r="BF4342">
        <v>0.08</v>
      </c>
      <c r="BG4342">
        <v>96</v>
      </c>
      <c r="BH4342">
        <v>-7.0000000000000007E-2</v>
      </c>
      <c r="BI4342">
        <v>8.99</v>
      </c>
      <c r="BJ4342">
        <v>32</v>
      </c>
      <c r="BK4342">
        <v>29</v>
      </c>
      <c r="BL4342">
        <v>0.11</v>
      </c>
      <c r="BM4342">
        <v>0.69</v>
      </c>
      <c r="BN4342">
        <v>0.95</v>
      </c>
      <c r="BO4342">
        <v>0.03</v>
      </c>
      <c r="BP4342">
        <v>-2.12</v>
      </c>
      <c r="BQ4342">
        <v>0.4</v>
      </c>
      <c r="BR4342">
        <v>-1.66</v>
      </c>
      <c r="BS4342">
        <v>1.1599999999999999</v>
      </c>
      <c r="BT4342">
        <v>1.95</v>
      </c>
      <c r="BU4342">
        <v>-0.13</v>
      </c>
      <c r="BV4342">
        <v>-0.94</v>
      </c>
      <c r="BW4342">
        <v>-0.41</v>
      </c>
      <c r="BX4342">
        <v>1.37</v>
      </c>
      <c r="BY4342">
        <v>-1.48</v>
      </c>
      <c r="BZ4342">
        <v>0.42</v>
      </c>
      <c r="CA4342">
        <v>0.16</v>
      </c>
      <c r="CB4342">
        <v>-0.7</v>
      </c>
      <c r="CC4342">
        <v>1.89</v>
      </c>
      <c r="CD4342">
        <v>0.08</v>
      </c>
      <c r="CE4342">
        <v>0.13</v>
      </c>
      <c r="CF4342">
        <v>0.59</v>
      </c>
      <c r="CG4342">
        <v>0</v>
      </c>
      <c r="CH4342">
        <v>-0.99</v>
      </c>
      <c r="CI4342">
        <v>0</v>
      </c>
      <c r="CJ4342">
        <v>-8</v>
      </c>
      <c r="CK4342">
        <v>92</v>
      </c>
      <c r="CL4342">
        <v>-0.51</v>
      </c>
      <c r="CM4342">
        <v>90</v>
      </c>
      <c r="CN4342">
        <v>0.16</v>
      </c>
      <c r="CO4342">
        <v>89</v>
      </c>
      <c r="CP4342">
        <v>-8.3000000000000007</v>
      </c>
      <c r="CQ4342">
        <v>94</v>
      </c>
      <c r="CR4342">
        <v>0</v>
      </c>
      <c r="CS4342">
        <v>0</v>
      </c>
      <c r="CT4342">
        <v>-13.8</v>
      </c>
      <c r="CU4342">
        <v>90</v>
      </c>
      <c r="CV4342">
        <v>0.01</v>
      </c>
      <c r="CW4342">
        <v>26</v>
      </c>
      <c r="CX4342" t="s">
        <v>10834</v>
      </c>
    </row>
    <row r="4343" spans="1:102" x14ac:dyDescent="0.3">
      <c r="A4343" t="str">
        <f>HYPERLINK("https://webapp.icbf.com/v2/app/bull-search/view/124414809","JOY")</f>
        <v>JOY</v>
      </c>
      <c r="B4343" t="s">
        <v>5104</v>
      </c>
      <c r="C4343" t="s">
        <v>5105</v>
      </c>
      <c r="D4343" s="1">
        <v>34346</v>
      </c>
      <c r="E4343" t="s">
        <v>92</v>
      </c>
      <c r="F4343">
        <v>100</v>
      </c>
      <c r="G4343" t="s">
        <v>93</v>
      </c>
      <c r="H4343">
        <v>-113.83</v>
      </c>
      <c r="I4343">
        <v>90</v>
      </c>
      <c r="J4343">
        <v>26.32</v>
      </c>
      <c r="K4343">
        <v>97</v>
      </c>
      <c r="L4343">
        <v>-75.66</v>
      </c>
      <c r="M4343">
        <v>88</v>
      </c>
      <c r="N4343">
        <v>-67.930000000000007</v>
      </c>
      <c r="O4343">
        <v>82</v>
      </c>
      <c r="P4343">
        <v>-6.12</v>
      </c>
      <c r="Q4343">
        <v>94</v>
      </c>
      <c r="R4343">
        <v>-5.38</v>
      </c>
      <c r="S4343">
        <v>80</v>
      </c>
      <c r="T4343">
        <v>12.27</v>
      </c>
      <c r="U4343">
        <v>90</v>
      </c>
      <c r="V4343">
        <v>2.67</v>
      </c>
      <c r="W4343">
        <v>73</v>
      </c>
      <c r="X4343" t="s">
        <v>276</v>
      </c>
      <c r="Y4343" t="s">
        <v>95</v>
      </c>
      <c r="Z4343" t="s">
        <v>96</v>
      </c>
      <c r="AA4343" t="s">
        <v>937</v>
      </c>
      <c r="AB4343" t="s">
        <v>5106</v>
      </c>
      <c r="AC4343">
        <v>98</v>
      </c>
      <c r="AD4343">
        <v>59</v>
      </c>
      <c r="AE4343">
        <v>97</v>
      </c>
      <c r="AF4343">
        <v>44.3</v>
      </c>
      <c r="AG4343">
        <v>6.74</v>
      </c>
      <c r="AH4343">
        <v>2.77</v>
      </c>
      <c r="AI4343">
        <v>0.09</v>
      </c>
      <c r="AJ4343">
        <v>0.02</v>
      </c>
      <c r="AK4343">
        <v>88</v>
      </c>
      <c r="AL4343">
        <v>138</v>
      </c>
      <c r="AM4343">
        <v>76</v>
      </c>
      <c r="AN4343">
        <v>4.4000000000000004</v>
      </c>
      <c r="AO4343">
        <v>-1.63</v>
      </c>
      <c r="AP4343">
        <v>99</v>
      </c>
      <c r="AQ4343">
        <v>5</v>
      </c>
      <c r="AR4343">
        <v>13.09</v>
      </c>
      <c r="AS4343">
        <v>63</v>
      </c>
      <c r="AT4343">
        <v>6.24</v>
      </c>
      <c r="AU4343">
        <v>88</v>
      </c>
      <c r="AV4343">
        <v>1.82</v>
      </c>
      <c r="AW4343">
        <v>88</v>
      </c>
      <c r="AX4343">
        <v>-0.38</v>
      </c>
      <c r="AY4343">
        <v>85</v>
      </c>
      <c r="AZ4343">
        <v>6.07</v>
      </c>
      <c r="BA4343">
        <v>56</v>
      </c>
      <c r="BB4343">
        <v>4.67</v>
      </c>
      <c r="BC4343">
        <v>65</v>
      </c>
      <c r="BD4343">
        <v>0.04</v>
      </c>
      <c r="BE4343">
        <v>0.03</v>
      </c>
      <c r="BF4343">
        <v>0</v>
      </c>
      <c r="BG4343">
        <v>93</v>
      </c>
      <c r="BH4343">
        <v>7.0000000000000007E-2</v>
      </c>
      <c r="BI4343">
        <v>-0.53</v>
      </c>
      <c r="BJ4343">
        <v>8</v>
      </c>
      <c r="BK4343">
        <v>3</v>
      </c>
      <c r="BL4343">
        <v>-0.49</v>
      </c>
      <c r="BM4343">
        <v>-0.02</v>
      </c>
      <c r="BN4343">
        <v>-0.11</v>
      </c>
      <c r="BO4343">
        <v>-0.17</v>
      </c>
      <c r="BP4343">
        <v>-1.5</v>
      </c>
      <c r="BQ4343">
        <v>1.32</v>
      </c>
      <c r="BR4343">
        <v>0.43</v>
      </c>
      <c r="BS4343">
        <v>-0.52</v>
      </c>
      <c r="BT4343">
        <v>1.1599999999999999</v>
      </c>
      <c r="BU4343">
        <v>0.28000000000000003</v>
      </c>
      <c r="BV4343">
        <v>0.14000000000000001</v>
      </c>
      <c r="BW4343">
        <v>-0.18</v>
      </c>
      <c r="BX4343">
        <v>-0.04</v>
      </c>
      <c r="BY4343">
        <v>-1</v>
      </c>
      <c r="BZ4343">
        <v>0.28000000000000003</v>
      </c>
      <c r="CA4343">
        <v>-0.34</v>
      </c>
      <c r="CB4343">
        <v>-0.16</v>
      </c>
      <c r="CC4343">
        <v>-0.78</v>
      </c>
      <c r="CD4343">
        <v>-0.28000000000000003</v>
      </c>
      <c r="CE4343">
        <v>-0.03</v>
      </c>
      <c r="CF4343">
        <v>-0.62</v>
      </c>
      <c r="CG4343">
        <v>0</v>
      </c>
      <c r="CH4343">
        <v>-1.03</v>
      </c>
      <c r="CI4343">
        <v>0</v>
      </c>
      <c r="CJ4343">
        <v>-1.8</v>
      </c>
      <c r="CK4343">
        <v>95</v>
      </c>
      <c r="CL4343">
        <v>-0.59</v>
      </c>
      <c r="CM4343">
        <v>93</v>
      </c>
      <c r="CN4343">
        <v>-0.28000000000000003</v>
      </c>
      <c r="CO4343">
        <v>93</v>
      </c>
      <c r="CP4343">
        <v>-5.5</v>
      </c>
      <c r="CQ4343">
        <v>93</v>
      </c>
      <c r="CR4343">
        <v>0</v>
      </c>
      <c r="CS4343">
        <v>0</v>
      </c>
      <c r="CT4343">
        <v>-2.8</v>
      </c>
      <c r="CU4343">
        <v>90</v>
      </c>
      <c r="CV4343">
        <v>0.11</v>
      </c>
      <c r="CW4343">
        <v>45</v>
      </c>
      <c r="CX4343" t="s">
        <v>3577</v>
      </c>
    </row>
    <row r="4344" spans="1:102" x14ac:dyDescent="0.3">
      <c r="A4344" t="str">
        <f>HYPERLINK("https://webapp.icbf.com/v2/app/bull-search/view/77854351","QGN")</f>
        <v>QGN</v>
      </c>
      <c r="B4344" t="s">
        <v>3557</v>
      </c>
      <c r="C4344" t="s">
        <v>3558</v>
      </c>
      <c r="D4344" s="1">
        <v>35298</v>
      </c>
      <c r="E4344" t="s">
        <v>92</v>
      </c>
      <c r="F4344">
        <v>100</v>
      </c>
      <c r="G4344" t="s">
        <v>93</v>
      </c>
      <c r="H4344">
        <v>-113.89</v>
      </c>
      <c r="I4344">
        <v>70</v>
      </c>
      <c r="J4344">
        <v>-37.03</v>
      </c>
      <c r="K4344">
        <v>90</v>
      </c>
      <c r="L4344">
        <v>-68.95</v>
      </c>
      <c r="M4344">
        <v>57</v>
      </c>
      <c r="N4344">
        <v>6.01</v>
      </c>
      <c r="O4344">
        <v>54</v>
      </c>
      <c r="P4344">
        <v>-6.95</v>
      </c>
      <c r="Q4344">
        <v>74</v>
      </c>
      <c r="R4344">
        <v>-18.02</v>
      </c>
      <c r="S4344">
        <v>60</v>
      </c>
      <c r="T4344">
        <v>15.01</v>
      </c>
      <c r="U4344">
        <v>85</v>
      </c>
      <c r="V4344">
        <v>-3.96</v>
      </c>
      <c r="W4344">
        <v>30</v>
      </c>
      <c r="X4344" t="s">
        <v>94</v>
      </c>
      <c r="Y4344" t="s">
        <v>95</v>
      </c>
      <c r="Z4344" t="s">
        <v>96</v>
      </c>
      <c r="AA4344" t="s">
        <v>2855</v>
      </c>
      <c r="AB4344" t="s">
        <v>3559</v>
      </c>
      <c r="AC4344">
        <v>44</v>
      </c>
      <c r="AD4344">
        <v>39</v>
      </c>
      <c r="AE4344">
        <v>90</v>
      </c>
      <c r="AF4344">
        <v>89.14</v>
      </c>
      <c r="AG4344">
        <v>-6.51</v>
      </c>
      <c r="AH4344">
        <v>-2.63</v>
      </c>
      <c r="AI4344">
        <v>-0.16</v>
      </c>
      <c r="AJ4344">
        <v>-0.09</v>
      </c>
      <c r="AK4344">
        <v>57</v>
      </c>
      <c r="AL4344">
        <v>51</v>
      </c>
      <c r="AM4344">
        <v>42</v>
      </c>
      <c r="AN4344">
        <v>2.88</v>
      </c>
      <c r="AO4344">
        <v>-2.63</v>
      </c>
      <c r="AP4344">
        <v>3</v>
      </c>
      <c r="AQ4344">
        <v>0</v>
      </c>
      <c r="AR4344">
        <v>8.6</v>
      </c>
      <c r="AS4344">
        <v>34</v>
      </c>
      <c r="AT4344">
        <v>3.55</v>
      </c>
      <c r="AU4344">
        <v>52</v>
      </c>
      <c r="AV4344">
        <v>-1</v>
      </c>
      <c r="AW4344">
        <v>60</v>
      </c>
      <c r="AX4344">
        <v>-0.84</v>
      </c>
      <c r="AY4344">
        <v>67</v>
      </c>
      <c r="AZ4344">
        <v>5.91</v>
      </c>
      <c r="BA4344">
        <v>35</v>
      </c>
      <c r="BB4344">
        <v>4.63</v>
      </c>
      <c r="BC4344">
        <v>48</v>
      </c>
      <c r="BD4344">
        <v>0.02</v>
      </c>
      <c r="BE4344">
        <v>0.09</v>
      </c>
      <c r="BF4344">
        <v>0.21</v>
      </c>
      <c r="BG4344">
        <v>73</v>
      </c>
      <c r="BH4344">
        <v>-0.17</v>
      </c>
      <c r="BI4344">
        <v>-6.88</v>
      </c>
      <c r="BJ4344">
        <v>0</v>
      </c>
      <c r="BK4344">
        <v>0</v>
      </c>
      <c r="BL4344">
        <v>0.14000000000000001</v>
      </c>
      <c r="BM4344">
        <v>-0.33</v>
      </c>
      <c r="BN4344">
        <v>0.38</v>
      </c>
      <c r="BO4344">
        <v>0.26</v>
      </c>
      <c r="BP4344">
        <v>-1.7</v>
      </c>
      <c r="BQ4344">
        <v>-0.67</v>
      </c>
      <c r="BR4344">
        <v>1.1299999999999999</v>
      </c>
      <c r="BS4344">
        <v>-1.74</v>
      </c>
      <c r="BT4344">
        <v>-1.97</v>
      </c>
      <c r="BU4344">
        <v>-0.19</v>
      </c>
      <c r="BV4344">
        <v>0.3</v>
      </c>
      <c r="BW4344">
        <v>0.08</v>
      </c>
      <c r="BX4344">
        <v>-0.96</v>
      </c>
      <c r="BY4344">
        <v>0.6</v>
      </c>
      <c r="BZ4344">
        <v>-0.98</v>
      </c>
      <c r="CA4344">
        <v>-0.54</v>
      </c>
      <c r="CB4344">
        <v>0.13</v>
      </c>
      <c r="CC4344">
        <v>-1.65</v>
      </c>
      <c r="CD4344">
        <v>-0.83</v>
      </c>
      <c r="CE4344">
        <v>0.24</v>
      </c>
      <c r="CF4344">
        <v>-0.39</v>
      </c>
      <c r="CG4344">
        <v>0</v>
      </c>
      <c r="CH4344">
        <v>0.26</v>
      </c>
      <c r="CI4344">
        <v>0</v>
      </c>
      <c r="CJ4344">
        <v>0.4</v>
      </c>
      <c r="CK4344">
        <v>75</v>
      </c>
      <c r="CL4344">
        <v>-0.69</v>
      </c>
      <c r="CM4344">
        <v>71</v>
      </c>
      <c r="CN4344">
        <v>-0.06</v>
      </c>
      <c r="CO4344">
        <v>67</v>
      </c>
      <c r="CP4344">
        <v>-7.2</v>
      </c>
      <c r="CQ4344">
        <v>83</v>
      </c>
      <c r="CR4344">
        <v>0</v>
      </c>
      <c r="CS4344">
        <v>0</v>
      </c>
      <c r="CT4344">
        <v>-6.5</v>
      </c>
      <c r="CU4344">
        <v>85</v>
      </c>
      <c r="CV4344">
        <v>0.3</v>
      </c>
      <c r="CW4344">
        <v>20</v>
      </c>
      <c r="CX4344" t="s">
        <v>99</v>
      </c>
    </row>
    <row r="4345" spans="1:102" x14ac:dyDescent="0.3">
      <c r="A4345" t="str">
        <f>HYPERLINK("https://webapp.icbf.com/v2/app/bull-search/view/77858110","EBM")</f>
        <v>EBM</v>
      </c>
      <c r="B4345" t="s">
        <v>3410</v>
      </c>
      <c r="C4345" t="s">
        <v>3411</v>
      </c>
      <c r="D4345" s="1">
        <v>32828</v>
      </c>
      <c r="E4345" t="s">
        <v>92</v>
      </c>
      <c r="F4345">
        <v>100</v>
      </c>
      <c r="G4345" t="s">
        <v>109</v>
      </c>
      <c r="H4345">
        <v>-113.94</v>
      </c>
      <c r="I4345">
        <v>82</v>
      </c>
      <c r="J4345">
        <v>-6.1</v>
      </c>
      <c r="K4345">
        <v>93</v>
      </c>
      <c r="L4345">
        <v>-108.96</v>
      </c>
      <c r="M4345">
        <v>87</v>
      </c>
      <c r="N4345">
        <v>13.09</v>
      </c>
      <c r="O4345">
        <v>67</v>
      </c>
      <c r="P4345">
        <v>-14.86</v>
      </c>
      <c r="Q4345">
        <v>63</v>
      </c>
      <c r="R4345">
        <v>-9.4499999999999993</v>
      </c>
      <c r="S4345">
        <v>79</v>
      </c>
      <c r="T4345">
        <v>15.45</v>
      </c>
      <c r="U4345">
        <v>65</v>
      </c>
      <c r="V4345">
        <v>-3.11</v>
      </c>
      <c r="W4345">
        <v>67</v>
      </c>
      <c r="X4345" t="s">
        <v>110</v>
      </c>
      <c r="Y4345" t="s">
        <v>95</v>
      </c>
      <c r="Z4345" t="s">
        <v>96</v>
      </c>
      <c r="AA4345" t="s">
        <v>111</v>
      </c>
      <c r="AB4345" t="s">
        <v>3412</v>
      </c>
      <c r="AC4345">
        <v>0</v>
      </c>
      <c r="AD4345">
        <v>0</v>
      </c>
      <c r="AE4345">
        <v>93</v>
      </c>
      <c r="AF4345">
        <v>281.92</v>
      </c>
      <c r="AG4345">
        <v>3.98</v>
      </c>
      <c r="AH4345">
        <v>1.87</v>
      </c>
      <c r="AI4345">
        <v>-0.12</v>
      </c>
      <c r="AJ4345">
        <v>-0.13</v>
      </c>
      <c r="AK4345">
        <v>87</v>
      </c>
      <c r="AL4345">
        <v>0</v>
      </c>
      <c r="AM4345">
        <v>0</v>
      </c>
      <c r="AN4345">
        <v>5.89</v>
      </c>
      <c r="AO4345">
        <v>-2.8</v>
      </c>
      <c r="AP4345">
        <v>1</v>
      </c>
      <c r="AQ4345">
        <v>0</v>
      </c>
      <c r="AR4345">
        <v>7.01</v>
      </c>
      <c r="AS4345">
        <v>62</v>
      </c>
      <c r="AT4345">
        <v>3.05</v>
      </c>
      <c r="AU4345">
        <v>92</v>
      </c>
      <c r="AV4345">
        <v>-0.87</v>
      </c>
      <c r="AW4345">
        <v>59</v>
      </c>
      <c r="AX4345">
        <v>-0.27</v>
      </c>
      <c r="AY4345">
        <v>60</v>
      </c>
      <c r="AZ4345">
        <v>5.55</v>
      </c>
      <c r="BA4345">
        <v>54</v>
      </c>
      <c r="BB4345">
        <v>4.57</v>
      </c>
      <c r="BC4345">
        <v>58</v>
      </c>
      <c r="BD4345">
        <v>0.02</v>
      </c>
      <c r="BE4345">
        <v>0.06</v>
      </c>
      <c r="BF4345">
        <v>7.0000000000000007E-2</v>
      </c>
      <c r="BG4345">
        <v>92</v>
      </c>
      <c r="BH4345">
        <v>-0.02</v>
      </c>
      <c r="BI4345">
        <v>7.71</v>
      </c>
      <c r="BJ4345">
        <v>2</v>
      </c>
      <c r="BK4345">
        <v>2</v>
      </c>
      <c r="BL4345">
        <v>0.17</v>
      </c>
      <c r="BM4345">
        <v>-0.5</v>
      </c>
      <c r="BN4345">
        <v>1.06</v>
      </c>
      <c r="BO4345">
        <v>1.1599999999999999</v>
      </c>
      <c r="BP4345">
        <v>0.33</v>
      </c>
      <c r="BQ4345">
        <v>-0.81</v>
      </c>
      <c r="BR4345">
        <v>1.62</v>
      </c>
      <c r="BS4345">
        <v>-0.48</v>
      </c>
      <c r="BT4345">
        <v>-1.99</v>
      </c>
      <c r="BU4345">
        <v>0.51</v>
      </c>
      <c r="BV4345">
        <v>0.43</v>
      </c>
      <c r="BW4345">
        <v>0.65</v>
      </c>
      <c r="BX4345">
        <v>-0.41</v>
      </c>
      <c r="BY4345">
        <v>0.13</v>
      </c>
      <c r="BZ4345">
        <v>-1.37</v>
      </c>
      <c r="CA4345">
        <v>0.38</v>
      </c>
      <c r="CB4345">
        <v>0.69</v>
      </c>
      <c r="CC4345">
        <v>0.26</v>
      </c>
      <c r="CD4345">
        <v>-0.89</v>
      </c>
      <c r="CE4345">
        <v>0.85</v>
      </c>
      <c r="CF4345">
        <v>1.03</v>
      </c>
      <c r="CG4345">
        <v>0</v>
      </c>
      <c r="CH4345">
        <v>-0.04</v>
      </c>
      <c r="CI4345">
        <v>0</v>
      </c>
      <c r="CJ4345">
        <v>-5.4</v>
      </c>
      <c r="CK4345">
        <v>64</v>
      </c>
      <c r="CL4345">
        <v>-1.05</v>
      </c>
      <c r="CM4345">
        <v>61</v>
      </c>
      <c r="CN4345">
        <v>-0.4</v>
      </c>
      <c r="CO4345">
        <v>58</v>
      </c>
      <c r="CP4345">
        <v>-8.4</v>
      </c>
      <c r="CQ4345">
        <v>70</v>
      </c>
      <c r="CR4345">
        <v>0</v>
      </c>
      <c r="CS4345">
        <v>0</v>
      </c>
      <c r="CT4345">
        <v>-7.1</v>
      </c>
      <c r="CU4345">
        <v>65</v>
      </c>
      <c r="CV4345">
        <v>0.12</v>
      </c>
      <c r="CW4345">
        <v>38</v>
      </c>
      <c r="CX4345" t="s">
        <v>543</v>
      </c>
    </row>
    <row r="4346" spans="1:102" x14ac:dyDescent="0.3">
      <c r="A4346" t="str">
        <f>HYPERLINK("https://webapp.icbf.com/v2/app/bull-search/view/77855170","MIB")</f>
        <v>MIB</v>
      </c>
      <c r="B4346" t="s">
        <v>874</v>
      </c>
      <c r="C4346" t="s">
        <v>875</v>
      </c>
      <c r="D4346" s="1">
        <v>32791</v>
      </c>
      <c r="E4346" t="s">
        <v>92</v>
      </c>
      <c r="F4346">
        <v>100</v>
      </c>
      <c r="G4346" t="s">
        <v>93</v>
      </c>
      <c r="H4346">
        <v>-113.98</v>
      </c>
      <c r="I4346">
        <v>55</v>
      </c>
      <c r="J4346">
        <v>-62.62</v>
      </c>
      <c r="K4346">
        <v>76</v>
      </c>
      <c r="L4346">
        <v>-37.32</v>
      </c>
      <c r="M4346">
        <v>52</v>
      </c>
      <c r="N4346">
        <v>-7.45</v>
      </c>
      <c r="O4346">
        <v>34</v>
      </c>
      <c r="P4346">
        <v>-0.69</v>
      </c>
      <c r="Q4346">
        <v>46</v>
      </c>
      <c r="R4346">
        <v>-12.22</v>
      </c>
      <c r="S4346">
        <v>55</v>
      </c>
      <c r="T4346">
        <v>6.87</v>
      </c>
      <c r="U4346">
        <v>36</v>
      </c>
      <c r="V4346">
        <v>-0.55000000000000004</v>
      </c>
      <c r="W4346">
        <v>15</v>
      </c>
      <c r="X4346" t="s">
        <v>94</v>
      </c>
      <c r="Y4346" t="s">
        <v>95</v>
      </c>
      <c r="Z4346" t="s">
        <v>96</v>
      </c>
      <c r="AA4346" t="s">
        <v>717</v>
      </c>
      <c r="AB4346" t="s">
        <v>876</v>
      </c>
      <c r="AC4346">
        <v>19</v>
      </c>
      <c r="AD4346">
        <v>17</v>
      </c>
      <c r="AE4346">
        <v>76</v>
      </c>
      <c r="AF4346">
        <v>-94.85</v>
      </c>
      <c r="AG4346">
        <v>-9.8699999999999992</v>
      </c>
      <c r="AH4346">
        <v>-8.61</v>
      </c>
      <c r="AI4346">
        <v>-0.1</v>
      </c>
      <c r="AJ4346">
        <v>-0.09</v>
      </c>
      <c r="AK4346">
        <v>52</v>
      </c>
      <c r="AL4346">
        <v>62</v>
      </c>
      <c r="AM4346">
        <v>37</v>
      </c>
      <c r="AN4346">
        <v>1.73</v>
      </c>
      <c r="AO4346">
        <v>-1.25</v>
      </c>
      <c r="AP4346">
        <v>2</v>
      </c>
      <c r="AQ4346">
        <v>0</v>
      </c>
      <c r="AR4346">
        <v>8.1999999999999993</v>
      </c>
      <c r="AS4346">
        <v>18</v>
      </c>
      <c r="AT4346">
        <v>3.16</v>
      </c>
      <c r="AU4346">
        <v>34</v>
      </c>
      <c r="AV4346">
        <v>-0.16</v>
      </c>
      <c r="AW4346">
        <v>38</v>
      </c>
      <c r="AX4346">
        <v>0.09</v>
      </c>
      <c r="AY4346">
        <v>46</v>
      </c>
      <c r="AZ4346">
        <v>7.37</v>
      </c>
      <c r="BA4346">
        <v>17</v>
      </c>
      <c r="BB4346">
        <v>5.95</v>
      </c>
      <c r="BC4346">
        <v>23</v>
      </c>
      <c r="BD4346">
        <v>0.03</v>
      </c>
      <c r="BE4346">
        <v>0.09</v>
      </c>
      <c r="BF4346">
        <v>0.06</v>
      </c>
      <c r="BG4346">
        <v>76</v>
      </c>
      <c r="BH4346">
        <v>0.06</v>
      </c>
      <c r="BI4346">
        <v>8.6999999999999993</v>
      </c>
      <c r="BJ4346">
        <v>10</v>
      </c>
      <c r="BK4346">
        <v>10</v>
      </c>
      <c r="BL4346">
        <v>0</v>
      </c>
      <c r="BM4346">
        <v>0.08</v>
      </c>
      <c r="BN4346">
        <v>-0.76</v>
      </c>
      <c r="BO4346">
        <v>-0.69</v>
      </c>
      <c r="BP4346">
        <v>-0.41</v>
      </c>
      <c r="BQ4346">
        <v>-1.65</v>
      </c>
      <c r="BR4346">
        <v>-0.4</v>
      </c>
      <c r="BS4346">
        <v>-0.63</v>
      </c>
      <c r="BT4346">
        <v>-0.08</v>
      </c>
      <c r="BU4346">
        <v>-0.06</v>
      </c>
      <c r="BV4346">
        <v>-0.84</v>
      </c>
      <c r="BW4346">
        <v>-1.06</v>
      </c>
      <c r="BX4346">
        <v>1.75</v>
      </c>
      <c r="BY4346">
        <v>-0.79</v>
      </c>
      <c r="BZ4346">
        <v>-0.09</v>
      </c>
      <c r="CA4346">
        <v>-1.5</v>
      </c>
      <c r="CB4346">
        <v>-1.47</v>
      </c>
      <c r="CC4346">
        <v>-1.1100000000000001</v>
      </c>
      <c r="CD4346">
        <v>0.32</v>
      </c>
      <c r="CE4346">
        <v>-0.98</v>
      </c>
      <c r="CF4346">
        <v>-0.99</v>
      </c>
      <c r="CG4346">
        <v>0</v>
      </c>
      <c r="CH4346">
        <v>-1.07</v>
      </c>
      <c r="CI4346">
        <v>0</v>
      </c>
      <c r="CJ4346">
        <v>1</v>
      </c>
      <c r="CK4346">
        <v>48</v>
      </c>
      <c r="CL4346">
        <v>-0.24</v>
      </c>
      <c r="CM4346">
        <v>43</v>
      </c>
      <c r="CN4346">
        <v>-0.06</v>
      </c>
      <c r="CO4346">
        <v>37</v>
      </c>
      <c r="CP4346">
        <v>-2</v>
      </c>
      <c r="CQ4346">
        <v>50</v>
      </c>
      <c r="CR4346">
        <v>0</v>
      </c>
      <c r="CS4346">
        <v>0</v>
      </c>
      <c r="CT4346">
        <v>4.5</v>
      </c>
      <c r="CU4346">
        <v>36</v>
      </c>
      <c r="CV4346">
        <v>0.11</v>
      </c>
      <c r="CW4346">
        <v>12</v>
      </c>
      <c r="CX4346" t="s">
        <v>617</v>
      </c>
    </row>
    <row r="4347" spans="1:102" x14ac:dyDescent="0.3">
      <c r="A4347" t="str">
        <f>HYPERLINK("https://webapp.icbf.com/v2/app/bull-search/view/77859586","BEN")</f>
        <v>BEN</v>
      </c>
      <c r="B4347" t="s">
        <v>890</v>
      </c>
      <c r="C4347" t="s">
        <v>891</v>
      </c>
      <c r="D4347" s="1">
        <v>32118</v>
      </c>
      <c r="E4347" t="s">
        <v>92</v>
      </c>
      <c r="F4347">
        <v>100</v>
      </c>
      <c r="G4347" t="s">
        <v>93</v>
      </c>
      <c r="H4347">
        <v>-114.16</v>
      </c>
      <c r="I4347">
        <v>73</v>
      </c>
      <c r="J4347">
        <v>-88.88</v>
      </c>
      <c r="K4347">
        <v>82</v>
      </c>
      <c r="L4347">
        <v>-7.04</v>
      </c>
      <c r="M4347">
        <v>69</v>
      </c>
      <c r="N4347">
        <v>5.16</v>
      </c>
      <c r="O4347">
        <v>66</v>
      </c>
      <c r="P4347">
        <v>-7.5</v>
      </c>
      <c r="Q4347">
        <v>86</v>
      </c>
      <c r="R4347">
        <v>-19.82</v>
      </c>
      <c r="S4347">
        <v>64</v>
      </c>
      <c r="T4347">
        <v>7.91</v>
      </c>
      <c r="U4347">
        <v>72</v>
      </c>
      <c r="V4347">
        <v>-3.99</v>
      </c>
      <c r="W4347">
        <v>31</v>
      </c>
      <c r="X4347" t="s">
        <v>110</v>
      </c>
      <c r="Y4347" t="s">
        <v>95</v>
      </c>
      <c r="Z4347" t="s">
        <v>96</v>
      </c>
      <c r="AA4347" t="s">
        <v>785</v>
      </c>
      <c r="AB4347" t="s">
        <v>144</v>
      </c>
      <c r="AC4347">
        <v>32</v>
      </c>
      <c r="AD4347">
        <v>24</v>
      </c>
      <c r="AE4347">
        <v>82</v>
      </c>
      <c r="AF4347">
        <v>-359.64</v>
      </c>
      <c r="AG4347">
        <v>-16.37</v>
      </c>
      <c r="AH4347">
        <v>-14.83</v>
      </c>
      <c r="AI4347">
        <v>-0.04</v>
      </c>
      <c r="AJ4347">
        <v>-0.04</v>
      </c>
      <c r="AK4347">
        <v>69</v>
      </c>
      <c r="AL4347">
        <v>85</v>
      </c>
      <c r="AM4347">
        <v>55</v>
      </c>
      <c r="AN4347">
        <v>0.47</v>
      </c>
      <c r="AO4347">
        <v>-0.09</v>
      </c>
      <c r="AP4347">
        <v>127</v>
      </c>
      <c r="AQ4347">
        <v>42</v>
      </c>
      <c r="AR4347">
        <v>6.21</v>
      </c>
      <c r="AS4347">
        <v>66</v>
      </c>
      <c r="AT4347">
        <v>3.89</v>
      </c>
      <c r="AU4347">
        <v>70</v>
      </c>
      <c r="AV4347">
        <v>-0.84</v>
      </c>
      <c r="AW4347">
        <v>72</v>
      </c>
      <c r="AX4347">
        <v>-0.34</v>
      </c>
      <c r="AY4347">
        <v>85</v>
      </c>
      <c r="AZ4347">
        <v>6.19</v>
      </c>
      <c r="BA4347">
        <v>29</v>
      </c>
      <c r="BB4347">
        <v>4.93</v>
      </c>
      <c r="BC4347">
        <v>38</v>
      </c>
      <c r="BD4347">
        <v>7.0000000000000007E-2</v>
      </c>
      <c r="BE4347">
        <v>0.11</v>
      </c>
      <c r="BF4347">
        <v>0.13</v>
      </c>
      <c r="BG4347">
        <v>83</v>
      </c>
      <c r="BH4347">
        <v>0.03</v>
      </c>
      <c r="BI4347">
        <v>16.34</v>
      </c>
      <c r="BJ4347">
        <v>10</v>
      </c>
      <c r="BK4347">
        <v>10</v>
      </c>
      <c r="BL4347">
        <v>-0.27</v>
      </c>
      <c r="BM4347">
        <v>0.3</v>
      </c>
      <c r="BN4347">
        <v>-0.86</v>
      </c>
      <c r="BO4347">
        <v>-0.95</v>
      </c>
      <c r="BP4347">
        <v>-0.31</v>
      </c>
      <c r="BQ4347">
        <v>-1.21</v>
      </c>
      <c r="BR4347">
        <v>7.0000000000000007E-2</v>
      </c>
      <c r="BS4347">
        <v>0.14000000000000001</v>
      </c>
      <c r="BT4347">
        <v>0.85</v>
      </c>
      <c r="BU4347">
        <v>-0.41</v>
      </c>
      <c r="BV4347">
        <v>-0.92</v>
      </c>
      <c r="BW4347">
        <v>-0.47</v>
      </c>
      <c r="BX4347">
        <v>0.42</v>
      </c>
      <c r="BY4347">
        <v>0.52</v>
      </c>
      <c r="BZ4347">
        <v>0.87</v>
      </c>
      <c r="CA4347">
        <v>-0.66</v>
      </c>
      <c r="CB4347">
        <v>-0.85</v>
      </c>
      <c r="CC4347">
        <v>-0.21</v>
      </c>
      <c r="CD4347">
        <v>0.67</v>
      </c>
      <c r="CE4347">
        <v>-0.98</v>
      </c>
      <c r="CF4347">
        <v>-1.05</v>
      </c>
      <c r="CG4347">
        <v>0</v>
      </c>
      <c r="CH4347">
        <v>-0.76</v>
      </c>
      <c r="CI4347">
        <v>0</v>
      </c>
      <c r="CJ4347">
        <v>-1.7</v>
      </c>
      <c r="CK4347">
        <v>88</v>
      </c>
      <c r="CL4347">
        <v>-0.21</v>
      </c>
      <c r="CM4347">
        <v>86</v>
      </c>
      <c r="CN4347">
        <v>0.25</v>
      </c>
      <c r="CO4347">
        <v>84</v>
      </c>
      <c r="CP4347">
        <v>-0.4</v>
      </c>
      <c r="CQ4347">
        <v>81</v>
      </c>
      <c r="CR4347">
        <v>0</v>
      </c>
      <c r="CS4347">
        <v>0</v>
      </c>
      <c r="CT4347">
        <v>3.1</v>
      </c>
      <c r="CU4347">
        <v>72</v>
      </c>
      <c r="CV4347">
        <v>0.02</v>
      </c>
      <c r="CW4347">
        <v>25</v>
      </c>
      <c r="CX4347" t="s">
        <v>892</v>
      </c>
    </row>
    <row r="4348" spans="1:102" x14ac:dyDescent="0.3">
      <c r="A4348" t="str">
        <f>HYPERLINK("https://webapp.icbf.com/v2/app/bull-search/view/427830830","VZD")</f>
        <v>VZD</v>
      </c>
      <c r="B4348" t="s">
        <v>4556</v>
      </c>
      <c r="C4348" t="s">
        <v>1795</v>
      </c>
      <c r="D4348" s="1">
        <v>36748</v>
      </c>
      <c r="E4348" t="s">
        <v>92</v>
      </c>
      <c r="F4348">
        <v>100</v>
      </c>
      <c r="G4348" t="s">
        <v>109</v>
      </c>
      <c r="H4348">
        <v>-114.19</v>
      </c>
      <c r="I4348">
        <v>86</v>
      </c>
      <c r="J4348">
        <v>29.04</v>
      </c>
      <c r="K4348">
        <v>94</v>
      </c>
      <c r="L4348">
        <v>-136.43</v>
      </c>
      <c r="M4348">
        <v>88</v>
      </c>
      <c r="N4348">
        <v>6.92</v>
      </c>
      <c r="O4348">
        <v>79</v>
      </c>
      <c r="P4348">
        <v>9.18</v>
      </c>
      <c r="Q4348">
        <v>85</v>
      </c>
      <c r="R4348">
        <v>-7.76</v>
      </c>
      <c r="S4348">
        <v>72</v>
      </c>
      <c r="T4348">
        <v>-14.22</v>
      </c>
      <c r="U4348">
        <v>80</v>
      </c>
      <c r="V4348">
        <v>-0.92</v>
      </c>
      <c r="W4348">
        <v>52</v>
      </c>
      <c r="X4348" t="s">
        <v>276</v>
      </c>
      <c r="Y4348" t="s">
        <v>95</v>
      </c>
      <c r="Z4348" t="s">
        <v>96</v>
      </c>
      <c r="AA4348" t="s">
        <v>174</v>
      </c>
      <c r="AB4348" t="s">
        <v>4557</v>
      </c>
      <c r="AC4348">
        <v>20</v>
      </c>
      <c r="AD4348">
        <v>12</v>
      </c>
      <c r="AE4348">
        <v>94</v>
      </c>
      <c r="AF4348">
        <v>814.32</v>
      </c>
      <c r="AG4348">
        <v>10.07</v>
      </c>
      <c r="AH4348">
        <v>13.84</v>
      </c>
      <c r="AI4348">
        <v>-0.32</v>
      </c>
      <c r="AJ4348">
        <v>-0.21</v>
      </c>
      <c r="AK4348">
        <v>88</v>
      </c>
      <c r="AL4348">
        <v>21</v>
      </c>
      <c r="AM4348">
        <v>16</v>
      </c>
      <c r="AN4348">
        <v>8.25</v>
      </c>
      <c r="AO4348">
        <v>-2.62</v>
      </c>
      <c r="AP4348">
        <v>50</v>
      </c>
      <c r="AQ4348">
        <v>0</v>
      </c>
      <c r="AR4348">
        <v>7.5</v>
      </c>
      <c r="AS4348">
        <v>63</v>
      </c>
      <c r="AT4348">
        <v>3.27</v>
      </c>
      <c r="AU4348">
        <v>98</v>
      </c>
      <c r="AV4348">
        <v>-2.2599999999999998</v>
      </c>
      <c r="AW4348">
        <v>84</v>
      </c>
      <c r="AX4348">
        <v>0.4</v>
      </c>
      <c r="AY4348">
        <v>73</v>
      </c>
      <c r="AZ4348">
        <v>8.93</v>
      </c>
      <c r="BA4348">
        <v>52</v>
      </c>
      <c r="BB4348">
        <v>5.9</v>
      </c>
      <c r="BC4348">
        <v>49</v>
      </c>
      <c r="BD4348">
        <v>0.02</v>
      </c>
      <c r="BE4348">
        <v>0.05</v>
      </c>
      <c r="BF4348">
        <v>0.05</v>
      </c>
      <c r="BG4348">
        <v>90</v>
      </c>
      <c r="BH4348">
        <v>0.03</v>
      </c>
      <c r="BI4348">
        <v>6.45</v>
      </c>
      <c r="BJ4348">
        <v>15</v>
      </c>
      <c r="BK4348">
        <v>10</v>
      </c>
      <c r="BL4348">
        <v>1.24</v>
      </c>
      <c r="BM4348">
        <v>1.41</v>
      </c>
      <c r="BN4348">
        <v>1.57</v>
      </c>
      <c r="BO4348">
        <v>0.91</v>
      </c>
      <c r="BP4348">
        <v>3.46</v>
      </c>
      <c r="BQ4348">
        <v>3.11</v>
      </c>
      <c r="BR4348">
        <v>-0.74</v>
      </c>
      <c r="BS4348">
        <v>-0.04</v>
      </c>
      <c r="BT4348">
        <v>1.2</v>
      </c>
      <c r="BU4348">
        <v>1.33</v>
      </c>
      <c r="BV4348">
        <v>2.34</v>
      </c>
      <c r="BW4348">
        <v>1.55</v>
      </c>
      <c r="BX4348">
        <v>-0.25</v>
      </c>
      <c r="BY4348">
        <v>2.09</v>
      </c>
      <c r="BZ4348">
        <v>1.73</v>
      </c>
      <c r="CA4348">
        <v>1.04</v>
      </c>
      <c r="CB4348">
        <v>1.49</v>
      </c>
      <c r="CC4348">
        <v>-0.01</v>
      </c>
      <c r="CD4348">
        <v>0.15</v>
      </c>
      <c r="CE4348">
        <v>0.91</v>
      </c>
      <c r="CF4348">
        <v>1.73</v>
      </c>
      <c r="CG4348">
        <v>0</v>
      </c>
      <c r="CH4348">
        <v>1.95</v>
      </c>
      <c r="CI4348">
        <v>0</v>
      </c>
      <c r="CJ4348">
        <v>6.7</v>
      </c>
      <c r="CK4348">
        <v>86</v>
      </c>
      <c r="CL4348">
        <v>-0.67</v>
      </c>
      <c r="CM4348">
        <v>84</v>
      </c>
      <c r="CN4348">
        <v>-0.42</v>
      </c>
      <c r="CO4348">
        <v>82</v>
      </c>
      <c r="CP4348">
        <v>12.9</v>
      </c>
      <c r="CQ4348">
        <v>81</v>
      </c>
      <c r="CR4348">
        <v>0</v>
      </c>
      <c r="CS4348">
        <v>0</v>
      </c>
      <c r="CT4348">
        <v>33</v>
      </c>
      <c r="CU4348">
        <v>80</v>
      </c>
      <c r="CV4348">
        <v>0.28000000000000003</v>
      </c>
      <c r="CW4348">
        <v>25</v>
      </c>
      <c r="CX4348" t="s">
        <v>4558</v>
      </c>
    </row>
    <row r="4349" spans="1:102" x14ac:dyDescent="0.3">
      <c r="A4349" t="str">
        <f>HYPERLINK("https://webapp.icbf.com/v2/app/bull-search/view/69092212","MDI")</f>
        <v>MDI</v>
      </c>
      <c r="B4349" t="s">
        <v>10447</v>
      </c>
      <c r="C4349" t="s">
        <v>10448</v>
      </c>
      <c r="D4349" s="1">
        <v>35073</v>
      </c>
      <c r="E4349" t="s">
        <v>92</v>
      </c>
      <c r="F4349">
        <v>100</v>
      </c>
      <c r="G4349" t="s">
        <v>116</v>
      </c>
      <c r="H4349">
        <v>-114.28</v>
      </c>
      <c r="I4349">
        <v>38</v>
      </c>
      <c r="J4349">
        <v>4.1500000000000004</v>
      </c>
      <c r="K4349">
        <v>51</v>
      </c>
      <c r="L4349">
        <v>-109.39</v>
      </c>
      <c r="M4349">
        <v>30</v>
      </c>
      <c r="N4349">
        <v>-2.77</v>
      </c>
      <c r="O4349">
        <v>30</v>
      </c>
      <c r="P4349">
        <v>-11.11</v>
      </c>
      <c r="Q4349">
        <v>38</v>
      </c>
      <c r="R4349">
        <v>-6.16</v>
      </c>
      <c r="S4349">
        <v>34</v>
      </c>
      <c r="T4349">
        <v>14.27</v>
      </c>
      <c r="U4349">
        <v>35</v>
      </c>
      <c r="V4349">
        <v>-3.27</v>
      </c>
      <c r="W4349">
        <v>26</v>
      </c>
      <c r="X4349" t="s">
        <v>94</v>
      </c>
      <c r="Y4349" t="s">
        <v>1499</v>
      </c>
      <c r="Z4349">
        <v>0</v>
      </c>
      <c r="AA4349" t="s">
        <v>924</v>
      </c>
      <c r="AB4349" t="s">
        <v>10449</v>
      </c>
      <c r="AC4349">
        <v>5</v>
      </c>
      <c r="AD4349">
        <v>3</v>
      </c>
      <c r="AE4349">
        <v>51</v>
      </c>
      <c r="AF4349">
        <v>150.16</v>
      </c>
      <c r="AG4349">
        <v>0.21</v>
      </c>
      <c r="AH4349">
        <v>2.93</v>
      </c>
      <c r="AI4349">
        <v>-0.09</v>
      </c>
      <c r="AJ4349">
        <v>-0.04</v>
      </c>
      <c r="AK4349">
        <v>30</v>
      </c>
      <c r="AL4349">
        <v>3</v>
      </c>
      <c r="AM4349">
        <v>2</v>
      </c>
      <c r="AN4349">
        <v>7.06</v>
      </c>
      <c r="AO4349">
        <v>-1.65</v>
      </c>
      <c r="AP4349">
        <v>3</v>
      </c>
      <c r="AQ4349">
        <v>1</v>
      </c>
      <c r="AR4349">
        <v>8.41</v>
      </c>
      <c r="AS4349">
        <v>27</v>
      </c>
      <c r="AT4349">
        <v>3.84</v>
      </c>
      <c r="AU4349">
        <v>34</v>
      </c>
      <c r="AV4349">
        <v>-0.38</v>
      </c>
      <c r="AW4349">
        <v>28</v>
      </c>
      <c r="AX4349">
        <v>-0.67</v>
      </c>
      <c r="AY4349">
        <v>33</v>
      </c>
      <c r="AZ4349">
        <v>6.2</v>
      </c>
      <c r="BA4349">
        <v>27</v>
      </c>
      <c r="BB4349">
        <v>4.7699999999999996</v>
      </c>
      <c r="BC4349">
        <v>29</v>
      </c>
      <c r="BD4349">
        <v>0.04</v>
      </c>
      <c r="BE4349">
        <v>0.05</v>
      </c>
      <c r="BF4349">
        <v>-0.02</v>
      </c>
      <c r="BG4349">
        <v>39</v>
      </c>
      <c r="BH4349">
        <v>0.03</v>
      </c>
      <c r="BI4349">
        <v>14.03</v>
      </c>
      <c r="BJ4349">
        <v>0</v>
      </c>
      <c r="BK4349">
        <v>0</v>
      </c>
      <c r="BL4349">
        <v>0.46</v>
      </c>
      <c r="BM4349">
        <v>-0.69</v>
      </c>
      <c r="BN4349">
        <v>-0.19</v>
      </c>
      <c r="BO4349">
        <v>0.39</v>
      </c>
      <c r="BP4349">
        <v>0.88</v>
      </c>
      <c r="BQ4349">
        <v>-1.18</v>
      </c>
      <c r="BR4349">
        <v>-0.63</v>
      </c>
      <c r="BS4349">
        <v>-0.3</v>
      </c>
      <c r="BT4349">
        <v>0.93</v>
      </c>
      <c r="BU4349">
        <v>0.12</v>
      </c>
      <c r="BV4349">
        <v>0.06</v>
      </c>
      <c r="BW4349">
        <v>0.16</v>
      </c>
      <c r="BX4349">
        <v>0.85</v>
      </c>
      <c r="BY4349">
        <v>-0.22</v>
      </c>
      <c r="BZ4349">
        <v>1.1000000000000001</v>
      </c>
      <c r="CA4349">
        <v>0.27</v>
      </c>
      <c r="CB4349">
        <v>0.25</v>
      </c>
      <c r="CC4349">
        <v>0.09</v>
      </c>
      <c r="CD4349">
        <v>-0.5</v>
      </c>
      <c r="CE4349">
        <v>0.45</v>
      </c>
      <c r="CF4349">
        <v>0.27</v>
      </c>
      <c r="CG4349">
        <v>0</v>
      </c>
      <c r="CH4349">
        <v>-0.35</v>
      </c>
      <c r="CI4349">
        <v>0</v>
      </c>
      <c r="CJ4349">
        <v>-6.6</v>
      </c>
      <c r="CK4349">
        <v>39</v>
      </c>
      <c r="CL4349">
        <v>-0.6</v>
      </c>
      <c r="CM4349">
        <v>37</v>
      </c>
      <c r="CN4349">
        <v>-0.45</v>
      </c>
      <c r="CO4349">
        <v>34</v>
      </c>
      <c r="CP4349">
        <v>-7.2</v>
      </c>
      <c r="CQ4349">
        <v>41</v>
      </c>
      <c r="CR4349">
        <v>0</v>
      </c>
      <c r="CS4349">
        <v>0</v>
      </c>
      <c r="CT4349">
        <v>-5.5</v>
      </c>
      <c r="CU4349">
        <v>35</v>
      </c>
      <c r="CV4349">
        <v>-0.04</v>
      </c>
      <c r="CW4349">
        <v>10</v>
      </c>
      <c r="CX4349" t="s">
        <v>161</v>
      </c>
    </row>
    <row r="4350" spans="1:102" x14ac:dyDescent="0.3">
      <c r="A4350" t="str">
        <f>HYPERLINK("https://webapp.icbf.com/v2/app/bull-search/view/77857852","FEP")</f>
        <v>FEP</v>
      </c>
      <c r="B4350" t="s">
        <v>11510</v>
      </c>
      <c r="C4350" t="s">
        <v>11511</v>
      </c>
      <c r="D4350" s="1">
        <v>33112</v>
      </c>
      <c r="E4350" t="s">
        <v>92</v>
      </c>
      <c r="F4350">
        <v>100</v>
      </c>
      <c r="G4350" t="s">
        <v>93</v>
      </c>
      <c r="H4350">
        <v>-114.61</v>
      </c>
      <c r="I4350">
        <v>89</v>
      </c>
      <c r="J4350">
        <v>7.76</v>
      </c>
      <c r="K4350">
        <v>97</v>
      </c>
      <c r="L4350">
        <v>-99.38</v>
      </c>
      <c r="M4350">
        <v>89</v>
      </c>
      <c r="N4350">
        <v>-16.989999999999998</v>
      </c>
      <c r="O4350">
        <v>79</v>
      </c>
      <c r="P4350">
        <v>-3.75</v>
      </c>
      <c r="Q4350">
        <v>86</v>
      </c>
      <c r="R4350">
        <v>-0.68</v>
      </c>
      <c r="S4350">
        <v>81</v>
      </c>
      <c r="T4350">
        <v>5.0199999999999996</v>
      </c>
      <c r="U4350">
        <v>79</v>
      </c>
      <c r="V4350">
        <v>-6.59</v>
      </c>
      <c r="W4350">
        <v>71</v>
      </c>
      <c r="X4350" t="s">
        <v>276</v>
      </c>
      <c r="Y4350" t="s">
        <v>95</v>
      </c>
      <c r="Z4350" t="s">
        <v>96</v>
      </c>
      <c r="AA4350" t="s">
        <v>99</v>
      </c>
      <c r="AB4350" t="s">
        <v>11183</v>
      </c>
      <c r="AC4350">
        <v>75</v>
      </c>
      <c r="AD4350">
        <v>38</v>
      </c>
      <c r="AE4350">
        <v>97</v>
      </c>
      <c r="AF4350">
        <v>115.17</v>
      </c>
      <c r="AG4350">
        <v>2.1</v>
      </c>
      <c r="AH4350">
        <v>2.34</v>
      </c>
      <c r="AI4350">
        <v>-0.04</v>
      </c>
      <c r="AJ4350">
        <v>-0.03</v>
      </c>
      <c r="AK4350">
        <v>89</v>
      </c>
      <c r="AL4350">
        <v>67</v>
      </c>
      <c r="AM4350">
        <v>35</v>
      </c>
      <c r="AN4350">
        <v>5.87</v>
      </c>
      <c r="AO4350">
        <v>-2.0499999999999998</v>
      </c>
      <c r="AP4350">
        <v>44</v>
      </c>
      <c r="AQ4350">
        <v>0</v>
      </c>
      <c r="AR4350">
        <v>9.16</v>
      </c>
      <c r="AS4350">
        <v>68</v>
      </c>
      <c r="AT4350">
        <v>4.75</v>
      </c>
      <c r="AU4350">
        <v>92</v>
      </c>
      <c r="AV4350">
        <v>-0.21</v>
      </c>
      <c r="AW4350">
        <v>79</v>
      </c>
      <c r="AX4350">
        <v>-0.09</v>
      </c>
      <c r="AY4350">
        <v>76</v>
      </c>
      <c r="AZ4350">
        <v>5.52</v>
      </c>
      <c r="BA4350">
        <v>62</v>
      </c>
      <c r="BB4350">
        <v>4.8099999999999996</v>
      </c>
      <c r="BC4350">
        <v>66</v>
      </c>
      <c r="BD4350">
        <v>0.01</v>
      </c>
      <c r="BE4350">
        <v>0.01</v>
      </c>
      <c r="BF4350">
        <v>-0.02</v>
      </c>
      <c r="BG4350">
        <v>92</v>
      </c>
      <c r="BH4350">
        <v>-0.1</v>
      </c>
      <c r="BI4350">
        <v>9.69</v>
      </c>
      <c r="BJ4350">
        <v>3</v>
      </c>
      <c r="BK4350">
        <v>2</v>
      </c>
      <c r="BL4350">
        <v>1.0900000000000001</v>
      </c>
      <c r="BM4350">
        <v>-0.62</v>
      </c>
      <c r="BN4350">
        <v>0.84</v>
      </c>
      <c r="BO4350">
        <v>1.23</v>
      </c>
      <c r="BP4350">
        <v>1.54</v>
      </c>
      <c r="BQ4350">
        <v>1.84</v>
      </c>
      <c r="BR4350">
        <v>-0.5</v>
      </c>
      <c r="BS4350">
        <v>0.25</v>
      </c>
      <c r="BT4350">
        <v>2.11</v>
      </c>
      <c r="BU4350">
        <v>0.32</v>
      </c>
      <c r="BV4350">
        <v>-0.61</v>
      </c>
      <c r="BW4350">
        <v>0.72</v>
      </c>
      <c r="BX4350">
        <v>-0.09</v>
      </c>
      <c r="BY4350">
        <v>0.11</v>
      </c>
      <c r="BZ4350">
        <v>1.31</v>
      </c>
      <c r="CA4350">
        <v>0.87</v>
      </c>
      <c r="CB4350">
        <v>0.36</v>
      </c>
      <c r="CC4350">
        <v>1.35</v>
      </c>
      <c r="CD4350">
        <v>-1.37</v>
      </c>
      <c r="CE4350">
        <v>0.72</v>
      </c>
      <c r="CF4350">
        <v>0.15</v>
      </c>
      <c r="CG4350">
        <v>0</v>
      </c>
      <c r="CH4350">
        <v>7.0000000000000007E-2</v>
      </c>
      <c r="CI4350">
        <v>0</v>
      </c>
      <c r="CJ4350">
        <v>1.4</v>
      </c>
      <c r="CK4350">
        <v>87</v>
      </c>
      <c r="CL4350">
        <v>-0.68</v>
      </c>
      <c r="CM4350">
        <v>85</v>
      </c>
      <c r="CN4350">
        <v>-0.11</v>
      </c>
      <c r="CO4350">
        <v>83</v>
      </c>
      <c r="CP4350">
        <v>0.3</v>
      </c>
      <c r="CQ4350">
        <v>87</v>
      </c>
      <c r="CR4350">
        <v>0</v>
      </c>
      <c r="CS4350">
        <v>0</v>
      </c>
      <c r="CT4350">
        <v>7</v>
      </c>
      <c r="CU4350">
        <v>79</v>
      </c>
      <c r="CV4350">
        <v>0.1</v>
      </c>
      <c r="CW4350">
        <v>44</v>
      </c>
      <c r="CX4350" t="s">
        <v>166</v>
      </c>
    </row>
    <row r="4351" spans="1:102" x14ac:dyDescent="0.3">
      <c r="A4351" t="str">
        <f>HYPERLINK("https://webapp.icbf.com/v2/app/bull-search/view/69091672","FLS")</f>
        <v>FLS</v>
      </c>
      <c r="B4351" t="s">
        <v>10565</v>
      </c>
      <c r="C4351" t="s">
        <v>4972</v>
      </c>
      <c r="D4351" s="1">
        <v>32370</v>
      </c>
      <c r="E4351" t="s">
        <v>895</v>
      </c>
      <c r="F4351">
        <v>0</v>
      </c>
      <c r="G4351" t="s">
        <v>116</v>
      </c>
      <c r="H4351">
        <v>-115.33</v>
      </c>
      <c r="I4351">
        <v>36</v>
      </c>
      <c r="J4351">
        <v>-26.36</v>
      </c>
      <c r="K4351">
        <v>54</v>
      </c>
      <c r="L4351">
        <v>-85.72</v>
      </c>
      <c r="M4351">
        <v>23</v>
      </c>
      <c r="N4351">
        <v>-7.32</v>
      </c>
      <c r="O4351">
        <v>23</v>
      </c>
      <c r="P4351">
        <v>-15.21</v>
      </c>
      <c r="Q4351">
        <v>42</v>
      </c>
      <c r="R4351">
        <v>4.3099999999999996</v>
      </c>
      <c r="S4351">
        <v>30</v>
      </c>
      <c r="T4351">
        <v>20.49</v>
      </c>
      <c r="U4351">
        <v>47</v>
      </c>
      <c r="V4351">
        <v>-5.52</v>
      </c>
      <c r="W4351">
        <v>11</v>
      </c>
      <c r="X4351" t="s">
        <v>747</v>
      </c>
      <c r="Y4351" t="s">
        <v>95</v>
      </c>
      <c r="Z4351">
        <v>0</v>
      </c>
      <c r="AA4351" t="s">
        <v>1298</v>
      </c>
      <c r="AB4351" t="s">
        <v>10566</v>
      </c>
      <c r="AC4351">
        <v>7</v>
      </c>
      <c r="AD4351">
        <v>4</v>
      </c>
      <c r="AE4351">
        <v>54</v>
      </c>
      <c r="AF4351">
        <v>-269.83</v>
      </c>
      <c r="AG4351">
        <v>-5.38</v>
      </c>
      <c r="AH4351">
        <v>-6.71</v>
      </c>
      <c r="AI4351">
        <v>0.09</v>
      </c>
      <c r="AJ4351">
        <v>0.04</v>
      </c>
      <c r="AK4351">
        <v>23</v>
      </c>
      <c r="AL4351">
        <v>6</v>
      </c>
      <c r="AM4351">
        <v>4</v>
      </c>
      <c r="AN4351">
        <v>5.12</v>
      </c>
      <c r="AO4351">
        <v>-1.71</v>
      </c>
      <c r="AP4351">
        <v>1</v>
      </c>
      <c r="AQ4351">
        <v>0</v>
      </c>
      <c r="AR4351">
        <v>7.82</v>
      </c>
      <c r="AS4351">
        <v>15</v>
      </c>
      <c r="AT4351">
        <v>3.54</v>
      </c>
      <c r="AU4351">
        <v>27</v>
      </c>
      <c r="AV4351">
        <v>1.64</v>
      </c>
      <c r="AW4351">
        <v>23</v>
      </c>
      <c r="AX4351">
        <v>-0.69</v>
      </c>
      <c r="AY4351">
        <v>31</v>
      </c>
      <c r="AZ4351">
        <v>4.75</v>
      </c>
      <c r="BA4351">
        <v>10</v>
      </c>
      <c r="BB4351">
        <v>3.64</v>
      </c>
      <c r="BC4351">
        <v>15</v>
      </c>
      <c r="BD4351">
        <v>0</v>
      </c>
      <c r="BE4351">
        <v>-0.01</v>
      </c>
      <c r="BF4351">
        <v>-0.08</v>
      </c>
      <c r="BG4351">
        <v>39</v>
      </c>
      <c r="BH4351">
        <v>-0.02</v>
      </c>
      <c r="BI4351">
        <v>15.49</v>
      </c>
      <c r="BJ4351">
        <v>0</v>
      </c>
      <c r="BK4351">
        <v>0</v>
      </c>
      <c r="BL4351">
        <v>-0.93</v>
      </c>
      <c r="BM4351">
        <v>0.66</v>
      </c>
      <c r="BN4351">
        <v>-0.77</v>
      </c>
      <c r="BO4351">
        <v>-1.01</v>
      </c>
      <c r="BP4351">
        <v>0.46</v>
      </c>
      <c r="BQ4351">
        <v>-0.25</v>
      </c>
      <c r="BR4351">
        <v>0.41</v>
      </c>
      <c r="BS4351">
        <v>-0.4</v>
      </c>
      <c r="BT4351">
        <v>-0.24</v>
      </c>
      <c r="BU4351">
        <v>-0.68</v>
      </c>
      <c r="BV4351">
        <v>-1.3</v>
      </c>
      <c r="BW4351">
        <v>-1.1499999999999999</v>
      </c>
      <c r="BX4351">
        <v>-0.48</v>
      </c>
      <c r="BY4351">
        <v>-0.71</v>
      </c>
      <c r="BZ4351">
        <v>-0.18</v>
      </c>
      <c r="CA4351">
        <v>-1.04</v>
      </c>
      <c r="CB4351">
        <v>-1.08</v>
      </c>
      <c r="CC4351">
        <v>-0.56999999999999995</v>
      </c>
      <c r="CD4351">
        <v>0.83</v>
      </c>
      <c r="CE4351">
        <v>-1.06</v>
      </c>
      <c r="CF4351">
        <v>-1.08</v>
      </c>
      <c r="CG4351">
        <v>0</v>
      </c>
      <c r="CH4351">
        <v>-1.1200000000000001</v>
      </c>
      <c r="CI4351">
        <v>0</v>
      </c>
      <c r="CJ4351">
        <v>-9.3000000000000007</v>
      </c>
      <c r="CK4351">
        <v>44</v>
      </c>
      <c r="CL4351">
        <v>-0.34</v>
      </c>
      <c r="CM4351">
        <v>39</v>
      </c>
      <c r="CN4351">
        <v>-0.18</v>
      </c>
      <c r="CO4351">
        <v>34</v>
      </c>
      <c r="CP4351">
        <v>-6.5</v>
      </c>
      <c r="CQ4351">
        <v>49</v>
      </c>
      <c r="CR4351">
        <v>0</v>
      </c>
      <c r="CS4351">
        <v>0</v>
      </c>
      <c r="CT4351">
        <v>-13.9</v>
      </c>
      <c r="CU4351">
        <v>47</v>
      </c>
      <c r="CV4351">
        <v>-0.21</v>
      </c>
      <c r="CW4351">
        <v>10</v>
      </c>
      <c r="CX4351" t="s">
        <v>1300</v>
      </c>
    </row>
    <row r="4352" spans="1:102" x14ac:dyDescent="0.3">
      <c r="A4352" t="str">
        <f>HYPERLINK("https://webapp.icbf.com/v2/app/bull-search/view/116695490","TTW")</f>
        <v>TTW</v>
      </c>
      <c r="B4352" t="s">
        <v>1030</v>
      </c>
      <c r="C4352" t="s">
        <v>1031</v>
      </c>
      <c r="D4352" s="1">
        <v>37293</v>
      </c>
      <c r="E4352" t="s">
        <v>92</v>
      </c>
      <c r="F4352">
        <v>100</v>
      </c>
      <c r="G4352" t="s">
        <v>93</v>
      </c>
      <c r="H4352">
        <v>-115.59</v>
      </c>
      <c r="I4352">
        <v>93</v>
      </c>
      <c r="J4352">
        <v>-3.35</v>
      </c>
      <c r="K4352">
        <v>98</v>
      </c>
      <c r="L4352">
        <v>-126.11</v>
      </c>
      <c r="M4352">
        <v>89</v>
      </c>
      <c r="N4352">
        <v>19.239999999999998</v>
      </c>
      <c r="O4352">
        <v>91</v>
      </c>
      <c r="P4352">
        <v>-10.01</v>
      </c>
      <c r="Q4352">
        <v>96</v>
      </c>
      <c r="R4352">
        <v>-1.6</v>
      </c>
      <c r="S4352">
        <v>89</v>
      </c>
      <c r="T4352">
        <v>1.39</v>
      </c>
      <c r="U4352">
        <v>94</v>
      </c>
      <c r="V4352">
        <v>4.8499999999999996</v>
      </c>
      <c r="W4352">
        <v>86</v>
      </c>
      <c r="X4352" t="s">
        <v>94</v>
      </c>
      <c r="Y4352" t="s">
        <v>95</v>
      </c>
      <c r="Z4352" t="s">
        <v>96</v>
      </c>
      <c r="AA4352" t="s">
        <v>311</v>
      </c>
      <c r="AB4352" t="s">
        <v>1032</v>
      </c>
      <c r="AC4352">
        <v>176</v>
      </c>
      <c r="AD4352">
        <v>99</v>
      </c>
      <c r="AE4352">
        <v>98</v>
      </c>
      <c r="AF4352">
        <v>310.32</v>
      </c>
      <c r="AG4352">
        <v>-4.58</v>
      </c>
      <c r="AH4352">
        <v>5.8</v>
      </c>
      <c r="AI4352">
        <v>-0.28000000000000003</v>
      </c>
      <c r="AJ4352">
        <v>-0.08</v>
      </c>
      <c r="AK4352">
        <v>89</v>
      </c>
      <c r="AL4352">
        <v>203</v>
      </c>
      <c r="AM4352">
        <v>102</v>
      </c>
      <c r="AN4352">
        <v>5.86</v>
      </c>
      <c r="AO4352">
        <v>-4.21</v>
      </c>
      <c r="AP4352">
        <v>329</v>
      </c>
      <c r="AQ4352">
        <v>0</v>
      </c>
      <c r="AR4352">
        <v>6.7</v>
      </c>
      <c r="AS4352">
        <v>86</v>
      </c>
      <c r="AT4352">
        <v>3.32</v>
      </c>
      <c r="AU4352">
        <v>93</v>
      </c>
      <c r="AV4352">
        <v>-1.97</v>
      </c>
      <c r="AW4352">
        <v>96</v>
      </c>
      <c r="AX4352">
        <v>-0.49</v>
      </c>
      <c r="AY4352">
        <v>91</v>
      </c>
      <c r="AZ4352">
        <v>5.85</v>
      </c>
      <c r="BA4352">
        <v>80</v>
      </c>
      <c r="BB4352">
        <v>4.83</v>
      </c>
      <c r="BC4352">
        <v>80</v>
      </c>
      <c r="BD4352">
        <v>-0.05</v>
      </c>
      <c r="BE4352">
        <v>0</v>
      </c>
      <c r="BF4352">
        <v>0.12</v>
      </c>
      <c r="BG4352">
        <v>94</v>
      </c>
      <c r="BH4352">
        <v>0.13</v>
      </c>
      <c r="BI4352">
        <v>-0.62</v>
      </c>
      <c r="BJ4352">
        <v>86</v>
      </c>
      <c r="BK4352">
        <v>47</v>
      </c>
      <c r="BL4352">
        <v>1.51</v>
      </c>
      <c r="BM4352">
        <v>0.1</v>
      </c>
      <c r="BN4352">
        <v>0.42</v>
      </c>
      <c r="BO4352">
        <v>0.32</v>
      </c>
      <c r="BP4352">
        <v>1.69</v>
      </c>
      <c r="BQ4352">
        <v>1.41</v>
      </c>
      <c r="BR4352">
        <v>-1.29</v>
      </c>
      <c r="BS4352">
        <v>1.19</v>
      </c>
      <c r="BT4352">
        <v>1.41</v>
      </c>
      <c r="BU4352">
        <v>2.13</v>
      </c>
      <c r="BV4352">
        <v>2.1800000000000002</v>
      </c>
      <c r="BW4352">
        <v>3.23</v>
      </c>
      <c r="BX4352">
        <v>3.18</v>
      </c>
      <c r="BY4352">
        <v>1.23</v>
      </c>
      <c r="BZ4352">
        <v>-1.25</v>
      </c>
      <c r="CA4352">
        <v>1.59</v>
      </c>
      <c r="CB4352">
        <v>1.49</v>
      </c>
      <c r="CC4352">
        <v>0.97</v>
      </c>
      <c r="CD4352">
        <v>-0.33</v>
      </c>
      <c r="CE4352">
        <v>0.31</v>
      </c>
      <c r="CF4352">
        <v>1.55</v>
      </c>
      <c r="CG4352">
        <v>0</v>
      </c>
      <c r="CH4352">
        <v>1.36</v>
      </c>
      <c r="CI4352">
        <v>0</v>
      </c>
      <c r="CJ4352">
        <v>-3.7</v>
      </c>
      <c r="CK4352">
        <v>96</v>
      </c>
      <c r="CL4352">
        <v>-1.18</v>
      </c>
      <c r="CM4352">
        <v>96</v>
      </c>
      <c r="CN4352">
        <v>-0.62</v>
      </c>
      <c r="CO4352">
        <v>95</v>
      </c>
      <c r="CP4352">
        <v>0.1</v>
      </c>
      <c r="CQ4352">
        <v>96</v>
      </c>
      <c r="CR4352">
        <v>0</v>
      </c>
      <c r="CS4352">
        <v>0</v>
      </c>
      <c r="CT4352">
        <v>11.9</v>
      </c>
      <c r="CU4352">
        <v>94</v>
      </c>
      <c r="CV4352">
        <v>0.19</v>
      </c>
      <c r="CW4352">
        <v>46</v>
      </c>
      <c r="CX4352" t="s">
        <v>111</v>
      </c>
    </row>
    <row r="4353" spans="1:102" x14ac:dyDescent="0.3">
      <c r="A4353" t="str">
        <f>HYPERLINK("https://webapp.icbf.com/v2/app/bull-search/view/77858500","DOB")</f>
        <v>DOB</v>
      </c>
      <c r="B4353" t="s">
        <v>10380</v>
      </c>
      <c r="C4353" t="s">
        <v>10381</v>
      </c>
      <c r="D4353" s="1">
        <v>35105</v>
      </c>
      <c r="E4353" t="s">
        <v>92</v>
      </c>
      <c r="F4353">
        <v>100</v>
      </c>
      <c r="G4353" t="s">
        <v>93</v>
      </c>
      <c r="H4353">
        <v>-115.6</v>
      </c>
      <c r="I4353">
        <v>75</v>
      </c>
      <c r="J4353">
        <v>30.19</v>
      </c>
      <c r="K4353">
        <v>94</v>
      </c>
      <c r="L4353">
        <v>-133.26</v>
      </c>
      <c r="M4353">
        <v>63</v>
      </c>
      <c r="N4353">
        <v>-6.79</v>
      </c>
      <c r="O4353">
        <v>61</v>
      </c>
      <c r="P4353">
        <v>10.06</v>
      </c>
      <c r="Q4353">
        <v>82</v>
      </c>
      <c r="R4353">
        <v>-8</v>
      </c>
      <c r="S4353">
        <v>67</v>
      </c>
      <c r="T4353">
        <v>-0.6</v>
      </c>
      <c r="U4353">
        <v>77</v>
      </c>
      <c r="V4353">
        <v>-7.2</v>
      </c>
      <c r="W4353">
        <v>42</v>
      </c>
      <c r="X4353" t="s">
        <v>94</v>
      </c>
      <c r="Y4353" t="s">
        <v>95</v>
      </c>
      <c r="Z4353" t="s">
        <v>96</v>
      </c>
      <c r="AA4353" t="s">
        <v>105</v>
      </c>
      <c r="AB4353" t="s">
        <v>3208</v>
      </c>
      <c r="AC4353">
        <v>79</v>
      </c>
      <c r="AD4353">
        <v>69</v>
      </c>
      <c r="AE4353">
        <v>94</v>
      </c>
      <c r="AF4353">
        <v>18.68</v>
      </c>
      <c r="AG4353">
        <v>2.0099999999999998</v>
      </c>
      <c r="AH4353">
        <v>4.71</v>
      </c>
      <c r="AI4353">
        <v>0.02</v>
      </c>
      <c r="AJ4353">
        <v>7.0000000000000007E-2</v>
      </c>
      <c r="AK4353">
        <v>63</v>
      </c>
      <c r="AL4353">
        <v>66</v>
      </c>
      <c r="AM4353">
        <v>54</v>
      </c>
      <c r="AN4353">
        <v>7.03</v>
      </c>
      <c r="AO4353">
        <v>-3.6</v>
      </c>
      <c r="AP4353">
        <v>24</v>
      </c>
      <c r="AQ4353">
        <v>11</v>
      </c>
      <c r="AR4353">
        <v>8.8000000000000007</v>
      </c>
      <c r="AS4353">
        <v>49</v>
      </c>
      <c r="AT4353">
        <v>3.97</v>
      </c>
      <c r="AU4353">
        <v>57</v>
      </c>
      <c r="AV4353">
        <v>-0.21</v>
      </c>
      <c r="AW4353">
        <v>68</v>
      </c>
      <c r="AX4353">
        <v>-0.18</v>
      </c>
      <c r="AY4353">
        <v>79</v>
      </c>
      <c r="AZ4353">
        <v>5.91</v>
      </c>
      <c r="BA4353">
        <v>38</v>
      </c>
      <c r="BB4353">
        <v>4.62</v>
      </c>
      <c r="BC4353">
        <v>50</v>
      </c>
      <c r="BD4353">
        <v>0.06</v>
      </c>
      <c r="BE4353">
        <v>0.06</v>
      </c>
      <c r="BF4353">
        <v>-0.03</v>
      </c>
      <c r="BG4353">
        <v>81</v>
      </c>
      <c r="BH4353">
        <v>-0.02</v>
      </c>
      <c r="BI4353">
        <v>20.9</v>
      </c>
      <c r="BJ4353">
        <v>10</v>
      </c>
      <c r="BK4353">
        <v>7</v>
      </c>
      <c r="BL4353">
        <v>-0.53</v>
      </c>
      <c r="BM4353">
        <v>-0.76</v>
      </c>
      <c r="BN4353">
        <v>-0.96</v>
      </c>
      <c r="BO4353">
        <v>-0.49</v>
      </c>
      <c r="BP4353">
        <v>0.49</v>
      </c>
      <c r="BQ4353">
        <v>-2.8</v>
      </c>
      <c r="BR4353">
        <v>-2.61</v>
      </c>
      <c r="BS4353">
        <v>1.05</v>
      </c>
      <c r="BT4353">
        <v>2.41</v>
      </c>
      <c r="BU4353">
        <v>-0.91</v>
      </c>
      <c r="BV4353">
        <v>-0.82</v>
      </c>
      <c r="BW4353">
        <v>-0.14000000000000001</v>
      </c>
      <c r="BX4353">
        <v>-0.39</v>
      </c>
      <c r="BY4353">
        <v>-0.55000000000000004</v>
      </c>
      <c r="BZ4353">
        <v>0.32</v>
      </c>
      <c r="CA4353">
        <v>-0.34</v>
      </c>
      <c r="CB4353">
        <v>-1.05</v>
      </c>
      <c r="CC4353">
        <v>1.05</v>
      </c>
      <c r="CD4353">
        <v>-0.2</v>
      </c>
      <c r="CE4353">
        <v>0.32</v>
      </c>
      <c r="CF4353">
        <v>-0.08</v>
      </c>
      <c r="CG4353">
        <v>0</v>
      </c>
      <c r="CH4353">
        <v>-0.03</v>
      </c>
      <c r="CI4353">
        <v>0</v>
      </c>
      <c r="CJ4353">
        <v>7.6</v>
      </c>
      <c r="CK4353">
        <v>83</v>
      </c>
      <c r="CL4353">
        <v>-0.15</v>
      </c>
      <c r="CM4353">
        <v>80</v>
      </c>
      <c r="CN4353">
        <v>-0.12</v>
      </c>
      <c r="CO4353">
        <v>77</v>
      </c>
      <c r="CP4353">
        <v>-1.9</v>
      </c>
      <c r="CQ4353">
        <v>84</v>
      </c>
      <c r="CR4353">
        <v>0</v>
      </c>
      <c r="CS4353">
        <v>0</v>
      </c>
      <c r="CT4353">
        <v>14.6</v>
      </c>
      <c r="CU4353">
        <v>77</v>
      </c>
      <c r="CV4353">
        <v>0.21</v>
      </c>
      <c r="CW4353">
        <v>23</v>
      </c>
      <c r="CX4353" t="s">
        <v>3209</v>
      </c>
    </row>
    <row r="4354" spans="1:102" x14ac:dyDescent="0.3">
      <c r="A4354" t="str">
        <f>HYPERLINK("https://webapp.icbf.com/v2/app/bull-search/view/77854360","QGS")</f>
        <v>QGS</v>
      </c>
      <c r="B4354" t="s">
        <v>134</v>
      </c>
      <c r="C4354" t="s">
        <v>135</v>
      </c>
      <c r="D4354" s="1">
        <v>34791</v>
      </c>
      <c r="E4354" t="s">
        <v>92</v>
      </c>
      <c r="F4354">
        <v>100</v>
      </c>
      <c r="G4354" t="s">
        <v>93</v>
      </c>
      <c r="H4354">
        <v>-115.68</v>
      </c>
      <c r="I4354">
        <v>60</v>
      </c>
      <c r="J4354">
        <v>0.28000000000000003</v>
      </c>
      <c r="K4354">
        <v>80</v>
      </c>
      <c r="L4354">
        <v>-94.62</v>
      </c>
      <c r="M4354">
        <v>50</v>
      </c>
      <c r="N4354">
        <v>-11.75</v>
      </c>
      <c r="O4354">
        <v>48</v>
      </c>
      <c r="P4354">
        <v>-7.51</v>
      </c>
      <c r="Q4354">
        <v>61</v>
      </c>
      <c r="R4354">
        <v>-12.02</v>
      </c>
      <c r="S4354">
        <v>54</v>
      </c>
      <c r="T4354">
        <v>15.01</v>
      </c>
      <c r="U4354">
        <v>55</v>
      </c>
      <c r="V4354">
        <v>-5.07</v>
      </c>
      <c r="W4354">
        <v>29</v>
      </c>
      <c r="X4354" t="s">
        <v>94</v>
      </c>
      <c r="Y4354" t="s">
        <v>95</v>
      </c>
      <c r="Z4354" t="s">
        <v>96</v>
      </c>
      <c r="AA4354" t="s">
        <v>105</v>
      </c>
      <c r="AB4354" t="s">
        <v>136</v>
      </c>
      <c r="AC4354">
        <v>21</v>
      </c>
      <c r="AD4354">
        <v>21</v>
      </c>
      <c r="AE4354">
        <v>80</v>
      </c>
      <c r="AF4354">
        <v>2.38</v>
      </c>
      <c r="AG4354">
        <v>-0.13</v>
      </c>
      <c r="AH4354">
        <v>0.13</v>
      </c>
      <c r="AI4354">
        <v>0</v>
      </c>
      <c r="AJ4354">
        <v>0</v>
      </c>
      <c r="AK4354">
        <v>50</v>
      </c>
      <c r="AL4354">
        <v>25</v>
      </c>
      <c r="AM4354">
        <v>24</v>
      </c>
      <c r="AN4354">
        <v>5.63</v>
      </c>
      <c r="AO4354">
        <v>-1.91</v>
      </c>
      <c r="AP4354">
        <v>1</v>
      </c>
      <c r="AQ4354">
        <v>0</v>
      </c>
      <c r="AR4354">
        <v>10.19</v>
      </c>
      <c r="AS4354">
        <v>31</v>
      </c>
      <c r="AT4354">
        <v>4.68</v>
      </c>
      <c r="AU4354">
        <v>43</v>
      </c>
      <c r="AV4354">
        <v>-0.81</v>
      </c>
      <c r="AW4354">
        <v>57</v>
      </c>
      <c r="AX4354">
        <v>-0.48</v>
      </c>
      <c r="AY4354">
        <v>54</v>
      </c>
      <c r="AZ4354">
        <v>5.23</v>
      </c>
      <c r="BA4354">
        <v>32</v>
      </c>
      <c r="BB4354">
        <v>4.37</v>
      </c>
      <c r="BC4354">
        <v>40</v>
      </c>
      <c r="BD4354">
        <v>0.05</v>
      </c>
      <c r="BE4354">
        <v>7.0000000000000007E-2</v>
      </c>
      <c r="BF4354">
        <v>0.06</v>
      </c>
      <c r="BG4354">
        <v>66</v>
      </c>
      <c r="BH4354">
        <v>0.02</v>
      </c>
      <c r="BI4354">
        <v>18.66</v>
      </c>
      <c r="BJ4354">
        <v>3</v>
      </c>
      <c r="BK4354">
        <v>3</v>
      </c>
      <c r="BL4354">
        <v>0.55000000000000004</v>
      </c>
      <c r="BM4354">
        <v>-0.17</v>
      </c>
      <c r="BN4354">
        <v>0.3</v>
      </c>
      <c r="BO4354">
        <v>0.36</v>
      </c>
      <c r="BP4354">
        <v>0.46</v>
      </c>
      <c r="BQ4354">
        <v>-1.29</v>
      </c>
      <c r="BR4354">
        <v>-1.58</v>
      </c>
      <c r="BS4354">
        <v>-0.04</v>
      </c>
      <c r="BT4354">
        <v>1.48</v>
      </c>
      <c r="BU4354">
        <v>-0.55000000000000004</v>
      </c>
      <c r="BV4354">
        <v>-0.28999999999999998</v>
      </c>
      <c r="BW4354">
        <v>-0.19</v>
      </c>
      <c r="BX4354">
        <v>0</v>
      </c>
      <c r="BY4354">
        <v>-0.5</v>
      </c>
      <c r="BZ4354">
        <v>0.57999999999999996</v>
      </c>
      <c r="CA4354">
        <v>-0.23</v>
      </c>
      <c r="CB4354">
        <v>-0.28999999999999998</v>
      </c>
      <c r="CC4354">
        <v>-0.06</v>
      </c>
      <c r="CD4354">
        <v>-0.08</v>
      </c>
      <c r="CE4354">
        <v>-0.24</v>
      </c>
      <c r="CF4354">
        <v>0.21</v>
      </c>
      <c r="CG4354">
        <v>0</v>
      </c>
      <c r="CH4354">
        <v>0.12</v>
      </c>
      <c r="CI4354">
        <v>0</v>
      </c>
      <c r="CJ4354">
        <v>-2.1</v>
      </c>
      <c r="CK4354">
        <v>62</v>
      </c>
      <c r="CL4354">
        <v>-0.59</v>
      </c>
      <c r="CM4354">
        <v>59</v>
      </c>
      <c r="CN4354">
        <v>-0.17</v>
      </c>
      <c r="CO4354">
        <v>54</v>
      </c>
      <c r="CP4354">
        <v>-3.4</v>
      </c>
      <c r="CQ4354">
        <v>68</v>
      </c>
      <c r="CR4354">
        <v>0</v>
      </c>
      <c r="CS4354">
        <v>0</v>
      </c>
      <c r="CT4354">
        <v>-6.5</v>
      </c>
      <c r="CU4354">
        <v>55</v>
      </c>
      <c r="CV4354">
        <v>0.15</v>
      </c>
      <c r="CW4354">
        <v>17</v>
      </c>
      <c r="CX4354" t="s">
        <v>137</v>
      </c>
    </row>
    <row r="4355" spans="1:102" x14ac:dyDescent="0.3">
      <c r="A4355" t="str">
        <f>HYPERLINK("https://webapp.icbf.com/v2/app/bull-search/view/108367898","WIC")</f>
        <v>WIC</v>
      </c>
      <c r="B4355" t="s">
        <v>9789</v>
      </c>
      <c r="C4355" t="s">
        <v>9790</v>
      </c>
      <c r="D4355" s="1">
        <v>36974</v>
      </c>
      <c r="E4355" t="s">
        <v>92</v>
      </c>
      <c r="F4355">
        <v>100</v>
      </c>
      <c r="G4355" t="s">
        <v>116</v>
      </c>
      <c r="H4355">
        <v>-115.87</v>
      </c>
      <c r="I4355">
        <v>37</v>
      </c>
      <c r="J4355">
        <v>-9.2899999999999991</v>
      </c>
      <c r="K4355">
        <v>40</v>
      </c>
      <c r="L4355">
        <v>-105.95</v>
      </c>
      <c r="M4355">
        <v>33</v>
      </c>
      <c r="N4355">
        <v>10.29</v>
      </c>
      <c r="O4355">
        <v>37</v>
      </c>
      <c r="P4355">
        <v>-2.4</v>
      </c>
      <c r="Q4355">
        <v>39</v>
      </c>
      <c r="R4355">
        <v>-13.51</v>
      </c>
      <c r="S4355">
        <v>38</v>
      </c>
      <c r="T4355">
        <v>2.8</v>
      </c>
      <c r="U4355">
        <v>36</v>
      </c>
      <c r="V4355">
        <v>2.19</v>
      </c>
      <c r="W4355">
        <v>38</v>
      </c>
      <c r="X4355" t="s">
        <v>94</v>
      </c>
      <c r="Y4355" t="s">
        <v>974</v>
      </c>
      <c r="Z4355" t="s">
        <v>96</v>
      </c>
      <c r="AA4355" t="s">
        <v>1574</v>
      </c>
      <c r="AB4355" t="s">
        <v>3878</v>
      </c>
      <c r="AC4355">
        <v>3</v>
      </c>
      <c r="AD4355">
        <v>2</v>
      </c>
      <c r="AE4355">
        <v>40</v>
      </c>
      <c r="AF4355">
        <v>69.92</v>
      </c>
      <c r="AG4355">
        <v>-3.93</v>
      </c>
      <c r="AH4355">
        <v>0.88</v>
      </c>
      <c r="AI4355">
        <v>-0.11</v>
      </c>
      <c r="AJ4355">
        <v>-0.02</v>
      </c>
      <c r="AK4355">
        <v>33</v>
      </c>
      <c r="AL4355">
        <v>2</v>
      </c>
      <c r="AM4355">
        <v>2</v>
      </c>
      <c r="AN4355">
        <v>5.7</v>
      </c>
      <c r="AO4355">
        <v>-2.75</v>
      </c>
      <c r="AP4355">
        <v>1</v>
      </c>
      <c r="AQ4355">
        <v>2</v>
      </c>
      <c r="AR4355">
        <v>9.15</v>
      </c>
      <c r="AS4355">
        <v>30</v>
      </c>
      <c r="AT4355">
        <v>3.81</v>
      </c>
      <c r="AU4355">
        <v>37</v>
      </c>
      <c r="AV4355">
        <v>-2.11</v>
      </c>
      <c r="AW4355">
        <v>40</v>
      </c>
      <c r="AX4355">
        <v>-0.27</v>
      </c>
      <c r="AY4355">
        <v>37</v>
      </c>
      <c r="AZ4355">
        <v>5.43</v>
      </c>
      <c r="BA4355">
        <v>29</v>
      </c>
      <c r="BB4355">
        <v>4.5</v>
      </c>
      <c r="BC4355">
        <v>31</v>
      </c>
      <c r="BD4355">
        <v>0.01</v>
      </c>
      <c r="BE4355">
        <v>0.06</v>
      </c>
      <c r="BF4355">
        <v>0.18</v>
      </c>
      <c r="BG4355">
        <v>42</v>
      </c>
      <c r="BH4355">
        <v>0.06</v>
      </c>
      <c r="BI4355">
        <v>-0.11</v>
      </c>
      <c r="BJ4355">
        <v>0</v>
      </c>
      <c r="BK4355">
        <v>0</v>
      </c>
      <c r="BL4355">
        <v>0.56000000000000005</v>
      </c>
      <c r="BM4355">
        <v>-1.01</v>
      </c>
      <c r="BN4355">
        <v>7.0000000000000007E-2</v>
      </c>
      <c r="BO4355">
        <v>0.73</v>
      </c>
      <c r="BP4355">
        <v>-1.37</v>
      </c>
      <c r="BQ4355">
        <v>0.48</v>
      </c>
      <c r="BR4355">
        <v>-1.29</v>
      </c>
      <c r="BS4355">
        <v>1.37</v>
      </c>
      <c r="BT4355">
        <v>1.58</v>
      </c>
      <c r="BU4355">
        <v>0.93</v>
      </c>
      <c r="BV4355">
        <v>0.86</v>
      </c>
      <c r="BW4355">
        <v>1.6</v>
      </c>
      <c r="BX4355">
        <v>0.72</v>
      </c>
      <c r="BY4355">
        <v>1.31</v>
      </c>
      <c r="BZ4355">
        <v>0.69</v>
      </c>
      <c r="CA4355">
        <v>1.26</v>
      </c>
      <c r="CB4355">
        <v>1.08</v>
      </c>
      <c r="CC4355">
        <v>1.04</v>
      </c>
      <c r="CD4355">
        <v>-0.79</v>
      </c>
      <c r="CE4355">
        <v>0.75</v>
      </c>
      <c r="CF4355">
        <v>0.23</v>
      </c>
      <c r="CG4355">
        <v>0</v>
      </c>
      <c r="CH4355">
        <v>1.68</v>
      </c>
      <c r="CI4355">
        <v>0</v>
      </c>
      <c r="CJ4355">
        <v>-0.2</v>
      </c>
      <c r="CK4355">
        <v>40</v>
      </c>
      <c r="CL4355">
        <v>-0.64</v>
      </c>
      <c r="CM4355">
        <v>39</v>
      </c>
      <c r="CN4355">
        <v>-0.36</v>
      </c>
      <c r="CO4355">
        <v>37</v>
      </c>
      <c r="CP4355">
        <v>1.8</v>
      </c>
      <c r="CQ4355">
        <v>41</v>
      </c>
      <c r="CR4355">
        <v>0</v>
      </c>
      <c r="CS4355">
        <v>0</v>
      </c>
      <c r="CT4355">
        <v>10</v>
      </c>
      <c r="CU4355">
        <v>36</v>
      </c>
      <c r="CV4355">
        <v>0.16</v>
      </c>
      <c r="CW4355">
        <v>11</v>
      </c>
      <c r="CX4355" t="s">
        <v>1008</v>
      </c>
    </row>
    <row r="4356" spans="1:102" x14ac:dyDescent="0.3">
      <c r="A4356" t="str">
        <f>HYPERLINK("https://webapp.icbf.com/v2/app/bull-search/view/77856286","JDP")</f>
        <v>JDP</v>
      </c>
      <c r="B4356" t="s">
        <v>7409</v>
      </c>
      <c r="C4356" t="s">
        <v>7410</v>
      </c>
      <c r="D4356" s="1">
        <v>35545</v>
      </c>
      <c r="E4356" t="s">
        <v>92</v>
      </c>
      <c r="F4356">
        <v>100</v>
      </c>
      <c r="G4356" t="s">
        <v>93</v>
      </c>
      <c r="H4356">
        <v>-116.01</v>
      </c>
      <c r="I4356">
        <v>82</v>
      </c>
      <c r="J4356">
        <v>44.93</v>
      </c>
      <c r="K4356">
        <v>95</v>
      </c>
      <c r="L4356">
        <v>-118.96</v>
      </c>
      <c r="M4356">
        <v>78</v>
      </c>
      <c r="N4356">
        <v>-45.35</v>
      </c>
      <c r="O4356">
        <v>70</v>
      </c>
      <c r="P4356">
        <v>-4.6399999999999997</v>
      </c>
      <c r="Q4356">
        <v>81</v>
      </c>
      <c r="R4356">
        <v>1.74</v>
      </c>
      <c r="S4356">
        <v>75</v>
      </c>
      <c r="T4356">
        <v>11.31</v>
      </c>
      <c r="U4356">
        <v>75</v>
      </c>
      <c r="V4356">
        <v>-5.04</v>
      </c>
      <c r="W4356">
        <v>64</v>
      </c>
      <c r="X4356" t="s">
        <v>94</v>
      </c>
      <c r="Y4356" t="s">
        <v>95</v>
      </c>
      <c r="Z4356" t="s">
        <v>96</v>
      </c>
      <c r="AA4356" t="s">
        <v>3553</v>
      </c>
      <c r="AB4356" t="s">
        <v>7411</v>
      </c>
      <c r="AC4356">
        <v>46</v>
      </c>
      <c r="AD4356">
        <v>44</v>
      </c>
      <c r="AE4356">
        <v>95</v>
      </c>
      <c r="AF4356">
        <v>183.52</v>
      </c>
      <c r="AG4356">
        <v>8.68</v>
      </c>
      <c r="AH4356">
        <v>7.38</v>
      </c>
      <c r="AI4356">
        <v>0.03</v>
      </c>
      <c r="AJ4356">
        <v>0.02</v>
      </c>
      <c r="AK4356">
        <v>78</v>
      </c>
      <c r="AL4356">
        <v>49</v>
      </c>
      <c r="AM4356">
        <v>44</v>
      </c>
      <c r="AN4356">
        <v>7.01</v>
      </c>
      <c r="AO4356">
        <v>-2.4700000000000002</v>
      </c>
      <c r="AP4356">
        <v>1</v>
      </c>
      <c r="AQ4356">
        <v>1</v>
      </c>
      <c r="AR4356">
        <v>11.78</v>
      </c>
      <c r="AS4356">
        <v>62</v>
      </c>
      <c r="AT4356">
        <v>6.02</v>
      </c>
      <c r="AU4356">
        <v>75</v>
      </c>
      <c r="AV4356">
        <v>-0.3</v>
      </c>
      <c r="AW4356">
        <v>73</v>
      </c>
      <c r="AX4356">
        <v>-0.02</v>
      </c>
      <c r="AY4356">
        <v>71</v>
      </c>
      <c r="AZ4356">
        <v>6.49</v>
      </c>
      <c r="BA4356">
        <v>57</v>
      </c>
      <c r="BB4356">
        <v>5.04</v>
      </c>
      <c r="BC4356">
        <v>62</v>
      </c>
      <c r="BD4356">
        <v>0.03</v>
      </c>
      <c r="BE4356">
        <v>0</v>
      </c>
      <c r="BF4356">
        <v>-0.09</v>
      </c>
      <c r="BG4356">
        <v>86</v>
      </c>
      <c r="BH4356">
        <v>-0.16</v>
      </c>
      <c r="BI4356">
        <v>-2.2599999999999998</v>
      </c>
      <c r="BJ4356">
        <v>24</v>
      </c>
      <c r="BK4356">
        <v>20</v>
      </c>
      <c r="BL4356">
        <v>0.68</v>
      </c>
      <c r="BM4356">
        <v>0.01</v>
      </c>
      <c r="BN4356">
        <v>0.15</v>
      </c>
      <c r="BO4356">
        <v>0.28000000000000003</v>
      </c>
      <c r="BP4356">
        <v>-1.17</v>
      </c>
      <c r="BQ4356">
        <v>-1.5</v>
      </c>
      <c r="BR4356">
        <v>-0.04</v>
      </c>
      <c r="BS4356">
        <v>-2.2400000000000002</v>
      </c>
      <c r="BT4356">
        <v>1.2</v>
      </c>
      <c r="BU4356">
        <v>-0.39</v>
      </c>
      <c r="BV4356">
        <v>-0.25</v>
      </c>
      <c r="BW4356">
        <v>-0.01</v>
      </c>
      <c r="BX4356">
        <v>0.45</v>
      </c>
      <c r="BY4356">
        <v>-1.05</v>
      </c>
      <c r="BZ4356">
        <v>-0.55000000000000004</v>
      </c>
      <c r="CA4356">
        <v>-0.71</v>
      </c>
      <c r="CB4356">
        <v>-0.37</v>
      </c>
      <c r="CC4356">
        <v>-1.64</v>
      </c>
      <c r="CD4356">
        <v>-0.86</v>
      </c>
      <c r="CE4356">
        <v>0.37</v>
      </c>
      <c r="CF4356">
        <v>0.56000000000000005</v>
      </c>
      <c r="CG4356">
        <v>0</v>
      </c>
      <c r="CH4356">
        <v>-1.18</v>
      </c>
      <c r="CI4356">
        <v>0</v>
      </c>
      <c r="CJ4356">
        <v>-0.3</v>
      </c>
      <c r="CK4356">
        <v>82</v>
      </c>
      <c r="CL4356">
        <v>-0.56999999999999995</v>
      </c>
      <c r="CM4356">
        <v>79</v>
      </c>
      <c r="CN4356">
        <v>-0.18</v>
      </c>
      <c r="CO4356">
        <v>76</v>
      </c>
      <c r="CP4356">
        <v>-3</v>
      </c>
      <c r="CQ4356">
        <v>85</v>
      </c>
      <c r="CR4356">
        <v>0</v>
      </c>
      <c r="CS4356">
        <v>0</v>
      </c>
      <c r="CT4356">
        <v>-1.5</v>
      </c>
      <c r="CU4356">
        <v>75</v>
      </c>
      <c r="CV4356">
        <v>0.11</v>
      </c>
      <c r="CW4356">
        <v>42</v>
      </c>
      <c r="CX4356" t="s">
        <v>678</v>
      </c>
    </row>
    <row r="4357" spans="1:102" x14ac:dyDescent="0.3">
      <c r="A4357" t="str">
        <f>HYPERLINK("https://webapp.icbf.com/v2/app/bull-search/view/586046368","EKM")</f>
        <v>EKM</v>
      </c>
      <c r="B4357" t="s">
        <v>5270</v>
      </c>
      <c r="C4357" t="s">
        <v>5271</v>
      </c>
      <c r="D4357" s="1">
        <v>38603</v>
      </c>
      <c r="E4357" t="s">
        <v>92</v>
      </c>
      <c r="F4357">
        <v>100</v>
      </c>
      <c r="G4357" t="s">
        <v>93</v>
      </c>
      <c r="H4357">
        <v>-116.16</v>
      </c>
      <c r="I4357">
        <v>85</v>
      </c>
      <c r="J4357">
        <v>-8.1199999999999992</v>
      </c>
      <c r="K4357">
        <v>94</v>
      </c>
      <c r="L4357">
        <v>-74.94</v>
      </c>
      <c r="M4357">
        <v>87</v>
      </c>
      <c r="N4357">
        <v>-24.56</v>
      </c>
      <c r="O4357">
        <v>80</v>
      </c>
      <c r="P4357">
        <v>-10.88</v>
      </c>
      <c r="Q4357">
        <v>90</v>
      </c>
      <c r="R4357">
        <v>5.57</v>
      </c>
      <c r="S4357">
        <v>72</v>
      </c>
      <c r="T4357">
        <v>-5.27</v>
      </c>
      <c r="U4357">
        <v>75</v>
      </c>
      <c r="V4357">
        <v>2.04</v>
      </c>
      <c r="W4357">
        <v>32</v>
      </c>
      <c r="X4357" t="s">
        <v>251</v>
      </c>
      <c r="Y4357" t="s">
        <v>282</v>
      </c>
      <c r="Z4357" t="s">
        <v>96</v>
      </c>
      <c r="AA4357" t="s">
        <v>1680</v>
      </c>
      <c r="AB4357" t="s">
        <v>5272</v>
      </c>
      <c r="AC4357">
        <v>66</v>
      </c>
      <c r="AD4357">
        <v>31</v>
      </c>
      <c r="AE4357">
        <v>94</v>
      </c>
      <c r="AF4357">
        <v>422.71</v>
      </c>
      <c r="AG4357">
        <v>2.57</v>
      </c>
      <c r="AH4357">
        <v>4.18</v>
      </c>
      <c r="AI4357">
        <v>-0.22</v>
      </c>
      <c r="AJ4357">
        <v>-0.16</v>
      </c>
      <c r="AK4357">
        <v>87</v>
      </c>
      <c r="AL4357">
        <v>63</v>
      </c>
      <c r="AM4357">
        <v>28</v>
      </c>
      <c r="AN4357">
        <v>4.5999999999999996</v>
      </c>
      <c r="AO4357">
        <v>-1.37</v>
      </c>
      <c r="AP4357">
        <v>107</v>
      </c>
      <c r="AQ4357">
        <v>0</v>
      </c>
      <c r="AR4357">
        <v>13.22</v>
      </c>
      <c r="AS4357">
        <v>68</v>
      </c>
      <c r="AT4357">
        <v>5.36</v>
      </c>
      <c r="AU4357">
        <v>90</v>
      </c>
      <c r="AV4357">
        <v>-1.99</v>
      </c>
      <c r="AW4357">
        <v>92</v>
      </c>
      <c r="AX4357">
        <v>0.21</v>
      </c>
      <c r="AY4357">
        <v>79</v>
      </c>
      <c r="AZ4357">
        <v>5.23</v>
      </c>
      <c r="BA4357">
        <v>48</v>
      </c>
      <c r="BB4357">
        <v>4.37</v>
      </c>
      <c r="BC4357">
        <v>44</v>
      </c>
      <c r="BD4357">
        <v>0</v>
      </c>
      <c r="BE4357">
        <v>-0.02</v>
      </c>
      <c r="BF4357">
        <v>-0.09</v>
      </c>
      <c r="BG4357">
        <v>91</v>
      </c>
      <c r="BH4357">
        <v>-0.09</v>
      </c>
      <c r="BI4357">
        <v>-17</v>
      </c>
      <c r="BJ4357">
        <v>31</v>
      </c>
      <c r="BK4357">
        <v>13</v>
      </c>
      <c r="BL4357">
        <v>1.92</v>
      </c>
      <c r="BM4357">
        <v>-0.88</v>
      </c>
      <c r="BN4357">
        <v>-0.25</v>
      </c>
      <c r="BO4357">
        <v>0.66</v>
      </c>
      <c r="BP4357">
        <v>2.2999999999999998</v>
      </c>
      <c r="BQ4357">
        <v>0.49</v>
      </c>
      <c r="BR4357">
        <v>-1.93</v>
      </c>
      <c r="BS4357">
        <v>0.8</v>
      </c>
      <c r="BT4357">
        <v>2.88</v>
      </c>
      <c r="BU4357">
        <v>2.3199999999999998</v>
      </c>
      <c r="BV4357">
        <v>1.94</v>
      </c>
      <c r="BW4357">
        <v>1.5</v>
      </c>
      <c r="BX4357">
        <v>2.8</v>
      </c>
      <c r="BY4357">
        <v>1.1499999999999999</v>
      </c>
      <c r="BZ4357">
        <v>-0.22</v>
      </c>
      <c r="CA4357">
        <v>2.13</v>
      </c>
      <c r="CB4357">
        <v>1.62</v>
      </c>
      <c r="CC4357">
        <v>2</v>
      </c>
      <c r="CD4357">
        <v>-0.18</v>
      </c>
      <c r="CE4357">
        <v>0.69</v>
      </c>
      <c r="CF4357">
        <v>1.1299999999999999</v>
      </c>
      <c r="CG4357">
        <v>0</v>
      </c>
      <c r="CH4357">
        <v>1.0900000000000001</v>
      </c>
      <c r="CI4357">
        <v>0</v>
      </c>
      <c r="CJ4357">
        <v>-2.6</v>
      </c>
      <c r="CK4357">
        <v>92</v>
      </c>
      <c r="CL4357">
        <v>-1.18</v>
      </c>
      <c r="CM4357">
        <v>90</v>
      </c>
      <c r="CN4357">
        <v>-0.38</v>
      </c>
      <c r="CO4357">
        <v>89</v>
      </c>
      <c r="CP4357">
        <v>2.9</v>
      </c>
      <c r="CQ4357">
        <v>83</v>
      </c>
      <c r="CR4357">
        <v>0</v>
      </c>
      <c r="CS4357">
        <v>0</v>
      </c>
      <c r="CT4357">
        <v>20.9</v>
      </c>
      <c r="CU4357">
        <v>75</v>
      </c>
      <c r="CV4357">
        <v>0.33</v>
      </c>
      <c r="CW4357">
        <v>26</v>
      </c>
      <c r="CX4357" t="s">
        <v>1325</v>
      </c>
    </row>
    <row r="4358" spans="1:102" x14ac:dyDescent="0.3">
      <c r="A4358" t="str">
        <f>HYPERLINK("https://webapp.icbf.com/v2/app/bull-search/view/444530435","S571")</f>
        <v>S571</v>
      </c>
      <c r="B4358" t="s">
        <v>11726</v>
      </c>
      <c r="C4358" t="s">
        <v>11727</v>
      </c>
      <c r="D4358" s="1">
        <v>36648</v>
      </c>
      <c r="E4358" t="s">
        <v>92</v>
      </c>
      <c r="F4358">
        <v>100</v>
      </c>
      <c r="G4358" t="s">
        <v>109</v>
      </c>
      <c r="H4358">
        <v>-116.43</v>
      </c>
      <c r="I4358">
        <v>81</v>
      </c>
      <c r="J4358">
        <v>33.49</v>
      </c>
      <c r="K4358">
        <v>94</v>
      </c>
      <c r="L4358">
        <v>-144.44999999999999</v>
      </c>
      <c r="M4358">
        <v>88</v>
      </c>
      <c r="N4358">
        <v>5.65</v>
      </c>
      <c r="O4358">
        <v>65</v>
      </c>
      <c r="P4358">
        <v>3.59</v>
      </c>
      <c r="Q4358">
        <v>57</v>
      </c>
      <c r="R4358">
        <v>-2.48</v>
      </c>
      <c r="S4358">
        <v>77</v>
      </c>
      <c r="T4358">
        <v>-9.6300000000000008</v>
      </c>
      <c r="U4358">
        <v>58</v>
      </c>
      <c r="V4358">
        <v>-2.6</v>
      </c>
      <c r="W4358">
        <v>63</v>
      </c>
      <c r="X4358" t="s">
        <v>102</v>
      </c>
      <c r="Y4358" t="s">
        <v>95</v>
      </c>
      <c r="Z4358" t="s">
        <v>96</v>
      </c>
      <c r="AA4358" t="s">
        <v>1384</v>
      </c>
      <c r="AB4358" t="s">
        <v>11728</v>
      </c>
      <c r="AC4358">
        <v>0</v>
      </c>
      <c r="AD4358">
        <v>0</v>
      </c>
      <c r="AE4358">
        <v>94</v>
      </c>
      <c r="AF4358">
        <v>345.07</v>
      </c>
      <c r="AG4358">
        <v>4.7699999999999996</v>
      </c>
      <c r="AH4358">
        <v>9.2899999999999991</v>
      </c>
      <c r="AI4358">
        <v>-0.14000000000000001</v>
      </c>
      <c r="AJ4358">
        <v>-0.04</v>
      </c>
      <c r="AK4358">
        <v>88</v>
      </c>
      <c r="AL4358">
        <v>0</v>
      </c>
      <c r="AM4358">
        <v>0</v>
      </c>
      <c r="AN4358">
        <v>7.87</v>
      </c>
      <c r="AO4358">
        <v>-3.65</v>
      </c>
      <c r="AP4358">
        <v>9</v>
      </c>
      <c r="AQ4358">
        <v>0</v>
      </c>
      <c r="AR4358">
        <v>7.81</v>
      </c>
      <c r="AS4358">
        <v>61</v>
      </c>
      <c r="AT4358">
        <v>4.13</v>
      </c>
      <c r="AU4358">
        <v>92</v>
      </c>
      <c r="AV4358">
        <v>-2.3199999999999998</v>
      </c>
      <c r="AW4358">
        <v>59</v>
      </c>
      <c r="AX4358">
        <v>0.73</v>
      </c>
      <c r="AY4358">
        <v>50</v>
      </c>
      <c r="AZ4358">
        <v>6.83</v>
      </c>
      <c r="BA4358">
        <v>48</v>
      </c>
      <c r="BB4358">
        <v>5.0199999999999996</v>
      </c>
      <c r="BC4358">
        <v>51</v>
      </c>
      <c r="BD4358">
        <v>0.03</v>
      </c>
      <c r="BE4358">
        <v>0.03</v>
      </c>
      <c r="BF4358">
        <v>-0.05</v>
      </c>
      <c r="BG4358">
        <v>93</v>
      </c>
      <c r="BH4358">
        <v>-0.03</v>
      </c>
      <c r="BI4358">
        <v>4.92</v>
      </c>
      <c r="BJ4358">
        <v>1</v>
      </c>
      <c r="BK4358">
        <v>1</v>
      </c>
      <c r="BL4358">
        <v>-0.08</v>
      </c>
      <c r="BM4358">
        <v>-0.9</v>
      </c>
      <c r="BN4358">
        <v>1.1399999999999999</v>
      </c>
      <c r="BO4358">
        <v>0.82</v>
      </c>
      <c r="BP4358">
        <v>-0.69</v>
      </c>
      <c r="BQ4358">
        <v>-0.77</v>
      </c>
      <c r="BR4358">
        <v>-0.24</v>
      </c>
      <c r="BS4358">
        <v>0.17</v>
      </c>
      <c r="BT4358">
        <v>0.05</v>
      </c>
      <c r="BU4358">
        <v>1.05</v>
      </c>
      <c r="BV4358">
        <v>0.56000000000000005</v>
      </c>
      <c r="BW4358">
        <v>0.38</v>
      </c>
      <c r="BX4358">
        <v>-0.03</v>
      </c>
      <c r="BY4358">
        <v>0.44</v>
      </c>
      <c r="BZ4358">
        <v>-0.46</v>
      </c>
      <c r="CA4358">
        <v>0.82</v>
      </c>
      <c r="CB4358">
        <v>0.75</v>
      </c>
      <c r="CC4358">
        <v>0.88</v>
      </c>
      <c r="CD4358">
        <v>-1.45</v>
      </c>
      <c r="CE4358">
        <v>1.1100000000000001</v>
      </c>
      <c r="CF4358">
        <v>0.14000000000000001</v>
      </c>
      <c r="CG4358">
        <v>0</v>
      </c>
      <c r="CH4358">
        <v>0.23</v>
      </c>
      <c r="CI4358">
        <v>0</v>
      </c>
      <c r="CJ4358">
        <v>3.9</v>
      </c>
      <c r="CK4358">
        <v>58</v>
      </c>
      <c r="CL4358">
        <v>-0.97</v>
      </c>
      <c r="CM4358">
        <v>55</v>
      </c>
      <c r="CN4358">
        <v>-0.56999999999999995</v>
      </c>
      <c r="CO4358">
        <v>53</v>
      </c>
      <c r="CP4358">
        <v>10.3</v>
      </c>
      <c r="CQ4358">
        <v>59</v>
      </c>
      <c r="CR4358">
        <v>0</v>
      </c>
      <c r="CS4358">
        <v>0</v>
      </c>
      <c r="CT4358">
        <v>26.8</v>
      </c>
      <c r="CU4358">
        <v>58</v>
      </c>
      <c r="CV4358">
        <v>0.21</v>
      </c>
      <c r="CW4358">
        <v>37</v>
      </c>
      <c r="CX4358" t="s">
        <v>751</v>
      </c>
    </row>
    <row r="4359" spans="1:102" x14ac:dyDescent="0.3">
      <c r="A4359" t="str">
        <f>HYPERLINK("https://webapp.icbf.com/v2/app/bull-search/view/77855380","LSJ")</f>
        <v>LSJ</v>
      </c>
      <c r="B4359" t="s">
        <v>3896</v>
      </c>
      <c r="C4359" t="s">
        <v>3897</v>
      </c>
      <c r="D4359" s="1">
        <v>33317</v>
      </c>
      <c r="E4359" t="s">
        <v>92</v>
      </c>
      <c r="F4359">
        <v>91</v>
      </c>
      <c r="G4359" t="s">
        <v>93</v>
      </c>
      <c r="H4359">
        <v>-116.44</v>
      </c>
      <c r="I4359">
        <v>62</v>
      </c>
      <c r="J4359">
        <v>-71.430000000000007</v>
      </c>
      <c r="K4359">
        <v>78</v>
      </c>
      <c r="L4359">
        <v>-47.86</v>
      </c>
      <c r="M4359">
        <v>53</v>
      </c>
      <c r="N4359">
        <v>4.99</v>
      </c>
      <c r="O4359">
        <v>60</v>
      </c>
      <c r="P4359">
        <v>0.01</v>
      </c>
      <c r="Q4359">
        <v>64</v>
      </c>
      <c r="R4359">
        <v>-2.54</v>
      </c>
      <c r="S4359">
        <v>56</v>
      </c>
      <c r="T4359">
        <v>6.72</v>
      </c>
      <c r="U4359">
        <v>55</v>
      </c>
      <c r="V4359">
        <v>-6.33</v>
      </c>
      <c r="W4359">
        <v>27</v>
      </c>
      <c r="X4359" t="s">
        <v>110</v>
      </c>
      <c r="Y4359" t="s">
        <v>95</v>
      </c>
      <c r="Z4359" t="s">
        <v>96</v>
      </c>
      <c r="AA4359" t="s">
        <v>3898</v>
      </c>
      <c r="AB4359" t="s">
        <v>3899</v>
      </c>
      <c r="AC4359">
        <v>21</v>
      </c>
      <c r="AD4359">
        <v>12</v>
      </c>
      <c r="AE4359">
        <v>78</v>
      </c>
      <c r="AF4359">
        <v>-315.39</v>
      </c>
      <c r="AG4359">
        <v>-5.64</v>
      </c>
      <c r="AH4359">
        <v>-14.98</v>
      </c>
      <c r="AI4359">
        <v>0.12</v>
      </c>
      <c r="AJ4359">
        <v>-7.0000000000000007E-2</v>
      </c>
      <c r="AK4359">
        <v>53</v>
      </c>
      <c r="AL4359">
        <v>44</v>
      </c>
      <c r="AM4359">
        <v>18</v>
      </c>
      <c r="AN4359">
        <v>2.38</v>
      </c>
      <c r="AO4359">
        <v>-1.44</v>
      </c>
      <c r="AP4359">
        <v>40</v>
      </c>
      <c r="AQ4359">
        <v>1</v>
      </c>
      <c r="AR4359">
        <v>7.24</v>
      </c>
      <c r="AS4359">
        <v>23</v>
      </c>
      <c r="AT4359">
        <v>3.33</v>
      </c>
      <c r="AU4359">
        <v>56</v>
      </c>
      <c r="AV4359">
        <v>-0.89</v>
      </c>
      <c r="AW4359">
        <v>82</v>
      </c>
      <c r="AX4359">
        <v>-0.61</v>
      </c>
      <c r="AY4359">
        <v>62</v>
      </c>
      <c r="AZ4359">
        <v>6.61</v>
      </c>
      <c r="BA4359">
        <v>19</v>
      </c>
      <c r="BB4359">
        <v>5.49</v>
      </c>
      <c r="BC4359">
        <v>31</v>
      </c>
      <c r="BD4359">
        <v>0.05</v>
      </c>
      <c r="BE4359">
        <v>0.05</v>
      </c>
      <c r="BF4359">
        <v>-0.12</v>
      </c>
      <c r="BG4359">
        <v>76</v>
      </c>
      <c r="BH4359">
        <v>0</v>
      </c>
      <c r="BI4359">
        <v>20.43</v>
      </c>
      <c r="BJ4359">
        <v>3</v>
      </c>
      <c r="BK4359">
        <v>3</v>
      </c>
      <c r="BL4359">
        <v>-0.74</v>
      </c>
      <c r="BM4359">
        <v>1.32</v>
      </c>
      <c r="BN4359">
        <v>0.1</v>
      </c>
      <c r="BO4359">
        <v>-1.0900000000000001</v>
      </c>
      <c r="BP4359">
        <v>-1.93</v>
      </c>
      <c r="BQ4359">
        <v>1.62</v>
      </c>
      <c r="BR4359">
        <v>0.52</v>
      </c>
      <c r="BS4359">
        <v>-1.1000000000000001</v>
      </c>
      <c r="BT4359">
        <v>-0.28999999999999998</v>
      </c>
      <c r="BU4359">
        <v>0.25</v>
      </c>
      <c r="BV4359">
        <v>-0.76</v>
      </c>
      <c r="BW4359">
        <v>-0.89</v>
      </c>
      <c r="BX4359">
        <v>0.37</v>
      </c>
      <c r="BY4359">
        <v>-0.73</v>
      </c>
      <c r="BZ4359">
        <v>-1.64</v>
      </c>
      <c r="CA4359">
        <v>-0.72</v>
      </c>
      <c r="CB4359">
        <v>-0.66</v>
      </c>
      <c r="CC4359">
        <v>-0.47</v>
      </c>
      <c r="CD4359">
        <v>1.5</v>
      </c>
      <c r="CE4359">
        <v>-1.1299999999999999</v>
      </c>
      <c r="CF4359">
        <v>-0.36</v>
      </c>
      <c r="CG4359">
        <v>0</v>
      </c>
      <c r="CH4359">
        <v>-1.05</v>
      </c>
      <c r="CI4359">
        <v>0</v>
      </c>
      <c r="CJ4359">
        <v>-0.2</v>
      </c>
      <c r="CK4359">
        <v>66</v>
      </c>
      <c r="CL4359">
        <v>-0.24</v>
      </c>
      <c r="CM4359">
        <v>62</v>
      </c>
      <c r="CN4359">
        <v>-0.26</v>
      </c>
      <c r="CO4359">
        <v>58</v>
      </c>
      <c r="CP4359">
        <v>-1.9</v>
      </c>
      <c r="CQ4359">
        <v>64</v>
      </c>
      <c r="CR4359">
        <v>0</v>
      </c>
      <c r="CS4359">
        <v>0</v>
      </c>
      <c r="CT4359">
        <v>4.7</v>
      </c>
      <c r="CU4359">
        <v>55</v>
      </c>
      <c r="CV4359">
        <v>0.01</v>
      </c>
      <c r="CW4359">
        <v>17</v>
      </c>
      <c r="CX4359" t="s">
        <v>622</v>
      </c>
    </row>
    <row r="4360" spans="1:102" x14ac:dyDescent="0.3">
      <c r="A4360" t="str">
        <f>HYPERLINK("https://webapp.icbf.com/v2/app/bull-search/view/77859772","BLP")</f>
        <v>BLP</v>
      </c>
      <c r="B4360" t="s">
        <v>9874</v>
      </c>
      <c r="C4360" t="s">
        <v>9875</v>
      </c>
      <c r="D4360" s="1">
        <v>34443</v>
      </c>
      <c r="E4360" t="s">
        <v>92</v>
      </c>
      <c r="F4360">
        <v>100</v>
      </c>
      <c r="G4360" t="s">
        <v>93</v>
      </c>
      <c r="H4360">
        <v>-116.66</v>
      </c>
      <c r="I4360">
        <v>73</v>
      </c>
      <c r="J4360">
        <v>-1.96</v>
      </c>
      <c r="K4360">
        <v>90</v>
      </c>
      <c r="L4360">
        <v>-117.62</v>
      </c>
      <c r="M4360">
        <v>61</v>
      </c>
      <c r="N4360">
        <v>-3.73</v>
      </c>
      <c r="O4360">
        <v>58</v>
      </c>
      <c r="P4360">
        <v>-6.14</v>
      </c>
      <c r="Q4360">
        <v>73</v>
      </c>
      <c r="R4360">
        <v>-12.89</v>
      </c>
      <c r="S4360">
        <v>62</v>
      </c>
      <c r="T4360">
        <v>27.52</v>
      </c>
      <c r="U4360">
        <v>84</v>
      </c>
      <c r="V4360">
        <v>-1.84</v>
      </c>
      <c r="W4360">
        <v>59</v>
      </c>
      <c r="X4360" t="s">
        <v>94</v>
      </c>
      <c r="Y4360" t="s">
        <v>95</v>
      </c>
      <c r="Z4360" t="s">
        <v>96</v>
      </c>
      <c r="AA4360" t="s">
        <v>7042</v>
      </c>
      <c r="AB4360" t="s">
        <v>9876</v>
      </c>
      <c r="AC4360">
        <v>51</v>
      </c>
      <c r="AD4360">
        <v>36</v>
      </c>
      <c r="AE4360">
        <v>90</v>
      </c>
      <c r="AF4360">
        <v>165.42</v>
      </c>
      <c r="AG4360">
        <v>3.33</v>
      </c>
      <c r="AH4360">
        <v>1.02</v>
      </c>
      <c r="AI4360">
        <v>-0.05</v>
      </c>
      <c r="AJ4360">
        <v>-7.0000000000000007E-2</v>
      </c>
      <c r="AK4360">
        <v>61</v>
      </c>
      <c r="AL4360">
        <v>68</v>
      </c>
      <c r="AM4360">
        <v>46</v>
      </c>
      <c r="AN4360">
        <v>5.67</v>
      </c>
      <c r="AO4360">
        <v>-3.72</v>
      </c>
      <c r="AP4360">
        <v>5</v>
      </c>
      <c r="AQ4360">
        <v>2</v>
      </c>
      <c r="AR4360">
        <v>10.44</v>
      </c>
      <c r="AS4360">
        <v>32</v>
      </c>
      <c r="AT4360">
        <v>4.3600000000000003</v>
      </c>
      <c r="AU4360">
        <v>50</v>
      </c>
      <c r="AV4360">
        <v>-1.41</v>
      </c>
      <c r="AW4360">
        <v>71</v>
      </c>
      <c r="AX4360">
        <v>-0.76</v>
      </c>
      <c r="AY4360">
        <v>73</v>
      </c>
      <c r="AZ4360">
        <v>5.5</v>
      </c>
      <c r="BA4360">
        <v>30</v>
      </c>
      <c r="BB4360">
        <v>4.37</v>
      </c>
      <c r="BC4360">
        <v>46</v>
      </c>
      <c r="BD4360">
        <v>0.05</v>
      </c>
      <c r="BE4360">
        <v>7.0000000000000007E-2</v>
      </c>
      <c r="BF4360">
        <v>0.08</v>
      </c>
      <c r="BG4360">
        <v>77</v>
      </c>
      <c r="BH4360">
        <v>-0.02</v>
      </c>
      <c r="BI4360">
        <v>3.62</v>
      </c>
      <c r="BJ4360">
        <v>15</v>
      </c>
      <c r="BK4360">
        <v>12</v>
      </c>
      <c r="BL4360">
        <v>-0.47</v>
      </c>
      <c r="BM4360">
        <v>0.36</v>
      </c>
      <c r="BN4360">
        <v>-0.76</v>
      </c>
      <c r="BO4360">
        <v>-1.22</v>
      </c>
      <c r="BP4360">
        <v>1</v>
      </c>
      <c r="BQ4360">
        <v>-2.13</v>
      </c>
      <c r="BR4360">
        <v>-0.28999999999999998</v>
      </c>
      <c r="BS4360">
        <v>-0.8</v>
      </c>
      <c r="BT4360">
        <v>0.17</v>
      </c>
      <c r="BU4360">
        <v>-0.85</v>
      </c>
      <c r="BV4360">
        <v>-1.57</v>
      </c>
      <c r="BW4360">
        <v>-1.98</v>
      </c>
      <c r="BX4360">
        <v>-0.68</v>
      </c>
      <c r="BY4360">
        <v>-0.65</v>
      </c>
      <c r="BZ4360">
        <v>-1.69</v>
      </c>
      <c r="CA4360">
        <v>-1.79</v>
      </c>
      <c r="CB4360">
        <v>-1.62</v>
      </c>
      <c r="CC4360">
        <v>-1.53</v>
      </c>
      <c r="CD4360">
        <v>1.03</v>
      </c>
      <c r="CE4360">
        <v>-1.4</v>
      </c>
      <c r="CF4360">
        <v>-1.27</v>
      </c>
      <c r="CG4360">
        <v>0</v>
      </c>
      <c r="CH4360">
        <v>-0.79</v>
      </c>
      <c r="CI4360">
        <v>0</v>
      </c>
      <c r="CJ4360">
        <v>-2.7</v>
      </c>
      <c r="CK4360">
        <v>74</v>
      </c>
      <c r="CL4360">
        <v>-0.17</v>
      </c>
      <c r="CM4360">
        <v>70</v>
      </c>
      <c r="CN4360">
        <v>-0.1</v>
      </c>
      <c r="CO4360">
        <v>65</v>
      </c>
      <c r="CP4360">
        <v>-12.2</v>
      </c>
      <c r="CQ4360">
        <v>83</v>
      </c>
      <c r="CR4360">
        <v>0</v>
      </c>
      <c r="CS4360">
        <v>0</v>
      </c>
      <c r="CT4360">
        <v>-23.4</v>
      </c>
      <c r="CU4360">
        <v>84</v>
      </c>
      <c r="CV4360">
        <v>-0.03</v>
      </c>
      <c r="CW4360">
        <v>20</v>
      </c>
      <c r="CX4360" t="s">
        <v>128</v>
      </c>
    </row>
    <row r="4361" spans="1:102" x14ac:dyDescent="0.3">
      <c r="A4361" t="str">
        <f>HYPERLINK("https://webapp.icbf.com/v2/app/bull-search/view/77857525","GCW")</f>
        <v>GCW</v>
      </c>
      <c r="B4361" t="s">
        <v>3388</v>
      </c>
      <c r="C4361" t="s">
        <v>3389</v>
      </c>
      <c r="D4361" s="1">
        <v>31875</v>
      </c>
      <c r="E4361" t="s">
        <v>92</v>
      </c>
      <c r="F4361">
        <v>100</v>
      </c>
      <c r="G4361" t="s">
        <v>109</v>
      </c>
      <c r="H4361">
        <v>-116.73</v>
      </c>
      <c r="I4361">
        <v>62</v>
      </c>
      <c r="J4361">
        <v>-44.69</v>
      </c>
      <c r="K4361">
        <v>76</v>
      </c>
      <c r="L4361">
        <v>-59.82</v>
      </c>
      <c r="M4361">
        <v>67</v>
      </c>
      <c r="N4361">
        <v>-3.89</v>
      </c>
      <c r="O4361">
        <v>39</v>
      </c>
      <c r="P4361">
        <v>4.07</v>
      </c>
      <c r="Q4361">
        <v>47</v>
      </c>
      <c r="R4361">
        <v>-6.25</v>
      </c>
      <c r="S4361">
        <v>61</v>
      </c>
      <c r="T4361">
        <v>-1.94</v>
      </c>
      <c r="U4361">
        <v>49</v>
      </c>
      <c r="V4361">
        <v>-4.21</v>
      </c>
      <c r="W4361">
        <v>23</v>
      </c>
      <c r="X4361" t="s">
        <v>131</v>
      </c>
      <c r="Y4361" t="s">
        <v>95</v>
      </c>
      <c r="Z4361" t="s">
        <v>96</v>
      </c>
      <c r="AA4361" t="s">
        <v>543</v>
      </c>
      <c r="AB4361" t="s">
        <v>3390</v>
      </c>
      <c r="AC4361">
        <v>0</v>
      </c>
      <c r="AD4361">
        <v>0</v>
      </c>
      <c r="AE4361">
        <v>76</v>
      </c>
      <c r="AF4361">
        <v>8.7100000000000009</v>
      </c>
      <c r="AG4361">
        <v>-6.55</v>
      </c>
      <c r="AH4361">
        <v>-5.15</v>
      </c>
      <c r="AI4361">
        <v>-0.11</v>
      </c>
      <c r="AJ4361">
        <v>-0.09</v>
      </c>
      <c r="AK4361">
        <v>67</v>
      </c>
      <c r="AL4361">
        <v>0</v>
      </c>
      <c r="AM4361">
        <v>0</v>
      </c>
      <c r="AN4361">
        <v>4.08</v>
      </c>
      <c r="AO4361">
        <v>-0.68</v>
      </c>
      <c r="AP4361">
        <v>1</v>
      </c>
      <c r="AQ4361">
        <v>0</v>
      </c>
      <c r="AR4361">
        <v>6.86</v>
      </c>
      <c r="AS4361">
        <v>25</v>
      </c>
      <c r="AT4361">
        <v>3.01</v>
      </c>
      <c r="AU4361">
        <v>33</v>
      </c>
      <c r="AV4361">
        <v>0.67</v>
      </c>
      <c r="AW4361">
        <v>46</v>
      </c>
      <c r="AX4361">
        <v>-0.66</v>
      </c>
      <c r="AY4361">
        <v>56</v>
      </c>
      <c r="AZ4361">
        <v>7.49</v>
      </c>
      <c r="BA4361">
        <v>25</v>
      </c>
      <c r="BB4361">
        <v>5.29</v>
      </c>
      <c r="BC4361">
        <v>31</v>
      </c>
      <c r="BD4361">
        <v>0.04</v>
      </c>
      <c r="BE4361">
        <v>0.03</v>
      </c>
      <c r="BF4361">
        <v>0.02</v>
      </c>
      <c r="BG4361">
        <v>84</v>
      </c>
      <c r="BH4361">
        <v>-0.05</v>
      </c>
      <c r="BI4361">
        <v>7.81</v>
      </c>
      <c r="BJ4361">
        <v>5</v>
      </c>
      <c r="BK4361">
        <v>4</v>
      </c>
      <c r="BL4361">
        <v>0.69</v>
      </c>
      <c r="BM4361">
        <v>0.52</v>
      </c>
      <c r="BN4361">
        <v>0.28999999999999998</v>
      </c>
      <c r="BO4361">
        <v>-0.06</v>
      </c>
      <c r="BP4361">
        <v>0.76</v>
      </c>
      <c r="BQ4361">
        <v>1.98</v>
      </c>
      <c r="BR4361">
        <v>1.51</v>
      </c>
      <c r="BS4361">
        <v>-1.18</v>
      </c>
      <c r="BT4361">
        <v>-1.73</v>
      </c>
      <c r="BU4361">
        <v>1.1000000000000001</v>
      </c>
      <c r="BV4361">
        <v>0.01</v>
      </c>
      <c r="BW4361">
        <v>-0.04</v>
      </c>
      <c r="BX4361">
        <v>1.44</v>
      </c>
      <c r="BY4361">
        <v>-0.45</v>
      </c>
      <c r="BZ4361">
        <v>1.1599999999999999</v>
      </c>
      <c r="CA4361">
        <v>-0.68</v>
      </c>
      <c r="CB4361">
        <v>-0.24</v>
      </c>
      <c r="CC4361">
        <v>-1.2</v>
      </c>
      <c r="CD4361">
        <v>0.39</v>
      </c>
      <c r="CE4361">
        <v>-0.12</v>
      </c>
      <c r="CF4361">
        <v>0.9</v>
      </c>
      <c r="CG4361">
        <v>0</v>
      </c>
      <c r="CH4361">
        <v>-0.27</v>
      </c>
      <c r="CI4361">
        <v>0</v>
      </c>
      <c r="CJ4361">
        <v>3.3</v>
      </c>
      <c r="CK4361">
        <v>49</v>
      </c>
      <c r="CL4361">
        <v>-0.42</v>
      </c>
      <c r="CM4361">
        <v>45</v>
      </c>
      <c r="CN4361">
        <v>-0.23</v>
      </c>
      <c r="CO4361">
        <v>39</v>
      </c>
      <c r="CP4361">
        <v>7.7</v>
      </c>
      <c r="CQ4361">
        <v>57</v>
      </c>
      <c r="CR4361">
        <v>0</v>
      </c>
      <c r="CS4361">
        <v>0</v>
      </c>
      <c r="CT4361">
        <v>16.399999999999999</v>
      </c>
      <c r="CU4361">
        <v>49</v>
      </c>
      <c r="CV4361">
        <v>0.15</v>
      </c>
      <c r="CW4361">
        <v>12</v>
      </c>
      <c r="CX4361" t="s">
        <v>3391</v>
      </c>
    </row>
    <row r="4362" spans="1:102" x14ac:dyDescent="0.3">
      <c r="A4362" t="str">
        <f>HYPERLINK("https://webapp.icbf.com/v2/app/bull-search/view/77853643","TEM")</f>
        <v>TEM</v>
      </c>
      <c r="B4362" t="s">
        <v>11068</v>
      </c>
      <c r="C4362" t="s">
        <v>11069</v>
      </c>
      <c r="D4362" s="1">
        <v>32621</v>
      </c>
      <c r="E4362" t="s">
        <v>92</v>
      </c>
      <c r="F4362">
        <v>100</v>
      </c>
      <c r="G4362" t="s">
        <v>109</v>
      </c>
      <c r="H4362">
        <v>-116.81</v>
      </c>
      <c r="I4362">
        <v>63</v>
      </c>
      <c r="J4362">
        <v>-43.77</v>
      </c>
      <c r="K4362">
        <v>73</v>
      </c>
      <c r="L4362">
        <v>-84.44</v>
      </c>
      <c r="M4362">
        <v>75</v>
      </c>
      <c r="N4362">
        <v>23.44</v>
      </c>
      <c r="O4362">
        <v>33</v>
      </c>
      <c r="P4362">
        <v>-4.3</v>
      </c>
      <c r="Q4362">
        <v>45</v>
      </c>
      <c r="R4362">
        <v>-14.98</v>
      </c>
      <c r="S4362">
        <v>61</v>
      </c>
      <c r="T4362">
        <v>7.17</v>
      </c>
      <c r="U4362">
        <v>53</v>
      </c>
      <c r="V4362">
        <v>7.0000000000000007E-2</v>
      </c>
      <c r="W4362">
        <v>22</v>
      </c>
      <c r="X4362" t="s">
        <v>94</v>
      </c>
      <c r="Y4362" t="s">
        <v>95</v>
      </c>
      <c r="Z4362" t="s">
        <v>96</v>
      </c>
      <c r="AA4362" t="s">
        <v>825</v>
      </c>
      <c r="AB4362" t="s">
        <v>11070</v>
      </c>
      <c r="AC4362">
        <v>0</v>
      </c>
      <c r="AD4362">
        <v>0</v>
      </c>
      <c r="AE4362">
        <v>73</v>
      </c>
      <c r="AF4362">
        <v>-0.66</v>
      </c>
      <c r="AG4362">
        <v>-5.41</v>
      </c>
      <c r="AH4362">
        <v>-5.54</v>
      </c>
      <c r="AI4362">
        <v>-0.09</v>
      </c>
      <c r="AJ4362">
        <v>-0.09</v>
      </c>
      <c r="AK4362">
        <v>75</v>
      </c>
      <c r="AL4362">
        <v>0</v>
      </c>
      <c r="AM4362">
        <v>0</v>
      </c>
      <c r="AN4362">
        <v>4.92</v>
      </c>
      <c r="AO4362">
        <v>-1.81</v>
      </c>
      <c r="AP4362">
        <v>1</v>
      </c>
      <c r="AQ4362">
        <v>0</v>
      </c>
      <c r="AR4362">
        <v>5.41</v>
      </c>
      <c r="AS4362">
        <v>25</v>
      </c>
      <c r="AT4362">
        <v>2.65</v>
      </c>
      <c r="AU4362">
        <v>41</v>
      </c>
      <c r="AV4362">
        <v>-1.23</v>
      </c>
      <c r="AW4362">
        <v>31</v>
      </c>
      <c r="AX4362">
        <v>-0.43</v>
      </c>
      <c r="AY4362">
        <v>40</v>
      </c>
      <c r="AZ4362">
        <v>5.63</v>
      </c>
      <c r="BA4362">
        <v>25</v>
      </c>
      <c r="BB4362">
        <v>4.5199999999999996</v>
      </c>
      <c r="BC4362">
        <v>30</v>
      </c>
      <c r="BD4362">
        <v>0.02</v>
      </c>
      <c r="BE4362">
        <v>0.09</v>
      </c>
      <c r="BF4362">
        <v>0.14000000000000001</v>
      </c>
      <c r="BG4362">
        <v>86</v>
      </c>
      <c r="BH4362">
        <v>0.03</v>
      </c>
      <c r="BI4362">
        <v>3.25</v>
      </c>
      <c r="BJ4362">
        <v>0</v>
      </c>
      <c r="BK4362">
        <v>0</v>
      </c>
      <c r="BL4362">
        <v>1.1200000000000001</v>
      </c>
      <c r="BM4362">
        <v>-0.55000000000000004</v>
      </c>
      <c r="BN4362">
        <v>1.31</v>
      </c>
      <c r="BO4362">
        <v>0.78</v>
      </c>
      <c r="BP4362">
        <v>-1.57</v>
      </c>
      <c r="BQ4362">
        <v>-0.11</v>
      </c>
      <c r="BR4362">
        <v>-7.0000000000000007E-2</v>
      </c>
      <c r="BS4362">
        <v>-1.25</v>
      </c>
      <c r="BT4362">
        <v>0.68</v>
      </c>
      <c r="BU4362">
        <v>0.28000000000000003</v>
      </c>
      <c r="BV4362">
        <v>-1.06</v>
      </c>
      <c r="BW4362">
        <v>-0.84</v>
      </c>
      <c r="BX4362">
        <v>-0.21</v>
      </c>
      <c r="BY4362">
        <v>-7.0000000000000007E-2</v>
      </c>
      <c r="BZ4362">
        <v>1.92</v>
      </c>
      <c r="CA4362">
        <v>-0.3</v>
      </c>
      <c r="CB4362">
        <v>-0.08</v>
      </c>
      <c r="CC4362">
        <v>-0.53</v>
      </c>
      <c r="CD4362">
        <v>-0.65</v>
      </c>
      <c r="CE4362">
        <v>0.45</v>
      </c>
      <c r="CF4362">
        <v>0.4</v>
      </c>
      <c r="CG4362">
        <v>0</v>
      </c>
      <c r="CH4362">
        <v>0.18</v>
      </c>
      <c r="CI4362">
        <v>0</v>
      </c>
      <c r="CJ4362">
        <v>0.1</v>
      </c>
      <c r="CK4362">
        <v>46</v>
      </c>
      <c r="CL4362">
        <v>-0.62</v>
      </c>
      <c r="CM4362">
        <v>43</v>
      </c>
      <c r="CN4362">
        <v>-0.22</v>
      </c>
      <c r="CO4362">
        <v>36</v>
      </c>
      <c r="CP4362">
        <v>-4.0999999999999996</v>
      </c>
      <c r="CQ4362">
        <v>59</v>
      </c>
      <c r="CR4362">
        <v>0</v>
      </c>
      <c r="CS4362">
        <v>0</v>
      </c>
      <c r="CT4362">
        <v>4.0999999999999996</v>
      </c>
      <c r="CU4362">
        <v>53</v>
      </c>
      <c r="CV4362">
        <v>0.19</v>
      </c>
      <c r="CW4362">
        <v>12</v>
      </c>
      <c r="CX4362" t="s">
        <v>707</v>
      </c>
    </row>
    <row r="4363" spans="1:102" x14ac:dyDescent="0.3">
      <c r="A4363" t="str">
        <f>HYPERLINK("https://webapp.icbf.com/v2/app/bull-search/view/444504460","PYZ")</f>
        <v>PYZ</v>
      </c>
      <c r="B4363" t="s">
        <v>1279</v>
      </c>
      <c r="C4363" t="s">
        <v>1280</v>
      </c>
      <c r="D4363" s="1">
        <v>35930</v>
      </c>
      <c r="E4363" t="s">
        <v>92</v>
      </c>
      <c r="F4363">
        <v>100</v>
      </c>
      <c r="G4363" t="s">
        <v>93</v>
      </c>
      <c r="H4363">
        <v>-116.82</v>
      </c>
      <c r="I4363">
        <v>91</v>
      </c>
      <c r="J4363">
        <v>1.84</v>
      </c>
      <c r="K4363">
        <v>98</v>
      </c>
      <c r="L4363">
        <v>-92.61</v>
      </c>
      <c r="M4363">
        <v>89</v>
      </c>
      <c r="N4363">
        <v>-35.39</v>
      </c>
      <c r="O4363">
        <v>88</v>
      </c>
      <c r="P4363">
        <v>-9.9499999999999993</v>
      </c>
      <c r="Q4363">
        <v>94</v>
      </c>
      <c r="R4363">
        <v>11.32</v>
      </c>
      <c r="S4363">
        <v>82</v>
      </c>
      <c r="T4363">
        <v>10.57</v>
      </c>
      <c r="U4363">
        <v>88</v>
      </c>
      <c r="V4363">
        <v>-2.6</v>
      </c>
      <c r="W4363">
        <v>78</v>
      </c>
      <c r="X4363" t="s">
        <v>276</v>
      </c>
      <c r="Y4363" t="s">
        <v>221</v>
      </c>
      <c r="Z4363" t="s">
        <v>96</v>
      </c>
      <c r="AA4363" t="s">
        <v>1172</v>
      </c>
      <c r="AB4363" t="s">
        <v>1281</v>
      </c>
      <c r="AC4363">
        <v>136</v>
      </c>
      <c r="AD4363">
        <v>64</v>
      </c>
      <c r="AE4363">
        <v>98</v>
      </c>
      <c r="AF4363">
        <v>130.69</v>
      </c>
      <c r="AG4363">
        <v>0.97</v>
      </c>
      <c r="AH4363">
        <v>1.97</v>
      </c>
      <c r="AI4363">
        <v>-7.0000000000000007E-2</v>
      </c>
      <c r="AJ4363">
        <v>-0.04</v>
      </c>
      <c r="AK4363">
        <v>89</v>
      </c>
      <c r="AL4363">
        <v>149</v>
      </c>
      <c r="AM4363">
        <v>79</v>
      </c>
      <c r="AN4363">
        <v>4.7</v>
      </c>
      <c r="AO4363">
        <v>-2.69</v>
      </c>
      <c r="AP4363">
        <v>280</v>
      </c>
      <c r="AQ4363">
        <v>11</v>
      </c>
      <c r="AR4363">
        <v>10.38</v>
      </c>
      <c r="AS4363">
        <v>76</v>
      </c>
      <c r="AT4363">
        <v>5.2</v>
      </c>
      <c r="AU4363">
        <v>94</v>
      </c>
      <c r="AV4363">
        <v>-0.72</v>
      </c>
      <c r="AW4363">
        <v>95</v>
      </c>
      <c r="AX4363">
        <v>-0.13</v>
      </c>
      <c r="AY4363">
        <v>85</v>
      </c>
      <c r="AZ4363">
        <v>9.74</v>
      </c>
      <c r="BA4363">
        <v>71</v>
      </c>
      <c r="BB4363">
        <v>5.89</v>
      </c>
      <c r="BC4363">
        <v>68</v>
      </c>
      <c r="BD4363">
        <v>-0.02</v>
      </c>
      <c r="BE4363">
        <v>-0.03</v>
      </c>
      <c r="BF4363">
        <v>-0.17</v>
      </c>
      <c r="BG4363">
        <v>94</v>
      </c>
      <c r="BH4363">
        <v>-0.09</v>
      </c>
      <c r="BI4363">
        <v>-2.0299999999999998</v>
      </c>
      <c r="BJ4363">
        <v>38</v>
      </c>
      <c r="BK4363">
        <v>18</v>
      </c>
      <c r="BL4363">
        <v>0.15</v>
      </c>
      <c r="BM4363">
        <v>0.1</v>
      </c>
      <c r="BN4363">
        <v>0.94</v>
      </c>
      <c r="BO4363">
        <v>0.59</v>
      </c>
      <c r="BP4363">
        <v>-1.1100000000000001</v>
      </c>
      <c r="BQ4363">
        <v>-1.1399999999999999</v>
      </c>
      <c r="BR4363">
        <v>-0.97</v>
      </c>
      <c r="BS4363">
        <v>1.76</v>
      </c>
      <c r="BT4363">
        <v>1.1499999999999999</v>
      </c>
      <c r="BU4363">
        <v>1.0900000000000001</v>
      </c>
      <c r="BV4363">
        <v>1.39</v>
      </c>
      <c r="BW4363">
        <v>0.61</v>
      </c>
      <c r="BX4363">
        <v>-0.27</v>
      </c>
      <c r="BY4363">
        <v>0.65</v>
      </c>
      <c r="BZ4363">
        <v>-2.0699999999999998</v>
      </c>
      <c r="CA4363">
        <v>1.31</v>
      </c>
      <c r="CB4363">
        <v>0.96</v>
      </c>
      <c r="CC4363">
        <v>1.54</v>
      </c>
      <c r="CD4363">
        <v>-0.03</v>
      </c>
      <c r="CE4363">
        <v>0.74</v>
      </c>
      <c r="CF4363">
        <v>0.4</v>
      </c>
      <c r="CG4363">
        <v>0</v>
      </c>
      <c r="CH4363">
        <v>0.33</v>
      </c>
      <c r="CI4363">
        <v>0</v>
      </c>
      <c r="CJ4363">
        <v>-3.9</v>
      </c>
      <c r="CK4363">
        <v>95</v>
      </c>
      <c r="CL4363">
        <v>-0.84</v>
      </c>
      <c r="CM4363">
        <v>94</v>
      </c>
      <c r="CN4363">
        <v>-0.44</v>
      </c>
      <c r="CO4363">
        <v>93</v>
      </c>
      <c r="CP4363">
        <v>-7</v>
      </c>
      <c r="CQ4363">
        <v>91</v>
      </c>
      <c r="CR4363">
        <v>0</v>
      </c>
      <c r="CS4363">
        <v>0</v>
      </c>
      <c r="CT4363">
        <v>-0.5</v>
      </c>
      <c r="CU4363">
        <v>88</v>
      </c>
      <c r="CV4363">
        <v>0.1</v>
      </c>
      <c r="CW4363">
        <v>45</v>
      </c>
      <c r="CX4363" t="s">
        <v>949</v>
      </c>
    </row>
    <row r="4364" spans="1:102" x14ac:dyDescent="0.3">
      <c r="A4364" t="str">
        <f>HYPERLINK("https://webapp.icbf.com/v2/app/bull-search/view/77858575","CRU")</f>
        <v>CRU</v>
      </c>
      <c r="B4364" t="s">
        <v>11426</v>
      </c>
      <c r="C4364" t="s">
        <v>11427</v>
      </c>
      <c r="D4364" s="1">
        <v>34597</v>
      </c>
      <c r="E4364" t="s">
        <v>92</v>
      </c>
      <c r="F4364">
        <v>100</v>
      </c>
      <c r="G4364" t="s">
        <v>93</v>
      </c>
      <c r="H4364">
        <v>-116.99</v>
      </c>
      <c r="I4364">
        <v>81</v>
      </c>
      <c r="J4364">
        <v>1.22</v>
      </c>
      <c r="K4364">
        <v>96</v>
      </c>
      <c r="L4364">
        <v>-118.98</v>
      </c>
      <c r="M4364">
        <v>73</v>
      </c>
      <c r="N4364">
        <v>3.4</v>
      </c>
      <c r="O4364">
        <v>71</v>
      </c>
      <c r="P4364">
        <v>-3.95</v>
      </c>
      <c r="Q4364">
        <v>86</v>
      </c>
      <c r="R4364">
        <v>-11.15</v>
      </c>
      <c r="S4364">
        <v>73</v>
      </c>
      <c r="T4364">
        <v>13.31</v>
      </c>
      <c r="U4364">
        <v>85</v>
      </c>
      <c r="V4364">
        <v>-0.84</v>
      </c>
      <c r="W4364">
        <v>44</v>
      </c>
      <c r="X4364" t="s">
        <v>94</v>
      </c>
      <c r="Y4364" t="s">
        <v>95</v>
      </c>
      <c r="Z4364" t="s">
        <v>96</v>
      </c>
      <c r="AA4364" t="s">
        <v>743</v>
      </c>
      <c r="AB4364" t="s">
        <v>11428</v>
      </c>
      <c r="AC4364">
        <v>115</v>
      </c>
      <c r="AD4364">
        <v>96</v>
      </c>
      <c r="AE4364">
        <v>96</v>
      </c>
      <c r="AF4364">
        <v>156.35</v>
      </c>
      <c r="AG4364">
        <v>7.69</v>
      </c>
      <c r="AH4364">
        <v>-0.12</v>
      </c>
      <c r="AI4364">
        <v>0.03</v>
      </c>
      <c r="AJ4364">
        <v>-0.09</v>
      </c>
      <c r="AK4364">
        <v>73</v>
      </c>
      <c r="AL4364">
        <v>155</v>
      </c>
      <c r="AM4364">
        <v>112</v>
      </c>
      <c r="AN4364">
        <v>7.94</v>
      </c>
      <c r="AO4364">
        <v>-1.53</v>
      </c>
      <c r="AP4364">
        <v>10</v>
      </c>
      <c r="AQ4364">
        <v>0</v>
      </c>
      <c r="AR4364">
        <v>8.17</v>
      </c>
      <c r="AS4364">
        <v>41</v>
      </c>
      <c r="AT4364">
        <v>3.42</v>
      </c>
      <c r="AU4364">
        <v>68</v>
      </c>
      <c r="AV4364">
        <v>-0.44</v>
      </c>
      <c r="AW4364">
        <v>80</v>
      </c>
      <c r="AX4364">
        <v>0.14000000000000001</v>
      </c>
      <c r="AY4364">
        <v>84</v>
      </c>
      <c r="AZ4364">
        <v>5.37</v>
      </c>
      <c r="BA4364">
        <v>44</v>
      </c>
      <c r="BB4364">
        <v>4.37</v>
      </c>
      <c r="BC4364">
        <v>64</v>
      </c>
      <c r="BD4364">
        <v>0.05</v>
      </c>
      <c r="BE4364">
        <v>7.0000000000000007E-2</v>
      </c>
      <c r="BF4364">
        <v>0.04</v>
      </c>
      <c r="BG4364">
        <v>89</v>
      </c>
      <c r="BH4364">
        <v>0</v>
      </c>
      <c r="BI4364">
        <v>2.72</v>
      </c>
      <c r="BJ4364">
        <v>31</v>
      </c>
      <c r="BK4364">
        <v>24</v>
      </c>
      <c r="BL4364">
        <v>0.43</v>
      </c>
      <c r="BM4364">
        <v>1.02</v>
      </c>
      <c r="BN4364">
        <v>0.91</v>
      </c>
      <c r="BO4364">
        <v>0.12</v>
      </c>
      <c r="BP4364">
        <v>0.19</v>
      </c>
      <c r="BQ4364">
        <v>1.1299999999999999</v>
      </c>
      <c r="BR4364">
        <v>-0.98</v>
      </c>
      <c r="BS4364">
        <v>1.01</v>
      </c>
      <c r="BT4364">
        <v>0.85</v>
      </c>
      <c r="BU4364">
        <v>-0.73</v>
      </c>
      <c r="BV4364">
        <v>-0.68</v>
      </c>
      <c r="BW4364">
        <v>-0.66</v>
      </c>
      <c r="BX4364">
        <v>-1.4</v>
      </c>
      <c r="BY4364">
        <v>-0.66</v>
      </c>
      <c r="BZ4364">
        <v>2.85</v>
      </c>
      <c r="CA4364">
        <v>-0.02</v>
      </c>
      <c r="CB4364">
        <v>-0.59</v>
      </c>
      <c r="CC4364">
        <v>1.24</v>
      </c>
      <c r="CD4364">
        <v>0.25</v>
      </c>
      <c r="CE4364">
        <v>0.01</v>
      </c>
      <c r="CF4364">
        <v>1</v>
      </c>
      <c r="CG4364">
        <v>0</v>
      </c>
      <c r="CH4364">
        <v>-0.68</v>
      </c>
      <c r="CI4364">
        <v>0</v>
      </c>
      <c r="CJ4364">
        <v>-1.2</v>
      </c>
      <c r="CK4364">
        <v>87</v>
      </c>
      <c r="CL4364">
        <v>-0.45</v>
      </c>
      <c r="CM4364">
        <v>84</v>
      </c>
      <c r="CN4364">
        <v>-0.24</v>
      </c>
      <c r="CO4364">
        <v>82</v>
      </c>
      <c r="CP4364">
        <v>-3.1</v>
      </c>
      <c r="CQ4364">
        <v>90</v>
      </c>
      <c r="CR4364">
        <v>0</v>
      </c>
      <c r="CS4364">
        <v>0</v>
      </c>
      <c r="CT4364">
        <v>-4.2</v>
      </c>
      <c r="CU4364">
        <v>85</v>
      </c>
      <c r="CV4364">
        <v>0.08</v>
      </c>
      <c r="CW4364">
        <v>25</v>
      </c>
      <c r="CX4364" t="s">
        <v>118</v>
      </c>
    </row>
    <row r="4365" spans="1:102" x14ac:dyDescent="0.3">
      <c r="A4365" t="str">
        <f>HYPERLINK("https://webapp.icbf.com/v2/app/bull-search/view/444466299","S674")</f>
        <v>S674</v>
      </c>
      <c r="B4365" t="s">
        <v>12227</v>
      </c>
      <c r="C4365" t="s">
        <v>12228</v>
      </c>
      <c r="D4365" s="1">
        <v>36220</v>
      </c>
      <c r="E4365" t="s">
        <v>92</v>
      </c>
      <c r="F4365">
        <v>100</v>
      </c>
      <c r="G4365" t="s">
        <v>93</v>
      </c>
      <c r="H4365">
        <v>-117.03</v>
      </c>
      <c r="I4365">
        <v>87</v>
      </c>
      <c r="J4365">
        <v>13.52</v>
      </c>
      <c r="K4365">
        <v>97</v>
      </c>
      <c r="L4365">
        <v>-66.180000000000007</v>
      </c>
      <c r="M4365">
        <v>85</v>
      </c>
      <c r="N4365">
        <v>-50.6</v>
      </c>
      <c r="O4365">
        <v>84</v>
      </c>
      <c r="P4365">
        <v>-15.35</v>
      </c>
      <c r="Q4365">
        <v>88</v>
      </c>
      <c r="R4365">
        <v>5.92</v>
      </c>
      <c r="S4365">
        <v>75</v>
      </c>
      <c r="T4365">
        <v>5.32</v>
      </c>
      <c r="U4365">
        <v>79</v>
      </c>
      <c r="V4365">
        <v>-9.66</v>
      </c>
      <c r="W4365">
        <v>55</v>
      </c>
      <c r="X4365" t="s">
        <v>102</v>
      </c>
      <c r="Y4365" t="s">
        <v>1122</v>
      </c>
      <c r="Z4365" t="s">
        <v>96</v>
      </c>
      <c r="AA4365" t="s">
        <v>12229</v>
      </c>
      <c r="AB4365" t="s">
        <v>12230</v>
      </c>
      <c r="AC4365">
        <v>114</v>
      </c>
      <c r="AD4365">
        <v>46</v>
      </c>
      <c r="AE4365">
        <v>97</v>
      </c>
      <c r="AF4365">
        <v>-8.64</v>
      </c>
      <c r="AG4365">
        <v>11.64</v>
      </c>
      <c r="AH4365">
        <v>-1.95</v>
      </c>
      <c r="AI4365">
        <v>0.21</v>
      </c>
      <c r="AJ4365">
        <v>-0.03</v>
      </c>
      <c r="AK4365">
        <v>85</v>
      </c>
      <c r="AL4365">
        <v>0</v>
      </c>
      <c r="AM4365">
        <v>0</v>
      </c>
      <c r="AN4365">
        <v>3.44</v>
      </c>
      <c r="AO4365">
        <v>-1.84</v>
      </c>
      <c r="AP4365">
        <v>190</v>
      </c>
      <c r="AQ4365">
        <v>0</v>
      </c>
      <c r="AR4365">
        <v>13.15</v>
      </c>
      <c r="AS4365">
        <v>71</v>
      </c>
      <c r="AT4365">
        <v>5.53</v>
      </c>
      <c r="AU4365">
        <v>94</v>
      </c>
      <c r="AV4365">
        <v>-0.57999999999999996</v>
      </c>
      <c r="AW4365">
        <v>92</v>
      </c>
      <c r="AX4365">
        <v>0.56000000000000005</v>
      </c>
      <c r="AY4365">
        <v>80</v>
      </c>
      <c r="AZ4365">
        <v>8.3800000000000008</v>
      </c>
      <c r="BA4365">
        <v>62</v>
      </c>
      <c r="BB4365">
        <v>5.78</v>
      </c>
      <c r="BC4365">
        <v>53</v>
      </c>
      <c r="BD4365">
        <v>-0.03</v>
      </c>
      <c r="BE4365">
        <v>-0.04</v>
      </c>
      <c r="BF4365">
        <v>-0.01</v>
      </c>
      <c r="BG4365">
        <v>92</v>
      </c>
      <c r="BH4365">
        <v>-0.18</v>
      </c>
      <c r="BI4365">
        <v>10.34</v>
      </c>
      <c r="BJ4365">
        <v>65</v>
      </c>
      <c r="BK4365">
        <v>38</v>
      </c>
      <c r="BL4365">
        <v>1.33</v>
      </c>
      <c r="BM4365">
        <v>0.85</v>
      </c>
      <c r="BN4365">
        <v>2.59</v>
      </c>
      <c r="BO4365">
        <v>1.64</v>
      </c>
      <c r="BP4365">
        <v>0.17</v>
      </c>
      <c r="BQ4365">
        <v>0.09</v>
      </c>
      <c r="BR4365">
        <v>0.34</v>
      </c>
      <c r="BS4365">
        <v>1.07</v>
      </c>
      <c r="BT4365">
        <v>0.45</v>
      </c>
      <c r="BU4365">
        <v>1.53</v>
      </c>
      <c r="BV4365">
        <v>1.1100000000000001</v>
      </c>
      <c r="BW4365">
        <v>1.05</v>
      </c>
      <c r="BX4365">
        <v>1.71</v>
      </c>
      <c r="BY4365">
        <v>1.39</v>
      </c>
      <c r="BZ4365">
        <v>-1</v>
      </c>
      <c r="CA4365">
        <v>1.29</v>
      </c>
      <c r="CB4365">
        <v>0.91</v>
      </c>
      <c r="CC4365">
        <v>1.61</v>
      </c>
      <c r="CD4365">
        <v>-0.51</v>
      </c>
      <c r="CE4365">
        <v>1.21</v>
      </c>
      <c r="CF4365">
        <v>2.38</v>
      </c>
      <c r="CG4365">
        <v>0</v>
      </c>
      <c r="CH4365">
        <v>1.31</v>
      </c>
      <c r="CI4365">
        <v>0</v>
      </c>
      <c r="CJ4365">
        <v>-6.2</v>
      </c>
      <c r="CK4365">
        <v>89</v>
      </c>
      <c r="CL4365">
        <v>-1.08</v>
      </c>
      <c r="CM4365">
        <v>87</v>
      </c>
      <c r="CN4365">
        <v>-0.42</v>
      </c>
      <c r="CO4365">
        <v>86</v>
      </c>
      <c r="CP4365">
        <v>-3.8</v>
      </c>
      <c r="CQ4365">
        <v>84</v>
      </c>
      <c r="CR4365">
        <v>0</v>
      </c>
      <c r="CS4365">
        <v>0</v>
      </c>
      <c r="CT4365">
        <v>6.6</v>
      </c>
      <c r="CU4365">
        <v>79</v>
      </c>
      <c r="CV4365">
        <v>0.12</v>
      </c>
      <c r="CW4365">
        <v>43</v>
      </c>
      <c r="CX4365" t="s">
        <v>4570</v>
      </c>
    </row>
    <row r="4366" spans="1:102" x14ac:dyDescent="0.3">
      <c r="A4366" t="str">
        <f>HYPERLINK("https://webapp.icbf.com/v2/app/bull-search/view/399834530","S777")</f>
        <v>S777</v>
      </c>
      <c r="B4366" t="s">
        <v>5118</v>
      </c>
      <c r="C4366" t="s">
        <v>5119</v>
      </c>
      <c r="D4366" s="1">
        <v>38423</v>
      </c>
      <c r="E4366" t="s">
        <v>92</v>
      </c>
      <c r="F4366">
        <v>100</v>
      </c>
      <c r="G4366" t="s">
        <v>93</v>
      </c>
      <c r="H4366">
        <v>-117.14</v>
      </c>
      <c r="I4366">
        <v>65</v>
      </c>
      <c r="J4366">
        <v>14.41</v>
      </c>
      <c r="K4366">
        <v>86</v>
      </c>
      <c r="L4366">
        <v>-143.94999999999999</v>
      </c>
      <c r="M4366">
        <v>46</v>
      </c>
      <c r="N4366">
        <v>14.51</v>
      </c>
      <c r="O4366">
        <v>65</v>
      </c>
      <c r="P4366">
        <v>-14.56</v>
      </c>
      <c r="Q4366">
        <v>70</v>
      </c>
      <c r="R4366">
        <v>-4.8</v>
      </c>
      <c r="S4366">
        <v>53</v>
      </c>
      <c r="T4366">
        <v>7.76</v>
      </c>
      <c r="U4366">
        <v>66</v>
      </c>
      <c r="V4366">
        <v>9.49</v>
      </c>
      <c r="W4366">
        <v>49</v>
      </c>
      <c r="X4366" t="s">
        <v>5120</v>
      </c>
      <c r="Y4366" t="s">
        <v>1494</v>
      </c>
      <c r="Z4366" t="s">
        <v>96</v>
      </c>
      <c r="AA4366" t="s">
        <v>1752</v>
      </c>
      <c r="AB4366" t="s">
        <v>5121</v>
      </c>
      <c r="AC4366">
        <v>29</v>
      </c>
      <c r="AD4366">
        <v>12</v>
      </c>
      <c r="AE4366">
        <v>86</v>
      </c>
      <c r="AF4366">
        <v>291.02999999999997</v>
      </c>
      <c r="AG4366">
        <v>6.6</v>
      </c>
      <c r="AH4366">
        <v>4.57</v>
      </c>
      <c r="AI4366">
        <v>-0.08</v>
      </c>
      <c r="AJ4366">
        <v>-0.09</v>
      </c>
      <c r="AK4366">
        <v>46</v>
      </c>
      <c r="AL4366">
        <v>21</v>
      </c>
      <c r="AM4366">
        <v>12</v>
      </c>
      <c r="AN4366">
        <v>9.41</v>
      </c>
      <c r="AO4366">
        <v>-2.0499999999999998</v>
      </c>
      <c r="AP4366">
        <v>94</v>
      </c>
      <c r="AQ4366">
        <v>0</v>
      </c>
      <c r="AR4366">
        <v>5.93</v>
      </c>
      <c r="AS4366">
        <v>52</v>
      </c>
      <c r="AT4366">
        <v>3.09</v>
      </c>
      <c r="AU4366">
        <v>67</v>
      </c>
      <c r="AV4366">
        <v>-1.03</v>
      </c>
      <c r="AW4366">
        <v>79</v>
      </c>
      <c r="AX4366">
        <v>-0.71</v>
      </c>
      <c r="AY4366">
        <v>62</v>
      </c>
      <c r="AZ4366">
        <v>5.93</v>
      </c>
      <c r="BA4366">
        <v>38</v>
      </c>
      <c r="BB4366">
        <v>5.16</v>
      </c>
      <c r="BC4366">
        <v>34</v>
      </c>
      <c r="BD4366">
        <v>0.02</v>
      </c>
      <c r="BE4366">
        <v>0.03</v>
      </c>
      <c r="BF4366">
        <v>0.02</v>
      </c>
      <c r="BG4366">
        <v>62</v>
      </c>
      <c r="BH4366">
        <v>0.1</v>
      </c>
      <c r="BI4366">
        <v>-19.059999999999999</v>
      </c>
      <c r="BJ4366">
        <v>16</v>
      </c>
      <c r="BK4366">
        <v>9</v>
      </c>
      <c r="BL4366">
        <v>0.88</v>
      </c>
      <c r="BM4366">
        <v>0.41</v>
      </c>
      <c r="BN4366">
        <v>1.27</v>
      </c>
      <c r="BO4366">
        <v>0.77</v>
      </c>
      <c r="BP4366">
        <v>0.19</v>
      </c>
      <c r="BQ4366">
        <v>1.83</v>
      </c>
      <c r="BR4366">
        <v>0.59</v>
      </c>
      <c r="BS4366">
        <v>-0.13</v>
      </c>
      <c r="BT4366">
        <v>-0.95</v>
      </c>
      <c r="BU4366">
        <v>2.3199999999999998</v>
      </c>
      <c r="BV4366">
        <v>1.76</v>
      </c>
      <c r="BW4366">
        <v>1.41</v>
      </c>
      <c r="BX4366">
        <v>1.52</v>
      </c>
      <c r="BY4366">
        <v>0.96</v>
      </c>
      <c r="BZ4366">
        <v>-0.19</v>
      </c>
      <c r="CA4366">
        <v>1.51</v>
      </c>
      <c r="CB4366">
        <v>1.91</v>
      </c>
      <c r="CC4366">
        <v>0.22</v>
      </c>
      <c r="CD4366">
        <v>-0.47</v>
      </c>
      <c r="CE4366">
        <v>0.98</v>
      </c>
      <c r="CF4366">
        <v>1.44</v>
      </c>
      <c r="CG4366">
        <v>0</v>
      </c>
      <c r="CH4366">
        <v>1.52</v>
      </c>
      <c r="CI4366">
        <v>0</v>
      </c>
      <c r="CJ4366">
        <v>-4.2</v>
      </c>
      <c r="CK4366">
        <v>72</v>
      </c>
      <c r="CL4366">
        <v>-1.1499999999999999</v>
      </c>
      <c r="CM4366">
        <v>67</v>
      </c>
      <c r="CN4366">
        <v>-0.32</v>
      </c>
      <c r="CO4366">
        <v>63</v>
      </c>
      <c r="CP4366">
        <v>-4.3</v>
      </c>
      <c r="CQ4366">
        <v>71</v>
      </c>
      <c r="CR4366">
        <v>0</v>
      </c>
      <c r="CS4366">
        <v>0</v>
      </c>
      <c r="CT4366">
        <v>3.3</v>
      </c>
      <c r="CU4366">
        <v>66</v>
      </c>
      <c r="CV4366">
        <v>0.28000000000000003</v>
      </c>
      <c r="CW4366">
        <v>19</v>
      </c>
      <c r="CX4366" t="s">
        <v>1218</v>
      </c>
    </row>
    <row r="4367" spans="1:102" x14ac:dyDescent="0.3">
      <c r="A4367" t="str">
        <f>HYPERLINK("https://webapp.icbf.com/v2/app/bull-search/view/77857912","FKS")</f>
        <v>FKS</v>
      </c>
      <c r="B4367" t="s">
        <v>8642</v>
      </c>
      <c r="C4367" t="s">
        <v>8643</v>
      </c>
      <c r="D4367" s="1">
        <v>34684</v>
      </c>
      <c r="E4367" t="s">
        <v>92</v>
      </c>
      <c r="F4367">
        <v>100</v>
      </c>
      <c r="G4367" t="s">
        <v>93</v>
      </c>
      <c r="H4367">
        <v>-117.22</v>
      </c>
      <c r="I4367">
        <v>78</v>
      </c>
      <c r="J4367">
        <v>45.4</v>
      </c>
      <c r="K4367">
        <v>94</v>
      </c>
      <c r="L4367">
        <v>-121.8</v>
      </c>
      <c r="M4367">
        <v>74</v>
      </c>
      <c r="N4367">
        <v>-14.17</v>
      </c>
      <c r="O4367">
        <v>62</v>
      </c>
      <c r="P4367">
        <v>-11.66</v>
      </c>
      <c r="Q4367">
        <v>69</v>
      </c>
      <c r="R4367">
        <v>-24.47</v>
      </c>
      <c r="S4367">
        <v>73</v>
      </c>
      <c r="T4367">
        <v>11.01</v>
      </c>
      <c r="U4367">
        <v>68</v>
      </c>
      <c r="V4367">
        <v>-1.53</v>
      </c>
      <c r="W4367">
        <v>61</v>
      </c>
      <c r="X4367" t="s">
        <v>94</v>
      </c>
      <c r="Y4367" t="s">
        <v>95</v>
      </c>
      <c r="Z4367" t="s">
        <v>96</v>
      </c>
      <c r="AA4367" t="s">
        <v>265</v>
      </c>
      <c r="AB4367" t="s">
        <v>8644</v>
      </c>
      <c r="AC4367">
        <v>38</v>
      </c>
      <c r="AD4367">
        <v>33</v>
      </c>
      <c r="AE4367">
        <v>94</v>
      </c>
      <c r="AF4367">
        <v>150.13999999999999</v>
      </c>
      <c r="AG4367">
        <v>8.59</v>
      </c>
      <c r="AH4367">
        <v>6.98</v>
      </c>
      <c r="AI4367">
        <v>0.05</v>
      </c>
      <c r="AJ4367">
        <v>0.03</v>
      </c>
      <c r="AK4367">
        <v>74</v>
      </c>
      <c r="AL4367">
        <v>42</v>
      </c>
      <c r="AM4367">
        <v>37</v>
      </c>
      <c r="AN4367">
        <v>6.9</v>
      </c>
      <c r="AO4367">
        <v>-2.81</v>
      </c>
      <c r="AP4367">
        <v>1</v>
      </c>
      <c r="AQ4367">
        <v>0</v>
      </c>
      <c r="AR4367">
        <v>8.81</v>
      </c>
      <c r="AS4367">
        <v>53</v>
      </c>
      <c r="AT4367">
        <v>3.9</v>
      </c>
      <c r="AU4367">
        <v>70</v>
      </c>
      <c r="AV4367">
        <v>-0.66</v>
      </c>
      <c r="AW4367">
        <v>62</v>
      </c>
      <c r="AX4367">
        <v>-0.44</v>
      </c>
      <c r="AY4367">
        <v>69</v>
      </c>
      <c r="AZ4367">
        <v>7.88</v>
      </c>
      <c r="BA4367">
        <v>45</v>
      </c>
      <c r="BB4367">
        <v>6.33</v>
      </c>
      <c r="BC4367">
        <v>54</v>
      </c>
      <c r="BD4367">
        <v>0.04</v>
      </c>
      <c r="BE4367">
        <v>0.14000000000000001</v>
      </c>
      <c r="BF4367">
        <v>0.23</v>
      </c>
      <c r="BG4367">
        <v>84</v>
      </c>
      <c r="BH4367">
        <v>0.13</v>
      </c>
      <c r="BI4367">
        <v>19.97</v>
      </c>
      <c r="BJ4367">
        <v>18</v>
      </c>
      <c r="BK4367">
        <v>15</v>
      </c>
      <c r="BL4367">
        <v>-0.61</v>
      </c>
      <c r="BM4367">
        <v>-2.86</v>
      </c>
      <c r="BN4367">
        <v>-1.03</v>
      </c>
      <c r="BO4367">
        <v>0.72</v>
      </c>
      <c r="BP4367">
        <v>0.97</v>
      </c>
      <c r="BQ4367">
        <v>-3.08</v>
      </c>
      <c r="BR4367">
        <v>0.56999999999999995</v>
      </c>
      <c r="BS4367">
        <v>0.08</v>
      </c>
      <c r="BT4367">
        <v>-0.77</v>
      </c>
      <c r="BU4367">
        <v>-0.91</v>
      </c>
      <c r="BV4367">
        <v>1.2</v>
      </c>
      <c r="BW4367">
        <v>0.18</v>
      </c>
      <c r="BX4367">
        <v>-2.36</v>
      </c>
      <c r="BY4367">
        <v>-1.39</v>
      </c>
      <c r="BZ4367">
        <v>4.1399999999999997</v>
      </c>
      <c r="CA4367">
        <v>-0.66</v>
      </c>
      <c r="CB4367">
        <v>-0.39</v>
      </c>
      <c r="CC4367">
        <v>-0.99</v>
      </c>
      <c r="CD4367">
        <v>-2.13</v>
      </c>
      <c r="CE4367">
        <v>0.53</v>
      </c>
      <c r="CF4367">
        <v>-0.78</v>
      </c>
      <c r="CG4367">
        <v>0</v>
      </c>
      <c r="CH4367">
        <v>-1.53</v>
      </c>
      <c r="CI4367">
        <v>0</v>
      </c>
      <c r="CJ4367">
        <v>-6</v>
      </c>
      <c r="CK4367">
        <v>70</v>
      </c>
      <c r="CL4367">
        <v>-0.37</v>
      </c>
      <c r="CM4367">
        <v>67</v>
      </c>
      <c r="CN4367">
        <v>-0.13</v>
      </c>
      <c r="CO4367">
        <v>63</v>
      </c>
      <c r="CP4367">
        <v>-7.2</v>
      </c>
      <c r="CQ4367">
        <v>77</v>
      </c>
      <c r="CR4367">
        <v>0</v>
      </c>
      <c r="CS4367">
        <v>0</v>
      </c>
      <c r="CT4367">
        <v>-1.1000000000000001</v>
      </c>
      <c r="CU4367">
        <v>68</v>
      </c>
      <c r="CV4367">
        <v>-0.08</v>
      </c>
      <c r="CW4367">
        <v>39</v>
      </c>
      <c r="CX4367" t="s">
        <v>3905</v>
      </c>
    </row>
    <row r="4368" spans="1:102" x14ac:dyDescent="0.3">
      <c r="A4368" t="str">
        <f>HYPERLINK("https://webapp.icbf.com/v2/app/bull-search/view/77857777","EZH")</f>
        <v>EZH</v>
      </c>
      <c r="B4368" t="s">
        <v>164</v>
      </c>
      <c r="C4368" t="s">
        <v>165</v>
      </c>
      <c r="D4368" s="1">
        <v>32338</v>
      </c>
      <c r="E4368" t="s">
        <v>92</v>
      </c>
      <c r="F4368">
        <v>100</v>
      </c>
      <c r="G4368" t="s">
        <v>93</v>
      </c>
      <c r="H4368">
        <v>-117.27</v>
      </c>
      <c r="I4368">
        <v>92</v>
      </c>
      <c r="J4368">
        <v>-2.5299999999999998</v>
      </c>
      <c r="K4368">
        <v>98</v>
      </c>
      <c r="L4368">
        <v>-83.14</v>
      </c>
      <c r="M4368">
        <v>92</v>
      </c>
      <c r="N4368">
        <v>-24.76</v>
      </c>
      <c r="O4368">
        <v>83</v>
      </c>
      <c r="P4368">
        <v>-11.02</v>
      </c>
      <c r="Q4368">
        <v>91</v>
      </c>
      <c r="R4368">
        <v>-8.1</v>
      </c>
      <c r="S4368">
        <v>84</v>
      </c>
      <c r="T4368">
        <v>14.12</v>
      </c>
      <c r="U4368">
        <v>88</v>
      </c>
      <c r="V4368">
        <v>-1.84</v>
      </c>
      <c r="W4368">
        <v>71</v>
      </c>
      <c r="X4368" t="s">
        <v>94</v>
      </c>
      <c r="Y4368" t="s">
        <v>95</v>
      </c>
      <c r="Z4368" t="s">
        <v>96</v>
      </c>
      <c r="AA4368" t="s">
        <v>166</v>
      </c>
      <c r="AB4368" t="s">
        <v>167</v>
      </c>
      <c r="AC4368">
        <v>221</v>
      </c>
      <c r="AD4368">
        <v>159</v>
      </c>
      <c r="AE4368">
        <v>98</v>
      </c>
      <c r="AF4368">
        <v>159.49</v>
      </c>
      <c r="AG4368">
        <v>2.66</v>
      </c>
      <c r="AH4368">
        <v>1.07</v>
      </c>
      <c r="AI4368">
        <v>-0.06</v>
      </c>
      <c r="AJ4368">
        <v>-7.0000000000000007E-2</v>
      </c>
      <c r="AK4368">
        <v>92</v>
      </c>
      <c r="AL4368">
        <v>337</v>
      </c>
      <c r="AM4368">
        <v>204</v>
      </c>
      <c r="AN4368">
        <v>4.58</v>
      </c>
      <c r="AO4368">
        <v>-2.0499999999999998</v>
      </c>
      <c r="AP4368">
        <v>2</v>
      </c>
      <c r="AQ4368">
        <v>1</v>
      </c>
      <c r="AR4368">
        <v>10.79</v>
      </c>
      <c r="AS4368">
        <v>65</v>
      </c>
      <c r="AT4368">
        <v>5.23</v>
      </c>
      <c r="AU4368">
        <v>90</v>
      </c>
      <c r="AV4368">
        <v>-0.9</v>
      </c>
      <c r="AW4368">
        <v>85</v>
      </c>
      <c r="AX4368">
        <v>-0.05</v>
      </c>
      <c r="AY4368">
        <v>89</v>
      </c>
      <c r="AZ4368">
        <v>6.56</v>
      </c>
      <c r="BA4368">
        <v>61</v>
      </c>
      <c r="BB4368">
        <v>4.7699999999999996</v>
      </c>
      <c r="BC4368">
        <v>79</v>
      </c>
      <c r="BD4368">
        <v>0.02</v>
      </c>
      <c r="BE4368">
        <v>7.0000000000000007E-2</v>
      </c>
      <c r="BF4368">
        <v>0.02</v>
      </c>
      <c r="BG4368">
        <v>96</v>
      </c>
      <c r="BH4368">
        <v>0.01</v>
      </c>
      <c r="BI4368">
        <v>7.08</v>
      </c>
      <c r="BJ4368">
        <v>24</v>
      </c>
      <c r="BK4368">
        <v>22</v>
      </c>
      <c r="BL4368">
        <v>-0.05</v>
      </c>
      <c r="BM4368">
        <v>-0.91</v>
      </c>
      <c r="BN4368">
        <v>0.25</v>
      </c>
      <c r="BO4368">
        <v>0.61</v>
      </c>
      <c r="BP4368">
        <v>1.85</v>
      </c>
      <c r="BQ4368">
        <v>-2.35</v>
      </c>
      <c r="BR4368">
        <v>-0.6</v>
      </c>
      <c r="BS4368">
        <v>0.6</v>
      </c>
      <c r="BT4368">
        <v>1.29</v>
      </c>
      <c r="BU4368">
        <v>-2.0299999999999998</v>
      </c>
      <c r="BV4368">
        <v>-1.1499999999999999</v>
      </c>
      <c r="BW4368">
        <v>-1.35</v>
      </c>
      <c r="BX4368">
        <v>-2.58</v>
      </c>
      <c r="BY4368">
        <v>-2.42</v>
      </c>
      <c r="BZ4368">
        <v>0.4</v>
      </c>
      <c r="CA4368">
        <v>-1.03</v>
      </c>
      <c r="CB4368">
        <v>-1.34</v>
      </c>
      <c r="CC4368">
        <v>0.48</v>
      </c>
      <c r="CD4368">
        <v>-0.89</v>
      </c>
      <c r="CE4368">
        <v>0.26</v>
      </c>
      <c r="CF4368">
        <v>-0.81</v>
      </c>
      <c r="CG4368">
        <v>0</v>
      </c>
      <c r="CH4368">
        <v>-2.34</v>
      </c>
      <c r="CI4368">
        <v>0</v>
      </c>
      <c r="CJ4368">
        <v>-3.3</v>
      </c>
      <c r="CK4368">
        <v>91</v>
      </c>
      <c r="CL4368">
        <v>-0.57999999999999996</v>
      </c>
      <c r="CM4368">
        <v>90</v>
      </c>
      <c r="CN4368">
        <v>-0.06</v>
      </c>
      <c r="CO4368">
        <v>89</v>
      </c>
      <c r="CP4368">
        <v>-7.9</v>
      </c>
      <c r="CQ4368">
        <v>94</v>
      </c>
      <c r="CR4368">
        <v>0</v>
      </c>
      <c r="CS4368">
        <v>0</v>
      </c>
      <c r="CT4368">
        <v>-5.3</v>
      </c>
      <c r="CU4368">
        <v>88</v>
      </c>
      <c r="CV4368">
        <v>0.02</v>
      </c>
      <c r="CW4368">
        <v>44</v>
      </c>
      <c r="CX4368" t="s">
        <v>168</v>
      </c>
    </row>
    <row r="4369" spans="1:102" x14ac:dyDescent="0.3">
      <c r="A4369" t="str">
        <f>HYPERLINK("https://webapp.icbf.com/v2/app/bull-search/view/678697083","S1314")</f>
        <v>S1314</v>
      </c>
      <c r="B4369" t="s">
        <v>13045</v>
      </c>
      <c r="C4369" t="s">
        <v>13046</v>
      </c>
      <c r="D4369" s="1">
        <v>39186</v>
      </c>
      <c r="E4369" t="s">
        <v>92</v>
      </c>
      <c r="F4369">
        <v>100</v>
      </c>
      <c r="G4369" t="s">
        <v>109</v>
      </c>
      <c r="H4369">
        <v>-117.59</v>
      </c>
      <c r="I4369">
        <v>82</v>
      </c>
      <c r="J4369">
        <v>61.51</v>
      </c>
      <c r="K4369">
        <v>95</v>
      </c>
      <c r="L4369">
        <v>-166.4</v>
      </c>
      <c r="M4369">
        <v>88</v>
      </c>
      <c r="N4369">
        <v>-12.86</v>
      </c>
      <c r="O4369">
        <v>65</v>
      </c>
      <c r="P4369">
        <v>-4.1900000000000004</v>
      </c>
      <c r="Q4369">
        <v>57</v>
      </c>
      <c r="R4369">
        <v>-3.05</v>
      </c>
      <c r="S4369">
        <v>78</v>
      </c>
      <c r="T4369">
        <v>4.87</v>
      </c>
      <c r="U4369">
        <v>57</v>
      </c>
      <c r="V4369">
        <v>2.5299999999999998</v>
      </c>
      <c r="W4369">
        <v>63</v>
      </c>
      <c r="X4369" t="s">
        <v>94</v>
      </c>
      <c r="Y4369" t="s">
        <v>342</v>
      </c>
      <c r="Z4369" t="s">
        <v>96</v>
      </c>
      <c r="AA4369" t="s">
        <v>4548</v>
      </c>
      <c r="AB4369" t="s">
        <v>2475</v>
      </c>
      <c r="AC4369">
        <v>0</v>
      </c>
      <c r="AD4369">
        <v>0</v>
      </c>
      <c r="AE4369">
        <v>95</v>
      </c>
      <c r="AF4369">
        <v>416.35</v>
      </c>
      <c r="AG4369">
        <v>18.3</v>
      </c>
      <c r="AH4369">
        <v>10.36</v>
      </c>
      <c r="AI4369">
        <v>0.03</v>
      </c>
      <c r="AJ4369">
        <v>-0.06</v>
      </c>
      <c r="AK4369">
        <v>88</v>
      </c>
      <c r="AL4369">
        <v>0</v>
      </c>
      <c r="AM4369">
        <v>0</v>
      </c>
      <c r="AN4369">
        <v>11.41</v>
      </c>
      <c r="AO4369">
        <v>-1.83</v>
      </c>
      <c r="AP4369">
        <v>6</v>
      </c>
      <c r="AQ4369">
        <v>0</v>
      </c>
      <c r="AR4369">
        <v>10.97</v>
      </c>
      <c r="AS4369">
        <v>59</v>
      </c>
      <c r="AT4369">
        <v>5.38</v>
      </c>
      <c r="AU4369">
        <v>92</v>
      </c>
      <c r="AV4369">
        <v>-2.5</v>
      </c>
      <c r="AW4369">
        <v>60</v>
      </c>
      <c r="AX4369">
        <v>-0.42</v>
      </c>
      <c r="AY4369">
        <v>52</v>
      </c>
      <c r="AZ4369">
        <v>5.82</v>
      </c>
      <c r="BA4369">
        <v>50</v>
      </c>
      <c r="BB4369">
        <v>4.79</v>
      </c>
      <c r="BC4369">
        <v>48</v>
      </c>
      <c r="BD4369">
        <v>-0.06</v>
      </c>
      <c r="BE4369">
        <v>0</v>
      </c>
      <c r="BF4369">
        <v>0.17</v>
      </c>
      <c r="BG4369">
        <v>94</v>
      </c>
      <c r="BH4369">
        <v>-0.03</v>
      </c>
      <c r="BI4369">
        <v>-11.64</v>
      </c>
      <c r="BJ4369">
        <v>9</v>
      </c>
      <c r="BK4369">
        <v>6</v>
      </c>
      <c r="BL4369">
        <v>1.61</v>
      </c>
      <c r="BM4369">
        <v>-0.84</v>
      </c>
      <c r="BN4369">
        <v>0.91</v>
      </c>
      <c r="BO4369">
        <v>1.47</v>
      </c>
      <c r="BP4369">
        <v>-0.81</v>
      </c>
      <c r="BQ4369">
        <v>2.87</v>
      </c>
      <c r="BR4369">
        <v>-1.01</v>
      </c>
      <c r="BS4369">
        <v>1.41</v>
      </c>
      <c r="BT4369">
        <v>1.82</v>
      </c>
      <c r="BU4369">
        <v>3.66</v>
      </c>
      <c r="BV4369">
        <v>2.93</v>
      </c>
      <c r="BW4369">
        <v>1.37</v>
      </c>
      <c r="BX4369">
        <v>2.85</v>
      </c>
      <c r="BY4369">
        <v>2.4700000000000002</v>
      </c>
      <c r="BZ4369">
        <v>-2.38</v>
      </c>
      <c r="CA4369">
        <v>2.5299999999999998</v>
      </c>
      <c r="CB4369">
        <v>2.39</v>
      </c>
      <c r="CC4369">
        <v>1.76</v>
      </c>
      <c r="CD4369">
        <v>-1.1399999999999999</v>
      </c>
      <c r="CE4369">
        <v>1.46</v>
      </c>
      <c r="CF4369">
        <v>1.72</v>
      </c>
      <c r="CG4369">
        <v>0</v>
      </c>
      <c r="CH4369">
        <v>2.34</v>
      </c>
      <c r="CI4369">
        <v>0</v>
      </c>
      <c r="CJ4369">
        <v>-0.8</v>
      </c>
      <c r="CK4369">
        <v>58</v>
      </c>
      <c r="CL4369">
        <v>-1.26</v>
      </c>
      <c r="CM4369">
        <v>55</v>
      </c>
      <c r="CN4369">
        <v>-0.81</v>
      </c>
      <c r="CO4369">
        <v>53</v>
      </c>
      <c r="CP4369">
        <v>2.9</v>
      </c>
      <c r="CQ4369">
        <v>60</v>
      </c>
      <c r="CR4369">
        <v>0</v>
      </c>
      <c r="CS4369">
        <v>0</v>
      </c>
      <c r="CT4369">
        <v>7.2</v>
      </c>
      <c r="CU4369">
        <v>57</v>
      </c>
      <c r="CV4369">
        <v>0.23</v>
      </c>
      <c r="CW4369">
        <v>36</v>
      </c>
      <c r="CX4369" t="s">
        <v>2476</v>
      </c>
    </row>
    <row r="4370" spans="1:102" x14ac:dyDescent="0.3">
      <c r="A4370" t="str">
        <f>HYPERLINK("https://webapp.icbf.com/v2/app/bull-search/view/125731773","CMZ")</f>
        <v>CMZ</v>
      </c>
      <c r="B4370" t="s">
        <v>4042</v>
      </c>
      <c r="C4370" t="s">
        <v>1707</v>
      </c>
      <c r="D4370" s="1">
        <v>35648</v>
      </c>
      <c r="E4370" t="s">
        <v>92</v>
      </c>
      <c r="F4370">
        <v>100</v>
      </c>
      <c r="G4370" t="s">
        <v>93</v>
      </c>
      <c r="H4370">
        <v>-117.61</v>
      </c>
      <c r="I4370">
        <v>97</v>
      </c>
      <c r="J4370">
        <v>2.52</v>
      </c>
      <c r="K4370">
        <v>99</v>
      </c>
      <c r="L4370">
        <v>-122.37</v>
      </c>
      <c r="M4370">
        <v>94</v>
      </c>
      <c r="N4370">
        <v>10.73</v>
      </c>
      <c r="O4370">
        <v>98</v>
      </c>
      <c r="P4370">
        <v>-10.99</v>
      </c>
      <c r="Q4370">
        <v>99</v>
      </c>
      <c r="R4370">
        <v>-0.25</v>
      </c>
      <c r="S4370">
        <v>95</v>
      </c>
      <c r="T4370">
        <v>5.32</v>
      </c>
      <c r="U4370">
        <v>98</v>
      </c>
      <c r="V4370">
        <v>-2.57</v>
      </c>
      <c r="W4370">
        <v>95</v>
      </c>
      <c r="X4370" t="s">
        <v>94</v>
      </c>
      <c r="Y4370" t="s">
        <v>95</v>
      </c>
      <c r="Z4370" t="s">
        <v>96</v>
      </c>
      <c r="AA4370" t="s">
        <v>596</v>
      </c>
      <c r="AB4370" t="s">
        <v>4043</v>
      </c>
      <c r="AC4370">
        <v>1501</v>
      </c>
      <c r="AD4370">
        <v>466</v>
      </c>
      <c r="AE4370">
        <v>99</v>
      </c>
      <c r="AF4370">
        <v>420.3</v>
      </c>
      <c r="AG4370">
        <v>3.37</v>
      </c>
      <c r="AH4370">
        <v>5.67</v>
      </c>
      <c r="AI4370">
        <v>-0.21</v>
      </c>
      <c r="AJ4370">
        <v>-0.14000000000000001</v>
      </c>
      <c r="AK4370">
        <v>94</v>
      </c>
      <c r="AL4370">
        <v>1393</v>
      </c>
      <c r="AM4370">
        <v>460</v>
      </c>
      <c r="AN4370">
        <v>5.81</v>
      </c>
      <c r="AO4370">
        <v>-3.96</v>
      </c>
      <c r="AP4370">
        <v>2738</v>
      </c>
      <c r="AQ4370">
        <v>4</v>
      </c>
      <c r="AR4370">
        <v>6.19</v>
      </c>
      <c r="AS4370">
        <v>99</v>
      </c>
      <c r="AT4370">
        <v>3.7</v>
      </c>
      <c r="AU4370">
        <v>99</v>
      </c>
      <c r="AV4370">
        <v>-1.19</v>
      </c>
      <c r="AW4370">
        <v>99</v>
      </c>
      <c r="AX4370">
        <v>0.22</v>
      </c>
      <c r="AY4370">
        <v>98</v>
      </c>
      <c r="AZ4370">
        <v>5.53</v>
      </c>
      <c r="BA4370">
        <v>95</v>
      </c>
      <c r="BB4370">
        <v>4.6100000000000003</v>
      </c>
      <c r="BC4370">
        <v>95</v>
      </c>
      <c r="BD4370">
        <v>0.01</v>
      </c>
      <c r="BE4370">
        <v>0.01</v>
      </c>
      <c r="BF4370">
        <v>-0.03</v>
      </c>
      <c r="BG4370">
        <v>99</v>
      </c>
      <c r="BH4370">
        <v>0.02</v>
      </c>
      <c r="BI4370">
        <v>10.61</v>
      </c>
      <c r="BJ4370">
        <v>669</v>
      </c>
      <c r="BK4370">
        <v>204</v>
      </c>
      <c r="BL4370">
        <v>1.8</v>
      </c>
      <c r="BM4370">
        <v>-0.84</v>
      </c>
      <c r="BN4370">
        <v>2.14</v>
      </c>
      <c r="BO4370">
        <v>2.23</v>
      </c>
      <c r="BP4370">
        <v>0.41</v>
      </c>
      <c r="BQ4370">
        <v>1.6</v>
      </c>
      <c r="BR4370">
        <v>1.17</v>
      </c>
      <c r="BS4370">
        <v>-0.18</v>
      </c>
      <c r="BT4370">
        <v>-1.51</v>
      </c>
      <c r="BU4370">
        <v>0.2</v>
      </c>
      <c r="BV4370">
        <v>1.61</v>
      </c>
      <c r="BW4370">
        <v>1.02</v>
      </c>
      <c r="BX4370">
        <v>0.11</v>
      </c>
      <c r="BY4370">
        <v>0.7</v>
      </c>
      <c r="BZ4370">
        <v>0.71</v>
      </c>
      <c r="CA4370">
        <v>0.94</v>
      </c>
      <c r="CB4370">
        <v>1.18</v>
      </c>
      <c r="CC4370">
        <v>0.56000000000000005</v>
      </c>
      <c r="CD4370">
        <v>-1.57</v>
      </c>
      <c r="CE4370">
        <v>1.93</v>
      </c>
      <c r="CF4370">
        <v>1.92</v>
      </c>
      <c r="CG4370">
        <v>0</v>
      </c>
      <c r="CH4370">
        <v>0.69</v>
      </c>
      <c r="CI4370">
        <v>0</v>
      </c>
      <c r="CJ4370">
        <v>-2.9</v>
      </c>
      <c r="CK4370">
        <v>99</v>
      </c>
      <c r="CL4370">
        <v>-1.26</v>
      </c>
      <c r="CM4370">
        <v>99</v>
      </c>
      <c r="CN4370">
        <v>-0.56999999999999995</v>
      </c>
      <c r="CO4370">
        <v>99</v>
      </c>
      <c r="CP4370">
        <v>-4.4000000000000004</v>
      </c>
      <c r="CQ4370">
        <v>99</v>
      </c>
      <c r="CR4370">
        <v>0</v>
      </c>
      <c r="CS4370">
        <v>0</v>
      </c>
      <c r="CT4370">
        <v>6.6</v>
      </c>
      <c r="CU4370">
        <v>98</v>
      </c>
      <c r="CV4370">
        <v>0.17</v>
      </c>
      <c r="CW4370">
        <v>46</v>
      </c>
      <c r="CX4370" t="s">
        <v>4044</v>
      </c>
    </row>
    <row r="4371" spans="1:102" x14ac:dyDescent="0.3">
      <c r="A4371" t="str">
        <f>HYPERLINK("https://webapp.icbf.com/v2/app/bull-search/view/77856124","LBM")</f>
        <v>LBM</v>
      </c>
      <c r="B4371" t="s">
        <v>10586</v>
      </c>
      <c r="C4371" t="s">
        <v>10587</v>
      </c>
      <c r="D4371" s="1">
        <v>33038</v>
      </c>
      <c r="E4371" t="s">
        <v>92</v>
      </c>
      <c r="F4371">
        <v>100</v>
      </c>
      <c r="G4371" t="s">
        <v>109</v>
      </c>
      <c r="H4371">
        <v>-117.62</v>
      </c>
      <c r="I4371">
        <v>74</v>
      </c>
      <c r="J4371">
        <v>34.35</v>
      </c>
      <c r="K4371">
        <v>87</v>
      </c>
      <c r="L4371">
        <v>-125.19</v>
      </c>
      <c r="M4371">
        <v>83</v>
      </c>
      <c r="N4371">
        <v>-13.7</v>
      </c>
      <c r="O4371">
        <v>52</v>
      </c>
      <c r="P4371">
        <v>-13.74</v>
      </c>
      <c r="Q4371">
        <v>56</v>
      </c>
      <c r="R4371">
        <v>-7.86</v>
      </c>
      <c r="S4371">
        <v>67</v>
      </c>
      <c r="T4371">
        <v>9.24</v>
      </c>
      <c r="U4371">
        <v>51</v>
      </c>
      <c r="V4371">
        <v>-0.72</v>
      </c>
      <c r="W4371">
        <v>33</v>
      </c>
      <c r="X4371" t="s">
        <v>558</v>
      </c>
      <c r="Y4371" t="s">
        <v>95</v>
      </c>
      <c r="Z4371" t="s">
        <v>96</v>
      </c>
      <c r="AA4371" t="s">
        <v>111</v>
      </c>
      <c r="AB4371" t="s">
        <v>10588</v>
      </c>
      <c r="AC4371">
        <v>0</v>
      </c>
      <c r="AD4371">
        <v>0</v>
      </c>
      <c r="AE4371">
        <v>87</v>
      </c>
      <c r="AF4371">
        <v>249.43</v>
      </c>
      <c r="AG4371">
        <v>10.94</v>
      </c>
      <c r="AH4371">
        <v>5.79</v>
      </c>
      <c r="AI4371">
        <v>0.02</v>
      </c>
      <c r="AJ4371">
        <v>-0.04</v>
      </c>
      <c r="AK4371">
        <v>83</v>
      </c>
      <c r="AL4371">
        <v>0</v>
      </c>
      <c r="AM4371">
        <v>0</v>
      </c>
      <c r="AN4371">
        <v>6.32</v>
      </c>
      <c r="AO4371">
        <v>-3.67</v>
      </c>
      <c r="AP4371">
        <v>4</v>
      </c>
      <c r="AQ4371">
        <v>0</v>
      </c>
      <c r="AR4371">
        <v>10.6</v>
      </c>
      <c r="AS4371">
        <v>32</v>
      </c>
      <c r="AT4371">
        <v>4.62</v>
      </c>
      <c r="AU4371">
        <v>85</v>
      </c>
      <c r="AV4371">
        <v>-1.1000000000000001</v>
      </c>
      <c r="AW4371">
        <v>43</v>
      </c>
      <c r="AX4371">
        <v>-0.33</v>
      </c>
      <c r="AY4371">
        <v>52</v>
      </c>
      <c r="AZ4371">
        <v>5.39</v>
      </c>
      <c r="BA4371">
        <v>31</v>
      </c>
      <c r="BB4371">
        <v>5</v>
      </c>
      <c r="BC4371">
        <v>34</v>
      </c>
      <c r="BD4371">
        <v>0.04</v>
      </c>
      <c r="BE4371">
        <v>0.06</v>
      </c>
      <c r="BF4371">
        <v>0</v>
      </c>
      <c r="BG4371">
        <v>89</v>
      </c>
      <c r="BH4371">
        <v>0.02</v>
      </c>
      <c r="BI4371">
        <v>4.62</v>
      </c>
      <c r="BJ4371">
        <v>3</v>
      </c>
      <c r="BK4371">
        <v>2</v>
      </c>
      <c r="BL4371">
        <v>-0.13</v>
      </c>
      <c r="BM4371">
        <v>0.25</v>
      </c>
      <c r="BN4371">
        <v>0.68</v>
      </c>
      <c r="BO4371">
        <v>0.49</v>
      </c>
      <c r="BP4371">
        <v>0.92</v>
      </c>
      <c r="BQ4371">
        <v>-0.16</v>
      </c>
      <c r="BR4371">
        <v>1.18</v>
      </c>
      <c r="BS4371">
        <v>0.31</v>
      </c>
      <c r="BT4371">
        <v>-1.05</v>
      </c>
      <c r="BU4371">
        <v>-0.93</v>
      </c>
      <c r="BV4371">
        <v>-0.47</v>
      </c>
      <c r="BW4371">
        <v>0.2</v>
      </c>
      <c r="BX4371">
        <v>-1.37</v>
      </c>
      <c r="BY4371">
        <v>-0.13</v>
      </c>
      <c r="BZ4371">
        <v>-1.44</v>
      </c>
      <c r="CA4371">
        <v>-0.11</v>
      </c>
      <c r="CB4371">
        <v>-0.23</v>
      </c>
      <c r="CC4371">
        <v>0.34</v>
      </c>
      <c r="CD4371">
        <v>-0.45</v>
      </c>
      <c r="CE4371">
        <v>0.8</v>
      </c>
      <c r="CF4371">
        <v>1.07</v>
      </c>
      <c r="CG4371">
        <v>0</v>
      </c>
      <c r="CH4371">
        <v>0.05</v>
      </c>
      <c r="CI4371">
        <v>0</v>
      </c>
      <c r="CJ4371">
        <v>-4.3</v>
      </c>
      <c r="CK4371">
        <v>57</v>
      </c>
      <c r="CL4371">
        <v>-0.93</v>
      </c>
      <c r="CM4371">
        <v>54</v>
      </c>
      <c r="CN4371">
        <v>-0.2</v>
      </c>
      <c r="CO4371">
        <v>49</v>
      </c>
      <c r="CP4371">
        <v>-3.7</v>
      </c>
      <c r="CQ4371">
        <v>62</v>
      </c>
      <c r="CR4371">
        <v>0</v>
      </c>
      <c r="CS4371">
        <v>0</v>
      </c>
      <c r="CT4371">
        <v>1.3</v>
      </c>
      <c r="CU4371">
        <v>51</v>
      </c>
      <c r="CV4371">
        <v>0.17</v>
      </c>
      <c r="CW4371">
        <v>15</v>
      </c>
      <c r="CX4371" t="s">
        <v>163</v>
      </c>
    </row>
    <row r="4372" spans="1:102" x14ac:dyDescent="0.3">
      <c r="A4372" t="str">
        <f>HYPERLINK("https://webapp.icbf.com/v2/app/bull-search/view/69091486","DLV")</f>
        <v>DLV</v>
      </c>
      <c r="B4372" t="s">
        <v>602</v>
      </c>
      <c r="C4372" t="s">
        <v>603</v>
      </c>
      <c r="D4372" s="1">
        <v>33351</v>
      </c>
      <c r="E4372" t="s">
        <v>92</v>
      </c>
      <c r="F4372">
        <v>94</v>
      </c>
      <c r="G4372" t="s">
        <v>109</v>
      </c>
      <c r="H4372">
        <v>-117.81</v>
      </c>
      <c r="I4372">
        <v>78</v>
      </c>
      <c r="J4372">
        <v>37.04</v>
      </c>
      <c r="K4372">
        <v>94</v>
      </c>
      <c r="L4372">
        <v>-139.96</v>
      </c>
      <c r="M4372">
        <v>83</v>
      </c>
      <c r="N4372">
        <v>-9.35</v>
      </c>
      <c r="O4372">
        <v>62</v>
      </c>
      <c r="P4372">
        <v>-9.02</v>
      </c>
      <c r="Q4372">
        <v>51</v>
      </c>
      <c r="R4372">
        <v>-9.16</v>
      </c>
      <c r="S4372">
        <v>77</v>
      </c>
      <c r="T4372">
        <v>22.04</v>
      </c>
      <c r="U4372">
        <v>51</v>
      </c>
      <c r="V4372">
        <v>-9.4</v>
      </c>
      <c r="W4372">
        <v>65</v>
      </c>
      <c r="X4372" t="s">
        <v>94</v>
      </c>
      <c r="Y4372" t="s">
        <v>95</v>
      </c>
      <c r="Z4372" t="s">
        <v>96</v>
      </c>
      <c r="AA4372" t="s">
        <v>193</v>
      </c>
      <c r="AB4372" t="s">
        <v>604</v>
      </c>
      <c r="AC4372">
        <v>0</v>
      </c>
      <c r="AD4372">
        <v>0</v>
      </c>
      <c r="AE4372">
        <v>94</v>
      </c>
      <c r="AF4372">
        <v>51.99</v>
      </c>
      <c r="AG4372">
        <v>11.38</v>
      </c>
      <c r="AH4372">
        <v>3.07</v>
      </c>
      <c r="AI4372">
        <v>0.16</v>
      </c>
      <c r="AJ4372">
        <v>0.02</v>
      </c>
      <c r="AK4372">
        <v>83</v>
      </c>
      <c r="AL4372">
        <v>0</v>
      </c>
      <c r="AM4372">
        <v>0</v>
      </c>
      <c r="AN4372">
        <v>7.75</v>
      </c>
      <c r="AO4372">
        <v>-3.41</v>
      </c>
      <c r="AP4372">
        <v>3</v>
      </c>
      <c r="AQ4372">
        <v>1</v>
      </c>
      <c r="AR4372">
        <v>9.0299999999999994</v>
      </c>
      <c r="AS4372">
        <v>58</v>
      </c>
      <c r="AT4372">
        <v>3.21</v>
      </c>
      <c r="AU4372">
        <v>85</v>
      </c>
      <c r="AV4372">
        <v>-0.08</v>
      </c>
      <c r="AW4372">
        <v>57</v>
      </c>
      <c r="AX4372">
        <v>-0.84</v>
      </c>
      <c r="AY4372">
        <v>50</v>
      </c>
      <c r="AZ4372">
        <v>7.04</v>
      </c>
      <c r="BA4372">
        <v>48</v>
      </c>
      <c r="BB4372">
        <v>6.21</v>
      </c>
      <c r="BC4372">
        <v>50</v>
      </c>
      <c r="BD4372">
        <v>-0.02</v>
      </c>
      <c r="BE4372">
        <v>0.06</v>
      </c>
      <c r="BF4372">
        <v>0.13</v>
      </c>
      <c r="BG4372">
        <v>91</v>
      </c>
      <c r="BH4372">
        <v>-0.1</v>
      </c>
      <c r="BI4372">
        <v>18.77</v>
      </c>
      <c r="BJ4372">
        <v>0</v>
      </c>
      <c r="BK4372">
        <v>0</v>
      </c>
      <c r="BL4372">
        <v>0.08</v>
      </c>
      <c r="BM4372">
        <v>0.06</v>
      </c>
      <c r="BN4372">
        <v>0.32</v>
      </c>
      <c r="BO4372">
        <v>0.76</v>
      </c>
      <c r="BP4372">
        <v>-0.04</v>
      </c>
      <c r="BQ4372">
        <v>-2.4700000000000002</v>
      </c>
      <c r="BR4372">
        <v>1.42</v>
      </c>
      <c r="BS4372">
        <v>-0.48</v>
      </c>
      <c r="BT4372">
        <v>-1.3</v>
      </c>
      <c r="BU4372">
        <v>-0.88</v>
      </c>
      <c r="BV4372">
        <v>-0.37</v>
      </c>
      <c r="BW4372">
        <v>-0.48</v>
      </c>
      <c r="BX4372">
        <v>-1.89</v>
      </c>
      <c r="BY4372">
        <v>-1.24</v>
      </c>
      <c r="BZ4372">
        <v>2.2200000000000002</v>
      </c>
      <c r="CA4372">
        <v>-0.72</v>
      </c>
      <c r="CB4372">
        <v>-0.79</v>
      </c>
      <c r="CC4372">
        <v>-0.6</v>
      </c>
      <c r="CD4372">
        <v>-0.67</v>
      </c>
      <c r="CE4372">
        <v>0.59</v>
      </c>
      <c r="CF4372">
        <v>0.17</v>
      </c>
      <c r="CG4372">
        <v>0</v>
      </c>
      <c r="CH4372">
        <v>-1.23</v>
      </c>
      <c r="CI4372">
        <v>0</v>
      </c>
      <c r="CJ4372">
        <v>-3.1</v>
      </c>
      <c r="CK4372">
        <v>51</v>
      </c>
      <c r="CL4372">
        <v>-0.48</v>
      </c>
      <c r="CM4372">
        <v>50</v>
      </c>
      <c r="CN4372">
        <v>-0.19</v>
      </c>
      <c r="CO4372">
        <v>49</v>
      </c>
      <c r="CP4372">
        <v>-13.4</v>
      </c>
      <c r="CQ4372">
        <v>53</v>
      </c>
      <c r="CR4372">
        <v>0</v>
      </c>
      <c r="CS4372">
        <v>0</v>
      </c>
      <c r="CT4372">
        <v>-16</v>
      </c>
      <c r="CU4372">
        <v>51</v>
      </c>
      <c r="CV4372">
        <v>0.09</v>
      </c>
      <c r="CW4372">
        <v>36</v>
      </c>
      <c r="CX4372" t="s">
        <v>166</v>
      </c>
    </row>
    <row r="4373" spans="1:102" x14ac:dyDescent="0.3">
      <c r="A4373" t="str">
        <f>HYPERLINK("https://webapp.icbf.com/v2/app/bull-search/view/77855650","MFD")</f>
        <v>MFD</v>
      </c>
      <c r="B4373" t="s">
        <v>3338</v>
      </c>
      <c r="C4373" t="s">
        <v>3339</v>
      </c>
      <c r="D4373" s="1">
        <v>33304</v>
      </c>
      <c r="E4373" t="s">
        <v>92</v>
      </c>
      <c r="F4373">
        <v>100</v>
      </c>
      <c r="G4373" t="s">
        <v>93</v>
      </c>
      <c r="H4373">
        <v>-117.81</v>
      </c>
      <c r="I4373">
        <v>78</v>
      </c>
      <c r="J4373">
        <v>-21.41</v>
      </c>
      <c r="K4373">
        <v>91</v>
      </c>
      <c r="L4373">
        <v>-86.5</v>
      </c>
      <c r="M4373">
        <v>81</v>
      </c>
      <c r="N4373">
        <v>3.5</v>
      </c>
      <c r="O4373">
        <v>58</v>
      </c>
      <c r="P4373">
        <v>-9.1999999999999993</v>
      </c>
      <c r="Q4373">
        <v>69</v>
      </c>
      <c r="R4373">
        <v>-14.74</v>
      </c>
      <c r="S4373">
        <v>68</v>
      </c>
      <c r="T4373">
        <v>9.31</v>
      </c>
      <c r="U4373">
        <v>80</v>
      </c>
      <c r="V4373">
        <v>1.23</v>
      </c>
      <c r="W4373">
        <v>31</v>
      </c>
      <c r="X4373" t="s">
        <v>234</v>
      </c>
      <c r="Y4373" t="s">
        <v>95</v>
      </c>
      <c r="Z4373" t="s">
        <v>96</v>
      </c>
      <c r="AA4373" t="s">
        <v>118</v>
      </c>
      <c r="AB4373" t="s">
        <v>3340</v>
      </c>
      <c r="AC4373">
        <v>42</v>
      </c>
      <c r="AD4373">
        <v>16</v>
      </c>
      <c r="AE4373">
        <v>91</v>
      </c>
      <c r="AF4373">
        <v>46.78</v>
      </c>
      <c r="AG4373">
        <v>-10.25</v>
      </c>
      <c r="AH4373">
        <v>0.7</v>
      </c>
      <c r="AI4373">
        <v>-0.2</v>
      </c>
      <c r="AJ4373">
        <v>-0.01</v>
      </c>
      <c r="AK4373">
        <v>81</v>
      </c>
      <c r="AL4373">
        <v>46</v>
      </c>
      <c r="AM4373">
        <v>18</v>
      </c>
      <c r="AN4373">
        <v>5.35</v>
      </c>
      <c r="AO4373">
        <v>-1.54</v>
      </c>
      <c r="AP4373">
        <v>7</v>
      </c>
      <c r="AQ4373">
        <v>1</v>
      </c>
      <c r="AR4373">
        <v>8.85</v>
      </c>
      <c r="AS4373">
        <v>37</v>
      </c>
      <c r="AT4373">
        <v>4.1399999999999997</v>
      </c>
      <c r="AU4373">
        <v>66</v>
      </c>
      <c r="AV4373">
        <v>-1.47</v>
      </c>
      <c r="AW4373">
        <v>61</v>
      </c>
      <c r="AX4373">
        <v>-0.24</v>
      </c>
      <c r="AY4373">
        <v>65</v>
      </c>
      <c r="AZ4373">
        <v>5.23</v>
      </c>
      <c r="BA4373">
        <v>37</v>
      </c>
      <c r="BB4373">
        <v>4.37</v>
      </c>
      <c r="BC4373">
        <v>48</v>
      </c>
      <c r="BD4373">
        <v>0.06</v>
      </c>
      <c r="BE4373">
        <v>0.11</v>
      </c>
      <c r="BF4373">
        <v>0.03</v>
      </c>
      <c r="BG4373">
        <v>86</v>
      </c>
      <c r="BH4373">
        <v>-0.02</v>
      </c>
      <c r="BI4373">
        <v>-6.27</v>
      </c>
      <c r="BJ4373">
        <v>0</v>
      </c>
      <c r="BK4373">
        <v>0</v>
      </c>
      <c r="BL4373">
        <v>0.56999999999999995</v>
      </c>
      <c r="BM4373">
        <v>-0.41</v>
      </c>
      <c r="BN4373">
        <v>0.57999999999999996</v>
      </c>
      <c r="BO4373">
        <v>0.46</v>
      </c>
      <c r="BP4373">
        <v>-0.44</v>
      </c>
      <c r="BQ4373">
        <v>-0.71</v>
      </c>
      <c r="BR4373">
        <v>0.06</v>
      </c>
      <c r="BS4373">
        <v>-0.51</v>
      </c>
      <c r="BT4373">
        <v>-0.25</v>
      </c>
      <c r="BU4373">
        <v>-0.59</v>
      </c>
      <c r="BV4373">
        <v>-0.93</v>
      </c>
      <c r="BW4373">
        <v>-0.22</v>
      </c>
      <c r="BX4373">
        <v>-0.56000000000000005</v>
      </c>
      <c r="BY4373">
        <v>-1.39</v>
      </c>
      <c r="BZ4373">
        <v>1.1200000000000001</v>
      </c>
      <c r="CA4373">
        <v>-0.37</v>
      </c>
      <c r="CB4373">
        <v>-0.59</v>
      </c>
      <c r="CC4373">
        <v>0.25</v>
      </c>
      <c r="CD4373">
        <v>-0.51</v>
      </c>
      <c r="CE4373">
        <v>0.31</v>
      </c>
      <c r="CF4373">
        <v>0.47</v>
      </c>
      <c r="CG4373">
        <v>0</v>
      </c>
      <c r="CH4373">
        <v>0</v>
      </c>
      <c r="CI4373">
        <v>0</v>
      </c>
      <c r="CJ4373">
        <v>-3.5</v>
      </c>
      <c r="CK4373">
        <v>71</v>
      </c>
      <c r="CL4373">
        <v>-0.72</v>
      </c>
      <c r="CM4373">
        <v>67</v>
      </c>
      <c r="CN4373">
        <v>-0.36</v>
      </c>
      <c r="CO4373">
        <v>62</v>
      </c>
      <c r="CP4373">
        <v>-7.7</v>
      </c>
      <c r="CQ4373">
        <v>78</v>
      </c>
      <c r="CR4373">
        <v>0</v>
      </c>
      <c r="CS4373">
        <v>0</v>
      </c>
      <c r="CT4373">
        <v>1.2</v>
      </c>
      <c r="CU4373">
        <v>80</v>
      </c>
      <c r="CV4373">
        <v>0.15</v>
      </c>
      <c r="CW4373">
        <v>20</v>
      </c>
      <c r="CX4373" t="s">
        <v>825</v>
      </c>
    </row>
    <row r="4374" spans="1:102" x14ac:dyDescent="0.3">
      <c r="A4374" t="str">
        <f>HYPERLINK("https://webapp.icbf.com/v2/app/bull-search/view/77855299","MOC")</f>
        <v>MOC</v>
      </c>
      <c r="B4374" t="s">
        <v>4684</v>
      </c>
      <c r="C4374" t="s">
        <v>4685</v>
      </c>
      <c r="D4374" s="1">
        <v>32965</v>
      </c>
      <c r="E4374" t="s">
        <v>92</v>
      </c>
      <c r="F4374">
        <v>100</v>
      </c>
      <c r="G4374" t="s">
        <v>93</v>
      </c>
      <c r="H4374">
        <v>-117.99</v>
      </c>
      <c r="I4374">
        <v>76</v>
      </c>
      <c r="J4374">
        <v>-49.39</v>
      </c>
      <c r="K4374">
        <v>90</v>
      </c>
      <c r="L4374">
        <v>2.58</v>
      </c>
      <c r="M4374">
        <v>72</v>
      </c>
      <c r="N4374">
        <v>-60.62</v>
      </c>
      <c r="O4374">
        <v>63</v>
      </c>
      <c r="P4374">
        <v>-2.8</v>
      </c>
      <c r="Q4374">
        <v>75</v>
      </c>
      <c r="R4374">
        <v>-3.07</v>
      </c>
      <c r="S4374">
        <v>71</v>
      </c>
      <c r="T4374">
        <v>-2.68</v>
      </c>
      <c r="U4374">
        <v>73</v>
      </c>
      <c r="V4374">
        <v>-2.0099999999999998</v>
      </c>
      <c r="W4374">
        <v>36</v>
      </c>
      <c r="X4374" t="s">
        <v>94</v>
      </c>
      <c r="Y4374" t="s">
        <v>95</v>
      </c>
      <c r="Z4374" t="s">
        <v>96</v>
      </c>
      <c r="AA4374" t="s">
        <v>154</v>
      </c>
      <c r="AB4374" t="s">
        <v>4686</v>
      </c>
      <c r="AC4374">
        <v>58</v>
      </c>
      <c r="AD4374">
        <v>49</v>
      </c>
      <c r="AE4374">
        <v>90</v>
      </c>
      <c r="AF4374">
        <v>-127.41</v>
      </c>
      <c r="AG4374">
        <v>-5.4</v>
      </c>
      <c r="AH4374">
        <v>-8.44</v>
      </c>
      <c r="AI4374">
        <v>-0.01</v>
      </c>
      <c r="AJ4374">
        <v>-7.0000000000000007E-2</v>
      </c>
      <c r="AK4374">
        <v>72</v>
      </c>
      <c r="AL4374">
        <v>142</v>
      </c>
      <c r="AM4374">
        <v>99</v>
      </c>
      <c r="AN4374">
        <v>0.18</v>
      </c>
      <c r="AO4374">
        <v>0.39</v>
      </c>
      <c r="AP4374">
        <v>1</v>
      </c>
      <c r="AQ4374">
        <v>1</v>
      </c>
      <c r="AR4374">
        <v>12.07</v>
      </c>
      <c r="AS4374">
        <v>38</v>
      </c>
      <c r="AT4374">
        <v>5.73</v>
      </c>
      <c r="AU4374">
        <v>56</v>
      </c>
      <c r="AV4374">
        <v>0.45</v>
      </c>
      <c r="AW4374">
        <v>72</v>
      </c>
      <c r="AX4374">
        <v>0.62</v>
      </c>
      <c r="AY4374">
        <v>76</v>
      </c>
      <c r="AZ4374">
        <v>7.76</v>
      </c>
      <c r="BA4374">
        <v>40</v>
      </c>
      <c r="BB4374">
        <v>6.52</v>
      </c>
      <c r="BC4374">
        <v>55</v>
      </c>
      <c r="BD4374">
        <v>0.01</v>
      </c>
      <c r="BE4374">
        <v>0.06</v>
      </c>
      <c r="BF4374">
        <v>-0.06</v>
      </c>
      <c r="BG4374">
        <v>90</v>
      </c>
      <c r="BH4374">
        <v>7.0000000000000007E-2</v>
      </c>
      <c r="BI4374">
        <v>14.58</v>
      </c>
      <c r="BJ4374">
        <v>37</v>
      </c>
      <c r="BK4374">
        <v>32</v>
      </c>
      <c r="BL4374">
        <v>-0.49</v>
      </c>
      <c r="BM4374">
        <v>0.82</v>
      </c>
      <c r="BN4374">
        <v>0.51</v>
      </c>
      <c r="BO4374">
        <v>-0.17</v>
      </c>
      <c r="BP4374">
        <v>-2.2000000000000002</v>
      </c>
      <c r="BQ4374">
        <v>0.64</v>
      </c>
      <c r="BR4374">
        <v>-0.3</v>
      </c>
      <c r="BS4374">
        <v>0.05</v>
      </c>
      <c r="BT4374">
        <v>0.49</v>
      </c>
      <c r="BU4374">
        <v>-0.11</v>
      </c>
      <c r="BV4374">
        <v>0.23</v>
      </c>
      <c r="BW4374">
        <v>0.24</v>
      </c>
      <c r="BX4374">
        <v>-0.45</v>
      </c>
      <c r="BY4374">
        <v>-1.48</v>
      </c>
      <c r="BZ4374">
        <v>1.8</v>
      </c>
      <c r="CA4374">
        <v>0.39</v>
      </c>
      <c r="CB4374">
        <v>-0.4</v>
      </c>
      <c r="CC4374">
        <v>1.88</v>
      </c>
      <c r="CD4374">
        <v>-0.13</v>
      </c>
      <c r="CE4374">
        <v>0.15</v>
      </c>
      <c r="CF4374">
        <v>7.0000000000000007E-2</v>
      </c>
      <c r="CG4374">
        <v>0</v>
      </c>
      <c r="CH4374">
        <v>-0.5</v>
      </c>
      <c r="CI4374">
        <v>0</v>
      </c>
      <c r="CJ4374">
        <v>-0.1</v>
      </c>
      <c r="CK4374">
        <v>76</v>
      </c>
      <c r="CL4374">
        <v>-0.43</v>
      </c>
      <c r="CM4374">
        <v>73</v>
      </c>
      <c r="CN4374">
        <v>-0.09</v>
      </c>
      <c r="CO4374">
        <v>70</v>
      </c>
      <c r="CP4374">
        <v>4.8</v>
      </c>
      <c r="CQ4374">
        <v>82</v>
      </c>
      <c r="CR4374">
        <v>0</v>
      </c>
      <c r="CS4374">
        <v>0</v>
      </c>
      <c r="CT4374">
        <v>17.399999999999999</v>
      </c>
      <c r="CU4374">
        <v>73</v>
      </c>
      <c r="CV4374">
        <v>0.1</v>
      </c>
      <c r="CW4374">
        <v>21</v>
      </c>
      <c r="CX4374" t="s">
        <v>260</v>
      </c>
    </row>
    <row r="4375" spans="1:102" x14ac:dyDescent="0.3">
      <c r="A4375" t="str">
        <f>HYPERLINK("https://webapp.icbf.com/v2/app/bull-search/view/586203872","TXZ")</f>
        <v>TXZ</v>
      </c>
      <c r="B4375" t="s">
        <v>8997</v>
      </c>
      <c r="C4375" t="s">
        <v>8998</v>
      </c>
      <c r="D4375" s="1">
        <v>38628</v>
      </c>
      <c r="E4375" t="s">
        <v>92</v>
      </c>
      <c r="F4375">
        <v>100</v>
      </c>
      <c r="G4375" t="s">
        <v>93</v>
      </c>
      <c r="H4375">
        <v>-118.01</v>
      </c>
      <c r="I4375">
        <v>94</v>
      </c>
      <c r="J4375">
        <v>26.19</v>
      </c>
      <c r="K4375">
        <v>99</v>
      </c>
      <c r="L4375">
        <v>-137.19</v>
      </c>
      <c r="M4375">
        <v>92</v>
      </c>
      <c r="N4375">
        <v>-7.72</v>
      </c>
      <c r="O4375">
        <v>94</v>
      </c>
      <c r="P4375">
        <v>-0.08</v>
      </c>
      <c r="Q4375">
        <v>96</v>
      </c>
      <c r="R4375">
        <v>7.36</v>
      </c>
      <c r="S4375">
        <v>84</v>
      </c>
      <c r="T4375">
        <v>-8.3000000000000007</v>
      </c>
      <c r="U4375">
        <v>92</v>
      </c>
      <c r="V4375">
        <v>1.73</v>
      </c>
      <c r="W4375">
        <v>72</v>
      </c>
      <c r="X4375" t="s">
        <v>94</v>
      </c>
      <c r="Y4375" t="s">
        <v>282</v>
      </c>
      <c r="Z4375" t="s">
        <v>96</v>
      </c>
      <c r="AA4375" t="s">
        <v>1680</v>
      </c>
      <c r="AB4375" t="s">
        <v>8999</v>
      </c>
      <c r="AC4375">
        <v>394</v>
      </c>
      <c r="AD4375">
        <v>113</v>
      </c>
      <c r="AE4375">
        <v>99</v>
      </c>
      <c r="AF4375">
        <v>271.12</v>
      </c>
      <c r="AG4375">
        <v>8.0399999999999991</v>
      </c>
      <c r="AH4375">
        <v>5.76</v>
      </c>
      <c r="AI4375">
        <v>-0.04</v>
      </c>
      <c r="AJ4375">
        <v>-0.06</v>
      </c>
      <c r="AK4375">
        <v>92</v>
      </c>
      <c r="AL4375">
        <v>324</v>
      </c>
      <c r="AM4375">
        <v>95</v>
      </c>
      <c r="AN4375">
        <v>8.32</v>
      </c>
      <c r="AO4375">
        <v>-2.61</v>
      </c>
      <c r="AP4375">
        <v>666</v>
      </c>
      <c r="AQ4375">
        <v>0</v>
      </c>
      <c r="AR4375">
        <v>12.06</v>
      </c>
      <c r="AS4375">
        <v>91</v>
      </c>
      <c r="AT4375">
        <v>5.14</v>
      </c>
      <c r="AU4375">
        <v>96</v>
      </c>
      <c r="AV4375">
        <v>-3.1</v>
      </c>
      <c r="AW4375">
        <v>98</v>
      </c>
      <c r="AX4375">
        <v>-0.02</v>
      </c>
      <c r="AY4375">
        <v>94</v>
      </c>
      <c r="AZ4375">
        <v>5.35</v>
      </c>
      <c r="BA4375">
        <v>85</v>
      </c>
      <c r="BB4375">
        <v>4.4000000000000004</v>
      </c>
      <c r="BC4375">
        <v>79</v>
      </c>
      <c r="BD4375">
        <v>-0.02</v>
      </c>
      <c r="BE4375">
        <v>-0.04</v>
      </c>
      <c r="BF4375">
        <v>-0.06</v>
      </c>
      <c r="BG4375">
        <v>96</v>
      </c>
      <c r="BH4375">
        <v>-0.11</v>
      </c>
      <c r="BI4375">
        <v>-18.3</v>
      </c>
      <c r="BJ4375">
        <v>218</v>
      </c>
      <c r="BK4375">
        <v>83</v>
      </c>
      <c r="BL4375">
        <v>2.2200000000000002</v>
      </c>
      <c r="BM4375">
        <v>-0.95</v>
      </c>
      <c r="BN4375">
        <v>0.57999999999999996</v>
      </c>
      <c r="BO4375">
        <v>1.54</v>
      </c>
      <c r="BP4375">
        <v>-0.62</v>
      </c>
      <c r="BQ4375">
        <v>3.14</v>
      </c>
      <c r="BR4375">
        <v>2.09</v>
      </c>
      <c r="BS4375">
        <v>-2.16</v>
      </c>
      <c r="BT4375">
        <v>-2.1</v>
      </c>
      <c r="BU4375">
        <v>3.8</v>
      </c>
      <c r="BV4375">
        <v>3</v>
      </c>
      <c r="BW4375">
        <v>2.37</v>
      </c>
      <c r="BX4375">
        <v>2.98</v>
      </c>
      <c r="BY4375">
        <v>3.34</v>
      </c>
      <c r="BZ4375">
        <v>0.32</v>
      </c>
      <c r="CA4375">
        <v>1.89</v>
      </c>
      <c r="CB4375">
        <v>2.65</v>
      </c>
      <c r="CC4375">
        <v>-0.36</v>
      </c>
      <c r="CD4375">
        <v>-0.92</v>
      </c>
      <c r="CE4375">
        <v>1.19</v>
      </c>
      <c r="CF4375">
        <v>1.73</v>
      </c>
      <c r="CG4375">
        <v>0</v>
      </c>
      <c r="CH4375">
        <v>3.33</v>
      </c>
      <c r="CI4375">
        <v>0</v>
      </c>
      <c r="CJ4375">
        <v>3.3</v>
      </c>
      <c r="CK4375">
        <v>97</v>
      </c>
      <c r="CL4375">
        <v>-1.28</v>
      </c>
      <c r="CM4375">
        <v>96</v>
      </c>
      <c r="CN4375">
        <v>-0.63</v>
      </c>
      <c r="CO4375">
        <v>96</v>
      </c>
      <c r="CP4375">
        <v>8</v>
      </c>
      <c r="CQ4375">
        <v>95</v>
      </c>
      <c r="CR4375">
        <v>0</v>
      </c>
      <c r="CS4375">
        <v>0</v>
      </c>
      <c r="CT4375">
        <v>25</v>
      </c>
      <c r="CU4375">
        <v>92</v>
      </c>
      <c r="CV4375">
        <v>0.39</v>
      </c>
      <c r="CW4375">
        <v>45</v>
      </c>
      <c r="CX4375" t="s">
        <v>9000</v>
      </c>
    </row>
    <row r="4376" spans="1:102" x14ac:dyDescent="0.3">
      <c r="A4376" t="str">
        <f>HYPERLINK("https://webapp.icbf.com/v2/app/bull-search/view/77857897","FHM")</f>
        <v>FHM</v>
      </c>
      <c r="B4376" t="s">
        <v>8771</v>
      </c>
      <c r="C4376" t="s">
        <v>8772</v>
      </c>
      <c r="D4376" s="1">
        <v>33004</v>
      </c>
      <c r="E4376" t="s">
        <v>92</v>
      </c>
      <c r="F4376">
        <v>100</v>
      </c>
      <c r="G4376" t="s">
        <v>109</v>
      </c>
      <c r="H4376">
        <v>-118.03</v>
      </c>
      <c r="I4376">
        <v>77</v>
      </c>
      <c r="J4376">
        <v>22.35</v>
      </c>
      <c r="K4376">
        <v>91</v>
      </c>
      <c r="L4376">
        <v>-137.63</v>
      </c>
      <c r="M4376">
        <v>81</v>
      </c>
      <c r="N4376">
        <v>2.21</v>
      </c>
      <c r="O4376">
        <v>62</v>
      </c>
      <c r="P4376">
        <v>-7.8</v>
      </c>
      <c r="Q4376">
        <v>60</v>
      </c>
      <c r="R4376">
        <v>-9.6</v>
      </c>
      <c r="S4376">
        <v>72</v>
      </c>
      <c r="T4376">
        <v>16.559999999999999</v>
      </c>
      <c r="U4376">
        <v>50</v>
      </c>
      <c r="V4376">
        <v>-4.12</v>
      </c>
      <c r="W4376">
        <v>52</v>
      </c>
      <c r="X4376" t="s">
        <v>276</v>
      </c>
      <c r="Y4376" t="s">
        <v>95</v>
      </c>
      <c r="Z4376" t="s">
        <v>96</v>
      </c>
      <c r="AA4376" t="s">
        <v>2615</v>
      </c>
      <c r="AB4376" t="s">
        <v>8773</v>
      </c>
      <c r="AC4376">
        <v>0</v>
      </c>
      <c r="AD4376">
        <v>0</v>
      </c>
      <c r="AE4376">
        <v>91</v>
      </c>
      <c r="AF4376">
        <v>320.08999999999997</v>
      </c>
      <c r="AG4376">
        <v>6.7</v>
      </c>
      <c r="AH4376">
        <v>6.33</v>
      </c>
      <c r="AI4376">
        <v>-0.1</v>
      </c>
      <c r="AJ4376">
        <v>-0.08</v>
      </c>
      <c r="AK4376">
        <v>81</v>
      </c>
      <c r="AL4376">
        <v>0</v>
      </c>
      <c r="AM4376">
        <v>0</v>
      </c>
      <c r="AN4376">
        <v>7.96</v>
      </c>
      <c r="AO4376">
        <v>-3.01</v>
      </c>
      <c r="AP4376">
        <v>6</v>
      </c>
      <c r="AQ4376">
        <v>0</v>
      </c>
      <c r="AR4376">
        <v>10.81</v>
      </c>
      <c r="AS4376">
        <v>48</v>
      </c>
      <c r="AT4376">
        <v>3.66</v>
      </c>
      <c r="AU4376">
        <v>89</v>
      </c>
      <c r="AV4376">
        <v>-2.6</v>
      </c>
      <c r="AW4376">
        <v>59</v>
      </c>
      <c r="AX4376">
        <v>-0.84</v>
      </c>
      <c r="AY4376">
        <v>54</v>
      </c>
      <c r="AZ4376">
        <v>8.27</v>
      </c>
      <c r="BA4376">
        <v>37</v>
      </c>
      <c r="BB4376">
        <v>5.6</v>
      </c>
      <c r="BC4376">
        <v>43</v>
      </c>
      <c r="BD4376">
        <v>0.04</v>
      </c>
      <c r="BE4376">
        <v>0.06</v>
      </c>
      <c r="BF4376">
        <v>0.04</v>
      </c>
      <c r="BG4376">
        <v>89</v>
      </c>
      <c r="BH4376">
        <v>-0.08</v>
      </c>
      <c r="BI4376">
        <v>4.04</v>
      </c>
      <c r="BJ4376">
        <v>0</v>
      </c>
      <c r="BK4376">
        <v>0</v>
      </c>
      <c r="BL4376">
        <v>-7.0000000000000007E-2</v>
      </c>
      <c r="BM4376">
        <v>-1.91</v>
      </c>
      <c r="BN4376">
        <v>-1.43</v>
      </c>
      <c r="BO4376">
        <v>-0.19</v>
      </c>
      <c r="BP4376">
        <v>0.31</v>
      </c>
      <c r="BQ4376">
        <v>-1.78</v>
      </c>
      <c r="BR4376">
        <v>-0.48</v>
      </c>
      <c r="BS4376">
        <v>-0.49</v>
      </c>
      <c r="BT4376">
        <v>-1.18</v>
      </c>
      <c r="BU4376">
        <v>-1.34</v>
      </c>
      <c r="BV4376">
        <v>-0.27</v>
      </c>
      <c r="BW4376">
        <v>-0.73</v>
      </c>
      <c r="BX4376">
        <v>-0.88</v>
      </c>
      <c r="BY4376">
        <v>-2.4300000000000002</v>
      </c>
      <c r="BZ4376">
        <v>-2.79</v>
      </c>
      <c r="CA4376">
        <v>-0.63</v>
      </c>
      <c r="CB4376">
        <v>-1.03</v>
      </c>
      <c r="CC4376">
        <v>0.18</v>
      </c>
      <c r="CD4376">
        <v>-1.18</v>
      </c>
      <c r="CE4376">
        <v>0.99</v>
      </c>
      <c r="CF4376">
        <v>0.31</v>
      </c>
      <c r="CG4376">
        <v>0</v>
      </c>
      <c r="CH4376">
        <v>-1.61</v>
      </c>
      <c r="CI4376">
        <v>0</v>
      </c>
      <c r="CJ4376">
        <v>-4.5</v>
      </c>
      <c r="CK4376">
        <v>62</v>
      </c>
      <c r="CL4376">
        <v>-0.62</v>
      </c>
      <c r="CM4376">
        <v>58</v>
      </c>
      <c r="CN4376">
        <v>-0.49</v>
      </c>
      <c r="CO4376">
        <v>56</v>
      </c>
      <c r="CP4376">
        <v>-6.2</v>
      </c>
      <c r="CQ4376">
        <v>59</v>
      </c>
      <c r="CR4376">
        <v>0</v>
      </c>
      <c r="CS4376">
        <v>0</v>
      </c>
      <c r="CT4376">
        <v>-8.6</v>
      </c>
      <c r="CU4376">
        <v>50</v>
      </c>
      <c r="CV4376">
        <v>0.02</v>
      </c>
      <c r="CW4376">
        <v>37</v>
      </c>
      <c r="CX4376" t="s">
        <v>168</v>
      </c>
    </row>
    <row r="4377" spans="1:102" x14ac:dyDescent="0.3">
      <c r="A4377" t="str">
        <f>HYPERLINK("https://webapp.icbf.com/v2/app/bull-search/view/77854507","RFR")</f>
        <v>RFR</v>
      </c>
      <c r="B4377" t="s">
        <v>948</v>
      </c>
      <c r="C4377" t="s">
        <v>949</v>
      </c>
      <c r="D4377" s="1">
        <v>32931</v>
      </c>
      <c r="E4377" t="s">
        <v>92</v>
      </c>
      <c r="F4377">
        <v>100</v>
      </c>
      <c r="G4377" t="s">
        <v>93</v>
      </c>
      <c r="H4377">
        <v>-118.08</v>
      </c>
      <c r="I4377">
        <v>92</v>
      </c>
      <c r="J4377">
        <v>-12.57</v>
      </c>
      <c r="K4377">
        <v>98</v>
      </c>
      <c r="L4377">
        <v>-73.42</v>
      </c>
      <c r="M4377">
        <v>92</v>
      </c>
      <c r="N4377">
        <v>-33.159999999999997</v>
      </c>
      <c r="O4377">
        <v>85</v>
      </c>
      <c r="P4377">
        <v>-6.77</v>
      </c>
      <c r="Q4377">
        <v>91</v>
      </c>
      <c r="R4377">
        <v>-3.2</v>
      </c>
      <c r="S4377">
        <v>84</v>
      </c>
      <c r="T4377">
        <v>10.35</v>
      </c>
      <c r="U4377">
        <v>88</v>
      </c>
      <c r="V4377">
        <v>0.69</v>
      </c>
      <c r="W4377">
        <v>72</v>
      </c>
      <c r="X4377" t="s">
        <v>251</v>
      </c>
      <c r="Y4377" t="s">
        <v>95</v>
      </c>
      <c r="Z4377" t="s">
        <v>96</v>
      </c>
      <c r="AA4377" t="s">
        <v>111</v>
      </c>
      <c r="AB4377" t="s">
        <v>950</v>
      </c>
      <c r="AC4377">
        <v>174</v>
      </c>
      <c r="AD4377">
        <v>125</v>
      </c>
      <c r="AE4377">
        <v>98</v>
      </c>
      <c r="AF4377">
        <v>67.239999999999995</v>
      </c>
      <c r="AG4377">
        <v>-1.07</v>
      </c>
      <c r="AH4377">
        <v>-0.73</v>
      </c>
      <c r="AI4377">
        <v>-0.06</v>
      </c>
      <c r="AJ4377">
        <v>-0.05</v>
      </c>
      <c r="AK4377">
        <v>92</v>
      </c>
      <c r="AL4377">
        <v>185</v>
      </c>
      <c r="AM4377">
        <v>113</v>
      </c>
      <c r="AN4377">
        <v>4.41</v>
      </c>
      <c r="AO4377">
        <v>-1.44</v>
      </c>
      <c r="AP4377">
        <v>27</v>
      </c>
      <c r="AQ4377">
        <v>0</v>
      </c>
      <c r="AR4377">
        <v>11.58</v>
      </c>
      <c r="AS4377">
        <v>75</v>
      </c>
      <c r="AT4377">
        <v>5.83</v>
      </c>
      <c r="AU4377">
        <v>94</v>
      </c>
      <c r="AV4377">
        <v>-0.86</v>
      </c>
      <c r="AW4377">
        <v>85</v>
      </c>
      <c r="AX4377">
        <v>-0.31</v>
      </c>
      <c r="AY4377">
        <v>89</v>
      </c>
      <c r="AZ4377">
        <v>5.29</v>
      </c>
      <c r="BA4377">
        <v>71</v>
      </c>
      <c r="BB4377">
        <v>4.66</v>
      </c>
      <c r="BC4377">
        <v>76</v>
      </c>
      <c r="BD4377">
        <v>0.04</v>
      </c>
      <c r="BE4377">
        <v>0.03</v>
      </c>
      <c r="BF4377">
        <v>-0.05</v>
      </c>
      <c r="BG4377">
        <v>95</v>
      </c>
      <c r="BH4377">
        <v>0.02</v>
      </c>
      <c r="BI4377">
        <v>0.08</v>
      </c>
      <c r="BJ4377">
        <v>65</v>
      </c>
      <c r="BK4377">
        <v>49</v>
      </c>
      <c r="BL4377">
        <v>0.69</v>
      </c>
      <c r="BM4377">
        <v>-0.89</v>
      </c>
      <c r="BN4377">
        <v>1.27</v>
      </c>
      <c r="BO4377">
        <v>1.01</v>
      </c>
      <c r="BP4377">
        <v>-2.79</v>
      </c>
      <c r="BQ4377">
        <v>-0.45</v>
      </c>
      <c r="BR4377">
        <v>0.88</v>
      </c>
      <c r="BS4377">
        <v>0.71</v>
      </c>
      <c r="BT4377">
        <v>-1.52</v>
      </c>
      <c r="BU4377">
        <v>1.55</v>
      </c>
      <c r="BV4377">
        <v>1.08</v>
      </c>
      <c r="BW4377">
        <v>1.31</v>
      </c>
      <c r="BX4377">
        <v>0.52</v>
      </c>
      <c r="BY4377">
        <v>0.53</v>
      </c>
      <c r="BZ4377">
        <v>1.25</v>
      </c>
      <c r="CA4377">
        <v>0.97</v>
      </c>
      <c r="CB4377">
        <v>1.1200000000000001</v>
      </c>
      <c r="CC4377">
        <v>0.53</v>
      </c>
      <c r="CD4377">
        <v>-1.1200000000000001</v>
      </c>
      <c r="CE4377">
        <v>0.71</v>
      </c>
      <c r="CF4377">
        <v>0.79</v>
      </c>
      <c r="CG4377">
        <v>0</v>
      </c>
      <c r="CH4377">
        <v>0.47</v>
      </c>
      <c r="CI4377">
        <v>0</v>
      </c>
      <c r="CJ4377">
        <v>-1.2</v>
      </c>
      <c r="CK4377">
        <v>91</v>
      </c>
      <c r="CL4377">
        <v>-0.69</v>
      </c>
      <c r="CM4377">
        <v>90</v>
      </c>
      <c r="CN4377">
        <v>-0.23</v>
      </c>
      <c r="CO4377">
        <v>88</v>
      </c>
      <c r="CP4377">
        <v>-4.5999999999999996</v>
      </c>
      <c r="CQ4377">
        <v>93</v>
      </c>
      <c r="CR4377">
        <v>0</v>
      </c>
      <c r="CS4377">
        <v>0</v>
      </c>
      <c r="CT4377">
        <v>-0.2</v>
      </c>
      <c r="CU4377">
        <v>88</v>
      </c>
      <c r="CV4377">
        <v>0.09</v>
      </c>
      <c r="CW4377">
        <v>44</v>
      </c>
      <c r="CX4377" t="s">
        <v>163</v>
      </c>
    </row>
    <row r="4378" spans="1:102" x14ac:dyDescent="0.3">
      <c r="A4378" t="str">
        <f>HYPERLINK("https://webapp.icbf.com/v2/app/bull-search/view/77853439","SRJ")</f>
        <v>SRJ</v>
      </c>
      <c r="B4378" t="s">
        <v>14990</v>
      </c>
      <c r="C4378" t="s">
        <v>14991</v>
      </c>
      <c r="D4378" s="1">
        <v>34723</v>
      </c>
      <c r="E4378" t="s">
        <v>92</v>
      </c>
      <c r="F4378">
        <v>100</v>
      </c>
      <c r="G4378" t="s">
        <v>93</v>
      </c>
      <c r="H4378">
        <v>-118.26</v>
      </c>
      <c r="I4378">
        <v>64</v>
      </c>
      <c r="J4378">
        <v>6.79</v>
      </c>
      <c r="K4378">
        <v>86</v>
      </c>
      <c r="L4378">
        <v>-130.07</v>
      </c>
      <c r="M4378">
        <v>48</v>
      </c>
      <c r="N4378">
        <v>20.57</v>
      </c>
      <c r="O4378">
        <v>58</v>
      </c>
      <c r="P4378">
        <v>-9.4600000000000009</v>
      </c>
      <c r="Q4378">
        <v>70</v>
      </c>
      <c r="R4378">
        <v>-4.03</v>
      </c>
      <c r="S4378">
        <v>54</v>
      </c>
      <c r="T4378">
        <v>2.58</v>
      </c>
      <c r="U4378">
        <v>57</v>
      </c>
      <c r="V4378">
        <v>-4.6399999999999997</v>
      </c>
      <c r="W4378">
        <v>29</v>
      </c>
      <c r="X4378" t="s">
        <v>94</v>
      </c>
      <c r="Y4378" t="s">
        <v>95</v>
      </c>
      <c r="Z4378" t="s">
        <v>96</v>
      </c>
      <c r="AA4378" t="s">
        <v>3229</v>
      </c>
      <c r="AB4378" t="s">
        <v>14992</v>
      </c>
      <c r="AC4378">
        <v>27</v>
      </c>
      <c r="AD4378">
        <v>28</v>
      </c>
      <c r="AE4378">
        <v>86</v>
      </c>
      <c r="AF4378">
        <v>74.58</v>
      </c>
      <c r="AG4378">
        <v>1.43</v>
      </c>
      <c r="AH4378">
        <v>1.79</v>
      </c>
      <c r="AI4378">
        <v>-0.02</v>
      </c>
      <c r="AJ4378">
        <v>-0.01</v>
      </c>
      <c r="AK4378">
        <v>48</v>
      </c>
      <c r="AL4378">
        <v>30</v>
      </c>
      <c r="AM4378">
        <v>23</v>
      </c>
      <c r="AN4378">
        <v>7.29</v>
      </c>
      <c r="AO4378">
        <v>-3.08</v>
      </c>
      <c r="AP4378">
        <v>53</v>
      </c>
      <c r="AQ4378">
        <v>0</v>
      </c>
      <c r="AR4378">
        <v>6.11</v>
      </c>
      <c r="AS4378">
        <v>46</v>
      </c>
      <c r="AT4378">
        <v>3.17</v>
      </c>
      <c r="AU4378">
        <v>60</v>
      </c>
      <c r="AV4378">
        <v>-1.56</v>
      </c>
      <c r="AW4378">
        <v>66</v>
      </c>
      <c r="AX4378">
        <v>-0.7</v>
      </c>
      <c r="AY4378">
        <v>65</v>
      </c>
      <c r="AZ4378">
        <v>6.02</v>
      </c>
      <c r="BA4378">
        <v>31</v>
      </c>
      <c r="BB4378">
        <v>4.5</v>
      </c>
      <c r="BC4378">
        <v>38</v>
      </c>
      <c r="BD4378">
        <v>0.01</v>
      </c>
      <c r="BE4378">
        <v>0.04</v>
      </c>
      <c r="BF4378">
        <v>0</v>
      </c>
      <c r="BG4378">
        <v>66</v>
      </c>
      <c r="BH4378">
        <v>-0.06</v>
      </c>
      <c r="BI4378">
        <v>8.02</v>
      </c>
      <c r="BJ4378">
        <v>6</v>
      </c>
      <c r="BK4378">
        <v>6</v>
      </c>
      <c r="BL4378">
        <v>0.06</v>
      </c>
      <c r="BM4378">
        <v>-0.63</v>
      </c>
      <c r="BN4378">
        <v>0.32</v>
      </c>
      <c r="BO4378">
        <v>0.33</v>
      </c>
      <c r="BP4378">
        <v>-1.63</v>
      </c>
      <c r="BQ4378">
        <v>-1.34</v>
      </c>
      <c r="BR4378">
        <v>0.72</v>
      </c>
      <c r="BS4378">
        <v>-0.99</v>
      </c>
      <c r="BT4378">
        <v>-0.77</v>
      </c>
      <c r="BU4378">
        <v>-0.48</v>
      </c>
      <c r="BV4378">
        <v>-0.06</v>
      </c>
      <c r="BW4378">
        <v>0.44</v>
      </c>
      <c r="BX4378">
        <v>0.37</v>
      </c>
      <c r="BY4378">
        <v>-0.22</v>
      </c>
      <c r="BZ4378">
        <v>0.46</v>
      </c>
      <c r="CA4378">
        <v>-0.14000000000000001</v>
      </c>
      <c r="CB4378">
        <v>0.02</v>
      </c>
      <c r="CC4378">
        <v>-0.43</v>
      </c>
      <c r="CD4378">
        <v>-1.19</v>
      </c>
      <c r="CE4378">
        <v>0.27</v>
      </c>
      <c r="CF4378">
        <v>-0.26</v>
      </c>
      <c r="CG4378">
        <v>0</v>
      </c>
      <c r="CH4378">
        <v>-0.3</v>
      </c>
      <c r="CI4378">
        <v>0</v>
      </c>
      <c r="CJ4378">
        <v>-3.8</v>
      </c>
      <c r="CK4378">
        <v>72</v>
      </c>
      <c r="CL4378">
        <v>-0.73</v>
      </c>
      <c r="CM4378">
        <v>68</v>
      </c>
      <c r="CN4378">
        <v>-0.31</v>
      </c>
      <c r="CO4378">
        <v>64</v>
      </c>
      <c r="CP4378">
        <v>-2.1</v>
      </c>
      <c r="CQ4378">
        <v>73</v>
      </c>
      <c r="CR4378">
        <v>0</v>
      </c>
      <c r="CS4378">
        <v>0</v>
      </c>
      <c r="CT4378">
        <v>10.3</v>
      </c>
      <c r="CU4378">
        <v>57</v>
      </c>
      <c r="CV4378">
        <v>0.05</v>
      </c>
      <c r="CW4378">
        <v>19</v>
      </c>
      <c r="CX4378" t="s">
        <v>161</v>
      </c>
    </row>
    <row r="4379" spans="1:102" x14ac:dyDescent="0.3">
      <c r="A4379" t="str">
        <f>HYPERLINK("https://webapp.icbf.com/v2/app/bull-search/view/77854411","RAU")</f>
        <v>RAU</v>
      </c>
      <c r="B4379" t="s">
        <v>10433</v>
      </c>
      <c r="C4379" t="s">
        <v>10434</v>
      </c>
      <c r="D4379" s="1">
        <v>31917</v>
      </c>
      <c r="E4379" t="s">
        <v>92</v>
      </c>
      <c r="F4379">
        <v>100</v>
      </c>
      <c r="G4379" t="s">
        <v>109</v>
      </c>
      <c r="H4379">
        <v>-118.29</v>
      </c>
      <c r="I4379">
        <v>86</v>
      </c>
      <c r="J4379">
        <v>-10.32</v>
      </c>
      <c r="K4379">
        <v>95</v>
      </c>
      <c r="L4379">
        <v>-88.94</v>
      </c>
      <c r="M4379">
        <v>89</v>
      </c>
      <c r="N4379">
        <v>-1.46</v>
      </c>
      <c r="O4379">
        <v>72</v>
      </c>
      <c r="P4379">
        <v>-19.78</v>
      </c>
      <c r="Q4379">
        <v>78</v>
      </c>
      <c r="R4379">
        <v>-5.73</v>
      </c>
      <c r="S4379">
        <v>79</v>
      </c>
      <c r="T4379">
        <v>13.68</v>
      </c>
      <c r="U4379">
        <v>79</v>
      </c>
      <c r="V4379">
        <v>-5.74</v>
      </c>
      <c r="W4379">
        <v>67</v>
      </c>
      <c r="X4379" t="s">
        <v>110</v>
      </c>
      <c r="Y4379" t="s">
        <v>95</v>
      </c>
      <c r="Z4379" t="s">
        <v>96</v>
      </c>
      <c r="AA4379" t="s">
        <v>154</v>
      </c>
      <c r="AB4379" t="s">
        <v>10435</v>
      </c>
      <c r="AC4379">
        <v>28</v>
      </c>
      <c r="AD4379">
        <v>22</v>
      </c>
      <c r="AE4379">
        <v>95</v>
      </c>
      <c r="AF4379">
        <v>-105.68</v>
      </c>
      <c r="AG4379">
        <v>3.13</v>
      </c>
      <c r="AH4379">
        <v>-4.4800000000000004</v>
      </c>
      <c r="AI4379">
        <v>0.13</v>
      </c>
      <c r="AJ4379">
        <v>-0.02</v>
      </c>
      <c r="AK4379">
        <v>89</v>
      </c>
      <c r="AL4379">
        <v>50</v>
      </c>
      <c r="AM4379">
        <v>30</v>
      </c>
      <c r="AN4379">
        <v>5.07</v>
      </c>
      <c r="AO4379">
        <v>-2.02</v>
      </c>
      <c r="AP4379">
        <v>21</v>
      </c>
      <c r="AQ4379">
        <v>1</v>
      </c>
      <c r="AR4379">
        <v>9.48</v>
      </c>
      <c r="AS4379">
        <v>60</v>
      </c>
      <c r="AT4379">
        <v>4.09</v>
      </c>
      <c r="AU4379">
        <v>89</v>
      </c>
      <c r="AV4379">
        <v>-2.9</v>
      </c>
      <c r="AW4379">
        <v>72</v>
      </c>
      <c r="AX4379">
        <v>0.53</v>
      </c>
      <c r="AY4379">
        <v>67</v>
      </c>
      <c r="AZ4379">
        <v>7.85</v>
      </c>
      <c r="BA4379">
        <v>52</v>
      </c>
      <c r="BB4379">
        <v>6.09</v>
      </c>
      <c r="BC4379">
        <v>58</v>
      </c>
      <c r="BD4379">
        <v>0.04</v>
      </c>
      <c r="BE4379">
        <v>0.05</v>
      </c>
      <c r="BF4379">
        <v>-0.03</v>
      </c>
      <c r="BG4379">
        <v>92</v>
      </c>
      <c r="BH4379">
        <v>0.03</v>
      </c>
      <c r="BI4379">
        <v>21.99</v>
      </c>
      <c r="BJ4379">
        <v>2</v>
      </c>
      <c r="BK4379">
        <v>2</v>
      </c>
      <c r="BL4379">
        <v>-0.16</v>
      </c>
      <c r="BM4379">
        <v>-0.17</v>
      </c>
      <c r="BN4379">
        <v>0.65</v>
      </c>
      <c r="BO4379">
        <v>0.15</v>
      </c>
      <c r="BP4379">
        <v>-1.02</v>
      </c>
      <c r="BQ4379">
        <v>-0.91</v>
      </c>
      <c r="BR4379">
        <v>0.32</v>
      </c>
      <c r="BS4379">
        <v>-0.77</v>
      </c>
      <c r="BT4379">
        <v>-0.51</v>
      </c>
      <c r="BU4379">
        <v>-0.77</v>
      </c>
      <c r="BV4379">
        <v>-0.69</v>
      </c>
      <c r="BW4379">
        <v>-0.55000000000000004</v>
      </c>
      <c r="BX4379">
        <v>-0.56999999999999995</v>
      </c>
      <c r="BY4379">
        <v>-0.71</v>
      </c>
      <c r="BZ4379">
        <v>-0.32</v>
      </c>
      <c r="CA4379">
        <v>-0.93</v>
      </c>
      <c r="CB4379">
        <v>-1</v>
      </c>
      <c r="CC4379">
        <v>0</v>
      </c>
      <c r="CD4379">
        <v>0.02</v>
      </c>
      <c r="CE4379">
        <v>0.3</v>
      </c>
      <c r="CF4379">
        <v>-0.14000000000000001</v>
      </c>
      <c r="CG4379">
        <v>0</v>
      </c>
      <c r="CH4379">
        <v>-0.76</v>
      </c>
      <c r="CI4379">
        <v>0</v>
      </c>
      <c r="CJ4379">
        <v>-7.4</v>
      </c>
      <c r="CK4379">
        <v>79</v>
      </c>
      <c r="CL4379">
        <v>-0.76</v>
      </c>
      <c r="CM4379">
        <v>76</v>
      </c>
      <c r="CN4379">
        <v>0.04</v>
      </c>
      <c r="CO4379">
        <v>73</v>
      </c>
      <c r="CP4379">
        <v>-8.4</v>
      </c>
      <c r="CQ4379">
        <v>80</v>
      </c>
      <c r="CR4379">
        <v>0</v>
      </c>
      <c r="CS4379">
        <v>0</v>
      </c>
      <c r="CT4379">
        <v>-4.7</v>
      </c>
      <c r="CU4379">
        <v>79</v>
      </c>
      <c r="CV4379">
        <v>0.04</v>
      </c>
      <c r="CW4379">
        <v>41</v>
      </c>
      <c r="CX4379" t="s">
        <v>3805</v>
      </c>
    </row>
    <row r="4380" spans="1:102" x14ac:dyDescent="0.3">
      <c r="A4380" t="str">
        <f>HYPERLINK("https://webapp.icbf.com/v2/app/bull-search/view/69092734","SUR")</f>
        <v>SUR</v>
      </c>
      <c r="B4380" t="s">
        <v>11887</v>
      </c>
      <c r="C4380" t="s">
        <v>11888</v>
      </c>
      <c r="D4380" s="1">
        <v>36353</v>
      </c>
      <c r="E4380" t="s">
        <v>92</v>
      </c>
      <c r="F4380">
        <v>100</v>
      </c>
      <c r="G4380" t="s">
        <v>116</v>
      </c>
      <c r="H4380">
        <v>-118.38</v>
      </c>
      <c r="I4380">
        <v>34</v>
      </c>
      <c r="J4380">
        <v>-11.24</v>
      </c>
      <c r="K4380">
        <v>35</v>
      </c>
      <c r="L4380">
        <v>-94.77</v>
      </c>
      <c r="M4380">
        <v>30</v>
      </c>
      <c r="N4380">
        <v>-7.3</v>
      </c>
      <c r="O4380">
        <v>34</v>
      </c>
      <c r="P4380">
        <v>-7.27</v>
      </c>
      <c r="Q4380">
        <v>48</v>
      </c>
      <c r="R4380">
        <v>-9.02</v>
      </c>
      <c r="S4380">
        <v>33</v>
      </c>
      <c r="T4380">
        <v>9.9</v>
      </c>
      <c r="U4380">
        <v>42</v>
      </c>
      <c r="V4380">
        <v>1.32</v>
      </c>
      <c r="W4380">
        <v>28</v>
      </c>
      <c r="X4380" t="s">
        <v>94</v>
      </c>
      <c r="Y4380" t="s">
        <v>1006</v>
      </c>
      <c r="Z4380" t="s">
        <v>96</v>
      </c>
      <c r="AA4380" t="s">
        <v>3279</v>
      </c>
      <c r="AB4380" t="s">
        <v>11889</v>
      </c>
      <c r="AC4380">
        <v>2</v>
      </c>
      <c r="AD4380">
        <v>2</v>
      </c>
      <c r="AE4380">
        <v>35</v>
      </c>
      <c r="AF4380">
        <v>123.07</v>
      </c>
      <c r="AG4380">
        <v>0.23</v>
      </c>
      <c r="AH4380">
        <v>-0.11</v>
      </c>
      <c r="AI4380">
        <v>-7.0000000000000007E-2</v>
      </c>
      <c r="AJ4380">
        <v>-7.0000000000000007E-2</v>
      </c>
      <c r="AK4380">
        <v>30</v>
      </c>
      <c r="AL4380">
        <v>3</v>
      </c>
      <c r="AM4380">
        <v>3</v>
      </c>
      <c r="AN4380">
        <v>4.2300000000000004</v>
      </c>
      <c r="AO4380">
        <v>-3.34</v>
      </c>
      <c r="AP4380">
        <v>3</v>
      </c>
      <c r="AQ4380">
        <v>0</v>
      </c>
      <c r="AR4380">
        <v>10.27</v>
      </c>
      <c r="AS4380">
        <v>30</v>
      </c>
      <c r="AT4380">
        <v>4.3499999999999996</v>
      </c>
      <c r="AU4380">
        <v>33</v>
      </c>
      <c r="AV4380">
        <v>-1.06</v>
      </c>
      <c r="AW4380">
        <v>39</v>
      </c>
      <c r="AX4380">
        <v>-0.56999999999999995</v>
      </c>
      <c r="AY4380">
        <v>35</v>
      </c>
      <c r="AZ4380">
        <v>5.59</v>
      </c>
      <c r="BA4380">
        <v>26</v>
      </c>
      <c r="BB4380">
        <v>4.58</v>
      </c>
      <c r="BC4380">
        <v>27</v>
      </c>
      <c r="BD4380">
        <v>0.02</v>
      </c>
      <c r="BE4380">
        <v>0.06</v>
      </c>
      <c r="BF4380">
        <v>0.06</v>
      </c>
      <c r="BG4380">
        <v>38</v>
      </c>
      <c r="BH4380">
        <v>7.0000000000000007E-2</v>
      </c>
      <c r="BI4380">
        <v>3.84</v>
      </c>
      <c r="BJ4380">
        <v>0</v>
      </c>
      <c r="BK4380">
        <v>0</v>
      </c>
      <c r="BL4380">
        <v>0.78</v>
      </c>
      <c r="BM4380">
        <v>-0.2</v>
      </c>
      <c r="BN4380">
        <v>0.18</v>
      </c>
      <c r="BO4380">
        <v>0.34</v>
      </c>
      <c r="BP4380">
        <v>-0.61</v>
      </c>
      <c r="BQ4380">
        <v>0.04</v>
      </c>
      <c r="BR4380">
        <v>0.78</v>
      </c>
      <c r="BS4380">
        <v>-1.31</v>
      </c>
      <c r="BT4380">
        <v>-0.26</v>
      </c>
      <c r="BU4380">
        <v>-0.23</v>
      </c>
      <c r="BV4380">
        <v>-0.21</v>
      </c>
      <c r="BW4380">
        <v>-0.26</v>
      </c>
      <c r="BX4380">
        <v>0.12</v>
      </c>
      <c r="BY4380">
        <v>0.06</v>
      </c>
      <c r="BZ4380">
        <v>-1.53</v>
      </c>
      <c r="CA4380">
        <v>-0.36</v>
      </c>
      <c r="CB4380">
        <v>0</v>
      </c>
      <c r="CC4380">
        <v>-0.86</v>
      </c>
      <c r="CD4380">
        <v>-0.15</v>
      </c>
      <c r="CE4380">
        <v>0.39</v>
      </c>
      <c r="CF4380">
        <v>0.37</v>
      </c>
      <c r="CG4380">
        <v>0</v>
      </c>
      <c r="CH4380">
        <v>0.09</v>
      </c>
      <c r="CI4380">
        <v>0</v>
      </c>
      <c r="CJ4380">
        <v>-2.1</v>
      </c>
      <c r="CK4380">
        <v>50</v>
      </c>
      <c r="CL4380">
        <v>-0.77</v>
      </c>
      <c r="CM4380">
        <v>46</v>
      </c>
      <c r="CN4380">
        <v>-0.35</v>
      </c>
      <c r="CO4380">
        <v>44</v>
      </c>
      <c r="CP4380">
        <v>-3.5</v>
      </c>
      <c r="CQ4380">
        <v>46</v>
      </c>
      <c r="CR4380">
        <v>0</v>
      </c>
      <c r="CS4380">
        <v>0</v>
      </c>
      <c r="CT4380">
        <v>0.4</v>
      </c>
      <c r="CU4380">
        <v>42</v>
      </c>
      <c r="CV4380">
        <v>0.16</v>
      </c>
      <c r="CW4380">
        <v>14</v>
      </c>
      <c r="CX4380" t="s">
        <v>596</v>
      </c>
    </row>
    <row r="4381" spans="1:102" x14ac:dyDescent="0.3">
      <c r="A4381" t="str">
        <f>HYPERLINK("https://webapp.icbf.com/v2/app/bull-search/view/77855611","MEL")</f>
        <v>MEL</v>
      </c>
      <c r="B4381" t="s">
        <v>10797</v>
      </c>
      <c r="C4381" t="s">
        <v>10798</v>
      </c>
      <c r="D4381" s="1">
        <v>35406</v>
      </c>
      <c r="E4381" t="s">
        <v>92</v>
      </c>
      <c r="F4381">
        <v>100</v>
      </c>
      <c r="G4381" t="s">
        <v>93</v>
      </c>
      <c r="H4381">
        <v>-118.91</v>
      </c>
      <c r="I4381">
        <v>70</v>
      </c>
      <c r="J4381">
        <v>-37.47</v>
      </c>
      <c r="K4381">
        <v>92</v>
      </c>
      <c r="L4381">
        <v>-56.88</v>
      </c>
      <c r="M4381">
        <v>57</v>
      </c>
      <c r="N4381">
        <v>-19.63</v>
      </c>
      <c r="O4381">
        <v>58</v>
      </c>
      <c r="P4381">
        <v>-5.67</v>
      </c>
      <c r="Q4381">
        <v>77</v>
      </c>
      <c r="R4381">
        <v>-1.36</v>
      </c>
      <c r="S4381">
        <v>59</v>
      </c>
      <c r="T4381">
        <v>4.72</v>
      </c>
      <c r="U4381">
        <v>72</v>
      </c>
      <c r="V4381">
        <v>-2.62</v>
      </c>
      <c r="W4381">
        <v>27</v>
      </c>
      <c r="X4381" t="s">
        <v>94</v>
      </c>
      <c r="Y4381" t="s">
        <v>95</v>
      </c>
      <c r="Z4381" t="s">
        <v>96</v>
      </c>
      <c r="AA4381" t="s">
        <v>97</v>
      </c>
      <c r="AB4381" t="s">
        <v>10799</v>
      </c>
      <c r="AC4381">
        <v>50</v>
      </c>
      <c r="AD4381">
        <v>39</v>
      </c>
      <c r="AE4381">
        <v>92</v>
      </c>
      <c r="AF4381">
        <v>-149.38</v>
      </c>
      <c r="AG4381">
        <v>-6.33</v>
      </c>
      <c r="AH4381">
        <v>-6.42</v>
      </c>
      <c r="AI4381">
        <v>-0.01</v>
      </c>
      <c r="AJ4381">
        <v>-0.02</v>
      </c>
      <c r="AK4381">
        <v>57</v>
      </c>
      <c r="AL4381">
        <v>58</v>
      </c>
      <c r="AM4381">
        <v>46</v>
      </c>
      <c r="AN4381">
        <v>3.56</v>
      </c>
      <c r="AO4381">
        <v>-0.97</v>
      </c>
      <c r="AP4381">
        <v>15</v>
      </c>
      <c r="AQ4381">
        <v>15</v>
      </c>
      <c r="AR4381">
        <v>10.52</v>
      </c>
      <c r="AS4381">
        <v>37</v>
      </c>
      <c r="AT4381">
        <v>4.59</v>
      </c>
      <c r="AU4381">
        <v>53</v>
      </c>
      <c r="AV4381">
        <v>-0.09</v>
      </c>
      <c r="AW4381">
        <v>69</v>
      </c>
      <c r="AX4381">
        <v>0.36</v>
      </c>
      <c r="AY4381">
        <v>68</v>
      </c>
      <c r="AZ4381">
        <v>5.23</v>
      </c>
      <c r="BA4381">
        <v>35</v>
      </c>
      <c r="BB4381">
        <v>4.37</v>
      </c>
      <c r="BC4381">
        <v>45</v>
      </c>
      <c r="BD4381">
        <v>-0.01</v>
      </c>
      <c r="BE4381">
        <v>0.02</v>
      </c>
      <c r="BF4381">
        <v>0.01</v>
      </c>
      <c r="BG4381">
        <v>73</v>
      </c>
      <c r="BH4381">
        <v>-0.1</v>
      </c>
      <c r="BI4381">
        <v>-3.12</v>
      </c>
      <c r="BJ4381">
        <v>3</v>
      </c>
      <c r="BK4381">
        <v>2</v>
      </c>
      <c r="BL4381">
        <v>0.2</v>
      </c>
      <c r="BM4381">
        <v>0</v>
      </c>
      <c r="BN4381">
        <v>-0.19</v>
      </c>
      <c r="BO4381">
        <v>-0.01</v>
      </c>
      <c r="BP4381">
        <v>0.26</v>
      </c>
      <c r="BQ4381">
        <v>0.22</v>
      </c>
      <c r="BR4381">
        <v>0.31</v>
      </c>
      <c r="BS4381">
        <v>0.53</v>
      </c>
      <c r="BT4381">
        <v>-0.22</v>
      </c>
      <c r="BU4381">
        <v>-0.4</v>
      </c>
      <c r="BV4381">
        <v>-0.27</v>
      </c>
      <c r="BW4381">
        <v>-0.05</v>
      </c>
      <c r="BX4381">
        <v>-0.32</v>
      </c>
      <c r="BY4381">
        <v>0.49</v>
      </c>
      <c r="BZ4381">
        <v>-0.56999999999999995</v>
      </c>
      <c r="CA4381">
        <v>-0.19</v>
      </c>
      <c r="CB4381">
        <v>0.12</v>
      </c>
      <c r="CC4381">
        <v>-0.79</v>
      </c>
      <c r="CD4381">
        <v>-7.0000000000000007E-2</v>
      </c>
      <c r="CE4381">
        <v>0.45</v>
      </c>
      <c r="CF4381">
        <v>0.24</v>
      </c>
      <c r="CG4381">
        <v>0</v>
      </c>
      <c r="CH4381">
        <v>-0.18</v>
      </c>
      <c r="CI4381">
        <v>0</v>
      </c>
      <c r="CJ4381">
        <v>-2.5</v>
      </c>
      <c r="CK4381">
        <v>79</v>
      </c>
      <c r="CL4381">
        <v>-0.46</v>
      </c>
      <c r="CM4381">
        <v>75</v>
      </c>
      <c r="CN4381">
        <v>-0.19</v>
      </c>
      <c r="CO4381">
        <v>70</v>
      </c>
      <c r="CP4381">
        <v>2</v>
      </c>
      <c r="CQ4381">
        <v>80</v>
      </c>
      <c r="CR4381">
        <v>0</v>
      </c>
      <c r="CS4381">
        <v>0</v>
      </c>
      <c r="CT4381">
        <v>7.4</v>
      </c>
      <c r="CU4381">
        <v>72</v>
      </c>
      <c r="CV4381">
        <v>0.02</v>
      </c>
      <c r="CW4381">
        <v>22</v>
      </c>
      <c r="CX4381" t="s">
        <v>99</v>
      </c>
    </row>
    <row r="4382" spans="1:102" x14ac:dyDescent="0.3">
      <c r="A4382" t="str">
        <f>HYPERLINK("https://webapp.icbf.com/v2/app/bull-search/view/124414393","BIU")</f>
        <v>BIU</v>
      </c>
      <c r="B4382" t="s">
        <v>4642</v>
      </c>
      <c r="C4382" t="s">
        <v>4643</v>
      </c>
      <c r="D4382" s="1">
        <v>35156</v>
      </c>
      <c r="E4382" t="s">
        <v>92</v>
      </c>
      <c r="F4382">
        <v>100</v>
      </c>
      <c r="G4382" t="s">
        <v>93</v>
      </c>
      <c r="H4382">
        <v>-119.03</v>
      </c>
      <c r="I4382">
        <v>96</v>
      </c>
      <c r="J4382">
        <v>0.81</v>
      </c>
      <c r="K4382">
        <v>99</v>
      </c>
      <c r="L4382">
        <v>-113.81</v>
      </c>
      <c r="M4382">
        <v>94</v>
      </c>
      <c r="N4382">
        <v>-12.36</v>
      </c>
      <c r="O4382">
        <v>96</v>
      </c>
      <c r="P4382">
        <v>-0.82</v>
      </c>
      <c r="Q4382">
        <v>98</v>
      </c>
      <c r="R4382">
        <v>2.8</v>
      </c>
      <c r="S4382">
        <v>92</v>
      </c>
      <c r="T4382">
        <v>1.17</v>
      </c>
      <c r="U4382">
        <v>94</v>
      </c>
      <c r="V4382">
        <v>3.18</v>
      </c>
      <c r="W4382">
        <v>88</v>
      </c>
      <c r="X4382" t="s">
        <v>558</v>
      </c>
      <c r="Y4382" t="s">
        <v>95</v>
      </c>
      <c r="Z4382" t="s">
        <v>96</v>
      </c>
      <c r="AA4382" t="s">
        <v>839</v>
      </c>
      <c r="AB4382" t="s">
        <v>4644</v>
      </c>
      <c r="AC4382">
        <v>496</v>
      </c>
      <c r="AD4382">
        <v>212</v>
      </c>
      <c r="AE4382">
        <v>99</v>
      </c>
      <c r="AF4382">
        <v>228.5</v>
      </c>
      <c r="AG4382">
        <v>4</v>
      </c>
      <c r="AH4382">
        <v>2.2200000000000002</v>
      </c>
      <c r="AI4382">
        <v>-0.08</v>
      </c>
      <c r="AJ4382">
        <v>-0.09</v>
      </c>
      <c r="AK4382">
        <v>94</v>
      </c>
      <c r="AL4382">
        <v>450</v>
      </c>
      <c r="AM4382">
        <v>168</v>
      </c>
      <c r="AN4382">
        <v>6.66</v>
      </c>
      <c r="AO4382">
        <v>-2.41</v>
      </c>
      <c r="AP4382">
        <v>760</v>
      </c>
      <c r="AQ4382">
        <v>5</v>
      </c>
      <c r="AR4382">
        <v>9.6300000000000008</v>
      </c>
      <c r="AS4382">
        <v>95</v>
      </c>
      <c r="AT4382">
        <v>4.0999999999999996</v>
      </c>
      <c r="AU4382">
        <v>97</v>
      </c>
      <c r="AV4382">
        <v>-0.08</v>
      </c>
      <c r="AW4382">
        <v>98</v>
      </c>
      <c r="AX4382">
        <v>0.24</v>
      </c>
      <c r="AY4382">
        <v>95</v>
      </c>
      <c r="AZ4382">
        <v>5.34</v>
      </c>
      <c r="BA4382">
        <v>88</v>
      </c>
      <c r="BB4382">
        <v>4.68</v>
      </c>
      <c r="BC4382">
        <v>89</v>
      </c>
      <c r="BD4382">
        <v>-0.05</v>
      </c>
      <c r="BE4382">
        <v>0.01</v>
      </c>
      <c r="BF4382">
        <v>0</v>
      </c>
      <c r="BG4382">
        <v>98</v>
      </c>
      <c r="BH4382">
        <v>-7.0000000000000007E-2</v>
      </c>
      <c r="BI4382">
        <v>-18.350000000000001</v>
      </c>
      <c r="BJ4382">
        <v>224</v>
      </c>
      <c r="BK4382">
        <v>90</v>
      </c>
      <c r="BL4382">
        <v>0.6</v>
      </c>
      <c r="BM4382">
        <v>-0.71</v>
      </c>
      <c r="BN4382">
        <v>0.87</v>
      </c>
      <c r="BO4382">
        <v>1.25</v>
      </c>
      <c r="BP4382">
        <v>-0.76</v>
      </c>
      <c r="BQ4382">
        <v>-0.21</v>
      </c>
      <c r="BR4382">
        <v>3.09</v>
      </c>
      <c r="BS4382">
        <v>-1.69</v>
      </c>
      <c r="BT4382">
        <v>-2.4700000000000002</v>
      </c>
      <c r="BU4382">
        <v>2.75</v>
      </c>
      <c r="BV4382">
        <v>1.83</v>
      </c>
      <c r="BW4382">
        <v>1.36</v>
      </c>
      <c r="BX4382">
        <v>1.43</v>
      </c>
      <c r="BY4382">
        <v>3.04</v>
      </c>
      <c r="BZ4382">
        <v>-1.26</v>
      </c>
      <c r="CA4382">
        <v>1.29</v>
      </c>
      <c r="CB4382">
        <v>2.23</v>
      </c>
      <c r="CC4382">
        <v>-1.1000000000000001</v>
      </c>
      <c r="CD4382">
        <v>-1.63</v>
      </c>
      <c r="CE4382">
        <v>1.31</v>
      </c>
      <c r="CF4382">
        <v>1.19</v>
      </c>
      <c r="CG4382">
        <v>0</v>
      </c>
      <c r="CH4382">
        <v>2.91</v>
      </c>
      <c r="CI4382">
        <v>0</v>
      </c>
      <c r="CJ4382">
        <v>0.5</v>
      </c>
      <c r="CK4382">
        <v>98</v>
      </c>
      <c r="CL4382">
        <v>-0.84</v>
      </c>
      <c r="CM4382">
        <v>98</v>
      </c>
      <c r="CN4382">
        <v>-0.62</v>
      </c>
      <c r="CO4382">
        <v>98</v>
      </c>
      <c r="CP4382">
        <v>-0.7</v>
      </c>
      <c r="CQ4382">
        <v>98</v>
      </c>
      <c r="CR4382">
        <v>0</v>
      </c>
      <c r="CS4382">
        <v>0</v>
      </c>
      <c r="CT4382">
        <v>12.2</v>
      </c>
      <c r="CU4382">
        <v>94</v>
      </c>
      <c r="CV4382">
        <v>0.17</v>
      </c>
      <c r="CW4382">
        <v>45</v>
      </c>
      <c r="CX4382" t="s">
        <v>152</v>
      </c>
    </row>
    <row r="4383" spans="1:102" x14ac:dyDescent="0.3">
      <c r="A4383" t="str">
        <f>HYPERLINK("https://webapp.icbf.com/v2/app/bull-search/view/77859820","BNB")</f>
        <v>BNB</v>
      </c>
      <c r="B4383" t="s">
        <v>4952</v>
      </c>
      <c r="C4383" t="s">
        <v>4953</v>
      </c>
      <c r="D4383" s="1">
        <v>31744</v>
      </c>
      <c r="E4383" t="s">
        <v>92</v>
      </c>
      <c r="F4383">
        <v>100</v>
      </c>
      <c r="G4383" t="s">
        <v>93</v>
      </c>
      <c r="H4383">
        <v>-119.07</v>
      </c>
      <c r="I4383">
        <v>90</v>
      </c>
      <c r="J4383">
        <v>-21.36</v>
      </c>
      <c r="K4383">
        <v>98</v>
      </c>
      <c r="L4383">
        <v>-99.3</v>
      </c>
      <c r="M4383">
        <v>91</v>
      </c>
      <c r="N4383">
        <v>-4.8499999999999996</v>
      </c>
      <c r="O4383">
        <v>79</v>
      </c>
      <c r="P4383">
        <v>-10.52</v>
      </c>
      <c r="Q4383">
        <v>88</v>
      </c>
      <c r="R4383">
        <v>-0.88</v>
      </c>
      <c r="S4383">
        <v>84</v>
      </c>
      <c r="T4383">
        <v>13.68</v>
      </c>
      <c r="U4383">
        <v>85</v>
      </c>
      <c r="V4383">
        <v>4.16</v>
      </c>
      <c r="W4383">
        <v>72</v>
      </c>
      <c r="X4383" t="s">
        <v>94</v>
      </c>
      <c r="Y4383" t="s">
        <v>95</v>
      </c>
      <c r="Z4383" t="s">
        <v>96</v>
      </c>
      <c r="AA4383" t="s">
        <v>128</v>
      </c>
      <c r="AB4383" t="s">
        <v>4954</v>
      </c>
      <c r="AC4383">
        <v>203</v>
      </c>
      <c r="AD4383">
        <v>129</v>
      </c>
      <c r="AE4383">
        <v>98</v>
      </c>
      <c r="AF4383">
        <v>-50.34</v>
      </c>
      <c r="AG4383">
        <v>-2.64</v>
      </c>
      <c r="AH4383">
        <v>-3.47</v>
      </c>
      <c r="AI4383">
        <v>-0.01</v>
      </c>
      <c r="AJ4383">
        <v>-0.03</v>
      </c>
      <c r="AK4383">
        <v>91</v>
      </c>
      <c r="AL4383">
        <v>274</v>
      </c>
      <c r="AM4383">
        <v>158</v>
      </c>
      <c r="AN4383">
        <v>4.54</v>
      </c>
      <c r="AO4383">
        <v>-3.39</v>
      </c>
      <c r="AP4383">
        <v>1</v>
      </c>
      <c r="AQ4383">
        <v>0</v>
      </c>
      <c r="AR4383">
        <v>9.74</v>
      </c>
      <c r="AS4383">
        <v>64</v>
      </c>
      <c r="AT4383">
        <v>3.6</v>
      </c>
      <c r="AU4383">
        <v>83</v>
      </c>
      <c r="AV4383">
        <v>-0.45</v>
      </c>
      <c r="AW4383">
        <v>80</v>
      </c>
      <c r="AX4383">
        <v>-0.14000000000000001</v>
      </c>
      <c r="AY4383">
        <v>88</v>
      </c>
      <c r="AZ4383">
        <v>6.16</v>
      </c>
      <c r="BA4383">
        <v>60</v>
      </c>
      <c r="BB4383">
        <v>4.72</v>
      </c>
      <c r="BC4383">
        <v>74</v>
      </c>
      <c r="BD4383">
        <v>0.02</v>
      </c>
      <c r="BE4383">
        <v>0.03</v>
      </c>
      <c r="BF4383">
        <v>-7.0000000000000007E-2</v>
      </c>
      <c r="BG4383">
        <v>95</v>
      </c>
      <c r="BH4383">
        <v>0.06</v>
      </c>
      <c r="BI4383">
        <v>-6.49</v>
      </c>
      <c r="BJ4383">
        <v>14</v>
      </c>
      <c r="BK4383">
        <v>13</v>
      </c>
      <c r="BL4383">
        <v>-0.06</v>
      </c>
      <c r="BM4383">
        <v>-0.19</v>
      </c>
      <c r="BN4383">
        <v>-0.34</v>
      </c>
      <c r="BO4383">
        <v>-0.25</v>
      </c>
      <c r="BP4383">
        <v>1.1000000000000001</v>
      </c>
      <c r="BQ4383">
        <v>0.75</v>
      </c>
      <c r="BR4383">
        <v>0.64</v>
      </c>
      <c r="BS4383">
        <v>-0.95</v>
      </c>
      <c r="BT4383">
        <v>-0.88</v>
      </c>
      <c r="BU4383">
        <v>-0.67</v>
      </c>
      <c r="BV4383">
        <v>-0.47</v>
      </c>
      <c r="BW4383">
        <v>-0.57999999999999996</v>
      </c>
      <c r="BX4383">
        <v>-0.34</v>
      </c>
      <c r="BY4383">
        <v>-0.22</v>
      </c>
      <c r="BZ4383">
        <v>-0.92</v>
      </c>
      <c r="CA4383">
        <v>-0.97</v>
      </c>
      <c r="CB4383">
        <v>-0.88</v>
      </c>
      <c r="CC4383">
        <v>-0.62</v>
      </c>
      <c r="CD4383">
        <v>0.06</v>
      </c>
      <c r="CE4383">
        <v>-0.56999999999999995</v>
      </c>
      <c r="CF4383">
        <v>-0.76</v>
      </c>
      <c r="CG4383">
        <v>0</v>
      </c>
      <c r="CH4383">
        <v>-0.21</v>
      </c>
      <c r="CI4383">
        <v>0</v>
      </c>
      <c r="CJ4383">
        <v>-5.2</v>
      </c>
      <c r="CK4383">
        <v>89</v>
      </c>
      <c r="CL4383">
        <v>-0.5</v>
      </c>
      <c r="CM4383">
        <v>87</v>
      </c>
      <c r="CN4383">
        <v>-0.26</v>
      </c>
      <c r="CO4383">
        <v>86</v>
      </c>
      <c r="CP4383">
        <v>-8.1999999999999993</v>
      </c>
      <c r="CQ4383">
        <v>93</v>
      </c>
      <c r="CR4383">
        <v>0</v>
      </c>
      <c r="CS4383">
        <v>0</v>
      </c>
      <c r="CT4383">
        <v>-4.7</v>
      </c>
      <c r="CU4383">
        <v>85</v>
      </c>
      <c r="CV4383">
        <v>7.0000000000000007E-2</v>
      </c>
      <c r="CW4383">
        <v>44</v>
      </c>
      <c r="CX4383" t="s">
        <v>707</v>
      </c>
    </row>
    <row r="4384" spans="1:102" x14ac:dyDescent="0.3">
      <c r="A4384" t="str">
        <f>HYPERLINK("https://webapp.icbf.com/v2/app/bull-search/view/760395151","FJB")</f>
        <v>FJB</v>
      </c>
      <c r="B4384" t="s">
        <v>14686</v>
      </c>
      <c r="C4384" t="s">
        <v>14687</v>
      </c>
      <c r="D4384" s="1">
        <v>39261</v>
      </c>
      <c r="E4384" t="s">
        <v>140</v>
      </c>
      <c r="F4384">
        <v>0</v>
      </c>
      <c r="G4384" t="s">
        <v>109</v>
      </c>
      <c r="H4384">
        <v>-119.14</v>
      </c>
      <c r="I4384">
        <v>70</v>
      </c>
      <c r="J4384">
        <v>6.21</v>
      </c>
      <c r="K4384">
        <v>86</v>
      </c>
      <c r="L4384">
        <v>-46.01</v>
      </c>
      <c r="M4384">
        <v>59</v>
      </c>
      <c r="N4384">
        <v>-88.85</v>
      </c>
      <c r="O4384">
        <v>67</v>
      </c>
      <c r="P4384">
        <v>18.45</v>
      </c>
      <c r="Q4384">
        <v>78</v>
      </c>
      <c r="R4384">
        <v>7.31</v>
      </c>
      <c r="S4384">
        <v>53</v>
      </c>
      <c r="T4384">
        <v>-0.75</v>
      </c>
      <c r="U4384">
        <v>56</v>
      </c>
      <c r="V4384">
        <v>-15.5</v>
      </c>
      <c r="W4384">
        <v>53</v>
      </c>
      <c r="X4384" t="s">
        <v>94</v>
      </c>
      <c r="Y4384" t="s">
        <v>1980</v>
      </c>
      <c r="Z4384">
        <v>0</v>
      </c>
      <c r="AA4384" t="s">
        <v>14688</v>
      </c>
      <c r="AB4384" t="s">
        <v>14689</v>
      </c>
      <c r="AC4384">
        <v>0</v>
      </c>
      <c r="AD4384">
        <v>0</v>
      </c>
      <c r="AE4384">
        <v>86</v>
      </c>
      <c r="AF4384">
        <v>-20.09</v>
      </c>
      <c r="AG4384">
        <v>-2.5499999999999998</v>
      </c>
      <c r="AH4384">
        <v>1.65</v>
      </c>
      <c r="AI4384">
        <v>-0.03</v>
      </c>
      <c r="AJ4384">
        <v>0.04</v>
      </c>
      <c r="AK4384">
        <v>59</v>
      </c>
      <c r="AL4384">
        <v>10</v>
      </c>
      <c r="AM4384">
        <v>4</v>
      </c>
      <c r="AN4384">
        <v>4.01</v>
      </c>
      <c r="AO4384">
        <v>0.36</v>
      </c>
      <c r="AP4384">
        <v>72</v>
      </c>
      <c r="AQ4384">
        <v>1</v>
      </c>
      <c r="AR4384">
        <v>14.48</v>
      </c>
      <c r="AS4384">
        <v>44</v>
      </c>
      <c r="AT4384">
        <v>7.1</v>
      </c>
      <c r="AU4384">
        <v>72</v>
      </c>
      <c r="AV4384">
        <v>2.33</v>
      </c>
      <c r="AW4384">
        <v>80</v>
      </c>
      <c r="AX4384">
        <v>0.7</v>
      </c>
      <c r="AY4384">
        <v>66</v>
      </c>
      <c r="AZ4384">
        <v>4.1500000000000004</v>
      </c>
      <c r="BA4384">
        <v>37</v>
      </c>
      <c r="BB4384">
        <v>3.83</v>
      </c>
      <c r="BC4384">
        <v>36</v>
      </c>
      <c r="BD4384">
        <v>0</v>
      </c>
      <c r="BE4384">
        <v>-0.02</v>
      </c>
      <c r="BF4384">
        <v>-0.13</v>
      </c>
      <c r="BG4384">
        <v>58</v>
      </c>
      <c r="BH4384">
        <v>-0.36</v>
      </c>
      <c r="BI4384">
        <v>8.36</v>
      </c>
      <c r="BJ4384">
        <v>0</v>
      </c>
      <c r="BK4384">
        <v>0</v>
      </c>
      <c r="BL4384">
        <v>-0.86</v>
      </c>
      <c r="BM4384">
        <v>3.71</v>
      </c>
      <c r="BN4384">
        <v>-1.7</v>
      </c>
      <c r="BO4384">
        <v>-3.16</v>
      </c>
      <c r="BP4384">
        <v>4.3899999999999997</v>
      </c>
      <c r="BQ4384">
        <v>-2.1800000000000002</v>
      </c>
      <c r="BR4384">
        <v>-2.76</v>
      </c>
      <c r="BS4384">
        <v>-0.34</v>
      </c>
      <c r="BT4384">
        <v>2.71</v>
      </c>
      <c r="BU4384">
        <v>-3.52</v>
      </c>
      <c r="BV4384">
        <v>-4.04</v>
      </c>
      <c r="BW4384">
        <v>-3.04</v>
      </c>
      <c r="BX4384">
        <v>-2.79</v>
      </c>
      <c r="BY4384">
        <v>-2.11</v>
      </c>
      <c r="BZ4384">
        <v>1.03</v>
      </c>
      <c r="CA4384">
        <v>-2.59</v>
      </c>
      <c r="CB4384">
        <v>-3.34</v>
      </c>
      <c r="CC4384">
        <v>-0.39</v>
      </c>
      <c r="CD4384">
        <v>4.08</v>
      </c>
      <c r="CE4384">
        <v>-3.13</v>
      </c>
      <c r="CF4384">
        <v>-1.1100000000000001</v>
      </c>
      <c r="CG4384">
        <v>0</v>
      </c>
      <c r="CH4384">
        <v>-2.95</v>
      </c>
      <c r="CI4384">
        <v>0</v>
      </c>
      <c r="CJ4384">
        <v>5.6</v>
      </c>
      <c r="CK4384">
        <v>81</v>
      </c>
      <c r="CL4384">
        <v>0.08</v>
      </c>
      <c r="CM4384">
        <v>77</v>
      </c>
      <c r="CN4384">
        <v>-0.65</v>
      </c>
      <c r="CO4384">
        <v>75</v>
      </c>
      <c r="CP4384">
        <v>15.2</v>
      </c>
      <c r="CQ4384">
        <v>60</v>
      </c>
      <c r="CR4384">
        <v>0</v>
      </c>
      <c r="CS4384">
        <v>0</v>
      </c>
      <c r="CT4384">
        <v>14.8</v>
      </c>
      <c r="CU4384">
        <v>56</v>
      </c>
      <c r="CV4384">
        <v>0.1</v>
      </c>
      <c r="CW4384">
        <v>42</v>
      </c>
      <c r="CX4384" t="s">
        <v>139</v>
      </c>
    </row>
    <row r="4385" spans="1:102" x14ac:dyDescent="0.3">
      <c r="A4385" t="str">
        <f>HYPERLINK("https://webapp.icbf.com/v2/app/bull-search/view/122376151","PSN")</f>
        <v>PSN</v>
      </c>
      <c r="B4385" t="s">
        <v>4614</v>
      </c>
      <c r="C4385" t="s">
        <v>4615</v>
      </c>
      <c r="D4385" s="1">
        <v>36948</v>
      </c>
      <c r="E4385" t="s">
        <v>92</v>
      </c>
      <c r="F4385">
        <v>100</v>
      </c>
      <c r="G4385" t="s">
        <v>93</v>
      </c>
      <c r="H4385">
        <v>-119.28</v>
      </c>
      <c r="I4385">
        <v>85</v>
      </c>
      <c r="J4385">
        <v>-2.58</v>
      </c>
      <c r="K4385">
        <v>96</v>
      </c>
      <c r="L4385">
        <v>-110.37</v>
      </c>
      <c r="M4385">
        <v>79</v>
      </c>
      <c r="N4385">
        <v>21.02</v>
      </c>
      <c r="O4385">
        <v>81</v>
      </c>
      <c r="P4385">
        <v>-10.42</v>
      </c>
      <c r="Q4385">
        <v>92</v>
      </c>
      <c r="R4385">
        <v>-16.510000000000002</v>
      </c>
      <c r="S4385">
        <v>78</v>
      </c>
      <c r="T4385">
        <v>6.13</v>
      </c>
      <c r="U4385">
        <v>73</v>
      </c>
      <c r="V4385">
        <v>-6.55</v>
      </c>
      <c r="W4385">
        <v>70</v>
      </c>
      <c r="X4385" t="s">
        <v>94</v>
      </c>
      <c r="Y4385" t="s">
        <v>95</v>
      </c>
      <c r="Z4385" t="s">
        <v>96</v>
      </c>
      <c r="AA4385" t="s">
        <v>834</v>
      </c>
      <c r="AB4385" t="s">
        <v>4616</v>
      </c>
      <c r="AC4385">
        <v>67</v>
      </c>
      <c r="AD4385">
        <v>51</v>
      </c>
      <c r="AE4385">
        <v>96</v>
      </c>
      <c r="AF4385">
        <v>278.76</v>
      </c>
      <c r="AG4385">
        <v>-0.56999999999999995</v>
      </c>
      <c r="AH4385">
        <v>4.03</v>
      </c>
      <c r="AI4385">
        <v>-0.19</v>
      </c>
      <c r="AJ4385">
        <v>-0.09</v>
      </c>
      <c r="AK4385">
        <v>79</v>
      </c>
      <c r="AL4385">
        <v>63</v>
      </c>
      <c r="AM4385">
        <v>49</v>
      </c>
      <c r="AN4385">
        <v>5.36</v>
      </c>
      <c r="AO4385">
        <v>-3.45</v>
      </c>
      <c r="AP4385">
        <v>102</v>
      </c>
      <c r="AQ4385">
        <v>1</v>
      </c>
      <c r="AR4385">
        <v>5.86</v>
      </c>
      <c r="AS4385">
        <v>66</v>
      </c>
      <c r="AT4385">
        <v>2.82</v>
      </c>
      <c r="AU4385">
        <v>84</v>
      </c>
      <c r="AV4385">
        <v>-1.49</v>
      </c>
      <c r="AW4385">
        <v>90</v>
      </c>
      <c r="AX4385">
        <v>-0.62</v>
      </c>
      <c r="AY4385">
        <v>76</v>
      </c>
      <c r="AZ4385">
        <v>5.94</v>
      </c>
      <c r="BA4385">
        <v>60</v>
      </c>
      <c r="BB4385">
        <v>4.99</v>
      </c>
      <c r="BC4385">
        <v>62</v>
      </c>
      <c r="BD4385">
        <v>7.0000000000000007E-2</v>
      </c>
      <c r="BE4385">
        <v>7.0000000000000007E-2</v>
      </c>
      <c r="BF4385">
        <v>0.13</v>
      </c>
      <c r="BG4385">
        <v>88</v>
      </c>
      <c r="BH4385">
        <v>-0.1</v>
      </c>
      <c r="BI4385">
        <v>9.57</v>
      </c>
      <c r="BJ4385">
        <v>19</v>
      </c>
      <c r="BK4385">
        <v>16</v>
      </c>
      <c r="BL4385">
        <v>0.71</v>
      </c>
      <c r="BM4385">
        <v>-0.73</v>
      </c>
      <c r="BN4385">
        <v>1.1399999999999999</v>
      </c>
      <c r="BO4385">
        <v>1.0900000000000001</v>
      </c>
      <c r="BP4385">
        <v>-3.19</v>
      </c>
      <c r="BQ4385">
        <v>0.25</v>
      </c>
      <c r="BR4385">
        <v>0.77</v>
      </c>
      <c r="BS4385">
        <v>0.43</v>
      </c>
      <c r="BT4385">
        <v>-0.15</v>
      </c>
      <c r="BU4385">
        <v>0.16</v>
      </c>
      <c r="BV4385">
        <v>0.81</v>
      </c>
      <c r="BW4385">
        <v>0.81</v>
      </c>
      <c r="BX4385">
        <v>-0.05</v>
      </c>
      <c r="BY4385">
        <v>-1.69</v>
      </c>
      <c r="BZ4385">
        <v>0.16</v>
      </c>
      <c r="CA4385">
        <v>0.77</v>
      </c>
      <c r="CB4385">
        <v>0.38</v>
      </c>
      <c r="CC4385">
        <v>1.1599999999999999</v>
      </c>
      <c r="CD4385">
        <v>-1.28</v>
      </c>
      <c r="CE4385">
        <v>0.73</v>
      </c>
      <c r="CF4385">
        <v>0.63</v>
      </c>
      <c r="CG4385">
        <v>0</v>
      </c>
      <c r="CH4385">
        <v>-0.54</v>
      </c>
      <c r="CI4385">
        <v>0</v>
      </c>
      <c r="CJ4385">
        <v>-2</v>
      </c>
      <c r="CK4385">
        <v>93</v>
      </c>
      <c r="CL4385">
        <v>-0.96</v>
      </c>
      <c r="CM4385">
        <v>91</v>
      </c>
      <c r="CN4385">
        <v>-0.22</v>
      </c>
      <c r="CO4385">
        <v>90</v>
      </c>
      <c r="CP4385">
        <v>-2.2000000000000002</v>
      </c>
      <c r="CQ4385">
        <v>87</v>
      </c>
      <c r="CR4385">
        <v>0</v>
      </c>
      <c r="CS4385">
        <v>0</v>
      </c>
      <c r="CT4385">
        <v>5.5</v>
      </c>
      <c r="CU4385">
        <v>73</v>
      </c>
      <c r="CV4385">
        <v>0.2</v>
      </c>
      <c r="CW4385">
        <v>44</v>
      </c>
      <c r="CX4385" t="s">
        <v>1008</v>
      </c>
    </row>
    <row r="4386" spans="1:102" x14ac:dyDescent="0.3">
      <c r="A4386" t="str">
        <f>HYPERLINK("https://webapp.icbf.com/v2/app/bull-search/view/76515063","LEZ")</f>
        <v>LEZ</v>
      </c>
      <c r="B4386" t="s">
        <v>7804</v>
      </c>
      <c r="C4386" t="s">
        <v>7805</v>
      </c>
      <c r="D4386" s="1">
        <v>36960</v>
      </c>
      <c r="E4386" t="s">
        <v>92</v>
      </c>
      <c r="F4386">
        <v>100</v>
      </c>
      <c r="G4386" t="s">
        <v>93</v>
      </c>
      <c r="H4386">
        <v>-119.37</v>
      </c>
      <c r="I4386">
        <v>66</v>
      </c>
      <c r="J4386">
        <v>-6.48</v>
      </c>
      <c r="K4386">
        <v>86</v>
      </c>
      <c r="L4386">
        <v>-101.27</v>
      </c>
      <c r="M4386">
        <v>47</v>
      </c>
      <c r="N4386">
        <v>0.54</v>
      </c>
      <c r="O4386">
        <v>67</v>
      </c>
      <c r="P4386">
        <v>-2.48</v>
      </c>
      <c r="Q4386">
        <v>82</v>
      </c>
      <c r="R4386">
        <v>-14.82</v>
      </c>
      <c r="S4386">
        <v>50</v>
      </c>
      <c r="T4386">
        <v>10.79</v>
      </c>
      <c r="U4386">
        <v>65</v>
      </c>
      <c r="V4386">
        <v>-5.65</v>
      </c>
      <c r="W4386">
        <v>29</v>
      </c>
      <c r="X4386" t="s">
        <v>558</v>
      </c>
      <c r="Y4386" t="s">
        <v>95</v>
      </c>
      <c r="Z4386" t="s">
        <v>96</v>
      </c>
      <c r="AA4386" t="s">
        <v>834</v>
      </c>
      <c r="AB4386" t="s">
        <v>7806</v>
      </c>
      <c r="AC4386">
        <v>24</v>
      </c>
      <c r="AD4386">
        <v>9</v>
      </c>
      <c r="AE4386">
        <v>86</v>
      </c>
      <c r="AF4386">
        <v>66.48</v>
      </c>
      <c r="AG4386">
        <v>2.9</v>
      </c>
      <c r="AH4386">
        <v>-1.1100000000000001</v>
      </c>
      <c r="AI4386">
        <v>0.01</v>
      </c>
      <c r="AJ4386">
        <v>-0.06</v>
      </c>
      <c r="AK4386">
        <v>47</v>
      </c>
      <c r="AL4386">
        <v>26</v>
      </c>
      <c r="AM4386">
        <v>9</v>
      </c>
      <c r="AN4386">
        <v>4.45</v>
      </c>
      <c r="AO4386">
        <v>-3.64</v>
      </c>
      <c r="AP4386">
        <v>64</v>
      </c>
      <c r="AQ4386">
        <v>2</v>
      </c>
      <c r="AR4386">
        <v>6.41</v>
      </c>
      <c r="AS4386">
        <v>42</v>
      </c>
      <c r="AT4386">
        <v>2.83</v>
      </c>
      <c r="AU4386">
        <v>67</v>
      </c>
      <c r="AV4386">
        <v>0.76</v>
      </c>
      <c r="AW4386">
        <v>87</v>
      </c>
      <c r="AX4386">
        <v>-0.21</v>
      </c>
      <c r="AY4386">
        <v>56</v>
      </c>
      <c r="AZ4386">
        <v>6.53</v>
      </c>
      <c r="BA4386">
        <v>39</v>
      </c>
      <c r="BB4386">
        <v>4.87</v>
      </c>
      <c r="BC4386">
        <v>38</v>
      </c>
      <c r="BD4386">
        <v>7.0000000000000007E-2</v>
      </c>
      <c r="BE4386">
        <v>0.06</v>
      </c>
      <c r="BF4386">
        <v>0.11</v>
      </c>
      <c r="BG4386">
        <v>60</v>
      </c>
      <c r="BH4386">
        <v>-0.03</v>
      </c>
      <c r="BI4386">
        <v>14.76</v>
      </c>
      <c r="BJ4386">
        <v>10</v>
      </c>
      <c r="BK4386">
        <v>4</v>
      </c>
      <c r="BL4386">
        <v>0.51</v>
      </c>
      <c r="BM4386">
        <v>-0.62</v>
      </c>
      <c r="BN4386">
        <v>0.41</v>
      </c>
      <c r="BO4386">
        <v>0.62</v>
      </c>
      <c r="BP4386">
        <v>-0.81</v>
      </c>
      <c r="BQ4386">
        <v>-0.82</v>
      </c>
      <c r="BR4386">
        <v>1.1000000000000001</v>
      </c>
      <c r="BS4386">
        <v>-1.45</v>
      </c>
      <c r="BT4386">
        <v>-1.33</v>
      </c>
      <c r="BU4386">
        <v>-0.15</v>
      </c>
      <c r="BV4386">
        <v>-0.3</v>
      </c>
      <c r="BW4386">
        <v>-0.42</v>
      </c>
      <c r="BX4386">
        <v>-0.25</v>
      </c>
      <c r="BY4386">
        <v>0.12</v>
      </c>
      <c r="BZ4386">
        <v>-0.27</v>
      </c>
      <c r="CA4386">
        <v>-0.67</v>
      </c>
      <c r="CB4386">
        <v>-0.22</v>
      </c>
      <c r="CC4386">
        <v>-1.25</v>
      </c>
      <c r="CD4386">
        <v>-0.98</v>
      </c>
      <c r="CE4386">
        <v>0.3</v>
      </c>
      <c r="CF4386">
        <v>-0.13</v>
      </c>
      <c r="CG4386">
        <v>0</v>
      </c>
      <c r="CH4386">
        <v>-0.38</v>
      </c>
      <c r="CI4386">
        <v>0</v>
      </c>
      <c r="CJ4386">
        <v>1.2</v>
      </c>
      <c r="CK4386">
        <v>84</v>
      </c>
      <c r="CL4386">
        <v>-0.89</v>
      </c>
      <c r="CM4386">
        <v>80</v>
      </c>
      <c r="CN4386">
        <v>-0.43</v>
      </c>
      <c r="CO4386">
        <v>78</v>
      </c>
      <c r="CP4386">
        <v>0.1</v>
      </c>
      <c r="CQ4386">
        <v>76</v>
      </c>
      <c r="CR4386">
        <v>0</v>
      </c>
      <c r="CS4386">
        <v>0</v>
      </c>
      <c r="CT4386">
        <v>-0.8</v>
      </c>
      <c r="CU4386">
        <v>65</v>
      </c>
      <c r="CV4386">
        <v>0.26</v>
      </c>
      <c r="CW4386">
        <v>23</v>
      </c>
      <c r="CX4386" t="s">
        <v>4723</v>
      </c>
    </row>
    <row r="4387" spans="1:102" x14ac:dyDescent="0.3">
      <c r="A4387" t="str">
        <f>HYPERLINK("https://webapp.icbf.com/v2/app/bull-search/view/130613893","S111")</f>
        <v>S111</v>
      </c>
      <c r="B4387" t="s">
        <v>4624</v>
      </c>
      <c r="C4387" t="s">
        <v>4625</v>
      </c>
      <c r="D4387" s="1">
        <v>35449</v>
      </c>
      <c r="E4387" t="s">
        <v>92</v>
      </c>
      <c r="F4387">
        <v>100</v>
      </c>
      <c r="G4387" t="s">
        <v>93</v>
      </c>
      <c r="H4387">
        <v>-119.44</v>
      </c>
      <c r="I4387">
        <v>71</v>
      </c>
      <c r="J4387">
        <v>-5.36</v>
      </c>
      <c r="K4387">
        <v>92</v>
      </c>
      <c r="L4387">
        <v>-101.41</v>
      </c>
      <c r="M4387">
        <v>57</v>
      </c>
      <c r="N4387">
        <v>9.52</v>
      </c>
      <c r="O4387">
        <v>57</v>
      </c>
      <c r="P4387">
        <v>-12.51</v>
      </c>
      <c r="Q4387">
        <v>79</v>
      </c>
      <c r="R4387">
        <v>-18.22</v>
      </c>
      <c r="S4387">
        <v>63</v>
      </c>
      <c r="T4387">
        <v>15.01</v>
      </c>
      <c r="U4387">
        <v>77</v>
      </c>
      <c r="V4387">
        <v>-6.47</v>
      </c>
      <c r="W4387">
        <v>33</v>
      </c>
      <c r="X4387" t="s">
        <v>4626</v>
      </c>
      <c r="Y4387" t="s">
        <v>95</v>
      </c>
      <c r="Z4387" t="s">
        <v>96</v>
      </c>
      <c r="AA4387" t="s">
        <v>1106</v>
      </c>
      <c r="AB4387" t="s">
        <v>812</v>
      </c>
      <c r="AC4387">
        <v>52</v>
      </c>
      <c r="AD4387">
        <v>9</v>
      </c>
      <c r="AE4387">
        <v>92</v>
      </c>
      <c r="AF4387">
        <v>304.60000000000002</v>
      </c>
      <c r="AG4387">
        <v>2.66</v>
      </c>
      <c r="AH4387">
        <v>2.81</v>
      </c>
      <c r="AI4387">
        <v>-0.15</v>
      </c>
      <c r="AJ4387">
        <v>-0.12</v>
      </c>
      <c r="AK4387">
        <v>57</v>
      </c>
      <c r="AL4387">
        <v>42</v>
      </c>
      <c r="AM4387">
        <v>9</v>
      </c>
      <c r="AN4387">
        <v>5.32</v>
      </c>
      <c r="AO4387">
        <v>-2.77</v>
      </c>
      <c r="AP4387">
        <v>15</v>
      </c>
      <c r="AQ4387">
        <v>0</v>
      </c>
      <c r="AR4387">
        <v>8.19</v>
      </c>
      <c r="AS4387">
        <v>41</v>
      </c>
      <c r="AT4387">
        <v>3.59</v>
      </c>
      <c r="AU4387">
        <v>57</v>
      </c>
      <c r="AV4387">
        <v>-1.3</v>
      </c>
      <c r="AW4387">
        <v>63</v>
      </c>
      <c r="AX4387">
        <v>-0.46</v>
      </c>
      <c r="AY4387">
        <v>65</v>
      </c>
      <c r="AZ4387">
        <v>5.75</v>
      </c>
      <c r="BA4387">
        <v>42</v>
      </c>
      <c r="BB4387">
        <v>4.37</v>
      </c>
      <c r="BC4387">
        <v>48</v>
      </c>
      <c r="BD4387">
        <v>0.09</v>
      </c>
      <c r="BE4387">
        <v>0.11</v>
      </c>
      <c r="BF4387">
        <v>0.06</v>
      </c>
      <c r="BG4387">
        <v>76</v>
      </c>
      <c r="BH4387">
        <v>-0.13</v>
      </c>
      <c r="BI4387">
        <v>5.84</v>
      </c>
      <c r="BJ4387">
        <v>19</v>
      </c>
      <c r="BK4387">
        <v>2</v>
      </c>
      <c r="BL4387">
        <v>1.17</v>
      </c>
      <c r="BM4387">
        <v>-1.9</v>
      </c>
      <c r="BN4387">
        <v>-0.4</v>
      </c>
      <c r="BO4387">
        <v>0.99</v>
      </c>
      <c r="BP4387">
        <v>-0.83</v>
      </c>
      <c r="BQ4387">
        <v>-1.54</v>
      </c>
      <c r="BR4387">
        <v>-1.91</v>
      </c>
      <c r="BS4387">
        <v>-0.85</v>
      </c>
      <c r="BT4387">
        <v>1.81</v>
      </c>
      <c r="BU4387">
        <v>-0.52</v>
      </c>
      <c r="BV4387">
        <v>0.14000000000000001</v>
      </c>
      <c r="BW4387">
        <v>-0.06</v>
      </c>
      <c r="BX4387">
        <v>-0.26</v>
      </c>
      <c r="BY4387">
        <v>-1.28</v>
      </c>
      <c r="BZ4387">
        <v>0.27</v>
      </c>
      <c r="CA4387">
        <v>-0.67</v>
      </c>
      <c r="CB4387">
        <v>-0.93</v>
      </c>
      <c r="CC4387">
        <v>-0.01</v>
      </c>
      <c r="CD4387">
        <v>-1.1299999999999999</v>
      </c>
      <c r="CE4387">
        <v>0.69</v>
      </c>
      <c r="CF4387">
        <v>0.25</v>
      </c>
      <c r="CG4387">
        <v>0</v>
      </c>
      <c r="CH4387">
        <v>-1.03</v>
      </c>
      <c r="CI4387">
        <v>0</v>
      </c>
      <c r="CJ4387">
        <v>-6.2</v>
      </c>
      <c r="CK4387">
        <v>80</v>
      </c>
      <c r="CL4387">
        <v>-0.89</v>
      </c>
      <c r="CM4387">
        <v>77</v>
      </c>
      <c r="CN4387">
        <v>-0.6</v>
      </c>
      <c r="CO4387">
        <v>74</v>
      </c>
      <c r="CP4387">
        <v>-12</v>
      </c>
      <c r="CQ4387">
        <v>80</v>
      </c>
      <c r="CR4387">
        <v>0</v>
      </c>
      <c r="CS4387">
        <v>0</v>
      </c>
      <c r="CT4387">
        <v>-6.5</v>
      </c>
      <c r="CU4387">
        <v>77</v>
      </c>
      <c r="CV4387">
        <v>0.19</v>
      </c>
      <c r="CW4387">
        <v>22</v>
      </c>
      <c r="CX4387" t="s">
        <v>118</v>
      </c>
    </row>
    <row r="4388" spans="1:102" x14ac:dyDescent="0.3">
      <c r="A4388" t="str">
        <f>HYPERLINK("https://webapp.icbf.com/v2/app/bull-search/view/444496534","GXL")</f>
        <v>GXL</v>
      </c>
      <c r="B4388" t="s">
        <v>14439</v>
      </c>
      <c r="C4388" t="s">
        <v>14440</v>
      </c>
      <c r="D4388" s="1">
        <v>37022</v>
      </c>
      <c r="E4388" t="s">
        <v>92</v>
      </c>
      <c r="F4388">
        <v>100</v>
      </c>
      <c r="G4388" t="s">
        <v>93</v>
      </c>
      <c r="H4388">
        <v>-119.48</v>
      </c>
      <c r="I4388">
        <v>90</v>
      </c>
      <c r="J4388">
        <v>8.61</v>
      </c>
      <c r="K4388">
        <v>97</v>
      </c>
      <c r="L4388">
        <v>-108.86</v>
      </c>
      <c r="M4388">
        <v>90</v>
      </c>
      <c r="N4388">
        <v>-11.5</v>
      </c>
      <c r="O4388">
        <v>84</v>
      </c>
      <c r="P4388">
        <v>-15.45</v>
      </c>
      <c r="Q4388">
        <v>86</v>
      </c>
      <c r="R4388">
        <v>12.97</v>
      </c>
      <c r="S4388">
        <v>84</v>
      </c>
      <c r="T4388">
        <v>-0.9</v>
      </c>
      <c r="U4388">
        <v>84</v>
      </c>
      <c r="V4388">
        <v>-4.3499999999999996</v>
      </c>
      <c r="W4388">
        <v>77</v>
      </c>
      <c r="X4388" t="s">
        <v>131</v>
      </c>
      <c r="Y4388" t="s">
        <v>1208</v>
      </c>
      <c r="Z4388" t="s">
        <v>96</v>
      </c>
      <c r="AA4388" t="s">
        <v>3001</v>
      </c>
      <c r="AB4388" t="s">
        <v>12572</v>
      </c>
      <c r="AC4388">
        <v>49</v>
      </c>
      <c r="AD4388">
        <v>13</v>
      </c>
      <c r="AE4388">
        <v>97</v>
      </c>
      <c r="AF4388">
        <v>102.28</v>
      </c>
      <c r="AG4388">
        <v>5.34</v>
      </c>
      <c r="AH4388">
        <v>1.1399999999999999</v>
      </c>
      <c r="AI4388">
        <v>0.02</v>
      </c>
      <c r="AJ4388">
        <v>-0.04</v>
      </c>
      <c r="AK4388">
        <v>90</v>
      </c>
      <c r="AL4388">
        <v>44</v>
      </c>
      <c r="AM4388">
        <v>18</v>
      </c>
      <c r="AN4388">
        <v>6.05</v>
      </c>
      <c r="AO4388">
        <v>-2.63</v>
      </c>
      <c r="AP4388">
        <v>102</v>
      </c>
      <c r="AQ4388">
        <v>0</v>
      </c>
      <c r="AR4388">
        <v>8.9</v>
      </c>
      <c r="AS4388">
        <v>70</v>
      </c>
      <c r="AT4388">
        <v>4.5</v>
      </c>
      <c r="AU4388">
        <v>93</v>
      </c>
      <c r="AV4388">
        <v>-1.28</v>
      </c>
      <c r="AW4388">
        <v>91</v>
      </c>
      <c r="AX4388">
        <v>-0.09</v>
      </c>
      <c r="AY4388">
        <v>74</v>
      </c>
      <c r="AZ4388">
        <v>6.97</v>
      </c>
      <c r="BA4388">
        <v>62</v>
      </c>
      <c r="BB4388">
        <v>5.68</v>
      </c>
      <c r="BC4388">
        <v>64</v>
      </c>
      <c r="BD4388">
        <v>-0.08</v>
      </c>
      <c r="BE4388">
        <v>-0.05</v>
      </c>
      <c r="BF4388">
        <v>-7.0000000000000007E-2</v>
      </c>
      <c r="BG4388">
        <v>94</v>
      </c>
      <c r="BH4388">
        <v>-0.25</v>
      </c>
      <c r="BI4388">
        <v>-14.88</v>
      </c>
      <c r="BJ4388">
        <v>15</v>
      </c>
      <c r="BK4388">
        <v>6</v>
      </c>
      <c r="BL4388">
        <v>1.0900000000000001</v>
      </c>
      <c r="BM4388">
        <v>0.28000000000000003</v>
      </c>
      <c r="BN4388">
        <v>1.99</v>
      </c>
      <c r="BO4388">
        <v>1.17</v>
      </c>
      <c r="BP4388">
        <v>0.14000000000000001</v>
      </c>
      <c r="BQ4388">
        <v>-0.16</v>
      </c>
      <c r="BR4388">
        <v>0.71</v>
      </c>
      <c r="BS4388">
        <v>2.0699999999999998</v>
      </c>
      <c r="BT4388">
        <v>-0.09</v>
      </c>
      <c r="BU4388">
        <v>2.44</v>
      </c>
      <c r="BV4388">
        <v>1.96</v>
      </c>
      <c r="BW4388">
        <v>2.0299999999999998</v>
      </c>
      <c r="BX4388">
        <v>1.51</v>
      </c>
      <c r="BY4388">
        <v>1.81</v>
      </c>
      <c r="BZ4388">
        <v>-0.23</v>
      </c>
      <c r="CA4388">
        <v>1.83</v>
      </c>
      <c r="CB4388">
        <v>1.97</v>
      </c>
      <c r="CC4388">
        <v>1.1000000000000001</v>
      </c>
      <c r="CD4388">
        <v>-0.68</v>
      </c>
      <c r="CE4388">
        <v>1.1200000000000001</v>
      </c>
      <c r="CF4388">
        <v>1.1599999999999999</v>
      </c>
      <c r="CG4388">
        <v>0</v>
      </c>
      <c r="CH4388">
        <v>1.9</v>
      </c>
      <c r="CI4388">
        <v>0</v>
      </c>
      <c r="CJ4388">
        <v>-7.7</v>
      </c>
      <c r="CK4388">
        <v>88</v>
      </c>
      <c r="CL4388">
        <v>-1.31</v>
      </c>
      <c r="CM4388">
        <v>85</v>
      </c>
      <c r="CN4388">
        <v>-0.74</v>
      </c>
      <c r="CO4388">
        <v>84</v>
      </c>
      <c r="CP4388">
        <v>0.2</v>
      </c>
      <c r="CQ4388">
        <v>84</v>
      </c>
      <c r="CR4388">
        <v>0</v>
      </c>
      <c r="CS4388">
        <v>0</v>
      </c>
      <c r="CT4388">
        <v>15</v>
      </c>
      <c r="CU4388">
        <v>84</v>
      </c>
      <c r="CV4388">
        <v>0.04</v>
      </c>
      <c r="CW4388">
        <v>43</v>
      </c>
      <c r="CX4388" t="s">
        <v>1325</v>
      </c>
    </row>
    <row r="4389" spans="1:102" x14ac:dyDescent="0.3">
      <c r="A4389" t="str">
        <f>HYPERLINK("https://webapp.icbf.com/v2/app/bull-search/view/77860252","CES")</f>
        <v>CES</v>
      </c>
      <c r="B4389" t="s">
        <v>7476</v>
      </c>
      <c r="C4389" t="s">
        <v>7477</v>
      </c>
      <c r="D4389" s="1">
        <v>34264</v>
      </c>
      <c r="E4389" t="s">
        <v>92</v>
      </c>
      <c r="F4389">
        <v>100</v>
      </c>
      <c r="G4389" t="s">
        <v>93</v>
      </c>
      <c r="H4389">
        <v>-119.5</v>
      </c>
      <c r="I4389">
        <v>75</v>
      </c>
      <c r="J4389">
        <v>-111.96</v>
      </c>
      <c r="K4389">
        <v>93</v>
      </c>
      <c r="L4389">
        <v>8.77</v>
      </c>
      <c r="M4389">
        <v>66</v>
      </c>
      <c r="N4389">
        <v>-26.01</v>
      </c>
      <c r="O4389">
        <v>63</v>
      </c>
      <c r="P4389">
        <v>-0.37</v>
      </c>
      <c r="Q4389">
        <v>78</v>
      </c>
      <c r="R4389">
        <v>1.25</v>
      </c>
      <c r="S4389">
        <v>69</v>
      </c>
      <c r="T4389">
        <v>7.17</v>
      </c>
      <c r="U4389">
        <v>77</v>
      </c>
      <c r="V4389">
        <v>1.65</v>
      </c>
      <c r="W4389">
        <v>37</v>
      </c>
      <c r="X4389" t="s">
        <v>94</v>
      </c>
      <c r="Y4389" t="s">
        <v>95</v>
      </c>
      <c r="Z4389" t="s">
        <v>96</v>
      </c>
      <c r="AA4389" t="s">
        <v>111</v>
      </c>
      <c r="AB4389" t="s">
        <v>7478</v>
      </c>
      <c r="AC4389">
        <v>70</v>
      </c>
      <c r="AD4389">
        <v>68</v>
      </c>
      <c r="AE4389">
        <v>93</v>
      </c>
      <c r="AF4389">
        <v>-223.01</v>
      </c>
      <c r="AG4389">
        <v>-22.4</v>
      </c>
      <c r="AH4389">
        <v>-14.53</v>
      </c>
      <c r="AI4389">
        <v>-0.24</v>
      </c>
      <c r="AJ4389">
        <v>-0.12</v>
      </c>
      <c r="AK4389">
        <v>66</v>
      </c>
      <c r="AL4389">
        <v>84</v>
      </c>
      <c r="AM4389">
        <v>73</v>
      </c>
      <c r="AN4389">
        <v>-1.2</v>
      </c>
      <c r="AO4389">
        <v>-0.51</v>
      </c>
      <c r="AP4389">
        <v>6</v>
      </c>
      <c r="AQ4389">
        <v>0</v>
      </c>
      <c r="AR4389">
        <v>10.5</v>
      </c>
      <c r="AS4389">
        <v>38</v>
      </c>
      <c r="AT4389">
        <v>4.5</v>
      </c>
      <c r="AU4389">
        <v>60</v>
      </c>
      <c r="AV4389">
        <v>0.18</v>
      </c>
      <c r="AW4389">
        <v>71</v>
      </c>
      <c r="AX4389">
        <v>-0.14000000000000001</v>
      </c>
      <c r="AY4389">
        <v>73</v>
      </c>
      <c r="AZ4389">
        <v>7.09</v>
      </c>
      <c r="BA4389">
        <v>39</v>
      </c>
      <c r="BB4389">
        <v>5.19</v>
      </c>
      <c r="BC4389">
        <v>56</v>
      </c>
      <c r="BD4389">
        <v>0.02</v>
      </c>
      <c r="BE4389">
        <v>0.02</v>
      </c>
      <c r="BF4389">
        <v>-0.1</v>
      </c>
      <c r="BG4389">
        <v>85</v>
      </c>
      <c r="BH4389">
        <v>0.12</v>
      </c>
      <c r="BI4389">
        <v>8.57</v>
      </c>
      <c r="BJ4389">
        <v>21</v>
      </c>
      <c r="BK4389">
        <v>21</v>
      </c>
      <c r="BL4389">
        <v>1.37</v>
      </c>
      <c r="BM4389">
        <v>3.35</v>
      </c>
      <c r="BN4389">
        <v>2.1</v>
      </c>
      <c r="BO4389">
        <v>-0.55000000000000004</v>
      </c>
      <c r="BP4389">
        <v>-0.23</v>
      </c>
      <c r="BQ4389">
        <v>3.19</v>
      </c>
      <c r="BR4389">
        <v>0.47</v>
      </c>
      <c r="BS4389">
        <v>0.02</v>
      </c>
      <c r="BT4389">
        <v>0.78</v>
      </c>
      <c r="BU4389">
        <v>-0.56999999999999995</v>
      </c>
      <c r="BV4389">
        <v>-0.76</v>
      </c>
      <c r="BW4389">
        <v>-0.45</v>
      </c>
      <c r="BX4389">
        <v>0.5</v>
      </c>
      <c r="BY4389">
        <v>-0.1</v>
      </c>
      <c r="BZ4389">
        <v>0.26</v>
      </c>
      <c r="CA4389">
        <v>-0.21</v>
      </c>
      <c r="CB4389">
        <v>-0.56999999999999995</v>
      </c>
      <c r="CC4389">
        <v>0.86</v>
      </c>
      <c r="CD4389">
        <v>1.7</v>
      </c>
      <c r="CE4389">
        <v>-0.15</v>
      </c>
      <c r="CF4389">
        <v>1.86</v>
      </c>
      <c r="CG4389">
        <v>0</v>
      </c>
      <c r="CH4389">
        <v>-0.04</v>
      </c>
      <c r="CI4389">
        <v>0</v>
      </c>
      <c r="CJ4389">
        <v>2.1</v>
      </c>
      <c r="CK4389">
        <v>79</v>
      </c>
      <c r="CL4389">
        <v>-0.76</v>
      </c>
      <c r="CM4389">
        <v>75</v>
      </c>
      <c r="CN4389">
        <v>-0.36</v>
      </c>
      <c r="CO4389">
        <v>72</v>
      </c>
      <c r="CP4389">
        <v>2.4</v>
      </c>
      <c r="CQ4389">
        <v>84</v>
      </c>
      <c r="CR4389">
        <v>0</v>
      </c>
      <c r="CS4389">
        <v>0</v>
      </c>
      <c r="CT4389">
        <v>4.0999999999999996</v>
      </c>
      <c r="CU4389">
        <v>77</v>
      </c>
      <c r="CV4389">
        <v>0.23</v>
      </c>
      <c r="CW4389">
        <v>22</v>
      </c>
      <c r="CX4389" t="s">
        <v>128</v>
      </c>
    </row>
    <row r="4390" spans="1:102" x14ac:dyDescent="0.3">
      <c r="A4390" t="str">
        <f>HYPERLINK("https://webapp.icbf.com/v2/app/bull-search/view/77858569","CRQ")</f>
        <v>CRQ</v>
      </c>
      <c r="B4390" t="s">
        <v>100</v>
      </c>
      <c r="C4390" t="s">
        <v>101</v>
      </c>
      <c r="D4390" s="1">
        <v>34406</v>
      </c>
      <c r="E4390" t="s">
        <v>92</v>
      </c>
      <c r="F4390">
        <v>94</v>
      </c>
      <c r="G4390" t="s">
        <v>93</v>
      </c>
      <c r="H4390">
        <v>-119.62</v>
      </c>
      <c r="I4390">
        <v>89</v>
      </c>
      <c r="J4390">
        <v>45.88</v>
      </c>
      <c r="K4390">
        <v>97</v>
      </c>
      <c r="L4390">
        <v>-140.19999999999999</v>
      </c>
      <c r="M4390">
        <v>86</v>
      </c>
      <c r="N4390">
        <v>-12.58</v>
      </c>
      <c r="O4390">
        <v>83</v>
      </c>
      <c r="P4390">
        <v>-5.68</v>
      </c>
      <c r="Q4390">
        <v>95</v>
      </c>
      <c r="R4390">
        <v>0.77</v>
      </c>
      <c r="S4390">
        <v>80</v>
      </c>
      <c r="T4390">
        <v>-2.4500000000000002</v>
      </c>
      <c r="U4390">
        <v>87</v>
      </c>
      <c r="V4390">
        <v>-5.36</v>
      </c>
      <c r="W4390">
        <v>68</v>
      </c>
      <c r="X4390" t="s">
        <v>102</v>
      </c>
      <c r="Y4390" t="s">
        <v>95</v>
      </c>
      <c r="Z4390" t="s">
        <v>96</v>
      </c>
      <c r="AA4390" t="s">
        <v>103</v>
      </c>
      <c r="AB4390" t="s">
        <v>104</v>
      </c>
      <c r="AC4390">
        <v>140</v>
      </c>
      <c r="AD4390">
        <v>67</v>
      </c>
      <c r="AE4390">
        <v>97</v>
      </c>
      <c r="AF4390">
        <v>136.62</v>
      </c>
      <c r="AG4390">
        <v>11.29</v>
      </c>
      <c r="AH4390">
        <v>5.9</v>
      </c>
      <c r="AI4390">
        <v>0.1</v>
      </c>
      <c r="AJ4390">
        <v>0.02</v>
      </c>
      <c r="AK4390">
        <v>86</v>
      </c>
      <c r="AL4390">
        <v>189</v>
      </c>
      <c r="AM4390">
        <v>80</v>
      </c>
      <c r="AN4390">
        <v>7.71</v>
      </c>
      <c r="AO4390">
        <v>-3.47</v>
      </c>
      <c r="AP4390">
        <v>80</v>
      </c>
      <c r="AQ4390">
        <v>0</v>
      </c>
      <c r="AR4390">
        <v>7.47</v>
      </c>
      <c r="AS4390">
        <v>74</v>
      </c>
      <c r="AT4390">
        <v>3.39</v>
      </c>
      <c r="AU4390">
        <v>85</v>
      </c>
      <c r="AV4390">
        <v>1.95</v>
      </c>
      <c r="AW4390">
        <v>86</v>
      </c>
      <c r="AX4390">
        <v>-0.33</v>
      </c>
      <c r="AY4390">
        <v>87</v>
      </c>
      <c r="AZ4390">
        <v>5.65</v>
      </c>
      <c r="BA4390">
        <v>70</v>
      </c>
      <c r="BB4390">
        <v>4.38</v>
      </c>
      <c r="BC4390">
        <v>75</v>
      </c>
      <c r="BD4390">
        <v>0.05</v>
      </c>
      <c r="BE4390">
        <v>0.01</v>
      </c>
      <c r="BF4390">
        <v>-0.12</v>
      </c>
      <c r="BG4390">
        <v>93</v>
      </c>
      <c r="BH4390">
        <v>-0.06</v>
      </c>
      <c r="BI4390">
        <v>10.34</v>
      </c>
      <c r="BJ4390">
        <v>9</v>
      </c>
      <c r="BK4390">
        <v>5</v>
      </c>
      <c r="BL4390">
        <v>0.54</v>
      </c>
      <c r="BM4390">
        <v>0.13</v>
      </c>
      <c r="BN4390">
        <v>-0.03</v>
      </c>
      <c r="BO4390">
        <v>0.13</v>
      </c>
      <c r="BP4390">
        <v>0.55000000000000004</v>
      </c>
      <c r="BQ4390">
        <v>0.05</v>
      </c>
      <c r="BR4390">
        <v>-0.94</v>
      </c>
      <c r="BS4390">
        <v>-1.1499999999999999</v>
      </c>
      <c r="BT4390">
        <v>0.79</v>
      </c>
      <c r="BU4390">
        <v>-0.63</v>
      </c>
      <c r="BV4390">
        <v>-0.36</v>
      </c>
      <c r="BW4390">
        <v>-0.39</v>
      </c>
      <c r="BX4390">
        <v>0.27</v>
      </c>
      <c r="BY4390">
        <v>-0.41</v>
      </c>
      <c r="BZ4390">
        <v>2</v>
      </c>
      <c r="CA4390">
        <v>-0.56000000000000005</v>
      </c>
      <c r="CB4390">
        <v>-0.35</v>
      </c>
      <c r="CC4390">
        <v>-0.86</v>
      </c>
      <c r="CD4390">
        <v>-0.79</v>
      </c>
      <c r="CE4390">
        <v>0.45</v>
      </c>
      <c r="CF4390">
        <v>-0.33</v>
      </c>
      <c r="CG4390">
        <v>0</v>
      </c>
      <c r="CH4390">
        <v>-0.37</v>
      </c>
      <c r="CI4390">
        <v>0</v>
      </c>
      <c r="CJ4390">
        <v>0.1</v>
      </c>
      <c r="CK4390">
        <v>95</v>
      </c>
      <c r="CL4390">
        <v>-0.75</v>
      </c>
      <c r="CM4390">
        <v>94</v>
      </c>
      <c r="CN4390">
        <v>-0.16</v>
      </c>
      <c r="CO4390">
        <v>94</v>
      </c>
      <c r="CP4390">
        <v>0.3</v>
      </c>
      <c r="CQ4390">
        <v>94</v>
      </c>
      <c r="CR4390">
        <v>0</v>
      </c>
      <c r="CS4390">
        <v>0</v>
      </c>
      <c r="CT4390">
        <v>17.100000000000001</v>
      </c>
      <c r="CU4390">
        <v>87</v>
      </c>
      <c r="CV4390">
        <v>0.26</v>
      </c>
      <c r="CW4390">
        <v>44</v>
      </c>
      <c r="CX4390" t="s">
        <v>105</v>
      </c>
    </row>
    <row r="4391" spans="1:102" x14ac:dyDescent="0.3">
      <c r="A4391" t="str">
        <f>HYPERLINK("https://webapp.icbf.com/v2/app/bull-search/view/77859952","BSO")</f>
        <v>BSO</v>
      </c>
      <c r="B4391" t="s">
        <v>8169</v>
      </c>
      <c r="C4391" t="s">
        <v>8170</v>
      </c>
      <c r="D4391" s="1">
        <v>33972</v>
      </c>
      <c r="E4391" t="s">
        <v>92</v>
      </c>
      <c r="F4391">
        <v>75</v>
      </c>
      <c r="G4391" t="s">
        <v>93</v>
      </c>
      <c r="H4391">
        <v>-119.81</v>
      </c>
      <c r="I4391">
        <v>64</v>
      </c>
      <c r="J4391">
        <v>-79.599999999999994</v>
      </c>
      <c r="K4391">
        <v>83</v>
      </c>
      <c r="L4391">
        <v>-43.36</v>
      </c>
      <c r="M4391">
        <v>57</v>
      </c>
      <c r="N4391">
        <v>-3.77</v>
      </c>
      <c r="O4391">
        <v>44</v>
      </c>
      <c r="P4391">
        <v>10.71</v>
      </c>
      <c r="Q4391">
        <v>64</v>
      </c>
      <c r="R4391">
        <v>-3.26</v>
      </c>
      <c r="S4391">
        <v>61</v>
      </c>
      <c r="T4391">
        <v>2.95</v>
      </c>
      <c r="U4391">
        <v>59</v>
      </c>
      <c r="V4391">
        <v>-3.48</v>
      </c>
      <c r="W4391">
        <v>28</v>
      </c>
      <c r="X4391" t="s">
        <v>94</v>
      </c>
      <c r="Y4391" t="s">
        <v>95</v>
      </c>
      <c r="Z4391" t="s">
        <v>96</v>
      </c>
      <c r="AA4391" t="s">
        <v>161</v>
      </c>
      <c r="AB4391" t="s">
        <v>8171</v>
      </c>
      <c r="AC4391">
        <v>31</v>
      </c>
      <c r="AD4391">
        <v>26</v>
      </c>
      <c r="AE4391">
        <v>83</v>
      </c>
      <c r="AF4391">
        <v>63.26</v>
      </c>
      <c r="AG4391">
        <v>-15.46</v>
      </c>
      <c r="AH4391">
        <v>-7.1</v>
      </c>
      <c r="AI4391">
        <v>-0.28999999999999998</v>
      </c>
      <c r="AJ4391">
        <v>-0.15</v>
      </c>
      <c r="AK4391">
        <v>57</v>
      </c>
      <c r="AL4391">
        <v>56</v>
      </c>
      <c r="AM4391">
        <v>44</v>
      </c>
      <c r="AN4391">
        <v>2.19</v>
      </c>
      <c r="AO4391">
        <v>-1.27</v>
      </c>
      <c r="AP4391">
        <v>0</v>
      </c>
      <c r="AQ4391">
        <v>20</v>
      </c>
      <c r="AR4391">
        <v>7.87</v>
      </c>
      <c r="AS4391">
        <v>29</v>
      </c>
      <c r="AT4391">
        <v>3.65</v>
      </c>
      <c r="AU4391">
        <v>41</v>
      </c>
      <c r="AV4391">
        <v>0.12</v>
      </c>
      <c r="AW4391">
        <v>47</v>
      </c>
      <c r="AX4391">
        <v>-0.34</v>
      </c>
      <c r="AY4391">
        <v>58</v>
      </c>
      <c r="AZ4391">
        <v>6.25</v>
      </c>
      <c r="BA4391">
        <v>29</v>
      </c>
      <c r="BB4391">
        <v>4.68</v>
      </c>
      <c r="BC4391">
        <v>39</v>
      </c>
      <c r="BD4391">
        <v>0.03</v>
      </c>
      <c r="BE4391">
        <v>0.05</v>
      </c>
      <c r="BF4391">
        <v>-7.0000000000000007E-2</v>
      </c>
      <c r="BG4391">
        <v>78</v>
      </c>
      <c r="BH4391">
        <v>-0.09</v>
      </c>
      <c r="BI4391">
        <v>0.83</v>
      </c>
      <c r="BJ4391">
        <v>16</v>
      </c>
      <c r="BK4391">
        <v>14</v>
      </c>
      <c r="BL4391">
        <v>-0.42</v>
      </c>
      <c r="BM4391">
        <v>-0.55000000000000004</v>
      </c>
      <c r="BN4391">
        <v>-0.92</v>
      </c>
      <c r="BO4391">
        <v>-0.48</v>
      </c>
      <c r="BP4391">
        <v>0.9</v>
      </c>
      <c r="BQ4391">
        <v>-1.1599999999999999</v>
      </c>
      <c r="BR4391">
        <v>-1.6</v>
      </c>
      <c r="BS4391">
        <v>1.0900000000000001</v>
      </c>
      <c r="BT4391">
        <v>1.59</v>
      </c>
      <c r="BU4391">
        <v>-1.43</v>
      </c>
      <c r="BV4391">
        <v>-0.03</v>
      </c>
      <c r="BW4391">
        <v>-0.03</v>
      </c>
      <c r="BX4391">
        <v>-0.06</v>
      </c>
      <c r="BY4391">
        <v>-1.85</v>
      </c>
      <c r="BZ4391">
        <v>0.89</v>
      </c>
      <c r="CA4391">
        <v>-0.23</v>
      </c>
      <c r="CB4391">
        <v>-0.7</v>
      </c>
      <c r="CC4391">
        <v>1.3</v>
      </c>
      <c r="CD4391">
        <v>-0.15</v>
      </c>
      <c r="CE4391">
        <v>-0.3</v>
      </c>
      <c r="CF4391">
        <v>-0.77</v>
      </c>
      <c r="CG4391">
        <v>0</v>
      </c>
      <c r="CH4391">
        <v>-1.19</v>
      </c>
      <c r="CI4391">
        <v>0</v>
      </c>
      <c r="CJ4391">
        <v>4.3</v>
      </c>
      <c r="CK4391">
        <v>66</v>
      </c>
      <c r="CL4391">
        <v>-0.17</v>
      </c>
      <c r="CM4391">
        <v>63</v>
      </c>
      <c r="CN4391">
        <v>-0.51</v>
      </c>
      <c r="CO4391">
        <v>59</v>
      </c>
      <c r="CP4391">
        <v>3.7</v>
      </c>
      <c r="CQ4391">
        <v>67</v>
      </c>
      <c r="CR4391">
        <v>0</v>
      </c>
      <c r="CS4391">
        <v>0</v>
      </c>
      <c r="CT4391">
        <v>9.8000000000000007</v>
      </c>
      <c r="CU4391">
        <v>59</v>
      </c>
      <c r="CV4391">
        <v>0.09</v>
      </c>
      <c r="CW4391">
        <v>18</v>
      </c>
      <c r="CX4391" t="s">
        <v>3454</v>
      </c>
    </row>
    <row r="4392" spans="1:102" x14ac:dyDescent="0.3">
      <c r="A4392" t="str">
        <f>HYPERLINK("https://webapp.icbf.com/v2/app/bull-search/view/77852857","VRI")</f>
        <v>VRI</v>
      </c>
      <c r="B4392" t="s">
        <v>10740</v>
      </c>
      <c r="C4392" t="s">
        <v>10741</v>
      </c>
      <c r="D4392" s="1">
        <v>35433</v>
      </c>
      <c r="E4392" t="s">
        <v>92</v>
      </c>
      <c r="F4392">
        <v>100</v>
      </c>
      <c r="G4392" t="s">
        <v>93</v>
      </c>
      <c r="H4392">
        <v>-119.93</v>
      </c>
      <c r="I4392">
        <v>78</v>
      </c>
      <c r="J4392">
        <v>-6.9</v>
      </c>
      <c r="K4392">
        <v>96</v>
      </c>
      <c r="L4392">
        <v>-114.15</v>
      </c>
      <c r="M4392">
        <v>67</v>
      </c>
      <c r="N4392">
        <v>1.23</v>
      </c>
      <c r="O4392">
        <v>68</v>
      </c>
      <c r="P4392">
        <v>-6.71</v>
      </c>
      <c r="Q4392">
        <v>81</v>
      </c>
      <c r="R4392">
        <v>-8.73</v>
      </c>
      <c r="S4392">
        <v>70</v>
      </c>
      <c r="T4392">
        <v>15.23</v>
      </c>
      <c r="U4392">
        <v>79</v>
      </c>
      <c r="V4392">
        <v>0.1</v>
      </c>
      <c r="W4392">
        <v>40</v>
      </c>
      <c r="X4392" t="s">
        <v>94</v>
      </c>
      <c r="Y4392" t="s">
        <v>95</v>
      </c>
      <c r="Z4392" t="s">
        <v>96</v>
      </c>
      <c r="AA4392" t="s">
        <v>2898</v>
      </c>
      <c r="AB4392" t="s">
        <v>10742</v>
      </c>
      <c r="AC4392">
        <v>100</v>
      </c>
      <c r="AD4392">
        <v>78</v>
      </c>
      <c r="AE4392">
        <v>96</v>
      </c>
      <c r="AF4392">
        <v>189.47</v>
      </c>
      <c r="AG4392">
        <v>3.13</v>
      </c>
      <c r="AH4392">
        <v>0.62</v>
      </c>
      <c r="AI4392">
        <v>-7.0000000000000007E-2</v>
      </c>
      <c r="AJ4392">
        <v>-0.09</v>
      </c>
      <c r="AK4392">
        <v>67</v>
      </c>
      <c r="AL4392">
        <v>92</v>
      </c>
      <c r="AM4392">
        <v>69</v>
      </c>
      <c r="AN4392">
        <v>6.5</v>
      </c>
      <c r="AO4392">
        <v>-2.6</v>
      </c>
      <c r="AP4392">
        <v>2</v>
      </c>
      <c r="AQ4392">
        <v>6</v>
      </c>
      <c r="AR4392">
        <v>8.19</v>
      </c>
      <c r="AS4392">
        <v>42</v>
      </c>
      <c r="AT4392">
        <v>3.4</v>
      </c>
      <c r="AU4392">
        <v>64</v>
      </c>
      <c r="AV4392">
        <v>-1.22</v>
      </c>
      <c r="AW4392">
        <v>76</v>
      </c>
      <c r="AX4392">
        <v>0.67</v>
      </c>
      <c r="AY4392">
        <v>78</v>
      </c>
      <c r="AZ4392">
        <v>6.99</v>
      </c>
      <c r="BA4392">
        <v>45</v>
      </c>
      <c r="BB4392">
        <v>5.36</v>
      </c>
      <c r="BC4392">
        <v>61</v>
      </c>
      <c r="BD4392">
        <v>7.0000000000000007E-2</v>
      </c>
      <c r="BE4392">
        <v>0.06</v>
      </c>
      <c r="BF4392">
        <v>-0.03</v>
      </c>
      <c r="BG4392">
        <v>84</v>
      </c>
      <c r="BH4392">
        <v>0.15</v>
      </c>
      <c r="BI4392">
        <v>17.03</v>
      </c>
      <c r="BJ4392">
        <v>7</v>
      </c>
      <c r="BK4392">
        <v>7</v>
      </c>
      <c r="BL4392">
        <v>7.0000000000000007E-2</v>
      </c>
      <c r="BM4392">
        <v>0.46</v>
      </c>
      <c r="BN4392">
        <v>0.28999999999999998</v>
      </c>
      <c r="BO4392">
        <v>-0.02</v>
      </c>
      <c r="BP4392">
        <v>0.94</v>
      </c>
      <c r="BQ4392">
        <v>-0.03</v>
      </c>
      <c r="BR4392">
        <v>1.06</v>
      </c>
      <c r="BS4392">
        <v>-0.53</v>
      </c>
      <c r="BT4392">
        <v>-0.99</v>
      </c>
      <c r="BU4392">
        <v>0.94</v>
      </c>
      <c r="BV4392">
        <v>0.12</v>
      </c>
      <c r="BW4392">
        <v>-0.33</v>
      </c>
      <c r="BX4392">
        <v>0.18</v>
      </c>
      <c r="BY4392">
        <v>-0.33</v>
      </c>
      <c r="BZ4392">
        <v>0.8</v>
      </c>
      <c r="CA4392">
        <v>0.14000000000000001</v>
      </c>
      <c r="CB4392">
        <v>0.37</v>
      </c>
      <c r="CC4392">
        <v>-0.34</v>
      </c>
      <c r="CD4392">
        <v>0.19</v>
      </c>
      <c r="CE4392">
        <v>-0.17</v>
      </c>
      <c r="CF4392">
        <v>-0.09</v>
      </c>
      <c r="CG4392">
        <v>0</v>
      </c>
      <c r="CH4392">
        <v>0.24</v>
      </c>
      <c r="CI4392">
        <v>0</v>
      </c>
      <c r="CJ4392">
        <v>3</v>
      </c>
      <c r="CK4392">
        <v>82</v>
      </c>
      <c r="CL4392">
        <v>-0.8</v>
      </c>
      <c r="CM4392">
        <v>80</v>
      </c>
      <c r="CN4392">
        <v>0.16</v>
      </c>
      <c r="CO4392">
        <v>77</v>
      </c>
      <c r="CP4392">
        <v>-4.8</v>
      </c>
      <c r="CQ4392">
        <v>88</v>
      </c>
      <c r="CR4392">
        <v>0</v>
      </c>
      <c r="CS4392">
        <v>0</v>
      </c>
      <c r="CT4392">
        <v>-6.8</v>
      </c>
      <c r="CU4392">
        <v>79</v>
      </c>
      <c r="CV4392">
        <v>0.36</v>
      </c>
      <c r="CW4392">
        <v>24</v>
      </c>
      <c r="CX4392" t="s">
        <v>485</v>
      </c>
    </row>
    <row r="4393" spans="1:102" x14ac:dyDescent="0.3">
      <c r="A4393" t="str">
        <f>HYPERLINK("https://webapp.icbf.com/v2/app/bull-search/view/117993461","QSG")</f>
        <v>QSG</v>
      </c>
      <c r="B4393" t="s">
        <v>11287</v>
      </c>
      <c r="C4393" t="s">
        <v>11288</v>
      </c>
      <c r="D4393" s="1">
        <v>33574</v>
      </c>
      <c r="E4393" t="s">
        <v>92</v>
      </c>
      <c r="F4393">
        <v>100</v>
      </c>
      <c r="G4393" t="s">
        <v>93</v>
      </c>
      <c r="H4393">
        <v>-120.04</v>
      </c>
      <c r="I4393">
        <v>94</v>
      </c>
      <c r="J4393">
        <v>15.82</v>
      </c>
      <c r="K4393">
        <v>99</v>
      </c>
      <c r="L4393">
        <v>-126.68</v>
      </c>
      <c r="M4393">
        <v>92</v>
      </c>
      <c r="N4393">
        <v>20.54</v>
      </c>
      <c r="O4393">
        <v>91</v>
      </c>
      <c r="P4393">
        <v>-11.78</v>
      </c>
      <c r="Q4393">
        <v>98</v>
      </c>
      <c r="R4393">
        <v>-20.3</v>
      </c>
      <c r="S4393">
        <v>86</v>
      </c>
      <c r="T4393">
        <v>3.1</v>
      </c>
      <c r="U4393">
        <v>94</v>
      </c>
      <c r="V4393">
        <v>-0.74</v>
      </c>
      <c r="W4393">
        <v>75</v>
      </c>
      <c r="X4393" t="s">
        <v>110</v>
      </c>
      <c r="Y4393" t="s">
        <v>95</v>
      </c>
      <c r="Z4393" t="s">
        <v>96</v>
      </c>
      <c r="AA4393" t="s">
        <v>118</v>
      </c>
      <c r="AB4393" t="s">
        <v>11289</v>
      </c>
      <c r="AC4393">
        <v>455</v>
      </c>
      <c r="AD4393">
        <v>157</v>
      </c>
      <c r="AE4393">
        <v>99</v>
      </c>
      <c r="AF4393">
        <v>206.88</v>
      </c>
      <c r="AG4393">
        <v>0.22</v>
      </c>
      <c r="AH4393">
        <v>5.78</v>
      </c>
      <c r="AI4393">
        <v>-0.13</v>
      </c>
      <c r="AJ4393">
        <v>-0.02</v>
      </c>
      <c r="AK4393">
        <v>92</v>
      </c>
      <c r="AL4393">
        <v>486</v>
      </c>
      <c r="AM4393">
        <v>184</v>
      </c>
      <c r="AN4393">
        <v>7.9</v>
      </c>
      <c r="AO4393">
        <v>-2.19</v>
      </c>
      <c r="AP4393">
        <v>362</v>
      </c>
      <c r="AQ4393">
        <v>3</v>
      </c>
      <c r="AR4393">
        <v>7.09</v>
      </c>
      <c r="AS4393">
        <v>89</v>
      </c>
      <c r="AT4393">
        <v>3.14</v>
      </c>
      <c r="AU4393">
        <v>92</v>
      </c>
      <c r="AV4393">
        <v>-1.86</v>
      </c>
      <c r="AW4393">
        <v>94</v>
      </c>
      <c r="AX4393">
        <v>-0.14000000000000001</v>
      </c>
      <c r="AY4393">
        <v>94</v>
      </c>
      <c r="AZ4393">
        <v>5.54</v>
      </c>
      <c r="BA4393">
        <v>81</v>
      </c>
      <c r="BB4393">
        <v>4.37</v>
      </c>
      <c r="BC4393">
        <v>85</v>
      </c>
      <c r="BD4393">
        <v>7.0000000000000007E-2</v>
      </c>
      <c r="BE4393">
        <v>0.1</v>
      </c>
      <c r="BF4393">
        <v>0.16</v>
      </c>
      <c r="BG4393">
        <v>95</v>
      </c>
      <c r="BH4393">
        <v>0.05</v>
      </c>
      <c r="BI4393">
        <v>8.16</v>
      </c>
      <c r="BJ4393">
        <v>12</v>
      </c>
      <c r="BK4393">
        <v>9</v>
      </c>
      <c r="BL4393">
        <v>0.47</v>
      </c>
      <c r="BM4393">
        <v>1.67</v>
      </c>
      <c r="BN4393">
        <v>1.1299999999999999</v>
      </c>
      <c r="BO4393">
        <v>-0.11</v>
      </c>
      <c r="BP4393">
        <v>0.28000000000000003</v>
      </c>
      <c r="BQ4393">
        <v>-0.61</v>
      </c>
      <c r="BR4393">
        <v>-0.61</v>
      </c>
      <c r="BS4393">
        <v>0.11</v>
      </c>
      <c r="BT4393">
        <v>0.3</v>
      </c>
      <c r="BU4393">
        <v>0.27</v>
      </c>
      <c r="BV4393">
        <v>0.47</v>
      </c>
      <c r="BW4393">
        <v>0.04</v>
      </c>
      <c r="BX4393">
        <v>-0.09</v>
      </c>
      <c r="BY4393">
        <v>0.76</v>
      </c>
      <c r="BZ4393">
        <v>-1.24</v>
      </c>
      <c r="CA4393">
        <v>0.36</v>
      </c>
      <c r="CB4393">
        <v>0.41</v>
      </c>
      <c r="CC4393">
        <v>0.12</v>
      </c>
      <c r="CD4393">
        <v>1.04</v>
      </c>
      <c r="CE4393">
        <v>0.38</v>
      </c>
      <c r="CF4393">
        <v>0.78</v>
      </c>
      <c r="CG4393">
        <v>0</v>
      </c>
      <c r="CH4393">
        <v>-0.47</v>
      </c>
      <c r="CI4393">
        <v>0</v>
      </c>
      <c r="CJ4393">
        <v>-4.5999999999999996</v>
      </c>
      <c r="CK4393">
        <v>98</v>
      </c>
      <c r="CL4393">
        <v>-0.74</v>
      </c>
      <c r="CM4393">
        <v>98</v>
      </c>
      <c r="CN4393">
        <v>-0.26</v>
      </c>
      <c r="CO4393">
        <v>97</v>
      </c>
      <c r="CP4393">
        <v>-5.6</v>
      </c>
      <c r="CQ4393">
        <v>98</v>
      </c>
      <c r="CR4393">
        <v>0</v>
      </c>
      <c r="CS4393">
        <v>0</v>
      </c>
      <c r="CT4393">
        <v>9.6</v>
      </c>
      <c r="CU4393">
        <v>94</v>
      </c>
      <c r="CV4393">
        <v>0.16</v>
      </c>
      <c r="CW4393">
        <v>30</v>
      </c>
      <c r="CX4393" t="s">
        <v>128</v>
      </c>
    </row>
    <row r="4394" spans="1:102" x14ac:dyDescent="0.3">
      <c r="A4394" t="str">
        <f>HYPERLINK("https://webapp.icbf.com/v2/app/bull-search/view/77860057","BWO")</f>
        <v>BWO</v>
      </c>
      <c r="B4394" t="s">
        <v>14656</v>
      </c>
      <c r="C4394" t="s">
        <v>14657</v>
      </c>
      <c r="D4394" s="1">
        <v>35107</v>
      </c>
      <c r="E4394" t="s">
        <v>92</v>
      </c>
      <c r="F4394">
        <v>100</v>
      </c>
      <c r="G4394" t="s">
        <v>93</v>
      </c>
      <c r="H4394">
        <v>-120.07</v>
      </c>
      <c r="I4394">
        <v>70</v>
      </c>
      <c r="J4394">
        <v>1.35</v>
      </c>
      <c r="K4394">
        <v>91</v>
      </c>
      <c r="L4394">
        <v>-126.04</v>
      </c>
      <c r="M4394">
        <v>57</v>
      </c>
      <c r="N4394">
        <v>24.44</v>
      </c>
      <c r="O4394">
        <v>56</v>
      </c>
      <c r="P4394">
        <v>-16.86</v>
      </c>
      <c r="Q4394">
        <v>74</v>
      </c>
      <c r="R4394">
        <v>-12.95</v>
      </c>
      <c r="S4394">
        <v>62</v>
      </c>
      <c r="T4394">
        <v>16.86</v>
      </c>
      <c r="U4394">
        <v>70</v>
      </c>
      <c r="V4394">
        <v>-6.87</v>
      </c>
      <c r="W4394">
        <v>33</v>
      </c>
      <c r="X4394" t="s">
        <v>94</v>
      </c>
      <c r="Y4394" t="s">
        <v>95</v>
      </c>
      <c r="Z4394" t="s">
        <v>96</v>
      </c>
      <c r="AA4394" t="s">
        <v>1106</v>
      </c>
      <c r="AB4394" t="s">
        <v>14658</v>
      </c>
      <c r="AC4394">
        <v>53</v>
      </c>
      <c r="AD4394">
        <v>52</v>
      </c>
      <c r="AE4394">
        <v>91</v>
      </c>
      <c r="AF4394">
        <v>489.47</v>
      </c>
      <c r="AG4394">
        <v>6.73</v>
      </c>
      <c r="AH4394">
        <v>5.34</v>
      </c>
      <c r="AI4394">
        <v>-0.19</v>
      </c>
      <c r="AJ4394">
        <v>-0.18</v>
      </c>
      <c r="AK4394">
        <v>57</v>
      </c>
      <c r="AL4394">
        <v>46</v>
      </c>
      <c r="AM4394">
        <v>45</v>
      </c>
      <c r="AN4394">
        <v>7.02</v>
      </c>
      <c r="AO4394">
        <v>-3.03</v>
      </c>
      <c r="AP4394">
        <v>3</v>
      </c>
      <c r="AQ4394">
        <v>1</v>
      </c>
      <c r="AR4394">
        <v>6.21</v>
      </c>
      <c r="AS4394">
        <v>36</v>
      </c>
      <c r="AT4394">
        <v>3.13</v>
      </c>
      <c r="AU4394">
        <v>51</v>
      </c>
      <c r="AV4394">
        <v>-2.2799999999999998</v>
      </c>
      <c r="AW4394">
        <v>66</v>
      </c>
      <c r="AX4394">
        <v>-0.44</v>
      </c>
      <c r="AY4394">
        <v>65</v>
      </c>
      <c r="AZ4394">
        <v>5.71</v>
      </c>
      <c r="BA4394">
        <v>34</v>
      </c>
      <c r="BB4394">
        <v>4.8600000000000003</v>
      </c>
      <c r="BC4394">
        <v>47</v>
      </c>
      <c r="BD4394">
        <v>7.0000000000000007E-2</v>
      </c>
      <c r="BE4394">
        <v>0.09</v>
      </c>
      <c r="BF4394">
        <v>0.01</v>
      </c>
      <c r="BG4394">
        <v>75</v>
      </c>
      <c r="BH4394">
        <v>-0.16</v>
      </c>
      <c r="BI4394">
        <v>3.64</v>
      </c>
      <c r="BJ4394">
        <v>4</v>
      </c>
      <c r="BK4394">
        <v>4</v>
      </c>
      <c r="BL4394">
        <v>0.48</v>
      </c>
      <c r="BM4394">
        <v>-0.87</v>
      </c>
      <c r="BN4394">
        <v>0.52</v>
      </c>
      <c r="BO4394">
        <v>0.77</v>
      </c>
      <c r="BP4394">
        <v>-1.62</v>
      </c>
      <c r="BQ4394">
        <v>-0.81</v>
      </c>
      <c r="BR4394">
        <v>0.08</v>
      </c>
      <c r="BS4394">
        <v>-1.67</v>
      </c>
      <c r="BT4394">
        <v>0.25</v>
      </c>
      <c r="BU4394">
        <v>-0.32</v>
      </c>
      <c r="BV4394">
        <v>0.04</v>
      </c>
      <c r="BW4394">
        <v>-0.17</v>
      </c>
      <c r="BX4394">
        <v>-0.67</v>
      </c>
      <c r="BY4394">
        <v>-0.56999999999999995</v>
      </c>
      <c r="BZ4394">
        <v>0.8</v>
      </c>
      <c r="CA4394">
        <v>-0.55000000000000004</v>
      </c>
      <c r="CB4394">
        <v>0.03</v>
      </c>
      <c r="CC4394">
        <v>-1.45</v>
      </c>
      <c r="CD4394">
        <v>-0.98</v>
      </c>
      <c r="CE4394">
        <v>1.22</v>
      </c>
      <c r="CF4394">
        <v>0.18</v>
      </c>
      <c r="CG4394">
        <v>0</v>
      </c>
      <c r="CH4394">
        <v>-0.81</v>
      </c>
      <c r="CI4394">
        <v>0</v>
      </c>
      <c r="CJ4394">
        <v>-8.6999999999999993</v>
      </c>
      <c r="CK4394">
        <v>75</v>
      </c>
      <c r="CL4394">
        <v>-0.61</v>
      </c>
      <c r="CM4394">
        <v>72</v>
      </c>
      <c r="CN4394">
        <v>-0.32</v>
      </c>
      <c r="CO4394">
        <v>68</v>
      </c>
      <c r="CP4394">
        <v>-15.4</v>
      </c>
      <c r="CQ4394">
        <v>80</v>
      </c>
      <c r="CR4394">
        <v>0</v>
      </c>
      <c r="CS4394">
        <v>0</v>
      </c>
      <c r="CT4394">
        <v>-9</v>
      </c>
      <c r="CU4394">
        <v>70</v>
      </c>
      <c r="CV4394">
        <v>0.05</v>
      </c>
      <c r="CW4394">
        <v>21</v>
      </c>
      <c r="CX4394" t="s">
        <v>666</v>
      </c>
    </row>
    <row r="4395" spans="1:102" x14ac:dyDescent="0.3">
      <c r="A4395" t="str">
        <f>HYPERLINK("https://webapp.icbf.com/v2/app/bull-search/view/1196691077","S2191")</f>
        <v>S2191</v>
      </c>
      <c r="B4395" t="s">
        <v>9637</v>
      </c>
      <c r="C4395" t="s">
        <v>9638</v>
      </c>
      <c r="D4395" s="1">
        <v>40926</v>
      </c>
      <c r="E4395" t="s">
        <v>92</v>
      </c>
      <c r="F4395">
        <v>100</v>
      </c>
      <c r="G4395" t="s">
        <v>109</v>
      </c>
      <c r="H4395">
        <v>-120.1</v>
      </c>
      <c r="I4395">
        <v>63</v>
      </c>
      <c r="J4395">
        <v>-43.89</v>
      </c>
      <c r="K4395">
        <v>81</v>
      </c>
      <c r="L4395">
        <v>-78.849999999999994</v>
      </c>
      <c r="M4395">
        <v>73</v>
      </c>
      <c r="N4395">
        <v>-6.31</v>
      </c>
      <c r="O4395">
        <v>40</v>
      </c>
      <c r="P4395">
        <v>-7.11</v>
      </c>
      <c r="Q4395">
        <v>30</v>
      </c>
      <c r="R4395">
        <v>15.69</v>
      </c>
      <c r="S4395">
        <v>55</v>
      </c>
      <c r="T4395">
        <v>-6.23</v>
      </c>
      <c r="U4395">
        <v>28</v>
      </c>
      <c r="V4395">
        <v>6.6</v>
      </c>
      <c r="W4395">
        <v>22</v>
      </c>
      <c r="X4395" t="s">
        <v>234</v>
      </c>
      <c r="Y4395" t="s">
        <v>367</v>
      </c>
      <c r="Z4395" t="s">
        <v>96</v>
      </c>
      <c r="AA4395" t="s">
        <v>6411</v>
      </c>
      <c r="AB4395" t="s">
        <v>9639</v>
      </c>
      <c r="AC4395">
        <v>0</v>
      </c>
      <c r="AD4395">
        <v>0</v>
      </c>
      <c r="AE4395">
        <v>81</v>
      </c>
      <c r="AF4395">
        <v>157.11000000000001</v>
      </c>
      <c r="AG4395">
        <v>-2.91</v>
      </c>
      <c r="AH4395">
        <v>-4.03</v>
      </c>
      <c r="AI4395">
        <v>-0.15</v>
      </c>
      <c r="AJ4395">
        <v>-0.15</v>
      </c>
      <c r="AK4395">
        <v>73</v>
      </c>
      <c r="AL4395">
        <v>0</v>
      </c>
      <c r="AM4395">
        <v>0</v>
      </c>
      <c r="AN4395">
        <v>5.72</v>
      </c>
      <c r="AO4395">
        <v>-0.55000000000000004</v>
      </c>
      <c r="AP4395">
        <v>1</v>
      </c>
      <c r="AQ4395">
        <v>0</v>
      </c>
      <c r="AR4395">
        <v>10.06</v>
      </c>
      <c r="AS4395">
        <v>27</v>
      </c>
      <c r="AT4395">
        <v>4.28</v>
      </c>
      <c r="AU4395">
        <v>81</v>
      </c>
      <c r="AV4395">
        <v>-1.36</v>
      </c>
      <c r="AW4395">
        <v>28</v>
      </c>
      <c r="AX4395">
        <v>-0.12</v>
      </c>
      <c r="AY4395">
        <v>28</v>
      </c>
      <c r="AZ4395">
        <v>6.06</v>
      </c>
      <c r="BA4395">
        <v>23</v>
      </c>
      <c r="BB4395">
        <v>4.8</v>
      </c>
      <c r="BC4395">
        <v>19</v>
      </c>
      <c r="BD4395">
        <v>-0.04</v>
      </c>
      <c r="BE4395">
        <v>-0.06</v>
      </c>
      <c r="BF4395">
        <v>-0.18</v>
      </c>
      <c r="BG4395">
        <v>84</v>
      </c>
      <c r="BH4395">
        <v>0.08</v>
      </c>
      <c r="BI4395">
        <v>-12.05</v>
      </c>
      <c r="BJ4395">
        <v>0</v>
      </c>
      <c r="BK4395">
        <v>0</v>
      </c>
      <c r="BL4395">
        <v>2.66</v>
      </c>
      <c r="BM4395">
        <v>0.24</v>
      </c>
      <c r="BN4395">
        <v>1.05</v>
      </c>
      <c r="BO4395">
        <v>1.1000000000000001</v>
      </c>
      <c r="BP4395">
        <v>-0.3</v>
      </c>
      <c r="BQ4395">
        <v>3.28</v>
      </c>
      <c r="BR4395">
        <v>-1.06</v>
      </c>
      <c r="BS4395">
        <v>2.34</v>
      </c>
      <c r="BT4395">
        <v>2.19</v>
      </c>
      <c r="BU4395">
        <v>4.66</v>
      </c>
      <c r="BV4395">
        <v>4.08</v>
      </c>
      <c r="BW4395">
        <v>3.31</v>
      </c>
      <c r="BX4395">
        <v>4.59</v>
      </c>
      <c r="BY4395">
        <v>1.75</v>
      </c>
      <c r="BZ4395">
        <v>1.78</v>
      </c>
      <c r="CA4395">
        <v>3.31</v>
      </c>
      <c r="CB4395">
        <v>3.17</v>
      </c>
      <c r="CC4395">
        <v>2.06</v>
      </c>
      <c r="CD4395">
        <v>0.06</v>
      </c>
      <c r="CE4395">
        <v>0</v>
      </c>
      <c r="CF4395">
        <v>0</v>
      </c>
      <c r="CG4395">
        <v>0</v>
      </c>
      <c r="CH4395">
        <v>0</v>
      </c>
      <c r="CI4395">
        <v>0</v>
      </c>
      <c r="CJ4395">
        <v>-1.7</v>
      </c>
      <c r="CK4395">
        <v>30</v>
      </c>
      <c r="CL4395">
        <v>-1.39</v>
      </c>
      <c r="CM4395">
        <v>30</v>
      </c>
      <c r="CN4395">
        <v>-0.74</v>
      </c>
      <c r="CO4395">
        <v>30</v>
      </c>
      <c r="CP4395">
        <v>6.1</v>
      </c>
      <c r="CQ4395">
        <v>29</v>
      </c>
      <c r="CR4395">
        <v>0</v>
      </c>
      <c r="CS4395">
        <v>0</v>
      </c>
      <c r="CT4395">
        <v>22.2</v>
      </c>
      <c r="CU4395">
        <v>28</v>
      </c>
      <c r="CV4395">
        <v>0.28999999999999998</v>
      </c>
      <c r="CW4395">
        <v>13</v>
      </c>
      <c r="CX4395" t="s">
        <v>1236</v>
      </c>
    </row>
    <row r="4396" spans="1:102" x14ac:dyDescent="0.3">
      <c r="A4396" t="str">
        <f>HYPERLINK("https://webapp.icbf.com/v2/app/bull-search/view/77855755","LKM")</f>
        <v>LKM</v>
      </c>
      <c r="B4396" t="s">
        <v>15563</v>
      </c>
      <c r="C4396" t="s">
        <v>15564</v>
      </c>
      <c r="D4396" s="1">
        <v>34237</v>
      </c>
      <c r="E4396" t="s">
        <v>92</v>
      </c>
      <c r="F4396">
        <v>100</v>
      </c>
      <c r="G4396" t="s">
        <v>93</v>
      </c>
      <c r="H4396">
        <v>-120.1</v>
      </c>
      <c r="I4396">
        <v>62</v>
      </c>
      <c r="J4396">
        <v>-3.71</v>
      </c>
      <c r="K4396">
        <v>81</v>
      </c>
      <c r="L4396">
        <v>-111.45</v>
      </c>
      <c r="M4396">
        <v>51</v>
      </c>
      <c r="N4396">
        <v>5.81</v>
      </c>
      <c r="O4396">
        <v>50</v>
      </c>
      <c r="P4396">
        <v>-13.54</v>
      </c>
      <c r="Q4396">
        <v>63</v>
      </c>
      <c r="R4396">
        <v>-6.35</v>
      </c>
      <c r="S4396">
        <v>56</v>
      </c>
      <c r="T4396">
        <v>8.7899999999999991</v>
      </c>
      <c r="U4396">
        <v>61</v>
      </c>
      <c r="V4396">
        <v>0.35</v>
      </c>
      <c r="W4396">
        <v>29</v>
      </c>
      <c r="X4396" t="s">
        <v>94</v>
      </c>
      <c r="Y4396" t="s">
        <v>95</v>
      </c>
      <c r="Z4396" t="s">
        <v>96</v>
      </c>
      <c r="AA4396" t="s">
        <v>485</v>
      </c>
      <c r="AB4396" t="s">
        <v>10839</v>
      </c>
      <c r="AC4396">
        <v>22</v>
      </c>
      <c r="AD4396">
        <v>20</v>
      </c>
      <c r="AE4396">
        <v>81</v>
      </c>
      <c r="AF4396">
        <v>169.76</v>
      </c>
      <c r="AG4396">
        <v>1.01</v>
      </c>
      <c r="AH4396">
        <v>1.61</v>
      </c>
      <c r="AI4396">
        <v>-0.09</v>
      </c>
      <c r="AJ4396">
        <v>-7.0000000000000007E-2</v>
      </c>
      <c r="AK4396">
        <v>51</v>
      </c>
      <c r="AL4396">
        <v>31</v>
      </c>
      <c r="AM4396">
        <v>26</v>
      </c>
      <c r="AN4396">
        <v>5.92</v>
      </c>
      <c r="AO4396">
        <v>-2.97</v>
      </c>
      <c r="AP4396">
        <v>7</v>
      </c>
      <c r="AQ4396">
        <v>1</v>
      </c>
      <c r="AR4396">
        <v>8.02</v>
      </c>
      <c r="AS4396">
        <v>38</v>
      </c>
      <c r="AT4396">
        <v>3.7</v>
      </c>
      <c r="AU4396">
        <v>44</v>
      </c>
      <c r="AV4396">
        <v>-1.66</v>
      </c>
      <c r="AW4396">
        <v>57</v>
      </c>
      <c r="AX4396">
        <v>0.09</v>
      </c>
      <c r="AY4396">
        <v>59</v>
      </c>
      <c r="AZ4396">
        <v>6.86</v>
      </c>
      <c r="BA4396">
        <v>33</v>
      </c>
      <c r="BB4396">
        <v>5.01</v>
      </c>
      <c r="BC4396">
        <v>41</v>
      </c>
      <c r="BD4396">
        <v>0.03</v>
      </c>
      <c r="BE4396">
        <v>0.04</v>
      </c>
      <c r="BF4396">
        <v>0.02</v>
      </c>
      <c r="BG4396">
        <v>69</v>
      </c>
      <c r="BH4396">
        <v>0.06</v>
      </c>
      <c r="BI4396">
        <v>5.82</v>
      </c>
      <c r="BJ4396">
        <v>6</v>
      </c>
      <c r="BK4396">
        <v>6</v>
      </c>
      <c r="BL4396">
        <v>0.13</v>
      </c>
      <c r="BM4396">
        <v>0.38</v>
      </c>
      <c r="BN4396">
        <v>-0.15</v>
      </c>
      <c r="BO4396">
        <v>-0.06</v>
      </c>
      <c r="BP4396">
        <v>0.35</v>
      </c>
      <c r="BQ4396">
        <v>0.08</v>
      </c>
      <c r="BR4396">
        <v>1.35</v>
      </c>
      <c r="BS4396">
        <v>-1.31</v>
      </c>
      <c r="BT4396">
        <v>-0.56000000000000005</v>
      </c>
      <c r="BU4396">
        <v>1.1399999999999999</v>
      </c>
      <c r="BV4396">
        <v>0.61</v>
      </c>
      <c r="BW4396">
        <v>-0.1</v>
      </c>
      <c r="BX4396">
        <v>0.69</v>
      </c>
      <c r="BY4396">
        <v>0.23</v>
      </c>
      <c r="BZ4396">
        <v>-1.32</v>
      </c>
      <c r="CA4396">
        <v>0.01</v>
      </c>
      <c r="CB4396">
        <v>0.71</v>
      </c>
      <c r="CC4396">
        <v>-1.44</v>
      </c>
      <c r="CD4396">
        <v>0.23</v>
      </c>
      <c r="CE4396">
        <v>0.1</v>
      </c>
      <c r="CF4396">
        <v>-0.16</v>
      </c>
      <c r="CG4396">
        <v>0</v>
      </c>
      <c r="CH4396">
        <v>0.38</v>
      </c>
      <c r="CI4396">
        <v>0</v>
      </c>
      <c r="CJ4396">
        <v>-6.7</v>
      </c>
      <c r="CK4396">
        <v>65</v>
      </c>
      <c r="CL4396">
        <v>-0.73</v>
      </c>
      <c r="CM4396">
        <v>61</v>
      </c>
      <c r="CN4396">
        <v>-0.41</v>
      </c>
      <c r="CO4396">
        <v>56</v>
      </c>
      <c r="CP4396">
        <v>-10.4</v>
      </c>
      <c r="CQ4396">
        <v>71</v>
      </c>
      <c r="CR4396">
        <v>0</v>
      </c>
      <c r="CS4396">
        <v>0</v>
      </c>
      <c r="CT4396">
        <v>1.9</v>
      </c>
      <c r="CU4396">
        <v>61</v>
      </c>
      <c r="CV4396">
        <v>0.09</v>
      </c>
      <c r="CW4396">
        <v>18</v>
      </c>
      <c r="CX4396" t="s">
        <v>543</v>
      </c>
    </row>
    <row r="4397" spans="1:102" x14ac:dyDescent="0.3">
      <c r="A4397" t="str">
        <f>HYPERLINK("https://webapp.icbf.com/v2/app/bull-search/view/910796756","S1317")</f>
        <v>S1317</v>
      </c>
      <c r="B4397" t="s">
        <v>9144</v>
      </c>
      <c r="C4397" t="s">
        <v>9145</v>
      </c>
      <c r="D4397" s="1">
        <v>39958</v>
      </c>
      <c r="E4397" t="s">
        <v>92</v>
      </c>
      <c r="F4397">
        <v>100</v>
      </c>
      <c r="G4397" t="s">
        <v>109</v>
      </c>
      <c r="H4397">
        <v>-120.14</v>
      </c>
      <c r="I4397">
        <v>72</v>
      </c>
      <c r="J4397">
        <v>7.08</v>
      </c>
      <c r="K4397">
        <v>82</v>
      </c>
      <c r="L4397">
        <v>-117.9</v>
      </c>
      <c r="M4397">
        <v>77</v>
      </c>
      <c r="N4397">
        <v>-9.35</v>
      </c>
      <c r="O4397">
        <v>62</v>
      </c>
      <c r="P4397">
        <v>7.89</v>
      </c>
      <c r="Q4397">
        <v>59</v>
      </c>
      <c r="R4397">
        <v>-0.28000000000000003</v>
      </c>
      <c r="S4397">
        <v>64</v>
      </c>
      <c r="T4397">
        <v>-14.15</v>
      </c>
      <c r="U4397">
        <v>63</v>
      </c>
      <c r="V4397">
        <v>6.57</v>
      </c>
      <c r="W4397">
        <v>29</v>
      </c>
      <c r="X4397" t="s">
        <v>251</v>
      </c>
      <c r="Y4397" t="s">
        <v>342</v>
      </c>
      <c r="Z4397" t="s">
        <v>96</v>
      </c>
      <c r="AA4397" t="s">
        <v>350</v>
      </c>
      <c r="AB4397" t="s">
        <v>5855</v>
      </c>
      <c r="AC4397">
        <v>0</v>
      </c>
      <c r="AD4397">
        <v>0</v>
      </c>
      <c r="AE4397">
        <v>82</v>
      </c>
      <c r="AF4397">
        <v>229.04</v>
      </c>
      <c r="AG4397">
        <v>7.83</v>
      </c>
      <c r="AH4397">
        <v>1.94</v>
      </c>
      <c r="AI4397">
        <v>-0.02</v>
      </c>
      <c r="AJ4397">
        <v>-0.09</v>
      </c>
      <c r="AK4397">
        <v>77</v>
      </c>
      <c r="AL4397">
        <v>0</v>
      </c>
      <c r="AM4397">
        <v>0</v>
      </c>
      <c r="AN4397">
        <v>5.83</v>
      </c>
      <c r="AO4397">
        <v>-3.58</v>
      </c>
      <c r="AP4397">
        <v>18</v>
      </c>
      <c r="AQ4397">
        <v>0</v>
      </c>
      <c r="AR4397">
        <v>9.0399999999999991</v>
      </c>
      <c r="AS4397">
        <v>36</v>
      </c>
      <c r="AT4397">
        <v>4.2300000000000004</v>
      </c>
      <c r="AU4397">
        <v>83</v>
      </c>
      <c r="AV4397">
        <v>-0.53</v>
      </c>
      <c r="AW4397">
        <v>70</v>
      </c>
      <c r="AX4397">
        <v>0.96</v>
      </c>
      <c r="AY4397">
        <v>47</v>
      </c>
      <c r="AZ4397">
        <v>5.69</v>
      </c>
      <c r="BA4397">
        <v>33</v>
      </c>
      <c r="BB4397">
        <v>4.38</v>
      </c>
      <c r="BC4397">
        <v>32</v>
      </c>
      <c r="BD4397">
        <v>-0.01</v>
      </c>
      <c r="BE4397">
        <v>-0.03</v>
      </c>
      <c r="BF4397">
        <v>0.08</v>
      </c>
      <c r="BG4397">
        <v>86</v>
      </c>
      <c r="BH4397">
        <v>0.18</v>
      </c>
      <c r="BI4397">
        <v>-0.37</v>
      </c>
      <c r="BJ4397">
        <v>5</v>
      </c>
      <c r="BK4397">
        <v>3</v>
      </c>
      <c r="BL4397">
        <v>2.71</v>
      </c>
      <c r="BM4397">
        <v>-0.37</v>
      </c>
      <c r="BN4397">
        <v>1.03</v>
      </c>
      <c r="BO4397">
        <v>1.47</v>
      </c>
      <c r="BP4397">
        <v>3.72</v>
      </c>
      <c r="BQ4397">
        <v>2.4</v>
      </c>
      <c r="BR4397">
        <v>-0.82</v>
      </c>
      <c r="BS4397">
        <v>2.1</v>
      </c>
      <c r="BT4397">
        <v>1.1100000000000001</v>
      </c>
      <c r="BU4397">
        <v>1.29</v>
      </c>
      <c r="BV4397">
        <v>2.46</v>
      </c>
      <c r="BW4397">
        <v>1.97</v>
      </c>
      <c r="BX4397">
        <v>2.16</v>
      </c>
      <c r="BY4397">
        <v>0.45</v>
      </c>
      <c r="BZ4397">
        <v>0.66</v>
      </c>
      <c r="CA4397">
        <v>2.0699999999999998</v>
      </c>
      <c r="CB4397">
        <v>1.67</v>
      </c>
      <c r="CC4397">
        <v>2</v>
      </c>
      <c r="CD4397">
        <v>-0.4</v>
      </c>
      <c r="CE4397">
        <v>1.17</v>
      </c>
      <c r="CF4397">
        <v>1.36</v>
      </c>
      <c r="CG4397">
        <v>0</v>
      </c>
      <c r="CH4397">
        <v>1.47</v>
      </c>
      <c r="CI4397">
        <v>0</v>
      </c>
      <c r="CJ4397">
        <v>7.3</v>
      </c>
      <c r="CK4397">
        <v>62</v>
      </c>
      <c r="CL4397">
        <v>-1.17</v>
      </c>
      <c r="CM4397">
        <v>56</v>
      </c>
      <c r="CN4397">
        <v>-0.7</v>
      </c>
      <c r="CO4397">
        <v>53</v>
      </c>
      <c r="CP4397">
        <v>11.3</v>
      </c>
      <c r="CQ4397">
        <v>60</v>
      </c>
      <c r="CR4397">
        <v>0</v>
      </c>
      <c r="CS4397">
        <v>0</v>
      </c>
      <c r="CT4397">
        <v>32.9</v>
      </c>
      <c r="CU4397">
        <v>63</v>
      </c>
      <c r="CV4397">
        <v>0.38</v>
      </c>
      <c r="CW4397">
        <v>16</v>
      </c>
      <c r="CX4397" t="s">
        <v>309</v>
      </c>
    </row>
    <row r="4398" spans="1:102" x14ac:dyDescent="0.3">
      <c r="A4398" t="str">
        <f>HYPERLINK("https://webapp.icbf.com/v2/app/bull-search/view/77857945","FMS")</f>
        <v>FMS</v>
      </c>
      <c r="B4398" t="s">
        <v>11223</v>
      </c>
      <c r="C4398" t="s">
        <v>11224</v>
      </c>
      <c r="D4398" s="1">
        <v>33139</v>
      </c>
      <c r="E4398" t="s">
        <v>92</v>
      </c>
      <c r="F4398">
        <v>100</v>
      </c>
      <c r="G4398" t="s">
        <v>93</v>
      </c>
      <c r="H4398">
        <v>-120.26</v>
      </c>
      <c r="I4398">
        <v>79</v>
      </c>
      <c r="J4398">
        <v>-5.54</v>
      </c>
      <c r="K4398">
        <v>91</v>
      </c>
      <c r="L4398">
        <v>-75.72</v>
      </c>
      <c r="M4398">
        <v>81</v>
      </c>
      <c r="N4398">
        <v>-34.979999999999997</v>
      </c>
      <c r="O4398">
        <v>62</v>
      </c>
      <c r="P4398">
        <v>-15.14</v>
      </c>
      <c r="Q4398">
        <v>76</v>
      </c>
      <c r="R4398">
        <v>-12.64</v>
      </c>
      <c r="S4398">
        <v>68</v>
      </c>
      <c r="T4398">
        <v>23.37</v>
      </c>
      <c r="U4398">
        <v>72</v>
      </c>
      <c r="V4398">
        <v>0.39</v>
      </c>
      <c r="W4398">
        <v>38</v>
      </c>
      <c r="X4398" t="s">
        <v>110</v>
      </c>
      <c r="Y4398" t="s">
        <v>95</v>
      </c>
      <c r="Z4398" t="s">
        <v>96</v>
      </c>
      <c r="AA4398" t="s">
        <v>99</v>
      </c>
      <c r="AB4398" t="s">
        <v>11225</v>
      </c>
      <c r="AC4398">
        <v>51</v>
      </c>
      <c r="AD4398">
        <v>26</v>
      </c>
      <c r="AE4398">
        <v>91</v>
      </c>
      <c r="AF4398">
        <v>32.04</v>
      </c>
      <c r="AG4398">
        <v>-0.28999999999999998</v>
      </c>
      <c r="AH4398">
        <v>-0.35</v>
      </c>
      <c r="AI4398">
        <v>-0.03</v>
      </c>
      <c r="AJ4398">
        <v>-0.02</v>
      </c>
      <c r="AK4398">
        <v>81</v>
      </c>
      <c r="AL4398">
        <v>50</v>
      </c>
      <c r="AM4398">
        <v>29</v>
      </c>
      <c r="AN4398">
        <v>4.7699999999999996</v>
      </c>
      <c r="AO4398">
        <v>-1.26</v>
      </c>
      <c r="AP4398">
        <v>5</v>
      </c>
      <c r="AQ4398">
        <v>1</v>
      </c>
      <c r="AR4398">
        <v>13.36</v>
      </c>
      <c r="AS4398">
        <v>34</v>
      </c>
      <c r="AT4398">
        <v>5.64</v>
      </c>
      <c r="AU4398">
        <v>80</v>
      </c>
      <c r="AV4398">
        <v>-1.52</v>
      </c>
      <c r="AW4398">
        <v>63</v>
      </c>
      <c r="AX4398">
        <v>-0.22</v>
      </c>
      <c r="AY4398">
        <v>65</v>
      </c>
      <c r="AZ4398">
        <v>5.35</v>
      </c>
      <c r="BA4398">
        <v>36</v>
      </c>
      <c r="BB4398">
        <v>5.04</v>
      </c>
      <c r="BC4398">
        <v>50</v>
      </c>
      <c r="BD4398">
        <v>0.01</v>
      </c>
      <c r="BE4398">
        <v>0.06</v>
      </c>
      <c r="BF4398">
        <v>0.16</v>
      </c>
      <c r="BG4398">
        <v>87</v>
      </c>
      <c r="BH4398">
        <v>-0.09</v>
      </c>
      <c r="BI4398">
        <v>-11.68</v>
      </c>
      <c r="BJ4398">
        <v>1</v>
      </c>
      <c r="BK4398">
        <v>1</v>
      </c>
      <c r="BL4398">
        <v>-0.33</v>
      </c>
      <c r="BM4398">
        <v>0.16</v>
      </c>
      <c r="BN4398">
        <v>0.21</v>
      </c>
      <c r="BO4398">
        <v>-0.52</v>
      </c>
      <c r="BP4398">
        <v>-0.86</v>
      </c>
      <c r="BQ4398">
        <v>-0.38</v>
      </c>
      <c r="BR4398">
        <v>0.97</v>
      </c>
      <c r="BS4398">
        <v>-1.49</v>
      </c>
      <c r="BT4398">
        <v>-0.47</v>
      </c>
      <c r="BU4398">
        <v>-0.54</v>
      </c>
      <c r="BV4398">
        <v>-0.56000000000000005</v>
      </c>
      <c r="BW4398">
        <v>0.09</v>
      </c>
      <c r="BX4398">
        <v>-1.05</v>
      </c>
      <c r="BY4398">
        <v>-1.08</v>
      </c>
      <c r="BZ4398">
        <v>1.0900000000000001</v>
      </c>
      <c r="CA4398">
        <v>-1.34</v>
      </c>
      <c r="CB4398">
        <v>-0.99</v>
      </c>
      <c r="CC4398">
        <v>-1.44</v>
      </c>
      <c r="CD4398">
        <v>0.41</v>
      </c>
      <c r="CE4398">
        <v>0.28999999999999998</v>
      </c>
      <c r="CF4398">
        <v>0.23</v>
      </c>
      <c r="CG4398">
        <v>0</v>
      </c>
      <c r="CH4398">
        <v>0.32</v>
      </c>
      <c r="CI4398">
        <v>0</v>
      </c>
      <c r="CJ4398">
        <v>-6.5</v>
      </c>
      <c r="CK4398">
        <v>77</v>
      </c>
      <c r="CL4398">
        <v>-0.49</v>
      </c>
      <c r="CM4398">
        <v>73</v>
      </c>
      <c r="CN4398">
        <v>-0.11</v>
      </c>
      <c r="CO4398">
        <v>69</v>
      </c>
      <c r="CP4398">
        <v>-16</v>
      </c>
      <c r="CQ4398">
        <v>84</v>
      </c>
      <c r="CR4398">
        <v>0</v>
      </c>
      <c r="CS4398">
        <v>0</v>
      </c>
      <c r="CT4398">
        <v>-17.8</v>
      </c>
      <c r="CU4398">
        <v>72</v>
      </c>
      <c r="CV4398">
        <v>0.08</v>
      </c>
      <c r="CW4398">
        <v>21</v>
      </c>
      <c r="CX4398" t="s">
        <v>163</v>
      </c>
    </row>
    <row r="4399" spans="1:102" x14ac:dyDescent="0.3">
      <c r="A4399" t="str">
        <f>HYPERLINK("https://webapp.icbf.com/v2/app/bull-search/view/77856760","INT")</f>
        <v>INT</v>
      </c>
      <c r="B4399" t="s">
        <v>15064</v>
      </c>
      <c r="C4399" t="s">
        <v>15065</v>
      </c>
      <c r="D4399" s="1">
        <v>34198</v>
      </c>
      <c r="E4399" t="s">
        <v>92</v>
      </c>
      <c r="F4399">
        <v>100</v>
      </c>
      <c r="G4399" t="s">
        <v>93</v>
      </c>
      <c r="H4399">
        <v>-120.31</v>
      </c>
      <c r="I4399">
        <v>82</v>
      </c>
      <c r="J4399">
        <v>-18.809999999999999</v>
      </c>
      <c r="K4399">
        <v>96</v>
      </c>
      <c r="L4399">
        <v>-106.72</v>
      </c>
      <c r="M4399">
        <v>75</v>
      </c>
      <c r="N4399">
        <v>8.99</v>
      </c>
      <c r="O4399">
        <v>70</v>
      </c>
      <c r="P4399">
        <v>-16.89</v>
      </c>
      <c r="Q4399">
        <v>87</v>
      </c>
      <c r="R4399">
        <v>-6.84</v>
      </c>
      <c r="S4399">
        <v>75</v>
      </c>
      <c r="T4399">
        <v>18.12</v>
      </c>
      <c r="U4399">
        <v>85</v>
      </c>
      <c r="V4399">
        <v>1.84</v>
      </c>
      <c r="W4399">
        <v>45</v>
      </c>
      <c r="X4399" t="s">
        <v>94</v>
      </c>
      <c r="Y4399" t="s">
        <v>95</v>
      </c>
      <c r="Z4399" t="s">
        <v>96</v>
      </c>
      <c r="AA4399" t="s">
        <v>485</v>
      </c>
      <c r="AB4399" t="s">
        <v>15066</v>
      </c>
      <c r="AC4399">
        <v>124</v>
      </c>
      <c r="AD4399">
        <v>98</v>
      </c>
      <c r="AE4399">
        <v>96</v>
      </c>
      <c r="AF4399">
        <v>-175.32</v>
      </c>
      <c r="AG4399">
        <v>-2.1</v>
      </c>
      <c r="AH4399">
        <v>-5.14</v>
      </c>
      <c r="AI4399">
        <v>0.08</v>
      </c>
      <c r="AJ4399">
        <v>0.02</v>
      </c>
      <c r="AK4399">
        <v>75</v>
      </c>
      <c r="AL4399">
        <v>177</v>
      </c>
      <c r="AM4399">
        <v>125</v>
      </c>
      <c r="AN4399">
        <v>5.0999999999999996</v>
      </c>
      <c r="AO4399">
        <v>-3.42</v>
      </c>
      <c r="AP4399">
        <v>16</v>
      </c>
      <c r="AQ4399">
        <v>0</v>
      </c>
      <c r="AR4399">
        <v>6.55</v>
      </c>
      <c r="AS4399">
        <v>46</v>
      </c>
      <c r="AT4399">
        <v>2.96</v>
      </c>
      <c r="AU4399">
        <v>71</v>
      </c>
      <c r="AV4399">
        <v>-0.68</v>
      </c>
      <c r="AW4399">
        <v>74</v>
      </c>
      <c r="AX4399">
        <v>-0.49</v>
      </c>
      <c r="AY4399">
        <v>85</v>
      </c>
      <c r="AZ4399">
        <v>6.94</v>
      </c>
      <c r="BA4399">
        <v>47</v>
      </c>
      <c r="BB4399">
        <v>5.19</v>
      </c>
      <c r="BC4399">
        <v>67</v>
      </c>
      <c r="BD4399">
        <v>0.05</v>
      </c>
      <c r="BE4399">
        <v>0.06</v>
      </c>
      <c r="BF4399">
        <v>-0.04</v>
      </c>
      <c r="BG4399">
        <v>92</v>
      </c>
      <c r="BH4399">
        <v>0.11</v>
      </c>
      <c r="BI4399">
        <v>6.8</v>
      </c>
      <c r="BJ4399">
        <v>33</v>
      </c>
      <c r="BK4399">
        <v>27</v>
      </c>
      <c r="BL4399">
        <v>0.09</v>
      </c>
      <c r="BM4399">
        <v>0.09</v>
      </c>
      <c r="BN4399">
        <v>0.04</v>
      </c>
      <c r="BO4399">
        <v>-0.17</v>
      </c>
      <c r="BP4399">
        <v>-0.24</v>
      </c>
      <c r="BQ4399">
        <v>-1.23</v>
      </c>
      <c r="BR4399">
        <v>1.25</v>
      </c>
      <c r="BS4399">
        <v>-2.09</v>
      </c>
      <c r="BT4399">
        <v>-1.21</v>
      </c>
      <c r="BU4399">
        <v>1.53</v>
      </c>
      <c r="BV4399">
        <v>0.87</v>
      </c>
      <c r="BW4399">
        <v>0.35</v>
      </c>
      <c r="BX4399">
        <v>1.39</v>
      </c>
      <c r="BY4399">
        <v>-0.84</v>
      </c>
      <c r="BZ4399">
        <v>0.27</v>
      </c>
      <c r="CA4399">
        <v>0.21</v>
      </c>
      <c r="CB4399">
        <v>0.96</v>
      </c>
      <c r="CC4399">
        <v>-1.48</v>
      </c>
      <c r="CD4399">
        <v>0.22</v>
      </c>
      <c r="CE4399">
        <v>0.28000000000000003</v>
      </c>
      <c r="CF4399">
        <v>0.15</v>
      </c>
      <c r="CG4399">
        <v>0</v>
      </c>
      <c r="CH4399">
        <v>1.19</v>
      </c>
      <c r="CI4399">
        <v>0</v>
      </c>
      <c r="CJ4399">
        <v>-8.9</v>
      </c>
      <c r="CK4399">
        <v>88</v>
      </c>
      <c r="CL4399">
        <v>-0.62</v>
      </c>
      <c r="CM4399">
        <v>86</v>
      </c>
      <c r="CN4399">
        <v>-0.35</v>
      </c>
      <c r="CO4399">
        <v>83</v>
      </c>
      <c r="CP4399">
        <v>-15.4</v>
      </c>
      <c r="CQ4399">
        <v>90</v>
      </c>
      <c r="CR4399">
        <v>0</v>
      </c>
      <c r="CS4399">
        <v>0</v>
      </c>
      <c r="CT4399">
        <v>-10.7</v>
      </c>
      <c r="CU4399">
        <v>85</v>
      </c>
      <c r="CV4399">
        <v>0.01</v>
      </c>
      <c r="CW4399">
        <v>26</v>
      </c>
      <c r="CX4399" t="s">
        <v>552</v>
      </c>
    </row>
    <row r="4400" spans="1:102" x14ac:dyDescent="0.3">
      <c r="A4400" t="str">
        <f>HYPERLINK("https://webapp.icbf.com/v2/app/bull-search/view/137158217","HUD")</f>
        <v>HUD</v>
      </c>
      <c r="B4400" t="s">
        <v>15032</v>
      </c>
      <c r="C4400" t="s">
        <v>15033</v>
      </c>
      <c r="D4400" s="1">
        <v>35500</v>
      </c>
      <c r="E4400" t="s">
        <v>92</v>
      </c>
      <c r="F4400">
        <v>100</v>
      </c>
      <c r="G4400" t="s">
        <v>93</v>
      </c>
      <c r="H4400">
        <v>-120.96</v>
      </c>
      <c r="I4400">
        <v>92</v>
      </c>
      <c r="J4400">
        <v>18.63</v>
      </c>
      <c r="K4400">
        <v>98</v>
      </c>
      <c r="L4400">
        <v>-139.33000000000001</v>
      </c>
      <c r="M4400">
        <v>91</v>
      </c>
      <c r="N4400">
        <v>3.53</v>
      </c>
      <c r="O4400">
        <v>88</v>
      </c>
      <c r="P4400">
        <v>-3.37</v>
      </c>
      <c r="Q4400">
        <v>93</v>
      </c>
      <c r="R4400">
        <v>-2.38</v>
      </c>
      <c r="S4400">
        <v>87</v>
      </c>
      <c r="T4400">
        <v>3.69</v>
      </c>
      <c r="U4400">
        <v>88</v>
      </c>
      <c r="V4400">
        <v>-1.73</v>
      </c>
      <c r="W4400">
        <v>83</v>
      </c>
      <c r="X4400" t="s">
        <v>276</v>
      </c>
      <c r="Y4400" t="s">
        <v>95</v>
      </c>
      <c r="Z4400" t="s">
        <v>96</v>
      </c>
      <c r="AA4400" t="s">
        <v>188</v>
      </c>
      <c r="AB4400" t="s">
        <v>15034</v>
      </c>
      <c r="AC4400">
        <v>154</v>
      </c>
      <c r="AD4400">
        <v>84</v>
      </c>
      <c r="AE4400">
        <v>98</v>
      </c>
      <c r="AF4400">
        <v>300.93</v>
      </c>
      <c r="AG4400">
        <v>1</v>
      </c>
      <c r="AH4400">
        <v>7.42</v>
      </c>
      <c r="AI4400">
        <v>-0.18</v>
      </c>
      <c r="AJ4400">
        <v>-0.05</v>
      </c>
      <c r="AK4400">
        <v>91</v>
      </c>
      <c r="AL4400">
        <v>130</v>
      </c>
      <c r="AM4400">
        <v>70</v>
      </c>
      <c r="AN4400">
        <v>6.95</v>
      </c>
      <c r="AO4400">
        <v>-4.17</v>
      </c>
      <c r="AP4400">
        <v>220</v>
      </c>
      <c r="AQ4400">
        <v>0</v>
      </c>
      <c r="AR4400">
        <v>8.99</v>
      </c>
      <c r="AS4400">
        <v>81</v>
      </c>
      <c r="AT4400">
        <v>3.66</v>
      </c>
      <c r="AU4400">
        <v>91</v>
      </c>
      <c r="AV4400">
        <v>-2.11</v>
      </c>
      <c r="AW4400">
        <v>94</v>
      </c>
      <c r="AX4400">
        <v>0.69</v>
      </c>
      <c r="AY4400">
        <v>85</v>
      </c>
      <c r="AZ4400">
        <v>7.59</v>
      </c>
      <c r="BA4400">
        <v>74</v>
      </c>
      <c r="BB4400">
        <v>5.13</v>
      </c>
      <c r="BC4400">
        <v>76</v>
      </c>
      <c r="BD4400">
        <v>0.04</v>
      </c>
      <c r="BE4400">
        <v>0.02</v>
      </c>
      <c r="BF4400">
        <v>-0.05</v>
      </c>
      <c r="BG4400">
        <v>95</v>
      </c>
      <c r="BH4400">
        <v>0.05</v>
      </c>
      <c r="BI4400">
        <v>11.36</v>
      </c>
      <c r="BJ4400">
        <v>29</v>
      </c>
      <c r="BK4400">
        <v>17</v>
      </c>
      <c r="BL4400">
        <v>0.68</v>
      </c>
      <c r="BM4400">
        <v>1.2</v>
      </c>
      <c r="BN4400">
        <v>1.39</v>
      </c>
      <c r="BO4400">
        <v>0.81</v>
      </c>
      <c r="BP4400">
        <v>-2.2400000000000002</v>
      </c>
      <c r="BQ4400">
        <v>2.5099999999999998</v>
      </c>
      <c r="BR4400">
        <v>2.21</v>
      </c>
      <c r="BS4400">
        <v>0.24</v>
      </c>
      <c r="BT4400">
        <v>-1.6</v>
      </c>
      <c r="BU4400">
        <v>1.21</v>
      </c>
      <c r="BV4400">
        <v>1.87</v>
      </c>
      <c r="BW4400">
        <v>1.1100000000000001</v>
      </c>
      <c r="BX4400">
        <v>-0.06</v>
      </c>
      <c r="BY4400">
        <v>0.64</v>
      </c>
      <c r="BZ4400">
        <v>1.62</v>
      </c>
      <c r="CA4400">
        <v>1.06</v>
      </c>
      <c r="CB4400">
        <v>1.42</v>
      </c>
      <c r="CC4400">
        <v>0.17</v>
      </c>
      <c r="CD4400">
        <v>-0.3</v>
      </c>
      <c r="CE4400">
        <v>0.56999999999999995</v>
      </c>
      <c r="CF4400">
        <v>0.67</v>
      </c>
      <c r="CG4400">
        <v>0</v>
      </c>
      <c r="CH4400">
        <v>0.54</v>
      </c>
      <c r="CI4400">
        <v>0</v>
      </c>
      <c r="CJ4400">
        <v>1.4</v>
      </c>
      <c r="CK4400">
        <v>94</v>
      </c>
      <c r="CL4400">
        <v>-0.95</v>
      </c>
      <c r="CM4400">
        <v>93</v>
      </c>
      <c r="CN4400">
        <v>-0.39</v>
      </c>
      <c r="CO4400">
        <v>92</v>
      </c>
      <c r="CP4400">
        <v>-0.4</v>
      </c>
      <c r="CQ4400">
        <v>93</v>
      </c>
      <c r="CR4400">
        <v>0</v>
      </c>
      <c r="CS4400">
        <v>0</v>
      </c>
      <c r="CT4400">
        <v>8.8000000000000007</v>
      </c>
      <c r="CU4400">
        <v>88</v>
      </c>
      <c r="CV4400">
        <v>0.22</v>
      </c>
      <c r="CW4400">
        <v>45</v>
      </c>
      <c r="CX4400" t="s">
        <v>485</v>
      </c>
    </row>
    <row r="4401" spans="1:102" x14ac:dyDescent="0.3">
      <c r="A4401" t="str">
        <f>HYPERLINK("https://webapp.icbf.com/v2/app/bull-search/view/345524851","KVO")</f>
        <v>KVO</v>
      </c>
      <c r="B4401" t="s">
        <v>14406</v>
      </c>
      <c r="C4401" t="s">
        <v>14407</v>
      </c>
      <c r="D4401" s="1">
        <v>35647</v>
      </c>
      <c r="E4401" t="s">
        <v>92</v>
      </c>
      <c r="F4401">
        <v>100</v>
      </c>
      <c r="G4401" t="s">
        <v>109</v>
      </c>
      <c r="H4401">
        <v>-121.05</v>
      </c>
      <c r="I4401">
        <v>82</v>
      </c>
      <c r="J4401">
        <v>13.22</v>
      </c>
      <c r="K4401">
        <v>92</v>
      </c>
      <c r="L4401">
        <v>-111.24</v>
      </c>
      <c r="M4401">
        <v>84</v>
      </c>
      <c r="N4401">
        <v>0.93</v>
      </c>
      <c r="O4401">
        <v>69</v>
      </c>
      <c r="P4401">
        <v>3.49</v>
      </c>
      <c r="Q4401">
        <v>77</v>
      </c>
      <c r="R4401">
        <v>-10.9</v>
      </c>
      <c r="S4401">
        <v>77</v>
      </c>
      <c r="T4401">
        <v>-12.3</v>
      </c>
      <c r="U4401">
        <v>64</v>
      </c>
      <c r="V4401">
        <v>-4.25</v>
      </c>
      <c r="W4401">
        <v>66</v>
      </c>
      <c r="X4401" t="s">
        <v>276</v>
      </c>
      <c r="Y4401" t="s">
        <v>95</v>
      </c>
      <c r="Z4401" t="s">
        <v>96</v>
      </c>
      <c r="AA4401" t="s">
        <v>11815</v>
      </c>
      <c r="AB4401" t="s">
        <v>11816</v>
      </c>
      <c r="AC4401">
        <v>0</v>
      </c>
      <c r="AD4401">
        <v>0</v>
      </c>
      <c r="AE4401">
        <v>92</v>
      </c>
      <c r="AF4401">
        <v>-132.75</v>
      </c>
      <c r="AG4401">
        <v>-0.21</v>
      </c>
      <c r="AH4401">
        <v>0.28999999999999998</v>
      </c>
      <c r="AI4401">
        <v>0.09</v>
      </c>
      <c r="AJ4401">
        <v>0.09</v>
      </c>
      <c r="AK4401">
        <v>84</v>
      </c>
      <c r="AL4401">
        <v>0</v>
      </c>
      <c r="AM4401">
        <v>0</v>
      </c>
      <c r="AN4401">
        <v>6.96</v>
      </c>
      <c r="AO4401">
        <v>-1.9</v>
      </c>
      <c r="AP4401">
        <v>37</v>
      </c>
      <c r="AQ4401">
        <v>3</v>
      </c>
      <c r="AR4401">
        <v>7.7</v>
      </c>
      <c r="AS4401">
        <v>59</v>
      </c>
      <c r="AT4401">
        <v>3.87</v>
      </c>
      <c r="AU4401">
        <v>91</v>
      </c>
      <c r="AV4401">
        <v>-0.28000000000000003</v>
      </c>
      <c r="AW4401">
        <v>68</v>
      </c>
      <c r="AX4401">
        <v>-0.28999999999999998</v>
      </c>
      <c r="AY4401">
        <v>61</v>
      </c>
      <c r="AZ4401">
        <v>5.13</v>
      </c>
      <c r="BA4401">
        <v>47</v>
      </c>
      <c r="BB4401">
        <v>4.28</v>
      </c>
      <c r="BC4401">
        <v>49</v>
      </c>
      <c r="BD4401">
        <v>0.01</v>
      </c>
      <c r="BE4401">
        <v>0.06</v>
      </c>
      <c r="BF4401">
        <v>0.12</v>
      </c>
      <c r="BG4401">
        <v>92</v>
      </c>
      <c r="BH4401">
        <v>-0.14000000000000001</v>
      </c>
      <c r="BI4401">
        <v>-2.4700000000000002</v>
      </c>
      <c r="BJ4401">
        <v>5</v>
      </c>
      <c r="BK4401">
        <v>4</v>
      </c>
      <c r="BL4401">
        <v>0.08</v>
      </c>
      <c r="BM4401">
        <v>0.83</v>
      </c>
      <c r="BN4401">
        <v>0.77</v>
      </c>
      <c r="BO4401">
        <v>0.09</v>
      </c>
      <c r="BP4401">
        <v>1.29</v>
      </c>
      <c r="BQ4401">
        <v>2.2599999999999998</v>
      </c>
      <c r="BR4401">
        <v>0.92</v>
      </c>
      <c r="BS4401">
        <v>0.28000000000000003</v>
      </c>
      <c r="BT4401">
        <v>-0.88</v>
      </c>
      <c r="BU4401">
        <v>0.3</v>
      </c>
      <c r="BV4401">
        <v>0.19</v>
      </c>
      <c r="BW4401">
        <v>-0.08</v>
      </c>
      <c r="BX4401">
        <v>-0.43</v>
      </c>
      <c r="BY4401">
        <v>0.49</v>
      </c>
      <c r="BZ4401">
        <v>0.18</v>
      </c>
      <c r="CA4401">
        <v>0.24</v>
      </c>
      <c r="CB4401">
        <v>0.34</v>
      </c>
      <c r="CC4401">
        <v>0.04</v>
      </c>
      <c r="CD4401">
        <v>-0.65</v>
      </c>
      <c r="CE4401">
        <v>0.26</v>
      </c>
      <c r="CF4401">
        <v>1.69</v>
      </c>
      <c r="CG4401">
        <v>0</v>
      </c>
      <c r="CH4401">
        <v>0.34</v>
      </c>
      <c r="CI4401">
        <v>0</v>
      </c>
      <c r="CJ4401">
        <v>0.7</v>
      </c>
      <c r="CK4401">
        <v>79</v>
      </c>
      <c r="CL4401">
        <v>-0.64</v>
      </c>
      <c r="CM4401">
        <v>76</v>
      </c>
      <c r="CN4401">
        <v>-0.7</v>
      </c>
      <c r="CO4401">
        <v>73</v>
      </c>
      <c r="CP4401">
        <v>6.2</v>
      </c>
      <c r="CQ4401">
        <v>75</v>
      </c>
      <c r="CR4401">
        <v>0</v>
      </c>
      <c r="CS4401">
        <v>0</v>
      </c>
      <c r="CT4401">
        <v>30.4</v>
      </c>
      <c r="CU4401">
        <v>64</v>
      </c>
      <c r="CV4401">
        <v>0.05</v>
      </c>
      <c r="CW4401">
        <v>41</v>
      </c>
      <c r="CX4401" t="s">
        <v>1077</v>
      </c>
    </row>
    <row r="4402" spans="1:102" x14ac:dyDescent="0.3">
      <c r="A4402" t="str">
        <f>HYPERLINK("https://webapp.icbf.com/v2/app/bull-search/view/163415162","MGX")</f>
        <v>MGX</v>
      </c>
      <c r="B4402" t="s">
        <v>11625</v>
      </c>
      <c r="C4402" t="s">
        <v>11626</v>
      </c>
      <c r="D4402" s="1">
        <v>35235</v>
      </c>
      <c r="E4402" t="s">
        <v>140</v>
      </c>
      <c r="F4402">
        <v>0</v>
      </c>
      <c r="G4402" t="s">
        <v>93</v>
      </c>
      <c r="H4402">
        <v>-121.15</v>
      </c>
      <c r="I4402">
        <v>79</v>
      </c>
      <c r="J4402">
        <v>-0.76</v>
      </c>
      <c r="K4402">
        <v>94</v>
      </c>
      <c r="L4402">
        <v>-13.11</v>
      </c>
      <c r="M4402">
        <v>62</v>
      </c>
      <c r="N4402">
        <v>-135.55000000000001</v>
      </c>
      <c r="O4402">
        <v>78</v>
      </c>
      <c r="P4402">
        <v>21.57</v>
      </c>
      <c r="Q4402">
        <v>91</v>
      </c>
      <c r="R4402">
        <v>20.43</v>
      </c>
      <c r="S4402">
        <v>67</v>
      </c>
      <c r="T4402">
        <v>-9.11</v>
      </c>
      <c r="U4402">
        <v>86</v>
      </c>
      <c r="V4402">
        <v>-4.62</v>
      </c>
      <c r="W4402">
        <v>65</v>
      </c>
      <c r="X4402" t="s">
        <v>94</v>
      </c>
      <c r="Y4402" t="s">
        <v>95</v>
      </c>
      <c r="Z4402">
        <v>0</v>
      </c>
      <c r="AA4402" t="s">
        <v>1177</v>
      </c>
      <c r="AB4402" t="s">
        <v>11627</v>
      </c>
      <c r="AC4402">
        <v>63</v>
      </c>
      <c r="AD4402">
        <v>28</v>
      </c>
      <c r="AE4402">
        <v>94</v>
      </c>
      <c r="AF4402">
        <v>-138.25</v>
      </c>
      <c r="AG4402">
        <v>-6.29</v>
      </c>
      <c r="AH4402">
        <v>-0.02</v>
      </c>
      <c r="AI4402">
        <v>-0.01</v>
      </c>
      <c r="AJ4402">
        <v>0.08</v>
      </c>
      <c r="AK4402">
        <v>62</v>
      </c>
      <c r="AL4402">
        <v>64</v>
      </c>
      <c r="AM4402">
        <v>33</v>
      </c>
      <c r="AN4402">
        <v>1.17</v>
      </c>
      <c r="AO4402">
        <v>0.13</v>
      </c>
      <c r="AP4402">
        <v>106</v>
      </c>
      <c r="AQ4402">
        <v>0</v>
      </c>
      <c r="AR4402">
        <v>19.12</v>
      </c>
      <c r="AS4402">
        <v>59</v>
      </c>
      <c r="AT4402">
        <v>8.1</v>
      </c>
      <c r="AU4402">
        <v>76</v>
      </c>
      <c r="AV4402">
        <v>3.41</v>
      </c>
      <c r="AW4402">
        <v>92</v>
      </c>
      <c r="AX4402">
        <v>-0.66</v>
      </c>
      <c r="AY4402">
        <v>75</v>
      </c>
      <c r="AZ4402">
        <v>4.3099999999999996</v>
      </c>
      <c r="BA4402">
        <v>50</v>
      </c>
      <c r="BB4402">
        <v>3.34</v>
      </c>
      <c r="BC4402">
        <v>57</v>
      </c>
      <c r="BD4402">
        <v>-0.01</v>
      </c>
      <c r="BE4402">
        <v>-7.0000000000000007E-2</v>
      </c>
      <c r="BF4402">
        <v>-0.32</v>
      </c>
      <c r="BG4402">
        <v>78</v>
      </c>
      <c r="BH4402">
        <v>-0.05</v>
      </c>
      <c r="BI4402">
        <v>9.1199999999999992</v>
      </c>
      <c r="BJ4402">
        <v>0</v>
      </c>
      <c r="BK4402">
        <v>0</v>
      </c>
      <c r="BL4402">
        <v>-0.85</v>
      </c>
      <c r="BM4402">
        <v>3.16</v>
      </c>
      <c r="BN4402">
        <v>-1.68</v>
      </c>
      <c r="BO4402">
        <v>-2.81</v>
      </c>
      <c r="BP4402">
        <v>4.28</v>
      </c>
      <c r="BQ4402">
        <v>-2.36</v>
      </c>
      <c r="BR4402">
        <v>-2.64</v>
      </c>
      <c r="BS4402">
        <v>-0.61</v>
      </c>
      <c r="BT4402">
        <v>2.5299999999999998</v>
      </c>
      <c r="BU4402">
        <v>-3.24</v>
      </c>
      <c r="BV4402">
        <v>-3.57</v>
      </c>
      <c r="BW4402">
        <v>-2.66</v>
      </c>
      <c r="BX4402">
        <v>-2.5499999999999998</v>
      </c>
      <c r="BY4402">
        <v>-2.33</v>
      </c>
      <c r="BZ4402">
        <v>0.96</v>
      </c>
      <c r="CA4402">
        <v>-2.23</v>
      </c>
      <c r="CB4402">
        <v>-2.86</v>
      </c>
      <c r="CC4402">
        <v>-0.38</v>
      </c>
      <c r="CD4402">
        <v>3.72</v>
      </c>
      <c r="CE4402">
        <v>-2.75</v>
      </c>
      <c r="CF4402">
        <v>-1.05</v>
      </c>
      <c r="CG4402">
        <v>0</v>
      </c>
      <c r="CH4402">
        <v>-2.2200000000000002</v>
      </c>
      <c r="CI4402">
        <v>0</v>
      </c>
      <c r="CJ4402">
        <v>9.1</v>
      </c>
      <c r="CK4402">
        <v>92</v>
      </c>
      <c r="CL4402">
        <v>0.26</v>
      </c>
      <c r="CM4402">
        <v>90</v>
      </c>
      <c r="CN4402">
        <v>-0.32</v>
      </c>
      <c r="CO4402">
        <v>89</v>
      </c>
      <c r="CP4402">
        <v>17.2</v>
      </c>
      <c r="CQ4402">
        <v>86</v>
      </c>
      <c r="CR4402">
        <v>0</v>
      </c>
      <c r="CS4402">
        <v>0</v>
      </c>
      <c r="CT4402">
        <v>26.1</v>
      </c>
      <c r="CU4402">
        <v>86</v>
      </c>
      <c r="CV4402">
        <v>-0.01</v>
      </c>
      <c r="CW4402">
        <v>26</v>
      </c>
      <c r="CX4402" t="s">
        <v>1296</v>
      </c>
    </row>
    <row r="4403" spans="1:102" x14ac:dyDescent="0.3">
      <c r="A4403" t="str">
        <f>HYPERLINK("https://webapp.icbf.com/v2/app/bull-search/view/69091771","GLG")</f>
        <v>GLG</v>
      </c>
      <c r="B4403" t="s">
        <v>8958</v>
      </c>
      <c r="C4403" t="s">
        <v>8959</v>
      </c>
      <c r="D4403" s="1">
        <v>34467</v>
      </c>
      <c r="E4403" t="s">
        <v>108</v>
      </c>
      <c r="F4403">
        <v>0</v>
      </c>
      <c r="G4403" t="s">
        <v>109</v>
      </c>
      <c r="H4403">
        <v>-121.34</v>
      </c>
      <c r="I4403">
        <v>79</v>
      </c>
      <c r="J4403">
        <v>-3.9</v>
      </c>
      <c r="K4403">
        <v>94</v>
      </c>
      <c r="L4403">
        <v>-119.48</v>
      </c>
      <c r="M4403">
        <v>87</v>
      </c>
      <c r="N4403">
        <v>9.27</v>
      </c>
      <c r="O4403">
        <v>58</v>
      </c>
      <c r="P4403">
        <v>6.26</v>
      </c>
      <c r="Q4403">
        <v>49</v>
      </c>
      <c r="R4403">
        <v>-8.0500000000000007</v>
      </c>
      <c r="S4403">
        <v>76</v>
      </c>
      <c r="T4403">
        <v>-3.49</v>
      </c>
      <c r="U4403">
        <v>52</v>
      </c>
      <c r="V4403">
        <v>-1.95</v>
      </c>
      <c r="W4403">
        <v>62</v>
      </c>
      <c r="X4403" t="s">
        <v>94</v>
      </c>
      <c r="Y4403" t="s">
        <v>95</v>
      </c>
      <c r="Z4403" t="s">
        <v>96</v>
      </c>
      <c r="AA4403" t="s">
        <v>564</v>
      </c>
      <c r="AB4403" t="s">
        <v>8960</v>
      </c>
      <c r="AC4403">
        <v>0</v>
      </c>
      <c r="AD4403">
        <v>0</v>
      </c>
      <c r="AE4403">
        <v>94</v>
      </c>
      <c r="AF4403">
        <v>209.24</v>
      </c>
      <c r="AG4403">
        <v>5.99</v>
      </c>
      <c r="AH4403">
        <v>0.42</v>
      </c>
      <c r="AI4403">
        <v>-0.04</v>
      </c>
      <c r="AJ4403">
        <v>-0.11</v>
      </c>
      <c r="AK4403">
        <v>87</v>
      </c>
      <c r="AL4403">
        <v>0</v>
      </c>
      <c r="AM4403">
        <v>0</v>
      </c>
      <c r="AN4403">
        <v>6.41</v>
      </c>
      <c r="AO4403">
        <v>-3.12</v>
      </c>
      <c r="AP4403">
        <v>1</v>
      </c>
      <c r="AQ4403">
        <v>1</v>
      </c>
      <c r="AR4403">
        <v>7.83</v>
      </c>
      <c r="AS4403">
        <v>54</v>
      </c>
      <c r="AT4403">
        <v>3.97</v>
      </c>
      <c r="AU4403">
        <v>89</v>
      </c>
      <c r="AV4403">
        <v>-2.0299999999999998</v>
      </c>
      <c r="AW4403">
        <v>46</v>
      </c>
      <c r="AX4403">
        <v>-0.33</v>
      </c>
      <c r="AY4403">
        <v>47</v>
      </c>
      <c r="AZ4403">
        <v>6.3</v>
      </c>
      <c r="BA4403">
        <v>46</v>
      </c>
      <c r="BB4403">
        <v>4.8600000000000003</v>
      </c>
      <c r="BC4403">
        <v>49</v>
      </c>
      <c r="BD4403">
        <v>0</v>
      </c>
      <c r="BE4403">
        <v>0.05</v>
      </c>
      <c r="BF4403">
        <v>0.09</v>
      </c>
      <c r="BG4403">
        <v>92</v>
      </c>
      <c r="BH4403">
        <v>-0.05</v>
      </c>
      <c r="BI4403">
        <v>0.51</v>
      </c>
      <c r="BJ4403">
        <v>0</v>
      </c>
      <c r="BK4403">
        <v>0</v>
      </c>
      <c r="BL4403">
        <v>0.35</v>
      </c>
      <c r="BM4403">
        <v>-1.5</v>
      </c>
      <c r="BN4403">
        <v>-1.1000000000000001</v>
      </c>
      <c r="BO4403">
        <v>0.52</v>
      </c>
      <c r="BP4403">
        <v>2.79</v>
      </c>
      <c r="BQ4403">
        <v>-1.34</v>
      </c>
      <c r="BR4403">
        <v>0.2</v>
      </c>
      <c r="BS4403">
        <v>-0.25</v>
      </c>
      <c r="BT4403">
        <v>0.57999999999999996</v>
      </c>
      <c r="BU4403">
        <v>-0.66</v>
      </c>
      <c r="BV4403">
        <v>-0.67</v>
      </c>
      <c r="BW4403">
        <v>-0.61</v>
      </c>
      <c r="BX4403">
        <v>-0.32</v>
      </c>
      <c r="BY4403">
        <v>-0.63</v>
      </c>
      <c r="BZ4403">
        <v>0.32</v>
      </c>
      <c r="CA4403">
        <v>-1.1100000000000001</v>
      </c>
      <c r="CB4403">
        <v>-0.84</v>
      </c>
      <c r="CC4403">
        <v>-0.64</v>
      </c>
      <c r="CD4403">
        <v>-1.07</v>
      </c>
      <c r="CE4403">
        <v>0.8</v>
      </c>
      <c r="CF4403">
        <v>-0.02</v>
      </c>
      <c r="CG4403">
        <v>0</v>
      </c>
      <c r="CH4403">
        <v>-0.51</v>
      </c>
      <c r="CI4403">
        <v>0</v>
      </c>
      <c r="CJ4403">
        <v>7.3</v>
      </c>
      <c r="CK4403">
        <v>50</v>
      </c>
      <c r="CL4403">
        <v>-0.85</v>
      </c>
      <c r="CM4403">
        <v>48</v>
      </c>
      <c r="CN4403">
        <v>-0.32</v>
      </c>
      <c r="CO4403">
        <v>47</v>
      </c>
      <c r="CP4403">
        <v>8.1</v>
      </c>
      <c r="CQ4403">
        <v>52</v>
      </c>
      <c r="CR4403">
        <v>0</v>
      </c>
      <c r="CS4403">
        <v>0</v>
      </c>
      <c r="CT4403">
        <v>18.5</v>
      </c>
      <c r="CU4403">
        <v>52</v>
      </c>
      <c r="CV4403">
        <v>0.38</v>
      </c>
      <c r="CW4403">
        <v>36</v>
      </c>
      <c r="CX4403" t="s">
        <v>485</v>
      </c>
    </row>
    <row r="4404" spans="1:102" x14ac:dyDescent="0.3">
      <c r="A4404" t="str">
        <f>HYPERLINK("https://webapp.icbf.com/v2/app/bull-search/view/73539597","RFK")</f>
        <v>RFK</v>
      </c>
      <c r="B4404" t="s">
        <v>3438</v>
      </c>
      <c r="C4404" t="s">
        <v>3439</v>
      </c>
      <c r="D4404" s="1">
        <v>35685</v>
      </c>
      <c r="E4404" t="s">
        <v>108</v>
      </c>
      <c r="F4404">
        <v>3</v>
      </c>
      <c r="G4404" t="s">
        <v>93</v>
      </c>
      <c r="H4404">
        <v>-121.54</v>
      </c>
      <c r="I4404">
        <v>77</v>
      </c>
      <c r="J4404">
        <v>-48.31</v>
      </c>
      <c r="K4404">
        <v>94</v>
      </c>
      <c r="L4404">
        <v>-22.38</v>
      </c>
      <c r="M4404">
        <v>66</v>
      </c>
      <c r="N4404">
        <v>-39.6</v>
      </c>
      <c r="O4404">
        <v>63</v>
      </c>
      <c r="P4404">
        <v>-9.52</v>
      </c>
      <c r="Q4404">
        <v>84</v>
      </c>
      <c r="R4404">
        <v>-8.2200000000000006</v>
      </c>
      <c r="S4404">
        <v>69</v>
      </c>
      <c r="T4404">
        <v>10.130000000000001</v>
      </c>
      <c r="U4404">
        <v>82</v>
      </c>
      <c r="V4404">
        <v>-3.64</v>
      </c>
      <c r="W4404">
        <v>49</v>
      </c>
      <c r="X4404" t="s">
        <v>102</v>
      </c>
      <c r="Y4404" t="s">
        <v>95</v>
      </c>
      <c r="Z4404" t="s">
        <v>96</v>
      </c>
      <c r="AA4404" t="s">
        <v>3440</v>
      </c>
      <c r="AB4404" t="s">
        <v>848</v>
      </c>
      <c r="AC4404">
        <v>72</v>
      </c>
      <c r="AD4404">
        <v>51</v>
      </c>
      <c r="AE4404">
        <v>94</v>
      </c>
      <c r="AF4404">
        <v>-237.47</v>
      </c>
      <c r="AG4404">
        <v>-8.57</v>
      </c>
      <c r="AH4404">
        <v>-8.82</v>
      </c>
      <c r="AI4404">
        <v>0.01</v>
      </c>
      <c r="AJ4404">
        <v>-0.01</v>
      </c>
      <c r="AK4404">
        <v>66</v>
      </c>
      <c r="AL4404">
        <v>81</v>
      </c>
      <c r="AM4404">
        <v>60</v>
      </c>
      <c r="AN4404">
        <v>-0.74</v>
      </c>
      <c r="AO4404">
        <v>-2.5499999999999998</v>
      </c>
      <c r="AP4404">
        <v>4</v>
      </c>
      <c r="AQ4404">
        <v>0</v>
      </c>
      <c r="AR4404">
        <v>9.3000000000000007</v>
      </c>
      <c r="AS4404">
        <v>49</v>
      </c>
      <c r="AT4404">
        <v>3.78</v>
      </c>
      <c r="AU4404">
        <v>58</v>
      </c>
      <c r="AV4404">
        <v>1.77</v>
      </c>
      <c r="AW4404">
        <v>69</v>
      </c>
      <c r="AX4404">
        <v>-0.41</v>
      </c>
      <c r="AY4404">
        <v>77</v>
      </c>
      <c r="AZ4404">
        <v>8.66</v>
      </c>
      <c r="BA4404">
        <v>52</v>
      </c>
      <c r="BB4404">
        <v>7.03</v>
      </c>
      <c r="BC4404">
        <v>57</v>
      </c>
      <c r="BD4404">
        <v>0.06</v>
      </c>
      <c r="BE4404">
        <v>0.01</v>
      </c>
      <c r="BF4404">
        <v>7.0000000000000007E-2</v>
      </c>
      <c r="BG4404">
        <v>80</v>
      </c>
      <c r="BH4404">
        <v>0.01</v>
      </c>
      <c r="BI4404">
        <v>12.9</v>
      </c>
      <c r="BJ4404">
        <v>6</v>
      </c>
      <c r="BK4404">
        <v>6</v>
      </c>
      <c r="BL4404">
        <v>-3.23</v>
      </c>
      <c r="BM4404">
        <v>1.88</v>
      </c>
      <c r="BN4404">
        <v>-2.34</v>
      </c>
      <c r="BO4404">
        <v>-2.94</v>
      </c>
      <c r="BP4404">
        <v>-0.41</v>
      </c>
      <c r="BQ4404">
        <v>1.78</v>
      </c>
      <c r="BR4404">
        <v>-2.25</v>
      </c>
      <c r="BS4404">
        <v>0.67</v>
      </c>
      <c r="BT4404">
        <v>1.24</v>
      </c>
      <c r="BU4404">
        <v>-1.56</v>
      </c>
      <c r="BV4404">
        <v>-1.54</v>
      </c>
      <c r="BW4404">
        <v>-1.43</v>
      </c>
      <c r="BX4404">
        <v>-0.93</v>
      </c>
      <c r="BY4404">
        <v>-1.47</v>
      </c>
      <c r="BZ4404">
        <v>-0.75</v>
      </c>
      <c r="CA4404">
        <v>-1.5</v>
      </c>
      <c r="CB4404">
        <v>-1.86</v>
      </c>
      <c r="CC4404">
        <v>-0.16</v>
      </c>
      <c r="CD4404">
        <v>2.87</v>
      </c>
      <c r="CE4404">
        <v>-2.95</v>
      </c>
      <c r="CF4404">
        <v>-2.06</v>
      </c>
      <c r="CG4404">
        <v>0</v>
      </c>
      <c r="CH4404">
        <v>0.17</v>
      </c>
      <c r="CI4404">
        <v>0</v>
      </c>
      <c r="CJ4404">
        <v>-3.4</v>
      </c>
      <c r="CK4404">
        <v>85</v>
      </c>
      <c r="CL4404">
        <v>-0.3</v>
      </c>
      <c r="CM4404">
        <v>83</v>
      </c>
      <c r="CN4404">
        <v>0.09</v>
      </c>
      <c r="CO4404">
        <v>80</v>
      </c>
      <c r="CP4404">
        <v>-4.5</v>
      </c>
      <c r="CQ4404">
        <v>89</v>
      </c>
      <c r="CR4404">
        <v>0</v>
      </c>
      <c r="CS4404">
        <v>0</v>
      </c>
      <c r="CT4404">
        <v>0.1</v>
      </c>
      <c r="CU4404">
        <v>82</v>
      </c>
      <c r="CV4404">
        <v>0.05</v>
      </c>
      <c r="CW4404">
        <v>24</v>
      </c>
      <c r="CX4404" t="s">
        <v>672</v>
      </c>
    </row>
    <row r="4405" spans="1:102" x14ac:dyDescent="0.3">
      <c r="A4405" t="str">
        <f>HYPERLINK("https://webapp.icbf.com/v2/app/bull-search/view/469254747","TTO")</f>
        <v>TTO</v>
      </c>
      <c r="B4405" t="s">
        <v>12330</v>
      </c>
      <c r="C4405" t="s">
        <v>12331</v>
      </c>
      <c r="D4405" s="1">
        <v>38493</v>
      </c>
      <c r="E4405" t="s">
        <v>92</v>
      </c>
      <c r="F4405">
        <v>100</v>
      </c>
      <c r="G4405" t="s">
        <v>93</v>
      </c>
      <c r="H4405">
        <v>-121.61</v>
      </c>
      <c r="I4405">
        <v>87</v>
      </c>
      <c r="J4405">
        <v>32.31</v>
      </c>
      <c r="K4405">
        <v>97</v>
      </c>
      <c r="L4405">
        <v>-174.39</v>
      </c>
      <c r="M4405">
        <v>82</v>
      </c>
      <c r="N4405">
        <v>24.14</v>
      </c>
      <c r="O4405">
        <v>83</v>
      </c>
      <c r="P4405">
        <v>-9.4700000000000006</v>
      </c>
      <c r="Q4405">
        <v>91</v>
      </c>
      <c r="R4405">
        <v>0.25</v>
      </c>
      <c r="S4405">
        <v>81</v>
      </c>
      <c r="T4405">
        <v>12.12</v>
      </c>
      <c r="U4405">
        <v>81</v>
      </c>
      <c r="V4405">
        <v>-6.57</v>
      </c>
      <c r="W4405">
        <v>78</v>
      </c>
      <c r="X4405" t="s">
        <v>94</v>
      </c>
      <c r="Y4405" t="s">
        <v>282</v>
      </c>
      <c r="Z4405" t="s">
        <v>96</v>
      </c>
      <c r="AA4405" t="s">
        <v>1207</v>
      </c>
      <c r="AB4405" t="s">
        <v>1379</v>
      </c>
      <c r="AC4405">
        <v>76</v>
      </c>
      <c r="AD4405">
        <v>56</v>
      </c>
      <c r="AE4405">
        <v>97</v>
      </c>
      <c r="AF4405">
        <v>153.16</v>
      </c>
      <c r="AG4405">
        <v>7.32</v>
      </c>
      <c r="AH4405">
        <v>5.25</v>
      </c>
      <c r="AI4405">
        <v>0.02</v>
      </c>
      <c r="AJ4405">
        <v>0</v>
      </c>
      <c r="AK4405">
        <v>82</v>
      </c>
      <c r="AL4405">
        <v>68</v>
      </c>
      <c r="AM4405">
        <v>52</v>
      </c>
      <c r="AN4405">
        <v>11.61</v>
      </c>
      <c r="AO4405">
        <v>-2.27</v>
      </c>
      <c r="AP4405">
        <v>126</v>
      </c>
      <c r="AQ4405">
        <v>1</v>
      </c>
      <c r="AR4405">
        <v>6.59</v>
      </c>
      <c r="AS4405">
        <v>71</v>
      </c>
      <c r="AT4405">
        <v>2.66</v>
      </c>
      <c r="AU4405">
        <v>86</v>
      </c>
      <c r="AV4405">
        <v>-2.59</v>
      </c>
      <c r="AW4405">
        <v>93</v>
      </c>
      <c r="AX4405">
        <v>0.92</v>
      </c>
      <c r="AY4405">
        <v>79</v>
      </c>
      <c r="AZ4405">
        <v>6.63</v>
      </c>
      <c r="BA4405">
        <v>64</v>
      </c>
      <c r="BB4405">
        <v>5.03</v>
      </c>
      <c r="BC4405">
        <v>64</v>
      </c>
      <c r="BD4405">
        <v>-7.0000000000000007E-2</v>
      </c>
      <c r="BE4405">
        <v>-0.01</v>
      </c>
      <c r="BF4405">
        <v>0.13</v>
      </c>
      <c r="BG4405">
        <v>88</v>
      </c>
      <c r="BH4405">
        <v>-0.2</v>
      </c>
      <c r="BI4405">
        <v>-1.93</v>
      </c>
      <c r="BJ4405">
        <v>13</v>
      </c>
      <c r="BK4405">
        <v>10</v>
      </c>
      <c r="BL4405">
        <v>0.2</v>
      </c>
      <c r="BM4405">
        <v>-1.29</v>
      </c>
      <c r="BN4405">
        <v>0.14000000000000001</v>
      </c>
      <c r="BO4405">
        <v>0.81</v>
      </c>
      <c r="BP4405">
        <v>-0.33</v>
      </c>
      <c r="BQ4405">
        <v>-2.68</v>
      </c>
      <c r="BR4405">
        <v>0.76</v>
      </c>
      <c r="BS4405">
        <v>-0.15</v>
      </c>
      <c r="BT4405">
        <v>-0.68</v>
      </c>
      <c r="BU4405">
        <v>0.93</v>
      </c>
      <c r="BV4405">
        <v>0.73</v>
      </c>
      <c r="BW4405">
        <v>0.51</v>
      </c>
      <c r="BX4405">
        <v>0.44</v>
      </c>
      <c r="BY4405">
        <v>1.79</v>
      </c>
      <c r="BZ4405">
        <v>-1.9</v>
      </c>
      <c r="CA4405">
        <v>0.64</v>
      </c>
      <c r="CB4405">
        <v>0.65</v>
      </c>
      <c r="CC4405">
        <v>-0.08</v>
      </c>
      <c r="CD4405">
        <v>-1.99</v>
      </c>
      <c r="CE4405">
        <v>0.61</v>
      </c>
      <c r="CF4405">
        <v>-0.56000000000000005</v>
      </c>
      <c r="CG4405">
        <v>0</v>
      </c>
      <c r="CH4405">
        <v>1.88</v>
      </c>
      <c r="CI4405">
        <v>0</v>
      </c>
      <c r="CJ4405">
        <v>-3.8</v>
      </c>
      <c r="CK4405">
        <v>92</v>
      </c>
      <c r="CL4405">
        <v>-0.97</v>
      </c>
      <c r="CM4405">
        <v>90</v>
      </c>
      <c r="CN4405">
        <v>-0.44</v>
      </c>
      <c r="CO4405">
        <v>89</v>
      </c>
      <c r="CP4405">
        <v>4.2</v>
      </c>
      <c r="CQ4405">
        <v>88</v>
      </c>
      <c r="CR4405">
        <v>0</v>
      </c>
      <c r="CS4405">
        <v>0</v>
      </c>
      <c r="CT4405">
        <v>-2.6</v>
      </c>
      <c r="CU4405">
        <v>81</v>
      </c>
      <c r="CV4405">
        <v>0.18</v>
      </c>
      <c r="CW4405">
        <v>44</v>
      </c>
      <c r="CX4405" t="s">
        <v>1380</v>
      </c>
    </row>
    <row r="4406" spans="1:102" x14ac:dyDescent="0.3">
      <c r="A4406" t="str">
        <f>HYPERLINK("https://webapp.icbf.com/v2/app/bull-search/view/77856970","HLF")</f>
        <v>HLF</v>
      </c>
      <c r="B4406" t="s">
        <v>9827</v>
      </c>
      <c r="C4406" t="s">
        <v>9828</v>
      </c>
      <c r="D4406" s="1">
        <v>33878</v>
      </c>
      <c r="E4406" t="s">
        <v>92</v>
      </c>
      <c r="F4406">
        <v>100</v>
      </c>
      <c r="G4406" t="s">
        <v>93</v>
      </c>
      <c r="H4406">
        <v>-121.66</v>
      </c>
      <c r="I4406">
        <v>70</v>
      </c>
      <c r="J4406">
        <v>-36.43</v>
      </c>
      <c r="K4406">
        <v>91</v>
      </c>
      <c r="L4406">
        <v>-114.99</v>
      </c>
      <c r="M4406">
        <v>58</v>
      </c>
      <c r="N4406">
        <v>26.76</v>
      </c>
      <c r="O4406">
        <v>50</v>
      </c>
      <c r="P4406">
        <v>0.66</v>
      </c>
      <c r="Q4406">
        <v>73</v>
      </c>
      <c r="R4406">
        <v>-13.82</v>
      </c>
      <c r="S4406">
        <v>64</v>
      </c>
      <c r="T4406">
        <v>21</v>
      </c>
      <c r="U4406">
        <v>65</v>
      </c>
      <c r="V4406">
        <v>-4.84</v>
      </c>
      <c r="W4406">
        <v>46</v>
      </c>
      <c r="X4406" t="s">
        <v>94</v>
      </c>
      <c r="Y4406" t="s">
        <v>95</v>
      </c>
      <c r="Z4406" t="s">
        <v>96</v>
      </c>
      <c r="AA4406" t="s">
        <v>9673</v>
      </c>
      <c r="AB4406" t="s">
        <v>9829</v>
      </c>
      <c r="AC4406">
        <v>54</v>
      </c>
      <c r="AD4406">
        <v>51</v>
      </c>
      <c r="AE4406">
        <v>91</v>
      </c>
      <c r="AF4406">
        <v>-32.86</v>
      </c>
      <c r="AG4406">
        <v>-7.74</v>
      </c>
      <c r="AH4406">
        <v>-3.96</v>
      </c>
      <c r="AI4406">
        <v>-0.11</v>
      </c>
      <c r="AJ4406">
        <v>-0.05</v>
      </c>
      <c r="AK4406">
        <v>58</v>
      </c>
      <c r="AL4406">
        <v>69</v>
      </c>
      <c r="AM4406">
        <v>54</v>
      </c>
      <c r="AN4406">
        <v>6.3</v>
      </c>
      <c r="AO4406">
        <v>-2.87</v>
      </c>
      <c r="AP4406">
        <v>4</v>
      </c>
      <c r="AQ4406">
        <v>0</v>
      </c>
      <c r="AR4406">
        <v>6.7</v>
      </c>
      <c r="AS4406">
        <v>20</v>
      </c>
      <c r="AT4406">
        <v>3</v>
      </c>
      <c r="AU4406">
        <v>48</v>
      </c>
      <c r="AV4406">
        <v>-2.76</v>
      </c>
      <c r="AW4406">
        <v>61</v>
      </c>
      <c r="AX4406">
        <v>0.26</v>
      </c>
      <c r="AY4406">
        <v>60</v>
      </c>
      <c r="AZ4406">
        <v>6.23</v>
      </c>
      <c r="BA4406">
        <v>22</v>
      </c>
      <c r="BB4406">
        <v>4.62</v>
      </c>
      <c r="BC4406">
        <v>39</v>
      </c>
      <c r="BD4406">
        <v>0.01</v>
      </c>
      <c r="BE4406">
        <v>0.09</v>
      </c>
      <c r="BF4406">
        <v>0.13</v>
      </c>
      <c r="BG4406">
        <v>81</v>
      </c>
      <c r="BH4406">
        <v>-0.11</v>
      </c>
      <c r="BI4406">
        <v>2.89</v>
      </c>
      <c r="BJ4406">
        <v>21</v>
      </c>
      <c r="BK4406">
        <v>18</v>
      </c>
      <c r="BL4406">
        <v>-0.46</v>
      </c>
      <c r="BM4406">
        <v>-0.21</v>
      </c>
      <c r="BN4406">
        <v>0.21</v>
      </c>
      <c r="BO4406">
        <v>0.03</v>
      </c>
      <c r="BP4406">
        <v>-2.58</v>
      </c>
      <c r="BQ4406">
        <v>0.35</v>
      </c>
      <c r="BR4406">
        <v>0.76</v>
      </c>
      <c r="BS4406">
        <v>-1.05</v>
      </c>
      <c r="BT4406">
        <v>-2.0499999999999998</v>
      </c>
      <c r="BU4406">
        <v>-1.89</v>
      </c>
      <c r="BV4406">
        <v>-0.66</v>
      </c>
      <c r="BW4406">
        <v>0.1</v>
      </c>
      <c r="BX4406">
        <v>-2.23</v>
      </c>
      <c r="BY4406">
        <v>-1.1200000000000001</v>
      </c>
      <c r="BZ4406">
        <v>0.22</v>
      </c>
      <c r="CA4406">
        <v>-1.38</v>
      </c>
      <c r="CB4406">
        <v>-1.06</v>
      </c>
      <c r="CC4406">
        <v>-0.56000000000000005</v>
      </c>
      <c r="CD4406">
        <v>-0.65</v>
      </c>
      <c r="CE4406">
        <v>0.12</v>
      </c>
      <c r="CF4406">
        <v>-0.59</v>
      </c>
      <c r="CG4406">
        <v>0</v>
      </c>
      <c r="CH4406">
        <v>-0.71</v>
      </c>
      <c r="CI4406">
        <v>0</v>
      </c>
      <c r="CJ4406">
        <v>1.9</v>
      </c>
      <c r="CK4406">
        <v>74</v>
      </c>
      <c r="CL4406">
        <v>-0.45</v>
      </c>
      <c r="CM4406">
        <v>71</v>
      </c>
      <c r="CN4406">
        <v>-0.32</v>
      </c>
      <c r="CO4406">
        <v>66</v>
      </c>
      <c r="CP4406">
        <v>-7.1</v>
      </c>
      <c r="CQ4406">
        <v>78</v>
      </c>
      <c r="CR4406">
        <v>0</v>
      </c>
      <c r="CS4406">
        <v>0</v>
      </c>
      <c r="CT4406">
        <v>-14.6</v>
      </c>
      <c r="CU4406">
        <v>65</v>
      </c>
      <c r="CV4406">
        <v>0.23</v>
      </c>
      <c r="CW4406">
        <v>20</v>
      </c>
      <c r="CX4406" t="s">
        <v>707</v>
      </c>
    </row>
    <row r="4407" spans="1:102" x14ac:dyDescent="0.3">
      <c r="A4407" t="str">
        <f>HYPERLINK("https://webapp.icbf.com/v2/app/bull-search/view/77854951","MYL")</f>
        <v>MYL</v>
      </c>
      <c r="B4407" t="s">
        <v>129</v>
      </c>
      <c r="C4407" t="s">
        <v>130</v>
      </c>
      <c r="D4407" s="1">
        <v>33579</v>
      </c>
      <c r="E4407" t="s">
        <v>92</v>
      </c>
      <c r="F4407">
        <v>100</v>
      </c>
      <c r="G4407" t="s">
        <v>109</v>
      </c>
      <c r="H4407">
        <v>-121.71</v>
      </c>
      <c r="I4407">
        <v>85</v>
      </c>
      <c r="J4407">
        <v>-60.59</v>
      </c>
      <c r="K4407">
        <v>94</v>
      </c>
      <c r="L4407">
        <v>-26.31</v>
      </c>
      <c r="M4407">
        <v>88</v>
      </c>
      <c r="N4407">
        <v>-16.22</v>
      </c>
      <c r="O4407">
        <v>73</v>
      </c>
      <c r="P4407">
        <v>-18.07</v>
      </c>
      <c r="Q4407">
        <v>78</v>
      </c>
      <c r="R4407">
        <v>-1.55</v>
      </c>
      <c r="S4407">
        <v>79</v>
      </c>
      <c r="T4407">
        <v>8.35</v>
      </c>
      <c r="U4407">
        <v>69</v>
      </c>
      <c r="V4407">
        <v>-7.32</v>
      </c>
      <c r="W4407">
        <v>65</v>
      </c>
      <c r="X4407" t="s">
        <v>131</v>
      </c>
      <c r="Y4407" t="s">
        <v>95</v>
      </c>
      <c r="Z4407" t="s">
        <v>96</v>
      </c>
      <c r="AA4407" t="s">
        <v>132</v>
      </c>
      <c r="AB4407" t="s">
        <v>133</v>
      </c>
      <c r="AC4407">
        <v>26</v>
      </c>
      <c r="AD4407">
        <v>23</v>
      </c>
      <c r="AE4407">
        <v>94</v>
      </c>
      <c r="AF4407">
        <v>-31.54</v>
      </c>
      <c r="AG4407">
        <v>-6.75</v>
      </c>
      <c r="AH4407">
        <v>-8.4</v>
      </c>
      <c r="AI4407">
        <v>-0.1</v>
      </c>
      <c r="AJ4407">
        <v>-0.13</v>
      </c>
      <c r="AK4407">
        <v>88</v>
      </c>
      <c r="AL4407">
        <v>20</v>
      </c>
      <c r="AM4407">
        <v>14</v>
      </c>
      <c r="AN4407">
        <v>1.27</v>
      </c>
      <c r="AO4407">
        <v>-0.83</v>
      </c>
      <c r="AP4407">
        <v>15</v>
      </c>
      <c r="AQ4407">
        <v>0</v>
      </c>
      <c r="AR4407">
        <v>9.93</v>
      </c>
      <c r="AS4407">
        <v>63</v>
      </c>
      <c r="AT4407">
        <v>4.1399999999999997</v>
      </c>
      <c r="AU4407">
        <v>90</v>
      </c>
      <c r="AV4407">
        <v>-0.69</v>
      </c>
      <c r="AW4407">
        <v>72</v>
      </c>
      <c r="AX4407">
        <v>0.31</v>
      </c>
      <c r="AY4407">
        <v>67</v>
      </c>
      <c r="AZ4407">
        <v>7.36</v>
      </c>
      <c r="BA4407">
        <v>55</v>
      </c>
      <c r="BB4407">
        <v>5.49</v>
      </c>
      <c r="BC4407">
        <v>60</v>
      </c>
      <c r="BD4407">
        <v>0.04</v>
      </c>
      <c r="BE4407">
        <v>0.01</v>
      </c>
      <c r="BF4407">
        <v>-0.05</v>
      </c>
      <c r="BG4407">
        <v>92</v>
      </c>
      <c r="BH4407">
        <v>-0.17</v>
      </c>
      <c r="BI4407">
        <v>3.96</v>
      </c>
      <c r="BJ4407">
        <v>7</v>
      </c>
      <c r="BK4407">
        <v>6</v>
      </c>
      <c r="BL4407">
        <v>0.76</v>
      </c>
      <c r="BM4407">
        <v>-1.1499999999999999</v>
      </c>
      <c r="BN4407">
        <v>0.17</v>
      </c>
      <c r="BO4407">
        <v>0.86</v>
      </c>
      <c r="BP4407">
        <v>-0.35</v>
      </c>
      <c r="BQ4407">
        <v>-1.65</v>
      </c>
      <c r="BR4407">
        <v>0.44</v>
      </c>
      <c r="BS4407">
        <v>1.29</v>
      </c>
      <c r="BT4407">
        <v>1.06</v>
      </c>
      <c r="BU4407">
        <v>1.47</v>
      </c>
      <c r="BV4407">
        <v>0.67</v>
      </c>
      <c r="BW4407">
        <v>-0.8</v>
      </c>
      <c r="BX4407">
        <v>1.21</v>
      </c>
      <c r="BY4407">
        <v>-0.66</v>
      </c>
      <c r="BZ4407">
        <v>0.59</v>
      </c>
      <c r="CA4407">
        <v>1.1499999999999999</v>
      </c>
      <c r="CB4407">
        <v>0.14000000000000001</v>
      </c>
      <c r="CC4407">
        <v>2.0099999999999998</v>
      </c>
      <c r="CD4407">
        <v>-1.32</v>
      </c>
      <c r="CE4407">
        <v>0.83</v>
      </c>
      <c r="CF4407">
        <v>0.71</v>
      </c>
      <c r="CG4407">
        <v>0</v>
      </c>
      <c r="CH4407">
        <v>-0.6</v>
      </c>
      <c r="CI4407">
        <v>0</v>
      </c>
      <c r="CJ4407">
        <v>-7.6</v>
      </c>
      <c r="CK4407">
        <v>79</v>
      </c>
      <c r="CL4407">
        <v>-1.03</v>
      </c>
      <c r="CM4407">
        <v>77</v>
      </c>
      <c r="CN4407">
        <v>-0.34</v>
      </c>
      <c r="CO4407">
        <v>75</v>
      </c>
      <c r="CP4407">
        <v>-6.2</v>
      </c>
      <c r="CQ4407">
        <v>78</v>
      </c>
      <c r="CR4407">
        <v>0</v>
      </c>
      <c r="CS4407">
        <v>0</v>
      </c>
      <c r="CT4407">
        <v>2.5</v>
      </c>
      <c r="CU4407">
        <v>69</v>
      </c>
      <c r="CV4407">
        <v>0.04</v>
      </c>
      <c r="CW4407">
        <v>42</v>
      </c>
      <c r="CX4407" t="s">
        <v>120</v>
      </c>
    </row>
    <row r="4408" spans="1:102" x14ac:dyDescent="0.3">
      <c r="A4408" t="str">
        <f>HYPERLINK("https://webapp.icbf.com/v2/app/bull-search/view/77857057","HOA")</f>
        <v>HOA</v>
      </c>
      <c r="B4408" t="s">
        <v>9881</v>
      </c>
      <c r="C4408" t="s">
        <v>4416</v>
      </c>
      <c r="D4408" s="1">
        <v>33726</v>
      </c>
      <c r="E4408" t="s">
        <v>92</v>
      </c>
      <c r="F4408">
        <v>100</v>
      </c>
      <c r="G4408" t="s">
        <v>93</v>
      </c>
      <c r="H4408">
        <v>-121.72</v>
      </c>
      <c r="I4408">
        <v>92</v>
      </c>
      <c r="J4408">
        <v>21.11</v>
      </c>
      <c r="K4408">
        <v>98</v>
      </c>
      <c r="L4408">
        <v>-129.01</v>
      </c>
      <c r="M4408">
        <v>91</v>
      </c>
      <c r="N4408">
        <v>-20.84</v>
      </c>
      <c r="O4408">
        <v>88</v>
      </c>
      <c r="P4408">
        <v>-3.99</v>
      </c>
      <c r="Q4408">
        <v>93</v>
      </c>
      <c r="R4408">
        <v>-2.19</v>
      </c>
      <c r="S4408">
        <v>83</v>
      </c>
      <c r="T4408">
        <v>12.49</v>
      </c>
      <c r="U4408">
        <v>87</v>
      </c>
      <c r="V4408">
        <v>0.71</v>
      </c>
      <c r="W4408">
        <v>74</v>
      </c>
      <c r="X4408" t="s">
        <v>94</v>
      </c>
      <c r="Y4408" t="s">
        <v>95</v>
      </c>
      <c r="Z4408" t="s">
        <v>96</v>
      </c>
      <c r="AA4408" t="s">
        <v>132</v>
      </c>
      <c r="AB4408" t="s">
        <v>9882</v>
      </c>
      <c r="AC4408">
        <v>176</v>
      </c>
      <c r="AD4408">
        <v>88</v>
      </c>
      <c r="AE4408">
        <v>98</v>
      </c>
      <c r="AF4408">
        <v>181.42</v>
      </c>
      <c r="AG4408">
        <v>7.03</v>
      </c>
      <c r="AH4408">
        <v>3.88</v>
      </c>
      <c r="AI4408">
        <v>0</v>
      </c>
      <c r="AJ4408">
        <v>-0.04</v>
      </c>
      <c r="AK4408">
        <v>91</v>
      </c>
      <c r="AL4408">
        <v>162</v>
      </c>
      <c r="AM4408">
        <v>74</v>
      </c>
      <c r="AN4408">
        <v>8.4700000000000006</v>
      </c>
      <c r="AO4408">
        <v>-1.8</v>
      </c>
      <c r="AP4408">
        <v>40</v>
      </c>
      <c r="AQ4408">
        <v>1</v>
      </c>
      <c r="AR4408">
        <v>9.14</v>
      </c>
      <c r="AS4408">
        <v>75</v>
      </c>
      <c r="AT4408">
        <v>4.24</v>
      </c>
      <c r="AU4408">
        <v>96</v>
      </c>
      <c r="AV4408">
        <v>0.15</v>
      </c>
      <c r="AW4408">
        <v>90</v>
      </c>
      <c r="AX4408">
        <v>-0.12</v>
      </c>
      <c r="AY4408">
        <v>86</v>
      </c>
      <c r="AZ4408">
        <v>7.57</v>
      </c>
      <c r="BA4408">
        <v>72</v>
      </c>
      <c r="BB4408">
        <v>5.52</v>
      </c>
      <c r="BC4408">
        <v>77</v>
      </c>
      <c r="BD4408">
        <v>0.02</v>
      </c>
      <c r="BE4408">
        <v>0.03</v>
      </c>
      <c r="BF4408">
        <v>-0.04</v>
      </c>
      <c r="BG4408">
        <v>93</v>
      </c>
      <c r="BH4408">
        <v>0.05</v>
      </c>
      <c r="BI4408">
        <v>3.49</v>
      </c>
      <c r="BJ4408">
        <v>18</v>
      </c>
      <c r="BK4408">
        <v>13</v>
      </c>
      <c r="BL4408">
        <v>-0.23</v>
      </c>
      <c r="BM4408">
        <v>-2.0099999999999998</v>
      </c>
      <c r="BN4408">
        <v>-1.17</v>
      </c>
      <c r="BO4408">
        <v>0.4</v>
      </c>
      <c r="BP4408">
        <v>-0.94</v>
      </c>
      <c r="BQ4408">
        <v>-0.4</v>
      </c>
      <c r="BR4408">
        <v>-1.63</v>
      </c>
      <c r="BS4408">
        <v>1.68</v>
      </c>
      <c r="BT4408">
        <v>1.42</v>
      </c>
      <c r="BU4408">
        <v>0.04</v>
      </c>
      <c r="BV4408">
        <v>-0.18</v>
      </c>
      <c r="BW4408">
        <v>-0.95</v>
      </c>
      <c r="BX4408">
        <v>-1.08</v>
      </c>
      <c r="BY4408">
        <v>0.13</v>
      </c>
      <c r="BZ4408">
        <v>-0.69</v>
      </c>
      <c r="CA4408">
        <v>0.23</v>
      </c>
      <c r="CB4408">
        <v>-0.43</v>
      </c>
      <c r="CC4408">
        <v>1.46</v>
      </c>
      <c r="CD4408">
        <v>-1.1100000000000001</v>
      </c>
      <c r="CE4408">
        <v>0.28999999999999998</v>
      </c>
      <c r="CF4408">
        <v>-0.56999999999999995</v>
      </c>
      <c r="CG4408">
        <v>0</v>
      </c>
      <c r="CH4408">
        <v>0.12</v>
      </c>
      <c r="CI4408">
        <v>0</v>
      </c>
      <c r="CJ4408">
        <v>1.2</v>
      </c>
      <c r="CK4408">
        <v>93</v>
      </c>
      <c r="CL4408">
        <v>-0.52</v>
      </c>
      <c r="CM4408">
        <v>92</v>
      </c>
      <c r="CN4408">
        <v>-0.05</v>
      </c>
      <c r="CO4408">
        <v>91</v>
      </c>
      <c r="CP4408">
        <v>-5.8</v>
      </c>
      <c r="CQ4408">
        <v>94</v>
      </c>
      <c r="CR4408">
        <v>0</v>
      </c>
      <c r="CS4408">
        <v>0</v>
      </c>
      <c r="CT4408">
        <v>-3.1</v>
      </c>
      <c r="CU4408">
        <v>87</v>
      </c>
      <c r="CV4408">
        <v>0.13</v>
      </c>
      <c r="CW4408">
        <v>45</v>
      </c>
      <c r="CX4408" t="s">
        <v>128</v>
      </c>
    </row>
    <row r="4409" spans="1:102" x14ac:dyDescent="0.3">
      <c r="A4409" t="str">
        <f>HYPERLINK("https://webapp.icbf.com/v2/app/bull-search/view/77858107","EBK")</f>
        <v>EBK</v>
      </c>
      <c r="B4409" t="s">
        <v>3662</v>
      </c>
      <c r="C4409" t="s">
        <v>3663</v>
      </c>
      <c r="D4409" s="1">
        <v>32868</v>
      </c>
      <c r="E4409" t="s">
        <v>92</v>
      </c>
      <c r="F4409">
        <v>100</v>
      </c>
      <c r="G4409" t="s">
        <v>93</v>
      </c>
      <c r="H4409">
        <v>-121.76</v>
      </c>
      <c r="I4409">
        <v>95</v>
      </c>
      <c r="J4409">
        <v>-3.13</v>
      </c>
      <c r="K4409">
        <v>99</v>
      </c>
      <c r="L4409">
        <v>-99.21</v>
      </c>
      <c r="M4409">
        <v>93</v>
      </c>
      <c r="N4409">
        <v>-2</v>
      </c>
      <c r="O4409">
        <v>94</v>
      </c>
      <c r="P4409">
        <v>-1.49</v>
      </c>
      <c r="Q4409">
        <v>97</v>
      </c>
      <c r="R4409">
        <v>-19.239999999999998</v>
      </c>
      <c r="S4409">
        <v>90</v>
      </c>
      <c r="T4409">
        <v>10.72</v>
      </c>
      <c r="U4409">
        <v>96</v>
      </c>
      <c r="V4409">
        <v>-7.41</v>
      </c>
      <c r="W4409">
        <v>84</v>
      </c>
      <c r="X4409" t="s">
        <v>558</v>
      </c>
      <c r="Y4409" t="s">
        <v>95</v>
      </c>
      <c r="Z4409" t="s">
        <v>96</v>
      </c>
      <c r="AA4409" t="s">
        <v>111</v>
      </c>
      <c r="AB4409" t="s">
        <v>3664</v>
      </c>
      <c r="AC4409">
        <v>911</v>
      </c>
      <c r="AD4409">
        <v>452</v>
      </c>
      <c r="AE4409">
        <v>99</v>
      </c>
      <c r="AF4409">
        <v>155.65</v>
      </c>
      <c r="AG4409">
        <v>-1.92</v>
      </c>
      <c r="AH4409">
        <v>2.5299999999999998</v>
      </c>
      <c r="AI4409">
        <v>-0.14000000000000001</v>
      </c>
      <c r="AJ4409">
        <v>-0.05</v>
      </c>
      <c r="AK4409">
        <v>93</v>
      </c>
      <c r="AL4409">
        <v>941</v>
      </c>
      <c r="AM4409">
        <v>406</v>
      </c>
      <c r="AN4409">
        <v>6.36</v>
      </c>
      <c r="AO4409">
        <v>-1.54</v>
      </c>
      <c r="AP4409">
        <v>6</v>
      </c>
      <c r="AQ4409">
        <v>0</v>
      </c>
      <c r="AR4409">
        <v>6.83</v>
      </c>
      <c r="AS4409">
        <v>86</v>
      </c>
      <c r="AT4409">
        <v>3.27</v>
      </c>
      <c r="AU4409">
        <v>94</v>
      </c>
      <c r="AV4409">
        <v>0.67</v>
      </c>
      <c r="AW4409">
        <v>95</v>
      </c>
      <c r="AX4409">
        <v>-0.35</v>
      </c>
      <c r="AY4409">
        <v>97</v>
      </c>
      <c r="AZ4409">
        <v>6.16</v>
      </c>
      <c r="BA4409">
        <v>85</v>
      </c>
      <c r="BB4409">
        <v>4.74</v>
      </c>
      <c r="BC4409">
        <v>93</v>
      </c>
      <c r="BD4409">
        <v>0.05</v>
      </c>
      <c r="BE4409">
        <v>0.11</v>
      </c>
      <c r="BF4409">
        <v>0.15</v>
      </c>
      <c r="BG4409">
        <v>98</v>
      </c>
      <c r="BH4409">
        <v>-0.12</v>
      </c>
      <c r="BI4409">
        <v>10.02</v>
      </c>
      <c r="BJ4409">
        <v>205</v>
      </c>
      <c r="BK4409">
        <v>93</v>
      </c>
      <c r="BL4409">
        <v>0.53</v>
      </c>
      <c r="BM4409">
        <v>1.57</v>
      </c>
      <c r="BN4409">
        <v>1.06</v>
      </c>
      <c r="BO4409">
        <v>-0.46</v>
      </c>
      <c r="BP4409">
        <v>1.85</v>
      </c>
      <c r="BQ4409">
        <v>-0.12</v>
      </c>
      <c r="BR4409">
        <v>-0.97</v>
      </c>
      <c r="BS4409">
        <v>0.63</v>
      </c>
      <c r="BT4409">
        <v>0.34</v>
      </c>
      <c r="BU4409">
        <v>-0.91</v>
      </c>
      <c r="BV4409">
        <v>-1.03</v>
      </c>
      <c r="BW4409">
        <v>-0.05</v>
      </c>
      <c r="BX4409">
        <v>-0.57999999999999996</v>
      </c>
      <c r="BY4409">
        <v>-0.86</v>
      </c>
      <c r="BZ4409">
        <v>1.1100000000000001</v>
      </c>
      <c r="CA4409">
        <v>-0.34</v>
      </c>
      <c r="CB4409">
        <v>-0.94</v>
      </c>
      <c r="CC4409">
        <v>1.0900000000000001</v>
      </c>
      <c r="CD4409">
        <v>1.33</v>
      </c>
      <c r="CE4409">
        <v>-0.65</v>
      </c>
      <c r="CF4409">
        <v>0.53</v>
      </c>
      <c r="CG4409">
        <v>0</v>
      </c>
      <c r="CH4409">
        <v>-0.95</v>
      </c>
      <c r="CI4409">
        <v>0</v>
      </c>
      <c r="CJ4409">
        <v>2.5</v>
      </c>
      <c r="CK4409">
        <v>97</v>
      </c>
      <c r="CL4409">
        <v>-0.67</v>
      </c>
      <c r="CM4409">
        <v>97</v>
      </c>
      <c r="CN4409">
        <v>-0.23</v>
      </c>
      <c r="CO4409">
        <v>96</v>
      </c>
      <c r="CP4409">
        <v>-4.8</v>
      </c>
      <c r="CQ4409">
        <v>98</v>
      </c>
      <c r="CR4409">
        <v>0</v>
      </c>
      <c r="CS4409">
        <v>0</v>
      </c>
      <c r="CT4409">
        <v>-0.7</v>
      </c>
      <c r="CU4409">
        <v>96</v>
      </c>
      <c r="CV4409">
        <v>0.19</v>
      </c>
      <c r="CW4409">
        <v>46</v>
      </c>
      <c r="CX4409" t="s">
        <v>543</v>
      </c>
    </row>
    <row r="4410" spans="1:102" x14ac:dyDescent="0.3">
      <c r="A4410" t="str">
        <f>HYPERLINK("https://webapp.icbf.com/v2/app/bull-search/view/69091213","AYB")</f>
        <v>AYB</v>
      </c>
      <c r="B4410" t="s">
        <v>1497</v>
      </c>
      <c r="C4410" t="s">
        <v>1498</v>
      </c>
      <c r="D4410" s="1">
        <v>34896</v>
      </c>
      <c r="E4410" t="s">
        <v>108</v>
      </c>
      <c r="F4410">
        <v>0</v>
      </c>
      <c r="G4410" t="s">
        <v>116</v>
      </c>
      <c r="H4410">
        <v>-121.8</v>
      </c>
      <c r="I4410">
        <v>32</v>
      </c>
      <c r="J4410">
        <v>-25.45</v>
      </c>
      <c r="K4410">
        <v>32</v>
      </c>
      <c r="L4410">
        <v>-97.58</v>
      </c>
      <c r="M4410">
        <v>30</v>
      </c>
      <c r="N4410">
        <v>6.34</v>
      </c>
      <c r="O4410">
        <v>37</v>
      </c>
      <c r="P4410">
        <v>-4.08</v>
      </c>
      <c r="Q4410">
        <v>35</v>
      </c>
      <c r="R4410">
        <v>-6.16</v>
      </c>
      <c r="S4410">
        <v>34</v>
      </c>
      <c r="T4410">
        <v>7.54</v>
      </c>
      <c r="U4410">
        <v>33</v>
      </c>
      <c r="V4410">
        <v>-2.41</v>
      </c>
      <c r="W4410">
        <v>29</v>
      </c>
      <c r="X4410" t="s">
        <v>94</v>
      </c>
      <c r="Y4410" t="s">
        <v>1499</v>
      </c>
      <c r="Z4410">
        <v>0</v>
      </c>
      <c r="AA4410" t="s">
        <v>924</v>
      </c>
      <c r="AB4410" t="s">
        <v>1500</v>
      </c>
      <c r="AC4410">
        <v>2</v>
      </c>
      <c r="AD4410">
        <v>2</v>
      </c>
      <c r="AE4410">
        <v>32</v>
      </c>
      <c r="AF4410">
        <v>34.409999999999997</v>
      </c>
      <c r="AG4410">
        <v>-4.47</v>
      </c>
      <c r="AH4410">
        <v>-2.2200000000000002</v>
      </c>
      <c r="AI4410">
        <v>-0.1</v>
      </c>
      <c r="AJ4410">
        <v>-0.06</v>
      </c>
      <c r="AK4410">
        <v>30</v>
      </c>
      <c r="AL4410">
        <v>1</v>
      </c>
      <c r="AM4410">
        <v>1</v>
      </c>
      <c r="AN4410">
        <v>6.23</v>
      </c>
      <c r="AO4410">
        <v>-1.54</v>
      </c>
      <c r="AP4410">
        <v>2</v>
      </c>
      <c r="AQ4410">
        <v>0</v>
      </c>
      <c r="AR4410">
        <v>9.18</v>
      </c>
      <c r="AS4410">
        <v>27</v>
      </c>
      <c r="AT4410">
        <v>4.03</v>
      </c>
      <c r="AU4410">
        <v>35</v>
      </c>
      <c r="AV4410">
        <v>-2.2999999999999998</v>
      </c>
      <c r="AW4410">
        <v>45</v>
      </c>
      <c r="AX4410">
        <v>-0.45</v>
      </c>
      <c r="AY4410">
        <v>34</v>
      </c>
      <c r="AZ4410">
        <v>6.48</v>
      </c>
      <c r="BA4410">
        <v>26</v>
      </c>
      <c r="BB4410">
        <v>4.95</v>
      </c>
      <c r="BC4410">
        <v>27</v>
      </c>
      <c r="BD4410">
        <v>0.04</v>
      </c>
      <c r="BE4410">
        <v>0.05</v>
      </c>
      <c r="BF4410">
        <v>-0.02</v>
      </c>
      <c r="BG4410">
        <v>39</v>
      </c>
      <c r="BH4410">
        <v>0.06</v>
      </c>
      <c r="BI4410">
        <v>14.71</v>
      </c>
      <c r="BJ4410">
        <v>0</v>
      </c>
      <c r="BK4410">
        <v>0</v>
      </c>
      <c r="BL4410">
        <v>0.33</v>
      </c>
      <c r="BM4410">
        <v>-0.36</v>
      </c>
      <c r="BN4410">
        <v>0.11</v>
      </c>
      <c r="BO4410">
        <v>0.33</v>
      </c>
      <c r="BP4410">
        <v>2.1</v>
      </c>
      <c r="BQ4410">
        <v>-1.25</v>
      </c>
      <c r="BR4410">
        <v>0.37</v>
      </c>
      <c r="BS4410">
        <v>-1.0900000000000001</v>
      </c>
      <c r="BT4410">
        <v>-0.28999999999999998</v>
      </c>
      <c r="BU4410">
        <v>-0.02</v>
      </c>
      <c r="BV4410">
        <v>-0.63</v>
      </c>
      <c r="BW4410">
        <v>-0.74</v>
      </c>
      <c r="BX4410">
        <v>-0.35</v>
      </c>
      <c r="BY4410">
        <v>-0.7</v>
      </c>
      <c r="BZ4410">
        <v>1.76</v>
      </c>
      <c r="CA4410">
        <v>-0.56000000000000005</v>
      </c>
      <c r="CB4410">
        <v>-0.27</v>
      </c>
      <c r="CC4410">
        <v>-0.82</v>
      </c>
      <c r="CD4410">
        <v>-0.12</v>
      </c>
      <c r="CE4410">
        <v>0.3</v>
      </c>
      <c r="CF4410">
        <v>0.14000000000000001</v>
      </c>
      <c r="CG4410">
        <v>0</v>
      </c>
      <c r="CH4410">
        <v>-0.9</v>
      </c>
      <c r="CI4410">
        <v>0</v>
      </c>
      <c r="CJ4410">
        <v>-2.25</v>
      </c>
      <c r="CK4410">
        <v>35</v>
      </c>
      <c r="CL4410">
        <v>-0.62</v>
      </c>
      <c r="CM4410">
        <v>34</v>
      </c>
      <c r="CN4410">
        <v>-0.5</v>
      </c>
      <c r="CO4410">
        <v>34</v>
      </c>
      <c r="CP4410">
        <v>-2.85</v>
      </c>
      <c r="CQ4410">
        <v>35</v>
      </c>
      <c r="CR4410">
        <v>0</v>
      </c>
      <c r="CS4410">
        <v>0</v>
      </c>
      <c r="CT4410">
        <v>3.6</v>
      </c>
      <c r="CU4410">
        <v>33</v>
      </c>
      <c r="CV4410">
        <v>0.03</v>
      </c>
      <c r="CW4410">
        <v>15</v>
      </c>
      <c r="CX4410" t="s">
        <v>666</v>
      </c>
    </row>
    <row r="4411" spans="1:102" x14ac:dyDescent="0.3">
      <c r="A4411" t="str">
        <f>HYPERLINK("https://webapp.icbf.com/v2/app/bull-search/view/76203337","RTN")</f>
        <v>RTN</v>
      </c>
      <c r="B4411" t="s">
        <v>8572</v>
      </c>
      <c r="C4411" t="s">
        <v>8573</v>
      </c>
      <c r="D4411" s="1">
        <v>35877</v>
      </c>
      <c r="E4411" t="s">
        <v>92</v>
      </c>
      <c r="F4411">
        <v>97</v>
      </c>
      <c r="G4411" t="s">
        <v>93</v>
      </c>
      <c r="H4411">
        <v>-121.95</v>
      </c>
      <c r="I4411">
        <v>84</v>
      </c>
      <c r="J4411">
        <v>-17.32</v>
      </c>
      <c r="K4411">
        <v>97</v>
      </c>
      <c r="L4411">
        <v>-98.01</v>
      </c>
      <c r="M4411">
        <v>75</v>
      </c>
      <c r="N4411">
        <v>22.24</v>
      </c>
      <c r="O4411">
        <v>80</v>
      </c>
      <c r="P4411">
        <v>-0.66</v>
      </c>
      <c r="Q4411">
        <v>94</v>
      </c>
      <c r="R4411">
        <v>-29.34</v>
      </c>
      <c r="S4411">
        <v>76</v>
      </c>
      <c r="T4411">
        <v>6.28</v>
      </c>
      <c r="U4411">
        <v>85</v>
      </c>
      <c r="V4411">
        <v>-5.14</v>
      </c>
      <c r="W4411">
        <v>53</v>
      </c>
      <c r="X4411" t="s">
        <v>94</v>
      </c>
      <c r="Y4411" t="s">
        <v>95</v>
      </c>
      <c r="Z4411" t="s">
        <v>96</v>
      </c>
      <c r="AA4411" t="s">
        <v>2824</v>
      </c>
      <c r="AB4411" t="s">
        <v>8574</v>
      </c>
      <c r="AC4411">
        <v>152</v>
      </c>
      <c r="AD4411">
        <v>123</v>
      </c>
      <c r="AE4411">
        <v>97</v>
      </c>
      <c r="AF4411">
        <v>126.95</v>
      </c>
      <c r="AG4411">
        <v>-10.58</v>
      </c>
      <c r="AH4411">
        <v>2.74</v>
      </c>
      <c r="AI4411">
        <v>-0.25</v>
      </c>
      <c r="AJ4411">
        <v>-0.03</v>
      </c>
      <c r="AK4411">
        <v>75</v>
      </c>
      <c r="AL4411">
        <v>159</v>
      </c>
      <c r="AM4411">
        <v>123</v>
      </c>
      <c r="AN4411">
        <v>6.59</v>
      </c>
      <c r="AO4411">
        <v>-1.21</v>
      </c>
      <c r="AP4411">
        <v>22</v>
      </c>
      <c r="AQ4411">
        <v>1</v>
      </c>
      <c r="AR4411">
        <v>5.6</v>
      </c>
      <c r="AS4411">
        <v>66</v>
      </c>
      <c r="AT4411">
        <v>2.74</v>
      </c>
      <c r="AU4411">
        <v>77</v>
      </c>
      <c r="AV4411">
        <v>-1.93</v>
      </c>
      <c r="AW4411">
        <v>87</v>
      </c>
      <c r="AX4411">
        <v>-0.32</v>
      </c>
      <c r="AY4411">
        <v>86</v>
      </c>
      <c r="AZ4411">
        <v>6.39</v>
      </c>
      <c r="BA4411">
        <v>68</v>
      </c>
      <c r="BB4411">
        <v>5.39</v>
      </c>
      <c r="BC4411">
        <v>73</v>
      </c>
      <c r="BD4411">
        <v>0.1</v>
      </c>
      <c r="BE4411">
        <v>0.12</v>
      </c>
      <c r="BF4411">
        <v>0.28000000000000003</v>
      </c>
      <c r="BG4411">
        <v>90</v>
      </c>
      <c r="BH4411">
        <v>-0.02</v>
      </c>
      <c r="BI4411">
        <v>14.27</v>
      </c>
      <c r="BJ4411">
        <v>35</v>
      </c>
      <c r="BK4411">
        <v>22</v>
      </c>
      <c r="BL4411">
        <v>0.23</v>
      </c>
      <c r="BM4411">
        <v>3.23</v>
      </c>
      <c r="BN4411">
        <v>2.0499999999999998</v>
      </c>
      <c r="BO4411">
        <v>-0.61</v>
      </c>
      <c r="BP4411">
        <v>-0.36</v>
      </c>
      <c r="BQ4411">
        <v>1.35</v>
      </c>
      <c r="BR4411">
        <v>0.46</v>
      </c>
      <c r="BS4411">
        <v>-0.97</v>
      </c>
      <c r="BT4411">
        <v>-0.6</v>
      </c>
      <c r="BU4411">
        <v>-1.02</v>
      </c>
      <c r="BV4411">
        <v>-0.65</v>
      </c>
      <c r="BW4411">
        <v>-0.7</v>
      </c>
      <c r="BX4411">
        <v>-1.4</v>
      </c>
      <c r="BY4411">
        <v>0.51</v>
      </c>
      <c r="BZ4411">
        <v>0.31</v>
      </c>
      <c r="CA4411">
        <v>-0.8</v>
      </c>
      <c r="CB4411">
        <v>-0.48</v>
      </c>
      <c r="CC4411">
        <v>-0.84</v>
      </c>
      <c r="CD4411">
        <v>1.02</v>
      </c>
      <c r="CE4411">
        <v>-0.13</v>
      </c>
      <c r="CF4411">
        <v>0.9</v>
      </c>
      <c r="CG4411">
        <v>0</v>
      </c>
      <c r="CH4411">
        <v>0.48</v>
      </c>
      <c r="CI4411">
        <v>0</v>
      </c>
      <c r="CJ4411">
        <v>1.5</v>
      </c>
      <c r="CK4411">
        <v>94</v>
      </c>
      <c r="CL4411">
        <v>-0.52</v>
      </c>
      <c r="CM4411">
        <v>93</v>
      </c>
      <c r="CN4411">
        <v>-0.21</v>
      </c>
      <c r="CO4411">
        <v>92</v>
      </c>
      <c r="CP4411">
        <v>1.2</v>
      </c>
      <c r="CQ4411">
        <v>94</v>
      </c>
      <c r="CR4411">
        <v>0</v>
      </c>
      <c r="CS4411">
        <v>0</v>
      </c>
      <c r="CT4411">
        <v>5.3</v>
      </c>
      <c r="CU4411">
        <v>85</v>
      </c>
      <c r="CV4411">
        <v>0.24</v>
      </c>
      <c r="CW4411">
        <v>27</v>
      </c>
      <c r="CX4411" t="s">
        <v>485</v>
      </c>
    </row>
    <row r="4412" spans="1:102" x14ac:dyDescent="0.3">
      <c r="A4412" t="str">
        <f>HYPERLINK("https://webapp.icbf.com/v2/app/bull-search/view/77855920","LRM")</f>
        <v>LRM</v>
      </c>
      <c r="B4412" t="s">
        <v>15259</v>
      </c>
      <c r="C4412" t="s">
        <v>15260</v>
      </c>
      <c r="D4412" s="1">
        <v>34783</v>
      </c>
      <c r="E4412" t="s">
        <v>92</v>
      </c>
      <c r="F4412">
        <v>100</v>
      </c>
      <c r="G4412" t="s">
        <v>93</v>
      </c>
      <c r="H4412">
        <v>-122.17</v>
      </c>
      <c r="I4412">
        <v>78</v>
      </c>
      <c r="J4412">
        <v>-32.11</v>
      </c>
      <c r="K4412">
        <v>95</v>
      </c>
      <c r="L4412">
        <v>-125.94</v>
      </c>
      <c r="M4412">
        <v>65</v>
      </c>
      <c r="N4412">
        <v>35.08</v>
      </c>
      <c r="O4412">
        <v>73</v>
      </c>
      <c r="P4412">
        <v>6.78</v>
      </c>
      <c r="Q4412">
        <v>88</v>
      </c>
      <c r="R4412">
        <v>-2.1</v>
      </c>
      <c r="S4412">
        <v>68</v>
      </c>
      <c r="T4412">
        <v>1.02</v>
      </c>
      <c r="U4412">
        <v>83</v>
      </c>
      <c r="V4412">
        <v>-4.9000000000000004</v>
      </c>
      <c r="W4412">
        <v>33</v>
      </c>
      <c r="X4412" t="s">
        <v>558</v>
      </c>
      <c r="Y4412" t="s">
        <v>95</v>
      </c>
      <c r="Z4412" t="s">
        <v>96</v>
      </c>
      <c r="AA4412" t="s">
        <v>15261</v>
      </c>
      <c r="AB4412" t="s">
        <v>6597</v>
      </c>
      <c r="AC4412">
        <v>93</v>
      </c>
      <c r="AD4412">
        <v>60</v>
      </c>
      <c r="AE4412">
        <v>95</v>
      </c>
      <c r="AF4412">
        <v>271.08999999999997</v>
      </c>
      <c r="AG4412">
        <v>0.11</v>
      </c>
      <c r="AH4412">
        <v>-1.35</v>
      </c>
      <c r="AI4412">
        <v>-0.17</v>
      </c>
      <c r="AJ4412">
        <v>-0.17</v>
      </c>
      <c r="AK4412">
        <v>65</v>
      </c>
      <c r="AL4412">
        <v>88</v>
      </c>
      <c r="AM4412">
        <v>52</v>
      </c>
      <c r="AN4412">
        <v>6.37</v>
      </c>
      <c r="AO4412">
        <v>-3.68</v>
      </c>
      <c r="AP4412">
        <v>45</v>
      </c>
      <c r="AQ4412">
        <v>17</v>
      </c>
      <c r="AR4412">
        <v>3.88</v>
      </c>
      <c r="AS4412">
        <v>56</v>
      </c>
      <c r="AT4412">
        <v>2.1</v>
      </c>
      <c r="AU4412">
        <v>66</v>
      </c>
      <c r="AV4412">
        <v>-2.1</v>
      </c>
      <c r="AW4412">
        <v>86</v>
      </c>
      <c r="AX4412">
        <v>-0.34</v>
      </c>
      <c r="AY4412">
        <v>82</v>
      </c>
      <c r="AZ4412">
        <v>6.09</v>
      </c>
      <c r="BA4412">
        <v>39</v>
      </c>
      <c r="BB4412">
        <v>4.75</v>
      </c>
      <c r="BC4412">
        <v>55</v>
      </c>
      <c r="BD4412">
        <v>0.02</v>
      </c>
      <c r="BE4412">
        <v>0.05</v>
      </c>
      <c r="BF4412">
        <v>-0.08</v>
      </c>
      <c r="BG4412">
        <v>85</v>
      </c>
      <c r="BH4412">
        <v>-0.1</v>
      </c>
      <c r="BI4412">
        <v>4.24</v>
      </c>
      <c r="BJ4412">
        <v>18</v>
      </c>
      <c r="BK4412">
        <v>11</v>
      </c>
      <c r="BL4412">
        <v>0.22</v>
      </c>
      <c r="BM4412">
        <v>-0.14000000000000001</v>
      </c>
      <c r="BN4412">
        <v>0.77</v>
      </c>
      <c r="BO4412">
        <v>0.79</v>
      </c>
      <c r="BP4412">
        <v>-2.4300000000000002</v>
      </c>
      <c r="BQ4412">
        <v>-0.13</v>
      </c>
      <c r="BR4412">
        <v>3.09</v>
      </c>
      <c r="BS4412">
        <v>-3.36</v>
      </c>
      <c r="BT4412">
        <v>-3.11</v>
      </c>
      <c r="BU4412">
        <v>1.03</v>
      </c>
      <c r="BV4412">
        <v>1.07</v>
      </c>
      <c r="BW4412">
        <v>-0.06</v>
      </c>
      <c r="BX4412">
        <v>-0.68</v>
      </c>
      <c r="BY4412">
        <v>1.48</v>
      </c>
      <c r="BZ4412">
        <v>0.46</v>
      </c>
      <c r="CA4412">
        <v>-0.13</v>
      </c>
      <c r="CB4412">
        <v>0.86</v>
      </c>
      <c r="CC4412">
        <v>-1.97</v>
      </c>
      <c r="CD4412">
        <v>-0.39</v>
      </c>
      <c r="CE4412">
        <v>0.84</v>
      </c>
      <c r="CF4412">
        <v>-0.34</v>
      </c>
      <c r="CG4412">
        <v>0</v>
      </c>
      <c r="CH4412">
        <v>1.47</v>
      </c>
      <c r="CI4412">
        <v>0</v>
      </c>
      <c r="CJ4412">
        <v>4.5</v>
      </c>
      <c r="CK4412">
        <v>89</v>
      </c>
      <c r="CL4412">
        <v>-0.13</v>
      </c>
      <c r="CM4412">
        <v>87</v>
      </c>
      <c r="CN4412">
        <v>-0.13</v>
      </c>
      <c r="CO4412">
        <v>85</v>
      </c>
      <c r="CP4412">
        <v>2.6</v>
      </c>
      <c r="CQ4412">
        <v>87</v>
      </c>
      <c r="CR4412">
        <v>0</v>
      </c>
      <c r="CS4412">
        <v>0</v>
      </c>
      <c r="CT4412">
        <v>12.4</v>
      </c>
      <c r="CU4412">
        <v>83</v>
      </c>
      <c r="CV4412">
        <v>0.06</v>
      </c>
      <c r="CW4412">
        <v>25</v>
      </c>
      <c r="CX4412" t="s">
        <v>485</v>
      </c>
    </row>
    <row r="4413" spans="1:102" x14ac:dyDescent="0.3">
      <c r="A4413" t="str">
        <f>HYPERLINK("https://webapp.icbf.com/v2/app/bull-search/view/77859847","BNU")</f>
        <v>BNU</v>
      </c>
      <c r="B4413" t="s">
        <v>14763</v>
      </c>
      <c r="C4413" t="s">
        <v>252</v>
      </c>
      <c r="D4413" s="1">
        <v>32942</v>
      </c>
      <c r="E4413" t="s">
        <v>92</v>
      </c>
      <c r="F4413">
        <v>100</v>
      </c>
      <c r="G4413" t="s">
        <v>109</v>
      </c>
      <c r="H4413">
        <v>-122.2</v>
      </c>
      <c r="I4413">
        <v>78</v>
      </c>
      <c r="J4413">
        <v>-65.03</v>
      </c>
      <c r="K4413">
        <v>90</v>
      </c>
      <c r="L4413">
        <v>-53.43</v>
      </c>
      <c r="M4413">
        <v>82</v>
      </c>
      <c r="N4413">
        <v>-7.66</v>
      </c>
      <c r="O4413">
        <v>57</v>
      </c>
      <c r="P4413">
        <v>-9.83</v>
      </c>
      <c r="Q4413">
        <v>69</v>
      </c>
      <c r="R4413">
        <v>-3.06</v>
      </c>
      <c r="S4413">
        <v>69</v>
      </c>
      <c r="T4413">
        <v>18.559999999999999</v>
      </c>
      <c r="U4413">
        <v>67</v>
      </c>
      <c r="V4413">
        <v>-1.75</v>
      </c>
      <c r="W4413">
        <v>48</v>
      </c>
      <c r="X4413" t="s">
        <v>110</v>
      </c>
      <c r="Y4413" t="s">
        <v>95</v>
      </c>
      <c r="Z4413" t="s">
        <v>96</v>
      </c>
      <c r="AA4413" t="s">
        <v>111</v>
      </c>
      <c r="AB4413" t="s">
        <v>879</v>
      </c>
      <c r="AC4413">
        <v>32</v>
      </c>
      <c r="AD4413">
        <v>22</v>
      </c>
      <c r="AE4413">
        <v>90</v>
      </c>
      <c r="AF4413">
        <v>-66.95</v>
      </c>
      <c r="AG4413">
        <v>-10.81</v>
      </c>
      <c r="AH4413">
        <v>-8.26</v>
      </c>
      <c r="AI4413">
        <v>-0.14000000000000001</v>
      </c>
      <c r="AJ4413">
        <v>-0.1</v>
      </c>
      <c r="AK4413">
        <v>82</v>
      </c>
      <c r="AL4413">
        <v>32</v>
      </c>
      <c r="AM4413">
        <v>19</v>
      </c>
      <c r="AN4413">
        <v>2.99</v>
      </c>
      <c r="AO4413">
        <v>-1.27</v>
      </c>
      <c r="AP4413">
        <v>8</v>
      </c>
      <c r="AQ4413">
        <v>1</v>
      </c>
      <c r="AR4413">
        <v>8.2100000000000009</v>
      </c>
      <c r="AS4413">
        <v>37</v>
      </c>
      <c r="AT4413">
        <v>3.95</v>
      </c>
      <c r="AU4413">
        <v>69</v>
      </c>
      <c r="AV4413">
        <v>-0.15</v>
      </c>
      <c r="AW4413">
        <v>59</v>
      </c>
      <c r="AX4413">
        <v>-0.05</v>
      </c>
      <c r="AY4413">
        <v>65</v>
      </c>
      <c r="AZ4413">
        <v>6.27</v>
      </c>
      <c r="BA4413">
        <v>36</v>
      </c>
      <c r="BB4413">
        <v>4.95</v>
      </c>
      <c r="BC4413">
        <v>40</v>
      </c>
      <c r="BD4413">
        <v>0.02</v>
      </c>
      <c r="BE4413">
        <v>0.03</v>
      </c>
      <c r="BF4413">
        <v>-0.02</v>
      </c>
      <c r="BG4413">
        <v>88</v>
      </c>
      <c r="BH4413">
        <v>7.0000000000000007E-2</v>
      </c>
      <c r="BI4413">
        <v>13.74</v>
      </c>
      <c r="BJ4413">
        <v>8</v>
      </c>
      <c r="BK4413">
        <v>6</v>
      </c>
      <c r="BL4413">
        <v>0.35</v>
      </c>
      <c r="BM4413">
        <v>-2.2200000000000002</v>
      </c>
      <c r="BN4413">
        <v>-0.15</v>
      </c>
      <c r="BO4413">
        <v>1.19</v>
      </c>
      <c r="BP4413">
        <v>-0.41</v>
      </c>
      <c r="BQ4413">
        <v>-1.55</v>
      </c>
      <c r="BR4413">
        <v>0.91</v>
      </c>
      <c r="BS4413">
        <v>1.07</v>
      </c>
      <c r="BT4413">
        <v>0.31</v>
      </c>
      <c r="BU4413">
        <v>1.65</v>
      </c>
      <c r="BV4413">
        <v>0.56000000000000005</v>
      </c>
      <c r="BW4413">
        <v>-0.05</v>
      </c>
      <c r="BX4413">
        <v>2.15</v>
      </c>
      <c r="BY4413">
        <v>-0.27</v>
      </c>
      <c r="BZ4413">
        <v>-0.09</v>
      </c>
      <c r="CA4413">
        <v>1.05</v>
      </c>
      <c r="CB4413">
        <v>0.68</v>
      </c>
      <c r="CC4413">
        <v>1.28</v>
      </c>
      <c r="CD4413">
        <v>-0.37</v>
      </c>
      <c r="CE4413">
        <v>0</v>
      </c>
      <c r="CF4413">
        <v>-0.85</v>
      </c>
      <c r="CG4413">
        <v>0</v>
      </c>
      <c r="CH4413">
        <v>-1.4</v>
      </c>
      <c r="CI4413">
        <v>0</v>
      </c>
      <c r="CJ4413">
        <v>-3.2</v>
      </c>
      <c r="CK4413">
        <v>71</v>
      </c>
      <c r="CL4413">
        <v>-0.46</v>
      </c>
      <c r="CM4413">
        <v>67</v>
      </c>
      <c r="CN4413">
        <v>-0.08</v>
      </c>
      <c r="CO4413">
        <v>63</v>
      </c>
      <c r="CP4413">
        <v>-10.7</v>
      </c>
      <c r="CQ4413">
        <v>74</v>
      </c>
      <c r="CR4413">
        <v>0</v>
      </c>
      <c r="CS4413">
        <v>0</v>
      </c>
      <c r="CT4413">
        <v>-11.3</v>
      </c>
      <c r="CU4413">
        <v>67</v>
      </c>
      <c r="CV4413">
        <v>0.13</v>
      </c>
      <c r="CW4413">
        <v>20</v>
      </c>
      <c r="CX4413" t="s">
        <v>113</v>
      </c>
    </row>
    <row r="4414" spans="1:102" x14ac:dyDescent="0.3">
      <c r="A4414" t="str">
        <f>HYPERLINK("https://webapp.icbf.com/v2/app/bull-search/view/68508136","RMN")</f>
        <v>RMN</v>
      </c>
      <c r="B4414" t="s">
        <v>10438</v>
      </c>
      <c r="C4414" t="s">
        <v>4016</v>
      </c>
      <c r="D4414" s="1">
        <v>34275</v>
      </c>
      <c r="E4414" t="s">
        <v>92</v>
      </c>
      <c r="F4414">
        <v>100</v>
      </c>
      <c r="G4414" t="s">
        <v>93</v>
      </c>
      <c r="H4414">
        <v>-122.29</v>
      </c>
      <c r="I4414">
        <v>97</v>
      </c>
      <c r="J4414">
        <v>27.14</v>
      </c>
      <c r="K4414">
        <v>99</v>
      </c>
      <c r="L4414">
        <v>-148.88999999999999</v>
      </c>
      <c r="M4414">
        <v>94</v>
      </c>
      <c r="N4414">
        <v>3.81</v>
      </c>
      <c r="O4414">
        <v>98</v>
      </c>
      <c r="P4414">
        <v>-3.53</v>
      </c>
      <c r="Q4414">
        <v>99</v>
      </c>
      <c r="R4414">
        <v>1.01</v>
      </c>
      <c r="S4414">
        <v>95</v>
      </c>
      <c r="T4414">
        <v>7.76</v>
      </c>
      <c r="U4414">
        <v>98</v>
      </c>
      <c r="V4414">
        <v>-9.59</v>
      </c>
      <c r="W4414">
        <v>95</v>
      </c>
      <c r="X4414" t="s">
        <v>102</v>
      </c>
      <c r="Y4414" t="s">
        <v>95</v>
      </c>
      <c r="Z4414" t="s">
        <v>96</v>
      </c>
      <c r="AA4414" t="s">
        <v>1218</v>
      </c>
      <c r="AB4414" t="s">
        <v>10439</v>
      </c>
      <c r="AC4414">
        <v>1387</v>
      </c>
      <c r="AD4414">
        <v>400</v>
      </c>
      <c r="AE4414">
        <v>99</v>
      </c>
      <c r="AF4414">
        <v>104.91</v>
      </c>
      <c r="AG4414">
        <v>8.7100000000000009</v>
      </c>
      <c r="AH4414">
        <v>3.14</v>
      </c>
      <c r="AI4414">
        <v>0.08</v>
      </c>
      <c r="AJ4414">
        <v>-0.01</v>
      </c>
      <c r="AK4414">
        <v>94</v>
      </c>
      <c r="AL4414">
        <v>1452</v>
      </c>
      <c r="AM4414">
        <v>428</v>
      </c>
      <c r="AN4414">
        <v>9.18</v>
      </c>
      <c r="AO4414">
        <v>-2.68</v>
      </c>
      <c r="AP4414">
        <v>1658</v>
      </c>
      <c r="AQ4414">
        <v>12</v>
      </c>
      <c r="AR4414">
        <v>7.64</v>
      </c>
      <c r="AS4414">
        <v>95</v>
      </c>
      <c r="AT4414">
        <v>3.59</v>
      </c>
      <c r="AU4414">
        <v>98</v>
      </c>
      <c r="AV4414">
        <v>-1.25</v>
      </c>
      <c r="AW4414">
        <v>99</v>
      </c>
      <c r="AX4414">
        <v>-0.25</v>
      </c>
      <c r="AY4414">
        <v>98</v>
      </c>
      <c r="AZ4414">
        <v>7.96</v>
      </c>
      <c r="BA4414">
        <v>94</v>
      </c>
      <c r="BB4414">
        <v>5.0199999999999996</v>
      </c>
      <c r="BC4414">
        <v>95</v>
      </c>
      <c r="BD4414">
        <v>-0.02</v>
      </c>
      <c r="BE4414">
        <v>0</v>
      </c>
      <c r="BF4414">
        <v>0.01</v>
      </c>
      <c r="BG4414">
        <v>99</v>
      </c>
      <c r="BH4414">
        <v>-0.09</v>
      </c>
      <c r="BI4414">
        <v>20.52</v>
      </c>
      <c r="BJ4414">
        <v>86</v>
      </c>
      <c r="BK4414">
        <v>45</v>
      </c>
      <c r="BL4414">
        <v>0.3</v>
      </c>
      <c r="BM4414">
        <v>0.56999999999999995</v>
      </c>
      <c r="BN4414">
        <v>1.79</v>
      </c>
      <c r="BO4414">
        <v>0.8</v>
      </c>
      <c r="BP4414">
        <v>0.08</v>
      </c>
      <c r="BQ4414">
        <v>0.35</v>
      </c>
      <c r="BR4414">
        <v>0.77</v>
      </c>
      <c r="BS4414">
        <v>0.12</v>
      </c>
      <c r="BT4414">
        <v>-0.77</v>
      </c>
      <c r="BU4414">
        <v>-0.09</v>
      </c>
      <c r="BV4414">
        <v>-0.09</v>
      </c>
      <c r="BW4414">
        <v>1.27</v>
      </c>
      <c r="BX4414">
        <v>-0.64</v>
      </c>
      <c r="BY4414">
        <v>-0.68</v>
      </c>
      <c r="BZ4414">
        <v>1.39</v>
      </c>
      <c r="CA4414">
        <v>0.11</v>
      </c>
      <c r="CB4414">
        <v>0.18</v>
      </c>
      <c r="CC4414">
        <v>0.25</v>
      </c>
      <c r="CD4414">
        <v>-0.26</v>
      </c>
      <c r="CE4414">
        <v>0.8</v>
      </c>
      <c r="CF4414">
        <v>1.1399999999999999</v>
      </c>
      <c r="CG4414">
        <v>0</v>
      </c>
      <c r="CH4414">
        <v>-0.53</v>
      </c>
      <c r="CI4414">
        <v>0</v>
      </c>
      <c r="CJ4414">
        <v>-0.5</v>
      </c>
      <c r="CK4414">
        <v>99</v>
      </c>
      <c r="CL4414">
        <v>-0.68</v>
      </c>
      <c r="CM4414">
        <v>99</v>
      </c>
      <c r="CN4414">
        <v>-0.39</v>
      </c>
      <c r="CO4414">
        <v>99</v>
      </c>
      <c r="CP4414">
        <v>-2.6</v>
      </c>
      <c r="CQ4414">
        <v>99</v>
      </c>
      <c r="CR4414">
        <v>0</v>
      </c>
      <c r="CS4414">
        <v>0</v>
      </c>
      <c r="CT4414">
        <v>3.3</v>
      </c>
      <c r="CU4414">
        <v>98</v>
      </c>
      <c r="CV4414">
        <v>0.08</v>
      </c>
      <c r="CW4414">
        <v>46</v>
      </c>
      <c r="CX4414" t="s">
        <v>111</v>
      </c>
    </row>
    <row r="4415" spans="1:102" x14ac:dyDescent="0.3">
      <c r="A4415" t="str">
        <f>HYPERLINK("https://webapp.icbf.com/v2/app/bull-search/view/345502547","KLO")</f>
        <v>KLO</v>
      </c>
      <c r="B4415" t="s">
        <v>11813</v>
      </c>
      <c r="C4415" t="s">
        <v>11814</v>
      </c>
      <c r="D4415" s="1">
        <v>35647</v>
      </c>
      <c r="E4415" t="s">
        <v>92</v>
      </c>
      <c r="F4415">
        <v>100</v>
      </c>
      <c r="G4415" t="s">
        <v>93</v>
      </c>
      <c r="H4415">
        <v>-122.32</v>
      </c>
      <c r="I4415">
        <v>86</v>
      </c>
      <c r="J4415">
        <v>33.979999999999997</v>
      </c>
      <c r="K4415">
        <v>94</v>
      </c>
      <c r="L4415">
        <v>-110.5</v>
      </c>
      <c r="M4415">
        <v>85</v>
      </c>
      <c r="N4415">
        <v>-32.31</v>
      </c>
      <c r="O4415">
        <v>78</v>
      </c>
      <c r="P4415">
        <v>9.08</v>
      </c>
      <c r="Q4415">
        <v>89</v>
      </c>
      <c r="R4415">
        <v>-11.37</v>
      </c>
      <c r="S4415">
        <v>77</v>
      </c>
      <c r="T4415">
        <v>-9.11</v>
      </c>
      <c r="U4415">
        <v>76</v>
      </c>
      <c r="V4415">
        <v>-2.09</v>
      </c>
      <c r="W4415">
        <v>65</v>
      </c>
      <c r="X4415" t="s">
        <v>276</v>
      </c>
      <c r="Y4415" t="s">
        <v>95</v>
      </c>
      <c r="Z4415" t="s">
        <v>96</v>
      </c>
      <c r="AA4415" t="s">
        <v>11815</v>
      </c>
      <c r="AB4415" t="s">
        <v>11816</v>
      </c>
      <c r="AC4415">
        <v>44</v>
      </c>
      <c r="AD4415">
        <v>28</v>
      </c>
      <c r="AE4415">
        <v>94</v>
      </c>
      <c r="AF4415">
        <v>56.66</v>
      </c>
      <c r="AG4415">
        <v>1.63</v>
      </c>
      <c r="AH4415">
        <v>6.07</v>
      </c>
      <c r="AI4415">
        <v>-0.01</v>
      </c>
      <c r="AJ4415">
        <v>7.0000000000000007E-2</v>
      </c>
      <c r="AK4415">
        <v>85</v>
      </c>
      <c r="AL4415">
        <v>45</v>
      </c>
      <c r="AM4415">
        <v>32</v>
      </c>
      <c r="AN4415">
        <v>4.67</v>
      </c>
      <c r="AO4415">
        <v>-4.16</v>
      </c>
      <c r="AP4415">
        <v>111</v>
      </c>
      <c r="AQ4415">
        <v>6</v>
      </c>
      <c r="AR4415">
        <v>12.68</v>
      </c>
      <c r="AS4415">
        <v>61</v>
      </c>
      <c r="AT4415">
        <v>4.95</v>
      </c>
      <c r="AU4415">
        <v>89</v>
      </c>
      <c r="AV4415">
        <v>0.13</v>
      </c>
      <c r="AW4415">
        <v>86</v>
      </c>
      <c r="AX4415">
        <v>-0.62</v>
      </c>
      <c r="AY4415">
        <v>73</v>
      </c>
      <c r="AZ4415">
        <v>5.57</v>
      </c>
      <c r="BA4415">
        <v>50</v>
      </c>
      <c r="BB4415">
        <v>4.45</v>
      </c>
      <c r="BC4415">
        <v>53</v>
      </c>
      <c r="BD4415">
        <v>0.02</v>
      </c>
      <c r="BE4415">
        <v>0.02</v>
      </c>
      <c r="BF4415">
        <v>0.19</v>
      </c>
      <c r="BG4415">
        <v>91</v>
      </c>
      <c r="BH4415">
        <v>-0.04</v>
      </c>
      <c r="BI4415">
        <v>2.1</v>
      </c>
      <c r="BJ4415">
        <v>8</v>
      </c>
      <c r="BK4415">
        <v>6</v>
      </c>
      <c r="BL4415">
        <v>0.34</v>
      </c>
      <c r="BM4415">
        <v>2.97</v>
      </c>
      <c r="BN4415">
        <v>2.15</v>
      </c>
      <c r="BO4415">
        <v>-0.16</v>
      </c>
      <c r="BP4415">
        <v>0.22</v>
      </c>
      <c r="BQ4415">
        <v>2.96</v>
      </c>
      <c r="BR4415">
        <v>0.54</v>
      </c>
      <c r="BS4415">
        <v>0.14000000000000001</v>
      </c>
      <c r="BT4415">
        <v>0.16</v>
      </c>
      <c r="BU4415">
        <v>-0.35</v>
      </c>
      <c r="BV4415">
        <v>-0.74</v>
      </c>
      <c r="BW4415">
        <v>-1.64</v>
      </c>
      <c r="BX4415">
        <v>-2.19</v>
      </c>
      <c r="BY4415">
        <v>0.18</v>
      </c>
      <c r="BZ4415">
        <v>0.89</v>
      </c>
      <c r="CA4415">
        <v>-0.65</v>
      </c>
      <c r="CB4415">
        <v>-0.64</v>
      </c>
      <c r="CC4415">
        <v>-0.17</v>
      </c>
      <c r="CD4415">
        <v>0.45</v>
      </c>
      <c r="CE4415">
        <v>-7.0000000000000007E-2</v>
      </c>
      <c r="CF4415">
        <v>1.07</v>
      </c>
      <c r="CG4415">
        <v>0</v>
      </c>
      <c r="CH4415">
        <v>-7.0000000000000007E-2</v>
      </c>
      <c r="CI4415">
        <v>0</v>
      </c>
      <c r="CJ4415">
        <v>4</v>
      </c>
      <c r="CK4415">
        <v>90</v>
      </c>
      <c r="CL4415">
        <v>-0.46</v>
      </c>
      <c r="CM4415">
        <v>88</v>
      </c>
      <c r="CN4415">
        <v>-0.64</v>
      </c>
      <c r="CO4415">
        <v>87</v>
      </c>
      <c r="CP4415">
        <v>5.4</v>
      </c>
      <c r="CQ4415">
        <v>85</v>
      </c>
      <c r="CR4415">
        <v>0</v>
      </c>
      <c r="CS4415">
        <v>0</v>
      </c>
      <c r="CT4415">
        <v>26.1</v>
      </c>
      <c r="CU4415">
        <v>76</v>
      </c>
      <c r="CV4415">
        <v>0.06</v>
      </c>
      <c r="CW4415">
        <v>43</v>
      </c>
      <c r="CX4415" t="s">
        <v>1077</v>
      </c>
    </row>
    <row r="4416" spans="1:102" x14ac:dyDescent="0.3">
      <c r="A4416" t="str">
        <f>HYPERLINK("https://webapp.icbf.com/v2/app/bull-search/view/678698639","S807")</f>
        <v>S807</v>
      </c>
      <c r="B4416" t="s">
        <v>1657</v>
      </c>
      <c r="C4416" t="s">
        <v>1658</v>
      </c>
      <c r="D4416" s="1">
        <v>39367</v>
      </c>
      <c r="E4416" t="s">
        <v>92</v>
      </c>
      <c r="F4416">
        <v>100</v>
      </c>
      <c r="G4416" t="s">
        <v>109</v>
      </c>
      <c r="H4416">
        <v>-122.39</v>
      </c>
      <c r="I4416">
        <v>82</v>
      </c>
      <c r="J4416">
        <v>-2.19</v>
      </c>
      <c r="K4416">
        <v>93</v>
      </c>
      <c r="L4416">
        <v>-84.05</v>
      </c>
      <c r="M4416">
        <v>83</v>
      </c>
      <c r="N4416">
        <v>-41.31</v>
      </c>
      <c r="O4416">
        <v>75</v>
      </c>
      <c r="P4416">
        <v>-8.9499999999999993</v>
      </c>
      <c r="Q4416">
        <v>72</v>
      </c>
      <c r="R4416">
        <v>10.66</v>
      </c>
      <c r="S4416">
        <v>76</v>
      </c>
      <c r="T4416">
        <v>2.65</v>
      </c>
      <c r="U4416">
        <v>65</v>
      </c>
      <c r="V4416">
        <v>0.8</v>
      </c>
      <c r="W4416">
        <v>66</v>
      </c>
      <c r="X4416" t="s">
        <v>251</v>
      </c>
      <c r="Y4416" t="s">
        <v>1494</v>
      </c>
      <c r="Z4416" t="s">
        <v>96</v>
      </c>
      <c r="AA4416" t="s">
        <v>309</v>
      </c>
      <c r="AB4416" t="s">
        <v>1659</v>
      </c>
      <c r="AC4416">
        <v>0</v>
      </c>
      <c r="AD4416">
        <v>0</v>
      </c>
      <c r="AE4416">
        <v>93</v>
      </c>
      <c r="AF4416">
        <v>82.62</v>
      </c>
      <c r="AG4416">
        <v>7.13</v>
      </c>
      <c r="AH4416">
        <v>-1.63</v>
      </c>
      <c r="AI4416">
        <v>7.0000000000000007E-2</v>
      </c>
      <c r="AJ4416">
        <v>-0.08</v>
      </c>
      <c r="AK4416">
        <v>83</v>
      </c>
      <c r="AL4416">
        <v>0</v>
      </c>
      <c r="AM4416">
        <v>0</v>
      </c>
      <c r="AN4416">
        <v>4.78</v>
      </c>
      <c r="AO4416">
        <v>-1.92</v>
      </c>
      <c r="AP4416">
        <v>22</v>
      </c>
      <c r="AQ4416">
        <v>0</v>
      </c>
      <c r="AR4416">
        <v>10.56</v>
      </c>
      <c r="AS4416">
        <v>63</v>
      </c>
      <c r="AT4416">
        <v>5.48</v>
      </c>
      <c r="AU4416">
        <v>88</v>
      </c>
      <c r="AV4416">
        <v>-0.25</v>
      </c>
      <c r="AW4416">
        <v>82</v>
      </c>
      <c r="AX4416">
        <v>2.58</v>
      </c>
      <c r="AY4416">
        <v>61</v>
      </c>
      <c r="AZ4416">
        <v>6.61</v>
      </c>
      <c r="BA4416">
        <v>52</v>
      </c>
      <c r="BB4416">
        <v>5.21</v>
      </c>
      <c r="BC4416">
        <v>52</v>
      </c>
      <c r="BD4416">
        <v>0</v>
      </c>
      <c r="BE4416">
        <v>-0.05</v>
      </c>
      <c r="BF4416">
        <v>-0.15</v>
      </c>
      <c r="BG4416">
        <v>89</v>
      </c>
      <c r="BH4416">
        <v>-0.05</v>
      </c>
      <c r="BI4416">
        <v>-8.3800000000000008</v>
      </c>
      <c r="BJ4416">
        <v>12</v>
      </c>
      <c r="BK4416">
        <v>6</v>
      </c>
      <c r="BL4416">
        <v>1.29</v>
      </c>
      <c r="BM4416">
        <v>-1.66</v>
      </c>
      <c r="BN4416">
        <v>0.13</v>
      </c>
      <c r="BO4416">
        <v>0.75</v>
      </c>
      <c r="BP4416">
        <v>-0.73</v>
      </c>
      <c r="BQ4416">
        <v>1.28</v>
      </c>
      <c r="BR4416">
        <v>0.18</v>
      </c>
      <c r="BS4416">
        <v>-0.28999999999999998</v>
      </c>
      <c r="BT4416">
        <v>0.17</v>
      </c>
      <c r="BU4416">
        <v>3.27</v>
      </c>
      <c r="BV4416">
        <v>1.72</v>
      </c>
      <c r="BW4416">
        <v>1.57</v>
      </c>
      <c r="BX4416">
        <v>2.8</v>
      </c>
      <c r="BY4416">
        <v>0.09</v>
      </c>
      <c r="BZ4416">
        <v>1.22</v>
      </c>
      <c r="CA4416">
        <v>1.06</v>
      </c>
      <c r="CB4416">
        <v>1.59</v>
      </c>
      <c r="CC4416">
        <v>-0.47</v>
      </c>
      <c r="CD4416">
        <v>-0.15</v>
      </c>
      <c r="CE4416">
        <v>1.1200000000000001</v>
      </c>
      <c r="CF4416">
        <v>1.48</v>
      </c>
      <c r="CG4416">
        <v>0</v>
      </c>
      <c r="CH4416">
        <v>0.02</v>
      </c>
      <c r="CI4416">
        <v>0</v>
      </c>
      <c r="CJ4416">
        <v>-4</v>
      </c>
      <c r="CK4416">
        <v>74</v>
      </c>
      <c r="CL4416">
        <v>-1.41</v>
      </c>
      <c r="CM4416">
        <v>71</v>
      </c>
      <c r="CN4416">
        <v>-0.97</v>
      </c>
      <c r="CO4416">
        <v>68</v>
      </c>
      <c r="CP4416">
        <v>-1.6</v>
      </c>
      <c r="CQ4416">
        <v>69</v>
      </c>
      <c r="CR4416">
        <v>0</v>
      </c>
      <c r="CS4416">
        <v>0</v>
      </c>
      <c r="CT4416">
        <v>10.199999999999999</v>
      </c>
      <c r="CU4416">
        <v>65</v>
      </c>
      <c r="CV4416">
        <v>0.27</v>
      </c>
      <c r="CW4416">
        <v>40</v>
      </c>
      <c r="CX4416" t="s">
        <v>311</v>
      </c>
    </row>
    <row r="4417" spans="1:102" x14ac:dyDescent="0.3">
      <c r="A4417" t="str">
        <f>HYPERLINK("https://webapp.icbf.com/v2/app/bull-search/view/69092869","VCM")</f>
        <v>VCM</v>
      </c>
      <c r="B4417" t="s">
        <v>3201</v>
      </c>
      <c r="C4417" t="s">
        <v>3202</v>
      </c>
      <c r="D4417" s="1">
        <v>35331</v>
      </c>
      <c r="E4417" t="s">
        <v>92</v>
      </c>
      <c r="F4417">
        <v>69</v>
      </c>
      <c r="G4417" t="s">
        <v>93</v>
      </c>
      <c r="H4417">
        <v>-122.4</v>
      </c>
      <c r="I4417">
        <v>90</v>
      </c>
      <c r="J4417">
        <v>-5.79</v>
      </c>
      <c r="K4417">
        <v>98</v>
      </c>
      <c r="L4417">
        <v>-97.02</v>
      </c>
      <c r="M4417">
        <v>84</v>
      </c>
      <c r="N4417">
        <v>-3.8</v>
      </c>
      <c r="O4417">
        <v>85</v>
      </c>
      <c r="P4417">
        <v>-12.82</v>
      </c>
      <c r="Q4417">
        <v>96</v>
      </c>
      <c r="R4417">
        <v>-17.010000000000002</v>
      </c>
      <c r="S4417">
        <v>83</v>
      </c>
      <c r="T4417">
        <v>27.29</v>
      </c>
      <c r="U4417">
        <v>92</v>
      </c>
      <c r="V4417">
        <v>-13.25</v>
      </c>
      <c r="W4417">
        <v>78</v>
      </c>
      <c r="X4417" t="s">
        <v>102</v>
      </c>
      <c r="Y4417" t="s">
        <v>95</v>
      </c>
      <c r="Z4417" t="s">
        <v>96</v>
      </c>
      <c r="AA4417" t="s">
        <v>265</v>
      </c>
      <c r="AB4417" t="s">
        <v>993</v>
      </c>
      <c r="AC4417">
        <v>200</v>
      </c>
      <c r="AD4417">
        <v>104</v>
      </c>
      <c r="AE4417">
        <v>98</v>
      </c>
      <c r="AF4417">
        <v>107.27</v>
      </c>
      <c r="AG4417">
        <v>-0.63</v>
      </c>
      <c r="AH4417">
        <v>0.88</v>
      </c>
      <c r="AI4417">
        <v>-0.08</v>
      </c>
      <c r="AJ4417">
        <v>-0.05</v>
      </c>
      <c r="AK4417">
        <v>84</v>
      </c>
      <c r="AL4417">
        <v>247</v>
      </c>
      <c r="AM4417">
        <v>124</v>
      </c>
      <c r="AN4417">
        <v>5.86</v>
      </c>
      <c r="AO4417">
        <v>-1.87</v>
      </c>
      <c r="AP4417">
        <v>40</v>
      </c>
      <c r="AQ4417">
        <v>0</v>
      </c>
      <c r="AR4417">
        <v>7.63</v>
      </c>
      <c r="AS4417">
        <v>75</v>
      </c>
      <c r="AT4417">
        <v>3.15</v>
      </c>
      <c r="AU4417">
        <v>84</v>
      </c>
      <c r="AV4417">
        <v>-0.24</v>
      </c>
      <c r="AW4417">
        <v>89</v>
      </c>
      <c r="AX4417">
        <v>-0.16</v>
      </c>
      <c r="AY4417">
        <v>90</v>
      </c>
      <c r="AZ4417">
        <v>8.1</v>
      </c>
      <c r="BA4417">
        <v>74</v>
      </c>
      <c r="BB4417">
        <v>5.61</v>
      </c>
      <c r="BC4417">
        <v>79</v>
      </c>
      <c r="BD4417">
        <v>0.06</v>
      </c>
      <c r="BE4417">
        <v>0.09</v>
      </c>
      <c r="BF4417">
        <v>0.12</v>
      </c>
      <c r="BG4417">
        <v>93</v>
      </c>
      <c r="BH4417">
        <v>-0.01</v>
      </c>
      <c r="BI4417">
        <v>41.6</v>
      </c>
      <c r="BJ4417">
        <v>26</v>
      </c>
      <c r="BK4417">
        <v>15</v>
      </c>
      <c r="BL4417">
        <v>-1.59</v>
      </c>
      <c r="BM4417">
        <v>-3.16</v>
      </c>
      <c r="BN4417">
        <v>-2.1800000000000002</v>
      </c>
      <c r="BO4417">
        <v>0.03</v>
      </c>
      <c r="BP4417">
        <v>-0.55000000000000004</v>
      </c>
      <c r="BQ4417">
        <v>-4.49</v>
      </c>
      <c r="BR4417">
        <v>-1.3</v>
      </c>
      <c r="BS4417">
        <v>2.35</v>
      </c>
      <c r="BT4417">
        <v>0.44</v>
      </c>
      <c r="BU4417">
        <v>-0.57999999999999996</v>
      </c>
      <c r="BV4417">
        <v>-0.48</v>
      </c>
      <c r="BW4417">
        <v>-1.68</v>
      </c>
      <c r="BX4417">
        <v>-1.36</v>
      </c>
      <c r="BY4417">
        <v>0.79</v>
      </c>
      <c r="BZ4417">
        <v>0.44</v>
      </c>
      <c r="CA4417">
        <v>0.39</v>
      </c>
      <c r="CB4417">
        <v>-0.28999999999999998</v>
      </c>
      <c r="CC4417">
        <v>1.35</v>
      </c>
      <c r="CD4417">
        <v>-1.07</v>
      </c>
      <c r="CE4417">
        <v>0.06</v>
      </c>
      <c r="CF4417">
        <v>-3.35</v>
      </c>
      <c r="CG4417">
        <v>0</v>
      </c>
      <c r="CH4417">
        <v>0.85</v>
      </c>
      <c r="CI4417">
        <v>0</v>
      </c>
      <c r="CJ4417">
        <v>-4.9000000000000004</v>
      </c>
      <c r="CK4417">
        <v>96</v>
      </c>
      <c r="CL4417">
        <v>-0.32</v>
      </c>
      <c r="CM4417">
        <v>95</v>
      </c>
      <c r="CN4417">
        <v>-0.03</v>
      </c>
      <c r="CO4417">
        <v>94</v>
      </c>
      <c r="CP4417">
        <v>-20.7</v>
      </c>
      <c r="CQ4417">
        <v>96</v>
      </c>
      <c r="CR4417">
        <v>0</v>
      </c>
      <c r="CS4417">
        <v>0</v>
      </c>
      <c r="CT4417">
        <v>-23.1</v>
      </c>
      <c r="CU4417">
        <v>92</v>
      </c>
      <c r="CV4417">
        <v>0.03</v>
      </c>
      <c r="CW4417">
        <v>45</v>
      </c>
      <c r="CX4417" t="s">
        <v>607</v>
      </c>
    </row>
    <row r="4418" spans="1:102" x14ac:dyDescent="0.3">
      <c r="A4418" t="str">
        <f>HYPERLINK("https://webapp.icbf.com/v2/app/bull-search/view/68505964","UBO")</f>
        <v>UBO</v>
      </c>
      <c r="B4418" t="s">
        <v>7326</v>
      </c>
      <c r="C4418" t="s">
        <v>7327</v>
      </c>
      <c r="D4418" s="1">
        <v>34395</v>
      </c>
      <c r="E4418" t="s">
        <v>92</v>
      </c>
      <c r="F4418">
        <v>100</v>
      </c>
      <c r="G4418" t="s">
        <v>93</v>
      </c>
      <c r="H4418">
        <v>-122.41</v>
      </c>
      <c r="I4418">
        <v>96</v>
      </c>
      <c r="J4418">
        <v>28</v>
      </c>
      <c r="K4418">
        <v>99</v>
      </c>
      <c r="L4418">
        <v>-82.54</v>
      </c>
      <c r="M4418">
        <v>94</v>
      </c>
      <c r="N4418">
        <v>-60.93</v>
      </c>
      <c r="O4418">
        <v>96</v>
      </c>
      <c r="P4418">
        <v>2.48</v>
      </c>
      <c r="Q4418">
        <v>99</v>
      </c>
      <c r="R4418">
        <v>-7.71</v>
      </c>
      <c r="S4418">
        <v>92</v>
      </c>
      <c r="T4418">
        <v>3.98</v>
      </c>
      <c r="U4418">
        <v>97</v>
      </c>
      <c r="V4418">
        <v>-5.69</v>
      </c>
      <c r="W4418">
        <v>90</v>
      </c>
      <c r="X4418" t="s">
        <v>102</v>
      </c>
      <c r="Y4418" t="s">
        <v>95</v>
      </c>
      <c r="Z4418" t="s">
        <v>96</v>
      </c>
      <c r="AA4418" t="s">
        <v>99</v>
      </c>
      <c r="AB4418" t="s">
        <v>7328</v>
      </c>
      <c r="AC4418">
        <v>621</v>
      </c>
      <c r="AD4418">
        <v>235</v>
      </c>
      <c r="AE4418">
        <v>99</v>
      </c>
      <c r="AF4418">
        <v>371.91</v>
      </c>
      <c r="AG4418">
        <v>4.4800000000000004</v>
      </c>
      <c r="AH4418">
        <v>8.8699999999999992</v>
      </c>
      <c r="AI4418">
        <v>-0.16</v>
      </c>
      <c r="AJ4418">
        <v>-0.06</v>
      </c>
      <c r="AK4418">
        <v>94</v>
      </c>
      <c r="AL4418">
        <v>692</v>
      </c>
      <c r="AM4418">
        <v>230</v>
      </c>
      <c r="AN4418">
        <v>4.7</v>
      </c>
      <c r="AO4418">
        <v>-1.88</v>
      </c>
      <c r="AP4418">
        <v>766</v>
      </c>
      <c r="AQ4418">
        <v>4</v>
      </c>
      <c r="AR4418">
        <v>15.22</v>
      </c>
      <c r="AS4418">
        <v>90</v>
      </c>
      <c r="AT4418">
        <v>6.96</v>
      </c>
      <c r="AU4418">
        <v>98</v>
      </c>
      <c r="AV4418">
        <v>-1.57</v>
      </c>
      <c r="AW4418">
        <v>98</v>
      </c>
      <c r="AX4418">
        <v>-0.03</v>
      </c>
      <c r="AY4418">
        <v>96</v>
      </c>
      <c r="AZ4418">
        <v>5.26</v>
      </c>
      <c r="BA4418">
        <v>90</v>
      </c>
      <c r="BB4418">
        <v>4.37</v>
      </c>
      <c r="BC4418">
        <v>92</v>
      </c>
      <c r="BD4418">
        <v>-0.01</v>
      </c>
      <c r="BE4418">
        <v>0.06</v>
      </c>
      <c r="BF4418">
        <v>0.08</v>
      </c>
      <c r="BG4418">
        <v>98</v>
      </c>
      <c r="BH4418">
        <v>-0.17</v>
      </c>
      <c r="BI4418">
        <v>-1.32</v>
      </c>
      <c r="BJ4418">
        <v>39</v>
      </c>
      <c r="BK4418">
        <v>20</v>
      </c>
      <c r="BL4418">
        <v>0.73</v>
      </c>
      <c r="BM4418">
        <v>1.63</v>
      </c>
      <c r="BN4418">
        <v>0.56000000000000005</v>
      </c>
      <c r="BO4418">
        <v>0.04</v>
      </c>
      <c r="BP4418">
        <v>0.42</v>
      </c>
      <c r="BQ4418">
        <v>0.54</v>
      </c>
      <c r="BR4418">
        <v>-0.24</v>
      </c>
      <c r="BS4418">
        <v>-1.33</v>
      </c>
      <c r="BT4418">
        <v>-0.22</v>
      </c>
      <c r="BU4418">
        <v>-1.1399999999999999</v>
      </c>
      <c r="BV4418">
        <v>-0.27</v>
      </c>
      <c r="BW4418">
        <v>0.78</v>
      </c>
      <c r="BX4418">
        <v>-0.56000000000000005</v>
      </c>
      <c r="BY4418">
        <v>-1.43</v>
      </c>
      <c r="BZ4418">
        <v>1.86</v>
      </c>
      <c r="CA4418">
        <v>-0.79</v>
      </c>
      <c r="CB4418">
        <v>-0.7</v>
      </c>
      <c r="CC4418">
        <v>-0.78</v>
      </c>
      <c r="CD4418">
        <v>1.1100000000000001</v>
      </c>
      <c r="CE4418">
        <v>0.28999999999999998</v>
      </c>
      <c r="CF4418">
        <v>1.0900000000000001</v>
      </c>
      <c r="CG4418">
        <v>0</v>
      </c>
      <c r="CH4418">
        <v>-1.22</v>
      </c>
      <c r="CI4418">
        <v>0</v>
      </c>
      <c r="CJ4418">
        <v>6.1</v>
      </c>
      <c r="CK4418">
        <v>99</v>
      </c>
      <c r="CL4418">
        <v>-0.6</v>
      </c>
      <c r="CM4418">
        <v>99</v>
      </c>
      <c r="CN4418">
        <v>-0.01</v>
      </c>
      <c r="CO4418">
        <v>99</v>
      </c>
      <c r="CP4418">
        <v>0.9</v>
      </c>
      <c r="CQ4418">
        <v>98</v>
      </c>
      <c r="CR4418">
        <v>0</v>
      </c>
      <c r="CS4418">
        <v>0</v>
      </c>
      <c r="CT4418">
        <v>8.4</v>
      </c>
      <c r="CU4418">
        <v>97</v>
      </c>
      <c r="CV4418">
        <v>0.24</v>
      </c>
      <c r="CW4418">
        <v>46</v>
      </c>
      <c r="CX4418" t="s">
        <v>3747</v>
      </c>
    </row>
    <row r="4419" spans="1:102" x14ac:dyDescent="0.3">
      <c r="A4419" t="str">
        <f>HYPERLINK("https://webapp.icbf.com/v2/app/bull-search/view/77859193","ADT")</f>
        <v>ADT</v>
      </c>
      <c r="B4419" t="s">
        <v>8668</v>
      </c>
      <c r="C4419" t="s">
        <v>8669</v>
      </c>
      <c r="D4419" s="1">
        <v>31970</v>
      </c>
      <c r="E4419" t="s">
        <v>92</v>
      </c>
      <c r="F4419">
        <v>100</v>
      </c>
      <c r="G4419" t="s">
        <v>93</v>
      </c>
      <c r="H4419">
        <v>-122.42</v>
      </c>
      <c r="I4419">
        <v>73</v>
      </c>
      <c r="J4419">
        <v>-37.630000000000003</v>
      </c>
      <c r="K4419">
        <v>88</v>
      </c>
      <c r="L4419">
        <v>-52.78</v>
      </c>
      <c r="M4419">
        <v>69</v>
      </c>
      <c r="N4419">
        <v>-10.55</v>
      </c>
      <c r="O4419">
        <v>53</v>
      </c>
      <c r="P4419">
        <v>-14.93</v>
      </c>
      <c r="Q4419">
        <v>71</v>
      </c>
      <c r="R4419">
        <v>-5.44</v>
      </c>
      <c r="S4419">
        <v>70</v>
      </c>
      <c r="T4419">
        <v>2.2799999999999998</v>
      </c>
      <c r="U4419">
        <v>72</v>
      </c>
      <c r="V4419">
        <v>-3.37</v>
      </c>
      <c r="W4419">
        <v>33</v>
      </c>
      <c r="X4419" t="s">
        <v>276</v>
      </c>
      <c r="Y4419" t="s">
        <v>95</v>
      </c>
      <c r="Z4419" t="s">
        <v>96</v>
      </c>
      <c r="AA4419" t="s">
        <v>154</v>
      </c>
      <c r="AB4419" t="s">
        <v>7359</v>
      </c>
      <c r="AC4419">
        <v>48</v>
      </c>
      <c r="AD4419">
        <v>43</v>
      </c>
      <c r="AE4419">
        <v>88</v>
      </c>
      <c r="AF4419">
        <v>-247.68</v>
      </c>
      <c r="AG4419">
        <v>-4.92</v>
      </c>
      <c r="AH4419">
        <v>-8.4499999999999993</v>
      </c>
      <c r="AI4419">
        <v>0.08</v>
      </c>
      <c r="AJ4419">
        <v>0</v>
      </c>
      <c r="AK4419">
        <v>69</v>
      </c>
      <c r="AL4419">
        <v>169</v>
      </c>
      <c r="AM4419">
        <v>94</v>
      </c>
      <c r="AN4419">
        <v>2.79</v>
      </c>
      <c r="AO4419">
        <v>-1.42</v>
      </c>
      <c r="AP4419">
        <v>8</v>
      </c>
      <c r="AQ4419">
        <v>3</v>
      </c>
      <c r="AR4419">
        <v>7.42</v>
      </c>
      <c r="AS4419">
        <v>32</v>
      </c>
      <c r="AT4419">
        <v>3.74</v>
      </c>
      <c r="AU4419">
        <v>50</v>
      </c>
      <c r="AV4419">
        <v>0.51</v>
      </c>
      <c r="AW4419">
        <v>56</v>
      </c>
      <c r="AX4419">
        <v>-0.22</v>
      </c>
      <c r="AY4419">
        <v>79</v>
      </c>
      <c r="AZ4419">
        <v>6.29</v>
      </c>
      <c r="BA4419">
        <v>34</v>
      </c>
      <c r="BB4419">
        <v>5.42</v>
      </c>
      <c r="BC4419">
        <v>45</v>
      </c>
      <c r="BD4419">
        <v>0.03</v>
      </c>
      <c r="BE4419">
        <v>0.05</v>
      </c>
      <c r="BF4419">
        <v>-0.02</v>
      </c>
      <c r="BG4419">
        <v>90</v>
      </c>
      <c r="BH4419">
        <v>-0.03</v>
      </c>
      <c r="BI4419">
        <v>7.4</v>
      </c>
      <c r="BJ4419">
        <v>14</v>
      </c>
      <c r="BK4419">
        <v>14</v>
      </c>
      <c r="BL4419">
        <v>-0.02</v>
      </c>
      <c r="BM4419">
        <v>-0.8</v>
      </c>
      <c r="BN4419">
        <v>-0.06</v>
      </c>
      <c r="BO4419">
        <v>0.26</v>
      </c>
      <c r="BP4419">
        <v>-0.5</v>
      </c>
      <c r="BQ4419">
        <v>-2.23</v>
      </c>
      <c r="BR4419">
        <v>-1.33</v>
      </c>
      <c r="BS4419">
        <v>-0.74</v>
      </c>
      <c r="BT4419">
        <v>1.1599999999999999</v>
      </c>
      <c r="BU4419">
        <v>-0.36</v>
      </c>
      <c r="BV4419">
        <v>-0.25</v>
      </c>
      <c r="BW4419">
        <v>-0.6</v>
      </c>
      <c r="BX4419">
        <v>-0.26</v>
      </c>
      <c r="BY4419">
        <v>0.03</v>
      </c>
      <c r="BZ4419">
        <v>-0.91</v>
      </c>
      <c r="CA4419">
        <v>0.4</v>
      </c>
      <c r="CB4419">
        <v>-0.38</v>
      </c>
      <c r="CC4419">
        <v>1.68</v>
      </c>
      <c r="CD4419">
        <v>-0.14000000000000001</v>
      </c>
      <c r="CE4419">
        <v>0.24</v>
      </c>
      <c r="CF4419">
        <v>0.03</v>
      </c>
      <c r="CG4419">
        <v>0</v>
      </c>
      <c r="CH4419">
        <v>-0.52</v>
      </c>
      <c r="CI4419">
        <v>0</v>
      </c>
      <c r="CJ4419">
        <v>-6.9</v>
      </c>
      <c r="CK4419">
        <v>72</v>
      </c>
      <c r="CL4419">
        <v>-0.87</v>
      </c>
      <c r="CM4419">
        <v>68</v>
      </c>
      <c r="CN4419">
        <v>-0.4</v>
      </c>
      <c r="CO4419">
        <v>63</v>
      </c>
      <c r="CP4419">
        <v>-7.4</v>
      </c>
      <c r="CQ4419">
        <v>81</v>
      </c>
      <c r="CR4419">
        <v>0</v>
      </c>
      <c r="CS4419">
        <v>0</v>
      </c>
      <c r="CT4419">
        <v>10.7</v>
      </c>
      <c r="CU4419">
        <v>72</v>
      </c>
      <c r="CV4419">
        <v>0.1</v>
      </c>
      <c r="CW4419">
        <v>20</v>
      </c>
      <c r="CX4419" t="s">
        <v>640</v>
      </c>
    </row>
    <row r="4420" spans="1:102" x14ac:dyDescent="0.3">
      <c r="A4420" t="str">
        <f>HYPERLINK("https://webapp.icbf.com/v2/app/bull-search/view/77852599","WKS")</f>
        <v>WKS</v>
      </c>
      <c r="B4420" t="s">
        <v>3154</v>
      </c>
      <c r="C4420" t="s">
        <v>3155</v>
      </c>
      <c r="D4420" s="1">
        <v>31837</v>
      </c>
      <c r="E4420" t="s">
        <v>92</v>
      </c>
      <c r="F4420">
        <v>100</v>
      </c>
      <c r="G4420" t="s">
        <v>109</v>
      </c>
      <c r="H4420">
        <v>-122.47</v>
      </c>
      <c r="I4420">
        <v>52</v>
      </c>
      <c r="J4420">
        <v>-67.569999999999993</v>
      </c>
      <c r="K4420">
        <v>67</v>
      </c>
      <c r="L4420">
        <v>-34.700000000000003</v>
      </c>
      <c r="M4420">
        <v>56</v>
      </c>
      <c r="N4420">
        <v>-12.44</v>
      </c>
      <c r="O4420">
        <v>32</v>
      </c>
      <c r="P4420">
        <v>-8.43</v>
      </c>
      <c r="Q4420">
        <v>33</v>
      </c>
      <c r="R4420">
        <v>-5.15</v>
      </c>
      <c r="S4420">
        <v>48</v>
      </c>
      <c r="T4420">
        <v>8.42</v>
      </c>
      <c r="U4420">
        <v>32</v>
      </c>
      <c r="V4420">
        <v>-2.6</v>
      </c>
      <c r="W4420">
        <v>29</v>
      </c>
      <c r="X4420" t="s">
        <v>558</v>
      </c>
      <c r="Y4420" t="s">
        <v>95</v>
      </c>
      <c r="Z4420" t="s">
        <v>96</v>
      </c>
      <c r="AA4420" t="s">
        <v>154</v>
      </c>
      <c r="AB4420" t="s">
        <v>3156</v>
      </c>
      <c r="AC4420">
        <v>0</v>
      </c>
      <c r="AD4420">
        <v>0</v>
      </c>
      <c r="AE4420">
        <v>67</v>
      </c>
      <c r="AF4420">
        <v>49.33</v>
      </c>
      <c r="AG4420">
        <v>-11.72</v>
      </c>
      <c r="AH4420">
        <v>-6.59</v>
      </c>
      <c r="AI4420">
        <v>-0.22</v>
      </c>
      <c r="AJ4420">
        <v>-0.14000000000000001</v>
      </c>
      <c r="AK4420">
        <v>56</v>
      </c>
      <c r="AL4420">
        <v>0</v>
      </c>
      <c r="AM4420">
        <v>0</v>
      </c>
      <c r="AN4420">
        <v>1.67</v>
      </c>
      <c r="AO4420">
        <v>-1.1000000000000001</v>
      </c>
      <c r="AP4420">
        <v>1</v>
      </c>
      <c r="AQ4420">
        <v>0</v>
      </c>
      <c r="AR4420">
        <v>9.27</v>
      </c>
      <c r="AS4420">
        <v>27</v>
      </c>
      <c r="AT4420">
        <v>4.88</v>
      </c>
      <c r="AU4420">
        <v>37</v>
      </c>
      <c r="AV4420">
        <v>-1.54</v>
      </c>
      <c r="AW4420">
        <v>31</v>
      </c>
      <c r="AX4420">
        <v>-0.38</v>
      </c>
      <c r="AY4420">
        <v>33</v>
      </c>
      <c r="AZ4420">
        <v>6.84</v>
      </c>
      <c r="BA4420">
        <v>27</v>
      </c>
      <c r="BB4420">
        <v>5.37</v>
      </c>
      <c r="BC4420">
        <v>28</v>
      </c>
      <c r="BD4420">
        <v>0.02</v>
      </c>
      <c r="BE4420">
        <v>0.05</v>
      </c>
      <c r="BF4420">
        <v>-0.01</v>
      </c>
      <c r="BG4420">
        <v>64</v>
      </c>
      <c r="BH4420">
        <v>0</v>
      </c>
      <c r="BI4420">
        <v>8.3800000000000008</v>
      </c>
      <c r="BJ4420">
        <v>0</v>
      </c>
      <c r="BK4420">
        <v>0</v>
      </c>
      <c r="BL4420">
        <v>0.56000000000000005</v>
      </c>
      <c r="BM4420">
        <v>0.18</v>
      </c>
      <c r="BN4420">
        <v>0.96</v>
      </c>
      <c r="BO4420">
        <v>0.42</v>
      </c>
      <c r="BP4420">
        <v>-1.04</v>
      </c>
      <c r="BQ4420">
        <v>0.77</v>
      </c>
      <c r="BR4420">
        <v>0.64</v>
      </c>
      <c r="BS4420">
        <v>-0.53</v>
      </c>
      <c r="BT4420">
        <v>-0.42</v>
      </c>
      <c r="BU4420">
        <v>-0.51</v>
      </c>
      <c r="BV4420">
        <v>0.52</v>
      </c>
      <c r="BW4420">
        <v>0.97</v>
      </c>
      <c r="BX4420">
        <v>-0.43</v>
      </c>
      <c r="BY4420">
        <v>-0.11</v>
      </c>
      <c r="BZ4420">
        <v>0.37</v>
      </c>
      <c r="CA4420">
        <v>0.06</v>
      </c>
      <c r="CB4420">
        <v>0.16</v>
      </c>
      <c r="CC4420">
        <v>-0.05</v>
      </c>
      <c r="CD4420">
        <v>-0.18</v>
      </c>
      <c r="CE4420">
        <v>0</v>
      </c>
      <c r="CF4420">
        <v>0</v>
      </c>
      <c r="CG4420">
        <v>0</v>
      </c>
      <c r="CH4420">
        <v>0</v>
      </c>
      <c r="CI4420">
        <v>0</v>
      </c>
      <c r="CJ4420">
        <v>-4.5999999999999996</v>
      </c>
      <c r="CK4420">
        <v>33</v>
      </c>
      <c r="CL4420">
        <v>-0.65</v>
      </c>
      <c r="CM4420">
        <v>32</v>
      </c>
      <c r="CN4420">
        <v>-0.43</v>
      </c>
      <c r="CO4420">
        <v>31</v>
      </c>
      <c r="CP4420">
        <v>-2.7</v>
      </c>
      <c r="CQ4420">
        <v>34</v>
      </c>
      <c r="CR4420">
        <v>0</v>
      </c>
      <c r="CS4420">
        <v>0</v>
      </c>
      <c r="CT4420">
        <v>2.4</v>
      </c>
      <c r="CU4420">
        <v>32</v>
      </c>
      <c r="CV4420">
        <v>7.0000000000000007E-2</v>
      </c>
      <c r="CW4420">
        <v>10</v>
      </c>
      <c r="CX4420" t="s">
        <v>785</v>
      </c>
    </row>
    <row r="4421" spans="1:102" x14ac:dyDescent="0.3">
      <c r="A4421" t="str">
        <f>HYPERLINK("https://webapp.icbf.com/v2/app/bull-search/view/519190564","WZK")</f>
        <v>WZK</v>
      </c>
      <c r="B4421" t="s">
        <v>4664</v>
      </c>
      <c r="C4421" t="s">
        <v>4665</v>
      </c>
      <c r="D4421" s="1">
        <v>38826</v>
      </c>
      <c r="E4421" t="s">
        <v>92</v>
      </c>
      <c r="F4421">
        <v>100</v>
      </c>
      <c r="G4421" t="s">
        <v>93</v>
      </c>
      <c r="H4421">
        <v>-122.54</v>
      </c>
      <c r="I4421">
        <v>88</v>
      </c>
      <c r="J4421">
        <v>-6.92</v>
      </c>
      <c r="K4421">
        <v>96</v>
      </c>
      <c r="L4421">
        <v>-85.61</v>
      </c>
      <c r="M4421">
        <v>86</v>
      </c>
      <c r="N4421">
        <v>-29.9</v>
      </c>
      <c r="O4421">
        <v>82</v>
      </c>
      <c r="P4421">
        <v>-0.05</v>
      </c>
      <c r="Q4421">
        <v>87</v>
      </c>
      <c r="R4421">
        <v>1.68</v>
      </c>
      <c r="S4421">
        <v>82</v>
      </c>
      <c r="T4421">
        <v>-0.97</v>
      </c>
      <c r="U4421">
        <v>81</v>
      </c>
      <c r="V4421">
        <v>-0.77</v>
      </c>
      <c r="W4421">
        <v>75</v>
      </c>
      <c r="X4421" t="s">
        <v>251</v>
      </c>
      <c r="Y4421" t="s">
        <v>199</v>
      </c>
      <c r="Z4421" t="s">
        <v>96</v>
      </c>
      <c r="AA4421" t="s">
        <v>350</v>
      </c>
      <c r="AB4421" t="s">
        <v>4666</v>
      </c>
      <c r="AC4421">
        <v>61</v>
      </c>
      <c r="AD4421">
        <v>34</v>
      </c>
      <c r="AE4421">
        <v>96</v>
      </c>
      <c r="AF4421">
        <v>466.26</v>
      </c>
      <c r="AG4421">
        <v>-0.65</v>
      </c>
      <c r="AH4421">
        <v>6.19</v>
      </c>
      <c r="AI4421">
        <v>-0.3</v>
      </c>
      <c r="AJ4421">
        <v>-0.16</v>
      </c>
      <c r="AK4421">
        <v>86</v>
      </c>
      <c r="AL4421">
        <v>60</v>
      </c>
      <c r="AM4421">
        <v>34</v>
      </c>
      <c r="AN4421">
        <v>6.03</v>
      </c>
      <c r="AO4421">
        <v>-0.78</v>
      </c>
      <c r="AP4421">
        <v>114</v>
      </c>
      <c r="AQ4421">
        <v>0</v>
      </c>
      <c r="AR4421">
        <v>11.52</v>
      </c>
      <c r="AS4421">
        <v>70</v>
      </c>
      <c r="AT4421">
        <v>5.5</v>
      </c>
      <c r="AU4421">
        <v>87</v>
      </c>
      <c r="AV4421">
        <v>-1.61</v>
      </c>
      <c r="AW4421">
        <v>90</v>
      </c>
      <c r="AX4421">
        <v>7.0000000000000007E-2</v>
      </c>
      <c r="AY4421">
        <v>75</v>
      </c>
      <c r="AZ4421">
        <v>7.1</v>
      </c>
      <c r="BA4421">
        <v>62</v>
      </c>
      <c r="BB4421">
        <v>5.42</v>
      </c>
      <c r="BC4421">
        <v>62</v>
      </c>
      <c r="BD4421">
        <v>-0.01</v>
      </c>
      <c r="BE4421">
        <v>0.02</v>
      </c>
      <c r="BF4421">
        <v>-0.06</v>
      </c>
      <c r="BG4421">
        <v>91</v>
      </c>
      <c r="BH4421">
        <v>-0.05</v>
      </c>
      <c r="BI4421">
        <v>-3.3</v>
      </c>
      <c r="BJ4421">
        <v>22</v>
      </c>
      <c r="BK4421">
        <v>14</v>
      </c>
      <c r="BL4421">
        <v>1.1299999999999999</v>
      </c>
      <c r="BM4421">
        <v>-0.39</v>
      </c>
      <c r="BN4421">
        <v>0.17</v>
      </c>
      <c r="BO4421">
        <v>0.77</v>
      </c>
      <c r="BP4421">
        <v>-1.82</v>
      </c>
      <c r="BQ4421">
        <v>1.97</v>
      </c>
      <c r="BR4421">
        <v>-1.75</v>
      </c>
      <c r="BS4421">
        <v>3.68</v>
      </c>
      <c r="BT4421">
        <v>2.36</v>
      </c>
      <c r="BU4421">
        <v>2.75</v>
      </c>
      <c r="BV4421">
        <v>2.5299999999999998</v>
      </c>
      <c r="BW4421">
        <v>2.82</v>
      </c>
      <c r="BX4421">
        <v>1.93</v>
      </c>
      <c r="BY4421">
        <v>2.31</v>
      </c>
      <c r="BZ4421">
        <v>-0.74</v>
      </c>
      <c r="CA4421">
        <v>2.71</v>
      </c>
      <c r="CB4421">
        <v>2.04</v>
      </c>
      <c r="CC4421">
        <v>2.9</v>
      </c>
      <c r="CD4421">
        <v>-0.22</v>
      </c>
      <c r="CE4421">
        <v>1.0900000000000001</v>
      </c>
      <c r="CF4421">
        <v>0.47</v>
      </c>
      <c r="CG4421">
        <v>0</v>
      </c>
      <c r="CH4421">
        <v>2.34</v>
      </c>
      <c r="CI4421">
        <v>0</v>
      </c>
      <c r="CJ4421">
        <v>1</v>
      </c>
      <c r="CK4421">
        <v>88</v>
      </c>
      <c r="CL4421">
        <v>-0.86</v>
      </c>
      <c r="CM4421">
        <v>86</v>
      </c>
      <c r="CN4421">
        <v>-0.56000000000000005</v>
      </c>
      <c r="CO4421">
        <v>85</v>
      </c>
      <c r="CP4421">
        <v>5.9</v>
      </c>
      <c r="CQ4421">
        <v>87</v>
      </c>
      <c r="CR4421">
        <v>0</v>
      </c>
      <c r="CS4421">
        <v>0</v>
      </c>
      <c r="CT4421">
        <v>15.1</v>
      </c>
      <c r="CU4421">
        <v>81</v>
      </c>
      <c r="CV4421">
        <v>0.15</v>
      </c>
      <c r="CW4421">
        <v>43</v>
      </c>
      <c r="CX4421" t="s">
        <v>1682</v>
      </c>
    </row>
    <row r="4422" spans="1:102" x14ac:dyDescent="0.3">
      <c r="A4422" t="str">
        <f>HYPERLINK("https://webapp.icbf.com/v2/app/bull-search/view/124415068","S259")</f>
        <v>S259</v>
      </c>
      <c r="B4422" t="s">
        <v>12085</v>
      </c>
      <c r="C4422" t="s">
        <v>12086</v>
      </c>
      <c r="D4422" s="1">
        <v>34932</v>
      </c>
      <c r="E4422" t="s">
        <v>92</v>
      </c>
      <c r="F4422">
        <v>100</v>
      </c>
      <c r="G4422" t="s">
        <v>109</v>
      </c>
      <c r="H4422">
        <v>-122.55</v>
      </c>
      <c r="I4422">
        <v>77</v>
      </c>
      <c r="J4422">
        <v>-10.64</v>
      </c>
      <c r="K4422">
        <v>91</v>
      </c>
      <c r="L4422">
        <v>-93</v>
      </c>
      <c r="M4422">
        <v>84</v>
      </c>
      <c r="N4422">
        <v>-3.36</v>
      </c>
      <c r="O4422">
        <v>57</v>
      </c>
      <c r="P4422">
        <v>-8.6199999999999992</v>
      </c>
      <c r="Q4422">
        <v>60</v>
      </c>
      <c r="R4422">
        <v>-5.79</v>
      </c>
      <c r="S4422">
        <v>72</v>
      </c>
      <c r="T4422">
        <v>-1.27</v>
      </c>
      <c r="U4422">
        <v>53</v>
      </c>
      <c r="V4422">
        <v>0.13</v>
      </c>
      <c r="W4422">
        <v>53</v>
      </c>
      <c r="X4422" t="s">
        <v>110</v>
      </c>
      <c r="Y4422" t="s">
        <v>95</v>
      </c>
      <c r="Z4422" t="s">
        <v>96</v>
      </c>
      <c r="AA4422" t="s">
        <v>949</v>
      </c>
      <c r="AB4422" t="s">
        <v>12087</v>
      </c>
      <c r="AC4422">
        <v>0</v>
      </c>
      <c r="AD4422">
        <v>0</v>
      </c>
      <c r="AE4422">
        <v>91</v>
      </c>
      <c r="AF4422">
        <v>350.79</v>
      </c>
      <c r="AG4422">
        <v>1.3</v>
      </c>
      <c r="AH4422">
        <v>3.1</v>
      </c>
      <c r="AI4422">
        <v>-0.2</v>
      </c>
      <c r="AJ4422">
        <v>-0.14000000000000001</v>
      </c>
      <c r="AK4422">
        <v>84</v>
      </c>
      <c r="AL4422">
        <v>0</v>
      </c>
      <c r="AM4422">
        <v>0</v>
      </c>
      <c r="AN4422">
        <v>6.36</v>
      </c>
      <c r="AO4422">
        <v>-1.04</v>
      </c>
      <c r="AP4422">
        <v>8</v>
      </c>
      <c r="AQ4422">
        <v>0</v>
      </c>
      <c r="AR4422">
        <v>8.59</v>
      </c>
      <c r="AS4422">
        <v>52</v>
      </c>
      <c r="AT4422">
        <v>3.92</v>
      </c>
      <c r="AU4422">
        <v>89</v>
      </c>
      <c r="AV4422">
        <v>-0.85</v>
      </c>
      <c r="AW4422">
        <v>48</v>
      </c>
      <c r="AX4422">
        <v>-0.12</v>
      </c>
      <c r="AY4422">
        <v>49</v>
      </c>
      <c r="AZ4422">
        <v>5.57</v>
      </c>
      <c r="BA4422">
        <v>40</v>
      </c>
      <c r="BB4422">
        <v>5.28</v>
      </c>
      <c r="BC4422">
        <v>42</v>
      </c>
      <c r="BD4422">
        <v>0.03</v>
      </c>
      <c r="BE4422">
        <v>7.0000000000000007E-2</v>
      </c>
      <c r="BF4422">
        <v>-0.05</v>
      </c>
      <c r="BG4422">
        <v>91</v>
      </c>
      <c r="BH4422">
        <v>0.08</v>
      </c>
      <c r="BI4422">
        <v>8.83</v>
      </c>
      <c r="BJ4422">
        <v>2</v>
      </c>
      <c r="BK4422">
        <v>1</v>
      </c>
      <c r="BL4422">
        <v>0.93</v>
      </c>
      <c r="BM4422">
        <v>-1.53</v>
      </c>
      <c r="BN4422">
        <v>0.69</v>
      </c>
      <c r="BO4422">
        <v>1.48</v>
      </c>
      <c r="BP4422">
        <v>-0.31</v>
      </c>
      <c r="BQ4422">
        <v>-1.36</v>
      </c>
      <c r="BR4422">
        <v>1.6</v>
      </c>
      <c r="BS4422">
        <v>0.64</v>
      </c>
      <c r="BT4422">
        <v>-1.84</v>
      </c>
      <c r="BU4422">
        <v>1.18</v>
      </c>
      <c r="BV4422">
        <v>1.64</v>
      </c>
      <c r="BW4422">
        <v>1.1000000000000001</v>
      </c>
      <c r="BX4422">
        <v>0.69</v>
      </c>
      <c r="BY4422">
        <v>2.0699999999999998</v>
      </c>
      <c r="BZ4422">
        <v>-2.54</v>
      </c>
      <c r="CA4422">
        <v>1.0900000000000001</v>
      </c>
      <c r="CB4422">
        <v>1.36</v>
      </c>
      <c r="CC4422">
        <v>0.34</v>
      </c>
      <c r="CD4422">
        <v>-1.88</v>
      </c>
      <c r="CE4422">
        <v>1.76</v>
      </c>
      <c r="CF4422">
        <v>1.51</v>
      </c>
      <c r="CG4422">
        <v>0</v>
      </c>
      <c r="CH4422">
        <v>1.57</v>
      </c>
      <c r="CI4422">
        <v>0</v>
      </c>
      <c r="CJ4422">
        <v>-2.9</v>
      </c>
      <c r="CK4422">
        <v>61</v>
      </c>
      <c r="CL4422">
        <v>-0.93</v>
      </c>
      <c r="CM4422">
        <v>58</v>
      </c>
      <c r="CN4422">
        <v>-0.43</v>
      </c>
      <c r="CO4422">
        <v>56</v>
      </c>
      <c r="CP4422">
        <v>-0.4</v>
      </c>
      <c r="CQ4422">
        <v>60</v>
      </c>
      <c r="CR4422">
        <v>0</v>
      </c>
      <c r="CS4422">
        <v>0</v>
      </c>
      <c r="CT4422">
        <v>15.5</v>
      </c>
      <c r="CU4422">
        <v>53</v>
      </c>
      <c r="CV4422">
        <v>0.11</v>
      </c>
      <c r="CW4422">
        <v>37</v>
      </c>
      <c r="CX4422" t="s">
        <v>4021</v>
      </c>
    </row>
    <row r="4423" spans="1:102" x14ac:dyDescent="0.3">
      <c r="A4423" t="str">
        <f>HYPERLINK("https://webapp.icbf.com/v2/app/bull-search/view/77856859","HFK")</f>
        <v>HFK</v>
      </c>
      <c r="B4423" t="s">
        <v>2552</v>
      </c>
      <c r="C4423" t="s">
        <v>2553</v>
      </c>
      <c r="D4423" s="1">
        <v>35559</v>
      </c>
      <c r="E4423" t="s">
        <v>92</v>
      </c>
      <c r="F4423">
        <v>100</v>
      </c>
      <c r="G4423" t="s">
        <v>93</v>
      </c>
      <c r="H4423">
        <v>-122.6</v>
      </c>
      <c r="I4423">
        <v>82</v>
      </c>
      <c r="J4423">
        <v>26.04</v>
      </c>
      <c r="K4423">
        <v>97</v>
      </c>
      <c r="L4423">
        <v>-143.97</v>
      </c>
      <c r="M4423">
        <v>71</v>
      </c>
      <c r="N4423">
        <v>-8.49</v>
      </c>
      <c r="O4423">
        <v>75</v>
      </c>
      <c r="P4423">
        <v>-7.75</v>
      </c>
      <c r="Q4423">
        <v>88</v>
      </c>
      <c r="R4423">
        <v>-5.87</v>
      </c>
      <c r="S4423">
        <v>72</v>
      </c>
      <c r="T4423">
        <v>16.12</v>
      </c>
      <c r="U4423">
        <v>87</v>
      </c>
      <c r="V4423">
        <v>1.32</v>
      </c>
      <c r="W4423">
        <v>47</v>
      </c>
      <c r="X4423" t="s">
        <v>94</v>
      </c>
      <c r="Y4423" t="s">
        <v>95</v>
      </c>
      <c r="Z4423" t="s">
        <v>96</v>
      </c>
      <c r="AA4423" t="s">
        <v>1278</v>
      </c>
      <c r="AB4423" t="s">
        <v>2554</v>
      </c>
      <c r="AC4423">
        <v>134</v>
      </c>
      <c r="AD4423">
        <v>112</v>
      </c>
      <c r="AE4423">
        <v>97</v>
      </c>
      <c r="AF4423">
        <v>215.14</v>
      </c>
      <c r="AG4423">
        <v>9.02</v>
      </c>
      <c r="AH4423">
        <v>4.53</v>
      </c>
      <c r="AI4423">
        <v>0.01</v>
      </c>
      <c r="AJ4423">
        <v>-0.05</v>
      </c>
      <c r="AK4423">
        <v>71</v>
      </c>
      <c r="AL4423">
        <v>139</v>
      </c>
      <c r="AM4423">
        <v>115</v>
      </c>
      <c r="AN4423">
        <v>7.18</v>
      </c>
      <c r="AO4423">
        <v>-4.3099999999999996</v>
      </c>
      <c r="AP4423">
        <v>15</v>
      </c>
      <c r="AQ4423">
        <v>0</v>
      </c>
      <c r="AR4423">
        <v>10.16</v>
      </c>
      <c r="AS4423">
        <v>57</v>
      </c>
      <c r="AT4423">
        <v>4.12</v>
      </c>
      <c r="AU4423">
        <v>70</v>
      </c>
      <c r="AV4423">
        <v>-1.64</v>
      </c>
      <c r="AW4423">
        <v>85</v>
      </c>
      <c r="AX4423">
        <v>0.04</v>
      </c>
      <c r="AY4423">
        <v>82</v>
      </c>
      <c r="AZ4423">
        <v>7.27</v>
      </c>
      <c r="BA4423">
        <v>61</v>
      </c>
      <c r="BB4423">
        <v>5.51</v>
      </c>
      <c r="BC4423">
        <v>65</v>
      </c>
      <c r="BD4423">
        <v>0</v>
      </c>
      <c r="BE4423">
        <v>0.05</v>
      </c>
      <c r="BF4423">
        <v>0.04</v>
      </c>
      <c r="BG4423">
        <v>87</v>
      </c>
      <c r="BH4423">
        <v>0.05</v>
      </c>
      <c r="BI4423">
        <v>1.51</v>
      </c>
      <c r="BJ4423">
        <v>13</v>
      </c>
      <c r="BK4423">
        <v>13</v>
      </c>
      <c r="BL4423">
        <v>0.11</v>
      </c>
      <c r="BM4423">
        <v>0.88</v>
      </c>
      <c r="BN4423">
        <v>0.68</v>
      </c>
      <c r="BO4423">
        <v>-0.16</v>
      </c>
      <c r="BP4423">
        <v>0.43</v>
      </c>
      <c r="BQ4423">
        <v>-0.52</v>
      </c>
      <c r="BR4423">
        <v>1.7</v>
      </c>
      <c r="BS4423">
        <v>-1.48</v>
      </c>
      <c r="BT4423">
        <v>-1</v>
      </c>
      <c r="BU4423">
        <v>0.65</v>
      </c>
      <c r="BV4423">
        <v>0.75</v>
      </c>
      <c r="BW4423">
        <v>0.24</v>
      </c>
      <c r="BX4423">
        <v>0.27</v>
      </c>
      <c r="BY4423">
        <v>0.78</v>
      </c>
      <c r="BZ4423">
        <v>-2.41</v>
      </c>
      <c r="CA4423">
        <v>0.01</v>
      </c>
      <c r="CB4423">
        <v>0.48</v>
      </c>
      <c r="CC4423">
        <v>-0.91</v>
      </c>
      <c r="CD4423">
        <v>0.24</v>
      </c>
      <c r="CE4423">
        <v>0.19</v>
      </c>
      <c r="CF4423">
        <v>0.26</v>
      </c>
      <c r="CG4423">
        <v>0</v>
      </c>
      <c r="CH4423">
        <v>0.5</v>
      </c>
      <c r="CI4423">
        <v>0</v>
      </c>
      <c r="CJ4423">
        <v>-3.7</v>
      </c>
      <c r="CK4423">
        <v>89</v>
      </c>
      <c r="CL4423">
        <v>-0.48</v>
      </c>
      <c r="CM4423">
        <v>87</v>
      </c>
      <c r="CN4423">
        <v>-0.32</v>
      </c>
      <c r="CO4423">
        <v>85</v>
      </c>
      <c r="CP4423">
        <v>-9.6</v>
      </c>
      <c r="CQ4423">
        <v>92</v>
      </c>
      <c r="CR4423">
        <v>0</v>
      </c>
      <c r="CS4423">
        <v>0</v>
      </c>
      <c r="CT4423">
        <v>-8</v>
      </c>
      <c r="CU4423">
        <v>87</v>
      </c>
      <c r="CV4423">
        <v>0.08</v>
      </c>
      <c r="CW4423">
        <v>26</v>
      </c>
      <c r="CX4423" t="s">
        <v>180</v>
      </c>
    </row>
    <row r="4424" spans="1:102" x14ac:dyDescent="0.3">
      <c r="A4424" t="str">
        <f>HYPERLINK("https://webapp.icbf.com/v2/app/bull-search/view/77860075","BXX")</f>
        <v>BXX</v>
      </c>
      <c r="B4424" t="s">
        <v>8627</v>
      </c>
      <c r="C4424" t="s">
        <v>8628</v>
      </c>
      <c r="D4424" s="1">
        <v>34912</v>
      </c>
      <c r="E4424" t="s">
        <v>92</v>
      </c>
      <c r="F4424">
        <v>100</v>
      </c>
      <c r="G4424" t="s">
        <v>109</v>
      </c>
      <c r="H4424">
        <v>-122.63</v>
      </c>
      <c r="I4424">
        <v>64</v>
      </c>
      <c r="J4424">
        <v>26.79</v>
      </c>
      <c r="K4424">
        <v>72</v>
      </c>
      <c r="L4424">
        <v>-87.11</v>
      </c>
      <c r="M4424">
        <v>66</v>
      </c>
      <c r="N4424">
        <v>-51.33</v>
      </c>
      <c r="O4424">
        <v>43</v>
      </c>
      <c r="P4424">
        <v>3.66</v>
      </c>
      <c r="Q4424">
        <v>79</v>
      </c>
      <c r="R4424">
        <v>-13.85</v>
      </c>
      <c r="S4424">
        <v>62</v>
      </c>
      <c r="T4424">
        <v>3.91</v>
      </c>
      <c r="U4424">
        <v>54</v>
      </c>
      <c r="V4424">
        <v>-4.7</v>
      </c>
      <c r="W4424">
        <v>28</v>
      </c>
      <c r="X4424" t="s">
        <v>102</v>
      </c>
      <c r="Y4424" t="s">
        <v>95</v>
      </c>
      <c r="Z4424" t="s">
        <v>96</v>
      </c>
      <c r="AA4424" t="s">
        <v>8629</v>
      </c>
      <c r="AB4424" t="s">
        <v>8630</v>
      </c>
      <c r="AC4424">
        <v>0</v>
      </c>
      <c r="AD4424">
        <v>0</v>
      </c>
      <c r="AE4424">
        <v>72</v>
      </c>
      <c r="AF4424">
        <v>178.74</v>
      </c>
      <c r="AG4424">
        <v>4.8099999999999996</v>
      </c>
      <c r="AH4424">
        <v>5.59</v>
      </c>
      <c r="AI4424">
        <v>-0.03</v>
      </c>
      <c r="AJ4424">
        <v>-0.01</v>
      </c>
      <c r="AK4424">
        <v>66</v>
      </c>
      <c r="AL4424">
        <v>0</v>
      </c>
      <c r="AM4424">
        <v>0</v>
      </c>
      <c r="AN4424">
        <v>3.76</v>
      </c>
      <c r="AO4424">
        <v>-3.2</v>
      </c>
      <c r="AP4424">
        <v>34</v>
      </c>
      <c r="AQ4424">
        <v>2</v>
      </c>
      <c r="AR4424">
        <v>12.52</v>
      </c>
      <c r="AS4424">
        <v>32</v>
      </c>
      <c r="AT4424">
        <v>5.8</v>
      </c>
      <c r="AU4424">
        <v>66</v>
      </c>
      <c r="AV4424">
        <v>-0.19</v>
      </c>
      <c r="AW4424">
        <v>37</v>
      </c>
      <c r="AX4424">
        <v>-0.51</v>
      </c>
      <c r="AY4424">
        <v>49</v>
      </c>
      <c r="AZ4424">
        <v>8.32</v>
      </c>
      <c r="BA4424">
        <v>26</v>
      </c>
      <c r="BB4424">
        <v>5.64</v>
      </c>
      <c r="BC4424">
        <v>27</v>
      </c>
      <c r="BD4424">
        <v>0.02</v>
      </c>
      <c r="BE4424">
        <v>0.05</v>
      </c>
      <c r="BF4424">
        <v>0.19</v>
      </c>
      <c r="BG4424">
        <v>85</v>
      </c>
      <c r="BH4424">
        <v>0.02</v>
      </c>
      <c r="BI4424">
        <v>17.489999999999998</v>
      </c>
      <c r="BJ4424">
        <v>1</v>
      </c>
      <c r="BK4424">
        <v>1</v>
      </c>
      <c r="BL4424">
        <v>1.02</v>
      </c>
      <c r="BM4424">
        <v>-0.79</v>
      </c>
      <c r="BN4424">
        <v>1.06</v>
      </c>
      <c r="BO4424">
        <v>0.92</v>
      </c>
      <c r="BP4424">
        <v>-2.4900000000000002</v>
      </c>
      <c r="BQ4424">
        <v>0.93</v>
      </c>
      <c r="BR4424">
        <v>-0.56999999999999995</v>
      </c>
      <c r="BS4424">
        <v>0</v>
      </c>
      <c r="BT4424">
        <v>0.08</v>
      </c>
      <c r="BU4424">
        <v>-0.95</v>
      </c>
      <c r="BV4424">
        <v>0.01</v>
      </c>
      <c r="BW4424">
        <v>-1.07</v>
      </c>
      <c r="BX4424">
        <v>-1.28</v>
      </c>
      <c r="BY4424">
        <v>1.36</v>
      </c>
      <c r="BZ4424">
        <v>0.43</v>
      </c>
      <c r="CA4424">
        <v>-0.36</v>
      </c>
      <c r="CB4424">
        <v>-0.47</v>
      </c>
      <c r="CC4424">
        <v>0.11</v>
      </c>
      <c r="CD4424">
        <v>-0.98</v>
      </c>
      <c r="CE4424">
        <v>0.3</v>
      </c>
      <c r="CF4424">
        <v>-0.11</v>
      </c>
      <c r="CG4424">
        <v>0</v>
      </c>
      <c r="CH4424">
        <v>-0.32</v>
      </c>
      <c r="CI4424">
        <v>0</v>
      </c>
      <c r="CJ4424">
        <v>5.0999999999999996</v>
      </c>
      <c r="CK4424">
        <v>82</v>
      </c>
      <c r="CL4424">
        <v>-0.74</v>
      </c>
      <c r="CM4424">
        <v>78</v>
      </c>
      <c r="CN4424">
        <v>-0.36</v>
      </c>
      <c r="CO4424">
        <v>75</v>
      </c>
      <c r="CP4424">
        <v>0.3</v>
      </c>
      <c r="CQ4424">
        <v>73</v>
      </c>
      <c r="CR4424">
        <v>0</v>
      </c>
      <c r="CS4424">
        <v>0</v>
      </c>
      <c r="CT4424">
        <v>8.5</v>
      </c>
      <c r="CU4424">
        <v>54</v>
      </c>
      <c r="CV4424">
        <v>0.33</v>
      </c>
      <c r="CW4424">
        <v>22</v>
      </c>
      <c r="CX4424" t="s">
        <v>2745</v>
      </c>
    </row>
    <row r="4425" spans="1:102" x14ac:dyDescent="0.3">
      <c r="A4425" t="str">
        <f>HYPERLINK("https://webapp.icbf.com/v2/app/bull-search/view/77854477","RDL")</f>
        <v>RDL</v>
      </c>
      <c r="B4425" t="s">
        <v>7725</v>
      </c>
      <c r="C4425" t="s">
        <v>7726</v>
      </c>
      <c r="D4425" s="1">
        <v>33023</v>
      </c>
      <c r="E4425" t="s">
        <v>92</v>
      </c>
      <c r="F4425">
        <v>100</v>
      </c>
      <c r="G4425" t="s">
        <v>109</v>
      </c>
      <c r="H4425">
        <v>-122.82</v>
      </c>
      <c r="I4425">
        <v>75</v>
      </c>
      <c r="J4425">
        <v>2.21</v>
      </c>
      <c r="K4425">
        <v>90</v>
      </c>
      <c r="L4425">
        <v>-111.87</v>
      </c>
      <c r="M4425">
        <v>76</v>
      </c>
      <c r="N4425">
        <v>-1.76</v>
      </c>
      <c r="O4425">
        <v>57</v>
      </c>
      <c r="P4425">
        <v>-16.350000000000001</v>
      </c>
      <c r="Q4425">
        <v>58</v>
      </c>
      <c r="R4425">
        <v>-13.61</v>
      </c>
      <c r="S4425">
        <v>72</v>
      </c>
      <c r="T4425">
        <v>17.75</v>
      </c>
      <c r="U4425">
        <v>60</v>
      </c>
      <c r="V4425">
        <v>0.81</v>
      </c>
      <c r="W4425">
        <v>51</v>
      </c>
      <c r="X4425" t="s">
        <v>251</v>
      </c>
      <c r="Y4425" t="s">
        <v>95</v>
      </c>
      <c r="Z4425" t="s">
        <v>96</v>
      </c>
      <c r="AA4425" t="s">
        <v>2615</v>
      </c>
      <c r="AB4425" t="s">
        <v>7727</v>
      </c>
      <c r="AC4425">
        <v>0</v>
      </c>
      <c r="AD4425">
        <v>0</v>
      </c>
      <c r="AE4425">
        <v>90</v>
      </c>
      <c r="AF4425">
        <v>182.2</v>
      </c>
      <c r="AG4425">
        <v>8.3800000000000008</v>
      </c>
      <c r="AH4425">
        <v>0.2</v>
      </c>
      <c r="AI4425">
        <v>0.02</v>
      </c>
      <c r="AJ4425">
        <v>-0.1</v>
      </c>
      <c r="AK4425">
        <v>76</v>
      </c>
      <c r="AL4425">
        <v>0</v>
      </c>
      <c r="AM4425">
        <v>0</v>
      </c>
      <c r="AN4425">
        <v>7.78</v>
      </c>
      <c r="AO4425">
        <v>-1.1200000000000001</v>
      </c>
      <c r="AP4425">
        <v>5</v>
      </c>
      <c r="AQ4425">
        <v>0</v>
      </c>
      <c r="AR4425">
        <v>9.41</v>
      </c>
      <c r="AS4425">
        <v>45</v>
      </c>
      <c r="AT4425">
        <v>3.66</v>
      </c>
      <c r="AU4425">
        <v>79</v>
      </c>
      <c r="AV4425">
        <v>-1.82</v>
      </c>
      <c r="AW4425">
        <v>53</v>
      </c>
      <c r="AX4425">
        <v>-0.62</v>
      </c>
      <c r="AY4425">
        <v>55</v>
      </c>
      <c r="AZ4425">
        <v>7.97</v>
      </c>
      <c r="BA4425">
        <v>35</v>
      </c>
      <c r="BB4425">
        <v>5.96</v>
      </c>
      <c r="BC4425">
        <v>41</v>
      </c>
      <c r="BD4425">
        <v>0.03</v>
      </c>
      <c r="BE4425">
        <v>7.0000000000000007E-2</v>
      </c>
      <c r="BF4425">
        <v>0.13</v>
      </c>
      <c r="BG4425">
        <v>90</v>
      </c>
      <c r="BH4425">
        <v>0.08</v>
      </c>
      <c r="BI4425">
        <v>6.65</v>
      </c>
      <c r="BJ4425">
        <v>0</v>
      </c>
      <c r="BK4425">
        <v>0</v>
      </c>
      <c r="BL4425">
        <v>0.04</v>
      </c>
      <c r="BM4425">
        <v>-1.1499999999999999</v>
      </c>
      <c r="BN4425">
        <v>-0.93</v>
      </c>
      <c r="BO4425">
        <v>0.17</v>
      </c>
      <c r="BP4425">
        <v>0.8</v>
      </c>
      <c r="BQ4425">
        <v>-2.98</v>
      </c>
      <c r="BR4425">
        <v>0.88</v>
      </c>
      <c r="BS4425">
        <v>-0.48</v>
      </c>
      <c r="BT4425">
        <v>-1.75</v>
      </c>
      <c r="BU4425">
        <v>-1.32</v>
      </c>
      <c r="BV4425">
        <v>-0.48</v>
      </c>
      <c r="BW4425">
        <v>-0.92</v>
      </c>
      <c r="BX4425">
        <v>-0.19</v>
      </c>
      <c r="BY4425">
        <v>-2.4</v>
      </c>
      <c r="BZ4425">
        <v>-1.21</v>
      </c>
      <c r="CA4425">
        <v>-0.82</v>
      </c>
      <c r="CB4425">
        <v>-1.25</v>
      </c>
      <c r="CC4425">
        <v>-0.16</v>
      </c>
      <c r="CD4425">
        <v>-1.0900000000000001</v>
      </c>
      <c r="CE4425">
        <v>0.59</v>
      </c>
      <c r="CF4425">
        <v>-0.57999999999999996</v>
      </c>
      <c r="CG4425">
        <v>0</v>
      </c>
      <c r="CH4425">
        <v>-2.59</v>
      </c>
      <c r="CI4425">
        <v>0</v>
      </c>
      <c r="CJ4425">
        <v>-8.6999999999999993</v>
      </c>
      <c r="CK4425">
        <v>59</v>
      </c>
      <c r="CL4425">
        <v>-0.69</v>
      </c>
      <c r="CM4425">
        <v>56</v>
      </c>
      <c r="CN4425">
        <v>-0.37</v>
      </c>
      <c r="CO4425">
        <v>52</v>
      </c>
      <c r="CP4425">
        <v>-10.4</v>
      </c>
      <c r="CQ4425">
        <v>66</v>
      </c>
      <c r="CR4425">
        <v>0</v>
      </c>
      <c r="CS4425">
        <v>0</v>
      </c>
      <c r="CT4425">
        <v>-10.199999999999999</v>
      </c>
      <c r="CU4425">
        <v>60</v>
      </c>
      <c r="CV4425">
        <v>0.02</v>
      </c>
      <c r="CW4425">
        <v>36</v>
      </c>
      <c r="CX4425" t="s">
        <v>168</v>
      </c>
    </row>
    <row r="4426" spans="1:102" x14ac:dyDescent="0.3">
      <c r="A4426" t="str">
        <f>HYPERLINK("https://webapp.icbf.com/v2/app/bull-search/view/77858977","CLR")</f>
        <v>CLR</v>
      </c>
      <c r="B4426" t="s">
        <v>3971</v>
      </c>
      <c r="C4426" t="s">
        <v>3972</v>
      </c>
      <c r="D4426" s="1">
        <v>33657</v>
      </c>
      <c r="E4426" t="s">
        <v>92</v>
      </c>
      <c r="F4426">
        <v>100</v>
      </c>
      <c r="G4426" t="s">
        <v>93</v>
      </c>
      <c r="H4426">
        <v>-122.94</v>
      </c>
      <c r="I4426">
        <v>74</v>
      </c>
      <c r="J4426">
        <v>-63.35</v>
      </c>
      <c r="K4426">
        <v>91</v>
      </c>
      <c r="L4426">
        <v>-43.78</v>
      </c>
      <c r="M4426">
        <v>68</v>
      </c>
      <c r="N4426">
        <v>3.11</v>
      </c>
      <c r="O4426">
        <v>54</v>
      </c>
      <c r="P4426">
        <v>-7.03</v>
      </c>
      <c r="Q4426">
        <v>76</v>
      </c>
      <c r="R4426">
        <v>-17.190000000000001</v>
      </c>
      <c r="S4426">
        <v>69</v>
      </c>
      <c r="T4426">
        <v>7.98</v>
      </c>
      <c r="U4426">
        <v>82</v>
      </c>
      <c r="V4426">
        <v>-2.68</v>
      </c>
      <c r="W4426">
        <v>29</v>
      </c>
      <c r="X4426" t="s">
        <v>94</v>
      </c>
      <c r="Y4426" t="s">
        <v>95</v>
      </c>
      <c r="Z4426" t="s">
        <v>96</v>
      </c>
      <c r="AA4426" t="s">
        <v>161</v>
      </c>
      <c r="AB4426" t="s">
        <v>3973</v>
      </c>
      <c r="AC4426">
        <v>59</v>
      </c>
      <c r="AD4426">
        <v>44</v>
      </c>
      <c r="AE4426">
        <v>91</v>
      </c>
      <c r="AF4426">
        <v>0.84</v>
      </c>
      <c r="AG4426">
        <v>-11.51</v>
      </c>
      <c r="AH4426">
        <v>-6.69</v>
      </c>
      <c r="AI4426">
        <v>-0.19</v>
      </c>
      <c r="AJ4426">
        <v>-0.11</v>
      </c>
      <c r="AK4426">
        <v>68</v>
      </c>
      <c r="AL4426">
        <v>124</v>
      </c>
      <c r="AM4426">
        <v>82</v>
      </c>
      <c r="AN4426">
        <v>3.28</v>
      </c>
      <c r="AO4426">
        <v>-0.2</v>
      </c>
      <c r="AP4426">
        <v>28</v>
      </c>
      <c r="AQ4426">
        <v>0</v>
      </c>
      <c r="AR4426">
        <v>7.89</v>
      </c>
      <c r="AS4426">
        <v>40</v>
      </c>
      <c r="AT4426">
        <v>3.72</v>
      </c>
      <c r="AU4426">
        <v>58</v>
      </c>
      <c r="AV4426">
        <v>-0.84</v>
      </c>
      <c r="AW4426">
        <v>54</v>
      </c>
      <c r="AX4426">
        <v>0.42</v>
      </c>
      <c r="AY4426">
        <v>72</v>
      </c>
      <c r="AZ4426">
        <v>5.86</v>
      </c>
      <c r="BA4426">
        <v>36</v>
      </c>
      <c r="BB4426">
        <v>4.37</v>
      </c>
      <c r="BC4426">
        <v>45</v>
      </c>
      <c r="BD4426">
        <v>0.05</v>
      </c>
      <c r="BE4426">
        <v>0.08</v>
      </c>
      <c r="BF4426">
        <v>0.16</v>
      </c>
      <c r="BG4426">
        <v>89</v>
      </c>
      <c r="BH4426">
        <v>-0.01</v>
      </c>
      <c r="BI4426">
        <v>7.48</v>
      </c>
      <c r="BJ4426">
        <v>15</v>
      </c>
      <c r="BK4426">
        <v>12</v>
      </c>
      <c r="BL4426">
        <v>0.01</v>
      </c>
      <c r="BM4426">
        <v>-0.92</v>
      </c>
      <c r="BN4426">
        <v>-0.66</v>
      </c>
      <c r="BO4426">
        <v>-0.18</v>
      </c>
      <c r="BP4426">
        <v>0.43</v>
      </c>
      <c r="BQ4426">
        <v>-1.48</v>
      </c>
      <c r="BR4426">
        <v>-1.18</v>
      </c>
      <c r="BS4426">
        <v>0.39</v>
      </c>
      <c r="BT4426">
        <v>1.18</v>
      </c>
      <c r="BU4426">
        <v>-1.03</v>
      </c>
      <c r="BV4426">
        <v>-0.24</v>
      </c>
      <c r="BW4426">
        <v>0.12</v>
      </c>
      <c r="BX4426">
        <v>-0.04</v>
      </c>
      <c r="BY4426">
        <v>-0.9</v>
      </c>
      <c r="BZ4426">
        <v>1.81</v>
      </c>
      <c r="CA4426">
        <v>0.01</v>
      </c>
      <c r="CB4426">
        <v>-0.25</v>
      </c>
      <c r="CC4426">
        <v>0.99</v>
      </c>
      <c r="CD4426">
        <v>-0.47</v>
      </c>
      <c r="CE4426">
        <v>-0.01</v>
      </c>
      <c r="CF4426">
        <v>-0.49</v>
      </c>
      <c r="CG4426">
        <v>0</v>
      </c>
      <c r="CH4426">
        <v>-0.86</v>
      </c>
      <c r="CI4426">
        <v>0</v>
      </c>
      <c r="CJ4426">
        <v>-4.2</v>
      </c>
      <c r="CK4426">
        <v>78</v>
      </c>
      <c r="CL4426">
        <v>-0.51</v>
      </c>
      <c r="CM4426">
        <v>74</v>
      </c>
      <c r="CN4426">
        <v>-0.39</v>
      </c>
      <c r="CO4426">
        <v>70</v>
      </c>
      <c r="CP4426">
        <v>-3.6</v>
      </c>
      <c r="CQ4426">
        <v>80</v>
      </c>
      <c r="CR4426">
        <v>0</v>
      </c>
      <c r="CS4426">
        <v>0</v>
      </c>
      <c r="CT4426">
        <v>3</v>
      </c>
      <c r="CU4426">
        <v>82</v>
      </c>
      <c r="CV4426">
        <v>0.03</v>
      </c>
      <c r="CW4426">
        <v>21</v>
      </c>
      <c r="CX4426" t="s">
        <v>120</v>
      </c>
    </row>
    <row r="4427" spans="1:102" x14ac:dyDescent="0.3">
      <c r="A4427" t="str">
        <f>HYPERLINK("https://webapp.icbf.com/v2/app/bull-search/view/69092086","KTE")</f>
        <v>KTE</v>
      </c>
      <c r="B4427" t="s">
        <v>10540</v>
      </c>
      <c r="C4427" t="s">
        <v>10541</v>
      </c>
      <c r="D4427" s="1">
        <v>36230</v>
      </c>
      <c r="E4427" t="s">
        <v>92</v>
      </c>
      <c r="F4427">
        <v>100</v>
      </c>
      <c r="G4427" t="s">
        <v>93</v>
      </c>
      <c r="H4427">
        <v>-122.94</v>
      </c>
      <c r="I4427">
        <v>88</v>
      </c>
      <c r="J4427">
        <v>41.2</v>
      </c>
      <c r="K4427">
        <v>97</v>
      </c>
      <c r="L4427">
        <v>-169.81</v>
      </c>
      <c r="M4427">
        <v>82</v>
      </c>
      <c r="N4427">
        <v>3.8</v>
      </c>
      <c r="O4427">
        <v>85</v>
      </c>
      <c r="P4427">
        <v>-2.1800000000000002</v>
      </c>
      <c r="Q4427">
        <v>93</v>
      </c>
      <c r="R4427">
        <v>-7.55</v>
      </c>
      <c r="S4427">
        <v>82</v>
      </c>
      <c r="T4427">
        <v>13.9</v>
      </c>
      <c r="U4427">
        <v>90</v>
      </c>
      <c r="V4427">
        <v>-2.2999999999999998</v>
      </c>
      <c r="W4427">
        <v>75</v>
      </c>
      <c r="X4427" t="s">
        <v>94</v>
      </c>
      <c r="Y4427" t="s">
        <v>95</v>
      </c>
      <c r="Z4427" t="s">
        <v>96</v>
      </c>
      <c r="AA4427" t="s">
        <v>985</v>
      </c>
      <c r="AB4427" t="s">
        <v>10542</v>
      </c>
      <c r="AC4427">
        <v>116</v>
      </c>
      <c r="AD4427">
        <v>98</v>
      </c>
      <c r="AE4427">
        <v>97</v>
      </c>
      <c r="AF4427">
        <v>-75.11</v>
      </c>
      <c r="AG4427">
        <v>15.68</v>
      </c>
      <c r="AH4427">
        <v>0.31</v>
      </c>
      <c r="AI4427">
        <v>0.33</v>
      </c>
      <c r="AJ4427">
        <v>0.05</v>
      </c>
      <c r="AK4427">
        <v>82</v>
      </c>
      <c r="AL4427">
        <v>111</v>
      </c>
      <c r="AM4427">
        <v>81</v>
      </c>
      <c r="AN4427">
        <v>10.210000000000001</v>
      </c>
      <c r="AO4427">
        <v>-3.32</v>
      </c>
      <c r="AP4427">
        <v>125</v>
      </c>
      <c r="AQ4427">
        <v>1</v>
      </c>
      <c r="AR4427">
        <v>10.38</v>
      </c>
      <c r="AS4427">
        <v>77</v>
      </c>
      <c r="AT4427">
        <v>4.12</v>
      </c>
      <c r="AU4427">
        <v>86</v>
      </c>
      <c r="AV4427">
        <v>-2.57</v>
      </c>
      <c r="AW4427">
        <v>93</v>
      </c>
      <c r="AX4427">
        <v>0.06</v>
      </c>
      <c r="AY4427">
        <v>84</v>
      </c>
      <c r="AZ4427">
        <v>6.2</v>
      </c>
      <c r="BA4427">
        <v>69</v>
      </c>
      <c r="BB4427">
        <v>4.71</v>
      </c>
      <c r="BC4427">
        <v>72</v>
      </c>
      <c r="BD4427">
        <v>0.01</v>
      </c>
      <c r="BE4427">
        <v>0.03</v>
      </c>
      <c r="BF4427">
        <v>0.1</v>
      </c>
      <c r="BG4427">
        <v>91</v>
      </c>
      <c r="BH4427">
        <v>0.12</v>
      </c>
      <c r="BI4427">
        <v>21.3</v>
      </c>
      <c r="BJ4427">
        <v>17</v>
      </c>
      <c r="BK4427">
        <v>13</v>
      </c>
      <c r="BL4427">
        <v>-0.56999999999999995</v>
      </c>
      <c r="BM4427">
        <v>1.48</v>
      </c>
      <c r="BN4427">
        <v>1.1100000000000001</v>
      </c>
      <c r="BO4427">
        <v>-0.52</v>
      </c>
      <c r="BP4427">
        <v>-1.1499999999999999</v>
      </c>
      <c r="BQ4427">
        <v>-1.9</v>
      </c>
      <c r="BR4427">
        <v>0.06</v>
      </c>
      <c r="BS4427">
        <v>-0.1</v>
      </c>
      <c r="BT4427">
        <v>0.18</v>
      </c>
      <c r="BU4427">
        <v>-1.3</v>
      </c>
      <c r="BV4427">
        <v>-1.22</v>
      </c>
      <c r="BW4427">
        <v>-0.68</v>
      </c>
      <c r="BX4427">
        <v>-2.13</v>
      </c>
      <c r="BY4427">
        <v>-0.12</v>
      </c>
      <c r="BZ4427">
        <v>1.62</v>
      </c>
      <c r="CA4427">
        <v>-0.81</v>
      </c>
      <c r="CB4427">
        <v>-0.65</v>
      </c>
      <c r="CC4427">
        <v>-0.61</v>
      </c>
      <c r="CD4427">
        <v>0.33</v>
      </c>
      <c r="CE4427">
        <v>-1.01</v>
      </c>
      <c r="CF4427">
        <v>-1.19</v>
      </c>
      <c r="CG4427">
        <v>0</v>
      </c>
      <c r="CH4427">
        <v>-0.18</v>
      </c>
      <c r="CI4427">
        <v>0</v>
      </c>
      <c r="CJ4427">
        <v>0.1</v>
      </c>
      <c r="CK4427">
        <v>94</v>
      </c>
      <c r="CL4427">
        <v>-0.47</v>
      </c>
      <c r="CM4427">
        <v>93</v>
      </c>
      <c r="CN4427">
        <v>-0.31</v>
      </c>
      <c r="CO4427">
        <v>92</v>
      </c>
      <c r="CP4427">
        <v>-7.3</v>
      </c>
      <c r="CQ4427">
        <v>92</v>
      </c>
      <c r="CR4427">
        <v>0</v>
      </c>
      <c r="CS4427">
        <v>0</v>
      </c>
      <c r="CT4427">
        <v>-5</v>
      </c>
      <c r="CU4427">
        <v>90</v>
      </c>
      <c r="CV4427">
        <v>0.13</v>
      </c>
      <c r="CW4427">
        <v>45</v>
      </c>
      <c r="CX4427" t="s">
        <v>105</v>
      </c>
    </row>
    <row r="4428" spans="1:102" x14ac:dyDescent="0.3">
      <c r="A4428" t="str">
        <f>HYPERLINK("https://webapp.icbf.com/v2/app/bull-search/view/77854768","PLD")</f>
        <v>PLD</v>
      </c>
      <c r="B4428" t="s">
        <v>3351</v>
      </c>
      <c r="C4428" t="s">
        <v>3352</v>
      </c>
      <c r="D4428" s="1">
        <v>33563</v>
      </c>
      <c r="E4428" t="s">
        <v>92</v>
      </c>
      <c r="F4428">
        <v>100</v>
      </c>
      <c r="G4428" t="s">
        <v>93</v>
      </c>
      <c r="H4428">
        <v>-123.01</v>
      </c>
      <c r="I4428">
        <v>95</v>
      </c>
      <c r="J4428">
        <v>-0.67</v>
      </c>
      <c r="K4428">
        <v>99</v>
      </c>
      <c r="L4428">
        <v>-138.63</v>
      </c>
      <c r="M4428">
        <v>93</v>
      </c>
      <c r="N4428">
        <v>18.309999999999999</v>
      </c>
      <c r="O4428">
        <v>94</v>
      </c>
      <c r="P4428">
        <v>-1.1000000000000001</v>
      </c>
      <c r="Q4428">
        <v>98</v>
      </c>
      <c r="R4428">
        <v>-4.8</v>
      </c>
      <c r="S4428">
        <v>87</v>
      </c>
      <c r="T4428">
        <v>-1.64</v>
      </c>
      <c r="U4428">
        <v>94</v>
      </c>
      <c r="V4428">
        <v>5.52</v>
      </c>
      <c r="W4428">
        <v>82</v>
      </c>
      <c r="X4428" t="s">
        <v>276</v>
      </c>
      <c r="Y4428" t="s">
        <v>95</v>
      </c>
      <c r="Z4428" t="s">
        <v>96</v>
      </c>
      <c r="AA4428" t="s">
        <v>161</v>
      </c>
      <c r="AB4428" t="s">
        <v>3353</v>
      </c>
      <c r="AC4428">
        <v>367</v>
      </c>
      <c r="AD4428">
        <v>200</v>
      </c>
      <c r="AE4428">
        <v>99</v>
      </c>
      <c r="AF4428">
        <v>262.13</v>
      </c>
      <c r="AG4428">
        <v>-2.72</v>
      </c>
      <c r="AH4428">
        <v>4.8600000000000003</v>
      </c>
      <c r="AI4428">
        <v>-0.22</v>
      </c>
      <c r="AJ4428">
        <v>-7.0000000000000007E-2</v>
      </c>
      <c r="AK4428">
        <v>93</v>
      </c>
      <c r="AL4428">
        <v>334</v>
      </c>
      <c r="AM4428">
        <v>161</v>
      </c>
      <c r="AN4428">
        <v>7.96</v>
      </c>
      <c r="AO4428">
        <v>-3.09</v>
      </c>
      <c r="AP4428">
        <v>418</v>
      </c>
      <c r="AQ4428">
        <v>0</v>
      </c>
      <c r="AR4428">
        <v>5.22</v>
      </c>
      <c r="AS4428">
        <v>94</v>
      </c>
      <c r="AT4428">
        <v>2.5099999999999998</v>
      </c>
      <c r="AU4428">
        <v>98</v>
      </c>
      <c r="AV4428">
        <v>-1.82</v>
      </c>
      <c r="AW4428">
        <v>96</v>
      </c>
      <c r="AX4428">
        <v>-0.13</v>
      </c>
      <c r="AY4428">
        <v>94</v>
      </c>
      <c r="AZ4428">
        <v>7.7</v>
      </c>
      <c r="BA4428">
        <v>83</v>
      </c>
      <c r="BB4428">
        <v>5.94</v>
      </c>
      <c r="BC4428">
        <v>86</v>
      </c>
      <c r="BD4428">
        <v>0.05</v>
      </c>
      <c r="BE4428">
        <v>0.03</v>
      </c>
      <c r="BF4428">
        <v>-0.03</v>
      </c>
      <c r="BG4428">
        <v>96</v>
      </c>
      <c r="BH4428">
        <v>0.1</v>
      </c>
      <c r="BI4428">
        <v>-6.24</v>
      </c>
      <c r="BJ4428">
        <v>83</v>
      </c>
      <c r="BK4428">
        <v>38</v>
      </c>
      <c r="BL4428">
        <v>0.21</v>
      </c>
      <c r="BM4428">
        <v>-0.22</v>
      </c>
      <c r="BN4428">
        <v>0.28000000000000003</v>
      </c>
      <c r="BO4428">
        <v>0.61</v>
      </c>
      <c r="BP4428">
        <v>0.53</v>
      </c>
      <c r="BQ4428">
        <v>0.37</v>
      </c>
      <c r="BR4428">
        <v>-1.23</v>
      </c>
      <c r="BS4428">
        <v>-0.04</v>
      </c>
      <c r="BT4428">
        <v>1.1499999999999999</v>
      </c>
      <c r="BU4428">
        <v>-0.62</v>
      </c>
      <c r="BV4428">
        <v>0.55000000000000004</v>
      </c>
      <c r="BW4428">
        <v>1.23</v>
      </c>
      <c r="BX4428">
        <v>-0.03</v>
      </c>
      <c r="BY4428">
        <v>-0.44</v>
      </c>
      <c r="BZ4428">
        <v>0.46</v>
      </c>
      <c r="CA4428">
        <v>0.69</v>
      </c>
      <c r="CB4428">
        <v>0.32</v>
      </c>
      <c r="CC4428">
        <v>1.1599999999999999</v>
      </c>
      <c r="CD4428">
        <v>-0.28000000000000003</v>
      </c>
      <c r="CE4428">
        <v>0.61</v>
      </c>
      <c r="CF4428">
        <v>-0.03</v>
      </c>
      <c r="CG4428">
        <v>0</v>
      </c>
      <c r="CH4428">
        <v>-0.48</v>
      </c>
      <c r="CI4428">
        <v>0</v>
      </c>
      <c r="CJ4428">
        <v>0.3</v>
      </c>
      <c r="CK4428">
        <v>98</v>
      </c>
      <c r="CL4428">
        <v>-0.65</v>
      </c>
      <c r="CM4428">
        <v>97</v>
      </c>
      <c r="CN4428">
        <v>-0.41</v>
      </c>
      <c r="CO4428">
        <v>97</v>
      </c>
      <c r="CP4428">
        <v>2.6</v>
      </c>
      <c r="CQ4428">
        <v>97</v>
      </c>
      <c r="CR4428">
        <v>0</v>
      </c>
      <c r="CS4428">
        <v>0</v>
      </c>
      <c r="CT4428">
        <v>16</v>
      </c>
      <c r="CU4428">
        <v>94</v>
      </c>
      <c r="CV4428">
        <v>0.11</v>
      </c>
      <c r="CW4428">
        <v>45</v>
      </c>
      <c r="CX4428" t="s">
        <v>543</v>
      </c>
    </row>
    <row r="4429" spans="1:102" x14ac:dyDescent="0.3">
      <c r="A4429" t="str">
        <f>HYPERLINK("https://webapp.icbf.com/v2/app/bull-search/view/77853928","SMK")</f>
        <v>SMK</v>
      </c>
      <c r="B4429" t="s">
        <v>3988</v>
      </c>
      <c r="C4429" t="s">
        <v>3989</v>
      </c>
      <c r="D4429" s="1">
        <v>33067</v>
      </c>
      <c r="E4429" t="s">
        <v>92</v>
      </c>
      <c r="F4429">
        <v>100</v>
      </c>
      <c r="G4429" t="s">
        <v>93</v>
      </c>
      <c r="H4429">
        <v>-123.03</v>
      </c>
      <c r="I4429">
        <v>90</v>
      </c>
      <c r="J4429">
        <v>-30.36</v>
      </c>
      <c r="K4429">
        <v>98</v>
      </c>
      <c r="L4429">
        <v>-100.87</v>
      </c>
      <c r="M4429">
        <v>86</v>
      </c>
      <c r="N4429">
        <v>18.45</v>
      </c>
      <c r="O4429">
        <v>82</v>
      </c>
      <c r="P4429">
        <v>-8.2200000000000006</v>
      </c>
      <c r="Q4429">
        <v>91</v>
      </c>
      <c r="R4429">
        <v>-13.05</v>
      </c>
      <c r="S4429">
        <v>84</v>
      </c>
      <c r="T4429">
        <v>12.05</v>
      </c>
      <c r="U4429">
        <v>90</v>
      </c>
      <c r="V4429">
        <v>-1.03</v>
      </c>
      <c r="W4429">
        <v>73</v>
      </c>
      <c r="X4429" t="s">
        <v>110</v>
      </c>
      <c r="Y4429" t="s">
        <v>95</v>
      </c>
      <c r="Z4429" t="s">
        <v>96</v>
      </c>
      <c r="AA4429" t="s">
        <v>111</v>
      </c>
      <c r="AB4429" t="s">
        <v>3990</v>
      </c>
      <c r="AC4429">
        <v>240</v>
      </c>
      <c r="AD4429">
        <v>140</v>
      </c>
      <c r="AE4429">
        <v>98</v>
      </c>
      <c r="AF4429">
        <v>129.07</v>
      </c>
      <c r="AG4429">
        <v>-6.78</v>
      </c>
      <c r="AH4429">
        <v>-0.79</v>
      </c>
      <c r="AI4429">
        <v>-0.2</v>
      </c>
      <c r="AJ4429">
        <v>-0.09</v>
      </c>
      <c r="AK4429">
        <v>86</v>
      </c>
      <c r="AL4429">
        <v>267</v>
      </c>
      <c r="AM4429">
        <v>125</v>
      </c>
      <c r="AN4429">
        <v>5.08</v>
      </c>
      <c r="AO4429">
        <v>-2.97</v>
      </c>
      <c r="AP4429">
        <v>20</v>
      </c>
      <c r="AQ4429">
        <v>0</v>
      </c>
      <c r="AR4429">
        <v>4.96</v>
      </c>
      <c r="AS4429">
        <v>70</v>
      </c>
      <c r="AT4429">
        <v>2.96</v>
      </c>
      <c r="AU4429">
        <v>84</v>
      </c>
      <c r="AV4429">
        <v>-1.71</v>
      </c>
      <c r="AW4429">
        <v>86</v>
      </c>
      <c r="AX4429">
        <v>-0.46</v>
      </c>
      <c r="AY4429">
        <v>89</v>
      </c>
      <c r="AZ4429">
        <v>7.2</v>
      </c>
      <c r="BA4429">
        <v>65</v>
      </c>
      <c r="BB4429">
        <v>5.56</v>
      </c>
      <c r="BC4429">
        <v>76</v>
      </c>
      <c r="BD4429">
        <v>0.06</v>
      </c>
      <c r="BE4429">
        <v>0.1</v>
      </c>
      <c r="BF4429">
        <v>0.01</v>
      </c>
      <c r="BG4429">
        <v>95</v>
      </c>
      <c r="BH4429">
        <v>0.1</v>
      </c>
      <c r="BI4429">
        <v>14.9</v>
      </c>
      <c r="BJ4429">
        <v>64</v>
      </c>
      <c r="BK4429">
        <v>38</v>
      </c>
      <c r="BL4429">
        <v>0.77</v>
      </c>
      <c r="BM4429">
        <v>-0.31</v>
      </c>
      <c r="BN4429">
        <v>0.82</v>
      </c>
      <c r="BO4429">
        <v>0.73</v>
      </c>
      <c r="BP4429">
        <v>-0.86</v>
      </c>
      <c r="BQ4429">
        <v>0.03</v>
      </c>
      <c r="BR4429">
        <v>0.88</v>
      </c>
      <c r="BS4429">
        <v>0.46</v>
      </c>
      <c r="BT4429">
        <v>-0.89</v>
      </c>
      <c r="BU4429">
        <v>1.2</v>
      </c>
      <c r="BV4429">
        <v>0.25</v>
      </c>
      <c r="BW4429">
        <v>0.86</v>
      </c>
      <c r="BX4429">
        <v>0.82</v>
      </c>
      <c r="BY4429">
        <v>0.34</v>
      </c>
      <c r="BZ4429">
        <v>0.14000000000000001</v>
      </c>
      <c r="CA4429">
        <v>1.1499999999999999</v>
      </c>
      <c r="CB4429">
        <v>1.07</v>
      </c>
      <c r="CC4429">
        <v>0.96</v>
      </c>
      <c r="CD4429">
        <v>-0.55000000000000004</v>
      </c>
      <c r="CE4429">
        <v>1.1399999999999999</v>
      </c>
      <c r="CF4429">
        <v>1.1299999999999999</v>
      </c>
      <c r="CG4429">
        <v>0</v>
      </c>
      <c r="CH4429">
        <v>0.39</v>
      </c>
      <c r="CI4429">
        <v>0</v>
      </c>
      <c r="CJ4429">
        <v>-2</v>
      </c>
      <c r="CK4429">
        <v>91</v>
      </c>
      <c r="CL4429">
        <v>-0.81</v>
      </c>
      <c r="CM4429">
        <v>90</v>
      </c>
      <c r="CN4429">
        <v>-0.26</v>
      </c>
      <c r="CO4429">
        <v>88</v>
      </c>
      <c r="CP4429">
        <v>-1</v>
      </c>
      <c r="CQ4429">
        <v>95</v>
      </c>
      <c r="CR4429">
        <v>0</v>
      </c>
      <c r="CS4429">
        <v>0</v>
      </c>
      <c r="CT4429">
        <v>-2.5</v>
      </c>
      <c r="CU4429">
        <v>90</v>
      </c>
      <c r="CV4429">
        <v>7.0000000000000007E-2</v>
      </c>
      <c r="CW4429">
        <v>44</v>
      </c>
      <c r="CX4429" t="s">
        <v>914</v>
      </c>
    </row>
    <row r="4430" spans="1:102" x14ac:dyDescent="0.3">
      <c r="A4430" t="str">
        <f>HYPERLINK("https://webapp.icbf.com/v2/app/bull-search/view/660343859","S1065")</f>
        <v>S1065</v>
      </c>
      <c r="B4430" t="s">
        <v>12943</v>
      </c>
      <c r="C4430" t="s">
        <v>12944</v>
      </c>
      <c r="D4430" s="1">
        <v>38654</v>
      </c>
      <c r="E4430" t="s">
        <v>92</v>
      </c>
      <c r="F4430">
        <v>100</v>
      </c>
      <c r="G4430" t="s">
        <v>109</v>
      </c>
      <c r="H4430">
        <v>-123.04</v>
      </c>
      <c r="I4430">
        <v>61</v>
      </c>
      <c r="J4430">
        <v>38.549999999999997</v>
      </c>
      <c r="K4430">
        <v>73</v>
      </c>
      <c r="L4430">
        <v>-166.45</v>
      </c>
      <c r="M4430">
        <v>71</v>
      </c>
      <c r="N4430">
        <v>2.5099999999999998</v>
      </c>
      <c r="O4430">
        <v>41</v>
      </c>
      <c r="P4430">
        <v>-9.51</v>
      </c>
      <c r="Q4430">
        <v>38</v>
      </c>
      <c r="R4430">
        <v>2.17</v>
      </c>
      <c r="S4430">
        <v>60</v>
      </c>
      <c r="T4430">
        <v>5.83</v>
      </c>
      <c r="U4430">
        <v>31</v>
      </c>
      <c r="V4430">
        <v>3.86</v>
      </c>
      <c r="W4430">
        <v>28</v>
      </c>
      <c r="X4430" t="s">
        <v>102</v>
      </c>
      <c r="Y4430" t="s">
        <v>336</v>
      </c>
      <c r="Z4430" t="s">
        <v>96</v>
      </c>
      <c r="AA4430" t="s">
        <v>350</v>
      </c>
      <c r="AB4430" t="s">
        <v>12945</v>
      </c>
      <c r="AC4430">
        <v>0</v>
      </c>
      <c r="AD4430">
        <v>0</v>
      </c>
      <c r="AE4430">
        <v>73</v>
      </c>
      <c r="AF4430">
        <v>219.24</v>
      </c>
      <c r="AG4430">
        <v>9.42</v>
      </c>
      <c r="AH4430">
        <v>6.58</v>
      </c>
      <c r="AI4430">
        <v>0.01</v>
      </c>
      <c r="AJ4430">
        <v>-0.02</v>
      </c>
      <c r="AK4430">
        <v>71</v>
      </c>
      <c r="AL4430">
        <v>0</v>
      </c>
      <c r="AM4430">
        <v>0</v>
      </c>
      <c r="AN4430">
        <v>10.97</v>
      </c>
      <c r="AO4430">
        <v>-2.2799999999999998</v>
      </c>
      <c r="AP4430">
        <v>7</v>
      </c>
      <c r="AQ4430">
        <v>0</v>
      </c>
      <c r="AR4430">
        <v>8.43</v>
      </c>
      <c r="AS4430">
        <v>30</v>
      </c>
      <c r="AT4430">
        <v>4.05</v>
      </c>
      <c r="AU4430">
        <v>74</v>
      </c>
      <c r="AV4430">
        <v>-1.5</v>
      </c>
      <c r="AW4430">
        <v>31</v>
      </c>
      <c r="AX4430">
        <v>0.19</v>
      </c>
      <c r="AY4430">
        <v>33</v>
      </c>
      <c r="AZ4430">
        <v>6.11</v>
      </c>
      <c r="BA4430">
        <v>29</v>
      </c>
      <c r="BB4430">
        <v>4.6100000000000003</v>
      </c>
      <c r="BC4430">
        <v>29</v>
      </c>
      <c r="BD4430">
        <v>0</v>
      </c>
      <c r="BE4430">
        <v>0</v>
      </c>
      <c r="BF4430">
        <v>-0.05</v>
      </c>
      <c r="BG4430">
        <v>86</v>
      </c>
      <c r="BH4430">
        <v>0.16</v>
      </c>
      <c r="BI4430">
        <v>6.06</v>
      </c>
      <c r="BJ4430">
        <v>1</v>
      </c>
      <c r="BK4430">
        <v>1</v>
      </c>
      <c r="BL4430">
        <v>1.47</v>
      </c>
      <c r="BM4430">
        <v>-1.35</v>
      </c>
      <c r="BN4430">
        <v>1.49</v>
      </c>
      <c r="BO4430">
        <v>2.25</v>
      </c>
      <c r="BP4430">
        <v>-0.28999999999999998</v>
      </c>
      <c r="BQ4430">
        <v>1.36</v>
      </c>
      <c r="BR4430">
        <v>0.85</v>
      </c>
      <c r="BS4430">
        <v>0.83</v>
      </c>
      <c r="BT4430">
        <v>0.06</v>
      </c>
      <c r="BU4430">
        <v>1.88</v>
      </c>
      <c r="BV4430">
        <v>2.0299999999999998</v>
      </c>
      <c r="BW4430">
        <v>1.32</v>
      </c>
      <c r="BX4430">
        <v>0.99</v>
      </c>
      <c r="BY4430">
        <v>2.54</v>
      </c>
      <c r="BZ4430">
        <v>-0.62</v>
      </c>
      <c r="CA4430">
        <v>1.5</v>
      </c>
      <c r="CB4430">
        <v>1.8</v>
      </c>
      <c r="CC4430">
        <v>0.48</v>
      </c>
      <c r="CD4430">
        <v>-1.8</v>
      </c>
      <c r="CE4430">
        <v>1.03</v>
      </c>
      <c r="CF4430">
        <v>0.62</v>
      </c>
      <c r="CG4430">
        <v>0</v>
      </c>
      <c r="CH4430">
        <v>1.67</v>
      </c>
      <c r="CI4430">
        <v>0</v>
      </c>
      <c r="CJ4430">
        <v>-3.1</v>
      </c>
      <c r="CK4430">
        <v>39</v>
      </c>
      <c r="CL4430">
        <v>-1.05</v>
      </c>
      <c r="CM4430">
        <v>37</v>
      </c>
      <c r="CN4430">
        <v>-0.49</v>
      </c>
      <c r="CO4430">
        <v>36</v>
      </c>
      <c r="CP4430">
        <v>-0.9</v>
      </c>
      <c r="CQ4430">
        <v>32</v>
      </c>
      <c r="CR4430">
        <v>0</v>
      </c>
      <c r="CS4430">
        <v>0</v>
      </c>
      <c r="CT4430">
        <v>5.9</v>
      </c>
      <c r="CU4430">
        <v>31</v>
      </c>
      <c r="CV4430">
        <v>0.2</v>
      </c>
      <c r="CW4430">
        <v>11</v>
      </c>
      <c r="CX4430" t="s">
        <v>988</v>
      </c>
    </row>
    <row r="4431" spans="1:102" x14ac:dyDescent="0.3">
      <c r="A4431" t="str">
        <f>HYPERLINK("https://webapp.icbf.com/v2/app/bull-search/view/138854835","KOO")</f>
        <v>KOO</v>
      </c>
      <c r="B4431" t="s">
        <v>4064</v>
      </c>
      <c r="C4431" t="s">
        <v>4065</v>
      </c>
      <c r="D4431" s="1">
        <v>36867</v>
      </c>
      <c r="E4431" t="s">
        <v>92</v>
      </c>
      <c r="F4431">
        <v>100</v>
      </c>
      <c r="G4431" t="s">
        <v>93</v>
      </c>
      <c r="H4431">
        <v>-123.09</v>
      </c>
      <c r="I4431">
        <v>83</v>
      </c>
      <c r="J4431">
        <v>35.479999999999997</v>
      </c>
      <c r="K4431">
        <v>95</v>
      </c>
      <c r="L4431">
        <v>-110.63</v>
      </c>
      <c r="M4431">
        <v>76</v>
      </c>
      <c r="N4431">
        <v>-46.95</v>
      </c>
      <c r="O4431">
        <v>79</v>
      </c>
      <c r="P4431">
        <v>-8.33</v>
      </c>
      <c r="Q4431">
        <v>89</v>
      </c>
      <c r="R4431">
        <v>-2.5099999999999998</v>
      </c>
      <c r="S4431">
        <v>76</v>
      </c>
      <c r="T4431">
        <v>11.75</v>
      </c>
      <c r="U4431">
        <v>78</v>
      </c>
      <c r="V4431">
        <v>-1.9</v>
      </c>
      <c r="W4431">
        <v>68</v>
      </c>
      <c r="X4431" t="s">
        <v>94</v>
      </c>
      <c r="Y4431" t="s">
        <v>95</v>
      </c>
      <c r="Z4431" t="s">
        <v>96</v>
      </c>
      <c r="AA4431" t="s">
        <v>2570</v>
      </c>
      <c r="AB4431" t="s">
        <v>4066</v>
      </c>
      <c r="AC4431">
        <v>47</v>
      </c>
      <c r="AD4431">
        <v>40</v>
      </c>
      <c r="AE4431">
        <v>95</v>
      </c>
      <c r="AF4431">
        <v>-95.86</v>
      </c>
      <c r="AG4431">
        <v>7.85</v>
      </c>
      <c r="AH4431">
        <v>1.79</v>
      </c>
      <c r="AI4431">
        <v>0.21</v>
      </c>
      <c r="AJ4431">
        <v>0.09</v>
      </c>
      <c r="AK4431">
        <v>76</v>
      </c>
      <c r="AL4431">
        <v>46</v>
      </c>
      <c r="AM4431">
        <v>37</v>
      </c>
      <c r="AN4431">
        <v>3.89</v>
      </c>
      <c r="AO4431">
        <v>-4.96</v>
      </c>
      <c r="AP4431">
        <v>74</v>
      </c>
      <c r="AQ4431">
        <v>0</v>
      </c>
      <c r="AR4431">
        <v>12.38</v>
      </c>
      <c r="AS4431">
        <v>67</v>
      </c>
      <c r="AT4431">
        <v>5.03</v>
      </c>
      <c r="AU4431">
        <v>81</v>
      </c>
      <c r="AV4431">
        <v>0.92</v>
      </c>
      <c r="AW4431">
        <v>90</v>
      </c>
      <c r="AX4431">
        <v>1.54</v>
      </c>
      <c r="AY4431">
        <v>73</v>
      </c>
      <c r="AZ4431">
        <v>5.42</v>
      </c>
      <c r="BA4431">
        <v>56</v>
      </c>
      <c r="BB4431">
        <v>5.14</v>
      </c>
      <c r="BC4431">
        <v>59</v>
      </c>
      <c r="BD4431">
        <v>0.01</v>
      </c>
      <c r="BE4431">
        <v>-0.01</v>
      </c>
      <c r="BF4431">
        <v>0.06</v>
      </c>
      <c r="BG4431">
        <v>86</v>
      </c>
      <c r="BH4431">
        <v>-0.01</v>
      </c>
      <c r="BI4431">
        <v>4.96</v>
      </c>
      <c r="BJ4431">
        <v>21</v>
      </c>
      <c r="BK4431">
        <v>16</v>
      </c>
      <c r="BL4431">
        <v>1.57</v>
      </c>
      <c r="BM4431">
        <v>0.46</v>
      </c>
      <c r="BN4431">
        <v>1.95</v>
      </c>
      <c r="BO4431">
        <v>1.06</v>
      </c>
      <c r="BP4431">
        <v>-2.14</v>
      </c>
      <c r="BQ4431">
        <v>0.71</v>
      </c>
      <c r="BR4431">
        <v>0.59</v>
      </c>
      <c r="BS4431">
        <v>0.6</v>
      </c>
      <c r="BT4431">
        <v>0.86</v>
      </c>
      <c r="BU4431">
        <v>0.48</v>
      </c>
      <c r="BV4431">
        <v>0.63</v>
      </c>
      <c r="BW4431">
        <v>1.77</v>
      </c>
      <c r="BX4431">
        <v>0.48</v>
      </c>
      <c r="BY4431">
        <v>1.01</v>
      </c>
      <c r="BZ4431">
        <v>-0.7</v>
      </c>
      <c r="CA4431">
        <v>0.92</v>
      </c>
      <c r="CB4431">
        <v>1.41</v>
      </c>
      <c r="CC4431">
        <v>0.51</v>
      </c>
      <c r="CD4431">
        <v>-0.92</v>
      </c>
      <c r="CE4431">
        <v>1.83</v>
      </c>
      <c r="CF4431">
        <v>1.52</v>
      </c>
      <c r="CG4431">
        <v>0</v>
      </c>
      <c r="CH4431">
        <v>1.71</v>
      </c>
      <c r="CI4431">
        <v>0</v>
      </c>
      <c r="CJ4431">
        <v>-2.1</v>
      </c>
      <c r="CK4431">
        <v>90</v>
      </c>
      <c r="CL4431">
        <v>-1.08</v>
      </c>
      <c r="CM4431">
        <v>89</v>
      </c>
      <c r="CN4431">
        <v>-0.56999999999999995</v>
      </c>
      <c r="CO4431">
        <v>87</v>
      </c>
      <c r="CP4431">
        <v>-6.4</v>
      </c>
      <c r="CQ4431">
        <v>85</v>
      </c>
      <c r="CR4431">
        <v>0</v>
      </c>
      <c r="CS4431">
        <v>0</v>
      </c>
      <c r="CT4431">
        <v>-2.1</v>
      </c>
      <c r="CU4431">
        <v>78</v>
      </c>
      <c r="CV4431">
        <v>0.17</v>
      </c>
      <c r="CW4431">
        <v>44</v>
      </c>
      <c r="CX4431" t="s">
        <v>1106</v>
      </c>
    </row>
    <row r="4432" spans="1:102" x14ac:dyDescent="0.3">
      <c r="A4432" t="str">
        <f>HYPERLINK("https://webapp.icbf.com/v2/app/bull-search/view/307605992","DPU")</f>
        <v>DPU</v>
      </c>
      <c r="B4432" t="s">
        <v>11296</v>
      </c>
      <c r="C4432" t="s">
        <v>11297</v>
      </c>
      <c r="D4432" s="1">
        <v>37426</v>
      </c>
      <c r="E4432" t="s">
        <v>92</v>
      </c>
      <c r="F4432">
        <v>100</v>
      </c>
      <c r="G4432" t="s">
        <v>93</v>
      </c>
      <c r="H4432">
        <v>-123.12</v>
      </c>
      <c r="I4432">
        <v>86</v>
      </c>
      <c r="J4432">
        <v>23.44</v>
      </c>
      <c r="K4432">
        <v>96</v>
      </c>
      <c r="L4432">
        <v>-134.03</v>
      </c>
      <c r="M4432">
        <v>79</v>
      </c>
      <c r="N4432">
        <v>-8.08</v>
      </c>
      <c r="O4432">
        <v>81</v>
      </c>
      <c r="P4432">
        <v>-7.93</v>
      </c>
      <c r="Q4432">
        <v>93</v>
      </c>
      <c r="R4432">
        <v>-12.64</v>
      </c>
      <c r="S4432">
        <v>74</v>
      </c>
      <c r="T4432">
        <v>13.23</v>
      </c>
      <c r="U4432">
        <v>87</v>
      </c>
      <c r="V4432">
        <v>2.89</v>
      </c>
      <c r="W4432">
        <v>60</v>
      </c>
      <c r="X4432" t="s">
        <v>94</v>
      </c>
      <c r="Y4432" t="s">
        <v>171</v>
      </c>
      <c r="Z4432" t="s">
        <v>96</v>
      </c>
      <c r="AA4432" t="s">
        <v>8716</v>
      </c>
      <c r="AB4432" t="s">
        <v>11298</v>
      </c>
      <c r="AC4432">
        <v>105</v>
      </c>
      <c r="AD4432">
        <v>85</v>
      </c>
      <c r="AE4432">
        <v>96</v>
      </c>
      <c r="AF4432">
        <v>243.54</v>
      </c>
      <c r="AG4432">
        <v>4.79</v>
      </c>
      <c r="AH4432">
        <v>6.02</v>
      </c>
      <c r="AI4432">
        <v>-0.08</v>
      </c>
      <c r="AJ4432">
        <v>-0.04</v>
      </c>
      <c r="AK4432">
        <v>79</v>
      </c>
      <c r="AL4432">
        <v>99</v>
      </c>
      <c r="AM4432">
        <v>81</v>
      </c>
      <c r="AN4432">
        <v>7.18</v>
      </c>
      <c r="AO4432">
        <v>-3.51</v>
      </c>
      <c r="AP4432">
        <v>163</v>
      </c>
      <c r="AQ4432">
        <v>1</v>
      </c>
      <c r="AR4432">
        <v>10.32</v>
      </c>
      <c r="AS4432">
        <v>57</v>
      </c>
      <c r="AT4432">
        <v>4.3499999999999996</v>
      </c>
      <c r="AU4432">
        <v>84</v>
      </c>
      <c r="AV4432">
        <v>-1.32</v>
      </c>
      <c r="AW4432">
        <v>94</v>
      </c>
      <c r="AX4432">
        <v>0.79</v>
      </c>
      <c r="AY4432">
        <v>80</v>
      </c>
      <c r="AZ4432">
        <v>5.67</v>
      </c>
      <c r="BA4432">
        <v>56</v>
      </c>
      <c r="BB4432">
        <v>4.37</v>
      </c>
      <c r="BC4432">
        <v>57</v>
      </c>
      <c r="BD4432">
        <v>0.04</v>
      </c>
      <c r="BE4432">
        <v>0.06</v>
      </c>
      <c r="BF4432">
        <v>0.11</v>
      </c>
      <c r="BG4432">
        <v>89</v>
      </c>
      <c r="BH4432">
        <v>0.02</v>
      </c>
      <c r="BI4432">
        <v>-7.02</v>
      </c>
      <c r="BJ4432">
        <v>17</v>
      </c>
      <c r="BK4432">
        <v>15</v>
      </c>
      <c r="BL4432">
        <v>0.37</v>
      </c>
      <c r="BM4432">
        <v>-1.98</v>
      </c>
      <c r="BN4432">
        <v>-0.68</v>
      </c>
      <c r="BO4432">
        <v>0.42</v>
      </c>
      <c r="BP4432">
        <v>2.74</v>
      </c>
      <c r="BQ4432">
        <v>0.06</v>
      </c>
      <c r="BR4432">
        <v>1.61</v>
      </c>
      <c r="BS4432">
        <v>-1.86</v>
      </c>
      <c r="BT4432">
        <v>-1.37</v>
      </c>
      <c r="BU4432">
        <v>-0.81</v>
      </c>
      <c r="BV4432">
        <v>-0.64</v>
      </c>
      <c r="BW4432">
        <v>1.65</v>
      </c>
      <c r="BX4432">
        <v>-0.09</v>
      </c>
      <c r="BY4432">
        <v>1.52</v>
      </c>
      <c r="BZ4432">
        <v>1.41</v>
      </c>
      <c r="CA4432">
        <v>-1</v>
      </c>
      <c r="CB4432">
        <v>-0.39</v>
      </c>
      <c r="CC4432">
        <v>-1.76</v>
      </c>
      <c r="CD4432">
        <v>-1.1299999999999999</v>
      </c>
      <c r="CE4432">
        <v>0.05</v>
      </c>
      <c r="CF4432">
        <v>-0.59</v>
      </c>
      <c r="CG4432">
        <v>0</v>
      </c>
      <c r="CH4432">
        <v>1.05</v>
      </c>
      <c r="CI4432">
        <v>0</v>
      </c>
      <c r="CJ4432">
        <v>-2.7</v>
      </c>
      <c r="CK4432">
        <v>94</v>
      </c>
      <c r="CL4432">
        <v>-0.78</v>
      </c>
      <c r="CM4432">
        <v>93</v>
      </c>
      <c r="CN4432">
        <v>-0.41</v>
      </c>
      <c r="CO4432">
        <v>92</v>
      </c>
      <c r="CP4432">
        <v>-6.4</v>
      </c>
      <c r="CQ4432">
        <v>90</v>
      </c>
      <c r="CR4432">
        <v>0</v>
      </c>
      <c r="CS4432">
        <v>0</v>
      </c>
      <c r="CT4432">
        <v>-4.0999999999999996</v>
      </c>
      <c r="CU4432">
        <v>87</v>
      </c>
      <c r="CV4432">
        <v>0.2</v>
      </c>
      <c r="CW4432">
        <v>26</v>
      </c>
      <c r="CX4432" t="s">
        <v>1574</v>
      </c>
    </row>
    <row r="4433" spans="1:102" x14ac:dyDescent="0.3">
      <c r="A4433" t="str">
        <f>HYPERLINK("https://webapp.icbf.com/v2/app/bull-search/view/586202611","S998")</f>
        <v>S998</v>
      </c>
      <c r="B4433" t="s">
        <v>7137</v>
      </c>
      <c r="C4433" t="s">
        <v>7138</v>
      </c>
      <c r="D4433" s="1">
        <v>38593</v>
      </c>
      <c r="E4433" t="s">
        <v>92</v>
      </c>
      <c r="F4433">
        <v>100</v>
      </c>
      <c r="G4433" t="s">
        <v>93</v>
      </c>
      <c r="H4433">
        <v>-123.17</v>
      </c>
      <c r="I4433">
        <v>83</v>
      </c>
      <c r="J4433">
        <v>2.83</v>
      </c>
      <c r="K4433">
        <v>92</v>
      </c>
      <c r="L4433">
        <v>-85.32</v>
      </c>
      <c r="M4433">
        <v>85</v>
      </c>
      <c r="N4433">
        <v>-32.75</v>
      </c>
      <c r="O4433">
        <v>77</v>
      </c>
      <c r="P4433">
        <v>-7.97</v>
      </c>
      <c r="Q4433">
        <v>82</v>
      </c>
      <c r="R4433">
        <v>2.77</v>
      </c>
      <c r="S4433">
        <v>70</v>
      </c>
      <c r="T4433">
        <v>-8.08</v>
      </c>
      <c r="U4433">
        <v>73</v>
      </c>
      <c r="V4433">
        <v>5.35</v>
      </c>
      <c r="W4433">
        <v>51</v>
      </c>
      <c r="X4433" t="s">
        <v>94</v>
      </c>
      <c r="Y4433" t="s">
        <v>303</v>
      </c>
      <c r="Z4433" t="s">
        <v>96</v>
      </c>
      <c r="AA4433" t="s">
        <v>350</v>
      </c>
      <c r="AB4433" t="s">
        <v>7139</v>
      </c>
      <c r="AC4433">
        <v>60</v>
      </c>
      <c r="AD4433">
        <v>33</v>
      </c>
      <c r="AE4433">
        <v>92</v>
      </c>
      <c r="AF4433">
        <v>143.06</v>
      </c>
      <c r="AG4433">
        <v>-1.78</v>
      </c>
      <c r="AH4433">
        <v>3.3</v>
      </c>
      <c r="AI4433">
        <v>-0.12</v>
      </c>
      <c r="AJ4433">
        <v>-0.03</v>
      </c>
      <c r="AK4433">
        <v>85</v>
      </c>
      <c r="AL4433">
        <v>49</v>
      </c>
      <c r="AM4433">
        <v>32</v>
      </c>
      <c r="AN4433">
        <v>5</v>
      </c>
      <c r="AO4433">
        <v>-1.8</v>
      </c>
      <c r="AP4433">
        <v>102</v>
      </c>
      <c r="AQ4433">
        <v>0</v>
      </c>
      <c r="AR4433">
        <v>10.78</v>
      </c>
      <c r="AS4433">
        <v>55</v>
      </c>
      <c r="AT4433">
        <v>4.96</v>
      </c>
      <c r="AU4433">
        <v>90</v>
      </c>
      <c r="AV4433">
        <v>-0.17</v>
      </c>
      <c r="AW4433">
        <v>88</v>
      </c>
      <c r="AX4433">
        <v>1.1000000000000001</v>
      </c>
      <c r="AY4433">
        <v>69</v>
      </c>
      <c r="AZ4433">
        <v>6.68</v>
      </c>
      <c r="BA4433">
        <v>51</v>
      </c>
      <c r="BB4433">
        <v>5.27</v>
      </c>
      <c r="BC4433">
        <v>44</v>
      </c>
      <c r="BD4433">
        <v>-0.01</v>
      </c>
      <c r="BE4433">
        <v>-0.03</v>
      </c>
      <c r="BF4433">
        <v>0.01</v>
      </c>
      <c r="BG4433">
        <v>89</v>
      </c>
      <c r="BH4433">
        <v>0.15</v>
      </c>
      <c r="BI4433">
        <v>0.08</v>
      </c>
      <c r="BJ4433">
        <v>40</v>
      </c>
      <c r="BK4433">
        <v>20</v>
      </c>
      <c r="BL4433">
        <v>1.4</v>
      </c>
      <c r="BM4433">
        <v>-0.16</v>
      </c>
      <c r="BN4433">
        <v>0.15</v>
      </c>
      <c r="BO4433">
        <v>0.48</v>
      </c>
      <c r="BP4433">
        <v>1.08</v>
      </c>
      <c r="BQ4433">
        <v>1.39</v>
      </c>
      <c r="BR4433">
        <v>-0.71</v>
      </c>
      <c r="BS4433">
        <v>0.87</v>
      </c>
      <c r="BT4433">
        <v>1.1499999999999999</v>
      </c>
      <c r="BU4433">
        <v>3.24</v>
      </c>
      <c r="BV4433">
        <v>1.72</v>
      </c>
      <c r="BW4433">
        <v>1.45</v>
      </c>
      <c r="BX4433">
        <v>3.12</v>
      </c>
      <c r="BY4433">
        <v>2.04</v>
      </c>
      <c r="BZ4433">
        <v>-2.86</v>
      </c>
      <c r="CA4433">
        <v>1.79</v>
      </c>
      <c r="CB4433">
        <v>1.77</v>
      </c>
      <c r="CC4433">
        <v>0.95</v>
      </c>
      <c r="CD4433">
        <v>-0.24</v>
      </c>
      <c r="CE4433">
        <v>0.08</v>
      </c>
      <c r="CF4433">
        <v>0.81</v>
      </c>
      <c r="CG4433">
        <v>0</v>
      </c>
      <c r="CH4433">
        <v>0.87</v>
      </c>
      <c r="CI4433">
        <v>0</v>
      </c>
      <c r="CJ4433">
        <v>-1.5</v>
      </c>
      <c r="CK4433">
        <v>84</v>
      </c>
      <c r="CL4433">
        <v>-1.1599999999999999</v>
      </c>
      <c r="CM4433">
        <v>81</v>
      </c>
      <c r="CN4433">
        <v>-0.37</v>
      </c>
      <c r="CO4433">
        <v>78</v>
      </c>
      <c r="CP4433">
        <v>11.6</v>
      </c>
      <c r="CQ4433">
        <v>83</v>
      </c>
      <c r="CR4433">
        <v>0</v>
      </c>
      <c r="CS4433">
        <v>0</v>
      </c>
      <c r="CT4433">
        <v>24.7</v>
      </c>
      <c r="CU4433">
        <v>73</v>
      </c>
      <c r="CV4433">
        <v>0.23</v>
      </c>
      <c r="CW4433">
        <v>23</v>
      </c>
      <c r="CX4433" t="s">
        <v>615</v>
      </c>
    </row>
    <row r="4434" spans="1:102" x14ac:dyDescent="0.3">
      <c r="A4434" t="str">
        <f>HYPERLINK("https://webapp.icbf.com/v2/app/bull-search/view/77853445","SRN")</f>
        <v>SRN</v>
      </c>
      <c r="B4434" t="s">
        <v>11167</v>
      </c>
      <c r="C4434" t="s">
        <v>4543</v>
      </c>
      <c r="D4434" s="1">
        <v>33201</v>
      </c>
      <c r="E4434" t="s">
        <v>92</v>
      </c>
      <c r="F4434">
        <v>100</v>
      </c>
      <c r="G4434" t="s">
        <v>93</v>
      </c>
      <c r="H4434">
        <v>-123.26</v>
      </c>
      <c r="I4434">
        <v>96</v>
      </c>
      <c r="J4434">
        <v>-15.49</v>
      </c>
      <c r="K4434">
        <v>99</v>
      </c>
      <c r="L4434">
        <v>-61.69</v>
      </c>
      <c r="M4434">
        <v>93</v>
      </c>
      <c r="N4434">
        <v>-20.16</v>
      </c>
      <c r="O4434">
        <v>96</v>
      </c>
      <c r="P4434">
        <v>-4.8499999999999996</v>
      </c>
      <c r="Q4434">
        <v>98</v>
      </c>
      <c r="R4434">
        <v>-24.75</v>
      </c>
      <c r="S4434">
        <v>92</v>
      </c>
      <c r="T4434">
        <v>1.39</v>
      </c>
      <c r="U4434">
        <v>98</v>
      </c>
      <c r="V4434">
        <v>2.29</v>
      </c>
      <c r="W4434">
        <v>89</v>
      </c>
      <c r="X4434" t="s">
        <v>131</v>
      </c>
      <c r="Y4434" t="s">
        <v>95</v>
      </c>
      <c r="Z4434" t="s">
        <v>96</v>
      </c>
      <c r="AA4434" t="s">
        <v>190</v>
      </c>
      <c r="AB4434" t="s">
        <v>3726</v>
      </c>
      <c r="AC4434">
        <v>978</v>
      </c>
      <c r="AD4434">
        <v>515</v>
      </c>
      <c r="AE4434">
        <v>99</v>
      </c>
      <c r="AF4434">
        <v>148.77000000000001</v>
      </c>
      <c r="AG4434">
        <v>-6.27</v>
      </c>
      <c r="AH4434">
        <v>1.86</v>
      </c>
      <c r="AI4434">
        <v>-0.21</v>
      </c>
      <c r="AJ4434">
        <v>-0.05</v>
      </c>
      <c r="AK4434">
        <v>93</v>
      </c>
      <c r="AL4434">
        <v>964</v>
      </c>
      <c r="AM4434">
        <v>486</v>
      </c>
      <c r="AN4434">
        <v>3.34</v>
      </c>
      <c r="AO4434">
        <v>-1.58</v>
      </c>
      <c r="AP4434">
        <v>235</v>
      </c>
      <c r="AQ4434">
        <v>0</v>
      </c>
      <c r="AR4434">
        <v>7.75</v>
      </c>
      <c r="AS4434">
        <v>92</v>
      </c>
      <c r="AT4434">
        <v>4.74</v>
      </c>
      <c r="AU4434">
        <v>99</v>
      </c>
      <c r="AV4434">
        <v>0.25</v>
      </c>
      <c r="AW4434">
        <v>97</v>
      </c>
      <c r="AX4434">
        <v>-0.53</v>
      </c>
      <c r="AY4434">
        <v>97</v>
      </c>
      <c r="AZ4434">
        <v>7.18</v>
      </c>
      <c r="BA4434">
        <v>92</v>
      </c>
      <c r="BB4434">
        <v>5.4</v>
      </c>
      <c r="BC4434">
        <v>94</v>
      </c>
      <c r="BD4434">
        <v>0</v>
      </c>
      <c r="BE4434">
        <v>0.11</v>
      </c>
      <c r="BF4434">
        <v>0.36</v>
      </c>
      <c r="BG4434">
        <v>98</v>
      </c>
      <c r="BH4434">
        <v>0.14000000000000001</v>
      </c>
      <c r="BI4434">
        <v>8.82</v>
      </c>
      <c r="BJ4434">
        <v>194</v>
      </c>
      <c r="BK4434">
        <v>112</v>
      </c>
      <c r="BL4434">
        <v>0.68</v>
      </c>
      <c r="BM4434">
        <v>-0.1</v>
      </c>
      <c r="BN4434">
        <v>1.39</v>
      </c>
      <c r="BO4434">
        <v>1.1299999999999999</v>
      </c>
      <c r="BP4434">
        <v>-0.19</v>
      </c>
      <c r="BQ4434">
        <v>0.49</v>
      </c>
      <c r="BR4434">
        <v>2.35</v>
      </c>
      <c r="BS4434">
        <v>-2.85</v>
      </c>
      <c r="BT4434">
        <v>-3.43</v>
      </c>
      <c r="BU4434">
        <v>-0.3</v>
      </c>
      <c r="BV4434">
        <v>1.57</v>
      </c>
      <c r="BW4434">
        <v>1.37</v>
      </c>
      <c r="BX4434">
        <v>-1.04</v>
      </c>
      <c r="BY4434">
        <v>-0.85</v>
      </c>
      <c r="BZ4434">
        <v>1.06</v>
      </c>
      <c r="CA4434">
        <v>-0.51</v>
      </c>
      <c r="CB4434">
        <v>0.49</v>
      </c>
      <c r="CC4434">
        <v>-2.14</v>
      </c>
      <c r="CD4434">
        <v>-0.86</v>
      </c>
      <c r="CE4434">
        <v>1.08</v>
      </c>
      <c r="CF4434">
        <v>1</v>
      </c>
      <c r="CG4434">
        <v>0</v>
      </c>
      <c r="CH4434">
        <v>-0.76</v>
      </c>
      <c r="CI4434">
        <v>0</v>
      </c>
      <c r="CJ4434">
        <v>-1.4</v>
      </c>
      <c r="CK4434">
        <v>98</v>
      </c>
      <c r="CL4434">
        <v>-0.74</v>
      </c>
      <c r="CM4434">
        <v>98</v>
      </c>
      <c r="CN4434">
        <v>-0.43</v>
      </c>
      <c r="CO4434">
        <v>98</v>
      </c>
      <c r="CP4434">
        <v>-2.1</v>
      </c>
      <c r="CQ4434">
        <v>99</v>
      </c>
      <c r="CR4434">
        <v>0</v>
      </c>
      <c r="CS4434">
        <v>0</v>
      </c>
      <c r="CT4434">
        <v>11.9</v>
      </c>
      <c r="CU4434">
        <v>98</v>
      </c>
      <c r="CV4434">
        <v>0.09</v>
      </c>
      <c r="CW4434">
        <v>46</v>
      </c>
      <c r="CX4434" t="s">
        <v>154</v>
      </c>
    </row>
    <row r="4435" spans="1:102" x14ac:dyDescent="0.3">
      <c r="A4435" t="str">
        <f>HYPERLINK("https://webapp.icbf.com/v2/app/bull-search/view/77853817","SHA")</f>
        <v>SHA</v>
      </c>
      <c r="B4435" t="s">
        <v>12424</v>
      </c>
      <c r="C4435" t="s">
        <v>12425</v>
      </c>
      <c r="D4435" s="1">
        <v>33649</v>
      </c>
      <c r="E4435" t="s">
        <v>92</v>
      </c>
      <c r="F4435">
        <v>100</v>
      </c>
      <c r="G4435" t="s">
        <v>93</v>
      </c>
      <c r="H4435">
        <v>-123.34</v>
      </c>
      <c r="I4435">
        <v>54</v>
      </c>
      <c r="J4435">
        <v>-49.57</v>
      </c>
      <c r="K4435">
        <v>72</v>
      </c>
      <c r="L4435">
        <v>-52.16</v>
      </c>
      <c r="M4435">
        <v>46</v>
      </c>
      <c r="N4435">
        <v>-25.23</v>
      </c>
      <c r="O4435">
        <v>45</v>
      </c>
      <c r="P4435">
        <v>-2.4900000000000002</v>
      </c>
      <c r="Q4435">
        <v>53</v>
      </c>
      <c r="R4435">
        <v>-0.68</v>
      </c>
      <c r="S4435">
        <v>52</v>
      </c>
      <c r="T4435">
        <v>9.68</v>
      </c>
      <c r="U4435">
        <v>51</v>
      </c>
      <c r="V4435">
        <v>-2.89</v>
      </c>
      <c r="W4435">
        <v>13</v>
      </c>
      <c r="X4435" t="s">
        <v>94</v>
      </c>
      <c r="Y4435" t="s">
        <v>95</v>
      </c>
      <c r="Z4435" t="s">
        <v>96</v>
      </c>
      <c r="AA4435" t="s">
        <v>12426</v>
      </c>
      <c r="AB4435" t="s">
        <v>12427</v>
      </c>
      <c r="AC4435">
        <v>16</v>
      </c>
      <c r="AD4435">
        <v>17</v>
      </c>
      <c r="AE4435">
        <v>72</v>
      </c>
      <c r="AF4435">
        <v>-530.86</v>
      </c>
      <c r="AG4435">
        <v>-8.44</v>
      </c>
      <c r="AH4435">
        <v>-13.57</v>
      </c>
      <c r="AI4435">
        <v>0.22</v>
      </c>
      <c r="AJ4435">
        <v>0.08</v>
      </c>
      <c r="AK4435">
        <v>46</v>
      </c>
      <c r="AL4435">
        <v>36</v>
      </c>
      <c r="AM4435">
        <v>30</v>
      </c>
      <c r="AN4435">
        <v>1.28</v>
      </c>
      <c r="AO4435">
        <v>-2.9</v>
      </c>
      <c r="AP4435">
        <v>12</v>
      </c>
      <c r="AQ4435">
        <v>0</v>
      </c>
      <c r="AR4435">
        <v>10.97</v>
      </c>
      <c r="AS4435">
        <v>15</v>
      </c>
      <c r="AT4435">
        <v>4.76</v>
      </c>
      <c r="AU4435">
        <v>37</v>
      </c>
      <c r="AV4435">
        <v>-0.43</v>
      </c>
      <c r="AW4435">
        <v>64</v>
      </c>
      <c r="AX4435">
        <v>-0.2</v>
      </c>
      <c r="AY4435">
        <v>49</v>
      </c>
      <c r="AZ4435">
        <v>6.53</v>
      </c>
      <c r="BA4435">
        <v>16</v>
      </c>
      <c r="BB4435">
        <v>5.24</v>
      </c>
      <c r="BC4435">
        <v>22</v>
      </c>
      <c r="BD4435">
        <v>0.01</v>
      </c>
      <c r="BE4435">
        <v>0.01</v>
      </c>
      <c r="BF4435">
        <v>-0.02</v>
      </c>
      <c r="BG4435">
        <v>72</v>
      </c>
      <c r="BH4435">
        <v>0</v>
      </c>
      <c r="BI4435">
        <v>9.31</v>
      </c>
      <c r="BJ4435">
        <v>13</v>
      </c>
      <c r="BK4435">
        <v>11</v>
      </c>
      <c r="BL4435">
        <v>0.2</v>
      </c>
      <c r="BM4435">
        <v>0.42</v>
      </c>
      <c r="BN4435">
        <v>-0.12</v>
      </c>
      <c r="BO4435">
        <v>-0.28000000000000003</v>
      </c>
      <c r="BP4435">
        <v>0.49</v>
      </c>
      <c r="BQ4435">
        <v>-0.56999999999999995</v>
      </c>
      <c r="BR4435">
        <v>0.26</v>
      </c>
      <c r="BS4435">
        <v>-0.42</v>
      </c>
      <c r="BT4435">
        <v>0</v>
      </c>
      <c r="BU4435">
        <v>-0.6</v>
      </c>
      <c r="BV4435">
        <v>-0.25</v>
      </c>
      <c r="BW4435">
        <v>-0.1</v>
      </c>
      <c r="BX4435">
        <v>0.44</v>
      </c>
      <c r="BY4435">
        <v>-0.81</v>
      </c>
      <c r="BZ4435">
        <v>-1.68</v>
      </c>
      <c r="CA4435">
        <v>-0.61</v>
      </c>
      <c r="CB4435">
        <v>-0.81</v>
      </c>
      <c r="CC4435">
        <v>-0.03</v>
      </c>
      <c r="CD4435">
        <v>0.4</v>
      </c>
      <c r="CE4435">
        <v>-0.14000000000000001</v>
      </c>
      <c r="CF4435">
        <v>-0.11</v>
      </c>
      <c r="CG4435">
        <v>0</v>
      </c>
      <c r="CH4435">
        <v>-0.62</v>
      </c>
      <c r="CI4435">
        <v>0</v>
      </c>
      <c r="CJ4435">
        <v>-1.7</v>
      </c>
      <c r="CK4435">
        <v>56</v>
      </c>
      <c r="CL4435">
        <v>-0.35</v>
      </c>
      <c r="CM4435">
        <v>51</v>
      </c>
      <c r="CN4435">
        <v>-0.35</v>
      </c>
      <c r="CO4435">
        <v>46</v>
      </c>
      <c r="CP4435">
        <v>-4.2</v>
      </c>
      <c r="CQ4435">
        <v>55</v>
      </c>
      <c r="CR4435">
        <v>0</v>
      </c>
      <c r="CS4435">
        <v>0</v>
      </c>
      <c r="CT4435">
        <v>0.7</v>
      </c>
      <c r="CU4435">
        <v>51</v>
      </c>
      <c r="CV4435">
        <v>0.06</v>
      </c>
      <c r="CW4435">
        <v>14</v>
      </c>
      <c r="CX4435" t="s">
        <v>128</v>
      </c>
    </row>
    <row r="4436" spans="1:102" x14ac:dyDescent="0.3">
      <c r="A4436" t="str">
        <f>HYPERLINK("https://webapp.icbf.com/v2/app/bull-search/view/77855989","KNX")</f>
        <v>KNX</v>
      </c>
      <c r="B4436" t="s">
        <v>9679</v>
      </c>
      <c r="C4436" t="s">
        <v>5112</v>
      </c>
      <c r="D4436" s="1">
        <v>34201</v>
      </c>
      <c r="E4436" t="s">
        <v>92</v>
      </c>
      <c r="F4436">
        <v>100</v>
      </c>
      <c r="G4436" t="s">
        <v>109</v>
      </c>
      <c r="H4436">
        <v>-123.4</v>
      </c>
      <c r="I4436">
        <v>69</v>
      </c>
      <c r="J4436">
        <v>31.63</v>
      </c>
      <c r="K4436">
        <v>78</v>
      </c>
      <c r="L4436">
        <v>-138.43</v>
      </c>
      <c r="M4436">
        <v>75</v>
      </c>
      <c r="N4436">
        <v>-18</v>
      </c>
      <c r="O4436">
        <v>55</v>
      </c>
      <c r="P4436">
        <v>-6.99</v>
      </c>
      <c r="Q4436">
        <v>62</v>
      </c>
      <c r="R4436">
        <v>-0.35</v>
      </c>
      <c r="S4436">
        <v>63</v>
      </c>
      <c r="T4436">
        <v>9.68</v>
      </c>
      <c r="U4436">
        <v>53</v>
      </c>
      <c r="V4436">
        <v>-0.94</v>
      </c>
      <c r="W4436">
        <v>26</v>
      </c>
      <c r="X4436" t="s">
        <v>276</v>
      </c>
      <c r="Y4436" t="s">
        <v>95</v>
      </c>
      <c r="Z4436" t="s">
        <v>96</v>
      </c>
      <c r="AA4436" t="s">
        <v>561</v>
      </c>
      <c r="AB4436" t="s">
        <v>9680</v>
      </c>
      <c r="AC4436">
        <v>0</v>
      </c>
      <c r="AD4436">
        <v>0</v>
      </c>
      <c r="AE4436">
        <v>78</v>
      </c>
      <c r="AF4436">
        <v>204.02</v>
      </c>
      <c r="AG4436">
        <v>7.78</v>
      </c>
      <c r="AH4436">
        <v>5.75</v>
      </c>
      <c r="AI4436">
        <v>0</v>
      </c>
      <c r="AJ4436">
        <v>-0.02</v>
      </c>
      <c r="AK4436">
        <v>75</v>
      </c>
      <c r="AL4436">
        <v>0</v>
      </c>
      <c r="AM4436">
        <v>0</v>
      </c>
      <c r="AN4436">
        <v>9.85</v>
      </c>
      <c r="AO4436">
        <v>-1.1599999999999999</v>
      </c>
      <c r="AP4436">
        <v>5</v>
      </c>
      <c r="AQ4436">
        <v>0</v>
      </c>
      <c r="AR4436">
        <v>12.34</v>
      </c>
      <c r="AS4436">
        <v>33</v>
      </c>
      <c r="AT4436">
        <v>5.0999999999999996</v>
      </c>
      <c r="AU4436">
        <v>84</v>
      </c>
      <c r="AV4436">
        <v>-2.15</v>
      </c>
      <c r="AW4436">
        <v>52</v>
      </c>
      <c r="AX4436">
        <v>0.78</v>
      </c>
      <c r="AY4436">
        <v>49</v>
      </c>
      <c r="AZ4436">
        <v>5.44</v>
      </c>
      <c r="BA4436">
        <v>34</v>
      </c>
      <c r="BB4436">
        <v>4.37</v>
      </c>
      <c r="BC4436">
        <v>36</v>
      </c>
      <c r="BD4436">
        <v>0</v>
      </c>
      <c r="BE4436">
        <v>0.02</v>
      </c>
      <c r="BF4436">
        <v>-0.03</v>
      </c>
      <c r="BG4436">
        <v>85</v>
      </c>
      <c r="BH4436">
        <v>0.03</v>
      </c>
      <c r="BI4436">
        <v>6.51</v>
      </c>
      <c r="BJ4436">
        <v>3</v>
      </c>
      <c r="BK4436">
        <v>1</v>
      </c>
      <c r="BL4436">
        <v>0.52</v>
      </c>
      <c r="BM4436">
        <v>-0.88</v>
      </c>
      <c r="BN4436">
        <v>-0.6</v>
      </c>
      <c r="BO4436">
        <v>0.39</v>
      </c>
      <c r="BP4436">
        <v>0.71</v>
      </c>
      <c r="BQ4436">
        <v>-1.93</v>
      </c>
      <c r="BR4436">
        <v>-0.8</v>
      </c>
      <c r="BS4436">
        <v>0.5</v>
      </c>
      <c r="BT4436">
        <v>-0.59</v>
      </c>
      <c r="BU4436">
        <v>-0.11</v>
      </c>
      <c r="BV4436">
        <v>-0.2</v>
      </c>
      <c r="BW4436">
        <v>1.57</v>
      </c>
      <c r="BX4436">
        <v>0.01</v>
      </c>
      <c r="BY4436">
        <v>0.27</v>
      </c>
      <c r="BZ4436">
        <v>0.33</v>
      </c>
      <c r="CA4436">
        <v>1.01</v>
      </c>
      <c r="CB4436">
        <v>0.57999999999999996</v>
      </c>
      <c r="CC4436">
        <v>1.21</v>
      </c>
      <c r="CD4436">
        <v>-0.44</v>
      </c>
      <c r="CE4436">
        <v>0.05</v>
      </c>
      <c r="CF4436">
        <v>-0.46</v>
      </c>
      <c r="CG4436">
        <v>0</v>
      </c>
      <c r="CH4436">
        <v>0.33</v>
      </c>
      <c r="CI4436">
        <v>0</v>
      </c>
      <c r="CJ4436">
        <v>-3.1</v>
      </c>
      <c r="CK4436">
        <v>64</v>
      </c>
      <c r="CL4436">
        <v>-0.55000000000000004</v>
      </c>
      <c r="CM4436">
        <v>60</v>
      </c>
      <c r="CN4436">
        <v>-0.28000000000000003</v>
      </c>
      <c r="CO4436">
        <v>55</v>
      </c>
      <c r="CP4436">
        <v>-2.1</v>
      </c>
      <c r="CQ4436">
        <v>64</v>
      </c>
      <c r="CR4436">
        <v>0</v>
      </c>
      <c r="CS4436">
        <v>0</v>
      </c>
      <c r="CT4436">
        <v>0.7</v>
      </c>
      <c r="CU4436">
        <v>53</v>
      </c>
      <c r="CV4436">
        <v>0.11</v>
      </c>
      <c r="CW4436">
        <v>17</v>
      </c>
      <c r="CX4436" t="s">
        <v>166</v>
      </c>
    </row>
    <row r="4437" spans="1:102" x14ac:dyDescent="0.3">
      <c r="A4437" t="str">
        <f>HYPERLINK("https://webapp.icbf.com/v2/app/bull-search/view/124414917","MPG")</f>
        <v>MPG</v>
      </c>
      <c r="B4437" t="s">
        <v>11494</v>
      </c>
      <c r="C4437" t="s">
        <v>11495</v>
      </c>
      <c r="D4437" s="1">
        <v>35790</v>
      </c>
      <c r="E4437" t="s">
        <v>92</v>
      </c>
      <c r="F4437">
        <v>100</v>
      </c>
      <c r="G4437" t="s">
        <v>93</v>
      </c>
      <c r="H4437">
        <v>-123.97</v>
      </c>
      <c r="I4437">
        <v>57</v>
      </c>
      <c r="J4437">
        <v>-10.11</v>
      </c>
      <c r="K4437">
        <v>76</v>
      </c>
      <c r="L4437">
        <v>-113.96</v>
      </c>
      <c r="M4437">
        <v>46</v>
      </c>
      <c r="N4437">
        <v>16.02</v>
      </c>
      <c r="O4437">
        <v>47</v>
      </c>
      <c r="P4437">
        <v>-8.57</v>
      </c>
      <c r="Q4437">
        <v>64</v>
      </c>
      <c r="R4437">
        <v>-19.329999999999998</v>
      </c>
      <c r="S4437">
        <v>49</v>
      </c>
      <c r="T4437">
        <v>12.79</v>
      </c>
      <c r="U4437">
        <v>51</v>
      </c>
      <c r="V4437">
        <v>-0.81</v>
      </c>
      <c r="W4437">
        <v>33</v>
      </c>
      <c r="X4437" t="s">
        <v>94</v>
      </c>
      <c r="Y4437" t="s">
        <v>95</v>
      </c>
      <c r="Z4437" t="s">
        <v>96</v>
      </c>
      <c r="AA4437" t="s">
        <v>1278</v>
      </c>
      <c r="AB4437" t="s">
        <v>11496</v>
      </c>
      <c r="AC4437">
        <v>16</v>
      </c>
      <c r="AD4437">
        <v>6</v>
      </c>
      <c r="AE4437">
        <v>76</v>
      </c>
      <c r="AF4437">
        <v>-2.97</v>
      </c>
      <c r="AG4437">
        <v>-1.37</v>
      </c>
      <c r="AH4437">
        <v>-1.28</v>
      </c>
      <c r="AI4437">
        <v>-0.02</v>
      </c>
      <c r="AJ4437">
        <v>-0.02</v>
      </c>
      <c r="AK4437">
        <v>46</v>
      </c>
      <c r="AL4437">
        <v>19</v>
      </c>
      <c r="AM4437">
        <v>4</v>
      </c>
      <c r="AN4437">
        <v>4.5199999999999996</v>
      </c>
      <c r="AO4437">
        <v>-4.59</v>
      </c>
      <c r="AP4437">
        <v>10</v>
      </c>
      <c r="AQ4437">
        <v>0</v>
      </c>
      <c r="AR4437">
        <v>7.12</v>
      </c>
      <c r="AS4437">
        <v>42</v>
      </c>
      <c r="AT4437">
        <v>2.95</v>
      </c>
      <c r="AU4437">
        <v>48</v>
      </c>
      <c r="AV4437">
        <v>-1.83</v>
      </c>
      <c r="AW4437">
        <v>51</v>
      </c>
      <c r="AX4437">
        <v>-0.05</v>
      </c>
      <c r="AY4437">
        <v>51</v>
      </c>
      <c r="AZ4437">
        <v>6.93</v>
      </c>
      <c r="BA4437">
        <v>39</v>
      </c>
      <c r="BB4437">
        <v>5.12</v>
      </c>
      <c r="BC4437">
        <v>37</v>
      </c>
      <c r="BD4437">
        <v>0.05</v>
      </c>
      <c r="BE4437">
        <v>0.09</v>
      </c>
      <c r="BF4437">
        <v>0.19</v>
      </c>
      <c r="BG4437">
        <v>58</v>
      </c>
      <c r="BH4437">
        <v>0</v>
      </c>
      <c r="BI4437">
        <v>2.6</v>
      </c>
      <c r="BJ4437">
        <v>1</v>
      </c>
      <c r="BK4437">
        <v>1</v>
      </c>
      <c r="BL4437">
        <v>0.56000000000000005</v>
      </c>
      <c r="BM4437">
        <v>-0.21</v>
      </c>
      <c r="BN4437">
        <v>0.59</v>
      </c>
      <c r="BO4437">
        <v>0.61</v>
      </c>
      <c r="BP4437">
        <v>0.33</v>
      </c>
      <c r="BQ4437">
        <v>-7.0000000000000007E-2</v>
      </c>
      <c r="BR4437">
        <v>0.83</v>
      </c>
      <c r="BS4437">
        <v>0</v>
      </c>
      <c r="BT4437">
        <v>-0.86</v>
      </c>
      <c r="BU4437">
        <v>-7.0000000000000007E-2</v>
      </c>
      <c r="BV4437">
        <v>0.57999999999999996</v>
      </c>
      <c r="BW4437">
        <v>0.52</v>
      </c>
      <c r="BX4437">
        <v>-0.63</v>
      </c>
      <c r="BY4437">
        <v>1.42</v>
      </c>
      <c r="BZ4437">
        <v>-0.82</v>
      </c>
      <c r="CA4437">
        <v>0.66</v>
      </c>
      <c r="CB4437">
        <v>0.71</v>
      </c>
      <c r="CC4437">
        <v>0.32</v>
      </c>
      <c r="CD4437">
        <v>-0.56999999999999995</v>
      </c>
      <c r="CE4437">
        <v>0.77</v>
      </c>
      <c r="CF4437">
        <v>0.62</v>
      </c>
      <c r="CG4437">
        <v>0</v>
      </c>
      <c r="CH4437">
        <v>1.22</v>
      </c>
      <c r="CI4437">
        <v>0</v>
      </c>
      <c r="CJ4437">
        <v>-3</v>
      </c>
      <c r="CK4437">
        <v>66</v>
      </c>
      <c r="CL4437">
        <v>-0.63</v>
      </c>
      <c r="CM4437">
        <v>62</v>
      </c>
      <c r="CN4437">
        <v>-0.25</v>
      </c>
      <c r="CO4437">
        <v>58</v>
      </c>
      <c r="CP4437">
        <v>-5.7</v>
      </c>
      <c r="CQ4437">
        <v>65</v>
      </c>
      <c r="CR4437">
        <v>0</v>
      </c>
      <c r="CS4437">
        <v>0</v>
      </c>
      <c r="CT4437">
        <v>-3.5</v>
      </c>
      <c r="CU4437">
        <v>51</v>
      </c>
      <c r="CV4437">
        <v>0.1</v>
      </c>
      <c r="CW4437">
        <v>18</v>
      </c>
      <c r="CX4437" t="s">
        <v>132</v>
      </c>
    </row>
    <row r="4438" spans="1:102" x14ac:dyDescent="0.3">
      <c r="A4438" t="str">
        <f>HYPERLINK("https://webapp.icbf.com/v2/app/bull-search/view/586040870","GKY")</f>
        <v>GKY</v>
      </c>
      <c r="B4438" t="s">
        <v>12677</v>
      </c>
      <c r="C4438" t="s">
        <v>12678</v>
      </c>
      <c r="D4438" s="1">
        <v>38571</v>
      </c>
      <c r="E4438" t="s">
        <v>92</v>
      </c>
      <c r="F4438">
        <v>100</v>
      </c>
      <c r="G4438" t="s">
        <v>93</v>
      </c>
      <c r="H4438">
        <v>-124.05</v>
      </c>
      <c r="I4438">
        <v>95</v>
      </c>
      <c r="J4438">
        <v>59.87</v>
      </c>
      <c r="K4438">
        <v>99</v>
      </c>
      <c r="L4438">
        <v>-132.78</v>
      </c>
      <c r="M4438">
        <v>93</v>
      </c>
      <c r="N4438">
        <v>-48.33</v>
      </c>
      <c r="O4438">
        <v>93</v>
      </c>
      <c r="P4438">
        <v>-0.14000000000000001</v>
      </c>
      <c r="Q4438">
        <v>97</v>
      </c>
      <c r="R4438">
        <v>3.54</v>
      </c>
      <c r="S4438">
        <v>85</v>
      </c>
      <c r="T4438">
        <v>-8.52</v>
      </c>
      <c r="U4438">
        <v>94</v>
      </c>
      <c r="V4438">
        <v>2.31</v>
      </c>
      <c r="W4438">
        <v>80</v>
      </c>
      <c r="X4438" t="s">
        <v>251</v>
      </c>
      <c r="Y4438" t="s">
        <v>282</v>
      </c>
      <c r="Z4438" t="s">
        <v>96</v>
      </c>
      <c r="AA4438" t="s">
        <v>350</v>
      </c>
      <c r="AB4438" t="s">
        <v>12679</v>
      </c>
      <c r="AC4438">
        <v>416</v>
      </c>
      <c r="AD4438">
        <v>139</v>
      </c>
      <c r="AE4438">
        <v>99</v>
      </c>
      <c r="AF4438">
        <v>173.14</v>
      </c>
      <c r="AG4438">
        <v>10.89</v>
      </c>
      <c r="AH4438">
        <v>8.98</v>
      </c>
      <c r="AI4438">
        <v>7.0000000000000007E-2</v>
      </c>
      <c r="AJ4438">
        <v>0.05</v>
      </c>
      <c r="AK4438">
        <v>93</v>
      </c>
      <c r="AL4438">
        <v>393</v>
      </c>
      <c r="AM4438">
        <v>139</v>
      </c>
      <c r="AN4438">
        <v>8.6999999999999993</v>
      </c>
      <c r="AO4438">
        <v>-1.87</v>
      </c>
      <c r="AP4438">
        <v>638</v>
      </c>
      <c r="AQ4438">
        <v>1</v>
      </c>
      <c r="AR4438">
        <v>13.76</v>
      </c>
      <c r="AS4438">
        <v>93</v>
      </c>
      <c r="AT4438">
        <v>5.72</v>
      </c>
      <c r="AU4438">
        <v>94</v>
      </c>
      <c r="AV4438">
        <v>-0.78</v>
      </c>
      <c r="AW4438">
        <v>98</v>
      </c>
      <c r="AX4438">
        <v>1.17</v>
      </c>
      <c r="AY4438">
        <v>93</v>
      </c>
      <c r="AZ4438">
        <v>6.57</v>
      </c>
      <c r="BA4438">
        <v>84</v>
      </c>
      <c r="BB4438">
        <v>4.9000000000000004</v>
      </c>
      <c r="BC4438">
        <v>80</v>
      </c>
      <c r="BD4438">
        <v>0.01</v>
      </c>
      <c r="BE4438">
        <v>-0.02</v>
      </c>
      <c r="BF4438">
        <v>-0.06</v>
      </c>
      <c r="BG4438">
        <v>95</v>
      </c>
      <c r="BH4438">
        <v>0.09</v>
      </c>
      <c r="BI4438">
        <v>2.96</v>
      </c>
      <c r="BJ4438">
        <v>149</v>
      </c>
      <c r="BK4438">
        <v>74</v>
      </c>
      <c r="BL4438">
        <v>2.21</v>
      </c>
      <c r="BM4438">
        <v>-0.3</v>
      </c>
      <c r="BN4438">
        <v>1.66</v>
      </c>
      <c r="BO4438">
        <v>1.27</v>
      </c>
      <c r="BP4438">
        <v>0.37</v>
      </c>
      <c r="BQ4438">
        <v>-0.93</v>
      </c>
      <c r="BR4438">
        <v>-0.94</v>
      </c>
      <c r="BS4438">
        <v>1.99</v>
      </c>
      <c r="BT4438">
        <v>1.55</v>
      </c>
      <c r="BU4438">
        <v>2.44</v>
      </c>
      <c r="BV4438">
        <v>1.24</v>
      </c>
      <c r="BW4438">
        <v>0.82</v>
      </c>
      <c r="BX4438">
        <v>1.83</v>
      </c>
      <c r="BY4438">
        <v>1.06</v>
      </c>
      <c r="BZ4438">
        <v>1.9</v>
      </c>
      <c r="CA4438">
        <v>1.86</v>
      </c>
      <c r="CB4438">
        <v>1.73</v>
      </c>
      <c r="CC4438">
        <v>1.4</v>
      </c>
      <c r="CD4438">
        <v>-0.36</v>
      </c>
      <c r="CE4438">
        <v>0.86</v>
      </c>
      <c r="CF4438">
        <v>1.56</v>
      </c>
      <c r="CG4438">
        <v>0</v>
      </c>
      <c r="CH4438">
        <v>1</v>
      </c>
      <c r="CI4438">
        <v>0</v>
      </c>
      <c r="CJ4438">
        <v>2.9</v>
      </c>
      <c r="CK4438">
        <v>97</v>
      </c>
      <c r="CL4438">
        <v>-1.1200000000000001</v>
      </c>
      <c r="CM4438">
        <v>97</v>
      </c>
      <c r="CN4438">
        <v>-0.46</v>
      </c>
      <c r="CO4438">
        <v>96</v>
      </c>
      <c r="CP4438">
        <v>13.5</v>
      </c>
      <c r="CQ4438">
        <v>95</v>
      </c>
      <c r="CR4438">
        <v>0</v>
      </c>
      <c r="CS4438">
        <v>0</v>
      </c>
      <c r="CT4438">
        <v>25.3</v>
      </c>
      <c r="CU4438">
        <v>94</v>
      </c>
      <c r="CV4438">
        <v>0.27</v>
      </c>
      <c r="CW4438">
        <v>45</v>
      </c>
      <c r="CX4438" t="s">
        <v>273</v>
      </c>
    </row>
    <row r="4439" spans="1:102" x14ac:dyDescent="0.3">
      <c r="A4439" t="str">
        <f>HYPERLINK("https://webapp.icbf.com/v2/app/bull-search/view/586204051","S823")</f>
        <v>S823</v>
      </c>
      <c r="B4439" t="s">
        <v>1705</v>
      </c>
      <c r="C4439" t="s">
        <v>1706</v>
      </c>
      <c r="D4439" s="1">
        <v>37860</v>
      </c>
      <c r="E4439" t="s">
        <v>92</v>
      </c>
      <c r="F4439">
        <v>100</v>
      </c>
      <c r="G4439" t="s">
        <v>109</v>
      </c>
      <c r="H4439">
        <v>-124.1</v>
      </c>
      <c r="I4439">
        <v>87</v>
      </c>
      <c r="J4439">
        <v>35.31</v>
      </c>
      <c r="K4439">
        <v>95</v>
      </c>
      <c r="L4439">
        <v>-173.89</v>
      </c>
      <c r="M4439">
        <v>88</v>
      </c>
      <c r="N4439">
        <v>32.36</v>
      </c>
      <c r="O4439">
        <v>82</v>
      </c>
      <c r="P4439">
        <v>-9.51</v>
      </c>
      <c r="Q4439">
        <v>85</v>
      </c>
      <c r="R4439">
        <v>-2.52</v>
      </c>
      <c r="S4439">
        <v>79</v>
      </c>
      <c r="T4439">
        <v>-1.27</v>
      </c>
      <c r="U4439">
        <v>68</v>
      </c>
      <c r="V4439">
        <v>-4.58</v>
      </c>
      <c r="W4439">
        <v>65</v>
      </c>
      <c r="X4439" t="s">
        <v>102</v>
      </c>
      <c r="Y4439" t="s">
        <v>1494</v>
      </c>
      <c r="Z4439" t="s">
        <v>96</v>
      </c>
      <c r="AA4439" t="s">
        <v>1707</v>
      </c>
      <c r="AB4439" t="s">
        <v>1708</v>
      </c>
      <c r="AC4439">
        <v>33</v>
      </c>
      <c r="AD4439">
        <v>15</v>
      </c>
      <c r="AE4439">
        <v>95</v>
      </c>
      <c r="AF4439">
        <v>352.69</v>
      </c>
      <c r="AG4439">
        <v>10.33</v>
      </c>
      <c r="AH4439">
        <v>7.75</v>
      </c>
      <c r="AI4439">
        <v>-0.06</v>
      </c>
      <c r="AJ4439">
        <v>-7.0000000000000007E-2</v>
      </c>
      <c r="AK4439">
        <v>88</v>
      </c>
      <c r="AL4439">
        <v>45</v>
      </c>
      <c r="AM4439">
        <v>21</v>
      </c>
      <c r="AN4439">
        <v>9.2899999999999991</v>
      </c>
      <c r="AO4439">
        <v>-4.58</v>
      </c>
      <c r="AP4439">
        <v>102</v>
      </c>
      <c r="AQ4439">
        <v>0</v>
      </c>
      <c r="AR4439">
        <v>5.12</v>
      </c>
      <c r="AS4439">
        <v>79</v>
      </c>
      <c r="AT4439">
        <v>2.67</v>
      </c>
      <c r="AU4439">
        <v>91</v>
      </c>
      <c r="AV4439">
        <v>-3.27</v>
      </c>
      <c r="AW4439">
        <v>90</v>
      </c>
      <c r="AX4439">
        <v>1.62</v>
      </c>
      <c r="AY4439">
        <v>72</v>
      </c>
      <c r="AZ4439">
        <v>6.42</v>
      </c>
      <c r="BA4439">
        <v>58</v>
      </c>
      <c r="BB4439">
        <v>4.8099999999999996</v>
      </c>
      <c r="BC4439">
        <v>56</v>
      </c>
      <c r="BD4439">
        <v>0.03</v>
      </c>
      <c r="BE4439">
        <v>0.02</v>
      </c>
      <c r="BF4439">
        <v>-0.03</v>
      </c>
      <c r="BG4439">
        <v>92</v>
      </c>
      <c r="BH4439">
        <v>-0.1</v>
      </c>
      <c r="BI4439">
        <v>3.22</v>
      </c>
      <c r="BJ4439">
        <v>13</v>
      </c>
      <c r="BK4439">
        <v>7</v>
      </c>
      <c r="BL4439">
        <v>0.96</v>
      </c>
      <c r="BM4439">
        <v>-1.95</v>
      </c>
      <c r="BN4439">
        <v>-0.04</v>
      </c>
      <c r="BO4439">
        <v>1.45</v>
      </c>
      <c r="BP4439">
        <v>2.75</v>
      </c>
      <c r="BQ4439">
        <v>0.16</v>
      </c>
      <c r="BR4439">
        <v>-0.87</v>
      </c>
      <c r="BS4439">
        <v>2.75</v>
      </c>
      <c r="BT4439">
        <v>1.25</v>
      </c>
      <c r="BU4439">
        <v>-1</v>
      </c>
      <c r="BV4439">
        <v>0.47</v>
      </c>
      <c r="BW4439">
        <v>1.67</v>
      </c>
      <c r="BX4439">
        <v>0.15</v>
      </c>
      <c r="BY4439">
        <v>1.04</v>
      </c>
      <c r="BZ4439">
        <v>-1.8</v>
      </c>
      <c r="CA4439">
        <v>1.1200000000000001</v>
      </c>
      <c r="CB4439">
        <v>0.56999999999999995</v>
      </c>
      <c r="CC4439">
        <v>2.36</v>
      </c>
      <c r="CD4439">
        <v>-1.51</v>
      </c>
      <c r="CE4439">
        <v>1.1499999999999999</v>
      </c>
      <c r="CF4439">
        <v>0.1</v>
      </c>
      <c r="CG4439">
        <v>0</v>
      </c>
      <c r="CH4439">
        <v>0.83</v>
      </c>
      <c r="CI4439">
        <v>0</v>
      </c>
      <c r="CJ4439">
        <v>-2.1</v>
      </c>
      <c r="CK4439">
        <v>87</v>
      </c>
      <c r="CL4439">
        <v>-1.17</v>
      </c>
      <c r="CM4439">
        <v>84</v>
      </c>
      <c r="CN4439">
        <v>-0.46</v>
      </c>
      <c r="CO4439">
        <v>82</v>
      </c>
      <c r="CP4439">
        <v>0.5</v>
      </c>
      <c r="CQ4439">
        <v>81</v>
      </c>
      <c r="CR4439">
        <v>0</v>
      </c>
      <c r="CS4439">
        <v>0</v>
      </c>
      <c r="CT4439">
        <v>15.5</v>
      </c>
      <c r="CU4439">
        <v>68</v>
      </c>
      <c r="CV4439">
        <v>0.14000000000000001</v>
      </c>
      <c r="CW4439">
        <v>43</v>
      </c>
      <c r="CX4439" t="s">
        <v>1384</v>
      </c>
    </row>
    <row r="4440" spans="1:102" x14ac:dyDescent="0.3">
      <c r="A4440" t="str">
        <f>HYPERLINK("https://webapp.icbf.com/v2/app/bull-search/view/77856058","KVV")</f>
        <v>KVV</v>
      </c>
      <c r="B4440" t="s">
        <v>773</v>
      </c>
      <c r="C4440" t="s">
        <v>774</v>
      </c>
      <c r="D4440" s="1">
        <v>33580</v>
      </c>
      <c r="E4440" t="s">
        <v>92</v>
      </c>
      <c r="F4440">
        <v>100</v>
      </c>
      <c r="G4440" t="s">
        <v>93</v>
      </c>
      <c r="H4440">
        <v>-124.42</v>
      </c>
      <c r="I4440">
        <v>85</v>
      </c>
      <c r="J4440">
        <v>-68.08</v>
      </c>
      <c r="K4440">
        <v>95</v>
      </c>
      <c r="L4440">
        <v>-55.78</v>
      </c>
      <c r="M4440">
        <v>89</v>
      </c>
      <c r="N4440">
        <v>-4.9000000000000004</v>
      </c>
      <c r="O4440">
        <v>73</v>
      </c>
      <c r="P4440">
        <v>-4.6100000000000003</v>
      </c>
      <c r="Q4440">
        <v>75</v>
      </c>
      <c r="R4440">
        <v>-3.54</v>
      </c>
      <c r="S4440">
        <v>78</v>
      </c>
      <c r="T4440">
        <v>6.72</v>
      </c>
      <c r="U4440">
        <v>69</v>
      </c>
      <c r="V4440">
        <v>5.77</v>
      </c>
      <c r="W4440">
        <v>62</v>
      </c>
      <c r="X4440" t="s">
        <v>251</v>
      </c>
      <c r="Y4440" t="s">
        <v>95</v>
      </c>
      <c r="Z4440" t="s">
        <v>96</v>
      </c>
      <c r="AA4440" t="s">
        <v>561</v>
      </c>
      <c r="AB4440" t="s">
        <v>775</v>
      </c>
      <c r="AC4440">
        <v>41</v>
      </c>
      <c r="AD4440">
        <v>28</v>
      </c>
      <c r="AE4440">
        <v>95</v>
      </c>
      <c r="AF4440">
        <v>38.770000000000003</v>
      </c>
      <c r="AG4440">
        <v>-3.21</v>
      </c>
      <c r="AH4440">
        <v>-9.85</v>
      </c>
      <c r="AI4440">
        <v>-0.08</v>
      </c>
      <c r="AJ4440">
        <v>-0.19</v>
      </c>
      <c r="AK4440">
        <v>89</v>
      </c>
      <c r="AL4440">
        <v>36</v>
      </c>
      <c r="AM4440">
        <v>25</v>
      </c>
      <c r="AN4440">
        <v>3.69</v>
      </c>
      <c r="AO4440">
        <v>-0.75</v>
      </c>
      <c r="AP4440">
        <v>18</v>
      </c>
      <c r="AQ4440">
        <v>1</v>
      </c>
      <c r="AR4440">
        <v>7.56</v>
      </c>
      <c r="AS4440">
        <v>57</v>
      </c>
      <c r="AT4440">
        <v>3.46</v>
      </c>
      <c r="AU4440">
        <v>91</v>
      </c>
      <c r="AV4440">
        <v>-0.33</v>
      </c>
      <c r="AW4440">
        <v>75</v>
      </c>
      <c r="AX4440">
        <v>0.02</v>
      </c>
      <c r="AY4440">
        <v>67</v>
      </c>
      <c r="AZ4440">
        <v>6.93</v>
      </c>
      <c r="BA4440">
        <v>49</v>
      </c>
      <c r="BB4440">
        <v>5.74</v>
      </c>
      <c r="BC4440">
        <v>54</v>
      </c>
      <c r="BD4440">
        <v>0.05</v>
      </c>
      <c r="BE4440">
        <v>0.02</v>
      </c>
      <c r="BF4440">
        <v>-0.04</v>
      </c>
      <c r="BG4440">
        <v>93</v>
      </c>
      <c r="BH4440">
        <v>0.19</v>
      </c>
      <c r="BI4440">
        <v>3.35</v>
      </c>
      <c r="BJ4440">
        <v>13</v>
      </c>
      <c r="BK4440">
        <v>11</v>
      </c>
      <c r="BL4440">
        <v>1.02</v>
      </c>
      <c r="BM4440">
        <v>0.56000000000000005</v>
      </c>
      <c r="BN4440">
        <v>1.71</v>
      </c>
      <c r="BO4440">
        <v>0.89</v>
      </c>
      <c r="BP4440">
        <v>-1.51</v>
      </c>
      <c r="BQ4440">
        <v>2.14</v>
      </c>
      <c r="BR4440">
        <v>0.92</v>
      </c>
      <c r="BS4440">
        <v>1.42</v>
      </c>
      <c r="BT4440">
        <v>-0.78</v>
      </c>
      <c r="BU4440">
        <v>1.53</v>
      </c>
      <c r="BV4440">
        <v>1.02</v>
      </c>
      <c r="BW4440">
        <v>1.18</v>
      </c>
      <c r="BX4440">
        <v>0.87</v>
      </c>
      <c r="BY4440">
        <v>2.44</v>
      </c>
      <c r="BZ4440">
        <v>-1.52</v>
      </c>
      <c r="CA4440">
        <v>1.68</v>
      </c>
      <c r="CB4440">
        <v>1.42</v>
      </c>
      <c r="CC4440">
        <v>1.66</v>
      </c>
      <c r="CD4440">
        <v>-0.54</v>
      </c>
      <c r="CE4440">
        <v>0.7</v>
      </c>
      <c r="CF4440">
        <v>0.66</v>
      </c>
      <c r="CG4440">
        <v>0</v>
      </c>
      <c r="CH4440">
        <v>2.38</v>
      </c>
      <c r="CI4440">
        <v>0</v>
      </c>
      <c r="CJ4440">
        <v>-1.3</v>
      </c>
      <c r="CK4440">
        <v>76</v>
      </c>
      <c r="CL4440">
        <v>-0.88</v>
      </c>
      <c r="CM4440">
        <v>72</v>
      </c>
      <c r="CN4440">
        <v>-0.53</v>
      </c>
      <c r="CO4440">
        <v>69</v>
      </c>
      <c r="CP4440">
        <v>0.4</v>
      </c>
      <c r="CQ4440">
        <v>80</v>
      </c>
      <c r="CR4440">
        <v>0</v>
      </c>
      <c r="CS4440">
        <v>0</v>
      </c>
      <c r="CT4440">
        <v>4.7</v>
      </c>
      <c r="CU4440">
        <v>69</v>
      </c>
      <c r="CV4440">
        <v>0.12</v>
      </c>
      <c r="CW4440">
        <v>40</v>
      </c>
      <c r="CX4440" t="s">
        <v>111</v>
      </c>
    </row>
    <row r="4441" spans="1:102" x14ac:dyDescent="0.3">
      <c r="A4441" t="str">
        <f>HYPERLINK("https://webapp.icbf.com/v2/app/bull-search/view/77857780","EZL")</f>
        <v>EZL</v>
      </c>
      <c r="B4441" t="s">
        <v>7041</v>
      </c>
      <c r="C4441" t="s">
        <v>7042</v>
      </c>
      <c r="D4441" s="1">
        <v>32436</v>
      </c>
      <c r="E4441" t="s">
        <v>92</v>
      </c>
      <c r="F4441">
        <v>100</v>
      </c>
      <c r="G4441" t="s">
        <v>93</v>
      </c>
      <c r="H4441">
        <v>-124.49</v>
      </c>
      <c r="I4441">
        <v>94</v>
      </c>
      <c r="J4441">
        <v>4.1100000000000003</v>
      </c>
      <c r="K4441">
        <v>98</v>
      </c>
      <c r="L4441">
        <v>-115.86</v>
      </c>
      <c r="M4441">
        <v>94</v>
      </c>
      <c r="N4441">
        <v>-2.0699999999999998</v>
      </c>
      <c r="O4441">
        <v>90</v>
      </c>
      <c r="P4441">
        <v>-12.76</v>
      </c>
      <c r="Q4441">
        <v>93</v>
      </c>
      <c r="R4441">
        <v>-14.69</v>
      </c>
      <c r="S4441">
        <v>88</v>
      </c>
      <c r="T4441">
        <v>23.82</v>
      </c>
      <c r="U4441">
        <v>92</v>
      </c>
      <c r="V4441">
        <v>-7.04</v>
      </c>
      <c r="W4441">
        <v>79</v>
      </c>
      <c r="X4441" t="s">
        <v>94</v>
      </c>
      <c r="Y4441" t="s">
        <v>95</v>
      </c>
      <c r="Z4441" t="s">
        <v>96</v>
      </c>
      <c r="AA4441" t="s">
        <v>166</v>
      </c>
      <c r="AB4441" t="s">
        <v>3619</v>
      </c>
      <c r="AC4441">
        <v>298</v>
      </c>
      <c r="AD4441">
        <v>177</v>
      </c>
      <c r="AE4441">
        <v>98</v>
      </c>
      <c r="AF4441">
        <v>169.17</v>
      </c>
      <c r="AG4441">
        <v>4.9400000000000004</v>
      </c>
      <c r="AH4441">
        <v>1.54</v>
      </c>
      <c r="AI4441">
        <v>-0.03</v>
      </c>
      <c r="AJ4441">
        <v>-7.0000000000000007E-2</v>
      </c>
      <c r="AK4441">
        <v>94</v>
      </c>
      <c r="AL4441">
        <v>361</v>
      </c>
      <c r="AM4441">
        <v>195</v>
      </c>
      <c r="AN4441">
        <v>6.27</v>
      </c>
      <c r="AO4441">
        <v>-2.97</v>
      </c>
      <c r="AP4441">
        <v>17</v>
      </c>
      <c r="AQ4441">
        <v>2</v>
      </c>
      <c r="AR4441">
        <v>8.25</v>
      </c>
      <c r="AS4441">
        <v>78</v>
      </c>
      <c r="AT4441">
        <v>3.77</v>
      </c>
      <c r="AU4441">
        <v>96</v>
      </c>
      <c r="AV4441">
        <v>-0.28000000000000003</v>
      </c>
      <c r="AW4441">
        <v>91</v>
      </c>
      <c r="AX4441">
        <v>-0.51</v>
      </c>
      <c r="AY4441">
        <v>92</v>
      </c>
      <c r="AZ4441">
        <v>6.03</v>
      </c>
      <c r="BA4441">
        <v>74</v>
      </c>
      <c r="BB4441">
        <v>4.67</v>
      </c>
      <c r="BC4441">
        <v>84</v>
      </c>
      <c r="BD4441">
        <v>0.04</v>
      </c>
      <c r="BE4441">
        <v>0.09</v>
      </c>
      <c r="BF4441">
        <v>0.1</v>
      </c>
      <c r="BG4441">
        <v>97</v>
      </c>
      <c r="BH4441">
        <v>-0.14000000000000001</v>
      </c>
      <c r="BI4441">
        <v>6.53</v>
      </c>
      <c r="BJ4441">
        <v>55</v>
      </c>
      <c r="BK4441">
        <v>38</v>
      </c>
      <c r="BL4441">
        <v>0.16</v>
      </c>
      <c r="BM4441">
        <v>-3.08</v>
      </c>
      <c r="BN4441">
        <v>-0.57999999999999996</v>
      </c>
      <c r="BO4441">
        <v>1.44</v>
      </c>
      <c r="BP4441">
        <v>3.34</v>
      </c>
      <c r="BQ4441">
        <v>-3.07</v>
      </c>
      <c r="BR4441">
        <v>0.65</v>
      </c>
      <c r="BS4441">
        <v>-1.0900000000000001</v>
      </c>
      <c r="BT4441">
        <v>-0.85</v>
      </c>
      <c r="BU4441">
        <v>0</v>
      </c>
      <c r="BV4441">
        <v>0.57999999999999996</v>
      </c>
      <c r="BW4441">
        <v>-0.31</v>
      </c>
      <c r="BX4441">
        <v>-0.9</v>
      </c>
      <c r="BY4441">
        <v>-0.26</v>
      </c>
      <c r="BZ4441">
        <v>1.25</v>
      </c>
      <c r="CA4441">
        <v>0.19</v>
      </c>
      <c r="CB4441">
        <v>0.65</v>
      </c>
      <c r="CC4441">
        <v>-0.78</v>
      </c>
      <c r="CD4441">
        <v>-2.4300000000000002</v>
      </c>
      <c r="CE4441">
        <v>1.49</v>
      </c>
      <c r="CF4441">
        <v>-0.21</v>
      </c>
      <c r="CG4441">
        <v>0</v>
      </c>
      <c r="CH4441">
        <v>-0.11</v>
      </c>
      <c r="CI4441">
        <v>0</v>
      </c>
      <c r="CJ4441">
        <v>-4.5</v>
      </c>
      <c r="CK4441">
        <v>94</v>
      </c>
      <c r="CL4441">
        <v>-0.59</v>
      </c>
      <c r="CM4441">
        <v>92</v>
      </c>
      <c r="CN4441">
        <v>-0.13</v>
      </c>
      <c r="CO4441">
        <v>92</v>
      </c>
      <c r="CP4441">
        <v>-13.2</v>
      </c>
      <c r="CQ4441">
        <v>96</v>
      </c>
      <c r="CR4441">
        <v>0</v>
      </c>
      <c r="CS4441">
        <v>0</v>
      </c>
      <c r="CT4441">
        <v>-18.399999999999999</v>
      </c>
      <c r="CU4441">
        <v>92</v>
      </c>
      <c r="CV4441">
        <v>0.09</v>
      </c>
      <c r="CW4441">
        <v>45</v>
      </c>
      <c r="CX4441" t="s">
        <v>707</v>
      </c>
    </row>
    <row r="4442" spans="1:102" x14ac:dyDescent="0.3">
      <c r="A4442" t="str">
        <f>HYPERLINK("https://webapp.icbf.com/v2/app/bull-search/view/77853871","SJM")</f>
        <v>SJM</v>
      </c>
      <c r="B4442" t="s">
        <v>2845</v>
      </c>
      <c r="C4442" t="s">
        <v>2846</v>
      </c>
      <c r="D4442" s="1">
        <v>34119</v>
      </c>
      <c r="E4442" t="s">
        <v>92</v>
      </c>
      <c r="F4442">
        <v>100</v>
      </c>
      <c r="G4442" t="s">
        <v>93</v>
      </c>
      <c r="H4442">
        <v>-124.61</v>
      </c>
      <c r="I4442">
        <v>98</v>
      </c>
      <c r="J4442">
        <v>9.3800000000000008</v>
      </c>
      <c r="K4442">
        <v>99</v>
      </c>
      <c r="L4442">
        <v>-141.69</v>
      </c>
      <c r="M4442">
        <v>96</v>
      </c>
      <c r="N4442">
        <v>11.2</v>
      </c>
      <c r="O4442">
        <v>99</v>
      </c>
      <c r="P4442">
        <v>-5.48</v>
      </c>
      <c r="Q4442">
        <v>99</v>
      </c>
      <c r="R4442">
        <v>0.57999999999999996</v>
      </c>
      <c r="S4442">
        <v>97</v>
      </c>
      <c r="T4442">
        <v>1.39</v>
      </c>
      <c r="U4442">
        <v>99</v>
      </c>
      <c r="V4442">
        <v>0.01</v>
      </c>
      <c r="W4442">
        <v>98</v>
      </c>
      <c r="X4442" t="s">
        <v>131</v>
      </c>
      <c r="Y4442" t="s">
        <v>95</v>
      </c>
      <c r="Z4442" t="s">
        <v>96</v>
      </c>
      <c r="AA4442" t="s">
        <v>1550</v>
      </c>
      <c r="AB4442" t="s">
        <v>2847</v>
      </c>
      <c r="AC4442">
        <v>3295</v>
      </c>
      <c r="AD4442">
        <v>823</v>
      </c>
      <c r="AE4442">
        <v>99</v>
      </c>
      <c r="AF4442">
        <v>58.8</v>
      </c>
      <c r="AG4442">
        <v>2.42</v>
      </c>
      <c r="AH4442">
        <v>1.64</v>
      </c>
      <c r="AI4442">
        <v>0</v>
      </c>
      <c r="AJ4442">
        <v>-0.01</v>
      </c>
      <c r="AK4442">
        <v>96</v>
      </c>
      <c r="AL4442">
        <v>2995</v>
      </c>
      <c r="AM4442">
        <v>790</v>
      </c>
      <c r="AN4442">
        <v>6.92</v>
      </c>
      <c r="AO4442">
        <v>-4.3899999999999997</v>
      </c>
      <c r="AP4442">
        <v>6402</v>
      </c>
      <c r="AQ4442">
        <v>6</v>
      </c>
      <c r="AR4442">
        <v>6.8</v>
      </c>
      <c r="AS4442">
        <v>99</v>
      </c>
      <c r="AT4442">
        <v>3.12</v>
      </c>
      <c r="AU4442">
        <v>99</v>
      </c>
      <c r="AV4442">
        <v>-1.38</v>
      </c>
      <c r="AW4442">
        <v>99</v>
      </c>
      <c r="AX4442">
        <v>0.79</v>
      </c>
      <c r="AY4442">
        <v>99</v>
      </c>
      <c r="AZ4442">
        <v>6.29</v>
      </c>
      <c r="BA4442">
        <v>98</v>
      </c>
      <c r="BB4442">
        <v>5</v>
      </c>
      <c r="BC4442">
        <v>98</v>
      </c>
      <c r="BD4442">
        <v>0.04</v>
      </c>
      <c r="BE4442">
        <v>0</v>
      </c>
      <c r="BF4442">
        <v>-0.08</v>
      </c>
      <c r="BG4442">
        <v>99</v>
      </c>
      <c r="BH4442">
        <v>0.05</v>
      </c>
      <c r="BI4442">
        <v>5.74</v>
      </c>
      <c r="BJ4442">
        <v>1151</v>
      </c>
      <c r="BK4442">
        <v>287</v>
      </c>
      <c r="BL4442">
        <v>1.1200000000000001</v>
      </c>
      <c r="BM4442">
        <v>-0.72</v>
      </c>
      <c r="BN4442">
        <v>0.43</v>
      </c>
      <c r="BO4442">
        <v>0.72</v>
      </c>
      <c r="BP4442">
        <v>0.32</v>
      </c>
      <c r="BQ4442">
        <v>-0.43</v>
      </c>
      <c r="BR4442">
        <v>-0.17</v>
      </c>
      <c r="BS4442">
        <v>0.97</v>
      </c>
      <c r="BT4442">
        <v>0.47</v>
      </c>
      <c r="BU4442">
        <v>1.61</v>
      </c>
      <c r="BV4442">
        <v>1.23</v>
      </c>
      <c r="BW4442">
        <v>0.75</v>
      </c>
      <c r="BX4442">
        <v>1.23</v>
      </c>
      <c r="BY4442">
        <v>-0.49</v>
      </c>
      <c r="BZ4442">
        <v>2.58</v>
      </c>
      <c r="CA4442">
        <v>1.3</v>
      </c>
      <c r="CB4442">
        <v>1.1000000000000001</v>
      </c>
      <c r="CC4442">
        <v>1.07</v>
      </c>
      <c r="CD4442">
        <v>-7.0000000000000007E-2</v>
      </c>
      <c r="CE4442">
        <v>0.79</v>
      </c>
      <c r="CF4442">
        <v>0.78</v>
      </c>
      <c r="CG4442">
        <v>0</v>
      </c>
      <c r="CH4442">
        <v>-0.49</v>
      </c>
      <c r="CI4442">
        <v>0</v>
      </c>
      <c r="CJ4442">
        <v>-2.1</v>
      </c>
      <c r="CK4442">
        <v>99</v>
      </c>
      <c r="CL4442">
        <v>-0.96</v>
      </c>
      <c r="CM4442">
        <v>99</v>
      </c>
      <c r="CN4442">
        <v>-0.61</v>
      </c>
      <c r="CO4442">
        <v>99</v>
      </c>
      <c r="CP4442">
        <v>1.2</v>
      </c>
      <c r="CQ4442">
        <v>99</v>
      </c>
      <c r="CR4442">
        <v>0</v>
      </c>
      <c r="CS4442">
        <v>0</v>
      </c>
      <c r="CT4442">
        <v>11.9</v>
      </c>
      <c r="CU4442">
        <v>99</v>
      </c>
      <c r="CV4442">
        <v>0.15</v>
      </c>
      <c r="CW4442">
        <v>46</v>
      </c>
      <c r="CX4442" t="s">
        <v>132</v>
      </c>
    </row>
    <row r="4443" spans="1:102" x14ac:dyDescent="0.3">
      <c r="A4443" t="str">
        <f>HYPERLINK("https://webapp.icbf.com/v2/app/bull-search/view/77856370","JVI")</f>
        <v>JVI</v>
      </c>
      <c r="B4443" t="s">
        <v>11026</v>
      </c>
      <c r="C4443" t="s">
        <v>11027</v>
      </c>
      <c r="D4443" s="1">
        <v>34501</v>
      </c>
      <c r="E4443" t="s">
        <v>92</v>
      </c>
      <c r="F4443">
        <v>100</v>
      </c>
      <c r="G4443" t="s">
        <v>109</v>
      </c>
      <c r="H4443">
        <v>-124.7</v>
      </c>
      <c r="I4443">
        <v>81</v>
      </c>
      <c r="J4443">
        <v>2.42</v>
      </c>
      <c r="K4443">
        <v>93</v>
      </c>
      <c r="L4443">
        <v>-79.89</v>
      </c>
      <c r="M4443">
        <v>84</v>
      </c>
      <c r="N4443">
        <v>-51.22</v>
      </c>
      <c r="O4443">
        <v>64</v>
      </c>
      <c r="P4443">
        <v>-11.97</v>
      </c>
      <c r="Q4443">
        <v>67</v>
      </c>
      <c r="R4443">
        <v>1.87</v>
      </c>
      <c r="S4443">
        <v>77</v>
      </c>
      <c r="T4443">
        <v>13.01</v>
      </c>
      <c r="U4443">
        <v>68</v>
      </c>
      <c r="V4443">
        <v>1.08</v>
      </c>
      <c r="W4443">
        <v>64</v>
      </c>
      <c r="X4443" t="s">
        <v>110</v>
      </c>
      <c r="Y4443" t="s">
        <v>95</v>
      </c>
      <c r="Z4443" t="s">
        <v>96</v>
      </c>
      <c r="AA4443" t="s">
        <v>180</v>
      </c>
      <c r="AB4443" t="s">
        <v>4154</v>
      </c>
      <c r="AC4443">
        <v>0</v>
      </c>
      <c r="AD4443">
        <v>0</v>
      </c>
      <c r="AE4443">
        <v>93</v>
      </c>
      <c r="AF4443">
        <v>102.27</v>
      </c>
      <c r="AG4443">
        <v>2.82</v>
      </c>
      <c r="AH4443">
        <v>0.98</v>
      </c>
      <c r="AI4443">
        <v>-0.02</v>
      </c>
      <c r="AJ4443">
        <v>-0.04</v>
      </c>
      <c r="AK4443">
        <v>84</v>
      </c>
      <c r="AL4443">
        <v>0</v>
      </c>
      <c r="AM4443">
        <v>0</v>
      </c>
      <c r="AN4443">
        <v>2.92</v>
      </c>
      <c r="AO4443">
        <v>-3.47</v>
      </c>
      <c r="AP4443">
        <v>2</v>
      </c>
      <c r="AQ4443">
        <v>0</v>
      </c>
      <c r="AR4443">
        <v>12.5</v>
      </c>
      <c r="AS4443">
        <v>56</v>
      </c>
      <c r="AT4443">
        <v>6.06</v>
      </c>
      <c r="AU4443">
        <v>91</v>
      </c>
      <c r="AV4443">
        <v>0.21</v>
      </c>
      <c r="AW4443">
        <v>57</v>
      </c>
      <c r="AX4443">
        <v>-0.02</v>
      </c>
      <c r="AY4443">
        <v>57</v>
      </c>
      <c r="AZ4443">
        <v>6.36</v>
      </c>
      <c r="BA4443">
        <v>49</v>
      </c>
      <c r="BB4443">
        <v>4.68</v>
      </c>
      <c r="BC4443">
        <v>52</v>
      </c>
      <c r="BD4443">
        <v>0</v>
      </c>
      <c r="BE4443">
        <v>0.03</v>
      </c>
      <c r="BF4443">
        <v>-0.1</v>
      </c>
      <c r="BG4443">
        <v>91</v>
      </c>
      <c r="BH4443">
        <v>0.11</v>
      </c>
      <c r="BI4443">
        <v>9.25</v>
      </c>
      <c r="BJ4443">
        <v>4</v>
      </c>
      <c r="BK4443">
        <v>2</v>
      </c>
      <c r="BL4443">
        <v>0.48</v>
      </c>
      <c r="BM4443">
        <v>0.93</v>
      </c>
      <c r="BN4443">
        <v>0.7</v>
      </c>
      <c r="BO4443">
        <v>0.02</v>
      </c>
      <c r="BP4443">
        <v>-0.09</v>
      </c>
      <c r="BQ4443">
        <v>-0.23</v>
      </c>
      <c r="BR4443">
        <v>0.93</v>
      </c>
      <c r="BS4443">
        <v>0.51</v>
      </c>
      <c r="BT4443">
        <v>0.97</v>
      </c>
      <c r="BU4443">
        <v>0.13</v>
      </c>
      <c r="BV4443">
        <v>0.93</v>
      </c>
      <c r="BW4443">
        <v>-0.35</v>
      </c>
      <c r="BX4443">
        <v>-0.56000000000000005</v>
      </c>
      <c r="BY4443">
        <v>-0.09</v>
      </c>
      <c r="BZ4443">
        <v>-0.97</v>
      </c>
      <c r="CA4443">
        <v>0.3</v>
      </c>
      <c r="CB4443">
        <v>0.3</v>
      </c>
      <c r="CC4443">
        <v>-0.32</v>
      </c>
      <c r="CD4443">
        <v>0.12</v>
      </c>
      <c r="CE4443">
        <v>-0.16</v>
      </c>
      <c r="CF4443">
        <v>-0.9</v>
      </c>
      <c r="CG4443">
        <v>0</v>
      </c>
      <c r="CH4443">
        <v>0.28000000000000003</v>
      </c>
      <c r="CI4443">
        <v>0</v>
      </c>
      <c r="CJ4443">
        <v>-3.9</v>
      </c>
      <c r="CK4443">
        <v>68</v>
      </c>
      <c r="CL4443">
        <v>-0.8</v>
      </c>
      <c r="CM4443">
        <v>65</v>
      </c>
      <c r="CN4443">
        <v>-0.21</v>
      </c>
      <c r="CO4443">
        <v>61</v>
      </c>
      <c r="CP4443">
        <v>-5.3</v>
      </c>
      <c r="CQ4443">
        <v>74</v>
      </c>
      <c r="CR4443">
        <v>0</v>
      </c>
      <c r="CS4443">
        <v>0</v>
      </c>
      <c r="CT4443">
        <v>-3.8</v>
      </c>
      <c r="CU4443">
        <v>68</v>
      </c>
      <c r="CV4443">
        <v>0.08</v>
      </c>
      <c r="CW4443">
        <v>39</v>
      </c>
      <c r="CX4443" t="s">
        <v>166</v>
      </c>
    </row>
    <row r="4444" spans="1:102" x14ac:dyDescent="0.3">
      <c r="A4444" t="str">
        <f>HYPERLINK("https://webapp.icbf.com/v2/app/bull-search/view/77859988","BTS")</f>
        <v>BTS</v>
      </c>
      <c r="B4444" t="s">
        <v>14155</v>
      </c>
      <c r="C4444" t="s">
        <v>14156</v>
      </c>
      <c r="D4444" s="1">
        <v>33726</v>
      </c>
      <c r="E4444" t="s">
        <v>92</v>
      </c>
      <c r="F4444">
        <v>100</v>
      </c>
      <c r="G4444" t="s">
        <v>93</v>
      </c>
      <c r="H4444">
        <v>-124.81</v>
      </c>
      <c r="I4444">
        <v>66</v>
      </c>
      <c r="J4444">
        <v>-50.29</v>
      </c>
      <c r="K4444">
        <v>89</v>
      </c>
      <c r="L4444">
        <v>-90.05</v>
      </c>
      <c r="M4444">
        <v>58</v>
      </c>
      <c r="N4444">
        <v>27.27</v>
      </c>
      <c r="O4444">
        <v>45</v>
      </c>
      <c r="P4444">
        <v>-8.7200000000000006</v>
      </c>
      <c r="Q4444">
        <v>64</v>
      </c>
      <c r="R4444">
        <v>-14.83</v>
      </c>
      <c r="S4444">
        <v>61</v>
      </c>
      <c r="T4444">
        <v>13.16</v>
      </c>
      <c r="U4444">
        <v>52</v>
      </c>
      <c r="V4444">
        <v>-1.35</v>
      </c>
      <c r="W4444">
        <v>21</v>
      </c>
      <c r="X4444" t="s">
        <v>94</v>
      </c>
      <c r="Y4444" t="s">
        <v>95</v>
      </c>
      <c r="Z4444" t="s">
        <v>96</v>
      </c>
      <c r="AA4444" t="s">
        <v>561</v>
      </c>
      <c r="AB4444" t="s">
        <v>14157</v>
      </c>
      <c r="AC4444">
        <v>51</v>
      </c>
      <c r="AD4444">
        <v>45</v>
      </c>
      <c r="AE4444">
        <v>89</v>
      </c>
      <c r="AF4444">
        <v>-93.79</v>
      </c>
      <c r="AG4444">
        <v>-5.48</v>
      </c>
      <c r="AH4444">
        <v>-8.0500000000000007</v>
      </c>
      <c r="AI4444">
        <v>-0.03</v>
      </c>
      <c r="AJ4444">
        <v>-0.08</v>
      </c>
      <c r="AK4444">
        <v>58</v>
      </c>
      <c r="AL4444">
        <v>77</v>
      </c>
      <c r="AM4444">
        <v>62</v>
      </c>
      <c r="AN4444">
        <v>5.03</v>
      </c>
      <c r="AO4444">
        <v>-2.15</v>
      </c>
      <c r="AP4444">
        <v>2</v>
      </c>
      <c r="AQ4444">
        <v>0</v>
      </c>
      <c r="AR4444">
        <v>5.62</v>
      </c>
      <c r="AS4444">
        <v>23</v>
      </c>
      <c r="AT4444">
        <v>2.69</v>
      </c>
      <c r="AU4444">
        <v>41</v>
      </c>
      <c r="AV4444">
        <v>-2.2200000000000002</v>
      </c>
      <c r="AW4444">
        <v>54</v>
      </c>
      <c r="AX4444">
        <v>0.25</v>
      </c>
      <c r="AY4444">
        <v>60</v>
      </c>
      <c r="AZ4444">
        <v>5.89</v>
      </c>
      <c r="BA4444">
        <v>23</v>
      </c>
      <c r="BB4444">
        <v>4.7699999999999996</v>
      </c>
      <c r="BC4444">
        <v>32</v>
      </c>
      <c r="BD4444">
        <v>0.03</v>
      </c>
      <c r="BE4444">
        <v>0.09</v>
      </c>
      <c r="BF4444">
        <v>0.12</v>
      </c>
      <c r="BG4444">
        <v>81</v>
      </c>
      <c r="BH4444">
        <v>0</v>
      </c>
      <c r="BI4444">
        <v>4.3499999999999996</v>
      </c>
      <c r="BJ4444">
        <v>20</v>
      </c>
      <c r="BK4444">
        <v>19</v>
      </c>
      <c r="BL4444">
        <v>0.14000000000000001</v>
      </c>
      <c r="BM4444">
        <v>-1.71</v>
      </c>
      <c r="BN4444">
        <v>-0.82</v>
      </c>
      <c r="BO4444">
        <v>0.36</v>
      </c>
      <c r="BP4444">
        <v>-0.55000000000000004</v>
      </c>
      <c r="BQ4444">
        <v>-1.24</v>
      </c>
      <c r="BR4444">
        <v>0.06</v>
      </c>
      <c r="BS4444">
        <v>-0.32</v>
      </c>
      <c r="BT4444">
        <v>-1.4</v>
      </c>
      <c r="BU4444">
        <v>-0.49</v>
      </c>
      <c r="BV4444">
        <v>0.3</v>
      </c>
      <c r="BW4444">
        <v>0.62</v>
      </c>
      <c r="BX4444">
        <v>0.42</v>
      </c>
      <c r="BY4444">
        <v>-1.17</v>
      </c>
      <c r="BZ4444">
        <v>0.25</v>
      </c>
      <c r="CA4444">
        <v>-0.23</v>
      </c>
      <c r="CB4444">
        <v>-0.11</v>
      </c>
      <c r="CC4444">
        <v>0.14000000000000001</v>
      </c>
      <c r="CD4444">
        <v>-0.82</v>
      </c>
      <c r="CE4444">
        <v>0.57999999999999996</v>
      </c>
      <c r="CF4444">
        <v>-0.44</v>
      </c>
      <c r="CG4444">
        <v>0</v>
      </c>
      <c r="CH4444">
        <v>1.1000000000000001</v>
      </c>
      <c r="CI4444">
        <v>0</v>
      </c>
      <c r="CJ4444">
        <v>-3.4</v>
      </c>
      <c r="CK4444">
        <v>66</v>
      </c>
      <c r="CL4444">
        <v>-0.77</v>
      </c>
      <c r="CM4444">
        <v>62</v>
      </c>
      <c r="CN4444">
        <v>-0.4</v>
      </c>
      <c r="CO4444">
        <v>57</v>
      </c>
      <c r="CP4444">
        <v>-5.0999999999999996</v>
      </c>
      <c r="CQ4444">
        <v>71</v>
      </c>
      <c r="CR4444">
        <v>0</v>
      </c>
      <c r="CS4444">
        <v>0</v>
      </c>
      <c r="CT4444">
        <v>-4</v>
      </c>
      <c r="CU4444">
        <v>52</v>
      </c>
      <c r="CV4444">
        <v>0.21</v>
      </c>
      <c r="CW4444">
        <v>17</v>
      </c>
      <c r="CX4444" t="s">
        <v>707</v>
      </c>
    </row>
    <row r="4445" spans="1:102" x14ac:dyDescent="0.3">
      <c r="A4445" t="str">
        <f>HYPERLINK("https://webapp.icbf.com/v2/app/bull-search/view/135422192","PMT")</f>
        <v>PMT</v>
      </c>
      <c r="B4445" t="s">
        <v>4701</v>
      </c>
      <c r="C4445" t="s">
        <v>386</v>
      </c>
      <c r="D4445" s="1">
        <v>37086</v>
      </c>
      <c r="E4445" t="s">
        <v>92</v>
      </c>
      <c r="F4445">
        <v>100</v>
      </c>
      <c r="G4445" t="s">
        <v>93</v>
      </c>
      <c r="H4445">
        <v>-124.85</v>
      </c>
      <c r="I4445">
        <v>91</v>
      </c>
      <c r="J4445">
        <v>52.75</v>
      </c>
      <c r="K4445">
        <v>98</v>
      </c>
      <c r="L4445">
        <v>-151.26</v>
      </c>
      <c r="M4445">
        <v>84</v>
      </c>
      <c r="N4445">
        <v>-20.04</v>
      </c>
      <c r="O4445">
        <v>90</v>
      </c>
      <c r="P4445">
        <v>-12.16</v>
      </c>
      <c r="Q4445">
        <v>95</v>
      </c>
      <c r="R4445">
        <v>-2.13</v>
      </c>
      <c r="S4445">
        <v>85</v>
      </c>
      <c r="T4445">
        <v>11.09</v>
      </c>
      <c r="U4445">
        <v>90</v>
      </c>
      <c r="V4445">
        <v>-3.1</v>
      </c>
      <c r="W4445">
        <v>84</v>
      </c>
      <c r="X4445" t="s">
        <v>94</v>
      </c>
      <c r="Y4445" t="s">
        <v>95</v>
      </c>
      <c r="Z4445" t="s">
        <v>96</v>
      </c>
      <c r="AA4445" t="s">
        <v>273</v>
      </c>
      <c r="AB4445" t="s">
        <v>4702</v>
      </c>
      <c r="AC4445">
        <v>161</v>
      </c>
      <c r="AD4445">
        <v>106</v>
      </c>
      <c r="AE4445">
        <v>98</v>
      </c>
      <c r="AF4445">
        <v>475.99</v>
      </c>
      <c r="AG4445">
        <v>5.59</v>
      </c>
      <c r="AH4445">
        <v>14.28</v>
      </c>
      <c r="AI4445">
        <v>-0.21</v>
      </c>
      <c r="AJ4445">
        <v>-0.03</v>
      </c>
      <c r="AK4445">
        <v>84</v>
      </c>
      <c r="AL4445">
        <v>141</v>
      </c>
      <c r="AM4445">
        <v>91</v>
      </c>
      <c r="AN4445">
        <v>10</v>
      </c>
      <c r="AO4445">
        <v>-2.04</v>
      </c>
      <c r="AP4445">
        <v>286</v>
      </c>
      <c r="AQ4445">
        <v>8</v>
      </c>
      <c r="AR4445">
        <v>11.28</v>
      </c>
      <c r="AS4445">
        <v>77</v>
      </c>
      <c r="AT4445">
        <v>5.19</v>
      </c>
      <c r="AU4445">
        <v>96</v>
      </c>
      <c r="AV4445">
        <v>-1.2</v>
      </c>
      <c r="AW4445">
        <v>95</v>
      </c>
      <c r="AX4445">
        <v>0.25</v>
      </c>
      <c r="AY4445">
        <v>86</v>
      </c>
      <c r="AZ4445">
        <v>5.05</v>
      </c>
      <c r="BA4445">
        <v>73</v>
      </c>
      <c r="BB4445">
        <v>4.25</v>
      </c>
      <c r="BC4445">
        <v>76</v>
      </c>
      <c r="BD4445">
        <v>0</v>
      </c>
      <c r="BE4445">
        <v>0.01</v>
      </c>
      <c r="BF4445">
        <v>0.03</v>
      </c>
      <c r="BG4445">
        <v>93</v>
      </c>
      <c r="BH4445">
        <v>0.02</v>
      </c>
      <c r="BI4445">
        <v>12.31</v>
      </c>
      <c r="BJ4445">
        <v>42</v>
      </c>
      <c r="BK4445">
        <v>28</v>
      </c>
      <c r="BL4445">
        <v>0.02</v>
      </c>
      <c r="BM4445">
        <v>-0.25</v>
      </c>
      <c r="BN4445">
        <v>0.34</v>
      </c>
      <c r="BO4445">
        <v>0.74</v>
      </c>
      <c r="BP4445">
        <v>0.38</v>
      </c>
      <c r="BQ4445">
        <v>-0.5</v>
      </c>
      <c r="BR4445">
        <v>-0.85</v>
      </c>
      <c r="BS4445">
        <v>0.74</v>
      </c>
      <c r="BT4445">
        <v>0.08</v>
      </c>
      <c r="BU4445">
        <v>1.1000000000000001</v>
      </c>
      <c r="BV4445">
        <v>2.14</v>
      </c>
      <c r="BW4445">
        <v>1.66</v>
      </c>
      <c r="BX4445">
        <v>0.09</v>
      </c>
      <c r="BY4445">
        <v>2.44</v>
      </c>
      <c r="BZ4445">
        <v>-2.08</v>
      </c>
      <c r="CA4445">
        <v>1.7</v>
      </c>
      <c r="CB4445">
        <v>1.99</v>
      </c>
      <c r="CC4445">
        <v>0.38</v>
      </c>
      <c r="CD4445">
        <v>-0.78</v>
      </c>
      <c r="CE4445">
        <v>0.82</v>
      </c>
      <c r="CF4445">
        <v>0.41</v>
      </c>
      <c r="CG4445">
        <v>0</v>
      </c>
      <c r="CH4445">
        <v>2.5299999999999998</v>
      </c>
      <c r="CI4445">
        <v>0</v>
      </c>
      <c r="CJ4445">
        <v>-3.7</v>
      </c>
      <c r="CK4445">
        <v>96</v>
      </c>
      <c r="CL4445">
        <v>-0.77</v>
      </c>
      <c r="CM4445">
        <v>95</v>
      </c>
      <c r="CN4445">
        <v>-0.18</v>
      </c>
      <c r="CO4445">
        <v>95</v>
      </c>
      <c r="CP4445">
        <v>-8.1</v>
      </c>
      <c r="CQ4445">
        <v>93</v>
      </c>
      <c r="CR4445">
        <v>0</v>
      </c>
      <c r="CS4445">
        <v>0</v>
      </c>
      <c r="CT4445">
        <v>-1.2</v>
      </c>
      <c r="CU4445">
        <v>90</v>
      </c>
      <c r="CV4445">
        <v>0.12</v>
      </c>
      <c r="CW4445">
        <v>45</v>
      </c>
      <c r="CX4445" t="s">
        <v>218</v>
      </c>
    </row>
    <row r="4446" spans="1:102" x14ac:dyDescent="0.3">
      <c r="A4446" t="str">
        <f>HYPERLINK("https://webapp.icbf.com/v2/app/bull-search/view/77860063","BWR")</f>
        <v>BWR</v>
      </c>
      <c r="B4446" t="s">
        <v>3707</v>
      </c>
      <c r="C4446" t="s">
        <v>3708</v>
      </c>
      <c r="D4446" s="1">
        <v>34650</v>
      </c>
      <c r="E4446" t="s">
        <v>92</v>
      </c>
      <c r="F4446">
        <v>88</v>
      </c>
      <c r="G4446" t="s">
        <v>93</v>
      </c>
      <c r="H4446">
        <v>-125.27</v>
      </c>
      <c r="I4446">
        <v>90</v>
      </c>
      <c r="J4446">
        <v>23.15</v>
      </c>
      <c r="K4446">
        <v>98</v>
      </c>
      <c r="L4446">
        <v>-102.22</v>
      </c>
      <c r="M4446">
        <v>87</v>
      </c>
      <c r="N4446">
        <v>-33.409999999999997</v>
      </c>
      <c r="O4446">
        <v>84</v>
      </c>
      <c r="P4446">
        <v>-2.8</v>
      </c>
      <c r="Q4446">
        <v>92</v>
      </c>
      <c r="R4446">
        <v>-5.73</v>
      </c>
      <c r="S4446">
        <v>84</v>
      </c>
      <c r="T4446">
        <v>3.69</v>
      </c>
      <c r="U4446">
        <v>88</v>
      </c>
      <c r="V4446">
        <v>-7.95</v>
      </c>
      <c r="W4446">
        <v>73</v>
      </c>
      <c r="X4446" t="s">
        <v>94</v>
      </c>
      <c r="Y4446" t="s">
        <v>95</v>
      </c>
      <c r="Z4446" t="s">
        <v>96</v>
      </c>
      <c r="AA4446" t="s">
        <v>105</v>
      </c>
      <c r="AB4446" t="s">
        <v>3709</v>
      </c>
      <c r="AC4446">
        <v>261</v>
      </c>
      <c r="AD4446">
        <v>175</v>
      </c>
      <c r="AE4446">
        <v>98</v>
      </c>
      <c r="AF4446">
        <v>38.28</v>
      </c>
      <c r="AG4446">
        <v>10.07</v>
      </c>
      <c r="AH4446">
        <v>0.96</v>
      </c>
      <c r="AI4446">
        <v>0.15</v>
      </c>
      <c r="AJ4446">
        <v>-0.01</v>
      </c>
      <c r="AK4446">
        <v>87</v>
      </c>
      <c r="AL4446">
        <v>327</v>
      </c>
      <c r="AM4446">
        <v>196</v>
      </c>
      <c r="AN4446">
        <v>4.9400000000000004</v>
      </c>
      <c r="AO4446">
        <v>-3.22</v>
      </c>
      <c r="AP4446">
        <v>15</v>
      </c>
      <c r="AQ4446">
        <v>0</v>
      </c>
      <c r="AR4446">
        <v>10.69</v>
      </c>
      <c r="AS4446">
        <v>69</v>
      </c>
      <c r="AT4446">
        <v>4.9400000000000004</v>
      </c>
      <c r="AU4446">
        <v>86</v>
      </c>
      <c r="AV4446">
        <v>0.94</v>
      </c>
      <c r="AW4446">
        <v>86</v>
      </c>
      <c r="AX4446">
        <v>0.27</v>
      </c>
      <c r="AY4446">
        <v>91</v>
      </c>
      <c r="AZ4446">
        <v>5.57</v>
      </c>
      <c r="BA4446">
        <v>63</v>
      </c>
      <c r="BB4446">
        <v>4.49</v>
      </c>
      <c r="BC4446">
        <v>80</v>
      </c>
      <c r="BD4446">
        <v>0.04</v>
      </c>
      <c r="BE4446">
        <v>0.05</v>
      </c>
      <c r="BF4446">
        <v>-0.03</v>
      </c>
      <c r="BG4446">
        <v>95</v>
      </c>
      <c r="BH4446">
        <v>-0.06</v>
      </c>
      <c r="BI4446">
        <v>18.72</v>
      </c>
      <c r="BJ4446">
        <v>28</v>
      </c>
      <c r="BK4446">
        <v>23</v>
      </c>
      <c r="BL4446">
        <v>0.62</v>
      </c>
      <c r="BM4446">
        <v>1.4</v>
      </c>
      <c r="BN4446">
        <v>0.73</v>
      </c>
      <c r="BO4446">
        <v>-0.04</v>
      </c>
      <c r="BP4446">
        <v>-0.03</v>
      </c>
      <c r="BQ4446">
        <v>0.54</v>
      </c>
      <c r="BR4446">
        <v>-0.85</v>
      </c>
      <c r="BS4446">
        <v>-1.29</v>
      </c>
      <c r="BT4446">
        <v>0.98</v>
      </c>
      <c r="BU4446">
        <v>0.66</v>
      </c>
      <c r="BV4446">
        <v>1.34</v>
      </c>
      <c r="BW4446">
        <v>2.16</v>
      </c>
      <c r="BX4446">
        <v>0.52</v>
      </c>
      <c r="BY4446">
        <v>0.37</v>
      </c>
      <c r="BZ4446">
        <v>0.09</v>
      </c>
      <c r="CA4446">
        <v>0.69</v>
      </c>
      <c r="CB4446">
        <v>1.0900000000000001</v>
      </c>
      <c r="CC4446">
        <v>-0.25</v>
      </c>
      <c r="CD4446">
        <v>0.48</v>
      </c>
      <c r="CE4446">
        <v>0.04</v>
      </c>
      <c r="CF4446">
        <v>0.37</v>
      </c>
      <c r="CG4446">
        <v>0</v>
      </c>
      <c r="CH4446">
        <v>0.36</v>
      </c>
      <c r="CI4446">
        <v>0</v>
      </c>
      <c r="CJ4446">
        <v>1.3</v>
      </c>
      <c r="CK4446">
        <v>93</v>
      </c>
      <c r="CL4446">
        <v>-0.65</v>
      </c>
      <c r="CM4446">
        <v>91</v>
      </c>
      <c r="CN4446">
        <v>-0.2</v>
      </c>
      <c r="CO4446">
        <v>90</v>
      </c>
      <c r="CP4446">
        <v>-1.5</v>
      </c>
      <c r="CQ4446">
        <v>95</v>
      </c>
      <c r="CR4446">
        <v>0</v>
      </c>
      <c r="CS4446">
        <v>0</v>
      </c>
      <c r="CT4446">
        <v>8.8000000000000007</v>
      </c>
      <c r="CU4446">
        <v>88</v>
      </c>
      <c r="CV4446">
        <v>0.21</v>
      </c>
      <c r="CW4446">
        <v>44</v>
      </c>
      <c r="CX4446" t="s">
        <v>485</v>
      </c>
    </row>
    <row r="4447" spans="1:102" x14ac:dyDescent="0.3">
      <c r="A4447" t="str">
        <f>HYPERLINK("https://webapp.icbf.com/v2/app/bull-search/view/62243121","FIH")</f>
        <v>FIH</v>
      </c>
      <c r="B4447" t="s">
        <v>7931</v>
      </c>
      <c r="C4447" t="s">
        <v>7932</v>
      </c>
      <c r="D4447" s="1">
        <v>36529</v>
      </c>
      <c r="E4447" t="s">
        <v>92</v>
      </c>
      <c r="F4447">
        <v>100</v>
      </c>
      <c r="G4447" t="s">
        <v>93</v>
      </c>
      <c r="H4447">
        <v>-125.27</v>
      </c>
      <c r="I4447">
        <v>87</v>
      </c>
      <c r="J4447">
        <v>-28.58</v>
      </c>
      <c r="K4447">
        <v>96</v>
      </c>
      <c r="L4447">
        <v>-86.08</v>
      </c>
      <c r="M4447">
        <v>81</v>
      </c>
      <c r="N4447">
        <v>-4.3899999999999997</v>
      </c>
      <c r="O4447">
        <v>80</v>
      </c>
      <c r="P4447">
        <v>-14.94</v>
      </c>
      <c r="Q4447">
        <v>91</v>
      </c>
      <c r="R4447">
        <v>-3.06</v>
      </c>
      <c r="S4447">
        <v>81</v>
      </c>
      <c r="T4447">
        <v>16.12</v>
      </c>
      <c r="U4447">
        <v>86</v>
      </c>
      <c r="V4447">
        <v>-4.34</v>
      </c>
      <c r="W4447">
        <v>78</v>
      </c>
      <c r="X4447" t="s">
        <v>94</v>
      </c>
      <c r="Y4447" t="s">
        <v>95</v>
      </c>
      <c r="Z4447" t="s">
        <v>96</v>
      </c>
      <c r="AA4447" t="s">
        <v>1325</v>
      </c>
      <c r="AB4447" t="s">
        <v>7933</v>
      </c>
      <c r="AC4447">
        <v>64</v>
      </c>
      <c r="AD4447">
        <v>31</v>
      </c>
      <c r="AE4447">
        <v>96</v>
      </c>
      <c r="AF4447">
        <v>256.87</v>
      </c>
      <c r="AG4447">
        <v>-0.56000000000000005</v>
      </c>
      <c r="AH4447">
        <v>-0.73</v>
      </c>
      <c r="AI4447">
        <v>-0.18</v>
      </c>
      <c r="AJ4447">
        <v>-0.16</v>
      </c>
      <c r="AK4447">
        <v>81</v>
      </c>
      <c r="AL4447">
        <v>85</v>
      </c>
      <c r="AM4447">
        <v>41</v>
      </c>
      <c r="AN4447">
        <v>4.3</v>
      </c>
      <c r="AO4447">
        <v>-2.57</v>
      </c>
      <c r="AP4447">
        <v>61</v>
      </c>
      <c r="AQ4447">
        <v>0</v>
      </c>
      <c r="AR4447">
        <v>6.85</v>
      </c>
      <c r="AS4447">
        <v>67</v>
      </c>
      <c r="AT4447">
        <v>3.55</v>
      </c>
      <c r="AU4447">
        <v>83</v>
      </c>
      <c r="AV4447">
        <v>-0.98</v>
      </c>
      <c r="AW4447">
        <v>85</v>
      </c>
      <c r="AX4447">
        <v>0.26</v>
      </c>
      <c r="AY4447">
        <v>81</v>
      </c>
      <c r="AZ4447">
        <v>7.51</v>
      </c>
      <c r="BA4447">
        <v>61</v>
      </c>
      <c r="BB4447">
        <v>6.45</v>
      </c>
      <c r="BC4447">
        <v>69</v>
      </c>
      <c r="BD4447">
        <v>0.02</v>
      </c>
      <c r="BE4447">
        <v>0.03</v>
      </c>
      <c r="BF4447">
        <v>-0.02</v>
      </c>
      <c r="BG4447">
        <v>88</v>
      </c>
      <c r="BH4447">
        <v>-0.05</v>
      </c>
      <c r="BI4447">
        <v>8.2200000000000006</v>
      </c>
      <c r="BJ4447">
        <v>31</v>
      </c>
      <c r="BK4447">
        <v>14</v>
      </c>
      <c r="BL4447">
        <v>1.06</v>
      </c>
      <c r="BM4447">
        <v>-1.1599999999999999</v>
      </c>
      <c r="BN4447">
        <v>1.01</v>
      </c>
      <c r="BO4447">
        <v>1.39</v>
      </c>
      <c r="BP4447">
        <v>-0.21</v>
      </c>
      <c r="BQ4447">
        <v>-0.57999999999999996</v>
      </c>
      <c r="BR4447">
        <v>-1.56</v>
      </c>
      <c r="BS4447">
        <v>0.47</v>
      </c>
      <c r="BT4447">
        <v>2.74</v>
      </c>
      <c r="BU4447">
        <v>-0.51</v>
      </c>
      <c r="BV4447">
        <v>0.11</v>
      </c>
      <c r="BW4447">
        <v>0.71</v>
      </c>
      <c r="BX4447">
        <v>-0.66</v>
      </c>
      <c r="BY4447">
        <v>0.21</v>
      </c>
      <c r="BZ4447">
        <v>-0.2</v>
      </c>
      <c r="CA4447">
        <v>0.3</v>
      </c>
      <c r="CB4447">
        <v>-0.18</v>
      </c>
      <c r="CC4447">
        <v>1.41</v>
      </c>
      <c r="CD4447">
        <v>-1.2</v>
      </c>
      <c r="CE4447">
        <v>1.42</v>
      </c>
      <c r="CF4447">
        <v>1.1399999999999999</v>
      </c>
      <c r="CG4447">
        <v>0</v>
      </c>
      <c r="CH4447">
        <v>-0.06</v>
      </c>
      <c r="CI4447">
        <v>0</v>
      </c>
      <c r="CJ4447">
        <v>-4.5</v>
      </c>
      <c r="CK4447">
        <v>92</v>
      </c>
      <c r="CL4447">
        <v>-1.03</v>
      </c>
      <c r="CM4447">
        <v>90</v>
      </c>
      <c r="CN4447">
        <v>-0.24</v>
      </c>
      <c r="CO4447">
        <v>89</v>
      </c>
      <c r="CP4447">
        <v>-6.1</v>
      </c>
      <c r="CQ4447">
        <v>90</v>
      </c>
      <c r="CR4447">
        <v>0</v>
      </c>
      <c r="CS4447">
        <v>0</v>
      </c>
      <c r="CT4447">
        <v>-8</v>
      </c>
      <c r="CU4447">
        <v>86</v>
      </c>
      <c r="CV4447">
        <v>0.16</v>
      </c>
      <c r="CW4447">
        <v>44</v>
      </c>
      <c r="CX4447" t="s">
        <v>154</v>
      </c>
    </row>
    <row r="4448" spans="1:102" x14ac:dyDescent="0.3">
      <c r="A4448" t="str">
        <f>HYPERLINK("https://webapp.icbf.com/v2/app/bull-search/view/69091735","GBM")</f>
        <v>GBM</v>
      </c>
      <c r="B4448" t="s">
        <v>3224</v>
      </c>
      <c r="C4448" t="s">
        <v>3225</v>
      </c>
      <c r="D4448" s="1">
        <v>33631</v>
      </c>
      <c r="E4448" t="s">
        <v>108</v>
      </c>
      <c r="F4448">
        <v>0</v>
      </c>
      <c r="G4448" t="s">
        <v>109</v>
      </c>
      <c r="H4448">
        <v>-125.51</v>
      </c>
      <c r="I4448">
        <v>61</v>
      </c>
      <c r="J4448">
        <v>-19.510000000000002</v>
      </c>
      <c r="K4448">
        <v>73</v>
      </c>
      <c r="L4448">
        <v>-104.98</v>
      </c>
      <c r="M4448">
        <v>74</v>
      </c>
      <c r="N4448">
        <v>11</v>
      </c>
      <c r="O4448">
        <v>37</v>
      </c>
      <c r="P4448">
        <v>-12.35</v>
      </c>
      <c r="Q4448">
        <v>34</v>
      </c>
      <c r="R4448">
        <v>-8.19</v>
      </c>
      <c r="S4448">
        <v>58</v>
      </c>
      <c r="T4448">
        <v>11.24</v>
      </c>
      <c r="U4448">
        <v>31</v>
      </c>
      <c r="V4448">
        <v>-2.72</v>
      </c>
      <c r="W4448">
        <v>23</v>
      </c>
      <c r="X4448" t="s">
        <v>94</v>
      </c>
      <c r="Y4448" t="s">
        <v>95</v>
      </c>
      <c r="Z4448" t="s">
        <v>96</v>
      </c>
      <c r="AA4448" t="s">
        <v>161</v>
      </c>
      <c r="AB4448" t="s">
        <v>3226</v>
      </c>
      <c r="AC4448">
        <v>0</v>
      </c>
      <c r="AD4448">
        <v>0</v>
      </c>
      <c r="AE4448">
        <v>73</v>
      </c>
      <c r="AF4448">
        <v>153.51</v>
      </c>
      <c r="AG4448">
        <v>-2.82</v>
      </c>
      <c r="AH4448">
        <v>0.03</v>
      </c>
      <c r="AI4448">
        <v>-0.14000000000000001</v>
      </c>
      <c r="AJ4448">
        <v>-0.08</v>
      </c>
      <c r="AK4448">
        <v>74</v>
      </c>
      <c r="AL4448">
        <v>0</v>
      </c>
      <c r="AM4448">
        <v>0</v>
      </c>
      <c r="AN4448">
        <v>5.13</v>
      </c>
      <c r="AO4448">
        <v>-3.25</v>
      </c>
      <c r="AP4448">
        <v>2</v>
      </c>
      <c r="AQ4448">
        <v>2</v>
      </c>
      <c r="AR4448">
        <v>7.21</v>
      </c>
      <c r="AS4448">
        <v>24</v>
      </c>
      <c r="AT4448">
        <v>3.4</v>
      </c>
      <c r="AU4448">
        <v>52</v>
      </c>
      <c r="AV4448">
        <v>-1.41</v>
      </c>
      <c r="AW4448">
        <v>35</v>
      </c>
      <c r="AX4448">
        <v>-0.57999999999999996</v>
      </c>
      <c r="AY4448">
        <v>38</v>
      </c>
      <c r="AZ4448">
        <v>6.68</v>
      </c>
      <c r="BA4448">
        <v>24</v>
      </c>
      <c r="BB4448">
        <v>4.9800000000000004</v>
      </c>
      <c r="BC4448">
        <v>26</v>
      </c>
      <c r="BD4448">
        <v>0.02</v>
      </c>
      <c r="BE4448">
        <v>0.05</v>
      </c>
      <c r="BF4448">
        <v>0.06</v>
      </c>
      <c r="BG4448">
        <v>86</v>
      </c>
      <c r="BH4448">
        <v>-0.05</v>
      </c>
      <c r="BI4448">
        <v>2.98</v>
      </c>
      <c r="BJ4448">
        <v>1</v>
      </c>
      <c r="BK4448">
        <v>1</v>
      </c>
      <c r="BL4448">
        <v>0.18</v>
      </c>
      <c r="BM4448">
        <v>-0.97</v>
      </c>
      <c r="BN4448">
        <v>0.55000000000000004</v>
      </c>
      <c r="BO4448">
        <v>0.91</v>
      </c>
      <c r="BP4448">
        <v>-1.75</v>
      </c>
      <c r="BQ4448">
        <v>-0.76</v>
      </c>
      <c r="BR4448">
        <v>-2.1</v>
      </c>
      <c r="BS4448">
        <v>1.01</v>
      </c>
      <c r="BT4448">
        <v>1.53</v>
      </c>
      <c r="BU4448">
        <v>-0.78</v>
      </c>
      <c r="BV4448">
        <v>1.26</v>
      </c>
      <c r="BW4448">
        <v>1.44</v>
      </c>
      <c r="BX4448">
        <v>-0.94</v>
      </c>
      <c r="BY4448">
        <v>0.2</v>
      </c>
      <c r="BZ4448">
        <v>2.86</v>
      </c>
      <c r="CA4448">
        <v>0.77</v>
      </c>
      <c r="CB4448">
        <v>0.03</v>
      </c>
      <c r="CC4448">
        <v>1.98</v>
      </c>
      <c r="CD4448">
        <v>-1.1499999999999999</v>
      </c>
      <c r="CE4448">
        <v>0.13</v>
      </c>
      <c r="CF4448">
        <v>-0.26</v>
      </c>
      <c r="CG4448">
        <v>0</v>
      </c>
      <c r="CH4448">
        <v>7.0000000000000007E-2</v>
      </c>
      <c r="CI4448">
        <v>0</v>
      </c>
      <c r="CJ4448">
        <v>-6</v>
      </c>
      <c r="CK4448">
        <v>34</v>
      </c>
      <c r="CL4448">
        <v>-0.66</v>
      </c>
      <c r="CM4448">
        <v>34</v>
      </c>
      <c r="CN4448">
        <v>-0.31</v>
      </c>
      <c r="CO4448">
        <v>31</v>
      </c>
      <c r="CP4448">
        <v>-5.9</v>
      </c>
      <c r="CQ4448">
        <v>34</v>
      </c>
      <c r="CR4448">
        <v>0</v>
      </c>
      <c r="CS4448">
        <v>0</v>
      </c>
      <c r="CT4448">
        <v>-1.4</v>
      </c>
      <c r="CU4448">
        <v>31</v>
      </c>
      <c r="CV4448">
        <v>0.08</v>
      </c>
      <c r="CW4448">
        <v>10</v>
      </c>
      <c r="CX4448" t="s">
        <v>2967</v>
      </c>
    </row>
    <row r="4449" spans="1:102" x14ac:dyDescent="0.3">
      <c r="A4449" t="str">
        <f>HYPERLINK("https://webapp.icbf.com/v2/app/bull-search/view/77853904","SLJ")</f>
        <v>SLJ</v>
      </c>
      <c r="B4449" t="s">
        <v>11408</v>
      </c>
      <c r="C4449" t="s">
        <v>3043</v>
      </c>
      <c r="D4449" s="1">
        <v>33036</v>
      </c>
      <c r="E4449" t="s">
        <v>92</v>
      </c>
      <c r="F4449">
        <v>100</v>
      </c>
      <c r="G4449" t="s">
        <v>93</v>
      </c>
      <c r="H4449">
        <v>-125.57</v>
      </c>
      <c r="I4449">
        <v>93</v>
      </c>
      <c r="J4449">
        <v>-11.11</v>
      </c>
      <c r="K4449">
        <v>98</v>
      </c>
      <c r="L4449">
        <v>-90.69</v>
      </c>
      <c r="M4449">
        <v>93</v>
      </c>
      <c r="N4449">
        <v>-2.38</v>
      </c>
      <c r="O4449">
        <v>89</v>
      </c>
      <c r="P4449">
        <v>-9.25</v>
      </c>
      <c r="Q4449">
        <v>93</v>
      </c>
      <c r="R4449">
        <v>-8.34</v>
      </c>
      <c r="S4449">
        <v>86</v>
      </c>
      <c r="T4449">
        <v>-2.4500000000000002</v>
      </c>
      <c r="U4449">
        <v>93</v>
      </c>
      <c r="V4449">
        <v>-1.35</v>
      </c>
      <c r="W4449">
        <v>76</v>
      </c>
      <c r="X4449" t="s">
        <v>110</v>
      </c>
      <c r="Y4449" t="s">
        <v>95</v>
      </c>
      <c r="Z4449" t="s">
        <v>96</v>
      </c>
      <c r="AA4449" t="s">
        <v>118</v>
      </c>
      <c r="AB4449" t="s">
        <v>11409</v>
      </c>
      <c r="AC4449">
        <v>290</v>
      </c>
      <c r="AD4449">
        <v>155</v>
      </c>
      <c r="AE4449">
        <v>98</v>
      </c>
      <c r="AF4449">
        <v>47.98</v>
      </c>
      <c r="AG4449">
        <v>3.32</v>
      </c>
      <c r="AH4449">
        <v>-2.33</v>
      </c>
      <c r="AI4449">
        <v>0.03</v>
      </c>
      <c r="AJ4449">
        <v>-7.0000000000000007E-2</v>
      </c>
      <c r="AK4449">
        <v>93</v>
      </c>
      <c r="AL4449">
        <v>275</v>
      </c>
      <c r="AM4449">
        <v>132</v>
      </c>
      <c r="AN4449">
        <v>5.16</v>
      </c>
      <c r="AO4449">
        <v>-2.0699999999999998</v>
      </c>
      <c r="AP4449">
        <v>40</v>
      </c>
      <c r="AQ4449">
        <v>1</v>
      </c>
      <c r="AR4449">
        <v>7.86</v>
      </c>
      <c r="AS4449">
        <v>83</v>
      </c>
      <c r="AT4449">
        <v>4.13</v>
      </c>
      <c r="AU4449">
        <v>96</v>
      </c>
      <c r="AV4449">
        <v>-1.28</v>
      </c>
      <c r="AW4449">
        <v>89</v>
      </c>
      <c r="AX4449">
        <v>-0.43</v>
      </c>
      <c r="AY4449">
        <v>92</v>
      </c>
      <c r="AZ4449">
        <v>6.52</v>
      </c>
      <c r="BA4449">
        <v>79</v>
      </c>
      <c r="BB4449">
        <v>5.62</v>
      </c>
      <c r="BC4449">
        <v>83</v>
      </c>
      <c r="BD4449">
        <v>0.04</v>
      </c>
      <c r="BE4449">
        <v>0.05</v>
      </c>
      <c r="BF4449">
        <v>0.03</v>
      </c>
      <c r="BG4449">
        <v>96</v>
      </c>
      <c r="BH4449">
        <v>-0.09</v>
      </c>
      <c r="BI4449">
        <v>-6.07</v>
      </c>
      <c r="BJ4449">
        <v>106</v>
      </c>
      <c r="BK4449">
        <v>62</v>
      </c>
      <c r="BL4449">
        <v>1.4</v>
      </c>
      <c r="BM4449">
        <v>0.73</v>
      </c>
      <c r="BN4449">
        <v>2.11</v>
      </c>
      <c r="BO4449">
        <v>1.07</v>
      </c>
      <c r="BP4449">
        <v>-0.21</v>
      </c>
      <c r="BQ4449">
        <v>1</v>
      </c>
      <c r="BR4449">
        <v>0.46</v>
      </c>
      <c r="BS4449">
        <v>-0.77</v>
      </c>
      <c r="BT4449">
        <v>0.26</v>
      </c>
      <c r="BU4449">
        <v>0.89</v>
      </c>
      <c r="BV4449">
        <v>1.22</v>
      </c>
      <c r="BW4449">
        <v>0.6</v>
      </c>
      <c r="BX4449">
        <v>0.15</v>
      </c>
      <c r="BY4449">
        <v>-0.72</v>
      </c>
      <c r="BZ4449">
        <v>0.64</v>
      </c>
      <c r="CA4449">
        <v>0.68</v>
      </c>
      <c r="CB4449">
        <v>0.55000000000000004</v>
      </c>
      <c r="CC4449">
        <v>0.82</v>
      </c>
      <c r="CD4449">
        <v>-0.72</v>
      </c>
      <c r="CE4449">
        <v>1.1599999999999999</v>
      </c>
      <c r="CF4449">
        <v>1.86</v>
      </c>
      <c r="CG4449">
        <v>0</v>
      </c>
      <c r="CH4449">
        <v>-0.89</v>
      </c>
      <c r="CI4449">
        <v>0</v>
      </c>
      <c r="CJ4449">
        <v>-4.3</v>
      </c>
      <c r="CK4449">
        <v>94</v>
      </c>
      <c r="CL4449">
        <v>-1.07</v>
      </c>
      <c r="CM4449">
        <v>92</v>
      </c>
      <c r="CN4449">
        <v>-0.66</v>
      </c>
      <c r="CO4449">
        <v>91</v>
      </c>
      <c r="CP4449">
        <v>0</v>
      </c>
      <c r="CQ4449">
        <v>96</v>
      </c>
      <c r="CR4449">
        <v>0</v>
      </c>
      <c r="CS4449">
        <v>0</v>
      </c>
      <c r="CT4449">
        <v>17.100000000000001</v>
      </c>
      <c r="CU4449">
        <v>93</v>
      </c>
      <c r="CV4449">
        <v>0.12</v>
      </c>
      <c r="CW4449">
        <v>45</v>
      </c>
      <c r="CX4449" t="s">
        <v>543</v>
      </c>
    </row>
    <row r="4450" spans="1:102" x14ac:dyDescent="0.3">
      <c r="A4450" t="str">
        <f>HYPERLINK("https://webapp.icbf.com/v2/app/bull-search/view/62117007","LIW")</f>
        <v>LIW</v>
      </c>
      <c r="B4450" t="s">
        <v>10492</v>
      </c>
      <c r="C4450" t="s">
        <v>10493</v>
      </c>
      <c r="D4450" s="1">
        <v>36947</v>
      </c>
      <c r="E4450" t="s">
        <v>92</v>
      </c>
      <c r="F4450">
        <v>100</v>
      </c>
      <c r="G4450" t="s">
        <v>93</v>
      </c>
      <c r="H4450">
        <v>-125.64</v>
      </c>
      <c r="I4450">
        <v>61</v>
      </c>
      <c r="J4450">
        <v>18.03</v>
      </c>
      <c r="K4450">
        <v>87</v>
      </c>
      <c r="L4450">
        <v>-159.34</v>
      </c>
      <c r="M4450">
        <v>44</v>
      </c>
      <c r="N4450">
        <v>18.32</v>
      </c>
      <c r="O4450">
        <v>42</v>
      </c>
      <c r="P4450">
        <v>-0.64</v>
      </c>
      <c r="Q4450">
        <v>61</v>
      </c>
      <c r="R4450">
        <v>-14.25</v>
      </c>
      <c r="S4450">
        <v>56</v>
      </c>
      <c r="T4450">
        <v>15.38</v>
      </c>
      <c r="U4450">
        <v>55</v>
      </c>
      <c r="V4450">
        <v>-3.14</v>
      </c>
      <c r="W4450">
        <v>40</v>
      </c>
      <c r="X4450" t="s">
        <v>10494</v>
      </c>
      <c r="Y4450" t="s">
        <v>282</v>
      </c>
      <c r="Z4450" t="s">
        <v>96</v>
      </c>
      <c r="AA4450" t="s">
        <v>205</v>
      </c>
      <c r="AB4450" t="s">
        <v>10495</v>
      </c>
      <c r="AC4450">
        <v>25</v>
      </c>
      <c r="AD4450">
        <v>4</v>
      </c>
      <c r="AE4450">
        <v>87</v>
      </c>
      <c r="AF4450">
        <v>298.19</v>
      </c>
      <c r="AG4450">
        <v>6.76</v>
      </c>
      <c r="AH4450">
        <v>5.24</v>
      </c>
      <c r="AI4450">
        <v>-0.08</v>
      </c>
      <c r="AJ4450">
        <v>-0.08</v>
      </c>
      <c r="AK4450">
        <v>44</v>
      </c>
      <c r="AL4450">
        <v>24</v>
      </c>
      <c r="AM4450">
        <v>6</v>
      </c>
      <c r="AN4450">
        <v>9.27</v>
      </c>
      <c r="AO4450">
        <v>-3.43</v>
      </c>
      <c r="AP4450">
        <v>50</v>
      </c>
      <c r="AQ4450">
        <v>0</v>
      </c>
      <c r="AR4450">
        <v>7.18</v>
      </c>
      <c r="AS4450">
        <v>28</v>
      </c>
      <c r="AT4450">
        <v>3.28</v>
      </c>
      <c r="AU4450">
        <v>63</v>
      </c>
      <c r="AV4450">
        <v>-1.84</v>
      </c>
      <c r="AW4450">
        <v>33</v>
      </c>
      <c r="AX4450">
        <v>-0.16</v>
      </c>
      <c r="AY4450">
        <v>52</v>
      </c>
      <c r="AZ4450">
        <v>5.8</v>
      </c>
      <c r="BA4450">
        <v>28</v>
      </c>
      <c r="BB4450">
        <v>4.4400000000000004</v>
      </c>
      <c r="BC4450">
        <v>37</v>
      </c>
      <c r="BD4450">
        <v>0.1</v>
      </c>
      <c r="BE4450">
        <v>0.09</v>
      </c>
      <c r="BF4450">
        <v>-0.01</v>
      </c>
      <c r="BG4450">
        <v>62</v>
      </c>
      <c r="BH4450">
        <v>0.01</v>
      </c>
      <c r="BI4450">
        <v>11.28</v>
      </c>
      <c r="BJ4450">
        <v>0</v>
      </c>
      <c r="BK4450">
        <v>0</v>
      </c>
      <c r="BL4450">
        <v>0.25</v>
      </c>
      <c r="BM4450">
        <v>-0.09</v>
      </c>
      <c r="BN4450">
        <v>0.72</v>
      </c>
      <c r="BO4450">
        <v>0.81</v>
      </c>
      <c r="BP4450">
        <v>-1.96</v>
      </c>
      <c r="BQ4450">
        <v>0.22</v>
      </c>
      <c r="BR4450">
        <v>-0.83</v>
      </c>
      <c r="BS4450">
        <v>0.87</v>
      </c>
      <c r="BT4450">
        <v>0.81</v>
      </c>
      <c r="BU4450">
        <v>0.23</v>
      </c>
      <c r="BV4450">
        <v>0.81</v>
      </c>
      <c r="BW4450">
        <v>-0.6</v>
      </c>
      <c r="BX4450">
        <v>-0.46</v>
      </c>
      <c r="BY4450">
        <v>0.36</v>
      </c>
      <c r="BZ4450">
        <v>-0.35</v>
      </c>
      <c r="CA4450">
        <v>0.8</v>
      </c>
      <c r="CB4450">
        <v>0.57999999999999996</v>
      </c>
      <c r="CC4450">
        <v>0.98</v>
      </c>
      <c r="CD4450">
        <v>-0.14000000000000001</v>
      </c>
      <c r="CE4450">
        <v>0.63</v>
      </c>
      <c r="CF4450">
        <v>0.03</v>
      </c>
      <c r="CG4450">
        <v>0</v>
      </c>
      <c r="CH4450">
        <v>-0.31</v>
      </c>
      <c r="CI4450">
        <v>0</v>
      </c>
      <c r="CJ4450">
        <v>2.9</v>
      </c>
      <c r="CK4450">
        <v>63</v>
      </c>
      <c r="CL4450">
        <v>-0.86</v>
      </c>
      <c r="CM4450">
        <v>59</v>
      </c>
      <c r="CN4450">
        <v>-0.45</v>
      </c>
      <c r="CO4450">
        <v>53</v>
      </c>
      <c r="CP4450">
        <v>-6.9</v>
      </c>
      <c r="CQ4450">
        <v>71</v>
      </c>
      <c r="CR4450">
        <v>0</v>
      </c>
      <c r="CS4450">
        <v>0</v>
      </c>
      <c r="CT4450">
        <v>-7</v>
      </c>
      <c r="CU4450">
        <v>55</v>
      </c>
      <c r="CV4450">
        <v>0.37</v>
      </c>
      <c r="CW4450">
        <v>17</v>
      </c>
      <c r="CX4450" t="s">
        <v>188</v>
      </c>
    </row>
    <row r="4451" spans="1:102" x14ac:dyDescent="0.3">
      <c r="A4451" t="str">
        <f>HYPERLINK("https://webapp.icbf.com/v2/app/bull-search/view/77854474","RDI")</f>
        <v>RDI</v>
      </c>
      <c r="B4451" t="s">
        <v>11081</v>
      </c>
      <c r="C4451" t="s">
        <v>11082</v>
      </c>
      <c r="D4451" s="1">
        <v>33556</v>
      </c>
      <c r="E4451" t="s">
        <v>92</v>
      </c>
      <c r="F4451">
        <v>100</v>
      </c>
      <c r="G4451" t="s">
        <v>109</v>
      </c>
      <c r="H4451">
        <v>-125.75</v>
      </c>
      <c r="I4451">
        <v>85</v>
      </c>
      <c r="J4451">
        <v>-10.83</v>
      </c>
      <c r="K4451">
        <v>94</v>
      </c>
      <c r="L4451">
        <v>-108.92</v>
      </c>
      <c r="M4451">
        <v>87</v>
      </c>
      <c r="N4451">
        <v>6.3</v>
      </c>
      <c r="O4451">
        <v>76</v>
      </c>
      <c r="P4451">
        <v>-19.07</v>
      </c>
      <c r="Q4451">
        <v>79</v>
      </c>
      <c r="R4451">
        <v>-5.44</v>
      </c>
      <c r="S4451">
        <v>79</v>
      </c>
      <c r="T4451">
        <v>17.53</v>
      </c>
      <c r="U4451">
        <v>68</v>
      </c>
      <c r="V4451">
        <v>-5.32</v>
      </c>
      <c r="W4451">
        <v>66</v>
      </c>
      <c r="X4451" t="s">
        <v>94</v>
      </c>
      <c r="Y4451" t="s">
        <v>95</v>
      </c>
      <c r="Z4451" t="s">
        <v>96</v>
      </c>
      <c r="AA4451" t="s">
        <v>132</v>
      </c>
      <c r="AB4451" t="s">
        <v>11083</v>
      </c>
      <c r="AC4451">
        <v>0</v>
      </c>
      <c r="AD4451">
        <v>0</v>
      </c>
      <c r="AE4451">
        <v>94</v>
      </c>
      <c r="AF4451">
        <v>304.3</v>
      </c>
      <c r="AG4451">
        <v>0.81</v>
      </c>
      <c r="AH4451">
        <v>2.5299999999999998</v>
      </c>
      <c r="AI4451">
        <v>-0.18</v>
      </c>
      <c r="AJ4451">
        <v>-0.13</v>
      </c>
      <c r="AK4451">
        <v>87</v>
      </c>
      <c r="AL4451">
        <v>0</v>
      </c>
      <c r="AM4451">
        <v>0</v>
      </c>
      <c r="AN4451">
        <v>5.66</v>
      </c>
      <c r="AO4451">
        <v>-3.03</v>
      </c>
      <c r="AP4451">
        <v>37</v>
      </c>
      <c r="AQ4451">
        <v>0</v>
      </c>
      <c r="AR4451">
        <v>6.86</v>
      </c>
      <c r="AS4451">
        <v>64</v>
      </c>
      <c r="AT4451">
        <v>3.08</v>
      </c>
      <c r="AU4451">
        <v>90</v>
      </c>
      <c r="AV4451">
        <v>-0.96</v>
      </c>
      <c r="AW4451">
        <v>82</v>
      </c>
      <c r="AX4451">
        <v>0</v>
      </c>
      <c r="AY4451">
        <v>63</v>
      </c>
      <c r="AZ4451">
        <v>7.21</v>
      </c>
      <c r="BA4451">
        <v>52</v>
      </c>
      <c r="BB4451">
        <v>5.47</v>
      </c>
      <c r="BC4451">
        <v>55</v>
      </c>
      <c r="BD4451">
        <v>0.03</v>
      </c>
      <c r="BE4451">
        <v>0.05</v>
      </c>
      <c r="BF4451">
        <v>-0.02</v>
      </c>
      <c r="BG4451">
        <v>92</v>
      </c>
      <c r="BH4451">
        <v>0.06</v>
      </c>
      <c r="BI4451">
        <v>24.09</v>
      </c>
      <c r="BJ4451">
        <v>2</v>
      </c>
      <c r="BK4451">
        <v>2</v>
      </c>
      <c r="BL4451">
        <v>0.12</v>
      </c>
      <c r="BM4451">
        <v>-0.33</v>
      </c>
      <c r="BN4451">
        <v>0.5</v>
      </c>
      <c r="BO4451">
        <v>0.51</v>
      </c>
      <c r="BP4451">
        <v>-0.88</v>
      </c>
      <c r="BQ4451">
        <v>-0.28999999999999998</v>
      </c>
      <c r="BR4451">
        <v>0.96</v>
      </c>
      <c r="BS4451">
        <v>0.08</v>
      </c>
      <c r="BT4451">
        <v>-0.75</v>
      </c>
      <c r="BU4451">
        <v>0.45</v>
      </c>
      <c r="BV4451">
        <v>0.18</v>
      </c>
      <c r="BW4451">
        <v>0.17</v>
      </c>
      <c r="BX4451">
        <v>-0.02</v>
      </c>
      <c r="BY4451">
        <v>0.88</v>
      </c>
      <c r="BZ4451">
        <v>1.06</v>
      </c>
      <c r="CA4451">
        <v>-0.02</v>
      </c>
      <c r="CB4451">
        <v>0.05</v>
      </c>
      <c r="CC4451">
        <v>0.32</v>
      </c>
      <c r="CD4451">
        <v>-0.23</v>
      </c>
      <c r="CE4451">
        <v>0.7</v>
      </c>
      <c r="CF4451">
        <v>0.64</v>
      </c>
      <c r="CG4451">
        <v>0</v>
      </c>
      <c r="CH4451">
        <v>0.98</v>
      </c>
      <c r="CI4451">
        <v>0</v>
      </c>
      <c r="CJ4451">
        <v>-6.5</v>
      </c>
      <c r="CK4451">
        <v>80</v>
      </c>
      <c r="CL4451">
        <v>-1.08</v>
      </c>
      <c r="CM4451">
        <v>77</v>
      </c>
      <c r="CN4451">
        <v>-0.27</v>
      </c>
      <c r="CO4451">
        <v>75</v>
      </c>
      <c r="CP4451">
        <v>-14.1</v>
      </c>
      <c r="CQ4451">
        <v>78</v>
      </c>
      <c r="CR4451">
        <v>0</v>
      </c>
      <c r="CS4451">
        <v>0</v>
      </c>
      <c r="CT4451">
        <v>-9.9</v>
      </c>
      <c r="CU4451">
        <v>68</v>
      </c>
      <c r="CV4451">
        <v>0.09</v>
      </c>
      <c r="CW4451">
        <v>42</v>
      </c>
      <c r="CX4451" t="s">
        <v>111</v>
      </c>
    </row>
    <row r="4452" spans="1:102" x14ac:dyDescent="0.3">
      <c r="A4452" t="str">
        <f>HYPERLINK("https://webapp.icbf.com/v2/app/bull-search/view/586052207","S975")</f>
        <v>S975</v>
      </c>
      <c r="B4452" t="s">
        <v>9614</v>
      </c>
      <c r="C4452" t="s">
        <v>9615</v>
      </c>
      <c r="D4452" s="1">
        <v>38176</v>
      </c>
      <c r="E4452" t="s">
        <v>92</v>
      </c>
      <c r="F4452">
        <v>100</v>
      </c>
      <c r="G4452" t="s">
        <v>93</v>
      </c>
      <c r="H4452">
        <v>-125.76</v>
      </c>
      <c r="I4452">
        <v>79</v>
      </c>
      <c r="J4452">
        <v>54.81</v>
      </c>
      <c r="K4452">
        <v>92</v>
      </c>
      <c r="L4452">
        <v>-170.37</v>
      </c>
      <c r="M4452">
        <v>80</v>
      </c>
      <c r="N4452">
        <v>2.4300000000000002</v>
      </c>
      <c r="O4452">
        <v>72</v>
      </c>
      <c r="P4452">
        <v>-5.43</v>
      </c>
      <c r="Q4452">
        <v>85</v>
      </c>
      <c r="R4452">
        <v>-3.91</v>
      </c>
      <c r="S4452">
        <v>67</v>
      </c>
      <c r="T4452">
        <v>-0.01</v>
      </c>
      <c r="U4452">
        <v>52</v>
      </c>
      <c r="V4452">
        <v>-3.28</v>
      </c>
      <c r="W4452">
        <v>25</v>
      </c>
      <c r="X4452" t="s">
        <v>251</v>
      </c>
      <c r="Y4452" t="s">
        <v>303</v>
      </c>
      <c r="Z4452" t="s">
        <v>96</v>
      </c>
      <c r="AA4452" t="s">
        <v>1566</v>
      </c>
      <c r="AB4452" t="s">
        <v>9616</v>
      </c>
      <c r="AC4452">
        <v>44</v>
      </c>
      <c r="AD4452">
        <v>1</v>
      </c>
      <c r="AE4452">
        <v>92</v>
      </c>
      <c r="AF4452">
        <v>814.07</v>
      </c>
      <c r="AG4452">
        <v>13.01</v>
      </c>
      <c r="AH4452">
        <v>17.18</v>
      </c>
      <c r="AI4452">
        <v>-0.27</v>
      </c>
      <c r="AJ4452">
        <v>-0.16</v>
      </c>
      <c r="AK4452">
        <v>80</v>
      </c>
      <c r="AL4452">
        <v>0</v>
      </c>
      <c r="AM4452">
        <v>0</v>
      </c>
      <c r="AN4452">
        <v>9.01</v>
      </c>
      <c r="AO4452">
        <v>-4.58</v>
      </c>
      <c r="AP4452">
        <v>39</v>
      </c>
      <c r="AQ4452">
        <v>0</v>
      </c>
      <c r="AR4452">
        <v>6.68</v>
      </c>
      <c r="AS4452">
        <v>42</v>
      </c>
      <c r="AT4452">
        <v>3.67</v>
      </c>
      <c r="AU4452">
        <v>86</v>
      </c>
      <c r="AV4452">
        <v>-0.38</v>
      </c>
      <c r="AW4452">
        <v>85</v>
      </c>
      <c r="AX4452">
        <v>-0.84</v>
      </c>
      <c r="AY4452">
        <v>65</v>
      </c>
      <c r="AZ4452">
        <v>6.08</v>
      </c>
      <c r="BA4452">
        <v>42</v>
      </c>
      <c r="BB4452">
        <v>5.18</v>
      </c>
      <c r="BC4452">
        <v>37</v>
      </c>
      <c r="BD4452">
        <v>0</v>
      </c>
      <c r="BE4452">
        <v>0</v>
      </c>
      <c r="BF4452">
        <v>0.09</v>
      </c>
      <c r="BG4452">
        <v>88</v>
      </c>
      <c r="BH4452">
        <v>-0.09</v>
      </c>
      <c r="BI4452">
        <v>0.18</v>
      </c>
      <c r="BJ4452">
        <v>0</v>
      </c>
      <c r="BK4452">
        <v>0</v>
      </c>
      <c r="BL4452">
        <v>1.81</v>
      </c>
      <c r="BM4452">
        <v>-0.69</v>
      </c>
      <c r="BN4452">
        <v>1.0900000000000001</v>
      </c>
      <c r="BO4452">
        <v>1.6</v>
      </c>
      <c r="BP4452">
        <v>-0.26</v>
      </c>
      <c r="BQ4452">
        <v>2.82</v>
      </c>
      <c r="BR4452">
        <v>-1.23</v>
      </c>
      <c r="BS4452">
        <v>2.94</v>
      </c>
      <c r="BT4452">
        <v>2.15</v>
      </c>
      <c r="BU4452">
        <v>0.93</v>
      </c>
      <c r="BV4452">
        <v>2.11</v>
      </c>
      <c r="BW4452">
        <v>2.0499999999999998</v>
      </c>
      <c r="BX4452">
        <v>0.67</v>
      </c>
      <c r="BY4452">
        <v>2</v>
      </c>
      <c r="BZ4452">
        <v>-0.39</v>
      </c>
      <c r="CA4452">
        <v>1.76</v>
      </c>
      <c r="CB4452">
        <v>1.04</v>
      </c>
      <c r="CC4452">
        <v>2.58</v>
      </c>
      <c r="CD4452">
        <v>-1.19</v>
      </c>
      <c r="CE4452">
        <v>0</v>
      </c>
      <c r="CF4452">
        <v>0</v>
      </c>
      <c r="CG4452">
        <v>0</v>
      </c>
      <c r="CH4452">
        <v>0</v>
      </c>
      <c r="CI4452">
        <v>0</v>
      </c>
      <c r="CJ4452">
        <v>1.2</v>
      </c>
      <c r="CK4452">
        <v>88</v>
      </c>
      <c r="CL4452">
        <v>-1.1599999999999999</v>
      </c>
      <c r="CM4452">
        <v>84</v>
      </c>
      <c r="CN4452">
        <v>-0.39</v>
      </c>
      <c r="CO4452">
        <v>82</v>
      </c>
      <c r="CP4452">
        <v>2.1</v>
      </c>
      <c r="CQ4452">
        <v>73</v>
      </c>
      <c r="CR4452">
        <v>0</v>
      </c>
      <c r="CS4452">
        <v>0</v>
      </c>
      <c r="CT4452">
        <v>13.8</v>
      </c>
      <c r="CU4452">
        <v>52</v>
      </c>
      <c r="CV4452">
        <v>0.42</v>
      </c>
      <c r="CW4452">
        <v>26</v>
      </c>
      <c r="CX4452" t="s">
        <v>4248</v>
      </c>
    </row>
    <row r="4453" spans="1:102" x14ac:dyDescent="0.3">
      <c r="A4453" t="str">
        <f>HYPERLINK("https://webapp.icbf.com/v2/app/bull-search/view/77855458","LWM")</f>
        <v>LWM</v>
      </c>
      <c r="B4453" t="s">
        <v>10871</v>
      </c>
      <c r="C4453" t="s">
        <v>10872</v>
      </c>
      <c r="D4453" s="1">
        <v>33168</v>
      </c>
      <c r="E4453" t="s">
        <v>92</v>
      </c>
      <c r="F4453">
        <v>100</v>
      </c>
      <c r="G4453" t="s">
        <v>93</v>
      </c>
      <c r="H4453">
        <v>-126.06</v>
      </c>
      <c r="I4453">
        <v>84</v>
      </c>
      <c r="J4453">
        <v>-33.29</v>
      </c>
      <c r="K4453">
        <v>95</v>
      </c>
      <c r="L4453">
        <v>-75.11</v>
      </c>
      <c r="M4453">
        <v>87</v>
      </c>
      <c r="N4453">
        <v>1.38</v>
      </c>
      <c r="O4453">
        <v>70</v>
      </c>
      <c r="P4453">
        <v>-14.8</v>
      </c>
      <c r="Q4453">
        <v>79</v>
      </c>
      <c r="R4453">
        <v>-13.48</v>
      </c>
      <c r="S4453">
        <v>71</v>
      </c>
      <c r="T4453">
        <v>12.57</v>
      </c>
      <c r="U4453">
        <v>82</v>
      </c>
      <c r="V4453">
        <v>-3.33</v>
      </c>
      <c r="W4453">
        <v>41</v>
      </c>
      <c r="X4453" t="s">
        <v>110</v>
      </c>
      <c r="Y4453" t="s">
        <v>95</v>
      </c>
      <c r="Z4453" t="s">
        <v>96</v>
      </c>
      <c r="AA4453" t="s">
        <v>118</v>
      </c>
      <c r="AB4453" t="s">
        <v>918</v>
      </c>
      <c r="AC4453">
        <v>96</v>
      </c>
      <c r="AD4453">
        <v>44</v>
      </c>
      <c r="AE4453">
        <v>95</v>
      </c>
      <c r="AF4453">
        <v>293.82</v>
      </c>
      <c r="AG4453">
        <v>-4.1100000000000003</v>
      </c>
      <c r="AH4453">
        <v>0.28999999999999998</v>
      </c>
      <c r="AI4453">
        <v>-0.25</v>
      </c>
      <c r="AJ4453">
        <v>-0.15</v>
      </c>
      <c r="AK4453">
        <v>87</v>
      </c>
      <c r="AL4453">
        <v>120</v>
      </c>
      <c r="AM4453">
        <v>52</v>
      </c>
      <c r="AN4453">
        <v>4.0599999999999996</v>
      </c>
      <c r="AO4453">
        <v>-1.93</v>
      </c>
      <c r="AP4453">
        <v>3</v>
      </c>
      <c r="AQ4453">
        <v>0</v>
      </c>
      <c r="AR4453">
        <v>8.7799999999999994</v>
      </c>
      <c r="AS4453">
        <v>41</v>
      </c>
      <c r="AT4453">
        <v>3.95</v>
      </c>
      <c r="AU4453">
        <v>84</v>
      </c>
      <c r="AV4453">
        <v>-1.29</v>
      </c>
      <c r="AW4453">
        <v>71</v>
      </c>
      <c r="AX4453">
        <v>-0.35</v>
      </c>
      <c r="AY4453">
        <v>80</v>
      </c>
      <c r="AZ4453">
        <v>6.39</v>
      </c>
      <c r="BA4453">
        <v>44</v>
      </c>
      <c r="BB4453">
        <v>4.72</v>
      </c>
      <c r="BC4453">
        <v>60</v>
      </c>
      <c r="BD4453">
        <v>0.06</v>
      </c>
      <c r="BE4453">
        <v>0.1</v>
      </c>
      <c r="BF4453">
        <v>0.02</v>
      </c>
      <c r="BG4453">
        <v>87</v>
      </c>
      <c r="BH4453">
        <v>-0.15</v>
      </c>
      <c r="BI4453">
        <v>-6.61</v>
      </c>
      <c r="BJ4453">
        <v>12</v>
      </c>
      <c r="BK4453">
        <v>5</v>
      </c>
      <c r="BL4453">
        <v>0.32</v>
      </c>
      <c r="BM4453">
        <v>-2.0299999999999998</v>
      </c>
      <c r="BN4453">
        <v>-0.49</v>
      </c>
      <c r="BO4453">
        <v>0.48</v>
      </c>
      <c r="BP4453">
        <v>0.56000000000000005</v>
      </c>
      <c r="BQ4453">
        <v>-1.69</v>
      </c>
      <c r="BR4453">
        <v>-1.54</v>
      </c>
      <c r="BS4453">
        <v>-0.7</v>
      </c>
      <c r="BT4453">
        <v>0.96</v>
      </c>
      <c r="BU4453">
        <v>-0.63</v>
      </c>
      <c r="BV4453">
        <v>0.51</v>
      </c>
      <c r="BW4453">
        <v>0.09</v>
      </c>
      <c r="BX4453">
        <v>-0.92</v>
      </c>
      <c r="BY4453">
        <v>0.67</v>
      </c>
      <c r="BZ4453">
        <v>-2.15</v>
      </c>
      <c r="CA4453">
        <v>-0.13</v>
      </c>
      <c r="CB4453">
        <v>-0.15</v>
      </c>
      <c r="CC4453">
        <v>-0.13</v>
      </c>
      <c r="CD4453">
        <v>-1.07</v>
      </c>
      <c r="CE4453">
        <v>0.83</v>
      </c>
      <c r="CF4453">
        <v>0.02</v>
      </c>
      <c r="CG4453">
        <v>0</v>
      </c>
      <c r="CH4453">
        <v>0.49</v>
      </c>
      <c r="CI4453">
        <v>0</v>
      </c>
      <c r="CJ4453">
        <v>-3</v>
      </c>
      <c r="CK4453">
        <v>80</v>
      </c>
      <c r="CL4453">
        <v>-0.79</v>
      </c>
      <c r="CM4453">
        <v>77</v>
      </c>
      <c r="CN4453">
        <v>0.03</v>
      </c>
      <c r="CO4453">
        <v>73</v>
      </c>
      <c r="CP4453">
        <v>-14.4</v>
      </c>
      <c r="CQ4453">
        <v>89</v>
      </c>
      <c r="CR4453">
        <v>0</v>
      </c>
      <c r="CS4453">
        <v>0</v>
      </c>
      <c r="CT4453">
        <v>-3.2</v>
      </c>
      <c r="CU4453">
        <v>82</v>
      </c>
      <c r="CV4453">
        <v>0.27</v>
      </c>
      <c r="CW4453">
        <v>22</v>
      </c>
      <c r="CX4453" t="s">
        <v>543</v>
      </c>
    </row>
    <row r="4454" spans="1:102" x14ac:dyDescent="0.3">
      <c r="A4454" t="str">
        <f>HYPERLINK("https://webapp.icbf.com/v2/app/bull-search/view/69092077","KNT")</f>
        <v>KNT</v>
      </c>
      <c r="B4454" t="s">
        <v>1331</v>
      </c>
      <c r="C4454" t="s">
        <v>1332</v>
      </c>
      <c r="D4454" s="1">
        <v>35020</v>
      </c>
      <c r="E4454" t="s">
        <v>92</v>
      </c>
      <c r="F4454">
        <v>100</v>
      </c>
      <c r="G4454" t="s">
        <v>93</v>
      </c>
      <c r="H4454">
        <v>-126.11</v>
      </c>
      <c r="I4454">
        <v>61</v>
      </c>
      <c r="J4454">
        <v>-5.85</v>
      </c>
      <c r="K4454">
        <v>84</v>
      </c>
      <c r="L4454">
        <v>-87.77</v>
      </c>
      <c r="M4454">
        <v>42</v>
      </c>
      <c r="N4454">
        <v>-27.66</v>
      </c>
      <c r="O4454">
        <v>58</v>
      </c>
      <c r="P4454">
        <v>2.02</v>
      </c>
      <c r="Q4454">
        <v>79</v>
      </c>
      <c r="R4454">
        <v>-4.51</v>
      </c>
      <c r="S4454">
        <v>47</v>
      </c>
      <c r="T4454">
        <v>2.36</v>
      </c>
      <c r="U4454">
        <v>63</v>
      </c>
      <c r="V4454">
        <v>-4.7</v>
      </c>
      <c r="W4454">
        <v>21</v>
      </c>
      <c r="X4454" t="s">
        <v>276</v>
      </c>
      <c r="Y4454" t="s">
        <v>1333</v>
      </c>
      <c r="Z4454" t="s">
        <v>96</v>
      </c>
      <c r="AA4454" t="s">
        <v>1334</v>
      </c>
      <c r="AB4454" t="s">
        <v>1335</v>
      </c>
      <c r="AC4454">
        <v>23</v>
      </c>
      <c r="AD4454">
        <v>15</v>
      </c>
      <c r="AE4454">
        <v>84</v>
      </c>
      <c r="AF4454">
        <v>168.24</v>
      </c>
      <c r="AG4454">
        <v>6.25</v>
      </c>
      <c r="AH4454">
        <v>-0.63</v>
      </c>
      <c r="AI4454">
        <v>-0.01</v>
      </c>
      <c r="AJ4454">
        <v>-0.1</v>
      </c>
      <c r="AK4454">
        <v>42</v>
      </c>
      <c r="AL4454">
        <v>27</v>
      </c>
      <c r="AM4454">
        <v>20</v>
      </c>
      <c r="AN4454">
        <v>3.99</v>
      </c>
      <c r="AO4454">
        <v>-3.02</v>
      </c>
      <c r="AP4454">
        <v>38</v>
      </c>
      <c r="AQ4454">
        <v>1</v>
      </c>
      <c r="AR4454">
        <v>9.76</v>
      </c>
      <c r="AS4454">
        <v>32</v>
      </c>
      <c r="AT4454">
        <v>4.42</v>
      </c>
      <c r="AU4454">
        <v>77</v>
      </c>
      <c r="AV4454">
        <v>0.76</v>
      </c>
      <c r="AW4454">
        <v>62</v>
      </c>
      <c r="AX4454">
        <v>-0.75</v>
      </c>
      <c r="AY4454">
        <v>52</v>
      </c>
      <c r="AZ4454">
        <v>6.28</v>
      </c>
      <c r="BA4454">
        <v>33</v>
      </c>
      <c r="BB4454">
        <v>5.82</v>
      </c>
      <c r="BC4454">
        <v>32</v>
      </c>
      <c r="BD4454">
        <v>0.01</v>
      </c>
      <c r="BE4454">
        <v>0.03</v>
      </c>
      <c r="BF4454">
        <v>0.03</v>
      </c>
      <c r="BG4454">
        <v>57</v>
      </c>
      <c r="BH4454">
        <v>-0.06</v>
      </c>
      <c r="BI4454">
        <v>8.2200000000000006</v>
      </c>
      <c r="BJ4454">
        <v>4</v>
      </c>
      <c r="BK4454">
        <v>2</v>
      </c>
      <c r="BL4454">
        <v>-0.31</v>
      </c>
      <c r="BM4454">
        <v>0.57999999999999996</v>
      </c>
      <c r="BN4454">
        <v>-0.6</v>
      </c>
      <c r="BO4454">
        <v>-0.53</v>
      </c>
      <c r="BP4454">
        <v>0.71</v>
      </c>
      <c r="BQ4454">
        <v>1.28</v>
      </c>
      <c r="BR4454">
        <v>0.12</v>
      </c>
      <c r="BS4454">
        <v>-0.02</v>
      </c>
      <c r="BT4454">
        <v>0.88</v>
      </c>
      <c r="BU4454">
        <v>-0.42</v>
      </c>
      <c r="BV4454">
        <v>-1.37</v>
      </c>
      <c r="BW4454">
        <v>-0.26</v>
      </c>
      <c r="BX4454">
        <v>-0.3</v>
      </c>
      <c r="BY4454">
        <v>-0.12</v>
      </c>
      <c r="BZ4454">
        <v>0.51</v>
      </c>
      <c r="CA4454">
        <v>-7.0000000000000007E-2</v>
      </c>
      <c r="CB4454">
        <v>-0.38</v>
      </c>
      <c r="CC4454">
        <v>0.56999999999999995</v>
      </c>
      <c r="CD4454">
        <v>0.52</v>
      </c>
      <c r="CE4454">
        <v>-0.25</v>
      </c>
      <c r="CF4454">
        <v>0.64</v>
      </c>
      <c r="CG4454">
        <v>0</v>
      </c>
      <c r="CH4454">
        <v>0.42</v>
      </c>
      <c r="CI4454">
        <v>0</v>
      </c>
      <c r="CJ4454">
        <v>1.9</v>
      </c>
      <c r="CK4454">
        <v>81</v>
      </c>
      <c r="CL4454">
        <v>-0.39</v>
      </c>
      <c r="CM4454">
        <v>77</v>
      </c>
      <c r="CN4454">
        <v>-0.28999999999999998</v>
      </c>
      <c r="CO4454">
        <v>74</v>
      </c>
      <c r="CP4454">
        <v>0.2</v>
      </c>
      <c r="CQ4454">
        <v>77</v>
      </c>
      <c r="CR4454">
        <v>0</v>
      </c>
      <c r="CS4454">
        <v>0</v>
      </c>
      <c r="CT4454">
        <v>10.6</v>
      </c>
      <c r="CU4454">
        <v>63</v>
      </c>
      <c r="CV4454">
        <v>0.1</v>
      </c>
      <c r="CW4454">
        <v>22</v>
      </c>
      <c r="CX4454" t="s">
        <v>1185</v>
      </c>
    </row>
    <row r="4455" spans="1:102" x14ac:dyDescent="0.3">
      <c r="A4455" t="str">
        <f>HYPERLINK("https://webapp.icbf.com/v2/app/bull-search/view/77855329","MPA")</f>
        <v>MPA</v>
      </c>
      <c r="B4455" t="s">
        <v>8609</v>
      </c>
      <c r="C4455" t="s">
        <v>8610</v>
      </c>
      <c r="D4455" s="1">
        <v>36118</v>
      </c>
      <c r="E4455" t="s">
        <v>92</v>
      </c>
      <c r="F4455">
        <v>100</v>
      </c>
      <c r="G4455" t="s">
        <v>93</v>
      </c>
      <c r="H4455">
        <v>-126.18</v>
      </c>
      <c r="I4455">
        <v>84</v>
      </c>
      <c r="J4455">
        <v>-7.13</v>
      </c>
      <c r="K4455">
        <v>96</v>
      </c>
      <c r="L4455">
        <v>-65.239999999999995</v>
      </c>
      <c r="M4455">
        <v>77</v>
      </c>
      <c r="N4455">
        <v>-29.33</v>
      </c>
      <c r="O4455">
        <v>78</v>
      </c>
      <c r="P4455">
        <v>-3.18</v>
      </c>
      <c r="Q4455">
        <v>91</v>
      </c>
      <c r="R4455">
        <v>-9.35</v>
      </c>
      <c r="S4455">
        <v>77</v>
      </c>
      <c r="T4455">
        <v>-8.6</v>
      </c>
      <c r="U4455">
        <v>74</v>
      </c>
      <c r="V4455">
        <v>-3.35</v>
      </c>
      <c r="W4455">
        <v>67</v>
      </c>
      <c r="X4455" t="s">
        <v>94</v>
      </c>
      <c r="Y4455" t="s">
        <v>95</v>
      </c>
      <c r="Z4455" t="s">
        <v>96</v>
      </c>
      <c r="AA4455" t="s">
        <v>1696</v>
      </c>
      <c r="AB4455" t="s">
        <v>8611</v>
      </c>
      <c r="AC4455">
        <v>55</v>
      </c>
      <c r="AD4455">
        <v>48</v>
      </c>
      <c r="AE4455">
        <v>96</v>
      </c>
      <c r="AF4455">
        <v>141.61000000000001</v>
      </c>
      <c r="AG4455">
        <v>1.23</v>
      </c>
      <c r="AH4455">
        <v>0.52</v>
      </c>
      <c r="AI4455">
        <v>-7.0000000000000007E-2</v>
      </c>
      <c r="AJ4455">
        <v>-7.0000000000000007E-2</v>
      </c>
      <c r="AK4455">
        <v>77</v>
      </c>
      <c r="AL4455">
        <v>48</v>
      </c>
      <c r="AM4455">
        <v>37</v>
      </c>
      <c r="AN4455">
        <v>2.99</v>
      </c>
      <c r="AO4455">
        <v>-2.2200000000000002</v>
      </c>
      <c r="AP4455">
        <v>40</v>
      </c>
      <c r="AQ4455">
        <v>5</v>
      </c>
      <c r="AR4455">
        <v>9.8800000000000008</v>
      </c>
      <c r="AS4455">
        <v>71</v>
      </c>
      <c r="AT4455">
        <v>4.8499999999999996</v>
      </c>
      <c r="AU4455">
        <v>77</v>
      </c>
      <c r="AV4455">
        <v>0.37</v>
      </c>
      <c r="AW4455">
        <v>88</v>
      </c>
      <c r="AX4455">
        <v>0.56000000000000005</v>
      </c>
      <c r="AY4455">
        <v>77</v>
      </c>
      <c r="AZ4455">
        <v>6.47</v>
      </c>
      <c r="BA4455">
        <v>57</v>
      </c>
      <c r="BB4455">
        <v>4.99</v>
      </c>
      <c r="BC4455">
        <v>60</v>
      </c>
      <c r="BD4455">
        <v>0.09</v>
      </c>
      <c r="BE4455">
        <v>0.05</v>
      </c>
      <c r="BF4455">
        <v>-0.03</v>
      </c>
      <c r="BG4455">
        <v>87</v>
      </c>
      <c r="BH4455">
        <v>0.01</v>
      </c>
      <c r="BI4455">
        <v>11.97</v>
      </c>
      <c r="BJ4455">
        <v>23</v>
      </c>
      <c r="BK4455">
        <v>21</v>
      </c>
      <c r="BL4455">
        <v>1.63</v>
      </c>
      <c r="BM4455">
        <v>0.61</v>
      </c>
      <c r="BN4455">
        <v>1.51</v>
      </c>
      <c r="BO4455">
        <v>0.83</v>
      </c>
      <c r="BP4455">
        <v>-0.7</v>
      </c>
      <c r="BQ4455">
        <v>0.48</v>
      </c>
      <c r="BR4455">
        <v>-0.91</v>
      </c>
      <c r="BS4455">
        <v>2.39</v>
      </c>
      <c r="BT4455">
        <v>1.25</v>
      </c>
      <c r="BU4455">
        <v>0.92</v>
      </c>
      <c r="BV4455">
        <v>2.04</v>
      </c>
      <c r="BW4455">
        <v>1.43</v>
      </c>
      <c r="BX4455">
        <v>0.6</v>
      </c>
      <c r="BY4455">
        <v>-0.75</v>
      </c>
      <c r="BZ4455">
        <v>-1.53</v>
      </c>
      <c r="CA4455">
        <v>2.1</v>
      </c>
      <c r="CB4455">
        <v>1.42</v>
      </c>
      <c r="CC4455">
        <v>2.54</v>
      </c>
      <c r="CD4455">
        <v>0.1</v>
      </c>
      <c r="CE4455">
        <v>0.94</v>
      </c>
      <c r="CF4455">
        <v>1.63</v>
      </c>
      <c r="CG4455">
        <v>0</v>
      </c>
      <c r="CH4455">
        <v>-0.52</v>
      </c>
      <c r="CI4455">
        <v>0</v>
      </c>
      <c r="CJ4455">
        <v>0.5</v>
      </c>
      <c r="CK4455">
        <v>92</v>
      </c>
      <c r="CL4455">
        <v>-0.65</v>
      </c>
      <c r="CM4455">
        <v>90</v>
      </c>
      <c r="CN4455">
        <v>-0.2</v>
      </c>
      <c r="CO4455">
        <v>89</v>
      </c>
      <c r="CP4455">
        <v>3.3</v>
      </c>
      <c r="CQ4455">
        <v>85</v>
      </c>
      <c r="CR4455">
        <v>0</v>
      </c>
      <c r="CS4455">
        <v>0</v>
      </c>
      <c r="CT4455">
        <v>25.4</v>
      </c>
      <c r="CU4455">
        <v>74</v>
      </c>
      <c r="CV4455">
        <v>0.05</v>
      </c>
      <c r="CW4455">
        <v>44</v>
      </c>
      <c r="CX4455" t="s">
        <v>132</v>
      </c>
    </row>
    <row r="4456" spans="1:102" x14ac:dyDescent="0.3">
      <c r="A4456" t="str">
        <f>HYPERLINK("https://webapp.icbf.com/v2/app/bull-search/view/77853193","TRO")</f>
        <v>TRO</v>
      </c>
      <c r="B4456" t="s">
        <v>3481</v>
      </c>
      <c r="C4456" t="s">
        <v>3482</v>
      </c>
      <c r="D4456" s="1">
        <v>32838</v>
      </c>
      <c r="E4456" t="s">
        <v>92</v>
      </c>
      <c r="F4456">
        <v>88</v>
      </c>
      <c r="G4456" t="s">
        <v>109</v>
      </c>
      <c r="H4456">
        <v>-126.21</v>
      </c>
      <c r="I4456">
        <v>84</v>
      </c>
      <c r="J4456">
        <v>-32.299999999999997</v>
      </c>
      <c r="K4456">
        <v>94</v>
      </c>
      <c r="L4456">
        <v>-54.16</v>
      </c>
      <c r="M4456">
        <v>88</v>
      </c>
      <c r="N4456">
        <v>-24.53</v>
      </c>
      <c r="O4456">
        <v>66</v>
      </c>
      <c r="P4456">
        <v>-11.98</v>
      </c>
      <c r="Q4456">
        <v>76</v>
      </c>
      <c r="R4456">
        <v>-9.5</v>
      </c>
      <c r="S4456">
        <v>78</v>
      </c>
      <c r="T4456">
        <v>9.24</v>
      </c>
      <c r="U4456">
        <v>71</v>
      </c>
      <c r="V4456">
        <v>-2.98</v>
      </c>
      <c r="W4456">
        <v>60</v>
      </c>
      <c r="X4456" t="s">
        <v>102</v>
      </c>
      <c r="Y4456" t="s">
        <v>95</v>
      </c>
      <c r="Z4456" t="s">
        <v>96</v>
      </c>
      <c r="AA4456" t="s">
        <v>552</v>
      </c>
      <c r="AB4456" t="s">
        <v>3483</v>
      </c>
      <c r="AC4456">
        <v>32</v>
      </c>
      <c r="AD4456">
        <v>23</v>
      </c>
      <c r="AE4456">
        <v>94</v>
      </c>
      <c r="AF4456">
        <v>-199.46</v>
      </c>
      <c r="AG4456">
        <v>-1.43</v>
      </c>
      <c r="AH4456">
        <v>-8.0399999999999991</v>
      </c>
      <c r="AI4456">
        <v>0.12</v>
      </c>
      <c r="AJ4456">
        <v>-0.02</v>
      </c>
      <c r="AK4456">
        <v>88</v>
      </c>
      <c r="AL4456">
        <v>52</v>
      </c>
      <c r="AM4456">
        <v>29</v>
      </c>
      <c r="AN4456">
        <v>2.12</v>
      </c>
      <c r="AO4456">
        <v>-2.21</v>
      </c>
      <c r="AP4456">
        <v>2</v>
      </c>
      <c r="AQ4456">
        <v>2</v>
      </c>
      <c r="AR4456">
        <v>11.32</v>
      </c>
      <c r="AS4456">
        <v>52</v>
      </c>
      <c r="AT4456">
        <v>4.62</v>
      </c>
      <c r="AU4456">
        <v>86</v>
      </c>
      <c r="AV4456">
        <v>-0.88</v>
      </c>
      <c r="AW4456">
        <v>63</v>
      </c>
      <c r="AX4456">
        <v>-0.84</v>
      </c>
      <c r="AY4456">
        <v>68</v>
      </c>
      <c r="AZ4456">
        <v>6.69</v>
      </c>
      <c r="BA4456">
        <v>45</v>
      </c>
      <c r="BB4456">
        <v>6.12</v>
      </c>
      <c r="BC4456">
        <v>54</v>
      </c>
      <c r="BD4456">
        <v>0.05</v>
      </c>
      <c r="BE4456">
        <v>0.05</v>
      </c>
      <c r="BF4456">
        <v>0.04</v>
      </c>
      <c r="BG4456">
        <v>93</v>
      </c>
      <c r="BH4456">
        <v>-0.03</v>
      </c>
      <c r="BI4456">
        <v>6.15</v>
      </c>
      <c r="BJ4456">
        <v>7</v>
      </c>
      <c r="BK4456">
        <v>4</v>
      </c>
      <c r="BL4456">
        <v>0.37</v>
      </c>
      <c r="BM4456">
        <v>-1.65</v>
      </c>
      <c r="BN4456">
        <v>-0.65</v>
      </c>
      <c r="BO4456">
        <v>0.23</v>
      </c>
      <c r="BP4456">
        <v>1.3</v>
      </c>
      <c r="BQ4456">
        <v>-1.37</v>
      </c>
      <c r="BR4456">
        <v>-0.73</v>
      </c>
      <c r="BS4456">
        <v>-0.49</v>
      </c>
      <c r="BT4456">
        <v>1.45</v>
      </c>
      <c r="BU4456">
        <v>0.37</v>
      </c>
      <c r="BV4456">
        <v>0.37</v>
      </c>
      <c r="BW4456">
        <v>0.15</v>
      </c>
      <c r="BX4456">
        <v>1</v>
      </c>
      <c r="BY4456">
        <v>-0.2</v>
      </c>
      <c r="BZ4456">
        <v>-0.79</v>
      </c>
      <c r="CA4456">
        <v>7.0000000000000007E-2</v>
      </c>
      <c r="CB4456">
        <v>-0.22</v>
      </c>
      <c r="CC4456">
        <v>0.06</v>
      </c>
      <c r="CD4456">
        <v>-0.73</v>
      </c>
      <c r="CE4456">
        <v>-0.45</v>
      </c>
      <c r="CF4456">
        <v>0.14000000000000001</v>
      </c>
      <c r="CG4456">
        <v>0</v>
      </c>
      <c r="CH4456">
        <v>0.01</v>
      </c>
      <c r="CI4456">
        <v>0</v>
      </c>
      <c r="CJ4456">
        <v>-5.6</v>
      </c>
      <c r="CK4456">
        <v>77</v>
      </c>
      <c r="CL4456">
        <v>-0.56999999999999995</v>
      </c>
      <c r="CM4456">
        <v>74</v>
      </c>
      <c r="CN4456">
        <v>-0.16</v>
      </c>
      <c r="CO4456">
        <v>71</v>
      </c>
      <c r="CP4456">
        <v>-1.6</v>
      </c>
      <c r="CQ4456">
        <v>81</v>
      </c>
      <c r="CR4456">
        <v>0</v>
      </c>
      <c r="CS4456">
        <v>0</v>
      </c>
      <c r="CT4456">
        <v>1.3</v>
      </c>
      <c r="CU4456">
        <v>71</v>
      </c>
      <c r="CV4456">
        <v>7.0000000000000007E-2</v>
      </c>
      <c r="CW4456">
        <v>41</v>
      </c>
      <c r="CX4456" t="s">
        <v>785</v>
      </c>
    </row>
    <row r="4457" spans="1:102" x14ac:dyDescent="0.3">
      <c r="A4457" t="str">
        <f>HYPERLINK("https://webapp.icbf.com/v2/app/bull-search/view/77855869","LOM")</f>
        <v>LOM</v>
      </c>
      <c r="B4457" t="s">
        <v>3693</v>
      </c>
      <c r="C4457" t="s">
        <v>3694</v>
      </c>
      <c r="D4457" s="1">
        <v>33172</v>
      </c>
      <c r="E4457" t="s">
        <v>92</v>
      </c>
      <c r="F4457">
        <v>100</v>
      </c>
      <c r="G4457" t="s">
        <v>93</v>
      </c>
      <c r="H4457">
        <v>-126.32</v>
      </c>
      <c r="I4457">
        <v>86</v>
      </c>
      <c r="J4457">
        <v>-18.760000000000002</v>
      </c>
      <c r="K4457">
        <v>95</v>
      </c>
      <c r="L4457">
        <v>-115.92</v>
      </c>
      <c r="M4457">
        <v>86</v>
      </c>
      <c r="N4457">
        <v>10.42</v>
      </c>
      <c r="O4457">
        <v>73</v>
      </c>
      <c r="P4457">
        <v>-7.8</v>
      </c>
      <c r="Q4457">
        <v>83</v>
      </c>
      <c r="R4457">
        <v>-1.96</v>
      </c>
      <c r="S4457">
        <v>79</v>
      </c>
      <c r="T4457">
        <v>8.94</v>
      </c>
      <c r="U4457">
        <v>75</v>
      </c>
      <c r="V4457">
        <v>-1.24</v>
      </c>
      <c r="W4457">
        <v>67</v>
      </c>
      <c r="X4457" t="s">
        <v>276</v>
      </c>
      <c r="Y4457" t="s">
        <v>95</v>
      </c>
      <c r="Z4457" t="s">
        <v>96</v>
      </c>
      <c r="AA4457" t="s">
        <v>118</v>
      </c>
      <c r="AB4457" t="s">
        <v>918</v>
      </c>
      <c r="AC4457">
        <v>41</v>
      </c>
      <c r="AD4457">
        <v>36</v>
      </c>
      <c r="AE4457">
        <v>95</v>
      </c>
      <c r="AF4457">
        <v>213.82</v>
      </c>
      <c r="AG4457">
        <v>-4.26</v>
      </c>
      <c r="AH4457">
        <v>1.59</v>
      </c>
      <c r="AI4457">
        <v>-0.21</v>
      </c>
      <c r="AJ4457">
        <v>-0.1</v>
      </c>
      <c r="AK4457">
        <v>86</v>
      </c>
      <c r="AL4457">
        <v>47</v>
      </c>
      <c r="AM4457">
        <v>34</v>
      </c>
      <c r="AN4457">
        <v>6.64</v>
      </c>
      <c r="AO4457">
        <v>-2.6</v>
      </c>
      <c r="AP4457">
        <v>50</v>
      </c>
      <c r="AQ4457">
        <v>0</v>
      </c>
      <c r="AR4457">
        <v>8.68</v>
      </c>
      <c r="AS4457">
        <v>68</v>
      </c>
      <c r="AT4457">
        <v>3.04</v>
      </c>
      <c r="AU4457">
        <v>79</v>
      </c>
      <c r="AV4457">
        <v>-1.32</v>
      </c>
      <c r="AW4457">
        <v>77</v>
      </c>
      <c r="AX4457">
        <v>-0.73</v>
      </c>
      <c r="AY4457">
        <v>69</v>
      </c>
      <c r="AZ4457">
        <v>6.52</v>
      </c>
      <c r="BA4457">
        <v>55</v>
      </c>
      <c r="BB4457">
        <v>4.9400000000000004</v>
      </c>
      <c r="BC4457">
        <v>61</v>
      </c>
      <c r="BD4457">
        <v>0.03</v>
      </c>
      <c r="BE4457">
        <v>0.05</v>
      </c>
      <c r="BF4457">
        <v>-0.1</v>
      </c>
      <c r="BG4457">
        <v>90</v>
      </c>
      <c r="BH4457">
        <v>0</v>
      </c>
      <c r="BI4457">
        <v>4.01</v>
      </c>
      <c r="BJ4457">
        <v>1</v>
      </c>
      <c r="BK4457">
        <v>1</v>
      </c>
      <c r="BL4457">
        <v>0.17</v>
      </c>
      <c r="BM4457">
        <v>-0.95</v>
      </c>
      <c r="BN4457">
        <v>0.37</v>
      </c>
      <c r="BO4457">
        <v>0.21</v>
      </c>
      <c r="BP4457">
        <v>-2.37</v>
      </c>
      <c r="BQ4457">
        <v>-0.67</v>
      </c>
      <c r="BR4457">
        <v>-0.35</v>
      </c>
      <c r="BS4457">
        <v>-0.86</v>
      </c>
      <c r="BT4457">
        <v>-0.36</v>
      </c>
      <c r="BU4457">
        <v>0.5</v>
      </c>
      <c r="BV4457">
        <v>0.86</v>
      </c>
      <c r="BW4457">
        <v>1.44</v>
      </c>
      <c r="BX4457">
        <v>-0.14000000000000001</v>
      </c>
      <c r="BY4457">
        <v>0.23</v>
      </c>
      <c r="BZ4457">
        <v>-2.72</v>
      </c>
      <c r="CA4457">
        <v>0.45</v>
      </c>
      <c r="CB4457">
        <v>0.67</v>
      </c>
      <c r="CC4457">
        <v>-0.1</v>
      </c>
      <c r="CD4457">
        <v>-0.26</v>
      </c>
      <c r="CE4457">
        <v>0.69</v>
      </c>
      <c r="CF4457">
        <v>0.56000000000000005</v>
      </c>
      <c r="CG4457">
        <v>0</v>
      </c>
      <c r="CH4457">
        <v>7.0000000000000007E-2</v>
      </c>
      <c r="CI4457">
        <v>0</v>
      </c>
      <c r="CJ4457">
        <v>-4</v>
      </c>
      <c r="CK4457">
        <v>84</v>
      </c>
      <c r="CL4457">
        <v>-0.59</v>
      </c>
      <c r="CM4457">
        <v>82</v>
      </c>
      <c r="CN4457">
        <v>-0.43</v>
      </c>
      <c r="CO4457">
        <v>80</v>
      </c>
      <c r="CP4457">
        <v>-8.1999999999999993</v>
      </c>
      <c r="CQ4457">
        <v>83</v>
      </c>
      <c r="CR4457">
        <v>0</v>
      </c>
      <c r="CS4457">
        <v>0</v>
      </c>
      <c r="CT4457">
        <v>1.7</v>
      </c>
      <c r="CU4457">
        <v>75</v>
      </c>
      <c r="CV4457">
        <v>0.09</v>
      </c>
      <c r="CW4457">
        <v>43</v>
      </c>
      <c r="CX4457" t="s">
        <v>543</v>
      </c>
    </row>
    <row r="4458" spans="1:102" x14ac:dyDescent="0.3">
      <c r="A4458" t="str">
        <f>HYPERLINK("https://webapp.icbf.com/v2/app/bull-search/view/77854891","MUS")</f>
        <v>MUS</v>
      </c>
      <c r="B4458" t="s">
        <v>6873</v>
      </c>
      <c r="C4458" t="s">
        <v>6874</v>
      </c>
      <c r="D4458" s="1">
        <v>35419</v>
      </c>
      <c r="E4458" t="s">
        <v>92</v>
      </c>
      <c r="F4458">
        <v>100</v>
      </c>
      <c r="G4458" t="s">
        <v>93</v>
      </c>
      <c r="H4458">
        <v>-126.34</v>
      </c>
      <c r="I4458">
        <v>55</v>
      </c>
      <c r="J4458">
        <v>1.95</v>
      </c>
      <c r="K4458">
        <v>76</v>
      </c>
      <c r="L4458">
        <v>-88.37</v>
      </c>
      <c r="M4458">
        <v>41</v>
      </c>
      <c r="N4458">
        <v>-23.04</v>
      </c>
      <c r="O4458">
        <v>46</v>
      </c>
      <c r="P4458">
        <v>-9.16</v>
      </c>
      <c r="Q4458">
        <v>53</v>
      </c>
      <c r="R4458">
        <v>-16.14</v>
      </c>
      <c r="S4458">
        <v>48</v>
      </c>
      <c r="T4458">
        <v>11.75</v>
      </c>
      <c r="U4458">
        <v>50</v>
      </c>
      <c r="V4458">
        <v>-3.33</v>
      </c>
      <c r="W4458">
        <v>33</v>
      </c>
      <c r="X4458" t="s">
        <v>94</v>
      </c>
      <c r="Y4458" t="s">
        <v>95</v>
      </c>
      <c r="Z4458" t="s">
        <v>96</v>
      </c>
      <c r="AA4458" t="s">
        <v>218</v>
      </c>
      <c r="AB4458" t="s">
        <v>6875</v>
      </c>
      <c r="AC4458">
        <v>14</v>
      </c>
      <c r="AD4458">
        <v>11</v>
      </c>
      <c r="AE4458">
        <v>76</v>
      </c>
      <c r="AF4458">
        <v>62.47</v>
      </c>
      <c r="AG4458">
        <v>-0.56999999999999995</v>
      </c>
      <c r="AH4458">
        <v>1.49</v>
      </c>
      <c r="AI4458">
        <v>-0.05</v>
      </c>
      <c r="AJ4458">
        <v>-0.01</v>
      </c>
      <c r="AK4458">
        <v>41</v>
      </c>
      <c r="AL4458">
        <v>10</v>
      </c>
      <c r="AM4458">
        <v>9</v>
      </c>
      <c r="AN4458">
        <v>4.62</v>
      </c>
      <c r="AO4458">
        <v>-2.4300000000000002</v>
      </c>
      <c r="AP4458">
        <v>4</v>
      </c>
      <c r="AQ4458">
        <v>1</v>
      </c>
      <c r="AR4458">
        <v>9.93</v>
      </c>
      <c r="AS4458">
        <v>30</v>
      </c>
      <c r="AT4458">
        <v>4.63</v>
      </c>
      <c r="AU4458">
        <v>44</v>
      </c>
      <c r="AV4458">
        <v>-0.47</v>
      </c>
      <c r="AW4458">
        <v>55</v>
      </c>
      <c r="AX4458">
        <v>0</v>
      </c>
      <c r="AY4458">
        <v>45</v>
      </c>
      <c r="AZ4458">
        <v>6.78</v>
      </c>
      <c r="BA4458">
        <v>30</v>
      </c>
      <c r="BB4458">
        <v>5.72</v>
      </c>
      <c r="BC4458">
        <v>37</v>
      </c>
      <c r="BD4458">
        <v>0.06</v>
      </c>
      <c r="BE4458">
        <v>0.09</v>
      </c>
      <c r="BF4458">
        <v>0.1</v>
      </c>
      <c r="BG4458">
        <v>56</v>
      </c>
      <c r="BH4458">
        <v>-0.05</v>
      </c>
      <c r="BI4458">
        <v>4.97</v>
      </c>
      <c r="BJ4458">
        <v>2</v>
      </c>
      <c r="BK4458">
        <v>2</v>
      </c>
      <c r="BL4458">
        <v>0.28999999999999998</v>
      </c>
      <c r="BM4458">
        <v>0.14000000000000001</v>
      </c>
      <c r="BN4458">
        <v>0.8</v>
      </c>
      <c r="BO4458">
        <v>0.39</v>
      </c>
      <c r="BP4458">
        <v>-1.35</v>
      </c>
      <c r="BQ4458">
        <v>0.61</v>
      </c>
      <c r="BR4458">
        <v>2.66</v>
      </c>
      <c r="BS4458">
        <v>-2.0099999999999998</v>
      </c>
      <c r="BT4458">
        <v>-2.56</v>
      </c>
      <c r="BU4458">
        <v>0.51</v>
      </c>
      <c r="BV4458">
        <v>0.76</v>
      </c>
      <c r="BW4458">
        <v>0.5</v>
      </c>
      <c r="BX4458">
        <v>-0.2</v>
      </c>
      <c r="BY4458">
        <v>0.84</v>
      </c>
      <c r="BZ4458">
        <v>0.1</v>
      </c>
      <c r="CA4458">
        <v>-0.47</v>
      </c>
      <c r="CB4458">
        <v>0.47</v>
      </c>
      <c r="CC4458">
        <v>-2.0499999999999998</v>
      </c>
      <c r="CD4458">
        <v>-0.31</v>
      </c>
      <c r="CE4458">
        <v>0.12</v>
      </c>
      <c r="CF4458">
        <v>0.63</v>
      </c>
      <c r="CG4458">
        <v>0</v>
      </c>
      <c r="CH4458">
        <v>0.81</v>
      </c>
      <c r="CI4458">
        <v>0</v>
      </c>
      <c r="CJ4458">
        <v>-1.6</v>
      </c>
      <c r="CK4458">
        <v>54</v>
      </c>
      <c r="CL4458">
        <v>-0.75</v>
      </c>
      <c r="CM4458">
        <v>51</v>
      </c>
      <c r="CN4458">
        <v>-0.13</v>
      </c>
      <c r="CO4458">
        <v>46</v>
      </c>
      <c r="CP4458">
        <v>-4.9000000000000004</v>
      </c>
      <c r="CQ4458">
        <v>58</v>
      </c>
      <c r="CR4458">
        <v>0</v>
      </c>
      <c r="CS4458">
        <v>0</v>
      </c>
      <c r="CT4458">
        <v>-2.1</v>
      </c>
      <c r="CU4458">
        <v>50</v>
      </c>
      <c r="CV4458">
        <v>0.24</v>
      </c>
      <c r="CW4458">
        <v>14</v>
      </c>
      <c r="CX4458" t="s">
        <v>6504</v>
      </c>
    </row>
    <row r="4459" spans="1:102" x14ac:dyDescent="0.3">
      <c r="A4459" t="str">
        <f>HYPERLINK("https://webapp.icbf.com/v2/app/bull-search/view/423377835","LBV")</f>
        <v>LBV</v>
      </c>
      <c r="B4459" t="s">
        <v>8145</v>
      </c>
      <c r="C4459" t="s">
        <v>8146</v>
      </c>
      <c r="D4459" s="1">
        <v>36715</v>
      </c>
      <c r="E4459" t="s">
        <v>92</v>
      </c>
      <c r="F4459">
        <v>100</v>
      </c>
      <c r="G4459" t="s">
        <v>93</v>
      </c>
      <c r="H4459">
        <v>-126.62</v>
      </c>
      <c r="I4459">
        <v>96</v>
      </c>
      <c r="J4459">
        <v>13.86</v>
      </c>
      <c r="K4459">
        <v>99</v>
      </c>
      <c r="L4459">
        <v>-162.06</v>
      </c>
      <c r="M4459">
        <v>94</v>
      </c>
      <c r="N4459">
        <v>3.78</v>
      </c>
      <c r="O4459">
        <v>96</v>
      </c>
      <c r="P4459">
        <v>-8.26</v>
      </c>
      <c r="Q4459">
        <v>98</v>
      </c>
      <c r="R4459">
        <v>11.34</v>
      </c>
      <c r="S4459">
        <v>92</v>
      </c>
      <c r="T4459">
        <v>15.38</v>
      </c>
      <c r="U4459">
        <v>95</v>
      </c>
      <c r="V4459">
        <v>-0.66</v>
      </c>
      <c r="W4459">
        <v>92</v>
      </c>
      <c r="X4459" t="s">
        <v>251</v>
      </c>
      <c r="Y4459" t="s">
        <v>95</v>
      </c>
      <c r="Z4459" t="s">
        <v>96</v>
      </c>
      <c r="AA4459" t="s">
        <v>1574</v>
      </c>
      <c r="AB4459" t="s">
        <v>8147</v>
      </c>
      <c r="AC4459">
        <v>578</v>
      </c>
      <c r="AD4459">
        <v>194</v>
      </c>
      <c r="AE4459">
        <v>99</v>
      </c>
      <c r="AF4459">
        <v>-49.01</v>
      </c>
      <c r="AG4459">
        <v>3.27</v>
      </c>
      <c r="AH4459">
        <v>0.45</v>
      </c>
      <c r="AI4459">
        <v>0.09</v>
      </c>
      <c r="AJ4459">
        <v>0.04</v>
      </c>
      <c r="AK4459">
        <v>94</v>
      </c>
      <c r="AL4459">
        <v>546</v>
      </c>
      <c r="AM4459">
        <v>207</v>
      </c>
      <c r="AN4459">
        <v>8.39</v>
      </c>
      <c r="AO4459">
        <v>-4.54</v>
      </c>
      <c r="AP4459">
        <v>1102</v>
      </c>
      <c r="AQ4459">
        <v>3</v>
      </c>
      <c r="AR4459">
        <v>7.51</v>
      </c>
      <c r="AS4459">
        <v>97</v>
      </c>
      <c r="AT4459">
        <v>2.96</v>
      </c>
      <c r="AU4459">
        <v>96</v>
      </c>
      <c r="AV4459">
        <v>-0.45</v>
      </c>
      <c r="AW4459">
        <v>99</v>
      </c>
      <c r="AX4459">
        <v>-0.13</v>
      </c>
      <c r="AY4459">
        <v>96</v>
      </c>
      <c r="AZ4459">
        <v>7.04</v>
      </c>
      <c r="BA4459">
        <v>87</v>
      </c>
      <c r="BB4459">
        <v>5.17</v>
      </c>
      <c r="BC4459">
        <v>86</v>
      </c>
      <c r="BD4459">
        <v>-0.04</v>
      </c>
      <c r="BE4459">
        <v>-0.06</v>
      </c>
      <c r="BF4459">
        <v>-0.08</v>
      </c>
      <c r="BG4459">
        <v>97</v>
      </c>
      <c r="BH4459">
        <v>-0.14000000000000001</v>
      </c>
      <c r="BI4459">
        <v>-14.06</v>
      </c>
      <c r="BJ4459">
        <v>117</v>
      </c>
      <c r="BK4459">
        <v>51</v>
      </c>
      <c r="BL4459">
        <v>0.66</v>
      </c>
      <c r="BM4459">
        <v>-2.54</v>
      </c>
      <c r="BN4459">
        <v>-0.78</v>
      </c>
      <c r="BO4459">
        <v>0.9</v>
      </c>
      <c r="BP4459">
        <v>-1.33</v>
      </c>
      <c r="BQ4459">
        <v>-1.46</v>
      </c>
      <c r="BR4459">
        <v>-2.64</v>
      </c>
      <c r="BS4459">
        <v>3.87</v>
      </c>
      <c r="BT4459">
        <v>2.92</v>
      </c>
      <c r="BU4459">
        <v>2.1</v>
      </c>
      <c r="BV4459">
        <v>1.55</v>
      </c>
      <c r="BW4459">
        <v>1.96</v>
      </c>
      <c r="BX4459">
        <v>2.46</v>
      </c>
      <c r="BY4459">
        <v>3.64</v>
      </c>
      <c r="BZ4459">
        <v>-0.96</v>
      </c>
      <c r="CA4459">
        <v>2.69</v>
      </c>
      <c r="CB4459">
        <v>2.0699999999999998</v>
      </c>
      <c r="CC4459">
        <v>2.44</v>
      </c>
      <c r="CD4459">
        <v>-1.37</v>
      </c>
      <c r="CE4459">
        <v>0.82</v>
      </c>
      <c r="CF4459">
        <v>-0.66</v>
      </c>
      <c r="CG4459">
        <v>0</v>
      </c>
      <c r="CH4459">
        <v>3.73</v>
      </c>
      <c r="CI4459">
        <v>0</v>
      </c>
      <c r="CJ4459">
        <v>-2.1</v>
      </c>
      <c r="CK4459">
        <v>98</v>
      </c>
      <c r="CL4459">
        <v>-0.84</v>
      </c>
      <c r="CM4459">
        <v>98</v>
      </c>
      <c r="CN4459">
        <v>-0.38</v>
      </c>
      <c r="CO4459">
        <v>98</v>
      </c>
      <c r="CP4459">
        <v>-7.6</v>
      </c>
      <c r="CQ4459">
        <v>98</v>
      </c>
      <c r="CR4459">
        <v>0</v>
      </c>
      <c r="CS4459">
        <v>0</v>
      </c>
      <c r="CT4459">
        <v>-7</v>
      </c>
      <c r="CU4459">
        <v>95</v>
      </c>
      <c r="CV4459">
        <v>0.15</v>
      </c>
      <c r="CW4459">
        <v>46</v>
      </c>
      <c r="CX4459" t="s">
        <v>8148</v>
      </c>
    </row>
    <row r="4460" spans="1:102" x14ac:dyDescent="0.3">
      <c r="A4460" t="str">
        <f>HYPERLINK("https://webapp.icbf.com/v2/app/bull-search/view/77856415","KCV")</f>
        <v>KCV</v>
      </c>
      <c r="B4460" t="s">
        <v>6923</v>
      </c>
      <c r="C4460" t="s">
        <v>6924</v>
      </c>
      <c r="D4460" s="1">
        <v>32432</v>
      </c>
      <c r="E4460" t="s">
        <v>92</v>
      </c>
      <c r="F4460">
        <v>100</v>
      </c>
      <c r="G4460" t="s">
        <v>93</v>
      </c>
      <c r="H4460">
        <v>-126.83</v>
      </c>
      <c r="I4460">
        <v>89</v>
      </c>
      <c r="J4460">
        <v>-23.9</v>
      </c>
      <c r="K4460">
        <v>97</v>
      </c>
      <c r="L4460">
        <v>-91.09</v>
      </c>
      <c r="M4460">
        <v>90</v>
      </c>
      <c r="N4460">
        <v>-4.82</v>
      </c>
      <c r="O4460">
        <v>78</v>
      </c>
      <c r="P4460">
        <v>-5.94</v>
      </c>
      <c r="Q4460">
        <v>85</v>
      </c>
      <c r="R4460">
        <v>-7.71</v>
      </c>
      <c r="S4460">
        <v>83</v>
      </c>
      <c r="T4460">
        <v>13.31</v>
      </c>
      <c r="U4460">
        <v>83</v>
      </c>
      <c r="V4460">
        <v>-6.68</v>
      </c>
      <c r="W4460">
        <v>70</v>
      </c>
      <c r="X4460" t="s">
        <v>94</v>
      </c>
      <c r="Y4460" t="s">
        <v>95</v>
      </c>
      <c r="Z4460" t="s">
        <v>96</v>
      </c>
      <c r="AA4460" t="s">
        <v>166</v>
      </c>
      <c r="AB4460" t="s">
        <v>6925</v>
      </c>
      <c r="AC4460">
        <v>88</v>
      </c>
      <c r="AD4460">
        <v>48</v>
      </c>
      <c r="AE4460">
        <v>97</v>
      </c>
      <c r="AF4460">
        <v>13.37</v>
      </c>
      <c r="AG4460">
        <v>-4.55</v>
      </c>
      <c r="AH4460">
        <v>-2.25</v>
      </c>
      <c r="AI4460">
        <v>-0.09</v>
      </c>
      <c r="AJ4460">
        <v>-0.05</v>
      </c>
      <c r="AK4460">
        <v>90</v>
      </c>
      <c r="AL4460">
        <v>100</v>
      </c>
      <c r="AM4460">
        <v>53</v>
      </c>
      <c r="AN4460">
        <v>5.29</v>
      </c>
      <c r="AO4460">
        <v>-1.97</v>
      </c>
      <c r="AP4460">
        <v>28</v>
      </c>
      <c r="AQ4460">
        <v>0</v>
      </c>
      <c r="AR4460">
        <v>9.6999999999999993</v>
      </c>
      <c r="AS4460">
        <v>66</v>
      </c>
      <c r="AT4460">
        <v>4.6100000000000003</v>
      </c>
      <c r="AU4460">
        <v>87</v>
      </c>
      <c r="AV4460">
        <v>-1.4</v>
      </c>
      <c r="AW4460">
        <v>80</v>
      </c>
      <c r="AX4460">
        <v>-0.8</v>
      </c>
      <c r="AY4460">
        <v>80</v>
      </c>
      <c r="AZ4460">
        <v>5.49</v>
      </c>
      <c r="BA4460">
        <v>61</v>
      </c>
      <c r="BB4460">
        <v>4.55</v>
      </c>
      <c r="BC4460">
        <v>69</v>
      </c>
      <c r="BD4460">
        <v>0.05</v>
      </c>
      <c r="BE4460">
        <v>0.06</v>
      </c>
      <c r="BF4460">
        <v>-0.02</v>
      </c>
      <c r="BG4460">
        <v>94</v>
      </c>
      <c r="BH4460">
        <v>0.04</v>
      </c>
      <c r="BI4460">
        <v>26.17</v>
      </c>
      <c r="BJ4460">
        <v>17</v>
      </c>
      <c r="BK4460">
        <v>8</v>
      </c>
      <c r="BL4460">
        <v>0.09</v>
      </c>
      <c r="BM4460">
        <v>-1.89</v>
      </c>
      <c r="BN4460">
        <v>-1.82</v>
      </c>
      <c r="BO4460">
        <v>-0.17</v>
      </c>
      <c r="BP4460">
        <v>1.89</v>
      </c>
      <c r="BQ4460">
        <v>-0.79</v>
      </c>
      <c r="BR4460">
        <v>-0.95</v>
      </c>
      <c r="BS4460">
        <v>0.28999999999999998</v>
      </c>
      <c r="BT4460">
        <v>-0.12</v>
      </c>
      <c r="BU4460">
        <v>-0.17</v>
      </c>
      <c r="BV4460">
        <v>-0.1</v>
      </c>
      <c r="BW4460">
        <v>0.3</v>
      </c>
      <c r="BX4460">
        <v>0.79</v>
      </c>
      <c r="BY4460">
        <v>-0.02</v>
      </c>
      <c r="BZ4460">
        <v>0.43</v>
      </c>
      <c r="CA4460">
        <v>0.66</v>
      </c>
      <c r="CB4460">
        <v>0.43</v>
      </c>
      <c r="CC4460">
        <v>0.79</v>
      </c>
      <c r="CD4460">
        <v>-0.53</v>
      </c>
      <c r="CE4460">
        <v>0.54</v>
      </c>
      <c r="CF4460">
        <v>-0.45</v>
      </c>
      <c r="CG4460">
        <v>0</v>
      </c>
      <c r="CH4460">
        <v>-0.26</v>
      </c>
      <c r="CI4460">
        <v>0</v>
      </c>
      <c r="CJ4460">
        <v>-1.8</v>
      </c>
      <c r="CK4460">
        <v>86</v>
      </c>
      <c r="CL4460">
        <v>-0.56999999999999995</v>
      </c>
      <c r="CM4460">
        <v>83</v>
      </c>
      <c r="CN4460">
        <v>-0.27</v>
      </c>
      <c r="CO4460">
        <v>81</v>
      </c>
      <c r="CP4460">
        <v>-4.9000000000000004</v>
      </c>
      <c r="CQ4460">
        <v>89</v>
      </c>
      <c r="CR4460">
        <v>0</v>
      </c>
      <c r="CS4460">
        <v>0</v>
      </c>
      <c r="CT4460">
        <v>-4.2</v>
      </c>
      <c r="CU4460">
        <v>83</v>
      </c>
      <c r="CV4460">
        <v>0.05</v>
      </c>
      <c r="CW4460">
        <v>43</v>
      </c>
      <c r="CX4460" t="s">
        <v>663</v>
      </c>
    </row>
    <row r="4461" spans="1:102" x14ac:dyDescent="0.3">
      <c r="A4461" t="str">
        <f>HYPERLINK("https://webapp.icbf.com/v2/app/bull-search/view/77858554","CRI")</f>
        <v>CRI</v>
      </c>
      <c r="B4461" t="s">
        <v>8594</v>
      </c>
      <c r="C4461" t="s">
        <v>8595</v>
      </c>
      <c r="D4461" s="1">
        <v>33508</v>
      </c>
      <c r="E4461" t="s">
        <v>92</v>
      </c>
      <c r="F4461">
        <v>100</v>
      </c>
      <c r="G4461" t="s">
        <v>116</v>
      </c>
      <c r="H4461">
        <v>-127.02</v>
      </c>
      <c r="I4461">
        <v>51</v>
      </c>
      <c r="J4461">
        <v>-79.34</v>
      </c>
      <c r="K4461">
        <v>62</v>
      </c>
      <c r="L4461">
        <v>-40.630000000000003</v>
      </c>
      <c r="M4461">
        <v>46</v>
      </c>
      <c r="N4461">
        <v>-4.28</v>
      </c>
      <c r="O4461">
        <v>38</v>
      </c>
      <c r="P4461">
        <v>-0.79</v>
      </c>
      <c r="Q4461">
        <v>51</v>
      </c>
      <c r="R4461">
        <v>-3.41</v>
      </c>
      <c r="S4461">
        <v>51</v>
      </c>
      <c r="T4461">
        <v>5.46</v>
      </c>
      <c r="U4461">
        <v>49</v>
      </c>
      <c r="V4461">
        <v>-4.03</v>
      </c>
      <c r="W4461">
        <v>26</v>
      </c>
      <c r="X4461" t="s">
        <v>110</v>
      </c>
      <c r="Y4461" t="s">
        <v>95</v>
      </c>
      <c r="Z4461" t="s">
        <v>96</v>
      </c>
      <c r="AA4461" t="s">
        <v>154</v>
      </c>
      <c r="AB4461" t="s">
        <v>8596</v>
      </c>
      <c r="AC4461">
        <v>10</v>
      </c>
      <c r="AD4461">
        <v>6</v>
      </c>
      <c r="AE4461">
        <v>62</v>
      </c>
      <c r="AF4461">
        <v>-393.31</v>
      </c>
      <c r="AG4461">
        <v>-8.2899999999999991</v>
      </c>
      <c r="AH4461">
        <v>-16.579999999999998</v>
      </c>
      <c r="AI4461">
        <v>0.13</v>
      </c>
      <c r="AJ4461">
        <v>-0.05</v>
      </c>
      <c r="AK4461">
        <v>46</v>
      </c>
      <c r="AL4461">
        <v>22</v>
      </c>
      <c r="AM4461">
        <v>8</v>
      </c>
      <c r="AN4461">
        <v>1.45</v>
      </c>
      <c r="AO4461">
        <v>-1.8</v>
      </c>
      <c r="AP4461">
        <v>7</v>
      </c>
      <c r="AQ4461">
        <v>1</v>
      </c>
      <c r="AR4461">
        <v>7.77</v>
      </c>
      <c r="AS4461">
        <v>32</v>
      </c>
      <c r="AT4461">
        <v>3.76</v>
      </c>
      <c r="AU4461">
        <v>38</v>
      </c>
      <c r="AV4461">
        <v>-0.43</v>
      </c>
      <c r="AW4461">
        <v>39</v>
      </c>
      <c r="AX4461">
        <v>-0.3</v>
      </c>
      <c r="AY4461">
        <v>50</v>
      </c>
      <c r="AZ4461">
        <v>6.55</v>
      </c>
      <c r="BA4461">
        <v>28</v>
      </c>
      <c r="BB4461">
        <v>5.39</v>
      </c>
      <c r="BC4461">
        <v>32</v>
      </c>
      <c r="BD4461">
        <v>0.02</v>
      </c>
      <c r="BE4461">
        <v>0.05</v>
      </c>
      <c r="BF4461">
        <v>-0.05</v>
      </c>
      <c r="BG4461">
        <v>65</v>
      </c>
      <c r="BH4461">
        <v>-0.04</v>
      </c>
      <c r="BI4461">
        <v>8.3800000000000008</v>
      </c>
      <c r="BJ4461">
        <v>1</v>
      </c>
      <c r="BK4461">
        <v>1</v>
      </c>
      <c r="BL4461">
        <v>1.23</v>
      </c>
      <c r="BM4461">
        <v>0.78</v>
      </c>
      <c r="BN4461">
        <v>1.23</v>
      </c>
      <c r="BO4461">
        <v>0.46</v>
      </c>
      <c r="BP4461">
        <v>-0.82</v>
      </c>
      <c r="BQ4461">
        <v>0.26</v>
      </c>
      <c r="BR4461">
        <v>-0.93</v>
      </c>
      <c r="BS4461">
        <v>0.41</v>
      </c>
      <c r="BT4461">
        <v>1.3</v>
      </c>
      <c r="BU4461">
        <v>0.27</v>
      </c>
      <c r="BV4461">
        <v>-0.09</v>
      </c>
      <c r="BW4461">
        <v>0.24</v>
      </c>
      <c r="BX4461">
        <v>1.78</v>
      </c>
      <c r="BY4461">
        <v>-0.54</v>
      </c>
      <c r="BZ4461">
        <v>1.98</v>
      </c>
      <c r="CA4461">
        <v>0.16</v>
      </c>
      <c r="CB4461">
        <v>-0.14000000000000001</v>
      </c>
      <c r="CC4461">
        <v>0.71</v>
      </c>
      <c r="CD4461">
        <v>-0.27</v>
      </c>
      <c r="CE4461">
        <v>0.18</v>
      </c>
      <c r="CF4461">
        <v>1.36</v>
      </c>
      <c r="CG4461">
        <v>0</v>
      </c>
      <c r="CH4461">
        <v>-0.3</v>
      </c>
      <c r="CI4461">
        <v>0</v>
      </c>
      <c r="CJ4461">
        <v>-0.1</v>
      </c>
      <c r="CK4461">
        <v>53</v>
      </c>
      <c r="CL4461">
        <v>-0.66</v>
      </c>
      <c r="CM4461">
        <v>49</v>
      </c>
      <c r="CN4461">
        <v>-0.53</v>
      </c>
      <c r="CO4461">
        <v>45</v>
      </c>
      <c r="CP4461">
        <v>-0.3</v>
      </c>
      <c r="CQ4461">
        <v>55</v>
      </c>
      <c r="CR4461">
        <v>0</v>
      </c>
      <c r="CS4461">
        <v>0</v>
      </c>
      <c r="CT4461">
        <v>6.4</v>
      </c>
      <c r="CU4461">
        <v>49</v>
      </c>
      <c r="CV4461">
        <v>0.19</v>
      </c>
      <c r="CW4461">
        <v>14</v>
      </c>
      <c r="CX4461" t="s">
        <v>8597</v>
      </c>
    </row>
    <row r="4462" spans="1:102" x14ac:dyDescent="0.3">
      <c r="A4462" t="str">
        <f>HYPERLINK("https://webapp.icbf.com/v2/app/bull-search/view/69091228","BEW")</f>
        <v>BEW</v>
      </c>
      <c r="B4462" t="s">
        <v>3312</v>
      </c>
      <c r="C4462" t="s">
        <v>3313</v>
      </c>
      <c r="D4462" s="1">
        <v>34848</v>
      </c>
      <c r="E4462" t="s">
        <v>92</v>
      </c>
      <c r="F4462">
        <v>100</v>
      </c>
      <c r="G4462" t="s">
        <v>93</v>
      </c>
      <c r="H4462">
        <v>-127.11</v>
      </c>
      <c r="I4462">
        <v>93</v>
      </c>
      <c r="J4462">
        <v>-1.84</v>
      </c>
      <c r="K4462">
        <v>98</v>
      </c>
      <c r="L4462">
        <v>-102.59</v>
      </c>
      <c r="M4462">
        <v>91</v>
      </c>
      <c r="N4462">
        <v>-10.91</v>
      </c>
      <c r="O4462">
        <v>90</v>
      </c>
      <c r="P4462">
        <v>-0.56000000000000005</v>
      </c>
      <c r="Q4462">
        <v>96</v>
      </c>
      <c r="R4462">
        <v>-8.15</v>
      </c>
      <c r="S4462">
        <v>87</v>
      </c>
      <c r="T4462">
        <v>-0.83</v>
      </c>
      <c r="U4462">
        <v>93</v>
      </c>
      <c r="V4462">
        <v>-2.23</v>
      </c>
      <c r="W4462">
        <v>80</v>
      </c>
      <c r="X4462" t="s">
        <v>276</v>
      </c>
      <c r="Y4462" t="s">
        <v>95</v>
      </c>
      <c r="Z4462" t="s">
        <v>96</v>
      </c>
      <c r="AA4462" t="s">
        <v>839</v>
      </c>
      <c r="AB4462" t="s">
        <v>3314</v>
      </c>
      <c r="AC4462">
        <v>260</v>
      </c>
      <c r="AD4462">
        <v>127</v>
      </c>
      <c r="AE4462">
        <v>98</v>
      </c>
      <c r="AF4462">
        <v>386.44</v>
      </c>
      <c r="AG4462">
        <v>0.26</v>
      </c>
      <c r="AH4462">
        <v>5.51</v>
      </c>
      <c r="AI4462">
        <v>-0.24</v>
      </c>
      <c r="AJ4462">
        <v>-0.12</v>
      </c>
      <c r="AK4462">
        <v>91</v>
      </c>
      <c r="AL4462">
        <v>236</v>
      </c>
      <c r="AM4462">
        <v>113</v>
      </c>
      <c r="AN4462">
        <v>6.46</v>
      </c>
      <c r="AO4462">
        <v>-1.71</v>
      </c>
      <c r="AP4462">
        <v>315</v>
      </c>
      <c r="AQ4462">
        <v>2</v>
      </c>
      <c r="AR4462">
        <v>9.6199999999999992</v>
      </c>
      <c r="AS4462">
        <v>86</v>
      </c>
      <c r="AT4462">
        <v>4.45</v>
      </c>
      <c r="AU4462">
        <v>93</v>
      </c>
      <c r="AV4462">
        <v>-0.76</v>
      </c>
      <c r="AW4462">
        <v>94</v>
      </c>
      <c r="AX4462">
        <v>-0.67</v>
      </c>
      <c r="AY4462">
        <v>90</v>
      </c>
      <c r="AZ4462">
        <v>6.17</v>
      </c>
      <c r="BA4462">
        <v>78</v>
      </c>
      <c r="BB4462">
        <v>4.9400000000000004</v>
      </c>
      <c r="BC4462">
        <v>80</v>
      </c>
      <c r="BD4462">
        <v>-0.01</v>
      </c>
      <c r="BE4462">
        <v>0.06</v>
      </c>
      <c r="BF4462">
        <v>0.09</v>
      </c>
      <c r="BG4462">
        <v>96</v>
      </c>
      <c r="BH4462">
        <v>0.06</v>
      </c>
      <c r="BI4462">
        <v>14.12</v>
      </c>
      <c r="BJ4462">
        <v>99</v>
      </c>
      <c r="BK4462">
        <v>45</v>
      </c>
      <c r="BL4462">
        <v>1.1200000000000001</v>
      </c>
      <c r="BM4462">
        <v>-0.03</v>
      </c>
      <c r="BN4462">
        <v>0.84</v>
      </c>
      <c r="BO4462">
        <v>1.02</v>
      </c>
      <c r="BP4462">
        <v>-1.81</v>
      </c>
      <c r="BQ4462">
        <v>1.1000000000000001</v>
      </c>
      <c r="BR4462">
        <v>-1.0900000000000001</v>
      </c>
      <c r="BS4462">
        <v>0.26</v>
      </c>
      <c r="BT4462">
        <v>0.4</v>
      </c>
      <c r="BU4462">
        <v>1.45</v>
      </c>
      <c r="BV4462">
        <v>1.28</v>
      </c>
      <c r="BW4462">
        <v>0.93</v>
      </c>
      <c r="BX4462">
        <v>1.45</v>
      </c>
      <c r="BY4462">
        <v>2.4700000000000002</v>
      </c>
      <c r="BZ4462">
        <v>0.94</v>
      </c>
      <c r="CA4462">
        <v>1.31</v>
      </c>
      <c r="CB4462">
        <v>1.5</v>
      </c>
      <c r="CC4462">
        <v>0.43</v>
      </c>
      <c r="CD4462">
        <v>-0.43</v>
      </c>
      <c r="CE4462">
        <v>1.1499999999999999</v>
      </c>
      <c r="CF4462">
        <v>0.81</v>
      </c>
      <c r="CG4462">
        <v>0</v>
      </c>
      <c r="CH4462">
        <v>2.52</v>
      </c>
      <c r="CI4462">
        <v>0</v>
      </c>
      <c r="CJ4462">
        <v>2.9</v>
      </c>
      <c r="CK4462">
        <v>96</v>
      </c>
      <c r="CL4462">
        <v>-0.98</v>
      </c>
      <c r="CM4462">
        <v>95</v>
      </c>
      <c r="CN4462">
        <v>-0.46</v>
      </c>
      <c r="CO4462">
        <v>94</v>
      </c>
      <c r="CP4462">
        <v>1.1000000000000001</v>
      </c>
      <c r="CQ4462">
        <v>96</v>
      </c>
      <c r="CR4462">
        <v>0</v>
      </c>
      <c r="CS4462">
        <v>0</v>
      </c>
      <c r="CT4462">
        <v>14.9</v>
      </c>
      <c r="CU4462">
        <v>93</v>
      </c>
      <c r="CV4462">
        <v>0.24</v>
      </c>
      <c r="CW4462">
        <v>45</v>
      </c>
      <c r="CX4462" t="s">
        <v>2745</v>
      </c>
    </row>
    <row r="4463" spans="1:102" x14ac:dyDescent="0.3">
      <c r="A4463" t="str">
        <f>HYPERLINK("https://webapp.icbf.com/v2/app/bull-search/view/69092767","TDB")</f>
        <v>TDB</v>
      </c>
      <c r="B4463" t="s">
        <v>8519</v>
      </c>
      <c r="C4463" t="s">
        <v>8520</v>
      </c>
      <c r="D4463" s="1">
        <v>35023</v>
      </c>
      <c r="E4463" t="s">
        <v>92</v>
      </c>
      <c r="F4463">
        <v>100</v>
      </c>
      <c r="G4463" t="s">
        <v>116</v>
      </c>
      <c r="H4463">
        <v>-127.2</v>
      </c>
      <c r="I4463">
        <v>29</v>
      </c>
      <c r="J4463">
        <v>4.8600000000000003</v>
      </c>
      <c r="K4463">
        <v>25</v>
      </c>
      <c r="L4463">
        <v>-121.03</v>
      </c>
      <c r="M4463">
        <v>30</v>
      </c>
      <c r="N4463">
        <v>0.61</v>
      </c>
      <c r="O4463">
        <v>32</v>
      </c>
      <c r="P4463">
        <v>-7.98</v>
      </c>
      <c r="Q4463">
        <v>32</v>
      </c>
      <c r="R4463">
        <v>-12.22</v>
      </c>
      <c r="S4463">
        <v>31</v>
      </c>
      <c r="T4463">
        <v>14.68</v>
      </c>
      <c r="U4463">
        <v>31</v>
      </c>
      <c r="V4463">
        <v>-6.12</v>
      </c>
      <c r="W4463">
        <v>28</v>
      </c>
      <c r="X4463" t="s">
        <v>94</v>
      </c>
      <c r="Y4463" t="s">
        <v>1499</v>
      </c>
      <c r="Z4463">
        <v>0</v>
      </c>
      <c r="AA4463" t="s">
        <v>265</v>
      </c>
      <c r="AB4463" t="s">
        <v>8521</v>
      </c>
      <c r="AC4463">
        <v>0</v>
      </c>
      <c r="AD4463">
        <v>0</v>
      </c>
      <c r="AE4463">
        <v>25</v>
      </c>
      <c r="AF4463">
        <v>204.63</v>
      </c>
      <c r="AG4463">
        <v>4.38</v>
      </c>
      <c r="AH4463">
        <v>2.41</v>
      </c>
      <c r="AI4463">
        <v>-7.0000000000000007E-2</v>
      </c>
      <c r="AJ4463">
        <v>-0.08</v>
      </c>
      <c r="AK4463">
        <v>30</v>
      </c>
      <c r="AL4463">
        <v>0</v>
      </c>
      <c r="AM4463">
        <v>0</v>
      </c>
      <c r="AN4463">
        <v>7.55</v>
      </c>
      <c r="AO4463">
        <v>-2.09</v>
      </c>
      <c r="AP4463">
        <v>0</v>
      </c>
      <c r="AQ4463">
        <v>1</v>
      </c>
      <c r="AR4463">
        <v>7.77</v>
      </c>
      <c r="AS4463">
        <v>26</v>
      </c>
      <c r="AT4463">
        <v>3.6</v>
      </c>
      <c r="AU4463">
        <v>36</v>
      </c>
      <c r="AV4463">
        <v>-1.37</v>
      </c>
      <c r="AW4463">
        <v>33</v>
      </c>
      <c r="AX4463">
        <v>-0.32</v>
      </c>
      <c r="AY4463">
        <v>31</v>
      </c>
      <c r="AZ4463">
        <v>7.95</v>
      </c>
      <c r="BA4463">
        <v>26</v>
      </c>
      <c r="BB4463">
        <v>5.73</v>
      </c>
      <c r="BC4463">
        <v>27</v>
      </c>
      <c r="BD4463">
        <v>0.03</v>
      </c>
      <c r="BE4463">
        <v>0.09</v>
      </c>
      <c r="BF4463">
        <v>0.06</v>
      </c>
      <c r="BG4463">
        <v>34</v>
      </c>
      <c r="BH4463">
        <v>-7.0000000000000007E-2</v>
      </c>
      <c r="BI4463">
        <v>11.65</v>
      </c>
      <c r="BJ4463">
        <v>0</v>
      </c>
      <c r="BK4463">
        <v>0</v>
      </c>
      <c r="BL4463">
        <v>-0.13</v>
      </c>
      <c r="BM4463">
        <v>-1.88</v>
      </c>
      <c r="BN4463">
        <v>-0.56000000000000005</v>
      </c>
      <c r="BO4463">
        <v>0.61</v>
      </c>
      <c r="BP4463">
        <v>-0.62</v>
      </c>
      <c r="BQ4463">
        <v>-2.71</v>
      </c>
      <c r="BR4463">
        <v>-1.4</v>
      </c>
      <c r="BS4463">
        <v>1.35</v>
      </c>
      <c r="BT4463">
        <v>1.1299999999999999</v>
      </c>
      <c r="BU4463">
        <v>-0.05</v>
      </c>
      <c r="BV4463">
        <v>0.02</v>
      </c>
      <c r="BW4463">
        <v>-0.31</v>
      </c>
      <c r="BX4463">
        <v>-0.56000000000000005</v>
      </c>
      <c r="BY4463">
        <v>0.09</v>
      </c>
      <c r="BZ4463">
        <v>1.36</v>
      </c>
      <c r="CA4463">
        <v>0.36</v>
      </c>
      <c r="CB4463">
        <v>0</v>
      </c>
      <c r="CC4463">
        <v>0.85</v>
      </c>
      <c r="CD4463">
        <v>-1.1599999999999999</v>
      </c>
      <c r="CE4463">
        <v>0.57999999999999996</v>
      </c>
      <c r="CF4463">
        <v>-1.01</v>
      </c>
      <c r="CG4463">
        <v>0</v>
      </c>
      <c r="CH4463">
        <v>0.22</v>
      </c>
      <c r="CI4463">
        <v>0</v>
      </c>
      <c r="CJ4463">
        <v>-2</v>
      </c>
      <c r="CK4463">
        <v>32</v>
      </c>
      <c r="CL4463">
        <v>-0.53</v>
      </c>
      <c r="CM4463">
        <v>32</v>
      </c>
      <c r="CN4463">
        <v>-0.11</v>
      </c>
      <c r="CO4463">
        <v>31</v>
      </c>
      <c r="CP4463">
        <v>-6.95</v>
      </c>
      <c r="CQ4463">
        <v>32</v>
      </c>
      <c r="CR4463">
        <v>0</v>
      </c>
      <c r="CS4463">
        <v>0</v>
      </c>
      <c r="CT4463">
        <v>-6.05</v>
      </c>
      <c r="CU4463">
        <v>31</v>
      </c>
      <c r="CV4463">
        <v>0.12</v>
      </c>
      <c r="CW4463">
        <v>14</v>
      </c>
      <c r="CX4463" t="s">
        <v>267</v>
      </c>
    </row>
    <row r="4464" spans="1:102" x14ac:dyDescent="0.3">
      <c r="A4464" t="str">
        <f>HYPERLINK("https://webapp.icbf.com/v2/app/bull-search/view/1272417353","S3043")</f>
        <v>S3043</v>
      </c>
      <c r="B4464" t="s">
        <v>10225</v>
      </c>
      <c r="C4464" t="s">
        <v>10226</v>
      </c>
      <c r="D4464" s="1">
        <v>41608</v>
      </c>
      <c r="E4464" t="s">
        <v>92</v>
      </c>
      <c r="F4464">
        <v>100</v>
      </c>
      <c r="G4464" t="s">
        <v>109</v>
      </c>
      <c r="H4464">
        <v>-127.24</v>
      </c>
      <c r="I4464">
        <v>73</v>
      </c>
      <c r="J4464">
        <v>-4.26</v>
      </c>
      <c r="K4464">
        <v>91</v>
      </c>
      <c r="L4464">
        <v>-91.52</v>
      </c>
      <c r="M4464">
        <v>78</v>
      </c>
      <c r="N4464">
        <v>-22.89</v>
      </c>
      <c r="O4464">
        <v>60</v>
      </c>
      <c r="P4464">
        <v>-15.32</v>
      </c>
      <c r="Q4464">
        <v>37</v>
      </c>
      <c r="R4464">
        <v>4.3600000000000003</v>
      </c>
      <c r="S4464">
        <v>70</v>
      </c>
      <c r="T4464">
        <v>-2.9</v>
      </c>
      <c r="U4464">
        <v>37</v>
      </c>
      <c r="V4464">
        <v>5.29</v>
      </c>
      <c r="W4464">
        <v>52</v>
      </c>
      <c r="X4464" t="s">
        <v>110</v>
      </c>
      <c r="Y4464" t="s">
        <v>411</v>
      </c>
      <c r="Z4464" t="s">
        <v>96</v>
      </c>
      <c r="AA4464" t="s">
        <v>10227</v>
      </c>
      <c r="AB4464" t="s">
        <v>10228</v>
      </c>
      <c r="AC4464">
        <v>0</v>
      </c>
      <c r="AD4464">
        <v>0</v>
      </c>
      <c r="AE4464">
        <v>91</v>
      </c>
      <c r="AF4464">
        <v>207.57</v>
      </c>
      <c r="AG4464">
        <v>2.92</v>
      </c>
      <c r="AH4464">
        <v>1.42</v>
      </c>
      <c r="AI4464">
        <v>-0.09</v>
      </c>
      <c r="AJ4464">
        <v>-0.09</v>
      </c>
      <c r="AK4464">
        <v>78</v>
      </c>
      <c r="AL4464">
        <v>0</v>
      </c>
      <c r="AM4464">
        <v>0</v>
      </c>
      <c r="AN4464">
        <v>6.42</v>
      </c>
      <c r="AO4464">
        <v>-0.86</v>
      </c>
      <c r="AP4464">
        <v>30</v>
      </c>
      <c r="AQ4464">
        <v>0</v>
      </c>
      <c r="AR4464">
        <v>11.2</v>
      </c>
      <c r="AS4464">
        <v>61</v>
      </c>
      <c r="AT4464">
        <v>4.76</v>
      </c>
      <c r="AU4464">
        <v>88</v>
      </c>
      <c r="AV4464">
        <v>-1.51</v>
      </c>
      <c r="AW4464">
        <v>54</v>
      </c>
      <c r="AX4464">
        <v>0.7</v>
      </c>
      <c r="AY4464">
        <v>53</v>
      </c>
      <c r="AZ4464">
        <v>6.73</v>
      </c>
      <c r="BA4464">
        <v>37</v>
      </c>
      <c r="BB4464">
        <v>5.77</v>
      </c>
      <c r="BC4464">
        <v>34</v>
      </c>
      <c r="BD4464">
        <v>-0.02</v>
      </c>
      <c r="BE4464">
        <v>-0.03</v>
      </c>
      <c r="BF4464">
        <v>-0.01</v>
      </c>
      <c r="BG4464">
        <v>89</v>
      </c>
      <c r="BH4464">
        <v>0.08</v>
      </c>
      <c r="BI4464">
        <v>-7.81</v>
      </c>
      <c r="BJ4464">
        <v>1</v>
      </c>
      <c r="BK4464">
        <v>1</v>
      </c>
      <c r="BL4464">
        <v>1.84</v>
      </c>
      <c r="BM4464">
        <v>0.38</v>
      </c>
      <c r="BN4464">
        <v>1.39</v>
      </c>
      <c r="BO4464">
        <v>1.39</v>
      </c>
      <c r="BP4464">
        <v>0.25</v>
      </c>
      <c r="BQ4464">
        <v>5.39</v>
      </c>
      <c r="BR4464">
        <v>1.17</v>
      </c>
      <c r="BS4464">
        <v>1.39</v>
      </c>
      <c r="BT4464">
        <v>-0.11</v>
      </c>
      <c r="BU4464">
        <v>4.79</v>
      </c>
      <c r="BV4464">
        <v>4.63</v>
      </c>
      <c r="BW4464">
        <v>3.36</v>
      </c>
      <c r="BX4464">
        <v>4.1100000000000003</v>
      </c>
      <c r="BY4464">
        <v>3.19</v>
      </c>
      <c r="BZ4464">
        <v>-2.54</v>
      </c>
      <c r="CA4464">
        <v>3.42</v>
      </c>
      <c r="CB4464">
        <v>3.48</v>
      </c>
      <c r="CC4464">
        <v>1.6</v>
      </c>
      <c r="CD4464">
        <v>-0.53</v>
      </c>
      <c r="CE4464">
        <v>1.63</v>
      </c>
      <c r="CF4464">
        <v>2.41</v>
      </c>
      <c r="CG4464">
        <v>0</v>
      </c>
      <c r="CH4464">
        <v>3.48</v>
      </c>
      <c r="CI4464">
        <v>0</v>
      </c>
      <c r="CJ4464">
        <v>-7.4</v>
      </c>
      <c r="CK4464">
        <v>37</v>
      </c>
      <c r="CL4464">
        <v>-1.73</v>
      </c>
      <c r="CM4464">
        <v>37</v>
      </c>
      <c r="CN4464">
        <v>-1.06</v>
      </c>
      <c r="CO4464">
        <v>37</v>
      </c>
      <c r="CP4464">
        <v>2.2000000000000002</v>
      </c>
      <c r="CQ4464">
        <v>37</v>
      </c>
      <c r="CR4464">
        <v>0</v>
      </c>
      <c r="CS4464">
        <v>0</v>
      </c>
      <c r="CT4464">
        <v>17.7</v>
      </c>
      <c r="CU4464">
        <v>37</v>
      </c>
      <c r="CV4464">
        <v>0.12</v>
      </c>
      <c r="CW4464">
        <v>32</v>
      </c>
      <c r="CX4464" t="s">
        <v>8217</v>
      </c>
    </row>
    <row r="4465" spans="1:102" x14ac:dyDescent="0.3">
      <c r="A4465" t="str">
        <f>HYPERLINK("https://webapp.icbf.com/v2/app/bull-search/view/76555450","BLZ")</f>
        <v>BLZ</v>
      </c>
      <c r="B4465" t="s">
        <v>10344</v>
      </c>
      <c r="C4465" t="s">
        <v>10345</v>
      </c>
      <c r="D4465" s="1">
        <v>36892</v>
      </c>
      <c r="E4465" t="s">
        <v>92</v>
      </c>
      <c r="F4465">
        <v>100</v>
      </c>
      <c r="G4465" t="s">
        <v>93</v>
      </c>
      <c r="H4465">
        <v>-127.47</v>
      </c>
      <c r="I4465">
        <v>79</v>
      </c>
      <c r="J4465">
        <v>4.51</v>
      </c>
      <c r="K4465">
        <v>95</v>
      </c>
      <c r="L4465">
        <v>-123.76</v>
      </c>
      <c r="M4465">
        <v>63</v>
      </c>
      <c r="N4465">
        <v>-13.74</v>
      </c>
      <c r="O4465">
        <v>78</v>
      </c>
      <c r="P4465">
        <v>-9.52</v>
      </c>
      <c r="Q4465">
        <v>91</v>
      </c>
      <c r="R4465">
        <v>-0.06</v>
      </c>
      <c r="S4465">
        <v>70</v>
      </c>
      <c r="T4465">
        <v>19.010000000000002</v>
      </c>
      <c r="U4465">
        <v>81</v>
      </c>
      <c r="V4465">
        <v>-3.91</v>
      </c>
      <c r="W4465">
        <v>53</v>
      </c>
      <c r="X4465" t="s">
        <v>94</v>
      </c>
      <c r="Y4465" t="s">
        <v>95</v>
      </c>
      <c r="Z4465" t="s">
        <v>96</v>
      </c>
      <c r="AA4465" t="s">
        <v>4619</v>
      </c>
      <c r="AB4465" t="s">
        <v>10346</v>
      </c>
      <c r="AC4465">
        <v>66</v>
      </c>
      <c r="AD4465">
        <v>49</v>
      </c>
      <c r="AE4465">
        <v>95</v>
      </c>
      <c r="AF4465">
        <v>385.9</v>
      </c>
      <c r="AG4465">
        <v>1.85</v>
      </c>
      <c r="AH4465">
        <v>6.02</v>
      </c>
      <c r="AI4465">
        <v>-0.21</v>
      </c>
      <c r="AJ4465">
        <v>-0.11</v>
      </c>
      <c r="AK4465">
        <v>63</v>
      </c>
      <c r="AL4465">
        <v>70</v>
      </c>
      <c r="AM4465">
        <v>50</v>
      </c>
      <c r="AN4465">
        <v>7.53</v>
      </c>
      <c r="AO4465">
        <v>-2.33</v>
      </c>
      <c r="AP4465">
        <v>123</v>
      </c>
      <c r="AQ4465">
        <v>0</v>
      </c>
      <c r="AR4465">
        <v>11.33</v>
      </c>
      <c r="AS4465">
        <v>57</v>
      </c>
      <c r="AT4465">
        <v>4.8600000000000003</v>
      </c>
      <c r="AU4465">
        <v>78</v>
      </c>
      <c r="AV4465">
        <v>-2.17</v>
      </c>
      <c r="AW4465">
        <v>91</v>
      </c>
      <c r="AX4465">
        <v>0.99</v>
      </c>
      <c r="AY4465">
        <v>75</v>
      </c>
      <c r="AZ4465">
        <v>6.63</v>
      </c>
      <c r="BA4465">
        <v>53</v>
      </c>
      <c r="BB4465">
        <v>4.54</v>
      </c>
      <c r="BC4465">
        <v>56</v>
      </c>
      <c r="BD4465">
        <v>0.02</v>
      </c>
      <c r="BE4465">
        <v>0.02</v>
      </c>
      <c r="BF4465">
        <v>-7.0000000000000007E-2</v>
      </c>
      <c r="BG4465">
        <v>80</v>
      </c>
      <c r="BH4465">
        <v>-0.1</v>
      </c>
      <c r="BI4465">
        <v>1.03</v>
      </c>
      <c r="BJ4465">
        <v>40</v>
      </c>
      <c r="BK4465">
        <v>28</v>
      </c>
      <c r="BL4465">
        <v>0.31</v>
      </c>
      <c r="BM4465">
        <v>-1.47</v>
      </c>
      <c r="BN4465">
        <v>0.01</v>
      </c>
      <c r="BO4465">
        <v>0.74</v>
      </c>
      <c r="BP4465">
        <v>-2.37</v>
      </c>
      <c r="BQ4465">
        <v>-0.43</v>
      </c>
      <c r="BR4465">
        <v>-0.08</v>
      </c>
      <c r="BS4465">
        <v>-0.35</v>
      </c>
      <c r="BT4465">
        <v>0.59</v>
      </c>
      <c r="BU4465">
        <v>-0.38</v>
      </c>
      <c r="BV4465">
        <v>0.89</v>
      </c>
      <c r="BW4465">
        <v>0.95</v>
      </c>
      <c r="BX4465">
        <v>-0.74</v>
      </c>
      <c r="BY4465">
        <v>0.37</v>
      </c>
      <c r="BZ4465">
        <v>-1.08</v>
      </c>
      <c r="CA4465">
        <v>0.36</v>
      </c>
      <c r="CB4465">
        <v>0.42</v>
      </c>
      <c r="CC4465">
        <v>0.05</v>
      </c>
      <c r="CD4465">
        <v>-1.75</v>
      </c>
      <c r="CE4465">
        <v>1.1599999999999999</v>
      </c>
      <c r="CF4465">
        <v>-0.27</v>
      </c>
      <c r="CG4465">
        <v>0</v>
      </c>
      <c r="CH4465">
        <v>2.0499999999999998</v>
      </c>
      <c r="CI4465">
        <v>0</v>
      </c>
      <c r="CJ4465">
        <v>-2.1</v>
      </c>
      <c r="CK4465">
        <v>92</v>
      </c>
      <c r="CL4465">
        <v>-0.84</v>
      </c>
      <c r="CM4465">
        <v>90</v>
      </c>
      <c r="CN4465">
        <v>-0.28999999999999998</v>
      </c>
      <c r="CO4465">
        <v>89</v>
      </c>
      <c r="CP4465">
        <v>-9</v>
      </c>
      <c r="CQ4465">
        <v>87</v>
      </c>
      <c r="CR4465">
        <v>0</v>
      </c>
      <c r="CS4465">
        <v>0</v>
      </c>
      <c r="CT4465">
        <v>-11.9</v>
      </c>
      <c r="CU4465">
        <v>81</v>
      </c>
      <c r="CV4465">
        <v>0.23</v>
      </c>
      <c r="CW4465">
        <v>26</v>
      </c>
      <c r="CX4465" t="s">
        <v>132</v>
      </c>
    </row>
    <row r="4466" spans="1:102" x14ac:dyDescent="0.3">
      <c r="A4466" t="str">
        <f>HYPERLINK("https://webapp.icbf.com/v2/app/bull-search/view/77856712","IDC")</f>
        <v>IDC</v>
      </c>
      <c r="B4466" t="s">
        <v>2828</v>
      </c>
      <c r="C4466" t="s">
        <v>2829</v>
      </c>
      <c r="D4466" s="1">
        <v>34104</v>
      </c>
      <c r="E4466" t="s">
        <v>92</v>
      </c>
      <c r="F4466">
        <v>100</v>
      </c>
      <c r="G4466" t="s">
        <v>109</v>
      </c>
      <c r="H4466">
        <v>-127.56</v>
      </c>
      <c r="I4466">
        <v>82</v>
      </c>
      <c r="J4466">
        <v>-5.45</v>
      </c>
      <c r="K4466">
        <v>94</v>
      </c>
      <c r="L4466">
        <v>-108.51</v>
      </c>
      <c r="M4466">
        <v>85</v>
      </c>
      <c r="N4466">
        <v>-10.42</v>
      </c>
      <c r="O4466">
        <v>66</v>
      </c>
      <c r="P4466">
        <v>-2.82</v>
      </c>
      <c r="Q4466">
        <v>69</v>
      </c>
      <c r="R4466">
        <v>-5.52</v>
      </c>
      <c r="S4466">
        <v>79</v>
      </c>
      <c r="T4466">
        <v>2.65</v>
      </c>
      <c r="U4466">
        <v>68</v>
      </c>
      <c r="V4466">
        <v>2.5099999999999998</v>
      </c>
      <c r="W4466">
        <v>67</v>
      </c>
      <c r="X4466" t="s">
        <v>558</v>
      </c>
      <c r="Y4466" t="s">
        <v>95</v>
      </c>
      <c r="Z4466" t="s">
        <v>96</v>
      </c>
      <c r="AA4466" t="s">
        <v>485</v>
      </c>
      <c r="AB4466" t="s">
        <v>2830</v>
      </c>
      <c r="AC4466">
        <v>0</v>
      </c>
      <c r="AD4466">
        <v>0</v>
      </c>
      <c r="AE4466">
        <v>94</v>
      </c>
      <c r="AF4466">
        <v>174.47</v>
      </c>
      <c r="AG4466">
        <v>-4.03</v>
      </c>
      <c r="AH4466">
        <v>3.17</v>
      </c>
      <c r="AI4466">
        <v>-0.18</v>
      </c>
      <c r="AJ4466">
        <v>-0.05</v>
      </c>
      <c r="AK4466">
        <v>85</v>
      </c>
      <c r="AL4466">
        <v>0</v>
      </c>
      <c r="AM4466">
        <v>0</v>
      </c>
      <c r="AN4466">
        <v>6.2</v>
      </c>
      <c r="AO4466">
        <v>-2.4500000000000002</v>
      </c>
      <c r="AP4466">
        <v>3</v>
      </c>
      <c r="AQ4466">
        <v>0</v>
      </c>
      <c r="AR4466">
        <v>9.64</v>
      </c>
      <c r="AS4466">
        <v>61</v>
      </c>
      <c r="AT4466">
        <v>4.12</v>
      </c>
      <c r="AU4466">
        <v>91</v>
      </c>
      <c r="AV4466">
        <v>-0.26</v>
      </c>
      <c r="AW4466">
        <v>58</v>
      </c>
      <c r="AX4466">
        <v>-0.73</v>
      </c>
      <c r="AY4466">
        <v>63</v>
      </c>
      <c r="AZ4466">
        <v>6.16</v>
      </c>
      <c r="BA4466">
        <v>54</v>
      </c>
      <c r="BB4466">
        <v>4.8</v>
      </c>
      <c r="BC4466">
        <v>57</v>
      </c>
      <c r="BD4466">
        <v>0.03</v>
      </c>
      <c r="BE4466">
        <v>0.03</v>
      </c>
      <c r="BF4466">
        <v>0.02</v>
      </c>
      <c r="BG4466">
        <v>92</v>
      </c>
      <c r="BH4466">
        <v>0.17</v>
      </c>
      <c r="BI4466">
        <v>11.58</v>
      </c>
      <c r="BJ4466">
        <v>1</v>
      </c>
      <c r="BK4466">
        <v>1</v>
      </c>
      <c r="BL4466">
        <v>0.18</v>
      </c>
      <c r="BM4466">
        <v>0.46</v>
      </c>
      <c r="BN4466">
        <v>0.24</v>
      </c>
      <c r="BO4466">
        <v>-0.16</v>
      </c>
      <c r="BP4466">
        <v>-0.37</v>
      </c>
      <c r="BQ4466">
        <v>-0.3</v>
      </c>
      <c r="BR4466">
        <v>1.71</v>
      </c>
      <c r="BS4466">
        <v>-2.8</v>
      </c>
      <c r="BT4466">
        <v>-0.91</v>
      </c>
      <c r="BU4466">
        <v>-0.17</v>
      </c>
      <c r="BV4466">
        <v>0.03</v>
      </c>
      <c r="BW4466">
        <v>-0.47</v>
      </c>
      <c r="BX4466">
        <v>-0.82</v>
      </c>
      <c r="BY4466">
        <v>0.02</v>
      </c>
      <c r="BZ4466">
        <v>-0.31</v>
      </c>
      <c r="CA4466">
        <v>-0.97</v>
      </c>
      <c r="CB4466">
        <v>-0.11</v>
      </c>
      <c r="CC4466">
        <v>-2.08</v>
      </c>
      <c r="CD4466">
        <v>0.5</v>
      </c>
      <c r="CE4466">
        <v>0.28999999999999998</v>
      </c>
      <c r="CF4466">
        <v>-0.45</v>
      </c>
      <c r="CG4466">
        <v>0</v>
      </c>
      <c r="CH4466">
        <v>-0.42</v>
      </c>
      <c r="CI4466">
        <v>0</v>
      </c>
      <c r="CJ4466">
        <v>0.7</v>
      </c>
      <c r="CK4466">
        <v>70</v>
      </c>
      <c r="CL4466">
        <v>-0.72</v>
      </c>
      <c r="CM4466">
        <v>67</v>
      </c>
      <c r="CN4466">
        <v>-0.32</v>
      </c>
      <c r="CO4466">
        <v>64</v>
      </c>
      <c r="CP4466">
        <v>-0.7</v>
      </c>
      <c r="CQ4466">
        <v>74</v>
      </c>
      <c r="CR4466">
        <v>0</v>
      </c>
      <c r="CS4466">
        <v>0</v>
      </c>
      <c r="CT4466">
        <v>10.199999999999999</v>
      </c>
      <c r="CU4466">
        <v>68</v>
      </c>
      <c r="CV4466">
        <v>0.16</v>
      </c>
      <c r="CW4466">
        <v>40</v>
      </c>
      <c r="CX4466" t="s">
        <v>161</v>
      </c>
    </row>
    <row r="4467" spans="1:102" x14ac:dyDescent="0.3">
      <c r="A4467" t="str">
        <f>HYPERLINK("https://webapp.icbf.com/v2/app/bull-search/view/77856871","HFS")</f>
        <v>HFS</v>
      </c>
      <c r="B4467" t="s">
        <v>2522</v>
      </c>
      <c r="C4467" t="s">
        <v>2523</v>
      </c>
      <c r="D4467" s="1">
        <v>35778</v>
      </c>
      <c r="E4467" t="s">
        <v>92</v>
      </c>
      <c r="F4467">
        <v>100</v>
      </c>
      <c r="G4467" t="s">
        <v>93</v>
      </c>
      <c r="H4467">
        <v>-127.79</v>
      </c>
      <c r="I4467">
        <v>87</v>
      </c>
      <c r="J4467">
        <v>-35.56</v>
      </c>
      <c r="K4467">
        <v>97</v>
      </c>
      <c r="L4467">
        <v>-81.569999999999993</v>
      </c>
      <c r="M4467">
        <v>82</v>
      </c>
      <c r="N4467">
        <v>1.23</v>
      </c>
      <c r="O4467">
        <v>80</v>
      </c>
      <c r="P4467">
        <v>3.37</v>
      </c>
      <c r="Q4467">
        <v>89</v>
      </c>
      <c r="R4467">
        <v>-11.44</v>
      </c>
      <c r="S4467">
        <v>81</v>
      </c>
      <c r="T4467">
        <v>1.76</v>
      </c>
      <c r="U4467">
        <v>86</v>
      </c>
      <c r="V4467">
        <v>-5.58</v>
      </c>
      <c r="W4467">
        <v>71</v>
      </c>
      <c r="X4467" t="s">
        <v>94</v>
      </c>
      <c r="Y4467" t="s">
        <v>95</v>
      </c>
      <c r="Z4467" t="s">
        <v>96</v>
      </c>
      <c r="AA4467" t="s">
        <v>753</v>
      </c>
      <c r="AB4467" t="s">
        <v>2524</v>
      </c>
      <c r="AC4467">
        <v>141</v>
      </c>
      <c r="AD4467">
        <v>112</v>
      </c>
      <c r="AE4467">
        <v>97</v>
      </c>
      <c r="AF4467">
        <v>157.97999999999999</v>
      </c>
      <c r="AG4467">
        <v>-6.87</v>
      </c>
      <c r="AH4467">
        <v>-1.2</v>
      </c>
      <c r="AI4467">
        <v>-0.22</v>
      </c>
      <c r="AJ4467">
        <v>-0.11</v>
      </c>
      <c r="AK4467">
        <v>82</v>
      </c>
      <c r="AL4467">
        <v>132</v>
      </c>
      <c r="AM4467">
        <v>98</v>
      </c>
      <c r="AN4467">
        <v>3.3</v>
      </c>
      <c r="AO4467">
        <v>-3.22</v>
      </c>
      <c r="AP4467">
        <v>14</v>
      </c>
      <c r="AQ4467">
        <v>1</v>
      </c>
      <c r="AR4467">
        <v>9.66</v>
      </c>
      <c r="AS4467">
        <v>72</v>
      </c>
      <c r="AT4467">
        <v>3.22</v>
      </c>
      <c r="AU4467">
        <v>81</v>
      </c>
      <c r="AV4467">
        <v>-1.88</v>
      </c>
      <c r="AW4467">
        <v>84</v>
      </c>
      <c r="AX4467">
        <v>0.33</v>
      </c>
      <c r="AY4467">
        <v>84</v>
      </c>
      <c r="AZ4467">
        <v>7.73</v>
      </c>
      <c r="BA4467">
        <v>69</v>
      </c>
      <c r="BB4467">
        <v>5.79</v>
      </c>
      <c r="BC4467">
        <v>72</v>
      </c>
      <c r="BD4467">
        <v>0.03</v>
      </c>
      <c r="BE4467">
        <v>7.0000000000000007E-2</v>
      </c>
      <c r="BF4467">
        <v>0.08</v>
      </c>
      <c r="BG4467">
        <v>91</v>
      </c>
      <c r="BH4467">
        <v>-0.06</v>
      </c>
      <c r="BI4467">
        <v>11.07</v>
      </c>
      <c r="BJ4467">
        <v>28</v>
      </c>
      <c r="BK4467">
        <v>19</v>
      </c>
      <c r="BL4467">
        <v>-0.32</v>
      </c>
      <c r="BM4467">
        <v>-0.03</v>
      </c>
      <c r="BN4467">
        <v>-1.67</v>
      </c>
      <c r="BO4467">
        <v>-1.07</v>
      </c>
      <c r="BP4467">
        <v>1.52</v>
      </c>
      <c r="BQ4467">
        <v>-2.11</v>
      </c>
      <c r="BR4467">
        <v>0.96</v>
      </c>
      <c r="BS4467">
        <v>-2.54</v>
      </c>
      <c r="BT4467">
        <v>-0.59</v>
      </c>
      <c r="BU4467">
        <v>-1.1000000000000001</v>
      </c>
      <c r="BV4467">
        <v>-1.51</v>
      </c>
      <c r="BW4467">
        <v>-0.59</v>
      </c>
      <c r="BX4467">
        <v>-0.45</v>
      </c>
      <c r="BY4467">
        <v>0.33</v>
      </c>
      <c r="BZ4467">
        <v>1.92</v>
      </c>
      <c r="CA4467">
        <v>-1.66</v>
      </c>
      <c r="CB4467">
        <v>-1.05</v>
      </c>
      <c r="CC4467">
        <v>-2.33</v>
      </c>
      <c r="CD4467">
        <v>0.96</v>
      </c>
      <c r="CE4467">
        <v>-1.26</v>
      </c>
      <c r="CF4467">
        <v>-1.73</v>
      </c>
      <c r="CG4467">
        <v>0</v>
      </c>
      <c r="CH4467">
        <v>-0.15</v>
      </c>
      <c r="CI4467">
        <v>0</v>
      </c>
      <c r="CJ4467">
        <v>5.6</v>
      </c>
      <c r="CK4467">
        <v>90</v>
      </c>
      <c r="CL4467">
        <v>-0.3</v>
      </c>
      <c r="CM4467">
        <v>88</v>
      </c>
      <c r="CN4467">
        <v>0.16</v>
      </c>
      <c r="CO4467">
        <v>87</v>
      </c>
      <c r="CP4467">
        <v>4.0999999999999996</v>
      </c>
      <c r="CQ4467">
        <v>93</v>
      </c>
      <c r="CR4467">
        <v>0</v>
      </c>
      <c r="CS4467">
        <v>0</v>
      </c>
      <c r="CT4467">
        <v>11.4</v>
      </c>
      <c r="CU4467">
        <v>86</v>
      </c>
      <c r="CV4467">
        <v>0.1</v>
      </c>
      <c r="CW4467">
        <v>44</v>
      </c>
      <c r="CX4467" t="s">
        <v>207</v>
      </c>
    </row>
    <row r="4468" spans="1:102" x14ac:dyDescent="0.3">
      <c r="A4468" t="str">
        <f>HYPERLINK("https://webapp.icbf.com/v2/app/bull-search/view/108367875","SIQ")</f>
        <v>SIQ</v>
      </c>
      <c r="B4468" t="s">
        <v>10912</v>
      </c>
      <c r="C4468" t="s">
        <v>4838</v>
      </c>
      <c r="D4468" s="1">
        <v>35053</v>
      </c>
      <c r="E4468" t="s">
        <v>92</v>
      </c>
      <c r="F4468">
        <v>100</v>
      </c>
      <c r="G4468" t="s">
        <v>93</v>
      </c>
      <c r="H4468">
        <v>-127.84</v>
      </c>
      <c r="I4468">
        <v>94</v>
      </c>
      <c r="J4468">
        <v>-9.07</v>
      </c>
      <c r="K4468">
        <v>98</v>
      </c>
      <c r="L4468">
        <v>-120.11</v>
      </c>
      <c r="M4468">
        <v>93</v>
      </c>
      <c r="N4468">
        <v>-0.59</v>
      </c>
      <c r="O4468">
        <v>91</v>
      </c>
      <c r="P4468">
        <v>-12.35</v>
      </c>
      <c r="Q4468">
        <v>93</v>
      </c>
      <c r="R4468">
        <v>-1.07</v>
      </c>
      <c r="S4468">
        <v>87</v>
      </c>
      <c r="T4468">
        <v>9.83</v>
      </c>
      <c r="U4468">
        <v>91</v>
      </c>
      <c r="V4468">
        <v>5.52</v>
      </c>
      <c r="W4468">
        <v>83</v>
      </c>
      <c r="X4468" t="s">
        <v>131</v>
      </c>
      <c r="Y4468" t="s">
        <v>95</v>
      </c>
      <c r="Z4468" t="s">
        <v>96</v>
      </c>
      <c r="AA4468" t="s">
        <v>839</v>
      </c>
      <c r="AB4468" t="s">
        <v>7030</v>
      </c>
      <c r="AC4468">
        <v>125</v>
      </c>
      <c r="AD4468">
        <v>83</v>
      </c>
      <c r="AE4468">
        <v>98</v>
      </c>
      <c r="AF4468">
        <v>191.96</v>
      </c>
      <c r="AG4468">
        <v>2.0499999999999998</v>
      </c>
      <c r="AH4468">
        <v>0.67</v>
      </c>
      <c r="AI4468">
        <v>-0.09</v>
      </c>
      <c r="AJ4468">
        <v>-0.1</v>
      </c>
      <c r="AK4468">
        <v>93</v>
      </c>
      <c r="AL4468">
        <v>127</v>
      </c>
      <c r="AM4468">
        <v>68</v>
      </c>
      <c r="AN4468">
        <v>7.22</v>
      </c>
      <c r="AO4468">
        <v>-2.35</v>
      </c>
      <c r="AP4468">
        <v>159</v>
      </c>
      <c r="AQ4468">
        <v>0</v>
      </c>
      <c r="AR4468">
        <v>8.2899999999999991</v>
      </c>
      <c r="AS4468">
        <v>87</v>
      </c>
      <c r="AT4468">
        <v>3.56</v>
      </c>
      <c r="AU4468">
        <v>99</v>
      </c>
      <c r="AV4468">
        <v>-0.99</v>
      </c>
      <c r="AW4468">
        <v>92</v>
      </c>
      <c r="AX4468">
        <v>-0.21</v>
      </c>
      <c r="AY4468">
        <v>87</v>
      </c>
      <c r="AZ4468">
        <v>6.84</v>
      </c>
      <c r="BA4468">
        <v>78</v>
      </c>
      <c r="BB4468">
        <v>5.48</v>
      </c>
      <c r="BC4468">
        <v>79</v>
      </c>
      <c r="BD4468">
        <v>-0.05</v>
      </c>
      <c r="BE4468">
        <v>0.02</v>
      </c>
      <c r="BF4468">
        <v>7.0000000000000007E-2</v>
      </c>
      <c r="BG4468">
        <v>94</v>
      </c>
      <c r="BH4468">
        <v>0.17</v>
      </c>
      <c r="BI4468">
        <v>1.86</v>
      </c>
      <c r="BJ4468">
        <v>52</v>
      </c>
      <c r="BK4468">
        <v>33</v>
      </c>
      <c r="BL4468">
        <v>0.98</v>
      </c>
      <c r="BM4468">
        <v>-2.34</v>
      </c>
      <c r="BN4468">
        <v>0.4</v>
      </c>
      <c r="BO4468">
        <v>1.78</v>
      </c>
      <c r="BP4468">
        <v>0.32</v>
      </c>
      <c r="BQ4468">
        <v>-0.19</v>
      </c>
      <c r="BR4468">
        <v>2.6</v>
      </c>
      <c r="BS4468">
        <v>-0.19</v>
      </c>
      <c r="BT4468">
        <v>-1.82</v>
      </c>
      <c r="BU4468">
        <v>1.1200000000000001</v>
      </c>
      <c r="BV4468">
        <v>0.93</v>
      </c>
      <c r="BW4468">
        <v>1.34</v>
      </c>
      <c r="BX4468">
        <v>1.02</v>
      </c>
      <c r="BY4468">
        <v>1.69</v>
      </c>
      <c r="BZ4468">
        <v>2.35</v>
      </c>
      <c r="CA4468">
        <v>0.93</v>
      </c>
      <c r="CB4468">
        <v>1.53</v>
      </c>
      <c r="CC4468">
        <v>-0.26</v>
      </c>
      <c r="CD4468">
        <v>-2.14</v>
      </c>
      <c r="CE4468">
        <v>1.32</v>
      </c>
      <c r="CF4468">
        <v>0.65</v>
      </c>
      <c r="CG4468">
        <v>0</v>
      </c>
      <c r="CH4468">
        <v>1.59</v>
      </c>
      <c r="CI4468">
        <v>0</v>
      </c>
      <c r="CJ4468">
        <v>-2.2000000000000002</v>
      </c>
      <c r="CK4468">
        <v>94</v>
      </c>
      <c r="CL4468">
        <v>-1.1000000000000001</v>
      </c>
      <c r="CM4468">
        <v>93</v>
      </c>
      <c r="CN4468">
        <v>-0.25</v>
      </c>
      <c r="CO4468">
        <v>92</v>
      </c>
      <c r="CP4468">
        <v>-5.9</v>
      </c>
      <c r="CQ4468">
        <v>93</v>
      </c>
      <c r="CR4468">
        <v>0</v>
      </c>
      <c r="CS4468">
        <v>0</v>
      </c>
      <c r="CT4468">
        <v>0.5</v>
      </c>
      <c r="CU4468">
        <v>91</v>
      </c>
      <c r="CV4468">
        <v>0.27</v>
      </c>
      <c r="CW4468">
        <v>45</v>
      </c>
      <c r="CX4468" t="s">
        <v>485</v>
      </c>
    </row>
    <row r="4469" spans="1:102" x14ac:dyDescent="0.3">
      <c r="A4469" t="str">
        <f>HYPERLINK("https://webapp.icbf.com/v2/app/bull-search/view/143467048","HII")</f>
        <v>HII</v>
      </c>
      <c r="B4469" t="s">
        <v>4081</v>
      </c>
      <c r="C4469" t="s">
        <v>4082</v>
      </c>
      <c r="D4469" s="1">
        <v>36926</v>
      </c>
      <c r="E4469" t="s">
        <v>92</v>
      </c>
      <c r="F4469">
        <v>100</v>
      </c>
      <c r="G4469" t="s">
        <v>93</v>
      </c>
      <c r="H4469">
        <v>-128.06</v>
      </c>
      <c r="I4469">
        <v>81</v>
      </c>
      <c r="J4469">
        <v>25.51</v>
      </c>
      <c r="K4469">
        <v>96</v>
      </c>
      <c r="L4469">
        <v>-131.34</v>
      </c>
      <c r="M4469">
        <v>67</v>
      </c>
      <c r="N4469">
        <v>10.38</v>
      </c>
      <c r="O4469">
        <v>80</v>
      </c>
      <c r="P4469">
        <v>-10.31</v>
      </c>
      <c r="Q4469">
        <v>92</v>
      </c>
      <c r="R4469">
        <v>-11.09</v>
      </c>
      <c r="S4469">
        <v>72</v>
      </c>
      <c r="T4469">
        <v>10.27</v>
      </c>
      <c r="U4469">
        <v>81</v>
      </c>
      <c r="V4469">
        <v>-21.48</v>
      </c>
      <c r="W4469">
        <v>60</v>
      </c>
      <c r="X4469" t="s">
        <v>94</v>
      </c>
      <c r="Y4469" t="s">
        <v>95</v>
      </c>
      <c r="Z4469" t="s">
        <v>96</v>
      </c>
      <c r="AA4469" t="s">
        <v>834</v>
      </c>
      <c r="AB4469" t="s">
        <v>4083</v>
      </c>
      <c r="AC4469">
        <v>95</v>
      </c>
      <c r="AD4469">
        <v>75</v>
      </c>
      <c r="AE4469">
        <v>96</v>
      </c>
      <c r="AF4469">
        <v>203.78</v>
      </c>
      <c r="AG4469">
        <v>3.33</v>
      </c>
      <c r="AH4469">
        <v>6.28</v>
      </c>
      <c r="AI4469">
        <v>-7.0000000000000007E-2</v>
      </c>
      <c r="AJ4469">
        <v>-0.01</v>
      </c>
      <c r="AK4469">
        <v>67</v>
      </c>
      <c r="AL4469">
        <v>89</v>
      </c>
      <c r="AM4469">
        <v>67</v>
      </c>
      <c r="AN4469">
        <v>5.94</v>
      </c>
      <c r="AO4469">
        <v>-4.55</v>
      </c>
      <c r="AP4469">
        <v>170</v>
      </c>
      <c r="AQ4469">
        <v>0</v>
      </c>
      <c r="AR4469">
        <v>5.23</v>
      </c>
      <c r="AS4469">
        <v>62</v>
      </c>
      <c r="AT4469">
        <v>2.61</v>
      </c>
      <c r="AU4469">
        <v>81</v>
      </c>
      <c r="AV4469">
        <v>-0.08</v>
      </c>
      <c r="AW4469">
        <v>93</v>
      </c>
      <c r="AX4469">
        <v>-0.76</v>
      </c>
      <c r="AY4469">
        <v>78</v>
      </c>
      <c r="AZ4469">
        <v>7.04</v>
      </c>
      <c r="BA4469">
        <v>55</v>
      </c>
      <c r="BB4469">
        <v>5.22</v>
      </c>
      <c r="BC4469">
        <v>58</v>
      </c>
      <c r="BD4469">
        <v>0.09</v>
      </c>
      <c r="BE4469">
        <v>0.05</v>
      </c>
      <c r="BF4469">
        <v>0.01</v>
      </c>
      <c r="BG4469">
        <v>83</v>
      </c>
      <c r="BH4469">
        <v>-0.2</v>
      </c>
      <c r="BI4469">
        <v>46.17</v>
      </c>
      <c r="BJ4469">
        <v>30</v>
      </c>
      <c r="BK4469">
        <v>23</v>
      </c>
      <c r="BL4469">
        <v>0.87</v>
      </c>
      <c r="BM4469">
        <v>-0.72</v>
      </c>
      <c r="BN4469">
        <v>1.17</v>
      </c>
      <c r="BO4469">
        <v>1.22</v>
      </c>
      <c r="BP4469">
        <v>-1.23</v>
      </c>
      <c r="BQ4469">
        <v>-0.77</v>
      </c>
      <c r="BR4469">
        <v>0.7</v>
      </c>
      <c r="BS4469">
        <v>-1.69</v>
      </c>
      <c r="BT4469">
        <v>-1.01</v>
      </c>
      <c r="BU4469">
        <v>-0.28999999999999998</v>
      </c>
      <c r="BV4469">
        <v>0.51</v>
      </c>
      <c r="BW4469">
        <v>0.79</v>
      </c>
      <c r="BX4469">
        <v>-0.93</v>
      </c>
      <c r="BY4469">
        <v>1.0900000000000001</v>
      </c>
      <c r="BZ4469">
        <v>1.1000000000000001</v>
      </c>
      <c r="CA4469">
        <v>-0.45</v>
      </c>
      <c r="CB4469">
        <v>0.05</v>
      </c>
      <c r="CC4469">
        <v>-1.1499999999999999</v>
      </c>
      <c r="CD4469">
        <v>-0.83</v>
      </c>
      <c r="CE4469">
        <v>1.33</v>
      </c>
      <c r="CF4469">
        <v>0.4</v>
      </c>
      <c r="CG4469">
        <v>0</v>
      </c>
      <c r="CH4469">
        <v>0.86</v>
      </c>
      <c r="CI4469">
        <v>0</v>
      </c>
      <c r="CJ4469">
        <v>-1.4</v>
      </c>
      <c r="CK4469">
        <v>93</v>
      </c>
      <c r="CL4469">
        <v>-1.1200000000000001</v>
      </c>
      <c r="CM4469">
        <v>92</v>
      </c>
      <c r="CN4469">
        <v>-0.35</v>
      </c>
      <c r="CO4469">
        <v>91</v>
      </c>
      <c r="CP4469">
        <v>-6.1</v>
      </c>
      <c r="CQ4469">
        <v>89</v>
      </c>
      <c r="CR4469">
        <v>0</v>
      </c>
      <c r="CS4469">
        <v>0</v>
      </c>
      <c r="CT4469">
        <v>-0.1</v>
      </c>
      <c r="CU4469">
        <v>81</v>
      </c>
      <c r="CV4469">
        <v>0.32</v>
      </c>
      <c r="CW4469">
        <v>27</v>
      </c>
      <c r="CX4469" t="s">
        <v>218</v>
      </c>
    </row>
    <row r="4470" spans="1:102" x14ac:dyDescent="0.3">
      <c r="A4470" t="str">
        <f>HYPERLINK("https://webapp.icbf.com/v2/app/bull-search/view/77856421","KDJ")</f>
        <v>KDJ</v>
      </c>
      <c r="B4470" t="s">
        <v>10690</v>
      </c>
      <c r="C4470" t="s">
        <v>10691</v>
      </c>
      <c r="D4470" s="1">
        <v>32875</v>
      </c>
      <c r="E4470" t="s">
        <v>92</v>
      </c>
      <c r="F4470">
        <v>100</v>
      </c>
      <c r="G4470" t="s">
        <v>109</v>
      </c>
      <c r="H4470">
        <v>-128.19</v>
      </c>
      <c r="I4470">
        <v>82</v>
      </c>
      <c r="J4470">
        <v>-9.2100000000000009</v>
      </c>
      <c r="K4470">
        <v>93</v>
      </c>
      <c r="L4470">
        <v>-112.08</v>
      </c>
      <c r="M4470">
        <v>86</v>
      </c>
      <c r="N4470">
        <v>1.38</v>
      </c>
      <c r="O4470">
        <v>67</v>
      </c>
      <c r="P4470">
        <v>-2.09</v>
      </c>
      <c r="Q4470">
        <v>68</v>
      </c>
      <c r="R4470">
        <v>-3.9</v>
      </c>
      <c r="S4470">
        <v>79</v>
      </c>
      <c r="T4470">
        <v>-1.49</v>
      </c>
      <c r="U4470">
        <v>66</v>
      </c>
      <c r="V4470">
        <v>-0.8</v>
      </c>
      <c r="W4470">
        <v>65</v>
      </c>
      <c r="X4470" t="s">
        <v>110</v>
      </c>
      <c r="Y4470" t="s">
        <v>95</v>
      </c>
      <c r="Z4470" t="s">
        <v>96</v>
      </c>
      <c r="AA4470" t="s">
        <v>111</v>
      </c>
      <c r="AB4470" t="s">
        <v>2545</v>
      </c>
      <c r="AC4470">
        <v>0</v>
      </c>
      <c r="AD4470">
        <v>0</v>
      </c>
      <c r="AE4470">
        <v>93</v>
      </c>
      <c r="AF4470">
        <v>198.47</v>
      </c>
      <c r="AG4470">
        <v>2.38</v>
      </c>
      <c r="AH4470">
        <v>0.63</v>
      </c>
      <c r="AI4470">
        <v>-0.09</v>
      </c>
      <c r="AJ4470">
        <v>-0.1</v>
      </c>
      <c r="AK4470">
        <v>86</v>
      </c>
      <c r="AL4470">
        <v>0</v>
      </c>
      <c r="AM4470">
        <v>0</v>
      </c>
      <c r="AN4470">
        <v>6.75</v>
      </c>
      <c r="AO4470">
        <v>-2.1800000000000002</v>
      </c>
      <c r="AP4470">
        <v>7</v>
      </c>
      <c r="AQ4470">
        <v>0</v>
      </c>
      <c r="AR4470">
        <v>7.23</v>
      </c>
      <c r="AS4470">
        <v>62</v>
      </c>
      <c r="AT4470">
        <v>3.25</v>
      </c>
      <c r="AU4470">
        <v>86</v>
      </c>
      <c r="AV4470">
        <v>-0.99</v>
      </c>
      <c r="AW4470">
        <v>63</v>
      </c>
      <c r="AX4470">
        <v>-0.54</v>
      </c>
      <c r="AY4470">
        <v>61</v>
      </c>
      <c r="AZ4470">
        <v>7.39</v>
      </c>
      <c r="BA4470">
        <v>52</v>
      </c>
      <c r="BB4470">
        <v>6.14</v>
      </c>
      <c r="BC4470">
        <v>55</v>
      </c>
      <c r="BD4470">
        <v>0.01</v>
      </c>
      <c r="BE4470">
        <v>7.0000000000000007E-2</v>
      </c>
      <c r="BF4470">
        <v>-0.06</v>
      </c>
      <c r="BG4470">
        <v>92</v>
      </c>
      <c r="BH4470">
        <v>0.06</v>
      </c>
      <c r="BI4470">
        <v>9.5299999999999994</v>
      </c>
      <c r="BJ4470">
        <v>10</v>
      </c>
      <c r="BK4470">
        <v>6</v>
      </c>
      <c r="BL4470">
        <v>0.67</v>
      </c>
      <c r="BM4470">
        <v>-1.34</v>
      </c>
      <c r="BN4470">
        <v>1.23</v>
      </c>
      <c r="BO4470">
        <v>1.36</v>
      </c>
      <c r="BP4470">
        <v>-0.77</v>
      </c>
      <c r="BQ4470">
        <v>-0.82</v>
      </c>
      <c r="BR4470">
        <v>3.58</v>
      </c>
      <c r="BS4470">
        <v>-0.16</v>
      </c>
      <c r="BT4470">
        <v>-2.0099999999999998</v>
      </c>
      <c r="BU4470">
        <v>1.49</v>
      </c>
      <c r="BV4470">
        <v>0.39</v>
      </c>
      <c r="BW4470">
        <v>0.06</v>
      </c>
      <c r="BX4470">
        <v>1</v>
      </c>
      <c r="BY4470">
        <v>-0.54</v>
      </c>
      <c r="BZ4470">
        <v>0.02</v>
      </c>
      <c r="CA4470">
        <v>0.75</v>
      </c>
      <c r="CB4470">
        <v>0.9</v>
      </c>
      <c r="CC4470">
        <v>0.43</v>
      </c>
      <c r="CD4470">
        <v>-1.91</v>
      </c>
      <c r="CE4470">
        <v>1.65</v>
      </c>
      <c r="CF4470">
        <v>1.54</v>
      </c>
      <c r="CG4470">
        <v>0</v>
      </c>
      <c r="CH4470">
        <v>-0.71</v>
      </c>
      <c r="CI4470">
        <v>0</v>
      </c>
      <c r="CJ4470">
        <v>-0.8</v>
      </c>
      <c r="CK4470">
        <v>69</v>
      </c>
      <c r="CL4470">
        <v>-0.66</v>
      </c>
      <c r="CM4470">
        <v>66</v>
      </c>
      <c r="CN4470">
        <v>-0.46</v>
      </c>
      <c r="CO4470">
        <v>63</v>
      </c>
      <c r="CP4470">
        <v>2.9</v>
      </c>
      <c r="CQ4470">
        <v>69</v>
      </c>
      <c r="CR4470">
        <v>0</v>
      </c>
      <c r="CS4470">
        <v>0</v>
      </c>
      <c r="CT4470">
        <v>15.8</v>
      </c>
      <c r="CU4470">
        <v>66</v>
      </c>
      <c r="CV4470">
        <v>0.08</v>
      </c>
      <c r="CW4470">
        <v>39</v>
      </c>
      <c r="CX4470" t="s">
        <v>543</v>
      </c>
    </row>
    <row r="4471" spans="1:102" x14ac:dyDescent="0.3">
      <c r="A4471" t="str">
        <f>HYPERLINK("https://webapp.icbf.com/v2/app/bull-search/view/77856703","ICC")</f>
        <v>ICC</v>
      </c>
      <c r="B4471" t="s">
        <v>664</v>
      </c>
      <c r="C4471" t="s">
        <v>665</v>
      </c>
      <c r="D4471" s="1">
        <v>33061</v>
      </c>
      <c r="E4471" t="s">
        <v>92</v>
      </c>
      <c r="F4471">
        <v>100</v>
      </c>
      <c r="G4471" t="s">
        <v>109</v>
      </c>
      <c r="H4471">
        <v>-128.35</v>
      </c>
      <c r="I4471">
        <v>80</v>
      </c>
      <c r="J4471">
        <v>-46.38</v>
      </c>
      <c r="K4471">
        <v>94</v>
      </c>
      <c r="L4471">
        <v>-51.35</v>
      </c>
      <c r="M4471">
        <v>86</v>
      </c>
      <c r="N4471">
        <v>-16.579999999999998</v>
      </c>
      <c r="O4471">
        <v>61</v>
      </c>
      <c r="P4471">
        <v>-22.09</v>
      </c>
      <c r="Q4471">
        <v>59</v>
      </c>
      <c r="R4471">
        <v>-3.84</v>
      </c>
      <c r="S4471">
        <v>76</v>
      </c>
      <c r="T4471">
        <v>13.38</v>
      </c>
      <c r="U4471">
        <v>57</v>
      </c>
      <c r="V4471">
        <v>-1.49</v>
      </c>
      <c r="W4471">
        <v>62</v>
      </c>
      <c r="X4471" t="s">
        <v>110</v>
      </c>
      <c r="Y4471" t="s">
        <v>95</v>
      </c>
      <c r="Z4471" t="s">
        <v>96</v>
      </c>
      <c r="AA4471" t="s">
        <v>666</v>
      </c>
      <c r="AB4471" t="s">
        <v>667</v>
      </c>
      <c r="AC4471">
        <v>0</v>
      </c>
      <c r="AD4471">
        <v>0</v>
      </c>
      <c r="AE4471">
        <v>94</v>
      </c>
      <c r="AF4471">
        <v>71.569999999999993</v>
      </c>
      <c r="AG4471">
        <v>-7.78</v>
      </c>
      <c r="AH4471">
        <v>-4.04</v>
      </c>
      <c r="AI4471">
        <v>-0.18</v>
      </c>
      <c r="AJ4471">
        <v>-0.11</v>
      </c>
      <c r="AK4471">
        <v>86</v>
      </c>
      <c r="AL4471">
        <v>0</v>
      </c>
      <c r="AM4471">
        <v>0</v>
      </c>
      <c r="AN4471">
        <v>3.2</v>
      </c>
      <c r="AO4471">
        <v>-0.89</v>
      </c>
      <c r="AP4471">
        <v>6</v>
      </c>
      <c r="AQ4471">
        <v>1</v>
      </c>
      <c r="AR4471">
        <v>8.15</v>
      </c>
      <c r="AS4471">
        <v>53</v>
      </c>
      <c r="AT4471">
        <v>4.3499999999999996</v>
      </c>
      <c r="AU4471">
        <v>88</v>
      </c>
      <c r="AV4471">
        <v>0.24</v>
      </c>
      <c r="AW4471">
        <v>54</v>
      </c>
      <c r="AX4471">
        <v>-0.35</v>
      </c>
      <c r="AY4471">
        <v>52</v>
      </c>
      <c r="AZ4471">
        <v>6.65</v>
      </c>
      <c r="BA4471">
        <v>44</v>
      </c>
      <c r="BB4471">
        <v>5.37</v>
      </c>
      <c r="BC4471">
        <v>50</v>
      </c>
      <c r="BD4471">
        <v>-0.01</v>
      </c>
      <c r="BE4471">
        <v>0.05</v>
      </c>
      <c r="BF4471">
        <v>0.01</v>
      </c>
      <c r="BG4471">
        <v>92</v>
      </c>
      <c r="BH4471">
        <v>0.09</v>
      </c>
      <c r="BI4471">
        <v>15.21</v>
      </c>
      <c r="BJ4471">
        <v>1</v>
      </c>
      <c r="BK4471">
        <v>1</v>
      </c>
      <c r="BL4471">
        <v>-0.52</v>
      </c>
      <c r="BM4471">
        <v>0.06</v>
      </c>
      <c r="BN4471">
        <v>-0.48</v>
      </c>
      <c r="BO4471">
        <v>-0.59</v>
      </c>
      <c r="BP4471">
        <v>1.37</v>
      </c>
      <c r="BQ4471">
        <v>-2.4</v>
      </c>
      <c r="BR4471">
        <v>0.87</v>
      </c>
      <c r="BS4471">
        <v>-1.21</v>
      </c>
      <c r="BT4471">
        <v>-0.5</v>
      </c>
      <c r="BU4471">
        <v>-0.14000000000000001</v>
      </c>
      <c r="BV4471">
        <v>-0.39</v>
      </c>
      <c r="BW4471">
        <v>0.71</v>
      </c>
      <c r="BX4471">
        <v>-0.24</v>
      </c>
      <c r="BY4471">
        <v>0.65</v>
      </c>
      <c r="BZ4471">
        <v>1.79</v>
      </c>
      <c r="CA4471">
        <v>-0.52</v>
      </c>
      <c r="CB4471">
        <v>-0.11</v>
      </c>
      <c r="CC4471">
        <v>-1.17</v>
      </c>
      <c r="CD4471">
        <v>1.56</v>
      </c>
      <c r="CE4471">
        <v>0.57999999999999996</v>
      </c>
      <c r="CF4471">
        <v>0.8</v>
      </c>
      <c r="CG4471">
        <v>0</v>
      </c>
      <c r="CH4471">
        <v>0.48</v>
      </c>
      <c r="CI4471">
        <v>0</v>
      </c>
      <c r="CJ4471">
        <v>-13</v>
      </c>
      <c r="CK4471">
        <v>60</v>
      </c>
      <c r="CL4471">
        <v>-0.78</v>
      </c>
      <c r="CM4471">
        <v>57</v>
      </c>
      <c r="CN4471">
        <v>-0.47</v>
      </c>
      <c r="CO4471">
        <v>55</v>
      </c>
      <c r="CP4471">
        <v>-10.7</v>
      </c>
      <c r="CQ4471">
        <v>60</v>
      </c>
      <c r="CR4471">
        <v>0</v>
      </c>
      <c r="CS4471">
        <v>0</v>
      </c>
      <c r="CT4471">
        <v>-4.3</v>
      </c>
      <c r="CU4471">
        <v>57</v>
      </c>
      <c r="CV4471">
        <v>-0.05</v>
      </c>
      <c r="CW4471">
        <v>37</v>
      </c>
      <c r="CX4471" t="s">
        <v>166</v>
      </c>
    </row>
    <row r="4472" spans="1:102" x14ac:dyDescent="0.3">
      <c r="A4472" t="str">
        <f>HYPERLINK("https://webapp.icbf.com/v2/app/bull-search/view/77856184","LDL")</f>
        <v>LDL</v>
      </c>
      <c r="B4472" t="s">
        <v>671</v>
      </c>
      <c r="C4472" t="s">
        <v>672</v>
      </c>
      <c r="D4472" s="1">
        <v>32487</v>
      </c>
      <c r="E4472" t="s">
        <v>108</v>
      </c>
      <c r="F4472">
        <v>6</v>
      </c>
      <c r="G4472" t="s">
        <v>93</v>
      </c>
      <c r="H4472">
        <v>-128.38</v>
      </c>
      <c r="I4472">
        <v>98</v>
      </c>
      <c r="J4472">
        <v>-12.73</v>
      </c>
      <c r="K4472">
        <v>99</v>
      </c>
      <c r="L4472">
        <v>-24.59</v>
      </c>
      <c r="M4472">
        <v>97</v>
      </c>
      <c r="N4472">
        <v>-82.31</v>
      </c>
      <c r="O4472">
        <v>98</v>
      </c>
      <c r="P4472">
        <v>-6.52</v>
      </c>
      <c r="Q4472">
        <v>99</v>
      </c>
      <c r="R4472">
        <v>-27.25</v>
      </c>
      <c r="S4472">
        <v>96</v>
      </c>
      <c r="T4472">
        <v>20.04</v>
      </c>
      <c r="U4472">
        <v>99</v>
      </c>
      <c r="V4472">
        <v>4.9800000000000004</v>
      </c>
      <c r="W4472">
        <v>96</v>
      </c>
      <c r="X4472" t="s">
        <v>102</v>
      </c>
      <c r="Y4472" t="s">
        <v>95</v>
      </c>
      <c r="Z4472" t="s">
        <v>96</v>
      </c>
      <c r="AA4472" t="s">
        <v>673</v>
      </c>
      <c r="AB4472" t="s">
        <v>674</v>
      </c>
      <c r="AC4472">
        <v>2240</v>
      </c>
      <c r="AD4472">
        <v>735</v>
      </c>
      <c r="AE4472">
        <v>99</v>
      </c>
      <c r="AF4472">
        <v>-165.95</v>
      </c>
      <c r="AG4472">
        <v>-2.19</v>
      </c>
      <c r="AH4472">
        <v>-3.93</v>
      </c>
      <c r="AI4472">
        <v>0.08</v>
      </c>
      <c r="AJ4472">
        <v>0.03</v>
      </c>
      <c r="AK4472">
        <v>97</v>
      </c>
      <c r="AL4472">
        <v>3793</v>
      </c>
      <c r="AM4472">
        <v>1513</v>
      </c>
      <c r="AN4472">
        <v>0.62</v>
      </c>
      <c r="AO4472">
        <v>-1.35</v>
      </c>
      <c r="AP4472">
        <v>161</v>
      </c>
      <c r="AQ4472">
        <v>2</v>
      </c>
      <c r="AR4472">
        <v>15.71</v>
      </c>
      <c r="AS4472">
        <v>93</v>
      </c>
      <c r="AT4472">
        <v>5.97</v>
      </c>
      <c r="AU4472">
        <v>98</v>
      </c>
      <c r="AV4472">
        <v>2.0699999999999998</v>
      </c>
      <c r="AW4472">
        <v>99</v>
      </c>
      <c r="AX4472">
        <v>-0.13</v>
      </c>
      <c r="AY4472">
        <v>99</v>
      </c>
      <c r="AZ4472">
        <v>6.68</v>
      </c>
      <c r="BA4472">
        <v>94</v>
      </c>
      <c r="BB4472">
        <v>5.29</v>
      </c>
      <c r="BC4472">
        <v>97</v>
      </c>
      <c r="BD4472">
        <v>0.1</v>
      </c>
      <c r="BE4472">
        <v>0.1</v>
      </c>
      <c r="BF4472">
        <v>0.27</v>
      </c>
      <c r="BG4472">
        <v>99</v>
      </c>
      <c r="BH4472">
        <v>-0.01</v>
      </c>
      <c r="BI4472">
        <v>-17.21</v>
      </c>
      <c r="BJ4472">
        <v>104</v>
      </c>
      <c r="BK4472">
        <v>59</v>
      </c>
      <c r="BL4472">
        <v>-2.23</v>
      </c>
      <c r="BM4472">
        <v>0.84</v>
      </c>
      <c r="BN4472">
        <v>-1.36</v>
      </c>
      <c r="BO4472">
        <v>-1.58</v>
      </c>
      <c r="BP4472">
        <v>0.51</v>
      </c>
      <c r="BQ4472">
        <v>1.51</v>
      </c>
      <c r="BR4472">
        <v>0.1</v>
      </c>
      <c r="BS4472">
        <v>0.18</v>
      </c>
      <c r="BT4472">
        <v>0.48</v>
      </c>
      <c r="BU4472">
        <v>-1.38</v>
      </c>
      <c r="BV4472">
        <v>-1.41</v>
      </c>
      <c r="BW4472">
        <v>-1.78</v>
      </c>
      <c r="BX4472">
        <v>-1.58</v>
      </c>
      <c r="BY4472">
        <v>-0.69</v>
      </c>
      <c r="BZ4472">
        <v>-2.2400000000000002</v>
      </c>
      <c r="CA4472">
        <v>-1.17</v>
      </c>
      <c r="CB4472">
        <v>-1.3</v>
      </c>
      <c r="CC4472">
        <v>-0.26</v>
      </c>
      <c r="CD4472">
        <v>1.81</v>
      </c>
      <c r="CE4472">
        <v>-1.57</v>
      </c>
      <c r="CF4472">
        <v>-1.1200000000000001</v>
      </c>
      <c r="CG4472">
        <v>0</v>
      </c>
      <c r="CH4472">
        <v>-0.69</v>
      </c>
      <c r="CI4472">
        <v>0</v>
      </c>
      <c r="CJ4472">
        <v>-1.4</v>
      </c>
      <c r="CK4472">
        <v>99</v>
      </c>
      <c r="CL4472">
        <v>0</v>
      </c>
      <c r="CM4472">
        <v>99</v>
      </c>
      <c r="CN4472">
        <v>0.23</v>
      </c>
      <c r="CO4472">
        <v>99</v>
      </c>
      <c r="CP4472">
        <v>-12.6</v>
      </c>
      <c r="CQ4472">
        <v>99</v>
      </c>
      <c r="CR4472">
        <v>0</v>
      </c>
      <c r="CS4472">
        <v>0</v>
      </c>
      <c r="CT4472">
        <v>-13.3</v>
      </c>
      <c r="CU4472">
        <v>99</v>
      </c>
      <c r="CV4472">
        <v>0.01</v>
      </c>
      <c r="CW4472">
        <v>47</v>
      </c>
      <c r="CX4472" t="s">
        <v>675</v>
      </c>
    </row>
    <row r="4473" spans="1:102" x14ac:dyDescent="0.3">
      <c r="A4473" t="str">
        <f>HYPERLINK("https://webapp.icbf.com/v2/app/bull-search/view/124414485","CIP")</f>
        <v>CIP</v>
      </c>
      <c r="B4473" t="s">
        <v>11465</v>
      </c>
      <c r="C4473" t="s">
        <v>7127</v>
      </c>
      <c r="D4473" s="1">
        <v>34802</v>
      </c>
      <c r="E4473" t="s">
        <v>92</v>
      </c>
      <c r="F4473">
        <v>100</v>
      </c>
      <c r="G4473" t="s">
        <v>93</v>
      </c>
      <c r="H4473">
        <v>-128.41</v>
      </c>
      <c r="I4473">
        <v>94</v>
      </c>
      <c r="J4473">
        <v>29.2</v>
      </c>
      <c r="K4473">
        <v>99</v>
      </c>
      <c r="L4473">
        <v>-144.6</v>
      </c>
      <c r="M4473">
        <v>92</v>
      </c>
      <c r="N4473">
        <v>-10.06</v>
      </c>
      <c r="O4473">
        <v>93</v>
      </c>
      <c r="P4473">
        <v>-13.79</v>
      </c>
      <c r="Q4473">
        <v>95</v>
      </c>
      <c r="R4473">
        <v>-9.4499999999999993</v>
      </c>
      <c r="S4473">
        <v>88</v>
      </c>
      <c r="T4473">
        <v>18.86</v>
      </c>
      <c r="U4473">
        <v>90</v>
      </c>
      <c r="V4473">
        <v>1.43</v>
      </c>
      <c r="W4473">
        <v>85</v>
      </c>
      <c r="X4473" t="s">
        <v>970</v>
      </c>
      <c r="Y4473" t="s">
        <v>95</v>
      </c>
      <c r="Z4473" t="s">
        <v>96</v>
      </c>
      <c r="AA4473" t="s">
        <v>265</v>
      </c>
      <c r="AB4473" t="s">
        <v>11466</v>
      </c>
      <c r="AC4473">
        <v>302</v>
      </c>
      <c r="AD4473">
        <v>127</v>
      </c>
      <c r="AE4473">
        <v>99</v>
      </c>
      <c r="AF4473">
        <v>263.01</v>
      </c>
      <c r="AG4473">
        <v>5.66</v>
      </c>
      <c r="AH4473">
        <v>6.99</v>
      </c>
      <c r="AI4473">
        <v>-0.08</v>
      </c>
      <c r="AJ4473">
        <v>-0.03</v>
      </c>
      <c r="AK4473">
        <v>92</v>
      </c>
      <c r="AL4473">
        <v>291</v>
      </c>
      <c r="AM4473">
        <v>111</v>
      </c>
      <c r="AN4473">
        <v>8.7799999999999994</v>
      </c>
      <c r="AO4473">
        <v>-2.74</v>
      </c>
      <c r="AP4473">
        <v>380</v>
      </c>
      <c r="AQ4473">
        <v>0</v>
      </c>
      <c r="AR4473">
        <v>9.32</v>
      </c>
      <c r="AS4473">
        <v>91</v>
      </c>
      <c r="AT4473">
        <v>4.6399999999999997</v>
      </c>
      <c r="AU4473">
        <v>93</v>
      </c>
      <c r="AV4473">
        <v>-1.64</v>
      </c>
      <c r="AW4473">
        <v>97</v>
      </c>
      <c r="AX4473">
        <v>-0.19</v>
      </c>
      <c r="AY4473">
        <v>91</v>
      </c>
      <c r="AZ4473">
        <v>7.21</v>
      </c>
      <c r="BA4473">
        <v>82</v>
      </c>
      <c r="BB4473">
        <v>5.35</v>
      </c>
      <c r="BC4473">
        <v>83</v>
      </c>
      <c r="BD4473">
        <v>-0.01</v>
      </c>
      <c r="BE4473">
        <v>0.06</v>
      </c>
      <c r="BF4473">
        <v>0.12</v>
      </c>
      <c r="BG4473">
        <v>95</v>
      </c>
      <c r="BH4473">
        <v>0.11</v>
      </c>
      <c r="BI4473">
        <v>8.1199999999999992</v>
      </c>
      <c r="BJ4473">
        <v>95</v>
      </c>
      <c r="BK4473">
        <v>37</v>
      </c>
      <c r="BL4473">
        <v>-0.3</v>
      </c>
      <c r="BM4473">
        <v>-2.4</v>
      </c>
      <c r="BN4473">
        <v>-0.43</v>
      </c>
      <c r="BO4473">
        <v>0.93</v>
      </c>
      <c r="BP4473">
        <v>-1.33</v>
      </c>
      <c r="BQ4473">
        <v>-2.85</v>
      </c>
      <c r="BR4473">
        <v>-1.3</v>
      </c>
      <c r="BS4473">
        <v>0.51</v>
      </c>
      <c r="BT4473">
        <v>0.89</v>
      </c>
      <c r="BU4473">
        <v>0.88</v>
      </c>
      <c r="BV4473">
        <v>0.86</v>
      </c>
      <c r="BW4473">
        <v>0.49</v>
      </c>
      <c r="BX4473">
        <v>-0.34</v>
      </c>
      <c r="BY4473">
        <v>1.45</v>
      </c>
      <c r="BZ4473">
        <v>1.58</v>
      </c>
      <c r="CA4473">
        <v>0.98</v>
      </c>
      <c r="CB4473">
        <v>1.07</v>
      </c>
      <c r="CC4473">
        <v>0.43</v>
      </c>
      <c r="CD4473">
        <v>-1.75</v>
      </c>
      <c r="CE4473">
        <v>1.17</v>
      </c>
      <c r="CF4473">
        <v>-1.01</v>
      </c>
      <c r="CG4473">
        <v>0</v>
      </c>
      <c r="CH4473">
        <v>1.35</v>
      </c>
      <c r="CI4473">
        <v>0</v>
      </c>
      <c r="CJ4473">
        <v>-3.8</v>
      </c>
      <c r="CK4473">
        <v>95</v>
      </c>
      <c r="CL4473">
        <v>-0.75</v>
      </c>
      <c r="CM4473">
        <v>94</v>
      </c>
      <c r="CN4473">
        <v>-0.04</v>
      </c>
      <c r="CO4473">
        <v>93</v>
      </c>
      <c r="CP4473">
        <v>-8.5</v>
      </c>
      <c r="CQ4473">
        <v>96</v>
      </c>
      <c r="CR4473">
        <v>0</v>
      </c>
      <c r="CS4473">
        <v>0</v>
      </c>
      <c r="CT4473">
        <v>-11.7</v>
      </c>
      <c r="CU4473">
        <v>90</v>
      </c>
      <c r="CV4473">
        <v>0.11</v>
      </c>
      <c r="CW4473">
        <v>45</v>
      </c>
      <c r="CX4473" t="s">
        <v>914</v>
      </c>
    </row>
    <row r="4474" spans="1:102" x14ac:dyDescent="0.3">
      <c r="A4474" t="str">
        <f>HYPERLINK("https://webapp.icbf.com/v2/app/bull-search/view/77854108","RRJ")</f>
        <v>RRJ</v>
      </c>
      <c r="B4474" t="s">
        <v>3407</v>
      </c>
      <c r="C4474" t="s">
        <v>3408</v>
      </c>
      <c r="D4474" s="1">
        <v>33960</v>
      </c>
      <c r="E4474" t="s">
        <v>92</v>
      </c>
      <c r="F4474">
        <v>100</v>
      </c>
      <c r="G4474" t="s">
        <v>93</v>
      </c>
      <c r="H4474">
        <v>-128.44</v>
      </c>
      <c r="I4474">
        <v>95</v>
      </c>
      <c r="J4474">
        <v>13.66</v>
      </c>
      <c r="K4474">
        <v>99</v>
      </c>
      <c r="L4474">
        <v>-133.36000000000001</v>
      </c>
      <c r="M4474">
        <v>93</v>
      </c>
      <c r="N4474">
        <v>-2.0099999999999998</v>
      </c>
      <c r="O4474">
        <v>93</v>
      </c>
      <c r="P4474">
        <v>-8.07</v>
      </c>
      <c r="Q4474">
        <v>97</v>
      </c>
      <c r="R4474">
        <v>-6.68</v>
      </c>
      <c r="S4474">
        <v>89</v>
      </c>
      <c r="T4474">
        <v>8.2799999999999994</v>
      </c>
      <c r="U4474">
        <v>94</v>
      </c>
      <c r="V4474">
        <v>-0.26</v>
      </c>
      <c r="W4474">
        <v>86</v>
      </c>
      <c r="X4474" t="s">
        <v>251</v>
      </c>
      <c r="Y4474" t="s">
        <v>95</v>
      </c>
      <c r="Z4474" t="s">
        <v>96</v>
      </c>
      <c r="AA4474" t="s">
        <v>485</v>
      </c>
      <c r="AB4474" t="s">
        <v>3409</v>
      </c>
      <c r="AC4474">
        <v>361</v>
      </c>
      <c r="AD4474">
        <v>144</v>
      </c>
      <c r="AE4474">
        <v>99</v>
      </c>
      <c r="AF4474">
        <v>128.11000000000001</v>
      </c>
      <c r="AG4474">
        <v>3.94</v>
      </c>
      <c r="AH4474">
        <v>2.89</v>
      </c>
      <c r="AI4474">
        <v>-0.02</v>
      </c>
      <c r="AJ4474">
        <v>-0.03</v>
      </c>
      <c r="AK4474">
        <v>93</v>
      </c>
      <c r="AL4474">
        <v>350</v>
      </c>
      <c r="AM4474">
        <v>133</v>
      </c>
      <c r="AN4474">
        <v>7.69</v>
      </c>
      <c r="AO4474">
        <v>-2.94</v>
      </c>
      <c r="AP4474">
        <v>442</v>
      </c>
      <c r="AQ4474">
        <v>1</v>
      </c>
      <c r="AR4474">
        <v>8.23</v>
      </c>
      <c r="AS4474">
        <v>86</v>
      </c>
      <c r="AT4474">
        <v>3.68</v>
      </c>
      <c r="AU4474">
        <v>94</v>
      </c>
      <c r="AV4474">
        <v>-0.33</v>
      </c>
      <c r="AW4474">
        <v>98</v>
      </c>
      <c r="AX4474">
        <v>-0.15</v>
      </c>
      <c r="AY4474">
        <v>92</v>
      </c>
      <c r="AZ4474">
        <v>6.36</v>
      </c>
      <c r="BA4474">
        <v>83</v>
      </c>
      <c r="BB4474">
        <v>4.63</v>
      </c>
      <c r="BC4474">
        <v>84</v>
      </c>
      <c r="BD4474">
        <v>7.0000000000000007E-2</v>
      </c>
      <c r="BE4474">
        <v>0.03</v>
      </c>
      <c r="BF4474">
        <v>-0.02</v>
      </c>
      <c r="BG4474">
        <v>96</v>
      </c>
      <c r="BH4474">
        <v>0.1</v>
      </c>
      <c r="BI4474">
        <v>12.42</v>
      </c>
      <c r="BJ4474">
        <v>52</v>
      </c>
      <c r="BK4474">
        <v>17</v>
      </c>
      <c r="BL4474">
        <v>0.4</v>
      </c>
      <c r="BM4474">
        <v>1.34</v>
      </c>
      <c r="BN4474">
        <v>1.59</v>
      </c>
      <c r="BO4474">
        <v>0.55000000000000004</v>
      </c>
      <c r="BP4474">
        <v>0.94</v>
      </c>
      <c r="BQ4474">
        <v>1.26</v>
      </c>
      <c r="BR4474">
        <v>-0.63</v>
      </c>
      <c r="BS4474">
        <v>0.22</v>
      </c>
      <c r="BT4474">
        <v>0.12</v>
      </c>
      <c r="BU4474">
        <v>2.13</v>
      </c>
      <c r="BV4474">
        <v>1.74</v>
      </c>
      <c r="BW4474">
        <v>0.02</v>
      </c>
      <c r="BX4474">
        <v>0.85</v>
      </c>
      <c r="BY4474">
        <v>1.71</v>
      </c>
      <c r="BZ4474">
        <v>-1.93</v>
      </c>
      <c r="CA4474">
        <v>1.47</v>
      </c>
      <c r="CB4474">
        <v>1.57</v>
      </c>
      <c r="CC4474">
        <v>0.7</v>
      </c>
      <c r="CD4474">
        <v>0.44</v>
      </c>
      <c r="CE4474">
        <v>0.75</v>
      </c>
      <c r="CF4474">
        <v>1.1399999999999999</v>
      </c>
      <c r="CG4474">
        <v>0</v>
      </c>
      <c r="CH4474">
        <v>1.83</v>
      </c>
      <c r="CI4474">
        <v>0</v>
      </c>
      <c r="CJ4474">
        <v>-2.4</v>
      </c>
      <c r="CK4474">
        <v>97</v>
      </c>
      <c r="CL4474">
        <v>-0.86</v>
      </c>
      <c r="CM4474">
        <v>97</v>
      </c>
      <c r="CN4474">
        <v>-0.38</v>
      </c>
      <c r="CO4474">
        <v>96</v>
      </c>
      <c r="CP4474">
        <v>-2.2000000000000002</v>
      </c>
      <c r="CQ4474">
        <v>97</v>
      </c>
      <c r="CR4474">
        <v>0</v>
      </c>
      <c r="CS4474">
        <v>0</v>
      </c>
      <c r="CT4474">
        <v>2.6</v>
      </c>
      <c r="CU4474">
        <v>94</v>
      </c>
      <c r="CV4474">
        <v>0.14000000000000001</v>
      </c>
      <c r="CW4474">
        <v>46</v>
      </c>
      <c r="CX4474" t="s">
        <v>161</v>
      </c>
    </row>
    <row r="4475" spans="1:102" x14ac:dyDescent="0.3">
      <c r="A4475" t="str">
        <f>HYPERLINK("https://webapp.icbf.com/v2/app/bull-search/view/77855467","LYK")</f>
        <v>LYK</v>
      </c>
      <c r="B4475" t="s">
        <v>14325</v>
      </c>
      <c r="C4475" t="s">
        <v>14326</v>
      </c>
      <c r="D4475" s="1">
        <v>34962</v>
      </c>
      <c r="E4475" t="s">
        <v>92</v>
      </c>
      <c r="F4475">
        <v>100</v>
      </c>
      <c r="G4475" t="s">
        <v>93</v>
      </c>
      <c r="H4475">
        <v>-128.55000000000001</v>
      </c>
      <c r="I4475">
        <v>84</v>
      </c>
      <c r="J4475">
        <v>-3.69</v>
      </c>
      <c r="K4475">
        <v>96</v>
      </c>
      <c r="L4475">
        <v>-80.599999999999994</v>
      </c>
      <c r="M4475">
        <v>79</v>
      </c>
      <c r="N4475">
        <v>-44.97</v>
      </c>
      <c r="O4475">
        <v>74</v>
      </c>
      <c r="P4475">
        <v>-2.7</v>
      </c>
      <c r="Q4475">
        <v>81</v>
      </c>
      <c r="R4475">
        <v>-12.74</v>
      </c>
      <c r="S4475">
        <v>78</v>
      </c>
      <c r="T4475">
        <v>11.09</v>
      </c>
      <c r="U4475">
        <v>79</v>
      </c>
      <c r="V4475">
        <v>5.0599999999999996</v>
      </c>
      <c r="W4475">
        <v>68</v>
      </c>
      <c r="X4475" t="s">
        <v>94</v>
      </c>
      <c r="Y4475" t="s">
        <v>95</v>
      </c>
      <c r="Z4475" t="s">
        <v>96</v>
      </c>
      <c r="AA4475" t="s">
        <v>1008</v>
      </c>
      <c r="AB4475" t="s">
        <v>14327</v>
      </c>
      <c r="AC4475">
        <v>83</v>
      </c>
      <c r="AD4475">
        <v>63</v>
      </c>
      <c r="AE4475">
        <v>96</v>
      </c>
      <c r="AF4475">
        <v>114.08</v>
      </c>
      <c r="AG4475">
        <v>0.9</v>
      </c>
      <c r="AH4475">
        <v>0.8</v>
      </c>
      <c r="AI4475">
        <v>-0.06</v>
      </c>
      <c r="AJ4475">
        <v>-0.05</v>
      </c>
      <c r="AK4475">
        <v>79</v>
      </c>
      <c r="AL4475">
        <v>82</v>
      </c>
      <c r="AM4475">
        <v>58</v>
      </c>
      <c r="AN4475">
        <v>5</v>
      </c>
      <c r="AO4475">
        <v>-1.42</v>
      </c>
      <c r="AP4475">
        <v>16</v>
      </c>
      <c r="AQ4475">
        <v>0</v>
      </c>
      <c r="AR4475">
        <v>14.45</v>
      </c>
      <c r="AS4475">
        <v>60</v>
      </c>
      <c r="AT4475">
        <v>5.2</v>
      </c>
      <c r="AU4475">
        <v>77</v>
      </c>
      <c r="AV4475">
        <v>-0.95</v>
      </c>
      <c r="AW4475">
        <v>78</v>
      </c>
      <c r="AX4475">
        <v>-0.04</v>
      </c>
      <c r="AY4475">
        <v>78</v>
      </c>
      <c r="AZ4475">
        <v>7.02</v>
      </c>
      <c r="BA4475">
        <v>53</v>
      </c>
      <c r="BB4475">
        <v>5.82</v>
      </c>
      <c r="BC4475">
        <v>65</v>
      </c>
      <c r="BD4475">
        <v>0</v>
      </c>
      <c r="BE4475">
        <v>7.0000000000000007E-2</v>
      </c>
      <c r="BF4475">
        <v>0.16</v>
      </c>
      <c r="BG4475">
        <v>89</v>
      </c>
      <c r="BH4475">
        <v>0.04</v>
      </c>
      <c r="BI4475">
        <v>-11.69</v>
      </c>
      <c r="BJ4475">
        <v>21</v>
      </c>
      <c r="BK4475">
        <v>12</v>
      </c>
      <c r="BL4475">
        <v>0.51</v>
      </c>
      <c r="BM4475">
        <v>-0.88</v>
      </c>
      <c r="BN4475">
        <v>0.12</v>
      </c>
      <c r="BO4475">
        <v>0.37</v>
      </c>
      <c r="BP4475">
        <v>-1.54</v>
      </c>
      <c r="BQ4475">
        <v>-0.89</v>
      </c>
      <c r="BR4475">
        <v>0.24</v>
      </c>
      <c r="BS4475">
        <v>-0.17</v>
      </c>
      <c r="BT4475">
        <v>0.22</v>
      </c>
      <c r="BU4475">
        <v>-0.41</v>
      </c>
      <c r="BV4475">
        <v>-0.71</v>
      </c>
      <c r="BW4475">
        <v>0.1</v>
      </c>
      <c r="BX4475">
        <v>0.05</v>
      </c>
      <c r="BY4475">
        <v>-0.18</v>
      </c>
      <c r="BZ4475">
        <v>-0.38</v>
      </c>
      <c r="CA4475">
        <v>0.02</v>
      </c>
      <c r="CB4475">
        <v>-0.42</v>
      </c>
      <c r="CC4475">
        <v>0.99</v>
      </c>
      <c r="CD4475">
        <v>-1.1499999999999999</v>
      </c>
      <c r="CE4475">
        <v>0.71</v>
      </c>
      <c r="CF4475">
        <v>0.83</v>
      </c>
      <c r="CG4475">
        <v>0</v>
      </c>
      <c r="CH4475">
        <v>-0.38</v>
      </c>
      <c r="CI4475">
        <v>0</v>
      </c>
      <c r="CJ4475">
        <v>0.8</v>
      </c>
      <c r="CK4475">
        <v>82</v>
      </c>
      <c r="CL4475">
        <v>-0.56000000000000005</v>
      </c>
      <c r="CM4475">
        <v>79</v>
      </c>
      <c r="CN4475">
        <v>-0.22</v>
      </c>
      <c r="CO4475">
        <v>77</v>
      </c>
      <c r="CP4475">
        <v>-4</v>
      </c>
      <c r="CQ4475">
        <v>87</v>
      </c>
      <c r="CR4475">
        <v>0</v>
      </c>
      <c r="CS4475">
        <v>0</v>
      </c>
      <c r="CT4475">
        <v>-1.2</v>
      </c>
      <c r="CU4475">
        <v>79</v>
      </c>
      <c r="CV4475">
        <v>0.13</v>
      </c>
      <c r="CW4475">
        <v>42</v>
      </c>
      <c r="CX4475" t="s">
        <v>3622</v>
      </c>
    </row>
    <row r="4476" spans="1:102" x14ac:dyDescent="0.3">
      <c r="A4476" t="str">
        <f>HYPERLINK("https://webapp.icbf.com/v2/app/bull-search/view/465991013","S523")</f>
        <v>S523</v>
      </c>
      <c r="B4476" t="s">
        <v>7457</v>
      </c>
      <c r="C4476" t="s">
        <v>7458</v>
      </c>
      <c r="D4476" s="1">
        <v>36875</v>
      </c>
      <c r="E4476" t="s">
        <v>92</v>
      </c>
      <c r="F4476">
        <v>100</v>
      </c>
      <c r="G4476" t="s">
        <v>109</v>
      </c>
      <c r="H4476">
        <v>-128.71</v>
      </c>
      <c r="I4476">
        <v>70</v>
      </c>
      <c r="J4476">
        <v>61.27</v>
      </c>
      <c r="K4476">
        <v>77</v>
      </c>
      <c r="L4476">
        <v>-199.56</v>
      </c>
      <c r="M4476">
        <v>77</v>
      </c>
      <c r="N4476">
        <v>11.75</v>
      </c>
      <c r="O4476">
        <v>54</v>
      </c>
      <c r="P4476">
        <v>-4.82</v>
      </c>
      <c r="Q4476">
        <v>61</v>
      </c>
      <c r="R4476">
        <v>-2.38</v>
      </c>
      <c r="S4476">
        <v>62</v>
      </c>
      <c r="T4476">
        <v>9.02</v>
      </c>
      <c r="U4476">
        <v>58</v>
      </c>
      <c r="V4476">
        <v>-3.99</v>
      </c>
      <c r="W4476">
        <v>40</v>
      </c>
      <c r="X4476" t="s">
        <v>110</v>
      </c>
      <c r="Y4476" t="s">
        <v>95</v>
      </c>
      <c r="Z4476" t="s">
        <v>96</v>
      </c>
      <c r="AA4476" t="s">
        <v>3222</v>
      </c>
      <c r="AB4476" t="s">
        <v>7459</v>
      </c>
      <c r="AC4476">
        <v>0</v>
      </c>
      <c r="AD4476">
        <v>0</v>
      </c>
      <c r="AE4476">
        <v>77</v>
      </c>
      <c r="AF4476">
        <v>487.5</v>
      </c>
      <c r="AG4476">
        <v>12.64</v>
      </c>
      <c r="AH4476">
        <v>13.41</v>
      </c>
      <c r="AI4476">
        <v>-0.1</v>
      </c>
      <c r="AJ4476">
        <v>-0.05</v>
      </c>
      <c r="AK4476">
        <v>77</v>
      </c>
      <c r="AL4476">
        <v>0</v>
      </c>
      <c r="AM4476">
        <v>0</v>
      </c>
      <c r="AN4476">
        <v>11.99</v>
      </c>
      <c r="AO4476">
        <v>-3.91</v>
      </c>
      <c r="AP4476">
        <v>20</v>
      </c>
      <c r="AQ4476">
        <v>0</v>
      </c>
      <c r="AR4476">
        <v>8.3800000000000008</v>
      </c>
      <c r="AS4476">
        <v>35</v>
      </c>
      <c r="AT4476">
        <v>3.53</v>
      </c>
      <c r="AU4476">
        <v>70</v>
      </c>
      <c r="AV4476">
        <v>-2.29</v>
      </c>
      <c r="AW4476">
        <v>62</v>
      </c>
      <c r="AX4476">
        <v>0.47</v>
      </c>
      <c r="AY4476">
        <v>39</v>
      </c>
      <c r="AZ4476">
        <v>6.11</v>
      </c>
      <c r="BA4476">
        <v>29</v>
      </c>
      <c r="BB4476">
        <v>4.96</v>
      </c>
      <c r="BC4476">
        <v>27</v>
      </c>
      <c r="BD4476">
        <v>0.01</v>
      </c>
      <c r="BE4476">
        <v>0.02</v>
      </c>
      <c r="BF4476">
        <v>0</v>
      </c>
      <c r="BG4476">
        <v>87</v>
      </c>
      <c r="BH4476">
        <v>-0.08</v>
      </c>
      <c r="BI4476">
        <v>3.61</v>
      </c>
      <c r="BJ4476">
        <v>1</v>
      </c>
      <c r="BK4476">
        <v>1</v>
      </c>
      <c r="BL4476">
        <v>0.83</v>
      </c>
      <c r="BM4476">
        <v>-0.17</v>
      </c>
      <c r="BN4476">
        <v>1.76</v>
      </c>
      <c r="BO4476">
        <v>1.4</v>
      </c>
      <c r="BP4476">
        <v>1.03</v>
      </c>
      <c r="BQ4476">
        <v>0.31</v>
      </c>
      <c r="BR4476">
        <v>0.55000000000000004</v>
      </c>
      <c r="BS4476">
        <v>0.56999999999999995</v>
      </c>
      <c r="BT4476">
        <v>-1</v>
      </c>
      <c r="BU4476">
        <v>-0.24</v>
      </c>
      <c r="BV4476">
        <v>0.28999999999999998</v>
      </c>
      <c r="BW4476">
        <v>0.22</v>
      </c>
      <c r="BX4476">
        <v>-1.48</v>
      </c>
      <c r="BY4476">
        <v>0.99</v>
      </c>
      <c r="BZ4476">
        <v>-0.17</v>
      </c>
      <c r="CA4476">
        <v>0.48</v>
      </c>
      <c r="CB4476">
        <v>0.59</v>
      </c>
      <c r="CC4476">
        <v>0.34</v>
      </c>
      <c r="CD4476">
        <v>-1.1399999999999999</v>
      </c>
      <c r="CE4476">
        <v>0.61</v>
      </c>
      <c r="CF4476">
        <v>7.0000000000000007E-2</v>
      </c>
      <c r="CG4476">
        <v>0</v>
      </c>
      <c r="CH4476">
        <v>0.9</v>
      </c>
      <c r="CI4476">
        <v>0</v>
      </c>
      <c r="CJ4476">
        <v>1.6</v>
      </c>
      <c r="CK4476">
        <v>63</v>
      </c>
      <c r="CL4476">
        <v>-0.85</v>
      </c>
      <c r="CM4476">
        <v>58</v>
      </c>
      <c r="CN4476">
        <v>-0.24</v>
      </c>
      <c r="CO4476">
        <v>53</v>
      </c>
      <c r="CP4476">
        <v>-7.1</v>
      </c>
      <c r="CQ4476">
        <v>66</v>
      </c>
      <c r="CR4476">
        <v>0</v>
      </c>
      <c r="CS4476">
        <v>0</v>
      </c>
      <c r="CT4476">
        <v>1.6</v>
      </c>
      <c r="CU4476">
        <v>58</v>
      </c>
      <c r="CV4476">
        <v>0.31</v>
      </c>
      <c r="CW4476">
        <v>16</v>
      </c>
      <c r="CX4476" t="s">
        <v>1172</v>
      </c>
    </row>
    <row r="4477" spans="1:102" x14ac:dyDescent="0.3">
      <c r="A4477" t="str">
        <f>HYPERLINK("https://webapp.icbf.com/v2/app/bull-search/view/444518147","SVO")</f>
        <v>SVO</v>
      </c>
      <c r="B4477" t="s">
        <v>4547</v>
      </c>
      <c r="C4477" t="s">
        <v>4548</v>
      </c>
      <c r="D4477" s="1">
        <v>37145</v>
      </c>
      <c r="E4477" t="s">
        <v>92</v>
      </c>
      <c r="F4477">
        <v>100</v>
      </c>
      <c r="G4477" t="s">
        <v>93</v>
      </c>
      <c r="H4477">
        <v>-128.74</v>
      </c>
      <c r="I4477">
        <v>97</v>
      </c>
      <c r="J4477">
        <v>29.56</v>
      </c>
      <c r="K4477">
        <v>99</v>
      </c>
      <c r="L4477">
        <v>-119.03</v>
      </c>
      <c r="M4477">
        <v>95</v>
      </c>
      <c r="N4477">
        <v>-52.49</v>
      </c>
      <c r="O4477">
        <v>97</v>
      </c>
      <c r="P4477">
        <v>0.56000000000000005</v>
      </c>
      <c r="Q4477">
        <v>99</v>
      </c>
      <c r="R4477">
        <v>6.58</v>
      </c>
      <c r="S4477">
        <v>91</v>
      </c>
      <c r="T4477">
        <v>-2.5299999999999998</v>
      </c>
      <c r="U4477">
        <v>96</v>
      </c>
      <c r="V4477">
        <v>8.61</v>
      </c>
      <c r="W4477">
        <v>90</v>
      </c>
      <c r="X4477" t="s">
        <v>251</v>
      </c>
      <c r="Y4477" t="s">
        <v>1208</v>
      </c>
      <c r="Z4477" t="s">
        <v>96</v>
      </c>
      <c r="AA4477" t="s">
        <v>4549</v>
      </c>
      <c r="AB4477" t="s">
        <v>4550</v>
      </c>
      <c r="AC4477">
        <v>590</v>
      </c>
      <c r="AD4477">
        <v>186</v>
      </c>
      <c r="AE4477">
        <v>99</v>
      </c>
      <c r="AF4477">
        <v>547.64</v>
      </c>
      <c r="AG4477">
        <v>9.75</v>
      </c>
      <c r="AH4477">
        <v>9.9600000000000009</v>
      </c>
      <c r="AI4477">
        <v>-0.19</v>
      </c>
      <c r="AJ4477">
        <v>-0.14000000000000001</v>
      </c>
      <c r="AK4477">
        <v>95</v>
      </c>
      <c r="AL4477">
        <v>581</v>
      </c>
      <c r="AM4477">
        <v>194</v>
      </c>
      <c r="AN4477">
        <v>8.23</v>
      </c>
      <c r="AO4477">
        <v>-1.24</v>
      </c>
      <c r="AP4477">
        <v>1178</v>
      </c>
      <c r="AQ4477">
        <v>1</v>
      </c>
      <c r="AR4477">
        <v>13.2</v>
      </c>
      <c r="AS4477">
        <v>93</v>
      </c>
      <c r="AT4477">
        <v>6.96</v>
      </c>
      <c r="AU4477">
        <v>99</v>
      </c>
      <c r="AV4477">
        <v>-1.79</v>
      </c>
      <c r="AW4477">
        <v>99</v>
      </c>
      <c r="AX4477">
        <v>0.81</v>
      </c>
      <c r="AY4477">
        <v>96</v>
      </c>
      <c r="AZ4477">
        <v>5.87</v>
      </c>
      <c r="BA4477">
        <v>89</v>
      </c>
      <c r="BB4477">
        <v>4.3899999999999997</v>
      </c>
      <c r="BC4477">
        <v>88</v>
      </c>
      <c r="BD4477">
        <v>-0.08</v>
      </c>
      <c r="BE4477">
        <v>-0.02</v>
      </c>
      <c r="BF4477">
        <v>0.02</v>
      </c>
      <c r="BG4477">
        <v>98</v>
      </c>
      <c r="BH4477">
        <v>0.16</v>
      </c>
      <c r="BI4477">
        <v>-9.2799999999999994</v>
      </c>
      <c r="BJ4477">
        <v>323</v>
      </c>
      <c r="BK4477">
        <v>101</v>
      </c>
      <c r="BL4477">
        <v>1.44</v>
      </c>
      <c r="BM4477">
        <v>-1.35</v>
      </c>
      <c r="BN4477">
        <v>0.23</v>
      </c>
      <c r="BO4477">
        <v>1.46</v>
      </c>
      <c r="BP4477">
        <v>0.9</v>
      </c>
      <c r="BQ4477">
        <v>-0.25</v>
      </c>
      <c r="BR4477">
        <v>-0.06</v>
      </c>
      <c r="BS4477">
        <v>1.5</v>
      </c>
      <c r="BT4477">
        <v>0.67</v>
      </c>
      <c r="BU4477">
        <v>3.08</v>
      </c>
      <c r="BV4477">
        <v>2.62</v>
      </c>
      <c r="BW4477">
        <v>1.35</v>
      </c>
      <c r="BX4477">
        <v>2.0099999999999998</v>
      </c>
      <c r="BY4477">
        <v>2.2799999999999998</v>
      </c>
      <c r="BZ4477">
        <v>0.99</v>
      </c>
      <c r="CA4477">
        <v>2.16</v>
      </c>
      <c r="CB4477">
        <v>2.17</v>
      </c>
      <c r="CC4477">
        <v>1.04</v>
      </c>
      <c r="CD4477">
        <v>-1.37</v>
      </c>
      <c r="CE4477">
        <v>1.5</v>
      </c>
      <c r="CF4477">
        <v>1.0900000000000001</v>
      </c>
      <c r="CG4477">
        <v>0</v>
      </c>
      <c r="CH4477">
        <v>2.1</v>
      </c>
      <c r="CI4477">
        <v>0</v>
      </c>
      <c r="CJ4477">
        <v>1.2</v>
      </c>
      <c r="CK4477">
        <v>99</v>
      </c>
      <c r="CL4477">
        <v>-0.91</v>
      </c>
      <c r="CM4477">
        <v>98</v>
      </c>
      <c r="CN4477">
        <v>-0.66</v>
      </c>
      <c r="CO4477">
        <v>98</v>
      </c>
      <c r="CP4477">
        <v>3.8</v>
      </c>
      <c r="CQ4477">
        <v>98</v>
      </c>
      <c r="CR4477">
        <v>0</v>
      </c>
      <c r="CS4477">
        <v>0</v>
      </c>
      <c r="CT4477">
        <v>17.2</v>
      </c>
      <c r="CU4477">
        <v>96</v>
      </c>
      <c r="CV4477">
        <v>0.21</v>
      </c>
      <c r="CW4477">
        <v>46</v>
      </c>
      <c r="CX4477" t="s">
        <v>1384</v>
      </c>
    </row>
    <row r="4478" spans="1:102" x14ac:dyDescent="0.3">
      <c r="A4478" t="str">
        <f>HYPERLINK("https://webapp.icbf.com/v2/app/bull-search/view/547761285","GKS")</f>
        <v>GKS</v>
      </c>
      <c r="B4478" t="s">
        <v>8909</v>
      </c>
      <c r="C4478" t="s">
        <v>5592</v>
      </c>
      <c r="D4478" s="1">
        <v>37729</v>
      </c>
      <c r="E4478" t="s">
        <v>92</v>
      </c>
      <c r="F4478">
        <v>100</v>
      </c>
      <c r="G4478" t="s">
        <v>93</v>
      </c>
      <c r="H4478">
        <v>-129.01</v>
      </c>
      <c r="I4478">
        <v>93</v>
      </c>
      <c r="J4478">
        <v>-0.23</v>
      </c>
      <c r="K4478">
        <v>98</v>
      </c>
      <c r="L4478">
        <v>-109.33</v>
      </c>
      <c r="M4478">
        <v>92</v>
      </c>
      <c r="N4478">
        <v>7.24</v>
      </c>
      <c r="O4478">
        <v>91</v>
      </c>
      <c r="P4478">
        <v>-8.5</v>
      </c>
      <c r="Q4478">
        <v>92</v>
      </c>
      <c r="R4478">
        <v>-1.1599999999999999</v>
      </c>
      <c r="S4478">
        <v>82</v>
      </c>
      <c r="T4478">
        <v>-15.33</v>
      </c>
      <c r="U4478">
        <v>90</v>
      </c>
      <c r="V4478">
        <v>-1.7</v>
      </c>
      <c r="W4478">
        <v>72</v>
      </c>
      <c r="X4478" t="s">
        <v>276</v>
      </c>
      <c r="Y4478" t="s">
        <v>2581</v>
      </c>
      <c r="Z4478" t="s">
        <v>96</v>
      </c>
      <c r="AA4478" t="s">
        <v>2454</v>
      </c>
      <c r="AB4478" t="s">
        <v>8910</v>
      </c>
      <c r="AC4478">
        <v>152</v>
      </c>
      <c r="AD4478">
        <v>73</v>
      </c>
      <c r="AE4478">
        <v>98</v>
      </c>
      <c r="AF4478">
        <v>483.85</v>
      </c>
      <c r="AG4478">
        <v>3.24</v>
      </c>
      <c r="AH4478">
        <v>6.22</v>
      </c>
      <c r="AI4478">
        <v>-0.25</v>
      </c>
      <c r="AJ4478">
        <v>-0.16</v>
      </c>
      <c r="AK4478">
        <v>92</v>
      </c>
      <c r="AL4478">
        <v>128</v>
      </c>
      <c r="AM4478">
        <v>71</v>
      </c>
      <c r="AN4478">
        <v>6.63</v>
      </c>
      <c r="AO4478">
        <v>-2.08</v>
      </c>
      <c r="AP4478">
        <v>190</v>
      </c>
      <c r="AQ4478">
        <v>0</v>
      </c>
      <c r="AR4478">
        <v>7.22</v>
      </c>
      <c r="AS4478">
        <v>88</v>
      </c>
      <c r="AT4478">
        <v>4.07</v>
      </c>
      <c r="AU4478">
        <v>97</v>
      </c>
      <c r="AV4478">
        <v>-1.47</v>
      </c>
      <c r="AW4478">
        <v>95</v>
      </c>
      <c r="AX4478">
        <v>0.83</v>
      </c>
      <c r="AY4478">
        <v>89</v>
      </c>
      <c r="AZ4478">
        <v>5.08</v>
      </c>
      <c r="BA4478">
        <v>77</v>
      </c>
      <c r="BB4478">
        <v>4.2300000000000004</v>
      </c>
      <c r="BC4478">
        <v>73</v>
      </c>
      <c r="BD4478">
        <v>-0.02</v>
      </c>
      <c r="BE4478">
        <v>0</v>
      </c>
      <c r="BF4478">
        <v>0.06</v>
      </c>
      <c r="BG4478">
        <v>94</v>
      </c>
      <c r="BH4478">
        <v>-0.04</v>
      </c>
      <c r="BI4478">
        <v>0.85</v>
      </c>
      <c r="BJ4478">
        <v>107</v>
      </c>
      <c r="BK4478">
        <v>56</v>
      </c>
      <c r="BL4478">
        <v>2.3199999999999998</v>
      </c>
      <c r="BM4478">
        <v>-0.66</v>
      </c>
      <c r="BN4478">
        <v>1.01</v>
      </c>
      <c r="BO4478">
        <v>1.53</v>
      </c>
      <c r="BP4478">
        <v>0.71</v>
      </c>
      <c r="BQ4478">
        <v>1.76</v>
      </c>
      <c r="BR4478">
        <v>-1.27</v>
      </c>
      <c r="BS4478">
        <v>3.3</v>
      </c>
      <c r="BT4478">
        <v>1.97</v>
      </c>
      <c r="BU4478">
        <v>2.65</v>
      </c>
      <c r="BV4478">
        <v>2.64</v>
      </c>
      <c r="BW4478">
        <v>2.17</v>
      </c>
      <c r="BX4478">
        <v>2.17</v>
      </c>
      <c r="BY4478">
        <v>1.1399999999999999</v>
      </c>
      <c r="BZ4478">
        <v>2.17</v>
      </c>
      <c r="CA4478">
        <v>2.36</v>
      </c>
      <c r="CB4478">
        <v>1.94</v>
      </c>
      <c r="CC4478">
        <v>2.0699999999999998</v>
      </c>
      <c r="CD4478">
        <v>-1.1399999999999999</v>
      </c>
      <c r="CE4478">
        <v>1.42</v>
      </c>
      <c r="CF4478">
        <v>2.0699999999999998</v>
      </c>
      <c r="CG4478">
        <v>0</v>
      </c>
      <c r="CH4478">
        <v>1.19</v>
      </c>
      <c r="CI4478">
        <v>0</v>
      </c>
      <c r="CJ4478">
        <v>-1.4</v>
      </c>
      <c r="CK4478">
        <v>93</v>
      </c>
      <c r="CL4478">
        <v>-1.53</v>
      </c>
      <c r="CM4478">
        <v>92</v>
      </c>
      <c r="CN4478">
        <v>-0.69</v>
      </c>
      <c r="CO4478">
        <v>91</v>
      </c>
      <c r="CP4478">
        <v>7.6</v>
      </c>
      <c r="CQ4478">
        <v>92</v>
      </c>
      <c r="CR4478">
        <v>0</v>
      </c>
      <c r="CS4478">
        <v>0</v>
      </c>
      <c r="CT4478">
        <v>34.5</v>
      </c>
      <c r="CU4478">
        <v>90</v>
      </c>
      <c r="CV4478">
        <v>0.3</v>
      </c>
      <c r="CW4478">
        <v>45</v>
      </c>
      <c r="CX4478" t="s">
        <v>289</v>
      </c>
    </row>
    <row r="4479" spans="1:102" x14ac:dyDescent="0.3">
      <c r="A4479" t="str">
        <f>HYPERLINK("https://webapp.icbf.com/v2/app/bull-search/view/444496456","AZM")</f>
        <v>AZM</v>
      </c>
      <c r="B4479" t="s">
        <v>1245</v>
      </c>
      <c r="C4479" t="s">
        <v>1246</v>
      </c>
      <c r="D4479" s="1">
        <v>35683</v>
      </c>
      <c r="E4479" t="s">
        <v>92</v>
      </c>
      <c r="F4479">
        <v>100</v>
      </c>
      <c r="G4479" t="s">
        <v>93</v>
      </c>
      <c r="H4479">
        <v>-129.06</v>
      </c>
      <c r="I4479">
        <v>88</v>
      </c>
      <c r="J4479">
        <v>-25.04</v>
      </c>
      <c r="K4479">
        <v>95</v>
      </c>
      <c r="L4479">
        <v>-87.41</v>
      </c>
      <c r="M4479">
        <v>90</v>
      </c>
      <c r="N4479">
        <v>0.67</v>
      </c>
      <c r="O4479">
        <v>81</v>
      </c>
      <c r="P4479">
        <v>-9.89</v>
      </c>
      <c r="Q4479">
        <v>84</v>
      </c>
      <c r="R4479">
        <v>-4.03</v>
      </c>
      <c r="S4479">
        <v>80</v>
      </c>
      <c r="T4479">
        <v>2.5</v>
      </c>
      <c r="U4479">
        <v>78</v>
      </c>
      <c r="V4479">
        <v>-5.86</v>
      </c>
      <c r="W4479">
        <v>68</v>
      </c>
      <c r="X4479" t="s">
        <v>288</v>
      </c>
      <c r="Y4479" t="s">
        <v>1208</v>
      </c>
      <c r="Z4479" t="s">
        <v>96</v>
      </c>
      <c r="AA4479" t="s">
        <v>1247</v>
      </c>
      <c r="AB4479" t="s">
        <v>1248</v>
      </c>
      <c r="AC4479">
        <v>46</v>
      </c>
      <c r="AD4479">
        <v>22</v>
      </c>
      <c r="AE4479">
        <v>95</v>
      </c>
      <c r="AF4479">
        <v>356.23</v>
      </c>
      <c r="AG4479">
        <v>-3.72</v>
      </c>
      <c r="AH4479">
        <v>2.5099999999999998</v>
      </c>
      <c r="AI4479">
        <v>-0.28999999999999998</v>
      </c>
      <c r="AJ4479">
        <v>-0.16</v>
      </c>
      <c r="AK4479">
        <v>90</v>
      </c>
      <c r="AL4479">
        <v>32</v>
      </c>
      <c r="AM4479">
        <v>19</v>
      </c>
      <c r="AN4479">
        <v>4.83</v>
      </c>
      <c r="AO4479">
        <v>-2.14</v>
      </c>
      <c r="AP4479">
        <v>97</v>
      </c>
      <c r="AQ4479">
        <v>3</v>
      </c>
      <c r="AR4479">
        <v>9.2899999999999991</v>
      </c>
      <c r="AS4479">
        <v>71</v>
      </c>
      <c r="AT4479">
        <v>3.54</v>
      </c>
      <c r="AU4479">
        <v>93</v>
      </c>
      <c r="AV4479">
        <v>-0.99</v>
      </c>
      <c r="AW4479">
        <v>88</v>
      </c>
      <c r="AX4479">
        <v>0.31</v>
      </c>
      <c r="AY4479">
        <v>75</v>
      </c>
      <c r="AZ4479">
        <v>5.92</v>
      </c>
      <c r="BA4479">
        <v>56</v>
      </c>
      <c r="BB4479">
        <v>4.7</v>
      </c>
      <c r="BC4479">
        <v>57</v>
      </c>
      <c r="BD4479">
        <v>0.04</v>
      </c>
      <c r="BE4479">
        <v>0.04</v>
      </c>
      <c r="BF4479">
        <v>-0.05</v>
      </c>
      <c r="BG4479">
        <v>93</v>
      </c>
      <c r="BH4479">
        <v>-0.22</v>
      </c>
      <c r="BI4479">
        <v>-6.54</v>
      </c>
      <c r="BJ4479">
        <v>28</v>
      </c>
      <c r="BK4479">
        <v>18</v>
      </c>
      <c r="BL4479">
        <v>1.98</v>
      </c>
      <c r="BM4479">
        <v>-1.66</v>
      </c>
      <c r="BN4479">
        <v>0.53</v>
      </c>
      <c r="BO4479">
        <v>1.66</v>
      </c>
      <c r="BP4479">
        <v>1.99</v>
      </c>
      <c r="BQ4479">
        <v>-0.21</v>
      </c>
      <c r="BR4479">
        <v>-0.88</v>
      </c>
      <c r="BS4479">
        <v>1.37</v>
      </c>
      <c r="BT4479">
        <v>1.17</v>
      </c>
      <c r="BU4479">
        <v>1.73</v>
      </c>
      <c r="BV4479">
        <v>2.02</v>
      </c>
      <c r="BW4479">
        <v>1.67</v>
      </c>
      <c r="BX4479">
        <v>2.1</v>
      </c>
      <c r="BY4479">
        <v>0.98</v>
      </c>
      <c r="BZ4479">
        <v>0.71</v>
      </c>
      <c r="CA4479">
        <v>1.81</v>
      </c>
      <c r="CB4479">
        <v>1.67</v>
      </c>
      <c r="CC4479">
        <v>1.29</v>
      </c>
      <c r="CD4479">
        <v>-1.77</v>
      </c>
      <c r="CE4479">
        <v>1.41</v>
      </c>
      <c r="CF4479">
        <v>1.44</v>
      </c>
      <c r="CG4479">
        <v>0</v>
      </c>
      <c r="CH4479">
        <v>0.93</v>
      </c>
      <c r="CI4479">
        <v>0</v>
      </c>
      <c r="CJ4479">
        <v>-2.4</v>
      </c>
      <c r="CK4479">
        <v>86</v>
      </c>
      <c r="CL4479">
        <v>-1.1000000000000001</v>
      </c>
      <c r="CM4479">
        <v>83</v>
      </c>
      <c r="CN4479">
        <v>-0.4</v>
      </c>
      <c r="CO4479">
        <v>81</v>
      </c>
      <c r="CP4479">
        <v>0.6</v>
      </c>
      <c r="CQ4479">
        <v>83</v>
      </c>
      <c r="CR4479">
        <v>0</v>
      </c>
      <c r="CS4479">
        <v>0</v>
      </c>
      <c r="CT4479">
        <v>10.4</v>
      </c>
      <c r="CU4479">
        <v>78</v>
      </c>
      <c r="CV4479">
        <v>0.16</v>
      </c>
      <c r="CW4479">
        <v>43</v>
      </c>
      <c r="CX4479" t="s">
        <v>1106</v>
      </c>
    </row>
    <row r="4480" spans="1:102" x14ac:dyDescent="0.3">
      <c r="A4480" t="str">
        <f>HYPERLINK("https://webapp.icbf.com/v2/app/bull-search/view/77858683","CWA")</f>
        <v>CWA</v>
      </c>
      <c r="B4480" t="s">
        <v>8649</v>
      </c>
      <c r="C4480" t="s">
        <v>8650</v>
      </c>
      <c r="D4480" s="1">
        <v>31843</v>
      </c>
      <c r="E4480" t="s">
        <v>92</v>
      </c>
      <c r="F4480">
        <v>100</v>
      </c>
      <c r="G4480" t="s">
        <v>93</v>
      </c>
      <c r="H4480">
        <v>-129.19</v>
      </c>
      <c r="I4480">
        <v>77</v>
      </c>
      <c r="J4480">
        <v>-80.66</v>
      </c>
      <c r="K4480">
        <v>91</v>
      </c>
      <c r="L4480">
        <v>-49.75</v>
      </c>
      <c r="M4480">
        <v>73</v>
      </c>
      <c r="N4480">
        <v>-10.14</v>
      </c>
      <c r="O4480">
        <v>61</v>
      </c>
      <c r="P4480">
        <v>-8.02</v>
      </c>
      <c r="Q4480">
        <v>76</v>
      </c>
      <c r="R4480">
        <v>7</v>
      </c>
      <c r="S4480">
        <v>70</v>
      </c>
      <c r="T4480">
        <v>14.79</v>
      </c>
      <c r="U4480">
        <v>76</v>
      </c>
      <c r="V4480">
        <v>-2.41</v>
      </c>
      <c r="W4480">
        <v>36</v>
      </c>
      <c r="X4480" t="s">
        <v>276</v>
      </c>
      <c r="Y4480" t="s">
        <v>117</v>
      </c>
      <c r="Z4480" t="s">
        <v>96</v>
      </c>
      <c r="AA4480" t="s">
        <v>2585</v>
      </c>
      <c r="AB4480" t="s">
        <v>8651</v>
      </c>
      <c r="AC4480">
        <v>57</v>
      </c>
      <c r="AD4480">
        <v>46</v>
      </c>
      <c r="AE4480">
        <v>91</v>
      </c>
      <c r="AF4480">
        <v>-392.64</v>
      </c>
      <c r="AG4480">
        <v>-16.899999999999999</v>
      </c>
      <c r="AH4480">
        <v>-13.75</v>
      </c>
      <c r="AI4480">
        <v>-0.03</v>
      </c>
      <c r="AJ4480">
        <v>0</v>
      </c>
      <c r="AK4480">
        <v>73</v>
      </c>
      <c r="AL4480">
        <v>172</v>
      </c>
      <c r="AM4480">
        <v>68</v>
      </c>
      <c r="AN4480">
        <v>1.72</v>
      </c>
      <c r="AO4480">
        <v>-2.2599999999999998</v>
      </c>
      <c r="AP4480">
        <v>1</v>
      </c>
      <c r="AQ4480">
        <v>1</v>
      </c>
      <c r="AR4480">
        <v>7.79</v>
      </c>
      <c r="AS4480">
        <v>40</v>
      </c>
      <c r="AT4480">
        <v>4.25</v>
      </c>
      <c r="AU4480">
        <v>58</v>
      </c>
      <c r="AV4480">
        <v>-0.68</v>
      </c>
      <c r="AW4480">
        <v>64</v>
      </c>
      <c r="AX4480">
        <v>-0.26</v>
      </c>
      <c r="AY4480">
        <v>83</v>
      </c>
      <c r="AZ4480">
        <v>6.89</v>
      </c>
      <c r="BA4480">
        <v>41</v>
      </c>
      <c r="BB4480">
        <v>5.81</v>
      </c>
      <c r="BC4480">
        <v>57</v>
      </c>
      <c r="BD4480">
        <v>-0.03</v>
      </c>
      <c r="BE4480">
        <v>0.01</v>
      </c>
      <c r="BF4480">
        <v>-0.13</v>
      </c>
      <c r="BG4480">
        <v>91</v>
      </c>
      <c r="BH4480">
        <v>0.06</v>
      </c>
      <c r="BI4480">
        <v>14.71</v>
      </c>
      <c r="BJ4480">
        <v>39</v>
      </c>
      <c r="BK4480">
        <v>15</v>
      </c>
      <c r="BL4480">
        <v>-0.15</v>
      </c>
      <c r="BM4480">
        <v>0.68</v>
      </c>
      <c r="BN4480">
        <v>0.22</v>
      </c>
      <c r="BO4480">
        <v>-0.75</v>
      </c>
      <c r="BP4480">
        <v>-1.4</v>
      </c>
      <c r="BQ4480">
        <v>-1.34</v>
      </c>
      <c r="BR4480">
        <v>-0.6</v>
      </c>
      <c r="BS4480">
        <v>2.4700000000000002</v>
      </c>
      <c r="BT4480">
        <v>0.5</v>
      </c>
      <c r="BU4480">
        <v>1.99</v>
      </c>
      <c r="BV4480">
        <v>-0.56000000000000005</v>
      </c>
      <c r="BW4480">
        <v>-0.78</v>
      </c>
      <c r="BX4480">
        <v>1.92</v>
      </c>
      <c r="BY4480">
        <v>-0.14000000000000001</v>
      </c>
      <c r="BZ4480">
        <v>-1.42</v>
      </c>
      <c r="CA4480">
        <v>1.31</v>
      </c>
      <c r="CB4480">
        <v>0.31</v>
      </c>
      <c r="CC4480">
        <v>2.58</v>
      </c>
      <c r="CD4480">
        <v>1.01</v>
      </c>
      <c r="CE4480">
        <v>-0.72</v>
      </c>
      <c r="CF4480">
        <v>0.08</v>
      </c>
      <c r="CG4480">
        <v>0</v>
      </c>
      <c r="CH4480">
        <v>-0.2</v>
      </c>
      <c r="CI4480">
        <v>0</v>
      </c>
      <c r="CJ4480">
        <v>-4.5</v>
      </c>
      <c r="CK4480">
        <v>77</v>
      </c>
      <c r="CL4480">
        <v>-0.49</v>
      </c>
      <c r="CM4480">
        <v>75</v>
      </c>
      <c r="CN4480">
        <v>-0.24</v>
      </c>
      <c r="CO4480">
        <v>71</v>
      </c>
      <c r="CP4480">
        <v>2.9</v>
      </c>
      <c r="CQ4480">
        <v>84</v>
      </c>
      <c r="CR4480">
        <v>0</v>
      </c>
      <c r="CS4480">
        <v>0</v>
      </c>
      <c r="CT4480">
        <v>-6.2</v>
      </c>
      <c r="CU4480">
        <v>76</v>
      </c>
      <c r="CV4480">
        <v>7.0000000000000007E-2</v>
      </c>
      <c r="CW4480">
        <v>21</v>
      </c>
      <c r="CX4480" t="s">
        <v>260</v>
      </c>
    </row>
    <row r="4481" spans="1:102" x14ac:dyDescent="0.3">
      <c r="A4481" t="str">
        <f>HYPERLINK("https://webapp.icbf.com/v2/app/bull-search/view/77859181","ADE")</f>
        <v>ADE</v>
      </c>
      <c r="B4481" t="s">
        <v>10670</v>
      </c>
      <c r="C4481" t="s">
        <v>10671</v>
      </c>
      <c r="D4481" s="1">
        <v>34831</v>
      </c>
      <c r="E4481" t="s">
        <v>92</v>
      </c>
      <c r="F4481">
        <v>100</v>
      </c>
      <c r="G4481" t="s">
        <v>93</v>
      </c>
      <c r="H4481">
        <v>-129.22</v>
      </c>
      <c r="I4481">
        <v>84</v>
      </c>
      <c r="J4481">
        <v>18.989999999999998</v>
      </c>
      <c r="K4481">
        <v>96</v>
      </c>
      <c r="L4481">
        <v>-155.47999999999999</v>
      </c>
      <c r="M4481">
        <v>79</v>
      </c>
      <c r="N4481">
        <v>-6.07</v>
      </c>
      <c r="O4481">
        <v>73</v>
      </c>
      <c r="P4481">
        <v>5.92</v>
      </c>
      <c r="Q4481">
        <v>78</v>
      </c>
      <c r="R4481">
        <v>5.8</v>
      </c>
      <c r="S4481">
        <v>78</v>
      </c>
      <c r="T4481">
        <v>4.6500000000000004</v>
      </c>
      <c r="U4481">
        <v>82</v>
      </c>
      <c r="V4481">
        <v>-3.03</v>
      </c>
      <c r="W4481">
        <v>65</v>
      </c>
      <c r="X4481" t="s">
        <v>94</v>
      </c>
      <c r="Y4481" t="s">
        <v>95</v>
      </c>
      <c r="Z4481" t="s">
        <v>96</v>
      </c>
      <c r="AA4481" t="s">
        <v>3216</v>
      </c>
      <c r="AB4481" t="s">
        <v>3217</v>
      </c>
      <c r="AC4481">
        <v>73</v>
      </c>
      <c r="AD4481">
        <v>60</v>
      </c>
      <c r="AE4481">
        <v>96</v>
      </c>
      <c r="AF4481">
        <v>356.03</v>
      </c>
      <c r="AG4481">
        <v>6.95</v>
      </c>
      <c r="AH4481">
        <v>6.22</v>
      </c>
      <c r="AI4481">
        <v>-0.11</v>
      </c>
      <c r="AJ4481">
        <v>-0.1</v>
      </c>
      <c r="AK4481">
        <v>79</v>
      </c>
      <c r="AL4481">
        <v>73</v>
      </c>
      <c r="AM4481">
        <v>62</v>
      </c>
      <c r="AN4481">
        <v>9.9600000000000009</v>
      </c>
      <c r="AO4481">
        <v>-2.42</v>
      </c>
      <c r="AP4481">
        <v>11</v>
      </c>
      <c r="AQ4481">
        <v>0</v>
      </c>
      <c r="AR4481">
        <v>8.33</v>
      </c>
      <c r="AS4481">
        <v>59</v>
      </c>
      <c r="AT4481">
        <v>3.67</v>
      </c>
      <c r="AU4481">
        <v>77</v>
      </c>
      <c r="AV4481">
        <v>0.32</v>
      </c>
      <c r="AW4481">
        <v>76</v>
      </c>
      <c r="AX4481">
        <v>-0.41</v>
      </c>
      <c r="AY4481">
        <v>78</v>
      </c>
      <c r="AZ4481">
        <v>5.44</v>
      </c>
      <c r="BA4481">
        <v>53</v>
      </c>
      <c r="BB4481">
        <v>4.79</v>
      </c>
      <c r="BC4481">
        <v>64</v>
      </c>
      <c r="BD4481">
        <v>0.01</v>
      </c>
      <c r="BE4481">
        <v>0</v>
      </c>
      <c r="BF4481">
        <v>-0.15</v>
      </c>
      <c r="BG4481">
        <v>89</v>
      </c>
      <c r="BH4481">
        <v>0.05</v>
      </c>
      <c r="BI4481">
        <v>15.55</v>
      </c>
      <c r="BJ4481">
        <v>12</v>
      </c>
      <c r="BK4481">
        <v>12</v>
      </c>
      <c r="BL4481">
        <v>0.69</v>
      </c>
      <c r="BM4481">
        <v>-1.34</v>
      </c>
      <c r="BN4481">
        <v>0.05</v>
      </c>
      <c r="BO4481">
        <v>0.91</v>
      </c>
      <c r="BP4481">
        <v>-1.54</v>
      </c>
      <c r="BQ4481">
        <v>0.04</v>
      </c>
      <c r="BR4481">
        <v>3.33</v>
      </c>
      <c r="BS4481">
        <v>-0.97</v>
      </c>
      <c r="BT4481">
        <v>-2.0299999999999998</v>
      </c>
      <c r="BU4481">
        <v>0.74</v>
      </c>
      <c r="BV4481">
        <v>-0.08</v>
      </c>
      <c r="BW4481">
        <v>0.77</v>
      </c>
      <c r="BX4481">
        <v>1.47</v>
      </c>
      <c r="BY4481">
        <v>0.51</v>
      </c>
      <c r="BZ4481">
        <v>-0.99</v>
      </c>
      <c r="CA4481">
        <v>-0.25</v>
      </c>
      <c r="CB4481">
        <v>0.22</v>
      </c>
      <c r="CC4481">
        <v>-0.64</v>
      </c>
      <c r="CD4481">
        <v>-1.4</v>
      </c>
      <c r="CE4481">
        <v>0.98</v>
      </c>
      <c r="CF4481">
        <v>0.71</v>
      </c>
      <c r="CG4481">
        <v>0</v>
      </c>
      <c r="CH4481">
        <v>0.9</v>
      </c>
      <c r="CI4481">
        <v>0</v>
      </c>
      <c r="CJ4481">
        <v>3.9</v>
      </c>
      <c r="CK4481">
        <v>79</v>
      </c>
      <c r="CL4481">
        <v>-0.54</v>
      </c>
      <c r="CM4481">
        <v>77</v>
      </c>
      <c r="CN4481">
        <v>-0.49</v>
      </c>
      <c r="CO4481">
        <v>74</v>
      </c>
      <c r="CP4481">
        <v>2.5</v>
      </c>
      <c r="CQ4481">
        <v>86</v>
      </c>
      <c r="CR4481">
        <v>0</v>
      </c>
      <c r="CS4481">
        <v>0</v>
      </c>
      <c r="CT4481">
        <v>7.5</v>
      </c>
      <c r="CU4481">
        <v>82</v>
      </c>
      <c r="CV4481">
        <v>0.1</v>
      </c>
      <c r="CW4481">
        <v>41</v>
      </c>
      <c r="CX4481" t="s">
        <v>564</v>
      </c>
    </row>
    <row r="4482" spans="1:102" x14ac:dyDescent="0.3">
      <c r="A4482" t="str">
        <f>HYPERLINK("https://webapp.icbf.com/v2/app/bull-search/view/124415072","SAF")</f>
        <v>SAF</v>
      </c>
      <c r="B4482" t="s">
        <v>987</v>
      </c>
      <c r="C4482" t="s">
        <v>988</v>
      </c>
      <c r="D4482" s="1">
        <v>35127</v>
      </c>
      <c r="E4482" t="s">
        <v>92</v>
      </c>
      <c r="F4482">
        <v>100</v>
      </c>
      <c r="G4482" t="s">
        <v>93</v>
      </c>
      <c r="H4482">
        <v>-129.32</v>
      </c>
      <c r="I4482">
        <v>95</v>
      </c>
      <c r="J4482">
        <v>14.47</v>
      </c>
      <c r="K4482">
        <v>99</v>
      </c>
      <c r="L4482">
        <v>-144.99</v>
      </c>
      <c r="M4482">
        <v>93</v>
      </c>
      <c r="N4482">
        <v>12.68</v>
      </c>
      <c r="O4482">
        <v>94</v>
      </c>
      <c r="P4482">
        <v>-13.72</v>
      </c>
      <c r="Q4482">
        <v>97</v>
      </c>
      <c r="R4482">
        <v>-0.54</v>
      </c>
      <c r="S4482">
        <v>88</v>
      </c>
      <c r="T4482">
        <v>6.43</v>
      </c>
      <c r="U4482">
        <v>93</v>
      </c>
      <c r="V4482">
        <v>-3.65</v>
      </c>
      <c r="W4482">
        <v>84</v>
      </c>
      <c r="X4482" t="s">
        <v>110</v>
      </c>
      <c r="Y4482" t="s">
        <v>95</v>
      </c>
      <c r="Z4482" t="s">
        <v>96</v>
      </c>
      <c r="AA4482" t="s">
        <v>989</v>
      </c>
      <c r="AB4482" t="s">
        <v>990</v>
      </c>
      <c r="AC4482">
        <v>295</v>
      </c>
      <c r="AD4482">
        <v>125</v>
      </c>
      <c r="AE4482">
        <v>99</v>
      </c>
      <c r="AF4482">
        <v>205.36</v>
      </c>
      <c r="AG4482">
        <v>1.54</v>
      </c>
      <c r="AH4482">
        <v>5.0599999999999996</v>
      </c>
      <c r="AI4482">
        <v>-0.11</v>
      </c>
      <c r="AJ4482">
        <v>-0.03</v>
      </c>
      <c r="AK4482">
        <v>93</v>
      </c>
      <c r="AL4482">
        <v>275</v>
      </c>
      <c r="AM4482">
        <v>103</v>
      </c>
      <c r="AN4482">
        <v>8.1300000000000008</v>
      </c>
      <c r="AO4482">
        <v>-3.43</v>
      </c>
      <c r="AP4482">
        <v>471</v>
      </c>
      <c r="AQ4482">
        <v>0</v>
      </c>
      <c r="AR4482">
        <v>8.06</v>
      </c>
      <c r="AS4482">
        <v>93</v>
      </c>
      <c r="AT4482">
        <v>3.93</v>
      </c>
      <c r="AU4482">
        <v>98</v>
      </c>
      <c r="AV4482">
        <v>-2.57</v>
      </c>
      <c r="AW4482">
        <v>97</v>
      </c>
      <c r="AX4482">
        <v>-0.24</v>
      </c>
      <c r="AY4482">
        <v>93</v>
      </c>
      <c r="AZ4482">
        <v>6.17</v>
      </c>
      <c r="BA4482">
        <v>83</v>
      </c>
      <c r="BB4482">
        <v>4.97</v>
      </c>
      <c r="BC4482">
        <v>84</v>
      </c>
      <c r="BD4482">
        <v>-0.01</v>
      </c>
      <c r="BE4482">
        <v>0.01</v>
      </c>
      <c r="BF4482">
        <v>0.01</v>
      </c>
      <c r="BG4482">
        <v>96</v>
      </c>
      <c r="BH4482">
        <v>-7.0000000000000007E-2</v>
      </c>
      <c r="BI4482">
        <v>3.67</v>
      </c>
      <c r="BJ4482">
        <v>137</v>
      </c>
      <c r="BK4482">
        <v>58</v>
      </c>
      <c r="BL4482">
        <v>0.94</v>
      </c>
      <c r="BM4482">
        <v>-0.45</v>
      </c>
      <c r="BN4482">
        <v>1.52</v>
      </c>
      <c r="BO4482">
        <v>1.32</v>
      </c>
      <c r="BP4482">
        <v>0.64</v>
      </c>
      <c r="BQ4482">
        <v>0.42</v>
      </c>
      <c r="BR4482">
        <v>1.87</v>
      </c>
      <c r="BS4482">
        <v>0.53</v>
      </c>
      <c r="BT4482">
        <v>-1.41</v>
      </c>
      <c r="BU4482">
        <v>1.18</v>
      </c>
      <c r="BV4482">
        <v>1.59</v>
      </c>
      <c r="BW4482">
        <v>1.3</v>
      </c>
      <c r="BX4482">
        <v>-0.5</v>
      </c>
      <c r="BY4482">
        <v>1.72</v>
      </c>
      <c r="BZ4482">
        <v>-1.39</v>
      </c>
      <c r="CA4482">
        <v>1.2</v>
      </c>
      <c r="CB4482">
        <v>1.39</v>
      </c>
      <c r="CC4482">
        <v>0.44</v>
      </c>
      <c r="CD4482">
        <v>-1.31</v>
      </c>
      <c r="CE4482">
        <v>1.38</v>
      </c>
      <c r="CF4482">
        <v>0.96</v>
      </c>
      <c r="CG4482">
        <v>0</v>
      </c>
      <c r="CH4482">
        <v>1.77</v>
      </c>
      <c r="CI4482">
        <v>0</v>
      </c>
      <c r="CJ4482">
        <v>-4.7</v>
      </c>
      <c r="CK4482">
        <v>97</v>
      </c>
      <c r="CL4482">
        <v>-1.21</v>
      </c>
      <c r="CM4482">
        <v>97</v>
      </c>
      <c r="CN4482">
        <v>-0.5</v>
      </c>
      <c r="CO4482">
        <v>96</v>
      </c>
      <c r="CP4482">
        <v>-4</v>
      </c>
      <c r="CQ4482">
        <v>96</v>
      </c>
      <c r="CR4482">
        <v>0</v>
      </c>
      <c r="CS4482">
        <v>0</v>
      </c>
      <c r="CT4482">
        <v>5.0999999999999996</v>
      </c>
      <c r="CU4482">
        <v>93</v>
      </c>
      <c r="CV4482">
        <v>0.25</v>
      </c>
      <c r="CW4482">
        <v>45</v>
      </c>
      <c r="CX4482" t="s">
        <v>485</v>
      </c>
    </row>
    <row r="4483" spans="1:102" x14ac:dyDescent="0.3">
      <c r="A4483" t="str">
        <f>HYPERLINK("https://webapp.icbf.com/v2/app/bull-search/view/77860213","CDH")</f>
        <v>CDH</v>
      </c>
      <c r="B4483" t="s">
        <v>11007</v>
      </c>
      <c r="C4483" t="s">
        <v>11008</v>
      </c>
      <c r="D4483" s="1">
        <v>34475</v>
      </c>
      <c r="E4483" t="s">
        <v>92</v>
      </c>
      <c r="F4483">
        <v>100</v>
      </c>
      <c r="G4483" t="s">
        <v>93</v>
      </c>
      <c r="H4483">
        <v>-129.33000000000001</v>
      </c>
      <c r="I4483">
        <v>59</v>
      </c>
      <c r="J4483">
        <v>-4.0199999999999996</v>
      </c>
      <c r="K4483">
        <v>78</v>
      </c>
      <c r="L4483">
        <v>-112.84</v>
      </c>
      <c r="M4483">
        <v>45</v>
      </c>
      <c r="N4483">
        <v>-0.8</v>
      </c>
      <c r="O4483">
        <v>46</v>
      </c>
      <c r="P4483">
        <v>-14.11</v>
      </c>
      <c r="Q4483">
        <v>63</v>
      </c>
      <c r="R4483">
        <v>-9.9499999999999993</v>
      </c>
      <c r="S4483">
        <v>49</v>
      </c>
      <c r="T4483">
        <v>15.08</v>
      </c>
      <c r="U4483">
        <v>66</v>
      </c>
      <c r="V4483">
        <v>-2.69</v>
      </c>
      <c r="W4483">
        <v>32</v>
      </c>
      <c r="X4483" t="s">
        <v>110</v>
      </c>
      <c r="Y4483" t="s">
        <v>95</v>
      </c>
      <c r="Z4483" t="s">
        <v>96</v>
      </c>
      <c r="AA4483" t="s">
        <v>1149</v>
      </c>
      <c r="AB4483" t="s">
        <v>11009</v>
      </c>
      <c r="AC4483">
        <v>19</v>
      </c>
      <c r="AD4483">
        <v>7</v>
      </c>
      <c r="AE4483">
        <v>78</v>
      </c>
      <c r="AF4483">
        <v>263.99</v>
      </c>
      <c r="AG4483">
        <v>3.75</v>
      </c>
      <c r="AH4483">
        <v>2.0299999999999998</v>
      </c>
      <c r="AI4483">
        <v>-0.1</v>
      </c>
      <c r="AJ4483">
        <v>-0.11</v>
      </c>
      <c r="AK4483">
        <v>45</v>
      </c>
      <c r="AL4483">
        <v>20</v>
      </c>
      <c r="AM4483">
        <v>10</v>
      </c>
      <c r="AN4483">
        <v>6.85</v>
      </c>
      <c r="AO4483">
        <v>-2.14</v>
      </c>
      <c r="AP4483">
        <v>5</v>
      </c>
      <c r="AQ4483">
        <v>0</v>
      </c>
      <c r="AR4483">
        <v>7.69</v>
      </c>
      <c r="AS4483">
        <v>34</v>
      </c>
      <c r="AT4483">
        <v>3.69</v>
      </c>
      <c r="AU4483">
        <v>50</v>
      </c>
      <c r="AV4483">
        <v>-0.46</v>
      </c>
      <c r="AW4483">
        <v>46</v>
      </c>
      <c r="AX4483">
        <v>-0.37</v>
      </c>
      <c r="AY4483">
        <v>56</v>
      </c>
      <c r="AZ4483">
        <v>6.55</v>
      </c>
      <c r="BA4483">
        <v>34</v>
      </c>
      <c r="BB4483">
        <v>4.97</v>
      </c>
      <c r="BC4483">
        <v>43</v>
      </c>
      <c r="BD4483">
        <v>7.0000000000000007E-2</v>
      </c>
      <c r="BE4483">
        <v>0.08</v>
      </c>
      <c r="BF4483">
        <v>-0.04</v>
      </c>
      <c r="BG4483">
        <v>61</v>
      </c>
      <c r="BH4483">
        <v>-0.12</v>
      </c>
      <c r="BI4483">
        <v>-5.21</v>
      </c>
      <c r="BJ4483">
        <v>1</v>
      </c>
      <c r="BK4483">
        <v>1</v>
      </c>
      <c r="BL4483">
        <v>0.43</v>
      </c>
      <c r="BM4483">
        <v>-0.32</v>
      </c>
      <c r="BN4483">
        <v>0.34</v>
      </c>
      <c r="BO4483">
        <v>0.6</v>
      </c>
      <c r="BP4483">
        <v>0.25</v>
      </c>
      <c r="BQ4483">
        <v>0.74</v>
      </c>
      <c r="BR4483">
        <v>1.8</v>
      </c>
      <c r="BS4483">
        <v>0.05</v>
      </c>
      <c r="BT4483">
        <v>-1.55</v>
      </c>
      <c r="BU4483">
        <v>1.19</v>
      </c>
      <c r="BV4483">
        <v>0.27</v>
      </c>
      <c r="BW4483">
        <v>0.86</v>
      </c>
      <c r="BX4483">
        <v>2.0699999999999998</v>
      </c>
      <c r="BY4483">
        <v>1.1499999999999999</v>
      </c>
      <c r="BZ4483">
        <v>-1.89</v>
      </c>
      <c r="CA4483">
        <v>0.94</v>
      </c>
      <c r="CB4483">
        <v>1.1200000000000001</v>
      </c>
      <c r="CC4483">
        <v>0.24</v>
      </c>
      <c r="CD4483">
        <v>-0.69</v>
      </c>
      <c r="CE4483">
        <v>0.74</v>
      </c>
      <c r="CF4483">
        <v>0.8</v>
      </c>
      <c r="CG4483">
        <v>0</v>
      </c>
      <c r="CH4483">
        <v>0.41</v>
      </c>
      <c r="CI4483">
        <v>0</v>
      </c>
      <c r="CJ4483">
        <v>-7</v>
      </c>
      <c r="CK4483">
        <v>65</v>
      </c>
      <c r="CL4483">
        <v>-0.65</v>
      </c>
      <c r="CM4483">
        <v>61</v>
      </c>
      <c r="CN4483">
        <v>-0.35</v>
      </c>
      <c r="CO4483">
        <v>56</v>
      </c>
      <c r="CP4483">
        <v>-12.3</v>
      </c>
      <c r="CQ4483">
        <v>72</v>
      </c>
      <c r="CR4483">
        <v>0</v>
      </c>
      <c r="CS4483">
        <v>0</v>
      </c>
      <c r="CT4483">
        <v>-6.6</v>
      </c>
      <c r="CU4483">
        <v>66</v>
      </c>
      <c r="CV4483">
        <v>0.09</v>
      </c>
      <c r="CW4483">
        <v>17</v>
      </c>
      <c r="CX4483" t="s">
        <v>111</v>
      </c>
    </row>
    <row r="4484" spans="1:102" x14ac:dyDescent="0.3">
      <c r="A4484" t="str">
        <f>HYPERLINK("https://webapp.icbf.com/v2/app/bull-search/view/77860027","BVK")</f>
        <v>BVK</v>
      </c>
      <c r="B4484" t="s">
        <v>3587</v>
      </c>
      <c r="C4484" t="s">
        <v>3588</v>
      </c>
      <c r="D4484" s="1">
        <v>31510</v>
      </c>
      <c r="E4484" t="s">
        <v>92</v>
      </c>
      <c r="F4484">
        <v>100</v>
      </c>
      <c r="G4484" t="s">
        <v>109</v>
      </c>
      <c r="H4484">
        <v>-129.53</v>
      </c>
      <c r="I4484">
        <v>66</v>
      </c>
      <c r="J4484">
        <v>-28.79</v>
      </c>
      <c r="K4484">
        <v>82</v>
      </c>
      <c r="L4484">
        <v>-81.61</v>
      </c>
      <c r="M4484">
        <v>70</v>
      </c>
      <c r="N4484">
        <v>-3.62</v>
      </c>
      <c r="O4484">
        <v>43</v>
      </c>
      <c r="P4484">
        <v>-4.3099999999999996</v>
      </c>
      <c r="Q4484">
        <v>47</v>
      </c>
      <c r="R4484">
        <v>-15.4</v>
      </c>
      <c r="S4484">
        <v>61</v>
      </c>
      <c r="T4484">
        <v>6.72</v>
      </c>
      <c r="U4484">
        <v>56</v>
      </c>
      <c r="V4484">
        <v>-2.52</v>
      </c>
      <c r="W4484">
        <v>24</v>
      </c>
      <c r="X4484" t="s">
        <v>94</v>
      </c>
      <c r="Y4484" t="s">
        <v>95</v>
      </c>
      <c r="Z4484" t="s">
        <v>96</v>
      </c>
      <c r="AA4484" t="s">
        <v>154</v>
      </c>
      <c r="AB4484" t="s">
        <v>3589</v>
      </c>
      <c r="AC4484">
        <v>0</v>
      </c>
      <c r="AD4484">
        <v>0</v>
      </c>
      <c r="AE4484">
        <v>82</v>
      </c>
      <c r="AF4484">
        <v>-19.899999999999999</v>
      </c>
      <c r="AG4484">
        <v>-3.17</v>
      </c>
      <c r="AH4484">
        <v>-4.08</v>
      </c>
      <c r="AI4484">
        <v>-0.04</v>
      </c>
      <c r="AJ4484">
        <v>-0.06</v>
      </c>
      <c r="AK4484">
        <v>70</v>
      </c>
      <c r="AL4484">
        <v>0</v>
      </c>
      <c r="AM4484">
        <v>0</v>
      </c>
      <c r="AN4484">
        <v>4.29</v>
      </c>
      <c r="AO4484">
        <v>-2.2200000000000002</v>
      </c>
      <c r="AP4484">
        <v>1</v>
      </c>
      <c r="AQ4484">
        <v>4</v>
      </c>
      <c r="AR4484">
        <v>5.45</v>
      </c>
      <c r="AS4484">
        <v>25</v>
      </c>
      <c r="AT4484">
        <v>2.85</v>
      </c>
      <c r="AU4484">
        <v>69</v>
      </c>
      <c r="AV4484">
        <v>0.22</v>
      </c>
      <c r="AW4484">
        <v>37</v>
      </c>
      <c r="AX4484">
        <v>-0.52</v>
      </c>
      <c r="AY4484">
        <v>46</v>
      </c>
      <c r="AZ4484">
        <v>7.87</v>
      </c>
      <c r="BA4484">
        <v>24</v>
      </c>
      <c r="BB4484">
        <v>6.51</v>
      </c>
      <c r="BC4484">
        <v>28</v>
      </c>
      <c r="BD4484">
        <v>0.03</v>
      </c>
      <c r="BE4484">
        <v>0.06</v>
      </c>
      <c r="BF4484">
        <v>0.19</v>
      </c>
      <c r="BG4484">
        <v>85</v>
      </c>
      <c r="BH4484">
        <v>0.03</v>
      </c>
      <c r="BI4484">
        <v>11.59</v>
      </c>
      <c r="BJ4484">
        <v>1</v>
      </c>
      <c r="BK4484">
        <v>1</v>
      </c>
      <c r="BL4484">
        <v>1.01</v>
      </c>
      <c r="BM4484">
        <v>-0.79</v>
      </c>
      <c r="BN4484">
        <v>1.1299999999999999</v>
      </c>
      <c r="BO4484">
        <v>0.8</v>
      </c>
      <c r="BP4484">
        <v>-0.11</v>
      </c>
      <c r="BQ4484">
        <v>0.64</v>
      </c>
      <c r="BR4484">
        <v>0.7</v>
      </c>
      <c r="BS4484">
        <v>7.0000000000000007E-2</v>
      </c>
      <c r="BT4484">
        <v>-0.05</v>
      </c>
      <c r="BU4484">
        <v>-1.93</v>
      </c>
      <c r="BV4484">
        <v>-1.1499999999999999</v>
      </c>
      <c r="BW4484">
        <v>1.91</v>
      </c>
      <c r="BX4484">
        <v>-1.1399999999999999</v>
      </c>
      <c r="BY4484">
        <v>0.79</v>
      </c>
      <c r="BZ4484">
        <v>-1.5</v>
      </c>
      <c r="CA4484">
        <v>-0.55000000000000004</v>
      </c>
      <c r="CB4484">
        <v>-0.73</v>
      </c>
      <c r="CC4484">
        <v>0.22</v>
      </c>
      <c r="CD4484">
        <v>0</v>
      </c>
      <c r="CE4484">
        <v>0</v>
      </c>
      <c r="CF4484">
        <v>0.05</v>
      </c>
      <c r="CG4484">
        <v>0</v>
      </c>
      <c r="CH4484">
        <v>-0.51</v>
      </c>
      <c r="CI4484">
        <v>0</v>
      </c>
      <c r="CJ4484">
        <v>-1.9</v>
      </c>
      <c r="CK4484">
        <v>50</v>
      </c>
      <c r="CL4484">
        <v>-0.45</v>
      </c>
      <c r="CM4484">
        <v>44</v>
      </c>
      <c r="CN4484">
        <v>-0.26</v>
      </c>
      <c r="CO4484">
        <v>40</v>
      </c>
      <c r="CP4484">
        <v>-0.6</v>
      </c>
      <c r="CQ4484">
        <v>51</v>
      </c>
      <c r="CR4484">
        <v>0</v>
      </c>
      <c r="CS4484">
        <v>0</v>
      </c>
      <c r="CT4484">
        <v>4.7</v>
      </c>
      <c r="CU4484">
        <v>56</v>
      </c>
      <c r="CV4484">
        <v>7.0000000000000007E-2</v>
      </c>
      <c r="CW4484">
        <v>13</v>
      </c>
      <c r="CX4484" t="s">
        <v>3590</v>
      </c>
    </row>
    <row r="4485" spans="1:102" x14ac:dyDescent="0.3">
      <c r="A4485" t="str">
        <f>HYPERLINK("https://webapp.icbf.com/v2/app/bull-search/view/146348174","MEK")</f>
        <v>MEK</v>
      </c>
      <c r="B4485" t="s">
        <v>11548</v>
      </c>
      <c r="C4485" t="s">
        <v>11549</v>
      </c>
      <c r="D4485" s="1">
        <v>37166</v>
      </c>
      <c r="E4485" t="s">
        <v>92</v>
      </c>
      <c r="F4485">
        <v>100</v>
      </c>
      <c r="G4485" t="s">
        <v>93</v>
      </c>
      <c r="H4485">
        <v>-129.59</v>
      </c>
      <c r="I4485">
        <v>84</v>
      </c>
      <c r="J4485">
        <v>25.06</v>
      </c>
      <c r="K4485">
        <v>95</v>
      </c>
      <c r="L4485">
        <v>-109.41</v>
      </c>
      <c r="M4485">
        <v>77</v>
      </c>
      <c r="N4485">
        <v>-24.68</v>
      </c>
      <c r="O4485">
        <v>76</v>
      </c>
      <c r="P4485">
        <v>13.04</v>
      </c>
      <c r="Q4485">
        <v>88</v>
      </c>
      <c r="R4485">
        <v>-5.15</v>
      </c>
      <c r="S4485">
        <v>77</v>
      </c>
      <c r="T4485">
        <v>-13.92</v>
      </c>
      <c r="U4485">
        <v>85</v>
      </c>
      <c r="V4485">
        <v>-14.53</v>
      </c>
      <c r="W4485">
        <v>73</v>
      </c>
      <c r="X4485" t="s">
        <v>102</v>
      </c>
      <c r="Y4485" t="s">
        <v>95</v>
      </c>
      <c r="Z4485" t="s">
        <v>96</v>
      </c>
      <c r="AA4485" t="s">
        <v>714</v>
      </c>
      <c r="AB4485" t="s">
        <v>11550</v>
      </c>
      <c r="AC4485">
        <v>43</v>
      </c>
      <c r="AD4485">
        <v>30</v>
      </c>
      <c r="AE4485">
        <v>95</v>
      </c>
      <c r="AF4485">
        <v>265.04000000000002</v>
      </c>
      <c r="AG4485">
        <v>10.68</v>
      </c>
      <c r="AH4485">
        <v>4.54</v>
      </c>
      <c r="AI4485">
        <v>0.01</v>
      </c>
      <c r="AJ4485">
        <v>-7.0000000000000007E-2</v>
      </c>
      <c r="AK4485">
        <v>77</v>
      </c>
      <c r="AL4485">
        <v>47</v>
      </c>
      <c r="AM4485">
        <v>31</v>
      </c>
      <c r="AN4485">
        <v>7.16</v>
      </c>
      <c r="AO4485">
        <v>-1.55</v>
      </c>
      <c r="AP4485">
        <v>75</v>
      </c>
      <c r="AQ4485">
        <v>0</v>
      </c>
      <c r="AR4485">
        <v>14.52</v>
      </c>
      <c r="AS4485">
        <v>67</v>
      </c>
      <c r="AT4485">
        <v>4.7699999999999996</v>
      </c>
      <c r="AU4485">
        <v>81</v>
      </c>
      <c r="AV4485">
        <v>-1.1499999999999999</v>
      </c>
      <c r="AW4485">
        <v>83</v>
      </c>
      <c r="AX4485">
        <v>-0.47</v>
      </c>
      <c r="AY4485">
        <v>73</v>
      </c>
      <c r="AZ4485">
        <v>4.18</v>
      </c>
      <c r="BA4485">
        <v>56</v>
      </c>
      <c r="BB4485">
        <v>4.2300000000000004</v>
      </c>
      <c r="BC4485">
        <v>60</v>
      </c>
      <c r="BD4485">
        <v>-0.01</v>
      </c>
      <c r="BE4485">
        <v>0.05</v>
      </c>
      <c r="BF4485">
        <v>0.04</v>
      </c>
      <c r="BG4485">
        <v>86</v>
      </c>
      <c r="BH4485">
        <v>-0.47</v>
      </c>
      <c r="BI4485">
        <v>-7.51</v>
      </c>
      <c r="BJ4485">
        <v>4</v>
      </c>
      <c r="BK4485">
        <v>3</v>
      </c>
      <c r="BL4485">
        <v>0.96</v>
      </c>
      <c r="BM4485">
        <v>0.64</v>
      </c>
      <c r="BN4485">
        <v>0.53</v>
      </c>
      <c r="BO4485">
        <v>0.06</v>
      </c>
      <c r="BP4485">
        <v>-0.18</v>
      </c>
      <c r="BQ4485">
        <v>-0.26</v>
      </c>
      <c r="BR4485">
        <v>-0.27</v>
      </c>
      <c r="BS4485">
        <v>-0.93</v>
      </c>
      <c r="BT4485">
        <v>1.3</v>
      </c>
      <c r="BU4485">
        <v>1.01</v>
      </c>
      <c r="BV4485">
        <v>-0.86</v>
      </c>
      <c r="BW4485">
        <v>-0.75</v>
      </c>
      <c r="BX4485">
        <v>1.08</v>
      </c>
      <c r="BY4485">
        <v>0.69</v>
      </c>
      <c r="BZ4485">
        <v>-1.18</v>
      </c>
      <c r="CA4485">
        <v>-0.03</v>
      </c>
      <c r="CB4485">
        <v>0.03</v>
      </c>
      <c r="CC4485">
        <v>-0.62</v>
      </c>
      <c r="CD4485">
        <v>0.2</v>
      </c>
      <c r="CE4485">
        <v>0.62</v>
      </c>
      <c r="CF4485">
        <v>1.06</v>
      </c>
      <c r="CG4485">
        <v>0</v>
      </c>
      <c r="CH4485">
        <v>0.28999999999999998</v>
      </c>
      <c r="CI4485">
        <v>0</v>
      </c>
      <c r="CJ4485">
        <v>8.4</v>
      </c>
      <c r="CK4485">
        <v>89</v>
      </c>
      <c r="CL4485">
        <v>-0.6</v>
      </c>
      <c r="CM4485">
        <v>87</v>
      </c>
      <c r="CN4485">
        <v>-0.51</v>
      </c>
      <c r="CO4485">
        <v>85</v>
      </c>
      <c r="CP4485">
        <v>11.1</v>
      </c>
      <c r="CQ4485">
        <v>86</v>
      </c>
      <c r="CR4485">
        <v>0</v>
      </c>
      <c r="CS4485">
        <v>0</v>
      </c>
      <c r="CT4485">
        <v>32.6</v>
      </c>
      <c r="CU4485">
        <v>85</v>
      </c>
      <c r="CV4485">
        <v>0.23</v>
      </c>
      <c r="CW4485">
        <v>43</v>
      </c>
      <c r="CX4485" t="s">
        <v>3310</v>
      </c>
    </row>
    <row r="4486" spans="1:102" x14ac:dyDescent="0.3">
      <c r="A4486" t="str">
        <f>HYPERLINK("https://webapp.icbf.com/v2/app/bull-search/view/660304960","S1511")</f>
        <v>S1511</v>
      </c>
      <c r="B4486" t="s">
        <v>9233</v>
      </c>
      <c r="C4486" t="s">
        <v>9234</v>
      </c>
      <c r="D4486" s="1">
        <v>38738</v>
      </c>
      <c r="E4486" t="s">
        <v>92</v>
      </c>
      <c r="F4486">
        <v>100</v>
      </c>
      <c r="G4486" t="s">
        <v>109</v>
      </c>
      <c r="H4486">
        <v>-129.71</v>
      </c>
      <c r="I4486">
        <v>75</v>
      </c>
      <c r="J4486">
        <v>6.18</v>
      </c>
      <c r="K4486">
        <v>86</v>
      </c>
      <c r="L4486">
        <v>-80.760000000000005</v>
      </c>
      <c r="M4486">
        <v>82</v>
      </c>
      <c r="N4486">
        <v>-56.59</v>
      </c>
      <c r="O4486">
        <v>62</v>
      </c>
      <c r="P4486">
        <v>-10.7</v>
      </c>
      <c r="Q4486">
        <v>64</v>
      </c>
      <c r="R4486">
        <v>16.37</v>
      </c>
      <c r="S4486">
        <v>64</v>
      </c>
      <c r="T4486">
        <v>-4.9000000000000004</v>
      </c>
      <c r="U4486">
        <v>49</v>
      </c>
      <c r="V4486">
        <v>0.69</v>
      </c>
      <c r="W4486">
        <v>35</v>
      </c>
      <c r="X4486" t="s">
        <v>234</v>
      </c>
      <c r="Y4486" t="s">
        <v>362</v>
      </c>
      <c r="Z4486" t="s">
        <v>96</v>
      </c>
      <c r="AA4486" t="s">
        <v>309</v>
      </c>
      <c r="AB4486" t="s">
        <v>9235</v>
      </c>
      <c r="AC4486">
        <v>0</v>
      </c>
      <c r="AD4486">
        <v>0</v>
      </c>
      <c r="AE4486">
        <v>86</v>
      </c>
      <c r="AF4486">
        <v>175.34</v>
      </c>
      <c r="AG4486">
        <v>3.01</v>
      </c>
      <c r="AH4486">
        <v>2.67</v>
      </c>
      <c r="AI4486">
        <v>-0.06</v>
      </c>
      <c r="AJ4486">
        <v>-0.05</v>
      </c>
      <c r="AK4486">
        <v>82</v>
      </c>
      <c r="AL4486">
        <v>0</v>
      </c>
      <c r="AM4486">
        <v>0</v>
      </c>
      <c r="AN4486">
        <v>5.24</v>
      </c>
      <c r="AO4486">
        <v>-1.19</v>
      </c>
      <c r="AP4486">
        <v>36</v>
      </c>
      <c r="AQ4486">
        <v>0</v>
      </c>
      <c r="AR4486">
        <v>12.65</v>
      </c>
      <c r="AS4486">
        <v>44</v>
      </c>
      <c r="AT4486">
        <v>5.52</v>
      </c>
      <c r="AU4486">
        <v>85</v>
      </c>
      <c r="AV4486">
        <v>1.27</v>
      </c>
      <c r="AW4486">
        <v>66</v>
      </c>
      <c r="AX4486">
        <v>1.64</v>
      </c>
      <c r="AY4486">
        <v>48</v>
      </c>
      <c r="AZ4486">
        <v>5.85</v>
      </c>
      <c r="BA4486">
        <v>35</v>
      </c>
      <c r="BB4486">
        <v>4.7699999999999996</v>
      </c>
      <c r="BC4486">
        <v>31</v>
      </c>
      <c r="BD4486">
        <v>-0.02</v>
      </c>
      <c r="BE4486">
        <v>-7.0000000000000007E-2</v>
      </c>
      <c r="BF4486">
        <v>-0.21</v>
      </c>
      <c r="BG4486">
        <v>88</v>
      </c>
      <c r="BH4486">
        <v>-0.05</v>
      </c>
      <c r="BI4486">
        <v>-8.01</v>
      </c>
      <c r="BJ4486">
        <v>0</v>
      </c>
      <c r="BK4486">
        <v>0</v>
      </c>
      <c r="BL4486">
        <v>2.0499999999999998</v>
      </c>
      <c r="BM4486">
        <v>-0.06</v>
      </c>
      <c r="BN4486">
        <v>1.1599999999999999</v>
      </c>
      <c r="BO4486">
        <v>0.98</v>
      </c>
      <c r="BP4486">
        <v>-1.0900000000000001</v>
      </c>
      <c r="BQ4486">
        <v>0.17</v>
      </c>
      <c r="BR4486">
        <v>-0.5</v>
      </c>
      <c r="BS4486">
        <v>1.9</v>
      </c>
      <c r="BT4486">
        <v>0.94</v>
      </c>
      <c r="BU4486">
        <v>3.05</v>
      </c>
      <c r="BV4486">
        <v>2.69</v>
      </c>
      <c r="BW4486">
        <v>2.39</v>
      </c>
      <c r="BX4486">
        <v>2.56</v>
      </c>
      <c r="BY4486">
        <v>1.03</v>
      </c>
      <c r="BZ4486">
        <v>1.77</v>
      </c>
      <c r="CA4486">
        <v>2.16</v>
      </c>
      <c r="CB4486">
        <v>1.94</v>
      </c>
      <c r="CC4486">
        <v>1.53</v>
      </c>
      <c r="CD4486">
        <v>-0.15</v>
      </c>
      <c r="CE4486">
        <v>1.26</v>
      </c>
      <c r="CF4486">
        <v>1.34</v>
      </c>
      <c r="CG4486">
        <v>0</v>
      </c>
      <c r="CH4486">
        <v>1.37</v>
      </c>
      <c r="CI4486">
        <v>0</v>
      </c>
      <c r="CJ4486">
        <v>-4.5</v>
      </c>
      <c r="CK4486">
        <v>68</v>
      </c>
      <c r="CL4486">
        <v>-1.28</v>
      </c>
      <c r="CM4486">
        <v>61</v>
      </c>
      <c r="CN4486">
        <v>-0.71</v>
      </c>
      <c r="CO4486">
        <v>59</v>
      </c>
      <c r="CP4486">
        <v>2.7</v>
      </c>
      <c r="CQ4486">
        <v>55</v>
      </c>
      <c r="CR4486">
        <v>0</v>
      </c>
      <c r="CS4486">
        <v>0</v>
      </c>
      <c r="CT4486">
        <v>20.399999999999999</v>
      </c>
      <c r="CU4486">
        <v>49</v>
      </c>
      <c r="CV4486">
        <v>0.26</v>
      </c>
      <c r="CW4486">
        <v>19</v>
      </c>
      <c r="CX4486" t="s">
        <v>1801</v>
      </c>
    </row>
    <row r="4487" spans="1:102" x14ac:dyDescent="0.3">
      <c r="A4487" t="str">
        <f>HYPERLINK("https://webapp.icbf.com/v2/app/bull-search/view/586144396","S1687")</f>
        <v>S1687</v>
      </c>
      <c r="B4487" t="s">
        <v>2096</v>
      </c>
      <c r="C4487" t="s">
        <v>2097</v>
      </c>
      <c r="D4487" s="1">
        <v>38713</v>
      </c>
      <c r="E4487" t="s">
        <v>92</v>
      </c>
      <c r="F4487">
        <v>100</v>
      </c>
      <c r="G4487" t="s">
        <v>109</v>
      </c>
      <c r="H4487">
        <v>-129.84</v>
      </c>
      <c r="I4487">
        <v>73</v>
      </c>
      <c r="J4487">
        <v>42.65</v>
      </c>
      <c r="K4487">
        <v>88</v>
      </c>
      <c r="L4487">
        <v>-202.73</v>
      </c>
      <c r="M4487">
        <v>83</v>
      </c>
      <c r="N4487">
        <v>36.43</v>
      </c>
      <c r="O4487">
        <v>64</v>
      </c>
      <c r="P4487">
        <v>-5.91</v>
      </c>
      <c r="Q4487">
        <v>43</v>
      </c>
      <c r="R4487">
        <v>-2.0699999999999998</v>
      </c>
      <c r="S4487">
        <v>65</v>
      </c>
      <c r="T4487">
        <v>0.21</v>
      </c>
      <c r="U4487">
        <v>35</v>
      </c>
      <c r="V4487">
        <v>1.58</v>
      </c>
      <c r="W4487">
        <v>27</v>
      </c>
      <c r="X4487" t="s">
        <v>94</v>
      </c>
      <c r="Y4487" t="s">
        <v>362</v>
      </c>
      <c r="Z4487" t="s">
        <v>96</v>
      </c>
      <c r="AA4487" t="s">
        <v>309</v>
      </c>
      <c r="AB4487" t="s">
        <v>2098</v>
      </c>
      <c r="AC4487">
        <v>0</v>
      </c>
      <c r="AD4487">
        <v>0</v>
      </c>
      <c r="AE4487">
        <v>88</v>
      </c>
      <c r="AF4487">
        <v>430.72</v>
      </c>
      <c r="AG4487">
        <v>12.2</v>
      </c>
      <c r="AH4487">
        <v>9.5299999999999994</v>
      </c>
      <c r="AI4487">
        <v>-7.0000000000000007E-2</v>
      </c>
      <c r="AJ4487">
        <v>-0.08</v>
      </c>
      <c r="AK4487">
        <v>83</v>
      </c>
      <c r="AL4487">
        <v>0</v>
      </c>
      <c r="AM4487">
        <v>0</v>
      </c>
      <c r="AN4487">
        <v>12.39</v>
      </c>
      <c r="AO4487">
        <v>-3.76</v>
      </c>
      <c r="AP4487">
        <v>8</v>
      </c>
      <c r="AQ4487">
        <v>0</v>
      </c>
      <c r="AR4487">
        <v>6.31</v>
      </c>
      <c r="AS4487">
        <v>38</v>
      </c>
      <c r="AT4487">
        <v>2.95</v>
      </c>
      <c r="AU4487">
        <v>88</v>
      </c>
      <c r="AV4487">
        <v>-3.84</v>
      </c>
      <c r="AW4487">
        <v>73</v>
      </c>
      <c r="AX4487">
        <v>-0.74</v>
      </c>
      <c r="AY4487">
        <v>46</v>
      </c>
      <c r="AZ4487">
        <v>6.56</v>
      </c>
      <c r="BA4487">
        <v>28</v>
      </c>
      <c r="BB4487">
        <v>5.0999999999999996</v>
      </c>
      <c r="BC4487">
        <v>29</v>
      </c>
      <c r="BD4487">
        <v>0.01</v>
      </c>
      <c r="BE4487">
        <v>-0.01</v>
      </c>
      <c r="BF4487">
        <v>0.05</v>
      </c>
      <c r="BG4487">
        <v>89</v>
      </c>
      <c r="BH4487">
        <v>-0.04</v>
      </c>
      <c r="BI4487">
        <v>-9.7100000000000009</v>
      </c>
      <c r="BJ4487">
        <v>6</v>
      </c>
      <c r="BK4487">
        <v>2</v>
      </c>
      <c r="BL4487">
        <v>2.33</v>
      </c>
      <c r="BM4487">
        <v>-1.83</v>
      </c>
      <c r="BN4487">
        <v>0.86</v>
      </c>
      <c r="BO4487">
        <v>1.99</v>
      </c>
      <c r="BP4487">
        <v>-0.79</v>
      </c>
      <c r="BQ4487">
        <v>2.02</v>
      </c>
      <c r="BR4487">
        <v>0.28000000000000003</v>
      </c>
      <c r="BS4487">
        <v>1.5</v>
      </c>
      <c r="BT4487">
        <v>0.06</v>
      </c>
      <c r="BU4487">
        <v>2.39</v>
      </c>
      <c r="BV4487">
        <v>2.95</v>
      </c>
      <c r="BW4487">
        <v>2.71</v>
      </c>
      <c r="BX4487">
        <v>1.06</v>
      </c>
      <c r="BY4487">
        <v>2.0499999999999998</v>
      </c>
      <c r="BZ4487">
        <v>1.05</v>
      </c>
      <c r="CA4487">
        <v>2.2400000000000002</v>
      </c>
      <c r="CB4487">
        <v>2.0499999999999998</v>
      </c>
      <c r="CC4487">
        <v>1.66</v>
      </c>
      <c r="CD4487">
        <v>-2.0099999999999998</v>
      </c>
      <c r="CE4487">
        <v>1.23</v>
      </c>
      <c r="CF4487">
        <v>0.96</v>
      </c>
      <c r="CG4487">
        <v>0</v>
      </c>
      <c r="CH4487">
        <v>1.59</v>
      </c>
      <c r="CI4487">
        <v>0</v>
      </c>
      <c r="CJ4487">
        <v>-1.9</v>
      </c>
      <c r="CK4487">
        <v>45</v>
      </c>
      <c r="CL4487">
        <v>-1.26</v>
      </c>
      <c r="CM4487">
        <v>42</v>
      </c>
      <c r="CN4487">
        <v>-0.86</v>
      </c>
      <c r="CO4487">
        <v>40</v>
      </c>
      <c r="CP4487">
        <v>-2.4</v>
      </c>
      <c r="CQ4487">
        <v>40</v>
      </c>
      <c r="CR4487">
        <v>0</v>
      </c>
      <c r="CS4487">
        <v>0</v>
      </c>
      <c r="CT4487">
        <v>13.5</v>
      </c>
      <c r="CU4487">
        <v>35</v>
      </c>
      <c r="CV4487">
        <v>0.35</v>
      </c>
      <c r="CW4487">
        <v>12</v>
      </c>
      <c r="CX4487" t="s">
        <v>1216</v>
      </c>
    </row>
    <row r="4488" spans="1:102" x14ac:dyDescent="0.3">
      <c r="A4488" t="str">
        <f>HYPERLINK("https://webapp.icbf.com/v2/app/bull-search/view/307650031","HWI")</f>
        <v>HWI</v>
      </c>
      <c r="B4488" t="s">
        <v>11269</v>
      </c>
      <c r="C4488" t="s">
        <v>11270</v>
      </c>
      <c r="D4488" s="1">
        <v>37458</v>
      </c>
      <c r="E4488" t="s">
        <v>92</v>
      </c>
      <c r="F4488">
        <v>100</v>
      </c>
      <c r="G4488" t="s">
        <v>93</v>
      </c>
      <c r="H4488">
        <v>-129.93</v>
      </c>
      <c r="I4488">
        <v>86</v>
      </c>
      <c r="J4488">
        <v>29.64</v>
      </c>
      <c r="K4488">
        <v>96</v>
      </c>
      <c r="L4488">
        <v>-167.24</v>
      </c>
      <c r="M4488">
        <v>79</v>
      </c>
      <c r="N4488">
        <v>10.97</v>
      </c>
      <c r="O4488">
        <v>80</v>
      </c>
      <c r="P4488">
        <v>-7.84</v>
      </c>
      <c r="Q4488">
        <v>92</v>
      </c>
      <c r="R4488">
        <v>-2.48</v>
      </c>
      <c r="S4488">
        <v>76</v>
      </c>
      <c r="T4488">
        <v>17.75</v>
      </c>
      <c r="U4488">
        <v>86</v>
      </c>
      <c r="V4488">
        <v>-10.73</v>
      </c>
      <c r="W4488">
        <v>64</v>
      </c>
      <c r="X4488" t="s">
        <v>94</v>
      </c>
      <c r="Y4488" t="s">
        <v>171</v>
      </c>
      <c r="Z4488" t="s">
        <v>96</v>
      </c>
      <c r="AA4488" t="s">
        <v>172</v>
      </c>
      <c r="AB4488" t="s">
        <v>11271</v>
      </c>
      <c r="AC4488">
        <v>102</v>
      </c>
      <c r="AD4488">
        <v>73</v>
      </c>
      <c r="AE4488">
        <v>96</v>
      </c>
      <c r="AF4488">
        <v>346.46</v>
      </c>
      <c r="AG4488">
        <v>10.5</v>
      </c>
      <c r="AH4488">
        <v>6.63</v>
      </c>
      <c r="AI4488">
        <v>-0.05</v>
      </c>
      <c r="AJ4488">
        <v>-0.08</v>
      </c>
      <c r="AK4488">
        <v>79</v>
      </c>
      <c r="AL4488">
        <v>100</v>
      </c>
      <c r="AM4488">
        <v>74</v>
      </c>
      <c r="AN4488">
        <v>9.65</v>
      </c>
      <c r="AO4488">
        <v>-3.68</v>
      </c>
      <c r="AP4488">
        <v>138</v>
      </c>
      <c r="AQ4488">
        <v>0</v>
      </c>
      <c r="AR4488">
        <v>7.29</v>
      </c>
      <c r="AS4488">
        <v>54</v>
      </c>
      <c r="AT4488">
        <v>2.97</v>
      </c>
      <c r="AU4488">
        <v>82</v>
      </c>
      <c r="AV4488">
        <v>-1.51</v>
      </c>
      <c r="AW4488">
        <v>93</v>
      </c>
      <c r="AX4488">
        <v>-0.27</v>
      </c>
      <c r="AY4488">
        <v>79</v>
      </c>
      <c r="AZ4488">
        <v>7.4</v>
      </c>
      <c r="BA4488">
        <v>55</v>
      </c>
      <c r="BB4488">
        <v>5.47</v>
      </c>
      <c r="BC4488">
        <v>59</v>
      </c>
      <c r="BD4488">
        <v>0.03</v>
      </c>
      <c r="BE4488">
        <v>0.03</v>
      </c>
      <c r="BF4488">
        <v>-0.05</v>
      </c>
      <c r="BG4488">
        <v>88</v>
      </c>
      <c r="BH4488">
        <v>-0.06</v>
      </c>
      <c r="BI4488">
        <v>27.66</v>
      </c>
      <c r="BJ4488">
        <v>12</v>
      </c>
      <c r="BK4488">
        <v>7</v>
      </c>
      <c r="BL4488">
        <v>0.63</v>
      </c>
      <c r="BM4488">
        <v>-1.73</v>
      </c>
      <c r="BN4488">
        <v>-0.11</v>
      </c>
      <c r="BO4488">
        <v>0.21</v>
      </c>
      <c r="BP4488">
        <v>3.79</v>
      </c>
      <c r="BQ4488">
        <v>0.53</v>
      </c>
      <c r="BR4488">
        <v>0.77</v>
      </c>
      <c r="BS4488">
        <v>-2.66</v>
      </c>
      <c r="BT4488">
        <v>-0.7</v>
      </c>
      <c r="BU4488">
        <v>-0.27</v>
      </c>
      <c r="BV4488">
        <v>-0.66</v>
      </c>
      <c r="BW4488">
        <v>0.27</v>
      </c>
      <c r="BX4488">
        <v>-0.63</v>
      </c>
      <c r="BY4488">
        <v>1.44</v>
      </c>
      <c r="BZ4488">
        <v>-0.36</v>
      </c>
      <c r="CA4488">
        <v>-0.6</v>
      </c>
      <c r="CB4488">
        <v>-0.42</v>
      </c>
      <c r="CC4488">
        <v>-1.98</v>
      </c>
      <c r="CD4488">
        <v>-1.96</v>
      </c>
      <c r="CE4488">
        <v>0.16</v>
      </c>
      <c r="CF4488">
        <v>-0.71</v>
      </c>
      <c r="CG4488">
        <v>0</v>
      </c>
      <c r="CH4488">
        <v>0.23</v>
      </c>
      <c r="CI4488">
        <v>0</v>
      </c>
      <c r="CJ4488">
        <v>-0.7</v>
      </c>
      <c r="CK4488">
        <v>93</v>
      </c>
      <c r="CL4488">
        <v>-0.6</v>
      </c>
      <c r="CM4488">
        <v>91</v>
      </c>
      <c r="CN4488">
        <v>-7.0000000000000007E-2</v>
      </c>
      <c r="CO4488">
        <v>90</v>
      </c>
      <c r="CP4488">
        <v>-10</v>
      </c>
      <c r="CQ4488">
        <v>90</v>
      </c>
      <c r="CR4488">
        <v>0</v>
      </c>
      <c r="CS4488">
        <v>0</v>
      </c>
      <c r="CT4488">
        <v>-10.199999999999999</v>
      </c>
      <c r="CU4488">
        <v>86</v>
      </c>
      <c r="CV4488">
        <v>0.2</v>
      </c>
      <c r="CW4488">
        <v>26</v>
      </c>
      <c r="CX4488" t="s">
        <v>753</v>
      </c>
    </row>
    <row r="4489" spans="1:102" x14ac:dyDescent="0.3">
      <c r="A4489" t="str">
        <f>HYPERLINK("https://webapp.icbf.com/v2/app/bull-search/view/77854486","RDY")</f>
        <v>RDY</v>
      </c>
      <c r="B4489" t="s">
        <v>7043</v>
      </c>
      <c r="C4489" t="s">
        <v>7044</v>
      </c>
      <c r="D4489" s="1">
        <v>33347</v>
      </c>
      <c r="E4489" t="s">
        <v>92</v>
      </c>
      <c r="F4489">
        <v>100</v>
      </c>
      <c r="G4489" t="s">
        <v>93</v>
      </c>
      <c r="H4489">
        <v>-130.02000000000001</v>
      </c>
      <c r="I4489">
        <v>94</v>
      </c>
      <c r="J4489">
        <v>-4.28</v>
      </c>
      <c r="K4489">
        <v>99</v>
      </c>
      <c r="L4489">
        <v>-116.21</v>
      </c>
      <c r="M4489">
        <v>92</v>
      </c>
      <c r="N4489">
        <v>-0.44</v>
      </c>
      <c r="O4489">
        <v>90</v>
      </c>
      <c r="P4489">
        <v>-18.7</v>
      </c>
      <c r="Q4489">
        <v>97</v>
      </c>
      <c r="R4489">
        <v>-11.58</v>
      </c>
      <c r="S4489">
        <v>86</v>
      </c>
      <c r="T4489">
        <v>23.67</v>
      </c>
      <c r="U4489">
        <v>96</v>
      </c>
      <c r="V4489">
        <v>-2.48</v>
      </c>
      <c r="W4489">
        <v>80</v>
      </c>
      <c r="X4489" t="s">
        <v>131</v>
      </c>
      <c r="Y4489" t="s">
        <v>95</v>
      </c>
      <c r="Z4489" t="s">
        <v>96</v>
      </c>
      <c r="AA4489" t="s">
        <v>132</v>
      </c>
      <c r="AB4489" t="s">
        <v>7045</v>
      </c>
      <c r="AC4489">
        <v>362</v>
      </c>
      <c r="AD4489">
        <v>188</v>
      </c>
      <c r="AE4489">
        <v>99</v>
      </c>
      <c r="AF4489">
        <v>-65.709999999999994</v>
      </c>
      <c r="AG4489">
        <v>1.74</v>
      </c>
      <c r="AH4489">
        <v>-2.35</v>
      </c>
      <c r="AI4489">
        <v>0.08</v>
      </c>
      <c r="AJ4489">
        <v>0</v>
      </c>
      <c r="AK4489">
        <v>92</v>
      </c>
      <c r="AL4489">
        <v>385</v>
      </c>
      <c r="AM4489">
        <v>202</v>
      </c>
      <c r="AN4489">
        <v>5.37</v>
      </c>
      <c r="AO4489">
        <v>-3.91</v>
      </c>
      <c r="AP4489">
        <v>195</v>
      </c>
      <c r="AQ4489">
        <v>2</v>
      </c>
      <c r="AR4489">
        <v>6.75</v>
      </c>
      <c r="AS4489">
        <v>80</v>
      </c>
      <c r="AT4489">
        <v>3.19</v>
      </c>
      <c r="AU4489">
        <v>92</v>
      </c>
      <c r="AV4489">
        <v>-1.77</v>
      </c>
      <c r="AW4489">
        <v>93</v>
      </c>
      <c r="AX4489">
        <v>-0.17</v>
      </c>
      <c r="AY4489">
        <v>93</v>
      </c>
      <c r="AZ4489">
        <v>9.1300000000000008</v>
      </c>
      <c r="BA4489">
        <v>74</v>
      </c>
      <c r="BB4489">
        <v>7.04</v>
      </c>
      <c r="BC4489">
        <v>83</v>
      </c>
      <c r="BD4489">
        <v>0.02</v>
      </c>
      <c r="BE4489">
        <v>7.0000000000000007E-2</v>
      </c>
      <c r="BF4489">
        <v>0.1</v>
      </c>
      <c r="BG4489">
        <v>96</v>
      </c>
      <c r="BH4489">
        <v>0.1</v>
      </c>
      <c r="BI4489">
        <v>19.579999999999998</v>
      </c>
      <c r="BJ4489">
        <v>19</v>
      </c>
      <c r="BK4489">
        <v>14</v>
      </c>
      <c r="BL4489">
        <v>0.16</v>
      </c>
      <c r="BM4489">
        <v>-1.1000000000000001</v>
      </c>
      <c r="BN4489">
        <v>0.9</v>
      </c>
      <c r="BO4489">
        <v>0.85</v>
      </c>
      <c r="BP4489">
        <v>-2.82</v>
      </c>
      <c r="BQ4489">
        <v>-0.95</v>
      </c>
      <c r="BR4489">
        <v>-0.81</v>
      </c>
      <c r="BS4489">
        <v>2.74</v>
      </c>
      <c r="BT4489">
        <v>0.38</v>
      </c>
      <c r="BU4489">
        <v>-0.44</v>
      </c>
      <c r="BV4489">
        <v>0.61</v>
      </c>
      <c r="BW4489">
        <v>-0.14000000000000001</v>
      </c>
      <c r="BX4489">
        <v>-1.07</v>
      </c>
      <c r="BY4489">
        <v>-0.66</v>
      </c>
      <c r="BZ4489">
        <v>3.22</v>
      </c>
      <c r="CA4489">
        <v>0.76</v>
      </c>
      <c r="CB4489">
        <v>7.0000000000000007E-2</v>
      </c>
      <c r="CC4489">
        <v>2.02</v>
      </c>
      <c r="CD4489">
        <v>-1.21</v>
      </c>
      <c r="CE4489">
        <v>0.6</v>
      </c>
      <c r="CF4489">
        <v>-0.39</v>
      </c>
      <c r="CG4489">
        <v>0</v>
      </c>
      <c r="CH4489">
        <v>-0.61</v>
      </c>
      <c r="CI4489">
        <v>0</v>
      </c>
      <c r="CJ4489">
        <v>-5.3</v>
      </c>
      <c r="CK4489">
        <v>97</v>
      </c>
      <c r="CL4489">
        <v>-0.91</v>
      </c>
      <c r="CM4489">
        <v>96</v>
      </c>
      <c r="CN4489">
        <v>-0.01</v>
      </c>
      <c r="CO4489">
        <v>96</v>
      </c>
      <c r="CP4489">
        <v>-14.1</v>
      </c>
      <c r="CQ4489">
        <v>97</v>
      </c>
      <c r="CR4489">
        <v>0</v>
      </c>
      <c r="CS4489">
        <v>0</v>
      </c>
      <c r="CT4489">
        <v>-18.2</v>
      </c>
      <c r="CU4489">
        <v>96</v>
      </c>
      <c r="CV4489">
        <v>0.13</v>
      </c>
      <c r="CW4489">
        <v>45</v>
      </c>
      <c r="CX4489" t="s">
        <v>914</v>
      </c>
    </row>
    <row r="4490" spans="1:102" x14ac:dyDescent="0.3">
      <c r="A4490" t="str">
        <f>HYPERLINK("https://webapp.icbf.com/v2/app/bull-search/view/77859718","BJK")</f>
        <v>BJK</v>
      </c>
      <c r="B4490" t="s">
        <v>10905</v>
      </c>
      <c r="C4490" t="s">
        <v>10906</v>
      </c>
      <c r="D4490" s="1">
        <v>34278</v>
      </c>
      <c r="E4490" t="s">
        <v>92</v>
      </c>
      <c r="F4490">
        <v>100</v>
      </c>
      <c r="G4490" t="s">
        <v>93</v>
      </c>
      <c r="H4490">
        <v>-130.04</v>
      </c>
      <c r="I4490">
        <v>70</v>
      </c>
      <c r="J4490">
        <v>-29.62</v>
      </c>
      <c r="K4490">
        <v>90</v>
      </c>
      <c r="L4490">
        <v>-91.99</v>
      </c>
      <c r="M4490">
        <v>60</v>
      </c>
      <c r="N4490">
        <v>-0.26</v>
      </c>
      <c r="O4490">
        <v>54</v>
      </c>
      <c r="P4490">
        <v>-1.01</v>
      </c>
      <c r="Q4490">
        <v>73</v>
      </c>
      <c r="R4490">
        <v>-3.7</v>
      </c>
      <c r="S4490">
        <v>64</v>
      </c>
      <c r="T4490">
        <v>0.95</v>
      </c>
      <c r="U4490">
        <v>73</v>
      </c>
      <c r="V4490">
        <v>-4.41</v>
      </c>
      <c r="W4490">
        <v>32</v>
      </c>
      <c r="X4490" t="s">
        <v>94</v>
      </c>
      <c r="Y4490" t="s">
        <v>95</v>
      </c>
      <c r="Z4490" t="s">
        <v>96</v>
      </c>
      <c r="AA4490" t="s">
        <v>1506</v>
      </c>
      <c r="AB4490" t="s">
        <v>10907</v>
      </c>
      <c r="AC4490">
        <v>55</v>
      </c>
      <c r="AD4490">
        <v>50</v>
      </c>
      <c r="AE4490">
        <v>90</v>
      </c>
      <c r="AF4490">
        <v>52.97</v>
      </c>
      <c r="AG4490">
        <v>-8.3000000000000007</v>
      </c>
      <c r="AH4490">
        <v>-1.29</v>
      </c>
      <c r="AI4490">
        <v>-0.17</v>
      </c>
      <c r="AJ4490">
        <v>-0.05</v>
      </c>
      <c r="AK4490">
        <v>60</v>
      </c>
      <c r="AL4490">
        <v>64</v>
      </c>
      <c r="AM4490">
        <v>50</v>
      </c>
      <c r="AN4490">
        <v>5.5</v>
      </c>
      <c r="AO4490">
        <v>-1.83</v>
      </c>
      <c r="AP4490">
        <v>3</v>
      </c>
      <c r="AQ4490">
        <v>0</v>
      </c>
      <c r="AR4490">
        <v>5.84</v>
      </c>
      <c r="AS4490">
        <v>31</v>
      </c>
      <c r="AT4490">
        <v>3.08</v>
      </c>
      <c r="AU4490">
        <v>50</v>
      </c>
      <c r="AV4490">
        <v>1.08</v>
      </c>
      <c r="AW4490">
        <v>61</v>
      </c>
      <c r="AX4490">
        <v>-0.66</v>
      </c>
      <c r="AY4490">
        <v>68</v>
      </c>
      <c r="AZ4490">
        <v>6.23</v>
      </c>
      <c r="BA4490">
        <v>30</v>
      </c>
      <c r="BB4490">
        <v>4.71</v>
      </c>
      <c r="BC4490">
        <v>46</v>
      </c>
      <c r="BD4490">
        <v>0</v>
      </c>
      <c r="BE4490">
        <v>0.05</v>
      </c>
      <c r="BF4490">
        <v>-0.01</v>
      </c>
      <c r="BG4490">
        <v>80</v>
      </c>
      <c r="BH4490">
        <v>-0.05</v>
      </c>
      <c r="BI4490">
        <v>8.43</v>
      </c>
      <c r="BJ4490">
        <v>18</v>
      </c>
      <c r="BK4490">
        <v>16</v>
      </c>
      <c r="BL4490">
        <v>0.16</v>
      </c>
      <c r="BM4490">
        <v>-0.52</v>
      </c>
      <c r="BN4490">
        <v>0.03</v>
      </c>
      <c r="BO4490">
        <v>0.1</v>
      </c>
      <c r="BP4490">
        <v>-0.25</v>
      </c>
      <c r="BQ4490">
        <v>-1.5</v>
      </c>
      <c r="BR4490">
        <v>-1.02</v>
      </c>
      <c r="BS4490">
        <v>1.1299999999999999</v>
      </c>
      <c r="BT4490">
        <v>1.68</v>
      </c>
      <c r="BU4490">
        <v>0.4</v>
      </c>
      <c r="BV4490">
        <v>0.63</v>
      </c>
      <c r="BW4490">
        <v>1.28</v>
      </c>
      <c r="BX4490">
        <v>0.57999999999999996</v>
      </c>
      <c r="BY4490">
        <v>-0.42</v>
      </c>
      <c r="BZ4490">
        <v>0.76</v>
      </c>
      <c r="CA4490">
        <v>0.71</v>
      </c>
      <c r="CB4490">
        <v>0.28000000000000003</v>
      </c>
      <c r="CC4490">
        <v>1.45</v>
      </c>
      <c r="CD4490">
        <v>-0.22</v>
      </c>
      <c r="CE4490">
        <v>-0.28000000000000003</v>
      </c>
      <c r="CF4490">
        <v>0.06</v>
      </c>
      <c r="CG4490">
        <v>0</v>
      </c>
      <c r="CH4490">
        <v>0.7</v>
      </c>
      <c r="CI4490">
        <v>0</v>
      </c>
      <c r="CJ4490">
        <v>0.5</v>
      </c>
      <c r="CK4490">
        <v>74</v>
      </c>
      <c r="CL4490">
        <v>-0.36</v>
      </c>
      <c r="CM4490">
        <v>70</v>
      </c>
      <c r="CN4490">
        <v>-0.14000000000000001</v>
      </c>
      <c r="CO4490">
        <v>66</v>
      </c>
      <c r="CP4490">
        <v>2.5</v>
      </c>
      <c r="CQ4490">
        <v>80</v>
      </c>
      <c r="CR4490">
        <v>0</v>
      </c>
      <c r="CS4490">
        <v>0</v>
      </c>
      <c r="CT4490">
        <v>12.5</v>
      </c>
      <c r="CU4490">
        <v>73</v>
      </c>
      <c r="CV4490">
        <v>0.17</v>
      </c>
      <c r="CW4490">
        <v>20</v>
      </c>
      <c r="CX4490" t="s">
        <v>161</v>
      </c>
    </row>
    <row r="4491" spans="1:102" x14ac:dyDescent="0.3">
      <c r="A4491" t="str">
        <f>HYPERLINK("https://webapp.icbf.com/v2/app/bull-search/view/77858173","EIR")</f>
        <v>EIR</v>
      </c>
      <c r="B4491" t="s">
        <v>10764</v>
      </c>
      <c r="C4491" t="s">
        <v>10765</v>
      </c>
      <c r="D4491" s="1">
        <v>35769</v>
      </c>
      <c r="E4491" t="s">
        <v>92</v>
      </c>
      <c r="F4491">
        <v>100</v>
      </c>
      <c r="G4491" t="s">
        <v>93</v>
      </c>
      <c r="H4491">
        <v>-130.16</v>
      </c>
      <c r="I4491">
        <v>88</v>
      </c>
      <c r="J4491">
        <v>-17.77</v>
      </c>
      <c r="K4491">
        <v>98</v>
      </c>
      <c r="L4491">
        <v>-136.86000000000001</v>
      </c>
      <c r="M4491">
        <v>83</v>
      </c>
      <c r="N4491">
        <v>22.07</v>
      </c>
      <c r="O4491">
        <v>82</v>
      </c>
      <c r="P4491">
        <v>-6.16</v>
      </c>
      <c r="Q4491">
        <v>91</v>
      </c>
      <c r="R4491">
        <v>-0.01</v>
      </c>
      <c r="S4491">
        <v>81</v>
      </c>
      <c r="T4491">
        <v>6.8</v>
      </c>
      <c r="U4491">
        <v>81</v>
      </c>
      <c r="V4491">
        <v>1.77</v>
      </c>
      <c r="W4491">
        <v>74</v>
      </c>
      <c r="X4491" t="s">
        <v>94</v>
      </c>
      <c r="Y4491" t="s">
        <v>95</v>
      </c>
      <c r="Z4491" t="s">
        <v>96</v>
      </c>
      <c r="AA4491" t="s">
        <v>1361</v>
      </c>
      <c r="AB4491" t="s">
        <v>10766</v>
      </c>
      <c r="AC4491">
        <v>146</v>
      </c>
      <c r="AD4491">
        <v>124</v>
      </c>
      <c r="AE4491">
        <v>98</v>
      </c>
      <c r="AF4491">
        <v>358.42</v>
      </c>
      <c r="AG4491">
        <v>-5.56</v>
      </c>
      <c r="AH4491">
        <v>4.43</v>
      </c>
      <c r="AI4491">
        <v>-0.32</v>
      </c>
      <c r="AJ4491">
        <v>-0.13</v>
      </c>
      <c r="AK4491">
        <v>83</v>
      </c>
      <c r="AL4491">
        <v>157</v>
      </c>
      <c r="AM4491">
        <v>125</v>
      </c>
      <c r="AN4491">
        <v>8.5500000000000007</v>
      </c>
      <c r="AO4491">
        <v>-2.35</v>
      </c>
      <c r="AP4491">
        <v>7</v>
      </c>
      <c r="AQ4491">
        <v>3</v>
      </c>
      <c r="AR4491">
        <v>6.58</v>
      </c>
      <c r="AS4491">
        <v>74</v>
      </c>
      <c r="AT4491">
        <v>2.86</v>
      </c>
      <c r="AU4491">
        <v>83</v>
      </c>
      <c r="AV4491">
        <v>-2.17</v>
      </c>
      <c r="AW4491">
        <v>86</v>
      </c>
      <c r="AX4491">
        <v>-0.13</v>
      </c>
      <c r="AY4491">
        <v>85</v>
      </c>
      <c r="AZ4491">
        <v>6.29</v>
      </c>
      <c r="BA4491">
        <v>70</v>
      </c>
      <c r="BB4491">
        <v>5.09</v>
      </c>
      <c r="BC4491">
        <v>75</v>
      </c>
      <c r="BD4491">
        <v>0.02</v>
      </c>
      <c r="BE4491">
        <v>0.03</v>
      </c>
      <c r="BF4491">
        <v>-0.09</v>
      </c>
      <c r="BG4491">
        <v>92</v>
      </c>
      <c r="BH4491">
        <v>0.14000000000000001</v>
      </c>
      <c r="BI4491">
        <v>10.49</v>
      </c>
      <c r="BJ4491">
        <v>22</v>
      </c>
      <c r="BK4491">
        <v>21</v>
      </c>
      <c r="BL4491">
        <v>0.5</v>
      </c>
      <c r="BM4491">
        <v>-0.45</v>
      </c>
      <c r="BN4491">
        <v>-0.1</v>
      </c>
      <c r="BO4491">
        <v>0.31</v>
      </c>
      <c r="BP4491">
        <v>0.9</v>
      </c>
      <c r="BQ4491">
        <v>-0.37</v>
      </c>
      <c r="BR4491">
        <v>1.9</v>
      </c>
      <c r="BS4491">
        <v>-0.92</v>
      </c>
      <c r="BT4491">
        <v>-2.73</v>
      </c>
      <c r="BU4491">
        <v>0.3</v>
      </c>
      <c r="BV4491">
        <v>0.38</v>
      </c>
      <c r="BW4491">
        <v>0.32</v>
      </c>
      <c r="BX4491">
        <v>-0.81</v>
      </c>
      <c r="BY4491">
        <v>0.5</v>
      </c>
      <c r="BZ4491">
        <v>1.03</v>
      </c>
      <c r="CA4491">
        <v>0.25</v>
      </c>
      <c r="CB4491">
        <v>0.65</v>
      </c>
      <c r="CC4491">
        <v>-0.73</v>
      </c>
      <c r="CD4491">
        <v>-0.69</v>
      </c>
      <c r="CE4491">
        <v>-0.02</v>
      </c>
      <c r="CF4491">
        <v>-0.14000000000000001</v>
      </c>
      <c r="CG4491">
        <v>0</v>
      </c>
      <c r="CH4491">
        <v>1.27</v>
      </c>
      <c r="CI4491">
        <v>0</v>
      </c>
      <c r="CJ4491">
        <v>-1.9</v>
      </c>
      <c r="CK4491">
        <v>92</v>
      </c>
      <c r="CL4491">
        <v>-0.49</v>
      </c>
      <c r="CM4491">
        <v>90</v>
      </c>
      <c r="CN4491">
        <v>-0.21</v>
      </c>
      <c r="CO4491">
        <v>89</v>
      </c>
      <c r="CP4491">
        <v>-6.3</v>
      </c>
      <c r="CQ4491">
        <v>93</v>
      </c>
      <c r="CR4491">
        <v>0</v>
      </c>
      <c r="CS4491">
        <v>0</v>
      </c>
      <c r="CT4491">
        <v>4.5999999999999996</v>
      </c>
      <c r="CU4491">
        <v>81</v>
      </c>
      <c r="CV4491">
        <v>7.0000000000000007E-2</v>
      </c>
      <c r="CW4491">
        <v>44</v>
      </c>
      <c r="CX4491" t="s">
        <v>265</v>
      </c>
    </row>
    <row r="4492" spans="1:102" x14ac:dyDescent="0.3">
      <c r="A4492" t="str">
        <f>HYPERLINK("https://webapp.icbf.com/v2/app/bull-search/view/586147282","S694")</f>
        <v>S694</v>
      </c>
      <c r="B4492" t="s">
        <v>5084</v>
      </c>
      <c r="C4492" t="s">
        <v>5085</v>
      </c>
      <c r="D4492" s="1">
        <v>38504</v>
      </c>
      <c r="E4492" t="s">
        <v>92</v>
      </c>
      <c r="F4492">
        <v>100</v>
      </c>
      <c r="G4492" t="s">
        <v>109</v>
      </c>
      <c r="H4492">
        <v>-130.24</v>
      </c>
      <c r="I4492">
        <v>62</v>
      </c>
      <c r="J4492">
        <v>-6.27</v>
      </c>
      <c r="K4492">
        <v>75</v>
      </c>
      <c r="L4492">
        <v>-99.19</v>
      </c>
      <c r="M4492">
        <v>69</v>
      </c>
      <c r="N4492">
        <v>-20.66</v>
      </c>
      <c r="O4492">
        <v>44</v>
      </c>
      <c r="P4492">
        <v>-13.64</v>
      </c>
      <c r="Q4492">
        <v>43</v>
      </c>
      <c r="R4492">
        <v>-1.84</v>
      </c>
      <c r="S4492">
        <v>57</v>
      </c>
      <c r="T4492">
        <v>4.28</v>
      </c>
      <c r="U4492">
        <v>40</v>
      </c>
      <c r="V4492">
        <v>7.08</v>
      </c>
      <c r="W4492">
        <v>29</v>
      </c>
      <c r="X4492" t="s">
        <v>94</v>
      </c>
      <c r="Y4492" t="s">
        <v>1494</v>
      </c>
      <c r="Z4492" t="s">
        <v>96</v>
      </c>
      <c r="AA4492" t="s">
        <v>1752</v>
      </c>
      <c r="AB4492" t="s">
        <v>1069</v>
      </c>
      <c r="AC4492">
        <v>0</v>
      </c>
      <c r="AD4492">
        <v>0</v>
      </c>
      <c r="AE4492">
        <v>75</v>
      </c>
      <c r="AF4492">
        <v>79.42</v>
      </c>
      <c r="AG4492">
        <v>-3.62</v>
      </c>
      <c r="AH4492">
        <v>1.43</v>
      </c>
      <c r="AI4492">
        <v>-0.11</v>
      </c>
      <c r="AJ4492">
        <v>-0.02</v>
      </c>
      <c r="AK4492">
        <v>69</v>
      </c>
      <c r="AL4492">
        <v>0</v>
      </c>
      <c r="AM4492">
        <v>0</v>
      </c>
      <c r="AN4492">
        <v>4.6399999999999997</v>
      </c>
      <c r="AO4492">
        <v>-3.28</v>
      </c>
      <c r="AP4492">
        <v>18</v>
      </c>
      <c r="AQ4492">
        <v>0</v>
      </c>
      <c r="AR4492">
        <v>8.74</v>
      </c>
      <c r="AS4492">
        <v>33</v>
      </c>
      <c r="AT4492">
        <v>4.43</v>
      </c>
      <c r="AU4492">
        <v>75</v>
      </c>
      <c r="AV4492">
        <v>-0.12</v>
      </c>
      <c r="AW4492">
        <v>33</v>
      </c>
      <c r="AX4492">
        <v>0.91</v>
      </c>
      <c r="AY4492">
        <v>42</v>
      </c>
      <c r="AZ4492">
        <v>6.84</v>
      </c>
      <c r="BA4492">
        <v>33</v>
      </c>
      <c r="BB4492">
        <v>5.47</v>
      </c>
      <c r="BC4492">
        <v>30</v>
      </c>
      <c r="BD4492">
        <v>-0.01</v>
      </c>
      <c r="BE4492">
        <v>0.01</v>
      </c>
      <c r="BF4492">
        <v>0.04</v>
      </c>
      <c r="BG4492">
        <v>77</v>
      </c>
      <c r="BH4492">
        <v>0.11</v>
      </c>
      <c r="BI4492">
        <v>-10.130000000000001</v>
      </c>
      <c r="BJ4492">
        <v>2</v>
      </c>
      <c r="BK4492">
        <v>2</v>
      </c>
      <c r="BL4492">
        <v>1.19</v>
      </c>
      <c r="BM4492">
        <v>-0.22</v>
      </c>
      <c r="BN4492">
        <v>1.55</v>
      </c>
      <c r="BO4492">
        <v>1.38</v>
      </c>
      <c r="BP4492">
        <v>-0.09</v>
      </c>
      <c r="BQ4492">
        <v>1.93</v>
      </c>
      <c r="BR4492">
        <v>1.6</v>
      </c>
      <c r="BS4492">
        <v>-0.11</v>
      </c>
      <c r="BT4492">
        <v>-0.89</v>
      </c>
      <c r="BU4492">
        <v>2.2999999999999998</v>
      </c>
      <c r="BV4492">
        <v>2.15</v>
      </c>
      <c r="BW4492">
        <v>2.23</v>
      </c>
      <c r="BX4492">
        <v>2.2999999999999998</v>
      </c>
      <c r="BY4492">
        <v>1.61</v>
      </c>
      <c r="BZ4492">
        <v>-0.94</v>
      </c>
      <c r="CA4492">
        <v>1.57</v>
      </c>
      <c r="CB4492">
        <v>1.99</v>
      </c>
      <c r="CC4492">
        <v>0.25</v>
      </c>
      <c r="CD4492">
        <v>-0.85</v>
      </c>
      <c r="CE4492">
        <v>1.1200000000000001</v>
      </c>
      <c r="CF4492">
        <v>1.1399999999999999</v>
      </c>
      <c r="CG4492">
        <v>0</v>
      </c>
      <c r="CH4492">
        <v>1.0900000000000001</v>
      </c>
      <c r="CI4492">
        <v>0</v>
      </c>
      <c r="CJ4492">
        <v>-5</v>
      </c>
      <c r="CK4492">
        <v>44</v>
      </c>
      <c r="CL4492">
        <v>-1.19</v>
      </c>
      <c r="CM4492">
        <v>41</v>
      </c>
      <c r="CN4492">
        <v>-0.5</v>
      </c>
      <c r="CO4492">
        <v>37</v>
      </c>
      <c r="CP4492">
        <v>-2.1</v>
      </c>
      <c r="CQ4492">
        <v>48</v>
      </c>
      <c r="CR4492">
        <v>0</v>
      </c>
      <c r="CS4492">
        <v>0</v>
      </c>
      <c r="CT4492">
        <v>8</v>
      </c>
      <c r="CU4492">
        <v>40</v>
      </c>
      <c r="CV4492">
        <v>0.25</v>
      </c>
      <c r="CW4492">
        <v>11</v>
      </c>
      <c r="CX4492" t="s">
        <v>1015</v>
      </c>
    </row>
    <row r="4493" spans="1:102" x14ac:dyDescent="0.3">
      <c r="A4493" t="str">
        <f>HYPERLINK("https://webapp.icbf.com/v2/app/bull-search/view/135422076","PLX")</f>
        <v>PLX</v>
      </c>
      <c r="B4493" t="s">
        <v>12433</v>
      </c>
      <c r="C4493" t="s">
        <v>12434</v>
      </c>
      <c r="D4493" s="1">
        <v>37061</v>
      </c>
      <c r="E4493" t="s">
        <v>92</v>
      </c>
      <c r="F4493">
        <v>100</v>
      </c>
      <c r="G4493" t="s">
        <v>93</v>
      </c>
      <c r="H4493">
        <v>-130.26</v>
      </c>
      <c r="I4493">
        <v>84</v>
      </c>
      <c r="J4493">
        <v>60.35</v>
      </c>
      <c r="K4493">
        <v>97</v>
      </c>
      <c r="L4493">
        <v>-147.87</v>
      </c>
      <c r="M4493">
        <v>70</v>
      </c>
      <c r="N4493">
        <v>-46.62</v>
      </c>
      <c r="O4493">
        <v>84</v>
      </c>
      <c r="P4493">
        <v>-2.69</v>
      </c>
      <c r="Q4493">
        <v>94</v>
      </c>
      <c r="R4493">
        <v>-11.38</v>
      </c>
      <c r="S4493">
        <v>76</v>
      </c>
      <c r="T4493">
        <v>17.670000000000002</v>
      </c>
      <c r="U4493">
        <v>89</v>
      </c>
      <c r="V4493">
        <v>0.28000000000000003</v>
      </c>
      <c r="W4493">
        <v>65</v>
      </c>
      <c r="X4493" t="s">
        <v>94</v>
      </c>
      <c r="Y4493" t="s">
        <v>95</v>
      </c>
      <c r="Z4493" t="s">
        <v>96</v>
      </c>
      <c r="AA4493" t="s">
        <v>273</v>
      </c>
      <c r="AB4493" t="s">
        <v>12435</v>
      </c>
      <c r="AC4493">
        <v>111</v>
      </c>
      <c r="AD4493">
        <v>96</v>
      </c>
      <c r="AE4493">
        <v>97</v>
      </c>
      <c r="AF4493">
        <v>378.57</v>
      </c>
      <c r="AG4493">
        <v>9.7200000000000006</v>
      </c>
      <c r="AH4493">
        <v>12.62</v>
      </c>
      <c r="AI4493">
        <v>-0.08</v>
      </c>
      <c r="AJ4493">
        <v>-0.01</v>
      </c>
      <c r="AK4493">
        <v>70</v>
      </c>
      <c r="AL4493">
        <v>109</v>
      </c>
      <c r="AM4493">
        <v>88</v>
      </c>
      <c r="AN4493">
        <v>9.8000000000000007</v>
      </c>
      <c r="AO4493">
        <v>-1.97</v>
      </c>
      <c r="AP4493">
        <v>194</v>
      </c>
      <c r="AQ4493">
        <v>10</v>
      </c>
      <c r="AR4493">
        <v>12.88</v>
      </c>
      <c r="AS4493">
        <v>62</v>
      </c>
      <c r="AT4493">
        <v>5.89</v>
      </c>
      <c r="AU4493">
        <v>85</v>
      </c>
      <c r="AV4493">
        <v>-0.32</v>
      </c>
      <c r="AW4493">
        <v>94</v>
      </c>
      <c r="AX4493">
        <v>0</v>
      </c>
      <c r="AY4493">
        <v>83</v>
      </c>
      <c r="AZ4493">
        <v>5.58</v>
      </c>
      <c r="BA4493">
        <v>62</v>
      </c>
      <c r="BB4493">
        <v>4.9800000000000004</v>
      </c>
      <c r="BC4493">
        <v>67</v>
      </c>
      <c r="BD4493">
        <v>-0.02</v>
      </c>
      <c r="BE4493">
        <v>0.05</v>
      </c>
      <c r="BF4493">
        <v>0.2</v>
      </c>
      <c r="BG4493">
        <v>86</v>
      </c>
      <c r="BH4493">
        <v>0.06</v>
      </c>
      <c r="BI4493">
        <v>6.04</v>
      </c>
      <c r="BJ4493">
        <v>35</v>
      </c>
      <c r="BK4493">
        <v>29</v>
      </c>
      <c r="BL4493">
        <v>0.39</v>
      </c>
      <c r="BM4493">
        <v>-0.86</v>
      </c>
      <c r="BN4493">
        <v>-0.2</v>
      </c>
      <c r="BO4493">
        <v>0.37</v>
      </c>
      <c r="BP4493">
        <v>0.34</v>
      </c>
      <c r="BQ4493">
        <v>-1.06</v>
      </c>
      <c r="BR4493">
        <v>-0.68</v>
      </c>
      <c r="BS4493">
        <v>0.38</v>
      </c>
      <c r="BT4493">
        <v>0.89</v>
      </c>
      <c r="BU4493">
        <v>-7.0000000000000007E-2</v>
      </c>
      <c r="BV4493">
        <v>0.28000000000000003</v>
      </c>
      <c r="BW4493">
        <v>-7.0000000000000007E-2</v>
      </c>
      <c r="BX4493">
        <v>0.39</v>
      </c>
      <c r="BY4493">
        <v>-0.43</v>
      </c>
      <c r="BZ4493">
        <v>1.62</v>
      </c>
      <c r="CA4493">
        <v>0.37</v>
      </c>
      <c r="CB4493">
        <v>0.36</v>
      </c>
      <c r="CC4493">
        <v>0.14000000000000001</v>
      </c>
      <c r="CD4493">
        <v>-0.7</v>
      </c>
      <c r="CE4493">
        <v>0.45</v>
      </c>
      <c r="CF4493">
        <v>0.25</v>
      </c>
      <c r="CG4493">
        <v>0</v>
      </c>
      <c r="CH4493">
        <v>0.52</v>
      </c>
      <c r="CI4493">
        <v>0</v>
      </c>
      <c r="CJ4493">
        <v>0.9</v>
      </c>
      <c r="CK4493">
        <v>95</v>
      </c>
      <c r="CL4493">
        <v>-0.71</v>
      </c>
      <c r="CM4493">
        <v>94</v>
      </c>
      <c r="CN4493">
        <v>-0.33</v>
      </c>
      <c r="CO4493">
        <v>94</v>
      </c>
      <c r="CP4493">
        <v>-3.1</v>
      </c>
      <c r="CQ4493">
        <v>92</v>
      </c>
      <c r="CR4493">
        <v>0</v>
      </c>
      <c r="CS4493">
        <v>0</v>
      </c>
      <c r="CT4493">
        <v>-10.1</v>
      </c>
      <c r="CU4493">
        <v>89</v>
      </c>
      <c r="CV4493">
        <v>0.25</v>
      </c>
      <c r="CW4493">
        <v>27</v>
      </c>
      <c r="CX4493" t="s">
        <v>10557</v>
      </c>
    </row>
    <row r="4494" spans="1:102" x14ac:dyDescent="0.3">
      <c r="A4494" t="str">
        <f>HYPERLINK("https://webapp.icbf.com/v2/app/bull-search/view/547760175","GOA")</f>
        <v>GOA</v>
      </c>
      <c r="B4494" t="s">
        <v>2452</v>
      </c>
      <c r="C4494" t="s">
        <v>2453</v>
      </c>
      <c r="D4494" s="1">
        <v>37791</v>
      </c>
      <c r="E4494" t="s">
        <v>92</v>
      </c>
      <c r="F4494">
        <v>100</v>
      </c>
      <c r="G4494" t="s">
        <v>93</v>
      </c>
      <c r="H4494">
        <v>-130.44999999999999</v>
      </c>
      <c r="I4494">
        <v>92</v>
      </c>
      <c r="J4494">
        <v>19.100000000000001</v>
      </c>
      <c r="K4494">
        <v>98</v>
      </c>
      <c r="L4494">
        <v>-162.94</v>
      </c>
      <c r="M4494">
        <v>92</v>
      </c>
      <c r="N4494">
        <v>2.58</v>
      </c>
      <c r="O4494">
        <v>89</v>
      </c>
      <c r="P4494">
        <v>-21.73</v>
      </c>
      <c r="Q4494">
        <v>90</v>
      </c>
      <c r="R4494">
        <v>-1.74</v>
      </c>
      <c r="S4494">
        <v>84</v>
      </c>
      <c r="T4494">
        <v>32.840000000000003</v>
      </c>
      <c r="U4494">
        <v>81</v>
      </c>
      <c r="V4494">
        <v>1.44</v>
      </c>
      <c r="W4494">
        <v>74</v>
      </c>
      <c r="X4494" t="s">
        <v>276</v>
      </c>
      <c r="Y4494" t="s">
        <v>270</v>
      </c>
      <c r="Z4494" t="s">
        <v>96</v>
      </c>
      <c r="AA4494" t="s">
        <v>2454</v>
      </c>
      <c r="AB4494" t="s">
        <v>2455</v>
      </c>
      <c r="AC4494">
        <v>137</v>
      </c>
      <c r="AD4494">
        <v>63</v>
      </c>
      <c r="AE4494">
        <v>98</v>
      </c>
      <c r="AF4494">
        <v>340.89</v>
      </c>
      <c r="AG4494">
        <v>11.75</v>
      </c>
      <c r="AH4494">
        <v>4.3099999999999996</v>
      </c>
      <c r="AI4494">
        <v>-0.03</v>
      </c>
      <c r="AJ4494">
        <v>-0.12</v>
      </c>
      <c r="AK4494">
        <v>92</v>
      </c>
      <c r="AL4494">
        <v>118</v>
      </c>
      <c r="AM4494">
        <v>51</v>
      </c>
      <c r="AN4494">
        <v>9.99</v>
      </c>
      <c r="AO4494">
        <v>-2.99</v>
      </c>
      <c r="AP4494">
        <v>153</v>
      </c>
      <c r="AQ4494">
        <v>0</v>
      </c>
      <c r="AR4494">
        <v>7.28</v>
      </c>
      <c r="AS4494">
        <v>86</v>
      </c>
      <c r="AT4494">
        <v>3.48</v>
      </c>
      <c r="AU4494">
        <v>98</v>
      </c>
      <c r="AV4494">
        <v>-1.19</v>
      </c>
      <c r="AW4494">
        <v>94</v>
      </c>
      <c r="AX4494">
        <v>1.28</v>
      </c>
      <c r="AY4494">
        <v>84</v>
      </c>
      <c r="AZ4494">
        <v>6.27</v>
      </c>
      <c r="BA4494">
        <v>71</v>
      </c>
      <c r="BB4494">
        <v>5.31</v>
      </c>
      <c r="BC4494">
        <v>66</v>
      </c>
      <c r="BD4494">
        <v>0</v>
      </c>
      <c r="BE4494">
        <v>0</v>
      </c>
      <c r="BF4494">
        <v>0.04</v>
      </c>
      <c r="BG4494">
        <v>96</v>
      </c>
      <c r="BH4494">
        <v>-0.06</v>
      </c>
      <c r="BI4494">
        <v>-11.58</v>
      </c>
      <c r="BJ4494">
        <v>85</v>
      </c>
      <c r="BK4494">
        <v>48</v>
      </c>
      <c r="BL4494">
        <v>0.61</v>
      </c>
      <c r="BM4494">
        <v>-2.86</v>
      </c>
      <c r="BN4494">
        <v>-7.0000000000000007E-2</v>
      </c>
      <c r="BO4494">
        <v>1.94</v>
      </c>
      <c r="BP4494">
        <v>-1.1299999999999999</v>
      </c>
      <c r="BQ4494">
        <v>0.44</v>
      </c>
      <c r="BR4494">
        <v>-0.37</v>
      </c>
      <c r="BS4494">
        <v>3.33</v>
      </c>
      <c r="BT4494">
        <v>0.57999999999999996</v>
      </c>
      <c r="BU4494">
        <v>1.89</v>
      </c>
      <c r="BV4494">
        <v>1.92</v>
      </c>
      <c r="BW4494">
        <v>1.68</v>
      </c>
      <c r="BX4494">
        <v>1.61</v>
      </c>
      <c r="BY4494">
        <v>2.12</v>
      </c>
      <c r="BZ4494">
        <v>-2.64</v>
      </c>
      <c r="CA4494">
        <v>2.39</v>
      </c>
      <c r="CB4494">
        <v>1.91</v>
      </c>
      <c r="CC4494">
        <v>2.52</v>
      </c>
      <c r="CD4494">
        <v>-2.29</v>
      </c>
      <c r="CE4494">
        <v>1.58</v>
      </c>
      <c r="CF4494">
        <v>0.74</v>
      </c>
      <c r="CG4494">
        <v>0</v>
      </c>
      <c r="CH4494">
        <v>1.74</v>
      </c>
      <c r="CI4494">
        <v>0</v>
      </c>
      <c r="CJ4494">
        <v>-6.7</v>
      </c>
      <c r="CK4494">
        <v>91</v>
      </c>
      <c r="CL4494">
        <v>-1.28</v>
      </c>
      <c r="CM4494">
        <v>89</v>
      </c>
      <c r="CN4494">
        <v>-0.33</v>
      </c>
      <c r="CO4494">
        <v>88</v>
      </c>
      <c r="CP4494">
        <v>-20.9</v>
      </c>
      <c r="CQ4494">
        <v>88</v>
      </c>
      <c r="CR4494">
        <v>0</v>
      </c>
      <c r="CS4494">
        <v>0</v>
      </c>
      <c r="CT4494">
        <v>-30.6</v>
      </c>
      <c r="CU4494">
        <v>81</v>
      </c>
      <c r="CV4494">
        <v>0.25</v>
      </c>
      <c r="CW4494">
        <v>44</v>
      </c>
      <c r="CX4494" t="s">
        <v>1278</v>
      </c>
    </row>
    <row r="4495" spans="1:102" x14ac:dyDescent="0.3">
      <c r="A4495" t="str">
        <f>HYPERLINK("https://webapp.icbf.com/v2/app/bull-search/view/77856769","IPS")</f>
        <v>IPS</v>
      </c>
      <c r="B4495" t="s">
        <v>14286</v>
      </c>
      <c r="C4495" t="s">
        <v>14287</v>
      </c>
      <c r="D4495" s="1">
        <v>33980</v>
      </c>
      <c r="E4495" t="s">
        <v>92</v>
      </c>
      <c r="F4495">
        <v>100</v>
      </c>
      <c r="G4495" t="s">
        <v>93</v>
      </c>
      <c r="H4495">
        <v>-130.57</v>
      </c>
      <c r="I4495">
        <v>67</v>
      </c>
      <c r="J4495">
        <v>-33.979999999999997</v>
      </c>
      <c r="K4495">
        <v>88</v>
      </c>
      <c r="L4495">
        <v>-90.68</v>
      </c>
      <c r="M4495">
        <v>58</v>
      </c>
      <c r="N4495">
        <v>1.0900000000000001</v>
      </c>
      <c r="O4495">
        <v>46</v>
      </c>
      <c r="P4495">
        <v>8.23</v>
      </c>
      <c r="Q4495">
        <v>68</v>
      </c>
      <c r="R4495">
        <v>-13.24</v>
      </c>
      <c r="S4495">
        <v>63</v>
      </c>
      <c r="T4495">
        <v>-1.57</v>
      </c>
      <c r="U4495">
        <v>59</v>
      </c>
      <c r="V4495">
        <v>-0.42</v>
      </c>
      <c r="W4495">
        <v>32</v>
      </c>
      <c r="X4495" t="s">
        <v>94</v>
      </c>
      <c r="Y4495" t="s">
        <v>95</v>
      </c>
      <c r="Z4495" t="s">
        <v>96</v>
      </c>
      <c r="AA4495" t="s">
        <v>485</v>
      </c>
      <c r="AB4495" t="s">
        <v>14288</v>
      </c>
      <c r="AC4495">
        <v>39</v>
      </c>
      <c r="AD4495">
        <v>31</v>
      </c>
      <c r="AE4495">
        <v>88</v>
      </c>
      <c r="AF4495">
        <v>-30.19</v>
      </c>
      <c r="AG4495">
        <v>-7.55</v>
      </c>
      <c r="AH4495">
        <v>-3.57</v>
      </c>
      <c r="AI4495">
        <v>-0.11</v>
      </c>
      <c r="AJ4495">
        <v>-0.04</v>
      </c>
      <c r="AK4495">
        <v>58</v>
      </c>
      <c r="AL4495">
        <v>62</v>
      </c>
      <c r="AM4495">
        <v>48</v>
      </c>
      <c r="AN4495">
        <v>4.2699999999999996</v>
      </c>
      <c r="AO4495">
        <v>-2.97</v>
      </c>
      <c r="AP4495">
        <v>4</v>
      </c>
      <c r="AQ4495">
        <v>8</v>
      </c>
      <c r="AR4495">
        <v>7.85</v>
      </c>
      <c r="AS4495">
        <v>32</v>
      </c>
      <c r="AT4495">
        <v>3.61</v>
      </c>
      <c r="AU4495">
        <v>44</v>
      </c>
      <c r="AV4495">
        <v>-0.39</v>
      </c>
      <c r="AW4495">
        <v>50</v>
      </c>
      <c r="AX4495">
        <v>-0.37</v>
      </c>
      <c r="AY4495">
        <v>59</v>
      </c>
      <c r="AZ4495">
        <v>6.13</v>
      </c>
      <c r="BA4495">
        <v>31</v>
      </c>
      <c r="BB4495">
        <v>4.63</v>
      </c>
      <c r="BC4495">
        <v>39</v>
      </c>
      <c r="BD4495">
        <v>0.05</v>
      </c>
      <c r="BE4495">
        <v>0.09</v>
      </c>
      <c r="BF4495">
        <v>0.05</v>
      </c>
      <c r="BG4495">
        <v>79</v>
      </c>
      <c r="BH4495">
        <v>0.05</v>
      </c>
      <c r="BI4495">
        <v>7.14</v>
      </c>
      <c r="BJ4495">
        <v>13</v>
      </c>
      <c r="BK4495">
        <v>13</v>
      </c>
      <c r="BL4495">
        <v>-0.46</v>
      </c>
      <c r="BM4495">
        <v>1.1399999999999999</v>
      </c>
      <c r="BN4495">
        <v>0.67</v>
      </c>
      <c r="BO4495">
        <v>-0.4</v>
      </c>
      <c r="BP4495">
        <v>-2.15</v>
      </c>
      <c r="BQ4495">
        <v>0.39</v>
      </c>
      <c r="BR4495">
        <v>1.64</v>
      </c>
      <c r="BS4495">
        <v>-1.87</v>
      </c>
      <c r="BT4495">
        <v>-1.45</v>
      </c>
      <c r="BU4495">
        <v>0.09</v>
      </c>
      <c r="BV4495">
        <v>0</v>
      </c>
      <c r="BW4495">
        <v>-0.28000000000000003</v>
      </c>
      <c r="BX4495">
        <v>-0.56000000000000005</v>
      </c>
      <c r="BY4495">
        <v>0.43</v>
      </c>
      <c r="BZ4495">
        <v>-0.99</v>
      </c>
      <c r="CA4495">
        <v>-0.47</v>
      </c>
      <c r="CB4495">
        <v>0.2</v>
      </c>
      <c r="CC4495">
        <v>-1.54</v>
      </c>
      <c r="CD4495">
        <v>0.56999999999999995</v>
      </c>
      <c r="CE4495">
        <v>-0.33</v>
      </c>
      <c r="CF4495">
        <v>-0.31</v>
      </c>
      <c r="CG4495">
        <v>0</v>
      </c>
      <c r="CH4495">
        <v>0.27</v>
      </c>
      <c r="CI4495">
        <v>0</v>
      </c>
      <c r="CJ4495">
        <v>5.8</v>
      </c>
      <c r="CK4495">
        <v>70</v>
      </c>
      <c r="CL4495">
        <v>-0.06</v>
      </c>
      <c r="CM4495">
        <v>65</v>
      </c>
      <c r="CN4495">
        <v>-0.04</v>
      </c>
      <c r="CO4495">
        <v>60</v>
      </c>
      <c r="CP4495">
        <v>2.5</v>
      </c>
      <c r="CQ4495">
        <v>73</v>
      </c>
      <c r="CR4495">
        <v>0</v>
      </c>
      <c r="CS4495">
        <v>0</v>
      </c>
      <c r="CT4495">
        <v>15.9</v>
      </c>
      <c r="CU4495">
        <v>59</v>
      </c>
      <c r="CV4495">
        <v>0.03</v>
      </c>
      <c r="CW4495">
        <v>20</v>
      </c>
      <c r="CX4495" t="s">
        <v>120</v>
      </c>
    </row>
    <row r="4496" spans="1:102" x14ac:dyDescent="0.3">
      <c r="A4496" t="str">
        <f>HYPERLINK("https://webapp.icbf.com/v2/app/bull-search/view/135765414","FLA")</f>
        <v>FLA</v>
      </c>
      <c r="B4496" t="s">
        <v>983</v>
      </c>
      <c r="C4496" t="s">
        <v>984</v>
      </c>
      <c r="D4496" s="1">
        <v>36284</v>
      </c>
      <c r="E4496" t="s">
        <v>92</v>
      </c>
      <c r="F4496">
        <v>100</v>
      </c>
      <c r="G4496" t="s">
        <v>93</v>
      </c>
      <c r="H4496">
        <v>-130.6</v>
      </c>
      <c r="I4496">
        <v>88</v>
      </c>
      <c r="J4496">
        <v>22.12</v>
      </c>
      <c r="K4496">
        <v>97</v>
      </c>
      <c r="L4496">
        <v>-119.46</v>
      </c>
      <c r="M4496">
        <v>81</v>
      </c>
      <c r="N4496">
        <v>-21</v>
      </c>
      <c r="O4496">
        <v>84</v>
      </c>
      <c r="P4496">
        <v>-6.53</v>
      </c>
      <c r="Q4496">
        <v>94</v>
      </c>
      <c r="R4496">
        <v>-6.2</v>
      </c>
      <c r="S4496">
        <v>81</v>
      </c>
      <c r="T4496">
        <v>-0.75</v>
      </c>
      <c r="U4496">
        <v>85</v>
      </c>
      <c r="V4496">
        <v>1.22</v>
      </c>
      <c r="W4496">
        <v>72</v>
      </c>
      <c r="X4496" t="s">
        <v>94</v>
      </c>
      <c r="Y4496" t="s">
        <v>95</v>
      </c>
      <c r="Z4496" t="s">
        <v>96</v>
      </c>
      <c r="AA4496" t="s">
        <v>985</v>
      </c>
      <c r="AB4496" t="s">
        <v>986</v>
      </c>
      <c r="AC4496">
        <v>107</v>
      </c>
      <c r="AD4496">
        <v>90</v>
      </c>
      <c r="AE4496">
        <v>97</v>
      </c>
      <c r="AF4496">
        <v>-85.83</v>
      </c>
      <c r="AG4496">
        <v>10.199999999999999</v>
      </c>
      <c r="AH4496">
        <v>-1.1599999999999999</v>
      </c>
      <c r="AI4496">
        <v>0.24</v>
      </c>
      <c r="AJ4496">
        <v>0.03</v>
      </c>
      <c r="AK4496">
        <v>81</v>
      </c>
      <c r="AL4496">
        <v>113</v>
      </c>
      <c r="AM4496">
        <v>90</v>
      </c>
      <c r="AN4496">
        <v>7.04</v>
      </c>
      <c r="AO4496">
        <v>-2.48</v>
      </c>
      <c r="AP4496">
        <v>142</v>
      </c>
      <c r="AQ4496">
        <v>3</v>
      </c>
      <c r="AR4496">
        <v>11.54</v>
      </c>
      <c r="AS4496">
        <v>70</v>
      </c>
      <c r="AT4496">
        <v>4.58</v>
      </c>
      <c r="AU4496">
        <v>87</v>
      </c>
      <c r="AV4496">
        <v>-0.39</v>
      </c>
      <c r="AW4496">
        <v>92</v>
      </c>
      <c r="AX4496">
        <v>-0.05</v>
      </c>
      <c r="AY4496">
        <v>84</v>
      </c>
      <c r="AZ4496">
        <v>5.7</v>
      </c>
      <c r="BA4496">
        <v>65</v>
      </c>
      <c r="BB4496">
        <v>4.5</v>
      </c>
      <c r="BC4496">
        <v>69</v>
      </c>
      <c r="BD4496">
        <v>0.04</v>
      </c>
      <c r="BE4496">
        <v>0.04</v>
      </c>
      <c r="BF4496">
        <v>0</v>
      </c>
      <c r="BG4496">
        <v>91</v>
      </c>
      <c r="BH4496">
        <v>0.09</v>
      </c>
      <c r="BI4496">
        <v>6.49</v>
      </c>
      <c r="BJ4496">
        <v>26</v>
      </c>
      <c r="BK4496">
        <v>19</v>
      </c>
      <c r="BL4496">
        <v>-7.0000000000000007E-2</v>
      </c>
      <c r="BM4496">
        <v>1.24</v>
      </c>
      <c r="BN4496">
        <v>0.6</v>
      </c>
      <c r="BO4496">
        <v>-0.42</v>
      </c>
      <c r="BP4496">
        <v>-0.24</v>
      </c>
      <c r="BQ4496">
        <v>-0.21</v>
      </c>
      <c r="BR4496">
        <v>0.65</v>
      </c>
      <c r="BS4496">
        <v>-1.34</v>
      </c>
      <c r="BT4496">
        <v>0.1</v>
      </c>
      <c r="BU4496">
        <v>0.23</v>
      </c>
      <c r="BV4496">
        <v>0.43</v>
      </c>
      <c r="BW4496">
        <v>-0.16</v>
      </c>
      <c r="BX4496">
        <v>-0.31</v>
      </c>
      <c r="BY4496">
        <v>0.55000000000000004</v>
      </c>
      <c r="BZ4496">
        <v>1.42</v>
      </c>
      <c r="CA4496">
        <v>-0.62</v>
      </c>
      <c r="CB4496">
        <v>-0.06</v>
      </c>
      <c r="CC4496">
        <v>-0.7</v>
      </c>
      <c r="CD4496">
        <v>0.72</v>
      </c>
      <c r="CE4496">
        <v>-0.65</v>
      </c>
      <c r="CF4496">
        <v>-0.21</v>
      </c>
      <c r="CG4496">
        <v>0</v>
      </c>
      <c r="CH4496">
        <v>0.9</v>
      </c>
      <c r="CI4496">
        <v>0</v>
      </c>
      <c r="CJ4496">
        <v>-2</v>
      </c>
      <c r="CK4496">
        <v>95</v>
      </c>
      <c r="CL4496">
        <v>-0.61</v>
      </c>
      <c r="CM4496">
        <v>94</v>
      </c>
      <c r="CN4496">
        <v>-0.24</v>
      </c>
      <c r="CO4496">
        <v>93</v>
      </c>
      <c r="CP4496">
        <v>-1.9</v>
      </c>
      <c r="CQ4496">
        <v>92</v>
      </c>
      <c r="CR4496">
        <v>0</v>
      </c>
      <c r="CS4496">
        <v>0</v>
      </c>
      <c r="CT4496">
        <v>14.8</v>
      </c>
      <c r="CU4496">
        <v>85</v>
      </c>
      <c r="CV4496">
        <v>0.1</v>
      </c>
      <c r="CW4496">
        <v>45</v>
      </c>
      <c r="CX4496" t="s">
        <v>105</v>
      </c>
    </row>
    <row r="4497" spans="1:102" x14ac:dyDescent="0.3">
      <c r="A4497" t="str">
        <f>HYPERLINK("https://webapp.icbf.com/v2/app/bull-search/view/77858125","EDI")</f>
        <v>EDI</v>
      </c>
      <c r="B4497" t="s">
        <v>4906</v>
      </c>
      <c r="C4497" t="s">
        <v>4907</v>
      </c>
      <c r="D4497" s="1">
        <v>33782</v>
      </c>
      <c r="E4497" t="s">
        <v>92</v>
      </c>
      <c r="F4497">
        <v>100</v>
      </c>
      <c r="G4497" t="s">
        <v>93</v>
      </c>
      <c r="H4497">
        <v>-130.66</v>
      </c>
      <c r="I4497">
        <v>71</v>
      </c>
      <c r="J4497">
        <v>-35.450000000000003</v>
      </c>
      <c r="K4497">
        <v>90</v>
      </c>
      <c r="L4497">
        <v>-56.8</v>
      </c>
      <c r="M4497">
        <v>61</v>
      </c>
      <c r="N4497">
        <v>-20.52</v>
      </c>
      <c r="O4497">
        <v>59</v>
      </c>
      <c r="P4497">
        <v>-1.71</v>
      </c>
      <c r="Q4497">
        <v>73</v>
      </c>
      <c r="R4497">
        <v>-19.96</v>
      </c>
      <c r="S4497">
        <v>64</v>
      </c>
      <c r="T4497">
        <v>4.95</v>
      </c>
      <c r="U4497">
        <v>71</v>
      </c>
      <c r="V4497">
        <v>-1.17</v>
      </c>
      <c r="W4497">
        <v>25</v>
      </c>
      <c r="X4497" t="s">
        <v>94</v>
      </c>
      <c r="Y4497" t="s">
        <v>95</v>
      </c>
      <c r="Z4497" t="s">
        <v>96</v>
      </c>
      <c r="AA4497" t="s">
        <v>666</v>
      </c>
      <c r="AB4497" t="s">
        <v>4908</v>
      </c>
      <c r="AC4497">
        <v>54</v>
      </c>
      <c r="AD4497">
        <v>55</v>
      </c>
      <c r="AE4497">
        <v>90</v>
      </c>
      <c r="AF4497">
        <v>-59.29</v>
      </c>
      <c r="AG4497">
        <v>-1.66</v>
      </c>
      <c r="AH4497">
        <v>-6.35</v>
      </c>
      <c r="AI4497">
        <v>0.01</v>
      </c>
      <c r="AJ4497">
        <v>-7.0000000000000007E-2</v>
      </c>
      <c r="AK4497">
        <v>61</v>
      </c>
      <c r="AL4497">
        <v>81</v>
      </c>
      <c r="AM4497">
        <v>70</v>
      </c>
      <c r="AN4497">
        <v>3.87</v>
      </c>
      <c r="AO4497">
        <v>-0.65</v>
      </c>
      <c r="AP4497">
        <v>15</v>
      </c>
      <c r="AQ4497">
        <v>4</v>
      </c>
      <c r="AR4497">
        <v>10.58</v>
      </c>
      <c r="AS4497">
        <v>30</v>
      </c>
      <c r="AT4497">
        <v>4.8600000000000003</v>
      </c>
      <c r="AU4497">
        <v>52</v>
      </c>
      <c r="AV4497">
        <v>-0.76</v>
      </c>
      <c r="AW4497">
        <v>73</v>
      </c>
      <c r="AX4497">
        <v>-0.44</v>
      </c>
      <c r="AY4497">
        <v>71</v>
      </c>
      <c r="AZ4497">
        <v>6.52</v>
      </c>
      <c r="BA4497">
        <v>28</v>
      </c>
      <c r="BB4497">
        <v>4.99</v>
      </c>
      <c r="BC4497">
        <v>41</v>
      </c>
      <c r="BD4497">
        <v>0.03</v>
      </c>
      <c r="BE4497">
        <v>0.11</v>
      </c>
      <c r="BF4497">
        <v>0.2</v>
      </c>
      <c r="BG4497">
        <v>83</v>
      </c>
      <c r="BH4497">
        <v>0.09</v>
      </c>
      <c r="BI4497">
        <v>14.2</v>
      </c>
      <c r="BJ4497">
        <v>6</v>
      </c>
      <c r="BK4497">
        <v>6</v>
      </c>
      <c r="BL4497">
        <v>0.27</v>
      </c>
      <c r="BM4497">
        <v>-0.69</v>
      </c>
      <c r="BN4497">
        <v>0.11</v>
      </c>
      <c r="BO4497">
        <v>0.48</v>
      </c>
      <c r="BP4497">
        <v>1.92</v>
      </c>
      <c r="BQ4497">
        <v>-1.1599999999999999</v>
      </c>
      <c r="BR4497">
        <v>1.31</v>
      </c>
      <c r="BS4497">
        <v>-0.91</v>
      </c>
      <c r="BT4497">
        <v>-1.05</v>
      </c>
      <c r="BU4497">
        <v>-0.8</v>
      </c>
      <c r="BV4497">
        <v>-0.66</v>
      </c>
      <c r="BW4497">
        <v>-0.88</v>
      </c>
      <c r="BX4497">
        <v>-1.24</v>
      </c>
      <c r="BY4497">
        <v>-0.49</v>
      </c>
      <c r="BZ4497">
        <v>1.63</v>
      </c>
      <c r="CA4497">
        <v>-0.69</v>
      </c>
      <c r="CB4497">
        <v>-0.46</v>
      </c>
      <c r="CC4497">
        <v>-0.79</v>
      </c>
      <c r="CD4497">
        <v>-0.33</v>
      </c>
      <c r="CE4497">
        <v>0.75</v>
      </c>
      <c r="CF4497">
        <v>0.15</v>
      </c>
      <c r="CG4497">
        <v>0</v>
      </c>
      <c r="CH4497">
        <v>-1.65</v>
      </c>
      <c r="CI4497">
        <v>0</v>
      </c>
      <c r="CJ4497">
        <v>-4.0999999999999996</v>
      </c>
      <c r="CK4497">
        <v>75</v>
      </c>
      <c r="CL4497">
        <v>0.1</v>
      </c>
      <c r="CM4497">
        <v>70</v>
      </c>
      <c r="CN4497">
        <v>-0.35</v>
      </c>
      <c r="CO4497">
        <v>65</v>
      </c>
      <c r="CP4497">
        <v>-7.9</v>
      </c>
      <c r="CQ4497">
        <v>76</v>
      </c>
      <c r="CR4497">
        <v>0</v>
      </c>
      <c r="CS4497">
        <v>0</v>
      </c>
      <c r="CT4497">
        <v>7.1</v>
      </c>
      <c r="CU4497">
        <v>71</v>
      </c>
      <c r="CV4497">
        <v>-0.18</v>
      </c>
      <c r="CW4497">
        <v>21</v>
      </c>
      <c r="CX4497" t="s">
        <v>166</v>
      </c>
    </row>
    <row r="4498" spans="1:102" x14ac:dyDescent="0.3">
      <c r="A4498" t="str">
        <f>HYPERLINK("https://webapp.icbf.com/v2/app/bull-search/view/77853223","TTL")</f>
        <v>TTL</v>
      </c>
      <c r="B4498" t="s">
        <v>3806</v>
      </c>
      <c r="C4498" t="s">
        <v>3807</v>
      </c>
      <c r="D4498" s="1">
        <v>35653</v>
      </c>
      <c r="E4498" t="s">
        <v>92</v>
      </c>
      <c r="F4498">
        <v>100</v>
      </c>
      <c r="G4498" t="s">
        <v>93</v>
      </c>
      <c r="H4498">
        <v>-130.81</v>
      </c>
      <c r="I4498">
        <v>72</v>
      </c>
      <c r="J4498">
        <v>22.61</v>
      </c>
      <c r="K4498">
        <v>92</v>
      </c>
      <c r="L4498">
        <v>-155.09</v>
      </c>
      <c r="M4498">
        <v>57</v>
      </c>
      <c r="N4498">
        <v>1.18</v>
      </c>
      <c r="O4498">
        <v>65</v>
      </c>
      <c r="P4498">
        <v>-10.28</v>
      </c>
      <c r="Q4498">
        <v>79</v>
      </c>
      <c r="R4498">
        <v>3.23</v>
      </c>
      <c r="S4498">
        <v>63</v>
      </c>
      <c r="T4498">
        <v>3.98</v>
      </c>
      <c r="U4498">
        <v>69</v>
      </c>
      <c r="V4498">
        <v>3.56</v>
      </c>
      <c r="W4498">
        <v>43</v>
      </c>
      <c r="X4498" t="s">
        <v>94</v>
      </c>
      <c r="Y4498" t="s">
        <v>95</v>
      </c>
      <c r="Z4498" t="s">
        <v>96</v>
      </c>
      <c r="AA4498" t="s">
        <v>751</v>
      </c>
      <c r="AB4498" t="s">
        <v>3808</v>
      </c>
      <c r="AC4498">
        <v>47</v>
      </c>
      <c r="AD4498">
        <v>39</v>
      </c>
      <c r="AE4498">
        <v>92</v>
      </c>
      <c r="AF4498">
        <v>219.61</v>
      </c>
      <c r="AG4498">
        <v>1.6</v>
      </c>
      <c r="AH4498">
        <v>6.64</v>
      </c>
      <c r="AI4498">
        <v>-0.11</v>
      </c>
      <c r="AJ4498">
        <v>-0.01</v>
      </c>
      <c r="AK4498">
        <v>57</v>
      </c>
      <c r="AL4498">
        <v>38</v>
      </c>
      <c r="AM4498">
        <v>33</v>
      </c>
      <c r="AN4498">
        <v>8.31</v>
      </c>
      <c r="AO4498">
        <v>-4.0599999999999996</v>
      </c>
      <c r="AP4498">
        <v>12</v>
      </c>
      <c r="AQ4498">
        <v>0</v>
      </c>
      <c r="AR4498">
        <v>8.4499999999999993</v>
      </c>
      <c r="AS4498">
        <v>52</v>
      </c>
      <c r="AT4498">
        <v>3.94</v>
      </c>
      <c r="AU4498">
        <v>57</v>
      </c>
      <c r="AV4498">
        <v>-1.3</v>
      </c>
      <c r="AW4498">
        <v>76</v>
      </c>
      <c r="AX4498">
        <v>0</v>
      </c>
      <c r="AY4498">
        <v>68</v>
      </c>
      <c r="AZ4498">
        <v>6.45</v>
      </c>
      <c r="BA4498">
        <v>47</v>
      </c>
      <c r="BB4498">
        <v>4.79</v>
      </c>
      <c r="BC4498">
        <v>52</v>
      </c>
      <c r="BD4498">
        <v>0.01</v>
      </c>
      <c r="BE4498">
        <v>0.01</v>
      </c>
      <c r="BF4498">
        <v>-0.11</v>
      </c>
      <c r="BG4498">
        <v>75</v>
      </c>
      <c r="BH4498">
        <v>-0.03</v>
      </c>
      <c r="BI4498">
        <v>-14.94</v>
      </c>
      <c r="BJ4498">
        <v>13</v>
      </c>
      <c r="BK4498">
        <v>12</v>
      </c>
      <c r="BL4498">
        <v>1.06</v>
      </c>
      <c r="BM4498">
        <v>-0.66</v>
      </c>
      <c r="BN4498">
        <v>0.9</v>
      </c>
      <c r="BO4498">
        <v>0.93</v>
      </c>
      <c r="BP4498">
        <v>0.7</v>
      </c>
      <c r="BQ4498">
        <v>-0.93</v>
      </c>
      <c r="BR4498">
        <v>0.51</v>
      </c>
      <c r="BS4498">
        <v>-0.19</v>
      </c>
      <c r="BT4498">
        <v>-0.42</v>
      </c>
      <c r="BU4498">
        <v>-0.71</v>
      </c>
      <c r="BV4498">
        <v>-0.18</v>
      </c>
      <c r="BW4498">
        <v>0.36</v>
      </c>
      <c r="BX4498">
        <v>0.33</v>
      </c>
      <c r="BY4498">
        <v>-0.08</v>
      </c>
      <c r="BZ4498">
        <v>-0.23</v>
      </c>
      <c r="CA4498">
        <v>-0.33</v>
      </c>
      <c r="CB4498">
        <v>-0.55000000000000004</v>
      </c>
      <c r="CC4498">
        <v>0.33</v>
      </c>
      <c r="CD4498">
        <v>-1.45</v>
      </c>
      <c r="CE4498">
        <v>0.93</v>
      </c>
      <c r="CF4498">
        <v>0.37</v>
      </c>
      <c r="CG4498">
        <v>0</v>
      </c>
      <c r="CH4498">
        <v>-0.46</v>
      </c>
      <c r="CI4498">
        <v>0</v>
      </c>
      <c r="CJ4498">
        <v>-1.6</v>
      </c>
      <c r="CK4498">
        <v>81</v>
      </c>
      <c r="CL4498">
        <v>-1.0900000000000001</v>
      </c>
      <c r="CM4498">
        <v>77</v>
      </c>
      <c r="CN4498">
        <v>-0.28000000000000003</v>
      </c>
      <c r="CO4498">
        <v>74</v>
      </c>
      <c r="CP4498">
        <v>-0.7</v>
      </c>
      <c r="CQ4498">
        <v>82</v>
      </c>
      <c r="CR4498">
        <v>0</v>
      </c>
      <c r="CS4498">
        <v>0</v>
      </c>
      <c r="CT4498">
        <v>8.4</v>
      </c>
      <c r="CU4498">
        <v>69</v>
      </c>
      <c r="CV4498">
        <v>0.34</v>
      </c>
      <c r="CW4498">
        <v>23</v>
      </c>
      <c r="CX4498" t="s">
        <v>1506</v>
      </c>
    </row>
    <row r="4499" spans="1:102" x14ac:dyDescent="0.3">
      <c r="A4499" t="str">
        <f>HYPERLINK("https://webapp.icbf.com/v2/app/bull-search/view/77853514","STY")</f>
        <v>STY</v>
      </c>
      <c r="B4499" t="s">
        <v>90</v>
      </c>
      <c r="C4499" t="s">
        <v>91</v>
      </c>
      <c r="D4499" s="1">
        <v>35164</v>
      </c>
      <c r="E4499" t="s">
        <v>92</v>
      </c>
      <c r="F4499">
        <v>97</v>
      </c>
      <c r="G4499" t="s">
        <v>93</v>
      </c>
      <c r="H4499">
        <v>-130.82</v>
      </c>
      <c r="I4499">
        <v>76</v>
      </c>
      <c r="J4499">
        <v>-1.22</v>
      </c>
      <c r="K4499">
        <v>92</v>
      </c>
      <c r="L4499">
        <v>-86.87</v>
      </c>
      <c r="M4499">
        <v>72</v>
      </c>
      <c r="N4499">
        <v>-22.99</v>
      </c>
      <c r="O4499">
        <v>65</v>
      </c>
      <c r="P4499">
        <v>-9.86</v>
      </c>
      <c r="Q4499">
        <v>71</v>
      </c>
      <c r="R4499">
        <v>-10.95</v>
      </c>
      <c r="S4499">
        <v>71</v>
      </c>
      <c r="T4499">
        <v>11.24</v>
      </c>
      <c r="U4499">
        <v>59</v>
      </c>
      <c r="V4499">
        <v>-10.17</v>
      </c>
      <c r="W4499">
        <v>61</v>
      </c>
      <c r="X4499" t="s">
        <v>94</v>
      </c>
      <c r="Y4499" t="s">
        <v>95</v>
      </c>
      <c r="Z4499" t="s">
        <v>96</v>
      </c>
      <c r="AA4499" t="s">
        <v>97</v>
      </c>
      <c r="AB4499" t="s">
        <v>98</v>
      </c>
      <c r="AC4499">
        <v>20</v>
      </c>
      <c r="AD4499">
        <v>20</v>
      </c>
      <c r="AE4499">
        <v>92</v>
      </c>
      <c r="AF4499">
        <v>75.790000000000006</v>
      </c>
      <c r="AG4499">
        <v>2.44</v>
      </c>
      <c r="AH4499">
        <v>0.09</v>
      </c>
      <c r="AI4499">
        <v>-0.01</v>
      </c>
      <c r="AJ4499">
        <v>-0.04</v>
      </c>
      <c r="AK4499">
        <v>72</v>
      </c>
      <c r="AL4499">
        <v>19</v>
      </c>
      <c r="AM4499">
        <v>16</v>
      </c>
      <c r="AN4499">
        <v>4.54</v>
      </c>
      <c r="AO4499">
        <v>-2.39</v>
      </c>
      <c r="AP4499">
        <v>23</v>
      </c>
      <c r="AQ4499">
        <v>1</v>
      </c>
      <c r="AR4499">
        <v>10</v>
      </c>
      <c r="AS4499">
        <v>63</v>
      </c>
      <c r="AT4499">
        <v>5.29</v>
      </c>
      <c r="AU4499">
        <v>69</v>
      </c>
      <c r="AV4499">
        <v>-0.75</v>
      </c>
      <c r="AW4499">
        <v>70</v>
      </c>
      <c r="AX4499">
        <v>0.06</v>
      </c>
      <c r="AY4499">
        <v>64</v>
      </c>
      <c r="AZ4499">
        <v>5.55</v>
      </c>
      <c r="BA4499">
        <v>44</v>
      </c>
      <c r="BB4499">
        <v>4.88</v>
      </c>
      <c r="BC4499">
        <v>50</v>
      </c>
      <c r="BD4499">
        <v>0.04</v>
      </c>
      <c r="BE4499">
        <v>0.05</v>
      </c>
      <c r="BF4499">
        <v>0.09</v>
      </c>
      <c r="BG4499">
        <v>81</v>
      </c>
      <c r="BH4499">
        <v>-0.18</v>
      </c>
      <c r="BI4499">
        <v>11.99</v>
      </c>
      <c r="BJ4499">
        <v>0</v>
      </c>
      <c r="BK4499">
        <v>0</v>
      </c>
      <c r="BL4499">
        <v>-0.1</v>
      </c>
      <c r="BM4499">
        <v>-7.0000000000000007E-2</v>
      </c>
      <c r="BN4499">
        <v>0.21</v>
      </c>
      <c r="BO4499">
        <v>0.49</v>
      </c>
      <c r="BP4499">
        <v>1.99</v>
      </c>
      <c r="BQ4499">
        <v>-0.93</v>
      </c>
      <c r="BR4499">
        <v>-0.72</v>
      </c>
      <c r="BS4499">
        <v>0.22</v>
      </c>
      <c r="BT4499">
        <v>0.57999999999999996</v>
      </c>
      <c r="BU4499">
        <v>-1.49</v>
      </c>
      <c r="BV4499">
        <v>0.04</v>
      </c>
      <c r="BW4499">
        <v>1.36</v>
      </c>
      <c r="BX4499">
        <v>-1.64</v>
      </c>
      <c r="BY4499">
        <v>0.15</v>
      </c>
      <c r="BZ4499">
        <v>0.17</v>
      </c>
      <c r="CA4499">
        <v>0.09</v>
      </c>
      <c r="CB4499">
        <v>0.1</v>
      </c>
      <c r="CC4499">
        <v>0.55000000000000004</v>
      </c>
      <c r="CD4499">
        <v>-0.22</v>
      </c>
      <c r="CE4499">
        <v>0.48</v>
      </c>
      <c r="CF4499">
        <v>0.14000000000000001</v>
      </c>
      <c r="CG4499">
        <v>0</v>
      </c>
      <c r="CH4499">
        <v>0.1</v>
      </c>
      <c r="CI4499">
        <v>0</v>
      </c>
      <c r="CJ4499">
        <v>-4.7</v>
      </c>
      <c r="CK4499">
        <v>72</v>
      </c>
      <c r="CL4499">
        <v>-0.56000000000000005</v>
      </c>
      <c r="CM4499">
        <v>69</v>
      </c>
      <c r="CN4499">
        <v>-0.28000000000000003</v>
      </c>
      <c r="CO4499">
        <v>66</v>
      </c>
      <c r="CP4499">
        <v>-5.8</v>
      </c>
      <c r="CQ4499">
        <v>72</v>
      </c>
      <c r="CR4499">
        <v>0</v>
      </c>
      <c r="CS4499">
        <v>0</v>
      </c>
      <c r="CT4499">
        <v>-1.4</v>
      </c>
      <c r="CU4499">
        <v>59</v>
      </c>
      <c r="CV4499">
        <v>-0.01</v>
      </c>
      <c r="CW4499">
        <v>40</v>
      </c>
      <c r="CX4499" t="s">
        <v>99</v>
      </c>
    </row>
    <row r="4500" spans="1:102" x14ac:dyDescent="0.3">
      <c r="A4500" t="str">
        <f>HYPERLINK("https://webapp.icbf.com/v2/app/bull-search/view/444467627","FDO")</f>
        <v>FDO</v>
      </c>
      <c r="B4500" t="s">
        <v>1275</v>
      </c>
      <c r="C4500" t="s">
        <v>1276</v>
      </c>
      <c r="D4500" s="1">
        <v>37116</v>
      </c>
      <c r="E4500" t="s">
        <v>92</v>
      </c>
      <c r="F4500">
        <v>100</v>
      </c>
      <c r="G4500" t="s">
        <v>93</v>
      </c>
      <c r="H4500">
        <v>-131.4</v>
      </c>
      <c r="I4500">
        <v>90</v>
      </c>
      <c r="J4500">
        <v>-41.16</v>
      </c>
      <c r="K4500">
        <v>96</v>
      </c>
      <c r="L4500">
        <v>-97.45</v>
      </c>
      <c r="M4500">
        <v>91</v>
      </c>
      <c r="N4500">
        <v>19.43</v>
      </c>
      <c r="O4500">
        <v>80</v>
      </c>
      <c r="P4500">
        <v>-8.43</v>
      </c>
      <c r="Q4500">
        <v>87</v>
      </c>
      <c r="R4500">
        <v>5.34</v>
      </c>
      <c r="S4500">
        <v>84</v>
      </c>
      <c r="T4500">
        <v>-2.6</v>
      </c>
      <c r="U4500">
        <v>84</v>
      </c>
      <c r="V4500">
        <v>-6.53</v>
      </c>
      <c r="W4500">
        <v>75</v>
      </c>
      <c r="X4500" t="s">
        <v>276</v>
      </c>
      <c r="Y4500" t="s">
        <v>1208</v>
      </c>
      <c r="Z4500" t="s">
        <v>96</v>
      </c>
      <c r="AA4500" t="s">
        <v>289</v>
      </c>
      <c r="AB4500" t="s">
        <v>1277</v>
      </c>
      <c r="AC4500">
        <v>70</v>
      </c>
      <c r="AD4500">
        <v>31</v>
      </c>
      <c r="AE4500">
        <v>96</v>
      </c>
      <c r="AF4500">
        <v>189.55</v>
      </c>
      <c r="AG4500">
        <v>-3.36</v>
      </c>
      <c r="AH4500">
        <v>-2.91</v>
      </c>
      <c r="AI4500">
        <v>-0.18</v>
      </c>
      <c r="AJ4500">
        <v>-0.16</v>
      </c>
      <c r="AK4500">
        <v>91</v>
      </c>
      <c r="AL4500">
        <v>58</v>
      </c>
      <c r="AM4500">
        <v>28</v>
      </c>
      <c r="AN4500">
        <v>3.87</v>
      </c>
      <c r="AO4500">
        <v>-3.92</v>
      </c>
      <c r="AP4500">
        <v>125</v>
      </c>
      <c r="AQ4500">
        <v>0</v>
      </c>
      <c r="AR4500">
        <v>8.3699999999999992</v>
      </c>
      <c r="AS4500">
        <v>79</v>
      </c>
      <c r="AT4500">
        <v>3.81</v>
      </c>
      <c r="AU4500">
        <v>93</v>
      </c>
      <c r="AV4500">
        <v>-3.89</v>
      </c>
      <c r="AW4500">
        <v>80</v>
      </c>
      <c r="AX4500">
        <v>-0.12</v>
      </c>
      <c r="AY4500">
        <v>77</v>
      </c>
      <c r="AZ4500">
        <v>6.82</v>
      </c>
      <c r="BA4500">
        <v>66</v>
      </c>
      <c r="BB4500">
        <v>5.5</v>
      </c>
      <c r="BC4500">
        <v>64</v>
      </c>
      <c r="BD4500">
        <v>0.02</v>
      </c>
      <c r="BE4500">
        <v>-0.04</v>
      </c>
      <c r="BF4500">
        <v>-0.08</v>
      </c>
      <c r="BG4500">
        <v>94</v>
      </c>
      <c r="BH4500">
        <v>-0.22</v>
      </c>
      <c r="BI4500">
        <v>-4.38</v>
      </c>
      <c r="BJ4500">
        <v>28</v>
      </c>
      <c r="BK4500">
        <v>16</v>
      </c>
      <c r="BL4500">
        <v>1</v>
      </c>
      <c r="BM4500">
        <v>-0.78</v>
      </c>
      <c r="BN4500">
        <v>-0.01</v>
      </c>
      <c r="BO4500">
        <v>0.61</v>
      </c>
      <c r="BP4500">
        <v>-0.84</v>
      </c>
      <c r="BQ4500">
        <v>1.23</v>
      </c>
      <c r="BR4500">
        <v>-1.81</v>
      </c>
      <c r="BS4500">
        <v>0.83</v>
      </c>
      <c r="BT4500">
        <v>2.2599999999999998</v>
      </c>
      <c r="BU4500">
        <v>2.27</v>
      </c>
      <c r="BV4500">
        <v>1.81</v>
      </c>
      <c r="BW4500">
        <v>2.86</v>
      </c>
      <c r="BX4500">
        <v>2.46</v>
      </c>
      <c r="BY4500">
        <v>3.27</v>
      </c>
      <c r="BZ4500">
        <v>-0.16</v>
      </c>
      <c r="CA4500">
        <v>2.02</v>
      </c>
      <c r="CB4500">
        <v>2.0699999999999998</v>
      </c>
      <c r="CC4500">
        <v>0.73</v>
      </c>
      <c r="CD4500">
        <v>-0.77</v>
      </c>
      <c r="CE4500">
        <v>0.59</v>
      </c>
      <c r="CF4500">
        <v>0.6</v>
      </c>
      <c r="CG4500">
        <v>0</v>
      </c>
      <c r="CH4500">
        <v>3.32</v>
      </c>
      <c r="CI4500">
        <v>0</v>
      </c>
      <c r="CJ4500">
        <v>-2.6</v>
      </c>
      <c r="CK4500">
        <v>88</v>
      </c>
      <c r="CL4500">
        <v>-1.05</v>
      </c>
      <c r="CM4500">
        <v>86</v>
      </c>
      <c r="CN4500">
        <v>-0.45</v>
      </c>
      <c r="CO4500">
        <v>84</v>
      </c>
      <c r="CP4500">
        <v>4.8</v>
      </c>
      <c r="CQ4500">
        <v>87</v>
      </c>
      <c r="CR4500">
        <v>0</v>
      </c>
      <c r="CS4500">
        <v>0</v>
      </c>
      <c r="CT4500">
        <v>17.3</v>
      </c>
      <c r="CU4500">
        <v>84</v>
      </c>
      <c r="CV4500">
        <v>0.19</v>
      </c>
      <c r="CW4500">
        <v>43</v>
      </c>
      <c r="CX4500" t="s">
        <v>1278</v>
      </c>
    </row>
    <row r="4501" spans="1:102" x14ac:dyDescent="0.3">
      <c r="A4501" t="str">
        <f>HYPERLINK("https://webapp.icbf.com/v2/app/bull-search/view/77859271","ALG")</f>
        <v>ALG</v>
      </c>
      <c r="B4501" t="s">
        <v>9861</v>
      </c>
      <c r="C4501" t="s">
        <v>9862</v>
      </c>
      <c r="D4501" s="1">
        <v>34958</v>
      </c>
      <c r="E4501" t="s">
        <v>92</v>
      </c>
      <c r="F4501">
        <v>100</v>
      </c>
      <c r="G4501" t="s">
        <v>93</v>
      </c>
      <c r="H4501">
        <v>-131.54</v>
      </c>
      <c r="I4501">
        <v>68</v>
      </c>
      <c r="J4501">
        <v>14.61</v>
      </c>
      <c r="K4501">
        <v>92</v>
      </c>
      <c r="L4501">
        <v>-122.81</v>
      </c>
      <c r="M4501">
        <v>56</v>
      </c>
      <c r="N4501">
        <v>-13.45</v>
      </c>
      <c r="O4501">
        <v>55</v>
      </c>
      <c r="P4501">
        <v>-0.65</v>
      </c>
      <c r="Q4501">
        <v>69</v>
      </c>
      <c r="R4501">
        <v>-12.84</v>
      </c>
      <c r="S4501">
        <v>62</v>
      </c>
      <c r="T4501">
        <v>7.98</v>
      </c>
      <c r="U4501">
        <v>60</v>
      </c>
      <c r="V4501">
        <v>-4.38</v>
      </c>
      <c r="W4501">
        <v>29</v>
      </c>
      <c r="X4501" t="s">
        <v>94</v>
      </c>
      <c r="Y4501" t="s">
        <v>95</v>
      </c>
      <c r="Z4501" t="s">
        <v>96</v>
      </c>
      <c r="AA4501" t="s">
        <v>105</v>
      </c>
      <c r="AB4501" t="s">
        <v>9863</v>
      </c>
      <c r="AC4501">
        <v>53</v>
      </c>
      <c r="AD4501">
        <v>48</v>
      </c>
      <c r="AE4501">
        <v>92</v>
      </c>
      <c r="AF4501">
        <v>195.56</v>
      </c>
      <c r="AG4501">
        <v>3.98</v>
      </c>
      <c r="AH4501">
        <v>4.07</v>
      </c>
      <c r="AI4501">
        <v>-0.06</v>
      </c>
      <c r="AJ4501">
        <v>-0.04</v>
      </c>
      <c r="AK4501">
        <v>56</v>
      </c>
      <c r="AL4501">
        <v>47</v>
      </c>
      <c r="AM4501">
        <v>41</v>
      </c>
      <c r="AN4501">
        <v>6.25</v>
      </c>
      <c r="AO4501">
        <v>-3.55</v>
      </c>
      <c r="AP4501">
        <v>1</v>
      </c>
      <c r="AQ4501">
        <v>0</v>
      </c>
      <c r="AR4501">
        <v>8.86</v>
      </c>
      <c r="AS4501">
        <v>33</v>
      </c>
      <c r="AT4501">
        <v>4</v>
      </c>
      <c r="AU4501">
        <v>50</v>
      </c>
      <c r="AV4501">
        <v>0.82</v>
      </c>
      <c r="AW4501">
        <v>64</v>
      </c>
      <c r="AX4501">
        <v>-0.31</v>
      </c>
      <c r="AY4501">
        <v>64</v>
      </c>
      <c r="AZ4501">
        <v>5.5</v>
      </c>
      <c r="BA4501">
        <v>35</v>
      </c>
      <c r="BB4501">
        <v>4.37</v>
      </c>
      <c r="BC4501">
        <v>47</v>
      </c>
      <c r="BD4501">
        <v>0.08</v>
      </c>
      <c r="BE4501">
        <v>0.08</v>
      </c>
      <c r="BF4501">
        <v>0.01</v>
      </c>
      <c r="BG4501">
        <v>75</v>
      </c>
      <c r="BH4501">
        <v>0.01</v>
      </c>
      <c r="BI4501">
        <v>15.27</v>
      </c>
      <c r="BJ4501">
        <v>6</v>
      </c>
      <c r="BK4501">
        <v>5</v>
      </c>
      <c r="BL4501">
        <v>0.06</v>
      </c>
      <c r="BM4501">
        <v>-0.15</v>
      </c>
      <c r="BN4501">
        <v>0.37</v>
      </c>
      <c r="BO4501">
        <v>0.25</v>
      </c>
      <c r="BP4501">
        <v>-0.15</v>
      </c>
      <c r="BQ4501">
        <v>-0.81</v>
      </c>
      <c r="BR4501">
        <v>-0.48</v>
      </c>
      <c r="BS4501">
        <v>-0.74</v>
      </c>
      <c r="BT4501">
        <v>0.95</v>
      </c>
      <c r="BU4501">
        <v>-0.86</v>
      </c>
      <c r="BV4501">
        <v>-0.31</v>
      </c>
      <c r="BW4501">
        <v>0.11</v>
      </c>
      <c r="BX4501">
        <v>-0.95</v>
      </c>
      <c r="BY4501">
        <v>-0.85</v>
      </c>
      <c r="BZ4501">
        <v>3.13</v>
      </c>
      <c r="CA4501">
        <v>-0.74</v>
      </c>
      <c r="CB4501">
        <v>-0.38</v>
      </c>
      <c r="CC4501">
        <v>-1.08</v>
      </c>
      <c r="CD4501">
        <v>-0.36</v>
      </c>
      <c r="CE4501">
        <v>-0.01</v>
      </c>
      <c r="CF4501">
        <v>-0.66</v>
      </c>
      <c r="CG4501">
        <v>0</v>
      </c>
      <c r="CH4501">
        <v>0.12</v>
      </c>
      <c r="CI4501">
        <v>0</v>
      </c>
      <c r="CJ4501">
        <v>2.4</v>
      </c>
      <c r="CK4501">
        <v>70</v>
      </c>
      <c r="CL4501">
        <v>-0.66</v>
      </c>
      <c r="CM4501">
        <v>66</v>
      </c>
      <c r="CN4501">
        <v>-0.25</v>
      </c>
      <c r="CO4501">
        <v>62</v>
      </c>
      <c r="CP4501">
        <v>-0.5</v>
      </c>
      <c r="CQ4501">
        <v>76</v>
      </c>
      <c r="CR4501">
        <v>0</v>
      </c>
      <c r="CS4501">
        <v>0</v>
      </c>
      <c r="CT4501">
        <v>3</v>
      </c>
      <c r="CU4501">
        <v>60</v>
      </c>
      <c r="CV4501">
        <v>0.23</v>
      </c>
      <c r="CW4501">
        <v>19</v>
      </c>
      <c r="CX4501" t="s">
        <v>724</v>
      </c>
    </row>
    <row r="4502" spans="1:102" x14ac:dyDescent="0.3">
      <c r="A4502" t="str">
        <f>HYPERLINK("https://webapp.icbf.com/v2/app/bull-search/view/77853697","SBM")</f>
        <v>SBM</v>
      </c>
      <c r="B4502" t="s">
        <v>3996</v>
      </c>
      <c r="C4502" t="s">
        <v>485</v>
      </c>
      <c r="D4502" s="1">
        <v>31548</v>
      </c>
      <c r="E4502" t="s">
        <v>92</v>
      </c>
      <c r="F4502">
        <v>100</v>
      </c>
      <c r="G4502" t="s">
        <v>93</v>
      </c>
      <c r="H4502">
        <v>-131.66999999999999</v>
      </c>
      <c r="I4502">
        <v>98</v>
      </c>
      <c r="J4502">
        <v>7.01</v>
      </c>
      <c r="K4502">
        <v>99</v>
      </c>
      <c r="L4502">
        <v>-126.02</v>
      </c>
      <c r="M4502">
        <v>97</v>
      </c>
      <c r="N4502">
        <v>-8.83</v>
      </c>
      <c r="O4502">
        <v>98</v>
      </c>
      <c r="P4502">
        <v>-0.01</v>
      </c>
      <c r="Q4502">
        <v>99</v>
      </c>
      <c r="R4502">
        <v>-13.42</v>
      </c>
      <c r="S4502">
        <v>97</v>
      </c>
      <c r="T4502">
        <v>2.21</v>
      </c>
      <c r="U4502">
        <v>98</v>
      </c>
      <c r="V4502">
        <v>7.39</v>
      </c>
      <c r="W4502">
        <v>96</v>
      </c>
      <c r="X4502" t="s">
        <v>110</v>
      </c>
      <c r="Y4502" t="s">
        <v>95</v>
      </c>
      <c r="Z4502" t="s">
        <v>96</v>
      </c>
      <c r="AA4502" t="s">
        <v>128</v>
      </c>
      <c r="AB4502" t="s">
        <v>2551</v>
      </c>
      <c r="AC4502">
        <v>1178</v>
      </c>
      <c r="AD4502">
        <v>548</v>
      </c>
      <c r="AE4502">
        <v>99</v>
      </c>
      <c r="AF4502">
        <v>286.55</v>
      </c>
      <c r="AG4502">
        <v>-0.88</v>
      </c>
      <c r="AH4502">
        <v>5.89</v>
      </c>
      <c r="AI4502">
        <v>-0.2</v>
      </c>
      <c r="AJ4502">
        <v>-0.06</v>
      </c>
      <c r="AK4502">
        <v>97</v>
      </c>
      <c r="AL4502">
        <v>1195</v>
      </c>
      <c r="AM4502">
        <v>520</v>
      </c>
      <c r="AN4502">
        <v>6.09</v>
      </c>
      <c r="AO4502">
        <v>-3.97</v>
      </c>
      <c r="AP4502">
        <v>71</v>
      </c>
      <c r="AQ4502">
        <v>0</v>
      </c>
      <c r="AR4502">
        <v>9.9</v>
      </c>
      <c r="AS4502">
        <v>96</v>
      </c>
      <c r="AT4502">
        <v>4.34</v>
      </c>
      <c r="AU4502">
        <v>99</v>
      </c>
      <c r="AV4502">
        <v>-0.88</v>
      </c>
      <c r="AW4502">
        <v>98</v>
      </c>
      <c r="AX4502">
        <v>-0.18</v>
      </c>
      <c r="AY4502">
        <v>99</v>
      </c>
      <c r="AZ4502">
        <v>6.07</v>
      </c>
      <c r="BA4502">
        <v>96</v>
      </c>
      <c r="BB4502">
        <v>4.53</v>
      </c>
      <c r="BC4502">
        <v>97</v>
      </c>
      <c r="BD4502">
        <v>0.04</v>
      </c>
      <c r="BE4502">
        <v>0.08</v>
      </c>
      <c r="BF4502">
        <v>0.09</v>
      </c>
      <c r="BG4502">
        <v>99</v>
      </c>
      <c r="BH4502">
        <v>0.24</v>
      </c>
      <c r="BI4502">
        <v>3.94</v>
      </c>
      <c r="BJ4502">
        <v>215</v>
      </c>
      <c r="BK4502">
        <v>114</v>
      </c>
      <c r="BL4502">
        <v>-0.09</v>
      </c>
      <c r="BM4502">
        <v>1.28</v>
      </c>
      <c r="BN4502">
        <v>0.67</v>
      </c>
      <c r="BO4502">
        <v>-0.1</v>
      </c>
      <c r="BP4502">
        <v>-1.53</v>
      </c>
      <c r="BQ4502">
        <v>0.41</v>
      </c>
      <c r="BR4502">
        <v>2.15</v>
      </c>
      <c r="BS4502">
        <v>-2.29</v>
      </c>
      <c r="BT4502">
        <v>-1.74</v>
      </c>
      <c r="BU4502">
        <v>0.96</v>
      </c>
      <c r="BV4502">
        <v>0.9</v>
      </c>
      <c r="BW4502">
        <v>-0.42</v>
      </c>
      <c r="BX4502">
        <v>-0.8</v>
      </c>
      <c r="BY4502">
        <v>0.92</v>
      </c>
      <c r="BZ4502">
        <v>-1.1100000000000001</v>
      </c>
      <c r="CA4502">
        <v>-0.11</v>
      </c>
      <c r="CB4502">
        <v>1.1200000000000001</v>
      </c>
      <c r="CC4502">
        <v>-2.5499999999999998</v>
      </c>
      <c r="CD4502">
        <v>0.8</v>
      </c>
      <c r="CE4502">
        <v>0.28000000000000003</v>
      </c>
      <c r="CF4502">
        <v>-0.11</v>
      </c>
      <c r="CG4502">
        <v>0</v>
      </c>
      <c r="CH4502">
        <v>0.94</v>
      </c>
      <c r="CI4502">
        <v>0</v>
      </c>
      <c r="CJ4502">
        <v>1.8</v>
      </c>
      <c r="CK4502">
        <v>99</v>
      </c>
      <c r="CL4502">
        <v>-0.51</v>
      </c>
      <c r="CM4502">
        <v>99</v>
      </c>
      <c r="CN4502">
        <v>-0.27</v>
      </c>
      <c r="CO4502">
        <v>99</v>
      </c>
      <c r="CP4502">
        <v>-2.6</v>
      </c>
      <c r="CQ4502">
        <v>99</v>
      </c>
      <c r="CR4502">
        <v>0</v>
      </c>
      <c r="CS4502">
        <v>0</v>
      </c>
      <c r="CT4502">
        <v>10.8</v>
      </c>
      <c r="CU4502">
        <v>98</v>
      </c>
      <c r="CV4502">
        <v>0.12</v>
      </c>
      <c r="CW4502">
        <v>50</v>
      </c>
      <c r="CX4502" t="s">
        <v>663</v>
      </c>
    </row>
    <row r="4503" spans="1:102" x14ac:dyDescent="0.3">
      <c r="A4503" t="str">
        <f>HYPERLINK("https://webapp.icbf.com/v2/app/bull-search/view/740350854","S1014")</f>
        <v>S1014</v>
      </c>
      <c r="B4503" t="s">
        <v>9018</v>
      </c>
      <c r="C4503" t="s">
        <v>9019</v>
      </c>
      <c r="D4503" s="1">
        <v>39220</v>
      </c>
      <c r="E4503" t="s">
        <v>92</v>
      </c>
      <c r="F4503">
        <v>100</v>
      </c>
      <c r="G4503" t="s">
        <v>109</v>
      </c>
      <c r="H4503">
        <v>-131.78</v>
      </c>
      <c r="I4503">
        <v>70</v>
      </c>
      <c r="J4503">
        <v>-38.56</v>
      </c>
      <c r="K4503">
        <v>82</v>
      </c>
      <c r="L4503">
        <v>-67.28</v>
      </c>
      <c r="M4503">
        <v>76</v>
      </c>
      <c r="N4503">
        <v>-21.47</v>
      </c>
      <c r="O4503">
        <v>59</v>
      </c>
      <c r="P4503">
        <v>-18.38</v>
      </c>
      <c r="Q4503">
        <v>51</v>
      </c>
      <c r="R4503">
        <v>-0.77</v>
      </c>
      <c r="S4503">
        <v>62</v>
      </c>
      <c r="T4503">
        <v>13.01</v>
      </c>
      <c r="U4503">
        <v>53</v>
      </c>
      <c r="V4503">
        <v>1.67</v>
      </c>
      <c r="W4503">
        <v>31</v>
      </c>
      <c r="X4503" t="s">
        <v>94</v>
      </c>
      <c r="Y4503" t="s">
        <v>303</v>
      </c>
      <c r="Z4503" t="s">
        <v>96</v>
      </c>
      <c r="AA4503" t="s">
        <v>8217</v>
      </c>
      <c r="AB4503" t="s">
        <v>9020</v>
      </c>
      <c r="AC4503">
        <v>0</v>
      </c>
      <c r="AD4503">
        <v>0</v>
      </c>
      <c r="AE4503">
        <v>82</v>
      </c>
      <c r="AF4503">
        <v>-38.21</v>
      </c>
      <c r="AG4503">
        <v>-7.3</v>
      </c>
      <c r="AH4503">
        <v>-4.5599999999999996</v>
      </c>
      <c r="AI4503">
        <v>-0.1</v>
      </c>
      <c r="AJ4503">
        <v>-0.05</v>
      </c>
      <c r="AK4503">
        <v>76</v>
      </c>
      <c r="AL4503">
        <v>0</v>
      </c>
      <c r="AM4503">
        <v>0</v>
      </c>
      <c r="AN4503">
        <v>1.76</v>
      </c>
      <c r="AO4503">
        <v>-3.63</v>
      </c>
      <c r="AP4503">
        <v>15</v>
      </c>
      <c r="AQ4503">
        <v>0</v>
      </c>
      <c r="AR4503">
        <v>11.39</v>
      </c>
      <c r="AS4503">
        <v>44</v>
      </c>
      <c r="AT4503">
        <v>5.37</v>
      </c>
      <c r="AU4503">
        <v>82</v>
      </c>
      <c r="AV4503">
        <v>-1.87</v>
      </c>
      <c r="AW4503">
        <v>63</v>
      </c>
      <c r="AX4503">
        <v>-0.46</v>
      </c>
      <c r="AY4503">
        <v>48</v>
      </c>
      <c r="AZ4503">
        <v>6.11</v>
      </c>
      <c r="BA4503">
        <v>31</v>
      </c>
      <c r="BB4503">
        <v>5.19</v>
      </c>
      <c r="BC4503">
        <v>26</v>
      </c>
      <c r="BD4503">
        <v>0.01</v>
      </c>
      <c r="BE4503">
        <v>-0.01</v>
      </c>
      <c r="BF4503">
        <v>0.02</v>
      </c>
      <c r="BG4503">
        <v>85</v>
      </c>
      <c r="BH4503">
        <v>-0.08</v>
      </c>
      <c r="BI4503">
        <v>-14.64</v>
      </c>
      <c r="BJ4503">
        <v>2</v>
      </c>
      <c r="BK4503">
        <v>2</v>
      </c>
      <c r="BL4503">
        <v>1.51</v>
      </c>
      <c r="BM4503">
        <v>-1.97</v>
      </c>
      <c r="BN4503">
        <v>-0.62</v>
      </c>
      <c r="BO4503">
        <v>0.88</v>
      </c>
      <c r="BP4503">
        <v>-1.37</v>
      </c>
      <c r="BQ4503">
        <v>1.66</v>
      </c>
      <c r="BR4503">
        <v>1.69</v>
      </c>
      <c r="BS4503">
        <v>0.3</v>
      </c>
      <c r="BT4503">
        <v>-1.61</v>
      </c>
      <c r="BU4503">
        <v>2.27</v>
      </c>
      <c r="BV4503">
        <v>1.94</v>
      </c>
      <c r="BW4503">
        <v>2.4900000000000002</v>
      </c>
      <c r="BX4503">
        <v>2.82</v>
      </c>
      <c r="BY4503">
        <v>1.78</v>
      </c>
      <c r="BZ4503">
        <v>-0.78</v>
      </c>
      <c r="CA4503">
        <v>1.67</v>
      </c>
      <c r="CB4503">
        <v>2.0499999999999998</v>
      </c>
      <c r="CC4503">
        <v>-0.02</v>
      </c>
      <c r="CD4503">
        <v>-1.32</v>
      </c>
      <c r="CE4503">
        <v>1.24</v>
      </c>
      <c r="CF4503">
        <v>0.87</v>
      </c>
      <c r="CG4503">
        <v>0</v>
      </c>
      <c r="CH4503">
        <v>1.6</v>
      </c>
      <c r="CI4503">
        <v>0</v>
      </c>
      <c r="CJ4503">
        <v>-8.5</v>
      </c>
      <c r="CK4503">
        <v>53</v>
      </c>
      <c r="CL4503">
        <v>-1.4</v>
      </c>
      <c r="CM4503">
        <v>49</v>
      </c>
      <c r="CN4503">
        <v>-0.77</v>
      </c>
      <c r="CO4503">
        <v>43</v>
      </c>
      <c r="CP4503">
        <v>-8.1</v>
      </c>
      <c r="CQ4503">
        <v>61</v>
      </c>
      <c r="CR4503">
        <v>0</v>
      </c>
      <c r="CS4503">
        <v>0</v>
      </c>
      <c r="CT4503">
        <v>-3.8</v>
      </c>
      <c r="CU4503">
        <v>53</v>
      </c>
      <c r="CV4503">
        <v>0.26</v>
      </c>
      <c r="CW4503">
        <v>13</v>
      </c>
      <c r="CX4503" t="s">
        <v>4568</v>
      </c>
    </row>
    <row r="4504" spans="1:102" x14ac:dyDescent="0.3">
      <c r="A4504" t="str">
        <f>HYPERLINK("https://webapp.icbf.com/v2/app/bull-search/view/77855749","LKE")</f>
        <v>LKE</v>
      </c>
      <c r="B4504" t="s">
        <v>15030</v>
      </c>
      <c r="C4504" t="s">
        <v>15031</v>
      </c>
      <c r="D4504" s="1">
        <v>35269</v>
      </c>
      <c r="E4504" t="s">
        <v>92</v>
      </c>
      <c r="F4504">
        <v>100</v>
      </c>
      <c r="G4504" t="s">
        <v>93</v>
      </c>
      <c r="H4504">
        <v>-131.97</v>
      </c>
      <c r="I4504">
        <v>55</v>
      </c>
      <c r="J4504">
        <v>-15.02</v>
      </c>
      <c r="K4504">
        <v>76</v>
      </c>
      <c r="L4504">
        <v>-104.59</v>
      </c>
      <c r="M4504">
        <v>44</v>
      </c>
      <c r="N4504">
        <v>-14.37</v>
      </c>
      <c r="O4504">
        <v>41</v>
      </c>
      <c r="P4504">
        <v>6.36</v>
      </c>
      <c r="Q4504">
        <v>52</v>
      </c>
      <c r="R4504">
        <v>-5.87</v>
      </c>
      <c r="S4504">
        <v>48</v>
      </c>
      <c r="T4504">
        <v>4.87</v>
      </c>
      <c r="U4504">
        <v>51</v>
      </c>
      <c r="V4504">
        <v>-3.35</v>
      </c>
      <c r="W4504">
        <v>35</v>
      </c>
      <c r="X4504" t="s">
        <v>94</v>
      </c>
      <c r="Y4504" t="s">
        <v>1480</v>
      </c>
      <c r="Z4504" t="s">
        <v>96</v>
      </c>
      <c r="AA4504" t="s">
        <v>97</v>
      </c>
      <c r="AB4504" t="s">
        <v>6597</v>
      </c>
      <c r="AC4504">
        <v>18</v>
      </c>
      <c r="AD4504">
        <v>5</v>
      </c>
      <c r="AE4504">
        <v>76</v>
      </c>
      <c r="AF4504">
        <v>79.94</v>
      </c>
      <c r="AG4504">
        <v>0.93</v>
      </c>
      <c r="AH4504">
        <v>-1.66</v>
      </c>
      <c r="AI4504">
        <v>-0.04</v>
      </c>
      <c r="AJ4504">
        <v>-7.0000000000000007E-2</v>
      </c>
      <c r="AK4504">
        <v>44</v>
      </c>
      <c r="AL4504">
        <v>16</v>
      </c>
      <c r="AM4504">
        <v>9</v>
      </c>
      <c r="AN4504">
        <v>5.01</v>
      </c>
      <c r="AO4504">
        <v>-3.34</v>
      </c>
      <c r="AP4504">
        <v>5</v>
      </c>
      <c r="AQ4504">
        <v>0</v>
      </c>
      <c r="AR4504">
        <v>9.59</v>
      </c>
      <c r="AS4504">
        <v>33</v>
      </c>
      <c r="AT4504">
        <v>4.53</v>
      </c>
      <c r="AU4504">
        <v>44</v>
      </c>
      <c r="AV4504">
        <v>-0.09</v>
      </c>
      <c r="AW4504">
        <v>41</v>
      </c>
      <c r="AX4504">
        <v>-0.31</v>
      </c>
      <c r="AY4504">
        <v>46</v>
      </c>
      <c r="AZ4504">
        <v>5.55</v>
      </c>
      <c r="BA4504">
        <v>32</v>
      </c>
      <c r="BB4504">
        <v>4.37</v>
      </c>
      <c r="BC4504">
        <v>38</v>
      </c>
      <c r="BD4504">
        <v>0.03</v>
      </c>
      <c r="BE4504">
        <v>0.05</v>
      </c>
      <c r="BF4504">
        <v>-0.01</v>
      </c>
      <c r="BG4504">
        <v>56</v>
      </c>
      <c r="BH4504">
        <v>-0.09</v>
      </c>
      <c r="BI4504">
        <v>0.39</v>
      </c>
      <c r="BJ4504">
        <v>0</v>
      </c>
      <c r="BK4504">
        <v>0</v>
      </c>
      <c r="BL4504">
        <v>-0.05</v>
      </c>
      <c r="BM4504">
        <v>-0.31</v>
      </c>
      <c r="BN4504">
        <v>-0.49</v>
      </c>
      <c r="BO4504">
        <v>-0.06</v>
      </c>
      <c r="BP4504">
        <v>0.66</v>
      </c>
      <c r="BQ4504">
        <v>-0.74</v>
      </c>
      <c r="BR4504">
        <v>0.62</v>
      </c>
      <c r="BS4504">
        <v>-0.53</v>
      </c>
      <c r="BT4504">
        <v>-0.28999999999999998</v>
      </c>
      <c r="BU4504">
        <v>-0.24</v>
      </c>
      <c r="BV4504">
        <v>-0.36</v>
      </c>
      <c r="BW4504">
        <v>-0.49</v>
      </c>
      <c r="BX4504">
        <v>0.09</v>
      </c>
      <c r="BY4504">
        <v>0.69</v>
      </c>
      <c r="BZ4504">
        <v>-1.49</v>
      </c>
      <c r="CA4504">
        <v>-0.28999999999999998</v>
      </c>
      <c r="CB4504">
        <v>-0.12</v>
      </c>
      <c r="CC4504">
        <v>-0.57999999999999996</v>
      </c>
      <c r="CD4504">
        <v>0.18</v>
      </c>
      <c r="CE4504">
        <v>-0.09</v>
      </c>
      <c r="CF4504">
        <v>-0.65</v>
      </c>
      <c r="CG4504">
        <v>0</v>
      </c>
      <c r="CH4504">
        <v>0.35</v>
      </c>
      <c r="CI4504">
        <v>0</v>
      </c>
      <c r="CJ4504">
        <v>2.2000000000000002</v>
      </c>
      <c r="CK4504">
        <v>53</v>
      </c>
      <c r="CL4504">
        <v>-0.21</v>
      </c>
      <c r="CM4504">
        <v>50</v>
      </c>
      <c r="CN4504">
        <v>-0.47</v>
      </c>
      <c r="CO4504">
        <v>47</v>
      </c>
      <c r="CP4504">
        <v>-0.1</v>
      </c>
      <c r="CQ4504">
        <v>58</v>
      </c>
      <c r="CR4504">
        <v>0</v>
      </c>
      <c r="CS4504">
        <v>0</v>
      </c>
      <c r="CT4504">
        <v>7.2</v>
      </c>
      <c r="CU4504">
        <v>51</v>
      </c>
      <c r="CV4504">
        <v>-0.01</v>
      </c>
      <c r="CW4504">
        <v>14</v>
      </c>
      <c r="CX4504" t="s">
        <v>485</v>
      </c>
    </row>
    <row r="4505" spans="1:102" x14ac:dyDescent="0.3">
      <c r="A4505" t="str">
        <f>HYPERLINK("https://webapp.icbf.com/v2/app/bull-search/view/77857276","GTU")</f>
        <v>GTU</v>
      </c>
      <c r="B4505" t="s">
        <v>868</v>
      </c>
      <c r="C4505" t="s">
        <v>869</v>
      </c>
      <c r="D4505" s="1">
        <v>33364</v>
      </c>
      <c r="E4505" t="s">
        <v>92</v>
      </c>
      <c r="F4505">
        <v>100</v>
      </c>
      <c r="G4505" t="s">
        <v>93</v>
      </c>
      <c r="H4505">
        <v>-132.43</v>
      </c>
      <c r="I4505">
        <v>97</v>
      </c>
      <c r="J4505">
        <v>49.97</v>
      </c>
      <c r="K4505">
        <v>99</v>
      </c>
      <c r="L4505">
        <v>-84.99</v>
      </c>
      <c r="M4505">
        <v>95</v>
      </c>
      <c r="N4505">
        <v>-81.88</v>
      </c>
      <c r="O4505">
        <v>96</v>
      </c>
      <c r="P4505">
        <v>4.7300000000000004</v>
      </c>
      <c r="Q4505">
        <v>99</v>
      </c>
      <c r="R4505">
        <v>-15.21</v>
      </c>
      <c r="S4505">
        <v>93</v>
      </c>
      <c r="T4505">
        <v>-5.04</v>
      </c>
      <c r="U4505">
        <v>98</v>
      </c>
      <c r="V4505">
        <v>-0.01</v>
      </c>
      <c r="W4505">
        <v>91</v>
      </c>
      <c r="X4505" t="s">
        <v>94</v>
      </c>
      <c r="Y4505" t="s">
        <v>95</v>
      </c>
      <c r="Z4505" t="s">
        <v>96</v>
      </c>
      <c r="AA4505" t="s">
        <v>118</v>
      </c>
      <c r="AB4505" t="s">
        <v>870</v>
      </c>
      <c r="AC4505">
        <v>1686</v>
      </c>
      <c r="AD4505">
        <v>696</v>
      </c>
      <c r="AE4505">
        <v>99</v>
      </c>
      <c r="AF4505">
        <v>-146.44</v>
      </c>
      <c r="AG4505">
        <v>10.48</v>
      </c>
      <c r="AH4505">
        <v>2.5499999999999998</v>
      </c>
      <c r="AI4505">
        <v>0.28999999999999998</v>
      </c>
      <c r="AJ4505">
        <v>0.13</v>
      </c>
      <c r="AK4505">
        <v>95</v>
      </c>
      <c r="AL4505">
        <v>1867</v>
      </c>
      <c r="AM4505">
        <v>856</v>
      </c>
      <c r="AN4505">
        <v>4.46</v>
      </c>
      <c r="AO4505">
        <v>-2.3199999999999998</v>
      </c>
      <c r="AP4505">
        <v>207</v>
      </c>
      <c r="AQ4505">
        <v>0</v>
      </c>
      <c r="AR4505">
        <v>15.04</v>
      </c>
      <c r="AS4505">
        <v>89</v>
      </c>
      <c r="AT4505">
        <v>6.61</v>
      </c>
      <c r="AU4505">
        <v>96</v>
      </c>
      <c r="AV4505">
        <v>1.39</v>
      </c>
      <c r="AW4505">
        <v>98</v>
      </c>
      <c r="AX4505">
        <v>0.05</v>
      </c>
      <c r="AY4505">
        <v>98</v>
      </c>
      <c r="AZ4505">
        <v>6.68</v>
      </c>
      <c r="BA4505">
        <v>90</v>
      </c>
      <c r="BB4505">
        <v>4.79</v>
      </c>
      <c r="BC4505">
        <v>95</v>
      </c>
      <c r="BD4505">
        <v>7.0000000000000007E-2</v>
      </c>
      <c r="BE4505">
        <v>7.0000000000000007E-2</v>
      </c>
      <c r="BF4505">
        <v>0.1</v>
      </c>
      <c r="BG4505">
        <v>99</v>
      </c>
      <c r="BH4505">
        <v>-7.0000000000000007E-2</v>
      </c>
      <c r="BI4505">
        <v>-8.0500000000000007</v>
      </c>
      <c r="BJ4505">
        <v>21</v>
      </c>
      <c r="BK4505">
        <v>18</v>
      </c>
      <c r="BL4505">
        <v>0.51</v>
      </c>
      <c r="BM4505">
        <v>2.54</v>
      </c>
      <c r="BN4505">
        <v>1.77</v>
      </c>
      <c r="BO4505">
        <v>-0.47</v>
      </c>
      <c r="BP4505">
        <v>0.41</v>
      </c>
      <c r="BQ4505">
        <v>1.03</v>
      </c>
      <c r="BR4505">
        <v>1.7</v>
      </c>
      <c r="BS4505">
        <v>-1.65</v>
      </c>
      <c r="BT4505">
        <v>-1.39</v>
      </c>
      <c r="BU4505">
        <v>-0.16</v>
      </c>
      <c r="BV4505">
        <v>-0.88</v>
      </c>
      <c r="BW4505">
        <v>-1.79</v>
      </c>
      <c r="BX4505">
        <v>-0.56000000000000005</v>
      </c>
      <c r="BY4505">
        <v>-1.66</v>
      </c>
      <c r="BZ4505">
        <v>1.84</v>
      </c>
      <c r="CA4505">
        <v>-1.36</v>
      </c>
      <c r="CB4505">
        <v>-1.01</v>
      </c>
      <c r="CC4505">
        <v>-1.21</v>
      </c>
      <c r="CD4505">
        <v>0.42</v>
      </c>
      <c r="CE4505">
        <v>-0.46</v>
      </c>
      <c r="CF4505">
        <v>0.98</v>
      </c>
      <c r="CG4505">
        <v>0</v>
      </c>
      <c r="CH4505">
        <v>-1.39</v>
      </c>
      <c r="CI4505">
        <v>0</v>
      </c>
      <c r="CJ4505">
        <v>2.8</v>
      </c>
      <c r="CK4505">
        <v>99</v>
      </c>
      <c r="CL4505">
        <v>-0.46</v>
      </c>
      <c r="CM4505">
        <v>99</v>
      </c>
      <c r="CN4505">
        <v>-0.42</v>
      </c>
      <c r="CO4505">
        <v>99</v>
      </c>
      <c r="CP4505">
        <v>4.5999999999999996</v>
      </c>
      <c r="CQ4505">
        <v>99</v>
      </c>
      <c r="CR4505">
        <v>0</v>
      </c>
      <c r="CS4505">
        <v>0</v>
      </c>
      <c r="CT4505">
        <v>20.6</v>
      </c>
      <c r="CU4505">
        <v>98</v>
      </c>
      <c r="CV4505">
        <v>0.13</v>
      </c>
      <c r="CW4505">
        <v>46</v>
      </c>
      <c r="CX4505" t="s">
        <v>543</v>
      </c>
    </row>
    <row r="4506" spans="1:102" x14ac:dyDescent="0.3">
      <c r="A4506" t="str">
        <f>HYPERLINK("https://webapp.icbf.com/v2/app/bull-search/view/77856022","KRR")</f>
        <v>KRR</v>
      </c>
      <c r="B4506" t="s">
        <v>2544</v>
      </c>
      <c r="C4506" t="s">
        <v>839</v>
      </c>
      <c r="D4506" s="1">
        <v>32874</v>
      </c>
      <c r="E4506" t="s">
        <v>92</v>
      </c>
      <c r="F4506">
        <v>100</v>
      </c>
      <c r="G4506" t="s">
        <v>93</v>
      </c>
      <c r="H4506">
        <v>-132.71</v>
      </c>
      <c r="I4506">
        <v>98</v>
      </c>
      <c r="J4506">
        <v>-4.5199999999999996</v>
      </c>
      <c r="K4506">
        <v>99</v>
      </c>
      <c r="L4506">
        <v>-124.84</v>
      </c>
      <c r="M4506">
        <v>97</v>
      </c>
      <c r="N4506">
        <v>-3.1</v>
      </c>
      <c r="O4506">
        <v>99</v>
      </c>
      <c r="P4506">
        <v>-0.53</v>
      </c>
      <c r="Q4506">
        <v>99</v>
      </c>
      <c r="R4506">
        <v>-0.02</v>
      </c>
      <c r="S4506">
        <v>96</v>
      </c>
      <c r="T4506">
        <v>-4.75</v>
      </c>
      <c r="U4506">
        <v>99</v>
      </c>
      <c r="V4506">
        <v>5.05</v>
      </c>
      <c r="W4506">
        <v>96</v>
      </c>
      <c r="X4506" t="s">
        <v>251</v>
      </c>
      <c r="Y4506" t="s">
        <v>95</v>
      </c>
      <c r="Z4506" t="s">
        <v>96</v>
      </c>
      <c r="AA4506" t="s">
        <v>111</v>
      </c>
      <c r="AB4506" t="s">
        <v>2545</v>
      </c>
      <c r="AC4506">
        <v>2552</v>
      </c>
      <c r="AD4506">
        <v>836</v>
      </c>
      <c r="AE4506">
        <v>99</v>
      </c>
      <c r="AF4506">
        <v>318.61</v>
      </c>
      <c r="AG4506">
        <v>3.84</v>
      </c>
      <c r="AH4506">
        <v>2.75</v>
      </c>
      <c r="AI4506">
        <v>-0.14000000000000001</v>
      </c>
      <c r="AJ4506">
        <v>-0.13</v>
      </c>
      <c r="AK4506">
        <v>97</v>
      </c>
      <c r="AL4506">
        <v>2416</v>
      </c>
      <c r="AM4506">
        <v>769</v>
      </c>
      <c r="AN4506">
        <v>8.01</v>
      </c>
      <c r="AO4506">
        <v>-1.93</v>
      </c>
      <c r="AP4506">
        <v>1394</v>
      </c>
      <c r="AQ4506">
        <v>2</v>
      </c>
      <c r="AR4506">
        <v>9.5399999999999991</v>
      </c>
      <c r="AS4506">
        <v>98</v>
      </c>
      <c r="AT4506">
        <v>3.91</v>
      </c>
      <c r="AU4506">
        <v>99</v>
      </c>
      <c r="AV4506">
        <v>-0.84</v>
      </c>
      <c r="AW4506">
        <v>99</v>
      </c>
      <c r="AX4506">
        <v>-0.4</v>
      </c>
      <c r="AY4506">
        <v>99</v>
      </c>
      <c r="AZ4506">
        <v>5.29</v>
      </c>
      <c r="BA4506">
        <v>97</v>
      </c>
      <c r="BB4506">
        <v>4.8600000000000003</v>
      </c>
      <c r="BC4506">
        <v>97</v>
      </c>
      <c r="BD4506">
        <v>-0.01</v>
      </c>
      <c r="BE4506">
        <v>0.03</v>
      </c>
      <c r="BF4506">
        <v>-0.04</v>
      </c>
      <c r="BG4506">
        <v>99</v>
      </c>
      <c r="BH4506">
        <v>0.09</v>
      </c>
      <c r="BI4506">
        <v>-5.88</v>
      </c>
      <c r="BJ4506">
        <v>812</v>
      </c>
      <c r="BK4506">
        <v>283</v>
      </c>
      <c r="BL4506">
        <v>1.31</v>
      </c>
      <c r="BM4506">
        <v>1.43</v>
      </c>
      <c r="BN4506">
        <v>2.58</v>
      </c>
      <c r="BO4506">
        <v>1.06</v>
      </c>
      <c r="BP4506">
        <v>-0.1</v>
      </c>
      <c r="BQ4506">
        <v>2.11</v>
      </c>
      <c r="BR4506">
        <v>2.64</v>
      </c>
      <c r="BS4506">
        <v>-1.17</v>
      </c>
      <c r="BT4506">
        <v>-2.11</v>
      </c>
      <c r="BU4506">
        <v>1.8</v>
      </c>
      <c r="BV4506">
        <v>0.4</v>
      </c>
      <c r="BW4506">
        <v>1.37</v>
      </c>
      <c r="BX4506">
        <v>1.79</v>
      </c>
      <c r="BY4506">
        <v>2.62</v>
      </c>
      <c r="BZ4506">
        <v>1.1399999999999999</v>
      </c>
      <c r="CA4506">
        <v>0.88</v>
      </c>
      <c r="CB4506">
        <v>1.59</v>
      </c>
      <c r="CC4506">
        <v>-0.6</v>
      </c>
      <c r="CD4506">
        <v>-0.44</v>
      </c>
      <c r="CE4506">
        <v>1.2</v>
      </c>
      <c r="CF4506">
        <v>2.2799999999999998</v>
      </c>
      <c r="CG4506">
        <v>0</v>
      </c>
      <c r="CH4506">
        <v>2.63</v>
      </c>
      <c r="CI4506">
        <v>0</v>
      </c>
      <c r="CJ4506">
        <v>4.0999999999999996</v>
      </c>
      <c r="CK4506">
        <v>99</v>
      </c>
      <c r="CL4506">
        <v>-1.06</v>
      </c>
      <c r="CM4506">
        <v>99</v>
      </c>
      <c r="CN4506">
        <v>-0.33</v>
      </c>
      <c r="CO4506">
        <v>99</v>
      </c>
      <c r="CP4506">
        <v>5.9</v>
      </c>
      <c r="CQ4506">
        <v>99</v>
      </c>
      <c r="CR4506">
        <v>0</v>
      </c>
      <c r="CS4506">
        <v>0</v>
      </c>
      <c r="CT4506">
        <v>20.2</v>
      </c>
      <c r="CU4506">
        <v>99</v>
      </c>
      <c r="CV4506">
        <v>0.3</v>
      </c>
      <c r="CW4506">
        <v>47</v>
      </c>
      <c r="CX4506" t="s">
        <v>543</v>
      </c>
    </row>
    <row r="4507" spans="1:102" x14ac:dyDescent="0.3">
      <c r="A4507" t="str">
        <f>HYPERLINK("https://webapp.icbf.com/v2/app/bull-search/view/69092179","LUL")</f>
        <v>LUL</v>
      </c>
      <c r="B4507" t="s">
        <v>10543</v>
      </c>
      <c r="C4507" t="s">
        <v>10544</v>
      </c>
      <c r="D4507" s="1">
        <v>36135</v>
      </c>
      <c r="E4507" t="s">
        <v>92</v>
      </c>
      <c r="F4507">
        <v>100</v>
      </c>
      <c r="G4507" t="s">
        <v>93</v>
      </c>
      <c r="H4507">
        <v>-132.79</v>
      </c>
      <c r="I4507">
        <v>70</v>
      </c>
      <c r="J4507">
        <v>20.65</v>
      </c>
      <c r="K4507">
        <v>90</v>
      </c>
      <c r="L4507">
        <v>-106.36</v>
      </c>
      <c r="M4507">
        <v>56</v>
      </c>
      <c r="N4507">
        <v>-41.36</v>
      </c>
      <c r="O4507">
        <v>69</v>
      </c>
      <c r="P4507">
        <v>-17.53</v>
      </c>
      <c r="Q4507">
        <v>77</v>
      </c>
      <c r="R4507">
        <v>1.45</v>
      </c>
      <c r="S4507">
        <v>61</v>
      </c>
      <c r="T4507">
        <v>14.49</v>
      </c>
      <c r="U4507">
        <v>63</v>
      </c>
      <c r="V4507">
        <v>-4.13</v>
      </c>
      <c r="W4507">
        <v>42</v>
      </c>
      <c r="X4507" t="s">
        <v>102</v>
      </c>
      <c r="Y4507" t="s">
        <v>95</v>
      </c>
      <c r="Z4507" t="s">
        <v>96</v>
      </c>
      <c r="AA4507" t="s">
        <v>6632</v>
      </c>
      <c r="AB4507" t="s">
        <v>8868</v>
      </c>
      <c r="AC4507">
        <v>40</v>
      </c>
      <c r="AD4507">
        <v>32</v>
      </c>
      <c r="AE4507">
        <v>90</v>
      </c>
      <c r="AF4507">
        <v>26.47</v>
      </c>
      <c r="AG4507">
        <v>1.94</v>
      </c>
      <c r="AH4507">
        <v>3.23</v>
      </c>
      <c r="AI4507">
        <v>0.01</v>
      </c>
      <c r="AJ4507">
        <v>0.04</v>
      </c>
      <c r="AK4507">
        <v>56</v>
      </c>
      <c r="AL4507">
        <v>43</v>
      </c>
      <c r="AM4507">
        <v>32</v>
      </c>
      <c r="AN4507">
        <v>6.71</v>
      </c>
      <c r="AO4507">
        <v>-1.76</v>
      </c>
      <c r="AP4507">
        <v>54</v>
      </c>
      <c r="AQ4507">
        <v>7</v>
      </c>
      <c r="AR4507">
        <v>11.51</v>
      </c>
      <c r="AS4507">
        <v>58</v>
      </c>
      <c r="AT4507">
        <v>5.27</v>
      </c>
      <c r="AU4507">
        <v>65</v>
      </c>
      <c r="AV4507">
        <v>0.61</v>
      </c>
      <c r="AW4507">
        <v>82</v>
      </c>
      <c r="AX4507">
        <v>0.61</v>
      </c>
      <c r="AY4507">
        <v>69</v>
      </c>
      <c r="AZ4507">
        <v>6.14</v>
      </c>
      <c r="BA4507">
        <v>46</v>
      </c>
      <c r="BB4507">
        <v>4.8</v>
      </c>
      <c r="BC4507">
        <v>47</v>
      </c>
      <c r="BD4507">
        <v>-0.02</v>
      </c>
      <c r="BE4507">
        <v>0</v>
      </c>
      <c r="BF4507">
        <v>0</v>
      </c>
      <c r="BG4507">
        <v>71</v>
      </c>
      <c r="BH4507">
        <v>-0.14000000000000001</v>
      </c>
      <c r="BI4507">
        <v>-2.87</v>
      </c>
      <c r="BJ4507">
        <v>10</v>
      </c>
      <c r="BK4507">
        <v>6</v>
      </c>
      <c r="BL4507">
        <v>0.88</v>
      </c>
      <c r="BM4507">
        <v>-0.45</v>
      </c>
      <c r="BN4507">
        <v>0</v>
      </c>
      <c r="BO4507">
        <v>0.53</v>
      </c>
      <c r="BP4507">
        <v>-1.84</v>
      </c>
      <c r="BQ4507">
        <v>0.12</v>
      </c>
      <c r="BR4507">
        <v>-0.6</v>
      </c>
      <c r="BS4507">
        <v>-0.03</v>
      </c>
      <c r="BT4507">
        <v>0.62</v>
      </c>
      <c r="BU4507">
        <v>0.71</v>
      </c>
      <c r="BV4507">
        <v>1.1100000000000001</v>
      </c>
      <c r="BW4507">
        <v>1.6</v>
      </c>
      <c r="BX4507">
        <v>0.4</v>
      </c>
      <c r="BY4507">
        <v>0.43</v>
      </c>
      <c r="BZ4507">
        <v>1.63</v>
      </c>
      <c r="CA4507">
        <v>1</v>
      </c>
      <c r="CB4507">
        <v>0.97</v>
      </c>
      <c r="CC4507">
        <v>0.47</v>
      </c>
      <c r="CD4507">
        <v>-0.05</v>
      </c>
      <c r="CE4507">
        <v>0.5</v>
      </c>
      <c r="CF4507">
        <v>0.05</v>
      </c>
      <c r="CG4507">
        <v>0</v>
      </c>
      <c r="CH4507">
        <v>2.23</v>
      </c>
      <c r="CI4507">
        <v>0</v>
      </c>
      <c r="CJ4507">
        <v>-4.9000000000000004</v>
      </c>
      <c r="CK4507">
        <v>79</v>
      </c>
      <c r="CL4507">
        <v>-0.8</v>
      </c>
      <c r="CM4507">
        <v>75</v>
      </c>
      <c r="CN4507">
        <v>0.08</v>
      </c>
      <c r="CO4507">
        <v>71</v>
      </c>
      <c r="CP4507">
        <v>-10.5</v>
      </c>
      <c r="CQ4507">
        <v>81</v>
      </c>
      <c r="CR4507">
        <v>0</v>
      </c>
      <c r="CS4507">
        <v>0</v>
      </c>
      <c r="CT4507">
        <v>-5.8</v>
      </c>
      <c r="CU4507">
        <v>63</v>
      </c>
      <c r="CV4507">
        <v>0.22</v>
      </c>
      <c r="CW4507">
        <v>22</v>
      </c>
      <c r="CX4507" t="s">
        <v>218</v>
      </c>
    </row>
    <row r="4508" spans="1:102" x14ac:dyDescent="0.3">
      <c r="A4508" t="str">
        <f>HYPERLINK("https://webapp.icbf.com/v2/app/bull-search/view/238421206","KIK")</f>
        <v>KIK</v>
      </c>
      <c r="B4508" t="s">
        <v>4100</v>
      </c>
      <c r="C4508" t="s">
        <v>4101</v>
      </c>
      <c r="D4508" s="1">
        <v>37546</v>
      </c>
      <c r="E4508" t="s">
        <v>92</v>
      </c>
      <c r="F4508">
        <v>100</v>
      </c>
      <c r="G4508" t="s">
        <v>435</v>
      </c>
      <c r="H4508">
        <v>-132.84</v>
      </c>
      <c r="I4508">
        <v>72</v>
      </c>
      <c r="J4508">
        <v>-26.13</v>
      </c>
      <c r="K4508">
        <v>90</v>
      </c>
      <c r="L4508">
        <v>-121.46</v>
      </c>
      <c r="M4508">
        <v>70</v>
      </c>
      <c r="N4508">
        <v>3.52</v>
      </c>
      <c r="O4508">
        <v>57</v>
      </c>
      <c r="P4508">
        <v>-7.48</v>
      </c>
      <c r="Q4508">
        <v>54</v>
      </c>
      <c r="R4508">
        <v>1.94</v>
      </c>
      <c r="S4508">
        <v>68</v>
      </c>
      <c r="T4508">
        <v>18.12</v>
      </c>
      <c r="U4508">
        <v>48</v>
      </c>
      <c r="V4508">
        <v>-1.35</v>
      </c>
      <c r="W4508">
        <v>62</v>
      </c>
      <c r="X4508" t="s">
        <v>94</v>
      </c>
      <c r="Y4508" t="s">
        <v>2565</v>
      </c>
      <c r="Z4508" t="s">
        <v>96</v>
      </c>
      <c r="AA4508" t="s">
        <v>4102</v>
      </c>
      <c r="AB4508" t="s">
        <v>4103</v>
      </c>
      <c r="AC4508">
        <v>1</v>
      </c>
      <c r="AD4508">
        <v>1</v>
      </c>
      <c r="AE4508">
        <v>90</v>
      </c>
      <c r="AF4508">
        <v>-151.94</v>
      </c>
      <c r="AG4508">
        <v>0.88</v>
      </c>
      <c r="AH4508">
        <v>-7.08</v>
      </c>
      <c r="AI4508">
        <v>0.12</v>
      </c>
      <c r="AJ4508">
        <v>-0.03</v>
      </c>
      <c r="AK4508">
        <v>70</v>
      </c>
      <c r="AL4508">
        <v>3</v>
      </c>
      <c r="AM4508">
        <v>3</v>
      </c>
      <c r="AN4508">
        <v>7.12</v>
      </c>
      <c r="AO4508">
        <v>-2.56</v>
      </c>
      <c r="AP4508">
        <v>4</v>
      </c>
      <c r="AQ4508">
        <v>0</v>
      </c>
      <c r="AR4508">
        <v>8.5299999999999994</v>
      </c>
      <c r="AS4508">
        <v>53</v>
      </c>
      <c r="AT4508">
        <v>3.18</v>
      </c>
      <c r="AU4508">
        <v>69</v>
      </c>
      <c r="AV4508">
        <v>-0.74</v>
      </c>
      <c r="AW4508">
        <v>57</v>
      </c>
      <c r="AX4508">
        <v>-0.59</v>
      </c>
      <c r="AY4508">
        <v>49</v>
      </c>
      <c r="AZ4508">
        <v>7.03</v>
      </c>
      <c r="BA4508">
        <v>44</v>
      </c>
      <c r="BB4508">
        <v>5</v>
      </c>
      <c r="BC4508">
        <v>46</v>
      </c>
      <c r="BD4508">
        <v>-0.01</v>
      </c>
      <c r="BE4508">
        <v>-0.02</v>
      </c>
      <c r="BF4508">
        <v>0.01</v>
      </c>
      <c r="BG4508">
        <v>78</v>
      </c>
      <c r="BH4508">
        <v>-0.03</v>
      </c>
      <c r="BI4508">
        <v>0.88</v>
      </c>
      <c r="BJ4508">
        <v>0</v>
      </c>
      <c r="BK4508">
        <v>0</v>
      </c>
      <c r="BL4508">
        <v>-0.16</v>
      </c>
      <c r="BM4508">
        <v>-2.8</v>
      </c>
      <c r="BN4508">
        <v>-1.35</v>
      </c>
      <c r="BO4508">
        <v>0.74</v>
      </c>
      <c r="BP4508">
        <v>2</v>
      </c>
      <c r="BQ4508">
        <v>-2.99</v>
      </c>
      <c r="BR4508">
        <v>0.01</v>
      </c>
      <c r="BS4508">
        <v>-0.17</v>
      </c>
      <c r="BT4508">
        <v>-1.38</v>
      </c>
      <c r="BU4508">
        <v>0.19</v>
      </c>
      <c r="BV4508">
        <v>0.48</v>
      </c>
      <c r="BW4508">
        <v>-0.12</v>
      </c>
      <c r="BX4508">
        <v>0.77</v>
      </c>
      <c r="BY4508">
        <v>2.12</v>
      </c>
      <c r="BZ4508">
        <v>0.02</v>
      </c>
      <c r="CA4508">
        <v>-0.09</v>
      </c>
      <c r="CB4508">
        <v>0.49</v>
      </c>
      <c r="CC4508">
        <v>-1.19</v>
      </c>
      <c r="CD4508">
        <v>-1.69</v>
      </c>
      <c r="CE4508">
        <v>0.57999999999999996</v>
      </c>
      <c r="CF4508">
        <v>-1.7</v>
      </c>
      <c r="CG4508">
        <v>0</v>
      </c>
      <c r="CH4508">
        <v>1.74</v>
      </c>
      <c r="CI4508">
        <v>0</v>
      </c>
      <c r="CJ4508">
        <v>-2.5</v>
      </c>
      <c r="CK4508">
        <v>56</v>
      </c>
      <c r="CL4508">
        <v>-0.72</v>
      </c>
      <c r="CM4508">
        <v>53</v>
      </c>
      <c r="CN4508">
        <v>-0.38</v>
      </c>
      <c r="CO4508">
        <v>51</v>
      </c>
      <c r="CP4508">
        <v>-7</v>
      </c>
      <c r="CQ4508">
        <v>52</v>
      </c>
      <c r="CR4508">
        <v>0</v>
      </c>
      <c r="CS4508">
        <v>0</v>
      </c>
      <c r="CT4508">
        <v>-10.7</v>
      </c>
      <c r="CU4508">
        <v>48</v>
      </c>
      <c r="CV4508">
        <v>0.09</v>
      </c>
      <c r="CW4508">
        <v>37</v>
      </c>
      <c r="CX4508" t="s">
        <v>188</v>
      </c>
    </row>
    <row r="4509" spans="1:102" x14ac:dyDescent="0.3">
      <c r="A4509" t="str">
        <f>HYPERLINK("https://webapp.icbf.com/v2/app/bull-search/view/77855176","MIE")</f>
        <v>MIE</v>
      </c>
      <c r="B4509" t="s">
        <v>4892</v>
      </c>
      <c r="C4509" t="s">
        <v>4893</v>
      </c>
      <c r="D4509" s="1">
        <v>35169</v>
      </c>
      <c r="E4509" t="s">
        <v>92</v>
      </c>
      <c r="F4509">
        <v>100</v>
      </c>
      <c r="G4509" t="s">
        <v>93</v>
      </c>
      <c r="H4509">
        <v>-132.86000000000001</v>
      </c>
      <c r="I4509">
        <v>77</v>
      </c>
      <c r="J4509">
        <v>2.4</v>
      </c>
      <c r="K4509">
        <v>94</v>
      </c>
      <c r="L4509">
        <v>-128.34</v>
      </c>
      <c r="M4509">
        <v>73</v>
      </c>
      <c r="N4509">
        <v>0.49</v>
      </c>
      <c r="O4509">
        <v>61</v>
      </c>
      <c r="P4509">
        <v>-10.39</v>
      </c>
      <c r="Q4509">
        <v>69</v>
      </c>
      <c r="R4509">
        <v>-14.44</v>
      </c>
      <c r="S4509">
        <v>73</v>
      </c>
      <c r="T4509">
        <v>17.53</v>
      </c>
      <c r="U4509">
        <v>62</v>
      </c>
      <c r="V4509">
        <v>-0.11</v>
      </c>
      <c r="W4509">
        <v>60</v>
      </c>
      <c r="X4509" t="s">
        <v>94</v>
      </c>
      <c r="Y4509" t="s">
        <v>95</v>
      </c>
      <c r="Z4509" t="s">
        <v>96</v>
      </c>
      <c r="AA4509" t="s">
        <v>924</v>
      </c>
      <c r="AB4509" t="s">
        <v>4894</v>
      </c>
      <c r="AC4509">
        <v>30</v>
      </c>
      <c r="AD4509">
        <v>26</v>
      </c>
      <c r="AE4509">
        <v>94</v>
      </c>
      <c r="AF4509">
        <v>137.86000000000001</v>
      </c>
      <c r="AG4509">
        <v>1.58</v>
      </c>
      <c r="AH4509">
        <v>1.96</v>
      </c>
      <c r="AI4509">
        <v>-7.0000000000000007E-2</v>
      </c>
      <c r="AJ4509">
        <v>-0.05</v>
      </c>
      <c r="AK4509">
        <v>73</v>
      </c>
      <c r="AL4509">
        <v>23</v>
      </c>
      <c r="AM4509">
        <v>20</v>
      </c>
      <c r="AN4509">
        <v>8.1300000000000008</v>
      </c>
      <c r="AO4509">
        <v>-2.09</v>
      </c>
      <c r="AP4509">
        <v>2</v>
      </c>
      <c r="AQ4509">
        <v>0</v>
      </c>
      <c r="AR4509">
        <v>6.88</v>
      </c>
      <c r="AS4509">
        <v>52</v>
      </c>
      <c r="AT4509">
        <v>2.81</v>
      </c>
      <c r="AU4509">
        <v>70</v>
      </c>
      <c r="AV4509">
        <v>1.02</v>
      </c>
      <c r="AW4509">
        <v>61</v>
      </c>
      <c r="AX4509">
        <v>-0.32</v>
      </c>
      <c r="AY4509">
        <v>64</v>
      </c>
      <c r="AZ4509">
        <v>6.29</v>
      </c>
      <c r="BA4509">
        <v>45</v>
      </c>
      <c r="BB4509">
        <v>4.3600000000000003</v>
      </c>
      <c r="BC4509">
        <v>54</v>
      </c>
      <c r="BD4509">
        <v>0.06</v>
      </c>
      <c r="BE4509">
        <v>0.08</v>
      </c>
      <c r="BF4509">
        <v>0.08</v>
      </c>
      <c r="BG4509">
        <v>84</v>
      </c>
      <c r="BH4509">
        <v>0.06</v>
      </c>
      <c r="BI4509">
        <v>7.3</v>
      </c>
      <c r="BJ4509">
        <v>1</v>
      </c>
      <c r="BK4509">
        <v>1</v>
      </c>
      <c r="BL4509">
        <v>-0.35</v>
      </c>
      <c r="BM4509">
        <v>-1.63</v>
      </c>
      <c r="BN4509">
        <v>-1.46</v>
      </c>
      <c r="BO4509">
        <v>-0.47</v>
      </c>
      <c r="BP4509">
        <v>1.54</v>
      </c>
      <c r="BQ4509">
        <v>-2.98</v>
      </c>
      <c r="BR4509">
        <v>-0.21</v>
      </c>
      <c r="BS4509">
        <v>-1.1399999999999999</v>
      </c>
      <c r="BT4509">
        <v>-0.19</v>
      </c>
      <c r="BU4509">
        <v>-0.09</v>
      </c>
      <c r="BV4509">
        <v>-0.93</v>
      </c>
      <c r="BW4509">
        <v>-0.04</v>
      </c>
      <c r="BX4509">
        <v>-0.84</v>
      </c>
      <c r="BY4509">
        <v>-0.38</v>
      </c>
      <c r="BZ4509">
        <v>-0.09</v>
      </c>
      <c r="CA4509">
        <v>-0.71</v>
      </c>
      <c r="CB4509">
        <v>-0.28999999999999998</v>
      </c>
      <c r="CC4509">
        <v>-0.74</v>
      </c>
      <c r="CD4509">
        <v>0.09</v>
      </c>
      <c r="CE4509">
        <v>0.46</v>
      </c>
      <c r="CF4509">
        <v>-0.13</v>
      </c>
      <c r="CG4509">
        <v>0</v>
      </c>
      <c r="CH4509">
        <v>0.39</v>
      </c>
      <c r="CI4509">
        <v>0</v>
      </c>
      <c r="CJ4509">
        <v>-8.4</v>
      </c>
      <c r="CK4509">
        <v>70</v>
      </c>
      <c r="CL4509">
        <v>-0.45</v>
      </c>
      <c r="CM4509">
        <v>67</v>
      </c>
      <c r="CN4509">
        <v>-0.64</v>
      </c>
      <c r="CO4509">
        <v>63</v>
      </c>
      <c r="CP4509">
        <v>-11</v>
      </c>
      <c r="CQ4509">
        <v>76</v>
      </c>
      <c r="CR4509">
        <v>0</v>
      </c>
      <c r="CS4509">
        <v>0</v>
      </c>
      <c r="CT4509">
        <v>-9.9</v>
      </c>
      <c r="CU4509">
        <v>62</v>
      </c>
      <c r="CV4509">
        <v>-0.13</v>
      </c>
      <c r="CW4509">
        <v>39</v>
      </c>
      <c r="CX4509" t="s">
        <v>3343</v>
      </c>
    </row>
    <row r="4510" spans="1:102" x14ac:dyDescent="0.3">
      <c r="A4510" t="str">
        <f>HYPERLINK("https://webapp.icbf.com/v2/app/bull-search/view/678730138","S730")</f>
        <v>S730</v>
      </c>
      <c r="B4510" t="s">
        <v>5098</v>
      </c>
      <c r="C4510" t="s">
        <v>5099</v>
      </c>
      <c r="D4510" s="1">
        <v>37595</v>
      </c>
      <c r="E4510" t="s">
        <v>92</v>
      </c>
      <c r="F4510">
        <v>100</v>
      </c>
      <c r="G4510" t="s">
        <v>93</v>
      </c>
      <c r="H4510">
        <v>-132.96</v>
      </c>
      <c r="I4510">
        <v>83</v>
      </c>
      <c r="J4510">
        <v>-18.3</v>
      </c>
      <c r="K4510">
        <v>91</v>
      </c>
      <c r="L4510">
        <v>-82.41</v>
      </c>
      <c r="M4510">
        <v>86</v>
      </c>
      <c r="N4510">
        <v>-21.24</v>
      </c>
      <c r="O4510">
        <v>76</v>
      </c>
      <c r="P4510">
        <v>-16.37</v>
      </c>
      <c r="Q4510">
        <v>85</v>
      </c>
      <c r="R4510">
        <v>1.65</v>
      </c>
      <c r="S4510">
        <v>70</v>
      </c>
      <c r="T4510">
        <v>9.68</v>
      </c>
      <c r="U4510">
        <v>75</v>
      </c>
      <c r="V4510">
        <v>-5.97</v>
      </c>
      <c r="W4510">
        <v>43</v>
      </c>
      <c r="X4510" t="s">
        <v>747</v>
      </c>
      <c r="Y4510" t="s">
        <v>1494</v>
      </c>
      <c r="Z4510" t="s">
        <v>96</v>
      </c>
      <c r="AA4510" t="s">
        <v>1801</v>
      </c>
      <c r="AB4510" t="s">
        <v>5100</v>
      </c>
      <c r="AC4510">
        <v>50</v>
      </c>
      <c r="AD4510">
        <v>25</v>
      </c>
      <c r="AE4510">
        <v>91</v>
      </c>
      <c r="AF4510">
        <v>2.86</v>
      </c>
      <c r="AG4510">
        <v>-4.63</v>
      </c>
      <c r="AH4510">
        <v>-1.43</v>
      </c>
      <c r="AI4510">
        <v>-0.08</v>
      </c>
      <c r="AJ4510">
        <v>-0.03</v>
      </c>
      <c r="AK4510">
        <v>86</v>
      </c>
      <c r="AL4510">
        <v>41</v>
      </c>
      <c r="AM4510">
        <v>21</v>
      </c>
      <c r="AN4510">
        <v>3.09</v>
      </c>
      <c r="AO4510">
        <v>-3.5</v>
      </c>
      <c r="AP4510">
        <v>96</v>
      </c>
      <c r="AQ4510">
        <v>0</v>
      </c>
      <c r="AR4510">
        <v>8.5299999999999994</v>
      </c>
      <c r="AS4510">
        <v>65</v>
      </c>
      <c r="AT4510">
        <v>4.68</v>
      </c>
      <c r="AU4510">
        <v>89</v>
      </c>
      <c r="AV4510">
        <v>0.56000000000000005</v>
      </c>
      <c r="AW4510">
        <v>85</v>
      </c>
      <c r="AX4510">
        <v>0.42</v>
      </c>
      <c r="AY4510">
        <v>70</v>
      </c>
      <c r="AZ4510">
        <v>5.23</v>
      </c>
      <c r="BA4510">
        <v>45</v>
      </c>
      <c r="BB4510">
        <v>4.8099999999999996</v>
      </c>
      <c r="BC4510">
        <v>41</v>
      </c>
      <c r="BD4510">
        <v>0</v>
      </c>
      <c r="BE4510">
        <v>-0.02</v>
      </c>
      <c r="BF4510">
        <v>0</v>
      </c>
      <c r="BG4510">
        <v>90</v>
      </c>
      <c r="BH4510">
        <v>-0.11</v>
      </c>
      <c r="BI4510">
        <v>6.52</v>
      </c>
      <c r="BJ4510">
        <v>29</v>
      </c>
      <c r="BK4510">
        <v>15</v>
      </c>
      <c r="BL4510">
        <v>1.48</v>
      </c>
      <c r="BM4510">
        <v>0.99</v>
      </c>
      <c r="BN4510">
        <v>1.6</v>
      </c>
      <c r="BO4510">
        <v>0.91</v>
      </c>
      <c r="BP4510">
        <v>-1.51</v>
      </c>
      <c r="BQ4510">
        <v>1.07</v>
      </c>
      <c r="BR4510">
        <v>-0.6</v>
      </c>
      <c r="BS4510">
        <v>-0.23</v>
      </c>
      <c r="BT4510">
        <v>0.31</v>
      </c>
      <c r="BU4510">
        <v>2.21</v>
      </c>
      <c r="BV4510">
        <v>1.34</v>
      </c>
      <c r="BW4510">
        <v>1.47</v>
      </c>
      <c r="BX4510">
        <v>1.41</v>
      </c>
      <c r="BY4510">
        <v>3.81</v>
      </c>
      <c r="BZ4510">
        <v>-0.78</v>
      </c>
      <c r="CA4510">
        <v>1.65</v>
      </c>
      <c r="CB4510">
        <v>1.74</v>
      </c>
      <c r="CC4510">
        <v>0.79</v>
      </c>
      <c r="CD4510">
        <v>-0.17</v>
      </c>
      <c r="CE4510">
        <v>0.85</v>
      </c>
      <c r="CF4510">
        <v>1.18</v>
      </c>
      <c r="CG4510">
        <v>0</v>
      </c>
      <c r="CH4510">
        <v>1.79</v>
      </c>
      <c r="CI4510">
        <v>0</v>
      </c>
      <c r="CJ4510">
        <v>-4.2</v>
      </c>
      <c r="CK4510">
        <v>87</v>
      </c>
      <c r="CL4510">
        <v>-1.51</v>
      </c>
      <c r="CM4510">
        <v>84</v>
      </c>
      <c r="CN4510">
        <v>-0.47</v>
      </c>
      <c r="CO4510">
        <v>82</v>
      </c>
      <c r="CP4510">
        <v>-3.3</v>
      </c>
      <c r="CQ4510">
        <v>80</v>
      </c>
      <c r="CR4510">
        <v>0</v>
      </c>
      <c r="CS4510">
        <v>0</v>
      </c>
      <c r="CT4510">
        <v>0.7</v>
      </c>
      <c r="CU4510">
        <v>75</v>
      </c>
      <c r="CV4510">
        <v>0.46</v>
      </c>
      <c r="CW4510">
        <v>24</v>
      </c>
      <c r="CX4510" t="s">
        <v>4558</v>
      </c>
    </row>
    <row r="4511" spans="1:102" x14ac:dyDescent="0.3">
      <c r="A4511" t="str">
        <f>HYPERLINK("https://webapp.icbf.com/v2/app/bull-search/view/77856304","JKC")</f>
        <v>JKC</v>
      </c>
      <c r="B4511" t="s">
        <v>9893</v>
      </c>
      <c r="C4511" t="s">
        <v>9894</v>
      </c>
      <c r="D4511" s="1">
        <v>34672</v>
      </c>
      <c r="E4511" t="s">
        <v>92</v>
      </c>
      <c r="F4511">
        <v>100</v>
      </c>
      <c r="G4511" t="s">
        <v>93</v>
      </c>
      <c r="H4511">
        <v>-132.99</v>
      </c>
      <c r="I4511">
        <v>75</v>
      </c>
      <c r="J4511">
        <v>-18.64</v>
      </c>
      <c r="K4511">
        <v>95</v>
      </c>
      <c r="L4511">
        <v>-112.63</v>
      </c>
      <c r="M4511">
        <v>66</v>
      </c>
      <c r="N4511">
        <v>14.26</v>
      </c>
      <c r="O4511">
        <v>61</v>
      </c>
      <c r="P4511">
        <v>-12.02</v>
      </c>
      <c r="Q4511">
        <v>73</v>
      </c>
      <c r="R4511">
        <v>-10.029999999999999</v>
      </c>
      <c r="S4511">
        <v>71</v>
      </c>
      <c r="T4511">
        <v>5.61</v>
      </c>
      <c r="U4511">
        <v>76</v>
      </c>
      <c r="V4511">
        <v>0.46</v>
      </c>
      <c r="W4511">
        <v>37</v>
      </c>
      <c r="X4511" t="s">
        <v>94</v>
      </c>
      <c r="Y4511" t="s">
        <v>95</v>
      </c>
      <c r="Z4511" t="s">
        <v>96</v>
      </c>
      <c r="AA4511" t="s">
        <v>743</v>
      </c>
      <c r="AB4511" t="s">
        <v>9895</v>
      </c>
      <c r="AC4511">
        <v>95</v>
      </c>
      <c r="AD4511">
        <v>54</v>
      </c>
      <c r="AE4511">
        <v>95</v>
      </c>
      <c r="AF4511">
        <v>130.5</v>
      </c>
      <c r="AG4511">
        <v>-3.23</v>
      </c>
      <c r="AH4511">
        <v>-0.03</v>
      </c>
      <c r="AI4511">
        <v>-0.13</v>
      </c>
      <c r="AJ4511">
        <v>-7.0000000000000007E-2</v>
      </c>
      <c r="AK4511">
        <v>66</v>
      </c>
      <c r="AL4511">
        <v>96</v>
      </c>
      <c r="AM4511">
        <v>53</v>
      </c>
      <c r="AN4511">
        <v>6.32</v>
      </c>
      <c r="AO4511">
        <v>-2.66</v>
      </c>
      <c r="AP4511">
        <v>6</v>
      </c>
      <c r="AQ4511">
        <v>1</v>
      </c>
      <c r="AR4511">
        <v>7.11</v>
      </c>
      <c r="AS4511">
        <v>37</v>
      </c>
      <c r="AT4511">
        <v>3.28</v>
      </c>
      <c r="AU4511">
        <v>54</v>
      </c>
      <c r="AV4511">
        <v>-1.08</v>
      </c>
      <c r="AW4511">
        <v>74</v>
      </c>
      <c r="AX4511">
        <v>-0.43</v>
      </c>
      <c r="AY4511">
        <v>70</v>
      </c>
      <c r="AZ4511">
        <v>5.23</v>
      </c>
      <c r="BA4511">
        <v>38</v>
      </c>
      <c r="BB4511">
        <v>4.37</v>
      </c>
      <c r="BC4511">
        <v>50</v>
      </c>
      <c r="BD4511">
        <v>0.04</v>
      </c>
      <c r="BE4511">
        <v>0.06</v>
      </c>
      <c r="BF4511">
        <v>0.05</v>
      </c>
      <c r="BG4511">
        <v>85</v>
      </c>
      <c r="BH4511">
        <v>0.08</v>
      </c>
      <c r="BI4511">
        <v>7.78</v>
      </c>
      <c r="BJ4511">
        <v>14</v>
      </c>
      <c r="BK4511">
        <v>13</v>
      </c>
      <c r="BL4511">
        <v>-1.1100000000000001</v>
      </c>
      <c r="BM4511">
        <v>0.27</v>
      </c>
      <c r="BN4511">
        <v>-1.36</v>
      </c>
      <c r="BO4511">
        <v>-1.56</v>
      </c>
      <c r="BP4511">
        <v>-1.3</v>
      </c>
      <c r="BQ4511">
        <v>-1.69</v>
      </c>
      <c r="BR4511">
        <v>0.01</v>
      </c>
      <c r="BS4511">
        <v>0.52</v>
      </c>
      <c r="BT4511">
        <v>0.2</v>
      </c>
      <c r="BU4511">
        <v>-0.76</v>
      </c>
      <c r="BV4511">
        <v>-1.91</v>
      </c>
      <c r="BW4511">
        <v>-1.1200000000000001</v>
      </c>
      <c r="BX4511">
        <v>-0.69</v>
      </c>
      <c r="BY4511">
        <v>-1.04</v>
      </c>
      <c r="BZ4511">
        <v>1</v>
      </c>
      <c r="CA4511">
        <v>-2</v>
      </c>
      <c r="CB4511">
        <v>-2.52</v>
      </c>
      <c r="CC4511">
        <v>-0.31</v>
      </c>
      <c r="CD4511">
        <v>1.43</v>
      </c>
      <c r="CE4511">
        <v>-1.44</v>
      </c>
      <c r="CF4511">
        <v>-1.82</v>
      </c>
      <c r="CG4511">
        <v>0</v>
      </c>
      <c r="CH4511">
        <v>-0.62</v>
      </c>
      <c r="CI4511">
        <v>0</v>
      </c>
      <c r="CJ4511">
        <v>-4.8</v>
      </c>
      <c r="CK4511">
        <v>74</v>
      </c>
      <c r="CL4511">
        <v>-0.61</v>
      </c>
      <c r="CM4511">
        <v>71</v>
      </c>
      <c r="CN4511">
        <v>-0.1</v>
      </c>
      <c r="CO4511">
        <v>65</v>
      </c>
      <c r="CP4511">
        <v>-1.8</v>
      </c>
      <c r="CQ4511">
        <v>86</v>
      </c>
      <c r="CR4511">
        <v>0</v>
      </c>
      <c r="CS4511">
        <v>0</v>
      </c>
      <c r="CT4511">
        <v>6.2</v>
      </c>
      <c r="CU4511">
        <v>76</v>
      </c>
      <c r="CV4511">
        <v>0.03</v>
      </c>
      <c r="CW4511">
        <v>20</v>
      </c>
      <c r="CX4511" t="s">
        <v>111</v>
      </c>
    </row>
    <row r="4512" spans="1:102" x14ac:dyDescent="0.3">
      <c r="A4512" t="str">
        <f>HYPERLINK("https://webapp.icbf.com/v2/app/bull-search/view/348468248","RYY")</f>
        <v>RYY</v>
      </c>
      <c r="B4512" t="s">
        <v>8078</v>
      </c>
      <c r="C4512" t="s">
        <v>8079</v>
      </c>
      <c r="D4512" s="1">
        <v>37458</v>
      </c>
      <c r="E4512" t="s">
        <v>92</v>
      </c>
      <c r="F4512">
        <v>100</v>
      </c>
      <c r="G4512" t="s">
        <v>109</v>
      </c>
      <c r="H4512">
        <v>-133.12</v>
      </c>
      <c r="I4512">
        <v>79</v>
      </c>
      <c r="J4512">
        <v>-3.63</v>
      </c>
      <c r="K4512">
        <v>92</v>
      </c>
      <c r="L4512">
        <v>-106.56</v>
      </c>
      <c r="M4512">
        <v>82</v>
      </c>
      <c r="N4512">
        <v>0.65</v>
      </c>
      <c r="O4512">
        <v>63</v>
      </c>
      <c r="P4512">
        <v>-24.95</v>
      </c>
      <c r="Q4512">
        <v>63</v>
      </c>
      <c r="R4512">
        <v>-6.19</v>
      </c>
      <c r="S4512">
        <v>75</v>
      </c>
      <c r="T4512">
        <v>17.75</v>
      </c>
      <c r="U4512">
        <v>59</v>
      </c>
      <c r="V4512">
        <v>-10.19</v>
      </c>
      <c r="W4512">
        <v>62</v>
      </c>
      <c r="X4512" t="s">
        <v>251</v>
      </c>
      <c r="Y4512" t="s">
        <v>171</v>
      </c>
      <c r="Z4512" t="s">
        <v>96</v>
      </c>
      <c r="AA4512" t="s">
        <v>1273</v>
      </c>
      <c r="AB4512" t="s">
        <v>8080</v>
      </c>
      <c r="AC4512">
        <v>0</v>
      </c>
      <c r="AD4512">
        <v>0</v>
      </c>
      <c r="AE4512">
        <v>92</v>
      </c>
      <c r="AF4512">
        <v>-83.69</v>
      </c>
      <c r="AG4512">
        <v>4.6399999999999997</v>
      </c>
      <c r="AH4512">
        <v>-3.54</v>
      </c>
      <c r="AI4512">
        <v>0.14000000000000001</v>
      </c>
      <c r="AJ4512">
        <v>-0.01</v>
      </c>
      <c r="AK4512">
        <v>82</v>
      </c>
      <c r="AL4512">
        <v>0</v>
      </c>
      <c r="AM4512">
        <v>0</v>
      </c>
      <c r="AN4512">
        <v>4.87</v>
      </c>
      <c r="AO4512">
        <v>-3.64</v>
      </c>
      <c r="AP4512">
        <v>10</v>
      </c>
      <c r="AQ4512">
        <v>0</v>
      </c>
      <c r="AR4512">
        <v>7.81</v>
      </c>
      <c r="AS4512">
        <v>56</v>
      </c>
      <c r="AT4512">
        <v>3.28</v>
      </c>
      <c r="AU4512">
        <v>84</v>
      </c>
      <c r="AV4512">
        <v>-1.1200000000000001</v>
      </c>
      <c r="AW4512">
        <v>59</v>
      </c>
      <c r="AX4512">
        <v>-0.62</v>
      </c>
      <c r="AY4512">
        <v>53</v>
      </c>
      <c r="AZ4512">
        <v>7.35</v>
      </c>
      <c r="BA4512">
        <v>47</v>
      </c>
      <c r="BB4512">
        <v>6.19</v>
      </c>
      <c r="BC4512">
        <v>50</v>
      </c>
      <c r="BD4512">
        <v>0.05</v>
      </c>
      <c r="BE4512">
        <v>0.01</v>
      </c>
      <c r="BF4512">
        <v>0.04</v>
      </c>
      <c r="BG4512">
        <v>90</v>
      </c>
      <c r="BH4512">
        <v>-0.08</v>
      </c>
      <c r="BI4512">
        <v>23.62</v>
      </c>
      <c r="BJ4512">
        <v>2</v>
      </c>
      <c r="BK4512">
        <v>1</v>
      </c>
      <c r="BL4512">
        <v>0.3</v>
      </c>
      <c r="BM4512">
        <v>-2.11</v>
      </c>
      <c r="BN4512">
        <v>0.1</v>
      </c>
      <c r="BO4512">
        <v>0.85</v>
      </c>
      <c r="BP4512">
        <v>-0.37</v>
      </c>
      <c r="BQ4512">
        <v>1.31</v>
      </c>
      <c r="BR4512">
        <v>-0.08</v>
      </c>
      <c r="BS4512">
        <v>-0.88</v>
      </c>
      <c r="BT4512">
        <v>0.61</v>
      </c>
      <c r="BU4512">
        <v>1.98</v>
      </c>
      <c r="BV4512">
        <v>1.36</v>
      </c>
      <c r="BW4512">
        <v>0.85</v>
      </c>
      <c r="BX4512">
        <v>1.0900000000000001</v>
      </c>
      <c r="BY4512">
        <v>0.86</v>
      </c>
      <c r="BZ4512">
        <v>1.71</v>
      </c>
      <c r="CA4512">
        <v>1.26</v>
      </c>
      <c r="CB4512">
        <v>1.37</v>
      </c>
      <c r="CC4512">
        <v>0.42</v>
      </c>
      <c r="CD4512">
        <v>-1.42</v>
      </c>
      <c r="CE4512">
        <v>1.1200000000000001</v>
      </c>
      <c r="CF4512">
        <v>0.73</v>
      </c>
      <c r="CG4512">
        <v>0</v>
      </c>
      <c r="CH4512">
        <v>0.28000000000000003</v>
      </c>
      <c r="CI4512">
        <v>0</v>
      </c>
      <c r="CJ4512">
        <v>-12.6</v>
      </c>
      <c r="CK4512">
        <v>65</v>
      </c>
      <c r="CL4512">
        <v>-1.26</v>
      </c>
      <c r="CM4512">
        <v>62</v>
      </c>
      <c r="CN4512">
        <v>-0.62</v>
      </c>
      <c r="CO4512">
        <v>59</v>
      </c>
      <c r="CP4512">
        <v>-12.1</v>
      </c>
      <c r="CQ4512">
        <v>63</v>
      </c>
      <c r="CR4512">
        <v>0</v>
      </c>
      <c r="CS4512">
        <v>0</v>
      </c>
      <c r="CT4512">
        <v>-10.199999999999999</v>
      </c>
      <c r="CU4512">
        <v>59</v>
      </c>
      <c r="CV4512">
        <v>0.06</v>
      </c>
      <c r="CW4512">
        <v>38</v>
      </c>
      <c r="CX4512" t="s">
        <v>768</v>
      </c>
    </row>
    <row r="4513" spans="1:102" x14ac:dyDescent="0.3">
      <c r="A4513" t="str">
        <f>HYPERLINK("https://webapp.icbf.com/v2/app/bull-search/view/77856310","JKN")</f>
        <v>JKN</v>
      </c>
      <c r="B4513" t="s">
        <v>8005</v>
      </c>
      <c r="C4513" t="s">
        <v>8006</v>
      </c>
      <c r="D4513" s="1">
        <v>34466</v>
      </c>
      <c r="E4513" t="s">
        <v>92</v>
      </c>
      <c r="F4513">
        <v>100</v>
      </c>
      <c r="G4513" t="s">
        <v>93</v>
      </c>
      <c r="H4513">
        <v>-133.49</v>
      </c>
      <c r="I4513">
        <v>61</v>
      </c>
      <c r="J4513">
        <v>-20.39</v>
      </c>
      <c r="K4513">
        <v>85</v>
      </c>
      <c r="L4513">
        <v>-111.91</v>
      </c>
      <c r="M4513">
        <v>49</v>
      </c>
      <c r="N4513">
        <v>12.87</v>
      </c>
      <c r="O4513">
        <v>46</v>
      </c>
      <c r="P4513">
        <v>-6.4</v>
      </c>
      <c r="Q4513">
        <v>60</v>
      </c>
      <c r="R4513">
        <v>-10.82</v>
      </c>
      <c r="S4513">
        <v>55</v>
      </c>
      <c r="T4513">
        <v>4.0599999999999996</v>
      </c>
      <c r="U4513">
        <v>48</v>
      </c>
      <c r="V4513">
        <v>-0.9</v>
      </c>
      <c r="W4513">
        <v>25</v>
      </c>
      <c r="X4513" t="s">
        <v>94</v>
      </c>
      <c r="Y4513" t="s">
        <v>95</v>
      </c>
      <c r="Z4513" t="s">
        <v>96</v>
      </c>
      <c r="AA4513" t="s">
        <v>3216</v>
      </c>
      <c r="AB4513" t="s">
        <v>8007</v>
      </c>
      <c r="AC4513">
        <v>26</v>
      </c>
      <c r="AD4513">
        <v>25</v>
      </c>
      <c r="AE4513">
        <v>85</v>
      </c>
      <c r="AF4513">
        <v>-3.83</v>
      </c>
      <c r="AG4513">
        <v>-1.32</v>
      </c>
      <c r="AH4513">
        <v>-3.06</v>
      </c>
      <c r="AI4513">
        <v>-0.02</v>
      </c>
      <c r="AJ4513">
        <v>-0.05</v>
      </c>
      <c r="AK4513">
        <v>49</v>
      </c>
      <c r="AL4513">
        <v>30</v>
      </c>
      <c r="AM4513">
        <v>25</v>
      </c>
      <c r="AN4513">
        <v>6.46</v>
      </c>
      <c r="AO4513">
        <v>-2.46</v>
      </c>
      <c r="AP4513">
        <v>2</v>
      </c>
      <c r="AQ4513">
        <v>5</v>
      </c>
      <c r="AR4513">
        <v>5.78</v>
      </c>
      <c r="AS4513">
        <v>28</v>
      </c>
      <c r="AT4513">
        <v>2.91</v>
      </c>
      <c r="AU4513">
        <v>39</v>
      </c>
      <c r="AV4513">
        <v>-0.39</v>
      </c>
      <c r="AW4513">
        <v>57</v>
      </c>
      <c r="AX4513">
        <v>-0.04</v>
      </c>
      <c r="AY4513">
        <v>54</v>
      </c>
      <c r="AZ4513">
        <v>5.34</v>
      </c>
      <c r="BA4513">
        <v>27</v>
      </c>
      <c r="BB4513">
        <v>4.62</v>
      </c>
      <c r="BC4513">
        <v>36</v>
      </c>
      <c r="BD4513">
        <v>0.04</v>
      </c>
      <c r="BE4513">
        <v>0.08</v>
      </c>
      <c r="BF4513">
        <v>0.03</v>
      </c>
      <c r="BG4513">
        <v>68</v>
      </c>
      <c r="BH4513">
        <v>-0.01</v>
      </c>
      <c r="BI4513">
        <v>1.75</v>
      </c>
      <c r="BJ4513">
        <v>10</v>
      </c>
      <c r="BK4513">
        <v>9</v>
      </c>
      <c r="BL4513">
        <v>0.99</v>
      </c>
      <c r="BM4513">
        <v>-0.67</v>
      </c>
      <c r="BN4513">
        <v>1</v>
      </c>
      <c r="BO4513">
        <v>0.87</v>
      </c>
      <c r="BP4513">
        <v>-1.86</v>
      </c>
      <c r="BQ4513">
        <v>0.55000000000000004</v>
      </c>
      <c r="BR4513">
        <v>1.77</v>
      </c>
      <c r="BS4513">
        <v>-1.76</v>
      </c>
      <c r="BT4513">
        <v>-0.83</v>
      </c>
      <c r="BU4513">
        <v>-0.2</v>
      </c>
      <c r="BV4513">
        <v>0.08</v>
      </c>
      <c r="BW4513">
        <v>0.53</v>
      </c>
      <c r="BX4513">
        <v>0.4</v>
      </c>
      <c r="BY4513">
        <v>-0.65</v>
      </c>
      <c r="BZ4513">
        <v>0.66</v>
      </c>
      <c r="CA4513">
        <v>-0.43</v>
      </c>
      <c r="CB4513">
        <v>-0.09</v>
      </c>
      <c r="CC4513">
        <v>-0.83</v>
      </c>
      <c r="CD4513">
        <v>-0.89</v>
      </c>
      <c r="CE4513">
        <v>1.1100000000000001</v>
      </c>
      <c r="CF4513">
        <v>1.23</v>
      </c>
      <c r="CG4513">
        <v>0</v>
      </c>
      <c r="CH4513">
        <v>-0.86</v>
      </c>
      <c r="CI4513">
        <v>0</v>
      </c>
      <c r="CJ4513">
        <v>-0.3</v>
      </c>
      <c r="CK4513">
        <v>62</v>
      </c>
      <c r="CL4513">
        <v>-0.87</v>
      </c>
      <c r="CM4513">
        <v>58</v>
      </c>
      <c r="CN4513">
        <v>-0.28000000000000003</v>
      </c>
      <c r="CO4513">
        <v>54</v>
      </c>
      <c r="CP4513">
        <v>-1.9</v>
      </c>
      <c r="CQ4513">
        <v>65</v>
      </c>
      <c r="CR4513">
        <v>0</v>
      </c>
      <c r="CS4513">
        <v>0</v>
      </c>
      <c r="CT4513">
        <v>8.3000000000000007</v>
      </c>
      <c r="CU4513">
        <v>48</v>
      </c>
      <c r="CV4513">
        <v>0.27</v>
      </c>
      <c r="CW4513">
        <v>16</v>
      </c>
      <c r="CX4513" t="s">
        <v>2850</v>
      </c>
    </row>
    <row r="4514" spans="1:102" x14ac:dyDescent="0.3">
      <c r="A4514" t="str">
        <f>HYPERLINK("https://webapp.icbf.com/v2/app/bull-search/view/77856823","HEC")</f>
        <v>HEC</v>
      </c>
      <c r="B4514" t="s">
        <v>800</v>
      </c>
      <c r="C4514" t="s">
        <v>801</v>
      </c>
      <c r="D4514" s="1">
        <v>33354</v>
      </c>
      <c r="E4514" t="s">
        <v>92</v>
      </c>
      <c r="F4514">
        <v>100</v>
      </c>
      <c r="G4514" t="s">
        <v>109</v>
      </c>
      <c r="H4514">
        <v>-133.61000000000001</v>
      </c>
      <c r="I4514">
        <v>68</v>
      </c>
      <c r="J4514">
        <v>16.07</v>
      </c>
      <c r="K4514">
        <v>78</v>
      </c>
      <c r="L4514">
        <v>-131.77000000000001</v>
      </c>
      <c r="M4514">
        <v>72</v>
      </c>
      <c r="N4514">
        <v>-6.49</v>
      </c>
      <c r="O4514">
        <v>52</v>
      </c>
      <c r="P4514">
        <v>-13.85</v>
      </c>
      <c r="Q4514">
        <v>57</v>
      </c>
      <c r="R4514">
        <v>-7.03</v>
      </c>
      <c r="S4514">
        <v>65</v>
      </c>
      <c r="T4514">
        <v>13.53</v>
      </c>
      <c r="U4514">
        <v>59</v>
      </c>
      <c r="V4514">
        <v>-4.07</v>
      </c>
      <c r="W4514">
        <v>35</v>
      </c>
      <c r="X4514" t="s">
        <v>747</v>
      </c>
      <c r="Y4514" t="s">
        <v>95</v>
      </c>
      <c r="Z4514" t="s">
        <v>96</v>
      </c>
      <c r="AA4514" t="s">
        <v>161</v>
      </c>
      <c r="AB4514" t="s">
        <v>802</v>
      </c>
      <c r="AC4514">
        <v>0</v>
      </c>
      <c r="AD4514">
        <v>0</v>
      </c>
      <c r="AE4514">
        <v>78</v>
      </c>
      <c r="AF4514">
        <v>192.83</v>
      </c>
      <c r="AG4514">
        <v>6.09</v>
      </c>
      <c r="AH4514">
        <v>3.53</v>
      </c>
      <c r="AI4514">
        <v>-0.02</v>
      </c>
      <c r="AJ4514">
        <v>-0.05</v>
      </c>
      <c r="AK4514">
        <v>72</v>
      </c>
      <c r="AL4514">
        <v>0</v>
      </c>
      <c r="AM4514">
        <v>0</v>
      </c>
      <c r="AN4514">
        <v>8.6</v>
      </c>
      <c r="AO4514">
        <v>-1.89</v>
      </c>
      <c r="AP4514">
        <v>13</v>
      </c>
      <c r="AQ4514">
        <v>0</v>
      </c>
      <c r="AR4514">
        <v>8.83</v>
      </c>
      <c r="AS4514">
        <v>39</v>
      </c>
      <c r="AT4514">
        <v>3.98</v>
      </c>
      <c r="AU4514">
        <v>76</v>
      </c>
      <c r="AV4514">
        <v>-0.56000000000000005</v>
      </c>
      <c r="AW4514">
        <v>47</v>
      </c>
      <c r="AX4514">
        <v>-0.8</v>
      </c>
      <c r="AY4514">
        <v>48</v>
      </c>
      <c r="AZ4514">
        <v>7.18</v>
      </c>
      <c r="BA4514">
        <v>33</v>
      </c>
      <c r="BB4514">
        <v>5.03</v>
      </c>
      <c r="BC4514">
        <v>40</v>
      </c>
      <c r="BD4514">
        <v>0.01</v>
      </c>
      <c r="BE4514">
        <v>0.05</v>
      </c>
      <c r="BF4514">
        <v>0.05</v>
      </c>
      <c r="BG4514">
        <v>84</v>
      </c>
      <c r="BH4514">
        <v>-0.03</v>
      </c>
      <c r="BI4514">
        <v>9.67</v>
      </c>
      <c r="BJ4514">
        <v>2</v>
      </c>
      <c r="BK4514">
        <v>2</v>
      </c>
      <c r="BL4514">
        <v>0.52</v>
      </c>
      <c r="BM4514">
        <v>-0.23</v>
      </c>
      <c r="BN4514">
        <v>0.02</v>
      </c>
      <c r="BO4514">
        <v>0.47</v>
      </c>
      <c r="BP4514">
        <v>-0.37</v>
      </c>
      <c r="BQ4514">
        <v>-1.08</v>
      </c>
      <c r="BR4514">
        <v>-0.21</v>
      </c>
      <c r="BS4514">
        <v>-0.13</v>
      </c>
      <c r="BT4514">
        <v>0.6</v>
      </c>
      <c r="BU4514">
        <v>0.15</v>
      </c>
      <c r="BV4514">
        <v>0.73</v>
      </c>
      <c r="BW4514">
        <v>-0.32</v>
      </c>
      <c r="BX4514">
        <v>0.99</v>
      </c>
      <c r="BY4514">
        <v>-1.32</v>
      </c>
      <c r="BZ4514">
        <v>0.14000000000000001</v>
      </c>
      <c r="CA4514">
        <v>0.73</v>
      </c>
      <c r="CB4514">
        <v>0.19</v>
      </c>
      <c r="CC4514">
        <v>0.84</v>
      </c>
      <c r="CD4514">
        <v>-0.9</v>
      </c>
      <c r="CE4514">
        <v>0.38</v>
      </c>
      <c r="CF4514">
        <v>0.13</v>
      </c>
      <c r="CG4514">
        <v>0</v>
      </c>
      <c r="CH4514">
        <v>-0.02</v>
      </c>
      <c r="CI4514">
        <v>0</v>
      </c>
      <c r="CJ4514">
        <v>-5.9</v>
      </c>
      <c r="CK4514">
        <v>58</v>
      </c>
      <c r="CL4514">
        <v>-0.93</v>
      </c>
      <c r="CM4514">
        <v>54</v>
      </c>
      <c r="CN4514">
        <v>-0.41</v>
      </c>
      <c r="CO4514">
        <v>47</v>
      </c>
      <c r="CP4514">
        <v>-6.1</v>
      </c>
      <c r="CQ4514">
        <v>73</v>
      </c>
      <c r="CR4514">
        <v>0</v>
      </c>
      <c r="CS4514">
        <v>0</v>
      </c>
      <c r="CT4514">
        <v>-4.5</v>
      </c>
      <c r="CU4514">
        <v>59</v>
      </c>
      <c r="CV4514">
        <v>0.17</v>
      </c>
      <c r="CW4514">
        <v>15</v>
      </c>
      <c r="CX4514" t="s">
        <v>166</v>
      </c>
    </row>
    <row r="4515" spans="1:102" x14ac:dyDescent="0.3">
      <c r="A4515" t="str">
        <f>HYPERLINK("https://webapp.icbf.com/v2/app/bull-search/view/77854345","QGK")</f>
        <v>QGK</v>
      </c>
      <c r="B4515" t="s">
        <v>14098</v>
      </c>
      <c r="C4515" t="s">
        <v>14099</v>
      </c>
      <c r="D4515" s="1">
        <v>35469</v>
      </c>
      <c r="E4515" t="s">
        <v>92</v>
      </c>
      <c r="F4515">
        <v>97</v>
      </c>
      <c r="G4515" t="s">
        <v>93</v>
      </c>
      <c r="H4515">
        <v>-133.69</v>
      </c>
      <c r="I4515">
        <v>79</v>
      </c>
      <c r="J4515">
        <v>30.56</v>
      </c>
      <c r="K4515">
        <v>94</v>
      </c>
      <c r="L4515">
        <v>-136.03</v>
      </c>
      <c r="M4515">
        <v>76</v>
      </c>
      <c r="N4515">
        <v>-34.14</v>
      </c>
      <c r="O4515">
        <v>67</v>
      </c>
      <c r="P4515">
        <v>-2.64</v>
      </c>
      <c r="Q4515">
        <v>70</v>
      </c>
      <c r="R4515">
        <v>1.74</v>
      </c>
      <c r="S4515">
        <v>75</v>
      </c>
      <c r="T4515">
        <v>13.68</v>
      </c>
      <c r="U4515">
        <v>67</v>
      </c>
      <c r="V4515">
        <v>-6.86</v>
      </c>
      <c r="W4515">
        <v>64</v>
      </c>
      <c r="X4515" t="s">
        <v>94</v>
      </c>
      <c r="Y4515" t="s">
        <v>95</v>
      </c>
      <c r="Z4515" t="s">
        <v>96</v>
      </c>
      <c r="AA4515" t="s">
        <v>97</v>
      </c>
      <c r="AB4515" t="s">
        <v>3843</v>
      </c>
      <c r="AC4515">
        <v>29</v>
      </c>
      <c r="AD4515">
        <v>28</v>
      </c>
      <c r="AE4515">
        <v>94</v>
      </c>
      <c r="AF4515">
        <v>27.54</v>
      </c>
      <c r="AG4515">
        <v>10.43</v>
      </c>
      <c r="AH4515">
        <v>1.93</v>
      </c>
      <c r="AI4515">
        <v>0.16</v>
      </c>
      <c r="AJ4515">
        <v>0.02</v>
      </c>
      <c r="AK4515">
        <v>76</v>
      </c>
      <c r="AL4515">
        <v>26</v>
      </c>
      <c r="AM4515">
        <v>24</v>
      </c>
      <c r="AN4515">
        <v>6.53</v>
      </c>
      <c r="AO4515">
        <v>-4.33</v>
      </c>
      <c r="AP4515">
        <v>2</v>
      </c>
      <c r="AQ4515">
        <v>0</v>
      </c>
      <c r="AR4515">
        <v>14.08</v>
      </c>
      <c r="AS4515">
        <v>58</v>
      </c>
      <c r="AT4515">
        <v>5.53</v>
      </c>
      <c r="AU4515">
        <v>72</v>
      </c>
      <c r="AV4515">
        <v>-2.2000000000000002</v>
      </c>
      <c r="AW4515">
        <v>70</v>
      </c>
      <c r="AX4515">
        <v>-0.24</v>
      </c>
      <c r="AY4515">
        <v>64</v>
      </c>
      <c r="AZ4515">
        <v>6.83</v>
      </c>
      <c r="BA4515">
        <v>51</v>
      </c>
      <c r="BB4515">
        <v>5.22</v>
      </c>
      <c r="BC4515">
        <v>57</v>
      </c>
      <c r="BD4515">
        <v>0</v>
      </c>
      <c r="BE4515">
        <v>0</v>
      </c>
      <c r="BF4515">
        <v>-0.04</v>
      </c>
      <c r="BG4515">
        <v>85</v>
      </c>
      <c r="BH4515">
        <v>-0.14000000000000001</v>
      </c>
      <c r="BI4515">
        <v>5.92</v>
      </c>
      <c r="BJ4515">
        <v>0</v>
      </c>
      <c r="BK4515">
        <v>0</v>
      </c>
      <c r="BL4515">
        <v>-0.31</v>
      </c>
      <c r="BM4515">
        <v>-0.75</v>
      </c>
      <c r="BN4515">
        <v>0</v>
      </c>
      <c r="BO4515">
        <v>0.15</v>
      </c>
      <c r="BP4515">
        <v>0.6</v>
      </c>
      <c r="BQ4515">
        <v>-2.99</v>
      </c>
      <c r="BR4515">
        <v>0.33</v>
      </c>
      <c r="BS4515">
        <v>-0.85</v>
      </c>
      <c r="BT4515">
        <v>-1.31</v>
      </c>
      <c r="BU4515">
        <v>-0.62</v>
      </c>
      <c r="BV4515">
        <v>-0.44</v>
      </c>
      <c r="BW4515">
        <v>-7.0000000000000007E-2</v>
      </c>
      <c r="BX4515">
        <v>-1.1299999999999999</v>
      </c>
      <c r="BY4515">
        <v>-1.07</v>
      </c>
      <c r="BZ4515">
        <v>0.4</v>
      </c>
      <c r="CA4515">
        <v>-0.61</v>
      </c>
      <c r="CB4515">
        <v>-0.2</v>
      </c>
      <c r="CC4515">
        <v>-0.85</v>
      </c>
      <c r="CD4515">
        <v>-0.65</v>
      </c>
      <c r="CE4515">
        <v>0.21</v>
      </c>
      <c r="CF4515">
        <v>-0.43</v>
      </c>
      <c r="CG4515">
        <v>0</v>
      </c>
      <c r="CH4515">
        <v>0.2</v>
      </c>
      <c r="CI4515">
        <v>0</v>
      </c>
      <c r="CJ4515">
        <v>0.1</v>
      </c>
      <c r="CK4515">
        <v>71</v>
      </c>
      <c r="CL4515">
        <v>-0.53</v>
      </c>
      <c r="CM4515">
        <v>68</v>
      </c>
      <c r="CN4515">
        <v>-0.3</v>
      </c>
      <c r="CO4515">
        <v>65</v>
      </c>
      <c r="CP4515">
        <v>-5.5</v>
      </c>
      <c r="CQ4515">
        <v>77</v>
      </c>
      <c r="CR4515">
        <v>0</v>
      </c>
      <c r="CS4515">
        <v>0</v>
      </c>
      <c r="CT4515">
        <v>-4.7</v>
      </c>
      <c r="CU4515">
        <v>67</v>
      </c>
      <c r="CV4515">
        <v>0.09</v>
      </c>
      <c r="CW4515">
        <v>39</v>
      </c>
      <c r="CX4515" t="s">
        <v>193</v>
      </c>
    </row>
    <row r="4516" spans="1:102" x14ac:dyDescent="0.3">
      <c r="A4516" t="str">
        <f>HYPERLINK("https://webapp.icbf.com/v2/app/bull-search/view/139418676","MCX")</f>
        <v>MCX</v>
      </c>
      <c r="B4516" t="s">
        <v>11606</v>
      </c>
      <c r="C4516" t="s">
        <v>11607</v>
      </c>
      <c r="D4516" s="1">
        <v>35262</v>
      </c>
      <c r="E4516" t="s">
        <v>92</v>
      </c>
      <c r="F4516">
        <v>100</v>
      </c>
      <c r="G4516" t="s">
        <v>109</v>
      </c>
      <c r="H4516">
        <v>-133.88999999999999</v>
      </c>
      <c r="I4516">
        <v>86</v>
      </c>
      <c r="J4516">
        <v>10.16</v>
      </c>
      <c r="K4516">
        <v>95</v>
      </c>
      <c r="L4516">
        <v>-147.9</v>
      </c>
      <c r="M4516">
        <v>83</v>
      </c>
      <c r="N4516">
        <v>6.53</v>
      </c>
      <c r="O4516">
        <v>81</v>
      </c>
      <c r="P4516">
        <v>-9.9600000000000009</v>
      </c>
      <c r="Q4516">
        <v>89</v>
      </c>
      <c r="R4516">
        <v>-3.1</v>
      </c>
      <c r="S4516">
        <v>78</v>
      </c>
      <c r="T4516">
        <v>12.86</v>
      </c>
      <c r="U4516">
        <v>82</v>
      </c>
      <c r="V4516">
        <v>-2.48</v>
      </c>
      <c r="W4516">
        <v>69</v>
      </c>
      <c r="X4516" t="s">
        <v>94</v>
      </c>
      <c r="Y4516" t="s">
        <v>95</v>
      </c>
      <c r="Z4516" t="s">
        <v>96</v>
      </c>
      <c r="AA4516" t="s">
        <v>924</v>
      </c>
      <c r="AB4516" t="s">
        <v>10343</v>
      </c>
      <c r="AC4516">
        <v>38</v>
      </c>
      <c r="AD4516">
        <v>27</v>
      </c>
      <c r="AE4516">
        <v>95</v>
      </c>
      <c r="AF4516">
        <v>62.06</v>
      </c>
      <c r="AG4516">
        <v>0.22</v>
      </c>
      <c r="AH4516">
        <v>2.6</v>
      </c>
      <c r="AI4516">
        <v>-0.04</v>
      </c>
      <c r="AJ4516">
        <v>0.01</v>
      </c>
      <c r="AK4516">
        <v>83</v>
      </c>
      <c r="AL4516">
        <v>54</v>
      </c>
      <c r="AM4516">
        <v>38</v>
      </c>
      <c r="AN4516">
        <v>9.1999999999999993</v>
      </c>
      <c r="AO4516">
        <v>-2.58</v>
      </c>
      <c r="AP4516">
        <v>83</v>
      </c>
      <c r="AQ4516">
        <v>0</v>
      </c>
      <c r="AR4516">
        <v>7.33</v>
      </c>
      <c r="AS4516">
        <v>80</v>
      </c>
      <c r="AT4516">
        <v>3.09</v>
      </c>
      <c r="AU4516">
        <v>88</v>
      </c>
      <c r="AV4516">
        <v>-0.32</v>
      </c>
      <c r="AW4516">
        <v>89</v>
      </c>
      <c r="AX4516">
        <v>-0.43</v>
      </c>
      <c r="AY4516">
        <v>75</v>
      </c>
      <c r="AZ4516">
        <v>6.31</v>
      </c>
      <c r="BA4516">
        <v>54</v>
      </c>
      <c r="BB4516">
        <v>4.6500000000000004</v>
      </c>
      <c r="BC4516">
        <v>58</v>
      </c>
      <c r="BD4516">
        <v>0.02</v>
      </c>
      <c r="BE4516">
        <v>0.02</v>
      </c>
      <c r="BF4516">
        <v>0</v>
      </c>
      <c r="BG4516">
        <v>88</v>
      </c>
      <c r="BH4516">
        <v>7.0000000000000007E-2</v>
      </c>
      <c r="BI4516">
        <v>16.09</v>
      </c>
      <c r="BJ4516">
        <v>2</v>
      </c>
      <c r="BK4516">
        <v>2</v>
      </c>
      <c r="BL4516">
        <v>0.26</v>
      </c>
      <c r="BM4516">
        <v>-0.73</v>
      </c>
      <c r="BN4516">
        <v>-0.8</v>
      </c>
      <c r="BO4516">
        <v>0.06</v>
      </c>
      <c r="BP4516">
        <v>-0.45</v>
      </c>
      <c r="BQ4516">
        <v>-2.77</v>
      </c>
      <c r="BR4516">
        <v>-0.37</v>
      </c>
      <c r="BS4516">
        <v>-1.17</v>
      </c>
      <c r="BT4516">
        <v>1.1399999999999999</v>
      </c>
      <c r="BU4516">
        <v>0.19</v>
      </c>
      <c r="BV4516">
        <v>0.42</v>
      </c>
      <c r="BW4516">
        <v>-0.88</v>
      </c>
      <c r="BX4516">
        <v>1.45</v>
      </c>
      <c r="BY4516">
        <v>0.15</v>
      </c>
      <c r="BZ4516">
        <v>0.6</v>
      </c>
      <c r="CA4516">
        <v>0.18</v>
      </c>
      <c r="CB4516">
        <v>0.12</v>
      </c>
      <c r="CC4516">
        <v>-0.16</v>
      </c>
      <c r="CD4516">
        <v>-0.2</v>
      </c>
      <c r="CE4516">
        <v>0.65</v>
      </c>
      <c r="CF4516">
        <v>0.68</v>
      </c>
      <c r="CG4516">
        <v>0</v>
      </c>
      <c r="CH4516">
        <v>-0.34</v>
      </c>
      <c r="CI4516">
        <v>0</v>
      </c>
      <c r="CJ4516">
        <v>-4</v>
      </c>
      <c r="CK4516">
        <v>90</v>
      </c>
      <c r="CL4516">
        <v>-0.85</v>
      </c>
      <c r="CM4516">
        <v>88</v>
      </c>
      <c r="CN4516">
        <v>-0.42</v>
      </c>
      <c r="CO4516">
        <v>87</v>
      </c>
      <c r="CP4516">
        <v>-3.9</v>
      </c>
      <c r="CQ4516">
        <v>87</v>
      </c>
      <c r="CR4516">
        <v>0</v>
      </c>
      <c r="CS4516">
        <v>0</v>
      </c>
      <c r="CT4516">
        <v>-3.6</v>
      </c>
      <c r="CU4516">
        <v>82</v>
      </c>
      <c r="CV4516">
        <v>7.0000000000000007E-2</v>
      </c>
      <c r="CW4516">
        <v>44</v>
      </c>
      <c r="CX4516" t="s">
        <v>161</v>
      </c>
    </row>
    <row r="4517" spans="1:102" x14ac:dyDescent="0.3">
      <c r="A4517" t="str">
        <f>HYPERLINK("https://webapp.icbf.com/v2/app/bull-search/view/124415080","SIU")</f>
        <v>SIU</v>
      </c>
      <c r="B4517" t="s">
        <v>1308</v>
      </c>
      <c r="C4517" t="s">
        <v>1309</v>
      </c>
      <c r="D4517" s="1">
        <v>35097</v>
      </c>
      <c r="E4517" t="s">
        <v>92</v>
      </c>
      <c r="F4517">
        <v>91</v>
      </c>
      <c r="G4517" t="s">
        <v>93</v>
      </c>
      <c r="H4517">
        <v>-134.08000000000001</v>
      </c>
      <c r="I4517">
        <v>64</v>
      </c>
      <c r="J4517">
        <v>-25.51</v>
      </c>
      <c r="K4517">
        <v>88</v>
      </c>
      <c r="L4517">
        <v>-94.12</v>
      </c>
      <c r="M4517">
        <v>50</v>
      </c>
      <c r="N4517">
        <v>2.52</v>
      </c>
      <c r="O4517">
        <v>51</v>
      </c>
      <c r="P4517">
        <v>-22.96</v>
      </c>
      <c r="Q4517">
        <v>67</v>
      </c>
      <c r="R4517">
        <v>-10.76</v>
      </c>
      <c r="S4517">
        <v>54</v>
      </c>
      <c r="T4517">
        <v>22.41</v>
      </c>
      <c r="U4517">
        <v>54</v>
      </c>
      <c r="V4517">
        <v>-5.66</v>
      </c>
      <c r="W4517">
        <v>28</v>
      </c>
      <c r="X4517" t="s">
        <v>110</v>
      </c>
      <c r="Y4517" t="s">
        <v>95</v>
      </c>
      <c r="Z4517" t="s">
        <v>96</v>
      </c>
      <c r="AA4517" t="s">
        <v>265</v>
      </c>
      <c r="AB4517" t="s">
        <v>1310</v>
      </c>
      <c r="AC4517">
        <v>35</v>
      </c>
      <c r="AD4517">
        <v>1</v>
      </c>
      <c r="AE4517">
        <v>88</v>
      </c>
      <c r="AF4517">
        <v>-452.26</v>
      </c>
      <c r="AG4517">
        <v>-1.19</v>
      </c>
      <c r="AH4517">
        <v>-10.84</v>
      </c>
      <c r="AI4517">
        <v>0.28999999999999998</v>
      </c>
      <c r="AJ4517">
        <v>0.08</v>
      </c>
      <c r="AK4517">
        <v>50</v>
      </c>
      <c r="AL4517">
        <v>28</v>
      </c>
      <c r="AM4517">
        <v>3</v>
      </c>
      <c r="AN4517">
        <v>5.57</v>
      </c>
      <c r="AO4517">
        <v>-1.93</v>
      </c>
      <c r="AP4517">
        <v>5</v>
      </c>
      <c r="AQ4517">
        <v>0</v>
      </c>
      <c r="AR4517">
        <v>7.74</v>
      </c>
      <c r="AS4517">
        <v>34</v>
      </c>
      <c r="AT4517">
        <v>3.43</v>
      </c>
      <c r="AU4517">
        <v>51</v>
      </c>
      <c r="AV4517">
        <v>-1.26</v>
      </c>
      <c r="AW4517">
        <v>56</v>
      </c>
      <c r="AX4517">
        <v>-0.51</v>
      </c>
      <c r="AY4517">
        <v>54</v>
      </c>
      <c r="AZ4517">
        <v>7.45</v>
      </c>
      <c r="BA4517">
        <v>34</v>
      </c>
      <c r="BB4517">
        <v>5.77</v>
      </c>
      <c r="BC4517">
        <v>47</v>
      </c>
      <c r="BD4517">
        <v>0.02</v>
      </c>
      <c r="BE4517">
        <v>0.06</v>
      </c>
      <c r="BF4517">
        <v>0.1</v>
      </c>
      <c r="BG4517">
        <v>64</v>
      </c>
      <c r="BH4517">
        <v>-0.05</v>
      </c>
      <c r="BI4517">
        <v>12.46</v>
      </c>
      <c r="BJ4517">
        <v>0</v>
      </c>
      <c r="BK4517">
        <v>0</v>
      </c>
      <c r="BL4517">
        <v>-0.83</v>
      </c>
      <c r="BM4517">
        <v>-1.78</v>
      </c>
      <c r="BN4517">
        <v>-1.27</v>
      </c>
      <c r="BO4517">
        <v>-0.04</v>
      </c>
      <c r="BP4517">
        <v>-0.61</v>
      </c>
      <c r="BQ4517">
        <v>-2.37</v>
      </c>
      <c r="BR4517">
        <v>-0.66</v>
      </c>
      <c r="BS4517">
        <v>1.01</v>
      </c>
      <c r="BT4517">
        <v>0.31</v>
      </c>
      <c r="BU4517">
        <v>-0.47</v>
      </c>
      <c r="BV4517">
        <v>-0.05</v>
      </c>
      <c r="BW4517">
        <v>-0.79</v>
      </c>
      <c r="BX4517">
        <v>-1.1599999999999999</v>
      </c>
      <c r="BY4517">
        <v>0.1</v>
      </c>
      <c r="BZ4517">
        <v>0.5</v>
      </c>
      <c r="CA4517">
        <v>-0.02</v>
      </c>
      <c r="CB4517">
        <v>-0.22</v>
      </c>
      <c r="CC4517">
        <v>0.23</v>
      </c>
      <c r="CD4517">
        <v>-0.66</v>
      </c>
      <c r="CE4517">
        <v>0.16</v>
      </c>
      <c r="CF4517">
        <v>-1.6</v>
      </c>
      <c r="CG4517">
        <v>0</v>
      </c>
      <c r="CH4517">
        <v>0.16</v>
      </c>
      <c r="CI4517">
        <v>0</v>
      </c>
      <c r="CJ4517">
        <v>-12.1</v>
      </c>
      <c r="CK4517">
        <v>68</v>
      </c>
      <c r="CL4517">
        <v>-0.6</v>
      </c>
      <c r="CM4517">
        <v>65</v>
      </c>
      <c r="CN4517">
        <v>-0.15</v>
      </c>
      <c r="CO4517">
        <v>60</v>
      </c>
      <c r="CP4517">
        <v>-12.2</v>
      </c>
      <c r="CQ4517">
        <v>75</v>
      </c>
      <c r="CR4517">
        <v>0</v>
      </c>
      <c r="CS4517">
        <v>0</v>
      </c>
      <c r="CT4517">
        <v>-16.5</v>
      </c>
      <c r="CU4517">
        <v>54</v>
      </c>
      <c r="CV4517">
        <v>-0.08</v>
      </c>
      <c r="CW4517">
        <v>18</v>
      </c>
      <c r="CX4517" t="s">
        <v>999</v>
      </c>
    </row>
    <row r="4518" spans="1:102" x14ac:dyDescent="0.3">
      <c r="A4518" t="str">
        <f>HYPERLINK("https://webapp.icbf.com/v2/app/bull-search/view/77853499","STF")</f>
        <v>STF</v>
      </c>
      <c r="B4518" t="s">
        <v>11173</v>
      </c>
      <c r="C4518" t="s">
        <v>11174</v>
      </c>
      <c r="D4518" s="1">
        <v>35094</v>
      </c>
      <c r="E4518" t="s">
        <v>92</v>
      </c>
      <c r="F4518">
        <v>100</v>
      </c>
      <c r="G4518" t="s">
        <v>93</v>
      </c>
      <c r="H4518">
        <v>-134.08000000000001</v>
      </c>
      <c r="I4518">
        <v>82</v>
      </c>
      <c r="J4518">
        <v>-50.42</v>
      </c>
      <c r="K4518">
        <v>96</v>
      </c>
      <c r="L4518">
        <v>-45.49</v>
      </c>
      <c r="M4518">
        <v>77</v>
      </c>
      <c r="N4518">
        <v>-29.02</v>
      </c>
      <c r="O4518">
        <v>71</v>
      </c>
      <c r="P4518">
        <v>-7.19</v>
      </c>
      <c r="Q4518">
        <v>79</v>
      </c>
      <c r="R4518">
        <v>-11.34</v>
      </c>
      <c r="S4518">
        <v>75</v>
      </c>
      <c r="T4518">
        <v>8.65</v>
      </c>
      <c r="U4518">
        <v>76</v>
      </c>
      <c r="V4518">
        <v>0.73</v>
      </c>
      <c r="W4518">
        <v>62</v>
      </c>
      <c r="X4518" t="s">
        <v>94</v>
      </c>
      <c r="Y4518" t="s">
        <v>95</v>
      </c>
      <c r="Z4518" t="s">
        <v>96</v>
      </c>
      <c r="AA4518" t="s">
        <v>3383</v>
      </c>
      <c r="AB4518" t="s">
        <v>11175</v>
      </c>
      <c r="AC4518">
        <v>65</v>
      </c>
      <c r="AD4518">
        <v>69</v>
      </c>
      <c r="AE4518">
        <v>96</v>
      </c>
      <c r="AF4518">
        <v>125.79</v>
      </c>
      <c r="AG4518">
        <v>-8.2799999999999994</v>
      </c>
      <c r="AH4518">
        <v>-3.72</v>
      </c>
      <c r="AI4518">
        <v>-0.23</v>
      </c>
      <c r="AJ4518">
        <v>-0.14000000000000001</v>
      </c>
      <c r="AK4518">
        <v>77</v>
      </c>
      <c r="AL4518">
        <v>63</v>
      </c>
      <c r="AM4518">
        <v>60</v>
      </c>
      <c r="AN4518">
        <v>3.07</v>
      </c>
      <c r="AO4518">
        <v>-0.55000000000000004</v>
      </c>
      <c r="AP4518">
        <v>0</v>
      </c>
      <c r="AQ4518">
        <v>1</v>
      </c>
      <c r="AR4518">
        <v>11.64</v>
      </c>
      <c r="AS4518">
        <v>53</v>
      </c>
      <c r="AT4518">
        <v>4.91</v>
      </c>
      <c r="AU4518">
        <v>76</v>
      </c>
      <c r="AV4518">
        <v>0.25</v>
      </c>
      <c r="AW4518">
        <v>75</v>
      </c>
      <c r="AX4518">
        <v>-0.44</v>
      </c>
      <c r="AY4518">
        <v>73</v>
      </c>
      <c r="AZ4518">
        <v>5.8</v>
      </c>
      <c r="BA4518">
        <v>46</v>
      </c>
      <c r="BB4518">
        <v>4.3499999999999996</v>
      </c>
      <c r="BC4518">
        <v>66</v>
      </c>
      <c r="BD4518">
        <v>0.04</v>
      </c>
      <c r="BE4518">
        <v>0.06</v>
      </c>
      <c r="BF4518">
        <v>0.08</v>
      </c>
      <c r="BG4518">
        <v>88</v>
      </c>
      <c r="BH4518">
        <v>0.12</v>
      </c>
      <c r="BI4518">
        <v>11.53</v>
      </c>
      <c r="BJ4518">
        <v>1</v>
      </c>
      <c r="BK4518">
        <v>1</v>
      </c>
      <c r="BL4518">
        <v>0.43</v>
      </c>
      <c r="BM4518">
        <v>-7.0000000000000007E-2</v>
      </c>
      <c r="BN4518">
        <v>-1.64</v>
      </c>
      <c r="BO4518">
        <v>-1.31</v>
      </c>
      <c r="BP4518">
        <v>1.59</v>
      </c>
      <c r="BQ4518">
        <v>-0.19</v>
      </c>
      <c r="BR4518">
        <v>1.1299999999999999</v>
      </c>
      <c r="BS4518">
        <v>-3.06</v>
      </c>
      <c r="BT4518">
        <v>-0.39</v>
      </c>
      <c r="BU4518">
        <v>0.16</v>
      </c>
      <c r="BV4518">
        <v>-0.89</v>
      </c>
      <c r="BW4518">
        <v>-0.21</v>
      </c>
      <c r="BX4518">
        <v>1.34</v>
      </c>
      <c r="BY4518">
        <v>0.35</v>
      </c>
      <c r="BZ4518">
        <v>1.23</v>
      </c>
      <c r="CA4518">
        <v>-0.64</v>
      </c>
      <c r="CB4518">
        <v>-0.24</v>
      </c>
      <c r="CC4518">
        <v>-2.21</v>
      </c>
      <c r="CD4518">
        <v>0.9</v>
      </c>
      <c r="CE4518">
        <v>-0.18</v>
      </c>
      <c r="CF4518">
        <v>-0.46</v>
      </c>
      <c r="CG4518">
        <v>0</v>
      </c>
      <c r="CH4518">
        <v>-1.79</v>
      </c>
      <c r="CI4518">
        <v>0</v>
      </c>
      <c r="CJ4518">
        <v>-3.2</v>
      </c>
      <c r="CK4518">
        <v>80</v>
      </c>
      <c r="CL4518">
        <v>-0.74</v>
      </c>
      <c r="CM4518">
        <v>78</v>
      </c>
      <c r="CN4518">
        <v>-0.46</v>
      </c>
      <c r="CO4518">
        <v>75</v>
      </c>
      <c r="CP4518">
        <v>-3.5</v>
      </c>
      <c r="CQ4518">
        <v>84</v>
      </c>
      <c r="CR4518">
        <v>0</v>
      </c>
      <c r="CS4518">
        <v>0</v>
      </c>
      <c r="CT4518">
        <v>2.1</v>
      </c>
      <c r="CU4518">
        <v>76</v>
      </c>
      <c r="CV4518">
        <v>0.04</v>
      </c>
      <c r="CW4518">
        <v>41</v>
      </c>
      <c r="CX4518" t="s">
        <v>485</v>
      </c>
    </row>
    <row r="4519" spans="1:102" x14ac:dyDescent="0.3">
      <c r="A4519" t="str">
        <f>HYPERLINK("https://webapp.icbf.com/v2/app/bull-search/view/77858119","ECU")</f>
        <v>ECU</v>
      </c>
      <c r="B4519" t="s">
        <v>3413</v>
      </c>
      <c r="C4519" t="s">
        <v>265</v>
      </c>
      <c r="D4519" s="1">
        <v>32746</v>
      </c>
      <c r="E4519" t="s">
        <v>92</v>
      </c>
      <c r="F4519">
        <v>100</v>
      </c>
      <c r="G4519" t="s">
        <v>93</v>
      </c>
      <c r="H4519">
        <v>-134.26</v>
      </c>
      <c r="I4519">
        <v>97</v>
      </c>
      <c r="J4519">
        <v>14.99</v>
      </c>
      <c r="K4519">
        <v>99</v>
      </c>
      <c r="L4519">
        <v>-139.81</v>
      </c>
      <c r="M4519">
        <v>96</v>
      </c>
      <c r="N4519">
        <v>4.13</v>
      </c>
      <c r="O4519">
        <v>97</v>
      </c>
      <c r="P4519">
        <v>-11.88</v>
      </c>
      <c r="Q4519">
        <v>98</v>
      </c>
      <c r="R4519">
        <v>-18.329999999999998</v>
      </c>
      <c r="S4519">
        <v>95</v>
      </c>
      <c r="T4519">
        <v>24.56</v>
      </c>
      <c r="U4519">
        <v>97</v>
      </c>
      <c r="V4519">
        <v>-7.92</v>
      </c>
      <c r="W4519">
        <v>92</v>
      </c>
      <c r="X4519" t="s">
        <v>94</v>
      </c>
      <c r="Y4519" t="s">
        <v>95</v>
      </c>
      <c r="Z4519" t="s">
        <v>96</v>
      </c>
      <c r="AA4519" t="s">
        <v>3414</v>
      </c>
      <c r="AB4519" t="s">
        <v>3415</v>
      </c>
      <c r="AC4519">
        <v>964</v>
      </c>
      <c r="AD4519">
        <v>478</v>
      </c>
      <c r="AE4519">
        <v>99</v>
      </c>
      <c r="AF4519">
        <v>262.37</v>
      </c>
      <c r="AG4519">
        <v>3.55</v>
      </c>
      <c r="AH4519">
        <v>5.31</v>
      </c>
      <c r="AI4519">
        <v>-0.11</v>
      </c>
      <c r="AJ4519">
        <v>-0.06</v>
      </c>
      <c r="AK4519">
        <v>96</v>
      </c>
      <c r="AL4519">
        <v>1020</v>
      </c>
      <c r="AM4519">
        <v>434</v>
      </c>
      <c r="AN4519">
        <v>9.17</v>
      </c>
      <c r="AO4519">
        <v>-1.96</v>
      </c>
      <c r="AP4519">
        <v>47</v>
      </c>
      <c r="AQ4519">
        <v>0</v>
      </c>
      <c r="AR4519">
        <v>7.3</v>
      </c>
      <c r="AS4519">
        <v>93</v>
      </c>
      <c r="AT4519">
        <v>3.46</v>
      </c>
      <c r="AU4519">
        <v>99</v>
      </c>
      <c r="AV4519">
        <v>-2.21</v>
      </c>
      <c r="AW4519">
        <v>97</v>
      </c>
      <c r="AX4519">
        <v>-0.33</v>
      </c>
      <c r="AY4519">
        <v>97</v>
      </c>
      <c r="AZ4519">
        <v>8.58</v>
      </c>
      <c r="BA4519">
        <v>91</v>
      </c>
      <c r="BB4519">
        <v>6.52</v>
      </c>
      <c r="BC4519">
        <v>95</v>
      </c>
      <c r="BD4519">
        <v>0.02</v>
      </c>
      <c r="BE4519">
        <v>0.12</v>
      </c>
      <c r="BF4519">
        <v>0.16</v>
      </c>
      <c r="BG4519">
        <v>99</v>
      </c>
      <c r="BH4519">
        <v>-0.04</v>
      </c>
      <c r="BI4519">
        <v>20.91</v>
      </c>
      <c r="BJ4519">
        <v>245</v>
      </c>
      <c r="BK4519">
        <v>101</v>
      </c>
      <c r="BL4519">
        <v>-0.8</v>
      </c>
      <c r="BM4519">
        <v>-3.5</v>
      </c>
      <c r="BN4519">
        <v>-1.61</v>
      </c>
      <c r="BO4519">
        <v>0.75</v>
      </c>
      <c r="BP4519">
        <v>-0.86</v>
      </c>
      <c r="BQ4519">
        <v>-4.5999999999999996</v>
      </c>
      <c r="BR4519">
        <v>-1.9</v>
      </c>
      <c r="BS4519">
        <v>3.04</v>
      </c>
      <c r="BT4519">
        <v>1.26</v>
      </c>
      <c r="BU4519">
        <v>0.36</v>
      </c>
      <c r="BV4519">
        <v>0.34</v>
      </c>
      <c r="BW4519">
        <v>-0.45</v>
      </c>
      <c r="BX4519">
        <v>-0.82</v>
      </c>
      <c r="BY4519">
        <v>0.74</v>
      </c>
      <c r="BZ4519">
        <v>2.25</v>
      </c>
      <c r="CA4519">
        <v>1.1599999999999999</v>
      </c>
      <c r="CB4519">
        <v>0.5</v>
      </c>
      <c r="CC4519">
        <v>1.79</v>
      </c>
      <c r="CD4519">
        <v>-1.95</v>
      </c>
      <c r="CE4519">
        <v>0.79</v>
      </c>
      <c r="CF4519">
        <v>-2.16</v>
      </c>
      <c r="CG4519">
        <v>0</v>
      </c>
      <c r="CH4519">
        <v>0.72</v>
      </c>
      <c r="CI4519">
        <v>0</v>
      </c>
      <c r="CJ4519">
        <v>-4.2</v>
      </c>
      <c r="CK4519">
        <v>98</v>
      </c>
      <c r="CL4519">
        <v>-0.5</v>
      </c>
      <c r="CM4519">
        <v>98</v>
      </c>
      <c r="CN4519">
        <v>-0.09</v>
      </c>
      <c r="CO4519">
        <v>97</v>
      </c>
      <c r="CP4519">
        <v>-13.2</v>
      </c>
      <c r="CQ4519">
        <v>99</v>
      </c>
      <c r="CR4519">
        <v>0</v>
      </c>
      <c r="CS4519">
        <v>0</v>
      </c>
      <c r="CT4519">
        <v>-19.399999999999999</v>
      </c>
      <c r="CU4519">
        <v>97</v>
      </c>
      <c r="CV4519">
        <v>0.06</v>
      </c>
      <c r="CW4519">
        <v>46</v>
      </c>
      <c r="CX4519" t="s">
        <v>707</v>
      </c>
    </row>
    <row r="4520" spans="1:102" x14ac:dyDescent="0.3">
      <c r="A4520" t="str">
        <f>HYPERLINK("https://webapp.icbf.com/v2/app/bull-search/view/69092020","JRQ")</f>
        <v>JRQ</v>
      </c>
      <c r="B4520" t="s">
        <v>14265</v>
      </c>
      <c r="C4520" t="s">
        <v>2935</v>
      </c>
      <c r="D4520" s="1">
        <v>34557</v>
      </c>
      <c r="E4520" t="s">
        <v>140</v>
      </c>
      <c r="F4520">
        <v>0</v>
      </c>
      <c r="G4520" t="s">
        <v>93</v>
      </c>
      <c r="H4520">
        <v>-134.88999999999999</v>
      </c>
      <c r="I4520">
        <v>88</v>
      </c>
      <c r="J4520">
        <v>-37.75</v>
      </c>
      <c r="K4520">
        <v>97</v>
      </c>
      <c r="L4520">
        <v>-14.3</v>
      </c>
      <c r="M4520">
        <v>80</v>
      </c>
      <c r="N4520">
        <v>-113.87</v>
      </c>
      <c r="O4520">
        <v>87</v>
      </c>
      <c r="P4520">
        <v>9.34</v>
      </c>
      <c r="Q4520">
        <v>95</v>
      </c>
      <c r="R4520">
        <v>12.54</v>
      </c>
      <c r="S4520">
        <v>80</v>
      </c>
      <c r="T4520">
        <v>23</v>
      </c>
      <c r="U4520">
        <v>93</v>
      </c>
      <c r="V4520">
        <v>-13.85</v>
      </c>
      <c r="W4520">
        <v>74</v>
      </c>
      <c r="X4520" t="s">
        <v>276</v>
      </c>
      <c r="Y4520" t="s">
        <v>95</v>
      </c>
      <c r="Z4520">
        <v>0</v>
      </c>
      <c r="AA4520" t="s">
        <v>1610</v>
      </c>
      <c r="AB4520" t="s">
        <v>14266</v>
      </c>
      <c r="AC4520">
        <v>103</v>
      </c>
      <c r="AD4520">
        <v>57</v>
      </c>
      <c r="AE4520">
        <v>97</v>
      </c>
      <c r="AF4520">
        <v>-133.09</v>
      </c>
      <c r="AG4520">
        <v>-11.95</v>
      </c>
      <c r="AH4520">
        <v>-4.2300000000000004</v>
      </c>
      <c r="AI4520">
        <v>-0.12</v>
      </c>
      <c r="AJ4520">
        <v>0.01</v>
      </c>
      <c r="AK4520">
        <v>80</v>
      </c>
      <c r="AL4520">
        <v>115</v>
      </c>
      <c r="AM4520">
        <v>71</v>
      </c>
      <c r="AN4520">
        <v>0.81</v>
      </c>
      <c r="AO4520">
        <v>-0.33</v>
      </c>
      <c r="AP4520">
        <v>161</v>
      </c>
      <c r="AQ4520">
        <v>4</v>
      </c>
      <c r="AR4520">
        <v>14.46</v>
      </c>
      <c r="AS4520">
        <v>75</v>
      </c>
      <c r="AT4520">
        <v>7.43</v>
      </c>
      <c r="AU4520">
        <v>88</v>
      </c>
      <c r="AV4520">
        <v>4.3499999999999996</v>
      </c>
      <c r="AW4520">
        <v>95</v>
      </c>
      <c r="AX4520">
        <v>0.11</v>
      </c>
      <c r="AY4520">
        <v>87</v>
      </c>
      <c r="AZ4520">
        <v>6.65</v>
      </c>
      <c r="BA4520">
        <v>69</v>
      </c>
      <c r="BB4520">
        <v>4.2699999999999996</v>
      </c>
      <c r="BC4520">
        <v>75</v>
      </c>
      <c r="BD4520">
        <v>-0.05</v>
      </c>
      <c r="BE4520">
        <v>-0.05</v>
      </c>
      <c r="BF4520">
        <v>-0.11</v>
      </c>
      <c r="BG4520">
        <v>90</v>
      </c>
      <c r="BH4520">
        <v>-0.35</v>
      </c>
      <c r="BI4520">
        <v>4.1900000000000004</v>
      </c>
      <c r="BJ4520">
        <v>1</v>
      </c>
      <c r="BK4520">
        <v>1</v>
      </c>
      <c r="BL4520">
        <v>-1.1399999999999999</v>
      </c>
      <c r="BM4520">
        <v>2.65</v>
      </c>
      <c r="BN4520">
        <v>-2.2599999999999998</v>
      </c>
      <c r="BO4520">
        <v>-2.9</v>
      </c>
      <c r="BP4520">
        <v>3.77</v>
      </c>
      <c r="BQ4520">
        <v>-2.75</v>
      </c>
      <c r="BR4520">
        <v>-2.61</v>
      </c>
      <c r="BS4520">
        <v>-0.4</v>
      </c>
      <c r="BT4520">
        <v>2.34</v>
      </c>
      <c r="BU4520">
        <v>-4.09</v>
      </c>
      <c r="BV4520">
        <v>-4.5</v>
      </c>
      <c r="BW4520">
        <v>-3.3</v>
      </c>
      <c r="BX4520">
        <v>-3.23</v>
      </c>
      <c r="BY4520">
        <v>-1.73</v>
      </c>
      <c r="BZ4520">
        <v>0.23</v>
      </c>
      <c r="CA4520">
        <v>-2.81</v>
      </c>
      <c r="CB4520">
        <v>-3.73</v>
      </c>
      <c r="CC4520">
        <v>-0.18</v>
      </c>
      <c r="CD4520">
        <v>3.67</v>
      </c>
      <c r="CE4520">
        <v>-3.18</v>
      </c>
      <c r="CF4520">
        <v>-1.64</v>
      </c>
      <c r="CG4520">
        <v>0</v>
      </c>
      <c r="CH4520">
        <v>-3.21</v>
      </c>
      <c r="CI4520">
        <v>0</v>
      </c>
      <c r="CJ4520">
        <v>1.7</v>
      </c>
      <c r="CK4520">
        <v>96</v>
      </c>
      <c r="CL4520">
        <v>0.36</v>
      </c>
      <c r="CM4520">
        <v>95</v>
      </c>
      <c r="CN4520">
        <v>-0.34</v>
      </c>
      <c r="CO4520">
        <v>94</v>
      </c>
      <c r="CP4520">
        <v>-4.7</v>
      </c>
      <c r="CQ4520">
        <v>94</v>
      </c>
      <c r="CR4520">
        <v>0</v>
      </c>
      <c r="CS4520">
        <v>0</v>
      </c>
      <c r="CT4520">
        <v>-17.3</v>
      </c>
      <c r="CU4520">
        <v>93</v>
      </c>
      <c r="CV4520">
        <v>7.0000000000000007E-2</v>
      </c>
      <c r="CW4520">
        <v>45</v>
      </c>
      <c r="CX4520" t="s">
        <v>696</v>
      </c>
    </row>
    <row r="4521" spans="1:102" x14ac:dyDescent="0.3">
      <c r="A4521" t="str">
        <f>HYPERLINK("https://webapp.icbf.com/v2/app/bull-search/view/670411457","S693")</f>
        <v>S693</v>
      </c>
      <c r="B4521" t="s">
        <v>14854</v>
      </c>
      <c r="C4521" t="s">
        <v>6307</v>
      </c>
      <c r="D4521" s="1">
        <v>38832</v>
      </c>
      <c r="E4521" t="s">
        <v>92</v>
      </c>
      <c r="F4521">
        <v>100</v>
      </c>
      <c r="G4521" t="s">
        <v>93</v>
      </c>
      <c r="H4521">
        <v>-134.91</v>
      </c>
      <c r="I4521">
        <v>95</v>
      </c>
      <c r="J4521">
        <v>2.7</v>
      </c>
      <c r="K4521">
        <v>99</v>
      </c>
      <c r="L4521">
        <v>-135.25</v>
      </c>
      <c r="M4521">
        <v>94</v>
      </c>
      <c r="N4521">
        <v>20.62</v>
      </c>
      <c r="O4521">
        <v>94</v>
      </c>
      <c r="P4521">
        <v>-15.51</v>
      </c>
      <c r="Q4521">
        <v>97</v>
      </c>
      <c r="R4521">
        <v>-1.59</v>
      </c>
      <c r="S4521">
        <v>86</v>
      </c>
      <c r="T4521">
        <v>-7.78</v>
      </c>
      <c r="U4521">
        <v>93</v>
      </c>
      <c r="V4521">
        <v>1.9</v>
      </c>
      <c r="W4521">
        <v>79</v>
      </c>
      <c r="X4521" t="s">
        <v>94</v>
      </c>
      <c r="Y4521" t="s">
        <v>1494</v>
      </c>
      <c r="Z4521" t="s">
        <v>96</v>
      </c>
      <c r="AA4521" t="s">
        <v>309</v>
      </c>
      <c r="AB4521" t="s">
        <v>14855</v>
      </c>
      <c r="AC4521">
        <v>468</v>
      </c>
      <c r="AD4521">
        <v>146</v>
      </c>
      <c r="AE4521">
        <v>99</v>
      </c>
      <c r="AF4521">
        <v>246.75</v>
      </c>
      <c r="AG4521">
        <v>4.34</v>
      </c>
      <c r="AH4521">
        <v>2.7</v>
      </c>
      <c r="AI4521">
        <v>-0.09</v>
      </c>
      <c r="AJ4521">
        <v>-0.1</v>
      </c>
      <c r="AK4521">
        <v>94</v>
      </c>
      <c r="AL4521">
        <v>391</v>
      </c>
      <c r="AM4521">
        <v>124</v>
      </c>
      <c r="AN4521">
        <v>7.04</v>
      </c>
      <c r="AO4521">
        <v>-3.75</v>
      </c>
      <c r="AP4521">
        <v>679</v>
      </c>
      <c r="AQ4521">
        <v>1</v>
      </c>
      <c r="AR4521">
        <v>6.85</v>
      </c>
      <c r="AS4521">
        <v>94</v>
      </c>
      <c r="AT4521">
        <v>2.77</v>
      </c>
      <c r="AU4521">
        <v>95</v>
      </c>
      <c r="AV4521">
        <v>-2.68</v>
      </c>
      <c r="AW4521">
        <v>98</v>
      </c>
      <c r="AX4521">
        <v>-0.27</v>
      </c>
      <c r="AY4521">
        <v>94</v>
      </c>
      <c r="AZ4521">
        <v>7.38</v>
      </c>
      <c r="BA4521">
        <v>84</v>
      </c>
      <c r="BB4521">
        <v>5.88</v>
      </c>
      <c r="BC4521">
        <v>79</v>
      </c>
      <c r="BD4521">
        <v>-0.02</v>
      </c>
      <c r="BE4521">
        <v>0</v>
      </c>
      <c r="BF4521">
        <v>7.0000000000000007E-2</v>
      </c>
      <c r="BG4521">
        <v>96</v>
      </c>
      <c r="BH4521">
        <v>-0.01</v>
      </c>
      <c r="BI4521">
        <v>-7.29</v>
      </c>
      <c r="BJ4521">
        <v>188</v>
      </c>
      <c r="BK4521">
        <v>79</v>
      </c>
      <c r="BL4521">
        <v>2.42</v>
      </c>
      <c r="BM4521">
        <v>-2.1</v>
      </c>
      <c r="BN4521">
        <v>0.76</v>
      </c>
      <c r="BO4521">
        <v>1.87</v>
      </c>
      <c r="BP4521">
        <v>0.51</v>
      </c>
      <c r="BQ4521">
        <v>1.44</v>
      </c>
      <c r="BR4521">
        <v>-1.55</v>
      </c>
      <c r="BS4521">
        <v>3.07</v>
      </c>
      <c r="BT4521">
        <v>2.2000000000000002</v>
      </c>
      <c r="BU4521">
        <v>2.4900000000000002</v>
      </c>
      <c r="BV4521">
        <v>2.5</v>
      </c>
      <c r="BW4521">
        <v>2.2999999999999998</v>
      </c>
      <c r="BX4521">
        <v>2.21</v>
      </c>
      <c r="BY4521">
        <v>2.0099999999999998</v>
      </c>
      <c r="BZ4521">
        <v>0.2</v>
      </c>
      <c r="CA4521">
        <v>2.6</v>
      </c>
      <c r="CB4521">
        <v>2.37</v>
      </c>
      <c r="CC4521">
        <v>2.0099999999999998</v>
      </c>
      <c r="CD4521">
        <v>-1.67</v>
      </c>
      <c r="CE4521">
        <v>1.78</v>
      </c>
      <c r="CF4521">
        <v>1.58</v>
      </c>
      <c r="CG4521">
        <v>0</v>
      </c>
      <c r="CH4521">
        <v>1.88</v>
      </c>
      <c r="CI4521">
        <v>0</v>
      </c>
      <c r="CJ4521">
        <v>-3.9</v>
      </c>
      <c r="CK4521">
        <v>97</v>
      </c>
      <c r="CL4521">
        <v>-1.51</v>
      </c>
      <c r="CM4521">
        <v>97</v>
      </c>
      <c r="CN4521">
        <v>-0.43</v>
      </c>
      <c r="CO4521">
        <v>96</v>
      </c>
      <c r="CP4521">
        <v>2.8</v>
      </c>
      <c r="CQ4521">
        <v>96</v>
      </c>
      <c r="CR4521">
        <v>0</v>
      </c>
      <c r="CS4521">
        <v>0</v>
      </c>
      <c r="CT4521">
        <v>24.3</v>
      </c>
      <c r="CU4521">
        <v>93</v>
      </c>
      <c r="CV4521">
        <v>0.27</v>
      </c>
      <c r="CW4521">
        <v>45</v>
      </c>
      <c r="CX4521" t="s">
        <v>1566</v>
      </c>
    </row>
    <row r="4522" spans="1:102" x14ac:dyDescent="0.3">
      <c r="A4522" t="str">
        <f>HYPERLINK("https://webapp.icbf.com/v2/app/bull-search/view/437077542","PUX")</f>
        <v>PUX</v>
      </c>
      <c r="B4522" t="s">
        <v>1259</v>
      </c>
      <c r="C4522" t="s">
        <v>1260</v>
      </c>
      <c r="D4522" s="1">
        <v>36523</v>
      </c>
      <c r="E4522" t="s">
        <v>140</v>
      </c>
      <c r="F4522">
        <v>0</v>
      </c>
      <c r="G4522" t="s">
        <v>93</v>
      </c>
      <c r="H4522">
        <v>-135.01</v>
      </c>
      <c r="I4522">
        <v>88</v>
      </c>
      <c r="J4522">
        <v>-47.85</v>
      </c>
      <c r="K4522">
        <v>96</v>
      </c>
      <c r="L4522">
        <v>-12.44</v>
      </c>
      <c r="M4522">
        <v>79</v>
      </c>
      <c r="N4522">
        <v>-86.97</v>
      </c>
      <c r="O4522">
        <v>87</v>
      </c>
      <c r="P4522">
        <v>10.69</v>
      </c>
      <c r="Q4522">
        <v>95</v>
      </c>
      <c r="R4522">
        <v>3.39</v>
      </c>
      <c r="S4522">
        <v>81</v>
      </c>
      <c r="T4522">
        <v>1.17</v>
      </c>
      <c r="U4522">
        <v>90</v>
      </c>
      <c r="V4522">
        <v>-3</v>
      </c>
      <c r="W4522">
        <v>81</v>
      </c>
      <c r="X4522" t="s">
        <v>251</v>
      </c>
      <c r="Y4522" t="s">
        <v>95</v>
      </c>
      <c r="Z4522">
        <v>0</v>
      </c>
      <c r="AA4522" t="s">
        <v>295</v>
      </c>
      <c r="AB4522" t="s">
        <v>1261</v>
      </c>
      <c r="AC4522">
        <v>87</v>
      </c>
      <c r="AD4522">
        <v>30</v>
      </c>
      <c r="AE4522">
        <v>96</v>
      </c>
      <c r="AF4522">
        <v>-211.84</v>
      </c>
      <c r="AG4522">
        <v>-14.36</v>
      </c>
      <c r="AH4522">
        <v>-6.3</v>
      </c>
      <c r="AI4522">
        <v>-0.11</v>
      </c>
      <c r="AJ4522">
        <v>0.02</v>
      </c>
      <c r="AK4522">
        <v>79</v>
      </c>
      <c r="AL4522">
        <v>118</v>
      </c>
      <c r="AM4522">
        <v>43</v>
      </c>
      <c r="AN4522">
        <v>1.63</v>
      </c>
      <c r="AO4522">
        <v>0.65</v>
      </c>
      <c r="AP4522">
        <v>220</v>
      </c>
      <c r="AQ4522">
        <v>5</v>
      </c>
      <c r="AR4522">
        <v>13.68</v>
      </c>
      <c r="AS4522">
        <v>69</v>
      </c>
      <c r="AT4522">
        <v>6.96</v>
      </c>
      <c r="AU4522">
        <v>88</v>
      </c>
      <c r="AV4522">
        <v>3.21</v>
      </c>
      <c r="AW4522">
        <v>96</v>
      </c>
      <c r="AX4522">
        <v>0.6</v>
      </c>
      <c r="AY4522">
        <v>86</v>
      </c>
      <c r="AZ4522">
        <v>4.08</v>
      </c>
      <c r="BA4522">
        <v>67</v>
      </c>
      <c r="BB4522">
        <v>3.18</v>
      </c>
      <c r="BC4522">
        <v>69</v>
      </c>
      <c r="BD4522">
        <v>0</v>
      </c>
      <c r="BE4522">
        <v>-0.02</v>
      </c>
      <c r="BF4522">
        <v>-0.04</v>
      </c>
      <c r="BG4522">
        <v>88</v>
      </c>
      <c r="BH4522">
        <v>-0.17</v>
      </c>
      <c r="BI4522">
        <v>-9.98</v>
      </c>
      <c r="BJ4522">
        <v>0</v>
      </c>
      <c r="BK4522">
        <v>0</v>
      </c>
      <c r="BL4522">
        <v>-0.7</v>
      </c>
      <c r="BM4522">
        <v>3.66</v>
      </c>
      <c r="BN4522">
        <v>-1.71</v>
      </c>
      <c r="BO4522">
        <v>-3.07</v>
      </c>
      <c r="BP4522">
        <v>4.3899999999999997</v>
      </c>
      <c r="BQ4522">
        <v>-2.19</v>
      </c>
      <c r="BR4522">
        <v>-2.86</v>
      </c>
      <c r="BS4522">
        <v>-0.37</v>
      </c>
      <c r="BT4522">
        <v>2.7</v>
      </c>
      <c r="BU4522">
        <v>-3.6</v>
      </c>
      <c r="BV4522">
        <v>-4.1100000000000003</v>
      </c>
      <c r="BW4522">
        <v>-3.02</v>
      </c>
      <c r="BX4522">
        <v>-2.8</v>
      </c>
      <c r="BY4522">
        <v>-2.13</v>
      </c>
      <c r="BZ4522">
        <v>0.99</v>
      </c>
      <c r="CA4522">
        <v>-2.64</v>
      </c>
      <c r="CB4522">
        <v>-3.35</v>
      </c>
      <c r="CC4522">
        <v>-0.48</v>
      </c>
      <c r="CD4522">
        <v>4.09</v>
      </c>
      <c r="CE4522">
        <v>-3.06</v>
      </c>
      <c r="CF4522">
        <v>-0.84</v>
      </c>
      <c r="CG4522">
        <v>0</v>
      </c>
      <c r="CH4522">
        <v>-2.81</v>
      </c>
      <c r="CI4522">
        <v>0</v>
      </c>
      <c r="CJ4522">
        <v>1.4</v>
      </c>
      <c r="CK4522">
        <v>96</v>
      </c>
      <c r="CL4522">
        <v>0.26</v>
      </c>
      <c r="CM4522">
        <v>95</v>
      </c>
      <c r="CN4522">
        <v>-0.45</v>
      </c>
      <c r="CO4522">
        <v>95</v>
      </c>
      <c r="CP4522">
        <v>5.4</v>
      </c>
      <c r="CQ4522">
        <v>92</v>
      </c>
      <c r="CR4522">
        <v>0</v>
      </c>
      <c r="CS4522">
        <v>0</v>
      </c>
      <c r="CT4522">
        <v>12.2</v>
      </c>
      <c r="CU4522">
        <v>90</v>
      </c>
      <c r="CV4522">
        <v>7.0000000000000007E-2</v>
      </c>
      <c r="CW4522">
        <v>45</v>
      </c>
      <c r="CX4522" t="s">
        <v>1262</v>
      </c>
    </row>
    <row r="4523" spans="1:102" x14ac:dyDescent="0.3">
      <c r="A4523" t="str">
        <f>HYPERLINK("https://webapp.icbf.com/v2/app/bull-search/view/69091516","DRI")</f>
        <v>DRI</v>
      </c>
      <c r="B4523" t="s">
        <v>3504</v>
      </c>
      <c r="C4523" t="s">
        <v>3505</v>
      </c>
      <c r="D4523" s="1">
        <v>32487</v>
      </c>
      <c r="E4523" t="s">
        <v>197</v>
      </c>
      <c r="F4523">
        <v>0</v>
      </c>
      <c r="G4523" t="s">
        <v>116</v>
      </c>
      <c r="H4523">
        <v>-135.16</v>
      </c>
      <c r="I4523">
        <v>41</v>
      </c>
      <c r="J4523">
        <v>-42.25</v>
      </c>
      <c r="K4523">
        <v>63</v>
      </c>
      <c r="L4523">
        <v>10.11</v>
      </c>
      <c r="M4523">
        <v>22</v>
      </c>
      <c r="N4523">
        <v>-99.21</v>
      </c>
      <c r="O4523">
        <v>39</v>
      </c>
      <c r="P4523">
        <v>-10.52</v>
      </c>
      <c r="Q4523">
        <v>58</v>
      </c>
      <c r="R4523">
        <v>-12.58</v>
      </c>
      <c r="S4523">
        <v>25</v>
      </c>
      <c r="T4523">
        <v>23.67</v>
      </c>
      <c r="U4523">
        <v>34</v>
      </c>
      <c r="V4523">
        <v>-4.38</v>
      </c>
      <c r="W4523">
        <v>15</v>
      </c>
      <c r="X4523" t="s">
        <v>94</v>
      </c>
      <c r="Y4523" t="s">
        <v>95</v>
      </c>
      <c r="Z4523">
        <v>0</v>
      </c>
      <c r="AA4523" t="s">
        <v>3506</v>
      </c>
      <c r="AB4523" t="s">
        <v>3507</v>
      </c>
      <c r="AC4523">
        <v>6</v>
      </c>
      <c r="AD4523">
        <v>2</v>
      </c>
      <c r="AE4523">
        <v>63</v>
      </c>
      <c r="AF4523">
        <v>-244.97</v>
      </c>
      <c r="AG4523">
        <v>-13.13</v>
      </c>
      <c r="AH4523">
        <v>-6.29</v>
      </c>
      <c r="AI4523">
        <v>-0.06</v>
      </c>
      <c r="AJ4523">
        <v>0.04</v>
      </c>
      <c r="AK4523">
        <v>22</v>
      </c>
      <c r="AL4523">
        <v>6</v>
      </c>
      <c r="AM4523">
        <v>2</v>
      </c>
      <c r="AN4523">
        <v>-2.6</v>
      </c>
      <c r="AO4523">
        <v>-1.82</v>
      </c>
      <c r="AP4523">
        <v>13</v>
      </c>
      <c r="AQ4523">
        <v>0</v>
      </c>
      <c r="AR4523">
        <v>12.29</v>
      </c>
      <c r="AS4523">
        <v>26</v>
      </c>
      <c r="AT4523">
        <v>8.76</v>
      </c>
      <c r="AU4523">
        <v>26</v>
      </c>
      <c r="AV4523">
        <v>1.01</v>
      </c>
      <c r="AW4523">
        <v>61</v>
      </c>
      <c r="AX4523">
        <v>1.06</v>
      </c>
      <c r="AY4523">
        <v>35</v>
      </c>
      <c r="AZ4523">
        <v>6.48</v>
      </c>
      <c r="BA4523">
        <v>11</v>
      </c>
      <c r="BB4523">
        <v>3.77</v>
      </c>
      <c r="BC4523">
        <v>12</v>
      </c>
      <c r="BD4523">
        <v>0.02</v>
      </c>
      <c r="BE4523">
        <v>0.04</v>
      </c>
      <c r="BF4523">
        <v>0.18</v>
      </c>
      <c r="BG4523">
        <v>32</v>
      </c>
      <c r="BH4523">
        <v>-0.09</v>
      </c>
      <c r="BI4523">
        <v>3.71</v>
      </c>
      <c r="BJ4523">
        <v>0</v>
      </c>
      <c r="BK4523">
        <v>0</v>
      </c>
      <c r="BL4523">
        <v>-1.25</v>
      </c>
      <c r="BM4523">
        <v>1.01</v>
      </c>
      <c r="BN4523">
        <v>-1.37</v>
      </c>
      <c r="BO4523">
        <v>-1.67</v>
      </c>
      <c r="BP4523">
        <v>0.77</v>
      </c>
      <c r="BQ4523">
        <v>0.12</v>
      </c>
      <c r="BR4523">
        <v>-0.81</v>
      </c>
      <c r="BS4523">
        <v>0.06</v>
      </c>
      <c r="BT4523">
        <v>0.08</v>
      </c>
      <c r="BU4523">
        <v>-1.24</v>
      </c>
      <c r="BV4523">
        <v>-1.47</v>
      </c>
      <c r="BW4523">
        <v>-1.57</v>
      </c>
      <c r="BX4523">
        <v>-0.69</v>
      </c>
      <c r="BY4523">
        <v>-1.41</v>
      </c>
      <c r="BZ4523">
        <v>0.08</v>
      </c>
      <c r="CA4523">
        <v>-1.63</v>
      </c>
      <c r="CB4523">
        <v>-1.72</v>
      </c>
      <c r="CC4523">
        <v>-0.84</v>
      </c>
      <c r="CD4523">
        <v>1.57</v>
      </c>
      <c r="CE4523">
        <v>-1.66</v>
      </c>
      <c r="CF4523">
        <v>-1.28</v>
      </c>
      <c r="CG4523">
        <v>0</v>
      </c>
      <c r="CH4523">
        <v>-1.43</v>
      </c>
      <c r="CI4523">
        <v>0</v>
      </c>
      <c r="CJ4523">
        <v>-3.2</v>
      </c>
      <c r="CK4523">
        <v>61</v>
      </c>
      <c r="CL4523">
        <v>-0.31</v>
      </c>
      <c r="CM4523">
        <v>56</v>
      </c>
      <c r="CN4523">
        <v>0.13</v>
      </c>
      <c r="CO4523">
        <v>52</v>
      </c>
      <c r="CP4523">
        <v>-9.1999999999999993</v>
      </c>
      <c r="CQ4523">
        <v>51</v>
      </c>
      <c r="CR4523">
        <v>0</v>
      </c>
      <c r="CS4523">
        <v>0</v>
      </c>
      <c r="CT4523">
        <v>-18.2</v>
      </c>
      <c r="CU4523">
        <v>34</v>
      </c>
      <c r="CV4523">
        <v>-0.04</v>
      </c>
      <c r="CW4523">
        <v>16</v>
      </c>
      <c r="CX4523" t="s">
        <v>693</v>
      </c>
    </row>
    <row r="4524" spans="1:102" x14ac:dyDescent="0.3">
      <c r="A4524" t="str">
        <f>HYPERLINK("https://webapp.icbf.com/v2/app/bull-search/view/139419238","CSX")</f>
        <v>CSX</v>
      </c>
      <c r="B4524" t="s">
        <v>8858</v>
      </c>
      <c r="C4524" t="s">
        <v>8859</v>
      </c>
      <c r="D4524" s="1">
        <v>36997</v>
      </c>
      <c r="E4524" t="s">
        <v>92</v>
      </c>
      <c r="F4524">
        <v>100</v>
      </c>
      <c r="G4524" t="s">
        <v>93</v>
      </c>
      <c r="H4524">
        <v>-135.16999999999999</v>
      </c>
      <c r="I4524">
        <v>85</v>
      </c>
      <c r="J4524">
        <v>13.17</v>
      </c>
      <c r="K4524">
        <v>95</v>
      </c>
      <c r="L4524">
        <v>-117.26</v>
      </c>
      <c r="M4524">
        <v>82</v>
      </c>
      <c r="N4524">
        <v>-24.82</v>
      </c>
      <c r="O4524">
        <v>78</v>
      </c>
      <c r="P4524">
        <v>1.66</v>
      </c>
      <c r="Q4524">
        <v>88</v>
      </c>
      <c r="R4524">
        <v>-2.38</v>
      </c>
      <c r="S4524">
        <v>74</v>
      </c>
      <c r="T4524">
        <v>-4.38</v>
      </c>
      <c r="U4524">
        <v>81</v>
      </c>
      <c r="V4524">
        <v>-1.1599999999999999</v>
      </c>
      <c r="W4524">
        <v>53</v>
      </c>
      <c r="X4524" t="s">
        <v>131</v>
      </c>
      <c r="Y4524" t="s">
        <v>95</v>
      </c>
      <c r="Z4524" t="s">
        <v>96</v>
      </c>
      <c r="AA4524" t="s">
        <v>3001</v>
      </c>
      <c r="AB4524" t="s">
        <v>8860</v>
      </c>
      <c r="AC4524">
        <v>70</v>
      </c>
      <c r="AD4524">
        <v>46</v>
      </c>
      <c r="AE4524">
        <v>95</v>
      </c>
      <c r="AF4524">
        <v>243.67</v>
      </c>
      <c r="AG4524">
        <v>1.58</v>
      </c>
      <c r="AH4524">
        <v>5.41</v>
      </c>
      <c r="AI4524">
        <v>-0.13</v>
      </c>
      <c r="AJ4524">
        <v>-0.05</v>
      </c>
      <c r="AK4524">
        <v>82</v>
      </c>
      <c r="AL4524">
        <v>68</v>
      </c>
      <c r="AM4524">
        <v>39</v>
      </c>
      <c r="AN4524">
        <v>5.72</v>
      </c>
      <c r="AO4524">
        <v>-3.64</v>
      </c>
      <c r="AP4524">
        <v>111</v>
      </c>
      <c r="AQ4524">
        <v>0</v>
      </c>
      <c r="AR4524">
        <v>10.49</v>
      </c>
      <c r="AS4524">
        <v>64</v>
      </c>
      <c r="AT4524">
        <v>4.46</v>
      </c>
      <c r="AU4524">
        <v>80</v>
      </c>
      <c r="AV4524">
        <v>-0.48</v>
      </c>
      <c r="AW4524">
        <v>89</v>
      </c>
      <c r="AX4524">
        <v>1.26</v>
      </c>
      <c r="AY4524">
        <v>73</v>
      </c>
      <c r="AZ4524">
        <v>6.93</v>
      </c>
      <c r="BA4524">
        <v>56</v>
      </c>
      <c r="BB4524">
        <v>5.41</v>
      </c>
      <c r="BC4524">
        <v>58</v>
      </c>
      <c r="BD4524">
        <v>-0.02</v>
      </c>
      <c r="BE4524">
        <v>0.02</v>
      </c>
      <c r="BF4524">
        <v>0.05</v>
      </c>
      <c r="BG4524">
        <v>88</v>
      </c>
      <c r="BH4524">
        <v>-0.08</v>
      </c>
      <c r="BI4524">
        <v>-5.52</v>
      </c>
      <c r="BJ4524">
        <v>30</v>
      </c>
      <c r="BK4524">
        <v>23</v>
      </c>
      <c r="BL4524">
        <v>1.35</v>
      </c>
      <c r="BM4524">
        <v>-0.13</v>
      </c>
      <c r="BN4524">
        <v>1.23</v>
      </c>
      <c r="BO4524">
        <v>0.82</v>
      </c>
      <c r="BP4524">
        <v>1.1599999999999999</v>
      </c>
      <c r="BQ4524">
        <v>-0.28999999999999998</v>
      </c>
      <c r="BR4524">
        <v>1.62</v>
      </c>
      <c r="BS4524">
        <v>1.07</v>
      </c>
      <c r="BT4524">
        <v>-0.65</v>
      </c>
      <c r="BU4524">
        <v>2.06</v>
      </c>
      <c r="BV4524">
        <v>1.4</v>
      </c>
      <c r="BW4524">
        <v>1.44</v>
      </c>
      <c r="BX4524">
        <v>1.49</v>
      </c>
      <c r="BY4524">
        <v>-7.0000000000000007E-2</v>
      </c>
      <c r="BZ4524">
        <v>0.28999999999999998</v>
      </c>
      <c r="CA4524">
        <v>1.42</v>
      </c>
      <c r="CB4524">
        <v>1.32</v>
      </c>
      <c r="CC4524">
        <v>1.03</v>
      </c>
      <c r="CD4524">
        <v>-0.06</v>
      </c>
      <c r="CE4524">
        <v>0.97</v>
      </c>
      <c r="CF4524">
        <v>1.41</v>
      </c>
      <c r="CG4524">
        <v>0</v>
      </c>
      <c r="CH4524">
        <v>1.45</v>
      </c>
      <c r="CI4524">
        <v>0</v>
      </c>
      <c r="CJ4524">
        <v>3.7</v>
      </c>
      <c r="CK4524">
        <v>89</v>
      </c>
      <c r="CL4524">
        <v>-0.93</v>
      </c>
      <c r="CM4524">
        <v>86</v>
      </c>
      <c r="CN4524">
        <v>-0.37</v>
      </c>
      <c r="CO4524">
        <v>84</v>
      </c>
      <c r="CP4524">
        <v>12.1</v>
      </c>
      <c r="CQ4524">
        <v>88</v>
      </c>
      <c r="CR4524">
        <v>0</v>
      </c>
      <c r="CS4524">
        <v>0</v>
      </c>
      <c r="CT4524">
        <v>19.7</v>
      </c>
      <c r="CU4524">
        <v>81</v>
      </c>
      <c r="CV4524">
        <v>0.3</v>
      </c>
      <c r="CW4524">
        <v>25</v>
      </c>
      <c r="CX4524" t="s">
        <v>111</v>
      </c>
    </row>
    <row r="4525" spans="1:102" x14ac:dyDescent="0.3">
      <c r="A4525" t="str">
        <f>HYPERLINK("https://webapp.icbf.com/v2/app/bull-search/view/77856718","IDO")</f>
        <v>IDO</v>
      </c>
      <c r="B4525" t="s">
        <v>8114</v>
      </c>
      <c r="C4525" t="s">
        <v>8115</v>
      </c>
      <c r="D4525" s="1">
        <v>35297</v>
      </c>
      <c r="E4525" t="s">
        <v>92</v>
      </c>
      <c r="F4525">
        <v>100</v>
      </c>
      <c r="G4525" t="s">
        <v>93</v>
      </c>
      <c r="H4525">
        <v>-135.19</v>
      </c>
      <c r="I4525">
        <v>82</v>
      </c>
      <c r="J4525">
        <v>-16.670000000000002</v>
      </c>
      <c r="K4525">
        <v>96</v>
      </c>
      <c r="L4525">
        <v>-119.77</v>
      </c>
      <c r="M4525">
        <v>77</v>
      </c>
      <c r="N4525">
        <v>-1.03</v>
      </c>
      <c r="O4525">
        <v>70</v>
      </c>
      <c r="P4525">
        <v>0.01</v>
      </c>
      <c r="Q4525">
        <v>77</v>
      </c>
      <c r="R4525">
        <v>-8</v>
      </c>
      <c r="S4525">
        <v>76</v>
      </c>
      <c r="T4525">
        <v>12.05</v>
      </c>
      <c r="U4525">
        <v>76</v>
      </c>
      <c r="V4525">
        <v>-1.78</v>
      </c>
      <c r="W4525">
        <v>65</v>
      </c>
      <c r="X4525" t="s">
        <v>94</v>
      </c>
      <c r="Y4525" t="s">
        <v>95</v>
      </c>
      <c r="Z4525" t="s">
        <v>96</v>
      </c>
      <c r="AA4525" t="s">
        <v>3553</v>
      </c>
      <c r="AB4525" t="s">
        <v>8116</v>
      </c>
      <c r="AC4525">
        <v>79</v>
      </c>
      <c r="AD4525">
        <v>66</v>
      </c>
      <c r="AE4525">
        <v>96</v>
      </c>
      <c r="AF4525">
        <v>147.80000000000001</v>
      </c>
      <c r="AG4525">
        <v>2</v>
      </c>
      <c r="AH4525">
        <v>-1.28</v>
      </c>
      <c r="AI4525">
        <v>-0.06</v>
      </c>
      <c r="AJ4525">
        <v>-0.11</v>
      </c>
      <c r="AK4525">
        <v>77</v>
      </c>
      <c r="AL4525">
        <v>66</v>
      </c>
      <c r="AM4525">
        <v>56</v>
      </c>
      <c r="AN4525">
        <v>8.17</v>
      </c>
      <c r="AO4525">
        <v>-1.36</v>
      </c>
      <c r="AP4525">
        <v>5</v>
      </c>
      <c r="AQ4525">
        <v>0</v>
      </c>
      <c r="AR4525">
        <v>7.22</v>
      </c>
      <c r="AS4525">
        <v>56</v>
      </c>
      <c r="AT4525">
        <v>4.3099999999999996</v>
      </c>
      <c r="AU4525">
        <v>76</v>
      </c>
      <c r="AV4525">
        <v>-0.9</v>
      </c>
      <c r="AW4525">
        <v>73</v>
      </c>
      <c r="AX4525">
        <v>-0.47</v>
      </c>
      <c r="AY4525">
        <v>75</v>
      </c>
      <c r="AZ4525">
        <v>6.63</v>
      </c>
      <c r="BA4525">
        <v>50</v>
      </c>
      <c r="BB4525">
        <v>4.78</v>
      </c>
      <c r="BC4525">
        <v>61</v>
      </c>
      <c r="BD4525">
        <v>0.06</v>
      </c>
      <c r="BE4525">
        <v>0.06</v>
      </c>
      <c r="BF4525">
        <v>-0.03</v>
      </c>
      <c r="BG4525">
        <v>88</v>
      </c>
      <c r="BH4525">
        <v>-0.14000000000000001</v>
      </c>
      <c r="BI4525">
        <v>-10.44</v>
      </c>
      <c r="BJ4525">
        <v>7</v>
      </c>
      <c r="BK4525">
        <v>6</v>
      </c>
      <c r="BL4525">
        <v>0.35</v>
      </c>
      <c r="BM4525">
        <v>-1.04</v>
      </c>
      <c r="BN4525">
        <v>0.44</v>
      </c>
      <c r="BO4525">
        <v>0.59</v>
      </c>
      <c r="BP4525">
        <v>0.17</v>
      </c>
      <c r="BQ4525">
        <v>-2.2400000000000002</v>
      </c>
      <c r="BR4525">
        <v>-0.12</v>
      </c>
      <c r="BS4525">
        <v>-0.9</v>
      </c>
      <c r="BT4525">
        <v>-0.19</v>
      </c>
      <c r="BU4525">
        <v>-1.84</v>
      </c>
      <c r="BV4525">
        <v>-0.71</v>
      </c>
      <c r="BW4525">
        <v>-0.79</v>
      </c>
      <c r="BX4525">
        <v>-1.25</v>
      </c>
      <c r="BY4525">
        <v>-0.33</v>
      </c>
      <c r="BZ4525">
        <v>2.99</v>
      </c>
      <c r="CA4525">
        <v>-1.3</v>
      </c>
      <c r="CB4525">
        <v>-1.26</v>
      </c>
      <c r="CC4525">
        <v>-0.71</v>
      </c>
      <c r="CD4525">
        <v>-0.79</v>
      </c>
      <c r="CE4525">
        <v>0.27</v>
      </c>
      <c r="CF4525">
        <v>0.06</v>
      </c>
      <c r="CG4525">
        <v>0</v>
      </c>
      <c r="CH4525">
        <v>-2.76</v>
      </c>
      <c r="CI4525">
        <v>0</v>
      </c>
      <c r="CJ4525">
        <v>0.7</v>
      </c>
      <c r="CK4525">
        <v>78</v>
      </c>
      <c r="CL4525">
        <v>-0.51</v>
      </c>
      <c r="CM4525">
        <v>75</v>
      </c>
      <c r="CN4525">
        <v>-0.41</v>
      </c>
      <c r="CO4525">
        <v>72</v>
      </c>
      <c r="CP4525">
        <v>-3.3</v>
      </c>
      <c r="CQ4525">
        <v>86</v>
      </c>
      <c r="CR4525">
        <v>0</v>
      </c>
      <c r="CS4525">
        <v>0</v>
      </c>
      <c r="CT4525">
        <v>-2.5</v>
      </c>
      <c r="CU4525">
        <v>76</v>
      </c>
      <c r="CV4525">
        <v>0.14000000000000001</v>
      </c>
      <c r="CW4525">
        <v>41</v>
      </c>
      <c r="CX4525" t="s">
        <v>666</v>
      </c>
    </row>
    <row r="4526" spans="1:102" x14ac:dyDescent="0.3">
      <c r="A4526" t="str">
        <f>HYPERLINK("https://webapp.icbf.com/v2/app/bull-search/view/77854408","RAT")</f>
        <v>RAT</v>
      </c>
      <c r="B4526" t="s">
        <v>4993</v>
      </c>
      <c r="C4526" t="s">
        <v>4994</v>
      </c>
      <c r="D4526" s="1">
        <v>35297</v>
      </c>
      <c r="E4526" t="s">
        <v>92</v>
      </c>
      <c r="F4526">
        <v>91</v>
      </c>
      <c r="G4526" t="s">
        <v>93</v>
      </c>
      <c r="H4526">
        <v>-135.25</v>
      </c>
      <c r="I4526">
        <v>98</v>
      </c>
      <c r="J4526">
        <v>8.64</v>
      </c>
      <c r="K4526">
        <v>99</v>
      </c>
      <c r="L4526">
        <v>-148.81</v>
      </c>
      <c r="M4526">
        <v>96</v>
      </c>
      <c r="N4526">
        <v>26.04</v>
      </c>
      <c r="O4526">
        <v>98</v>
      </c>
      <c r="P4526">
        <v>-9.06</v>
      </c>
      <c r="Q4526">
        <v>99</v>
      </c>
      <c r="R4526">
        <v>-22.57</v>
      </c>
      <c r="S4526">
        <v>97</v>
      </c>
      <c r="T4526">
        <v>13.38</v>
      </c>
      <c r="U4526">
        <v>99</v>
      </c>
      <c r="V4526">
        <v>-2.87</v>
      </c>
      <c r="W4526">
        <v>97</v>
      </c>
      <c r="X4526" t="s">
        <v>94</v>
      </c>
      <c r="Y4526" t="s">
        <v>95</v>
      </c>
      <c r="Z4526" t="s">
        <v>96</v>
      </c>
      <c r="AA4526" t="s">
        <v>753</v>
      </c>
      <c r="AB4526" t="s">
        <v>3254</v>
      </c>
      <c r="AC4526">
        <v>2373</v>
      </c>
      <c r="AD4526">
        <v>664</v>
      </c>
      <c r="AE4526">
        <v>99</v>
      </c>
      <c r="AF4526">
        <v>293.77999999999997</v>
      </c>
      <c r="AG4526">
        <v>1.29</v>
      </c>
      <c r="AH4526">
        <v>5.51</v>
      </c>
      <c r="AI4526">
        <v>-0.17</v>
      </c>
      <c r="AJ4526">
        <v>-7.0000000000000007E-2</v>
      </c>
      <c r="AK4526">
        <v>96</v>
      </c>
      <c r="AL4526">
        <v>2618</v>
      </c>
      <c r="AM4526">
        <v>1009</v>
      </c>
      <c r="AN4526">
        <v>7.92</v>
      </c>
      <c r="AO4526">
        <v>-3.95</v>
      </c>
      <c r="AP4526">
        <v>3305</v>
      </c>
      <c r="AQ4526">
        <v>8</v>
      </c>
      <c r="AR4526">
        <v>6.93</v>
      </c>
      <c r="AS4526">
        <v>97</v>
      </c>
      <c r="AT4526">
        <v>2.4700000000000002</v>
      </c>
      <c r="AU4526">
        <v>99</v>
      </c>
      <c r="AV4526">
        <v>-2.73</v>
      </c>
      <c r="AW4526">
        <v>99</v>
      </c>
      <c r="AX4526">
        <v>-0.33</v>
      </c>
      <c r="AY4526">
        <v>99</v>
      </c>
      <c r="AZ4526">
        <v>6.77</v>
      </c>
      <c r="BA4526">
        <v>95</v>
      </c>
      <c r="BB4526">
        <v>5.58</v>
      </c>
      <c r="BC4526">
        <v>96</v>
      </c>
      <c r="BD4526">
        <v>0.06</v>
      </c>
      <c r="BE4526">
        <v>0.11</v>
      </c>
      <c r="BF4526">
        <v>0.21</v>
      </c>
      <c r="BG4526">
        <v>99</v>
      </c>
      <c r="BH4526">
        <v>0.1</v>
      </c>
      <c r="BI4526">
        <v>20.81</v>
      </c>
      <c r="BJ4526">
        <v>124</v>
      </c>
      <c r="BK4526">
        <v>66</v>
      </c>
      <c r="BL4526">
        <v>0.45</v>
      </c>
      <c r="BM4526">
        <v>0.97</v>
      </c>
      <c r="BN4526">
        <v>1.5</v>
      </c>
      <c r="BO4526">
        <v>0.56000000000000005</v>
      </c>
      <c r="BP4526">
        <v>0.5</v>
      </c>
      <c r="BQ4526">
        <v>1.1599999999999999</v>
      </c>
      <c r="BR4526">
        <v>0.06</v>
      </c>
      <c r="BS4526">
        <v>0.3</v>
      </c>
      <c r="BT4526">
        <v>-0.96</v>
      </c>
      <c r="BU4526">
        <v>-0.24</v>
      </c>
      <c r="BV4526">
        <v>0.9</v>
      </c>
      <c r="BW4526">
        <v>0.06</v>
      </c>
      <c r="BX4526">
        <v>-1.33</v>
      </c>
      <c r="BY4526">
        <v>7.0000000000000007E-2</v>
      </c>
      <c r="BZ4526">
        <v>0.52</v>
      </c>
      <c r="CA4526">
        <v>0.35</v>
      </c>
      <c r="CB4526">
        <v>0.61</v>
      </c>
      <c r="CC4526">
        <v>-0.16</v>
      </c>
      <c r="CD4526">
        <v>0.08</v>
      </c>
      <c r="CE4526">
        <v>0.78</v>
      </c>
      <c r="CF4526">
        <v>1.5</v>
      </c>
      <c r="CG4526">
        <v>0</v>
      </c>
      <c r="CH4526">
        <v>0.19</v>
      </c>
      <c r="CI4526">
        <v>0</v>
      </c>
      <c r="CJ4526">
        <v>-1.4</v>
      </c>
      <c r="CK4526">
        <v>99</v>
      </c>
      <c r="CL4526">
        <v>-0.91</v>
      </c>
      <c r="CM4526">
        <v>99</v>
      </c>
      <c r="CN4526">
        <v>-0.3</v>
      </c>
      <c r="CO4526">
        <v>99</v>
      </c>
      <c r="CP4526">
        <v>-8.3000000000000007</v>
      </c>
      <c r="CQ4526">
        <v>99</v>
      </c>
      <c r="CR4526">
        <v>0</v>
      </c>
      <c r="CS4526">
        <v>0</v>
      </c>
      <c r="CT4526">
        <v>-4.3</v>
      </c>
      <c r="CU4526">
        <v>99</v>
      </c>
      <c r="CV4526">
        <v>0.24</v>
      </c>
      <c r="CW4526">
        <v>47</v>
      </c>
      <c r="CX4526" t="s">
        <v>717</v>
      </c>
    </row>
    <row r="4527" spans="1:102" x14ac:dyDescent="0.3">
      <c r="A4527" t="str">
        <f>HYPERLINK("https://webapp.icbf.com/v2/app/bull-search/view/77856301","JKB")</f>
        <v>JKB</v>
      </c>
      <c r="B4527" t="s">
        <v>11353</v>
      </c>
      <c r="C4527" t="s">
        <v>273</v>
      </c>
      <c r="D4527" s="1">
        <v>34575</v>
      </c>
      <c r="E4527" t="s">
        <v>92</v>
      </c>
      <c r="F4527">
        <v>97</v>
      </c>
      <c r="G4527" t="s">
        <v>93</v>
      </c>
      <c r="H4527">
        <v>-135.4</v>
      </c>
      <c r="I4527">
        <v>99</v>
      </c>
      <c r="J4527">
        <v>48.33</v>
      </c>
      <c r="K4527">
        <v>99</v>
      </c>
      <c r="L4527">
        <v>-180.82</v>
      </c>
      <c r="M4527">
        <v>98</v>
      </c>
      <c r="N4527">
        <v>-1.1200000000000001</v>
      </c>
      <c r="O4527">
        <v>99</v>
      </c>
      <c r="P4527">
        <v>-8.75</v>
      </c>
      <c r="Q4527">
        <v>99</v>
      </c>
      <c r="R4527">
        <v>-5.63</v>
      </c>
      <c r="S4527">
        <v>98</v>
      </c>
      <c r="T4527">
        <v>9.02</v>
      </c>
      <c r="U4527">
        <v>99</v>
      </c>
      <c r="V4527">
        <v>3.57</v>
      </c>
      <c r="W4527">
        <v>98</v>
      </c>
      <c r="X4527" t="s">
        <v>94</v>
      </c>
      <c r="Y4527" t="s">
        <v>95</v>
      </c>
      <c r="Z4527" t="s">
        <v>96</v>
      </c>
      <c r="AA4527" t="s">
        <v>4070</v>
      </c>
      <c r="AB4527" t="s">
        <v>11354</v>
      </c>
      <c r="AC4527">
        <v>4161</v>
      </c>
      <c r="AD4527">
        <v>1002</v>
      </c>
      <c r="AE4527">
        <v>99</v>
      </c>
      <c r="AF4527">
        <v>512.20000000000005</v>
      </c>
      <c r="AG4527">
        <v>5.65</v>
      </c>
      <c r="AH4527">
        <v>14.06</v>
      </c>
      <c r="AI4527">
        <v>-0.23</v>
      </c>
      <c r="AJ4527">
        <v>-0.05</v>
      </c>
      <c r="AK4527">
        <v>98</v>
      </c>
      <c r="AL4527">
        <v>3957</v>
      </c>
      <c r="AM4527">
        <v>1039</v>
      </c>
      <c r="AN4527">
        <v>11.44</v>
      </c>
      <c r="AO4527">
        <v>-2.96</v>
      </c>
      <c r="AP4527">
        <v>7217</v>
      </c>
      <c r="AQ4527">
        <v>5</v>
      </c>
      <c r="AR4527">
        <v>9.5500000000000007</v>
      </c>
      <c r="AS4527">
        <v>99</v>
      </c>
      <c r="AT4527">
        <v>4.72</v>
      </c>
      <c r="AU4527">
        <v>99</v>
      </c>
      <c r="AV4527">
        <v>-2.41</v>
      </c>
      <c r="AW4527">
        <v>99</v>
      </c>
      <c r="AX4527">
        <v>-0.15</v>
      </c>
      <c r="AY4527">
        <v>99</v>
      </c>
      <c r="AZ4527">
        <v>5.66</v>
      </c>
      <c r="BA4527">
        <v>98</v>
      </c>
      <c r="BB4527">
        <v>4.91</v>
      </c>
      <c r="BC4527">
        <v>98</v>
      </c>
      <c r="BD4527">
        <v>-0.01</v>
      </c>
      <c r="BE4527">
        <v>0.04</v>
      </c>
      <c r="BF4527">
        <v>7.0000000000000007E-2</v>
      </c>
      <c r="BG4527">
        <v>99</v>
      </c>
      <c r="BH4527">
        <v>0.16</v>
      </c>
      <c r="BI4527">
        <v>6.98</v>
      </c>
      <c r="BJ4527">
        <v>1006</v>
      </c>
      <c r="BK4527">
        <v>275</v>
      </c>
      <c r="BL4527">
        <v>1.03</v>
      </c>
      <c r="BM4527">
        <v>-0.17</v>
      </c>
      <c r="BN4527">
        <v>0.76</v>
      </c>
      <c r="BO4527">
        <v>1.07</v>
      </c>
      <c r="BP4527">
        <v>0.88</v>
      </c>
      <c r="BQ4527">
        <v>-0.03</v>
      </c>
      <c r="BR4527">
        <v>-2.0699999999999998</v>
      </c>
      <c r="BS4527">
        <v>1.74</v>
      </c>
      <c r="BT4527">
        <v>1.07</v>
      </c>
      <c r="BU4527">
        <v>0.23</v>
      </c>
      <c r="BV4527">
        <v>1.7</v>
      </c>
      <c r="BW4527">
        <v>1.56</v>
      </c>
      <c r="BX4527">
        <v>-0.56000000000000005</v>
      </c>
      <c r="BY4527">
        <v>1.23</v>
      </c>
      <c r="BZ4527">
        <v>0.37</v>
      </c>
      <c r="CA4527">
        <v>1.5</v>
      </c>
      <c r="CB4527">
        <v>1.1499999999999999</v>
      </c>
      <c r="CC4527">
        <v>1.59</v>
      </c>
      <c r="CD4527">
        <v>-0.61</v>
      </c>
      <c r="CE4527">
        <v>1.27</v>
      </c>
      <c r="CF4527">
        <v>0.87</v>
      </c>
      <c r="CG4527">
        <v>0</v>
      </c>
      <c r="CH4527">
        <v>1.21</v>
      </c>
      <c r="CI4527">
        <v>0</v>
      </c>
      <c r="CJ4527">
        <v>0.1</v>
      </c>
      <c r="CK4527">
        <v>99</v>
      </c>
      <c r="CL4527">
        <v>-1.05</v>
      </c>
      <c r="CM4527">
        <v>99</v>
      </c>
      <c r="CN4527">
        <v>-0.21</v>
      </c>
      <c r="CO4527">
        <v>99</v>
      </c>
      <c r="CP4527">
        <v>-3.4</v>
      </c>
      <c r="CQ4527">
        <v>99</v>
      </c>
      <c r="CR4527">
        <v>0</v>
      </c>
      <c r="CS4527">
        <v>0</v>
      </c>
      <c r="CT4527">
        <v>1.6</v>
      </c>
      <c r="CU4527">
        <v>99</v>
      </c>
      <c r="CV4527">
        <v>0.3</v>
      </c>
      <c r="CW4527">
        <v>47</v>
      </c>
      <c r="CX4527" t="s">
        <v>118</v>
      </c>
    </row>
    <row r="4528" spans="1:102" x14ac:dyDescent="0.3">
      <c r="A4528" t="str">
        <f>HYPERLINK("https://webapp.icbf.com/v2/app/bull-search/view/547759254","S698")</f>
        <v>S698</v>
      </c>
      <c r="B4528" t="s">
        <v>4247</v>
      </c>
      <c r="C4528" t="s">
        <v>355</v>
      </c>
      <c r="D4528" s="1">
        <v>37741</v>
      </c>
      <c r="E4528" t="s">
        <v>92</v>
      </c>
      <c r="F4528">
        <v>100</v>
      </c>
      <c r="G4528" t="s">
        <v>93</v>
      </c>
      <c r="H4528">
        <v>-135.41999999999999</v>
      </c>
      <c r="I4528">
        <v>91</v>
      </c>
      <c r="J4528">
        <v>-7.78</v>
      </c>
      <c r="K4528">
        <v>97</v>
      </c>
      <c r="L4528">
        <v>-131.43</v>
      </c>
      <c r="M4528">
        <v>91</v>
      </c>
      <c r="N4528">
        <v>20.170000000000002</v>
      </c>
      <c r="O4528">
        <v>87</v>
      </c>
      <c r="P4528">
        <v>-13.38</v>
      </c>
      <c r="Q4528">
        <v>90</v>
      </c>
      <c r="R4528">
        <v>-1.01</v>
      </c>
      <c r="S4528">
        <v>82</v>
      </c>
      <c r="T4528">
        <v>0.14000000000000001</v>
      </c>
      <c r="U4528">
        <v>85</v>
      </c>
      <c r="V4528">
        <v>-2.13</v>
      </c>
      <c r="W4528">
        <v>73</v>
      </c>
      <c r="X4528" t="s">
        <v>276</v>
      </c>
      <c r="Y4528" t="s">
        <v>1494</v>
      </c>
      <c r="Z4528" t="s">
        <v>96</v>
      </c>
      <c r="AA4528" t="s">
        <v>4248</v>
      </c>
      <c r="AB4528" t="s">
        <v>4249</v>
      </c>
      <c r="AC4528">
        <v>99</v>
      </c>
      <c r="AD4528">
        <v>51</v>
      </c>
      <c r="AE4528">
        <v>97</v>
      </c>
      <c r="AF4528">
        <v>278.26</v>
      </c>
      <c r="AG4528">
        <v>5.67</v>
      </c>
      <c r="AH4528">
        <v>0.93</v>
      </c>
      <c r="AI4528">
        <v>-0.09</v>
      </c>
      <c r="AJ4528">
        <v>-0.14000000000000001</v>
      </c>
      <c r="AK4528">
        <v>91</v>
      </c>
      <c r="AL4528">
        <v>81</v>
      </c>
      <c r="AM4528">
        <v>42</v>
      </c>
      <c r="AN4528">
        <v>8.06</v>
      </c>
      <c r="AO4528">
        <v>-2.41</v>
      </c>
      <c r="AP4528">
        <v>132</v>
      </c>
      <c r="AQ4528">
        <v>0</v>
      </c>
      <c r="AR4528">
        <v>6.81</v>
      </c>
      <c r="AS4528">
        <v>85</v>
      </c>
      <c r="AT4528">
        <v>3.54</v>
      </c>
      <c r="AU4528">
        <v>98</v>
      </c>
      <c r="AV4528">
        <v>-2.83</v>
      </c>
      <c r="AW4528">
        <v>90</v>
      </c>
      <c r="AX4528">
        <v>0.31</v>
      </c>
      <c r="AY4528">
        <v>84</v>
      </c>
      <c r="AZ4528">
        <v>6.68</v>
      </c>
      <c r="BA4528">
        <v>71</v>
      </c>
      <c r="BB4528">
        <v>4.91</v>
      </c>
      <c r="BC4528">
        <v>67</v>
      </c>
      <c r="BD4528">
        <v>-0.01</v>
      </c>
      <c r="BE4528">
        <v>0</v>
      </c>
      <c r="BF4528">
        <v>0.04</v>
      </c>
      <c r="BG4528">
        <v>95</v>
      </c>
      <c r="BH4528">
        <v>-0.1</v>
      </c>
      <c r="BI4528">
        <v>-4.7</v>
      </c>
      <c r="BJ4528">
        <v>63</v>
      </c>
      <c r="BK4528">
        <v>38</v>
      </c>
      <c r="BL4528">
        <v>0.61</v>
      </c>
      <c r="BM4528">
        <v>-0.56000000000000005</v>
      </c>
      <c r="BN4528">
        <v>0.49</v>
      </c>
      <c r="BO4528">
        <v>1.06</v>
      </c>
      <c r="BP4528">
        <v>3.28</v>
      </c>
      <c r="BQ4528">
        <v>0.66</v>
      </c>
      <c r="BR4528">
        <v>-0.26</v>
      </c>
      <c r="BS4528">
        <v>2.06</v>
      </c>
      <c r="BT4528">
        <v>0.64</v>
      </c>
      <c r="BU4528">
        <v>2.67</v>
      </c>
      <c r="BV4528">
        <v>2.39</v>
      </c>
      <c r="BW4528">
        <v>2.25</v>
      </c>
      <c r="BX4528">
        <v>1.51</v>
      </c>
      <c r="BY4528">
        <v>2.15</v>
      </c>
      <c r="BZ4528">
        <v>0.42</v>
      </c>
      <c r="CA4528">
        <v>1.87</v>
      </c>
      <c r="CB4528">
        <v>2.2799999999999998</v>
      </c>
      <c r="CC4528">
        <v>0.49</v>
      </c>
      <c r="CD4528">
        <v>-0.09</v>
      </c>
      <c r="CE4528">
        <v>0.97</v>
      </c>
      <c r="CF4528">
        <v>0.88</v>
      </c>
      <c r="CG4528">
        <v>0</v>
      </c>
      <c r="CH4528">
        <v>2.2400000000000002</v>
      </c>
      <c r="CI4528">
        <v>0</v>
      </c>
      <c r="CJ4528">
        <v>-7</v>
      </c>
      <c r="CK4528">
        <v>91</v>
      </c>
      <c r="CL4528">
        <v>-1.07</v>
      </c>
      <c r="CM4528">
        <v>89</v>
      </c>
      <c r="CN4528">
        <v>-0.6</v>
      </c>
      <c r="CO4528">
        <v>88</v>
      </c>
      <c r="CP4528">
        <v>2</v>
      </c>
      <c r="CQ4528">
        <v>89</v>
      </c>
      <c r="CR4528">
        <v>0</v>
      </c>
      <c r="CS4528">
        <v>0</v>
      </c>
      <c r="CT4528">
        <v>13.6</v>
      </c>
      <c r="CU4528">
        <v>85</v>
      </c>
      <c r="CV4528">
        <v>0.03</v>
      </c>
      <c r="CW4528">
        <v>44</v>
      </c>
      <c r="CX4528" t="s">
        <v>289</v>
      </c>
    </row>
    <row r="4529" spans="1:102" x14ac:dyDescent="0.3">
      <c r="A4529" t="str">
        <f>HYPERLINK("https://webapp.icbf.com/v2/app/bull-search/view/133685403","LMA")</f>
        <v>LMA</v>
      </c>
      <c r="B4529" t="s">
        <v>11460</v>
      </c>
      <c r="C4529" t="s">
        <v>11461</v>
      </c>
      <c r="D4529" s="1">
        <v>35597</v>
      </c>
      <c r="E4529" t="s">
        <v>92</v>
      </c>
      <c r="F4529">
        <v>100</v>
      </c>
      <c r="G4529" t="s">
        <v>109</v>
      </c>
      <c r="H4529">
        <v>-135.47</v>
      </c>
      <c r="I4529">
        <v>86</v>
      </c>
      <c r="J4529">
        <v>4.24</v>
      </c>
      <c r="K4529">
        <v>95</v>
      </c>
      <c r="L4529">
        <v>-112.06</v>
      </c>
      <c r="M4529">
        <v>87</v>
      </c>
      <c r="N4529">
        <v>-17.920000000000002</v>
      </c>
      <c r="O4529">
        <v>76</v>
      </c>
      <c r="P4529">
        <v>-9.2100000000000009</v>
      </c>
      <c r="Q4529">
        <v>80</v>
      </c>
      <c r="R4529">
        <v>-13.28</v>
      </c>
      <c r="S4529">
        <v>81</v>
      </c>
      <c r="T4529">
        <v>10.87</v>
      </c>
      <c r="U4529">
        <v>71</v>
      </c>
      <c r="V4529">
        <v>1.89</v>
      </c>
      <c r="W4529">
        <v>74</v>
      </c>
      <c r="X4529" t="s">
        <v>94</v>
      </c>
      <c r="Y4529" t="s">
        <v>95</v>
      </c>
      <c r="Z4529" t="s">
        <v>96</v>
      </c>
      <c r="AA4529" t="s">
        <v>188</v>
      </c>
      <c r="AB4529" t="s">
        <v>11462</v>
      </c>
      <c r="AC4529">
        <v>31</v>
      </c>
      <c r="AD4529">
        <v>13</v>
      </c>
      <c r="AE4529">
        <v>95</v>
      </c>
      <c r="AF4529">
        <v>292.08999999999997</v>
      </c>
      <c r="AG4529">
        <v>4.8099999999999996</v>
      </c>
      <c r="AH4529">
        <v>3.49</v>
      </c>
      <c r="AI4529">
        <v>-0.11</v>
      </c>
      <c r="AJ4529">
        <v>-0.11</v>
      </c>
      <c r="AK4529">
        <v>87</v>
      </c>
      <c r="AL4529">
        <v>29</v>
      </c>
      <c r="AM4529">
        <v>14</v>
      </c>
      <c r="AN4529">
        <v>6.62</v>
      </c>
      <c r="AO4529">
        <v>-2.31</v>
      </c>
      <c r="AP4529">
        <v>60</v>
      </c>
      <c r="AQ4529">
        <v>1</v>
      </c>
      <c r="AR4529">
        <v>9.2899999999999991</v>
      </c>
      <c r="AS4529">
        <v>66</v>
      </c>
      <c r="AT4529">
        <v>4.29</v>
      </c>
      <c r="AU4529">
        <v>90</v>
      </c>
      <c r="AV4529">
        <v>-0.09</v>
      </c>
      <c r="AW4529">
        <v>80</v>
      </c>
      <c r="AX4529">
        <v>-0.09</v>
      </c>
      <c r="AY4529">
        <v>66</v>
      </c>
      <c r="AZ4529">
        <v>6.57</v>
      </c>
      <c r="BA4529">
        <v>58</v>
      </c>
      <c r="BB4529">
        <v>5.43</v>
      </c>
      <c r="BC4529">
        <v>61</v>
      </c>
      <c r="BD4529">
        <v>0.05</v>
      </c>
      <c r="BE4529">
        <v>0.08</v>
      </c>
      <c r="BF4529">
        <v>7.0000000000000007E-2</v>
      </c>
      <c r="BG4529">
        <v>92</v>
      </c>
      <c r="BH4529">
        <v>0.03</v>
      </c>
      <c r="BI4529">
        <v>-2.64</v>
      </c>
      <c r="BJ4529">
        <v>4</v>
      </c>
      <c r="BK4529">
        <v>4</v>
      </c>
      <c r="BL4529">
        <v>1.33</v>
      </c>
      <c r="BM4529">
        <v>-2</v>
      </c>
      <c r="BN4529">
        <v>-1.01</v>
      </c>
      <c r="BO4529">
        <v>0.93</v>
      </c>
      <c r="BP4529">
        <v>1.36</v>
      </c>
      <c r="BQ4529">
        <v>0.34</v>
      </c>
      <c r="BR4529">
        <v>0.55000000000000004</v>
      </c>
      <c r="BS4529">
        <v>1.51</v>
      </c>
      <c r="BT4529">
        <v>-0.17</v>
      </c>
      <c r="BU4529">
        <v>0.45</v>
      </c>
      <c r="BV4529">
        <v>1.44</v>
      </c>
      <c r="BW4529">
        <v>0.84</v>
      </c>
      <c r="BX4529">
        <v>0.71</v>
      </c>
      <c r="BY4529">
        <v>1.31</v>
      </c>
      <c r="BZ4529">
        <v>-0.67</v>
      </c>
      <c r="CA4529">
        <v>1.51</v>
      </c>
      <c r="CB4529">
        <v>1.24</v>
      </c>
      <c r="CC4529">
        <v>0.79</v>
      </c>
      <c r="CD4529">
        <v>-1.59</v>
      </c>
      <c r="CE4529">
        <v>0.23</v>
      </c>
      <c r="CF4529">
        <v>0.16</v>
      </c>
      <c r="CG4529">
        <v>0</v>
      </c>
      <c r="CH4529">
        <v>1.67</v>
      </c>
      <c r="CI4529">
        <v>0</v>
      </c>
      <c r="CJ4529">
        <v>-3.5</v>
      </c>
      <c r="CK4529">
        <v>82</v>
      </c>
      <c r="CL4529">
        <v>-0.91</v>
      </c>
      <c r="CM4529">
        <v>79</v>
      </c>
      <c r="CN4529">
        <v>-0.47</v>
      </c>
      <c r="CO4529">
        <v>76</v>
      </c>
      <c r="CP4529">
        <v>-3.3</v>
      </c>
      <c r="CQ4529">
        <v>78</v>
      </c>
      <c r="CR4529">
        <v>0</v>
      </c>
      <c r="CS4529">
        <v>0</v>
      </c>
      <c r="CT4529">
        <v>-0.9</v>
      </c>
      <c r="CU4529">
        <v>71</v>
      </c>
      <c r="CV4529">
        <v>0.06</v>
      </c>
      <c r="CW4529">
        <v>42</v>
      </c>
      <c r="CX4529" t="s">
        <v>1463</v>
      </c>
    </row>
    <row r="4530" spans="1:102" x14ac:dyDescent="0.3">
      <c r="A4530" t="str">
        <f>HYPERLINK("https://webapp.icbf.com/v2/app/bull-search/view/69092173","LTS")</f>
        <v>LTS</v>
      </c>
      <c r="B4530" t="s">
        <v>144</v>
      </c>
      <c r="C4530" t="s">
        <v>3921</v>
      </c>
      <c r="D4530" s="1">
        <v>34080</v>
      </c>
      <c r="E4530" t="s">
        <v>146</v>
      </c>
      <c r="F4530">
        <v>25</v>
      </c>
      <c r="G4530" t="s">
        <v>93</v>
      </c>
      <c r="H4530">
        <v>-135.49</v>
      </c>
      <c r="I4530">
        <v>94</v>
      </c>
      <c r="J4530">
        <v>-63.78</v>
      </c>
      <c r="K4530">
        <v>99</v>
      </c>
      <c r="L4530">
        <v>-48.95</v>
      </c>
      <c r="M4530">
        <v>89</v>
      </c>
      <c r="N4530">
        <v>-20</v>
      </c>
      <c r="O4530">
        <v>95</v>
      </c>
      <c r="P4530">
        <v>6.84</v>
      </c>
      <c r="Q4530">
        <v>99</v>
      </c>
      <c r="R4530">
        <v>-9.2899999999999991</v>
      </c>
      <c r="S4530">
        <v>89</v>
      </c>
      <c r="T4530">
        <v>10.050000000000001</v>
      </c>
      <c r="U4530">
        <v>97</v>
      </c>
      <c r="V4530">
        <v>-10.36</v>
      </c>
      <c r="W4530">
        <v>90</v>
      </c>
      <c r="X4530" t="s">
        <v>276</v>
      </c>
      <c r="Y4530" t="s">
        <v>95</v>
      </c>
      <c r="Z4530" t="s">
        <v>528</v>
      </c>
      <c r="AA4530" t="s">
        <v>580</v>
      </c>
      <c r="AB4530" t="s">
        <v>581</v>
      </c>
      <c r="AC4530">
        <v>658</v>
      </c>
      <c r="AD4530">
        <v>281</v>
      </c>
      <c r="AE4530">
        <v>99</v>
      </c>
      <c r="AF4530">
        <v>-558.33000000000004</v>
      </c>
      <c r="AG4530">
        <v>-16.8</v>
      </c>
      <c r="AH4530">
        <v>-13.45</v>
      </c>
      <c r="AI4530">
        <v>0.09</v>
      </c>
      <c r="AJ4530">
        <v>0.1</v>
      </c>
      <c r="AK4530">
        <v>89</v>
      </c>
      <c r="AL4530">
        <v>744</v>
      </c>
      <c r="AM4530">
        <v>312</v>
      </c>
      <c r="AN4530">
        <v>0.62</v>
      </c>
      <c r="AO4530">
        <v>-3.31</v>
      </c>
      <c r="AP4530">
        <v>553</v>
      </c>
      <c r="AQ4530">
        <v>6</v>
      </c>
      <c r="AR4530">
        <v>9.91</v>
      </c>
      <c r="AS4530">
        <v>87</v>
      </c>
      <c r="AT4530">
        <v>4.24</v>
      </c>
      <c r="AU4530">
        <v>95</v>
      </c>
      <c r="AV4530">
        <v>-1.42</v>
      </c>
      <c r="AW4530">
        <v>98</v>
      </c>
      <c r="AX4530">
        <v>0.35</v>
      </c>
      <c r="AY4530">
        <v>96</v>
      </c>
      <c r="AZ4530">
        <v>10.46</v>
      </c>
      <c r="BA4530">
        <v>86</v>
      </c>
      <c r="BB4530">
        <v>6</v>
      </c>
      <c r="BC4530">
        <v>90</v>
      </c>
      <c r="BD4530">
        <v>0.01</v>
      </c>
      <c r="BE4530">
        <v>0.03</v>
      </c>
      <c r="BF4530">
        <v>0.14000000000000001</v>
      </c>
      <c r="BG4530">
        <v>97</v>
      </c>
      <c r="BH4530">
        <v>-0.15</v>
      </c>
      <c r="BI4530">
        <v>16.079999999999998</v>
      </c>
      <c r="BJ4530">
        <v>3</v>
      </c>
      <c r="BK4530">
        <v>3</v>
      </c>
      <c r="BL4530">
        <v>-0.86</v>
      </c>
      <c r="BM4530">
        <v>3.42</v>
      </c>
      <c r="BN4530">
        <v>-0.34</v>
      </c>
      <c r="BO4530">
        <v>-2.4900000000000002</v>
      </c>
      <c r="BP4530">
        <v>2</v>
      </c>
      <c r="BQ4530">
        <v>1.32</v>
      </c>
      <c r="BR4530">
        <v>0.23</v>
      </c>
      <c r="BS4530">
        <v>-0.05</v>
      </c>
      <c r="BT4530">
        <v>-0.4</v>
      </c>
      <c r="BU4530">
        <v>-1.26</v>
      </c>
      <c r="BV4530">
        <v>-3.05</v>
      </c>
      <c r="BW4530">
        <v>-2.1</v>
      </c>
      <c r="BX4530">
        <v>-0.14000000000000001</v>
      </c>
      <c r="BY4530">
        <v>-1.77</v>
      </c>
      <c r="BZ4530">
        <v>0.87</v>
      </c>
      <c r="CA4530">
        <v>-2.0099999999999998</v>
      </c>
      <c r="CB4530">
        <v>-2.06</v>
      </c>
      <c r="CC4530">
        <v>-1.05</v>
      </c>
      <c r="CD4530">
        <v>3.1</v>
      </c>
      <c r="CE4530">
        <v>-2.0299999999999998</v>
      </c>
      <c r="CF4530">
        <v>-0.48</v>
      </c>
      <c r="CG4530">
        <v>0</v>
      </c>
      <c r="CH4530">
        <v>-3.05</v>
      </c>
      <c r="CI4530">
        <v>0</v>
      </c>
      <c r="CJ4530">
        <v>0.5</v>
      </c>
      <c r="CK4530">
        <v>99</v>
      </c>
      <c r="CL4530">
        <v>0.32</v>
      </c>
      <c r="CM4530">
        <v>99</v>
      </c>
      <c r="CN4530">
        <v>-0.17</v>
      </c>
      <c r="CO4530">
        <v>99</v>
      </c>
      <c r="CP4530">
        <v>5.7</v>
      </c>
      <c r="CQ4530">
        <v>98</v>
      </c>
      <c r="CR4530">
        <v>0</v>
      </c>
      <c r="CS4530">
        <v>0</v>
      </c>
      <c r="CT4530">
        <v>0.2</v>
      </c>
      <c r="CU4530">
        <v>97</v>
      </c>
      <c r="CV4530">
        <v>-0.22</v>
      </c>
      <c r="CW4530">
        <v>30</v>
      </c>
      <c r="CX4530" t="s">
        <v>582</v>
      </c>
    </row>
    <row r="4531" spans="1:102" x14ac:dyDescent="0.3">
      <c r="A4531" t="str">
        <f>HYPERLINK("https://webapp.icbf.com/v2/app/bull-search/view/124414873","LMW")</f>
        <v>LMW</v>
      </c>
      <c r="B4531" t="s">
        <v>15255</v>
      </c>
      <c r="C4531" t="s">
        <v>291</v>
      </c>
      <c r="D4531" s="1">
        <v>33725</v>
      </c>
      <c r="E4531" t="s">
        <v>92</v>
      </c>
      <c r="F4531">
        <v>100</v>
      </c>
      <c r="G4531" t="s">
        <v>93</v>
      </c>
      <c r="H4531">
        <v>-135.63</v>
      </c>
      <c r="I4531">
        <v>90</v>
      </c>
      <c r="J4531">
        <v>9.89</v>
      </c>
      <c r="K4531">
        <v>96</v>
      </c>
      <c r="L4531">
        <v>-137.01</v>
      </c>
      <c r="M4531">
        <v>92</v>
      </c>
      <c r="N4531">
        <v>2.56</v>
      </c>
      <c r="O4531">
        <v>84</v>
      </c>
      <c r="P4531">
        <v>-9.7200000000000006</v>
      </c>
      <c r="Q4531">
        <v>86</v>
      </c>
      <c r="R4531">
        <v>-6.35</v>
      </c>
      <c r="S4531">
        <v>84</v>
      </c>
      <c r="T4531">
        <v>10.72</v>
      </c>
      <c r="U4531">
        <v>80</v>
      </c>
      <c r="V4531">
        <v>-5.72</v>
      </c>
      <c r="W4531">
        <v>77</v>
      </c>
      <c r="X4531" t="s">
        <v>110</v>
      </c>
      <c r="Y4531" t="s">
        <v>95</v>
      </c>
      <c r="Z4531" t="s">
        <v>96</v>
      </c>
      <c r="AA4531" t="s">
        <v>132</v>
      </c>
      <c r="AB4531" t="s">
        <v>15256</v>
      </c>
      <c r="AC4531">
        <v>41</v>
      </c>
      <c r="AD4531">
        <v>30</v>
      </c>
      <c r="AE4531">
        <v>96</v>
      </c>
      <c r="AF4531">
        <v>442.55</v>
      </c>
      <c r="AG4531">
        <v>8.1300000000000008</v>
      </c>
      <c r="AH4531">
        <v>5.58</v>
      </c>
      <c r="AI4531">
        <v>-0.15</v>
      </c>
      <c r="AJ4531">
        <v>-0.15</v>
      </c>
      <c r="AK4531">
        <v>92</v>
      </c>
      <c r="AL4531">
        <v>39</v>
      </c>
      <c r="AM4531">
        <v>22</v>
      </c>
      <c r="AN4531">
        <v>8.75</v>
      </c>
      <c r="AO4531">
        <v>-2.16</v>
      </c>
      <c r="AP4531">
        <v>31</v>
      </c>
      <c r="AQ4531">
        <v>1</v>
      </c>
      <c r="AR4531">
        <v>8.35</v>
      </c>
      <c r="AS4531">
        <v>79</v>
      </c>
      <c r="AT4531">
        <v>3.18</v>
      </c>
      <c r="AU4531">
        <v>99</v>
      </c>
      <c r="AV4531">
        <v>-0.75</v>
      </c>
      <c r="AW4531">
        <v>82</v>
      </c>
      <c r="AX4531">
        <v>0.55000000000000004</v>
      </c>
      <c r="AY4531">
        <v>80</v>
      </c>
      <c r="AZ4531">
        <v>6.61</v>
      </c>
      <c r="BA4531">
        <v>71</v>
      </c>
      <c r="BB4531">
        <v>4.8499999999999996</v>
      </c>
      <c r="BC4531">
        <v>72</v>
      </c>
      <c r="BD4531">
        <v>-0.03</v>
      </c>
      <c r="BE4531">
        <v>0.04</v>
      </c>
      <c r="BF4531">
        <v>0.12</v>
      </c>
      <c r="BG4531">
        <v>94</v>
      </c>
      <c r="BH4531">
        <v>-0.11</v>
      </c>
      <c r="BI4531">
        <v>5.72</v>
      </c>
      <c r="BJ4531">
        <v>10</v>
      </c>
      <c r="BK4531">
        <v>8</v>
      </c>
      <c r="BL4531">
        <v>0.08</v>
      </c>
      <c r="BM4531">
        <v>-4.2</v>
      </c>
      <c r="BN4531">
        <v>-1.1000000000000001</v>
      </c>
      <c r="BO4531">
        <v>1.28</v>
      </c>
      <c r="BP4531">
        <v>1.47</v>
      </c>
      <c r="BQ4531">
        <v>-2.9</v>
      </c>
      <c r="BR4531">
        <v>0</v>
      </c>
      <c r="BS4531">
        <v>0.55000000000000004</v>
      </c>
      <c r="BT4531">
        <v>0.26</v>
      </c>
      <c r="BU4531">
        <v>-0.88</v>
      </c>
      <c r="BV4531">
        <v>0.52</v>
      </c>
      <c r="BW4531">
        <v>0.72</v>
      </c>
      <c r="BX4531">
        <v>-0.32</v>
      </c>
      <c r="BY4531">
        <v>-0.45</v>
      </c>
      <c r="BZ4531">
        <v>-0.05</v>
      </c>
      <c r="CA4531">
        <v>-0.03</v>
      </c>
      <c r="CB4531">
        <v>-0.08</v>
      </c>
      <c r="CC4531">
        <v>0.95</v>
      </c>
      <c r="CD4531">
        <v>-2.33</v>
      </c>
      <c r="CE4531">
        <v>0.59</v>
      </c>
      <c r="CF4531">
        <v>-0.02</v>
      </c>
      <c r="CG4531">
        <v>0</v>
      </c>
      <c r="CH4531">
        <v>-0.87</v>
      </c>
      <c r="CI4531">
        <v>0</v>
      </c>
      <c r="CJ4531">
        <v>-5.2</v>
      </c>
      <c r="CK4531">
        <v>87</v>
      </c>
      <c r="CL4531">
        <v>-0.63</v>
      </c>
      <c r="CM4531">
        <v>85</v>
      </c>
      <c r="CN4531">
        <v>-0.48</v>
      </c>
      <c r="CO4531">
        <v>84</v>
      </c>
      <c r="CP4531">
        <v>-11.1</v>
      </c>
      <c r="CQ4531">
        <v>85</v>
      </c>
      <c r="CR4531">
        <v>0</v>
      </c>
      <c r="CS4531">
        <v>0</v>
      </c>
      <c r="CT4531">
        <v>-0.7</v>
      </c>
      <c r="CU4531">
        <v>80</v>
      </c>
      <c r="CV4531">
        <v>0.01</v>
      </c>
      <c r="CW4531">
        <v>43</v>
      </c>
      <c r="CX4531" t="s">
        <v>166</v>
      </c>
    </row>
    <row r="4532" spans="1:102" x14ac:dyDescent="0.3">
      <c r="A4532" t="str">
        <f>HYPERLINK("https://webapp.icbf.com/v2/app/bull-search/view/77854444","RCB")</f>
        <v>RCB</v>
      </c>
      <c r="B4532" t="s">
        <v>9918</v>
      </c>
      <c r="C4532" t="s">
        <v>9919</v>
      </c>
      <c r="D4532" s="1">
        <v>34543</v>
      </c>
      <c r="E4532" t="s">
        <v>92</v>
      </c>
      <c r="F4532">
        <v>100</v>
      </c>
      <c r="G4532" t="s">
        <v>109</v>
      </c>
      <c r="H4532">
        <v>-135.72</v>
      </c>
      <c r="I4532">
        <v>64</v>
      </c>
      <c r="J4532">
        <v>-42.13</v>
      </c>
      <c r="K4532">
        <v>75</v>
      </c>
      <c r="L4532">
        <v>-114.23</v>
      </c>
      <c r="M4532">
        <v>75</v>
      </c>
      <c r="N4532">
        <v>31.26</v>
      </c>
      <c r="O4532">
        <v>43</v>
      </c>
      <c r="P4532">
        <v>-13.05</v>
      </c>
      <c r="Q4532">
        <v>47</v>
      </c>
      <c r="R4532">
        <v>-4.9000000000000004</v>
      </c>
      <c r="S4532">
        <v>56</v>
      </c>
      <c r="T4532">
        <v>8.8699999999999992</v>
      </c>
      <c r="U4532">
        <v>40</v>
      </c>
      <c r="V4532">
        <v>-1.54</v>
      </c>
      <c r="W4532">
        <v>20</v>
      </c>
      <c r="X4532" t="s">
        <v>747</v>
      </c>
      <c r="Y4532" t="s">
        <v>95</v>
      </c>
      <c r="Z4532" t="s">
        <v>96</v>
      </c>
      <c r="AA4532" t="s">
        <v>254</v>
      </c>
      <c r="AB4532" t="s">
        <v>3801</v>
      </c>
      <c r="AC4532">
        <v>0</v>
      </c>
      <c r="AD4532">
        <v>0</v>
      </c>
      <c r="AE4532">
        <v>75</v>
      </c>
      <c r="AF4532">
        <v>326.58999999999997</v>
      </c>
      <c r="AG4532">
        <v>-2.76</v>
      </c>
      <c r="AH4532">
        <v>-1.19</v>
      </c>
      <c r="AI4532">
        <v>-0.24</v>
      </c>
      <c r="AJ4532">
        <v>-0.19</v>
      </c>
      <c r="AK4532">
        <v>75</v>
      </c>
      <c r="AL4532">
        <v>0</v>
      </c>
      <c r="AM4532">
        <v>0</v>
      </c>
      <c r="AN4532">
        <v>7</v>
      </c>
      <c r="AO4532">
        <v>-2.1</v>
      </c>
      <c r="AP4532">
        <v>4</v>
      </c>
      <c r="AQ4532">
        <v>0</v>
      </c>
      <c r="AR4532">
        <v>4.63</v>
      </c>
      <c r="AS4532">
        <v>22</v>
      </c>
      <c r="AT4532">
        <v>2.11</v>
      </c>
      <c r="AU4532">
        <v>79</v>
      </c>
      <c r="AV4532">
        <v>-2.2200000000000002</v>
      </c>
      <c r="AW4532">
        <v>35</v>
      </c>
      <c r="AX4532">
        <v>-0.61</v>
      </c>
      <c r="AY4532">
        <v>34</v>
      </c>
      <c r="AZ4532">
        <v>6.53</v>
      </c>
      <c r="BA4532">
        <v>23</v>
      </c>
      <c r="BB4532">
        <v>5.42</v>
      </c>
      <c r="BC4532">
        <v>22</v>
      </c>
      <c r="BD4532">
        <v>0.01</v>
      </c>
      <c r="BE4532">
        <v>0.04</v>
      </c>
      <c r="BF4532">
        <v>0.02</v>
      </c>
      <c r="BG4532">
        <v>79</v>
      </c>
      <c r="BH4532">
        <v>0.03</v>
      </c>
      <c r="BI4532">
        <v>8.43</v>
      </c>
      <c r="BJ4532">
        <v>2</v>
      </c>
      <c r="BK4532">
        <v>2</v>
      </c>
      <c r="BL4532">
        <v>-0.04</v>
      </c>
      <c r="BM4532">
        <v>-0.91</v>
      </c>
      <c r="BN4532">
        <v>-0.71</v>
      </c>
      <c r="BO4532">
        <v>0.27</v>
      </c>
      <c r="BP4532">
        <v>-0.88</v>
      </c>
      <c r="BQ4532">
        <v>-0.04</v>
      </c>
      <c r="BR4532">
        <v>0.04</v>
      </c>
      <c r="BS4532">
        <v>0.16</v>
      </c>
      <c r="BT4532">
        <v>0.25</v>
      </c>
      <c r="BU4532">
        <v>0.97</v>
      </c>
      <c r="BV4532">
        <v>0.56000000000000005</v>
      </c>
      <c r="BW4532">
        <v>0.88</v>
      </c>
      <c r="BX4532">
        <v>0.95</v>
      </c>
      <c r="BY4532">
        <v>1.81</v>
      </c>
      <c r="BZ4532">
        <v>-2.76</v>
      </c>
      <c r="CA4532">
        <v>0.97</v>
      </c>
      <c r="CB4532">
        <v>0.7</v>
      </c>
      <c r="CC4532">
        <v>0.98</v>
      </c>
      <c r="CD4532">
        <v>-0.49</v>
      </c>
      <c r="CE4532">
        <v>0.6</v>
      </c>
      <c r="CF4532">
        <v>0.9</v>
      </c>
      <c r="CG4532">
        <v>0</v>
      </c>
      <c r="CH4532">
        <v>0.75</v>
      </c>
      <c r="CI4532">
        <v>0</v>
      </c>
      <c r="CJ4532">
        <v>-5.5</v>
      </c>
      <c r="CK4532">
        <v>49</v>
      </c>
      <c r="CL4532">
        <v>-0.88</v>
      </c>
      <c r="CM4532">
        <v>45</v>
      </c>
      <c r="CN4532">
        <v>-0.39</v>
      </c>
      <c r="CO4532">
        <v>40</v>
      </c>
      <c r="CP4532">
        <v>-6.3</v>
      </c>
      <c r="CQ4532">
        <v>51</v>
      </c>
      <c r="CR4532">
        <v>0</v>
      </c>
      <c r="CS4532">
        <v>0</v>
      </c>
      <c r="CT4532">
        <v>1.8</v>
      </c>
      <c r="CU4532">
        <v>40</v>
      </c>
      <c r="CV4532">
        <v>0.13</v>
      </c>
      <c r="CW4532">
        <v>13</v>
      </c>
      <c r="CX4532" t="s">
        <v>111</v>
      </c>
    </row>
    <row r="4533" spans="1:102" x14ac:dyDescent="0.3">
      <c r="A4533" t="str">
        <f>HYPERLINK("https://webapp.icbf.com/v2/app/bull-search/view/77854765","PKS")</f>
        <v>PKS</v>
      </c>
      <c r="B4533" t="s">
        <v>11402</v>
      </c>
      <c r="C4533" t="s">
        <v>11403</v>
      </c>
      <c r="D4533" s="1">
        <v>34574</v>
      </c>
      <c r="E4533" t="s">
        <v>92</v>
      </c>
      <c r="F4533">
        <v>100</v>
      </c>
      <c r="G4533" t="s">
        <v>93</v>
      </c>
      <c r="H4533">
        <v>-135.88</v>
      </c>
      <c r="I4533">
        <v>94</v>
      </c>
      <c r="J4533">
        <v>10.91</v>
      </c>
      <c r="K4533">
        <v>99</v>
      </c>
      <c r="L4533">
        <v>-122.15</v>
      </c>
      <c r="M4533">
        <v>92</v>
      </c>
      <c r="N4533">
        <v>-37.36</v>
      </c>
      <c r="O4533">
        <v>93</v>
      </c>
      <c r="P4533">
        <v>-4.68</v>
      </c>
      <c r="Q4533">
        <v>98</v>
      </c>
      <c r="R4533">
        <v>4.26</v>
      </c>
      <c r="S4533">
        <v>89</v>
      </c>
      <c r="T4533">
        <v>16.93</v>
      </c>
      <c r="U4533">
        <v>92</v>
      </c>
      <c r="V4533">
        <v>-3.79</v>
      </c>
      <c r="W4533">
        <v>84</v>
      </c>
      <c r="X4533" t="s">
        <v>94</v>
      </c>
      <c r="Y4533" t="s">
        <v>95</v>
      </c>
      <c r="Z4533" t="s">
        <v>96</v>
      </c>
      <c r="AA4533" t="s">
        <v>678</v>
      </c>
      <c r="AB4533" t="s">
        <v>11404</v>
      </c>
      <c r="AC4533">
        <v>346</v>
      </c>
      <c r="AD4533">
        <v>161</v>
      </c>
      <c r="AE4533">
        <v>99</v>
      </c>
      <c r="AF4533">
        <v>-132.58000000000001</v>
      </c>
      <c r="AG4533">
        <v>0.75</v>
      </c>
      <c r="AH4533">
        <v>-0.44</v>
      </c>
      <c r="AI4533">
        <v>0.11</v>
      </c>
      <c r="AJ4533">
        <v>7.0000000000000007E-2</v>
      </c>
      <c r="AK4533">
        <v>92</v>
      </c>
      <c r="AL4533">
        <v>388</v>
      </c>
      <c r="AM4533">
        <v>186</v>
      </c>
      <c r="AN4533">
        <v>6.73</v>
      </c>
      <c r="AO4533">
        <v>-3.01</v>
      </c>
      <c r="AP4533">
        <v>273</v>
      </c>
      <c r="AQ4533">
        <v>0</v>
      </c>
      <c r="AR4533">
        <v>10.57</v>
      </c>
      <c r="AS4533">
        <v>83</v>
      </c>
      <c r="AT4533">
        <v>5.0599999999999996</v>
      </c>
      <c r="AU4533">
        <v>93</v>
      </c>
      <c r="AV4533">
        <v>0.91</v>
      </c>
      <c r="AW4533">
        <v>98</v>
      </c>
      <c r="AX4533">
        <v>0.54</v>
      </c>
      <c r="AY4533">
        <v>92</v>
      </c>
      <c r="AZ4533">
        <v>6.13</v>
      </c>
      <c r="BA4533">
        <v>81</v>
      </c>
      <c r="BB4533">
        <v>4.83</v>
      </c>
      <c r="BC4533">
        <v>85</v>
      </c>
      <c r="BD4533">
        <v>0</v>
      </c>
      <c r="BE4533">
        <v>-0.02</v>
      </c>
      <c r="BF4533">
        <v>-0.06</v>
      </c>
      <c r="BG4533">
        <v>96</v>
      </c>
      <c r="BH4533">
        <v>-0.15</v>
      </c>
      <c r="BI4533">
        <v>-5.1100000000000003</v>
      </c>
      <c r="BJ4533">
        <v>23</v>
      </c>
      <c r="BK4533">
        <v>18</v>
      </c>
      <c r="BL4533">
        <v>-0.26</v>
      </c>
      <c r="BM4533">
        <v>-2.15</v>
      </c>
      <c r="BN4533">
        <v>-0.93</v>
      </c>
      <c r="BO4533">
        <v>0.51</v>
      </c>
      <c r="BP4533">
        <v>-1.57</v>
      </c>
      <c r="BQ4533">
        <v>-1.17</v>
      </c>
      <c r="BR4533">
        <v>0.09</v>
      </c>
      <c r="BS4533">
        <v>-0.53</v>
      </c>
      <c r="BT4533">
        <v>1.22</v>
      </c>
      <c r="BU4533">
        <v>0.55000000000000004</v>
      </c>
      <c r="BV4533">
        <v>0.64</v>
      </c>
      <c r="BW4533">
        <v>0.88</v>
      </c>
      <c r="BX4533">
        <v>0.76</v>
      </c>
      <c r="BY4533">
        <v>1.91</v>
      </c>
      <c r="BZ4533">
        <v>-0.78</v>
      </c>
      <c r="CA4533">
        <v>0.76</v>
      </c>
      <c r="CB4533">
        <v>0.8</v>
      </c>
      <c r="CC4533">
        <v>0.04</v>
      </c>
      <c r="CD4533">
        <v>-1.31</v>
      </c>
      <c r="CE4533">
        <v>0.53</v>
      </c>
      <c r="CF4533">
        <v>-0.83</v>
      </c>
      <c r="CG4533">
        <v>0</v>
      </c>
      <c r="CH4533">
        <v>1.33</v>
      </c>
      <c r="CI4533">
        <v>0</v>
      </c>
      <c r="CJ4533">
        <v>-2.6</v>
      </c>
      <c r="CK4533">
        <v>98</v>
      </c>
      <c r="CL4533">
        <v>-0.7</v>
      </c>
      <c r="CM4533">
        <v>97</v>
      </c>
      <c r="CN4533">
        <v>-0.62</v>
      </c>
      <c r="CO4533">
        <v>97</v>
      </c>
      <c r="CP4533">
        <v>-7.5</v>
      </c>
      <c r="CQ4533">
        <v>97</v>
      </c>
      <c r="CR4533">
        <v>0</v>
      </c>
      <c r="CS4533">
        <v>0</v>
      </c>
      <c r="CT4533">
        <v>-9.1</v>
      </c>
      <c r="CU4533">
        <v>92</v>
      </c>
      <c r="CV4533">
        <v>7.0000000000000007E-2</v>
      </c>
      <c r="CW4533">
        <v>45</v>
      </c>
      <c r="CX4533" t="s">
        <v>485</v>
      </c>
    </row>
    <row r="4534" spans="1:102" x14ac:dyDescent="0.3">
      <c r="A4534" t="str">
        <f>HYPERLINK("https://webapp.icbf.com/v2/app/bull-search/view/532895043","AIO")</f>
        <v>AIO</v>
      </c>
      <c r="B4534" t="s">
        <v>4671</v>
      </c>
      <c r="C4534" t="s">
        <v>4672</v>
      </c>
      <c r="D4534" s="1">
        <v>38624</v>
      </c>
      <c r="E4534" t="s">
        <v>92</v>
      </c>
      <c r="F4534">
        <v>100</v>
      </c>
      <c r="G4534" t="s">
        <v>93</v>
      </c>
      <c r="H4534">
        <v>-136.15</v>
      </c>
      <c r="I4534">
        <v>80</v>
      </c>
      <c r="J4534">
        <v>7.29</v>
      </c>
      <c r="K4534">
        <v>93</v>
      </c>
      <c r="L4534">
        <v>-127.22</v>
      </c>
      <c r="M4534">
        <v>75</v>
      </c>
      <c r="N4534">
        <v>-0.06</v>
      </c>
      <c r="O4534">
        <v>73</v>
      </c>
      <c r="P4534">
        <v>-18.16</v>
      </c>
      <c r="Q4534">
        <v>82</v>
      </c>
      <c r="R4534">
        <v>0.87</v>
      </c>
      <c r="S4534">
        <v>64</v>
      </c>
      <c r="T4534">
        <v>2.65</v>
      </c>
      <c r="U4534">
        <v>84</v>
      </c>
      <c r="V4534">
        <v>-1.52</v>
      </c>
      <c r="W4534">
        <v>36</v>
      </c>
      <c r="X4534" t="s">
        <v>276</v>
      </c>
      <c r="Y4534" t="s">
        <v>1423</v>
      </c>
      <c r="Z4534" t="s">
        <v>96</v>
      </c>
      <c r="AA4534" t="s">
        <v>4673</v>
      </c>
      <c r="AB4534" t="s">
        <v>4674</v>
      </c>
      <c r="AC4534">
        <v>61</v>
      </c>
      <c r="AD4534">
        <v>30</v>
      </c>
      <c r="AE4534">
        <v>93</v>
      </c>
      <c r="AF4534">
        <v>503.83</v>
      </c>
      <c r="AG4534">
        <v>-3.84</v>
      </c>
      <c r="AH4534">
        <v>10.31</v>
      </c>
      <c r="AI4534">
        <v>-0.36</v>
      </c>
      <c r="AJ4534">
        <v>-0.11</v>
      </c>
      <c r="AK4534">
        <v>75</v>
      </c>
      <c r="AL4534">
        <v>61</v>
      </c>
      <c r="AM4534">
        <v>26</v>
      </c>
      <c r="AN4534">
        <v>7.38</v>
      </c>
      <c r="AO4534">
        <v>-2.76</v>
      </c>
      <c r="AP4534">
        <v>95</v>
      </c>
      <c r="AQ4534">
        <v>0</v>
      </c>
      <c r="AR4534">
        <v>7.52</v>
      </c>
      <c r="AS4534">
        <v>57</v>
      </c>
      <c r="AT4534">
        <v>4.2</v>
      </c>
      <c r="AU4534">
        <v>78</v>
      </c>
      <c r="AV4534">
        <v>-0.69</v>
      </c>
      <c r="AW4534">
        <v>86</v>
      </c>
      <c r="AX4534">
        <v>0.1</v>
      </c>
      <c r="AY4534">
        <v>70</v>
      </c>
      <c r="AZ4534">
        <v>5.23</v>
      </c>
      <c r="BA4534">
        <v>47</v>
      </c>
      <c r="BB4534">
        <v>4.37</v>
      </c>
      <c r="BC4534">
        <v>46</v>
      </c>
      <c r="BD4534">
        <v>0</v>
      </c>
      <c r="BE4534">
        <v>0</v>
      </c>
      <c r="BF4534">
        <v>-0.02</v>
      </c>
      <c r="BG4534">
        <v>83</v>
      </c>
      <c r="BH4534">
        <v>-0.01</v>
      </c>
      <c r="BI4534">
        <v>3.75</v>
      </c>
      <c r="BJ4534">
        <v>25</v>
      </c>
      <c r="BK4534">
        <v>14</v>
      </c>
      <c r="BL4534">
        <v>1.1200000000000001</v>
      </c>
      <c r="BM4534">
        <v>-0.53</v>
      </c>
      <c r="BN4534">
        <v>0.78</v>
      </c>
      <c r="BO4534">
        <v>0.96</v>
      </c>
      <c r="BP4534">
        <v>-0.5</v>
      </c>
      <c r="BQ4534">
        <v>2.42</v>
      </c>
      <c r="BR4534">
        <v>-0.59</v>
      </c>
      <c r="BS4534">
        <v>1.57</v>
      </c>
      <c r="BT4534">
        <v>1.38</v>
      </c>
      <c r="BU4534">
        <v>3.61</v>
      </c>
      <c r="BV4534">
        <v>3.77</v>
      </c>
      <c r="BW4534">
        <v>3.45</v>
      </c>
      <c r="BX4534">
        <v>2.84</v>
      </c>
      <c r="BY4534">
        <v>1.66</v>
      </c>
      <c r="BZ4534">
        <v>2.12</v>
      </c>
      <c r="CA4534">
        <v>2.72</v>
      </c>
      <c r="CB4534">
        <v>2.63</v>
      </c>
      <c r="CC4534">
        <v>1.77</v>
      </c>
      <c r="CD4534">
        <v>-1.1499999999999999</v>
      </c>
      <c r="CE4534">
        <v>0.92</v>
      </c>
      <c r="CF4534">
        <v>1.45</v>
      </c>
      <c r="CG4534">
        <v>0</v>
      </c>
      <c r="CH4534">
        <v>2.86</v>
      </c>
      <c r="CI4534">
        <v>0</v>
      </c>
      <c r="CJ4534">
        <v>-7.4</v>
      </c>
      <c r="CK4534">
        <v>84</v>
      </c>
      <c r="CL4534">
        <v>-1.5</v>
      </c>
      <c r="CM4534">
        <v>81</v>
      </c>
      <c r="CN4534">
        <v>-0.63</v>
      </c>
      <c r="CO4534">
        <v>78</v>
      </c>
      <c r="CP4534">
        <v>1</v>
      </c>
      <c r="CQ4534">
        <v>83</v>
      </c>
      <c r="CR4534">
        <v>0</v>
      </c>
      <c r="CS4534">
        <v>0</v>
      </c>
      <c r="CT4534">
        <v>10.199999999999999</v>
      </c>
      <c r="CU4534">
        <v>84</v>
      </c>
      <c r="CV4534">
        <v>0.33</v>
      </c>
      <c r="CW4534">
        <v>23</v>
      </c>
      <c r="CX4534" t="s">
        <v>311</v>
      </c>
    </row>
    <row r="4535" spans="1:102" x14ac:dyDescent="0.3">
      <c r="A4535" t="str">
        <f>HYPERLINK("https://webapp.icbf.com/v2/app/bull-search/view/137158396","DRY")</f>
        <v>DRY</v>
      </c>
      <c r="B4535" t="s">
        <v>11615</v>
      </c>
      <c r="C4535" t="s">
        <v>11616</v>
      </c>
      <c r="D4535" s="1">
        <v>35478</v>
      </c>
      <c r="E4535" t="s">
        <v>92</v>
      </c>
      <c r="F4535">
        <v>100</v>
      </c>
      <c r="G4535" t="s">
        <v>93</v>
      </c>
      <c r="H4535">
        <v>-136.32</v>
      </c>
      <c r="I4535">
        <v>90</v>
      </c>
      <c r="J4535">
        <v>6.94</v>
      </c>
      <c r="K4535">
        <v>96</v>
      </c>
      <c r="L4535">
        <v>-147.99</v>
      </c>
      <c r="M4535">
        <v>89</v>
      </c>
      <c r="N4535">
        <v>5.48</v>
      </c>
      <c r="O4535">
        <v>83</v>
      </c>
      <c r="P4535">
        <v>-2.0699999999999998</v>
      </c>
      <c r="Q4535">
        <v>90</v>
      </c>
      <c r="R4535">
        <v>-6.1</v>
      </c>
      <c r="S4535">
        <v>83</v>
      </c>
      <c r="T4535">
        <v>15.01</v>
      </c>
      <c r="U4535">
        <v>84</v>
      </c>
      <c r="V4535">
        <v>-7.59</v>
      </c>
      <c r="W4535">
        <v>75</v>
      </c>
      <c r="X4535" t="s">
        <v>102</v>
      </c>
      <c r="Y4535" t="s">
        <v>95</v>
      </c>
      <c r="Z4535" t="s">
        <v>96</v>
      </c>
      <c r="AA4535" t="s">
        <v>1109</v>
      </c>
      <c r="AB4535" t="s">
        <v>11617</v>
      </c>
      <c r="AC4535">
        <v>64</v>
      </c>
      <c r="AD4535">
        <v>34</v>
      </c>
      <c r="AE4535">
        <v>96</v>
      </c>
      <c r="AF4535">
        <v>205.33</v>
      </c>
      <c r="AG4535">
        <v>4.42</v>
      </c>
      <c r="AH4535">
        <v>2.76</v>
      </c>
      <c r="AI4535">
        <v>-0.06</v>
      </c>
      <c r="AJ4535">
        <v>-7.0000000000000007E-2</v>
      </c>
      <c r="AK4535">
        <v>89</v>
      </c>
      <c r="AL4535">
        <v>58</v>
      </c>
      <c r="AM4535">
        <v>32</v>
      </c>
      <c r="AN4535">
        <v>9</v>
      </c>
      <c r="AO4535">
        <v>-2.79</v>
      </c>
      <c r="AP4535">
        <v>97</v>
      </c>
      <c r="AQ4535">
        <v>2</v>
      </c>
      <c r="AR4535">
        <v>8.85</v>
      </c>
      <c r="AS4535">
        <v>77</v>
      </c>
      <c r="AT4535">
        <v>3.94</v>
      </c>
      <c r="AU4535">
        <v>91</v>
      </c>
      <c r="AV4535">
        <v>-1.88</v>
      </c>
      <c r="AW4535">
        <v>87</v>
      </c>
      <c r="AX4535">
        <v>-0.25</v>
      </c>
      <c r="AY4535">
        <v>79</v>
      </c>
      <c r="AZ4535">
        <v>6.74</v>
      </c>
      <c r="BA4535">
        <v>66</v>
      </c>
      <c r="BB4535">
        <v>4.6500000000000004</v>
      </c>
      <c r="BC4535">
        <v>67</v>
      </c>
      <c r="BD4535">
        <v>0.02</v>
      </c>
      <c r="BE4535">
        <v>0.03</v>
      </c>
      <c r="BF4535">
        <v>0.05</v>
      </c>
      <c r="BG4535">
        <v>92</v>
      </c>
      <c r="BH4535">
        <v>-0.23</v>
      </c>
      <c r="BI4535">
        <v>-2.12</v>
      </c>
      <c r="BJ4535">
        <v>22</v>
      </c>
      <c r="BK4535">
        <v>11</v>
      </c>
      <c r="BL4535">
        <v>0.77</v>
      </c>
      <c r="BM4535">
        <v>-1.84</v>
      </c>
      <c r="BN4535">
        <v>-0.21</v>
      </c>
      <c r="BO4535">
        <v>0.91</v>
      </c>
      <c r="BP4535">
        <v>-0.85</v>
      </c>
      <c r="BQ4535">
        <v>-1.1399999999999999</v>
      </c>
      <c r="BR4535">
        <v>-0.43</v>
      </c>
      <c r="BS4535">
        <v>1.44</v>
      </c>
      <c r="BT4535">
        <v>0.54</v>
      </c>
      <c r="BU4535">
        <v>-0.38</v>
      </c>
      <c r="BV4535">
        <v>1.27</v>
      </c>
      <c r="BW4535">
        <v>0.46</v>
      </c>
      <c r="BX4535">
        <v>-0.03</v>
      </c>
      <c r="BY4535">
        <v>7.0000000000000007E-2</v>
      </c>
      <c r="BZ4535">
        <v>-1.02</v>
      </c>
      <c r="CA4535">
        <v>1.1000000000000001</v>
      </c>
      <c r="CB4535">
        <v>0.46</v>
      </c>
      <c r="CC4535">
        <v>1.41</v>
      </c>
      <c r="CD4535">
        <v>-1.9</v>
      </c>
      <c r="CE4535">
        <v>0.84</v>
      </c>
      <c r="CF4535">
        <v>0.35</v>
      </c>
      <c r="CG4535">
        <v>0</v>
      </c>
      <c r="CH4535">
        <v>0.23</v>
      </c>
      <c r="CI4535">
        <v>0</v>
      </c>
      <c r="CJ4535">
        <v>1.1000000000000001</v>
      </c>
      <c r="CK4535">
        <v>91</v>
      </c>
      <c r="CL4535">
        <v>-0.64</v>
      </c>
      <c r="CM4535">
        <v>89</v>
      </c>
      <c r="CN4535">
        <v>-0.36</v>
      </c>
      <c r="CO4535">
        <v>88</v>
      </c>
      <c r="CP4535">
        <v>-8</v>
      </c>
      <c r="CQ4535">
        <v>88</v>
      </c>
      <c r="CR4535">
        <v>0</v>
      </c>
      <c r="CS4535">
        <v>0</v>
      </c>
      <c r="CT4535">
        <v>-6.5</v>
      </c>
      <c r="CU4535">
        <v>84</v>
      </c>
      <c r="CV4535">
        <v>0.14000000000000001</v>
      </c>
      <c r="CW4535">
        <v>44</v>
      </c>
      <c r="CX4535" t="s">
        <v>111</v>
      </c>
    </row>
    <row r="4536" spans="1:102" x14ac:dyDescent="0.3">
      <c r="A4536" t="str">
        <f>HYPERLINK("https://webapp.icbf.com/v2/app/bull-search/view/77859868","BOZ")</f>
        <v>BOZ</v>
      </c>
      <c r="B4536" t="s">
        <v>3858</v>
      </c>
      <c r="C4536" t="s">
        <v>3859</v>
      </c>
      <c r="D4536" s="1">
        <v>31720</v>
      </c>
      <c r="E4536" t="s">
        <v>92</v>
      </c>
      <c r="F4536">
        <v>88</v>
      </c>
      <c r="G4536" t="s">
        <v>109</v>
      </c>
      <c r="H4536">
        <v>-136.62</v>
      </c>
      <c r="I4536">
        <v>61</v>
      </c>
      <c r="J4536">
        <v>-28.28</v>
      </c>
      <c r="K4536">
        <v>81</v>
      </c>
      <c r="L4536">
        <v>-80.23</v>
      </c>
      <c r="M4536">
        <v>61</v>
      </c>
      <c r="N4536">
        <v>-11.98</v>
      </c>
      <c r="O4536">
        <v>42</v>
      </c>
      <c r="P4536">
        <v>-7.93</v>
      </c>
      <c r="Q4536">
        <v>43</v>
      </c>
      <c r="R4536">
        <v>-14.73</v>
      </c>
      <c r="S4536">
        <v>60</v>
      </c>
      <c r="T4536">
        <v>10.050000000000001</v>
      </c>
      <c r="U4536">
        <v>40</v>
      </c>
      <c r="V4536">
        <v>-3.52</v>
      </c>
      <c r="W4536">
        <v>24</v>
      </c>
      <c r="X4536" t="s">
        <v>110</v>
      </c>
      <c r="Y4536" t="s">
        <v>95</v>
      </c>
      <c r="Z4536" t="s">
        <v>96</v>
      </c>
      <c r="AA4536" t="s">
        <v>154</v>
      </c>
      <c r="AB4536" t="s">
        <v>3860</v>
      </c>
      <c r="AC4536">
        <v>0</v>
      </c>
      <c r="AD4536">
        <v>0</v>
      </c>
      <c r="AE4536">
        <v>81</v>
      </c>
      <c r="AF4536">
        <v>-124.17</v>
      </c>
      <c r="AG4536">
        <v>-2.12</v>
      </c>
      <c r="AH4536">
        <v>-5.96</v>
      </c>
      <c r="AI4536">
        <v>0.05</v>
      </c>
      <c r="AJ4536">
        <v>-0.03</v>
      </c>
      <c r="AK4536">
        <v>61</v>
      </c>
      <c r="AL4536">
        <v>0</v>
      </c>
      <c r="AM4536">
        <v>0</v>
      </c>
      <c r="AN4536">
        <v>3.48</v>
      </c>
      <c r="AO4536">
        <v>-2.93</v>
      </c>
      <c r="AP4536">
        <v>1</v>
      </c>
      <c r="AQ4536">
        <v>0</v>
      </c>
      <c r="AR4536">
        <v>7.95</v>
      </c>
      <c r="AS4536">
        <v>25</v>
      </c>
      <c r="AT4536">
        <v>3.86</v>
      </c>
      <c r="AU4536">
        <v>65</v>
      </c>
      <c r="AV4536">
        <v>0.5</v>
      </c>
      <c r="AW4536">
        <v>37</v>
      </c>
      <c r="AX4536">
        <v>-0.22</v>
      </c>
      <c r="AY4536">
        <v>40</v>
      </c>
      <c r="AZ4536">
        <v>6.47</v>
      </c>
      <c r="BA4536">
        <v>26</v>
      </c>
      <c r="BB4536">
        <v>5.14</v>
      </c>
      <c r="BC4536">
        <v>29</v>
      </c>
      <c r="BD4536">
        <v>0.04</v>
      </c>
      <c r="BE4536">
        <v>0.08</v>
      </c>
      <c r="BF4536">
        <v>0.12</v>
      </c>
      <c r="BG4536">
        <v>82</v>
      </c>
      <c r="BH4536">
        <v>-0.05</v>
      </c>
      <c r="BI4536">
        <v>5.58</v>
      </c>
      <c r="BJ4536">
        <v>0</v>
      </c>
      <c r="BK4536">
        <v>0</v>
      </c>
      <c r="BL4536">
        <v>1.54</v>
      </c>
      <c r="BM4536">
        <v>1.27</v>
      </c>
      <c r="BN4536">
        <v>1.28</v>
      </c>
      <c r="BO4536">
        <v>-0.32</v>
      </c>
      <c r="BP4536">
        <v>-0.03</v>
      </c>
      <c r="BQ4536">
        <v>1.1299999999999999</v>
      </c>
      <c r="BR4536">
        <v>-0.02</v>
      </c>
      <c r="BS4536">
        <v>-0.28000000000000003</v>
      </c>
      <c r="BT4536">
        <v>0.27</v>
      </c>
      <c r="BU4536">
        <v>-2.0299999999999998</v>
      </c>
      <c r="BV4536">
        <v>-0.97</v>
      </c>
      <c r="BW4536">
        <v>-0.56000000000000005</v>
      </c>
      <c r="BX4536">
        <v>-0.52</v>
      </c>
      <c r="BY4536">
        <v>-0.42</v>
      </c>
      <c r="BZ4536">
        <v>3.08</v>
      </c>
      <c r="CA4536">
        <v>-0.12</v>
      </c>
      <c r="CB4536">
        <v>-0.54</v>
      </c>
      <c r="CC4536">
        <v>0.52</v>
      </c>
      <c r="CD4536">
        <v>0.72</v>
      </c>
      <c r="CE4536">
        <v>-0.43</v>
      </c>
      <c r="CF4536">
        <v>0.69</v>
      </c>
      <c r="CG4536">
        <v>0</v>
      </c>
      <c r="CH4536">
        <v>0.13</v>
      </c>
      <c r="CI4536">
        <v>0</v>
      </c>
      <c r="CJ4536">
        <v>-1.8</v>
      </c>
      <c r="CK4536">
        <v>44</v>
      </c>
      <c r="CL4536">
        <v>-0.68</v>
      </c>
      <c r="CM4536">
        <v>41</v>
      </c>
      <c r="CN4536">
        <v>-0.18</v>
      </c>
      <c r="CO4536">
        <v>36</v>
      </c>
      <c r="CP4536">
        <v>-3.6</v>
      </c>
      <c r="CQ4536">
        <v>51</v>
      </c>
      <c r="CR4536">
        <v>0</v>
      </c>
      <c r="CS4536">
        <v>0</v>
      </c>
      <c r="CT4536">
        <v>0.2</v>
      </c>
      <c r="CU4536">
        <v>40</v>
      </c>
      <c r="CV4536">
        <v>0.16</v>
      </c>
      <c r="CW4536">
        <v>11</v>
      </c>
      <c r="CX4536" t="s">
        <v>120</v>
      </c>
    </row>
    <row r="4537" spans="1:102" x14ac:dyDescent="0.3">
      <c r="A4537" t="str">
        <f>HYPERLINK("https://webapp.icbf.com/v2/app/bull-search/view/678697772","S1399")</f>
        <v>S1399</v>
      </c>
      <c r="B4537" t="s">
        <v>14178</v>
      </c>
      <c r="C4537" t="s">
        <v>14179</v>
      </c>
      <c r="D4537" s="1">
        <v>39299</v>
      </c>
      <c r="E4537" t="s">
        <v>92</v>
      </c>
      <c r="F4537">
        <v>100</v>
      </c>
      <c r="G4537" t="s">
        <v>109</v>
      </c>
      <c r="H4537">
        <v>-136.77000000000001</v>
      </c>
      <c r="I4537">
        <v>81</v>
      </c>
      <c r="J4537">
        <v>27.45</v>
      </c>
      <c r="K4537">
        <v>93</v>
      </c>
      <c r="L4537">
        <v>-153.15</v>
      </c>
      <c r="M4537">
        <v>87</v>
      </c>
      <c r="N4537">
        <v>-8.84</v>
      </c>
      <c r="O4537">
        <v>65</v>
      </c>
      <c r="P4537">
        <v>0.96</v>
      </c>
      <c r="Q4537">
        <v>62</v>
      </c>
      <c r="R4537">
        <v>11.32</v>
      </c>
      <c r="S4537">
        <v>76</v>
      </c>
      <c r="T4537">
        <v>-19.7</v>
      </c>
      <c r="U4537">
        <v>53</v>
      </c>
      <c r="V4537">
        <v>5.19</v>
      </c>
      <c r="W4537">
        <v>61</v>
      </c>
      <c r="X4537" t="s">
        <v>251</v>
      </c>
      <c r="Y4537" t="s">
        <v>342</v>
      </c>
      <c r="Z4537" t="s">
        <v>96</v>
      </c>
      <c r="AA4537" t="s">
        <v>4548</v>
      </c>
      <c r="AB4537" t="s">
        <v>5593</v>
      </c>
      <c r="AC4537">
        <v>0</v>
      </c>
      <c r="AD4537">
        <v>0</v>
      </c>
      <c r="AE4537">
        <v>93</v>
      </c>
      <c r="AF4537">
        <v>619.27</v>
      </c>
      <c r="AG4537">
        <v>7.06</v>
      </c>
      <c r="AH4537">
        <v>11.65</v>
      </c>
      <c r="AI4537">
        <v>-0.27</v>
      </c>
      <c r="AJ4537">
        <v>-0.15</v>
      </c>
      <c r="AK4537">
        <v>87</v>
      </c>
      <c r="AL4537">
        <v>0</v>
      </c>
      <c r="AM4537">
        <v>0</v>
      </c>
      <c r="AN4537">
        <v>9.4</v>
      </c>
      <c r="AO4537">
        <v>-2.8</v>
      </c>
      <c r="AP4537">
        <v>17</v>
      </c>
      <c r="AQ4537">
        <v>0</v>
      </c>
      <c r="AR4537">
        <v>9.74</v>
      </c>
      <c r="AS4537">
        <v>61</v>
      </c>
      <c r="AT4537">
        <v>5.27</v>
      </c>
      <c r="AU4537">
        <v>90</v>
      </c>
      <c r="AV4537">
        <v>-2.4300000000000002</v>
      </c>
      <c r="AW4537">
        <v>62</v>
      </c>
      <c r="AX4537">
        <v>0.39</v>
      </c>
      <c r="AY4537">
        <v>54</v>
      </c>
      <c r="AZ4537">
        <v>6.37</v>
      </c>
      <c r="BA4537">
        <v>48</v>
      </c>
      <c r="BB4537">
        <v>4.51</v>
      </c>
      <c r="BC4537">
        <v>47</v>
      </c>
      <c r="BD4537">
        <v>-0.05</v>
      </c>
      <c r="BE4537">
        <v>-0.03</v>
      </c>
      <c r="BF4537">
        <v>-0.12</v>
      </c>
      <c r="BG4537">
        <v>92</v>
      </c>
      <c r="BH4537">
        <v>0.11</v>
      </c>
      <c r="BI4537">
        <v>-4.03</v>
      </c>
      <c r="BJ4537">
        <v>7</v>
      </c>
      <c r="BK4537">
        <v>6</v>
      </c>
      <c r="BL4537">
        <v>1.79</v>
      </c>
      <c r="BM4537">
        <v>0.03</v>
      </c>
      <c r="BN4537">
        <v>0.11</v>
      </c>
      <c r="BO4537">
        <v>0.78</v>
      </c>
      <c r="BP4537">
        <v>-0.18</v>
      </c>
      <c r="BQ4537">
        <v>2.54</v>
      </c>
      <c r="BR4537">
        <v>-0.24</v>
      </c>
      <c r="BS4537">
        <v>1.24</v>
      </c>
      <c r="BT4537">
        <v>0.7</v>
      </c>
      <c r="BU4537">
        <v>4.91</v>
      </c>
      <c r="BV4537">
        <v>4.13</v>
      </c>
      <c r="BW4537">
        <v>2.4700000000000002</v>
      </c>
      <c r="BX4537">
        <v>4.1900000000000004</v>
      </c>
      <c r="BY4537">
        <v>2.52</v>
      </c>
      <c r="BZ4537">
        <v>1.02</v>
      </c>
      <c r="CA4537">
        <v>3.29</v>
      </c>
      <c r="CB4537">
        <v>3.26</v>
      </c>
      <c r="CC4537">
        <v>0.94</v>
      </c>
      <c r="CD4537">
        <v>-0.23</v>
      </c>
      <c r="CE4537">
        <v>1.26</v>
      </c>
      <c r="CF4537">
        <v>1.98</v>
      </c>
      <c r="CG4537">
        <v>0</v>
      </c>
      <c r="CH4537">
        <v>2.87</v>
      </c>
      <c r="CI4537">
        <v>0</v>
      </c>
      <c r="CJ4537">
        <v>3.1</v>
      </c>
      <c r="CK4537">
        <v>63</v>
      </c>
      <c r="CL4537">
        <v>-1.36</v>
      </c>
      <c r="CM4537">
        <v>61</v>
      </c>
      <c r="CN4537">
        <v>-0.7</v>
      </c>
      <c r="CO4537">
        <v>59</v>
      </c>
      <c r="CP4537">
        <v>16.8</v>
      </c>
      <c r="CQ4537">
        <v>60</v>
      </c>
      <c r="CR4537">
        <v>0</v>
      </c>
      <c r="CS4537">
        <v>0</v>
      </c>
      <c r="CT4537">
        <v>40.4</v>
      </c>
      <c r="CU4537">
        <v>53</v>
      </c>
      <c r="CV4537">
        <v>0.24</v>
      </c>
      <c r="CW4537">
        <v>38</v>
      </c>
      <c r="CX4537" t="s">
        <v>350</v>
      </c>
    </row>
    <row r="4538" spans="1:102" x14ac:dyDescent="0.3">
      <c r="A4538" t="str">
        <f>HYPERLINK("https://webapp.icbf.com/v2/app/bull-search/view/77854573","OHC")</f>
        <v>OHC</v>
      </c>
      <c r="B4538" t="s">
        <v>14336</v>
      </c>
      <c r="C4538" t="s">
        <v>14337</v>
      </c>
      <c r="D4538" s="1">
        <v>35387</v>
      </c>
      <c r="E4538" t="s">
        <v>92</v>
      </c>
      <c r="F4538">
        <v>100</v>
      </c>
      <c r="G4538" t="s">
        <v>93</v>
      </c>
      <c r="H4538">
        <v>-136.77000000000001</v>
      </c>
      <c r="I4538">
        <v>67</v>
      </c>
      <c r="J4538">
        <v>4.0999999999999996</v>
      </c>
      <c r="K4538">
        <v>89</v>
      </c>
      <c r="L4538">
        <v>-126.69</v>
      </c>
      <c r="M4538">
        <v>56</v>
      </c>
      <c r="N4538">
        <v>-5.97</v>
      </c>
      <c r="O4538">
        <v>53</v>
      </c>
      <c r="P4538">
        <v>-5.7</v>
      </c>
      <c r="Q4538">
        <v>66</v>
      </c>
      <c r="R4538">
        <v>-3.89</v>
      </c>
      <c r="S4538">
        <v>60</v>
      </c>
      <c r="T4538">
        <v>9.31</v>
      </c>
      <c r="U4538">
        <v>61</v>
      </c>
      <c r="V4538">
        <v>-7.93</v>
      </c>
      <c r="W4538">
        <v>37</v>
      </c>
      <c r="X4538" t="s">
        <v>558</v>
      </c>
      <c r="Y4538" t="s">
        <v>95</v>
      </c>
      <c r="Z4538" t="s">
        <v>96</v>
      </c>
      <c r="AA4538" t="s">
        <v>218</v>
      </c>
      <c r="AB4538" t="s">
        <v>14338</v>
      </c>
      <c r="AC4538">
        <v>41</v>
      </c>
      <c r="AD4538">
        <v>35</v>
      </c>
      <c r="AE4538">
        <v>89</v>
      </c>
      <c r="AF4538">
        <v>-72.31</v>
      </c>
      <c r="AG4538">
        <v>4.95</v>
      </c>
      <c r="AH4538">
        <v>-2.16</v>
      </c>
      <c r="AI4538">
        <v>0.13</v>
      </c>
      <c r="AJ4538">
        <v>0.01</v>
      </c>
      <c r="AK4538">
        <v>56</v>
      </c>
      <c r="AL4538">
        <v>39</v>
      </c>
      <c r="AM4538">
        <v>28</v>
      </c>
      <c r="AN4538">
        <v>5.63</v>
      </c>
      <c r="AO4538">
        <v>-4.49</v>
      </c>
      <c r="AP4538">
        <v>1</v>
      </c>
      <c r="AQ4538">
        <v>0</v>
      </c>
      <c r="AR4538">
        <v>7.97</v>
      </c>
      <c r="AS4538">
        <v>39</v>
      </c>
      <c r="AT4538">
        <v>3.55</v>
      </c>
      <c r="AU4538">
        <v>47</v>
      </c>
      <c r="AV4538">
        <v>-0.14000000000000001</v>
      </c>
      <c r="AW4538">
        <v>61</v>
      </c>
      <c r="AX4538">
        <v>0.54</v>
      </c>
      <c r="AY4538">
        <v>62</v>
      </c>
      <c r="AZ4538">
        <v>6.18</v>
      </c>
      <c r="BA4538">
        <v>42</v>
      </c>
      <c r="BB4538">
        <v>5.23</v>
      </c>
      <c r="BC4538">
        <v>46</v>
      </c>
      <c r="BD4538">
        <v>-0.01</v>
      </c>
      <c r="BE4538">
        <v>0.04</v>
      </c>
      <c r="BF4538">
        <v>0.03</v>
      </c>
      <c r="BG4538">
        <v>70</v>
      </c>
      <c r="BH4538">
        <v>-0.16</v>
      </c>
      <c r="BI4538">
        <v>7.06</v>
      </c>
      <c r="BJ4538">
        <v>0</v>
      </c>
      <c r="BK4538">
        <v>0</v>
      </c>
      <c r="BL4538">
        <v>0.64</v>
      </c>
      <c r="BM4538">
        <v>0.98</v>
      </c>
      <c r="BN4538">
        <v>1.22</v>
      </c>
      <c r="BO4538">
        <v>0.35</v>
      </c>
      <c r="BP4538">
        <v>-0.06</v>
      </c>
      <c r="BQ4538">
        <v>0.67</v>
      </c>
      <c r="BR4538">
        <v>1.94</v>
      </c>
      <c r="BS4538">
        <v>-1.1499999999999999</v>
      </c>
      <c r="BT4538">
        <v>-2.19</v>
      </c>
      <c r="BU4538">
        <v>0.7</v>
      </c>
      <c r="BV4538">
        <v>0.02</v>
      </c>
      <c r="BW4538">
        <v>0.27</v>
      </c>
      <c r="BX4538">
        <v>1.1499999999999999</v>
      </c>
      <c r="BY4538">
        <v>0.84</v>
      </c>
      <c r="BZ4538">
        <v>-0.38</v>
      </c>
      <c r="CA4538">
        <v>-0.04</v>
      </c>
      <c r="CB4538">
        <v>0.51</v>
      </c>
      <c r="CC4538">
        <v>-1</v>
      </c>
      <c r="CD4538">
        <v>-0.05</v>
      </c>
      <c r="CE4538">
        <v>0.23</v>
      </c>
      <c r="CF4538">
        <v>-0.01</v>
      </c>
      <c r="CG4538">
        <v>0</v>
      </c>
      <c r="CH4538">
        <v>0.48</v>
      </c>
      <c r="CI4538">
        <v>0</v>
      </c>
      <c r="CJ4538">
        <v>0.5</v>
      </c>
      <c r="CK4538">
        <v>67</v>
      </c>
      <c r="CL4538">
        <v>-0.65</v>
      </c>
      <c r="CM4538">
        <v>63</v>
      </c>
      <c r="CN4538">
        <v>-0.08</v>
      </c>
      <c r="CO4538">
        <v>58</v>
      </c>
      <c r="CP4538">
        <v>-4.0999999999999996</v>
      </c>
      <c r="CQ4538">
        <v>76</v>
      </c>
      <c r="CR4538">
        <v>0</v>
      </c>
      <c r="CS4538">
        <v>0</v>
      </c>
      <c r="CT4538">
        <v>1.2</v>
      </c>
      <c r="CU4538">
        <v>61</v>
      </c>
      <c r="CV4538">
        <v>0.25</v>
      </c>
      <c r="CW4538">
        <v>18</v>
      </c>
      <c r="CX4538" t="s">
        <v>193</v>
      </c>
    </row>
    <row r="4539" spans="1:102" x14ac:dyDescent="0.3">
      <c r="A4539" t="str">
        <f>HYPERLINK("https://webapp.icbf.com/v2/app/bull-search/view/77855314","MON")</f>
        <v>MON</v>
      </c>
      <c r="B4539" t="s">
        <v>11208</v>
      </c>
      <c r="C4539" t="s">
        <v>11209</v>
      </c>
      <c r="D4539" s="1">
        <v>32804</v>
      </c>
      <c r="E4539" t="s">
        <v>92</v>
      </c>
      <c r="F4539">
        <v>75</v>
      </c>
      <c r="G4539" t="s">
        <v>93</v>
      </c>
      <c r="H4539">
        <v>-136.79</v>
      </c>
      <c r="I4539">
        <v>75</v>
      </c>
      <c r="J4539">
        <v>-11.04</v>
      </c>
      <c r="K4539">
        <v>89</v>
      </c>
      <c r="L4539">
        <v>4.21</v>
      </c>
      <c r="M4539">
        <v>64</v>
      </c>
      <c r="N4539">
        <v>-118.16</v>
      </c>
      <c r="O4539">
        <v>74</v>
      </c>
      <c r="P4539">
        <v>-14.55</v>
      </c>
      <c r="Q4539">
        <v>88</v>
      </c>
      <c r="R4539">
        <v>-3.45</v>
      </c>
      <c r="S4539">
        <v>63</v>
      </c>
      <c r="T4539">
        <v>9.39</v>
      </c>
      <c r="U4539">
        <v>77</v>
      </c>
      <c r="V4539">
        <v>-3.19</v>
      </c>
      <c r="W4539">
        <v>35</v>
      </c>
      <c r="X4539" t="s">
        <v>94</v>
      </c>
      <c r="Y4539" t="s">
        <v>95</v>
      </c>
      <c r="Z4539" t="s">
        <v>96</v>
      </c>
      <c r="AA4539" t="s">
        <v>663</v>
      </c>
      <c r="AB4539" t="s">
        <v>3895</v>
      </c>
      <c r="AC4539">
        <v>51</v>
      </c>
      <c r="AD4539">
        <v>25</v>
      </c>
      <c r="AE4539">
        <v>89</v>
      </c>
      <c r="AF4539">
        <v>-56.43</v>
      </c>
      <c r="AG4539">
        <v>0.93</v>
      </c>
      <c r="AH4539">
        <v>-3.07</v>
      </c>
      <c r="AI4539">
        <v>0.05</v>
      </c>
      <c r="AJ4539">
        <v>-0.02</v>
      </c>
      <c r="AK4539">
        <v>64</v>
      </c>
      <c r="AL4539">
        <v>74</v>
      </c>
      <c r="AM4539">
        <v>37</v>
      </c>
      <c r="AN4539">
        <v>0.89</v>
      </c>
      <c r="AO4539">
        <v>1.24</v>
      </c>
      <c r="AP4539">
        <v>83</v>
      </c>
      <c r="AQ4539">
        <v>0</v>
      </c>
      <c r="AR4539">
        <v>23.32</v>
      </c>
      <c r="AS4539">
        <v>72</v>
      </c>
      <c r="AT4539">
        <v>7.31</v>
      </c>
      <c r="AU4539">
        <v>68</v>
      </c>
      <c r="AV4539">
        <v>-0.51</v>
      </c>
      <c r="AW4539">
        <v>86</v>
      </c>
      <c r="AX4539">
        <v>-0.84</v>
      </c>
      <c r="AY4539">
        <v>74</v>
      </c>
      <c r="AZ4539">
        <v>5.2</v>
      </c>
      <c r="BA4539">
        <v>51</v>
      </c>
      <c r="BB4539">
        <v>4.28</v>
      </c>
      <c r="BC4539">
        <v>55</v>
      </c>
      <c r="BD4539">
        <v>0.02</v>
      </c>
      <c r="BE4539">
        <v>0.04</v>
      </c>
      <c r="BF4539">
        <v>-0.03</v>
      </c>
      <c r="BG4539">
        <v>78</v>
      </c>
      <c r="BH4539">
        <v>-0.01</v>
      </c>
      <c r="BI4539">
        <v>9.14</v>
      </c>
      <c r="BJ4539">
        <v>5</v>
      </c>
      <c r="BK4539">
        <v>4</v>
      </c>
      <c r="BL4539">
        <v>-0.85</v>
      </c>
      <c r="BM4539">
        <v>-0.21</v>
      </c>
      <c r="BN4539">
        <v>-0.89</v>
      </c>
      <c r="BO4539">
        <v>-0.37</v>
      </c>
      <c r="BP4539">
        <v>1.1000000000000001</v>
      </c>
      <c r="BQ4539">
        <v>-0.16</v>
      </c>
      <c r="BR4539">
        <v>0.48</v>
      </c>
      <c r="BS4539">
        <v>-0.62</v>
      </c>
      <c r="BT4539">
        <v>-1.29</v>
      </c>
      <c r="BU4539">
        <v>-0.11</v>
      </c>
      <c r="BV4539">
        <v>-0.33</v>
      </c>
      <c r="BW4539">
        <v>-0.28000000000000003</v>
      </c>
      <c r="BX4539">
        <v>-0.49</v>
      </c>
      <c r="BY4539">
        <v>0.27</v>
      </c>
      <c r="BZ4539">
        <v>-0.99</v>
      </c>
      <c r="CA4539">
        <v>-0.12</v>
      </c>
      <c r="CB4539">
        <v>-0.19</v>
      </c>
      <c r="CC4539">
        <v>0.04</v>
      </c>
      <c r="CD4539">
        <v>0.41</v>
      </c>
      <c r="CE4539">
        <v>-0.2</v>
      </c>
      <c r="CF4539">
        <v>-0.91</v>
      </c>
      <c r="CG4539">
        <v>0</v>
      </c>
      <c r="CH4539">
        <v>0</v>
      </c>
      <c r="CI4539">
        <v>0</v>
      </c>
      <c r="CJ4539">
        <v>-4.4000000000000004</v>
      </c>
      <c r="CK4539">
        <v>90</v>
      </c>
      <c r="CL4539">
        <v>-0.83</v>
      </c>
      <c r="CM4539">
        <v>88</v>
      </c>
      <c r="CN4539">
        <v>-0.1</v>
      </c>
      <c r="CO4539">
        <v>86</v>
      </c>
      <c r="CP4539">
        <v>-7.2</v>
      </c>
      <c r="CQ4539">
        <v>83</v>
      </c>
      <c r="CR4539">
        <v>0</v>
      </c>
      <c r="CS4539">
        <v>0</v>
      </c>
      <c r="CT4539">
        <v>1.1000000000000001</v>
      </c>
      <c r="CU4539">
        <v>77</v>
      </c>
      <c r="CV4539">
        <v>0.15</v>
      </c>
      <c r="CW4539">
        <v>25</v>
      </c>
      <c r="CX4539" t="s">
        <v>622</v>
      </c>
    </row>
    <row r="4540" spans="1:102" x14ac:dyDescent="0.3">
      <c r="A4540" t="str">
        <f>HYPERLINK("https://webapp.icbf.com/v2/app/bull-search/view/69092296","MWE")</f>
        <v>MWE</v>
      </c>
      <c r="B4540" t="s">
        <v>1219</v>
      </c>
      <c r="C4540" t="s">
        <v>1220</v>
      </c>
      <c r="D4540" s="1">
        <v>34243</v>
      </c>
      <c r="E4540" t="s">
        <v>92</v>
      </c>
      <c r="F4540">
        <v>100</v>
      </c>
      <c r="G4540" t="s">
        <v>109</v>
      </c>
      <c r="H4540">
        <v>-136.96</v>
      </c>
      <c r="I4540">
        <v>71</v>
      </c>
      <c r="J4540">
        <v>-21.11</v>
      </c>
      <c r="K4540">
        <v>88</v>
      </c>
      <c r="L4540">
        <v>-109.1</v>
      </c>
      <c r="M4540">
        <v>82</v>
      </c>
      <c r="N4540">
        <v>-0.08</v>
      </c>
      <c r="O4540">
        <v>50</v>
      </c>
      <c r="P4540">
        <v>-7.57</v>
      </c>
      <c r="Q4540">
        <v>40</v>
      </c>
      <c r="R4540">
        <v>-3.7</v>
      </c>
      <c r="S4540">
        <v>63</v>
      </c>
      <c r="T4540">
        <v>8.42</v>
      </c>
      <c r="U4540">
        <v>33</v>
      </c>
      <c r="V4540">
        <v>-3.82</v>
      </c>
      <c r="W4540">
        <v>26</v>
      </c>
      <c r="X4540" t="s">
        <v>131</v>
      </c>
      <c r="Y4540" t="s">
        <v>95</v>
      </c>
      <c r="Z4540" t="s">
        <v>96</v>
      </c>
      <c r="AA4540" t="s">
        <v>1185</v>
      </c>
      <c r="AB4540" t="s">
        <v>1221</v>
      </c>
      <c r="AC4540">
        <v>0</v>
      </c>
      <c r="AD4540">
        <v>0</v>
      </c>
      <c r="AE4540">
        <v>88</v>
      </c>
      <c r="AF4540">
        <v>130.21</v>
      </c>
      <c r="AG4540">
        <v>1.93</v>
      </c>
      <c r="AH4540">
        <v>-2.2799999999999998</v>
      </c>
      <c r="AI4540">
        <v>-0.05</v>
      </c>
      <c r="AJ4540">
        <v>-0.11</v>
      </c>
      <c r="AK4540">
        <v>82</v>
      </c>
      <c r="AL4540">
        <v>0</v>
      </c>
      <c r="AM4540">
        <v>0</v>
      </c>
      <c r="AN4540">
        <v>6.02</v>
      </c>
      <c r="AO4540">
        <v>-2.68</v>
      </c>
      <c r="AP4540">
        <v>4</v>
      </c>
      <c r="AQ4540">
        <v>0</v>
      </c>
      <c r="AR4540">
        <v>8.65</v>
      </c>
      <c r="AS4540">
        <v>28</v>
      </c>
      <c r="AT4540">
        <v>4.18</v>
      </c>
      <c r="AU4540">
        <v>89</v>
      </c>
      <c r="AV4540">
        <v>-1.31</v>
      </c>
      <c r="AW4540">
        <v>42</v>
      </c>
      <c r="AX4540">
        <v>0.17</v>
      </c>
      <c r="AY4540">
        <v>36</v>
      </c>
      <c r="AZ4540">
        <v>5.63</v>
      </c>
      <c r="BA4540">
        <v>28</v>
      </c>
      <c r="BB4540">
        <v>4.5599999999999996</v>
      </c>
      <c r="BC4540">
        <v>28</v>
      </c>
      <c r="BD4540">
        <v>0.03</v>
      </c>
      <c r="BE4540">
        <v>0.05</v>
      </c>
      <c r="BF4540">
        <v>-0.06</v>
      </c>
      <c r="BG4540">
        <v>90</v>
      </c>
      <c r="BH4540">
        <v>0</v>
      </c>
      <c r="BI4540">
        <v>12.33</v>
      </c>
      <c r="BJ4540">
        <v>1</v>
      </c>
      <c r="BK4540">
        <v>1</v>
      </c>
      <c r="BL4540">
        <v>1.51</v>
      </c>
      <c r="BM4540">
        <v>-1.03</v>
      </c>
      <c r="BN4540">
        <v>0.56999999999999995</v>
      </c>
      <c r="BO4540">
        <v>1.53</v>
      </c>
      <c r="BP4540">
        <v>1.26</v>
      </c>
      <c r="BQ4540">
        <v>2.15</v>
      </c>
      <c r="BR4540">
        <v>-0.21</v>
      </c>
      <c r="BS4540">
        <v>1.73</v>
      </c>
      <c r="BT4540">
        <v>0.92</v>
      </c>
      <c r="BU4540">
        <v>0.15</v>
      </c>
      <c r="BV4540">
        <v>0.46</v>
      </c>
      <c r="BW4540">
        <v>0.97</v>
      </c>
      <c r="BX4540">
        <v>0.73</v>
      </c>
      <c r="BY4540">
        <v>-0.28000000000000003</v>
      </c>
      <c r="BZ4540">
        <v>-0.36</v>
      </c>
      <c r="CA4540">
        <v>1.03</v>
      </c>
      <c r="CB4540">
        <v>0.49</v>
      </c>
      <c r="CC4540">
        <v>1.8</v>
      </c>
      <c r="CD4540">
        <v>-1.05</v>
      </c>
      <c r="CE4540">
        <v>0.67</v>
      </c>
      <c r="CF4540">
        <v>0.67</v>
      </c>
      <c r="CG4540">
        <v>0</v>
      </c>
      <c r="CH4540">
        <v>1.04</v>
      </c>
      <c r="CI4540">
        <v>0</v>
      </c>
      <c r="CJ4540">
        <v>-4.5999999999999996</v>
      </c>
      <c r="CK4540">
        <v>41</v>
      </c>
      <c r="CL4540">
        <v>-0.79</v>
      </c>
      <c r="CM4540">
        <v>39</v>
      </c>
      <c r="CN4540">
        <v>-0.63</v>
      </c>
      <c r="CO4540">
        <v>37</v>
      </c>
      <c r="CP4540">
        <v>-3</v>
      </c>
      <c r="CQ4540">
        <v>36</v>
      </c>
      <c r="CR4540">
        <v>0</v>
      </c>
      <c r="CS4540">
        <v>0</v>
      </c>
      <c r="CT4540">
        <v>2.4</v>
      </c>
      <c r="CU4540">
        <v>33</v>
      </c>
      <c r="CV4540">
        <v>0.1</v>
      </c>
      <c r="CW4540">
        <v>11</v>
      </c>
      <c r="CX4540" t="s">
        <v>543</v>
      </c>
    </row>
    <row r="4541" spans="1:102" x14ac:dyDescent="0.3">
      <c r="A4541" t="str">
        <f>HYPERLINK("https://webapp.icbf.com/v2/app/bull-search/view/660019120","TFG")</f>
        <v>TFG</v>
      </c>
      <c r="B4541" t="s">
        <v>10111</v>
      </c>
      <c r="C4541" t="s">
        <v>10112</v>
      </c>
      <c r="D4541" s="1">
        <v>38731</v>
      </c>
      <c r="E4541" t="s">
        <v>92</v>
      </c>
      <c r="F4541">
        <v>100</v>
      </c>
      <c r="G4541" t="s">
        <v>93</v>
      </c>
      <c r="H4541">
        <v>-137</v>
      </c>
      <c r="I4541">
        <v>93</v>
      </c>
      <c r="J4541">
        <v>20.12</v>
      </c>
      <c r="K4541">
        <v>99</v>
      </c>
      <c r="L4541">
        <v>-115.41</v>
      </c>
      <c r="M4541">
        <v>93</v>
      </c>
      <c r="N4541">
        <v>-32.83</v>
      </c>
      <c r="O4541">
        <v>91</v>
      </c>
      <c r="P4541">
        <v>-8.3699999999999992</v>
      </c>
      <c r="Q4541">
        <v>95</v>
      </c>
      <c r="R4541">
        <v>11.92</v>
      </c>
      <c r="S4541">
        <v>83</v>
      </c>
      <c r="T4541">
        <v>-12.96</v>
      </c>
      <c r="U4541">
        <v>89</v>
      </c>
      <c r="V4541">
        <v>0.53</v>
      </c>
      <c r="W4541">
        <v>73</v>
      </c>
      <c r="X4541" t="s">
        <v>234</v>
      </c>
      <c r="Y4541" t="s">
        <v>1756</v>
      </c>
      <c r="Z4541" t="s">
        <v>96</v>
      </c>
      <c r="AA4541" t="s">
        <v>309</v>
      </c>
      <c r="AB4541" t="s">
        <v>9235</v>
      </c>
      <c r="AC4541">
        <v>315</v>
      </c>
      <c r="AD4541">
        <v>103</v>
      </c>
      <c r="AE4541">
        <v>99</v>
      </c>
      <c r="AF4541">
        <v>205.02</v>
      </c>
      <c r="AG4541">
        <v>2.77</v>
      </c>
      <c r="AH4541">
        <v>5.58</v>
      </c>
      <c r="AI4541">
        <v>-0.09</v>
      </c>
      <c r="AJ4541">
        <v>-0.02</v>
      </c>
      <c r="AK4541">
        <v>93</v>
      </c>
      <c r="AL4541">
        <v>280</v>
      </c>
      <c r="AM4541">
        <v>107</v>
      </c>
      <c r="AN4541">
        <v>8.16</v>
      </c>
      <c r="AO4541">
        <v>-1.02</v>
      </c>
      <c r="AP4541">
        <v>455</v>
      </c>
      <c r="AQ4541">
        <v>0</v>
      </c>
      <c r="AR4541">
        <v>12.73</v>
      </c>
      <c r="AS4541">
        <v>87</v>
      </c>
      <c r="AT4541">
        <v>5.03</v>
      </c>
      <c r="AU4541">
        <v>95</v>
      </c>
      <c r="AV4541">
        <v>-0.81</v>
      </c>
      <c r="AW4541">
        <v>97</v>
      </c>
      <c r="AX4541">
        <v>0.85</v>
      </c>
      <c r="AY4541">
        <v>92</v>
      </c>
      <c r="AZ4541">
        <v>6.36</v>
      </c>
      <c r="BA4541">
        <v>80</v>
      </c>
      <c r="BB4541">
        <v>4.8499999999999996</v>
      </c>
      <c r="BC4541">
        <v>73</v>
      </c>
      <c r="BD4541">
        <v>-0.03</v>
      </c>
      <c r="BE4541">
        <v>-0.06</v>
      </c>
      <c r="BF4541">
        <v>-0.11</v>
      </c>
      <c r="BG4541">
        <v>95</v>
      </c>
      <c r="BH4541">
        <v>-0.06</v>
      </c>
      <c r="BI4541">
        <v>-8.64</v>
      </c>
      <c r="BJ4541">
        <v>178</v>
      </c>
      <c r="BK4541">
        <v>89</v>
      </c>
      <c r="BL4541">
        <v>2.37</v>
      </c>
      <c r="BM4541">
        <v>-0.7</v>
      </c>
      <c r="BN4541">
        <v>0.65</v>
      </c>
      <c r="BO4541">
        <v>0.98</v>
      </c>
      <c r="BP4541">
        <v>-0.36</v>
      </c>
      <c r="BQ4541">
        <v>1.55</v>
      </c>
      <c r="BR4541">
        <v>1.1200000000000001</v>
      </c>
      <c r="BS4541">
        <v>0.53</v>
      </c>
      <c r="BT4541">
        <v>-0.09</v>
      </c>
      <c r="BU4541">
        <v>4.8499999999999996</v>
      </c>
      <c r="BV4541">
        <v>2.67</v>
      </c>
      <c r="BW4541">
        <v>2.14</v>
      </c>
      <c r="BX4541">
        <v>4.12</v>
      </c>
      <c r="BY4541">
        <v>2.16</v>
      </c>
      <c r="BZ4541">
        <v>1.08</v>
      </c>
      <c r="CA4541">
        <v>2.4500000000000002</v>
      </c>
      <c r="CB4541">
        <v>2.5299999999999998</v>
      </c>
      <c r="CC4541">
        <v>0.83</v>
      </c>
      <c r="CD4541">
        <v>-0.86</v>
      </c>
      <c r="CE4541">
        <v>0.91</v>
      </c>
      <c r="CF4541">
        <v>1.48</v>
      </c>
      <c r="CG4541">
        <v>0</v>
      </c>
      <c r="CH4541">
        <v>2.2000000000000002</v>
      </c>
      <c r="CI4541">
        <v>0</v>
      </c>
      <c r="CJ4541">
        <v>-2.4</v>
      </c>
      <c r="CK4541">
        <v>96</v>
      </c>
      <c r="CL4541">
        <v>-1.44</v>
      </c>
      <c r="CM4541">
        <v>95</v>
      </c>
      <c r="CN4541">
        <v>-0.71</v>
      </c>
      <c r="CO4541">
        <v>94</v>
      </c>
      <c r="CP4541">
        <v>9.9</v>
      </c>
      <c r="CQ4541">
        <v>91</v>
      </c>
      <c r="CR4541">
        <v>0</v>
      </c>
      <c r="CS4541">
        <v>0</v>
      </c>
      <c r="CT4541">
        <v>31.3</v>
      </c>
      <c r="CU4541">
        <v>89</v>
      </c>
      <c r="CV4541">
        <v>0.33</v>
      </c>
      <c r="CW4541">
        <v>45</v>
      </c>
      <c r="CX4541" t="s">
        <v>1801</v>
      </c>
    </row>
    <row r="4542" spans="1:102" x14ac:dyDescent="0.3">
      <c r="A4542" t="str">
        <f>HYPERLINK("https://webapp.icbf.com/v2/app/bull-search/view/69091558","EED")</f>
        <v>EED</v>
      </c>
      <c r="B4542" t="s">
        <v>10553</v>
      </c>
      <c r="C4542" t="s">
        <v>10554</v>
      </c>
      <c r="D4542" s="1">
        <v>35049</v>
      </c>
      <c r="E4542" t="s">
        <v>92</v>
      </c>
      <c r="F4542">
        <v>100</v>
      </c>
      <c r="G4542" t="s">
        <v>116</v>
      </c>
      <c r="H4542">
        <v>-137.01</v>
      </c>
      <c r="I4542">
        <v>32</v>
      </c>
      <c r="J4542">
        <v>0.66</v>
      </c>
      <c r="K4542">
        <v>31</v>
      </c>
      <c r="L4542">
        <v>-130.63</v>
      </c>
      <c r="M4542">
        <v>33</v>
      </c>
      <c r="N4542">
        <v>-2.57</v>
      </c>
      <c r="O4542">
        <v>31</v>
      </c>
      <c r="P4542">
        <v>1.77</v>
      </c>
      <c r="Q4542">
        <v>35</v>
      </c>
      <c r="R4542">
        <v>-11.11</v>
      </c>
      <c r="S4542">
        <v>33</v>
      </c>
      <c r="T4542">
        <v>4.43</v>
      </c>
      <c r="U4542">
        <v>30</v>
      </c>
      <c r="V4542">
        <v>0.44</v>
      </c>
      <c r="W4542">
        <v>30</v>
      </c>
      <c r="X4542" t="s">
        <v>94</v>
      </c>
      <c r="Y4542" t="s">
        <v>1499</v>
      </c>
      <c r="Z4542">
        <v>0</v>
      </c>
      <c r="AA4542" t="s">
        <v>924</v>
      </c>
      <c r="AB4542" t="s">
        <v>10555</v>
      </c>
      <c r="AC4542">
        <v>0</v>
      </c>
      <c r="AD4542">
        <v>0</v>
      </c>
      <c r="AE4542">
        <v>31</v>
      </c>
      <c r="AF4542">
        <v>204.35</v>
      </c>
      <c r="AG4542">
        <v>1.33</v>
      </c>
      <c r="AH4542">
        <v>2.77</v>
      </c>
      <c r="AI4542">
        <v>-0.11</v>
      </c>
      <c r="AJ4542">
        <v>-7.0000000000000007E-2</v>
      </c>
      <c r="AK4542">
        <v>33</v>
      </c>
      <c r="AL4542">
        <v>0</v>
      </c>
      <c r="AM4542">
        <v>0</v>
      </c>
      <c r="AN4542">
        <v>7.74</v>
      </c>
      <c r="AO4542">
        <v>-2.67</v>
      </c>
      <c r="AP4542">
        <v>1</v>
      </c>
      <c r="AQ4542">
        <v>1</v>
      </c>
      <c r="AR4542">
        <v>8.59</v>
      </c>
      <c r="AS4542">
        <v>26</v>
      </c>
      <c r="AT4542">
        <v>3.76</v>
      </c>
      <c r="AU4542">
        <v>31</v>
      </c>
      <c r="AV4542">
        <v>-0.47</v>
      </c>
      <c r="AW4542">
        <v>33</v>
      </c>
      <c r="AX4542">
        <v>-0.49</v>
      </c>
      <c r="AY4542">
        <v>30</v>
      </c>
      <c r="AZ4542">
        <v>6.34</v>
      </c>
      <c r="BA4542">
        <v>26</v>
      </c>
      <c r="BB4542">
        <v>4.79</v>
      </c>
      <c r="BC4542">
        <v>28</v>
      </c>
      <c r="BD4542">
        <v>0.05</v>
      </c>
      <c r="BE4542">
        <v>0.08</v>
      </c>
      <c r="BF4542">
        <v>0.02</v>
      </c>
      <c r="BG4542">
        <v>35</v>
      </c>
      <c r="BH4542">
        <v>0.11</v>
      </c>
      <c r="BI4542">
        <v>11.29</v>
      </c>
      <c r="BJ4542">
        <v>0</v>
      </c>
      <c r="BK4542">
        <v>0</v>
      </c>
      <c r="BL4542">
        <v>0.21</v>
      </c>
      <c r="BM4542">
        <v>0.15</v>
      </c>
      <c r="BN4542">
        <v>0.1</v>
      </c>
      <c r="BO4542">
        <v>0.13</v>
      </c>
      <c r="BP4542">
        <v>0.9</v>
      </c>
      <c r="BQ4542">
        <v>-0.86</v>
      </c>
      <c r="BR4542">
        <v>0.41</v>
      </c>
      <c r="BS4542">
        <v>-1.27</v>
      </c>
      <c r="BT4542">
        <v>-0.31</v>
      </c>
      <c r="BU4542">
        <v>0.63</v>
      </c>
      <c r="BV4542">
        <v>-0.01</v>
      </c>
      <c r="BW4542">
        <v>-0.39</v>
      </c>
      <c r="BX4542">
        <v>-0.02</v>
      </c>
      <c r="BY4542">
        <v>0.54</v>
      </c>
      <c r="BZ4542">
        <v>0.06</v>
      </c>
      <c r="CA4542">
        <v>0.13</v>
      </c>
      <c r="CB4542">
        <v>0.66</v>
      </c>
      <c r="CC4542">
        <v>-0.98</v>
      </c>
      <c r="CD4542">
        <v>0.09</v>
      </c>
      <c r="CE4542">
        <v>0.28999999999999998</v>
      </c>
      <c r="CF4542">
        <v>0.37</v>
      </c>
      <c r="CG4542">
        <v>0</v>
      </c>
      <c r="CH4542">
        <v>0.32</v>
      </c>
      <c r="CI4542">
        <v>0</v>
      </c>
      <c r="CJ4542">
        <v>2.7</v>
      </c>
      <c r="CK4542">
        <v>36</v>
      </c>
      <c r="CL4542">
        <v>-0.62</v>
      </c>
      <c r="CM4542">
        <v>33</v>
      </c>
      <c r="CN4542">
        <v>-0.39</v>
      </c>
      <c r="CO4542">
        <v>33</v>
      </c>
      <c r="CP4542">
        <v>-0.8</v>
      </c>
      <c r="CQ4542">
        <v>31</v>
      </c>
      <c r="CR4542">
        <v>0</v>
      </c>
      <c r="CS4542">
        <v>0</v>
      </c>
      <c r="CT4542">
        <v>7.8</v>
      </c>
      <c r="CU4542">
        <v>30</v>
      </c>
      <c r="CV4542">
        <v>0.1</v>
      </c>
      <c r="CW4542">
        <v>10</v>
      </c>
      <c r="CX4542" t="s">
        <v>485</v>
      </c>
    </row>
    <row r="4543" spans="1:102" x14ac:dyDescent="0.3">
      <c r="A4543" t="str">
        <f>HYPERLINK("https://webapp.icbf.com/v2/app/bull-search/view/124415024","RNR")</f>
        <v>RNR</v>
      </c>
      <c r="B4543" t="s">
        <v>4018</v>
      </c>
      <c r="C4543" t="s">
        <v>4019</v>
      </c>
      <c r="D4543" s="1">
        <v>34396</v>
      </c>
      <c r="E4543" t="s">
        <v>92</v>
      </c>
      <c r="F4543">
        <v>100</v>
      </c>
      <c r="G4543" t="s">
        <v>109</v>
      </c>
      <c r="H4543">
        <v>-137.02000000000001</v>
      </c>
      <c r="I4543">
        <v>81</v>
      </c>
      <c r="J4543">
        <v>9.5</v>
      </c>
      <c r="K4543">
        <v>93</v>
      </c>
      <c r="L4543">
        <v>-105.33</v>
      </c>
      <c r="M4543">
        <v>85</v>
      </c>
      <c r="N4543">
        <v>-37.76</v>
      </c>
      <c r="O4543">
        <v>66</v>
      </c>
      <c r="P4543">
        <v>1.18</v>
      </c>
      <c r="Q4543">
        <v>73</v>
      </c>
      <c r="R4543">
        <v>-3.26</v>
      </c>
      <c r="S4543">
        <v>74</v>
      </c>
      <c r="T4543">
        <v>-4.9000000000000004</v>
      </c>
      <c r="U4543">
        <v>62</v>
      </c>
      <c r="V4543">
        <v>3.55</v>
      </c>
      <c r="W4543">
        <v>53</v>
      </c>
      <c r="X4543" t="s">
        <v>558</v>
      </c>
      <c r="Y4543" t="s">
        <v>95</v>
      </c>
      <c r="Z4543" t="s">
        <v>96</v>
      </c>
      <c r="AA4543" t="s">
        <v>1041</v>
      </c>
      <c r="AB4543" t="s">
        <v>4020</v>
      </c>
      <c r="AC4543">
        <v>0</v>
      </c>
      <c r="AD4543">
        <v>0</v>
      </c>
      <c r="AE4543">
        <v>93</v>
      </c>
      <c r="AF4543">
        <v>355.45</v>
      </c>
      <c r="AG4543">
        <v>-2.33</v>
      </c>
      <c r="AH4543">
        <v>7.88</v>
      </c>
      <c r="AI4543">
        <v>-0.27</v>
      </c>
      <c r="AJ4543">
        <v>-7.0000000000000007E-2</v>
      </c>
      <c r="AK4543">
        <v>85</v>
      </c>
      <c r="AL4543">
        <v>0</v>
      </c>
      <c r="AM4543">
        <v>0</v>
      </c>
      <c r="AN4543">
        <v>6.5</v>
      </c>
      <c r="AO4543">
        <v>-1.89</v>
      </c>
      <c r="AP4543">
        <v>13</v>
      </c>
      <c r="AQ4543">
        <v>0</v>
      </c>
      <c r="AR4543">
        <v>11.98</v>
      </c>
      <c r="AS4543">
        <v>50</v>
      </c>
      <c r="AT4543">
        <v>3.99</v>
      </c>
      <c r="AU4543">
        <v>90</v>
      </c>
      <c r="AV4543">
        <v>1.24</v>
      </c>
      <c r="AW4543">
        <v>62</v>
      </c>
      <c r="AX4543">
        <v>-0.48</v>
      </c>
      <c r="AY4543">
        <v>62</v>
      </c>
      <c r="AZ4543">
        <v>7.99</v>
      </c>
      <c r="BA4543">
        <v>45</v>
      </c>
      <c r="BB4543">
        <v>5.83</v>
      </c>
      <c r="BC4543">
        <v>47</v>
      </c>
      <c r="BD4543">
        <v>0.03</v>
      </c>
      <c r="BE4543">
        <v>0.05</v>
      </c>
      <c r="BF4543">
        <v>-7.0000000000000007E-2</v>
      </c>
      <c r="BG4543">
        <v>92</v>
      </c>
      <c r="BH4543">
        <v>0.14000000000000001</v>
      </c>
      <c r="BI4543">
        <v>4.75</v>
      </c>
      <c r="BJ4543">
        <v>1</v>
      </c>
      <c r="BK4543">
        <v>1</v>
      </c>
      <c r="BL4543">
        <v>-0.18</v>
      </c>
      <c r="BM4543">
        <v>-0.83</v>
      </c>
      <c r="BN4543">
        <v>-0.26</v>
      </c>
      <c r="BO4543">
        <v>0.57999999999999996</v>
      </c>
      <c r="BP4543">
        <v>-0.57999999999999996</v>
      </c>
      <c r="BQ4543">
        <v>2.71</v>
      </c>
      <c r="BR4543">
        <v>2.04</v>
      </c>
      <c r="BS4543">
        <v>-2.2000000000000002</v>
      </c>
      <c r="BT4543">
        <v>-1.6</v>
      </c>
      <c r="BU4543">
        <v>-1.26</v>
      </c>
      <c r="BV4543">
        <v>-0.21</v>
      </c>
      <c r="BW4543">
        <v>-0.69</v>
      </c>
      <c r="BX4543">
        <v>-1.05</v>
      </c>
      <c r="BY4543">
        <v>-0.87</v>
      </c>
      <c r="BZ4543">
        <v>-4.1900000000000004</v>
      </c>
      <c r="CA4543">
        <v>-1.34</v>
      </c>
      <c r="CB4543">
        <v>-0.71</v>
      </c>
      <c r="CC4543">
        <v>-1.61</v>
      </c>
      <c r="CD4543">
        <v>-1.19</v>
      </c>
      <c r="CE4543">
        <v>0.94</v>
      </c>
      <c r="CF4543">
        <v>1.41</v>
      </c>
      <c r="CG4543">
        <v>0</v>
      </c>
      <c r="CH4543">
        <v>-0.71</v>
      </c>
      <c r="CI4543">
        <v>0</v>
      </c>
      <c r="CJ4543">
        <v>1.2</v>
      </c>
      <c r="CK4543">
        <v>74</v>
      </c>
      <c r="CL4543">
        <v>-0.42</v>
      </c>
      <c r="CM4543">
        <v>71</v>
      </c>
      <c r="CN4543">
        <v>-0.28999999999999998</v>
      </c>
      <c r="CO4543">
        <v>67</v>
      </c>
      <c r="CP4543">
        <v>3.1</v>
      </c>
      <c r="CQ4543">
        <v>80</v>
      </c>
      <c r="CR4543">
        <v>0</v>
      </c>
      <c r="CS4543">
        <v>0</v>
      </c>
      <c r="CT4543">
        <v>20.399999999999999</v>
      </c>
      <c r="CU4543">
        <v>62</v>
      </c>
      <c r="CV4543">
        <v>0.04</v>
      </c>
      <c r="CW4543">
        <v>40</v>
      </c>
      <c r="CX4543" t="s">
        <v>4021</v>
      </c>
    </row>
    <row r="4544" spans="1:102" x14ac:dyDescent="0.3">
      <c r="A4544" t="str">
        <f>HYPERLINK("https://webapp.icbf.com/v2/app/bull-search/view/714784584","S2138")</f>
        <v>S2138</v>
      </c>
      <c r="B4544" t="s">
        <v>2134</v>
      </c>
      <c r="C4544" t="s">
        <v>2135</v>
      </c>
      <c r="D4544" s="1">
        <v>39460</v>
      </c>
      <c r="E4544" t="s">
        <v>92</v>
      </c>
      <c r="F4544">
        <v>100</v>
      </c>
      <c r="G4544" t="s">
        <v>109</v>
      </c>
      <c r="H4544">
        <v>-137.18</v>
      </c>
      <c r="I4544">
        <v>70</v>
      </c>
      <c r="J4544">
        <v>56.7</v>
      </c>
      <c r="K4544">
        <v>88</v>
      </c>
      <c r="L4544">
        <v>-202.44</v>
      </c>
      <c r="M4544">
        <v>82</v>
      </c>
      <c r="N4544">
        <v>17.02</v>
      </c>
      <c r="O4544">
        <v>48</v>
      </c>
      <c r="P4544">
        <v>-10.52</v>
      </c>
      <c r="Q4544">
        <v>41</v>
      </c>
      <c r="R4544">
        <v>4.6399999999999997</v>
      </c>
      <c r="S4544">
        <v>60</v>
      </c>
      <c r="T4544">
        <v>-2.0099999999999998</v>
      </c>
      <c r="U4544">
        <v>31</v>
      </c>
      <c r="V4544">
        <v>-0.56999999999999995</v>
      </c>
      <c r="W4544">
        <v>20</v>
      </c>
      <c r="X4544" t="s">
        <v>94</v>
      </c>
      <c r="Y4544" t="s">
        <v>367</v>
      </c>
      <c r="Z4544" t="s">
        <v>96</v>
      </c>
      <c r="AA4544" t="s">
        <v>348</v>
      </c>
      <c r="AB4544" t="s">
        <v>2136</v>
      </c>
      <c r="AC4544">
        <v>0</v>
      </c>
      <c r="AD4544">
        <v>0</v>
      </c>
      <c r="AE4544">
        <v>88</v>
      </c>
      <c r="AF4544">
        <v>428.95</v>
      </c>
      <c r="AG4544">
        <v>15.46</v>
      </c>
      <c r="AH4544">
        <v>10.74</v>
      </c>
      <c r="AI4544">
        <v>-0.02</v>
      </c>
      <c r="AJ4544">
        <v>-0.06</v>
      </c>
      <c r="AK4544">
        <v>82</v>
      </c>
      <c r="AL4544">
        <v>0</v>
      </c>
      <c r="AM4544">
        <v>0</v>
      </c>
      <c r="AN4544">
        <v>13.72</v>
      </c>
      <c r="AO4544">
        <v>-2.39</v>
      </c>
      <c r="AP4544">
        <v>35</v>
      </c>
      <c r="AQ4544">
        <v>0</v>
      </c>
      <c r="AR4544">
        <v>7.21</v>
      </c>
      <c r="AS4544">
        <v>37</v>
      </c>
      <c r="AT4544">
        <v>3.25</v>
      </c>
      <c r="AU4544">
        <v>90</v>
      </c>
      <c r="AV4544">
        <v>-2.17</v>
      </c>
      <c r="AW4544">
        <v>36</v>
      </c>
      <c r="AX4544">
        <v>0.65</v>
      </c>
      <c r="AY4544">
        <v>44</v>
      </c>
      <c r="AZ4544">
        <v>5.94</v>
      </c>
      <c r="BA4544">
        <v>25</v>
      </c>
      <c r="BB4544">
        <v>4.84</v>
      </c>
      <c r="BC4544">
        <v>21</v>
      </c>
      <c r="BD4544">
        <v>0.02</v>
      </c>
      <c r="BE4544">
        <v>0</v>
      </c>
      <c r="BF4544">
        <v>-0.14000000000000001</v>
      </c>
      <c r="BG4544">
        <v>89</v>
      </c>
      <c r="BH4544">
        <v>0.04</v>
      </c>
      <c r="BI4544">
        <v>6.47</v>
      </c>
      <c r="BJ4544">
        <v>5</v>
      </c>
      <c r="BK4544">
        <v>4</v>
      </c>
      <c r="BL4544">
        <v>1.78</v>
      </c>
      <c r="BM4544">
        <v>-0.24</v>
      </c>
      <c r="BN4544">
        <v>2.63</v>
      </c>
      <c r="BO4544">
        <v>2.0699999999999998</v>
      </c>
      <c r="BP4544">
        <v>-1.37</v>
      </c>
      <c r="BQ4544">
        <v>1.44</v>
      </c>
      <c r="BR4544">
        <v>-2.4</v>
      </c>
      <c r="BS4544">
        <v>3.21</v>
      </c>
      <c r="BT4544">
        <v>3</v>
      </c>
      <c r="BU4544">
        <v>3.02</v>
      </c>
      <c r="BV4544">
        <v>4.6100000000000003</v>
      </c>
      <c r="BW4544">
        <v>2.67</v>
      </c>
      <c r="BX4544">
        <v>1.4</v>
      </c>
      <c r="BY4544">
        <v>1.1299999999999999</v>
      </c>
      <c r="BZ4544">
        <v>3.85</v>
      </c>
      <c r="CA4544">
        <v>3.08</v>
      </c>
      <c r="CB4544">
        <v>2.59</v>
      </c>
      <c r="CC4544">
        <v>2.98</v>
      </c>
      <c r="CD4544">
        <v>-1.48</v>
      </c>
      <c r="CE4544">
        <v>1.63</v>
      </c>
      <c r="CF4544">
        <v>2.02</v>
      </c>
      <c r="CG4544">
        <v>0</v>
      </c>
      <c r="CH4544">
        <v>1.42</v>
      </c>
      <c r="CI4544">
        <v>0</v>
      </c>
      <c r="CJ4544">
        <v>-2.9</v>
      </c>
      <c r="CK4544">
        <v>43</v>
      </c>
      <c r="CL4544">
        <v>-1.41</v>
      </c>
      <c r="CM4544">
        <v>40</v>
      </c>
      <c r="CN4544">
        <v>-0.64</v>
      </c>
      <c r="CO4544">
        <v>38</v>
      </c>
      <c r="CP4544">
        <v>3.6</v>
      </c>
      <c r="CQ4544">
        <v>35</v>
      </c>
      <c r="CR4544">
        <v>0</v>
      </c>
      <c r="CS4544">
        <v>0</v>
      </c>
      <c r="CT4544">
        <v>16.5</v>
      </c>
      <c r="CU4544">
        <v>31</v>
      </c>
      <c r="CV4544">
        <v>0.35</v>
      </c>
      <c r="CW4544">
        <v>12</v>
      </c>
      <c r="CX4544" t="s">
        <v>309</v>
      </c>
    </row>
    <row r="4545" spans="1:102" x14ac:dyDescent="0.3">
      <c r="A4545" t="str">
        <f>HYPERLINK("https://webapp.icbf.com/v2/app/bull-search/view/77853754","SEB")</f>
        <v>SEB</v>
      </c>
      <c r="B4545" t="s">
        <v>15017</v>
      </c>
      <c r="C4545" t="s">
        <v>15018</v>
      </c>
      <c r="D4545" s="1">
        <v>35349</v>
      </c>
      <c r="E4545" t="s">
        <v>92</v>
      </c>
      <c r="F4545">
        <v>100</v>
      </c>
      <c r="G4545" t="s">
        <v>93</v>
      </c>
      <c r="H4545">
        <v>-137.19</v>
      </c>
      <c r="I4545">
        <v>71</v>
      </c>
      <c r="J4545">
        <v>13.92</v>
      </c>
      <c r="K4545">
        <v>93</v>
      </c>
      <c r="L4545">
        <v>-123.93</v>
      </c>
      <c r="M4545">
        <v>56</v>
      </c>
      <c r="N4545">
        <v>-32.26</v>
      </c>
      <c r="O4545">
        <v>62</v>
      </c>
      <c r="P4545">
        <v>9.0500000000000007</v>
      </c>
      <c r="Q4545">
        <v>77</v>
      </c>
      <c r="R4545">
        <v>-16.239999999999998</v>
      </c>
      <c r="S4545">
        <v>61</v>
      </c>
      <c r="T4545">
        <v>7.17</v>
      </c>
      <c r="U4545">
        <v>68</v>
      </c>
      <c r="V4545">
        <v>5.0999999999999996</v>
      </c>
      <c r="W4545">
        <v>30</v>
      </c>
      <c r="X4545" t="s">
        <v>94</v>
      </c>
      <c r="Y4545" t="s">
        <v>95</v>
      </c>
      <c r="Z4545" t="s">
        <v>96</v>
      </c>
      <c r="AA4545" t="s">
        <v>3553</v>
      </c>
      <c r="AB4545" t="s">
        <v>8445</v>
      </c>
      <c r="AC4545">
        <v>54</v>
      </c>
      <c r="AD4545">
        <v>49</v>
      </c>
      <c r="AE4545">
        <v>93</v>
      </c>
      <c r="AF4545">
        <v>230.07</v>
      </c>
      <c r="AG4545">
        <v>0.93</v>
      </c>
      <c r="AH4545">
        <v>5.56</v>
      </c>
      <c r="AI4545">
        <v>-0.13</v>
      </c>
      <c r="AJ4545">
        <v>-0.04</v>
      </c>
      <c r="AK4545">
        <v>56</v>
      </c>
      <c r="AL4545">
        <v>43</v>
      </c>
      <c r="AM4545">
        <v>31</v>
      </c>
      <c r="AN4545">
        <v>7.76</v>
      </c>
      <c r="AO4545">
        <v>-2.11</v>
      </c>
      <c r="AP4545">
        <v>26</v>
      </c>
      <c r="AQ4545">
        <v>0</v>
      </c>
      <c r="AR4545">
        <v>12.34</v>
      </c>
      <c r="AS4545">
        <v>38</v>
      </c>
      <c r="AT4545">
        <v>5.45</v>
      </c>
      <c r="AU4545">
        <v>62</v>
      </c>
      <c r="AV4545">
        <v>-1.3</v>
      </c>
      <c r="AW4545">
        <v>70</v>
      </c>
      <c r="AX4545">
        <v>0.18</v>
      </c>
      <c r="AY4545">
        <v>71</v>
      </c>
      <c r="AZ4545">
        <v>6.42</v>
      </c>
      <c r="BA4545">
        <v>42</v>
      </c>
      <c r="BB4545">
        <v>5.04</v>
      </c>
      <c r="BC4545">
        <v>48</v>
      </c>
      <c r="BD4545">
        <v>0.08</v>
      </c>
      <c r="BE4545">
        <v>0.1</v>
      </c>
      <c r="BF4545">
        <v>0.05</v>
      </c>
      <c r="BG4545">
        <v>76</v>
      </c>
      <c r="BH4545">
        <v>0.18</v>
      </c>
      <c r="BI4545">
        <v>4.3600000000000003</v>
      </c>
      <c r="BJ4545">
        <v>13</v>
      </c>
      <c r="BK4545">
        <v>9</v>
      </c>
      <c r="BL4545">
        <v>0.28999999999999998</v>
      </c>
      <c r="BM4545">
        <v>0.85</v>
      </c>
      <c r="BN4545">
        <v>0.77</v>
      </c>
      <c r="BO4545">
        <v>-0.08</v>
      </c>
      <c r="BP4545">
        <v>-0.13</v>
      </c>
      <c r="BQ4545">
        <v>0.87</v>
      </c>
      <c r="BR4545">
        <v>-1.39</v>
      </c>
      <c r="BS4545">
        <v>-0.56999999999999995</v>
      </c>
      <c r="BT4545">
        <v>1.93</v>
      </c>
      <c r="BU4545">
        <v>-0.47</v>
      </c>
      <c r="BV4545">
        <v>0.04</v>
      </c>
      <c r="BW4545">
        <v>-0.23</v>
      </c>
      <c r="BX4545">
        <v>-1.1200000000000001</v>
      </c>
      <c r="BY4545">
        <v>-0.24</v>
      </c>
      <c r="BZ4545">
        <v>-0.12</v>
      </c>
      <c r="CA4545">
        <v>-0.13</v>
      </c>
      <c r="CB4545">
        <v>-0.14000000000000001</v>
      </c>
      <c r="CC4545">
        <v>0.04</v>
      </c>
      <c r="CD4545">
        <v>0.03</v>
      </c>
      <c r="CE4545">
        <v>-0.11</v>
      </c>
      <c r="CF4545">
        <v>0.35</v>
      </c>
      <c r="CG4545">
        <v>0</v>
      </c>
      <c r="CH4545">
        <v>-0.24</v>
      </c>
      <c r="CI4545">
        <v>0</v>
      </c>
      <c r="CJ4545">
        <v>7.2</v>
      </c>
      <c r="CK4545">
        <v>79</v>
      </c>
      <c r="CL4545">
        <v>-0.4</v>
      </c>
      <c r="CM4545">
        <v>75</v>
      </c>
      <c r="CN4545">
        <v>-0.24</v>
      </c>
      <c r="CO4545">
        <v>72</v>
      </c>
      <c r="CP4545">
        <v>2.9</v>
      </c>
      <c r="CQ4545">
        <v>81</v>
      </c>
      <c r="CR4545">
        <v>0</v>
      </c>
      <c r="CS4545">
        <v>0</v>
      </c>
      <c r="CT4545">
        <v>4.0999999999999996</v>
      </c>
      <c r="CU4545">
        <v>68</v>
      </c>
      <c r="CV4545">
        <v>0.25</v>
      </c>
      <c r="CW4545">
        <v>22</v>
      </c>
      <c r="CX4545" t="s">
        <v>207</v>
      </c>
    </row>
    <row r="4546" spans="1:102" x14ac:dyDescent="0.3">
      <c r="A4546" t="str">
        <f>HYPERLINK("https://webapp.icbf.com/v2/app/bull-search/view/221967831","HVI")</f>
        <v>HVI</v>
      </c>
      <c r="B4546" t="s">
        <v>4148</v>
      </c>
      <c r="C4546" t="s">
        <v>1842</v>
      </c>
      <c r="D4546" s="1">
        <v>35901</v>
      </c>
      <c r="E4546" t="s">
        <v>92</v>
      </c>
      <c r="F4546">
        <v>100</v>
      </c>
      <c r="G4546" t="s">
        <v>93</v>
      </c>
      <c r="H4546">
        <v>-137.21</v>
      </c>
      <c r="I4546">
        <v>97</v>
      </c>
      <c r="J4546">
        <v>3.39</v>
      </c>
      <c r="K4546">
        <v>99</v>
      </c>
      <c r="L4546">
        <v>-141.52000000000001</v>
      </c>
      <c r="M4546">
        <v>95</v>
      </c>
      <c r="N4546">
        <v>4.49</v>
      </c>
      <c r="O4546">
        <v>97</v>
      </c>
      <c r="P4546">
        <v>0.23</v>
      </c>
      <c r="Q4546">
        <v>99</v>
      </c>
      <c r="R4546">
        <v>-10.99</v>
      </c>
      <c r="S4546">
        <v>94</v>
      </c>
      <c r="T4546">
        <v>0.95</v>
      </c>
      <c r="U4546">
        <v>98</v>
      </c>
      <c r="V4546">
        <v>6.24</v>
      </c>
      <c r="W4546">
        <v>93</v>
      </c>
      <c r="X4546" t="s">
        <v>276</v>
      </c>
      <c r="Y4546" t="s">
        <v>95</v>
      </c>
      <c r="Z4546" t="s">
        <v>96</v>
      </c>
      <c r="AA4546" t="s">
        <v>1247</v>
      </c>
      <c r="AB4546" t="s">
        <v>4149</v>
      </c>
      <c r="AC4546">
        <v>802</v>
      </c>
      <c r="AD4546">
        <v>294</v>
      </c>
      <c r="AE4546">
        <v>99</v>
      </c>
      <c r="AF4546">
        <v>99.6</v>
      </c>
      <c r="AG4546">
        <v>0.54</v>
      </c>
      <c r="AH4546">
        <v>1.91</v>
      </c>
      <c r="AI4546">
        <v>-0.06</v>
      </c>
      <c r="AJ4546">
        <v>-0.03</v>
      </c>
      <c r="AK4546">
        <v>95</v>
      </c>
      <c r="AL4546">
        <v>765</v>
      </c>
      <c r="AM4546">
        <v>291</v>
      </c>
      <c r="AN4546">
        <v>8.1999999999999993</v>
      </c>
      <c r="AO4546">
        <v>-3.08</v>
      </c>
      <c r="AP4546">
        <v>1450</v>
      </c>
      <c r="AQ4546">
        <v>5</v>
      </c>
      <c r="AR4546">
        <v>9.4499999999999993</v>
      </c>
      <c r="AS4546">
        <v>97</v>
      </c>
      <c r="AT4546">
        <v>4.16</v>
      </c>
      <c r="AU4546">
        <v>99</v>
      </c>
      <c r="AV4546">
        <v>-2.25</v>
      </c>
      <c r="AW4546">
        <v>99</v>
      </c>
      <c r="AX4546">
        <v>0.09</v>
      </c>
      <c r="AY4546">
        <v>97</v>
      </c>
      <c r="AZ4546">
        <v>6.08</v>
      </c>
      <c r="BA4546">
        <v>92</v>
      </c>
      <c r="BB4546">
        <v>4.58</v>
      </c>
      <c r="BC4546">
        <v>91</v>
      </c>
      <c r="BD4546">
        <v>-0.02</v>
      </c>
      <c r="BE4546">
        <v>0.04</v>
      </c>
      <c r="BF4546">
        <v>0.21</v>
      </c>
      <c r="BG4546">
        <v>98</v>
      </c>
      <c r="BH4546">
        <v>0.01</v>
      </c>
      <c r="BI4546">
        <v>-18.96</v>
      </c>
      <c r="BJ4546">
        <v>286</v>
      </c>
      <c r="BK4546">
        <v>120</v>
      </c>
      <c r="BL4546">
        <v>0.79</v>
      </c>
      <c r="BM4546">
        <v>-0.17</v>
      </c>
      <c r="BN4546">
        <v>0.42</v>
      </c>
      <c r="BO4546">
        <v>0.71</v>
      </c>
      <c r="BP4546">
        <v>0.06</v>
      </c>
      <c r="BQ4546">
        <v>-0.56999999999999995</v>
      </c>
      <c r="BR4546">
        <v>-1.49</v>
      </c>
      <c r="BS4546">
        <v>2.41</v>
      </c>
      <c r="BT4546">
        <v>2.62</v>
      </c>
      <c r="BU4546">
        <v>1.63</v>
      </c>
      <c r="BV4546">
        <v>1.64</v>
      </c>
      <c r="BW4546">
        <v>0.9</v>
      </c>
      <c r="BX4546">
        <v>1.1299999999999999</v>
      </c>
      <c r="BY4546">
        <v>0.08</v>
      </c>
      <c r="BZ4546">
        <v>1.1000000000000001</v>
      </c>
      <c r="CA4546">
        <v>1.66</v>
      </c>
      <c r="CB4546">
        <v>1.06</v>
      </c>
      <c r="CC4546">
        <v>2.1</v>
      </c>
      <c r="CD4546">
        <v>-0.33</v>
      </c>
      <c r="CE4546">
        <v>0.88</v>
      </c>
      <c r="CF4546">
        <v>0.37</v>
      </c>
      <c r="CG4546">
        <v>0</v>
      </c>
      <c r="CH4546">
        <v>0.06</v>
      </c>
      <c r="CI4546">
        <v>0</v>
      </c>
      <c r="CJ4546">
        <v>-0.3</v>
      </c>
      <c r="CK4546">
        <v>99</v>
      </c>
      <c r="CL4546">
        <v>-0.82</v>
      </c>
      <c r="CM4546">
        <v>98</v>
      </c>
      <c r="CN4546">
        <v>-0.78</v>
      </c>
      <c r="CO4546">
        <v>98</v>
      </c>
      <c r="CP4546">
        <v>-0.2</v>
      </c>
      <c r="CQ4546">
        <v>99</v>
      </c>
      <c r="CR4546">
        <v>0</v>
      </c>
      <c r="CS4546">
        <v>0</v>
      </c>
      <c r="CT4546">
        <v>12.5</v>
      </c>
      <c r="CU4546">
        <v>98</v>
      </c>
      <c r="CV4546">
        <v>0.15</v>
      </c>
      <c r="CW4546">
        <v>46</v>
      </c>
      <c r="CX4546" t="s">
        <v>989</v>
      </c>
    </row>
    <row r="4547" spans="1:102" x14ac:dyDescent="0.3">
      <c r="A4547" t="str">
        <f>HYPERLINK("https://webapp.icbf.com/v2/app/bull-search/view/108367971","DEJ")</f>
        <v>DEJ</v>
      </c>
      <c r="B4547" t="s">
        <v>10950</v>
      </c>
      <c r="C4547" t="s">
        <v>4844</v>
      </c>
      <c r="D4547" s="1">
        <v>35208</v>
      </c>
      <c r="E4547" t="s">
        <v>92</v>
      </c>
      <c r="F4547">
        <v>100</v>
      </c>
      <c r="G4547" t="s">
        <v>93</v>
      </c>
      <c r="H4547">
        <v>-137.29</v>
      </c>
      <c r="I4547">
        <v>96</v>
      </c>
      <c r="J4547">
        <v>5.57</v>
      </c>
      <c r="K4547">
        <v>99</v>
      </c>
      <c r="L4547">
        <v>-111.19</v>
      </c>
      <c r="M4547">
        <v>94</v>
      </c>
      <c r="N4547">
        <v>-33.97</v>
      </c>
      <c r="O4547">
        <v>95</v>
      </c>
      <c r="P4547">
        <v>3.39</v>
      </c>
      <c r="Q4547">
        <v>98</v>
      </c>
      <c r="R4547">
        <v>1.25</v>
      </c>
      <c r="S4547">
        <v>90</v>
      </c>
      <c r="T4547">
        <v>-2.23</v>
      </c>
      <c r="U4547">
        <v>93</v>
      </c>
      <c r="V4547">
        <v>-0.11</v>
      </c>
      <c r="W4547">
        <v>87</v>
      </c>
      <c r="X4547" t="s">
        <v>251</v>
      </c>
      <c r="Y4547" t="s">
        <v>95</v>
      </c>
      <c r="Z4547" t="s">
        <v>96</v>
      </c>
      <c r="AA4547" t="s">
        <v>839</v>
      </c>
      <c r="AB4547" t="s">
        <v>10951</v>
      </c>
      <c r="AC4547">
        <v>472</v>
      </c>
      <c r="AD4547">
        <v>198</v>
      </c>
      <c r="AE4547">
        <v>99</v>
      </c>
      <c r="AF4547">
        <v>189.42</v>
      </c>
      <c r="AG4547">
        <v>2.62</v>
      </c>
      <c r="AH4547">
        <v>2.92</v>
      </c>
      <c r="AI4547">
        <v>-0.08</v>
      </c>
      <c r="AJ4547">
        <v>-0.06</v>
      </c>
      <c r="AK4547">
        <v>94</v>
      </c>
      <c r="AL4547">
        <v>423</v>
      </c>
      <c r="AM4547">
        <v>168</v>
      </c>
      <c r="AN4547">
        <v>5.87</v>
      </c>
      <c r="AO4547">
        <v>-3</v>
      </c>
      <c r="AP4547">
        <v>783</v>
      </c>
      <c r="AQ4547">
        <v>7</v>
      </c>
      <c r="AR4547">
        <v>12.26</v>
      </c>
      <c r="AS4547">
        <v>92</v>
      </c>
      <c r="AT4547">
        <v>5.18</v>
      </c>
      <c r="AU4547">
        <v>96</v>
      </c>
      <c r="AV4547">
        <v>-0.47</v>
      </c>
      <c r="AW4547">
        <v>98</v>
      </c>
      <c r="AX4547">
        <v>0.45</v>
      </c>
      <c r="AY4547">
        <v>95</v>
      </c>
      <c r="AZ4547">
        <v>5.43</v>
      </c>
      <c r="BA4547">
        <v>87</v>
      </c>
      <c r="BB4547">
        <v>4.99</v>
      </c>
      <c r="BC4547">
        <v>87</v>
      </c>
      <c r="BD4547">
        <v>0.02</v>
      </c>
      <c r="BE4547">
        <v>0.02</v>
      </c>
      <c r="BF4547">
        <v>-0.1</v>
      </c>
      <c r="BG4547">
        <v>97</v>
      </c>
      <c r="BH4547">
        <v>0.06</v>
      </c>
      <c r="BI4547">
        <v>7.29</v>
      </c>
      <c r="BJ4547">
        <v>120</v>
      </c>
      <c r="BK4547">
        <v>49</v>
      </c>
      <c r="BL4547">
        <v>1.68</v>
      </c>
      <c r="BM4547">
        <v>1.46</v>
      </c>
      <c r="BN4547">
        <v>1.71</v>
      </c>
      <c r="BO4547">
        <v>0.86</v>
      </c>
      <c r="BP4547">
        <v>-0.36</v>
      </c>
      <c r="BQ4547">
        <v>2.4700000000000002</v>
      </c>
      <c r="BR4547">
        <v>0.71</v>
      </c>
      <c r="BS4547">
        <v>0.33</v>
      </c>
      <c r="BT4547">
        <v>-0.28000000000000003</v>
      </c>
      <c r="BU4547">
        <v>0.99</v>
      </c>
      <c r="BV4547">
        <v>1.08</v>
      </c>
      <c r="BW4547">
        <v>2.76</v>
      </c>
      <c r="BX4547">
        <v>1.64</v>
      </c>
      <c r="BY4547">
        <v>2.06</v>
      </c>
      <c r="BZ4547">
        <v>-0.78</v>
      </c>
      <c r="CA4547">
        <v>1.31</v>
      </c>
      <c r="CB4547">
        <v>1.27</v>
      </c>
      <c r="CC4547">
        <v>0.84</v>
      </c>
      <c r="CD4547">
        <v>-0.34</v>
      </c>
      <c r="CE4547">
        <v>0.89</v>
      </c>
      <c r="CF4547">
        <v>2.23</v>
      </c>
      <c r="CG4547">
        <v>0</v>
      </c>
      <c r="CH4547">
        <v>2.0299999999999998</v>
      </c>
      <c r="CI4547">
        <v>0</v>
      </c>
      <c r="CJ4547">
        <v>4.7</v>
      </c>
      <c r="CK4547">
        <v>98</v>
      </c>
      <c r="CL4547">
        <v>-0.95</v>
      </c>
      <c r="CM4547">
        <v>98</v>
      </c>
      <c r="CN4547">
        <v>-0.5</v>
      </c>
      <c r="CO4547">
        <v>97</v>
      </c>
      <c r="CP4547">
        <v>5.7</v>
      </c>
      <c r="CQ4547">
        <v>97</v>
      </c>
      <c r="CR4547">
        <v>0</v>
      </c>
      <c r="CS4547">
        <v>0</v>
      </c>
      <c r="CT4547">
        <v>16.8</v>
      </c>
      <c r="CU4547">
        <v>93</v>
      </c>
      <c r="CV4547">
        <v>0.28000000000000003</v>
      </c>
      <c r="CW4547">
        <v>46</v>
      </c>
      <c r="CX4547" t="s">
        <v>561</v>
      </c>
    </row>
    <row r="4548" spans="1:102" x14ac:dyDescent="0.3">
      <c r="A4548" t="str">
        <f>HYPERLINK("https://webapp.icbf.com/v2/app/bull-search/view/221998177","CCZ")</f>
        <v>CCZ</v>
      </c>
      <c r="B4548" t="s">
        <v>4097</v>
      </c>
      <c r="C4548" t="s">
        <v>4098</v>
      </c>
      <c r="D4548" s="1">
        <v>35912</v>
      </c>
      <c r="E4548" t="s">
        <v>92</v>
      </c>
      <c r="F4548">
        <v>100</v>
      </c>
      <c r="G4548" t="s">
        <v>93</v>
      </c>
      <c r="H4548">
        <v>-137.53</v>
      </c>
      <c r="I4548">
        <v>90</v>
      </c>
      <c r="J4548">
        <v>15.86</v>
      </c>
      <c r="K4548">
        <v>97</v>
      </c>
      <c r="L4548">
        <v>-114.31</v>
      </c>
      <c r="M4548">
        <v>90</v>
      </c>
      <c r="N4548">
        <v>-23.86</v>
      </c>
      <c r="O4548">
        <v>85</v>
      </c>
      <c r="P4548">
        <v>-14.28</v>
      </c>
      <c r="Q4548">
        <v>90</v>
      </c>
      <c r="R4548">
        <v>-2.71</v>
      </c>
      <c r="S4548">
        <v>83</v>
      </c>
      <c r="T4548">
        <v>1.84</v>
      </c>
      <c r="U4548">
        <v>83</v>
      </c>
      <c r="V4548">
        <v>-7.0000000000000007E-2</v>
      </c>
      <c r="W4548">
        <v>75</v>
      </c>
      <c r="X4548" t="s">
        <v>276</v>
      </c>
      <c r="Y4548" t="s">
        <v>95</v>
      </c>
      <c r="Z4548" t="s">
        <v>96</v>
      </c>
      <c r="AA4548" t="s">
        <v>1325</v>
      </c>
      <c r="AB4548" t="s">
        <v>4099</v>
      </c>
      <c r="AC4548">
        <v>93</v>
      </c>
      <c r="AD4548">
        <v>52</v>
      </c>
      <c r="AE4548">
        <v>97</v>
      </c>
      <c r="AF4548">
        <v>103.31</v>
      </c>
      <c r="AG4548">
        <v>4.38</v>
      </c>
      <c r="AH4548">
        <v>2.73</v>
      </c>
      <c r="AI4548">
        <v>0.01</v>
      </c>
      <c r="AJ4548">
        <v>-0.01</v>
      </c>
      <c r="AK4548">
        <v>90</v>
      </c>
      <c r="AL4548">
        <v>79</v>
      </c>
      <c r="AM4548">
        <v>50</v>
      </c>
      <c r="AN4548">
        <v>5.95</v>
      </c>
      <c r="AO4548">
        <v>-3.17</v>
      </c>
      <c r="AP4548">
        <v>168</v>
      </c>
      <c r="AQ4548">
        <v>1</v>
      </c>
      <c r="AR4548">
        <v>10.68</v>
      </c>
      <c r="AS4548">
        <v>73</v>
      </c>
      <c r="AT4548">
        <v>4.5599999999999996</v>
      </c>
      <c r="AU4548">
        <v>91</v>
      </c>
      <c r="AV4548">
        <v>-0.26</v>
      </c>
      <c r="AW4548">
        <v>92</v>
      </c>
      <c r="AX4548">
        <v>0.16</v>
      </c>
      <c r="AY4548">
        <v>80</v>
      </c>
      <c r="AZ4548">
        <v>6.51</v>
      </c>
      <c r="BA4548">
        <v>64</v>
      </c>
      <c r="BB4548">
        <v>5.21</v>
      </c>
      <c r="BC4548">
        <v>65</v>
      </c>
      <c r="BD4548">
        <v>0.02</v>
      </c>
      <c r="BE4548">
        <v>0.01</v>
      </c>
      <c r="BF4548">
        <v>0.01</v>
      </c>
      <c r="BG4548">
        <v>94</v>
      </c>
      <c r="BH4548">
        <v>0.14000000000000001</v>
      </c>
      <c r="BI4548">
        <v>16.41</v>
      </c>
      <c r="BJ4548">
        <v>36</v>
      </c>
      <c r="BK4548">
        <v>20</v>
      </c>
      <c r="BL4548">
        <v>0.49</v>
      </c>
      <c r="BM4548">
        <v>-0.88</v>
      </c>
      <c r="BN4548">
        <v>0.83</v>
      </c>
      <c r="BO4548">
        <v>1.05</v>
      </c>
      <c r="BP4548">
        <v>1.59</v>
      </c>
      <c r="BQ4548">
        <v>-1.4</v>
      </c>
      <c r="BR4548">
        <v>-1.44</v>
      </c>
      <c r="BS4548">
        <v>1.1200000000000001</v>
      </c>
      <c r="BT4548">
        <v>1.92</v>
      </c>
      <c r="BU4548">
        <v>0.73</v>
      </c>
      <c r="BV4548">
        <v>0.84</v>
      </c>
      <c r="BW4548">
        <v>1.56</v>
      </c>
      <c r="BX4548">
        <v>0.28999999999999998</v>
      </c>
      <c r="BY4548">
        <v>1.05</v>
      </c>
      <c r="BZ4548">
        <v>-1.66</v>
      </c>
      <c r="CA4548">
        <v>1.47</v>
      </c>
      <c r="CB4548">
        <v>1.04</v>
      </c>
      <c r="CC4548">
        <v>1.42</v>
      </c>
      <c r="CD4548">
        <v>-0.9</v>
      </c>
      <c r="CE4548">
        <v>1.27</v>
      </c>
      <c r="CF4548">
        <v>1.1599999999999999</v>
      </c>
      <c r="CG4548">
        <v>0</v>
      </c>
      <c r="CH4548">
        <v>1.1599999999999999</v>
      </c>
      <c r="CI4548">
        <v>0</v>
      </c>
      <c r="CJ4548">
        <v>-7</v>
      </c>
      <c r="CK4548">
        <v>91</v>
      </c>
      <c r="CL4548">
        <v>-1.0900000000000001</v>
      </c>
      <c r="CM4548">
        <v>89</v>
      </c>
      <c r="CN4548">
        <v>-0.57999999999999996</v>
      </c>
      <c r="CO4548">
        <v>88</v>
      </c>
      <c r="CP4548">
        <v>-1.1000000000000001</v>
      </c>
      <c r="CQ4548">
        <v>89</v>
      </c>
      <c r="CR4548">
        <v>0</v>
      </c>
      <c r="CS4548">
        <v>0</v>
      </c>
      <c r="CT4548">
        <v>11.3</v>
      </c>
      <c r="CU4548">
        <v>83</v>
      </c>
      <c r="CV4548">
        <v>0.09</v>
      </c>
      <c r="CW4548">
        <v>44</v>
      </c>
      <c r="CX4548" t="s">
        <v>678</v>
      </c>
    </row>
    <row r="4549" spans="1:102" x14ac:dyDescent="0.3">
      <c r="A4549" t="str">
        <f>HYPERLINK("https://webapp.icbf.com/v2/app/bull-search/view/77853601","TBM")</f>
        <v>TBM</v>
      </c>
      <c r="B4549" t="s">
        <v>2606</v>
      </c>
      <c r="C4549" t="s">
        <v>2607</v>
      </c>
      <c r="D4549" s="1">
        <v>32905</v>
      </c>
      <c r="E4549" t="s">
        <v>92</v>
      </c>
      <c r="F4549">
        <v>100</v>
      </c>
      <c r="G4549" t="s">
        <v>109</v>
      </c>
      <c r="H4549">
        <v>-137.69999999999999</v>
      </c>
      <c r="I4549">
        <v>72</v>
      </c>
      <c r="J4549">
        <v>-21.39</v>
      </c>
      <c r="K4549">
        <v>83</v>
      </c>
      <c r="L4549">
        <v>-72.69</v>
      </c>
      <c r="M4549">
        <v>78</v>
      </c>
      <c r="N4549">
        <v>-31.78</v>
      </c>
      <c r="O4549">
        <v>61</v>
      </c>
      <c r="P4549">
        <v>-15.41</v>
      </c>
      <c r="Q4549">
        <v>63</v>
      </c>
      <c r="R4549">
        <v>-4.63</v>
      </c>
      <c r="S4549">
        <v>65</v>
      </c>
      <c r="T4549">
        <v>10.130000000000001</v>
      </c>
      <c r="U4549">
        <v>47</v>
      </c>
      <c r="V4549">
        <v>-1.93</v>
      </c>
      <c r="W4549">
        <v>34</v>
      </c>
      <c r="X4549" t="s">
        <v>110</v>
      </c>
      <c r="Y4549" t="s">
        <v>95</v>
      </c>
      <c r="Z4549" t="s">
        <v>96</v>
      </c>
      <c r="AA4549" t="s">
        <v>111</v>
      </c>
      <c r="AB4549" t="s">
        <v>2608</v>
      </c>
      <c r="AC4549">
        <v>0</v>
      </c>
      <c r="AD4549">
        <v>0</v>
      </c>
      <c r="AE4549">
        <v>83</v>
      </c>
      <c r="AF4549">
        <v>107.07</v>
      </c>
      <c r="AG4549">
        <v>-0.56000000000000005</v>
      </c>
      <c r="AH4549">
        <v>-1.8</v>
      </c>
      <c r="AI4549">
        <v>-0.08</v>
      </c>
      <c r="AJ4549">
        <v>-0.09</v>
      </c>
      <c r="AK4549">
        <v>78</v>
      </c>
      <c r="AL4549">
        <v>0</v>
      </c>
      <c r="AM4549">
        <v>0</v>
      </c>
      <c r="AN4549">
        <v>4.51</v>
      </c>
      <c r="AO4549">
        <v>-1.28</v>
      </c>
      <c r="AP4549">
        <v>13</v>
      </c>
      <c r="AQ4549">
        <v>0</v>
      </c>
      <c r="AR4549">
        <v>12.85</v>
      </c>
      <c r="AS4549">
        <v>35</v>
      </c>
      <c r="AT4549">
        <v>5.76</v>
      </c>
      <c r="AU4549">
        <v>84</v>
      </c>
      <c r="AV4549">
        <v>-1.78</v>
      </c>
      <c r="AW4549">
        <v>65</v>
      </c>
      <c r="AX4549">
        <v>-0.84</v>
      </c>
      <c r="AY4549">
        <v>53</v>
      </c>
      <c r="AZ4549">
        <v>6.29</v>
      </c>
      <c r="BA4549">
        <v>35</v>
      </c>
      <c r="BB4549">
        <v>4.96</v>
      </c>
      <c r="BC4549">
        <v>36</v>
      </c>
      <c r="BD4549">
        <v>0.05</v>
      </c>
      <c r="BE4549">
        <v>7.0000000000000007E-2</v>
      </c>
      <c r="BF4549">
        <v>-0.11</v>
      </c>
      <c r="BG4549">
        <v>86</v>
      </c>
      <c r="BH4549">
        <v>0.03</v>
      </c>
      <c r="BI4549">
        <v>9.69</v>
      </c>
      <c r="BJ4549">
        <v>0</v>
      </c>
      <c r="BK4549">
        <v>0</v>
      </c>
      <c r="BL4549">
        <v>0.51</v>
      </c>
      <c r="BM4549">
        <v>1.1399999999999999</v>
      </c>
      <c r="BN4549">
        <v>1.38</v>
      </c>
      <c r="BO4549">
        <v>0.16</v>
      </c>
      <c r="BP4549">
        <v>0.46</v>
      </c>
      <c r="BQ4549">
        <v>1.2</v>
      </c>
      <c r="BR4549">
        <v>0.3</v>
      </c>
      <c r="BS4549">
        <v>0.06</v>
      </c>
      <c r="BT4549">
        <v>0.02</v>
      </c>
      <c r="BU4549">
        <v>1.45</v>
      </c>
      <c r="BV4549">
        <v>1.1100000000000001</v>
      </c>
      <c r="BW4549">
        <v>1.93</v>
      </c>
      <c r="BX4549">
        <v>0.81</v>
      </c>
      <c r="BY4549">
        <v>0.01</v>
      </c>
      <c r="BZ4549">
        <v>3.55</v>
      </c>
      <c r="CA4549">
        <v>0.96</v>
      </c>
      <c r="CB4549">
        <v>1.01</v>
      </c>
      <c r="CC4549">
        <v>0.59</v>
      </c>
      <c r="CD4549">
        <v>0.66</v>
      </c>
      <c r="CE4549">
        <v>0.72</v>
      </c>
      <c r="CF4549">
        <v>0.75</v>
      </c>
      <c r="CG4549">
        <v>0</v>
      </c>
      <c r="CH4549">
        <v>0.33</v>
      </c>
      <c r="CI4549">
        <v>0</v>
      </c>
      <c r="CJ4549">
        <v>-7.6</v>
      </c>
      <c r="CK4549">
        <v>65</v>
      </c>
      <c r="CL4549">
        <v>-0.73</v>
      </c>
      <c r="CM4549">
        <v>61</v>
      </c>
      <c r="CN4549">
        <v>-0.27</v>
      </c>
      <c r="CO4549">
        <v>57</v>
      </c>
      <c r="CP4549">
        <v>-3.7</v>
      </c>
      <c r="CQ4549">
        <v>61</v>
      </c>
      <c r="CR4549">
        <v>0</v>
      </c>
      <c r="CS4549">
        <v>0</v>
      </c>
      <c r="CT4549">
        <v>0.1</v>
      </c>
      <c r="CU4549">
        <v>47</v>
      </c>
      <c r="CV4549">
        <v>0.04</v>
      </c>
      <c r="CW4549">
        <v>18</v>
      </c>
      <c r="CX4549" t="s">
        <v>543</v>
      </c>
    </row>
    <row r="4550" spans="1:102" x14ac:dyDescent="0.3">
      <c r="A4550" t="str">
        <f>HYPERLINK("https://webapp.icbf.com/v2/app/bull-search/view/77853466","SSE")</f>
        <v>SSE</v>
      </c>
      <c r="B4550" t="s">
        <v>8066</v>
      </c>
      <c r="C4550" t="s">
        <v>8067</v>
      </c>
      <c r="D4550" s="1">
        <v>31462</v>
      </c>
      <c r="E4550" t="s">
        <v>92</v>
      </c>
      <c r="F4550">
        <v>100</v>
      </c>
      <c r="G4550" t="s">
        <v>93</v>
      </c>
      <c r="H4550">
        <v>-137.72999999999999</v>
      </c>
      <c r="I4550">
        <v>95</v>
      </c>
      <c r="J4550">
        <v>-37.119999999999997</v>
      </c>
      <c r="K4550">
        <v>99</v>
      </c>
      <c r="L4550">
        <v>-83.05</v>
      </c>
      <c r="M4550">
        <v>95</v>
      </c>
      <c r="N4550">
        <v>5.44</v>
      </c>
      <c r="O4550">
        <v>92</v>
      </c>
      <c r="P4550">
        <v>-5.2</v>
      </c>
      <c r="Q4550">
        <v>96</v>
      </c>
      <c r="R4550">
        <v>-12.32</v>
      </c>
      <c r="S4550">
        <v>88</v>
      </c>
      <c r="T4550">
        <v>0.95</v>
      </c>
      <c r="U4550">
        <v>95</v>
      </c>
      <c r="V4550">
        <v>-6.43</v>
      </c>
      <c r="W4550">
        <v>80</v>
      </c>
      <c r="X4550" t="s">
        <v>110</v>
      </c>
      <c r="Y4550" t="s">
        <v>95</v>
      </c>
      <c r="Z4550" t="s">
        <v>96</v>
      </c>
      <c r="AA4550" t="s">
        <v>154</v>
      </c>
      <c r="AB4550" t="s">
        <v>8068</v>
      </c>
      <c r="AC4550">
        <v>653</v>
      </c>
      <c r="AD4550">
        <v>375</v>
      </c>
      <c r="AE4550">
        <v>99</v>
      </c>
      <c r="AF4550">
        <v>-65.959999999999994</v>
      </c>
      <c r="AG4550">
        <v>-8.2899999999999991</v>
      </c>
      <c r="AH4550">
        <v>-4.3899999999999997</v>
      </c>
      <c r="AI4550">
        <v>-0.1</v>
      </c>
      <c r="AJ4550">
        <v>-0.04</v>
      </c>
      <c r="AK4550">
        <v>95</v>
      </c>
      <c r="AL4550">
        <v>1113</v>
      </c>
      <c r="AM4550">
        <v>484</v>
      </c>
      <c r="AN4550">
        <v>3.99</v>
      </c>
      <c r="AO4550">
        <v>-2.64</v>
      </c>
      <c r="AP4550">
        <v>29</v>
      </c>
      <c r="AQ4550">
        <v>1</v>
      </c>
      <c r="AR4550">
        <v>5.51</v>
      </c>
      <c r="AS4550">
        <v>83</v>
      </c>
      <c r="AT4550">
        <v>3.13</v>
      </c>
      <c r="AU4550">
        <v>94</v>
      </c>
      <c r="AV4550">
        <v>-0.81</v>
      </c>
      <c r="AW4550">
        <v>93</v>
      </c>
      <c r="AX4550">
        <v>-0.36</v>
      </c>
      <c r="AY4550">
        <v>97</v>
      </c>
      <c r="AZ4550">
        <v>7.88</v>
      </c>
      <c r="BA4550">
        <v>79</v>
      </c>
      <c r="BB4550">
        <v>5.89</v>
      </c>
      <c r="BC4550">
        <v>89</v>
      </c>
      <c r="BD4550">
        <v>0.05</v>
      </c>
      <c r="BE4550">
        <v>0.1</v>
      </c>
      <c r="BF4550">
        <v>0.01</v>
      </c>
      <c r="BG4550">
        <v>98</v>
      </c>
      <c r="BH4550">
        <v>-0.02</v>
      </c>
      <c r="BI4550">
        <v>18.420000000000002</v>
      </c>
      <c r="BJ4550">
        <v>274</v>
      </c>
      <c r="BK4550">
        <v>133</v>
      </c>
      <c r="BL4550">
        <v>1.36</v>
      </c>
      <c r="BM4550">
        <v>0.02</v>
      </c>
      <c r="BN4550">
        <v>1.31</v>
      </c>
      <c r="BO4550">
        <v>0.72</v>
      </c>
      <c r="BP4550">
        <v>-2.12</v>
      </c>
      <c r="BQ4550">
        <v>-0.55000000000000004</v>
      </c>
      <c r="BR4550">
        <v>-0.37</v>
      </c>
      <c r="BS4550">
        <v>-1.19</v>
      </c>
      <c r="BT4550">
        <v>-0.33</v>
      </c>
      <c r="BU4550">
        <v>0.24</v>
      </c>
      <c r="BV4550">
        <v>-0.13</v>
      </c>
      <c r="BW4550">
        <v>0.19</v>
      </c>
      <c r="BX4550">
        <v>1.61</v>
      </c>
      <c r="BY4550">
        <v>-0.72</v>
      </c>
      <c r="BZ4550">
        <v>1.1200000000000001</v>
      </c>
      <c r="CA4550">
        <v>-7.0000000000000007E-2</v>
      </c>
      <c r="CB4550">
        <v>-0.13</v>
      </c>
      <c r="CC4550">
        <v>0.04</v>
      </c>
      <c r="CD4550">
        <v>-0.7</v>
      </c>
      <c r="CE4550">
        <v>0.62</v>
      </c>
      <c r="CF4550">
        <v>1.92</v>
      </c>
      <c r="CG4550">
        <v>0</v>
      </c>
      <c r="CH4550">
        <v>-0.71</v>
      </c>
      <c r="CI4550">
        <v>0</v>
      </c>
      <c r="CJ4550">
        <v>-1.4</v>
      </c>
      <c r="CK4550">
        <v>96</v>
      </c>
      <c r="CL4550">
        <v>-0.72</v>
      </c>
      <c r="CM4550">
        <v>95</v>
      </c>
      <c r="CN4550">
        <v>-0.34</v>
      </c>
      <c r="CO4550">
        <v>95</v>
      </c>
      <c r="CP4550">
        <v>1.2</v>
      </c>
      <c r="CQ4550">
        <v>98</v>
      </c>
      <c r="CR4550">
        <v>0</v>
      </c>
      <c r="CS4550">
        <v>0</v>
      </c>
      <c r="CT4550">
        <v>12.5</v>
      </c>
      <c r="CU4550">
        <v>95</v>
      </c>
      <c r="CV4550">
        <v>0.08</v>
      </c>
      <c r="CW4550">
        <v>45</v>
      </c>
      <c r="CX4550" t="s">
        <v>120</v>
      </c>
    </row>
    <row r="4551" spans="1:102" x14ac:dyDescent="0.3">
      <c r="A4551" t="str">
        <f>HYPERLINK("https://webapp.icbf.com/v2/app/bull-search/view/74787177","ARP")</f>
        <v>ARP</v>
      </c>
      <c r="B4551" t="s">
        <v>6899</v>
      </c>
      <c r="C4551" t="s">
        <v>1185</v>
      </c>
      <c r="D4551" s="1">
        <v>31638</v>
      </c>
      <c r="E4551" t="s">
        <v>92</v>
      </c>
      <c r="F4551">
        <v>97</v>
      </c>
      <c r="G4551" t="s">
        <v>93</v>
      </c>
      <c r="H4551">
        <v>-138.04</v>
      </c>
      <c r="I4551">
        <v>97</v>
      </c>
      <c r="J4551">
        <v>-29.32</v>
      </c>
      <c r="K4551">
        <v>99</v>
      </c>
      <c r="L4551">
        <v>-102.16</v>
      </c>
      <c r="M4551">
        <v>95</v>
      </c>
      <c r="N4551">
        <v>-2.5099999999999998</v>
      </c>
      <c r="O4551">
        <v>97</v>
      </c>
      <c r="P4551">
        <v>-3.91</v>
      </c>
      <c r="Q4551">
        <v>98</v>
      </c>
      <c r="R4551">
        <v>-7.18</v>
      </c>
      <c r="S4551">
        <v>94</v>
      </c>
      <c r="T4551">
        <v>10.94</v>
      </c>
      <c r="U4551">
        <v>97</v>
      </c>
      <c r="V4551">
        <v>-3.9</v>
      </c>
      <c r="W4551">
        <v>90</v>
      </c>
      <c r="X4551" t="s">
        <v>131</v>
      </c>
      <c r="Y4551" t="s">
        <v>95</v>
      </c>
      <c r="Z4551" t="s">
        <v>96</v>
      </c>
      <c r="AA4551" t="s">
        <v>154</v>
      </c>
      <c r="AB4551" t="s">
        <v>6900</v>
      </c>
      <c r="AC4551">
        <v>567</v>
      </c>
      <c r="AD4551">
        <v>329</v>
      </c>
      <c r="AE4551">
        <v>99</v>
      </c>
      <c r="AF4551">
        <v>-27.01</v>
      </c>
      <c r="AG4551">
        <v>5.09</v>
      </c>
      <c r="AH4551">
        <v>-7.2</v>
      </c>
      <c r="AI4551">
        <v>0.11</v>
      </c>
      <c r="AJ4551">
        <v>-0.11</v>
      </c>
      <c r="AK4551">
        <v>95</v>
      </c>
      <c r="AL4551">
        <v>697</v>
      </c>
      <c r="AM4551">
        <v>343</v>
      </c>
      <c r="AN4551">
        <v>6.12</v>
      </c>
      <c r="AO4551">
        <v>-2.02</v>
      </c>
      <c r="AP4551">
        <v>30</v>
      </c>
      <c r="AQ4551">
        <v>0</v>
      </c>
      <c r="AR4551">
        <v>8.85</v>
      </c>
      <c r="AS4551">
        <v>93</v>
      </c>
      <c r="AT4551">
        <v>4.1500000000000004</v>
      </c>
      <c r="AU4551">
        <v>99</v>
      </c>
      <c r="AV4551">
        <v>-0.94</v>
      </c>
      <c r="AW4551">
        <v>97</v>
      </c>
      <c r="AX4551">
        <v>-0.04</v>
      </c>
      <c r="AY4551">
        <v>98</v>
      </c>
      <c r="AZ4551">
        <v>5.61</v>
      </c>
      <c r="BA4551">
        <v>91</v>
      </c>
      <c r="BB4551">
        <v>4.5199999999999996</v>
      </c>
      <c r="BC4551">
        <v>95</v>
      </c>
      <c r="BD4551">
        <v>0.03</v>
      </c>
      <c r="BE4551">
        <v>0.05</v>
      </c>
      <c r="BF4551">
        <v>0.02</v>
      </c>
      <c r="BG4551">
        <v>99</v>
      </c>
      <c r="BH4551">
        <v>0.06</v>
      </c>
      <c r="BI4551">
        <v>19.53</v>
      </c>
      <c r="BJ4551">
        <v>330</v>
      </c>
      <c r="BK4551">
        <v>180</v>
      </c>
      <c r="BL4551">
        <v>0.77</v>
      </c>
      <c r="BM4551">
        <v>-1.19</v>
      </c>
      <c r="BN4551">
        <v>-0.38</v>
      </c>
      <c r="BO4551">
        <v>0.6</v>
      </c>
      <c r="BP4551">
        <v>2.41</v>
      </c>
      <c r="BQ4551">
        <v>0.81</v>
      </c>
      <c r="BR4551">
        <v>-1.68</v>
      </c>
      <c r="BS4551">
        <v>3.41</v>
      </c>
      <c r="BT4551">
        <v>2.2599999999999998</v>
      </c>
      <c r="BU4551">
        <v>-0.82</v>
      </c>
      <c r="BV4551">
        <v>0.28000000000000003</v>
      </c>
      <c r="BW4551">
        <v>0.43</v>
      </c>
      <c r="BX4551">
        <v>-7.0000000000000007E-2</v>
      </c>
      <c r="BY4551">
        <v>0.37</v>
      </c>
      <c r="BZ4551">
        <v>-0.81</v>
      </c>
      <c r="CA4551">
        <v>1.26</v>
      </c>
      <c r="CB4551">
        <v>0.27</v>
      </c>
      <c r="CC4551">
        <v>2.69</v>
      </c>
      <c r="CD4551">
        <v>-0.21</v>
      </c>
      <c r="CE4551">
        <v>0.76</v>
      </c>
      <c r="CF4551">
        <v>1.07</v>
      </c>
      <c r="CG4551">
        <v>0</v>
      </c>
      <c r="CH4551">
        <v>0.35</v>
      </c>
      <c r="CI4551">
        <v>0</v>
      </c>
      <c r="CJ4551">
        <v>-3.1</v>
      </c>
      <c r="CK4551">
        <v>98</v>
      </c>
      <c r="CL4551">
        <v>-0.61</v>
      </c>
      <c r="CM4551">
        <v>98</v>
      </c>
      <c r="CN4551">
        <v>-0.61</v>
      </c>
      <c r="CO4551">
        <v>97</v>
      </c>
      <c r="CP4551">
        <v>-3.2</v>
      </c>
      <c r="CQ4551">
        <v>99</v>
      </c>
      <c r="CR4551">
        <v>0</v>
      </c>
      <c r="CS4551">
        <v>0</v>
      </c>
      <c r="CT4551">
        <v>-1</v>
      </c>
      <c r="CU4551">
        <v>97</v>
      </c>
      <c r="CV4551">
        <v>0.01</v>
      </c>
      <c r="CW4551">
        <v>46</v>
      </c>
      <c r="CX4551" t="s">
        <v>626</v>
      </c>
    </row>
    <row r="4552" spans="1:102" x14ac:dyDescent="0.3">
      <c r="A4552" t="str">
        <f>HYPERLINK("https://webapp.icbf.com/v2/app/bull-search/view/77855767","LKT")</f>
        <v>LKT</v>
      </c>
      <c r="B4552" t="s">
        <v>12393</v>
      </c>
      <c r="C4552" t="s">
        <v>12394</v>
      </c>
      <c r="D4552" s="1">
        <v>33892</v>
      </c>
      <c r="E4552" t="s">
        <v>92</v>
      </c>
      <c r="F4552">
        <v>100</v>
      </c>
      <c r="G4552" t="s">
        <v>93</v>
      </c>
      <c r="H4552">
        <v>-138.11000000000001</v>
      </c>
      <c r="I4552">
        <v>73</v>
      </c>
      <c r="J4552">
        <v>-24.4</v>
      </c>
      <c r="K4552">
        <v>91</v>
      </c>
      <c r="L4552">
        <v>-58.53</v>
      </c>
      <c r="M4552">
        <v>63</v>
      </c>
      <c r="N4552">
        <v>-54</v>
      </c>
      <c r="O4552">
        <v>57</v>
      </c>
      <c r="P4552">
        <v>-10.86</v>
      </c>
      <c r="Q4552">
        <v>76</v>
      </c>
      <c r="R4552">
        <v>-11.87</v>
      </c>
      <c r="S4552">
        <v>67</v>
      </c>
      <c r="T4552">
        <v>22.71</v>
      </c>
      <c r="U4552">
        <v>76</v>
      </c>
      <c r="V4552">
        <v>-1.1599999999999999</v>
      </c>
      <c r="W4552">
        <v>36</v>
      </c>
      <c r="X4552" t="s">
        <v>94</v>
      </c>
      <c r="Y4552" t="s">
        <v>95</v>
      </c>
      <c r="Z4552" t="s">
        <v>96</v>
      </c>
      <c r="AA4552" t="s">
        <v>161</v>
      </c>
      <c r="AB4552" t="s">
        <v>12395</v>
      </c>
      <c r="AC4552">
        <v>56</v>
      </c>
      <c r="AD4552">
        <v>47</v>
      </c>
      <c r="AE4552">
        <v>91</v>
      </c>
      <c r="AF4552">
        <v>261.35000000000002</v>
      </c>
      <c r="AG4552">
        <v>-7.49</v>
      </c>
      <c r="AH4552">
        <v>2.5</v>
      </c>
      <c r="AI4552">
        <v>-0.28000000000000003</v>
      </c>
      <c r="AJ4552">
        <v>-0.1</v>
      </c>
      <c r="AK4552">
        <v>63</v>
      </c>
      <c r="AL4552">
        <v>79</v>
      </c>
      <c r="AM4552">
        <v>66</v>
      </c>
      <c r="AN4552">
        <v>3.01</v>
      </c>
      <c r="AO4552">
        <v>-1.66</v>
      </c>
      <c r="AP4552">
        <v>5</v>
      </c>
      <c r="AQ4552">
        <v>0</v>
      </c>
      <c r="AR4552">
        <v>12.21</v>
      </c>
      <c r="AS4552">
        <v>33</v>
      </c>
      <c r="AT4552">
        <v>5.67</v>
      </c>
      <c r="AU4552">
        <v>51</v>
      </c>
      <c r="AV4552">
        <v>0.28999999999999998</v>
      </c>
      <c r="AW4552">
        <v>66</v>
      </c>
      <c r="AX4552">
        <v>-0.14000000000000001</v>
      </c>
      <c r="AY4552">
        <v>66</v>
      </c>
      <c r="AZ4552">
        <v>7.54</v>
      </c>
      <c r="BA4552">
        <v>34</v>
      </c>
      <c r="BB4552">
        <v>6.08</v>
      </c>
      <c r="BC4552">
        <v>49</v>
      </c>
      <c r="BD4552">
        <v>0.03</v>
      </c>
      <c r="BE4552">
        <v>7.0000000000000007E-2</v>
      </c>
      <c r="BF4552">
        <v>0.09</v>
      </c>
      <c r="BG4552">
        <v>84</v>
      </c>
      <c r="BH4552">
        <v>-0.11</v>
      </c>
      <c r="BI4552">
        <v>-8.9700000000000006</v>
      </c>
      <c r="BJ4552">
        <v>15</v>
      </c>
      <c r="BK4552">
        <v>15</v>
      </c>
      <c r="BL4552">
        <v>0.05</v>
      </c>
      <c r="BM4552">
        <v>-0.23</v>
      </c>
      <c r="BN4552">
        <v>-0.34</v>
      </c>
      <c r="BO4552">
        <v>-0.11</v>
      </c>
      <c r="BP4552">
        <v>-0.77</v>
      </c>
      <c r="BQ4552">
        <v>-0.2</v>
      </c>
      <c r="BR4552">
        <v>-1.64</v>
      </c>
      <c r="BS4552">
        <v>0.72</v>
      </c>
      <c r="BT4552">
        <v>1.72</v>
      </c>
      <c r="BU4552">
        <v>-0.92</v>
      </c>
      <c r="BV4552">
        <v>0.2</v>
      </c>
      <c r="BW4552">
        <v>0.49</v>
      </c>
      <c r="BX4552">
        <v>0.71</v>
      </c>
      <c r="BY4552">
        <v>-0.64</v>
      </c>
      <c r="BZ4552">
        <v>0.69</v>
      </c>
      <c r="CA4552">
        <v>-0.05</v>
      </c>
      <c r="CB4552">
        <v>-0.3</v>
      </c>
      <c r="CC4552">
        <v>0.99</v>
      </c>
      <c r="CD4552">
        <v>-0.02</v>
      </c>
      <c r="CE4552">
        <v>0.13</v>
      </c>
      <c r="CF4552">
        <v>-0.23</v>
      </c>
      <c r="CG4552">
        <v>0</v>
      </c>
      <c r="CH4552">
        <v>-0.25</v>
      </c>
      <c r="CI4552">
        <v>0</v>
      </c>
      <c r="CJ4552">
        <v>-3.5</v>
      </c>
      <c r="CK4552">
        <v>78</v>
      </c>
      <c r="CL4552">
        <v>-0.56999999999999995</v>
      </c>
      <c r="CM4552">
        <v>74</v>
      </c>
      <c r="CN4552">
        <v>-0.09</v>
      </c>
      <c r="CO4552">
        <v>71</v>
      </c>
      <c r="CP4552">
        <v>-8</v>
      </c>
      <c r="CQ4552">
        <v>81</v>
      </c>
      <c r="CR4552">
        <v>0</v>
      </c>
      <c r="CS4552">
        <v>0</v>
      </c>
      <c r="CT4552">
        <v>-16.899999999999999</v>
      </c>
      <c r="CU4552">
        <v>76</v>
      </c>
      <c r="CV4552">
        <v>0.16</v>
      </c>
      <c r="CW4552">
        <v>21</v>
      </c>
      <c r="CX4552" t="s">
        <v>154</v>
      </c>
    </row>
    <row r="4553" spans="1:102" x14ac:dyDescent="0.3">
      <c r="A4553" t="str">
        <f>HYPERLINK("https://webapp.icbf.com/v2/app/bull-search/view/77859745","BKQ")</f>
        <v>BKQ</v>
      </c>
      <c r="B4553" t="s">
        <v>14449</v>
      </c>
      <c r="C4553" t="s">
        <v>14450</v>
      </c>
      <c r="D4553" s="1">
        <v>33250</v>
      </c>
      <c r="E4553" t="s">
        <v>92</v>
      </c>
      <c r="F4553">
        <v>100</v>
      </c>
      <c r="G4553" t="s">
        <v>109</v>
      </c>
      <c r="H4553">
        <v>-138.13</v>
      </c>
      <c r="I4553">
        <v>78</v>
      </c>
      <c r="J4553">
        <v>-20.46</v>
      </c>
      <c r="K4553">
        <v>90</v>
      </c>
      <c r="L4553">
        <v>-92.95</v>
      </c>
      <c r="M4553">
        <v>84</v>
      </c>
      <c r="N4553">
        <v>-19.91</v>
      </c>
      <c r="O4553">
        <v>57</v>
      </c>
      <c r="P4553">
        <v>1.19</v>
      </c>
      <c r="Q4553">
        <v>68</v>
      </c>
      <c r="R4553">
        <v>-13.24</v>
      </c>
      <c r="S4553">
        <v>68</v>
      </c>
      <c r="T4553">
        <v>7.61</v>
      </c>
      <c r="U4553">
        <v>69</v>
      </c>
      <c r="V4553">
        <v>-0.37</v>
      </c>
      <c r="W4553">
        <v>38</v>
      </c>
      <c r="X4553" t="s">
        <v>110</v>
      </c>
      <c r="Y4553" t="s">
        <v>95</v>
      </c>
      <c r="Z4553" t="s">
        <v>96</v>
      </c>
      <c r="AA4553" t="s">
        <v>99</v>
      </c>
      <c r="AB4553" t="s">
        <v>14451</v>
      </c>
      <c r="AC4553">
        <v>31</v>
      </c>
      <c r="AD4553">
        <v>23</v>
      </c>
      <c r="AE4553">
        <v>90</v>
      </c>
      <c r="AF4553">
        <v>6.29</v>
      </c>
      <c r="AG4553">
        <v>0.53</v>
      </c>
      <c r="AH4553">
        <v>-3.57</v>
      </c>
      <c r="AI4553">
        <v>0</v>
      </c>
      <c r="AJ4553">
        <v>-0.06</v>
      </c>
      <c r="AK4553">
        <v>84</v>
      </c>
      <c r="AL4553">
        <v>33</v>
      </c>
      <c r="AM4553">
        <v>19</v>
      </c>
      <c r="AN4553">
        <v>5.28</v>
      </c>
      <c r="AO4553">
        <v>-2.13</v>
      </c>
      <c r="AP4553">
        <v>3</v>
      </c>
      <c r="AQ4553">
        <v>0</v>
      </c>
      <c r="AR4553">
        <v>10.59</v>
      </c>
      <c r="AS4553">
        <v>31</v>
      </c>
      <c r="AT4553">
        <v>4.91</v>
      </c>
      <c r="AU4553">
        <v>79</v>
      </c>
      <c r="AV4553">
        <v>-1.33</v>
      </c>
      <c r="AW4553">
        <v>57</v>
      </c>
      <c r="AX4553">
        <v>-0.26</v>
      </c>
      <c r="AY4553">
        <v>60</v>
      </c>
      <c r="AZ4553">
        <v>6.81</v>
      </c>
      <c r="BA4553">
        <v>31</v>
      </c>
      <c r="BB4553">
        <v>5.45</v>
      </c>
      <c r="BC4553">
        <v>38</v>
      </c>
      <c r="BD4553">
        <v>0.02</v>
      </c>
      <c r="BE4553">
        <v>0.09</v>
      </c>
      <c r="BF4553">
        <v>0.1</v>
      </c>
      <c r="BG4553">
        <v>89</v>
      </c>
      <c r="BH4553">
        <v>-0.02</v>
      </c>
      <c r="BI4553">
        <v>-1.1200000000000001</v>
      </c>
      <c r="BJ4553">
        <v>5</v>
      </c>
      <c r="BK4553">
        <v>4</v>
      </c>
      <c r="BL4553">
        <v>0.75</v>
      </c>
      <c r="BM4553">
        <v>-0.27</v>
      </c>
      <c r="BN4553">
        <v>-0.53</v>
      </c>
      <c r="BO4553">
        <v>0.24</v>
      </c>
      <c r="BP4553">
        <v>0.31</v>
      </c>
      <c r="BQ4553">
        <v>0.04</v>
      </c>
      <c r="BR4553">
        <v>0.08</v>
      </c>
      <c r="BS4553">
        <v>1.66</v>
      </c>
      <c r="BT4553">
        <v>0.12</v>
      </c>
      <c r="BU4553">
        <v>0.47</v>
      </c>
      <c r="BV4553">
        <v>-0.28000000000000003</v>
      </c>
      <c r="BW4553">
        <v>0.22</v>
      </c>
      <c r="BX4553">
        <v>1.1399999999999999</v>
      </c>
      <c r="BY4553">
        <v>-0.36</v>
      </c>
      <c r="BZ4553">
        <v>-1.59</v>
      </c>
      <c r="CA4553">
        <v>0.87</v>
      </c>
      <c r="CB4553">
        <v>0.25</v>
      </c>
      <c r="CC4553">
        <v>1.56</v>
      </c>
      <c r="CD4553">
        <v>-0.36</v>
      </c>
      <c r="CE4553">
        <v>0.18</v>
      </c>
      <c r="CF4553">
        <v>-0.46</v>
      </c>
      <c r="CG4553">
        <v>0</v>
      </c>
      <c r="CH4553">
        <v>0.03</v>
      </c>
      <c r="CI4553">
        <v>0</v>
      </c>
      <c r="CJ4553">
        <v>2.1</v>
      </c>
      <c r="CK4553">
        <v>70</v>
      </c>
      <c r="CL4553">
        <v>-0.65</v>
      </c>
      <c r="CM4553">
        <v>67</v>
      </c>
      <c r="CN4553">
        <v>-0.41</v>
      </c>
      <c r="CO4553">
        <v>62</v>
      </c>
      <c r="CP4553">
        <v>1.3</v>
      </c>
      <c r="CQ4553">
        <v>73</v>
      </c>
      <c r="CR4553">
        <v>0</v>
      </c>
      <c r="CS4553">
        <v>0</v>
      </c>
      <c r="CT4553">
        <v>3.5</v>
      </c>
      <c r="CU4553">
        <v>69</v>
      </c>
      <c r="CV4553">
        <v>0.14000000000000001</v>
      </c>
      <c r="CW4553">
        <v>20</v>
      </c>
      <c r="CX4553" t="s">
        <v>166</v>
      </c>
    </row>
    <row r="4554" spans="1:102" x14ac:dyDescent="0.3">
      <c r="A4554" t="str">
        <f>HYPERLINK("https://webapp.icbf.com/v2/app/bull-search/view/77854480","RDT")</f>
        <v>RDT</v>
      </c>
      <c r="B4554" t="s">
        <v>7723</v>
      </c>
      <c r="C4554" t="s">
        <v>7724</v>
      </c>
      <c r="D4554" s="1">
        <v>35356</v>
      </c>
      <c r="E4554" t="s">
        <v>92</v>
      </c>
      <c r="F4554">
        <v>91</v>
      </c>
      <c r="G4554" t="s">
        <v>93</v>
      </c>
      <c r="H4554">
        <v>-138.13999999999999</v>
      </c>
      <c r="I4554">
        <v>80</v>
      </c>
      <c r="J4554">
        <v>2.66</v>
      </c>
      <c r="K4554">
        <v>94</v>
      </c>
      <c r="L4554">
        <v>-145.15</v>
      </c>
      <c r="M4554">
        <v>75</v>
      </c>
      <c r="N4554">
        <v>22.83</v>
      </c>
      <c r="O4554">
        <v>69</v>
      </c>
      <c r="P4554">
        <v>-2.96</v>
      </c>
      <c r="Q4554">
        <v>77</v>
      </c>
      <c r="R4554">
        <v>-17.399999999999999</v>
      </c>
      <c r="S4554">
        <v>76</v>
      </c>
      <c r="T4554">
        <v>3.39</v>
      </c>
      <c r="U4554">
        <v>66</v>
      </c>
      <c r="V4554">
        <v>-1.51</v>
      </c>
      <c r="W4554">
        <v>65</v>
      </c>
      <c r="X4554" t="s">
        <v>94</v>
      </c>
      <c r="Y4554" t="s">
        <v>95</v>
      </c>
      <c r="Z4554" t="s">
        <v>96</v>
      </c>
      <c r="AA4554" t="s">
        <v>753</v>
      </c>
      <c r="AB4554" t="s">
        <v>3254</v>
      </c>
      <c r="AC4554">
        <v>38</v>
      </c>
      <c r="AD4554">
        <v>35</v>
      </c>
      <c r="AE4554">
        <v>94</v>
      </c>
      <c r="AF4554">
        <v>225.39</v>
      </c>
      <c r="AG4554">
        <v>3.03</v>
      </c>
      <c r="AH4554">
        <v>2.83</v>
      </c>
      <c r="AI4554">
        <v>-0.1</v>
      </c>
      <c r="AJ4554">
        <v>-0.08</v>
      </c>
      <c r="AK4554">
        <v>75</v>
      </c>
      <c r="AL4554">
        <v>33</v>
      </c>
      <c r="AM4554">
        <v>31</v>
      </c>
      <c r="AN4554">
        <v>7.57</v>
      </c>
      <c r="AO4554">
        <v>-4.01</v>
      </c>
      <c r="AP4554">
        <v>13</v>
      </c>
      <c r="AQ4554">
        <v>0</v>
      </c>
      <c r="AR4554">
        <v>5.5</v>
      </c>
      <c r="AS4554">
        <v>61</v>
      </c>
      <c r="AT4554">
        <v>2.11</v>
      </c>
      <c r="AU4554">
        <v>72</v>
      </c>
      <c r="AV4554">
        <v>-1.74</v>
      </c>
      <c r="AW4554">
        <v>74</v>
      </c>
      <c r="AX4554">
        <v>-0.84</v>
      </c>
      <c r="AY4554">
        <v>67</v>
      </c>
      <c r="AZ4554">
        <v>6.94</v>
      </c>
      <c r="BA4554">
        <v>53</v>
      </c>
      <c r="BB4554">
        <v>5.95</v>
      </c>
      <c r="BC4554">
        <v>57</v>
      </c>
      <c r="BD4554">
        <v>0.09</v>
      </c>
      <c r="BE4554">
        <v>0.1</v>
      </c>
      <c r="BF4554">
        <v>0.06</v>
      </c>
      <c r="BG4554">
        <v>85</v>
      </c>
      <c r="BH4554">
        <v>-0.01</v>
      </c>
      <c r="BI4554">
        <v>3.7</v>
      </c>
      <c r="BJ4554">
        <v>1</v>
      </c>
      <c r="BK4554">
        <v>1</v>
      </c>
      <c r="BL4554">
        <v>-0.08</v>
      </c>
      <c r="BM4554">
        <v>-0.61</v>
      </c>
      <c r="BN4554">
        <v>-7.0000000000000007E-2</v>
      </c>
      <c r="BO4554">
        <v>0.14000000000000001</v>
      </c>
      <c r="BP4554">
        <v>1.72</v>
      </c>
      <c r="BQ4554">
        <v>-1.32</v>
      </c>
      <c r="BR4554">
        <v>1.1100000000000001</v>
      </c>
      <c r="BS4554">
        <v>-1.79</v>
      </c>
      <c r="BT4554">
        <v>-2.09</v>
      </c>
      <c r="BU4554">
        <v>-0.88</v>
      </c>
      <c r="BV4554">
        <v>-0.61</v>
      </c>
      <c r="BW4554">
        <v>0.14000000000000001</v>
      </c>
      <c r="BX4554">
        <v>-0.69</v>
      </c>
      <c r="BY4554">
        <v>0.28000000000000003</v>
      </c>
      <c r="BZ4554">
        <v>1.63</v>
      </c>
      <c r="CA4554">
        <v>-0.97</v>
      </c>
      <c r="CB4554">
        <v>-0.6</v>
      </c>
      <c r="CC4554">
        <v>-1.52</v>
      </c>
      <c r="CD4554">
        <v>-0.51</v>
      </c>
      <c r="CE4554">
        <v>0.14000000000000001</v>
      </c>
      <c r="CF4554">
        <v>0.54</v>
      </c>
      <c r="CG4554">
        <v>0</v>
      </c>
      <c r="CH4554">
        <v>0.43</v>
      </c>
      <c r="CI4554">
        <v>0</v>
      </c>
      <c r="CJ4554">
        <v>1.5</v>
      </c>
      <c r="CK4554">
        <v>78</v>
      </c>
      <c r="CL4554">
        <v>-0.62</v>
      </c>
      <c r="CM4554">
        <v>75</v>
      </c>
      <c r="CN4554">
        <v>-0.15</v>
      </c>
      <c r="CO4554">
        <v>72</v>
      </c>
      <c r="CP4554">
        <v>-2.6</v>
      </c>
      <c r="CQ4554">
        <v>79</v>
      </c>
      <c r="CR4554">
        <v>0</v>
      </c>
      <c r="CS4554">
        <v>0</v>
      </c>
      <c r="CT4554">
        <v>9.1999999999999993</v>
      </c>
      <c r="CU4554">
        <v>66</v>
      </c>
      <c r="CV4554">
        <v>0.11</v>
      </c>
      <c r="CW4554">
        <v>41</v>
      </c>
      <c r="CX4554" t="s">
        <v>717</v>
      </c>
    </row>
    <row r="4555" spans="1:102" x14ac:dyDescent="0.3">
      <c r="A4555" t="str">
        <f>HYPERLINK("https://webapp.icbf.com/v2/app/bull-search/view/77857693","ERL")</f>
        <v>ERL</v>
      </c>
      <c r="B4555" t="s">
        <v>10648</v>
      </c>
      <c r="C4555" t="s">
        <v>10649</v>
      </c>
      <c r="D4555" s="1">
        <v>33355</v>
      </c>
      <c r="E4555" t="s">
        <v>92</v>
      </c>
      <c r="F4555">
        <v>100</v>
      </c>
      <c r="G4555" t="s">
        <v>109</v>
      </c>
      <c r="H4555">
        <v>-138.22999999999999</v>
      </c>
      <c r="I4555">
        <v>71</v>
      </c>
      <c r="J4555">
        <v>-19.52</v>
      </c>
      <c r="K4555">
        <v>81</v>
      </c>
      <c r="L4555">
        <v>-99.23</v>
      </c>
      <c r="M4555">
        <v>79</v>
      </c>
      <c r="N4555">
        <v>-15.36</v>
      </c>
      <c r="O4555">
        <v>57</v>
      </c>
      <c r="P4555">
        <v>-2.77</v>
      </c>
      <c r="Q4555">
        <v>57</v>
      </c>
      <c r="R4555">
        <v>-11.05</v>
      </c>
      <c r="S4555">
        <v>63</v>
      </c>
      <c r="T4555">
        <v>10.94</v>
      </c>
      <c r="U4555">
        <v>49</v>
      </c>
      <c r="V4555">
        <v>-1.24</v>
      </c>
      <c r="W4555">
        <v>28</v>
      </c>
      <c r="X4555" t="s">
        <v>94</v>
      </c>
      <c r="Y4555" t="s">
        <v>95</v>
      </c>
      <c r="Z4555" t="s">
        <v>96</v>
      </c>
      <c r="AA4555" t="s">
        <v>161</v>
      </c>
      <c r="AB4555" t="s">
        <v>10650</v>
      </c>
      <c r="AC4555">
        <v>0</v>
      </c>
      <c r="AD4555">
        <v>0</v>
      </c>
      <c r="AE4555">
        <v>81</v>
      </c>
      <c r="AF4555">
        <v>338.87</v>
      </c>
      <c r="AG4555">
        <v>-7.33</v>
      </c>
      <c r="AH4555">
        <v>4.46</v>
      </c>
      <c r="AI4555">
        <v>-0.32</v>
      </c>
      <c r="AJ4555">
        <v>-0.11</v>
      </c>
      <c r="AK4555">
        <v>79</v>
      </c>
      <c r="AL4555">
        <v>0</v>
      </c>
      <c r="AM4555">
        <v>0</v>
      </c>
      <c r="AN4555">
        <v>4.88</v>
      </c>
      <c r="AO4555">
        <v>-3.04</v>
      </c>
      <c r="AP4555">
        <v>7</v>
      </c>
      <c r="AQ4555">
        <v>2</v>
      </c>
      <c r="AR4555">
        <v>9.34</v>
      </c>
      <c r="AS4555">
        <v>33</v>
      </c>
      <c r="AT4555">
        <v>4.22</v>
      </c>
      <c r="AU4555">
        <v>95</v>
      </c>
      <c r="AV4555">
        <v>0.17</v>
      </c>
      <c r="AW4555">
        <v>52</v>
      </c>
      <c r="AX4555">
        <v>-7.0000000000000007E-2</v>
      </c>
      <c r="AY4555">
        <v>45</v>
      </c>
      <c r="AZ4555">
        <v>6.42</v>
      </c>
      <c r="BA4555">
        <v>31</v>
      </c>
      <c r="BB4555">
        <v>4.66</v>
      </c>
      <c r="BC4555">
        <v>32</v>
      </c>
      <c r="BD4555">
        <v>0.03</v>
      </c>
      <c r="BE4555">
        <v>0.06</v>
      </c>
      <c r="BF4555">
        <v>0.09</v>
      </c>
      <c r="BG4555">
        <v>85</v>
      </c>
      <c r="BH4555">
        <v>0.03</v>
      </c>
      <c r="BI4555">
        <v>7.46</v>
      </c>
      <c r="BJ4555">
        <v>2</v>
      </c>
      <c r="BK4555">
        <v>1</v>
      </c>
      <c r="BL4555">
        <v>-0.57999999999999996</v>
      </c>
      <c r="BM4555">
        <v>-1.39</v>
      </c>
      <c r="BN4555">
        <v>-0.39</v>
      </c>
      <c r="BO4555">
        <v>0.73</v>
      </c>
      <c r="BP4555">
        <v>1.07</v>
      </c>
      <c r="BQ4555">
        <v>-0.77</v>
      </c>
      <c r="BR4555">
        <v>-0.02</v>
      </c>
      <c r="BS4555">
        <v>-0.88</v>
      </c>
      <c r="BT4555">
        <v>0.31</v>
      </c>
      <c r="BU4555">
        <v>-1.48</v>
      </c>
      <c r="BV4555">
        <v>0.2</v>
      </c>
      <c r="BW4555">
        <v>0.56999999999999995</v>
      </c>
      <c r="BX4555">
        <v>-1.82</v>
      </c>
      <c r="BY4555">
        <v>0.43</v>
      </c>
      <c r="BZ4555">
        <v>-0.89</v>
      </c>
      <c r="CA4555">
        <v>-0.86</v>
      </c>
      <c r="CB4555">
        <v>-0.82</v>
      </c>
      <c r="CC4555">
        <v>-0.44</v>
      </c>
      <c r="CD4555">
        <v>-0.8</v>
      </c>
      <c r="CE4555">
        <v>-0.06</v>
      </c>
      <c r="CF4555">
        <v>-0.26</v>
      </c>
      <c r="CG4555">
        <v>0</v>
      </c>
      <c r="CH4555">
        <v>-0.7</v>
      </c>
      <c r="CI4555">
        <v>0</v>
      </c>
      <c r="CJ4555">
        <v>-1.7</v>
      </c>
      <c r="CK4555">
        <v>59</v>
      </c>
      <c r="CL4555">
        <v>-0.56000000000000005</v>
      </c>
      <c r="CM4555">
        <v>55</v>
      </c>
      <c r="CN4555">
        <v>-0.48</v>
      </c>
      <c r="CO4555">
        <v>50</v>
      </c>
      <c r="CP4555">
        <v>-1.8</v>
      </c>
      <c r="CQ4555">
        <v>58</v>
      </c>
      <c r="CR4555">
        <v>0</v>
      </c>
      <c r="CS4555">
        <v>0</v>
      </c>
      <c r="CT4555">
        <v>-1</v>
      </c>
      <c r="CU4555">
        <v>49</v>
      </c>
      <c r="CV4555">
        <v>0.14000000000000001</v>
      </c>
      <c r="CW4555">
        <v>16</v>
      </c>
      <c r="CX4555" t="s">
        <v>825</v>
      </c>
    </row>
    <row r="4556" spans="1:102" x14ac:dyDescent="0.3">
      <c r="A4556" t="str">
        <f>HYPERLINK("https://webapp.icbf.com/v2/app/bull-search/view/77854678","PBC")</f>
        <v>PBC</v>
      </c>
      <c r="B4556" t="s">
        <v>14740</v>
      </c>
      <c r="C4556" t="s">
        <v>14741</v>
      </c>
      <c r="D4556" s="1">
        <v>32750</v>
      </c>
      <c r="E4556" t="s">
        <v>92</v>
      </c>
      <c r="F4556">
        <v>100</v>
      </c>
      <c r="G4556" t="s">
        <v>93</v>
      </c>
      <c r="H4556">
        <v>-138.35</v>
      </c>
      <c r="I4556">
        <v>86</v>
      </c>
      <c r="J4556">
        <v>-9.16</v>
      </c>
      <c r="K4556">
        <v>95</v>
      </c>
      <c r="L4556">
        <v>-136.05000000000001</v>
      </c>
      <c r="M4556">
        <v>89</v>
      </c>
      <c r="N4556">
        <v>10.46</v>
      </c>
      <c r="O4556">
        <v>73</v>
      </c>
      <c r="P4556">
        <v>3.39</v>
      </c>
      <c r="Q4556">
        <v>78</v>
      </c>
      <c r="R4556">
        <v>-8.6999999999999993</v>
      </c>
      <c r="S4556">
        <v>78</v>
      </c>
      <c r="T4556">
        <v>7.46</v>
      </c>
      <c r="U4556">
        <v>78</v>
      </c>
      <c r="V4556">
        <v>-5.75</v>
      </c>
      <c r="W4556">
        <v>59</v>
      </c>
      <c r="X4556" t="s">
        <v>558</v>
      </c>
      <c r="Y4556" t="s">
        <v>95</v>
      </c>
      <c r="Z4556" t="s">
        <v>96</v>
      </c>
      <c r="AA4556" t="s">
        <v>267</v>
      </c>
      <c r="AB4556" t="s">
        <v>14742</v>
      </c>
      <c r="AC4556">
        <v>82</v>
      </c>
      <c r="AD4556">
        <v>52</v>
      </c>
      <c r="AE4556">
        <v>95</v>
      </c>
      <c r="AF4556">
        <v>328.3</v>
      </c>
      <c r="AG4556">
        <v>5.62</v>
      </c>
      <c r="AH4556">
        <v>1.48</v>
      </c>
      <c r="AI4556">
        <v>-0.12</v>
      </c>
      <c r="AJ4556">
        <v>-0.16</v>
      </c>
      <c r="AK4556">
        <v>89</v>
      </c>
      <c r="AL4556">
        <v>92</v>
      </c>
      <c r="AM4556">
        <v>44</v>
      </c>
      <c r="AN4556">
        <v>7.43</v>
      </c>
      <c r="AO4556">
        <v>-3.42</v>
      </c>
      <c r="AP4556">
        <v>0</v>
      </c>
      <c r="AQ4556">
        <v>1</v>
      </c>
      <c r="AR4556">
        <v>7.84</v>
      </c>
      <c r="AS4556">
        <v>54</v>
      </c>
      <c r="AT4556">
        <v>3.31</v>
      </c>
      <c r="AU4556">
        <v>87</v>
      </c>
      <c r="AV4556">
        <v>-1.66</v>
      </c>
      <c r="AW4556">
        <v>73</v>
      </c>
      <c r="AX4556">
        <v>0</v>
      </c>
      <c r="AY4556">
        <v>75</v>
      </c>
      <c r="AZ4556">
        <v>8.09</v>
      </c>
      <c r="BA4556">
        <v>52</v>
      </c>
      <c r="BB4556">
        <v>4.59</v>
      </c>
      <c r="BC4556">
        <v>61</v>
      </c>
      <c r="BD4556">
        <v>0.09</v>
      </c>
      <c r="BE4556">
        <v>0.1</v>
      </c>
      <c r="BF4556">
        <v>-0.14000000000000001</v>
      </c>
      <c r="BG4556">
        <v>93</v>
      </c>
      <c r="BH4556">
        <v>-0.1</v>
      </c>
      <c r="BI4556">
        <v>6.97</v>
      </c>
      <c r="BJ4556">
        <v>9</v>
      </c>
      <c r="BK4556">
        <v>7</v>
      </c>
      <c r="BL4556">
        <v>0.57999999999999996</v>
      </c>
      <c r="BM4556">
        <v>-0.11</v>
      </c>
      <c r="BN4556">
        <v>0.65</v>
      </c>
      <c r="BO4556">
        <v>0.55000000000000004</v>
      </c>
      <c r="BP4556">
        <v>-1.55</v>
      </c>
      <c r="BQ4556">
        <v>-1.01</v>
      </c>
      <c r="BR4556">
        <v>-0.02</v>
      </c>
      <c r="BS4556">
        <v>-0.15</v>
      </c>
      <c r="BT4556">
        <v>1.48</v>
      </c>
      <c r="BU4556">
        <v>-0.39</v>
      </c>
      <c r="BV4556">
        <v>-0.66</v>
      </c>
      <c r="BW4556">
        <v>-0.02</v>
      </c>
      <c r="BX4556">
        <v>-0.04</v>
      </c>
      <c r="BY4556">
        <v>-0.42</v>
      </c>
      <c r="BZ4556">
        <v>-1.1599999999999999</v>
      </c>
      <c r="CA4556">
        <v>-0.27</v>
      </c>
      <c r="CB4556">
        <v>-0.5</v>
      </c>
      <c r="CC4556">
        <v>0</v>
      </c>
      <c r="CD4556">
        <v>-0.37</v>
      </c>
      <c r="CE4556">
        <v>1.89</v>
      </c>
      <c r="CF4556">
        <v>1.17</v>
      </c>
      <c r="CG4556">
        <v>0</v>
      </c>
      <c r="CH4556">
        <v>-0.66</v>
      </c>
      <c r="CI4556">
        <v>0</v>
      </c>
      <c r="CJ4556">
        <v>3.8</v>
      </c>
      <c r="CK4556">
        <v>79</v>
      </c>
      <c r="CL4556">
        <v>-0.62</v>
      </c>
      <c r="CM4556">
        <v>76</v>
      </c>
      <c r="CN4556">
        <v>-0.43</v>
      </c>
      <c r="CO4556">
        <v>73</v>
      </c>
      <c r="CP4556">
        <v>-3.3</v>
      </c>
      <c r="CQ4556">
        <v>86</v>
      </c>
      <c r="CR4556">
        <v>0</v>
      </c>
      <c r="CS4556">
        <v>0</v>
      </c>
      <c r="CT4556">
        <v>3.7</v>
      </c>
      <c r="CU4556">
        <v>78</v>
      </c>
      <c r="CV4556">
        <v>0.18</v>
      </c>
      <c r="CW4556">
        <v>41</v>
      </c>
      <c r="CX4556" t="s">
        <v>120</v>
      </c>
    </row>
    <row r="4557" spans="1:102" x14ac:dyDescent="0.3">
      <c r="A4557" t="str">
        <f>HYPERLINK("https://webapp.icbf.com/v2/app/bull-search/view/77858905","CID")</f>
        <v>CID</v>
      </c>
      <c r="B4557" t="s">
        <v>11194</v>
      </c>
      <c r="C4557" t="s">
        <v>11195</v>
      </c>
      <c r="D4557" s="1">
        <v>35043</v>
      </c>
      <c r="E4557" t="s">
        <v>92</v>
      </c>
      <c r="F4557">
        <v>100</v>
      </c>
      <c r="G4557" t="s">
        <v>93</v>
      </c>
      <c r="H4557">
        <v>-138.4</v>
      </c>
      <c r="I4557">
        <v>74</v>
      </c>
      <c r="J4557">
        <v>-17.8</v>
      </c>
      <c r="K4557">
        <v>94</v>
      </c>
      <c r="L4557">
        <v>-115.38</v>
      </c>
      <c r="M4557">
        <v>62</v>
      </c>
      <c r="N4557">
        <v>11.42</v>
      </c>
      <c r="O4557">
        <v>61</v>
      </c>
      <c r="P4557">
        <v>-4.24</v>
      </c>
      <c r="Q4557">
        <v>77</v>
      </c>
      <c r="R4557">
        <v>-9.9499999999999993</v>
      </c>
      <c r="S4557">
        <v>67</v>
      </c>
      <c r="T4557">
        <v>5.83</v>
      </c>
      <c r="U4557">
        <v>76</v>
      </c>
      <c r="V4557">
        <v>-8.2799999999999994</v>
      </c>
      <c r="W4557">
        <v>38</v>
      </c>
      <c r="X4557" t="s">
        <v>94</v>
      </c>
      <c r="Y4557" t="s">
        <v>95</v>
      </c>
      <c r="Z4557" t="s">
        <v>96</v>
      </c>
      <c r="AA4557" t="s">
        <v>1106</v>
      </c>
      <c r="AB4557" t="s">
        <v>11196</v>
      </c>
      <c r="AC4557">
        <v>70</v>
      </c>
      <c r="AD4557">
        <v>60</v>
      </c>
      <c r="AE4557">
        <v>94</v>
      </c>
      <c r="AF4557">
        <v>302.11</v>
      </c>
      <c r="AG4557">
        <v>6.04</v>
      </c>
      <c r="AH4557">
        <v>-0.54</v>
      </c>
      <c r="AI4557">
        <v>-0.09</v>
      </c>
      <c r="AJ4557">
        <v>-0.17</v>
      </c>
      <c r="AK4557">
        <v>62</v>
      </c>
      <c r="AL4557">
        <v>71</v>
      </c>
      <c r="AM4557">
        <v>63</v>
      </c>
      <c r="AN4557">
        <v>6.43</v>
      </c>
      <c r="AO4557">
        <v>-2.77</v>
      </c>
      <c r="AP4557">
        <v>5</v>
      </c>
      <c r="AQ4557">
        <v>0</v>
      </c>
      <c r="AR4557">
        <v>7.6</v>
      </c>
      <c r="AS4557">
        <v>37</v>
      </c>
      <c r="AT4557">
        <v>3.35</v>
      </c>
      <c r="AU4557">
        <v>54</v>
      </c>
      <c r="AV4557">
        <v>-1.6</v>
      </c>
      <c r="AW4557">
        <v>73</v>
      </c>
      <c r="AX4557">
        <v>-0.77</v>
      </c>
      <c r="AY4557">
        <v>72</v>
      </c>
      <c r="AZ4557">
        <v>6.35</v>
      </c>
      <c r="BA4557">
        <v>37</v>
      </c>
      <c r="BB4557">
        <v>5.27</v>
      </c>
      <c r="BC4557">
        <v>52</v>
      </c>
      <c r="BD4557">
        <v>0.04</v>
      </c>
      <c r="BE4557">
        <v>0.08</v>
      </c>
      <c r="BF4557">
        <v>0.01</v>
      </c>
      <c r="BG4557">
        <v>82</v>
      </c>
      <c r="BH4557">
        <v>-0.18</v>
      </c>
      <c r="BI4557">
        <v>5.88</v>
      </c>
      <c r="BJ4557">
        <v>3</v>
      </c>
      <c r="BK4557">
        <v>3</v>
      </c>
      <c r="BL4557">
        <v>0.95</v>
      </c>
      <c r="BM4557">
        <v>-0.03</v>
      </c>
      <c r="BN4557">
        <v>0.71</v>
      </c>
      <c r="BO4557">
        <v>0.69</v>
      </c>
      <c r="BP4557">
        <v>-0.02</v>
      </c>
      <c r="BQ4557">
        <v>-0.4</v>
      </c>
      <c r="BR4557">
        <v>-1.98</v>
      </c>
      <c r="BS4557">
        <v>-0.1</v>
      </c>
      <c r="BT4557">
        <v>1.79</v>
      </c>
      <c r="BU4557">
        <v>-0.65</v>
      </c>
      <c r="BV4557">
        <v>0.13</v>
      </c>
      <c r="BW4557">
        <v>0.04</v>
      </c>
      <c r="BX4557">
        <v>-0.13</v>
      </c>
      <c r="BY4557">
        <v>-1.1399999999999999</v>
      </c>
      <c r="BZ4557">
        <v>0.59</v>
      </c>
      <c r="CA4557">
        <v>-0.04</v>
      </c>
      <c r="CB4557">
        <v>-0.46</v>
      </c>
      <c r="CC4557">
        <v>0.83</v>
      </c>
      <c r="CD4557">
        <v>0.17</v>
      </c>
      <c r="CE4557">
        <v>0.5</v>
      </c>
      <c r="CF4557">
        <v>0.94</v>
      </c>
      <c r="CG4557">
        <v>0</v>
      </c>
      <c r="CH4557">
        <v>-1.03</v>
      </c>
      <c r="CI4557">
        <v>0</v>
      </c>
      <c r="CJ4557">
        <v>2.5</v>
      </c>
      <c r="CK4557">
        <v>79</v>
      </c>
      <c r="CL4557">
        <v>-0.91</v>
      </c>
      <c r="CM4557">
        <v>75</v>
      </c>
      <c r="CN4557">
        <v>-0.17</v>
      </c>
      <c r="CO4557">
        <v>72</v>
      </c>
      <c r="CP4557">
        <v>-1.9</v>
      </c>
      <c r="CQ4557">
        <v>82</v>
      </c>
      <c r="CR4557">
        <v>0</v>
      </c>
      <c r="CS4557">
        <v>0</v>
      </c>
      <c r="CT4557">
        <v>5.9</v>
      </c>
      <c r="CU4557">
        <v>76</v>
      </c>
      <c r="CV4557">
        <v>0.38</v>
      </c>
      <c r="CW4557">
        <v>22</v>
      </c>
      <c r="CX4557" t="s">
        <v>154</v>
      </c>
    </row>
    <row r="4558" spans="1:102" x14ac:dyDescent="0.3">
      <c r="A4558" t="str">
        <f>HYPERLINK("https://webapp.icbf.com/v2/app/bull-search/view/77858479","DNL")</f>
        <v>DNL</v>
      </c>
      <c r="B4558" t="s">
        <v>3993</v>
      </c>
      <c r="C4558" t="s">
        <v>3994</v>
      </c>
      <c r="D4558" s="1">
        <v>33635</v>
      </c>
      <c r="E4558" t="s">
        <v>92</v>
      </c>
      <c r="F4558">
        <v>100</v>
      </c>
      <c r="G4558" t="s">
        <v>93</v>
      </c>
      <c r="H4558">
        <v>-138.6</v>
      </c>
      <c r="I4558">
        <v>84</v>
      </c>
      <c r="J4558">
        <v>-27.77</v>
      </c>
      <c r="K4558">
        <v>96</v>
      </c>
      <c r="L4558">
        <v>-84.4</v>
      </c>
      <c r="M4558">
        <v>82</v>
      </c>
      <c r="N4558">
        <v>-8.8000000000000007</v>
      </c>
      <c r="O4558">
        <v>69</v>
      </c>
      <c r="P4558">
        <v>-13.14</v>
      </c>
      <c r="Q4558">
        <v>80</v>
      </c>
      <c r="R4558">
        <v>-18.989999999999998</v>
      </c>
      <c r="S4558">
        <v>80</v>
      </c>
      <c r="T4558">
        <v>13.31</v>
      </c>
      <c r="U4558">
        <v>72</v>
      </c>
      <c r="V4558">
        <v>1.19</v>
      </c>
      <c r="W4558">
        <v>64</v>
      </c>
      <c r="X4558" t="s">
        <v>94</v>
      </c>
      <c r="Y4558" t="s">
        <v>95</v>
      </c>
      <c r="Z4558" t="s">
        <v>96</v>
      </c>
      <c r="AA4558" t="s">
        <v>118</v>
      </c>
      <c r="AB4558" t="s">
        <v>157</v>
      </c>
      <c r="AC4558">
        <v>84</v>
      </c>
      <c r="AD4558">
        <v>65</v>
      </c>
      <c r="AE4558">
        <v>96</v>
      </c>
      <c r="AF4558">
        <v>-211</v>
      </c>
      <c r="AG4558">
        <v>-0.09</v>
      </c>
      <c r="AH4558">
        <v>-7.92</v>
      </c>
      <c r="AI4558">
        <v>0.15</v>
      </c>
      <c r="AJ4558">
        <v>-0.01</v>
      </c>
      <c r="AK4558">
        <v>82</v>
      </c>
      <c r="AL4558">
        <v>151</v>
      </c>
      <c r="AM4558">
        <v>115</v>
      </c>
      <c r="AN4558">
        <v>3.88</v>
      </c>
      <c r="AO4558">
        <v>-2.86</v>
      </c>
      <c r="AP4558">
        <v>0</v>
      </c>
      <c r="AQ4558">
        <v>1</v>
      </c>
      <c r="AR4558">
        <v>8.99</v>
      </c>
      <c r="AS4558">
        <v>57</v>
      </c>
      <c r="AT4558">
        <v>4.25</v>
      </c>
      <c r="AU4558">
        <v>74</v>
      </c>
      <c r="AV4558">
        <v>-1.03</v>
      </c>
      <c r="AW4558">
        <v>69</v>
      </c>
      <c r="AX4558">
        <v>-0.08</v>
      </c>
      <c r="AY4558">
        <v>75</v>
      </c>
      <c r="AZ4558">
        <v>6.76</v>
      </c>
      <c r="BA4558">
        <v>50</v>
      </c>
      <c r="BB4558">
        <v>5.32</v>
      </c>
      <c r="BC4558">
        <v>66</v>
      </c>
      <c r="BD4558">
        <v>0.04</v>
      </c>
      <c r="BE4558">
        <v>0.1</v>
      </c>
      <c r="BF4558">
        <v>0.18</v>
      </c>
      <c r="BG4558">
        <v>93</v>
      </c>
      <c r="BH4558">
        <v>-0.01</v>
      </c>
      <c r="BI4558">
        <v>-5</v>
      </c>
      <c r="BJ4558">
        <v>31</v>
      </c>
      <c r="BK4558">
        <v>23</v>
      </c>
      <c r="BL4558">
        <v>0.59</v>
      </c>
      <c r="BM4558">
        <v>-0.28000000000000003</v>
      </c>
      <c r="BN4558">
        <v>-0.45</v>
      </c>
      <c r="BO4558">
        <v>-0.12</v>
      </c>
      <c r="BP4558">
        <v>-1.72</v>
      </c>
      <c r="BQ4558">
        <v>-0.79</v>
      </c>
      <c r="BR4558">
        <v>-2.56</v>
      </c>
      <c r="BS4558">
        <v>0.26</v>
      </c>
      <c r="BT4558">
        <v>2.98</v>
      </c>
      <c r="BU4558">
        <v>-0.37</v>
      </c>
      <c r="BV4558">
        <v>-0.27</v>
      </c>
      <c r="BW4558">
        <v>-0.41</v>
      </c>
      <c r="BX4558">
        <v>0.19</v>
      </c>
      <c r="BY4558">
        <v>-0.41</v>
      </c>
      <c r="BZ4558">
        <v>0.42</v>
      </c>
      <c r="CA4558">
        <v>0.23</v>
      </c>
      <c r="CB4558">
        <v>-0.04</v>
      </c>
      <c r="CC4558">
        <v>0.85</v>
      </c>
      <c r="CD4558">
        <v>-0.17</v>
      </c>
      <c r="CE4558">
        <v>-0.21</v>
      </c>
      <c r="CF4558">
        <v>-0.32</v>
      </c>
      <c r="CG4558">
        <v>0</v>
      </c>
      <c r="CH4558">
        <v>0.17</v>
      </c>
      <c r="CI4558">
        <v>0</v>
      </c>
      <c r="CJ4558">
        <v>-5.7</v>
      </c>
      <c r="CK4558">
        <v>81</v>
      </c>
      <c r="CL4558">
        <v>-0.56999999999999995</v>
      </c>
      <c r="CM4558">
        <v>78</v>
      </c>
      <c r="CN4558">
        <v>-0.14000000000000001</v>
      </c>
      <c r="CO4558">
        <v>75</v>
      </c>
      <c r="CP4558">
        <v>-6.9</v>
      </c>
      <c r="CQ4558">
        <v>85</v>
      </c>
      <c r="CR4558">
        <v>0</v>
      </c>
      <c r="CS4558">
        <v>0</v>
      </c>
      <c r="CT4558">
        <v>-4.2</v>
      </c>
      <c r="CU4558">
        <v>72</v>
      </c>
      <c r="CV4558">
        <v>0.01</v>
      </c>
      <c r="CW4558">
        <v>42</v>
      </c>
      <c r="CX4558" t="s">
        <v>158</v>
      </c>
    </row>
    <row r="4559" spans="1:102" x14ac:dyDescent="0.3">
      <c r="A4559" t="str">
        <f>HYPERLINK("https://webapp.icbf.com/v2/app/bull-search/view/69091963","JAA")</f>
        <v>JAA</v>
      </c>
      <c r="B4559" t="s">
        <v>704</v>
      </c>
      <c r="C4559" t="s">
        <v>705</v>
      </c>
      <c r="D4559" s="1">
        <v>33561</v>
      </c>
      <c r="E4559" t="s">
        <v>108</v>
      </c>
      <c r="F4559">
        <v>0</v>
      </c>
      <c r="G4559" t="s">
        <v>109</v>
      </c>
      <c r="H4559">
        <v>-138.72999999999999</v>
      </c>
      <c r="I4559">
        <v>64</v>
      </c>
      <c r="J4559">
        <v>-37.93</v>
      </c>
      <c r="K4559">
        <v>77</v>
      </c>
      <c r="L4559">
        <v>-103.07</v>
      </c>
      <c r="M4559">
        <v>77</v>
      </c>
      <c r="N4559">
        <v>9.5399999999999991</v>
      </c>
      <c r="O4559">
        <v>45</v>
      </c>
      <c r="P4559">
        <v>-11.69</v>
      </c>
      <c r="Q4559">
        <v>31</v>
      </c>
      <c r="R4559">
        <v>-6.65</v>
      </c>
      <c r="S4559">
        <v>59</v>
      </c>
      <c r="T4559">
        <v>15.9</v>
      </c>
      <c r="U4559">
        <v>30</v>
      </c>
      <c r="V4559">
        <v>-4.83</v>
      </c>
      <c r="W4559">
        <v>29</v>
      </c>
      <c r="X4559" t="s">
        <v>110</v>
      </c>
      <c r="Y4559" t="s">
        <v>95</v>
      </c>
      <c r="Z4559" t="s">
        <v>96</v>
      </c>
      <c r="AA4559" t="s">
        <v>132</v>
      </c>
      <c r="AB4559" t="s">
        <v>706</v>
      </c>
      <c r="AC4559">
        <v>0</v>
      </c>
      <c r="AD4559">
        <v>0</v>
      </c>
      <c r="AE4559">
        <v>77</v>
      </c>
      <c r="AF4559">
        <v>-67.650000000000006</v>
      </c>
      <c r="AG4559">
        <v>-8.64</v>
      </c>
      <c r="AH4559">
        <v>-4.43</v>
      </c>
      <c r="AI4559">
        <v>-0.1</v>
      </c>
      <c r="AJ4559">
        <v>-0.04</v>
      </c>
      <c r="AK4559">
        <v>77</v>
      </c>
      <c r="AL4559">
        <v>0</v>
      </c>
      <c r="AM4559">
        <v>0</v>
      </c>
      <c r="AN4559">
        <v>4.82</v>
      </c>
      <c r="AO4559">
        <v>-3.41</v>
      </c>
      <c r="AP4559">
        <v>7</v>
      </c>
      <c r="AQ4559">
        <v>0</v>
      </c>
      <c r="AR4559">
        <v>7.76</v>
      </c>
      <c r="AS4559">
        <v>39</v>
      </c>
      <c r="AT4559">
        <v>3.35</v>
      </c>
      <c r="AU4559">
        <v>74</v>
      </c>
      <c r="AV4559">
        <v>-1.82</v>
      </c>
      <c r="AW4559">
        <v>38</v>
      </c>
      <c r="AX4559">
        <v>0.42</v>
      </c>
      <c r="AY4559">
        <v>37</v>
      </c>
      <c r="AZ4559">
        <v>6.77</v>
      </c>
      <c r="BA4559">
        <v>27</v>
      </c>
      <c r="BB4559">
        <v>5.19</v>
      </c>
      <c r="BC4559">
        <v>27</v>
      </c>
      <c r="BD4559">
        <v>0.03</v>
      </c>
      <c r="BE4559">
        <v>7.0000000000000007E-2</v>
      </c>
      <c r="BF4559">
        <v>-0.03</v>
      </c>
      <c r="BG4559">
        <v>84</v>
      </c>
      <c r="BH4559">
        <v>-0.08</v>
      </c>
      <c r="BI4559">
        <v>6.34</v>
      </c>
      <c r="BJ4559">
        <v>0</v>
      </c>
      <c r="BK4559">
        <v>0</v>
      </c>
      <c r="BL4559">
        <v>0.26</v>
      </c>
      <c r="BM4559">
        <v>-2.23</v>
      </c>
      <c r="BN4559">
        <v>-1.67</v>
      </c>
      <c r="BO4559">
        <v>0.03</v>
      </c>
      <c r="BP4559">
        <v>-0.44</v>
      </c>
      <c r="BQ4559">
        <v>-2.9</v>
      </c>
      <c r="BR4559">
        <v>-1.8</v>
      </c>
      <c r="BS4559">
        <v>0.95</v>
      </c>
      <c r="BT4559">
        <v>1.1000000000000001</v>
      </c>
      <c r="BU4559">
        <v>-0.87</v>
      </c>
      <c r="BV4559">
        <v>-0.82</v>
      </c>
      <c r="BW4559">
        <v>0.28999999999999998</v>
      </c>
      <c r="BX4559">
        <v>0.64</v>
      </c>
      <c r="BY4559">
        <v>0.48</v>
      </c>
      <c r="BZ4559">
        <v>1.52</v>
      </c>
      <c r="CA4559">
        <v>0.27</v>
      </c>
      <c r="CB4559">
        <v>-0.52</v>
      </c>
      <c r="CC4559">
        <v>1.34</v>
      </c>
      <c r="CD4559">
        <v>-0.31</v>
      </c>
      <c r="CE4559">
        <v>0</v>
      </c>
      <c r="CF4559">
        <v>0</v>
      </c>
      <c r="CG4559">
        <v>0</v>
      </c>
      <c r="CH4559">
        <v>0</v>
      </c>
      <c r="CI4559">
        <v>0</v>
      </c>
      <c r="CJ4559">
        <v>-4.0999999999999996</v>
      </c>
      <c r="CK4559">
        <v>33</v>
      </c>
      <c r="CL4559">
        <v>-0.67</v>
      </c>
      <c r="CM4559">
        <v>28</v>
      </c>
      <c r="CN4559">
        <v>-0.18</v>
      </c>
      <c r="CO4559">
        <v>28</v>
      </c>
      <c r="CP4559">
        <v>-8.1999999999999993</v>
      </c>
      <c r="CQ4559">
        <v>30</v>
      </c>
      <c r="CR4559">
        <v>0</v>
      </c>
      <c r="CS4559">
        <v>0</v>
      </c>
      <c r="CT4559">
        <v>-7.7</v>
      </c>
      <c r="CU4559">
        <v>30</v>
      </c>
      <c r="CV4559">
        <v>0.11</v>
      </c>
      <c r="CW4559">
        <v>10</v>
      </c>
      <c r="CX4559" t="s">
        <v>707</v>
      </c>
    </row>
    <row r="4560" spans="1:102" x14ac:dyDescent="0.3">
      <c r="A4560" t="str">
        <f>HYPERLINK("https://webapp.icbf.com/v2/app/bull-search/view/152162519","S309")</f>
        <v>S309</v>
      </c>
      <c r="B4560" t="s">
        <v>11594</v>
      </c>
      <c r="C4560" t="s">
        <v>5648</v>
      </c>
      <c r="D4560" s="1">
        <v>36445</v>
      </c>
      <c r="E4560" t="s">
        <v>92</v>
      </c>
      <c r="F4560">
        <v>50</v>
      </c>
      <c r="G4560" t="s">
        <v>109</v>
      </c>
      <c r="H4560">
        <v>-138.80000000000001</v>
      </c>
      <c r="I4560">
        <v>80</v>
      </c>
      <c r="J4560">
        <v>-15.73</v>
      </c>
      <c r="K4560">
        <v>93</v>
      </c>
      <c r="L4560">
        <v>-70.209999999999994</v>
      </c>
      <c r="M4560">
        <v>86</v>
      </c>
      <c r="N4560">
        <v>-40.14</v>
      </c>
      <c r="O4560">
        <v>67</v>
      </c>
      <c r="P4560">
        <v>-36.11</v>
      </c>
      <c r="Q4560">
        <v>54</v>
      </c>
      <c r="R4560">
        <v>-0.77</v>
      </c>
      <c r="S4560">
        <v>77</v>
      </c>
      <c r="T4560">
        <v>23.22</v>
      </c>
      <c r="U4560">
        <v>55</v>
      </c>
      <c r="V4560">
        <v>0.94</v>
      </c>
      <c r="W4560">
        <v>64</v>
      </c>
      <c r="X4560" t="s">
        <v>110</v>
      </c>
      <c r="Y4560" t="s">
        <v>95</v>
      </c>
      <c r="Z4560" t="s">
        <v>96</v>
      </c>
      <c r="AA4560" t="s">
        <v>4568</v>
      </c>
      <c r="AB4560" t="s">
        <v>7500</v>
      </c>
      <c r="AC4560">
        <v>0</v>
      </c>
      <c r="AD4560">
        <v>0</v>
      </c>
      <c r="AE4560">
        <v>93</v>
      </c>
      <c r="AF4560">
        <v>-12.79</v>
      </c>
      <c r="AG4560">
        <v>-3.48</v>
      </c>
      <c r="AH4560">
        <v>-1.64</v>
      </c>
      <c r="AI4560">
        <v>-0.05</v>
      </c>
      <c r="AJ4560">
        <v>-0.02</v>
      </c>
      <c r="AK4560">
        <v>86</v>
      </c>
      <c r="AL4560">
        <v>0</v>
      </c>
      <c r="AM4560">
        <v>0</v>
      </c>
      <c r="AN4560">
        <v>4.5599999999999996</v>
      </c>
      <c r="AO4560">
        <v>-1.03</v>
      </c>
      <c r="AP4560">
        <v>2</v>
      </c>
      <c r="AQ4560">
        <v>0</v>
      </c>
      <c r="AR4560">
        <v>11.01</v>
      </c>
      <c r="AS4560">
        <v>61</v>
      </c>
      <c r="AT4560">
        <v>4.4400000000000004</v>
      </c>
      <c r="AU4560">
        <v>91</v>
      </c>
      <c r="AV4560">
        <v>0.34</v>
      </c>
      <c r="AW4560">
        <v>62</v>
      </c>
      <c r="AX4560">
        <v>1.22</v>
      </c>
      <c r="AY4560">
        <v>54</v>
      </c>
      <c r="AZ4560">
        <v>8.52</v>
      </c>
      <c r="BA4560">
        <v>51</v>
      </c>
      <c r="BB4560">
        <v>6.24</v>
      </c>
      <c r="BC4560">
        <v>52</v>
      </c>
      <c r="BD4560">
        <v>0.01</v>
      </c>
      <c r="BE4560">
        <v>-0.01</v>
      </c>
      <c r="BF4560">
        <v>0.02</v>
      </c>
      <c r="BG4560">
        <v>92</v>
      </c>
      <c r="BH4560">
        <v>0.06</v>
      </c>
      <c r="BI4560">
        <v>3.91</v>
      </c>
      <c r="BJ4560">
        <v>1</v>
      </c>
      <c r="BK4560">
        <v>1</v>
      </c>
      <c r="BL4560">
        <v>0.68</v>
      </c>
      <c r="BM4560">
        <v>-0.65</v>
      </c>
      <c r="BN4560">
        <v>0.89</v>
      </c>
      <c r="BO4560">
        <v>1.18</v>
      </c>
      <c r="BP4560">
        <v>-2.99</v>
      </c>
      <c r="BQ4560">
        <v>0.52</v>
      </c>
      <c r="BR4560">
        <v>-0.03</v>
      </c>
      <c r="BS4560">
        <v>0.9</v>
      </c>
      <c r="BT4560">
        <v>0.32</v>
      </c>
      <c r="BU4560">
        <v>1.43</v>
      </c>
      <c r="BV4560">
        <v>2.1800000000000002</v>
      </c>
      <c r="BW4560">
        <v>1.44</v>
      </c>
      <c r="BX4560">
        <v>0.89</v>
      </c>
      <c r="BY4560">
        <v>2.59</v>
      </c>
      <c r="BZ4560">
        <v>-1</v>
      </c>
      <c r="CA4560">
        <v>1.6</v>
      </c>
      <c r="CB4560">
        <v>1.63</v>
      </c>
      <c r="CC4560">
        <v>0.9</v>
      </c>
      <c r="CD4560">
        <v>-1.1599999999999999</v>
      </c>
      <c r="CE4560">
        <v>0.59</v>
      </c>
      <c r="CF4560">
        <v>-0.05</v>
      </c>
      <c r="CG4560">
        <v>0</v>
      </c>
      <c r="CH4560">
        <v>0.51</v>
      </c>
      <c r="CI4560">
        <v>0</v>
      </c>
      <c r="CJ4560">
        <v>-16.600000000000001</v>
      </c>
      <c r="CK4560">
        <v>55</v>
      </c>
      <c r="CL4560">
        <v>-1.68</v>
      </c>
      <c r="CM4560">
        <v>54</v>
      </c>
      <c r="CN4560">
        <v>-0.57999999999999996</v>
      </c>
      <c r="CO4560">
        <v>52</v>
      </c>
      <c r="CP4560">
        <v>-17.7</v>
      </c>
      <c r="CQ4560">
        <v>56</v>
      </c>
      <c r="CR4560">
        <v>0</v>
      </c>
      <c r="CS4560">
        <v>0</v>
      </c>
      <c r="CT4560">
        <v>-17.600000000000001</v>
      </c>
      <c r="CU4560">
        <v>55</v>
      </c>
      <c r="CV4560">
        <v>0.05</v>
      </c>
      <c r="CW4560">
        <v>36</v>
      </c>
      <c r="CX4560" t="s">
        <v>5410</v>
      </c>
    </row>
    <row r="4561" spans="1:102" x14ac:dyDescent="0.3">
      <c r="A4561" t="str">
        <f>HYPERLINK("https://webapp.icbf.com/v2/app/bull-search/view/77857513","GCB")</f>
        <v>GCB</v>
      </c>
      <c r="B4561" t="s">
        <v>11188</v>
      </c>
      <c r="C4561" t="s">
        <v>11189</v>
      </c>
      <c r="D4561" s="1">
        <v>32881</v>
      </c>
      <c r="E4561" t="s">
        <v>92</v>
      </c>
      <c r="F4561">
        <v>100</v>
      </c>
      <c r="G4561" t="s">
        <v>93</v>
      </c>
      <c r="H4561">
        <v>-138.88999999999999</v>
      </c>
      <c r="I4561">
        <v>56</v>
      </c>
      <c r="J4561">
        <v>-68.010000000000005</v>
      </c>
      <c r="K4561">
        <v>74</v>
      </c>
      <c r="L4561">
        <v>-60.97</v>
      </c>
      <c r="M4561">
        <v>49</v>
      </c>
      <c r="N4561">
        <v>-3.86</v>
      </c>
      <c r="O4561">
        <v>42</v>
      </c>
      <c r="P4561">
        <v>8.3000000000000007</v>
      </c>
      <c r="Q4561">
        <v>56</v>
      </c>
      <c r="R4561">
        <v>-10.09</v>
      </c>
      <c r="S4561">
        <v>54</v>
      </c>
      <c r="T4561">
        <v>-1.71</v>
      </c>
      <c r="U4561">
        <v>47</v>
      </c>
      <c r="V4561">
        <v>-2.5499999999999998</v>
      </c>
      <c r="W4561">
        <v>22</v>
      </c>
      <c r="X4561" t="s">
        <v>276</v>
      </c>
      <c r="Y4561" t="s">
        <v>95</v>
      </c>
      <c r="Z4561" t="s">
        <v>96</v>
      </c>
      <c r="AA4561" t="s">
        <v>914</v>
      </c>
      <c r="AB4561" t="s">
        <v>11190</v>
      </c>
      <c r="AC4561">
        <v>19</v>
      </c>
      <c r="AD4561">
        <v>9</v>
      </c>
      <c r="AE4561">
        <v>74</v>
      </c>
      <c r="AF4561">
        <v>-214.2</v>
      </c>
      <c r="AG4561">
        <v>-10.87</v>
      </c>
      <c r="AH4561">
        <v>-11</v>
      </c>
      <c r="AI4561">
        <v>-0.04</v>
      </c>
      <c r="AJ4561">
        <v>-0.06</v>
      </c>
      <c r="AK4561">
        <v>49</v>
      </c>
      <c r="AL4561">
        <v>33</v>
      </c>
      <c r="AM4561">
        <v>18</v>
      </c>
      <c r="AN4561">
        <v>2.7</v>
      </c>
      <c r="AO4561">
        <v>-2.17</v>
      </c>
      <c r="AP4561">
        <v>37</v>
      </c>
      <c r="AQ4561">
        <v>3</v>
      </c>
      <c r="AR4561">
        <v>9.16</v>
      </c>
      <c r="AS4561">
        <v>51</v>
      </c>
      <c r="AT4561">
        <v>4.05</v>
      </c>
      <c r="AU4561">
        <v>46</v>
      </c>
      <c r="AV4561">
        <v>-1.3</v>
      </c>
      <c r="AW4561">
        <v>39</v>
      </c>
      <c r="AX4561">
        <v>-0.73</v>
      </c>
      <c r="AY4561">
        <v>59</v>
      </c>
      <c r="AZ4561">
        <v>6.55</v>
      </c>
      <c r="BA4561">
        <v>25</v>
      </c>
      <c r="BB4561">
        <v>5.46</v>
      </c>
      <c r="BC4561">
        <v>31</v>
      </c>
      <c r="BD4561">
        <v>0.03</v>
      </c>
      <c r="BE4561">
        <v>0.08</v>
      </c>
      <c r="BF4561">
        <v>0.03</v>
      </c>
      <c r="BG4561">
        <v>69</v>
      </c>
      <c r="BH4561">
        <v>0</v>
      </c>
      <c r="BI4561">
        <v>8.23</v>
      </c>
      <c r="BJ4561">
        <v>7</v>
      </c>
      <c r="BK4561">
        <v>5</v>
      </c>
      <c r="BL4561">
        <v>0.5</v>
      </c>
      <c r="BM4561">
        <v>-0.16</v>
      </c>
      <c r="BN4561">
        <v>1.27</v>
      </c>
      <c r="BO4561">
        <v>0.93</v>
      </c>
      <c r="BP4561">
        <v>-0.71</v>
      </c>
      <c r="BQ4561">
        <v>1.51</v>
      </c>
      <c r="BR4561">
        <v>3.39</v>
      </c>
      <c r="BS4561">
        <v>-0.76</v>
      </c>
      <c r="BT4561">
        <v>-4.2</v>
      </c>
      <c r="BU4561">
        <v>0.53</v>
      </c>
      <c r="BV4561">
        <v>-0.27</v>
      </c>
      <c r="BW4561">
        <v>0.64</v>
      </c>
      <c r="BX4561">
        <v>0.23</v>
      </c>
      <c r="BY4561">
        <v>-0.24</v>
      </c>
      <c r="BZ4561">
        <v>0.71</v>
      </c>
      <c r="CA4561">
        <v>-0.14000000000000001</v>
      </c>
      <c r="CB4561">
        <v>0.56000000000000005</v>
      </c>
      <c r="CC4561">
        <v>-1.24</v>
      </c>
      <c r="CD4561">
        <v>-0.65</v>
      </c>
      <c r="CE4561">
        <v>0.75</v>
      </c>
      <c r="CF4561">
        <v>1.17</v>
      </c>
      <c r="CG4561">
        <v>0</v>
      </c>
      <c r="CH4561">
        <v>0.16</v>
      </c>
      <c r="CI4561">
        <v>0</v>
      </c>
      <c r="CJ4561">
        <v>6.2</v>
      </c>
      <c r="CK4561">
        <v>58</v>
      </c>
      <c r="CL4561">
        <v>-0.34</v>
      </c>
      <c r="CM4561">
        <v>54</v>
      </c>
      <c r="CN4561">
        <v>-0.18</v>
      </c>
      <c r="CO4561">
        <v>50</v>
      </c>
      <c r="CP4561">
        <v>7.6</v>
      </c>
      <c r="CQ4561">
        <v>59</v>
      </c>
      <c r="CR4561">
        <v>0</v>
      </c>
      <c r="CS4561">
        <v>0</v>
      </c>
      <c r="CT4561">
        <v>16.100000000000001</v>
      </c>
      <c r="CU4561">
        <v>47</v>
      </c>
      <c r="CV4561">
        <v>0.17</v>
      </c>
      <c r="CW4561">
        <v>15</v>
      </c>
      <c r="CX4561" t="s">
        <v>7957</v>
      </c>
    </row>
    <row r="4562" spans="1:102" x14ac:dyDescent="0.3">
      <c r="A4562" t="str">
        <f>HYPERLINK("https://webapp.icbf.com/v2/app/bull-search/view/444419977","S441")</f>
        <v>S441</v>
      </c>
      <c r="B4562" t="s">
        <v>4554</v>
      </c>
      <c r="C4562" t="s">
        <v>4555</v>
      </c>
      <c r="D4562" s="1">
        <v>36617</v>
      </c>
      <c r="E4562" t="s">
        <v>92</v>
      </c>
      <c r="F4562">
        <v>100</v>
      </c>
      <c r="G4562" t="s">
        <v>109</v>
      </c>
      <c r="H4562">
        <v>-138.94</v>
      </c>
      <c r="I4562">
        <v>67</v>
      </c>
      <c r="J4562">
        <v>72.73</v>
      </c>
      <c r="K4562">
        <v>80</v>
      </c>
      <c r="L4562">
        <v>-182.41</v>
      </c>
      <c r="M4562">
        <v>78</v>
      </c>
      <c r="N4562">
        <v>-16.190000000000001</v>
      </c>
      <c r="O4562">
        <v>47</v>
      </c>
      <c r="P4562">
        <v>-8.0299999999999994</v>
      </c>
      <c r="Q4562">
        <v>42</v>
      </c>
      <c r="R4562">
        <v>-3.6</v>
      </c>
      <c r="S4562">
        <v>64</v>
      </c>
      <c r="T4562">
        <v>4.21</v>
      </c>
      <c r="U4562">
        <v>39</v>
      </c>
      <c r="V4562">
        <v>-5.65</v>
      </c>
      <c r="W4562">
        <v>40</v>
      </c>
      <c r="X4562" t="s">
        <v>110</v>
      </c>
      <c r="Y4562" t="s">
        <v>95</v>
      </c>
      <c r="Z4562" t="s">
        <v>96</v>
      </c>
      <c r="AA4562" t="s">
        <v>1191</v>
      </c>
      <c r="AB4562" t="s">
        <v>4031</v>
      </c>
      <c r="AC4562">
        <v>0</v>
      </c>
      <c r="AD4562">
        <v>0</v>
      </c>
      <c r="AE4562">
        <v>80</v>
      </c>
      <c r="AF4562">
        <v>652.30999999999995</v>
      </c>
      <c r="AG4562">
        <v>14.06</v>
      </c>
      <c r="AH4562">
        <v>17.38</v>
      </c>
      <c r="AI4562">
        <v>-0.17</v>
      </c>
      <c r="AJ4562">
        <v>-7.0000000000000007E-2</v>
      </c>
      <c r="AK4562">
        <v>78</v>
      </c>
      <c r="AL4562">
        <v>0</v>
      </c>
      <c r="AM4562">
        <v>0</v>
      </c>
      <c r="AN4562">
        <v>12.06</v>
      </c>
      <c r="AO4562">
        <v>-2.46</v>
      </c>
      <c r="AP4562">
        <v>9</v>
      </c>
      <c r="AQ4562">
        <v>0</v>
      </c>
      <c r="AR4562">
        <v>10.01</v>
      </c>
      <c r="AS4562">
        <v>35</v>
      </c>
      <c r="AT4562">
        <v>4.7</v>
      </c>
      <c r="AU4562">
        <v>82</v>
      </c>
      <c r="AV4562">
        <v>-0.28999999999999998</v>
      </c>
      <c r="AW4562">
        <v>37</v>
      </c>
      <c r="AX4562">
        <v>-0.18</v>
      </c>
      <c r="AY4562">
        <v>36</v>
      </c>
      <c r="AZ4562">
        <v>5.23</v>
      </c>
      <c r="BA4562">
        <v>33</v>
      </c>
      <c r="BB4562">
        <v>4.37</v>
      </c>
      <c r="BC4562">
        <v>33</v>
      </c>
      <c r="BD4562">
        <v>0.01</v>
      </c>
      <c r="BE4562">
        <v>0.04</v>
      </c>
      <c r="BF4562">
        <v>-0.01</v>
      </c>
      <c r="BG4562">
        <v>87</v>
      </c>
      <c r="BH4562">
        <v>-0.09</v>
      </c>
      <c r="BI4562">
        <v>7.82</v>
      </c>
      <c r="BJ4562">
        <v>4</v>
      </c>
      <c r="BK4562">
        <v>2</v>
      </c>
      <c r="BL4562">
        <v>0.59</v>
      </c>
      <c r="BM4562">
        <v>-0.03</v>
      </c>
      <c r="BN4562">
        <v>0.75</v>
      </c>
      <c r="BO4562">
        <v>0.96</v>
      </c>
      <c r="BP4562">
        <v>0.47</v>
      </c>
      <c r="BQ4562">
        <v>-0.95</v>
      </c>
      <c r="BR4562">
        <v>-0.67</v>
      </c>
      <c r="BS4562">
        <v>0</v>
      </c>
      <c r="BT4562">
        <v>0.11</v>
      </c>
      <c r="BU4562">
        <v>1.18</v>
      </c>
      <c r="BV4562">
        <v>0.2</v>
      </c>
      <c r="BW4562">
        <v>-0.26</v>
      </c>
      <c r="BX4562">
        <v>0.12</v>
      </c>
      <c r="BY4562">
        <v>2.15</v>
      </c>
      <c r="BZ4562">
        <v>1.81</v>
      </c>
      <c r="CA4562">
        <v>0.47</v>
      </c>
      <c r="CB4562">
        <v>0.81</v>
      </c>
      <c r="CC4562">
        <v>-0.37</v>
      </c>
      <c r="CD4562">
        <v>-0.47</v>
      </c>
      <c r="CE4562">
        <v>0.53</v>
      </c>
      <c r="CF4562">
        <v>-0.33</v>
      </c>
      <c r="CG4562">
        <v>0</v>
      </c>
      <c r="CH4562">
        <v>0.99</v>
      </c>
      <c r="CI4562">
        <v>0</v>
      </c>
      <c r="CJ4562">
        <v>-2.4</v>
      </c>
      <c r="CK4562">
        <v>43</v>
      </c>
      <c r="CL4562">
        <v>-0.62</v>
      </c>
      <c r="CM4562">
        <v>40</v>
      </c>
      <c r="CN4562">
        <v>-0.19</v>
      </c>
      <c r="CO4562">
        <v>38</v>
      </c>
      <c r="CP4562">
        <v>-3.6</v>
      </c>
      <c r="CQ4562">
        <v>45</v>
      </c>
      <c r="CR4562">
        <v>0</v>
      </c>
      <c r="CS4562">
        <v>0</v>
      </c>
      <c r="CT4562">
        <v>8.1</v>
      </c>
      <c r="CU4562">
        <v>39</v>
      </c>
      <c r="CV4562">
        <v>0.16</v>
      </c>
      <c r="CW4562">
        <v>12</v>
      </c>
      <c r="CX4562" t="s">
        <v>265</v>
      </c>
    </row>
    <row r="4563" spans="1:102" x14ac:dyDescent="0.3">
      <c r="A4563" t="str">
        <f>HYPERLINK("https://webapp.icbf.com/v2/app/bull-search/view/77853520","SUN")</f>
        <v>SUN</v>
      </c>
      <c r="B4563" t="s">
        <v>10862</v>
      </c>
      <c r="C4563" t="s">
        <v>10863</v>
      </c>
      <c r="D4563" s="1">
        <v>33537</v>
      </c>
      <c r="E4563" t="s">
        <v>92</v>
      </c>
      <c r="F4563">
        <v>94</v>
      </c>
      <c r="G4563" t="s">
        <v>93</v>
      </c>
      <c r="H4563">
        <v>-138.99</v>
      </c>
      <c r="I4563">
        <v>89</v>
      </c>
      <c r="J4563">
        <v>18.57</v>
      </c>
      <c r="K4563">
        <v>97</v>
      </c>
      <c r="L4563">
        <v>-114.08</v>
      </c>
      <c r="M4563">
        <v>90</v>
      </c>
      <c r="N4563">
        <v>-27.2</v>
      </c>
      <c r="O4563">
        <v>83</v>
      </c>
      <c r="P4563">
        <v>-5.25</v>
      </c>
      <c r="Q4563">
        <v>89</v>
      </c>
      <c r="R4563">
        <v>-20.11</v>
      </c>
      <c r="S4563">
        <v>82</v>
      </c>
      <c r="T4563">
        <v>15.68</v>
      </c>
      <c r="U4563">
        <v>76</v>
      </c>
      <c r="V4563">
        <v>-6.6</v>
      </c>
      <c r="W4563">
        <v>73</v>
      </c>
      <c r="X4563" t="s">
        <v>102</v>
      </c>
      <c r="Y4563" t="s">
        <v>95</v>
      </c>
      <c r="Z4563" t="s">
        <v>96</v>
      </c>
      <c r="AA4563" t="s">
        <v>193</v>
      </c>
      <c r="AB4563" t="s">
        <v>10864</v>
      </c>
      <c r="AC4563">
        <v>70</v>
      </c>
      <c r="AD4563">
        <v>42</v>
      </c>
      <c r="AE4563">
        <v>97</v>
      </c>
      <c r="AF4563">
        <v>109.86</v>
      </c>
      <c r="AG4563">
        <v>3.45</v>
      </c>
      <c r="AH4563">
        <v>3.62</v>
      </c>
      <c r="AI4563">
        <v>-0.01</v>
      </c>
      <c r="AJ4563">
        <v>0</v>
      </c>
      <c r="AK4563">
        <v>90</v>
      </c>
      <c r="AL4563">
        <v>78</v>
      </c>
      <c r="AM4563">
        <v>42</v>
      </c>
      <c r="AN4563">
        <v>5.26</v>
      </c>
      <c r="AO4563">
        <v>-3.85</v>
      </c>
      <c r="AP4563">
        <v>93</v>
      </c>
      <c r="AQ4563">
        <v>0</v>
      </c>
      <c r="AR4563">
        <v>9.35</v>
      </c>
      <c r="AS4563">
        <v>72</v>
      </c>
      <c r="AT4563">
        <v>3.98</v>
      </c>
      <c r="AU4563">
        <v>92</v>
      </c>
      <c r="AV4563">
        <v>-0.17</v>
      </c>
      <c r="AW4563">
        <v>88</v>
      </c>
      <c r="AX4563">
        <v>0.05</v>
      </c>
      <c r="AY4563">
        <v>78</v>
      </c>
      <c r="AZ4563">
        <v>8.56</v>
      </c>
      <c r="BA4563">
        <v>64</v>
      </c>
      <c r="BB4563">
        <v>6.98</v>
      </c>
      <c r="BC4563">
        <v>68</v>
      </c>
      <c r="BD4563">
        <v>0.05</v>
      </c>
      <c r="BE4563">
        <v>0.11</v>
      </c>
      <c r="BF4563">
        <v>0.17</v>
      </c>
      <c r="BG4563">
        <v>93</v>
      </c>
      <c r="BH4563">
        <v>-0.08</v>
      </c>
      <c r="BI4563">
        <v>12.04</v>
      </c>
      <c r="BJ4563">
        <v>4</v>
      </c>
      <c r="BK4563">
        <v>3</v>
      </c>
      <c r="BL4563">
        <v>0.43</v>
      </c>
      <c r="BM4563">
        <v>0.09</v>
      </c>
      <c r="BN4563">
        <v>1.2</v>
      </c>
      <c r="BO4563">
        <v>0.89</v>
      </c>
      <c r="BP4563">
        <v>1.1000000000000001</v>
      </c>
      <c r="BQ4563">
        <v>-0.27</v>
      </c>
      <c r="BR4563">
        <v>3.86</v>
      </c>
      <c r="BS4563">
        <v>-4</v>
      </c>
      <c r="BT4563">
        <v>-3.31</v>
      </c>
      <c r="BU4563">
        <v>-0.49</v>
      </c>
      <c r="BV4563">
        <v>0.13</v>
      </c>
      <c r="BW4563">
        <v>-0.14000000000000001</v>
      </c>
      <c r="BX4563">
        <v>-1.2</v>
      </c>
      <c r="BY4563">
        <v>-1.91</v>
      </c>
      <c r="BZ4563">
        <v>3.72</v>
      </c>
      <c r="CA4563">
        <v>-2.0699999999999998</v>
      </c>
      <c r="CB4563">
        <v>-0.84</v>
      </c>
      <c r="CC4563">
        <v>-3.27</v>
      </c>
      <c r="CD4563">
        <v>-1.7</v>
      </c>
      <c r="CE4563">
        <v>1.1599999999999999</v>
      </c>
      <c r="CF4563">
        <v>0.39</v>
      </c>
      <c r="CG4563">
        <v>0</v>
      </c>
      <c r="CH4563">
        <v>-2.11</v>
      </c>
      <c r="CI4563">
        <v>0</v>
      </c>
      <c r="CJ4563">
        <v>-1.4</v>
      </c>
      <c r="CK4563">
        <v>90</v>
      </c>
      <c r="CL4563">
        <v>-0.6</v>
      </c>
      <c r="CM4563">
        <v>89</v>
      </c>
      <c r="CN4563">
        <v>-0.33</v>
      </c>
      <c r="CO4563">
        <v>87</v>
      </c>
      <c r="CP4563">
        <v>-6.6</v>
      </c>
      <c r="CQ4563">
        <v>88</v>
      </c>
      <c r="CR4563">
        <v>0</v>
      </c>
      <c r="CS4563">
        <v>0</v>
      </c>
      <c r="CT4563">
        <v>-7.4</v>
      </c>
      <c r="CU4563">
        <v>76</v>
      </c>
      <c r="CV4563">
        <v>0.21</v>
      </c>
      <c r="CW4563">
        <v>44</v>
      </c>
      <c r="CX4563" t="s">
        <v>3680</v>
      </c>
    </row>
    <row r="4564" spans="1:102" x14ac:dyDescent="0.3">
      <c r="A4564" t="str">
        <f>HYPERLINK("https://webapp.icbf.com/v2/app/bull-search/view/69092041","JTJ")</f>
        <v>JTJ</v>
      </c>
      <c r="B4564" t="s">
        <v>15346</v>
      </c>
      <c r="C4564" t="s">
        <v>15347</v>
      </c>
      <c r="D4564" s="1">
        <v>34818</v>
      </c>
      <c r="E4564" t="s">
        <v>108</v>
      </c>
      <c r="F4564">
        <v>0</v>
      </c>
      <c r="G4564" t="s">
        <v>93</v>
      </c>
      <c r="H4564">
        <v>-139.27000000000001</v>
      </c>
      <c r="I4564">
        <v>61</v>
      </c>
      <c r="J4564">
        <v>4.18</v>
      </c>
      <c r="K4564">
        <v>87</v>
      </c>
      <c r="L4564">
        <v>-112.97</v>
      </c>
      <c r="M4564">
        <v>48</v>
      </c>
      <c r="N4564">
        <v>-30.51</v>
      </c>
      <c r="O4564">
        <v>37</v>
      </c>
      <c r="P4564">
        <v>-9.9499999999999993</v>
      </c>
      <c r="Q4564">
        <v>57</v>
      </c>
      <c r="R4564">
        <v>-6.7</v>
      </c>
      <c r="S4564">
        <v>56</v>
      </c>
      <c r="T4564">
        <v>22.19</v>
      </c>
      <c r="U4564">
        <v>62</v>
      </c>
      <c r="V4564">
        <v>-5.51</v>
      </c>
      <c r="W4564">
        <v>32</v>
      </c>
      <c r="X4564" t="s">
        <v>94</v>
      </c>
      <c r="Y4564" t="s">
        <v>95</v>
      </c>
      <c r="Z4564" t="s">
        <v>96</v>
      </c>
      <c r="AA4564" t="s">
        <v>105</v>
      </c>
      <c r="AB4564" t="s">
        <v>15348</v>
      </c>
      <c r="AC4564">
        <v>34</v>
      </c>
      <c r="AD4564">
        <v>16</v>
      </c>
      <c r="AE4564">
        <v>87</v>
      </c>
      <c r="AF4564">
        <v>24.51</v>
      </c>
      <c r="AG4564">
        <v>1.4</v>
      </c>
      <c r="AH4564">
        <v>0.59</v>
      </c>
      <c r="AI4564">
        <v>0.01</v>
      </c>
      <c r="AJ4564">
        <v>0</v>
      </c>
      <c r="AK4564">
        <v>48</v>
      </c>
      <c r="AL4564">
        <v>27</v>
      </c>
      <c r="AM4564">
        <v>17</v>
      </c>
      <c r="AN4564">
        <v>6.9</v>
      </c>
      <c r="AO4564">
        <v>-2.1</v>
      </c>
      <c r="AP4564">
        <v>1</v>
      </c>
      <c r="AQ4564">
        <v>0</v>
      </c>
      <c r="AR4564">
        <v>11.66</v>
      </c>
      <c r="AS4564">
        <v>30</v>
      </c>
      <c r="AT4564">
        <v>4.91</v>
      </c>
      <c r="AU4564">
        <v>37</v>
      </c>
      <c r="AV4564">
        <v>0.53</v>
      </c>
      <c r="AW4564">
        <v>36</v>
      </c>
      <c r="AX4564">
        <v>-0.61</v>
      </c>
      <c r="AY4564">
        <v>50</v>
      </c>
      <c r="AZ4564">
        <v>5.42</v>
      </c>
      <c r="BA4564">
        <v>30</v>
      </c>
      <c r="BB4564">
        <v>4.3899999999999997</v>
      </c>
      <c r="BC4564">
        <v>35</v>
      </c>
      <c r="BD4564">
        <v>0.03</v>
      </c>
      <c r="BE4564">
        <v>0.06</v>
      </c>
      <c r="BF4564">
        <v>-0.01</v>
      </c>
      <c r="BG4564">
        <v>67</v>
      </c>
      <c r="BH4564">
        <v>-0.05</v>
      </c>
      <c r="BI4564">
        <v>11.99</v>
      </c>
      <c r="BJ4564">
        <v>0</v>
      </c>
      <c r="BK4564">
        <v>0</v>
      </c>
      <c r="BL4564">
        <v>-0.05</v>
      </c>
      <c r="BM4564">
        <v>-0.19</v>
      </c>
      <c r="BN4564">
        <v>0.33</v>
      </c>
      <c r="BO4564">
        <v>0.23</v>
      </c>
      <c r="BP4564">
        <v>-1.17</v>
      </c>
      <c r="BQ4564">
        <v>-0.95</v>
      </c>
      <c r="BR4564">
        <v>-0.41</v>
      </c>
      <c r="BS4564">
        <v>0.03</v>
      </c>
      <c r="BT4564">
        <v>0.05</v>
      </c>
      <c r="BU4564">
        <v>-0.49</v>
      </c>
      <c r="BV4564">
        <v>0.12</v>
      </c>
      <c r="BW4564">
        <v>0.04</v>
      </c>
      <c r="BX4564">
        <v>-0.54</v>
      </c>
      <c r="BY4564">
        <v>-0.38</v>
      </c>
      <c r="BZ4564">
        <v>1.57</v>
      </c>
      <c r="CA4564">
        <v>0.13</v>
      </c>
      <c r="CB4564">
        <v>0.08</v>
      </c>
      <c r="CC4564">
        <v>0.18</v>
      </c>
      <c r="CD4564">
        <v>-0.65</v>
      </c>
      <c r="CE4564">
        <v>0.33</v>
      </c>
      <c r="CF4564">
        <v>-0.34</v>
      </c>
      <c r="CG4564">
        <v>0</v>
      </c>
      <c r="CH4564">
        <v>0.18</v>
      </c>
      <c r="CI4564">
        <v>0</v>
      </c>
      <c r="CJ4564">
        <v>-2.6</v>
      </c>
      <c r="CK4564">
        <v>59</v>
      </c>
      <c r="CL4564">
        <v>-0.61</v>
      </c>
      <c r="CM4564">
        <v>55</v>
      </c>
      <c r="CN4564">
        <v>-0.14000000000000001</v>
      </c>
      <c r="CO4564">
        <v>49</v>
      </c>
      <c r="CP4564">
        <v>-11.4</v>
      </c>
      <c r="CQ4564">
        <v>67</v>
      </c>
      <c r="CR4564">
        <v>0</v>
      </c>
      <c r="CS4564">
        <v>0</v>
      </c>
      <c r="CT4564">
        <v>-16.2</v>
      </c>
      <c r="CU4564">
        <v>62</v>
      </c>
      <c r="CV4564">
        <v>0.13</v>
      </c>
      <c r="CW4564">
        <v>16</v>
      </c>
      <c r="CX4564" t="s">
        <v>531</v>
      </c>
    </row>
    <row r="4565" spans="1:102" x14ac:dyDescent="0.3">
      <c r="A4565" t="str">
        <f>HYPERLINK("https://webapp.icbf.com/v2/app/bull-search/view/77857345","HAX")</f>
        <v>HAX</v>
      </c>
      <c r="B4565" t="s">
        <v>3780</v>
      </c>
      <c r="C4565" t="s">
        <v>3781</v>
      </c>
      <c r="D4565" s="1">
        <v>33863</v>
      </c>
      <c r="E4565" t="s">
        <v>92</v>
      </c>
      <c r="F4565">
        <v>100</v>
      </c>
      <c r="G4565" t="s">
        <v>93</v>
      </c>
      <c r="H4565">
        <v>-139.47999999999999</v>
      </c>
      <c r="I4565">
        <v>84</v>
      </c>
      <c r="J4565">
        <v>24.87</v>
      </c>
      <c r="K4565">
        <v>95</v>
      </c>
      <c r="L4565">
        <v>-136.58000000000001</v>
      </c>
      <c r="M4565">
        <v>84</v>
      </c>
      <c r="N4565">
        <v>-12.88</v>
      </c>
      <c r="O4565">
        <v>75</v>
      </c>
      <c r="P4565">
        <v>-8.0500000000000007</v>
      </c>
      <c r="Q4565">
        <v>87</v>
      </c>
      <c r="R4565">
        <v>-15.06</v>
      </c>
      <c r="S4565">
        <v>71</v>
      </c>
      <c r="T4565">
        <v>9.02</v>
      </c>
      <c r="U4565">
        <v>77</v>
      </c>
      <c r="V4565">
        <v>-0.8</v>
      </c>
      <c r="W4565">
        <v>40</v>
      </c>
      <c r="X4565" t="s">
        <v>102</v>
      </c>
      <c r="Y4565" t="s">
        <v>95</v>
      </c>
      <c r="Z4565" t="s">
        <v>96</v>
      </c>
      <c r="AA4565" t="s">
        <v>485</v>
      </c>
      <c r="AB4565" t="s">
        <v>3782</v>
      </c>
      <c r="AC4565">
        <v>86</v>
      </c>
      <c r="AD4565">
        <v>53</v>
      </c>
      <c r="AE4565">
        <v>95</v>
      </c>
      <c r="AF4565">
        <v>180.41</v>
      </c>
      <c r="AG4565">
        <v>2.21</v>
      </c>
      <c r="AH4565">
        <v>6.21</v>
      </c>
      <c r="AI4565">
        <v>-0.08</v>
      </c>
      <c r="AJ4565">
        <v>0</v>
      </c>
      <c r="AK4565">
        <v>84</v>
      </c>
      <c r="AL4565">
        <v>74</v>
      </c>
      <c r="AM4565">
        <v>46</v>
      </c>
      <c r="AN4565">
        <v>7.62</v>
      </c>
      <c r="AO4565">
        <v>-3.27</v>
      </c>
      <c r="AP4565">
        <v>46</v>
      </c>
      <c r="AQ4565">
        <v>2</v>
      </c>
      <c r="AR4565">
        <v>11.45</v>
      </c>
      <c r="AS4565">
        <v>52</v>
      </c>
      <c r="AT4565">
        <v>5.35</v>
      </c>
      <c r="AU4565">
        <v>87</v>
      </c>
      <c r="AV4565">
        <v>-2.19</v>
      </c>
      <c r="AW4565">
        <v>81</v>
      </c>
      <c r="AX4565">
        <v>-0.84</v>
      </c>
      <c r="AY4565">
        <v>76</v>
      </c>
      <c r="AZ4565">
        <v>5.23</v>
      </c>
      <c r="BA4565">
        <v>50</v>
      </c>
      <c r="BB4565">
        <v>4.37</v>
      </c>
      <c r="BC4565">
        <v>56</v>
      </c>
      <c r="BD4565">
        <v>0.05</v>
      </c>
      <c r="BE4565">
        <v>7.0000000000000007E-2</v>
      </c>
      <c r="BF4565">
        <v>0.13</v>
      </c>
      <c r="BG4565">
        <v>86</v>
      </c>
      <c r="BH4565">
        <v>0.11</v>
      </c>
      <c r="BI4565">
        <v>15.3</v>
      </c>
      <c r="BJ4565">
        <v>9</v>
      </c>
      <c r="BK4565">
        <v>7</v>
      </c>
      <c r="BL4565">
        <v>0.17</v>
      </c>
      <c r="BM4565">
        <v>-0.48</v>
      </c>
      <c r="BN4565">
        <v>-0.02</v>
      </c>
      <c r="BO4565">
        <v>0.22</v>
      </c>
      <c r="BP4565">
        <v>1.3</v>
      </c>
      <c r="BQ4565">
        <v>-0.73</v>
      </c>
      <c r="BR4565">
        <v>0.72</v>
      </c>
      <c r="BS4565">
        <v>-1.61</v>
      </c>
      <c r="BT4565">
        <v>0.21</v>
      </c>
      <c r="BU4565">
        <v>-0.68</v>
      </c>
      <c r="BV4565">
        <v>0.31</v>
      </c>
      <c r="BW4565">
        <v>1.24</v>
      </c>
      <c r="BX4565">
        <v>-0.61</v>
      </c>
      <c r="BY4565">
        <v>0.98</v>
      </c>
      <c r="BZ4565">
        <v>-2.84</v>
      </c>
      <c r="CA4565">
        <v>0.38</v>
      </c>
      <c r="CB4565">
        <v>1.02</v>
      </c>
      <c r="CC4565">
        <v>-1.08</v>
      </c>
      <c r="CD4565">
        <v>-0.41</v>
      </c>
      <c r="CE4565">
        <v>0.26</v>
      </c>
      <c r="CF4565">
        <v>-0.42</v>
      </c>
      <c r="CG4565">
        <v>0</v>
      </c>
      <c r="CH4565">
        <v>0.52</v>
      </c>
      <c r="CI4565">
        <v>0</v>
      </c>
      <c r="CJ4565">
        <v>-3</v>
      </c>
      <c r="CK4565">
        <v>88</v>
      </c>
      <c r="CL4565">
        <v>-0.67</v>
      </c>
      <c r="CM4565">
        <v>86</v>
      </c>
      <c r="CN4565">
        <v>-0.33</v>
      </c>
      <c r="CO4565">
        <v>84</v>
      </c>
      <c r="CP4565">
        <v>-5.7</v>
      </c>
      <c r="CQ4565">
        <v>88</v>
      </c>
      <c r="CR4565">
        <v>0</v>
      </c>
      <c r="CS4565">
        <v>0</v>
      </c>
      <c r="CT4565">
        <v>1.6</v>
      </c>
      <c r="CU4565">
        <v>77</v>
      </c>
      <c r="CV4565">
        <v>0.13</v>
      </c>
      <c r="CW4565">
        <v>26</v>
      </c>
      <c r="CX4565" t="s">
        <v>724</v>
      </c>
    </row>
    <row r="4566" spans="1:102" x14ac:dyDescent="0.3">
      <c r="A4566" t="str">
        <f>HYPERLINK("https://webapp.icbf.com/v2/app/bull-search/view/77857105","GNC")</f>
        <v>GNC</v>
      </c>
      <c r="B4566" t="s">
        <v>14951</v>
      </c>
      <c r="C4566" t="s">
        <v>14952</v>
      </c>
      <c r="D4566" s="1">
        <v>33401</v>
      </c>
      <c r="E4566" t="s">
        <v>92</v>
      </c>
      <c r="F4566">
        <v>100</v>
      </c>
      <c r="G4566" t="s">
        <v>93</v>
      </c>
      <c r="H4566">
        <v>-139.52000000000001</v>
      </c>
      <c r="I4566">
        <v>78</v>
      </c>
      <c r="J4566">
        <v>15.63</v>
      </c>
      <c r="K4566">
        <v>91</v>
      </c>
      <c r="L4566">
        <v>-149.09</v>
      </c>
      <c r="M4566">
        <v>78</v>
      </c>
      <c r="N4566">
        <v>-2.89</v>
      </c>
      <c r="O4566">
        <v>64</v>
      </c>
      <c r="P4566">
        <v>-6.47</v>
      </c>
      <c r="Q4566">
        <v>77</v>
      </c>
      <c r="R4566">
        <v>-6.35</v>
      </c>
      <c r="S4566">
        <v>68</v>
      </c>
      <c r="T4566">
        <v>8.7899999999999991</v>
      </c>
      <c r="U4566">
        <v>72</v>
      </c>
      <c r="V4566">
        <v>0.86</v>
      </c>
      <c r="W4566">
        <v>38</v>
      </c>
      <c r="X4566" t="s">
        <v>94</v>
      </c>
      <c r="Y4566" t="s">
        <v>95</v>
      </c>
      <c r="Z4566" t="s">
        <v>96</v>
      </c>
      <c r="AA4566" t="s">
        <v>118</v>
      </c>
      <c r="AB4566" t="s">
        <v>1143</v>
      </c>
      <c r="AC4566">
        <v>52</v>
      </c>
      <c r="AD4566">
        <v>29</v>
      </c>
      <c r="AE4566">
        <v>91</v>
      </c>
      <c r="AF4566">
        <v>-85.55</v>
      </c>
      <c r="AG4566">
        <v>0.79</v>
      </c>
      <c r="AH4566">
        <v>1.07</v>
      </c>
      <c r="AI4566">
        <v>7.0000000000000007E-2</v>
      </c>
      <c r="AJ4566">
        <v>7.0000000000000007E-2</v>
      </c>
      <c r="AK4566">
        <v>78</v>
      </c>
      <c r="AL4566">
        <v>51</v>
      </c>
      <c r="AM4566">
        <v>28</v>
      </c>
      <c r="AN4566">
        <v>8.8699999999999992</v>
      </c>
      <c r="AO4566">
        <v>-3.01</v>
      </c>
      <c r="AP4566">
        <v>4</v>
      </c>
      <c r="AQ4566">
        <v>0</v>
      </c>
      <c r="AR4566">
        <v>9.59</v>
      </c>
      <c r="AS4566">
        <v>38</v>
      </c>
      <c r="AT4566">
        <v>4.07</v>
      </c>
      <c r="AU4566">
        <v>87</v>
      </c>
      <c r="AV4566">
        <v>-1.0900000000000001</v>
      </c>
      <c r="AW4566">
        <v>61</v>
      </c>
      <c r="AX4566">
        <v>-0.05</v>
      </c>
      <c r="AY4566">
        <v>67</v>
      </c>
      <c r="AZ4566">
        <v>6.15</v>
      </c>
      <c r="BA4566">
        <v>40</v>
      </c>
      <c r="BB4566">
        <v>4.37</v>
      </c>
      <c r="BC4566">
        <v>49</v>
      </c>
      <c r="BD4566">
        <v>0.03</v>
      </c>
      <c r="BE4566">
        <v>0.04</v>
      </c>
      <c r="BF4566">
        <v>0.02</v>
      </c>
      <c r="BG4566">
        <v>83</v>
      </c>
      <c r="BH4566">
        <v>0.06</v>
      </c>
      <c r="BI4566">
        <v>4.18</v>
      </c>
      <c r="BJ4566">
        <v>1</v>
      </c>
      <c r="BK4566">
        <v>1</v>
      </c>
      <c r="BL4566">
        <v>0.31</v>
      </c>
      <c r="BM4566">
        <v>0.53</v>
      </c>
      <c r="BN4566">
        <v>0.84</v>
      </c>
      <c r="BO4566">
        <v>-0.17</v>
      </c>
      <c r="BP4566">
        <v>-3.39</v>
      </c>
      <c r="BQ4566">
        <v>-0.85</v>
      </c>
      <c r="BR4566">
        <v>-0.81</v>
      </c>
      <c r="BS4566">
        <v>-0.96</v>
      </c>
      <c r="BT4566">
        <v>0.37</v>
      </c>
      <c r="BU4566">
        <v>0</v>
      </c>
      <c r="BV4566">
        <v>0.28000000000000003</v>
      </c>
      <c r="BW4566">
        <v>0.7</v>
      </c>
      <c r="BX4566">
        <v>0.61</v>
      </c>
      <c r="BY4566">
        <v>-0.67</v>
      </c>
      <c r="BZ4566">
        <v>-0.61</v>
      </c>
      <c r="CA4566">
        <v>0.05</v>
      </c>
      <c r="CB4566">
        <v>0.18</v>
      </c>
      <c r="CC4566">
        <v>-0.28999999999999998</v>
      </c>
      <c r="CD4566">
        <v>0.17</v>
      </c>
      <c r="CE4566">
        <v>0.18</v>
      </c>
      <c r="CF4566">
        <v>0.6</v>
      </c>
      <c r="CG4566">
        <v>0</v>
      </c>
      <c r="CH4566">
        <v>0.36</v>
      </c>
      <c r="CI4566">
        <v>0</v>
      </c>
      <c r="CJ4566">
        <v>-4.3</v>
      </c>
      <c r="CK4566">
        <v>78</v>
      </c>
      <c r="CL4566">
        <v>-0.33</v>
      </c>
      <c r="CM4566">
        <v>75</v>
      </c>
      <c r="CN4566">
        <v>-0.3</v>
      </c>
      <c r="CO4566">
        <v>71</v>
      </c>
      <c r="CP4566">
        <v>-4.3</v>
      </c>
      <c r="CQ4566">
        <v>82</v>
      </c>
      <c r="CR4566">
        <v>0</v>
      </c>
      <c r="CS4566">
        <v>0</v>
      </c>
      <c r="CT4566">
        <v>1.9</v>
      </c>
      <c r="CU4566">
        <v>72</v>
      </c>
      <c r="CV4566">
        <v>0.02</v>
      </c>
      <c r="CW4566">
        <v>22</v>
      </c>
      <c r="CX4566" t="s">
        <v>543</v>
      </c>
    </row>
    <row r="4567" spans="1:102" x14ac:dyDescent="0.3">
      <c r="A4567" t="str">
        <f>HYPERLINK("https://webapp.icbf.com/v2/app/bull-search/view/495515312","MZB")</f>
        <v>MZB</v>
      </c>
      <c r="B4567" t="s">
        <v>9714</v>
      </c>
      <c r="C4567" t="s">
        <v>9715</v>
      </c>
      <c r="D4567" s="1">
        <v>36996</v>
      </c>
      <c r="E4567" t="s">
        <v>92</v>
      </c>
      <c r="F4567">
        <v>100</v>
      </c>
      <c r="G4567" t="s">
        <v>93</v>
      </c>
      <c r="H4567">
        <v>-139.66</v>
      </c>
      <c r="I4567">
        <v>95</v>
      </c>
      <c r="J4567">
        <v>39.9</v>
      </c>
      <c r="K4567">
        <v>99</v>
      </c>
      <c r="L4567">
        <v>-173.03</v>
      </c>
      <c r="M4567">
        <v>92</v>
      </c>
      <c r="N4567">
        <v>4.84</v>
      </c>
      <c r="O4567">
        <v>94</v>
      </c>
      <c r="P4567">
        <v>-7.76</v>
      </c>
      <c r="Q4567">
        <v>98</v>
      </c>
      <c r="R4567">
        <v>-4.12</v>
      </c>
      <c r="S4567">
        <v>91</v>
      </c>
      <c r="T4567">
        <v>9.76</v>
      </c>
      <c r="U4567">
        <v>96</v>
      </c>
      <c r="V4567">
        <v>-9.25</v>
      </c>
      <c r="W4567">
        <v>91</v>
      </c>
      <c r="X4567" t="s">
        <v>251</v>
      </c>
      <c r="Y4567" t="s">
        <v>221</v>
      </c>
      <c r="Z4567" t="s">
        <v>96</v>
      </c>
      <c r="AA4567" t="s">
        <v>1682</v>
      </c>
      <c r="AB4567" t="s">
        <v>4246</v>
      </c>
      <c r="AC4567">
        <v>400</v>
      </c>
      <c r="AD4567">
        <v>133</v>
      </c>
      <c r="AE4567">
        <v>99</v>
      </c>
      <c r="AF4567">
        <v>245.11</v>
      </c>
      <c r="AG4567">
        <v>4.43</v>
      </c>
      <c r="AH4567">
        <v>8.9700000000000006</v>
      </c>
      <c r="AI4567">
        <v>-0.09</v>
      </c>
      <c r="AJ4567">
        <v>0.01</v>
      </c>
      <c r="AK4567">
        <v>92</v>
      </c>
      <c r="AL4567">
        <v>454</v>
      </c>
      <c r="AM4567">
        <v>172</v>
      </c>
      <c r="AN4567">
        <v>9.3699999999999992</v>
      </c>
      <c r="AO4567">
        <v>-4.43</v>
      </c>
      <c r="AP4567">
        <v>805</v>
      </c>
      <c r="AQ4567">
        <v>3</v>
      </c>
      <c r="AR4567">
        <v>9.09</v>
      </c>
      <c r="AS4567">
        <v>94</v>
      </c>
      <c r="AT4567">
        <v>3.85</v>
      </c>
      <c r="AU4567">
        <v>95</v>
      </c>
      <c r="AV4567">
        <v>-1.67</v>
      </c>
      <c r="AW4567">
        <v>98</v>
      </c>
      <c r="AX4567">
        <v>0.25</v>
      </c>
      <c r="AY4567">
        <v>94</v>
      </c>
      <c r="AZ4567">
        <v>6.09</v>
      </c>
      <c r="BA4567">
        <v>86</v>
      </c>
      <c r="BB4567">
        <v>4.37</v>
      </c>
      <c r="BC4567">
        <v>85</v>
      </c>
      <c r="BD4567">
        <v>-0.02</v>
      </c>
      <c r="BE4567">
        <v>0.02</v>
      </c>
      <c r="BF4567">
        <v>0.09</v>
      </c>
      <c r="BG4567">
        <v>96</v>
      </c>
      <c r="BH4567">
        <v>-0.23</v>
      </c>
      <c r="BI4567">
        <v>3.22</v>
      </c>
      <c r="BJ4567">
        <v>59</v>
      </c>
      <c r="BK4567">
        <v>29</v>
      </c>
      <c r="BL4567">
        <v>0.78</v>
      </c>
      <c r="BM4567">
        <v>-0.2</v>
      </c>
      <c r="BN4567">
        <v>1.1000000000000001</v>
      </c>
      <c r="BO4567">
        <v>1.0900000000000001</v>
      </c>
      <c r="BP4567">
        <v>-0.47</v>
      </c>
      <c r="BQ4567">
        <v>1.04</v>
      </c>
      <c r="BR4567">
        <v>1.74</v>
      </c>
      <c r="BS4567">
        <v>0.73</v>
      </c>
      <c r="BT4567">
        <v>-1.05</v>
      </c>
      <c r="BU4567">
        <v>-0.37</v>
      </c>
      <c r="BV4567">
        <v>0.33</v>
      </c>
      <c r="BW4567">
        <v>0.82</v>
      </c>
      <c r="BX4567">
        <v>-1.7</v>
      </c>
      <c r="BY4567">
        <v>2.11</v>
      </c>
      <c r="BZ4567">
        <v>-0.33</v>
      </c>
      <c r="CA4567">
        <v>0.32</v>
      </c>
      <c r="CB4567">
        <v>0.32</v>
      </c>
      <c r="CC4567">
        <v>0.48</v>
      </c>
      <c r="CD4567">
        <v>-1.01</v>
      </c>
      <c r="CE4567">
        <v>1.19</v>
      </c>
      <c r="CF4567">
        <v>0.6</v>
      </c>
      <c r="CG4567">
        <v>0</v>
      </c>
      <c r="CH4567">
        <v>1.84</v>
      </c>
      <c r="CI4567">
        <v>0</v>
      </c>
      <c r="CJ4567">
        <v>-1</v>
      </c>
      <c r="CK4567">
        <v>98</v>
      </c>
      <c r="CL4567">
        <v>-0.95</v>
      </c>
      <c r="CM4567">
        <v>97</v>
      </c>
      <c r="CN4567">
        <v>-0.36</v>
      </c>
      <c r="CO4567">
        <v>97</v>
      </c>
      <c r="CP4567">
        <v>-5.3</v>
      </c>
      <c r="CQ4567">
        <v>97</v>
      </c>
      <c r="CR4567">
        <v>0</v>
      </c>
      <c r="CS4567">
        <v>0</v>
      </c>
      <c r="CT4567">
        <v>0.6</v>
      </c>
      <c r="CU4567">
        <v>96</v>
      </c>
      <c r="CV4567">
        <v>0.22</v>
      </c>
      <c r="CW4567">
        <v>46</v>
      </c>
      <c r="CX4567" t="s">
        <v>188</v>
      </c>
    </row>
    <row r="4568" spans="1:102" x14ac:dyDescent="0.3">
      <c r="A4568" t="str">
        <f>HYPERLINK("https://webapp.icbf.com/v2/app/bull-search/view/408998275","RAR")</f>
        <v>RAR</v>
      </c>
      <c r="B4568" t="s">
        <v>1287</v>
      </c>
      <c r="C4568" t="s">
        <v>1288</v>
      </c>
      <c r="D4568" s="1">
        <v>37369</v>
      </c>
      <c r="E4568" t="s">
        <v>92</v>
      </c>
      <c r="F4568">
        <v>100</v>
      </c>
      <c r="G4568" t="s">
        <v>93</v>
      </c>
      <c r="H4568">
        <v>-139.91</v>
      </c>
      <c r="I4568">
        <v>91</v>
      </c>
      <c r="J4568">
        <v>14.92</v>
      </c>
      <c r="K4568">
        <v>97</v>
      </c>
      <c r="L4568">
        <v>-167.81</v>
      </c>
      <c r="M4568">
        <v>90</v>
      </c>
      <c r="N4568">
        <v>22.48</v>
      </c>
      <c r="O4568">
        <v>84</v>
      </c>
      <c r="P4568">
        <v>-5.75</v>
      </c>
      <c r="Q4568">
        <v>89</v>
      </c>
      <c r="R4568">
        <v>1.88</v>
      </c>
      <c r="S4568">
        <v>85</v>
      </c>
      <c r="T4568">
        <v>-1.64</v>
      </c>
      <c r="U4568">
        <v>89</v>
      </c>
      <c r="V4568">
        <v>-3.99</v>
      </c>
      <c r="W4568">
        <v>76</v>
      </c>
      <c r="X4568" t="s">
        <v>276</v>
      </c>
      <c r="Y4568" t="s">
        <v>1215</v>
      </c>
      <c r="Z4568" t="s">
        <v>96</v>
      </c>
      <c r="AA4568" t="s">
        <v>977</v>
      </c>
      <c r="AB4568" t="s">
        <v>1289</v>
      </c>
      <c r="AC4568">
        <v>92</v>
      </c>
      <c r="AD4568">
        <v>41</v>
      </c>
      <c r="AE4568">
        <v>97</v>
      </c>
      <c r="AF4568">
        <v>368.66</v>
      </c>
      <c r="AG4568">
        <v>5.26</v>
      </c>
      <c r="AH4568">
        <v>6.32</v>
      </c>
      <c r="AI4568">
        <v>-0.15</v>
      </c>
      <c r="AJ4568">
        <v>-0.1</v>
      </c>
      <c r="AK4568">
        <v>90</v>
      </c>
      <c r="AL4568">
        <v>81</v>
      </c>
      <c r="AM4568">
        <v>41</v>
      </c>
      <c r="AN4568">
        <v>8.6</v>
      </c>
      <c r="AO4568">
        <v>-4.79</v>
      </c>
      <c r="AP4568">
        <v>134</v>
      </c>
      <c r="AQ4568">
        <v>0</v>
      </c>
      <c r="AR4568">
        <v>9.1199999999999992</v>
      </c>
      <c r="AS4568">
        <v>80</v>
      </c>
      <c r="AT4568">
        <v>3.04</v>
      </c>
      <c r="AU4568">
        <v>91</v>
      </c>
      <c r="AV4568">
        <v>-2.42</v>
      </c>
      <c r="AW4568">
        <v>88</v>
      </c>
      <c r="AX4568">
        <v>-0.84</v>
      </c>
      <c r="AY4568">
        <v>80</v>
      </c>
      <c r="AZ4568">
        <v>5.27</v>
      </c>
      <c r="BA4568">
        <v>65</v>
      </c>
      <c r="BB4568">
        <v>4.4000000000000004</v>
      </c>
      <c r="BC4568">
        <v>68</v>
      </c>
      <c r="BD4568">
        <v>-0.02</v>
      </c>
      <c r="BE4568">
        <v>0</v>
      </c>
      <c r="BF4568">
        <v>-0.01</v>
      </c>
      <c r="BG4568">
        <v>94</v>
      </c>
      <c r="BH4568">
        <v>-7.0000000000000007E-2</v>
      </c>
      <c r="BI4568">
        <v>4.78</v>
      </c>
      <c r="BJ4568">
        <v>26</v>
      </c>
      <c r="BK4568">
        <v>21</v>
      </c>
      <c r="BL4568">
        <v>2.11</v>
      </c>
      <c r="BM4568">
        <v>-0.99</v>
      </c>
      <c r="BN4568">
        <v>1.35</v>
      </c>
      <c r="BO4568">
        <v>1.8</v>
      </c>
      <c r="BP4568">
        <v>0.57999999999999996</v>
      </c>
      <c r="BQ4568">
        <v>1</v>
      </c>
      <c r="BR4568">
        <v>1.59</v>
      </c>
      <c r="BS4568">
        <v>-1.1499999999999999</v>
      </c>
      <c r="BT4568">
        <v>-0.79</v>
      </c>
      <c r="BU4568">
        <v>1.35</v>
      </c>
      <c r="BV4568">
        <v>1.44</v>
      </c>
      <c r="BW4568">
        <v>1.51</v>
      </c>
      <c r="BX4568">
        <v>1.42</v>
      </c>
      <c r="BY4568">
        <v>0.68</v>
      </c>
      <c r="BZ4568">
        <v>-0.6</v>
      </c>
      <c r="CA4568">
        <v>0.79</v>
      </c>
      <c r="CB4568">
        <v>1.36</v>
      </c>
      <c r="CC4568">
        <v>-0.83</v>
      </c>
      <c r="CD4568">
        <v>-1.65</v>
      </c>
      <c r="CE4568">
        <v>1.55</v>
      </c>
      <c r="CF4568">
        <v>0.94</v>
      </c>
      <c r="CG4568">
        <v>0</v>
      </c>
      <c r="CH4568">
        <v>0.93</v>
      </c>
      <c r="CI4568">
        <v>0</v>
      </c>
      <c r="CJ4568">
        <v>0</v>
      </c>
      <c r="CK4568">
        <v>90</v>
      </c>
      <c r="CL4568">
        <v>-1.35</v>
      </c>
      <c r="CM4568">
        <v>88</v>
      </c>
      <c r="CN4568">
        <v>-0.69</v>
      </c>
      <c r="CO4568">
        <v>86</v>
      </c>
      <c r="CP4568">
        <v>0.7</v>
      </c>
      <c r="CQ4568">
        <v>90</v>
      </c>
      <c r="CR4568">
        <v>0</v>
      </c>
      <c r="CS4568">
        <v>0</v>
      </c>
      <c r="CT4568">
        <v>16</v>
      </c>
      <c r="CU4568">
        <v>89</v>
      </c>
      <c r="CV4568">
        <v>0.28999999999999998</v>
      </c>
      <c r="CW4568">
        <v>43</v>
      </c>
      <c r="CX4568" t="s">
        <v>311</v>
      </c>
    </row>
    <row r="4569" spans="1:102" x14ac:dyDescent="0.3">
      <c r="A4569" t="str">
        <f>HYPERLINK("https://webapp.icbf.com/v2/app/bull-search/view/77855908","LQR")</f>
        <v>LQR</v>
      </c>
      <c r="B4569" t="s">
        <v>10837</v>
      </c>
      <c r="C4569" t="s">
        <v>10838</v>
      </c>
      <c r="D4569" s="1">
        <v>33632</v>
      </c>
      <c r="E4569" t="s">
        <v>92</v>
      </c>
      <c r="F4569">
        <v>100</v>
      </c>
      <c r="G4569" t="s">
        <v>93</v>
      </c>
      <c r="H4569">
        <v>-139.97999999999999</v>
      </c>
      <c r="I4569">
        <v>64</v>
      </c>
      <c r="J4569">
        <v>-31.94</v>
      </c>
      <c r="K4569">
        <v>78</v>
      </c>
      <c r="L4569">
        <v>-110.46</v>
      </c>
      <c r="M4569">
        <v>58</v>
      </c>
      <c r="N4569">
        <v>11.29</v>
      </c>
      <c r="O4569">
        <v>45</v>
      </c>
      <c r="P4569">
        <v>-0.23</v>
      </c>
      <c r="Q4569">
        <v>63</v>
      </c>
      <c r="R4569">
        <v>-7.09</v>
      </c>
      <c r="S4569">
        <v>62</v>
      </c>
      <c r="T4569">
        <v>4.28</v>
      </c>
      <c r="U4569">
        <v>65</v>
      </c>
      <c r="V4569">
        <v>-5.83</v>
      </c>
      <c r="W4569">
        <v>40</v>
      </c>
      <c r="X4569" t="s">
        <v>110</v>
      </c>
      <c r="Y4569" t="s">
        <v>95</v>
      </c>
      <c r="Z4569" t="s">
        <v>96</v>
      </c>
      <c r="AA4569" t="s">
        <v>132</v>
      </c>
      <c r="AB4569" t="s">
        <v>10839</v>
      </c>
      <c r="AC4569">
        <v>22</v>
      </c>
      <c r="AD4569">
        <v>14</v>
      </c>
      <c r="AE4569">
        <v>78</v>
      </c>
      <c r="AF4569">
        <v>57.99</v>
      </c>
      <c r="AG4569">
        <v>-7.22</v>
      </c>
      <c r="AH4569">
        <v>-1.99</v>
      </c>
      <c r="AI4569">
        <v>-0.16</v>
      </c>
      <c r="AJ4569">
        <v>-7.0000000000000007E-2</v>
      </c>
      <c r="AK4569">
        <v>58</v>
      </c>
      <c r="AL4569">
        <v>56</v>
      </c>
      <c r="AM4569">
        <v>19</v>
      </c>
      <c r="AN4569">
        <v>5.94</v>
      </c>
      <c r="AO4569">
        <v>-2.87</v>
      </c>
      <c r="AP4569">
        <v>1</v>
      </c>
      <c r="AQ4569">
        <v>0</v>
      </c>
      <c r="AR4569">
        <v>6.87</v>
      </c>
      <c r="AS4569">
        <v>33</v>
      </c>
      <c r="AT4569">
        <v>3.06</v>
      </c>
      <c r="AU4569">
        <v>41</v>
      </c>
      <c r="AV4569">
        <v>-1.48</v>
      </c>
      <c r="AW4569">
        <v>48</v>
      </c>
      <c r="AX4569">
        <v>-0.24</v>
      </c>
      <c r="AY4569">
        <v>62</v>
      </c>
      <c r="AZ4569">
        <v>7.52</v>
      </c>
      <c r="BA4569">
        <v>34</v>
      </c>
      <c r="BB4569">
        <v>5.35</v>
      </c>
      <c r="BC4569">
        <v>39</v>
      </c>
      <c r="BD4569">
        <v>0.03</v>
      </c>
      <c r="BE4569">
        <v>7.0000000000000007E-2</v>
      </c>
      <c r="BF4569">
        <v>-0.02</v>
      </c>
      <c r="BG4569">
        <v>77</v>
      </c>
      <c r="BH4569">
        <v>-0.13</v>
      </c>
      <c r="BI4569">
        <v>3.77</v>
      </c>
      <c r="BJ4569">
        <v>12</v>
      </c>
      <c r="BK4569">
        <v>5</v>
      </c>
      <c r="BL4569">
        <v>-0.01</v>
      </c>
      <c r="BM4569">
        <v>-1.35</v>
      </c>
      <c r="BN4569">
        <v>-0.59</v>
      </c>
      <c r="BO4569">
        <v>0.37</v>
      </c>
      <c r="BP4569">
        <v>-0.14000000000000001</v>
      </c>
      <c r="BQ4569">
        <v>-0.94</v>
      </c>
      <c r="BR4569">
        <v>-0.82</v>
      </c>
      <c r="BS4569">
        <v>1.4</v>
      </c>
      <c r="BT4569">
        <v>1.05</v>
      </c>
      <c r="BU4569">
        <v>0.43</v>
      </c>
      <c r="BV4569">
        <v>0.84</v>
      </c>
      <c r="BW4569">
        <v>0.48</v>
      </c>
      <c r="BX4569">
        <v>0.67</v>
      </c>
      <c r="BY4569">
        <v>0.52</v>
      </c>
      <c r="BZ4569">
        <v>-0.02</v>
      </c>
      <c r="CA4569">
        <v>0.81</v>
      </c>
      <c r="CB4569">
        <v>0.55000000000000004</v>
      </c>
      <c r="CC4569">
        <v>0.87</v>
      </c>
      <c r="CD4569">
        <v>-0.47</v>
      </c>
      <c r="CE4569">
        <v>0.46</v>
      </c>
      <c r="CF4569">
        <v>-0.28000000000000003</v>
      </c>
      <c r="CG4569">
        <v>0</v>
      </c>
      <c r="CH4569">
        <v>-0.71</v>
      </c>
      <c r="CI4569">
        <v>0</v>
      </c>
      <c r="CJ4569">
        <v>3.7</v>
      </c>
      <c r="CK4569">
        <v>64</v>
      </c>
      <c r="CL4569">
        <v>-0.7</v>
      </c>
      <c r="CM4569">
        <v>60</v>
      </c>
      <c r="CN4569">
        <v>-0.12</v>
      </c>
      <c r="CO4569">
        <v>54</v>
      </c>
      <c r="CP4569">
        <v>3.2</v>
      </c>
      <c r="CQ4569">
        <v>75</v>
      </c>
      <c r="CR4569">
        <v>0</v>
      </c>
      <c r="CS4569">
        <v>0</v>
      </c>
      <c r="CT4569">
        <v>8</v>
      </c>
      <c r="CU4569">
        <v>65</v>
      </c>
      <c r="CV4569">
        <v>0.23</v>
      </c>
      <c r="CW4569">
        <v>17</v>
      </c>
      <c r="CX4569" t="s">
        <v>543</v>
      </c>
    </row>
    <row r="4570" spans="1:102" x14ac:dyDescent="0.3">
      <c r="A4570" t="str">
        <f>HYPERLINK("https://webapp.icbf.com/v2/app/bull-search/view/77858194","EKN")</f>
        <v>EKN</v>
      </c>
      <c r="B4570" t="s">
        <v>11279</v>
      </c>
      <c r="C4570" t="s">
        <v>11280</v>
      </c>
      <c r="D4570" s="1">
        <v>32689</v>
      </c>
      <c r="E4570" t="s">
        <v>92</v>
      </c>
      <c r="F4570">
        <v>100</v>
      </c>
      <c r="G4570" t="s">
        <v>93</v>
      </c>
      <c r="H4570">
        <v>-140.16</v>
      </c>
      <c r="I4570">
        <v>91</v>
      </c>
      <c r="J4570">
        <v>-15.05</v>
      </c>
      <c r="K4570">
        <v>99</v>
      </c>
      <c r="L4570">
        <v>-105.34</v>
      </c>
      <c r="M4570">
        <v>89</v>
      </c>
      <c r="N4570">
        <v>3.58</v>
      </c>
      <c r="O4570">
        <v>83</v>
      </c>
      <c r="P4570">
        <v>-5.39</v>
      </c>
      <c r="Q4570">
        <v>92</v>
      </c>
      <c r="R4570">
        <v>-12.6</v>
      </c>
      <c r="S4570">
        <v>82</v>
      </c>
      <c r="T4570">
        <v>0.43</v>
      </c>
      <c r="U4570">
        <v>89</v>
      </c>
      <c r="V4570">
        <v>-5.79</v>
      </c>
      <c r="W4570">
        <v>68</v>
      </c>
      <c r="X4570" t="s">
        <v>94</v>
      </c>
      <c r="Y4570" t="s">
        <v>95</v>
      </c>
      <c r="Z4570" t="s">
        <v>96</v>
      </c>
      <c r="AA4570" t="s">
        <v>2850</v>
      </c>
      <c r="AB4570" t="s">
        <v>11281</v>
      </c>
      <c r="AC4570">
        <v>336</v>
      </c>
      <c r="AD4570">
        <v>181</v>
      </c>
      <c r="AE4570">
        <v>99</v>
      </c>
      <c r="AF4570">
        <v>49.4</v>
      </c>
      <c r="AG4570">
        <v>-5.92</v>
      </c>
      <c r="AH4570">
        <v>0.28999999999999998</v>
      </c>
      <c r="AI4570">
        <v>-0.14000000000000001</v>
      </c>
      <c r="AJ4570">
        <v>-0.02</v>
      </c>
      <c r="AK4570">
        <v>89</v>
      </c>
      <c r="AL4570">
        <v>407</v>
      </c>
      <c r="AM4570">
        <v>206</v>
      </c>
      <c r="AN4570">
        <v>4.2699999999999996</v>
      </c>
      <c r="AO4570">
        <v>-4.1500000000000004</v>
      </c>
      <c r="AP4570">
        <v>8</v>
      </c>
      <c r="AQ4570">
        <v>0</v>
      </c>
      <c r="AR4570">
        <v>8.6999999999999993</v>
      </c>
      <c r="AS4570">
        <v>66</v>
      </c>
      <c r="AT4570">
        <v>2.95</v>
      </c>
      <c r="AU4570">
        <v>84</v>
      </c>
      <c r="AV4570">
        <v>-0.51</v>
      </c>
      <c r="AW4570">
        <v>88</v>
      </c>
      <c r="AX4570">
        <v>-0.2</v>
      </c>
      <c r="AY4570">
        <v>92</v>
      </c>
      <c r="AZ4570">
        <v>6.15</v>
      </c>
      <c r="BA4570">
        <v>59</v>
      </c>
      <c r="BB4570">
        <v>5.0199999999999996</v>
      </c>
      <c r="BC4570">
        <v>79</v>
      </c>
      <c r="BD4570">
        <v>7.0000000000000007E-2</v>
      </c>
      <c r="BE4570">
        <v>7.0000000000000007E-2</v>
      </c>
      <c r="BF4570">
        <v>0.04</v>
      </c>
      <c r="BG4570">
        <v>96</v>
      </c>
      <c r="BH4570">
        <v>-0.14000000000000001</v>
      </c>
      <c r="BI4570">
        <v>2.4700000000000002</v>
      </c>
      <c r="BJ4570">
        <v>18</v>
      </c>
      <c r="BK4570">
        <v>13</v>
      </c>
      <c r="BL4570">
        <v>-0.1</v>
      </c>
      <c r="BM4570">
        <v>0.21</v>
      </c>
      <c r="BN4570">
        <v>-0.33</v>
      </c>
      <c r="BO4570">
        <v>-0.72</v>
      </c>
      <c r="BP4570">
        <v>-0.25</v>
      </c>
      <c r="BQ4570">
        <v>-0.26</v>
      </c>
      <c r="BR4570">
        <v>2.86</v>
      </c>
      <c r="BS4570">
        <v>-3.01</v>
      </c>
      <c r="BT4570">
        <v>-2.54</v>
      </c>
      <c r="BU4570">
        <v>-1.1299999999999999</v>
      </c>
      <c r="BV4570">
        <v>-1.5</v>
      </c>
      <c r="BW4570">
        <v>-0.88</v>
      </c>
      <c r="BX4570">
        <v>-0.69</v>
      </c>
      <c r="BY4570">
        <v>0.62</v>
      </c>
      <c r="BZ4570">
        <v>0.3</v>
      </c>
      <c r="CA4570">
        <v>-2.29</v>
      </c>
      <c r="CB4570">
        <v>-1.17</v>
      </c>
      <c r="CC4570">
        <v>-3.95</v>
      </c>
      <c r="CD4570">
        <v>1.1499999999999999</v>
      </c>
      <c r="CE4570">
        <v>-1.39</v>
      </c>
      <c r="CF4570">
        <v>-0.27</v>
      </c>
      <c r="CG4570">
        <v>0</v>
      </c>
      <c r="CH4570">
        <v>0.5</v>
      </c>
      <c r="CI4570">
        <v>0</v>
      </c>
      <c r="CJ4570">
        <v>-3.7</v>
      </c>
      <c r="CK4570">
        <v>92</v>
      </c>
      <c r="CL4570">
        <v>-0.32</v>
      </c>
      <c r="CM4570">
        <v>91</v>
      </c>
      <c r="CN4570">
        <v>-0.34</v>
      </c>
      <c r="CO4570">
        <v>90</v>
      </c>
      <c r="CP4570">
        <v>-6.4</v>
      </c>
      <c r="CQ4570">
        <v>95</v>
      </c>
      <c r="CR4570">
        <v>0</v>
      </c>
      <c r="CS4570">
        <v>0</v>
      </c>
      <c r="CT4570">
        <v>13.2</v>
      </c>
      <c r="CU4570">
        <v>89</v>
      </c>
      <c r="CV4570">
        <v>0</v>
      </c>
      <c r="CW4570">
        <v>44</v>
      </c>
      <c r="CX4570" t="s">
        <v>658</v>
      </c>
    </row>
    <row r="4571" spans="1:102" x14ac:dyDescent="0.3">
      <c r="A4571" t="str">
        <f>HYPERLINK("https://webapp.icbf.com/v2/app/bull-search/view/77854462","RDB")</f>
        <v>RDB</v>
      </c>
      <c r="B4571" t="s">
        <v>9681</v>
      </c>
      <c r="C4571" t="s">
        <v>9682</v>
      </c>
      <c r="D4571" s="1">
        <v>36044</v>
      </c>
      <c r="E4571" t="s">
        <v>92</v>
      </c>
      <c r="F4571">
        <v>94</v>
      </c>
      <c r="G4571" t="s">
        <v>93</v>
      </c>
      <c r="H4571">
        <v>-140.47999999999999</v>
      </c>
      <c r="I4571">
        <v>60</v>
      </c>
      <c r="J4571">
        <v>-22.53</v>
      </c>
      <c r="K4571">
        <v>83</v>
      </c>
      <c r="L4571">
        <v>-80.2</v>
      </c>
      <c r="M4571">
        <v>43</v>
      </c>
      <c r="N4571">
        <v>-33.46</v>
      </c>
      <c r="O4571">
        <v>51</v>
      </c>
      <c r="P4571">
        <v>-11.11</v>
      </c>
      <c r="Q4571">
        <v>76</v>
      </c>
      <c r="R4571">
        <v>-3.93</v>
      </c>
      <c r="S4571">
        <v>47</v>
      </c>
      <c r="T4571">
        <v>10.5</v>
      </c>
      <c r="U4571">
        <v>54</v>
      </c>
      <c r="V4571">
        <v>0.25</v>
      </c>
      <c r="W4571">
        <v>29</v>
      </c>
      <c r="X4571" t="s">
        <v>558</v>
      </c>
      <c r="Y4571" t="s">
        <v>95</v>
      </c>
      <c r="Z4571" t="s">
        <v>96</v>
      </c>
      <c r="AA4571" t="s">
        <v>3279</v>
      </c>
      <c r="AB4571" t="s">
        <v>9683</v>
      </c>
      <c r="AC4571">
        <v>22</v>
      </c>
      <c r="AD4571">
        <v>23</v>
      </c>
      <c r="AE4571">
        <v>83</v>
      </c>
      <c r="AF4571">
        <v>81.3</v>
      </c>
      <c r="AG4571">
        <v>-0.67</v>
      </c>
      <c r="AH4571">
        <v>-2.35</v>
      </c>
      <c r="AI4571">
        <v>-0.06</v>
      </c>
      <c r="AJ4571">
        <v>-0.08</v>
      </c>
      <c r="AK4571">
        <v>43</v>
      </c>
      <c r="AL4571">
        <v>22</v>
      </c>
      <c r="AM4571">
        <v>18</v>
      </c>
      <c r="AN4571">
        <v>3.25</v>
      </c>
      <c r="AO4571">
        <v>-3.16</v>
      </c>
      <c r="AP4571">
        <v>16</v>
      </c>
      <c r="AQ4571">
        <v>0</v>
      </c>
      <c r="AR4571">
        <v>13.21</v>
      </c>
      <c r="AS4571">
        <v>35</v>
      </c>
      <c r="AT4571">
        <v>5.53</v>
      </c>
      <c r="AU4571">
        <v>67</v>
      </c>
      <c r="AV4571">
        <v>-0.81</v>
      </c>
      <c r="AW4571">
        <v>50</v>
      </c>
      <c r="AX4571">
        <v>-0.84</v>
      </c>
      <c r="AY4571">
        <v>52</v>
      </c>
      <c r="AZ4571">
        <v>5.22</v>
      </c>
      <c r="BA4571">
        <v>37</v>
      </c>
      <c r="BB4571">
        <v>4.3499999999999996</v>
      </c>
      <c r="BC4571">
        <v>36</v>
      </c>
      <c r="BD4571">
        <v>0.02</v>
      </c>
      <c r="BE4571">
        <v>0.03</v>
      </c>
      <c r="BF4571">
        <v>0</v>
      </c>
      <c r="BG4571">
        <v>58</v>
      </c>
      <c r="BH4571">
        <v>-0.01</v>
      </c>
      <c r="BI4571">
        <v>-1.96</v>
      </c>
      <c r="BJ4571">
        <v>12</v>
      </c>
      <c r="BK4571">
        <v>10</v>
      </c>
      <c r="BL4571">
        <v>0.35</v>
      </c>
      <c r="BM4571">
        <v>0.93</v>
      </c>
      <c r="BN4571">
        <v>-7.0000000000000007E-2</v>
      </c>
      <c r="BO4571">
        <v>-0.4</v>
      </c>
      <c r="BP4571">
        <v>-0.45</v>
      </c>
      <c r="BQ4571">
        <v>-1.67</v>
      </c>
      <c r="BR4571">
        <v>-2.0699999999999998</v>
      </c>
      <c r="BS4571">
        <v>0.15</v>
      </c>
      <c r="BT4571">
        <v>0.82</v>
      </c>
      <c r="BU4571">
        <v>-0.78</v>
      </c>
      <c r="BV4571">
        <v>-0.72</v>
      </c>
      <c r="BW4571">
        <v>-1.35</v>
      </c>
      <c r="BX4571">
        <v>-0.82</v>
      </c>
      <c r="BY4571">
        <v>-0.8</v>
      </c>
      <c r="BZ4571">
        <v>1.48</v>
      </c>
      <c r="CA4571">
        <v>-0.56000000000000005</v>
      </c>
      <c r="CB4571">
        <v>-0.38</v>
      </c>
      <c r="CC4571">
        <v>-0.31</v>
      </c>
      <c r="CD4571">
        <v>2.4700000000000002</v>
      </c>
      <c r="CE4571">
        <v>-1.03</v>
      </c>
      <c r="CF4571">
        <v>-0.64</v>
      </c>
      <c r="CG4571">
        <v>0</v>
      </c>
      <c r="CH4571">
        <v>-0.95</v>
      </c>
      <c r="CI4571">
        <v>0</v>
      </c>
      <c r="CJ4571">
        <v>-3.7</v>
      </c>
      <c r="CK4571">
        <v>78</v>
      </c>
      <c r="CL4571">
        <v>-0.56000000000000005</v>
      </c>
      <c r="CM4571">
        <v>75</v>
      </c>
      <c r="CN4571">
        <v>-0.11</v>
      </c>
      <c r="CO4571">
        <v>71</v>
      </c>
      <c r="CP4571">
        <v>-10.1</v>
      </c>
      <c r="CQ4571">
        <v>73</v>
      </c>
      <c r="CR4571">
        <v>0</v>
      </c>
      <c r="CS4571">
        <v>0</v>
      </c>
      <c r="CT4571">
        <v>-0.4</v>
      </c>
      <c r="CU4571">
        <v>54</v>
      </c>
      <c r="CV4571">
        <v>0.13</v>
      </c>
      <c r="CW4571">
        <v>21</v>
      </c>
      <c r="CX4571" t="s">
        <v>265</v>
      </c>
    </row>
    <row r="4572" spans="1:102" x14ac:dyDescent="0.3">
      <c r="A4572" t="str">
        <f>HYPERLINK("https://webapp.icbf.com/v2/app/bull-search/view/117626130","AAL")</f>
        <v>AAL</v>
      </c>
      <c r="B4572" t="s">
        <v>15053</v>
      </c>
      <c r="C4572" t="s">
        <v>15054</v>
      </c>
      <c r="D4572" s="1">
        <v>37280</v>
      </c>
      <c r="E4572" t="s">
        <v>92</v>
      </c>
      <c r="F4572">
        <v>100</v>
      </c>
      <c r="G4572" t="s">
        <v>93</v>
      </c>
      <c r="H4572">
        <v>-140.94999999999999</v>
      </c>
      <c r="I4572">
        <v>54</v>
      </c>
      <c r="J4572">
        <v>23.17</v>
      </c>
      <c r="K4572">
        <v>71</v>
      </c>
      <c r="L4572">
        <v>-147.88</v>
      </c>
      <c r="M4572">
        <v>38</v>
      </c>
      <c r="N4572">
        <v>-23.72</v>
      </c>
      <c r="O4572">
        <v>52</v>
      </c>
      <c r="P4572">
        <v>-1.7</v>
      </c>
      <c r="Q4572">
        <v>69</v>
      </c>
      <c r="R4572">
        <v>-0.25</v>
      </c>
      <c r="S4572">
        <v>44</v>
      </c>
      <c r="T4572">
        <v>11.9</v>
      </c>
      <c r="U4572">
        <v>50</v>
      </c>
      <c r="V4572">
        <v>-2.4700000000000002</v>
      </c>
      <c r="W4572">
        <v>29</v>
      </c>
      <c r="X4572" t="s">
        <v>558</v>
      </c>
      <c r="Y4572" t="s">
        <v>1062</v>
      </c>
      <c r="Z4572" t="s">
        <v>96</v>
      </c>
      <c r="AA4572" t="s">
        <v>7121</v>
      </c>
      <c r="AB4572" t="s">
        <v>15055</v>
      </c>
      <c r="AC4572">
        <v>11</v>
      </c>
      <c r="AD4572">
        <v>10</v>
      </c>
      <c r="AE4572">
        <v>71</v>
      </c>
      <c r="AF4572">
        <v>143.04</v>
      </c>
      <c r="AG4572">
        <v>1.92</v>
      </c>
      <c r="AH4572">
        <v>5.45</v>
      </c>
      <c r="AI4572">
        <v>-0.06</v>
      </c>
      <c r="AJ4572">
        <v>0.01</v>
      </c>
      <c r="AK4572">
        <v>38</v>
      </c>
      <c r="AL4572">
        <v>9</v>
      </c>
      <c r="AM4572">
        <v>8</v>
      </c>
      <c r="AN4572">
        <v>8.3000000000000007</v>
      </c>
      <c r="AO4572">
        <v>-3.49</v>
      </c>
      <c r="AP4572">
        <v>17</v>
      </c>
      <c r="AQ4572">
        <v>1</v>
      </c>
      <c r="AR4572">
        <v>10.84</v>
      </c>
      <c r="AS4572">
        <v>36</v>
      </c>
      <c r="AT4572">
        <v>4.84</v>
      </c>
      <c r="AU4572">
        <v>46</v>
      </c>
      <c r="AV4572">
        <v>-0.73</v>
      </c>
      <c r="AW4572">
        <v>70</v>
      </c>
      <c r="AX4572">
        <v>0.31</v>
      </c>
      <c r="AY4572">
        <v>44</v>
      </c>
      <c r="AZ4572">
        <v>6.52</v>
      </c>
      <c r="BA4572">
        <v>31</v>
      </c>
      <c r="BB4572">
        <v>5.0599999999999996</v>
      </c>
      <c r="BC4572">
        <v>30</v>
      </c>
      <c r="BD4572">
        <v>0.01</v>
      </c>
      <c r="BE4572">
        <v>0.01</v>
      </c>
      <c r="BF4572">
        <v>-0.03</v>
      </c>
      <c r="BG4572">
        <v>52</v>
      </c>
      <c r="BH4572">
        <v>0.1</v>
      </c>
      <c r="BI4572">
        <v>19.52</v>
      </c>
      <c r="BJ4572">
        <v>2</v>
      </c>
      <c r="BK4572">
        <v>2</v>
      </c>
      <c r="BL4572">
        <v>0.3</v>
      </c>
      <c r="BM4572">
        <v>-0.9</v>
      </c>
      <c r="BN4572">
        <v>-0.02</v>
      </c>
      <c r="BO4572">
        <v>0.57999999999999996</v>
      </c>
      <c r="BP4572">
        <v>-1.28</v>
      </c>
      <c r="BQ4572">
        <v>-0.9</v>
      </c>
      <c r="BR4572">
        <v>1.73</v>
      </c>
      <c r="BS4572">
        <v>-0.69</v>
      </c>
      <c r="BT4572">
        <v>-1.1100000000000001</v>
      </c>
      <c r="BU4572">
        <v>0.6</v>
      </c>
      <c r="BV4572">
        <v>0.01</v>
      </c>
      <c r="BW4572">
        <v>0.48</v>
      </c>
      <c r="BX4572">
        <v>0.96</v>
      </c>
      <c r="BY4572">
        <v>0.67</v>
      </c>
      <c r="BZ4572">
        <v>0.18</v>
      </c>
      <c r="CA4572">
        <v>0.28000000000000003</v>
      </c>
      <c r="CB4572">
        <v>0.54</v>
      </c>
      <c r="CC4572">
        <v>-0.43</v>
      </c>
      <c r="CD4572">
        <v>-0.46</v>
      </c>
      <c r="CE4572">
        <v>0.5</v>
      </c>
      <c r="CF4572">
        <v>-0.44</v>
      </c>
      <c r="CG4572">
        <v>0</v>
      </c>
      <c r="CH4572">
        <v>0.64</v>
      </c>
      <c r="CI4572">
        <v>0</v>
      </c>
      <c r="CJ4572">
        <v>1.2</v>
      </c>
      <c r="CK4572">
        <v>72</v>
      </c>
      <c r="CL4572">
        <v>-0.65</v>
      </c>
      <c r="CM4572">
        <v>68</v>
      </c>
      <c r="CN4572">
        <v>-0.34</v>
      </c>
      <c r="CO4572">
        <v>65</v>
      </c>
      <c r="CP4572">
        <v>-4.2</v>
      </c>
      <c r="CQ4572">
        <v>57</v>
      </c>
      <c r="CR4572">
        <v>0</v>
      </c>
      <c r="CS4572">
        <v>0</v>
      </c>
      <c r="CT4572">
        <v>-2.2999999999999998</v>
      </c>
      <c r="CU4572">
        <v>50</v>
      </c>
      <c r="CV4572">
        <v>0.21</v>
      </c>
      <c r="CW4572">
        <v>19</v>
      </c>
      <c r="CX4572" t="s">
        <v>218</v>
      </c>
    </row>
    <row r="4573" spans="1:102" x14ac:dyDescent="0.3">
      <c r="A4573" t="str">
        <f>HYPERLINK("https://webapp.icbf.com/v2/app/bull-search/view/77856115","LBG")</f>
        <v>LBG</v>
      </c>
      <c r="B4573" t="s">
        <v>7482</v>
      </c>
      <c r="C4573" t="s">
        <v>7483</v>
      </c>
      <c r="D4573" s="1">
        <v>35669</v>
      </c>
      <c r="E4573" t="s">
        <v>92</v>
      </c>
      <c r="F4573">
        <v>100</v>
      </c>
      <c r="G4573" t="s">
        <v>93</v>
      </c>
      <c r="H4573">
        <v>-141</v>
      </c>
      <c r="I4573">
        <v>77</v>
      </c>
      <c r="J4573">
        <v>-3.17</v>
      </c>
      <c r="K4573">
        <v>95</v>
      </c>
      <c r="L4573">
        <v>-122.77</v>
      </c>
      <c r="M4573">
        <v>66</v>
      </c>
      <c r="N4573">
        <v>-11.81</v>
      </c>
      <c r="O4573">
        <v>67</v>
      </c>
      <c r="P4573">
        <v>-3.61</v>
      </c>
      <c r="Q4573">
        <v>82</v>
      </c>
      <c r="R4573">
        <v>2.99</v>
      </c>
      <c r="S4573">
        <v>70</v>
      </c>
      <c r="T4573">
        <v>1.02</v>
      </c>
      <c r="U4573">
        <v>77</v>
      </c>
      <c r="V4573">
        <v>-3.65</v>
      </c>
      <c r="W4573">
        <v>51</v>
      </c>
      <c r="X4573" t="s">
        <v>558</v>
      </c>
      <c r="Y4573" t="s">
        <v>95</v>
      </c>
      <c r="Z4573" t="s">
        <v>96</v>
      </c>
      <c r="AA4573" t="s">
        <v>188</v>
      </c>
      <c r="AB4573" t="s">
        <v>7484</v>
      </c>
      <c r="AC4573">
        <v>81</v>
      </c>
      <c r="AD4573">
        <v>63</v>
      </c>
      <c r="AE4573">
        <v>95</v>
      </c>
      <c r="AF4573">
        <v>118.53</v>
      </c>
      <c r="AG4573">
        <v>4.8499999999999996</v>
      </c>
      <c r="AH4573">
        <v>-0.44</v>
      </c>
      <c r="AI4573">
        <v>0</v>
      </c>
      <c r="AJ4573">
        <v>-7.0000000000000007E-2</v>
      </c>
      <c r="AK4573">
        <v>66</v>
      </c>
      <c r="AL4573">
        <v>77</v>
      </c>
      <c r="AM4573">
        <v>58</v>
      </c>
      <c r="AN4573">
        <v>8.2899999999999991</v>
      </c>
      <c r="AO4573">
        <v>-1.48</v>
      </c>
      <c r="AP4573">
        <v>4</v>
      </c>
      <c r="AQ4573">
        <v>2</v>
      </c>
      <c r="AR4573">
        <v>9.39</v>
      </c>
      <c r="AS4573">
        <v>50</v>
      </c>
      <c r="AT4573">
        <v>4.33</v>
      </c>
      <c r="AU4573">
        <v>61</v>
      </c>
      <c r="AV4573">
        <v>-0.87</v>
      </c>
      <c r="AW4573">
        <v>75</v>
      </c>
      <c r="AX4573">
        <v>1.3</v>
      </c>
      <c r="AY4573">
        <v>74</v>
      </c>
      <c r="AZ4573">
        <v>5.67</v>
      </c>
      <c r="BA4573">
        <v>54</v>
      </c>
      <c r="BB4573">
        <v>4.8499999999999996</v>
      </c>
      <c r="BC4573">
        <v>60</v>
      </c>
      <c r="BD4573">
        <v>-0.01</v>
      </c>
      <c r="BE4573">
        <v>0.02</v>
      </c>
      <c r="BF4573">
        <v>-0.09</v>
      </c>
      <c r="BG4573">
        <v>82</v>
      </c>
      <c r="BH4573">
        <v>0.03</v>
      </c>
      <c r="BI4573">
        <v>15.24</v>
      </c>
      <c r="BJ4573">
        <v>18</v>
      </c>
      <c r="BK4573">
        <v>14</v>
      </c>
      <c r="BL4573">
        <v>0.92</v>
      </c>
      <c r="BM4573">
        <v>-0.84</v>
      </c>
      <c r="BN4573">
        <v>-0.1</v>
      </c>
      <c r="BO4573">
        <v>0.62</v>
      </c>
      <c r="BP4573">
        <v>0.64</v>
      </c>
      <c r="BQ4573">
        <v>-1.1100000000000001</v>
      </c>
      <c r="BR4573">
        <v>0.18</v>
      </c>
      <c r="BS4573">
        <v>1.53</v>
      </c>
      <c r="BT4573">
        <v>-0.09</v>
      </c>
      <c r="BU4573">
        <v>-0.09</v>
      </c>
      <c r="BV4573">
        <v>0.21</v>
      </c>
      <c r="BW4573">
        <v>0.04</v>
      </c>
      <c r="BX4573">
        <v>0.38</v>
      </c>
      <c r="BY4573">
        <v>0.24</v>
      </c>
      <c r="BZ4573">
        <v>0.68</v>
      </c>
      <c r="CA4573">
        <v>0.84</v>
      </c>
      <c r="CB4573">
        <v>0.49</v>
      </c>
      <c r="CC4573">
        <v>1.05</v>
      </c>
      <c r="CD4573">
        <v>-0.97</v>
      </c>
      <c r="CE4573">
        <v>0.66</v>
      </c>
      <c r="CF4573">
        <v>0.52</v>
      </c>
      <c r="CG4573">
        <v>0</v>
      </c>
      <c r="CH4573">
        <v>-0.47</v>
      </c>
      <c r="CI4573">
        <v>0</v>
      </c>
      <c r="CJ4573">
        <v>-0.8</v>
      </c>
      <c r="CK4573">
        <v>83</v>
      </c>
      <c r="CL4573">
        <v>-0.78</v>
      </c>
      <c r="CM4573">
        <v>80</v>
      </c>
      <c r="CN4573">
        <v>-0.44</v>
      </c>
      <c r="CO4573">
        <v>77</v>
      </c>
      <c r="CP4573">
        <v>2.6</v>
      </c>
      <c r="CQ4573">
        <v>88</v>
      </c>
      <c r="CR4573">
        <v>0</v>
      </c>
      <c r="CS4573">
        <v>0</v>
      </c>
      <c r="CT4573">
        <v>12.4</v>
      </c>
      <c r="CU4573">
        <v>77</v>
      </c>
      <c r="CV4573">
        <v>0.2</v>
      </c>
      <c r="CW4573">
        <v>23</v>
      </c>
      <c r="CX4573" t="s">
        <v>105</v>
      </c>
    </row>
    <row r="4574" spans="1:102" x14ac:dyDescent="0.3">
      <c r="A4574" t="str">
        <f>HYPERLINK("https://webapp.icbf.com/v2/app/bull-search/view/462433417","S1181")</f>
        <v>S1181</v>
      </c>
      <c r="B4574" t="s">
        <v>5476</v>
      </c>
      <c r="C4574" t="s">
        <v>5477</v>
      </c>
      <c r="D4574" s="1">
        <v>37174</v>
      </c>
      <c r="E4574" t="s">
        <v>92</v>
      </c>
      <c r="F4574">
        <v>100</v>
      </c>
      <c r="G4574" t="s">
        <v>109</v>
      </c>
      <c r="H4574">
        <v>-141.05000000000001</v>
      </c>
      <c r="I4574">
        <v>79</v>
      </c>
      <c r="J4574">
        <v>5.41</v>
      </c>
      <c r="K4574">
        <v>93</v>
      </c>
      <c r="L4574">
        <v>-139.59</v>
      </c>
      <c r="M4574">
        <v>87</v>
      </c>
      <c r="N4574">
        <v>-17.64</v>
      </c>
      <c r="O4574">
        <v>57</v>
      </c>
      <c r="P4574">
        <v>-2.7</v>
      </c>
      <c r="Q4574">
        <v>56</v>
      </c>
      <c r="R4574">
        <v>6.77</v>
      </c>
      <c r="S4574">
        <v>74</v>
      </c>
      <c r="T4574">
        <v>4.28</v>
      </c>
      <c r="U4574">
        <v>52</v>
      </c>
      <c r="V4574">
        <v>2.42</v>
      </c>
      <c r="W4574">
        <v>64</v>
      </c>
      <c r="X4574" t="s">
        <v>251</v>
      </c>
      <c r="Y4574" t="s">
        <v>336</v>
      </c>
      <c r="Z4574" t="s">
        <v>96</v>
      </c>
      <c r="AA4574" t="s">
        <v>4549</v>
      </c>
      <c r="AB4574" t="s">
        <v>5478</v>
      </c>
      <c r="AC4574">
        <v>0</v>
      </c>
      <c r="AD4574">
        <v>0</v>
      </c>
      <c r="AE4574">
        <v>93</v>
      </c>
      <c r="AF4574">
        <v>360.98</v>
      </c>
      <c r="AG4574">
        <v>7.96</v>
      </c>
      <c r="AH4574">
        <v>3.63</v>
      </c>
      <c r="AI4574">
        <v>-0.1</v>
      </c>
      <c r="AJ4574">
        <v>-0.14000000000000001</v>
      </c>
      <c r="AK4574">
        <v>87</v>
      </c>
      <c r="AL4574">
        <v>0</v>
      </c>
      <c r="AM4574">
        <v>0</v>
      </c>
      <c r="AN4574">
        <v>9.35</v>
      </c>
      <c r="AO4574">
        <v>-1.76</v>
      </c>
      <c r="AP4574">
        <v>8</v>
      </c>
      <c r="AQ4574">
        <v>0</v>
      </c>
      <c r="AR4574">
        <v>9.36</v>
      </c>
      <c r="AS4574">
        <v>53</v>
      </c>
      <c r="AT4574">
        <v>4.5999999999999996</v>
      </c>
      <c r="AU4574">
        <v>90</v>
      </c>
      <c r="AV4574">
        <v>-0.28999999999999998</v>
      </c>
      <c r="AW4574">
        <v>45</v>
      </c>
      <c r="AX4574">
        <v>0.21</v>
      </c>
      <c r="AY4574">
        <v>52</v>
      </c>
      <c r="AZ4574">
        <v>6.28</v>
      </c>
      <c r="BA4574">
        <v>42</v>
      </c>
      <c r="BB4574">
        <v>4.9000000000000004</v>
      </c>
      <c r="BC4574">
        <v>42</v>
      </c>
      <c r="BD4574">
        <v>-0.01</v>
      </c>
      <c r="BE4574">
        <v>-0.01</v>
      </c>
      <c r="BF4574">
        <v>-0.12</v>
      </c>
      <c r="BG4574">
        <v>93</v>
      </c>
      <c r="BH4574">
        <v>0.16</v>
      </c>
      <c r="BI4574">
        <v>10.71</v>
      </c>
      <c r="BJ4574">
        <v>7</v>
      </c>
      <c r="BK4574">
        <v>1</v>
      </c>
      <c r="BL4574">
        <v>1.1599999999999999</v>
      </c>
      <c r="BM4574">
        <v>1.05</v>
      </c>
      <c r="BN4574">
        <v>1.1100000000000001</v>
      </c>
      <c r="BO4574">
        <v>0.71</v>
      </c>
      <c r="BP4574">
        <v>-0.81</v>
      </c>
      <c r="BQ4574">
        <v>0.62</v>
      </c>
      <c r="BR4574">
        <v>-2.86</v>
      </c>
      <c r="BS4574">
        <v>1</v>
      </c>
      <c r="BT4574">
        <v>2.58</v>
      </c>
      <c r="BU4574">
        <v>2.82</v>
      </c>
      <c r="BV4574">
        <v>2.1800000000000002</v>
      </c>
      <c r="BW4574">
        <v>1.88</v>
      </c>
      <c r="BX4574">
        <v>2.2999999999999998</v>
      </c>
      <c r="BY4574">
        <v>1.44</v>
      </c>
      <c r="BZ4574">
        <v>-0.1</v>
      </c>
      <c r="CA4574">
        <v>2.67</v>
      </c>
      <c r="CB4574">
        <v>2.2599999999999998</v>
      </c>
      <c r="CC4574">
        <v>1.34</v>
      </c>
      <c r="CD4574">
        <v>0.48</v>
      </c>
      <c r="CE4574">
        <v>0.88</v>
      </c>
      <c r="CF4574">
        <v>0.5</v>
      </c>
      <c r="CG4574">
        <v>0</v>
      </c>
      <c r="CH4574">
        <v>1.6</v>
      </c>
      <c r="CI4574">
        <v>0</v>
      </c>
      <c r="CJ4574">
        <v>-4.2</v>
      </c>
      <c r="CK4574">
        <v>57</v>
      </c>
      <c r="CL4574">
        <v>-0.8</v>
      </c>
      <c r="CM4574">
        <v>54</v>
      </c>
      <c r="CN4574">
        <v>-1.01</v>
      </c>
      <c r="CO4574">
        <v>50</v>
      </c>
      <c r="CP4574">
        <v>-3.2</v>
      </c>
      <c r="CQ4574">
        <v>63</v>
      </c>
      <c r="CR4574">
        <v>0</v>
      </c>
      <c r="CS4574">
        <v>0</v>
      </c>
      <c r="CT4574">
        <v>8</v>
      </c>
      <c r="CU4574">
        <v>52</v>
      </c>
      <c r="CV4574">
        <v>7.0000000000000007E-2</v>
      </c>
      <c r="CW4574">
        <v>36</v>
      </c>
      <c r="CX4574" t="s">
        <v>5479</v>
      </c>
    </row>
    <row r="4575" spans="1:102" x14ac:dyDescent="0.3">
      <c r="A4575" t="str">
        <f>HYPERLINK("https://webapp.icbf.com/v2/app/bull-search/view/77857042","HNA")</f>
        <v>HNA</v>
      </c>
      <c r="B4575" t="s">
        <v>3844</v>
      </c>
      <c r="C4575" t="s">
        <v>3845</v>
      </c>
      <c r="D4575" s="1">
        <v>35380</v>
      </c>
      <c r="E4575" t="s">
        <v>92</v>
      </c>
      <c r="F4575">
        <v>100</v>
      </c>
      <c r="G4575" t="s">
        <v>93</v>
      </c>
      <c r="H4575">
        <v>-141.22</v>
      </c>
      <c r="I4575">
        <v>83</v>
      </c>
      <c r="J4575">
        <v>-21.15</v>
      </c>
      <c r="K4575">
        <v>97</v>
      </c>
      <c r="L4575">
        <v>-104.2</v>
      </c>
      <c r="M4575">
        <v>74</v>
      </c>
      <c r="N4575">
        <v>0.65</v>
      </c>
      <c r="O4575">
        <v>78</v>
      </c>
      <c r="P4575">
        <v>-26.98</v>
      </c>
      <c r="Q4575">
        <v>89</v>
      </c>
      <c r="R4575">
        <v>-8.6300000000000008</v>
      </c>
      <c r="S4575">
        <v>75</v>
      </c>
      <c r="T4575">
        <v>25.74</v>
      </c>
      <c r="U4575">
        <v>85</v>
      </c>
      <c r="V4575">
        <v>-6.65</v>
      </c>
      <c r="W4575">
        <v>53</v>
      </c>
      <c r="X4575" t="s">
        <v>102</v>
      </c>
      <c r="Y4575" t="s">
        <v>95</v>
      </c>
      <c r="Z4575" t="s">
        <v>96</v>
      </c>
      <c r="AA4575" t="s">
        <v>265</v>
      </c>
      <c r="AB4575" t="s">
        <v>3846</v>
      </c>
      <c r="AC4575">
        <v>140</v>
      </c>
      <c r="AD4575">
        <v>108</v>
      </c>
      <c r="AE4575">
        <v>97</v>
      </c>
      <c r="AF4575">
        <v>94.38</v>
      </c>
      <c r="AG4575">
        <v>-5.01</v>
      </c>
      <c r="AH4575">
        <v>-0.38</v>
      </c>
      <c r="AI4575">
        <v>-0.14000000000000001</v>
      </c>
      <c r="AJ4575">
        <v>-0.06</v>
      </c>
      <c r="AK4575">
        <v>74</v>
      </c>
      <c r="AL4575">
        <v>151</v>
      </c>
      <c r="AM4575">
        <v>100</v>
      </c>
      <c r="AN4575">
        <v>7.23</v>
      </c>
      <c r="AO4575">
        <v>-1.06</v>
      </c>
      <c r="AP4575">
        <v>13</v>
      </c>
      <c r="AQ4575">
        <v>0</v>
      </c>
      <c r="AR4575">
        <v>5.82</v>
      </c>
      <c r="AS4575">
        <v>62</v>
      </c>
      <c r="AT4575">
        <v>2.77</v>
      </c>
      <c r="AU4575">
        <v>75</v>
      </c>
      <c r="AV4575">
        <v>0.37</v>
      </c>
      <c r="AW4575">
        <v>85</v>
      </c>
      <c r="AX4575">
        <v>-0.31</v>
      </c>
      <c r="AY4575">
        <v>83</v>
      </c>
      <c r="AZ4575">
        <v>6.98</v>
      </c>
      <c r="BA4575">
        <v>63</v>
      </c>
      <c r="BB4575">
        <v>5.71</v>
      </c>
      <c r="BC4575">
        <v>73</v>
      </c>
      <c r="BD4575">
        <v>0.02</v>
      </c>
      <c r="BE4575">
        <v>0.05</v>
      </c>
      <c r="BF4575">
        <v>7.0000000000000007E-2</v>
      </c>
      <c r="BG4575">
        <v>89</v>
      </c>
      <c r="BH4575">
        <v>-0.09</v>
      </c>
      <c r="BI4575">
        <v>11.05</v>
      </c>
      <c r="BJ4575">
        <v>23</v>
      </c>
      <c r="BK4575">
        <v>16</v>
      </c>
      <c r="BL4575">
        <v>-0.56999999999999995</v>
      </c>
      <c r="BM4575">
        <v>-2.76</v>
      </c>
      <c r="BN4575">
        <v>-1.58</v>
      </c>
      <c r="BO4575">
        <v>0.33</v>
      </c>
      <c r="BP4575">
        <v>-0.25</v>
      </c>
      <c r="BQ4575">
        <v>-3.92</v>
      </c>
      <c r="BR4575">
        <v>-0.74</v>
      </c>
      <c r="BS4575">
        <v>1.28</v>
      </c>
      <c r="BT4575">
        <v>0.86</v>
      </c>
      <c r="BU4575">
        <v>-0.22</v>
      </c>
      <c r="BV4575">
        <v>-0.24</v>
      </c>
      <c r="BW4575">
        <v>-0.56999999999999995</v>
      </c>
      <c r="BX4575">
        <v>-0.15</v>
      </c>
      <c r="BY4575">
        <v>0.54</v>
      </c>
      <c r="BZ4575">
        <v>1.85</v>
      </c>
      <c r="CA4575">
        <v>7.0000000000000007E-2</v>
      </c>
      <c r="CB4575">
        <v>-0.22</v>
      </c>
      <c r="CC4575">
        <v>0.35</v>
      </c>
      <c r="CD4575">
        <v>-1.17</v>
      </c>
      <c r="CE4575">
        <v>0.27</v>
      </c>
      <c r="CF4575">
        <v>-1.56</v>
      </c>
      <c r="CG4575">
        <v>0</v>
      </c>
      <c r="CH4575">
        <v>0.73</v>
      </c>
      <c r="CI4575">
        <v>0</v>
      </c>
      <c r="CJ4575">
        <v>-12.5</v>
      </c>
      <c r="CK4575">
        <v>90</v>
      </c>
      <c r="CL4575">
        <v>-0.79</v>
      </c>
      <c r="CM4575">
        <v>88</v>
      </c>
      <c r="CN4575">
        <v>-0.12</v>
      </c>
      <c r="CO4575">
        <v>87</v>
      </c>
      <c r="CP4575">
        <v>-19.899999999999999</v>
      </c>
      <c r="CQ4575">
        <v>93</v>
      </c>
      <c r="CR4575">
        <v>0</v>
      </c>
      <c r="CS4575">
        <v>0</v>
      </c>
      <c r="CT4575">
        <v>-21</v>
      </c>
      <c r="CU4575">
        <v>85</v>
      </c>
      <c r="CV4575">
        <v>0.08</v>
      </c>
      <c r="CW4575">
        <v>25</v>
      </c>
      <c r="CX4575" t="s">
        <v>105</v>
      </c>
    </row>
    <row r="4576" spans="1:102" x14ac:dyDescent="0.3">
      <c r="A4576" t="str">
        <f>HYPERLINK("https://webapp.icbf.com/v2/app/bull-search/view/77857474","GAI")</f>
        <v>GAI</v>
      </c>
      <c r="B4576" t="s">
        <v>14104</v>
      </c>
      <c r="C4576" t="s">
        <v>14105</v>
      </c>
      <c r="D4576" s="1">
        <v>33495</v>
      </c>
      <c r="E4576" t="s">
        <v>92</v>
      </c>
      <c r="F4576">
        <v>97</v>
      </c>
      <c r="G4576" t="s">
        <v>109</v>
      </c>
      <c r="H4576">
        <v>-141.34</v>
      </c>
      <c r="I4576">
        <v>72</v>
      </c>
      <c r="J4576">
        <v>0.78</v>
      </c>
      <c r="K4576">
        <v>84</v>
      </c>
      <c r="L4576">
        <v>-111.78</v>
      </c>
      <c r="M4576">
        <v>80</v>
      </c>
      <c r="N4576">
        <v>-30.65</v>
      </c>
      <c r="O4576">
        <v>55</v>
      </c>
      <c r="P4576">
        <v>-10.09</v>
      </c>
      <c r="Q4576">
        <v>53</v>
      </c>
      <c r="R4576">
        <v>-6.93</v>
      </c>
      <c r="S4576">
        <v>65</v>
      </c>
      <c r="T4576">
        <v>17.899999999999999</v>
      </c>
      <c r="U4576">
        <v>51</v>
      </c>
      <c r="V4576">
        <v>-0.56999999999999995</v>
      </c>
      <c r="W4576">
        <v>27</v>
      </c>
      <c r="X4576" t="s">
        <v>94</v>
      </c>
      <c r="Y4576" t="s">
        <v>95</v>
      </c>
      <c r="Z4576" t="s">
        <v>96</v>
      </c>
      <c r="AA4576" t="s">
        <v>161</v>
      </c>
      <c r="AB4576" t="s">
        <v>14106</v>
      </c>
      <c r="AC4576">
        <v>0</v>
      </c>
      <c r="AD4576">
        <v>0</v>
      </c>
      <c r="AE4576">
        <v>84</v>
      </c>
      <c r="AF4576">
        <v>133.1</v>
      </c>
      <c r="AG4576">
        <v>0.79</v>
      </c>
      <c r="AH4576">
        <v>1.89</v>
      </c>
      <c r="AI4576">
        <v>-7.0000000000000007E-2</v>
      </c>
      <c r="AJ4576">
        <v>-0.04</v>
      </c>
      <c r="AK4576">
        <v>80</v>
      </c>
      <c r="AL4576">
        <v>0</v>
      </c>
      <c r="AM4576">
        <v>0</v>
      </c>
      <c r="AN4576">
        <v>6.44</v>
      </c>
      <c r="AO4576">
        <v>-2.4700000000000002</v>
      </c>
      <c r="AP4576">
        <v>11</v>
      </c>
      <c r="AQ4576">
        <v>1</v>
      </c>
      <c r="AR4576">
        <v>9.4600000000000009</v>
      </c>
      <c r="AS4576">
        <v>29</v>
      </c>
      <c r="AT4576">
        <v>4.28</v>
      </c>
      <c r="AU4576">
        <v>87</v>
      </c>
      <c r="AV4576">
        <v>0.67</v>
      </c>
      <c r="AW4576">
        <v>54</v>
      </c>
      <c r="AX4576">
        <v>0.28000000000000003</v>
      </c>
      <c r="AY4576">
        <v>44</v>
      </c>
      <c r="AZ4576">
        <v>7.78</v>
      </c>
      <c r="BA4576">
        <v>28</v>
      </c>
      <c r="BB4576">
        <v>6.03</v>
      </c>
      <c r="BC4576">
        <v>31</v>
      </c>
      <c r="BD4576">
        <v>0.02</v>
      </c>
      <c r="BE4576">
        <v>0.04</v>
      </c>
      <c r="BF4576">
        <v>0.05</v>
      </c>
      <c r="BG4576">
        <v>88</v>
      </c>
      <c r="BH4576">
        <v>0.06</v>
      </c>
      <c r="BI4576">
        <v>8.77</v>
      </c>
      <c r="BJ4576">
        <v>4</v>
      </c>
      <c r="BK4576">
        <v>4</v>
      </c>
      <c r="BL4576">
        <v>0.71</v>
      </c>
      <c r="BM4576">
        <v>-1.64</v>
      </c>
      <c r="BN4576">
        <v>-0.14000000000000001</v>
      </c>
      <c r="BO4576">
        <v>0.83</v>
      </c>
      <c r="BP4576">
        <v>0.24</v>
      </c>
      <c r="BQ4576">
        <v>-0.51</v>
      </c>
      <c r="BR4576">
        <v>0.31</v>
      </c>
      <c r="BS4576">
        <v>0.18</v>
      </c>
      <c r="BT4576">
        <v>-0.21</v>
      </c>
      <c r="BU4576">
        <v>-0.52</v>
      </c>
      <c r="BV4576">
        <v>1.27</v>
      </c>
      <c r="BW4576">
        <v>1.35</v>
      </c>
      <c r="BX4576">
        <v>0.33</v>
      </c>
      <c r="BY4576">
        <v>2.08</v>
      </c>
      <c r="BZ4576">
        <v>0.06</v>
      </c>
      <c r="CA4576">
        <v>1.1299999999999999</v>
      </c>
      <c r="CB4576">
        <v>1.06</v>
      </c>
      <c r="CC4576">
        <v>0.72</v>
      </c>
      <c r="CD4576">
        <v>-1.22</v>
      </c>
      <c r="CE4576">
        <v>0.41</v>
      </c>
      <c r="CF4576">
        <v>0.21</v>
      </c>
      <c r="CG4576">
        <v>0</v>
      </c>
      <c r="CH4576">
        <v>0.28000000000000003</v>
      </c>
      <c r="CI4576">
        <v>0</v>
      </c>
      <c r="CJ4576">
        <v>-3</v>
      </c>
      <c r="CK4576">
        <v>55</v>
      </c>
      <c r="CL4576">
        <v>-0.63</v>
      </c>
      <c r="CM4576">
        <v>51</v>
      </c>
      <c r="CN4576">
        <v>-0.16</v>
      </c>
      <c r="CO4576">
        <v>45</v>
      </c>
      <c r="CP4576">
        <v>-8.8000000000000007</v>
      </c>
      <c r="CQ4576">
        <v>61</v>
      </c>
      <c r="CR4576">
        <v>0</v>
      </c>
      <c r="CS4576">
        <v>0</v>
      </c>
      <c r="CT4576">
        <v>-10.4</v>
      </c>
      <c r="CU4576">
        <v>51</v>
      </c>
      <c r="CV4576">
        <v>0.18</v>
      </c>
      <c r="CW4576">
        <v>14</v>
      </c>
      <c r="CX4576" t="s">
        <v>14107</v>
      </c>
    </row>
    <row r="4577" spans="1:102" x14ac:dyDescent="0.3">
      <c r="A4577" t="str">
        <f>HYPERLINK("https://webapp.icbf.com/v2/app/bull-search/view/77855863","LNT")</f>
        <v>LNT</v>
      </c>
      <c r="B4577" t="s">
        <v>7341</v>
      </c>
      <c r="C4577" t="s">
        <v>7342</v>
      </c>
      <c r="D4577" s="1">
        <v>34694</v>
      </c>
      <c r="E4577" t="s">
        <v>92</v>
      </c>
      <c r="F4577">
        <v>100</v>
      </c>
      <c r="G4577" t="s">
        <v>109</v>
      </c>
      <c r="H4577">
        <v>-141.52000000000001</v>
      </c>
      <c r="I4577">
        <v>79</v>
      </c>
      <c r="J4577">
        <v>13.88</v>
      </c>
      <c r="K4577">
        <v>93</v>
      </c>
      <c r="L4577">
        <v>-158.88</v>
      </c>
      <c r="M4577">
        <v>85</v>
      </c>
      <c r="N4577">
        <v>12.47</v>
      </c>
      <c r="O4577">
        <v>60</v>
      </c>
      <c r="P4577">
        <v>-13</v>
      </c>
      <c r="Q4577">
        <v>53</v>
      </c>
      <c r="R4577">
        <v>7.78</v>
      </c>
      <c r="S4577">
        <v>78</v>
      </c>
      <c r="T4577">
        <v>4.95</v>
      </c>
      <c r="U4577">
        <v>50</v>
      </c>
      <c r="V4577">
        <v>-8.7200000000000006</v>
      </c>
      <c r="W4577">
        <v>66</v>
      </c>
      <c r="X4577" t="s">
        <v>94</v>
      </c>
      <c r="Y4577" t="s">
        <v>95</v>
      </c>
      <c r="Z4577" t="s">
        <v>96</v>
      </c>
      <c r="AA4577" t="s">
        <v>564</v>
      </c>
      <c r="AB4577" t="s">
        <v>7343</v>
      </c>
      <c r="AC4577">
        <v>0</v>
      </c>
      <c r="AD4577">
        <v>0</v>
      </c>
      <c r="AE4577">
        <v>93</v>
      </c>
      <c r="AF4577">
        <v>104.63</v>
      </c>
      <c r="AG4577">
        <v>10.07</v>
      </c>
      <c r="AH4577">
        <v>0.4</v>
      </c>
      <c r="AI4577">
        <v>0.1</v>
      </c>
      <c r="AJ4577">
        <v>-0.05</v>
      </c>
      <c r="AK4577">
        <v>85</v>
      </c>
      <c r="AL4577">
        <v>0</v>
      </c>
      <c r="AM4577">
        <v>0</v>
      </c>
      <c r="AN4577">
        <v>8.69</v>
      </c>
      <c r="AO4577">
        <v>-3.98</v>
      </c>
      <c r="AP4577">
        <v>2</v>
      </c>
      <c r="AQ4577">
        <v>0</v>
      </c>
      <c r="AR4577">
        <v>8.19</v>
      </c>
      <c r="AS4577">
        <v>58</v>
      </c>
      <c r="AT4577">
        <v>3.39</v>
      </c>
      <c r="AU4577">
        <v>89</v>
      </c>
      <c r="AV4577">
        <v>-2.5</v>
      </c>
      <c r="AW4577">
        <v>50</v>
      </c>
      <c r="AX4577">
        <v>0</v>
      </c>
      <c r="AY4577">
        <v>48</v>
      </c>
      <c r="AZ4577">
        <v>7.53</v>
      </c>
      <c r="BA4577">
        <v>50</v>
      </c>
      <c r="BB4577">
        <v>5.34</v>
      </c>
      <c r="BC4577">
        <v>52</v>
      </c>
      <c r="BD4577">
        <v>-0.03</v>
      </c>
      <c r="BE4577">
        <v>-0.01</v>
      </c>
      <c r="BF4577">
        <v>-0.11</v>
      </c>
      <c r="BG4577">
        <v>92</v>
      </c>
      <c r="BH4577">
        <v>-0.31</v>
      </c>
      <c r="BI4577">
        <v>-7.73</v>
      </c>
      <c r="BJ4577">
        <v>1</v>
      </c>
      <c r="BK4577">
        <v>1</v>
      </c>
      <c r="BL4577">
        <v>0.21</v>
      </c>
      <c r="BM4577">
        <v>-1.73</v>
      </c>
      <c r="BN4577">
        <v>-0.36</v>
      </c>
      <c r="BO4577">
        <v>0.31</v>
      </c>
      <c r="BP4577">
        <v>-0.01</v>
      </c>
      <c r="BQ4577">
        <v>-2.5</v>
      </c>
      <c r="BR4577">
        <v>-1.8</v>
      </c>
      <c r="BS4577">
        <v>1.04</v>
      </c>
      <c r="BT4577">
        <v>1.24</v>
      </c>
      <c r="BU4577">
        <v>-0.23</v>
      </c>
      <c r="BV4577">
        <v>-0.22</v>
      </c>
      <c r="BW4577">
        <v>0.87</v>
      </c>
      <c r="BX4577">
        <v>0.35</v>
      </c>
      <c r="BY4577">
        <v>0.1</v>
      </c>
      <c r="BZ4577">
        <v>-0.47</v>
      </c>
      <c r="CA4577">
        <v>0.33</v>
      </c>
      <c r="CB4577">
        <v>0.27</v>
      </c>
      <c r="CC4577">
        <v>0.56000000000000005</v>
      </c>
      <c r="CD4577">
        <v>-0.57999999999999996</v>
      </c>
      <c r="CE4577">
        <v>1.33</v>
      </c>
      <c r="CF4577">
        <v>0.1</v>
      </c>
      <c r="CG4577">
        <v>0</v>
      </c>
      <c r="CH4577">
        <v>0.06</v>
      </c>
      <c r="CI4577">
        <v>0</v>
      </c>
      <c r="CJ4577">
        <v>-4</v>
      </c>
      <c r="CK4577">
        <v>54</v>
      </c>
      <c r="CL4577">
        <v>-1.01</v>
      </c>
      <c r="CM4577">
        <v>52</v>
      </c>
      <c r="CN4577">
        <v>-0.31</v>
      </c>
      <c r="CO4577">
        <v>50</v>
      </c>
      <c r="CP4577">
        <v>-4.5999999999999996</v>
      </c>
      <c r="CQ4577">
        <v>57</v>
      </c>
      <c r="CR4577">
        <v>0</v>
      </c>
      <c r="CS4577">
        <v>0</v>
      </c>
      <c r="CT4577">
        <v>7.1</v>
      </c>
      <c r="CU4577">
        <v>50</v>
      </c>
      <c r="CV4577">
        <v>0.12</v>
      </c>
      <c r="CW4577">
        <v>36</v>
      </c>
      <c r="CX4577" t="s">
        <v>267</v>
      </c>
    </row>
    <row r="4578" spans="1:102" x14ac:dyDescent="0.3">
      <c r="A4578" t="str">
        <f>HYPERLINK("https://webapp.icbf.com/v2/app/bull-search/view/77857801","FAL")</f>
        <v>FAL</v>
      </c>
      <c r="B4578" t="s">
        <v>14081</v>
      </c>
      <c r="C4578" t="s">
        <v>218</v>
      </c>
      <c r="D4578" s="1">
        <v>33170</v>
      </c>
      <c r="E4578" t="s">
        <v>92</v>
      </c>
      <c r="F4578">
        <v>97</v>
      </c>
      <c r="G4578" t="s">
        <v>93</v>
      </c>
      <c r="H4578">
        <v>-141.55000000000001</v>
      </c>
      <c r="I4578">
        <v>99</v>
      </c>
      <c r="J4578">
        <v>30.73</v>
      </c>
      <c r="K4578">
        <v>99</v>
      </c>
      <c r="L4578">
        <v>-136.88999999999999</v>
      </c>
      <c r="M4578">
        <v>98</v>
      </c>
      <c r="N4578">
        <v>-21.08</v>
      </c>
      <c r="O4578">
        <v>99</v>
      </c>
      <c r="P4578">
        <v>-9.4499999999999993</v>
      </c>
      <c r="Q4578">
        <v>99</v>
      </c>
      <c r="R4578">
        <v>-8.67</v>
      </c>
      <c r="S4578">
        <v>98</v>
      </c>
      <c r="T4578">
        <v>9.24</v>
      </c>
      <c r="U4578">
        <v>99</v>
      </c>
      <c r="V4578">
        <v>-5.43</v>
      </c>
      <c r="W4578">
        <v>98</v>
      </c>
      <c r="X4578" t="s">
        <v>94</v>
      </c>
      <c r="Y4578" t="s">
        <v>95</v>
      </c>
      <c r="Z4578" t="s">
        <v>96</v>
      </c>
      <c r="AA4578" t="s">
        <v>99</v>
      </c>
      <c r="AB4578" t="s">
        <v>14082</v>
      </c>
      <c r="AC4578">
        <v>8866</v>
      </c>
      <c r="AD4578">
        <v>2183</v>
      </c>
      <c r="AE4578">
        <v>99</v>
      </c>
      <c r="AF4578">
        <v>123.78</v>
      </c>
      <c r="AG4578">
        <v>-0.45</v>
      </c>
      <c r="AH4578">
        <v>7.28</v>
      </c>
      <c r="AI4578">
        <v>-0.09</v>
      </c>
      <c r="AJ4578">
        <v>0.05</v>
      </c>
      <c r="AK4578">
        <v>98</v>
      </c>
      <c r="AL4578">
        <v>8398</v>
      </c>
      <c r="AM4578">
        <v>2277</v>
      </c>
      <c r="AN4578">
        <v>7.24</v>
      </c>
      <c r="AO4578">
        <v>-3.68</v>
      </c>
      <c r="AP4578">
        <v>5979</v>
      </c>
      <c r="AQ4578">
        <v>4</v>
      </c>
      <c r="AR4578">
        <v>9.85</v>
      </c>
      <c r="AS4578">
        <v>99</v>
      </c>
      <c r="AT4578">
        <v>4.8499999999999996</v>
      </c>
      <c r="AU4578">
        <v>99</v>
      </c>
      <c r="AV4578">
        <v>-0.37</v>
      </c>
      <c r="AW4578">
        <v>99</v>
      </c>
      <c r="AX4578">
        <v>0.09</v>
      </c>
      <c r="AY4578">
        <v>99</v>
      </c>
      <c r="AZ4578">
        <v>5.55</v>
      </c>
      <c r="BA4578">
        <v>99</v>
      </c>
      <c r="BB4578">
        <v>5.0599999999999996</v>
      </c>
      <c r="BC4578">
        <v>99</v>
      </c>
      <c r="BD4578">
        <v>0.02</v>
      </c>
      <c r="BE4578">
        <v>0.04</v>
      </c>
      <c r="BF4578">
        <v>0.09</v>
      </c>
      <c r="BG4578">
        <v>99</v>
      </c>
      <c r="BH4578">
        <v>-7.0000000000000007E-2</v>
      </c>
      <c r="BI4578">
        <v>9.42</v>
      </c>
      <c r="BJ4578">
        <v>1463</v>
      </c>
      <c r="BK4578">
        <v>506</v>
      </c>
      <c r="BL4578">
        <v>0.28000000000000003</v>
      </c>
      <c r="BM4578">
        <v>0.25</v>
      </c>
      <c r="BN4578">
        <v>0.62</v>
      </c>
      <c r="BO4578">
        <v>0.39</v>
      </c>
      <c r="BP4578">
        <v>0.26</v>
      </c>
      <c r="BQ4578">
        <v>0.48</v>
      </c>
      <c r="BR4578">
        <v>2.17</v>
      </c>
      <c r="BS4578">
        <v>-1.18</v>
      </c>
      <c r="BT4578">
        <v>-1.94</v>
      </c>
      <c r="BU4578">
        <v>0.76</v>
      </c>
      <c r="BV4578">
        <v>0.98</v>
      </c>
      <c r="BW4578">
        <v>0.98</v>
      </c>
      <c r="BX4578">
        <v>0.36</v>
      </c>
      <c r="BY4578">
        <v>2.2000000000000002</v>
      </c>
      <c r="BZ4578">
        <v>-0.23</v>
      </c>
      <c r="CA4578">
        <v>0.46</v>
      </c>
      <c r="CB4578">
        <v>1.05</v>
      </c>
      <c r="CC4578">
        <v>-0.84</v>
      </c>
      <c r="CD4578">
        <v>-0.17</v>
      </c>
      <c r="CE4578">
        <v>0.39</v>
      </c>
      <c r="CF4578">
        <v>0.68</v>
      </c>
      <c r="CG4578">
        <v>0</v>
      </c>
      <c r="CH4578">
        <v>2.2000000000000002</v>
      </c>
      <c r="CI4578">
        <v>0</v>
      </c>
      <c r="CJ4578">
        <v>-1.3</v>
      </c>
      <c r="CK4578">
        <v>99</v>
      </c>
      <c r="CL4578">
        <v>-0.72</v>
      </c>
      <c r="CM4578">
        <v>99</v>
      </c>
      <c r="CN4578">
        <v>-0.04</v>
      </c>
      <c r="CO4578">
        <v>99</v>
      </c>
      <c r="CP4578">
        <v>-4.5999999999999996</v>
      </c>
      <c r="CQ4578">
        <v>99</v>
      </c>
      <c r="CR4578">
        <v>0</v>
      </c>
      <c r="CS4578">
        <v>0</v>
      </c>
      <c r="CT4578">
        <v>1.3</v>
      </c>
      <c r="CU4578">
        <v>99</v>
      </c>
      <c r="CV4578">
        <v>0.17</v>
      </c>
      <c r="CW4578">
        <v>48</v>
      </c>
      <c r="CX4578" t="s">
        <v>154</v>
      </c>
    </row>
    <row r="4579" spans="1:102" x14ac:dyDescent="0.3">
      <c r="A4579" t="str">
        <f>HYPERLINK("https://webapp.icbf.com/v2/app/bull-search/view/375638797","DLX")</f>
        <v>DLX</v>
      </c>
      <c r="B4579" t="s">
        <v>11782</v>
      </c>
      <c r="C4579" t="s">
        <v>11783</v>
      </c>
      <c r="D4579" s="1">
        <v>36612</v>
      </c>
      <c r="E4579" t="s">
        <v>92</v>
      </c>
      <c r="F4579">
        <v>100</v>
      </c>
      <c r="G4579" t="s">
        <v>93</v>
      </c>
      <c r="H4579">
        <v>-141.57</v>
      </c>
      <c r="I4579">
        <v>96</v>
      </c>
      <c r="J4579">
        <v>8.41</v>
      </c>
      <c r="K4579">
        <v>99</v>
      </c>
      <c r="L4579">
        <v>-143.55000000000001</v>
      </c>
      <c r="M4579">
        <v>94</v>
      </c>
      <c r="N4579">
        <v>8.44</v>
      </c>
      <c r="O4579">
        <v>96</v>
      </c>
      <c r="P4579">
        <v>-9.92</v>
      </c>
      <c r="Q4579">
        <v>98</v>
      </c>
      <c r="R4579">
        <v>0</v>
      </c>
      <c r="S4579">
        <v>92</v>
      </c>
      <c r="T4579">
        <v>-2.97</v>
      </c>
      <c r="U4579">
        <v>96</v>
      </c>
      <c r="V4579">
        <v>-1.98</v>
      </c>
      <c r="W4579">
        <v>91</v>
      </c>
      <c r="X4579" t="s">
        <v>276</v>
      </c>
      <c r="Y4579" t="s">
        <v>95</v>
      </c>
      <c r="Z4579" t="s">
        <v>96</v>
      </c>
      <c r="AA4579" t="s">
        <v>311</v>
      </c>
      <c r="AB4579" t="s">
        <v>11784</v>
      </c>
      <c r="AC4579">
        <v>502</v>
      </c>
      <c r="AD4579">
        <v>200</v>
      </c>
      <c r="AE4579">
        <v>99</v>
      </c>
      <c r="AF4579">
        <v>280.89</v>
      </c>
      <c r="AG4579">
        <v>-2.6</v>
      </c>
      <c r="AH4579">
        <v>6.65</v>
      </c>
      <c r="AI4579">
        <v>-0.23</v>
      </c>
      <c r="AJ4579">
        <v>-0.05</v>
      </c>
      <c r="AK4579">
        <v>94</v>
      </c>
      <c r="AL4579">
        <v>427</v>
      </c>
      <c r="AM4579">
        <v>195</v>
      </c>
      <c r="AN4579">
        <v>8.4499999999999993</v>
      </c>
      <c r="AO4579">
        <v>-2.99</v>
      </c>
      <c r="AP4579">
        <v>745</v>
      </c>
      <c r="AQ4579">
        <v>1</v>
      </c>
      <c r="AR4579">
        <v>8.61</v>
      </c>
      <c r="AS4579">
        <v>94</v>
      </c>
      <c r="AT4579">
        <v>3.76</v>
      </c>
      <c r="AU4579">
        <v>98</v>
      </c>
      <c r="AV4579">
        <v>-1.62</v>
      </c>
      <c r="AW4579">
        <v>98</v>
      </c>
      <c r="AX4579">
        <v>-0.31</v>
      </c>
      <c r="AY4579">
        <v>96</v>
      </c>
      <c r="AZ4579">
        <v>5.26</v>
      </c>
      <c r="BA4579">
        <v>89</v>
      </c>
      <c r="BB4579">
        <v>4.59</v>
      </c>
      <c r="BC4579">
        <v>88</v>
      </c>
      <c r="BD4579">
        <v>-0.03</v>
      </c>
      <c r="BE4579">
        <v>0</v>
      </c>
      <c r="BF4579">
        <v>0.05</v>
      </c>
      <c r="BG4579">
        <v>98</v>
      </c>
      <c r="BH4579">
        <v>-0.08</v>
      </c>
      <c r="BI4579">
        <v>-2.87</v>
      </c>
      <c r="BJ4579">
        <v>307</v>
      </c>
      <c r="BK4579">
        <v>128</v>
      </c>
      <c r="BL4579">
        <v>1.72</v>
      </c>
      <c r="BM4579">
        <v>0.2</v>
      </c>
      <c r="BN4579">
        <v>2.5</v>
      </c>
      <c r="BO4579">
        <v>1.97</v>
      </c>
      <c r="BP4579">
        <v>1.79</v>
      </c>
      <c r="BQ4579">
        <v>2.5099999999999998</v>
      </c>
      <c r="BR4579">
        <v>1.39</v>
      </c>
      <c r="BS4579">
        <v>2.7</v>
      </c>
      <c r="BT4579">
        <v>-0.41</v>
      </c>
      <c r="BU4579">
        <v>2.36</v>
      </c>
      <c r="BV4579">
        <v>2.57</v>
      </c>
      <c r="BW4579">
        <v>2.2799999999999998</v>
      </c>
      <c r="BX4579">
        <v>0.96</v>
      </c>
      <c r="BY4579">
        <v>1.9</v>
      </c>
      <c r="BZ4579">
        <v>-0.03</v>
      </c>
      <c r="CA4579">
        <v>2.3199999999999998</v>
      </c>
      <c r="CB4579">
        <v>2.14</v>
      </c>
      <c r="CC4579">
        <v>2.04</v>
      </c>
      <c r="CD4579">
        <v>-0.67</v>
      </c>
      <c r="CE4579">
        <v>1.78</v>
      </c>
      <c r="CF4579">
        <v>2.15</v>
      </c>
      <c r="CG4579">
        <v>0</v>
      </c>
      <c r="CH4579">
        <v>1.86</v>
      </c>
      <c r="CI4579">
        <v>0</v>
      </c>
      <c r="CJ4579">
        <v>-3.3</v>
      </c>
      <c r="CK4579">
        <v>98</v>
      </c>
      <c r="CL4579">
        <v>-1.41</v>
      </c>
      <c r="CM4579">
        <v>97</v>
      </c>
      <c r="CN4579">
        <v>-0.75</v>
      </c>
      <c r="CO4579">
        <v>97</v>
      </c>
      <c r="CP4579">
        <v>2.7</v>
      </c>
      <c r="CQ4579">
        <v>98</v>
      </c>
      <c r="CR4579">
        <v>0</v>
      </c>
      <c r="CS4579">
        <v>0</v>
      </c>
      <c r="CT4579">
        <v>17.8</v>
      </c>
      <c r="CU4579">
        <v>96</v>
      </c>
      <c r="CV4579">
        <v>0.27</v>
      </c>
      <c r="CW4579">
        <v>46</v>
      </c>
      <c r="CX4579" t="s">
        <v>989</v>
      </c>
    </row>
    <row r="4580" spans="1:102" x14ac:dyDescent="0.3">
      <c r="A4580" t="str">
        <f>HYPERLINK("https://webapp.icbf.com/v2/app/bull-search/view/69091540","EAU")</f>
        <v>EAU</v>
      </c>
      <c r="B4580" t="s">
        <v>12448</v>
      </c>
      <c r="C4580" t="s">
        <v>12449</v>
      </c>
      <c r="D4580" s="1">
        <v>36579</v>
      </c>
      <c r="E4580" t="s">
        <v>92</v>
      </c>
      <c r="F4580">
        <v>97</v>
      </c>
      <c r="G4580" t="s">
        <v>93</v>
      </c>
      <c r="H4580">
        <v>-141.57</v>
      </c>
      <c r="I4580">
        <v>90</v>
      </c>
      <c r="J4580">
        <v>40.340000000000003</v>
      </c>
      <c r="K4580">
        <v>98</v>
      </c>
      <c r="L4580">
        <v>-161.66999999999999</v>
      </c>
      <c r="M4580">
        <v>83</v>
      </c>
      <c r="N4580">
        <v>-5.17</v>
      </c>
      <c r="O4580">
        <v>89</v>
      </c>
      <c r="P4580">
        <v>6.6</v>
      </c>
      <c r="Q4580">
        <v>96</v>
      </c>
      <c r="R4580">
        <v>-7.03</v>
      </c>
      <c r="S4580">
        <v>83</v>
      </c>
      <c r="T4580">
        <v>-10.67</v>
      </c>
      <c r="U4580">
        <v>92</v>
      </c>
      <c r="V4580">
        <v>-3.97</v>
      </c>
      <c r="W4580">
        <v>76</v>
      </c>
      <c r="X4580" t="s">
        <v>94</v>
      </c>
      <c r="Y4580" t="s">
        <v>95</v>
      </c>
      <c r="Z4580" t="s">
        <v>96</v>
      </c>
      <c r="AA4580" t="s">
        <v>174</v>
      </c>
      <c r="AB4580" t="s">
        <v>12450</v>
      </c>
      <c r="AC4580">
        <v>185</v>
      </c>
      <c r="AD4580">
        <v>159</v>
      </c>
      <c r="AE4580">
        <v>98</v>
      </c>
      <c r="AF4580">
        <v>247.08</v>
      </c>
      <c r="AG4580">
        <v>5.35</v>
      </c>
      <c r="AH4580">
        <v>8.75</v>
      </c>
      <c r="AI4580">
        <v>-7.0000000000000007E-2</v>
      </c>
      <c r="AJ4580">
        <v>0.01</v>
      </c>
      <c r="AK4580">
        <v>83</v>
      </c>
      <c r="AL4580">
        <v>201</v>
      </c>
      <c r="AM4580">
        <v>165</v>
      </c>
      <c r="AN4580">
        <v>8.2799999999999994</v>
      </c>
      <c r="AO4580">
        <v>-4.62</v>
      </c>
      <c r="AP4580">
        <v>283</v>
      </c>
      <c r="AQ4580">
        <v>2</v>
      </c>
      <c r="AR4580">
        <v>9.15</v>
      </c>
      <c r="AS4580">
        <v>78</v>
      </c>
      <c r="AT4580">
        <v>4.25</v>
      </c>
      <c r="AU4580">
        <v>91</v>
      </c>
      <c r="AV4580">
        <v>-1.56</v>
      </c>
      <c r="AW4580">
        <v>96</v>
      </c>
      <c r="AX4580">
        <v>-0.61</v>
      </c>
      <c r="AY4580">
        <v>89</v>
      </c>
      <c r="AZ4580">
        <v>7</v>
      </c>
      <c r="BA4580">
        <v>74</v>
      </c>
      <c r="BB4580">
        <v>5.51</v>
      </c>
      <c r="BC4580">
        <v>76</v>
      </c>
      <c r="BD4580">
        <v>0.01</v>
      </c>
      <c r="BE4580">
        <v>0.05</v>
      </c>
      <c r="BF4580">
        <v>0.05</v>
      </c>
      <c r="BG4580">
        <v>93</v>
      </c>
      <c r="BH4580">
        <v>-0.12</v>
      </c>
      <c r="BI4580">
        <v>-1.07</v>
      </c>
      <c r="BJ4580">
        <v>36</v>
      </c>
      <c r="BK4580">
        <v>30</v>
      </c>
      <c r="BL4580">
        <v>0.3</v>
      </c>
      <c r="BM4580">
        <v>1.33</v>
      </c>
      <c r="BN4580">
        <v>0.98</v>
      </c>
      <c r="BO4580">
        <v>0.2</v>
      </c>
      <c r="BP4580">
        <v>3.1</v>
      </c>
      <c r="BQ4580">
        <v>0.15</v>
      </c>
      <c r="BR4580">
        <v>-0.37</v>
      </c>
      <c r="BS4580">
        <v>-0.93</v>
      </c>
      <c r="BT4580">
        <v>0.75</v>
      </c>
      <c r="BU4580">
        <v>-0.04</v>
      </c>
      <c r="BV4580">
        <v>0.49</v>
      </c>
      <c r="BW4580">
        <v>0.77</v>
      </c>
      <c r="BX4580">
        <v>-0.19</v>
      </c>
      <c r="BY4580">
        <v>1.91</v>
      </c>
      <c r="BZ4580">
        <v>-1.78</v>
      </c>
      <c r="CA4580">
        <v>0.04</v>
      </c>
      <c r="CB4580">
        <v>0.56000000000000005</v>
      </c>
      <c r="CC4580">
        <v>-0.54</v>
      </c>
      <c r="CD4580">
        <v>0.93</v>
      </c>
      <c r="CE4580">
        <v>0.19</v>
      </c>
      <c r="CF4580">
        <v>0.24</v>
      </c>
      <c r="CG4580">
        <v>0</v>
      </c>
      <c r="CH4580">
        <v>1.61</v>
      </c>
      <c r="CI4580">
        <v>0</v>
      </c>
      <c r="CJ4580">
        <v>5.4</v>
      </c>
      <c r="CK4580">
        <v>97</v>
      </c>
      <c r="CL4580">
        <v>-0.61</v>
      </c>
      <c r="CM4580">
        <v>96</v>
      </c>
      <c r="CN4580">
        <v>-0.33</v>
      </c>
      <c r="CO4580">
        <v>95</v>
      </c>
      <c r="CP4580">
        <v>10.5</v>
      </c>
      <c r="CQ4580">
        <v>95</v>
      </c>
      <c r="CR4580">
        <v>0</v>
      </c>
      <c r="CS4580">
        <v>0</v>
      </c>
      <c r="CT4580">
        <v>28.2</v>
      </c>
      <c r="CU4580">
        <v>92</v>
      </c>
      <c r="CV4580">
        <v>0.17</v>
      </c>
      <c r="CW4580">
        <v>45</v>
      </c>
      <c r="CX4580" t="s">
        <v>3752</v>
      </c>
    </row>
    <row r="4581" spans="1:102" x14ac:dyDescent="0.3">
      <c r="A4581" t="str">
        <f>HYPERLINK("https://webapp.icbf.com/v2/app/bull-search/view/348453623","KYK")</f>
        <v>KYK</v>
      </c>
      <c r="B4581" t="s">
        <v>11704</v>
      </c>
      <c r="C4581" t="s">
        <v>11705</v>
      </c>
      <c r="D4581" s="1">
        <v>35627</v>
      </c>
      <c r="E4581" t="s">
        <v>92</v>
      </c>
      <c r="F4581">
        <v>100</v>
      </c>
      <c r="G4581" t="s">
        <v>93</v>
      </c>
      <c r="H4581">
        <v>-141.72</v>
      </c>
      <c r="I4581">
        <v>92</v>
      </c>
      <c r="J4581">
        <v>55.42</v>
      </c>
      <c r="K4581">
        <v>98</v>
      </c>
      <c r="L4581">
        <v>-180.96</v>
      </c>
      <c r="M4581">
        <v>91</v>
      </c>
      <c r="N4581">
        <v>0.12</v>
      </c>
      <c r="O4581">
        <v>86</v>
      </c>
      <c r="P4581">
        <v>-12.69</v>
      </c>
      <c r="Q4581">
        <v>92</v>
      </c>
      <c r="R4581">
        <v>-12.29</v>
      </c>
      <c r="S4581">
        <v>84</v>
      </c>
      <c r="T4581">
        <v>8.7200000000000006</v>
      </c>
      <c r="U4581">
        <v>87</v>
      </c>
      <c r="V4581">
        <v>-0.04</v>
      </c>
      <c r="W4581">
        <v>78</v>
      </c>
      <c r="X4581" t="s">
        <v>251</v>
      </c>
      <c r="Y4581" t="s">
        <v>95</v>
      </c>
      <c r="Z4581" t="s">
        <v>96</v>
      </c>
      <c r="AA4581" t="s">
        <v>3325</v>
      </c>
      <c r="AB4581" t="s">
        <v>11706</v>
      </c>
      <c r="AC4581">
        <v>132</v>
      </c>
      <c r="AD4581">
        <v>65</v>
      </c>
      <c r="AE4581">
        <v>98</v>
      </c>
      <c r="AF4581">
        <v>151.34</v>
      </c>
      <c r="AG4581">
        <v>12.64</v>
      </c>
      <c r="AH4581">
        <v>7.27</v>
      </c>
      <c r="AI4581">
        <v>0.11</v>
      </c>
      <c r="AJ4581">
        <v>0.04</v>
      </c>
      <c r="AK4581">
        <v>91</v>
      </c>
      <c r="AL4581">
        <v>124</v>
      </c>
      <c r="AM4581">
        <v>55</v>
      </c>
      <c r="AN4581">
        <v>9.94</v>
      </c>
      <c r="AO4581">
        <v>-4.49</v>
      </c>
      <c r="AP4581">
        <v>187</v>
      </c>
      <c r="AQ4581">
        <v>0</v>
      </c>
      <c r="AR4581">
        <v>9.02</v>
      </c>
      <c r="AS4581">
        <v>70</v>
      </c>
      <c r="AT4581">
        <v>4.08</v>
      </c>
      <c r="AU4581">
        <v>92</v>
      </c>
      <c r="AV4581">
        <v>-1.48</v>
      </c>
      <c r="AW4581">
        <v>94</v>
      </c>
      <c r="AX4581">
        <v>0.14000000000000001</v>
      </c>
      <c r="AY4581">
        <v>84</v>
      </c>
      <c r="AZ4581">
        <v>6.04</v>
      </c>
      <c r="BA4581">
        <v>67</v>
      </c>
      <c r="BB4581">
        <v>4.67</v>
      </c>
      <c r="BC4581">
        <v>68</v>
      </c>
      <c r="BD4581">
        <v>0.04</v>
      </c>
      <c r="BE4581">
        <v>0.04</v>
      </c>
      <c r="BF4581">
        <v>0.14000000000000001</v>
      </c>
      <c r="BG4581">
        <v>95</v>
      </c>
      <c r="BH4581">
        <v>-0.12</v>
      </c>
      <c r="BI4581">
        <v>-13.76</v>
      </c>
      <c r="BJ4581">
        <v>29</v>
      </c>
      <c r="BK4581">
        <v>14</v>
      </c>
      <c r="BL4581">
        <v>0.94</v>
      </c>
      <c r="BM4581">
        <v>0.66</v>
      </c>
      <c r="BN4581">
        <v>2.38</v>
      </c>
      <c r="BO4581">
        <v>1.36</v>
      </c>
      <c r="BP4581">
        <v>-1.67</v>
      </c>
      <c r="BQ4581">
        <v>3</v>
      </c>
      <c r="BR4581">
        <v>1.28</v>
      </c>
      <c r="BS4581">
        <v>-0.23</v>
      </c>
      <c r="BT4581">
        <v>-0.51</v>
      </c>
      <c r="BU4581">
        <v>1.33</v>
      </c>
      <c r="BV4581">
        <v>1.2</v>
      </c>
      <c r="BW4581">
        <v>0.16</v>
      </c>
      <c r="BX4581">
        <v>0.22</v>
      </c>
      <c r="BY4581">
        <v>1.54</v>
      </c>
      <c r="BZ4581">
        <v>-0.3</v>
      </c>
      <c r="CA4581">
        <v>0.59</v>
      </c>
      <c r="CB4581">
        <v>1.1000000000000001</v>
      </c>
      <c r="CC4581">
        <v>-0.2</v>
      </c>
      <c r="CD4581">
        <v>-0.68</v>
      </c>
      <c r="CE4581">
        <v>1.1000000000000001</v>
      </c>
      <c r="CF4581">
        <v>1.04</v>
      </c>
      <c r="CG4581">
        <v>0</v>
      </c>
      <c r="CH4581">
        <v>1.54</v>
      </c>
      <c r="CI4581">
        <v>0</v>
      </c>
      <c r="CJ4581">
        <v>-1.6</v>
      </c>
      <c r="CK4581">
        <v>93</v>
      </c>
      <c r="CL4581">
        <v>-1.01</v>
      </c>
      <c r="CM4581">
        <v>92</v>
      </c>
      <c r="CN4581">
        <v>-0.06</v>
      </c>
      <c r="CO4581">
        <v>91</v>
      </c>
      <c r="CP4581">
        <v>-5.0999999999999996</v>
      </c>
      <c r="CQ4581">
        <v>92</v>
      </c>
      <c r="CR4581">
        <v>0</v>
      </c>
      <c r="CS4581">
        <v>0</v>
      </c>
      <c r="CT4581">
        <v>2</v>
      </c>
      <c r="CU4581">
        <v>87</v>
      </c>
      <c r="CV4581">
        <v>0.26</v>
      </c>
      <c r="CW4581">
        <v>44</v>
      </c>
      <c r="CX4581" t="s">
        <v>485</v>
      </c>
    </row>
    <row r="4582" spans="1:102" x14ac:dyDescent="0.3">
      <c r="A4582" t="str">
        <f>HYPERLINK("https://webapp.icbf.com/v2/app/bull-search/view/77857747","EVI")</f>
        <v>EVI</v>
      </c>
      <c r="B4582" t="s">
        <v>2525</v>
      </c>
      <c r="C4582" t="s">
        <v>2526</v>
      </c>
      <c r="D4582" s="1">
        <v>33052</v>
      </c>
      <c r="E4582" t="s">
        <v>92</v>
      </c>
      <c r="F4582">
        <v>100</v>
      </c>
      <c r="G4582" t="s">
        <v>93</v>
      </c>
      <c r="H4582">
        <v>-141.86000000000001</v>
      </c>
      <c r="I4582">
        <v>89</v>
      </c>
      <c r="J4582">
        <v>-5.97</v>
      </c>
      <c r="K4582">
        <v>98</v>
      </c>
      <c r="L4582">
        <v>-121.83</v>
      </c>
      <c r="M4582">
        <v>88</v>
      </c>
      <c r="N4582">
        <v>-2.99</v>
      </c>
      <c r="O4582">
        <v>81</v>
      </c>
      <c r="P4582">
        <v>-15.49</v>
      </c>
      <c r="Q4582">
        <v>91</v>
      </c>
      <c r="R4582">
        <v>2.06</v>
      </c>
      <c r="S4582">
        <v>78</v>
      </c>
      <c r="T4582">
        <v>7.61</v>
      </c>
      <c r="U4582">
        <v>87</v>
      </c>
      <c r="V4582">
        <v>-5.25</v>
      </c>
      <c r="W4582">
        <v>56</v>
      </c>
      <c r="X4582" t="s">
        <v>94</v>
      </c>
      <c r="Y4582" t="s">
        <v>95</v>
      </c>
      <c r="Z4582" t="s">
        <v>96</v>
      </c>
      <c r="AA4582" t="s">
        <v>111</v>
      </c>
      <c r="AB4582" t="s">
        <v>2527</v>
      </c>
      <c r="AC4582">
        <v>213</v>
      </c>
      <c r="AD4582">
        <v>110</v>
      </c>
      <c r="AE4582">
        <v>98</v>
      </c>
      <c r="AF4582">
        <v>307.60000000000002</v>
      </c>
      <c r="AG4582">
        <v>1.1100000000000001</v>
      </c>
      <c r="AH4582">
        <v>3.3</v>
      </c>
      <c r="AI4582">
        <v>-0.17</v>
      </c>
      <c r="AJ4582">
        <v>-0.11</v>
      </c>
      <c r="AK4582">
        <v>88</v>
      </c>
      <c r="AL4582">
        <v>208</v>
      </c>
      <c r="AM4582">
        <v>90</v>
      </c>
      <c r="AN4582">
        <v>7.07</v>
      </c>
      <c r="AO4582">
        <v>-2.64</v>
      </c>
      <c r="AP4582">
        <v>71</v>
      </c>
      <c r="AQ4582">
        <v>0</v>
      </c>
      <c r="AR4582">
        <v>8.9499999999999993</v>
      </c>
      <c r="AS4582">
        <v>73</v>
      </c>
      <c r="AT4582">
        <v>4.07</v>
      </c>
      <c r="AU4582">
        <v>78</v>
      </c>
      <c r="AV4582">
        <v>-1.1399999999999999</v>
      </c>
      <c r="AW4582">
        <v>87</v>
      </c>
      <c r="AX4582">
        <v>0.39</v>
      </c>
      <c r="AY4582">
        <v>87</v>
      </c>
      <c r="AZ4582">
        <v>6.11</v>
      </c>
      <c r="BA4582">
        <v>59</v>
      </c>
      <c r="BB4582">
        <v>4.6900000000000004</v>
      </c>
      <c r="BC4582">
        <v>74</v>
      </c>
      <c r="BD4582">
        <v>0.04</v>
      </c>
      <c r="BE4582">
        <v>0.04</v>
      </c>
      <c r="BF4582">
        <v>-0.19</v>
      </c>
      <c r="BG4582">
        <v>93</v>
      </c>
      <c r="BH4582">
        <v>-7.0000000000000007E-2</v>
      </c>
      <c r="BI4582">
        <v>8.83</v>
      </c>
      <c r="BJ4582">
        <v>44</v>
      </c>
      <c r="BK4582">
        <v>20</v>
      </c>
      <c r="BL4582">
        <v>0.6</v>
      </c>
      <c r="BM4582">
        <v>-0.98</v>
      </c>
      <c r="BN4582">
        <v>0.88</v>
      </c>
      <c r="BO4582">
        <v>0.81</v>
      </c>
      <c r="BP4582">
        <v>0.5</v>
      </c>
      <c r="BQ4582">
        <v>-1.58</v>
      </c>
      <c r="BR4582">
        <v>1.9</v>
      </c>
      <c r="BS4582">
        <v>-2.16</v>
      </c>
      <c r="BT4582">
        <v>-2.57</v>
      </c>
      <c r="BU4582">
        <v>0.56999999999999995</v>
      </c>
      <c r="BV4582">
        <v>-0.37</v>
      </c>
      <c r="BW4582">
        <v>-0.34</v>
      </c>
      <c r="BX4582">
        <v>0.05</v>
      </c>
      <c r="BY4582">
        <v>-0.41</v>
      </c>
      <c r="BZ4582">
        <v>0.11</v>
      </c>
      <c r="CA4582">
        <v>-0.76</v>
      </c>
      <c r="CB4582">
        <v>-0.17</v>
      </c>
      <c r="CC4582">
        <v>-1.52</v>
      </c>
      <c r="CD4582">
        <v>-1.27</v>
      </c>
      <c r="CE4582">
        <v>0.4</v>
      </c>
      <c r="CF4582">
        <v>0.93</v>
      </c>
      <c r="CG4582">
        <v>0</v>
      </c>
      <c r="CH4582">
        <v>-0.3</v>
      </c>
      <c r="CI4582">
        <v>0</v>
      </c>
      <c r="CJ4582">
        <v>-4.4000000000000004</v>
      </c>
      <c r="CK4582">
        <v>92</v>
      </c>
      <c r="CL4582">
        <v>-0.92</v>
      </c>
      <c r="CM4582">
        <v>90</v>
      </c>
      <c r="CN4582">
        <v>-0.1</v>
      </c>
      <c r="CO4582">
        <v>89</v>
      </c>
      <c r="CP4582">
        <v>-7.3</v>
      </c>
      <c r="CQ4582">
        <v>93</v>
      </c>
      <c r="CR4582">
        <v>0</v>
      </c>
      <c r="CS4582">
        <v>0</v>
      </c>
      <c r="CT4582">
        <v>3.5</v>
      </c>
      <c r="CU4582">
        <v>87</v>
      </c>
      <c r="CV4582">
        <v>0.21</v>
      </c>
      <c r="CW4582">
        <v>27</v>
      </c>
      <c r="CX4582" t="s">
        <v>543</v>
      </c>
    </row>
    <row r="4583" spans="1:102" x14ac:dyDescent="0.3">
      <c r="A4583" t="str">
        <f>HYPERLINK("https://webapp.icbf.com/v2/app/bull-search/view/108368032","MNG")</f>
        <v>MNG</v>
      </c>
      <c r="B4583" t="s">
        <v>11136</v>
      </c>
      <c r="C4583" t="s">
        <v>11137</v>
      </c>
      <c r="D4583" s="1">
        <v>35144</v>
      </c>
      <c r="E4583" t="s">
        <v>92</v>
      </c>
      <c r="F4583">
        <v>100</v>
      </c>
      <c r="G4583" t="s">
        <v>93</v>
      </c>
      <c r="H4583">
        <v>-141.93</v>
      </c>
      <c r="I4583">
        <v>91</v>
      </c>
      <c r="J4583">
        <v>33.69</v>
      </c>
      <c r="K4583">
        <v>98</v>
      </c>
      <c r="L4583">
        <v>-159.65</v>
      </c>
      <c r="M4583">
        <v>89</v>
      </c>
      <c r="N4583">
        <v>-12.87</v>
      </c>
      <c r="O4583">
        <v>90</v>
      </c>
      <c r="P4583">
        <v>-3.56</v>
      </c>
      <c r="Q4583">
        <v>95</v>
      </c>
      <c r="R4583">
        <v>1.35</v>
      </c>
      <c r="S4583">
        <v>84</v>
      </c>
      <c r="T4583">
        <v>2.95</v>
      </c>
      <c r="U4583">
        <v>84</v>
      </c>
      <c r="V4583">
        <v>-3.84</v>
      </c>
      <c r="W4583">
        <v>77</v>
      </c>
      <c r="X4583" t="s">
        <v>94</v>
      </c>
      <c r="Y4583" t="s">
        <v>95</v>
      </c>
      <c r="Z4583" t="s">
        <v>96</v>
      </c>
      <c r="AA4583" t="s">
        <v>924</v>
      </c>
      <c r="AB4583" t="s">
        <v>11138</v>
      </c>
      <c r="AC4583">
        <v>193</v>
      </c>
      <c r="AD4583">
        <v>82</v>
      </c>
      <c r="AE4583">
        <v>98</v>
      </c>
      <c r="AF4583">
        <v>261.8</v>
      </c>
      <c r="AG4583">
        <v>3.07</v>
      </c>
      <c r="AH4583">
        <v>8.65</v>
      </c>
      <c r="AI4583">
        <v>-0.12</v>
      </c>
      <c r="AJ4583">
        <v>0</v>
      </c>
      <c r="AK4583">
        <v>89</v>
      </c>
      <c r="AL4583">
        <v>182</v>
      </c>
      <c r="AM4583">
        <v>76</v>
      </c>
      <c r="AN4583">
        <v>9.6199999999999992</v>
      </c>
      <c r="AO4583">
        <v>-3.1</v>
      </c>
      <c r="AP4583">
        <v>329</v>
      </c>
      <c r="AQ4583">
        <v>0</v>
      </c>
      <c r="AR4583">
        <v>9</v>
      </c>
      <c r="AS4583">
        <v>91</v>
      </c>
      <c r="AT4583">
        <v>4.03</v>
      </c>
      <c r="AU4583">
        <v>91</v>
      </c>
      <c r="AV4583">
        <v>0.38</v>
      </c>
      <c r="AW4583">
        <v>96</v>
      </c>
      <c r="AX4583">
        <v>0.12</v>
      </c>
      <c r="AY4583">
        <v>88</v>
      </c>
      <c r="AZ4583">
        <v>5.5</v>
      </c>
      <c r="BA4583">
        <v>76</v>
      </c>
      <c r="BB4583">
        <v>4.62</v>
      </c>
      <c r="BC4583">
        <v>75</v>
      </c>
      <c r="BD4583">
        <v>0.03</v>
      </c>
      <c r="BE4583">
        <v>0.01</v>
      </c>
      <c r="BF4583">
        <v>-0.1</v>
      </c>
      <c r="BG4583">
        <v>93</v>
      </c>
      <c r="BH4583">
        <v>0.13</v>
      </c>
      <c r="BI4583">
        <v>27.43</v>
      </c>
      <c r="BJ4583">
        <v>29</v>
      </c>
      <c r="BK4583">
        <v>18</v>
      </c>
      <c r="BL4583">
        <v>0.87</v>
      </c>
      <c r="BM4583">
        <v>0.09</v>
      </c>
      <c r="BN4583">
        <v>0.97</v>
      </c>
      <c r="BO4583">
        <v>0.85</v>
      </c>
      <c r="BP4583">
        <v>1.77</v>
      </c>
      <c r="BQ4583">
        <v>-7.0000000000000007E-2</v>
      </c>
      <c r="BR4583">
        <v>1.86</v>
      </c>
      <c r="BS4583">
        <v>-1.41</v>
      </c>
      <c r="BT4583">
        <v>-1.56</v>
      </c>
      <c r="BU4583">
        <v>1.33</v>
      </c>
      <c r="BV4583">
        <v>-1.01</v>
      </c>
      <c r="BW4583">
        <v>0.6</v>
      </c>
      <c r="BX4583">
        <v>0.85</v>
      </c>
      <c r="BY4583">
        <v>1.86</v>
      </c>
      <c r="BZ4583">
        <v>0.62</v>
      </c>
      <c r="CA4583">
        <v>0.39</v>
      </c>
      <c r="CB4583">
        <v>0.81</v>
      </c>
      <c r="CC4583">
        <v>-0.69</v>
      </c>
      <c r="CD4583">
        <v>0.08</v>
      </c>
      <c r="CE4583">
        <v>0.84</v>
      </c>
      <c r="CF4583">
        <v>1.01</v>
      </c>
      <c r="CG4583">
        <v>0</v>
      </c>
      <c r="CH4583">
        <v>2.21</v>
      </c>
      <c r="CI4583">
        <v>0</v>
      </c>
      <c r="CJ4583">
        <v>1.1000000000000001</v>
      </c>
      <c r="CK4583">
        <v>96</v>
      </c>
      <c r="CL4583">
        <v>-0.99</v>
      </c>
      <c r="CM4583">
        <v>95</v>
      </c>
      <c r="CN4583">
        <v>-0.38</v>
      </c>
      <c r="CO4583">
        <v>95</v>
      </c>
      <c r="CP4583">
        <v>4.5999999999999996</v>
      </c>
      <c r="CQ4583">
        <v>94</v>
      </c>
      <c r="CR4583">
        <v>0</v>
      </c>
      <c r="CS4583">
        <v>0</v>
      </c>
      <c r="CT4583">
        <v>9.8000000000000007</v>
      </c>
      <c r="CU4583">
        <v>84</v>
      </c>
      <c r="CV4583">
        <v>0.19</v>
      </c>
      <c r="CW4583">
        <v>45</v>
      </c>
      <c r="CX4583" t="s">
        <v>111</v>
      </c>
    </row>
    <row r="4584" spans="1:102" x14ac:dyDescent="0.3">
      <c r="A4584" t="str">
        <f>HYPERLINK("https://webapp.icbf.com/v2/app/bull-search/view/77854624","OSG")</f>
        <v>OSG</v>
      </c>
      <c r="B4584" t="s">
        <v>7038</v>
      </c>
      <c r="C4584" t="s">
        <v>7039</v>
      </c>
      <c r="D4584" s="1">
        <v>33554</v>
      </c>
      <c r="E4584" t="s">
        <v>92</v>
      </c>
      <c r="F4584">
        <v>100</v>
      </c>
      <c r="G4584" t="s">
        <v>93</v>
      </c>
      <c r="H4584">
        <v>-142.16</v>
      </c>
      <c r="I4584">
        <v>85</v>
      </c>
      <c r="J4584">
        <v>-13.5</v>
      </c>
      <c r="K4584">
        <v>97</v>
      </c>
      <c r="L4584">
        <v>-120.54</v>
      </c>
      <c r="M4584">
        <v>84</v>
      </c>
      <c r="N4584">
        <v>-2.5099999999999998</v>
      </c>
      <c r="O4584">
        <v>75</v>
      </c>
      <c r="P4584">
        <v>-10.91</v>
      </c>
      <c r="Q4584">
        <v>84</v>
      </c>
      <c r="R4584">
        <v>-12.66</v>
      </c>
      <c r="S4584">
        <v>74</v>
      </c>
      <c r="T4584">
        <v>16.71</v>
      </c>
      <c r="U4584">
        <v>79</v>
      </c>
      <c r="V4584">
        <v>1.25</v>
      </c>
      <c r="W4584">
        <v>39</v>
      </c>
      <c r="X4584" t="s">
        <v>110</v>
      </c>
      <c r="Y4584" t="s">
        <v>95</v>
      </c>
      <c r="Z4584" t="s">
        <v>96</v>
      </c>
      <c r="AA4584" t="s">
        <v>118</v>
      </c>
      <c r="AB4584" t="s">
        <v>7040</v>
      </c>
      <c r="AC4584">
        <v>148</v>
      </c>
      <c r="AD4584">
        <v>64</v>
      </c>
      <c r="AE4584">
        <v>97</v>
      </c>
      <c r="AF4584">
        <v>103.96</v>
      </c>
      <c r="AG4584">
        <v>-3.01</v>
      </c>
      <c r="AH4584">
        <v>0.36</v>
      </c>
      <c r="AI4584">
        <v>-0.11</v>
      </c>
      <c r="AJ4584">
        <v>-0.05</v>
      </c>
      <c r="AK4584">
        <v>84</v>
      </c>
      <c r="AL4584">
        <v>127</v>
      </c>
      <c r="AM4584">
        <v>54</v>
      </c>
      <c r="AN4584">
        <v>6.04</v>
      </c>
      <c r="AO4584">
        <v>-3.58</v>
      </c>
      <c r="AP4584">
        <v>17</v>
      </c>
      <c r="AQ4584">
        <v>0</v>
      </c>
      <c r="AR4584">
        <v>10.029999999999999</v>
      </c>
      <c r="AS4584">
        <v>53</v>
      </c>
      <c r="AT4584">
        <v>4.3899999999999997</v>
      </c>
      <c r="AU4584">
        <v>86</v>
      </c>
      <c r="AV4584">
        <v>-1.99</v>
      </c>
      <c r="AW4584">
        <v>78</v>
      </c>
      <c r="AX4584">
        <v>0.08</v>
      </c>
      <c r="AY4584">
        <v>79</v>
      </c>
      <c r="AZ4584">
        <v>6.64</v>
      </c>
      <c r="BA4584">
        <v>51</v>
      </c>
      <c r="BB4584">
        <v>4.5199999999999996</v>
      </c>
      <c r="BC4584">
        <v>64</v>
      </c>
      <c r="BD4584">
        <v>0.06</v>
      </c>
      <c r="BE4584">
        <v>0.09</v>
      </c>
      <c r="BF4584">
        <v>0.02</v>
      </c>
      <c r="BG4584">
        <v>92</v>
      </c>
      <c r="BH4584">
        <v>0.09</v>
      </c>
      <c r="BI4584">
        <v>6.37</v>
      </c>
      <c r="BJ4584">
        <v>5</v>
      </c>
      <c r="BK4584">
        <v>4</v>
      </c>
      <c r="BL4584">
        <v>0.73</v>
      </c>
      <c r="BM4584">
        <v>0.78</v>
      </c>
      <c r="BN4584">
        <v>1.25</v>
      </c>
      <c r="BO4584">
        <v>0.87</v>
      </c>
      <c r="BP4584">
        <v>1.91</v>
      </c>
      <c r="BQ4584">
        <v>0.16</v>
      </c>
      <c r="BR4584">
        <v>0.06</v>
      </c>
      <c r="BS4584">
        <v>-0.6</v>
      </c>
      <c r="BT4584">
        <v>0.33</v>
      </c>
      <c r="BU4584">
        <v>-1.08</v>
      </c>
      <c r="BV4584">
        <v>0.38</v>
      </c>
      <c r="BW4584">
        <v>0.71</v>
      </c>
      <c r="BX4584">
        <v>-1.97</v>
      </c>
      <c r="BY4584">
        <v>0.25</v>
      </c>
      <c r="BZ4584">
        <v>-2.08</v>
      </c>
      <c r="CA4584">
        <v>-0.33</v>
      </c>
      <c r="CB4584">
        <v>-0.26</v>
      </c>
      <c r="CC4584">
        <v>-0.11</v>
      </c>
      <c r="CD4584">
        <v>-0.27</v>
      </c>
      <c r="CE4584">
        <v>0.23</v>
      </c>
      <c r="CF4584">
        <v>0.54</v>
      </c>
      <c r="CG4584">
        <v>0</v>
      </c>
      <c r="CH4584">
        <v>0.85</v>
      </c>
      <c r="CI4584">
        <v>0</v>
      </c>
      <c r="CJ4584">
        <v>-3.8</v>
      </c>
      <c r="CK4584">
        <v>85</v>
      </c>
      <c r="CL4584">
        <v>-0.88</v>
      </c>
      <c r="CM4584">
        <v>82</v>
      </c>
      <c r="CN4584">
        <v>-0.37</v>
      </c>
      <c r="CO4584">
        <v>79</v>
      </c>
      <c r="CP4584">
        <v>-6.1</v>
      </c>
      <c r="CQ4584">
        <v>92</v>
      </c>
      <c r="CR4584">
        <v>0</v>
      </c>
      <c r="CS4584">
        <v>0</v>
      </c>
      <c r="CT4584">
        <v>-8.8000000000000007</v>
      </c>
      <c r="CU4584">
        <v>79</v>
      </c>
      <c r="CV4584">
        <v>0.21</v>
      </c>
      <c r="CW4584">
        <v>24</v>
      </c>
      <c r="CX4584" t="s">
        <v>648</v>
      </c>
    </row>
    <row r="4585" spans="1:102" x14ac:dyDescent="0.3">
      <c r="A4585" t="str">
        <f>HYPERLINK("https://webapp.icbf.com/v2/app/bull-search/view/69092113","LFA")</f>
        <v>LFA</v>
      </c>
      <c r="B4585" t="s">
        <v>1147</v>
      </c>
      <c r="C4585" t="s">
        <v>1148</v>
      </c>
      <c r="D4585" s="1">
        <v>34132</v>
      </c>
      <c r="E4585" t="s">
        <v>108</v>
      </c>
      <c r="F4585">
        <v>0</v>
      </c>
      <c r="G4585" t="s">
        <v>109</v>
      </c>
      <c r="H4585">
        <v>-142.22999999999999</v>
      </c>
      <c r="I4585">
        <v>65</v>
      </c>
      <c r="J4585">
        <v>-5.05</v>
      </c>
      <c r="K4585">
        <v>78</v>
      </c>
      <c r="L4585">
        <v>-122.15</v>
      </c>
      <c r="M4585">
        <v>76</v>
      </c>
      <c r="N4585">
        <v>5.15</v>
      </c>
      <c r="O4585">
        <v>51</v>
      </c>
      <c r="P4585">
        <v>-13.88</v>
      </c>
      <c r="Q4585">
        <v>44</v>
      </c>
      <c r="R4585">
        <v>-8.35</v>
      </c>
      <c r="S4585">
        <v>59</v>
      </c>
      <c r="T4585">
        <v>6.65</v>
      </c>
      <c r="U4585">
        <v>34</v>
      </c>
      <c r="V4585">
        <v>-4.5999999999999996</v>
      </c>
      <c r="W4585">
        <v>23</v>
      </c>
      <c r="X4585" t="s">
        <v>94</v>
      </c>
      <c r="Y4585" t="s">
        <v>95</v>
      </c>
      <c r="Z4585" t="s">
        <v>96</v>
      </c>
      <c r="AA4585" t="s">
        <v>1149</v>
      </c>
      <c r="AB4585" t="s">
        <v>1150</v>
      </c>
      <c r="AC4585">
        <v>0</v>
      </c>
      <c r="AD4585">
        <v>0</v>
      </c>
      <c r="AE4585">
        <v>78</v>
      </c>
      <c r="AF4585">
        <v>222.02</v>
      </c>
      <c r="AG4585">
        <v>-2.97</v>
      </c>
      <c r="AH4585">
        <v>3.59</v>
      </c>
      <c r="AI4585">
        <v>-0.19</v>
      </c>
      <c r="AJ4585">
        <v>-0.06</v>
      </c>
      <c r="AK4585">
        <v>76</v>
      </c>
      <c r="AL4585">
        <v>0</v>
      </c>
      <c r="AM4585">
        <v>0</v>
      </c>
      <c r="AN4585">
        <v>7.53</v>
      </c>
      <c r="AO4585">
        <v>-2.2000000000000002</v>
      </c>
      <c r="AP4585">
        <v>4</v>
      </c>
      <c r="AQ4585">
        <v>18</v>
      </c>
      <c r="AR4585">
        <v>8.4</v>
      </c>
      <c r="AS4585">
        <v>20</v>
      </c>
      <c r="AT4585">
        <v>3.82</v>
      </c>
      <c r="AU4585">
        <v>78</v>
      </c>
      <c r="AV4585">
        <v>-1.58</v>
      </c>
      <c r="AW4585">
        <v>53</v>
      </c>
      <c r="AX4585">
        <v>-0.74</v>
      </c>
      <c r="AY4585">
        <v>48</v>
      </c>
      <c r="AZ4585">
        <v>6.74</v>
      </c>
      <c r="BA4585">
        <v>20</v>
      </c>
      <c r="BB4585">
        <v>5.0199999999999996</v>
      </c>
      <c r="BC4585">
        <v>23</v>
      </c>
      <c r="BD4585">
        <v>0.06</v>
      </c>
      <c r="BE4585">
        <v>0.08</v>
      </c>
      <c r="BF4585">
        <v>-0.06</v>
      </c>
      <c r="BG4585">
        <v>87</v>
      </c>
      <c r="BH4585">
        <v>-0.11</v>
      </c>
      <c r="BI4585">
        <v>2.11</v>
      </c>
      <c r="BJ4585">
        <v>0</v>
      </c>
      <c r="BK4585">
        <v>0</v>
      </c>
      <c r="BL4585">
        <v>-0.06</v>
      </c>
      <c r="BM4585">
        <v>-2.1800000000000002</v>
      </c>
      <c r="BN4585">
        <v>-1.05</v>
      </c>
      <c r="BO4585">
        <v>0.6</v>
      </c>
      <c r="BP4585">
        <v>1.79</v>
      </c>
      <c r="BQ4585">
        <v>-0.38</v>
      </c>
      <c r="BR4585">
        <v>0.91</v>
      </c>
      <c r="BS4585">
        <v>0.44</v>
      </c>
      <c r="BT4585">
        <v>-0.62</v>
      </c>
      <c r="BU4585">
        <v>0.62</v>
      </c>
      <c r="BV4585">
        <v>1</v>
      </c>
      <c r="BW4585">
        <v>1.45</v>
      </c>
      <c r="BX4585">
        <v>1.28</v>
      </c>
      <c r="BY4585">
        <v>1.25</v>
      </c>
      <c r="BZ4585">
        <v>-2.11</v>
      </c>
      <c r="CA4585">
        <v>0.73</v>
      </c>
      <c r="CB4585">
        <v>0.85</v>
      </c>
      <c r="CC4585">
        <v>0.1</v>
      </c>
      <c r="CD4585">
        <v>-0.94</v>
      </c>
      <c r="CE4585">
        <v>0</v>
      </c>
      <c r="CF4585">
        <v>0</v>
      </c>
      <c r="CG4585">
        <v>0</v>
      </c>
      <c r="CH4585">
        <v>0</v>
      </c>
      <c r="CI4585">
        <v>0</v>
      </c>
      <c r="CJ4585">
        <v>-7.2</v>
      </c>
      <c r="CK4585">
        <v>46</v>
      </c>
      <c r="CL4585">
        <v>-0.53</v>
      </c>
      <c r="CM4585">
        <v>42</v>
      </c>
      <c r="CN4585">
        <v>-0.22</v>
      </c>
      <c r="CO4585">
        <v>39</v>
      </c>
      <c r="CP4585">
        <v>-7</v>
      </c>
      <c r="CQ4585">
        <v>41</v>
      </c>
      <c r="CR4585">
        <v>0</v>
      </c>
      <c r="CS4585">
        <v>0</v>
      </c>
      <c r="CT4585">
        <v>4.8</v>
      </c>
      <c r="CU4585">
        <v>34</v>
      </c>
      <c r="CV4585">
        <v>-0.02</v>
      </c>
      <c r="CW4585">
        <v>12</v>
      </c>
      <c r="CX4585" t="s">
        <v>132</v>
      </c>
    </row>
    <row r="4586" spans="1:102" x14ac:dyDescent="0.3">
      <c r="A4586" t="str">
        <f>HYPERLINK("https://webapp.icbf.com/v2/app/bull-search/view/268154383","DDJ")</f>
        <v>DDJ</v>
      </c>
      <c r="B4586" t="s">
        <v>1604</v>
      </c>
      <c r="C4586" t="s">
        <v>1605</v>
      </c>
      <c r="D4586" s="1">
        <v>36149</v>
      </c>
      <c r="E4586" t="s">
        <v>92</v>
      </c>
      <c r="F4586">
        <v>100</v>
      </c>
      <c r="G4586" t="s">
        <v>109</v>
      </c>
      <c r="H4586">
        <v>-142.28</v>
      </c>
      <c r="I4586">
        <v>86</v>
      </c>
      <c r="J4586">
        <v>12.54</v>
      </c>
      <c r="K4586">
        <v>94</v>
      </c>
      <c r="L4586">
        <v>-171.62</v>
      </c>
      <c r="M4586">
        <v>88</v>
      </c>
      <c r="N4586">
        <v>14.66</v>
      </c>
      <c r="O4586">
        <v>79</v>
      </c>
      <c r="P4586">
        <v>5.26</v>
      </c>
      <c r="Q4586">
        <v>81</v>
      </c>
      <c r="R4586">
        <v>-7.9</v>
      </c>
      <c r="S4586">
        <v>79</v>
      </c>
      <c r="T4586">
        <v>-1.27</v>
      </c>
      <c r="U4586">
        <v>73</v>
      </c>
      <c r="V4586">
        <v>6.05</v>
      </c>
      <c r="W4586">
        <v>65</v>
      </c>
      <c r="X4586" t="s">
        <v>94</v>
      </c>
      <c r="Y4586" t="s">
        <v>95</v>
      </c>
      <c r="Z4586" t="s">
        <v>96</v>
      </c>
      <c r="AA4586" t="s">
        <v>1606</v>
      </c>
      <c r="AB4586" t="s">
        <v>1607</v>
      </c>
      <c r="AC4586">
        <v>0</v>
      </c>
      <c r="AD4586">
        <v>0</v>
      </c>
      <c r="AE4586">
        <v>94</v>
      </c>
      <c r="AF4586">
        <v>371.3</v>
      </c>
      <c r="AG4586">
        <v>2.2799999999999998</v>
      </c>
      <c r="AH4586">
        <v>7.01</v>
      </c>
      <c r="AI4586">
        <v>-0.2</v>
      </c>
      <c r="AJ4586">
        <v>-0.09</v>
      </c>
      <c r="AK4586">
        <v>88</v>
      </c>
      <c r="AL4586">
        <v>0</v>
      </c>
      <c r="AM4586">
        <v>0</v>
      </c>
      <c r="AN4586">
        <v>9.08</v>
      </c>
      <c r="AO4586">
        <v>-4.6100000000000003</v>
      </c>
      <c r="AP4586">
        <v>78</v>
      </c>
      <c r="AQ4586">
        <v>1</v>
      </c>
      <c r="AR4586">
        <v>7.64</v>
      </c>
      <c r="AS4586">
        <v>67</v>
      </c>
      <c r="AT4586">
        <v>2.94</v>
      </c>
      <c r="AU4586">
        <v>90</v>
      </c>
      <c r="AV4586">
        <v>-1.27</v>
      </c>
      <c r="AW4586">
        <v>87</v>
      </c>
      <c r="AX4586">
        <v>0.61</v>
      </c>
      <c r="AY4586">
        <v>69</v>
      </c>
      <c r="AZ4586">
        <v>5.19</v>
      </c>
      <c r="BA4586">
        <v>55</v>
      </c>
      <c r="BB4586">
        <v>4.3899999999999997</v>
      </c>
      <c r="BC4586">
        <v>55</v>
      </c>
      <c r="BD4586">
        <v>0.01</v>
      </c>
      <c r="BE4586">
        <v>0.05</v>
      </c>
      <c r="BF4586">
        <v>7.0000000000000007E-2</v>
      </c>
      <c r="BG4586">
        <v>93</v>
      </c>
      <c r="BH4586">
        <v>0.15</v>
      </c>
      <c r="BI4586">
        <v>-2.17</v>
      </c>
      <c r="BJ4586">
        <v>6</v>
      </c>
      <c r="BK4586">
        <v>2</v>
      </c>
      <c r="BL4586">
        <v>0.12</v>
      </c>
      <c r="BM4586">
        <v>-0.6</v>
      </c>
      <c r="BN4586">
        <v>-0.11</v>
      </c>
      <c r="BO4586">
        <v>0.87</v>
      </c>
      <c r="BP4586">
        <v>-0.06</v>
      </c>
      <c r="BQ4586">
        <v>-0.93</v>
      </c>
      <c r="BR4586">
        <v>0.57999999999999996</v>
      </c>
      <c r="BS4586">
        <v>2.27</v>
      </c>
      <c r="BT4586">
        <v>-0.36</v>
      </c>
      <c r="BU4586">
        <v>1.48</v>
      </c>
      <c r="BV4586">
        <v>1.75</v>
      </c>
      <c r="BW4586">
        <v>1.4</v>
      </c>
      <c r="BX4586">
        <v>0.31</v>
      </c>
      <c r="BY4586">
        <v>0.39</v>
      </c>
      <c r="BZ4586">
        <v>0.54</v>
      </c>
      <c r="CA4586">
        <v>2.0099999999999998</v>
      </c>
      <c r="CB4586">
        <v>1.62</v>
      </c>
      <c r="CC4586">
        <v>1.44</v>
      </c>
      <c r="CD4586">
        <v>-0.74</v>
      </c>
      <c r="CE4586">
        <v>0.17</v>
      </c>
      <c r="CF4586">
        <v>-0.4</v>
      </c>
      <c r="CG4586">
        <v>0</v>
      </c>
      <c r="CH4586">
        <v>0.41</v>
      </c>
      <c r="CI4586">
        <v>0</v>
      </c>
      <c r="CJ4586">
        <v>3.1</v>
      </c>
      <c r="CK4586">
        <v>83</v>
      </c>
      <c r="CL4586">
        <v>-0.51</v>
      </c>
      <c r="CM4586">
        <v>80</v>
      </c>
      <c r="CN4586">
        <v>-0.49</v>
      </c>
      <c r="CO4586">
        <v>77</v>
      </c>
      <c r="CP4586">
        <v>3.4</v>
      </c>
      <c r="CQ4586">
        <v>80</v>
      </c>
      <c r="CR4586">
        <v>0</v>
      </c>
      <c r="CS4586">
        <v>0</v>
      </c>
      <c r="CT4586">
        <v>15.5</v>
      </c>
      <c r="CU4586">
        <v>73</v>
      </c>
      <c r="CV4586">
        <v>0.12</v>
      </c>
      <c r="CW4586">
        <v>42</v>
      </c>
      <c r="CX4586" t="s">
        <v>188</v>
      </c>
    </row>
    <row r="4587" spans="1:102" x14ac:dyDescent="0.3">
      <c r="A4587" t="str">
        <f>HYPERLINK("https://webapp.icbf.com/v2/app/bull-search/view/77857960","FNS")</f>
        <v>FNS</v>
      </c>
      <c r="B4587" t="s">
        <v>14364</v>
      </c>
      <c r="C4587" t="s">
        <v>14365</v>
      </c>
      <c r="D4587" s="1">
        <v>33025</v>
      </c>
      <c r="E4587" t="s">
        <v>92</v>
      </c>
      <c r="F4587">
        <v>100</v>
      </c>
      <c r="G4587" t="s">
        <v>93</v>
      </c>
      <c r="H4587">
        <v>-142.29</v>
      </c>
      <c r="I4587">
        <v>85</v>
      </c>
      <c r="J4587">
        <v>17.510000000000002</v>
      </c>
      <c r="K4587">
        <v>97</v>
      </c>
      <c r="L4587">
        <v>-133.91999999999999</v>
      </c>
      <c r="M4587">
        <v>84</v>
      </c>
      <c r="N4587">
        <v>-15.32</v>
      </c>
      <c r="O4587">
        <v>74</v>
      </c>
      <c r="P4587">
        <v>-22.86</v>
      </c>
      <c r="Q4587">
        <v>87</v>
      </c>
      <c r="R4587">
        <v>-7.32</v>
      </c>
      <c r="S4587">
        <v>74</v>
      </c>
      <c r="T4587">
        <v>17.670000000000002</v>
      </c>
      <c r="U4587">
        <v>78</v>
      </c>
      <c r="V4587">
        <v>1.95</v>
      </c>
      <c r="W4587">
        <v>41</v>
      </c>
      <c r="X4587" t="s">
        <v>558</v>
      </c>
      <c r="Y4587" t="s">
        <v>95</v>
      </c>
      <c r="Z4587" t="s">
        <v>96</v>
      </c>
      <c r="AA4587" t="s">
        <v>111</v>
      </c>
      <c r="AB4587" t="s">
        <v>14366</v>
      </c>
      <c r="AC4587">
        <v>152</v>
      </c>
      <c r="AD4587">
        <v>69</v>
      </c>
      <c r="AE4587">
        <v>97</v>
      </c>
      <c r="AF4587">
        <v>-3.8</v>
      </c>
      <c r="AG4587">
        <v>9.98</v>
      </c>
      <c r="AH4587">
        <v>-0.61</v>
      </c>
      <c r="AI4587">
        <v>0.17</v>
      </c>
      <c r="AJ4587">
        <v>-0.01</v>
      </c>
      <c r="AK4587">
        <v>84</v>
      </c>
      <c r="AL4587">
        <v>158</v>
      </c>
      <c r="AM4587">
        <v>65</v>
      </c>
      <c r="AN4587">
        <v>8.09</v>
      </c>
      <c r="AO4587">
        <v>-2.58</v>
      </c>
      <c r="AP4587">
        <v>4</v>
      </c>
      <c r="AQ4587">
        <v>0</v>
      </c>
      <c r="AR4587">
        <v>10.1</v>
      </c>
      <c r="AS4587">
        <v>50</v>
      </c>
      <c r="AT4587">
        <v>5.0999999999999996</v>
      </c>
      <c r="AU4587">
        <v>73</v>
      </c>
      <c r="AV4587">
        <v>-1.58</v>
      </c>
      <c r="AW4587">
        <v>81</v>
      </c>
      <c r="AX4587">
        <v>-0.47</v>
      </c>
      <c r="AY4587">
        <v>83</v>
      </c>
      <c r="AZ4587">
        <v>5.23</v>
      </c>
      <c r="BA4587">
        <v>55</v>
      </c>
      <c r="BB4587">
        <v>5.43</v>
      </c>
      <c r="BC4587">
        <v>66</v>
      </c>
      <c r="BD4587">
        <v>0.05</v>
      </c>
      <c r="BE4587">
        <v>0.05</v>
      </c>
      <c r="BF4587">
        <v>-0.01</v>
      </c>
      <c r="BG4587">
        <v>90</v>
      </c>
      <c r="BH4587">
        <v>0.09</v>
      </c>
      <c r="BI4587">
        <v>4.1100000000000003</v>
      </c>
      <c r="BJ4587">
        <v>11</v>
      </c>
      <c r="BK4587">
        <v>3</v>
      </c>
      <c r="BL4587">
        <v>0.06</v>
      </c>
      <c r="BM4587">
        <v>-1</v>
      </c>
      <c r="BN4587">
        <v>-0.76</v>
      </c>
      <c r="BO4587">
        <v>0.4</v>
      </c>
      <c r="BP4587">
        <v>-1.28</v>
      </c>
      <c r="BQ4587">
        <v>-1.81</v>
      </c>
      <c r="BR4587">
        <v>1.78</v>
      </c>
      <c r="BS4587">
        <v>-0.17</v>
      </c>
      <c r="BT4587">
        <v>-0.52</v>
      </c>
      <c r="BU4587">
        <v>0.16</v>
      </c>
      <c r="BV4587">
        <v>0.4</v>
      </c>
      <c r="BW4587">
        <v>0.38</v>
      </c>
      <c r="BX4587">
        <v>1.04</v>
      </c>
      <c r="BY4587">
        <v>-0.14000000000000001</v>
      </c>
      <c r="BZ4587">
        <v>-1.5</v>
      </c>
      <c r="CA4587">
        <v>0.18</v>
      </c>
      <c r="CB4587">
        <v>0.32</v>
      </c>
      <c r="CC4587">
        <v>-0.37</v>
      </c>
      <c r="CD4587">
        <v>-1.4</v>
      </c>
      <c r="CE4587">
        <v>1.26</v>
      </c>
      <c r="CF4587">
        <v>-0.04</v>
      </c>
      <c r="CG4587">
        <v>0</v>
      </c>
      <c r="CH4587">
        <v>0.67</v>
      </c>
      <c r="CI4587">
        <v>0</v>
      </c>
      <c r="CJ4587">
        <v>-10.6</v>
      </c>
      <c r="CK4587">
        <v>88</v>
      </c>
      <c r="CL4587">
        <v>-1.1299999999999999</v>
      </c>
      <c r="CM4587">
        <v>86</v>
      </c>
      <c r="CN4587">
        <v>-0.47</v>
      </c>
      <c r="CO4587">
        <v>84</v>
      </c>
      <c r="CP4587">
        <v>-13.8</v>
      </c>
      <c r="CQ4587">
        <v>91</v>
      </c>
      <c r="CR4587">
        <v>0</v>
      </c>
      <c r="CS4587">
        <v>0</v>
      </c>
      <c r="CT4587">
        <v>-10.1</v>
      </c>
      <c r="CU4587">
        <v>78</v>
      </c>
      <c r="CV4587">
        <v>0.16</v>
      </c>
      <c r="CW4587">
        <v>25</v>
      </c>
      <c r="CX4587" t="s">
        <v>724</v>
      </c>
    </row>
    <row r="4588" spans="1:102" x14ac:dyDescent="0.3">
      <c r="A4588" t="str">
        <f>HYPERLINK("https://webapp.icbf.com/v2/app/bull-search/view/77858068","DWO")</f>
        <v>DWO</v>
      </c>
      <c r="B4588" t="s">
        <v>7774</v>
      </c>
      <c r="C4588" t="s">
        <v>7775</v>
      </c>
      <c r="D4588" s="1">
        <v>34732</v>
      </c>
      <c r="E4588" t="s">
        <v>92</v>
      </c>
      <c r="F4588">
        <v>100</v>
      </c>
      <c r="G4588" t="s">
        <v>93</v>
      </c>
      <c r="H4588">
        <v>-142.31</v>
      </c>
      <c r="I4588">
        <v>68</v>
      </c>
      <c r="J4588">
        <v>-16.53</v>
      </c>
      <c r="K4588">
        <v>91</v>
      </c>
      <c r="L4588">
        <v>-97.13</v>
      </c>
      <c r="M4588">
        <v>56</v>
      </c>
      <c r="N4588">
        <v>-35.85</v>
      </c>
      <c r="O4588">
        <v>53</v>
      </c>
      <c r="P4588">
        <v>2.65</v>
      </c>
      <c r="Q4588">
        <v>67</v>
      </c>
      <c r="R4588">
        <v>-5.0599999999999996</v>
      </c>
      <c r="S4588">
        <v>62</v>
      </c>
      <c r="T4588">
        <v>12.12</v>
      </c>
      <c r="U4588">
        <v>64</v>
      </c>
      <c r="V4588">
        <v>-2.5099999999999998</v>
      </c>
      <c r="W4588">
        <v>29</v>
      </c>
      <c r="X4588" t="s">
        <v>94</v>
      </c>
      <c r="Y4588" t="s">
        <v>95</v>
      </c>
      <c r="Z4588" t="s">
        <v>96</v>
      </c>
      <c r="AA4588" t="s">
        <v>207</v>
      </c>
      <c r="AB4588" t="s">
        <v>4168</v>
      </c>
      <c r="AC4588">
        <v>49</v>
      </c>
      <c r="AD4588">
        <v>45</v>
      </c>
      <c r="AE4588">
        <v>91</v>
      </c>
      <c r="AF4588">
        <v>35.99</v>
      </c>
      <c r="AG4588">
        <v>-4.72</v>
      </c>
      <c r="AH4588">
        <v>-0.59</v>
      </c>
      <c r="AI4588">
        <v>-0.1</v>
      </c>
      <c r="AJ4588">
        <v>-0.03</v>
      </c>
      <c r="AK4588">
        <v>56</v>
      </c>
      <c r="AL4588">
        <v>50</v>
      </c>
      <c r="AM4588">
        <v>42</v>
      </c>
      <c r="AN4588">
        <v>5.75</v>
      </c>
      <c r="AO4588">
        <v>-1.99</v>
      </c>
      <c r="AP4588">
        <v>0</v>
      </c>
      <c r="AQ4588">
        <v>9</v>
      </c>
      <c r="AR4588">
        <v>12.47</v>
      </c>
      <c r="AS4588">
        <v>32</v>
      </c>
      <c r="AT4588">
        <v>4.99</v>
      </c>
      <c r="AU4588">
        <v>51</v>
      </c>
      <c r="AV4588">
        <v>-0.16</v>
      </c>
      <c r="AW4588">
        <v>58</v>
      </c>
      <c r="AX4588">
        <v>-0.13</v>
      </c>
      <c r="AY4588">
        <v>65</v>
      </c>
      <c r="AZ4588">
        <v>7.87</v>
      </c>
      <c r="BA4588">
        <v>33</v>
      </c>
      <c r="BB4588">
        <v>4.79</v>
      </c>
      <c r="BC4588">
        <v>46</v>
      </c>
      <c r="BD4588">
        <v>0.02</v>
      </c>
      <c r="BE4588">
        <v>7.0000000000000007E-2</v>
      </c>
      <c r="BF4588">
        <v>-0.05</v>
      </c>
      <c r="BG4588">
        <v>77</v>
      </c>
      <c r="BH4588">
        <v>0.01</v>
      </c>
      <c r="BI4588">
        <v>9.25</v>
      </c>
      <c r="BJ4588">
        <v>19</v>
      </c>
      <c r="BK4588">
        <v>15</v>
      </c>
      <c r="BL4588">
        <v>0.25</v>
      </c>
      <c r="BM4588">
        <v>-1.73</v>
      </c>
      <c r="BN4588">
        <v>-1.2</v>
      </c>
      <c r="BO4588">
        <v>0.4</v>
      </c>
      <c r="BP4588">
        <v>0.23</v>
      </c>
      <c r="BQ4588">
        <v>-0.6</v>
      </c>
      <c r="BR4588">
        <v>-0.12</v>
      </c>
      <c r="BS4588">
        <v>-0.87</v>
      </c>
      <c r="BT4588">
        <v>0.53</v>
      </c>
      <c r="BU4588">
        <v>-1.47</v>
      </c>
      <c r="BV4588">
        <v>-1.54</v>
      </c>
      <c r="BW4588">
        <v>-0.53</v>
      </c>
      <c r="BX4588">
        <v>0.12</v>
      </c>
      <c r="BY4588">
        <v>-1.47</v>
      </c>
      <c r="BZ4588">
        <v>-0.46</v>
      </c>
      <c r="CA4588">
        <v>-1.07</v>
      </c>
      <c r="CB4588">
        <v>-1.25</v>
      </c>
      <c r="CC4588">
        <v>-0.35</v>
      </c>
      <c r="CD4588">
        <v>-1.04</v>
      </c>
      <c r="CE4588">
        <v>0.28999999999999998</v>
      </c>
      <c r="CF4588">
        <v>0.01</v>
      </c>
      <c r="CG4588">
        <v>0</v>
      </c>
      <c r="CH4588">
        <v>-0.9</v>
      </c>
      <c r="CI4588">
        <v>0</v>
      </c>
      <c r="CJ4588">
        <v>5.4</v>
      </c>
      <c r="CK4588">
        <v>69</v>
      </c>
      <c r="CL4588">
        <v>-0.43</v>
      </c>
      <c r="CM4588">
        <v>64</v>
      </c>
      <c r="CN4588">
        <v>-0.02</v>
      </c>
      <c r="CO4588">
        <v>59</v>
      </c>
      <c r="CP4588">
        <v>-4</v>
      </c>
      <c r="CQ4588">
        <v>77</v>
      </c>
      <c r="CR4588">
        <v>0</v>
      </c>
      <c r="CS4588">
        <v>0</v>
      </c>
      <c r="CT4588">
        <v>-2.6</v>
      </c>
      <c r="CU4588">
        <v>64</v>
      </c>
      <c r="CV4588">
        <v>0.24</v>
      </c>
      <c r="CW4588">
        <v>18</v>
      </c>
      <c r="CX4588" t="s">
        <v>267</v>
      </c>
    </row>
    <row r="4589" spans="1:102" x14ac:dyDescent="0.3">
      <c r="A4589" t="str">
        <f>HYPERLINK("https://webapp.icbf.com/v2/app/bull-search/view/77854375","QPM")</f>
        <v>QPM</v>
      </c>
      <c r="B4589" t="s">
        <v>11420</v>
      </c>
      <c r="C4589" t="s">
        <v>11421</v>
      </c>
      <c r="D4589" s="1">
        <v>31852</v>
      </c>
      <c r="E4589" t="s">
        <v>92</v>
      </c>
      <c r="F4589">
        <v>100</v>
      </c>
      <c r="G4589" t="s">
        <v>93</v>
      </c>
      <c r="H4589">
        <v>-142.33000000000001</v>
      </c>
      <c r="I4589">
        <v>87</v>
      </c>
      <c r="J4589">
        <v>-46.47</v>
      </c>
      <c r="K4589">
        <v>97</v>
      </c>
      <c r="L4589">
        <v>-79.930000000000007</v>
      </c>
      <c r="M4589">
        <v>89</v>
      </c>
      <c r="N4589">
        <v>10.02</v>
      </c>
      <c r="O4589">
        <v>74</v>
      </c>
      <c r="P4589">
        <v>2.56</v>
      </c>
      <c r="Q4589">
        <v>80</v>
      </c>
      <c r="R4589">
        <v>-24.33</v>
      </c>
      <c r="S4589">
        <v>79</v>
      </c>
      <c r="T4589">
        <v>-4.3</v>
      </c>
      <c r="U4589">
        <v>77</v>
      </c>
      <c r="V4589">
        <v>0.12</v>
      </c>
      <c r="W4589">
        <v>57</v>
      </c>
      <c r="X4589" t="s">
        <v>110</v>
      </c>
      <c r="Y4589" t="s">
        <v>95</v>
      </c>
      <c r="Z4589" t="s">
        <v>96</v>
      </c>
      <c r="AA4589" t="s">
        <v>825</v>
      </c>
      <c r="AB4589" t="s">
        <v>11422</v>
      </c>
      <c r="AC4589">
        <v>128</v>
      </c>
      <c r="AD4589">
        <v>86</v>
      </c>
      <c r="AE4589">
        <v>97</v>
      </c>
      <c r="AF4589">
        <v>346</v>
      </c>
      <c r="AG4589">
        <v>-8.5</v>
      </c>
      <c r="AH4589">
        <v>0.4</v>
      </c>
      <c r="AI4589">
        <v>-0.36</v>
      </c>
      <c r="AJ4589">
        <v>-0.19</v>
      </c>
      <c r="AK4589">
        <v>89</v>
      </c>
      <c r="AL4589">
        <v>199</v>
      </c>
      <c r="AM4589">
        <v>98</v>
      </c>
      <c r="AN4589">
        <v>5.49</v>
      </c>
      <c r="AO4589">
        <v>-0.87</v>
      </c>
      <c r="AP4589">
        <v>2</v>
      </c>
      <c r="AQ4589">
        <v>0</v>
      </c>
      <c r="AR4589">
        <v>7.57</v>
      </c>
      <c r="AS4589">
        <v>55</v>
      </c>
      <c r="AT4589">
        <v>3.17</v>
      </c>
      <c r="AU4589">
        <v>87</v>
      </c>
      <c r="AV4589">
        <v>-0.97</v>
      </c>
      <c r="AW4589">
        <v>73</v>
      </c>
      <c r="AX4589">
        <v>-0.01</v>
      </c>
      <c r="AY4589">
        <v>82</v>
      </c>
      <c r="AZ4589">
        <v>6</v>
      </c>
      <c r="BA4589">
        <v>51</v>
      </c>
      <c r="BB4589">
        <v>4.5999999999999996</v>
      </c>
      <c r="BC4589">
        <v>63</v>
      </c>
      <c r="BD4589">
        <v>0.08</v>
      </c>
      <c r="BE4589">
        <v>0.14000000000000001</v>
      </c>
      <c r="BF4589">
        <v>0.16</v>
      </c>
      <c r="BG4589">
        <v>94</v>
      </c>
      <c r="BH4589">
        <v>0.09</v>
      </c>
      <c r="BI4589">
        <v>10.039999999999999</v>
      </c>
      <c r="BJ4589">
        <v>47</v>
      </c>
      <c r="BK4589">
        <v>22</v>
      </c>
      <c r="BL4589">
        <v>0.68</v>
      </c>
      <c r="BM4589">
        <v>0.56000000000000005</v>
      </c>
      <c r="BN4589">
        <v>0.46</v>
      </c>
      <c r="BO4589">
        <v>0.11</v>
      </c>
      <c r="BP4589">
        <v>1.23</v>
      </c>
      <c r="BQ4589">
        <v>0.05</v>
      </c>
      <c r="BR4589">
        <v>0.4</v>
      </c>
      <c r="BS4589">
        <v>-2.0299999999999998</v>
      </c>
      <c r="BT4589">
        <v>-0.77</v>
      </c>
      <c r="BU4589">
        <v>-0.34</v>
      </c>
      <c r="BV4589">
        <v>-0.82</v>
      </c>
      <c r="BW4589">
        <v>0.45</v>
      </c>
      <c r="BX4589">
        <v>0.12</v>
      </c>
      <c r="BY4589">
        <v>0.3</v>
      </c>
      <c r="BZ4589">
        <v>-0.27</v>
      </c>
      <c r="CA4589">
        <v>-0.44</v>
      </c>
      <c r="CB4589">
        <v>0.09</v>
      </c>
      <c r="CC4589">
        <v>-1.59</v>
      </c>
      <c r="CD4589">
        <v>0.11</v>
      </c>
      <c r="CE4589">
        <v>0.19</v>
      </c>
      <c r="CF4589">
        <v>0.82</v>
      </c>
      <c r="CG4589">
        <v>0</v>
      </c>
      <c r="CH4589">
        <v>0.02</v>
      </c>
      <c r="CI4589">
        <v>0</v>
      </c>
      <c r="CJ4589">
        <v>2</v>
      </c>
      <c r="CK4589">
        <v>81</v>
      </c>
      <c r="CL4589">
        <v>-0.23</v>
      </c>
      <c r="CM4589">
        <v>78</v>
      </c>
      <c r="CN4589">
        <v>-0.1</v>
      </c>
      <c r="CO4589">
        <v>74</v>
      </c>
      <c r="CP4589">
        <v>6.7</v>
      </c>
      <c r="CQ4589">
        <v>88</v>
      </c>
      <c r="CR4589">
        <v>0</v>
      </c>
      <c r="CS4589">
        <v>0</v>
      </c>
      <c r="CT4589">
        <v>19.600000000000001</v>
      </c>
      <c r="CU4589">
        <v>77</v>
      </c>
      <c r="CV4589">
        <v>0.03</v>
      </c>
      <c r="CW4589">
        <v>41</v>
      </c>
      <c r="CX4589" t="s">
        <v>3805</v>
      </c>
    </row>
    <row r="4590" spans="1:102" x14ac:dyDescent="0.3">
      <c r="A4590" t="str">
        <f>HYPERLINK("https://webapp.icbf.com/v2/app/bull-search/view/77859934","BRS")</f>
        <v>BRS</v>
      </c>
      <c r="B4590" t="s">
        <v>11246</v>
      </c>
      <c r="C4590" t="s">
        <v>11247</v>
      </c>
      <c r="D4590" s="1">
        <v>31423</v>
      </c>
      <c r="E4590" t="s">
        <v>92</v>
      </c>
      <c r="F4590">
        <v>50</v>
      </c>
      <c r="G4590" t="s">
        <v>93</v>
      </c>
      <c r="H4590">
        <v>-142.49</v>
      </c>
      <c r="I4590">
        <v>71</v>
      </c>
      <c r="J4590">
        <v>-51.26</v>
      </c>
      <c r="K4590">
        <v>86</v>
      </c>
      <c r="L4590">
        <v>-48.24</v>
      </c>
      <c r="M4590">
        <v>70</v>
      </c>
      <c r="N4590">
        <v>-37.51</v>
      </c>
      <c r="O4590">
        <v>51</v>
      </c>
      <c r="P4590">
        <v>-11.4</v>
      </c>
      <c r="Q4590">
        <v>67</v>
      </c>
      <c r="R4590">
        <v>-4.76</v>
      </c>
      <c r="S4590">
        <v>67</v>
      </c>
      <c r="T4590">
        <v>15.82</v>
      </c>
      <c r="U4590">
        <v>60</v>
      </c>
      <c r="V4590">
        <v>-5.14</v>
      </c>
      <c r="W4590">
        <v>43</v>
      </c>
      <c r="X4590" t="s">
        <v>276</v>
      </c>
      <c r="Y4590" t="s">
        <v>95</v>
      </c>
      <c r="Z4590" t="s">
        <v>96</v>
      </c>
      <c r="AA4590" t="s">
        <v>3678</v>
      </c>
      <c r="AB4590" t="s">
        <v>11248</v>
      </c>
      <c r="AC4590">
        <v>17</v>
      </c>
      <c r="AD4590">
        <v>13</v>
      </c>
      <c r="AE4590">
        <v>86</v>
      </c>
      <c r="AF4590">
        <v>-24.17</v>
      </c>
      <c r="AG4590">
        <v>-11.3</v>
      </c>
      <c r="AH4590">
        <v>-5.09</v>
      </c>
      <c r="AI4590">
        <v>-0.18</v>
      </c>
      <c r="AJ4590">
        <v>-0.08</v>
      </c>
      <c r="AK4590">
        <v>70</v>
      </c>
      <c r="AL4590">
        <v>98</v>
      </c>
      <c r="AM4590">
        <v>57</v>
      </c>
      <c r="AN4590">
        <v>0.85</v>
      </c>
      <c r="AO4590">
        <v>-3.02</v>
      </c>
      <c r="AP4590">
        <v>1</v>
      </c>
      <c r="AQ4590">
        <v>0</v>
      </c>
      <c r="AR4590">
        <v>8.9600000000000009</v>
      </c>
      <c r="AS4590">
        <v>38</v>
      </c>
      <c r="AT4590">
        <v>3.65</v>
      </c>
      <c r="AU4590">
        <v>55</v>
      </c>
      <c r="AV4590">
        <v>2.56</v>
      </c>
      <c r="AW4590">
        <v>54</v>
      </c>
      <c r="AX4590">
        <v>-0.05</v>
      </c>
      <c r="AY4590">
        <v>65</v>
      </c>
      <c r="AZ4590">
        <v>7.87</v>
      </c>
      <c r="BA4590">
        <v>30</v>
      </c>
      <c r="BB4590">
        <v>6.16</v>
      </c>
      <c r="BC4590">
        <v>41</v>
      </c>
      <c r="BD4590">
        <v>0.05</v>
      </c>
      <c r="BE4590">
        <v>0.04</v>
      </c>
      <c r="BF4590">
        <v>-0.05</v>
      </c>
      <c r="BG4590">
        <v>86</v>
      </c>
      <c r="BH4590">
        <v>-0.12</v>
      </c>
      <c r="BI4590">
        <v>2.7</v>
      </c>
      <c r="BJ4590">
        <v>3</v>
      </c>
      <c r="BK4590">
        <v>2</v>
      </c>
      <c r="BL4590">
        <v>-1.67</v>
      </c>
      <c r="BM4590">
        <v>1.57</v>
      </c>
      <c r="BN4590">
        <v>-0.45</v>
      </c>
      <c r="BO4590">
        <v>-1.74</v>
      </c>
      <c r="BP4590">
        <v>1.07</v>
      </c>
      <c r="BQ4590">
        <v>0.97</v>
      </c>
      <c r="BR4590">
        <v>0.21</v>
      </c>
      <c r="BS4590">
        <v>-1.37</v>
      </c>
      <c r="BT4590">
        <v>-1.6</v>
      </c>
      <c r="BU4590">
        <v>-1.93</v>
      </c>
      <c r="BV4590">
        <v>-1.7</v>
      </c>
      <c r="BW4590">
        <v>-2.39</v>
      </c>
      <c r="BX4590">
        <v>-2.89</v>
      </c>
      <c r="BY4590">
        <v>-1.72</v>
      </c>
      <c r="BZ4590">
        <v>-0.49</v>
      </c>
      <c r="CA4590">
        <v>-2.08</v>
      </c>
      <c r="CB4590">
        <v>-2.1</v>
      </c>
      <c r="CC4590">
        <v>-2.0499999999999998</v>
      </c>
      <c r="CD4590">
        <v>2.2599999999999998</v>
      </c>
      <c r="CE4590">
        <v>-1.66</v>
      </c>
      <c r="CF4590">
        <v>-1.04</v>
      </c>
      <c r="CG4590">
        <v>0</v>
      </c>
      <c r="CH4590">
        <v>-1.9</v>
      </c>
      <c r="CI4590">
        <v>0</v>
      </c>
      <c r="CJ4590">
        <v>-4.4000000000000004</v>
      </c>
      <c r="CK4590">
        <v>68</v>
      </c>
      <c r="CL4590">
        <v>-0.27</v>
      </c>
      <c r="CM4590">
        <v>65</v>
      </c>
      <c r="CN4590">
        <v>0.13</v>
      </c>
      <c r="CO4590">
        <v>62</v>
      </c>
      <c r="CP4590">
        <v>-6.8</v>
      </c>
      <c r="CQ4590">
        <v>70</v>
      </c>
      <c r="CR4590">
        <v>0</v>
      </c>
      <c r="CS4590">
        <v>0</v>
      </c>
      <c r="CT4590">
        <v>-7.6</v>
      </c>
      <c r="CU4590">
        <v>60</v>
      </c>
      <c r="CV4590">
        <v>-0.01</v>
      </c>
      <c r="CW4590">
        <v>38</v>
      </c>
      <c r="CX4590" t="s">
        <v>11249</v>
      </c>
    </row>
    <row r="4591" spans="1:102" x14ac:dyDescent="0.3">
      <c r="A4591" t="str">
        <f>HYPERLINK("https://webapp.icbf.com/v2/app/bull-search/view/120424242","GIJ")</f>
        <v>GIJ</v>
      </c>
      <c r="B4591" t="s">
        <v>926</v>
      </c>
      <c r="C4591" t="s">
        <v>927</v>
      </c>
      <c r="D4591" s="1">
        <v>34945</v>
      </c>
      <c r="E4591" t="s">
        <v>92</v>
      </c>
      <c r="F4591">
        <v>100</v>
      </c>
      <c r="G4591" t="s">
        <v>109</v>
      </c>
      <c r="H4591">
        <v>-142.71</v>
      </c>
      <c r="I4591">
        <v>79</v>
      </c>
      <c r="J4591">
        <v>-11.39</v>
      </c>
      <c r="K4591">
        <v>93</v>
      </c>
      <c r="L4591">
        <v>-98.55</v>
      </c>
      <c r="M4591">
        <v>87</v>
      </c>
      <c r="N4591">
        <v>-26.95</v>
      </c>
      <c r="O4591">
        <v>62</v>
      </c>
      <c r="P4591">
        <v>-5.49</v>
      </c>
      <c r="Q4591">
        <v>51</v>
      </c>
      <c r="R4591">
        <v>-10.18</v>
      </c>
      <c r="S4591">
        <v>77</v>
      </c>
      <c r="T4591">
        <v>3.32</v>
      </c>
      <c r="U4591">
        <v>49</v>
      </c>
      <c r="V4591">
        <v>6.53</v>
      </c>
      <c r="W4591">
        <v>63</v>
      </c>
      <c r="X4591" t="s">
        <v>251</v>
      </c>
      <c r="Y4591" t="s">
        <v>95</v>
      </c>
      <c r="Z4591" t="s">
        <v>96</v>
      </c>
      <c r="AA4591" t="s">
        <v>839</v>
      </c>
      <c r="AB4591" t="s">
        <v>928</v>
      </c>
      <c r="AC4591">
        <v>0</v>
      </c>
      <c r="AD4591">
        <v>0</v>
      </c>
      <c r="AE4591">
        <v>93</v>
      </c>
      <c r="AF4591">
        <v>98.72</v>
      </c>
      <c r="AG4591">
        <v>2.64</v>
      </c>
      <c r="AH4591">
        <v>-1.36</v>
      </c>
      <c r="AI4591">
        <v>-0.02</v>
      </c>
      <c r="AJ4591">
        <v>-0.08</v>
      </c>
      <c r="AK4591">
        <v>87</v>
      </c>
      <c r="AL4591">
        <v>0</v>
      </c>
      <c r="AM4591">
        <v>0</v>
      </c>
      <c r="AN4591">
        <v>6.09</v>
      </c>
      <c r="AO4591">
        <v>-1.76</v>
      </c>
      <c r="AP4591">
        <v>2</v>
      </c>
      <c r="AQ4591">
        <v>0</v>
      </c>
      <c r="AR4591">
        <v>10.51</v>
      </c>
      <c r="AS4591">
        <v>56</v>
      </c>
      <c r="AT4591">
        <v>4.62</v>
      </c>
      <c r="AU4591">
        <v>89</v>
      </c>
      <c r="AV4591">
        <v>7.0000000000000007E-2</v>
      </c>
      <c r="AW4591">
        <v>56</v>
      </c>
      <c r="AX4591">
        <v>-0.26</v>
      </c>
      <c r="AY4591">
        <v>48</v>
      </c>
      <c r="AZ4591">
        <v>6.36</v>
      </c>
      <c r="BA4591">
        <v>47</v>
      </c>
      <c r="BB4591">
        <v>5.55</v>
      </c>
      <c r="BC4591">
        <v>49</v>
      </c>
      <c r="BD4591">
        <v>0.03</v>
      </c>
      <c r="BE4591">
        <v>0.06</v>
      </c>
      <c r="BF4591">
        <v>7.0000000000000007E-2</v>
      </c>
      <c r="BG4591">
        <v>92</v>
      </c>
      <c r="BH4591">
        <v>0.17</v>
      </c>
      <c r="BI4591">
        <v>-1.39</v>
      </c>
      <c r="BJ4591">
        <v>1</v>
      </c>
      <c r="BK4591">
        <v>1</v>
      </c>
      <c r="BL4591">
        <v>0.47</v>
      </c>
      <c r="BM4591">
        <v>0.22</v>
      </c>
      <c r="BN4591">
        <v>1.29</v>
      </c>
      <c r="BO4591">
        <v>0.75</v>
      </c>
      <c r="BP4591">
        <v>-0.62</v>
      </c>
      <c r="BQ4591">
        <v>7.0000000000000007E-2</v>
      </c>
      <c r="BR4591">
        <v>1.77</v>
      </c>
      <c r="BS4591">
        <v>-0.25</v>
      </c>
      <c r="BT4591">
        <v>-0.21</v>
      </c>
      <c r="BU4591">
        <v>0.88</v>
      </c>
      <c r="BV4591">
        <v>-0.06</v>
      </c>
      <c r="BW4591">
        <v>0.91</v>
      </c>
      <c r="BX4591">
        <v>1.33</v>
      </c>
      <c r="BY4591">
        <v>2.1</v>
      </c>
      <c r="BZ4591">
        <v>0.01</v>
      </c>
      <c r="CA4591">
        <v>0.71</v>
      </c>
      <c r="CB4591">
        <v>0.96</v>
      </c>
      <c r="CC4591">
        <v>0.11</v>
      </c>
      <c r="CD4591">
        <v>-0.65</v>
      </c>
      <c r="CE4591">
        <v>0.74</v>
      </c>
      <c r="CF4591">
        <v>1.46</v>
      </c>
      <c r="CG4591">
        <v>0</v>
      </c>
      <c r="CH4591">
        <v>2.15</v>
      </c>
      <c r="CI4591">
        <v>0</v>
      </c>
      <c r="CJ4591">
        <v>-0.3</v>
      </c>
      <c r="CK4591">
        <v>51</v>
      </c>
      <c r="CL4591">
        <v>-0.98</v>
      </c>
      <c r="CM4591">
        <v>50</v>
      </c>
      <c r="CN4591">
        <v>-0.43</v>
      </c>
      <c r="CO4591">
        <v>48</v>
      </c>
      <c r="CP4591">
        <v>0</v>
      </c>
      <c r="CQ4591">
        <v>53</v>
      </c>
      <c r="CR4591">
        <v>0</v>
      </c>
      <c r="CS4591">
        <v>0</v>
      </c>
      <c r="CT4591">
        <v>9.3000000000000007</v>
      </c>
      <c r="CU4591">
        <v>49</v>
      </c>
      <c r="CV4591">
        <v>0.22</v>
      </c>
      <c r="CW4591">
        <v>35</v>
      </c>
      <c r="CX4591" t="s">
        <v>161</v>
      </c>
    </row>
    <row r="4592" spans="1:102" x14ac:dyDescent="0.3">
      <c r="A4592" t="str">
        <f>HYPERLINK("https://webapp.icbf.com/v2/app/bull-search/view/77860234","CEF")</f>
        <v>CEF</v>
      </c>
      <c r="B4592" t="s">
        <v>3335</v>
      </c>
      <c r="C4592" t="s">
        <v>3336</v>
      </c>
      <c r="D4592" s="1">
        <v>32447</v>
      </c>
      <c r="E4592" t="s">
        <v>92</v>
      </c>
      <c r="F4592">
        <v>100</v>
      </c>
      <c r="G4592" t="s">
        <v>93</v>
      </c>
      <c r="H4592">
        <v>-142.79</v>
      </c>
      <c r="I4592">
        <v>79</v>
      </c>
      <c r="J4592">
        <v>-10.199999999999999</v>
      </c>
      <c r="K4592">
        <v>91</v>
      </c>
      <c r="L4592">
        <v>-74.569999999999993</v>
      </c>
      <c r="M4592">
        <v>79</v>
      </c>
      <c r="N4592">
        <v>-52.04</v>
      </c>
      <c r="O4592">
        <v>62</v>
      </c>
      <c r="P4592">
        <v>2.27</v>
      </c>
      <c r="Q4592">
        <v>84</v>
      </c>
      <c r="R4592">
        <v>-2.04</v>
      </c>
      <c r="S4592">
        <v>69</v>
      </c>
      <c r="T4592">
        <v>3.61</v>
      </c>
      <c r="U4592">
        <v>73</v>
      </c>
      <c r="V4592">
        <v>-9.82</v>
      </c>
      <c r="W4592">
        <v>38</v>
      </c>
      <c r="X4592" t="s">
        <v>276</v>
      </c>
      <c r="Y4592" t="s">
        <v>95</v>
      </c>
      <c r="Z4592" t="s">
        <v>96</v>
      </c>
      <c r="AA4592" t="s">
        <v>543</v>
      </c>
      <c r="AB4592" t="s">
        <v>3337</v>
      </c>
      <c r="AC4592">
        <v>41</v>
      </c>
      <c r="AD4592">
        <v>28</v>
      </c>
      <c r="AE4592">
        <v>91</v>
      </c>
      <c r="AF4592">
        <v>90.46</v>
      </c>
      <c r="AG4592">
        <v>2.4300000000000002</v>
      </c>
      <c r="AH4592">
        <v>-1.21</v>
      </c>
      <c r="AI4592">
        <v>-0.02</v>
      </c>
      <c r="AJ4592">
        <v>-7.0000000000000007E-2</v>
      </c>
      <c r="AK4592">
        <v>79</v>
      </c>
      <c r="AL4592">
        <v>45</v>
      </c>
      <c r="AM4592">
        <v>29</v>
      </c>
      <c r="AN4592">
        <v>3.85</v>
      </c>
      <c r="AO4592">
        <v>-2.1</v>
      </c>
      <c r="AP4592">
        <v>53</v>
      </c>
      <c r="AQ4592">
        <v>0</v>
      </c>
      <c r="AR4592">
        <v>12.18</v>
      </c>
      <c r="AS4592">
        <v>38</v>
      </c>
      <c r="AT4592">
        <v>5.17</v>
      </c>
      <c r="AU4592">
        <v>67</v>
      </c>
      <c r="AV4592">
        <v>0.91</v>
      </c>
      <c r="AW4592">
        <v>71</v>
      </c>
      <c r="AX4592">
        <v>-0.23</v>
      </c>
      <c r="AY4592">
        <v>63</v>
      </c>
      <c r="AZ4592">
        <v>8.07</v>
      </c>
      <c r="BA4592">
        <v>38</v>
      </c>
      <c r="BB4592">
        <v>5.97</v>
      </c>
      <c r="BC4592">
        <v>48</v>
      </c>
      <c r="BD4592">
        <v>0.03</v>
      </c>
      <c r="BE4592">
        <v>0.03</v>
      </c>
      <c r="BF4592">
        <v>-0.06</v>
      </c>
      <c r="BG4592">
        <v>87</v>
      </c>
      <c r="BH4592">
        <v>-0.1</v>
      </c>
      <c r="BI4592">
        <v>20.11</v>
      </c>
      <c r="BJ4592">
        <v>3</v>
      </c>
      <c r="BK4592">
        <v>2</v>
      </c>
      <c r="BL4592">
        <v>-0.06</v>
      </c>
      <c r="BM4592">
        <v>0.3</v>
      </c>
      <c r="BN4592">
        <v>0.32</v>
      </c>
      <c r="BO4592">
        <v>-0.74</v>
      </c>
      <c r="BP4592">
        <v>0.04</v>
      </c>
      <c r="BQ4592">
        <v>-0.23</v>
      </c>
      <c r="BR4592">
        <v>1.91</v>
      </c>
      <c r="BS4592">
        <v>-0.67</v>
      </c>
      <c r="BT4592">
        <v>-1.89</v>
      </c>
      <c r="BU4592">
        <v>-1.02</v>
      </c>
      <c r="BV4592">
        <v>-0.45</v>
      </c>
      <c r="BW4592">
        <v>0</v>
      </c>
      <c r="BX4592">
        <v>-0.84</v>
      </c>
      <c r="BY4592">
        <v>-1.38</v>
      </c>
      <c r="BZ4592">
        <v>1.1100000000000001</v>
      </c>
      <c r="CA4592">
        <v>-1.1299999999999999</v>
      </c>
      <c r="CB4592">
        <v>-0.87</v>
      </c>
      <c r="CC4592">
        <v>-1.1399999999999999</v>
      </c>
      <c r="CD4592">
        <v>0.87</v>
      </c>
      <c r="CE4592">
        <v>-0.1</v>
      </c>
      <c r="CF4592">
        <v>0.61</v>
      </c>
      <c r="CG4592">
        <v>0</v>
      </c>
      <c r="CH4592">
        <v>-0.85</v>
      </c>
      <c r="CI4592">
        <v>0</v>
      </c>
      <c r="CJ4592">
        <v>1.1000000000000001</v>
      </c>
      <c r="CK4592">
        <v>85</v>
      </c>
      <c r="CL4592">
        <v>-0.52</v>
      </c>
      <c r="CM4592">
        <v>82</v>
      </c>
      <c r="CN4592">
        <v>-0.52</v>
      </c>
      <c r="CO4592">
        <v>80</v>
      </c>
      <c r="CP4592">
        <v>0.2</v>
      </c>
      <c r="CQ4592">
        <v>83</v>
      </c>
      <c r="CR4592">
        <v>0</v>
      </c>
      <c r="CS4592">
        <v>0</v>
      </c>
      <c r="CT4592">
        <v>8.9</v>
      </c>
      <c r="CU4592">
        <v>73</v>
      </c>
      <c r="CV4592">
        <v>0.16</v>
      </c>
      <c r="CW4592">
        <v>24</v>
      </c>
      <c r="CX4592" t="s">
        <v>539</v>
      </c>
    </row>
    <row r="4593" spans="1:102" x14ac:dyDescent="0.3">
      <c r="A4593" t="str">
        <f>HYPERLINK("https://webapp.icbf.com/v2/app/bull-search/view/124414773","HTB")</f>
        <v>HTB</v>
      </c>
      <c r="B4593" t="s">
        <v>12081</v>
      </c>
      <c r="C4593" t="s">
        <v>12082</v>
      </c>
      <c r="D4593" s="1">
        <v>34556</v>
      </c>
      <c r="E4593" t="s">
        <v>92</v>
      </c>
      <c r="F4593">
        <v>100</v>
      </c>
      <c r="G4593" t="s">
        <v>93</v>
      </c>
      <c r="H4593">
        <v>-143.06</v>
      </c>
      <c r="I4593">
        <v>86</v>
      </c>
      <c r="J4593">
        <v>17.63</v>
      </c>
      <c r="K4593">
        <v>98</v>
      </c>
      <c r="L4593">
        <v>-112.51</v>
      </c>
      <c r="M4593">
        <v>79</v>
      </c>
      <c r="N4593">
        <v>-31.44</v>
      </c>
      <c r="O4593">
        <v>78</v>
      </c>
      <c r="P4593">
        <v>-10.84</v>
      </c>
      <c r="Q4593">
        <v>91</v>
      </c>
      <c r="R4593">
        <v>-13.18</v>
      </c>
      <c r="S4593">
        <v>78</v>
      </c>
      <c r="T4593">
        <v>18.04</v>
      </c>
      <c r="U4593">
        <v>90</v>
      </c>
      <c r="V4593">
        <v>-10.76</v>
      </c>
      <c r="W4593">
        <v>53</v>
      </c>
      <c r="X4593" t="s">
        <v>110</v>
      </c>
      <c r="Y4593" t="s">
        <v>95</v>
      </c>
      <c r="Z4593" t="s">
        <v>96</v>
      </c>
      <c r="AA4593" t="s">
        <v>105</v>
      </c>
      <c r="AB4593" t="s">
        <v>12083</v>
      </c>
      <c r="AC4593">
        <v>254</v>
      </c>
      <c r="AD4593">
        <v>181</v>
      </c>
      <c r="AE4593">
        <v>98</v>
      </c>
      <c r="AF4593">
        <v>135.07</v>
      </c>
      <c r="AG4593">
        <v>4.51</v>
      </c>
      <c r="AH4593">
        <v>3.47</v>
      </c>
      <c r="AI4593">
        <v>-0.01</v>
      </c>
      <c r="AJ4593">
        <v>-0.02</v>
      </c>
      <c r="AK4593">
        <v>79</v>
      </c>
      <c r="AL4593">
        <v>297</v>
      </c>
      <c r="AM4593">
        <v>188</v>
      </c>
      <c r="AN4593">
        <v>7.09</v>
      </c>
      <c r="AO4593">
        <v>-1.87</v>
      </c>
      <c r="AP4593">
        <v>5</v>
      </c>
      <c r="AQ4593">
        <v>0</v>
      </c>
      <c r="AR4593">
        <v>10.9</v>
      </c>
      <c r="AS4593">
        <v>50</v>
      </c>
      <c r="AT4593">
        <v>4.42</v>
      </c>
      <c r="AU4593">
        <v>77</v>
      </c>
      <c r="AV4593">
        <v>1.62</v>
      </c>
      <c r="AW4593">
        <v>84</v>
      </c>
      <c r="AX4593">
        <v>-0.39</v>
      </c>
      <c r="AY4593">
        <v>90</v>
      </c>
      <c r="AZ4593">
        <v>5.86</v>
      </c>
      <c r="BA4593">
        <v>53</v>
      </c>
      <c r="BB4593">
        <v>4.37</v>
      </c>
      <c r="BC4593">
        <v>76</v>
      </c>
      <c r="BD4593">
        <v>0.06</v>
      </c>
      <c r="BE4593">
        <v>7.0000000000000007E-2</v>
      </c>
      <c r="BF4593">
        <v>7.0000000000000007E-2</v>
      </c>
      <c r="BG4593">
        <v>94</v>
      </c>
      <c r="BH4593">
        <v>-0.17</v>
      </c>
      <c r="BI4593">
        <v>15.06</v>
      </c>
      <c r="BJ4593">
        <v>36</v>
      </c>
      <c r="BK4593">
        <v>25</v>
      </c>
      <c r="BL4593">
        <v>0.17</v>
      </c>
      <c r="BM4593">
        <v>-0.5</v>
      </c>
      <c r="BN4593">
        <v>0.33</v>
      </c>
      <c r="BO4593">
        <v>0.49</v>
      </c>
      <c r="BP4593">
        <v>-0.92</v>
      </c>
      <c r="BQ4593">
        <v>-1.27</v>
      </c>
      <c r="BR4593">
        <v>-1.17</v>
      </c>
      <c r="BS4593">
        <v>1.2</v>
      </c>
      <c r="BT4593">
        <v>0.48</v>
      </c>
      <c r="BU4593">
        <v>-0.77</v>
      </c>
      <c r="BV4593">
        <v>0.34</v>
      </c>
      <c r="BW4593">
        <v>0.28999999999999998</v>
      </c>
      <c r="BX4593">
        <v>-1.06</v>
      </c>
      <c r="BY4593">
        <v>0.2</v>
      </c>
      <c r="BZ4593">
        <v>0.13</v>
      </c>
      <c r="CA4593">
        <v>0.59</v>
      </c>
      <c r="CB4593">
        <v>0.24</v>
      </c>
      <c r="CC4593">
        <v>1.02</v>
      </c>
      <c r="CD4593">
        <v>-0.89</v>
      </c>
      <c r="CE4593">
        <v>7.0000000000000007E-2</v>
      </c>
      <c r="CF4593">
        <v>-0.34</v>
      </c>
      <c r="CG4593">
        <v>0</v>
      </c>
      <c r="CH4593">
        <v>0.9</v>
      </c>
      <c r="CI4593">
        <v>0</v>
      </c>
      <c r="CJ4593">
        <v>-1.3</v>
      </c>
      <c r="CK4593">
        <v>91</v>
      </c>
      <c r="CL4593">
        <v>-0.52</v>
      </c>
      <c r="CM4593">
        <v>90</v>
      </c>
      <c r="CN4593">
        <v>0.18</v>
      </c>
      <c r="CO4593">
        <v>89</v>
      </c>
      <c r="CP4593">
        <v>-10.5</v>
      </c>
      <c r="CQ4593">
        <v>95</v>
      </c>
      <c r="CR4593">
        <v>0</v>
      </c>
      <c r="CS4593">
        <v>0</v>
      </c>
      <c r="CT4593">
        <v>-10.6</v>
      </c>
      <c r="CU4593">
        <v>90</v>
      </c>
      <c r="CV4593">
        <v>0.15</v>
      </c>
      <c r="CW4593">
        <v>26</v>
      </c>
      <c r="CX4593" t="s">
        <v>132</v>
      </c>
    </row>
    <row r="4594" spans="1:102" x14ac:dyDescent="0.3">
      <c r="A4594" t="str">
        <f>HYPERLINK("https://webapp.icbf.com/v2/app/bull-search/view/77855185","MIS")</f>
        <v>MIS</v>
      </c>
      <c r="B4594" t="s">
        <v>10602</v>
      </c>
      <c r="C4594" t="s">
        <v>10603</v>
      </c>
      <c r="D4594" s="1">
        <v>35399</v>
      </c>
      <c r="E4594" t="s">
        <v>92</v>
      </c>
      <c r="F4594">
        <v>100</v>
      </c>
      <c r="G4594" t="s">
        <v>93</v>
      </c>
      <c r="H4594">
        <v>-143.30000000000001</v>
      </c>
      <c r="I4594">
        <v>71</v>
      </c>
      <c r="J4594">
        <v>-8.44</v>
      </c>
      <c r="K4594">
        <v>93</v>
      </c>
      <c r="L4594">
        <v>-84.99</v>
      </c>
      <c r="M4594">
        <v>58</v>
      </c>
      <c r="N4594">
        <v>-38.08</v>
      </c>
      <c r="O4594">
        <v>57</v>
      </c>
      <c r="P4594">
        <v>5.53</v>
      </c>
      <c r="Q4594">
        <v>74</v>
      </c>
      <c r="R4594">
        <v>-21.23</v>
      </c>
      <c r="S4594">
        <v>63</v>
      </c>
      <c r="T4594">
        <v>5.76</v>
      </c>
      <c r="U4594">
        <v>65</v>
      </c>
      <c r="V4594">
        <v>-1.85</v>
      </c>
      <c r="W4594">
        <v>34</v>
      </c>
      <c r="X4594" t="s">
        <v>94</v>
      </c>
      <c r="Y4594" t="s">
        <v>95</v>
      </c>
      <c r="Z4594" t="s">
        <v>96</v>
      </c>
      <c r="AA4594" t="s">
        <v>97</v>
      </c>
      <c r="AB4594" t="s">
        <v>10604</v>
      </c>
      <c r="AC4594">
        <v>59</v>
      </c>
      <c r="AD4594">
        <v>49</v>
      </c>
      <c r="AE4594">
        <v>93</v>
      </c>
      <c r="AF4594">
        <v>231.83</v>
      </c>
      <c r="AG4594">
        <v>-0.84</v>
      </c>
      <c r="AH4594">
        <v>2.41</v>
      </c>
      <c r="AI4594">
        <v>-0.16</v>
      </c>
      <c r="AJ4594">
        <v>-0.09</v>
      </c>
      <c r="AK4594">
        <v>58</v>
      </c>
      <c r="AL4594">
        <v>51</v>
      </c>
      <c r="AM4594">
        <v>38</v>
      </c>
      <c r="AN4594">
        <v>5.23</v>
      </c>
      <c r="AO4594">
        <v>-1.54</v>
      </c>
      <c r="AP4594">
        <v>3</v>
      </c>
      <c r="AQ4594">
        <v>0</v>
      </c>
      <c r="AR4594">
        <v>11.77</v>
      </c>
      <c r="AS4594">
        <v>31</v>
      </c>
      <c r="AT4594">
        <v>5.01</v>
      </c>
      <c r="AU4594">
        <v>48</v>
      </c>
      <c r="AV4594">
        <v>0.31</v>
      </c>
      <c r="AW4594">
        <v>71</v>
      </c>
      <c r="AX4594">
        <v>0.85</v>
      </c>
      <c r="AY4594">
        <v>68</v>
      </c>
      <c r="AZ4594">
        <v>6.86</v>
      </c>
      <c r="BA4594">
        <v>33</v>
      </c>
      <c r="BB4594">
        <v>4.8</v>
      </c>
      <c r="BC4594">
        <v>46</v>
      </c>
      <c r="BD4594">
        <v>0.03</v>
      </c>
      <c r="BE4594">
        <v>0.12</v>
      </c>
      <c r="BF4594">
        <v>0.21</v>
      </c>
      <c r="BG4594">
        <v>77</v>
      </c>
      <c r="BH4594">
        <v>0</v>
      </c>
      <c r="BI4594">
        <v>5.96</v>
      </c>
      <c r="BJ4594">
        <v>0</v>
      </c>
      <c r="BK4594">
        <v>0</v>
      </c>
      <c r="BL4594">
        <v>0</v>
      </c>
      <c r="BM4594">
        <v>-0.63</v>
      </c>
      <c r="BN4594">
        <v>-0.65</v>
      </c>
      <c r="BO4594">
        <v>0.12</v>
      </c>
      <c r="BP4594">
        <v>1.88</v>
      </c>
      <c r="BQ4594">
        <v>-1.06</v>
      </c>
      <c r="BR4594">
        <v>-0.65</v>
      </c>
      <c r="BS4594">
        <v>0.53</v>
      </c>
      <c r="BT4594">
        <v>0.35</v>
      </c>
      <c r="BU4594">
        <v>-1.0900000000000001</v>
      </c>
      <c r="BV4594">
        <v>-0.56999999999999995</v>
      </c>
      <c r="BW4594">
        <v>-0.23</v>
      </c>
      <c r="BX4594">
        <v>-0.72</v>
      </c>
      <c r="BY4594">
        <v>0.1</v>
      </c>
      <c r="BZ4594">
        <v>-1.59</v>
      </c>
      <c r="CA4594">
        <v>-0.15</v>
      </c>
      <c r="CB4594">
        <v>-0.41</v>
      </c>
      <c r="CC4594">
        <v>0.34</v>
      </c>
      <c r="CD4594">
        <v>-0.16</v>
      </c>
      <c r="CE4594">
        <v>-0.03</v>
      </c>
      <c r="CF4594">
        <v>-0.48</v>
      </c>
      <c r="CG4594">
        <v>0</v>
      </c>
      <c r="CH4594">
        <v>-0.34</v>
      </c>
      <c r="CI4594">
        <v>0</v>
      </c>
      <c r="CJ4594">
        <v>5.0999999999999996</v>
      </c>
      <c r="CK4594">
        <v>76</v>
      </c>
      <c r="CL4594">
        <v>-0.5</v>
      </c>
      <c r="CM4594">
        <v>72</v>
      </c>
      <c r="CN4594">
        <v>-0.34</v>
      </c>
      <c r="CO4594">
        <v>67</v>
      </c>
      <c r="CP4594">
        <v>-2.2000000000000002</v>
      </c>
      <c r="CQ4594">
        <v>82</v>
      </c>
      <c r="CR4594">
        <v>0</v>
      </c>
      <c r="CS4594">
        <v>0</v>
      </c>
      <c r="CT4594">
        <v>6</v>
      </c>
      <c r="CU4594">
        <v>65</v>
      </c>
      <c r="CV4594">
        <v>0.19</v>
      </c>
      <c r="CW4594">
        <v>21</v>
      </c>
      <c r="CX4594" t="s">
        <v>207</v>
      </c>
    </row>
    <row r="4595" spans="1:102" x14ac:dyDescent="0.3">
      <c r="A4595" t="str">
        <f>HYPERLINK("https://webapp.icbf.com/v2/app/bull-search/view/77856223","LEC")</f>
        <v>LEC</v>
      </c>
      <c r="B4595" t="s">
        <v>3460</v>
      </c>
      <c r="C4595" t="s">
        <v>1273</v>
      </c>
      <c r="D4595" s="1">
        <v>33903</v>
      </c>
      <c r="E4595" t="s">
        <v>92</v>
      </c>
      <c r="F4595">
        <v>100</v>
      </c>
      <c r="G4595" t="s">
        <v>93</v>
      </c>
      <c r="H4595">
        <v>-143.38</v>
      </c>
      <c r="I4595">
        <v>98</v>
      </c>
      <c r="J4595">
        <v>-0.09</v>
      </c>
      <c r="K4595">
        <v>99</v>
      </c>
      <c r="L4595">
        <v>-148.91999999999999</v>
      </c>
      <c r="M4595">
        <v>96</v>
      </c>
      <c r="N4595">
        <v>-3.64</v>
      </c>
      <c r="O4595">
        <v>99</v>
      </c>
      <c r="P4595">
        <v>-13.78</v>
      </c>
      <c r="Q4595">
        <v>99</v>
      </c>
      <c r="R4595">
        <v>6.68</v>
      </c>
      <c r="S4595">
        <v>95</v>
      </c>
      <c r="T4595">
        <v>15.08</v>
      </c>
      <c r="U4595">
        <v>99</v>
      </c>
      <c r="V4595">
        <v>1.29</v>
      </c>
      <c r="W4595">
        <v>95</v>
      </c>
      <c r="X4595" t="s">
        <v>131</v>
      </c>
      <c r="Y4595" t="s">
        <v>95</v>
      </c>
      <c r="Z4595" t="s">
        <v>96</v>
      </c>
      <c r="AA4595" t="s">
        <v>1218</v>
      </c>
      <c r="AB4595" t="s">
        <v>3461</v>
      </c>
      <c r="AC4595">
        <v>2131</v>
      </c>
      <c r="AD4595">
        <v>703</v>
      </c>
      <c r="AE4595">
        <v>99</v>
      </c>
      <c r="AF4595">
        <v>89.66</v>
      </c>
      <c r="AG4595">
        <v>6.86</v>
      </c>
      <c r="AH4595">
        <v>-1.07</v>
      </c>
      <c r="AI4595">
        <v>0.06</v>
      </c>
      <c r="AJ4595">
        <v>-7.0000000000000007E-2</v>
      </c>
      <c r="AK4595">
        <v>96</v>
      </c>
      <c r="AL4595">
        <v>1877</v>
      </c>
      <c r="AM4595">
        <v>589</v>
      </c>
      <c r="AN4595">
        <v>10.130000000000001</v>
      </c>
      <c r="AO4595">
        <v>-1.72</v>
      </c>
      <c r="AP4595">
        <v>1242</v>
      </c>
      <c r="AQ4595">
        <v>0</v>
      </c>
      <c r="AR4595">
        <v>9.35</v>
      </c>
      <c r="AS4595">
        <v>98</v>
      </c>
      <c r="AT4595">
        <v>4.4800000000000004</v>
      </c>
      <c r="AU4595">
        <v>99</v>
      </c>
      <c r="AV4595">
        <v>-1.78</v>
      </c>
      <c r="AW4595">
        <v>99</v>
      </c>
      <c r="AX4595">
        <v>0</v>
      </c>
      <c r="AY4595">
        <v>99</v>
      </c>
      <c r="AZ4595">
        <v>5.93</v>
      </c>
      <c r="BA4595">
        <v>97</v>
      </c>
      <c r="BB4595">
        <v>4.9400000000000004</v>
      </c>
      <c r="BC4595">
        <v>97</v>
      </c>
      <c r="BD4595">
        <v>-0.01</v>
      </c>
      <c r="BE4595">
        <v>-0.03</v>
      </c>
      <c r="BF4595">
        <v>-0.08</v>
      </c>
      <c r="BG4595">
        <v>99</v>
      </c>
      <c r="BH4595">
        <v>0.04</v>
      </c>
      <c r="BI4595">
        <v>0.46</v>
      </c>
      <c r="BJ4595">
        <v>848</v>
      </c>
      <c r="BK4595">
        <v>245</v>
      </c>
      <c r="BL4595">
        <v>0.59</v>
      </c>
      <c r="BM4595">
        <v>-1.96</v>
      </c>
      <c r="BN4595">
        <v>1.08</v>
      </c>
      <c r="BO4595">
        <v>1.62</v>
      </c>
      <c r="BP4595">
        <v>-0.03</v>
      </c>
      <c r="BQ4595">
        <v>0.02</v>
      </c>
      <c r="BR4595">
        <v>-0.36</v>
      </c>
      <c r="BS4595">
        <v>1.97</v>
      </c>
      <c r="BT4595">
        <v>0.72</v>
      </c>
      <c r="BU4595">
        <v>1.54</v>
      </c>
      <c r="BV4595">
        <v>1.01</v>
      </c>
      <c r="BW4595">
        <v>1.67</v>
      </c>
      <c r="BX4595">
        <v>0.78</v>
      </c>
      <c r="BY4595">
        <v>2</v>
      </c>
      <c r="BZ4595">
        <v>0.48</v>
      </c>
      <c r="CA4595">
        <v>1.85</v>
      </c>
      <c r="CB4595">
        <v>1.64</v>
      </c>
      <c r="CC4595">
        <v>1.64</v>
      </c>
      <c r="CD4595">
        <v>-2.17</v>
      </c>
      <c r="CE4595">
        <v>1.35</v>
      </c>
      <c r="CF4595">
        <v>0.74</v>
      </c>
      <c r="CG4595">
        <v>0</v>
      </c>
      <c r="CH4595">
        <v>1.98</v>
      </c>
      <c r="CI4595">
        <v>0</v>
      </c>
      <c r="CJ4595">
        <v>-5.9</v>
      </c>
      <c r="CK4595">
        <v>99</v>
      </c>
      <c r="CL4595">
        <v>-1.1200000000000001</v>
      </c>
      <c r="CM4595">
        <v>99</v>
      </c>
      <c r="CN4595">
        <v>-0.6</v>
      </c>
      <c r="CO4595">
        <v>99</v>
      </c>
      <c r="CP4595">
        <v>-7.4</v>
      </c>
      <c r="CQ4595">
        <v>99</v>
      </c>
      <c r="CR4595">
        <v>0</v>
      </c>
      <c r="CS4595">
        <v>0</v>
      </c>
      <c r="CT4595">
        <v>-6.6</v>
      </c>
      <c r="CU4595">
        <v>99</v>
      </c>
      <c r="CV4595">
        <v>0.12</v>
      </c>
      <c r="CW4595">
        <v>46</v>
      </c>
      <c r="CX4595" t="s">
        <v>111</v>
      </c>
    </row>
    <row r="4596" spans="1:102" x14ac:dyDescent="0.3">
      <c r="A4596" t="str">
        <f>HYPERLINK("https://webapp.icbf.com/v2/app/bull-search/view/77856055","KVF")</f>
        <v>KVF</v>
      </c>
      <c r="B4596" t="s">
        <v>11236</v>
      </c>
      <c r="C4596" t="s">
        <v>11237</v>
      </c>
      <c r="D4596" s="1">
        <v>31880</v>
      </c>
      <c r="E4596" t="s">
        <v>92</v>
      </c>
      <c r="F4596">
        <v>100</v>
      </c>
      <c r="G4596" t="s">
        <v>93</v>
      </c>
      <c r="H4596">
        <v>-143.62</v>
      </c>
      <c r="I4596">
        <v>83</v>
      </c>
      <c r="J4596">
        <v>0.04</v>
      </c>
      <c r="K4596">
        <v>95</v>
      </c>
      <c r="L4596">
        <v>-117.97</v>
      </c>
      <c r="M4596">
        <v>86</v>
      </c>
      <c r="N4596">
        <v>-27.79</v>
      </c>
      <c r="O4596">
        <v>65</v>
      </c>
      <c r="P4596">
        <v>3.37</v>
      </c>
      <c r="Q4596">
        <v>82</v>
      </c>
      <c r="R4596">
        <v>-0.99</v>
      </c>
      <c r="S4596">
        <v>71</v>
      </c>
      <c r="T4596">
        <v>3.24</v>
      </c>
      <c r="U4596">
        <v>77</v>
      </c>
      <c r="V4596">
        <v>-3.52</v>
      </c>
      <c r="W4596">
        <v>27</v>
      </c>
      <c r="X4596" t="s">
        <v>131</v>
      </c>
      <c r="Y4596" t="s">
        <v>95</v>
      </c>
      <c r="Z4596" t="s">
        <v>96</v>
      </c>
      <c r="AA4596" t="s">
        <v>3680</v>
      </c>
      <c r="AB4596" t="s">
        <v>11238</v>
      </c>
      <c r="AC4596">
        <v>97</v>
      </c>
      <c r="AD4596">
        <v>59</v>
      </c>
      <c r="AE4596">
        <v>95</v>
      </c>
      <c r="AF4596">
        <v>0.9</v>
      </c>
      <c r="AG4596">
        <v>7.58</v>
      </c>
      <c r="AH4596">
        <v>-2.66</v>
      </c>
      <c r="AI4596">
        <v>0.12</v>
      </c>
      <c r="AJ4596">
        <v>-0.04</v>
      </c>
      <c r="AK4596">
        <v>86</v>
      </c>
      <c r="AL4596">
        <v>131</v>
      </c>
      <c r="AM4596">
        <v>70</v>
      </c>
      <c r="AN4596">
        <v>6.28</v>
      </c>
      <c r="AO4596">
        <v>-3.13</v>
      </c>
      <c r="AP4596">
        <v>2</v>
      </c>
      <c r="AQ4596">
        <v>2</v>
      </c>
      <c r="AR4596">
        <v>10.28</v>
      </c>
      <c r="AS4596">
        <v>33</v>
      </c>
      <c r="AT4596">
        <v>5.1100000000000003</v>
      </c>
      <c r="AU4596">
        <v>64</v>
      </c>
      <c r="AV4596">
        <v>0.28000000000000003</v>
      </c>
      <c r="AW4596">
        <v>72</v>
      </c>
      <c r="AX4596">
        <v>0.25</v>
      </c>
      <c r="AY4596">
        <v>81</v>
      </c>
      <c r="AZ4596">
        <v>5.23</v>
      </c>
      <c r="BA4596">
        <v>35</v>
      </c>
      <c r="BB4596">
        <v>4.37</v>
      </c>
      <c r="BC4596">
        <v>57</v>
      </c>
      <c r="BD4596">
        <v>0.04</v>
      </c>
      <c r="BE4596">
        <v>0.04</v>
      </c>
      <c r="BF4596">
        <v>-0.12</v>
      </c>
      <c r="BG4596">
        <v>93</v>
      </c>
      <c r="BH4596">
        <v>-0.06</v>
      </c>
      <c r="BI4596">
        <v>4.41</v>
      </c>
      <c r="BJ4596">
        <v>23</v>
      </c>
      <c r="BK4596">
        <v>16</v>
      </c>
      <c r="BL4596">
        <v>1.07</v>
      </c>
      <c r="BM4596">
        <v>-1.1299999999999999</v>
      </c>
      <c r="BN4596">
        <v>0.26</v>
      </c>
      <c r="BO4596">
        <v>0.95</v>
      </c>
      <c r="BP4596">
        <v>-2.2200000000000002</v>
      </c>
      <c r="BQ4596">
        <v>1.1000000000000001</v>
      </c>
      <c r="BR4596">
        <v>-1.46</v>
      </c>
      <c r="BS4596">
        <v>0.4</v>
      </c>
      <c r="BT4596">
        <v>1.72</v>
      </c>
      <c r="BU4596">
        <v>-1.1100000000000001</v>
      </c>
      <c r="BV4596">
        <v>0.27</v>
      </c>
      <c r="BW4596">
        <v>-0.48</v>
      </c>
      <c r="BX4596">
        <v>0.15</v>
      </c>
      <c r="BY4596">
        <v>-2.5499999999999998</v>
      </c>
      <c r="BZ4596">
        <v>1.23</v>
      </c>
      <c r="CA4596">
        <v>-0.46</v>
      </c>
      <c r="CB4596">
        <v>-0.78</v>
      </c>
      <c r="CC4596">
        <v>0.39</v>
      </c>
      <c r="CD4596">
        <v>-1.23</v>
      </c>
      <c r="CE4596">
        <v>0.06</v>
      </c>
      <c r="CF4596">
        <v>0.86</v>
      </c>
      <c r="CG4596">
        <v>0</v>
      </c>
      <c r="CH4596">
        <v>-0.98</v>
      </c>
      <c r="CI4596">
        <v>0</v>
      </c>
      <c r="CJ4596">
        <v>0.7</v>
      </c>
      <c r="CK4596">
        <v>83</v>
      </c>
      <c r="CL4596">
        <v>-0.25</v>
      </c>
      <c r="CM4596">
        <v>80</v>
      </c>
      <c r="CN4596">
        <v>-0.46</v>
      </c>
      <c r="CO4596">
        <v>77</v>
      </c>
      <c r="CP4596">
        <v>-2.7</v>
      </c>
      <c r="CQ4596">
        <v>87</v>
      </c>
      <c r="CR4596">
        <v>0</v>
      </c>
      <c r="CS4596">
        <v>0</v>
      </c>
      <c r="CT4596">
        <v>9.4</v>
      </c>
      <c r="CU4596">
        <v>77</v>
      </c>
      <c r="CV4596">
        <v>0.03</v>
      </c>
      <c r="CW4596">
        <v>23</v>
      </c>
      <c r="CX4596" t="s">
        <v>113</v>
      </c>
    </row>
    <row r="4597" spans="1:102" x14ac:dyDescent="0.3">
      <c r="A4597" t="str">
        <f>HYPERLINK("https://webapp.icbf.com/v2/app/bull-search/view/77860183","CCK")</f>
        <v>CCK</v>
      </c>
      <c r="B4597" t="s">
        <v>3595</v>
      </c>
      <c r="C4597" t="s">
        <v>559</v>
      </c>
      <c r="D4597" s="1">
        <v>32392</v>
      </c>
      <c r="E4597" t="s">
        <v>92</v>
      </c>
      <c r="F4597">
        <v>100</v>
      </c>
      <c r="G4597" t="s">
        <v>93</v>
      </c>
      <c r="H4597">
        <v>-143.91999999999999</v>
      </c>
      <c r="I4597">
        <v>93</v>
      </c>
      <c r="J4597">
        <v>-21.14</v>
      </c>
      <c r="K4597">
        <v>98</v>
      </c>
      <c r="L4597">
        <v>-54.12</v>
      </c>
      <c r="M4597">
        <v>93</v>
      </c>
      <c r="N4597">
        <v>-41.45</v>
      </c>
      <c r="O4597">
        <v>86</v>
      </c>
      <c r="P4597">
        <v>-10.220000000000001</v>
      </c>
      <c r="Q4597">
        <v>93</v>
      </c>
      <c r="R4597">
        <v>-17.54</v>
      </c>
      <c r="S4597">
        <v>85</v>
      </c>
      <c r="T4597">
        <v>6.43</v>
      </c>
      <c r="U4597">
        <v>89</v>
      </c>
      <c r="V4597">
        <v>-5.88</v>
      </c>
      <c r="W4597">
        <v>78</v>
      </c>
      <c r="X4597" t="s">
        <v>558</v>
      </c>
      <c r="Y4597" t="s">
        <v>95</v>
      </c>
      <c r="Z4597" t="s">
        <v>96</v>
      </c>
      <c r="AA4597" t="s">
        <v>166</v>
      </c>
      <c r="AB4597" t="s">
        <v>3596</v>
      </c>
      <c r="AC4597">
        <v>257</v>
      </c>
      <c r="AD4597">
        <v>118</v>
      </c>
      <c r="AE4597">
        <v>98</v>
      </c>
      <c r="AF4597">
        <v>97.53</v>
      </c>
      <c r="AG4597">
        <v>-5.97</v>
      </c>
      <c r="AH4597">
        <v>0.01</v>
      </c>
      <c r="AI4597">
        <v>-0.17</v>
      </c>
      <c r="AJ4597">
        <v>-0.06</v>
      </c>
      <c r="AK4597">
        <v>93</v>
      </c>
      <c r="AL4597">
        <v>266</v>
      </c>
      <c r="AM4597">
        <v>125</v>
      </c>
      <c r="AN4597">
        <v>2.66</v>
      </c>
      <c r="AO4597">
        <v>-1.66</v>
      </c>
      <c r="AP4597">
        <v>19</v>
      </c>
      <c r="AQ4597">
        <v>4</v>
      </c>
      <c r="AR4597">
        <v>12.16</v>
      </c>
      <c r="AS4597">
        <v>71</v>
      </c>
      <c r="AT4597">
        <v>5.22</v>
      </c>
      <c r="AU4597">
        <v>94</v>
      </c>
      <c r="AV4597">
        <v>0.62</v>
      </c>
      <c r="AW4597">
        <v>87</v>
      </c>
      <c r="AX4597">
        <v>-7.0000000000000007E-2</v>
      </c>
      <c r="AY4597">
        <v>89</v>
      </c>
      <c r="AZ4597">
        <v>6.28</v>
      </c>
      <c r="BA4597">
        <v>68</v>
      </c>
      <c r="BB4597">
        <v>4.74</v>
      </c>
      <c r="BC4597">
        <v>80</v>
      </c>
      <c r="BD4597">
        <v>0.05</v>
      </c>
      <c r="BE4597">
        <v>0.1</v>
      </c>
      <c r="BF4597">
        <v>0.13</v>
      </c>
      <c r="BG4597">
        <v>96</v>
      </c>
      <c r="BH4597">
        <v>-0.16</v>
      </c>
      <c r="BI4597">
        <v>0.46</v>
      </c>
      <c r="BJ4597">
        <v>34</v>
      </c>
      <c r="BK4597">
        <v>22</v>
      </c>
      <c r="BL4597">
        <v>0.45</v>
      </c>
      <c r="BM4597">
        <v>-0.37</v>
      </c>
      <c r="BN4597">
        <v>-0.11</v>
      </c>
      <c r="BO4597">
        <v>0.4</v>
      </c>
      <c r="BP4597">
        <v>0.19</v>
      </c>
      <c r="BQ4597">
        <v>-0.92</v>
      </c>
      <c r="BR4597">
        <v>0.93</v>
      </c>
      <c r="BS4597">
        <v>-1.79</v>
      </c>
      <c r="BT4597">
        <v>-7.0000000000000007E-2</v>
      </c>
      <c r="BU4597">
        <v>-0.95</v>
      </c>
      <c r="BV4597">
        <v>-0.44</v>
      </c>
      <c r="BW4597">
        <v>-0.15</v>
      </c>
      <c r="BX4597">
        <v>-0.4</v>
      </c>
      <c r="BY4597">
        <v>-1.93</v>
      </c>
      <c r="BZ4597">
        <v>0.49</v>
      </c>
      <c r="CA4597">
        <v>-0.85</v>
      </c>
      <c r="CB4597">
        <v>-0.44</v>
      </c>
      <c r="CC4597">
        <v>-1.27</v>
      </c>
      <c r="CD4597">
        <v>-0.49</v>
      </c>
      <c r="CE4597">
        <v>0.37</v>
      </c>
      <c r="CF4597">
        <v>-0.01</v>
      </c>
      <c r="CG4597">
        <v>0</v>
      </c>
      <c r="CH4597">
        <v>-2.08</v>
      </c>
      <c r="CI4597">
        <v>0</v>
      </c>
      <c r="CJ4597">
        <v>-4.8</v>
      </c>
      <c r="CK4597">
        <v>93</v>
      </c>
      <c r="CL4597">
        <v>-0.65</v>
      </c>
      <c r="CM4597">
        <v>92</v>
      </c>
      <c r="CN4597">
        <v>-0.28999999999999998</v>
      </c>
      <c r="CO4597">
        <v>91</v>
      </c>
      <c r="CP4597">
        <v>-1.9</v>
      </c>
      <c r="CQ4597">
        <v>94</v>
      </c>
      <c r="CR4597">
        <v>0</v>
      </c>
      <c r="CS4597">
        <v>0</v>
      </c>
      <c r="CT4597">
        <v>5.0999999999999996</v>
      </c>
      <c r="CU4597">
        <v>89</v>
      </c>
      <c r="CV4597">
        <v>0.03</v>
      </c>
      <c r="CW4597">
        <v>44</v>
      </c>
      <c r="CX4597" t="s">
        <v>663</v>
      </c>
    </row>
    <row r="4598" spans="1:102" x14ac:dyDescent="0.3">
      <c r="A4598" t="str">
        <f>HYPERLINK("https://webapp.icbf.com/v2/app/bull-search/view/120490734","ZID")</f>
        <v>ZID</v>
      </c>
      <c r="B4598" t="s">
        <v>3768</v>
      </c>
      <c r="C4598" t="s">
        <v>3769</v>
      </c>
      <c r="D4598" s="1">
        <v>35310</v>
      </c>
      <c r="E4598" t="s">
        <v>92</v>
      </c>
      <c r="F4598">
        <v>100</v>
      </c>
      <c r="G4598" t="s">
        <v>93</v>
      </c>
      <c r="H4598">
        <v>-144</v>
      </c>
      <c r="I4598">
        <v>96</v>
      </c>
      <c r="J4598">
        <v>7.96</v>
      </c>
      <c r="K4598">
        <v>99</v>
      </c>
      <c r="L4598">
        <v>-127.11</v>
      </c>
      <c r="M4598">
        <v>93</v>
      </c>
      <c r="N4598">
        <v>-22.49</v>
      </c>
      <c r="O4598">
        <v>98</v>
      </c>
      <c r="P4598">
        <v>-7.08</v>
      </c>
      <c r="Q4598">
        <v>99</v>
      </c>
      <c r="R4598">
        <v>-1.07</v>
      </c>
      <c r="S4598">
        <v>94</v>
      </c>
      <c r="T4598">
        <v>8.2799999999999994</v>
      </c>
      <c r="U4598">
        <v>98</v>
      </c>
      <c r="V4598">
        <v>-2.4900000000000002</v>
      </c>
      <c r="W4598">
        <v>95</v>
      </c>
      <c r="X4598" t="s">
        <v>251</v>
      </c>
      <c r="Y4598" t="s">
        <v>95</v>
      </c>
      <c r="Z4598" t="s">
        <v>96</v>
      </c>
      <c r="AA4598" t="s">
        <v>3770</v>
      </c>
      <c r="AB4598" t="s">
        <v>3771</v>
      </c>
      <c r="AC4598">
        <v>1274</v>
      </c>
      <c r="AD4598">
        <v>362</v>
      </c>
      <c r="AE4598">
        <v>99</v>
      </c>
      <c r="AF4598">
        <v>351.83</v>
      </c>
      <c r="AG4598">
        <v>-4.2699999999999996</v>
      </c>
      <c r="AH4598">
        <v>8.25</v>
      </c>
      <c r="AI4598">
        <v>-0.3</v>
      </c>
      <c r="AJ4598">
        <v>-0.06</v>
      </c>
      <c r="AK4598">
        <v>93</v>
      </c>
      <c r="AL4598">
        <v>1250</v>
      </c>
      <c r="AM4598">
        <v>388</v>
      </c>
      <c r="AN4598">
        <v>7.46</v>
      </c>
      <c r="AO4598">
        <v>-2.67</v>
      </c>
      <c r="AP4598">
        <v>1917</v>
      </c>
      <c r="AQ4598">
        <v>1</v>
      </c>
      <c r="AR4598">
        <v>12.92</v>
      </c>
      <c r="AS4598">
        <v>97</v>
      </c>
      <c r="AT4598">
        <v>4.79</v>
      </c>
      <c r="AU4598">
        <v>98</v>
      </c>
      <c r="AV4598">
        <v>-1.78</v>
      </c>
      <c r="AW4598">
        <v>99</v>
      </c>
      <c r="AX4598">
        <v>0.33</v>
      </c>
      <c r="AY4598">
        <v>98</v>
      </c>
      <c r="AZ4598">
        <v>6.31</v>
      </c>
      <c r="BA4598">
        <v>94</v>
      </c>
      <c r="BB4598">
        <v>5.09</v>
      </c>
      <c r="BC4598">
        <v>94</v>
      </c>
      <c r="BD4598">
        <v>-0.05</v>
      </c>
      <c r="BE4598">
        <v>0.02</v>
      </c>
      <c r="BF4598">
        <v>7.0000000000000007E-2</v>
      </c>
      <c r="BG4598">
        <v>98</v>
      </c>
      <c r="BH4598">
        <v>0.06</v>
      </c>
      <c r="BI4598">
        <v>14.98</v>
      </c>
      <c r="BJ4598">
        <v>180</v>
      </c>
      <c r="BK4598">
        <v>68</v>
      </c>
      <c r="BL4598">
        <v>0.46</v>
      </c>
      <c r="BM4598">
        <v>-1</v>
      </c>
      <c r="BN4598">
        <v>-0.95</v>
      </c>
      <c r="BO4598">
        <v>0.37</v>
      </c>
      <c r="BP4598">
        <v>0.82</v>
      </c>
      <c r="BQ4598">
        <v>-0.04</v>
      </c>
      <c r="BR4598">
        <v>-0.76</v>
      </c>
      <c r="BS4598">
        <v>1.56</v>
      </c>
      <c r="BT4598">
        <v>0.37</v>
      </c>
      <c r="BU4598">
        <v>-0.14000000000000001</v>
      </c>
      <c r="BV4598">
        <v>0.42</v>
      </c>
      <c r="BW4598">
        <v>1.69</v>
      </c>
      <c r="BX4598">
        <v>0.6</v>
      </c>
      <c r="BY4598">
        <v>1.27</v>
      </c>
      <c r="BZ4598">
        <v>0.18</v>
      </c>
      <c r="CA4598">
        <v>1.1000000000000001</v>
      </c>
      <c r="CB4598">
        <v>0.79</v>
      </c>
      <c r="CC4598">
        <v>0.88</v>
      </c>
      <c r="CD4598">
        <v>-1.02</v>
      </c>
      <c r="CE4598">
        <v>0.63</v>
      </c>
      <c r="CF4598">
        <v>0.11</v>
      </c>
      <c r="CG4598">
        <v>0</v>
      </c>
      <c r="CH4598">
        <v>1.31</v>
      </c>
      <c r="CI4598">
        <v>0</v>
      </c>
      <c r="CJ4598">
        <v>-0.6</v>
      </c>
      <c r="CK4598">
        <v>99</v>
      </c>
      <c r="CL4598">
        <v>-0.7</v>
      </c>
      <c r="CM4598">
        <v>99</v>
      </c>
      <c r="CN4598">
        <v>-7.0000000000000007E-2</v>
      </c>
      <c r="CO4598">
        <v>99</v>
      </c>
      <c r="CP4598">
        <v>1</v>
      </c>
      <c r="CQ4598">
        <v>99</v>
      </c>
      <c r="CR4598">
        <v>0</v>
      </c>
      <c r="CS4598">
        <v>0</v>
      </c>
      <c r="CT4598">
        <v>2.6</v>
      </c>
      <c r="CU4598">
        <v>98</v>
      </c>
      <c r="CV4598">
        <v>0.13</v>
      </c>
      <c r="CW4598">
        <v>46</v>
      </c>
      <c r="CX4598" t="s">
        <v>207</v>
      </c>
    </row>
    <row r="4599" spans="1:102" x14ac:dyDescent="0.3">
      <c r="A4599" t="str">
        <f>HYPERLINK("https://webapp.icbf.com/v2/app/bull-search/view/77859052","COA")</f>
        <v>COA</v>
      </c>
      <c r="B4599" t="s">
        <v>12381</v>
      </c>
      <c r="C4599" t="s">
        <v>12382</v>
      </c>
      <c r="D4599" s="1">
        <v>32919</v>
      </c>
      <c r="E4599" t="s">
        <v>92</v>
      </c>
      <c r="F4599">
        <v>100</v>
      </c>
      <c r="G4599" t="s">
        <v>93</v>
      </c>
      <c r="H4599">
        <v>-144</v>
      </c>
      <c r="I4599">
        <v>86</v>
      </c>
      <c r="J4599">
        <v>-26.83</v>
      </c>
      <c r="K4599">
        <v>98</v>
      </c>
      <c r="L4599">
        <v>-88.61</v>
      </c>
      <c r="M4599">
        <v>80</v>
      </c>
      <c r="N4599">
        <v>-21.32</v>
      </c>
      <c r="O4599">
        <v>76</v>
      </c>
      <c r="P4599">
        <v>-21.01</v>
      </c>
      <c r="Q4599">
        <v>91</v>
      </c>
      <c r="R4599">
        <v>-6.89</v>
      </c>
      <c r="S4599">
        <v>76</v>
      </c>
      <c r="T4599">
        <v>19.600000000000001</v>
      </c>
      <c r="U4599">
        <v>90</v>
      </c>
      <c r="V4599">
        <v>1.06</v>
      </c>
      <c r="W4599">
        <v>48</v>
      </c>
      <c r="X4599" t="s">
        <v>94</v>
      </c>
      <c r="Y4599" t="s">
        <v>95</v>
      </c>
      <c r="Z4599" t="s">
        <v>96</v>
      </c>
      <c r="AA4599" t="s">
        <v>6504</v>
      </c>
      <c r="AB4599" t="s">
        <v>119</v>
      </c>
      <c r="AC4599">
        <v>214</v>
      </c>
      <c r="AD4599">
        <v>187</v>
      </c>
      <c r="AE4599">
        <v>98</v>
      </c>
      <c r="AF4599">
        <v>-110.41</v>
      </c>
      <c r="AG4599">
        <v>-5.55</v>
      </c>
      <c r="AH4599">
        <v>-4.29</v>
      </c>
      <c r="AI4599">
        <v>-0.02</v>
      </c>
      <c r="AJ4599">
        <v>-0.01</v>
      </c>
      <c r="AK4599">
        <v>80</v>
      </c>
      <c r="AL4599">
        <v>406</v>
      </c>
      <c r="AM4599">
        <v>302</v>
      </c>
      <c r="AN4599">
        <v>3.79</v>
      </c>
      <c r="AO4599">
        <v>-3.29</v>
      </c>
      <c r="AP4599">
        <v>3</v>
      </c>
      <c r="AQ4599">
        <v>0</v>
      </c>
      <c r="AR4599">
        <v>8.6300000000000008</v>
      </c>
      <c r="AS4599">
        <v>38</v>
      </c>
      <c r="AT4599">
        <v>3.93</v>
      </c>
      <c r="AU4599">
        <v>74</v>
      </c>
      <c r="AV4599">
        <v>0.48</v>
      </c>
      <c r="AW4599">
        <v>86</v>
      </c>
      <c r="AX4599">
        <v>0.26</v>
      </c>
      <c r="AY4599">
        <v>89</v>
      </c>
      <c r="AZ4599">
        <v>7.06</v>
      </c>
      <c r="BA4599">
        <v>41</v>
      </c>
      <c r="BB4599">
        <v>5.99</v>
      </c>
      <c r="BC4599">
        <v>72</v>
      </c>
      <c r="BD4599">
        <v>0.02</v>
      </c>
      <c r="BE4599">
        <v>0.05</v>
      </c>
      <c r="BF4599">
        <v>0.03</v>
      </c>
      <c r="BG4599">
        <v>96</v>
      </c>
      <c r="BH4599">
        <v>0.02</v>
      </c>
      <c r="BI4599">
        <v>-1.0900000000000001</v>
      </c>
      <c r="BJ4599">
        <v>57</v>
      </c>
      <c r="BK4599">
        <v>47</v>
      </c>
      <c r="BL4599">
        <v>0.79</v>
      </c>
      <c r="BM4599">
        <v>0.21</v>
      </c>
      <c r="BN4599">
        <v>0.81</v>
      </c>
      <c r="BO4599">
        <v>0.34</v>
      </c>
      <c r="BP4599">
        <v>-3.05</v>
      </c>
      <c r="BQ4599">
        <v>0.28999999999999998</v>
      </c>
      <c r="BR4599">
        <v>0.13</v>
      </c>
      <c r="BS4599">
        <v>-1.27</v>
      </c>
      <c r="BT4599">
        <v>-0.05</v>
      </c>
      <c r="BU4599">
        <v>-1</v>
      </c>
      <c r="BV4599">
        <v>-0.37</v>
      </c>
      <c r="BW4599">
        <v>-0.23</v>
      </c>
      <c r="BX4599">
        <v>-0.52</v>
      </c>
      <c r="BY4599">
        <v>-1.98</v>
      </c>
      <c r="BZ4599">
        <v>-0.3</v>
      </c>
      <c r="CA4599">
        <v>-0.71</v>
      </c>
      <c r="CB4599">
        <v>-0.77</v>
      </c>
      <c r="CC4599">
        <v>-0.27</v>
      </c>
      <c r="CD4599">
        <v>-1.34</v>
      </c>
      <c r="CE4599">
        <v>0.21</v>
      </c>
      <c r="CF4599">
        <v>1.07</v>
      </c>
      <c r="CG4599">
        <v>0</v>
      </c>
      <c r="CH4599">
        <v>-0.34</v>
      </c>
      <c r="CI4599">
        <v>0</v>
      </c>
      <c r="CJ4599">
        <v>-8.8000000000000007</v>
      </c>
      <c r="CK4599">
        <v>91</v>
      </c>
      <c r="CL4599">
        <v>-0.73</v>
      </c>
      <c r="CM4599">
        <v>90</v>
      </c>
      <c r="CN4599">
        <v>-0.09</v>
      </c>
      <c r="CO4599">
        <v>88</v>
      </c>
      <c r="CP4599">
        <v>-15.9</v>
      </c>
      <c r="CQ4599">
        <v>94</v>
      </c>
      <c r="CR4599">
        <v>0</v>
      </c>
      <c r="CS4599">
        <v>0</v>
      </c>
      <c r="CT4599">
        <v>-12.7</v>
      </c>
      <c r="CU4599">
        <v>90</v>
      </c>
      <c r="CV4599">
        <v>0.08</v>
      </c>
      <c r="CW4599">
        <v>26</v>
      </c>
      <c r="CX4599" t="s">
        <v>12383</v>
      </c>
    </row>
    <row r="4600" spans="1:102" x14ac:dyDescent="0.3">
      <c r="A4600" t="str">
        <f>HYPERLINK("https://webapp.icbf.com/v2/app/bull-search/view/122808872","PIK")</f>
        <v>PIK</v>
      </c>
      <c r="B4600" t="s">
        <v>922</v>
      </c>
      <c r="C4600" t="s">
        <v>923</v>
      </c>
      <c r="D4600" s="1">
        <v>35242</v>
      </c>
      <c r="E4600" t="s">
        <v>92</v>
      </c>
      <c r="F4600">
        <v>100</v>
      </c>
      <c r="G4600" t="s">
        <v>93</v>
      </c>
      <c r="H4600">
        <v>-144.27000000000001</v>
      </c>
      <c r="I4600">
        <v>96</v>
      </c>
      <c r="J4600">
        <v>17.98</v>
      </c>
      <c r="K4600">
        <v>99</v>
      </c>
      <c r="L4600">
        <v>-152.63</v>
      </c>
      <c r="M4600">
        <v>93</v>
      </c>
      <c r="N4600">
        <v>-6.96</v>
      </c>
      <c r="O4600">
        <v>97</v>
      </c>
      <c r="P4600">
        <v>-21.27</v>
      </c>
      <c r="Q4600">
        <v>99</v>
      </c>
      <c r="R4600">
        <v>3.39</v>
      </c>
      <c r="S4600">
        <v>94</v>
      </c>
      <c r="T4600">
        <v>20.78</v>
      </c>
      <c r="U4600">
        <v>98</v>
      </c>
      <c r="V4600">
        <v>-5.56</v>
      </c>
      <c r="W4600">
        <v>95</v>
      </c>
      <c r="X4600" t="s">
        <v>276</v>
      </c>
      <c r="Y4600" t="s">
        <v>95</v>
      </c>
      <c r="Z4600" t="s">
        <v>96</v>
      </c>
      <c r="AA4600" t="s">
        <v>924</v>
      </c>
      <c r="AB4600" t="s">
        <v>925</v>
      </c>
      <c r="AC4600">
        <v>1058</v>
      </c>
      <c r="AD4600">
        <v>339</v>
      </c>
      <c r="AE4600">
        <v>99</v>
      </c>
      <c r="AF4600">
        <v>180.76</v>
      </c>
      <c r="AG4600">
        <v>6.94</v>
      </c>
      <c r="AH4600">
        <v>3.37</v>
      </c>
      <c r="AI4600">
        <v>0</v>
      </c>
      <c r="AJ4600">
        <v>-0.05</v>
      </c>
      <c r="AK4600">
        <v>93</v>
      </c>
      <c r="AL4600">
        <v>1050</v>
      </c>
      <c r="AM4600">
        <v>339</v>
      </c>
      <c r="AN4600">
        <v>10.01</v>
      </c>
      <c r="AO4600">
        <v>-2.14</v>
      </c>
      <c r="AP4600">
        <v>1585</v>
      </c>
      <c r="AQ4600">
        <v>2</v>
      </c>
      <c r="AR4600">
        <v>8.94</v>
      </c>
      <c r="AS4600">
        <v>98</v>
      </c>
      <c r="AT4600">
        <v>3.99</v>
      </c>
      <c r="AU4600">
        <v>97</v>
      </c>
      <c r="AV4600">
        <v>-0.68</v>
      </c>
      <c r="AW4600">
        <v>99</v>
      </c>
      <c r="AX4600">
        <v>0.42</v>
      </c>
      <c r="AY4600">
        <v>97</v>
      </c>
      <c r="AZ4600">
        <v>6.15</v>
      </c>
      <c r="BA4600">
        <v>93</v>
      </c>
      <c r="BB4600">
        <v>4.9000000000000004</v>
      </c>
      <c r="BC4600">
        <v>93</v>
      </c>
      <c r="BD4600">
        <v>0</v>
      </c>
      <c r="BE4600">
        <v>-0.02</v>
      </c>
      <c r="BF4600">
        <v>-0.04</v>
      </c>
      <c r="BG4600">
        <v>98</v>
      </c>
      <c r="BH4600">
        <v>0.15</v>
      </c>
      <c r="BI4600">
        <v>35.29</v>
      </c>
      <c r="BJ4600">
        <v>309</v>
      </c>
      <c r="BK4600">
        <v>90</v>
      </c>
      <c r="BL4600">
        <v>0.33</v>
      </c>
      <c r="BM4600">
        <v>-2.4700000000000002</v>
      </c>
      <c r="BN4600">
        <v>-7.0000000000000007E-2</v>
      </c>
      <c r="BO4600">
        <v>1.28</v>
      </c>
      <c r="BP4600">
        <v>-0.5</v>
      </c>
      <c r="BQ4600">
        <v>-2.64</v>
      </c>
      <c r="BR4600">
        <v>-0.25</v>
      </c>
      <c r="BS4600">
        <v>1.1000000000000001</v>
      </c>
      <c r="BT4600">
        <v>1.1299999999999999</v>
      </c>
      <c r="BU4600">
        <v>0.85</v>
      </c>
      <c r="BV4600">
        <v>1.68</v>
      </c>
      <c r="BW4600">
        <v>1.02</v>
      </c>
      <c r="BX4600">
        <v>-0.12</v>
      </c>
      <c r="BY4600">
        <v>0.69</v>
      </c>
      <c r="BZ4600">
        <v>2.59</v>
      </c>
      <c r="CA4600">
        <v>1.07</v>
      </c>
      <c r="CB4600">
        <v>1.17</v>
      </c>
      <c r="CC4600">
        <v>0.41</v>
      </c>
      <c r="CD4600">
        <v>-1.93</v>
      </c>
      <c r="CE4600">
        <v>1.17</v>
      </c>
      <c r="CF4600">
        <v>-0.59</v>
      </c>
      <c r="CG4600">
        <v>0</v>
      </c>
      <c r="CH4600">
        <v>0.7</v>
      </c>
      <c r="CI4600">
        <v>0</v>
      </c>
      <c r="CJ4600">
        <v>-11.1</v>
      </c>
      <c r="CK4600">
        <v>99</v>
      </c>
      <c r="CL4600">
        <v>-1.05</v>
      </c>
      <c r="CM4600">
        <v>98</v>
      </c>
      <c r="CN4600">
        <v>-0.57999999999999996</v>
      </c>
      <c r="CO4600">
        <v>98</v>
      </c>
      <c r="CP4600">
        <v>-12.7</v>
      </c>
      <c r="CQ4600">
        <v>99</v>
      </c>
      <c r="CR4600">
        <v>0</v>
      </c>
      <c r="CS4600">
        <v>0</v>
      </c>
      <c r="CT4600">
        <v>-14.3</v>
      </c>
      <c r="CU4600">
        <v>98</v>
      </c>
      <c r="CV4600">
        <v>-0.09</v>
      </c>
      <c r="CW4600">
        <v>47</v>
      </c>
      <c r="CX4600" t="s">
        <v>132</v>
      </c>
    </row>
    <row r="4601" spans="1:102" x14ac:dyDescent="0.3">
      <c r="A4601" t="str">
        <f>HYPERLINK("https://webapp.icbf.com/v2/app/bull-search/view/586046389","LHG")</f>
        <v>LHG</v>
      </c>
      <c r="B4601" t="s">
        <v>10055</v>
      </c>
      <c r="C4601" t="s">
        <v>10056</v>
      </c>
      <c r="D4601" s="1">
        <v>37765</v>
      </c>
      <c r="E4601" t="s">
        <v>92</v>
      </c>
      <c r="F4601">
        <v>100</v>
      </c>
      <c r="G4601" t="s">
        <v>93</v>
      </c>
      <c r="H4601">
        <v>-144.9</v>
      </c>
      <c r="I4601">
        <v>92</v>
      </c>
      <c r="J4601">
        <v>17.670000000000002</v>
      </c>
      <c r="K4601">
        <v>98</v>
      </c>
      <c r="L4601">
        <v>-136.55000000000001</v>
      </c>
      <c r="M4601">
        <v>91</v>
      </c>
      <c r="N4601">
        <v>-16.22</v>
      </c>
      <c r="O4601">
        <v>89</v>
      </c>
      <c r="P4601">
        <v>-5.56</v>
      </c>
      <c r="Q4601">
        <v>93</v>
      </c>
      <c r="R4601">
        <v>10.95</v>
      </c>
      <c r="S4601">
        <v>85</v>
      </c>
      <c r="T4601">
        <v>-11.48</v>
      </c>
      <c r="U4601">
        <v>89</v>
      </c>
      <c r="V4601">
        <v>-3.71</v>
      </c>
      <c r="W4601">
        <v>79</v>
      </c>
      <c r="X4601" t="s">
        <v>276</v>
      </c>
      <c r="Y4601" t="s">
        <v>270</v>
      </c>
      <c r="Z4601" t="s">
        <v>96</v>
      </c>
      <c r="AA4601" t="s">
        <v>311</v>
      </c>
      <c r="AB4601" t="s">
        <v>10057</v>
      </c>
      <c r="AC4601">
        <v>153</v>
      </c>
      <c r="AD4601">
        <v>73</v>
      </c>
      <c r="AE4601">
        <v>98</v>
      </c>
      <c r="AF4601">
        <v>197.35</v>
      </c>
      <c r="AG4601">
        <v>2.87</v>
      </c>
      <c r="AH4601">
        <v>5.01</v>
      </c>
      <c r="AI4601">
        <v>-0.08</v>
      </c>
      <c r="AJ4601">
        <v>-0.03</v>
      </c>
      <c r="AK4601">
        <v>91</v>
      </c>
      <c r="AL4601">
        <v>120</v>
      </c>
      <c r="AM4601">
        <v>60</v>
      </c>
      <c r="AN4601">
        <v>6.62</v>
      </c>
      <c r="AO4601">
        <v>-4.28</v>
      </c>
      <c r="AP4601">
        <v>261</v>
      </c>
      <c r="AQ4601">
        <v>1</v>
      </c>
      <c r="AR4601">
        <v>11.04</v>
      </c>
      <c r="AS4601">
        <v>85</v>
      </c>
      <c r="AT4601">
        <v>4.7699999999999996</v>
      </c>
      <c r="AU4601">
        <v>93</v>
      </c>
      <c r="AV4601">
        <v>-1.21</v>
      </c>
      <c r="AW4601">
        <v>95</v>
      </c>
      <c r="AX4601">
        <v>0.27</v>
      </c>
      <c r="AY4601">
        <v>88</v>
      </c>
      <c r="AZ4601">
        <v>5.41</v>
      </c>
      <c r="BA4601">
        <v>73</v>
      </c>
      <c r="BB4601">
        <v>4.68</v>
      </c>
      <c r="BC4601">
        <v>71</v>
      </c>
      <c r="BD4601">
        <v>-0.04</v>
      </c>
      <c r="BE4601">
        <v>-0.05</v>
      </c>
      <c r="BF4601">
        <v>-0.09</v>
      </c>
      <c r="BG4601">
        <v>95</v>
      </c>
      <c r="BH4601">
        <v>-0.28000000000000003</v>
      </c>
      <c r="BI4601">
        <v>-20.420000000000002</v>
      </c>
      <c r="BJ4601">
        <v>73</v>
      </c>
      <c r="BK4601">
        <v>33</v>
      </c>
      <c r="BL4601">
        <v>1.68</v>
      </c>
      <c r="BM4601">
        <v>-0.84</v>
      </c>
      <c r="BN4601">
        <v>0.62</v>
      </c>
      <c r="BO4601">
        <v>1.44</v>
      </c>
      <c r="BP4601">
        <v>-1.53</v>
      </c>
      <c r="BQ4601">
        <v>3.19</v>
      </c>
      <c r="BR4601">
        <v>-0.18</v>
      </c>
      <c r="BS4601">
        <v>-0.03</v>
      </c>
      <c r="BT4601">
        <v>1.07</v>
      </c>
      <c r="BU4601">
        <v>2.41</v>
      </c>
      <c r="BV4601">
        <v>1.77</v>
      </c>
      <c r="BW4601">
        <v>2.0699999999999998</v>
      </c>
      <c r="BX4601">
        <v>2.62</v>
      </c>
      <c r="BY4601">
        <v>1.05</v>
      </c>
      <c r="BZ4601">
        <v>0.03</v>
      </c>
      <c r="CA4601">
        <v>1.36</v>
      </c>
      <c r="CB4601">
        <v>1.67</v>
      </c>
      <c r="CC4601">
        <v>0.04</v>
      </c>
      <c r="CD4601">
        <v>-1</v>
      </c>
      <c r="CE4601">
        <v>0.99</v>
      </c>
      <c r="CF4601">
        <v>1.33</v>
      </c>
      <c r="CG4601">
        <v>0</v>
      </c>
      <c r="CH4601">
        <v>1.36</v>
      </c>
      <c r="CI4601">
        <v>0</v>
      </c>
      <c r="CJ4601">
        <v>-0.9</v>
      </c>
      <c r="CK4601">
        <v>94</v>
      </c>
      <c r="CL4601">
        <v>-1.3</v>
      </c>
      <c r="CM4601">
        <v>93</v>
      </c>
      <c r="CN4601">
        <v>-0.69</v>
      </c>
      <c r="CO4601">
        <v>92</v>
      </c>
      <c r="CP4601">
        <v>6.8</v>
      </c>
      <c r="CQ4601">
        <v>92</v>
      </c>
      <c r="CR4601">
        <v>0</v>
      </c>
      <c r="CS4601">
        <v>0</v>
      </c>
      <c r="CT4601">
        <v>29.3</v>
      </c>
      <c r="CU4601">
        <v>89</v>
      </c>
      <c r="CV4601">
        <v>0.28999999999999998</v>
      </c>
      <c r="CW4601">
        <v>45</v>
      </c>
      <c r="CX4601" t="s">
        <v>4558</v>
      </c>
    </row>
    <row r="4602" spans="1:102" x14ac:dyDescent="0.3">
      <c r="A4602" t="str">
        <f>HYPERLINK("https://webapp.icbf.com/v2/app/bull-search/view/287501280","S346")</f>
        <v>S346</v>
      </c>
      <c r="B4602" t="s">
        <v>11721</v>
      </c>
      <c r="C4602" t="s">
        <v>11722</v>
      </c>
      <c r="D4602" s="1">
        <v>36431</v>
      </c>
      <c r="E4602" t="s">
        <v>92</v>
      </c>
      <c r="F4602">
        <v>100</v>
      </c>
      <c r="G4602" t="s">
        <v>109</v>
      </c>
      <c r="H4602">
        <v>-145.05000000000001</v>
      </c>
      <c r="I4602">
        <v>67</v>
      </c>
      <c r="J4602">
        <v>-9.27</v>
      </c>
      <c r="K4602">
        <v>81</v>
      </c>
      <c r="L4602">
        <v>-122.67</v>
      </c>
      <c r="M4602">
        <v>78</v>
      </c>
      <c r="N4602">
        <v>-4.82</v>
      </c>
      <c r="O4602">
        <v>46</v>
      </c>
      <c r="P4602">
        <v>-13.2</v>
      </c>
      <c r="Q4602">
        <v>39</v>
      </c>
      <c r="R4602">
        <v>-2.91</v>
      </c>
      <c r="S4602">
        <v>60</v>
      </c>
      <c r="T4602">
        <v>9.98</v>
      </c>
      <c r="U4602">
        <v>41</v>
      </c>
      <c r="V4602">
        <v>-2.16</v>
      </c>
      <c r="W4602">
        <v>31</v>
      </c>
      <c r="X4602" t="s">
        <v>110</v>
      </c>
      <c r="Y4602" t="s">
        <v>545</v>
      </c>
      <c r="Z4602" t="s">
        <v>96</v>
      </c>
      <c r="AA4602" t="s">
        <v>1325</v>
      </c>
      <c r="AB4602" t="s">
        <v>4717</v>
      </c>
      <c r="AC4602">
        <v>0</v>
      </c>
      <c r="AD4602">
        <v>0</v>
      </c>
      <c r="AE4602">
        <v>81</v>
      </c>
      <c r="AF4602">
        <v>230.81</v>
      </c>
      <c r="AG4602">
        <v>3.24</v>
      </c>
      <c r="AH4602">
        <v>0.81</v>
      </c>
      <c r="AI4602">
        <v>-0.09</v>
      </c>
      <c r="AJ4602">
        <v>-0.11</v>
      </c>
      <c r="AK4602">
        <v>78</v>
      </c>
      <c r="AL4602">
        <v>0</v>
      </c>
      <c r="AM4602">
        <v>0</v>
      </c>
      <c r="AN4602">
        <v>6.12</v>
      </c>
      <c r="AO4602">
        <v>-3.67</v>
      </c>
      <c r="AP4602">
        <v>4</v>
      </c>
      <c r="AQ4602">
        <v>0</v>
      </c>
      <c r="AR4602">
        <v>7.6</v>
      </c>
      <c r="AS4602">
        <v>33</v>
      </c>
      <c r="AT4602">
        <v>3.2</v>
      </c>
      <c r="AU4602">
        <v>80</v>
      </c>
      <c r="AV4602">
        <v>0.38</v>
      </c>
      <c r="AW4602">
        <v>35</v>
      </c>
      <c r="AX4602">
        <v>-0.2</v>
      </c>
      <c r="AY4602">
        <v>37</v>
      </c>
      <c r="AZ4602">
        <v>6.62</v>
      </c>
      <c r="BA4602">
        <v>33</v>
      </c>
      <c r="BB4602">
        <v>5.28</v>
      </c>
      <c r="BC4602">
        <v>33</v>
      </c>
      <c r="BD4602">
        <v>0.03</v>
      </c>
      <c r="BE4602">
        <v>0.03</v>
      </c>
      <c r="BF4602">
        <v>-0.04</v>
      </c>
      <c r="BG4602">
        <v>85</v>
      </c>
      <c r="BH4602">
        <v>-0.04</v>
      </c>
      <c r="BI4602">
        <v>2.33</v>
      </c>
      <c r="BJ4602">
        <v>0</v>
      </c>
      <c r="BK4602">
        <v>0</v>
      </c>
      <c r="BL4602">
        <v>1.54</v>
      </c>
      <c r="BM4602">
        <v>0.52</v>
      </c>
      <c r="BN4602">
        <v>1.03</v>
      </c>
      <c r="BO4602">
        <v>0.84</v>
      </c>
      <c r="BP4602">
        <v>0.09</v>
      </c>
      <c r="BQ4602">
        <v>2.16</v>
      </c>
      <c r="BR4602">
        <v>-1.1200000000000001</v>
      </c>
      <c r="BS4602">
        <v>-0.38</v>
      </c>
      <c r="BT4602">
        <v>1.24</v>
      </c>
      <c r="BU4602">
        <v>1.1399999999999999</v>
      </c>
      <c r="BV4602">
        <v>0.73</v>
      </c>
      <c r="BW4602">
        <v>0.47</v>
      </c>
      <c r="BX4602">
        <v>1.34</v>
      </c>
      <c r="BY4602">
        <v>-1.57</v>
      </c>
      <c r="BZ4602">
        <v>2.99</v>
      </c>
      <c r="CA4602">
        <v>0.7</v>
      </c>
      <c r="CB4602">
        <v>0.93</v>
      </c>
      <c r="CC4602">
        <v>0.02</v>
      </c>
      <c r="CD4602">
        <v>-0.13</v>
      </c>
      <c r="CE4602">
        <v>0</v>
      </c>
      <c r="CF4602">
        <v>0</v>
      </c>
      <c r="CG4602">
        <v>0</v>
      </c>
      <c r="CH4602">
        <v>0</v>
      </c>
      <c r="CI4602">
        <v>0</v>
      </c>
      <c r="CJ4602">
        <v>-4.7</v>
      </c>
      <c r="CK4602">
        <v>39</v>
      </c>
      <c r="CL4602">
        <v>-1.02</v>
      </c>
      <c r="CM4602">
        <v>38</v>
      </c>
      <c r="CN4602">
        <v>-0.4</v>
      </c>
      <c r="CO4602">
        <v>36</v>
      </c>
      <c r="CP4602">
        <v>-5.8</v>
      </c>
      <c r="CQ4602">
        <v>43</v>
      </c>
      <c r="CR4602">
        <v>0</v>
      </c>
      <c r="CS4602">
        <v>0</v>
      </c>
      <c r="CT4602">
        <v>0.3</v>
      </c>
      <c r="CU4602">
        <v>41</v>
      </c>
      <c r="CV4602">
        <v>0.24</v>
      </c>
      <c r="CW4602">
        <v>11</v>
      </c>
      <c r="CX4602" t="s">
        <v>543</v>
      </c>
    </row>
    <row r="4603" spans="1:102" x14ac:dyDescent="0.3">
      <c r="A4603" t="str">
        <f>HYPERLINK("https://webapp.icbf.com/v2/app/bull-search/view/910795049","S1228")</f>
        <v>S1228</v>
      </c>
      <c r="B4603" t="s">
        <v>9115</v>
      </c>
      <c r="C4603" t="s">
        <v>9116</v>
      </c>
      <c r="D4603" s="1">
        <v>39752</v>
      </c>
      <c r="E4603" t="s">
        <v>92</v>
      </c>
      <c r="F4603">
        <v>100</v>
      </c>
      <c r="G4603" t="s">
        <v>109</v>
      </c>
      <c r="H4603">
        <v>-145.53</v>
      </c>
      <c r="I4603">
        <v>68</v>
      </c>
      <c r="J4603">
        <v>51.63</v>
      </c>
      <c r="K4603">
        <v>84</v>
      </c>
      <c r="L4603">
        <v>-179.97</v>
      </c>
      <c r="M4603">
        <v>79</v>
      </c>
      <c r="N4603">
        <v>1.95</v>
      </c>
      <c r="O4603">
        <v>55</v>
      </c>
      <c r="P4603">
        <v>-1.42</v>
      </c>
      <c r="Q4603">
        <v>37</v>
      </c>
      <c r="R4603">
        <v>-8.1199999999999992</v>
      </c>
      <c r="S4603">
        <v>59</v>
      </c>
      <c r="T4603">
        <v>-9.34</v>
      </c>
      <c r="U4603">
        <v>34</v>
      </c>
      <c r="V4603">
        <v>-0.26</v>
      </c>
      <c r="W4603">
        <v>19</v>
      </c>
      <c r="X4603" t="s">
        <v>94</v>
      </c>
      <c r="Y4603" t="s">
        <v>336</v>
      </c>
      <c r="Z4603" t="s">
        <v>96</v>
      </c>
      <c r="AA4603" t="s">
        <v>5289</v>
      </c>
      <c r="AB4603" t="s">
        <v>9117</v>
      </c>
      <c r="AC4603">
        <v>0</v>
      </c>
      <c r="AD4603">
        <v>0</v>
      </c>
      <c r="AE4603">
        <v>84</v>
      </c>
      <c r="AF4603">
        <v>506.34</v>
      </c>
      <c r="AG4603">
        <v>8.5399999999999991</v>
      </c>
      <c r="AH4603">
        <v>13.51</v>
      </c>
      <c r="AI4603">
        <v>-0.17</v>
      </c>
      <c r="AJ4603">
        <v>-0.06</v>
      </c>
      <c r="AK4603">
        <v>79</v>
      </c>
      <c r="AL4603">
        <v>0</v>
      </c>
      <c r="AM4603">
        <v>0</v>
      </c>
      <c r="AN4603">
        <v>10.8</v>
      </c>
      <c r="AO4603">
        <v>-3.54</v>
      </c>
      <c r="AP4603">
        <v>6</v>
      </c>
      <c r="AQ4603">
        <v>0</v>
      </c>
      <c r="AR4603">
        <v>9.5299999999999994</v>
      </c>
      <c r="AS4603">
        <v>28</v>
      </c>
      <c r="AT4603">
        <v>4.34</v>
      </c>
      <c r="AU4603">
        <v>89</v>
      </c>
      <c r="AV4603">
        <v>-2.89</v>
      </c>
      <c r="AW4603">
        <v>58</v>
      </c>
      <c r="AX4603">
        <v>-0.33</v>
      </c>
      <c r="AY4603">
        <v>37</v>
      </c>
      <c r="AZ4603">
        <v>7.25</v>
      </c>
      <c r="BA4603">
        <v>23</v>
      </c>
      <c r="BB4603">
        <v>5.53</v>
      </c>
      <c r="BC4603">
        <v>21</v>
      </c>
      <c r="BD4603">
        <v>0.01</v>
      </c>
      <c r="BE4603">
        <v>0</v>
      </c>
      <c r="BF4603">
        <v>0.17</v>
      </c>
      <c r="BG4603">
        <v>88</v>
      </c>
      <c r="BH4603">
        <v>-0.05</v>
      </c>
      <c r="BI4603">
        <v>-4.93</v>
      </c>
      <c r="BJ4603">
        <v>2</v>
      </c>
      <c r="BK4603">
        <v>2</v>
      </c>
      <c r="BL4603">
        <v>1.9</v>
      </c>
      <c r="BM4603">
        <v>-0.98</v>
      </c>
      <c r="BN4603">
        <v>2.06</v>
      </c>
      <c r="BO4603">
        <v>2.17</v>
      </c>
      <c r="BP4603">
        <v>-0.32</v>
      </c>
      <c r="BQ4603">
        <v>2.1800000000000002</v>
      </c>
      <c r="BR4603">
        <v>-0.88</v>
      </c>
      <c r="BS4603">
        <v>2.81</v>
      </c>
      <c r="BT4603">
        <v>1.88</v>
      </c>
      <c r="BU4603">
        <v>1.99</v>
      </c>
      <c r="BV4603">
        <v>3.15</v>
      </c>
      <c r="BW4603">
        <v>1.67</v>
      </c>
      <c r="BX4603">
        <v>1.32</v>
      </c>
      <c r="BY4603">
        <v>0.88</v>
      </c>
      <c r="BZ4603">
        <v>-0.35</v>
      </c>
      <c r="CA4603">
        <v>2.21</v>
      </c>
      <c r="CB4603">
        <v>1.84</v>
      </c>
      <c r="CC4603">
        <v>2.25</v>
      </c>
      <c r="CD4603">
        <v>-1.77</v>
      </c>
      <c r="CE4603">
        <v>1.36</v>
      </c>
      <c r="CF4603">
        <v>1.71</v>
      </c>
      <c r="CG4603">
        <v>0</v>
      </c>
      <c r="CH4603">
        <v>1.35</v>
      </c>
      <c r="CI4603">
        <v>0</v>
      </c>
      <c r="CJ4603">
        <v>1.5</v>
      </c>
      <c r="CK4603">
        <v>38</v>
      </c>
      <c r="CL4603">
        <v>-1.23</v>
      </c>
      <c r="CM4603">
        <v>36</v>
      </c>
      <c r="CN4603">
        <v>-0.7</v>
      </c>
      <c r="CO4603">
        <v>33</v>
      </c>
      <c r="CP4603">
        <v>6.7</v>
      </c>
      <c r="CQ4603">
        <v>43</v>
      </c>
      <c r="CR4603">
        <v>0</v>
      </c>
      <c r="CS4603">
        <v>0</v>
      </c>
      <c r="CT4603">
        <v>26.4</v>
      </c>
      <c r="CU4603">
        <v>34</v>
      </c>
      <c r="CV4603">
        <v>0.41</v>
      </c>
      <c r="CW4603">
        <v>10</v>
      </c>
      <c r="CX4603" t="s">
        <v>309</v>
      </c>
    </row>
    <row r="4604" spans="1:102" x14ac:dyDescent="0.3">
      <c r="A4604" t="str">
        <f>HYPERLINK("https://webapp.icbf.com/v2/app/bull-search/view/77857207","GRH")</f>
        <v>GRH</v>
      </c>
      <c r="B4604" t="s">
        <v>4940</v>
      </c>
      <c r="C4604" t="s">
        <v>4941</v>
      </c>
      <c r="D4604" s="1">
        <v>34547</v>
      </c>
      <c r="E4604" t="s">
        <v>92</v>
      </c>
      <c r="F4604">
        <v>91</v>
      </c>
      <c r="G4604" t="s">
        <v>93</v>
      </c>
      <c r="H4604">
        <v>-145.54</v>
      </c>
      <c r="I4604">
        <v>86</v>
      </c>
      <c r="J4604">
        <v>41.01</v>
      </c>
      <c r="K4604">
        <v>95</v>
      </c>
      <c r="L4604">
        <v>-151.1</v>
      </c>
      <c r="M4604">
        <v>87</v>
      </c>
      <c r="N4604">
        <v>-34.08</v>
      </c>
      <c r="O4604">
        <v>75</v>
      </c>
      <c r="P4604">
        <v>-18.399999999999999</v>
      </c>
      <c r="Q4604">
        <v>84</v>
      </c>
      <c r="R4604">
        <v>-1.9</v>
      </c>
      <c r="S4604">
        <v>81</v>
      </c>
      <c r="T4604">
        <v>26.92</v>
      </c>
      <c r="U4604">
        <v>67</v>
      </c>
      <c r="V4604">
        <v>-7.99</v>
      </c>
      <c r="W4604">
        <v>69</v>
      </c>
      <c r="X4604" t="s">
        <v>102</v>
      </c>
      <c r="Y4604" t="s">
        <v>95</v>
      </c>
      <c r="Z4604" t="s">
        <v>96</v>
      </c>
      <c r="AA4604" t="s">
        <v>105</v>
      </c>
      <c r="AB4604" t="s">
        <v>4942</v>
      </c>
      <c r="AC4604">
        <v>47</v>
      </c>
      <c r="AD4604">
        <v>25</v>
      </c>
      <c r="AE4604">
        <v>95</v>
      </c>
      <c r="AF4604">
        <v>345.77</v>
      </c>
      <c r="AG4604">
        <v>8.67</v>
      </c>
      <c r="AH4604">
        <v>9.1999999999999993</v>
      </c>
      <c r="AI4604">
        <v>-0.08</v>
      </c>
      <c r="AJ4604">
        <v>-0.04</v>
      </c>
      <c r="AK4604">
        <v>87</v>
      </c>
      <c r="AL4604">
        <v>40</v>
      </c>
      <c r="AM4604">
        <v>29</v>
      </c>
      <c r="AN4604">
        <v>9.8000000000000007</v>
      </c>
      <c r="AO4604">
        <v>-2.23</v>
      </c>
      <c r="AP4604">
        <v>19</v>
      </c>
      <c r="AQ4604">
        <v>0</v>
      </c>
      <c r="AR4604">
        <v>10.86</v>
      </c>
      <c r="AS4604">
        <v>65</v>
      </c>
      <c r="AT4604">
        <v>4.62</v>
      </c>
      <c r="AU4604">
        <v>91</v>
      </c>
      <c r="AV4604">
        <v>0.84</v>
      </c>
      <c r="AW4604">
        <v>73</v>
      </c>
      <c r="AX4604">
        <v>0.78</v>
      </c>
      <c r="AY4604">
        <v>71</v>
      </c>
      <c r="AZ4604">
        <v>5.88</v>
      </c>
      <c r="BA4604">
        <v>59</v>
      </c>
      <c r="BB4604">
        <v>5.0999999999999996</v>
      </c>
      <c r="BC4604">
        <v>64</v>
      </c>
      <c r="BD4604">
        <v>0.04</v>
      </c>
      <c r="BE4604">
        <v>0.03</v>
      </c>
      <c r="BF4604">
        <v>-0.08</v>
      </c>
      <c r="BG4604">
        <v>92</v>
      </c>
      <c r="BH4604">
        <v>-0.09</v>
      </c>
      <c r="BI4604">
        <v>15.35</v>
      </c>
      <c r="BJ4604">
        <v>7</v>
      </c>
      <c r="BK4604">
        <v>2</v>
      </c>
      <c r="BL4604">
        <v>0.08</v>
      </c>
      <c r="BM4604">
        <v>0.96</v>
      </c>
      <c r="BN4604">
        <v>1.45</v>
      </c>
      <c r="BO4604">
        <v>0.85</v>
      </c>
      <c r="BP4604">
        <v>-1.39</v>
      </c>
      <c r="BQ4604">
        <v>-0.06</v>
      </c>
      <c r="BR4604">
        <v>-2.36</v>
      </c>
      <c r="BS4604">
        <v>0.6</v>
      </c>
      <c r="BT4604">
        <v>2.1800000000000002</v>
      </c>
      <c r="BU4604">
        <v>-0.53</v>
      </c>
      <c r="BV4604">
        <v>0.37</v>
      </c>
      <c r="BW4604">
        <v>0.46</v>
      </c>
      <c r="BX4604">
        <v>-0.41</v>
      </c>
      <c r="BY4604">
        <v>1.1200000000000001</v>
      </c>
      <c r="BZ4604">
        <v>2.96</v>
      </c>
      <c r="CA4604">
        <v>0.23</v>
      </c>
      <c r="CB4604">
        <v>0.17</v>
      </c>
      <c r="CC4604">
        <v>0.73</v>
      </c>
      <c r="CD4604">
        <v>-0.79</v>
      </c>
      <c r="CE4604">
        <v>0.62</v>
      </c>
      <c r="CF4604">
        <v>-0.1</v>
      </c>
      <c r="CG4604">
        <v>0</v>
      </c>
      <c r="CH4604">
        <v>1.03</v>
      </c>
      <c r="CI4604">
        <v>0</v>
      </c>
      <c r="CJ4604">
        <v>-5.0999999999999996</v>
      </c>
      <c r="CK4604">
        <v>85</v>
      </c>
      <c r="CL4604">
        <v>-0.87</v>
      </c>
      <c r="CM4604">
        <v>83</v>
      </c>
      <c r="CN4604">
        <v>0.01</v>
      </c>
      <c r="CO4604">
        <v>81</v>
      </c>
      <c r="CP4604">
        <v>-15.1</v>
      </c>
      <c r="CQ4604">
        <v>84</v>
      </c>
      <c r="CR4604">
        <v>0</v>
      </c>
      <c r="CS4604">
        <v>0</v>
      </c>
      <c r="CT4604">
        <v>-22.6</v>
      </c>
      <c r="CU4604">
        <v>67</v>
      </c>
      <c r="CV4604">
        <v>0.17</v>
      </c>
      <c r="CW4604">
        <v>43</v>
      </c>
      <c r="CX4604" t="s">
        <v>99</v>
      </c>
    </row>
    <row r="4605" spans="1:102" x14ac:dyDescent="0.3">
      <c r="A4605" t="str">
        <f>HYPERLINK("https://webapp.icbf.com/v2/app/bull-search/view/77857408","FRL")</f>
        <v>FRL</v>
      </c>
      <c r="B4605" t="s">
        <v>14433</v>
      </c>
      <c r="C4605" t="s">
        <v>14434</v>
      </c>
      <c r="D4605" s="1">
        <v>33289</v>
      </c>
      <c r="E4605" t="s">
        <v>92</v>
      </c>
      <c r="F4605">
        <v>100</v>
      </c>
      <c r="G4605" t="s">
        <v>93</v>
      </c>
      <c r="H4605">
        <v>-145.62</v>
      </c>
      <c r="I4605">
        <v>88</v>
      </c>
      <c r="J4605">
        <v>-37.299999999999997</v>
      </c>
      <c r="K4605">
        <v>97</v>
      </c>
      <c r="L4605">
        <v>-98.12</v>
      </c>
      <c r="M4605">
        <v>90</v>
      </c>
      <c r="N4605">
        <v>-1.88</v>
      </c>
      <c r="O4605">
        <v>77</v>
      </c>
      <c r="P4605">
        <v>-8.6</v>
      </c>
      <c r="Q4605">
        <v>83</v>
      </c>
      <c r="R4605">
        <v>2.0699999999999998</v>
      </c>
      <c r="S4605">
        <v>81</v>
      </c>
      <c r="T4605">
        <v>-2.08</v>
      </c>
      <c r="U4605">
        <v>81</v>
      </c>
      <c r="V4605">
        <v>0.28999999999999998</v>
      </c>
      <c r="W4605">
        <v>65</v>
      </c>
      <c r="X4605" t="s">
        <v>558</v>
      </c>
      <c r="Y4605" t="s">
        <v>95</v>
      </c>
      <c r="Z4605" t="s">
        <v>96</v>
      </c>
      <c r="AA4605" t="s">
        <v>161</v>
      </c>
      <c r="AB4605" t="s">
        <v>14435</v>
      </c>
      <c r="AC4605">
        <v>104</v>
      </c>
      <c r="AD4605">
        <v>54</v>
      </c>
      <c r="AE4605">
        <v>97</v>
      </c>
      <c r="AF4605">
        <v>-68.959999999999994</v>
      </c>
      <c r="AG4605">
        <v>-7.77</v>
      </c>
      <c r="AH4605">
        <v>-4.6500000000000004</v>
      </c>
      <c r="AI4605">
        <v>-0.09</v>
      </c>
      <c r="AJ4605">
        <v>-0.04</v>
      </c>
      <c r="AK4605">
        <v>90</v>
      </c>
      <c r="AL4605">
        <v>91</v>
      </c>
      <c r="AM4605">
        <v>51</v>
      </c>
      <c r="AN4605">
        <v>5.73</v>
      </c>
      <c r="AO4605">
        <v>-2.09</v>
      </c>
      <c r="AP4605">
        <v>32</v>
      </c>
      <c r="AQ4605">
        <v>0</v>
      </c>
      <c r="AR4605">
        <v>7.84</v>
      </c>
      <c r="AS4605">
        <v>67</v>
      </c>
      <c r="AT4605">
        <v>4.03</v>
      </c>
      <c r="AU4605">
        <v>90</v>
      </c>
      <c r="AV4605">
        <v>-1.3</v>
      </c>
      <c r="AW4605">
        <v>75</v>
      </c>
      <c r="AX4605">
        <v>-0.73</v>
      </c>
      <c r="AY4605">
        <v>80</v>
      </c>
      <c r="AZ4605">
        <v>7.3</v>
      </c>
      <c r="BA4605">
        <v>62</v>
      </c>
      <c r="BB4605">
        <v>5.66</v>
      </c>
      <c r="BC4605">
        <v>68</v>
      </c>
      <c r="BD4605">
        <v>0.02</v>
      </c>
      <c r="BE4605">
        <v>0.01</v>
      </c>
      <c r="BF4605">
        <v>-0.1</v>
      </c>
      <c r="BG4605">
        <v>95</v>
      </c>
      <c r="BH4605">
        <v>0.06</v>
      </c>
      <c r="BI4605">
        <v>5.99</v>
      </c>
      <c r="BJ4605">
        <v>24</v>
      </c>
      <c r="BK4605">
        <v>15</v>
      </c>
      <c r="BL4605">
        <v>1.92</v>
      </c>
      <c r="BM4605">
        <v>-0.33</v>
      </c>
      <c r="BN4605">
        <v>1.52</v>
      </c>
      <c r="BO4605">
        <v>1.58</v>
      </c>
      <c r="BP4605">
        <v>0.65</v>
      </c>
      <c r="BQ4605">
        <v>0.5</v>
      </c>
      <c r="BR4605">
        <v>-0.1</v>
      </c>
      <c r="BS4605">
        <v>-1.87</v>
      </c>
      <c r="BT4605">
        <v>1.1599999999999999</v>
      </c>
      <c r="BU4605">
        <v>1.25</v>
      </c>
      <c r="BV4605">
        <v>0.53</v>
      </c>
      <c r="BW4605">
        <v>0.71</v>
      </c>
      <c r="BX4605">
        <v>1.86</v>
      </c>
      <c r="BY4605">
        <v>0.27</v>
      </c>
      <c r="BZ4605">
        <v>2.52</v>
      </c>
      <c r="CA4605">
        <v>0.44</v>
      </c>
      <c r="CB4605">
        <v>0.79</v>
      </c>
      <c r="CC4605">
        <v>-0.37</v>
      </c>
      <c r="CD4605">
        <v>-0.9</v>
      </c>
      <c r="CE4605">
        <v>1.24</v>
      </c>
      <c r="CF4605">
        <v>1.69</v>
      </c>
      <c r="CG4605">
        <v>0</v>
      </c>
      <c r="CH4605">
        <v>0.5</v>
      </c>
      <c r="CI4605">
        <v>0</v>
      </c>
      <c r="CJ4605">
        <v>-2.2999999999999998</v>
      </c>
      <c r="CK4605">
        <v>84</v>
      </c>
      <c r="CL4605">
        <v>-0.97</v>
      </c>
      <c r="CM4605">
        <v>82</v>
      </c>
      <c r="CN4605">
        <v>-0.39</v>
      </c>
      <c r="CO4605">
        <v>79</v>
      </c>
      <c r="CP4605">
        <v>0.1</v>
      </c>
      <c r="CQ4605">
        <v>90</v>
      </c>
      <c r="CR4605">
        <v>0</v>
      </c>
      <c r="CS4605">
        <v>0</v>
      </c>
      <c r="CT4605">
        <v>16.600000000000001</v>
      </c>
      <c r="CU4605">
        <v>81</v>
      </c>
      <c r="CV4605">
        <v>0.14000000000000001</v>
      </c>
      <c r="CW4605">
        <v>42</v>
      </c>
      <c r="CX4605" t="s">
        <v>120</v>
      </c>
    </row>
    <row r="4606" spans="1:102" x14ac:dyDescent="0.3">
      <c r="A4606" t="str">
        <f>HYPERLINK("https://webapp.icbf.com/v2/app/bull-search/view/77856553","HRK")</f>
        <v>HRK</v>
      </c>
      <c r="B4606" t="s">
        <v>4266</v>
      </c>
      <c r="C4606" t="s">
        <v>4267</v>
      </c>
      <c r="D4606" s="1">
        <v>35863</v>
      </c>
      <c r="E4606" t="s">
        <v>92</v>
      </c>
      <c r="F4606">
        <v>100</v>
      </c>
      <c r="G4606" t="s">
        <v>93</v>
      </c>
      <c r="H4606">
        <v>-145.66</v>
      </c>
      <c r="I4606">
        <v>84</v>
      </c>
      <c r="J4606">
        <v>21.64</v>
      </c>
      <c r="K4606">
        <v>95</v>
      </c>
      <c r="L4606">
        <v>-121.31</v>
      </c>
      <c r="M4606">
        <v>80</v>
      </c>
      <c r="N4606">
        <v>-31.29</v>
      </c>
      <c r="O4606">
        <v>74</v>
      </c>
      <c r="P4606">
        <v>-2.2999999999999998</v>
      </c>
      <c r="Q4606">
        <v>86</v>
      </c>
      <c r="R4606">
        <v>-4.8</v>
      </c>
      <c r="S4606">
        <v>79</v>
      </c>
      <c r="T4606">
        <v>10.87</v>
      </c>
      <c r="U4606">
        <v>78</v>
      </c>
      <c r="V4606">
        <v>-18.47</v>
      </c>
      <c r="W4606">
        <v>73</v>
      </c>
      <c r="X4606" t="s">
        <v>558</v>
      </c>
      <c r="Y4606" t="s">
        <v>95</v>
      </c>
      <c r="Z4606" t="s">
        <v>96</v>
      </c>
      <c r="AA4606" t="s">
        <v>643</v>
      </c>
      <c r="AB4606" t="s">
        <v>4268</v>
      </c>
      <c r="AC4606">
        <v>40</v>
      </c>
      <c r="AD4606">
        <v>31</v>
      </c>
      <c r="AE4606">
        <v>95</v>
      </c>
      <c r="AF4606">
        <v>139.19999999999999</v>
      </c>
      <c r="AG4606">
        <v>5.63</v>
      </c>
      <c r="AH4606">
        <v>3.82</v>
      </c>
      <c r="AI4606">
        <v>0</v>
      </c>
      <c r="AJ4606">
        <v>-0.02</v>
      </c>
      <c r="AK4606">
        <v>80</v>
      </c>
      <c r="AL4606">
        <v>45</v>
      </c>
      <c r="AM4606">
        <v>33</v>
      </c>
      <c r="AN4606">
        <v>6.93</v>
      </c>
      <c r="AO4606">
        <v>-2.74</v>
      </c>
      <c r="AP4606">
        <v>29</v>
      </c>
      <c r="AQ4606">
        <v>0</v>
      </c>
      <c r="AR4606">
        <v>11.79</v>
      </c>
      <c r="AS4606">
        <v>66</v>
      </c>
      <c r="AT4606">
        <v>4.78</v>
      </c>
      <c r="AU4606">
        <v>80</v>
      </c>
      <c r="AV4606">
        <v>0.01</v>
      </c>
      <c r="AW4606">
        <v>76</v>
      </c>
      <c r="AX4606">
        <v>0.5</v>
      </c>
      <c r="AY4606">
        <v>74</v>
      </c>
      <c r="AZ4606">
        <v>5.95</v>
      </c>
      <c r="BA4606">
        <v>62</v>
      </c>
      <c r="BB4606">
        <v>4.93</v>
      </c>
      <c r="BC4606">
        <v>65</v>
      </c>
      <c r="BD4606">
        <v>0.02</v>
      </c>
      <c r="BE4606">
        <v>0.03</v>
      </c>
      <c r="BF4606">
        <v>0.02</v>
      </c>
      <c r="BG4606">
        <v>87</v>
      </c>
      <c r="BH4606">
        <v>-0.44</v>
      </c>
      <c r="BI4606">
        <v>8.67</v>
      </c>
      <c r="BJ4606">
        <v>24</v>
      </c>
      <c r="BK4606">
        <v>18</v>
      </c>
      <c r="BL4606">
        <v>0.14000000000000001</v>
      </c>
      <c r="BM4606">
        <v>-1.65</v>
      </c>
      <c r="BN4606">
        <v>-0.1</v>
      </c>
      <c r="BO4606">
        <v>0.79</v>
      </c>
      <c r="BP4606">
        <v>0.5</v>
      </c>
      <c r="BQ4606">
        <v>-2.59</v>
      </c>
      <c r="BR4606">
        <v>0.02</v>
      </c>
      <c r="BS4606">
        <v>0.15</v>
      </c>
      <c r="BT4606">
        <v>-0.02</v>
      </c>
      <c r="BU4606">
        <v>-1.34</v>
      </c>
      <c r="BV4606">
        <v>0.21</v>
      </c>
      <c r="BW4606">
        <v>0.55000000000000004</v>
      </c>
      <c r="BX4606">
        <v>-1.84</v>
      </c>
      <c r="BY4606">
        <v>-0.34</v>
      </c>
      <c r="BZ4606">
        <v>2.2000000000000002</v>
      </c>
      <c r="CA4606">
        <v>-0.2</v>
      </c>
      <c r="CB4606">
        <v>-0.3</v>
      </c>
      <c r="CC4606">
        <v>0.13</v>
      </c>
      <c r="CD4606">
        <v>-1.18</v>
      </c>
      <c r="CE4606">
        <v>0.65</v>
      </c>
      <c r="CF4606">
        <v>0.11</v>
      </c>
      <c r="CG4606">
        <v>0</v>
      </c>
      <c r="CH4606">
        <v>0.31</v>
      </c>
      <c r="CI4606">
        <v>0</v>
      </c>
      <c r="CJ4606">
        <v>1.6</v>
      </c>
      <c r="CK4606">
        <v>87</v>
      </c>
      <c r="CL4606">
        <v>-0.67</v>
      </c>
      <c r="CM4606">
        <v>85</v>
      </c>
      <c r="CN4606">
        <v>-0.23</v>
      </c>
      <c r="CO4606">
        <v>83</v>
      </c>
      <c r="CP4606">
        <v>-1.9</v>
      </c>
      <c r="CQ4606">
        <v>84</v>
      </c>
      <c r="CR4606">
        <v>0</v>
      </c>
      <c r="CS4606">
        <v>0</v>
      </c>
      <c r="CT4606">
        <v>-0.9</v>
      </c>
      <c r="CU4606">
        <v>78</v>
      </c>
      <c r="CV4606">
        <v>0.19</v>
      </c>
      <c r="CW4606">
        <v>43</v>
      </c>
      <c r="CX4606" t="s">
        <v>105</v>
      </c>
    </row>
    <row r="4607" spans="1:102" x14ac:dyDescent="0.3">
      <c r="A4607" t="str">
        <f>HYPERLINK("https://webapp.icbf.com/v2/app/bull-search/view/130499397","SVF")</f>
        <v>SVF</v>
      </c>
      <c r="B4607" t="s">
        <v>14395</v>
      </c>
      <c r="C4607" t="s">
        <v>4558</v>
      </c>
      <c r="D4607" s="1">
        <v>33254</v>
      </c>
      <c r="E4607" t="s">
        <v>92</v>
      </c>
      <c r="F4607">
        <v>100</v>
      </c>
      <c r="G4607" t="s">
        <v>93</v>
      </c>
      <c r="H4607">
        <v>-145.66</v>
      </c>
      <c r="I4607">
        <v>96</v>
      </c>
      <c r="J4607">
        <v>-37.18</v>
      </c>
      <c r="K4607">
        <v>99</v>
      </c>
      <c r="L4607">
        <v>-80.599999999999994</v>
      </c>
      <c r="M4607">
        <v>93</v>
      </c>
      <c r="N4607">
        <v>-24.73</v>
      </c>
      <c r="O4607">
        <v>97</v>
      </c>
      <c r="P4607">
        <v>6.31</v>
      </c>
      <c r="Q4607">
        <v>98</v>
      </c>
      <c r="R4607">
        <v>-1.03</v>
      </c>
      <c r="S4607">
        <v>92</v>
      </c>
      <c r="T4607">
        <v>-5.56</v>
      </c>
      <c r="U4607">
        <v>96</v>
      </c>
      <c r="V4607">
        <v>-2.87</v>
      </c>
      <c r="W4607">
        <v>89</v>
      </c>
      <c r="X4607" t="s">
        <v>558</v>
      </c>
      <c r="Y4607" t="s">
        <v>95</v>
      </c>
      <c r="Z4607" t="s">
        <v>96</v>
      </c>
      <c r="AA4607" t="s">
        <v>161</v>
      </c>
      <c r="AB4607" t="s">
        <v>14396</v>
      </c>
      <c r="AC4607">
        <v>730</v>
      </c>
      <c r="AD4607">
        <v>331</v>
      </c>
      <c r="AE4607">
        <v>99</v>
      </c>
      <c r="AF4607">
        <v>363.1</v>
      </c>
      <c r="AG4607">
        <v>-5.95</v>
      </c>
      <c r="AH4607">
        <v>1.34</v>
      </c>
      <c r="AI4607">
        <v>-0.33</v>
      </c>
      <c r="AJ4607">
        <v>-0.18</v>
      </c>
      <c r="AK4607">
        <v>93</v>
      </c>
      <c r="AL4607">
        <v>685</v>
      </c>
      <c r="AM4607">
        <v>278</v>
      </c>
      <c r="AN4607">
        <v>4.25</v>
      </c>
      <c r="AO4607">
        <v>-2.1800000000000002</v>
      </c>
      <c r="AP4607">
        <v>171</v>
      </c>
      <c r="AQ4607">
        <v>0</v>
      </c>
      <c r="AR4607">
        <v>8.24</v>
      </c>
      <c r="AS4607">
        <v>93</v>
      </c>
      <c r="AT4607">
        <v>3.66</v>
      </c>
      <c r="AU4607">
        <v>99</v>
      </c>
      <c r="AV4607">
        <v>0.73</v>
      </c>
      <c r="AW4607">
        <v>97</v>
      </c>
      <c r="AX4607">
        <v>-0.03</v>
      </c>
      <c r="AY4607">
        <v>96</v>
      </c>
      <c r="AZ4607">
        <v>8.61</v>
      </c>
      <c r="BA4607">
        <v>91</v>
      </c>
      <c r="BB4607">
        <v>6.55</v>
      </c>
      <c r="BC4607">
        <v>93</v>
      </c>
      <c r="BD4607">
        <v>7.0000000000000007E-2</v>
      </c>
      <c r="BE4607">
        <v>0.03</v>
      </c>
      <c r="BF4607">
        <v>-0.15</v>
      </c>
      <c r="BG4607">
        <v>98</v>
      </c>
      <c r="BH4607">
        <v>-0.09</v>
      </c>
      <c r="BI4607">
        <v>-1.1399999999999999</v>
      </c>
      <c r="BJ4607">
        <v>203</v>
      </c>
      <c r="BK4607">
        <v>106</v>
      </c>
      <c r="BL4607">
        <v>0.95</v>
      </c>
      <c r="BM4607">
        <v>0.22</v>
      </c>
      <c r="BN4607">
        <v>-0.37</v>
      </c>
      <c r="BO4607">
        <v>0.15</v>
      </c>
      <c r="BP4607">
        <v>-0.55000000000000004</v>
      </c>
      <c r="BQ4607">
        <v>1.61</v>
      </c>
      <c r="BR4607">
        <v>-1.41</v>
      </c>
      <c r="BS4607">
        <v>-1.24</v>
      </c>
      <c r="BT4607">
        <v>0.91</v>
      </c>
      <c r="BU4607">
        <v>2.11</v>
      </c>
      <c r="BV4607">
        <v>1.46</v>
      </c>
      <c r="BW4607">
        <v>0.97</v>
      </c>
      <c r="BX4607">
        <v>2.1800000000000002</v>
      </c>
      <c r="BY4607">
        <v>2.17</v>
      </c>
      <c r="BZ4607">
        <v>-0.28000000000000003</v>
      </c>
      <c r="CA4607">
        <v>1.4</v>
      </c>
      <c r="CB4607">
        <v>1.69</v>
      </c>
      <c r="CC4607">
        <v>0.18</v>
      </c>
      <c r="CD4607">
        <v>0.02</v>
      </c>
      <c r="CE4607">
        <v>0.43</v>
      </c>
      <c r="CF4607">
        <v>0.89</v>
      </c>
      <c r="CG4607">
        <v>0</v>
      </c>
      <c r="CH4607">
        <v>2.1</v>
      </c>
      <c r="CI4607">
        <v>0</v>
      </c>
      <c r="CJ4607">
        <v>4.5</v>
      </c>
      <c r="CK4607">
        <v>98</v>
      </c>
      <c r="CL4607">
        <v>-0.9</v>
      </c>
      <c r="CM4607">
        <v>97</v>
      </c>
      <c r="CN4607">
        <v>-0.72</v>
      </c>
      <c r="CO4607">
        <v>97</v>
      </c>
      <c r="CP4607">
        <v>6.4</v>
      </c>
      <c r="CQ4607">
        <v>98</v>
      </c>
      <c r="CR4607">
        <v>0</v>
      </c>
      <c r="CS4607">
        <v>0</v>
      </c>
      <c r="CT4607">
        <v>21.3</v>
      </c>
      <c r="CU4607">
        <v>96</v>
      </c>
      <c r="CV4607">
        <v>0.28000000000000003</v>
      </c>
      <c r="CW4607">
        <v>45</v>
      </c>
      <c r="CX4607" t="s">
        <v>543</v>
      </c>
    </row>
    <row r="4608" spans="1:102" x14ac:dyDescent="0.3">
      <c r="A4608" t="str">
        <f>HYPERLINK("https://webapp.icbf.com/v2/app/bull-search/view/77856307","JKE")</f>
        <v>JKE</v>
      </c>
      <c r="B4608" t="s">
        <v>11712</v>
      </c>
      <c r="C4608" t="s">
        <v>11713</v>
      </c>
      <c r="D4608" s="1">
        <v>34978</v>
      </c>
      <c r="E4608" t="s">
        <v>92</v>
      </c>
      <c r="F4608">
        <v>97</v>
      </c>
      <c r="G4608" t="s">
        <v>93</v>
      </c>
      <c r="H4608">
        <v>-145.88</v>
      </c>
      <c r="I4608">
        <v>89</v>
      </c>
      <c r="J4608">
        <v>-2.84</v>
      </c>
      <c r="K4608">
        <v>98</v>
      </c>
      <c r="L4608">
        <v>-118.31</v>
      </c>
      <c r="M4608">
        <v>83</v>
      </c>
      <c r="N4608">
        <v>1.48</v>
      </c>
      <c r="O4608">
        <v>84</v>
      </c>
      <c r="P4608">
        <v>-5.86</v>
      </c>
      <c r="Q4608">
        <v>91</v>
      </c>
      <c r="R4608">
        <v>-21.56</v>
      </c>
      <c r="S4608">
        <v>81</v>
      </c>
      <c r="T4608">
        <v>17.010000000000002</v>
      </c>
      <c r="U4608">
        <v>89</v>
      </c>
      <c r="V4608">
        <v>-15.8</v>
      </c>
      <c r="W4608">
        <v>69</v>
      </c>
      <c r="X4608" t="s">
        <v>94</v>
      </c>
      <c r="Y4608" t="s">
        <v>95</v>
      </c>
      <c r="Z4608" t="s">
        <v>96</v>
      </c>
      <c r="AA4608" t="s">
        <v>105</v>
      </c>
      <c r="AB4608" t="s">
        <v>11714</v>
      </c>
      <c r="AC4608">
        <v>186</v>
      </c>
      <c r="AD4608">
        <v>163</v>
      </c>
      <c r="AE4608">
        <v>98</v>
      </c>
      <c r="AF4608">
        <v>-159.44</v>
      </c>
      <c r="AG4608">
        <v>3.72</v>
      </c>
      <c r="AH4608">
        <v>-4.24</v>
      </c>
      <c r="AI4608">
        <v>0.18</v>
      </c>
      <c r="AJ4608">
        <v>0.02</v>
      </c>
      <c r="AK4608">
        <v>83</v>
      </c>
      <c r="AL4608">
        <v>212</v>
      </c>
      <c r="AM4608">
        <v>165</v>
      </c>
      <c r="AN4608">
        <v>7.6</v>
      </c>
      <c r="AO4608">
        <v>-1.82</v>
      </c>
      <c r="AP4608">
        <v>37</v>
      </c>
      <c r="AQ4608">
        <v>1</v>
      </c>
      <c r="AR4608">
        <v>9.06</v>
      </c>
      <c r="AS4608">
        <v>64</v>
      </c>
      <c r="AT4608">
        <v>3.36</v>
      </c>
      <c r="AU4608">
        <v>84</v>
      </c>
      <c r="AV4608">
        <v>-1.88</v>
      </c>
      <c r="AW4608">
        <v>91</v>
      </c>
      <c r="AX4608">
        <v>-0.14000000000000001</v>
      </c>
      <c r="AY4608">
        <v>89</v>
      </c>
      <c r="AZ4608">
        <v>7.26</v>
      </c>
      <c r="BA4608">
        <v>58</v>
      </c>
      <c r="BB4608">
        <v>6.17</v>
      </c>
      <c r="BC4608">
        <v>75</v>
      </c>
      <c r="BD4608">
        <v>7.0000000000000007E-2</v>
      </c>
      <c r="BE4608">
        <v>0.11</v>
      </c>
      <c r="BF4608">
        <v>0.17</v>
      </c>
      <c r="BG4608">
        <v>93</v>
      </c>
      <c r="BH4608">
        <v>-0.16</v>
      </c>
      <c r="BI4608">
        <v>32.47</v>
      </c>
      <c r="BJ4608">
        <v>18</v>
      </c>
      <c r="BK4608">
        <v>12</v>
      </c>
      <c r="BL4608">
        <v>-0.37</v>
      </c>
      <c r="BM4608">
        <v>-1.51</v>
      </c>
      <c r="BN4608">
        <v>-0.3</v>
      </c>
      <c r="BO4608">
        <v>0.64</v>
      </c>
      <c r="BP4608">
        <v>-2</v>
      </c>
      <c r="BQ4608">
        <v>-3.73</v>
      </c>
      <c r="BR4608">
        <v>0.43</v>
      </c>
      <c r="BS4608">
        <v>-1.53</v>
      </c>
      <c r="BT4608">
        <v>-0.17</v>
      </c>
      <c r="BU4608">
        <v>-1.92</v>
      </c>
      <c r="BV4608">
        <v>-0.21</v>
      </c>
      <c r="BW4608">
        <v>0.71</v>
      </c>
      <c r="BX4608">
        <v>-1.37</v>
      </c>
      <c r="BY4608">
        <v>-1.46</v>
      </c>
      <c r="BZ4608">
        <v>2.0499999999999998</v>
      </c>
      <c r="CA4608">
        <v>-1.01</v>
      </c>
      <c r="CB4608">
        <v>-0.86</v>
      </c>
      <c r="CC4608">
        <v>-1.21</v>
      </c>
      <c r="CD4608">
        <v>-1.79</v>
      </c>
      <c r="CE4608">
        <v>0.33</v>
      </c>
      <c r="CF4608">
        <v>-1.08</v>
      </c>
      <c r="CG4608">
        <v>0</v>
      </c>
      <c r="CH4608">
        <v>-1.22</v>
      </c>
      <c r="CI4608">
        <v>0</v>
      </c>
      <c r="CJ4608">
        <v>-1.2</v>
      </c>
      <c r="CK4608">
        <v>92</v>
      </c>
      <c r="CL4608">
        <v>-0.54</v>
      </c>
      <c r="CM4608">
        <v>91</v>
      </c>
      <c r="CN4608">
        <v>-0.26</v>
      </c>
      <c r="CO4608">
        <v>89</v>
      </c>
      <c r="CP4608">
        <v>-11.2</v>
      </c>
      <c r="CQ4608">
        <v>93</v>
      </c>
      <c r="CR4608">
        <v>0</v>
      </c>
      <c r="CS4608">
        <v>0</v>
      </c>
      <c r="CT4608">
        <v>-9.1999999999999993</v>
      </c>
      <c r="CU4608">
        <v>89</v>
      </c>
      <c r="CV4608">
        <v>0.14000000000000001</v>
      </c>
      <c r="CW4608">
        <v>44</v>
      </c>
      <c r="CX4608" t="s">
        <v>193</v>
      </c>
    </row>
    <row r="4609" spans="1:102" x14ac:dyDescent="0.3">
      <c r="A4609" t="str">
        <f>HYPERLINK("https://webapp.icbf.com/v2/app/bull-search/view/77858224","EMD")</f>
        <v>EMD</v>
      </c>
      <c r="B4609" t="s">
        <v>10770</v>
      </c>
      <c r="C4609" t="s">
        <v>10771</v>
      </c>
      <c r="D4609" s="1">
        <v>32896</v>
      </c>
      <c r="E4609" t="s">
        <v>92</v>
      </c>
      <c r="F4609">
        <v>100</v>
      </c>
      <c r="G4609" t="s">
        <v>93</v>
      </c>
      <c r="H4609">
        <v>-145.93</v>
      </c>
      <c r="I4609">
        <v>95</v>
      </c>
      <c r="J4609">
        <v>14.71</v>
      </c>
      <c r="K4609">
        <v>99</v>
      </c>
      <c r="L4609">
        <v>-119.69</v>
      </c>
      <c r="M4609">
        <v>94</v>
      </c>
      <c r="N4609">
        <v>-21.27</v>
      </c>
      <c r="O4609">
        <v>93</v>
      </c>
      <c r="P4609">
        <v>-7.83</v>
      </c>
      <c r="Q4609">
        <v>97</v>
      </c>
      <c r="R4609">
        <v>-5.29</v>
      </c>
      <c r="S4609">
        <v>89</v>
      </c>
      <c r="T4609">
        <v>1.84</v>
      </c>
      <c r="U4609">
        <v>93</v>
      </c>
      <c r="V4609">
        <v>-8.4</v>
      </c>
      <c r="W4609">
        <v>84</v>
      </c>
      <c r="X4609" t="s">
        <v>251</v>
      </c>
      <c r="Y4609" t="s">
        <v>95</v>
      </c>
      <c r="Z4609" t="s">
        <v>96</v>
      </c>
      <c r="AA4609" t="s">
        <v>111</v>
      </c>
      <c r="AB4609" t="s">
        <v>2527</v>
      </c>
      <c r="AC4609">
        <v>458</v>
      </c>
      <c r="AD4609">
        <v>249</v>
      </c>
      <c r="AE4609">
        <v>99</v>
      </c>
      <c r="AF4609">
        <v>245.03</v>
      </c>
      <c r="AG4609">
        <v>9.42</v>
      </c>
      <c r="AH4609">
        <v>2.92</v>
      </c>
      <c r="AI4609">
        <v>0</v>
      </c>
      <c r="AJ4609">
        <v>-0.09</v>
      </c>
      <c r="AK4609">
        <v>94</v>
      </c>
      <c r="AL4609">
        <v>474</v>
      </c>
      <c r="AM4609">
        <v>223</v>
      </c>
      <c r="AN4609">
        <v>6.93</v>
      </c>
      <c r="AO4609">
        <v>-2.61</v>
      </c>
      <c r="AP4609">
        <v>283</v>
      </c>
      <c r="AQ4609">
        <v>0</v>
      </c>
      <c r="AR4609">
        <v>10.65</v>
      </c>
      <c r="AS4609">
        <v>86</v>
      </c>
      <c r="AT4609">
        <v>4.34</v>
      </c>
      <c r="AU4609">
        <v>94</v>
      </c>
      <c r="AV4609">
        <v>-0.88</v>
      </c>
      <c r="AW4609">
        <v>96</v>
      </c>
      <c r="AX4609">
        <v>0.98</v>
      </c>
      <c r="AY4609">
        <v>94</v>
      </c>
      <c r="AZ4609">
        <v>7.63</v>
      </c>
      <c r="BA4609">
        <v>82</v>
      </c>
      <c r="BB4609">
        <v>5.44</v>
      </c>
      <c r="BC4609">
        <v>87</v>
      </c>
      <c r="BD4609">
        <v>0.04</v>
      </c>
      <c r="BE4609">
        <v>0.05</v>
      </c>
      <c r="BF4609">
        <v>-0.04</v>
      </c>
      <c r="BG4609">
        <v>97</v>
      </c>
      <c r="BH4609">
        <v>-0.11</v>
      </c>
      <c r="BI4609">
        <v>14.36</v>
      </c>
      <c r="BJ4609">
        <v>154</v>
      </c>
      <c r="BK4609">
        <v>67</v>
      </c>
      <c r="BL4609">
        <v>0.94</v>
      </c>
      <c r="BM4609">
        <v>0.39</v>
      </c>
      <c r="BN4609">
        <v>1.52</v>
      </c>
      <c r="BO4609">
        <v>1.05</v>
      </c>
      <c r="BP4609">
        <v>-1.43</v>
      </c>
      <c r="BQ4609">
        <v>1.36</v>
      </c>
      <c r="BR4609">
        <v>-0.21</v>
      </c>
      <c r="BS4609">
        <v>0.84</v>
      </c>
      <c r="BT4609">
        <v>-0.2</v>
      </c>
      <c r="BU4609">
        <v>0.7</v>
      </c>
      <c r="BV4609">
        <v>1.23</v>
      </c>
      <c r="BW4609">
        <v>1.04</v>
      </c>
      <c r="BX4609">
        <v>0.57999999999999996</v>
      </c>
      <c r="BY4609">
        <v>0.4</v>
      </c>
      <c r="BZ4609">
        <v>-1.02</v>
      </c>
      <c r="CA4609">
        <v>1.47</v>
      </c>
      <c r="CB4609">
        <v>1.1599999999999999</v>
      </c>
      <c r="CC4609">
        <v>1.72</v>
      </c>
      <c r="CD4609">
        <v>-0.56000000000000005</v>
      </c>
      <c r="CE4609">
        <v>0.96</v>
      </c>
      <c r="CF4609">
        <v>1.1399999999999999</v>
      </c>
      <c r="CG4609">
        <v>0</v>
      </c>
      <c r="CH4609">
        <v>0.36</v>
      </c>
      <c r="CI4609">
        <v>0</v>
      </c>
      <c r="CJ4609">
        <v>-1.5</v>
      </c>
      <c r="CK4609">
        <v>97</v>
      </c>
      <c r="CL4609">
        <v>-1.03</v>
      </c>
      <c r="CM4609">
        <v>97</v>
      </c>
      <c r="CN4609">
        <v>-0.43</v>
      </c>
      <c r="CO4609">
        <v>96</v>
      </c>
      <c r="CP4609">
        <v>-1.1000000000000001</v>
      </c>
      <c r="CQ4609">
        <v>97</v>
      </c>
      <c r="CR4609">
        <v>0</v>
      </c>
      <c r="CS4609">
        <v>0</v>
      </c>
      <c r="CT4609">
        <v>11.3</v>
      </c>
      <c r="CU4609">
        <v>93</v>
      </c>
      <c r="CV4609">
        <v>0.23</v>
      </c>
      <c r="CW4609">
        <v>46</v>
      </c>
      <c r="CX4609" t="s">
        <v>543</v>
      </c>
    </row>
    <row r="4610" spans="1:102" x14ac:dyDescent="0.3">
      <c r="A4610" t="str">
        <f>HYPERLINK("https://webapp.icbf.com/v2/app/bull-search/view/222652587","BSX")</f>
        <v>BSX</v>
      </c>
      <c r="B4610" t="s">
        <v>11573</v>
      </c>
      <c r="C4610" t="s">
        <v>11574</v>
      </c>
      <c r="D4610" s="1">
        <v>36011</v>
      </c>
      <c r="E4610" t="s">
        <v>92</v>
      </c>
      <c r="F4610">
        <v>100</v>
      </c>
      <c r="G4610" t="s">
        <v>109</v>
      </c>
      <c r="H4610">
        <v>-146</v>
      </c>
      <c r="I4610">
        <v>75</v>
      </c>
      <c r="J4610">
        <v>-28.65</v>
      </c>
      <c r="K4610">
        <v>81</v>
      </c>
      <c r="L4610">
        <v>-55.98</v>
      </c>
      <c r="M4610">
        <v>78</v>
      </c>
      <c r="N4610">
        <v>-37.4</v>
      </c>
      <c r="O4610">
        <v>70</v>
      </c>
      <c r="P4610">
        <v>-4.66</v>
      </c>
      <c r="Q4610">
        <v>77</v>
      </c>
      <c r="R4610">
        <v>-9.1</v>
      </c>
      <c r="S4610">
        <v>65</v>
      </c>
      <c r="T4610">
        <v>-1.79</v>
      </c>
      <c r="U4610">
        <v>65</v>
      </c>
      <c r="V4610">
        <v>-8.42</v>
      </c>
      <c r="W4610">
        <v>34</v>
      </c>
      <c r="X4610" t="s">
        <v>251</v>
      </c>
      <c r="Y4610" t="s">
        <v>95</v>
      </c>
      <c r="Z4610" t="s">
        <v>96</v>
      </c>
      <c r="AA4610" t="s">
        <v>3195</v>
      </c>
      <c r="AB4610" t="s">
        <v>11575</v>
      </c>
      <c r="AC4610">
        <v>0</v>
      </c>
      <c r="AD4610">
        <v>0</v>
      </c>
      <c r="AE4610">
        <v>81</v>
      </c>
      <c r="AF4610">
        <v>58.64</v>
      </c>
      <c r="AG4610">
        <v>-1.4</v>
      </c>
      <c r="AH4610">
        <v>-3.48</v>
      </c>
      <c r="AI4610">
        <v>-0.06</v>
      </c>
      <c r="AJ4610">
        <v>-0.09</v>
      </c>
      <c r="AK4610">
        <v>78</v>
      </c>
      <c r="AL4610">
        <v>0</v>
      </c>
      <c r="AM4610">
        <v>0</v>
      </c>
      <c r="AN4610">
        <v>2.64</v>
      </c>
      <c r="AO4610">
        <v>-1.83</v>
      </c>
      <c r="AP4610">
        <v>46</v>
      </c>
      <c r="AQ4610">
        <v>0</v>
      </c>
      <c r="AR4610">
        <v>11.29</v>
      </c>
      <c r="AS4610">
        <v>59</v>
      </c>
      <c r="AT4610">
        <v>4.8499999999999996</v>
      </c>
      <c r="AU4610">
        <v>85</v>
      </c>
      <c r="AV4610">
        <v>0.89</v>
      </c>
      <c r="AW4610">
        <v>78</v>
      </c>
      <c r="AX4610">
        <v>0.42</v>
      </c>
      <c r="AY4610">
        <v>63</v>
      </c>
      <c r="AZ4610">
        <v>6.55</v>
      </c>
      <c r="BA4610">
        <v>37</v>
      </c>
      <c r="BB4610">
        <v>4.8099999999999996</v>
      </c>
      <c r="BC4610">
        <v>36</v>
      </c>
      <c r="BD4610">
        <v>0.05</v>
      </c>
      <c r="BE4610">
        <v>0.04</v>
      </c>
      <c r="BF4610">
        <v>0.05</v>
      </c>
      <c r="BG4610">
        <v>86</v>
      </c>
      <c r="BH4610">
        <v>-0.17</v>
      </c>
      <c r="BI4610">
        <v>7.48</v>
      </c>
      <c r="BJ4610">
        <v>16</v>
      </c>
      <c r="BK4610">
        <v>8</v>
      </c>
      <c r="BL4610">
        <v>1.81</v>
      </c>
      <c r="BM4610">
        <v>0.39</v>
      </c>
      <c r="BN4610">
        <v>0.89</v>
      </c>
      <c r="BO4610">
        <v>0.49</v>
      </c>
      <c r="BP4610">
        <v>0.14000000000000001</v>
      </c>
      <c r="BQ4610">
        <v>1.98</v>
      </c>
      <c r="BR4610">
        <v>0.69</v>
      </c>
      <c r="BS4610">
        <v>-0.51</v>
      </c>
      <c r="BT4610">
        <v>0.61</v>
      </c>
      <c r="BU4610">
        <v>1.34</v>
      </c>
      <c r="BV4610">
        <v>1.53</v>
      </c>
      <c r="BW4610">
        <v>2.31</v>
      </c>
      <c r="BX4610">
        <v>1.94</v>
      </c>
      <c r="BY4610">
        <v>0.14000000000000001</v>
      </c>
      <c r="BZ4610">
        <v>2.02</v>
      </c>
      <c r="CA4610">
        <v>0.76</v>
      </c>
      <c r="CB4610">
        <v>0.64</v>
      </c>
      <c r="CC4610">
        <v>0.66</v>
      </c>
      <c r="CD4610">
        <v>0.12</v>
      </c>
      <c r="CE4610">
        <v>0.49</v>
      </c>
      <c r="CF4610">
        <v>1.18</v>
      </c>
      <c r="CG4610">
        <v>0</v>
      </c>
      <c r="CH4610">
        <v>0.92</v>
      </c>
      <c r="CI4610">
        <v>0</v>
      </c>
      <c r="CJ4610">
        <v>1.2</v>
      </c>
      <c r="CK4610">
        <v>79</v>
      </c>
      <c r="CL4610">
        <v>-0.93</v>
      </c>
      <c r="CM4610">
        <v>76</v>
      </c>
      <c r="CN4610">
        <v>-0.21</v>
      </c>
      <c r="CO4610">
        <v>73</v>
      </c>
      <c r="CP4610">
        <v>5.5</v>
      </c>
      <c r="CQ4610">
        <v>74</v>
      </c>
      <c r="CR4610">
        <v>0</v>
      </c>
      <c r="CS4610">
        <v>0</v>
      </c>
      <c r="CT4610">
        <v>16.2</v>
      </c>
      <c r="CU4610">
        <v>65</v>
      </c>
      <c r="CV4610">
        <v>0.3</v>
      </c>
      <c r="CW4610">
        <v>22</v>
      </c>
      <c r="CX4610" t="s">
        <v>1106</v>
      </c>
    </row>
    <row r="4611" spans="1:102" x14ac:dyDescent="0.3">
      <c r="A4611" t="str">
        <f>HYPERLINK("https://webapp.icbf.com/v2/app/bull-search/view/69092632","SAC")</f>
        <v>SAC</v>
      </c>
      <c r="B4611" t="s">
        <v>3319</v>
      </c>
      <c r="C4611" t="s">
        <v>3320</v>
      </c>
      <c r="D4611" s="1">
        <v>34918</v>
      </c>
      <c r="E4611" t="s">
        <v>92</v>
      </c>
      <c r="F4611">
        <v>100</v>
      </c>
      <c r="G4611" t="s">
        <v>93</v>
      </c>
      <c r="H4611">
        <v>-146.09</v>
      </c>
      <c r="I4611">
        <v>90</v>
      </c>
      <c r="J4611">
        <v>9.16</v>
      </c>
      <c r="K4611">
        <v>98</v>
      </c>
      <c r="L4611">
        <v>-145.75</v>
      </c>
      <c r="M4611">
        <v>85</v>
      </c>
      <c r="N4611">
        <v>-13.38</v>
      </c>
      <c r="O4611">
        <v>87</v>
      </c>
      <c r="P4611">
        <v>6.34</v>
      </c>
      <c r="Q4611">
        <v>96</v>
      </c>
      <c r="R4611">
        <v>-16.03</v>
      </c>
      <c r="S4611">
        <v>78</v>
      </c>
      <c r="T4611">
        <v>14.79</v>
      </c>
      <c r="U4611">
        <v>91</v>
      </c>
      <c r="V4611">
        <v>-1.22</v>
      </c>
      <c r="W4611">
        <v>64</v>
      </c>
      <c r="X4611" t="s">
        <v>251</v>
      </c>
      <c r="Y4611" t="s">
        <v>95</v>
      </c>
      <c r="Z4611" t="s">
        <v>96</v>
      </c>
      <c r="AA4611" t="s">
        <v>715</v>
      </c>
      <c r="AB4611" t="s">
        <v>3321</v>
      </c>
      <c r="AC4611">
        <v>223</v>
      </c>
      <c r="AD4611">
        <v>80</v>
      </c>
      <c r="AE4611">
        <v>98</v>
      </c>
      <c r="AF4611">
        <v>130.87</v>
      </c>
      <c r="AG4611">
        <v>-4.21</v>
      </c>
      <c r="AH4611">
        <v>5.05</v>
      </c>
      <c r="AI4611">
        <v>-0.15</v>
      </c>
      <c r="AJ4611">
        <v>0.01</v>
      </c>
      <c r="AK4611">
        <v>85</v>
      </c>
      <c r="AL4611">
        <v>196</v>
      </c>
      <c r="AM4611">
        <v>69</v>
      </c>
      <c r="AN4611">
        <v>8.98</v>
      </c>
      <c r="AO4611">
        <v>-2.63</v>
      </c>
      <c r="AP4611">
        <v>326</v>
      </c>
      <c r="AQ4611">
        <v>1</v>
      </c>
      <c r="AR4611">
        <v>8.2899999999999991</v>
      </c>
      <c r="AS4611">
        <v>92</v>
      </c>
      <c r="AT4611">
        <v>3.54</v>
      </c>
      <c r="AU4611">
        <v>81</v>
      </c>
      <c r="AV4611">
        <v>0.09</v>
      </c>
      <c r="AW4611">
        <v>94</v>
      </c>
      <c r="AX4611">
        <v>-0.45</v>
      </c>
      <c r="AY4611">
        <v>89</v>
      </c>
      <c r="AZ4611">
        <v>6.84</v>
      </c>
      <c r="BA4611">
        <v>72</v>
      </c>
      <c r="BB4611">
        <v>6.39</v>
      </c>
      <c r="BC4611">
        <v>73</v>
      </c>
      <c r="BD4611">
        <v>0.04</v>
      </c>
      <c r="BE4611">
        <v>0.08</v>
      </c>
      <c r="BF4611">
        <v>0.15</v>
      </c>
      <c r="BG4611">
        <v>91</v>
      </c>
      <c r="BH4611">
        <v>-0.04</v>
      </c>
      <c r="BI4611">
        <v>-0.7</v>
      </c>
      <c r="BJ4611">
        <v>19</v>
      </c>
      <c r="BK4611">
        <v>12</v>
      </c>
      <c r="BL4611">
        <v>0.11</v>
      </c>
      <c r="BM4611">
        <v>-0.89</v>
      </c>
      <c r="BN4611">
        <v>0.77</v>
      </c>
      <c r="BO4611">
        <v>0.39</v>
      </c>
      <c r="BP4611">
        <v>-2.94</v>
      </c>
      <c r="BQ4611">
        <v>-1.28</v>
      </c>
      <c r="BR4611">
        <v>-0.88</v>
      </c>
      <c r="BS4611">
        <v>-0.56000000000000005</v>
      </c>
      <c r="BT4611">
        <v>1.45</v>
      </c>
      <c r="BU4611">
        <v>1.01</v>
      </c>
      <c r="BV4611">
        <v>-0.47</v>
      </c>
      <c r="BW4611">
        <v>0.05</v>
      </c>
      <c r="BX4611">
        <v>-0.14000000000000001</v>
      </c>
      <c r="BY4611">
        <v>2.69</v>
      </c>
      <c r="BZ4611">
        <v>-0.82</v>
      </c>
      <c r="CA4611">
        <v>0.56000000000000005</v>
      </c>
      <c r="CB4611">
        <v>0.45</v>
      </c>
      <c r="CC4611">
        <v>0.54</v>
      </c>
      <c r="CD4611">
        <v>-0.61</v>
      </c>
      <c r="CE4611">
        <v>1.29</v>
      </c>
      <c r="CF4611">
        <v>-0.56000000000000005</v>
      </c>
      <c r="CG4611">
        <v>0</v>
      </c>
      <c r="CH4611">
        <v>0.49</v>
      </c>
      <c r="CI4611">
        <v>0</v>
      </c>
      <c r="CJ4611">
        <v>5.2</v>
      </c>
      <c r="CK4611">
        <v>97</v>
      </c>
      <c r="CL4611">
        <v>-0.39</v>
      </c>
      <c r="CM4611">
        <v>96</v>
      </c>
      <c r="CN4611">
        <v>-0.32</v>
      </c>
      <c r="CO4611">
        <v>96</v>
      </c>
      <c r="CP4611">
        <v>-3.7</v>
      </c>
      <c r="CQ4611">
        <v>95</v>
      </c>
      <c r="CR4611">
        <v>0</v>
      </c>
      <c r="CS4611">
        <v>0</v>
      </c>
      <c r="CT4611">
        <v>-6.2</v>
      </c>
      <c r="CU4611">
        <v>91</v>
      </c>
      <c r="CV4611">
        <v>0.21</v>
      </c>
      <c r="CW4611">
        <v>28</v>
      </c>
      <c r="CX4611" t="s">
        <v>132</v>
      </c>
    </row>
    <row r="4612" spans="1:102" x14ac:dyDescent="0.3">
      <c r="A4612" t="str">
        <f>HYPERLINK("https://webapp.icbf.com/v2/app/bull-search/view/77855305","MOG")</f>
        <v>MOG</v>
      </c>
      <c r="B4612" t="s">
        <v>10415</v>
      </c>
      <c r="C4612" t="s">
        <v>594</v>
      </c>
      <c r="D4612" s="1">
        <v>34031</v>
      </c>
      <c r="E4612" t="s">
        <v>92</v>
      </c>
      <c r="F4612">
        <v>100</v>
      </c>
      <c r="G4612" t="s">
        <v>93</v>
      </c>
      <c r="H4612">
        <v>-146.15</v>
      </c>
      <c r="I4612">
        <v>94</v>
      </c>
      <c r="J4612">
        <v>35.31</v>
      </c>
      <c r="K4612">
        <v>98</v>
      </c>
      <c r="L4612">
        <v>-146.32</v>
      </c>
      <c r="M4612">
        <v>92</v>
      </c>
      <c r="N4612">
        <v>-37.11</v>
      </c>
      <c r="O4612">
        <v>92</v>
      </c>
      <c r="P4612">
        <v>-7.9</v>
      </c>
      <c r="Q4612">
        <v>97</v>
      </c>
      <c r="R4612">
        <v>5.36</v>
      </c>
      <c r="S4612">
        <v>87</v>
      </c>
      <c r="T4612">
        <v>11.16</v>
      </c>
      <c r="U4612">
        <v>93</v>
      </c>
      <c r="V4612">
        <v>-6.65</v>
      </c>
      <c r="W4612">
        <v>83</v>
      </c>
      <c r="X4612" t="s">
        <v>276</v>
      </c>
      <c r="Y4612" t="s">
        <v>95</v>
      </c>
      <c r="Z4612" t="s">
        <v>96</v>
      </c>
      <c r="AA4612" t="s">
        <v>180</v>
      </c>
      <c r="AB4612" t="s">
        <v>10416</v>
      </c>
      <c r="AC4612">
        <v>265</v>
      </c>
      <c r="AD4612">
        <v>138</v>
      </c>
      <c r="AE4612">
        <v>98</v>
      </c>
      <c r="AF4612">
        <v>241.94</v>
      </c>
      <c r="AG4612">
        <v>9.41</v>
      </c>
      <c r="AH4612">
        <v>6.38</v>
      </c>
      <c r="AI4612">
        <v>0</v>
      </c>
      <c r="AJ4612">
        <v>-0.03</v>
      </c>
      <c r="AK4612">
        <v>92</v>
      </c>
      <c r="AL4612">
        <v>285</v>
      </c>
      <c r="AM4612">
        <v>148</v>
      </c>
      <c r="AN4612">
        <v>8.68</v>
      </c>
      <c r="AO4612">
        <v>-2.98</v>
      </c>
      <c r="AP4612">
        <v>204</v>
      </c>
      <c r="AQ4612">
        <v>21</v>
      </c>
      <c r="AR4612">
        <v>11.53</v>
      </c>
      <c r="AS4612">
        <v>80</v>
      </c>
      <c r="AT4612">
        <v>5.17</v>
      </c>
      <c r="AU4612">
        <v>98</v>
      </c>
      <c r="AV4612">
        <v>0.49</v>
      </c>
      <c r="AW4612">
        <v>94</v>
      </c>
      <c r="AX4612">
        <v>0.05</v>
      </c>
      <c r="AY4612">
        <v>92</v>
      </c>
      <c r="AZ4612">
        <v>5.94</v>
      </c>
      <c r="BA4612">
        <v>78</v>
      </c>
      <c r="BB4612">
        <v>4.76</v>
      </c>
      <c r="BC4612">
        <v>83</v>
      </c>
      <c r="BD4612">
        <v>-0.02</v>
      </c>
      <c r="BE4612">
        <v>0</v>
      </c>
      <c r="BF4612">
        <v>-0.09</v>
      </c>
      <c r="BG4612">
        <v>95</v>
      </c>
      <c r="BH4612">
        <v>-0.1</v>
      </c>
      <c r="BI4612">
        <v>9.8699999999999992</v>
      </c>
      <c r="BJ4612">
        <v>26</v>
      </c>
      <c r="BK4612">
        <v>17</v>
      </c>
      <c r="BL4612">
        <v>-0.48</v>
      </c>
      <c r="BM4612">
        <v>1.5</v>
      </c>
      <c r="BN4612">
        <v>1.35</v>
      </c>
      <c r="BO4612">
        <v>-0.15</v>
      </c>
      <c r="BP4612">
        <v>-2.2999999999999998</v>
      </c>
      <c r="BQ4612">
        <v>-1.52</v>
      </c>
      <c r="BR4612">
        <v>1.71</v>
      </c>
      <c r="BS4612">
        <v>-1.2</v>
      </c>
      <c r="BT4612">
        <v>-1.85</v>
      </c>
      <c r="BU4612">
        <v>-1.84</v>
      </c>
      <c r="BV4612">
        <v>-0.44</v>
      </c>
      <c r="BW4612">
        <v>-1.04</v>
      </c>
      <c r="BX4612">
        <v>-2.99</v>
      </c>
      <c r="BY4612">
        <v>-0.44</v>
      </c>
      <c r="BZ4612">
        <v>0.92</v>
      </c>
      <c r="CA4612">
        <v>-1.69</v>
      </c>
      <c r="CB4612">
        <v>-1.04</v>
      </c>
      <c r="CC4612">
        <v>-1.95</v>
      </c>
      <c r="CD4612">
        <v>0.45</v>
      </c>
      <c r="CE4612">
        <v>-0.31</v>
      </c>
      <c r="CF4612">
        <v>-0.38</v>
      </c>
      <c r="CG4612">
        <v>0</v>
      </c>
      <c r="CH4612">
        <v>-0.42</v>
      </c>
      <c r="CI4612">
        <v>0</v>
      </c>
      <c r="CJ4612">
        <v>-2.5</v>
      </c>
      <c r="CK4612">
        <v>97</v>
      </c>
      <c r="CL4612">
        <v>-0.56999999999999995</v>
      </c>
      <c r="CM4612">
        <v>97</v>
      </c>
      <c r="CN4612">
        <v>-0.19</v>
      </c>
      <c r="CO4612">
        <v>96</v>
      </c>
      <c r="CP4612">
        <v>-5.3</v>
      </c>
      <c r="CQ4612">
        <v>97</v>
      </c>
      <c r="CR4612">
        <v>0</v>
      </c>
      <c r="CS4612">
        <v>0</v>
      </c>
      <c r="CT4612">
        <v>-1.3</v>
      </c>
      <c r="CU4612">
        <v>93</v>
      </c>
      <c r="CV4612">
        <v>0.05</v>
      </c>
      <c r="CW4612">
        <v>45</v>
      </c>
      <c r="CX4612" t="s">
        <v>166</v>
      </c>
    </row>
    <row r="4613" spans="1:102" x14ac:dyDescent="0.3">
      <c r="A4613" t="str">
        <f>HYPERLINK("https://webapp.icbf.com/v2/app/bull-search/view/77856277","JCA")</f>
        <v>JCA</v>
      </c>
      <c r="B4613" t="s">
        <v>496</v>
      </c>
      <c r="C4613" t="s">
        <v>497</v>
      </c>
      <c r="D4613" s="1">
        <v>33280</v>
      </c>
      <c r="E4613" t="s">
        <v>92</v>
      </c>
      <c r="F4613">
        <v>100</v>
      </c>
      <c r="G4613" t="s">
        <v>93</v>
      </c>
      <c r="H4613">
        <v>-146.41999999999999</v>
      </c>
      <c r="I4613">
        <v>89</v>
      </c>
      <c r="J4613">
        <v>-52.75</v>
      </c>
      <c r="K4613">
        <v>97</v>
      </c>
      <c r="L4613">
        <v>-49.75</v>
      </c>
      <c r="M4613">
        <v>89</v>
      </c>
      <c r="N4613">
        <v>-38.42</v>
      </c>
      <c r="O4613">
        <v>79</v>
      </c>
      <c r="P4613">
        <v>-7.72</v>
      </c>
      <c r="Q4613">
        <v>88</v>
      </c>
      <c r="R4613">
        <v>-9.89</v>
      </c>
      <c r="S4613">
        <v>80</v>
      </c>
      <c r="T4613">
        <v>15.31</v>
      </c>
      <c r="U4613">
        <v>87</v>
      </c>
      <c r="V4613">
        <v>-3.2</v>
      </c>
      <c r="W4613">
        <v>64</v>
      </c>
      <c r="X4613" t="s">
        <v>110</v>
      </c>
      <c r="Y4613" t="s">
        <v>95</v>
      </c>
      <c r="Z4613" t="s">
        <v>96</v>
      </c>
      <c r="AA4613" t="s">
        <v>132</v>
      </c>
      <c r="AB4613" t="s">
        <v>498</v>
      </c>
      <c r="AC4613">
        <v>158</v>
      </c>
      <c r="AD4613">
        <v>90</v>
      </c>
      <c r="AE4613">
        <v>97</v>
      </c>
      <c r="AF4613">
        <v>-115.97</v>
      </c>
      <c r="AG4613">
        <v>-4.57</v>
      </c>
      <c r="AH4613">
        <v>-9.1300000000000008</v>
      </c>
      <c r="AI4613">
        <v>0</v>
      </c>
      <c r="AJ4613">
        <v>-0.09</v>
      </c>
      <c r="AK4613">
        <v>89</v>
      </c>
      <c r="AL4613">
        <v>142</v>
      </c>
      <c r="AM4613">
        <v>66</v>
      </c>
      <c r="AN4613">
        <v>1.76</v>
      </c>
      <c r="AO4613">
        <v>-2.2200000000000002</v>
      </c>
      <c r="AP4613">
        <v>4</v>
      </c>
      <c r="AQ4613">
        <v>0</v>
      </c>
      <c r="AR4613">
        <v>10.92</v>
      </c>
      <c r="AS4613">
        <v>66</v>
      </c>
      <c r="AT4613">
        <v>4.68</v>
      </c>
      <c r="AU4613">
        <v>84</v>
      </c>
      <c r="AV4613">
        <v>0.17</v>
      </c>
      <c r="AW4613">
        <v>81</v>
      </c>
      <c r="AX4613">
        <v>-0.54</v>
      </c>
      <c r="AY4613">
        <v>83</v>
      </c>
      <c r="AZ4613">
        <v>8.3699999999999992</v>
      </c>
      <c r="BA4613">
        <v>61</v>
      </c>
      <c r="BB4613">
        <v>6.52</v>
      </c>
      <c r="BC4613">
        <v>72</v>
      </c>
      <c r="BD4613">
        <v>0.05</v>
      </c>
      <c r="BE4613">
        <v>0.06</v>
      </c>
      <c r="BF4613">
        <v>0.03</v>
      </c>
      <c r="BG4613">
        <v>92</v>
      </c>
      <c r="BH4613">
        <v>-0.04</v>
      </c>
      <c r="BI4613">
        <v>5.7</v>
      </c>
      <c r="BJ4613">
        <v>31</v>
      </c>
      <c r="BK4613">
        <v>20</v>
      </c>
      <c r="BL4613">
        <v>0.18</v>
      </c>
      <c r="BM4613">
        <v>-1.6</v>
      </c>
      <c r="BN4613">
        <v>-0.97</v>
      </c>
      <c r="BO4613">
        <v>0.04</v>
      </c>
      <c r="BP4613">
        <v>-1.06</v>
      </c>
      <c r="BQ4613">
        <v>-2.78</v>
      </c>
      <c r="BR4613">
        <v>-0.96</v>
      </c>
      <c r="BS4613">
        <v>1.43</v>
      </c>
      <c r="BT4613">
        <v>1.04</v>
      </c>
      <c r="BU4613">
        <v>-0.36</v>
      </c>
      <c r="BV4613">
        <v>-0.78</v>
      </c>
      <c r="BW4613">
        <v>-0.25</v>
      </c>
      <c r="BX4613">
        <v>0.56999999999999995</v>
      </c>
      <c r="BY4613">
        <v>0.75</v>
      </c>
      <c r="BZ4613">
        <v>-0.59</v>
      </c>
      <c r="CA4613">
        <v>0.45</v>
      </c>
      <c r="CB4613">
        <v>-0.4</v>
      </c>
      <c r="CC4613">
        <v>1.53</v>
      </c>
      <c r="CD4613">
        <v>-0.24</v>
      </c>
      <c r="CE4613">
        <v>-0.08</v>
      </c>
      <c r="CF4613">
        <v>-0.32</v>
      </c>
      <c r="CG4613">
        <v>0</v>
      </c>
      <c r="CH4613">
        <v>0.81</v>
      </c>
      <c r="CI4613">
        <v>0</v>
      </c>
      <c r="CJ4613">
        <v>-1.6</v>
      </c>
      <c r="CK4613">
        <v>88</v>
      </c>
      <c r="CL4613">
        <v>-0.56999999999999995</v>
      </c>
      <c r="CM4613">
        <v>87</v>
      </c>
      <c r="CN4613">
        <v>-0.12</v>
      </c>
      <c r="CO4613">
        <v>85</v>
      </c>
      <c r="CP4613">
        <v>-6.9</v>
      </c>
      <c r="CQ4613">
        <v>92</v>
      </c>
      <c r="CR4613">
        <v>0</v>
      </c>
      <c r="CS4613">
        <v>0</v>
      </c>
      <c r="CT4613">
        <v>-6.9</v>
      </c>
      <c r="CU4613">
        <v>87</v>
      </c>
      <c r="CV4613">
        <v>0.06</v>
      </c>
      <c r="CW4613">
        <v>43</v>
      </c>
      <c r="CX4613" t="s">
        <v>120</v>
      </c>
    </row>
    <row r="4614" spans="1:102" x14ac:dyDescent="0.3">
      <c r="A4614" t="str">
        <f>HYPERLINK("https://webapp.icbf.com/v2/app/bull-search/view/77854129","RSH")</f>
        <v>RSH</v>
      </c>
      <c r="B4614" t="s">
        <v>8017</v>
      </c>
      <c r="C4614" t="s">
        <v>8018</v>
      </c>
      <c r="D4614" s="1">
        <v>34631</v>
      </c>
      <c r="E4614" t="s">
        <v>92</v>
      </c>
      <c r="F4614">
        <v>100</v>
      </c>
      <c r="G4614" t="s">
        <v>93</v>
      </c>
      <c r="H4614">
        <v>-146.41999999999999</v>
      </c>
      <c r="I4614">
        <v>96</v>
      </c>
      <c r="J4614">
        <v>-15.16</v>
      </c>
      <c r="K4614">
        <v>99</v>
      </c>
      <c r="L4614">
        <v>-102.44</v>
      </c>
      <c r="M4614">
        <v>94</v>
      </c>
      <c r="N4614">
        <v>-26.23</v>
      </c>
      <c r="O4614">
        <v>97</v>
      </c>
      <c r="P4614">
        <v>-2.35</v>
      </c>
      <c r="Q4614">
        <v>99</v>
      </c>
      <c r="R4614">
        <v>0.87</v>
      </c>
      <c r="S4614">
        <v>92</v>
      </c>
      <c r="T4614">
        <v>7.46</v>
      </c>
      <c r="U4614">
        <v>98</v>
      </c>
      <c r="V4614">
        <v>-8.57</v>
      </c>
      <c r="W4614">
        <v>89</v>
      </c>
      <c r="X4614" t="s">
        <v>131</v>
      </c>
      <c r="Y4614" t="s">
        <v>95</v>
      </c>
      <c r="Z4614" t="s">
        <v>96</v>
      </c>
      <c r="AA4614" t="s">
        <v>913</v>
      </c>
      <c r="AB4614" t="s">
        <v>8019</v>
      </c>
      <c r="AC4614">
        <v>745</v>
      </c>
      <c r="AD4614">
        <v>347</v>
      </c>
      <c r="AE4614">
        <v>99</v>
      </c>
      <c r="AF4614">
        <v>-159.28</v>
      </c>
      <c r="AG4614">
        <v>-5.87</v>
      </c>
      <c r="AH4614">
        <v>-2.94</v>
      </c>
      <c r="AI4614">
        <v>0.01</v>
      </c>
      <c r="AJ4614">
        <v>0.04</v>
      </c>
      <c r="AK4614">
        <v>94</v>
      </c>
      <c r="AL4614">
        <v>717</v>
      </c>
      <c r="AM4614">
        <v>321</v>
      </c>
      <c r="AN4614">
        <v>4.76</v>
      </c>
      <c r="AO4614">
        <v>-3.42</v>
      </c>
      <c r="AP4614">
        <v>1049</v>
      </c>
      <c r="AQ4614">
        <v>2</v>
      </c>
      <c r="AR4614">
        <v>10.98</v>
      </c>
      <c r="AS4614">
        <v>94</v>
      </c>
      <c r="AT4614">
        <v>5.24</v>
      </c>
      <c r="AU4614">
        <v>98</v>
      </c>
      <c r="AV4614">
        <v>-0.57999999999999996</v>
      </c>
      <c r="AW4614">
        <v>98</v>
      </c>
      <c r="AX4614">
        <v>-0.35</v>
      </c>
      <c r="AY4614">
        <v>97</v>
      </c>
      <c r="AZ4614">
        <v>5.42</v>
      </c>
      <c r="BA4614">
        <v>91</v>
      </c>
      <c r="BB4614">
        <v>4.88</v>
      </c>
      <c r="BC4614">
        <v>92</v>
      </c>
      <c r="BD4614">
        <v>0</v>
      </c>
      <c r="BE4614">
        <v>0</v>
      </c>
      <c r="BF4614">
        <v>-0.02</v>
      </c>
      <c r="BG4614">
        <v>98</v>
      </c>
      <c r="BH4614">
        <v>-0.12</v>
      </c>
      <c r="BI4614">
        <v>13.76</v>
      </c>
      <c r="BJ4614">
        <v>179</v>
      </c>
      <c r="BK4614">
        <v>87</v>
      </c>
      <c r="BL4614">
        <v>1.31</v>
      </c>
      <c r="BM4614">
        <v>-1.71</v>
      </c>
      <c r="BN4614">
        <v>0.4</v>
      </c>
      <c r="BO4614">
        <v>1.1100000000000001</v>
      </c>
      <c r="BP4614">
        <v>-1.72</v>
      </c>
      <c r="BQ4614">
        <v>0.59</v>
      </c>
      <c r="BR4614">
        <v>-0.61</v>
      </c>
      <c r="BS4614">
        <v>0.93</v>
      </c>
      <c r="BT4614">
        <v>1.1599999999999999</v>
      </c>
      <c r="BU4614">
        <v>0.45</v>
      </c>
      <c r="BV4614">
        <v>0.31</v>
      </c>
      <c r="BW4614">
        <v>1.24</v>
      </c>
      <c r="BX4614">
        <v>1.23</v>
      </c>
      <c r="BY4614">
        <v>0.46</v>
      </c>
      <c r="BZ4614">
        <v>-2.13</v>
      </c>
      <c r="CA4614">
        <v>1.1200000000000001</v>
      </c>
      <c r="CB4614">
        <v>0.95</v>
      </c>
      <c r="CC4614">
        <v>0.95</v>
      </c>
      <c r="CD4614">
        <v>-1.3</v>
      </c>
      <c r="CE4614">
        <v>1.25</v>
      </c>
      <c r="CF4614">
        <v>0.94</v>
      </c>
      <c r="CG4614">
        <v>0</v>
      </c>
      <c r="CH4614">
        <v>0.43</v>
      </c>
      <c r="CI4614">
        <v>0</v>
      </c>
      <c r="CJ4614">
        <v>0.1</v>
      </c>
      <c r="CK4614">
        <v>99</v>
      </c>
      <c r="CL4614">
        <v>-0.82</v>
      </c>
      <c r="CM4614">
        <v>98</v>
      </c>
      <c r="CN4614">
        <v>-0.51</v>
      </c>
      <c r="CO4614">
        <v>98</v>
      </c>
      <c r="CP4614">
        <v>0</v>
      </c>
      <c r="CQ4614">
        <v>99</v>
      </c>
      <c r="CR4614">
        <v>0</v>
      </c>
      <c r="CS4614">
        <v>0</v>
      </c>
      <c r="CT4614">
        <v>3.7</v>
      </c>
      <c r="CU4614">
        <v>98</v>
      </c>
      <c r="CV4614">
        <v>0.12</v>
      </c>
      <c r="CW4614">
        <v>46</v>
      </c>
      <c r="CX4614" t="s">
        <v>1077</v>
      </c>
    </row>
    <row r="4615" spans="1:102" x14ac:dyDescent="0.3">
      <c r="A4615" t="str">
        <f>HYPERLINK("https://webapp.icbf.com/v2/app/bull-search/view/487001050","BPJ")</f>
        <v>BPJ</v>
      </c>
      <c r="B4615" t="s">
        <v>4836</v>
      </c>
      <c r="C4615" t="s">
        <v>4837</v>
      </c>
      <c r="D4615" s="1">
        <v>37333</v>
      </c>
      <c r="E4615" t="s">
        <v>92</v>
      </c>
      <c r="F4615">
        <v>100</v>
      </c>
      <c r="G4615" t="s">
        <v>109</v>
      </c>
      <c r="H4615">
        <v>-146.44999999999999</v>
      </c>
      <c r="I4615">
        <v>81</v>
      </c>
      <c r="J4615">
        <v>26.08</v>
      </c>
      <c r="K4615">
        <v>90</v>
      </c>
      <c r="L4615">
        <v>-145.11000000000001</v>
      </c>
      <c r="M4615">
        <v>83</v>
      </c>
      <c r="N4615">
        <v>-31.5</v>
      </c>
      <c r="O4615">
        <v>71</v>
      </c>
      <c r="P4615">
        <v>-11.69</v>
      </c>
      <c r="Q4615">
        <v>74</v>
      </c>
      <c r="R4615">
        <v>-1.07</v>
      </c>
      <c r="S4615">
        <v>68</v>
      </c>
      <c r="T4615">
        <v>12.57</v>
      </c>
      <c r="U4615">
        <v>70</v>
      </c>
      <c r="V4615">
        <v>4.2699999999999996</v>
      </c>
      <c r="W4615">
        <v>55</v>
      </c>
      <c r="X4615" t="s">
        <v>94</v>
      </c>
      <c r="Y4615" t="s">
        <v>270</v>
      </c>
      <c r="Z4615" t="s">
        <v>96</v>
      </c>
      <c r="AA4615" t="s">
        <v>4838</v>
      </c>
      <c r="AB4615" t="s">
        <v>4839</v>
      </c>
      <c r="AC4615">
        <v>0</v>
      </c>
      <c r="AD4615">
        <v>0</v>
      </c>
      <c r="AE4615">
        <v>90</v>
      </c>
      <c r="AF4615">
        <v>414.25</v>
      </c>
      <c r="AG4615">
        <v>4.71</v>
      </c>
      <c r="AH4615">
        <v>9.11</v>
      </c>
      <c r="AI4615">
        <v>-0.18</v>
      </c>
      <c r="AJ4615">
        <v>-0.08</v>
      </c>
      <c r="AK4615">
        <v>83</v>
      </c>
      <c r="AL4615">
        <v>0</v>
      </c>
      <c r="AM4615">
        <v>0</v>
      </c>
      <c r="AN4615">
        <v>8.9</v>
      </c>
      <c r="AO4615">
        <v>-2.66</v>
      </c>
      <c r="AP4615">
        <v>31</v>
      </c>
      <c r="AQ4615">
        <v>0</v>
      </c>
      <c r="AR4615">
        <v>12.83</v>
      </c>
      <c r="AS4615">
        <v>37</v>
      </c>
      <c r="AT4615">
        <v>5.64</v>
      </c>
      <c r="AU4615">
        <v>97</v>
      </c>
      <c r="AV4615">
        <v>-1.98</v>
      </c>
      <c r="AW4615">
        <v>81</v>
      </c>
      <c r="AX4615">
        <v>0.57999999999999996</v>
      </c>
      <c r="AY4615">
        <v>54</v>
      </c>
      <c r="AZ4615">
        <v>5.73</v>
      </c>
      <c r="BA4615">
        <v>35</v>
      </c>
      <c r="BB4615">
        <v>5.03</v>
      </c>
      <c r="BC4615">
        <v>35</v>
      </c>
      <c r="BD4615">
        <v>-0.02</v>
      </c>
      <c r="BE4615">
        <v>0.02</v>
      </c>
      <c r="BF4615">
        <v>0.02</v>
      </c>
      <c r="BG4615">
        <v>92</v>
      </c>
      <c r="BH4615">
        <v>0.04</v>
      </c>
      <c r="BI4615">
        <v>-9.14</v>
      </c>
      <c r="BJ4615">
        <v>5</v>
      </c>
      <c r="BK4615">
        <v>3</v>
      </c>
      <c r="BL4615">
        <v>1.8</v>
      </c>
      <c r="BM4615">
        <v>-1.71</v>
      </c>
      <c r="BN4615">
        <v>0.33</v>
      </c>
      <c r="BO4615">
        <v>1.71</v>
      </c>
      <c r="BP4615">
        <v>0.62</v>
      </c>
      <c r="BQ4615">
        <v>1.33</v>
      </c>
      <c r="BR4615">
        <v>-0.71</v>
      </c>
      <c r="BS4615">
        <v>0.37</v>
      </c>
      <c r="BT4615">
        <v>1.4</v>
      </c>
      <c r="BU4615">
        <v>1.83</v>
      </c>
      <c r="BV4615">
        <v>2.2799999999999998</v>
      </c>
      <c r="BW4615">
        <v>3.03</v>
      </c>
      <c r="BX4615">
        <v>2.41</v>
      </c>
      <c r="BY4615">
        <v>2.02</v>
      </c>
      <c r="BZ4615">
        <v>-0.74</v>
      </c>
      <c r="CA4615">
        <v>1.98</v>
      </c>
      <c r="CB4615">
        <v>2.2000000000000002</v>
      </c>
      <c r="CC4615">
        <v>0.67</v>
      </c>
      <c r="CD4615">
        <v>-1.71</v>
      </c>
      <c r="CE4615">
        <v>1.5</v>
      </c>
      <c r="CF4615">
        <v>0.77</v>
      </c>
      <c r="CG4615">
        <v>0</v>
      </c>
      <c r="CH4615">
        <v>1.1299999999999999</v>
      </c>
      <c r="CI4615">
        <v>0</v>
      </c>
      <c r="CJ4615">
        <v>-1.9</v>
      </c>
      <c r="CK4615">
        <v>76</v>
      </c>
      <c r="CL4615">
        <v>-1.34</v>
      </c>
      <c r="CM4615">
        <v>72</v>
      </c>
      <c r="CN4615">
        <v>-0.5</v>
      </c>
      <c r="CO4615">
        <v>69</v>
      </c>
      <c r="CP4615">
        <v>-7.3</v>
      </c>
      <c r="CQ4615">
        <v>69</v>
      </c>
      <c r="CR4615">
        <v>0</v>
      </c>
      <c r="CS4615">
        <v>0</v>
      </c>
      <c r="CT4615">
        <v>-3.2</v>
      </c>
      <c r="CU4615">
        <v>70</v>
      </c>
      <c r="CV4615">
        <v>0.42</v>
      </c>
      <c r="CW4615">
        <v>21</v>
      </c>
      <c r="CX4615" t="s">
        <v>1325</v>
      </c>
    </row>
    <row r="4616" spans="1:102" x14ac:dyDescent="0.3">
      <c r="A4616" t="str">
        <f>HYPERLINK("https://webapp.icbf.com/v2/app/bull-search/view/77857744","EVF")</f>
        <v>EVF</v>
      </c>
      <c r="B4616" t="s">
        <v>6639</v>
      </c>
      <c r="C4616" t="s">
        <v>6640</v>
      </c>
      <c r="D4616" s="1">
        <v>36027</v>
      </c>
      <c r="E4616" t="s">
        <v>92</v>
      </c>
      <c r="F4616">
        <v>97</v>
      </c>
      <c r="G4616" t="s">
        <v>93</v>
      </c>
      <c r="H4616">
        <v>-146.74</v>
      </c>
      <c r="I4616">
        <v>78</v>
      </c>
      <c r="J4616">
        <v>-10.82</v>
      </c>
      <c r="K4616">
        <v>95</v>
      </c>
      <c r="L4616">
        <v>-89.36</v>
      </c>
      <c r="M4616">
        <v>67</v>
      </c>
      <c r="N4616">
        <v>-37.64</v>
      </c>
      <c r="O4616">
        <v>69</v>
      </c>
      <c r="P4616">
        <v>-13.09</v>
      </c>
      <c r="Q4616">
        <v>85</v>
      </c>
      <c r="R4616">
        <v>-8.23</v>
      </c>
      <c r="S4616">
        <v>69</v>
      </c>
      <c r="T4616">
        <v>11.24</v>
      </c>
      <c r="U4616">
        <v>81</v>
      </c>
      <c r="V4616">
        <v>1.1599999999999999</v>
      </c>
      <c r="W4616">
        <v>49</v>
      </c>
      <c r="X4616" t="s">
        <v>94</v>
      </c>
      <c r="Y4616" t="s">
        <v>95</v>
      </c>
      <c r="Z4616" t="s">
        <v>96</v>
      </c>
      <c r="AA4616" t="s">
        <v>218</v>
      </c>
      <c r="AB4616" t="s">
        <v>2825</v>
      </c>
      <c r="AC4616">
        <v>79</v>
      </c>
      <c r="AD4616">
        <v>67</v>
      </c>
      <c r="AE4616">
        <v>95</v>
      </c>
      <c r="AF4616">
        <v>110.31</v>
      </c>
      <c r="AG4616">
        <v>-5.15</v>
      </c>
      <c r="AH4616">
        <v>1.67</v>
      </c>
      <c r="AI4616">
        <v>-0.15</v>
      </c>
      <c r="AJ4616">
        <v>-0.03</v>
      </c>
      <c r="AK4616">
        <v>67</v>
      </c>
      <c r="AL4616">
        <v>78</v>
      </c>
      <c r="AM4616">
        <v>62</v>
      </c>
      <c r="AN4616">
        <v>3.04</v>
      </c>
      <c r="AO4616">
        <v>-4.1100000000000003</v>
      </c>
      <c r="AP4616">
        <v>4</v>
      </c>
      <c r="AQ4616">
        <v>0</v>
      </c>
      <c r="AR4616">
        <v>12.03</v>
      </c>
      <c r="AS4616">
        <v>53</v>
      </c>
      <c r="AT4616">
        <v>5.58</v>
      </c>
      <c r="AU4616">
        <v>64</v>
      </c>
      <c r="AV4616">
        <v>-0.69</v>
      </c>
      <c r="AW4616">
        <v>78</v>
      </c>
      <c r="AX4616">
        <v>0.21</v>
      </c>
      <c r="AY4616">
        <v>76</v>
      </c>
      <c r="AZ4616">
        <v>5.97</v>
      </c>
      <c r="BA4616">
        <v>56</v>
      </c>
      <c r="BB4616">
        <v>5.17</v>
      </c>
      <c r="BC4616">
        <v>61</v>
      </c>
      <c r="BD4616">
        <v>0.02</v>
      </c>
      <c r="BE4616">
        <v>0.04</v>
      </c>
      <c r="BF4616">
        <v>0.08</v>
      </c>
      <c r="BG4616">
        <v>81</v>
      </c>
      <c r="BH4616">
        <v>7.0000000000000007E-2</v>
      </c>
      <c r="BI4616">
        <v>4.34</v>
      </c>
      <c r="BJ4616">
        <v>23</v>
      </c>
      <c r="BK4616">
        <v>17</v>
      </c>
      <c r="BL4616">
        <v>0.55000000000000004</v>
      </c>
      <c r="BM4616">
        <v>1.25</v>
      </c>
      <c r="BN4616">
        <v>1.1000000000000001</v>
      </c>
      <c r="BO4616">
        <v>-0.05</v>
      </c>
      <c r="BP4616">
        <v>0.26</v>
      </c>
      <c r="BQ4616">
        <v>0.66</v>
      </c>
      <c r="BR4616">
        <v>0.83</v>
      </c>
      <c r="BS4616">
        <v>-0.55000000000000004</v>
      </c>
      <c r="BT4616">
        <v>-0.56000000000000005</v>
      </c>
      <c r="BU4616">
        <v>0.31</v>
      </c>
      <c r="BV4616">
        <v>0.5</v>
      </c>
      <c r="BW4616">
        <v>-0.05</v>
      </c>
      <c r="BX4616">
        <v>-0.66</v>
      </c>
      <c r="BY4616">
        <v>1.44</v>
      </c>
      <c r="BZ4616">
        <v>1.1599999999999999</v>
      </c>
      <c r="CA4616">
        <v>7.0000000000000007E-2</v>
      </c>
      <c r="CB4616">
        <v>0.32</v>
      </c>
      <c r="CC4616">
        <v>-0.37</v>
      </c>
      <c r="CD4616">
        <v>0.84</v>
      </c>
      <c r="CE4616">
        <v>-0.16</v>
      </c>
      <c r="CF4616">
        <v>1.03</v>
      </c>
      <c r="CG4616">
        <v>0</v>
      </c>
      <c r="CH4616">
        <v>1.21</v>
      </c>
      <c r="CI4616">
        <v>0</v>
      </c>
      <c r="CJ4616">
        <v>-5.3</v>
      </c>
      <c r="CK4616">
        <v>86</v>
      </c>
      <c r="CL4616">
        <v>-0.43</v>
      </c>
      <c r="CM4616">
        <v>84</v>
      </c>
      <c r="CN4616">
        <v>0.04</v>
      </c>
      <c r="CO4616">
        <v>81</v>
      </c>
      <c r="CP4616">
        <v>-5.8</v>
      </c>
      <c r="CQ4616">
        <v>89</v>
      </c>
      <c r="CR4616">
        <v>0</v>
      </c>
      <c r="CS4616">
        <v>0</v>
      </c>
      <c r="CT4616">
        <v>-1.4</v>
      </c>
      <c r="CU4616">
        <v>81</v>
      </c>
      <c r="CV4616">
        <v>0.01</v>
      </c>
      <c r="CW4616">
        <v>25</v>
      </c>
      <c r="CX4616" t="s">
        <v>485</v>
      </c>
    </row>
    <row r="4617" spans="1:102" x14ac:dyDescent="0.3">
      <c r="A4617" t="str">
        <f>HYPERLINK("https://webapp.icbf.com/v2/app/bull-search/view/77856061","KWL")</f>
        <v>KWL</v>
      </c>
      <c r="B4617" t="s">
        <v>11046</v>
      </c>
      <c r="C4617" t="s">
        <v>11047</v>
      </c>
      <c r="D4617" s="1">
        <v>33956</v>
      </c>
      <c r="E4617" t="s">
        <v>92</v>
      </c>
      <c r="F4617">
        <v>91</v>
      </c>
      <c r="G4617" t="s">
        <v>93</v>
      </c>
      <c r="H4617">
        <v>-146.74</v>
      </c>
      <c r="I4617">
        <v>63</v>
      </c>
      <c r="J4617">
        <v>-39.340000000000003</v>
      </c>
      <c r="K4617">
        <v>83</v>
      </c>
      <c r="L4617">
        <v>-83.75</v>
      </c>
      <c r="M4617">
        <v>56</v>
      </c>
      <c r="N4617">
        <v>3.54</v>
      </c>
      <c r="O4617">
        <v>45</v>
      </c>
      <c r="P4617">
        <v>-14.4</v>
      </c>
      <c r="Q4617">
        <v>65</v>
      </c>
      <c r="R4617">
        <v>-16.53</v>
      </c>
      <c r="S4617">
        <v>59</v>
      </c>
      <c r="T4617">
        <v>8.94</v>
      </c>
      <c r="U4617">
        <v>58</v>
      </c>
      <c r="V4617">
        <v>-5.2</v>
      </c>
      <c r="W4617">
        <v>21</v>
      </c>
      <c r="X4617" t="s">
        <v>94</v>
      </c>
      <c r="Y4617" t="s">
        <v>95</v>
      </c>
      <c r="Z4617" t="s">
        <v>96</v>
      </c>
      <c r="AA4617" t="s">
        <v>11048</v>
      </c>
      <c r="AB4617" t="s">
        <v>11049</v>
      </c>
      <c r="AC4617">
        <v>29</v>
      </c>
      <c r="AD4617">
        <v>29</v>
      </c>
      <c r="AE4617">
        <v>83</v>
      </c>
      <c r="AF4617">
        <v>-162.22999999999999</v>
      </c>
      <c r="AG4617">
        <v>-4.7300000000000004</v>
      </c>
      <c r="AH4617">
        <v>-7.5</v>
      </c>
      <c r="AI4617">
        <v>0.03</v>
      </c>
      <c r="AJ4617">
        <v>-0.03</v>
      </c>
      <c r="AK4617">
        <v>56</v>
      </c>
      <c r="AL4617">
        <v>57</v>
      </c>
      <c r="AM4617">
        <v>45</v>
      </c>
      <c r="AN4617">
        <v>4.4800000000000004</v>
      </c>
      <c r="AO4617">
        <v>-2.2000000000000002</v>
      </c>
      <c r="AP4617">
        <v>2</v>
      </c>
      <c r="AQ4617">
        <v>2</v>
      </c>
      <c r="AR4617">
        <v>8.26</v>
      </c>
      <c r="AS4617">
        <v>25</v>
      </c>
      <c r="AT4617">
        <v>3.35</v>
      </c>
      <c r="AU4617">
        <v>40</v>
      </c>
      <c r="AV4617">
        <v>-0.94</v>
      </c>
      <c r="AW4617">
        <v>52</v>
      </c>
      <c r="AX4617">
        <v>-0.7</v>
      </c>
      <c r="AY4617">
        <v>55</v>
      </c>
      <c r="AZ4617">
        <v>6.95</v>
      </c>
      <c r="BA4617">
        <v>24</v>
      </c>
      <c r="BB4617">
        <v>5.22</v>
      </c>
      <c r="BC4617">
        <v>39</v>
      </c>
      <c r="BD4617">
        <v>0.06</v>
      </c>
      <c r="BE4617">
        <v>0.1</v>
      </c>
      <c r="BF4617">
        <v>0.09</v>
      </c>
      <c r="BG4617">
        <v>78</v>
      </c>
      <c r="BH4617">
        <v>-0.06</v>
      </c>
      <c r="BI4617">
        <v>9.83</v>
      </c>
      <c r="BJ4617">
        <v>19</v>
      </c>
      <c r="BK4617">
        <v>17</v>
      </c>
      <c r="BL4617">
        <v>-0.36</v>
      </c>
      <c r="BM4617">
        <v>0.77</v>
      </c>
      <c r="BN4617">
        <v>-0.44</v>
      </c>
      <c r="BO4617">
        <v>-1.1200000000000001</v>
      </c>
      <c r="BP4617">
        <v>-0.84</v>
      </c>
      <c r="BQ4617">
        <v>0.21</v>
      </c>
      <c r="BR4617">
        <v>-1.01</v>
      </c>
      <c r="BS4617">
        <v>0.1</v>
      </c>
      <c r="BT4617">
        <v>1.1399999999999999</v>
      </c>
      <c r="BU4617">
        <v>0.38</v>
      </c>
      <c r="BV4617">
        <v>-0.1</v>
      </c>
      <c r="BW4617">
        <v>-0.5</v>
      </c>
      <c r="BX4617">
        <v>0.7</v>
      </c>
      <c r="BY4617">
        <v>-0.62</v>
      </c>
      <c r="BZ4617">
        <v>1.34</v>
      </c>
      <c r="CA4617">
        <v>0.13</v>
      </c>
      <c r="CB4617">
        <v>-0.11</v>
      </c>
      <c r="CC4617">
        <v>0.65</v>
      </c>
      <c r="CD4617">
        <v>0.5</v>
      </c>
      <c r="CE4617">
        <v>-0.97</v>
      </c>
      <c r="CF4617">
        <v>-0.18</v>
      </c>
      <c r="CG4617">
        <v>0</v>
      </c>
      <c r="CH4617">
        <v>-0.48</v>
      </c>
      <c r="CI4617">
        <v>0</v>
      </c>
      <c r="CJ4617">
        <v>-7.7</v>
      </c>
      <c r="CK4617">
        <v>67</v>
      </c>
      <c r="CL4617">
        <v>-0.3</v>
      </c>
      <c r="CM4617">
        <v>64</v>
      </c>
      <c r="CN4617">
        <v>-0.01</v>
      </c>
      <c r="CO4617">
        <v>60</v>
      </c>
      <c r="CP4617">
        <v>-5.3</v>
      </c>
      <c r="CQ4617">
        <v>68</v>
      </c>
      <c r="CR4617">
        <v>0</v>
      </c>
      <c r="CS4617">
        <v>0</v>
      </c>
      <c r="CT4617">
        <v>1.7</v>
      </c>
      <c r="CU4617">
        <v>58</v>
      </c>
      <c r="CV4617">
        <v>-0.06</v>
      </c>
      <c r="CW4617">
        <v>18</v>
      </c>
      <c r="CX4617" t="s">
        <v>3937</v>
      </c>
    </row>
    <row r="4618" spans="1:102" x14ac:dyDescent="0.3">
      <c r="A4618" t="str">
        <f>HYPERLINK("https://webapp.icbf.com/v2/app/bull-search/view/210143657","LPI")</f>
        <v>LPI</v>
      </c>
      <c r="B4618" t="s">
        <v>9907</v>
      </c>
      <c r="C4618" t="s">
        <v>1752</v>
      </c>
      <c r="D4618" s="1">
        <v>35885</v>
      </c>
      <c r="E4618" t="s">
        <v>92</v>
      </c>
      <c r="F4618">
        <v>100</v>
      </c>
      <c r="G4618" t="s">
        <v>93</v>
      </c>
      <c r="H4618">
        <v>-146.88</v>
      </c>
      <c r="I4618">
        <v>97</v>
      </c>
      <c r="J4618">
        <v>15.57</v>
      </c>
      <c r="K4618">
        <v>99</v>
      </c>
      <c r="L4618">
        <v>-151.56</v>
      </c>
      <c r="M4618">
        <v>95</v>
      </c>
      <c r="N4618">
        <v>-14.99</v>
      </c>
      <c r="O4618">
        <v>98</v>
      </c>
      <c r="P4618">
        <v>-10.81</v>
      </c>
      <c r="Q4618">
        <v>99</v>
      </c>
      <c r="R4618">
        <v>3.58</v>
      </c>
      <c r="S4618">
        <v>95</v>
      </c>
      <c r="T4618">
        <v>-3.42</v>
      </c>
      <c r="U4618">
        <v>99</v>
      </c>
      <c r="V4618">
        <v>14.75</v>
      </c>
      <c r="W4618">
        <v>95</v>
      </c>
      <c r="X4618" t="s">
        <v>131</v>
      </c>
      <c r="Y4618" t="s">
        <v>95</v>
      </c>
      <c r="Z4618" t="s">
        <v>96</v>
      </c>
      <c r="AA4618" t="s">
        <v>1325</v>
      </c>
      <c r="AB4618" t="s">
        <v>9908</v>
      </c>
      <c r="AC4618">
        <v>1281</v>
      </c>
      <c r="AD4618">
        <v>326</v>
      </c>
      <c r="AE4618">
        <v>99</v>
      </c>
      <c r="AF4618">
        <v>317.93</v>
      </c>
      <c r="AG4618">
        <v>-1.57</v>
      </c>
      <c r="AH4618">
        <v>8.07</v>
      </c>
      <c r="AI4618">
        <v>-0.23</v>
      </c>
      <c r="AJ4618">
        <v>-0.05</v>
      </c>
      <c r="AK4618">
        <v>95</v>
      </c>
      <c r="AL4618">
        <v>1116</v>
      </c>
      <c r="AM4618">
        <v>311</v>
      </c>
      <c r="AN4618">
        <v>11.1</v>
      </c>
      <c r="AO4618">
        <v>-0.95</v>
      </c>
      <c r="AP4618">
        <v>1850</v>
      </c>
      <c r="AQ4618">
        <v>3</v>
      </c>
      <c r="AR4618">
        <v>9.32</v>
      </c>
      <c r="AS4618">
        <v>98</v>
      </c>
      <c r="AT4618">
        <v>4.1900000000000004</v>
      </c>
      <c r="AU4618">
        <v>99</v>
      </c>
      <c r="AV4618">
        <v>-0.55000000000000004</v>
      </c>
      <c r="AW4618">
        <v>99</v>
      </c>
      <c r="AX4618">
        <v>0.6</v>
      </c>
      <c r="AY4618">
        <v>98</v>
      </c>
      <c r="AZ4618">
        <v>6.2</v>
      </c>
      <c r="BA4618">
        <v>96</v>
      </c>
      <c r="BB4618">
        <v>5.53</v>
      </c>
      <c r="BC4618">
        <v>95</v>
      </c>
      <c r="BD4618">
        <v>-0.05</v>
      </c>
      <c r="BE4618">
        <v>-0.01</v>
      </c>
      <c r="BF4618">
        <v>0.02</v>
      </c>
      <c r="BG4618">
        <v>99</v>
      </c>
      <c r="BH4618">
        <v>0.13</v>
      </c>
      <c r="BI4618">
        <v>-32.54</v>
      </c>
      <c r="BJ4618">
        <v>835</v>
      </c>
      <c r="BK4618">
        <v>214</v>
      </c>
      <c r="BL4618">
        <v>0.99</v>
      </c>
      <c r="BM4618">
        <v>-1.25</v>
      </c>
      <c r="BN4618">
        <v>0.83</v>
      </c>
      <c r="BO4618">
        <v>1.67</v>
      </c>
      <c r="BP4618">
        <v>1.1599999999999999</v>
      </c>
      <c r="BQ4618">
        <v>2.5299999999999998</v>
      </c>
      <c r="BR4618">
        <v>0.2</v>
      </c>
      <c r="BS4618">
        <v>1.1299999999999999</v>
      </c>
      <c r="BT4618">
        <v>0.22</v>
      </c>
      <c r="BU4618">
        <v>2.67</v>
      </c>
      <c r="BV4618">
        <v>2.94</v>
      </c>
      <c r="BW4618">
        <v>1.87</v>
      </c>
      <c r="BX4618">
        <v>2.1800000000000002</v>
      </c>
      <c r="BY4618">
        <v>2.12</v>
      </c>
      <c r="BZ4618">
        <v>-1.51</v>
      </c>
      <c r="CA4618">
        <v>2.1</v>
      </c>
      <c r="CB4618">
        <v>2.33</v>
      </c>
      <c r="CC4618">
        <v>0.93</v>
      </c>
      <c r="CD4618">
        <v>-1.2</v>
      </c>
      <c r="CE4618">
        <v>1.47</v>
      </c>
      <c r="CF4618">
        <v>1.35</v>
      </c>
      <c r="CG4618">
        <v>0</v>
      </c>
      <c r="CH4618">
        <v>2.11</v>
      </c>
      <c r="CI4618">
        <v>0</v>
      </c>
      <c r="CJ4618">
        <v>-2.2000000000000002</v>
      </c>
      <c r="CK4618">
        <v>99</v>
      </c>
      <c r="CL4618">
        <v>-1.23</v>
      </c>
      <c r="CM4618">
        <v>99</v>
      </c>
      <c r="CN4618">
        <v>-0.41</v>
      </c>
      <c r="CO4618">
        <v>99</v>
      </c>
      <c r="CP4618">
        <v>0.8</v>
      </c>
      <c r="CQ4618">
        <v>99</v>
      </c>
      <c r="CR4618">
        <v>0</v>
      </c>
      <c r="CS4618">
        <v>0</v>
      </c>
      <c r="CT4618">
        <v>18.399999999999999</v>
      </c>
      <c r="CU4618">
        <v>99</v>
      </c>
      <c r="CV4618">
        <v>0.2</v>
      </c>
      <c r="CW4618">
        <v>46</v>
      </c>
      <c r="CX4618" t="s">
        <v>4021</v>
      </c>
    </row>
    <row r="4619" spans="1:102" x14ac:dyDescent="0.3">
      <c r="A4619" t="str">
        <f>HYPERLINK("https://webapp.icbf.com/v2/app/bull-search/view/77853658","S213")</f>
        <v>S213</v>
      </c>
      <c r="B4619" t="s">
        <v>3800</v>
      </c>
      <c r="C4619" t="s">
        <v>2743</v>
      </c>
      <c r="D4619" s="1">
        <v>34559</v>
      </c>
      <c r="E4619" t="s">
        <v>92</v>
      </c>
      <c r="F4619">
        <v>100</v>
      </c>
      <c r="G4619" t="s">
        <v>93</v>
      </c>
      <c r="H4619">
        <v>-146.93</v>
      </c>
      <c r="I4619">
        <v>95</v>
      </c>
      <c r="J4619">
        <v>12.27</v>
      </c>
      <c r="K4619">
        <v>99</v>
      </c>
      <c r="L4619">
        <v>-173.25</v>
      </c>
      <c r="M4619">
        <v>91</v>
      </c>
      <c r="N4619">
        <v>13.08</v>
      </c>
      <c r="O4619">
        <v>97</v>
      </c>
      <c r="P4619">
        <v>-2.15</v>
      </c>
      <c r="Q4619">
        <v>99</v>
      </c>
      <c r="R4619">
        <v>-3.68</v>
      </c>
      <c r="S4619">
        <v>92</v>
      </c>
      <c r="T4619">
        <v>11.9</v>
      </c>
      <c r="U4619">
        <v>97</v>
      </c>
      <c r="V4619">
        <v>-5.0999999999999996</v>
      </c>
      <c r="W4619">
        <v>88</v>
      </c>
      <c r="X4619" t="s">
        <v>110</v>
      </c>
      <c r="Y4619" t="s">
        <v>95</v>
      </c>
      <c r="Z4619" t="s">
        <v>96</v>
      </c>
      <c r="AA4619" t="s">
        <v>564</v>
      </c>
      <c r="AB4619" t="s">
        <v>3801</v>
      </c>
      <c r="AC4619">
        <v>574</v>
      </c>
      <c r="AD4619">
        <v>245</v>
      </c>
      <c r="AE4619">
        <v>99</v>
      </c>
      <c r="AF4619">
        <v>292.29000000000002</v>
      </c>
      <c r="AG4619">
        <v>3.28</v>
      </c>
      <c r="AH4619">
        <v>5.4</v>
      </c>
      <c r="AI4619">
        <v>-0.13</v>
      </c>
      <c r="AJ4619">
        <v>-7.0000000000000007E-2</v>
      </c>
      <c r="AK4619">
        <v>91</v>
      </c>
      <c r="AL4619">
        <v>497</v>
      </c>
      <c r="AM4619">
        <v>191</v>
      </c>
      <c r="AN4619">
        <v>9.93</v>
      </c>
      <c r="AO4619">
        <v>-3.88</v>
      </c>
      <c r="AP4619">
        <v>656</v>
      </c>
      <c r="AQ4619">
        <v>0</v>
      </c>
      <c r="AR4619">
        <v>8.18</v>
      </c>
      <c r="AS4619">
        <v>96</v>
      </c>
      <c r="AT4619">
        <v>3.48</v>
      </c>
      <c r="AU4619">
        <v>99</v>
      </c>
      <c r="AV4619">
        <v>-2.36</v>
      </c>
      <c r="AW4619">
        <v>98</v>
      </c>
      <c r="AX4619">
        <v>0.53</v>
      </c>
      <c r="AY4619">
        <v>97</v>
      </c>
      <c r="AZ4619">
        <v>6.17</v>
      </c>
      <c r="BA4619">
        <v>91</v>
      </c>
      <c r="BB4619">
        <v>4.9800000000000004</v>
      </c>
      <c r="BC4619">
        <v>92</v>
      </c>
      <c r="BD4619">
        <v>-0.02</v>
      </c>
      <c r="BE4619">
        <v>0.02</v>
      </c>
      <c r="BF4619">
        <v>0.08</v>
      </c>
      <c r="BG4619">
        <v>98</v>
      </c>
      <c r="BH4619">
        <v>-0.09</v>
      </c>
      <c r="BI4619">
        <v>6.05</v>
      </c>
      <c r="BJ4619">
        <v>231</v>
      </c>
      <c r="BK4619">
        <v>97</v>
      </c>
      <c r="BL4619">
        <v>0.48</v>
      </c>
      <c r="BM4619">
        <v>-0.97</v>
      </c>
      <c r="BN4619">
        <v>-0.34</v>
      </c>
      <c r="BO4619">
        <v>0.61</v>
      </c>
      <c r="BP4619">
        <v>0.76</v>
      </c>
      <c r="BQ4619">
        <v>-0.44</v>
      </c>
      <c r="BR4619">
        <v>-0.27</v>
      </c>
      <c r="BS4619">
        <v>-0.37</v>
      </c>
      <c r="BT4619">
        <v>0.47</v>
      </c>
      <c r="BU4619">
        <v>0.31</v>
      </c>
      <c r="BV4619">
        <v>0.46</v>
      </c>
      <c r="BW4619">
        <v>1.22</v>
      </c>
      <c r="BX4619">
        <v>0.69</v>
      </c>
      <c r="BY4619">
        <v>0.65</v>
      </c>
      <c r="BZ4619">
        <v>-0.32</v>
      </c>
      <c r="CA4619">
        <v>0.77</v>
      </c>
      <c r="CB4619">
        <v>0.5</v>
      </c>
      <c r="CC4619">
        <v>0.89</v>
      </c>
      <c r="CD4619">
        <v>-0.64</v>
      </c>
      <c r="CE4619">
        <v>0.61</v>
      </c>
      <c r="CF4619">
        <v>-0.08</v>
      </c>
      <c r="CG4619">
        <v>0</v>
      </c>
      <c r="CH4619">
        <v>0.72</v>
      </c>
      <c r="CI4619">
        <v>0</v>
      </c>
      <c r="CJ4619">
        <v>1.1000000000000001</v>
      </c>
      <c r="CK4619">
        <v>99</v>
      </c>
      <c r="CL4619">
        <v>-0.78</v>
      </c>
      <c r="CM4619">
        <v>98</v>
      </c>
      <c r="CN4619">
        <v>-0.45</v>
      </c>
      <c r="CO4619">
        <v>98</v>
      </c>
      <c r="CP4619">
        <v>-5.9</v>
      </c>
      <c r="CQ4619">
        <v>98</v>
      </c>
      <c r="CR4619">
        <v>0</v>
      </c>
      <c r="CS4619">
        <v>0</v>
      </c>
      <c r="CT4619">
        <v>-2.2999999999999998</v>
      </c>
      <c r="CU4619">
        <v>97</v>
      </c>
      <c r="CV4619">
        <v>0.25</v>
      </c>
      <c r="CW4619">
        <v>30</v>
      </c>
      <c r="CX4619" t="s">
        <v>111</v>
      </c>
    </row>
    <row r="4620" spans="1:102" x14ac:dyDescent="0.3">
      <c r="A4620" t="str">
        <f>HYPERLINK("https://webapp.icbf.com/v2/app/bull-search/view/122379836","FAJ")</f>
        <v>FAJ</v>
      </c>
      <c r="B4620" t="s">
        <v>8835</v>
      </c>
      <c r="C4620" t="s">
        <v>8836</v>
      </c>
      <c r="D4620" s="1">
        <v>36679</v>
      </c>
      <c r="E4620" t="s">
        <v>92</v>
      </c>
      <c r="F4620">
        <v>100</v>
      </c>
      <c r="G4620" t="s">
        <v>93</v>
      </c>
      <c r="H4620">
        <v>-146.94999999999999</v>
      </c>
      <c r="I4620">
        <v>86</v>
      </c>
      <c r="J4620">
        <v>22.67</v>
      </c>
      <c r="K4620">
        <v>97</v>
      </c>
      <c r="L4620">
        <v>-178.13</v>
      </c>
      <c r="M4620">
        <v>80</v>
      </c>
      <c r="N4620">
        <v>8.06</v>
      </c>
      <c r="O4620">
        <v>83</v>
      </c>
      <c r="P4620">
        <v>-7.32</v>
      </c>
      <c r="Q4620">
        <v>91</v>
      </c>
      <c r="R4620">
        <v>-3.93</v>
      </c>
      <c r="S4620">
        <v>80</v>
      </c>
      <c r="T4620">
        <v>8.7899999999999991</v>
      </c>
      <c r="U4620">
        <v>80</v>
      </c>
      <c r="V4620">
        <v>2.91</v>
      </c>
      <c r="W4620">
        <v>72</v>
      </c>
      <c r="X4620" t="s">
        <v>94</v>
      </c>
      <c r="Y4620" t="s">
        <v>95</v>
      </c>
      <c r="Z4620" t="s">
        <v>96</v>
      </c>
      <c r="AA4620" t="s">
        <v>174</v>
      </c>
      <c r="AB4620" t="s">
        <v>8837</v>
      </c>
      <c r="AC4620">
        <v>76</v>
      </c>
      <c r="AD4620">
        <v>63</v>
      </c>
      <c r="AE4620">
        <v>97</v>
      </c>
      <c r="AF4620">
        <v>305.26</v>
      </c>
      <c r="AG4620">
        <v>2.79</v>
      </c>
      <c r="AH4620">
        <v>7.54</v>
      </c>
      <c r="AI4620">
        <v>-0.15</v>
      </c>
      <c r="AJ4620">
        <v>-0.05</v>
      </c>
      <c r="AK4620">
        <v>80</v>
      </c>
      <c r="AL4620">
        <v>65</v>
      </c>
      <c r="AM4620">
        <v>47</v>
      </c>
      <c r="AN4620">
        <v>10.16</v>
      </c>
      <c r="AO4620">
        <v>-4.04</v>
      </c>
      <c r="AP4620">
        <v>132</v>
      </c>
      <c r="AQ4620">
        <v>0</v>
      </c>
      <c r="AR4620">
        <v>8.1999999999999993</v>
      </c>
      <c r="AS4620">
        <v>72</v>
      </c>
      <c r="AT4620">
        <v>3.41</v>
      </c>
      <c r="AU4620">
        <v>85</v>
      </c>
      <c r="AV4620">
        <v>-1.61</v>
      </c>
      <c r="AW4620">
        <v>92</v>
      </c>
      <c r="AX4620">
        <v>0.16</v>
      </c>
      <c r="AY4620">
        <v>76</v>
      </c>
      <c r="AZ4620">
        <v>6.34</v>
      </c>
      <c r="BA4620">
        <v>65</v>
      </c>
      <c r="BB4620">
        <v>5.0599999999999996</v>
      </c>
      <c r="BC4620">
        <v>66</v>
      </c>
      <c r="BD4620">
        <v>-0.04</v>
      </c>
      <c r="BE4620">
        <v>0.03</v>
      </c>
      <c r="BF4620">
        <v>0.1</v>
      </c>
      <c r="BG4620">
        <v>89</v>
      </c>
      <c r="BH4620">
        <v>0.05</v>
      </c>
      <c r="BI4620">
        <v>-3.6</v>
      </c>
      <c r="BJ4620">
        <v>24</v>
      </c>
      <c r="BK4620">
        <v>16</v>
      </c>
      <c r="BL4620">
        <v>0.75</v>
      </c>
      <c r="BM4620">
        <v>0.02</v>
      </c>
      <c r="BN4620">
        <v>1.23</v>
      </c>
      <c r="BO4620">
        <v>0.99</v>
      </c>
      <c r="BP4620">
        <v>2.23</v>
      </c>
      <c r="BQ4620">
        <v>0.04</v>
      </c>
      <c r="BR4620">
        <v>-1.02</v>
      </c>
      <c r="BS4620">
        <v>-1.57</v>
      </c>
      <c r="BT4620">
        <v>0.15</v>
      </c>
      <c r="BU4620">
        <v>0.65</v>
      </c>
      <c r="BV4620">
        <v>1.1100000000000001</v>
      </c>
      <c r="BW4620">
        <v>1.62</v>
      </c>
      <c r="BX4620">
        <v>0.28000000000000003</v>
      </c>
      <c r="BY4620">
        <v>3.98</v>
      </c>
      <c r="BZ4620">
        <v>-1.04</v>
      </c>
      <c r="CA4620">
        <v>0.57999999999999996</v>
      </c>
      <c r="CB4620">
        <v>0.99</v>
      </c>
      <c r="CC4620">
        <v>-0.32</v>
      </c>
      <c r="CD4620">
        <v>-0.52</v>
      </c>
      <c r="CE4620">
        <v>0.51</v>
      </c>
      <c r="CF4620">
        <v>0.74</v>
      </c>
      <c r="CG4620">
        <v>0</v>
      </c>
      <c r="CH4620">
        <v>3.21</v>
      </c>
      <c r="CI4620">
        <v>0</v>
      </c>
      <c r="CJ4620">
        <v>-0.2</v>
      </c>
      <c r="CK4620">
        <v>92</v>
      </c>
      <c r="CL4620">
        <v>-0.87</v>
      </c>
      <c r="CM4620">
        <v>90</v>
      </c>
      <c r="CN4620">
        <v>-0.17</v>
      </c>
      <c r="CO4620">
        <v>89</v>
      </c>
      <c r="CP4620">
        <v>-0.4</v>
      </c>
      <c r="CQ4620">
        <v>88</v>
      </c>
      <c r="CR4620">
        <v>0</v>
      </c>
      <c r="CS4620">
        <v>0</v>
      </c>
      <c r="CT4620">
        <v>1.9</v>
      </c>
      <c r="CU4620">
        <v>80</v>
      </c>
      <c r="CV4620">
        <v>0.12</v>
      </c>
      <c r="CW4620">
        <v>44</v>
      </c>
      <c r="CX4620" t="s">
        <v>1008</v>
      </c>
    </row>
    <row r="4621" spans="1:102" x14ac:dyDescent="0.3">
      <c r="A4621" t="str">
        <f>HYPERLINK("https://webapp.icbf.com/v2/app/bull-search/view/77858884","CHU")</f>
        <v>CHU</v>
      </c>
      <c r="B4621" t="s">
        <v>15358</v>
      </c>
      <c r="C4621" t="s">
        <v>15359</v>
      </c>
      <c r="D4621" s="1">
        <v>33662</v>
      </c>
      <c r="E4621" t="s">
        <v>92</v>
      </c>
      <c r="F4621">
        <v>100</v>
      </c>
      <c r="G4621" t="s">
        <v>93</v>
      </c>
      <c r="H4621">
        <v>-147.05000000000001</v>
      </c>
      <c r="I4621">
        <v>65</v>
      </c>
      <c r="J4621">
        <v>-37.67</v>
      </c>
      <c r="K4621">
        <v>83</v>
      </c>
      <c r="L4621">
        <v>-98.72</v>
      </c>
      <c r="M4621">
        <v>58</v>
      </c>
      <c r="N4621">
        <v>-13.98</v>
      </c>
      <c r="O4621">
        <v>47</v>
      </c>
      <c r="P4621">
        <v>-7.63</v>
      </c>
      <c r="Q4621">
        <v>61</v>
      </c>
      <c r="R4621">
        <v>-4.18</v>
      </c>
      <c r="S4621">
        <v>62</v>
      </c>
      <c r="T4621">
        <v>16.34</v>
      </c>
      <c r="U4621">
        <v>60</v>
      </c>
      <c r="V4621">
        <v>-1.21</v>
      </c>
      <c r="W4621">
        <v>30</v>
      </c>
      <c r="X4621" t="s">
        <v>94</v>
      </c>
      <c r="Y4621" t="s">
        <v>95</v>
      </c>
      <c r="Z4621" t="s">
        <v>96</v>
      </c>
      <c r="AA4621" t="s">
        <v>118</v>
      </c>
      <c r="AB4621" t="s">
        <v>15360</v>
      </c>
      <c r="AC4621">
        <v>28</v>
      </c>
      <c r="AD4621">
        <v>27</v>
      </c>
      <c r="AE4621">
        <v>83</v>
      </c>
      <c r="AF4621">
        <v>-195.1</v>
      </c>
      <c r="AG4621">
        <v>-8.66</v>
      </c>
      <c r="AH4621">
        <v>-6.33</v>
      </c>
      <c r="AI4621">
        <v>-0.02</v>
      </c>
      <c r="AJ4621">
        <v>0.01</v>
      </c>
      <c r="AK4621">
        <v>58</v>
      </c>
      <c r="AL4621">
        <v>52</v>
      </c>
      <c r="AM4621">
        <v>47</v>
      </c>
      <c r="AN4621">
        <v>5.58</v>
      </c>
      <c r="AO4621">
        <v>-2.29</v>
      </c>
      <c r="AP4621">
        <v>2</v>
      </c>
      <c r="AQ4621">
        <v>1</v>
      </c>
      <c r="AR4621">
        <v>9.73</v>
      </c>
      <c r="AS4621">
        <v>30</v>
      </c>
      <c r="AT4621">
        <v>4.78</v>
      </c>
      <c r="AU4621">
        <v>44</v>
      </c>
      <c r="AV4621">
        <v>-0.55000000000000004</v>
      </c>
      <c r="AW4621">
        <v>53</v>
      </c>
      <c r="AX4621">
        <v>-0.39</v>
      </c>
      <c r="AY4621">
        <v>58</v>
      </c>
      <c r="AZ4621">
        <v>5.55</v>
      </c>
      <c r="BA4621">
        <v>31</v>
      </c>
      <c r="BB4621">
        <v>4.37</v>
      </c>
      <c r="BC4621">
        <v>40</v>
      </c>
      <c r="BD4621">
        <v>0.03</v>
      </c>
      <c r="BE4621">
        <v>0.04</v>
      </c>
      <c r="BF4621">
        <v>-0.03</v>
      </c>
      <c r="BG4621">
        <v>78</v>
      </c>
      <c r="BH4621">
        <v>-7.0000000000000007E-2</v>
      </c>
      <c r="BI4621">
        <v>-4.1900000000000004</v>
      </c>
      <c r="BJ4621">
        <v>18</v>
      </c>
      <c r="BK4621">
        <v>17</v>
      </c>
      <c r="BL4621">
        <v>0.08</v>
      </c>
      <c r="BM4621">
        <v>1.1599999999999999</v>
      </c>
      <c r="BN4621">
        <v>0.24</v>
      </c>
      <c r="BO4621">
        <v>-0.87</v>
      </c>
      <c r="BP4621">
        <v>-1.23</v>
      </c>
      <c r="BQ4621">
        <v>-0.49</v>
      </c>
      <c r="BR4621">
        <v>-1.38</v>
      </c>
      <c r="BS4621">
        <v>-0.28999999999999998</v>
      </c>
      <c r="BT4621">
        <v>0.78</v>
      </c>
      <c r="BU4621">
        <v>-1.1599999999999999</v>
      </c>
      <c r="BV4621">
        <v>-0.78</v>
      </c>
      <c r="BW4621">
        <v>-0.39</v>
      </c>
      <c r="BX4621">
        <v>-0.84</v>
      </c>
      <c r="BY4621">
        <v>-1.5</v>
      </c>
      <c r="BZ4621">
        <v>-0.28999999999999998</v>
      </c>
      <c r="CA4621">
        <v>-0.51</v>
      </c>
      <c r="CB4621">
        <v>-0.53</v>
      </c>
      <c r="CC4621">
        <v>-0.04</v>
      </c>
      <c r="CD4621">
        <v>0.87</v>
      </c>
      <c r="CE4621">
        <v>-0.67</v>
      </c>
      <c r="CF4621">
        <v>0.06</v>
      </c>
      <c r="CG4621">
        <v>0</v>
      </c>
      <c r="CH4621">
        <v>-0.55000000000000004</v>
      </c>
      <c r="CI4621">
        <v>0</v>
      </c>
      <c r="CJ4621">
        <v>-4.3</v>
      </c>
      <c r="CK4621">
        <v>62</v>
      </c>
      <c r="CL4621">
        <v>-0.26</v>
      </c>
      <c r="CM4621">
        <v>58</v>
      </c>
      <c r="CN4621">
        <v>-0.18</v>
      </c>
      <c r="CO4621">
        <v>53</v>
      </c>
      <c r="CP4621">
        <v>-7.5</v>
      </c>
      <c r="CQ4621">
        <v>70</v>
      </c>
      <c r="CR4621">
        <v>0</v>
      </c>
      <c r="CS4621">
        <v>0</v>
      </c>
      <c r="CT4621">
        <v>-8.3000000000000007</v>
      </c>
      <c r="CU4621">
        <v>60</v>
      </c>
      <c r="CV4621">
        <v>-0.02</v>
      </c>
      <c r="CW4621">
        <v>17</v>
      </c>
      <c r="CX4621" t="s">
        <v>648</v>
      </c>
    </row>
    <row r="4622" spans="1:102" x14ac:dyDescent="0.3">
      <c r="A4622" t="str">
        <f>HYPERLINK("https://webapp.icbf.com/v2/app/bull-search/view/124414901","MIW")</f>
        <v>MIW</v>
      </c>
      <c r="B4622" t="s">
        <v>2449</v>
      </c>
      <c r="C4622" t="s">
        <v>2450</v>
      </c>
      <c r="D4622" s="1">
        <v>36527</v>
      </c>
      <c r="E4622" t="s">
        <v>92</v>
      </c>
      <c r="F4622">
        <v>100</v>
      </c>
      <c r="G4622" t="s">
        <v>93</v>
      </c>
      <c r="H4622">
        <v>-147.1</v>
      </c>
      <c r="I4622">
        <v>90</v>
      </c>
      <c r="J4622">
        <v>35.840000000000003</v>
      </c>
      <c r="K4622">
        <v>98</v>
      </c>
      <c r="L4622">
        <v>-197.55</v>
      </c>
      <c r="M4622">
        <v>87</v>
      </c>
      <c r="N4622">
        <v>-1.58</v>
      </c>
      <c r="O4622">
        <v>85</v>
      </c>
      <c r="P4622">
        <v>-7.85</v>
      </c>
      <c r="Q4622">
        <v>92</v>
      </c>
      <c r="R4622">
        <v>0.91</v>
      </c>
      <c r="S4622">
        <v>86</v>
      </c>
      <c r="T4622">
        <v>15.38</v>
      </c>
      <c r="U4622">
        <v>79</v>
      </c>
      <c r="V4622">
        <v>7.75</v>
      </c>
      <c r="W4622">
        <v>84</v>
      </c>
      <c r="X4622" t="s">
        <v>94</v>
      </c>
      <c r="Y4622" t="s">
        <v>95</v>
      </c>
      <c r="Z4622" t="s">
        <v>96</v>
      </c>
      <c r="AA4622" t="s">
        <v>174</v>
      </c>
      <c r="AB4622" t="s">
        <v>2451</v>
      </c>
      <c r="AC4622">
        <v>86</v>
      </c>
      <c r="AD4622">
        <v>66</v>
      </c>
      <c r="AE4622">
        <v>98</v>
      </c>
      <c r="AF4622">
        <v>360.85</v>
      </c>
      <c r="AG4622">
        <v>6.92</v>
      </c>
      <c r="AH4622">
        <v>9.17</v>
      </c>
      <c r="AI4622">
        <v>-0.12</v>
      </c>
      <c r="AJ4622">
        <v>-0.05</v>
      </c>
      <c r="AK4622">
        <v>87</v>
      </c>
      <c r="AL4622">
        <v>79</v>
      </c>
      <c r="AM4622">
        <v>57</v>
      </c>
      <c r="AN4622">
        <v>11.12</v>
      </c>
      <c r="AO4622">
        <v>-4.63</v>
      </c>
      <c r="AP4622">
        <v>138</v>
      </c>
      <c r="AQ4622">
        <v>0</v>
      </c>
      <c r="AR4622">
        <v>5.35</v>
      </c>
      <c r="AS4622">
        <v>78</v>
      </c>
      <c r="AT4622">
        <v>2.7</v>
      </c>
      <c r="AU4622">
        <v>87</v>
      </c>
      <c r="AV4622">
        <v>0.54</v>
      </c>
      <c r="AW4622">
        <v>93</v>
      </c>
      <c r="AX4622">
        <v>0.13</v>
      </c>
      <c r="AY4622">
        <v>78</v>
      </c>
      <c r="AZ4622">
        <v>8.07</v>
      </c>
      <c r="BA4622">
        <v>66</v>
      </c>
      <c r="BB4622">
        <v>5.62</v>
      </c>
      <c r="BC4622">
        <v>71</v>
      </c>
      <c r="BD4622">
        <v>0</v>
      </c>
      <c r="BE4622">
        <v>0.01</v>
      </c>
      <c r="BF4622">
        <v>-0.04</v>
      </c>
      <c r="BG4622">
        <v>92</v>
      </c>
      <c r="BH4622">
        <v>0.16</v>
      </c>
      <c r="BI4622">
        <v>-6.5</v>
      </c>
      <c r="BJ4622">
        <v>29</v>
      </c>
      <c r="BK4622">
        <v>22</v>
      </c>
      <c r="BL4622">
        <v>-0.73</v>
      </c>
      <c r="BM4622">
        <v>0.23</v>
      </c>
      <c r="BN4622">
        <v>0.51</v>
      </c>
      <c r="BO4622">
        <v>0.26</v>
      </c>
      <c r="BP4622">
        <v>1.44</v>
      </c>
      <c r="BQ4622">
        <v>1.29</v>
      </c>
      <c r="BR4622">
        <v>-0.24</v>
      </c>
      <c r="BS4622">
        <v>-3.28</v>
      </c>
      <c r="BT4622">
        <v>-0.65</v>
      </c>
      <c r="BU4622">
        <v>0.21</v>
      </c>
      <c r="BV4622">
        <v>1.17</v>
      </c>
      <c r="BW4622">
        <v>0.7</v>
      </c>
      <c r="BX4622">
        <v>-0.86</v>
      </c>
      <c r="BY4622">
        <v>2.19</v>
      </c>
      <c r="BZ4622">
        <v>-0.69</v>
      </c>
      <c r="CA4622">
        <v>-0.28999999999999998</v>
      </c>
      <c r="CB4622">
        <v>1.1399999999999999</v>
      </c>
      <c r="CC4622">
        <v>-3.1</v>
      </c>
      <c r="CD4622">
        <v>-0.47</v>
      </c>
      <c r="CE4622">
        <v>-0.22</v>
      </c>
      <c r="CF4622">
        <v>-1.03</v>
      </c>
      <c r="CG4622">
        <v>0</v>
      </c>
      <c r="CH4622">
        <v>2.1</v>
      </c>
      <c r="CI4622">
        <v>0</v>
      </c>
      <c r="CJ4622">
        <v>-1.2</v>
      </c>
      <c r="CK4622">
        <v>93</v>
      </c>
      <c r="CL4622">
        <v>-0.69</v>
      </c>
      <c r="CM4622">
        <v>91</v>
      </c>
      <c r="CN4622">
        <v>-0.17</v>
      </c>
      <c r="CO4622">
        <v>90</v>
      </c>
      <c r="CP4622">
        <v>-7.1</v>
      </c>
      <c r="CQ4622">
        <v>89</v>
      </c>
      <c r="CR4622">
        <v>0</v>
      </c>
      <c r="CS4622">
        <v>0</v>
      </c>
      <c r="CT4622">
        <v>-7</v>
      </c>
      <c r="CU4622">
        <v>79</v>
      </c>
      <c r="CV4622">
        <v>0.1</v>
      </c>
      <c r="CW4622">
        <v>44</v>
      </c>
      <c r="CX4622" t="s">
        <v>105</v>
      </c>
    </row>
    <row r="4623" spans="1:102" x14ac:dyDescent="0.3">
      <c r="A4623" t="str">
        <f>HYPERLINK("https://webapp.icbf.com/v2/app/bull-search/view/77855359","MRD")</f>
        <v>MRD</v>
      </c>
      <c r="B4623" t="s">
        <v>2955</v>
      </c>
      <c r="C4623" t="s">
        <v>2956</v>
      </c>
      <c r="D4623" s="1">
        <v>34676</v>
      </c>
      <c r="E4623" t="s">
        <v>92</v>
      </c>
      <c r="F4623">
        <v>97</v>
      </c>
      <c r="G4623" t="s">
        <v>93</v>
      </c>
      <c r="H4623">
        <v>-147.18</v>
      </c>
      <c r="I4623">
        <v>71</v>
      </c>
      <c r="J4623">
        <v>3.46</v>
      </c>
      <c r="K4623">
        <v>91</v>
      </c>
      <c r="L4623">
        <v>-137.52000000000001</v>
      </c>
      <c r="M4623">
        <v>59</v>
      </c>
      <c r="N4623">
        <v>-13.33</v>
      </c>
      <c r="O4623">
        <v>60</v>
      </c>
      <c r="P4623">
        <v>0.28000000000000003</v>
      </c>
      <c r="Q4623">
        <v>75</v>
      </c>
      <c r="R4623">
        <v>-6.55</v>
      </c>
      <c r="S4623">
        <v>64</v>
      </c>
      <c r="T4623">
        <v>13.16</v>
      </c>
      <c r="U4623">
        <v>72</v>
      </c>
      <c r="V4623">
        <v>-6.68</v>
      </c>
      <c r="W4623">
        <v>32</v>
      </c>
      <c r="X4623" t="s">
        <v>94</v>
      </c>
      <c r="Y4623" t="s">
        <v>95</v>
      </c>
      <c r="Z4623" t="s">
        <v>96</v>
      </c>
      <c r="AA4623" t="s">
        <v>105</v>
      </c>
      <c r="AB4623" t="s">
        <v>177</v>
      </c>
      <c r="AC4623">
        <v>56</v>
      </c>
      <c r="AD4623">
        <v>51</v>
      </c>
      <c r="AE4623">
        <v>91</v>
      </c>
      <c r="AF4623">
        <v>-68.989999999999995</v>
      </c>
      <c r="AG4623">
        <v>-0.08</v>
      </c>
      <c r="AH4623">
        <v>-0.44</v>
      </c>
      <c r="AI4623">
        <v>0.04</v>
      </c>
      <c r="AJ4623">
        <v>0.03</v>
      </c>
      <c r="AK4623">
        <v>59</v>
      </c>
      <c r="AL4623">
        <v>53</v>
      </c>
      <c r="AM4623">
        <v>46</v>
      </c>
      <c r="AN4623">
        <v>7.24</v>
      </c>
      <c r="AO4623">
        <v>-3.73</v>
      </c>
      <c r="AP4623">
        <v>16</v>
      </c>
      <c r="AQ4623">
        <v>1</v>
      </c>
      <c r="AR4623">
        <v>9.57</v>
      </c>
      <c r="AS4623">
        <v>37</v>
      </c>
      <c r="AT4623">
        <v>4.3899999999999997</v>
      </c>
      <c r="AU4623">
        <v>56</v>
      </c>
      <c r="AV4623">
        <v>0.08</v>
      </c>
      <c r="AW4623">
        <v>71</v>
      </c>
      <c r="AX4623">
        <v>-0.5</v>
      </c>
      <c r="AY4623">
        <v>73</v>
      </c>
      <c r="AZ4623">
        <v>5.48</v>
      </c>
      <c r="BA4623">
        <v>37</v>
      </c>
      <c r="BB4623">
        <v>4.33</v>
      </c>
      <c r="BC4623">
        <v>45</v>
      </c>
      <c r="BD4623">
        <v>0.04</v>
      </c>
      <c r="BE4623">
        <v>0.06</v>
      </c>
      <c r="BF4623">
        <v>-0.03</v>
      </c>
      <c r="BG4623">
        <v>79</v>
      </c>
      <c r="BH4623">
        <v>-0.03</v>
      </c>
      <c r="BI4623">
        <v>18.09</v>
      </c>
      <c r="BJ4623">
        <v>11</v>
      </c>
      <c r="BK4623">
        <v>11</v>
      </c>
      <c r="BL4623">
        <v>0.77</v>
      </c>
      <c r="BM4623">
        <v>0.72</v>
      </c>
      <c r="BN4623">
        <v>1.02</v>
      </c>
      <c r="BO4623">
        <v>0.09</v>
      </c>
      <c r="BP4623">
        <v>-1.18</v>
      </c>
      <c r="BQ4623">
        <v>0.11</v>
      </c>
      <c r="BR4623">
        <v>-2.12</v>
      </c>
      <c r="BS4623">
        <v>0.35</v>
      </c>
      <c r="BT4623">
        <v>2.59</v>
      </c>
      <c r="BU4623">
        <v>-0.65</v>
      </c>
      <c r="BV4623">
        <v>-0.19</v>
      </c>
      <c r="BW4623">
        <v>-0.1</v>
      </c>
      <c r="BX4623">
        <v>0.19</v>
      </c>
      <c r="BY4623">
        <v>-0.21</v>
      </c>
      <c r="BZ4623">
        <v>0.33</v>
      </c>
      <c r="CA4623">
        <v>-0.32</v>
      </c>
      <c r="CB4623">
        <v>-0.36</v>
      </c>
      <c r="CC4623">
        <v>-0.08</v>
      </c>
      <c r="CD4623">
        <v>0.14000000000000001</v>
      </c>
      <c r="CE4623">
        <v>0.05</v>
      </c>
      <c r="CF4623">
        <v>0.81</v>
      </c>
      <c r="CG4623">
        <v>0</v>
      </c>
      <c r="CH4623">
        <v>0.7</v>
      </c>
      <c r="CI4623">
        <v>0</v>
      </c>
      <c r="CJ4623">
        <v>3</v>
      </c>
      <c r="CK4623">
        <v>77</v>
      </c>
      <c r="CL4623">
        <v>-0.28999999999999998</v>
      </c>
      <c r="CM4623">
        <v>73</v>
      </c>
      <c r="CN4623">
        <v>0.05</v>
      </c>
      <c r="CO4623">
        <v>70</v>
      </c>
      <c r="CP4623">
        <v>-1.9</v>
      </c>
      <c r="CQ4623">
        <v>78</v>
      </c>
      <c r="CR4623">
        <v>0</v>
      </c>
      <c r="CS4623">
        <v>0</v>
      </c>
      <c r="CT4623">
        <v>-4</v>
      </c>
      <c r="CU4623">
        <v>72</v>
      </c>
      <c r="CV4623">
        <v>0.14000000000000001</v>
      </c>
      <c r="CW4623">
        <v>21</v>
      </c>
      <c r="CX4623" t="s">
        <v>118</v>
      </c>
    </row>
    <row r="4624" spans="1:102" x14ac:dyDescent="0.3">
      <c r="A4624" t="str">
        <f>HYPERLINK("https://webapp.icbf.com/v2/app/bull-search/view/77858680","CVS")</f>
        <v>CVS</v>
      </c>
      <c r="B4624" t="s">
        <v>3755</v>
      </c>
      <c r="C4624" t="s">
        <v>3756</v>
      </c>
      <c r="D4624" s="1">
        <v>33329</v>
      </c>
      <c r="E4624" t="s">
        <v>92</v>
      </c>
      <c r="F4624">
        <v>100</v>
      </c>
      <c r="G4624" t="s">
        <v>109</v>
      </c>
      <c r="H4624">
        <v>-147.33000000000001</v>
      </c>
      <c r="I4624">
        <v>78</v>
      </c>
      <c r="J4624">
        <v>-36.67</v>
      </c>
      <c r="K4624">
        <v>89</v>
      </c>
      <c r="L4624">
        <v>-98.07</v>
      </c>
      <c r="M4624">
        <v>82</v>
      </c>
      <c r="N4624">
        <v>-0.94</v>
      </c>
      <c r="O4624">
        <v>63</v>
      </c>
      <c r="P4624">
        <v>-11.52</v>
      </c>
      <c r="Q4624">
        <v>63</v>
      </c>
      <c r="R4624">
        <v>-11.48</v>
      </c>
      <c r="S4624">
        <v>73</v>
      </c>
      <c r="T4624">
        <v>20.04</v>
      </c>
      <c r="U4624">
        <v>63</v>
      </c>
      <c r="V4624">
        <v>-8.69</v>
      </c>
      <c r="W4624">
        <v>55</v>
      </c>
      <c r="X4624" t="s">
        <v>558</v>
      </c>
      <c r="Y4624" t="s">
        <v>95</v>
      </c>
      <c r="Z4624" t="s">
        <v>96</v>
      </c>
      <c r="AA4624" t="s">
        <v>132</v>
      </c>
      <c r="AB4624" t="s">
        <v>3757</v>
      </c>
      <c r="AC4624">
        <v>0</v>
      </c>
      <c r="AD4624">
        <v>0</v>
      </c>
      <c r="AE4624">
        <v>89</v>
      </c>
      <c r="AF4624">
        <v>7.7</v>
      </c>
      <c r="AG4624">
        <v>-2.0299999999999998</v>
      </c>
      <c r="AH4624">
        <v>-5.4</v>
      </c>
      <c r="AI4624">
        <v>-0.04</v>
      </c>
      <c r="AJ4624">
        <v>-0.1</v>
      </c>
      <c r="AK4624">
        <v>82</v>
      </c>
      <c r="AL4624">
        <v>0</v>
      </c>
      <c r="AM4624">
        <v>0</v>
      </c>
      <c r="AN4624">
        <v>4.66</v>
      </c>
      <c r="AO4624">
        <v>-3.17</v>
      </c>
      <c r="AP4624">
        <v>3</v>
      </c>
      <c r="AQ4624">
        <v>0</v>
      </c>
      <c r="AR4624">
        <v>7.35</v>
      </c>
      <c r="AS4624">
        <v>51</v>
      </c>
      <c r="AT4624">
        <v>2.88</v>
      </c>
      <c r="AU4624">
        <v>83</v>
      </c>
      <c r="AV4624">
        <v>-0.43</v>
      </c>
      <c r="AW4624">
        <v>59</v>
      </c>
      <c r="AX4624">
        <v>-0.59</v>
      </c>
      <c r="AY4624">
        <v>62</v>
      </c>
      <c r="AZ4624">
        <v>8.01</v>
      </c>
      <c r="BA4624">
        <v>43</v>
      </c>
      <c r="BB4624">
        <v>6.12</v>
      </c>
      <c r="BC4624">
        <v>47</v>
      </c>
      <c r="BD4624">
        <v>0.06</v>
      </c>
      <c r="BE4624">
        <v>0.06</v>
      </c>
      <c r="BF4624">
        <v>0.05</v>
      </c>
      <c r="BG4624">
        <v>89</v>
      </c>
      <c r="BH4624">
        <v>-0.08</v>
      </c>
      <c r="BI4624">
        <v>18.79</v>
      </c>
      <c r="BJ4624">
        <v>1</v>
      </c>
      <c r="BK4624">
        <v>1</v>
      </c>
      <c r="BL4624">
        <v>-0.12</v>
      </c>
      <c r="BM4624">
        <v>-1.31</v>
      </c>
      <c r="BN4624">
        <v>-0.56000000000000005</v>
      </c>
      <c r="BO4624">
        <v>0.16</v>
      </c>
      <c r="BP4624">
        <v>-1.86</v>
      </c>
      <c r="BQ4624">
        <v>-0.89</v>
      </c>
      <c r="BR4624">
        <v>0.83</v>
      </c>
      <c r="BS4624">
        <v>-0.55000000000000004</v>
      </c>
      <c r="BT4624">
        <v>-0.42</v>
      </c>
      <c r="BU4624">
        <v>-0.6</v>
      </c>
      <c r="BV4624">
        <v>-0.45</v>
      </c>
      <c r="BW4624">
        <v>-0.31</v>
      </c>
      <c r="BX4624">
        <v>-1.07</v>
      </c>
      <c r="BY4624">
        <v>-0.89</v>
      </c>
      <c r="BZ4624">
        <v>2.16</v>
      </c>
      <c r="CA4624">
        <v>-0.77</v>
      </c>
      <c r="CB4624">
        <v>-0.88</v>
      </c>
      <c r="CC4624">
        <v>-0.26</v>
      </c>
      <c r="CD4624">
        <v>-0.59</v>
      </c>
      <c r="CE4624">
        <v>0.85</v>
      </c>
      <c r="CF4624">
        <v>1.03</v>
      </c>
      <c r="CG4624">
        <v>0</v>
      </c>
      <c r="CH4624">
        <v>-1.06</v>
      </c>
      <c r="CI4624">
        <v>0</v>
      </c>
      <c r="CJ4624">
        <v>-6.9</v>
      </c>
      <c r="CK4624">
        <v>64</v>
      </c>
      <c r="CL4624">
        <v>-0.66</v>
      </c>
      <c r="CM4624">
        <v>61</v>
      </c>
      <c r="CN4624">
        <v>-0.54</v>
      </c>
      <c r="CO4624">
        <v>58</v>
      </c>
      <c r="CP4624">
        <v>-10.1</v>
      </c>
      <c r="CQ4624">
        <v>67</v>
      </c>
      <c r="CR4624">
        <v>0</v>
      </c>
      <c r="CS4624">
        <v>0</v>
      </c>
      <c r="CT4624">
        <v>-13.3</v>
      </c>
      <c r="CU4624">
        <v>63</v>
      </c>
      <c r="CV4624">
        <v>0.06</v>
      </c>
      <c r="CW4624">
        <v>38</v>
      </c>
      <c r="CX4624" t="s">
        <v>543</v>
      </c>
    </row>
    <row r="4625" spans="1:102" x14ac:dyDescent="0.3">
      <c r="A4625" t="str">
        <f>HYPERLINK("https://webapp.icbf.com/v2/app/bull-search/view/130499623","CRH")</f>
        <v>CRH</v>
      </c>
      <c r="B4625" t="s">
        <v>4727</v>
      </c>
      <c r="C4625" t="s">
        <v>4728</v>
      </c>
      <c r="D4625" s="1">
        <v>31544</v>
      </c>
      <c r="E4625" t="s">
        <v>92</v>
      </c>
      <c r="F4625">
        <v>100</v>
      </c>
      <c r="G4625" t="s">
        <v>93</v>
      </c>
      <c r="H4625">
        <v>-147.47999999999999</v>
      </c>
      <c r="I4625">
        <v>89</v>
      </c>
      <c r="J4625">
        <v>-25.09</v>
      </c>
      <c r="K4625">
        <v>96</v>
      </c>
      <c r="L4625">
        <v>-72.7</v>
      </c>
      <c r="M4625">
        <v>90</v>
      </c>
      <c r="N4625">
        <v>-37.450000000000003</v>
      </c>
      <c r="O4625">
        <v>81</v>
      </c>
      <c r="P4625">
        <v>-10.27</v>
      </c>
      <c r="Q4625">
        <v>88</v>
      </c>
      <c r="R4625">
        <v>-16.27</v>
      </c>
      <c r="S4625">
        <v>81</v>
      </c>
      <c r="T4625">
        <v>16.420000000000002</v>
      </c>
      <c r="U4625">
        <v>81</v>
      </c>
      <c r="V4625">
        <v>-2.12</v>
      </c>
      <c r="W4625">
        <v>68</v>
      </c>
      <c r="X4625" t="s">
        <v>110</v>
      </c>
      <c r="Y4625" t="s">
        <v>95</v>
      </c>
      <c r="Z4625" t="s">
        <v>96</v>
      </c>
      <c r="AA4625" t="s">
        <v>825</v>
      </c>
      <c r="AB4625" t="s">
        <v>4729</v>
      </c>
      <c r="AC4625">
        <v>87</v>
      </c>
      <c r="AD4625">
        <v>62</v>
      </c>
      <c r="AE4625">
        <v>96</v>
      </c>
      <c r="AF4625">
        <v>3.36</v>
      </c>
      <c r="AG4625">
        <v>-5.33</v>
      </c>
      <c r="AH4625">
        <v>-2.33</v>
      </c>
      <c r="AI4625">
        <v>-0.1</v>
      </c>
      <c r="AJ4625">
        <v>-0.04</v>
      </c>
      <c r="AK4625">
        <v>90</v>
      </c>
      <c r="AL4625">
        <v>129</v>
      </c>
      <c r="AM4625">
        <v>76</v>
      </c>
      <c r="AN4625">
        <v>3.03</v>
      </c>
      <c r="AO4625">
        <v>-2.78</v>
      </c>
      <c r="AP4625">
        <v>69</v>
      </c>
      <c r="AQ4625">
        <v>4</v>
      </c>
      <c r="AR4625">
        <v>13.06</v>
      </c>
      <c r="AS4625">
        <v>66</v>
      </c>
      <c r="AT4625">
        <v>5.43</v>
      </c>
      <c r="AU4625">
        <v>90</v>
      </c>
      <c r="AV4625">
        <v>-0.44</v>
      </c>
      <c r="AW4625">
        <v>84</v>
      </c>
      <c r="AX4625">
        <v>-0.45</v>
      </c>
      <c r="AY4625">
        <v>85</v>
      </c>
      <c r="AZ4625">
        <v>5.73</v>
      </c>
      <c r="BA4625">
        <v>57</v>
      </c>
      <c r="BB4625">
        <v>4.6900000000000004</v>
      </c>
      <c r="BC4625">
        <v>66</v>
      </c>
      <c r="BD4625">
        <v>0.06</v>
      </c>
      <c r="BE4625">
        <v>0.06</v>
      </c>
      <c r="BF4625">
        <v>0.16</v>
      </c>
      <c r="BG4625">
        <v>95</v>
      </c>
      <c r="BH4625">
        <v>-0.01</v>
      </c>
      <c r="BI4625">
        <v>5.68</v>
      </c>
      <c r="BJ4625">
        <v>26</v>
      </c>
      <c r="BK4625">
        <v>21</v>
      </c>
      <c r="BL4625">
        <v>0.86</v>
      </c>
      <c r="BM4625">
        <v>0.93</v>
      </c>
      <c r="BN4625">
        <v>1.26</v>
      </c>
      <c r="BO4625">
        <v>0.16</v>
      </c>
      <c r="BP4625">
        <v>-1.71</v>
      </c>
      <c r="BQ4625">
        <v>2.69</v>
      </c>
      <c r="BR4625">
        <v>0.24</v>
      </c>
      <c r="BS4625">
        <v>-0.49</v>
      </c>
      <c r="BT4625">
        <v>-0.12</v>
      </c>
      <c r="BU4625">
        <v>0.06</v>
      </c>
      <c r="BV4625">
        <v>-0.26</v>
      </c>
      <c r="BW4625">
        <v>0.82</v>
      </c>
      <c r="BX4625">
        <v>-0.35</v>
      </c>
      <c r="BY4625">
        <v>1.2</v>
      </c>
      <c r="BZ4625">
        <v>-0.64</v>
      </c>
      <c r="CA4625">
        <v>0.12</v>
      </c>
      <c r="CB4625">
        <v>0.33</v>
      </c>
      <c r="CC4625">
        <v>-0.17</v>
      </c>
      <c r="CD4625">
        <v>0.21</v>
      </c>
      <c r="CE4625">
        <v>-0.12</v>
      </c>
      <c r="CF4625">
        <v>1.41</v>
      </c>
      <c r="CG4625">
        <v>0</v>
      </c>
      <c r="CH4625">
        <v>1.19</v>
      </c>
      <c r="CI4625">
        <v>0</v>
      </c>
      <c r="CJ4625">
        <v>-4.2</v>
      </c>
      <c r="CK4625">
        <v>89</v>
      </c>
      <c r="CL4625">
        <v>-0.57999999999999996</v>
      </c>
      <c r="CM4625">
        <v>87</v>
      </c>
      <c r="CN4625">
        <v>-0.18</v>
      </c>
      <c r="CO4625">
        <v>85</v>
      </c>
      <c r="CP4625">
        <v>-4</v>
      </c>
      <c r="CQ4625">
        <v>88</v>
      </c>
      <c r="CR4625">
        <v>0</v>
      </c>
      <c r="CS4625">
        <v>0</v>
      </c>
      <c r="CT4625">
        <v>-8.4</v>
      </c>
      <c r="CU4625">
        <v>81</v>
      </c>
      <c r="CV4625">
        <v>0.01</v>
      </c>
      <c r="CW4625">
        <v>43</v>
      </c>
      <c r="CX4625" t="s">
        <v>648</v>
      </c>
    </row>
    <row r="4626" spans="1:102" x14ac:dyDescent="0.3">
      <c r="A4626" t="str">
        <f>HYPERLINK("https://webapp.icbf.com/v2/app/bull-search/view/474731651","X103")</f>
        <v>X103</v>
      </c>
      <c r="B4626" t="s">
        <v>7492</v>
      </c>
      <c r="C4626" t="s">
        <v>7493</v>
      </c>
      <c r="D4626" s="1">
        <v>37352</v>
      </c>
      <c r="E4626" t="s">
        <v>92</v>
      </c>
      <c r="F4626">
        <v>100</v>
      </c>
      <c r="G4626" t="s">
        <v>109</v>
      </c>
      <c r="H4626">
        <v>-147.56</v>
      </c>
      <c r="I4626">
        <v>86</v>
      </c>
      <c r="J4626">
        <v>-4.5</v>
      </c>
      <c r="K4626">
        <v>94</v>
      </c>
      <c r="L4626">
        <v>-162.61000000000001</v>
      </c>
      <c r="M4626">
        <v>89</v>
      </c>
      <c r="N4626">
        <v>23.33</v>
      </c>
      <c r="O4626">
        <v>74</v>
      </c>
      <c r="P4626">
        <v>-4.3</v>
      </c>
      <c r="Q4626">
        <v>77</v>
      </c>
      <c r="R4626">
        <v>-5.05</v>
      </c>
      <c r="S4626">
        <v>80</v>
      </c>
      <c r="T4626">
        <v>1.62</v>
      </c>
      <c r="U4626">
        <v>83</v>
      </c>
      <c r="V4626">
        <v>3.95</v>
      </c>
      <c r="W4626">
        <v>64</v>
      </c>
      <c r="X4626" t="s">
        <v>747</v>
      </c>
      <c r="Y4626" t="s">
        <v>95</v>
      </c>
      <c r="Z4626" t="s">
        <v>96</v>
      </c>
      <c r="AA4626" t="s">
        <v>2476</v>
      </c>
      <c r="AB4626" t="s">
        <v>7494</v>
      </c>
      <c r="AC4626">
        <v>0</v>
      </c>
      <c r="AD4626">
        <v>0</v>
      </c>
      <c r="AE4626">
        <v>94</v>
      </c>
      <c r="AF4626">
        <v>550.72</v>
      </c>
      <c r="AG4626">
        <v>2.61</v>
      </c>
      <c r="AH4626">
        <v>6.74</v>
      </c>
      <c r="AI4626">
        <v>-0.3</v>
      </c>
      <c r="AJ4626">
        <v>-0.19</v>
      </c>
      <c r="AK4626">
        <v>89</v>
      </c>
      <c r="AL4626">
        <v>0</v>
      </c>
      <c r="AM4626">
        <v>0</v>
      </c>
      <c r="AN4626">
        <v>8.68</v>
      </c>
      <c r="AO4626">
        <v>-4.29</v>
      </c>
      <c r="AP4626">
        <v>42</v>
      </c>
      <c r="AQ4626">
        <v>0</v>
      </c>
      <c r="AR4626">
        <v>7.76</v>
      </c>
      <c r="AS4626">
        <v>66</v>
      </c>
      <c r="AT4626">
        <v>3.52</v>
      </c>
      <c r="AU4626">
        <v>91</v>
      </c>
      <c r="AV4626">
        <v>-3.05</v>
      </c>
      <c r="AW4626">
        <v>76</v>
      </c>
      <c r="AX4626">
        <v>-0.84</v>
      </c>
      <c r="AY4626">
        <v>69</v>
      </c>
      <c r="AZ4626">
        <v>5.76</v>
      </c>
      <c r="BA4626">
        <v>51</v>
      </c>
      <c r="BB4626">
        <v>4.99</v>
      </c>
      <c r="BC4626">
        <v>50</v>
      </c>
      <c r="BD4626">
        <v>0</v>
      </c>
      <c r="BE4626">
        <v>0.04</v>
      </c>
      <c r="BF4626">
        <v>0.04</v>
      </c>
      <c r="BG4626">
        <v>93</v>
      </c>
      <c r="BH4626">
        <v>-0.02</v>
      </c>
      <c r="BI4626">
        <v>-15.05</v>
      </c>
      <c r="BJ4626">
        <v>20</v>
      </c>
      <c r="BK4626">
        <v>9</v>
      </c>
      <c r="BL4626">
        <v>1.54</v>
      </c>
      <c r="BM4626">
        <v>1.1399999999999999</v>
      </c>
      <c r="BN4626">
        <v>1.62</v>
      </c>
      <c r="BO4626">
        <v>1.03</v>
      </c>
      <c r="BP4626">
        <v>2.0499999999999998</v>
      </c>
      <c r="BQ4626">
        <v>2.0099999999999998</v>
      </c>
      <c r="BR4626">
        <v>-0.14000000000000001</v>
      </c>
      <c r="BS4626">
        <v>-0.18</v>
      </c>
      <c r="BT4626">
        <v>-0.14000000000000001</v>
      </c>
      <c r="BU4626">
        <v>2.0699999999999998</v>
      </c>
      <c r="BV4626">
        <v>2.6</v>
      </c>
      <c r="BW4626">
        <v>1.72</v>
      </c>
      <c r="BX4626">
        <v>1.1000000000000001</v>
      </c>
      <c r="BY4626">
        <v>1.69</v>
      </c>
      <c r="BZ4626">
        <v>0.34</v>
      </c>
      <c r="CA4626">
        <v>1.78</v>
      </c>
      <c r="CB4626">
        <v>1.84</v>
      </c>
      <c r="CC4626">
        <v>1.28</v>
      </c>
      <c r="CD4626">
        <v>0.14000000000000001</v>
      </c>
      <c r="CE4626">
        <v>1.1200000000000001</v>
      </c>
      <c r="CF4626">
        <v>1.47</v>
      </c>
      <c r="CG4626">
        <v>0</v>
      </c>
      <c r="CH4626">
        <v>1.84</v>
      </c>
      <c r="CI4626">
        <v>0</v>
      </c>
      <c r="CJ4626">
        <v>0.3</v>
      </c>
      <c r="CK4626">
        <v>79</v>
      </c>
      <c r="CL4626">
        <v>-1.18</v>
      </c>
      <c r="CM4626">
        <v>76</v>
      </c>
      <c r="CN4626">
        <v>-0.55000000000000004</v>
      </c>
      <c r="CO4626">
        <v>73</v>
      </c>
      <c r="CP4626">
        <v>6.8</v>
      </c>
      <c r="CQ4626">
        <v>78</v>
      </c>
      <c r="CR4626">
        <v>0</v>
      </c>
      <c r="CS4626">
        <v>0</v>
      </c>
      <c r="CT4626">
        <v>11.6</v>
      </c>
      <c r="CU4626">
        <v>83</v>
      </c>
      <c r="CV4626">
        <v>0.32</v>
      </c>
      <c r="CW4626">
        <v>41</v>
      </c>
      <c r="CX4626" t="s">
        <v>311</v>
      </c>
    </row>
    <row r="4627" spans="1:102" x14ac:dyDescent="0.3">
      <c r="A4627" t="str">
        <f>HYPERLINK("https://webapp.icbf.com/v2/app/bull-search/view/69092407","POU")</f>
        <v>POU</v>
      </c>
      <c r="B4627" t="s">
        <v>10476</v>
      </c>
      <c r="C4627" t="s">
        <v>10477</v>
      </c>
      <c r="D4627" s="1">
        <v>36454</v>
      </c>
      <c r="E4627" t="s">
        <v>92</v>
      </c>
      <c r="F4627">
        <v>100</v>
      </c>
      <c r="G4627" t="s">
        <v>116</v>
      </c>
      <c r="H4627">
        <v>-147.58000000000001</v>
      </c>
      <c r="I4627">
        <v>40</v>
      </c>
      <c r="J4627">
        <v>-8.36</v>
      </c>
      <c r="K4627">
        <v>46</v>
      </c>
      <c r="L4627">
        <v>-112.26</v>
      </c>
      <c r="M4627">
        <v>34</v>
      </c>
      <c r="N4627">
        <v>-16.34</v>
      </c>
      <c r="O4627">
        <v>38</v>
      </c>
      <c r="P4627">
        <v>-9.98</v>
      </c>
      <c r="Q4627">
        <v>48</v>
      </c>
      <c r="R4627">
        <v>-4.3600000000000003</v>
      </c>
      <c r="S4627">
        <v>36</v>
      </c>
      <c r="T4627">
        <v>2.95</v>
      </c>
      <c r="U4627">
        <v>48</v>
      </c>
      <c r="V4627">
        <v>0.77</v>
      </c>
      <c r="W4627">
        <v>29</v>
      </c>
      <c r="X4627" t="s">
        <v>94</v>
      </c>
      <c r="Y4627" t="s">
        <v>3278</v>
      </c>
      <c r="Z4627" t="s">
        <v>96</v>
      </c>
      <c r="AA4627" t="s">
        <v>3279</v>
      </c>
      <c r="AB4627" t="s">
        <v>10478</v>
      </c>
      <c r="AC4627">
        <v>5</v>
      </c>
      <c r="AD4627">
        <v>4</v>
      </c>
      <c r="AE4627">
        <v>46</v>
      </c>
      <c r="AF4627">
        <v>84.43</v>
      </c>
      <c r="AG4627">
        <v>-0.76</v>
      </c>
      <c r="AH4627">
        <v>0.14000000000000001</v>
      </c>
      <c r="AI4627">
        <v>-7.0000000000000007E-2</v>
      </c>
      <c r="AJ4627">
        <v>-0.04</v>
      </c>
      <c r="AK4627">
        <v>34</v>
      </c>
      <c r="AL4627">
        <v>6</v>
      </c>
      <c r="AM4627">
        <v>5</v>
      </c>
      <c r="AN4627">
        <v>5.55</v>
      </c>
      <c r="AO4627">
        <v>-3.41</v>
      </c>
      <c r="AP4627">
        <v>7</v>
      </c>
      <c r="AQ4627">
        <v>1</v>
      </c>
      <c r="AR4627">
        <v>10.68</v>
      </c>
      <c r="AS4627">
        <v>39</v>
      </c>
      <c r="AT4627">
        <v>4.59</v>
      </c>
      <c r="AU4627">
        <v>39</v>
      </c>
      <c r="AV4627">
        <v>-1.1000000000000001</v>
      </c>
      <c r="AW4627">
        <v>39</v>
      </c>
      <c r="AX4627">
        <v>-0.45</v>
      </c>
      <c r="AY4627">
        <v>41</v>
      </c>
      <c r="AZ4627">
        <v>6.44</v>
      </c>
      <c r="BA4627">
        <v>28</v>
      </c>
      <c r="BB4627">
        <v>5.31</v>
      </c>
      <c r="BC4627">
        <v>32</v>
      </c>
      <c r="BD4627">
        <v>-0.01</v>
      </c>
      <c r="BE4627">
        <v>0.03</v>
      </c>
      <c r="BF4627">
        <v>0.06</v>
      </c>
      <c r="BG4627">
        <v>43</v>
      </c>
      <c r="BH4627">
        <v>0.08</v>
      </c>
      <c r="BI4627">
        <v>6.78</v>
      </c>
      <c r="BJ4627">
        <v>0</v>
      </c>
      <c r="BK4627">
        <v>0</v>
      </c>
      <c r="BL4627">
        <v>0.61</v>
      </c>
      <c r="BM4627">
        <v>-0.41</v>
      </c>
      <c r="BN4627">
        <v>0.02</v>
      </c>
      <c r="BO4627">
        <v>0.47</v>
      </c>
      <c r="BP4627">
        <v>-0.42</v>
      </c>
      <c r="BQ4627">
        <v>0.14000000000000001</v>
      </c>
      <c r="BR4627">
        <v>1.0900000000000001</v>
      </c>
      <c r="BS4627">
        <v>-0.87</v>
      </c>
      <c r="BT4627">
        <v>-0.35</v>
      </c>
      <c r="BU4627">
        <v>0.13</v>
      </c>
      <c r="BV4627">
        <v>-0.02</v>
      </c>
      <c r="BW4627">
        <v>0.14000000000000001</v>
      </c>
      <c r="BX4627">
        <v>0.62</v>
      </c>
      <c r="BY4627">
        <v>0.46</v>
      </c>
      <c r="BZ4627">
        <v>-0.83</v>
      </c>
      <c r="CA4627">
        <v>-0.3</v>
      </c>
      <c r="CB4627">
        <v>-0.02</v>
      </c>
      <c r="CC4627">
        <v>-0.76</v>
      </c>
      <c r="CD4627">
        <v>-0.15</v>
      </c>
      <c r="CE4627">
        <v>0.3</v>
      </c>
      <c r="CF4627">
        <v>0.1</v>
      </c>
      <c r="CG4627">
        <v>0</v>
      </c>
      <c r="CH4627">
        <v>0.69</v>
      </c>
      <c r="CI4627">
        <v>0</v>
      </c>
      <c r="CJ4627">
        <v>-0.9</v>
      </c>
      <c r="CK4627">
        <v>50</v>
      </c>
      <c r="CL4627">
        <v>-1.04</v>
      </c>
      <c r="CM4627">
        <v>46</v>
      </c>
      <c r="CN4627">
        <v>-0.22</v>
      </c>
      <c r="CO4627">
        <v>44</v>
      </c>
      <c r="CP4627">
        <v>-3.9</v>
      </c>
      <c r="CQ4627">
        <v>48</v>
      </c>
      <c r="CR4627">
        <v>0</v>
      </c>
      <c r="CS4627">
        <v>0</v>
      </c>
      <c r="CT4627">
        <v>9.8000000000000007</v>
      </c>
      <c r="CU4627">
        <v>48</v>
      </c>
      <c r="CV4627">
        <v>0.34</v>
      </c>
      <c r="CW4627">
        <v>14</v>
      </c>
      <c r="CX4627" t="s">
        <v>564</v>
      </c>
    </row>
    <row r="4628" spans="1:102" x14ac:dyDescent="0.3">
      <c r="A4628" t="str">
        <f>HYPERLINK("https://webapp.icbf.com/v2/app/bull-search/view/77859196","AEC")</f>
        <v>AEC</v>
      </c>
      <c r="B4628" t="s">
        <v>12169</v>
      </c>
      <c r="C4628" t="s">
        <v>12170</v>
      </c>
      <c r="D4628" s="1">
        <v>35250</v>
      </c>
      <c r="E4628" t="s">
        <v>92</v>
      </c>
      <c r="F4628">
        <v>94</v>
      </c>
      <c r="G4628" t="s">
        <v>93</v>
      </c>
      <c r="H4628">
        <v>-147.82</v>
      </c>
      <c r="I4628">
        <v>83</v>
      </c>
      <c r="J4628">
        <v>12.84</v>
      </c>
      <c r="K4628">
        <v>96</v>
      </c>
      <c r="L4628">
        <v>-110.05</v>
      </c>
      <c r="M4628">
        <v>79</v>
      </c>
      <c r="N4628">
        <v>-28.7</v>
      </c>
      <c r="O4628">
        <v>71</v>
      </c>
      <c r="P4628">
        <v>-9.01</v>
      </c>
      <c r="Q4628">
        <v>80</v>
      </c>
      <c r="R4628">
        <v>-22.67</v>
      </c>
      <c r="S4628">
        <v>77</v>
      </c>
      <c r="T4628">
        <v>16.489999999999998</v>
      </c>
      <c r="U4628">
        <v>76</v>
      </c>
      <c r="V4628">
        <v>-6.72</v>
      </c>
      <c r="W4628">
        <v>66</v>
      </c>
      <c r="X4628" t="s">
        <v>94</v>
      </c>
      <c r="Y4628" t="s">
        <v>95</v>
      </c>
      <c r="Z4628" t="s">
        <v>96</v>
      </c>
      <c r="AA4628" t="s">
        <v>97</v>
      </c>
      <c r="AB4628" t="s">
        <v>12171</v>
      </c>
      <c r="AC4628">
        <v>66</v>
      </c>
      <c r="AD4628">
        <v>63</v>
      </c>
      <c r="AE4628">
        <v>96</v>
      </c>
      <c r="AF4628">
        <v>231.51</v>
      </c>
      <c r="AG4628">
        <v>3.1</v>
      </c>
      <c r="AH4628">
        <v>4.63</v>
      </c>
      <c r="AI4628">
        <v>-0.1</v>
      </c>
      <c r="AJ4628">
        <v>-0.05</v>
      </c>
      <c r="AK4628">
        <v>79</v>
      </c>
      <c r="AL4628">
        <v>73</v>
      </c>
      <c r="AM4628">
        <v>67</v>
      </c>
      <c r="AN4628">
        <v>5.7</v>
      </c>
      <c r="AO4628">
        <v>-3.08</v>
      </c>
      <c r="AP4628">
        <v>1</v>
      </c>
      <c r="AQ4628">
        <v>0</v>
      </c>
      <c r="AR4628">
        <v>10.039999999999999</v>
      </c>
      <c r="AS4628">
        <v>57</v>
      </c>
      <c r="AT4628">
        <v>4.08</v>
      </c>
      <c r="AU4628">
        <v>75</v>
      </c>
      <c r="AV4628">
        <v>2.09</v>
      </c>
      <c r="AW4628">
        <v>75</v>
      </c>
      <c r="AX4628">
        <v>-0.84</v>
      </c>
      <c r="AY4628">
        <v>73</v>
      </c>
      <c r="AZ4628">
        <v>5.97</v>
      </c>
      <c r="BA4628">
        <v>51</v>
      </c>
      <c r="BB4628">
        <v>4.66</v>
      </c>
      <c r="BC4628">
        <v>65</v>
      </c>
      <c r="BD4628">
        <v>0.11</v>
      </c>
      <c r="BE4628">
        <v>0.12</v>
      </c>
      <c r="BF4628">
        <v>0.11</v>
      </c>
      <c r="BG4628">
        <v>88</v>
      </c>
      <c r="BH4628">
        <v>-0.19</v>
      </c>
      <c r="BI4628">
        <v>-0.28999999999999998</v>
      </c>
      <c r="BJ4628">
        <v>2</v>
      </c>
      <c r="BK4628">
        <v>2</v>
      </c>
      <c r="BL4628">
        <v>-0.77</v>
      </c>
      <c r="BM4628">
        <v>-0.66</v>
      </c>
      <c r="BN4628">
        <v>-0.37</v>
      </c>
      <c r="BO4628">
        <v>0.4</v>
      </c>
      <c r="BP4628">
        <v>2.46</v>
      </c>
      <c r="BQ4628">
        <v>-1.05</v>
      </c>
      <c r="BR4628">
        <v>0.05</v>
      </c>
      <c r="BS4628">
        <v>0.35</v>
      </c>
      <c r="BT4628">
        <v>-1.62</v>
      </c>
      <c r="BU4628">
        <v>-2.14</v>
      </c>
      <c r="BV4628">
        <v>-0.83</v>
      </c>
      <c r="BW4628">
        <v>-0.97</v>
      </c>
      <c r="BX4628">
        <v>-2.0099999999999998</v>
      </c>
      <c r="BY4628">
        <v>7.0000000000000007E-2</v>
      </c>
      <c r="BZ4628">
        <v>-0.38</v>
      </c>
      <c r="CA4628">
        <v>-0.96</v>
      </c>
      <c r="CB4628">
        <v>-1.0900000000000001</v>
      </c>
      <c r="CC4628">
        <v>-0.34</v>
      </c>
      <c r="CD4628">
        <v>-0.84</v>
      </c>
      <c r="CE4628">
        <v>0.42</v>
      </c>
      <c r="CF4628">
        <v>-0.64</v>
      </c>
      <c r="CG4628">
        <v>0</v>
      </c>
      <c r="CH4628">
        <v>-0.86</v>
      </c>
      <c r="CI4628">
        <v>0</v>
      </c>
      <c r="CJ4628">
        <v>-3.5</v>
      </c>
      <c r="CK4628">
        <v>81</v>
      </c>
      <c r="CL4628">
        <v>-0.37</v>
      </c>
      <c r="CM4628">
        <v>79</v>
      </c>
      <c r="CN4628">
        <v>-0.11</v>
      </c>
      <c r="CO4628">
        <v>76</v>
      </c>
      <c r="CP4628">
        <v>-11</v>
      </c>
      <c r="CQ4628">
        <v>86</v>
      </c>
      <c r="CR4628">
        <v>0</v>
      </c>
      <c r="CS4628">
        <v>0</v>
      </c>
      <c r="CT4628">
        <v>-8.5</v>
      </c>
      <c r="CU4628">
        <v>76</v>
      </c>
      <c r="CV4628">
        <v>0.05</v>
      </c>
      <c r="CW4628">
        <v>41</v>
      </c>
      <c r="CX4628" t="s">
        <v>7042</v>
      </c>
    </row>
    <row r="4629" spans="1:102" x14ac:dyDescent="0.3">
      <c r="A4629" t="str">
        <f>HYPERLINK("https://webapp.icbf.com/v2/app/bull-search/view/169964726","S318")</f>
        <v>S318</v>
      </c>
      <c r="B4629" t="s">
        <v>4718</v>
      </c>
      <c r="C4629" t="s">
        <v>4719</v>
      </c>
      <c r="D4629" s="1">
        <v>35885</v>
      </c>
      <c r="E4629" t="s">
        <v>92</v>
      </c>
      <c r="F4629">
        <v>100</v>
      </c>
      <c r="G4629" t="s">
        <v>109</v>
      </c>
      <c r="H4629">
        <v>-147.84</v>
      </c>
      <c r="I4629">
        <v>73</v>
      </c>
      <c r="J4629">
        <v>94.96</v>
      </c>
      <c r="K4629">
        <v>79</v>
      </c>
      <c r="L4629">
        <v>-172.16</v>
      </c>
      <c r="M4629">
        <v>77</v>
      </c>
      <c r="N4629">
        <v>-59.06</v>
      </c>
      <c r="O4629">
        <v>64</v>
      </c>
      <c r="P4629">
        <v>11.51</v>
      </c>
      <c r="Q4629">
        <v>77</v>
      </c>
      <c r="R4629">
        <v>-15.44</v>
      </c>
      <c r="S4629">
        <v>67</v>
      </c>
      <c r="T4629">
        <v>-6.45</v>
      </c>
      <c r="U4629">
        <v>66</v>
      </c>
      <c r="V4629">
        <v>-1.2</v>
      </c>
      <c r="W4629">
        <v>33</v>
      </c>
      <c r="X4629" t="s">
        <v>747</v>
      </c>
      <c r="Y4629" t="s">
        <v>545</v>
      </c>
      <c r="Z4629" t="s">
        <v>96</v>
      </c>
      <c r="AA4629" t="s">
        <v>1172</v>
      </c>
      <c r="AB4629" t="s">
        <v>3208</v>
      </c>
      <c r="AC4629">
        <v>0</v>
      </c>
      <c r="AD4629">
        <v>0</v>
      </c>
      <c r="AE4629">
        <v>79</v>
      </c>
      <c r="AF4629">
        <v>371.19</v>
      </c>
      <c r="AG4629">
        <v>20.78</v>
      </c>
      <c r="AH4629">
        <v>14.48</v>
      </c>
      <c r="AI4629">
        <v>0.1</v>
      </c>
      <c r="AJ4629">
        <v>0.03</v>
      </c>
      <c r="AK4629">
        <v>77</v>
      </c>
      <c r="AL4629">
        <v>0</v>
      </c>
      <c r="AM4629">
        <v>0</v>
      </c>
      <c r="AN4629">
        <v>8.59</v>
      </c>
      <c r="AO4629">
        <v>-5.15</v>
      </c>
      <c r="AP4629">
        <v>53</v>
      </c>
      <c r="AQ4629">
        <v>0</v>
      </c>
      <c r="AR4629">
        <v>15.9</v>
      </c>
      <c r="AS4629">
        <v>41</v>
      </c>
      <c r="AT4629">
        <v>6.28</v>
      </c>
      <c r="AU4629">
        <v>77</v>
      </c>
      <c r="AV4629">
        <v>-2.09</v>
      </c>
      <c r="AW4629">
        <v>71</v>
      </c>
      <c r="AX4629">
        <v>1.43</v>
      </c>
      <c r="AY4629">
        <v>59</v>
      </c>
      <c r="AZ4629">
        <v>7.59</v>
      </c>
      <c r="BA4629">
        <v>39</v>
      </c>
      <c r="BB4629">
        <v>5.01</v>
      </c>
      <c r="BC4629">
        <v>40</v>
      </c>
      <c r="BD4629">
        <v>0.06</v>
      </c>
      <c r="BE4629">
        <v>0.05</v>
      </c>
      <c r="BF4629">
        <v>0.16</v>
      </c>
      <c r="BG4629">
        <v>89</v>
      </c>
      <c r="BH4629">
        <v>0.01</v>
      </c>
      <c r="BI4629">
        <v>5.04</v>
      </c>
      <c r="BJ4629">
        <v>12</v>
      </c>
      <c r="BK4629">
        <v>5</v>
      </c>
      <c r="BL4629">
        <v>0.84</v>
      </c>
      <c r="BM4629">
        <v>0</v>
      </c>
      <c r="BN4629">
        <v>-0.05</v>
      </c>
      <c r="BO4629">
        <v>0.02</v>
      </c>
      <c r="BP4629">
        <v>1.89</v>
      </c>
      <c r="BQ4629">
        <v>-1.1599999999999999</v>
      </c>
      <c r="BR4629">
        <v>-0.76</v>
      </c>
      <c r="BS4629">
        <v>-0.02</v>
      </c>
      <c r="BT4629">
        <v>0.53</v>
      </c>
      <c r="BU4629">
        <v>-0.05</v>
      </c>
      <c r="BV4629">
        <v>1</v>
      </c>
      <c r="BW4629">
        <v>0.45</v>
      </c>
      <c r="BX4629">
        <v>-0.09</v>
      </c>
      <c r="BY4629">
        <v>-0.02</v>
      </c>
      <c r="BZ4629">
        <v>0.55000000000000004</v>
      </c>
      <c r="CA4629">
        <v>0.33</v>
      </c>
      <c r="CB4629">
        <v>0.18</v>
      </c>
      <c r="CC4629">
        <v>0.36</v>
      </c>
      <c r="CD4629">
        <v>-0.01</v>
      </c>
      <c r="CE4629">
        <v>0.17</v>
      </c>
      <c r="CF4629">
        <v>0.8</v>
      </c>
      <c r="CG4629">
        <v>0</v>
      </c>
      <c r="CH4629">
        <v>1.04</v>
      </c>
      <c r="CI4629">
        <v>0</v>
      </c>
      <c r="CJ4629">
        <v>11.9</v>
      </c>
      <c r="CK4629">
        <v>79</v>
      </c>
      <c r="CL4629">
        <v>-0.36</v>
      </c>
      <c r="CM4629">
        <v>76</v>
      </c>
      <c r="CN4629">
        <v>0.15</v>
      </c>
      <c r="CO4629">
        <v>73</v>
      </c>
      <c r="CP4629">
        <v>3.7</v>
      </c>
      <c r="CQ4629">
        <v>75</v>
      </c>
      <c r="CR4629">
        <v>0</v>
      </c>
      <c r="CS4629">
        <v>0</v>
      </c>
      <c r="CT4629">
        <v>22.5</v>
      </c>
      <c r="CU4629">
        <v>66</v>
      </c>
      <c r="CV4629">
        <v>0.38</v>
      </c>
      <c r="CW4629">
        <v>22</v>
      </c>
      <c r="CX4629" t="s">
        <v>3209</v>
      </c>
    </row>
    <row r="4630" spans="1:102" x14ac:dyDescent="0.3">
      <c r="A4630" t="str">
        <f>HYPERLINK("https://webapp.icbf.com/v2/app/bull-search/view/77856178","LDJ")</f>
        <v>LDJ</v>
      </c>
      <c r="B4630" t="s">
        <v>916</v>
      </c>
      <c r="C4630" t="s">
        <v>917</v>
      </c>
      <c r="D4630" s="1">
        <v>33174</v>
      </c>
      <c r="E4630" t="s">
        <v>92</v>
      </c>
      <c r="F4630">
        <v>100</v>
      </c>
      <c r="G4630" t="s">
        <v>109</v>
      </c>
      <c r="H4630">
        <v>-148.27000000000001</v>
      </c>
      <c r="I4630">
        <v>78</v>
      </c>
      <c r="J4630">
        <v>-14.74</v>
      </c>
      <c r="K4630">
        <v>92</v>
      </c>
      <c r="L4630">
        <v>-123.07</v>
      </c>
      <c r="M4630">
        <v>85</v>
      </c>
      <c r="N4630">
        <v>-10.94</v>
      </c>
      <c r="O4630">
        <v>59</v>
      </c>
      <c r="P4630">
        <v>-3.79</v>
      </c>
      <c r="Q4630">
        <v>65</v>
      </c>
      <c r="R4630">
        <v>-3.51</v>
      </c>
      <c r="S4630">
        <v>68</v>
      </c>
      <c r="T4630">
        <v>8.0500000000000007</v>
      </c>
      <c r="U4630">
        <v>57</v>
      </c>
      <c r="V4630">
        <v>-0.27</v>
      </c>
      <c r="W4630">
        <v>36</v>
      </c>
      <c r="X4630" t="s">
        <v>110</v>
      </c>
      <c r="Y4630" t="s">
        <v>95</v>
      </c>
      <c r="Z4630" t="s">
        <v>96</v>
      </c>
      <c r="AA4630" t="s">
        <v>118</v>
      </c>
      <c r="AB4630" t="s">
        <v>918</v>
      </c>
      <c r="AC4630">
        <v>39</v>
      </c>
      <c r="AD4630">
        <v>25</v>
      </c>
      <c r="AE4630">
        <v>92</v>
      </c>
      <c r="AF4630">
        <v>56.18</v>
      </c>
      <c r="AG4630">
        <v>-0.33</v>
      </c>
      <c r="AH4630">
        <v>-1.53</v>
      </c>
      <c r="AI4630">
        <v>-0.04</v>
      </c>
      <c r="AJ4630">
        <v>-0.06</v>
      </c>
      <c r="AK4630">
        <v>85</v>
      </c>
      <c r="AL4630">
        <v>41</v>
      </c>
      <c r="AM4630">
        <v>25</v>
      </c>
      <c r="AN4630">
        <v>6.28</v>
      </c>
      <c r="AO4630">
        <v>-3.54</v>
      </c>
      <c r="AP4630">
        <v>2</v>
      </c>
      <c r="AQ4630">
        <v>1</v>
      </c>
      <c r="AR4630">
        <v>10.83</v>
      </c>
      <c r="AS4630">
        <v>31</v>
      </c>
      <c r="AT4630">
        <v>4.8600000000000003</v>
      </c>
      <c r="AU4630">
        <v>80</v>
      </c>
      <c r="AV4630">
        <v>-1.55</v>
      </c>
      <c r="AW4630">
        <v>58</v>
      </c>
      <c r="AX4630">
        <v>-0.31</v>
      </c>
      <c r="AY4630">
        <v>65</v>
      </c>
      <c r="AZ4630">
        <v>5.43</v>
      </c>
      <c r="BA4630">
        <v>32</v>
      </c>
      <c r="BB4630">
        <v>4.37</v>
      </c>
      <c r="BC4630">
        <v>44</v>
      </c>
      <c r="BD4630">
        <v>0.04</v>
      </c>
      <c r="BE4630">
        <v>0.06</v>
      </c>
      <c r="BF4630">
        <v>-0.1</v>
      </c>
      <c r="BG4630">
        <v>88</v>
      </c>
      <c r="BH4630">
        <v>-0.05</v>
      </c>
      <c r="BI4630">
        <v>-4.91</v>
      </c>
      <c r="BJ4630">
        <v>8</v>
      </c>
      <c r="BK4630">
        <v>4</v>
      </c>
      <c r="BL4630">
        <v>0.95</v>
      </c>
      <c r="BM4630">
        <v>0.02</v>
      </c>
      <c r="BN4630">
        <v>1.08</v>
      </c>
      <c r="BO4630">
        <v>0.37</v>
      </c>
      <c r="BP4630">
        <v>0.5</v>
      </c>
      <c r="BQ4630">
        <v>-0.34</v>
      </c>
      <c r="BR4630">
        <v>1.1299999999999999</v>
      </c>
      <c r="BS4630">
        <v>-1.43</v>
      </c>
      <c r="BT4630">
        <v>-1.01</v>
      </c>
      <c r="BU4630">
        <v>0.03</v>
      </c>
      <c r="BV4630">
        <v>0.22</v>
      </c>
      <c r="BW4630">
        <v>0.39</v>
      </c>
      <c r="BX4630">
        <v>0.37</v>
      </c>
      <c r="BY4630">
        <v>0.46</v>
      </c>
      <c r="BZ4630">
        <v>-0.95</v>
      </c>
      <c r="CA4630">
        <v>-0.21</v>
      </c>
      <c r="CB4630">
        <v>0.22</v>
      </c>
      <c r="CC4630">
        <v>-0.91</v>
      </c>
      <c r="CD4630">
        <v>-0.49</v>
      </c>
      <c r="CE4630">
        <v>0.37</v>
      </c>
      <c r="CF4630">
        <v>0.38</v>
      </c>
      <c r="CG4630">
        <v>0</v>
      </c>
      <c r="CH4630">
        <v>0.74</v>
      </c>
      <c r="CI4630">
        <v>0</v>
      </c>
      <c r="CJ4630">
        <v>0.6</v>
      </c>
      <c r="CK4630">
        <v>67</v>
      </c>
      <c r="CL4630">
        <v>-0.69</v>
      </c>
      <c r="CM4630">
        <v>63</v>
      </c>
      <c r="CN4630">
        <v>-0.28000000000000003</v>
      </c>
      <c r="CO4630">
        <v>58</v>
      </c>
      <c r="CP4630">
        <v>-5.2</v>
      </c>
      <c r="CQ4630">
        <v>74</v>
      </c>
      <c r="CR4630">
        <v>0</v>
      </c>
      <c r="CS4630">
        <v>0</v>
      </c>
      <c r="CT4630">
        <v>2.9</v>
      </c>
      <c r="CU4630">
        <v>57</v>
      </c>
      <c r="CV4630">
        <v>0.28000000000000003</v>
      </c>
      <c r="CW4630">
        <v>18</v>
      </c>
      <c r="CX4630" t="s">
        <v>543</v>
      </c>
    </row>
    <row r="4631" spans="1:102" x14ac:dyDescent="0.3">
      <c r="A4631" t="str">
        <f>HYPERLINK("https://webapp.icbf.com/v2/app/bull-search/view/307692913","IAZ")</f>
        <v>IAZ</v>
      </c>
      <c r="B4631" t="s">
        <v>4468</v>
      </c>
      <c r="C4631" t="s">
        <v>4469</v>
      </c>
      <c r="D4631" s="1">
        <v>37574</v>
      </c>
      <c r="E4631" t="s">
        <v>92</v>
      </c>
      <c r="F4631">
        <v>100</v>
      </c>
      <c r="G4631" t="s">
        <v>93</v>
      </c>
      <c r="H4631">
        <v>-148.34</v>
      </c>
      <c r="I4631">
        <v>87</v>
      </c>
      <c r="J4631">
        <v>34.11</v>
      </c>
      <c r="K4631">
        <v>97</v>
      </c>
      <c r="L4631">
        <v>-165.3</v>
      </c>
      <c r="M4631">
        <v>79</v>
      </c>
      <c r="N4631">
        <v>-9.1999999999999993</v>
      </c>
      <c r="O4631">
        <v>84</v>
      </c>
      <c r="P4631">
        <v>-5.72</v>
      </c>
      <c r="Q4631">
        <v>91</v>
      </c>
      <c r="R4631">
        <v>-9.5</v>
      </c>
      <c r="S4631">
        <v>80</v>
      </c>
      <c r="T4631">
        <v>5.0199999999999996</v>
      </c>
      <c r="U4631">
        <v>85</v>
      </c>
      <c r="V4631">
        <v>2.25</v>
      </c>
      <c r="W4631">
        <v>74</v>
      </c>
      <c r="X4631" t="s">
        <v>94</v>
      </c>
      <c r="Y4631" t="s">
        <v>2565</v>
      </c>
      <c r="Z4631" t="s">
        <v>96</v>
      </c>
      <c r="AA4631" t="s">
        <v>4470</v>
      </c>
      <c r="AB4631" t="s">
        <v>4471</v>
      </c>
      <c r="AC4631">
        <v>105</v>
      </c>
      <c r="AD4631">
        <v>78</v>
      </c>
      <c r="AE4631">
        <v>97</v>
      </c>
      <c r="AF4631">
        <v>197.93</v>
      </c>
      <c r="AG4631">
        <v>6.25</v>
      </c>
      <c r="AH4631">
        <v>6.62</v>
      </c>
      <c r="AI4631">
        <v>-0.03</v>
      </c>
      <c r="AJ4631">
        <v>0</v>
      </c>
      <c r="AK4631">
        <v>79</v>
      </c>
      <c r="AL4631">
        <v>87</v>
      </c>
      <c r="AM4631">
        <v>71</v>
      </c>
      <c r="AN4631">
        <v>10.74</v>
      </c>
      <c r="AO4631">
        <v>-2.42</v>
      </c>
      <c r="AP4631">
        <v>172</v>
      </c>
      <c r="AQ4631">
        <v>3</v>
      </c>
      <c r="AR4631">
        <v>10.32</v>
      </c>
      <c r="AS4631">
        <v>71</v>
      </c>
      <c r="AT4631">
        <v>4.3</v>
      </c>
      <c r="AU4631">
        <v>87</v>
      </c>
      <c r="AV4631">
        <v>-1.1200000000000001</v>
      </c>
      <c r="AW4631">
        <v>94</v>
      </c>
      <c r="AX4631">
        <v>-0.75</v>
      </c>
      <c r="AY4631">
        <v>79</v>
      </c>
      <c r="AZ4631">
        <v>6</v>
      </c>
      <c r="BA4631">
        <v>62</v>
      </c>
      <c r="BB4631">
        <v>5.14</v>
      </c>
      <c r="BC4631">
        <v>65</v>
      </c>
      <c r="BD4631">
        <v>-0.01</v>
      </c>
      <c r="BE4631">
        <v>0.05</v>
      </c>
      <c r="BF4631">
        <v>0.14000000000000001</v>
      </c>
      <c r="BG4631">
        <v>90</v>
      </c>
      <c r="BH4631">
        <v>0.05</v>
      </c>
      <c r="BI4631">
        <v>-1.49</v>
      </c>
      <c r="BJ4631">
        <v>17</v>
      </c>
      <c r="BK4631">
        <v>16</v>
      </c>
      <c r="BL4631">
        <v>0.72</v>
      </c>
      <c r="BM4631">
        <v>0.09</v>
      </c>
      <c r="BN4631">
        <v>0.91</v>
      </c>
      <c r="BO4631">
        <v>0.98</v>
      </c>
      <c r="BP4631">
        <v>-0.03</v>
      </c>
      <c r="BQ4631">
        <v>-0.06</v>
      </c>
      <c r="BR4631">
        <v>0.13</v>
      </c>
      <c r="BS4631">
        <v>0.11</v>
      </c>
      <c r="BT4631">
        <v>0.19</v>
      </c>
      <c r="BU4631">
        <v>0.72</v>
      </c>
      <c r="BV4631">
        <v>1.47</v>
      </c>
      <c r="BW4631">
        <v>0.86</v>
      </c>
      <c r="BX4631">
        <v>0.91</v>
      </c>
      <c r="BY4631">
        <v>0.77</v>
      </c>
      <c r="BZ4631">
        <v>1.19</v>
      </c>
      <c r="CA4631">
        <v>0.97</v>
      </c>
      <c r="CB4631">
        <v>1.02</v>
      </c>
      <c r="CC4631">
        <v>0.24</v>
      </c>
      <c r="CD4631">
        <v>-1</v>
      </c>
      <c r="CE4631">
        <v>0.78</v>
      </c>
      <c r="CF4631">
        <v>0.98</v>
      </c>
      <c r="CG4631">
        <v>0</v>
      </c>
      <c r="CH4631">
        <v>0.96</v>
      </c>
      <c r="CI4631">
        <v>0</v>
      </c>
      <c r="CJ4631">
        <v>-2</v>
      </c>
      <c r="CK4631">
        <v>92</v>
      </c>
      <c r="CL4631">
        <v>-0.79</v>
      </c>
      <c r="CM4631">
        <v>91</v>
      </c>
      <c r="CN4631">
        <v>-0.45</v>
      </c>
      <c r="CO4631">
        <v>90</v>
      </c>
      <c r="CP4631">
        <v>-0.5</v>
      </c>
      <c r="CQ4631">
        <v>90</v>
      </c>
      <c r="CR4631">
        <v>0</v>
      </c>
      <c r="CS4631">
        <v>0</v>
      </c>
      <c r="CT4631">
        <v>7</v>
      </c>
      <c r="CU4631">
        <v>85</v>
      </c>
      <c r="CV4631">
        <v>0.17</v>
      </c>
      <c r="CW4631">
        <v>44</v>
      </c>
      <c r="CX4631" t="s">
        <v>985</v>
      </c>
    </row>
    <row r="4632" spans="1:102" x14ac:dyDescent="0.3">
      <c r="A4632" t="str">
        <f>HYPERLINK("https://webapp.icbf.com/v2/app/bull-search/view/418957110","JKX")</f>
        <v>JKX</v>
      </c>
      <c r="B4632" t="s">
        <v>4431</v>
      </c>
      <c r="C4632" t="s">
        <v>4432</v>
      </c>
      <c r="D4632" s="1">
        <v>37830</v>
      </c>
      <c r="E4632" t="s">
        <v>92</v>
      </c>
      <c r="F4632">
        <v>100</v>
      </c>
      <c r="G4632" t="s">
        <v>93</v>
      </c>
      <c r="H4632">
        <v>-148.4</v>
      </c>
      <c r="I4632">
        <v>91</v>
      </c>
      <c r="J4632">
        <v>-9.9</v>
      </c>
      <c r="K4632">
        <v>97</v>
      </c>
      <c r="L4632">
        <v>-69.52</v>
      </c>
      <c r="M4632">
        <v>89</v>
      </c>
      <c r="N4632">
        <v>-53.97</v>
      </c>
      <c r="O4632">
        <v>86</v>
      </c>
      <c r="P4632">
        <v>-12.16</v>
      </c>
      <c r="Q4632">
        <v>91</v>
      </c>
      <c r="R4632">
        <v>8.9600000000000009</v>
      </c>
      <c r="S4632">
        <v>85</v>
      </c>
      <c r="T4632">
        <v>-9.7100000000000009</v>
      </c>
      <c r="U4632">
        <v>85</v>
      </c>
      <c r="V4632">
        <v>-2.1</v>
      </c>
      <c r="W4632">
        <v>76</v>
      </c>
      <c r="X4632" t="s">
        <v>251</v>
      </c>
      <c r="Y4632" t="s">
        <v>1534</v>
      </c>
      <c r="Z4632" t="s">
        <v>96</v>
      </c>
      <c r="AA4632" t="s">
        <v>311</v>
      </c>
      <c r="AB4632" t="s">
        <v>4361</v>
      </c>
      <c r="AC4632">
        <v>83</v>
      </c>
      <c r="AD4632">
        <v>57</v>
      </c>
      <c r="AE4632">
        <v>97</v>
      </c>
      <c r="AF4632">
        <v>102.61</v>
      </c>
      <c r="AG4632">
        <v>-4.93</v>
      </c>
      <c r="AH4632">
        <v>1.63</v>
      </c>
      <c r="AI4632">
        <v>-0.15</v>
      </c>
      <c r="AJ4632">
        <v>-0.03</v>
      </c>
      <c r="AK4632">
        <v>89</v>
      </c>
      <c r="AL4632">
        <v>86</v>
      </c>
      <c r="AM4632">
        <v>62</v>
      </c>
      <c r="AN4632">
        <v>3.35</v>
      </c>
      <c r="AO4632">
        <v>-2.2000000000000002</v>
      </c>
      <c r="AP4632">
        <v>227</v>
      </c>
      <c r="AQ4632">
        <v>0</v>
      </c>
      <c r="AR4632">
        <v>13.41</v>
      </c>
      <c r="AS4632">
        <v>75</v>
      </c>
      <c r="AT4632">
        <v>5.99</v>
      </c>
      <c r="AU4632">
        <v>91</v>
      </c>
      <c r="AV4632">
        <v>-0.05</v>
      </c>
      <c r="AW4632">
        <v>94</v>
      </c>
      <c r="AX4632">
        <v>1.48</v>
      </c>
      <c r="AY4632">
        <v>82</v>
      </c>
      <c r="AZ4632">
        <v>5.17</v>
      </c>
      <c r="BA4632">
        <v>67</v>
      </c>
      <c r="BB4632">
        <v>4.59</v>
      </c>
      <c r="BC4632">
        <v>68</v>
      </c>
      <c r="BD4632">
        <v>-0.06</v>
      </c>
      <c r="BE4632">
        <v>-0.04</v>
      </c>
      <c r="BF4632">
        <v>-0.03</v>
      </c>
      <c r="BG4632">
        <v>93</v>
      </c>
      <c r="BH4632">
        <v>-0.08</v>
      </c>
      <c r="BI4632">
        <v>-2.4900000000000002</v>
      </c>
      <c r="BJ4632">
        <v>39</v>
      </c>
      <c r="BK4632">
        <v>29</v>
      </c>
      <c r="BL4632">
        <v>1.31</v>
      </c>
      <c r="BM4632">
        <v>0.86</v>
      </c>
      <c r="BN4632">
        <v>1.19</v>
      </c>
      <c r="BO4632">
        <v>0.33</v>
      </c>
      <c r="BP4632">
        <v>-1.04</v>
      </c>
      <c r="BQ4632">
        <v>2.0699999999999998</v>
      </c>
      <c r="BR4632">
        <v>-0.14000000000000001</v>
      </c>
      <c r="BS4632">
        <v>0.56000000000000005</v>
      </c>
      <c r="BT4632">
        <v>0.19</v>
      </c>
      <c r="BU4632">
        <v>2.4300000000000002</v>
      </c>
      <c r="BV4632">
        <v>2.19</v>
      </c>
      <c r="BW4632">
        <v>2.12</v>
      </c>
      <c r="BX4632">
        <v>2.35</v>
      </c>
      <c r="BY4632">
        <v>0.48</v>
      </c>
      <c r="BZ4632">
        <v>2.5</v>
      </c>
      <c r="CA4632">
        <v>1.23</v>
      </c>
      <c r="CB4632">
        <v>1.27</v>
      </c>
      <c r="CC4632">
        <v>0.57999999999999996</v>
      </c>
      <c r="CD4632">
        <v>0.9</v>
      </c>
      <c r="CE4632">
        <v>0.33</v>
      </c>
      <c r="CF4632">
        <v>1.63</v>
      </c>
      <c r="CG4632">
        <v>0</v>
      </c>
      <c r="CH4632">
        <v>0.52</v>
      </c>
      <c r="CI4632">
        <v>0</v>
      </c>
      <c r="CJ4632">
        <v>-6.2</v>
      </c>
      <c r="CK4632">
        <v>92</v>
      </c>
      <c r="CL4632">
        <v>-1.21</v>
      </c>
      <c r="CM4632">
        <v>91</v>
      </c>
      <c r="CN4632">
        <v>-0.71</v>
      </c>
      <c r="CO4632">
        <v>90</v>
      </c>
      <c r="CP4632">
        <v>3.8</v>
      </c>
      <c r="CQ4632">
        <v>90</v>
      </c>
      <c r="CR4632">
        <v>0</v>
      </c>
      <c r="CS4632">
        <v>0</v>
      </c>
      <c r="CT4632">
        <v>26.9</v>
      </c>
      <c r="CU4632">
        <v>85</v>
      </c>
      <c r="CV4632">
        <v>0.09</v>
      </c>
      <c r="CW4632">
        <v>44</v>
      </c>
      <c r="CX4632" t="s">
        <v>1068</v>
      </c>
    </row>
    <row r="4633" spans="1:102" x14ac:dyDescent="0.3">
      <c r="A4633" t="str">
        <f>HYPERLINK("https://webapp.icbf.com/v2/app/bull-search/view/543640792","S564")</f>
        <v>S564</v>
      </c>
      <c r="B4633" t="s">
        <v>8877</v>
      </c>
      <c r="C4633" t="s">
        <v>8878</v>
      </c>
      <c r="D4633" s="1">
        <v>37900</v>
      </c>
      <c r="E4633" t="s">
        <v>92</v>
      </c>
      <c r="F4633">
        <v>100</v>
      </c>
      <c r="G4633" t="s">
        <v>109</v>
      </c>
      <c r="H4633">
        <v>-148.57</v>
      </c>
      <c r="I4633">
        <v>63</v>
      </c>
      <c r="J4633">
        <v>-33.619999999999997</v>
      </c>
      <c r="K4633">
        <v>77</v>
      </c>
      <c r="L4633">
        <v>-130.86000000000001</v>
      </c>
      <c r="M4633">
        <v>67</v>
      </c>
      <c r="N4633">
        <v>17.559999999999999</v>
      </c>
      <c r="O4633">
        <v>38</v>
      </c>
      <c r="P4633">
        <v>-10.83</v>
      </c>
      <c r="Q4633">
        <v>50</v>
      </c>
      <c r="R4633">
        <v>-3.97</v>
      </c>
      <c r="S4633">
        <v>61</v>
      </c>
      <c r="T4633">
        <v>13.68</v>
      </c>
      <c r="U4633">
        <v>51</v>
      </c>
      <c r="V4633">
        <v>-0.53</v>
      </c>
      <c r="W4633">
        <v>29</v>
      </c>
      <c r="X4633" t="s">
        <v>110</v>
      </c>
      <c r="Y4633" t="s">
        <v>545</v>
      </c>
      <c r="Z4633" t="s">
        <v>96</v>
      </c>
      <c r="AA4633" t="s">
        <v>2454</v>
      </c>
      <c r="AB4633" t="s">
        <v>8879</v>
      </c>
      <c r="AC4633">
        <v>0</v>
      </c>
      <c r="AD4633">
        <v>0</v>
      </c>
      <c r="AE4633">
        <v>77</v>
      </c>
      <c r="AF4633">
        <v>309.89</v>
      </c>
      <c r="AG4633">
        <v>-3.8</v>
      </c>
      <c r="AH4633">
        <v>0.37</v>
      </c>
      <c r="AI4633">
        <v>-0.25</v>
      </c>
      <c r="AJ4633">
        <v>-0.16</v>
      </c>
      <c r="AK4633">
        <v>67</v>
      </c>
      <c r="AL4633">
        <v>0</v>
      </c>
      <c r="AM4633">
        <v>0</v>
      </c>
      <c r="AN4633">
        <v>6.04</v>
      </c>
      <c r="AO4633">
        <v>-4.41</v>
      </c>
      <c r="AP4633">
        <v>10</v>
      </c>
      <c r="AQ4633">
        <v>1</v>
      </c>
      <c r="AR4633">
        <v>5.82</v>
      </c>
      <c r="AS4633">
        <v>31</v>
      </c>
      <c r="AT4633">
        <v>2.8</v>
      </c>
      <c r="AU4633">
        <v>45</v>
      </c>
      <c r="AV4633">
        <v>-1.01</v>
      </c>
      <c r="AW4633">
        <v>38</v>
      </c>
      <c r="AX4633">
        <v>-0.42</v>
      </c>
      <c r="AY4633">
        <v>41</v>
      </c>
      <c r="AZ4633">
        <v>5.75</v>
      </c>
      <c r="BA4633">
        <v>30</v>
      </c>
      <c r="BB4633">
        <v>4.93</v>
      </c>
      <c r="BC4633">
        <v>31</v>
      </c>
      <c r="BD4633">
        <v>-0.01</v>
      </c>
      <c r="BE4633">
        <v>0.02</v>
      </c>
      <c r="BF4633">
        <v>7.0000000000000007E-2</v>
      </c>
      <c r="BG4633">
        <v>82</v>
      </c>
      <c r="BH4633">
        <v>-0.01</v>
      </c>
      <c r="BI4633">
        <v>0.54</v>
      </c>
      <c r="BJ4633">
        <v>3</v>
      </c>
      <c r="BK4633">
        <v>2</v>
      </c>
      <c r="BL4633">
        <v>0.71</v>
      </c>
      <c r="BM4633">
        <v>-1.51</v>
      </c>
      <c r="BN4633">
        <v>0.79</v>
      </c>
      <c r="BO4633">
        <v>1.18</v>
      </c>
      <c r="BP4633">
        <v>-1.1000000000000001</v>
      </c>
      <c r="BQ4633">
        <v>-1.33</v>
      </c>
      <c r="BR4633">
        <v>-0.01</v>
      </c>
      <c r="BS4633">
        <v>2.1800000000000002</v>
      </c>
      <c r="BT4633">
        <v>0.18</v>
      </c>
      <c r="BU4633">
        <v>0.11</v>
      </c>
      <c r="BV4633">
        <v>0.87</v>
      </c>
      <c r="BW4633">
        <v>0.32</v>
      </c>
      <c r="BX4633">
        <v>-0.14000000000000001</v>
      </c>
      <c r="BY4633">
        <v>-0.52</v>
      </c>
      <c r="BZ4633">
        <v>1.49</v>
      </c>
      <c r="CA4633">
        <v>0.95</v>
      </c>
      <c r="CB4633">
        <v>0.31</v>
      </c>
      <c r="CC4633">
        <v>1.85</v>
      </c>
      <c r="CD4633">
        <v>-1.65</v>
      </c>
      <c r="CE4633">
        <v>0.87</v>
      </c>
      <c r="CF4633">
        <v>-0.12</v>
      </c>
      <c r="CG4633">
        <v>0</v>
      </c>
      <c r="CH4633">
        <v>0.52</v>
      </c>
      <c r="CI4633">
        <v>0</v>
      </c>
      <c r="CJ4633">
        <v>-2.6</v>
      </c>
      <c r="CK4633">
        <v>52</v>
      </c>
      <c r="CL4633">
        <v>-1.1399999999999999</v>
      </c>
      <c r="CM4633">
        <v>48</v>
      </c>
      <c r="CN4633">
        <v>-0.49</v>
      </c>
      <c r="CO4633">
        <v>44</v>
      </c>
      <c r="CP4633">
        <v>-8.1</v>
      </c>
      <c r="CQ4633">
        <v>56</v>
      </c>
      <c r="CR4633">
        <v>0</v>
      </c>
      <c r="CS4633">
        <v>0</v>
      </c>
      <c r="CT4633">
        <v>-4.7</v>
      </c>
      <c r="CU4633">
        <v>51</v>
      </c>
      <c r="CV4633">
        <v>0.3</v>
      </c>
      <c r="CW4633">
        <v>13</v>
      </c>
      <c r="CX4633" t="s">
        <v>596</v>
      </c>
    </row>
    <row r="4634" spans="1:102" x14ac:dyDescent="0.3">
      <c r="A4634" t="str">
        <f>HYPERLINK("https://webapp.icbf.com/v2/app/bull-search/view/542170308","S552")</f>
        <v>S552</v>
      </c>
      <c r="B4634" t="s">
        <v>4846</v>
      </c>
      <c r="C4634" t="s">
        <v>4847</v>
      </c>
      <c r="D4634" s="1">
        <v>37588</v>
      </c>
      <c r="E4634" t="s">
        <v>92</v>
      </c>
      <c r="F4634">
        <v>100</v>
      </c>
      <c r="G4634" t="s">
        <v>109</v>
      </c>
      <c r="H4634">
        <v>-148.66</v>
      </c>
      <c r="I4634">
        <v>80</v>
      </c>
      <c r="J4634">
        <v>8.64</v>
      </c>
      <c r="K4634">
        <v>94</v>
      </c>
      <c r="L4634">
        <v>-120.62</v>
      </c>
      <c r="M4634">
        <v>88</v>
      </c>
      <c r="N4634">
        <v>-37.26</v>
      </c>
      <c r="O4634">
        <v>58</v>
      </c>
      <c r="P4634">
        <v>-3.14</v>
      </c>
      <c r="Q4634">
        <v>60</v>
      </c>
      <c r="R4634">
        <v>-7.7</v>
      </c>
      <c r="S4634">
        <v>77</v>
      </c>
      <c r="T4634">
        <v>9.83</v>
      </c>
      <c r="U4634">
        <v>52</v>
      </c>
      <c r="V4634">
        <v>1.59</v>
      </c>
      <c r="W4634">
        <v>63</v>
      </c>
      <c r="X4634" t="s">
        <v>110</v>
      </c>
      <c r="Y4634" t="s">
        <v>199</v>
      </c>
      <c r="Z4634" t="s">
        <v>96</v>
      </c>
      <c r="AA4634" t="s">
        <v>4248</v>
      </c>
      <c r="AB4634" t="s">
        <v>4848</v>
      </c>
      <c r="AC4634">
        <v>0</v>
      </c>
      <c r="AD4634">
        <v>0</v>
      </c>
      <c r="AE4634">
        <v>94</v>
      </c>
      <c r="AF4634">
        <v>229.99</v>
      </c>
      <c r="AG4634">
        <v>6.19</v>
      </c>
      <c r="AH4634">
        <v>2.8</v>
      </c>
      <c r="AI4634">
        <v>-0.05</v>
      </c>
      <c r="AJ4634">
        <v>-0.08</v>
      </c>
      <c r="AK4634">
        <v>88</v>
      </c>
      <c r="AL4634">
        <v>0</v>
      </c>
      <c r="AM4634">
        <v>0</v>
      </c>
      <c r="AN4634">
        <v>8.07</v>
      </c>
      <c r="AO4634">
        <v>-1.53</v>
      </c>
      <c r="AP4634">
        <v>17</v>
      </c>
      <c r="AQ4634">
        <v>0</v>
      </c>
      <c r="AR4634">
        <v>12.58</v>
      </c>
      <c r="AS4634">
        <v>57</v>
      </c>
      <c r="AT4634">
        <v>5.26</v>
      </c>
      <c r="AU4634">
        <v>90</v>
      </c>
      <c r="AV4634">
        <v>-0.32</v>
      </c>
      <c r="AW4634">
        <v>46</v>
      </c>
      <c r="AX4634">
        <v>-0.33</v>
      </c>
      <c r="AY4634">
        <v>51</v>
      </c>
      <c r="AZ4634">
        <v>6.65</v>
      </c>
      <c r="BA4634">
        <v>49</v>
      </c>
      <c r="BB4634">
        <v>5</v>
      </c>
      <c r="BC4634">
        <v>48</v>
      </c>
      <c r="BD4634">
        <v>-0.03</v>
      </c>
      <c r="BE4634">
        <v>0.03</v>
      </c>
      <c r="BF4634">
        <v>0.17</v>
      </c>
      <c r="BG4634">
        <v>93</v>
      </c>
      <c r="BH4634">
        <v>0.02</v>
      </c>
      <c r="BI4634">
        <v>-2.8</v>
      </c>
      <c r="BJ4634">
        <v>0</v>
      </c>
      <c r="BK4634">
        <v>0</v>
      </c>
      <c r="BL4634">
        <v>0.96</v>
      </c>
      <c r="BM4634">
        <v>0.1</v>
      </c>
      <c r="BN4634">
        <v>1.36</v>
      </c>
      <c r="BO4634">
        <v>1.3</v>
      </c>
      <c r="BP4634">
        <v>1.1399999999999999</v>
      </c>
      <c r="BQ4634">
        <v>1.88</v>
      </c>
      <c r="BR4634">
        <v>-0.44</v>
      </c>
      <c r="BS4634">
        <v>2.16</v>
      </c>
      <c r="BT4634">
        <v>2</v>
      </c>
      <c r="BU4634">
        <v>1.98</v>
      </c>
      <c r="BV4634">
        <v>0.85</v>
      </c>
      <c r="BW4634">
        <v>1.05</v>
      </c>
      <c r="BX4634">
        <v>1</v>
      </c>
      <c r="BY4634">
        <v>2.2400000000000002</v>
      </c>
      <c r="BZ4634">
        <v>-1.63</v>
      </c>
      <c r="CA4634">
        <v>2.4700000000000002</v>
      </c>
      <c r="CB4634">
        <v>1.8</v>
      </c>
      <c r="CC4634">
        <v>1.97</v>
      </c>
      <c r="CD4634">
        <v>-0.68</v>
      </c>
      <c r="CE4634">
        <v>0.46</v>
      </c>
      <c r="CF4634">
        <v>0.77</v>
      </c>
      <c r="CG4634">
        <v>0</v>
      </c>
      <c r="CH4634">
        <v>2.21</v>
      </c>
      <c r="CI4634">
        <v>0</v>
      </c>
      <c r="CJ4634">
        <v>-0.6</v>
      </c>
      <c r="CK4634">
        <v>61</v>
      </c>
      <c r="CL4634">
        <v>-0.81</v>
      </c>
      <c r="CM4634">
        <v>58</v>
      </c>
      <c r="CN4634">
        <v>-0.45</v>
      </c>
      <c r="CO4634">
        <v>56</v>
      </c>
      <c r="CP4634">
        <v>5.2</v>
      </c>
      <c r="CQ4634">
        <v>59</v>
      </c>
      <c r="CR4634">
        <v>0</v>
      </c>
      <c r="CS4634">
        <v>0</v>
      </c>
      <c r="CT4634">
        <v>0.5</v>
      </c>
      <c r="CU4634">
        <v>52</v>
      </c>
      <c r="CV4634">
        <v>0.13</v>
      </c>
      <c r="CW4634">
        <v>37</v>
      </c>
      <c r="CX4634" t="s">
        <v>1278</v>
      </c>
    </row>
    <row r="4635" spans="1:102" x14ac:dyDescent="0.3">
      <c r="A4635" t="str">
        <f>HYPERLINK("https://webapp.icbf.com/v2/app/bull-search/view/77856889","HHC")</f>
        <v>HHC</v>
      </c>
      <c r="B4635" t="s">
        <v>6592</v>
      </c>
      <c r="C4635" t="s">
        <v>6593</v>
      </c>
      <c r="D4635" s="1">
        <v>31620</v>
      </c>
      <c r="E4635" t="s">
        <v>92</v>
      </c>
      <c r="F4635">
        <v>100</v>
      </c>
      <c r="G4635" t="s">
        <v>93</v>
      </c>
      <c r="H4635">
        <v>-148.66</v>
      </c>
      <c r="I4635">
        <v>78</v>
      </c>
      <c r="J4635">
        <v>-73.22</v>
      </c>
      <c r="K4635">
        <v>93</v>
      </c>
      <c r="L4635">
        <v>-31.16</v>
      </c>
      <c r="M4635">
        <v>72</v>
      </c>
      <c r="N4635">
        <v>-30.92</v>
      </c>
      <c r="O4635">
        <v>66</v>
      </c>
      <c r="P4635">
        <v>5.1100000000000003</v>
      </c>
      <c r="Q4635">
        <v>78</v>
      </c>
      <c r="R4635">
        <v>-2.97</v>
      </c>
      <c r="S4635">
        <v>73</v>
      </c>
      <c r="T4635">
        <v>-12.74</v>
      </c>
      <c r="U4635">
        <v>75</v>
      </c>
      <c r="V4635">
        <v>-2.76</v>
      </c>
      <c r="W4635">
        <v>35</v>
      </c>
      <c r="X4635" t="s">
        <v>110</v>
      </c>
      <c r="Y4635" t="s">
        <v>95</v>
      </c>
      <c r="Z4635" t="s">
        <v>96</v>
      </c>
      <c r="AA4635" t="s">
        <v>154</v>
      </c>
      <c r="AB4635" t="s">
        <v>6594</v>
      </c>
      <c r="AC4635">
        <v>85</v>
      </c>
      <c r="AD4635">
        <v>63</v>
      </c>
      <c r="AE4635">
        <v>93</v>
      </c>
      <c r="AF4635">
        <v>-273.58</v>
      </c>
      <c r="AG4635">
        <v>-13.26</v>
      </c>
      <c r="AH4635">
        <v>-11.95</v>
      </c>
      <c r="AI4635">
        <v>-0.04</v>
      </c>
      <c r="AJ4635">
        <v>-0.04</v>
      </c>
      <c r="AK4635">
        <v>72</v>
      </c>
      <c r="AL4635">
        <v>163</v>
      </c>
      <c r="AM4635">
        <v>101</v>
      </c>
      <c r="AN4635">
        <v>0.55000000000000004</v>
      </c>
      <c r="AO4635">
        <v>-1.95</v>
      </c>
      <c r="AP4635">
        <v>3</v>
      </c>
      <c r="AQ4635">
        <v>1</v>
      </c>
      <c r="AR4635">
        <v>9.32</v>
      </c>
      <c r="AS4635">
        <v>41</v>
      </c>
      <c r="AT4635">
        <v>4.41</v>
      </c>
      <c r="AU4635">
        <v>86</v>
      </c>
      <c r="AV4635">
        <v>1.39</v>
      </c>
      <c r="AW4635">
        <v>60</v>
      </c>
      <c r="AX4635">
        <v>-0.26</v>
      </c>
      <c r="AY4635">
        <v>81</v>
      </c>
      <c r="AZ4635">
        <v>6.78</v>
      </c>
      <c r="BA4635">
        <v>42</v>
      </c>
      <c r="BB4635">
        <v>5.41</v>
      </c>
      <c r="BC4635">
        <v>55</v>
      </c>
      <c r="BD4635">
        <v>0.02</v>
      </c>
      <c r="BE4635">
        <v>0.05</v>
      </c>
      <c r="BF4635">
        <v>-0.06</v>
      </c>
      <c r="BG4635">
        <v>91</v>
      </c>
      <c r="BH4635">
        <v>-0.01</v>
      </c>
      <c r="BI4635">
        <v>7.75</v>
      </c>
      <c r="BJ4635">
        <v>28</v>
      </c>
      <c r="BK4635">
        <v>15</v>
      </c>
      <c r="BL4635">
        <v>1.03</v>
      </c>
      <c r="BM4635">
        <v>0.56000000000000005</v>
      </c>
      <c r="BN4635">
        <v>0.45</v>
      </c>
      <c r="BO4635">
        <v>-0.38</v>
      </c>
      <c r="BP4635">
        <v>-1.02</v>
      </c>
      <c r="BQ4635">
        <v>-0.06</v>
      </c>
      <c r="BR4635">
        <v>-0.08</v>
      </c>
      <c r="BS4635">
        <v>0.06</v>
      </c>
      <c r="BT4635">
        <v>0.59</v>
      </c>
      <c r="BU4635">
        <v>0.37</v>
      </c>
      <c r="BV4635">
        <v>-0.13</v>
      </c>
      <c r="BW4635">
        <v>0.8</v>
      </c>
      <c r="BX4635">
        <v>1.21</v>
      </c>
      <c r="BY4635">
        <v>-1.07</v>
      </c>
      <c r="BZ4635">
        <v>3.4</v>
      </c>
      <c r="CA4635">
        <v>0.09</v>
      </c>
      <c r="CB4635">
        <v>-0.32</v>
      </c>
      <c r="CC4635">
        <v>0.71</v>
      </c>
      <c r="CD4635">
        <v>1.03</v>
      </c>
      <c r="CE4635">
        <v>-0.24</v>
      </c>
      <c r="CF4635">
        <v>0.88</v>
      </c>
      <c r="CG4635">
        <v>0</v>
      </c>
      <c r="CH4635">
        <v>-0.59</v>
      </c>
      <c r="CI4635">
        <v>0</v>
      </c>
      <c r="CJ4635">
        <v>1.4</v>
      </c>
      <c r="CK4635">
        <v>79</v>
      </c>
      <c r="CL4635">
        <v>-0.47</v>
      </c>
      <c r="CM4635">
        <v>77</v>
      </c>
      <c r="CN4635">
        <v>-0.52</v>
      </c>
      <c r="CO4635">
        <v>73</v>
      </c>
      <c r="CP4635">
        <v>12.9</v>
      </c>
      <c r="CQ4635">
        <v>85</v>
      </c>
      <c r="CR4635">
        <v>0</v>
      </c>
      <c r="CS4635">
        <v>0</v>
      </c>
      <c r="CT4635">
        <v>31</v>
      </c>
      <c r="CU4635">
        <v>75</v>
      </c>
      <c r="CV4635">
        <v>0.06</v>
      </c>
      <c r="CW4635">
        <v>22</v>
      </c>
      <c r="CX4635" t="s">
        <v>2792</v>
      </c>
    </row>
    <row r="4636" spans="1:102" x14ac:dyDescent="0.3">
      <c r="A4636" t="str">
        <f>HYPERLINK("https://webapp.icbf.com/v2/app/bull-search/view/360652997","S363")</f>
        <v>S363</v>
      </c>
      <c r="B4636" t="s">
        <v>14473</v>
      </c>
      <c r="C4636" t="s">
        <v>14474</v>
      </c>
      <c r="D4636" s="1">
        <v>36091</v>
      </c>
      <c r="E4636" t="s">
        <v>92</v>
      </c>
      <c r="F4636">
        <v>100</v>
      </c>
      <c r="G4636" t="s">
        <v>109</v>
      </c>
      <c r="H4636">
        <v>-148.69999999999999</v>
      </c>
      <c r="I4636">
        <v>69</v>
      </c>
      <c r="J4636">
        <v>-16.670000000000002</v>
      </c>
      <c r="K4636">
        <v>81</v>
      </c>
      <c r="L4636">
        <v>-99.6</v>
      </c>
      <c r="M4636">
        <v>80</v>
      </c>
      <c r="N4636">
        <v>-13.02</v>
      </c>
      <c r="O4636">
        <v>54</v>
      </c>
      <c r="P4636">
        <v>-15.77</v>
      </c>
      <c r="Q4636">
        <v>51</v>
      </c>
      <c r="R4636">
        <v>-5.52</v>
      </c>
      <c r="S4636">
        <v>60</v>
      </c>
      <c r="T4636">
        <v>3.98</v>
      </c>
      <c r="U4636">
        <v>41</v>
      </c>
      <c r="V4636">
        <v>-2.1</v>
      </c>
      <c r="W4636">
        <v>23</v>
      </c>
      <c r="X4636" t="s">
        <v>110</v>
      </c>
      <c r="Y4636" t="s">
        <v>95</v>
      </c>
      <c r="Z4636" t="s">
        <v>96</v>
      </c>
      <c r="AA4636" t="s">
        <v>3043</v>
      </c>
      <c r="AB4636" t="s">
        <v>14475</v>
      </c>
      <c r="AC4636">
        <v>0</v>
      </c>
      <c r="AD4636">
        <v>0</v>
      </c>
      <c r="AE4636">
        <v>81</v>
      </c>
      <c r="AF4636">
        <v>305.77999999999997</v>
      </c>
      <c r="AG4636">
        <v>1.0900000000000001</v>
      </c>
      <c r="AH4636">
        <v>1.46</v>
      </c>
      <c r="AI4636">
        <v>-0.17</v>
      </c>
      <c r="AJ4636">
        <v>-0.14000000000000001</v>
      </c>
      <c r="AK4636">
        <v>80</v>
      </c>
      <c r="AL4636">
        <v>0</v>
      </c>
      <c r="AM4636">
        <v>0</v>
      </c>
      <c r="AN4636">
        <v>5.63</v>
      </c>
      <c r="AO4636">
        <v>-2.31</v>
      </c>
      <c r="AP4636">
        <v>4</v>
      </c>
      <c r="AQ4636">
        <v>0</v>
      </c>
      <c r="AR4636">
        <v>9.19</v>
      </c>
      <c r="AS4636">
        <v>32</v>
      </c>
      <c r="AT4636">
        <v>4.5199999999999996</v>
      </c>
      <c r="AU4636">
        <v>88</v>
      </c>
      <c r="AV4636">
        <v>-0.57999999999999996</v>
      </c>
      <c r="AW4636">
        <v>51</v>
      </c>
      <c r="AX4636">
        <v>-0.47</v>
      </c>
      <c r="AY4636">
        <v>43</v>
      </c>
      <c r="AZ4636">
        <v>6.01</v>
      </c>
      <c r="BA4636">
        <v>30</v>
      </c>
      <c r="BB4636">
        <v>5.17</v>
      </c>
      <c r="BC4636">
        <v>28</v>
      </c>
      <c r="BD4636">
        <v>0.03</v>
      </c>
      <c r="BE4636">
        <v>0.03</v>
      </c>
      <c r="BF4636">
        <v>0.02</v>
      </c>
      <c r="BG4636">
        <v>86</v>
      </c>
      <c r="BH4636">
        <v>-0.11</v>
      </c>
      <c r="BI4636">
        <v>-5.95</v>
      </c>
      <c r="BJ4636">
        <v>3</v>
      </c>
      <c r="BK4636">
        <v>3</v>
      </c>
      <c r="BL4636">
        <v>0.65</v>
      </c>
      <c r="BM4636">
        <v>0.54</v>
      </c>
      <c r="BN4636">
        <v>1.18</v>
      </c>
      <c r="BO4636">
        <v>1.02</v>
      </c>
      <c r="BP4636">
        <v>-0.06</v>
      </c>
      <c r="BQ4636">
        <v>0.37</v>
      </c>
      <c r="BR4636">
        <v>-1.1399999999999999</v>
      </c>
      <c r="BS4636">
        <v>0.35</v>
      </c>
      <c r="BT4636">
        <v>1.02</v>
      </c>
      <c r="BU4636">
        <v>0.59</v>
      </c>
      <c r="BV4636">
        <v>2.1800000000000002</v>
      </c>
      <c r="BW4636">
        <v>1.18</v>
      </c>
      <c r="BX4636">
        <v>0.16</v>
      </c>
      <c r="BY4636">
        <v>0.83</v>
      </c>
      <c r="BZ4636">
        <v>0.09</v>
      </c>
      <c r="CA4636">
        <v>1.53</v>
      </c>
      <c r="CB4636">
        <v>1.25</v>
      </c>
      <c r="CC4636">
        <v>1.55</v>
      </c>
      <c r="CD4636">
        <v>-0.42</v>
      </c>
      <c r="CE4636">
        <v>1.06</v>
      </c>
      <c r="CF4636">
        <v>2.09</v>
      </c>
      <c r="CG4636">
        <v>0</v>
      </c>
      <c r="CH4636">
        <v>0.25</v>
      </c>
      <c r="CI4636">
        <v>0</v>
      </c>
      <c r="CJ4636">
        <v>-7</v>
      </c>
      <c r="CK4636">
        <v>52</v>
      </c>
      <c r="CL4636">
        <v>-1.35</v>
      </c>
      <c r="CM4636">
        <v>50</v>
      </c>
      <c r="CN4636">
        <v>-0.7</v>
      </c>
      <c r="CO4636">
        <v>49</v>
      </c>
      <c r="CP4636">
        <v>-2.5</v>
      </c>
      <c r="CQ4636">
        <v>48</v>
      </c>
      <c r="CR4636">
        <v>0</v>
      </c>
      <c r="CS4636">
        <v>0</v>
      </c>
      <c r="CT4636">
        <v>8.4</v>
      </c>
      <c r="CU4636">
        <v>41</v>
      </c>
      <c r="CV4636">
        <v>0.28999999999999998</v>
      </c>
      <c r="CW4636">
        <v>15</v>
      </c>
      <c r="CX4636" t="s">
        <v>989</v>
      </c>
    </row>
    <row r="4637" spans="1:102" x14ac:dyDescent="0.3">
      <c r="A4637" t="str">
        <f>HYPERLINK("https://webapp.icbf.com/v2/app/bull-search/view/77856541","HRA")</f>
        <v>HRA</v>
      </c>
      <c r="B4637" t="s">
        <v>15417</v>
      </c>
      <c r="C4637" t="s">
        <v>15418</v>
      </c>
      <c r="D4637" s="1">
        <v>33956</v>
      </c>
      <c r="E4637" t="s">
        <v>92</v>
      </c>
      <c r="F4637">
        <v>100</v>
      </c>
      <c r="G4637" t="s">
        <v>93</v>
      </c>
      <c r="H4637">
        <v>-148.69999999999999</v>
      </c>
      <c r="I4637">
        <v>60</v>
      </c>
      <c r="J4637">
        <v>27.06</v>
      </c>
      <c r="K4637">
        <v>84</v>
      </c>
      <c r="L4637">
        <v>-128.55000000000001</v>
      </c>
      <c r="M4637">
        <v>51</v>
      </c>
      <c r="N4637">
        <v>-35.96</v>
      </c>
      <c r="O4637">
        <v>39</v>
      </c>
      <c r="P4637">
        <v>-10.050000000000001</v>
      </c>
      <c r="Q4637">
        <v>58</v>
      </c>
      <c r="R4637">
        <v>-10.32</v>
      </c>
      <c r="S4637">
        <v>56</v>
      </c>
      <c r="T4637">
        <v>10.64</v>
      </c>
      <c r="U4637">
        <v>51</v>
      </c>
      <c r="V4637">
        <v>-1.52</v>
      </c>
      <c r="W4637">
        <v>23</v>
      </c>
      <c r="X4637" t="s">
        <v>94</v>
      </c>
      <c r="Y4637" t="s">
        <v>95</v>
      </c>
      <c r="Z4637" t="s">
        <v>96</v>
      </c>
      <c r="AA4637" t="s">
        <v>937</v>
      </c>
      <c r="AB4637" t="s">
        <v>15419</v>
      </c>
      <c r="AC4637">
        <v>31</v>
      </c>
      <c r="AD4637">
        <v>26</v>
      </c>
      <c r="AE4637">
        <v>84</v>
      </c>
      <c r="AF4637">
        <v>94.64</v>
      </c>
      <c r="AG4637">
        <v>8.17</v>
      </c>
      <c r="AH4637">
        <v>3.16</v>
      </c>
      <c r="AI4637">
        <v>7.0000000000000007E-2</v>
      </c>
      <c r="AJ4637">
        <v>0</v>
      </c>
      <c r="AK4637">
        <v>51</v>
      </c>
      <c r="AL4637">
        <v>41</v>
      </c>
      <c r="AM4637">
        <v>31</v>
      </c>
      <c r="AN4637">
        <v>7.11</v>
      </c>
      <c r="AO4637">
        <v>-3.14</v>
      </c>
      <c r="AP4637">
        <v>1</v>
      </c>
      <c r="AQ4637">
        <v>0</v>
      </c>
      <c r="AR4637">
        <v>10.7</v>
      </c>
      <c r="AS4637">
        <v>23</v>
      </c>
      <c r="AT4637">
        <v>4.79</v>
      </c>
      <c r="AU4637">
        <v>37</v>
      </c>
      <c r="AV4637">
        <v>0.48</v>
      </c>
      <c r="AW4637">
        <v>43</v>
      </c>
      <c r="AX4637">
        <v>0.64</v>
      </c>
      <c r="AY4637">
        <v>48</v>
      </c>
      <c r="AZ4637">
        <v>7.51</v>
      </c>
      <c r="BA4637">
        <v>24</v>
      </c>
      <c r="BB4637">
        <v>5.33</v>
      </c>
      <c r="BC4637">
        <v>34</v>
      </c>
      <c r="BD4637">
        <v>0.05</v>
      </c>
      <c r="BE4637">
        <v>0.06</v>
      </c>
      <c r="BF4637">
        <v>0.04</v>
      </c>
      <c r="BG4637">
        <v>73</v>
      </c>
      <c r="BH4637">
        <v>-0.03</v>
      </c>
      <c r="BI4637">
        <v>1.44</v>
      </c>
      <c r="BJ4637">
        <v>12</v>
      </c>
      <c r="BK4637">
        <v>11</v>
      </c>
      <c r="BL4637">
        <v>0.78</v>
      </c>
      <c r="BM4637">
        <v>-0.38</v>
      </c>
      <c r="BN4637">
        <v>0.62</v>
      </c>
      <c r="BO4637">
        <v>0.44</v>
      </c>
      <c r="BP4637">
        <v>0.67</v>
      </c>
      <c r="BQ4637">
        <v>-0.56999999999999995</v>
      </c>
      <c r="BR4637">
        <v>0.9</v>
      </c>
      <c r="BS4637">
        <v>-0.26</v>
      </c>
      <c r="BT4637">
        <v>0.08</v>
      </c>
      <c r="BU4637">
        <v>0.71</v>
      </c>
      <c r="BV4637">
        <v>0.49</v>
      </c>
      <c r="BW4637">
        <v>0.28999999999999998</v>
      </c>
      <c r="BX4637">
        <v>-0.22</v>
      </c>
      <c r="BY4637">
        <v>-0.56999999999999995</v>
      </c>
      <c r="BZ4637">
        <v>-0.5</v>
      </c>
      <c r="CA4637">
        <v>-0.05</v>
      </c>
      <c r="CB4637">
        <v>0.28999999999999998</v>
      </c>
      <c r="CC4637">
        <v>-0.71</v>
      </c>
      <c r="CD4637">
        <v>-0.23</v>
      </c>
      <c r="CE4637">
        <v>0.38</v>
      </c>
      <c r="CF4637">
        <v>0.45</v>
      </c>
      <c r="CG4637">
        <v>0</v>
      </c>
      <c r="CH4637">
        <v>0.4</v>
      </c>
      <c r="CI4637">
        <v>0</v>
      </c>
      <c r="CJ4637">
        <v>-3.8</v>
      </c>
      <c r="CK4637">
        <v>60</v>
      </c>
      <c r="CL4637">
        <v>-0.69</v>
      </c>
      <c r="CM4637">
        <v>56</v>
      </c>
      <c r="CN4637">
        <v>-0.23</v>
      </c>
      <c r="CO4637">
        <v>52</v>
      </c>
      <c r="CP4637">
        <v>-2.5</v>
      </c>
      <c r="CQ4637">
        <v>60</v>
      </c>
      <c r="CR4637">
        <v>0</v>
      </c>
      <c r="CS4637">
        <v>0</v>
      </c>
      <c r="CT4637">
        <v>-0.6</v>
      </c>
      <c r="CU4637">
        <v>51</v>
      </c>
      <c r="CV4637">
        <v>0.1</v>
      </c>
      <c r="CW4637">
        <v>16</v>
      </c>
      <c r="CX4637" t="s">
        <v>111</v>
      </c>
    </row>
    <row r="4638" spans="1:102" x14ac:dyDescent="0.3">
      <c r="A4638" t="str">
        <f>HYPERLINK("https://webapp.icbf.com/v2/app/bull-search/view/124414649","EIG")</f>
        <v>EIG</v>
      </c>
      <c r="B4638" t="s">
        <v>12503</v>
      </c>
      <c r="C4638" t="s">
        <v>12504</v>
      </c>
      <c r="D4638" s="1">
        <v>34538</v>
      </c>
      <c r="E4638" t="s">
        <v>92</v>
      </c>
      <c r="F4638">
        <v>100</v>
      </c>
      <c r="G4638" t="s">
        <v>93</v>
      </c>
      <c r="H4638">
        <v>-149.19</v>
      </c>
      <c r="I4638">
        <v>89</v>
      </c>
      <c r="J4638">
        <v>10.28</v>
      </c>
      <c r="K4638">
        <v>97</v>
      </c>
      <c r="L4638">
        <v>-157.94999999999999</v>
      </c>
      <c r="M4638">
        <v>89</v>
      </c>
      <c r="N4638">
        <v>13.56</v>
      </c>
      <c r="O4638">
        <v>82</v>
      </c>
      <c r="P4638">
        <v>-0.83</v>
      </c>
      <c r="Q4638">
        <v>92</v>
      </c>
      <c r="R4638">
        <v>-23.82</v>
      </c>
      <c r="S4638">
        <v>75</v>
      </c>
      <c r="T4638">
        <v>9.31</v>
      </c>
      <c r="U4638">
        <v>89</v>
      </c>
      <c r="V4638">
        <v>0.26</v>
      </c>
      <c r="W4638">
        <v>55</v>
      </c>
      <c r="X4638" t="s">
        <v>7125</v>
      </c>
      <c r="Y4638" t="s">
        <v>95</v>
      </c>
      <c r="Z4638" t="s">
        <v>96</v>
      </c>
      <c r="AA4638" t="s">
        <v>7042</v>
      </c>
      <c r="AB4638" t="s">
        <v>12505</v>
      </c>
      <c r="AC4638">
        <v>130</v>
      </c>
      <c r="AD4638">
        <v>53</v>
      </c>
      <c r="AE4638">
        <v>97</v>
      </c>
      <c r="AF4638">
        <v>69.08</v>
      </c>
      <c r="AG4638">
        <v>5.33</v>
      </c>
      <c r="AH4638">
        <v>0.92</v>
      </c>
      <c r="AI4638">
        <v>0.04</v>
      </c>
      <c r="AJ4638">
        <v>-0.02</v>
      </c>
      <c r="AK4638">
        <v>89</v>
      </c>
      <c r="AL4638">
        <v>127</v>
      </c>
      <c r="AM4638">
        <v>50</v>
      </c>
      <c r="AN4638">
        <v>6.74</v>
      </c>
      <c r="AO4638">
        <v>-5.88</v>
      </c>
      <c r="AP4638">
        <v>205</v>
      </c>
      <c r="AQ4638">
        <v>0</v>
      </c>
      <c r="AR4638">
        <v>7.11</v>
      </c>
      <c r="AS4638">
        <v>82</v>
      </c>
      <c r="AT4638">
        <v>3.34</v>
      </c>
      <c r="AU4638">
        <v>81</v>
      </c>
      <c r="AV4638">
        <v>-1.5</v>
      </c>
      <c r="AW4638">
        <v>92</v>
      </c>
      <c r="AX4638">
        <v>0.02</v>
      </c>
      <c r="AY4638">
        <v>83</v>
      </c>
      <c r="AZ4638">
        <v>5.85</v>
      </c>
      <c r="BA4638">
        <v>65</v>
      </c>
      <c r="BB4638">
        <v>4.7</v>
      </c>
      <c r="BC4638">
        <v>60</v>
      </c>
      <c r="BD4638">
        <v>7.0000000000000007E-2</v>
      </c>
      <c r="BE4638">
        <v>0.09</v>
      </c>
      <c r="BF4638">
        <v>0.26</v>
      </c>
      <c r="BG4638">
        <v>89</v>
      </c>
      <c r="BH4638">
        <v>0.01</v>
      </c>
      <c r="BI4638">
        <v>0.33</v>
      </c>
      <c r="BJ4638">
        <v>22</v>
      </c>
      <c r="BK4638">
        <v>11</v>
      </c>
      <c r="BL4638">
        <v>0.99</v>
      </c>
      <c r="BM4638">
        <v>-1.22</v>
      </c>
      <c r="BN4638">
        <v>1.46</v>
      </c>
      <c r="BO4638">
        <v>1.62</v>
      </c>
      <c r="BP4638">
        <v>2.59</v>
      </c>
      <c r="BQ4638">
        <v>0.06</v>
      </c>
      <c r="BR4638">
        <v>1.1000000000000001</v>
      </c>
      <c r="BS4638">
        <v>-0.3</v>
      </c>
      <c r="BT4638">
        <v>-1.21</v>
      </c>
      <c r="BU4638">
        <v>1.23</v>
      </c>
      <c r="BV4638">
        <v>0.71</v>
      </c>
      <c r="BW4638">
        <v>7.0000000000000007E-2</v>
      </c>
      <c r="BX4638">
        <v>0.54</v>
      </c>
      <c r="BY4638">
        <v>0.83</v>
      </c>
      <c r="BZ4638">
        <v>0.75</v>
      </c>
      <c r="CA4638">
        <v>0.85</v>
      </c>
      <c r="CB4638">
        <v>1.35</v>
      </c>
      <c r="CC4638">
        <v>-0.24</v>
      </c>
      <c r="CD4638">
        <v>-1.57</v>
      </c>
      <c r="CE4638">
        <v>0.97</v>
      </c>
      <c r="CF4638">
        <v>0.74</v>
      </c>
      <c r="CG4638">
        <v>0</v>
      </c>
      <c r="CH4638">
        <v>0.66</v>
      </c>
      <c r="CI4638">
        <v>0</v>
      </c>
      <c r="CJ4638">
        <v>2.8</v>
      </c>
      <c r="CK4638">
        <v>93</v>
      </c>
      <c r="CL4638">
        <v>-0.72</v>
      </c>
      <c r="CM4638">
        <v>91</v>
      </c>
      <c r="CN4638">
        <v>-0.3</v>
      </c>
      <c r="CO4638">
        <v>90</v>
      </c>
      <c r="CP4638">
        <v>-5.2</v>
      </c>
      <c r="CQ4638">
        <v>92</v>
      </c>
      <c r="CR4638">
        <v>0</v>
      </c>
      <c r="CS4638">
        <v>0</v>
      </c>
      <c r="CT4638">
        <v>1.2</v>
      </c>
      <c r="CU4638">
        <v>89</v>
      </c>
      <c r="CV4638">
        <v>0.27</v>
      </c>
      <c r="CW4638">
        <v>27</v>
      </c>
      <c r="CX4638" t="s">
        <v>111</v>
      </c>
    </row>
    <row r="4639" spans="1:102" x14ac:dyDescent="0.3">
      <c r="A4639" t="str">
        <f>HYPERLINK("https://webapp.icbf.com/v2/app/bull-search/view/77856706","ICS")</f>
        <v>ICS</v>
      </c>
      <c r="B4639" t="s">
        <v>1475</v>
      </c>
      <c r="C4639" t="s">
        <v>1476</v>
      </c>
      <c r="D4639" s="1">
        <v>34169</v>
      </c>
      <c r="E4639" t="s">
        <v>92</v>
      </c>
      <c r="F4639">
        <v>100</v>
      </c>
      <c r="G4639" t="s">
        <v>93</v>
      </c>
      <c r="H4639">
        <v>-149.41999999999999</v>
      </c>
      <c r="I4639">
        <v>89</v>
      </c>
      <c r="J4639">
        <v>10.61</v>
      </c>
      <c r="K4639">
        <v>97</v>
      </c>
      <c r="L4639">
        <v>-111.1</v>
      </c>
      <c r="M4639">
        <v>89</v>
      </c>
      <c r="N4639">
        <v>-50.51</v>
      </c>
      <c r="O4639">
        <v>81</v>
      </c>
      <c r="P4639">
        <v>4.25</v>
      </c>
      <c r="Q4639">
        <v>87</v>
      </c>
      <c r="R4639">
        <v>-10.130000000000001</v>
      </c>
      <c r="S4639">
        <v>82</v>
      </c>
      <c r="T4639">
        <v>8.2799999999999994</v>
      </c>
      <c r="U4639">
        <v>83</v>
      </c>
      <c r="V4639">
        <v>-0.82</v>
      </c>
      <c r="W4639">
        <v>70</v>
      </c>
      <c r="X4639" t="s">
        <v>558</v>
      </c>
      <c r="Y4639" t="s">
        <v>95</v>
      </c>
      <c r="Z4639" t="s">
        <v>96</v>
      </c>
      <c r="AA4639" t="s">
        <v>485</v>
      </c>
      <c r="AB4639" t="s">
        <v>1477</v>
      </c>
      <c r="AC4639">
        <v>114</v>
      </c>
      <c r="AD4639">
        <v>69</v>
      </c>
      <c r="AE4639">
        <v>97</v>
      </c>
      <c r="AF4639">
        <v>239.05</v>
      </c>
      <c r="AG4639">
        <v>-0.33</v>
      </c>
      <c r="AH4639">
        <v>5.58</v>
      </c>
      <c r="AI4639">
        <v>-0.16</v>
      </c>
      <c r="AJ4639">
        <v>-0.04</v>
      </c>
      <c r="AK4639">
        <v>89</v>
      </c>
      <c r="AL4639">
        <v>107</v>
      </c>
      <c r="AM4639">
        <v>63</v>
      </c>
      <c r="AN4639">
        <v>6.06</v>
      </c>
      <c r="AO4639">
        <v>-2.8</v>
      </c>
      <c r="AP4639">
        <v>21</v>
      </c>
      <c r="AQ4639">
        <v>1</v>
      </c>
      <c r="AR4639">
        <v>12.21</v>
      </c>
      <c r="AS4639">
        <v>74</v>
      </c>
      <c r="AT4639">
        <v>5.84</v>
      </c>
      <c r="AU4639">
        <v>93</v>
      </c>
      <c r="AV4639">
        <v>-0.1</v>
      </c>
      <c r="AW4639">
        <v>80</v>
      </c>
      <c r="AX4639">
        <v>0.46</v>
      </c>
      <c r="AY4639">
        <v>81</v>
      </c>
      <c r="AZ4639">
        <v>7.15</v>
      </c>
      <c r="BA4639">
        <v>68</v>
      </c>
      <c r="BB4639">
        <v>5.4</v>
      </c>
      <c r="BC4639">
        <v>71</v>
      </c>
      <c r="BD4639">
        <v>0.06</v>
      </c>
      <c r="BE4639">
        <v>7.0000000000000007E-2</v>
      </c>
      <c r="BF4639">
        <v>0</v>
      </c>
      <c r="BG4639">
        <v>94</v>
      </c>
      <c r="BH4639">
        <v>0.02</v>
      </c>
      <c r="BI4639">
        <v>4.97</v>
      </c>
      <c r="BJ4639">
        <v>10</v>
      </c>
      <c r="BK4639">
        <v>9</v>
      </c>
      <c r="BL4639">
        <v>0.41</v>
      </c>
      <c r="BM4639">
        <v>1.46</v>
      </c>
      <c r="BN4639">
        <v>0.5</v>
      </c>
      <c r="BO4639">
        <v>0.4</v>
      </c>
      <c r="BP4639">
        <v>2.15</v>
      </c>
      <c r="BQ4639">
        <v>0.28999999999999998</v>
      </c>
      <c r="BR4639">
        <v>1.43</v>
      </c>
      <c r="BS4639">
        <v>-0.21</v>
      </c>
      <c r="BT4639">
        <v>0.01</v>
      </c>
      <c r="BU4639">
        <v>-0.2</v>
      </c>
      <c r="BV4639">
        <v>0.51</v>
      </c>
      <c r="BW4639">
        <v>0.09</v>
      </c>
      <c r="BX4639">
        <v>-0.63</v>
      </c>
      <c r="BY4639">
        <v>1.01</v>
      </c>
      <c r="BZ4639">
        <v>-2.67</v>
      </c>
      <c r="CA4639">
        <v>0.32</v>
      </c>
      <c r="CB4639">
        <v>0.46</v>
      </c>
      <c r="CC4639">
        <v>-0.16</v>
      </c>
      <c r="CD4639">
        <v>0.98</v>
      </c>
      <c r="CE4639">
        <v>0.01</v>
      </c>
      <c r="CF4639">
        <v>0.27</v>
      </c>
      <c r="CG4639">
        <v>0</v>
      </c>
      <c r="CH4639">
        <v>1.41</v>
      </c>
      <c r="CI4639">
        <v>0</v>
      </c>
      <c r="CJ4639">
        <v>4.5999999999999996</v>
      </c>
      <c r="CK4639">
        <v>88</v>
      </c>
      <c r="CL4639">
        <v>-0.52</v>
      </c>
      <c r="CM4639">
        <v>86</v>
      </c>
      <c r="CN4639">
        <v>-0.28000000000000003</v>
      </c>
      <c r="CO4639">
        <v>84</v>
      </c>
      <c r="CP4639">
        <v>-0.1</v>
      </c>
      <c r="CQ4639">
        <v>91</v>
      </c>
      <c r="CR4639">
        <v>0</v>
      </c>
      <c r="CS4639">
        <v>0</v>
      </c>
      <c r="CT4639">
        <v>2.6</v>
      </c>
      <c r="CU4639">
        <v>83</v>
      </c>
      <c r="CV4639">
        <v>0.12</v>
      </c>
      <c r="CW4639">
        <v>44</v>
      </c>
      <c r="CX4639" t="s">
        <v>166</v>
      </c>
    </row>
    <row r="4640" spans="1:102" x14ac:dyDescent="0.3">
      <c r="A4640" t="str">
        <f>HYPERLINK("https://webapp.icbf.com/v2/app/bull-search/view/77858251","EPK")</f>
        <v>EPK</v>
      </c>
      <c r="B4640" t="s">
        <v>2848</v>
      </c>
      <c r="C4640" t="s">
        <v>2849</v>
      </c>
      <c r="D4640" s="1">
        <v>32661</v>
      </c>
      <c r="E4640" t="s">
        <v>92</v>
      </c>
      <c r="F4640">
        <v>100</v>
      </c>
      <c r="G4640" t="s">
        <v>93</v>
      </c>
      <c r="H4640">
        <v>-149.59</v>
      </c>
      <c r="I4640">
        <v>87</v>
      </c>
      <c r="J4640">
        <v>-12.65</v>
      </c>
      <c r="K4640">
        <v>98</v>
      </c>
      <c r="L4640">
        <v>-107.1</v>
      </c>
      <c r="M4640">
        <v>88</v>
      </c>
      <c r="N4640">
        <v>1.9</v>
      </c>
      <c r="O4640">
        <v>76</v>
      </c>
      <c r="P4640">
        <v>0.61</v>
      </c>
      <c r="Q4640">
        <v>83</v>
      </c>
      <c r="R4640">
        <v>-29.5</v>
      </c>
      <c r="S4640">
        <v>80</v>
      </c>
      <c r="T4640">
        <v>-7.78</v>
      </c>
      <c r="U4640">
        <v>75</v>
      </c>
      <c r="V4640">
        <v>4.93</v>
      </c>
      <c r="W4640">
        <v>64</v>
      </c>
      <c r="X4640" t="s">
        <v>94</v>
      </c>
      <c r="Y4640" t="s">
        <v>95</v>
      </c>
      <c r="Z4640" t="s">
        <v>96</v>
      </c>
      <c r="AA4640" t="s">
        <v>2850</v>
      </c>
      <c r="AB4640" t="s">
        <v>2851</v>
      </c>
      <c r="AC4640">
        <v>141</v>
      </c>
      <c r="AD4640">
        <v>68</v>
      </c>
      <c r="AE4640">
        <v>98</v>
      </c>
      <c r="AF4640">
        <v>227.65</v>
      </c>
      <c r="AG4640">
        <v>0.15</v>
      </c>
      <c r="AH4640">
        <v>1.28</v>
      </c>
      <c r="AI4640">
        <v>-0.15</v>
      </c>
      <c r="AJ4640">
        <v>-0.11</v>
      </c>
      <c r="AK4640">
        <v>88</v>
      </c>
      <c r="AL4640">
        <v>161</v>
      </c>
      <c r="AM4640">
        <v>75</v>
      </c>
      <c r="AN4640">
        <v>4.38</v>
      </c>
      <c r="AO4640">
        <v>-4.18</v>
      </c>
      <c r="AP4640">
        <v>5</v>
      </c>
      <c r="AQ4640">
        <v>0</v>
      </c>
      <c r="AR4640">
        <v>8.6</v>
      </c>
      <c r="AS4640">
        <v>57</v>
      </c>
      <c r="AT4640">
        <v>3.62</v>
      </c>
      <c r="AU4640">
        <v>87</v>
      </c>
      <c r="AV4640">
        <v>-1.1399999999999999</v>
      </c>
      <c r="AW4640">
        <v>77</v>
      </c>
      <c r="AX4640">
        <v>0.28999999999999998</v>
      </c>
      <c r="AY4640">
        <v>81</v>
      </c>
      <c r="AZ4640">
        <v>6.21</v>
      </c>
      <c r="BA4640">
        <v>51</v>
      </c>
      <c r="BB4640">
        <v>4.8600000000000003</v>
      </c>
      <c r="BC4640">
        <v>66</v>
      </c>
      <c r="BD4640">
        <v>0.14000000000000001</v>
      </c>
      <c r="BE4640">
        <v>0.15</v>
      </c>
      <c r="BF4640">
        <v>0.16</v>
      </c>
      <c r="BG4640">
        <v>93</v>
      </c>
      <c r="BH4640">
        <v>0.11</v>
      </c>
      <c r="BI4640">
        <v>-3.17</v>
      </c>
      <c r="BJ4640">
        <v>6</v>
      </c>
      <c r="BK4640">
        <v>5</v>
      </c>
      <c r="BL4640">
        <v>0.22</v>
      </c>
      <c r="BM4640">
        <v>3.38</v>
      </c>
      <c r="BN4640">
        <v>1.35</v>
      </c>
      <c r="BO4640">
        <v>-1.1599999999999999</v>
      </c>
      <c r="BP4640">
        <v>-1.18</v>
      </c>
      <c r="BQ4640">
        <v>0.09</v>
      </c>
      <c r="BR4640">
        <v>1.73</v>
      </c>
      <c r="BS4640">
        <v>-2</v>
      </c>
      <c r="BT4640">
        <v>-1.18</v>
      </c>
      <c r="BU4640">
        <v>-1.21</v>
      </c>
      <c r="BV4640">
        <v>-2</v>
      </c>
      <c r="BW4640">
        <v>0.08</v>
      </c>
      <c r="BX4640">
        <v>-1.02</v>
      </c>
      <c r="BY4640">
        <v>-0.85</v>
      </c>
      <c r="BZ4640">
        <v>-1.83</v>
      </c>
      <c r="CA4640">
        <v>-1.85</v>
      </c>
      <c r="CB4640">
        <v>-1.52</v>
      </c>
      <c r="CC4640">
        <v>-1.9</v>
      </c>
      <c r="CD4640">
        <v>1.46</v>
      </c>
      <c r="CE4640">
        <v>-0.77</v>
      </c>
      <c r="CF4640">
        <v>-0.28999999999999998</v>
      </c>
      <c r="CG4640">
        <v>0</v>
      </c>
      <c r="CH4640">
        <v>-0.79</v>
      </c>
      <c r="CI4640">
        <v>0</v>
      </c>
      <c r="CJ4640">
        <v>2</v>
      </c>
      <c r="CK4640">
        <v>84</v>
      </c>
      <c r="CL4640">
        <v>-0.44</v>
      </c>
      <c r="CM4640">
        <v>82</v>
      </c>
      <c r="CN4640">
        <v>-0.14000000000000001</v>
      </c>
      <c r="CO4640">
        <v>79</v>
      </c>
      <c r="CP4640">
        <v>5</v>
      </c>
      <c r="CQ4640">
        <v>90</v>
      </c>
      <c r="CR4640">
        <v>0</v>
      </c>
      <c r="CS4640">
        <v>0</v>
      </c>
      <c r="CT4640">
        <v>24.3</v>
      </c>
      <c r="CU4640">
        <v>75</v>
      </c>
      <c r="CV4640">
        <v>0.09</v>
      </c>
      <c r="CW4640">
        <v>42</v>
      </c>
      <c r="CX4640" t="s">
        <v>128</v>
      </c>
    </row>
    <row r="4641" spans="1:102" x14ac:dyDescent="0.3">
      <c r="A4641" t="str">
        <f>HYPERLINK("https://webapp.icbf.com/v2/app/bull-search/view/120450879","LTU")</f>
        <v>LTU</v>
      </c>
      <c r="B4641" t="s">
        <v>3920</v>
      </c>
      <c r="C4641" t="s">
        <v>3921</v>
      </c>
      <c r="D4641" s="1">
        <v>34765</v>
      </c>
      <c r="E4641" t="s">
        <v>140</v>
      </c>
      <c r="F4641">
        <v>0</v>
      </c>
      <c r="G4641" t="s">
        <v>93</v>
      </c>
      <c r="H4641">
        <v>-149.9</v>
      </c>
      <c r="I4641">
        <v>91</v>
      </c>
      <c r="J4641">
        <v>-38.01</v>
      </c>
      <c r="K4641">
        <v>98</v>
      </c>
      <c r="L4641">
        <v>-36.44</v>
      </c>
      <c r="M4641">
        <v>83</v>
      </c>
      <c r="N4641">
        <v>-67.53</v>
      </c>
      <c r="O4641">
        <v>90</v>
      </c>
      <c r="P4641">
        <v>17.8</v>
      </c>
      <c r="Q4641">
        <v>97</v>
      </c>
      <c r="R4641">
        <v>-2.86</v>
      </c>
      <c r="S4641">
        <v>86</v>
      </c>
      <c r="T4641">
        <v>5.24</v>
      </c>
      <c r="U4641">
        <v>94</v>
      </c>
      <c r="V4641">
        <v>-28.1</v>
      </c>
      <c r="W4641">
        <v>83</v>
      </c>
      <c r="X4641" t="s">
        <v>94</v>
      </c>
      <c r="Y4641" t="s">
        <v>95</v>
      </c>
      <c r="Z4641">
        <v>0</v>
      </c>
      <c r="AA4641" t="s">
        <v>523</v>
      </c>
      <c r="AB4641" t="s">
        <v>3922</v>
      </c>
      <c r="AC4641">
        <v>142</v>
      </c>
      <c r="AD4641">
        <v>85</v>
      </c>
      <c r="AE4641">
        <v>98</v>
      </c>
      <c r="AF4641">
        <v>-167.05</v>
      </c>
      <c r="AG4641">
        <v>-7.1</v>
      </c>
      <c r="AH4641">
        <v>-6.51</v>
      </c>
      <c r="AI4641">
        <v>-0.01</v>
      </c>
      <c r="AJ4641">
        <v>-0.02</v>
      </c>
      <c r="AK4641">
        <v>83</v>
      </c>
      <c r="AL4641">
        <v>199</v>
      </c>
      <c r="AM4641">
        <v>123</v>
      </c>
      <c r="AN4641">
        <v>0.93</v>
      </c>
      <c r="AO4641">
        <v>-1.99</v>
      </c>
      <c r="AP4641">
        <v>292</v>
      </c>
      <c r="AQ4641">
        <v>9</v>
      </c>
      <c r="AR4641">
        <v>13.54</v>
      </c>
      <c r="AS4641">
        <v>81</v>
      </c>
      <c r="AT4641">
        <v>6.17</v>
      </c>
      <c r="AU4641">
        <v>91</v>
      </c>
      <c r="AV4641">
        <v>2.0699999999999998</v>
      </c>
      <c r="AW4641">
        <v>97</v>
      </c>
      <c r="AX4641">
        <v>-0.27</v>
      </c>
      <c r="AY4641">
        <v>91</v>
      </c>
      <c r="AZ4641">
        <v>5.31</v>
      </c>
      <c r="BA4641">
        <v>72</v>
      </c>
      <c r="BB4641">
        <v>4.08</v>
      </c>
      <c r="BC4641">
        <v>78</v>
      </c>
      <c r="BD4641">
        <v>7.0000000000000007E-2</v>
      </c>
      <c r="BE4641">
        <v>0.01</v>
      </c>
      <c r="BF4641">
        <v>-7.0000000000000007E-2</v>
      </c>
      <c r="BG4641">
        <v>92</v>
      </c>
      <c r="BH4641">
        <v>-0.69</v>
      </c>
      <c r="BI4641">
        <v>10.82</v>
      </c>
      <c r="BJ4641">
        <v>2</v>
      </c>
      <c r="BK4641">
        <v>2</v>
      </c>
      <c r="BL4641">
        <v>-1.05</v>
      </c>
      <c r="BM4641">
        <v>2.74</v>
      </c>
      <c r="BN4641">
        <v>-2.16</v>
      </c>
      <c r="BO4641">
        <v>-2.91</v>
      </c>
      <c r="BP4641">
        <v>4.72</v>
      </c>
      <c r="BQ4641">
        <v>-3.08</v>
      </c>
      <c r="BR4641">
        <v>-2.8</v>
      </c>
      <c r="BS4641">
        <v>-0.46</v>
      </c>
      <c r="BT4641">
        <v>2.54</v>
      </c>
      <c r="BU4641">
        <v>-3.27</v>
      </c>
      <c r="BV4641">
        <v>-3.67</v>
      </c>
      <c r="BW4641">
        <v>-2.74</v>
      </c>
      <c r="BX4641">
        <v>-2.58</v>
      </c>
      <c r="BY4641">
        <v>-2.38</v>
      </c>
      <c r="BZ4641">
        <v>0.83</v>
      </c>
      <c r="CA4641">
        <v>-2.31</v>
      </c>
      <c r="CB4641">
        <v>-3.07</v>
      </c>
      <c r="CC4641">
        <v>-0.21</v>
      </c>
      <c r="CD4641">
        <v>3.65</v>
      </c>
      <c r="CE4641">
        <v>-2.71</v>
      </c>
      <c r="CF4641">
        <v>-1.21</v>
      </c>
      <c r="CG4641">
        <v>0</v>
      </c>
      <c r="CH4641">
        <v>-1.79</v>
      </c>
      <c r="CI4641">
        <v>0</v>
      </c>
      <c r="CJ4641">
        <v>8.6999999999999993</v>
      </c>
      <c r="CK4641">
        <v>98</v>
      </c>
      <c r="CL4641">
        <v>0.37</v>
      </c>
      <c r="CM4641">
        <v>97</v>
      </c>
      <c r="CN4641">
        <v>-0.08</v>
      </c>
      <c r="CO4641">
        <v>97</v>
      </c>
      <c r="CP4641">
        <v>6.9</v>
      </c>
      <c r="CQ4641">
        <v>95</v>
      </c>
      <c r="CR4641">
        <v>0</v>
      </c>
      <c r="CS4641">
        <v>0</v>
      </c>
      <c r="CT4641">
        <v>6.7</v>
      </c>
      <c r="CU4641">
        <v>94</v>
      </c>
      <c r="CV4641">
        <v>0.25</v>
      </c>
      <c r="CW4641">
        <v>45</v>
      </c>
      <c r="CX4641" t="s">
        <v>1296</v>
      </c>
    </row>
    <row r="4642" spans="1:102" x14ac:dyDescent="0.3">
      <c r="A4642" t="str">
        <f>HYPERLINK("https://webapp.icbf.com/v2/app/bull-search/view/77853301","UKR")</f>
        <v>UKR</v>
      </c>
      <c r="B4642" t="s">
        <v>10178</v>
      </c>
      <c r="C4642" t="s">
        <v>10179</v>
      </c>
      <c r="D4642" s="1">
        <v>36195</v>
      </c>
      <c r="E4642" t="s">
        <v>92</v>
      </c>
      <c r="F4642">
        <v>100</v>
      </c>
      <c r="G4642" t="s">
        <v>93</v>
      </c>
      <c r="H4642">
        <v>-149.91999999999999</v>
      </c>
      <c r="I4642">
        <v>88</v>
      </c>
      <c r="J4642">
        <v>-55.32</v>
      </c>
      <c r="K4642">
        <v>98</v>
      </c>
      <c r="L4642">
        <v>-96.42</v>
      </c>
      <c r="M4642">
        <v>82</v>
      </c>
      <c r="N4642">
        <v>-6.34</v>
      </c>
      <c r="O4642">
        <v>82</v>
      </c>
      <c r="P4642">
        <v>-12.73</v>
      </c>
      <c r="Q4642">
        <v>89</v>
      </c>
      <c r="R4642">
        <v>9.19</v>
      </c>
      <c r="S4642">
        <v>81</v>
      </c>
      <c r="T4642">
        <v>20.190000000000001</v>
      </c>
      <c r="U4642">
        <v>85</v>
      </c>
      <c r="V4642">
        <v>-8.49</v>
      </c>
      <c r="W4642">
        <v>72</v>
      </c>
      <c r="X4642" t="s">
        <v>94</v>
      </c>
      <c r="Y4642" t="s">
        <v>95</v>
      </c>
      <c r="Z4642" t="s">
        <v>96</v>
      </c>
      <c r="AA4642" t="s">
        <v>3195</v>
      </c>
      <c r="AB4642" t="s">
        <v>10180</v>
      </c>
      <c r="AC4642">
        <v>123</v>
      </c>
      <c r="AD4642">
        <v>108</v>
      </c>
      <c r="AE4642">
        <v>98</v>
      </c>
      <c r="AF4642">
        <v>-51.77</v>
      </c>
      <c r="AG4642">
        <v>-9.33</v>
      </c>
      <c r="AH4642">
        <v>-6.9</v>
      </c>
      <c r="AI4642">
        <v>-0.13</v>
      </c>
      <c r="AJ4642">
        <v>-0.09</v>
      </c>
      <c r="AK4642">
        <v>82</v>
      </c>
      <c r="AL4642">
        <v>119</v>
      </c>
      <c r="AM4642">
        <v>96</v>
      </c>
      <c r="AN4642">
        <v>4.41</v>
      </c>
      <c r="AO4642">
        <v>-3.29</v>
      </c>
      <c r="AP4642">
        <v>29</v>
      </c>
      <c r="AQ4642">
        <v>0</v>
      </c>
      <c r="AR4642">
        <v>7.43</v>
      </c>
      <c r="AS4642">
        <v>72</v>
      </c>
      <c r="AT4642">
        <v>3.4</v>
      </c>
      <c r="AU4642">
        <v>83</v>
      </c>
      <c r="AV4642">
        <v>-0.15</v>
      </c>
      <c r="AW4642">
        <v>87</v>
      </c>
      <c r="AX4642">
        <v>0.32</v>
      </c>
      <c r="AY4642">
        <v>83</v>
      </c>
      <c r="AZ4642">
        <v>8.35</v>
      </c>
      <c r="BA4642">
        <v>67</v>
      </c>
      <c r="BB4642">
        <v>5.33</v>
      </c>
      <c r="BC4642">
        <v>72</v>
      </c>
      <c r="BD4642">
        <v>0.04</v>
      </c>
      <c r="BE4642">
        <v>-0.02</v>
      </c>
      <c r="BF4642">
        <v>-0.24</v>
      </c>
      <c r="BG4642">
        <v>92</v>
      </c>
      <c r="BH4642">
        <v>-0.14000000000000001</v>
      </c>
      <c r="BI4642">
        <v>11.2</v>
      </c>
      <c r="BJ4642">
        <v>32</v>
      </c>
      <c r="BK4642">
        <v>29</v>
      </c>
      <c r="BL4642">
        <v>0.17</v>
      </c>
      <c r="BM4642">
        <v>-2.67</v>
      </c>
      <c r="BN4642">
        <v>-1.53</v>
      </c>
      <c r="BO4642">
        <v>0.2</v>
      </c>
      <c r="BP4642">
        <v>1.3</v>
      </c>
      <c r="BQ4642">
        <v>-1.07</v>
      </c>
      <c r="BR4642">
        <v>2.71</v>
      </c>
      <c r="BS4642">
        <v>-3.41</v>
      </c>
      <c r="BT4642">
        <v>-1.98</v>
      </c>
      <c r="BU4642">
        <v>0.39</v>
      </c>
      <c r="BV4642">
        <v>0.22</v>
      </c>
      <c r="BW4642">
        <v>1.1100000000000001</v>
      </c>
      <c r="BX4642">
        <v>2.13</v>
      </c>
      <c r="BY4642">
        <v>0.56999999999999995</v>
      </c>
      <c r="BZ4642">
        <v>0.2</v>
      </c>
      <c r="CA4642">
        <v>-1.08</v>
      </c>
      <c r="CB4642">
        <v>-0.09</v>
      </c>
      <c r="CC4642">
        <v>-2.2599999999999998</v>
      </c>
      <c r="CD4642">
        <v>-1.21</v>
      </c>
      <c r="CE4642">
        <v>-0.06</v>
      </c>
      <c r="CF4642">
        <v>-1.32</v>
      </c>
      <c r="CG4642">
        <v>0</v>
      </c>
      <c r="CH4642">
        <v>1.29</v>
      </c>
      <c r="CI4642">
        <v>0</v>
      </c>
      <c r="CJ4642">
        <v>-4.8</v>
      </c>
      <c r="CK4642">
        <v>90</v>
      </c>
      <c r="CL4642">
        <v>-0.82</v>
      </c>
      <c r="CM4642">
        <v>88</v>
      </c>
      <c r="CN4642">
        <v>-0.36</v>
      </c>
      <c r="CO4642">
        <v>86</v>
      </c>
      <c r="CP4642">
        <v>-12.4</v>
      </c>
      <c r="CQ4642">
        <v>91</v>
      </c>
      <c r="CR4642">
        <v>0</v>
      </c>
      <c r="CS4642">
        <v>0</v>
      </c>
      <c r="CT4642">
        <v>-13.5</v>
      </c>
      <c r="CU4642">
        <v>85</v>
      </c>
      <c r="CV4642">
        <v>0.11</v>
      </c>
      <c r="CW4642">
        <v>44</v>
      </c>
      <c r="CX4642" t="s">
        <v>267</v>
      </c>
    </row>
    <row r="4643" spans="1:102" x14ac:dyDescent="0.3">
      <c r="A4643" t="str">
        <f>HYPERLINK("https://webapp.icbf.com/v2/app/bull-search/view/77855911","LRB")</f>
        <v>LRB</v>
      </c>
      <c r="B4643" t="s">
        <v>10628</v>
      </c>
      <c r="C4643" t="s">
        <v>10629</v>
      </c>
      <c r="D4643" s="1">
        <v>34231</v>
      </c>
      <c r="E4643" t="s">
        <v>92</v>
      </c>
      <c r="F4643">
        <v>100</v>
      </c>
      <c r="G4643" t="s">
        <v>93</v>
      </c>
      <c r="H4643">
        <v>-149.93</v>
      </c>
      <c r="I4643">
        <v>89</v>
      </c>
      <c r="J4643">
        <v>-5.47</v>
      </c>
      <c r="K4643">
        <v>98</v>
      </c>
      <c r="L4643">
        <v>-136.66</v>
      </c>
      <c r="M4643">
        <v>84</v>
      </c>
      <c r="N4643">
        <v>-2.77</v>
      </c>
      <c r="O4643">
        <v>80</v>
      </c>
      <c r="P4643">
        <v>-2.56</v>
      </c>
      <c r="Q4643">
        <v>90</v>
      </c>
      <c r="R4643">
        <v>-14.58</v>
      </c>
      <c r="S4643">
        <v>84</v>
      </c>
      <c r="T4643">
        <v>7.02</v>
      </c>
      <c r="U4643">
        <v>88</v>
      </c>
      <c r="V4643">
        <v>5.09</v>
      </c>
      <c r="W4643">
        <v>74</v>
      </c>
      <c r="X4643" t="s">
        <v>94</v>
      </c>
      <c r="Y4643" t="s">
        <v>95</v>
      </c>
      <c r="Z4643" t="s">
        <v>96</v>
      </c>
      <c r="AA4643" t="s">
        <v>485</v>
      </c>
      <c r="AB4643" t="s">
        <v>1371</v>
      </c>
      <c r="AC4643">
        <v>141</v>
      </c>
      <c r="AD4643">
        <v>66</v>
      </c>
      <c r="AE4643">
        <v>98</v>
      </c>
      <c r="AF4643">
        <v>199.1</v>
      </c>
      <c r="AG4643">
        <v>-3.06</v>
      </c>
      <c r="AH4643">
        <v>3.2</v>
      </c>
      <c r="AI4643">
        <v>-0.18</v>
      </c>
      <c r="AJ4643">
        <v>-0.06</v>
      </c>
      <c r="AK4643">
        <v>84</v>
      </c>
      <c r="AL4643">
        <v>172</v>
      </c>
      <c r="AM4643">
        <v>93</v>
      </c>
      <c r="AN4643">
        <v>8.08</v>
      </c>
      <c r="AO4643">
        <v>-2.81</v>
      </c>
      <c r="AP4643">
        <v>41</v>
      </c>
      <c r="AQ4643">
        <v>1</v>
      </c>
      <c r="AR4643">
        <v>8.48</v>
      </c>
      <c r="AS4643">
        <v>71</v>
      </c>
      <c r="AT4643">
        <v>4.26</v>
      </c>
      <c r="AU4643">
        <v>84</v>
      </c>
      <c r="AV4643">
        <v>-1.1299999999999999</v>
      </c>
      <c r="AW4643">
        <v>82</v>
      </c>
      <c r="AX4643">
        <v>0.18</v>
      </c>
      <c r="AY4643">
        <v>86</v>
      </c>
      <c r="AZ4643">
        <v>6.26</v>
      </c>
      <c r="BA4643">
        <v>66</v>
      </c>
      <c r="BB4643">
        <v>4.59</v>
      </c>
      <c r="BC4643">
        <v>74</v>
      </c>
      <c r="BD4643">
        <v>0.05</v>
      </c>
      <c r="BE4643">
        <v>0.08</v>
      </c>
      <c r="BF4643">
        <v>0.1</v>
      </c>
      <c r="BG4643">
        <v>94</v>
      </c>
      <c r="BH4643">
        <v>0.27</v>
      </c>
      <c r="BI4643">
        <v>14.8</v>
      </c>
      <c r="BJ4643">
        <v>15</v>
      </c>
      <c r="BK4643">
        <v>14</v>
      </c>
      <c r="BL4643">
        <v>0.16</v>
      </c>
      <c r="BM4643">
        <v>0.92</v>
      </c>
      <c r="BN4643">
        <v>0.8</v>
      </c>
      <c r="BO4643">
        <v>0.26</v>
      </c>
      <c r="BP4643">
        <v>-1.25</v>
      </c>
      <c r="BQ4643">
        <v>0.57999999999999996</v>
      </c>
      <c r="BR4643">
        <v>0.41</v>
      </c>
      <c r="BS4643">
        <v>-1.49</v>
      </c>
      <c r="BT4643">
        <v>-0.78</v>
      </c>
      <c r="BU4643">
        <v>0.23</v>
      </c>
      <c r="BV4643">
        <v>1.34</v>
      </c>
      <c r="BW4643">
        <v>-0.31</v>
      </c>
      <c r="BX4643">
        <v>-0.38</v>
      </c>
      <c r="BY4643">
        <v>0.46</v>
      </c>
      <c r="BZ4643">
        <v>0.35</v>
      </c>
      <c r="CA4643">
        <v>0.19</v>
      </c>
      <c r="CB4643">
        <v>0.59</v>
      </c>
      <c r="CC4643">
        <v>-0.61</v>
      </c>
      <c r="CD4643">
        <v>-0.09</v>
      </c>
      <c r="CE4643">
        <v>0.74</v>
      </c>
      <c r="CF4643">
        <v>0.72</v>
      </c>
      <c r="CG4643">
        <v>0</v>
      </c>
      <c r="CH4643">
        <v>-0.51</v>
      </c>
      <c r="CI4643">
        <v>0</v>
      </c>
      <c r="CJ4643">
        <v>0.6</v>
      </c>
      <c r="CK4643">
        <v>91</v>
      </c>
      <c r="CL4643">
        <v>-0.63</v>
      </c>
      <c r="CM4643">
        <v>90</v>
      </c>
      <c r="CN4643">
        <v>-0.28999999999999998</v>
      </c>
      <c r="CO4643">
        <v>88</v>
      </c>
      <c r="CP4643">
        <v>-1.9</v>
      </c>
      <c r="CQ4643">
        <v>92</v>
      </c>
      <c r="CR4643">
        <v>0</v>
      </c>
      <c r="CS4643">
        <v>0</v>
      </c>
      <c r="CT4643">
        <v>4.3</v>
      </c>
      <c r="CU4643">
        <v>88</v>
      </c>
      <c r="CV4643">
        <v>0.17</v>
      </c>
      <c r="CW4643">
        <v>45</v>
      </c>
      <c r="CX4643" t="s">
        <v>161</v>
      </c>
    </row>
    <row r="4644" spans="1:102" x14ac:dyDescent="0.3">
      <c r="A4644" t="str">
        <f>HYPERLINK("https://webapp.icbf.com/v2/app/bull-search/view/77856607","HTF")</f>
        <v>HTF</v>
      </c>
      <c r="B4644" t="s">
        <v>14370</v>
      </c>
      <c r="C4644" t="s">
        <v>14371</v>
      </c>
      <c r="D4644" s="1">
        <v>35447</v>
      </c>
      <c r="E4644" t="s">
        <v>92</v>
      </c>
      <c r="F4644">
        <v>100</v>
      </c>
      <c r="G4644" t="s">
        <v>93</v>
      </c>
      <c r="H4644">
        <v>-150.30000000000001</v>
      </c>
      <c r="I4644">
        <v>88</v>
      </c>
      <c r="J4644">
        <v>29.89</v>
      </c>
      <c r="K4644">
        <v>98</v>
      </c>
      <c r="L4644">
        <v>-144.86000000000001</v>
      </c>
      <c r="M4644">
        <v>80</v>
      </c>
      <c r="N4644">
        <v>-26.25</v>
      </c>
      <c r="O4644">
        <v>86</v>
      </c>
      <c r="P4644">
        <v>-12.9</v>
      </c>
      <c r="Q4644">
        <v>95</v>
      </c>
      <c r="R4644">
        <v>-7.08</v>
      </c>
      <c r="S4644">
        <v>80</v>
      </c>
      <c r="T4644">
        <v>13.31</v>
      </c>
      <c r="U4644">
        <v>92</v>
      </c>
      <c r="V4644">
        <v>-2.41</v>
      </c>
      <c r="W4644">
        <v>65</v>
      </c>
      <c r="X4644" t="s">
        <v>94</v>
      </c>
      <c r="Y4644" t="s">
        <v>95</v>
      </c>
      <c r="Z4644" t="s">
        <v>96</v>
      </c>
      <c r="AA4644" t="s">
        <v>218</v>
      </c>
      <c r="AB4644" t="s">
        <v>14372</v>
      </c>
      <c r="AC4644">
        <v>233</v>
      </c>
      <c r="AD4644">
        <v>172</v>
      </c>
      <c r="AE4644">
        <v>98</v>
      </c>
      <c r="AF4644">
        <v>59.05</v>
      </c>
      <c r="AG4644">
        <v>6.92</v>
      </c>
      <c r="AH4644">
        <v>3.54</v>
      </c>
      <c r="AI4644">
        <v>0.08</v>
      </c>
      <c r="AJ4644">
        <v>0.02</v>
      </c>
      <c r="AK4644">
        <v>80</v>
      </c>
      <c r="AL4644">
        <v>228</v>
      </c>
      <c r="AM4644">
        <v>159</v>
      </c>
      <c r="AN4644">
        <v>7.29</v>
      </c>
      <c r="AO4644">
        <v>-4.2699999999999996</v>
      </c>
      <c r="AP4644">
        <v>76</v>
      </c>
      <c r="AQ4644">
        <v>0</v>
      </c>
      <c r="AR4644">
        <v>10.77</v>
      </c>
      <c r="AS4644">
        <v>70</v>
      </c>
      <c r="AT4644">
        <v>5.0199999999999996</v>
      </c>
      <c r="AU4644">
        <v>83</v>
      </c>
      <c r="AV4644">
        <v>0.24</v>
      </c>
      <c r="AW4644">
        <v>94</v>
      </c>
      <c r="AX4644">
        <v>-0.52</v>
      </c>
      <c r="AY4644">
        <v>90</v>
      </c>
      <c r="AZ4644">
        <v>5.32</v>
      </c>
      <c r="BA4644">
        <v>72</v>
      </c>
      <c r="BB4644">
        <v>4.37</v>
      </c>
      <c r="BC4644">
        <v>78</v>
      </c>
      <c r="BD4644">
        <v>0.01</v>
      </c>
      <c r="BE4644">
        <v>0.04</v>
      </c>
      <c r="BF4644">
        <v>7.0000000000000007E-2</v>
      </c>
      <c r="BG4644">
        <v>92</v>
      </c>
      <c r="BH4644">
        <v>-0.03</v>
      </c>
      <c r="BI4644">
        <v>4.3</v>
      </c>
      <c r="BJ4644">
        <v>40</v>
      </c>
      <c r="BK4644">
        <v>26</v>
      </c>
      <c r="BL4644">
        <v>-0.17</v>
      </c>
      <c r="BM4644">
        <v>0.28000000000000003</v>
      </c>
      <c r="BN4644">
        <v>0.3</v>
      </c>
      <c r="BO4644">
        <v>-0.11</v>
      </c>
      <c r="BP4644">
        <v>0.47</v>
      </c>
      <c r="BQ4644">
        <v>-0.67</v>
      </c>
      <c r="BR4644">
        <v>1.55</v>
      </c>
      <c r="BS4644">
        <v>-1.37</v>
      </c>
      <c r="BT4644">
        <v>-0.8</v>
      </c>
      <c r="BU4644">
        <v>-1.2</v>
      </c>
      <c r="BV4644">
        <v>-0.83</v>
      </c>
      <c r="BW4644">
        <v>-0.52</v>
      </c>
      <c r="BX4644">
        <v>-1.26</v>
      </c>
      <c r="BY4644">
        <v>1.43</v>
      </c>
      <c r="BZ4644">
        <v>7.0000000000000007E-2</v>
      </c>
      <c r="CA4644">
        <v>-0.88</v>
      </c>
      <c r="CB4644">
        <v>-0.52</v>
      </c>
      <c r="CC4644">
        <v>-1.1599999999999999</v>
      </c>
      <c r="CD4644">
        <v>0.23</v>
      </c>
      <c r="CE4644">
        <v>0.03</v>
      </c>
      <c r="CF4644">
        <v>-0.37</v>
      </c>
      <c r="CG4644">
        <v>0</v>
      </c>
      <c r="CH4644">
        <v>1.67</v>
      </c>
      <c r="CI4644">
        <v>0</v>
      </c>
      <c r="CJ4644">
        <v>-4.9000000000000004</v>
      </c>
      <c r="CK4644">
        <v>95</v>
      </c>
      <c r="CL4644">
        <v>-0.69</v>
      </c>
      <c r="CM4644">
        <v>94</v>
      </c>
      <c r="CN4644">
        <v>-0.19</v>
      </c>
      <c r="CO4644">
        <v>94</v>
      </c>
      <c r="CP4644">
        <v>-8.3000000000000007</v>
      </c>
      <c r="CQ4644">
        <v>95</v>
      </c>
      <c r="CR4644">
        <v>0</v>
      </c>
      <c r="CS4644">
        <v>0</v>
      </c>
      <c r="CT4644">
        <v>-4.2</v>
      </c>
      <c r="CU4644">
        <v>92</v>
      </c>
      <c r="CV4644">
        <v>0.12</v>
      </c>
      <c r="CW4644">
        <v>28</v>
      </c>
      <c r="CX4644" t="s">
        <v>105</v>
      </c>
    </row>
    <row r="4645" spans="1:102" x14ac:dyDescent="0.3">
      <c r="A4645" t="str">
        <f>HYPERLINK("https://webapp.icbf.com/v2/app/bull-search/view/360486227","MIV")</f>
        <v>MIV</v>
      </c>
      <c r="B4645" t="s">
        <v>4184</v>
      </c>
      <c r="C4645" t="s">
        <v>4185</v>
      </c>
      <c r="D4645" s="1">
        <v>37517</v>
      </c>
      <c r="E4645" t="s">
        <v>92</v>
      </c>
      <c r="F4645">
        <v>100</v>
      </c>
      <c r="G4645" t="s">
        <v>109</v>
      </c>
      <c r="H4645">
        <v>-150.72999999999999</v>
      </c>
      <c r="I4645">
        <v>53</v>
      </c>
      <c r="J4645">
        <v>10.78</v>
      </c>
      <c r="K4645">
        <v>71</v>
      </c>
      <c r="L4645">
        <v>-167.37</v>
      </c>
      <c r="M4645">
        <v>57</v>
      </c>
      <c r="N4645">
        <v>11.11</v>
      </c>
      <c r="O4645">
        <v>32</v>
      </c>
      <c r="P4645">
        <v>-5.14</v>
      </c>
      <c r="Q4645">
        <v>27</v>
      </c>
      <c r="R4645">
        <v>-8.9600000000000009</v>
      </c>
      <c r="S4645">
        <v>50</v>
      </c>
      <c r="T4645">
        <v>12.2</v>
      </c>
      <c r="U4645">
        <v>26</v>
      </c>
      <c r="V4645">
        <v>-3.35</v>
      </c>
      <c r="W4645">
        <v>21</v>
      </c>
      <c r="X4645" t="s">
        <v>251</v>
      </c>
      <c r="Y4645" t="s">
        <v>171</v>
      </c>
      <c r="Z4645" t="s">
        <v>96</v>
      </c>
      <c r="AA4645" t="s">
        <v>4186</v>
      </c>
      <c r="AB4645" t="s">
        <v>4187</v>
      </c>
      <c r="AC4645">
        <v>0</v>
      </c>
      <c r="AD4645">
        <v>0</v>
      </c>
      <c r="AE4645">
        <v>71</v>
      </c>
      <c r="AF4645">
        <v>286.93</v>
      </c>
      <c r="AG4645">
        <v>2.39</v>
      </c>
      <c r="AH4645">
        <v>5.38</v>
      </c>
      <c r="AI4645">
        <v>-0.14000000000000001</v>
      </c>
      <c r="AJ4645">
        <v>-7.0000000000000007E-2</v>
      </c>
      <c r="AK4645">
        <v>57</v>
      </c>
      <c r="AL4645">
        <v>0</v>
      </c>
      <c r="AM4645">
        <v>0</v>
      </c>
      <c r="AN4645">
        <v>8.9600000000000009</v>
      </c>
      <c r="AO4645">
        <v>-4.3899999999999997</v>
      </c>
      <c r="AP4645">
        <v>0</v>
      </c>
      <c r="AQ4645">
        <v>1</v>
      </c>
      <c r="AR4645">
        <v>7.8</v>
      </c>
      <c r="AS4645">
        <v>22</v>
      </c>
      <c r="AT4645">
        <v>3.3</v>
      </c>
      <c r="AU4645">
        <v>55</v>
      </c>
      <c r="AV4645">
        <v>-1.47</v>
      </c>
      <c r="AW4645">
        <v>27</v>
      </c>
      <c r="AX4645">
        <v>0.24</v>
      </c>
      <c r="AY4645">
        <v>25</v>
      </c>
      <c r="AZ4645">
        <v>5.88</v>
      </c>
      <c r="BA4645">
        <v>20</v>
      </c>
      <c r="BB4645">
        <v>4.71</v>
      </c>
      <c r="BC4645">
        <v>19</v>
      </c>
      <c r="BD4645">
        <v>0.03</v>
      </c>
      <c r="BE4645">
        <v>0.04</v>
      </c>
      <c r="BF4645">
        <v>0.08</v>
      </c>
      <c r="BG4645">
        <v>76</v>
      </c>
      <c r="BH4645">
        <v>-0.06</v>
      </c>
      <c r="BI4645">
        <v>3.88</v>
      </c>
      <c r="BJ4645">
        <v>0</v>
      </c>
      <c r="BK4645">
        <v>0</v>
      </c>
      <c r="BL4645">
        <v>0.59</v>
      </c>
      <c r="BM4645">
        <v>-0.51</v>
      </c>
      <c r="BN4645">
        <v>0.63</v>
      </c>
      <c r="BO4645">
        <v>0.85</v>
      </c>
      <c r="BP4645">
        <v>-3.74</v>
      </c>
      <c r="BQ4645">
        <v>-0.01</v>
      </c>
      <c r="BR4645">
        <v>-0.17</v>
      </c>
      <c r="BS4645">
        <v>-0.5</v>
      </c>
      <c r="BT4645">
        <v>0.51</v>
      </c>
      <c r="BU4645">
        <v>0.28000000000000003</v>
      </c>
      <c r="BV4645">
        <v>0.6</v>
      </c>
      <c r="BW4645">
        <v>0.45</v>
      </c>
      <c r="BX4645">
        <v>-0.45</v>
      </c>
      <c r="BY4645">
        <v>0.35</v>
      </c>
      <c r="BZ4645">
        <v>0.7</v>
      </c>
      <c r="CA4645">
        <v>0.36</v>
      </c>
      <c r="CB4645">
        <v>0.47</v>
      </c>
      <c r="CC4645">
        <v>-0.02</v>
      </c>
      <c r="CD4645">
        <v>-0.93</v>
      </c>
      <c r="CE4645">
        <v>0</v>
      </c>
      <c r="CF4645">
        <v>0</v>
      </c>
      <c r="CG4645">
        <v>0</v>
      </c>
      <c r="CH4645">
        <v>0</v>
      </c>
      <c r="CI4645">
        <v>0</v>
      </c>
      <c r="CJ4645">
        <v>-1.3</v>
      </c>
      <c r="CK4645">
        <v>27</v>
      </c>
      <c r="CL4645">
        <v>-0.6</v>
      </c>
      <c r="CM4645">
        <v>26</v>
      </c>
      <c r="CN4645">
        <v>-0.31</v>
      </c>
      <c r="CO4645">
        <v>26</v>
      </c>
      <c r="CP4645">
        <v>-5.2</v>
      </c>
      <c r="CQ4645">
        <v>27</v>
      </c>
      <c r="CR4645">
        <v>0</v>
      </c>
      <c r="CS4645">
        <v>0</v>
      </c>
      <c r="CT4645">
        <v>-2.7</v>
      </c>
      <c r="CU4645">
        <v>26</v>
      </c>
      <c r="CV4645">
        <v>0.2</v>
      </c>
      <c r="CW4645">
        <v>8</v>
      </c>
      <c r="CX4645" t="s">
        <v>1104</v>
      </c>
    </row>
    <row r="4646" spans="1:102" x14ac:dyDescent="0.3">
      <c r="A4646" t="str">
        <f>HYPERLINK("https://webapp.icbf.com/v2/app/bull-search/view/381913139","LSZ")</f>
        <v>LSZ</v>
      </c>
      <c r="B4646" t="s">
        <v>11846</v>
      </c>
      <c r="C4646" t="s">
        <v>11847</v>
      </c>
      <c r="D4646" s="1">
        <v>36052</v>
      </c>
      <c r="E4646" t="s">
        <v>92</v>
      </c>
      <c r="F4646">
        <v>100</v>
      </c>
      <c r="G4646" t="s">
        <v>93</v>
      </c>
      <c r="H4646">
        <v>-150.91</v>
      </c>
      <c r="I4646">
        <v>82</v>
      </c>
      <c r="J4646">
        <v>12.56</v>
      </c>
      <c r="K4646">
        <v>93</v>
      </c>
      <c r="L4646">
        <v>-141.88</v>
      </c>
      <c r="M4646">
        <v>80</v>
      </c>
      <c r="N4646">
        <v>-18.79</v>
      </c>
      <c r="O4646">
        <v>72</v>
      </c>
      <c r="P4646">
        <v>-3.07</v>
      </c>
      <c r="Q4646">
        <v>85</v>
      </c>
      <c r="R4646">
        <v>-7.93</v>
      </c>
      <c r="S4646">
        <v>69</v>
      </c>
      <c r="T4646">
        <v>6.72</v>
      </c>
      <c r="U4646">
        <v>75</v>
      </c>
      <c r="V4646">
        <v>1.48</v>
      </c>
      <c r="W4646">
        <v>48</v>
      </c>
      <c r="X4646" t="s">
        <v>102</v>
      </c>
      <c r="Y4646" t="s">
        <v>95</v>
      </c>
      <c r="Z4646" t="s">
        <v>96</v>
      </c>
      <c r="AA4646" t="s">
        <v>6632</v>
      </c>
      <c r="AB4646" t="s">
        <v>11848</v>
      </c>
      <c r="AC4646">
        <v>51</v>
      </c>
      <c r="AD4646">
        <v>36</v>
      </c>
      <c r="AE4646">
        <v>93</v>
      </c>
      <c r="AF4646">
        <v>182.32</v>
      </c>
      <c r="AG4646">
        <v>9.32</v>
      </c>
      <c r="AH4646">
        <v>1.63</v>
      </c>
      <c r="AI4646">
        <v>0.04</v>
      </c>
      <c r="AJ4646">
        <v>-7.0000000000000007E-2</v>
      </c>
      <c r="AK4646">
        <v>80</v>
      </c>
      <c r="AL4646">
        <v>51</v>
      </c>
      <c r="AM4646">
        <v>37</v>
      </c>
      <c r="AN4646">
        <v>8.11</v>
      </c>
      <c r="AO4646">
        <v>-3.2</v>
      </c>
      <c r="AP4646">
        <v>108</v>
      </c>
      <c r="AQ4646">
        <v>3</v>
      </c>
      <c r="AR4646">
        <v>10.48</v>
      </c>
      <c r="AS4646">
        <v>49</v>
      </c>
      <c r="AT4646">
        <v>5.27</v>
      </c>
      <c r="AU4646">
        <v>82</v>
      </c>
      <c r="AV4646">
        <v>-0.85</v>
      </c>
      <c r="AW4646">
        <v>81</v>
      </c>
      <c r="AX4646">
        <v>-0.84</v>
      </c>
      <c r="AY4646">
        <v>69</v>
      </c>
      <c r="AZ4646">
        <v>5.23</v>
      </c>
      <c r="BA4646">
        <v>44</v>
      </c>
      <c r="BB4646">
        <v>4.37</v>
      </c>
      <c r="BC4646">
        <v>47</v>
      </c>
      <c r="BD4646">
        <v>-0.01</v>
      </c>
      <c r="BE4646">
        <v>0.01</v>
      </c>
      <c r="BF4646">
        <v>0.18</v>
      </c>
      <c r="BG4646">
        <v>86</v>
      </c>
      <c r="BH4646">
        <v>-0.05</v>
      </c>
      <c r="BI4646">
        <v>-10.55</v>
      </c>
      <c r="BJ4646">
        <v>13</v>
      </c>
      <c r="BK4646">
        <v>9</v>
      </c>
      <c r="BL4646">
        <v>0.8</v>
      </c>
      <c r="BM4646">
        <v>0.53</v>
      </c>
      <c r="BN4646">
        <v>1.25</v>
      </c>
      <c r="BO4646">
        <v>0.24</v>
      </c>
      <c r="BP4646">
        <v>0.98</v>
      </c>
      <c r="BQ4646">
        <v>0.57999999999999996</v>
      </c>
      <c r="BR4646">
        <v>0.01</v>
      </c>
      <c r="BS4646">
        <v>0.31</v>
      </c>
      <c r="BT4646">
        <v>1.1399999999999999</v>
      </c>
      <c r="BU4646">
        <v>-0.39</v>
      </c>
      <c r="BV4646">
        <v>0.46</v>
      </c>
      <c r="BW4646">
        <v>1.1000000000000001</v>
      </c>
      <c r="BX4646">
        <v>-0.66</v>
      </c>
      <c r="BY4646">
        <v>-0.49</v>
      </c>
      <c r="BZ4646">
        <v>0.49</v>
      </c>
      <c r="CA4646">
        <v>-0.1</v>
      </c>
      <c r="CB4646">
        <v>-0.13</v>
      </c>
      <c r="CC4646">
        <v>0.16</v>
      </c>
      <c r="CD4646">
        <v>0.22</v>
      </c>
      <c r="CE4646">
        <v>-0.12</v>
      </c>
      <c r="CF4646">
        <v>0.95</v>
      </c>
      <c r="CG4646">
        <v>0</v>
      </c>
      <c r="CH4646">
        <v>0.69</v>
      </c>
      <c r="CI4646">
        <v>0</v>
      </c>
      <c r="CJ4646">
        <v>-2.4</v>
      </c>
      <c r="CK4646">
        <v>86</v>
      </c>
      <c r="CL4646">
        <v>-0.37</v>
      </c>
      <c r="CM4646">
        <v>84</v>
      </c>
      <c r="CN4646">
        <v>-0.37</v>
      </c>
      <c r="CO4646">
        <v>81</v>
      </c>
      <c r="CP4646">
        <v>-1.8</v>
      </c>
      <c r="CQ4646">
        <v>84</v>
      </c>
      <c r="CR4646">
        <v>0</v>
      </c>
      <c r="CS4646">
        <v>0</v>
      </c>
      <c r="CT4646">
        <v>4.7</v>
      </c>
      <c r="CU4646">
        <v>75</v>
      </c>
      <c r="CV4646">
        <v>0.04</v>
      </c>
      <c r="CW4646">
        <v>24</v>
      </c>
      <c r="CX4646" t="s">
        <v>1185</v>
      </c>
    </row>
    <row r="4647" spans="1:102" x14ac:dyDescent="0.3">
      <c r="A4647" t="str">
        <f>HYPERLINK("https://webapp.icbf.com/v2/app/bull-search/view/77856445","KEN")</f>
        <v>KEN</v>
      </c>
      <c r="B4647" t="s">
        <v>10692</v>
      </c>
      <c r="C4647" t="s">
        <v>10693</v>
      </c>
      <c r="D4647" s="1">
        <v>32078</v>
      </c>
      <c r="E4647" t="s">
        <v>92</v>
      </c>
      <c r="F4647">
        <v>50</v>
      </c>
      <c r="G4647" t="s">
        <v>93</v>
      </c>
      <c r="H4647">
        <v>-151.13999999999999</v>
      </c>
      <c r="I4647">
        <v>71</v>
      </c>
      <c r="J4647">
        <v>-70.150000000000006</v>
      </c>
      <c r="K4647">
        <v>88</v>
      </c>
      <c r="L4647">
        <v>-66.05</v>
      </c>
      <c r="M4647">
        <v>62</v>
      </c>
      <c r="N4647">
        <v>-7.89</v>
      </c>
      <c r="O4647">
        <v>60</v>
      </c>
      <c r="P4647">
        <v>-16.72</v>
      </c>
      <c r="Q4647">
        <v>82</v>
      </c>
      <c r="R4647">
        <v>-6.7</v>
      </c>
      <c r="S4647">
        <v>63</v>
      </c>
      <c r="T4647">
        <v>21.82</v>
      </c>
      <c r="U4647">
        <v>68</v>
      </c>
      <c r="V4647">
        <v>-5.45</v>
      </c>
      <c r="W4647">
        <v>34</v>
      </c>
      <c r="X4647" t="s">
        <v>94</v>
      </c>
      <c r="Y4647" t="s">
        <v>95</v>
      </c>
      <c r="Z4647" t="s">
        <v>96</v>
      </c>
      <c r="AA4647" t="s">
        <v>622</v>
      </c>
      <c r="AB4647" t="s">
        <v>10694</v>
      </c>
      <c r="AC4647">
        <v>37</v>
      </c>
      <c r="AD4647">
        <v>24</v>
      </c>
      <c r="AE4647">
        <v>88</v>
      </c>
      <c r="AF4647">
        <v>-166.69</v>
      </c>
      <c r="AG4647">
        <v>-11.85</v>
      </c>
      <c r="AH4647">
        <v>-10.29</v>
      </c>
      <c r="AI4647">
        <v>-0.09</v>
      </c>
      <c r="AJ4647">
        <v>-0.08</v>
      </c>
      <c r="AK4647">
        <v>62</v>
      </c>
      <c r="AL4647">
        <v>76</v>
      </c>
      <c r="AM4647">
        <v>52</v>
      </c>
      <c r="AN4647">
        <v>1.82</v>
      </c>
      <c r="AO4647">
        <v>-3.47</v>
      </c>
      <c r="AP4647">
        <v>62</v>
      </c>
      <c r="AQ4647">
        <v>0</v>
      </c>
      <c r="AR4647">
        <v>8.7100000000000009</v>
      </c>
      <c r="AS4647">
        <v>45</v>
      </c>
      <c r="AT4647">
        <v>3.14</v>
      </c>
      <c r="AU4647">
        <v>61</v>
      </c>
      <c r="AV4647">
        <v>-0.71</v>
      </c>
      <c r="AW4647">
        <v>68</v>
      </c>
      <c r="AX4647">
        <v>0.25</v>
      </c>
      <c r="AY4647">
        <v>72</v>
      </c>
      <c r="AZ4647">
        <v>8.51</v>
      </c>
      <c r="BA4647">
        <v>32</v>
      </c>
      <c r="BB4647">
        <v>6.16</v>
      </c>
      <c r="BC4647">
        <v>38</v>
      </c>
      <c r="BD4647">
        <v>0.06</v>
      </c>
      <c r="BE4647">
        <v>0.06</v>
      </c>
      <c r="BF4647">
        <v>-0.06</v>
      </c>
      <c r="BG4647">
        <v>82</v>
      </c>
      <c r="BH4647">
        <v>-0.04</v>
      </c>
      <c r="BI4647">
        <v>12.96</v>
      </c>
      <c r="BJ4647">
        <v>13</v>
      </c>
      <c r="BK4647">
        <v>11</v>
      </c>
      <c r="BL4647">
        <v>-2.2599999999999998</v>
      </c>
      <c r="BM4647">
        <v>0.76</v>
      </c>
      <c r="BN4647">
        <v>-1.31</v>
      </c>
      <c r="BO4647">
        <v>-2.0699999999999998</v>
      </c>
      <c r="BP4647">
        <v>0.19</v>
      </c>
      <c r="BQ4647">
        <v>-0.28000000000000003</v>
      </c>
      <c r="BR4647">
        <v>1.44</v>
      </c>
      <c r="BS4647">
        <v>-0.51</v>
      </c>
      <c r="BT4647">
        <v>-1.1000000000000001</v>
      </c>
      <c r="BU4647">
        <v>-0.48</v>
      </c>
      <c r="BV4647">
        <v>-2.21</v>
      </c>
      <c r="BW4647">
        <v>-2.67</v>
      </c>
      <c r="BX4647">
        <v>-1.49</v>
      </c>
      <c r="BY4647">
        <v>-0.56999999999999995</v>
      </c>
      <c r="BZ4647">
        <v>-0.41</v>
      </c>
      <c r="CA4647">
        <v>-1.93</v>
      </c>
      <c r="CB4647">
        <v>-1.71</v>
      </c>
      <c r="CC4647">
        <v>-1.8</v>
      </c>
      <c r="CD4647">
        <v>1.53</v>
      </c>
      <c r="CE4647">
        <v>-2.15</v>
      </c>
      <c r="CF4647">
        <v>-2.4</v>
      </c>
      <c r="CG4647">
        <v>0</v>
      </c>
      <c r="CH4647">
        <v>-1.63</v>
      </c>
      <c r="CI4647">
        <v>0</v>
      </c>
      <c r="CJ4647">
        <v>-5.5</v>
      </c>
      <c r="CK4647">
        <v>84</v>
      </c>
      <c r="CL4647">
        <v>-0.76</v>
      </c>
      <c r="CM4647">
        <v>81</v>
      </c>
      <c r="CN4647">
        <v>-0.1</v>
      </c>
      <c r="CO4647">
        <v>79</v>
      </c>
      <c r="CP4647">
        <v>-16.399999999999999</v>
      </c>
      <c r="CQ4647">
        <v>79</v>
      </c>
      <c r="CR4647">
        <v>0</v>
      </c>
      <c r="CS4647">
        <v>0</v>
      </c>
      <c r="CT4647">
        <v>-15.7</v>
      </c>
      <c r="CU4647">
        <v>68</v>
      </c>
      <c r="CV4647">
        <v>0.18</v>
      </c>
      <c r="CW4647">
        <v>23</v>
      </c>
      <c r="CX4647" t="s">
        <v>609</v>
      </c>
    </row>
    <row r="4648" spans="1:102" x14ac:dyDescent="0.3">
      <c r="A4648" t="str">
        <f>HYPERLINK("https://webapp.icbf.com/v2/app/bull-search/view/77859346","ARA")</f>
        <v>ARA</v>
      </c>
      <c r="B4648" t="s">
        <v>7344</v>
      </c>
      <c r="C4648" t="s">
        <v>1328</v>
      </c>
      <c r="D4648" s="1">
        <v>34653</v>
      </c>
      <c r="E4648" t="s">
        <v>92</v>
      </c>
      <c r="F4648">
        <v>100</v>
      </c>
      <c r="G4648" t="s">
        <v>109</v>
      </c>
      <c r="H4648">
        <v>-151.24</v>
      </c>
      <c r="I4648">
        <v>73</v>
      </c>
      <c r="J4648">
        <v>33.270000000000003</v>
      </c>
      <c r="K4648">
        <v>83</v>
      </c>
      <c r="L4648">
        <v>-160.16</v>
      </c>
      <c r="M4648">
        <v>80</v>
      </c>
      <c r="N4648">
        <v>-13.29</v>
      </c>
      <c r="O4648">
        <v>58</v>
      </c>
      <c r="P4648">
        <v>-2.2999999999999998</v>
      </c>
      <c r="Q4648">
        <v>55</v>
      </c>
      <c r="R4648">
        <v>-8.42</v>
      </c>
      <c r="S4648">
        <v>65</v>
      </c>
      <c r="T4648">
        <v>6.2</v>
      </c>
      <c r="U4648">
        <v>60</v>
      </c>
      <c r="V4648">
        <v>-6.54</v>
      </c>
      <c r="W4648">
        <v>41</v>
      </c>
      <c r="X4648" t="s">
        <v>251</v>
      </c>
      <c r="Y4648" t="s">
        <v>95</v>
      </c>
      <c r="Z4648" t="s">
        <v>96</v>
      </c>
      <c r="AA4648" t="s">
        <v>573</v>
      </c>
      <c r="AB4648" t="s">
        <v>7345</v>
      </c>
      <c r="AC4648">
        <v>0</v>
      </c>
      <c r="AD4648">
        <v>0</v>
      </c>
      <c r="AE4648">
        <v>83</v>
      </c>
      <c r="AF4648">
        <v>233.17</v>
      </c>
      <c r="AG4648">
        <v>8.84</v>
      </c>
      <c r="AH4648">
        <v>6.1</v>
      </c>
      <c r="AI4648">
        <v>0</v>
      </c>
      <c r="AJ4648">
        <v>-0.03</v>
      </c>
      <c r="AK4648">
        <v>80</v>
      </c>
      <c r="AL4648">
        <v>0</v>
      </c>
      <c r="AM4648">
        <v>0</v>
      </c>
      <c r="AN4648">
        <v>8.9600000000000009</v>
      </c>
      <c r="AO4648">
        <v>-3.81</v>
      </c>
      <c r="AP4648">
        <v>1</v>
      </c>
      <c r="AQ4648">
        <v>0</v>
      </c>
      <c r="AR4648">
        <v>9.27</v>
      </c>
      <c r="AS4648">
        <v>33</v>
      </c>
      <c r="AT4648">
        <v>4.3499999999999996</v>
      </c>
      <c r="AU4648">
        <v>89</v>
      </c>
      <c r="AV4648">
        <v>-0.1</v>
      </c>
      <c r="AW4648">
        <v>55</v>
      </c>
      <c r="AX4648">
        <v>0.64</v>
      </c>
      <c r="AY4648">
        <v>49</v>
      </c>
      <c r="AZ4648">
        <v>5.23</v>
      </c>
      <c r="BA4648">
        <v>33</v>
      </c>
      <c r="BB4648">
        <v>4.37</v>
      </c>
      <c r="BC4648">
        <v>35</v>
      </c>
      <c r="BD4648">
        <v>0.01</v>
      </c>
      <c r="BE4648">
        <v>0.03</v>
      </c>
      <c r="BF4648">
        <v>0.12</v>
      </c>
      <c r="BG4648">
        <v>87</v>
      </c>
      <c r="BH4648">
        <v>-0.14000000000000001</v>
      </c>
      <c r="BI4648">
        <v>4.9000000000000004</v>
      </c>
      <c r="BJ4648">
        <v>2</v>
      </c>
      <c r="BK4648">
        <v>2</v>
      </c>
      <c r="BL4648">
        <v>1.06</v>
      </c>
      <c r="BM4648">
        <v>-0.55000000000000004</v>
      </c>
      <c r="BN4648">
        <v>0.51</v>
      </c>
      <c r="BO4648">
        <v>0.99</v>
      </c>
      <c r="BP4648">
        <v>1.48</v>
      </c>
      <c r="BQ4648">
        <v>0.72</v>
      </c>
      <c r="BR4648">
        <v>-0.14000000000000001</v>
      </c>
      <c r="BS4648">
        <v>0.22</v>
      </c>
      <c r="BT4648">
        <v>0.66</v>
      </c>
      <c r="BU4648">
        <v>-0.08</v>
      </c>
      <c r="BV4648">
        <v>-0.17</v>
      </c>
      <c r="BW4648">
        <v>-0.16</v>
      </c>
      <c r="BX4648">
        <v>-0.09</v>
      </c>
      <c r="BY4648">
        <v>-0.06</v>
      </c>
      <c r="BZ4648">
        <v>-0.24</v>
      </c>
      <c r="CA4648">
        <v>0.44</v>
      </c>
      <c r="CB4648">
        <v>0.48</v>
      </c>
      <c r="CC4648">
        <v>0.25</v>
      </c>
      <c r="CD4648">
        <v>-1.05</v>
      </c>
      <c r="CE4648">
        <v>0.75</v>
      </c>
      <c r="CF4648">
        <v>0.54</v>
      </c>
      <c r="CG4648">
        <v>0</v>
      </c>
      <c r="CH4648">
        <v>1.03</v>
      </c>
      <c r="CI4648">
        <v>0</v>
      </c>
      <c r="CJ4648">
        <v>-1.4</v>
      </c>
      <c r="CK4648">
        <v>57</v>
      </c>
      <c r="CL4648">
        <v>-0.69</v>
      </c>
      <c r="CM4648">
        <v>53</v>
      </c>
      <c r="CN4648">
        <v>-0.6</v>
      </c>
      <c r="CO4648">
        <v>50</v>
      </c>
      <c r="CP4648">
        <v>-1.8</v>
      </c>
      <c r="CQ4648">
        <v>60</v>
      </c>
      <c r="CR4648">
        <v>0</v>
      </c>
      <c r="CS4648">
        <v>0</v>
      </c>
      <c r="CT4648">
        <v>5.4</v>
      </c>
      <c r="CU4648">
        <v>60</v>
      </c>
      <c r="CV4648">
        <v>0.13</v>
      </c>
      <c r="CW4648">
        <v>15</v>
      </c>
      <c r="CX4648" t="s">
        <v>166</v>
      </c>
    </row>
    <row r="4649" spans="1:102" x14ac:dyDescent="0.3">
      <c r="A4649" t="str">
        <f>HYPERLINK("https://webapp.icbf.com/v2/app/bull-search/view/77859040","CNV")</f>
        <v>CNV</v>
      </c>
      <c r="B4649" t="s">
        <v>8562</v>
      </c>
      <c r="C4649" t="s">
        <v>8563</v>
      </c>
      <c r="D4649" s="1">
        <v>32468</v>
      </c>
      <c r="E4649" t="s">
        <v>92</v>
      </c>
      <c r="F4649">
        <v>100</v>
      </c>
      <c r="G4649" t="s">
        <v>93</v>
      </c>
      <c r="H4649">
        <v>-151.25</v>
      </c>
      <c r="I4649">
        <v>76</v>
      </c>
      <c r="J4649">
        <v>-122.41</v>
      </c>
      <c r="K4649">
        <v>91</v>
      </c>
      <c r="L4649">
        <v>-22.85</v>
      </c>
      <c r="M4649">
        <v>72</v>
      </c>
      <c r="N4649">
        <v>-16.03</v>
      </c>
      <c r="O4649">
        <v>57</v>
      </c>
      <c r="P4649">
        <v>9.59</v>
      </c>
      <c r="Q4649">
        <v>79</v>
      </c>
      <c r="R4649">
        <v>-13.28</v>
      </c>
      <c r="S4649">
        <v>72</v>
      </c>
      <c r="T4649">
        <v>17.079999999999998</v>
      </c>
      <c r="U4649">
        <v>74</v>
      </c>
      <c r="V4649">
        <v>-3.35</v>
      </c>
      <c r="W4649">
        <v>33</v>
      </c>
      <c r="X4649" t="s">
        <v>276</v>
      </c>
      <c r="Y4649" t="s">
        <v>95</v>
      </c>
      <c r="Z4649" t="s">
        <v>96</v>
      </c>
      <c r="AA4649" t="s">
        <v>120</v>
      </c>
      <c r="AB4649" t="s">
        <v>8564</v>
      </c>
      <c r="AC4649">
        <v>61</v>
      </c>
      <c r="AD4649">
        <v>35</v>
      </c>
      <c r="AE4649">
        <v>91</v>
      </c>
      <c r="AF4649">
        <v>-239.12</v>
      </c>
      <c r="AG4649">
        <v>-20.32</v>
      </c>
      <c r="AH4649">
        <v>-17.29</v>
      </c>
      <c r="AI4649">
        <v>-0.19</v>
      </c>
      <c r="AJ4649">
        <v>-0.16</v>
      </c>
      <c r="AK4649">
        <v>72</v>
      </c>
      <c r="AL4649">
        <v>195</v>
      </c>
      <c r="AM4649">
        <v>102</v>
      </c>
      <c r="AN4649">
        <v>0.63</v>
      </c>
      <c r="AO4649">
        <v>-1.2</v>
      </c>
      <c r="AP4649">
        <v>1</v>
      </c>
      <c r="AQ4649">
        <v>0</v>
      </c>
      <c r="AR4649">
        <v>9.94</v>
      </c>
      <c r="AS4649">
        <v>37</v>
      </c>
      <c r="AT4649">
        <v>4.7699999999999996</v>
      </c>
      <c r="AU4649">
        <v>52</v>
      </c>
      <c r="AV4649">
        <v>-0.55000000000000004</v>
      </c>
      <c r="AW4649">
        <v>62</v>
      </c>
      <c r="AX4649">
        <v>-0.06</v>
      </c>
      <c r="AY4649">
        <v>80</v>
      </c>
      <c r="AZ4649">
        <v>5.98</v>
      </c>
      <c r="BA4649">
        <v>38</v>
      </c>
      <c r="BB4649">
        <v>4.37</v>
      </c>
      <c r="BC4649">
        <v>50</v>
      </c>
      <c r="BD4649">
        <v>0.05</v>
      </c>
      <c r="BE4649">
        <v>0.08</v>
      </c>
      <c r="BF4649">
        <v>7.0000000000000007E-2</v>
      </c>
      <c r="BG4649">
        <v>91</v>
      </c>
      <c r="BH4649">
        <v>-0.14000000000000001</v>
      </c>
      <c r="BI4649">
        <v>-5.39</v>
      </c>
      <c r="BJ4649">
        <v>37</v>
      </c>
      <c r="BK4649">
        <v>23</v>
      </c>
      <c r="BL4649">
        <v>1.17</v>
      </c>
      <c r="BM4649">
        <v>-0.94</v>
      </c>
      <c r="BN4649">
        <v>0.41</v>
      </c>
      <c r="BO4649">
        <v>0.62</v>
      </c>
      <c r="BP4649">
        <v>-1.41</v>
      </c>
      <c r="BQ4649">
        <v>-0.4</v>
      </c>
      <c r="BR4649">
        <v>0.97</v>
      </c>
      <c r="BS4649">
        <v>-0.09</v>
      </c>
      <c r="BT4649">
        <v>-0.23</v>
      </c>
      <c r="BU4649">
        <v>0.22</v>
      </c>
      <c r="BV4649">
        <v>-1.1000000000000001</v>
      </c>
      <c r="BW4649">
        <v>-0.48</v>
      </c>
      <c r="BX4649">
        <v>1.75</v>
      </c>
      <c r="BY4649">
        <v>0.84</v>
      </c>
      <c r="BZ4649">
        <v>-1.1200000000000001</v>
      </c>
      <c r="CA4649">
        <v>-0.85</v>
      </c>
      <c r="CB4649">
        <v>-0.15</v>
      </c>
      <c r="CC4649">
        <v>-1.94</v>
      </c>
      <c r="CD4649">
        <v>-0.46</v>
      </c>
      <c r="CE4649">
        <v>0.41</v>
      </c>
      <c r="CF4649">
        <v>0.86</v>
      </c>
      <c r="CG4649">
        <v>0</v>
      </c>
      <c r="CH4649">
        <v>-0.47</v>
      </c>
      <c r="CI4649">
        <v>0</v>
      </c>
      <c r="CJ4649">
        <v>4.5</v>
      </c>
      <c r="CK4649">
        <v>80</v>
      </c>
      <c r="CL4649">
        <v>-0.36</v>
      </c>
      <c r="CM4649">
        <v>76</v>
      </c>
      <c r="CN4649">
        <v>-0.66</v>
      </c>
      <c r="CO4649">
        <v>73</v>
      </c>
      <c r="CP4649">
        <v>-4.2</v>
      </c>
      <c r="CQ4649">
        <v>84</v>
      </c>
      <c r="CR4649">
        <v>0</v>
      </c>
      <c r="CS4649">
        <v>0</v>
      </c>
      <c r="CT4649">
        <v>-9.3000000000000007</v>
      </c>
      <c r="CU4649">
        <v>74</v>
      </c>
      <c r="CV4649">
        <v>0.15</v>
      </c>
      <c r="CW4649">
        <v>22</v>
      </c>
      <c r="CX4649" t="s">
        <v>785</v>
      </c>
    </row>
    <row r="4650" spans="1:102" x14ac:dyDescent="0.3">
      <c r="A4650" t="str">
        <f>HYPERLINK("https://webapp.icbf.com/v2/app/bull-search/view/124414513","CUE")</f>
        <v>CUE</v>
      </c>
      <c r="B4650" t="s">
        <v>11467</v>
      </c>
      <c r="C4650" t="s">
        <v>5208</v>
      </c>
      <c r="D4650" s="1">
        <v>35607</v>
      </c>
      <c r="E4650" t="s">
        <v>92</v>
      </c>
      <c r="F4650">
        <v>97</v>
      </c>
      <c r="G4650" t="s">
        <v>93</v>
      </c>
      <c r="H4650">
        <v>-151.4</v>
      </c>
      <c r="I4650">
        <v>96</v>
      </c>
      <c r="J4650">
        <v>13.26</v>
      </c>
      <c r="K4650">
        <v>99</v>
      </c>
      <c r="L4650">
        <v>-148.88</v>
      </c>
      <c r="M4650">
        <v>93</v>
      </c>
      <c r="N4650">
        <v>-5.44</v>
      </c>
      <c r="O4650">
        <v>95</v>
      </c>
      <c r="P4650">
        <v>-7.01</v>
      </c>
      <c r="Q4650">
        <v>98</v>
      </c>
      <c r="R4650">
        <v>-10.32</v>
      </c>
      <c r="S4650">
        <v>90</v>
      </c>
      <c r="T4650">
        <v>15.75</v>
      </c>
      <c r="U4650">
        <v>96</v>
      </c>
      <c r="V4650">
        <v>-8.76</v>
      </c>
      <c r="W4650">
        <v>88</v>
      </c>
      <c r="X4650" t="s">
        <v>970</v>
      </c>
      <c r="Y4650" t="s">
        <v>95</v>
      </c>
      <c r="Z4650" t="s">
        <v>96</v>
      </c>
      <c r="AA4650" t="s">
        <v>218</v>
      </c>
      <c r="AB4650" t="s">
        <v>3999</v>
      </c>
      <c r="AC4650">
        <v>389</v>
      </c>
      <c r="AD4650">
        <v>182</v>
      </c>
      <c r="AE4650">
        <v>99</v>
      </c>
      <c r="AF4650">
        <v>351.47</v>
      </c>
      <c r="AG4650">
        <v>-1.26</v>
      </c>
      <c r="AH4650">
        <v>8.08</v>
      </c>
      <c r="AI4650">
        <v>-0.25</v>
      </c>
      <c r="AJ4650">
        <v>-0.06</v>
      </c>
      <c r="AK4650">
        <v>93</v>
      </c>
      <c r="AL4650">
        <v>394</v>
      </c>
      <c r="AM4650">
        <v>188</v>
      </c>
      <c r="AN4650">
        <v>7.6</v>
      </c>
      <c r="AO4650">
        <v>-4.28</v>
      </c>
      <c r="AP4650">
        <v>520</v>
      </c>
      <c r="AQ4650">
        <v>0</v>
      </c>
      <c r="AR4650">
        <v>9.98</v>
      </c>
      <c r="AS4650">
        <v>94</v>
      </c>
      <c r="AT4650">
        <v>3.67</v>
      </c>
      <c r="AU4650">
        <v>96</v>
      </c>
      <c r="AV4650">
        <v>-0.72</v>
      </c>
      <c r="AW4650">
        <v>98</v>
      </c>
      <c r="AX4650">
        <v>-0.09</v>
      </c>
      <c r="AY4650">
        <v>93</v>
      </c>
      <c r="AZ4650">
        <v>5.82</v>
      </c>
      <c r="BA4650">
        <v>85</v>
      </c>
      <c r="BB4650">
        <v>5.0599999999999996</v>
      </c>
      <c r="BC4650">
        <v>87</v>
      </c>
      <c r="BD4650">
        <v>0.02</v>
      </c>
      <c r="BE4650">
        <v>0.06</v>
      </c>
      <c r="BF4650">
        <v>0.09</v>
      </c>
      <c r="BG4650">
        <v>96</v>
      </c>
      <c r="BH4650">
        <v>-0.12</v>
      </c>
      <c r="BI4650">
        <v>14.37</v>
      </c>
      <c r="BJ4650">
        <v>64</v>
      </c>
      <c r="BK4650">
        <v>38</v>
      </c>
      <c r="BL4650">
        <v>0.2</v>
      </c>
      <c r="BM4650">
        <v>-0.22</v>
      </c>
      <c r="BN4650">
        <v>0.85</v>
      </c>
      <c r="BO4650">
        <v>0.78</v>
      </c>
      <c r="BP4650">
        <v>0.09</v>
      </c>
      <c r="BQ4650">
        <v>0.57999999999999996</v>
      </c>
      <c r="BR4650">
        <v>0.65</v>
      </c>
      <c r="BS4650">
        <v>-0.89</v>
      </c>
      <c r="BT4650">
        <v>-1.33</v>
      </c>
      <c r="BU4650">
        <v>0.57999999999999996</v>
      </c>
      <c r="BV4650">
        <v>0.87</v>
      </c>
      <c r="BW4650">
        <v>0.73</v>
      </c>
      <c r="BX4650">
        <v>-0.64</v>
      </c>
      <c r="BY4650">
        <v>2.54</v>
      </c>
      <c r="BZ4650">
        <v>0.14000000000000001</v>
      </c>
      <c r="CA4650">
        <v>0.28000000000000003</v>
      </c>
      <c r="CB4650">
        <v>0.85</v>
      </c>
      <c r="CC4650">
        <v>-0.59</v>
      </c>
      <c r="CD4650">
        <v>-0.95</v>
      </c>
      <c r="CE4650">
        <v>0.62</v>
      </c>
      <c r="CF4650">
        <v>-0.01</v>
      </c>
      <c r="CG4650">
        <v>0</v>
      </c>
      <c r="CH4650">
        <v>2.42</v>
      </c>
      <c r="CI4650">
        <v>0</v>
      </c>
      <c r="CJ4650">
        <v>-1.4</v>
      </c>
      <c r="CK4650">
        <v>98</v>
      </c>
      <c r="CL4650">
        <v>-0.57999999999999996</v>
      </c>
      <c r="CM4650">
        <v>97</v>
      </c>
      <c r="CN4650">
        <v>-0.12</v>
      </c>
      <c r="CO4650">
        <v>97</v>
      </c>
      <c r="CP4650">
        <v>-3.3</v>
      </c>
      <c r="CQ4650">
        <v>97</v>
      </c>
      <c r="CR4650">
        <v>0</v>
      </c>
      <c r="CS4650">
        <v>0</v>
      </c>
      <c r="CT4650">
        <v>-7.5</v>
      </c>
      <c r="CU4650">
        <v>96</v>
      </c>
      <c r="CV4650">
        <v>0.09</v>
      </c>
      <c r="CW4650">
        <v>46</v>
      </c>
      <c r="CX4650" t="s">
        <v>265</v>
      </c>
    </row>
    <row r="4651" spans="1:102" x14ac:dyDescent="0.3">
      <c r="A4651" t="str">
        <f>HYPERLINK("https://webapp.icbf.com/v2/app/bull-search/view/210140464","LCC")</f>
        <v>LCC</v>
      </c>
      <c r="B4651" t="s">
        <v>1170</v>
      </c>
      <c r="C4651" t="s">
        <v>1171</v>
      </c>
      <c r="D4651" s="1">
        <v>35857</v>
      </c>
      <c r="E4651" t="s">
        <v>92</v>
      </c>
      <c r="F4651">
        <v>100</v>
      </c>
      <c r="G4651" t="s">
        <v>109</v>
      </c>
      <c r="H4651">
        <v>-151.9</v>
      </c>
      <c r="I4651">
        <v>80</v>
      </c>
      <c r="J4651">
        <v>42.83</v>
      </c>
      <c r="K4651">
        <v>93</v>
      </c>
      <c r="L4651">
        <v>-167.26</v>
      </c>
      <c r="M4651">
        <v>85</v>
      </c>
      <c r="N4651">
        <v>-14.61</v>
      </c>
      <c r="O4651">
        <v>66</v>
      </c>
      <c r="P4651">
        <v>3.58</v>
      </c>
      <c r="Q4651">
        <v>61</v>
      </c>
      <c r="R4651">
        <v>-18.64</v>
      </c>
      <c r="S4651">
        <v>74</v>
      </c>
      <c r="T4651">
        <v>1.99</v>
      </c>
      <c r="U4651">
        <v>53</v>
      </c>
      <c r="V4651">
        <v>0.21</v>
      </c>
      <c r="W4651">
        <v>57</v>
      </c>
      <c r="X4651" t="s">
        <v>251</v>
      </c>
      <c r="Y4651" t="s">
        <v>95</v>
      </c>
      <c r="Z4651" t="s">
        <v>96</v>
      </c>
      <c r="AA4651" t="s">
        <v>1172</v>
      </c>
      <c r="AB4651" t="s">
        <v>1173</v>
      </c>
      <c r="AC4651">
        <v>0</v>
      </c>
      <c r="AD4651">
        <v>0</v>
      </c>
      <c r="AE4651">
        <v>93</v>
      </c>
      <c r="AF4651">
        <v>400.34</v>
      </c>
      <c r="AG4651">
        <v>13.12</v>
      </c>
      <c r="AH4651">
        <v>8.77</v>
      </c>
      <c r="AI4651">
        <v>-0.04</v>
      </c>
      <c r="AJ4651">
        <v>-0.08</v>
      </c>
      <c r="AK4651">
        <v>85</v>
      </c>
      <c r="AL4651">
        <v>0</v>
      </c>
      <c r="AM4651">
        <v>0</v>
      </c>
      <c r="AN4651">
        <v>7.5</v>
      </c>
      <c r="AO4651">
        <v>-5.86</v>
      </c>
      <c r="AP4651">
        <v>12</v>
      </c>
      <c r="AQ4651">
        <v>0</v>
      </c>
      <c r="AR4651">
        <v>8.81</v>
      </c>
      <c r="AS4651">
        <v>52</v>
      </c>
      <c r="AT4651">
        <v>4.2300000000000004</v>
      </c>
      <c r="AU4651">
        <v>86</v>
      </c>
      <c r="AV4651">
        <v>-1.27</v>
      </c>
      <c r="AW4651">
        <v>69</v>
      </c>
      <c r="AX4651">
        <v>0.53</v>
      </c>
      <c r="AY4651">
        <v>50</v>
      </c>
      <c r="AZ4651">
        <v>8.0399999999999991</v>
      </c>
      <c r="BA4651">
        <v>41</v>
      </c>
      <c r="BB4651">
        <v>6.18</v>
      </c>
      <c r="BC4651">
        <v>43</v>
      </c>
      <c r="BD4651">
        <v>7.0000000000000007E-2</v>
      </c>
      <c r="BE4651">
        <v>0.08</v>
      </c>
      <c r="BF4651">
        <v>0.16</v>
      </c>
      <c r="BG4651">
        <v>91</v>
      </c>
      <c r="BH4651">
        <v>0.06</v>
      </c>
      <c r="BI4651">
        <v>6.27</v>
      </c>
      <c r="BJ4651">
        <v>0</v>
      </c>
      <c r="BK4651">
        <v>0</v>
      </c>
      <c r="BL4651">
        <v>0.99</v>
      </c>
      <c r="BM4651">
        <v>0.31</v>
      </c>
      <c r="BN4651">
        <v>1.03</v>
      </c>
      <c r="BO4651">
        <v>1.35</v>
      </c>
      <c r="BP4651">
        <v>0.04</v>
      </c>
      <c r="BQ4651">
        <v>1.46</v>
      </c>
      <c r="BR4651">
        <v>-0.2</v>
      </c>
      <c r="BS4651">
        <v>-0.09</v>
      </c>
      <c r="BT4651">
        <v>0.83</v>
      </c>
      <c r="BU4651">
        <v>7.0000000000000007E-2</v>
      </c>
      <c r="BV4651">
        <v>1.35</v>
      </c>
      <c r="BW4651">
        <v>0.54</v>
      </c>
      <c r="BX4651">
        <v>-1.01</v>
      </c>
      <c r="BY4651">
        <v>2.4900000000000002</v>
      </c>
      <c r="BZ4651">
        <v>-0.54</v>
      </c>
      <c r="CA4651">
        <v>0.15</v>
      </c>
      <c r="CB4651">
        <v>0.59</v>
      </c>
      <c r="CC4651">
        <v>-0.09</v>
      </c>
      <c r="CD4651">
        <v>-1.42</v>
      </c>
      <c r="CE4651">
        <v>1</v>
      </c>
      <c r="CF4651">
        <v>0.52</v>
      </c>
      <c r="CG4651">
        <v>0</v>
      </c>
      <c r="CH4651">
        <v>2.41</v>
      </c>
      <c r="CI4651">
        <v>0</v>
      </c>
      <c r="CJ4651">
        <v>3.3</v>
      </c>
      <c r="CK4651">
        <v>63</v>
      </c>
      <c r="CL4651">
        <v>-0.46</v>
      </c>
      <c r="CM4651">
        <v>59</v>
      </c>
      <c r="CN4651">
        <v>-0.35</v>
      </c>
      <c r="CO4651">
        <v>57</v>
      </c>
      <c r="CP4651">
        <v>-2.2000000000000002</v>
      </c>
      <c r="CQ4651">
        <v>58</v>
      </c>
      <c r="CR4651">
        <v>0</v>
      </c>
      <c r="CS4651">
        <v>0</v>
      </c>
      <c r="CT4651">
        <v>11.1</v>
      </c>
      <c r="CU4651">
        <v>53</v>
      </c>
      <c r="CV4651">
        <v>0.11</v>
      </c>
      <c r="CW4651">
        <v>38</v>
      </c>
      <c r="CX4651" t="s">
        <v>1174</v>
      </c>
    </row>
    <row r="4652" spans="1:102" x14ac:dyDescent="0.3">
      <c r="A4652" t="str">
        <f>HYPERLINK("https://webapp.icbf.com/v2/app/bull-search/view/77856262","JAO")</f>
        <v>JAO</v>
      </c>
      <c r="B4652" t="s">
        <v>5237</v>
      </c>
      <c r="C4652" t="s">
        <v>5238</v>
      </c>
      <c r="D4652" s="1">
        <v>34474</v>
      </c>
      <c r="E4652" t="s">
        <v>92</v>
      </c>
      <c r="F4652">
        <v>100</v>
      </c>
      <c r="G4652" t="s">
        <v>93</v>
      </c>
      <c r="H4652">
        <v>-151.97999999999999</v>
      </c>
      <c r="I4652">
        <v>66</v>
      </c>
      <c r="J4652">
        <v>-16.79</v>
      </c>
      <c r="K4652">
        <v>89</v>
      </c>
      <c r="L4652">
        <v>-126.03</v>
      </c>
      <c r="M4652">
        <v>54</v>
      </c>
      <c r="N4652">
        <v>-7.88</v>
      </c>
      <c r="O4652">
        <v>50</v>
      </c>
      <c r="P4652">
        <v>-3.56</v>
      </c>
      <c r="Q4652">
        <v>67</v>
      </c>
      <c r="R4652">
        <v>-4.57</v>
      </c>
      <c r="S4652">
        <v>58</v>
      </c>
      <c r="T4652">
        <v>10.57</v>
      </c>
      <c r="U4652">
        <v>63</v>
      </c>
      <c r="V4652">
        <v>-3.72</v>
      </c>
      <c r="W4652">
        <v>25</v>
      </c>
      <c r="X4652" t="s">
        <v>94</v>
      </c>
      <c r="Y4652" t="s">
        <v>95</v>
      </c>
      <c r="Z4652" t="s">
        <v>96</v>
      </c>
      <c r="AA4652" t="s">
        <v>3216</v>
      </c>
      <c r="AB4652" t="s">
        <v>5239</v>
      </c>
      <c r="AC4652">
        <v>40</v>
      </c>
      <c r="AD4652">
        <v>41</v>
      </c>
      <c r="AE4652">
        <v>89</v>
      </c>
      <c r="AF4652">
        <v>89.07</v>
      </c>
      <c r="AG4652">
        <v>-2.92</v>
      </c>
      <c r="AH4652">
        <v>-0.46</v>
      </c>
      <c r="AI4652">
        <v>-0.1</v>
      </c>
      <c r="AJ4652">
        <v>-0.06</v>
      </c>
      <c r="AK4652">
        <v>54</v>
      </c>
      <c r="AL4652">
        <v>46</v>
      </c>
      <c r="AM4652">
        <v>41</v>
      </c>
      <c r="AN4652">
        <v>7.71</v>
      </c>
      <c r="AO4652">
        <v>-2.33</v>
      </c>
      <c r="AP4652">
        <v>4</v>
      </c>
      <c r="AQ4652">
        <v>0</v>
      </c>
      <c r="AR4652">
        <v>9.32</v>
      </c>
      <c r="AS4652">
        <v>27</v>
      </c>
      <c r="AT4652">
        <v>4.07</v>
      </c>
      <c r="AU4652">
        <v>42</v>
      </c>
      <c r="AV4652">
        <v>-1.0900000000000001</v>
      </c>
      <c r="AW4652">
        <v>62</v>
      </c>
      <c r="AX4652">
        <v>-0.38</v>
      </c>
      <c r="AY4652">
        <v>65</v>
      </c>
      <c r="AZ4652">
        <v>6.93</v>
      </c>
      <c r="BA4652">
        <v>28</v>
      </c>
      <c r="BB4652">
        <v>5.49</v>
      </c>
      <c r="BC4652">
        <v>37</v>
      </c>
      <c r="BD4652">
        <v>0.03</v>
      </c>
      <c r="BE4652">
        <v>0.05</v>
      </c>
      <c r="BF4652">
        <v>-0.04</v>
      </c>
      <c r="BG4652">
        <v>73</v>
      </c>
      <c r="BH4652">
        <v>-0.04</v>
      </c>
      <c r="BI4652">
        <v>7.38</v>
      </c>
      <c r="BJ4652">
        <v>13</v>
      </c>
      <c r="BK4652">
        <v>13</v>
      </c>
      <c r="BL4652">
        <v>0.31</v>
      </c>
      <c r="BM4652">
        <v>-0.06</v>
      </c>
      <c r="BN4652">
        <v>0.04</v>
      </c>
      <c r="BO4652">
        <v>-0.14000000000000001</v>
      </c>
      <c r="BP4652">
        <v>-1.32</v>
      </c>
      <c r="BQ4652">
        <v>-0.09</v>
      </c>
      <c r="BR4652">
        <v>1.7</v>
      </c>
      <c r="BS4652">
        <v>-2.92</v>
      </c>
      <c r="BT4652">
        <v>-1.19</v>
      </c>
      <c r="BU4652">
        <v>-1.1499999999999999</v>
      </c>
      <c r="BV4652">
        <v>-0.48</v>
      </c>
      <c r="BW4652">
        <v>-1.04</v>
      </c>
      <c r="BX4652">
        <v>-0.69</v>
      </c>
      <c r="BY4652">
        <v>-3.4</v>
      </c>
      <c r="BZ4652">
        <v>1.27</v>
      </c>
      <c r="CA4652">
        <v>-1.56</v>
      </c>
      <c r="CB4652">
        <v>-1.31</v>
      </c>
      <c r="CC4652">
        <v>-1.41</v>
      </c>
      <c r="CD4652">
        <v>0.15</v>
      </c>
      <c r="CE4652">
        <v>0.02</v>
      </c>
      <c r="CF4652">
        <v>-0.63</v>
      </c>
      <c r="CG4652">
        <v>0</v>
      </c>
      <c r="CH4652">
        <v>-1.79</v>
      </c>
      <c r="CI4652">
        <v>0</v>
      </c>
      <c r="CJ4652">
        <v>-1.2</v>
      </c>
      <c r="CK4652">
        <v>69</v>
      </c>
      <c r="CL4652">
        <v>-0.55000000000000004</v>
      </c>
      <c r="CM4652">
        <v>65</v>
      </c>
      <c r="CN4652">
        <v>-0.35</v>
      </c>
      <c r="CO4652">
        <v>61</v>
      </c>
      <c r="CP4652">
        <v>-2.2000000000000002</v>
      </c>
      <c r="CQ4652">
        <v>74</v>
      </c>
      <c r="CR4652">
        <v>0</v>
      </c>
      <c r="CS4652">
        <v>0</v>
      </c>
      <c r="CT4652">
        <v>-0.5</v>
      </c>
      <c r="CU4652">
        <v>63</v>
      </c>
      <c r="CV4652">
        <v>0.18</v>
      </c>
      <c r="CW4652">
        <v>18</v>
      </c>
      <c r="CX4652" t="s">
        <v>3209</v>
      </c>
    </row>
    <row r="4653" spans="1:102" x14ac:dyDescent="0.3">
      <c r="A4653" t="str">
        <f>HYPERLINK("https://webapp.icbf.com/v2/app/bull-search/view/77853511","STR")</f>
        <v>STR</v>
      </c>
      <c r="B4653" t="s">
        <v>11429</v>
      </c>
      <c r="C4653" t="s">
        <v>11430</v>
      </c>
      <c r="D4653" s="1">
        <v>32897</v>
      </c>
      <c r="E4653" t="s">
        <v>92</v>
      </c>
      <c r="F4653">
        <v>100</v>
      </c>
      <c r="G4653" t="s">
        <v>116</v>
      </c>
      <c r="H4653">
        <v>-152</v>
      </c>
      <c r="I4653">
        <v>49</v>
      </c>
      <c r="J4653">
        <v>-58.35</v>
      </c>
      <c r="K4653">
        <v>63</v>
      </c>
      <c r="L4653">
        <v>-84.27</v>
      </c>
      <c r="M4653">
        <v>37</v>
      </c>
      <c r="N4653">
        <v>-3.41</v>
      </c>
      <c r="O4653">
        <v>52</v>
      </c>
      <c r="P4653">
        <v>5.07</v>
      </c>
      <c r="Q4653">
        <v>53</v>
      </c>
      <c r="R4653">
        <v>-13.66</v>
      </c>
      <c r="S4653">
        <v>45</v>
      </c>
      <c r="T4653">
        <v>4.72</v>
      </c>
      <c r="U4653">
        <v>44</v>
      </c>
      <c r="V4653">
        <v>-2.1</v>
      </c>
      <c r="W4653">
        <v>35</v>
      </c>
      <c r="X4653" t="s">
        <v>110</v>
      </c>
      <c r="Y4653" t="s">
        <v>95</v>
      </c>
      <c r="Z4653" t="s">
        <v>96</v>
      </c>
      <c r="AA4653" t="s">
        <v>914</v>
      </c>
      <c r="AB4653" t="s">
        <v>11431</v>
      </c>
      <c r="AC4653">
        <v>8</v>
      </c>
      <c r="AD4653">
        <v>6</v>
      </c>
      <c r="AE4653">
        <v>63</v>
      </c>
      <c r="AF4653">
        <v>-27.28</v>
      </c>
      <c r="AG4653">
        <v>-6.42</v>
      </c>
      <c r="AH4653">
        <v>-8.07</v>
      </c>
      <c r="AI4653">
        <v>-0.09</v>
      </c>
      <c r="AJ4653">
        <v>-0.12</v>
      </c>
      <c r="AK4653">
        <v>37</v>
      </c>
      <c r="AL4653">
        <v>5</v>
      </c>
      <c r="AM4653">
        <v>3</v>
      </c>
      <c r="AN4653">
        <v>3.86</v>
      </c>
      <c r="AO4653">
        <v>-2.87</v>
      </c>
      <c r="AP4653">
        <v>16</v>
      </c>
      <c r="AQ4653">
        <v>1</v>
      </c>
      <c r="AR4653">
        <v>7.93</v>
      </c>
      <c r="AS4653">
        <v>30</v>
      </c>
      <c r="AT4653">
        <v>4.01</v>
      </c>
      <c r="AU4653">
        <v>45</v>
      </c>
      <c r="AV4653">
        <v>-1.1499999999999999</v>
      </c>
      <c r="AW4653">
        <v>70</v>
      </c>
      <c r="AX4653">
        <v>0.14000000000000001</v>
      </c>
      <c r="AY4653">
        <v>47</v>
      </c>
      <c r="AZ4653">
        <v>6.66</v>
      </c>
      <c r="BA4653">
        <v>28</v>
      </c>
      <c r="BB4653">
        <v>5.51</v>
      </c>
      <c r="BC4653">
        <v>32</v>
      </c>
      <c r="BD4653">
        <v>0.03</v>
      </c>
      <c r="BE4653">
        <v>0.06</v>
      </c>
      <c r="BF4653">
        <v>0.15</v>
      </c>
      <c r="BG4653">
        <v>56</v>
      </c>
      <c r="BH4653">
        <v>0.03</v>
      </c>
      <c r="BI4653">
        <v>10.25</v>
      </c>
      <c r="BJ4653">
        <v>1</v>
      </c>
      <c r="BK4653">
        <v>1</v>
      </c>
      <c r="BL4653">
        <v>0.06</v>
      </c>
      <c r="BM4653">
        <v>-0.18</v>
      </c>
      <c r="BN4653">
        <v>1.32</v>
      </c>
      <c r="BO4653">
        <v>1.1200000000000001</v>
      </c>
      <c r="BP4653">
        <v>-1.87</v>
      </c>
      <c r="BQ4653">
        <v>1.07</v>
      </c>
      <c r="BR4653">
        <v>0.9</v>
      </c>
      <c r="BS4653">
        <v>-0.87</v>
      </c>
      <c r="BT4653">
        <v>-0.72</v>
      </c>
      <c r="BU4653">
        <v>0.28999999999999998</v>
      </c>
      <c r="BV4653">
        <v>0.87</v>
      </c>
      <c r="BW4653">
        <v>1.65</v>
      </c>
      <c r="BX4653">
        <v>-0.69</v>
      </c>
      <c r="BY4653">
        <v>0.99</v>
      </c>
      <c r="BZ4653">
        <v>0.81</v>
      </c>
      <c r="CA4653">
        <v>0.26</v>
      </c>
      <c r="CB4653">
        <v>0.97</v>
      </c>
      <c r="CC4653">
        <v>-0.99</v>
      </c>
      <c r="CD4653">
        <v>-1.45</v>
      </c>
      <c r="CE4653">
        <v>0.94</v>
      </c>
      <c r="CF4653">
        <v>1.4</v>
      </c>
      <c r="CG4653">
        <v>0</v>
      </c>
      <c r="CH4653">
        <v>0.25</v>
      </c>
      <c r="CI4653">
        <v>0</v>
      </c>
      <c r="CJ4653">
        <v>3.8</v>
      </c>
      <c r="CK4653">
        <v>55</v>
      </c>
      <c r="CL4653">
        <v>-0.41</v>
      </c>
      <c r="CM4653">
        <v>51</v>
      </c>
      <c r="CN4653">
        <v>-0.34</v>
      </c>
      <c r="CO4653">
        <v>49</v>
      </c>
      <c r="CP4653">
        <v>0.5</v>
      </c>
      <c r="CQ4653">
        <v>48</v>
      </c>
      <c r="CR4653">
        <v>0</v>
      </c>
      <c r="CS4653">
        <v>0</v>
      </c>
      <c r="CT4653">
        <v>7.4</v>
      </c>
      <c r="CU4653">
        <v>44</v>
      </c>
      <c r="CV4653">
        <v>0.18</v>
      </c>
      <c r="CW4653">
        <v>15</v>
      </c>
      <c r="CX4653" t="s">
        <v>154</v>
      </c>
    </row>
    <row r="4654" spans="1:102" x14ac:dyDescent="0.3">
      <c r="A4654" t="str">
        <f>HYPERLINK("https://webapp.icbf.com/v2/app/bull-search/view/77856619","HTN")</f>
        <v>HTN</v>
      </c>
      <c r="B4654" t="s">
        <v>1180</v>
      </c>
      <c r="C4654" t="s">
        <v>1181</v>
      </c>
      <c r="D4654" s="1">
        <v>35392</v>
      </c>
      <c r="E4654" t="s">
        <v>92</v>
      </c>
      <c r="F4654">
        <v>97</v>
      </c>
      <c r="G4654" t="s">
        <v>93</v>
      </c>
      <c r="H4654">
        <v>-152.05000000000001</v>
      </c>
      <c r="I4654">
        <v>81</v>
      </c>
      <c r="J4654">
        <v>10.65</v>
      </c>
      <c r="K4654">
        <v>94</v>
      </c>
      <c r="L4654">
        <v>-146.91999999999999</v>
      </c>
      <c r="M4654">
        <v>75</v>
      </c>
      <c r="N4654">
        <v>-9.27</v>
      </c>
      <c r="O4654">
        <v>70</v>
      </c>
      <c r="P4654">
        <v>3.59</v>
      </c>
      <c r="Q4654">
        <v>82</v>
      </c>
      <c r="R4654">
        <v>-10.220000000000001</v>
      </c>
      <c r="S4654">
        <v>73</v>
      </c>
      <c r="T4654">
        <v>6.06</v>
      </c>
      <c r="U4654">
        <v>74</v>
      </c>
      <c r="V4654">
        <v>-5.94</v>
      </c>
      <c r="W4654">
        <v>60</v>
      </c>
      <c r="X4654" t="s">
        <v>94</v>
      </c>
      <c r="Y4654" t="s">
        <v>95</v>
      </c>
      <c r="Z4654" t="s">
        <v>96</v>
      </c>
      <c r="AA4654" t="s">
        <v>97</v>
      </c>
      <c r="AB4654" t="s">
        <v>1182</v>
      </c>
      <c r="AC4654">
        <v>53</v>
      </c>
      <c r="AD4654">
        <v>48</v>
      </c>
      <c r="AE4654">
        <v>94</v>
      </c>
      <c r="AF4654">
        <v>243.39</v>
      </c>
      <c r="AG4654">
        <v>3.58</v>
      </c>
      <c r="AH4654">
        <v>4.2699999999999996</v>
      </c>
      <c r="AI4654">
        <v>-0.1</v>
      </c>
      <c r="AJ4654">
        <v>-7.0000000000000007E-2</v>
      </c>
      <c r="AK4654">
        <v>75</v>
      </c>
      <c r="AL4654">
        <v>51</v>
      </c>
      <c r="AM4654">
        <v>46</v>
      </c>
      <c r="AN4654">
        <v>6.98</v>
      </c>
      <c r="AO4654">
        <v>-4.75</v>
      </c>
      <c r="AP4654">
        <v>8</v>
      </c>
      <c r="AQ4654">
        <v>42</v>
      </c>
      <c r="AR4654">
        <v>9.7100000000000009</v>
      </c>
      <c r="AS4654">
        <v>53</v>
      </c>
      <c r="AT4654">
        <v>3.9</v>
      </c>
      <c r="AU4654">
        <v>71</v>
      </c>
      <c r="AV4654">
        <v>-0.04</v>
      </c>
      <c r="AW4654">
        <v>77</v>
      </c>
      <c r="AX4654">
        <v>-0.54</v>
      </c>
      <c r="AY4654">
        <v>77</v>
      </c>
      <c r="AZ4654">
        <v>6.03</v>
      </c>
      <c r="BA4654">
        <v>45</v>
      </c>
      <c r="BB4654">
        <v>4.5599999999999996</v>
      </c>
      <c r="BC4654">
        <v>55</v>
      </c>
      <c r="BD4654">
        <v>0</v>
      </c>
      <c r="BE4654">
        <v>0.05</v>
      </c>
      <c r="BF4654">
        <v>0.14000000000000001</v>
      </c>
      <c r="BG4654">
        <v>84</v>
      </c>
      <c r="BH4654">
        <v>-0.21</v>
      </c>
      <c r="BI4654">
        <v>-5.13</v>
      </c>
      <c r="BJ4654">
        <v>0</v>
      </c>
      <c r="BK4654">
        <v>0</v>
      </c>
      <c r="BL4654">
        <v>0.31</v>
      </c>
      <c r="BM4654">
        <v>-0.99</v>
      </c>
      <c r="BN4654">
        <v>-0.69</v>
      </c>
      <c r="BO4654">
        <v>0.02</v>
      </c>
      <c r="BP4654">
        <v>2.4</v>
      </c>
      <c r="BQ4654">
        <v>-0.72</v>
      </c>
      <c r="BR4654">
        <v>0.88</v>
      </c>
      <c r="BS4654">
        <v>1.24</v>
      </c>
      <c r="BT4654">
        <v>-1.19</v>
      </c>
      <c r="BU4654">
        <v>-0.74</v>
      </c>
      <c r="BV4654">
        <v>-0.99</v>
      </c>
      <c r="BW4654">
        <v>-0.37</v>
      </c>
      <c r="BX4654">
        <v>-0.47</v>
      </c>
      <c r="BY4654">
        <v>0.35</v>
      </c>
      <c r="BZ4654">
        <v>-1.84</v>
      </c>
      <c r="CA4654">
        <v>-0.25</v>
      </c>
      <c r="CB4654">
        <v>-0.56000000000000005</v>
      </c>
      <c r="CC4654">
        <v>0.26</v>
      </c>
      <c r="CD4654">
        <v>-0.73</v>
      </c>
      <c r="CE4654">
        <v>0.18</v>
      </c>
      <c r="CF4654">
        <v>-0.92</v>
      </c>
      <c r="CG4654">
        <v>0</v>
      </c>
      <c r="CH4654">
        <v>0.87</v>
      </c>
      <c r="CI4654">
        <v>0</v>
      </c>
      <c r="CJ4654">
        <v>1.4</v>
      </c>
      <c r="CK4654">
        <v>83</v>
      </c>
      <c r="CL4654">
        <v>-0.32</v>
      </c>
      <c r="CM4654">
        <v>81</v>
      </c>
      <c r="CN4654">
        <v>-0.43</v>
      </c>
      <c r="CO4654">
        <v>78</v>
      </c>
      <c r="CP4654">
        <v>-0.5</v>
      </c>
      <c r="CQ4654">
        <v>83</v>
      </c>
      <c r="CR4654">
        <v>0</v>
      </c>
      <c r="CS4654">
        <v>0</v>
      </c>
      <c r="CT4654">
        <v>5.6</v>
      </c>
      <c r="CU4654">
        <v>74</v>
      </c>
      <c r="CV4654">
        <v>0.04</v>
      </c>
      <c r="CW4654">
        <v>42</v>
      </c>
      <c r="CX4654" t="s">
        <v>564</v>
      </c>
    </row>
    <row r="4655" spans="1:102" x14ac:dyDescent="0.3">
      <c r="A4655" t="str">
        <f>HYPERLINK("https://webapp.icbf.com/v2/app/bull-search/view/77853859","SIL")</f>
        <v>SIL</v>
      </c>
      <c r="B4655" t="s">
        <v>9850</v>
      </c>
      <c r="C4655" t="s">
        <v>9851</v>
      </c>
      <c r="D4655" s="1">
        <v>35697</v>
      </c>
      <c r="E4655" t="s">
        <v>92</v>
      </c>
      <c r="F4655">
        <v>100</v>
      </c>
      <c r="G4655" t="s">
        <v>93</v>
      </c>
      <c r="H4655">
        <v>-152.1</v>
      </c>
      <c r="I4655">
        <v>86</v>
      </c>
      <c r="J4655">
        <v>41.87</v>
      </c>
      <c r="K4655">
        <v>97</v>
      </c>
      <c r="L4655">
        <v>-174.67</v>
      </c>
      <c r="M4655">
        <v>81</v>
      </c>
      <c r="N4655">
        <v>-9.8699999999999992</v>
      </c>
      <c r="O4655">
        <v>76</v>
      </c>
      <c r="P4655">
        <v>-7.81</v>
      </c>
      <c r="Q4655">
        <v>87</v>
      </c>
      <c r="R4655">
        <v>-10.220000000000001</v>
      </c>
      <c r="S4655">
        <v>79</v>
      </c>
      <c r="T4655">
        <v>11.24</v>
      </c>
      <c r="U4655">
        <v>78</v>
      </c>
      <c r="V4655">
        <v>-2.64</v>
      </c>
      <c r="W4655">
        <v>70</v>
      </c>
      <c r="X4655" t="s">
        <v>94</v>
      </c>
      <c r="Y4655" t="s">
        <v>95</v>
      </c>
      <c r="Z4655" t="s">
        <v>96</v>
      </c>
      <c r="AA4655" t="s">
        <v>2898</v>
      </c>
      <c r="AB4655" t="s">
        <v>9852</v>
      </c>
      <c r="AC4655">
        <v>82</v>
      </c>
      <c r="AD4655">
        <v>73</v>
      </c>
      <c r="AE4655">
        <v>97</v>
      </c>
      <c r="AF4655">
        <v>99.72</v>
      </c>
      <c r="AG4655">
        <v>13.05</v>
      </c>
      <c r="AH4655">
        <v>4.03</v>
      </c>
      <c r="AI4655">
        <v>0.16</v>
      </c>
      <c r="AJ4655">
        <v>0.01</v>
      </c>
      <c r="AK4655">
        <v>81</v>
      </c>
      <c r="AL4655">
        <v>85</v>
      </c>
      <c r="AM4655">
        <v>71</v>
      </c>
      <c r="AN4655">
        <v>8.6999999999999993</v>
      </c>
      <c r="AO4655">
        <v>-5.24</v>
      </c>
      <c r="AP4655">
        <v>25</v>
      </c>
      <c r="AQ4655">
        <v>1</v>
      </c>
      <c r="AR4655">
        <v>6.31</v>
      </c>
      <c r="AS4655">
        <v>67</v>
      </c>
      <c r="AT4655">
        <v>3.07</v>
      </c>
      <c r="AU4655">
        <v>81</v>
      </c>
      <c r="AV4655">
        <v>0.28000000000000003</v>
      </c>
      <c r="AW4655">
        <v>77</v>
      </c>
      <c r="AX4655">
        <v>1.42</v>
      </c>
      <c r="AY4655">
        <v>79</v>
      </c>
      <c r="AZ4655">
        <v>7.94</v>
      </c>
      <c r="BA4655">
        <v>63</v>
      </c>
      <c r="BB4655">
        <v>5.98</v>
      </c>
      <c r="BC4655">
        <v>67</v>
      </c>
      <c r="BD4655">
        <v>0.06</v>
      </c>
      <c r="BE4655">
        <v>0.05</v>
      </c>
      <c r="BF4655">
        <v>0.04</v>
      </c>
      <c r="BG4655">
        <v>89</v>
      </c>
      <c r="BH4655">
        <v>-0.03</v>
      </c>
      <c r="BI4655">
        <v>5.03</v>
      </c>
      <c r="BJ4655">
        <v>21</v>
      </c>
      <c r="BK4655">
        <v>20</v>
      </c>
      <c r="BL4655">
        <v>0.16</v>
      </c>
      <c r="BM4655">
        <v>1.0900000000000001</v>
      </c>
      <c r="BN4655">
        <v>1.21</v>
      </c>
      <c r="BO4655">
        <v>0.18</v>
      </c>
      <c r="BP4655">
        <v>-1.27</v>
      </c>
      <c r="BQ4655">
        <v>0.01</v>
      </c>
      <c r="BR4655">
        <v>1.91</v>
      </c>
      <c r="BS4655">
        <v>-2.58</v>
      </c>
      <c r="BT4655">
        <v>-1.64</v>
      </c>
      <c r="BU4655">
        <v>0.35</v>
      </c>
      <c r="BV4655">
        <v>0</v>
      </c>
      <c r="BW4655">
        <v>-0.5</v>
      </c>
      <c r="BX4655">
        <v>-0.76</v>
      </c>
      <c r="BY4655">
        <v>0.69</v>
      </c>
      <c r="BZ4655">
        <v>0.88</v>
      </c>
      <c r="CA4655">
        <v>-0.82</v>
      </c>
      <c r="CB4655">
        <v>0.25</v>
      </c>
      <c r="CC4655">
        <v>-2.27</v>
      </c>
      <c r="CD4655">
        <v>0.44</v>
      </c>
      <c r="CE4655">
        <v>0.51</v>
      </c>
      <c r="CF4655">
        <v>0.79</v>
      </c>
      <c r="CG4655">
        <v>0</v>
      </c>
      <c r="CH4655">
        <v>1.08</v>
      </c>
      <c r="CI4655">
        <v>0</v>
      </c>
      <c r="CJ4655">
        <v>-0.9</v>
      </c>
      <c r="CK4655">
        <v>88</v>
      </c>
      <c r="CL4655">
        <v>-0.49</v>
      </c>
      <c r="CM4655">
        <v>86</v>
      </c>
      <c r="CN4655">
        <v>0.06</v>
      </c>
      <c r="CO4655">
        <v>84</v>
      </c>
      <c r="CP4655">
        <v>-5.4</v>
      </c>
      <c r="CQ4655">
        <v>88</v>
      </c>
      <c r="CR4655">
        <v>0</v>
      </c>
      <c r="CS4655">
        <v>0</v>
      </c>
      <c r="CT4655">
        <v>-1.4</v>
      </c>
      <c r="CU4655">
        <v>78</v>
      </c>
      <c r="CV4655">
        <v>0.08</v>
      </c>
      <c r="CW4655">
        <v>43</v>
      </c>
      <c r="CX4655" t="s">
        <v>485</v>
      </c>
    </row>
    <row r="4656" spans="1:102" x14ac:dyDescent="0.3">
      <c r="A4656" t="str">
        <f>HYPERLINK("https://webapp.icbf.com/v2/app/bull-search/view/77852767","ZDZ")</f>
        <v>ZDZ</v>
      </c>
      <c r="B4656" t="s">
        <v>3976</v>
      </c>
      <c r="C4656" t="s">
        <v>3977</v>
      </c>
      <c r="D4656" s="1">
        <v>32721</v>
      </c>
      <c r="E4656" t="s">
        <v>92</v>
      </c>
      <c r="F4656">
        <v>100</v>
      </c>
      <c r="G4656" t="s">
        <v>93</v>
      </c>
      <c r="H4656">
        <v>-152.38999999999999</v>
      </c>
      <c r="I4656">
        <v>92</v>
      </c>
      <c r="J4656">
        <v>-5.29</v>
      </c>
      <c r="K4656">
        <v>98</v>
      </c>
      <c r="L4656">
        <v>-118.07</v>
      </c>
      <c r="M4656">
        <v>92</v>
      </c>
      <c r="N4656">
        <v>-19.34</v>
      </c>
      <c r="O4656">
        <v>86</v>
      </c>
      <c r="P4656">
        <v>-3.72</v>
      </c>
      <c r="Q4656">
        <v>90</v>
      </c>
      <c r="R4656">
        <v>-2.29</v>
      </c>
      <c r="S4656">
        <v>84</v>
      </c>
      <c r="T4656">
        <v>3.61</v>
      </c>
      <c r="U4656">
        <v>85</v>
      </c>
      <c r="V4656">
        <v>-7.29</v>
      </c>
      <c r="W4656">
        <v>72</v>
      </c>
      <c r="X4656" t="s">
        <v>94</v>
      </c>
      <c r="Y4656" t="s">
        <v>95</v>
      </c>
      <c r="Z4656" t="s">
        <v>96</v>
      </c>
      <c r="AA4656" t="s">
        <v>267</v>
      </c>
      <c r="AB4656" t="s">
        <v>3978</v>
      </c>
      <c r="AC4656">
        <v>217</v>
      </c>
      <c r="AD4656">
        <v>135</v>
      </c>
      <c r="AE4656">
        <v>98</v>
      </c>
      <c r="AF4656">
        <v>297.83</v>
      </c>
      <c r="AG4656">
        <v>6.13</v>
      </c>
      <c r="AH4656">
        <v>1.49</v>
      </c>
      <c r="AI4656">
        <v>-0.09</v>
      </c>
      <c r="AJ4656">
        <v>-0.14000000000000001</v>
      </c>
      <c r="AK4656">
        <v>92</v>
      </c>
      <c r="AL4656">
        <v>213</v>
      </c>
      <c r="AM4656">
        <v>120</v>
      </c>
      <c r="AN4656">
        <v>7.69</v>
      </c>
      <c r="AO4656">
        <v>-1.71</v>
      </c>
      <c r="AP4656">
        <v>19</v>
      </c>
      <c r="AQ4656">
        <v>0</v>
      </c>
      <c r="AR4656">
        <v>9.32</v>
      </c>
      <c r="AS4656">
        <v>72</v>
      </c>
      <c r="AT4656">
        <v>3.83</v>
      </c>
      <c r="AU4656">
        <v>94</v>
      </c>
      <c r="AV4656">
        <v>1.24</v>
      </c>
      <c r="AW4656">
        <v>87</v>
      </c>
      <c r="AX4656">
        <v>-0.23</v>
      </c>
      <c r="AY4656">
        <v>88</v>
      </c>
      <c r="AZ4656">
        <v>6.61</v>
      </c>
      <c r="BA4656">
        <v>68</v>
      </c>
      <c r="BB4656">
        <v>4.63</v>
      </c>
      <c r="BC4656">
        <v>78</v>
      </c>
      <c r="BD4656">
        <v>0.04</v>
      </c>
      <c r="BE4656">
        <v>0.04</v>
      </c>
      <c r="BF4656">
        <v>-0.09</v>
      </c>
      <c r="BG4656">
        <v>95</v>
      </c>
      <c r="BH4656">
        <v>-0.1</v>
      </c>
      <c r="BI4656">
        <v>11.95</v>
      </c>
      <c r="BJ4656">
        <v>47</v>
      </c>
      <c r="BK4656">
        <v>35</v>
      </c>
      <c r="BL4656">
        <v>0.32</v>
      </c>
      <c r="BM4656">
        <v>0.13</v>
      </c>
      <c r="BN4656">
        <v>1.25</v>
      </c>
      <c r="BO4656">
        <v>0.72</v>
      </c>
      <c r="BP4656">
        <v>-2.1</v>
      </c>
      <c r="BQ4656">
        <v>-0.01</v>
      </c>
      <c r="BR4656">
        <v>0.69</v>
      </c>
      <c r="BS4656">
        <v>-0.56000000000000005</v>
      </c>
      <c r="BT4656">
        <v>1.18</v>
      </c>
      <c r="BU4656">
        <v>-0.48</v>
      </c>
      <c r="BV4656">
        <v>0.11</v>
      </c>
      <c r="BW4656">
        <v>0.34</v>
      </c>
      <c r="BX4656">
        <v>-0.64</v>
      </c>
      <c r="BY4656">
        <v>-1.23</v>
      </c>
      <c r="BZ4656">
        <v>1.1299999999999999</v>
      </c>
      <c r="CA4656">
        <v>-0.26</v>
      </c>
      <c r="CB4656">
        <v>-0.19</v>
      </c>
      <c r="CC4656">
        <v>-0.39</v>
      </c>
      <c r="CD4656">
        <v>-0.28999999999999998</v>
      </c>
      <c r="CE4656">
        <v>0.48</v>
      </c>
      <c r="CF4656">
        <v>-0.26</v>
      </c>
      <c r="CG4656">
        <v>0</v>
      </c>
      <c r="CH4656">
        <v>-1.22</v>
      </c>
      <c r="CI4656">
        <v>0</v>
      </c>
      <c r="CJ4656">
        <v>-1.7</v>
      </c>
      <c r="CK4656">
        <v>91</v>
      </c>
      <c r="CL4656">
        <v>-0.6</v>
      </c>
      <c r="CM4656">
        <v>89</v>
      </c>
      <c r="CN4656">
        <v>-0.42</v>
      </c>
      <c r="CO4656">
        <v>88</v>
      </c>
      <c r="CP4656">
        <v>-0.7</v>
      </c>
      <c r="CQ4656">
        <v>95</v>
      </c>
      <c r="CR4656">
        <v>0</v>
      </c>
      <c r="CS4656">
        <v>0</v>
      </c>
      <c r="CT4656">
        <v>8.9</v>
      </c>
      <c r="CU4656">
        <v>85</v>
      </c>
      <c r="CV4656">
        <v>-0.01</v>
      </c>
      <c r="CW4656">
        <v>44</v>
      </c>
      <c r="CX4656" t="s">
        <v>3979</v>
      </c>
    </row>
    <row r="4657" spans="1:102" x14ac:dyDescent="0.3">
      <c r="A4657" t="str">
        <f>HYPERLINK("https://webapp.icbf.com/v2/app/bull-search/view/77853892","SLA")</f>
        <v>SLA</v>
      </c>
      <c r="B4657" t="s">
        <v>4288</v>
      </c>
      <c r="C4657" t="s">
        <v>4116</v>
      </c>
      <c r="D4657" s="1">
        <v>33016</v>
      </c>
      <c r="E4657" t="s">
        <v>92</v>
      </c>
      <c r="F4657">
        <v>94</v>
      </c>
      <c r="G4657" t="s">
        <v>93</v>
      </c>
      <c r="H4657">
        <v>-152.41999999999999</v>
      </c>
      <c r="I4657">
        <v>88</v>
      </c>
      <c r="J4657">
        <v>-0.89</v>
      </c>
      <c r="K4657">
        <v>96</v>
      </c>
      <c r="L4657">
        <v>-143.76</v>
      </c>
      <c r="M4657">
        <v>90</v>
      </c>
      <c r="N4657">
        <v>1.39</v>
      </c>
      <c r="O4657">
        <v>77</v>
      </c>
      <c r="P4657">
        <v>-12.62</v>
      </c>
      <c r="Q4657">
        <v>83</v>
      </c>
      <c r="R4657">
        <v>-13.13</v>
      </c>
      <c r="S4657">
        <v>78</v>
      </c>
      <c r="T4657">
        <v>16.12</v>
      </c>
      <c r="U4657">
        <v>82</v>
      </c>
      <c r="V4657">
        <v>0.47</v>
      </c>
      <c r="W4657">
        <v>60</v>
      </c>
      <c r="X4657" t="s">
        <v>276</v>
      </c>
      <c r="Y4657" t="s">
        <v>95</v>
      </c>
      <c r="Z4657" t="s">
        <v>96</v>
      </c>
      <c r="AA4657" t="s">
        <v>4289</v>
      </c>
      <c r="AB4657" t="s">
        <v>4290</v>
      </c>
      <c r="AC4657">
        <v>95</v>
      </c>
      <c r="AD4657">
        <v>61</v>
      </c>
      <c r="AE4657">
        <v>96</v>
      </c>
      <c r="AF4657">
        <v>64.19</v>
      </c>
      <c r="AG4657">
        <v>-0.11</v>
      </c>
      <c r="AH4657">
        <v>0.87</v>
      </c>
      <c r="AI4657">
        <v>-0.05</v>
      </c>
      <c r="AJ4657">
        <v>-0.02</v>
      </c>
      <c r="AK4657">
        <v>90</v>
      </c>
      <c r="AL4657">
        <v>75</v>
      </c>
      <c r="AM4657">
        <v>47</v>
      </c>
      <c r="AN4657">
        <v>7.42</v>
      </c>
      <c r="AO4657">
        <v>-4.05</v>
      </c>
      <c r="AP4657">
        <v>7</v>
      </c>
      <c r="AQ4657">
        <v>0</v>
      </c>
      <c r="AR4657">
        <v>8.5399999999999991</v>
      </c>
      <c r="AS4657">
        <v>65</v>
      </c>
      <c r="AT4657">
        <v>3.83</v>
      </c>
      <c r="AU4657">
        <v>92</v>
      </c>
      <c r="AV4657">
        <v>-1.47</v>
      </c>
      <c r="AW4657">
        <v>77</v>
      </c>
      <c r="AX4657">
        <v>0.05</v>
      </c>
      <c r="AY4657">
        <v>78</v>
      </c>
      <c r="AZ4657">
        <v>6.79</v>
      </c>
      <c r="BA4657">
        <v>60</v>
      </c>
      <c r="BB4657">
        <v>5.08</v>
      </c>
      <c r="BC4657">
        <v>63</v>
      </c>
      <c r="BD4657">
        <v>0.09</v>
      </c>
      <c r="BE4657">
        <v>0.08</v>
      </c>
      <c r="BF4657">
        <v>0</v>
      </c>
      <c r="BG4657">
        <v>94</v>
      </c>
      <c r="BH4657">
        <v>0.06</v>
      </c>
      <c r="BI4657">
        <v>5.42</v>
      </c>
      <c r="BJ4657">
        <v>20</v>
      </c>
      <c r="BK4657">
        <v>15</v>
      </c>
      <c r="BL4657">
        <v>0.15</v>
      </c>
      <c r="BM4657">
        <v>-0.64</v>
      </c>
      <c r="BN4657">
        <v>0.64</v>
      </c>
      <c r="BO4657">
        <v>0.91</v>
      </c>
      <c r="BP4657">
        <v>-1.42</v>
      </c>
      <c r="BQ4657">
        <v>-0.64</v>
      </c>
      <c r="BR4657">
        <v>0.86</v>
      </c>
      <c r="BS4657">
        <v>-1.94</v>
      </c>
      <c r="BT4657">
        <v>-0.04</v>
      </c>
      <c r="BU4657">
        <v>-7.0000000000000007E-2</v>
      </c>
      <c r="BV4657">
        <v>0.67</v>
      </c>
      <c r="BW4657">
        <v>-0.92</v>
      </c>
      <c r="BX4657">
        <v>-0.68</v>
      </c>
      <c r="BY4657">
        <v>-0.3</v>
      </c>
      <c r="BZ4657">
        <v>-7.0000000000000007E-2</v>
      </c>
      <c r="CA4657">
        <v>-0.41</v>
      </c>
      <c r="CB4657">
        <v>0.3</v>
      </c>
      <c r="CC4657">
        <v>-1.29</v>
      </c>
      <c r="CD4657">
        <v>-1.1200000000000001</v>
      </c>
      <c r="CE4657">
        <v>0.72</v>
      </c>
      <c r="CF4657">
        <v>-0.19</v>
      </c>
      <c r="CG4657">
        <v>0</v>
      </c>
      <c r="CH4657">
        <v>-0.45</v>
      </c>
      <c r="CI4657">
        <v>0</v>
      </c>
      <c r="CJ4657">
        <v>-4.2</v>
      </c>
      <c r="CK4657">
        <v>84</v>
      </c>
      <c r="CL4657">
        <v>-0.82</v>
      </c>
      <c r="CM4657">
        <v>81</v>
      </c>
      <c r="CN4657">
        <v>-0.24</v>
      </c>
      <c r="CO4657">
        <v>79</v>
      </c>
      <c r="CP4657">
        <v>-7.8</v>
      </c>
      <c r="CQ4657">
        <v>89</v>
      </c>
      <c r="CR4657">
        <v>0</v>
      </c>
      <c r="CS4657">
        <v>0</v>
      </c>
      <c r="CT4657">
        <v>-8</v>
      </c>
      <c r="CU4657">
        <v>82</v>
      </c>
      <c r="CV4657">
        <v>0.09</v>
      </c>
      <c r="CW4657">
        <v>42</v>
      </c>
      <c r="CX4657" t="s">
        <v>260</v>
      </c>
    </row>
    <row r="4658" spans="1:102" x14ac:dyDescent="0.3">
      <c r="A4658" t="str">
        <f>HYPERLINK("https://webapp.icbf.com/v2/app/bull-search/view/139188021","MZR")</f>
        <v>MZR</v>
      </c>
      <c r="B4658" t="s">
        <v>4706</v>
      </c>
      <c r="C4658" t="s">
        <v>4707</v>
      </c>
      <c r="D4658" s="1">
        <v>35140</v>
      </c>
      <c r="E4658" t="s">
        <v>140</v>
      </c>
      <c r="F4658">
        <v>0</v>
      </c>
      <c r="G4658" t="s">
        <v>93</v>
      </c>
      <c r="H4658">
        <v>-152.53</v>
      </c>
      <c r="I4658">
        <v>74</v>
      </c>
      <c r="J4658">
        <v>-60.93</v>
      </c>
      <c r="K4658">
        <v>93</v>
      </c>
      <c r="L4658">
        <v>-57.01</v>
      </c>
      <c r="M4658">
        <v>57</v>
      </c>
      <c r="N4658">
        <v>-65.41</v>
      </c>
      <c r="O4658">
        <v>69</v>
      </c>
      <c r="P4658">
        <v>10.89</v>
      </c>
      <c r="Q4658">
        <v>92</v>
      </c>
      <c r="R4658">
        <v>6.15</v>
      </c>
      <c r="S4658">
        <v>63</v>
      </c>
      <c r="T4658">
        <v>23.45</v>
      </c>
      <c r="U4658">
        <v>72</v>
      </c>
      <c r="V4658">
        <v>-9.67</v>
      </c>
      <c r="W4658">
        <v>50</v>
      </c>
      <c r="X4658" t="s">
        <v>94</v>
      </c>
      <c r="Y4658" t="s">
        <v>95</v>
      </c>
      <c r="Z4658">
        <v>0</v>
      </c>
      <c r="AA4658" t="s">
        <v>1177</v>
      </c>
      <c r="AB4658" t="s">
        <v>4708</v>
      </c>
      <c r="AC4658">
        <v>57</v>
      </c>
      <c r="AD4658">
        <v>18</v>
      </c>
      <c r="AE4658">
        <v>93</v>
      </c>
      <c r="AF4658">
        <v>-291.98</v>
      </c>
      <c r="AG4658">
        <v>-18.72</v>
      </c>
      <c r="AH4658">
        <v>-8.2100000000000009</v>
      </c>
      <c r="AI4658">
        <v>-0.13</v>
      </c>
      <c r="AJ4658">
        <v>0.03</v>
      </c>
      <c r="AK4658">
        <v>57</v>
      </c>
      <c r="AL4658">
        <v>55</v>
      </c>
      <c r="AM4658">
        <v>23</v>
      </c>
      <c r="AN4658">
        <v>2.86</v>
      </c>
      <c r="AO4658">
        <v>-1.69</v>
      </c>
      <c r="AP4658">
        <v>76</v>
      </c>
      <c r="AQ4658">
        <v>1</v>
      </c>
      <c r="AR4658">
        <v>13.34</v>
      </c>
      <c r="AS4658">
        <v>51</v>
      </c>
      <c r="AT4658">
        <v>5.71</v>
      </c>
      <c r="AU4658">
        <v>70</v>
      </c>
      <c r="AV4658">
        <v>2.52</v>
      </c>
      <c r="AW4658">
        <v>79</v>
      </c>
      <c r="AX4658">
        <v>-0.45</v>
      </c>
      <c r="AY4658">
        <v>75</v>
      </c>
      <c r="AZ4658">
        <v>6.04</v>
      </c>
      <c r="BA4658">
        <v>43</v>
      </c>
      <c r="BB4658">
        <v>4.46</v>
      </c>
      <c r="BC4658">
        <v>48</v>
      </c>
      <c r="BD4658">
        <v>0.04</v>
      </c>
      <c r="BE4658">
        <v>-0.02</v>
      </c>
      <c r="BF4658">
        <v>-0.17</v>
      </c>
      <c r="BG4658">
        <v>74</v>
      </c>
      <c r="BH4658">
        <v>-0.34</v>
      </c>
      <c r="BI4658">
        <v>-8.14</v>
      </c>
      <c r="BJ4658">
        <v>0</v>
      </c>
      <c r="BK4658">
        <v>0</v>
      </c>
      <c r="BL4658">
        <v>-0.84</v>
      </c>
      <c r="BM4658">
        <v>3.12</v>
      </c>
      <c r="BN4658">
        <v>-1.66</v>
      </c>
      <c r="BO4658">
        <v>-2.77</v>
      </c>
      <c r="BP4658">
        <v>4.2300000000000004</v>
      </c>
      <c r="BQ4658">
        <v>-2.34</v>
      </c>
      <c r="BR4658">
        <v>-2.62</v>
      </c>
      <c r="BS4658">
        <v>-0.59</v>
      </c>
      <c r="BT4658">
        <v>2.5099999999999998</v>
      </c>
      <c r="BU4658">
        <v>-3.22</v>
      </c>
      <c r="BV4658">
        <v>-3.55</v>
      </c>
      <c r="BW4658">
        <v>-2.65</v>
      </c>
      <c r="BX4658">
        <v>-2.54</v>
      </c>
      <c r="BY4658">
        <v>-2.29</v>
      </c>
      <c r="BZ4658">
        <v>0.97</v>
      </c>
      <c r="CA4658">
        <v>-2.2200000000000002</v>
      </c>
      <c r="CB4658">
        <v>-2.85</v>
      </c>
      <c r="CC4658">
        <v>-0.36</v>
      </c>
      <c r="CD4658">
        <v>3.68</v>
      </c>
      <c r="CE4658">
        <v>-2.71</v>
      </c>
      <c r="CF4658">
        <v>-1.03</v>
      </c>
      <c r="CG4658">
        <v>0</v>
      </c>
      <c r="CH4658">
        <v>-2.2000000000000002</v>
      </c>
      <c r="CI4658">
        <v>0</v>
      </c>
      <c r="CJ4658">
        <v>4.0999999999999996</v>
      </c>
      <c r="CK4658">
        <v>93</v>
      </c>
      <c r="CL4658">
        <v>0.1</v>
      </c>
      <c r="CM4658">
        <v>91</v>
      </c>
      <c r="CN4658">
        <v>-0.36</v>
      </c>
      <c r="CO4658">
        <v>90</v>
      </c>
      <c r="CP4658">
        <v>-0.1</v>
      </c>
      <c r="CQ4658">
        <v>87</v>
      </c>
      <c r="CR4658">
        <v>0</v>
      </c>
      <c r="CS4658">
        <v>0</v>
      </c>
      <c r="CT4658">
        <v>-17.899999999999999</v>
      </c>
      <c r="CU4658">
        <v>72</v>
      </c>
      <c r="CV4658">
        <v>-0.02</v>
      </c>
      <c r="CW4658">
        <v>26</v>
      </c>
      <c r="CX4658" t="s">
        <v>1296</v>
      </c>
    </row>
    <row r="4659" spans="1:102" x14ac:dyDescent="0.3">
      <c r="A4659" t="str">
        <f>HYPERLINK("https://webapp.icbf.com/v2/app/bull-search/view/77854369","QLN")</f>
        <v>QLN</v>
      </c>
      <c r="B4659" t="s">
        <v>959</v>
      </c>
      <c r="C4659" t="s">
        <v>960</v>
      </c>
      <c r="D4659" s="1">
        <v>36223</v>
      </c>
      <c r="E4659" t="s">
        <v>92</v>
      </c>
      <c r="F4659">
        <v>100</v>
      </c>
      <c r="G4659" t="s">
        <v>93</v>
      </c>
      <c r="H4659">
        <v>-152.74</v>
      </c>
      <c r="I4659">
        <v>88</v>
      </c>
      <c r="J4659">
        <v>16.45</v>
      </c>
      <c r="K4659">
        <v>97</v>
      </c>
      <c r="L4659">
        <v>-127.29</v>
      </c>
      <c r="M4659">
        <v>81</v>
      </c>
      <c r="N4659">
        <v>-47.2</v>
      </c>
      <c r="O4659">
        <v>86</v>
      </c>
      <c r="P4659">
        <v>-2.67</v>
      </c>
      <c r="Q4659">
        <v>93</v>
      </c>
      <c r="R4659">
        <v>0.28999999999999998</v>
      </c>
      <c r="S4659">
        <v>81</v>
      </c>
      <c r="T4659">
        <v>7.76</v>
      </c>
      <c r="U4659">
        <v>88</v>
      </c>
      <c r="V4659">
        <v>-0.08</v>
      </c>
      <c r="W4659">
        <v>72</v>
      </c>
      <c r="X4659" t="s">
        <v>94</v>
      </c>
      <c r="Y4659" t="s">
        <v>95</v>
      </c>
      <c r="Z4659" t="s">
        <v>96</v>
      </c>
      <c r="AA4659" t="s">
        <v>961</v>
      </c>
      <c r="AB4659" t="s">
        <v>962</v>
      </c>
      <c r="AC4659">
        <v>113</v>
      </c>
      <c r="AD4659">
        <v>101</v>
      </c>
      <c r="AE4659">
        <v>97</v>
      </c>
      <c r="AF4659">
        <v>202.04</v>
      </c>
      <c r="AG4659">
        <v>5.37</v>
      </c>
      <c r="AH4659">
        <v>3.99</v>
      </c>
      <c r="AI4659">
        <v>-0.04</v>
      </c>
      <c r="AJ4659">
        <v>-0.05</v>
      </c>
      <c r="AK4659">
        <v>81</v>
      </c>
      <c r="AL4659">
        <v>113</v>
      </c>
      <c r="AM4659">
        <v>98</v>
      </c>
      <c r="AN4659">
        <v>7.83</v>
      </c>
      <c r="AO4659">
        <v>-2.31</v>
      </c>
      <c r="AP4659">
        <v>150</v>
      </c>
      <c r="AQ4659">
        <v>1</v>
      </c>
      <c r="AR4659">
        <v>12.79</v>
      </c>
      <c r="AS4659">
        <v>73</v>
      </c>
      <c r="AT4659">
        <v>5.67</v>
      </c>
      <c r="AU4659">
        <v>88</v>
      </c>
      <c r="AV4659">
        <v>0.12</v>
      </c>
      <c r="AW4659">
        <v>95</v>
      </c>
      <c r="AX4659">
        <v>0.48</v>
      </c>
      <c r="AY4659">
        <v>82</v>
      </c>
      <c r="AZ4659">
        <v>5.54</v>
      </c>
      <c r="BA4659">
        <v>67</v>
      </c>
      <c r="BB4659">
        <v>4.87</v>
      </c>
      <c r="BC4659">
        <v>71</v>
      </c>
      <c r="BD4659">
        <v>-0.01</v>
      </c>
      <c r="BE4659">
        <v>0</v>
      </c>
      <c r="BF4659">
        <v>0.01</v>
      </c>
      <c r="BG4659">
        <v>91</v>
      </c>
      <c r="BH4659">
        <v>0.01</v>
      </c>
      <c r="BI4659">
        <v>1.41</v>
      </c>
      <c r="BJ4659">
        <v>37</v>
      </c>
      <c r="BK4659">
        <v>25</v>
      </c>
      <c r="BL4659">
        <v>0.52</v>
      </c>
      <c r="BM4659">
        <v>-1.22</v>
      </c>
      <c r="BN4659">
        <v>-0.02</v>
      </c>
      <c r="BO4659">
        <v>0.83</v>
      </c>
      <c r="BP4659">
        <v>0.38</v>
      </c>
      <c r="BQ4659">
        <v>-1.18</v>
      </c>
      <c r="BR4659">
        <v>-0.45</v>
      </c>
      <c r="BS4659">
        <v>1.29</v>
      </c>
      <c r="BT4659">
        <v>1.36</v>
      </c>
      <c r="BU4659">
        <v>0.3</v>
      </c>
      <c r="BV4659">
        <v>1.5</v>
      </c>
      <c r="BW4659">
        <v>1.64</v>
      </c>
      <c r="BX4659">
        <v>0.03</v>
      </c>
      <c r="BY4659">
        <v>0.03</v>
      </c>
      <c r="BZ4659">
        <v>1.67</v>
      </c>
      <c r="CA4659">
        <v>1.3</v>
      </c>
      <c r="CB4659">
        <v>0.92</v>
      </c>
      <c r="CC4659">
        <v>1.42</v>
      </c>
      <c r="CD4659">
        <v>-1.36</v>
      </c>
      <c r="CE4659">
        <v>1.17</v>
      </c>
      <c r="CF4659">
        <v>0.15</v>
      </c>
      <c r="CG4659">
        <v>0</v>
      </c>
      <c r="CH4659">
        <v>0.32</v>
      </c>
      <c r="CI4659">
        <v>0</v>
      </c>
      <c r="CJ4659">
        <v>0.3</v>
      </c>
      <c r="CK4659">
        <v>94</v>
      </c>
      <c r="CL4659">
        <v>-0.85</v>
      </c>
      <c r="CM4659">
        <v>93</v>
      </c>
      <c r="CN4659">
        <v>-0.51</v>
      </c>
      <c r="CO4659">
        <v>92</v>
      </c>
      <c r="CP4659">
        <v>-1.9</v>
      </c>
      <c r="CQ4659">
        <v>92</v>
      </c>
      <c r="CR4659">
        <v>0</v>
      </c>
      <c r="CS4659">
        <v>0</v>
      </c>
      <c r="CT4659">
        <v>3.3</v>
      </c>
      <c r="CU4659">
        <v>88</v>
      </c>
      <c r="CV4659">
        <v>0.17</v>
      </c>
      <c r="CW4659">
        <v>44</v>
      </c>
      <c r="CX4659" t="s">
        <v>678</v>
      </c>
    </row>
    <row r="4660" spans="1:102" x14ac:dyDescent="0.3">
      <c r="A4660" t="str">
        <f>HYPERLINK("https://webapp.icbf.com/v2/app/bull-search/view/77853883","SKL")</f>
        <v>SKL</v>
      </c>
      <c r="B4660" t="s">
        <v>263</v>
      </c>
      <c r="C4660" t="s">
        <v>264</v>
      </c>
      <c r="D4660" s="1">
        <v>35025</v>
      </c>
      <c r="E4660" t="s">
        <v>92</v>
      </c>
      <c r="F4660">
        <v>100</v>
      </c>
      <c r="G4660" t="s">
        <v>93</v>
      </c>
      <c r="H4660">
        <v>-152.83000000000001</v>
      </c>
      <c r="I4660">
        <v>96</v>
      </c>
      <c r="J4660">
        <v>26.02</v>
      </c>
      <c r="K4660">
        <v>99</v>
      </c>
      <c r="L4660">
        <v>-171.28</v>
      </c>
      <c r="M4660">
        <v>92</v>
      </c>
      <c r="N4660">
        <v>-6.17</v>
      </c>
      <c r="O4660">
        <v>96</v>
      </c>
      <c r="P4660">
        <v>-4.0199999999999996</v>
      </c>
      <c r="Q4660">
        <v>99</v>
      </c>
      <c r="R4660">
        <v>-16.28</v>
      </c>
      <c r="S4660">
        <v>94</v>
      </c>
      <c r="T4660">
        <v>17.97</v>
      </c>
      <c r="U4660">
        <v>97</v>
      </c>
      <c r="V4660">
        <v>0.93</v>
      </c>
      <c r="W4660">
        <v>94</v>
      </c>
      <c r="X4660" t="s">
        <v>94</v>
      </c>
      <c r="Y4660" t="s">
        <v>95</v>
      </c>
      <c r="Z4660" t="s">
        <v>96</v>
      </c>
      <c r="AA4660" t="s">
        <v>265</v>
      </c>
      <c r="AB4660" t="s">
        <v>266</v>
      </c>
      <c r="AC4660">
        <v>869</v>
      </c>
      <c r="AD4660">
        <v>292</v>
      </c>
      <c r="AE4660">
        <v>99</v>
      </c>
      <c r="AF4660">
        <v>379.86</v>
      </c>
      <c r="AG4660">
        <v>4.3499999999999996</v>
      </c>
      <c r="AH4660">
        <v>8.6999999999999993</v>
      </c>
      <c r="AI4660">
        <v>-0.17</v>
      </c>
      <c r="AJ4660">
        <v>-7.0000000000000007E-2</v>
      </c>
      <c r="AK4660">
        <v>92</v>
      </c>
      <c r="AL4660">
        <v>928</v>
      </c>
      <c r="AM4660">
        <v>391</v>
      </c>
      <c r="AN4660">
        <v>11.6</v>
      </c>
      <c r="AO4660">
        <v>-2.0299999999999998</v>
      </c>
      <c r="AP4660">
        <v>841</v>
      </c>
      <c r="AQ4660">
        <v>1</v>
      </c>
      <c r="AR4660">
        <v>7.62</v>
      </c>
      <c r="AS4660">
        <v>90</v>
      </c>
      <c r="AT4660">
        <v>3.89</v>
      </c>
      <c r="AU4660">
        <v>96</v>
      </c>
      <c r="AV4660">
        <v>-1.17</v>
      </c>
      <c r="AW4660">
        <v>99</v>
      </c>
      <c r="AX4660">
        <v>0.28000000000000003</v>
      </c>
      <c r="AY4660">
        <v>97</v>
      </c>
      <c r="AZ4660">
        <v>8.75</v>
      </c>
      <c r="BA4660">
        <v>88</v>
      </c>
      <c r="BB4660">
        <v>5.71</v>
      </c>
      <c r="BC4660">
        <v>92</v>
      </c>
      <c r="BD4660">
        <v>0.08</v>
      </c>
      <c r="BE4660">
        <v>0.09</v>
      </c>
      <c r="BF4660">
        <v>7.0000000000000007E-2</v>
      </c>
      <c r="BG4660">
        <v>98</v>
      </c>
      <c r="BH4660">
        <v>0.14000000000000001</v>
      </c>
      <c r="BI4660">
        <v>13.18</v>
      </c>
      <c r="BJ4660">
        <v>18</v>
      </c>
      <c r="BK4660">
        <v>15</v>
      </c>
      <c r="BL4660">
        <v>-0.34</v>
      </c>
      <c r="BM4660">
        <v>-1.9</v>
      </c>
      <c r="BN4660">
        <v>-1.27</v>
      </c>
      <c r="BO4660">
        <v>0.4</v>
      </c>
      <c r="BP4660">
        <v>0.57999999999999996</v>
      </c>
      <c r="BQ4660">
        <v>-2.81</v>
      </c>
      <c r="BR4660">
        <v>-1.79</v>
      </c>
      <c r="BS4660">
        <v>0.82</v>
      </c>
      <c r="BT4660">
        <v>1.62</v>
      </c>
      <c r="BU4660">
        <v>-0.53</v>
      </c>
      <c r="BV4660">
        <v>-0.55000000000000004</v>
      </c>
      <c r="BW4660">
        <v>-0.7</v>
      </c>
      <c r="BX4660">
        <v>-0.66</v>
      </c>
      <c r="BY4660">
        <v>-1.18</v>
      </c>
      <c r="BZ4660">
        <v>1.44</v>
      </c>
      <c r="CA4660">
        <v>-0.1</v>
      </c>
      <c r="CB4660">
        <v>-0.31</v>
      </c>
      <c r="CC4660">
        <v>0.26</v>
      </c>
      <c r="CD4660">
        <v>-0.99</v>
      </c>
      <c r="CE4660">
        <v>0.61</v>
      </c>
      <c r="CF4660">
        <v>-1.32</v>
      </c>
      <c r="CG4660">
        <v>0</v>
      </c>
      <c r="CH4660">
        <v>-0.74</v>
      </c>
      <c r="CI4660">
        <v>0</v>
      </c>
      <c r="CJ4660">
        <v>-1.3</v>
      </c>
      <c r="CK4660">
        <v>99</v>
      </c>
      <c r="CL4660">
        <v>-0.47</v>
      </c>
      <c r="CM4660">
        <v>99</v>
      </c>
      <c r="CN4660">
        <v>-0.32</v>
      </c>
      <c r="CO4660">
        <v>99</v>
      </c>
      <c r="CP4660">
        <v>-7.5</v>
      </c>
      <c r="CQ4660">
        <v>99</v>
      </c>
      <c r="CR4660">
        <v>0</v>
      </c>
      <c r="CS4660">
        <v>0</v>
      </c>
      <c r="CT4660">
        <v>-10.5</v>
      </c>
      <c r="CU4660">
        <v>97</v>
      </c>
      <c r="CV4660">
        <v>0.08</v>
      </c>
      <c r="CW4660">
        <v>46</v>
      </c>
      <c r="CX4660" t="s">
        <v>267</v>
      </c>
    </row>
    <row r="4661" spans="1:102" x14ac:dyDescent="0.3">
      <c r="A4661" t="str">
        <f>HYPERLINK("https://webapp.icbf.com/v2/app/bull-search/view/69091426","DBC")</f>
        <v>DBC</v>
      </c>
      <c r="B4661" t="s">
        <v>3206</v>
      </c>
      <c r="C4661" t="s">
        <v>3207</v>
      </c>
      <c r="D4661" s="1">
        <v>35081</v>
      </c>
      <c r="E4661" t="s">
        <v>92</v>
      </c>
      <c r="F4661">
        <v>100</v>
      </c>
      <c r="G4661" t="s">
        <v>116</v>
      </c>
      <c r="H4661">
        <v>-152.87</v>
      </c>
      <c r="I4661">
        <v>33</v>
      </c>
      <c r="J4661">
        <v>41.9</v>
      </c>
      <c r="K4661">
        <v>25</v>
      </c>
      <c r="L4661">
        <v>-166.16</v>
      </c>
      <c r="M4661">
        <v>34</v>
      </c>
      <c r="N4661">
        <v>-21.2</v>
      </c>
      <c r="O4661">
        <v>37</v>
      </c>
      <c r="P4661">
        <v>5.45</v>
      </c>
      <c r="Q4661">
        <v>46</v>
      </c>
      <c r="R4661">
        <v>-11.34</v>
      </c>
      <c r="S4661">
        <v>40</v>
      </c>
      <c r="T4661">
        <v>6.35</v>
      </c>
      <c r="U4661">
        <v>44</v>
      </c>
      <c r="V4661">
        <v>-7.87</v>
      </c>
      <c r="W4661">
        <v>37</v>
      </c>
      <c r="X4661" t="s">
        <v>94</v>
      </c>
      <c r="Y4661" t="s">
        <v>1499</v>
      </c>
      <c r="Z4661">
        <v>0</v>
      </c>
      <c r="AA4661" t="s">
        <v>105</v>
      </c>
      <c r="AB4661" t="s">
        <v>3208</v>
      </c>
      <c r="AC4661">
        <v>0</v>
      </c>
      <c r="AD4661">
        <v>0</v>
      </c>
      <c r="AE4661">
        <v>25</v>
      </c>
      <c r="AF4661">
        <v>59.08</v>
      </c>
      <c r="AG4661">
        <v>9.81</v>
      </c>
      <c r="AH4661">
        <v>4.5599999999999996</v>
      </c>
      <c r="AI4661">
        <v>0.13</v>
      </c>
      <c r="AJ4661">
        <v>0.04</v>
      </c>
      <c r="AK4661">
        <v>34</v>
      </c>
      <c r="AL4661">
        <v>1</v>
      </c>
      <c r="AM4661">
        <v>1</v>
      </c>
      <c r="AN4661">
        <v>9.17</v>
      </c>
      <c r="AO4661">
        <v>-4.08</v>
      </c>
      <c r="AP4661">
        <v>2</v>
      </c>
      <c r="AQ4661">
        <v>0</v>
      </c>
      <c r="AR4661">
        <v>10.64</v>
      </c>
      <c r="AS4661">
        <v>32</v>
      </c>
      <c r="AT4661">
        <v>4.5999999999999996</v>
      </c>
      <c r="AU4661">
        <v>39</v>
      </c>
      <c r="AV4661">
        <v>-0.11</v>
      </c>
      <c r="AW4661">
        <v>39</v>
      </c>
      <c r="AX4661">
        <v>-0.12</v>
      </c>
      <c r="AY4661">
        <v>37</v>
      </c>
      <c r="AZ4661">
        <v>5.99</v>
      </c>
      <c r="BA4661">
        <v>32</v>
      </c>
      <c r="BB4661">
        <v>4.66</v>
      </c>
      <c r="BC4661">
        <v>33</v>
      </c>
      <c r="BD4661">
        <v>7.0000000000000007E-2</v>
      </c>
      <c r="BE4661">
        <v>0.06</v>
      </c>
      <c r="BF4661">
        <v>0.03</v>
      </c>
      <c r="BG4661">
        <v>44</v>
      </c>
      <c r="BH4661">
        <v>-7.0000000000000007E-2</v>
      </c>
      <c r="BI4661">
        <v>17.28</v>
      </c>
      <c r="BJ4661">
        <v>0</v>
      </c>
      <c r="BK4661">
        <v>0</v>
      </c>
      <c r="BL4661">
        <v>0.12</v>
      </c>
      <c r="BM4661">
        <v>-0.03</v>
      </c>
      <c r="BN4661">
        <v>0.67</v>
      </c>
      <c r="BO4661">
        <v>0.36</v>
      </c>
      <c r="BP4661">
        <v>0.57999999999999996</v>
      </c>
      <c r="BQ4661">
        <v>-1.1000000000000001</v>
      </c>
      <c r="BR4661">
        <v>-1.58</v>
      </c>
      <c r="BS4661">
        <v>0.36</v>
      </c>
      <c r="BT4661">
        <v>1.56</v>
      </c>
      <c r="BU4661">
        <v>-1.27</v>
      </c>
      <c r="BV4661">
        <v>-0.32</v>
      </c>
      <c r="BW4661">
        <v>-0.04</v>
      </c>
      <c r="BX4661">
        <v>-1.01</v>
      </c>
      <c r="BY4661">
        <v>-0.53</v>
      </c>
      <c r="BZ4661">
        <v>1.49</v>
      </c>
      <c r="CA4661">
        <v>-0.13</v>
      </c>
      <c r="CB4661">
        <v>-0.37</v>
      </c>
      <c r="CC4661">
        <v>0.56999999999999995</v>
      </c>
      <c r="CD4661">
        <v>-0.74</v>
      </c>
      <c r="CE4661">
        <v>0.35</v>
      </c>
      <c r="CF4661">
        <v>-0.1</v>
      </c>
      <c r="CG4661">
        <v>0</v>
      </c>
      <c r="CH4661">
        <v>-0.23</v>
      </c>
      <c r="CI4661">
        <v>0</v>
      </c>
      <c r="CJ4661">
        <v>5.3</v>
      </c>
      <c r="CK4661">
        <v>47</v>
      </c>
      <c r="CL4661">
        <v>-0.28000000000000003</v>
      </c>
      <c r="CM4661">
        <v>45</v>
      </c>
      <c r="CN4661">
        <v>-0.13</v>
      </c>
      <c r="CO4661">
        <v>44</v>
      </c>
      <c r="CP4661">
        <v>-3.3</v>
      </c>
      <c r="CQ4661">
        <v>43</v>
      </c>
      <c r="CR4661">
        <v>0</v>
      </c>
      <c r="CS4661">
        <v>0</v>
      </c>
      <c r="CT4661">
        <v>5.2</v>
      </c>
      <c r="CU4661">
        <v>44</v>
      </c>
      <c r="CV4661">
        <v>0.2</v>
      </c>
      <c r="CW4661">
        <v>13</v>
      </c>
      <c r="CX4661" t="s">
        <v>3209</v>
      </c>
    </row>
    <row r="4662" spans="1:102" x14ac:dyDescent="0.3">
      <c r="A4662" t="str">
        <f>HYPERLINK("https://webapp.icbf.com/v2/app/bull-search/view/76446337","LKJ")</f>
        <v>LKJ</v>
      </c>
      <c r="B4662" t="s">
        <v>2436</v>
      </c>
      <c r="C4662" t="s">
        <v>2437</v>
      </c>
      <c r="D4662" s="1">
        <v>35914</v>
      </c>
      <c r="E4662" t="s">
        <v>92</v>
      </c>
      <c r="F4662">
        <v>100</v>
      </c>
      <c r="G4662" t="s">
        <v>93</v>
      </c>
      <c r="H4662">
        <v>-152.88999999999999</v>
      </c>
      <c r="I4662">
        <v>93</v>
      </c>
      <c r="J4662">
        <v>11.42</v>
      </c>
      <c r="K4662">
        <v>99</v>
      </c>
      <c r="L4662">
        <v>-135.19999999999999</v>
      </c>
      <c r="M4662">
        <v>88</v>
      </c>
      <c r="N4662">
        <v>-17.579999999999998</v>
      </c>
      <c r="O4662">
        <v>93</v>
      </c>
      <c r="P4662">
        <v>-11.89</v>
      </c>
      <c r="Q4662">
        <v>98</v>
      </c>
      <c r="R4662">
        <v>-18.02</v>
      </c>
      <c r="S4662">
        <v>89</v>
      </c>
      <c r="T4662">
        <v>13.46</v>
      </c>
      <c r="U4662">
        <v>95</v>
      </c>
      <c r="V4662">
        <v>4.92</v>
      </c>
      <c r="W4662">
        <v>86</v>
      </c>
      <c r="X4662" t="s">
        <v>94</v>
      </c>
      <c r="Y4662" t="s">
        <v>95</v>
      </c>
      <c r="Z4662" t="s">
        <v>96</v>
      </c>
      <c r="AA4662" t="s">
        <v>2438</v>
      </c>
      <c r="AB4662" t="s">
        <v>2439</v>
      </c>
      <c r="AC4662">
        <v>393</v>
      </c>
      <c r="AD4662">
        <v>229</v>
      </c>
      <c r="AE4662">
        <v>99</v>
      </c>
      <c r="AF4662">
        <v>471.15</v>
      </c>
      <c r="AG4662">
        <v>-4.4000000000000004</v>
      </c>
      <c r="AH4662">
        <v>10.71</v>
      </c>
      <c r="AI4662">
        <v>-0.37</v>
      </c>
      <c r="AJ4662">
        <v>-0.09</v>
      </c>
      <c r="AK4662">
        <v>88</v>
      </c>
      <c r="AL4662">
        <v>403</v>
      </c>
      <c r="AM4662">
        <v>232</v>
      </c>
      <c r="AN4662">
        <v>7.53</v>
      </c>
      <c r="AO4662">
        <v>-3.25</v>
      </c>
      <c r="AP4662">
        <v>407</v>
      </c>
      <c r="AQ4662">
        <v>2</v>
      </c>
      <c r="AR4662">
        <v>10.24</v>
      </c>
      <c r="AS4662">
        <v>86</v>
      </c>
      <c r="AT4662">
        <v>4.4000000000000004</v>
      </c>
      <c r="AU4662">
        <v>94</v>
      </c>
      <c r="AV4662">
        <v>-0.72</v>
      </c>
      <c r="AW4662">
        <v>98</v>
      </c>
      <c r="AX4662">
        <v>-0.14000000000000001</v>
      </c>
      <c r="AY4662">
        <v>94</v>
      </c>
      <c r="AZ4662">
        <v>7.83</v>
      </c>
      <c r="BA4662">
        <v>83</v>
      </c>
      <c r="BB4662">
        <v>5.13</v>
      </c>
      <c r="BC4662">
        <v>86</v>
      </c>
      <c r="BD4662">
        <v>0.05</v>
      </c>
      <c r="BE4662">
        <v>0.09</v>
      </c>
      <c r="BF4662">
        <v>0.16</v>
      </c>
      <c r="BG4662">
        <v>96</v>
      </c>
      <c r="BH4662">
        <v>0.28000000000000003</v>
      </c>
      <c r="BI4662">
        <v>16.510000000000002</v>
      </c>
      <c r="BJ4662">
        <v>68</v>
      </c>
      <c r="BK4662">
        <v>36</v>
      </c>
      <c r="BL4662">
        <v>0.33</v>
      </c>
      <c r="BM4662">
        <v>-1.34</v>
      </c>
      <c r="BN4662">
        <v>-0.44</v>
      </c>
      <c r="BO4662">
        <v>0.54</v>
      </c>
      <c r="BP4662">
        <v>0.88</v>
      </c>
      <c r="BQ4662">
        <v>-1.75</v>
      </c>
      <c r="BR4662">
        <v>-0.38</v>
      </c>
      <c r="BS4662">
        <v>-1.05</v>
      </c>
      <c r="BT4662">
        <v>-0.2</v>
      </c>
      <c r="BU4662">
        <v>-0.39</v>
      </c>
      <c r="BV4662">
        <v>0.57999999999999996</v>
      </c>
      <c r="BW4662">
        <v>-0.31</v>
      </c>
      <c r="BX4662">
        <v>-0.43</v>
      </c>
      <c r="BY4662">
        <v>-0.31</v>
      </c>
      <c r="BZ4662">
        <v>-0.91</v>
      </c>
      <c r="CA4662">
        <v>0.21</v>
      </c>
      <c r="CB4662">
        <v>0.16</v>
      </c>
      <c r="CC4662">
        <v>-0.25</v>
      </c>
      <c r="CD4662">
        <v>-1.31</v>
      </c>
      <c r="CE4662">
        <v>0.73</v>
      </c>
      <c r="CF4662">
        <v>-0.85</v>
      </c>
      <c r="CG4662">
        <v>0</v>
      </c>
      <c r="CH4662">
        <v>-0.4</v>
      </c>
      <c r="CI4662">
        <v>0</v>
      </c>
      <c r="CJ4662">
        <v>-1.4</v>
      </c>
      <c r="CK4662">
        <v>98</v>
      </c>
      <c r="CL4662">
        <v>-0.69</v>
      </c>
      <c r="CM4662">
        <v>97</v>
      </c>
      <c r="CN4662">
        <v>0.15</v>
      </c>
      <c r="CO4662">
        <v>97</v>
      </c>
      <c r="CP4662">
        <v>-7.2</v>
      </c>
      <c r="CQ4662">
        <v>97</v>
      </c>
      <c r="CR4662">
        <v>0</v>
      </c>
      <c r="CS4662">
        <v>0</v>
      </c>
      <c r="CT4662">
        <v>-4.4000000000000004</v>
      </c>
      <c r="CU4662">
        <v>95</v>
      </c>
      <c r="CV4662">
        <v>0.16</v>
      </c>
      <c r="CW4662">
        <v>46</v>
      </c>
      <c r="CX4662" t="s">
        <v>207</v>
      </c>
    </row>
    <row r="4663" spans="1:102" x14ac:dyDescent="0.3">
      <c r="A4663" t="str">
        <f>HYPERLINK("https://webapp.icbf.com/v2/app/bull-search/view/74792727","SFS")</f>
        <v>SFS</v>
      </c>
      <c r="B4663" t="s">
        <v>3441</v>
      </c>
      <c r="C4663" t="s">
        <v>3442</v>
      </c>
      <c r="D4663" s="1">
        <v>32907</v>
      </c>
      <c r="E4663" t="s">
        <v>92</v>
      </c>
      <c r="F4663">
        <v>100</v>
      </c>
      <c r="G4663" t="s">
        <v>93</v>
      </c>
      <c r="H4663">
        <v>-152.91</v>
      </c>
      <c r="I4663">
        <v>95</v>
      </c>
      <c r="J4663">
        <v>-0.11</v>
      </c>
      <c r="K4663">
        <v>99</v>
      </c>
      <c r="L4663">
        <v>-120.42</v>
      </c>
      <c r="M4663">
        <v>93</v>
      </c>
      <c r="N4663">
        <v>-21.01</v>
      </c>
      <c r="O4663">
        <v>93</v>
      </c>
      <c r="P4663">
        <v>-11.88</v>
      </c>
      <c r="Q4663">
        <v>97</v>
      </c>
      <c r="R4663">
        <v>-12.93</v>
      </c>
      <c r="S4663">
        <v>88</v>
      </c>
      <c r="T4663">
        <v>18.559999999999999</v>
      </c>
      <c r="U4663">
        <v>92</v>
      </c>
      <c r="V4663">
        <v>-5.12</v>
      </c>
      <c r="W4663">
        <v>81</v>
      </c>
      <c r="X4663" t="s">
        <v>558</v>
      </c>
      <c r="Y4663" t="s">
        <v>95</v>
      </c>
      <c r="Z4663" t="s">
        <v>96</v>
      </c>
      <c r="AA4663" t="s">
        <v>111</v>
      </c>
      <c r="AB4663" t="s">
        <v>3443</v>
      </c>
      <c r="AC4663">
        <v>350</v>
      </c>
      <c r="AD4663">
        <v>194</v>
      </c>
      <c r="AE4663">
        <v>99</v>
      </c>
      <c r="AF4663">
        <v>129.38999999999999</v>
      </c>
      <c r="AG4663">
        <v>6.31</v>
      </c>
      <c r="AH4663">
        <v>-0.27</v>
      </c>
      <c r="AI4663">
        <v>0.02</v>
      </c>
      <c r="AJ4663">
        <v>-0.08</v>
      </c>
      <c r="AK4663">
        <v>93</v>
      </c>
      <c r="AL4663">
        <v>300</v>
      </c>
      <c r="AM4663">
        <v>148</v>
      </c>
      <c r="AN4663">
        <v>5.25</v>
      </c>
      <c r="AO4663">
        <v>-4.37</v>
      </c>
      <c r="AP4663">
        <v>206</v>
      </c>
      <c r="AQ4663">
        <v>0</v>
      </c>
      <c r="AR4663">
        <v>8.14</v>
      </c>
      <c r="AS4663">
        <v>90</v>
      </c>
      <c r="AT4663">
        <v>4.8899999999999997</v>
      </c>
      <c r="AU4663">
        <v>96</v>
      </c>
      <c r="AV4663">
        <v>0.28000000000000003</v>
      </c>
      <c r="AW4663">
        <v>94</v>
      </c>
      <c r="AX4663">
        <v>0.1</v>
      </c>
      <c r="AY4663">
        <v>93</v>
      </c>
      <c r="AZ4663">
        <v>6.47</v>
      </c>
      <c r="BA4663">
        <v>83</v>
      </c>
      <c r="BB4663">
        <v>4.82</v>
      </c>
      <c r="BC4663">
        <v>85</v>
      </c>
      <c r="BD4663">
        <v>0.05</v>
      </c>
      <c r="BE4663">
        <v>0.06</v>
      </c>
      <c r="BF4663">
        <v>0.1</v>
      </c>
      <c r="BG4663">
        <v>96</v>
      </c>
      <c r="BH4663">
        <v>-0.09</v>
      </c>
      <c r="BI4663">
        <v>6.12</v>
      </c>
      <c r="BJ4663">
        <v>103</v>
      </c>
      <c r="BK4663">
        <v>49</v>
      </c>
      <c r="BL4663">
        <v>0.56999999999999995</v>
      </c>
      <c r="BM4663">
        <v>-1.76</v>
      </c>
      <c r="BN4663">
        <v>0.03</v>
      </c>
      <c r="BO4663">
        <v>1.21</v>
      </c>
      <c r="BP4663">
        <v>-0.49</v>
      </c>
      <c r="BQ4663">
        <v>-0.27</v>
      </c>
      <c r="BR4663">
        <v>3.78</v>
      </c>
      <c r="BS4663">
        <v>-2.1</v>
      </c>
      <c r="BT4663">
        <v>-3.59</v>
      </c>
      <c r="BU4663">
        <v>0.17</v>
      </c>
      <c r="BV4663">
        <v>0.84</v>
      </c>
      <c r="BW4663">
        <v>0.66</v>
      </c>
      <c r="BX4663">
        <v>0.05</v>
      </c>
      <c r="BY4663">
        <v>0.33</v>
      </c>
      <c r="BZ4663">
        <v>-0.69</v>
      </c>
      <c r="CA4663">
        <v>0.06</v>
      </c>
      <c r="CB4663">
        <v>0.87</v>
      </c>
      <c r="CC4663">
        <v>-2.35</v>
      </c>
      <c r="CD4663">
        <v>-1.54</v>
      </c>
      <c r="CE4663">
        <v>1.45</v>
      </c>
      <c r="CF4663">
        <v>0.34</v>
      </c>
      <c r="CG4663">
        <v>0</v>
      </c>
      <c r="CH4663">
        <v>0.32</v>
      </c>
      <c r="CI4663">
        <v>0</v>
      </c>
      <c r="CJ4663">
        <v>-3.1</v>
      </c>
      <c r="CK4663">
        <v>97</v>
      </c>
      <c r="CL4663">
        <v>-0.84</v>
      </c>
      <c r="CM4663">
        <v>96</v>
      </c>
      <c r="CN4663">
        <v>-0.25</v>
      </c>
      <c r="CO4663">
        <v>96</v>
      </c>
      <c r="CP4663">
        <v>-12.4</v>
      </c>
      <c r="CQ4663">
        <v>97</v>
      </c>
      <c r="CR4663">
        <v>0</v>
      </c>
      <c r="CS4663">
        <v>0</v>
      </c>
      <c r="CT4663">
        <v>-11.3</v>
      </c>
      <c r="CU4663">
        <v>92</v>
      </c>
      <c r="CV4663">
        <v>0.15</v>
      </c>
      <c r="CW4663">
        <v>45</v>
      </c>
      <c r="CX4663" t="s">
        <v>120</v>
      </c>
    </row>
    <row r="4664" spans="1:102" x14ac:dyDescent="0.3">
      <c r="A4664" t="str">
        <f>HYPERLINK("https://webapp.icbf.com/v2/app/bull-search/view/77858185","EJE")</f>
        <v>EJE</v>
      </c>
      <c r="B4664" t="s">
        <v>3419</v>
      </c>
      <c r="C4664" t="s">
        <v>3420</v>
      </c>
      <c r="D4664" s="1">
        <v>31491</v>
      </c>
      <c r="E4664" t="s">
        <v>92</v>
      </c>
      <c r="F4664">
        <v>100</v>
      </c>
      <c r="G4664" t="s">
        <v>93</v>
      </c>
      <c r="H4664">
        <v>-153.01</v>
      </c>
      <c r="I4664">
        <v>89</v>
      </c>
      <c r="J4664">
        <v>-16.09</v>
      </c>
      <c r="K4664">
        <v>96</v>
      </c>
      <c r="L4664">
        <v>-119.31</v>
      </c>
      <c r="M4664">
        <v>92</v>
      </c>
      <c r="N4664">
        <v>-15.21</v>
      </c>
      <c r="O4664">
        <v>76</v>
      </c>
      <c r="P4664">
        <v>-1.41</v>
      </c>
      <c r="Q4664">
        <v>81</v>
      </c>
      <c r="R4664">
        <v>-3.8</v>
      </c>
      <c r="S4664">
        <v>83</v>
      </c>
      <c r="T4664">
        <v>5.98</v>
      </c>
      <c r="U4664">
        <v>80</v>
      </c>
      <c r="V4664">
        <v>-3.17</v>
      </c>
      <c r="W4664">
        <v>70</v>
      </c>
      <c r="X4664" t="s">
        <v>110</v>
      </c>
      <c r="Y4664" t="s">
        <v>95</v>
      </c>
      <c r="Z4664" t="s">
        <v>96</v>
      </c>
      <c r="AA4664" t="s">
        <v>543</v>
      </c>
      <c r="AB4664" t="s">
        <v>3421</v>
      </c>
      <c r="AC4664">
        <v>99</v>
      </c>
      <c r="AD4664">
        <v>65</v>
      </c>
      <c r="AE4664">
        <v>96</v>
      </c>
      <c r="AF4664">
        <v>85.75</v>
      </c>
      <c r="AG4664">
        <v>6.63</v>
      </c>
      <c r="AH4664">
        <v>-3.77</v>
      </c>
      <c r="AI4664">
        <v>0.06</v>
      </c>
      <c r="AJ4664">
        <v>-0.11</v>
      </c>
      <c r="AK4664">
        <v>92</v>
      </c>
      <c r="AL4664">
        <v>156</v>
      </c>
      <c r="AM4664">
        <v>90</v>
      </c>
      <c r="AN4664">
        <v>6.9</v>
      </c>
      <c r="AO4664">
        <v>-2.61</v>
      </c>
      <c r="AP4664">
        <v>1</v>
      </c>
      <c r="AQ4664">
        <v>0</v>
      </c>
      <c r="AR4664">
        <v>10.89</v>
      </c>
      <c r="AS4664">
        <v>65</v>
      </c>
      <c r="AT4664">
        <v>3.63</v>
      </c>
      <c r="AU4664">
        <v>89</v>
      </c>
      <c r="AV4664">
        <v>-0.34</v>
      </c>
      <c r="AW4664">
        <v>73</v>
      </c>
      <c r="AX4664">
        <v>-0.78</v>
      </c>
      <c r="AY4664">
        <v>82</v>
      </c>
      <c r="AZ4664">
        <v>7.21</v>
      </c>
      <c r="BA4664">
        <v>59</v>
      </c>
      <c r="BB4664">
        <v>5.79</v>
      </c>
      <c r="BC4664">
        <v>70</v>
      </c>
      <c r="BD4664">
        <v>0.02</v>
      </c>
      <c r="BE4664">
        <v>0.06</v>
      </c>
      <c r="BF4664">
        <v>-0.06</v>
      </c>
      <c r="BG4664">
        <v>93</v>
      </c>
      <c r="BH4664">
        <v>0.01</v>
      </c>
      <c r="BI4664">
        <v>11.38</v>
      </c>
      <c r="BJ4664">
        <v>16</v>
      </c>
      <c r="BK4664">
        <v>13</v>
      </c>
      <c r="BL4664">
        <v>0.73</v>
      </c>
      <c r="BM4664">
        <v>0.88</v>
      </c>
      <c r="BN4664">
        <v>1.29</v>
      </c>
      <c r="BO4664">
        <v>0.46</v>
      </c>
      <c r="BP4664">
        <v>-1.05</v>
      </c>
      <c r="BQ4664">
        <v>0.97</v>
      </c>
      <c r="BR4664">
        <v>1.07</v>
      </c>
      <c r="BS4664">
        <v>-2.58</v>
      </c>
      <c r="BT4664">
        <v>-2.0499999999999998</v>
      </c>
      <c r="BU4664">
        <v>0.33</v>
      </c>
      <c r="BV4664">
        <v>0.23</v>
      </c>
      <c r="BW4664">
        <v>0.26</v>
      </c>
      <c r="BX4664">
        <v>-0.11</v>
      </c>
      <c r="BY4664">
        <v>-1.2</v>
      </c>
      <c r="BZ4664">
        <v>0.56000000000000005</v>
      </c>
      <c r="CA4664">
        <v>-0.84</v>
      </c>
      <c r="CB4664">
        <v>-0.37</v>
      </c>
      <c r="CC4664">
        <v>-1.43</v>
      </c>
      <c r="CD4664">
        <v>-0.13</v>
      </c>
      <c r="CE4664">
        <v>0.56000000000000005</v>
      </c>
      <c r="CF4664">
        <v>0.95</v>
      </c>
      <c r="CG4664">
        <v>0</v>
      </c>
      <c r="CH4664">
        <v>-0.9</v>
      </c>
      <c r="CI4664">
        <v>0</v>
      </c>
      <c r="CJ4664">
        <v>0</v>
      </c>
      <c r="CK4664">
        <v>82</v>
      </c>
      <c r="CL4664">
        <v>-0.64</v>
      </c>
      <c r="CM4664">
        <v>79</v>
      </c>
      <c r="CN4664">
        <v>-0.46</v>
      </c>
      <c r="CO4664">
        <v>77</v>
      </c>
      <c r="CP4664">
        <v>-1.3</v>
      </c>
      <c r="CQ4664">
        <v>88</v>
      </c>
      <c r="CR4664">
        <v>0</v>
      </c>
      <c r="CS4664">
        <v>0</v>
      </c>
      <c r="CT4664">
        <v>5.7</v>
      </c>
      <c r="CU4664">
        <v>80</v>
      </c>
      <c r="CV4664">
        <v>0.1</v>
      </c>
      <c r="CW4664">
        <v>42</v>
      </c>
      <c r="CX4664" t="s">
        <v>707</v>
      </c>
    </row>
    <row r="4665" spans="1:102" x14ac:dyDescent="0.3">
      <c r="A4665" t="str">
        <f>HYPERLINK("https://webapp.icbf.com/v2/app/bull-search/view/77854213","S058")</f>
        <v>S058</v>
      </c>
      <c r="B4665" t="s">
        <v>912</v>
      </c>
      <c r="C4665" t="s">
        <v>913</v>
      </c>
      <c r="D4665" s="1">
        <v>32040</v>
      </c>
      <c r="E4665" t="s">
        <v>92</v>
      </c>
      <c r="F4665">
        <v>100</v>
      </c>
      <c r="G4665" t="s">
        <v>93</v>
      </c>
      <c r="H4665">
        <v>-153.12</v>
      </c>
      <c r="I4665">
        <v>95</v>
      </c>
      <c r="J4665">
        <v>3.8</v>
      </c>
      <c r="K4665">
        <v>99</v>
      </c>
      <c r="L4665">
        <v>-147.76</v>
      </c>
      <c r="M4665">
        <v>95</v>
      </c>
      <c r="N4665">
        <v>11.58</v>
      </c>
      <c r="O4665">
        <v>93</v>
      </c>
      <c r="P4665">
        <v>-12.03</v>
      </c>
      <c r="Q4665">
        <v>96</v>
      </c>
      <c r="R4665">
        <v>-17.34</v>
      </c>
      <c r="S4665">
        <v>88</v>
      </c>
      <c r="T4665">
        <v>9.68</v>
      </c>
      <c r="U4665">
        <v>96</v>
      </c>
      <c r="V4665">
        <v>-1.05</v>
      </c>
      <c r="W4665">
        <v>82</v>
      </c>
      <c r="X4665" t="s">
        <v>110</v>
      </c>
      <c r="Y4665" t="s">
        <v>95</v>
      </c>
      <c r="Z4665" t="s">
        <v>96</v>
      </c>
      <c r="AA4665" t="s">
        <v>914</v>
      </c>
      <c r="AB4665" t="s">
        <v>915</v>
      </c>
      <c r="AC4665">
        <v>628</v>
      </c>
      <c r="AD4665">
        <v>323</v>
      </c>
      <c r="AE4665">
        <v>99</v>
      </c>
      <c r="AF4665">
        <v>85.85</v>
      </c>
      <c r="AG4665">
        <v>2.66</v>
      </c>
      <c r="AH4665">
        <v>1.02</v>
      </c>
      <c r="AI4665">
        <v>-0.01</v>
      </c>
      <c r="AJ4665">
        <v>-0.03</v>
      </c>
      <c r="AK4665">
        <v>95</v>
      </c>
      <c r="AL4665">
        <v>605</v>
      </c>
      <c r="AM4665">
        <v>286</v>
      </c>
      <c r="AN4665">
        <v>7.58</v>
      </c>
      <c r="AO4665">
        <v>-4.21</v>
      </c>
      <c r="AP4665">
        <v>83</v>
      </c>
      <c r="AQ4665">
        <v>0</v>
      </c>
      <c r="AR4665">
        <v>6.43</v>
      </c>
      <c r="AS4665">
        <v>88</v>
      </c>
      <c r="AT4665">
        <v>2.91</v>
      </c>
      <c r="AU4665">
        <v>94</v>
      </c>
      <c r="AV4665">
        <v>-1.41</v>
      </c>
      <c r="AW4665">
        <v>95</v>
      </c>
      <c r="AX4665">
        <v>0.13</v>
      </c>
      <c r="AY4665">
        <v>95</v>
      </c>
      <c r="AZ4665">
        <v>7.51</v>
      </c>
      <c r="BA4665">
        <v>87</v>
      </c>
      <c r="BB4665">
        <v>5.46</v>
      </c>
      <c r="BC4665">
        <v>89</v>
      </c>
      <c r="BD4665">
        <v>0.01</v>
      </c>
      <c r="BE4665">
        <v>0.08</v>
      </c>
      <c r="BF4665">
        <v>0.23</v>
      </c>
      <c r="BG4665">
        <v>97</v>
      </c>
      <c r="BH4665">
        <v>0.11</v>
      </c>
      <c r="BI4665">
        <v>16.11</v>
      </c>
      <c r="BJ4665">
        <v>187</v>
      </c>
      <c r="BK4665">
        <v>95</v>
      </c>
      <c r="BL4665">
        <v>0.54</v>
      </c>
      <c r="BM4665">
        <v>-0.56000000000000005</v>
      </c>
      <c r="BN4665">
        <v>1.76</v>
      </c>
      <c r="BO4665">
        <v>1.58</v>
      </c>
      <c r="BP4665">
        <v>-1.86</v>
      </c>
      <c r="BQ4665">
        <v>0.16</v>
      </c>
      <c r="BR4665">
        <v>0.64</v>
      </c>
      <c r="BS4665">
        <v>0.02</v>
      </c>
      <c r="BT4665">
        <v>-0.76</v>
      </c>
      <c r="BU4665">
        <v>0.81</v>
      </c>
      <c r="BV4665">
        <v>0.98</v>
      </c>
      <c r="BW4665">
        <v>1.47</v>
      </c>
      <c r="BX4665">
        <v>-0.33</v>
      </c>
      <c r="BY4665">
        <v>0.56999999999999995</v>
      </c>
      <c r="BZ4665">
        <v>-0.47</v>
      </c>
      <c r="CA4665">
        <v>1.07</v>
      </c>
      <c r="CB4665">
        <v>1.2</v>
      </c>
      <c r="CC4665">
        <v>0.54</v>
      </c>
      <c r="CD4665">
        <v>-1.64</v>
      </c>
      <c r="CE4665">
        <v>1.66</v>
      </c>
      <c r="CF4665">
        <v>0.93</v>
      </c>
      <c r="CG4665">
        <v>0</v>
      </c>
      <c r="CH4665">
        <v>0.56000000000000005</v>
      </c>
      <c r="CI4665">
        <v>0</v>
      </c>
      <c r="CJ4665">
        <v>-4.0999999999999996</v>
      </c>
      <c r="CK4665">
        <v>96</v>
      </c>
      <c r="CL4665">
        <v>-0.99</v>
      </c>
      <c r="CM4665">
        <v>96</v>
      </c>
      <c r="CN4665">
        <v>-0.4</v>
      </c>
      <c r="CO4665">
        <v>95</v>
      </c>
      <c r="CP4665">
        <v>-5.6</v>
      </c>
      <c r="CQ4665">
        <v>98</v>
      </c>
      <c r="CR4665">
        <v>0</v>
      </c>
      <c r="CS4665">
        <v>0</v>
      </c>
      <c r="CT4665">
        <v>0.7</v>
      </c>
      <c r="CU4665">
        <v>96</v>
      </c>
      <c r="CV4665">
        <v>0.14000000000000001</v>
      </c>
      <c r="CW4665">
        <v>45</v>
      </c>
      <c r="CX4665" t="s">
        <v>617</v>
      </c>
    </row>
    <row r="4666" spans="1:102" x14ac:dyDescent="0.3">
      <c r="A4666" t="str">
        <f>HYPERLINK("https://webapp.icbf.com/v2/app/bull-search/view/77857630","GKV")</f>
        <v>GKV</v>
      </c>
      <c r="B4666" t="s">
        <v>4884</v>
      </c>
      <c r="C4666" t="s">
        <v>4885</v>
      </c>
      <c r="D4666" s="1">
        <v>33933</v>
      </c>
      <c r="E4666" t="s">
        <v>92</v>
      </c>
      <c r="F4666">
        <v>100</v>
      </c>
      <c r="G4666" t="s">
        <v>93</v>
      </c>
      <c r="H4666">
        <v>-153.18</v>
      </c>
      <c r="I4666">
        <v>58</v>
      </c>
      <c r="J4666">
        <v>-53.43</v>
      </c>
      <c r="K4666">
        <v>73</v>
      </c>
      <c r="L4666">
        <v>-105.07</v>
      </c>
      <c r="M4666">
        <v>51</v>
      </c>
      <c r="N4666">
        <v>0.96</v>
      </c>
      <c r="O4666">
        <v>44</v>
      </c>
      <c r="P4666">
        <v>-21.27</v>
      </c>
      <c r="Q4666">
        <v>55</v>
      </c>
      <c r="R4666">
        <v>-5.05</v>
      </c>
      <c r="S4666">
        <v>56</v>
      </c>
      <c r="T4666">
        <v>35.43</v>
      </c>
      <c r="U4666">
        <v>56</v>
      </c>
      <c r="V4666">
        <v>-4.75</v>
      </c>
      <c r="W4666">
        <v>29</v>
      </c>
      <c r="X4666" t="s">
        <v>94</v>
      </c>
      <c r="Y4666" t="s">
        <v>95</v>
      </c>
      <c r="Z4666" t="s">
        <v>96</v>
      </c>
      <c r="AA4666" t="s">
        <v>161</v>
      </c>
      <c r="AB4666" t="s">
        <v>4886</v>
      </c>
      <c r="AC4666">
        <v>16</v>
      </c>
      <c r="AD4666">
        <v>15</v>
      </c>
      <c r="AE4666">
        <v>73</v>
      </c>
      <c r="AF4666">
        <v>72.010000000000005</v>
      </c>
      <c r="AG4666">
        <v>-5.81</v>
      </c>
      <c r="AH4666">
        <v>-5.93</v>
      </c>
      <c r="AI4666">
        <v>-0.14000000000000001</v>
      </c>
      <c r="AJ4666">
        <v>-0.14000000000000001</v>
      </c>
      <c r="AK4666">
        <v>51</v>
      </c>
      <c r="AL4666">
        <v>35</v>
      </c>
      <c r="AM4666">
        <v>27</v>
      </c>
      <c r="AN4666">
        <v>5.69</v>
      </c>
      <c r="AO4666">
        <v>-2.69</v>
      </c>
      <c r="AP4666">
        <v>2</v>
      </c>
      <c r="AQ4666">
        <v>0</v>
      </c>
      <c r="AR4666">
        <v>7.94</v>
      </c>
      <c r="AS4666">
        <v>28</v>
      </c>
      <c r="AT4666">
        <v>3.76</v>
      </c>
      <c r="AU4666">
        <v>40</v>
      </c>
      <c r="AV4666">
        <v>-1.1200000000000001</v>
      </c>
      <c r="AW4666">
        <v>52</v>
      </c>
      <c r="AX4666">
        <v>-0.38</v>
      </c>
      <c r="AY4666">
        <v>49</v>
      </c>
      <c r="AZ4666">
        <v>7.07</v>
      </c>
      <c r="BA4666">
        <v>29</v>
      </c>
      <c r="BB4666">
        <v>5.23</v>
      </c>
      <c r="BC4666">
        <v>37</v>
      </c>
      <c r="BD4666">
        <v>0.03</v>
      </c>
      <c r="BE4666">
        <v>0.04</v>
      </c>
      <c r="BF4666">
        <v>-0.01</v>
      </c>
      <c r="BG4666">
        <v>71</v>
      </c>
      <c r="BH4666">
        <v>-7.0000000000000007E-2</v>
      </c>
      <c r="BI4666">
        <v>7.21</v>
      </c>
      <c r="BJ4666">
        <v>13</v>
      </c>
      <c r="BK4666">
        <v>12</v>
      </c>
      <c r="BL4666">
        <v>-0.66</v>
      </c>
      <c r="BM4666">
        <v>-1.71</v>
      </c>
      <c r="BN4666">
        <v>-1.36</v>
      </c>
      <c r="BO4666">
        <v>-0.17</v>
      </c>
      <c r="BP4666">
        <v>-0.3</v>
      </c>
      <c r="BQ4666">
        <v>-2.29</v>
      </c>
      <c r="BR4666">
        <v>-0.09</v>
      </c>
      <c r="BS4666">
        <v>-0.37</v>
      </c>
      <c r="BT4666">
        <v>-0.22</v>
      </c>
      <c r="BU4666">
        <v>-0.99</v>
      </c>
      <c r="BV4666">
        <v>-0.18</v>
      </c>
      <c r="BW4666">
        <v>-0.26</v>
      </c>
      <c r="BX4666">
        <v>0.76</v>
      </c>
      <c r="BY4666">
        <v>-1</v>
      </c>
      <c r="BZ4666">
        <v>0.3</v>
      </c>
      <c r="CA4666">
        <v>-0.72</v>
      </c>
      <c r="CB4666">
        <v>-0.7</v>
      </c>
      <c r="CC4666">
        <v>0.01</v>
      </c>
      <c r="CD4666">
        <v>-0.78</v>
      </c>
      <c r="CE4666">
        <v>-0.3</v>
      </c>
      <c r="CF4666">
        <v>-1.5</v>
      </c>
      <c r="CG4666">
        <v>0</v>
      </c>
      <c r="CH4666">
        <v>-1.25</v>
      </c>
      <c r="CI4666">
        <v>0</v>
      </c>
      <c r="CJ4666">
        <v>-9.6999999999999993</v>
      </c>
      <c r="CK4666">
        <v>57</v>
      </c>
      <c r="CL4666">
        <v>-0.8</v>
      </c>
      <c r="CM4666">
        <v>53</v>
      </c>
      <c r="CN4666">
        <v>-0.28000000000000003</v>
      </c>
      <c r="CO4666">
        <v>49</v>
      </c>
      <c r="CP4666">
        <v>-19.399999999999999</v>
      </c>
      <c r="CQ4666">
        <v>61</v>
      </c>
      <c r="CR4666">
        <v>0</v>
      </c>
      <c r="CS4666">
        <v>0</v>
      </c>
      <c r="CT4666">
        <v>-34.1</v>
      </c>
      <c r="CU4666">
        <v>56</v>
      </c>
      <c r="CV4666">
        <v>0.18</v>
      </c>
      <c r="CW4666">
        <v>15</v>
      </c>
      <c r="CX4666" t="s">
        <v>120</v>
      </c>
    </row>
    <row r="4667" spans="1:102" x14ac:dyDescent="0.3">
      <c r="A4667" t="str">
        <f>HYPERLINK("https://webapp.icbf.com/v2/app/bull-search/view/77854774","PLF")</f>
        <v>PLF</v>
      </c>
      <c r="B4667" t="s">
        <v>7267</v>
      </c>
      <c r="C4667" t="s">
        <v>7268</v>
      </c>
      <c r="D4667" s="1">
        <v>35380</v>
      </c>
      <c r="E4667" t="s">
        <v>92</v>
      </c>
      <c r="F4667">
        <v>100</v>
      </c>
      <c r="G4667" t="s">
        <v>93</v>
      </c>
      <c r="H4667">
        <v>-153.29</v>
      </c>
      <c r="I4667">
        <v>72</v>
      </c>
      <c r="J4667">
        <v>-5.22</v>
      </c>
      <c r="K4667">
        <v>93</v>
      </c>
      <c r="L4667">
        <v>-122.28</v>
      </c>
      <c r="M4667">
        <v>60</v>
      </c>
      <c r="N4667">
        <v>-15.02</v>
      </c>
      <c r="O4667">
        <v>60</v>
      </c>
      <c r="P4667">
        <v>-15</v>
      </c>
      <c r="Q4667">
        <v>77</v>
      </c>
      <c r="R4667">
        <v>-8.58</v>
      </c>
      <c r="S4667">
        <v>64</v>
      </c>
      <c r="T4667">
        <v>12.72</v>
      </c>
      <c r="U4667">
        <v>70</v>
      </c>
      <c r="V4667">
        <v>0.09</v>
      </c>
      <c r="W4667">
        <v>38</v>
      </c>
      <c r="X4667" t="s">
        <v>94</v>
      </c>
      <c r="Y4667" t="s">
        <v>95</v>
      </c>
      <c r="Z4667" t="s">
        <v>96</v>
      </c>
      <c r="AA4667" t="s">
        <v>2855</v>
      </c>
      <c r="AB4667" t="s">
        <v>7269</v>
      </c>
      <c r="AC4667">
        <v>64</v>
      </c>
      <c r="AD4667">
        <v>54</v>
      </c>
      <c r="AE4667">
        <v>93</v>
      </c>
      <c r="AF4667">
        <v>-87.43</v>
      </c>
      <c r="AG4667">
        <v>0.89</v>
      </c>
      <c r="AH4667">
        <v>-2.54</v>
      </c>
      <c r="AI4667">
        <v>7.0000000000000007E-2</v>
      </c>
      <c r="AJ4667">
        <v>0.01</v>
      </c>
      <c r="AK4667">
        <v>60</v>
      </c>
      <c r="AL4667">
        <v>58</v>
      </c>
      <c r="AM4667">
        <v>49</v>
      </c>
      <c r="AN4667">
        <v>7.6</v>
      </c>
      <c r="AO4667">
        <v>-2.14</v>
      </c>
      <c r="AP4667">
        <v>4</v>
      </c>
      <c r="AQ4667">
        <v>0</v>
      </c>
      <c r="AR4667">
        <v>9.3000000000000007</v>
      </c>
      <c r="AS4667">
        <v>42</v>
      </c>
      <c r="AT4667">
        <v>4.05</v>
      </c>
      <c r="AU4667">
        <v>51</v>
      </c>
      <c r="AV4667">
        <v>-0.37</v>
      </c>
      <c r="AW4667">
        <v>72</v>
      </c>
      <c r="AX4667">
        <v>0.09</v>
      </c>
      <c r="AY4667">
        <v>68</v>
      </c>
      <c r="AZ4667">
        <v>7.34</v>
      </c>
      <c r="BA4667">
        <v>38</v>
      </c>
      <c r="BB4667">
        <v>5.46</v>
      </c>
      <c r="BC4667">
        <v>47</v>
      </c>
      <c r="BD4667">
        <v>-0.01</v>
      </c>
      <c r="BE4667">
        <v>0.06</v>
      </c>
      <c r="BF4667">
        <v>0.1</v>
      </c>
      <c r="BG4667">
        <v>78</v>
      </c>
      <c r="BH4667">
        <v>-0.01</v>
      </c>
      <c r="BI4667">
        <v>-1.45</v>
      </c>
      <c r="BJ4667">
        <v>4</v>
      </c>
      <c r="BK4667">
        <v>4</v>
      </c>
      <c r="BL4667">
        <v>-0.22</v>
      </c>
      <c r="BM4667">
        <v>0.04</v>
      </c>
      <c r="BN4667">
        <v>0.6</v>
      </c>
      <c r="BO4667">
        <v>0.13</v>
      </c>
      <c r="BP4667">
        <v>-1.47</v>
      </c>
      <c r="BQ4667">
        <v>-0.43</v>
      </c>
      <c r="BR4667">
        <v>2.15</v>
      </c>
      <c r="BS4667">
        <v>-2.13</v>
      </c>
      <c r="BT4667">
        <v>-2.3199999999999998</v>
      </c>
      <c r="BU4667">
        <v>-0.37</v>
      </c>
      <c r="BV4667">
        <v>0.19</v>
      </c>
      <c r="BW4667">
        <v>-0.5</v>
      </c>
      <c r="BX4667">
        <v>-1.89</v>
      </c>
      <c r="BY4667">
        <v>0.18</v>
      </c>
      <c r="BZ4667">
        <v>0.52</v>
      </c>
      <c r="CA4667">
        <v>-0.81</v>
      </c>
      <c r="CB4667">
        <v>0.21</v>
      </c>
      <c r="CC4667">
        <v>-2.4300000000000002</v>
      </c>
      <c r="CD4667">
        <v>-0.73</v>
      </c>
      <c r="CE4667">
        <v>0.11</v>
      </c>
      <c r="CF4667">
        <v>-0.64</v>
      </c>
      <c r="CG4667">
        <v>0</v>
      </c>
      <c r="CH4667">
        <v>-0.66</v>
      </c>
      <c r="CI4667">
        <v>0</v>
      </c>
      <c r="CJ4667">
        <v>-3.7</v>
      </c>
      <c r="CK4667">
        <v>78</v>
      </c>
      <c r="CL4667">
        <v>-0.86</v>
      </c>
      <c r="CM4667">
        <v>75</v>
      </c>
      <c r="CN4667">
        <v>0.04</v>
      </c>
      <c r="CO4667">
        <v>71</v>
      </c>
      <c r="CP4667">
        <v>-3.7</v>
      </c>
      <c r="CQ4667">
        <v>85</v>
      </c>
      <c r="CR4667">
        <v>0</v>
      </c>
      <c r="CS4667">
        <v>0</v>
      </c>
      <c r="CT4667">
        <v>-3.4</v>
      </c>
      <c r="CU4667">
        <v>70</v>
      </c>
      <c r="CV4667">
        <v>0.26</v>
      </c>
      <c r="CW4667">
        <v>22</v>
      </c>
      <c r="CX4667" t="s">
        <v>166</v>
      </c>
    </row>
    <row r="4668" spans="1:102" x14ac:dyDescent="0.3">
      <c r="A4668" t="str">
        <f>HYPERLINK("https://webapp.icbf.com/v2/app/bull-search/view/77854348","QGL")</f>
        <v>QGL</v>
      </c>
      <c r="B4668" t="s">
        <v>11076</v>
      </c>
      <c r="C4668" t="s">
        <v>11077</v>
      </c>
      <c r="D4668" s="1">
        <v>34694</v>
      </c>
      <c r="E4668" t="s">
        <v>92</v>
      </c>
      <c r="F4668">
        <v>100</v>
      </c>
      <c r="G4668" t="s">
        <v>93</v>
      </c>
      <c r="H4668">
        <v>-153.33000000000001</v>
      </c>
      <c r="I4668">
        <v>80</v>
      </c>
      <c r="J4668">
        <v>-56.37</v>
      </c>
      <c r="K4668">
        <v>96</v>
      </c>
      <c r="L4668">
        <v>-82.6</v>
      </c>
      <c r="M4668">
        <v>71</v>
      </c>
      <c r="N4668">
        <v>-1.99</v>
      </c>
      <c r="O4668">
        <v>72</v>
      </c>
      <c r="P4668">
        <v>-5.24</v>
      </c>
      <c r="Q4668">
        <v>86</v>
      </c>
      <c r="R4668">
        <v>-6.02</v>
      </c>
      <c r="S4668">
        <v>73</v>
      </c>
      <c r="T4668">
        <v>-3.64</v>
      </c>
      <c r="U4668">
        <v>84</v>
      </c>
      <c r="V4668">
        <v>2.5299999999999998</v>
      </c>
      <c r="W4668">
        <v>41</v>
      </c>
      <c r="X4668" t="s">
        <v>94</v>
      </c>
      <c r="Y4668" t="s">
        <v>95</v>
      </c>
      <c r="Z4668" t="s">
        <v>96</v>
      </c>
      <c r="AA4668" t="s">
        <v>3216</v>
      </c>
      <c r="AB4668" t="s">
        <v>4683</v>
      </c>
      <c r="AC4668">
        <v>116</v>
      </c>
      <c r="AD4668">
        <v>102</v>
      </c>
      <c r="AE4668">
        <v>96</v>
      </c>
      <c r="AF4668">
        <v>1.84</v>
      </c>
      <c r="AG4668">
        <v>-10.85</v>
      </c>
      <c r="AH4668">
        <v>-5.72</v>
      </c>
      <c r="AI4668">
        <v>-0.18</v>
      </c>
      <c r="AJ4668">
        <v>-0.1</v>
      </c>
      <c r="AK4668">
        <v>71</v>
      </c>
      <c r="AL4668">
        <v>134</v>
      </c>
      <c r="AM4668">
        <v>104</v>
      </c>
      <c r="AN4668">
        <v>4.29</v>
      </c>
      <c r="AO4668">
        <v>-2.2999999999999998</v>
      </c>
      <c r="AP4668">
        <v>6</v>
      </c>
      <c r="AQ4668">
        <v>0</v>
      </c>
      <c r="AR4668">
        <v>7.18</v>
      </c>
      <c r="AS4668">
        <v>44</v>
      </c>
      <c r="AT4668">
        <v>3.48</v>
      </c>
      <c r="AU4668">
        <v>69</v>
      </c>
      <c r="AV4668">
        <v>0.01</v>
      </c>
      <c r="AW4668">
        <v>81</v>
      </c>
      <c r="AX4668">
        <v>-0.65</v>
      </c>
      <c r="AY4668">
        <v>83</v>
      </c>
      <c r="AZ4668">
        <v>6.69</v>
      </c>
      <c r="BA4668">
        <v>44</v>
      </c>
      <c r="BB4668">
        <v>5.23</v>
      </c>
      <c r="BC4668">
        <v>65</v>
      </c>
      <c r="BD4668">
        <v>0.05</v>
      </c>
      <c r="BE4668">
        <v>0.05</v>
      </c>
      <c r="BF4668">
        <v>-0.04</v>
      </c>
      <c r="BG4668">
        <v>89</v>
      </c>
      <c r="BH4668">
        <v>0.12</v>
      </c>
      <c r="BI4668">
        <v>5.72</v>
      </c>
      <c r="BJ4668">
        <v>23</v>
      </c>
      <c r="BK4668">
        <v>20</v>
      </c>
      <c r="BL4668">
        <v>0.43</v>
      </c>
      <c r="BM4668">
        <v>-0.82</v>
      </c>
      <c r="BN4668">
        <v>0.23</v>
      </c>
      <c r="BO4668">
        <v>0.39</v>
      </c>
      <c r="BP4668">
        <v>-1.42</v>
      </c>
      <c r="BQ4668">
        <v>-1.04</v>
      </c>
      <c r="BR4668">
        <v>0.06</v>
      </c>
      <c r="BS4668">
        <v>-1.28</v>
      </c>
      <c r="BT4668">
        <v>0.96</v>
      </c>
      <c r="BU4668">
        <v>0.54</v>
      </c>
      <c r="BV4668">
        <v>0.47</v>
      </c>
      <c r="BW4668">
        <v>0.69</v>
      </c>
      <c r="BX4668">
        <v>0.44</v>
      </c>
      <c r="BY4668">
        <v>0.39</v>
      </c>
      <c r="BZ4668">
        <v>0.69</v>
      </c>
      <c r="CA4668">
        <v>0.52</v>
      </c>
      <c r="CB4668">
        <v>0.75</v>
      </c>
      <c r="CC4668">
        <v>-0.27</v>
      </c>
      <c r="CD4668">
        <v>-0.56999999999999995</v>
      </c>
      <c r="CE4668">
        <v>0.61</v>
      </c>
      <c r="CF4668">
        <v>0.21</v>
      </c>
      <c r="CG4668">
        <v>0</v>
      </c>
      <c r="CH4668">
        <v>0.08</v>
      </c>
      <c r="CI4668">
        <v>0</v>
      </c>
      <c r="CJ4668">
        <v>-0.9</v>
      </c>
      <c r="CK4668">
        <v>87</v>
      </c>
      <c r="CL4668">
        <v>-0.68</v>
      </c>
      <c r="CM4668">
        <v>84</v>
      </c>
      <c r="CN4668">
        <v>-0.23</v>
      </c>
      <c r="CO4668">
        <v>82</v>
      </c>
      <c r="CP4668">
        <v>2.2000000000000002</v>
      </c>
      <c r="CQ4668">
        <v>90</v>
      </c>
      <c r="CR4668">
        <v>0</v>
      </c>
      <c r="CS4668">
        <v>0</v>
      </c>
      <c r="CT4668">
        <v>18.7</v>
      </c>
      <c r="CU4668">
        <v>84</v>
      </c>
      <c r="CV4668">
        <v>0.16</v>
      </c>
      <c r="CW4668">
        <v>24</v>
      </c>
      <c r="CX4668" t="s">
        <v>485</v>
      </c>
    </row>
    <row r="4669" spans="1:102" x14ac:dyDescent="0.3">
      <c r="A4669" t="str">
        <f>HYPERLINK("https://webapp.icbf.com/v2/app/bull-search/view/77859832","BNH")</f>
        <v>BNH</v>
      </c>
      <c r="B4669" t="s">
        <v>11112</v>
      </c>
      <c r="C4669" t="s">
        <v>11113</v>
      </c>
      <c r="D4669" s="1">
        <v>34682</v>
      </c>
      <c r="E4669" t="s">
        <v>92</v>
      </c>
      <c r="F4669">
        <v>100</v>
      </c>
      <c r="G4669" t="s">
        <v>93</v>
      </c>
      <c r="H4669">
        <v>-153.63</v>
      </c>
      <c r="I4669">
        <v>66</v>
      </c>
      <c r="J4669">
        <v>-21.93</v>
      </c>
      <c r="K4669">
        <v>88</v>
      </c>
      <c r="L4669">
        <v>-119.54</v>
      </c>
      <c r="M4669">
        <v>56</v>
      </c>
      <c r="N4669">
        <v>12.47</v>
      </c>
      <c r="O4669">
        <v>50</v>
      </c>
      <c r="P4669">
        <v>-8.41</v>
      </c>
      <c r="Q4669">
        <v>69</v>
      </c>
      <c r="R4669">
        <v>-27.57</v>
      </c>
      <c r="S4669">
        <v>59</v>
      </c>
      <c r="T4669">
        <v>15.16</v>
      </c>
      <c r="U4669">
        <v>61</v>
      </c>
      <c r="V4669">
        <v>-3.81</v>
      </c>
      <c r="W4669">
        <v>29</v>
      </c>
      <c r="X4669" t="s">
        <v>94</v>
      </c>
      <c r="Y4669" t="s">
        <v>95</v>
      </c>
      <c r="Z4669" t="s">
        <v>96</v>
      </c>
      <c r="AA4669" t="s">
        <v>954</v>
      </c>
      <c r="AB4669" t="s">
        <v>11114</v>
      </c>
      <c r="AC4669">
        <v>39</v>
      </c>
      <c r="AD4669">
        <v>35</v>
      </c>
      <c r="AE4669">
        <v>88</v>
      </c>
      <c r="AF4669">
        <v>158.97</v>
      </c>
      <c r="AG4669">
        <v>-4.88</v>
      </c>
      <c r="AH4669">
        <v>0.43</v>
      </c>
      <c r="AI4669">
        <v>-0.18</v>
      </c>
      <c r="AJ4669">
        <v>-0.08</v>
      </c>
      <c r="AK4669">
        <v>56</v>
      </c>
      <c r="AL4669">
        <v>54</v>
      </c>
      <c r="AM4669">
        <v>48</v>
      </c>
      <c r="AN4669">
        <v>6.74</v>
      </c>
      <c r="AO4669">
        <v>-2.79</v>
      </c>
      <c r="AP4669">
        <v>1</v>
      </c>
      <c r="AQ4669">
        <v>0</v>
      </c>
      <c r="AR4669">
        <v>6.89</v>
      </c>
      <c r="AS4669">
        <v>28</v>
      </c>
      <c r="AT4669">
        <v>3.12</v>
      </c>
      <c r="AU4669">
        <v>45</v>
      </c>
      <c r="AV4669">
        <v>-0.76</v>
      </c>
      <c r="AW4669">
        <v>58</v>
      </c>
      <c r="AX4669">
        <v>-0.43</v>
      </c>
      <c r="AY4669">
        <v>66</v>
      </c>
      <c r="AZ4669">
        <v>5.69</v>
      </c>
      <c r="BA4669">
        <v>29</v>
      </c>
      <c r="BB4669">
        <v>4.49</v>
      </c>
      <c r="BC4669">
        <v>43</v>
      </c>
      <c r="BD4669">
        <v>0.09</v>
      </c>
      <c r="BE4669">
        <v>0.16</v>
      </c>
      <c r="BF4669">
        <v>0.18</v>
      </c>
      <c r="BG4669">
        <v>74</v>
      </c>
      <c r="BH4669">
        <v>-0.05</v>
      </c>
      <c r="BI4669">
        <v>6.51</v>
      </c>
      <c r="BJ4669">
        <v>14</v>
      </c>
      <c r="BK4669">
        <v>14</v>
      </c>
      <c r="BL4669">
        <v>-1.08</v>
      </c>
      <c r="BM4669">
        <v>0.2</v>
      </c>
      <c r="BN4669">
        <v>-0.04</v>
      </c>
      <c r="BO4669">
        <v>-0.32</v>
      </c>
      <c r="BP4669">
        <v>-0.12</v>
      </c>
      <c r="BQ4669">
        <v>-1.1200000000000001</v>
      </c>
      <c r="BR4669">
        <v>1.03</v>
      </c>
      <c r="BS4669">
        <v>-2.23</v>
      </c>
      <c r="BT4669">
        <v>-1.71</v>
      </c>
      <c r="BU4669">
        <v>-2.95</v>
      </c>
      <c r="BV4669">
        <v>-0.66</v>
      </c>
      <c r="BW4669">
        <v>-0.83</v>
      </c>
      <c r="BX4669">
        <v>-4.47</v>
      </c>
      <c r="BY4669">
        <v>-1.71</v>
      </c>
      <c r="BZ4669">
        <v>1.02</v>
      </c>
      <c r="CA4669">
        <v>-1.61</v>
      </c>
      <c r="CB4669">
        <v>-1.31</v>
      </c>
      <c r="CC4669">
        <v>-1.39</v>
      </c>
      <c r="CD4669">
        <v>0.03</v>
      </c>
      <c r="CE4669">
        <v>-0.85</v>
      </c>
      <c r="CF4669">
        <v>-1.53</v>
      </c>
      <c r="CG4669">
        <v>0</v>
      </c>
      <c r="CH4669">
        <v>-0.77</v>
      </c>
      <c r="CI4669">
        <v>0</v>
      </c>
      <c r="CJ4669">
        <v>-4.5</v>
      </c>
      <c r="CK4669">
        <v>70</v>
      </c>
      <c r="CL4669">
        <v>-0.19</v>
      </c>
      <c r="CM4669">
        <v>66</v>
      </c>
      <c r="CN4669">
        <v>-0.1</v>
      </c>
      <c r="CO4669">
        <v>62</v>
      </c>
      <c r="CP4669">
        <v>-9.4</v>
      </c>
      <c r="CQ4669">
        <v>76</v>
      </c>
      <c r="CR4669">
        <v>0</v>
      </c>
      <c r="CS4669">
        <v>0</v>
      </c>
      <c r="CT4669">
        <v>-6.7</v>
      </c>
      <c r="CU4669">
        <v>61</v>
      </c>
      <c r="CV4669">
        <v>-0.04</v>
      </c>
      <c r="CW4669">
        <v>19</v>
      </c>
      <c r="CX4669" t="s">
        <v>118</v>
      </c>
    </row>
    <row r="4670" spans="1:102" x14ac:dyDescent="0.3">
      <c r="A4670" t="str">
        <f>HYPERLINK("https://webapp.icbf.com/v2/app/bull-search/view/77854306","PUM")</f>
        <v>PUM</v>
      </c>
      <c r="B4670" t="s">
        <v>8852</v>
      </c>
      <c r="C4670" t="s">
        <v>2438</v>
      </c>
      <c r="D4670" s="1">
        <v>33829</v>
      </c>
      <c r="E4670" t="s">
        <v>92</v>
      </c>
      <c r="F4670">
        <v>100</v>
      </c>
      <c r="G4670" t="s">
        <v>93</v>
      </c>
      <c r="H4670">
        <v>-153.74</v>
      </c>
      <c r="I4670">
        <v>97</v>
      </c>
      <c r="J4670">
        <v>45.92</v>
      </c>
      <c r="K4670">
        <v>99</v>
      </c>
      <c r="L4670">
        <v>-159.28</v>
      </c>
      <c r="M4670">
        <v>95</v>
      </c>
      <c r="N4670">
        <v>-19.489999999999998</v>
      </c>
      <c r="O4670">
        <v>98</v>
      </c>
      <c r="P4670">
        <v>-5.01</v>
      </c>
      <c r="Q4670">
        <v>99</v>
      </c>
      <c r="R4670">
        <v>-19.04</v>
      </c>
      <c r="S4670">
        <v>95</v>
      </c>
      <c r="T4670">
        <v>2.2799999999999998</v>
      </c>
      <c r="U4670">
        <v>98</v>
      </c>
      <c r="V4670">
        <v>0.88</v>
      </c>
      <c r="W4670">
        <v>94</v>
      </c>
      <c r="X4670" t="s">
        <v>251</v>
      </c>
      <c r="Y4670" t="s">
        <v>95</v>
      </c>
      <c r="Z4670" t="s">
        <v>96</v>
      </c>
      <c r="AA4670" t="s">
        <v>485</v>
      </c>
      <c r="AB4670" t="s">
        <v>8853</v>
      </c>
      <c r="AC4670">
        <v>1847</v>
      </c>
      <c r="AD4670">
        <v>570</v>
      </c>
      <c r="AE4670">
        <v>99</v>
      </c>
      <c r="AF4670">
        <v>144.57</v>
      </c>
      <c r="AG4670">
        <v>2.21</v>
      </c>
      <c r="AH4670">
        <v>9.24</v>
      </c>
      <c r="AI4670">
        <v>-0.06</v>
      </c>
      <c r="AJ4670">
        <v>7.0000000000000007E-2</v>
      </c>
      <c r="AK4670">
        <v>95</v>
      </c>
      <c r="AL4670">
        <v>1798</v>
      </c>
      <c r="AM4670">
        <v>558</v>
      </c>
      <c r="AN4670">
        <v>8.1</v>
      </c>
      <c r="AO4670">
        <v>-4.6100000000000003</v>
      </c>
      <c r="AP4670">
        <v>890</v>
      </c>
      <c r="AQ4670">
        <v>4</v>
      </c>
      <c r="AR4670">
        <v>9.64</v>
      </c>
      <c r="AS4670">
        <v>95</v>
      </c>
      <c r="AT4670">
        <v>4.0599999999999996</v>
      </c>
      <c r="AU4670">
        <v>98</v>
      </c>
      <c r="AV4670">
        <v>-0.22</v>
      </c>
      <c r="AW4670">
        <v>99</v>
      </c>
      <c r="AX4670">
        <v>0.21</v>
      </c>
      <c r="AY4670">
        <v>99</v>
      </c>
      <c r="AZ4670">
        <v>8.51</v>
      </c>
      <c r="BA4670">
        <v>95</v>
      </c>
      <c r="BB4670">
        <v>5.44</v>
      </c>
      <c r="BC4670">
        <v>96</v>
      </c>
      <c r="BD4670">
        <v>0.01</v>
      </c>
      <c r="BE4670">
        <v>0.09</v>
      </c>
      <c r="BF4670">
        <v>0.25</v>
      </c>
      <c r="BG4670">
        <v>99</v>
      </c>
      <c r="BH4670">
        <v>0.09</v>
      </c>
      <c r="BI4670">
        <v>7.58</v>
      </c>
      <c r="BJ4670">
        <v>103</v>
      </c>
      <c r="BK4670">
        <v>61</v>
      </c>
      <c r="BL4670">
        <v>0.02</v>
      </c>
      <c r="BM4670">
        <v>0.26</v>
      </c>
      <c r="BN4670">
        <v>0.28000000000000003</v>
      </c>
      <c r="BO4670">
        <v>-0.13</v>
      </c>
      <c r="BP4670">
        <v>-0.87</v>
      </c>
      <c r="BQ4670">
        <v>-1.35</v>
      </c>
      <c r="BR4670">
        <v>1.66</v>
      </c>
      <c r="BS4670">
        <v>-1.62</v>
      </c>
      <c r="BT4670">
        <v>-0.14000000000000001</v>
      </c>
      <c r="BU4670">
        <v>0.21</v>
      </c>
      <c r="BV4670">
        <v>0.21</v>
      </c>
      <c r="BW4670">
        <v>-0.31</v>
      </c>
      <c r="BX4670">
        <v>-1.54</v>
      </c>
      <c r="BY4670">
        <v>0.72</v>
      </c>
      <c r="BZ4670">
        <v>-1.02</v>
      </c>
      <c r="CA4670">
        <v>-0.14000000000000001</v>
      </c>
      <c r="CB4670">
        <v>0.56000000000000005</v>
      </c>
      <c r="CC4670">
        <v>-1.48</v>
      </c>
      <c r="CD4670">
        <v>0.22</v>
      </c>
      <c r="CE4670">
        <v>0.05</v>
      </c>
      <c r="CF4670">
        <v>-0.46</v>
      </c>
      <c r="CG4670">
        <v>0</v>
      </c>
      <c r="CH4670">
        <v>0.5</v>
      </c>
      <c r="CI4670">
        <v>0</v>
      </c>
      <c r="CJ4670">
        <v>1.1000000000000001</v>
      </c>
      <c r="CK4670">
        <v>99</v>
      </c>
      <c r="CL4670">
        <v>-0.62</v>
      </c>
      <c r="CM4670">
        <v>99</v>
      </c>
      <c r="CN4670">
        <v>-0.05</v>
      </c>
      <c r="CO4670">
        <v>99</v>
      </c>
      <c r="CP4670">
        <v>-4.8</v>
      </c>
      <c r="CQ4670">
        <v>99</v>
      </c>
      <c r="CR4670">
        <v>0</v>
      </c>
      <c r="CS4670">
        <v>0</v>
      </c>
      <c r="CT4670">
        <v>10.7</v>
      </c>
      <c r="CU4670">
        <v>98</v>
      </c>
      <c r="CV4670">
        <v>0.22</v>
      </c>
      <c r="CW4670">
        <v>47</v>
      </c>
      <c r="CX4670" t="s">
        <v>118</v>
      </c>
    </row>
    <row r="4671" spans="1:102" x14ac:dyDescent="0.3">
      <c r="A4671" t="str">
        <f>HYPERLINK("https://webapp.icbf.com/v2/app/bull-search/view/516049337","EJT")</f>
        <v>EJT</v>
      </c>
      <c r="B4671" t="s">
        <v>4659</v>
      </c>
      <c r="C4671" t="s">
        <v>4660</v>
      </c>
      <c r="D4671" s="1">
        <v>37548</v>
      </c>
      <c r="E4671" t="s">
        <v>92</v>
      </c>
      <c r="F4671">
        <v>100</v>
      </c>
      <c r="G4671" t="s">
        <v>109</v>
      </c>
      <c r="H4671">
        <v>-154.11000000000001</v>
      </c>
      <c r="I4671">
        <v>85</v>
      </c>
      <c r="J4671">
        <v>-25.63</v>
      </c>
      <c r="K4671">
        <v>94</v>
      </c>
      <c r="L4671">
        <v>-137.78</v>
      </c>
      <c r="M4671">
        <v>88</v>
      </c>
      <c r="N4671">
        <v>8.23</v>
      </c>
      <c r="O4671">
        <v>78</v>
      </c>
      <c r="P4671">
        <v>3.63</v>
      </c>
      <c r="Q4671">
        <v>72</v>
      </c>
      <c r="R4671">
        <v>-2.09</v>
      </c>
      <c r="S4671">
        <v>80</v>
      </c>
      <c r="T4671">
        <v>-2.0099999999999998</v>
      </c>
      <c r="U4671">
        <v>67</v>
      </c>
      <c r="V4671">
        <v>1.54</v>
      </c>
      <c r="W4671">
        <v>69</v>
      </c>
      <c r="X4671" t="s">
        <v>276</v>
      </c>
      <c r="Y4671" t="s">
        <v>221</v>
      </c>
      <c r="Z4671" t="s">
        <v>96</v>
      </c>
      <c r="AA4671" t="s">
        <v>1801</v>
      </c>
      <c r="AB4671" t="s">
        <v>4661</v>
      </c>
      <c r="AC4671">
        <v>0</v>
      </c>
      <c r="AD4671">
        <v>0</v>
      </c>
      <c r="AE4671">
        <v>94</v>
      </c>
      <c r="AF4671">
        <v>131.09</v>
      </c>
      <c r="AG4671">
        <v>-3.03</v>
      </c>
      <c r="AH4671">
        <v>-1.28</v>
      </c>
      <c r="AI4671">
        <v>-0.14000000000000001</v>
      </c>
      <c r="AJ4671">
        <v>-0.1</v>
      </c>
      <c r="AK4671">
        <v>88</v>
      </c>
      <c r="AL4671">
        <v>0</v>
      </c>
      <c r="AM4671">
        <v>0</v>
      </c>
      <c r="AN4671">
        <v>7.35</v>
      </c>
      <c r="AO4671">
        <v>-3.64</v>
      </c>
      <c r="AP4671">
        <v>27</v>
      </c>
      <c r="AQ4671">
        <v>0</v>
      </c>
      <c r="AR4671">
        <v>7.51</v>
      </c>
      <c r="AS4671">
        <v>67</v>
      </c>
      <c r="AT4671">
        <v>3.73</v>
      </c>
      <c r="AU4671">
        <v>91</v>
      </c>
      <c r="AV4671">
        <v>-1.58</v>
      </c>
      <c r="AW4671">
        <v>84</v>
      </c>
      <c r="AX4671">
        <v>0.52</v>
      </c>
      <c r="AY4671">
        <v>64</v>
      </c>
      <c r="AZ4671">
        <v>5.43</v>
      </c>
      <c r="BA4671">
        <v>55</v>
      </c>
      <c r="BB4671">
        <v>4.82</v>
      </c>
      <c r="BC4671">
        <v>56</v>
      </c>
      <c r="BD4671">
        <v>0</v>
      </c>
      <c r="BE4671">
        <v>0.02</v>
      </c>
      <c r="BF4671">
        <v>0.01</v>
      </c>
      <c r="BG4671">
        <v>93</v>
      </c>
      <c r="BH4671">
        <v>0.06</v>
      </c>
      <c r="BI4671">
        <v>1.97</v>
      </c>
      <c r="BJ4671">
        <v>8</v>
      </c>
      <c r="BK4671">
        <v>4</v>
      </c>
      <c r="BL4671">
        <v>1.17</v>
      </c>
      <c r="BM4671">
        <v>0.77</v>
      </c>
      <c r="BN4671">
        <v>1.07</v>
      </c>
      <c r="BO4671">
        <v>0.34</v>
      </c>
      <c r="BP4671">
        <v>3.09</v>
      </c>
      <c r="BQ4671">
        <v>0.65</v>
      </c>
      <c r="BR4671">
        <v>0.44</v>
      </c>
      <c r="BS4671">
        <v>0.2</v>
      </c>
      <c r="BT4671">
        <v>-0.61</v>
      </c>
      <c r="BU4671">
        <v>0.35</v>
      </c>
      <c r="BV4671">
        <v>0.99</v>
      </c>
      <c r="BW4671">
        <v>1.21</v>
      </c>
      <c r="BX4671">
        <v>0.26</v>
      </c>
      <c r="BY4671">
        <v>1.6</v>
      </c>
      <c r="BZ4671">
        <v>-1.32</v>
      </c>
      <c r="CA4671">
        <v>0.99</v>
      </c>
      <c r="CB4671">
        <v>1.2</v>
      </c>
      <c r="CC4671">
        <v>0.66</v>
      </c>
      <c r="CD4671">
        <v>0.41</v>
      </c>
      <c r="CE4671">
        <v>0.83</v>
      </c>
      <c r="CF4671">
        <v>1.98</v>
      </c>
      <c r="CG4671">
        <v>0</v>
      </c>
      <c r="CH4671">
        <v>1.67</v>
      </c>
      <c r="CI4671">
        <v>0</v>
      </c>
      <c r="CJ4671">
        <v>2.8</v>
      </c>
      <c r="CK4671">
        <v>74</v>
      </c>
      <c r="CL4671">
        <v>-0.86</v>
      </c>
      <c r="CM4671">
        <v>71</v>
      </c>
      <c r="CN4671">
        <v>-0.67</v>
      </c>
      <c r="CO4671">
        <v>67</v>
      </c>
      <c r="CP4671">
        <v>5.3</v>
      </c>
      <c r="CQ4671">
        <v>74</v>
      </c>
      <c r="CR4671">
        <v>0</v>
      </c>
      <c r="CS4671">
        <v>0</v>
      </c>
      <c r="CT4671">
        <v>16.5</v>
      </c>
      <c r="CU4671">
        <v>67</v>
      </c>
      <c r="CV4671">
        <v>0.22</v>
      </c>
      <c r="CW4671">
        <v>40</v>
      </c>
      <c r="CX4671" t="s">
        <v>2846</v>
      </c>
    </row>
    <row r="4672" spans="1:102" x14ac:dyDescent="0.3">
      <c r="A4672" t="str">
        <f>HYPERLINK("https://webapp.icbf.com/v2/app/bull-search/view/77859430","AX7")</f>
        <v>AX7</v>
      </c>
      <c r="B4672" t="s">
        <v>7996</v>
      </c>
      <c r="C4672" t="s">
        <v>7997</v>
      </c>
      <c r="D4672" s="1">
        <v>35053</v>
      </c>
      <c r="E4672" t="s">
        <v>92</v>
      </c>
      <c r="F4672">
        <v>97</v>
      </c>
      <c r="G4672" t="s">
        <v>93</v>
      </c>
      <c r="H4672">
        <v>-154.26</v>
      </c>
      <c r="I4672">
        <v>63</v>
      </c>
      <c r="J4672">
        <v>21.79</v>
      </c>
      <c r="K4672">
        <v>85</v>
      </c>
      <c r="L4672">
        <v>-147.22999999999999</v>
      </c>
      <c r="M4672">
        <v>51</v>
      </c>
      <c r="N4672">
        <v>-7.47</v>
      </c>
      <c r="O4672">
        <v>51</v>
      </c>
      <c r="P4672">
        <v>-3.68</v>
      </c>
      <c r="Q4672">
        <v>65</v>
      </c>
      <c r="R4672">
        <v>-23.36</v>
      </c>
      <c r="S4672">
        <v>56</v>
      </c>
      <c r="T4672">
        <v>14.2</v>
      </c>
      <c r="U4672">
        <v>58</v>
      </c>
      <c r="V4672">
        <v>-8.51</v>
      </c>
      <c r="W4672">
        <v>35</v>
      </c>
      <c r="X4672" t="s">
        <v>102</v>
      </c>
      <c r="Y4672" t="s">
        <v>95</v>
      </c>
      <c r="Z4672" t="s">
        <v>96</v>
      </c>
      <c r="AA4672" t="s">
        <v>105</v>
      </c>
      <c r="AB4672" t="s">
        <v>7998</v>
      </c>
      <c r="AC4672">
        <v>25</v>
      </c>
      <c r="AD4672">
        <v>17</v>
      </c>
      <c r="AE4672">
        <v>85</v>
      </c>
      <c r="AF4672">
        <v>283.47000000000003</v>
      </c>
      <c r="AG4672">
        <v>5.64</v>
      </c>
      <c r="AH4672">
        <v>6.05</v>
      </c>
      <c r="AI4672">
        <v>-0.09</v>
      </c>
      <c r="AJ4672">
        <v>-0.06</v>
      </c>
      <c r="AK4672">
        <v>51</v>
      </c>
      <c r="AL4672">
        <v>26</v>
      </c>
      <c r="AM4672">
        <v>21</v>
      </c>
      <c r="AN4672">
        <v>9.7200000000000006</v>
      </c>
      <c r="AO4672">
        <v>-2</v>
      </c>
      <c r="AP4672">
        <v>1</v>
      </c>
      <c r="AQ4672">
        <v>0</v>
      </c>
      <c r="AR4672">
        <v>7.83</v>
      </c>
      <c r="AS4672">
        <v>30</v>
      </c>
      <c r="AT4672">
        <v>3.63</v>
      </c>
      <c r="AU4672">
        <v>51</v>
      </c>
      <c r="AV4672">
        <v>0.86</v>
      </c>
      <c r="AW4672">
        <v>56</v>
      </c>
      <c r="AX4672">
        <v>-0.18</v>
      </c>
      <c r="AY4672">
        <v>56</v>
      </c>
      <c r="AZ4672">
        <v>5.59</v>
      </c>
      <c r="BA4672">
        <v>32</v>
      </c>
      <c r="BB4672">
        <v>4.37</v>
      </c>
      <c r="BC4672">
        <v>46</v>
      </c>
      <c r="BD4672">
        <v>0.09</v>
      </c>
      <c r="BE4672">
        <v>0.13</v>
      </c>
      <c r="BF4672">
        <v>0.14000000000000001</v>
      </c>
      <c r="BG4672">
        <v>66</v>
      </c>
      <c r="BH4672">
        <v>0.01</v>
      </c>
      <c r="BI4672">
        <v>28.62</v>
      </c>
      <c r="BJ4672">
        <v>1</v>
      </c>
      <c r="BK4672">
        <v>1</v>
      </c>
      <c r="BL4672">
        <v>0.41</v>
      </c>
      <c r="BM4672">
        <v>0.26</v>
      </c>
      <c r="BN4672">
        <v>1.03</v>
      </c>
      <c r="BO4672">
        <v>0.41</v>
      </c>
      <c r="BP4672">
        <v>-0.09</v>
      </c>
      <c r="BQ4672">
        <v>-0.89</v>
      </c>
      <c r="BR4672">
        <v>-0.28000000000000003</v>
      </c>
      <c r="BS4672">
        <v>-0.43</v>
      </c>
      <c r="BT4672">
        <v>0.88</v>
      </c>
      <c r="BU4672">
        <v>-0.8</v>
      </c>
      <c r="BV4672">
        <v>-0.13</v>
      </c>
      <c r="BW4672">
        <v>-0.09</v>
      </c>
      <c r="BX4672">
        <v>-0.9</v>
      </c>
      <c r="BY4672">
        <v>-0.77</v>
      </c>
      <c r="BZ4672">
        <v>3.08</v>
      </c>
      <c r="CA4672">
        <v>-0.48</v>
      </c>
      <c r="CB4672">
        <v>-0.22</v>
      </c>
      <c r="CC4672">
        <v>-0.69</v>
      </c>
      <c r="CD4672">
        <v>-0.46</v>
      </c>
      <c r="CE4672">
        <v>0.36</v>
      </c>
      <c r="CF4672">
        <v>-0.03</v>
      </c>
      <c r="CG4672">
        <v>0</v>
      </c>
      <c r="CH4672">
        <v>0.13</v>
      </c>
      <c r="CI4672">
        <v>0</v>
      </c>
      <c r="CJ4672">
        <v>-0.5</v>
      </c>
      <c r="CK4672">
        <v>66</v>
      </c>
      <c r="CL4672">
        <v>-0.67</v>
      </c>
      <c r="CM4672">
        <v>63</v>
      </c>
      <c r="CN4672">
        <v>-0.5</v>
      </c>
      <c r="CO4672">
        <v>58</v>
      </c>
      <c r="CP4672">
        <v>-12.9</v>
      </c>
      <c r="CQ4672">
        <v>71</v>
      </c>
      <c r="CR4672">
        <v>0</v>
      </c>
      <c r="CS4672">
        <v>0</v>
      </c>
      <c r="CT4672">
        <v>-5.4</v>
      </c>
      <c r="CU4672">
        <v>58</v>
      </c>
      <c r="CV4672">
        <v>0.19</v>
      </c>
      <c r="CW4672">
        <v>18</v>
      </c>
      <c r="CX4672" t="s">
        <v>3905</v>
      </c>
    </row>
    <row r="4673" spans="1:102" x14ac:dyDescent="0.3">
      <c r="A4673" t="str">
        <f>HYPERLINK("https://webapp.icbf.com/v2/app/bull-search/view/377731076","HNX")</f>
        <v>HNX</v>
      </c>
      <c r="B4673" t="s">
        <v>4415</v>
      </c>
      <c r="C4673" t="s">
        <v>4212</v>
      </c>
      <c r="D4673" s="1">
        <v>36188</v>
      </c>
      <c r="E4673" t="s">
        <v>92</v>
      </c>
      <c r="F4673">
        <v>100</v>
      </c>
      <c r="G4673" t="s">
        <v>93</v>
      </c>
      <c r="H4673">
        <v>-154.38</v>
      </c>
      <c r="I4673">
        <v>92</v>
      </c>
      <c r="J4673">
        <v>19.73</v>
      </c>
      <c r="K4673">
        <v>98</v>
      </c>
      <c r="L4673">
        <v>-145.22</v>
      </c>
      <c r="M4673">
        <v>90</v>
      </c>
      <c r="N4673">
        <v>-31.37</v>
      </c>
      <c r="O4673">
        <v>87</v>
      </c>
      <c r="P4673">
        <v>-3.77</v>
      </c>
      <c r="Q4673">
        <v>93</v>
      </c>
      <c r="R4673">
        <v>4.41</v>
      </c>
      <c r="S4673">
        <v>85</v>
      </c>
      <c r="T4673">
        <v>-2.68</v>
      </c>
      <c r="U4673">
        <v>89</v>
      </c>
      <c r="V4673">
        <v>4.5199999999999996</v>
      </c>
      <c r="W4673">
        <v>77</v>
      </c>
      <c r="X4673" t="s">
        <v>276</v>
      </c>
      <c r="Y4673" t="s">
        <v>95</v>
      </c>
      <c r="Z4673" t="s">
        <v>96</v>
      </c>
      <c r="AA4673" t="s">
        <v>4416</v>
      </c>
      <c r="AB4673" t="s">
        <v>4417</v>
      </c>
      <c r="AC4673">
        <v>129</v>
      </c>
      <c r="AD4673">
        <v>74</v>
      </c>
      <c r="AE4673">
        <v>98</v>
      </c>
      <c r="AF4673">
        <v>5.79</v>
      </c>
      <c r="AG4673">
        <v>8.5500000000000007</v>
      </c>
      <c r="AH4673">
        <v>0.42</v>
      </c>
      <c r="AI4673">
        <v>0.15</v>
      </c>
      <c r="AJ4673">
        <v>0</v>
      </c>
      <c r="AK4673">
        <v>90</v>
      </c>
      <c r="AL4673">
        <v>118</v>
      </c>
      <c r="AM4673">
        <v>64</v>
      </c>
      <c r="AN4673">
        <v>8.77</v>
      </c>
      <c r="AO4673">
        <v>-2.8</v>
      </c>
      <c r="AP4673">
        <v>218</v>
      </c>
      <c r="AQ4673">
        <v>1</v>
      </c>
      <c r="AR4673">
        <v>12.41</v>
      </c>
      <c r="AS4673">
        <v>75</v>
      </c>
      <c r="AT4673">
        <v>4.99</v>
      </c>
      <c r="AU4673">
        <v>93</v>
      </c>
      <c r="AV4673">
        <v>-0.46</v>
      </c>
      <c r="AW4673">
        <v>92</v>
      </c>
      <c r="AX4673">
        <v>-0.6</v>
      </c>
      <c r="AY4673">
        <v>85</v>
      </c>
      <c r="AZ4673">
        <v>6.25</v>
      </c>
      <c r="BA4673">
        <v>69</v>
      </c>
      <c r="BB4673">
        <v>5.13</v>
      </c>
      <c r="BC4673">
        <v>71</v>
      </c>
      <c r="BD4673">
        <v>-0.02</v>
      </c>
      <c r="BE4673">
        <v>-0.02</v>
      </c>
      <c r="BF4673">
        <v>-0.03</v>
      </c>
      <c r="BG4673">
        <v>95</v>
      </c>
      <c r="BH4673">
        <v>0.1</v>
      </c>
      <c r="BI4673">
        <v>-3</v>
      </c>
      <c r="BJ4673">
        <v>34</v>
      </c>
      <c r="BK4673">
        <v>18</v>
      </c>
      <c r="BL4673">
        <v>1.07</v>
      </c>
      <c r="BM4673">
        <v>-1.5</v>
      </c>
      <c r="BN4673">
        <v>-0.18</v>
      </c>
      <c r="BO4673">
        <v>0.79</v>
      </c>
      <c r="BP4673">
        <v>-0.84</v>
      </c>
      <c r="BQ4673">
        <v>-0.14000000000000001</v>
      </c>
      <c r="BR4673">
        <v>1.19</v>
      </c>
      <c r="BS4673">
        <v>-0.76</v>
      </c>
      <c r="BT4673">
        <v>-1.01</v>
      </c>
      <c r="BU4673">
        <v>0.96</v>
      </c>
      <c r="BV4673">
        <v>0.66</v>
      </c>
      <c r="BW4673">
        <v>1.25</v>
      </c>
      <c r="BX4673">
        <v>1.32</v>
      </c>
      <c r="BY4673">
        <v>0.51</v>
      </c>
      <c r="BZ4673">
        <v>-0.71</v>
      </c>
      <c r="CA4673">
        <v>0.75</v>
      </c>
      <c r="CB4673">
        <v>1.01</v>
      </c>
      <c r="CC4673">
        <v>-0.43</v>
      </c>
      <c r="CD4673">
        <v>-1.81</v>
      </c>
      <c r="CE4673">
        <v>0.47</v>
      </c>
      <c r="CF4673">
        <v>0.5</v>
      </c>
      <c r="CG4673">
        <v>0</v>
      </c>
      <c r="CH4673">
        <v>0.56999999999999995</v>
      </c>
      <c r="CI4673">
        <v>0</v>
      </c>
      <c r="CJ4673">
        <v>3.1</v>
      </c>
      <c r="CK4673">
        <v>93</v>
      </c>
      <c r="CL4673">
        <v>-0.91</v>
      </c>
      <c r="CM4673">
        <v>92</v>
      </c>
      <c r="CN4673">
        <v>-0.11</v>
      </c>
      <c r="CO4673">
        <v>91</v>
      </c>
      <c r="CP4673">
        <v>0.4</v>
      </c>
      <c r="CQ4673">
        <v>93</v>
      </c>
      <c r="CR4673">
        <v>0</v>
      </c>
      <c r="CS4673">
        <v>0</v>
      </c>
      <c r="CT4673">
        <v>17.399999999999999</v>
      </c>
      <c r="CU4673">
        <v>89</v>
      </c>
      <c r="CV4673">
        <v>0.28000000000000003</v>
      </c>
      <c r="CW4673">
        <v>44</v>
      </c>
      <c r="CX4673" t="s">
        <v>839</v>
      </c>
    </row>
    <row r="4674" spans="1:102" x14ac:dyDescent="0.3">
      <c r="A4674" t="str">
        <f>HYPERLINK("https://webapp.icbf.com/v2/app/bull-search/view/77857672","GMK")</f>
        <v>GMK</v>
      </c>
      <c r="B4674" t="s">
        <v>8634</v>
      </c>
      <c r="C4674" t="s">
        <v>8635</v>
      </c>
      <c r="D4674" s="1">
        <v>33707</v>
      </c>
      <c r="E4674" t="s">
        <v>92</v>
      </c>
      <c r="F4674">
        <v>100</v>
      </c>
      <c r="G4674" t="s">
        <v>109</v>
      </c>
      <c r="H4674">
        <v>-154.86000000000001</v>
      </c>
      <c r="I4674">
        <v>79</v>
      </c>
      <c r="J4674">
        <v>-56.73</v>
      </c>
      <c r="K4674">
        <v>91</v>
      </c>
      <c r="L4674">
        <v>-51.15</v>
      </c>
      <c r="M4674">
        <v>83</v>
      </c>
      <c r="N4674">
        <v>-32.520000000000003</v>
      </c>
      <c r="O4674">
        <v>63</v>
      </c>
      <c r="P4674">
        <v>-15.08</v>
      </c>
      <c r="Q4674">
        <v>64</v>
      </c>
      <c r="R4674">
        <v>-7.47</v>
      </c>
      <c r="S4674">
        <v>74</v>
      </c>
      <c r="T4674">
        <v>12.57</v>
      </c>
      <c r="U4674">
        <v>67</v>
      </c>
      <c r="V4674">
        <v>-4.4800000000000004</v>
      </c>
      <c r="W4674">
        <v>57</v>
      </c>
      <c r="X4674" t="s">
        <v>131</v>
      </c>
      <c r="Y4674" t="s">
        <v>95</v>
      </c>
      <c r="Z4674" t="s">
        <v>96</v>
      </c>
      <c r="AA4674" t="s">
        <v>190</v>
      </c>
      <c r="AB4674" t="s">
        <v>3982</v>
      </c>
      <c r="AC4674">
        <v>0</v>
      </c>
      <c r="AD4674">
        <v>0</v>
      </c>
      <c r="AE4674">
        <v>91</v>
      </c>
      <c r="AF4674">
        <v>147.26</v>
      </c>
      <c r="AG4674">
        <v>-10.81</v>
      </c>
      <c r="AH4674">
        <v>-3.57</v>
      </c>
      <c r="AI4674">
        <v>-0.28000000000000003</v>
      </c>
      <c r="AJ4674">
        <v>-0.15</v>
      </c>
      <c r="AK4674">
        <v>83</v>
      </c>
      <c r="AL4674">
        <v>0</v>
      </c>
      <c r="AM4674">
        <v>0</v>
      </c>
      <c r="AN4674">
        <v>3.48</v>
      </c>
      <c r="AO4674">
        <v>-0.59</v>
      </c>
      <c r="AP4674">
        <v>5</v>
      </c>
      <c r="AQ4674">
        <v>0</v>
      </c>
      <c r="AR4674">
        <v>11.74</v>
      </c>
      <c r="AS4674">
        <v>52</v>
      </c>
      <c r="AT4674">
        <v>5.69</v>
      </c>
      <c r="AU4674">
        <v>89</v>
      </c>
      <c r="AV4674">
        <v>-0.54</v>
      </c>
      <c r="AW4674">
        <v>57</v>
      </c>
      <c r="AX4674">
        <v>-0.69</v>
      </c>
      <c r="AY4674">
        <v>58</v>
      </c>
      <c r="AZ4674">
        <v>5.81</v>
      </c>
      <c r="BA4674">
        <v>43</v>
      </c>
      <c r="BB4674">
        <v>4.29</v>
      </c>
      <c r="BC4674">
        <v>49</v>
      </c>
      <c r="BD4674">
        <v>0.04</v>
      </c>
      <c r="BE4674">
        <v>0.05</v>
      </c>
      <c r="BF4674">
        <v>0.01</v>
      </c>
      <c r="BG4674">
        <v>90</v>
      </c>
      <c r="BH4674">
        <v>0.02</v>
      </c>
      <c r="BI4674">
        <v>16.77</v>
      </c>
      <c r="BJ4674">
        <v>2</v>
      </c>
      <c r="BK4674">
        <v>2</v>
      </c>
      <c r="BL4674">
        <v>1.27</v>
      </c>
      <c r="BM4674">
        <v>-2.0699999999999998</v>
      </c>
      <c r="BN4674">
        <v>-0.03</v>
      </c>
      <c r="BO4674">
        <v>1.17</v>
      </c>
      <c r="BP4674">
        <v>-1.57</v>
      </c>
      <c r="BQ4674">
        <v>-1.02</v>
      </c>
      <c r="BR4674">
        <v>-0.22</v>
      </c>
      <c r="BS4674">
        <v>-0.49</v>
      </c>
      <c r="BT4674">
        <v>1.24</v>
      </c>
      <c r="BU4674">
        <v>0.92</v>
      </c>
      <c r="BV4674">
        <v>1.85</v>
      </c>
      <c r="BW4674">
        <v>1.82</v>
      </c>
      <c r="BX4674">
        <v>1.34</v>
      </c>
      <c r="BY4674">
        <v>0.7</v>
      </c>
      <c r="BZ4674">
        <v>1.2</v>
      </c>
      <c r="CA4674">
        <v>1.21</v>
      </c>
      <c r="CB4674">
        <v>1.55</v>
      </c>
      <c r="CC4674">
        <v>-0.28000000000000003</v>
      </c>
      <c r="CD4674">
        <v>-1.81</v>
      </c>
      <c r="CE4674">
        <v>0.53</v>
      </c>
      <c r="CF4674">
        <v>0.48</v>
      </c>
      <c r="CG4674">
        <v>0</v>
      </c>
      <c r="CH4674">
        <v>0.68</v>
      </c>
      <c r="CI4674">
        <v>0</v>
      </c>
      <c r="CJ4674">
        <v>-8.1</v>
      </c>
      <c r="CK4674">
        <v>65</v>
      </c>
      <c r="CL4674">
        <v>-0.73</v>
      </c>
      <c r="CM4674">
        <v>61</v>
      </c>
      <c r="CN4674">
        <v>-0.35</v>
      </c>
      <c r="CO4674">
        <v>57</v>
      </c>
      <c r="CP4674">
        <v>-3.1</v>
      </c>
      <c r="CQ4674">
        <v>72</v>
      </c>
      <c r="CR4674">
        <v>0</v>
      </c>
      <c r="CS4674">
        <v>0</v>
      </c>
      <c r="CT4674">
        <v>-3.2</v>
      </c>
      <c r="CU4674">
        <v>67</v>
      </c>
      <c r="CV4674">
        <v>-0.02</v>
      </c>
      <c r="CW4674">
        <v>38</v>
      </c>
      <c r="CX4674" t="s">
        <v>154</v>
      </c>
    </row>
    <row r="4675" spans="1:102" x14ac:dyDescent="0.3">
      <c r="A4675" t="str">
        <f>HYPERLINK("https://webapp.icbf.com/v2/app/bull-search/view/77853130","TMA")</f>
        <v>TMA</v>
      </c>
      <c r="B4675" t="s">
        <v>11204</v>
      </c>
      <c r="C4675" t="s">
        <v>1149</v>
      </c>
      <c r="D4675" s="1">
        <v>31628</v>
      </c>
      <c r="E4675" t="s">
        <v>92</v>
      </c>
      <c r="F4675">
        <v>100</v>
      </c>
      <c r="G4675" t="s">
        <v>109</v>
      </c>
      <c r="H4675">
        <v>-154.94999999999999</v>
      </c>
      <c r="I4675">
        <v>89</v>
      </c>
      <c r="J4675">
        <v>-26.81</v>
      </c>
      <c r="K4675">
        <v>96</v>
      </c>
      <c r="L4675">
        <v>-122.02</v>
      </c>
      <c r="M4675">
        <v>92</v>
      </c>
      <c r="N4675">
        <v>4.1399999999999997</v>
      </c>
      <c r="O4675">
        <v>79</v>
      </c>
      <c r="P4675">
        <v>-4.96</v>
      </c>
      <c r="Q4675">
        <v>80</v>
      </c>
      <c r="R4675">
        <v>-7.19</v>
      </c>
      <c r="S4675">
        <v>82</v>
      </c>
      <c r="T4675">
        <v>4.43</v>
      </c>
      <c r="U4675">
        <v>77</v>
      </c>
      <c r="V4675">
        <v>-2.54</v>
      </c>
      <c r="W4675">
        <v>68</v>
      </c>
      <c r="X4675" t="s">
        <v>276</v>
      </c>
      <c r="Y4675" t="s">
        <v>95</v>
      </c>
      <c r="Z4675" t="s">
        <v>96</v>
      </c>
      <c r="AA4675" t="s">
        <v>543</v>
      </c>
      <c r="AB4675" t="s">
        <v>11205</v>
      </c>
      <c r="AC4675">
        <v>35</v>
      </c>
      <c r="AD4675">
        <v>33</v>
      </c>
      <c r="AE4675">
        <v>96</v>
      </c>
      <c r="AF4675">
        <v>280.17</v>
      </c>
      <c r="AG4675">
        <v>-4.67</v>
      </c>
      <c r="AH4675">
        <v>1.38</v>
      </c>
      <c r="AI4675">
        <v>-0.26</v>
      </c>
      <c r="AJ4675">
        <v>-0.14000000000000001</v>
      </c>
      <c r="AK4675">
        <v>92</v>
      </c>
      <c r="AL4675">
        <v>42</v>
      </c>
      <c r="AM4675">
        <v>32</v>
      </c>
      <c r="AN4675">
        <v>7.51</v>
      </c>
      <c r="AO4675">
        <v>-2.21</v>
      </c>
      <c r="AP4675">
        <v>1</v>
      </c>
      <c r="AQ4675">
        <v>10</v>
      </c>
      <c r="AR4675">
        <v>6.81</v>
      </c>
      <c r="AS4675">
        <v>69</v>
      </c>
      <c r="AT4675">
        <v>3.11</v>
      </c>
      <c r="AU4675">
        <v>97</v>
      </c>
      <c r="AV4675">
        <v>-0.61</v>
      </c>
      <c r="AW4675">
        <v>75</v>
      </c>
      <c r="AX4675">
        <v>-0.2</v>
      </c>
      <c r="AY4675">
        <v>78</v>
      </c>
      <c r="AZ4675">
        <v>7.88</v>
      </c>
      <c r="BA4675">
        <v>64</v>
      </c>
      <c r="BB4675">
        <v>5.23</v>
      </c>
      <c r="BC4675">
        <v>69</v>
      </c>
      <c r="BD4675">
        <v>0.08</v>
      </c>
      <c r="BE4675">
        <v>0.08</v>
      </c>
      <c r="BF4675">
        <v>-0.12</v>
      </c>
      <c r="BG4675">
        <v>94</v>
      </c>
      <c r="BH4675">
        <v>-0.08</v>
      </c>
      <c r="BI4675">
        <v>-1.06</v>
      </c>
      <c r="BJ4675">
        <v>27</v>
      </c>
      <c r="BK4675">
        <v>20</v>
      </c>
      <c r="BL4675">
        <v>7.0000000000000007E-2</v>
      </c>
      <c r="BM4675">
        <v>-0.45</v>
      </c>
      <c r="BN4675">
        <v>0.36</v>
      </c>
      <c r="BO4675">
        <v>0.3</v>
      </c>
      <c r="BP4675">
        <v>0.83</v>
      </c>
      <c r="BQ4675">
        <v>1.42</v>
      </c>
      <c r="BR4675">
        <v>2.86</v>
      </c>
      <c r="BS4675">
        <v>-2.5</v>
      </c>
      <c r="BT4675">
        <v>-2.77</v>
      </c>
      <c r="BU4675">
        <v>1.28</v>
      </c>
      <c r="BV4675">
        <v>0.47</v>
      </c>
      <c r="BW4675">
        <v>0.76</v>
      </c>
      <c r="BX4675">
        <v>1.77</v>
      </c>
      <c r="BY4675">
        <v>0.68</v>
      </c>
      <c r="BZ4675">
        <v>-0.36</v>
      </c>
      <c r="CA4675">
        <v>-0.23</v>
      </c>
      <c r="CB4675">
        <v>1</v>
      </c>
      <c r="CC4675">
        <v>-2.29</v>
      </c>
      <c r="CD4675">
        <v>-0.41</v>
      </c>
      <c r="CE4675">
        <v>1.05</v>
      </c>
      <c r="CF4675">
        <v>0.87</v>
      </c>
      <c r="CG4675">
        <v>0</v>
      </c>
      <c r="CH4675">
        <v>0.63</v>
      </c>
      <c r="CI4675">
        <v>0</v>
      </c>
      <c r="CJ4675">
        <v>-2.9</v>
      </c>
      <c r="CK4675">
        <v>81</v>
      </c>
      <c r="CL4675">
        <v>-0.66</v>
      </c>
      <c r="CM4675">
        <v>79</v>
      </c>
      <c r="CN4675">
        <v>-0.55000000000000004</v>
      </c>
      <c r="CO4675">
        <v>77</v>
      </c>
      <c r="CP4675">
        <v>-3.9</v>
      </c>
      <c r="CQ4675">
        <v>85</v>
      </c>
      <c r="CR4675">
        <v>0</v>
      </c>
      <c r="CS4675">
        <v>0</v>
      </c>
      <c r="CT4675">
        <v>7.8</v>
      </c>
      <c r="CU4675">
        <v>77</v>
      </c>
      <c r="CV4675">
        <v>0.04</v>
      </c>
      <c r="CW4675">
        <v>42</v>
      </c>
      <c r="CX4675" t="s">
        <v>3805</v>
      </c>
    </row>
    <row r="4676" spans="1:102" x14ac:dyDescent="0.3">
      <c r="A4676" t="str">
        <f>HYPERLINK("https://webapp.icbf.com/v2/app/bull-search/view/77857036","HMU")</f>
        <v>HMU</v>
      </c>
      <c r="B4676" t="s">
        <v>858</v>
      </c>
      <c r="C4676" t="s">
        <v>859</v>
      </c>
      <c r="D4676" s="1">
        <v>35386</v>
      </c>
      <c r="E4676" t="s">
        <v>92</v>
      </c>
      <c r="F4676">
        <v>100</v>
      </c>
      <c r="G4676" t="s">
        <v>93</v>
      </c>
      <c r="H4676">
        <v>-155.33000000000001</v>
      </c>
      <c r="I4676">
        <v>71</v>
      </c>
      <c r="J4676">
        <v>-0.39</v>
      </c>
      <c r="K4676">
        <v>92</v>
      </c>
      <c r="L4676">
        <v>-137.08000000000001</v>
      </c>
      <c r="M4676">
        <v>56</v>
      </c>
      <c r="N4676">
        <v>-25.84</v>
      </c>
      <c r="O4676">
        <v>61</v>
      </c>
      <c r="P4676">
        <v>-5.21</v>
      </c>
      <c r="Q4676">
        <v>79</v>
      </c>
      <c r="R4676">
        <v>-1.61</v>
      </c>
      <c r="S4676">
        <v>60</v>
      </c>
      <c r="T4676">
        <v>14.49</v>
      </c>
      <c r="U4676">
        <v>77</v>
      </c>
      <c r="V4676">
        <v>0.31</v>
      </c>
      <c r="W4676">
        <v>29</v>
      </c>
      <c r="X4676" t="s">
        <v>94</v>
      </c>
      <c r="Y4676" t="s">
        <v>95</v>
      </c>
      <c r="Z4676" t="s">
        <v>96</v>
      </c>
      <c r="AA4676" t="s">
        <v>860</v>
      </c>
      <c r="AB4676" t="s">
        <v>861</v>
      </c>
      <c r="AC4676">
        <v>54</v>
      </c>
      <c r="AD4676">
        <v>52</v>
      </c>
      <c r="AE4676">
        <v>92</v>
      </c>
      <c r="AF4676">
        <v>329.27</v>
      </c>
      <c r="AG4676">
        <v>3.09</v>
      </c>
      <c r="AH4676">
        <v>3.88</v>
      </c>
      <c r="AI4676">
        <v>-0.15</v>
      </c>
      <c r="AJ4676">
        <v>-0.12</v>
      </c>
      <c r="AK4676">
        <v>56</v>
      </c>
      <c r="AL4676">
        <v>54</v>
      </c>
      <c r="AM4676">
        <v>46</v>
      </c>
      <c r="AN4676">
        <v>8.41</v>
      </c>
      <c r="AO4676">
        <v>-2.5099999999999998</v>
      </c>
      <c r="AP4676">
        <v>4</v>
      </c>
      <c r="AQ4676">
        <v>0</v>
      </c>
      <c r="AR4676">
        <v>12.91</v>
      </c>
      <c r="AS4676">
        <v>36</v>
      </c>
      <c r="AT4676">
        <v>5.18</v>
      </c>
      <c r="AU4676">
        <v>55</v>
      </c>
      <c r="AV4676">
        <v>-1.75</v>
      </c>
      <c r="AW4676">
        <v>73</v>
      </c>
      <c r="AX4676">
        <v>0.53</v>
      </c>
      <c r="AY4676">
        <v>67</v>
      </c>
      <c r="AZ4676">
        <v>6.93</v>
      </c>
      <c r="BA4676">
        <v>38</v>
      </c>
      <c r="BB4676">
        <v>4.37</v>
      </c>
      <c r="BC4676">
        <v>47</v>
      </c>
      <c r="BD4676">
        <v>0.03</v>
      </c>
      <c r="BE4676">
        <v>0.03</v>
      </c>
      <c r="BF4676">
        <v>-7.0000000000000007E-2</v>
      </c>
      <c r="BG4676">
        <v>76</v>
      </c>
      <c r="BH4676">
        <v>0.01</v>
      </c>
      <c r="BI4676">
        <v>0.17</v>
      </c>
      <c r="BJ4676">
        <v>11</v>
      </c>
      <c r="BK4676">
        <v>10</v>
      </c>
      <c r="BL4676">
        <v>-0.7</v>
      </c>
      <c r="BM4676">
        <v>-0.5</v>
      </c>
      <c r="BN4676">
        <v>-1.19</v>
      </c>
      <c r="BO4676">
        <v>-0.66</v>
      </c>
      <c r="BP4676">
        <v>-1.05</v>
      </c>
      <c r="BQ4676">
        <v>-1.9</v>
      </c>
      <c r="BR4676">
        <v>0.31</v>
      </c>
      <c r="BS4676">
        <v>-0.96</v>
      </c>
      <c r="BT4676">
        <v>0.59</v>
      </c>
      <c r="BU4676">
        <v>-1.49</v>
      </c>
      <c r="BV4676">
        <v>-1.63</v>
      </c>
      <c r="BW4676">
        <v>-0.72</v>
      </c>
      <c r="BX4676">
        <v>0.21</v>
      </c>
      <c r="BY4676">
        <v>-2.04</v>
      </c>
      <c r="BZ4676">
        <v>-0.72</v>
      </c>
      <c r="CA4676">
        <v>-2.23</v>
      </c>
      <c r="CB4676">
        <v>-2.2200000000000002</v>
      </c>
      <c r="CC4676">
        <v>-1.45</v>
      </c>
      <c r="CD4676">
        <v>-0.78</v>
      </c>
      <c r="CE4676">
        <v>-0.86</v>
      </c>
      <c r="CF4676">
        <v>-1.76</v>
      </c>
      <c r="CG4676">
        <v>0</v>
      </c>
      <c r="CH4676">
        <v>-1.17</v>
      </c>
      <c r="CI4676">
        <v>0</v>
      </c>
      <c r="CJ4676">
        <v>-1.5</v>
      </c>
      <c r="CK4676">
        <v>80</v>
      </c>
      <c r="CL4676">
        <v>-0.44</v>
      </c>
      <c r="CM4676">
        <v>76</v>
      </c>
      <c r="CN4676">
        <v>-0.19</v>
      </c>
      <c r="CO4676">
        <v>73</v>
      </c>
      <c r="CP4676">
        <v>-5.5</v>
      </c>
      <c r="CQ4676">
        <v>85</v>
      </c>
      <c r="CR4676">
        <v>0</v>
      </c>
      <c r="CS4676">
        <v>0</v>
      </c>
      <c r="CT4676">
        <v>-5.8</v>
      </c>
      <c r="CU4676">
        <v>77</v>
      </c>
      <c r="CV4676">
        <v>0.11</v>
      </c>
      <c r="CW4676">
        <v>22</v>
      </c>
      <c r="CX4676" t="s">
        <v>531</v>
      </c>
    </row>
    <row r="4677" spans="1:102" x14ac:dyDescent="0.3">
      <c r="A4677" t="str">
        <f>HYPERLINK("https://webapp.icbf.com/v2/app/bull-search/view/108367954","LUG")</f>
        <v>LUG</v>
      </c>
      <c r="B4677" t="s">
        <v>1354</v>
      </c>
      <c r="C4677" t="s">
        <v>1355</v>
      </c>
      <c r="D4677" s="1">
        <v>34877</v>
      </c>
      <c r="E4677" t="s">
        <v>92</v>
      </c>
      <c r="F4677">
        <v>100</v>
      </c>
      <c r="G4677" t="s">
        <v>93</v>
      </c>
      <c r="H4677">
        <v>-155.43</v>
      </c>
      <c r="I4677">
        <v>96</v>
      </c>
      <c r="J4677">
        <v>10.78</v>
      </c>
      <c r="K4677">
        <v>99</v>
      </c>
      <c r="L4677">
        <v>-143.87</v>
      </c>
      <c r="M4677">
        <v>93</v>
      </c>
      <c r="N4677">
        <v>-25.79</v>
      </c>
      <c r="O4677">
        <v>95</v>
      </c>
      <c r="P4677">
        <v>-1.97</v>
      </c>
      <c r="Q4677">
        <v>98</v>
      </c>
      <c r="R4677">
        <v>-7.55</v>
      </c>
      <c r="S4677">
        <v>91</v>
      </c>
      <c r="T4677">
        <v>13.53</v>
      </c>
      <c r="U4677">
        <v>96</v>
      </c>
      <c r="V4677">
        <v>-0.56000000000000005</v>
      </c>
      <c r="W4677">
        <v>89</v>
      </c>
      <c r="X4677" t="s">
        <v>94</v>
      </c>
      <c r="Y4677" t="s">
        <v>95</v>
      </c>
      <c r="Z4677" t="s">
        <v>96</v>
      </c>
      <c r="AA4677" t="s">
        <v>678</v>
      </c>
      <c r="AB4677" t="s">
        <v>1356</v>
      </c>
      <c r="AC4677">
        <v>342</v>
      </c>
      <c r="AD4677">
        <v>155</v>
      </c>
      <c r="AE4677">
        <v>99</v>
      </c>
      <c r="AF4677">
        <v>129.63</v>
      </c>
      <c r="AG4677">
        <v>2.2000000000000002</v>
      </c>
      <c r="AH4677">
        <v>3.04</v>
      </c>
      <c r="AI4677">
        <v>-0.05</v>
      </c>
      <c r="AJ4677">
        <v>-0.02</v>
      </c>
      <c r="AK4677">
        <v>93</v>
      </c>
      <c r="AL4677">
        <v>330</v>
      </c>
      <c r="AM4677">
        <v>148</v>
      </c>
      <c r="AN4677">
        <v>8.8699999999999992</v>
      </c>
      <c r="AO4677">
        <v>-2.59</v>
      </c>
      <c r="AP4677">
        <v>671</v>
      </c>
      <c r="AQ4677">
        <v>5</v>
      </c>
      <c r="AR4677">
        <v>9.9</v>
      </c>
      <c r="AS4677">
        <v>90</v>
      </c>
      <c r="AT4677">
        <v>4.74</v>
      </c>
      <c r="AU4677">
        <v>97</v>
      </c>
      <c r="AV4677">
        <v>-0.88</v>
      </c>
      <c r="AW4677">
        <v>98</v>
      </c>
      <c r="AX4677">
        <v>0.1</v>
      </c>
      <c r="AY4677">
        <v>94</v>
      </c>
      <c r="AZ4677">
        <v>8.48</v>
      </c>
      <c r="BA4677">
        <v>86</v>
      </c>
      <c r="BB4677">
        <v>6</v>
      </c>
      <c r="BC4677">
        <v>87</v>
      </c>
      <c r="BD4677">
        <v>7.0000000000000007E-2</v>
      </c>
      <c r="BE4677">
        <v>0.03</v>
      </c>
      <c r="BF4677">
        <v>0</v>
      </c>
      <c r="BG4677">
        <v>96</v>
      </c>
      <c r="BH4677">
        <v>0.01</v>
      </c>
      <c r="BI4677">
        <v>2.96</v>
      </c>
      <c r="BJ4677">
        <v>67</v>
      </c>
      <c r="BK4677">
        <v>38</v>
      </c>
      <c r="BL4677">
        <v>0.44</v>
      </c>
      <c r="BM4677">
        <v>-1.71</v>
      </c>
      <c r="BN4677">
        <v>0.52</v>
      </c>
      <c r="BO4677">
        <v>1.35</v>
      </c>
      <c r="BP4677">
        <v>-1.08</v>
      </c>
      <c r="BQ4677">
        <v>-0.28000000000000003</v>
      </c>
      <c r="BR4677">
        <v>-0.39</v>
      </c>
      <c r="BS4677">
        <v>0.22</v>
      </c>
      <c r="BT4677">
        <v>0.28999999999999998</v>
      </c>
      <c r="BU4677">
        <v>0.28000000000000003</v>
      </c>
      <c r="BV4677">
        <v>0.4</v>
      </c>
      <c r="BW4677">
        <v>1.28</v>
      </c>
      <c r="BX4677">
        <v>-0.23</v>
      </c>
      <c r="BY4677">
        <v>0.16</v>
      </c>
      <c r="BZ4677">
        <v>0.19</v>
      </c>
      <c r="CA4677">
        <v>0.59</v>
      </c>
      <c r="CB4677">
        <v>0.34</v>
      </c>
      <c r="CC4677">
        <v>0.79</v>
      </c>
      <c r="CD4677">
        <v>-2.0299999999999998</v>
      </c>
      <c r="CE4677">
        <v>1.02</v>
      </c>
      <c r="CF4677">
        <v>0.68</v>
      </c>
      <c r="CG4677">
        <v>0</v>
      </c>
      <c r="CH4677">
        <v>0.04</v>
      </c>
      <c r="CI4677">
        <v>0</v>
      </c>
      <c r="CJ4677">
        <v>1</v>
      </c>
      <c r="CK4677">
        <v>98</v>
      </c>
      <c r="CL4677">
        <v>-0.85</v>
      </c>
      <c r="CM4677">
        <v>97</v>
      </c>
      <c r="CN4677">
        <v>-0.53</v>
      </c>
      <c r="CO4677">
        <v>97</v>
      </c>
      <c r="CP4677">
        <v>-5.2</v>
      </c>
      <c r="CQ4677">
        <v>97</v>
      </c>
      <c r="CR4677">
        <v>0</v>
      </c>
      <c r="CS4677">
        <v>0</v>
      </c>
      <c r="CT4677">
        <v>-4.5</v>
      </c>
      <c r="CU4677">
        <v>96</v>
      </c>
      <c r="CV4677">
        <v>0.2</v>
      </c>
      <c r="CW4677">
        <v>45</v>
      </c>
      <c r="CX4677" t="s">
        <v>914</v>
      </c>
    </row>
    <row r="4678" spans="1:102" x14ac:dyDescent="0.3">
      <c r="A4678" t="str">
        <f>HYPERLINK("https://webapp.icbf.com/v2/app/bull-search/view/69092419","PSY")</f>
        <v>PSY</v>
      </c>
      <c r="B4678" t="s">
        <v>10509</v>
      </c>
      <c r="C4678" t="s">
        <v>10510</v>
      </c>
      <c r="D4678" s="1">
        <v>33519</v>
      </c>
      <c r="E4678" t="s">
        <v>108</v>
      </c>
      <c r="F4678">
        <v>0</v>
      </c>
      <c r="G4678" t="s">
        <v>109</v>
      </c>
      <c r="H4678">
        <v>-155.49</v>
      </c>
      <c r="I4678">
        <v>65</v>
      </c>
      <c r="J4678">
        <v>-46.78</v>
      </c>
      <c r="K4678">
        <v>78</v>
      </c>
      <c r="L4678">
        <v>-113.9</v>
      </c>
      <c r="M4678">
        <v>77</v>
      </c>
      <c r="N4678">
        <v>6.26</v>
      </c>
      <c r="O4678">
        <v>47</v>
      </c>
      <c r="P4678">
        <v>-7.01</v>
      </c>
      <c r="Q4678">
        <v>40</v>
      </c>
      <c r="R4678">
        <v>-8.93</v>
      </c>
      <c r="S4678">
        <v>58</v>
      </c>
      <c r="T4678">
        <v>17.079999999999998</v>
      </c>
      <c r="U4678">
        <v>39</v>
      </c>
      <c r="V4678">
        <v>-2.21</v>
      </c>
      <c r="W4678">
        <v>22</v>
      </c>
      <c r="X4678" t="s">
        <v>110</v>
      </c>
      <c r="Y4678" t="s">
        <v>95</v>
      </c>
      <c r="Z4678" t="s">
        <v>96</v>
      </c>
      <c r="AA4678" t="s">
        <v>152</v>
      </c>
      <c r="AB4678" t="s">
        <v>10511</v>
      </c>
      <c r="AC4678">
        <v>0</v>
      </c>
      <c r="AD4678">
        <v>0</v>
      </c>
      <c r="AE4678">
        <v>78</v>
      </c>
      <c r="AF4678">
        <v>240.02</v>
      </c>
      <c r="AG4678">
        <v>-6.59</v>
      </c>
      <c r="AH4678">
        <v>-1.95</v>
      </c>
      <c r="AI4678">
        <v>-0.25</v>
      </c>
      <c r="AJ4678">
        <v>-0.16</v>
      </c>
      <c r="AK4678">
        <v>77</v>
      </c>
      <c r="AL4678">
        <v>0</v>
      </c>
      <c r="AM4678">
        <v>0</v>
      </c>
      <c r="AN4678">
        <v>4.93</v>
      </c>
      <c r="AO4678">
        <v>-4.17</v>
      </c>
      <c r="AP4678">
        <v>2</v>
      </c>
      <c r="AQ4678">
        <v>0</v>
      </c>
      <c r="AR4678">
        <v>8.48</v>
      </c>
      <c r="AS4678">
        <v>24</v>
      </c>
      <c r="AT4678">
        <v>3.51</v>
      </c>
      <c r="AU4678">
        <v>82</v>
      </c>
      <c r="AV4678">
        <v>-2.1</v>
      </c>
      <c r="AW4678">
        <v>42</v>
      </c>
      <c r="AX4678">
        <v>-0.53</v>
      </c>
      <c r="AY4678">
        <v>35</v>
      </c>
      <c r="AZ4678">
        <v>7.55</v>
      </c>
      <c r="BA4678">
        <v>24</v>
      </c>
      <c r="BB4678">
        <v>5.77</v>
      </c>
      <c r="BC4678">
        <v>25</v>
      </c>
      <c r="BD4678">
        <v>0.02</v>
      </c>
      <c r="BE4678">
        <v>0.08</v>
      </c>
      <c r="BF4678">
        <v>0.02</v>
      </c>
      <c r="BG4678">
        <v>85</v>
      </c>
      <c r="BH4678">
        <v>-0.03</v>
      </c>
      <c r="BI4678">
        <v>3.66</v>
      </c>
      <c r="BJ4678">
        <v>0</v>
      </c>
      <c r="BK4678">
        <v>0</v>
      </c>
      <c r="BL4678">
        <v>1.19</v>
      </c>
      <c r="BM4678">
        <v>1.1000000000000001</v>
      </c>
      <c r="BN4678">
        <v>1.88</v>
      </c>
      <c r="BO4678">
        <v>0.88</v>
      </c>
      <c r="BP4678">
        <v>0.55000000000000004</v>
      </c>
      <c r="BQ4678">
        <v>0.82</v>
      </c>
      <c r="BR4678">
        <v>0.08</v>
      </c>
      <c r="BS4678">
        <v>-1.29</v>
      </c>
      <c r="BT4678">
        <v>-0.33</v>
      </c>
      <c r="BU4678">
        <v>-0.56999999999999995</v>
      </c>
      <c r="BV4678">
        <v>0.19</v>
      </c>
      <c r="BW4678">
        <v>-0.54</v>
      </c>
      <c r="BX4678">
        <v>-1.1599999999999999</v>
      </c>
      <c r="BY4678">
        <v>-1.29</v>
      </c>
      <c r="BZ4678">
        <v>3.32</v>
      </c>
      <c r="CA4678">
        <v>-0.77</v>
      </c>
      <c r="CB4678">
        <v>-0.54</v>
      </c>
      <c r="CC4678">
        <v>-0.65</v>
      </c>
      <c r="CD4678">
        <v>-1.04</v>
      </c>
      <c r="CE4678">
        <v>0</v>
      </c>
      <c r="CF4678">
        <v>0</v>
      </c>
      <c r="CG4678">
        <v>0</v>
      </c>
      <c r="CH4678">
        <v>0</v>
      </c>
      <c r="CI4678">
        <v>0</v>
      </c>
      <c r="CJ4678">
        <v>-3.4</v>
      </c>
      <c r="CK4678">
        <v>42</v>
      </c>
      <c r="CL4678">
        <v>-0.45</v>
      </c>
      <c r="CM4678">
        <v>37</v>
      </c>
      <c r="CN4678">
        <v>-0.28999999999999998</v>
      </c>
      <c r="CO4678">
        <v>36</v>
      </c>
      <c r="CP4678">
        <v>-7.1</v>
      </c>
      <c r="CQ4678">
        <v>39</v>
      </c>
      <c r="CR4678">
        <v>0</v>
      </c>
      <c r="CS4678">
        <v>0</v>
      </c>
      <c r="CT4678">
        <v>-9.3000000000000007</v>
      </c>
      <c r="CU4678">
        <v>39</v>
      </c>
      <c r="CV4678">
        <v>0.08</v>
      </c>
      <c r="CW4678">
        <v>12</v>
      </c>
      <c r="CX4678" t="s">
        <v>168</v>
      </c>
    </row>
    <row r="4679" spans="1:102" x14ac:dyDescent="0.3">
      <c r="A4679" t="str">
        <f>HYPERLINK("https://webapp.icbf.com/v2/app/bull-search/view/108367908","ALC")</f>
        <v>ALC</v>
      </c>
      <c r="B4679" t="s">
        <v>8427</v>
      </c>
      <c r="C4679" t="s">
        <v>8428</v>
      </c>
      <c r="D4679" s="1">
        <v>36885</v>
      </c>
      <c r="E4679" t="s">
        <v>92</v>
      </c>
      <c r="F4679">
        <v>100</v>
      </c>
      <c r="G4679" t="s">
        <v>93</v>
      </c>
      <c r="H4679">
        <v>-155.59</v>
      </c>
      <c r="I4679">
        <v>80</v>
      </c>
      <c r="J4679">
        <v>-15.62</v>
      </c>
      <c r="K4679">
        <v>94</v>
      </c>
      <c r="L4679">
        <v>-145.04</v>
      </c>
      <c r="M4679">
        <v>73</v>
      </c>
      <c r="N4679">
        <v>25.79</v>
      </c>
      <c r="O4679">
        <v>75</v>
      </c>
      <c r="P4679">
        <v>-10.54</v>
      </c>
      <c r="Q4679">
        <v>85</v>
      </c>
      <c r="R4679">
        <v>-18.18</v>
      </c>
      <c r="S4679">
        <v>72</v>
      </c>
      <c r="T4679">
        <v>12.72</v>
      </c>
      <c r="U4679">
        <v>71</v>
      </c>
      <c r="V4679">
        <v>-4.72</v>
      </c>
      <c r="W4679">
        <v>62</v>
      </c>
      <c r="X4679" t="s">
        <v>94</v>
      </c>
      <c r="Y4679" t="s">
        <v>95</v>
      </c>
      <c r="Z4679" t="s">
        <v>96</v>
      </c>
      <c r="AA4679" t="s">
        <v>8429</v>
      </c>
      <c r="AB4679" t="s">
        <v>8430</v>
      </c>
      <c r="AC4679">
        <v>42</v>
      </c>
      <c r="AD4679">
        <v>40</v>
      </c>
      <c r="AE4679">
        <v>94</v>
      </c>
      <c r="AF4679">
        <v>558.52</v>
      </c>
      <c r="AG4679">
        <v>-1.72</v>
      </c>
      <c r="AH4679">
        <v>6.5</v>
      </c>
      <c r="AI4679">
        <v>-0.37</v>
      </c>
      <c r="AJ4679">
        <v>-0.2</v>
      </c>
      <c r="AK4679">
        <v>73</v>
      </c>
      <c r="AL4679">
        <v>37</v>
      </c>
      <c r="AM4679">
        <v>29</v>
      </c>
      <c r="AN4679">
        <v>7.66</v>
      </c>
      <c r="AO4679">
        <v>-3.91</v>
      </c>
      <c r="AP4679">
        <v>76</v>
      </c>
      <c r="AQ4679">
        <v>0</v>
      </c>
      <c r="AR4679">
        <v>7.81</v>
      </c>
      <c r="AS4679">
        <v>57</v>
      </c>
      <c r="AT4679">
        <v>2.88</v>
      </c>
      <c r="AU4679">
        <v>80</v>
      </c>
      <c r="AV4679">
        <v>-2.62</v>
      </c>
      <c r="AW4679">
        <v>88</v>
      </c>
      <c r="AX4679">
        <v>0.6</v>
      </c>
      <c r="AY4679">
        <v>67</v>
      </c>
      <c r="AZ4679">
        <v>5.37</v>
      </c>
      <c r="BA4679">
        <v>49</v>
      </c>
      <c r="BB4679">
        <v>4.2699999999999996</v>
      </c>
      <c r="BC4679">
        <v>50</v>
      </c>
      <c r="BD4679">
        <v>0.06</v>
      </c>
      <c r="BE4679">
        <v>0.12</v>
      </c>
      <c r="BF4679">
        <v>0.09</v>
      </c>
      <c r="BG4679">
        <v>83</v>
      </c>
      <c r="BH4679">
        <v>0.01</v>
      </c>
      <c r="BI4679">
        <v>16.38</v>
      </c>
      <c r="BJ4679">
        <v>13</v>
      </c>
      <c r="BK4679">
        <v>10</v>
      </c>
      <c r="BL4679">
        <v>1.06</v>
      </c>
      <c r="BM4679">
        <v>0.21</v>
      </c>
      <c r="BN4679">
        <v>1.08</v>
      </c>
      <c r="BO4679">
        <v>0.89</v>
      </c>
      <c r="BP4679">
        <v>-0.36</v>
      </c>
      <c r="BQ4679">
        <v>0.47</v>
      </c>
      <c r="BR4679">
        <v>-0.32</v>
      </c>
      <c r="BS4679">
        <v>-0.01</v>
      </c>
      <c r="BT4679">
        <v>0.11</v>
      </c>
      <c r="BU4679">
        <v>-1.37</v>
      </c>
      <c r="BV4679">
        <v>-0.21</v>
      </c>
      <c r="BW4679">
        <v>1.29</v>
      </c>
      <c r="BX4679">
        <v>-0.88</v>
      </c>
      <c r="BY4679">
        <v>1.18</v>
      </c>
      <c r="BZ4679">
        <v>0.22</v>
      </c>
      <c r="CA4679">
        <v>0.04</v>
      </c>
      <c r="CB4679">
        <v>-0.1</v>
      </c>
      <c r="CC4679">
        <v>-7.0000000000000007E-2</v>
      </c>
      <c r="CD4679">
        <v>-0.55000000000000004</v>
      </c>
      <c r="CE4679">
        <v>1.36</v>
      </c>
      <c r="CF4679">
        <v>1.43</v>
      </c>
      <c r="CG4679">
        <v>0</v>
      </c>
      <c r="CH4679">
        <v>0.66</v>
      </c>
      <c r="CI4679">
        <v>0</v>
      </c>
      <c r="CJ4679">
        <v>-1.1000000000000001</v>
      </c>
      <c r="CK4679">
        <v>87</v>
      </c>
      <c r="CL4679">
        <v>-1</v>
      </c>
      <c r="CM4679">
        <v>84</v>
      </c>
      <c r="CN4679">
        <v>-0.18</v>
      </c>
      <c r="CO4679">
        <v>82</v>
      </c>
      <c r="CP4679">
        <v>-5.4</v>
      </c>
      <c r="CQ4679">
        <v>82</v>
      </c>
      <c r="CR4679">
        <v>0</v>
      </c>
      <c r="CS4679">
        <v>0</v>
      </c>
      <c r="CT4679">
        <v>-3.4</v>
      </c>
      <c r="CU4679">
        <v>71</v>
      </c>
      <c r="CV4679">
        <v>0.28999999999999998</v>
      </c>
      <c r="CW4679">
        <v>43</v>
      </c>
      <c r="CX4679" t="s">
        <v>216</v>
      </c>
    </row>
    <row r="4680" spans="1:102" x14ac:dyDescent="0.3">
      <c r="A4680" t="str">
        <f>HYPERLINK("https://webapp.icbf.com/v2/app/bull-search/view/77859142","ABF")</f>
        <v>ABF</v>
      </c>
      <c r="B4680" t="s">
        <v>11005</v>
      </c>
      <c r="C4680" t="s">
        <v>11006</v>
      </c>
      <c r="D4680" s="1">
        <v>35800</v>
      </c>
      <c r="E4680" t="s">
        <v>92</v>
      </c>
      <c r="F4680">
        <v>97</v>
      </c>
      <c r="G4680" t="s">
        <v>93</v>
      </c>
      <c r="H4680">
        <v>-155.61000000000001</v>
      </c>
      <c r="I4680">
        <v>84</v>
      </c>
      <c r="J4680">
        <v>-13.47</v>
      </c>
      <c r="K4680">
        <v>97</v>
      </c>
      <c r="L4680">
        <v>-113.17</v>
      </c>
      <c r="M4680">
        <v>76</v>
      </c>
      <c r="N4680">
        <v>-25.28</v>
      </c>
      <c r="O4680">
        <v>79</v>
      </c>
      <c r="P4680">
        <v>-9.1999999999999993</v>
      </c>
      <c r="Q4680">
        <v>91</v>
      </c>
      <c r="R4680">
        <v>-6.45</v>
      </c>
      <c r="S4680">
        <v>76</v>
      </c>
      <c r="T4680">
        <v>12.35</v>
      </c>
      <c r="U4680">
        <v>88</v>
      </c>
      <c r="V4680">
        <v>-0.39</v>
      </c>
      <c r="W4680">
        <v>53</v>
      </c>
      <c r="X4680" t="s">
        <v>94</v>
      </c>
      <c r="Y4680" t="s">
        <v>95</v>
      </c>
      <c r="Z4680" t="s">
        <v>96</v>
      </c>
      <c r="AA4680" t="s">
        <v>218</v>
      </c>
      <c r="AB4680" t="s">
        <v>3872</v>
      </c>
      <c r="AC4680">
        <v>165</v>
      </c>
      <c r="AD4680">
        <v>136</v>
      </c>
      <c r="AE4680">
        <v>97</v>
      </c>
      <c r="AF4680">
        <v>314.20999999999998</v>
      </c>
      <c r="AG4680">
        <v>-8.3699999999999992</v>
      </c>
      <c r="AH4680">
        <v>5.48</v>
      </c>
      <c r="AI4680">
        <v>-0.32</v>
      </c>
      <c r="AJ4680">
        <v>-0.08</v>
      </c>
      <c r="AK4680">
        <v>76</v>
      </c>
      <c r="AL4680">
        <v>182</v>
      </c>
      <c r="AM4680">
        <v>136</v>
      </c>
      <c r="AN4680">
        <v>7.33</v>
      </c>
      <c r="AO4680">
        <v>-1.68</v>
      </c>
      <c r="AP4680">
        <v>21</v>
      </c>
      <c r="AQ4680">
        <v>0</v>
      </c>
      <c r="AR4680">
        <v>10.74</v>
      </c>
      <c r="AS4680">
        <v>64</v>
      </c>
      <c r="AT4680">
        <v>4.9400000000000004</v>
      </c>
      <c r="AU4680">
        <v>76</v>
      </c>
      <c r="AV4680">
        <v>0.16</v>
      </c>
      <c r="AW4680">
        <v>85</v>
      </c>
      <c r="AX4680">
        <v>-0.19</v>
      </c>
      <c r="AY4680">
        <v>85</v>
      </c>
      <c r="AZ4680">
        <v>5.24</v>
      </c>
      <c r="BA4680">
        <v>66</v>
      </c>
      <c r="BB4680">
        <v>4.38</v>
      </c>
      <c r="BC4680">
        <v>72</v>
      </c>
      <c r="BD4680">
        <v>0.02</v>
      </c>
      <c r="BE4680">
        <v>0.05</v>
      </c>
      <c r="BF4680">
        <v>0.02</v>
      </c>
      <c r="BG4680">
        <v>90</v>
      </c>
      <c r="BH4680">
        <v>0.06</v>
      </c>
      <c r="BI4680">
        <v>8.19</v>
      </c>
      <c r="BJ4680">
        <v>37</v>
      </c>
      <c r="BK4680">
        <v>26</v>
      </c>
      <c r="BL4680">
        <v>-0.08</v>
      </c>
      <c r="BM4680">
        <v>0.25</v>
      </c>
      <c r="BN4680">
        <v>0.27</v>
      </c>
      <c r="BO4680">
        <v>0.48</v>
      </c>
      <c r="BP4680">
        <v>-0.34</v>
      </c>
      <c r="BQ4680">
        <v>1.01</v>
      </c>
      <c r="BR4680">
        <v>0.45</v>
      </c>
      <c r="BS4680">
        <v>0.49</v>
      </c>
      <c r="BT4680">
        <v>-0.24</v>
      </c>
      <c r="BU4680">
        <v>0.54</v>
      </c>
      <c r="BV4680">
        <v>0.7</v>
      </c>
      <c r="BW4680">
        <v>1.5</v>
      </c>
      <c r="BX4680">
        <v>0.16</v>
      </c>
      <c r="BY4680">
        <v>1.04</v>
      </c>
      <c r="BZ4680">
        <v>-1.1299999999999999</v>
      </c>
      <c r="CA4680">
        <v>1.27</v>
      </c>
      <c r="CB4680">
        <v>1.17</v>
      </c>
      <c r="CC4680">
        <v>1</v>
      </c>
      <c r="CD4680">
        <v>-0.63</v>
      </c>
      <c r="CE4680">
        <v>0.37</v>
      </c>
      <c r="CF4680">
        <v>-0.21</v>
      </c>
      <c r="CG4680">
        <v>0</v>
      </c>
      <c r="CH4680">
        <v>1.79</v>
      </c>
      <c r="CI4680">
        <v>0</v>
      </c>
      <c r="CJ4680">
        <v>-2.5</v>
      </c>
      <c r="CK4680">
        <v>91</v>
      </c>
      <c r="CL4680">
        <v>-0.48</v>
      </c>
      <c r="CM4680">
        <v>90</v>
      </c>
      <c r="CN4680">
        <v>-0.04</v>
      </c>
      <c r="CO4680">
        <v>88</v>
      </c>
      <c r="CP4680">
        <v>-8.4</v>
      </c>
      <c r="CQ4680">
        <v>94</v>
      </c>
      <c r="CR4680">
        <v>0</v>
      </c>
      <c r="CS4680">
        <v>0</v>
      </c>
      <c r="CT4680">
        <v>-2.9</v>
      </c>
      <c r="CU4680">
        <v>88</v>
      </c>
      <c r="CV4680">
        <v>0.12</v>
      </c>
      <c r="CW4680">
        <v>27</v>
      </c>
      <c r="CX4680" t="s">
        <v>485</v>
      </c>
    </row>
    <row r="4681" spans="1:102" x14ac:dyDescent="0.3">
      <c r="A4681" t="str">
        <f>HYPERLINK("https://webapp.icbf.com/v2/app/bull-search/view/77854384","QTF")</f>
        <v>QTF</v>
      </c>
      <c r="B4681" t="s">
        <v>14307</v>
      </c>
      <c r="C4681" t="s">
        <v>14308</v>
      </c>
      <c r="D4681" s="1">
        <v>35250</v>
      </c>
      <c r="E4681" t="s">
        <v>92</v>
      </c>
      <c r="F4681">
        <v>100</v>
      </c>
      <c r="G4681" t="s">
        <v>93</v>
      </c>
      <c r="H4681">
        <v>-155.76</v>
      </c>
      <c r="I4681">
        <v>79</v>
      </c>
      <c r="J4681">
        <v>-27.59</v>
      </c>
      <c r="K4681">
        <v>94</v>
      </c>
      <c r="L4681">
        <v>-106.53</v>
      </c>
      <c r="M4681">
        <v>75</v>
      </c>
      <c r="N4681">
        <v>-36.24</v>
      </c>
      <c r="O4681">
        <v>63</v>
      </c>
      <c r="P4681">
        <v>-5.87</v>
      </c>
      <c r="Q4681">
        <v>71</v>
      </c>
      <c r="R4681">
        <v>7.6</v>
      </c>
      <c r="S4681">
        <v>73</v>
      </c>
      <c r="T4681">
        <v>13.01</v>
      </c>
      <c r="U4681">
        <v>69</v>
      </c>
      <c r="V4681">
        <v>-0.14000000000000001</v>
      </c>
      <c r="W4681">
        <v>61</v>
      </c>
      <c r="X4681" t="s">
        <v>94</v>
      </c>
      <c r="Y4681" t="s">
        <v>95</v>
      </c>
      <c r="Z4681" t="s">
        <v>96</v>
      </c>
      <c r="AA4681" t="s">
        <v>97</v>
      </c>
      <c r="AB4681" t="s">
        <v>14309</v>
      </c>
      <c r="AC4681">
        <v>40</v>
      </c>
      <c r="AD4681">
        <v>31</v>
      </c>
      <c r="AE4681">
        <v>94</v>
      </c>
      <c r="AF4681">
        <v>-56.92</v>
      </c>
      <c r="AG4681">
        <v>-0.15</v>
      </c>
      <c r="AH4681">
        <v>-5.51</v>
      </c>
      <c r="AI4681">
        <v>0.04</v>
      </c>
      <c r="AJ4681">
        <v>-0.06</v>
      </c>
      <c r="AK4681">
        <v>75</v>
      </c>
      <c r="AL4681">
        <v>35</v>
      </c>
      <c r="AM4681">
        <v>32</v>
      </c>
      <c r="AN4681">
        <v>6.27</v>
      </c>
      <c r="AO4681">
        <v>-2.2200000000000002</v>
      </c>
      <c r="AP4681">
        <v>2</v>
      </c>
      <c r="AQ4681">
        <v>0</v>
      </c>
      <c r="AR4681">
        <v>10.16</v>
      </c>
      <c r="AS4681">
        <v>54</v>
      </c>
      <c r="AT4681">
        <v>5.18</v>
      </c>
      <c r="AU4681">
        <v>72</v>
      </c>
      <c r="AV4681">
        <v>1.1399999999999999</v>
      </c>
      <c r="AW4681">
        <v>62</v>
      </c>
      <c r="AX4681">
        <v>0.56000000000000005</v>
      </c>
      <c r="AY4681">
        <v>68</v>
      </c>
      <c r="AZ4681">
        <v>5.3</v>
      </c>
      <c r="BA4681">
        <v>47</v>
      </c>
      <c r="BB4681">
        <v>4.43</v>
      </c>
      <c r="BC4681">
        <v>57</v>
      </c>
      <c r="BD4681">
        <v>-0.04</v>
      </c>
      <c r="BE4681">
        <v>-0.02</v>
      </c>
      <c r="BF4681">
        <v>-7.0000000000000007E-2</v>
      </c>
      <c r="BG4681">
        <v>85</v>
      </c>
      <c r="BH4681">
        <v>0.05</v>
      </c>
      <c r="BI4681">
        <v>6.24</v>
      </c>
      <c r="BJ4681">
        <v>2</v>
      </c>
      <c r="BK4681">
        <v>2</v>
      </c>
      <c r="BL4681">
        <v>0.5</v>
      </c>
      <c r="BM4681">
        <v>-0.79</v>
      </c>
      <c r="BN4681">
        <v>-0.92</v>
      </c>
      <c r="BO4681">
        <v>-0.06</v>
      </c>
      <c r="BP4681">
        <v>1.79</v>
      </c>
      <c r="BQ4681">
        <v>-0.17</v>
      </c>
      <c r="BR4681">
        <v>-1.73</v>
      </c>
      <c r="BS4681">
        <v>2.4700000000000002</v>
      </c>
      <c r="BT4681">
        <v>2.81</v>
      </c>
      <c r="BU4681">
        <v>0.93</v>
      </c>
      <c r="BV4681">
        <v>0.33</v>
      </c>
      <c r="BW4681">
        <v>0.78</v>
      </c>
      <c r="BX4681">
        <v>1.37</v>
      </c>
      <c r="BY4681">
        <v>0.31</v>
      </c>
      <c r="BZ4681">
        <v>-0.88</v>
      </c>
      <c r="CA4681">
        <v>1.21</v>
      </c>
      <c r="CB4681">
        <v>0.99</v>
      </c>
      <c r="CC4681">
        <v>1.71</v>
      </c>
      <c r="CD4681">
        <v>0.2</v>
      </c>
      <c r="CE4681">
        <v>-0.16</v>
      </c>
      <c r="CF4681">
        <v>-1.05</v>
      </c>
      <c r="CG4681">
        <v>0</v>
      </c>
      <c r="CH4681">
        <v>0.6</v>
      </c>
      <c r="CI4681">
        <v>0</v>
      </c>
      <c r="CJ4681">
        <v>-3.8</v>
      </c>
      <c r="CK4681">
        <v>72</v>
      </c>
      <c r="CL4681">
        <v>-0.45</v>
      </c>
      <c r="CM4681">
        <v>69</v>
      </c>
      <c r="CN4681">
        <v>-0.41</v>
      </c>
      <c r="CO4681">
        <v>65</v>
      </c>
      <c r="CP4681">
        <v>-5.2</v>
      </c>
      <c r="CQ4681">
        <v>79</v>
      </c>
      <c r="CR4681">
        <v>0</v>
      </c>
      <c r="CS4681">
        <v>0</v>
      </c>
      <c r="CT4681">
        <v>-3.8</v>
      </c>
      <c r="CU4681">
        <v>69</v>
      </c>
      <c r="CV4681">
        <v>-0.08</v>
      </c>
      <c r="CW4681">
        <v>39</v>
      </c>
      <c r="CX4681" t="s">
        <v>180</v>
      </c>
    </row>
    <row r="4682" spans="1:102" x14ac:dyDescent="0.3">
      <c r="A4682" t="str">
        <f>HYPERLINK("https://webapp.icbf.com/v2/app/bull-search/view/132498111","TVW")</f>
        <v>TVW</v>
      </c>
      <c r="B4682" t="s">
        <v>1013</v>
      </c>
      <c r="C4682" t="s">
        <v>1014</v>
      </c>
      <c r="D4682" s="1">
        <v>35207</v>
      </c>
      <c r="E4682" t="s">
        <v>92</v>
      </c>
      <c r="F4682">
        <v>100</v>
      </c>
      <c r="G4682" t="s">
        <v>109</v>
      </c>
      <c r="H4682">
        <v>-155.79</v>
      </c>
      <c r="I4682">
        <v>78</v>
      </c>
      <c r="J4682">
        <v>1.37</v>
      </c>
      <c r="K4682">
        <v>93</v>
      </c>
      <c r="L4682">
        <v>-111.07</v>
      </c>
      <c r="M4682">
        <v>85</v>
      </c>
      <c r="N4682">
        <v>-25.97</v>
      </c>
      <c r="O4682">
        <v>58</v>
      </c>
      <c r="P4682">
        <v>-3.75</v>
      </c>
      <c r="Q4682">
        <v>50</v>
      </c>
      <c r="R4682">
        <v>-10.37</v>
      </c>
      <c r="S4682">
        <v>76</v>
      </c>
      <c r="T4682">
        <v>3.98</v>
      </c>
      <c r="U4682">
        <v>47</v>
      </c>
      <c r="V4682">
        <v>-9.98</v>
      </c>
      <c r="W4682">
        <v>65</v>
      </c>
      <c r="X4682" t="s">
        <v>747</v>
      </c>
      <c r="Y4682" t="s">
        <v>95</v>
      </c>
      <c r="Z4682" t="s">
        <v>96</v>
      </c>
      <c r="AA4682" t="s">
        <v>1015</v>
      </c>
      <c r="AB4682" t="s">
        <v>1016</v>
      </c>
      <c r="AC4682">
        <v>0</v>
      </c>
      <c r="AD4682">
        <v>0</v>
      </c>
      <c r="AE4682">
        <v>93</v>
      </c>
      <c r="AF4682">
        <v>460</v>
      </c>
      <c r="AG4682">
        <v>1.99</v>
      </c>
      <c r="AH4682">
        <v>6.57</v>
      </c>
      <c r="AI4682">
        <v>-0.26</v>
      </c>
      <c r="AJ4682">
        <v>-0.15</v>
      </c>
      <c r="AK4682">
        <v>85</v>
      </c>
      <c r="AL4682">
        <v>0</v>
      </c>
      <c r="AM4682">
        <v>0</v>
      </c>
      <c r="AN4682">
        <v>5.12</v>
      </c>
      <c r="AO4682">
        <v>-3.75</v>
      </c>
      <c r="AP4682">
        <v>3</v>
      </c>
      <c r="AQ4682">
        <v>0</v>
      </c>
      <c r="AR4682">
        <v>9.6</v>
      </c>
      <c r="AS4682">
        <v>60</v>
      </c>
      <c r="AT4682">
        <v>5.48</v>
      </c>
      <c r="AU4682">
        <v>87</v>
      </c>
      <c r="AV4682">
        <v>-0.96</v>
      </c>
      <c r="AW4682">
        <v>46</v>
      </c>
      <c r="AX4682">
        <v>0.03</v>
      </c>
      <c r="AY4682">
        <v>48</v>
      </c>
      <c r="AZ4682">
        <v>7.15</v>
      </c>
      <c r="BA4682">
        <v>49</v>
      </c>
      <c r="BB4682">
        <v>5.15</v>
      </c>
      <c r="BC4682">
        <v>50</v>
      </c>
      <c r="BD4682">
        <v>0.05</v>
      </c>
      <c r="BE4682">
        <v>0.05</v>
      </c>
      <c r="BF4682">
        <v>0.06</v>
      </c>
      <c r="BG4682">
        <v>91</v>
      </c>
      <c r="BH4682">
        <v>-0.06</v>
      </c>
      <c r="BI4682">
        <v>25.26</v>
      </c>
      <c r="BJ4682">
        <v>0</v>
      </c>
      <c r="BK4682">
        <v>0</v>
      </c>
      <c r="BL4682">
        <v>0.63</v>
      </c>
      <c r="BM4682">
        <v>0.64</v>
      </c>
      <c r="BN4682">
        <v>1.34</v>
      </c>
      <c r="BO4682">
        <v>1.06</v>
      </c>
      <c r="BP4682">
        <v>0.86</v>
      </c>
      <c r="BQ4682">
        <v>1.1000000000000001</v>
      </c>
      <c r="BR4682">
        <v>0.38</v>
      </c>
      <c r="BS4682">
        <v>-0.12</v>
      </c>
      <c r="BT4682">
        <v>-0.83</v>
      </c>
      <c r="BU4682">
        <v>1.34</v>
      </c>
      <c r="BV4682">
        <v>2.2799999999999998</v>
      </c>
      <c r="BW4682">
        <v>0.15</v>
      </c>
      <c r="BX4682">
        <v>-0.28999999999999998</v>
      </c>
      <c r="BY4682">
        <v>1.1599999999999999</v>
      </c>
      <c r="BZ4682">
        <v>-0.49</v>
      </c>
      <c r="CA4682">
        <v>0.85</v>
      </c>
      <c r="CB4682">
        <v>1.52</v>
      </c>
      <c r="CC4682">
        <v>0.08</v>
      </c>
      <c r="CD4682">
        <v>-0.51</v>
      </c>
      <c r="CE4682">
        <v>0.37</v>
      </c>
      <c r="CF4682">
        <v>0.03</v>
      </c>
      <c r="CG4682">
        <v>0</v>
      </c>
      <c r="CH4682">
        <v>1.0900000000000001</v>
      </c>
      <c r="CI4682">
        <v>0</v>
      </c>
      <c r="CJ4682">
        <v>-1.1000000000000001</v>
      </c>
      <c r="CK4682">
        <v>50</v>
      </c>
      <c r="CL4682">
        <v>-0.86</v>
      </c>
      <c r="CM4682">
        <v>49</v>
      </c>
      <c r="CN4682">
        <v>-0.59</v>
      </c>
      <c r="CO4682">
        <v>49</v>
      </c>
      <c r="CP4682">
        <v>-1.8</v>
      </c>
      <c r="CQ4682">
        <v>49</v>
      </c>
      <c r="CR4682">
        <v>0</v>
      </c>
      <c r="CS4682">
        <v>0</v>
      </c>
      <c r="CT4682">
        <v>8.4</v>
      </c>
      <c r="CU4682">
        <v>47</v>
      </c>
      <c r="CV4682">
        <v>0.17</v>
      </c>
      <c r="CW4682">
        <v>36</v>
      </c>
      <c r="CX4682" t="s">
        <v>485</v>
      </c>
    </row>
    <row r="4683" spans="1:102" x14ac:dyDescent="0.3">
      <c r="A4683" t="str">
        <f>HYPERLINK("https://webapp.icbf.com/v2/app/bull-search/view/444531402","RAX")</f>
        <v>RAX</v>
      </c>
      <c r="B4683" t="s">
        <v>5169</v>
      </c>
      <c r="C4683" t="s">
        <v>5170</v>
      </c>
      <c r="D4683" s="1">
        <v>36676</v>
      </c>
      <c r="E4683" t="s">
        <v>92</v>
      </c>
      <c r="F4683">
        <v>100</v>
      </c>
      <c r="G4683" t="s">
        <v>93</v>
      </c>
      <c r="H4683">
        <v>-155.88</v>
      </c>
      <c r="I4683">
        <v>94</v>
      </c>
      <c r="J4683">
        <v>56.25</v>
      </c>
      <c r="K4683">
        <v>99</v>
      </c>
      <c r="L4683">
        <v>-202.17</v>
      </c>
      <c r="M4683">
        <v>91</v>
      </c>
      <c r="N4683">
        <v>5.98</v>
      </c>
      <c r="O4683">
        <v>92</v>
      </c>
      <c r="P4683">
        <v>-3.86</v>
      </c>
      <c r="Q4683">
        <v>97</v>
      </c>
      <c r="R4683">
        <v>-10.55</v>
      </c>
      <c r="S4683">
        <v>88</v>
      </c>
      <c r="T4683">
        <v>-1.42</v>
      </c>
      <c r="U4683">
        <v>94</v>
      </c>
      <c r="V4683">
        <v>-0.11</v>
      </c>
      <c r="W4683">
        <v>86</v>
      </c>
      <c r="X4683" t="s">
        <v>276</v>
      </c>
      <c r="Y4683" t="s">
        <v>1208</v>
      </c>
      <c r="Z4683" t="s">
        <v>96</v>
      </c>
      <c r="AA4683" t="s">
        <v>1574</v>
      </c>
      <c r="AB4683" t="s">
        <v>5171</v>
      </c>
      <c r="AC4683">
        <v>328</v>
      </c>
      <c r="AD4683">
        <v>105</v>
      </c>
      <c r="AE4683">
        <v>99</v>
      </c>
      <c r="AF4683">
        <v>247.29</v>
      </c>
      <c r="AG4683">
        <v>7.1</v>
      </c>
      <c r="AH4683">
        <v>10.84</v>
      </c>
      <c r="AI4683">
        <v>-0.04</v>
      </c>
      <c r="AJ4683">
        <v>0.04</v>
      </c>
      <c r="AK4683">
        <v>91</v>
      </c>
      <c r="AL4683">
        <v>298</v>
      </c>
      <c r="AM4683">
        <v>124</v>
      </c>
      <c r="AN4683">
        <v>10.46</v>
      </c>
      <c r="AO4683">
        <v>-5.67</v>
      </c>
      <c r="AP4683">
        <v>513</v>
      </c>
      <c r="AQ4683">
        <v>2</v>
      </c>
      <c r="AR4683">
        <v>8.94</v>
      </c>
      <c r="AS4683">
        <v>87</v>
      </c>
      <c r="AT4683">
        <v>3.33</v>
      </c>
      <c r="AU4683">
        <v>95</v>
      </c>
      <c r="AV4683">
        <v>-1.64</v>
      </c>
      <c r="AW4683">
        <v>96</v>
      </c>
      <c r="AX4683">
        <v>0.15</v>
      </c>
      <c r="AY4683">
        <v>92</v>
      </c>
      <c r="AZ4683">
        <v>7.49</v>
      </c>
      <c r="BA4683">
        <v>80</v>
      </c>
      <c r="BB4683">
        <v>4.9000000000000004</v>
      </c>
      <c r="BC4683">
        <v>81</v>
      </c>
      <c r="BD4683">
        <v>0.01</v>
      </c>
      <c r="BE4683">
        <v>0.04</v>
      </c>
      <c r="BF4683">
        <v>0.15</v>
      </c>
      <c r="BG4683">
        <v>95</v>
      </c>
      <c r="BH4683">
        <v>0.11</v>
      </c>
      <c r="BI4683">
        <v>13.07</v>
      </c>
      <c r="BJ4683">
        <v>59</v>
      </c>
      <c r="BK4683">
        <v>31</v>
      </c>
      <c r="BL4683">
        <v>1.25</v>
      </c>
      <c r="BM4683">
        <v>-0.5</v>
      </c>
      <c r="BN4683">
        <v>0.17</v>
      </c>
      <c r="BO4683">
        <v>0.95</v>
      </c>
      <c r="BP4683">
        <v>1.47</v>
      </c>
      <c r="BQ4683">
        <v>0.19</v>
      </c>
      <c r="BR4683">
        <v>-3.5</v>
      </c>
      <c r="BS4683">
        <v>1.79</v>
      </c>
      <c r="BT4683">
        <v>3.12</v>
      </c>
      <c r="BU4683">
        <v>1.0900000000000001</v>
      </c>
      <c r="BV4683">
        <v>1.18</v>
      </c>
      <c r="BW4683">
        <v>1.44</v>
      </c>
      <c r="BX4683">
        <v>0.82</v>
      </c>
      <c r="BY4683">
        <v>2.1</v>
      </c>
      <c r="BZ4683">
        <v>-0.89</v>
      </c>
      <c r="CA4683">
        <v>1.36</v>
      </c>
      <c r="CB4683">
        <v>1.1200000000000001</v>
      </c>
      <c r="CC4683">
        <v>1.28</v>
      </c>
      <c r="CD4683">
        <v>-0.98</v>
      </c>
      <c r="CE4683">
        <v>0.92</v>
      </c>
      <c r="CF4683">
        <v>0.99</v>
      </c>
      <c r="CG4683">
        <v>0</v>
      </c>
      <c r="CH4683">
        <v>1.87</v>
      </c>
      <c r="CI4683">
        <v>0</v>
      </c>
      <c r="CJ4683">
        <v>0</v>
      </c>
      <c r="CK4683">
        <v>97</v>
      </c>
      <c r="CL4683">
        <v>-0.87</v>
      </c>
      <c r="CM4683">
        <v>97</v>
      </c>
      <c r="CN4683">
        <v>-0.39</v>
      </c>
      <c r="CO4683">
        <v>96</v>
      </c>
      <c r="CP4683">
        <v>3.7</v>
      </c>
      <c r="CQ4683">
        <v>96</v>
      </c>
      <c r="CR4683">
        <v>0</v>
      </c>
      <c r="CS4683">
        <v>0</v>
      </c>
      <c r="CT4683">
        <v>15.7</v>
      </c>
      <c r="CU4683">
        <v>94</v>
      </c>
      <c r="CV4683">
        <v>0.14000000000000001</v>
      </c>
      <c r="CW4683">
        <v>45</v>
      </c>
      <c r="CX4683" t="s">
        <v>1106</v>
      </c>
    </row>
    <row r="4684" spans="1:102" x14ac:dyDescent="0.3">
      <c r="A4684" t="str">
        <f>HYPERLINK("https://webapp.icbf.com/v2/app/bull-search/view/451899098","S413")</f>
        <v>S413</v>
      </c>
      <c r="B4684" t="s">
        <v>6735</v>
      </c>
      <c r="C4684" t="s">
        <v>6736</v>
      </c>
      <c r="D4684" s="1">
        <v>36646</v>
      </c>
      <c r="E4684" t="s">
        <v>92</v>
      </c>
      <c r="F4684">
        <v>100</v>
      </c>
      <c r="G4684" t="s">
        <v>109</v>
      </c>
      <c r="H4684">
        <v>-155.91999999999999</v>
      </c>
      <c r="I4684">
        <v>70</v>
      </c>
      <c r="J4684">
        <v>59.63</v>
      </c>
      <c r="K4684">
        <v>82</v>
      </c>
      <c r="L4684">
        <v>-227.81</v>
      </c>
      <c r="M4684">
        <v>80</v>
      </c>
      <c r="N4684">
        <v>9.1300000000000008</v>
      </c>
      <c r="O4684">
        <v>50</v>
      </c>
      <c r="P4684">
        <v>-1.82</v>
      </c>
      <c r="Q4684">
        <v>55</v>
      </c>
      <c r="R4684">
        <v>-0.84</v>
      </c>
      <c r="S4684">
        <v>64</v>
      </c>
      <c r="T4684">
        <v>6.57</v>
      </c>
      <c r="U4684">
        <v>41</v>
      </c>
      <c r="V4684">
        <v>-0.78</v>
      </c>
      <c r="W4684">
        <v>33</v>
      </c>
      <c r="X4684" t="s">
        <v>6737</v>
      </c>
      <c r="Y4684" t="s">
        <v>545</v>
      </c>
      <c r="Z4684" t="s">
        <v>96</v>
      </c>
      <c r="AA4684" t="s">
        <v>174</v>
      </c>
      <c r="AB4684" t="s">
        <v>6738</v>
      </c>
      <c r="AC4684">
        <v>0</v>
      </c>
      <c r="AD4684">
        <v>0</v>
      </c>
      <c r="AE4684">
        <v>82</v>
      </c>
      <c r="AF4684">
        <v>529.91999999999996</v>
      </c>
      <c r="AG4684">
        <v>12.98</v>
      </c>
      <c r="AH4684">
        <v>13.66</v>
      </c>
      <c r="AI4684">
        <v>-0.12</v>
      </c>
      <c r="AJ4684">
        <v>-7.0000000000000007E-2</v>
      </c>
      <c r="AK4684">
        <v>80</v>
      </c>
      <c r="AL4684">
        <v>0</v>
      </c>
      <c r="AM4684">
        <v>0</v>
      </c>
      <c r="AN4684">
        <v>12.98</v>
      </c>
      <c r="AO4684">
        <v>-5.18</v>
      </c>
      <c r="AP4684">
        <v>9</v>
      </c>
      <c r="AQ4684">
        <v>0</v>
      </c>
      <c r="AR4684">
        <v>7.92</v>
      </c>
      <c r="AS4684">
        <v>38</v>
      </c>
      <c r="AT4684">
        <v>3.38</v>
      </c>
      <c r="AU4684">
        <v>89</v>
      </c>
      <c r="AV4684">
        <v>-1.39</v>
      </c>
      <c r="AW4684">
        <v>38</v>
      </c>
      <c r="AX4684">
        <v>-0.84</v>
      </c>
      <c r="AY4684">
        <v>39</v>
      </c>
      <c r="AZ4684">
        <v>6.75</v>
      </c>
      <c r="BA4684">
        <v>36</v>
      </c>
      <c r="BB4684">
        <v>5.0999999999999996</v>
      </c>
      <c r="BC4684">
        <v>32</v>
      </c>
      <c r="BD4684">
        <v>-0.01</v>
      </c>
      <c r="BE4684">
        <v>0.04</v>
      </c>
      <c r="BF4684">
        <v>-0.04</v>
      </c>
      <c r="BG4684">
        <v>89</v>
      </c>
      <c r="BH4684">
        <v>0.08</v>
      </c>
      <c r="BI4684">
        <v>11.76</v>
      </c>
      <c r="BJ4684">
        <v>3</v>
      </c>
      <c r="BK4684">
        <v>2</v>
      </c>
      <c r="BL4684">
        <v>-0.63</v>
      </c>
      <c r="BM4684">
        <v>0.46</v>
      </c>
      <c r="BN4684">
        <v>0.36</v>
      </c>
      <c r="BO4684">
        <v>-0.15</v>
      </c>
      <c r="BP4684">
        <v>-0.23</v>
      </c>
      <c r="BQ4684">
        <v>-0.53</v>
      </c>
      <c r="BR4684">
        <v>-1.1200000000000001</v>
      </c>
      <c r="BS4684">
        <v>-1.62</v>
      </c>
      <c r="BT4684">
        <v>0.28000000000000003</v>
      </c>
      <c r="BU4684">
        <v>0.5</v>
      </c>
      <c r="BV4684">
        <v>-0.27</v>
      </c>
      <c r="BW4684">
        <v>0.18</v>
      </c>
      <c r="BX4684">
        <v>-0.92</v>
      </c>
      <c r="BY4684">
        <v>2.57</v>
      </c>
      <c r="BZ4684">
        <v>-1.05</v>
      </c>
      <c r="CA4684">
        <v>-0.47</v>
      </c>
      <c r="CB4684">
        <v>0.27</v>
      </c>
      <c r="CC4684">
        <v>-1.64</v>
      </c>
      <c r="CD4684">
        <v>-0.08</v>
      </c>
      <c r="CE4684">
        <v>-0.4</v>
      </c>
      <c r="CF4684">
        <v>-1.4</v>
      </c>
      <c r="CG4684">
        <v>0</v>
      </c>
      <c r="CH4684">
        <v>1.59</v>
      </c>
      <c r="CI4684">
        <v>0</v>
      </c>
      <c r="CJ4684">
        <v>2.9</v>
      </c>
      <c r="CK4684">
        <v>57</v>
      </c>
      <c r="CL4684">
        <v>-0.64</v>
      </c>
      <c r="CM4684">
        <v>53</v>
      </c>
      <c r="CN4684">
        <v>-0.08</v>
      </c>
      <c r="CO4684">
        <v>50</v>
      </c>
      <c r="CP4684">
        <v>-1</v>
      </c>
      <c r="CQ4684">
        <v>49</v>
      </c>
      <c r="CR4684">
        <v>0</v>
      </c>
      <c r="CS4684">
        <v>0</v>
      </c>
      <c r="CT4684">
        <v>4.9000000000000004</v>
      </c>
      <c r="CU4684">
        <v>41</v>
      </c>
      <c r="CV4684">
        <v>0.25</v>
      </c>
      <c r="CW4684">
        <v>16</v>
      </c>
      <c r="CX4684" t="s">
        <v>265</v>
      </c>
    </row>
    <row r="4685" spans="1:102" x14ac:dyDescent="0.3">
      <c r="A4685" t="str">
        <f>HYPERLINK("https://webapp.icbf.com/v2/app/bull-search/view/77854468","RDG")</f>
        <v>RDG</v>
      </c>
      <c r="B4685" t="s">
        <v>11395</v>
      </c>
      <c r="C4685" t="s">
        <v>11396</v>
      </c>
      <c r="D4685" s="1">
        <v>33477</v>
      </c>
      <c r="E4685" t="s">
        <v>92</v>
      </c>
      <c r="F4685">
        <v>100</v>
      </c>
      <c r="G4685" t="s">
        <v>109</v>
      </c>
      <c r="H4685">
        <v>-156.05000000000001</v>
      </c>
      <c r="I4685">
        <v>79</v>
      </c>
      <c r="J4685">
        <v>-11.92</v>
      </c>
      <c r="K4685">
        <v>93</v>
      </c>
      <c r="L4685">
        <v>-155.63999999999999</v>
      </c>
      <c r="M4685">
        <v>81</v>
      </c>
      <c r="N4685">
        <v>22.91</v>
      </c>
      <c r="O4685">
        <v>63</v>
      </c>
      <c r="P4685">
        <v>-18.64</v>
      </c>
      <c r="Q4685">
        <v>64</v>
      </c>
      <c r="R4685">
        <v>-11.24</v>
      </c>
      <c r="S4685">
        <v>76</v>
      </c>
      <c r="T4685">
        <v>17.82</v>
      </c>
      <c r="U4685">
        <v>60</v>
      </c>
      <c r="V4685">
        <v>0.66</v>
      </c>
      <c r="W4685">
        <v>63</v>
      </c>
      <c r="X4685" t="s">
        <v>110</v>
      </c>
      <c r="Y4685" t="s">
        <v>95</v>
      </c>
      <c r="Z4685" t="s">
        <v>96</v>
      </c>
      <c r="AA4685" t="s">
        <v>161</v>
      </c>
      <c r="AB4685" t="s">
        <v>11397</v>
      </c>
      <c r="AC4685">
        <v>0</v>
      </c>
      <c r="AD4685">
        <v>0</v>
      </c>
      <c r="AE4685">
        <v>93</v>
      </c>
      <c r="AF4685">
        <v>5.61</v>
      </c>
      <c r="AG4685">
        <v>3.73</v>
      </c>
      <c r="AH4685">
        <v>-3.26</v>
      </c>
      <c r="AI4685">
        <v>0.06</v>
      </c>
      <c r="AJ4685">
        <v>-0.06</v>
      </c>
      <c r="AK4685">
        <v>81</v>
      </c>
      <c r="AL4685">
        <v>0</v>
      </c>
      <c r="AM4685">
        <v>0</v>
      </c>
      <c r="AN4685">
        <v>8.6300000000000008</v>
      </c>
      <c r="AO4685">
        <v>-3.78</v>
      </c>
      <c r="AP4685">
        <v>2</v>
      </c>
      <c r="AQ4685">
        <v>0</v>
      </c>
      <c r="AR4685">
        <v>7.17</v>
      </c>
      <c r="AS4685">
        <v>57</v>
      </c>
      <c r="AT4685">
        <v>2.96</v>
      </c>
      <c r="AU4685">
        <v>90</v>
      </c>
      <c r="AV4685">
        <v>-2.2999999999999998</v>
      </c>
      <c r="AW4685">
        <v>54</v>
      </c>
      <c r="AX4685">
        <v>-0.53</v>
      </c>
      <c r="AY4685">
        <v>56</v>
      </c>
      <c r="AZ4685">
        <v>6.64</v>
      </c>
      <c r="BA4685">
        <v>49</v>
      </c>
      <c r="BB4685">
        <v>4.78</v>
      </c>
      <c r="BC4685">
        <v>53</v>
      </c>
      <c r="BD4685">
        <v>0.02</v>
      </c>
      <c r="BE4685">
        <v>0.05</v>
      </c>
      <c r="BF4685">
        <v>0.13</v>
      </c>
      <c r="BG4685">
        <v>90</v>
      </c>
      <c r="BH4685">
        <v>-0.02</v>
      </c>
      <c r="BI4685">
        <v>-4.4400000000000004</v>
      </c>
      <c r="BJ4685">
        <v>0</v>
      </c>
      <c r="BK4685">
        <v>0</v>
      </c>
      <c r="BL4685">
        <v>0.68</v>
      </c>
      <c r="BM4685">
        <v>-2.21</v>
      </c>
      <c r="BN4685">
        <v>-0.32</v>
      </c>
      <c r="BO4685">
        <v>1.34</v>
      </c>
      <c r="BP4685">
        <v>-0.35</v>
      </c>
      <c r="BQ4685">
        <v>-1.35</v>
      </c>
      <c r="BR4685">
        <v>-1.55</v>
      </c>
      <c r="BS4685">
        <v>0.12</v>
      </c>
      <c r="BT4685">
        <v>0.77</v>
      </c>
      <c r="BU4685">
        <v>-0.34</v>
      </c>
      <c r="BV4685">
        <v>0.08</v>
      </c>
      <c r="BW4685">
        <v>0.23</v>
      </c>
      <c r="BX4685">
        <v>0.42</v>
      </c>
      <c r="BY4685">
        <v>-0.15</v>
      </c>
      <c r="BZ4685">
        <v>1.48</v>
      </c>
      <c r="CA4685">
        <v>0.28999999999999998</v>
      </c>
      <c r="CB4685">
        <v>-0.33</v>
      </c>
      <c r="CC4685">
        <v>1.1000000000000001</v>
      </c>
      <c r="CD4685">
        <v>-1.69</v>
      </c>
      <c r="CE4685">
        <v>0.67</v>
      </c>
      <c r="CF4685">
        <v>0</v>
      </c>
      <c r="CG4685">
        <v>0</v>
      </c>
      <c r="CH4685">
        <v>-0.45</v>
      </c>
      <c r="CI4685">
        <v>0</v>
      </c>
      <c r="CJ4685">
        <v>-10.6</v>
      </c>
      <c r="CK4685">
        <v>65</v>
      </c>
      <c r="CL4685">
        <v>-0.87</v>
      </c>
      <c r="CM4685">
        <v>62</v>
      </c>
      <c r="CN4685">
        <v>-0.6</v>
      </c>
      <c r="CO4685">
        <v>59</v>
      </c>
      <c r="CP4685">
        <v>-13.7</v>
      </c>
      <c r="CQ4685">
        <v>70</v>
      </c>
      <c r="CR4685">
        <v>0</v>
      </c>
      <c r="CS4685">
        <v>0</v>
      </c>
      <c r="CT4685">
        <v>-10.3</v>
      </c>
      <c r="CU4685">
        <v>60</v>
      </c>
      <c r="CV4685">
        <v>0</v>
      </c>
      <c r="CW4685">
        <v>38</v>
      </c>
      <c r="CX4685" t="s">
        <v>168</v>
      </c>
    </row>
    <row r="4686" spans="1:102" x14ac:dyDescent="0.3">
      <c r="A4686" t="str">
        <f>HYPERLINK("https://webapp.icbf.com/v2/app/bull-search/view/77857702","ESL")</f>
        <v>ESL</v>
      </c>
      <c r="B4686" t="s">
        <v>3468</v>
      </c>
      <c r="C4686" t="s">
        <v>3469</v>
      </c>
      <c r="D4686" s="1">
        <v>33268</v>
      </c>
      <c r="E4686" t="s">
        <v>92</v>
      </c>
      <c r="F4686">
        <v>100</v>
      </c>
      <c r="G4686" t="s">
        <v>93</v>
      </c>
      <c r="H4686">
        <v>-156.27000000000001</v>
      </c>
      <c r="I4686">
        <v>94</v>
      </c>
      <c r="J4686">
        <v>-15.37</v>
      </c>
      <c r="K4686">
        <v>99</v>
      </c>
      <c r="L4686">
        <v>-127.81</v>
      </c>
      <c r="M4686">
        <v>92</v>
      </c>
      <c r="N4686">
        <v>-10.23</v>
      </c>
      <c r="O4686">
        <v>90</v>
      </c>
      <c r="P4686">
        <v>-7.44</v>
      </c>
      <c r="Q4686">
        <v>95</v>
      </c>
      <c r="R4686">
        <v>-7.42</v>
      </c>
      <c r="S4686">
        <v>87</v>
      </c>
      <c r="T4686">
        <v>11.09</v>
      </c>
      <c r="U4686">
        <v>91</v>
      </c>
      <c r="V4686">
        <v>0.91</v>
      </c>
      <c r="W4686">
        <v>79</v>
      </c>
      <c r="X4686" t="s">
        <v>558</v>
      </c>
      <c r="Y4686" t="s">
        <v>95</v>
      </c>
      <c r="Z4686" t="s">
        <v>96</v>
      </c>
      <c r="AA4686" t="s">
        <v>161</v>
      </c>
      <c r="AB4686" t="s">
        <v>3470</v>
      </c>
      <c r="AC4686">
        <v>358</v>
      </c>
      <c r="AD4686">
        <v>186</v>
      </c>
      <c r="AE4686">
        <v>99</v>
      </c>
      <c r="AF4686">
        <v>196.51</v>
      </c>
      <c r="AG4686">
        <v>-7.65</v>
      </c>
      <c r="AH4686">
        <v>3.1</v>
      </c>
      <c r="AI4686">
        <v>-0.26</v>
      </c>
      <c r="AJ4686">
        <v>-0.06</v>
      </c>
      <c r="AK4686">
        <v>92</v>
      </c>
      <c r="AL4686">
        <v>333</v>
      </c>
      <c r="AM4686">
        <v>161</v>
      </c>
      <c r="AN4686">
        <v>7.19</v>
      </c>
      <c r="AO4686">
        <v>-3</v>
      </c>
      <c r="AP4686">
        <v>32</v>
      </c>
      <c r="AQ4686">
        <v>0</v>
      </c>
      <c r="AR4686">
        <v>8.8699999999999992</v>
      </c>
      <c r="AS4686">
        <v>83</v>
      </c>
      <c r="AT4686">
        <v>3.81</v>
      </c>
      <c r="AU4686">
        <v>93</v>
      </c>
      <c r="AV4686">
        <v>-0.42</v>
      </c>
      <c r="AW4686">
        <v>92</v>
      </c>
      <c r="AX4686">
        <v>-0.01</v>
      </c>
      <c r="AY4686">
        <v>92</v>
      </c>
      <c r="AZ4686">
        <v>7.82</v>
      </c>
      <c r="BA4686">
        <v>80</v>
      </c>
      <c r="BB4686">
        <v>5.27</v>
      </c>
      <c r="BC4686">
        <v>86</v>
      </c>
      <c r="BD4686">
        <v>0.01</v>
      </c>
      <c r="BE4686">
        <v>0.06</v>
      </c>
      <c r="BF4686">
        <v>0.04</v>
      </c>
      <c r="BG4686">
        <v>96</v>
      </c>
      <c r="BH4686">
        <v>-0.02</v>
      </c>
      <c r="BI4686">
        <v>-5.25</v>
      </c>
      <c r="BJ4686">
        <v>60</v>
      </c>
      <c r="BK4686">
        <v>34</v>
      </c>
      <c r="BL4686">
        <v>0.56999999999999995</v>
      </c>
      <c r="BM4686">
        <v>-1.87</v>
      </c>
      <c r="BN4686">
        <v>-0.56999999999999995</v>
      </c>
      <c r="BO4686">
        <v>0.91</v>
      </c>
      <c r="BP4686">
        <v>-1.37</v>
      </c>
      <c r="BQ4686">
        <v>0.19</v>
      </c>
      <c r="BR4686">
        <v>-0.53</v>
      </c>
      <c r="BS4686">
        <v>0.13</v>
      </c>
      <c r="BT4686">
        <v>0.65</v>
      </c>
      <c r="BU4686">
        <v>-0.42</v>
      </c>
      <c r="BV4686">
        <v>1.63</v>
      </c>
      <c r="BW4686">
        <v>1.23</v>
      </c>
      <c r="BX4686">
        <v>0.71</v>
      </c>
      <c r="BY4686">
        <v>-0.94</v>
      </c>
      <c r="BZ4686">
        <v>1.89</v>
      </c>
      <c r="CA4686">
        <v>0.78</v>
      </c>
      <c r="CB4686">
        <v>0.47</v>
      </c>
      <c r="CC4686">
        <v>1.02</v>
      </c>
      <c r="CD4686">
        <v>-0.9</v>
      </c>
      <c r="CE4686">
        <v>0.6</v>
      </c>
      <c r="CF4686">
        <v>0.34</v>
      </c>
      <c r="CG4686">
        <v>0</v>
      </c>
      <c r="CH4686">
        <v>-1.1399999999999999</v>
      </c>
      <c r="CI4686">
        <v>0</v>
      </c>
      <c r="CJ4686">
        <v>-5</v>
      </c>
      <c r="CK4686">
        <v>95</v>
      </c>
      <c r="CL4686">
        <v>-0.77</v>
      </c>
      <c r="CM4686">
        <v>94</v>
      </c>
      <c r="CN4686">
        <v>-0.65</v>
      </c>
      <c r="CO4686">
        <v>93</v>
      </c>
      <c r="CP4686">
        <v>-1.4</v>
      </c>
      <c r="CQ4686">
        <v>96</v>
      </c>
      <c r="CR4686">
        <v>0</v>
      </c>
      <c r="CS4686">
        <v>0</v>
      </c>
      <c r="CT4686">
        <v>-1.2</v>
      </c>
      <c r="CU4686">
        <v>91</v>
      </c>
      <c r="CV4686">
        <v>0.03</v>
      </c>
      <c r="CW4686">
        <v>45</v>
      </c>
      <c r="CX4686" t="s">
        <v>543</v>
      </c>
    </row>
    <row r="4687" spans="1:102" x14ac:dyDescent="0.3">
      <c r="A4687" t="str">
        <f>HYPERLINK("https://webapp.icbf.com/v2/app/bull-search/view/586055115","JFY")</f>
        <v>JFY</v>
      </c>
      <c r="B4687" t="s">
        <v>1564</v>
      </c>
      <c r="C4687" t="s">
        <v>1565</v>
      </c>
      <c r="D4687" s="1">
        <v>38188</v>
      </c>
      <c r="E4687" t="s">
        <v>92</v>
      </c>
      <c r="F4687">
        <v>100</v>
      </c>
      <c r="G4687" t="s">
        <v>109</v>
      </c>
      <c r="H4687">
        <v>-156.52000000000001</v>
      </c>
      <c r="I4687">
        <v>87</v>
      </c>
      <c r="J4687">
        <v>-11.46</v>
      </c>
      <c r="K4687">
        <v>96</v>
      </c>
      <c r="L4687">
        <v>-125.35</v>
      </c>
      <c r="M4687">
        <v>89</v>
      </c>
      <c r="N4687">
        <v>1.35</v>
      </c>
      <c r="O4687">
        <v>76</v>
      </c>
      <c r="P4687">
        <v>-3.44</v>
      </c>
      <c r="Q4687">
        <v>82</v>
      </c>
      <c r="R4687">
        <v>1.01</v>
      </c>
      <c r="S4687">
        <v>80</v>
      </c>
      <c r="T4687">
        <v>-12.81</v>
      </c>
      <c r="U4687">
        <v>76</v>
      </c>
      <c r="V4687">
        <v>-5.82</v>
      </c>
      <c r="W4687">
        <v>67</v>
      </c>
      <c r="X4687" t="s">
        <v>288</v>
      </c>
      <c r="Y4687" t="s">
        <v>235</v>
      </c>
      <c r="Z4687" t="s">
        <v>96</v>
      </c>
      <c r="AA4687" t="s">
        <v>1566</v>
      </c>
      <c r="AB4687" t="s">
        <v>1567</v>
      </c>
      <c r="AC4687">
        <v>41</v>
      </c>
      <c r="AD4687">
        <v>25</v>
      </c>
      <c r="AE4687">
        <v>96</v>
      </c>
      <c r="AF4687">
        <v>192.47</v>
      </c>
      <c r="AG4687">
        <v>-3.6</v>
      </c>
      <c r="AH4687">
        <v>2.27</v>
      </c>
      <c r="AI4687">
        <v>-0.19</v>
      </c>
      <c r="AJ4687">
        <v>-7.0000000000000007E-2</v>
      </c>
      <c r="AK4687">
        <v>89</v>
      </c>
      <c r="AL4687">
        <v>30</v>
      </c>
      <c r="AM4687">
        <v>18</v>
      </c>
      <c r="AN4687">
        <v>5.01</v>
      </c>
      <c r="AO4687">
        <v>-5.01</v>
      </c>
      <c r="AP4687">
        <v>97</v>
      </c>
      <c r="AQ4687">
        <v>0</v>
      </c>
      <c r="AR4687">
        <v>7.97</v>
      </c>
      <c r="AS4687">
        <v>70</v>
      </c>
      <c r="AT4687">
        <v>4.08</v>
      </c>
      <c r="AU4687">
        <v>91</v>
      </c>
      <c r="AV4687">
        <v>-2.02</v>
      </c>
      <c r="AW4687">
        <v>79</v>
      </c>
      <c r="AX4687">
        <v>-0.84</v>
      </c>
      <c r="AY4687">
        <v>72</v>
      </c>
      <c r="AZ4687">
        <v>8.44</v>
      </c>
      <c r="BA4687">
        <v>58</v>
      </c>
      <c r="BB4687">
        <v>5.68</v>
      </c>
      <c r="BC4687">
        <v>54</v>
      </c>
      <c r="BD4687">
        <v>0.01</v>
      </c>
      <c r="BE4687">
        <v>0</v>
      </c>
      <c r="BF4687">
        <v>-0.04</v>
      </c>
      <c r="BG4687">
        <v>93</v>
      </c>
      <c r="BH4687">
        <v>-0.25</v>
      </c>
      <c r="BI4687">
        <v>-10.14</v>
      </c>
      <c r="BJ4687">
        <v>24</v>
      </c>
      <c r="BK4687">
        <v>14</v>
      </c>
      <c r="BL4687">
        <v>2.33</v>
      </c>
      <c r="BM4687">
        <v>-1.1399999999999999</v>
      </c>
      <c r="BN4687">
        <v>-0.37</v>
      </c>
      <c r="BO4687">
        <v>1.04</v>
      </c>
      <c r="BP4687">
        <v>0.36</v>
      </c>
      <c r="BQ4687">
        <v>1.6</v>
      </c>
      <c r="BR4687">
        <v>-1.24</v>
      </c>
      <c r="BS4687">
        <v>1.6</v>
      </c>
      <c r="BT4687">
        <v>1.69</v>
      </c>
      <c r="BU4687">
        <v>2.6</v>
      </c>
      <c r="BV4687">
        <v>2.36</v>
      </c>
      <c r="BW4687">
        <v>2.12</v>
      </c>
      <c r="BX4687">
        <v>2.74</v>
      </c>
      <c r="BY4687">
        <v>1.75</v>
      </c>
      <c r="BZ4687">
        <v>0.23</v>
      </c>
      <c r="CA4687">
        <v>2.34</v>
      </c>
      <c r="CB4687">
        <v>2.0299999999999998</v>
      </c>
      <c r="CC4687">
        <v>1.49</v>
      </c>
      <c r="CD4687">
        <v>-1.1200000000000001</v>
      </c>
      <c r="CE4687">
        <v>1.18</v>
      </c>
      <c r="CF4687">
        <v>1.06</v>
      </c>
      <c r="CG4687">
        <v>0</v>
      </c>
      <c r="CH4687">
        <v>1.94</v>
      </c>
      <c r="CI4687">
        <v>0</v>
      </c>
      <c r="CJ4687">
        <v>1.4</v>
      </c>
      <c r="CK4687">
        <v>84</v>
      </c>
      <c r="CL4687">
        <v>-1.36</v>
      </c>
      <c r="CM4687">
        <v>81</v>
      </c>
      <c r="CN4687">
        <v>-0.64</v>
      </c>
      <c r="CO4687">
        <v>79</v>
      </c>
      <c r="CP4687">
        <v>7.8</v>
      </c>
      <c r="CQ4687">
        <v>81</v>
      </c>
      <c r="CR4687">
        <v>0</v>
      </c>
      <c r="CS4687">
        <v>0</v>
      </c>
      <c r="CT4687">
        <v>31.1</v>
      </c>
      <c r="CU4687">
        <v>76</v>
      </c>
      <c r="CV4687">
        <v>0.28000000000000003</v>
      </c>
      <c r="CW4687">
        <v>42</v>
      </c>
      <c r="CX4687" t="s">
        <v>1384</v>
      </c>
    </row>
    <row r="4688" spans="1:102" x14ac:dyDescent="0.3">
      <c r="A4688" t="str">
        <f>HYPERLINK("https://webapp.icbf.com/v2/app/bull-search/view/667806965","F171")</f>
        <v>F171</v>
      </c>
      <c r="B4688" t="s">
        <v>5516</v>
      </c>
      <c r="C4688" t="s">
        <v>5517</v>
      </c>
      <c r="D4688" s="1">
        <v>39839</v>
      </c>
      <c r="E4688" t="s">
        <v>92</v>
      </c>
      <c r="F4688">
        <v>100</v>
      </c>
      <c r="G4688" t="s">
        <v>93</v>
      </c>
      <c r="H4688">
        <v>-156.54</v>
      </c>
      <c r="I4688">
        <v>60</v>
      </c>
      <c r="J4688">
        <v>32.380000000000003</v>
      </c>
      <c r="K4688">
        <v>70</v>
      </c>
      <c r="L4688">
        <v>-132.80000000000001</v>
      </c>
      <c r="M4688">
        <v>52</v>
      </c>
      <c r="N4688">
        <v>-42.89</v>
      </c>
      <c r="O4688">
        <v>59</v>
      </c>
      <c r="P4688">
        <v>-16</v>
      </c>
      <c r="Q4688">
        <v>83</v>
      </c>
      <c r="R4688">
        <v>1.64</v>
      </c>
      <c r="S4688">
        <v>44</v>
      </c>
      <c r="T4688">
        <v>0.36</v>
      </c>
      <c r="U4688">
        <v>56</v>
      </c>
      <c r="V4688">
        <v>0.77</v>
      </c>
      <c r="W4688">
        <v>35</v>
      </c>
      <c r="X4688" t="s">
        <v>110</v>
      </c>
      <c r="Y4688" t="s">
        <v>336</v>
      </c>
      <c r="Z4688" t="s">
        <v>96</v>
      </c>
      <c r="AA4688" t="s">
        <v>309</v>
      </c>
      <c r="AB4688" t="s">
        <v>5518</v>
      </c>
      <c r="AC4688">
        <v>16</v>
      </c>
      <c r="AD4688">
        <v>9</v>
      </c>
      <c r="AE4688">
        <v>70</v>
      </c>
      <c r="AF4688">
        <v>232.25</v>
      </c>
      <c r="AG4688">
        <v>9.25</v>
      </c>
      <c r="AH4688">
        <v>5.79</v>
      </c>
      <c r="AI4688">
        <v>0</v>
      </c>
      <c r="AJ4688">
        <v>-0.03</v>
      </c>
      <c r="AK4688">
        <v>52</v>
      </c>
      <c r="AL4688">
        <v>39</v>
      </c>
      <c r="AM4688">
        <v>7</v>
      </c>
      <c r="AN4688">
        <v>8.08</v>
      </c>
      <c r="AO4688">
        <v>-2.5</v>
      </c>
      <c r="AP4688">
        <v>41</v>
      </c>
      <c r="AQ4688">
        <v>0</v>
      </c>
      <c r="AR4688">
        <v>11.26</v>
      </c>
      <c r="AS4688">
        <v>48</v>
      </c>
      <c r="AT4688">
        <v>5.73</v>
      </c>
      <c r="AU4688">
        <v>53</v>
      </c>
      <c r="AV4688">
        <v>0.45</v>
      </c>
      <c r="AW4688">
        <v>72</v>
      </c>
      <c r="AX4688">
        <v>-0.55000000000000004</v>
      </c>
      <c r="AY4688">
        <v>77</v>
      </c>
      <c r="AZ4688">
        <v>6.41</v>
      </c>
      <c r="BA4688">
        <v>37</v>
      </c>
      <c r="BB4688">
        <v>4.88</v>
      </c>
      <c r="BC4688">
        <v>32</v>
      </c>
      <c r="BD4688">
        <v>0.02</v>
      </c>
      <c r="BE4688">
        <v>0.01</v>
      </c>
      <c r="BF4688">
        <v>-0.09</v>
      </c>
      <c r="BG4688">
        <v>50</v>
      </c>
      <c r="BH4688">
        <v>-0.03</v>
      </c>
      <c r="BI4688">
        <v>-5.97</v>
      </c>
      <c r="BJ4688">
        <v>6</v>
      </c>
      <c r="BK4688">
        <v>3</v>
      </c>
      <c r="BL4688">
        <v>1.68</v>
      </c>
      <c r="BM4688">
        <v>-1.88</v>
      </c>
      <c r="BN4688">
        <v>0.76</v>
      </c>
      <c r="BO4688">
        <v>1.7</v>
      </c>
      <c r="BP4688">
        <v>0.79</v>
      </c>
      <c r="BQ4688">
        <v>0.86</v>
      </c>
      <c r="BR4688">
        <v>-0.41</v>
      </c>
      <c r="BS4688">
        <v>2.56</v>
      </c>
      <c r="BT4688">
        <v>1</v>
      </c>
      <c r="BU4688">
        <v>2.23</v>
      </c>
      <c r="BV4688">
        <v>2.34</v>
      </c>
      <c r="BW4688">
        <v>2.06</v>
      </c>
      <c r="BX4688">
        <v>1.62</v>
      </c>
      <c r="BY4688">
        <v>0.89</v>
      </c>
      <c r="BZ4688">
        <v>-0.57999999999999996</v>
      </c>
      <c r="CA4688">
        <v>2.0699999999999998</v>
      </c>
      <c r="CB4688">
        <v>1.68</v>
      </c>
      <c r="CC4688">
        <v>2.0099999999999998</v>
      </c>
      <c r="CD4688">
        <v>-1.01</v>
      </c>
      <c r="CE4688">
        <v>1.3</v>
      </c>
      <c r="CF4688">
        <v>1.07</v>
      </c>
      <c r="CG4688">
        <v>0</v>
      </c>
      <c r="CH4688">
        <v>0.61</v>
      </c>
      <c r="CI4688">
        <v>0</v>
      </c>
      <c r="CJ4688">
        <v>-7.6</v>
      </c>
      <c r="CK4688">
        <v>85</v>
      </c>
      <c r="CL4688">
        <v>-1.67</v>
      </c>
      <c r="CM4688">
        <v>82</v>
      </c>
      <c r="CN4688">
        <v>-1.02</v>
      </c>
      <c r="CO4688">
        <v>80</v>
      </c>
      <c r="CP4688">
        <v>-1.5</v>
      </c>
      <c r="CQ4688">
        <v>72</v>
      </c>
      <c r="CR4688">
        <v>0</v>
      </c>
      <c r="CS4688">
        <v>0</v>
      </c>
      <c r="CT4688">
        <v>13.3</v>
      </c>
      <c r="CU4688">
        <v>56</v>
      </c>
      <c r="CV4688">
        <v>0.28999999999999998</v>
      </c>
      <c r="CW4688">
        <v>23</v>
      </c>
      <c r="CX4688" t="s">
        <v>5189</v>
      </c>
    </row>
    <row r="4689" spans="1:102" x14ac:dyDescent="0.3">
      <c r="A4689" t="str">
        <f>HYPERLINK("https://webapp.icbf.com/v2/app/bull-search/view/77854456","RCY")</f>
        <v>RCY</v>
      </c>
      <c r="B4689" t="s">
        <v>3145</v>
      </c>
      <c r="C4689" t="s">
        <v>3146</v>
      </c>
      <c r="D4689" s="1">
        <v>34727</v>
      </c>
      <c r="E4689" t="s">
        <v>92</v>
      </c>
      <c r="F4689">
        <v>100</v>
      </c>
      <c r="G4689" t="s">
        <v>93</v>
      </c>
      <c r="H4689">
        <v>-156.65</v>
      </c>
      <c r="I4689">
        <v>83</v>
      </c>
      <c r="J4689">
        <v>-23.53</v>
      </c>
      <c r="K4689">
        <v>97</v>
      </c>
      <c r="L4689">
        <v>-139.04</v>
      </c>
      <c r="M4689">
        <v>75</v>
      </c>
      <c r="N4689">
        <v>11.56</v>
      </c>
      <c r="O4689">
        <v>75</v>
      </c>
      <c r="P4689">
        <v>-11.32</v>
      </c>
      <c r="Q4689">
        <v>89</v>
      </c>
      <c r="R4689">
        <v>-13.96</v>
      </c>
      <c r="S4689">
        <v>76</v>
      </c>
      <c r="T4689">
        <v>26.48</v>
      </c>
      <c r="U4689">
        <v>83</v>
      </c>
      <c r="V4689">
        <v>-6.84</v>
      </c>
      <c r="W4689">
        <v>49</v>
      </c>
      <c r="X4689" t="s">
        <v>94</v>
      </c>
      <c r="Y4689" t="s">
        <v>95</v>
      </c>
      <c r="Z4689" t="s">
        <v>96</v>
      </c>
      <c r="AA4689" t="s">
        <v>265</v>
      </c>
      <c r="AB4689" t="s">
        <v>3147</v>
      </c>
      <c r="AC4689">
        <v>172</v>
      </c>
      <c r="AD4689">
        <v>128</v>
      </c>
      <c r="AE4689">
        <v>97</v>
      </c>
      <c r="AF4689">
        <v>176.69</v>
      </c>
      <c r="AG4689">
        <v>-1.49</v>
      </c>
      <c r="AH4689">
        <v>-0.77</v>
      </c>
      <c r="AI4689">
        <v>-0.13</v>
      </c>
      <c r="AJ4689">
        <v>-0.11</v>
      </c>
      <c r="AK4689">
        <v>75</v>
      </c>
      <c r="AL4689">
        <v>193</v>
      </c>
      <c r="AM4689">
        <v>129</v>
      </c>
      <c r="AN4689">
        <v>9.02</v>
      </c>
      <c r="AO4689">
        <v>-2.0499999999999998</v>
      </c>
      <c r="AP4689">
        <v>10</v>
      </c>
      <c r="AQ4689">
        <v>0</v>
      </c>
      <c r="AR4689">
        <v>7.61</v>
      </c>
      <c r="AS4689">
        <v>44</v>
      </c>
      <c r="AT4689">
        <v>3.79</v>
      </c>
      <c r="AU4689">
        <v>73</v>
      </c>
      <c r="AV4689">
        <v>-2.5</v>
      </c>
      <c r="AW4689">
        <v>84</v>
      </c>
      <c r="AX4689">
        <v>-0.59</v>
      </c>
      <c r="AY4689">
        <v>87</v>
      </c>
      <c r="AZ4689">
        <v>7.06</v>
      </c>
      <c r="BA4689">
        <v>48</v>
      </c>
      <c r="BB4689">
        <v>5.51</v>
      </c>
      <c r="BC4689">
        <v>70</v>
      </c>
      <c r="BD4689">
        <v>0.03</v>
      </c>
      <c r="BE4689">
        <v>0.09</v>
      </c>
      <c r="BF4689">
        <v>0.1</v>
      </c>
      <c r="BG4689">
        <v>92</v>
      </c>
      <c r="BH4689">
        <v>0</v>
      </c>
      <c r="BI4689">
        <v>22.05</v>
      </c>
      <c r="BJ4689">
        <v>27</v>
      </c>
      <c r="BK4689">
        <v>20</v>
      </c>
      <c r="BL4689">
        <v>-0.2</v>
      </c>
      <c r="BM4689">
        <v>-2.5</v>
      </c>
      <c r="BN4689">
        <v>-0.56999999999999995</v>
      </c>
      <c r="BO4689">
        <v>0.89</v>
      </c>
      <c r="BP4689">
        <v>0.97</v>
      </c>
      <c r="BQ4689">
        <v>-3.13</v>
      </c>
      <c r="BR4689">
        <v>0.34</v>
      </c>
      <c r="BS4689">
        <v>0.68</v>
      </c>
      <c r="BT4689">
        <v>-0.65</v>
      </c>
      <c r="BU4689">
        <v>0.09</v>
      </c>
      <c r="BV4689">
        <v>0.9</v>
      </c>
      <c r="BW4689">
        <v>-0.23</v>
      </c>
      <c r="BX4689">
        <v>-0.63</v>
      </c>
      <c r="BY4689">
        <v>-1.1399999999999999</v>
      </c>
      <c r="BZ4689">
        <v>1.79</v>
      </c>
      <c r="CA4689">
        <v>0.55000000000000004</v>
      </c>
      <c r="CB4689">
        <v>0.33</v>
      </c>
      <c r="CC4689">
        <v>0.69</v>
      </c>
      <c r="CD4689">
        <v>-2.23</v>
      </c>
      <c r="CE4689">
        <v>1.1200000000000001</v>
      </c>
      <c r="CF4689">
        <v>-1.1399999999999999</v>
      </c>
      <c r="CG4689">
        <v>0</v>
      </c>
      <c r="CH4689">
        <v>0.21</v>
      </c>
      <c r="CI4689">
        <v>0</v>
      </c>
      <c r="CJ4689">
        <v>-3.8</v>
      </c>
      <c r="CK4689">
        <v>90</v>
      </c>
      <c r="CL4689">
        <v>-0.56999999999999995</v>
      </c>
      <c r="CM4689">
        <v>88</v>
      </c>
      <c r="CN4689">
        <v>-0.1</v>
      </c>
      <c r="CO4689">
        <v>86</v>
      </c>
      <c r="CP4689">
        <v>-9.1</v>
      </c>
      <c r="CQ4689">
        <v>92</v>
      </c>
      <c r="CR4689">
        <v>0</v>
      </c>
      <c r="CS4689">
        <v>0</v>
      </c>
      <c r="CT4689">
        <v>-22</v>
      </c>
      <c r="CU4689">
        <v>83</v>
      </c>
      <c r="CV4689">
        <v>0.13</v>
      </c>
      <c r="CW4689">
        <v>25</v>
      </c>
      <c r="CX4689" t="s">
        <v>111</v>
      </c>
    </row>
    <row r="4690" spans="1:102" x14ac:dyDescent="0.3">
      <c r="A4690" t="str">
        <f>HYPERLINK("https://webapp.icbf.com/v2/app/bull-search/view/77857000","HLT")</f>
        <v>HLT</v>
      </c>
      <c r="B4690" t="s">
        <v>3838</v>
      </c>
      <c r="C4690" t="s">
        <v>3839</v>
      </c>
      <c r="D4690" s="1">
        <v>32583</v>
      </c>
      <c r="E4690" t="s">
        <v>92</v>
      </c>
      <c r="F4690">
        <v>100</v>
      </c>
      <c r="G4690" t="s">
        <v>93</v>
      </c>
      <c r="H4690">
        <v>-156.66</v>
      </c>
      <c r="I4690">
        <v>95</v>
      </c>
      <c r="J4690">
        <v>-21.18</v>
      </c>
      <c r="K4690">
        <v>99</v>
      </c>
      <c r="L4690">
        <v>-87.85</v>
      </c>
      <c r="M4690">
        <v>95</v>
      </c>
      <c r="N4690">
        <v>-22.57</v>
      </c>
      <c r="O4690">
        <v>93</v>
      </c>
      <c r="P4690">
        <v>-6.55</v>
      </c>
      <c r="Q4690">
        <v>96</v>
      </c>
      <c r="R4690">
        <v>-18.22</v>
      </c>
      <c r="S4690">
        <v>87</v>
      </c>
      <c r="T4690">
        <v>9.5299999999999994</v>
      </c>
      <c r="U4690">
        <v>96</v>
      </c>
      <c r="V4690">
        <v>-9.82</v>
      </c>
      <c r="W4690">
        <v>78</v>
      </c>
      <c r="X4690" t="s">
        <v>131</v>
      </c>
      <c r="Y4690" t="s">
        <v>95</v>
      </c>
      <c r="Z4690" t="s">
        <v>96</v>
      </c>
      <c r="AA4690" t="s">
        <v>154</v>
      </c>
      <c r="AB4690" t="s">
        <v>3840</v>
      </c>
      <c r="AC4690">
        <v>746</v>
      </c>
      <c r="AD4690">
        <v>415</v>
      </c>
      <c r="AE4690">
        <v>99</v>
      </c>
      <c r="AF4690">
        <v>92.16</v>
      </c>
      <c r="AG4690">
        <v>-6.9</v>
      </c>
      <c r="AH4690">
        <v>0.25</v>
      </c>
      <c r="AI4690">
        <v>-0.18</v>
      </c>
      <c r="AJ4690">
        <v>-0.05</v>
      </c>
      <c r="AK4690">
        <v>95</v>
      </c>
      <c r="AL4690">
        <v>844</v>
      </c>
      <c r="AM4690">
        <v>410</v>
      </c>
      <c r="AN4690">
        <v>4.5</v>
      </c>
      <c r="AO4690">
        <v>-2.5099999999999998</v>
      </c>
      <c r="AP4690">
        <v>35</v>
      </c>
      <c r="AQ4690">
        <v>1</v>
      </c>
      <c r="AR4690">
        <v>9.84</v>
      </c>
      <c r="AS4690">
        <v>81</v>
      </c>
      <c r="AT4690">
        <v>4.66</v>
      </c>
      <c r="AU4690">
        <v>96</v>
      </c>
      <c r="AV4690">
        <v>-0.03</v>
      </c>
      <c r="AW4690">
        <v>94</v>
      </c>
      <c r="AX4690">
        <v>-0.21</v>
      </c>
      <c r="AY4690">
        <v>96</v>
      </c>
      <c r="AZ4690">
        <v>6.8</v>
      </c>
      <c r="BA4690">
        <v>79</v>
      </c>
      <c r="BB4690">
        <v>5.0599999999999996</v>
      </c>
      <c r="BC4690">
        <v>90</v>
      </c>
      <c r="BD4690">
        <v>0.06</v>
      </c>
      <c r="BE4690">
        <v>0.11</v>
      </c>
      <c r="BF4690">
        <v>0.11</v>
      </c>
      <c r="BG4690">
        <v>98</v>
      </c>
      <c r="BH4690">
        <v>-0.12</v>
      </c>
      <c r="BI4690">
        <v>17.809999999999999</v>
      </c>
      <c r="BJ4690">
        <v>211</v>
      </c>
      <c r="BK4690">
        <v>109</v>
      </c>
      <c r="BL4690">
        <v>0.48</v>
      </c>
      <c r="BM4690">
        <v>-0.12</v>
      </c>
      <c r="BN4690">
        <v>0.54</v>
      </c>
      <c r="BO4690">
        <v>0.4</v>
      </c>
      <c r="BP4690">
        <v>-1.05</v>
      </c>
      <c r="BQ4690">
        <v>-1.35</v>
      </c>
      <c r="BR4690">
        <v>1.24</v>
      </c>
      <c r="BS4690">
        <v>-1.64</v>
      </c>
      <c r="BT4690">
        <v>-0.02</v>
      </c>
      <c r="BU4690">
        <v>-1.22</v>
      </c>
      <c r="BV4690">
        <v>0.6</v>
      </c>
      <c r="BW4690">
        <v>0.44</v>
      </c>
      <c r="BX4690">
        <v>-1.74</v>
      </c>
      <c r="BY4690">
        <v>-1.7</v>
      </c>
      <c r="BZ4690">
        <v>3.24</v>
      </c>
      <c r="CA4690">
        <v>-0.88</v>
      </c>
      <c r="CB4690">
        <v>-0.89</v>
      </c>
      <c r="CC4690">
        <v>-0.45</v>
      </c>
      <c r="CD4690">
        <v>-0.14000000000000001</v>
      </c>
      <c r="CE4690">
        <v>0.48</v>
      </c>
      <c r="CF4690">
        <v>0.55000000000000004</v>
      </c>
      <c r="CG4690">
        <v>0</v>
      </c>
      <c r="CH4690">
        <v>-1.67</v>
      </c>
      <c r="CI4690">
        <v>0</v>
      </c>
      <c r="CJ4690">
        <v>-1.5</v>
      </c>
      <c r="CK4690">
        <v>96</v>
      </c>
      <c r="CL4690">
        <v>-0.77</v>
      </c>
      <c r="CM4690">
        <v>95</v>
      </c>
      <c r="CN4690">
        <v>-0.36</v>
      </c>
      <c r="CO4690">
        <v>95</v>
      </c>
      <c r="CP4690">
        <v>-5</v>
      </c>
      <c r="CQ4690">
        <v>98</v>
      </c>
      <c r="CR4690">
        <v>0</v>
      </c>
      <c r="CS4690">
        <v>0</v>
      </c>
      <c r="CT4690">
        <v>0.9</v>
      </c>
      <c r="CU4690">
        <v>96</v>
      </c>
      <c r="CV4690">
        <v>0.09</v>
      </c>
      <c r="CW4690">
        <v>45</v>
      </c>
      <c r="CX4690" t="s">
        <v>3805</v>
      </c>
    </row>
    <row r="4691" spans="1:102" x14ac:dyDescent="0.3">
      <c r="A4691" t="str">
        <f>HYPERLINK("https://webapp.icbf.com/v2/app/bull-search/view/77853478","SSM")</f>
        <v>SSM</v>
      </c>
      <c r="B4691" t="s">
        <v>12174</v>
      </c>
      <c r="C4691" t="s">
        <v>12175</v>
      </c>
      <c r="D4691" s="1">
        <v>34060</v>
      </c>
      <c r="E4691" t="s">
        <v>92</v>
      </c>
      <c r="F4691">
        <v>100</v>
      </c>
      <c r="G4691" t="s">
        <v>93</v>
      </c>
      <c r="H4691">
        <v>-156.79</v>
      </c>
      <c r="I4691">
        <v>86</v>
      </c>
      <c r="J4691">
        <v>3.57</v>
      </c>
      <c r="K4691">
        <v>98</v>
      </c>
      <c r="L4691">
        <v>-150.36000000000001</v>
      </c>
      <c r="M4691">
        <v>83</v>
      </c>
      <c r="N4691">
        <v>4.26</v>
      </c>
      <c r="O4691">
        <v>76</v>
      </c>
      <c r="P4691">
        <v>-3.56</v>
      </c>
      <c r="Q4691">
        <v>84</v>
      </c>
      <c r="R4691">
        <v>-16.34</v>
      </c>
      <c r="S4691">
        <v>81</v>
      </c>
      <c r="T4691">
        <v>8.1999999999999993</v>
      </c>
      <c r="U4691">
        <v>82</v>
      </c>
      <c r="V4691">
        <v>-2.56</v>
      </c>
      <c r="W4691">
        <v>65</v>
      </c>
      <c r="X4691" t="s">
        <v>94</v>
      </c>
      <c r="Y4691" t="s">
        <v>95</v>
      </c>
      <c r="Z4691" t="s">
        <v>96</v>
      </c>
      <c r="AA4691" t="s">
        <v>485</v>
      </c>
      <c r="AB4691" t="s">
        <v>12176</v>
      </c>
      <c r="AC4691">
        <v>163</v>
      </c>
      <c r="AD4691">
        <v>104</v>
      </c>
      <c r="AE4691">
        <v>98</v>
      </c>
      <c r="AF4691">
        <v>-95.27</v>
      </c>
      <c r="AG4691">
        <v>7.49</v>
      </c>
      <c r="AH4691">
        <v>-3.5</v>
      </c>
      <c r="AI4691">
        <v>0.2</v>
      </c>
      <c r="AJ4691">
        <v>-0.01</v>
      </c>
      <c r="AK4691">
        <v>83</v>
      </c>
      <c r="AL4691">
        <v>209</v>
      </c>
      <c r="AM4691">
        <v>132</v>
      </c>
      <c r="AN4691">
        <v>7.49</v>
      </c>
      <c r="AO4691">
        <v>-4.51</v>
      </c>
      <c r="AP4691">
        <v>6</v>
      </c>
      <c r="AQ4691">
        <v>1</v>
      </c>
      <c r="AR4691">
        <v>7.64</v>
      </c>
      <c r="AS4691">
        <v>61</v>
      </c>
      <c r="AT4691">
        <v>3.26</v>
      </c>
      <c r="AU4691">
        <v>79</v>
      </c>
      <c r="AV4691">
        <v>-0.73</v>
      </c>
      <c r="AW4691">
        <v>78</v>
      </c>
      <c r="AX4691">
        <v>-0.09</v>
      </c>
      <c r="AY4691">
        <v>84</v>
      </c>
      <c r="AZ4691">
        <v>6.6</v>
      </c>
      <c r="BA4691">
        <v>55</v>
      </c>
      <c r="BB4691">
        <v>5.04</v>
      </c>
      <c r="BC4691">
        <v>70</v>
      </c>
      <c r="BD4691">
        <v>0.04</v>
      </c>
      <c r="BE4691">
        <v>0.11</v>
      </c>
      <c r="BF4691">
        <v>0.1</v>
      </c>
      <c r="BG4691">
        <v>94</v>
      </c>
      <c r="BH4691">
        <v>-0.08</v>
      </c>
      <c r="BI4691">
        <v>-0.99</v>
      </c>
      <c r="BJ4691">
        <v>43</v>
      </c>
      <c r="BK4691">
        <v>35</v>
      </c>
      <c r="BL4691">
        <v>-0.25</v>
      </c>
      <c r="BM4691">
        <v>-0.06</v>
      </c>
      <c r="BN4691">
        <v>0.38</v>
      </c>
      <c r="BO4691">
        <v>0.44</v>
      </c>
      <c r="BP4691">
        <v>-0.96</v>
      </c>
      <c r="BQ4691">
        <v>0.62</v>
      </c>
      <c r="BR4691">
        <v>1.24</v>
      </c>
      <c r="BS4691">
        <v>-1.44</v>
      </c>
      <c r="BT4691">
        <v>-2.23</v>
      </c>
      <c r="BU4691">
        <v>-0.55000000000000004</v>
      </c>
      <c r="BV4691">
        <v>-0.24</v>
      </c>
      <c r="BW4691">
        <v>-0.94</v>
      </c>
      <c r="BX4691">
        <v>-0.47</v>
      </c>
      <c r="BY4691">
        <v>-0.03</v>
      </c>
      <c r="BZ4691">
        <v>-0.62</v>
      </c>
      <c r="CA4691">
        <v>-1.39</v>
      </c>
      <c r="CB4691">
        <v>-0.76</v>
      </c>
      <c r="CC4691">
        <v>-1.66</v>
      </c>
      <c r="CD4691">
        <v>-0.43</v>
      </c>
      <c r="CE4691">
        <v>0.24</v>
      </c>
      <c r="CF4691">
        <v>-0.05</v>
      </c>
      <c r="CG4691">
        <v>0</v>
      </c>
      <c r="CH4691">
        <v>-0.5</v>
      </c>
      <c r="CI4691">
        <v>0</v>
      </c>
      <c r="CJ4691">
        <v>-0.8</v>
      </c>
      <c r="CK4691">
        <v>85</v>
      </c>
      <c r="CL4691">
        <v>-0.43</v>
      </c>
      <c r="CM4691">
        <v>83</v>
      </c>
      <c r="CN4691">
        <v>-0.2</v>
      </c>
      <c r="CO4691">
        <v>81</v>
      </c>
      <c r="CP4691">
        <v>-2.4</v>
      </c>
      <c r="CQ4691">
        <v>90</v>
      </c>
      <c r="CR4691">
        <v>0</v>
      </c>
      <c r="CS4691">
        <v>0</v>
      </c>
      <c r="CT4691">
        <v>2.7</v>
      </c>
      <c r="CU4691">
        <v>82</v>
      </c>
      <c r="CV4691">
        <v>0.08</v>
      </c>
      <c r="CW4691">
        <v>43</v>
      </c>
      <c r="CX4691" t="s">
        <v>12177</v>
      </c>
    </row>
    <row r="4692" spans="1:102" x14ac:dyDescent="0.3">
      <c r="A4692" t="str">
        <f>HYPERLINK("https://webapp.icbf.com/v2/app/bull-search/view/77854999","NEO")</f>
        <v>NEO</v>
      </c>
      <c r="B4692" t="s">
        <v>6620</v>
      </c>
      <c r="C4692" t="s">
        <v>6621</v>
      </c>
      <c r="D4692" s="1">
        <v>35493</v>
      </c>
      <c r="E4692" t="s">
        <v>92</v>
      </c>
      <c r="F4692">
        <v>100</v>
      </c>
      <c r="G4692" t="s">
        <v>93</v>
      </c>
      <c r="H4692">
        <v>-156.99</v>
      </c>
      <c r="I4692">
        <v>70</v>
      </c>
      <c r="J4692">
        <v>-46.7</v>
      </c>
      <c r="K4692">
        <v>91</v>
      </c>
      <c r="L4692">
        <v>-103.03</v>
      </c>
      <c r="M4692">
        <v>56</v>
      </c>
      <c r="N4692">
        <v>-1.85</v>
      </c>
      <c r="O4692">
        <v>60</v>
      </c>
      <c r="P4692">
        <v>1.18</v>
      </c>
      <c r="Q4692">
        <v>77</v>
      </c>
      <c r="R4692">
        <v>-2.62</v>
      </c>
      <c r="S4692">
        <v>61</v>
      </c>
      <c r="T4692">
        <v>-3.71</v>
      </c>
      <c r="U4692">
        <v>63</v>
      </c>
      <c r="V4692">
        <v>-0.26</v>
      </c>
      <c r="W4692">
        <v>37</v>
      </c>
      <c r="X4692" t="s">
        <v>94</v>
      </c>
      <c r="Y4692" t="s">
        <v>95</v>
      </c>
      <c r="Z4692" t="s">
        <v>96</v>
      </c>
      <c r="AA4692" t="s">
        <v>97</v>
      </c>
      <c r="AB4692" t="s">
        <v>444</v>
      </c>
      <c r="AC4692">
        <v>52</v>
      </c>
      <c r="AD4692">
        <v>41</v>
      </c>
      <c r="AE4692">
        <v>91</v>
      </c>
      <c r="AF4692">
        <v>-216.07</v>
      </c>
      <c r="AG4692">
        <v>-8.7899999999999991</v>
      </c>
      <c r="AH4692">
        <v>-8.14</v>
      </c>
      <c r="AI4692">
        <v>-0.01</v>
      </c>
      <c r="AJ4692">
        <v>-0.01</v>
      </c>
      <c r="AK4692">
        <v>56</v>
      </c>
      <c r="AL4692">
        <v>42</v>
      </c>
      <c r="AM4692">
        <v>33</v>
      </c>
      <c r="AN4692">
        <v>6.15</v>
      </c>
      <c r="AO4692">
        <v>-2.06</v>
      </c>
      <c r="AP4692">
        <v>10</v>
      </c>
      <c r="AQ4692">
        <v>0</v>
      </c>
      <c r="AR4692">
        <v>8.65</v>
      </c>
      <c r="AS4692">
        <v>37</v>
      </c>
      <c r="AT4692">
        <v>3.98</v>
      </c>
      <c r="AU4692">
        <v>54</v>
      </c>
      <c r="AV4692">
        <v>-1.18</v>
      </c>
      <c r="AW4692">
        <v>72</v>
      </c>
      <c r="AX4692">
        <v>1.23</v>
      </c>
      <c r="AY4692">
        <v>65</v>
      </c>
      <c r="AZ4692">
        <v>6.07</v>
      </c>
      <c r="BA4692">
        <v>35</v>
      </c>
      <c r="BB4692">
        <v>4.47</v>
      </c>
      <c r="BC4692">
        <v>47</v>
      </c>
      <c r="BD4692">
        <v>0.02</v>
      </c>
      <c r="BE4692">
        <v>0.03</v>
      </c>
      <c r="BF4692">
        <v>-0.03</v>
      </c>
      <c r="BG4692">
        <v>74</v>
      </c>
      <c r="BH4692">
        <v>-7.0000000000000007E-2</v>
      </c>
      <c r="BI4692">
        <v>-7.26</v>
      </c>
      <c r="BJ4692">
        <v>1</v>
      </c>
      <c r="BK4692">
        <v>1</v>
      </c>
      <c r="BL4692">
        <v>-0.03</v>
      </c>
      <c r="BM4692">
        <v>-0.94</v>
      </c>
      <c r="BN4692">
        <v>-0.5</v>
      </c>
      <c r="BO4692">
        <v>0.33</v>
      </c>
      <c r="BP4692">
        <v>1.1499999999999999</v>
      </c>
      <c r="BQ4692">
        <v>-1.3</v>
      </c>
      <c r="BR4692">
        <v>-0.1</v>
      </c>
      <c r="BS4692">
        <v>0.31</v>
      </c>
      <c r="BT4692">
        <v>0.38</v>
      </c>
      <c r="BU4692">
        <v>-0.39</v>
      </c>
      <c r="BV4692">
        <v>-0.23</v>
      </c>
      <c r="BW4692">
        <v>-0.37</v>
      </c>
      <c r="BX4692">
        <v>-0.25</v>
      </c>
      <c r="BY4692">
        <v>0.7</v>
      </c>
      <c r="BZ4692">
        <v>-1.93</v>
      </c>
      <c r="CA4692">
        <v>0.24</v>
      </c>
      <c r="CB4692">
        <v>0.18</v>
      </c>
      <c r="CC4692">
        <v>0.2</v>
      </c>
      <c r="CD4692">
        <v>-0.39</v>
      </c>
      <c r="CE4692">
        <v>0.12</v>
      </c>
      <c r="CF4692">
        <v>-0.74</v>
      </c>
      <c r="CG4692">
        <v>0</v>
      </c>
      <c r="CH4692">
        <v>0.61</v>
      </c>
      <c r="CI4692">
        <v>0</v>
      </c>
      <c r="CJ4692">
        <v>1.1000000000000001</v>
      </c>
      <c r="CK4692">
        <v>79</v>
      </c>
      <c r="CL4692">
        <v>-0.53</v>
      </c>
      <c r="CM4692">
        <v>76</v>
      </c>
      <c r="CN4692">
        <v>-0.35</v>
      </c>
      <c r="CO4692">
        <v>73</v>
      </c>
      <c r="CP4692">
        <v>6.9</v>
      </c>
      <c r="CQ4692">
        <v>78</v>
      </c>
      <c r="CR4692">
        <v>0</v>
      </c>
      <c r="CS4692">
        <v>0</v>
      </c>
      <c r="CT4692">
        <v>18.8</v>
      </c>
      <c r="CU4692">
        <v>63</v>
      </c>
      <c r="CV4692">
        <v>0.05</v>
      </c>
      <c r="CW4692">
        <v>22</v>
      </c>
      <c r="CX4692" t="s">
        <v>485</v>
      </c>
    </row>
    <row r="4693" spans="1:102" x14ac:dyDescent="0.3">
      <c r="A4693" t="str">
        <f>HYPERLINK("https://webapp.icbf.com/v2/app/bull-search/view/77858881","CHT")</f>
        <v>CHT</v>
      </c>
      <c r="B4693" t="s">
        <v>3378</v>
      </c>
      <c r="C4693" t="s">
        <v>3379</v>
      </c>
      <c r="D4693" s="1">
        <v>31696</v>
      </c>
      <c r="E4693" t="s">
        <v>92</v>
      </c>
      <c r="F4693">
        <v>100</v>
      </c>
      <c r="G4693" t="s">
        <v>109</v>
      </c>
      <c r="H4693">
        <v>-157.07</v>
      </c>
      <c r="I4693">
        <v>83</v>
      </c>
      <c r="J4693">
        <v>-37.450000000000003</v>
      </c>
      <c r="K4693">
        <v>94</v>
      </c>
      <c r="L4693">
        <v>-82.11</v>
      </c>
      <c r="M4693">
        <v>88</v>
      </c>
      <c r="N4693">
        <v>-20.399999999999999</v>
      </c>
      <c r="O4693">
        <v>63</v>
      </c>
      <c r="P4693">
        <v>-7.95</v>
      </c>
      <c r="Q4693">
        <v>69</v>
      </c>
      <c r="R4693">
        <v>-9.66</v>
      </c>
      <c r="S4693">
        <v>78</v>
      </c>
      <c r="T4693">
        <v>-0.9</v>
      </c>
      <c r="U4693">
        <v>64</v>
      </c>
      <c r="V4693">
        <v>1.4</v>
      </c>
      <c r="W4693">
        <v>61</v>
      </c>
      <c r="X4693" t="s">
        <v>110</v>
      </c>
      <c r="Y4693" t="s">
        <v>95</v>
      </c>
      <c r="Z4693" t="s">
        <v>96</v>
      </c>
      <c r="AA4693" t="s">
        <v>648</v>
      </c>
      <c r="AB4693" t="s">
        <v>3380</v>
      </c>
      <c r="AC4693">
        <v>26</v>
      </c>
      <c r="AD4693">
        <v>22</v>
      </c>
      <c r="AE4693">
        <v>94</v>
      </c>
      <c r="AF4693">
        <v>-169.48</v>
      </c>
      <c r="AG4693">
        <v>-9</v>
      </c>
      <c r="AH4693">
        <v>-5.78</v>
      </c>
      <c r="AI4693">
        <v>-0.04</v>
      </c>
      <c r="AJ4693">
        <v>0</v>
      </c>
      <c r="AK4693">
        <v>88</v>
      </c>
      <c r="AL4693">
        <v>60</v>
      </c>
      <c r="AM4693">
        <v>35</v>
      </c>
      <c r="AN4693">
        <v>4.34</v>
      </c>
      <c r="AO4693">
        <v>-2.21</v>
      </c>
      <c r="AP4693">
        <v>5</v>
      </c>
      <c r="AQ4693">
        <v>0</v>
      </c>
      <c r="AR4693">
        <v>10.42</v>
      </c>
      <c r="AS4693">
        <v>56</v>
      </c>
      <c r="AT4693">
        <v>4.83</v>
      </c>
      <c r="AU4693">
        <v>81</v>
      </c>
      <c r="AV4693">
        <v>0.01</v>
      </c>
      <c r="AW4693">
        <v>58</v>
      </c>
      <c r="AX4693">
        <v>-0.74</v>
      </c>
      <c r="AY4693">
        <v>65</v>
      </c>
      <c r="AZ4693">
        <v>6.21</v>
      </c>
      <c r="BA4693">
        <v>47</v>
      </c>
      <c r="BB4693">
        <v>4.12</v>
      </c>
      <c r="BC4693">
        <v>54</v>
      </c>
      <c r="BD4693">
        <v>0.09</v>
      </c>
      <c r="BE4693">
        <v>0.08</v>
      </c>
      <c r="BF4693">
        <v>-0.08</v>
      </c>
      <c r="BG4693">
        <v>93</v>
      </c>
      <c r="BH4693">
        <v>0.1</v>
      </c>
      <c r="BI4693">
        <v>7.06</v>
      </c>
      <c r="BJ4693">
        <v>4</v>
      </c>
      <c r="BK4693">
        <v>3</v>
      </c>
      <c r="BL4693">
        <v>-0.13</v>
      </c>
      <c r="BM4693">
        <v>-0.76</v>
      </c>
      <c r="BN4693">
        <v>-0.81</v>
      </c>
      <c r="BO4693">
        <v>-0.12</v>
      </c>
      <c r="BP4693">
        <v>-0.75</v>
      </c>
      <c r="BQ4693">
        <v>-1.35</v>
      </c>
      <c r="BR4693">
        <v>-1.06</v>
      </c>
      <c r="BS4693">
        <v>0.21</v>
      </c>
      <c r="BT4693">
        <v>0.18</v>
      </c>
      <c r="BU4693">
        <v>1.19</v>
      </c>
      <c r="BV4693">
        <v>0.38</v>
      </c>
      <c r="BW4693">
        <v>0.88</v>
      </c>
      <c r="BX4693">
        <v>2.09</v>
      </c>
      <c r="BY4693">
        <v>1.1200000000000001</v>
      </c>
      <c r="BZ4693">
        <v>-2.25</v>
      </c>
      <c r="CA4693">
        <v>0.96</v>
      </c>
      <c r="CB4693">
        <v>0.81</v>
      </c>
      <c r="CC4693">
        <v>0.28000000000000003</v>
      </c>
      <c r="CD4693">
        <v>0.31</v>
      </c>
      <c r="CE4693">
        <v>0.94</v>
      </c>
      <c r="CF4693">
        <v>1.07</v>
      </c>
      <c r="CG4693">
        <v>0</v>
      </c>
      <c r="CH4693">
        <v>0.8</v>
      </c>
      <c r="CI4693">
        <v>0</v>
      </c>
      <c r="CJ4693">
        <v>-4.0999999999999996</v>
      </c>
      <c r="CK4693">
        <v>70</v>
      </c>
      <c r="CL4693">
        <v>-0.85</v>
      </c>
      <c r="CM4693">
        <v>67</v>
      </c>
      <c r="CN4693">
        <v>-0.53</v>
      </c>
      <c r="CO4693">
        <v>63</v>
      </c>
      <c r="CP4693">
        <v>1.8</v>
      </c>
      <c r="CQ4693">
        <v>74</v>
      </c>
      <c r="CR4693">
        <v>0</v>
      </c>
      <c r="CS4693">
        <v>0</v>
      </c>
      <c r="CT4693">
        <v>15</v>
      </c>
      <c r="CU4693">
        <v>64</v>
      </c>
      <c r="CV4693">
        <v>0.1</v>
      </c>
      <c r="CW4693">
        <v>39</v>
      </c>
      <c r="CX4693" t="s">
        <v>120</v>
      </c>
    </row>
    <row r="4694" spans="1:102" x14ac:dyDescent="0.3">
      <c r="A4694" t="str">
        <f>HYPERLINK("https://webapp.icbf.com/v2/app/bull-search/view/490971692","S496")</f>
        <v>S496</v>
      </c>
      <c r="B4694" t="s">
        <v>4807</v>
      </c>
      <c r="C4694" t="s">
        <v>4808</v>
      </c>
      <c r="D4694" s="1">
        <v>37017</v>
      </c>
      <c r="E4694" t="s">
        <v>92</v>
      </c>
      <c r="F4694">
        <v>100</v>
      </c>
      <c r="G4694" t="s">
        <v>109</v>
      </c>
      <c r="H4694">
        <v>-157.22999999999999</v>
      </c>
      <c r="I4694">
        <v>83</v>
      </c>
      <c r="J4694">
        <v>2.27</v>
      </c>
      <c r="K4694">
        <v>93</v>
      </c>
      <c r="L4694">
        <v>-145.74</v>
      </c>
      <c r="M4694">
        <v>87</v>
      </c>
      <c r="N4694">
        <v>1.71</v>
      </c>
      <c r="O4694">
        <v>73</v>
      </c>
      <c r="P4694">
        <v>-11.72</v>
      </c>
      <c r="Q4694">
        <v>78</v>
      </c>
      <c r="R4694">
        <v>-0.04</v>
      </c>
      <c r="S4694">
        <v>71</v>
      </c>
      <c r="T4694">
        <v>-1.86</v>
      </c>
      <c r="U4694">
        <v>71</v>
      </c>
      <c r="V4694">
        <v>-1.85</v>
      </c>
      <c r="W4694">
        <v>45</v>
      </c>
      <c r="X4694" t="s">
        <v>747</v>
      </c>
      <c r="Y4694" t="s">
        <v>95</v>
      </c>
      <c r="Z4694" t="s">
        <v>96</v>
      </c>
      <c r="AA4694" t="s">
        <v>289</v>
      </c>
      <c r="AB4694" t="s">
        <v>4809</v>
      </c>
      <c r="AC4694">
        <v>22</v>
      </c>
      <c r="AD4694">
        <v>17</v>
      </c>
      <c r="AE4694">
        <v>93</v>
      </c>
      <c r="AF4694">
        <v>458.44</v>
      </c>
      <c r="AG4694">
        <v>3.26</v>
      </c>
      <c r="AH4694">
        <v>6.25</v>
      </c>
      <c r="AI4694">
        <v>-0.23</v>
      </c>
      <c r="AJ4694">
        <v>-0.15</v>
      </c>
      <c r="AK4694">
        <v>87</v>
      </c>
      <c r="AL4694">
        <v>17</v>
      </c>
      <c r="AM4694">
        <v>11</v>
      </c>
      <c r="AN4694">
        <v>6.6</v>
      </c>
      <c r="AO4694">
        <v>-5.04</v>
      </c>
      <c r="AP4694">
        <v>22</v>
      </c>
      <c r="AQ4694">
        <v>0</v>
      </c>
      <c r="AR4694">
        <v>9.64</v>
      </c>
      <c r="AS4694">
        <v>61</v>
      </c>
      <c r="AT4694">
        <v>4.74</v>
      </c>
      <c r="AU4694">
        <v>97</v>
      </c>
      <c r="AV4694">
        <v>-2.5499999999999998</v>
      </c>
      <c r="AW4694">
        <v>74</v>
      </c>
      <c r="AX4694">
        <v>-0.37</v>
      </c>
      <c r="AY4694">
        <v>69</v>
      </c>
      <c r="AZ4694">
        <v>5.83</v>
      </c>
      <c r="BA4694">
        <v>48</v>
      </c>
      <c r="BB4694">
        <v>4.4800000000000004</v>
      </c>
      <c r="BC4694">
        <v>44</v>
      </c>
      <c r="BD4694">
        <v>0</v>
      </c>
      <c r="BE4694">
        <v>-0.01</v>
      </c>
      <c r="BF4694">
        <v>0.02</v>
      </c>
      <c r="BG4694">
        <v>91</v>
      </c>
      <c r="BH4694">
        <v>-0.03</v>
      </c>
      <c r="BI4694">
        <v>2.4900000000000002</v>
      </c>
      <c r="BJ4694">
        <v>16</v>
      </c>
      <c r="BK4694">
        <v>12</v>
      </c>
      <c r="BL4694">
        <v>1.67</v>
      </c>
      <c r="BM4694">
        <v>-1.21</v>
      </c>
      <c r="BN4694">
        <v>0.72</v>
      </c>
      <c r="BO4694">
        <v>1.54</v>
      </c>
      <c r="BP4694">
        <v>2.14</v>
      </c>
      <c r="BQ4694">
        <v>1.22</v>
      </c>
      <c r="BR4694">
        <v>0.48</v>
      </c>
      <c r="BS4694">
        <v>0.14000000000000001</v>
      </c>
      <c r="BT4694">
        <v>0.88</v>
      </c>
      <c r="BU4694">
        <v>1.38</v>
      </c>
      <c r="BV4694">
        <v>2.37</v>
      </c>
      <c r="BW4694">
        <v>2.52</v>
      </c>
      <c r="BX4694">
        <v>1.38</v>
      </c>
      <c r="BY4694">
        <v>1.72</v>
      </c>
      <c r="BZ4694">
        <v>1.89</v>
      </c>
      <c r="CA4694">
        <v>1.05</v>
      </c>
      <c r="CB4694">
        <v>1.48</v>
      </c>
      <c r="CC4694">
        <v>-0.17</v>
      </c>
      <c r="CD4694">
        <v>-1.23</v>
      </c>
      <c r="CE4694">
        <v>1.29</v>
      </c>
      <c r="CF4694">
        <v>0.31</v>
      </c>
      <c r="CG4694">
        <v>0</v>
      </c>
      <c r="CH4694">
        <v>2.66</v>
      </c>
      <c r="CI4694">
        <v>0</v>
      </c>
      <c r="CJ4694">
        <v>-2.1</v>
      </c>
      <c r="CK4694">
        <v>80</v>
      </c>
      <c r="CL4694">
        <v>-1.56</v>
      </c>
      <c r="CM4694">
        <v>77</v>
      </c>
      <c r="CN4694">
        <v>-0.68</v>
      </c>
      <c r="CO4694">
        <v>75</v>
      </c>
      <c r="CP4694">
        <v>-4.5999999999999996</v>
      </c>
      <c r="CQ4694">
        <v>77</v>
      </c>
      <c r="CR4694">
        <v>0</v>
      </c>
      <c r="CS4694">
        <v>0</v>
      </c>
      <c r="CT4694">
        <v>16.3</v>
      </c>
      <c r="CU4694">
        <v>71</v>
      </c>
      <c r="CV4694">
        <v>0.5</v>
      </c>
      <c r="CW4694">
        <v>22</v>
      </c>
      <c r="CX4694" t="s">
        <v>1278</v>
      </c>
    </row>
    <row r="4695" spans="1:102" x14ac:dyDescent="0.3">
      <c r="A4695" t="str">
        <f>HYPERLINK("https://webapp.icbf.com/v2/app/bull-search/view/77859907","BRF")</f>
        <v>BRF</v>
      </c>
      <c r="B4695" t="s">
        <v>8674</v>
      </c>
      <c r="C4695" t="s">
        <v>8433</v>
      </c>
      <c r="D4695" s="1">
        <v>32319</v>
      </c>
      <c r="E4695" t="s">
        <v>92</v>
      </c>
      <c r="F4695">
        <v>88</v>
      </c>
      <c r="G4695" t="s">
        <v>93</v>
      </c>
      <c r="H4695">
        <v>-158.22</v>
      </c>
      <c r="I4695">
        <v>95</v>
      </c>
      <c r="J4695">
        <v>-1.88</v>
      </c>
      <c r="K4695">
        <v>99</v>
      </c>
      <c r="L4695">
        <v>-130.13999999999999</v>
      </c>
      <c r="M4695">
        <v>94</v>
      </c>
      <c r="N4695">
        <v>-2.63</v>
      </c>
      <c r="O4695">
        <v>91</v>
      </c>
      <c r="P4695">
        <v>-7.76</v>
      </c>
      <c r="Q4695">
        <v>97</v>
      </c>
      <c r="R4695">
        <v>-14.4</v>
      </c>
      <c r="S4695">
        <v>86</v>
      </c>
      <c r="T4695">
        <v>8.35</v>
      </c>
      <c r="U4695">
        <v>96</v>
      </c>
      <c r="V4695">
        <v>-9.76</v>
      </c>
      <c r="W4695">
        <v>76</v>
      </c>
      <c r="X4695" t="s">
        <v>94</v>
      </c>
      <c r="Y4695" t="s">
        <v>95</v>
      </c>
      <c r="Z4695" t="s">
        <v>96</v>
      </c>
      <c r="AA4695" t="s">
        <v>3720</v>
      </c>
      <c r="AB4695" t="s">
        <v>8675</v>
      </c>
      <c r="AC4695">
        <v>744</v>
      </c>
      <c r="AD4695">
        <v>423</v>
      </c>
      <c r="AE4695">
        <v>99</v>
      </c>
      <c r="AF4695">
        <v>101.78</v>
      </c>
      <c r="AG4695">
        <v>-0.54</v>
      </c>
      <c r="AH4695">
        <v>1.43</v>
      </c>
      <c r="AI4695">
        <v>-0.08</v>
      </c>
      <c r="AJ4695">
        <v>-0.04</v>
      </c>
      <c r="AK4695">
        <v>94</v>
      </c>
      <c r="AL4695">
        <v>1133</v>
      </c>
      <c r="AM4695">
        <v>572</v>
      </c>
      <c r="AN4695">
        <v>7.74</v>
      </c>
      <c r="AO4695">
        <v>-2.63</v>
      </c>
      <c r="AP4695">
        <v>68</v>
      </c>
      <c r="AQ4695">
        <v>0</v>
      </c>
      <c r="AR4695">
        <v>8.7200000000000006</v>
      </c>
      <c r="AS4695">
        <v>78</v>
      </c>
      <c r="AT4695">
        <v>3.27</v>
      </c>
      <c r="AU4695">
        <v>92</v>
      </c>
      <c r="AV4695">
        <v>-0.1</v>
      </c>
      <c r="AW4695">
        <v>94</v>
      </c>
      <c r="AX4695">
        <v>-0.04</v>
      </c>
      <c r="AY4695">
        <v>96</v>
      </c>
      <c r="AZ4695">
        <v>6.52</v>
      </c>
      <c r="BA4695">
        <v>75</v>
      </c>
      <c r="BB4695">
        <v>4.82</v>
      </c>
      <c r="BC4695">
        <v>89</v>
      </c>
      <c r="BD4695">
        <v>0.09</v>
      </c>
      <c r="BE4695">
        <v>0.09</v>
      </c>
      <c r="BF4695">
        <v>0.01</v>
      </c>
      <c r="BG4695">
        <v>98</v>
      </c>
      <c r="BH4695">
        <v>-0.16</v>
      </c>
      <c r="BI4695">
        <v>12.98</v>
      </c>
      <c r="BJ4695">
        <v>59</v>
      </c>
      <c r="BK4695">
        <v>43</v>
      </c>
      <c r="BL4695">
        <v>-0.17</v>
      </c>
      <c r="BM4695">
        <v>1.05</v>
      </c>
      <c r="BN4695">
        <v>0</v>
      </c>
      <c r="BO4695">
        <v>-0.4</v>
      </c>
      <c r="BP4695">
        <v>-0.37</v>
      </c>
      <c r="BQ4695">
        <v>-0.49</v>
      </c>
      <c r="BR4695">
        <v>-1.96</v>
      </c>
      <c r="BS4695">
        <v>-1.1399999999999999</v>
      </c>
      <c r="BT4695">
        <v>3.31</v>
      </c>
      <c r="BU4695">
        <v>-1.02</v>
      </c>
      <c r="BV4695">
        <v>-0.92</v>
      </c>
      <c r="BW4695">
        <v>-0.74</v>
      </c>
      <c r="BX4695">
        <v>-1.08</v>
      </c>
      <c r="BY4695">
        <v>-0.2</v>
      </c>
      <c r="BZ4695">
        <v>-1.28</v>
      </c>
      <c r="CA4695">
        <v>-0.84</v>
      </c>
      <c r="CB4695">
        <v>-0.75</v>
      </c>
      <c r="CC4695">
        <v>-0.5</v>
      </c>
      <c r="CD4695">
        <v>0.47</v>
      </c>
      <c r="CE4695">
        <v>-0.38</v>
      </c>
      <c r="CF4695">
        <v>-0.28999999999999998</v>
      </c>
      <c r="CG4695">
        <v>0</v>
      </c>
      <c r="CH4695">
        <v>-0.34</v>
      </c>
      <c r="CI4695">
        <v>0</v>
      </c>
      <c r="CJ4695">
        <v>-2.5</v>
      </c>
      <c r="CK4695">
        <v>97</v>
      </c>
      <c r="CL4695">
        <v>-0.62</v>
      </c>
      <c r="CM4695">
        <v>96</v>
      </c>
      <c r="CN4695">
        <v>-0.2</v>
      </c>
      <c r="CO4695">
        <v>96</v>
      </c>
      <c r="CP4695">
        <v>-1.7</v>
      </c>
      <c r="CQ4695">
        <v>98</v>
      </c>
      <c r="CR4695">
        <v>0</v>
      </c>
      <c r="CS4695">
        <v>0</v>
      </c>
      <c r="CT4695">
        <v>2.5</v>
      </c>
      <c r="CU4695">
        <v>96</v>
      </c>
      <c r="CV4695">
        <v>0.16</v>
      </c>
      <c r="CW4695">
        <v>45</v>
      </c>
      <c r="CX4695" t="s">
        <v>2976</v>
      </c>
    </row>
    <row r="4696" spans="1:102" x14ac:dyDescent="0.3">
      <c r="A4696" t="str">
        <f>HYPERLINK("https://webapp.icbf.com/v2/app/bull-search/view/77855881","LPA")</f>
        <v>LPA</v>
      </c>
      <c r="B4696" t="s">
        <v>11226</v>
      </c>
      <c r="C4696" t="s">
        <v>11227</v>
      </c>
      <c r="D4696" s="1">
        <v>33377</v>
      </c>
      <c r="E4696" t="s">
        <v>92</v>
      </c>
      <c r="F4696">
        <v>100</v>
      </c>
      <c r="G4696" t="s">
        <v>93</v>
      </c>
      <c r="H4696">
        <v>-158.30000000000001</v>
      </c>
      <c r="I4696">
        <v>82</v>
      </c>
      <c r="J4696">
        <v>-23.78</v>
      </c>
      <c r="K4696">
        <v>92</v>
      </c>
      <c r="L4696">
        <v>-127.75</v>
      </c>
      <c r="M4696">
        <v>86</v>
      </c>
      <c r="N4696">
        <v>-3.9</v>
      </c>
      <c r="O4696">
        <v>72</v>
      </c>
      <c r="P4696">
        <v>-6.06</v>
      </c>
      <c r="Q4696">
        <v>82</v>
      </c>
      <c r="R4696">
        <v>-8.19</v>
      </c>
      <c r="S4696">
        <v>71</v>
      </c>
      <c r="T4696">
        <v>12.2</v>
      </c>
      <c r="U4696">
        <v>68</v>
      </c>
      <c r="V4696">
        <v>-0.82</v>
      </c>
      <c r="W4696">
        <v>38</v>
      </c>
      <c r="X4696" t="s">
        <v>558</v>
      </c>
      <c r="Y4696" t="s">
        <v>95</v>
      </c>
      <c r="Z4696" t="s">
        <v>96</v>
      </c>
      <c r="AA4696" t="s">
        <v>132</v>
      </c>
      <c r="AB4696" t="s">
        <v>11228</v>
      </c>
      <c r="AC4696">
        <v>54</v>
      </c>
      <c r="AD4696">
        <v>32</v>
      </c>
      <c r="AE4696">
        <v>92</v>
      </c>
      <c r="AF4696">
        <v>153.66999999999999</v>
      </c>
      <c r="AG4696">
        <v>-1.73</v>
      </c>
      <c r="AH4696">
        <v>-1.08</v>
      </c>
      <c r="AI4696">
        <v>-0.12</v>
      </c>
      <c r="AJ4696">
        <v>-0.1</v>
      </c>
      <c r="AK4696">
        <v>86</v>
      </c>
      <c r="AL4696">
        <v>62</v>
      </c>
      <c r="AM4696">
        <v>32</v>
      </c>
      <c r="AN4696">
        <v>6.03</v>
      </c>
      <c r="AO4696">
        <v>-4.17</v>
      </c>
      <c r="AP4696">
        <v>17</v>
      </c>
      <c r="AQ4696">
        <v>1</v>
      </c>
      <c r="AR4696">
        <v>11.24</v>
      </c>
      <c r="AS4696">
        <v>50</v>
      </c>
      <c r="AT4696">
        <v>4.42</v>
      </c>
      <c r="AU4696">
        <v>86</v>
      </c>
      <c r="AV4696">
        <v>-2.67</v>
      </c>
      <c r="AW4696">
        <v>76</v>
      </c>
      <c r="AX4696">
        <v>-0.84</v>
      </c>
      <c r="AY4696">
        <v>73</v>
      </c>
      <c r="AZ4696">
        <v>6.51</v>
      </c>
      <c r="BA4696">
        <v>43</v>
      </c>
      <c r="BB4696">
        <v>5.48</v>
      </c>
      <c r="BC4696">
        <v>51</v>
      </c>
      <c r="BD4696">
        <v>0.02</v>
      </c>
      <c r="BE4696">
        <v>0.05</v>
      </c>
      <c r="BF4696">
        <v>0.06</v>
      </c>
      <c r="BG4696">
        <v>90</v>
      </c>
      <c r="BH4696">
        <v>0.1</v>
      </c>
      <c r="BI4696">
        <v>14.22</v>
      </c>
      <c r="BJ4696">
        <v>11</v>
      </c>
      <c r="BK4696">
        <v>6</v>
      </c>
      <c r="BL4696">
        <v>1.63</v>
      </c>
      <c r="BM4696">
        <v>-0.87</v>
      </c>
      <c r="BN4696">
        <v>-0.15</v>
      </c>
      <c r="BO4696">
        <v>0.75</v>
      </c>
      <c r="BP4696">
        <v>1.05</v>
      </c>
      <c r="BQ4696">
        <v>-0.67</v>
      </c>
      <c r="BR4696">
        <v>-1.35</v>
      </c>
      <c r="BS4696">
        <v>0.21</v>
      </c>
      <c r="BT4696">
        <v>1.99</v>
      </c>
      <c r="BU4696">
        <v>0.15</v>
      </c>
      <c r="BV4696">
        <v>0.36</v>
      </c>
      <c r="BW4696">
        <v>-0.21</v>
      </c>
      <c r="BX4696">
        <v>0.83</v>
      </c>
      <c r="BY4696">
        <v>-0.72</v>
      </c>
      <c r="BZ4696">
        <v>2.0099999999999998</v>
      </c>
      <c r="CA4696">
        <v>0.09</v>
      </c>
      <c r="CB4696">
        <v>-0.2</v>
      </c>
      <c r="CC4696">
        <v>0.47</v>
      </c>
      <c r="CD4696">
        <v>-0.63</v>
      </c>
      <c r="CE4696">
        <v>1.33</v>
      </c>
      <c r="CF4696">
        <v>0.88</v>
      </c>
      <c r="CG4696">
        <v>0</v>
      </c>
      <c r="CH4696">
        <v>-0.55000000000000004</v>
      </c>
      <c r="CI4696">
        <v>0</v>
      </c>
      <c r="CJ4696">
        <v>-1.4</v>
      </c>
      <c r="CK4696">
        <v>83</v>
      </c>
      <c r="CL4696">
        <v>-0.56999999999999995</v>
      </c>
      <c r="CM4696">
        <v>80</v>
      </c>
      <c r="CN4696">
        <v>-0.2</v>
      </c>
      <c r="CO4696">
        <v>77</v>
      </c>
      <c r="CP4696">
        <v>-3.9</v>
      </c>
      <c r="CQ4696">
        <v>85</v>
      </c>
      <c r="CR4696">
        <v>0</v>
      </c>
      <c r="CS4696">
        <v>0</v>
      </c>
      <c r="CT4696">
        <v>-2.7</v>
      </c>
      <c r="CU4696">
        <v>68</v>
      </c>
      <c r="CV4696">
        <v>0.12</v>
      </c>
      <c r="CW4696">
        <v>23</v>
      </c>
      <c r="CX4696" t="s">
        <v>663</v>
      </c>
    </row>
    <row r="4697" spans="1:102" x14ac:dyDescent="0.3">
      <c r="A4697" t="str">
        <f>HYPERLINK("https://webapp.icbf.com/v2/app/bull-search/view/77859580","BEK")</f>
        <v>BEK</v>
      </c>
      <c r="B4697" t="s">
        <v>3615</v>
      </c>
      <c r="C4697" t="s">
        <v>3616</v>
      </c>
      <c r="D4697" s="1">
        <v>34508</v>
      </c>
      <c r="E4697" t="s">
        <v>92</v>
      </c>
      <c r="F4697">
        <v>100</v>
      </c>
      <c r="G4697" t="s">
        <v>109</v>
      </c>
      <c r="H4697">
        <v>-158.46</v>
      </c>
      <c r="I4697">
        <v>80</v>
      </c>
      <c r="J4697">
        <v>7.26</v>
      </c>
      <c r="K4697">
        <v>90</v>
      </c>
      <c r="L4697">
        <v>-151.32</v>
      </c>
      <c r="M4697">
        <v>82</v>
      </c>
      <c r="N4697">
        <v>3.01</v>
      </c>
      <c r="O4697">
        <v>63</v>
      </c>
      <c r="P4697">
        <v>-15.38</v>
      </c>
      <c r="Q4697">
        <v>75</v>
      </c>
      <c r="R4697">
        <v>-12.87</v>
      </c>
      <c r="S4697">
        <v>76</v>
      </c>
      <c r="T4697">
        <v>15.6</v>
      </c>
      <c r="U4697">
        <v>67</v>
      </c>
      <c r="V4697">
        <v>-4.76</v>
      </c>
      <c r="W4697">
        <v>56</v>
      </c>
      <c r="X4697" t="s">
        <v>102</v>
      </c>
      <c r="Y4697" t="s">
        <v>95</v>
      </c>
      <c r="Z4697" t="s">
        <v>96</v>
      </c>
      <c r="AA4697" t="s">
        <v>564</v>
      </c>
      <c r="AB4697" t="s">
        <v>3617</v>
      </c>
      <c r="AC4697">
        <v>0</v>
      </c>
      <c r="AD4697">
        <v>0</v>
      </c>
      <c r="AE4697">
        <v>90</v>
      </c>
      <c r="AF4697">
        <v>-31.77</v>
      </c>
      <c r="AG4697">
        <v>2.99</v>
      </c>
      <c r="AH4697">
        <v>-0.31</v>
      </c>
      <c r="AI4697">
        <v>7.0000000000000007E-2</v>
      </c>
      <c r="AJ4697">
        <v>0.01</v>
      </c>
      <c r="AK4697">
        <v>82</v>
      </c>
      <c r="AL4697">
        <v>0</v>
      </c>
      <c r="AM4697">
        <v>0</v>
      </c>
      <c r="AN4697">
        <v>8.09</v>
      </c>
      <c r="AO4697">
        <v>-3.98</v>
      </c>
      <c r="AP4697">
        <v>13</v>
      </c>
      <c r="AQ4697">
        <v>1</v>
      </c>
      <c r="AR4697">
        <v>8.83</v>
      </c>
      <c r="AS4697">
        <v>54</v>
      </c>
      <c r="AT4697">
        <v>3.33</v>
      </c>
      <c r="AU4697">
        <v>90</v>
      </c>
      <c r="AV4697">
        <v>-0.84</v>
      </c>
      <c r="AW4697">
        <v>55</v>
      </c>
      <c r="AX4697">
        <v>-0.43</v>
      </c>
      <c r="AY4697">
        <v>64</v>
      </c>
      <c r="AZ4697">
        <v>5.97</v>
      </c>
      <c r="BA4697">
        <v>47</v>
      </c>
      <c r="BB4697">
        <v>5.03</v>
      </c>
      <c r="BC4697">
        <v>48</v>
      </c>
      <c r="BD4697">
        <v>0</v>
      </c>
      <c r="BE4697">
        <v>0.04</v>
      </c>
      <c r="BF4697">
        <v>0.22</v>
      </c>
      <c r="BG4697">
        <v>91</v>
      </c>
      <c r="BH4697">
        <v>-0.11</v>
      </c>
      <c r="BI4697">
        <v>2.63</v>
      </c>
      <c r="BJ4697">
        <v>3</v>
      </c>
      <c r="BK4697">
        <v>2</v>
      </c>
      <c r="BL4697">
        <v>-0.5</v>
      </c>
      <c r="BM4697">
        <v>-0.79</v>
      </c>
      <c r="BN4697">
        <v>0.25</v>
      </c>
      <c r="BO4697">
        <v>0.25</v>
      </c>
      <c r="BP4697">
        <v>0.49</v>
      </c>
      <c r="BQ4697">
        <v>-1.28</v>
      </c>
      <c r="BR4697">
        <v>-0.74</v>
      </c>
      <c r="BS4697">
        <v>1.52</v>
      </c>
      <c r="BT4697">
        <v>-0.56999999999999995</v>
      </c>
      <c r="BU4697">
        <v>-1.31</v>
      </c>
      <c r="BV4697">
        <v>-1.1000000000000001</v>
      </c>
      <c r="BW4697">
        <v>-0.79</v>
      </c>
      <c r="BX4697">
        <v>-1.68</v>
      </c>
      <c r="BY4697">
        <v>0.19</v>
      </c>
      <c r="BZ4697">
        <v>-0.54</v>
      </c>
      <c r="CA4697">
        <v>-1.28</v>
      </c>
      <c r="CB4697">
        <v>-1.52</v>
      </c>
      <c r="CC4697">
        <v>0.52</v>
      </c>
      <c r="CD4697">
        <v>-0.61</v>
      </c>
      <c r="CE4697">
        <v>0.24</v>
      </c>
      <c r="CF4697">
        <v>-0.2</v>
      </c>
      <c r="CG4697">
        <v>0</v>
      </c>
      <c r="CH4697">
        <v>0.15</v>
      </c>
      <c r="CI4697">
        <v>0</v>
      </c>
      <c r="CJ4697">
        <v>-6.9</v>
      </c>
      <c r="CK4697">
        <v>77</v>
      </c>
      <c r="CL4697">
        <v>-0.7</v>
      </c>
      <c r="CM4697">
        <v>74</v>
      </c>
      <c r="CN4697">
        <v>-0.16</v>
      </c>
      <c r="CO4697">
        <v>71</v>
      </c>
      <c r="CP4697">
        <v>-3.4</v>
      </c>
      <c r="CQ4697">
        <v>76</v>
      </c>
      <c r="CR4697">
        <v>0</v>
      </c>
      <c r="CS4697">
        <v>0</v>
      </c>
      <c r="CT4697">
        <v>-7.3</v>
      </c>
      <c r="CU4697">
        <v>67</v>
      </c>
      <c r="CV4697">
        <v>-0.04</v>
      </c>
      <c r="CW4697">
        <v>41</v>
      </c>
      <c r="CX4697" t="s">
        <v>1077</v>
      </c>
    </row>
    <row r="4698" spans="1:102" x14ac:dyDescent="0.3">
      <c r="A4698" t="str">
        <f>HYPERLINK("https://webapp.icbf.com/v2/app/bull-search/view/69092893","WCB")</f>
        <v>WCB</v>
      </c>
      <c r="B4698" t="s">
        <v>3305</v>
      </c>
      <c r="C4698" t="s">
        <v>3306</v>
      </c>
      <c r="D4698" s="1">
        <v>32512</v>
      </c>
      <c r="E4698" t="s">
        <v>108</v>
      </c>
      <c r="F4698">
        <v>0</v>
      </c>
      <c r="G4698" t="s">
        <v>109</v>
      </c>
      <c r="H4698">
        <v>-158.85</v>
      </c>
      <c r="I4698">
        <v>62</v>
      </c>
      <c r="J4698">
        <v>-4.6100000000000003</v>
      </c>
      <c r="K4698">
        <v>75</v>
      </c>
      <c r="L4698">
        <v>-100.29</v>
      </c>
      <c r="M4698">
        <v>73</v>
      </c>
      <c r="N4698">
        <v>-44.75</v>
      </c>
      <c r="O4698">
        <v>43</v>
      </c>
      <c r="P4698">
        <v>-4.28</v>
      </c>
      <c r="Q4698">
        <v>36</v>
      </c>
      <c r="R4698">
        <v>-14.69</v>
      </c>
      <c r="S4698">
        <v>56</v>
      </c>
      <c r="T4698">
        <v>11.75</v>
      </c>
      <c r="U4698">
        <v>32</v>
      </c>
      <c r="V4698">
        <v>-1.98</v>
      </c>
      <c r="W4698">
        <v>26</v>
      </c>
      <c r="X4698" t="s">
        <v>747</v>
      </c>
      <c r="Y4698" t="s">
        <v>95</v>
      </c>
      <c r="Z4698" t="s">
        <v>96</v>
      </c>
      <c r="AA4698" t="s">
        <v>166</v>
      </c>
      <c r="AB4698" t="s">
        <v>3307</v>
      </c>
      <c r="AC4698">
        <v>0</v>
      </c>
      <c r="AD4698">
        <v>0</v>
      </c>
      <c r="AE4698">
        <v>75</v>
      </c>
      <c r="AF4698">
        <v>48.88</v>
      </c>
      <c r="AG4698">
        <v>2.33</v>
      </c>
      <c r="AH4698">
        <v>-0.86</v>
      </c>
      <c r="AI4698">
        <v>0.01</v>
      </c>
      <c r="AJ4698">
        <v>-0.04</v>
      </c>
      <c r="AK4698">
        <v>73</v>
      </c>
      <c r="AL4698">
        <v>0</v>
      </c>
      <c r="AM4698">
        <v>0</v>
      </c>
      <c r="AN4698">
        <v>6.08</v>
      </c>
      <c r="AO4698">
        <v>-1.91</v>
      </c>
      <c r="AP4698">
        <v>2</v>
      </c>
      <c r="AQ4698">
        <v>0</v>
      </c>
      <c r="AR4698">
        <v>13.1</v>
      </c>
      <c r="AS4698">
        <v>27</v>
      </c>
      <c r="AT4698">
        <v>5.92</v>
      </c>
      <c r="AU4698">
        <v>77</v>
      </c>
      <c r="AV4698">
        <v>-0.59</v>
      </c>
      <c r="AW4698">
        <v>34</v>
      </c>
      <c r="AX4698">
        <v>0.02</v>
      </c>
      <c r="AY4698">
        <v>33</v>
      </c>
      <c r="AZ4698">
        <v>6.07</v>
      </c>
      <c r="BA4698">
        <v>27</v>
      </c>
      <c r="BB4698">
        <v>4.5999999999999996</v>
      </c>
      <c r="BC4698">
        <v>28</v>
      </c>
      <c r="BD4698">
        <v>0.04</v>
      </c>
      <c r="BE4698">
        <v>0.09</v>
      </c>
      <c r="BF4698">
        <v>0.1</v>
      </c>
      <c r="BG4698">
        <v>81</v>
      </c>
      <c r="BH4698">
        <v>0.01</v>
      </c>
      <c r="BI4698">
        <v>7.54</v>
      </c>
      <c r="BJ4698">
        <v>0</v>
      </c>
      <c r="BK4698">
        <v>0</v>
      </c>
      <c r="BL4698">
        <v>-0.02</v>
      </c>
      <c r="BM4698">
        <v>7.0000000000000007E-2</v>
      </c>
      <c r="BN4698">
        <v>0.35</v>
      </c>
      <c r="BO4698">
        <v>0.16</v>
      </c>
      <c r="BP4698">
        <v>1.68</v>
      </c>
      <c r="BQ4698">
        <v>-1.89</v>
      </c>
      <c r="BR4698">
        <v>0.36</v>
      </c>
      <c r="BS4698">
        <v>-0.96</v>
      </c>
      <c r="BT4698">
        <v>-0.19</v>
      </c>
      <c r="BU4698">
        <v>-0.79</v>
      </c>
      <c r="BV4698">
        <v>-1.44</v>
      </c>
      <c r="BW4698">
        <v>-0.97</v>
      </c>
      <c r="BX4698">
        <v>-0.67</v>
      </c>
      <c r="BY4698">
        <v>-1.4</v>
      </c>
      <c r="BZ4698">
        <v>2.58</v>
      </c>
      <c r="CA4698">
        <v>-0.83</v>
      </c>
      <c r="CB4698">
        <v>-0.69</v>
      </c>
      <c r="CC4698">
        <v>-0.7</v>
      </c>
      <c r="CD4698">
        <v>-0.37</v>
      </c>
      <c r="CE4698">
        <v>0</v>
      </c>
      <c r="CF4698">
        <v>0</v>
      </c>
      <c r="CG4698">
        <v>0</v>
      </c>
      <c r="CH4698">
        <v>0</v>
      </c>
      <c r="CI4698">
        <v>0</v>
      </c>
      <c r="CJ4698">
        <v>-2</v>
      </c>
      <c r="CK4698">
        <v>37</v>
      </c>
      <c r="CL4698">
        <v>-0.53</v>
      </c>
      <c r="CM4698">
        <v>34</v>
      </c>
      <c r="CN4698">
        <v>-0.39</v>
      </c>
      <c r="CO4698">
        <v>32</v>
      </c>
      <c r="CP4698">
        <v>-4.0999999999999996</v>
      </c>
      <c r="CQ4698">
        <v>37</v>
      </c>
      <c r="CR4698">
        <v>0</v>
      </c>
      <c r="CS4698">
        <v>0</v>
      </c>
      <c r="CT4698">
        <v>-2.1</v>
      </c>
      <c r="CU4698">
        <v>32</v>
      </c>
      <c r="CV4698">
        <v>0.05</v>
      </c>
      <c r="CW4698">
        <v>10</v>
      </c>
      <c r="CX4698" t="s">
        <v>120</v>
      </c>
    </row>
    <row r="4699" spans="1:102" x14ac:dyDescent="0.3">
      <c r="A4699" t="str">
        <f>HYPERLINK("https://webapp.icbf.com/v2/app/bull-search/view/143421676","SPT")</f>
        <v>SPT</v>
      </c>
      <c r="B4699" t="s">
        <v>7479</v>
      </c>
      <c r="C4699" t="s">
        <v>7480</v>
      </c>
      <c r="D4699" s="1">
        <v>35732</v>
      </c>
      <c r="E4699" t="s">
        <v>92</v>
      </c>
      <c r="F4699">
        <v>100</v>
      </c>
      <c r="G4699" t="s">
        <v>93</v>
      </c>
      <c r="H4699">
        <v>-159.19</v>
      </c>
      <c r="I4699">
        <v>92</v>
      </c>
      <c r="J4699">
        <v>10.5</v>
      </c>
      <c r="K4699">
        <v>98</v>
      </c>
      <c r="L4699">
        <v>-140.94999999999999</v>
      </c>
      <c r="M4699">
        <v>91</v>
      </c>
      <c r="N4699">
        <v>-10.88</v>
      </c>
      <c r="O4699">
        <v>90</v>
      </c>
      <c r="P4699">
        <v>-2.21</v>
      </c>
      <c r="Q4699">
        <v>93</v>
      </c>
      <c r="R4699">
        <v>-12.83</v>
      </c>
      <c r="S4699">
        <v>85</v>
      </c>
      <c r="T4699">
        <v>-3.19</v>
      </c>
      <c r="U4699">
        <v>88</v>
      </c>
      <c r="V4699">
        <v>0.37</v>
      </c>
      <c r="W4699">
        <v>80</v>
      </c>
      <c r="X4699" t="s">
        <v>102</v>
      </c>
      <c r="Y4699" t="s">
        <v>95</v>
      </c>
      <c r="Z4699" t="s">
        <v>96</v>
      </c>
      <c r="AA4699" t="s">
        <v>1278</v>
      </c>
      <c r="AB4699" t="s">
        <v>7481</v>
      </c>
      <c r="AC4699">
        <v>190</v>
      </c>
      <c r="AD4699">
        <v>80</v>
      </c>
      <c r="AE4699">
        <v>98</v>
      </c>
      <c r="AF4699">
        <v>134.96</v>
      </c>
      <c r="AG4699">
        <v>1.5</v>
      </c>
      <c r="AH4699">
        <v>3.32</v>
      </c>
      <c r="AI4699">
        <v>-0.06</v>
      </c>
      <c r="AJ4699">
        <v>-0.02</v>
      </c>
      <c r="AK4699">
        <v>91</v>
      </c>
      <c r="AL4699">
        <v>169</v>
      </c>
      <c r="AM4699">
        <v>61</v>
      </c>
      <c r="AN4699">
        <v>6.2</v>
      </c>
      <c r="AO4699">
        <v>-5.0599999999999996</v>
      </c>
      <c r="AP4699">
        <v>334</v>
      </c>
      <c r="AQ4699">
        <v>2</v>
      </c>
      <c r="AR4699">
        <v>9.02</v>
      </c>
      <c r="AS4699">
        <v>89</v>
      </c>
      <c r="AT4699">
        <v>3.94</v>
      </c>
      <c r="AU4699">
        <v>90</v>
      </c>
      <c r="AV4699">
        <v>0.18</v>
      </c>
      <c r="AW4699">
        <v>96</v>
      </c>
      <c r="AX4699">
        <v>-0.02</v>
      </c>
      <c r="AY4699">
        <v>87</v>
      </c>
      <c r="AZ4699">
        <v>6.05</v>
      </c>
      <c r="BA4699">
        <v>78</v>
      </c>
      <c r="BB4699">
        <v>4.62</v>
      </c>
      <c r="BC4699">
        <v>76</v>
      </c>
      <c r="BD4699">
        <v>0.03</v>
      </c>
      <c r="BE4699">
        <v>0.05</v>
      </c>
      <c r="BF4699">
        <v>0.15</v>
      </c>
      <c r="BG4699">
        <v>93</v>
      </c>
      <c r="BH4699">
        <v>0.09</v>
      </c>
      <c r="BI4699">
        <v>9.23</v>
      </c>
      <c r="BJ4699">
        <v>44</v>
      </c>
      <c r="BK4699">
        <v>20</v>
      </c>
      <c r="BL4699">
        <v>0.87</v>
      </c>
      <c r="BM4699">
        <v>2</v>
      </c>
      <c r="BN4699">
        <v>2.29</v>
      </c>
      <c r="BO4699">
        <v>0.77</v>
      </c>
      <c r="BP4699">
        <v>-0.39</v>
      </c>
      <c r="BQ4699">
        <v>2.25</v>
      </c>
      <c r="BR4699">
        <v>0.38</v>
      </c>
      <c r="BS4699">
        <v>2.16</v>
      </c>
      <c r="BT4699">
        <v>-7.0000000000000007E-2</v>
      </c>
      <c r="BU4699">
        <v>0.75</v>
      </c>
      <c r="BV4699">
        <v>1.76</v>
      </c>
      <c r="BW4699">
        <v>2.0699999999999998</v>
      </c>
      <c r="BX4699">
        <v>-0.03</v>
      </c>
      <c r="BY4699">
        <v>3.45</v>
      </c>
      <c r="BZ4699">
        <v>-1.4</v>
      </c>
      <c r="CA4699">
        <v>1.78</v>
      </c>
      <c r="CB4699">
        <v>1.61</v>
      </c>
      <c r="CC4699">
        <v>1.24</v>
      </c>
      <c r="CD4699">
        <v>-0.06</v>
      </c>
      <c r="CE4699">
        <v>1.04</v>
      </c>
      <c r="CF4699">
        <v>1.61</v>
      </c>
      <c r="CG4699">
        <v>0</v>
      </c>
      <c r="CH4699">
        <v>3.57</v>
      </c>
      <c r="CI4699">
        <v>0</v>
      </c>
      <c r="CJ4699">
        <v>1.9</v>
      </c>
      <c r="CK4699">
        <v>94</v>
      </c>
      <c r="CL4699">
        <v>-0.86</v>
      </c>
      <c r="CM4699">
        <v>92</v>
      </c>
      <c r="CN4699">
        <v>-0.32</v>
      </c>
      <c r="CO4699">
        <v>91</v>
      </c>
      <c r="CP4699">
        <v>2</v>
      </c>
      <c r="CQ4699">
        <v>94</v>
      </c>
      <c r="CR4699">
        <v>0</v>
      </c>
      <c r="CS4699">
        <v>0</v>
      </c>
      <c r="CT4699">
        <v>18.100000000000001</v>
      </c>
      <c r="CU4699">
        <v>88</v>
      </c>
      <c r="CV4699">
        <v>0.23</v>
      </c>
      <c r="CW4699">
        <v>45</v>
      </c>
      <c r="CX4699" t="s">
        <v>105</v>
      </c>
    </row>
    <row r="4700" spans="1:102" x14ac:dyDescent="0.3">
      <c r="A4700" t="str">
        <f>HYPERLINK("https://webapp.icbf.com/v2/app/bull-search/view/156861674","S314")</f>
        <v>S314</v>
      </c>
      <c r="B4700" t="s">
        <v>144</v>
      </c>
      <c r="C4700" t="s">
        <v>4146</v>
      </c>
      <c r="D4700" s="1">
        <v>36162</v>
      </c>
      <c r="E4700" t="s">
        <v>895</v>
      </c>
      <c r="F4700">
        <v>0</v>
      </c>
      <c r="G4700" t="s">
        <v>93</v>
      </c>
      <c r="H4700">
        <v>-160.12</v>
      </c>
      <c r="I4700">
        <v>62</v>
      </c>
      <c r="J4700">
        <v>-36.799999999999997</v>
      </c>
      <c r="K4700">
        <v>85</v>
      </c>
      <c r="L4700">
        <v>-30.93</v>
      </c>
      <c r="M4700">
        <v>39</v>
      </c>
      <c r="N4700">
        <v>-104.79</v>
      </c>
      <c r="O4700">
        <v>59</v>
      </c>
      <c r="P4700">
        <v>6.08</v>
      </c>
      <c r="Q4700">
        <v>81</v>
      </c>
      <c r="R4700">
        <v>5.81</v>
      </c>
      <c r="S4700">
        <v>46</v>
      </c>
      <c r="T4700">
        <v>4.0599999999999996</v>
      </c>
      <c r="U4700">
        <v>71</v>
      </c>
      <c r="V4700">
        <v>-3.55</v>
      </c>
      <c r="W4700">
        <v>24</v>
      </c>
      <c r="X4700" t="s">
        <v>276</v>
      </c>
      <c r="Y4700" t="s">
        <v>95</v>
      </c>
      <c r="Z4700">
        <v>0</v>
      </c>
      <c r="AA4700" t="s">
        <v>2771</v>
      </c>
      <c r="AB4700" t="s">
        <v>4147</v>
      </c>
      <c r="AC4700">
        <v>32</v>
      </c>
      <c r="AD4700">
        <v>22</v>
      </c>
      <c r="AE4700">
        <v>85</v>
      </c>
      <c r="AF4700">
        <v>-449.77</v>
      </c>
      <c r="AG4700">
        <v>-5.07</v>
      </c>
      <c r="AH4700">
        <v>-11.35</v>
      </c>
      <c r="AI4700">
        <v>0.22</v>
      </c>
      <c r="AJ4700">
        <v>7.0000000000000007E-2</v>
      </c>
      <c r="AK4700">
        <v>39</v>
      </c>
      <c r="AL4700">
        <v>32</v>
      </c>
      <c r="AM4700">
        <v>18</v>
      </c>
      <c r="AN4700">
        <v>2.2200000000000002</v>
      </c>
      <c r="AO4700">
        <v>-0.24</v>
      </c>
      <c r="AP4700">
        <v>61</v>
      </c>
      <c r="AQ4700">
        <v>0</v>
      </c>
      <c r="AR4700">
        <v>16.670000000000002</v>
      </c>
      <c r="AS4700">
        <v>34</v>
      </c>
      <c r="AT4700">
        <v>6.36</v>
      </c>
      <c r="AU4700">
        <v>60</v>
      </c>
      <c r="AV4700">
        <v>4.4400000000000004</v>
      </c>
      <c r="AW4700">
        <v>77</v>
      </c>
      <c r="AX4700">
        <v>0.52</v>
      </c>
      <c r="AY4700">
        <v>53</v>
      </c>
      <c r="AZ4700">
        <v>4.88</v>
      </c>
      <c r="BA4700">
        <v>24</v>
      </c>
      <c r="BB4700">
        <v>3.9</v>
      </c>
      <c r="BC4700">
        <v>27</v>
      </c>
      <c r="BD4700">
        <v>-0.01</v>
      </c>
      <c r="BE4700">
        <v>-0.03</v>
      </c>
      <c r="BF4700">
        <v>-0.06</v>
      </c>
      <c r="BG4700">
        <v>58</v>
      </c>
      <c r="BH4700">
        <v>-0.1</v>
      </c>
      <c r="BI4700">
        <v>-0.13</v>
      </c>
      <c r="BJ4700">
        <v>0</v>
      </c>
      <c r="BK4700">
        <v>0</v>
      </c>
      <c r="BL4700">
        <v>-0.69</v>
      </c>
      <c r="BM4700">
        <v>0.9</v>
      </c>
      <c r="BN4700">
        <v>-0.6</v>
      </c>
      <c r="BO4700">
        <v>-1.02</v>
      </c>
      <c r="BP4700">
        <v>0.43</v>
      </c>
      <c r="BQ4700">
        <v>0.05</v>
      </c>
      <c r="BR4700">
        <v>0.49</v>
      </c>
      <c r="BS4700">
        <v>-0.36</v>
      </c>
      <c r="BT4700">
        <v>-0.27</v>
      </c>
      <c r="BU4700">
        <v>-0.64</v>
      </c>
      <c r="BV4700">
        <v>-1.44</v>
      </c>
      <c r="BW4700">
        <v>-1.3</v>
      </c>
      <c r="BX4700">
        <v>-0.35</v>
      </c>
      <c r="BY4700">
        <v>-0.67</v>
      </c>
      <c r="BZ4700">
        <v>-0.19</v>
      </c>
      <c r="CA4700">
        <v>-1.1499999999999999</v>
      </c>
      <c r="CB4700">
        <v>-1.1499999999999999</v>
      </c>
      <c r="CC4700">
        <v>-0.7</v>
      </c>
      <c r="CD4700">
        <v>0.93</v>
      </c>
      <c r="CE4700">
        <v>-1.05</v>
      </c>
      <c r="CF4700">
        <v>-0.8</v>
      </c>
      <c r="CG4700">
        <v>0</v>
      </c>
      <c r="CH4700">
        <v>-1.1499999999999999</v>
      </c>
      <c r="CI4700">
        <v>0</v>
      </c>
      <c r="CJ4700">
        <v>6.3</v>
      </c>
      <c r="CK4700">
        <v>83</v>
      </c>
      <c r="CL4700">
        <v>-0.32</v>
      </c>
      <c r="CM4700">
        <v>79</v>
      </c>
      <c r="CN4700">
        <v>-0.02</v>
      </c>
      <c r="CO4700">
        <v>76</v>
      </c>
      <c r="CP4700">
        <v>3</v>
      </c>
      <c r="CQ4700">
        <v>75</v>
      </c>
      <c r="CR4700">
        <v>0</v>
      </c>
      <c r="CS4700">
        <v>0</v>
      </c>
      <c r="CT4700">
        <v>8.3000000000000007</v>
      </c>
      <c r="CU4700">
        <v>71</v>
      </c>
      <c r="CV4700">
        <v>0.13</v>
      </c>
      <c r="CW4700">
        <v>22</v>
      </c>
      <c r="CX4700" t="s">
        <v>1286</v>
      </c>
    </row>
    <row r="4701" spans="1:102" x14ac:dyDescent="0.3">
      <c r="A4701" t="str">
        <f>HYPERLINK("https://webapp.icbf.com/v2/app/bull-search/view/585455046","KTW")</f>
        <v>KTW</v>
      </c>
      <c r="B4701" t="s">
        <v>1558</v>
      </c>
      <c r="C4701" t="s">
        <v>1559</v>
      </c>
      <c r="D4701" s="1">
        <v>37669</v>
      </c>
      <c r="E4701" t="s">
        <v>92</v>
      </c>
      <c r="F4701">
        <v>100</v>
      </c>
      <c r="G4701" t="s">
        <v>109</v>
      </c>
      <c r="H4701">
        <v>-160.13</v>
      </c>
      <c r="I4701">
        <v>73</v>
      </c>
      <c r="J4701">
        <v>1.37</v>
      </c>
      <c r="K4701">
        <v>86</v>
      </c>
      <c r="L4701">
        <v>-156.94999999999999</v>
      </c>
      <c r="M4701">
        <v>82</v>
      </c>
      <c r="N4701">
        <v>6.29</v>
      </c>
      <c r="O4701">
        <v>57</v>
      </c>
      <c r="P4701">
        <v>-9.14</v>
      </c>
      <c r="Q4701">
        <v>56</v>
      </c>
      <c r="R4701">
        <v>0.48</v>
      </c>
      <c r="S4701">
        <v>61</v>
      </c>
      <c r="T4701">
        <v>1.76</v>
      </c>
      <c r="U4701">
        <v>48</v>
      </c>
      <c r="V4701">
        <v>-3.94</v>
      </c>
      <c r="W4701">
        <v>23</v>
      </c>
      <c r="X4701" t="s">
        <v>94</v>
      </c>
      <c r="Y4701" t="s">
        <v>270</v>
      </c>
      <c r="Z4701" t="s">
        <v>96</v>
      </c>
      <c r="AA4701" t="s">
        <v>1216</v>
      </c>
      <c r="AB4701" t="s">
        <v>1560</v>
      </c>
      <c r="AC4701">
        <v>0</v>
      </c>
      <c r="AD4701">
        <v>0</v>
      </c>
      <c r="AE4701">
        <v>86</v>
      </c>
      <c r="AF4701">
        <v>464.28</v>
      </c>
      <c r="AG4701">
        <v>4.6900000000000004</v>
      </c>
      <c r="AH4701">
        <v>5.68</v>
      </c>
      <c r="AI4701">
        <v>-0.21</v>
      </c>
      <c r="AJ4701">
        <v>-0.16</v>
      </c>
      <c r="AK4701">
        <v>82</v>
      </c>
      <c r="AL4701">
        <v>0</v>
      </c>
      <c r="AM4701">
        <v>0</v>
      </c>
      <c r="AN4701">
        <v>8.26</v>
      </c>
      <c r="AO4701">
        <v>-4.26</v>
      </c>
      <c r="AP4701">
        <v>22</v>
      </c>
      <c r="AQ4701">
        <v>0</v>
      </c>
      <c r="AR4701">
        <v>8.5500000000000007</v>
      </c>
      <c r="AS4701">
        <v>33</v>
      </c>
      <c r="AT4701">
        <v>3.98</v>
      </c>
      <c r="AU4701">
        <v>89</v>
      </c>
      <c r="AV4701">
        <v>-2.72</v>
      </c>
      <c r="AW4701">
        <v>59</v>
      </c>
      <c r="AX4701">
        <v>0.99</v>
      </c>
      <c r="AY4701">
        <v>39</v>
      </c>
      <c r="AZ4701">
        <v>6.55</v>
      </c>
      <c r="BA4701">
        <v>29</v>
      </c>
      <c r="BB4701">
        <v>5.34</v>
      </c>
      <c r="BC4701">
        <v>27</v>
      </c>
      <c r="BD4701">
        <v>0.03</v>
      </c>
      <c r="BE4701">
        <v>0.01</v>
      </c>
      <c r="BF4701">
        <v>-0.08</v>
      </c>
      <c r="BG4701">
        <v>89</v>
      </c>
      <c r="BH4701">
        <v>-0.18</v>
      </c>
      <c r="BI4701">
        <v>-8.1199999999999992</v>
      </c>
      <c r="BJ4701">
        <v>7</v>
      </c>
      <c r="BK4701">
        <v>5</v>
      </c>
      <c r="BL4701">
        <v>1.88</v>
      </c>
      <c r="BM4701">
        <v>-0.34</v>
      </c>
      <c r="BN4701">
        <v>1.1499999999999999</v>
      </c>
      <c r="BO4701">
        <v>1.39</v>
      </c>
      <c r="BP4701">
        <v>-0.43</v>
      </c>
      <c r="BQ4701">
        <v>-1.02</v>
      </c>
      <c r="BR4701">
        <v>-0.67</v>
      </c>
      <c r="BS4701">
        <v>1.18</v>
      </c>
      <c r="BT4701">
        <v>1.21</v>
      </c>
      <c r="BU4701">
        <v>1.72</v>
      </c>
      <c r="BV4701">
        <v>2.08</v>
      </c>
      <c r="BW4701">
        <v>2.61</v>
      </c>
      <c r="BX4701">
        <v>1.7</v>
      </c>
      <c r="BY4701">
        <v>3.22</v>
      </c>
      <c r="BZ4701">
        <v>-2.0099999999999998</v>
      </c>
      <c r="CA4701">
        <v>2.35</v>
      </c>
      <c r="CB4701">
        <v>2.11</v>
      </c>
      <c r="CC4701">
        <v>1.69</v>
      </c>
      <c r="CD4701">
        <v>-1.05</v>
      </c>
      <c r="CE4701">
        <v>1.18</v>
      </c>
      <c r="CF4701">
        <v>0.9</v>
      </c>
      <c r="CG4701">
        <v>0</v>
      </c>
      <c r="CH4701">
        <v>2.29</v>
      </c>
      <c r="CI4701">
        <v>0</v>
      </c>
      <c r="CJ4701">
        <v>-1.8</v>
      </c>
      <c r="CK4701">
        <v>58</v>
      </c>
      <c r="CL4701">
        <v>-1.42</v>
      </c>
      <c r="CM4701">
        <v>54</v>
      </c>
      <c r="CN4701">
        <v>-0.71</v>
      </c>
      <c r="CO4701">
        <v>50</v>
      </c>
      <c r="CP4701">
        <v>-2.1</v>
      </c>
      <c r="CQ4701">
        <v>57</v>
      </c>
      <c r="CR4701">
        <v>0</v>
      </c>
      <c r="CS4701">
        <v>0</v>
      </c>
      <c r="CT4701">
        <v>11.4</v>
      </c>
      <c r="CU4701">
        <v>48</v>
      </c>
      <c r="CV4701">
        <v>0.41</v>
      </c>
      <c r="CW4701">
        <v>15</v>
      </c>
      <c r="CX4701" t="s">
        <v>289</v>
      </c>
    </row>
    <row r="4702" spans="1:102" x14ac:dyDescent="0.3">
      <c r="A4702" t="str">
        <f>HYPERLINK("https://webapp.icbf.com/v2/app/bull-search/view/1069651103","S1554")</f>
        <v>S1554</v>
      </c>
      <c r="B4702" t="s">
        <v>7598</v>
      </c>
      <c r="C4702" t="s">
        <v>7599</v>
      </c>
      <c r="D4702" s="1">
        <v>40685</v>
      </c>
      <c r="E4702" t="s">
        <v>92</v>
      </c>
      <c r="F4702">
        <v>100</v>
      </c>
      <c r="G4702" t="s">
        <v>109</v>
      </c>
      <c r="H4702">
        <v>-160.65</v>
      </c>
      <c r="I4702">
        <v>81</v>
      </c>
      <c r="J4702">
        <v>23.9</v>
      </c>
      <c r="K4702">
        <v>94</v>
      </c>
      <c r="L4702">
        <v>-153.62</v>
      </c>
      <c r="M4702">
        <v>83</v>
      </c>
      <c r="N4702">
        <v>-8.5299999999999994</v>
      </c>
      <c r="O4702">
        <v>67</v>
      </c>
      <c r="P4702">
        <v>-12.61</v>
      </c>
      <c r="Q4702">
        <v>67</v>
      </c>
      <c r="R4702">
        <v>-6.07</v>
      </c>
      <c r="S4702">
        <v>76</v>
      </c>
      <c r="T4702">
        <v>-7.93</v>
      </c>
      <c r="U4702">
        <v>60</v>
      </c>
      <c r="V4702">
        <v>4.21</v>
      </c>
      <c r="W4702">
        <v>61</v>
      </c>
      <c r="X4702" t="s">
        <v>251</v>
      </c>
      <c r="Y4702" t="s">
        <v>362</v>
      </c>
      <c r="Z4702" t="s">
        <v>96</v>
      </c>
      <c r="AA4702" t="s">
        <v>5328</v>
      </c>
      <c r="AB4702" t="s">
        <v>7600</v>
      </c>
      <c r="AC4702">
        <v>22</v>
      </c>
      <c r="AD4702">
        <v>11</v>
      </c>
      <c r="AE4702">
        <v>94</v>
      </c>
      <c r="AF4702">
        <v>425.03</v>
      </c>
      <c r="AG4702">
        <v>9.02</v>
      </c>
      <c r="AH4702">
        <v>7.38</v>
      </c>
      <c r="AI4702">
        <v>-0.12</v>
      </c>
      <c r="AJ4702">
        <v>-0.11</v>
      </c>
      <c r="AK4702">
        <v>83</v>
      </c>
      <c r="AL4702">
        <v>0</v>
      </c>
      <c r="AM4702">
        <v>0</v>
      </c>
      <c r="AN4702">
        <v>8.4700000000000006</v>
      </c>
      <c r="AO4702">
        <v>-3.78</v>
      </c>
      <c r="AP4702">
        <v>28</v>
      </c>
      <c r="AQ4702">
        <v>0</v>
      </c>
      <c r="AR4702">
        <v>10.46</v>
      </c>
      <c r="AS4702">
        <v>64</v>
      </c>
      <c r="AT4702">
        <v>4.68</v>
      </c>
      <c r="AU4702">
        <v>87</v>
      </c>
      <c r="AV4702">
        <v>-1.94</v>
      </c>
      <c r="AW4702">
        <v>64</v>
      </c>
      <c r="AX4702">
        <v>0.87</v>
      </c>
      <c r="AY4702">
        <v>58</v>
      </c>
      <c r="AZ4702">
        <v>5.38</v>
      </c>
      <c r="BA4702">
        <v>50</v>
      </c>
      <c r="BB4702">
        <v>4.63</v>
      </c>
      <c r="BC4702">
        <v>49</v>
      </c>
      <c r="BD4702">
        <v>-0.02</v>
      </c>
      <c r="BE4702">
        <v>-0.03</v>
      </c>
      <c r="BF4702">
        <v>0.23</v>
      </c>
      <c r="BG4702">
        <v>90</v>
      </c>
      <c r="BH4702">
        <v>-0.09</v>
      </c>
      <c r="BI4702">
        <v>-23.98</v>
      </c>
      <c r="BJ4702">
        <v>9</v>
      </c>
      <c r="BK4702">
        <v>5</v>
      </c>
      <c r="BL4702">
        <v>2.31</v>
      </c>
      <c r="BM4702">
        <v>-1.89</v>
      </c>
      <c r="BN4702">
        <v>1.1399999999999999</v>
      </c>
      <c r="BO4702">
        <v>2.2200000000000002</v>
      </c>
      <c r="BP4702">
        <v>-3.53</v>
      </c>
      <c r="BQ4702">
        <v>3.23</v>
      </c>
      <c r="BR4702">
        <v>0.61</v>
      </c>
      <c r="BS4702">
        <v>1.5</v>
      </c>
      <c r="BT4702">
        <v>1.21</v>
      </c>
      <c r="BU4702">
        <v>3.47</v>
      </c>
      <c r="BV4702">
        <v>3.71</v>
      </c>
      <c r="BW4702">
        <v>2.58</v>
      </c>
      <c r="BX4702">
        <v>2.73</v>
      </c>
      <c r="BY4702">
        <v>1.39</v>
      </c>
      <c r="BZ4702">
        <v>-0.49</v>
      </c>
      <c r="CA4702">
        <v>2.96</v>
      </c>
      <c r="CB4702">
        <v>3.04</v>
      </c>
      <c r="CC4702">
        <v>1.02</v>
      </c>
      <c r="CD4702">
        <v>-2.1800000000000002</v>
      </c>
      <c r="CE4702">
        <v>1.77</v>
      </c>
      <c r="CF4702">
        <v>1.74</v>
      </c>
      <c r="CG4702">
        <v>0</v>
      </c>
      <c r="CH4702">
        <v>1.77</v>
      </c>
      <c r="CI4702">
        <v>0</v>
      </c>
      <c r="CJ4702">
        <v>-5</v>
      </c>
      <c r="CK4702">
        <v>69</v>
      </c>
      <c r="CL4702">
        <v>-1.67</v>
      </c>
      <c r="CM4702">
        <v>65</v>
      </c>
      <c r="CN4702">
        <v>-0.92</v>
      </c>
      <c r="CO4702">
        <v>63</v>
      </c>
      <c r="CP4702">
        <v>5</v>
      </c>
      <c r="CQ4702">
        <v>62</v>
      </c>
      <c r="CR4702">
        <v>0</v>
      </c>
      <c r="CS4702">
        <v>0</v>
      </c>
      <c r="CT4702">
        <v>24.5</v>
      </c>
      <c r="CU4702">
        <v>60</v>
      </c>
      <c r="CV4702">
        <v>0.22</v>
      </c>
      <c r="CW4702">
        <v>39</v>
      </c>
      <c r="CX4702" t="s">
        <v>309</v>
      </c>
    </row>
    <row r="4703" spans="1:102" x14ac:dyDescent="0.3">
      <c r="A4703" t="str">
        <f>HYPERLINK("https://webapp.icbf.com/v2/app/bull-search/view/69091852","HFA")</f>
        <v>HFA</v>
      </c>
      <c r="B4703" t="s">
        <v>10460</v>
      </c>
      <c r="C4703" t="s">
        <v>10461</v>
      </c>
      <c r="D4703" s="1">
        <v>36396</v>
      </c>
      <c r="E4703" t="s">
        <v>92</v>
      </c>
      <c r="F4703">
        <v>100</v>
      </c>
      <c r="G4703" t="s">
        <v>116</v>
      </c>
      <c r="H4703">
        <v>-160.97</v>
      </c>
      <c r="I4703">
        <v>31</v>
      </c>
      <c r="J4703">
        <v>-8.36</v>
      </c>
      <c r="K4703">
        <v>31</v>
      </c>
      <c r="L4703">
        <v>-132.72999999999999</v>
      </c>
      <c r="M4703">
        <v>28</v>
      </c>
      <c r="N4703">
        <v>-12.68</v>
      </c>
      <c r="O4703">
        <v>33</v>
      </c>
      <c r="P4703">
        <v>-1.81</v>
      </c>
      <c r="Q4703">
        <v>37</v>
      </c>
      <c r="R4703">
        <v>-3.64</v>
      </c>
      <c r="S4703">
        <v>32</v>
      </c>
      <c r="T4703">
        <v>-0.16</v>
      </c>
      <c r="U4703">
        <v>33</v>
      </c>
      <c r="V4703">
        <v>-1.59</v>
      </c>
      <c r="W4703">
        <v>28</v>
      </c>
      <c r="X4703" t="s">
        <v>94</v>
      </c>
      <c r="Y4703" t="s">
        <v>1006</v>
      </c>
      <c r="Z4703" t="s">
        <v>96</v>
      </c>
      <c r="AA4703" t="s">
        <v>3279</v>
      </c>
      <c r="AB4703" t="s">
        <v>10462</v>
      </c>
      <c r="AC4703">
        <v>2</v>
      </c>
      <c r="AD4703">
        <v>2</v>
      </c>
      <c r="AE4703">
        <v>31</v>
      </c>
      <c r="AF4703">
        <v>96.62</v>
      </c>
      <c r="AG4703">
        <v>1.83</v>
      </c>
      <c r="AH4703">
        <v>-0.59</v>
      </c>
      <c r="AI4703">
        <v>-0.03</v>
      </c>
      <c r="AJ4703">
        <v>-0.06</v>
      </c>
      <c r="AK4703">
        <v>28</v>
      </c>
      <c r="AL4703">
        <v>2</v>
      </c>
      <c r="AM4703">
        <v>2</v>
      </c>
      <c r="AN4703">
        <v>6.83</v>
      </c>
      <c r="AO4703">
        <v>-3.76</v>
      </c>
      <c r="AP4703">
        <v>2</v>
      </c>
      <c r="AQ4703">
        <v>1</v>
      </c>
      <c r="AR4703">
        <v>10.039999999999999</v>
      </c>
      <c r="AS4703">
        <v>26</v>
      </c>
      <c r="AT4703">
        <v>4.3600000000000003</v>
      </c>
      <c r="AU4703">
        <v>36</v>
      </c>
      <c r="AV4703">
        <v>-0.73</v>
      </c>
      <c r="AW4703">
        <v>35</v>
      </c>
      <c r="AX4703">
        <v>0.19</v>
      </c>
      <c r="AY4703">
        <v>35</v>
      </c>
      <c r="AZ4703">
        <v>5.96</v>
      </c>
      <c r="BA4703">
        <v>25</v>
      </c>
      <c r="BB4703">
        <v>4.7699999999999996</v>
      </c>
      <c r="BC4703">
        <v>27</v>
      </c>
      <c r="BD4703">
        <v>0.01</v>
      </c>
      <c r="BE4703">
        <v>0.03</v>
      </c>
      <c r="BF4703">
        <v>0.01</v>
      </c>
      <c r="BG4703">
        <v>36</v>
      </c>
      <c r="BH4703">
        <v>0.05</v>
      </c>
      <c r="BI4703">
        <v>10.92</v>
      </c>
      <c r="BJ4703">
        <v>0</v>
      </c>
      <c r="BK4703">
        <v>0</v>
      </c>
      <c r="BL4703">
        <v>0.43</v>
      </c>
      <c r="BM4703">
        <v>-0.7</v>
      </c>
      <c r="BN4703">
        <v>-0.14000000000000001</v>
      </c>
      <c r="BO4703">
        <v>0.5</v>
      </c>
      <c r="BP4703">
        <v>-0.16</v>
      </c>
      <c r="BQ4703">
        <v>-0.33</v>
      </c>
      <c r="BR4703">
        <v>0.33</v>
      </c>
      <c r="BS4703">
        <v>-0.38</v>
      </c>
      <c r="BT4703">
        <v>0.09</v>
      </c>
      <c r="BU4703">
        <v>-0.13</v>
      </c>
      <c r="BV4703">
        <v>-0.05</v>
      </c>
      <c r="BW4703">
        <v>-0.11</v>
      </c>
      <c r="BX4703">
        <v>-0.19</v>
      </c>
      <c r="BY4703">
        <v>0.15</v>
      </c>
      <c r="BZ4703">
        <v>-1.27</v>
      </c>
      <c r="CA4703">
        <v>-0.06</v>
      </c>
      <c r="CB4703">
        <v>0.11</v>
      </c>
      <c r="CC4703">
        <v>-0.43</v>
      </c>
      <c r="CD4703">
        <v>-0.5</v>
      </c>
      <c r="CE4703">
        <v>0.6</v>
      </c>
      <c r="CF4703">
        <v>-0.14000000000000001</v>
      </c>
      <c r="CG4703">
        <v>0</v>
      </c>
      <c r="CH4703">
        <v>0.2</v>
      </c>
      <c r="CI4703">
        <v>0</v>
      </c>
      <c r="CJ4703">
        <v>2.2999999999999998</v>
      </c>
      <c r="CK4703">
        <v>38</v>
      </c>
      <c r="CL4703">
        <v>-0.72</v>
      </c>
      <c r="CM4703">
        <v>36</v>
      </c>
      <c r="CN4703">
        <v>-0.2</v>
      </c>
      <c r="CO4703">
        <v>34</v>
      </c>
      <c r="CP4703">
        <v>0.7</v>
      </c>
      <c r="CQ4703">
        <v>36</v>
      </c>
      <c r="CR4703">
        <v>0</v>
      </c>
      <c r="CS4703">
        <v>0</v>
      </c>
      <c r="CT4703">
        <v>14</v>
      </c>
      <c r="CU4703">
        <v>33</v>
      </c>
      <c r="CV4703">
        <v>0.26</v>
      </c>
      <c r="CW4703">
        <v>11</v>
      </c>
      <c r="CX4703" t="s">
        <v>188</v>
      </c>
    </row>
    <row r="4704" spans="1:102" x14ac:dyDescent="0.3">
      <c r="A4704" t="str">
        <f>HYPERLINK("https://webapp.icbf.com/v2/app/bull-search/view/77858674","CVO")</f>
        <v>CVO</v>
      </c>
      <c r="B4704" t="s">
        <v>7053</v>
      </c>
      <c r="C4704" t="s">
        <v>7054</v>
      </c>
      <c r="D4704" s="1">
        <v>33569</v>
      </c>
      <c r="E4704" t="s">
        <v>92</v>
      </c>
      <c r="F4704">
        <v>100</v>
      </c>
      <c r="G4704" t="s">
        <v>109</v>
      </c>
      <c r="H4704">
        <v>-161.25</v>
      </c>
      <c r="I4704">
        <v>78</v>
      </c>
      <c r="J4704">
        <v>-5.88</v>
      </c>
      <c r="K4704">
        <v>92</v>
      </c>
      <c r="L4704">
        <v>-153.76</v>
      </c>
      <c r="M4704">
        <v>82</v>
      </c>
      <c r="N4704">
        <v>15.36</v>
      </c>
      <c r="O4704">
        <v>60</v>
      </c>
      <c r="P4704">
        <v>-9.98</v>
      </c>
      <c r="Q4704">
        <v>69</v>
      </c>
      <c r="R4704">
        <v>-16.82</v>
      </c>
      <c r="S4704">
        <v>68</v>
      </c>
      <c r="T4704">
        <v>13.09</v>
      </c>
      <c r="U4704">
        <v>66</v>
      </c>
      <c r="V4704">
        <v>-3.26</v>
      </c>
      <c r="W4704">
        <v>35</v>
      </c>
      <c r="X4704" t="s">
        <v>110</v>
      </c>
      <c r="Y4704" t="s">
        <v>95</v>
      </c>
      <c r="Z4704" t="s">
        <v>96</v>
      </c>
      <c r="AA4704" t="s">
        <v>132</v>
      </c>
      <c r="AB4704" t="s">
        <v>7055</v>
      </c>
      <c r="AC4704">
        <v>38</v>
      </c>
      <c r="AD4704">
        <v>21</v>
      </c>
      <c r="AE4704">
        <v>92</v>
      </c>
      <c r="AF4704">
        <v>164.02</v>
      </c>
      <c r="AG4704">
        <v>2.46</v>
      </c>
      <c r="AH4704">
        <v>0.64</v>
      </c>
      <c r="AI4704">
        <v>-0.06</v>
      </c>
      <c r="AJ4704">
        <v>-0.08</v>
      </c>
      <c r="AK4704">
        <v>82</v>
      </c>
      <c r="AL4704">
        <v>37</v>
      </c>
      <c r="AM4704">
        <v>21</v>
      </c>
      <c r="AN4704">
        <v>8.58</v>
      </c>
      <c r="AO4704">
        <v>-3.68</v>
      </c>
      <c r="AP4704">
        <v>8</v>
      </c>
      <c r="AQ4704">
        <v>1</v>
      </c>
      <c r="AR4704">
        <v>5.86</v>
      </c>
      <c r="AS4704">
        <v>45</v>
      </c>
      <c r="AT4704">
        <v>2.62</v>
      </c>
      <c r="AU4704">
        <v>87</v>
      </c>
      <c r="AV4704">
        <v>-0.96</v>
      </c>
      <c r="AW4704">
        <v>52</v>
      </c>
      <c r="AX4704">
        <v>-0.84</v>
      </c>
      <c r="AY4704">
        <v>65</v>
      </c>
      <c r="AZ4704">
        <v>7.41</v>
      </c>
      <c r="BA4704">
        <v>39</v>
      </c>
      <c r="BB4704">
        <v>5.24</v>
      </c>
      <c r="BC4704">
        <v>46</v>
      </c>
      <c r="BD4704">
        <v>0.04</v>
      </c>
      <c r="BE4704">
        <v>0.1</v>
      </c>
      <c r="BF4704">
        <v>0.13</v>
      </c>
      <c r="BG4704">
        <v>87</v>
      </c>
      <c r="BH4704">
        <v>-0.03</v>
      </c>
      <c r="BI4704">
        <v>7.05</v>
      </c>
      <c r="BJ4704">
        <v>1</v>
      </c>
      <c r="BK4704">
        <v>1</v>
      </c>
      <c r="BL4704">
        <v>0.34</v>
      </c>
      <c r="BM4704">
        <v>-0.01</v>
      </c>
      <c r="BN4704">
        <v>0.76</v>
      </c>
      <c r="BO4704">
        <v>0.55000000000000004</v>
      </c>
      <c r="BP4704">
        <v>0.8</v>
      </c>
      <c r="BQ4704">
        <v>-1.26</v>
      </c>
      <c r="BR4704">
        <v>-1.05</v>
      </c>
      <c r="BS4704">
        <v>1.71</v>
      </c>
      <c r="BT4704">
        <v>1.1299999999999999</v>
      </c>
      <c r="BU4704">
        <v>0.11</v>
      </c>
      <c r="BV4704">
        <v>0.61</v>
      </c>
      <c r="BW4704">
        <v>-0.53</v>
      </c>
      <c r="BX4704">
        <v>-0.42</v>
      </c>
      <c r="BY4704">
        <v>0.05</v>
      </c>
      <c r="BZ4704">
        <v>-0.1</v>
      </c>
      <c r="CA4704">
        <v>0.7</v>
      </c>
      <c r="CB4704">
        <v>7.0000000000000007E-2</v>
      </c>
      <c r="CC4704">
        <v>1.72</v>
      </c>
      <c r="CD4704">
        <v>-0.3</v>
      </c>
      <c r="CE4704">
        <v>0.8</v>
      </c>
      <c r="CF4704">
        <v>0.05</v>
      </c>
      <c r="CG4704">
        <v>0</v>
      </c>
      <c r="CH4704">
        <v>0.66</v>
      </c>
      <c r="CI4704">
        <v>0</v>
      </c>
      <c r="CJ4704">
        <v>-4</v>
      </c>
      <c r="CK4704">
        <v>70</v>
      </c>
      <c r="CL4704">
        <v>-0.52</v>
      </c>
      <c r="CM4704">
        <v>66</v>
      </c>
      <c r="CN4704">
        <v>-0.17</v>
      </c>
      <c r="CO4704">
        <v>61</v>
      </c>
      <c r="CP4704">
        <v>-7.2</v>
      </c>
      <c r="CQ4704">
        <v>80</v>
      </c>
      <c r="CR4704">
        <v>0</v>
      </c>
      <c r="CS4704">
        <v>0</v>
      </c>
      <c r="CT4704">
        <v>-3.9</v>
      </c>
      <c r="CU4704">
        <v>66</v>
      </c>
      <c r="CV4704">
        <v>0.03</v>
      </c>
      <c r="CW4704">
        <v>19</v>
      </c>
      <c r="CX4704" t="s">
        <v>166</v>
      </c>
    </row>
    <row r="4705" spans="1:102" x14ac:dyDescent="0.3">
      <c r="A4705" t="str">
        <f>HYPERLINK("https://webapp.icbf.com/v2/app/bull-search/view/77853739","SDB")</f>
        <v>SDB</v>
      </c>
      <c r="B4705" t="s">
        <v>7383</v>
      </c>
      <c r="C4705" t="s">
        <v>7384</v>
      </c>
      <c r="D4705" s="1">
        <v>35118</v>
      </c>
      <c r="E4705" t="s">
        <v>92</v>
      </c>
      <c r="F4705">
        <v>100</v>
      </c>
      <c r="G4705" t="s">
        <v>93</v>
      </c>
      <c r="H4705">
        <v>-161.51</v>
      </c>
      <c r="I4705">
        <v>78</v>
      </c>
      <c r="J4705">
        <v>11.76</v>
      </c>
      <c r="K4705">
        <v>96</v>
      </c>
      <c r="L4705">
        <v>-155.32</v>
      </c>
      <c r="M4705">
        <v>68</v>
      </c>
      <c r="N4705">
        <v>-0.08</v>
      </c>
      <c r="O4705">
        <v>65</v>
      </c>
      <c r="P4705">
        <v>-19.37</v>
      </c>
      <c r="Q4705">
        <v>83</v>
      </c>
      <c r="R4705">
        <v>-15.85</v>
      </c>
      <c r="S4705">
        <v>70</v>
      </c>
      <c r="T4705">
        <v>23.82</v>
      </c>
      <c r="U4705">
        <v>84</v>
      </c>
      <c r="V4705">
        <v>-6.47</v>
      </c>
      <c r="W4705">
        <v>38</v>
      </c>
      <c r="X4705" t="s">
        <v>94</v>
      </c>
      <c r="Y4705" t="s">
        <v>95</v>
      </c>
      <c r="Z4705" t="s">
        <v>96</v>
      </c>
      <c r="AA4705" t="s">
        <v>2855</v>
      </c>
      <c r="AB4705" t="s">
        <v>7385</v>
      </c>
      <c r="AC4705">
        <v>129</v>
      </c>
      <c r="AD4705">
        <v>104</v>
      </c>
      <c r="AE4705">
        <v>96</v>
      </c>
      <c r="AF4705">
        <v>-20.05</v>
      </c>
      <c r="AG4705">
        <v>12.28</v>
      </c>
      <c r="AH4705">
        <v>-2.65</v>
      </c>
      <c r="AI4705">
        <v>0.22</v>
      </c>
      <c r="AJ4705">
        <v>-0.03</v>
      </c>
      <c r="AK4705">
        <v>68</v>
      </c>
      <c r="AL4705">
        <v>134</v>
      </c>
      <c r="AM4705">
        <v>107</v>
      </c>
      <c r="AN4705">
        <v>8.23</v>
      </c>
      <c r="AO4705">
        <v>-4.16</v>
      </c>
      <c r="AP4705">
        <v>1</v>
      </c>
      <c r="AQ4705">
        <v>0</v>
      </c>
      <c r="AR4705">
        <v>7.53</v>
      </c>
      <c r="AS4705">
        <v>35</v>
      </c>
      <c r="AT4705">
        <v>3.12</v>
      </c>
      <c r="AU4705">
        <v>64</v>
      </c>
      <c r="AV4705">
        <v>-1.22</v>
      </c>
      <c r="AW4705">
        <v>71</v>
      </c>
      <c r="AX4705">
        <v>0.04</v>
      </c>
      <c r="AY4705">
        <v>82</v>
      </c>
      <c r="AZ4705">
        <v>8.98</v>
      </c>
      <c r="BA4705">
        <v>36</v>
      </c>
      <c r="BB4705">
        <v>6.04</v>
      </c>
      <c r="BC4705">
        <v>63</v>
      </c>
      <c r="BD4705">
        <v>0.02</v>
      </c>
      <c r="BE4705">
        <v>0.09</v>
      </c>
      <c r="BF4705">
        <v>0.16</v>
      </c>
      <c r="BG4705">
        <v>88</v>
      </c>
      <c r="BH4705">
        <v>-0.19</v>
      </c>
      <c r="BI4705">
        <v>-1.1000000000000001</v>
      </c>
      <c r="BJ4705">
        <v>2</v>
      </c>
      <c r="BK4705">
        <v>2</v>
      </c>
      <c r="BL4705">
        <v>-0.24</v>
      </c>
      <c r="BM4705">
        <v>-1.43</v>
      </c>
      <c r="BN4705">
        <v>0.39</v>
      </c>
      <c r="BO4705">
        <v>0.68</v>
      </c>
      <c r="BP4705">
        <v>-2.21</v>
      </c>
      <c r="BQ4705">
        <v>-1.96</v>
      </c>
      <c r="BR4705">
        <v>0.5</v>
      </c>
      <c r="BS4705">
        <v>-1.0900000000000001</v>
      </c>
      <c r="BT4705">
        <v>-1.43</v>
      </c>
      <c r="BU4705">
        <v>0.35</v>
      </c>
      <c r="BV4705">
        <v>0.81</v>
      </c>
      <c r="BW4705">
        <v>0.27</v>
      </c>
      <c r="BX4705">
        <v>-1.37</v>
      </c>
      <c r="BY4705">
        <v>0.74</v>
      </c>
      <c r="BZ4705">
        <v>0.26</v>
      </c>
      <c r="CA4705">
        <v>0.09</v>
      </c>
      <c r="CB4705">
        <v>0.64</v>
      </c>
      <c r="CC4705">
        <v>-1</v>
      </c>
      <c r="CD4705">
        <v>-1.6</v>
      </c>
      <c r="CE4705">
        <v>0.84</v>
      </c>
      <c r="CF4705">
        <v>-0.63</v>
      </c>
      <c r="CG4705">
        <v>0</v>
      </c>
      <c r="CH4705">
        <v>0.9</v>
      </c>
      <c r="CI4705">
        <v>0</v>
      </c>
      <c r="CJ4705">
        <v>-7.1</v>
      </c>
      <c r="CK4705">
        <v>84</v>
      </c>
      <c r="CL4705">
        <v>-0.86</v>
      </c>
      <c r="CM4705">
        <v>82</v>
      </c>
      <c r="CN4705">
        <v>-0.22</v>
      </c>
      <c r="CO4705">
        <v>79</v>
      </c>
      <c r="CP4705">
        <v>-21.8</v>
      </c>
      <c r="CQ4705">
        <v>89</v>
      </c>
      <c r="CR4705">
        <v>0</v>
      </c>
      <c r="CS4705">
        <v>0</v>
      </c>
      <c r="CT4705">
        <v>-18.399999999999999</v>
      </c>
      <c r="CU4705">
        <v>84</v>
      </c>
      <c r="CV4705">
        <v>0.21</v>
      </c>
      <c r="CW4705">
        <v>23</v>
      </c>
      <c r="CX4705" t="s">
        <v>3414</v>
      </c>
    </row>
    <row r="4706" spans="1:102" x14ac:dyDescent="0.3">
      <c r="A4706" t="str">
        <f>HYPERLINK("https://webapp.icbf.com/v2/app/bull-search/view/108897572","VIN")</f>
        <v>VIN</v>
      </c>
      <c r="B4706" t="s">
        <v>9896</v>
      </c>
      <c r="C4706" t="s">
        <v>9897</v>
      </c>
      <c r="D4706" s="1">
        <v>34177</v>
      </c>
      <c r="E4706" t="s">
        <v>895</v>
      </c>
      <c r="F4706">
        <v>0</v>
      </c>
      <c r="G4706" t="s">
        <v>93</v>
      </c>
      <c r="H4706">
        <v>-161.57</v>
      </c>
      <c r="I4706">
        <v>69</v>
      </c>
      <c r="J4706">
        <v>-16.510000000000002</v>
      </c>
      <c r="K4706">
        <v>90</v>
      </c>
      <c r="L4706">
        <v>-120.07</v>
      </c>
      <c r="M4706">
        <v>51</v>
      </c>
      <c r="N4706">
        <v>-40.729999999999997</v>
      </c>
      <c r="O4706">
        <v>66</v>
      </c>
      <c r="P4706">
        <v>14.87</v>
      </c>
      <c r="Q4706">
        <v>80</v>
      </c>
      <c r="R4706">
        <v>4.8</v>
      </c>
      <c r="S4706">
        <v>50</v>
      </c>
      <c r="T4706">
        <v>-2.5299999999999998</v>
      </c>
      <c r="U4706">
        <v>74</v>
      </c>
      <c r="V4706">
        <v>-1.4</v>
      </c>
      <c r="W4706">
        <v>41</v>
      </c>
      <c r="X4706" t="s">
        <v>234</v>
      </c>
      <c r="Y4706" t="s">
        <v>95</v>
      </c>
      <c r="Z4706">
        <v>0</v>
      </c>
      <c r="AA4706" t="s">
        <v>2923</v>
      </c>
      <c r="AB4706" t="s">
        <v>9898</v>
      </c>
      <c r="AC4706">
        <v>51</v>
      </c>
      <c r="AD4706">
        <v>18</v>
      </c>
      <c r="AE4706">
        <v>90</v>
      </c>
      <c r="AF4706">
        <v>-217.63</v>
      </c>
      <c r="AG4706">
        <v>-0.08</v>
      </c>
      <c r="AH4706">
        <v>-6.11</v>
      </c>
      <c r="AI4706">
        <v>0.14000000000000001</v>
      </c>
      <c r="AJ4706">
        <v>0.02</v>
      </c>
      <c r="AK4706">
        <v>51</v>
      </c>
      <c r="AL4706">
        <v>49</v>
      </c>
      <c r="AM4706">
        <v>22</v>
      </c>
      <c r="AN4706">
        <v>7.75</v>
      </c>
      <c r="AO4706">
        <v>-1.81</v>
      </c>
      <c r="AP4706">
        <v>108</v>
      </c>
      <c r="AQ4706">
        <v>10</v>
      </c>
      <c r="AR4706">
        <v>10.06</v>
      </c>
      <c r="AS4706">
        <v>51</v>
      </c>
      <c r="AT4706">
        <v>4.42</v>
      </c>
      <c r="AU4706">
        <v>72</v>
      </c>
      <c r="AV4706">
        <v>3.09</v>
      </c>
      <c r="AW4706">
        <v>77</v>
      </c>
      <c r="AX4706">
        <v>-0.04</v>
      </c>
      <c r="AY4706">
        <v>71</v>
      </c>
      <c r="AZ4706">
        <v>5.93</v>
      </c>
      <c r="BA4706">
        <v>38</v>
      </c>
      <c r="BB4706">
        <v>4.26</v>
      </c>
      <c r="BC4706">
        <v>35</v>
      </c>
      <c r="BD4706">
        <v>0.01</v>
      </c>
      <c r="BE4706">
        <v>-0.03</v>
      </c>
      <c r="BF4706">
        <v>-7.0000000000000007E-2</v>
      </c>
      <c r="BG4706">
        <v>60</v>
      </c>
      <c r="BH4706">
        <v>-0.02</v>
      </c>
      <c r="BI4706">
        <v>2.2000000000000002</v>
      </c>
      <c r="BJ4706">
        <v>0</v>
      </c>
      <c r="BK4706">
        <v>0</v>
      </c>
      <c r="BL4706">
        <v>0</v>
      </c>
      <c r="BM4706">
        <v>0</v>
      </c>
      <c r="BN4706">
        <v>0</v>
      </c>
      <c r="BO4706">
        <v>0</v>
      </c>
      <c r="BP4706">
        <v>0</v>
      </c>
      <c r="BQ4706">
        <v>0</v>
      </c>
      <c r="BR4706">
        <v>0</v>
      </c>
      <c r="BS4706">
        <v>0</v>
      </c>
      <c r="BT4706">
        <v>0</v>
      </c>
      <c r="BU4706">
        <v>0</v>
      </c>
      <c r="BV4706">
        <v>0</v>
      </c>
      <c r="BW4706">
        <v>0</v>
      </c>
      <c r="BX4706">
        <v>0</v>
      </c>
      <c r="BY4706">
        <v>0</v>
      </c>
      <c r="BZ4706">
        <v>0</v>
      </c>
      <c r="CA4706">
        <v>0</v>
      </c>
      <c r="CB4706">
        <v>0</v>
      </c>
      <c r="CC4706">
        <v>0</v>
      </c>
      <c r="CD4706">
        <v>0</v>
      </c>
      <c r="CE4706">
        <v>0</v>
      </c>
      <c r="CF4706">
        <v>0</v>
      </c>
      <c r="CG4706">
        <v>0</v>
      </c>
      <c r="CH4706">
        <v>0</v>
      </c>
      <c r="CI4706">
        <v>0</v>
      </c>
      <c r="CJ4706">
        <v>7.5</v>
      </c>
      <c r="CK4706">
        <v>82</v>
      </c>
      <c r="CL4706">
        <v>0</v>
      </c>
      <c r="CM4706">
        <v>78</v>
      </c>
      <c r="CN4706">
        <v>-0.28000000000000003</v>
      </c>
      <c r="CO4706">
        <v>75</v>
      </c>
      <c r="CP4706">
        <v>8.3000000000000007</v>
      </c>
      <c r="CQ4706">
        <v>78</v>
      </c>
      <c r="CR4706">
        <v>0</v>
      </c>
      <c r="CS4706">
        <v>0</v>
      </c>
      <c r="CT4706">
        <v>17.2</v>
      </c>
      <c r="CU4706">
        <v>74</v>
      </c>
      <c r="CV4706">
        <v>0</v>
      </c>
      <c r="CW4706">
        <v>22</v>
      </c>
      <c r="CX4706" t="s">
        <v>9899</v>
      </c>
    </row>
    <row r="4707" spans="1:102" x14ac:dyDescent="0.3">
      <c r="A4707" t="str">
        <f>HYPERLINK("https://webapp.icbf.com/v2/app/bull-search/view/147115446","IIG")</f>
        <v>IIG</v>
      </c>
      <c r="B4707" t="s">
        <v>4074</v>
      </c>
      <c r="C4707" t="s">
        <v>4075</v>
      </c>
      <c r="D4707" s="1">
        <v>36844</v>
      </c>
      <c r="E4707" t="s">
        <v>92</v>
      </c>
      <c r="F4707">
        <v>100</v>
      </c>
      <c r="G4707" t="s">
        <v>93</v>
      </c>
      <c r="H4707">
        <v>-161.77000000000001</v>
      </c>
      <c r="I4707">
        <v>84</v>
      </c>
      <c r="J4707">
        <v>20.76</v>
      </c>
      <c r="K4707">
        <v>95</v>
      </c>
      <c r="L4707">
        <v>-193.38</v>
      </c>
      <c r="M4707">
        <v>78</v>
      </c>
      <c r="N4707">
        <v>3.16</v>
      </c>
      <c r="O4707">
        <v>77</v>
      </c>
      <c r="P4707">
        <v>3.84</v>
      </c>
      <c r="Q4707">
        <v>89</v>
      </c>
      <c r="R4707">
        <v>2.8</v>
      </c>
      <c r="S4707">
        <v>78</v>
      </c>
      <c r="T4707">
        <v>-2.75</v>
      </c>
      <c r="U4707">
        <v>83</v>
      </c>
      <c r="V4707">
        <v>3.8</v>
      </c>
      <c r="W4707">
        <v>69</v>
      </c>
      <c r="X4707" t="s">
        <v>276</v>
      </c>
      <c r="Y4707" t="s">
        <v>95</v>
      </c>
      <c r="Z4707" t="s">
        <v>96</v>
      </c>
      <c r="AA4707" t="s">
        <v>174</v>
      </c>
      <c r="AB4707" t="s">
        <v>4076</v>
      </c>
      <c r="AC4707">
        <v>57</v>
      </c>
      <c r="AD4707">
        <v>50</v>
      </c>
      <c r="AE4707">
        <v>95</v>
      </c>
      <c r="AF4707">
        <v>391.56</v>
      </c>
      <c r="AG4707">
        <v>6.88</v>
      </c>
      <c r="AH4707">
        <v>7.09</v>
      </c>
      <c r="AI4707">
        <v>-0.14000000000000001</v>
      </c>
      <c r="AJ4707">
        <v>-0.1</v>
      </c>
      <c r="AK4707">
        <v>78</v>
      </c>
      <c r="AL4707">
        <v>48</v>
      </c>
      <c r="AM4707">
        <v>39</v>
      </c>
      <c r="AN4707">
        <v>9.14</v>
      </c>
      <c r="AO4707">
        <v>-6.3</v>
      </c>
      <c r="AP4707">
        <v>88</v>
      </c>
      <c r="AQ4707">
        <v>0</v>
      </c>
      <c r="AR4707">
        <v>7.22</v>
      </c>
      <c r="AS4707">
        <v>66</v>
      </c>
      <c r="AT4707">
        <v>2.73</v>
      </c>
      <c r="AU4707">
        <v>82</v>
      </c>
      <c r="AV4707">
        <v>-0.66</v>
      </c>
      <c r="AW4707">
        <v>85</v>
      </c>
      <c r="AX4707">
        <v>-0.38</v>
      </c>
      <c r="AY4707">
        <v>74</v>
      </c>
      <c r="AZ4707">
        <v>7.65</v>
      </c>
      <c r="BA4707">
        <v>58</v>
      </c>
      <c r="BB4707">
        <v>6.02</v>
      </c>
      <c r="BC4707">
        <v>58</v>
      </c>
      <c r="BD4707">
        <v>-0.02</v>
      </c>
      <c r="BE4707">
        <v>0.01</v>
      </c>
      <c r="BF4707">
        <v>-0.05</v>
      </c>
      <c r="BG4707">
        <v>87</v>
      </c>
      <c r="BH4707">
        <v>0.11</v>
      </c>
      <c r="BI4707">
        <v>0.46</v>
      </c>
      <c r="BJ4707">
        <v>9</v>
      </c>
      <c r="BK4707">
        <v>5</v>
      </c>
      <c r="BL4707">
        <v>1.6</v>
      </c>
      <c r="BM4707">
        <v>1.37</v>
      </c>
      <c r="BN4707">
        <v>2.16</v>
      </c>
      <c r="BO4707">
        <v>1.34</v>
      </c>
      <c r="BP4707">
        <v>-0.1</v>
      </c>
      <c r="BQ4707">
        <v>1.66</v>
      </c>
      <c r="BR4707">
        <v>0.65</v>
      </c>
      <c r="BS4707">
        <v>-2.46</v>
      </c>
      <c r="BT4707">
        <v>0.38</v>
      </c>
      <c r="BU4707">
        <v>1.35</v>
      </c>
      <c r="BV4707">
        <v>1.25</v>
      </c>
      <c r="BW4707">
        <v>2.87</v>
      </c>
      <c r="BX4707">
        <v>0.8</v>
      </c>
      <c r="BY4707">
        <v>1.43</v>
      </c>
      <c r="BZ4707">
        <v>-1.8</v>
      </c>
      <c r="CA4707">
        <v>0.55000000000000004</v>
      </c>
      <c r="CB4707">
        <v>1.74</v>
      </c>
      <c r="CC4707">
        <v>-1.28</v>
      </c>
      <c r="CD4707">
        <v>-0.17</v>
      </c>
      <c r="CE4707">
        <v>1.1599999999999999</v>
      </c>
      <c r="CF4707">
        <v>1.62</v>
      </c>
      <c r="CG4707">
        <v>0</v>
      </c>
      <c r="CH4707">
        <v>1.56</v>
      </c>
      <c r="CI4707">
        <v>0</v>
      </c>
      <c r="CJ4707">
        <v>4.2</v>
      </c>
      <c r="CK4707">
        <v>90</v>
      </c>
      <c r="CL4707">
        <v>-0.84</v>
      </c>
      <c r="CM4707">
        <v>88</v>
      </c>
      <c r="CN4707">
        <v>-0.5</v>
      </c>
      <c r="CO4707">
        <v>86</v>
      </c>
      <c r="CP4707">
        <v>5.7</v>
      </c>
      <c r="CQ4707">
        <v>86</v>
      </c>
      <c r="CR4707">
        <v>0</v>
      </c>
      <c r="CS4707">
        <v>0</v>
      </c>
      <c r="CT4707">
        <v>17.5</v>
      </c>
      <c r="CU4707">
        <v>83</v>
      </c>
      <c r="CV4707">
        <v>0.13</v>
      </c>
      <c r="CW4707">
        <v>43</v>
      </c>
      <c r="CX4707" t="s">
        <v>715</v>
      </c>
    </row>
    <row r="4708" spans="1:102" x14ac:dyDescent="0.3">
      <c r="A4708" t="str">
        <f>HYPERLINK("https://webapp.icbf.com/v2/app/bull-search/view/444407092","S632")</f>
        <v>S632</v>
      </c>
      <c r="B4708" t="s">
        <v>4540</v>
      </c>
      <c r="C4708" t="s">
        <v>4541</v>
      </c>
      <c r="D4708" s="1">
        <v>36101</v>
      </c>
      <c r="E4708" t="s">
        <v>92</v>
      </c>
      <c r="F4708">
        <v>100</v>
      </c>
      <c r="G4708" t="s">
        <v>109</v>
      </c>
      <c r="H4708">
        <v>-161.80000000000001</v>
      </c>
      <c r="I4708">
        <v>86</v>
      </c>
      <c r="J4708">
        <v>-14.56</v>
      </c>
      <c r="K4708">
        <v>95</v>
      </c>
      <c r="L4708">
        <v>-135.66999999999999</v>
      </c>
      <c r="M4708">
        <v>89</v>
      </c>
      <c r="N4708">
        <v>-4.24</v>
      </c>
      <c r="O4708">
        <v>75</v>
      </c>
      <c r="P4708">
        <v>-18.34</v>
      </c>
      <c r="Q4708">
        <v>78</v>
      </c>
      <c r="R4708">
        <v>1.78</v>
      </c>
      <c r="S4708">
        <v>80</v>
      </c>
      <c r="T4708">
        <v>9.98</v>
      </c>
      <c r="U4708">
        <v>65</v>
      </c>
      <c r="V4708">
        <v>-0.75</v>
      </c>
      <c r="W4708">
        <v>67</v>
      </c>
      <c r="X4708" t="s">
        <v>94</v>
      </c>
      <c r="Y4708" t="s">
        <v>95</v>
      </c>
      <c r="Z4708" t="s">
        <v>96</v>
      </c>
      <c r="AA4708" t="s">
        <v>1273</v>
      </c>
      <c r="AB4708" t="s">
        <v>4542</v>
      </c>
      <c r="AC4708">
        <v>0</v>
      </c>
      <c r="AD4708">
        <v>0</v>
      </c>
      <c r="AE4708">
        <v>95</v>
      </c>
      <c r="AF4708">
        <v>263.56</v>
      </c>
      <c r="AG4708">
        <v>3.98</v>
      </c>
      <c r="AH4708">
        <v>0.15</v>
      </c>
      <c r="AI4708">
        <v>-0.11</v>
      </c>
      <c r="AJ4708">
        <v>-0.15</v>
      </c>
      <c r="AK4708">
        <v>89</v>
      </c>
      <c r="AL4708">
        <v>0</v>
      </c>
      <c r="AM4708">
        <v>0</v>
      </c>
      <c r="AN4708">
        <v>8.94</v>
      </c>
      <c r="AO4708">
        <v>-1.86</v>
      </c>
      <c r="AP4708">
        <v>35</v>
      </c>
      <c r="AQ4708">
        <v>1</v>
      </c>
      <c r="AR4708">
        <v>8.32</v>
      </c>
      <c r="AS4708">
        <v>69</v>
      </c>
      <c r="AT4708">
        <v>3.83</v>
      </c>
      <c r="AU4708">
        <v>92</v>
      </c>
      <c r="AV4708">
        <v>-0.6</v>
      </c>
      <c r="AW4708">
        <v>75</v>
      </c>
      <c r="AX4708">
        <v>-0.5</v>
      </c>
      <c r="AY4708">
        <v>66</v>
      </c>
      <c r="AZ4708">
        <v>6.61</v>
      </c>
      <c r="BA4708">
        <v>57</v>
      </c>
      <c r="BB4708">
        <v>5.29</v>
      </c>
      <c r="BC4708">
        <v>57</v>
      </c>
      <c r="BD4708">
        <v>0</v>
      </c>
      <c r="BE4708">
        <v>0.01</v>
      </c>
      <c r="BF4708">
        <v>-0.06</v>
      </c>
      <c r="BG4708">
        <v>94</v>
      </c>
      <c r="BH4708">
        <v>0.02</v>
      </c>
      <c r="BI4708">
        <v>4.7300000000000004</v>
      </c>
      <c r="BJ4708">
        <v>11</v>
      </c>
      <c r="BK4708">
        <v>9</v>
      </c>
      <c r="BL4708">
        <v>1.31</v>
      </c>
      <c r="BM4708">
        <v>-1.08</v>
      </c>
      <c r="BN4708">
        <v>1.45</v>
      </c>
      <c r="BO4708">
        <v>1.73</v>
      </c>
      <c r="BP4708">
        <v>-0.99</v>
      </c>
      <c r="BQ4708">
        <v>2.27</v>
      </c>
      <c r="BR4708">
        <v>0.34</v>
      </c>
      <c r="BS4708">
        <v>-0.01</v>
      </c>
      <c r="BT4708">
        <v>-0.5</v>
      </c>
      <c r="BU4708">
        <v>1.67</v>
      </c>
      <c r="BV4708">
        <v>2.13</v>
      </c>
      <c r="BW4708">
        <v>1.82</v>
      </c>
      <c r="BX4708">
        <v>1.58</v>
      </c>
      <c r="BY4708">
        <v>1.97</v>
      </c>
      <c r="BZ4708">
        <v>0.71</v>
      </c>
      <c r="CA4708">
        <v>1.83</v>
      </c>
      <c r="CB4708">
        <v>2.06</v>
      </c>
      <c r="CC4708">
        <v>0.2</v>
      </c>
      <c r="CD4708">
        <v>-1.94</v>
      </c>
      <c r="CE4708">
        <v>1.36</v>
      </c>
      <c r="CF4708">
        <v>1.83</v>
      </c>
      <c r="CG4708">
        <v>0</v>
      </c>
      <c r="CH4708">
        <v>1.81</v>
      </c>
      <c r="CI4708">
        <v>0</v>
      </c>
      <c r="CJ4708">
        <v>-6</v>
      </c>
      <c r="CK4708">
        <v>79</v>
      </c>
      <c r="CL4708">
        <v>-1.44</v>
      </c>
      <c r="CM4708">
        <v>77</v>
      </c>
      <c r="CN4708">
        <v>-0.52</v>
      </c>
      <c r="CO4708">
        <v>75</v>
      </c>
      <c r="CP4708">
        <v>-8.6</v>
      </c>
      <c r="CQ4708">
        <v>74</v>
      </c>
      <c r="CR4708">
        <v>0</v>
      </c>
      <c r="CS4708">
        <v>0</v>
      </c>
      <c r="CT4708">
        <v>0.3</v>
      </c>
      <c r="CU4708">
        <v>65</v>
      </c>
      <c r="CV4708">
        <v>0.24</v>
      </c>
      <c r="CW4708">
        <v>41</v>
      </c>
      <c r="CX4708" t="s">
        <v>4543</v>
      </c>
    </row>
    <row r="4709" spans="1:102" x14ac:dyDescent="0.3">
      <c r="A4709" t="str">
        <f>HYPERLINK("https://webapp.icbf.com/v2/app/bull-search/view/77856232","ITM")</f>
        <v>ITM</v>
      </c>
      <c r="B4709" t="s">
        <v>5234</v>
      </c>
      <c r="C4709" t="s">
        <v>5235</v>
      </c>
      <c r="D4709" s="1">
        <v>34084</v>
      </c>
      <c r="E4709" t="s">
        <v>92</v>
      </c>
      <c r="F4709">
        <v>100</v>
      </c>
      <c r="G4709" t="s">
        <v>93</v>
      </c>
      <c r="H4709">
        <v>-161.83000000000001</v>
      </c>
      <c r="I4709">
        <v>91</v>
      </c>
      <c r="J4709">
        <v>15.6</v>
      </c>
      <c r="K4709">
        <v>97</v>
      </c>
      <c r="L4709">
        <v>-166.93</v>
      </c>
      <c r="M4709">
        <v>90</v>
      </c>
      <c r="N4709">
        <v>-12.4</v>
      </c>
      <c r="O4709">
        <v>88</v>
      </c>
      <c r="P4709">
        <v>-1.96</v>
      </c>
      <c r="Q4709">
        <v>92</v>
      </c>
      <c r="R4709">
        <v>-13.24</v>
      </c>
      <c r="S4709">
        <v>83</v>
      </c>
      <c r="T4709">
        <v>13.53</v>
      </c>
      <c r="U4709">
        <v>87</v>
      </c>
      <c r="V4709">
        <v>3.57</v>
      </c>
      <c r="W4709">
        <v>75</v>
      </c>
      <c r="X4709" t="s">
        <v>94</v>
      </c>
      <c r="Y4709" t="s">
        <v>95</v>
      </c>
      <c r="Z4709" t="s">
        <v>96</v>
      </c>
      <c r="AA4709" t="s">
        <v>485</v>
      </c>
      <c r="AB4709" t="s">
        <v>5236</v>
      </c>
      <c r="AC4709">
        <v>112</v>
      </c>
      <c r="AD4709">
        <v>80</v>
      </c>
      <c r="AE4709">
        <v>97</v>
      </c>
      <c r="AF4709">
        <v>396.21</v>
      </c>
      <c r="AG4709">
        <v>4.49</v>
      </c>
      <c r="AH4709">
        <v>7.13</v>
      </c>
      <c r="AI4709">
        <v>-0.18</v>
      </c>
      <c r="AJ4709">
        <v>-0.1</v>
      </c>
      <c r="AK4709">
        <v>90</v>
      </c>
      <c r="AL4709">
        <v>108</v>
      </c>
      <c r="AM4709">
        <v>62</v>
      </c>
      <c r="AN4709">
        <v>9.2799999999999994</v>
      </c>
      <c r="AO4709">
        <v>-4.03</v>
      </c>
      <c r="AP4709">
        <v>28</v>
      </c>
      <c r="AQ4709">
        <v>0</v>
      </c>
      <c r="AR4709">
        <v>9.14</v>
      </c>
      <c r="AS4709">
        <v>79</v>
      </c>
      <c r="AT4709">
        <v>4.74</v>
      </c>
      <c r="AU4709">
        <v>96</v>
      </c>
      <c r="AV4709">
        <v>-0.54</v>
      </c>
      <c r="AW4709">
        <v>89</v>
      </c>
      <c r="AX4709">
        <v>0.38</v>
      </c>
      <c r="AY4709">
        <v>87</v>
      </c>
      <c r="AZ4709">
        <v>5.17</v>
      </c>
      <c r="BA4709">
        <v>74</v>
      </c>
      <c r="BB4709">
        <v>4.2300000000000004</v>
      </c>
      <c r="BC4709">
        <v>77</v>
      </c>
      <c r="BD4709">
        <v>0.08</v>
      </c>
      <c r="BE4709">
        <v>0.09</v>
      </c>
      <c r="BF4709">
        <v>0</v>
      </c>
      <c r="BG4709">
        <v>93</v>
      </c>
      <c r="BH4709">
        <v>0.13</v>
      </c>
      <c r="BI4709">
        <v>3.52</v>
      </c>
      <c r="BJ4709">
        <v>47</v>
      </c>
      <c r="BK4709">
        <v>34</v>
      </c>
      <c r="BL4709">
        <v>0.14000000000000001</v>
      </c>
      <c r="BM4709">
        <v>-0.08</v>
      </c>
      <c r="BN4709">
        <v>0.11</v>
      </c>
      <c r="BO4709">
        <v>0.25</v>
      </c>
      <c r="BP4709">
        <v>1.3</v>
      </c>
      <c r="BQ4709">
        <v>0.43</v>
      </c>
      <c r="BR4709">
        <v>1.24</v>
      </c>
      <c r="BS4709">
        <v>-1.31</v>
      </c>
      <c r="BT4709">
        <v>0.12</v>
      </c>
      <c r="BU4709">
        <v>0.38</v>
      </c>
      <c r="BV4709">
        <v>1.39</v>
      </c>
      <c r="BW4709">
        <v>-0.04</v>
      </c>
      <c r="BX4709">
        <v>-0.7</v>
      </c>
      <c r="BY4709">
        <v>0.33</v>
      </c>
      <c r="BZ4709">
        <v>-0.52</v>
      </c>
      <c r="CA4709">
        <v>-0.06</v>
      </c>
      <c r="CB4709">
        <v>0.61</v>
      </c>
      <c r="CC4709">
        <v>-1.4</v>
      </c>
      <c r="CD4709">
        <v>0.33</v>
      </c>
      <c r="CE4709">
        <v>0.81</v>
      </c>
      <c r="CF4709">
        <v>-0.09</v>
      </c>
      <c r="CG4709">
        <v>0</v>
      </c>
      <c r="CH4709">
        <v>0.31</v>
      </c>
      <c r="CI4709">
        <v>0</v>
      </c>
      <c r="CJ4709">
        <v>1.1000000000000001</v>
      </c>
      <c r="CK4709">
        <v>92</v>
      </c>
      <c r="CL4709">
        <v>-0.54</v>
      </c>
      <c r="CM4709">
        <v>91</v>
      </c>
      <c r="CN4709">
        <v>-0.24</v>
      </c>
      <c r="CO4709">
        <v>90</v>
      </c>
      <c r="CP4709">
        <v>-4.8</v>
      </c>
      <c r="CQ4709">
        <v>93</v>
      </c>
      <c r="CR4709">
        <v>0</v>
      </c>
      <c r="CS4709">
        <v>0</v>
      </c>
      <c r="CT4709">
        <v>-4.5</v>
      </c>
      <c r="CU4709">
        <v>87</v>
      </c>
      <c r="CV4709">
        <v>0.1</v>
      </c>
      <c r="CW4709">
        <v>45</v>
      </c>
      <c r="CX4709" t="s">
        <v>99</v>
      </c>
    </row>
    <row r="4710" spans="1:102" x14ac:dyDescent="0.3">
      <c r="A4710" t="str">
        <f>HYPERLINK("https://webapp.icbf.com/v2/app/bull-search/view/77852953","WCV")</f>
        <v>WCV</v>
      </c>
      <c r="B4710" t="s">
        <v>8442</v>
      </c>
      <c r="C4710" t="s">
        <v>1384</v>
      </c>
      <c r="D4710" s="1">
        <v>34368</v>
      </c>
      <c r="E4710" t="s">
        <v>92</v>
      </c>
      <c r="F4710">
        <v>100</v>
      </c>
      <c r="G4710" t="s">
        <v>93</v>
      </c>
      <c r="H4710">
        <v>-161.94999999999999</v>
      </c>
      <c r="I4710">
        <v>97</v>
      </c>
      <c r="J4710">
        <v>8.6</v>
      </c>
      <c r="K4710">
        <v>99</v>
      </c>
      <c r="L4710">
        <v>-165.03</v>
      </c>
      <c r="M4710">
        <v>95</v>
      </c>
      <c r="N4710">
        <v>6.93</v>
      </c>
      <c r="O4710">
        <v>98</v>
      </c>
      <c r="P4710">
        <v>-4.29</v>
      </c>
      <c r="Q4710">
        <v>99</v>
      </c>
      <c r="R4710">
        <v>-14.48</v>
      </c>
      <c r="S4710">
        <v>95</v>
      </c>
      <c r="T4710">
        <v>8.35</v>
      </c>
      <c r="U4710">
        <v>99</v>
      </c>
      <c r="V4710">
        <v>-2.0299999999999998</v>
      </c>
      <c r="W4710">
        <v>95</v>
      </c>
      <c r="X4710" t="s">
        <v>251</v>
      </c>
      <c r="Y4710" t="s">
        <v>95</v>
      </c>
      <c r="Z4710" t="s">
        <v>96</v>
      </c>
      <c r="AA4710" t="s">
        <v>564</v>
      </c>
      <c r="AB4710" t="s">
        <v>4154</v>
      </c>
      <c r="AC4710">
        <v>1970</v>
      </c>
      <c r="AD4710">
        <v>592</v>
      </c>
      <c r="AE4710">
        <v>99</v>
      </c>
      <c r="AF4710">
        <v>343.83</v>
      </c>
      <c r="AG4710">
        <v>6.29</v>
      </c>
      <c r="AH4710">
        <v>4.5</v>
      </c>
      <c r="AI4710">
        <v>-0.12</v>
      </c>
      <c r="AJ4710">
        <v>-0.12</v>
      </c>
      <c r="AK4710">
        <v>95</v>
      </c>
      <c r="AL4710">
        <v>1794</v>
      </c>
      <c r="AM4710">
        <v>523</v>
      </c>
      <c r="AN4710">
        <v>9.06</v>
      </c>
      <c r="AO4710">
        <v>-4.0999999999999996</v>
      </c>
      <c r="AP4710">
        <v>2287</v>
      </c>
      <c r="AQ4710">
        <v>1</v>
      </c>
      <c r="AR4710">
        <v>8.39</v>
      </c>
      <c r="AS4710">
        <v>98</v>
      </c>
      <c r="AT4710">
        <v>4.3499999999999996</v>
      </c>
      <c r="AU4710">
        <v>99</v>
      </c>
      <c r="AV4710">
        <v>-2.35</v>
      </c>
      <c r="AW4710">
        <v>99</v>
      </c>
      <c r="AX4710">
        <v>-0.03</v>
      </c>
      <c r="AY4710">
        <v>99</v>
      </c>
      <c r="AZ4710">
        <v>6.73</v>
      </c>
      <c r="BA4710">
        <v>96</v>
      </c>
      <c r="BB4710">
        <v>4.41</v>
      </c>
      <c r="BC4710">
        <v>96</v>
      </c>
      <c r="BD4710">
        <v>0.03</v>
      </c>
      <c r="BE4710">
        <v>7.0000000000000007E-2</v>
      </c>
      <c r="BF4710">
        <v>0.15</v>
      </c>
      <c r="BG4710">
        <v>99</v>
      </c>
      <c r="BH4710">
        <v>-0.05</v>
      </c>
      <c r="BI4710">
        <v>0.76</v>
      </c>
      <c r="BJ4710">
        <v>602</v>
      </c>
      <c r="BK4710">
        <v>212</v>
      </c>
      <c r="BL4710">
        <v>0.88</v>
      </c>
      <c r="BM4710">
        <v>-1.1200000000000001</v>
      </c>
      <c r="BN4710">
        <v>0.79</v>
      </c>
      <c r="BO4710">
        <v>1.19</v>
      </c>
      <c r="BP4710">
        <v>0.34</v>
      </c>
      <c r="BQ4710">
        <v>-0.61</v>
      </c>
      <c r="BR4710">
        <v>-0.31</v>
      </c>
      <c r="BS4710">
        <v>1.35</v>
      </c>
      <c r="BT4710">
        <v>0.82</v>
      </c>
      <c r="BU4710">
        <v>0.98</v>
      </c>
      <c r="BV4710">
        <v>0.36</v>
      </c>
      <c r="BW4710">
        <v>1.5</v>
      </c>
      <c r="BX4710">
        <v>0.39</v>
      </c>
      <c r="BY4710">
        <v>2.2599999999999998</v>
      </c>
      <c r="BZ4710">
        <v>-0.63</v>
      </c>
      <c r="CA4710">
        <v>1.04</v>
      </c>
      <c r="CB4710">
        <v>0.82</v>
      </c>
      <c r="CC4710">
        <v>1.1399999999999999</v>
      </c>
      <c r="CD4710">
        <v>-1.28</v>
      </c>
      <c r="CE4710">
        <v>1.1599999999999999</v>
      </c>
      <c r="CF4710">
        <v>0.6</v>
      </c>
      <c r="CG4710">
        <v>0</v>
      </c>
      <c r="CH4710">
        <v>2.23</v>
      </c>
      <c r="CI4710">
        <v>0</v>
      </c>
      <c r="CJ4710">
        <v>-0.1</v>
      </c>
      <c r="CK4710">
        <v>99</v>
      </c>
      <c r="CL4710">
        <v>-0.86</v>
      </c>
      <c r="CM4710">
        <v>99</v>
      </c>
      <c r="CN4710">
        <v>-0.42</v>
      </c>
      <c r="CO4710">
        <v>99</v>
      </c>
      <c r="CP4710">
        <v>-1.3</v>
      </c>
      <c r="CQ4710">
        <v>99</v>
      </c>
      <c r="CR4710">
        <v>0</v>
      </c>
      <c r="CS4710">
        <v>0</v>
      </c>
      <c r="CT4710">
        <v>2.5</v>
      </c>
      <c r="CU4710">
        <v>99</v>
      </c>
      <c r="CV4710">
        <v>0.15</v>
      </c>
      <c r="CW4710">
        <v>46</v>
      </c>
      <c r="CX4710" t="s">
        <v>166</v>
      </c>
    </row>
    <row r="4711" spans="1:102" x14ac:dyDescent="0.3">
      <c r="A4711" t="str">
        <f>HYPERLINK("https://webapp.icbf.com/v2/app/bull-search/view/380536518","DTG")</f>
        <v>DTG</v>
      </c>
      <c r="B4711" t="s">
        <v>8780</v>
      </c>
      <c r="C4711" t="s">
        <v>8781</v>
      </c>
      <c r="D4711" s="1">
        <v>35680</v>
      </c>
      <c r="E4711" t="s">
        <v>92</v>
      </c>
      <c r="F4711">
        <v>100</v>
      </c>
      <c r="G4711" t="s">
        <v>109</v>
      </c>
      <c r="H4711">
        <v>-162.08000000000001</v>
      </c>
      <c r="I4711">
        <v>70</v>
      </c>
      <c r="J4711">
        <v>-0.19</v>
      </c>
      <c r="K4711">
        <v>78</v>
      </c>
      <c r="L4711">
        <v>-150.69999999999999</v>
      </c>
      <c r="M4711">
        <v>73</v>
      </c>
      <c r="N4711">
        <v>7.36</v>
      </c>
      <c r="O4711">
        <v>59</v>
      </c>
      <c r="P4711">
        <v>-11.13</v>
      </c>
      <c r="Q4711">
        <v>67</v>
      </c>
      <c r="R4711">
        <v>-9.9700000000000006</v>
      </c>
      <c r="S4711">
        <v>67</v>
      </c>
      <c r="T4711">
        <v>5.98</v>
      </c>
      <c r="U4711">
        <v>60</v>
      </c>
      <c r="V4711">
        <v>-3.43</v>
      </c>
      <c r="W4711">
        <v>38</v>
      </c>
      <c r="X4711" t="s">
        <v>7125</v>
      </c>
      <c r="Y4711" t="s">
        <v>1215</v>
      </c>
      <c r="Z4711" t="s">
        <v>96</v>
      </c>
      <c r="AA4711" t="s">
        <v>218</v>
      </c>
      <c r="AB4711" t="s">
        <v>8782</v>
      </c>
      <c r="AC4711">
        <v>0</v>
      </c>
      <c r="AD4711">
        <v>0</v>
      </c>
      <c r="AE4711">
        <v>78</v>
      </c>
      <c r="AF4711">
        <v>388.31</v>
      </c>
      <c r="AG4711">
        <v>-0.11</v>
      </c>
      <c r="AH4711">
        <v>5.95</v>
      </c>
      <c r="AI4711">
        <v>-0.24</v>
      </c>
      <c r="AJ4711">
        <v>-0.11</v>
      </c>
      <c r="AK4711">
        <v>73</v>
      </c>
      <c r="AL4711">
        <v>0</v>
      </c>
      <c r="AM4711">
        <v>0</v>
      </c>
      <c r="AN4711">
        <v>8.85</v>
      </c>
      <c r="AO4711">
        <v>-3.16</v>
      </c>
      <c r="AP4711">
        <v>25</v>
      </c>
      <c r="AQ4711">
        <v>0</v>
      </c>
      <c r="AR4711">
        <v>7.28</v>
      </c>
      <c r="AS4711">
        <v>49</v>
      </c>
      <c r="AT4711">
        <v>3.68</v>
      </c>
      <c r="AU4711">
        <v>66</v>
      </c>
      <c r="AV4711">
        <v>-0.95</v>
      </c>
      <c r="AW4711">
        <v>68</v>
      </c>
      <c r="AX4711">
        <v>-0.51</v>
      </c>
      <c r="AY4711">
        <v>52</v>
      </c>
      <c r="AZ4711">
        <v>5.34</v>
      </c>
      <c r="BA4711">
        <v>36</v>
      </c>
      <c r="BB4711">
        <v>4.7699999999999996</v>
      </c>
      <c r="BC4711">
        <v>38</v>
      </c>
      <c r="BD4711">
        <v>0.02</v>
      </c>
      <c r="BE4711">
        <v>0.04</v>
      </c>
      <c r="BF4711">
        <v>0.12</v>
      </c>
      <c r="BG4711">
        <v>86</v>
      </c>
      <c r="BH4711">
        <v>-0.11</v>
      </c>
      <c r="BI4711">
        <v>-1.66</v>
      </c>
      <c r="BJ4711">
        <v>5</v>
      </c>
      <c r="BK4711">
        <v>2</v>
      </c>
      <c r="BL4711">
        <v>1.55</v>
      </c>
      <c r="BM4711">
        <v>-0.81</v>
      </c>
      <c r="BN4711">
        <v>1.02</v>
      </c>
      <c r="BO4711">
        <v>1.27</v>
      </c>
      <c r="BP4711">
        <v>2.29</v>
      </c>
      <c r="BQ4711">
        <v>2.4900000000000002</v>
      </c>
      <c r="BR4711">
        <v>1.93</v>
      </c>
      <c r="BS4711">
        <v>-0.35</v>
      </c>
      <c r="BT4711">
        <v>-1.46</v>
      </c>
      <c r="BU4711">
        <v>0.02</v>
      </c>
      <c r="BV4711">
        <v>1.58</v>
      </c>
      <c r="BW4711">
        <v>1.57</v>
      </c>
      <c r="BX4711">
        <v>0.13</v>
      </c>
      <c r="BY4711">
        <v>0.83</v>
      </c>
      <c r="BZ4711">
        <v>2.2000000000000002</v>
      </c>
      <c r="CA4711">
        <v>0.57999999999999996</v>
      </c>
      <c r="CB4711">
        <v>0.82</v>
      </c>
      <c r="CC4711">
        <v>0.06</v>
      </c>
      <c r="CD4711">
        <v>-1.1399999999999999</v>
      </c>
      <c r="CE4711">
        <v>0.87</v>
      </c>
      <c r="CF4711">
        <v>0.2</v>
      </c>
      <c r="CG4711">
        <v>0</v>
      </c>
      <c r="CH4711">
        <v>1.38</v>
      </c>
      <c r="CI4711">
        <v>0</v>
      </c>
      <c r="CJ4711">
        <v>-2.9</v>
      </c>
      <c r="CK4711">
        <v>69</v>
      </c>
      <c r="CL4711">
        <v>-0.86</v>
      </c>
      <c r="CM4711">
        <v>65</v>
      </c>
      <c r="CN4711">
        <v>-0.19</v>
      </c>
      <c r="CO4711">
        <v>60</v>
      </c>
      <c r="CP4711">
        <v>-3.2</v>
      </c>
      <c r="CQ4711">
        <v>70</v>
      </c>
      <c r="CR4711">
        <v>0</v>
      </c>
      <c r="CS4711">
        <v>0</v>
      </c>
      <c r="CT4711">
        <v>5.7</v>
      </c>
      <c r="CU4711">
        <v>60</v>
      </c>
      <c r="CV4711">
        <v>0.23</v>
      </c>
      <c r="CW4711">
        <v>20</v>
      </c>
      <c r="CX4711" t="s">
        <v>564</v>
      </c>
    </row>
    <row r="4712" spans="1:102" x14ac:dyDescent="0.3">
      <c r="A4712" t="str">
        <f>HYPERLINK("https://webapp.icbf.com/v2/app/bull-search/view/77860255","CFC")</f>
        <v>CFC</v>
      </c>
      <c r="B4712" t="s">
        <v>10609</v>
      </c>
      <c r="C4712" t="s">
        <v>10610</v>
      </c>
      <c r="D4712" s="1">
        <v>32051</v>
      </c>
      <c r="E4712" t="s">
        <v>92</v>
      </c>
      <c r="F4712">
        <v>75</v>
      </c>
      <c r="G4712" t="s">
        <v>93</v>
      </c>
      <c r="H4712">
        <v>-162.13</v>
      </c>
      <c r="I4712">
        <v>61</v>
      </c>
      <c r="J4712">
        <v>-65.400000000000006</v>
      </c>
      <c r="K4712">
        <v>72</v>
      </c>
      <c r="L4712">
        <v>-83.62</v>
      </c>
      <c r="M4712">
        <v>59</v>
      </c>
      <c r="N4712">
        <v>-3.25</v>
      </c>
      <c r="O4712">
        <v>41</v>
      </c>
      <c r="P4712">
        <v>-7.49</v>
      </c>
      <c r="Q4712">
        <v>63</v>
      </c>
      <c r="R4712">
        <v>-10.09</v>
      </c>
      <c r="S4712">
        <v>59</v>
      </c>
      <c r="T4712">
        <v>13.53</v>
      </c>
      <c r="U4712">
        <v>70</v>
      </c>
      <c r="V4712">
        <v>-5.81</v>
      </c>
      <c r="W4712">
        <v>29</v>
      </c>
      <c r="X4712" t="s">
        <v>94</v>
      </c>
      <c r="Y4712" t="s">
        <v>95</v>
      </c>
      <c r="Z4712" t="s">
        <v>96</v>
      </c>
      <c r="AA4712" t="s">
        <v>154</v>
      </c>
      <c r="AB4712" t="s">
        <v>8570</v>
      </c>
      <c r="AC4712">
        <v>17</v>
      </c>
      <c r="AD4712">
        <v>13</v>
      </c>
      <c r="AE4712">
        <v>72</v>
      </c>
      <c r="AF4712">
        <v>10.07</v>
      </c>
      <c r="AG4712">
        <v>-9.0399999999999991</v>
      </c>
      <c r="AH4712">
        <v>-7.77</v>
      </c>
      <c r="AI4712">
        <v>-0.16</v>
      </c>
      <c r="AJ4712">
        <v>-0.13</v>
      </c>
      <c r="AK4712">
        <v>59</v>
      </c>
      <c r="AL4712">
        <v>51</v>
      </c>
      <c r="AM4712">
        <v>29</v>
      </c>
      <c r="AN4712">
        <v>4.46</v>
      </c>
      <c r="AO4712">
        <v>-2.21</v>
      </c>
      <c r="AP4712">
        <v>2</v>
      </c>
      <c r="AQ4712">
        <v>0</v>
      </c>
      <c r="AR4712">
        <v>8.73</v>
      </c>
      <c r="AS4712">
        <v>30</v>
      </c>
      <c r="AT4712">
        <v>4.01</v>
      </c>
      <c r="AU4712">
        <v>39</v>
      </c>
      <c r="AV4712">
        <v>-0.97</v>
      </c>
      <c r="AW4712">
        <v>43</v>
      </c>
      <c r="AX4712">
        <v>-0.54</v>
      </c>
      <c r="AY4712">
        <v>59</v>
      </c>
      <c r="AZ4712">
        <v>6.54</v>
      </c>
      <c r="BA4712">
        <v>31</v>
      </c>
      <c r="BB4712">
        <v>5.08</v>
      </c>
      <c r="BC4712">
        <v>37</v>
      </c>
      <c r="BD4712">
        <v>0.03</v>
      </c>
      <c r="BE4712">
        <v>0.08</v>
      </c>
      <c r="BF4712">
        <v>0.03</v>
      </c>
      <c r="BG4712">
        <v>76</v>
      </c>
      <c r="BH4712">
        <v>-7.0000000000000007E-2</v>
      </c>
      <c r="BI4712">
        <v>10.63</v>
      </c>
      <c r="BJ4712">
        <v>9</v>
      </c>
      <c r="BK4712">
        <v>3</v>
      </c>
      <c r="BL4712">
        <v>-0.83</v>
      </c>
      <c r="BM4712">
        <v>0.52</v>
      </c>
      <c r="BN4712">
        <v>-0.69</v>
      </c>
      <c r="BO4712">
        <v>-0.87</v>
      </c>
      <c r="BP4712">
        <v>0.36</v>
      </c>
      <c r="BQ4712">
        <v>-0.03</v>
      </c>
      <c r="BR4712">
        <v>-0.56000000000000005</v>
      </c>
      <c r="BS4712">
        <v>0</v>
      </c>
      <c r="BT4712">
        <v>0.9</v>
      </c>
      <c r="BU4712">
        <v>-1.64</v>
      </c>
      <c r="BV4712">
        <v>-1.34</v>
      </c>
      <c r="BW4712">
        <v>-1.19</v>
      </c>
      <c r="BX4712">
        <v>-1.28</v>
      </c>
      <c r="BY4712">
        <v>-1.29</v>
      </c>
      <c r="BZ4712">
        <v>0.93</v>
      </c>
      <c r="CA4712">
        <v>-0.9</v>
      </c>
      <c r="CB4712">
        <v>-1.31</v>
      </c>
      <c r="CC4712">
        <v>0.28999999999999998</v>
      </c>
      <c r="CD4712">
        <v>0.73</v>
      </c>
      <c r="CE4712">
        <v>-0.91</v>
      </c>
      <c r="CF4712">
        <v>-1.04</v>
      </c>
      <c r="CG4712">
        <v>0</v>
      </c>
      <c r="CH4712">
        <v>-1.98</v>
      </c>
      <c r="CI4712">
        <v>0</v>
      </c>
      <c r="CJ4712">
        <v>-4.0999999999999996</v>
      </c>
      <c r="CK4712">
        <v>65</v>
      </c>
      <c r="CL4712">
        <v>-0.38</v>
      </c>
      <c r="CM4712">
        <v>60</v>
      </c>
      <c r="CN4712">
        <v>-0.31</v>
      </c>
      <c r="CO4712">
        <v>55</v>
      </c>
      <c r="CP4712">
        <v>-10.3</v>
      </c>
      <c r="CQ4712">
        <v>73</v>
      </c>
      <c r="CR4712">
        <v>0</v>
      </c>
      <c r="CS4712">
        <v>0</v>
      </c>
      <c r="CT4712">
        <v>-4.5</v>
      </c>
      <c r="CU4712">
        <v>70</v>
      </c>
      <c r="CV4712">
        <v>0</v>
      </c>
      <c r="CW4712">
        <v>17</v>
      </c>
      <c r="CX4712" t="s">
        <v>8571</v>
      </c>
    </row>
    <row r="4713" spans="1:102" x14ac:dyDescent="0.3">
      <c r="A4713" t="str">
        <f>HYPERLINK("https://webapp.icbf.com/v2/app/bull-search/view/124414457","CCO")</f>
        <v>CCO</v>
      </c>
      <c r="B4713" t="s">
        <v>12067</v>
      </c>
      <c r="C4713" t="s">
        <v>12068</v>
      </c>
      <c r="D4713" s="1">
        <v>33540</v>
      </c>
      <c r="E4713" t="s">
        <v>92</v>
      </c>
      <c r="F4713">
        <v>100</v>
      </c>
      <c r="G4713" t="s">
        <v>109</v>
      </c>
      <c r="H4713">
        <v>-162.43</v>
      </c>
      <c r="I4713">
        <v>61</v>
      </c>
      <c r="J4713">
        <v>-48.6</v>
      </c>
      <c r="K4713">
        <v>73</v>
      </c>
      <c r="L4713">
        <v>-97.27</v>
      </c>
      <c r="M4713">
        <v>64</v>
      </c>
      <c r="N4713">
        <v>-9.17</v>
      </c>
      <c r="O4713">
        <v>35</v>
      </c>
      <c r="P4713">
        <v>-8.64</v>
      </c>
      <c r="Q4713">
        <v>53</v>
      </c>
      <c r="R4713">
        <v>-14.05</v>
      </c>
      <c r="S4713">
        <v>61</v>
      </c>
      <c r="T4713">
        <v>17.16</v>
      </c>
      <c r="U4713">
        <v>53</v>
      </c>
      <c r="V4713">
        <v>-1.86</v>
      </c>
      <c r="W4713">
        <v>28</v>
      </c>
      <c r="X4713" t="s">
        <v>110</v>
      </c>
      <c r="Y4713" t="s">
        <v>95</v>
      </c>
      <c r="Z4713" t="s">
        <v>96</v>
      </c>
      <c r="AA4713" t="s">
        <v>111</v>
      </c>
      <c r="AB4713" t="s">
        <v>12069</v>
      </c>
      <c r="AC4713">
        <v>0</v>
      </c>
      <c r="AD4713">
        <v>0</v>
      </c>
      <c r="AE4713">
        <v>73</v>
      </c>
      <c r="AF4713">
        <v>-124.34</v>
      </c>
      <c r="AG4713">
        <v>-10.71</v>
      </c>
      <c r="AH4713">
        <v>-6.38</v>
      </c>
      <c r="AI4713">
        <v>-0.1</v>
      </c>
      <c r="AJ4713">
        <v>-0.04</v>
      </c>
      <c r="AK4713">
        <v>64</v>
      </c>
      <c r="AL4713">
        <v>0</v>
      </c>
      <c r="AM4713">
        <v>0</v>
      </c>
      <c r="AN4713">
        <v>4.33</v>
      </c>
      <c r="AO4713">
        <v>-3.44</v>
      </c>
      <c r="AP4713">
        <v>3</v>
      </c>
      <c r="AQ4713">
        <v>0</v>
      </c>
      <c r="AR4713">
        <v>8.9</v>
      </c>
      <c r="AS4713">
        <v>30</v>
      </c>
      <c r="AT4713">
        <v>4.1399999999999997</v>
      </c>
      <c r="AU4713">
        <v>38</v>
      </c>
      <c r="AV4713">
        <v>-0.47</v>
      </c>
      <c r="AW4713">
        <v>32</v>
      </c>
      <c r="AX4713">
        <v>-0.22</v>
      </c>
      <c r="AY4713">
        <v>51</v>
      </c>
      <c r="AZ4713">
        <v>6.44</v>
      </c>
      <c r="BA4713">
        <v>29</v>
      </c>
      <c r="BB4713">
        <v>4.99</v>
      </c>
      <c r="BC4713">
        <v>32</v>
      </c>
      <c r="BD4713">
        <v>0.03</v>
      </c>
      <c r="BE4713">
        <v>7.0000000000000007E-2</v>
      </c>
      <c r="BF4713">
        <v>0.14000000000000001</v>
      </c>
      <c r="BG4713">
        <v>82</v>
      </c>
      <c r="BH4713">
        <v>-0.01</v>
      </c>
      <c r="BI4713">
        <v>4.8499999999999996</v>
      </c>
      <c r="BJ4713">
        <v>2</v>
      </c>
      <c r="BK4713">
        <v>2</v>
      </c>
      <c r="BL4713">
        <v>-0.13</v>
      </c>
      <c r="BM4713">
        <v>-0.41</v>
      </c>
      <c r="BN4713">
        <v>0.97</v>
      </c>
      <c r="BO4713">
        <v>0.51</v>
      </c>
      <c r="BP4713">
        <v>-0.89</v>
      </c>
      <c r="BQ4713">
        <v>-1.39</v>
      </c>
      <c r="BR4713">
        <v>0.08</v>
      </c>
      <c r="BS4713">
        <v>-0.51</v>
      </c>
      <c r="BT4713">
        <v>-0.73</v>
      </c>
      <c r="BU4713">
        <v>-0.53</v>
      </c>
      <c r="BV4713">
        <v>-0.5</v>
      </c>
      <c r="BW4713">
        <v>0.85</v>
      </c>
      <c r="BX4713">
        <v>-0.87</v>
      </c>
      <c r="BY4713">
        <v>7.0000000000000007E-2</v>
      </c>
      <c r="BZ4713">
        <v>1.1399999999999999</v>
      </c>
      <c r="CA4713">
        <v>0.23</v>
      </c>
      <c r="CB4713">
        <v>0.01</v>
      </c>
      <c r="CC4713">
        <v>0.7</v>
      </c>
      <c r="CD4713">
        <v>-0.85</v>
      </c>
      <c r="CE4713">
        <v>0.15</v>
      </c>
      <c r="CF4713">
        <v>-0.13</v>
      </c>
      <c r="CG4713">
        <v>0</v>
      </c>
      <c r="CH4713">
        <v>0.05</v>
      </c>
      <c r="CI4713">
        <v>0</v>
      </c>
      <c r="CJ4713">
        <v>-3.7</v>
      </c>
      <c r="CK4713">
        <v>54</v>
      </c>
      <c r="CL4713">
        <v>-0.6</v>
      </c>
      <c r="CM4713">
        <v>51</v>
      </c>
      <c r="CN4713">
        <v>-0.34</v>
      </c>
      <c r="CO4713">
        <v>47</v>
      </c>
      <c r="CP4713">
        <v>-8.8000000000000007</v>
      </c>
      <c r="CQ4713">
        <v>57</v>
      </c>
      <c r="CR4713">
        <v>0</v>
      </c>
      <c r="CS4713">
        <v>0</v>
      </c>
      <c r="CT4713">
        <v>-9.4</v>
      </c>
      <c r="CU4713">
        <v>53</v>
      </c>
      <c r="CV4713">
        <v>0.13</v>
      </c>
      <c r="CW4713">
        <v>15</v>
      </c>
      <c r="CX4713" t="s">
        <v>161</v>
      </c>
    </row>
    <row r="4714" spans="1:102" x14ac:dyDescent="0.3">
      <c r="A4714" t="str">
        <f>HYPERLINK("https://webapp.icbf.com/v2/app/bull-search/view/230176813","PUI")</f>
        <v>PUI</v>
      </c>
      <c r="B4714" t="s">
        <v>11620</v>
      </c>
      <c r="C4714" t="s">
        <v>2030</v>
      </c>
      <c r="D4714" s="1">
        <v>35676</v>
      </c>
      <c r="E4714" t="s">
        <v>92</v>
      </c>
      <c r="F4714">
        <v>100</v>
      </c>
      <c r="G4714" t="s">
        <v>93</v>
      </c>
      <c r="H4714">
        <v>-162.47</v>
      </c>
      <c r="I4714">
        <v>94</v>
      </c>
      <c r="J4714">
        <v>7.95</v>
      </c>
      <c r="K4714">
        <v>98</v>
      </c>
      <c r="L4714">
        <v>-144.83000000000001</v>
      </c>
      <c r="M4714">
        <v>93</v>
      </c>
      <c r="N4714">
        <v>-4.32</v>
      </c>
      <c r="O4714">
        <v>93</v>
      </c>
      <c r="P4714">
        <v>-14.85</v>
      </c>
      <c r="Q4714">
        <v>95</v>
      </c>
      <c r="R4714">
        <v>2.3199999999999998</v>
      </c>
      <c r="S4714">
        <v>87</v>
      </c>
      <c r="T4714">
        <v>-1.34</v>
      </c>
      <c r="U4714">
        <v>92</v>
      </c>
      <c r="V4714">
        <v>-7.4</v>
      </c>
      <c r="W4714">
        <v>80</v>
      </c>
      <c r="X4714" t="s">
        <v>131</v>
      </c>
      <c r="Y4714" t="s">
        <v>95</v>
      </c>
      <c r="Z4714" t="s">
        <v>96</v>
      </c>
      <c r="AA4714" t="s">
        <v>1325</v>
      </c>
      <c r="AB4714" t="s">
        <v>11621</v>
      </c>
      <c r="AC4714">
        <v>196</v>
      </c>
      <c r="AD4714">
        <v>101</v>
      </c>
      <c r="AE4714">
        <v>98</v>
      </c>
      <c r="AF4714">
        <v>321.95999999999998</v>
      </c>
      <c r="AG4714">
        <v>10.63</v>
      </c>
      <c r="AH4714">
        <v>2.52</v>
      </c>
      <c r="AI4714">
        <v>-0.03</v>
      </c>
      <c r="AJ4714">
        <v>-0.14000000000000001</v>
      </c>
      <c r="AK4714">
        <v>93</v>
      </c>
      <c r="AL4714">
        <v>176</v>
      </c>
      <c r="AM4714">
        <v>92</v>
      </c>
      <c r="AN4714">
        <v>7.92</v>
      </c>
      <c r="AO4714">
        <v>-3.63</v>
      </c>
      <c r="AP4714">
        <v>281</v>
      </c>
      <c r="AQ4714">
        <v>0</v>
      </c>
      <c r="AR4714">
        <v>8.56</v>
      </c>
      <c r="AS4714">
        <v>89</v>
      </c>
      <c r="AT4714">
        <v>4.08</v>
      </c>
      <c r="AU4714">
        <v>99</v>
      </c>
      <c r="AV4714">
        <v>-2.0299999999999998</v>
      </c>
      <c r="AW4714">
        <v>95</v>
      </c>
      <c r="AX4714">
        <v>0.43</v>
      </c>
      <c r="AY4714">
        <v>91</v>
      </c>
      <c r="AZ4714">
        <v>7.59</v>
      </c>
      <c r="BA4714">
        <v>80</v>
      </c>
      <c r="BB4714">
        <v>6.03</v>
      </c>
      <c r="BC4714">
        <v>80</v>
      </c>
      <c r="BD4714">
        <v>0.01</v>
      </c>
      <c r="BE4714">
        <v>0</v>
      </c>
      <c r="BF4714">
        <v>-7.0000000000000007E-2</v>
      </c>
      <c r="BG4714">
        <v>95</v>
      </c>
      <c r="BH4714">
        <v>-0.13</v>
      </c>
      <c r="BI4714">
        <v>8.84</v>
      </c>
      <c r="BJ4714">
        <v>135</v>
      </c>
      <c r="BK4714">
        <v>67</v>
      </c>
      <c r="BL4714">
        <v>1.81</v>
      </c>
      <c r="BM4714">
        <v>-1.0900000000000001</v>
      </c>
      <c r="BN4714">
        <v>0.37</v>
      </c>
      <c r="BO4714">
        <v>1.28</v>
      </c>
      <c r="BP4714">
        <v>-0.49</v>
      </c>
      <c r="BQ4714">
        <v>0.66</v>
      </c>
      <c r="BR4714">
        <v>-2.84</v>
      </c>
      <c r="BS4714">
        <v>2.0299999999999998</v>
      </c>
      <c r="BT4714">
        <v>3.26</v>
      </c>
      <c r="BU4714">
        <v>2.4900000000000002</v>
      </c>
      <c r="BV4714">
        <v>2.29</v>
      </c>
      <c r="BW4714">
        <v>0.96</v>
      </c>
      <c r="BX4714">
        <v>2.0499999999999998</v>
      </c>
      <c r="BY4714">
        <v>1.6</v>
      </c>
      <c r="BZ4714">
        <v>-0.7</v>
      </c>
      <c r="CA4714">
        <v>2.25</v>
      </c>
      <c r="CB4714">
        <v>1.8</v>
      </c>
      <c r="CC4714">
        <v>2.06</v>
      </c>
      <c r="CD4714">
        <v>-1.03</v>
      </c>
      <c r="CE4714">
        <v>1.54</v>
      </c>
      <c r="CF4714">
        <v>1.69</v>
      </c>
      <c r="CG4714">
        <v>0</v>
      </c>
      <c r="CH4714">
        <v>1.46</v>
      </c>
      <c r="CI4714">
        <v>0</v>
      </c>
      <c r="CJ4714">
        <v>-4.8</v>
      </c>
      <c r="CK4714">
        <v>95</v>
      </c>
      <c r="CL4714">
        <v>-1.23</v>
      </c>
      <c r="CM4714">
        <v>94</v>
      </c>
      <c r="CN4714">
        <v>-0.41</v>
      </c>
      <c r="CO4714">
        <v>93</v>
      </c>
      <c r="CP4714">
        <v>-2.2000000000000002</v>
      </c>
      <c r="CQ4714">
        <v>95</v>
      </c>
      <c r="CR4714">
        <v>0</v>
      </c>
      <c r="CS4714">
        <v>0</v>
      </c>
      <c r="CT4714">
        <v>15.6</v>
      </c>
      <c r="CU4714">
        <v>92</v>
      </c>
      <c r="CV4714">
        <v>0.13</v>
      </c>
      <c r="CW4714">
        <v>45</v>
      </c>
      <c r="CX4714" t="s">
        <v>3763</v>
      </c>
    </row>
    <row r="4715" spans="1:102" x14ac:dyDescent="0.3">
      <c r="A4715" t="str">
        <f>HYPERLINK("https://webapp.icbf.com/v2/app/bull-search/view/77858824","DCL")</f>
        <v>DCL</v>
      </c>
      <c r="B4715" t="s">
        <v>645</v>
      </c>
      <c r="C4715" t="s">
        <v>646</v>
      </c>
      <c r="D4715" s="1">
        <v>32219</v>
      </c>
      <c r="E4715" t="s">
        <v>92</v>
      </c>
      <c r="F4715">
        <v>100</v>
      </c>
      <c r="G4715" t="s">
        <v>93</v>
      </c>
      <c r="H4715">
        <v>-162.63</v>
      </c>
      <c r="I4715">
        <v>86</v>
      </c>
      <c r="J4715">
        <v>-14.19</v>
      </c>
      <c r="K4715">
        <v>95</v>
      </c>
      <c r="L4715">
        <v>-133.56</v>
      </c>
      <c r="M4715">
        <v>88</v>
      </c>
      <c r="N4715">
        <v>-10.06</v>
      </c>
      <c r="O4715">
        <v>74</v>
      </c>
      <c r="P4715">
        <v>-9.2200000000000006</v>
      </c>
      <c r="Q4715">
        <v>81</v>
      </c>
      <c r="R4715">
        <v>-12.55</v>
      </c>
      <c r="S4715">
        <v>81</v>
      </c>
      <c r="T4715">
        <v>18.04</v>
      </c>
      <c r="U4715">
        <v>79</v>
      </c>
      <c r="V4715">
        <v>-1.0900000000000001</v>
      </c>
      <c r="W4715">
        <v>66</v>
      </c>
      <c r="X4715" t="s">
        <v>110</v>
      </c>
      <c r="Y4715" t="s">
        <v>95</v>
      </c>
      <c r="Z4715" t="s">
        <v>96</v>
      </c>
      <c r="AA4715" t="s">
        <v>543</v>
      </c>
      <c r="AB4715" t="s">
        <v>647</v>
      </c>
      <c r="AC4715">
        <v>68</v>
      </c>
      <c r="AD4715">
        <v>43</v>
      </c>
      <c r="AE4715">
        <v>95</v>
      </c>
      <c r="AF4715">
        <v>315.63</v>
      </c>
      <c r="AG4715">
        <v>-1.56</v>
      </c>
      <c r="AH4715">
        <v>2.97</v>
      </c>
      <c r="AI4715">
        <v>-0.23</v>
      </c>
      <c r="AJ4715">
        <v>-0.13</v>
      </c>
      <c r="AK4715">
        <v>88</v>
      </c>
      <c r="AL4715">
        <v>79</v>
      </c>
      <c r="AM4715">
        <v>43</v>
      </c>
      <c r="AN4715">
        <v>8.94</v>
      </c>
      <c r="AO4715">
        <v>-1.69</v>
      </c>
      <c r="AP4715">
        <v>18</v>
      </c>
      <c r="AQ4715">
        <v>0</v>
      </c>
      <c r="AR4715">
        <v>9.0299999999999994</v>
      </c>
      <c r="AS4715">
        <v>67</v>
      </c>
      <c r="AT4715">
        <v>3.8</v>
      </c>
      <c r="AU4715">
        <v>88</v>
      </c>
      <c r="AV4715">
        <v>-0.89</v>
      </c>
      <c r="AW4715">
        <v>73</v>
      </c>
      <c r="AX4715">
        <v>0.27</v>
      </c>
      <c r="AY4715">
        <v>78</v>
      </c>
      <c r="AZ4715">
        <v>8.01</v>
      </c>
      <c r="BA4715">
        <v>55</v>
      </c>
      <c r="BB4715">
        <v>5.66</v>
      </c>
      <c r="BC4715">
        <v>62</v>
      </c>
      <c r="BD4715">
        <v>7.0000000000000007E-2</v>
      </c>
      <c r="BE4715">
        <v>0.08</v>
      </c>
      <c r="BF4715">
        <v>0.02</v>
      </c>
      <c r="BG4715">
        <v>93</v>
      </c>
      <c r="BH4715">
        <v>0</v>
      </c>
      <c r="BI4715">
        <v>3.53</v>
      </c>
      <c r="BJ4715">
        <v>5</v>
      </c>
      <c r="BK4715">
        <v>5</v>
      </c>
      <c r="BL4715">
        <v>0.38</v>
      </c>
      <c r="BM4715">
        <v>-1.9</v>
      </c>
      <c r="BN4715">
        <v>-0.43</v>
      </c>
      <c r="BO4715">
        <v>0.9</v>
      </c>
      <c r="BP4715">
        <v>-0.78</v>
      </c>
      <c r="BQ4715">
        <v>0.64</v>
      </c>
      <c r="BR4715">
        <v>1.62</v>
      </c>
      <c r="BS4715">
        <v>-2.96</v>
      </c>
      <c r="BT4715">
        <v>-0.92</v>
      </c>
      <c r="BU4715">
        <v>0.35</v>
      </c>
      <c r="BV4715">
        <v>0.72</v>
      </c>
      <c r="BW4715">
        <v>1.1000000000000001</v>
      </c>
      <c r="BX4715">
        <v>0.2</v>
      </c>
      <c r="BY4715">
        <v>-0.28999999999999998</v>
      </c>
      <c r="BZ4715">
        <v>-0.03</v>
      </c>
      <c r="CA4715">
        <v>-0.04</v>
      </c>
      <c r="CB4715">
        <v>0.67</v>
      </c>
      <c r="CC4715">
        <v>-1.35</v>
      </c>
      <c r="CD4715">
        <v>-1.4</v>
      </c>
      <c r="CE4715">
        <v>1.21</v>
      </c>
      <c r="CF4715">
        <v>0.8</v>
      </c>
      <c r="CG4715">
        <v>0</v>
      </c>
      <c r="CH4715">
        <v>-0.21</v>
      </c>
      <c r="CI4715">
        <v>0</v>
      </c>
      <c r="CJ4715">
        <v>-6.8</v>
      </c>
      <c r="CK4715">
        <v>82</v>
      </c>
      <c r="CL4715">
        <v>-0.73</v>
      </c>
      <c r="CM4715">
        <v>79</v>
      </c>
      <c r="CN4715">
        <v>-0.73</v>
      </c>
      <c r="CO4715">
        <v>76</v>
      </c>
      <c r="CP4715">
        <v>-5.7</v>
      </c>
      <c r="CQ4715">
        <v>87</v>
      </c>
      <c r="CR4715">
        <v>0</v>
      </c>
      <c r="CS4715">
        <v>0</v>
      </c>
      <c r="CT4715">
        <v>-10.6</v>
      </c>
      <c r="CU4715">
        <v>79</v>
      </c>
      <c r="CV4715">
        <v>-0.01</v>
      </c>
      <c r="CW4715">
        <v>42</v>
      </c>
      <c r="CX4715" t="s">
        <v>648</v>
      </c>
    </row>
    <row r="4716" spans="1:102" x14ac:dyDescent="0.3">
      <c r="A4716" t="str">
        <f>HYPERLINK("https://webapp.icbf.com/v2/app/bull-search/view/77852728","WWM")</f>
        <v>WWM</v>
      </c>
      <c r="B4716" t="s">
        <v>8591</v>
      </c>
      <c r="C4716" t="s">
        <v>8592</v>
      </c>
      <c r="D4716" s="1">
        <v>31469</v>
      </c>
      <c r="E4716" t="s">
        <v>92</v>
      </c>
      <c r="F4716">
        <v>100</v>
      </c>
      <c r="G4716" t="s">
        <v>109</v>
      </c>
      <c r="H4716">
        <v>-163.24</v>
      </c>
      <c r="I4716">
        <v>65</v>
      </c>
      <c r="J4716">
        <v>-46.36</v>
      </c>
      <c r="K4716">
        <v>76</v>
      </c>
      <c r="L4716">
        <v>-123.23</v>
      </c>
      <c r="M4716">
        <v>75</v>
      </c>
      <c r="N4716">
        <v>17.57</v>
      </c>
      <c r="O4716">
        <v>46</v>
      </c>
      <c r="P4716">
        <v>-16.37</v>
      </c>
      <c r="Q4716">
        <v>47</v>
      </c>
      <c r="R4716">
        <v>-1.67</v>
      </c>
      <c r="S4716">
        <v>61</v>
      </c>
      <c r="T4716">
        <v>11.9</v>
      </c>
      <c r="U4716">
        <v>47</v>
      </c>
      <c r="V4716">
        <v>-5.08</v>
      </c>
      <c r="W4716">
        <v>27</v>
      </c>
      <c r="X4716" t="s">
        <v>94</v>
      </c>
      <c r="Y4716" t="s">
        <v>95</v>
      </c>
      <c r="Z4716" t="s">
        <v>96</v>
      </c>
      <c r="AA4716" t="s">
        <v>543</v>
      </c>
      <c r="AB4716" t="s">
        <v>8593</v>
      </c>
      <c r="AC4716">
        <v>0</v>
      </c>
      <c r="AD4716">
        <v>0</v>
      </c>
      <c r="AE4716">
        <v>76</v>
      </c>
      <c r="AF4716">
        <v>172</v>
      </c>
      <c r="AG4716">
        <v>0.59</v>
      </c>
      <c r="AH4716">
        <v>-5.46</v>
      </c>
      <c r="AI4716">
        <v>-0.1</v>
      </c>
      <c r="AJ4716">
        <v>-0.18</v>
      </c>
      <c r="AK4716">
        <v>75</v>
      </c>
      <c r="AL4716">
        <v>0</v>
      </c>
      <c r="AM4716">
        <v>0</v>
      </c>
      <c r="AN4716">
        <v>7.31</v>
      </c>
      <c r="AO4716">
        <v>-2.5099999999999998</v>
      </c>
      <c r="AP4716">
        <v>2</v>
      </c>
      <c r="AQ4716">
        <v>0</v>
      </c>
      <c r="AR4716">
        <v>5.65</v>
      </c>
      <c r="AS4716">
        <v>27</v>
      </c>
      <c r="AT4716">
        <v>2.5</v>
      </c>
      <c r="AU4716">
        <v>79</v>
      </c>
      <c r="AV4716">
        <v>-1.18</v>
      </c>
      <c r="AW4716">
        <v>37</v>
      </c>
      <c r="AX4716">
        <v>-0.84</v>
      </c>
      <c r="AY4716">
        <v>43</v>
      </c>
      <c r="AZ4716">
        <v>7.37</v>
      </c>
      <c r="BA4716">
        <v>27</v>
      </c>
      <c r="BB4716">
        <v>5.43</v>
      </c>
      <c r="BC4716">
        <v>30</v>
      </c>
      <c r="BD4716">
        <v>0.02</v>
      </c>
      <c r="BE4716">
        <v>0.05</v>
      </c>
      <c r="BF4716">
        <v>-0.09</v>
      </c>
      <c r="BG4716">
        <v>82</v>
      </c>
      <c r="BH4716">
        <v>-0.11</v>
      </c>
      <c r="BI4716">
        <v>3.65</v>
      </c>
      <c r="BJ4716">
        <v>2</v>
      </c>
      <c r="BK4716">
        <v>2</v>
      </c>
      <c r="BL4716">
        <v>0.79</v>
      </c>
      <c r="BM4716">
        <v>1.23</v>
      </c>
      <c r="BN4716">
        <v>1.46</v>
      </c>
      <c r="BO4716">
        <v>-0.03</v>
      </c>
      <c r="BP4716">
        <v>-1.99</v>
      </c>
      <c r="BQ4716">
        <v>2.23</v>
      </c>
      <c r="BR4716">
        <v>0.28999999999999998</v>
      </c>
      <c r="BS4716">
        <v>-0.59</v>
      </c>
      <c r="BT4716">
        <v>1.1100000000000001</v>
      </c>
      <c r="BU4716">
        <v>1.0900000000000001</v>
      </c>
      <c r="BV4716">
        <v>0.31</v>
      </c>
      <c r="BW4716">
        <v>1.06</v>
      </c>
      <c r="BX4716">
        <v>0.82</v>
      </c>
      <c r="BY4716">
        <v>-1.36</v>
      </c>
      <c r="BZ4716">
        <v>2.42</v>
      </c>
      <c r="CA4716">
        <v>0.4</v>
      </c>
      <c r="CB4716">
        <v>0.28999999999999998</v>
      </c>
      <c r="CC4716">
        <v>0.56000000000000005</v>
      </c>
      <c r="CD4716">
        <v>0.13</v>
      </c>
      <c r="CE4716">
        <v>0.89</v>
      </c>
      <c r="CF4716">
        <v>0.7</v>
      </c>
      <c r="CG4716">
        <v>0</v>
      </c>
      <c r="CH4716">
        <v>0.02</v>
      </c>
      <c r="CI4716">
        <v>0</v>
      </c>
      <c r="CJ4716">
        <v>-7.3</v>
      </c>
      <c r="CK4716">
        <v>48</v>
      </c>
      <c r="CL4716">
        <v>-0.99</v>
      </c>
      <c r="CM4716">
        <v>45</v>
      </c>
      <c r="CN4716">
        <v>-0.4</v>
      </c>
      <c r="CO4716">
        <v>40</v>
      </c>
      <c r="CP4716">
        <v>-5.0999999999999996</v>
      </c>
      <c r="CQ4716">
        <v>53</v>
      </c>
      <c r="CR4716">
        <v>0</v>
      </c>
      <c r="CS4716">
        <v>0</v>
      </c>
      <c r="CT4716">
        <v>-2.2999999999999998</v>
      </c>
      <c r="CU4716">
        <v>47</v>
      </c>
      <c r="CV4716">
        <v>0.18</v>
      </c>
      <c r="CW4716">
        <v>13</v>
      </c>
      <c r="CX4716" t="s">
        <v>707</v>
      </c>
    </row>
    <row r="4717" spans="1:102" x14ac:dyDescent="0.3">
      <c r="A4717" t="str">
        <f>HYPERLINK("https://webapp.icbf.com/v2/app/bull-search/view/910800486","FR2212")</f>
        <v>FR2212</v>
      </c>
      <c r="B4717" t="s">
        <v>2218</v>
      </c>
      <c r="C4717" t="s">
        <v>2219</v>
      </c>
      <c r="D4717" s="1">
        <v>40237</v>
      </c>
      <c r="E4717" t="s">
        <v>92</v>
      </c>
      <c r="F4717">
        <v>100</v>
      </c>
      <c r="G4717" t="s">
        <v>109</v>
      </c>
      <c r="H4717">
        <v>-163.30000000000001</v>
      </c>
      <c r="I4717">
        <v>68</v>
      </c>
      <c r="J4717">
        <v>-39.880000000000003</v>
      </c>
      <c r="K4717">
        <v>83</v>
      </c>
      <c r="L4717">
        <v>-136.46</v>
      </c>
      <c r="M4717">
        <v>79</v>
      </c>
      <c r="N4717">
        <v>11.64</v>
      </c>
      <c r="O4717">
        <v>53</v>
      </c>
      <c r="P4717">
        <v>-7.44</v>
      </c>
      <c r="Q4717">
        <v>39</v>
      </c>
      <c r="R4717">
        <v>16.12</v>
      </c>
      <c r="S4717">
        <v>61</v>
      </c>
      <c r="T4717">
        <v>-9.85</v>
      </c>
      <c r="U4717">
        <v>30</v>
      </c>
      <c r="V4717">
        <v>2.57</v>
      </c>
      <c r="W4717">
        <v>24</v>
      </c>
      <c r="X4717" t="s">
        <v>234</v>
      </c>
      <c r="Y4717" t="s">
        <v>1923</v>
      </c>
      <c r="Z4717" t="s">
        <v>96</v>
      </c>
      <c r="AA4717" t="s">
        <v>2220</v>
      </c>
      <c r="AB4717" t="s">
        <v>2221</v>
      </c>
      <c r="AC4717">
        <v>0</v>
      </c>
      <c r="AD4717">
        <v>0</v>
      </c>
      <c r="AE4717">
        <v>83</v>
      </c>
      <c r="AF4717">
        <v>372.6</v>
      </c>
      <c r="AG4717">
        <v>-3.19</v>
      </c>
      <c r="AH4717">
        <v>0.05</v>
      </c>
      <c r="AI4717">
        <v>-0.28000000000000003</v>
      </c>
      <c r="AJ4717">
        <v>-0.2</v>
      </c>
      <c r="AK4717">
        <v>79</v>
      </c>
      <c r="AL4717">
        <v>0</v>
      </c>
      <c r="AM4717">
        <v>0</v>
      </c>
      <c r="AN4717">
        <v>9.2100000000000009</v>
      </c>
      <c r="AO4717">
        <v>-1.65</v>
      </c>
      <c r="AP4717">
        <v>8</v>
      </c>
      <c r="AQ4717">
        <v>0</v>
      </c>
      <c r="AR4717">
        <v>7.78</v>
      </c>
      <c r="AS4717">
        <v>36</v>
      </c>
      <c r="AT4717">
        <v>3.58</v>
      </c>
      <c r="AU4717">
        <v>86</v>
      </c>
      <c r="AV4717">
        <v>-1.99</v>
      </c>
      <c r="AW4717">
        <v>51</v>
      </c>
      <c r="AX4717">
        <v>-0.2</v>
      </c>
      <c r="AY4717">
        <v>45</v>
      </c>
      <c r="AZ4717">
        <v>6.69</v>
      </c>
      <c r="BA4717">
        <v>27</v>
      </c>
      <c r="BB4717">
        <v>4.92</v>
      </c>
      <c r="BC4717">
        <v>23</v>
      </c>
      <c r="BD4717">
        <v>-0.04</v>
      </c>
      <c r="BE4717">
        <v>-0.06</v>
      </c>
      <c r="BF4717">
        <v>-0.19</v>
      </c>
      <c r="BG4717">
        <v>87</v>
      </c>
      <c r="BH4717">
        <v>0.01</v>
      </c>
      <c r="BI4717">
        <v>-7.14</v>
      </c>
      <c r="BJ4717">
        <v>0</v>
      </c>
      <c r="BK4717">
        <v>0</v>
      </c>
      <c r="BL4717">
        <v>2.69</v>
      </c>
      <c r="BM4717">
        <v>-1.55</v>
      </c>
      <c r="BN4717">
        <v>1.05</v>
      </c>
      <c r="BO4717">
        <v>1.45</v>
      </c>
      <c r="BP4717">
        <v>-0.92</v>
      </c>
      <c r="BQ4717">
        <v>2.15</v>
      </c>
      <c r="BR4717">
        <v>-2.76</v>
      </c>
      <c r="BS4717">
        <v>1</v>
      </c>
      <c r="BT4717">
        <v>2</v>
      </c>
      <c r="BU4717">
        <v>4.22</v>
      </c>
      <c r="BV4717">
        <v>3.82</v>
      </c>
      <c r="BW4717">
        <v>3.46</v>
      </c>
      <c r="BX4717">
        <v>4.04</v>
      </c>
      <c r="BY4717">
        <v>1.92</v>
      </c>
      <c r="BZ4717">
        <v>1.04</v>
      </c>
      <c r="CA4717">
        <v>2.79</v>
      </c>
      <c r="CB4717">
        <v>3.03</v>
      </c>
      <c r="CC4717">
        <v>1.03</v>
      </c>
      <c r="CD4717">
        <v>-1.08</v>
      </c>
      <c r="CE4717">
        <v>0</v>
      </c>
      <c r="CF4717">
        <v>0</v>
      </c>
      <c r="CG4717">
        <v>0</v>
      </c>
      <c r="CH4717">
        <v>0</v>
      </c>
      <c r="CI4717">
        <v>0</v>
      </c>
      <c r="CJ4717">
        <v>-1.6</v>
      </c>
      <c r="CK4717">
        <v>40</v>
      </c>
      <c r="CL4717">
        <v>-1.45</v>
      </c>
      <c r="CM4717">
        <v>38</v>
      </c>
      <c r="CN4717">
        <v>-0.74</v>
      </c>
      <c r="CO4717">
        <v>37</v>
      </c>
      <c r="CP4717">
        <v>7.1</v>
      </c>
      <c r="CQ4717">
        <v>32</v>
      </c>
      <c r="CR4717">
        <v>0</v>
      </c>
      <c r="CS4717">
        <v>0</v>
      </c>
      <c r="CT4717">
        <v>27.1</v>
      </c>
      <c r="CU4717">
        <v>30</v>
      </c>
      <c r="CV4717">
        <v>0.37</v>
      </c>
      <c r="CW4717">
        <v>11</v>
      </c>
      <c r="CX4717" t="s">
        <v>350</v>
      </c>
    </row>
    <row r="4718" spans="1:102" x14ac:dyDescent="0.3">
      <c r="A4718" t="str">
        <f>HYPERLINK("https://webapp.icbf.com/v2/app/bull-search/view/77854978","NCK")</f>
        <v>NCK</v>
      </c>
      <c r="B4718" t="s">
        <v>15006</v>
      </c>
      <c r="C4718" t="s">
        <v>15007</v>
      </c>
      <c r="D4718" s="1">
        <v>31491</v>
      </c>
      <c r="E4718" t="s">
        <v>92</v>
      </c>
      <c r="F4718">
        <v>100</v>
      </c>
      <c r="G4718" t="s">
        <v>93</v>
      </c>
      <c r="H4718">
        <v>-163.32</v>
      </c>
      <c r="I4718">
        <v>78</v>
      </c>
      <c r="J4718">
        <v>-85.26</v>
      </c>
      <c r="K4718">
        <v>92</v>
      </c>
      <c r="L4718">
        <v>17.239999999999998</v>
      </c>
      <c r="M4718">
        <v>85</v>
      </c>
      <c r="N4718">
        <v>-58.98</v>
      </c>
      <c r="O4718">
        <v>59</v>
      </c>
      <c r="P4718">
        <v>-11.13</v>
      </c>
      <c r="Q4718">
        <v>68</v>
      </c>
      <c r="R4718">
        <v>-19.05</v>
      </c>
      <c r="S4718">
        <v>66</v>
      </c>
      <c r="T4718">
        <v>-2.9</v>
      </c>
      <c r="U4718">
        <v>66</v>
      </c>
      <c r="V4718">
        <v>-3.24</v>
      </c>
      <c r="W4718">
        <v>18</v>
      </c>
      <c r="X4718" t="s">
        <v>110</v>
      </c>
      <c r="Y4718" t="s">
        <v>95</v>
      </c>
      <c r="Z4718" t="s">
        <v>96</v>
      </c>
      <c r="AA4718" t="s">
        <v>958</v>
      </c>
      <c r="AB4718" t="s">
        <v>15008</v>
      </c>
      <c r="AC4718">
        <v>69</v>
      </c>
      <c r="AD4718">
        <v>42</v>
      </c>
      <c r="AE4718">
        <v>92</v>
      </c>
      <c r="AF4718">
        <v>225.25</v>
      </c>
      <c r="AG4718">
        <v>-7.92</v>
      </c>
      <c r="AH4718">
        <v>-8.25</v>
      </c>
      <c r="AI4718">
        <v>-0.27</v>
      </c>
      <c r="AJ4718">
        <v>-0.25</v>
      </c>
      <c r="AK4718">
        <v>85</v>
      </c>
      <c r="AL4718">
        <v>0</v>
      </c>
      <c r="AM4718">
        <v>0</v>
      </c>
      <c r="AN4718">
        <v>-2.09</v>
      </c>
      <c r="AO4718">
        <v>-0.73</v>
      </c>
      <c r="AP4718">
        <v>5</v>
      </c>
      <c r="AQ4718">
        <v>0</v>
      </c>
      <c r="AR4718">
        <v>13.66</v>
      </c>
      <c r="AS4718">
        <v>23</v>
      </c>
      <c r="AT4718">
        <v>6.12</v>
      </c>
      <c r="AU4718">
        <v>77</v>
      </c>
      <c r="AV4718">
        <v>0.22</v>
      </c>
      <c r="AW4718">
        <v>60</v>
      </c>
      <c r="AX4718">
        <v>-0.14000000000000001</v>
      </c>
      <c r="AY4718">
        <v>70</v>
      </c>
      <c r="AZ4718">
        <v>6.16</v>
      </c>
      <c r="BA4718">
        <v>25</v>
      </c>
      <c r="BB4718">
        <v>5.16</v>
      </c>
      <c r="BC4718">
        <v>42</v>
      </c>
      <c r="BD4718">
        <v>0.06</v>
      </c>
      <c r="BE4718">
        <v>0.12</v>
      </c>
      <c r="BF4718">
        <v>0.11</v>
      </c>
      <c r="BG4718">
        <v>91</v>
      </c>
      <c r="BH4718">
        <v>-0.04</v>
      </c>
      <c r="BI4718">
        <v>5.81</v>
      </c>
      <c r="BJ4718">
        <v>4</v>
      </c>
      <c r="BK4718">
        <v>4</v>
      </c>
      <c r="BL4718">
        <v>0.75</v>
      </c>
      <c r="BM4718">
        <v>-1.0900000000000001</v>
      </c>
      <c r="BN4718">
        <v>-0.77</v>
      </c>
      <c r="BO4718">
        <v>-0.37</v>
      </c>
      <c r="BP4718">
        <v>2.35</v>
      </c>
      <c r="BQ4718">
        <v>-1.01</v>
      </c>
      <c r="BR4718">
        <v>1.53</v>
      </c>
      <c r="BS4718">
        <v>-0.6</v>
      </c>
      <c r="BT4718">
        <v>-0.53</v>
      </c>
      <c r="BU4718">
        <v>-1.24</v>
      </c>
      <c r="BV4718">
        <v>-1.44</v>
      </c>
      <c r="BW4718">
        <v>-0.18</v>
      </c>
      <c r="BX4718">
        <v>0.51</v>
      </c>
      <c r="BY4718">
        <v>-1.28</v>
      </c>
      <c r="BZ4718">
        <v>-2.85</v>
      </c>
      <c r="CA4718">
        <v>-1.23</v>
      </c>
      <c r="CB4718">
        <v>-1.31</v>
      </c>
      <c r="CC4718">
        <v>-0.69</v>
      </c>
      <c r="CD4718">
        <v>0.47</v>
      </c>
      <c r="CE4718">
        <v>0.08</v>
      </c>
      <c r="CF4718">
        <v>-0.14000000000000001</v>
      </c>
      <c r="CG4718">
        <v>0</v>
      </c>
      <c r="CH4718">
        <v>-0.34</v>
      </c>
      <c r="CI4718">
        <v>0</v>
      </c>
      <c r="CJ4718">
        <v>-5.3</v>
      </c>
      <c r="CK4718">
        <v>69</v>
      </c>
      <c r="CL4718">
        <v>-0.79</v>
      </c>
      <c r="CM4718">
        <v>65</v>
      </c>
      <c r="CN4718">
        <v>-0.37</v>
      </c>
      <c r="CO4718">
        <v>59</v>
      </c>
      <c r="CP4718">
        <v>0</v>
      </c>
      <c r="CQ4718">
        <v>79</v>
      </c>
      <c r="CR4718">
        <v>0</v>
      </c>
      <c r="CS4718">
        <v>0</v>
      </c>
      <c r="CT4718">
        <v>17.7</v>
      </c>
      <c r="CU4718">
        <v>66</v>
      </c>
      <c r="CV4718">
        <v>0.1</v>
      </c>
      <c r="CW4718">
        <v>18</v>
      </c>
      <c r="CX4718" t="s">
        <v>652</v>
      </c>
    </row>
    <row r="4719" spans="1:102" x14ac:dyDescent="0.3">
      <c r="A4719" t="str">
        <f>HYPERLINK("https://webapp.icbf.com/v2/app/bull-search/view/77854633","OUF")</f>
        <v>OUF</v>
      </c>
      <c r="B4719" t="s">
        <v>10947</v>
      </c>
      <c r="C4719" t="s">
        <v>10948</v>
      </c>
      <c r="D4719" s="1">
        <v>34194</v>
      </c>
      <c r="E4719" t="s">
        <v>92</v>
      </c>
      <c r="F4719">
        <v>100</v>
      </c>
      <c r="G4719" t="s">
        <v>109</v>
      </c>
      <c r="H4719">
        <v>-163.54</v>
      </c>
      <c r="I4719">
        <v>82</v>
      </c>
      <c r="J4719">
        <v>7.52</v>
      </c>
      <c r="K4719">
        <v>95</v>
      </c>
      <c r="L4719">
        <v>-150.49</v>
      </c>
      <c r="M4719">
        <v>82</v>
      </c>
      <c r="N4719">
        <v>-20</v>
      </c>
      <c r="O4719">
        <v>68</v>
      </c>
      <c r="P4719">
        <v>-10.050000000000001</v>
      </c>
      <c r="Q4719">
        <v>73</v>
      </c>
      <c r="R4719">
        <v>-15.16</v>
      </c>
      <c r="S4719">
        <v>77</v>
      </c>
      <c r="T4719">
        <v>22.04</v>
      </c>
      <c r="U4719">
        <v>71</v>
      </c>
      <c r="V4719">
        <v>2.6</v>
      </c>
      <c r="W4719">
        <v>61</v>
      </c>
      <c r="X4719" t="s">
        <v>302</v>
      </c>
      <c r="Y4719" t="s">
        <v>95</v>
      </c>
      <c r="Z4719" t="s">
        <v>96</v>
      </c>
      <c r="AA4719" t="s">
        <v>531</v>
      </c>
      <c r="AB4719" t="s">
        <v>10949</v>
      </c>
      <c r="AC4719">
        <v>38</v>
      </c>
      <c r="AD4719">
        <v>16</v>
      </c>
      <c r="AE4719">
        <v>95</v>
      </c>
      <c r="AF4719">
        <v>254.33</v>
      </c>
      <c r="AG4719">
        <v>-3.22</v>
      </c>
      <c r="AH4719">
        <v>6.31</v>
      </c>
      <c r="AI4719">
        <v>-0.22</v>
      </c>
      <c r="AJ4719">
        <v>-0.04</v>
      </c>
      <c r="AK4719">
        <v>82</v>
      </c>
      <c r="AL4719">
        <v>45</v>
      </c>
      <c r="AM4719">
        <v>17</v>
      </c>
      <c r="AN4719">
        <v>6.75</v>
      </c>
      <c r="AO4719">
        <v>-5.27</v>
      </c>
      <c r="AP4719">
        <v>1</v>
      </c>
      <c r="AQ4719">
        <v>1</v>
      </c>
      <c r="AR4719">
        <v>9.49</v>
      </c>
      <c r="AS4719">
        <v>56</v>
      </c>
      <c r="AT4719">
        <v>3.63</v>
      </c>
      <c r="AU4719">
        <v>82</v>
      </c>
      <c r="AV4719">
        <v>0.98</v>
      </c>
      <c r="AW4719">
        <v>67</v>
      </c>
      <c r="AX4719">
        <v>0.98</v>
      </c>
      <c r="AY4719">
        <v>67</v>
      </c>
      <c r="AZ4719">
        <v>6.28</v>
      </c>
      <c r="BA4719">
        <v>49</v>
      </c>
      <c r="BB4719">
        <v>4.95</v>
      </c>
      <c r="BC4719">
        <v>57</v>
      </c>
      <c r="BD4719">
        <v>0.04</v>
      </c>
      <c r="BE4719">
        <v>0.08</v>
      </c>
      <c r="BF4719">
        <v>0.13</v>
      </c>
      <c r="BG4719">
        <v>91</v>
      </c>
      <c r="BH4719">
        <v>0.11</v>
      </c>
      <c r="BI4719">
        <v>4.34</v>
      </c>
      <c r="BJ4719">
        <v>0</v>
      </c>
      <c r="BK4719">
        <v>0</v>
      </c>
      <c r="BL4719">
        <v>-0.75</v>
      </c>
      <c r="BM4719">
        <v>0.3</v>
      </c>
      <c r="BN4719">
        <v>0.27</v>
      </c>
      <c r="BO4719">
        <v>-0.06</v>
      </c>
      <c r="BP4719">
        <v>-2.76</v>
      </c>
      <c r="BQ4719">
        <v>-0.89</v>
      </c>
      <c r="BR4719">
        <v>0.73</v>
      </c>
      <c r="BS4719">
        <v>-0.23</v>
      </c>
      <c r="BT4719">
        <v>-1.1100000000000001</v>
      </c>
      <c r="BU4719">
        <v>-2.09</v>
      </c>
      <c r="BV4719">
        <v>-0.53</v>
      </c>
      <c r="BW4719">
        <v>-0.66</v>
      </c>
      <c r="BX4719">
        <v>-1.78</v>
      </c>
      <c r="BY4719">
        <v>-0.62</v>
      </c>
      <c r="BZ4719">
        <v>0.16</v>
      </c>
      <c r="CA4719">
        <v>-1.3</v>
      </c>
      <c r="CB4719">
        <v>-1.34</v>
      </c>
      <c r="CC4719">
        <v>-0.95</v>
      </c>
      <c r="CD4719">
        <v>-0.39</v>
      </c>
      <c r="CE4719">
        <v>0.08</v>
      </c>
      <c r="CF4719">
        <v>-0.71</v>
      </c>
      <c r="CG4719">
        <v>0</v>
      </c>
      <c r="CH4719">
        <v>-0.96</v>
      </c>
      <c r="CI4719">
        <v>0</v>
      </c>
      <c r="CJ4719">
        <v>-3.4</v>
      </c>
      <c r="CK4719">
        <v>74</v>
      </c>
      <c r="CL4719">
        <v>-0.54</v>
      </c>
      <c r="CM4719">
        <v>71</v>
      </c>
      <c r="CN4719">
        <v>-0.2</v>
      </c>
      <c r="CO4719">
        <v>67</v>
      </c>
      <c r="CP4719">
        <v>-14.2</v>
      </c>
      <c r="CQ4719">
        <v>79</v>
      </c>
      <c r="CR4719">
        <v>0</v>
      </c>
      <c r="CS4719">
        <v>0</v>
      </c>
      <c r="CT4719">
        <v>-16</v>
      </c>
      <c r="CU4719">
        <v>71</v>
      </c>
      <c r="CV4719">
        <v>7.0000000000000007E-2</v>
      </c>
      <c r="CW4719">
        <v>40</v>
      </c>
      <c r="CX4719" t="s">
        <v>161</v>
      </c>
    </row>
    <row r="4720" spans="1:102" x14ac:dyDescent="0.3">
      <c r="A4720" t="str">
        <f>HYPERLINK("https://webapp.icbf.com/v2/app/bull-search/view/69091123","AIW")</f>
        <v>AIW</v>
      </c>
      <c r="B4720" t="s">
        <v>3193</v>
      </c>
      <c r="C4720" t="s">
        <v>3194</v>
      </c>
      <c r="D4720" s="1">
        <v>36267</v>
      </c>
      <c r="E4720" t="s">
        <v>92</v>
      </c>
      <c r="F4720">
        <v>100</v>
      </c>
      <c r="G4720" t="s">
        <v>93</v>
      </c>
      <c r="H4720">
        <v>-163.9</v>
      </c>
      <c r="I4720">
        <v>93</v>
      </c>
      <c r="J4720">
        <v>-12.08</v>
      </c>
      <c r="K4720">
        <v>99</v>
      </c>
      <c r="L4720">
        <v>-139.6</v>
      </c>
      <c r="M4720">
        <v>88</v>
      </c>
      <c r="N4720">
        <v>-17.809999999999999</v>
      </c>
      <c r="O4720">
        <v>93</v>
      </c>
      <c r="P4720">
        <v>-8.6199999999999992</v>
      </c>
      <c r="Q4720">
        <v>98</v>
      </c>
      <c r="R4720">
        <v>8.1300000000000008</v>
      </c>
      <c r="S4720">
        <v>87</v>
      </c>
      <c r="T4720">
        <v>16.05</v>
      </c>
      <c r="U4720">
        <v>96</v>
      </c>
      <c r="V4720">
        <v>-9.9700000000000006</v>
      </c>
      <c r="W4720">
        <v>82</v>
      </c>
      <c r="X4720" t="s">
        <v>94</v>
      </c>
      <c r="Y4720" t="s">
        <v>95</v>
      </c>
      <c r="Z4720" t="s">
        <v>96</v>
      </c>
      <c r="AA4720" t="s">
        <v>3195</v>
      </c>
      <c r="AB4720" t="s">
        <v>3196</v>
      </c>
      <c r="AC4720">
        <v>360</v>
      </c>
      <c r="AD4720">
        <v>293</v>
      </c>
      <c r="AE4720">
        <v>99</v>
      </c>
      <c r="AF4720">
        <v>78.05</v>
      </c>
      <c r="AG4720">
        <v>0.79</v>
      </c>
      <c r="AH4720">
        <v>-1.1399999999999999</v>
      </c>
      <c r="AI4720">
        <v>-0.04</v>
      </c>
      <c r="AJ4720">
        <v>-7.0000000000000007E-2</v>
      </c>
      <c r="AK4720">
        <v>88</v>
      </c>
      <c r="AL4720">
        <v>374</v>
      </c>
      <c r="AM4720">
        <v>301</v>
      </c>
      <c r="AN4720">
        <v>7.82</v>
      </c>
      <c r="AO4720">
        <v>-3.31</v>
      </c>
      <c r="AP4720">
        <v>559</v>
      </c>
      <c r="AQ4720">
        <v>3</v>
      </c>
      <c r="AR4720">
        <v>9.69</v>
      </c>
      <c r="AS4720">
        <v>85</v>
      </c>
      <c r="AT4720">
        <v>4.54</v>
      </c>
      <c r="AU4720">
        <v>95</v>
      </c>
      <c r="AV4720">
        <v>-0.08</v>
      </c>
      <c r="AW4720">
        <v>97</v>
      </c>
      <c r="AX4720">
        <v>0.06</v>
      </c>
      <c r="AY4720">
        <v>94</v>
      </c>
      <c r="AZ4720">
        <v>6.63</v>
      </c>
      <c r="BA4720">
        <v>82</v>
      </c>
      <c r="BB4720">
        <v>4.4800000000000004</v>
      </c>
      <c r="BC4720">
        <v>85</v>
      </c>
      <c r="BD4720">
        <v>-0.03</v>
      </c>
      <c r="BE4720">
        <v>-0.03</v>
      </c>
      <c r="BF4720">
        <v>-0.08</v>
      </c>
      <c r="BG4720">
        <v>96</v>
      </c>
      <c r="BH4720">
        <v>-0.17</v>
      </c>
      <c r="BI4720">
        <v>12.49</v>
      </c>
      <c r="BJ4720">
        <v>58</v>
      </c>
      <c r="BK4720">
        <v>45</v>
      </c>
      <c r="BL4720">
        <v>-0.14000000000000001</v>
      </c>
      <c r="BM4720">
        <v>-1.17</v>
      </c>
      <c r="BN4720">
        <v>-0.22</v>
      </c>
      <c r="BO4720">
        <v>0.1</v>
      </c>
      <c r="BP4720">
        <v>-0.22</v>
      </c>
      <c r="BQ4720">
        <v>-0.56000000000000005</v>
      </c>
      <c r="BR4720">
        <v>2.76</v>
      </c>
      <c r="BS4720">
        <v>-1.8</v>
      </c>
      <c r="BT4720">
        <v>-1.63</v>
      </c>
      <c r="BU4720">
        <v>0.38</v>
      </c>
      <c r="BV4720">
        <v>0.03</v>
      </c>
      <c r="BW4720">
        <v>1.01</v>
      </c>
      <c r="BX4720">
        <v>0.61</v>
      </c>
      <c r="BY4720">
        <v>2.0499999999999998</v>
      </c>
      <c r="BZ4720">
        <v>0.89</v>
      </c>
      <c r="CA4720">
        <v>0.36</v>
      </c>
      <c r="CB4720">
        <v>0.75</v>
      </c>
      <c r="CC4720">
        <v>-0.91</v>
      </c>
      <c r="CD4720">
        <v>-0.89</v>
      </c>
      <c r="CE4720">
        <v>0.38</v>
      </c>
      <c r="CF4720">
        <v>-0.59</v>
      </c>
      <c r="CG4720">
        <v>0</v>
      </c>
      <c r="CH4720">
        <v>1.99</v>
      </c>
      <c r="CI4720">
        <v>0</v>
      </c>
      <c r="CJ4720">
        <v>-2.9</v>
      </c>
      <c r="CK4720">
        <v>98</v>
      </c>
      <c r="CL4720">
        <v>-0.69</v>
      </c>
      <c r="CM4720">
        <v>98</v>
      </c>
      <c r="CN4720">
        <v>-0.33</v>
      </c>
      <c r="CO4720">
        <v>98</v>
      </c>
      <c r="CP4720">
        <v>-9.1</v>
      </c>
      <c r="CQ4720">
        <v>97</v>
      </c>
      <c r="CR4720">
        <v>0</v>
      </c>
      <c r="CS4720">
        <v>0</v>
      </c>
      <c r="CT4720">
        <v>-7.9</v>
      </c>
      <c r="CU4720">
        <v>96</v>
      </c>
      <c r="CV4720">
        <v>0.1</v>
      </c>
      <c r="CW4720">
        <v>46</v>
      </c>
      <c r="CX4720" t="s">
        <v>678</v>
      </c>
    </row>
    <row r="4721" spans="1:102" x14ac:dyDescent="0.3">
      <c r="A4721" t="str">
        <f>HYPERLINK("https://webapp.icbf.com/v2/app/bull-search/view/77859184","ADG")</f>
        <v>ADG</v>
      </c>
      <c r="B4721" t="s">
        <v>10844</v>
      </c>
      <c r="C4721" t="s">
        <v>10845</v>
      </c>
      <c r="D4721" s="1">
        <v>34917</v>
      </c>
      <c r="E4721" t="s">
        <v>92</v>
      </c>
      <c r="F4721">
        <v>100</v>
      </c>
      <c r="G4721" t="s">
        <v>93</v>
      </c>
      <c r="H4721">
        <v>-164.1</v>
      </c>
      <c r="I4721">
        <v>82</v>
      </c>
      <c r="J4721">
        <v>-37.26</v>
      </c>
      <c r="K4721">
        <v>96</v>
      </c>
      <c r="L4721">
        <v>-134.94</v>
      </c>
      <c r="M4721">
        <v>76</v>
      </c>
      <c r="N4721">
        <v>-7.28</v>
      </c>
      <c r="O4721">
        <v>75</v>
      </c>
      <c r="P4721">
        <v>5.34</v>
      </c>
      <c r="Q4721">
        <v>85</v>
      </c>
      <c r="R4721">
        <v>-2.1</v>
      </c>
      <c r="S4721">
        <v>75</v>
      </c>
      <c r="T4721">
        <v>10.130000000000001</v>
      </c>
      <c r="U4721">
        <v>73</v>
      </c>
      <c r="V4721">
        <v>2.0099999999999998</v>
      </c>
      <c r="W4721">
        <v>60</v>
      </c>
      <c r="X4721" t="s">
        <v>94</v>
      </c>
      <c r="Y4721" t="s">
        <v>95</v>
      </c>
      <c r="Z4721" t="s">
        <v>96</v>
      </c>
      <c r="AA4721" t="s">
        <v>924</v>
      </c>
      <c r="AB4721" t="s">
        <v>10846</v>
      </c>
      <c r="AC4721">
        <v>71</v>
      </c>
      <c r="AD4721">
        <v>66</v>
      </c>
      <c r="AE4721">
        <v>96</v>
      </c>
      <c r="AF4721">
        <v>211.19</v>
      </c>
      <c r="AG4721">
        <v>-7.08</v>
      </c>
      <c r="AH4721">
        <v>-0.6</v>
      </c>
      <c r="AI4721">
        <v>-0.26</v>
      </c>
      <c r="AJ4721">
        <v>-0.13</v>
      </c>
      <c r="AK4721">
        <v>76</v>
      </c>
      <c r="AL4721">
        <v>61</v>
      </c>
      <c r="AM4721">
        <v>52</v>
      </c>
      <c r="AN4721">
        <v>7.46</v>
      </c>
      <c r="AO4721">
        <v>-3.3</v>
      </c>
      <c r="AP4721">
        <v>25</v>
      </c>
      <c r="AQ4721">
        <v>12</v>
      </c>
      <c r="AR4721">
        <v>10.86</v>
      </c>
      <c r="AS4721">
        <v>53</v>
      </c>
      <c r="AT4721">
        <v>3.23</v>
      </c>
      <c r="AU4721">
        <v>74</v>
      </c>
      <c r="AV4721">
        <v>0.16</v>
      </c>
      <c r="AW4721">
        <v>86</v>
      </c>
      <c r="AX4721">
        <v>-0.24</v>
      </c>
      <c r="AY4721">
        <v>81</v>
      </c>
      <c r="AZ4721">
        <v>6.14</v>
      </c>
      <c r="BA4721">
        <v>46</v>
      </c>
      <c r="BB4721">
        <v>4.3499999999999996</v>
      </c>
      <c r="BC4721">
        <v>56</v>
      </c>
      <c r="BD4721">
        <v>0.05</v>
      </c>
      <c r="BE4721">
        <v>0.05</v>
      </c>
      <c r="BF4721">
        <v>-0.13</v>
      </c>
      <c r="BG4721">
        <v>87</v>
      </c>
      <c r="BH4721">
        <v>0.22</v>
      </c>
      <c r="BI4721">
        <v>18.95</v>
      </c>
      <c r="BJ4721">
        <v>9</v>
      </c>
      <c r="BK4721">
        <v>9</v>
      </c>
      <c r="BL4721">
        <v>0.18</v>
      </c>
      <c r="BM4721">
        <v>0.43</v>
      </c>
      <c r="BN4721">
        <v>-0.05</v>
      </c>
      <c r="BO4721">
        <v>-0.55000000000000004</v>
      </c>
      <c r="BP4721">
        <v>1.1200000000000001</v>
      </c>
      <c r="BQ4721">
        <v>-0.27</v>
      </c>
      <c r="BR4721">
        <v>1.32</v>
      </c>
      <c r="BS4721">
        <v>-2.59</v>
      </c>
      <c r="BT4721">
        <v>-1.78</v>
      </c>
      <c r="BU4721">
        <v>-0.57999999999999996</v>
      </c>
      <c r="BV4721">
        <v>-1.48</v>
      </c>
      <c r="BW4721">
        <v>-1.52</v>
      </c>
      <c r="BX4721">
        <v>-1.01</v>
      </c>
      <c r="BY4721">
        <v>-0.81</v>
      </c>
      <c r="BZ4721">
        <v>3.72</v>
      </c>
      <c r="CA4721">
        <v>-1.49</v>
      </c>
      <c r="CB4721">
        <v>-0.86</v>
      </c>
      <c r="CC4721">
        <v>-2.21</v>
      </c>
      <c r="CD4721">
        <v>0.42</v>
      </c>
      <c r="CE4721">
        <v>-0.76</v>
      </c>
      <c r="CF4721">
        <v>-0.24</v>
      </c>
      <c r="CG4721">
        <v>0</v>
      </c>
      <c r="CH4721">
        <v>-0.48</v>
      </c>
      <c r="CI4721">
        <v>0</v>
      </c>
      <c r="CJ4721">
        <v>2</v>
      </c>
      <c r="CK4721">
        <v>87</v>
      </c>
      <c r="CL4721">
        <v>0.1</v>
      </c>
      <c r="CM4721">
        <v>84</v>
      </c>
      <c r="CN4721">
        <v>-0.16</v>
      </c>
      <c r="CO4721">
        <v>82</v>
      </c>
      <c r="CP4721">
        <v>-2.2000000000000002</v>
      </c>
      <c r="CQ4721">
        <v>83</v>
      </c>
      <c r="CR4721">
        <v>0</v>
      </c>
      <c r="CS4721">
        <v>0</v>
      </c>
      <c r="CT4721">
        <v>0.1</v>
      </c>
      <c r="CU4721">
        <v>73</v>
      </c>
      <c r="CV4721">
        <v>-0.18</v>
      </c>
      <c r="CW4721">
        <v>43</v>
      </c>
      <c r="CX4721" t="s">
        <v>3343</v>
      </c>
    </row>
    <row r="4722" spans="1:102" x14ac:dyDescent="0.3">
      <c r="A4722" t="str">
        <f>HYPERLINK("https://webapp.icbf.com/v2/app/bull-search/view/77853457","SRU")</f>
        <v>SRU</v>
      </c>
      <c r="B4722" t="s">
        <v>9883</v>
      </c>
      <c r="C4722" t="s">
        <v>4568</v>
      </c>
      <c r="D4722" s="1">
        <v>34090</v>
      </c>
      <c r="E4722" t="s">
        <v>92</v>
      </c>
      <c r="F4722">
        <v>100</v>
      </c>
      <c r="G4722" t="s">
        <v>93</v>
      </c>
      <c r="H4722">
        <v>-164.17</v>
      </c>
      <c r="I4722">
        <v>97</v>
      </c>
      <c r="J4722">
        <v>-4.74</v>
      </c>
      <c r="K4722">
        <v>99</v>
      </c>
      <c r="L4722">
        <v>-127.8</v>
      </c>
      <c r="M4722">
        <v>94</v>
      </c>
      <c r="N4722">
        <v>-24.01</v>
      </c>
      <c r="O4722">
        <v>98</v>
      </c>
      <c r="P4722">
        <v>-18.73</v>
      </c>
      <c r="Q4722">
        <v>99</v>
      </c>
      <c r="R4722">
        <v>-1.99</v>
      </c>
      <c r="S4722">
        <v>94</v>
      </c>
      <c r="T4722">
        <v>14.42</v>
      </c>
      <c r="U4722">
        <v>98</v>
      </c>
      <c r="V4722">
        <v>-1.32</v>
      </c>
      <c r="W4722">
        <v>94</v>
      </c>
      <c r="X4722" t="s">
        <v>131</v>
      </c>
      <c r="Y4722" t="s">
        <v>95</v>
      </c>
      <c r="Z4722" t="s">
        <v>96</v>
      </c>
      <c r="AA4722" t="s">
        <v>3763</v>
      </c>
      <c r="AB4722" t="s">
        <v>9884</v>
      </c>
      <c r="AC4722">
        <v>974</v>
      </c>
      <c r="AD4722">
        <v>385</v>
      </c>
      <c r="AE4722">
        <v>99</v>
      </c>
      <c r="AF4722">
        <v>178.89</v>
      </c>
      <c r="AG4722">
        <v>-4.49</v>
      </c>
      <c r="AH4722">
        <v>3.52</v>
      </c>
      <c r="AI4722">
        <v>-0.19</v>
      </c>
      <c r="AJ4722">
        <v>-0.04</v>
      </c>
      <c r="AK4722">
        <v>94</v>
      </c>
      <c r="AL4722">
        <v>900</v>
      </c>
      <c r="AM4722">
        <v>326</v>
      </c>
      <c r="AN4722">
        <v>7.13</v>
      </c>
      <c r="AO4722">
        <v>-3.06</v>
      </c>
      <c r="AP4722">
        <v>1687</v>
      </c>
      <c r="AQ4722">
        <v>0</v>
      </c>
      <c r="AR4722">
        <v>8.11</v>
      </c>
      <c r="AS4722">
        <v>98</v>
      </c>
      <c r="AT4722">
        <v>4.96</v>
      </c>
      <c r="AU4722">
        <v>99</v>
      </c>
      <c r="AV4722">
        <v>-0.03</v>
      </c>
      <c r="AW4722">
        <v>99</v>
      </c>
      <c r="AX4722">
        <v>0.12</v>
      </c>
      <c r="AY4722">
        <v>98</v>
      </c>
      <c r="AZ4722">
        <v>7.3</v>
      </c>
      <c r="BA4722">
        <v>94</v>
      </c>
      <c r="BB4722">
        <v>5.51</v>
      </c>
      <c r="BC4722">
        <v>94</v>
      </c>
      <c r="BD4722">
        <v>0.01</v>
      </c>
      <c r="BE4722">
        <v>0.01</v>
      </c>
      <c r="BF4722">
        <v>0.01</v>
      </c>
      <c r="BG4722">
        <v>98</v>
      </c>
      <c r="BH4722">
        <v>0.01</v>
      </c>
      <c r="BI4722">
        <v>5.41</v>
      </c>
      <c r="BJ4722">
        <v>467</v>
      </c>
      <c r="BK4722">
        <v>173</v>
      </c>
      <c r="BL4722">
        <v>0.79</v>
      </c>
      <c r="BM4722">
        <v>-2.8</v>
      </c>
      <c r="BN4722">
        <v>-1.2</v>
      </c>
      <c r="BO4722">
        <v>0.91</v>
      </c>
      <c r="BP4722">
        <v>-4.34</v>
      </c>
      <c r="BQ4722">
        <v>-0.19</v>
      </c>
      <c r="BR4722">
        <v>-0.36</v>
      </c>
      <c r="BS4722">
        <v>1.45</v>
      </c>
      <c r="BT4722">
        <v>0.41</v>
      </c>
      <c r="BU4722">
        <v>1.91</v>
      </c>
      <c r="BV4722">
        <v>2.64</v>
      </c>
      <c r="BW4722">
        <v>2.64</v>
      </c>
      <c r="BX4722">
        <v>2.62</v>
      </c>
      <c r="BY4722">
        <v>1.95</v>
      </c>
      <c r="BZ4722">
        <v>-1.2</v>
      </c>
      <c r="CA4722">
        <v>2.4300000000000002</v>
      </c>
      <c r="CB4722">
        <v>2.23</v>
      </c>
      <c r="CC4722">
        <v>1.43</v>
      </c>
      <c r="CD4722">
        <v>-1.84</v>
      </c>
      <c r="CE4722">
        <v>0.97</v>
      </c>
      <c r="CF4722">
        <v>-0.69</v>
      </c>
      <c r="CG4722">
        <v>0</v>
      </c>
      <c r="CH4722">
        <v>1.92</v>
      </c>
      <c r="CI4722">
        <v>0</v>
      </c>
      <c r="CJ4722">
        <v>-9.3000000000000007</v>
      </c>
      <c r="CK4722">
        <v>99</v>
      </c>
      <c r="CL4722">
        <v>-1.18</v>
      </c>
      <c r="CM4722">
        <v>99</v>
      </c>
      <c r="CN4722">
        <v>-0.64</v>
      </c>
      <c r="CO4722">
        <v>99</v>
      </c>
      <c r="CP4722">
        <v>-8.1</v>
      </c>
      <c r="CQ4722">
        <v>99</v>
      </c>
      <c r="CR4722">
        <v>0</v>
      </c>
      <c r="CS4722">
        <v>0</v>
      </c>
      <c r="CT4722">
        <v>-5.7</v>
      </c>
      <c r="CU4722">
        <v>98</v>
      </c>
      <c r="CV4722">
        <v>0.1</v>
      </c>
      <c r="CW4722">
        <v>46</v>
      </c>
      <c r="CX4722" t="s">
        <v>154</v>
      </c>
    </row>
    <row r="4723" spans="1:102" x14ac:dyDescent="0.3">
      <c r="A4723" t="str">
        <f>HYPERLINK("https://webapp.icbf.com/v2/app/bull-search/view/77855683","LFP")</f>
        <v>LFP</v>
      </c>
      <c r="B4723" t="s">
        <v>8549</v>
      </c>
      <c r="C4723" t="s">
        <v>8550</v>
      </c>
      <c r="D4723" s="1">
        <v>32399</v>
      </c>
      <c r="E4723" t="s">
        <v>92</v>
      </c>
      <c r="F4723">
        <v>78</v>
      </c>
      <c r="G4723" t="s">
        <v>116</v>
      </c>
      <c r="H4723">
        <v>-164.4</v>
      </c>
      <c r="I4723">
        <v>43</v>
      </c>
      <c r="J4723">
        <v>-75.13</v>
      </c>
      <c r="K4723">
        <v>41</v>
      </c>
      <c r="L4723">
        <v>-85.51</v>
      </c>
      <c r="M4723">
        <v>49</v>
      </c>
      <c r="N4723">
        <v>-1.03</v>
      </c>
      <c r="O4723">
        <v>33</v>
      </c>
      <c r="P4723">
        <v>-8.16</v>
      </c>
      <c r="Q4723">
        <v>51</v>
      </c>
      <c r="R4723">
        <v>-14.44</v>
      </c>
      <c r="S4723">
        <v>49</v>
      </c>
      <c r="T4723">
        <v>20.56</v>
      </c>
      <c r="U4723">
        <v>40</v>
      </c>
      <c r="V4723">
        <v>-0.69</v>
      </c>
      <c r="W4723">
        <v>18</v>
      </c>
      <c r="X4723" t="s">
        <v>94</v>
      </c>
      <c r="Y4723" t="s">
        <v>95</v>
      </c>
      <c r="Z4723" t="s">
        <v>96</v>
      </c>
      <c r="AA4723" t="s">
        <v>488</v>
      </c>
      <c r="AB4723" t="s">
        <v>8551</v>
      </c>
      <c r="AC4723">
        <v>4</v>
      </c>
      <c r="AD4723">
        <v>4</v>
      </c>
      <c r="AE4723">
        <v>41</v>
      </c>
      <c r="AF4723">
        <v>-409.45</v>
      </c>
      <c r="AG4723">
        <v>-11.97</v>
      </c>
      <c r="AH4723">
        <v>-14.81</v>
      </c>
      <c r="AI4723">
        <v>7.0000000000000007E-2</v>
      </c>
      <c r="AJ4723">
        <v>-0.01</v>
      </c>
      <c r="AK4723">
        <v>49</v>
      </c>
      <c r="AL4723">
        <v>34</v>
      </c>
      <c r="AM4723">
        <v>28</v>
      </c>
      <c r="AN4723">
        <v>3.07</v>
      </c>
      <c r="AO4723">
        <v>-3.77</v>
      </c>
      <c r="AP4723">
        <v>1</v>
      </c>
      <c r="AQ4723">
        <v>0</v>
      </c>
      <c r="AR4723">
        <v>5.8</v>
      </c>
      <c r="AS4723">
        <v>19</v>
      </c>
      <c r="AT4723">
        <v>2.75</v>
      </c>
      <c r="AU4723">
        <v>30</v>
      </c>
      <c r="AV4723">
        <v>0.48</v>
      </c>
      <c r="AW4723">
        <v>38</v>
      </c>
      <c r="AX4723">
        <v>-0.37</v>
      </c>
      <c r="AY4723">
        <v>45</v>
      </c>
      <c r="AZ4723">
        <v>7.48</v>
      </c>
      <c r="BA4723">
        <v>20</v>
      </c>
      <c r="BB4723">
        <v>5.76</v>
      </c>
      <c r="BC4723">
        <v>26</v>
      </c>
      <c r="BD4723">
        <v>0.06</v>
      </c>
      <c r="BE4723">
        <v>0.08</v>
      </c>
      <c r="BF4723">
        <v>0.08</v>
      </c>
      <c r="BG4723">
        <v>70</v>
      </c>
      <c r="BH4723">
        <v>0.09</v>
      </c>
      <c r="BI4723">
        <v>12.65</v>
      </c>
      <c r="BJ4723">
        <v>8</v>
      </c>
      <c r="BK4723">
        <v>8</v>
      </c>
      <c r="BL4723">
        <v>-1.1100000000000001</v>
      </c>
      <c r="BM4723">
        <v>0.78</v>
      </c>
      <c r="BN4723">
        <v>-0.43</v>
      </c>
      <c r="BO4723">
        <v>-1.3</v>
      </c>
      <c r="BP4723">
        <v>-1.82</v>
      </c>
      <c r="BQ4723">
        <v>-0.49</v>
      </c>
      <c r="BR4723">
        <v>1.4</v>
      </c>
      <c r="BS4723">
        <v>-0.71</v>
      </c>
      <c r="BT4723">
        <v>-1.38</v>
      </c>
      <c r="BU4723">
        <v>0.09</v>
      </c>
      <c r="BV4723">
        <v>-0.57999999999999996</v>
      </c>
      <c r="BW4723">
        <v>-1.04</v>
      </c>
      <c r="BX4723">
        <v>0.64</v>
      </c>
      <c r="BY4723">
        <v>-0.33</v>
      </c>
      <c r="BZ4723">
        <v>-1.1100000000000001</v>
      </c>
      <c r="CA4723">
        <v>-0.96</v>
      </c>
      <c r="CB4723">
        <v>-0.52</v>
      </c>
      <c r="CC4723">
        <v>-1.49</v>
      </c>
      <c r="CD4723">
        <v>0.64</v>
      </c>
      <c r="CE4723">
        <v>-1.46</v>
      </c>
      <c r="CF4723">
        <v>-1.29</v>
      </c>
      <c r="CG4723">
        <v>0</v>
      </c>
      <c r="CH4723">
        <v>-1.2</v>
      </c>
      <c r="CI4723">
        <v>0</v>
      </c>
      <c r="CJ4723">
        <v>-2.4</v>
      </c>
      <c r="CK4723">
        <v>53</v>
      </c>
      <c r="CL4723">
        <v>-0.35</v>
      </c>
      <c r="CM4723">
        <v>49</v>
      </c>
      <c r="CN4723">
        <v>-0.03</v>
      </c>
      <c r="CO4723">
        <v>46</v>
      </c>
      <c r="CP4723">
        <v>-10.6</v>
      </c>
      <c r="CQ4723">
        <v>46</v>
      </c>
      <c r="CR4723">
        <v>0</v>
      </c>
      <c r="CS4723">
        <v>0</v>
      </c>
      <c r="CT4723">
        <v>-14</v>
      </c>
      <c r="CU4723">
        <v>40</v>
      </c>
      <c r="CV4723">
        <v>0.1</v>
      </c>
      <c r="CW4723">
        <v>14</v>
      </c>
      <c r="CX4723" t="s">
        <v>1485</v>
      </c>
    </row>
    <row r="4724" spans="1:102" x14ac:dyDescent="0.3">
      <c r="A4724" t="str">
        <f>HYPERLINK("https://webapp.icbf.com/v2/app/bull-search/view/69091537","DXE")</f>
        <v>DXE</v>
      </c>
      <c r="B4724" t="s">
        <v>3214</v>
      </c>
      <c r="C4724" t="s">
        <v>3215</v>
      </c>
      <c r="D4724" s="1">
        <v>34656</v>
      </c>
      <c r="E4724" t="s">
        <v>92</v>
      </c>
      <c r="F4724">
        <v>100</v>
      </c>
      <c r="G4724" t="s">
        <v>93</v>
      </c>
      <c r="H4724">
        <v>-164.87</v>
      </c>
      <c r="I4724">
        <v>90</v>
      </c>
      <c r="J4724">
        <v>0.4</v>
      </c>
      <c r="K4724">
        <v>97</v>
      </c>
      <c r="L4724">
        <v>-174.65</v>
      </c>
      <c r="M4724">
        <v>90</v>
      </c>
      <c r="N4724">
        <v>5.95</v>
      </c>
      <c r="O4724">
        <v>82</v>
      </c>
      <c r="P4724">
        <v>-0.2</v>
      </c>
      <c r="Q4724">
        <v>92</v>
      </c>
      <c r="R4724">
        <v>8.67</v>
      </c>
      <c r="S4724">
        <v>82</v>
      </c>
      <c r="T4724">
        <v>-0.23</v>
      </c>
      <c r="U4724">
        <v>85</v>
      </c>
      <c r="V4724">
        <v>-4.8099999999999996</v>
      </c>
      <c r="W4724">
        <v>71</v>
      </c>
      <c r="X4724" t="s">
        <v>276</v>
      </c>
      <c r="Y4724" t="s">
        <v>95</v>
      </c>
      <c r="Z4724" t="s">
        <v>96</v>
      </c>
      <c r="AA4724" t="s">
        <v>3216</v>
      </c>
      <c r="AB4724" t="s">
        <v>3217</v>
      </c>
      <c r="AC4724">
        <v>113</v>
      </c>
      <c r="AD4724">
        <v>57</v>
      </c>
      <c r="AE4724">
        <v>97</v>
      </c>
      <c r="AF4724">
        <v>59.54</v>
      </c>
      <c r="AG4724">
        <v>-0.06</v>
      </c>
      <c r="AH4724">
        <v>1</v>
      </c>
      <c r="AI4724">
        <v>-0.04</v>
      </c>
      <c r="AJ4724">
        <v>-0.02</v>
      </c>
      <c r="AK4724">
        <v>90</v>
      </c>
      <c r="AL4724">
        <v>99</v>
      </c>
      <c r="AM4724">
        <v>51</v>
      </c>
      <c r="AN4724">
        <v>9.3800000000000008</v>
      </c>
      <c r="AO4724">
        <v>-4.55</v>
      </c>
      <c r="AP4724">
        <v>151</v>
      </c>
      <c r="AQ4724">
        <v>1</v>
      </c>
      <c r="AR4724">
        <v>8.44</v>
      </c>
      <c r="AS4724">
        <v>71</v>
      </c>
      <c r="AT4724">
        <v>3.8</v>
      </c>
      <c r="AU4724">
        <v>92</v>
      </c>
      <c r="AV4724">
        <v>-1.43</v>
      </c>
      <c r="AW4724">
        <v>83</v>
      </c>
      <c r="AX4724">
        <v>-0.84</v>
      </c>
      <c r="AY4724">
        <v>81</v>
      </c>
      <c r="AZ4724">
        <v>5.77</v>
      </c>
      <c r="BA4724">
        <v>68</v>
      </c>
      <c r="BB4724">
        <v>4.96</v>
      </c>
      <c r="BC4724">
        <v>70</v>
      </c>
      <c r="BD4724">
        <v>-0.02</v>
      </c>
      <c r="BE4724">
        <v>-0.04</v>
      </c>
      <c r="BF4724">
        <v>-0.09</v>
      </c>
      <c r="BG4724">
        <v>94</v>
      </c>
      <c r="BH4724">
        <v>-0.05</v>
      </c>
      <c r="BI4724">
        <v>9.73</v>
      </c>
      <c r="BJ4724">
        <v>15</v>
      </c>
      <c r="BK4724">
        <v>9</v>
      </c>
      <c r="BL4724">
        <v>1.01</v>
      </c>
      <c r="BM4724">
        <v>0.36</v>
      </c>
      <c r="BN4724">
        <v>0.39</v>
      </c>
      <c r="BO4724">
        <v>0.06</v>
      </c>
      <c r="BP4724">
        <v>-0.38</v>
      </c>
      <c r="BQ4724">
        <v>2.3199999999999998</v>
      </c>
      <c r="BR4724">
        <v>0.14000000000000001</v>
      </c>
      <c r="BS4724">
        <v>-0.57999999999999996</v>
      </c>
      <c r="BT4724">
        <v>-0.24</v>
      </c>
      <c r="BU4724">
        <v>1.39</v>
      </c>
      <c r="BV4724">
        <v>0.12</v>
      </c>
      <c r="BW4724">
        <v>0.56999999999999995</v>
      </c>
      <c r="BX4724">
        <v>1.52</v>
      </c>
      <c r="BY4724">
        <v>1.06</v>
      </c>
      <c r="BZ4724">
        <v>0.42</v>
      </c>
      <c r="CA4724">
        <v>0.87</v>
      </c>
      <c r="CB4724">
        <v>0.81</v>
      </c>
      <c r="CC4724">
        <v>0.62</v>
      </c>
      <c r="CD4724">
        <v>0.4</v>
      </c>
      <c r="CE4724">
        <v>0.13</v>
      </c>
      <c r="CF4724">
        <v>0.14000000000000001</v>
      </c>
      <c r="CG4724">
        <v>0</v>
      </c>
      <c r="CH4724">
        <v>1.33</v>
      </c>
      <c r="CI4724">
        <v>0</v>
      </c>
      <c r="CJ4724">
        <v>2.4</v>
      </c>
      <c r="CK4724">
        <v>93</v>
      </c>
      <c r="CL4724">
        <v>-0.67</v>
      </c>
      <c r="CM4724">
        <v>92</v>
      </c>
      <c r="CN4724">
        <v>-0.21</v>
      </c>
      <c r="CO4724">
        <v>91</v>
      </c>
      <c r="CP4724">
        <v>6.3</v>
      </c>
      <c r="CQ4724">
        <v>91</v>
      </c>
      <c r="CR4724">
        <v>0</v>
      </c>
      <c r="CS4724">
        <v>0</v>
      </c>
      <c r="CT4724">
        <v>14.1</v>
      </c>
      <c r="CU4724">
        <v>85</v>
      </c>
      <c r="CV4724">
        <v>0.14000000000000001</v>
      </c>
      <c r="CW4724">
        <v>44</v>
      </c>
      <c r="CX4724" t="s">
        <v>564</v>
      </c>
    </row>
    <row r="4725" spans="1:102" x14ac:dyDescent="0.3">
      <c r="A4725" t="str">
        <f>HYPERLINK("https://webapp.icbf.com/v2/app/bull-search/view/124414749","HHI")</f>
        <v>HHI</v>
      </c>
      <c r="B4725" t="s">
        <v>11481</v>
      </c>
      <c r="C4725" t="s">
        <v>11482</v>
      </c>
      <c r="D4725" s="1">
        <v>36557</v>
      </c>
      <c r="E4725" t="s">
        <v>92</v>
      </c>
      <c r="F4725">
        <v>100</v>
      </c>
      <c r="G4725" t="s">
        <v>93</v>
      </c>
      <c r="H4725">
        <v>-165.2</v>
      </c>
      <c r="I4725">
        <v>83</v>
      </c>
      <c r="J4725">
        <v>24.16</v>
      </c>
      <c r="K4725">
        <v>95</v>
      </c>
      <c r="L4725">
        <v>-173.81</v>
      </c>
      <c r="M4725">
        <v>77</v>
      </c>
      <c r="N4725">
        <v>-6.78</v>
      </c>
      <c r="O4725">
        <v>75</v>
      </c>
      <c r="P4725">
        <v>-2.39</v>
      </c>
      <c r="Q4725">
        <v>84</v>
      </c>
      <c r="R4725">
        <v>-8.44</v>
      </c>
      <c r="S4725">
        <v>77</v>
      </c>
      <c r="T4725">
        <v>8.1300000000000008</v>
      </c>
      <c r="U4725">
        <v>72</v>
      </c>
      <c r="V4725">
        <v>-6.07</v>
      </c>
      <c r="W4725">
        <v>70</v>
      </c>
      <c r="X4725" t="s">
        <v>94</v>
      </c>
      <c r="Y4725" t="s">
        <v>95</v>
      </c>
      <c r="Z4725" t="s">
        <v>96</v>
      </c>
      <c r="AA4725" t="s">
        <v>174</v>
      </c>
      <c r="AB4725" t="s">
        <v>11483</v>
      </c>
      <c r="AC4725">
        <v>43</v>
      </c>
      <c r="AD4725">
        <v>31</v>
      </c>
      <c r="AE4725">
        <v>95</v>
      </c>
      <c r="AF4725">
        <v>344.74</v>
      </c>
      <c r="AG4725">
        <v>2.39</v>
      </c>
      <c r="AH4725">
        <v>8.5399999999999991</v>
      </c>
      <c r="AI4725">
        <v>-0.18</v>
      </c>
      <c r="AJ4725">
        <v>-0.05</v>
      </c>
      <c r="AK4725">
        <v>77</v>
      </c>
      <c r="AL4725">
        <v>37</v>
      </c>
      <c r="AM4725">
        <v>28</v>
      </c>
      <c r="AN4725">
        <v>10.36</v>
      </c>
      <c r="AO4725">
        <v>-3.49</v>
      </c>
      <c r="AP4725">
        <v>44</v>
      </c>
      <c r="AQ4725">
        <v>0</v>
      </c>
      <c r="AR4725">
        <v>7.8</v>
      </c>
      <c r="AS4725">
        <v>64</v>
      </c>
      <c r="AT4725">
        <v>3.64</v>
      </c>
      <c r="AU4725">
        <v>79</v>
      </c>
      <c r="AV4725">
        <v>-0.16</v>
      </c>
      <c r="AW4725">
        <v>81</v>
      </c>
      <c r="AX4725">
        <v>-0.47</v>
      </c>
      <c r="AY4725">
        <v>68</v>
      </c>
      <c r="AZ4725">
        <v>7.31</v>
      </c>
      <c r="BA4725">
        <v>59</v>
      </c>
      <c r="BB4725">
        <v>5.5</v>
      </c>
      <c r="BC4725">
        <v>61</v>
      </c>
      <c r="BD4725">
        <v>0.03</v>
      </c>
      <c r="BE4725">
        <v>0.06</v>
      </c>
      <c r="BF4725">
        <v>0.03</v>
      </c>
      <c r="BG4725">
        <v>86</v>
      </c>
      <c r="BH4725">
        <v>0.01</v>
      </c>
      <c r="BI4725">
        <v>20.75</v>
      </c>
      <c r="BJ4725">
        <v>15</v>
      </c>
      <c r="BK4725">
        <v>13</v>
      </c>
      <c r="BL4725">
        <v>-0.71</v>
      </c>
      <c r="BM4725">
        <v>1.17</v>
      </c>
      <c r="BN4725">
        <v>0.7</v>
      </c>
      <c r="BO4725">
        <v>-0.03</v>
      </c>
      <c r="BP4725">
        <v>1.55</v>
      </c>
      <c r="BQ4725">
        <v>0.66</v>
      </c>
      <c r="BR4725">
        <v>-0.61</v>
      </c>
      <c r="BS4725">
        <v>-2.81</v>
      </c>
      <c r="BT4725">
        <v>0.56999999999999995</v>
      </c>
      <c r="BU4725">
        <v>-1.98</v>
      </c>
      <c r="BV4725">
        <v>-1.34</v>
      </c>
      <c r="BW4725">
        <v>-0.61</v>
      </c>
      <c r="BX4725">
        <v>-2.4300000000000002</v>
      </c>
      <c r="BY4725">
        <v>1.2</v>
      </c>
      <c r="BZ4725">
        <v>0.65</v>
      </c>
      <c r="CA4725">
        <v>-2.02</v>
      </c>
      <c r="CB4725">
        <v>-1.28</v>
      </c>
      <c r="CC4725">
        <v>-2.31</v>
      </c>
      <c r="CD4725">
        <v>0.02</v>
      </c>
      <c r="CE4725">
        <v>-0.19</v>
      </c>
      <c r="CF4725">
        <v>-0.55000000000000004</v>
      </c>
      <c r="CG4725">
        <v>0</v>
      </c>
      <c r="CH4725">
        <v>-0.1</v>
      </c>
      <c r="CI4725">
        <v>0</v>
      </c>
      <c r="CJ4725">
        <v>1</v>
      </c>
      <c r="CK4725">
        <v>85</v>
      </c>
      <c r="CL4725">
        <v>-0.45</v>
      </c>
      <c r="CM4725">
        <v>82</v>
      </c>
      <c r="CN4725">
        <v>-0.08</v>
      </c>
      <c r="CO4725">
        <v>80</v>
      </c>
      <c r="CP4725">
        <v>-0.4</v>
      </c>
      <c r="CQ4725">
        <v>83</v>
      </c>
      <c r="CR4725">
        <v>0</v>
      </c>
      <c r="CS4725">
        <v>0</v>
      </c>
      <c r="CT4725">
        <v>2.8</v>
      </c>
      <c r="CU4725">
        <v>72</v>
      </c>
      <c r="CV4725">
        <v>0.04</v>
      </c>
      <c r="CW4725">
        <v>43</v>
      </c>
      <c r="CX4725" t="s">
        <v>105</v>
      </c>
    </row>
    <row r="4726" spans="1:102" x14ac:dyDescent="0.3">
      <c r="A4726" t="str">
        <f>HYPERLINK("https://webapp.icbf.com/v2/app/bull-search/view/77857729","ETW")</f>
        <v>ETW</v>
      </c>
      <c r="B4726" t="s">
        <v>3471</v>
      </c>
      <c r="C4726" t="s">
        <v>1606</v>
      </c>
      <c r="D4726" s="1">
        <v>33961</v>
      </c>
      <c r="E4726" t="s">
        <v>92</v>
      </c>
      <c r="F4726">
        <v>100</v>
      </c>
      <c r="G4726" t="s">
        <v>93</v>
      </c>
      <c r="H4726">
        <v>-165.39</v>
      </c>
      <c r="I4726">
        <v>93</v>
      </c>
      <c r="J4726">
        <v>39.5</v>
      </c>
      <c r="K4726">
        <v>98</v>
      </c>
      <c r="L4726">
        <v>-187.18</v>
      </c>
      <c r="M4726">
        <v>92</v>
      </c>
      <c r="N4726">
        <v>-6.98</v>
      </c>
      <c r="O4726">
        <v>90</v>
      </c>
      <c r="P4726">
        <v>0.11</v>
      </c>
      <c r="Q4726">
        <v>94</v>
      </c>
      <c r="R4726">
        <v>-24.75</v>
      </c>
      <c r="S4726">
        <v>84</v>
      </c>
      <c r="T4726">
        <v>4.6500000000000004</v>
      </c>
      <c r="U4726">
        <v>94</v>
      </c>
      <c r="V4726">
        <v>9.26</v>
      </c>
      <c r="W4726">
        <v>77</v>
      </c>
      <c r="X4726" t="s">
        <v>94</v>
      </c>
      <c r="Y4726" t="s">
        <v>95</v>
      </c>
      <c r="Z4726" t="s">
        <v>96</v>
      </c>
      <c r="AA4726" t="s">
        <v>485</v>
      </c>
      <c r="AB4726" t="s">
        <v>3472</v>
      </c>
      <c r="AC4726">
        <v>184</v>
      </c>
      <c r="AD4726">
        <v>55</v>
      </c>
      <c r="AE4726">
        <v>98</v>
      </c>
      <c r="AF4726">
        <v>509.74</v>
      </c>
      <c r="AG4726">
        <v>6.7</v>
      </c>
      <c r="AH4726">
        <v>12.15</v>
      </c>
      <c r="AI4726">
        <v>-0.21</v>
      </c>
      <c r="AJ4726">
        <v>-0.08</v>
      </c>
      <c r="AK4726">
        <v>92</v>
      </c>
      <c r="AL4726">
        <v>165</v>
      </c>
      <c r="AM4726">
        <v>49</v>
      </c>
      <c r="AN4726">
        <v>9.24</v>
      </c>
      <c r="AO4726">
        <v>-5.7</v>
      </c>
      <c r="AP4726">
        <v>168</v>
      </c>
      <c r="AQ4726">
        <v>0</v>
      </c>
      <c r="AR4726">
        <v>8.57</v>
      </c>
      <c r="AS4726">
        <v>81</v>
      </c>
      <c r="AT4726">
        <v>4.2300000000000004</v>
      </c>
      <c r="AU4726">
        <v>94</v>
      </c>
      <c r="AV4726">
        <v>-0.47</v>
      </c>
      <c r="AW4726">
        <v>94</v>
      </c>
      <c r="AX4726">
        <v>0.27</v>
      </c>
      <c r="AY4726">
        <v>88</v>
      </c>
      <c r="AZ4726">
        <v>5.4</v>
      </c>
      <c r="BA4726">
        <v>77</v>
      </c>
      <c r="BB4726">
        <v>4.57</v>
      </c>
      <c r="BC4726">
        <v>77</v>
      </c>
      <c r="BD4726">
        <v>0.12</v>
      </c>
      <c r="BE4726">
        <v>0.11</v>
      </c>
      <c r="BF4726">
        <v>0.16</v>
      </c>
      <c r="BG4726">
        <v>93</v>
      </c>
      <c r="BH4726">
        <v>0.22</v>
      </c>
      <c r="BI4726">
        <v>-4.42</v>
      </c>
      <c r="BJ4726">
        <v>50</v>
      </c>
      <c r="BK4726">
        <v>14</v>
      </c>
      <c r="BL4726">
        <v>0.44</v>
      </c>
      <c r="BM4726">
        <v>1.06</v>
      </c>
      <c r="BN4726">
        <v>1.73</v>
      </c>
      <c r="BO4726">
        <v>1.18</v>
      </c>
      <c r="BP4726">
        <v>-0.89</v>
      </c>
      <c r="BQ4726">
        <v>0.46</v>
      </c>
      <c r="BR4726">
        <v>0.86</v>
      </c>
      <c r="BS4726">
        <v>-0.02</v>
      </c>
      <c r="BT4726">
        <v>-1.0900000000000001</v>
      </c>
      <c r="BU4726">
        <v>-0.17</v>
      </c>
      <c r="BV4726">
        <v>1.39</v>
      </c>
      <c r="BW4726">
        <v>0.06</v>
      </c>
      <c r="BX4726">
        <v>-2.0299999999999998</v>
      </c>
      <c r="BY4726">
        <v>-0.59</v>
      </c>
      <c r="BZ4726">
        <v>0.92</v>
      </c>
      <c r="CA4726">
        <v>0.51</v>
      </c>
      <c r="CB4726">
        <v>0.85</v>
      </c>
      <c r="CC4726">
        <v>-0.25</v>
      </c>
      <c r="CD4726">
        <v>-0.24</v>
      </c>
      <c r="CE4726">
        <v>0.88</v>
      </c>
      <c r="CF4726">
        <v>0.8</v>
      </c>
      <c r="CG4726">
        <v>0</v>
      </c>
      <c r="CH4726">
        <v>-0.77</v>
      </c>
      <c r="CI4726">
        <v>0</v>
      </c>
      <c r="CJ4726">
        <v>1.4</v>
      </c>
      <c r="CK4726">
        <v>94</v>
      </c>
      <c r="CL4726">
        <v>-0.63</v>
      </c>
      <c r="CM4726">
        <v>93</v>
      </c>
      <c r="CN4726">
        <v>-0.45</v>
      </c>
      <c r="CO4726">
        <v>92</v>
      </c>
      <c r="CP4726">
        <v>-3.9</v>
      </c>
      <c r="CQ4726">
        <v>94</v>
      </c>
      <c r="CR4726">
        <v>0</v>
      </c>
      <c r="CS4726">
        <v>0</v>
      </c>
      <c r="CT4726">
        <v>7.5</v>
      </c>
      <c r="CU4726">
        <v>94</v>
      </c>
      <c r="CV4726">
        <v>0.13</v>
      </c>
      <c r="CW4726">
        <v>45</v>
      </c>
      <c r="CX4726" t="s">
        <v>3473</v>
      </c>
    </row>
    <row r="4727" spans="1:102" x14ac:dyDescent="0.3">
      <c r="A4727" t="str">
        <f>HYPERLINK("https://webapp.icbf.com/v2/app/bull-search/view/77859244","AJL")</f>
        <v>AJL</v>
      </c>
      <c r="B4727" t="s">
        <v>3832</v>
      </c>
      <c r="C4727" t="s">
        <v>3833</v>
      </c>
      <c r="D4727" s="1">
        <v>34268</v>
      </c>
      <c r="E4727" t="s">
        <v>92</v>
      </c>
      <c r="F4727">
        <v>100</v>
      </c>
      <c r="G4727" t="s">
        <v>93</v>
      </c>
      <c r="H4727">
        <v>-165.57</v>
      </c>
      <c r="I4727">
        <v>93</v>
      </c>
      <c r="J4727">
        <v>2.67</v>
      </c>
      <c r="K4727">
        <v>99</v>
      </c>
      <c r="L4727">
        <v>-100.74</v>
      </c>
      <c r="M4727">
        <v>91</v>
      </c>
      <c r="N4727">
        <v>-42.21</v>
      </c>
      <c r="O4727">
        <v>92</v>
      </c>
      <c r="P4727">
        <v>-1.0900000000000001</v>
      </c>
      <c r="Q4727">
        <v>98</v>
      </c>
      <c r="R4727">
        <v>-16.899999999999999</v>
      </c>
      <c r="S4727">
        <v>82</v>
      </c>
      <c r="T4727">
        <v>-6.3</v>
      </c>
      <c r="U4727">
        <v>90</v>
      </c>
      <c r="V4727">
        <v>-1</v>
      </c>
      <c r="W4727">
        <v>65</v>
      </c>
      <c r="X4727" t="s">
        <v>94</v>
      </c>
      <c r="Y4727" t="s">
        <v>95</v>
      </c>
      <c r="Z4727" t="s">
        <v>96</v>
      </c>
      <c r="AA4727" t="s">
        <v>650</v>
      </c>
      <c r="AB4727" t="s">
        <v>3834</v>
      </c>
      <c r="AC4727">
        <v>461</v>
      </c>
      <c r="AD4727">
        <v>168</v>
      </c>
      <c r="AE4727">
        <v>99</v>
      </c>
      <c r="AF4727">
        <v>94.21</v>
      </c>
      <c r="AG4727">
        <v>3.21</v>
      </c>
      <c r="AH4727">
        <v>0.76</v>
      </c>
      <c r="AI4727">
        <v>-0.01</v>
      </c>
      <c r="AJ4727">
        <v>-0.04</v>
      </c>
      <c r="AK4727">
        <v>91</v>
      </c>
      <c r="AL4727">
        <v>393</v>
      </c>
      <c r="AM4727">
        <v>154</v>
      </c>
      <c r="AN4727">
        <v>4.2300000000000004</v>
      </c>
      <c r="AO4727">
        <v>-3.82</v>
      </c>
      <c r="AP4727">
        <v>454</v>
      </c>
      <c r="AQ4727">
        <v>0</v>
      </c>
      <c r="AR4727">
        <v>12.9</v>
      </c>
      <c r="AS4727">
        <v>83</v>
      </c>
      <c r="AT4727">
        <v>5.94</v>
      </c>
      <c r="AU4727">
        <v>94</v>
      </c>
      <c r="AV4727">
        <v>-0.6</v>
      </c>
      <c r="AW4727">
        <v>97</v>
      </c>
      <c r="AX4727">
        <v>0.13</v>
      </c>
      <c r="AY4727">
        <v>93</v>
      </c>
      <c r="AZ4727">
        <v>5.23</v>
      </c>
      <c r="BA4727">
        <v>82</v>
      </c>
      <c r="BB4727">
        <v>4.37</v>
      </c>
      <c r="BC4727">
        <v>83</v>
      </c>
      <c r="BD4727">
        <v>7.0000000000000007E-2</v>
      </c>
      <c r="BE4727">
        <v>0.08</v>
      </c>
      <c r="BF4727">
        <v>0.12</v>
      </c>
      <c r="BG4727">
        <v>96</v>
      </c>
      <c r="BH4727">
        <v>0</v>
      </c>
      <c r="BI4727">
        <v>3.24</v>
      </c>
      <c r="BJ4727">
        <v>90</v>
      </c>
      <c r="BK4727">
        <v>42</v>
      </c>
      <c r="BL4727">
        <v>1.81</v>
      </c>
      <c r="BM4727">
        <v>-1.18</v>
      </c>
      <c r="BN4727">
        <v>0.3</v>
      </c>
      <c r="BO4727">
        <v>1.38</v>
      </c>
      <c r="BP4727">
        <v>1.42</v>
      </c>
      <c r="BQ4727">
        <v>0.7</v>
      </c>
      <c r="BR4727">
        <v>-0.9</v>
      </c>
      <c r="BS4727">
        <v>0.17</v>
      </c>
      <c r="BT4727">
        <v>1.99</v>
      </c>
      <c r="BU4727">
        <v>-0.52</v>
      </c>
      <c r="BV4727">
        <v>0.92</v>
      </c>
      <c r="BW4727">
        <v>1.1100000000000001</v>
      </c>
      <c r="BX4727">
        <v>0.06</v>
      </c>
      <c r="BY4727">
        <v>-1.48</v>
      </c>
      <c r="BZ4727">
        <v>4.29</v>
      </c>
      <c r="CA4727">
        <v>0.13</v>
      </c>
      <c r="CB4727">
        <v>-0.34</v>
      </c>
      <c r="CC4727">
        <v>1.01</v>
      </c>
      <c r="CD4727">
        <v>-1.35</v>
      </c>
      <c r="CE4727">
        <v>1.41</v>
      </c>
      <c r="CF4727">
        <v>1.83</v>
      </c>
      <c r="CG4727">
        <v>0</v>
      </c>
      <c r="CH4727">
        <v>0.26</v>
      </c>
      <c r="CI4727">
        <v>0</v>
      </c>
      <c r="CJ4727">
        <v>2.7</v>
      </c>
      <c r="CK4727">
        <v>98</v>
      </c>
      <c r="CL4727">
        <v>-0.78</v>
      </c>
      <c r="CM4727">
        <v>97</v>
      </c>
      <c r="CN4727">
        <v>-0.22</v>
      </c>
      <c r="CO4727">
        <v>97</v>
      </c>
      <c r="CP4727">
        <v>4.4000000000000004</v>
      </c>
      <c r="CQ4727">
        <v>97</v>
      </c>
      <c r="CR4727">
        <v>0</v>
      </c>
      <c r="CS4727">
        <v>0</v>
      </c>
      <c r="CT4727">
        <v>22.3</v>
      </c>
      <c r="CU4727">
        <v>90</v>
      </c>
      <c r="CV4727">
        <v>0.31</v>
      </c>
      <c r="CW4727">
        <v>28</v>
      </c>
      <c r="CX4727" t="s">
        <v>132</v>
      </c>
    </row>
    <row r="4728" spans="1:102" x14ac:dyDescent="0.3">
      <c r="A4728" t="str">
        <f>HYPERLINK("https://webapp.icbf.com/v2/app/bull-search/view/77853031","WFT")</f>
        <v>WFT</v>
      </c>
      <c r="B4728" t="s">
        <v>6452</v>
      </c>
      <c r="C4728" t="s">
        <v>6453</v>
      </c>
      <c r="D4728" s="1">
        <v>34223</v>
      </c>
      <c r="E4728" t="s">
        <v>92</v>
      </c>
      <c r="F4728">
        <v>100</v>
      </c>
      <c r="G4728" t="s">
        <v>109</v>
      </c>
      <c r="H4728">
        <v>-165.91</v>
      </c>
      <c r="I4728">
        <v>65</v>
      </c>
      <c r="J4728">
        <v>-24.92</v>
      </c>
      <c r="K4728">
        <v>83</v>
      </c>
      <c r="L4728">
        <v>-131.58000000000001</v>
      </c>
      <c r="M4728">
        <v>78</v>
      </c>
      <c r="N4728">
        <v>-3.91</v>
      </c>
      <c r="O4728">
        <v>40</v>
      </c>
      <c r="P4728">
        <v>-1.01</v>
      </c>
      <c r="Q4728">
        <v>31</v>
      </c>
      <c r="R4728">
        <v>-8.8699999999999992</v>
      </c>
      <c r="S4728">
        <v>57</v>
      </c>
      <c r="T4728">
        <v>7.31</v>
      </c>
      <c r="U4728">
        <v>34</v>
      </c>
      <c r="V4728">
        <v>-2.93</v>
      </c>
      <c r="W4728">
        <v>14</v>
      </c>
      <c r="X4728" t="s">
        <v>558</v>
      </c>
      <c r="Y4728" t="s">
        <v>95</v>
      </c>
      <c r="Z4728" t="s">
        <v>96</v>
      </c>
      <c r="AA4728" t="s">
        <v>6454</v>
      </c>
      <c r="AB4728" t="s">
        <v>6455</v>
      </c>
      <c r="AC4728">
        <v>0</v>
      </c>
      <c r="AD4728">
        <v>0</v>
      </c>
      <c r="AE4728">
        <v>83</v>
      </c>
      <c r="AF4728">
        <v>39.96</v>
      </c>
      <c r="AG4728">
        <v>-3.55</v>
      </c>
      <c r="AH4728">
        <v>-2.37</v>
      </c>
      <c r="AI4728">
        <v>-0.08</v>
      </c>
      <c r="AJ4728">
        <v>-0.06</v>
      </c>
      <c r="AK4728">
        <v>78</v>
      </c>
      <c r="AL4728">
        <v>0</v>
      </c>
      <c r="AM4728">
        <v>0</v>
      </c>
      <c r="AN4728">
        <v>6.65</v>
      </c>
      <c r="AO4728">
        <v>-3.85</v>
      </c>
      <c r="AP4728">
        <v>2</v>
      </c>
      <c r="AQ4728">
        <v>0</v>
      </c>
      <c r="AR4728">
        <v>7.86</v>
      </c>
      <c r="AS4728">
        <v>17</v>
      </c>
      <c r="AT4728">
        <v>3.86</v>
      </c>
      <c r="AU4728">
        <v>82</v>
      </c>
      <c r="AV4728">
        <v>-0.87</v>
      </c>
      <c r="AW4728">
        <v>32</v>
      </c>
      <c r="AX4728">
        <v>0.02</v>
      </c>
      <c r="AY4728">
        <v>29</v>
      </c>
      <c r="AZ4728">
        <v>7.09</v>
      </c>
      <c r="BA4728">
        <v>19</v>
      </c>
      <c r="BB4728">
        <v>5.43</v>
      </c>
      <c r="BC4728">
        <v>16</v>
      </c>
      <c r="BD4728">
        <v>0.03</v>
      </c>
      <c r="BE4728">
        <v>0.06</v>
      </c>
      <c r="BF4728">
        <v>0.04</v>
      </c>
      <c r="BG4728">
        <v>87</v>
      </c>
      <c r="BH4728">
        <v>-0.06</v>
      </c>
      <c r="BI4728">
        <v>2.52</v>
      </c>
      <c r="BJ4728">
        <v>5</v>
      </c>
      <c r="BK4728">
        <v>1</v>
      </c>
      <c r="BL4728">
        <v>-0.04</v>
      </c>
      <c r="BM4728">
        <v>-1.0900000000000001</v>
      </c>
      <c r="BN4728">
        <v>-0.81</v>
      </c>
      <c r="BO4728">
        <v>-0.03</v>
      </c>
      <c r="BP4728">
        <v>-0.44</v>
      </c>
      <c r="BQ4728">
        <v>-0.32</v>
      </c>
      <c r="BR4728">
        <v>-1.1499999999999999</v>
      </c>
      <c r="BS4728">
        <v>0.49</v>
      </c>
      <c r="BT4728">
        <v>1.01</v>
      </c>
      <c r="BU4728">
        <v>1.1599999999999999</v>
      </c>
      <c r="BV4728">
        <v>1.1299999999999999</v>
      </c>
      <c r="BW4728">
        <v>0.26</v>
      </c>
      <c r="BX4728">
        <v>1.54</v>
      </c>
      <c r="BY4728">
        <v>-1.1599999999999999</v>
      </c>
      <c r="BZ4728">
        <v>1.68</v>
      </c>
      <c r="CA4728">
        <v>1.06</v>
      </c>
      <c r="CB4728">
        <v>0.56000000000000005</v>
      </c>
      <c r="CC4728">
        <v>1.45</v>
      </c>
      <c r="CD4728">
        <v>0.13</v>
      </c>
      <c r="CE4728">
        <v>-0.88</v>
      </c>
      <c r="CF4728">
        <v>-0.95</v>
      </c>
      <c r="CG4728">
        <v>0</v>
      </c>
      <c r="CH4728">
        <v>-0.22</v>
      </c>
      <c r="CI4728">
        <v>0</v>
      </c>
      <c r="CJ4728">
        <v>0.8</v>
      </c>
      <c r="CK4728">
        <v>32</v>
      </c>
      <c r="CL4728">
        <v>-0.78</v>
      </c>
      <c r="CM4728">
        <v>28</v>
      </c>
      <c r="CN4728">
        <v>-0.52</v>
      </c>
      <c r="CO4728">
        <v>23</v>
      </c>
      <c r="CP4728">
        <v>-1</v>
      </c>
      <c r="CQ4728">
        <v>40</v>
      </c>
      <c r="CR4728">
        <v>0</v>
      </c>
      <c r="CS4728">
        <v>0</v>
      </c>
      <c r="CT4728">
        <v>3.9</v>
      </c>
      <c r="CU4728">
        <v>34</v>
      </c>
      <c r="CV4728">
        <v>0.19</v>
      </c>
      <c r="CW4728">
        <v>7</v>
      </c>
      <c r="CX4728" t="s">
        <v>161</v>
      </c>
    </row>
    <row r="4729" spans="1:102" x14ac:dyDescent="0.3">
      <c r="A4729" t="str">
        <f>HYPERLINK("https://webapp.icbf.com/v2/app/bull-search/view/77853424","SRC")</f>
        <v>SRC</v>
      </c>
      <c r="B4729" t="s">
        <v>10858</v>
      </c>
      <c r="C4729" t="s">
        <v>9608</v>
      </c>
      <c r="D4729" s="1">
        <v>34547</v>
      </c>
      <c r="E4729" t="s">
        <v>92</v>
      </c>
      <c r="F4729">
        <v>100</v>
      </c>
      <c r="G4729" t="s">
        <v>93</v>
      </c>
      <c r="H4729">
        <v>-166.17</v>
      </c>
      <c r="I4729">
        <v>92</v>
      </c>
      <c r="J4729">
        <v>17.170000000000002</v>
      </c>
      <c r="K4729">
        <v>98</v>
      </c>
      <c r="L4729">
        <v>-145.02000000000001</v>
      </c>
      <c r="M4729">
        <v>91</v>
      </c>
      <c r="N4729">
        <v>-32.26</v>
      </c>
      <c r="O4729">
        <v>87</v>
      </c>
      <c r="P4729">
        <v>-14.5</v>
      </c>
      <c r="Q4729">
        <v>94</v>
      </c>
      <c r="R4729">
        <v>-6.93</v>
      </c>
      <c r="S4729">
        <v>85</v>
      </c>
      <c r="T4729">
        <v>19.75</v>
      </c>
      <c r="U4729">
        <v>87</v>
      </c>
      <c r="V4729">
        <v>-4.38</v>
      </c>
      <c r="W4729">
        <v>80</v>
      </c>
      <c r="X4729" t="s">
        <v>276</v>
      </c>
      <c r="Y4729" t="s">
        <v>95</v>
      </c>
      <c r="Z4729" t="s">
        <v>96</v>
      </c>
      <c r="AA4729" t="s">
        <v>105</v>
      </c>
      <c r="AB4729" t="s">
        <v>10859</v>
      </c>
      <c r="AC4729">
        <v>141</v>
      </c>
      <c r="AD4729">
        <v>78</v>
      </c>
      <c r="AE4729">
        <v>98</v>
      </c>
      <c r="AF4729">
        <v>210.18</v>
      </c>
      <c r="AG4729">
        <v>-0.8</v>
      </c>
      <c r="AH4729">
        <v>6.42</v>
      </c>
      <c r="AI4729">
        <v>-0.15</v>
      </c>
      <c r="AJ4729">
        <v>-0.01</v>
      </c>
      <c r="AK4729">
        <v>91</v>
      </c>
      <c r="AL4729">
        <v>148</v>
      </c>
      <c r="AM4729">
        <v>80</v>
      </c>
      <c r="AN4729">
        <v>8.33</v>
      </c>
      <c r="AO4729">
        <v>-3.23</v>
      </c>
      <c r="AP4729">
        <v>148</v>
      </c>
      <c r="AQ4729">
        <v>1</v>
      </c>
      <c r="AR4729">
        <v>11.87</v>
      </c>
      <c r="AS4729">
        <v>76</v>
      </c>
      <c r="AT4729">
        <v>5.14</v>
      </c>
      <c r="AU4729">
        <v>95</v>
      </c>
      <c r="AV4729">
        <v>-0.85</v>
      </c>
      <c r="AW4729">
        <v>90</v>
      </c>
      <c r="AX4729">
        <v>0.47</v>
      </c>
      <c r="AY4729">
        <v>86</v>
      </c>
      <c r="AZ4729">
        <v>7.16</v>
      </c>
      <c r="BA4729">
        <v>69</v>
      </c>
      <c r="BB4729">
        <v>5.13</v>
      </c>
      <c r="BC4729">
        <v>75</v>
      </c>
      <c r="BD4729">
        <v>0.05</v>
      </c>
      <c r="BE4729">
        <v>0.04</v>
      </c>
      <c r="BF4729">
        <v>0</v>
      </c>
      <c r="BG4729">
        <v>95</v>
      </c>
      <c r="BH4729">
        <v>-0.11</v>
      </c>
      <c r="BI4729">
        <v>1.4</v>
      </c>
      <c r="BJ4729">
        <v>18</v>
      </c>
      <c r="BK4729">
        <v>8</v>
      </c>
      <c r="BL4729">
        <v>0.94</v>
      </c>
      <c r="BM4729">
        <v>-1.1299999999999999</v>
      </c>
      <c r="BN4729">
        <v>1.23</v>
      </c>
      <c r="BO4729">
        <v>1.4</v>
      </c>
      <c r="BP4729">
        <v>-1.66</v>
      </c>
      <c r="BQ4729">
        <v>-0.43</v>
      </c>
      <c r="BR4729">
        <v>-0.8</v>
      </c>
      <c r="BS4729">
        <v>1.1000000000000001</v>
      </c>
      <c r="BT4729">
        <v>1.9</v>
      </c>
      <c r="BU4729">
        <v>-0.04</v>
      </c>
      <c r="BV4729">
        <v>0.67</v>
      </c>
      <c r="BW4729">
        <v>1.53</v>
      </c>
      <c r="BX4729">
        <v>-0.27</v>
      </c>
      <c r="BY4729">
        <v>-0.25</v>
      </c>
      <c r="BZ4729">
        <v>2.1</v>
      </c>
      <c r="CA4729">
        <v>1.29</v>
      </c>
      <c r="CB4729">
        <v>0.99</v>
      </c>
      <c r="CC4729">
        <v>1.23</v>
      </c>
      <c r="CD4729">
        <v>-1.87</v>
      </c>
      <c r="CE4729">
        <v>1.03</v>
      </c>
      <c r="CF4729">
        <v>0.35</v>
      </c>
      <c r="CG4729">
        <v>0</v>
      </c>
      <c r="CH4729">
        <v>-0.36</v>
      </c>
      <c r="CI4729">
        <v>0</v>
      </c>
      <c r="CJ4729">
        <v>-6.2</v>
      </c>
      <c r="CK4729">
        <v>95</v>
      </c>
      <c r="CL4729">
        <v>-0.8</v>
      </c>
      <c r="CM4729">
        <v>94</v>
      </c>
      <c r="CN4729">
        <v>-0.34</v>
      </c>
      <c r="CO4729">
        <v>93</v>
      </c>
      <c r="CP4729">
        <v>-11.1</v>
      </c>
      <c r="CQ4729">
        <v>93</v>
      </c>
      <c r="CR4729">
        <v>0</v>
      </c>
      <c r="CS4729">
        <v>0</v>
      </c>
      <c r="CT4729">
        <v>-12.9</v>
      </c>
      <c r="CU4729">
        <v>87</v>
      </c>
      <c r="CV4729">
        <v>0.05</v>
      </c>
      <c r="CW4729">
        <v>45</v>
      </c>
      <c r="CX4729" t="s">
        <v>132</v>
      </c>
    </row>
    <row r="4730" spans="1:102" x14ac:dyDescent="0.3">
      <c r="A4730" t="str">
        <f>HYPERLINK("https://webapp.icbf.com/v2/app/bull-search/view/69091969","JBZ")</f>
        <v>JBZ</v>
      </c>
      <c r="B4730" t="s">
        <v>1504</v>
      </c>
      <c r="C4730" t="s">
        <v>1505</v>
      </c>
      <c r="D4730" s="1">
        <v>34666</v>
      </c>
      <c r="E4730" t="s">
        <v>92</v>
      </c>
      <c r="F4730">
        <v>100</v>
      </c>
      <c r="G4730" t="s">
        <v>93</v>
      </c>
      <c r="H4730">
        <v>-166.3</v>
      </c>
      <c r="I4730">
        <v>87</v>
      </c>
      <c r="J4730">
        <v>5.78</v>
      </c>
      <c r="K4730">
        <v>96</v>
      </c>
      <c r="L4730">
        <v>-162.93</v>
      </c>
      <c r="M4730">
        <v>86</v>
      </c>
      <c r="N4730">
        <v>-11.05</v>
      </c>
      <c r="O4730">
        <v>76</v>
      </c>
      <c r="P4730">
        <v>-4.28</v>
      </c>
      <c r="Q4730">
        <v>90</v>
      </c>
      <c r="R4730">
        <v>-3.89</v>
      </c>
      <c r="S4730">
        <v>76</v>
      </c>
      <c r="T4730">
        <v>9.76</v>
      </c>
      <c r="U4730">
        <v>80</v>
      </c>
      <c r="V4730">
        <v>0.31</v>
      </c>
      <c r="W4730">
        <v>63</v>
      </c>
      <c r="X4730" t="s">
        <v>102</v>
      </c>
      <c r="Y4730" t="s">
        <v>95</v>
      </c>
      <c r="Z4730" t="s">
        <v>96</v>
      </c>
      <c r="AA4730" t="s">
        <v>1506</v>
      </c>
      <c r="AB4730" t="s">
        <v>1507</v>
      </c>
      <c r="AC4730">
        <v>67</v>
      </c>
      <c r="AD4730">
        <v>35</v>
      </c>
      <c r="AE4730">
        <v>96</v>
      </c>
      <c r="AF4730">
        <v>184.49</v>
      </c>
      <c r="AG4730">
        <v>1.49</v>
      </c>
      <c r="AH4730">
        <v>3.28</v>
      </c>
      <c r="AI4730">
        <v>-0.1</v>
      </c>
      <c r="AJ4730">
        <v>-0.05</v>
      </c>
      <c r="AK4730">
        <v>86</v>
      </c>
      <c r="AL4730">
        <v>63</v>
      </c>
      <c r="AM4730">
        <v>32</v>
      </c>
      <c r="AN4730">
        <v>8.36</v>
      </c>
      <c r="AO4730">
        <v>-4.6399999999999997</v>
      </c>
      <c r="AP4730">
        <v>94</v>
      </c>
      <c r="AQ4730">
        <v>0</v>
      </c>
      <c r="AR4730">
        <v>9.1199999999999992</v>
      </c>
      <c r="AS4730">
        <v>76</v>
      </c>
      <c r="AT4730">
        <v>4.92</v>
      </c>
      <c r="AU4730">
        <v>89</v>
      </c>
      <c r="AV4730">
        <v>-0.94</v>
      </c>
      <c r="AW4730">
        <v>75</v>
      </c>
      <c r="AX4730">
        <v>-0.06</v>
      </c>
      <c r="AY4730">
        <v>75</v>
      </c>
      <c r="AZ4730">
        <v>5.16</v>
      </c>
      <c r="BA4730">
        <v>58</v>
      </c>
      <c r="BB4730">
        <v>4.43</v>
      </c>
      <c r="BC4730">
        <v>61</v>
      </c>
      <c r="BD4730">
        <v>-0.01</v>
      </c>
      <c r="BE4730">
        <v>0.04</v>
      </c>
      <c r="BF4730">
        <v>0.03</v>
      </c>
      <c r="BG4730">
        <v>90</v>
      </c>
      <c r="BH4730">
        <v>-0.05</v>
      </c>
      <c r="BI4730">
        <v>-6.77</v>
      </c>
      <c r="BJ4730">
        <v>8</v>
      </c>
      <c r="BK4730">
        <v>6</v>
      </c>
      <c r="BL4730">
        <v>0.31</v>
      </c>
      <c r="BM4730">
        <v>-0.96</v>
      </c>
      <c r="BN4730">
        <v>-0.02</v>
      </c>
      <c r="BO4730">
        <v>0.85</v>
      </c>
      <c r="BP4730">
        <v>2.41</v>
      </c>
      <c r="BQ4730">
        <v>-1.46</v>
      </c>
      <c r="BR4730">
        <v>0.65</v>
      </c>
      <c r="BS4730">
        <v>-0.94</v>
      </c>
      <c r="BT4730">
        <v>0.22</v>
      </c>
      <c r="BU4730">
        <v>-1.29</v>
      </c>
      <c r="BV4730">
        <v>-0.43</v>
      </c>
      <c r="BW4730">
        <v>0.28000000000000003</v>
      </c>
      <c r="BX4730">
        <v>-0.94</v>
      </c>
      <c r="BY4730">
        <v>-0.5</v>
      </c>
      <c r="BZ4730">
        <v>0.13</v>
      </c>
      <c r="CA4730">
        <v>-1.01</v>
      </c>
      <c r="CB4730">
        <v>-0.68</v>
      </c>
      <c r="CC4730">
        <v>-0.94</v>
      </c>
      <c r="CD4730">
        <v>-1.1399999999999999</v>
      </c>
      <c r="CE4730">
        <v>0.85</v>
      </c>
      <c r="CF4730">
        <v>0.62</v>
      </c>
      <c r="CG4730">
        <v>0</v>
      </c>
      <c r="CH4730">
        <v>-0.43</v>
      </c>
      <c r="CI4730">
        <v>0</v>
      </c>
      <c r="CJ4730">
        <v>0.5</v>
      </c>
      <c r="CK4730">
        <v>91</v>
      </c>
      <c r="CL4730">
        <v>-0.69</v>
      </c>
      <c r="CM4730">
        <v>89</v>
      </c>
      <c r="CN4730">
        <v>-0.18</v>
      </c>
      <c r="CO4730">
        <v>87</v>
      </c>
      <c r="CP4730">
        <v>0.3</v>
      </c>
      <c r="CQ4730">
        <v>88</v>
      </c>
      <c r="CR4730">
        <v>0</v>
      </c>
      <c r="CS4730">
        <v>0</v>
      </c>
      <c r="CT4730">
        <v>0.6</v>
      </c>
      <c r="CU4730">
        <v>80</v>
      </c>
      <c r="CV4730">
        <v>0.2</v>
      </c>
      <c r="CW4730">
        <v>44</v>
      </c>
      <c r="CX4730" t="s">
        <v>99</v>
      </c>
    </row>
    <row r="4731" spans="1:102" x14ac:dyDescent="0.3">
      <c r="A4731" t="str">
        <f>HYPERLINK("https://webapp.icbf.com/v2/app/bull-search/view/69091960","IVR")</f>
        <v>IVR</v>
      </c>
      <c r="B4731" t="s">
        <v>10534</v>
      </c>
      <c r="C4731" t="s">
        <v>10535</v>
      </c>
      <c r="D4731" s="1">
        <v>34312</v>
      </c>
      <c r="E4731" t="s">
        <v>92</v>
      </c>
      <c r="F4731">
        <v>100</v>
      </c>
      <c r="G4731" t="s">
        <v>93</v>
      </c>
      <c r="H4731">
        <v>-166.33</v>
      </c>
      <c r="I4731">
        <v>49</v>
      </c>
      <c r="J4731">
        <v>-48.18</v>
      </c>
      <c r="K4731">
        <v>76</v>
      </c>
      <c r="L4731">
        <v>-126.52</v>
      </c>
      <c r="M4731">
        <v>38</v>
      </c>
      <c r="N4731">
        <v>13.79</v>
      </c>
      <c r="O4731">
        <v>31</v>
      </c>
      <c r="P4731">
        <v>0.38</v>
      </c>
      <c r="Q4731">
        <v>43</v>
      </c>
      <c r="R4731">
        <v>-15.95</v>
      </c>
      <c r="S4731">
        <v>43</v>
      </c>
      <c r="T4731">
        <v>12.2</v>
      </c>
      <c r="U4731">
        <v>35</v>
      </c>
      <c r="V4731">
        <v>-2.0499999999999998</v>
      </c>
      <c r="W4731">
        <v>16</v>
      </c>
      <c r="X4731" t="s">
        <v>94</v>
      </c>
      <c r="Y4731" t="s">
        <v>95</v>
      </c>
      <c r="Z4731" t="s">
        <v>96</v>
      </c>
      <c r="AA4731" t="s">
        <v>9673</v>
      </c>
      <c r="AB4731" t="s">
        <v>10536</v>
      </c>
      <c r="AC4731">
        <v>17</v>
      </c>
      <c r="AD4731">
        <v>1</v>
      </c>
      <c r="AE4731">
        <v>76</v>
      </c>
      <c r="AF4731">
        <v>-166.19</v>
      </c>
      <c r="AG4731">
        <v>-11.02</v>
      </c>
      <c r="AH4731">
        <v>-6.84</v>
      </c>
      <c r="AI4731">
        <v>-0.08</v>
      </c>
      <c r="AJ4731">
        <v>-0.02</v>
      </c>
      <c r="AK4731">
        <v>38</v>
      </c>
      <c r="AL4731">
        <v>17</v>
      </c>
      <c r="AM4731">
        <v>3</v>
      </c>
      <c r="AN4731">
        <v>6.12</v>
      </c>
      <c r="AO4731">
        <v>-3.98</v>
      </c>
      <c r="AP4731">
        <v>2</v>
      </c>
      <c r="AQ4731">
        <v>0</v>
      </c>
      <c r="AR4731">
        <v>7.8</v>
      </c>
      <c r="AS4731">
        <v>17</v>
      </c>
      <c r="AT4731">
        <v>3.64</v>
      </c>
      <c r="AU4731">
        <v>32</v>
      </c>
      <c r="AV4731">
        <v>-1.94</v>
      </c>
      <c r="AW4731">
        <v>36</v>
      </c>
      <c r="AX4731">
        <v>-0.18</v>
      </c>
      <c r="AY4731">
        <v>37</v>
      </c>
      <c r="AZ4731">
        <v>6.03</v>
      </c>
      <c r="BA4731">
        <v>17</v>
      </c>
      <c r="BB4731">
        <v>4.45</v>
      </c>
      <c r="BC4731">
        <v>23</v>
      </c>
      <c r="BD4731">
        <v>0.04</v>
      </c>
      <c r="BE4731">
        <v>0.1</v>
      </c>
      <c r="BF4731">
        <v>0.11</v>
      </c>
      <c r="BG4731">
        <v>55</v>
      </c>
      <c r="BH4731">
        <v>-0.06</v>
      </c>
      <c r="BI4731">
        <v>-0.33</v>
      </c>
      <c r="BJ4731">
        <v>0</v>
      </c>
      <c r="BK4731">
        <v>0</v>
      </c>
      <c r="BL4731">
        <v>0.33</v>
      </c>
      <c r="BM4731">
        <v>-0.33</v>
      </c>
      <c r="BN4731">
        <v>0.98</v>
      </c>
      <c r="BO4731">
        <v>0.79</v>
      </c>
      <c r="BP4731">
        <v>-0.3</v>
      </c>
      <c r="BQ4731">
        <v>0.47</v>
      </c>
      <c r="BR4731">
        <v>1.2</v>
      </c>
      <c r="BS4731">
        <v>-0.79</v>
      </c>
      <c r="BT4731">
        <v>-1.37</v>
      </c>
      <c r="BU4731">
        <v>-0.31</v>
      </c>
      <c r="BV4731">
        <v>0.26</v>
      </c>
      <c r="BW4731">
        <v>0.53</v>
      </c>
      <c r="BX4731">
        <v>-1.1100000000000001</v>
      </c>
      <c r="BY4731">
        <v>-0.96</v>
      </c>
      <c r="BZ4731">
        <v>0.56999999999999995</v>
      </c>
      <c r="CA4731">
        <v>-0.18</v>
      </c>
      <c r="CB4731">
        <v>-7.0000000000000007E-2</v>
      </c>
      <c r="CC4731">
        <v>-0.12</v>
      </c>
      <c r="CD4731">
        <v>-0.92</v>
      </c>
      <c r="CE4731">
        <v>0.7</v>
      </c>
      <c r="CF4731">
        <v>0.55000000000000004</v>
      </c>
      <c r="CG4731">
        <v>0</v>
      </c>
      <c r="CH4731">
        <v>-0.35</v>
      </c>
      <c r="CI4731">
        <v>0</v>
      </c>
      <c r="CJ4731">
        <v>2.5</v>
      </c>
      <c r="CK4731">
        <v>45</v>
      </c>
      <c r="CL4731">
        <v>-0.78</v>
      </c>
      <c r="CM4731">
        <v>41</v>
      </c>
      <c r="CN4731">
        <v>-0.51</v>
      </c>
      <c r="CO4731">
        <v>36</v>
      </c>
      <c r="CP4731">
        <v>-6.6</v>
      </c>
      <c r="CQ4731">
        <v>50</v>
      </c>
      <c r="CR4731">
        <v>0</v>
      </c>
      <c r="CS4731">
        <v>0</v>
      </c>
      <c r="CT4731">
        <v>-2.7</v>
      </c>
      <c r="CU4731">
        <v>35</v>
      </c>
      <c r="CV4731">
        <v>0.3</v>
      </c>
      <c r="CW4731">
        <v>11</v>
      </c>
      <c r="CX4731" t="s">
        <v>111</v>
      </c>
    </row>
    <row r="4732" spans="1:102" x14ac:dyDescent="0.3">
      <c r="A4732" t="str">
        <f>HYPERLINK("https://webapp.icbf.com/v2/app/bull-search/view/77857663","GMB")</f>
        <v>GMB</v>
      </c>
      <c r="B4732" t="s">
        <v>10643</v>
      </c>
      <c r="C4732" t="s">
        <v>10644</v>
      </c>
      <c r="D4732" s="1">
        <v>33821</v>
      </c>
      <c r="E4732" t="s">
        <v>92</v>
      </c>
      <c r="F4732">
        <v>100</v>
      </c>
      <c r="G4732" t="s">
        <v>109</v>
      </c>
      <c r="H4732">
        <v>-166.93</v>
      </c>
      <c r="I4732">
        <v>67</v>
      </c>
      <c r="J4732">
        <v>-14.79</v>
      </c>
      <c r="K4732">
        <v>80</v>
      </c>
      <c r="L4732">
        <v>-140.09</v>
      </c>
      <c r="M4732">
        <v>71</v>
      </c>
      <c r="N4732">
        <v>5.09</v>
      </c>
      <c r="O4732">
        <v>49</v>
      </c>
      <c r="P4732">
        <v>-6.07</v>
      </c>
      <c r="Q4732">
        <v>54</v>
      </c>
      <c r="R4732">
        <v>-12.56</v>
      </c>
      <c r="S4732">
        <v>63</v>
      </c>
      <c r="T4732">
        <v>0.43</v>
      </c>
      <c r="U4732">
        <v>56</v>
      </c>
      <c r="V4732">
        <v>1.06</v>
      </c>
      <c r="W4732">
        <v>28</v>
      </c>
      <c r="X4732" t="s">
        <v>558</v>
      </c>
      <c r="Y4732" t="s">
        <v>95</v>
      </c>
      <c r="Z4732" t="s">
        <v>96</v>
      </c>
      <c r="AA4732" t="s">
        <v>485</v>
      </c>
      <c r="AB4732" t="s">
        <v>10645</v>
      </c>
      <c r="AC4732">
        <v>0</v>
      </c>
      <c r="AD4732">
        <v>0</v>
      </c>
      <c r="AE4732">
        <v>80</v>
      </c>
      <c r="AF4732">
        <v>148.87</v>
      </c>
      <c r="AG4732">
        <v>2.13</v>
      </c>
      <c r="AH4732">
        <v>-0.99</v>
      </c>
      <c r="AI4732">
        <v>-0.06</v>
      </c>
      <c r="AJ4732">
        <v>-0.1</v>
      </c>
      <c r="AK4732">
        <v>71</v>
      </c>
      <c r="AL4732">
        <v>0</v>
      </c>
      <c r="AM4732">
        <v>0</v>
      </c>
      <c r="AN4732">
        <v>7</v>
      </c>
      <c r="AO4732">
        <v>-4.18</v>
      </c>
      <c r="AP4732">
        <v>5</v>
      </c>
      <c r="AQ4732">
        <v>0</v>
      </c>
      <c r="AR4732">
        <v>8.58</v>
      </c>
      <c r="AS4732">
        <v>32</v>
      </c>
      <c r="AT4732">
        <v>4.0599999999999996</v>
      </c>
      <c r="AU4732">
        <v>73</v>
      </c>
      <c r="AV4732">
        <v>-1.31</v>
      </c>
      <c r="AW4732">
        <v>44</v>
      </c>
      <c r="AX4732">
        <v>-0.78</v>
      </c>
      <c r="AY4732">
        <v>44</v>
      </c>
      <c r="AZ4732">
        <v>5.39</v>
      </c>
      <c r="BA4732">
        <v>31</v>
      </c>
      <c r="BB4732">
        <v>4.37</v>
      </c>
      <c r="BC4732">
        <v>34</v>
      </c>
      <c r="BD4732">
        <v>0.04</v>
      </c>
      <c r="BE4732">
        <v>0.08</v>
      </c>
      <c r="BF4732">
        <v>7.0000000000000007E-2</v>
      </c>
      <c r="BG4732">
        <v>82</v>
      </c>
      <c r="BH4732">
        <v>0.09</v>
      </c>
      <c r="BI4732">
        <v>7</v>
      </c>
      <c r="BJ4732">
        <v>0</v>
      </c>
      <c r="BK4732">
        <v>0</v>
      </c>
      <c r="BL4732">
        <v>0.78</v>
      </c>
      <c r="BM4732">
        <v>0.98</v>
      </c>
      <c r="BN4732">
        <v>1.37</v>
      </c>
      <c r="BO4732">
        <v>0.23</v>
      </c>
      <c r="BP4732">
        <v>0.87</v>
      </c>
      <c r="BQ4732">
        <v>0.49</v>
      </c>
      <c r="BR4732">
        <v>1.35</v>
      </c>
      <c r="BS4732">
        <v>-1.37</v>
      </c>
      <c r="BT4732">
        <v>-0.77</v>
      </c>
      <c r="BU4732">
        <v>0.59</v>
      </c>
      <c r="BV4732">
        <v>0.14000000000000001</v>
      </c>
      <c r="BW4732">
        <v>-0.31</v>
      </c>
      <c r="BX4732">
        <v>-0.45</v>
      </c>
      <c r="BY4732">
        <v>-0.32</v>
      </c>
      <c r="BZ4732">
        <v>0.51</v>
      </c>
      <c r="CA4732">
        <v>-0.14000000000000001</v>
      </c>
      <c r="CB4732">
        <v>0.53</v>
      </c>
      <c r="CC4732">
        <v>-1.27</v>
      </c>
      <c r="CD4732">
        <v>-0.23</v>
      </c>
      <c r="CE4732">
        <v>0.57999999999999996</v>
      </c>
      <c r="CF4732">
        <v>0.04</v>
      </c>
      <c r="CG4732">
        <v>0</v>
      </c>
      <c r="CH4732">
        <v>0.92</v>
      </c>
      <c r="CI4732">
        <v>0</v>
      </c>
      <c r="CJ4732">
        <v>-2.1</v>
      </c>
      <c r="CK4732">
        <v>56</v>
      </c>
      <c r="CL4732">
        <v>-0.56000000000000005</v>
      </c>
      <c r="CM4732">
        <v>52</v>
      </c>
      <c r="CN4732">
        <v>-0.23</v>
      </c>
      <c r="CO4732">
        <v>46</v>
      </c>
      <c r="CP4732">
        <v>-0.6</v>
      </c>
      <c r="CQ4732">
        <v>65</v>
      </c>
      <c r="CR4732">
        <v>0</v>
      </c>
      <c r="CS4732">
        <v>0</v>
      </c>
      <c r="CT4732">
        <v>13.2</v>
      </c>
      <c r="CU4732">
        <v>56</v>
      </c>
      <c r="CV4732">
        <v>0</v>
      </c>
      <c r="CW4732">
        <v>16</v>
      </c>
      <c r="CX4732" t="s">
        <v>166</v>
      </c>
    </row>
    <row r="4733" spans="1:102" x14ac:dyDescent="0.3">
      <c r="A4733" t="str">
        <f>HYPERLINK("https://webapp.icbf.com/v2/app/bull-search/view/426778206","AWI")</f>
        <v>AWI</v>
      </c>
      <c r="B4733" t="s">
        <v>4566</v>
      </c>
      <c r="C4733" t="s">
        <v>4567</v>
      </c>
      <c r="D4733" s="1">
        <v>36809</v>
      </c>
      <c r="E4733" t="s">
        <v>92</v>
      </c>
      <c r="F4733">
        <v>100</v>
      </c>
      <c r="G4733" t="s">
        <v>93</v>
      </c>
      <c r="H4733">
        <v>-167.13</v>
      </c>
      <c r="I4733">
        <v>73</v>
      </c>
      <c r="J4733">
        <v>-11.3</v>
      </c>
      <c r="K4733">
        <v>92</v>
      </c>
      <c r="L4733">
        <v>-88.93</v>
      </c>
      <c r="M4733">
        <v>57</v>
      </c>
      <c r="N4733">
        <v>-53.73</v>
      </c>
      <c r="O4733">
        <v>74</v>
      </c>
      <c r="P4733">
        <v>-5.84</v>
      </c>
      <c r="Q4733">
        <v>81</v>
      </c>
      <c r="R4733">
        <v>-11.38</v>
      </c>
      <c r="S4733">
        <v>64</v>
      </c>
      <c r="T4733">
        <v>-0.68</v>
      </c>
      <c r="U4733">
        <v>69</v>
      </c>
      <c r="V4733">
        <v>4.7300000000000004</v>
      </c>
      <c r="W4733">
        <v>52</v>
      </c>
      <c r="X4733" t="s">
        <v>131</v>
      </c>
      <c r="Y4733" t="s">
        <v>1164</v>
      </c>
      <c r="Z4733" t="s">
        <v>96</v>
      </c>
      <c r="AA4733" t="s">
        <v>4568</v>
      </c>
      <c r="AB4733" t="s">
        <v>4569</v>
      </c>
      <c r="AC4733">
        <v>50</v>
      </c>
      <c r="AD4733">
        <v>25</v>
      </c>
      <c r="AE4733">
        <v>92</v>
      </c>
      <c r="AF4733">
        <v>267.36</v>
      </c>
      <c r="AG4733">
        <v>-8.82</v>
      </c>
      <c r="AH4733">
        <v>5.29</v>
      </c>
      <c r="AI4733">
        <v>-0.31</v>
      </c>
      <c r="AJ4733">
        <v>-0.06</v>
      </c>
      <c r="AK4733">
        <v>57</v>
      </c>
      <c r="AL4733">
        <v>46</v>
      </c>
      <c r="AM4733">
        <v>24</v>
      </c>
      <c r="AN4733">
        <v>5</v>
      </c>
      <c r="AO4733">
        <v>-2.09</v>
      </c>
      <c r="AP4733">
        <v>82</v>
      </c>
      <c r="AQ4733">
        <v>0</v>
      </c>
      <c r="AR4733">
        <v>11.24</v>
      </c>
      <c r="AS4733">
        <v>63</v>
      </c>
      <c r="AT4733">
        <v>5.68</v>
      </c>
      <c r="AU4733">
        <v>81</v>
      </c>
      <c r="AV4733">
        <v>1.39</v>
      </c>
      <c r="AW4733">
        <v>84</v>
      </c>
      <c r="AX4733">
        <v>0.33</v>
      </c>
      <c r="AY4733">
        <v>69</v>
      </c>
      <c r="AZ4733">
        <v>6.6</v>
      </c>
      <c r="BA4733">
        <v>47</v>
      </c>
      <c r="BB4733">
        <v>5.18</v>
      </c>
      <c r="BC4733">
        <v>47</v>
      </c>
      <c r="BD4733">
        <v>0.01</v>
      </c>
      <c r="BE4733">
        <v>0.05</v>
      </c>
      <c r="BF4733">
        <v>0.15</v>
      </c>
      <c r="BG4733">
        <v>75</v>
      </c>
      <c r="BH4733">
        <v>0.16</v>
      </c>
      <c r="BI4733">
        <v>3.26</v>
      </c>
      <c r="BJ4733">
        <v>17</v>
      </c>
      <c r="BK4733">
        <v>10</v>
      </c>
      <c r="BL4733">
        <v>0.97</v>
      </c>
      <c r="BM4733">
        <v>-0.39</v>
      </c>
      <c r="BN4733">
        <v>0.54</v>
      </c>
      <c r="BO4733">
        <v>0.9</v>
      </c>
      <c r="BP4733">
        <v>-2.56</v>
      </c>
      <c r="BQ4733">
        <v>0.15</v>
      </c>
      <c r="BR4733">
        <v>0.37</v>
      </c>
      <c r="BS4733">
        <v>-0.44</v>
      </c>
      <c r="BT4733">
        <v>-0.68</v>
      </c>
      <c r="BU4733">
        <v>0.63</v>
      </c>
      <c r="BV4733">
        <v>1.56</v>
      </c>
      <c r="BW4733">
        <v>1.48</v>
      </c>
      <c r="BX4733">
        <v>0.19</v>
      </c>
      <c r="BY4733">
        <v>-0.41</v>
      </c>
      <c r="BZ4733">
        <v>0.73</v>
      </c>
      <c r="CA4733">
        <v>0.91</v>
      </c>
      <c r="CB4733">
        <v>0.85</v>
      </c>
      <c r="CC4733">
        <v>0.57999999999999996</v>
      </c>
      <c r="CD4733">
        <v>-1.22</v>
      </c>
      <c r="CE4733">
        <v>0.74</v>
      </c>
      <c r="CF4733">
        <v>0.87</v>
      </c>
      <c r="CG4733">
        <v>0</v>
      </c>
      <c r="CH4733">
        <v>0.14000000000000001</v>
      </c>
      <c r="CI4733">
        <v>0</v>
      </c>
      <c r="CJ4733">
        <v>-1</v>
      </c>
      <c r="CK4733">
        <v>83</v>
      </c>
      <c r="CL4733">
        <v>-0.84</v>
      </c>
      <c r="CM4733">
        <v>80</v>
      </c>
      <c r="CN4733">
        <v>-0.34</v>
      </c>
      <c r="CO4733">
        <v>78</v>
      </c>
      <c r="CP4733">
        <v>1.5</v>
      </c>
      <c r="CQ4733">
        <v>76</v>
      </c>
      <c r="CR4733">
        <v>0</v>
      </c>
      <c r="CS4733">
        <v>0</v>
      </c>
      <c r="CT4733">
        <v>14.7</v>
      </c>
      <c r="CU4733">
        <v>69</v>
      </c>
      <c r="CV4733">
        <v>0.19</v>
      </c>
      <c r="CW4733">
        <v>23</v>
      </c>
      <c r="CX4733" t="s">
        <v>4570</v>
      </c>
    </row>
    <row r="4734" spans="1:102" x14ac:dyDescent="0.3">
      <c r="A4734" t="str">
        <f>HYPERLINK("https://webapp.icbf.com/v2/app/bull-search/view/77859349","ARB")</f>
        <v>ARB</v>
      </c>
      <c r="B4734" t="s">
        <v>15310</v>
      </c>
      <c r="C4734" t="s">
        <v>2431</v>
      </c>
      <c r="D4734" s="1">
        <v>33871</v>
      </c>
      <c r="E4734" t="s">
        <v>92</v>
      </c>
      <c r="F4734">
        <v>100</v>
      </c>
      <c r="G4734" t="s">
        <v>93</v>
      </c>
      <c r="H4734">
        <v>-167.55</v>
      </c>
      <c r="I4734">
        <v>94</v>
      </c>
      <c r="J4734">
        <v>20.16</v>
      </c>
      <c r="K4734">
        <v>98</v>
      </c>
      <c r="L4734">
        <v>-162.1</v>
      </c>
      <c r="M4734">
        <v>93</v>
      </c>
      <c r="N4734">
        <v>-31.34</v>
      </c>
      <c r="O4734">
        <v>92</v>
      </c>
      <c r="P4734">
        <v>-4.99</v>
      </c>
      <c r="Q4734">
        <v>95</v>
      </c>
      <c r="R4734">
        <v>-0.02</v>
      </c>
      <c r="S4734">
        <v>86</v>
      </c>
      <c r="T4734">
        <v>5.09</v>
      </c>
      <c r="U4734">
        <v>90</v>
      </c>
      <c r="V4734">
        <v>5.65</v>
      </c>
      <c r="W4734">
        <v>78</v>
      </c>
      <c r="X4734" t="s">
        <v>94</v>
      </c>
      <c r="Y4734" t="s">
        <v>95</v>
      </c>
      <c r="Z4734" t="s">
        <v>96</v>
      </c>
      <c r="AA4734" t="s">
        <v>1506</v>
      </c>
      <c r="AB4734" t="s">
        <v>8711</v>
      </c>
      <c r="AC4734">
        <v>249</v>
      </c>
      <c r="AD4734">
        <v>140</v>
      </c>
      <c r="AE4734">
        <v>98</v>
      </c>
      <c r="AF4734">
        <v>178.17</v>
      </c>
      <c r="AG4734">
        <v>6.29</v>
      </c>
      <c r="AH4734">
        <v>3.93</v>
      </c>
      <c r="AI4734">
        <v>-0.01</v>
      </c>
      <c r="AJ4734">
        <v>-0.04</v>
      </c>
      <c r="AK4734">
        <v>93</v>
      </c>
      <c r="AL4734">
        <v>252</v>
      </c>
      <c r="AM4734">
        <v>125</v>
      </c>
      <c r="AN4734">
        <v>10.17</v>
      </c>
      <c r="AO4734">
        <v>-2.74</v>
      </c>
      <c r="AP4734">
        <v>52</v>
      </c>
      <c r="AQ4734">
        <v>0</v>
      </c>
      <c r="AR4734">
        <v>10.46</v>
      </c>
      <c r="AS4734">
        <v>83</v>
      </c>
      <c r="AT4734">
        <v>5.36</v>
      </c>
      <c r="AU4734">
        <v>98</v>
      </c>
      <c r="AV4734">
        <v>-0.16</v>
      </c>
      <c r="AW4734">
        <v>94</v>
      </c>
      <c r="AX4734">
        <v>0.27</v>
      </c>
      <c r="AY4734">
        <v>92</v>
      </c>
      <c r="AZ4734">
        <v>6.82</v>
      </c>
      <c r="BA4734">
        <v>82</v>
      </c>
      <c r="BB4734">
        <v>4.5999999999999996</v>
      </c>
      <c r="BC4734">
        <v>85</v>
      </c>
      <c r="BD4734">
        <v>-0.01</v>
      </c>
      <c r="BE4734">
        <v>0.03</v>
      </c>
      <c r="BF4734">
        <v>-0.04</v>
      </c>
      <c r="BG4734">
        <v>95</v>
      </c>
      <c r="BH4734">
        <v>0.19</v>
      </c>
      <c r="BI4734">
        <v>3.74</v>
      </c>
      <c r="BJ4734">
        <v>85</v>
      </c>
      <c r="BK4734">
        <v>40</v>
      </c>
      <c r="BL4734">
        <v>0.43</v>
      </c>
      <c r="BM4734">
        <v>-1.77</v>
      </c>
      <c r="BN4734">
        <v>0.09</v>
      </c>
      <c r="BO4734">
        <v>1.1100000000000001</v>
      </c>
      <c r="BP4734">
        <v>0.81</v>
      </c>
      <c r="BQ4734">
        <v>-0.21</v>
      </c>
      <c r="BR4734">
        <v>-1.18</v>
      </c>
      <c r="BS4734">
        <v>1.01</v>
      </c>
      <c r="BT4734">
        <v>1.06</v>
      </c>
      <c r="BU4734">
        <v>-0.24</v>
      </c>
      <c r="BV4734">
        <v>1.37</v>
      </c>
      <c r="BW4734">
        <v>1.03</v>
      </c>
      <c r="BX4734">
        <v>-0.81</v>
      </c>
      <c r="BY4734">
        <v>0.46</v>
      </c>
      <c r="BZ4734">
        <v>1.61</v>
      </c>
      <c r="CA4734">
        <v>0.68</v>
      </c>
      <c r="CB4734">
        <v>0.7</v>
      </c>
      <c r="CC4734">
        <v>0.46</v>
      </c>
      <c r="CD4734">
        <v>-1.75</v>
      </c>
      <c r="CE4734">
        <v>1.21</v>
      </c>
      <c r="CF4734">
        <v>-0.21</v>
      </c>
      <c r="CG4734">
        <v>0</v>
      </c>
      <c r="CH4734">
        <v>0.57999999999999996</v>
      </c>
      <c r="CI4734">
        <v>0</v>
      </c>
      <c r="CJ4734">
        <v>-0.7</v>
      </c>
      <c r="CK4734">
        <v>95</v>
      </c>
      <c r="CL4734">
        <v>-0.67</v>
      </c>
      <c r="CM4734">
        <v>94</v>
      </c>
      <c r="CN4734">
        <v>-0.21</v>
      </c>
      <c r="CO4734">
        <v>93</v>
      </c>
      <c r="CP4734">
        <v>2.9</v>
      </c>
      <c r="CQ4734">
        <v>96</v>
      </c>
      <c r="CR4734">
        <v>0</v>
      </c>
      <c r="CS4734">
        <v>0</v>
      </c>
      <c r="CT4734">
        <v>6.9</v>
      </c>
      <c r="CU4734">
        <v>90</v>
      </c>
      <c r="CV4734">
        <v>0.12</v>
      </c>
      <c r="CW4734">
        <v>45</v>
      </c>
      <c r="CX4734" t="s">
        <v>914</v>
      </c>
    </row>
    <row r="4735" spans="1:102" x14ac:dyDescent="0.3">
      <c r="A4735" t="str">
        <f>HYPERLINK("https://webapp.icbf.com/v2/app/bull-search/view/77856364","JUN")</f>
        <v>JUN</v>
      </c>
      <c r="B4735" t="s">
        <v>10684</v>
      </c>
      <c r="C4735" t="s">
        <v>10685</v>
      </c>
      <c r="D4735" s="1">
        <v>34435</v>
      </c>
      <c r="E4735" t="s">
        <v>92</v>
      </c>
      <c r="F4735">
        <v>100</v>
      </c>
      <c r="G4735" t="s">
        <v>93</v>
      </c>
      <c r="H4735">
        <v>-167.61</v>
      </c>
      <c r="I4735">
        <v>70</v>
      </c>
      <c r="J4735">
        <v>-13.68</v>
      </c>
      <c r="K4735">
        <v>91</v>
      </c>
      <c r="L4735">
        <v>-140.27000000000001</v>
      </c>
      <c r="M4735">
        <v>60</v>
      </c>
      <c r="N4735">
        <v>-2.86</v>
      </c>
      <c r="O4735">
        <v>48</v>
      </c>
      <c r="P4735">
        <v>-18.86</v>
      </c>
      <c r="Q4735">
        <v>71</v>
      </c>
      <c r="R4735">
        <v>-17.600000000000001</v>
      </c>
      <c r="S4735">
        <v>64</v>
      </c>
      <c r="T4735">
        <v>29.88</v>
      </c>
      <c r="U4735">
        <v>82</v>
      </c>
      <c r="V4735">
        <v>-4.22</v>
      </c>
      <c r="W4735">
        <v>26</v>
      </c>
      <c r="X4735" t="s">
        <v>94</v>
      </c>
      <c r="Y4735" t="s">
        <v>95</v>
      </c>
      <c r="Z4735" t="s">
        <v>96</v>
      </c>
      <c r="AA4735" t="s">
        <v>954</v>
      </c>
      <c r="AB4735" t="s">
        <v>4423</v>
      </c>
      <c r="AC4735">
        <v>53</v>
      </c>
      <c r="AD4735">
        <v>41</v>
      </c>
      <c r="AE4735">
        <v>91</v>
      </c>
      <c r="AF4735">
        <v>90.95</v>
      </c>
      <c r="AG4735">
        <v>3.01</v>
      </c>
      <c r="AH4735">
        <v>-2</v>
      </c>
      <c r="AI4735">
        <v>-0.01</v>
      </c>
      <c r="AJ4735">
        <v>-0.08</v>
      </c>
      <c r="AK4735">
        <v>60</v>
      </c>
      <c r="AL4735">
        <v>73</v>
      </c>
      <c r="AM4735">
        <v>54</v>
      </c>
      <c r="AN4735">
        <v>7.38</v>
      </c>
      <c r="AO4735">
        <v>-3.81</v>
      </c>
      <c r="AP4735">
        <v>1</v>
      </c>
      <c r="AQ4735">
        <v>1</v>
      </c>
      <c r="AR4735">
        <v>7.78</v>
      </c>
      <c r="AS4735">
        <v>28</v>
      </c>
      <c r="AT4735">
        <v>3.47</v>
      </c>
      <c r="AU4735">
        <v>48</v>
      </c>
      <c r="AV4735">
        <v>-0.04</v>
      </c>
      <c r="AW4735">
        <v>49</v>
      </c>
      <c r="AX4735">
        <v>-0.15</v>
      </c>
      <c r="AY4735">
        <v>69</v>
      </c>
      <c r="AZ4735">
        <v>6.19</v>
      </c>
      <c r="BA4735">
        <v>30</v>
      </c>
      <c r="BB4735">
        <v>5.07</v>
      </c>
      <c r="BC4735">
        <v>43</v>
      </c>
      <c r="BD4735">
        <v>7.0000000000000007E-2</v>
      </c>
      <c r="BE4735">
        <v>0.12</v>
      </c>
      <c r="BF4735">
        <v>0.06</v>
      </c>
      <c r="BG4735">
        <v>82</v>
      </c>
      <c r="BH4735">
        <v>-0.01</v>
      </c>
      <c r="BI4735">
        <v>12.44</v>
      </c>
      <c r="BJ4735">
        <v>14</v>
      </c>
      <c r="BK4735">
        <v>12</v>
      </c>
      <c r="BL4735">
        <v>-0.66</v>
      </c>
      <c r="BM4735">
        <v>-0.3</v>
      </c>
      <c r="BN4735">
        <v>-1.01</v>
      </c>
      <c r="BO4735">
        <v>-0.44</v>
      </c>
      <c r="BP4735">
        <v>0.7</v>
      </c>
      <c r="BQ4735">
        <v>-1.43</v>
      </c>
      <c r="BR4735">
        <v>0.21</v>
      </c>
      <c r="BS4735">
        <v>-1.08</v>
      </c>
      <c r="BT4735">
        <v>-0.83</v>
      </c>
      <c r="BU4735">
        <v>-1.25</v>
      </c>
      <c r="BV4735">
        <v>-0.42</v>
      </c>
      <c r="BW4735">
        <v>-0.12</v>
      </c>
      <c r="BX4735">
        <v>-1</v>
      </c>
      <c r="BY4735">
        <v>-0.01</v>
      </c>
      <c r="BZ4735">
        <v>-0.49</v>
      </c>
      <c r="CA4735">
        <v>-0.91</v>
      </c>
      <c r="CB4735">
        <v>-0.6</v>
      </c>
      <c r="CC4735">
        <v>-1.25</v>
      </c>
      <c r="CD4735">
        <v>0.26</v>
      </c>
      <c r="CE4735">
        <v>-0.54</v>
      </c>
      <c r="CF4735">
        <v>-1.38</v>
      </c>
      <c r="CG4735">
        <v>0</v>
      </c>
      <c r="CH4735">
        <v>0.25</v>
      </c>
      <c r="CI4735">
        <v>0</v>
      </c>
      <c r="CJ4735">
        <v>-8.5</v>
      </c>
      <c r="CK4735">
        <v>72</v>
      </c>
      <c r="CL4735">
        <v>-0.56000000000000005</v>
      </c>
      <c r="CM4735">
        <v>68</v>
      </c>
      <c r="CN4735">
        <v>-0.15</v>
      </c>
      <c r="CO4735">
        <v>63</v>
      </c>
      <c r="CP4735">
        <v>-20.7</v>
      </c>
      <c r="CQ4735">
        <v>81</v>
      </c>
      <c r="CR4735">
        <v>0</v>
      </c>
      <c r="CS4735">
        <v>0</v>
      </c>
      <c r="CT4735">
        <v>-26.6</v>
      </c>
      <c r="CU4735">
        <v>82</v>
      </c>
      <c r="CV4735">
        <v>0.1</v>
      </c>
      <c r="CW4735">
        <v>19</v>
      </c>
      <c r="CX4735" t="s">
        <v>10686</v>
      </c>
    </row>
    <row r="4736" spans="1:102" x14ac:dyDescent="0.3">
      <c r="A4736" t="str">
        <f>HYPERLINK("https://webapp.icbf.com/v2/app/bull-search/view/69091429","DBI")</f>
        <v>DBI</v>
      </c>
      <c r="B4736" t="s">
        <v>4691</v>
      </c>
      <c r="C4736" t="s">
        <v>924</v>
      </c>
      <c r="D4736" s="1">
        <v>32436</v>
      </c>
      <c r="E4736" t="s">
        <v>92</v>
      </c>
      <c r="F4736">
        <v>100</v>
      </c>
      <c r="G4736" t="s">
        <v>93</v>
      </c>
      <c r="H4736">
        <v>-167.82</v>
      </c>
      <c r="I4736">
        <v>96</v>
      </c>
      <c r="J4736">
        <v>-9.73</v>
      </c>
      <c r="K4736">
        <v>99</v>
      </c>
      <c r="L4736">
        <v>-149.03</v>
      </c>
      <c r="M4736">
        <v>94</v>
      </c>
      <c r="N4736">
        <v>-4.0199999999999996</v>
      </c>
      <c r="O4736">
        <v>95</v>
      </c>
      <c r="P4736">
        <v>-3.06</v>
      </c>
      <c r="Q4736">
        <v>97</v>
      </c>
      <c r="R4736">
        <v>-8.5399999999999991</v>
      </c>
      <c r="S4736">
        <v>92</v>
      </c>
      <c r="T4736">
        <v>9.39</v>
      </c>
      <c r="U4736">
        <v>96</v>
      </c>
      <c r="V4736">
        <v>-2.83</v>
      </c>
      <c r="W4736">
        <v>88</v>
      </c>
      <c r="X4736" t="s">
        <v>558</v>
      </c>
      <c r="Y4736" t="s">
        <v>95</v>
      </c>
      <c r="Z4736" t="s">
        <v>96</v>
      </c>
      <c r="AA4736" t="s">
        <v>166</v>
      </c>
      <c r="AB4736" t="s">
        <v>4692</v>
      </c>
      <c r="AC4736">
        <v>535</v>
      </c>
      <c r="AD4736">
        <v>296</v>
      </c>
      <c r="AE4736">
        <v>99</v>
      </c>
      <c r="AF4736">
        <v>194.82</v>
      </c>
      <c r="AG4736">
        <v>1.69</v>
      </c>
      <c r="AH4736">
        <v>0.73</v>
      </c>
      <c r="AI4736">
        <v>-0.1</v>
      </c>
      <c r="AJ4736">
        <v>-0.1</v>
      </c>
      <c r="AK4736">
        <v>94</v>
      </c>
      <c r="AL4736">
        <v>492</v>
      </c>
      <c r="AM4736">
        <v>255</v>
      </c>
      <c r="AN4736">
        <v>9.2799999999999994</v>
      </c>
      <c r="AO4736">
        <v>-2.59</v>
      </c>
      <c r="AP4736">
        <v>1</v>
      </c>
      <c r="AQ4736">
        <v>2</v>
      </c>
      <c r="AR4736">
        <v>7.55</v>
      </c>
      <c r="AS4736">
        <v>91</v>
      </c>
      <c r="AT4736">
        <v>3.44</v>
      </c>
      <c r="AU4736">
        <v>99</v>
      </c>
      <c r="AV4736">
        <v>0.47</v>
      </c>
      <c r="AW4736">
        <v>95</v>
      </c>
      <c r="AX4736">
        <v>-0.56999999999999995</v>
      </c>
      <c r="AY4736">
        <v>96</v>
      </c>
      <c r="AZ4736">
        <v>6.27</v>
      </c>
      <c r="BA4736">
        <v>89</v>
      </c>
      <c r="BB4736">
        <v>4.8600000000000003</v>
      </c>
      <c r="BC4736">
        <v>93</v>
      </c>
      <c r="BD4736">
        <v>0.05</v>
      </c>
      <c r="BE4736">
        <v>7.0000000000000007E-2</v>
      </c>
      <c r="BF4736">
        <v>-0.02</v>
      </c>
      <c r="BG4736">
        <v>98</v>
      </c>
      <c r="BH4736">
        <v>0.09</v>
      </c>
      <c r="BI4736">
        <v>19.53</v>
      </c>
      <c r="BJ4736">
        <v>213</v>
      </c>
      <c r="BK4736">
        <v>117</v>
      </c>
      <c r="BL4736">
        <v>0.44</v>
      </c>
      <c r="BM4736">
        <v>-0.55000000000000004</v>
      </c>
      <c r="BN4736">
        <v>0</v>
      </c>
      <c r="BO4736">
        <v>0.44</v>
      </c>
      <c r="BP4736">
        <v>1.34</v>
      </c>
      <c r="BQ4736">
        <v>-1.6</v>
      </c>
      <c r="BR4736">
        <v>-0.51</v>
      </c>
      <c r="BS4736">
        <v>-0.85</v>
      </c>
      <c r="BT4736">
        <v>0.53</v>
      </c>
      <c r="BU4736">
        <v>0.95</v>
      </c>
      <c r="BV4736">
        <v>-0.3</v>
      </c>
      <c r="BW4736">
        <v>-0.26</v>
      </c>
      <c r="BX4736">
        <v>0.56000000000000005</v>
      </c>
      <c r="BY4736">
        <v>0.31</v>
      </c>
      <c r="BZ4736">
        <v>1.32</v>
      </c>
      <c r="CA4736">
        <v>0.39</v>
      </c>
      <c r="CB4736">
        <v>0.67</v>
      </c>
      <c r="CC4736">
        <v>-0.28999999999999998</v>
      </c>
      <c r="CD4736">
        <v>-0.2</v>
      </c>
      <c r="CE4736">
        <v>0.59</v>
      </c>
      <c r="CF4736">
        <v>0.75</v>
      </c>
      <c r="CG4736">
        <v>0</v>
      </c>
      <c r="CH4736">
        <v>0.22</v>
      </c>
      <c r="CI4736">
        <v>0</v>
      </c>
      <c r="CJ4736">
        <v>-1</v>
      </c>
      <c r="CK4736">
        <v>97</v>
      </c>
      <c r="CL4736">
        <v>-0.73</v>
      </c>
      <c r="CM4736">
        <v>96</v>
      </c>
      <c r="CN4736">
        <v>-0.54</v>
      </c>
      <c r="CO4736">
        <v>96</v>
      </c>
      <c r="CP4736">
        <v>-3.1</v>
      </c>
      <c r="CQ4736">
        <v>98</v>
      </c>
      <c r="CR4736">
        <v>0</v>
      </c>
      <c r="CS4736">
        <v>0</v>
      </c>
      <c r="CT4736">
        <v>1.1000000000000001</v>
      </c>
      <c r="CU4736">
        <v>96</v>
      </c>
      <c r="CV4736">
        <v>0.01</v>
      </c>
      <c r="CW4736">
        <v>46</v>
      </c>
      <c r="CX4736" t="s">
        <v>652</v>
      </c>
    </row>
    <row r="4737" spans="1:102" x14ac:dyDescent="0.3">
      <c r="A4737" t="str">
        <f>HYPERLINK("https://webapp.icbf.com/v2/app/bull-search/view/352959276","S325")</f>
        <v>S325</v>
      </c>
      <c r="B4737" t="s">
        <v>3870</v>
      </c>
      <c r="C4737" t="s">
        <v>3871</v>
      </c>
      <c r="D4737" s="1">
        <v>35620</v>
      </c>
      <c r="E4737" t="s">
        <v>92</v>
      </c>
      <c r="F4737">
        <v>100</v>
      </c>
      <c r="G4737" t="s">
        <v>109</v>
      </c>
      <c r="H4737">
        <v>-168</v>
      </c>
      <c r="I4737">
        <v>79</v>
      </c>
      <c r="J4737">
        <v>1.25</v>
      </c>
      <c r="K4737">
        <v>94</v>
      </c>
      <c r="L4737">
        <v>-129.12</v>
      </c>
      <c r="M4737">
        <v>84</v>
      </c>
      <c r="N4737">
        <v>-20.350000000000001</v>
      </c>
      <c r="O4737">
        <v>61</v>
      </c>
      <c r="P4737">
        <v>0.48</v>
      </c>
      <c r="Q4737">
        <v>51</v>
      </c>
      <c r="R4737">
        <v>-7.55</v>
      </c>
      <c r="S4737">
        <v>77</v>
      </c>
      <c r="T4737">
        <v>-3.86</v>
      </c>
      <c r="U4737">
        <v>53</v>
      </c>
      <c r="V4737">
        <v>-8.85</v>
      </c>
      <c r="W4737">
        <v>66</v>
      </c>
      <c r="X4737" t="s">
        <v>110</v>
      </c>
      <c r="Y4737" t="s">
        <v>95</v>
      </c>
      <c r="Z4737" t="s">
        <v>96</v>
      </c>
      <c r="AA4737" t="s">
        <v>1106</v>
      </c>
      <c r="AB4737" t="s">
        <v>3872</v>
      </c>
      <c r="AC4737">
        <v>0</v>
      </c>
      <c r="AD4737">
        <v>0</v>
      </c>
      <c r="AE4737">
        <v>94</v>
      </c>
      <c r="AF4737">
        <v>446.6</v>
      </c>
      <c r="AG4737">
        <v>2.99</v>
      </c>
      <c r="AH4737">
        <v>5.99</v>
      </c>
      <c r="AI4737">
        <v>-0.23</v>
      </c>
      <c r="AJ4737">
        <v>-0.15</v>
      </c>
      <c r="AK4737">
        <v>84</v>
      </c>
      <c r="AL4737">
        <v>0</v>
      </c>
      <c r="AM4737">
        <v>0</v>
      </c>
      <c r="AN4737">
        <v>6.02</v>
      </c>
      <c r="AO4737">
        <v>-4.29</v>
      </c>
      <c r="AP4737">
        <v>1</v>
      </c>
      <c r="AQ4737">
        <v>0</v>
      </c>
      <c r="AR4737">
        <v>10.85</v>
      </c>
      <c r="AS4737">
        <v>59</v>
      </c>
      <c r="AT4737">
        <v>4.5599999999999996</v>
      </c>
      <c r="AU4737">
        <v>95</v>
      </c>
      <c r="AV4737">
        <v>-0.86</v>
      </c>
      <c r="AW4737">
        <v>47</v>
      </c>
      <c r="AX4737">
        <v>-0.12</v>
      </c>
      <c r="AY4737">
        <v>48</v>
      </c>
      <c r="AZ4737">
        <v>6.96</v>
      </c>
      <c r="BA4737">
        <v>49</v>
      </c>
      <c r="BB4737">
        <v>5.34</v>
      </c>
      <c r="BC4737">
        <v>51</v>
      </c>
      <c r="BD4737">
        <v>7.0000000000000007E-2</v>
      </c>
      <c r="BE4737">
        <v>0.03</v>
      </c>
      <c r="BF4737">
        <v>0</v>
      </c>
      <c r="BG4737">
        <v>91</v>
      </c>
      <c r="BH4737">
        <v>-0.17</v>
      </c>
      <c r="BI4737">
        <v>8.8800000000000008</v>
      </c>
      <c r="BJ4737">
        <v>0</v>
      </c>
      <c r="BK4737">
        <v>0</v>
      </c>
      <c r="BL4737">
        <v>1.87</v>
      </c>
      <c r="BM4737">
        <v>0.1</v>
      </c>
      <c r="BN4737">
        <v>0.81</v>
      </c>
      <c r="BO4737">
        <v>1.38</v>
      </c>
      <c r="BP4737">
        <v>2.2799999999999998</v>
      </c>
      <c r="BQ4737">
        <v>2.66</v>
      </c>
      <c r="BR4737">
        <v>-1.19</v>
      </c>
      <c r="BS4737">
        <v>0.85</v>
      </c>
      <c r="BT4737">
        <v>1.61</v>
      </c>
      <c r="BU4737">
        <v>0.35</v>
      </c>
      <c r="BV4737">
        <v>2.2200000000000002</v>
      </c>
      <c r="BW4737">
        <v>2.16</v>
      </c>
      <c r="BX4737">
        <v>1.17</v>
      </c>
      <c r="BY4737">
        <v>7.0000000000000007E-2</v>
      </c>
      <c r="BZ4737">
        <v>-0.1</v>
      </c>
      <c r="CA4737">
        <v>1.54</v>
      </c>
      <c r="CB4737">
        <v>1.27</v>
      </c>
      <c r="CC4737">
        <v>1.07</v>
      </c>
      <c r="CD4737">
        <v>-0.35</v>
      </c>
      <c r="CE4737">
        <v>1.37</v>
      </c>
      <c r="CF4737">
        <v>1.51</v>
      </c>
      <c r="CG4737">
        <v>0</v>
      </c>
      <c r="CH4737">
        <v>-0.13</v>
      </c>
      <c r="CI4737">
        <v>0</v>
      </c>
      <c r="CJ4737">
        <v>2.5</v>
      </c>
      <c r="CK4737">
        <v>52</v>
      </c>
      <c r="CL4737">
        <v>-0.72</v>
      </c>
      <c r="CM4737">
        <v>50</v>
      </c>
      <c r="CN4737">
        <v>-0.35</v>
      </c>
      <c r="CO4737">
        <v>49</v>
      </c>
      <c r="CP4737">
        <v>2.4</v>
      </c>
      <c r="CQ4737">
        <v>53</v>
      </c>
      <c r="CR4737">
        <v>0</v>
      </c>
      <c r="CS4737">
        <v>0</v>
      </c>
      <c r="CT4737">
        <v>19</v>
      </c>
      <c r="CU4737">
        <v>53</v>
      </c>
      <c r="CV4737">
        <v>0.12</v>
      </c>
      <c r="CW4737">
        <v>36</v>
      </c>
      <c r="CX4737" t="s">
        <v>485</v>
      </c>
    </row>
    <row r="4738" spans="1:102" x14ac:dyDescent="0.3">
      <c r="A4738" t="str">
        <f>HYPERLINK("https://webapp.icbf.com/v2/app/bull-search/view/169890819","AQU")</f>
        <v>AQU</v>
      </c>
      <c r="B4738" t="s">
        <v>8856</v>
      </c>
      <c r="C4738" t="s">
        <v>1425</v>
      </c>
      <c r="D4738" s="1">
        <v>35543</v>
      </c>
      <c r="E4738" t="s">
        <v>92</v>
      </c>
      <c r="F4738">
        <v>100</v>
      </c>
      <c r="G4738" t="s">
        <v>93</v>
      </c>
      <c r="H4738">
        <v>-168.24</v>
      </c>
      <c r="I4738">
        <v>93</v>
      </c>
      <c r="J4738">
        <v>11.8</v>
      </c>
      <c r="K4738">
        <v>98</v>
      </c>
      <c r="L4738">
        <v>-180.58</v>
      </c>
      <c r="M4738">
        <v>92</v>
      </c>
      <c r="N4738">
        <v>-4.62</v>
      </c>
      <c r="O4738">
        <v>92</v>
      </c>
      <c r="P4738">
        <v>-6.63</v>
      </c>
      <c r="Q4738">
        <v>93</v>
      </c>
      <c r="R4738">
        <v>-6.54</v>
      </c>
      <c r="S4738">
        <v>86</v>
      </c>
      <c r="T4738">
        <v>10.72</v>
      </c>
      <c r="U4738">
        <v>89</v>
      </c>
      <c r="V4738">
        <v>7.61</v>
      </c>
      <c r="W4738">
        <v>83</v>
      </c>
      <c r="X4738" t="s">
        <v>276</v>
      </c>
      <c r="Y4738" t="s">
        <v>95</v>
      </c>
      <c r="Z4738" t="s">
        <v>96</v>
      </c>
      <c r="AA4738" t="s">
        <v>1278</v>
      </c>
      <c r="AB4738" t="s">
        <v>8857</v>
      </c>
      <c r="AC4738">
        <v>166</v>
      </c>
      <c r="AD4738">
        <v>69</v>
      </c>
      <c r="AE4738">
        <v>98</v>
      </c>
      <c r="AF4738">
        <v>409.45</v>
      </c>
      <c r="AG4738">
        <v>5.89</v>
      </c>
      <c r="AH4738">
        <v>6.19</v>
      </c>
      <c r="AI4738">
        <v>-0.16</v>
      </c>
      <c r="AJ4738">
        <v>-0.13</v>
      </c>
      <c r="AK4738">
        <v>92</v>
      </c>
      <c r="AL4738">
        <v>161</v>
      </c>
      <c r="AM4738">
        <v>59</v>
      </c>
      <c r="AN4738">
        <v>9.1199999999999992</v>
      </c>
      <c r="AO4738">
        <v>-5.29</v>
      </c>
      <c r="AP4738">
        <v>236</v>
      </c>
      <c r="AQ4738">
        <v>0</v>
      </c>
      <c r="AR4738">
        <v>8.92</v>
      </c>
      <c r="AS4738">
        <v>88</v>
      </c>
      <c r="AT4738">
        <v>3.71</v>
      </c>
      <c r="AU4738">
        <v>98</v>
      </c>
      <c r="AV4738">
        <v>-0.56999999999999995</v>
      </c>
      <c r="AW4738">
        <v>95</v>
      </c>
      <c r="AX4738">
        <v>0.14000000000000001</v>
      </c>
      <c r="AY4738">
        <v>88</v>
      </c>
      <c r="AZ4738">
        <v>6.82</v>
      </c>
      <c r="BA4738">
        <v>78</v>
      </c>
      <c r="BB4738">
        <v>4.79</v>
      </c>
      <c r="BC4738">
        <v>78</v>
      </c>
      <c r="BD4738">
        <v>-0.01</v>
      </c>
      <c r="BE4738">
        <v>0.03</v>
      </c>
      <c r="BF4738">
        <v>0.11</v>
      </c>
      <c r="BG4738">
        <v>94</v>
      </c>
      <c r="BH4738">
        <v>0.24</v>
      </c>
      <c r="BI4738">
        <v>3.21</v>
      </c>
      <c r="BJ4738">
        <v>73</v>
      </c>
      <c r="BK4738">
        <v>34</v>
      </c>
      <c r="BL4738">
        <v>0.01</v>
      </c>
      <c r="BM4738">
        <v>-1.04</v>
      </c>
      <c r="BN4738">
        <v>0.08</v>
      </c>
      <c r="BO4738">
        <v>0.65</v>
      </c>
      <c r="BP4738">
        <v>-0.67</v>
      </c>
      <c r="BQ4738">
        <v>-1.24</v>
      </c>
      <c r="BR4738">
        <v>0.2</v>
      </c>
      <c r="BS4738">
        <v>0.38</v>
      </c>
      <c r="BT4738">
        <v>0.44</v>
      </c>
      <c r="BU4738">
        <v>1.18</v>
      </c>
      <c r="BV4738">
        <v>0.91</v>
      </c>
      <c r="BW4738">
        <v>0.55000000000000004</v>
      </c>
      <c r="BX4738">
        <v>0.56000000000000005</v>
      </c>
      <c r="BY4738">
        <v>1.1599999999999999</v>
      </c>
      <c r="BZ4738">
        <v>-0.52</v>
      </c>
      <c r="CA4738">
        <v>1</v>
      </c>
      <c r="CB4738">
        <v>1.17</v>
      </c>
      <c r="CC4738">
        <v>0.48</v>
      </c>
      <c r="CD4738">
        <v>-0.46</v>
      </c>
      <c r="CE4738">
        <v>0.86</v>
      </c>
      <c r="CF4738">
        <v>-0.05</v>
      </c>
      <c r="CG4738">
        <v>0</v>
      </c>
      <c r="CH4738">
        <v>1.1100000000000001</v>
      </c>
      <c r="CI4738">
        <v>0</v>
      </c>
      <c r="CJ4738">
        <v>-1.2</v>
      </c>
      <c r="CK4738">
        <v>94</v>
      </c>
      <c r="CL4738">
        <v>-0.71</v>
      </c>
      <c r="CM4738">
        <v>92</v>
      </c>
      <c r="CN4738">
        <v>-0.26</v>
      </c>
      <c r="CO4738">
        <v>91</v>
      </c>
      <c r="CP4738">
        <v>-4.5999999999999996</v>
      </c>
      <c r="CQ4738">
        <v>94</v>
      </c>
      <c r="CR4738">
        <v>0</v>
      </c>
      <c r="CS4738">
        <v>0</v>
      </c>
      <c r="CT4738">
        <v>-0.7</v>
      </c>
      <c r="CU4738">
        <v>89</v>
      </c>
      <c r="CV4738">
        <v>0.18</v>
      </c>
      <c r="CW4738">
        <v>44</v>
      </c>
      <c r="CX4738" t="s">
        <v>678</v>
      </c>
    </row>
    <row r="4739" spans="1:102" x14ac:dyDescent="0.3">
      <c r="A4739" t="str">
        <f>HYPERLINK("https://webapp.icbf.com/v2/app/bull-search/view/1080847278","S1574")</f>
        <v>S1574</v>
      </c>
      <c r="B4739" t="s">
        <v>13273</v>
      </c>
      <c r="C4739" t="s">
        <v>13274</v>
      </c>
      <c r="D4739" s="1">
        <v>40953</v>
      </c>
      <c r="E4739" t="s">
        <v>92</v>
      </c>
      <c r="F4739">
        <v>100</v>
      </c>
      <c r="G4739" t="s">
        <v>109</v>
      </c>
      <c r="H4739">
        <v>-168.71</v>
      </c>
      <c r="I4739">
        <v>79</v>
      </c>
      <c r="J4739">
        <v>16.739999999999998</v>
      </c>
      <c r="K4739">
        <v>93</v>
      </c>
      <c r="L4739">
        <v>-153.87</v>
      </c>
      <c r="M4739">
        <v>82</v>
      </c>
      <c r="N4739">
        <v>-31.88</v>
      </c>
      <c r="O4739">
        <v>69</v>
      </c>
      <c r="P4739">
        <v>0.77</v>
      </c>
      <c r="Q4739">
        <v>56</v>
      </c>
      <c r="R4739">
        <v>3.64</v>
      </c>
      <c r="S4739">
        <v>78</v>
      </c>
      <c r="T4739">
        <v>-6.01</v>
      </c>
      <c r="U4739">
        <v>53</v>
      </c>
      <c r="V4739">
        <v>1.9</v>
      </c>
      <c r="W4739">
        <v>67</v>
      </c>
      <c r="X4739" t="s">
        <v>234</v>
      </c>
      <c r="Y4739" t="s">
        <v>362</v>
      </c>
      <c r="Z4739" t="s">
        <v>96</v>
      </c>
      <c r="AA4739" t="s">
        <v>309</v>
      </c>
      <c r="AB4739" t="s">
        <v>13275</v>
      </c>
      <c r="AC4739">
        <v>0</v>
      </c>
      <c r="AD4739">
        <v>0</v>
      </c>
      <c r="AE4739">
        <v>93</v>
      </c>
      <c r="AF4739">
        <v>140.62</v>
      </c>
      <c r="AG4739">
        <v>0.93</v>
      </c>
      <c r="AH4739">
        <v>4.67</v>
      </c>
      <c r="AI4739">
        <v>-0.08</v>
      </c>
      <c r="AJ4739">
        <v>0</v>
      </c>
      <c r="AK4739">
        <v>82</v>
      </c>
      <c r="AL4739">
        <v>0</v>
      </c>
      <c r="AM4739">
        <v>0</v>
      </c>
      <c r="AN4739">
        <v>8.48</v>
      </c>
      <c r="AO4739">
        <v>-3.79</v>
      </c>
      <c r="AP4739">
        <v>11</v>
      </c>
      <c r="AQ4739">
        <v>0</v>
      </c>
      <c r="AR4739">
        <v>10.92</v>
      </c>
      <c r="AS4739">
        <v>61</v>
      </c>
      <c r="AT4739">
        <v>5</v>
      </c>
      <c r="AU4739">
        <v>88</v>
      </c>
      <c r="AV4739">
        <v>-0.97</v>
      </c>
      <c r="AW4739">
        <v>70</v>
      </c>
      <c r="AX4739">
        <v>0.55000000000000004</v>
      </c>
      <c r="AY4739">
        <v>51</v>
      </c>
      <c r="AZ4739">
        <v>7.54</v>
      </c>
      <c r="BA4739">
        <v>52</v>
      </c>
      <c r="BB4739">
        <v>6.09</v>
      </c>
      <c r="BC4739">
        <v>53</v>
      </c>
      <c r="BD4739">
        <v>-0.01</v>
      </c>
      <c r="BE4739">
        <v>-0.03</v>
      </c>
      <c r="BF4739">
        <v>-0.01</v>
      </c>
      <c r="BG4739">
        <v>90</v>
      </c>
      <c r="BH4739">
        <v>0.02</v>
      </c>
      <c r="BI4739">
        <v>-3.81</v>
      </c>
      <c r="BJ4739">
        <v>3</v>
      </c>
      <c r="BK4739">
        <v>2</v>
      </c>
      <c r="BL4739">
        <v>2.84</v>
      </c>
      <c r="BM4739">
        <v>-2.15</v>
      </c>
      <c r="BN4739">
        <v>0.79</v>
      </c>
      <c r="BO4739">
        <v>2.3199999999999998</v>
      </c>
      <c r="BP4739">
        <v>0.52</v>
      </c>
      <c r="BQ4739">
        <v>3.67</v>
      </c>
      <c r="BR4739">
        <v>1.99</v>
      </c>
      <c r="BS4739">
        <v>1.03</v>
      </c>
      <c r="BT4739">
        <v>0.47</v>
      </c>
      <c r="BU4739">
        <v>2.7</v>
      </c>
      <c r="BV4739">
        <v>3.11</v>
      </c>
      <c r="BW4739">
        <v>2.87</v>
      </c>
      <c r="BX4739">
        <v>2.2599999999999998</v>
      </c>
      <c r="BY4739">
        <v>1.18</v>
      </c>
      <c r="BZ4739">
        <v>0.55000000000000004</v>
      </c>
      <c r="CA4739">
        <v>2.2000000000000002</v>
      </c>
      <c r="CB4739">
        <v>2.2999999999999998</v>
      </c>
      <c r="CC4739">
        <v>0.83</v>
      </c>
      <c r="CD4739">
        <v>-2.1</v>
      </c>
      <c r="CE4739">
        <v>1.66</v>
      </c>
      <c r="CF4739">
        <v>1.29</v>
      </c>
      <c r="CG4739">
        <v>0</v>
      </c>
      <c r="CH4739">
        <v>1.08</v>
      </c>
      <c r="CI4739">
        <v>0</v>
      </c>
      <c r="CJ4739">
        <v>3.6</v>
      </c>
      <c r="CK4739">
        <v>58</v>
      </c>
      <c r="CL4739">
        <v>-1.44</v>
      </c>
      <c r="CM4739">
        <v>55</v>
      </c>
      <c r="CN4739">
        <v>-0.88</v>
      </c>
      <c r="CO4739">
        <v>54</v>
      </c>
      <c r="CP4739">
        <v>2.4</v>
      </c>
      <c r="CQ4739">
        <v>53</v>
      </c>
      <c r="CR4739">
        <v>0</v>
      </c>
      <c r="CS4739">
        <v>0</v>
      </c>
      <c r="CT4739">
        <v>21.9</v>
      </c>
      <c r="CU4739">
        <v>53</v>
      </c>
      <c r="CV4739">
        <v>0.22</v>
      </c>
      <c r="CW4739">
        <v>37</v>
      </c>
      <c r="CX4739" t="s">
        <v>1752</v>
      </c>
    </row>
    <row r="4740" spans="1:102" x14ac:dyDescent="0.3">
      <c r="A4740" t="str">
        <f>HYPERLINK("https://webapp.icbf.com/v2/app/bull-search/view/77855479","MAA")</f>
        <v>MAA</v>
      </c>
      <c r="B4740" t="s">
        <v>6683</v>
      </c>
      <c r="C4740" t="s">
        <v>6684</v>
      </c>
      <c r="D4740" s="1">
        <v>32518</v>
      </c>
      <c r="E4740" t="s">
        <v>92</v>
      </c>
      <c r="F4740">
        <v>100</v>
      </c>
      <c r="G4740" t="s">
        <v>93</v>
      </c>
      <c r="H4740">
        <v>-169.25</v>
      </c>
      <c r="I4740">
        <v>89</v>
      </c>
      <c r="J4740">
        <v>-16.2</v>
      </c>
      <c r="K4740">
        <v>97</v>
      </c>
      <c r="L4740">
        <v>-89.54</v>
      </c>
      <c r="M4740">
        <v>90</v>
      </c>
      <c r="N4740">
        <v>-76.290000000000006</v>
      </c>
      <c r="O4740">
        <v>80</v>
      </c>
      <c r="P4740">
        <v>15.87</v>
      </c>
      <c r="Q4740">
        <v>86</v>
      </c>
      <c r="R4740">
        <v>-7.09</v>
      </c>
      <c r="S4740">
        <v>80</v>
      </c>
      <c r="T4740">
        <v>5.76</v>
      </c>
      <c r="U4740">
        <v>83</v>
      </c>
      <c r="V4740">
        <v>-1.76</v>
      </c>
      <c r="W4740">
        <v>63</v>
      </c>
      <c r="X4740" t="s">
        <v>276</v>
      </c>
      <c r="Y4740" t="s">
        <v>95</v>
      </c>
      <c r="Z4740" t="s">
        <v>96</v>
      </c>
      <c r="AA4740" t="s">
        <v>166</v>
      </c>
      <c r="AB4740" t="s">
        <v>6685</v>
      </c>
      <c r="AC4740">
        <v>162</v>
      </c>
      <c r="AD4740">
        <v>99</v>
      </c>
      <c r="AE4740">
        <v>97</v>
      </c>
      <c r="AF4740">
        <v>160.5</v>
      </c>
      <c r="AG4740">
        <v>-3.16</v>
      </c>
      <c r="AH4740">
        <v>0.82</v>
      </c>
      <c r="AI4740">
        <v>-0.16</v>
      </c>
      <c r="AJ4740">
        <v>-0.08</v>
      </c>
      <c r="AK4740">
        <v>90</v>
      </c>
      <c r="AL4740">
        <v>188</v>
      </c>
      <c r="AM4740">
        <v>95</v>
      </c>
      <c r="AN4740">
        <v>5.71</v>
      </c>
      <c r="AO4740">
        <v>-1.42</v>
      </c>
      <c r="AP4740">
        <v>4</v>
      </c>
      <c r="AQ4740">
        <v>0</v>
      </c>
      <c r="AR4740">
        <v>14.3</v>
      </c>
      <c r="AS4740">
        <v>62</v>
      </c>
      <c r="AT4740">
        <v>5.59</v>
      </c>
      <c r="AU4740">
        <v>89</v>
      </c>
      <c r="AV4740">
        <v>1.81</v>
      </c>
      <c r="AW4740">
        <v>81</v>
      </c>
      <c r="AX4740">
        <v>0.19</v>
      </c>
      <c r="AY4740">
        <v>85</v>
      </c>
      <c r="AZ4740">
        <v>7.98</v>
      </c>
      <c r="BA4740">
        <v>56</v>
      </c>
      <c r="BB4740">
        <v>6.23</v>
      </c>
      <c r="BC4740">
        <v>72</v>
      </c>
      <c r="BD4740">
        <v>0.03</v>
      </c>
      <c r="BE4740">
        <v>7.0000000000000007E-2</v>
      </c>
      <c r="BF4740">
        <v>-0.02</v>
      </c>
      <c r="BG4740">
        <v>94</v>
      </c>
      <c r="BH4740">
        <v>0.09</v>
      </c>
      <c r="BI4740">
        <v>16.079999999999998</v>
      </c>
      <c r="BJ4740">
        <v>38</v>
      </c>
      <c r="BK4740">
        <v>26</v>
      </c>
      <c r="BL4740">
        <v>-7.0000000000000007E-2</v>
      </c>
      <c r="BM4740">
        <v>-0.04</v>
      </c>
      <c r="BN4740">
        <v>-7.0000000000000007E-2</v>
      </c>
      <c r="BO4740">
        <v>0.14000000000000001</v>
      </c>
      <c r="BP4740">
        <v>1.06</v>
      </c>
      <c r="BQ4740">
        <v>-1.3</v>
      </c>
      <c r="BR4740">
        <v>1</v>
      </c>
      <c r="BS4740">
        <v>-1.86</v>
      </c>
      <c r="BT4740">
        <v>-0.69</v>
      </c>
      <c r="BU4740">
        <v>0.73</v>
      </c>
      <c r="BV4740">
        <v>-0.51</v>
      </c>
      <c r="BW4740">
        <v>-0.47</v>
      </c>
      <c r="BX4740">
        <v>0.87</v>
      </c>
      <c r="BY4740">
        <v>-0.79</v>
      </c>
      <c r="BZ4740">
        <v>-1.54</v>
      </c>
      <c r="CA4740">
        <v>-0.12</v>
      </c>
      <c r="CB4740">
        <v>0.39</v>
      </c>
      <c r="CC4740">
        <v>-0.98</v>
      </c>
      <c r="CD4740">
        <v>0.06</v>
      </c>
      <c r="CE4740">
        <v>-0.14000000000000001</v>
      </c>
      <c r="CF4740">
        <v>0.68</v>
      </c>
      <c r="CG4740">
        <v>0</v>
      </c>
      <c r="CH4740">
        <v>-0.85</v>
      </c>
      <c r="CI4740">
        <v>0</v>
      </c>
      <c r="CJ4740">
        <v>8.6</v>
      </c>
      <c r="CK4740">
        <v>86</v>
      </c>
      <c r="CL4740">
        <v>-0.28999999999999998</v>
      </c>
      <c r="CM4740">
        <v>84</v>
      </c>
      <c r="CN4740">
        <v>-0.54</v>
      </c>
      <c r="CO4740">
        <v>82</v>
      </c>
      <c r="CP4740">
        <v>4.5</v>
      </c>
      <c r="CQ4740">
        <v>92</v>
      </c>
      <c r="CR4740">
        <v>0</v>
      </c>
      <c r="CS4740">
        <v>0</v>
      </c>
      <c r="CT4740">
        <v>6</v>
      </c>
      <c r="CU4740">
        <v>83</v>
      </c>
      <c r="CV4740">
        <v>0.13</v>
      </c>
      <c r="CW4740">
        <v>43</v>
      </c>
      <c r="CX4740" t="s">
        <v>6686</v>
      </c>
    </row>
    <row r="4741" spans="1:102" x14ac:dyDescent="0.3">
      <c r="A4741" t="str">
        <f>HYPERLINK("https://webapp.icbf.com/v2/app/bull-search/view/68508187","LES")</f>
        <v>LES</v>
      </c>
      <c r="B4741" t="s">
        <v>2756</v>
      </c>
      <c r="C4741" t="s">
        <v>2757</v>
      </c>
      <c r="D4741" s="1">
        <v>33439</v>
      </c>
      <c r="E4741" t="s">
        <v>92</v>
      </c>
      <c r="F4741">
        <v>100</v>
      </c>
      <c r="G4741" t="s">
        <v>93</v>
      </c>
      <c r="H4741">
        <v>-169.31</v>
      </c>
      <c r="I4741">
        <v>85</v>
      </c>
      <c r="J4741">
        <v>-30.13</v>
      </c>
      <c r="K4741">
        <v>96</v>
      </c>
      <c r="L4741">
        <v>-144.5</v>
      </c>
      <c r="M4741">
        <v>85</v>
      </c>
      <c r="N4741">
        <v>11.49</v>
      </c>
      <c r="O4741">
        <v>74</v>
      </c>
      <c r="P4741">
        <v>-4.0599999999999996</v>
      </c>
      <c r="Q4741">
        <v>88</v>
      </c>
      <c r="R4741">
        <v>-13.47</v>
      </c>
      <c r="S4741">
        <v>73</v>
      </c>
      <c r="T4741">
        <v>12.79</v>
      </c>
      <c r="U4741">
        <v>76</v>
      </c>
      <c r="V4741">
        <v>-1.43</v>
      </c>
      <c r="W4741">
        <v>40</v>
      </c>
      <c r="X4741" t="s">
        <v>94</v>
      </c>
      <c r="Y4741" t="s">
        <v>95</v>
      </c>
      <c r="Z4741" t="s">
        <v>96</v>
      </c>
      <c r="AA4741" t="s">
        <v>161</v>
      </c>
      <c r="AB4741" t="s">
        <v>2758</v>
      </c>
      <c r="AC4741">
        <v>117</v>
      </c>
      <c r="AD4741">
        <v>64</v>
      </c>
      <c r="AE4741">
        <v>96</v>
      </c>
      <c r="AF4741">
        <v>204.64</v>
      </c>
      <c r="AG4741">
        <v>-9.6999999999999993</v>
      </c>
      <c r="AH4741">
        <v>1.44</v>
      </c>
      <c r="AI4741">
        <v>-0.28000000000000003</v>
      </c>
      <c r="AJ4741">
        <v>-0.09</v>
      </c>
      <c r="AK4741">
        <v>85</v>
      </c>
      <c r="AL4741">
        <v>108</v>
      </c>
      <c r="AM4741">
        <v>64</v>
      </c>
      <c r="AN4741">
        <v>8.15</v>
      </c>
      <c r="AO4741">
        <v>-3.37</v>
      </c>
      <c r="AP4741">
        <v>54</v>
      </c>
      <c r="AQ4741">
        <v>2</v>
      </c>
      <c r="AR4741">
        <v>7.19</v>
      </c>
      <c r="AS4741">
        <v>58</v>
      </c>
      <c r="AT4741">
        <v>3.61</v>
      </c>
      <c r="AU4741">
        <v>82</v>
      </c>
      <c r="AV4741">
        <v>-1.51</v>
      </c>
      <c r="AW4741">
        <v>79</v>
      </c>
      <c r="AX4741">
        <v>-0.68</v>
      </c>
      <c r="AY4741">
        <v>81</v>
      </c>
      <c r="AZ4741">
        <v>7.04</v>
      </c>
      <c r="BA4741">
        <v>48</v>
      </c>
      <c r="BB4741">
        <v>4.62</v>
      </c>
      <c r="BC4741">
        <v>59</v>
      </c>
      <c r="BD4741">
        <v>0.04</v>
      </c>
      <c r="BE4741">
        <v>7.0000000000000007E-2</v>
      </c>
      <c r="BF4741">
        <v>0.11</v>
      </c>
      <c r="BG4741">
        <v>92</v>
      </c>
      <c r="BH4741">
        <v>-0.05</v>
      </c>
      <c r="BI4741">
        <v>-1.17</v>
      </c>
      <c r="BJ4741">
        <v>0</v>
      </c>
      <c r="BK4741">
        <v>0</v>
      </c>
      <c r="BL4741">
        <v>0.46</v>
      </c>
      <c r="BM4741">
        <v>-2.19</v>
      </c>
      <c r="BN4741">
        <v>-0.56000000000000005</v>
      </c>
      <c r="BO4741">
        <v>1.1000000000000001</v>
      </c>
      <c r="BP4741">
        <v>0.13</v>
      </c>
      <c r="BQ4741">
        <v>-2.0699999999999998</v>
      </c>
      <c r="BR4741">
        <v>-1.46</v>
      </c>
      <c r="BS4741">
        <v>-0.98</v>
      </c>
      <c r="BT4741">
        <v>2.16</v>
      </c>
      <c r="BU4741">
        <v>-0.56999999999999995</v>
      </c>
      <c r="BV4741">
        <v>0.5</v>
      </c>
      <c r="BW4741">
        <v>-1.1000000000000001</v>
      </c>
      <c r="BX4741">
        <v>-0.42</v>
      </c>
      <c r="BY4741">
        <v>-1.19</v>
      </c>
      <c r="BZ4741">
        <v>0.76</v>
      </c>
      <c r="CA4741">
        <v>-0.22</v>
      </c>
      <c r="CB4741">
        <v>-0.57999999999999996</v>
      </c>
      <c r="CC4741">
        <v>0.51</v>
      </c>
      <c r="CD4741">
        <v>-1.65</v>
      </c>
      <c r="CE4741">
        <v>0.73</v>
      </c>
      <c r="CF4741">
        <v>0.01</v>
      </c>
      <c r="CG4741">
        <v>0</v>
      </c>
      <c r="CH4741">
        <v>-0.23</v>
      </c>
      <c r="CI4741">
        <v>0</v>
      </c>
      <c r="CJ4741">
        <v>-1.4</v>
      </c>
      <c r="CK4741">
        <v>89</v>
      </c>
      <c r="CL4741">
        <v>-0.53</v>
      </c>
      <c r="CM4741">
        <v>86</v>
      </c>
      <c r="CN4741">
        <v>-0.33</v>
      </c>
      <c r="CO4741">
        <v>84</v>
      </c>
      <c r="CP4741">
        <v>-3.5</v>
      </c>
      <c r="CQ4741">
        <v>89</v>
      </c>
      <c r="CR4741">
        <v>0</v>
      </c>
      <c r="CS4741">
        <v>0</v>
      </c>
      <c r="CT4741">
        <v>-3.5</v>
      </c>
      <c r="CU4741">
        <v>76</v>
      </c>
      <c r="CV4741">
        <v>0.13</v>
      </c>
      <c r="CW4741">
        <v>25</v>
      </c>
      <c r="CX4741" t="s">
        <v>120</v>
      </c>
    </row>
    <row r="4742" spans="1:102" x14ac:dyDescent="0.3">
      <c r="A4742" t="str">
        <f>HYPERLINK("https://webapp.icbf.com/v2/app/bull-search/view/61878612","BQK")</f>
        <v>BQK</v>
      </c>
      <c r="B4742" t="s">
        <v>14253</v>
      </c>
      <c r="C4742" t="s">
        <v>14254</v>
      </c>
      <c r="D4742" s="1">
        <v>34699</v>
      </c>
      <c r="E4742" t="s">
        <v>92</v>
      </c>
      <c r="F4742">
        <v>100</v>
      </c>
      <c r="G4742" t="s">
        <v>93</v>
      </c>
      <c r="H4742">
        <v>-169.31</v>
      </c>
      <c r="I4742">
        <v>74</v>
      </c>
      <c r="J4742">
        <v>-30.75</v>
      </c>
      <c r="K4742">
        <v>93</v>
      </c>
      <c r="L4742">
        <v>-78.06</v>
      </c>
      <c r="M4742">
        <v>64</v>
      </c>
      <c r="N4742">
        <v>-58.22</v>
      </c>
      <c r="O4742">
        <v>61</v>
      </c>
      <c r="P4742">
        <v>-11.94</v>
      </c>
      <c r="Q4742">
        <v>78</v>
      </c>
      <c r="R4742">
        <v>-4.42</v>
      </c>
      <c r="S4742">
        <v>67</v>
      </c>
      <c r="T4742">
        <v>19.670000000000002</v>
      </c>
      <c r="U4742">
        <v>71</v>
      </c>
      <c r="V4742">
        <v>-5.59</v>
      </c>
      <c r="W4742">
        <v>37</v>
      </c>
      <c r="X4742" t="s">
        <v>94</v>
      </c>
      <c r="Y4742" t="s">
        <v>95</v>
      </c>
      <c r="Z4742" t="s">
        <v>96</v>
      </c>
      <c r="AA4742" t="s">
        <v>105</v>
      </c>
      <c r="AB4742" t="s">
        <v>3559</v>
      </c>
      <c r="AC4742">
        <v>65</v>
      </c>
      <c r="AD4742">
        <v>54</v>
      </c>
      <c r="AE4742">
        <v>93</v>
      </c>
      <c r="AF4742">
        <v>-35.479999999999997</v>
      </c>
      <c r="AG4742">
        <v>-2.78</v>
      </c>
      <c r="AH4742">
        <v>-4.79</v>
      </c>
      <c r="AI4742">
        <v>-0.02</v>
      </c>
      <c r="AJ4742">
        <v>-0.06</v>
      </c>
      <c r="AK4742">
        <v>64</v>
      </c>
      <c r="AL4742">
        <v>69</v>
      </c>
      <c r="AM4742">
        <v>53</v>
      </c>
      <c r="AN4742">
        <v>3.9</v>
      </c>
      <c r="AO4742">
        <v>-2.33</v>
      </c>
      <c r="AP4742">
        <v>0</v>
      </c>
      <c r="AQ4742">
        <v>1</v>
      </c>
      <c r="AR4742">
        <v>13.73</v>
      </c>
      <c r="AS4742">
        <v>36</v>
      </c>
      <c r="AT4742">
        <v>5.79</v>
      </c>
      <c r="AU4742">
        <v>59</v>
      </c>
      <c r="AV4742">
        <v>1.4</v>
      </c>
      <c r="AW4742">
        <v>66</v>
      </c>
      <c r="AX4742">
        <v>-0.4</v>
      </c>
      <c r="AY4742">
        <v>75</v>
      </c>
      <c r="AZ4742">
        <v>5.23</v>
      </c>
      <c r="BA4742">
        <v>38</v>
      </c>
      <c r="BB4742">
        <v>4.37</v>
      </c>
      <c r="BC4742">
        <v>57</v>
      </c>
      <c r="BD4742">
        <v>0.04</v>
      </c>
      <c r="BE4742">
        <v>0.05</v>
      </c>
      <c r="BF4742">
        <v>-0.06</v>
      </c>
      <c r="BG4742">
        <v>82</v>
      </c>
      <c r="BH4742">
        <v>-0.04</v>
      </c>
      <c r="BI4742">
        <v>13.39</v>
      </c>
      <c r="BJ4742">
        <v>25</v>
      </c>
      <c r="BK4742">
        <v>19</v>
      </c>
      <c r="BL4742">
        <v>-0.76</v>
      </c>
      <c r="BM4742">
        <v>-2.06</v>
      </c>
      <c r="BN4742">
        <v>-2.0099999999999998</v>
      </c>
      <c r="BO4742">
        <v>-0.27</v>
      </c>
      <c r="BP4742">
        <v>-0.98</v>
      </c>
      <c r="BQ4742">
        <v>-2.66</v>
      </c>
      <c r="BR4742">
        <v>-0.96</v>
      </c>
      <c r="BS4742">
        <v>-0.53</v>
      </c>
      <c r="BT4742">
        <v>1.02</v>
      </c>
      <c r="BU4742">
        <v>-0.2</v>
      </c>
      <c r="BV4742">
        <v>-0.38</v>
      </c>
      <c r="BW4742">
        <v>-0.15</v>
      </c>
      <c r="BX4742">
        <v>0.25</v>
      </c>
      <c r="BY4742">
        <v>-1.1499999999999999</v>
      </c>
      <c r="BZ4742">
        <v>1.02</v>
      </c>
      <c r="CA4742">
        <v>-0.34</v>
      </c>
      <c r="CB4742">
        <v>-0.35</v>
      </c>
      <c r="CC4742">
        <v>-0.48</v>
      </c>
      <c r="CD4742">
        <v>-1.2</v>
      </c>
      <c r="CE4742">
        <v>-7.0000000000000007E-2</v>
      </c>
      <c r="CF4742">
        <v>-1.73</v>
      </c>
      <c r="CG4742">
        <v>0</v>
      </c>
      <c r="CH4742">
        <v>0.36</v>
      </c>
      <c r="CI4742">
        <v>0</v>
      </c>
      <c r="CJ4742">
        <v>-3</v>
      </c>
      <c r="CK4742">
        <v>79</v>
      </c>
      <c r="CL4742">
        <v>-0.65</v>
      </c>
      <c r="CM4742">
        <v>75</v>
      </c>
      <c r="CN4742">
        <v>-0.03</v>
      </c>
      <c r="CO4742">
        <v>72</v>
      </c>
      <c r="CP4742">
        <v>-9.6</v>
      </c>
      <c r="CQ4742">
        <v>83</v>
      </c>
      <c r="CR4742">
        <v>0</v>
      </c>
      <c r="CS4742">
        <v>0</v>
      </c>
      <c r="CT4742">
        <v>-12.8</v>
      </c>
      <c r="CU4742">
        <v>71</v>
      </c>
      <c r="CV4742">
        <v>0.17</v>
      </c>
      <c r="CW4742">
        <v>22</v>
      </c>
      <c r="CX4742" t="s">
        <v>99</v>
      </c>
    </row>
    <row r="4743" spans="1:102" x14ac:dyDescent="0.3">
      <c r="A4743" t="str">
        <f>HYPERLINK("https://webapp.icbf.com/v2/app/bull-search/view/69091132","ALB")</f>
        <v>ALB</v>
      </c>
      <c r="B4743" t="s">
        <v>11451</v>
      </c>
      <c r="C4743" t="s">
        <v>11452</v>
      </c>
      <c r="D4743" s="1">
        <v>34930</v>
      </c>
      <c r="E4743" t="s">
        <v>92</v>
      </c>
      <c r="F4743">
        <v>100</v>
      </c>
      <c r="G4743" t="s">
        <v>116</v>
      </c>
      <c r="H4743">
        <v>-169.55</v>
      </c>
      <c r="I4743">
        <v>36</v>
      </c>
      <c r="J4743">
        <v>-11.79</v>
      </c>
      <c r="K4743">
        <v>38</v>
      </c>
      <c r="L4743">
        <v>-146.1</v>
      </c>
      <c r="M4743">
        <v>33</v>
      </c>
      <c r="N4743">
        <v>-6.27</v>
      </c>
      <c r="O4743">
        <v>36</v>
      </c>
      <c r="P4743">
        <v>-2.12</v>
      </c>
      <c r="Q4743">
        <v>39</v>
      </c>
      <c r="R4743">
        <v>-14.73</v>
      </c>
      <c r="S4743">
        <v>39</v>
      </c>
      <c r="T4743">
        <v>10.050000000000001</v>
      </c>
      <c r="U4743">
        <v>36</v>
      </c>
      <c r="V4743">
        <v>1.41</v>
      </c>
      <c r="W4743">
        <v>34</v>
      </c>
      <c r="X4743" t="s">
        <v>94</v>
      </c>
      <c r="Y4743" t="s">
        <v>1499</v>
      </c>
      <c r="Z4743">
        <v>0</v>
      </c>
      <c r="AA4743" t="s">
        <v>924</v>
      </c>
      <c r="AB4743" t="s">
        <v>11453</v>
      </c>
      <c r="AC4743">
        <v>3</v>
      </c>
      <c r="AD4743">
        <v>3</v>
      </c>
      <c r="AE4743">
        <v>38</v>
      </c>
      <c r="AF4743">
        <v>163.06</v>
      </c>
      <c r="AG4743">
        <v>-0.45</v>
      </c>
      <c r="AH4743">
        <v>0.65</v>
      </c>
      <c r="AI4743">
        <v>-0.11</v>
      </c>
      <c r="AJ4743">
        <v>-0.08</v>
      </c>
      <c r="AK4743">
        <v>33</v>
      </c>
      <c r="AL4743">
        <v>1</v>
      </c>
      <c r="AM4743">
        <v>1</v>
      </c>
      <c r="AN4743">
        <v>8.8699999999999992</v>
      </c>
      <c r="AO4743">
        <v>-2.77</v>
      </c>
      <c r="AP4743">
        <v>1</v>
      </c>
      <c r="AQ4743">
        <v>0</v>
      </c>
      <c r="AR4743">
        <v>7.39</v>
      </c>
      <c r="AS4743">
        <v>32</v>
      </c>
      <c r="AT4743">
        <v>3.41</v>
      </c>
      <c r="AU4743">
        <v>36</v>
      </c>
      <c r="AV4743">
        <v>0.98</v>
      </c>
      <c r="AW4743">
        <v>38</v>
      </c>
      <c r="AX4743">
        <v>-0.53</v>
      </c>
      <c r="AY4743">
        <v>36</v>
      </c>
      <c r="AZ4743">
        <v>6</v>
      </c>
      <c r="BA4743">
        <v>30</v>
      </c>
      <c r="BB4743">
        <v>4.6900000000000004</v>
      </c>
      <c r="BC4743">
        <v>32</v>
      </c>
      <c r="BD4743">
        <v>7.0000000000000007E-2</v>
      </c>
      <c r="BE4743">
        <v>0.08</v>
      </c>
      <c r="BF4743">
        <v>7.0000000000000007E-2</v>
      </c>
      <c r="BG4743">
        <v>45</v>
      </c>
      <c r="BH4743">
        <v>0.13</v>
      </c>
      <c r="BI4743">
        <v>10.48</v>
      </c>
      <c r="BJ4743">
        <v>0</v>
      </c>
      <c r="BK4743">
        <v>0</v>
      </c>
      <c r="BL4743">
        <v>0.12</v>
      </c>
      <c r="BM4743">
        <v>-0.18</v>
      </c>
      <c r="BN4743">
        <v>0.61</v>
      </c>
      <c r="BO4743">
        <v>0.54</v>
      </c>
      <c r="BP4743">
        <v>-0.02</v>
      </c>
      <c r="BQ4743">
        <v>-0.92</v>
      </c>
      <c r="BR4743">
        <v>0.38</v>
      </c>
      <c r="BS4743">
        <v>-0.62</v>
      </c>
      <c r="BT4743">
        <v>-0.03</v>
      </c>
      <c r="BU4743">
        <v>0.71</v>
      </c>
      <c r="BV4743">
        <v>0.5</v>
      </c>
      <c r="BW4743">
        <v>0.08</v>
      </c>
      <c r="BX4743">
        <v>0.11</v>
      </c>
      <c r="BY4743">
        <v>0.69</v>
      </c>
      <c r="BZ4743">
        <v>0.33</v>
      </c>
      <c r="CA4743">
        <v>0.48</v>
      </c>
      <c r="CB4743">
        <v>0.93</v>
      </c>
      <c r="CC4743">
        <v>-0.5</v>
      </c>
      <c r="CD4743">
        <v>-0.64</v>
      </c>
      <c r="CE4743">
        <v>0.93</v>
      </c>
      <c r="CF4743">
        <v>0.43</v>
      </c>
      <c r="CG4743">
        <v>0</v>
      </c>
      <c r="CH4743">
        <v>1.08</v>
      </c>
      <c r="CI4743">
        <v>0</v>
      </c>
      <c r="CJ4743">
        <v>0.3</v>
      </c>
      <c r="CK4743">
        <v>40</v>
      </c>
      <c r="CL4743">
        <v>-0.72</v>
      </c>
      <c r="CM4743">
        <v>39</v>
      </c>
      <c r="CN4743">
        <v>-0.48</v>
      </c>
      <c r="CO4743">
        <v>38</v>
      </c>
      <c r="CP4743">
        <v>-4.8</v>
      </c>
      <c r="CQ4743">
        <v>38</v>
      </c>
      <c r="CR4743">
        <v>0</v>
      </c>
      <c r="CS4743">
        <v>0</v>
      </c>
      <c r="CT4743">
        <v>0.2</v>
      </c>
      <c r="CU4743">
        <v>36</v>
      </c>
      <c r="CV4743">
        <v>0.12</v>
      </c>
      <c r="CW4743">
        <v>12</v>
      </c>
      <c r="CX4743" t="s">
        <v>485</v>
      </c>
    </row>
    <row r="4744" spans="1:102" x14ac:dyDescent="0.3">
      <c r="A4744" t="str">
        <f>HYPERLINK("https://webapp.icbf.com/v2/app/bull-search/view/76488484","CDF")</f>
        <v>CDF</v>
      </c>
      <c r="B4744" t="s">
        <v>3327</v>
      </c>
      <c r="C4744" t="s">
        <v>3328</v>
      </c>
      <c r="D4744" s="1">
        <v>36547</v>
      </c>
      <c r="E4744" t="s">
        <v>92</v>
      </c>
      <c r="F4744">
        <v>100</v>
      </c>
      <c r="G4744" t="s">
        <v>93</v>
      </c>
      <c r="H4744">
        <v>-169.84</v>
      </c>
      <c r="I4744">
        <v>90</v>
      </c>
      <c r="J4744">
        <v>30.24</v>
      </c>
      <c r="K4744">
        <v>98</v>
      </c>
      <c r="L4744">
        <v>-184.42</v>
      </c>
      <c r="M4744">
        <v>83</v>
      </c>
      <c r="N4744">
        <v>-9.6999999999999993</v>
      </c>
      <c r="O4744">
        <v>88</v>
      </c>
      <c r="P4744">
        <v>4.5199999999999996</v>
      </c>
      <c r="Q4744">
        <v>95</v>
      </c>
      <c r="R4744">
        <v>-9.64</v>
      </c>
      <c r="S4744">
        <v>84</v>
      </c>
      <c r="T4744">
        <v>-3.49</v>
      </c>
      <c r="U4744">
        <v>91</v>
      </c>
      <c r="V4744">
        <v>2.65</v>
      </c>
      <c r="W4744">
        <v>78</v>
      </c>
      <c r="X4744" t="s">
        <v>276</v>
      </c>
      <c r="Y4744" t="s">
        <v>95</v>
      </c>
      <c r="Z4744" t="s">
        <v>96</v>
      </c>
      <c r="AA4744" t="s">
        <v>174</v>
      </c>
      <c r="AB4744" t="s">
        <v>3329</v>
      </c>
      <c r="AC4744">
        <v>163</v>
      </c>
      <c r="AD4744">
        <v>83</v>
      </c>
      <c r="AE4744">
        <v>98</v>
      </c>
      <c r="AF4744">
        <v>445.11</v>
      </c>
      <c r="AG4744">
        <v>4.99</v>
      </c>
      <c r="AH4744">
        <v>10.19</v>
      </c>
      <c r="AI4744">
        <v>-0.2</v>
      </c>
      <c r="AJ4744">
        <v>-0.08</v>
      </c>
      <c r="AK4744">
        <v>83</v>
      </c>
      <c r="AL4744">
        <v>160</v>
      </c>
      <c r="AM4744">
        <v>81</v>
      </c>
      <c r="AN4744">
        <v>9.82</v>
      </c>
      <c r="AO4744">
        <v>-4.8899999999999997</v>
      </c>
      <c r="AP4744">
        <v>280</v>
      </c>
      <c r="AQ4744">
        <v>0</v>
      </c>
      <c r="AR4744">
        <v>9.39</v>
      </c>
      <c r="AS4744">
        <v>80</v>
      </c>
      <c r="AT4744">
        <v>3.71</v>
      </c>
      <c r="AU4744">
        <v>90</v>
      </c>
      <c r="AV4744">
        <v>-0.93</v>
      </c>
      <c r="AW4744">
        <v>94</v>
      </c>
      <c r="AX4744">
        <v>-0.22</v>
      </c>
      <c r="AY4744">
        <v>87</v>
      </c>
      <c r="AZ4744">
        <v>7.71</v>
      </c>
      <c r="BA4744">
        <v>73</v>
      </c>
      <c r="BB4744">
        <v>5.92</v>
      </c>
      <c r="BC4744">
        <v>73</v>
      </c>
      <c r="BD4744">
        <v>0.04</v>
      </c>
      <c r="BE4744">
        <v>0.05</v>
      </c>
      <c r="BF4744">
        <v>0.06</v>
      </c>
      <c r="BG4744">
        <v>93</v>
      </c>
      <c r="BH4744">
        <v>0.17</v>
      </c>
      <c r="BI4744">
        <v>11.11</v>
      </c>
      <c r="BJ4744">
        <v>60</v>
      </c>
      <c r="BK4744">
        <v>37</v>
      </c>
      <c r="BL4744">
        <v>1.17</v>
      </c>
      <c r="BM4744">
        <v>3.11</v>
      </c>
      <c r="BN4744">
        <v>2.69</v>
      </c>
      <c r="BO4744">
        <v>0.46</v>
      </c>
      <c r="BP4744">
        <v>1.18</v>
      </c>
      <c r="BQ4744">
        <v>2.7</v>
      </c>
      <c r="BR4744">
        <v>-0.56999999999999995</v>
      </c>
      <c r="BS4744">
        <v>-0.3</v>
      </c>
      <c r="BT4744">
        <v>0.43</v>
      </c>
      <c r="BU4744">
        <v>-0.24</v>
      </c>
      <c r="BV4744">
        <v>0</v>
      </c>
      <c r="BW4744">
        <v>0.78</v>
      </c>
      <c r="BX4744">
        <v>-1.58</v>
      </c>
      <c r="BY4744">
        <v>1.77</v>
      </c>
      <c r="BZ4744">
        <v>0.09</v>
      </c>
      <c r="CA4744">
        <v>0.15</v>
      </c>
      <c r="CB4744">
        <v>0.4</v>
      </c>
      <c r="CC4744">
        <v>0.14000000000000001</v>
      </c>
      <c r="CD4744">
        <v>1.1499999999999999</v>
      </c>
      <c r="CE4744">
        <v>0.74</v>
      </c>
      <c r="CF4744">
        <v>1.71</v>
      </c>
      <c r="CG4744">
        <v>0</v>
      </c>
      <c r="CH4744">
        <v>1.83</v>
      </c>
      <c r="CI4744">
        <v>0</v>
      </c>
      <c r="CJ4744">
        <v>4.7</v>
      </c>
      <c r="CK4744">
        <v>96</v>
      </c>
      <c r="CL4744">
        <v>-0.67</v>
      </c>
      <c r="CM4744">
        <v>95</v>
      </c>
      <c r="CN4744">
        <v>-0.3</v>
      </c>
      <c r="CO4744">
        <v>94</v>
      </c>
      <c r="CP4744">
        <v>9.6</v>
      </c>
      <c r="CQ4744">
        <v>94</v>
      </c>
      <c r="CR4744">
        <v>0</v>
      </c>
      <c r="CS4744">
        <v>0</v>
      </c>
      <c r="CT4744">
        <v>18.5</v>
      </c>
      <c r="CU4744">
        <v>91</v>
      </c>
      <c r="CV4744">
        <v>0.17</v>
      </c>
      <c r="CW4744">
        <v>45</v>
      </c>
      <c r="CX4744" t="s">
        <v>188</v>
      </c>
    </row>
    <row r="4745" spans="1:102" x14ac:dyDescent="0.3">
      <c r="A4745" t="str">
        <f>HYPERLINK("https://webapp.icbf.com/v2/app/bull-search/view/77855383","LSK")</f>
        <v>LSK</v>
      </c>
      <c r="B4745" t="s">
        <v>15364</v>
      </c>
      <c r="C4745" t="s">
        <v>15365</v>
      </c>
      <c r="D4745" s="1">
        <v>34093</v>
      </c>
      <c r="E4745" t="s">
        <v>92</v>
      </c>
      <c r="F4745">
        <v>100</v>
      </c>
      <c r="G4745" t="s">
        <v>93</v>
      </c>
      <c r="H4745">
        <v>-170.32</v>
      </c>
      <c r="I4745">
        <v>95</v>
      </c>
      <c r="J4745">
        <v>-38.51</v>
      </c>
      <c r="K4745">
        <v>99</v>
      </c>
      <c r="L4745">
        <v>-125.48</v>
      </c>
      <c r="M4745">
        <v>94</v>
      </c>
      <c r="N4745">
        <v>9.1999999999999993</v>
      </c>
      <c r="O4745">
        <v>94</v>
      </c>
      <c r="P4745">
        <v>-4.91</v>
      </c>
      <c r="Q4745">
        <v>97</v>
      </c>
      <c r="R4745">
        <v>-9.2100000000000009</v>
      </c>
      <c r="S4745">
        <v>89</v>
      </c>
      <c r="T4745">
        <v>-1.05</v>
      </c>
      <c r="U4745">
        <v>95</v>
      </c>
      <c r="V4745">
        <v>-0.36</v>
      </c>
      <c r="W4745">
        <v>84</v>
      </c>
      <c r="X4745" t="s">
        <v>558</v>
      </c>
      <c r="Y4745" t="s">
        <v>95</v>
      </c>
      <c r="Z4745" t="s">
        <v>96</v>
      </c>
      <c r="AA4745" t="s">
        <v>561</v>
      </c>
      <c r="AB4745" t="s">
        <v>15366</v>
      </c>
      <c r="AC4745">
        <v>496</v>
      </c>
      <c r="AD4745">
        <v>228</v>
      </c>
      <c r="AE4745">
        <v>99</v>
      </c>
      <c r="AF4745">
        <v>72.98</v>
      </c>
      <c r="AG4745">
        <v>-5.69</v>
      </c>
      <c r="AH4745">
        <v>-3.42</v>
      </c>
      <c r="AI4745">
        <v>-0.15</v>
      </c>
      <c r="AJ4745">
        <v>-0.1</v>
      </c>
      <c r="AK4745">
        <v>94</v>
      </c>
      <c r="AL4745">
        <v>448</v>
      </c>
      <c r="AM4745">
        <v>175</v>
      </c>
      <c r="AN4745">
        <v>7.4</v>
      </c>
      <c r="AO4745">
        <v>-2.6</v>
      </c>
      <c r="AP4745">
        <v>404</v>
      </c>
      <c r="AQ4745">
        <v>0</v>
      </c>
      <c r="AR4745">
        <v>7.46</v>
      </c>
      <c r="AS4745">
        <v>91</v>
      </c>
      <c r="AT4745">
        <v>3.54</v>
      </c>
      <c r="AU4745">
        <v>94</v>
      </c>
      <c r="AV4745">
        <v>-1.22</v>
      </c>
      <c r="AW4745">
        <v>97</v>
      </c>
      <c r="AX4745">
        <v>-0.73</v>
      </c>
      <c r="AY4745">
        <v>95</v>
      </c>
      <c r="AZ4745">
        <v>6.53</v>
      </c>
      <c r="BA4745">
        <v>87</v>
      </c>
      <c r="BB4745">
        <v>4.78</v>
      </c>
      <c r="BC4745">
        <v>87</v>
      </c>
      <c r="BD4745">
        <v>0.04</v>
      </c>
      <c r="BE4745">
        <v>0.05</v>
      </c>
      <c r="BF4745">
        <v>0.05</v>
      </c>
      <c r="BG4745">
        <v>97</v>
      </c>
      <c r="BH4745">
        <v>-0.02</v>
      </c>
      <c r="BI4745">
        <v>-1.1599999999999999</v>
      </c>
      <c r="BJ4745">
        <v>213</v>
      </c>
      <c r="BK4745">
        <v>79</v>
      </c>
      <c r="BL4745">
        <v>0.99</v>
      </c>
      <c r="BM4745">
        <v>-0.17</v>
      </c>
      <c r="BN4745">
        <v>0.94</v>
      </c>
      <c r="BO4745">
        <v>0.89</v>
      </c>
      <c r="BP4745">
        <v>1.41</v>
      </c>
      <c r="BQ4745">
        <v>0.69</v>
      </c>
      <c r="BR4745">
        <v>1.42</v>
      </c>
      <c r="BS4745">
        <v>-0.22</v>
      </c>
      <c r="BT4745">
        <v>-0.96</v>
      </c>
      <c r="BU4745">
        <v>1.67</v>
      </c>
      <c r="BV4745">
        <v>1.25</v>
      </c>
      <c r="BW4745">
        <v>1.76</v>
      </c>
      <c r="BX4745">
        <v>1.84</v>
      </c>
      <c r="BY4745">
        <v>1.06</v>
      </c>
      <c r="BZ4745">
        <v>-2.06</v>
      </c>
      <c r="CA4745">
        <v>1.23</v>
      </c>
      <c r="CB4745">
        <v>1.35</v>
      </c>
      <c r="CC4745">
        <v>0.49</v>
      </c>
      <c r="CD4745">
        <v>-0.97</v>
      </c>
      <c r="CE4745">
        <v>1.04</v>
      </c>
      <c r="CF4745">
        <v>0.99</v>
      </c>
      <c r="CG4745">
        <v>0</v>
      </c>
      <c r="CH4745">
        <v>1.02</v>
      </c>
      <c r="CI4745">
        <v>0</v>
      </c>
      <c r="CJ4745">
        <v>-1.7</v>
      </c>
      <c r="CK4745">
        <v>97</v>
      </c>
      <c r="CL4745">
        <v>-0.78</v>
      </c>
      <c r="CM4745">
        <v>97</v>
      </c>
      <c r="CN4745">
        <v>-0.43</v>
      </c>
      <c r="CO4745">
        <v>97</v>
      </c>
      <c r="CP4745">
        <v>3</v>
      </c>
      <c r="CQ4745">
        <v>98</v>
      </c>
      <c r="CR4745">
        <v>0</v>
      </c>
      <c r="CS4745">
        <v>0</v>
      </c>
      <c r="CT4745">
        <v>15.2</v>
      </c>
      <c r="CU4745">
        <v>95</v>
      </c>
      <c r="CV4745">
        <v>0.19</v>
      </c>
      <c r="CW4745">
        <v>45</v>
      </c>
      <c r="CX4745" t="s">
        <v>118</v>
      </c>
    </row>
    <row r="4746" spans="1:102" x14ac:dyDescent="0.3">
      <c r="A4746" t="str">
        <f>HYPERLINK("https://webapp.icbf.com/v2/app/bull-search/view/77857993","DSP")</f>
        <v>DSP</v>
      </c>
      <c r="B4746" t="s">
        <v>4938</v>
      </c>
      <c r="C4746" t="s">
        <v>1191</v>
      </c>
      <c r="D4746" s="1">
        <v>34593</v>
      </c>
      <c r="E4746" t="s">
        <v>92</v>
      </c>
      <c r="F4746">
        <v>100</v>
      </c>
      <c r="G4746" t="s">
        <v>93</v>
      </c>
      <c r="H4746">
        <v>-170.54</v>
      </c>
      <c r="I4746">
        <v>98</v>
      </c>
      <c r="J4746">
        <v>48.7</v>
      </c>
      <c r="K4746">
        <v>99</v>
      </c>
      <c r="L4746">
        <v>-136.76</v>
      </c>
      <c r="M4746">
        <v>96</v>
      </c>
      <c r="N4746">
        <v>-62.87</v>
      </c>
      <c r="O4746">
        <v>98</v>
      </c>
      <c r="P4746">
        <v>2.38</v>
      </c>
      <c r="Q4746">
        <v>99</v>
      </c>
      <c r="R4746">
        <v>-6.78</v>
      </c>
      <c r="S4746">
        <v>95</v>
      </c>
      <c r="T4746">
        <v>-7.78</v>
      </c>
      <c r="U4746">
        <v>99</v>
      </c>
      <c r="V4746">
        <v>-7.43</v>
      </c>
      <c r="W4746">
        <v>96</v>
      </c>
      <c r="X4746" t="s">
        <v>94</v>
      </c>
      <c r="Y4746" t="s">
        <v>95</v>
      </c>
      <c r="Z4746" t="s">
        <v>96</v>
      </c>
      <c r="AA4746" t="s">
        <v>2805</v>
      </c>
      <c r="AB4746" t="s">
        <v>4939</v>
      </c>
      <c r="AC4746">
        <v>2914</v>
      </c>
      <c r="AD4746">
        <v>1332</v>
      </c>
      <c r="AE4746">
        <v>99</v>
      </c>
      <c r="AF4746">
        <v>307.43</v>
      </c>
      <c r="AG4746">
        <v>15.54</v>
      </c>
      <c r="AH4746">
        <v>7.49</v>
      </c>
      <c r="AI4746">
        <v>0.06</v>
      </c>
      <c r="AJ4746">
        <v>-0.05</v>
      </c>
      <c r="AK4746">
        <v>96</v>
      </c>
      <c r="AL4746">
        <v>3182</v>
      </c>
      <c r="AM4746">
        <v>1597</v>
      </c>
      <c r="AN4746">
        <v>6.43</v>
      </c>
      <c r="AO4746">
        <v>-4.49</v>
      </c>
      <c r="AP4746">
        <v>3087</v>
      </c>
      <c r="AQ4746">
        <v>6</v>
      </c>
      <c r="AR4746">
        <v>13.7</v>
      </c>
      <c r="AS4746">
        <v>96</v>
      </c>
      <c r="AT4746">
        <v>6.37</v>
      </c>
      <c r="AU4746">
        <v>99</v>
      </c>
      <c r="AV4746">
        <v>0.77</v>
      </c>
      <c r="AW4746">
        <v>99</v>
      </c>
      <c r="AX4746">
        <v>0.01</v>
      </c>
      <c r="AY4746">
        <v>99</v>
      </c>
      <c r="AZ4746">
        <v>5.22</v>
      </c>
      <c r="BA4746">
        <v>96</v>
      </c>
      <c r="BB4746">
        <v>4.38</v>
      </c>
      <c r="BC4746">
        <v>97</v>
      </c>
      <c r="BD4746">
        <v>0.03</v>
      </c>
      <c r="BE4746">
        <v>0.04</v>
      </c>
      <c r="BF4746">
        <v>0.03</v>
      </c>
      <c r="BG4746">
        <v>99</v>
      </c>
      <c r="BH4746">
        <v>-0.16</v>
      </c>
      <c r="BI4746">
        <v>5.46</v>
      </c>
      <c r="BJ4746">
        <v>97</v>
      </c>
      <c r="BK4746">
        <v>63</v>
      </c>
      <c r="BL4746">
        <v>0.51</v>
      </c>
      <c r="BM4746">
        <v>1.82</v>
      </c>
      <c r="BN4746">
        <v>0.89</v>
      </c>
      <c r="BO4746">
        <v>0.26</v>
      </c>
      <c r="BP4746">
        <v>-0.45</v>
      </c>
      <c r="BQ4746">
        <v>2.0499999999999998</v>
      </c>
      <c r="BR4746">
        <v>0.73</v>
      </c>
      <c r="BS4746">
        <v>-1.1100000000000001</v>
      </c>
      <c r="BT4746">
        <v>-0.71</v>
      </c>
      <c r="BU4746">
        <v>-0.51</v>
      </c>
      <c r="BV4746">
        <v>-0.22</v>
      </c>
      <c r="BW4746">
        <v>-0.04</v>
      </c>
      <c r="BX4746">
        <v>-1.1000000000000001</v>
      </c>
      <c r="BY4746">
        <v>2.63</v>
      </c>
      <c r="BZ4746">
        <v>-0.86</v>
      </c>
      <c r="CA4746">
        <v>-0.27</v>
      </c>
      <c r="CB4746">
        <v>0.37</v>
      </c>
      <c r="CC4746">
        <v>-1.43</v>
      </c>
      <c r="CD4746">
        <v>0.77</v>
      </c>
      <c r="CE4746">
        <v>0.65</v>
      </c>
      <c r="CF4746">
        <v>1.1299999999999999</v>
      </c>
      <c r="CG4746">
        <v>0</v>
      </c>
      <c r="CH4746">
        <v>2.4900000000000002</v>
      </c>
      <c r="CI4746">
        <v>0</v>
      </c>
      <c r="CJ4746">
        <v>3.8</v>
      </c>
      <c r="CK4746">
        <v>99</v>
      </c>
      <c r="CL4746">
        <v>-0.54</v>
      </c>
      <c r="CM4746">
        <v>99</v>
      </c>
      <c r="CN4746">
        <v>-0.16</v>
      </c>
      <c r="CO4746">
        <v>99</v>
      </c>
      <c r="CP4746">
        <v>5.6</v>
      </c>
      <c r="CQ4746">
        <v>99</v>
      </c>
      <c r="CR4746">
        <v>0</v>
      </c>
      <c r="CS4746">
        <v>0</v>
      </c>
      <c r="CT4746">
        <v>24.3</v>
      </c>
      <c r="CU4746">
        <v>99</v>
      </c>
      <c r="CV4746">
        <v>0.19</v>
      </c>
      <c r="CW4746">
        <v>47</v>
      </c>
      <c r="CX4746" t="s">
        <v>485</v>
      </c>
    </row>
    <row r="4747" spans="1:102" x14ac:dyDescent="0.3">
      <c r="A4747" t="str">
        <f>HYPERLINK("https://webapp.icbf.com/v2/app/bull-search/view/77859409","ATT")</f>
        <v>ATT</v>
      </c>
      <c r="B4747" t="s">
        <v>7374</v>
      </c>
      <c r="C4747" t="s">
        <v>7375</v>
      </c>
      <c r="D4747" s="1">
        <v>31868</v>
      </c>
      <c r="E4747" t="s">
        <v>92</v>
      </c>
      <c r="F4747">
        <v>100</v>
      </c>
      <c r="G4747" t="s">
        <v>109</v>
      </c>
      <c r="H4747">
        <v>-170.58</v>
      </c>
      <c r="I4747">
        <v>69</v>
      </c>
      <c r="J4747">
        <v>-50.03</v>
      </c>
      <c r="K4747">
        <v>79</v>
      </c>
      <c r="L4747">
        <v>-94.48</v>
      </c>
      <c r="M4747">
        <v>77</v>
      </c>
      <c r="N4747">
        <v>-26.04</v>
      </c>
      <c r="O4747">
        <v>45</v>
      </c>
      <c r="P4747">
        <v>3.74</v>
      </c>
      <c r="Q4747">
        <v>59</v>
      </c>
      <c r="R4747">
        <v>-13.12</v>
      </c>
      <c r="S4747">
        <v>61</v>
      </c>
      <c r="T4747">
        <v>14.2</v>
      </c>
      <c r="U4747">
        <v>60</v>
      </c>
      <c r="V4747">
        <v>-4.8499999999999996</v>
      </c>
      <c r="W4747">
        <v>22</v>
      </c>
      <c r="X4747" t="s">
        <v>94</v>
      </c>
      <c r="Y4747" t="s">
        <v>95</v>
      </c>
      <c r="Z4747" t="s">
        <v>96</v>
      </c>
      <c r="AA4747" t="s">
        <v>648</v>
      </c>
      <c r="AB4747" t="s">
        <v>7376</v>
      </c>
      <c r="AC4747">
        <v>0</v>
      </c>
      <c r="AD4747">
        <v>0</v>
      </c>
      <c r="AE4747">
        <v>79</v>
      </c>
      <c r="AF4747">
        <v>-81.430000000000007</v>
      </c>
      <c r="AG4747">
        <v>-16.21</v>
      </c>
      <c r="AH4747">
        <v>-4.0199999999999996</v>
      </c>
      <c r="AI4747">
        <v>-0.22</v>
      </c>
      <c r="AJ4747">
        <v>-0.02</v>
      </c>
      <c r="AK4747">
        <v>77</v>
      </c>
      <c r="AL4747">
        <v>0</v>
      </c>
      <c r="AM4747">
        <v>0</v>
      </c>
      <c r="AN4747">
        <v>5.5</v>
      </c>
      <c r="AO4747">
        <v>-2.0299999999999998</v>
      </c>
      <c r="AP4747">
        <v>1</v>
      </c>
      <c r="AQ4747">
        <v>0</v>
      </c>
      <c r="AR4747">
        <v>8.27</v>
      </c>
      <c r="AS4747">
        <v>22</v>
      </c>
      <c r="AT4747">
        <v>3.93</v>
      </c>
      <c r="AU4747">
        <v>65</v>
      </c>
      <c r="AV4747">
        <v>2.09</v>
      </c>
      <c r="AW4747">
        <v>45</v>
      </c>
      <c r="AX4747">
        <v>0.19</v>
      </c>
      <c r="AY4747">
        <v>48</v>
      </c>
      <c r="AZ4747">
        <v>6.87</v>
      </c>
      <c r="BA4747">
        <v>19</v>
      </c>
      <c r="BB4747">
        <v>4.76</v>
      </c>
      <c r="BC4747">
        <v>28</v>
      </c>
      <c r="BD4747">
        <v>0.04</v>
      </c>
      <c r="BE4747">
        <v>0.05</v>
      </c>
      <c r="BF4747">
        <v>0.14000000000000001</v>
      </c>
      <c r="BG4747">
        <v>86</v>
      </c>
      <c r="BH4747">
        <v>-0.03</v>
      </c>
      <c r="BI4747">
        <v>12.16</v>
      </c>
      <c r="BJ4747">
        <v>0</v>
      </c>
      <c r="BK4747">
        <v>0</v>
      </c>
      <c r="BL4747">
        <v>-1.0900000000000001</v>
      </c>
      <c r="BM4747">
        <v>-0.13</v>
      </c>
      <c r="BN4747">
        <v>-1.47</v>
      </c>
      <c r="BO4747">
        <v>-1.48</v>
      </c>
      <c r="BP4747">
        <v>0.95</v>
      </c>
      <c r="BQ4747">
        <v>-2.09</v>
      </c>
      <c r="BR4747">
        <v>-0.82</v>
      </c>
      <c r="BS4747">
        <v>0.06</v>
      </c>
      <c r="BT4747">
        <v>-0.9</v>
      </c>
      <c r="BU4747">
        <v>-0.15</v>
      </c>
      <c r="BV4747">
        <v>-0.36</v>
      </c>
      <c r="BW4747">
        <v>0.59</v>
      </c>
      <c r="BX4747">
        <v>-0.02</v>
      </c>
      <c r="BY4747">
        <v>0.12</v>
      </c>
      <c r="BZ4747">
        <v>-0.25</v>
      </c>
      <c r="CA4747">
        <v>-0.39</v>
      </c>
      <c r="CB4747">
        <v>-0.43</v>
      </c>
      <c r="CC4747">
        <v>-0.39</v>
      </c>
      <c r="CD4747">
        <v>0</v>
      </c>
      <c r="CE4747">
        <v>0</v>
      </c>
      <c r="CF4747">
        <v>0</v>
      </c>
      <c r="CG4747">
        <v>0</v>
      </c>
      <c r="CH4747">
        <v>0</v>
      </c>
      <c r="CI4747">
        <v>0</v>
      </c>
      <c r="CJ4747">
        <v>0.6</v>
      </c>
      <c r="CK4747">
        <v>60</v>
      </c>
      <c r="CL4747">
        <v>-0.03</v>
      </c>
      <c r="CM4747">
        <v>56</v>
      </c>
      <c r="CN4747">
        <v>-0.32</v>
      </c>
      <c r="CO4747">
        <v>49</v>
      </c>
      <c r="CP4747">
        <v>-3.5</v>
      </c>
      <c r="CQ4747">
        <v>71</v>
      </c>
      <c r="CR4747">
        <v>0</v>
      </c>
      <c r="CS4747">
        <v>0</v>
      </c>
      <c r="CT4747">
        <v>-5.4</v>
      </c>
      <c r="CU4747">
        <v>60</v>
      </c>
      <c r="CV4747">
        <v>-0.04</v>
      </c>
      <c r="CW4747">
        <v>15</v>
      </c>
      <c r="CX4747" t="s">
        <v>120</v>
      </c>
    </row>
    <row r="4748" spans="1:102" x14ac:dyDescent="0.3">
      <c r="A4748" t="str">
        <f>HYPERLINK("https://webapp.icbf.com/v2/app/bull-search/view/69092380","PFR")</f>
        <v>PFR</v>
      </c>
      <c r="B4748" t="s">
        <v>1342</v>
      </c>
      <c r="C4748" t="s">
        <v>1343</v>
      </c>
      <c r="D4748" s="1">
        <v>34874</v>
      </c>
      <c r="E4748" t="s">
        <v>92</v>
      </c>
      <c r="F4748">
        <v>100</v>
      </c>
      <c r="G4748" t="s">
        <v>109</v>
      </c>
      <c r="H4748">
        <v>-170.61</v>
      </c>
      <c r="I4748">
        <v>72</v>
      </c>
      <c r="J4748">
        <v>13.37</v>
      </c>
      <c r="K4748">
        <v>76</v>
      </c>
      <c r="L4748">
        <v>-173.72</v>
      </c>
      <c r="M4748">
        <v>74</v>
      </c>
      <c r="N4748">
        <v>0.64</v>
      </c>
      <c r="O4748">
        <v>62</v>
      </c>
      <c r="P4748">
        <v>-18.22</v>
      </c>
      <c r="Q4748">
        <v>79</v>
      </c>
      <c r="R4748">
        <v>-12.02</v>
      </c>
      <c r="S4748">
        <v>65</v>
      </c>
      <c r="T4748">
        <v>21.45</v>
      </c>
      <c r="U4748">
        <v>70</v>
      </c>
      <c r="V4748">
        <v>-2.11</v>
      </c>
      <c r="W4748">
        <v>43</v>
      </c>
      <c r="X4748" t="s">
        <v>276</v>
      </c>
      <c r="Y4748" t="s">
        <v>95</v>
      </c>
      <c r="Z4748" t="s">
        <v>96</v>
      </c>
      <c r="AA4748" t="s">
        <v>265</v>
      </c>
      <c r="AB4748" t="s">
        <v>1344</v>
      </c>
      <c r="AC4748">
        <v>0</v>
      </c>
      <c r="AD4748">
        <v>0</v>
      </c>
      <c r="AE4748">
        <v>76</v>
      </c>
      <c r="AF4748">
        <v>122.76</v>
      </c>
      <c r="AG4748">
        <v>-0.7</v>
      </c>
      <c r="AH4748">
        <v>4.4000000000000004</v>
      </c>
      <c r="AI4748">
        <v>-0.09</v>
      </c>
      <c r="AJ4748">
        <v>0</v>
      </c>
      <c r="AK4748">
        <v>74</v>
      </c>
      <c r="AL4748">
        <v>0</v>
      </c>
      <c r="AM4748">
        <v>0</v>
      </c>
      <c r="AN4748">
        <v>10.54</v>
      </c>
      <c r="AO4748">
        <v>-3.3</v>
      </c>
      <c r="AP4748">
        <v>33</v>
      </c>
      <c r="AQ4748">
        <v>0</v>
      </c>
      <c r="AR4748">
        <v>7.37</v>
      </c>
      <c r="AS4748">
        <v>35</v>
      </c>
      <c r="AT4748">
        <v>3.56</v>
      </c>
      <c r="AU4748">
        <v>81</v>
      </c>
      <c r="AV4748">
        <v>-1.39</v>
      </c>
      <c r="AW4748">
        <v>68</v>
      </c>
      <c r="AX4748">
        <v>0.41</v>
      </c>
      <c r="AY4748">
        <v>54</v>
      </c>
      <c r="AZ4748">
        <v>7.89</v>
      </c>
      <c r="BA4748">
        <v>33</v>
      </c>
      <c r="BB4748">
        <v>5.7</v>
      </c>
      <c r="BC4748">
        <v>36</v>
      </c>
      <c r="BD4748">
        <v>0.02</v>
      </c>
      <c r="BE4748">
        <v>7.0000000000000007E-2</v>
      </c>
      <c r="BF4748">
        <v>0.11</v>
      </c>
      <c r="BG4748">
        <v>84</v>
      </c>
      <c r="BH4748">
        <v>0.12</v>
      </c>
      <c r="BI4748">
        <v>20.68</v>
      </c>
      <c r="BJ4748">
        <v>1</v>
      </c>
      <c r="BK4748">
        <v>1</v>
      </c>
      <c r="BL4748">
        <v>-0.5</v>
      </c>
      <c r="BM4748">
        <v>-1.36</v>
      </c>
      <c r="BN4748">
        <v>-0.6</v>
      </c>
      <c r="BO4748">
        <v>0.34</v>
      </c>
      <c r="BP4748">
        <v>-0.68</v>
      </c>
      <c r="BQ4748">
        <v>-3.02</v>
      </c>
      <c r="BR4748">
        <v>-1.46</v>
      </c>
      <c r="BS4748">
        <v>0.95</v>
      </c>
      <c r="BT4748">
        <v>0.54</v>
      </c>
      <c r="BU4748">
        <v>1.72</v>
      </c>
      <c r="BV4748">
        <v>1.56</v>
      </c>
      <c r="BW4748">
        <v>0.21</v>
      </c>
      <c r="BX4748">
        <v>-0.28000000000000003</v>
      </c>
      <c r="BY4748">
        <v>1.71</v>
      </c>
      <c r="BZ4748">
        <v>-1.04</v>
      </c>
      <c r="CA4748">
        <v>1.45</v>
      </c>
      <c r="CB4748">
        <v>1.66</v>
      </c>
      <c r="CC4748">
        <v>0.23</v>
      </c>
      <c r="CD4748">
        <v>-0.56999999999999995</v>
      </c>
      <c r="CE4748">
        <v>0.4</v>
      </c>
      <c r="CF4748">
        <v>-1.1499999999999999</v>
      </c>
      <c r="CG4748">
        <v>0</v>
      </c>
      <c r="CH4748">
        <v>0.94</v>
      </c>
      <c r="CI4748">
        <v>0</v>
      </c>
      <c r="CJ4748">
        <v>-9.5</v>
      </c>
      <c r="CK4748">
        <v>81</v>
      </c>
      <c r="CL4748">
        <v>-0.51</v>
      </c>
      <c r="CM4748">
        <v>77</v>
      </c>
      <c r="CN4748">
        <v>-0.2</v>
      </c>
      <c r="CO4748">
        <v>75</v>
      </c>
      <c r="CP4748">
        <v>-14.6</v>
      </c>
      <c r="CQ4748">
        <v>72</v>
      </c>
      <c r="CR4748">
        <v>0</v>
      </c>
      <c r="CS4748">
        <v>0</v>
      </c>
      <c r="CT4748">
        <v>-15.2</v>
      </c>
      <c r="CU4748">
        <v>70</v>
      </c>
      <c r="CV4748">
        <v>0</v>
      </c>
      <c r="CW4748">
        <v>23</v>
      </c>
      <c r="CX4748" t="s">
        <v>485</v>
      </c>
    </row>
    <row r="4749" spans="1:102" x14ac:dyDescent="0.3">
      <c r="A4749" t="str">
        <f>HYPERLINK("https://webapp.icbf.com/v2/app/bull-search/view/437236786","LUZ")</f>
        <v>LUZ</v>
      </c>
      <c r="B4749" t="s">
        <v>11923</v>
      </c>
      <c r="C4749" t="s">
        <v>11924</v>
      </c>
      <c r="D4749" s="1">
        <v>37629</v>
      </c>
      <c r="E4749" t="s">
        <v>92</v>
      </c>
      <c r="F4749">
        <v>100</v>
      </c>
      <c r="G4749" t="s">
        <v>93</v>
      </c>
      <c r="H4749">
        <v>-170.79</v>
      </c>
      <c r="I4749">
        <v>60</v>
      </c>
      <c r="J4749">
        <v>-28.53</v>
      </c>
      <c r="K4749">
        <v>82</v>
      </c>
      <c r="L4749">
        <v>-99.76</v>
      </c>
      <c r="M4749">
        <v>40</v>
      </c>
      <c r="N4749">
        <v>-0.68</v>
      </c>
      <c r="O4749">
        <v>54</v>
      </c>
      <c r="P4749">
        <v>-16.04</v>
      </c>
      <c r="Q4749">
        <v>69</v>
      </c>
      <c r="R4749">
        <v>-4.45</v>
      </c>
      <c r="S4749">
        <v>47</v>
      </c>
      <c r="T4749">
        <v>-15.85</v>
      </c>
      <c r="U4749">
        <v>66</v>
      </c>
      <c r="V4749">
        <v>-5.48</v>
      </c>
      <c r="W4749">
        <v>31</v>
      </c>
      <c r="X4749" t="s">
        <v>747</v>
      </c>
      <c r="Y4749" t="s">
        <v>1128</v>
      </c>
      <c r="Z4749" t="s">
        <v>96</v>
      </c>
      <c r="AA4749" t="s">
        <v>289</v>
      </c>
      <c r="AB4749" t="s">
        <v>11925</v>
      </c>
      <c r="AC4749">
        <v>18</v>
      </c>
      <c r="AD4749">
        <v>12</v>
      </c>
      <c r="AE4749">
        <v>82</v>
      </c>
      <c r="AF4749">
        <v>263.64999999999998</v>
      </c>
      <c r="AG4749">
        <v>-6.49</v>
      </c>
      <c r="AH4749">
        <v>1.48</v>
      </c>
      <c r="AI4749">
        <v>-0.27</v>
      </c>
      <c r="AJ4749">
        <v>-0.12</v>
      </c>
      <c r="AK4749">
        <v>40</v>
      </c>
      <c r="AL4749">
        <v>16</v>
      </c>
      <c r="AM4749">
        <v>12</v>
      </c>
      <c r="AN4749">
        <v>5.08</v>
      </c>
      <c r="AO4749">
        <v>-2.88</v>
      </c>
      <c r="AP4749">
        <v>17</v>
      </c>
      <c r="AQ4749">
        <v>0</v>
      </c>
      <c r="AR4749">
        <v>9.7799999999999994</v>
      </c>
      <c r="AS4749">
        <v>33</v>
      </c>
      <c r="AT4749">
        <v>4.5199999999999996</v>
      </c>
      <c r="AU4749">
        <v>72</v>
      </c>
      <c r="AV4749">
        <v>-2.25</v>
      </c>
      <c r="AW4749">
        <v>57</v>
      </c>
      <c r="AX4749">
        <v>0.36</v>
      </c>
      <c r="AY4749">
        <v>50</v>
      </c>
      <c r="AZ4749">
        <v>5.56</v>
      </c>
      <c r="BA4749">
        <v>30</v>
      </c>
      <c r="BB4749">
        <v>4.6100000000000003</v>
      </c>
      <c r="BC4749">
        <v>30</v>
      </c>
      <c r="BD4749">
        <v>-0.01</v>
      </c>
      <c r="BE4749">
        <v>0.01</v>
      </c>
      <c r="BF4749">
        <v>0.1</v>
      </c>
      <c r="BG4749">
        <v>56</v>
      </c>
      <c r="BH4749">
        <v>-0.24</v>
      </c>
      <c r="BI4749">
        <v>-10.07</v>
      </c>
      <c r="BJ4749">
        <v>8</v>
      </c>
      <c r="BK4749">
        <v>8</v>
      </c>
      <c r="BL4749">
        <v>1.8</v>
      </c>
      <c r="BM4749">
        <v>-0.16</v>
      </c>
      <c r="BN4749">
        <v>1.26</v>
      </c>
      <c r="BO4749">
        <v>1.25</v>
      </c>
      <c r="BP4749">
        <v>-0.42</v>
      </c>
      <c r="BQ4749">
        <v>1.45</v>
      </c>
      <c r="BR4749">
        <v>-0.54</v>
      </c>
      <c r="BS4749">
        <v>0.65</v>
      </c>
      <c r="BT4749">
        <v>1.31</v>
      </c>
      <c r="BU4749">
        <v>0.25</v>
      </c>
      <c r="BV4749">
        <v>1.1100000000000001</v>
      </c>
      <c r="BW4749">
        <v>1.83</v>
      </c>
      <c r="BX4749">
        <v>0.31</v>
      </c>
      <c r="BY4749">
        <v>-0.4</v>
      </c>
      <c r="BZ4749">
        <v>1.45</v>
      </c>
      <c r="CA4749">
        <v>0.48</v>
      </c>
      <c r="CB4749">
        <v>0.44</v>
      </c>
      <c r="CC4749">
        <v>0.43</v>
      </c>
      <c r="CD4749">
        <v>-0.65</v>
      </c>
      <c r="CE4749">
        <v>1.42</v>
      </c>
      <c r="CF4749">
        <v>0.71</v>
      </c>
      <c r="CG4749">
        <v>0</v>
      </c>
      <c r="CH4749">
        <v>1.23</v>
      </c>
      <c r="CI4749">
        <v>0</v>
      </c>
      <c r="CJ4749">
        <v>-7.3</v>
      </c>
      <c r="CK4749">
        <v>71</v>
      </c>
      <c r="CL4749">
        <v>-1.31</v>
      </c>
      <c r="CM4749">
        <v>67</v>
      </c>
      <c r="CN4749">
        <v>-0.53</v>
      </c>
      <c r="CO4749">
        <v>63</v>
      </c>
      <c r="CP4749">
        <v>9</v>
      </c>
      <c r="CQ4749">
        <v>67</v>
      </c>
      <c r="CR4749">
        <v>0</v>
      </c>
      <c r="CS4749">
        <v>0</v>
      </c>
      <c r="CT4749">
        <v>35.200000000000003</v>
      </c>
      <c r="CU4749">
        <v>66</v>
      </c>
      <c r="CV4749">
        <v>0.26</v>
      </c>
      <c r="CW4749">
        <v>19</v>
      </c>
      <c r="CX4749" t="s">
        <v>311</v>
      </c>
    </row>
    <row r="4750" spans="1:102" x14ac:dyDescent="0.3">
      <c r="A4750" t="str">
        <f>HYPERLINK("https://webapp.icbf.com/v2/app/bull-search/view/678700495","S3055")</f>
        <v>S3055</v>
      </c>
      <c r="B4750" t="s">
        <v>14779</v>
      </c>
      <c r="C4750" t="s">
        <v>10227</v>
      </c>
      <c r="D4750" s="1">
        <v>39329</v>
      </c>
      <c r="E4750" t="s">
        <v>92</v>
      </c>
      <c r="F4750">
        <v>100</v>
      </c>
      <c r="G4750" t="s">
        <v>109</v>
      </c>
      <c r="H4750">
        <v>-171.28</v>
      </c>
      <c r="I4750">
        <v>79</v>
      </c>
      <c r="J4750">
        <v>32.21</v>
      </c>
      <c r="K4750">
        <v>93</v>
      </c>
      <c r="L4750">
        <v>-135.26</v>
      </c>
      <c r="M4750">
        <v>86</v>
      </c>
      <c r="N4750">
        <v>-55.9</v>
      </c>
      <c r="O4750">
        <v>72</v>
      </c>
      <c r="P4750">
        <v>-24.51</v>
      </c>
      <c r="Q4750">
        <v>49</v>
      </c>
      <c r="R4750">
        <v>2.87</v>
      </c>
      <c r="S4750">
        <v>75</v>
      </c>
      <c r="T4750">
        <v>5.54</v>
      </c>
      <c r="U4750">
        <v>47</v>
      </c>
      <c r="V4750">
        <v>3.77</v>
      </c>
      <c r="W4750">
        <v>60</v>
      </c>
      <c r="X4750" t="s">
        <v>110</v>
      </c>
      <c r="Y4750" t="s">
        <v>411</v>
      </c>
      <c r="Z4750" t="s">
        <v>96</v>
      </c>
      <c r="AA4750" t="s">
        <v>1752</v>
      </c>
      <c r="AB4750" t="s">
        <v>5647</v>
      </c>
      <c r="AC4750">
        <v>0</v>
      </c>
      <c r="AD4750">
        <v>0</v>
      </c>
      <c r="AE4750">
        <v>93</v>
      </c>
      <c r="AF4750">
        <v>-29.56</v>
      </c>
      <c r="AG4750">
        <v>5.3</v>
      </c>
      <c r="AH4750">
        <v>3.15</v>
      </c>
      <c r="AI4750">
        <v>0.11</v>
      </c>
      <c r="AJ4750">
        <v>7.0000000000000007E-2</v>
      </c>
      <c r="AK4750">
        <v>86</v>
      </c>
      <c r="AL4750">
        <v>0</v>
      </c>
      <c r="AM4750">
        <v>0</v>
      </c>
      <c r="AN4750">
        <v>8.65</v>
      </c>
      <c r="AO4750">
        <v>-2.12</v>
      </c>
      <c r="AP4750">
        <v>26</v>
      </c>
      <c r="AQ4750">
        <v>0</v>
      </c>
      <c r="AR4750">
        <v>12.87</v>
      </c>
      <c r="AS4750">
        <v>66</v>
      </c>
      <c r="AT4750">
        <v>5.39</v>
      </c>
      <c r="AU4750">
        <v>91</v>
      </c>
      <c r="AV4750">
        <v>0.51</v>
      </c>
      <c r="AW4750">
        <v>76</v>
      </c>
      <c r="AX4750">
        <v>2.11</v>
      </c>
      <c r="AY4750">
        <v>62</v>
      </c>
      <c r="AZ4750">
        <v>6.98</v>
      </c>
      <c r="BA4750">
        <v>48</v>
      </c>
      <c r="BB4750">
        <v>5.44</v>
      </c>
      <c r="BC4750">
        <v>45</v>
      </c>
      <c r="BD4750">
        <v>-0.06</v>
      </c>
      <c r="BE4750">
        <v>-0.04</v>
      </c>
      <c r="BF4750">
        <v>0.11</v>
      </c>
      <c r="BG4750">
        <v>92</v>
      </c>
      <c r="BH4750">
        <v>-7.0000000000000007E-2</v>
      </c>
      <c r="BI4750">
        <v>-20.25</v>
      </c>
      <c r="BJ4750">
        <v>1</v>
      </c>
      <c r="BK4750">
        <v>1</v>
      </c>
      <c r="BL4750">
        <v>1.55</v>
      </c>
      <c r="BM4750">
        <v>-0.26</v>
      </c>
      <c r="BN4750">
        <v>1.48</v>
      </c>
      <c r="BO4750">
        <v>1.39</v>
      </c>
      <c r="BP4750">
        <v>-0.55000000000000004</v>
      </c>
      <c r="BQ4750">
        <v>3.81</v>
      </c>
      <c r="BR4750">
        <v>7.0000000000000007E-2</v>
      </c>
      <c r="BS4750">
        <v>3.4</v>
      </c>
      <c r="BT4750">
        <v>1.23</v>
      </c>
      <c r="BU4750">
        <v>4.0199999999999996</v>
      </c>
      <c r="BV4750">
        <v>4.57</v>
      </c>
      <c r="BW4750">
        <v>3.1</v>
      </c>
      <c r="BX4750">
        <v>2.78</v>
      </c>
      <c r="BY4750">
        <v>3.29</v>
      </c>
      <c r="BZ4750">
        <v>-2.23</v>
      </c>
      <c r="CA4750">
        <v>3.2</v>
      </c>
      <c r="CB4750">
        <v>3.12</v>
      </c>
      <c r="CC4750">
        <v>2.09</v>
      </c>
      <c r="CD4750">
        <v>-0.82</v>
      </c>
      <c r="CE4750">
        <v>1.05</v>
      </c>
      <c r="CF4750">
        <v>1.2</v>
      </c>
      <c r="CG4750">
        <v>0</v>
      </c>
      <c r="CH4750">
        <v>3.73</v>
      </c>
      <c r="CI4750">
        <v>0</v>
      </c>
      <c r="CJ4750">
        <v>-12.3</v>
      </c>
      <c r="CK4750">
        <v>49</v>
      </c>
      <c r="CL4750">
        <v>-1.65</v>
      </c>
      <c r="CM4750">
        <v>48</v>
      </c>
      <c r="CN4750">
        <v>-0.85</v>
      </c>
      <c r="CO4750">
        <v>47</v>
      </c>
      <c r="CP4750">
        <v>-3.1</v>
      </c>
      <c r="CQ4750">
        <v>49</v>
      </c>
      <c r="CR4750">
        <v>0</v>
      </c>
      <c r="CS4750">
        <v>0</v>
      </c>
      <c r="CT4750">
        <v>6.3</v>
      </c>
      <c r="CU4750">
        <v>47</v>
      </c>
      <c r="CV4750">
        <v>0.1</v>
      </c>
      <c r="CW4750">
        <v>35</v>
      </c>
      <c r="CX4750" t="s">
        <v>5648</v>
      </c>
    </row>
    <row r="4751" spans="1:102" x14ac:dyDescent="0.3">
      <c r="A4751" t="str">
        <f>HYPERLINK("https://webapp.icbf.com/v2/app/bull-search/view/69091294","BTX")</f>
        <v>BTX</v>
      </c>
      <c r="B4751" t="s">
        <v>3488</v>
      </c>
      <c r="C4751" t="s">
        <v>3489</v>
      </c>
      <c r="D4751" s="1">
        <v>36493</v>
      </c>
      <c r="E4751" t="s">
        <v>92</v>
      </c>
      <c r="F4751">
        <v>100</v>
      </c>
      <c r="G4751" t="s">
        <v>116</v>
      </c>
      <c r="H4751">
        <v>-171.4</v>
      </c>
      <c r="I4751">
        <v>43</v>
      </c>
      <c r="J4751">
        <v>-2.95</v>
      </c>
      <c r="K4751">
        <v>54</v>
      </c>
      <c r="L4751">
        <v>-123.11</v>
      </c>
      <c r="M4751">
        <v>34</v>
      </c>
      <c r="N4751">
        <v>-23.58</v>
      </c>
      <c r="O4751">
        <v>38</v>
      </c>
      <c r="P4751">
        <v>-17.3</v>
      </c>
      <c r="Q4751">
        <v>54</v>
      </c>
      <c r="R4751">
        <v>-10.66</v>
      </c>
      <c r="S4751">
        <v>36</v>
      </c>
      <c r="T4751">
        <v>8.1300000000000008</v>
      </c>
      <c r="U4751">
        <v>42</v>
      </c>
      <c r="V4751">
        <v>-1.93</v>
      </c>
      <c r="W4751">
        <v>28</v>
      </c>
      <c r="X4751" t="s">
        <v>94</v>
      </c>
      <c r="Y4751" t="s">
        <v>1006</v>
      </c>
      <c r="Z4751" t="s">
        <v>96</v>
      </c>
      <c r="AA4751" t="s">
        <v>3279</v>
      </c>
      <c r="AB4751" t="s">
        <v>3490</v>
      </c>
      <c r="AC4751">
        <v>5</v>
      </c>
      <c r="AD4751">
        <v>4</v>
      </c>
      <c r="AE4751">
        <v>54</v>
      </c>
      <c r="AF4751">
        <v>165.23</v>
      </c>
      <c r="AG4751">
        <v>2.65</v>
      </c>
      <c r="AH4751">
        <v>1.0900000000000001</v>
      </c>
      <c r="AI4751">
        <v>-0.06</v>
      </c>
      <c r="AJ4751">
        <v>-7.0000000000000007E-2</v>
      </c>
      <c r="AK4751">
        <v>34</v>
      </c>
      <c r="AL4751">
        <v>5</v>
      </c>
      <c r="AM4751">
        <v>3</v>
      </c>
      <c r="AN4751">
        <v>5.79</v>
      </c>
      <c r="AO4751">
        <v>-4.04</v>
      </c>
      <c r="AP4751">
        <v>4</v>
      </c>
      <c r="AQ4751">
        <v>2</v>
      </c>
      <c r="AR4751">
        <v>10.14</v>
      </c>
      <c r="AS4751">
        <v>28</v>
      </c>
      <c r="AT4751">
        <v>4.38</v>
      </c>
      <c r="AU4751">
        <v>42</v>
      </c>
      <c r="AV4751">
        <v>0.56000000000000005</v>
      </c>
      <c r="AW4751">
        <v>41</v>
      </c>
      <c r="AX4751">
        <v>-0.53</v>
      </c>
      <c r="AY4751">
        <v>39</v>
      </c>
      <c r="AZ4751">
        <v>6.72</v>
      </c>
      <c r="BA4751">
        <v>28</v>
      </c>
      <c r="BB4751">
        <v>4.97</v>
      </c>
      <c r="BC4751">
        <v>30</v>
      </c>
      <c r="BD4751">
        <v>0.03</v>
      </c>
      <c r="BE4751">
        <v>0.05</v>
      </c>
      <c r="BF4751">
        <v>0.1</v>
      </c>
      <c r="BG4751">
        <v>42</v>
      </c>
      <c r="BH4751">
        <v>0</v>
      </c>
      <c r="BI4751">
        <v>6.21</v>
      </c>
      <c r="BJ4751">
        <v>0</v>
      </c>
      <c r="BK4751">
        <v>0</v>
      </c>
      <c r="BL4751">
        <v>0.68</v>
      </c>
      <c r="BM4751">
        <v>0.31</v>
      </c>
      <c r="BN4751">
        <v>0.98</v>
      </c>
      <c r="BO4751">
        <v>0.55000000000000004</v>
      </c>
      <c r="BP4751">
        <v>-1.63</v>
      </c>
      <c r="BQ4751">
        <v>0.79</v>
      </c>
      <c r="BR4751">
        <v>0.8</v>
      </c>
      <c r="BS4751">
        <v>-1.46</v>
      </c>
      <c r="BT4751">
        <v>-0.34</v>
      </c>
      <c r="BU4751">
        <v>-0.12</v>
      </c>
      <c r="BV4751">
        <v>0.28000000000000003</v>
      </c>
      <c r="BW4751">
        <v>0.36</v>
      </c>
      <c r="BX4751">
        <v>-0.46</v>
      </c>
      <c r="BY4751">
        <v>0.11</v>
      </c>
      <c r="BZ4751">
        <v>-1.02</v>
      </c>
      <c r="CA4751">
        <v>-0.42</v>
      </c>
      <c r="CB4751">
        <v>0.08</v>
      </c>
      <c r="CC4751">
        <v>-1.1399999999999999</v>
      </c>
      <c r="CD4751">
        <v>-0.31</v>
      </c>
      <c r="CE4751">
        <v>0.49</v>
      </c>
      <c r="CF4751">
        <v>0.48</v>
      </c>
      <c r="CG4751">
        <v>0</v>
      </c>
      <c r="CH4751">
        <v>0.36</v>
      </c>
      <c r="CI4751">
        <v>0</v>
      </c>
      <c r="CJ4751">
        <v>-6.6</v>
      </c>
      <c r="CK4751">
        <v>56</v>
      </c>
      <c r="CL4751">
        <v>-1.05</v>
      </c>
      <c r="CM4751">
        <v>52</v>
      </c>
      <c r="CN4751">
        <v>-0.31</v>
      </c>
      <c r="CO4751">
        <v>49</v>
      </c>
      <c r="CP4751">
        <v>-6.6</v>
      </c>
      <c r="CQ4751">
        <v>51</v>
      </c>
      <c r="CR4751">
        <v>0</v>
      </c>
      <c r="CS4751">
        <v>0</v>
      </c>
      <c r="CT4751">
        <v>2.8</v>
      </c>
      <c r="CU4751">
        <v>42</v>
      </c>
      <c r="CV4751">
        <v>0.24</v>
      </c>
      <c r="CW4751">
        <v>15</v>
      </c>
      <c r="CX4751" t="s">
        <v>2855</v>
      </c>
    </row>
    <row r="4752" spans="1:102" x14ac:dyDescent="0.3">
      <c r="A4752" t="str">
        <f>HYPERLINK("https://webapp.icbf.com/v2/app/bull-search/view/77857732","EUD")</f>
        <v>EUD</v>
      </c>
      <c r="B4752" t="s">
        <v>14804</v>
      </c>
      <c r="C4752" t="s">
        <v>1161</v>
      </c>
      <c r="D4752" s="1">
        <v>33507</v>
      </c>
      <c r="E4752" t="s">
        <v>92</v>
      </c>
      <c r="F4752">
        <v>100</v>
      </c>
      <c r="G4752" t="s">
        <v>93</v>
      </c>
      <c r="H4752">
        <v>-171.52</v>
      </c>
      <c r="I4752">
        <v>89</v>
      </c>
      <c r="J4752">
        <v>-6.43</v>
      </c>
      <c r="K4752">
        <v>97</v>
      </c>
      <c r="L4752">
        <v>-136.57</v>
      </c>
      <c r="M4752">
        <v>89</v>
      </c>
      <c r="N4752">
        <v>-23.65</v>
      </c>
      <c r="O4752">
        <v>78</v>
      </c>
      <c r="P4752">
        <v>-26.11</v>
      </c>
      <c r="Q4752">
        <v>83</v>
      </c>
      <c r="R4752">
        <v>-10.71</v>
      </c>
      <c r="S4752">
        <v>83</v>
      </c>
      <c r="T4752">
        <v>26.92</v>
      </c>
      <c r="U4752">
        <v>82</v>
      </c>
      <c r="V4752">
        <v>5.03</v>
      </c>
      <c r="W4752">
        <v>74</v>
      </c>
      <c r="X4752" t="s">
        <v>302</v>
      </c>
      <c r="Y4752" t="s">
        <v>95</v>
      </c>
      <c r="Z4752" t="s">
        <v>96</v>
      </c>
      <c r="AA4752" t="s">
        <v>111</v>
      </c>
      <c r="AB4752" t="s">
        <v>10363</v>
      </c>
      <c r="AC4752">
        <v>79</v>
      </c>
      <c r="AD4752">
        <v>27</v>
      </c>
      <c r="AE4752">
        <v>97</v>
      </c>
      <c r="AF4752">
        <v>170.32</v>
      </c>
      <c r="AG4752">
        <v>-3.1</v>
      </c>
      <c r="AH4752">
        <v>2.61</v>
      </c>
      <c r="AI4752">
        <v>-0.17</v>
      </c>
      <c r="AJ4752">
        <v>-0.05</v>
      </c>
      <c r="AK4752">
        <v>89</v>
      </c>
      <c r="AL4752">
        <v>78</v>
      </c>
      <c r="AM4752">
        <v>31</v>
      </c>
      <c r="AN4752">
        <v>7.55</v>
      </c>
      <c r="AO4752">
        <v>-3.34</v>
      </c>
      <c r="AP4752">
        <v>1</v>
      </c>
      <c r="AQ4752">
        <v>0</v>
      </c>
      <c r="AR4752">
        <v>8.58</v>
      </c>
      <c r="AS4752">
        <v>69</v>
      </c>
      <c r="AT4752">
        <v>4.5199999999999996</v>
      </c>
      <c r="AU4752">
        <v>86</v>
      </c>
      <c r="AV4752">
        <v>0.2</v>
      </c>
      <c r="AW4752">
        <v>78</v>
      </c>
      <c r="AX4752">
        <v>-0.27</v>
      </c>
      <c r="AY4752">
        <v>78</v>
      </c>
      <c r="AZ4752">
        <v>7.87</v>
      </c>
      <c r="BA4752">
        <v>64</v>
      </c>
      <c r="BB4752">
        <v>5.73</v>
      </c>
      <c r="BC4752">
        <v>72</v>
      </c>
      <c r="BD4752">
        <v>0.05</v>
      </c>
      <c r="BE4752">
        <v>7.0000000000000007E-2</v>
      </c>
      <c r="BF4752">
        <v>0.03</v>
      </c>
      <c r="BG4752">
        <v>93</v>
      </c>
      <c r="BH4752">
        <v>0.04</v>
      </c>
      <c r="BI4752">
        <v>-11.59</v>
      </c>
      <c r="BJ4752">
        <v>1</v>
      </c>
      <c r="BK4752">
        <v>1</v>
      </c>
      <c r="BL4752">
        <v>0.02</v>
      </c>
      <c r="BM4752">
        <v>-0.87</v>
      </c>
      <c r="BN4752">
        <v>0.85</v>
      </c>
      <c r="BO4752">
        <v>1.1100000000000001</v>
      </c>
      <c r="BP4752">
        <v>0.7</v>
      </c>
      <c r="BQ4752">
        <v>0.87</v>
      </c>
      <c r="BR4752">
        <v>0.76</v>
      </c>
      <c r="BS4752">
        <v>-0.22</v>
      </c>
      <c r="BT4752">
        <v>-0.5</v>
      </c>
      <c r="BU4752">
        <v>-0.08</v>
      </c>
      <c r="BV4752">
        <v>-0.33</v>
      </c>
      <c r="BW4752">
        <v>0.17</v>
      </c>
      <c r="BX4752">
        <v>-1.52</v>
      </c>
      <c r="BY4752">
        <v>0.65</v>
      </c>
      <c r="BZ4752">
        <v>-0.04</v>
      </c>
      <c r="CA4752">
        <v>0.32</v>
      </c>
      <c r="CB4752">
        <v>0.14000000000000001</v>
      </c>
      <c r="CC4752">
        <v>0.45</v>
      </c>
      <c r="CD4752">
        <v>-1.5</v>
      </c>
      <c r="CE4752">
        <v>0.69</v>
      </c>
      <c r="CF4752">
        <v>-0.1</v>
      </c>
      <c r="CG4752">
        <v>0</v>
      </c>
      <c r="CH4752">
        <v>0.76</v>
      </c>
      <c r="CI4752">
        <v>0</v>
      </c>
      <c r="CJ4752">
        <v>-12.3</v>
      </c>
      <c r="CK4752">
        <v>84</v>
      </c>
      <c r="CL4752">
        <v>-0.77</v>
      </c>
      <c r="CM4752">
        <v>81</v>
      </c>
      <c r="CN4752">
        <v>-0.16</v>
      </c>
      <c r="CO4752">
        <v>79</v>
      </c>
      <c r="CP4752">
        <v>-20.399999999999999</v>
      </c>
      <c r="CQ4752">
        <v>88</v>
      </c>
      <c r="CR4752">
        <v>0</v>
      </c>
      <c r="CS4752">
        <v>0</v>
      </c>
      <c r="CT4752">
        <v>-22.6</v>
      </c>
      <c r="CU4752">
        <v>82</v>
      </c>
      <c r="CV4752">
        <v>-0.01</v>
      </c>
      <c r="CW4752">
        <v>43</v>
      </c>
      <c r="CX4752" t="s">
        <v>168</v>
      </c>
    </row>
    <row r="4753" spans="1:102" x14ac:dyDescent="0.3">
      <c r="A4753" t="str">
        <f>HYPERLINK("https://webapp.icbf.com/v2/app/bull-search/view/77855155","MHL")</f>
        <v>MHL</v>
      </c>
      <c r="B4753" t="s">
        <v>10599</v>
      </c>
      <c r="C4753" t="s">
        <v>10600</v>
      </c>
      <c r="D4753" s="1">
        <v>35261</v>
      </c>
      <c r="E4753" t="s">
        <v>92</v>
      </c>
      <c r="F4753">
        <v>100</v>
      </c>
      <c r="G4753" t="s">
        <v>93</v>
      </c>
      <c r="H4753">
        <v>-171.56</v>
      </c>
      <c r="I4753">
        <v>81</v>
      </c>
      <c r="J4753">
        <v>-24.25</v>
      </c>
      <c r="K4753">
        <v>95</v>
      </c>
      <c r="L4753">
        <v>-108.93</v>
      </c>
      <c r="M4753">
        <v>77</v>
      </c>
      <c r="N4753">
        <v>-29.95</v>
      </c>
      <c r="O4753">
        <v>67</v>
      </c>
      <c r="P4753">
        <v>-1.22</v>
      </c>
      <c r="Q4753">
        <v>76</v>
      </c>
      <c r="R4753">
        <v>-12.8</v>
      </c>
      <c r="S4753">
        <v>75</v>
      </c>
      <c r="T4753">
        <v>11.46</v>
      </c>
      <c r="U4753">
        <v>71</v>
      </c>
      <c r="V4753">
        <v>-5.87</v>
      </c>
      <c r="W4753">
        <v>64</v>
      </c>
      <c r="X4753" t="s">
        <v>94</v>
      </c>
      <c r="Y4753" t="s">
        <v>95</v>
      </c>
      <c r="Z4753" t="s">
        <v>96</v>
      </c>
      <c r="AA4753" t="s">
        <v>97</v>
      </c>
      <c r="AB4753" t="s">
        <v>10601</v>
      </c>
      <c r="AC4753">
        <v>42</v>
      </c>
      <c r="AD4753">
        <v>34</v>
      </c>
      <c r="AE4753">
        <v>95</v>
      </c>
      <c r="AF4753">
        <v>85.87</v>
      </c>
      <c r="AG4753">
        <v>-6.56</v>
      </c>
      <c r="AH4753">
        <v>-0.49</v>
      </c>
      <c r="AI4753">
        <v>-0.17</v>
      </c>
      <c r="AJ4753">
        <v>-0.06</v>
      </c>
      <c r="AK4753">
        <v>77</v>
      </c>
      <c r="AL4753">
        <v>45</v>
      </c>
      <c r="AM4753">
        <v>35</v>
      </c>
      <c r="AN4753">
        <v>7.25</v>
      </c>
      <c r="AO4753">
        <v>-1.42</v>
      </c>
      <c r="AP4753">
        <v>4</v>
      </c>
      <c r="AQ4753">
        <v>1</v>
      </c>
      <c r="AR4753">
        <v>10.76</v>
      </c>
      <c r="AS4753">
        <v>57</v>
      </c>
      <c r="AT4753">
        <v>4.55</v>
      </c>
      <c r="AU4753">
        <v>73</v>
      </c>
      <c r="AV4753">
        <v>0.62</v>
      </c>
      <c r="AW4753">
        <v>69</v>
      </c>
      <c r="AX4753">
        <v>1.39</v>
      </c>
      <c r="AY4753">
        <v>70</v>
      </c>
      <c r="AZ4753">
        <v>6.14</v>
      </c>
      <c r="BA4753">
        <v>50</v>
      </c>
      <c r="BB4753">
        <v>4.45</v>
      </c>
      <c r="BC4753">
        <v>59</v>
      </c>
      <c r="BD4753">
        <v>0.05</v>
      </c>
      <c r="BE4753">
        <v>0.09</v>
      </c>
      <c r="BF4753">
        <v>0.04</v>
      </c>
      <c r="BG4753">
        <v>86</v>
      </c>
      <c r="BH4753">
        <v>-0.23</v>
      </c>
      <c r="BI4753">
        <v>-7.68</v>
      </c>
      <c r="BJ4753">
        <v>0</v>
      </c>
      <c r="BK4753">
        <v>0</v>
      </c>
      <c r="BL4753">
        <v>-0.35</v>
      </c>
      <c r="BM4753">
        <v>-1.75</v>
      </c>
      <c r="BN4753">
        <v>-1.34</v>
      </c>
      <c r="BO4753">
        <v>-0.17</v>
      </c>
      <c r="BP4753">
        <v>-0.04</v>
      </c>
      <c r="BQ4753">
        <v>-1.02</v>
      </c>
      <c r="BR4753">
        <v>-1.79</v>
      </c>
      <c r="BS4753">
        <v>0.88</v>
      </c>
      <c r="BT4753">
        <v>0.88</v>
      </c>
      <c r="BU4753">
        <v>-0.04</v>
      </c>
      <c r="BV4753">
        <v>7.0000000000000007E-2</v>
      </c>
      <c r="BW4753">
        <v>-0.18</v>
      </c>
      <c r="BX4753">
        <v>-0.31</v>
      </c>
      <c r="BY4753">
        <v>0.1</v>
      </c>
      <c r="BZ4753">
        <v>-1.97</v>
      </c>
      <c r="CA4753">
        <v>0.73</v>
      </c>
      <c r="CB4753">
        <v>-0.03</v>
      </c>
      <c r="CC4753">
        <v>1.05</v>
      </c>
      <c r="CD4753">
        <v>-1.02</v>
      </c>
      <c r="CE4753">
        <v>0.35</v>
      </c>
      <c r="CF4753">
        <v>-0.8</v>
      </c>
      <c r="CG4753">
        <v>0</v>
      </c>
      <c r="CH4753">
        <v>-0.03</v>
      </c>
      <c r="CI4753">
        <v>0</v>
      </c>
      <c r="CJ4753">
        <v>-1.6</v>
      </c>
      <c r="CK4753">
        <v>77</v>
      </c>
      <c r="CL4753">
        <v>-0.15</v>
      </c>
      <c r="CM4753">
        <v>74</v>
      </c>
      <c r="CN4753">
        <v>-0.32</v>
      </c>
      <c r="CO4753">
        <v>71</v>
      </c>
      <c r="CP4753">
        <v>-8.1</v>
      </c>
      <c r="CQ4753">
        <v>80</v>
      </c>
      <c r="CR4753">
        <v>0</v>
      </c>
      <c r="CS4753">
        <v>0</v>
      </c>
      <c r="CT4753">
        <v>-1.7</v>
      </c>
      <c r="CU4753">
        <v>71</v>
      </c>
      <c r="CV4753">
        <v>-0.06</v>
      </c>
      <c r="CW4753">
        <v>41</v>
      </c>
      <c r="CX4753" t="s">
        <v>118</v>
      </c>
    </row>
    <row r="4754" spans="1:102" x14ac:dyDescent="0.3">
      <c r="A4754" t="str">
        <f>HYPERLINK("https://webapp.icbf.com/v2/app/bull-search/view/375650300","RPI")</f>
        <v>RPI</v>
      </c>
      <c r="B4754" t="s">
        <v>11832</v>
      </c>
      <c r="C4754" t="s">
        <v>11833</v>
      </c>
      <c r="D4754" s="1">
        <v>36239</v>
      </c>
      <c r="E4754" t="s">
        <v>92</v>
      </c>
      <c r="F4754">
        <v>100</v>
      </c>
      <c r="G4754" t="s">
        <v>109</v>
      </c>
      <c r="H4754">
        <v>-171.82</v>
      </c>
      <c r="I4754">
        <v>74</v>
      </c>
      <c r="J4754">
        <v>36.049999999999997</v>
      </c>
      <c r="K4754">
        <v>81</v>
      </c>
      <c r="L4754">
        <v>-177.04</v>
      </c>
      <c r="M4754">
        <v>78</v>
      </c>
      <c r="N4754">
        <v>-35.03</v>
      </c>
      <c r="O4754">
        <v>65</v>
      </c>
      <c r="P4754">
        <v>-6.61</v>
      </c>
      <c r="Q4754">
        <v>63</v>
      </c>
      <c r="R4754">
        <v>0.48</v>
      </c>
      <c r="S4754">
        <v>67</v>
      </c>
      <c r="T4754">
        <v>8.7200000000000006</v>
      </c>
      <c r="U4754">
        <v>74</v>
      </c>
      <c r="V4754">
        <v>1.61</v>
      </c>
      <c r="W4754">
        <v>42</v>
      </c>
      <c r="X4754" t="s">
        <v>131</v>
      </c>
      <c r="Y4754" t="s">
        <v>95</v>
      </c>
      <c r="Z4754" t="s">
        <v>96</v>
      </c>
      <c r="AA4754" t="s">
        <v>1273</v>
      </c>
      <c r="AB4754" t="s">
        <v>11834</v>
      </c>
      <c r="AC4754">
        <v>0</v>
      </c>
      <c r="AD4754">
        <v>0</v>
      </c>
      <c r="AE4754">
        <v>81</v>
      </c>
      <c r="AF4754">
        <v>292.66000000000003</v>
      </c>
      <c r="AG4754">
        <v>11.31</v>
      </c>
      <c r="AH4754">
        <v>6.61</v>
      </c>
      <c r="AI4754">
        <v>0</v>
      </c>
      <c r="AJ4754">
        <v>-0.05</v>
      </c>
      <c r="AK4754">
        <v>78</v>
      </c>
      <c r="AL4754">
        <v>0</v>
      </c>
      <c r="AM4754">
        <v>0</v>
      </c>
      <c r="AN4754">
        <v>11.11</v>
      </c>
      <c r="AO4754">
        <v>-2.99</v>
      </c>
      <c r="AP4754">
        <v>30</v>
      </c>
      <c r="AQ4754">
        <v>0</v>
      </c>
      <c r="AR4754">
        <v>11.25</v>
      </c>
      <c r="AS4754">
        <v>38</v>
      </c>
      <c r="AT4754">
        <v>4.93</v>
      </c>
      <c r="AU4754">
        <v>80</v>
      </c>
      <c r="AV4754">
        <v>-0.34</v>
      </c>
      <c r="AW4754">
        <v>76</v>
      </c>
      <c r="AX4754">
        <v>0.71</v>
      </c>
      <c r="AY4754">
        <v>53</v>
      </c>
      <c r="AZ4754">
        <v>7.04</v>
      </c>
      <c r="BA4754">
        <v>37</v>
      </c>
      <c r="BB4754">
        <v>5.78</v>
      </c>
      <c r="BC4754">
        <v>37</v>
      </c>
      <c r="BD4754">
        <v>0.03</v>
      </c>
      <c r="BE4754">
        <v>0.01</v>
      </c>
      <c r="BF4754">
        <v>-0.08</v>
      </c>
      <c r="BG4754">
        <v>86</v>
      </c>
      <c r="BH4754">
        <v>-0.1</v>
      </c>
      <c r="BI4754">
        <v>-16.77</v>
      </c>
      <c r="BJ4754">
        <v>11</v>
      </c>
      <c r="BK4754">
        <v>7</v>
      </c>
      <c r="BL4754">
        <v>1.24</v>
      </c>
      <c r="BM4754">
        <v>-1.57</v>
      </c>
      <c r="BN4754">
        <v>1.56</v>
      </c>
      <c r="BO4754">
        <v>2.15</v>
      </c>
      <c r="BP4754">
        <v>0.35</v>
      </c>
      <c r="BQ4754">
        <v>-0.26</v>
      </c>
      <c r="BR4754">
        <v>-0.17</v>
      </c>
      <c r="BS4754">
        <v>0.81</v>
      </c>
      <c r="BT4754">
        <v>0.26</v>
      </c>
      <c r="BU4754">
        <v>1.1000000000000001</v>
      </c>
      <c r="BV4754">
        <v>1.78</v>
      </c>
      <c r="BW4754">
        <v>1.1299999999999999</v>
      </c>
      <c r="BX4754">
        <v>0.61</v>
      </c>
      <c r="BY4754">
        <v>-0.04</v>
      </c>
      <c r="BZ4754">
        <v>1.61</v>
      </c>
      <c r="CA4754">
        <v>1.17</v>
      </c>
      <c r="CB4754">
        <v>1.02</v>
      </c>
      <c r="CC4754">
        <v>1.18</v>
      </c>
      <c r="CD4754">
        <v>-2.65</v>
      </c>
      <c r="CE4754">
        <v>1.33</v>
      </c>
      <c r="CF4754">
        <v>1.1299999999999999</v>
      </c>
      <c r="CG4754">
        <v>0</v>
      </c>
      <c r="CH4754">
        <v>1.47</v>
      </c>
      <c r="CI4754">
        <v>0</v>
      </c>
      <c r="CJ4754">
        <v>-1.2</v>
      </c>
      <c r="CK4754">
        <v>65</v>
      </c>
      <c r="CL4754">
        <v>-0.95</v>
      </c>
      <c r="CM4754">
        <v>61</v>
      </c>
      <c r="CN4754">
        <v>-0.44</v>
      </c>
      <c r="CO4754">
        <v>55</v>
      </c>
      <c r="CP4754">
        <v>-2</v>
      </c>
      <c r="CQ4754">
        <v>73</v>
      </c>
      <c r="CR4754">
        <v>0</v>
      </c>
      <c r="CS4754">
        <v>0</v>
      </c>
      <c r="CT4754">
        <v>2</v>
      </c>
      <c r="CU4754">
        <v>74</v>
      </c>
      <c r="CV4754">
        <v>0.23</v>
      </c>
      <c r="CW4754">
        <v>17</v>
      </c>
      <c r="CX4754" t="s">
        <v>561</v>
      </c>
    </row>
    <row r="4755" spans="1:102" x14ac:dyDescent="0.3">
      <c r="A4755" t="str">
        <f>HYPERLINK("https://webapp.icbf.com/v2/app/bull-search/view/132149654","WUD")</f>
        <v>WUD</v>
      </c>
      <c r="B4755" t="s">
        <v>11447</v>
      </c>
      <c r="C4755" t="s">
        <v>11448</v>
      </c>
      <c r="D4755" s="1">
        <v>35718</v>
      </c>
      <c r="E4755" t="s">
        <v>92</v>
      </c>
      <c r="F4755">
        <v>97</v>
      </c>
      <c r="G4755" t="s">
        <v>93</v>
      </c>
      <c r="H4755">
        <v>-171.91</v>
      </c>
      <c r="I4755">
        <v>94</v>
      </c>
      <c r="J4755">
        <v>34.380000000000003</v>
      </c>
      <c r="K4755">
        <v>99</v>
      </c>
      <c r="L4755">
        <v>-179.29</v>
      </c>
      <c r="M4755">
        <v>91</v>
      </c>
      <c r="N4755">
        <v>-3.16</v>
      </c>
      <c r="O4755">
        <v>93</v>
      </c>
      <c r="P4755">
        <v>-4.55</v>
      </c>
      <c r="Q4755">
        <v>97</v>
      </c>
      <c r="R4755">
        <v>-9.9700000000000006</v>
      </c>
      <c r="S4755">
        <v>88</v>
      </c>
      <c r="T4755">
        <v>-0.6</v>
      </c>
      <c r="U4755">
        <v>92</v>
      </c>
      <c r="V4755">
        <v>-8.7200000000000006</v>
      </c>
      <c r="W4755">
        <v>82</v>
      </c>
      <c r="X4755" t="s">
        <v>558</v>
      </c>
      <c r="Y4755" t="s">
        <v>95</v>
      </c>
      <c r="Z4755" t="s">
        <v>96</v>
      </c>
      <c r="AA4755" t="s">
        <v>218</v>
      </c>
      <c r="AB4755" t="s">
        <v>11449</v>
      </c>
      <c r="AC4755">
        <v>331</v>
      </c>
      <c r="AD4755">
        <v>164</v>
      </c>
      <c r="AE4755">
        <v>99</v>
      </c>
      <c r="AF4755">
        <v>293.08999999999997</v>
      </c>
      <c r="AG4755">
        <v>0.12</v>
      </c>
      <c r="AH4755">
        <v>10.29</v>
      </c>
      <c r="AI4755">
        <v>-0.19</v>
      </c>
      <c r="AJ4755">
        <v>0.01</v>
      </c>
      <c r="AK4755">
        <v>91</v>
      </c>
      <c r="AL4755">
        <v>289</v>
      </c>
      <c r="AM4755">
        <v>133</v>
      </c>
      <c r="AN4755">
        <v>9.65</v>
      </c>
      <c r="AO4755">
        <v>-4.6500000000000004</v>
      </c>
      <c r="AP4755">
        <v>573</v>
      </c>
      <c r="AQ4755">
        <v>1</v>
      </c>
      <c r="AR4755">
        <v>8.85</v>
      </c>
      <c r="AS4755">
        <v>88</v>
      </c>
      <c r="AT4755">
        <v>4.2699999999999996</v>
      </c>
      <c r="AU4755">
        <v>94</v>
      </c>
      <c r="AV4755">
        <v>-1.37</v>
      </c>
      <c r="AW4755">
        <v>98</v>
      </c>
      <c r="AX4755">
        <v>0.63</v>
      </c>
      <c r="AY4755">
        <v>92</v>
      </c>
      <c r="AZ4755">
        <v>5.69</v>
      </c>
      <c r="BA4755">
        <v>82</v>
      </c>
      <c r="BB4755">
        <v>4.7300000000000004</v>
      </c>
      <c r="BC4755">
        <v>83</v>
      </c>
      <c r="BD4755">
        <v>0.05</v>
      </c>
      <c r="BE4755">
        <v>0.04</v>
      </c>
      <c r="BF4755">
        <v>7.0000000000000007E-2</v>
      </c>
      <c r="BG4755">
        <v>96</v>
      </c>
      <c r="BH4755">
        <v>-0.21</v>
      </c>
      <c r="BI4755">
        <v>3.84</v>
      </c>
      <c r="BJ4755">
        <v>98</v>
      </c>
      <c r="BK4755">
        <v>50</v>
      </c>
      <c r="BL4755">
        <v>1.39</v>
      </c>
      <c r="BM4755">
        <v>0.94</v>
      </c>
      <c r="BN4755">
        <v>1.74</v>
      </c>
      <c r="BO4755">
        <v>1.1100000000000001</v>
      </c>
      <c r="BP4755">
        <v>-0.45</v>
      </c>
      <c r="BQ4755">
        <v>-0.92</v>
      </c>
      <c r="BR4755">
        <v>0.08</v>
      </c>
      <c r="BS4755">
        <v>0.91</v>
      </c>
      <c r="BT4755">
        <v>0.12</v>
      </c>
      <c r="BU4755">
        <v>1.04</v>
      </c>
      <c r="BV4755">
        <v>0.85</v>
      </c>
      <c r="BW4755">
        <v>0.5</v>
      </c>
      <c r="BX4755">
        <v>0.64</v>
      </c>
      <c r="BY4755">
        <v>0.78</v>
      </c>
      <c r="BZ4755">
        <v>1.0900000000000001</v>
      </c>
      <c r="CA4755">
        <v>1.55</v>
      </c>
      <c r="CB4755">
        <v>1.02</v>
      </c>
      <c r="CC4755">
        <v>1.76</v>
      </c>
      <c r="CD4755">
        <v>-0.59</v>
      </c>
      <c r="CE4755">
        <v>1.19</v>
      </c>
      <c r="CF4755">
        <v>1.21</v>
      </c>
      <c r="CG4755">
        <v>0</v>
      </c>
      <c r="CH4755">
        <v>0.64</v>
      </c>
      <c r="CI4755">
        <v>0</v>
      </c>
      <c r="CJ4755">
        <v>0.2</v>
      </c>
      <c r="CK4755">
        <v>98</v>
      </c>
      <c r="CL4755">
        <v>-0.95</v>
      </c>
      <c r="CM4755">
        <v>97</v>
      </c>
      <c r="CN4755">
        <v>-0.42</v>
      </c>
      <c r="CO4755">
        <v>97</v>
      </c>
      <c r="CP4755">
        <v>0.4</v>
      </c>
      <c r="CQ4755">
        <v>96</v>
      </c>
      <c r="CR4755">
        <v>0</v>
      </c>
      <c r="CS4755">
        <v>0</v>
      </c>
      <c r="CT4755">
        <v>14.6</v>
      </c>
      <c r="CU4755">
        <v>92</v>
      </c>
      <c r="CV4755">
        <v>0.28000000000000003</v>
      </c>
      <c r="CW4755">
        <v>45</v>
      </c>
      <c r="CX4755" t="s">
        <v>924</v>
      </c>
    </row>
    <row r="4756" spans="1:102" x14ac:dyDescent="0.3">
      <c r="A4756" t="str">
        <f>HYPERLINK("https://webapp.icbf.com/v2/app/bull-search/view/108367964","RII")</f>
        <v>RII</v>
      </c>
      <c r="B4756" t="s">
        <v>8031</v>
      </c>
      <c r="C4756" t="s">
        <v>8032</v>
      </c>
      <c r="D4756" s="1">
        <v>35134</v>
      </c>
      <c r="E4756" t="s">
        <v>92</v>
      </c>
      <c r="F4756">
        <v>100</v>
      </c>
      <c r="G4756" t="s">
        <v>93</v>
      </c>
      <c r="H4756">
        <v>-172.19</v>
      </c>
      <c r="I4756">
        <v>94</v>
      </c>
      <c r="J4756">
        <v>-6.57</v>
      </c>
      <c r="K4756">
        <v>99</v>
      </c>
      <c r="L4756">
        <v>-154.28</v>
      </c>
      <c r="M4756">
        <v>92</v>
      </c>
      <c r="N4756">
        <v>3.55</v>
      </c>
      <c r="O4756">
        <v>92</v>
      </c>
      <c r="P4756">
        <v>-10.76</v>
      </c>
      <c r="Q4756">
        <v>97</v>
      </c>
      <c r="R4756">
        <v>1.25</v>
      </c>
      <c r="S4756">
        <v>87</v>
      </c>
      <c r="T4756">
        <v>-4.5999999999999996</v>
      </c>
      <c r="U4756">
        <v>92</v>
      </c>
      <c r="V4756">
        <v>-0.78</v>
      </c>
      <c r="W4756">
        <v>81</v>
      </c>
      <c r="X4756" t="s">
        <v>276</v>
      </c>
      <c r="Y4756" t="s">
        <v>95</v>
      </c>
      <c r="Z4756" t="s">
        <v>96</v>
      </c>
      <c r="AA4756" t="s">
        <v>839</v>
      </c>
      <c r="AB4756" t="s">
        <v>8033</v>
      </c>
      <c r="AC4756">
        <v>317</v>
      </c>
      <c r="AD4756">
        <v>146</v>
      </c>
      <c r="AE4756">
        <v>99</v>
      </c>
      <c r="AF4756">
        <v>197.32</v>
      </c>
      <c r="AG4756">
        <v>4.25</v>
      </c>
      <c r="AH4756">
        <v>0.4</v>
      </c>
      <c r="AI4756">
        <v>-0.06</v>
      </c>
      <c r="AJ4756">
        <v>-0.11</v>
      </c>
      <c r="AK4756">
        <v>92</v>
      </c>
      <c r="AL4756">
        <v>277</v>
      </c>
      <c r="AM4756">
        <v>137</v>
      </c>
      <c r="AN4756">
        <v>7.15</v>
      </c>
      <c r="AO4756">
        <v>-5.17</v>
      </c>
      <c r="AP4756">
        <v>514</v>
      </c>
      <c r="AQ4756">
        <v>0</v>
      </c>
      <c r="AR4756">
        <v>7.07</v>
      </c>
      <c r="AS4756">
        <v>90</v>
      </c>
      <c r="AT4756">
        <v>3.48</v>
      </c>
      <c r="AU4756">
        <v>97</v>
      </c>
      <c r="AV4756">
        <v>-0.42</v>
      </c>
      <c r="AW4756">
        <v>96</v>
      </c>
      <c r="AX4756">
        <v>-0.16</v>
      </c>
      <c r="AY4756">
        <v>92</v>
      </c>
      <c r="AZ4756">
        <v>5.16</v>
      </c>
      <c r="BA4756">
        <v>81</v>
      </c>
      <c r="BB4756">
        <v>5.05</v>
      </c>
      <c r="BC4756">
        <v>79</v>
      </c>
      <c r="BD4756">
        <v>-0.01</v>
      </c>
      <c r="BE4756">
        <v>0.02</v>
      </c>
      <c r="BF4756">
        <v>-0.05</v>
      </c>
      <c r="BG4756">
        <v>95</v>
      </c>
      <c r="BH4756">
        <v>-0.06</v>
      </c>
      <c r="BI4756">
        <v>-4.41</v>
      </c>
      <c r="BJ4756">
        <v>99</v>
      </c>
      <c r="BK4756">
        <v>52</v>
      </c>
      <c r="BL4756">
        <v>1.31</v>
      </c>
      <c r="BM4756">
        <v>1.46</v>
      </c>
      <c r="BN4756">
        <v>2.85</v>
      </c>
      <c r="BO4756">
        <v>1.34</v>
      </c>
      <c r="BP4756">
        <v>0.79</v>
      </c>
      <c r="BQ4756">
        <v>1.52</v>
      </c>
      <c r="BR4756">
        <v>1</v>
      </c>
      <c r="BS4756">
        <v>-0.28999999999999998</v>
      </c>
      <c r="BT4756">
        <v>-0.89</v>
      </c>
      <c r="BU4756">
        <v>1.32</v>
      </c>
      <c r="BV4756">
        <v>1.71</v>
      </c>
      <c r="BW4756">
        <v>2.17</v>
      </c>
      <c r="BX4756">
        <v>1</v>
      </c>
      <c r="BY4756">
        <v>1.43</v>
      </c>
      <c r="BZ4756">
        <v>0.52</v>
      </c>
      <c r="CA4756">
        <v>1.2</v>
      </c>
      <c r="CB4756">
        <v>1.58</v>
      </c>
      <c r="CC4756">
        <v>0.47</v>
      </c>
      <c r="CD4756">
        <v>-0.21</v>
      </c>
      <c r="CE4756">
        <v>1.31</v>
      </c>
      <c r="CF4756">
        <v>2.44</v>
      </c>
      <c r="CG4756">
        <v>0</v>
      </c>
      <c r="CH4756">
        <v>1.28</v>
      </c>
      <c r="CI4756">
        <v>0</v>
      </c>
      <c r="CJ4756">
        <v>-2.2000000000000002</v>
      </c>
      <c r="CK4756">
        <v>97</v>
      </c>
      <c r="CL4756">
        <v>-1.1299999999999999</v>
      </c>
      <c r="CM4756">
        <v>96</v>
      </c>
      <c r="CN4756">
        <v>-0.24</v>
      </c>
      <c r="CO4756">
        <v>96</v>
      </c>
      <c r="CP4756">
        <v>7.5</v>
      </c>
      <c r="CQ4756">
        <v>96</v>
      </c>
      <c r="CR4756">
        <v>0</v>
      </c>
      <c r="CS4756">
        <v>0</v>
      </c>
      <c r="CT4756">
        <v>20</v>
      </c>
      <c r="CU4756">
        <v>92</v>
      </c>
      <c r="CV4756">
        <v>0.22</v>
      </c>
      <c r="CW4756">
        <v>45</v>
      </c>
      <c r="CX4756" t="s">
        <v>3842</v>
      </c>
    </row>
    <row r="4757" spans="1:102" x14ac:dyDescent="0.3">
      <c r="A4757" t="str">
        <f>HYPERLINK("https://webapp.icbf.com/v2/app/bull-search/view/77856880","HGD")</f>
        <v>HGD</v>
      </c>
      <c r="B4757" t="s">
        <v>8688</v>
      </c>
      <c r="C4757" t="s">
        <v>8689</v>
      </c>
      <c r="D4757" s="1">
        <v>34378</v>
      </c>
      <c r="E4757" t="s">
        <v>92</v>
      </c>
      <c r="F4757">
        <v>100</v>
      </c>
      <c r="G4757" t="s">
        <v>109</v>
      </c>
      <c r="H4757">
        <v>-173.12</v>
      </c>
      <c r="I4757">
        <v>80</v>
      </c>
      <c r="J4757">
        <v>-16.45</v>
      </c>
      <c r="K4757">
        <v>95</v>
      </c>
      <c r="L4757">
        <v>-136.46</v>
      </c>
      <c r="M4757">
        <v>87</v>
      </c>
      <c r="N4757">
        <v>-18.13</v>
      </c>
      <c r="O4757">
        <v>61</v>
      </c>
      <c r="P4757">
        <v>9.06</v>
      </c>
      <c r="Q4757">
        <v>56</v>
      </c>
      <c r="R4757">
        <v>-11.87</v>
      </c>
      <c r="S4757">
        <v>78</v>
      </c>
      <c r="T4757">
        <v>1.39</v>
      </c>
      <c r="U4757">
        <v>50</v>
      </c>
      <c r="V4757">
        <v>-0.66</v>
      </c>
      <c r="W4757">
        <v>67</v>
      </c>
      <c r="X4757" t="s">
        <v>251</v>
      </c>
      <c r="Y4757" t="s">
        <v>95</v>
      </c>
      <c r="Z4757" t="s">
        <v>96</v>
      </c>
      <c r="AA4757" t="s">
        <v>207</v>
      </c>
      <c r="AB4757" t="s">
        <v>8690</v>
      </c>
      <c r="AC4757">
        <v>0</v>
      </c>
      <c r="AD4757">
        <v>0</v>
      </c>
      <c r="AE4757">
        <v>95</v>
      </c>
      <c r="AF4757">
        <v>183.41</v>
      </c>
      <c r="AG4757">
        <v>-4.72</v>
      </c>
      <c r="AH4757">
        <v>1.68</v>
      </c>
      <c r="AI4757">
        <v>-0.2</v>
      </c>
      <c r="AJ4757">
        <v>-0.08</v>
      </c>
      <c r="AK4757">
        <v>87</v>
      </c>
      <c r="AL4757">
        <v>0</v>
      </c>
      <c r="AM4757">
        <v>0</v>
      </c>
      <c r="AN4757">
        <v>6.87</v>
      </c>
      <c r="AO4757">
        <v>-4.0199999999999996</v>
      </c>
      <c r="AP4757">
        <v>0</v>
      </c>
      <c r="AQ4757">
        <v>4</v>
      </c>
      <c r="AR4757">
        <v>9.83</v>
      </c>
      <c r="AS4757">
        <v>57</v>
      </c>
      <c r="AT4757">
        <v>3.91</v>
      </c>
      <c r="AU4757">
        <v>89</v>
      </c>
      <c r="AV4757">
        <v>-0.08</v>
      </c>
      <c r="AW4757">
        <v>51</v>
      </c>
      <c r="AX4757">
        <v>0.27</v>
      </c>
      <c r="AY4757">
        <v>49</v>
      </c>
      <c r="AZ4757">
        <v>7.83</v>
      </c>
      <c r="BA4757">
        <v>48</v>
      </c>
      <c r="BB4757">
        <v>5.35</v>
      </c>
      <c r="BC4757">
        <v>51</v>
      </c>
      <c r="BD4757">
        <v>0</v>
      </c>
      <c r="BE4757">
        <v>7.0000000000000007E-2</v>
      </c>
      <c r="BF4757">
        <v>0.14000000000000001</v>
      </c>
      <c r="BG4757">
        <v>92</v>
      </c>
      <c r="BH4757">
        <v>0.06</v>
      </c>
      <c r="BI4757">
        <v>9.06</v>
      </c>
      <c r="BJ4757">
        <v>1</v>
      </c>
      <c r="BK4757">
        <v>1</v>
      </c>
      <c r="BL4757">
        <v>0.4</v>
      </c>
      <c r="BM4757">
        <v>1.87</v>
      </c>
      <c r="BN4757">
        <v>1.54</v>
      </c>
      <c r="BO4757">
        <v>0.15</v>
      </c>
      <c r="BP4757">
        <v>-0.61</v>
      </c>
      <c r="BQ4757">
        <v>1.44</v>
      </c>
      <c r="BR4757">
        <v>0.28000000000000003</v>
      </c>
      <c r="BS4757">
        <v>-1.73</v>
      </c>
      <c r="BT4757">
        <v>0.77</v>
      </c>
      <c r="BU4757">
        <v>-0.45</v>
      </c>
      <c r="BV4757">
        <v>-0.06</v>
      </c>
      <c r="BW4757">
        <v>-0.25</v>
      </c>
      <c r="BX4757">
        <v>-1.01</v>
      </c>
      <c r="BY4757">
        <v>-0.25</v>
      </c>
      <c r="BZ4757">
        <v>0.33</v>
      </c>
      <c r="CA4757">
        <v>-0.53</v>
      </c>
      <c r="CB4757">
        <v>0.04</v>
      </c>
      <c r="CC4757">
        <v>-1.01</v>
      </c>
      <c r="CD4757">
        <v>0.52</v>
      </c>
      <c r="CE4757">
        <v>0.03</v>
      </c>
      <c r="CF4757">
        <v>1.03</v>
      </c>
      <c r="CG4757">
        <v>0</v>
      </c>
      <c r="CH4757">
        <v>-0.25</v>
      </c>
      <c r="CI4757">
        <v>0</v>
      </c>
      <c r="CJ4757">
        <v>5.8</v>
      </c>
      <c r="CK4757">
        <v>57</v>
      </c>
      <c r="CL4757">
        <v>-0.41</v>
      </c>
      <c r="CM4757">
        <v>55</v>
      </c>
      <c r="CN4757">
        <v>-0.39</v>
      </c>
      <c r="CO4757">
        <v>53</v>
      </c>
      <c r="CP4757">
        <v>4.8</v>
      </c>
      <c r="CQ4757">
        <v>54</v>
      </c>
      <c r="CR4757">
        <v>0</v>
      </c>
      <c r="CS4757">
        <v>0</v>
      </c>
      <c r="CT4757">
        <v>11.9</v>
      </c>
      <c r="CU4757">
        <v>50</v>
      </c>
      <c r="CV4757">
        <v>7.0000000000000007E-2</v>
      </c>
      <c r="CW4757">
        <v>37</v>
      </c>
      <c r="CX4757" t="s">
        <v>485</v>
      </c>
    </row>
    <row r="4758" spans="1:102" x14ac:dyDescent="0.3">
      <c r="A4758" t="str">
        <f>HYPERLINK("https://webapp.icbf.com/v2/app/bull-search/view/77858191","EJR")</f>
        <v>EJR</v>
      </c>
      <c r="B4758" t="s">
        <v>1082</v>
      </c>
      <c r="C4758" t="s">
        <v>1083</v>
      </c>
      <c r="D4758" s="1">
        <v>32800</v>
      </c>
      <c r="E4758" t="s">
        <v>92</v>
      </c>
      <c r="F4758">
        <v>88</v>
      </c>
      <c r="G4758" t="s">
        <v>93</v>
      </c>
      <c r="H4758">
        <v>-173.35</v>
      </c>
      <c r="I4758">
        <v>92</v>
      </c>
      <c r="J4758">
        <v>13.42</v>
      </c>
      <c r="K4758">
        <v>99</v>
      </c>
      <c r="L4758">
        <v>-180.31</v>
      </c>
      <c r="M4758">
        <v>89</v>
      </c>
      <c r="N4758">
        <v>12.67</v>
      </c>
      <c r="O4758">
        <v>86</v>
      </c>
      <c r="P4758">
        <v>-9.3000000000000007</v>
      </c>
      <c r="Q4758">
        <v>95</v>
      </c>
      <c r="R4758">
        <v>-17.59</v>
      </c>
      <c r="S4758">
        <v>84</v>
      </c>
      <c r="T4758">
        <v>13.83</v>
      </c>
      <c r="U4758">
        <v>92</v>
      </c>
      <c r="V4758">
        <v>-6.07</v>
      </c>
      <c r="W4758">
        <v>70</v>
      </c>
      <c r="X4758" t="s">
        <v>94</v>
      </c>
      <c r="Y4758" t="s">
        <v>95</v>
      </c>
      <c r="Z4758" t="s">
        <v>96</v>
      </c>
      <c r="AA4758" t="s">
        <v>168</v>
      </c>
      <c r="AB4758" t="s">
        <v>1084</v>
      </c>
      <c r="AC4758">
        <v>416</v>
      </c>
      <c r="AD4758">
        <v>244</v>
      </c>
      <c r="AE4758">
        <v>99</v>
      </c>
      <c r="AF4758">
        <v>-123.94</v>
      </c>
      <c r="AG4758">
        <v>12.99</v>
      </c>
      <c r="AH4758">
        <v>-4.21</v>
      </c>
      <c r="AI4758">
        <v>0.32</v>
      </c>
      <c r="AJ4758">
        <v>0</v>
      </c>
      <c r="AK4758">
        <v>89</v>
      </c>
      <c r="AL4758">
        <v>447</v>
      </c>
      <c r="AM4758">
        <v>269</v>
      </c>
      <c r="AN4758">
        <v>9.7799999999999994</v>
      </c>
      <c r="AO4758">
        <v>-4.5999999999999996</v>
      </c>
      <c r="AP4758">
        <v>6</v>
      </c>
      <c r="AQ4758">
        <v>2</v>
      </c>
      <c r="AR4758">
        <v>7.89</v>
      </c>
      <c r="AS4758">
        <v>72</v>
      </c>
      <c r="AT4758">
        <v>3.26</v>
      </c>
      <c r="AU4758">
        <v>87</v>
      </c>
      <c r="AV4758">
        <v>-1.49</v>
      </c>
      <c r="AW4758">
        <v>90</v>
      </c>
      <c r="AX4758">
        <v>0.14000000000000001</v>
      </c>
      <c r="AY4758">
        <v>94</v>
      </c>
      <c r="AZ4758">
        <v>6.02</v>
      </c>
      <c r="BA4758">
        <v>64</v>
      </c>
      <c r="BB4758">
        <v>4.47</v>
      </c>
      <c r="BC4758">
        <v>82</v>
      </c>
      <c r="BD4758">
        <v>0.05</v>
      </c>
      <c r="BE4758">
        <v>0.09</v>
      </c>
      <c r="BF4758">
        <v>0.15</v>
      </c>
      <c r="BG4758">
        <v>97</v>
      </c>
      <c r="BH4758">
        <v>-0.13</v>
      </c>
      <c r="BI4758">
        <v>4.53</v>
      </c>
      <c r="BJ4758">
        <v>13</v>
      </c>
      <c r="BK4758">
        <v>11</v>
      </c>
      <c r="BL4758">
        <v>0.68</v>
      </c>
      <c r="BM4758">
        <v>-0.67</v>
      </c>
      <c r="BN4758">
        <v>0.98</v>
      </c>
      <c r="BO4758">
        <v>0.83</v>
      </c>
      <c r="BP4758">
        <v>1.94</v>
      </c>
      <c r="BQ4758">
        <v>-0.91</v>
      </c>
      <c r="BR4758">
        <v>-0.98</v>
      </c>
      <c r="BS4758">
        <v>-0.69</v>
      </c>
      <c r="BT4758">
        <v>0.82</v>
      </c>
      <c r="BU4758">
        <v>-2.0499999999999998</v>
      </c>
      <c r="BV4758">
        <v>-0.96</v>
      </c>
      <c r="BW4758">
        <v>-1.35</v>
      </c>
      <c r="BX4758">
        <v>-2.16</v>
      </c>
      <c r="BY4758">
        <v>-1.65</v>
      </c>
      <c r="BZ4758">
        <v>1.56</v>
      </c>
      <c r="CA4758">
        <v>-1.58</v>
      </c>
      <c r="CB4758">
        <v>-1.72</v>
      </c>
      <c r="CC4758">
        <v>-0.34</v>
      </c>
      <c r="CD4758">
        <v>-1.58</v>
      </c>
      <c r="CE4758">
        <v>0.8</v>
      </c>
      <c r="CF4758">
        <v>0.75</v>
      </c>
      <c r="CG4758">
        <v>0</v>
      </c>
      <c r="CH4758">
        <v>-1.61</v>
      </c>
      <c r="CI4758">
        <v>0</v>
      </c>
      <c r="CJ4758">
        <v>-3.2</v>
      </c>
      <c r="CK4758">
        <v>95</v>
      </c>
      <c r="CL4758">
        <v>-0.56000000000000005</v>
      </c>
      <c r="CM4758">
        <v>94</v>
      </c>
      <c r="CN4758">
        <v>-0.21</v>
      </c>
      <c r="CO4758">
        <v>93</v>
      </c>
      <c r="CP4758">
        <v>-10.4</v>
      </c>
      <c r="CQ4758">
        <v>97</v>
      </c>
      <c r="CR4758">
        <v>0</v>
      </c>
      <c r="CS4758">
        <v>0</v>
      </c>
      <c r="CT4758">
        <v>-4.9000000000000004</v>
      </c>
      <c r="CU4758">
        <v>92</v>
      </c>
      <c r="CV4758">
        <v>0.06</v>
      </c>
      <c r="CW4758">
        <v>45</v>
      </c>
      <c r="CX4758" t="s">
        <v>707</v>
      </c>
    </row>
    <row r="4759" spans="1:102" x14ac:dyDescent="0.3">
      <c r="A4759" t="str">
        <f>HYPERLINK("https://webapp.icbf.com/v2/app/bull-search/view/77853829","SHJ")</f>
        <v>SHJ</v>
      </c>
      <c r="B4759" t="s">
        <v>10814</v>
      </c>
      <c r="C4759" t="s">
        <v>10815</v>
      </c>
      <c r="D4759" s="1">
        <v>34534</v>
      </c>
      <c r="E4759" t="s">
        <v>92</v>
      </c>
      <c r="F4759">
        <v>100</v>
      </c>
      <c r="G4759" t="s">
        <v>93</v>
      </c>
      <c r="H4759">
        <v>-173.54</v>
      </c>
      <c r="I4759">
        <v>75</v>
      </c>
      <c r="J4759">
        <v>-19.170000000000002</v>
      </c>
      <c r="K4759">
        <v>93</v>
      </c>
      <c r="L4759">
        <v>-135.30000000000001</v>
      </c>
      <c r="M4759">
        <v>65</v>
      </c>
      <c r="N4759">
        <v>-13.69</v>
      </c>
      <c r="O4759">
        <v>62</v>
      </c>
      <c r="P4759">
        <v>-8.1999999999999993</v>
      </c>
      <c r="Q4759">
        <v>81</v>
      </c>
      <c r="R4759">
        <v>-17.98</v>
      </c>
      <c r="S4759">
        <v>67</v>
      </c>
      <c r="T4759">
        <v>19.97</v>
      </c>
      <c r="U4759">
        <v>75</v>
      </c>
      <c r="V4759">
        <v>0.83</v>
      </c>
      <c r="W4759">
        <v>36</v>
      </c>
      <c r="X4759" t="s">
        <v>94</v>
      </c>
      <c r="Y4759" t="s">
        <v>95</v>
      </c>
      <c r="Z4759" t="s">
        <v>96</v>
      </c>
      <c r="AA4759" t="s">
        <v>207</v>
      </c>
      <c r="AB4759" t="s">
        <v>10816</v>
      </c>
      <c r="AC4759">
        <v>67</v>
      </c>
      <c r="AD4759">
        <v>54</v>
      </c>
      <c r="AE4759">
        <v>93</v>
      </c>
      <c r="AF4759">
        <v>140.93</v>
      </c>
      <c r="AG4759">
        <v>-4.9000000000000004</v>
      </c>
      <c r="AH4759">
        <v>0.63</v>
      </c>
      <c r="AI4759">
        <v>-0.17</v>
      </c>
      <c r="AJ4759">
        <v>-7.0000000000000007E-2</v>
      </c>
      <c r="AK4759">
        <v>65</v>
      </c>
      <c r="AL4759">
        <v>89</v>
      </c>
      <c r="AM4759">
        <v>71</v>
      </c>
      <c r="AN4759">
        <v>6.62</v>
      </c>
      <c r="AO4759">
        <v>-4.18</v>
      </c>
      <c r="AP4759">
        <v>9</v>
      </c>
      <c r="AQ4759">
        <v>0</v>
      </c>
      <c r="AR4759">
        <v>10.46</v>
      </c>
      <c r="AS4759">
        <v>33</v>
      </c>
      <c r="AT4759">
        <v>4.3</v>
      </c>
      <c r="AU4759">
        <v>57</v>
      </c>
      <c r="AV4759">
        <v>-0.86</v>
      </c>
      <c r="AW4759">
        <v>72</v>
      </c>
      <c r="AX4759">
        <v>-0.19</v>
      </c>
      <c r="AY4759">
        <v>78</v>
      </c>
      <c r="AZ4759">
        <v>7.56</v>
      </c>
      <c r="BA4759">
        <v>35</v>
      </c>
      <c r="BB4759">
        <v>4.75</v>
      </c>
      <c r="BC4759">
        <v>53</v>
      </c>
      <c r="BD4759">
        <v>0.02</v>
      </c>
      <c r="BE4759">
        <v>0.1</v>
      </c>
      <c r="BF4759">
        <v>0.19</v>
      </c>
      <c r="BG4759">
        <v>83</v>
      </c>
      <c r="BH4759">
        <v>0.14000000000000001</v>
      </c>
      <c r="BI4759">
        <v>13.51</v>
      </c>
      <c r="BJ4759">
        <v>12</v>
      </c>
      <c r="BK4759">
        <v>8</v>
      </c>
      <c r="BL4759">
        <v>-0.45</v>
      </c>
      <c r="BM4759">
        <v>-0.26</v>
      </c>
      <c r="BN4759">
        <v>-0.77</v>
      </c>
      <c r="BO4759">
        <v>-0.23</v>
      </c>
      <c r="BP4759">
        <v>0.43</v>
      </c>
      <c r="BQ4759">
        <v>-0.92</v>
      </c>
      <c r="BR4759">
        <v>-0.63</v>
      </c>
      <c r="BS4759">
        <v>-1.07</v>
      </c>
      <c r="BT4759">
        <v>0.65</v>
      </c>
      <c r="BU4759">
        <v>-2.44</v>
      </c>
      <c r="BV4759">
        <v>-1.03</v>
      </c>
      <c r="BW4759">
        <v>-0.56000000000000005</v>
      </c>
      <c r="BX4759">
        <v>-2.2200000000000002</v>
      </c>
      <c r="BY4759">
        <v>-0.82</v>
      </c>
      <c r="BZ4759">
        <v>0.56000000000000005</v>
      </c>
      <c r="CA4759">
        <v>-1.36</v>
      </c>
      <c r="CB4759">
        <v>-1.41</v>
      </c>
      <c r="CC4759">
        <v>-0.71</v>
      </c>
      <c r="CD4759">
        <v>-0.15</v>
      </c>
      <c r="CE4759">
        <v>0.03</v>
      </c>
      <c r="CF4759">
        <v>-0.81</v>
      </c>
      <c r="CG4759">
        <v>0</v>
      </c>
      <c r="CH4759">
        <v>-1.1499999999999999</v>
      </c>
      <c r="CI4759">
        <v>0</v>
      </c>
      <c r="CJ4759">
        <v>-4.3</v>
      </c>
      <c r="CK4759">
        <v>82</v>
      </c>
      <c r="CL4759">
        <v>-0.38</v>
      </c>
      <c r="CM4759">
        <v>79</v>
      </c>
      <c r="CN4759">
        <v>-0.24</v>
      </c>
      <c r="CO4759">
        <v>76</v>
      </c>
      <c r="CP4759">
        <v>-7.7</v>
      </c>
      <c r="CQ4759">
        <v>85</v>
      </c>
      <c r="CR4759">
        <v>0</v>
      </c>
      <c r="CS4759">
        <v>0</v>
      </c>
      <c r="CT4759">
        <v>-13.2</v>
      </c>
      <c r="CU4759">
        <v>75</v>
      </c>
      <c r="CV4759">
        <v>0.04</v>
      </c>
      <c r="CW4759">
        <v>23</v>
      </c>
      <c r="CX4759" t="s">
        <v>161</v>
      </c>
    </row>
    <row r="4760" spans="1:102" x14ac:dyDescent="0.3">
      <c r="A4760" t="str">
        <f>HYPERLINK("https://webapp.icbf.com/v2/app/bull-search/view/77854051","RMT")</f>
        <v>RMT</v>
      </c>
      <c r="B4760" t="s">
        <v>8699</v>
      </c>
      <c r="C4760" t="s">
        <v>8700</v>
      </c>
      <c r="D4760" s="1">
        <v>34243</v>
      </c>
      <c r="E4760" t="s">
        <v>92</v>
      </c>
      <c r="F4760">
        <v>100</v>
      </c>
      <c r="G4760" t="s">
        <v>93</v>
      </c>
      <c r="H4760">
        <v>-173.57</v>
      </c>
      <c r="I4760">
        <v>89</v>
      </c>
      <c r="J4760">
        <v>-39.9</v>
      </c>
      <c r="K4760">
        <v>97</v>
      </c>
      <c r="L4760">
        <v>-94.31</v>
      </c>
      <c r="M4760">
        <v>90</v>
      </c>
      <c r="N4760">
        <v>-43.56</v>
      </c>
      <c r="O4760">
        <v>78</v>
      </c>
      <c r="P4760">
        <v>-17.89</v>
      </c>
      <c r="Q4760">
        <v>83</v>
      </c>
      <c r="R4760">
        <v>-2.97</v>
      </c>
      <c r="S4760">
        <v>81</v>
      </c>
      <c r="T4760">
        <v>18.71</v>
      </c>
      <c r="U4760">
        <v>83</v>
      </c>
      <c r="V4760">
        <v>6.35</v>
      </c>
      <c r="W4760">
        <v>65</v>
      </c>
      <c r="X4760" t="s">
        <v>558</v>
      </c>
      <c r="Y4760" t="s">
        <v>95</v>
      </c>
      <c r="Z4760" t="s">
        <v>96</v>
      </c>
      <c r="AA4760" t="s">
        <v>682</v>
      </c>
      <c r="AB4760" t="s">
        <v>8701</v>
      </c>
      <c r="AC4760">
        <v>96</v>
      </c>
      <c r="AD4760">
        <v>57</v>
      </c>
      <c r="AE4760">
        <v>97</v>
      </c>
      <c r="AF4760">
        <v>49.32</v>
      </c>
      <c r="AG4760">
        <v>-5.43</v>
      </c>
      <c r="AH4760">
        <v>-4.1100000000000003</v>
      </c>
      <c r="AI4760">
        <v>-0.13</v>
      </c>
      <c r="AJ4760">
        <v>-0.1</v>
      </c>
      <c r="AK4760">
        <v>90</v>
      </c>
      <c r="AL4760">
        <v>95</v>
      </c>
      <c r="AM4760">
        <v>46</v>
      </c>
      <c r="AN4760">
        <v>6.02</v>
      </c>
      <c r="AO4760">
        <v>-1.49</v>
      </c>
      <c r="AP4760">
        <v>19</v>
      </c>
      <c r="AQ4760">
        <v>0</v>
      </c>
      <c r="AR4760">
        <v>10.79</v>
      </c>
      <c r="AS4760">
        <v>68</v>
      </c>
      <c r="AT4760">
        <v>5.37</v>
      </c>
      <c r="AU4760">
        <v>88</v>
      </c>
      <c r="AV4760">
        <v>0.72</v>
      </c>
      <c r="AW4760">
        <v>79</v>
      </c>
      <c r="AX4760">
        <v>-0.28999999999999998</v>
      </c>
      <c r="AY4760">
        <v>80</v>
      </c>
      <c r="AZ4760">
        <v>8.51</v>
      </c>
      <c r="BA4760">
        <v>65</v>
      </c>
      <c r="BB4760">
        <v>5.1100000000000003</v>
      </c>
      <c r="BC4760">
        <v>67</v>
      </c>
      <c r="BD4760">
        <v>0.02</v>
      </c>
      <c r="BE4760">
        <v>0.05</v>
      </c>
      <c r="BF4760">
        <v>-0.06</v>
      </c>
      <c r="BG4760">
        <v>95</v>
      </c>
      <c r="BH4760">
        <v>0.17</v>
      </c>
      <c r="BI4760">
        <v>-0.83</v>
      </c>
      <c r="BJ4760">
        <v>51</v>
      </c>
      <c r="BK4760">
        <v>23</v>
      </c>
      <c r="BL4760">
        <v>0.68</v>
      </c>
      <c r="BM4760">
        <v>-1.8</v>
      </c>
      <c r="BN4760">
        <v>-0.02</v>
      </c>
      <c r="BO4760">
        <v>1.01</v>
      </c>
      <c r="BP4760">
        <v>-0.98</v>
      </c>
      <c r="BQ4760">
        <v>-2.02</v>
      </c>
      <c r="BR4760">
        <v>-0.79</v>
      </c>
      <c r="BS4760">
        <v>2.14</v>
      </c>
      <c r="BT4760">
        <v>2.04</v>
      </c>
      <c r="BU4760">
        <v>1.28</v>
      </c>
      <c r="BV4760">
        <v>0.74</v>
      </c>
      <c r="BW4760">
        <v>0.89</v>
      </c>
      <c r="BX4760">
        <v>1.58</v>
      </c>
      <c r="BY4760">
        <v>-0.05</v>
      </c>
      <c r="BZ4760">
        <v>-1.02</v>
      </c>
      <c r="CA4760">
        <v>1.43</v>
      </c>
      <c r="CB4760">
        <v>0.93</v>
      </c>
      <c r="CC4760">
        <v>1.82</v>
      </c>
      <c r="CD4760">
        <v>-1.32</v>
      </c>
      <c r="CE4760">
        <v>1.01</v>
      </c>
      <c r="CF4760">
        <v>-0.09</v>
      </c>
      <c r="CG4760">
        <v>0</v>
      </c>
      <c r="CH4760">
        <v>-0.24</v>
      </c>
      <c r="CI4760">
        <v>0</v>
      </c>
      <c r="CJ4760">
        <v>-8.1</v>
      </c>
      <c r="CK4760">
        <v>84</v>
      </c>
      <c r="CL4760">
        <v>-0.99</v>
      </c>
      <c r="CM4760">
        <v>81</v>
      </c>
      <c r="CN4760">
        <v>-0.39</v>
      </c>
      <c r="CO4760">
        <v>79</v>
      </c>
      <c r="CP4760">
        <v>-7.1</v>
      </c>
      <c r="CQ4760">
        <v>89</v>
      </c>
      <c r="CR4760">
        <v>0</v>
      </c>
      <c r="CS4760">
        <v>0</v>
      </c>
      <c r="CT4760">
        <v>-11.5</v>
      </c>
      <c r="CU4760">
        <v>83</v>
      </c>
      <c r="CV4760">
        <v>-0.01</v>
      </c>
      <c r="CW4760">
        <v>42</v>
      </c>
      <c r="CX4760" t="s">
        <v>132</v>
      </c>
    </row>
    <row r="4761" spans="1:102" x14ac:dyDescent="0.3">
      <c r="A4761" t="str">
        <f>HYPERLINK("https://webapp.icbf.com/v2/app/bull-search/view/77854219","S128")</f>
        <v>S128</v>
      </c>
      <c r="B4761" t="s">
        <v>11306</v>
      </c>
      <c r="C4761" t="s">
        <v>11307</v>
      </c>
      <c r="D4761" s="1">
        <v>35309</v>
      </c>
      <c r="E4761" t="s">
        <v>92</v>
      </c>
      <c r="F4761">
        <v>100</v>
      </c>
      <c r="G4761" t="s">
        <v>109</v>
      </c>
      <c r="H4761">
        <v>-173.71</v>
      </c>
      <c r="I4761">
        <v>63</v>
      </c>
      <c r="J4761">
        <v>-23.15</v>
      </c>
      <c r="K4761">
        <v>75</v>
      </c>
      <c r="L4761">
        <v>-122.6</v>
      </c>
      <c r="M4761">
        <v>65</v>
      </c>
      <c r="N4761">
        <v>-10.050000000000001</v>
      </c>
      <c r="O4761">
        <v>52</v>
      </c>
      <c r="P4761">
        <v>-0.74</v>
      </c>
      <c r="Q4761">
        <v>53</v>
      </c>
      <c r="R4761">
        <v>-17.59</v>
      </c>
      <c r="S4761">
        <v>57</v>
      </c>
      <c r="T4761">
        <v>-1.1200000000000001</v>
      </c>
      <c r="U4761">
        <v>53</v>
      </c>
      <c r="V4761">
        <v>1.54</v>
      </c>
      <c r="W4761">
        <v>26</v>
      </c>
      <c r="X4761" t="s">
        <v>110</v>
      </c>
      <c r="Y4761" t="s">
        <v>95</v>
      </c>
      <c r="Z4761" t="s">
        <v>96</v>
      </c>
      <c r="AA4761" t="s">
        <v>4543</v>
      </c>
      <c r="AB4761" t="s">
        <v>11308</v>
      </c>
      <c r="AC4761">
        <v>0</v>
      </c>
      <c r="AD4761">
        <v>0</v>
      </c>
      <c r="AE4761">
        <v>75</v>
      </c>
      <c r="AF4761">
        <v>-22.09</v>
      </c>
      <c r="AG4761">
        <v>-3.21</v>
      </c>
      <c r="AH4761">
        <v>-3.14</v>
      </c>
      <c r="AI4761">
        <v>-0.04</v>
      </c>
      <c r="AJ4761">
        <v>-0.04</v>
      </c>
      <c r="AK4761">
        <v>65</v>
      </c>
      <c r="AL4761">
        <v>0</v>
      </c>
      <c r="AM4761">
        <v>0</v>
      </c>
      <c r="AN4761">
        <v>6.49</v>
      </c>
      <c r="AO4761">
        <v>-3.29</v>
      </c>
      <c r="AP4761">
        <v>5</v>
      </c>
      <c r="AQ4761">
        <v>0</v>
      </c>
      <c r="AR4761">
        <v>6.61</v>
      </c>
      <c r="AS4761">
        <v>29</v>
      </c>
      <c r="AT4761">
        <v>3.79</v>
      </c>
      <c r="AU4761">
        <v>68</v>
      </c>
      <c r="AV4761">
        <v>0.74</v>
      </c>
      <c r="AW4761">
        <v>59</v>
      </c>
      <c r="AX4761">
        <v>-0.02</v>
      </c>
      <c r="AY4761">
        <v>39</v>
      </c>
      <c r="AZ4761">
        <v>6.52</v>
      </c>
      <c r="BA4761">
        <v>28</v>
      </c>
      <c r="BB4761">
        <v>5.15</v>
      </c>
      <c r="BC4761">
        <v>32</v>
      </c>
      <c r="BD4761">
        <v>0.02</v>
      </c>
      <c r="BE4761">
        <v>0.09</v>
      </c>
      <c r="BF4761">
        <v>0.2</v>
      </c>
      <c r="BG4761">
        <v>77</v>
      </c>
      <c r="BH4761">
        <v>0.12</v>
      </c>
      <c r="BI4761">
        <v>8.91</v>
      </c>
      <c r="BJ4761">
        <v>5</v>
      </c>
      <c r="BK4761">
        <v>3</v>
      </c>
      <c r="BL4761">
        <v>0.9</v>
      </c>
      <c r="BM4761">
        <v>-0.22</v>
      </c>
      <c r="BN4761">
        <v>0.49</v>
      </c>
      <c r="BO4761">
        <v>0.74</v>
      </c>
      <c r="BP4761">
        <v>1.17</v>
      </c>
      <c r="BQ4761">
        <v>1.92</v>
      </c>
      <c r="BR4761">
        <v>2.35</v>
      </c>
      <c r="BS4761">
        <v>-2.0499999999999998</v>
      </c>
      <c r="BT4761">
        <v>-1.43</v>
      </c>
      <c r="BU4761">
        <v>0.46</v>
      </c>
      <c r="BV4761">
        <v>2.33</v>
      </c>
      <c r="BW4761">
        <v>1.26</v>
      </c>
      <c r="BX4761">
        <v>0.66</v>
      </c>
      <c r="BY4761">
        <v>-1.49</v>
      </c>
      <c r="BZ4761">
        <v>0.27</v>
      </c>
      <c r="CA4761">
        <v>-0.11</v>
      </c>
      <c r="CB4761">
        <v>0.89</v>
      </c>
      <c r="CC4761">
        <v>-1.94</v>
      </c>
      <c r="CD4761">
        <v>-0.65</v>
      </c>
      <c r="CE4761">
        <v>0.96</v>
      </c>
      <c r="CF4761">
        <v>1.27</v>
      </c>
      <c r="CG4761">
        <v>0</v>
      </c>
      <c r="CH4761">
        <v>0.38</v>
      </c>
      <c r="CI4761">
        <v>0</v>
      </c>
      <c r="CJ4761">
        <v>0.1</v>
      </c>
      <c r="CK4761">
        <v>55</v>
      </c>
      <c r="CL4761">
        <v>-0.74</v>
      </c>
      <c r="CM4761">
        <v>51</v>
      </c>
      <c r="CN4761">
        <v>-0.59</v>
      </c>
      <c r="CO4761">
        <v>47</v>
      </c>
      <c r="CP4761">
        <v>-1</v>
      </c>
      <c r="CQ4761">
        <v>58</v>
      </c>
      <c r="CR4761">
        <v>0</v>
      </c>
      <c r="CS4761">
        <v>0</v>
      </c>
      <c r="CT4761">
        <v>15.3</v>
      </c>
      <c r="CU4761">
        <v>53</v>
      </c>
      <c r="CV4761">
        <v>0.24</v>
      </c>
      <c r="CW4761">
        <v>14</v>
      </c>
      <c r="CX4761" t="s">
        <v>1550</v>
      </c>
    </row>
    <row r="4762" spans="1:102" x14ac:dyDescent="0.3">
      <c r="A4762" t="str">
        <f>HYPERLINK("https://webapp.icbf.com/v2/app/bull-search/view/124415048","S050")</f>
        <v>S050</v>
      </c>
      <c r="B4762" t="s">
        <v>4051</v>
      </c>
      <c r="C4762" t="s">
        <v>4052</v>
      </c>
      <c r="D4762" s="1">
        <v>34930</v>
      </c>
      <c r="E4762" t="s">
        <v>92</v>
      </c>
      <c r="F4762">
        <v>100</v>
      </c>
      <c r="G4762" t="s">
        <v>93</v>
      </c>
      <c r="H4762">
        <v>-173.75</v>
      </c>
      <c r="I4762">
        <v>73</v>
      </c>
      <c r="J4762">
        <v>-38.090000000000003</v>
      </c>
      <c r="K4762">
        <v>94</v>
      </c>
      <c r="L4762">
        <v>-35.32</v>
      </c>
      <c r="M4762">
        <v>60</v>
      </c>
      <c r="N4762">
        <v>-74.33</v>
      </c>
      <c r="O4762">
        <v>58</v>
      </c>
      <c r="P4762">
        <v>-23.5</v>
      </c>
      <c r="Q4762">
        <v>76</v>
      </c>
      <c r="R4762">
        <v>-14.98</v>
      </c>
      <c r="S4762">
        <v>63</v>
      </c>
      <c r="T4762">
        <v>13.38</v>
      </c>
      <c r="U4762">
        <v>83</v>
      </c>
      <c r="V4762">
        <v>-0.91</v>
      </c>
      <c r="W4762">
        <v>27</v>
      </c>
      <c r="X4762" t="s">
        <v>110</v>
      </c>
      <c r="Y4762" t="s">
        <v>95</v>
      </c>
      <c r="Z4762" t="s">
        <v>96</v>
      </c>
      <c r="AA4762" t="s">
        <v>4053</v>
      </c>
      <c r="AB4762" t="s">
        <v>4054</v>
      </c>
      <c r="AC4762">
        <v>56</v>
      </c>
      <c r="AD4762">
        <v>7</v>
      </c>
      <c r="AE4762">
        <v>94</v>
      </c>
      <c r="AF4762">
        <v>130.9</v>
      </c>
      <c r="AG4762">
        <v>-3.18</v>
      </c>
      <c r="AH4762">
        <v>-3.35</v>
      </c>
      <c r="AI4762">
        <v>-0.13</v>
      </c>
      <c r="AJ4762">
        <v>-0.13</v>
      </c>
      <c r="AK4762">
        <v>60</v>
      </c>
      <c r="AL4762">
        <v>57</v>
      </c>
      <c r="AM4762">
        <v>6</v>
      </c>
      <c r="AN4762">
        <v>1.67</v>
      </c>
      <c r="AO4762">
        <v>-1.1499999999999999</v>
      </c>
      <c r="AP4762">
        <v>39</v>
      </c>
      <c r="AQ4762">
        <v>0</v>
      </c>
      <c r="AR4762">
        <v>14.11</v>
      </c>
      <c r="AS4762">
        <v>47</v>
      </c>
      <c r="AT4762">
        <v>6.21</v>
      </c>
      <c r="AU4762">
        <v>70</v>
      </c>
      <c r="AV4762">
        <v>0.11</v>
      </c>
      <c r="AW4762">
        <v>50</v>
      </c>
      <c r="AX4762">
        <v>-0.84</v>
      </c>
      <c r="AY4762">
        <v>66</v>
      </c>
      <c r="AZ4762">
        <v>9.41</v>
      </c>
      <c r="BA4762">
        <v>49</v>
      </c>
      <c r="BB4762">
        <v>6.69</v>
      </c>
      <c r="BC4762">
        <v>61</v>
      </c>
      <c r="BD4762">
        <v>0.08</v>
      </c>
      <c r="BE4762">
        <v>0.09</v>
      </c>
      <c r="BF4762">
        <v>0.04</v>
      </c>
      <c r="BG4762">
        <v>80</v>
      </c>
      <c r="BH4762">
        <v>0.01</v>
      </c>
      <c r="BI4762">
        <v>4.08</v>
      </c>
      <c r="BJ4762">
        <v>1</v>
      </c>
      <c r="BK4762">
        <v>1</v>
      </c>
      <c r="BL4762">
        <v>1.0900000000000001</v>
      </c>
      <c r="BM4762">
        <v>-0.08</v>
      </c>
      <c r="BN4762">
        <v>0.99</v>
      </c>
      <c r="BO4762">
        <v>0.75</v>
      </c>
      <c r="BP4762">
        <v>-0.66</v>
      </c>
      <c r="BQ4762">
        <v>-0.41</v>
      </c>
      <c r="BR4762">
        <v>0.28000000000000003</v>
      </c>
      <c r="BS4762">
        <v>-0.2</v>
      </c>
      <c r="BT4762">
        <v>0.26</v>
      </c>
      <c r="BU4762">
        <v>1.1299999999999999</v>
      </c>
      <c r="BV4762">
        <v>0.12</v>
      </c>
      <c r="BW4762">
        <v>0.26</v>
      </c>
      <c r="BX4762">
        <v>1.57</v>
      </c>
      <c r="BY4762">
        <v>0.76</v>
      </c>
      <c r="BZ4762">
        <v>1</v>
      </c>
      <c r="CA4762">
        <v>1.07</v>
      </c>
      <c r="CB4762">
        <v>0.81</v>
      </c>
      <c r="CC4762">
        <v>1.1000000000000001</v>
      </c>
      <c r="CD4762">
        <v>-1.23</v>
      </c>
      <c r="CE4762">
        <v>0.69</v>
      </c>
      <c r="CF4762">
        <v>1.28</v>
      </c>
      <c r="CG4762">
        <v>0</v>
      </c>
      <c r="CH4762">
        <v>0</v>
      </c>
      <c r="CI4762">
        <v>0</v>
      </c>
      <c r="CJ4762">
        <v>-9.6999999999999993</v>
      </c>
      <c r="CK4762">
        <v>77</v>
      </c>
      <c r="CL4762">
        <v>-1.1499999999999999</v>
      </c>
      <c r="CM4762">
        <v>74</v>
      </c>
      <c r="CN4762">
        <v>-0.21</v>
      </c>
      <c r="CO4762">
        <v>69</v>
      </c>
      <c r="CP4762">
        <v>-4.7</v>
      </c>
      <c r="CQ4762">
        <v>86</v>
      </c>
      <c r="CR4762">
        <v>0</v>
      </c>
      <c r="CS4762">
        <v>0</v>
      </c>
      <c r="CT4762">
        <v>-4.3</v>
      </c>
      <c r="CU4762">
        <v>83</v>
      </c>
      <c r="CV4762">
        <v>0.14000000000000001</v>
      </c>
      <c r="CW4762">
        <v>20</v>
      </c>
      <c r="CX4762" t="s">
        <v>3763</v>
      </c>
    </row>
    <row r="4763" spans="1:102" x14ac:dyDescent="0.3">
      <c r="A4763" t="str">
        <f>HYPERLINK("https://webapp.icbf.com/v2/app/bull-search/view/444584970","BXF")</f>
        <v>BXF</v>
      </c>
      <c r="B4763" t="s">
        <v>1271</v>
      </c>
      <c r="C4763" t="s">
        <v>1272</v>
      </c>
      <c r="D4763" s="1">
        <v>37151</v>
      </c>
      <c r="E4763" t="s">
        <v>92</v>
      </c>
      <c r="F4763">
        <v>100</v>
      </c>
      <c r="G4763" t="s">
        <v>93</v>
      </c>
      <c r="H4763">
        <v>-173.81</v>
      </c>
      <c r="I4763">
        <v>92</v>
      </c>
      <c r="J4763">
        <v>-34.78</v>
      </c>
      <c r="K4763">
        <v>98</v>
      </c>
      <c r="L4763">
        <v>-137.38999999999999</v>
      </c>
      <c r="M4763">
        <v>91</v>
      </c>
      <c r="N4763">
        <v>0.39</v>
      </c>
      <c r="O4763">
        <v>87</v>
      </c>
      <c r="P4763">
        <v>-19.7</v>
      </c>
      <c r="Q4763">
        <v>91</v>
      </c>
      <c r="R4763">
        <v>7.9</v>
      </c>
      <c r="S4763">
        <v>85</v>
      </c>
      <c r="T4763">
        <v>11.31</v>
      </c>
      <c r="U4763">
        <v>84</v>
      </c>
      <c r="V4763">
        <v>-1.54</v>
      </c>
      <c r="W4763">
        <v>78</v>
      </c>
      <c r="X4763" t="s">
        <v>251</v>
      </c>
      <c r="Y4763" t="s">
        <v>1208</v>
      </c>
      <c r="Z4763" t="s">
        <v>96</v>
      </c>
      <c r="AA4763" t="s">
        <v>1273</v>
      </c>
      <c r="AB4763" t="s">
        <v>1274</v>
      </c>
      <c r="AC4763">
        <v>125</v>
      </c>
      <c r="AD4763">
        <v>64</v>
      </c>
      <c r="AE4763">
        <v>98</v>
      </c>
      <c r="AF4763">
        <v>107.47</v>
      </c>
      <c r="AG4763">
        <v>-3.76</v>
      </c>
      <c r="AH4763">
        <v>-2.94</v>
      </c>
      <c r="AI4763">
        <v>-0.14000000000000001</v>
      </c>
      <c r="AJ4763">
        <v>-0.11</v>
      </c>
      <c r="AK4763">
        <v>91</v>
      </c>
      <c r="AL4763">
        <v>99</v>
      </c>
      <c r="AM4763">
        <v>51</v>
      </c>
      <c r="AN4763">
        <v>8.0299999999999994</v>
      </c>
      <c r="AO4763">
        <v>-2.92</v>
      </c>
      <c r="AP4763">
        <v>255</v>
      </c>
      <c r="AQ4763">
        <v>1</v>
      </c>
      <c r="AR4763">
        <v>7.54</v>
      </c>
      <c r="AS4763">
        <v>79</v>
      </c>
      <c r="AT4763">
        <v>3.89</v>
      </c>
      <c r="AU4763">
        <v>93</v>
      </c>
      <c r="AV4763">
        <v>-1.35</v>
      </c>
      <c r="AW4763">
        <v>93</v>
      </c>
      <c r="AX4763">
        <v>2.0299999999999998</v>
      </c>
      <c r="AY4763">
        <v>84</v>
      </c>
      <c r="AZ4763">
        <v>5.57</v>
      </c>
      <c r="BA4763">
        <v>72</v>
      </c>
      <c r="BB4763">
        <v>4.88</v>
      </c>
      <c r="BC4763">
        <v>70</v>
      </c>
      <c r="BD4763">
        <v>0.02</v>
      </c>
      <c r="BE4763">
        <v>-0.05</v>
      </c>
      <c r="BF4763">
        <v>-0.12</v>
      </c>
      <c r="BG4763">
        <v>94</v>
      </c>
      <c r="BH4763">
        <v>0.03</v>
      </c>
      <c r="BI4763">
        <v>8.4499999999999993</v>
      </c>
      <c r="BJ4763">
        <v>58</v>
      </c>
      <c r="BK4763">
        <v>37</v>
      </c>
      <c r="BL4763">
        <v>1.1100000000000001</v>
      </c>
      <c r="BM4763">
        <v>0.94</v>
      </c>
      <c r="BN4763">
        <v>2.92</v>
      </c>
      <c r="BO4763">
        <v>1.2</v>
      </c>
      <c r="BP4763">
        <v>0.31</v>
      </c>
      <c r="BQ4763">
        <v>0.59</v>
      </c>
      <c r="BR4763">
        <v>-0.94</v>
      </c>
      <c r="BS4763">
        <v>1.22</v>
      </c>
      <c r="BT4763">
        <v>0.91</v>
      </c>
      <c r="BU4763">
        <v>2.33</v>
      </c>
      <c r="BV4763">
        <v>1.45</v>
      </c>
      <c r="BW4763">
        <v>2.0299999999999998</v>
      </c>
      <c r="BX4763">
        <v>1.78</v>
      </c>
      <c r="BY4763">
        <v>1.86</v>
      </c>
      <c r="BZ4763">
        <v>-2.02</v>
      </c>
      <c r="CA4763">
        <v>2.16</v>
      </c>
      <c r="CB4763">
        <v>2.06</v>
      </c>
      <c r="CC4763">
        <v>1.51</v>
      </c>
      <c r="CD4763">
        <v>-0.28999999999999998</v>
      </c>
      <c r="CE4763">
        <v>1.06</v>
      </c>
      <c r="CF4763">
        <v>1.75</v>
      </c>
      <c r="CG4763">
        <v>0</v>
      </c>
      <c r="CH4763">
        <v>1.94</v>
      </c>
      <c r="CI4763">
        <v>0</v>
      </c>
      <c r="CJ4763">
        <v>-10.1</v>
      </c>
      <c r="CK4763">
        <v>92</v>
      </c>
      <c r="CL4763">
        <v>-1.2</v>
      </c>
      <c r="CM4763">
        <v>90</v>
      </c>
      <c r="CN4763">
        <v>-0.65</v>
      </c>
      <c r="CO4763">
        <v>88</v>
      </c>
      <c r="CP4763">
        <v>-6.6</v>
      </c>
      <c r="CQ4763">
        <v>91</v>
      </c>
      <c r="CR4763">
        <v>0</v>
      </c>
      <c r="CS4763">
        <v>0</v>
      </c>
      <c r="CT4763">
        <v>-1.5</v>
      </c>
      <c r="CU4763">
        <v>84</v>
      </c>
      <c r="CV4763">
        <v>0.03</v>
      </c>
      <c r="CW4763">
        <v>44</v>
      </c>
      <c r="CX4763" t="s">
        <v>768</v>
      </c>
    </row>
    <row r="4764" spans="1:102" x14ac:dyDescent="0.3">
      <c r="A4764" t="str">
        <f>HYPERLINK("https://webapp.icbf.com/v2/app/bull-search/view/77857141","GOK")</f>
        <v>GOK</v>
      </c>
      <c r="B4764" t="s">
        <v>8139</v>
      </c>
      <c r="C4764" t="s">
        <v>8140</v>
      </c>
      <c r="D4764" s="1">
        <v>32782</v>
      </c>
      <c r="E4764" t="s">
        <v>92</v>
      </c>
      <c r="F4764">
        <v>75</v>
      </c>
      <c r="G4764" t="s">
        <v>93</v>
      </c>
      <c r="H4764">
        <v>-174.12</v>
      </c>
      <c r="I4764">
        <v>68</v>
      </c>
      <c r="J4764">
        <v>-92.86</v>
      </c>
      <c r="K4764">
        <v>85</v>
      </c>
      <c r="L4764">
        <v>-56.21</v>
      </c>
      <c r="M4764">
        <v>60</v>
      </c>
      <c r="N4764">
        <v>-9.02</v>
      </c>
      <c r="O4764">
        <v>47</v>
      </c>
      <c r="P4764">
        <v>-2.61</v>
      </c>
      <c r="Q4764">
        <v>71</v>
      </c>
      <c r="R4764">
        <v>-12.74</v>
      </c>
      <c r="S4764">
        <v>62</v>
      </c>
      <c r="T4764">
        <v>3.24</v>
      </c>
      <c r="U4764">
        <v>73</v>
      </c>
      <c r="V4764">
        <v>-3.92</v>
      </c>
      <c r="W4764">
        <v>34</v>
      </c>
      <c r="X4764" t="s">
        <v>94</v>
      </c>
      <c r="Y4764" t="s">
        <v>95</v>
      </c>
      <c r="Z4764" t="s">
        <v>96</v>
      </c>
      <c r="AA4764" t="s">
        <v>3580</v>
      </c>
      <c r="AB4764" t="s">
        <v>8141</v>
      </c>
      <c r="AC4764">
        <v>34</v>
      </c>
      <c r="AD4764">
        <v>20</v>
      </c>
      <c r="AE4764">
        <v>85</v>
      </c>
      <c r="AF4764">
        <v>-177.93</v>
      </c>
      <c r="AG4764">
        <v>-15</v>
      </c>
      <c r="AH4764">
        <v>-13.21</v>
      </c>
      <c r="AI4764">
        <v>-0.14000000000000001</v>
      </c>
      <c r="AJ4764">
        <v>-0.12</v>
      </c>
      <c r="AK4764">
        <v>60</v>
      </c>
      <c r="AL4764">
        <v>64</v>
      </c>
      <c r="AM4764">
        <v>40</v>
      </c>
      <c r="AN4764">
        <v>3.3</v>
      </c>
      <c r="AO4764">
        <v>-1.18</v>
      </c>
      <c r="AP4764">
        <v>3</v>
      </c>
      <c r="AQ4764">
        <v>0</v>
      </c>
      <c r="AR4764">
        <v>8.26</v>
      </c>
      <c r="AS4764">
        <v>26</v>
      </c>
      <c r="AT4764">
        <v>3.44</v>
      </c>
      <c r="AU4764">
        <v>41</v>
      </c>
      <c r="AV4764">
        <v>0.22</v>
      </c>
      <c r="AW4764">
        <v>54</v>
      </c>
      <c r="AX4764">
        <v>-0.18</v>
      </c>
      <c r="AY4764">
        <v>66</v>
      </c>
      <c r="AZ4764">
        <v>6.29</v>
      </c>
      <c r="BA4764">
        <v>26</v>
      </c>
      <c r="BB4764">
        <v>5.64</v>
      </c>
      <c r="BC4764">
        <v>40</v>
      </c>
      <c r="BD4764">
        <v>0.03</v>
      </c>
      <c r="BE4764">
        <v>7.0000000000000007E-2</v>
      </c>
      <c r="BF4764">
        <v>0.11</v>
      </c>
      <c r="BG4764">
        <v>81</v>
      </c>
      <c r="BH4764">
        <v>-0.08</v>
      </c>
      <c r="BI4764">
        <v>3.39</v>
      </c>
      <c r="BJ4764">
        <v>1</v>
      </c>
      <c r="BK4764">
        <v>1</v>
      </c>
      <c r="BL4764">
        <v>-0.4</v>
      </c>
      <c r="BM4764">
        <v>1.59</v>
      </c>
      <c r="BN4764">
        <v>-0.16</v>
      </c>
      <c r="BO4764">
        <v>-1.48</v>
      </c>
      <c r="BP4764">
        <v>-0.39</v>
      </c>
      <c r="BQ4764">
        <v>1.04</v>
      </c>
      <c r="BR4764">
        <v>0.43</v>
      </c>
      <c r="BS4764">
        <v>-0.13</v>
      </c>
      <c r="BT4764">
        <v>-0.02</v>
      </c>
      <c r="BU4764">
        <v>0.23</v>
      </c>
      <c r="BV4764">
        <v>-1.47</v>
      </c>
      <c r="BW4764">
        <v>-1.68</v>
      </c>
      <c r="BX4764">
        <v>0.71</v>
      </c>
      <c r="BY4764">
        <v>-0.37</v>
      </c>
      <c r="BZ4764">
        <v>-0.47</v>
      </c>
      <c r="CA4764">
        <v>-1.41</v>
      </c>
      <c r="CB4764">
        <v>-1.21</v>
      </c>
      <c r="CC4764">
        <v>-1.23</v>
      </c>
      <c r="CD4764">
        <v>1.8</v>
      </c>
      <c r="CE4764">
        <v>-1.65</v>
      </c>
      <c r="CF4764">
        <v>-0.31</v>
      </c>
      <c r="CG4764">
        <v>0</v>
      </c>
      <c r="CH4764">
        <v>-1.21</v>
      </c>
      <c r="CI4764">
        <v>0</v>
      </c>
      <c r="CJ4764">
        <v>2</v>
      </c>
      <c r="CK4764">
        <v>73</v>
      </c>
      <c r="CL4764">
        <v>-0.51</v>
      </c>
      <c r="CM4764">
        <v>68</v>
      </c>
      <c r="CN4764">
        <v>-0.06</v>
      </c>
      <c r="CO4764">
        <v>63</v>
      </c>
      <c r="CP4764">
        <v>-5.4</v>
      </c>
      <c r="CQ4764">
        <v>81</v>
      </c>
      <c r="CR4764">
        <v>0</v>
      </c>
      <c r="CS4764">
        <v>0</v>
      </c>
      <c r="CT4764">
        <v>9.4</v>
      </c>
      <c r="CU4764">
        <v>73</v>
      </c>
      <c r="CV4764">
        <v>0.24</v>
      </c>
      <c r="CW4764">
        <v>19</v>
      </c>
      <c r="CX4764" t="s">
        <v>622</v>
      </c>
    </row>
    <row r="4765" spans="1:102" x14ac:dyDescent="0.3">
      <c r="A4765" t="str">
        <f>HYPERLINK("https://webapp.icbf.com/v2/app/bull-search/view/77859304","AMT")</f>
        <v>AMT</v>
      </c>
      <c r="B4765" t="s">
        <v>8043</v>
      </c>
      <c r="C4765" t="s">
        <v>8044</v>
      </c>
      <c r="D4765" s="1">
        <v>33363</v>
      </c>
      <c r="E4765" t="s">
        <v>92</v>
      </c>
      <c r="F4765">
        <v>100</v>
      </c>
      <c r="G4765" t="s">
        <v>109</v>
      </c>
      <c r="H4765">
        <v>-174.51</v>
      </c>
      <c r="I4765">
        <v>86</v>
      </c>
      <c r="J4765">
        <v>-27.56</v>
      </c>
      <c r="K4765">
        <v>95</v>
      </c>
      <c r="L4765">
        <v>-125.14</v>
      </c>
      <c r="M4765">
        <v>89</v>
      </c>
      <c r="N4765">
        <v>-11.95</v>
      </c>
      <c r="O4765">
        <v>73</v>
      </c>
      <c r="P4765">
        <v>-14.3</v>
      </c>
      <c r="Q4765">
        <v>80</v>
      </c>
      <c r="R4765">
        <v>-5.83</v>
      </c>
      <c r="S4765">
        <v>81</v>
      </c>
      <c r="T4765">
        <v>15.75</v>
      </c>
      <c r="U4765">
        <v>74</v>
      </c>
      <c r="V4765">
        <v>-5.48</v>
      </c>
      <c r="W4765">
        <v>69</v>
      </c>
      <c r="X4765" t="s">
        <v>102</v>
      </c>
      <c r="Y4765" t="s">
        <v>95</v>
      </c>
      <c r="Z4765" t="s">
        <v>96</v>
      </c>
      <c r="AA4765" t="s">
        <v>132</v>
      </c>
      <c r="AB4765" t="s">
        <v>8045</v>
      </c>
      <c r="AC4765">
        <v>36</v>
      </c>
      <c r="AD4765">
        <v>22</v>
      </c>
      <c r="AE4765">
        <v>95</v>
      </c>
      <c r="AF4765">
        <v>90.54</v>
      </c>
      <c r="AG4765">
        <v>-1.87</v>
      </c>
      <c r="AH4765">
        <v>-2.64</v>
      </c>
      <c r="AI4765">
        <v>-0.09</v>
      </c>
      <c r="AJ4765">
        <v>-0.1</v>
      </c>
      <c r="AK4765">
        <v>89</v>
      </c>
      <c r="AL4765">
        <v>40</v>
      </c>
      <c r="AM4765">
        <v>22</v>
      </c>
      <c r="AN4765">
        <v>6.81</v>
      </c>
      <c r="AO4765">
        <v>-3.17</v>
      </c>
      <c r="AP4765">
        <v>6</v>
      </c>
      <c r="AQ4765">
        <v>0</v>
      </c>
      <c r="AR4765">
        <v>9.44</v>
      </c>
      <c r="AS4765">
        <v>65</v>
      </c>
      <c r="AT4765">
        <v>4.67</v>
      </c>
      <c r="AU4765">
        <v>94</v>
      </c>
      <c r="AV4765">
        <v>-0.8</v>
      </c>
      <c r="AW4765">
        <v>66</v>
      </c>
      <c r="AX4765">
        <v>-0.84</v>
      </c>
      <c r="AY4765">
        <v>75</v>
      </c>
      <c r="AZ4765">
        <v>6.26</v>
      </c>
      <c r="BA4765">
        <v>57</v>
      </c>
      <c r="BB4765">
        <v>4.88</v>
      </c>
      <c r="BC4765">
        <v>62</v>
      </c>
      <c r="BD4765">
        <v>0.06</v>
      </c>
      <c r="BE4765">
        <v>0.06</v>
      </c>
      <c r="BF4765">
        <v>-0.08</v>
      </c>
      <c r="BG4765">
        <v>93</v>
      </c>
      <c r="BH4765">
        <v>-0.16</v>
      </c>
      <c r="BI4765">
        <v>-0.83</v>
      </c>
      <c r="BJ4765">
        <v>11</v>
      </c>
      <c r="BK4765">
        <v>4</v>
      </c>
      <c r="BL4765">
        <v>0.66</v>
      </c>
      <c r="BM4765">
        <v>-0.74</v>
      </c>
      <c r="BN4765">
        <v>-0.35</v>
      </c>
      <c r="BO4765">
        <v>0.52</v>
      </c>
      <c r="BP4765">
        <v>-1.63</v>
      </c>
      <c r="BQ4765">
        <v>1.08</v>
      </c>
      <c r="BR4765">
        <v>-0.57999999999999996</v>
      </c>
      <c r="BS4765">
        <v>1.07</v>
      </c>
      <c r="BT4765">
        <v>0.89</v>
      </c>
      <c r="BU4765">
        <v>-0.68</v>
      </c>
      <c r="BV4765">
        <v>0.43</v>
      </c>
      <c r="BW4765">
        <v>0.69</v>
      </c>
      <c r="BX4765">
        <v>-0.5</v>
      </c>
      <c r="BY4765">
        <v>-0.12</v>
      </c>
      <c r="BZ4765">
        <v>1.56</v>
      </c>
      <c r="CA4765">
        <v>0.25</v>
      </c>
      <c r="CB4765">
        <v>-0.3</v>
      </c>
      <c r="CC4765">
        <v>0.95</v>
      </c>
      <c r="CD4765">
        <v>-0.95</v>
      </c>
      <c r="CE4765">
        <v>0.9</v>
      </c>
      <c r="CF4765">
        <v>0.19</v>
      </c>
      <c r="CG4765">
        <v>0</v>
      </c>
      <c r="CH4765">
        <v>0.03</v>
      </c>
      <c r="CI4765">
        <v>0</v>
      </c>
      <c r="CJ4765">
        <v>-4.5</v>
      </c>
      <c r="CK4765">
        <v>81</v>
      </c>
      <c r="CL4765">
        <v>-0.8</v>
      </c>
      <c r="CM4765">
        <v>79</v>
      </c>
      <c r="CN4765">
        <v>-0.14000000000000001</v>
      </c>
      <c r="CO4765">
        <v>76</v>
      </c>
      <c r="CP4765">
        <v>-9.8000000000000007</v>
      </c>
      <c r="CQ4765">
        <v>83</v>
      </c>
      <c r="CR4765">
        <v>0</v>
      </c>
      <c r="CS4765">
        <v>0</v>
      </c>
      <c r="CT4765">
        <v>-7.5</v>
      </c>
      <c r="CU4765">
        <v>74</v>
      </c>
      <c r="CV4765">
        <v>0.08</v>
      </c>
      <c r="CW4765">
        <v>42</v>
      </c>
      <c r="CX4765" t="s">
        <v>128</v>
      </c>
    </row>
    <row r="4766" spans="1:102" x14ac:dyDescent="0.3">
      <c r="A4766" t="str">
        <f>HYPERLINK("https://webapp.icbf.com/v2/app/bull-search/view/69092215","MDM")</f>
        <v>MDM</v>
      </c>
      <c r="B4766" t="s">
        <v>15093</v>
      </c>
      <c r="C4766" t="s">
        <v>15094</v>
      </c>
      <c r="D4766" s="1">
        <v>33289</v>
      </c>
      <c r="E4766" t="s">
        <v>108</v>
      </c>
      <c r="F4766">
        <v>0</v>
      </c>
      <c r="G4766" t="s">
        <v>109</v>
      </c>
      <c r="H4766">
        <v>-175.19</v>
      </c>
      <c r="I4766">
        <v>66</v>
      </c>
      <c r="J4766">
        <v>-7.4</v>
      </c>
      <c r="K4766">
        <v>80</v>
      </c>
      <c r="L4766">
        <v>-143.06</v>
      </c>
      <c r="M4766">
        <v>80</v>
      </c>
      <c r="N4766">
        <v>-15.22</v>
      </c>
      <c r="O4766">
        <v>47</v>
      </c>
      <c r="P4766">
        <v>-10.8</v>
      </c>
      <c r="Q4766">
        <v>34</v>
      </c>
      <c r="R4766">
        <v>-8.73</v>
      </c>
      <c r="S4766">
        <v>60</v>
      </c>
      <c r="T4766">
        <v>14.86</v>
      </c>
      <c r="U4766">
        <v>33</v>
      </c>
      <c r="V4766">
        <v>-4.84</v>
      </c>
      <c r="W4766">
        <v>27</v>
      </c>
      <c r="X4766" t="s">
        <v>131</v>
      </c>
      <c r="Y4766" t="s">
        <v>95</v>
      </c>
      <c r="Z4766" t="s">
        <v>96</v>
      </c>
      <c r="AA4766" t="s">
        <v>132</v>
      </c>
      <c r="AB4766" t="s">
        <v>15095</v>
      </c>
      <c r="AC4766">
        <v>0</v>
      </c>
      <c r="AD4766">
        <v>0</v>
      </c>
      <c r="AE4766">
        <v>80</v>
      </c>
      <c r="AF4766">
        <v>277.83</v>
      </c>
      <c r="AG4766">
        <v>-0.92</v>
      </c>
      <c r="AH4766">
        <v>3.32</v>
      </c>
      <c r="AI4766">
        <v>-0.19</v>
      </c>
      <c r="AJ4766">
        <v>-0.1</v>
      </c>
      <c r="AK4766">
        <v>80</v>
      </c>
      <c r="AL4766">
        <v>0</v>
      </c>
      <c r="AM4766">
        <v>0</v>
      </c>
      <c r="AN4766">
        <v>9.2899999999999991</v>
      </c>
      <c r="AO4766">
        <v>-2.1</v>
      </c>
      <c r="AP4766">
        <v>1</v>
      </c>
      <c r="AQ4766">
        <v>0</v>
      </c>
      <c r="AR4766">
        <v>10.98</v>
      </c>
      <c r="AS4766">
        <v>29</v>
      </c>
      <c r="AT4766">
        <v>4.53</v>
      </c>
      <c r="AU4766">
        <v>86</v>
      </c>
      <c r="AV4766">
        <v>-1.45</v>
      </c>
      <c r="AW4766">
        <v>37</v>
      </c>
      <c r="AX4766">
        <v>-0.51</v>
      </c>
      <c r="AY4766">
        <v>35</v>
      </c>
      <c r="AZ4766">
        <v>6.63</v>
      </c>
      <c r="BA4766">
        <v>26</v>
      </c>
      <c r="BB4766">
        <v>5.54</v>
      </c>
      <c r="BC4766">
        <v>29</v>
      </c>
      <c r="BD4766">
        <v>0.04</v>
      </c>
      <c r="BE4766">
        <v>0.06</v>
      </c>
      <c r="BF4766">
        <v>0.02</v>
      </c>
      <c r="BG4766">
        <v>86</v>
      </c>
      <c r="BH4766">
        <v>-0.09</v>
      </c>
      <c r="BI4766">
        <v>5.2</v>
      </c>
      <c r="BJ4766">
        <v>0</v>
      </c>
      <c r="BK4766">
        <v>0</v>
      </c>
      <c r="BL4766">
        <v>-0.38</v>
      </c>
      <c r="BM4766">
        <v>-0.88</v>
      </c>
      <c r="BN4766">
        <v>-0.14000000000000001</v>
      </c>
      <c r="BO4766">
        <v>0.52</v>
      </c>
      <c r="BP4766">
        <v>-1.41</v>
      </c>
      <c r="BQ4766">
        <v>-0.2</v>
      </c>
      <c r="BR4766">
        <v>1.27</v>
      </c>
      <c r="BS4766">
        <v>1.58</v>
      </c>
      <c r="BT4766">
        <v>-0.71</v>
      </c>
      <c r="BU4766">
        <v>-0.57999999999999996</v>
      </c>
      <c r="BV4766">
        <v>0.52</v>
      </c>
      <c r="BW4766">
        <v>0.7</v>
      </c>
      <c r="BX4766">
        <v>-1.67</v>
      </c>
      <c r="BY4766">
        <v>0.91</v>
      </c>
      <c r="BZ4766">
        <v>0.59</v>
      </c>
      <c r="CA4766">
        <v>0.34</v>
      </c>
      <c r="CB4766">
        <v>-0.2</v>
      </c>
      <c r="CC4766">
        <v>1.32</v>
      </c>
      <c r="CD4766">
        <v>-0.69</v>
      </c>
      <c r="CE4766">
        <v>0</v>
      </c>
      <c r="CF4766">
        <v>0</v>
      </c>
      <c r="CG4766">
        <v>0</v>
      </c>
      <c r="CH4766">
        <v>0</v>
      </c>
      <c r="CI4766">
        <v>0</v>
      </c>
      <c r="CJ4766">
        <v>-4.0999999999999996</v>
      </c>
      <c r="CK4766">
        <v>34</v>
      </c>
      <c r="CL4766">
        <v>-0.66</v>
      </c>
      <c r="CM4766">
        <v>33</v>
      </c>
      <c r="CN4766">
        <v>-0.25</v>
      </c>
      <c r="CO4766">
        <v>31</v>
      </c>
      <c r="CP4766">
        <v>-8.4</v>
      </c>
      <c r="CQ4766">
        <v>38</v>
      </c>
      <c r="CR4766">
        <v>0</v>
      </c>
      <c r="CS4766">
        <v>0</v>
      </c>
      <c r="CT4766">
        <v>-6.3</v>
      </c>
      <c r="CU4766">
        <v>33</v>
      </c>
      <c r="CV4766">
        <v>0.13</v>
      </c>
      <c r="CW4766">
        <v>10</v>
      </c>
      <c r="CX4766" t="s">
        <v>163</v>
      </c>
    </row>
    <row r="4767" spans="1:102" x14ac:dyDescent="0.3">
      <c r="A4767" t="str">
        <f>HYPERLINK("https://webapp.icbf.com/v2/app/bull-search/view/124415028","ROJ")</f>
        <v>ROJ</v>
      </c>
      <c r="B4767" t="s">
        <v>976</v>
      </c>
      <c r="C4767" t="s">
        <v>977</v>
      </c>
      <c r="D4767" s="1">
        <v>35186</v>
      </c>
      <c r="E4767" t="s">
        <v>92</v>
      </c>
      <c r="F4767">
        <v>100</v>
      </c>
      <c r="G4767" t="s">
        <v>93</v>
      </c>
      <c r="H4767">
        <v>-175.55</v>
      </c>
      <c r="I4767">
        <v>98</v>
      </c>
      <c r="J4767">
        <v>-16.93</v>
      </c>
      <c r="K4767">
        <v>99</v>
      </c>
      <c r="L4767">
        <v>-153.94</v>
      </c>
      <c r="M4767">
        <v>96</v>
      </c>
      <c r="N4767">
        <v>4.16</v>
      </c>
      <c r="O4767">
        <v>98</v>
      </c>
      <c r="P4767">
        <v>-10.18</v>
      </c>
      <c r="Q4767">
        <v>99</v>
      </c>
      <c r="R4767">
        <v>-4.22</v>
      </c>
      <c r="S4767">
        <v>96</v>
      </c>
      <c r="T4767">
        <v>5.54</v>
      </c>
      <c r="U4767">
        <v>98</v>
      </c>
      <c r="V4767">
        <v>0.02</v>
      </c>
      <c r="W4767">
        <v>96</v>
      </c>
      <c r="X4767" t="s">
        <v>251</v>
      </c>
      <c r="Y4767" t="s">
        <v>95</v>
      </c>
      <c r="Z4767" t="s">
        <v>96</v>
      </c>
      <c r="AA4767" t="s">
        <v>839</v>
      </c>
      <c r="AB4767" t="s">
        <v>978</v>
      </c>
      <c r="AC4767">
        <v>1880</v>
      </c>
      <c r="AD4767">
        <v>548</v>
      </c>
      <c r="AE4767">
        <v>99</v>
      </c>
      <c r="AF4767">
        <v>220.02</v>
      </c>
      <c r="AG4767">
        <v>1.07</v>
      </c>
      <c r="AH4767">
        <v>0.11</v>
      </c>
      <c r="AI4767">
        <v>-0.13</v>
      </c>
      <c r="AJ4767">
        <v>-0.12</v>
      </c>
      <c r="AK4767">
        <v>96</v>
      </c>
      <c r="AL4767">
        <v>1758</v>
      </c>
      <c r="AM4767">
        <v>524</v>
      </c>
      <c r="AN4767">
        <v>8.14</v>
      </c>
      <c r="AO4767">
        <v>-4.1399999999999997</v>
      </c>
      <c r="AP4767">
        <v>3430</v>
      </c>
      <c r="AQ4767">
        <v>2</v>
      </c>
      <c r="AR4767">
        <v>8.1199999999999992</v>
      </c>
      <c r="AS4767">
        <v>99</v>
      </c>
      <c r="AT4767">
        <v>3.45</v>
      </c>
      <c r="AU4767">
        <v>99</v>
      </c>
      <c r="AV4767">
        <v>-1.34</v>
      </c>
      <c r="AW4767">
        <v>99</v>
      </c>
      <c r="AX4767">
        <v>0.36</v>
      </c>
      <c r="AY4767">
        <v>99</v>
      </c>
      <c r="AZ4767">
        <v>5.47</v>
      </c>
      <c r="BA4767">
        <v>96</v>
      </c>
      <c r="BB4767">
        <v>5.54</v>
      </c>
      <c r="BC4767">
        <v>96</v>
      </c>
      <c r="BD4767">
        <v>0.03</v>
      </c>
      <c r="BE4767">
        <v>0.03</v>
      </c>
      <c r="BF4767">
        <v>-0.01</v>
      </c>
      <c r="BG4767">
        <v>99</v>
      </c>
      <c r="BH4767">
        <v>-0.03</v>
      </c>
      <c r="BI4767">
        <v>-3.52</v>
      </c>
      <c r="BJ4767">
        <v>666</v>
      </c>
      <c r="BK4767">
        <v>211</v>
      </c>
      <c r="BL4767">
        <v>1.49</v>
      </c>
      <c r="BM4767">
        <v>-1.27</v>
      </c>
      <c r="BN4767">
        <v>1.37</v>
      </c>
      <c r="BO4767">
        <v>1.67</v>
      </c>
      <c r="BP4767">
        <v>-2.37</v>
      </c>
      <c r="BQ4767">
        <v>0.14000000000000001</v>
      </c>
      <c r="BR4767">
        <v>1.39</v>
      </c>
      <c r="BS4767">
        <v>-0.3</v>
      </c>
      <c r="BT4767">
        <v>-0.97</v>
      </c>
      <c r="BU4767">
        <v>2.48</v>
      </c>
      <c r="BV4767">
        <v>2.46</v>
      </c>
      <c r="BW4767">
        <v>1.95</v>
      </c>
      <c r="BX4767">
        <v>1.75</v>
      </c>
      <c r="BY4767">
        <v>2.06</v>
      </c>
      <c r="BZ4767">
        <v>1.56</v>
      </c>
      <c r="CA4767">
        <v>1.69</v>
      </c>
      <c r="CB4767">
        <v>2.12</v>
      </c>
      <c r="CC4767">
        <v>0.13</v>
      </c>
      <c r="CD4767">
        <v>-1.81</v>
      </c>
      <c r="CE4767">
        <v>1.52</v>
      </c>
      <c r="CF4767">
        <v>0.5</v>
      </c>
      <c r="CG4767">
        <v>0</v>
      </c>
      <c r="CH4767">
        <v>2.0299999999999998</v>
      </c>
      <c r="CI4767">
        <v>0</v>
      </c>
      <c r="CJ4767">
        <v>0.9</v>
      </c>
      <c r="CK4767">
        <v>99</v>
      </c>
      <c r="CL4767">
        <v>-1.36</v>
      </c>
      <c r="CM4767">
        <v>99</v>
      </c>
      <c r="CN4767">
        <v>-0.26</v>
      </c>
      <c r="CO4767">
        <v>99</v>
      </c>
      <c r="CP4767">
        <v>-2.9</v>
      </c>
      <c r="CQ4767">
        <v>99</v>
      </c>
      <c r="CR4767">
        <v>0</v>
      </c>
      <c r="CS4767">
        <v>0</v>
      </c>
      <c r="CT4767">
        <v>6.3</v>
      </c>
      <c r="CU4767">
        <v>98</v>
      </c>
      <c r="CV4767">
        <v>0.36</v>
      </c>
      <c r="CW4767">
        <v>46</v>
      </c>
      <c r="CX4767" t="s">
        <v>132</v>
      </c>
    </row>
    <row r="4768" spans="1:102" x14ac:dyDescent="0.3">
      <c r="A4768" t="str">
        <f>HYPERLINK("https://webapp.icbf.com/v2/app/bull-search/view/77855782","LLH")</f>
        <v>LLH</v>
      </c>
      <c r="B4768" t="s">
        <v>4962</v>
      </c>
      <c r="C4768" t="s">
        <v>4549</v>
      </c>
      <c r="D4768" s="1">
        <v>34910</v>
      </c>
      <c r="E4768" t="s">
        <v>92</v>
      </c>
      <c r="F4768">
        <v>100</v>
      </c>
      <c r="G4768" t="s">
        <v>93</v>
      </c>
      <c r="H4768">
        <v>-175.58</v>
      </c>
      <c r="I4768">
        <v>94</v>
      </c>
      <c r="J4768">
        <v>-11.23</v>
      </c>
      <c r="K4768">
        <v>98</v>
      </c>
      <c r="L4768">
        <v>-132.15</v>
      </c>
      <c r="M4768">
        <v>93</v>
      </c>
      <c r="N4768">
        <v>-42.58</v>
      </c>
      <c r="O4768">
        <v>91</v>
      </c>
      <c r="P4768">
        <v>-0.81</v>
      </c>
      <c r="Q4768">
        <v>95</v>
      </c>
      <c r="R4768">
        <v>-7.18</v>
      </c>
      <c r="S4768">
        <v>87</v>
      </c>
      <c r="T4768">
        <v>9.16</v>
      </c>
      <c r="U4768">
        <v>89</v>
      </c>
      <c r="V4768">
        <v>9.2100000000000009</v>
      </c>
      <c r="W4768">
        <v>83</v>
      </c>
      <c r="X4768" t="s">
        <v>558</v>
      </c>
      <c r="Y4768" t="s">
        <v>95</v>
      </c>
      <c r="Z4768" t="s">
        <v>96</v>
      </c>
      <c r="AA4768" t="s">
        <v>678</v>
      </c>
      <c r="AB4768" t="s">
        <v>4963</v>
      </c>
      <c r="AC4768">
        <v>129</v>
      </c>
      <c r="AD4768">
        <v>66</v>
      </c>
      <c r="AE4768">
        <v>98</v>
      </c>
      <c r="AF4768">
        <v>409.95</v>
      </c>
      <c r="AG4768">
        <v>-0.78</v>
      </c>
      <c r="AH4768">
        <v>4.6399999999999997</v>
      </c>
      <c r="AI4768">
        <v>-0.27</v>
      </c>
      <c r="AJ4768">
        <v>-0.15</v>
      </c>
      <c r="AK4768">
        <v>93</v>
      </c>
      <c r="AL4768">
        <v>125</v>
      </c>
      <c r="AM4768">
        <v>58</v>
      </c>
      <c r="AN4768">
        <v>7.89</v>
      </c>
      <c r="AO4768">
        <v>-2.64</v>
      </c>
      <c r="AP4768">
        <v>175</v>
      </c>
      <c r="AQ4768">
        <v>0</v>
      </c>
      <c r="AR4768">
        <v>11.17</v>
      </c>
      <c r="AS4768">
        <v>87</v>
      </c>
      <c r="AT4768">
        <v>5.68</v>
      </c>
      <c r="AU4768">
        <v>99</v>
      </c>
      <c r="AV4768">
        <v>0.4</v>
      </c>
      <c r="AW4768">
        <v>92</v>
      </c>
      <c r="AX4768">
        <v>0.33</v>
      </c>
      <c r="AY4768">
        <v>89</v>
      </c>
      <c r="AZ4768">
        <v>6.58</v>
      </c>
      <c r="BA4768">
        <v>80</v>
      </c>
      <c r="BB4768">
        <v>4.59</v>
      </c>
      <c r="BC4768">
        <v>79</v>
      </c>
      <c r="BD4768">
        <v>0</v>
      </c>
      <c r="BE4768">
        <v>0.05</v>
      </c>
      <c r="BF4768">
        <v>7.0000000000000007E-2</v>
      </c>
      <c r="BG4768">
        <v>95</v>
      </c>
      <c r="BH4768">
        <v>0.26</v>
      </c>
      <c r="BI4768">
        <v>0.36</v>
      </c>
      <c r="BJ4768">
        <v>61</v>
      </c>
      <c r="BK4768">
        <v>33</v>
      </c>
      <c r="BL4768">
        <v>0.18</v>
      </c>
      <c r="BM4768">
        <v>-1.04</v>
      </c>
      <c r="BN4768">
        <v>-0.7</v>
      </c>
      <c r="BO4768">
        <v>0.43</v>
      </c>
      <c r="BP4768">
        <v>0.41</v>
      </c>
      <c r="BQ4768">
        <v>-0.98</v>
      </c>
      <c r="BR4768">
        <v>-1.03</v>
      </c>
      <c r="BS4768">
        <v>0.21</v>
      </c>
      <c r="BT4768">
        <v>1.36</v>
      </c>
      <c r="BU4768">
        <v>1.3</v>
      </c>
      <c r="BV4768">
        <v>1.18</v>
      </c>
      <c r="BW4768">
        <v>0.72</v>
      </c>
      <c r="BX4768">
        <v>0.54</v>
      </c>
      <c r="BY4768">
        <v>0.51</v>
      </c>
      <c r="BZ4768">
        <v>0.62</v>
      </c>
      <c r="CA4768">
        <v>1.25</v>
      </c>
      <c r="CB4768">
        <v>1.29</v>
      </c>
      <c r="CC4768">
        <v>0.71</v>
      </c>
      <c r="CD4768">
        <v>-0.38</v>
      </c>
      <c r="CE4768">
        <v>0.91</v>
      </c>
      <c r="CF4768">
        <v>-0.05</v>
      </c>
      <c r="CG4768">
        <v>0</v>
      </c>
      <c r="CH4768">
        <v>0.55000000000000004</v>
      </c>
      <c r="CI4768">
        <v>0</v>
      </c>
      <c r="CJ4768">
        <v>-1.2</v>
      </c>
      <c r="CK4768">
        <v>95</v>
      </c>
      <c r="CL4768">
        <v>-0.65</v>
      </c>
      <c r="CM4768">
        <v>94</v>
      </c>
      <c r="CN4768">
        <v>-0.7</v>
      </c>
      <c r="CO4768">
        <v>94</v>
      </c>
      <c r="CP4768">
        <v>-4.3</v>
      </c>
      <c r="CQ4768">
        <v>94</v>
      </c>
      <c r="CR4768">
        <v>0</v>
      </c>
      <c r="CS4768">
        <v>0</v>
      </c>
      <c r="CT4768">
        <v>1.4</v>
      </c>
      <c r="CU4768">
        <v>89</v>
      </c>
      <c r="CV4768">
        <v>7.0000000000000007E-2</v>
      </c>
      <c r="CW4768">
        <v>45</v>
      </c>
      <c r="CX4768" t="s">
        <v>485</v>
      </c>
    </row>
    <row r="4769" spans="1:102" x14ac:dyDescent="0.3">
      <c r="A4769" t="str">
        <f>HYPERLINK("https://webapp.icbf.com/v2/app/bull-search/view/77857645","GLH")</f>
        <v>GLH</v>
      </c>
      <c r="B4769" t="s">
        <v>15353</v>
      </c>
      <c r="C4769" t="s">
        <v>15354</v>
      </c>
      <c r="D4769" s="1">
        <v>36489</v>
      </c>
      <c r="E4769" t="s">
        <v>92</v>
      </c>
      <c r="F4769">
        <v>100</v>
      </c>
      <c r="G4769" t="s">
        <v>93</v>
      </c>
      <c r="H4769">
        <v>-175.62</v>
      </c>
      <c r="I4769">
        <v>64</v>
      </c>
      <c r="J4769">
        <v>-0.78</v>
      </c>
      <c r="K4769">
        <v>86</v>
      </c>
      <c r="L4769">
        <v>-174.15</v>
      </c>
      <c r="M4769">
        <v>47</v>
      </c>
      <c r="N4769">
        <v>-1.1399999999999999</v>
      </c>
      <c r="O4769">
        <v>62</v>
      </c>
      <c r="P4769">
        <v>-14.8</v>
      </c>
      <c r="Q4769">
        <v>78</v>
      </c>
      <c r="R4769">
        <v>2.94</v>
      </c>
      <c r="S4769">
        <v>53</v>
      </c>
      <c r="T4769">
        <v>14.05</v>
      </c>
      <c r="U4769">
        <v>60</v>
      </c>
      <c r="V4769">
        <v>-1.74</v>
      </c>
      <c r="W4769">
        <v>29</v>
      </c>
      <c r="X4769" t="s">
        <v>94</v>
      </c>
      <c r="Y4769" t="s">
        <v>95</v>
      </c>
      <c r="Z4769" t="s">
        <v>96</v>
      </c>
      <c r="AA4769" t="s">
        <v>594</v>
      </c>
      <c r="AB4769" t="s">
        <v>595</v>
      </c>
      <c r="AC4769">
        <v>29</v>
      </c>
      <c r="AD4769">
        <v>29</v>
      </c>
      <c r="AE4769">
        <v>86</v>
      </c>
      <c r="AF4769">
        <v>152.32</v>
      </c>
      <c r="AG4769">
        <v>-0.54</v>
      </c>
      <c r="AH4769">
        <v>2.39</v>
      </c>
      <c r="AI4769">
        <v>-0.1</v>
      </c>
      <c r="AJ4769">
        <v>-0.05</v>
      </c>
      <c r="AK4769">
        <v>47</v>
      </c>
      <c r="AL4769">
        <v>24</v>
      </c>
      <c r="AM4769">
        <v>22</v>
      </c>
      <c r="AN4769">
        <v>9.34</v>
      </c>
      <c r="AO4769">
        <v>-4.55</v>
      </c>
      <c r="AP4769">
        <v>37</v>
      </c>
      <c r="AQ4769">
        <v>0</v>
      </c>
      <c r="AR4769">
        <v>8.41</v>
      </c>
      <c r="AS4769">
        <v>37</v>
      </c>
      <c r="AT4769">
        <v>3.44</v>
      </c>
      <c r="AU4769">
        <v>58</v>
      </c>
      <c r="AV4769">
        <v>-0.68</v>
      </c>
      <c r="AW4769">
        <v>80</v>
      </c>
      <c r="AX4769">
        <v>-0.28999999999999998</v>
      </c>
      <c r="AY4769">
        <v>56</v>
      </c>
      <c r="AZ4769">
        <v>7.06</v>
      </c>
      <c r="BA4769">
        <v>36</v>
      </c>
      <c r="BB4769">
        <v>5.26</v>
      </c>
      <c r="BC4769">
        <v>37</v>
      </c>
      <c r="BD4769">
        <v>-0.01</v>
      </c>
      <c r="BE4769">
        <v>0.01</v>
      </c>
      <c r="BF4769">
        <v>-7.0000000000000007E-2</v>
      </c>
      <c r="BG4769">
        <v>64</v>
      </c>
      <c r="BH4769">
        <v>-0.01</v>
      </c>
      <c r="BI4769">
        <v>4.46</v>
      </c>
      <c r="BJ4769">
        <v>11</v>
      </c>
      <c r="BK4769">
        <v>10</v>
      </c>
      <c r="BL4769">
        <v>0.33</v>
      </c>
      <c r="BM4769">
        <v>-0.2</v>
      </c>
      <c r="BN4769">
        <v>1.02</v>
      </c>
      <c r="BO4769">
        <v>0.7</v>
      </c>
      <c r="BP4769">
        <v>-2.57</v>
      </c>
      <c r="BQ4769">
        <v>-1.23</v>
      </c>
      <c r="BR4769">
        <v>1.67</v>
      </c>
      <c r="BS4769">
        <v>-0.8</v>
      </c>
      <c r="BT4769">
        <v>-1.44</v>
      </c>
      <c r="BU4769">
        <v>-0.86</v>
      </c>
      <c r="BV4769">
        <v>0.4</v>
      </c>
      <c r="BW4769">
        <v>-0.33</v>
      </c>
      <c r="BX4769">
        <v>-1.94</v>
      </c>
      <c r="BY4769">
        <v>-0.63</v>
      </c>
      <c r="BZ4769">
        <v>1.2</v>
      </c>
      <c r="CA4769">
        <v>-0.53</v>
      </c>
      <c r="CB4769">
        <v>-0.12</v>
      </c>
      <c r="CC4769">
        <v>-1.06</v>
      </c>
      <c r="CD4769">
        <v>-0.79</v>
      </c>
      <c r="CE4769">
        <v>1.1599999999999999</v>
      </c>
      <c r="CF4769">
        <v>-0.31</v>
      </c>
      <c r="CG4769">
        <v>0</v>
      </c>
      <c r="CH4769">
        <v>-0.35</v>
      </c>
      <c r="CI4769">
        <v>0</v>
      </c>
      <c r="CJ4769">
        <v>-5.5</v>
      </c>
      <c r="CK4769">
        <v>80</v>
      </c>
      <c r="CL4769">
        <v>-0.9</v>
      </c>
      <c r="CM4769">
        <v>77</v>
      </c>
      <c r="CN4769">
        <v>-0.22</v>
      </c>
      <c r="CO4769">
        <v>73</v>
      </c>
      <c r="CP4769">
        <v>-3.3</v>
      </c>
      <c r="CQ4769">
        <v>78</v>
      </c>
      <c r="CR4769">
        <v>0</v>
      </c>
      <c r="CS4769">
        <v>0</v>
      </c>
      <c r="CT4769">
        <v>-5.2</v>
      </c>
      <c r="CU4769">
        <v>60</v>
      </c>
      <c r="CV4769">
        <v>0.16</v>
      </c>
      <c r="CW4769">
        <v>22</v>
      </c>
      <c r="CX4769" t="s">
        <v>596</v>
      </c>
    </row>
    <row r="4770" spans="1:102" x14ac:dyDescent="0.3">
      <c r="A4770" t="str">
        <f>HYPERLINK("https://webapp.icbf.com/v2/app/bull-search/view/516048378","S651")</f>
        <v>S651</v>
      </c>
      <c r="B4770" t="s">
        <v>9033</v>
      </c>
      <c r="C4770" t="s">
        <v>9034</v>
      </c>
      <c r="D4770" s="1">
        <v>37390</v>
      </c>
      <c r="E4770" t="s">
        <v>92</v>
      </c>
      <c r="F4770">
        <v>100</v>
      </c>
      <c r="G4770" t="s">
        <v>109</v>
      </c>
      <c r="H4770">
        <v>-175.77</v>
      </c>
      <c r="I4770">
        <v>86</v>
      </c>
      <c r="J4770">
        <v>-6.96</v>
      </c>
      <c r="K4770">
        <v>95</v>
      </c>
      <c r="L4770">
        <v>-129.80000000000001</v>
      </c>
      <c r="M4770">
        <v>88</v>
      </c>
      <c r="N4770">
        <v>-43.76</v>
      </c>
      <c r="O4770">
        <v>78</v>
      </c>
      <c r="P4770">
        <v>-0.83</v>
      </c>
      <c r="Q4770">
        <v>74</v>
      </c>
      <c r="R4770">
        <v>11.53</v>
      </c>
      <c r="S4770">
        <v>81</v>
      </c>
      <c r="T4770">
        <v>-5.19</v>
      </c>
      <c r="U4770">
        <v>76</v>
      </c>
      <c r="V4770">
        <v>-0.76</v>
      </c>
      <c r="W4770">
        <v>67</v>
      </c>
      <c r="X4770" t="s">
        <v>1589</v>
      </c>
      <c r="Y4770" t="s">
        <v>1122</v>
      </c>
      <c r="Z4770" t="s">
        <v>96</v>
      </c>
      <c r="AA4770" t="s">
        <v>1801</v>
      </c>
      <c r="AB4770" t="s">
        <v>9035</v>
      </c>
      <c r="AC4770">
        <v>0</v>
      </c>
      <c r="AD4770">
        <v>0</v>
      </c>
      <c r="AE4770">
        <v>95</v>
      </c>
      <c r="AF4770">
        <v>184.87</v>
      </c>
      <c r="AG4770">
        <v>-3.15</v>
      </c>
      <c r="AH4770">
        <v>2.76</v>
      </c>
      <c r="AI4770">
        <v>-0.18</v>
      </c>
      <c r="AJ4770">
        <v>-0.06</v>
      </c>
      <c r="AK4770">
        <v>88</v>
      </c>
      <c r="AL4770">
        <v>0</v>
      </c>
      <c r="AM4770">
        <v>0</v>
      </c>
      <c r="AN4770">
        <v>6.43</v>
      </c>
      <c r="AO4770">
        <v>-3.93</v>
      </c>
      <c r="AP4770">
        <v>48</v>
      </c>
      <c r="AQ4770">
        <v>0</v>
      </c>
      <c r="AR4770">
        <v>14.13</v>
      </c>
      <c r="AS4770">
        <v>64</v>
      </c>
      <c r="AT4770">
        <v>6.37</v>
      </c>
      <c r="AU4770">
        <v>91</v>
      </c>
      <c r="AV4770">
        <v>-2.71</v>
      </c>
      <c r="AW4770">
        <v>85</v>
      </c>
      <c r="AX4770">
        <v>1.03</v>
      </c>
      <c r="AY4770">
        <v>68</v>
      </c>
      <c r="AZ4770">
        <v>5.33</v>
      </c>
      <c r="BA4770">
        <v>58</v>
      </c>
      <c r="BB4770">
        <v>5.21</v>
      </c>
      <c r="BC4770">
        <v>56</v>
      </c>
      <c r="BD4770">
        <v>-0.03</v>
      </c>
      <c r="BE4770">
        <v>-0.05</v>
      </c>
      <c r="BF4770">
        <v>-0.12</v>
      </c>
      <c r="BG4770">
        <v>93</v>
      </c>
      <c r="BH4770">
        <v>-0.02</v>
      </c>
      <c r="BI4770">
        <v>0.14000000000000001</v>
      </c>
      <c r="BJ4770">
        <v>18</v>
      </c>
      <c r="BK4770">
        <v>9</v>
      </c>
      <c r="BL4770">
        <v>1.9</v>
      </c>
      <c r="BM4770">
        <v>0.52</v>
      </c>
      <c r="BN4770">
        <v>1.3</v>
      </c>
      <c r="BO4770">
        <v>0.89</v>
      </c>
      <c r="BP4770">
        <v>-1.53</v>
      </c>
      <c r="BQ4770">
        <v>2.38</v>
      </c>
      <c r="BR4770">
        <v>-1.94</v>
      </c>
      <c r="BS4770">
        <v>1.57</v>
      </c>
      <c r="BT4770">
        <v>2.21</v>
      </c>
      <c r="BU4770">
        <v>3.12</v>
      </c>
      <c r="BV4770">
        <v>2.08</v>
      </c>
      <c r="BW4770">
        <v>2.1</v>
      </c>
      <c r="BX4770">
        <v>2.4300000000000002</v>
      </c>
      <c r="BY4770">
        <v>1.91</v>
      </c>
      <c r="BZ4770">
        <v>-1.38</v>
      </c>
      <c r="CA4770">
        <v>2.67</v>
      </c>
      <c r="CB4770">
        <v>2.35</v>
      </c>
      <c r="CC4770">
        <v>1.91</v>
      </c>
      <c r="CD4770">
        <v>-0.3</v>
      </c>
      <c r="CE4770">
        <v>0.85</v>
      </c>
      <c r="CF4770">
        <v>1.91</v>
      </c>
      <c r="CG4770">
        <v>0</v>
      </c>
      <c r="CH4770">
        <v>1.82</v>
      </c>
      <c r="CI4770">
        <v>0</v>
      </c>
      <c r="CJ4770">
        <v>2.2999999999999998</v>
      </c>
      <c r="CK4770">
        <v>76</v>
      </c>
      <c r="CL4770">
        <v>-1.36</v>
      </c>
      <c r="CM4770">
        <v>72</v>
      </c>
      <c r="CN4770">
        <v>-0.7</v>
      </c>
      <c r="CO4770">
        <v>69</v>
      </c>
      <c r="CP4770">
        <v>12.2</v>
      </c>
      <c r="CQ4770">
        <v>78</v>
      </c>
      <c r="CR4770">
        <v>0</v>
      </c>
      <c r="CS4770">
        <v>0</v>
      </c>
      <c r="CT4770">
        <v>20.8</v>
      </c>
      <c r="CU4770">
        <v>76</v>
      </c>
      <c r="CV4770">
        <v>0.24</v>
      </c>
      <c r="CW4770">
        <v>40</v>
      </c>
      <c r="CX4770" t="s">
        <v>1273</v>
      </c>
    </row>
    <row r="4771" spans="1:102" x14ac:dyDescent="0.3">
      <c r="A4771" t="str">
        <f>HYPERLINK("https://webapp.icbf.com/v2/app/bull-search/view/124414813","JTE")</f>
        <v>JTE</v>
      </c>
      <c r="B4771" t="s">
        <v>8483</v>
      </c>
      <c r="C4771" t="s">
        <v>8484</v>
      </c>
      <c r="D4771" s="1">
        <v>35107</v>
      </c>
      <c r="E4771" t="s">
        <v>92</v>
      </c>
      <c r="F4771">
        <v>91</v>
      </c>
      <c r="G4771" t="s">
        <v>93</v>
      </c>
      <c r="H4771">
        <v>-176.54</v>
      </c>
      <c r="I4771">
        <v>82</v>
      </c>
      <c r="J4771">
        <v>1.02</v>
      </c>
      <c r="K4771">
        <v>96</v>
      </c>
      <c r="L4771">
        <v>-113.31</v>
      </c>
      <c r="M4771">
        <v>76</v>
      </c>
      <c r="N4771">
        <v>-56.02</v>
      </c>
      <c r="O4771">
        <v>71</v>
      </c>
      <c r="P4771">
        <v>-12.76</v>
      </c>
      <c r="Q4771">
        <v>85</v>
      </c>
      <c r="R4771">
        <v>-11.77</v>
      </c>
      <c r="S4771">
        <v>75</v>
      </c>
      <c r="T4771">
        <v>28.26</v>
      </c>
      <c r="U4771">
        <v>77</v>
      </c>
      <c r="V4771">
        <v>-11.96</v>
      </c>
      <c r="W4771">
        <v>63</v>
      </c>
      <c r="X4771" t="s">
        <v>102</v>
      </c>
      <c r="Y4771" t="s">
        <v>95</v>
      </c>
      <c r="Z4771" t="s">
        <v>96</v>
      </c>
      <c r="AA4771" t="s">
        <v>105</v>
      </c>
      <c r="AB4771" t="s">
        <v>1310</v>
      </c>
      <c r="AC4771">
        <v>74</v>
      </c>
      <c r="AD4771">
        <v>61</v>
      </c>
      <c r="AE4771">
        <v>96</v>
      </c>
      <c r="AF4771">
        <v>-20.170000000000002</v>
      </c>
      <c r="AG4771">
        <v>-3.38</v>
      </c>
      <c r="AH4771">
        <v>1.06</v>
      </c>
      <c r="AI4771">
        <v>-0.05</v>
      </c>
      <c r="AJ4771">
        <v>0.03</v>
      </c>
      <c r="AK4771">
        <v>76</v>
      </c>
      <c r="AL4771">
        <v>92</v>
      </c>
      <c r="AM4771">
        <v>67</v>
      </c>
      <c r="AN4771">
        <v>5.9</v>
      </c>
      <c r="AO4771">
        <v>-3.14</v>
      </c>
      <c r="AP4771">
        <v>9</v>
      </c>
      <c r="AQ4771">
        <v>0</v>
      </c>
      <c r="AR4771">
        <v>12.36</v>
      </c>
      <c r="AS4771">
        <v>58</v>
      </c>
      <c r="AT4771">
        <v>5.59</v>
      </c>
      <c r="AU4771">
        <v>74</v>
      </c>
      <c r="AV4771">
        <v>1.48</v>
      </c>
      <c r="AW4771">
        <v>73</v>
      </c>
      <c r="AX4771">
        <v>-0.84</v>
      </c>
      <c r="AY4771">
        <v>79</v>
      </c>
      <c r="AZ4771">
        <v>6.62</v>
      </c>
      <c r="BA4771">
        <v>53</v>
      </c>
      <c r="BB4771">
        <v>5.41</v>
      </c>
      <c r="BC4771">
        <v>63</v>
      </c>
      <c r="BD4771">
        <v>0.1</v>
      </c>
      <c r="BE4771">
        <v>0.06</v>
      </c>
      <c r="BF4771">
        <v>-0.01</v>
      </c>
      <c r="BG4771">
        <v>86</v>
      </c>
      <c r="BH4771">
        <v>-0.25</v>
      </c>
      <c r="BI4771">
        <v>9.66</v>
      </c>
      <c r="BJ4771">
        <v>1</v>
      </c>
      <c r="BK4771">
        <v>1</v>
      </c>
      <c r="BL4771">
        <v>-0.61</v>
      </c>
      <c r="BM4771">
        <v>-1.89</v>
      </c>
      <c r="BN4771">
        <v>-0.8</v>
      </c>
      <c r="BO4771">
        <v>0.59</v>
      </c>
      <c r="BP4771">
        <v>-1.03</v>
      </c>
      <c r="BQ4771">
        <v>-0.19</v>
      </c>
      <c r="BR4771">
        <v>-0.37</v>
      </c>
      <c r="BS4771">
        <v>-0.03</v>
      </c>
      <c r="BT4771">
        <v>0.53</v>
      </c>
      <c r="BU4771">
        <v>-0.96</v>
      </c>
      <c r="BV4771">
        <v>-0.04</v>
      </c>
      <c r="BW4771">
        <v>0.09</v>
      </c>
      <c r="BX4771">
        <v>-0.88</v>
      </c>
      <c r="BY4771">
        <v>1.66</v>
      </c>
      <c r="BZ4771">
        <v>-0.53</v>
      </c>
      <c r="CA4771">
        <v>-0.09</v>
      </c>
      <c r="CB4771">
        <v>0.09</v>
      </c>
      <c r="CC4771">
        <v>-0.48</v>
      </c>
      <c r="CD4771">
        <v>-1.08</v>
      </c>
      <c r="CE4771">
        <v>0.49</v>
      </c>
      <c r="CF4771">
        <v>-1.02</v>
      </c>
      <c r="CG4771">
        <v>0</v>
      </c>
      <c r="CH4771">
        <v>0.38</v>
      </c>
      <c r="CI4771">
        <v>0</v>
      </c>
      <c r="CJ4771">
        <v>-4.4000000000000004</v>
      </c>
      <c r="CK4771">
        <v>86</v>
      </c>
      <c r="CL4771">
        <v>-0.5</v>
      </c>
      <c r="CM4771">
        <v>84</v>
      </c>
      <c r="CN4771">
        <v>-0.06</v>
      </c>
      <c r="CO4771">
        <v>82</v>
      </c>
      <c r="CP4771">
        <v>-14.9</v>
      </c>
      <c r="CQ4771">
        <v>89</v>
      </c>
      <c r="CR4771">
        <v>0</v>
      </c>
      <c r="CS4771">
        <v>0</v>
      </c>
      <c r="CT4771">
        <v>-24.4</v>
      </c>
      <c r="CU4771">
        <v>77</v>
      </c>
      <c r="CV4771">
        <v>0.08</v>
      </c>
      <c r="CW4771">
        <v>43</v>
      </c>
      <c r="CX4771" t="s">
        <v>999</v>
      </c>
    </row>
    <row r="4772" spans="1:102" x14ac:dyDescent="0.3">
      <c r="A4772" t="str">
        <f>HYPERLINK("https://webapp.icbf.com/v2/app/bull-search/view/77855173","MID")</f>
        <v>MID</v>
      </c>
      <c r="B4772" t="s">
        <v>6590</v>
      </c>
      <c r="C4772" t="s">
        <v>3584</v>
      </c>
      <c r="D4772" s="1">
        <v>31413</v>
      </c>
      <c r="E4772" t="s">
        <v>92</v>
      </c>
      <c r="F4772">
        <v>100</v>
      </c>
      <c r="G4772" t="s">
        <v>93</v>
      </c>
      <c r="H4772">
        <v>-177.15</v>
      </c>
      <c r="I4772">
        <v>93</v>
      </c>
      <c r="J4772">
        <v>-17.149999999999999</v>
      </c>
      <c r="K4772">
        <v>99</v>
      </c>
      <c r="L4772">
        <v>-102.49</v>
      </c>
      <c r="M4772">
        <v>93</v>
      </c>
      <c r="N4772">
        <v>-48.99</v>
      </c>
      <c r="O4772">
        <v>89</v>
      </c>
      <c r="P4772">
        <v>-3.03</v>
      </c>
      <c r="Q4772">
        <v>95</v>
      </c>
      <c r="R4772">
        <v>-8.9700000000000006</v>
      </c>
      <c r="S4772">
        <v>83</v>
      </c>
      <c r="T4772">
        <v>2.87</v>
      </c>
      <c r="U4772">
        <v>95</v>
      </c>
      <c r="V4772">
        <v>0.61</v>
      </c>
      <c r="W4772">
        <v>65</v>
      </c>
      <c r="X4772" t="s">
        <v>110</v>
      </c>
      <c r="Y4772" t="s">
        <v>95</v>
      </c>
      <c r="Z4772" t="s">
        <v>96</v>
      </c>
      <c r="AA4772" t="s">
        <v>154</v>
      </c>
      <c r="AB4772" t="s">
        <v>6591</v>
      </c>
      <c r="AC4772">
        <v>592</v>
      </c>
      <c r="AD4772">
        <v>300</v>
      </c>
      <c r="AE4772">
        <v>99</v>
      </c>
      <c r="AF4772">
        <v>-42.67</v>
      </c>
      <c r="AG4772">
        <v>2.8</v>
      </c>
      <c r="AH4772">
        <v>-4.5599999999999996</v>
      </c>
      <c r="AI4772">
        <v>7.0000000000000007E-2</v>
      </c>
      <c r="AJ4772">
        <v>-0.05</v>
      </c>
      <c r="AK4772">
        <v>93</v>
      </c>
      <c r="AL4772">
        <v>910</v>
      </c>
      <c r="AM4772">
        <v>418</v>
      </c>
      <c r="AN4772">
        <v>5.83</v>
      </c>
      <c r="AO4772">
        <v>-2.34</v>
      </c>
      <c r="AP4772">
        <v>7</v>
      </c>
      <c r="AQ4772">
        <v>0</v>
      </c>
      <c r="AR4772">
        <v>9.86</v>
      </c>
      <c r="AS4772">
        <v>73</v>
      </c>
      <c r="AT4772">
        <v>4.7</v>
      </c>
      <c r="AU4772">
        <v>89</v>
      </c>
      <c r="AV4772">
        <v>1.89</v>
      </c>
      <c r="AW4772">
        <v>92</v>
      </c>
      <c r="AX4772">
        <v>0.21</v>
      </c>
      <c r="AY4772">
        <v>96</v>
      </c>
      <c r="AZ4772">
        <v>6.89</v>
      </c>
      <c r="BA4772">
        <v>74</v>
      </c>
      <c r="BB4772">
        <v>6.73</v>
      </c>
      <c r="BC4772">
        <v>87</v>
      </c>
      <c r="BD4772">
        <v>-0.01</v>
      </c>
      <c r="BE4772">
        <v>7.0000000000000007E-2</v>
      </c>
      <c r="BF4772">
        <v>0.09</v>
      </c>
      <c r="BG4772">
        <v>98</v>
      </c>
      <c r="BH4772">
        <v>0.1</v>
      </c>
      <c r="BI4772">
        <v>9.61</v>
      </c>
      <c r="BJ4772">
        <v>315</v>
      </c>
      <c r="BK4772">
        <v>137</v>
      </c>
      <c r="BL4772">
        <v>0.91</v>
      </c>
      <c r="BM4772">
        <v>1.33</v>
      </c>
      <c r="BN4772">
        <v>2.38</v>
      </c>
      <c r="BO4772">
        <v>0.96</v>
      </c>
      <c r="BP4772">
        <v>-0.63</v>
      </c>
      <c r="BQ4772">
        <v>0.64</v>
      </c>
      <c r="BR4772">
        <v>7.0000000000000007E-2</v>
      </c>
      <c r="BS4772">
        <v>1.45</v>
      </c>
      <c r="BT4772">
        <v>0.63</v>
      </c>
      <c r="BU4772">
        <v>-0.48</v>
      </c>
      <c r="BV4772">
        <v>1.36</v>
      </c>
      <c r="BW4772">
        <v>1.94</v>
      </c>
      <c r="BX4772">
        <v>-1.02</v>
      </c>
      <c r="BY4772">
        <v>1.04</v>
      </c>
      <c r="BZ4772">
        <v>0.25</v>
      </c>
      <c r="CA4772">
        <v>1.89</v>
      </c>
      <c r="CB4772">
        <v>1.23</v>
      </c>
      <c r="CC4772">
        <v>2.62</v>
      </c>
      <c r="CD4772">
        <v>-0.44</v>
      </c>
      <c r="CE4772">
        <v>1.0900000000000001</v>
      </c>
      <c r="CF4772">
        <v>1.84</v>
      </c>
      <c r="CG4772">
        <v>0</v>
      </c>
      <c r="CH4772">
        <v>1.42</v>
      </c>
      <c r="CI4772">
        <v>0</v>
      </c>
      <c r="CJ4772">
        <v>-2.8</v>
      </c>
      <c r="CK4772">
        <v>95</v>
      </c>
      <c r="CL4772">
        <v>-0.48</v>
      </c>
      <c r="CM4772">
        <v>94</v>
      </c>
      <c r="CN4772">
        <v>-0.53</v>
      </c>
      <c r="CO4772">
        <v>93</v>
      </c>
      <c r="CP4772">
        <v>-2.8</v>
      </c>
      <c r="CQ4772">
        <v>97</v>
      </c>
      <c r="CR4772">
        <v>0</v>
      </c>
      <c r="CS4772">
        <v>0</v>
      </c>
      <c r="CT4772">
        <v>9.9</v>
      </c>
      <c r="CU4772">
        <v>95</v>
      </c>
      <c r="CV4772">
        <v>0.06</v>
      </c>
      <c r="CW4772">
        <v>28</v>
      </c>
      <c r="CX4772" t="s">
        <v>617</v>
      </c>
    </row>
    <row r="4773" spans="1:102" x14ac:dyDescent="0.3">
      <c r="A4773" t="str">
        <f>HYPERLINK("https://webapp.icbf.com/v2/app/bull-search/view/77853157","TNC")</f>
        <v>TNC</v>
      </c>
      <c r="B4773" t="s">
        <v>10709</v>
      </c>
      <c r="C4773" t="s">
        <v>10710</v>
      </c>
      <c r="D4773" s="1">
        <v>33970</v>
      </c>
      <c r="E4773" t="s">
        <v>92</v>
      </c>
      <c r="F4773">
        <v>100</v>
      </c>
      <c r="G4773" t="s">
        <v>93</v>
      </c>
      <c r="H4773">
        <v>-177.66</v>
      </c>
      <c r="I4773">
        <v>93</v>
      </c>
      <c r="J4773">
        <v>-10.210000000000001</v>
      </c>
      <c r="K4773">
        <v>99</v>
      </c>
      <c r="L4773">
        <v>-142.83000000000001</v>
      </c>
      <c r="M4773">
        <v>90</v>
      </c>
      <c r="N4773">
        <v>-19.57</v>
      </c>
      <c r="O4773">
        <v>92</v>
      </c>
      <c r="P4773">
        <v>-6.61</v>
      </c>
      <c r="Q4773">
        <v>97</v>
      </c>
      <c r="R4773">
        <v>-7.36</v>
      </c>
      <c r="S4773">
        <v>82</v>
      </c>
      <c r="T4773">
        <v>5.32</v>
      </c>
      <c r="U4773">
        <v>95</v>
      </c>
      <c r="V4773">
        <v>3.6</v>
      </c>
      <c r="W4773">
        <v>71</v>
      </c>
      <c r="X4773" t="s">
        <v>131</v>
      </c>
      <c r="Y4773" t="s">
        <v>95</v>
      </c>
      <c r="Z4773" t="s">
        <v>96</v>
      </c>
      <c r="AA4773" t="s">
        <v>561</v>
      </c>
      <c r="AB4773" t="s">
        <v>3461</v>
      </c>
      <c r="AC4773">
        <v>333</v>
      </c>
      <c r="AD4773">
        <v>167</v>
      </c>
      <c r="AE4773">
        <v>99</v>
      </c>
      <c r="AF4773">
        <v>159.71</v>
      </c>
      <c r="AG4773">
        <v>-2.52</v>
      </c>
      <c r="AH4773">
        <v>1.6</v>
      </c>
      <c r="AI4773">
        <v>-0.14000000000000001</v>
      </c>
      <c r="AJ4773">
        <v>-0.06</v>
      </c>
      <c r="AK4773">
        <v>90</v>
      </c>
      <c r="AL4773">
        <v>302</v>
      </c>
      <c r="AM4773">
        <v>140</v>
      </c>
      <c r="AN4773">
        <v>7.81</v>
      </c>
      <c r="AO4773">
        <v>-3.58</v>
      </c>
      <c r="AP4773">
        <v>412</v>
      </c>
      <c r="AQ4773">
        <v>0</v>
      </c>
      <c r="AR4773">
        <v>11.44</v>
      </c>
      <c r="AS4773">
        <v>87</v>
      </c>
      <c r="AT4773">
        <v>4.88</v>
      </c>
      <c r="AU4773">
        <v>93</v>
      </c>
      <c r="AV4773">
        <v>-1.1299999999999999</v>
      </c>
      <c r="AW4773">
        <v>97</v>
      </c>
      <c r="AX4773">
        <v>0.83</v>
      </c>
      <c r="AY4773">
        <v>93</v>
      </c>
      <c r="AZ4773">
        <v>5.23</v>
      </c>
      <c r="BA4773">
        <v>79</v>
      </c>
      <c r="BB4773">
        <v>4.37</v>
      </c>
      <c r="BC4773">
        <v>79</v>
      </c>
      <c r="BD4773">
        <v>0.02</v>
      </c>
      <c r="BE4773">
        <v>0.04</v>
      </c>
      <c r="BF4773">
        <v>0.06</v>
      </c>
      <c r="BG4773">
        <v>94</v>
      </c>
      <c r="BH4773">
        <v>0.18</v>
      </c>
      <c r="BI4773">
        <v>9.1999999999999993</v>
      </c>
      <c r="BJ4773">
        <v>82</v>
      </c>
      <c r="BK4773">
        <v>35</v>
      </c>
      <c r="BL4773">
        <v>1.1000000000000001</v>
      </c>
      <c r="BM4773">
        <v>-0.28999999999999998</v>
      </c>
      <c r="BN4773">
        <v>1.34</v>
      </c>
      <c r="BO4773">
        <v>1.05</v>
      </c>
      <c r="BP4773">
        <v>-1.1399999999999999</v>
      </c>
      <c r="BQ4773">
        <v>-0.04</v>
      </c>
      <c r="BR4773">
        <v>-0.64</v>
      </c>
      <c r="BS4773">
        <v>0.7</v>
      </c>
      <c r="BT4773">
        <v>1.01</v>
      </c>
      <c r="BU4773">
        <v>-0.46</v>
      </c>
      <c r="BV4773">
        <v>0.28999999999999998</v>
      </c>
      <c r="BW4773">
        <v>0.75</v>
      </c>
      <c r="BX4773">
        <v>-0.46</v>
      </c>
      <c r="BY4773">
        <v>-0.04</v>
      </c>
      <c r="BZ4773">
        <v>0.59</v>
      </c>
      <c r="CA4773">
        <v>0.46</v>
      </c>
      <c r="CB4773">
        <v>0.32</v>
      </c>
      <c r="CC4773">
        <v>0.63</v>
      </c>
      <c r="CD4773">
        <v>-1.07</v>
      </c>
      <c r="CE4773">
        <v>0.8</v>
      </c>
      <c r="CF4773">
        <v>0.16</v>
      </c>
      <c r="CG4773">
        <v>0</v>
      </c>
      <c r="CH4773">
        <v>1.0900000000000001</v>
      </c>
      <c r="CI4773">
        <v>0</v>
      </c>
      <c r="CJ4773">
        <v>-3.4</v>
      </c>
      <c r="CK4773">
        <v>97</v>
      </c>
      <c r="CL4773">
        <v>-0.88</v>
      </c>
      <c r="CM4773">
        <v>97</v>
      </c>
      <c r="CN4773">
        <v>-0.53</v>
      </c>
      <c r="CO4773">
        <v>96</v>
      </c>
      <c r="CP4773">
        <v>6.4</v>
      </c>
      <c r="CQ4773">
        <v>97</v>
      </c>
      <c r="CR4773">
        <v>0</v>
      </c>
      <c r="CS4773">
        <v>0</v>
      </c>
      <c r="CT4773">
        <v>6.6</v>
      </c>
      <c r="CU4773">
        <v>95</v>
      </c>
      <c r="CV4773">
        <v>0.17</v>
      </c>
      <c r="CW4773">
        <v>28</v>
      </c>
      <c r="CX4773" t="s">
        <v>111</v>
      </c>
    </row>
    <row r="4774" spans="1:102" x14ac:dyDescent="0.3">
      <c r="A4774" t="str">
        <f>HYPERLINK("https://webapp.icbf.com/v2/app/bull-search/view/77855758","LKP")</f>
        <v>LKP</v>
      </c>
      <c r="B4774" t="s">
        <v>10622</v>
      </c>
      <c r="C4774" t="s">
        <v>10623</v>
      </c>
      <c r="D4774" s="1">
        <v>32540</v>
      </c>
      <c r="E4774" t="s">
        <v>92</v>
      </c>
      <c r="F4774">
        <v>63</v>
      </c>
      <c r="G4774" t="s">
        <v>93</v>
      </c>
      <c r="H4774">
        <v>-177.91</v>
      </c>
      <c r="I4774">
        <v>78</v>
      </c>
      <c r="J4774">
        <v>-36.78</v>
      </c>
      <c r="K4774">
        <v>92</v>
      </c>
      <c r="L4774">
        <v>-102.64</v>
      </c>
      <c r="M4774">
        <v>74</v>
      </c>
      <c r="N4774">
        <v>-14.16</v>
      </c>
      <c r="O4774">
        <v>61</v>
      </c>
      <c r="P4774">
        <v>-11.95</v>
      </c>
      <c r="Q4774">
        <v>79</v>
      </c>
      <c r="R4774">
        <v>-20.25</v>
      </c>
      <c r="S4774">
        <v>72</v>
      </c>
      <c r="T4774">
        <v>9.83</v>
      </c>
      <c r="U4774">
        <v>72</v>
      </c>
      <c r="V4774">
        <v>-1.96</v>
      </c>
      <c r="W4774">
        <v>47</v>
      </c>
      <c r="X4774" t="s">
        <v>94</v>
      </c>
      <c r="Y4774" t="s">
        <v>95</v>
      </c>
      <c r="Z4774" t="s">
        <v>96</v>
      </c>
      <c r="AA4774" t="s">
        <v>163</v>
      </c>
      <c r="AB4774" t="s">
        <v>10624</v>
      </c>
      <c r="AC4774">
        <v>50</v>
      </c>
      <c r="AD4774">
        <v>41</v>
      </c>
      <c r="AE4774">
        <v>92</v>
      </c>
      <c r="AF4774">
        <v>-30.15</v>
      </c>
      <c r="AG4774">
        <v>-4.12</v>
      </c>
      <c r="AH4774">
        <v>-5.26</v>
      </c>
      <c r="AI4774">
        <v>-0.05</v>
      </c>
      <c r="AJ4774">
        <v>-7.0000000000000007E-2</v>
      </c>
      <c r="AK4774">
        <v>74</v>
      </c>
      <c r="AL4774">
        <v>144</v>
      </c>
      <c r="AM4774">
        <v>80</v>
      </c>
      <c r="AN4774">
        <v>6.03</v>
      </c>
      <c r="AO4774">
        <v>-2.15</v>
      </c>
      <c r="AP4774">
        <v>2</v>
      </c>
      <c r="AQ4774">
        <v>0</v>
      </c>
      <c r="AR4774">
        <v>9.0399999999999991</v>
      </c>
      <c r="AS4774">
        <v>44</v>
      </c>
      <c r="AT4774">
        <v>2.81</v>
      </c>
      <c r="AU4774">
        <v>64</v>
      </c>
      <c r="AV4774">
        <v>0.75</v>
      </c>
      <c r="AW4774">
        <v>64</v>
      </c>
      <c r="AX4774">
        <v>-0.06</v>
      </c>
      <c r="AY4774">
        <v>74</v>
      </c>
      <c r="AZ4774">
        <v>7.77</v>
      </c>
      <c r="BA4774">
        <v>36</v>
      </c>
      <c r="BB4774">
        <v>5.98</v>
      </c>
      <c r="BC4774">
        <v>52</v>
      </c>
      <c r="BD4774">
        <v>7.0000000000000007E-2</v>
      </c>
      <c r="BE4774">
        <v>0.11</v>
      </c>
      <c r="BF4774">
        <v>0.14000000000000001</v>
      </c>
      <c r="BG4774">
        <v>90</v>
      </c>
      <c r="BH4774">
        <v>0.03</v>
      </c>
      <c r="BI4774">
        <v>9.8000000000000007</v>
      </c>
      <c r="BJ4774">
        <v>24</v>
      </c>
      <c r="BK4774">
        <v>15</v>
      </c>
      <c r="BL4774">
        <v>-1.84</v>
      </c>
      <c r="BM4774">
        <v>1.34</v>
      </c>
      <c r="BN4774">
        <v>0.01</v>
      </c>
      <c r="BO4774">
        <v>-1.43</v>
      </c>
      <c r="BP4774">
        <v>-0.62</v>
      </c>
      <c r="BQ4774">
        <v>-1.21</v>
      </c>
      <c r="BR4774">
        <v>1.89</v>
      </c>
      <c r="BS4774">
        <v>-1.1499999999999999</v>
      </c>
      <c r="BT4774">
        <v>-2.99</v>
      </c>
      <c r="BU4774">
        <v>-2.72</v>
      </c>
      <c r="BV4774">
        <v>-1.1399999999999999</v>
      </c>
      <c r="BW4774">
        <v>-2.08</v>
      </c>
      <c r="BX4774">
        <v>-4.62</v>
      </c>
      <c r="BY4774">
        <v>-2.19</v>
      </c>
      <c r="BZ4774">
        <v>2.82</v>
      </c>
      <c r="CA4774">
        <v>-2.4900000000000002</v>
      </c>
      <c r="CB4774">
        <v>-2.1800000000000002</v>
      </c>
      <c r="CC4774">
        <v>-2.4300000000000002</v>
      </c>
      <c r="CD4774">
        <v>1.17</v>
      </c>
      <c r="CE4774">
        <v>-1.27</v>
      </c>
      <c r="CF4774">
        <v>-1.44</v>
      </c>
      <c r="CG4774">
        <v>0</v>
      </c>
      <c r="CH4774">
        <v>-2.46</v>
      </c>
      <c r="CI4774">
        <v>0</v>
      </c>
      <c r="CJ4774">
        <v>-4</v>
      </c>
      <c r="CK4774">
        <v>80</v>
      </c>
      <c r="CL4774">
        <v>-0.31</v>
      </c>
      <c r="CM4774">
        <v>77</v>
      </c>
      <c r="CN4774">
        <v>0.2</v>
      </c>
      <c r="CO4774">
        <v>75</v>
      </c>
      <c r="CP4774">
        <v>-5.9</v>
      </c>
      <c r="CQ4774">
        <v>85</v>
      </c>
      <c r="CR4774">
        <v>0</v>
      </c>
      <c r="CS4774">
        <v>0</v>
      </c>
      <c r="CT4774">
        <v>0.5</v>
      </c>
      <c r="CU4774">
        <v>72</v>
      </c>
      <c r="CV4774">
        <v>0</v>
      </c>
      <c r="CW4774">
        <v>41</v>
      </c>
      <c r="CX4774" t="s">
        <v>10625</v>
      </c>
    </row>
    <row r="4775" spans="1:102" x14ac:dyDescent="0.3">
      <c r="A4775" t="str">
        <f>HYPERLINK("https://webapp.icbf.com/v2/app/bull-search/view/437085289","S416")</f>
        <v>S416</v>
      </c>
      <c r="B4775" t="s">
        <v>14436</v>
      </c>
      <c r="C4775" t="s">
        <v>14437</v>
      </c>
      <c r="D4775" s="1">
        <v>36732</v>
      </c>
      <c r="E4775" t="s">
        <v>92</v>
      </c>
      <c r="F4775">
        <v>100</v>
      </c>
      <c r="G4775" t="s">
        <v>109</v>
      </c>
      <c r="H4775">
        <v>-178.05</v>
      </c>
      <c r="I4775">
        <v>85</v>
      </c>
      <c r="J4775">
        <v>-0.24</v>
      </c>
      <c r="K4775">
        <v>93</v>
      </c>
      <c r="L4775">
        <v>-159.37</v>
      </c>
      <c r="M4775">
        <v>86</v>
      </c>
      <c r="N4775">
        <v>-9.42</v>
      </c>
      <c r="O4775">
        <v>74</v>
      </c>
      <c r="P4775">
        <v>4.84</v>
      </c>
      <c r="Q4775">
        <v>84</v>
      </c>
      <c r="R4775">
        <v>-5.77</v>
      </c>
      <c r="S4775">
        <v>77</v>
      </c>
      <c r="T4775">
        <v>-5.41</v>
      </c>
      <c r="U4775">
        <v>78</v>
      </c>
      <c r="V4775">
        <v>-2.68</v>
      </c>
      <c r="W4775">
        <v>63</v>
      </c>
      <c r="X4775" t="s">
        <v>102</v>
      </c>
      <c r="Y4775" t="s">
        <v>95</v>
      </c>
      <c r="Z4775" t="s">
        <v>96</v>
      </c>
      <c r="AA4775" t="s">
        <v>1876</v>
      </c>
      <c r="AB4775" t="s">
        <v>14438</v>
      </c>
      <c r="AC4775">
        <v>0</v>
      </c>
      <c r="AD4775">
        <v>0</v>
      </c>
      <c r="AE4775">
        <v>93</v>
      </c>
      <c r="AF4775">
        <v>156.47</v>
      </c>
      <c r="AG4775">
        <v>-1.74</v>
      </c>
      <c r="AH4775">
        <v>2.97</v>
      </c>
      <c r="AI4775">
        <v>-0.13</v>
      </c>
      <c r="AJ4775">
        <v>-0.04</v>
      </c>
      <c r="AK4775">
        <v>86</v>
      </c>
      <c r="AL4775">
        <v>0</v>
      </c>
      <c r="AM4775">
        <v>0</v>
      </c>
      <c r="AN4775">
        <v>10.19</v>
      </c>
      <c r="AO4775">
        <v>-2.5</v>
      </c>
      <c r="AP4775">
        <v>22</v>
      </c>
      <c r="AQ4775">
        <v>0</v>
      </c>
      <c r="AR4775">
        <v>8.73</v>
      </c>
      <c r="AS4775">
        <v>65</v>
      </c>
      <c r="AT4775">
        <v>4.5599999999999996</v>
      </c>
      <c r="AU4775">
        <v>96</v>
      </c>
      <c r="AV4775">
        <v>-1.1399999999999999</v>
      </c>
      <c r="AW4775">
        <v>75</v>
      </c>
      <c r="AX4775">
        <v>-0.84</v>
      </c>
      <c r="AY4775">
        <v>64</v>
      </c>
      <c r="AZ4775">
        <v>6.97</v>
      </c>
      <c r="BA4775">
        <v>51</v>
      </c>
      <c r="BB4775">
        <v>5.43</v>
      </c>
      <c r="BC4775">
        <v>51</v>
      </c>
      <c r="BD4775">
        <v>7.0000000000000007E-2</v>
      </c>
      <c r="BE4775">
        <v>0.04</v>
      </c>
      <c r="BF4775">
        <v>-0.06</v>
      </c>
      <c r="BG4775">
        <v>92</v>
      </c>
      <c r="BH4775">
        <v>-0.06</v>
      </c>
      <c r="BI4775">
        <v>1.7</v>
      </c>
      <c r="BJ4775">
        <v>18</v>
      </c>
      <c r="BK4775">
        <v>12</v>
      </c>
      <c r="BL4775">
        <v>0.67</v>
      </c>
      <c r="BM4775">
        <v>-1.29</v>
      </c>
      <c r="BN4775">
        <v>0.69</v>
      </c>
      <c r="BO4775">
        <v>1.18</v>
      </c>
      <c r="BP4775">
        <v>0.48</v>
      </c>
      <c r="BQ4775">
        <v>1.1200000000000001</v>
      </c>
      <c r="BR4775">
        <v>-0.14000000000000001</v>
      </c>
      <c r="BS4775">
        <v>0.79</v>
      </c>
      <c r="BT4775">
        <v>0.53</v>
      </c>
      <c r="BU4775">
        <v>1.02</v>
      </c>
      <c r="BV4775">
        <v>0.31</v>
      </c>
      <c r="BW4775">
        <v>0.17</v>
      </c>
      <c r="BX4775">
        <v>0.5</v>
      </c>
      <c r="BY4775">
        <v>1.19</v>
      </c>
      <c r="BZ4775">
        <v>-0.69</v>
      </c>
      <c r="CA4775">
        <v>0.98</v>
      </c>
      <c r="CB4775">
        <v>0.78</v>
      </c>
      <c r="CC4775">
        <v>0.84</v>
      </c>
      <c r="CD4775">
        <v>-1.73</v>
      </c>
      <c r="CE4775">
        <v>1.1100000000000001</v>
      </c>
      <c r="CF4775">
        <v>0.84</v>
      </c>
      <c r="CG4775">
        <v>0</v>
      </c>
      <c r="CH4775">
        <v>1.4</v>
      </c>
      <c r="CI4775">
        <v>0</v>
      </c>
      <c r="CJ4775">
        <v>3.2</v>
      </c>
      <c r="CK4775">
        <v>85</v>
      </c>
      <c r="CL4775">
        <v>-0.8</v>
      </c>
      <c r="CM4775">
        <v>83</v>
      </c>
      <c r="CN4775">
        <v>-0.65</v>
      </c>
      <c r="CO4775">
        <v>81</v>
      </c>
      <c r="CP4775">
        <v>7.1</v>
      </c>
      <c r="CQ4775">
        <v>79</v>
      </c>
      <c r="CR4775">
        <v>0</v>
      </c>
      <c r="CS4775">
        <v>0</v>
      </c>
      <c r="CT4775">
        <v>21.1</v>
      </c>
      <c r="CU4775">
        <v>78</v>
      </c>
      <c r="CV4775">
        <v>0.12</v>
      </c>
      <c r="CW4775">
        <v>42</v>
      </c>
      <c r="CX4775" t="s">
        <v>1077</v>
      </c>
    </row>
    <row r="4776" spans="1:102" x14ac:dyDescent="0.3">
      <c r="A4776" t="str">
        <f>HYPERLINK("https://webapp.icbf.com/v2/app/bull-search/view/77859418","AVM")</f>
        <v>AVM</v>
      </c>
      <c r="B4776" t="s">
        <v>8623</v>
      </c>
      <c r="C4776" t="s">
        <v>8624</v>
      </c>
      <c r="D4776" s="1">
        <v>35143</v>
      </c>
      <c r="E4776" t="s">
        <v>92</v>
      </c>
      <c r="F4776">
        <v>100</v>
      </c>
      <c r="G4776" t="s">
        <v>93</v>
      </c>
      <c r="H4776">
        <v>-178.21</v>
      </c>
      <c r="I4776">
        <v>84</v>
      </c>
      <c r="J4776">
        <v>4.41</v>
      </c>
      <c r="K4776">
        <v>96</v>
      </c>
      <c r="L4776">
        <v>-179.1</v>
      </c>
      <c r="M4776">
        <v>80</v>
      </c>
      <c r="N4776">
        <v>0.78</v>
      </c>
      <c r="O4776">
        <v>74</v>
      </c>
      <c r="P4776">
        <v>-3.34</v>
      </c>
      <c r="Q4776">
        <v>83</v>
      </c>
      <c r="R4776">
        <v>-9.99</v>
      </c>
      <c r="S4776">
        <v>79</v>
      </c>
      <c r="T4776">
        <v>8.1300000000000008</v>
      </c>
      <c r="U4776">
        <v>81</v>
      </c>
      <c r="V4776">
        <v>0.9</v>
      </c>
      <c r="W4776">
        <v>66</v>
      </c>
      <c r="X4776" t="s">
        <v>94</v>
      </c>
      <c r="Y4776" t="s">
        <v>95</v>
      </c>
      <c r="Z4776" t="s">
        <v>96</v>
      </c>
      <c r="AA4776" t="s">
        <v>860</v>
      </c>
      <c r="AB4776" t="s">
        <v>4888</v>
      </c>
      <c r="AC4776">
        <v>82</v>
      </c>
      <c r="AD4776">
        <v>75</v>
      </c>
      <c r="AE4776">
        <v>96</v>
      </c>
      <c r="AF4776">
        <v>279.08999999999997</v>
      </c>
      <c r="AG4776">
        <v>-0.25</v>
      </c>
      <c r="AH4776">
        <v>5.1100000000000003</v>
      </c>
      <c r="AI4776">
        <v>-0.19</v>
      </c>
      <c r="AJ4776">
        <v>-7.0000000000000007E-2</v>
      </c>
      <c r="AK4776">
        <v>80</v>
      </c>
      <c r="AL4776">
        <v>89</v>
      </c>
      <c r="AM4776">
        <v>78</v>
      </c>
      <c r="AN4776">
        <v>10.02</v>
      </c>
      <c r="AO4776">
        <v>-4.26</v>
      </c>
      <c r="AP4776">
        <v>2</v>
      </c>
      <c r="AQ4776">
        <v>0</v>
      </c>
      <c r="AR4776">
        <v>8.18</v>
      </c>
      <c r="AS4776">
        <v>59</v>
      </c>
      <c r="AT4776">
        <v>3.73</v>
      </c>
      <c r="AU4776">
        <v>79</v>
      </c>
      <c r="AV4776">
        <v>-0.85</v>
      </c>
      <c r="AW4776">
        <v>76</v>
      </c>
      <c r="AX4776">
        <v>-0.49</v>
      </c>
      <c r="AY4776">
        <v>79</v>
      </c>
      <c r="AZ4776">
        <v>7.35</v>
      </c>
      <c r="BA4776">
        <v>54</v>
      </c>
      <c r="BB4776">
        <v>4.74</v>
      </c>
      <c r="BC4776">
        <v>68</v>
      </c>
      <c r="BD4776">
        <v>0.04</v>
      </c>
      <c r="BE4776">
        <v>7.0000000000000007E-2</v>
      </c>
      <c r="BF4776">
        <v>0.03</v>
      </c>
      <c r="BG4776">
        <v>90</v>
      </c>
      <c r="BH4776">
        <v>-0.04</v>
      </c>
      <c r="BI4776">
        <v>-7.53</v>
      </c>
      <c r="BJ4776">
        <v>12</v>
      </c>
      <c r="BK4776">
        <v>8</v>
      </c>
      <c r="BL4776">
        <v>0.19</v>
      </c>
      <c r="BM4776">
        <v>-2</v>
      </c>
      <c r="BN4776">
        <v>-1.1100000000000001</v>
      </c>
      <c r="BO4776">
        <v>0.24</v>
      </c>
      <c r="BP4776">
        <v>1.04</v>
      </c>
      <c r="BQ4776">
        <v>-1.97</v>
      </c>
      <c r="BR4776">
        <v>0.09</v>
      </c>
      <c r="BS4776">
        <v>-2.42</v>
      </c>
      <c r="BT4776">
        <v>-0.18</v>
      </c>
      <c r="BU4776">
        <v>-0.18</v>
      </c>
      <c r="BV4776">
        <v>-0.56000000000000005</v>
      </c>
      <c r="BW4776">
        <v>-0.25</v>
      </c>
      <c r="BX4776">
        <v>0.84</v>
      </c>
      <c r="BY4776">
        <v>1.58</v>
      </c>
      <c r="BZ4776">
        <v>-0.15</v>
      </c>
      <c r="CA4776">
        <v>-0.88</v>
      </c>
      <c r="CB4776">
        <v>-0.03</v>
      </c>
      <c r="CC4776">
        <v>-2.0099999999999998</v>
      </c>
      <c r="CD4776">
        <v>-1.2</v>
      </c>
      <c r="CE4776">
        <v>-0.22</v>
      </c>
      <c r="CF4776">
        <v>-1.31</v>
      </c>
      <c r="CG4776">
        <v>0</v>
      </c>
      <c r="CH4776">
        <v>1.54</v>
      </c>
      <c r="CI4776">
        <v>0</v>
      </c>
      <c r="CJ4776">
        <v>-1</v>
      </c>
      <c r="CK4776">
        <v>84</v>
      </c>
      <c r="CL4776">
        <v>-0.45</v>
      </c>
      <c r="CM4776">
        <v>82</v>
      </c>
      <c r="CN4776">
        <v>-0.22</v>
      </c>
      <c r="CO4776">
        <v>79</v>
      </c>
      <c r="CP4776">
        <v>0.7</v>
      </c>
      <c r="CQ4776">
        <v>88</v>
      </c>
      <c r="CR4776">
        <v>0</v>
      </c>
      <c r="CS4776">
        <v>0</v>
      </c>
      <c r="CT4776">
        <v>2.8</v>
      </c>
      <c r="CU4776">
        <v>81</v>
      </c>
      <c r="CV4776">
        <v>0.03</v>
      </c>
      <c r="CW4776">
        <v>42</v>
      </c>
      <c r="CX4776" t="s">
        <v>564</v>
      </c>
    </row>
    <row r="4777" spans="1:102" x14ac:dyDescent="0.3">
      <c r="A4777" t="str">
        <f>HYPERLINK("https://webapp.icbf.com/v2/app/bull-search/view/77857666","GMC")</f>
        <v>GMC</v>
      </c>
      <c r="B4777" t="s">
        <v>10646</v>
      </c>
      <c r="C4777" t="s">
        <v>10647</v>
      </c>
      <c r="D4777" s="1">
        <v>33781</v>
      </c>
      <c r="E4777" t="s">
        <v>92</v>
      </c>
      <c r="F4777">
        <v>100</v>
      </c>
      <c r="G4777" t="s">
        <v>109</v>
      </c>
      <c r="H4777">
        <v>-178.23</v>
      </c>
      <c r="I4777">
        <v>67</v>
      </c>
      <c r="J4777">
        <v>-39.64</v>
      </c>
      <c r="K4777">
        <v>74</v>
      </c>
      <c r="L4777">
        <v>-106.83</v>
      </c>
      <c r="M4777">
        <v>73</v>
      </c>
      <c r="N4777">
        <v>-19.010000000000002</v>
      </c>
      <c r="O4777">
        <v>50</v>
      </c>
      <c r="P4777">
        <v>-3.84</v>
      </c>
      <c r="Q4777">
        <v>56</v>
      </c>
      <c r="R4777">
        <v>-12.84</v>
      </c>
      <c r="S4777">
        <v>62</v>
      </c>
      <c r="T4777">
        <v>4.13</v>
      </c>
      <c r="U4777">
        <v>69</v>
      </c>
      <c r="V4777">
        <v>-0.2</v>
      </c>
      <c r="W4777">
        <v>30</v>
      </c>
      <c r="X4777" t="s">
        <v>94</v>
      </c>
      <c r="Y4777" t="s">
        <v>95</v>
      </c>
      <c r="Z4777" t="s">
        <v>96</v>
      </c>
      <c r="AA4777" t="s">
        <v>118</v>
      </c>
      <c r="AB4777" t="s">
        <v>2551</v>
      </c>
      <c r="AC4777">
        <v>0</v>
      </c>
      <c r="AD4777">
        <v>0</v>
      </c>
      <c r="AE4777">
        <v>74</v>
      </c>
      <c r="AF4777">
        <v>61.4</v>
      </c>
      <c r="AG4777">
        <v>-7.07</v>
      </c>
      <c r="AH4777">
        <v>-3.3</v>
      </c>
      <c r="AI4777">
        <v>-0.16</v>
      </c>
      <c r="AJ4777">
        <v>-0.09</v>
      </c>
      <c r="AK4777">
        <v>73</v>
      </c>
      <c r="AL4777">
        <v>0</v>
      </c>
      <c r="AM4777">
        <v>0</v>
      </c>
      <c r="AN4777">
        <v>5.01</v>
      </c>
      <c r="AO4777">
        <v>-3.52</v>
      </c>
      <c r="AP4777">
        <v>8</v>
      </c>
      <c r="AQ4777">
        <v>1</v>
      </c>
      <c r="AR4777">
        <v>10.79</v>
      </c>
      <c r="AS4777">
        <v>34</v>
      </c>
      <c r="AT4777">
        <v>4.7</v>
      </c>
      <c r="AU4777">
        <v>58</v>
      </c>
      <c r="AV4777">
        <v>-0.57999999999999996</v>
      </c>
      <c r="AW4777">
        <v>53</v>
      </c>
      <c r="AX4777">
        <v>-0.84</v>
      </c>
      <c r="AY4777">
        <v>52</v>
      </c>
      <c r="AZ4777">
        <v>6.66</v>
      </c>
      <c r="BA4777">
        <v>34</v>
      </c>
      <c r="BB4777">
        <v>4.8099999999999996</v>
      </c>
      <c r="BC4777">
        <v>37</v>
      </c>
      <c r="BD4777">
        <v>0.05</v>
      </c>
      <c r="BE4777">
        <v>0.08</v>
      </c>
      <c r="BF4777">
        <v>0.06</v>
      </c>
      <c r="BG4777">
        <v>85</v>
      </c>
      <c r="BH4777">
        <v>0</v>
      </c>
      <c r="BI4777">
        <v>0.66</v>
      </c>
      <c r="BJ4777">
        <v>1</v>
      </c>
      <c r="BK4777">
        <v>1</v>
      </c>
      <c r="BL4777">
        <v>1.87</v>
      </c>
      <c r="BM4777">
        <v>1.21</v>
      </c>
      <c r="BN4777">
        <v>2.08</v>
      </c>
      <c r="BO4777">
        <v>0.78</v>
      </c>
      <c r="BP4777">
        <v>2.39</v>
      </c>
      <c r="BQ4777">
        <v>1.75</v>
      </c>
      <c r="BR4777">
        <v>-1.02</v>
      </c>
      <c r="BS4777">
        <v>-0.55000000000000004</v>
      </c>
      <c r="BT4777">
        <v>1.55</v>
      </c>
      <c r="BU4777">
        <v>0.76</v>
      </c>
      <c r="BV4777">
        <v>0.13</v>
      </c>
      <c r="BW4777">
        <v>2.02</v>
      </c>
      <c r="BX4777">
        <v>1.18</v>
      </c>
      <c r="BY4777">
        <v>0.81</v>
      </c>
      <c r="BZ4777">
        <v>-0.26</v>
      </c>
      <c r="CA4777">
        <v>0.46</v>
      </c>
      <c r="CB4777">
        <v>0.77</v>
      </c>
      <c r="CC4777">
        <v>-0.16</v>
      </c>
      <c r="CD4777">
        <v>0.04</v>
      </c>
      <c r="CE4777">
        <v>0.6</v>
      </c>
      <c r="CF4777">
        <v>0.76</v>
      </c>
      <c r="CG4777">
        <v>0</v>
      </c>
      <c r="CH4777">
        <v>0.75</v>
      </c>
      <c r="CI4777">
        <v>0</v>
      </c>
      <c r="CJ4777">
        <v>1.3</v>
      </c>
      <c r="CK4777">
        <v>58</v>
      </c>
      <c r="CL4777">
        <v>-0.61</v>
      </c>
      <c r="CM4777">
        <v>53</v>
      </c>
      <c r="CN4777">
        <v>-0.05</v>
      </c>
      <c r="CO4777">
        <v>49</v>
      </c>
      <c r="CP4777">
        <v>0.5</v>
      </c>
      <c r="CQ4777">
        <v>64</v>
      </c>
      <c r="CR4777">
        <v>0</v>
      </c>
      <c r="CS4777">
        <v>0</v>
      </c>
      <c r="CT4777">
        <v>8.1999999999999993</v>
      </c>
      <c r="CU4777">
        <v>69</v>
      </c>
      <c r="CV4777">
        <v>0.19</v>
      </c>
      <c r="CW4777">
        <v>16</v>
      </c>
      <c r="CX4777" t="s">
        <v>663</v>
      </c>
    </row>
    <row r="4778" spans="1:102" x14ac:dyDescent="0.3">
      <c r="A4778" t="str">
        <f>HYPERLINK("https://webapp.icbf.com/v2/app/bull-search/view/69092839","TWN")</f>
        <v>TWN</v>
      </c>
      <c r="B4778" t="s">
        <v>3236</v>
      </c>
      <c r="C4778" t="s">
        <v>3237</v>
      </c>
      <c r="D4778" s="1">
        <v>32415</v>
      </c>
      <c r="E4778" t="s">
        <v>108</v>
      </c>
      <c r="F4778">
        <v>0</v>
      </c>
      <c r="G4778" t="s">
        <v>109</v>
      </c>
      <c r="H4778">
        <v>-178.87</v>
      </c>
      <c r="I4778">
        <v>66</v>
      </c>
      <c r="J4778">
        <v>7.09</v>
      </c>
      <c r="K4778">
        <v>79</v>
      </c>
      <c r="L4778">
        <v>-121.19</v>
      </c>
      <c r="M4778">
        <v>75</v>
      </c>
      <c r="N4778">
        <v>-61.17</v>
      </c>
      <c r="O4778">
        <v>46</v>
      </c>
      <c r="P4778">
        <v>-10.29</v>
      </c>
      <c r="Q4778">
        <v>50</v>
      </c>
      <c r="R4778">
        <v>-1.71</v>
      </c>
      <c r="S4778">
        <v>59</v>
      </c>
      <c r="T4778">
        <v>9.83</v>
      </c>
      <c r="U4778">
        <v>37</v>
      </c>
      <c r="V4778">
        <v>-1.43</v>
      </c>
      <c r="W4778">
        <v>24</v>
      </c>
      <c r="X4778" t="s">
        <v>110</v>
      </c>
      <c r="Y4778" t="s">
        <v>95</v>
      </c>
      <c r="Z4778" t="s">
        <v>96</v>
      </c>
      <c r="AA4778" t="s">
        <v>166</v>
      </c>
      <c r="AB4778" t="s">
        <v>3238</v>
      </c>
      <c r="AC4778">
        <v>0</v>
      </c>
      <c r="AD4778">
        <v>0</v>
      </c>
      <c r="AE4778">
        <v>79</v>
      </c>
      <c r="AF4778">
        <v>172.56</v>
      </c>
      <c r="AG4778">
        <v>3.78</v>
      </c>
      <c r="AH4778">
        <v>2.5099999999999998</v>
      </c>
      <c r="AI4778">
        <v>-0.05</v>
      </c>
      <c r="AJ4778">
        <v>-0.05</v>
      </c>
      <c r="AK4778">
        <v>75</v>
      </c>
      <c r="AL4778">
        <v>0</v>
      </c>
      <c r="AM4778">
        <v>0</v>
      </c>
      <c r="AN4778">
        <v>7.73</v>
      </c>
      <c r="AO4778">
        <v>-1.92</v>
      </c>
      <c r="AP4778">
        <v>4</v>
      </c>
      <c r="AQ4778">
        <v>1</v>
      </c>
      <c r="AR4778">
        <v>14.65</v>
      </c>
      <c r="AS4778">
        <v>27</v>
      </c>
      <c r="AT4778">
        <v>6.05</v>
      </c>
      <c r="AU4778">
        <v>70</v>
      </c>
      <c r="AV4778">
        <v>0.1</v>
      </c>
      <c r="AW4778">
        <v>46</v>
      </c>
      <c r="AX4778">
        <v>0.37</v>
      </c>
      <c r="AY4778">
        <v>36</v>
      </c>
      <c r="AZ4778">
        <v>5.92</v>
      </c>
      <c r="BA4778">
        <v>25</v>
      </c>
      <c r="BB4778">
        <v>4.88</v>
      </c>
      <c r="BC4778">
        <v>26</v>
      </c>
      <c r="BD4778">
        <v>0.02</v>
      </c>
      <c r="BE4778">
        <v>0.04</v>
      </c>
      <c r="BF4778">
        <v>-7.0000000000000007E-2</v>
      </c>
      <c r="BG4778">
        <v>86</v>
      </c>
      <c r="BH4778">
        <v>0.02</v>
      </c>
      <c r="BI4778">
        <v>6.94</v>
      </c>
      <c r="BJ4778">
        <v>0</v>
      </c>
      <c r="BK4778">
        <v>0</v>
      </c>
      <c r="BL4778">
        <v>-0.37</v>
      </c>
      <c r="BM4778">
        <v>-0.28999999999999998</v>
      </c>
      <c r="BN4778">
        <v>-0.63</v>
      </c>
      <c r="BO4778">
        <v>-0.38</v>
      </c>
      <c r="BP4778">
        <v>0.28999999999999998</v>
      </c>
      <c r="BQ4778">
        <v>-2.65</v>
      </c>
      <c r="BR4778">
        <v>-0.16</v>
      </c>
      <c r="BS4778">
        <v>-1.03</v>
      </c>
      <c r="BT4778">
        <v>0.32</v>
      </c>
      <c r="BU4778">
        <v>-0.36</v>
      </c>
      <c r="BV4778">
        <v>-0.52</v>
      </c>
      <c r="BW4778">
        <v>-1.94</v>
      </c>
      <c r="BX4778">
        <v>-0.08</v>
      </c>
      <c r="BY4778">
        <v>-2.93</v>
      </c>
      <c r="BZ4778">
        <v>-0.18</v>
      </c>
      <c r="CA4778">
        <v>-1.07</v>
      </c>
      <c r="CB4778">
        <v>-0.91</v>
      </c>
      <c r="CC4778">
        <v>-1.07</v>
      </c>
      <c r="CD4778">
        <v>0</v>
      </c>
      <c r="CE4778">
        <v>0</v>
      </c>
      <c r="CF4778">
        <v>0</v>
      </c>
      <c r="CG4778">
        <v>0</v>
      </c>
      <c r="CH4778">
        <v>0</v>
      </c>
      <c r="CI4778">
        <v>0</v>
      </c>
      <c r="CJ4778">
        <v>-2.9</v>
      </c>
      <c r="CK4778">
        <v>52</v>
      </c>
      <c r="CL4778">
        <v>-0.48</v>
      </c>
      <c r="CM4778">
        <v>48</v>
      </c>
      <c r="CN4778">
        <v>0.04</v>
      </c>
      <c r="CO4778">
        <v>45</v>
      </c>
      <c r="CP4778">
        <v>-5.8</v>
      </c>
      <c r="CQ4778">
        <v>46</v>
      </c>
      <c r="CR4778">
        <v>0</v>
      </c>
      <c r="CS4778">
        <v>0</v>
      </c>
      <c r="CT4778">
        <v>0.5</v>
      </c>
      <c r="CU4778">
        <v>37</v>
      </c>
      <c r="CV4778">
        <v>0.12</v>
      </c>
      <c r="CW4778">
        <v>14</v>
      </c>
      <c r="CX4778" t="s">
        <v>163</v>
      </c>
    </row>
    <row r="4779" spans="1:102" x14ac:dyDescent="0.3">
      <c r="A4779" t="str">
        <f>HYPERLINK("https://webapp.icbf.com/v2/app/bull-search/view/77856007","KPZ")</f>
        <v>KPZ</v>
      </c>
      <c r="B4779" t="s">
        <v>3643</v>
      </c>
      <c r="C4779" t="s">
        <v>3644</v>
      </c>
      <c r="D4779" s="1">
        <v>34322</v>
      </c>
      <c r="E4779" t="s">
        <v>92</v>
      </c>
      <c r="F4779">
        <v>100</v>
      </c>
      <c r="G4779" t="s">
        <v>93</v>
      </c>
      <c r="H4779">
        <v>-178.91</v>
      </c>
      <c r="I4779">
        <v>81</v>
      </c>
      <c r="J4779">
        <v>-55.53</v>
      </c>
      <c r="K4779">
        <v>96</v>
      </c>
      <c r="L4779">
        <v>-99.66</v>
      </c>
      <c r="M4779">
        <v>72</v>
      </c>
      <c r="N4779">
        <v>-23.84</v>
      </c>
      <c r="O4779">
        <v>72</v>
      </c>
      <c r="P4779">
        <v>0.21</v>
      </c>
      <c r="Q4779">
        <v>85</v>
      </c>
      <c r="R4779">
        <v>-1.03</v>
      </c>
      <c r="S4779">
        <v>72</v>
      </c>
      <c r="T4779">
        <v>4.28</v>
      </c>
      <c r="U4779">
        <v>80</v>
      </c>
      <c r="V4779">
        <v>-3.34</v>
      </c>
      <c r="W4779">
        <v>46</v>
      </c>
      <c r="X4779" t="s">
        <v>94</v>
      </c>
      <c r="Y4779" t="s">
        <v>95</v>
      </c>
      <c r="Z4779" t="s">
        <v>96</v>
      </c>
      <c r="AA4779" t="s">
        <v>1185</v>
      </c>
      <c r="AB4779" t="s">
        <v>3645</v>
      </c>
      <c r="AC4779">
        <v>127</v>
      </c>
      <c r="AD4779">
        <v>100</v>
      </c>
      <c r="AE4779">
        <v>96</v>
      </c>
      <c r="AF4779">
        <v>-140.22999999999999</v>
      </c>
      <c r="AG4779">
        <v>-5.77</v>
      </c>
      <c r="AH4779">
        <v>-9.5500000000000007</v>
      </c>
      <c r="AI4779">
        <v>0</v>
      </c>
      <c r="AJ4779">
        <v>-0.08</v>
      </c>
      <c r="AK4779">
        <v>72</v>
      </c>
      <c r="AL4779">
        <v>145</v>
      </c>
      <c r="AM4779">
        <v>108</v>
      </c>
      <c r="AN4779">
        <v>6.06</v>
      </c>
      <c r="AO4779">
        <v>-1.88</v>
      </c>
      <c r="AP4779">
        <v>3</v>
      </c>
      <c r="AQ4779">
        <v>0</v>
      </c>
      <c r="AR4779">
        <v>11.31</v>
      </c>
      <c r="AS4779">
        <v>43</v>
      </c>
      <c r="AT4779">
        <v>4.7300000000000004</v>
      </c>
      <c r="AU4779">
        <v>66</v>
      </c>
      <c r="AV4779">
        <v>-0.2</v>
      </c>
      <c r="AW4779">
        <v>82</v>
      </c>
      <c r="AX4779">
        <v>-0.09</v>
      </c>
      <c r="AY4779">
        <v>82</v>
      </c>
      <c r="AZ4779">
        <v>6.05</v>
      </c>
      <c r="BA4779">
        <v>46</v>
      </c>
      <c r="BB4779">
        <v>4.51</v>
      </c>
      <c r="BC4779">
        <v>65</v>
      </c>
      <c r="BD4779">
        <v>0.01</v>
      </c>
      <c r="BE4779">
        <v>0.03</v>
      </c>
      <c r="BF4779">
        <v>-0.05</v>
      </c>
      <c r="BG4779">
        <v>91</v>
      </c>
      <c r="BH4779">
        <v>0.03</v>
      </c>
      <c r="BI4779">
        <v>14.23</v>
      </c>
      <c r="BJ4779">
        <v>33</v>
      </c>
      <c r="BK4779">
        <v>23</v>
      </c>
      <c r="BL4779">
        <v>1.48</v>
      </c>
      <c r="BM4779">
        <v>-0.94</v>
      </c>
      <c r="BN4779">
        <v>-0.13</v>
      </c>
      <c r="BO4779">
        <v>0.45</v>
      </c>
      <c r="BP4779">
        <v>1.1100000000000001</v>
      </c>
      <c r="BQ4779">
        <v>-0.33</v>
      </c>
      <c r="BR4779">
        <v>-1.93</v>
      </c>
      <c r="BS4779">
        <v>2.0099999999999998</v>
      </c>
      <c r="BT4779">
        <v>1.69</v>
      </c>
      <c r="BU4779">
        <v>0.32</v>
      </c>
      <c r="BV4779">
        <v>0.64</v>
      </c>
      <c r="BW4779">
        <v>0.67</v>
      </c>
      <c r="BX4779">
        <v>1.81</v>
      </c>
      <c r="BY4779">
        <v>0.53</v>
      </c>
      <c r="BZ4779">
        <v>-1.66</v>
      </c>
      <c r="CA4779">
        <v>1.05</v>
      </c>
      <c r="CB4779">
        <v>0.45</v>
      </c>
      <c r="CC4779">
        <v>1.6</v>
      </c>
      <c r="CD4779">
        <v>-0.15</v>
      </c>
      <c r="CE4779">
        <v>0.61</v>
      </c>
      <c r="CF4779">
        <v>0.72</v>
      </c>
      <c r="CG4779">
        <v>0</v>
      </c>
      <c r="CH4779">
        <v>0.77</v>
      </c>
      <c r="CI4779">
        <v>0</v>
      </c>
      <c r="CJ4779">
        <v>0.7</v>
      </c>
      <c r="CK4779">
        <v>86</v>
      </c>
      <c r="CL4779">
        <v>-0.56000000000000005</v>
      </c>
      <c r="CM4779">
        <v>84</v>
      </c>
      <c r="CN4779">
        <v>-0.42</v>
      </c>
      <c r="CO4779">
        <v>82</v>
      </c>
      <c r="CP4779">
        <v>0.7</v>
      </c>
      <c r="CQ4779">
        <v>90</v>
      </c>
      <c r="CR4779">
        <v>0</v>
      </c>
      <c r="CS4779">
        <v>0</v>
      </c>
      <c r="CT4779">
        <v>8</v>
      </c>
      <c r="CU4779">
        <v>80</v>
      </c>
      <c r="CV4779">
        <v>0.17</v>
      </c>
      <c r="CW4779">
        <v>24</v>
      </c>
      <c r="CX4779" t="s">
        <v>3580</v>
      </c>
    </row>
    <row r="4780" spans="1:102" x14ac:dyDescent="0.3">
      <c r="A4780" t="str">
        <f>HYPERLINK("https://webapp.icbf.com/v2/app/bull-search/view/77854441","RBV")</f>
        <v>RBV</v>
      </c>
      <c r="B4780" t="s">
        <v>963</v>
      </c>
      <c r="C4780" t="s">
        <v>964</v>
      </c>
      <c r="D4780" s="1">
        <v>31536</v>
      </c>
      <c r="E4780" t="s">
        <v>92</v>
      </c>
      <c r="F4780">
        <v>100</v>
      </c>
      <c r="G4780" t="s">
        <v>109</v>
      </c>
      <c r="H4780">
        <v>-178.97</v>
      </c>
      <c r="I4780">
        <v>60</v>
      </c>
      <c r="J4780">
        <v>-69.09</v>
      </c>
      <c r="K4780">
        <v>77</v>
      </c>
      <c r="L4780">
        <v>-72.69</v>
      </c>
      <c r="M4780">
        <v>70</v>
      </c>
      <c r="N4780">
        <v>-25.36</v>
      </c>
      <c r="O4780">
        <v>39</v>
      </c>
      <c r="P4780">
        <v>2.68</v>
      </c>
      <c r="Q4780">
        <v>34</v>
      </c>
      <c r="R4780">
        <v>-12.74</v>
      </c>
      <c r="S4780">
        <v>53</v>
      </c>
      <c r="T4780">
        <v>0.95</v>
      </c>
      <c r="U4780">
        <v>27</v>
      </c>
      <c r="V4780">
        <v>-2.72</v>
      </c>
      <c r="W4780">
        <v>12</v>
      </c>
      <c r="X4780" t="s">
        <v>110</v>
      </c>
      <c r="Y4780" t="s">
        <v>95</v>
      </c>
      <c r="Z4780" t="s">
        <v>96</v>
      </c>
      <c r="AA4780" t="s">
        <v>965</v>
      </c>
      <c r="AB4780" t="s">
        <v>966</v>
      </c>
      <c r="AC4780">
        <v>0</v>
      </c>
      <c r="AD4780">
        <v>0</v>
      </c>
      <c r="AE4780">
        <v>77</v>
      </c>
      <c r="AF4780">
        <v>-137.25</v>
      </c>
      <c r="AG4780">
        <v>-9.67</v>
      </c>
      <c r="AH4780">
        <v>-10.43</v>
      </c>
      <c r="AI4780">
        <v>-7.0000000000000007E-2</v>
      </c>
      <c r="AJ4780">
        <v>-0.1</v>
      </c>
      <c r="AK4780">
        <v>70</v>
      </c>
      <c r="AL4780">
        <v>0</v>
      </c>
      <c r="AM4780">
        <v>0</v>
      </c>
      <c r="AN4780">
        <v>1.38</v>
      </c>
      <c r="AO4780">
        <v>-4.45</v>
      </c>
      <c r="AP4780">
        <v>25</v>
      </c>
      <c r="AQ4780">
        <v>0</v>
      </c>
      <c r="AR4780">
        <v>11.52</v>
      </c>
      <c r="AS4780">
        <v>18</v>
      </c>
      <c r="AT4780">
        <v>4.9400000000000004</v>
      </c>
      <c r="AU4780">
        <v>81</v>
      </c>
      <c r="AV4780">
        <v>-0.87</v>
      </c>
      <c r="AW4780">
        <v>26</v>
      </c>
      <c r="AX4780">
        <v>-0.69</v>
      </c>
      <c r="AY4780">
        <v>47</v>
      </c>
      <c r="AZ4780">
        <v>6.33</v>
      </c>
      <c r="BA4780">
        <v>13</v>
      </c>
      <c r="BB4780">
        <v>5.44</v>
      </c>
      <c r="BC4780">
        <v>16</v>
      </c>
      <c r="BD4780">
        <v>0.03</v>
      </c>
      <c r="BE4780">
        <v>7.0000000000000007E-2</v>
      </c>
      <c r="BF4780">
        <v>0.11</v>
      </c>
      <c r="BG4780">
        <v>80</v>
      </c>
      <c r="BH4780">
        <v>-0.01</v>
      </c>
      <c r="BI4780">
        <v>7.62</v>
      </c>
      <c r="BJ4780">
        <v>3</v>
      </c>
      <c r="BK4780">
        <v>3</v>
      </c>
      <c r="BL4780">
        <v>1.95</v>
      </c>
      <c r="BM4780">
        <v>3.93</v>
      </c>
      <c r="BN4780">
        <v>2.79</v>
      </c>
      <c r="BO4780">
        <v>-0.44</v>
      </c>
      <c r="BP4780">
        <v>-1.94</v>
      </c>
      <c r="BQ4780">
        <v>2.74</v>
      </c>
      <c r="BR4780">
        <v>-0.1</v>
      </c>
      <c r="BS4780">
        <v>0.6</v>
      </c>
      <c r="BT4780">
        <v>1.65</v>
      </c>
      <c r="BU4780">
        <v>-0.19</v>
      </c>
      <c r="BV4780">
        <v>-1.07</v>
      </c>
      <c r="BW4780">
        <v>-1.08</v>
      </c>
      <c r="BX4780">
        <v>0.23</v>
      </c>
      <c r="BY4780">
        <v>-0.56999999999999995</v>
      </c>
      <c r="BZ4780">
        <v>-1.1200000000000001</v>
      </c>
      <c r="CA4780">
        <v>-0.71</v>
      </c>
      <c r="CB4780">
        <v>-0.72</v>
      </c>
      <c r="CC4780">
        <v>-0.25</v>
      </c>
      <c r="CD4780">
        <v>0.62</v>
      </c>
      <c r="CE4780">
        <v>-0.74</v>
      </c>
      <c r="CF4780">
        <v>0.6</v>
      </c>
      <c r="CG4780">
        <v>0</v>
      </c>
      <c r="CH4780">
        <v>-1.01</v>
      </c>
      <c r="CI4780">
        <v>0</v>
      </c>
      <c r="CJ4780">
        <v>2.5</v>
      </c>
      <c r="CK4780">
        <v>36</v>
      </c>
      <c r="CL4780">
        <v>-0.31</v>
      </c>
      <c r="CM4780">
        <v>31</v>
      </c>
      <c r="CN4780">
        <v>-0.17</v>
      </c>
      <c r="CO4780">
        <v>28</v>
      </c>
      <c r="CP4780">
        <v>2.9</v>
      </c>
      <c r="CQ4780">
        <v>32</v>
      </c>
      <c r="CR4780">
        <v>0</v>
      </c>
      <c r="CS4780">
        <v>0</v>
      </c>
      <c r="CT4780">
        <v>12.5</v>
      </c>
      <c r="CU4780">
        <v>27</v>
      </c>
      <c r="CV4780">
        <v>0.11</v>
      </c>
      <c r="CW4780">
        <v>9</v>
      </c>
      <c r="CX4780" t="s">
        <v>967</v>
      </c>
    </row>
    <row r="4781" spans="1:102" x14ac:dyDescent="0.3">
      <c r="A4781" t="str">
        <f>HYPERLINK("https://webapp.icbf.com/v2/app/bull-search/view/77856013","KRJ")</f>
        <v>KRJ</v>
      </c>
      <c r="B4781" t="s">
        <v>8037</v>
      </c>
      <c r="C4781" t="s">
        <v>8038</v>
      </c>
      <c r="D4781" s="1">
        <v>34938</v>
      </c>
      <c r="E4781" t="s">
        <v>92</v>
      </c>
      <c r="F4781">
        <v>100</v>
      </c>
      <c r="G4781" t="s">
        <v>93</v>
      </c>
      <c r="H4781">
        <v>-179.53</v>
      </c>
      <c r="I4781">
        <v>84</v>
      </c>
      <c r="J4781">
        <v>-11.48</v>
      </c>
      <c r="K4781">
        <v>97</v>
      </c>
      <c r="L4781">
        <v>-117.1</v>
      </c>
      <c r="M4781">
        <v>74</v>
      </c>
      <c r="N4781">
        <v>-38.33</v>
      </c>
      <c r="O4781">
        <v>80</v>
      </c>
      <c r="P4781">
        <v>-5.44</v>
      </c>
      <c r="Q4781">
        <v>93</v>
      </c>
      <c r="R4781">
        <v>-16.14</v>
      </c>
      <c r="S4781">
        <v>75</v>
      </c>
      <c r="T4781">
        <v>20.12</v>
      </c>
      <c r="U4781">
        <v>84</v>
      </c>
      <c r="V4781">
        <v>-11.16</v>
      </c>
      <c r="W4781">
        <v>52</v>
      </c>
      <c r="X4781" t="s">
        <v>94</v>
      </c>
      <c r="Y4781" t="s">
        <v>95</v>
      </c>
      <c r="Z4781" t="s">
        <v>96</v>
      </c>
      <c r="AA4781" t="s">
        <v>105</v>
      </c>
      <c r="AB4781" t="s">
        <v>8039</v>
      </c>
      <c r="AC4781">
        <v>154</v>
      </c>
      <c r="AD4781">
        <v>128</v>
      </c>
      <c r="AE4781">
        <v>97</v>
      </c>
      <c r="AF4781">
        <v>184.07</v>
      </c>
      <c r="AG4781">
        <v>-4.3099999999999996</v>
      </c>
      <c r="AH4781">
        <v>2.39</v>
      </c>
      <c r="AI4781">
        <v>-0.18</v>
      </c>
      <c r="AJ4781">
        <v>-0.06</v>
      </c>
      <c r="AK4781">
        <v>74</v>
      </c>
      <c r="AL4781">
        <v>159</v>
      </c>
      <c r="AM4781">
        <v>122</v>
      </c>
      <c r="AN4781">
        <v>5.49</v>
      </c>
      <c r="AO4781">
        <v>-3.86</v>
      </c>
      <c r="AP4781">
        <v>71</v>
      </c>
      <c r="AQ4781">
        <v>1</v>
      </c>
      <c r="AR4781">
        <v>11.22</v>
      </c>
      <c r="AS4781">
        <v>52</v>
      </c>
      <c r="AT4781">
        <v>5.13</v>
      </c>
      <c r="AU4781">
        <v>78</v>
      </c>
      <c r="AV4781">
        <v>0.74</v>
      </c>
      <c r="AW4781">
        <v>92</v>
      </c>
      <c r="AX4781">
        <v>0.14000000000000001</v>
      </c>
      <c r="AY4781">
        <v>84</v>
      </c>
      <c r="AZ4781">
        <v>6.41</v>
      </c>
      <c r="BA4781">
        <v>55</v>
      </c>
      <c r="BB4781">
        <v>4.76</v>
      </c>
      <c r="BC4781">
        <v>68</v>
      </c>
      <c r="BD4781">
        <v>0.06</v>
      </c>
      <c r="BE4781">
        <v>0.09</v>
      </c>
      <c r="BF4781">
        <v>0.1</v>
      </c>
      <c r="BG4781">
        <v>89</v>
      </c>
      <c r="BH4781">
        <v>-0.02</v>
      </c>
      <c r="BI4781">
        <v>33.69</v>
      </c>
      <c r="BJ4781">
        <v>19</v>
      </c>
      <c r="BK4781">
        <v>18</v>
      </c>
      <c r="BL4781">
        <v>0.65</v>
      </c>
      <c r="BM4781">
        <v>0.63</v>
      </c>
      <c r="BN4781">
        <v>1.62</v>
      </c>
      <c r="BO4781">
        <v>0.63</v>
      </c>
      <c r="BP4781">
        <v>2.31</v>
      </c>
      <c r="BQ4781">
        <v>0.43</v>
      </c>
      <c r="BR4781">
        <v>-1.2</v>
      </c>
      <c r="BS4781">
        <v>-0.26</v>
      </c>
      <c r="BT4781">
        <v>1.08</v>
      </c>
      <c r="BU4781">
        <v>-1.24</v>
      </c>
      <c r="BV4781">
        <v>0.44</v>
      </c>
      <c r="BW4781">
        <v>-0.18</v>
      </c>
      <c r="BX4781">
        <v>-1.73</v>
      </c>
      <c r="BY4781">
        <v>-1.57</v>
      </c>
      <c r="BZ4781">
        <v>4.1100000000000003</v>
      </c>
      <c r="CA4781">
        <v>-0.31</v>
      </c>
      <c r="CB4781">
        <v>-0.17</v>
      </c>
      <c r="CC4781">
        <v>-0.17</v>
      </c>
      <c r="CD4781">
        <v>-0.57999999999999996</v>
      </c>
      <c r="CE4781">
        <v>0.95</v>
      </c>
      <c r="CF4781">
        <v>0.76</v>
      </c>
      <c r="CG4781">
        <v>0</v>
      </c>
      <c r="CH4781">
        <v>-0.47</v>
      </c>
      <c r="CI4781">
        <v>0</v>
      </c>
      <c r="CJ4781">
        <v>-2.2000000000000002</v>
      </c>
      <c r="CK4781">
        <v>93</v>
      </c>
      <c r="CL4781">
        <v>-0.65</v>
      </c>
      <c r="CM4781">
        <v>92</v>
      </c>
      <c r="CN4781">
        <v>-0.41</v>
      </c>
      <c r="CO4781">
        <v>91</v>
      </c>
      <c r="CP4781">
        <v>-3.3</v>
      </c>
      <c r="CQ4781">
        <v>93</v>
      </c>
      <c r="CR4781">
        <v>0</v>
      </c>
      <c r="CS4781">
        <v>0</v>
      </c>
      <c r="CT4781">
        <v>-13.4</v>
      </c>
      <c r="CU4781">
        <v>84</v>
      </c>
      <c r="CV4781">
        <v>0.15</v>
      </c>
      <c r="CW4781">
        <v>27</v>
      </c>
      <c r="CX4781" t="s">
        <v>666</v>
      </c>
    </row>
    <row r="4782" spans="1:102" x14ac:dyDescent="0.3">
      <c r="A4782" t="str">
        <f>HYPERLINK("https://webapp.icbf.com/v2/app/bull-search/view/77859295","AMG")</f>
        <v>AMG</v>
      </c>
      <c r="B4782" t="s">
        <v>7763</v>
      </c>
      <c r="C4782" t="s">
        <v>7764</v>
      </c>
      <c r="D4782" s="1">
        <v>34168</v>
      </c>
      <c r="E4782" t="s">
        <v>92</v>
      </c>
      <c r="F4782">
        <v>100</v>
      </c>
      <c r="G4782" t="s">
        <v>93</v>
      </c>
      <c r="H4782">
        <v>-179.79</v>
      </c>
      <c r="I4782">
        <v>88</v>
      </c>
      <c r="J4782">
        <v>10.18</v>
      </c>
      <c r="K4782">
        <v>96</v>
      </c>
      <c r="L4782">
        <v>-147.12</v>
      </c>
      <c r="M4782">
        <v>89</v>
      </c>
      <c r="N4782">
        <v>-28.73</v>
      </c>
      <c r="O4782">
        <v>78</v>
      </c>
      <c r="P4782">
        <v>0.14000000000000001</v>
      </c>
      <c r="Q4782">
        <v>88</v>
      </c>
      <c r="R4782">
        <v>-15.16</v>
      </c>
      <c r="S4782">
        <v>79</v>
      </c>
      <c r="T4782">
        <v>2.4300000000000002</v>
      </c>
      <c r="U4782">
        <v>75</v>
      </c>
      <c r="V4782">
        <v>-1.53</v>
      </c>
      <c r="W4782">
        <v>64</v>
      </c>
      <c r="X4782" t="s">
        <v>110</v>
      </c>
      <c r="Y4782" t="s">
        <v>95</v>
      </c>
      <c r="Z4782" t="s">
        <v>96</v>
      </c>
      <c r="AA4782" t="s">
        <v>1149</v>
      </c>
      <c r="AB4782" t="s">
        <v>7765</v>
      </c>
      <c r="AC4782">
        <v>70</v>
      </c>
      <c r="AD4782">
        <v>40</v>
      </c>
      <c r="AE4782">
        <v>96</v>
      </c>
      <c r="AF4782">
        <v>453.12</v>
      </c>
      <c r="AG4782">
        <v>0.81</v>
      </c>
      <c r="AH4782">
        <v>8.3800000000000008</v>
      </c>
      <c r="AI4782">
        <v>-0.27</v>
      </c>
      <c r="AJ4782">
        <v>-0.11</v>
      </c>
      <c r="AK4782">
        <v>89</v>
      </c>
      <c r="AL4782">
        <v>72</v>
      </c>
      <c r="AM4782">
        <v>37</v>
      </c>
      <c r="AN4782">
        <v>8.23</v>
      </c>
      <c r="AO4782">
        <v>-3.5</v>
      </c>
      <c r="AP4782">
        <v>31</v>
      </c>
      <c r="AQ4782">
        <v>0</v>
      </c>
      <c r="AR4782">
        <v>11.73</v>
      </c>
      <c r="AS4782">
        <v>70</v>
      </c>
      <c r="AT4782">
        <v>4.83</v>
      </c>
      <c r="AU4782">
        <v>91</v>
      </c>
      <c r="AV4782">
        <v>0.19</v>
      </c>
      <c r="AW4782">
        <v>79</v>
      </c>
      <c r="AX4782">
        <v>0.09</v>
      </c>
      <c r="AY4782">
        <v>77</v>
      </c>
      <c r="AZ4782">
        <v>5.44</v>
      </c>
      <c r="BA4782">
        <v>59</v>
      </c>
      <c r="BB4782">
        <v>4.33</v>
      </c>
      <c r="BC4782">
        <v>63</v>
      </c>
      <c r="BD4782">
        <v>0.1</v>
      </c>
      <c r="BE4782">
        <v>0.08</v>
      </c>
      <c r="BF4782">
        <v>0.03</v>
      </c>
      <c r="BG4782">
        <v>92</v>
      </c>
      <c r="BH4782">
        <v>-0.06</v>
      </c>
      <c r="BI4782">
        <v>-2</v>
      </c>
      <c r="BJ4782">
        <v>18</v>
      </c>
      <c r="BK4782">
        <v>8</v>
      </c>
      <c r="BL4782">
        <v>0.86</v>
      </c>
      <c r="BM4782">
        <v>-0.41</v>
      </c>
      <c r="BN4782">
        <v>1.28</v>
      </c>
      <c r="BO4782">
        <v>1.34</v>
      </c>
      <c r="BP4782">
        <v>2.54</v>
      </c>
      <c r="BQ4782">
        <v>2.0499999999999998</v>
      </c>
      <c r="BR4782">
        <v>1.66</v>
      </c>
      <c r="BS4782">
        <v>-1.88</v>
      </c>
      <c r="BT4782">
        <v>-1.07</v>
      </c>
      <c r="BU4782">
        <v>-0.28000000000000003</v>
      </c>
      <c r="BV4782">
        <v>0.89</v>
      </c>
      <c r="BW4782">
        <v>2.46</v>
      </c>
      <c r="BX4782">
        <v>-0.59</v>
      </c>
      <c r="BY4782">
        <v>1.56</v>
      </c>
      <c r="BZ4782">
        <v>0.18</v>
      </c>
      <c r="CA4782">
        <v>-0.01</v>
      </c>
      <c r="CB4782">
        <v>1.06</v>
      </c>
      <c r="CC4782">
        <v>-1.47</v>
      </c>
      <c r="CD4782">
        <v>-1.46</v>
      </c>
      <c r="CE4782">
        <v>0.75</v>
      </c>
      <c r="CF4782">
        <v>0.59</v>
      </c>
      <c r="CG4782">
        <v>0</v>
      </c>
      <c r="CH4782">
        <v>1.47</v>
      </c>
      <c r="CI4782">
        <v>0</v>
      </c>
      <c r="CJ4782">
        <v>2.9</v>
      </c>
      <c r="CK4782">
        <v>89</v>
      </c>
      <c r="CL4782">
        <v>-0.75</v>
      </c>
      <c r="CM4782">
        <v>87</v>
      </c>
      <c r="CN4782">
        <v>-0.37</v>
      </c>
      <c r="CO4782">
        <v>85</v>
      </c>
      <c r="CP4782">
        <v>-3</v>
      </c>
      <c r="CQ4782">
        <v>89</v>
      </c>
      <c r="CR4782">
        <v>0</v>
      </c>
      <c r="CS4782">
        <v>0</v>
      </c>
      <c r="CT4782">
        <v>10.5</v>
      </c>
      <c r="CU4782">
        <v>75</v>
      </c>
      <c r="CV4782">
        <v>0.15</v>
      </c>
      <c r="CW4782">
        <v>43</v>
      </c>
      <c r="CX4782" t="s">
        <v>166</v>
      </c>
    </row>
    <row r="4783" spans="1:102" x14ac:dyDescent="0.3">
      <c r="A4783" t="str">
        <f>HYPERLINK("https://webapp.icbf.com/v2/app/bull-search/view/444608415","S555")</f>
        <v>S555</v>
      </c>
      <c r="B4783" t="s">
        <v>12248</v>
      </c>
      <c r="C4783" t="s">
        <v>12249</v>
      </c>
      <c r="D4783" s="1">
        <v>36316</v>
      </c>
      <c r="E4783" t="s">
        <v>92</v>
      </c>
      <c r="F4783">
        <v>100</v>
      </c>
      <c r="G4783" t="s">
        <v>93</v>
      </c>
      <c r="H4783">
        <v>-179.87</v>
      </c>
      <c r="I4783">
        <v>84</v>
      </c>
      <c r="J4783">
        <v>7.27</v>
      </c>
      <c r="K4783">
        <v>91</v>
      </c>
      <c r="L4783">
        <v>-153.91</v>
      </c>
      <c r="M4783">
        <v>86</v>
      </c>
      <c r="N4783">
        <v>-34.42</v>
      </c>
      <c r="O4783">
        <v>76</v>
      </c>
      <c r="P4783">
        <v>0.65</v>
      </c>
      <c r="Q4783">
        <v>87</v>
      </c>
      <c r="R4783">
        <v>-4.49</v>
      </c>
      <c r="S4783">
        <v>73</v>
      </c>
      <c r="T4783">
        <v>4.95</v>
      </c>
      <c r="U4783">
        <v>77</v>
      </c>
      <c r="V4783">
        <v>0.08</v>
      </c>
      <c r="W4783">
        <v>53</v>
      </c>
      <c r="X4783" t="s">
        <v>110</v>
      </c>
      <c r="Y4783" t="s">
        <v>95</v>
      </c>
      <c r="Z4783" t="s">
        <v>96</v>
      </c>
      <c r="AA4783" t="s">
        <v>1273</v>
      </c>
      <c r="AB4783" t="s">
        <v>12250</v>
      </c>
      <c r="AC4783">
        <v>52</v>
      </c>
      <c r="AD4783">
        <v>38</v>
      </c>
      <c r="AE4783">
        <v>91</v>
      </c>
      <c r="AF4783">
        <v>306.23</v>
      </c>
      <c r="AG4783">
        <v>10.67</v>
      </c>
      <c r="AH4783">
        <v>2.15</v>
      </c>
      <c r="AI4783">
        <v>-0.02</v>
      </c>
      <c r="AJ4783">
        <v>-0.13</v>
      </c>
      <c r="AK4783">
        <v>86</v>
      </c>
      <c r="AL4783">
        <v>38</v>
      </c>
      <c r="AM4783">
        <v>27</v>
      </c>
      <c r="AN4783">
        <v>9.49</v>
      </c>
      <c r="AO4783">
        <v>-2.77</v>
      </c>
      <c r="AP4783">
        <v>31</v>
      </c>
      <c r="AQ4783">
        <v>0</v>
      </c>
      <c r="AR4783">
        <v>12.16</v>
      </c>
      <c r="AS4783">
        <v>69</v>
      </c>
      <c r="AT4783">
        <v>5.25</v>
      </c>
      <c r="AU4783">
        <v>89</v>
      </c>
      <c r="AV4783">
        <v>-1.29</v>
      </c>
      <c r="AW4783">
        <v>79</v>
      </c>
      <c r="AX4783">
        <v>1.61</v>
      </c>
      <c r="AY4783">
        <v>75</v>
      </c>
      <c r="AZ4783">
        <v>7.24</v>
      </c>
      <c r="BA4783">
        <v>55</v>
      </c>
      <c r="BB4783">
        <v>5.14</v>
      </c>
      <c r="BC4783">
        <v>52</v>
      </c>
      <c r="BD4783">
        <v>0.05</v>
      </c>
      <c r="BE4783">
        <v>0</v>
      </c>
      <c r="BF4783">
        <v>0.02</v>
      </c>
      <c r="BG4783">
        <v>90</v>
      </c>
      <c r="BH4783">
        <v>0.02</v>
      </c>
      <c r="BI4783">
        <v>2.0699999999999998</v>
      </c>
      <c r="BJ4783">
        <v>27</v>
      </c>
      <c r="BK4783">
        <v>20</v>
      </c>
      <c r="BL4783">
        <v>2.0499999999999998</v>
      </c>
      <c r="BM4783">
        <v>-0.86</v>
      </c>
      <c r="BN4783">
        <v>2.2799999999999998</v>
      </c>
      <c r="BO4783">
        <v>2.0499999999999998</v>
      </c>
      <c r="BP4783">
        <v>-0.72</v>
      </c>
      <c r="BQ4783">
        <v>1.05</v>
      </c>
      <c r="BR4783">
        <v>0.63</v>
      </c>
      <c r="BS4783">
        <v>-0.87</v>
      </c>
      <c r="BT4783">
        <v>-1.22</v>
      </c>
      <c r="BU4783">
        <v>2.87</v>
      </c>
      <c r="BV4783">
        <v>1.77</v>
      </c>
      <c r="BW4783">
        <v>2.15</v>
      </c>
      <c r="BX4783">
        <v>1.87</v>
      </c>
      <c r="BY4783">
        <v>2.85</v>
      </c>
      <c r="BZ4783">
        <v>0.66</v>
      </c>
      <c r="CA4783">
        <v>1.53</v>
      </c>
      <c r="CB4783">
        <v>2.1</v>
      </c>
      <c r="CC4783">
        <v>-0.05</v>
      </c>
      <c r="CD4783">
        <v>-1.83</v>
      </c>
      <c r="CE4783">
        <v>1.55</v>
      </c>
      <c r="CF4783">
        <v>1.84</v>
      </c>
      <c r="CG4783">
        <v>0</v>
      </c>
      <c r="CH4783">
        <v>2.41</v>
      </c>
      <c r="CI4783">
        <v>0</v>
      </c>
      <c r="CJ4783">
        <v>4.9000000000000004</v>
      </c>
      <c r="CK4783">
        <v>88</v>
      </c>
      <c r="CL4783">
        <v>-1.62</v>
      </c>
      <c r="CM4783">
        <v>86</v>
      </c>
      <c r="CN4783">
        <v>-0.86</v>
      </c>
      <c r="CO4783">
        <v>84</v>
      </c>
      <c r="CP4783">
        <v>3.6</v>
      </c>
      <c r="CQ4783">
        <v>84</v>
      </c>
      <c r="CR4783">
        <v>0</v>
      </c>
      <c r="CS4783">
        <v>0</v>
      </c>
      <c r="CT4783">
        <v>7.1</v>
      </c>
      <c r="CU4783">
        <v>77</v>
      </c>
      <c r="CV4783">
        <v>0.56999999999999995</v>
      </c>
      <c r="CW4783">
        <v>25</v>
      </c>
      <c r="CX4783" t="s">
        <v>1106</v>
      </c>
    </row>
    <row r="4784" spans="1:102" x14ac:dyDescent="0.3">
      <c r="A4784" t="str">
        <f>HYPERLINK("https://webapp.icbf.com/v2/app/bull-search/view/108372549","RGK")</f>
        <v>RGK</v>
      </c>
      <c r="B4784" t="s">
        <v>10919</v>
      </c>
      <c r="C4784" t="s">
        <v>10920</v>
      </c>
      <c r="D4784" s="1">
        <v>35350</v>
      </c>
      <c r="E4784" t="s">
        <v>92</v>
      </c>
      <c r="F4784">
        <v>100</v>
      </c>
      <c r="G4784" t="s">
        <v>93</v>
      </c>
      <c r="H4784">
        <v>-179.97</v>
      </c>
      <c r="I4784">
        <v>96</v>
      </c>
      <c r="J4784">
        <v>49.89</v>
      </c>
      <c r="K4784">
        <v>99</v>
      </c>
      <c r="L4784">
        <v>-210.52</v>
      </c>
      <c r="M4784">
        <v>93</v>
      </c>
      <c r="N4784">
        <v>-8.44</v>
      </c>
      <c r="O4784">
        <v>97</v>
      </c>
      <c r="P4784">
        <v>-11.34</v>
      </c>
      <c r="Q4784">
        <v>99</v>
      </c>
      <c r="R4784">
        <v>-14.67</v>
      </c>
      <c r="S4784">
        <v>94</v>
      </c>
      <c r="T4784">
        <v>7.39</v>
      </c>
      <c r="U4784">
        <v>98</v>
      </c>
      <c r="V4784">
        <v>7.72</v>
      </c>
      <c r="W4784">
        <v>93</v>
      </c>
      <c r="X4784" t="s">
        <v>276</v>
      </c>
      <c r="Y4784" t="s">
        <v>95</v>
      </c>
      <c r="Z4784" t="s">
        <v>96</v>
      </c>
      <c r="AA4784" t="s">
        <v>218</v>
      </c>
      <c r="AB4784" t="s">
        <v>10921</v>
      </c>
      <c r="AC4784">
        <v>1157</v>
      </c>
      <c r="AD4784">
        <v>436</v>
      </c>
      <c r="AE4784">
        <v>99</v>
      </c>
      <c r="AF4784">
        <v>141.81</v>
      </c>
      <c r="AG4784">
        <v>0.78</v>
      </c>
      <c r="AH4784">
        <v>10.38</v>
      </c>
      <c r="AI4784">
        <v>-0.08</v>
      </c>
      <c r="AJ4784">
        <v>0.1</v>
      </c>
      <c r="AK4784">
        <v>93</v>
      </c>
      <c r="AL4784">
        <v>1099</v>
      </c>
      <c r="AM4784">
        <v>450</v>
      </c>
      <c r="AN4784">
        <v>10.62</v>
      </c>
      <c r="AO4784">
        <v>-6.18</v>
      </c>
      <c r="AP4784">
        <v>1885</v>
      </c>
      <c r="AQ4784">
        <v>9</v>
      </c>
      <c r="AR4784">
        <v>8.44</v>
      </c>
      <c r="AS4784">
        <v>94</v>
      </c>
      <c r="AT4784">
        <v>3.33</v>
      </c>
      <c r="AU4784">
        <v>98</v>
      </c>
      <c r="AV4784">
        <v>-0.67</v>
      </c>
      <c r="AW4784">
        <v>99</v>
      </c>
      <c r="AX4784">
        <v>0.34</v>
      </c>
      <c r="AY4784">
        <v>98</v>
      </c>
      <c r="AZ4784">
        <v>8.0299999999999994</v>
      </c>
      <c r="BA4784">
        <v>93</v>
      </c>
      <c r="BB4784">
        <v>6.12</v>
      </c>
      <c r="BC4784">
        <v>93</v>
      </c>
      <c r="BD4784">
        <v>0.05</v>
      </c>
      <c r="BE4784">
        <v>0.06</v>
      </c>
      <c r="BF4784">
        <v>0.14000000000000001</v>
      </c>
      <c r="BG4784">
        <v>98</v>
      </c>
      <c r="BH4784">
        <v>0.2</v>
      </c>
      <c r="BI4784">
        <v>-1.78</v>
      </c>
      <c r="BJ4784">
        <v>101</v>
      </c>
      <c r="BK4784">
        <v>53</v>
      </c>
      <c r="BL4784">
        <v>-0.14000000000000001</v>
      </c>
      <c r="BM4784">
        <v>1.08</v>
      </c>
      <c r="BN4784">
        <v>1.06</v>
      </c>
      <c r="BO4784">
        <v>0.36</v>
      </c>
      <c r="BP4784">
        <v>-0.14000000000000001</v>
      </c>
      <c r="BQ4784">
        <v>0.04</v>
      </c>
      <c r="BR4784">
        <v>0.3</v>
      </c>
      <c r="BS4784">
        <v>0.86</v>
      </c>
      <c r="BT4784">
        <v>-0.19</v>
      </c>
      <c r="BU4784">
        <v>0.34</v>
      </c>
      <c r="BV4784">
        <v>0.73</v>
      </c>
      <c r="BW4784">
        <v>0.87</v>
      </c>
      <c r="BX4784">
        <v>-0.86</v>
      </c>
      <c r="BY4784">
        <v>1.74</v>
      </c>
      <c r="BZ4784">
        <v>1.1299999999999999</v>
      </c>
      <c r="CA4784">
        <v>0.77</v>
      </c>
      <c r="CB4784">
        <v>0.73</v>
      </c>
      <c r="CC4784">
        <v>0.89</v>
      </c>
      <c r="CD4784">
        <v>-7.0000000000000007E-2</v>
      </c>
      <c r="CE4784">
        <v>0.77</v>
      </c>
      <c r="CF4784">
        <v>0.88</v>
      </c>
      <c r="CG4784">
        <v>0</v>
      </c>
      <c r="CH4784">
        <v>1.68</v>
      </c>
      <c r="CI4784">
        <v>0</v>
      </c>
      <c r="CJ4784">
        <v>-5.2</v>
      </c>
      <c r="CK4784">
        <v>99</v>
      </c>
      <c r="CL4784">
        <v>-0.54</v>
      </c>
      <c r="CM4784">
        <v>99</v>
      </c>
      <c r="CN4784">
        <v>-0.2</v>
      </c>
      <c r="CO4784">
        <v>99</v>
      </c>
      <c r="CP4784">
        <v>-6.2</v>
      </c>
      <c r="CQ4784">
        <v>99</v>
      </c>
      <c r="CR4784">
        <v>0</v>
      </c>
      <c r="CS4784">
        <v>0</v>
      </c>
      <c r="CT4784">
        <v>3.8</v>
      </c>
      <c r="CU4784">
        <v>98</v>
      </c>
      <c r="CV4784">
        <v>0.02</v>
      </c>
      <c r="CW4784">
        <v>46</v>
      </c>
      <c r="CX4784" t="s">
        <v>485</v>
      </c>
    </row>
    <row r="4785" spans="1:102" x14ac:dyDescent="0.3">
      <c r="A4785" t="str">
        <f>HYPERLINK("https://webapp.icbf.com/v2/app/bull-search/view/69092665","SHI")</f>
        <v>SHI</v>
      </c>
      <c r="B4785" t="s">
        <v>7029</v>
      </c>
      <c r="C4785" t="s">
        <v>3001</v>
      </c>
      <c r="D4785" s="1">
        <v>35058</v>
      </c>
      <c r="E4785" t="s">
        <v>92</v>
      </c>
      <c r="F4785">
        <v>100</v>
      </c>
      <c r="G4785" t="s">
        <v>93</v>
      </c>
      <c r="H4785">
        <v>-179.98</v>
      </c>
      <c r="I4785">
        <v>97</v>
      </c>
      <c r="J4785">
        <v>-9.66</v>
      </c>
      <c r="K4785">
        <v>99</v>
      </c>
      <c r="L4785">
        <v>-160.97</v>
      </c>
      <c r="M4785">
        <v>95</v>
      </c>
      <c r="N4785">
        <v>-5.32</v>
      </c>
      <c r="O4785">
        <v>98</v>
      </c>
      <c r="P4785">
        <v>-6.36</v>
      </c>
      <c r="Q4785">
        <v>99</v>
      </c>
      <c r="R4785">
        <v>3.23</v>
      </c>
      <c r="S4785">
        <v>96</v>
      </c>
      <c r="T4785">
        <v>-2.6</v>
      </c>
      <c r="U4785">
        <v>98</v>
      </c>
      <c r="V4785">
        <v>1.7</v>
      </c>
      <c r="W4785">
        <v>95</v>
      </c>
      <c r="X4785" t="s">
        <v>131</v>
      </c>
      <c r="Y4785" t="s">
        <v>95</v>
      </c>
      <c r="Z4785" t="s">
        <v>96</v>
      </c>
      <c r="AA4785" t="s">
        <v>839</v>
      </c>
      <c r="AB4785" t="s">
        <v>7030</v>
      </c>
      <c r="AC4785">
        <v>1394</v>
      </c>
      <c r="AD4785">
        <v>451</v>
      </c>
      <c r="AE4785">
        <v>99</v>
      </c>
      <c r="AF4785">
        <v>234.94</v>
      </c>
      <c r="AG4785">
        <v>3.57</v>
      </c>
      <c r="AH4785">
        <v>0.69</v>
      </c>
      <c r="AI4785">
        <v>-0.09</v>
      </c>
      <c r="AJ4785">
        <v>-0.12</v>
      </c>
      <c r="AK4785">
        <v>95</v>
      </c>
      <c r="AL4785">
        <v>1287</v>
      </c>
      <c r="AM4785">
        <v>436</v>
      </c>
      <c r="AN4785">
        <v>8.58</v>
      </c>
      <c r="AO4785">
        <v>-4.26</v>
      </c>
      <c r="AP4785">
        <v>2473</v>
      </c>
      <c r="AQ4785">
        <v>4</v>
      </c>
      <c r="AR4785">
        <v>10.15</v>
      </c>
      <c r="AS4785">
        <v>98</v>
      </c>
      <c r="AT4785">
        <v>4.2</v>
      </c>
      <c r="AU4785">
        <v>99</v>
      </c>
      <c r="AV4785">
        <v>-1.93</v>
      </c>
      <c r="AW4785">
        <v>99</v>
      </c>
      <c r="AX4785">
        <v>-0.15</v>
      </c>
      <c r="AY4785">
        <v>98</v>
      </c>
      <c r="AZ4785">
        <v>6.47</v>
      </c>
      <c r="BA4785">
        <v>95</v>
      </c>
      <c r="BB4785">
        <v>5.51</v>
      </c>
      <c r="BC4785">
        <v>95</v>
      </c>
      <c r="BD4785">
        <v>-0.05</v>
      </c>
      <c r="BE4785">
        <v>0.01</v>
      </c>
      <c r="BF4785">
        <v>-0.01</v>
      </c>
      <c r="BG4785">
        <v>99</v>
      </c>
      <c r="BH4785">
        <v>-0.06</v>
      </c>
      <c r="BI4785">
        <v>-12.42</v>
      </c>
      <c r="BJ4785">
        <v>525</v>
      </c>
      <c r="BK4785">
        <v>181</v>
      </c>
      <c r="BL4785">
        <v>0.99</v>
      </c>
      <c r="BM4785">
        <v>0.42</v>
      </c>
      <c r="BN4785">
        <v>2.16</v>
      </c>
      <c r="BO4785">
        <v>1.34</v>
      </c>
      <c r="BP4785">
        <v>1.42</v>
      </c>
      <c r="BQ4785">
        <v>0.54</v>
      </c>
      <c r="BR4785">
        <v>3.75</v>
      </c>
      <c r="BS4785">
        <v>-0.51</v>
      </c>
      <c r="BT4785">
        <v>-2.99</v>
      </c>
      <c r="BU4785">
        <v>2.1</v>
      </c>
      <c r="BV4785">
        <v>1.1499999999999999</v>
      </c>
      <c r="BW4785">
        <v>1.86</v>
      </c>
      <c r="BX4785">
        <v>1.34</v>
      </c>
      <c r="BY4785">
        <v>2.34</v>
      </c>
      <c r="BZ4785">
        <v>1.32</v>
      </c>
      <c r="CA4785">
        <v>1.1499999999999999</v>
      </c>
      <c r="CB4785">
        <v>1.69</v>
      </c>
      <c r="CC4785">
        <v>-0.19</v>
      </c>
      <c r="CD4785">
        <v>-0.83</v>
      </c>
      <c r="CE4785">
        <v>1.23</v>
      </c>
      <c r="CF4785">
        <v>1.42</v>
      </c>
      <c r="CG4785">
        <v>0</v>
      </c>
      <c r="CH4785">
        <v>2.34</v>
      </c>
      <c r="CI4785">
        <v>0</v>
      </c>
      <c r="CJ4785">
        <v>-0.4</v>
      </c>
      <c r="CK4785">
        <v>99</v>
      </c>
      <c r="CL4785">
        <v>-1.18</v>
      </c>
      <c r="CM4785">
        <v>99</v>
      </c>
      <c r="CN4785">
        <v>-0.49</v>
      </c>
      <c r="CO4785">
        <v>99</v>
      </c>
      <c r="CP4785">
        <v>4.2</v>
      </c>
      <c r="CQ4785">
        <v>99</v>
      </c>
      <c r="CR4785">
        <v>0</v>
      </c>
      <c r="CS4785">
        <v>0</v>
      </c>
      <c r="CT4785">
        <v>17.3</v>
      </c>
      <c r="CU4785">
        <v>98</v>
      </c>
      <c r="CV4785">
        <v>0.27</v>
      </c>
      <c r="CW4785">
        <v>46</v>
      </c>
      <c r="CX4785" t="s">
        <v>485</v>
      </c>
    </row>
    <row r="4786" spans="1:102" x14ac:dyDescent="0.3">
      <c r="A4786" t="str">
        <f>HYPERLINK("https://webapp.icbf.com/v2/app/bull-search/view/69092935","YUM")</f>
        <v>YUM</v>
      </c>
      <c r="B4786" t="s">
        <v>7329</v>
      </c>
      <c r="C4786" t="s">
        <v>7330</v>
      </c>
      <c r="D4786" s="1">
        <v>34973</v>
      </c>
      <c r="E4786" t="s">
        <v>92</v>
      </c>
      <c r="F4786">
        <v>100</v>
      </c>
      <c r="G4786" t="s">
        <v>93</v>
      </c>
      <c r="H4786">
        <v>-180.37</v>
      </c>
      <c r="I4786">
        <v>84</v>
      </c>
      <c r="J4786">
        <v>-37</v>
      </c>
      <c r="K4786">
        <v>92</v>
      </c>
      <c r="L4786">
        <v>-99.43</v>
      </c>
      <c r="M4786">
        <v>86</v>
      </c>
      <c r="N4786">
        <v>-41.16</v>
      </c>
      <c r="O4786">
        <v>79</v>
      </c>
      <c r="P4786">
        <v>-8.1</v>
      </c>
      <c r="Q4786">
        <v>88</v>
      </c>
      <c r="R4786">
        <v>-1.1200000000000001</v>
      </c>
      <c r="S4786">
        <v>71</v>
      </c>
      <c r="T4786">
        <v>7.17</v>
      </c>
      <c r="U4786">
        <v>73</v>
      </c>
      <c r="V4786">
        <v>-0.73</v>
      </c>
      <c r="W4786">
        <v>47</v>
      </c>
      <c r="X4786" t="s">
        <v>251</v>
      </c>
      <c r="Y4786" t="s">
        <v>95</v>
      </c>
      <c r="Z4786" t="s">
        <v>96</v>
      </c>
      <c r="AA4786" t="s">
        <v>715</v>
      </c>
      <c r="AB4786" t="s">
        <v>7331</v>
      </c>
      <c r="AC4786">
        <v>57</v>
      </c>
      <c r="AD4786">
        <v>22</v>
      </c>
      <c r="AE4786">
        <v>92</v>
      </c>
      <c r="AF4786">
        <v>228.95</v>
      </c>
      <c r="AG4786">
        <v>-8.0500000000000007</v>
      </c>
      <c r="AH4786">
        <v>0.06</v>
      </c>
      <c r="AI4786">
        <v>-0.27</v>
      </c>
      <c r="AJ4786">
        <v>-0.12</v>
      </c>
      <c r="AK4786">
        <v>86</v>
      </c>
      <c r="AL4786">
        <v>49</v>
      </c>
      <c r="AM4786">
        <v>13</v>
      </c>
      <c r="AN4786">
        <v>5.4</v>
      </c>
      <c r="AO4786">
        <v>-2.5299999999999998</v>
      </c>
      <c r="AP4786">
        <v>119</v>
      </c>
      <c r="AQ4786">
        <v>0</v>
      </c>
      <c r="AR4786">
        <v>11.79</v>
      </c>
      <c r="AS4786">
        <v>71</v>
      </c>
      <c r="AT4786">
        <v>5.4</v>
      </c>
      <c r="AU4786">
        <v>95</v>
      </c>
      <c r="AV4786">
        <v>0.41</v>
      </c>
      <c r="AW4786">
        <v>84</v>
      </c>
      <c r="AX4786">
        <v>-0.51</v>
      </c>
      <c r="AY4786">
        <v>70</v>
      </c>
      <c r="AZ4786">
        <v>6.01</v>
      </c>
      <c r="BA4786">
        <v>57</v>
      </c>
      <c r="BB4786">
        <v>5.15</v>
      </c>
      <c r="BC4786">
        <v>52</v>
      </c>
      <c r="BD4786">
        <v>0.01</v>
      </c>
      <c r="BE4786">
        <v>0.01</v>
      </c>
      <c r="BF4786">
        <v>-0.01</v>
      </c>
      <c r="BG4786">
        <v>89</v>
      </c>
      <c r="BH4786">
        <v>0</v>
      </c>
      <c r="BI4786">
        <v>2.37</v>
      </c>
      <c r="BJ4786">
        <v>8</v>
      </c>
      <c r="BK4786">
        <v>3</v>
      </c>
      <c r="BL4786">
        <v>0.97</v>
      </c>
      <c r="BM4786">
        <v>-0.6</v>
      </c>
      <c r="BN4786">
        <v>1.37</v>
      </c>
      <c r="BO4786">
        <v>1.21</v>
      </c>
      <c r="BP4786">
        <v>-2.5299999999999998</v>
      </c>
      <c r="BQ4786">
        <v>1.1399999999999999</v>
      </c>
      <c r="BR4786">
        <v>1.63</v>
      </c>
      <c r="BS4786">
        <v>-1.31</v>
      </c>
      <c r="BT4786">
        <v>-0.41</v>
      </c>
      <c r="BU4786">
        <v>0.44</v>
      </c>
      <c r="BV4786">
        <v>0.45</v>
      </c>
      <c r="BW4786">
        <v>0.44</v>
      </c>
      <c r="BX4786">
        <v>-0.14000000000000001</v>
      </c>
      <c r="BY4786">
        <v>2.37</v>
      </c>
      <c r="BZ4786">
        <v>0.49</v>
      </c>
      <c r="CA4786">
        <v>0.79</v>
      </c>
      <c r="CB4786">
        <v>1.47</v>
      </c>
      <c r="CC4786">
        <v>-0.78</v>
      </c>
      <c r="CD4786">
        <v>-1.23</v>
      </c>
      <c r="CE4786">
        <v>0.44</v>
      </c>
      <c r="CF4786">
        <v>-0.31</v>
      </c>
      <c r="CG4786">
        <v>0</v>
      </c>
      <c r="CH4786">
        <v>0.46</v>
      </c>
      <c r="CI4786">
        <v>0</v>
      </c>
      <c r="CJ4786">
        <v>-1.8</v>
      </c>
      <c r="CK4786">
        <v>89</v>
      </c>
      <c r="CL4786">
        <v>-0.98</v>
      </c>
      <c r="CM4786">
        <v>87</v>
      </c>
      <c r="CN4786">
        <v>-0.46</v>
      </c>
      <c r="CO4786">
        <v>85</v>
      </c>
      <c r="CP4786">
        <v>-5.9</v>
      </c>
      <c r="CQ4786">
        <v>84</v>
      </c>
      <c r="CR4786">
        <v>0</v>
      </c>
      <c r="CS4786">
        <v>0</v>
      </c>
      <c r="CT4786">
        <v>4.0999999999999996</v>
      </c>
      <c r="CU4786">
        <v>73</v>
      </c>
      <c r="CV4786">
        <v>0.25</v>
      </c>
      <c r="CW4786">
        <v>25</v>
      </c>
      <c r="CX4786" t="s">
        <v>2745</v>
      </c>
    </row>
    <row r="4787" spans="1:102" x14ac:dyDescent="0.3">
      <c r="A4787" t="str">
        <f>HYPERLINK("https://webapp.icbf.com/v2/app/bull-search/view/77858665","CVJ")</f>
        <v>CVJ</v>
      </c>
      <c r="B4787" t="s">
        <v>6911</v>
      </c>
      <c r="C4787" t="s">
        <v>6912</v>
      </c>
      <c r="D4787" s="1">
        <v>33817</v>
      </c>
      <c r="E4787" t="s">
        <v>92</v>
      </c>
      <c r="F4787">
        <v>100</v>
      </c>
      <c r="G4787" t="s">
        <v>109</v>
      </c>
      <c r="H4787">
        <v>-180.39</v>
      </c>
      <c r="I4787">
        <v>85</v>
      </c>
      <c r="J4787">
        <v>3.68</v>
      </c>
      <c r="K4787">
        <v>95</v>
      </c>
      <c r="L4787">
        <v>-177.86</v>
      </c>
      <c r="M4787">
        <v>89</v>
      </c>
      <c r="N4787">
        <v>5.19</v>
      </c>
      <c r="O4787">
        <v>72</v>
      </c>
      <c r="P4787">
        <v>-5.91</v>
      </c>
      <c r="Q4787">
        <v>72</v>
      </c>
      <c r="R4787">
        <v>-15.41</v>
      </c>
      <c r="S4787">
        <v>79</v>
      </c>
      <c r="T4787">
        <v>1.25</v>
      </c>
      <c r="U4787">
        <v>67</v>
      </c>
      <c r="V4787">
        <v>8.67</v>
      </c>
      <c r="W4787">
        <v>68</v>
      </c>
      <c r="X4787" t="s">
        <v>131</v>
      </c>
      <c r="Y4787" t="s">
        <v>95</v>
      </c>
      <c r="Z4787" t="s">
        <v>96</v>
      </c>
      <c r="AA4787" t="s">
        <v>485</v>
      </c>
      <c r="AB4787" t="s">
        <v>6913</v>
      </c>
      <c r="AC4787">
        <v>0</v>
      </c>
      <c r="AD4787">
        <v>0</v>
      </c>
      <c r="AE4787">
        <v>95</v>
      </c>
      <c r="AF4787">
        <v>141.47</v>
      </c>
      <c r="AG4787">
        <v>7.75</v>
      </c>
      <c r="AH4787">
        <v>0.05</v>
      </c>
      <c r="AI4787">
        <v>0.04</v>
      </c>
      <c r="AJ4787">
        <v>-0.08</v>
      </c>
      <c r="AK4787">
        <v>89</v>
      </c>
      <c r="AL4787">
        <v>0</v>
      </c>
      <c r="AM4787">
        <v>0</v>
      </c>
      <c r="AN4787">
        <v>9.24</v>
      </c>
      <c r="AO4787">
        <v>-4.95</v>
      </c>
      <c r="AP4787">
        <v>11</v>
      </c>
      <c r="AQ4787">
        <v>0</v>
      </c>
      <c r="AR4787">
        <v>6.88</v>
      </c>
      <c r="AS4787">
        <v>65</v>
      </c>
      <c r="AT4787">
        <v>2.92</v>
      </c>
      <c r="AU4787">
        <v>91</v>
      </c>
      <c r="AV4787">
        <v>-1.55</v>
      </c>
      <c r="AW4787">
        <v>71</v>
      </c>
      <c r="AX4787">
        <v>0.39</v>
      </c>
      <c r="AY4787">
        <v>61</v>
      </c>
      <c r="AZ4787">
        <v>8.9499999999999993</v>
      </c>
      <c r="BA4787">
        <v>54</v>
      </c>
      <c r="BB4787">
        <v>6.01</v>
      </c>
      <c r="BC4787">
        <v>57</v>
      </c>
      <c r="BD4787">
        <v>0.08</v>
      </c>
      <c r="BE4787">
        <v>0.09</v>
      </c>
      <c r="BF4787">
        <v>0.05</v>
      </c>
      <c r="BG4787">
        <v>93</v>
      </c>
      <c r="BH4787">
        <v>0.26</v>
      </c>
      <c r="BI4787">
        <v>2.11</v>
      </c>
      <c r="BJ4787">
        <v>4</v>
      </c>
      <c r="BK4787">
        <v>1</v>
      </c>
      <c r="BL4787">
        <v>0.69</v>
      </c>
      <c r="BM4787">
        <v>-0.3</v>
      </c>
      <c r="BN4787">
        <v>0.02</v>
      </c>
      <c r="BO4787">
        <v>0.48</v>
      </c>
      <c r="BP4787">
        <v>-0.56000000000000005</v>
      </c>
      <c r="BQ4787">
        <v>1.25</v>
      </c>
      <c r="BR4787">
        <v>1.62</v>
      </c>
      <c r="BS4787">
        <v>-2.3199999999999998</v>
      </c>
      <c r="BT4787">
        <v>-1.95</v>
      </c>
      <c r="BU4787">
        <v>1.54</v>
      </c>
      <c r="BV4787">
        <v>1.64</v>
      </c>
      <c r="BW4787">
        <v>1.08</v>
      </c>
      <c r="BX4787">
        <v>1.36</v>
      </c>
      <c r="BY4787">
        <v>1.35</v>
      </c>
      <c r="BZ4787">
        <v>-1.1299999999999999</v>
      </c>
      <c r="CA4787">
        <v>0.73</v>
      </c>
      <c r="CB4787">
        <v>1.45</v>
      </c>
      <c r="CC4787">
        <v>-1.77</v>
      </c>
      <c r="CD4787">
        <v>-0.9</v>
      </c>
      <c r="CE4787">
        <v>0.82</v>
      </c>
      <c r="CF4787">
        <v>0.64</v>
      </c>
      <c r="CG4787">
        <v>0</v>
      </c>
      <c r="CH4787">
        <v>1.43</v>
      </c>
      <c r="CI4787">
        <v>0</v>
      </c>
      <c r="CJ4787">
        <v>-2.5</v>
      </c>
      <c r="CK4787">
        <v>73</v>
      </c>
      <c r="CL4787">
        <v>-0.65</v>
      </c>
      <c r="CM4787">
        <v>71</v>
      </c>
      <c r="CN4787">
        <v>-0.4</v>
      </c>
      <c r="CO4787">
        <v>69</v>
      </c>
      <c r="CP4787">
        <v>-2.9</v>
      </c>
      <c r="CQ4787">
        <v>72</v>
      </c>
      <c r="CR4787">
        <v>0</v>
      </c>
      <c r="CS4787">
        <v>0</v>
      </c>
      <c r="CT4787">
        <v>12.1</v>
      </c>
      <c r="CU4787">
        <v>67</v>
      </c>
      <c r="CV4787">
        <v>0.11</v>
      </c>
      <c r="CW4787">
        <v>41</v>
      </c>
      <c r="CX4787" t="s">
        <v>543</v>
      </c>
    </row>
    <row r="4788" spans="1:102" x14ac:dyDescent="0.3">
      <c r="A4788" t="str">
        <f>HYPERLINK("https://webapp.icbf.com/v2/app/bull-search/view/108367947","HEY")</f>
        <v>HEY</v>
      </c>
      <c r="B4788" t="s">
        <v>4071</v>
      </c>
      <c r="C4788" t="s">
        <v>4072</v>
      </c>
      <c r="D4788" s="1">
        <v>35086</v>
      </c>
      <c r="E4788" t="s">
        <v>92</v>
      </c>
      <c r="F4788">
        <v>100</v>
      </c>
      <c r="G4788" t="s">
        <v>93</v>
      </c>
      <c r="H4788">
        <v>-181.03</v>
      </c>
      <c r="I4788">
        <v>90</v>
      </c>
      <c r="J4788">
        <v>-41.14</v>
      </c>
      <c r="K4788">
        <v>97</v>
      </c>
      <c r="L4788">
        <v>-132.47</v>
      </c>
      <c r="M4788">
        <v>89</v>
      </c>
      <c r="N4788">
        <v>-4.8</v>
      </c>
      <c r="O4788">
        <v>87</v>
      </c>
      <c r="P4788">
        <v>1.52</v>
      </c>
      <c r="Q4788">
        <v>92</v>
      </c>
      <c r="R4788">
        <v>6.87</v>
      </c>
      <c r="S4788">
        <v>80</v>
      </c>
      <c r="T4788">
        <v>-3.56</v>
      </c>
      <c r="U4788">
        <v>82</v>
      </c>
      <c r="V4788">
        <v>-7.45</v>
      </c>
      <c r="W4788">
        <v>70</v>
      </c>
      <c r="X4788" t="s">
        <v>276</v>
      </c>
      <c r="Y4788" t="s">
        <v>95</v>
      </c>
      <c r="Z4788" t="s">
        <v>96</v>
      </c>
      <c r="AA4788" t="s">
        <v>989</v>
      </c>
      <c r="AB4788" t="s">
        <v>4073</v>
      </c>
      <c r="AC4788">
        <v>106</v>
      </c>
      <c r="AD4788">
        <v>46</v>
      </c>
      <c r="AE4788">
        <v>97</v>
      </c>
      <c r="AF4788">
        <v>201.24</v>
      </c>
      <c r="AG4788">
        <v>-6.35</v>
      </c>
      <c r="AH4788">
        <v>-1.67</v>
      </c>
      <c r="AI4788">
        <v>-0.24</v>
      </c>
      <c r="AJ4788">
        <v>-0.14000000000000001</v>
      </c>
      <c r="AK4788">
        <v>89</v>
      </c>
      <c r="AL4788">
        <v>94</v>
      </c>
      <c r="AM4788">
        <v>35</v>
      </c>
      <c r="AN4788">
        <v>6.75</v>
      </c>
      <c r="AO4788">
        <v>-3.82</v>
      </c>
      <c r="AP4788">
        <v>221</v>
      </c>
      <c r="AQ4788">
        <v>5</v>
      </c>
      <c r="AR4788">
        <v>9.0500000000000007</v>
      </c>
      <c r="AS4788">
        <v>85</v>
      </c>
      <c r="AT4788">
        <v>4.37</v>
      </c>
      <c r="AU4788">
        <v>91</v>
      </c>
      <c r="AV4788">
        <v>-2.2000000000000002</v>
      </c>
      <c r="AW4788">
        <v>92</v>
      </c>
      <c r="AX4788">
        <v>2.58</v>
      </c>
      <c r="AY4788">
        <v>84</v>
      </c>
      <c r="AZ4788">
        <v>5.82</v>
      </c>
      <c r="BA4788">
        <v>68</v>
      </c>
      <c r="BB4788">
        <v>4.97</v>
      </c>
      <c r="BC4788">
        <v>69</v>
      </c>
      <c r="BD4788">
        <v>-0.03</v>
      </c>
      <c r="BE4788">
        <v>-0.02</v>
      </c>
      <c r="BF4788">
        <v>-7.0000000000000007E-2</v>
      </c>
      <c r="BG4788">
        <v>90</v>
      </c>
      <c r="BH4788">
        <v>-0.2</v>
      </c>
      <c r="BI4788">
        <v>0.89</v>
      </c>
      <c r="BJ4788">
        <v>34</v>
      </c>
      <c r="BK4788">
        <v>15</v>
      </c>
      <c r="BL4788">
        <v>1.47</v>
      </c>
      <c r="BM4788">
        <v>0.2</v>
      </c>
      <c r="BN4788">
        <v>1.52</v>
      </c>
      <c r="BO4788">
        <v>1.29</v>
      </c>
      <c r="BP4788">
        <v>0.77</v>
      </c>
      <c r="BQ4788">
        <v>0.89</v>
      </c>
      <c r="BR4788">
        <v>-0.75</v>
      </c>
      <c r="BS4788">
        <v>-0.38</v>
      </c>
      <c r="BT4788">
        <v>1.61</v>
      </c>
      <c r="BU4788">
        <v>1.57</v>
      </c>
      <c r="BV4788">
        <v>1.63</v>
      </c>
      <c r="BW4788">
        <v>1.2</v>
      </c>
      <c r="BX4788">
        <v>1.0900000000000001</v>
      </c>
      <c r="BY4788">
        <v>0.7</v>
      </c>
      <c r="BZ4788">
        <v>1.3</v>
      </c>
      <c r="CA4788">
        <v>1.48</v>
      </c>
      <c r="CB4788">
        <v>1.45</v>
      </c>
      <c r="CC4788">
        <v>0.74</v>
      </c>
      <c r="CD4788">
        <v>-0.94</v>
      </c>
      <c r="CE4788">
        <v>0.94</v>
      </c>
      <c r="CF4788">
        <v>0.97</v>
      </c>
      <c r="CG4788">
        <v>0</v>
      </c>
      <c r="CH4788">
        <v>0.78</v>
      </c>
      <c r="CI4788">
        <v>0</v>
      </c>
      <c r="CJ4788">
        <v>3.3</v>
      </c>
      <c r="CK4788">
        <v>93</v>
      </c>
      <c r="CL4788">
        <v>-0.89</v>
      </c>
      <c r="CM4788">
        <v>92</v>
      </c>
      <c r="CN4788">
        <v>-0.45</v>
      </c>
      <c r="CO4788">
        <v>91</v>
      </c>
      <c r="CP4788">
        <v>5.9</v>
      </c>
      <c r="CQ4788">
        <v>91</v>
      </c>
      <c r="CR4788">
        <v>0</v>
      </c>
      <c r="CS4788">
        <v>0</v>
      </c>
      <c r="CT4788">
        <v>18.600000000000001</v>
      </c>
      <c r="CU4788">
        <v>82</v>
      </c>
      <c r="CV4788">
        <v>0.28000000000000003</v>
      </c>
      <c r="CW4788">
        <v>44</v>
      </c>
      <c r="CX4788" t="s">
        <v>161</v>
      </c>
    </row>
    <row r="4789" spans="1:102" x14ac:dyDescent="0.3">
      <c r="A4789" t="str">
        <f>HYPERLINK("https://webapp.icbf.com/v2/app/bull-search/view/77855524","MBC")</f>
        <v>MBC</v>
      </c>
      <c r="B4789" t="s">
        <v>7367</v>
      </c>
      <c r="C4789" t="s">
        <v>2855</v>
      </c>
      <c r="D4789" s="1">
        <v>32517</v>
      </c>
      <c r="E4789" t="s">
        <v>92</v>
      </c>
      <c r="F4789">
        <v>100</v>
      </c>
      <c r="G4789" t="s">
        <v>93</v>
      </c>
      <c r="H4789">
        <v>-181.15</v>
      </c>
      <c r="I4789">
        <v>96</v>
      </c>
      <c r="J4789">
        <v>0.83</v>
      </c>
      <c r="K4789">
        <v>99</v>
      </c>
      <c r="L4789">
        <v>-167</v>
      </c>
      <c r="M4789">
        <v>94</v>
      </c>
      <c r="N4789">
        <v>10.26</v>
      </c>
      <c r="O4789">
        <v>96</v>
      </c>
      <c r="P4789">
        <v>-9.59</v>
      </c>
      <c r="Q4789">
        <v>98</v>
      </c>
      <c r="R4789">
        <v>-26.3</v>
      </c>
      <c r="S4789">
        <v>91</v>
      </c>
      <c r="T4789">
        <v>15.45</v>
      </c>
      <c r="U4789">
        <v>97</v>
      </c>
      <c r="V4789">
        <v>-4.8</v>
      </c>
      <c r="W4789">
        <v>87</v>
      </c>
      <c r="X4789" t="s">
        <v>276</v>
      </c>
      <c r="Y4789" t="s">
        <v>95</v>
      </c>
      <c r="Z4789" t="s">
        <v>96</v>
      </c>
      <c r="AA4789" t="s">
        <v>6504</v>
      </c>
      <c r="AB4789" t="s">
        <v>3394</v>
      </c>
      <c r="AC4789">
        <v>1284</v>
      </c>
      <c r="AD4789">
        <v>564</v>
      </c>
      <c r="AE4789">
        <v>99</v>
      </c>
      <c r="AF4789">
        <v>-122.67</v>
      </c>
      <c r="AG4789">
        <v>3.26</v>
      </c>
      <c r="AH4789">
        <v>-2.89</v>
      </c>
      <c r="AI4789">
        <v>0.14000000000000001</v>
      </c>
      <c r="AJ4789">
        <v>0.02</v>
      </c>
      <c r="AK4789">
        <v>94</v>
      </c>
      <c r="AL4789">
        <v>1422</v>
      </c>
      <c r="AM4789">
        <v>603</v>
      </c>
      <c r="AN4789">
        <v>8.15</v>
      </c>
      <c r="AO4789">
        <v>-5.18</v>
      </c>
      <c r="AP4789">
        <v>219</v>
      </c>
      <c r="AQ4789">
        <v>2</v>
      </c>
      <c r="AR4789">
        <v>5.7</v>
      </c>
      <c r="AS4789">
        <v>91</v>
      </c>
      <c r="AT4789">
        <v>2.46</v>
      </c>
      <c r="AU4789">
        <v>97</v>
      </c>
      <c r="AV4789">
        <v>-1.06</v>
      </c>
      <c r="AW4789">
        <v>97</v>
      </c>
      <c r="AX4789">
        <v>-0.43</v>
      </c>
      <c r="AY4789">
        <v>98</v>
      </c>
      <c r="AZ4789">
        <v>8.94</v>
      </c>
      <c r="BA4789">
        <v>88</v>
      </c>
      <c r="BB4789">
        <v>5.92</v>
      </c>
      <c r="BC4789">
        <v>94</v>
      </c>
      <c r="BD4789">
        <v>0.04</v>
      </c>
      <c r="BE4789">
        <v>0.12</v>
      </c>
      <c r="BF4789">
        <v>0.31</v>
      </c>
      <c r="BG4789">
        <v>99</v>
      </c>
      <c r="BH4789">
        <v>-0.13</v>
      </c>
      <c r="BI4789">
        <v>0.44</v>
      </c>
      <c r="BJ4789">
        <v>113</v>
      </c>
      <c r="BK4789">
        <v>63</v>
      </c>
      <c r="BL4789">
        <v>0.63</v>
      </c>
      <c r="BM4789">
        <v>0.39</v>
      </c>
      <c r="BN4789">
        <v>2.71</v>
      </c>
      <c r="BO4789">
        <v>1.32</v>
      </c>
      <c r="BP4789">
        <v>-3.93</v>
      </c>
      <c r="BQ4789">
        <v>-0.14000000000000001</v>
      </c>
      <c r="BR4789">
        <v>2.5099999999999998</v>
      </c>
      <c r="BS4789">
        <v>-2.7</v>
      </c>
      <c r="BT4789">
        <v>-2.95</v>
      </c>
      <c r="BU4789">
        <v>-0.3</v>
      </c>
      <c r="BV4789">
        <v>0.75</v>
      </c>
      <c r="BW4789">
        <v>0.11</v>
      </c>
      <c r="BX4789">
        <v>-2.63</v>
      </c>
      <c r="BY4789">
        <v>0.61</v>
      </c>
      <c r="BZ4789">
        <v>-0.59</v>
      </c>
      <c r="CA4789">
        <v>-0.94</v>
      </c>
      <c r="CB4789">
        <v>0.12</v>
      </c>
      <c r="CC4789">
        <v>-2.35</v>
      </c>
      <c r="CD4789">
        <v>-1.51</v>
      </c>
      <c r="CE4789">
        <v>0.96</v>
      </c>
      <c r="CF4789">
        <v>0.59</v>
      </c>
      <c r="CG4789">
        <v>0</v>
      </c>
      <c r="CH4789">
        <v>0.56999999999999995</v>
      </c>
      <c r="CI4789">
        <v>0</v>
      </c>
      <c r="CJ4789">
        <v>-2.7</v>
      </c>
      <c r="CK4789">
        <v>98</v>
      </c>
      <c r="CL4789">
        <v>-0.81</v>
      </c>
      <c r="CM4789">
        <v>98</v>
      </c>
      <c r="CN4789">
        <v>-0.36</v>
      </c>
      <c r="CO4789">
        <v>98</v>
      </c>
      <c r="CP4789">
        <v>-11.5</v>
      </c>
      <c r="CQ4789">
        <v>99</v>
      </c>
      <c r="CR4789">
        <v>0</v>
      </c>
      <c r="CS4789">
        <v>0</v>
      </c>
      <c r="CT4789">
        <v>-7.1</v>
      </c>
      <c r="CU4789">
        <v>97</v>
      </c>
      <c r="CV4789">
        <v>0.19</v>
      </c>
      <c r="CW4789">
        <v>46</v>
      </c>
      <c r="CX4789" t="s">
        <v>707</v>
      </c>
    </row>
    <row r="4790" spans="1:102" x14ac:dyDescent="0.3">
      <c r="A4790" t="str">
        <f>HYPERLINK("https://webapp.icbf.com/v2/app/bull-search/view/77854882","MUK")</f>
        <v>MUK</v>
      </c>
      <c r="B4790" t="s">
        <v>8652</v>
      </c>
      <c r="C4790" t="s">
        <v>8653</v>
      </c>
      <c r="D4790" s="1">
        <v>35241</v>
      </c>
      <c r="E4790" t="s">
        <v>92</v>
      </c>
      <c r="F4790">
        <v>100</v>
      </c>
      <c r="G4790" t="s">
        <v>93</v>
      </c>
      <c r="H4790">
        <v>-181.17</v>
      </c>
      <c r="I4790">
        <v>76</v>
      </c>
      <c r="J4790">
        <v>0.31</v>
      </c>
      <c r="K4790">
        <v>95</v>
      </c>
      <c r="L4790">
        <v>-165.61</v>
      </c>
      <c r="M4790">
        <v>64</v>
      </c>
      <c r="N4790">
        <v>-0.64</v>
      </c>
      <c r="O4790">
        <v>68</v>
      </c>
      <c r="P4790">
        <v>-6.48</v>
      </c>
      <c r="Q4790">
        <v>80</v>
      </c>
      <c r="R4790">
        <v>-14.25</v>
      </c>
      <c r="S4790">
        <v>68</v>
      </c>
      <c r="T4790">
        <v>8.7200000000000006</v>
      </c>
      <c r="U4790">
        <v>75</v>
      </c>
      <c r="V4790">
        <v>-3.22</v>
      </c>
      <c r="W4790">
        <v>35</v>
      </c>
      <c r="X4790" t="s">
        <v>94</v>
      </c>
      <c r="Y4790" t="s">
        <v>95</v>
      </c>
      <c r="Z4790" t="s">
        <v>96</v>
      </c>
      <c r="AA4790" t="s">
        <v>924</v>
      </c>
      <c r="AB4790" t="s">
        <v>6875</v>
      </c>
      <c r="AC4790">
        <v>92</v>
      </c>
      <c r="AD4790">
        <v>81</v>
      </c>
      <c r="AE4790">
        <v>95</v>
      </c>
      <c r="AF4790">
        <v>331.06</v>
      </c>
      <c r="AG4790">
        <v>3.76</v>
      </c>
      <c r="AH4790">
        <v>3.79</v>
      </c>
      <c r="AI4790">
        <v>-0.14000000000000001</v>
      </c>
      <c r="AJ4790">
        <v>-0.12</v>
      </c>
      <c r="AK4790">
        <v>64</v>
      </c>
      <c r="AL4790">
        <v>84</v>
      </c>
      <c r="AM4790">
        <v>66</v>
      </c>
      <c r="AN4790">
        <v>9.58</v>
      </c>
      <c r="AO4790">
        <v>-3.62</v>
      </c>
      <c r="AP4790">
        <v>26</v>
      </c>
      <c r="AQ4790">
        <v>0</v>
      </c>
      <c r="AR4790">
        <v>6.46</v>
      </c>
      <c r="AS4790">
        <v>43</v>
      </c>
      <c r="AT4790">
        <v>3.04</v>
      </c>
      <c r="AU4790">
        <v>67</v>
      </c>
      <c r="AV4790">
        <v>0.08</v>
      </c>
      <c r="AW4790">
        <v>79</v>
      </c>
      <c r="AX4790">
        <v>0.4</v>
      </c>
      <c r="AY4790">
        <v>75</v>
      </c>
      <c r="AZ4790">
        <v>6.61</v>
      </c>
      <c r="BA4790">
        <v>43</v>
      </c>
      <c r="BB4790">
        <v>5.45</v>
      </c>
      <c r="BC4790">
        <v>56</v>
      </c>
      <c r="BD4790">
        <v>7.0000000000000007E-2</v>
      </c>
      <c r="BE4790">
        <v>0.09</v>
      </c>
      <c r="BF4790">
        <v>0.04</v>
      </c>
      <c r="BG4790">
        <v>83</v>
      </c>
      <c r="BH4790">
        <v>0</v>
      </c>
      <c r="BI4790">
        <v>10.38</v>
      </c>
      <c r="BJ4790">
        <v>12</v>
      </c>
      <c r="BK4790">
        <v>6</v>
      </c>
      <c r="BL4790">
        <v>0.7</v>
      </c>
      <c r="BM4790">
        <v>0.55000000000000004</v>
      </c>
      <c r="BN4790">
        <v>1.78</v>
      </c>
      <c r="BO4790">
        <v>1</v>
      </c>
      <c r="BP4790">
        <v>-0.5</v>
      </c>
      <c r="BQ4790">
        <v>-0.86</v>
      </c>
      <c r="BR4790">
        <v>-0.16</v>
      </c>
      <c r="BS4790">
        <v>-1.1299999999999999</v>
      </c>
      <c r="BT4790">
        <v>-0.68</v>
      </c>
      <c r="BU4790">
        <v>0.48</v>
      </c>
      <c r="BV4790">
        <v>0.38</v>
      </c>
      <c r="BW4790">
        <v>-0.66</v>
      </c>
      <c r="BX4790">
        <v>-0.01</v>
      </c>
      <c r="BY4790">
        <v>-0.35</v>
      </c>
      <c r="BZ4790">
        <v>-0.42</v>
      </c>
      <c r="CA4790">
        <v>0.44</v>
      </c>
      <c r="CB4790">
        <v>0.92</v>
      </c>
      <c r="CC4790">
        <v>-0.55000000000000004</v>
      </c>
      <c r="CD4790">
        <v>-0.9</v>
      </c>
      <c r="CE4790">
        <v>0.02</v>
      </c>
      <c r="CF4790">
        <v>0.88</v>
      </c>
      <c r="CG4790">
        <v>0</v>
      </c>
      <c r="CH4790">
        <v>-1.63</v>
      </c>
      <c r="CI4790">
        <v>0</v>
      </c>
      <c r="CJ4790">
        <v>-3.2</v>
      </c>
      <c r="CK4790">
        <v>81</v>
      </c>
      <c r="CL4790">
        <v>-0.6</v>
      </c>
      <c r="CM4790">
        <v>78</v>
      </c>
      <c r="CN4790">
        <v>-0.42</v>
      </c>
      <c r="CO4790">
        <v>75</v>
      </c>
      <c r="CP4790">
        <v>-5.3</v>
      </c>
      <c r="CQ4790">
        <v>87</v>
      </c>
      <c r="CR4790">
        <v>0</v>
      </c>
      <c r="CS4790">
        <v>0</v>
      </c>
      <c r="CT4790">
        <v>2</v>
      </c>
      <c r="CU4790">
        <v>75</v>
      </c>
      <c r="CV4790">
        <v>0</v>
      </c>
      <c r="CW4790">
        <v>22</v>
      </c>
      <c r="CX4790" t="s">
        <v>6504</v>
      </c>
    </row>
    <row r="4791" spans="1:102" x14ac:dyDescent="0.3">
      <c r="A4791" t="str">
        <f>HYPERLINK("https://webapp.icbf.com/v2/app/bull-search/view/77853538","SWC")</f>
        <v>SWC</v>
      </c>
      <c r="B4791" t="s">
        <v>4932</v>
      </c>
      <c r="C4791" t="s">
        <v>4933</v>
      </c>
      <c r="D4791" s="1">
        <v>34070</v>
      </c>
      <c r="E4791" t="s">
        <v>92</v>
      </c>
      <c r="F4791">
        <v>100</v>
      </c>
      <c r="G4791" t="s">
        <v>109</v>
      </c>
      <c r="H4791">
        <v>-181.31</v>
      </c>
      <c r="I4791">
        <v>64</v>
      </c>
      <c r="J4791">
        <v>-39.14</v>
      </c>
      <c r="K4791">
        <v>80</v>
      </c>
      <c r="L4791">
        <v>-111.09</v>
      </c>
      <c r="M4791">
        <v>76</v>
      </c>
      <c r="N4791">
        <v>-13.57</v>
      </c>
      <c r="O4791">
        <v>39</v>
      </c>
      <c r="P4791">
        <v>-9.15</v>
      </c>
      <c r="Q4791">
        <v>36</v>
      </c>
      <c r="R4791">
        <v>-11.34</v>
      </c>
      <c r="S4791">
        <v>56</v>
      </c>
      <c r="T4791">
        <v>7.98</v>
      </c>
      <c r="U4791">
        <v>38</v>
      </c>
      <c r="V4791">
        <v>-5</v>
      </c>
      <c r="W4791">
        <v>21</v>
      </c>
      <c r="X4791" t="s">
        <v>94</v>
      </c>
      <c r="Y4791" t="s">
        <v>95</v>
      </c>
      <c r="Z4791" t="s">
        <v>96</v>
      </c>
      <c r="AA4791" t="s">
        <v>1218</v>
      </c>
      <c r="AB4791" t="s">
        <v>4934</v>
      </c>
      <c r="AC4791">
        <v>0</v>
      </c>
      <c r="AD4791">
        <v>0</v>
      </c>
      <c r="AE4791">
        <v>80</v>
      </c>
      <c r="AF4791">
        <v>-125.55</v>
      </c>
      <c r="AG4791">
        <v>-0.05</v>
      </c>
      <c r="AH4791">
        <v>-8.56</v>
      </c>
      <c r="AI4791">
        <v>0.08</v>
      </c>
      <c r="AJ4791">
        <v>-7.0000000000000007E-2</v>
      </c>
      <c r="AK4791">
        <v>76</v>
      </c>
      <c r="AL4791">
        <v>0</v>
      </c>
      <c r="AM4791">
        <v>0</v>
      </c>
      <c r="AN4791">
        <v>5.21</v>
      </c>
      <c r="AO4791">
        <v>-3.66</v>
      </c>
      <c r="AP4791">
        <v>1</v>
      </c>
      <c r="AQ4791">
        <v>3</v>
      </c>
      <c r="AR4791">
        <v>8.02</v>
      </c>
      <c r="AS4791">
        <v>24</v>
      </c>
      <c r="AT4791">
        <v>4.1100000000000003</v>
      </c>
      <c r="AU4791">
        <v>74</v>
      </c>
      <c r="AV4791">
        <v>-0.9</v>
      </c>
      <c r="AW4791">
        <v>28</v>
      </c>
      <c r="AX4791">
        <v>0.11</v>
      </c>
      <c r="AY4791">
        <v>33</v>
      </c>
      <c r="AZ4791">
        <v>8.1</v>
      </c>
      <c r="BA4791">
        <v>24</v>
      </c>
      <c r="BB4791">
        <v>6.29</v>
      </c>
      <c r="BC4791">
        <v>25</v>
      </c>
      <c r="BD4791">
        <v>0.04</v>
      </c>
      <c r="BE4791">
        <v>0.06</v>
      </c>
      <c r="BF4791">
        <v>0.08</v>
      </c>
      <c r="BG4791">
        <v>84</v>
      </c>
      <c r="BH4791">
        <v>-0.05</v>
      </c>
      <c r="BI4791">
        <v>10.36</v>
      </c>
      <c r="BJ4791">
        <v>0</v>
      </c>
      <c r="BK4791">
        <v>0</v>
      </c>
      <c r="BL4791">
        <v>0.98</v>
      </c>
      <c r="BM4791">
        <v>1.1399999999999999</v>
      </c>
      <c r="BN4791">
        <v>1.87</v>
      </c>
      <c r="BO4791">
        <v>0.46</v>
      </c>
      <c r="BP4791">
        <v>0.98</v>
      </c>
      <c r="BQ4791">
        <v>0.59</v>
      </c>
      <c r="BR4791">
        <v>-0.66</v>
      </c>
      <c r="BS4791">
        <v>-0.03</v>
      </c>
      <c r="BT4791">
        <v>0.56000000000000005</v>
      </c>
      <c r="BU4791">
        <v>0.65</v>
      </c>
      <c r="BV4791">
        <v>-0.43</v>
      </c>
      <c r="BW4791">
        <v>0.93</v>
      </c>
      <c r="BX4791">
        <v>0.78</v>
      </c>
      <c r="BY4791">
        <v>0.52</v>
      </c>
      <c r="BZ4791">
        <v>-0.01</v>
      </c>
      <c r="CA4791">
        <v>0.93</v>
      </c>
      <c r="CB4791">
        <v>0.75</v>
      </c>
      <c r="CC4791">
        <v>1.07</v>
      </c>
      <c r="CD4791">
        <v>-0.33</v>
      </c>
      <c r="CE4791">
        <v>0</v>
      </c>
      <c r="CF4791">
        <v>0</v>
      </c>
      <c r="CG4791">
        <v>0</v>
      </c>
      <c r="CH4791">
        <v>0</v>
      </c>
      <c r="CI4791">
        <v>0</v>
      </c>
      <c r="CJ4791">
        <v>-5.4</v>
      </c>
      <c r="CK4791">
        <v>37</v>
      </c>
      <c r="CL4791">
        <v>-0.77</v>
      </c>
      <c r="CM4791">
        <v>34</v>
      </c>
      <c r="CN4791">
        <v>-0.55000000000000004</v>
      </c>
      <c r="CO4791">
        <v>33</v>
      </c>
      <c r="CP4791">
        <v>-1.3</v>
      </c>
      <c r="CQ4791">
        <v>35</v>
      </c>
      <c r="CR4791">
        <v>0</v>
      </c>
      <c r="CS4791">
        <v>0</v>
      </c>
      <c r="CT4791">
        <v>3</v>
      </c>
      <c r="CU4791">
        <v>38</v>
      </c>
      <c r="CV4791">
        <v>0.08</v>
      </c>
      <c r="CW4791">
        <v>10</v>
      </c>
      <c r="CX4791" t="s">
        <v>3852</v>
      </c>
    </row>
    <row r="4792" spans="1:102" x14ac:dyDescent="0.3">
      <c r="A4792" t="str">
        <f>HYPERLINK("https://webapp.icbf.com/v2/app/bull-search/view/77855914","LRE")</f>
        <v>LRE</v>
      </c>
      <c r="B4792" t="s">
        <v>6459</v>
      </c>
      <c r="C4792" t="s">
        <v>6460</v>
      </c>
      <c r="D4792" s="1">
        <v>34924</v>
      </c>
      <c r="E4792" t="s">
        <v>92</v>
      </c>
      <c r="F4792">
        <v>100</v>
      </c>
      <c r="G4792" t="s">
        <v>93</v>
      </c>
      <c r="H4792">
        <v>-182.12</v>
      </c>
      <c r="I4792">
        <v>78</v>
      </c>
      <c r="J4792">
        <v>-24.29</v>
      </c>
      <c r="K4792">
        <v>96</v>
      </c>
      <c r="L4792">
        <v>-104.73</v>
      </c>
      <c r="M4792">
        <v>67</v>
      </c>
      <c r="N4792">
        <v>-35.119999999999997</v>
      </c>
      <c r="O4792">
        <v>67</v>
      </c>
      <c r="P4792">
        <v>1.02</v>
      </c>
      <c r="Q4792">
        <v>87</v>
      </c>
      <c r="R4792">
        <v>-14.98</v>
      </c>
      <c r="S4792">
        <v>69</v>
      </c>
      <c r="T4792">
        <v>0.95</v>
      </c>
      <c r="U4792">
        <v>79</v>
      </c>
      <c r="V4792">
        <v>-4.97</v>
      </c>
      <c r="W4792">
        <v>44</v>
      </c>
      <c r="X4792" t="s">
        <v>94</v>
      </c>
      <c r="Y4792" t="s">
        <v>95</v>
      </c>
      <c r="Z4792" t="s">
        <v>96</v>
      </c>
      <c r="AA4792" t="s">
        <v>97</v>
      </c>
      <c r="AB4792" t="s">
        <v>6461</v>
      </c>
      <c r="AC4792">
        <v>99</v>
      </c>
      <c r="AD4792">
        <v>69</v>
      </c>
      <c r="AE4792">
        <v>96</v>
      </c>
      <c r="AF4792">
        <v>74.67</v>
      </c>
      <c r="AG4792">
        <v>-7.12</v>
      </c>
      <c r="AH4792">
        <v>-0.47</v>
      </c>
      <c r="AI4792">
        <v>-0.16</v>
      </c>
      <c r="AJ4792">
        <v>-0.05</v>
      </c>
      <c r="AK4792">
        <v>67</v>
      </c>
      <c r="AL4792">
        <v>103</v>
      </c>
      <c r="AM4792">
        <v>64</v>
      </c>
      <c r="AN4792">
        <v>5.08</v>
      </c>
      <c r="AO4792">
        <v>-3.28</v>
      </c>
      <c r="AP4792">
        <v>21</v>
      </c>
      <c r="AQ4792">
        <v>0</v>
      </c>
      <c r="AR4792">
        <v>10.7</v>
      </c>
      <c r="AS4792">
        <v>53</v>
      </c>
      <c r="AT4792">
        <v>5.19</v>
      </c>
      <c r="AU4792">
        <v>60</v>
      </c>
      <c r="AV4792">
        <v>0.63</v>
      </c>
      <c r="AW4792">
        <v>77</v>
      </c>
      <c r="AX4792">
        <v>-0.39</v>
      </c>
      <c r="AY4792">
        <v>78</v>
      </c>
      <c r="AZ4792">
        <v>6.69</v>
      </c>
      <c r="BA4792">
        <v>37</v>
      </c>
      <c r="BB4792">
        <v>4.72</v>
      </c>
      <c r="BC4792">
        <v>55</v>
      </c>
      <c r="BD4792">
        <v>0.05</v>
      </c>
      <c r="BE4792">
        <v>0.09</v>
      </c>
      <c r="BF4792">
        <v>0.09</v>
      </c>
      <c r="BG4792">
        <v>85</v>
      </c>
      <c r="BH4792">
        <v>-0.13</v>
      </c>
      <c r="BI4792">
        <v>1.01</v>
      </c>
      <c r="BJ4792">
        <v>12</v>
      </c>
      <c r="BK4792">
        <v>10</v>
      </c>
      <c r="BL4792">
        <v>0.26</v>
      </c>
      <c r="BM4792">
        <v>-0.87</v>
      </c>
      <c r="BN4792">
        <v>-7.0000000000000007E-2</v>
      </c>
      <c r="BO4792">
        <v>0.52</v>
      </c>
      <c r="BP4792">
        <v>0.77</v>
      </c>
      <c r="BQ4792">
        <v>-0.89</v>
      </c>
      <c r="BR4792">
        <v>-0.09</v>
      </c>
      <c r="BS4792">
        <v>0.45</v>
      </c>
      <c r="BT4792">
        <v>-0.61</v>
      </c>
      <c r="BU4792">
        <v>-0.78</v>
      </c>
      <c r="BV4792">
        <v>0.21</v>
      </c>
      <c r="BW4792">
        <v>0.06</v>
      </c>
      <c r="BX4792">
        <v>-1.28</v>
      </c>
      <c r="BY4792">
        <v>-0.2</v>
      </c>
      <c r="BZ4792">
        <v>-0.36</v>
      </c>
      <c r="CA4792">
        <v>0.24</v>
      </c>
      <c r="CB4792">
        <v>0.09</v>
      </c>
      <c r="CC4792">
        <v>0.43</v>
      </c>
      <c r="CD4792">
        <v>-0.93</v>
      </c>
      <c r="CE4792">
        <v>0.64</v>
      </c>
      <c r="CF4792">
        <v>0.21</v>
      </c>
      <c r="CG4792">
        <v>0</v>
      </c>
      <c r="CH4792">
        <v>0.65</v>
      </c>
      <c r="CI4792">
        <v>0</v>
      </c>
      <c r="CJ4792">
        <v>3.3</v>
      </c>
      <c r="CK4792">
        <v>88</v>
      </c>
      <c r="CL4792">
        <v>-0.54</v>
      </c>
      <c r="CM4792">
        <v>86</v>
      </c>
      <c r="CN4792">
        <v>-0.15</v>
      </c>
      <c r="CO4792">
        <v>84</v>
      </c>
      <c r="CP4792">
        <v>1.9</v>
      </c>
      <c r="CQ4792">
        <v>89</v>
      </c>
      <c r="CR4792">
        <v>0</v>
      </c>
      <c r="CS4792">
        <v>0</v>
      </c>
      <c r="CT4792">
        <v>12.5</v>
      </c>
      <c r="CU4792">
        <v>79</v>
      </c>
      <c r="CV4792">
        <v>0.19</v>
      </c>
      <c r="CW4792">
        <v>25</v>
      </c>
      <c r="CX4792" t="s">
        <v>485</v>
      </c>
    </row>
    <row r="4793" spans="1:102" x14ac:dyDescent="0.3">
      <c r="A4793" t="str">
        <f>HYPERLINK("https://webapp.icbf.com/v2/app/bull-search/view/69091555","EEA")</f>
        <v>EEA</v>
      </c>
      <c r="B4793" t="s">
        <v>3252</v>
      </c>
      <c r="C4793" t="s">
        <v>3253</v>
      </c>
      <c r="D4793" s="1">
        <v>34984</v>
      </c>
      <c r="E4793" t="s">
        <v>92</v>
      </c>
      <c r="F4793">
        <v>94</v>
      </c>
      <c r="G4793" t="s">
        <v>116</v>
      </c>
      <c r="H4793">
        <v>-182.31</v>
      </c>
      <c r="I4793">
        <v>31</v>
      </c>
      <c r="J4793">
        <v>0.3</v>
      </c>
      <c r="K4793">
        <v>25</v>
      </c>
      <c r="L4793">
        <v>-152.12</v>
      </c>
      <c r="M4793">
        <v>34</v>
      </c>
      <c r="N4793">
        <v>-13.31</v>
      </c>
      <c r="O4793">
        <v>31</v>
      </c>
      <c r="P4793">
        <v>-9.5500000000000007</v>
      </c>
      <c r="Q4793">
        <v>36</v>
      </c>
      <c r="R4793">
        <v>-13.03</v>
      </c>
      <c r="S4793">
        <v>36</v>
      </c>
      <c r="T4793">
        <v>12.64</v>
      </c>
      <c r="U4793">
        <v>35</v>
      </c>
      <c r="V4793">
        <v>-7.24</v>
      </c>
      <c r="W4793">
        <v>32</v>
      </c>
      <c r="X4793" t="s">
        <v>94</v>
      </c>
      <c r="Y4793" t="s">
        <v>1499</v>
      </c>
      <c r="Z4793">
        <v>0</v>
      </c>
      <c r="AA4793" t="s">
        <v>105</v>
      </c>
      <c r="AB4793" t="s">
        <v>3254</v>
      </c>
      <c r="AC4793">
        <v>0</v>
      </c>
      <c r="AD4793">
        <v>0</v>
      </c>
      <c r="AE4793">
        <v>25</v>
      </c>
      <c r="AF4793">
        <v>126.28</v>
      </c>
      <c r="AG4793">
        <v>0.97</v>
      </c>
      <c r="AH4793">
        <v>1.64</v>
      </c>
      <c r="AI4793">
        <v>-0.06</v>
      </c>
      <c r="AJ4793">
        <v>-0.05</v>
      </c>
      <c r="AK4793">
        <v>34</v>
      </c>
      <c r="AL4793">
        <v>0</v>
      </c>
      <c r="AM4793">
        <v>0</v>
      </c>
      <c r="AN4793">
        <v>8.41</v>
      </c>
      <c r="AO4793">
        <v>-3.72</v>
      </c>
      <c r="AP4793">
        <v>0</v>
      </c>
      <c r="AQ4793">
        <v>1</v>
      </c>
      <c r="AR4793">
        <v>9.76</v>
      </c>
      <c r="AS4793">
        <v>29</v>
      </c>
      <c r="AT4793">
        <v>4.1900000000000004</v>
      </c>
      <c r="AU4793">
        <v>32</v>
      </c>
      <c r="AV4793">
        <v>0.25</v>
      </c>
      <c r="AW4793">
        <v>31</v>
      </c>
      <c r="AX4793">
        <v>-0.46</v>
      </c>
      <c r="AY4793">
        <v>34</v>
      </c>
      <c r="AZ4793">
        <v>5.4</v>
      </c>
      <c r="BA4793">
        <v>29</v>
      </c>
      <c r="BB4793">
        <v>4.38</v>
      </c>
      <c r="BC4793">
        <v>30</v>
      </c>
      <c r="BD4793">
        <v>7.0000000000000007E-2</v>
      </c>
      <c r="BE4793">
        <v>7.0000000000000007E-2</v>
      </c>
      <c r="BF4793">
        <v>0.05</v>
      </c>
      <c r="BG4793">
        <v>38</v>
      </c>
      <c r="BH4793">
        <v>-0.04</v>
      </c>
      <c r="BI4793">
        <v>18.73</v>
      </c>
      <c r="BJ4793">
        <v>0</v>
      </c>
      <c r="BK4793">
        <v>0</v>
      </c>
      <c r="BL4793">
        <v>0.2</v>
      </c>
      <c r="BM4793">
        <v>0.4</v>
      </c>
      <c r="BN4793">
        <v>0.88</v>
      </c>
      <c r="BO4793">
        <v>0.38</v>
      </c>
      <c r="BP4793">
        <v>-0.48</v>
      </c>
      <c r="BQ4793">
        <v>-0.08</v>
      </c>
      <c r="BR4793">
        <v>-1.27</v>
      </c>
      <c r="BS4793">
        <v>0.11</v>
      </c>
      <c r="BT4793">
        <v>1.03</v>
      </c>
      <c r="BU4793">
        <v>-0.68</v>
      </c>
      <c r="BV4793">
        <v>0.22</v>
      </c>
      <c r="BW4793">
        <v>0.12</v>
      </c>
      <c r="BX4793">
        <v>-1</v>
      </c>
      <c r="BY4793">
        <v>0.16</v>
      </c>
      <c r="BZ4793">
        <v>1.19</v>
      </c>
      <c r="CA4793">
        <v>0.05</v>
      </c>
      <c r="CB4793">
        <v>0.08</v>
      </c>
      <c r="CC4793">
        <v>0.14000000000000001</v>
      </c>
      <c r="CD4793">
        <v>-0.39</v>
      </c>
      <c r="CE4793">
        <v>0.39</v>
      </c>
      <c r="CF4793">
        <v>0.36</v>
      </c>
      <c r="CG4793">
        <v>0</v>
      </c>
      <c r="CH4793">
        <v>0.34</v>
      </c>
      <c r="CI4793">
        <v>0</v>
      </c>
      <c r="CJ4793">
        <v>-2.7</v>
      </c>
      <c r="CK4793">
        <v>36</v>
      </c>
      <c r="CL4793">
        <v>-0.71</v>
      </c>
      <c r="CM4793">
        <v>36</v>
      </c>
      <c r="CN4793">
        <v>-0.23</v>
      </c>
      <c r="CO4793">
        <v>36</v>
      </c>
      <c r="CP4793">
        <v>-7.95</v>
      </c>
      <c r="CQ4793">
        <v>36</v>
      </c>
      <c r="CR4793">
        <v>0</v>
      </c>
      <c r="CS4793">
        <v>0</v>
      </c>
      <c r="CT4793">
        <v>-3.3</v>
      </c>
      <c r="CU4793">
        <v>35</v>
      </c>
      <c r="CV4793">
        <v>0.15</v>
      </c>
      <c r="CW4793">
        <v>15</v>
      </c>
      <c r="CX4793" t="s">
        <v>717</v>
      </c>
    </row>
    <row r="4794" spans="1:102" x14ac:dyDescent="0.3">
      <c r="A4794" t="str">
        <f>HYPERLINK("https://webapp.icbf.com/v2/app/bull-search/view/77857774","EZG")</f>
        <v>EZG</v>
      </c>
      <c r="B4794" t="s">
        <v>6610</v>
      </c>
      <c r="C4794" t="s">
        <v>6611</v>
      </c>
      <c r="D4794" s="1">
        <v>32214</v>
      </c>
      <c r="E4794" t="s">
        <v>92</v>
      </c>
      <c r="F4794">
        <v>100</v>
      </c>
      <c r="G4794" t="s">
        <v>93</v>
      </c>
      <c r="H4794">
        <v>-182.41</v>
      </c>
      <c r="I4794">
        <v>97</v>
      </c>
      <c r="J4794">
        <v>13.39</v>
      </c>
      <c r="K4794">
        <v>99</v>
      </c>
      <c r="L4794">
        <v>-182.02</v>
      </c>
      <c r="M4794">
        <v>95</v>
      </c>
      <c r="N4794">
        <v>7.66</v>
      </c>
      <c r="O4794">
        <v>96</v>
      </c>
      <c r="P4794">
        <v>-11.32</v>
      </c>
      <c r="Q4794">
        <v>99</v>
      </c>
      <c r="R4794">
        <v>-25.2</v>
      </c>
      <c r="S4794">
        <v>92</v>
      </c>
      <c r="T4794">
        <v>17.3</v>
      </c>
      <c r="U4794">
        <v>99</v>
      </c>
      <c r="V4794">
        <v>-2.2200000000000002</v>
      </c>
      <c r="W4794">
        <v>89</v>
      </c>
      <c r="X4794" t="s">
        <v>94</v>
      </c>
      <c r="Y4794" t="s">
        <v>95</v>
      </c>
      <c r="Z4794" t="s">
        <v>96</v>
      </c>
      <c r="AA4794" t="s">
        <v>3760</v>
      </c>
      <c r="AB4794" t="s">
        <v>3619</v>
      </c>
      <c r="AC4794">
        <v>2311</v>
      </c>
      <c r="AD4794">
        <v>1069</v>
      </c>
      <c r="AE4794">
        <v>99</v>
      </c>
      <c r="AF4794">
        <v>78.849999999999994</v>
      </c>
      <c r="AG4794">
        <v>2.67</v>
      </c>
      <c r="AH4794">
        <v>2.54</v>
      </c>
      <c r="AI4794">
        <v>-0.01</v>
      </c>
      <c r="AJ4794">
        <v>0</v>
      </c>
      <c r="AK4794">
        <v>95</v>
      </c>
      <c r="AL4794">
        <v>2792</v>
      </c>
      <c r="AM4794">
        <v>1301</v>
      </c>
      <c r="AN4794">
        <v>9.61</v>
      </c>
      <c r="AO4794">
        <v>-4.91</v>
      </c>
      <c r="AP4794">
        <v>61</v>
      </c>
      <c r="AQ4794">
        <v>0</v>
      </c>
      <c r="AR4794">
        <v>6.74</v>
      </c>
      <c r="AS4794">
        <v>88</v>
      </c>
      <c r="AT4794">
        <v>2.81</v>
      </c>
      <c r="AU4794">
        <v>96</v>
      </c>
      <c r="AV4794">
        <v>-0.43</v>
      </c>
      <c r="AW4794">
        <v>98</v>
      </c>
      <c r="AX4794">
        <v>-0.31</v>
      </c>
      <c r="AY4794">
        <v>99</v>
      </c>
      <c r="AZ4794">
        <v>6.33</v>
      </c>
      <c r="BA4794">
        <v>88</v>
      </c>
      <c r="BB4794">
        <v>5.32</v>
      </c>
      <c r="BC4794">
        <v>96</v>
      </c>
      <c r="BD4794">
        <v>0.08</v>
      </c>
      <c r="BE4794">
        <v>0.14000000000000001</v>
      </c>
      <c r="BF4794">
        <v>0.18</v>
      </c>
      <c r="BG4794">
        <v>99</v>
      </c>
      <c r="BH4794">
        <v>0.03</v>
      </c>
      <c r="BI4794">
        <v>10.64</v>
      </c>
      <c r="BJ4794">
        <v>117</v>
      </c>
      <c r="BK4794">
        <v>89</v>
      </c>
      <c r="BL4794">
        <v>-0.33</v>
      </c>
      <c r="BM4794">
        <v>0.4</v>
      </c>
      <c r="BN4794">
        <v>1.44</v>
      </c>
      <c r="BO4794">
        <v>0.62</v>
      </c>
      <c r="BP4794">
        <v>-1.31</v>
      </c>
      <c r="BQ4794">
        <v>-1.33</v>
      </c>
      <c r="BR4794">
        <v>-0.64</v>
      </c>
      <c r="BS4794">
        <v>0.71</v>
      </c>
      <c r="BT4794">
        <v>0.7</v>
      </c>
      <c r="BU4794">
        <v>-1.39</v>
      </c>
      <c r="BV4794">
        <v>-0.2</v>
      </c>
      <c r="BW4794">
        <v>0.83</v>
      </c>
      <c r="BX4794">
        <v>-3.31</v>
      </c>
      <c r="BY4794">
        <v>0.12</v>
      </c>
      <c r="BZ4794">
        <v>-0.25</v>
      </c>
      <c r="CA4794">
        <v>0.23</v>
      </c>
      <c r="CB4794">
        <v>0.06</v>
      </c>
      <c r="CC4794">
        <v>0.65</v>
      </c>
      <c r="CD4794">
        <v>-0.74</v>
      </c>
      <c r="CE4794">
        <v>0.7</v>
      </c>
      <c r="CF4794">
        <v>-0.28000000000000003</v>
      </c>
      <c r="CG4794">
        <v>0</v>
      </c>
      <c r="CH4794">
        <v>0.12</v>
      </c>
      <c r="CI4794">
        <v>0</v>
      </c>
      <c r="CJ4794">
        <v>-4.5</v>
      </c>
      <c r="CK4794">
        <v>99</v>
      </c>
      <c r="CL4794">
        <v>-0.51</v>
      </c>
      <c r="CM4794">
        <v>99</v>
      </c>
      <c r="CN4794">
        <v>-0.15</v>
      </c>
      <c r="CO4794">
        <v>99</v>
      </c>
      <c r="CP4794">
        <v>-10.7</v>
      </c>
      <c r="CQ4794">
        <v>99</v>
      </c>
      <c r="CR4794">
        <v>0</v>
      </c>
      <c r="CS4794">
        <v>0</v>
      </c>
      <c r="CT4794">
        <v>-9.6</v>
      </c>
      <c r="CU4794">
        <v>99</v>
      </c>
      <c r="CV4794">
        <v>0.03</v>
      </c>
      <c r="CW4794">
        <v>46</v>
      </c>
      <c r="CX4794" t="s">
        <v>707</v>
      </c>
    </row>
    <row r="4795" spans="1:102" x14ac:dyDescent="0.3">
      <c r="A4795" t="str">
        <f>HYPERLINK("https://webapp.icbf.com/v2/app/bull-search/view/377731634","LXM")</f>
        <v>LXM</v>
      </c>
      <c r="B4795" t="s">
        <v>9602</v>
      </c>
      <c r="C4795" t="s">
        <v>9603</v>
      </c>
      <c r="D4795" s="1">
        <v>36688</v>
      </c>
      <c r="E4795" t="s">
        <v>92</v>
      </c>
      <c r="F4795">
        <v>100</v>
      </c>
      <c r="G4795" t="s">
        <v>109</v>
      </c>
      <c r="H4795">
        <v>-182.5</v>
      </c>
      <c r="I4795">
        <v>84</v>
      </c>
      <c r="J4795">
        <v>-9.83</v>
      </c>
      <c r="K4795">
        <v>93</v>
      </c>
      <c r="L4795">
        <v>-163.19</v>
      </c>
      <c r="M4795">
        <v>86</v>
      </c>
      <c r="N4795">
        <v>7.54</v>
      </c>
      <c r="O4795">
        <v>77</v>
      </c>
      <c r="P4795">
        <v>-10.29</v>
      </c>
      <c r="Q4795">
        <v>76</v>
      </c>
      <c r="R4795">
        <v>-8.57</v>
      </c>
      <c r="S4795">
        <v>79</v>
      </c>
      <c r="T4795">
        <v>4.6500000000000004</v>
      </c>
      <c r="U4795">
        <v>65</v>
      </c>
      <c r="V4795">
        <v>-2.81</v>
      </c>
      <c r="W4795">
        <v>66</v>
      </c>
      <c r="X4795" t="s">
        <v>288</v>
      </c>
      <c r="Y4795" t="s">
        <v>1208</v>
      </c>
      <c r="Z4795" t="s">
        <v>96</v>
      </c>
      <c r="AA4795" t="s">
        <v>1574</v>
      </c>
      <c r="AB4795" t="s">
        <v>9604</v>
      </c>
      <c r="AC4795">
        <v>0</v>
      </c>
      <c r="AD4795">
        <v>0</v>
      </c>
      <c r="AE4795">
        <v>93</v>
      </c>
      <c r="AF4795">
        <v>370.88</v>
      </c>
      <c r="AG4795">
        <v>-4.1399999999999997</v>
      </c>
      <c r="AH4795">
        <v>5.47</v>
      </c>
      <c r="AI4795">
        <v>-0.3</v>
      </c>
      <c r="AJ4795">
        <v>-0.12</v>
      </c>
      <c r="AK4795">
        <v>86</v>
      </c>
      <c r="AL4795">
        <v>0</v>
      </c>
      <c r="AM4795">
        <v>0</v>
      </c>
      <c r="AN4795">
        <v>10.02</v>
      </c>
      <c r="AO4795">
        <v>-2.98</v>
      </c>
      <c r="AP4795">
        <v>63</v>
      </c>
      <c r="AQ4795">
        <v>1</v>
      </c>
      <c r="AR4795">
        <v>8.48</v>
      </c>
      <c r="AS4795">
        <v>73</v>
      </c>
      <c r="AT4795">
        <v>3.33</v>
      </c>
      <c r="AU4795">
        <v>88</v>
      </c>
      <c r="AV4795">
        <v>-1.79</v>
      </c>
      <c r="AW4795">
        <v>84</v>
      </c>
      <c r="AX4795">
        <v>1.21</v>
      </c>
      <c r="AY4795">
        <v>64</v>
      </c>
      <c r="AZ4795">
        <v>5.9</v>
      </c>
      <c r="BA4795">
        <v>55</v>
      </c>
      <c r="BB4795">
        <v>5.03</v>
      </c>
      <c r="BC4795">
        <v>55</v>
      </c>
      <c r="BD4795">
        <v>0</v>
      </c>
      <c r="BE4795">
        <v>0.03</v>
      </c>
      <c r="BF4795">
        <v>0.14000000000000001</v>
      </c>
      <c r="BG4795">
        <v>92</v>
      </c>
      <c r="BH4795">
        <v>-0.15</v>
      </c>
      <c r="BI4795">
        <v>-8.2899999999999991</v>
      </c>
      <c r="BJ4795">
        <v>5</v>
      </c>
      <c r="BK4795">
        <v>4</v>
      </c>
      <c r="BL4795">
        <v>0.97</v>
      </c>
      <c r="BM4795">
        <v>-2.83</v>
      </c>
      <c r="BN4795">
        <v>-0.19</v>
      </c>
      <c r="BO4795">
        <v>1.7</v>
      </c>
      <c r="BP4795">
        <v>0.06</v>
      </c>
      <c r="BQ4795">
        <v>-0.67</v>
      </c>
      <c r="BR4795">
        <v>-0.2</v>
      </c>
      <c r="BS4795">
        <v>1.1399999999999999</v>
      </c>
      <c r="BT4795">
        <v>-0.23</v>
      </c>
      <c r="BU4795">
        <v>1.56</v>
      </c>
      <c r="BV4795">
        <v>1.99</v>
      </c>
      <c r="BW4795">
        <v>3.22</v>
      </c>
      <c r="BX4795">
        <v>1.81</v>
      </c>
      <c r="BY4795">
        <v>4.16</v>
      </c>
      <c r="BZ4795">
        <v>-1.46</v>
      </c>
      <c r="CA4795">
        <v>1.95</v>
      </c>
      <c r="CB4795">
        <v>2.0499999999999998</v>
      </c>
      <c r="CC4795">
        <v>0.81</v>
      </c>
      <c r="CD4795">
        <v>-2.79</v>
      </c>
      <c r="CE4795">
        <v>1.44</v>
      </c>
      <c r="CF4795">
        <v>0.67</v>
      </c>
      <c r="CG4795">
        <v>0</v>
      </c>
      <c r="CH4795">
        <v>3.45</v>
      </c>
      <c r="CI4795">
        <v>0</v>
      </c>
      <c r="CJ4795">
        <v>-3.5</v>
      </c>
      <c r="CK4795">
        <v>78</v>
      </c>
      <c r="CL4795">
        <v>-1.18</v>
      </c>
      <c r="CM4795">
        <v>74</v>
      </c>
      <c r="CN4795">
        <v>-0.54</v>
      </c>
      <c r="CO4795">
        <v>72</v>
      </c>
      <c r="CP4795">
        <v>2.6</v>
      </c>
      <c r="CQ4795">
        <v>72</v>
      </c>
      <c r="CR4795">
        <v>0</v>
      </c>
      <c r="CS4795">
        <v>0</v>
      </c>
      <c r="CT4795">
        <v>7.5</v>
      </c>
      <c r="CU4795">
        <v>65</v>
      </c>
      <c r="CV4795">
        <v>0.15</v>
      </c>
      <c r="CW4795">
        <v>41</v>
      </c>
      <c r="CX4795" t="s">
        <v>564</v>
      </c>
    </row>
    <row r="4796" spans="1:102" x14ac:dyDescent="0.3">
      <c r="A4796" t="str">
        <f>HYPERLINK("https://webapp.icbf.com/v2/app/bull-search/view/77854060","RND")</f>
        <v>RND</v>
      </c>
      <c r="B4796" t="s">
        <v>10818</v>
      </c>
      <c r="C4796" t="s">
        <v>10819</v>
      </c>
      <c r="D4796" s="1">
        <v>34405</v>
      </c>
      <c r="E4796" t="s">
        <v>92</v>
      </c>
      <c r="F4796">
        <v>100</v>
      </c>
      <c r="G4796" t="s">
        <v>93</v>
      </c>
      <c r="H4796">
        <v>-182.54</v>
      </c>
      <c r="I4796">
        <v>92</v>
      </c>
      <c r="J4796">
        <v>-42.8</v>
      </c>
      <c r="K4796">
        <v>98</v>
      </c>
      <c r="L4796">
        <v>-116.44</v>
      </c>
      <c r="M4796">
        <v>91</v>
      </c>
      <c r="N4796">
        <v>-12.42</v>
      </c>
      <c r="O4796">
        <v>87</v>
      </c>
      <c r="P4796">
        <v>-3.53</v>
      </c>
      <c r="Q4796">
        <v>95</v>
      </c>
      <c r="R4796">
        <v>5.9</v>
      </c>
      <c r="S4796">
        <v>81</v>
      </c>
      <c r="T4796">
        <v>-5.04</v>
      </c>
      <c r="U4796">
        <v>93</v>
      </c>
      <c r="V4796">
        <v>-8.2100000000000009</v>
      </c>
      <c r="W4796">
        <v>68</v>
      </c>
      <c r="X4796" t="s">
        <v>747</v>
      </c>
      <c r="Y4796" t="s">
        <v>95</v>
      </c>
      <c r="Z4796" t="s">
        <v>96</v>
      </c>
      <c r="AA4796" t="s">
        <v>564</v>
      </c>
      <c r="AB4796" t="s">
        <v>7362</v>
      </c>
      <c r="AC4796">
        <v>205</v>
      </c>
      <c r="AD4796">
        <v>113</v>
      </c>
      <c r="AE4796">
        <v>98</v>
      </c>
      <c r="AF4796">
        <v>11.44</v>
      </c>
      <c r="AG4796">
        <v>-2.84</v>
      </c>
      <c r="AH4796">
        <v>-6.1</v>
      </c>
      <c r="AI4796">
        <v>-0.05</v>
      </c>
      <c r="AJ4796">
        <v>-0.11</v>
      </c>
      <c r="AK4796">
        <v>91</v>
      </c>
      <c r="AL4796">
        <v>177</v>
      </c>
      <c r="AM4796">
        <v>78</v>
      </c>
      <c r="AN4796">
        <v>5.23</v>
      </c>
      <c r="AO4796">
        <v>-4.07</v>
      </c>
      <c r="AP4796">
        <v>98</v>
      </c>
      <c r="AQ4796">
        <v>0</v>
      </c>
      <c r="AR4796">
        <v>9.07</v>
      </c>
      <c r="AS4796">
        <v>84</v>
      </c>
      <c r="AT4796">
        <v>4.07</v>
      </c>
      <c r="AU4796">
        <v>89</v>
      </c>
      <c r="AV4796">
        <v>-1.38</v>
      </c>
      <c r="AW4796">
        <v>90</v>
      </c>
      <c r="AX4796">
        <v>0.57999999999999996</v>
      </c>
      <c r="AY4796">
        <v>90</v>
      </c>
      <c r="AZ4796">
        <v>7</v>
      </c>
      <c r="BA4796">
        <v>77</v>
      </c>
      <c r="BB4796">
        <v>6.39</v>
      </c>
      <c r="BC4796">
        <v>78</v>
      </c>
      <c r="BD4796">
        <v>-0.01</v>
      </c>
      <c r="BE4796">
        <v>-0.01</v>
      </c>
      <c r="BF4796">
        <v>-0.1</v>
      </c>
      <c r="BG4796">
        <v>93</v>
      </c>
      <c r="BH4796">
        <v>-0.23</v>
      </c>
      <c r="BI4796">
        <v>-0.12</v>
      </c>
      <c r="BJ4796">
        <v>111</v>
      </c>
      <c r="BK4796">
        <v>48</v>
      </c>
      <c r="BL4796">
        <v>0.87</v>
      </c>
      <c r="BM4796">
        <v>0</v>
      </c>
      <c r="BN4796">
        <v>0.65</v>
      </c>
      <c r="BO4796">
        <v>0.41</v>
      </c>
      <c r="BP4796">
        <v>1.1399999999999999</v>
      </c>
      <c r="BQ4796">
        <v>2.61</v>
      </c>
      <c r="BR4796">
        <v>0.95</v>
      </c>
      <c r="BS4796">
        <v>1.75</v>
      </c>
      <c r="BT4796">
        <v>0.06</v>
      </c>
      <c r="BU4796">
        <v>1.9</v>
      </c>
      <c r="BV4796">
        <v>1.05</v>
      </c>
      <c r="BW4796">
        <v>2.08</v>
      </c>
      <c r="BX4796">
        <v>2.04</v>
      </c>
      <c r="BY4796">
        <v>2.85</v>
      </c>
      <c r="BZ4796">
        <v>-0.96</v>
      </c>
      <c r="CA4796">
        <v>1.37</v>
      </c>
      <c r="CB4796">
        <v>1.3</v>
      </c>
      <c r="CC4796">
        <v>1.04</v>
      </c>
      <c r="CD4796">
        <v>-7.0000000000000007E-2</v>
      </c>
      <c r="CE4796">
        <v>0.28000000000000003</v>
      </c>
      <c r="CF4796">
        <v>1.1200000000000001</v>
      </c>
      <c r="CG4796">
        <v>0</v>
      </c>
      <c r="CH4796">
        <v>2.37</v>
      </c>
      <c r="CI4796">
        <v>0</v>
      </c>
      <c r="CJ4796">
        <v>0.1</v>
      </c>
      <c r="CK4796">
        <v>95</v>
      </c>
      <c r="CL4796">
        <v>-0.91</v>
      </c>
      <c r="CM4796">
        <v>94</v>
      </c>
      <c r="CN4796">
        <v>-0.38</v>
      </c>
      <c r="CO4796">
        <v>93</v>
      </c>
      <c r="CP4796">
        <v>8.5</v>
      </c>
      <c r="CQ4796">
        <v>95</v>
      </c>
      <c r="CR4796">
        <v>0</v>
      </c>
      <c r="CS4796">
        <v>0</v>
      </c>
      <c r="CT4796">
        <v>20.6</v>
      </c>
      <c r="CU4796">
        <v>93</v>
      </c>
      <c r="CV4796">
        <v>0.31</v>
      </c>
      <c r="CW4796">
        <v>28</v>
      </c>
      <c r="CX4796" t="s">
        <v>543</v>
      </c>
    </row>
    <row r="4797" spans="1:102" x14ac:dyDescent="0.3">
      <c r="A4797" t="str">
        <f>HYPERLINK("https://webapp.icbf.com/v2/app/bull-search/view/74684868","LUX")</f>
        <v>LUX</v>
      </c>
      <c r="B4797" t="s">
        <v>9818</v>
      </c>
      <c r="C4797" t="s">
        <v>9819</v>
      </c>
      <c r="D4797" s="1">
        <v>31775</v>
      </c>
      <c r="E4797" t="s">
        <v>92</v>
      </c>
      <c r="F4797">
        <v>100</v>
      </c>
      <c r="G4797" t="s">
        <v>93</v>
      </c>
      <c r="H4797">
        <v>-182.81</v>
      </c>
      <c r="I4797">
        <v>86</v>
      </c>
      <c r="J4797">
        <v>-11.79</v>
      </c>
      <c r="K4797">
        <v>97</v>
      </c>
      <c r="L4797">
        <v>-144.62</v>
      </c>
      <c r="M4797">
        <v>81</v>
      </c>
      <c r="N4797">
        <v>-9.5299999999999994</v>
      </c>
      <c r="O4797">
        <v>78</v>
      </c>
      <c r="P4797">
        <v>1.24</v>
      </c>
      <c r="Q4797">
        <v>85</v>
      </c>
      <c r="R4797">
        <v>-13.82</v>
      </c>
      <c r="S4797">
        <v>80</v>
      </c>
      <c r="T4797">
        <v>-2.0099999999999998</v>
      </c>
      <c r="U4797">
        <v>84</v>
      </c>
      <c r="V4797">
        <v>-2.2799999999999998</v>
      </c>
      <c r="W4797">
        <v>65</v>
      </c>
      <c r="X4797" t="s">
        <v>747</v>
      </c>
      <c r="Y4797" t="s">
        <v>95</v>
      </c>
      <c r="Z4797" t="s">
        <v>96</v>
      </c>
      <c r="AA4797" t="s">
        <v>154</v>
      </c>
      <c r="AB4797" t="s">
        <v>9820</v>
      </c>
      <c r="AC4797">
        <v>119</v>
      </c>
      <c r="AD4797">
        <v>75</v>
      </c>
      <c r="AE4797">
        <v>97</v>
      </c>
      <c r="AF4797">
        <v>104.41</v>
      </c>
      <c r="AG4797">
        <v>2.72</v>
      </c>
      <c r="AH4797">
        <v>-1.37</v>
      </c>
      <c r="AI4797">
        <v>-0.02</v>
      </c>
      <c r="AJ4797">
        <v>-0.08</v>
      </c>
      <c r="AK4797">
        <v>81</v>
      </c>
      <c r="AL4797">
        <v>137</v>
      </c>
      <c r="AM4797">
        <v>77</v>
      </c>
      <c r="AN4797">
        <v>7.35</v>
      </c>
      <c r="AO4797">
        <v>-4.1900000000000004</v>
      </c>
      <c r="AP4797">
        <v>5</v>
      </c>
      <c r="AQ4797">
        <v>4</v>
      </c>
      <c r="AR4797">
        <v>7.39</v>
      </c>
      <c r="AS4797">
        <v>64</v>
      </c>
      <c r="AT4797">
        <v>4.09</v>
      </c>
      <c r="AU4797">
        <v>84</v>
      </c>
      <c r="AV4797">
        <v>-0.26</v>
      </c>
      <c r="AW4797">
        <v>80</v>
      </c>
      <c r="AX4797">
        <v>-0.19</v>
      </c>
      <c r="AY4797">
        <v>86</v>
      </c>
      <c r="AZ4797">
        <v>6.58</v>
      </c>
      <c r="BA4797">
        <v>57</v>
      </c>
      <c r="BB4797">
        <v>5.66</v>
      </c>
      <c r="BC4797">
        <v>70</v>
      </c>
      <c r="BD4797">
        <v>0.04</v>
      </c>
      <c r="BE4797">
        <v>0.09</v>
      </c>
      <c r="BF4797">
        <v>0.08</v>
      </c>
      <c r="BG4797">
        <v>93</v>
      </c>
      <c r="BH4797">
        <v>0.04</v>
      </c>
      <c r="BI4797">
        <v>11.98</v>
      </c>
      <c r="BJ4797">
        <v>62</v>
      </c>
      <c r="BK4797">
        <v>43</v>
      </c>
      <c r="BL4797">
        <v>0.98</v>
      </c>
      <c r="BM4797">
        <v>1.23</v>
      </c>
      <c r="BN4797">
        <v>2.0499999999999998</v>
      </c>
      <c r="BO4797">
        <v>0.54</v>
      </c>
      <c r="BP4797">
        <v>7.0000000000000007E-2</v>
      </c>
      <c r="BQ4797">
        <v>1.33</v>
      </c>
      <c r="BR4797">
        <v>0.5</v>
      </c>
      <c r="BS4797">
        <v>0.23</v>
      </c>
      <c r="BT4797">
        <v>0.28000000000000003</v>
      </c>
      <c r="BU4797">
        <v>-1</v>
      </c>
      <c r="BV4797">
        <v>0.16</v>
      </c>
      <c r="BW4797">
        <v>0.77</v>
      </c>
      <c r="BX4797">
        <v>-1.06</v>
      </c>
      <c r="BY4797">
        <v>0.85</v>
      </c>
      <c r="BZ4797">
        <v>-0.6</v>
      </c>
      <c r="CA4797">
        <v>0.24</v>
      </c>
      <c r="CB4797">
        <v>0.06</v>
      </c>
      <c r="CC4797">
        <v>0.81</v>
      </c>
      <c r="CD4797">
        <v>0.01</v>
      </c>
      <c r="CE4797">
        <v>0.46</v>
      </c>
      <c r="CF4797">
        <v>1.55</v>
      </c>
      <c r="CG4797">
        <v>0</v>
      </c>
      <c r="CH4797">
        <v>0.76</v>
      </c>
      <c r="CI4797">
        <v>0</v>
      </c>
      <c r="CJ4797">
        <v>3.3</v>
      </c>
      <c r="CK4797">
        <v>86</v>
      </c>
      <c r="CL4797">
        <v>-0.65</v>
      </c>
      <c r="CM4797">
        <v>84</v>
      </c>
      <c r="CN4797">
        <v>-0.23</v>
      </c>
      <c r="CO4797">
        <v>82</v>
      </c>
      <c r="CP4797">
        <v>4.7</v>
      </c>
      <c r="CQ4797">
        <v>91</v>
      </c>
      <c r="CR4797">
        <v>0</v>
      </c>
      <c r="CS4797">
        <v>0</v>
      </c>
      <c r="CT4797">
        <v>16.5</v>
      </c>
      <c r="CU4797">
        <v>84</v>
      </c>
      <c r="CV4797">
        <v>7.0000000000000007E-2</v>
      </c>
      <c r="CW4797">
        <v>43</v>
      </c>
      <c r="CX4797" t="s">
        <v>9821</v>
      </c>
    </row>
    <row r="4798" spans="1:102" x14ac:dyDescent="0.3">
      <c r="A4798" t="str">
        <f>HYPERLINK("https://webapp.icbf.com/v2/app/bull-search/view/487001234","S512")</f>
        <v>S512</v>
      </c>
      <c r="B4798" t="s">
        <v>2456</v>
      </c>
      <c r="C4798" t="s">
        <v>2457</v>
      </c>
      <c r="D4798" s="1">
        <v>37247</v>
      </c>
      <c r="E4798" t="s">
        <v>92</v>
      </c>
      <c r="F4798">
        <v>100</v>
      </c>
      <c r="G4798" t="s">
        <v>109</v>
      </c>
      <c r="H4798">
        <v>-183.3</v>
      </c>
      <c r="I4798">
        <v>81</v>
      </c>
      <c r="J4798">
        <v>41.95</v>
      </c>
      <c r="K4798">
        <v>94</v>
      </c>
      <c r="L4798">
        <v>-237.41</v>
      </c>
      <c r="M4798">
        <v>88</v>
      </c>
      <c r="N4798">
        <v>6.98</v>
      </c>
      <c r="O4798">
        <v>70</v>
      </c>
      <c r="P4798">
        <v>2.7</v>
      </c>
      <c r="Q4798">
        <v>54</v>
      </c>
      <c r="R4798">
        <v>-2.44</v>
      </c>
      <c r="S4798">
        <v>78</v>
      </c>
      <c r="T4798">
        <v>-0.53</v>
      </c>
      <c r="U4798">
        <v>49</v>
      </c>
      <c r="V4798">
        <v>5.45</v>
      </c>
      <c r="W4798">
        <v>64</v>
      </c>
      <c r="X4798" t="s">
        <v>110</v>
      </c>
      <c r="Y4798" t="s">
        <v>95</v>
      </c>
      <c r="Z4798" t="s">
        <v>96</v>
      </c>
      <c r="AA4798" t="s">
        <v>1801</v>
      </c>
      <c r="AB4798" t="s">
        <v>2458</v>
      </c>
      <c r="AC4798">
        <v>0</v>
      </c>
      <c r="AD4798">
        <v>0</v>
      </c>
      <c r="AE4798">
        <v>94</v>
      </c>
      <c r="AF4798">
        <v>310.35000000000002</v>
      </c>
      <c r="AG4798">
        <v>8.41</v>
      </c>
      <c r="AH4798">
        <v>8.91</v>
      </c>
      <c r="AI4798">
        <v>-0.06</v>
      </c>
      <c r="AJ4798">
        <v>-0.03</v>
      </c>
      <c r="AK4798">
        <v>88</v>
      </c>
      <c r="AL4798">
        <v>0</v>
      </c>
      <c r="AM4798">
        <v>0</v>
      </c>
      <c r="AN4798">
        <v>13.18</v>
      </c>
      <c r="AO4798">
        <v>-5.75</v>
      </c>
      <c r="AP4798">
        <v>3</v>
      </c>
      <c r="AQ4798">
        <v>0</v>
      </c>
      <c r="AR4798">
        <v>7.43</v>
      </c>
      <c r="AS4798">
        <v>57</v>
      </c>
      <c r="AT4798">
        <v>3.9</v>
      </c>
      <c r="AU4798">
        <v>92</v>
      </c>
      <c r="AV4798">
        <v>-1.63</v>
      </c>
      <c r="AW4798">
        <v>72</v>
      </c>
      <c r="AX4798">
        <v>-0.73</v>
      </c>
      <c r="AY4798">
        <v>51</v>
      </c>
      <c r="AZ4798">
        <v>5.8</v>
      </c>
      <c r="BA4798">
        <v>47</v>
      </c>
      <c r="BB4798">
        <v>5.42</v>
      </c>
      <c r="BC4798">
        <v>49</v>
      </c>
      <c r="BD4798">
        <v>0</v>
      </c>
      <c r="BE4798">
        <v>0.04</v>
      </c>
      <c r="BF4798">
        <v>-0.02</v>
      </c>
      <c r="BG4798">
        <v>94</v>
      </c>
      <c r="BH4798">
        <v>0.15</v>
      </c>
      <c r="BI4798">
        <v>-0.24</v>
      </c>
      <c r="BJ4798">
        <v>6</v>
      </c>
      <c r="BK4798">
        <v>4</v>
      </c>
      <c r="BL4798">
        <v>1.1499999999999999</v>
      </c>
      <c r="BM4798">
        <v>0.95</v>
      </c>
      <c r="BN4798">
        <v>3.4</v>
      </c>
      <c r="BO4798">
        <v>1.66</v>
      </c>
      <c r="BP4798">
        <v>2.31</v>
      </c>
      <c r="BQ4798">
        <v>-0.48</v>
      </c>
      <c r="BR4798">
        <v>1.53</v>
      </c>
      <c r="BS4798">
        <v>0.54</v>
      </c>
      <c r="BT4798">
        <v>-1.82</v>
      </c>
      <c r="BU4798">
        <v>1.04</v>
      </c>
      <c r="BV4798">
        <v>1.27</v>
      </c>
      <c r="BW4798">
        <v>0.68</v>
      </c>
      <c r="BX4798">
        <v>-0.08</v>
      </c>
      <c r="BY4798">
        <v>2.58</v>
      </c>
      <c r="BZ4798">
        <v>-1.57</v>
      </c>
      <c r="CA4798">
        <v>1.28</v>
      </c>
      <c r="CB4798">
        <v>1.35</v>
      </c>
      <c r="CC4798">
        <v>0.79</v>
      </c>
      <c r="CD4798">
        <v>-1.17</v>
      </c>
      <c r="CE4798">
        <v>1.23</v>
      </c>
      <c r="CF4798">
        <v>1.07</v>
      </c>
      <c r="CG4798">
        <v>0</v>
      </c>
      <c r="CH4798">
        <v>2.57</v>
      </c>
      <c r="CI4798">
        <v>0</v>
      </c>
      <c r="CJ4798">
        <v>3.7</v>
      </c>
      <c r="CK4798">
        <v>55</v>
      </c>
      <c r="CL4798">
        <v>-1.07</v>
      </c>
      <c r="CM4798">
        <v>52</v>
      </c>
      <c r="CN4798">
        <v>-0.56999999999999995</v>
      </c>
      <c r="CO4798">
        <v>51</v>
      </c>
      <c r="CP4798">
        <v>13.1</v>
      </c>
      <c r="CQ4798">
        <v>54</v>
      </c>
      <c r="CR4798">
        <v>0</v>
      </c>
      <c r="CS4798">
        <v>0</v>
      </c>
      <c r="CT4798">
        <v>14.5</v>
      </c>
      <c r="CU4798">
        <v>49</v>
      </c>
      <c r="CV4798">
        <v>0.17</v>
      </c>
      <c r="CW4798">
        <v>36</v>
      </c>
      <c r="CX4798" t="s">
        <v>596</v>
      </c>
    </row>
    <row r="4799" spans="1:102" x14ac:dyDescent="0.3">
      <c r="A4799" t="str">
        <f>HYPERLINK("https://webapp.icbf.com/v2/app/bull-search/view/77852869","VSR")</f>
        <v>VSR</v>
      </c>
      <c r="B4799" t="s">
        <v>15695</v>
      </c>
      <c r="C4799" t="s">
        <v>15696</v>
      </c>
      <c r="D4799" s="1">
        <v>35389</v>
      </c>
      <c r="E4799" t="s">
        <v>92</v>
      </c>
      <c r="F4799">
        <v>100</v>
      </c>
      <c r="G4799" t="s">
        <v>93</v>
      </c>
      <c r="H4799">
        <v>-183.48</v>
      </c>
      <c r="I4799">
        <v>83</v>
      </c>
      <c r="J4799">
        <v>51.79</v>
      </c>
      <c r="K4799">
        <v>97</v>
      </c>
      <c r="L4799">
        <v>-203.8</v>
      </c>
      <c r="M4799">
        <v>70</v>
      </c>
      <c r="N4799">
        <v>-35.76</v>
      </c>
      <c r="O4799">
        <v>79</v>
      </c>
      <c r="P4799">
        <v>-8.26</v>
      </c>
      <c r="Q4799">
        <v>92</v>
      </c>
      <c r="R4799">
        <v>-5</v>
      </c>
      <c r="S4799">
        <v>74</v>
      </c>
      <c r="T4799">
        <v>18.71</v>
      </c>
      <c r="U4799">
        <v>91</v>
      </c>
      <c r="V4799">
        <v>-1.1599999999999999</v>
      </c>
      <c r="W4799">
        <v>57</v>
      </c>
      <c r="X4799" t="s">
        <v>94</v>
      </c>
      <c r="Y4799" t="s">
        <v>95</v>
      </c>
      <c r="Z4799" t="s">
        <v>96</v>
      </c>
      <c r="AA4799" t="s">
        <v>3553</v>
      </c>
      <c r="AB4799" t="s">
        <v>15697</v>
      </c>
      <c r="AC4799">
        <v>134</v>
      </c>
      <c r="AD4799">
        <v>93</v>
      </c>
      <c r="AE4799">
        <v>97</v>
      </c>
      <c r="AF4799">
        <v>497.59</v>
      </c>
      <c r="AG4799">
        <v>7.53</v>
      </c>
      <c r="AH4799">
        <v>13.76</v>
      </c>
      <c r="AI4799">
        <v>-0.18</v>
      </c>
      <c r="AJ4799">
        <v>-0.05</v>
      </c>
      <c r="AK4799">
        <v>70</v>
      </c>
      <c r="AL4799">
        <v>145</v>
      </c>
      <c r="AM4799">
        <v>106</v>
      </c>
      <c r="AN4799">
        <v>12.09</v>
      </c>
      <c r="AO4799">
        <v>-4.1500000000000004</v>
      </c>
      <c r="AP4799">
        <v>92</v>
      </c>
      <c r="AQ4799">
        <v>2</v>
      </c>
      <c r="AR4799">
        <v>13.79</v>
      </c>
      <c r="AS4799">
        <v>55</v>
      </c>
      <c r="AT4799">
        <v>6.1</v>
      </c>
      <c r="AU4799">
        <v>77</v>
      </c>
      <c r="AV4799">
        <v>-2.35</v>
      </c>
      <c r="AW4799">
        <v>93</v>
      </c>
      <c r="AX4799">
        <v>0.55000000000000004</v>
      </c>
      <c r="AY4799">
        <v>82</v>
      </c>
      <c r="AZ4799">
        <v>5.23</v>
      </c>
      <c r="BA4799">
        <v>50</v>
      </c>
      <c r="BB4799">
        <v>4.37</v>
      </c>
      <c r="BC4799">
        <v>62</v>
      </c>
      <c r="BD4799">
        <v>0.03</v>
      </c>
      <c r="BE4799">
        <v>0.05</v>
      </c>
      <c r="BF4799">
        <v>-0.03</v>
      </c>
      <c r="BG4799">
        <v>87</v>
      </c>
      <c r="BH4799">
        <v>-0.09</v>
      </c>
      <c r="BI4799">
        <v>-6.68</v>
      </c>
      <c r="BJ4799">
        <v>10</v>
      </c>
      <c r="BK4799">
        <v>3</v>
      </c>
      <c r="BL4799">
        <v>0.6</v>
      </c>
      <c r="BM4799">
        <v>-2.12</v>
      </c>
      <c r="BN4799">
        <v>-0.87</v>
      </c>
      <c r="BO4799">
        <v>0.65</v>
      </c>
      <c r="BP4799">
        <v>-0.76</v>
      </c>
      <c r="BQ4799">
        <v>-1.02</v>
      </c>
      <c r="BR4799">
        <v>-1.02</v>
      </c>
      <c r="BS4799">
        <v>0.4</v>
      </c>
      <c r="BT4799">
        <v>2.13</v>
      </c>
      <c r="BU4799">
        <v>-0.46</v>
      </c>
      <c r="BV4799">
        <v>-0.14000000000000001</v>
      </c>
      <c r="BW4799">
        <v>0.21</v>
      </c>
      <c r="BX4799">
        <v>0.75</v>
      </c>
      <c r="BY4799">
        <v>-0.28999999999999998</v>
      </c>
      <c r="BZ4799">
        <v>-0.92</v>
      </c>
      <c r="CA4799">
        <v>-0.09</v>
      </c>
      <c r="CB4799">
        <v>-0.2</v>
      </c>
      <c r="CC4799">
        <v>0</v>
      </c>
      <c r="CD4799">
        <v>-1.23</v>
      </c>
      <c r="CE4799">
        <v>0.09</v>
      </c>
      <c r="CF4799">
        <v>-0.67</v>
      </c>
      <c r="CG4799">
        <v>0</v>
      </c>
      <c r="CH4799">
        <v>0.16</v>
      </c>
      <c r="CI4799">
        <v>0</v>
      </c>
      <c r="CJ4799">
        <v>-1.8</v>
      </c>
      <c r="CK4799">
        <v>93</v>
      </c>
      <c r="CL4799">
        <v>-0.59</v>
      </c>
      <c r="CM4799">
        <v>92</v>
      </c>
      <c r="CN4799">
        <v>-0.06</v>
      </c>
      <c r="CO4799">
        <v>91</v>
      </c>
      <c r="CP4799">
        <v>-2.6</v>
      </c>
      <c r="CQ4799">
        <v>92</v>
      </c>
      <c r="CR4799">
        <v>0</v>
      </c>
      <c r="CS4799">
        <v>0</v>
      </c>
      <c r="CT4799">
        <v>-11.5</v>
      </c>
      <c r="CU4799">
        <v>91</v>
      </c>
      <c r="CV4799">
        <v>0.17</v>
      </c>
      <c r="CW4799">
        <v>27</v>
      </c>
      <c r="CX4799" t="s">
        <v>564</v>
      </c>
    </row>
    <row r="4800" spans="1:102" x14ac:dyDescent="0.3">
      <c r="A4800" t="str">
        <f>HYPERLINK("https://webapp.icbf.com/v2/app/bull-search/view/75672283","HRE")</f>
        <v>HRE</v>
      </c>
      <c r="B4800" t="s">
        <v>2613</v>
      </c>
      <c r="C4800" t="s">
        <v>2614</v>
      </c>
      <c r="D4800" s="1">
        <v>33792</v>
      </c>
      <c r="E4800" t="s">
        <v>92</v>
      </c>
      <c r="F4800">
        <v>100</v>
      </c>
      <c r="G4800" t="s">
        <v>93</v>
      </c>
      <c r="H4800">
        <v>-183.75</v>
      </c>
      <c r="I4800">
        <v>74</v>
      </c>
      <c r="J4800">
        <v>-20.6</v>
      </c>
      <c r="K4800">
        <v>93</v>
      </c>
      <c r="L4800">
        <v>-125.2</v>
      </c>
      <c r="M4800">
        <v>72</v>
      </c>
      <c r="N4800">
        <v>-14.86</v>
      </c>
      <c r="O4800">
        <v>55</v>
      </c>
      <c r="P4800">
        <v>-9.2799999999999994</v>
      </c>
      <c r="Q4800">
        <v>60</v>
      </c>
      <c r="R4800">
        <v>-20.059999999999999</v>
      </c>
      <c r="S4800">
        <v>71</v>
      </c>
      <c r="T4800">
        <v>12.49</v>
      </c>
      <c r="U4800">
        <v>59</v>
      </c>
      <c r="V4800">
        <v>-6.24</v>
      </c>
      <c r="W4800">
        <v>50</v>
      </c>
      <c r="X4800" t="s">
        <v>94</v>
      </c>
      <c r="Y4800" t="s">
        <v>95</v>
      </c>
      <c r="Z4800" t="s">
        <v>96</v>
      </c>
      <c r="AA4800" t="s">
        <v>2615</v>
      </c>
      <c r="AB4800" t="s">
        <v>2616</v>
      </c>
      <c r="AC4800">
        <v>52</v>
      </c>
      <c r="AD4800">
        <v>45</v>
      </c>
      <c r="AE4800">
        <v>93</v>
      </c>
      <c r="AF4800">
        <v>101.94</v>
      </c>
      <c r="AG4800">
        <v>2.93</v>
      </c>
      <c r="AH4800">
        <v>-2.98</v>
      </c>
      <c r="AI4800">
        <v>-0.02</v>
      </c>
      <c r="AJ4800">
        <v>-0.11</v>
      </c>
      <c r="AK4800">
        <v>72</v>
      </c>
      <c r="AL4800">
        <v>65</v>
      </c>
      <c r="AM4800">
        <v>51</v>
      </c>
      <c r="AN4800">
        <v>6.39</v>
      </c>
      <c r="AO4800">
        <v>-3.6</v>
      </c>
      <c r="AP4800">
        <v>1</v>
      </c>
      <c r="AQ4800">
        <v>0</v>
      </c>
      <c r="AR4800">
        <v>11.22</v>
      </c>
      <c r="AS4800">
        <v>45</v>
      </c>
      <c r="AT4800">
        <v>3.73</v>
      </c>
      <c r="AU4800">
        <v>64</v>
      </c>
      <c r="AV4800">
        <v>-0.89</v>
      </c>
      <c r="AW4800">
        <v>56</v>
      </c>
      <c r="AX4800">
        <v>0.51</v>
      </c>
      <c r="AY4800">
        <v>60</v>
      </c>
      <c r="AZ4800">
        <v>7.7</v>
      </c>
      <c r="BA4800">
        <v>36</v>
      </c>
      <c r="BB4800">
        <v>5.39</v>
      </c>
      <c r="BC4800">
        <v>43</v>
      </c>
      <c r="BD4800">
        <v>0.11</v>
      </c>
      <c r="BE4800">
        <v>0.12</v>
      </c>
      <c r="BF4800">
        <v>0.05</v>
      </c>
      <c r="BG4800">
        <v>86</v>
      </c>
      <c r="BH4800">
        <v>-0.16</v>
      </c>
      <c r="BI4800">
        <v>1.63</v>
      </c>
      <c r="BJ4800">
        <v>18</v>
      </c>
      <c r="BK4800">
        <v>14</v>
      </c>
      <c r="BL4800">
        <v>1.04</v>
      </c>
      <c r="BM4800">
        <v>-0.05</v>
      </c>
      <c r="BN4800">
        <v>0.45</v>
      </c>
      <c r="BO4800">
        <v>0.28000000000000003</v>
      </c>
      <c r="BP4800">
        <v>-1.51</v>
      </c>
      <c r="BQ4800">
        <v>0.27</v>
      </c>
      <c r="BR4800">
        <v>0.78</v>
      </c>
      <c r="BS4800">
        <v>-1.7</v>
      </c>
      <c r="BT4800">
        <v>-1.51</v>
      </c>
      <c r="BU4800">
        <v>-1.1000000000000001</v>
      </c>
      <c r="BV4800">
        <v>-0.51</v>
      </c>
      <c r="BW4800">
        <v>-0.24</v>
      </c>
      <c r="BX4800">
        <v>-0.13</v>
      </c>
      <c r="BY4800">
        <v>-1.67</v>
      </c>
      <c r="BZ4800">
        <v>-0.45</v>
      </c>
      <c r="CA4800">
        <v>-0.93</v>
      </c>
      <c r="CB4800">
        <v>-0.43</v>
      </c>
      <c r="CC4800">
        <v>-1.47</v>
      </c>
      <c r="CD4800">
        <v>-0.49</v>
      </c>
      <c r="CE4800">
        <v>0.19</v>
      </c>
      <c r="CF4800">
        <v>1.1299999999999999</v>
      </c>
      <c r="CG4800">
        <v>0</v>
      </c>
      <c r="CH4800">
        <v>-2.15</v>
      </c>
      <c r="CI4800">
        <v>0</v>
      </c>
      <c r="CJ4800">
        <v>-3.1</v>
      </c>
      <c r="CK4800">
        <v>61</v>
      </c>
      <c r="CL4800">
        <v>-0.67</v>
      </c>
      <c r="CM4800">
        <v>58</v>
      </c>
      <c r="CN4800">
        <v>-0.19</v>
      </c>
      <c r="CO4800">
        <v>53</v>
      </c>
      <c r="CP4800">
        <v>-2.1</v>
      </c>
      <c r="CQ4800">
        <v>69</v>
      </c>
      <c r="CR4800">
        <v>0</v>
      </c>
      <c r="CS4800">
        <v>0</v>
      </c>
      <c r="CT4800">
        <v>-3.1</v>
      </c>
      <c r="CU4800">
        <v>59</v>
      </c>
      <c r="CV4800">
        <v>0.04</v>
      </c>
      <c r="CW4800">
        <v>37</v>
      </c>
      <c r="CX4800" t="s">
        <v>267</v>
      </c>
    </row>
    <row r="4801" spans="1:102" x14ac:dyDescent="0.3">
      <c r="A4801" t="str">
        <f>HYPERLINK("https://webapp.icbf.com/v2/app/bull-search/view/77856373","JWC")</f>
        <v>JWC</v>
      </c>
      <c r="B4801" t="s">
        <v>5240</v>
      </c>
      <c r="C4801" t="s">
        <v>5241</v>
      </c>
      <c r="D4801" s="1">
        <v>33628</v>
      </c>
      <c r="E4801" t="s">
        <v>92</v>
      </c>
      <c r="F4801">
        <v>100</v>
      </c>
      <c r="G4801" t="s">
        <v>93</v>
      </c>
      <c r="H4801">
        <v>-184.27</v>
      </c>
      <c r="I4801">
        <v>95</v>
      </c>
      <c r="J4801">
        <v>-33</v>
      </c>
      <c r="K4801">
        <v>99</v>
      </c>
      <c r="L4801">
        <v>-130.32</v>
      </c>
      <c r="M4801">
        <v>94</v>
      </c>
      <c r="N4801">
        <v>-9.75</v>
      </c>
      <c r="O4801">
        <v>94</v>
      </c>
      <c r="P4801">
        <v>0.51</v>
      </c>
      <c r="Q4801">
        <v>97</v>
      </c>
      <c r="R4801">
        <v>-14.3</v>
      </c>
      <c r="S4801">
        <v>87</v>
      </c>
      <c r="T4801">
        <v>0.21</v>
      </c>
      <c r="U4801">
        <v>95</v>
      </c>
      <c r="V4801">
        <v>2.38</v>
      </c>
      <c r="W4801">
        <v>79</v>
      </c>
      <c r="X4801" t="s">
        <v>94</v>
      </c>
      <c r="Y4801" t="s">
        <v>95</v>
      </c>
      <c r="Z4801" t="s">
        <v>96</v>
      </c>
      <c r="AA4801" t="s">
        <v>666</v>
      </c>
      <c r="AB4801" t="s">
        <v>3712</v>
      </c>
      <c r="AC4801">
        <v>473</v>
      </c>
      <c r="AD4801">
        <v>255</v>
      </c>
      <c r="AE4801">
        <v>99</v>
      </c>
      <c r="AF4801">
        <v>233.37</v>
      </c>
      <c r="AG4801">
        <v>-5.6</v>
      </c>
      <c r="AH4801">
        <v>-0.06</v>
      </c>
      <c r="AI4801">
        <v>-0.25</v>
      </c>
      <c r="AJ4801">
        <v>-0.13</v>
      </c>
      <c r="AK4801">
        <v>94</v>
      </c>
      <c r="AL4801">
        <v>473</v>
      </c>
      <c r="AM4801">
        <v>219</v>
      </c>
      <c r="AN4801">
        <v>6.52</v>
      </c>
      <c r="AO4801">
        <v>-3.88</v>
      </c>
      <c r="AP4801">
        <v>85</v>
      </c>
      <c r="AQ4801">
        <v>0</v>
      </c>
      <c r="AR4801">
        <v>8.8699999999999992</v>
      </c>
      <c r="AS4801">
        <v>88</v>
      </c>
      <c r="AT4801">
        <v>4.49</v>
      </c>
      <c r="AU4801">
        <v>98</v>
      </c>
      <c r="AV4801">
        <v>-0.59</v>
      </c>
      <c r="AW4801">
        <v>95</v>
      </c>
      <c r="AX4801">
        <v>0.01</v>
      </c>
      <c r="AY4801">
        <v>95</v>
      </c>
      <c r="AZ4801">
        <v>5.79</v>
      </c>
      <c r="BA4801">
        <v>86</v>
      </c>
      <c r="BB4801">
        <v>4.58</v>
      </c>
      <c r="BC4801">
        <v>88</v>
      </c>
      <c r="BD4801">
        <v>0.01</v>
      </c>
      <c r="BE4801">
        <v>0.08</v>
      </c>
      <c r="BF4801">
        <v>0.16</v>
      </c>
      <c r="BG4801">
        <v>97</v>
      </c>
      <c r="BH4801">
        <v>0.21</v>
      </c>
      <c r="BI4801">
        <v>16.600000000000001</v>
      </c>
      <c r="BJ4801">
        <v>93</v>
      </c>
      <c r="BK4801">
        <v>61</v>
      </c>
      <c r="BL4801">
        <v>1.17</v>
      </c>
      <c r="BM4801">
        <v>1.61</v>
      </c>
      <c r="BN4801">
        <v>1.74</v>
      </c>
      <c r="BO4801">
        <v>0.3</v>
      </c>
      <c r="BP4801">
        <v>0.02</v>
      </c>
      <c r="BQ4801">
        <v>0.2</v>
      </c>
      <c r="BR4801">
        <v>0.21</v>
      </c>
      <c r="BS4801">
        <v>-0.16</v>
      </c>
      <c r="BT4801">
        <v>-0.08</v>
      </c>
      <c r="BU4801">
        <v>-0.33</v>
      </c>
      <c r="BV4801">
        <v>-0.42</v>
      </c>
      <c r="BW4801">
        <v>-1.27</v>
      </c>
      <c r="BX4801">
        <v>-0.7</v>
      </c>
      <c r="BY4801">
        <v>0.53</v>
      </c>
      <c r="BZ4801">
        <v>0.3</v>
      </c>
      <c r="CA4801">
        <v>-0.5</v>
      </c>
      <c r="CB4801">
        <v>-0.16</v>
      </c>
      <c r="CC4801">
        <v>-0.79</v>
      </c>
      <c r="CD4801">
        <v>0.76</v>
      </c>
      <c r="CE4801">
        <v>0.51</v>
      </c>
      <c r="CF4801">
        <v>1.31</v>
      </c>
      <c r="CG4801">
        <v>0</v>
      </c>
      <c r="CH4801">
        <v>0.31</v>
      </c>
      <c r="CI4801">
        <v>0</v>
      </c>
      <c r="CJ4801">
        <v>1.9</v>
      </c>
      <c r="CK4801">
        <v>97</v>
      </c>
      <c r="CL4801">
        <v>-0.63</v>
      </c>
      <c r="CM4801">
        <v>96</v>
      </c>
      <c r="CN4801">
        <v>-0.27</v>
      </c>
      <c r="CO4801">
        <v>96</v>
      </c>
      <c r="CP4801">
        <v>8.1999999999999993</v>
      </c>
      <c r="CQ4801">
        <v>98</v>
      </c>
      <c r="CR4801">
        <v>0</v>
      </c>
      <c r="CS4801">
        <v>0</v>
      </c>
      <c r="CT4801">
        <v>13.5</v>
      </c>
      <c r="CU4801">
        <v>95</v>
      </c>
      <c r="CV4801">
        <v>0.18</v>
      </c>
      <c r="CW4801">
        <v>45</v>
      </c>
      <c r="CX4801" t="s">
        <v>166</v>
      </c>
    </row>
    <row r="4802" spans="1:102" x14ac:dyDescent="0.3">
      <c r="A4802" t="str">
        <f>HYPERLINK("https://webapp.icbf.com/v2/app/bull-search/view/77855506","MAO")</f>
        <v>MAO</v>
      </c>
      <c r="B4802" t="s">
        <v>10353</v>
      </c>
      <c r="C4802" t="s">
        <v>10354</v>
      </c>
      <c r="D4802" s="1">
        <v>33905</v>
      </c>
      <c r="E4802" t="s">
        <v>92</v>
      </c>
      <c r="F4802">
        <v>100</v>
      </c>
      <c r="G4802" t="s">
        <v>93</v>
      </c>
      <c r="H4802">
        <v>-184.7</v>
      </c>
      <c r="I4802">
        <v>74</v>
      </c>
      <c r="J4802">
        <v>-45.84</v>
      </c>
      <c r="K4802">
        <v>93</v>
      </c>
      <c r="L4802">
        <v>-107.95</v>
      </c>
      <c r="M4802">
        <v>65</v>
      </c>
      <c r="N4802">
        <v>-24.69</v>
      </c>
      <c r="O4802">
        <v>61</v>
      </c>
      <c r="P4802">
        <v>-0.92</v>
      </c>
      <c r="Q4802">
        <v>79</v>
      </c>
      <c r="R4802">
        <v>-7.81</v>
      </c>
      <c r="S4802">
        <v>68</v>
      </c>
      <c r="T4802">
        <v>1.91</v>
      </c>
      <c r="U4802">
        <v>72</v>
      </c>
      <c r="V4802">
        <v>0.6</v>
      </c>
      <c r="W4802">
        <v>29</v>
      </c>
      <c r="X4802" t="s">
        <v>94</v>
      </c>
      <c r="Y4802" t="s">
        <v>95</v>
      </c>
      <c r="Z4802" t="s">
        <v>96</v>
      </c>
      <c r="AA4802" t="s">
        <v>485</v>
      </c>
      <c r="AB4802" t="s">
        <v>10355</v>
      </c>
      <c r="AC4802">
        <v>77</v>
      </c>
      <c r="AD4802">
        <v>70</v>
      </c>
      <c r="AE4802">
        <v>93</v>
      </c>
      <c r="AF4802">
        <v>8.5</v>
      </c>
      <c r="AG4802">
        <v>-10.28</v>
      </c>
      <c r="AH4802">
        <v>-4.03</v>
      </c>
      <c r="AI4802">
        <v>-0.18</v>
      </c>
      <c r="AJ4802">
        <v>-7.0000000000000007E-2</v>
      </c>
      <c r="AK4802">
        <v>65</v>
      </c>
      <c r="AL4802">
        <v>94</v>
      </c>
      <c r="AM4802">
        <v>78</v>
      </c>
      <c r="AN4802">
        <v>5.81</v>
      </c>
      <c r="AO4802">
        <v>-2.8</v>
      </c>
      <c r="AP4802">
        <v>20</v>
      </c>
      <c r="AQ4802">
        <v>0</v>
      </c>
      <c r="AR4802">
        <v>10.94</v>
      </c>
      <c r="AS4802">
        <v>39</v>
      </c>
      <c r="AT4802">
        <v>4.59</v>
      </c>
      <c r="AU4802">
        <v>53</v>
      </c>
      <c r="AV4802">
        <v>-0.23</v>
      </c>
      <c r="AW4802">
        <v>75</v>
      </c>
      <c r="AX4802">
        <v>-0.3</v>
      </c>
      <c r="AY4802">
        <v>69</v>
      </c>
      <c r="AZ4802">
        <v>6.83</v>
      </c>
      <c r="BA4802">
        <v>34</v>
      </c>
      <c r="BB4802">
        <v>5.22</v>
      </c>
      <c r="BC4802">
        <v>44</v>
      </c>
      <c r="BD4802">
        <v>0.04</v>
      </c>
      <c r="BE4802">
        <v>7.0000000000000007E-2</v>
      </c>
      <c r="BF4802">
        <v>-0.02</v>
      </c>
      <c r="BG4802">
        <v>85</v>
      </c>
      <c r="BH4802">
        <v>0.06</v>
      </c>
      <c r="BI4802">
        <v>5.01</v>
      </c>
      <c r="BJ4802">
        <v>15</v>
      </c>
      <c r="BK4802">
        <v>14</v>
      </c>
      <c r="BL4802">
        <v>0.52</v>
      </c>
      <c r="BM4802">
        <v>0.78</v>
      </c>
      <c r="BN4802">
        <v>0.86</v>
      </c>
      <c r="BO4802">
        <v>0.26</v>
      </c>
      <c r="BP4802">
        <v>-0.5</v>
      </c>
      <c r="BQ4802">
        <v>0.5</v>
      </c>
      <c r="BR4802">
        <v>0.64</v>
      </c>
      <c r="BS4802">
        <v>-0.53</v>
      </c>
      <c r="BT4802">
        <v>-0.85</v>
      </c>
      <c r="BU4802">
        <v>0.47</v>
      </c>
      <c r="BV4802">
        <v>0.24</v>
      </c>
      <c r="BW4802">
        <v>-0.45</v>
      </c>
      <c r="BX4802">
        <v>0.27</v>
      </c>
      <c r="BY4802">
        <v>0.39</v>
      </c>
      <c r="BZ4802">
        <v>-0.49</v>
      </c>
      <c r="CA4802">
        <v>0.09</v>
      </c>
      <c r="CB4802">
        <v>0.63</v>
      </c>
      <c r="CC4802">
        <v>-0.49</v>
      </c>
      <c r="CD4802">
        <v>0.36</v>
      </c>
      <c r="CE4802">
        <v>0.46</v>
      </c>
      <c r="CF4802">
        <v>0.78</v>
      </c>
      <c r="CG4802">
        <v>0</v>
      </c>
      <c r="CH4802">
        <v>0.88</v>
      </c>
      <c r="CI4802">
        <v>0</v>
      </c>
      <c r="CJ4802">
        <v>1.6</v>
      </c>
      <c r="CK4802">
        <v>81</v>
      </c>
      <c r="CL4802">
        <v>-0.75</v>
      </c>
      <c r="CM4802">
        <v>77</v>
      </c>
      <c r="CN4802">
        <v>-0.35</v>
      </c>
      <c r="CO4802">
        <v>74</v>
      </c>
      <c r="CP4802">
        <v>3.4</v>
      </c>
      <c r="CQ4802">
        <v>83</v>
      </c>
      <c r="CR4802">
        <v>0</v>
      </c>
      <c r="CS4802">
        <v>0</v>
      </c>
      <c r="CT4802">
        <v>11.2</v>
      </c>
      <c r="CU4802">
        <v>72</v>
      </c>
      <c r="CV4802">
        <v>0.22</v>
      </c>
      <c r="CW4802">
        <v>23</v>
      </c>
      <c r="CX4802" t="s">
        <v>914</v>
      </c>
    </row>
    <row r="4803" spans="1:102" x14ac:dyDescent="0.3">
      <c r="A4803" t="str">
        <f>HYPERLINK("https://webapp.icbf.com/v2/app/bull-search/view/77853937","SMU")</f>
        <v>SMU</v>
      </c>
      <c r="B4803" t="s">
        <v>3404</v>
      </c>
      <c r="C4803" t="s">
        <v>3405</v>
      </c>
      <c r="D4803" s="1">
        <v>35561</v>
      </c>
      <c r="E4803" t="s">
        <v>92</v>
      </c>
      <c r="F4803">
        <v>100</v>
      </c>
      <c r="G4803" t="s">
        <v>93</v>
      </c>
      <c r="H4803">
        <v>-185.54</v>
      </c>
      <c r="I4803">
        <v>72</v>
      </c>
      <c r="J4803">
        <v>-14.49</v>
      </c>
      <c r="K4803">
        <v>94</v>
      </c>
      <c r="L4803">
        <v>-103.98</v>
      </c>
      <c r="M4803">
        <v>57</v>
      </c>
      <c r="N4803">
        <v>-67.36</v>
      </c>
      <c r="O4803">
        <v>62</v>
      </c>
      <c r="P4803">
        <v>2.4</v>
      </c>
      <c r="Q4803">
        <v>84</v>
      </c>
      <c r="R4803">
        <v>-6.64</v>
      </c>
      <c r="S4803">
        <v>63</v>
      </c>
      <c r="T4803">
        <v>3.84</v>
      </c>
      <c r="U4803">
        <v>73</v>
      </c>
      <c r="V4803">
        <v>0.69</v>
      </c>
      <c r="W4803">
        <v>33</v>
      </c>
      <c r="X4803" t="s">
        <v>94</v>
      </c>
      <c r="Y4803" t="s">
        <v>95</v>
      </c>
      <c r="Z4803" t="s">
        <v>96</v>
      </c>
      <c r="AA4803" t="s">
        <v>860</v>
      </c>
      <c r="AB4803" t="s">
        <v>3406</v>
      </c>
      <c r="AC4803">
        <v>58</v>
      </c>
      <c r="AD4803">
        <v>42</v>
      </c>
      <c r="AE4803">
        <v>94</v>
      </c>
      <c r="AF4803">
        <v>62.08</v>
      </c>
      <c r="AG4803">
        <v>-1.71</v>
      </c>
      <c r="AH4803">
        <v>-0.91</v>
      </c>
      <c r="AI4803">
        <v>-7.0000000000000007E-2</v>
      </c>
      <c r="AJ4803">
        <v>-0.05</v>
      </c>
      <c r="AK4803">
        <v>57</v>
      </c>
      <c r="AL4803">
        <v>50</v>
      </c>
      <c r="AM4803">
        <v>38</v>
      </c>
      <c r="AN4803">
        <v>6.62</v>
      </c>
      <c r="AO4803">
        <v>-1.66</v>
      </c>
      <c r="AP4803">
        <v>4</v>
      </c>
      <c r="AQ4803">
        <v>0</v>
      </c>
      <c r="AR4803">
        <v>14.87</v>
      </c>
      <c r="AS4803">
        <v>42</v>
      </c>
      <c r="AT4803">
        <v>6.09</v>
      </c>
      <c r="AU4803">
        <v>59</v>
      </c>
      <c r="AV4803">
        <v>0.19</v>
      </c>
      <c r="AW4803">
        <v>71</v>
      </c>
      <c r="AX4803">
        <v>0.82</v>
      </c>
      <c r="AY4803">
        <v>66</v>
      </c>
      <c r="AZ4803">
        <v>7.4</v>
      </c>
      <c r="BA4803">
        <v>44</v>
      </c>
      <c r="BB4803">
        <v>4.99</v>
      </c>
      <c r="BC4803">
        <v>51</v>
      </c>
      <c r="BD4803">
        <v>0.04</v>
      </c>
      <c r="BE4803">
        <v>0.04</v>
      </c>
      <c r="BF4803">
        <v>0.01</v>
      </c>
      <c r="BG4803">
        <v>77</v>
      </c>
      <c r="BH4803">
        <v>0.14000000000000001</v>
      </c>
      <c r="BI4803">
        <v>13.97</v>
      </c>
      <c r="BJ4803">
        <v>19</v>
      </c>
      <c r="BK4803">
        <v>15</v>
      </c>
      <c r="BL4803">
        <v>-0.91</v>
      </c>
      <c r="BM4803">
        <v>-0.41</v>
      </c>
      <c r="BN4803">
        <v>-0.91</v>
      </c>
      <c r="BO4803">
        <v>-0.64</v>
      </c>
      <c r="BP4803">
        <v>-1.42</v>
      </c>
      <c r="BQ4803">
        <v>-1.97</v>
      </c>
      <c r="BR4803">
        <v>1.1200000000000001</v>
      </c>
      <c r="BS4803">
        <v>-0.96</v>
      </c>
      <c r="BT4803">
        <v>-0.78</v>
      </c>
      <c r="BU4803">
        <v>-0.89</v>
      </c>
      <c r="BV4803">
        <v>-0.87</v>
      </c>
      <c r="BW4803">
        <v>-0.4</v>
      </c>
      <c r="BX4803">
        <v>-0.24</v>
      </c>
      <c r="BY4803">
        <v>0.25</v>
      </c>
      <c r="BZ4803">
        <v>-1.53</v>
      </c>
      <c r="CA4803">
        <v>-0.28999999999999998</v>
      </c>
      <c r="CB4803">
        <v>-0.04</v>
      </c>
      <c r="CC4803">
        <v>-0.84</v>
      </c>
      <c r="CD4803">
        <v>-0.09</v>
      </c>
      <c r="CE4803">
        <v>-0.52</v>
      </c>
      <c r="CF4803">
        <v>-2.58</v>
      </c>
      <c r="CG4803">
        <v>0</v>
      </c>
      <c r="CH4803">
        <v>0.13</v>
      </c>
      <c r="CI4803">
        <v>0</v>
      </c>
      <c r="CJ4803">
        <v>1.5</v>
      </c>
      <c r="CK4803">
        <v>85</v>
      </c>
      <c r="CL4803">
        <v>-0.36</v>
      </c>
      <c r="CM4803">
        <v>82</v>
      </c>
      <c r="CN4803">
        <v>-0.33</v>
      </c>
      <c r="CO4803">
        <v>80</v>
      </c>
      <c r="CP4803">
        <v>1.2</v>
      </c>
      <c r="CQ4803">
        <v>85</v>
      </c>
      <c r="CR4803">
        <v>0</v>
      </c>
      <c r="CS4803">
        <v>0</v>
      </c>
      <c r="CT4803">
        <v>8.6</v>
      </c>
      <c r="CU4803">
        <v>73</v>
      </c>
      <c r="CV4803">
        <v>0.08</v>
      </c>
      <c r="CW4803">
        <v>24</v>
      </c>
      <c r="CX4803" t="s">
        <v>485</v>
      </c>
    </row>
    <row r="4804" spans="1:102" x14ac:dyDescent="0.3">
      <c r="A4804" t="str">
        <f>HYPERLINK("https://webapp.icbf.com/v2/app/bull-search/view/77852782","ZTS")</f>
        <v>ZTS</v>
      </c>
      <c r="B4804" t="s">
        <v>4984</v>
      </c>
      <c r="C4804" t="s">
        <v>4985</v>
      </c>
      <c r="D4804" s="1">
        <v>35886</v>
      </c>
      <c r="E4804" t="s">
        <v>92</v>
      </c>
      <c r="F4804">
        <v>88</v>
      </c>
      <c r="G4804" t="s">
        <v>93</v>
      </c>
      <c r="H4804">
        <v>-185.57</v>
      </c>
      <c r="I4804">
        <v>83</v>
      </c>
      <c r="J4804">
        <v>6.26</v>
      </c>
      <c r="K4804">
        <v>97</v>
      </c>
      <c r="L4804">
        <v>-180.51</v>
      </c>
      <c r="M4804">
        <v>73</v>
      </c>
      <c r="N4804">
        <v>-10.38</v>
      </c>
      <c r="O4804">
        <v>77</v>
      </c>
      <c r="P4804">
        <v>3.14</v>
      </c>
      <c r="Q4804">
        <v>92</v>
      </c>
      <c r="R4804">
        <v>-18.02</v>
      </c>
      <c r="S4804">
        <v>74</v>
      </c>
      <c r="T4804">
        <v>17.38</v>
      </c>
      <c r="U4804">
        <v>83</v>
      </c>
      <c r="V4804">
        <v>-3.44</v>
      </c>
      <c r="W4804">
        <v>55</v>
      </c>
      <c r="X4804" t="s">
        <v>94</v>
      </c>
      <c r="Y4804" t="s">
        <v>95</v>
      </c>
      <c r="Z4804" t="s">
        <v>96</v>
      </c>
      <c r="AA4804" t="s">
        <v>2824</v>
      </c>
      <c r="AB4804" t="s">
        <v>4986</v>
      </c>
      <c r="AC4804">
        <v>166</v>
      </c>
      <c r="AD4804">
        <v>131</v>
      </c>
      <c r="AE4804">
        <v>97</v>
      </c>
      <c r="AF4804">
        <v>244.96</v>
      </c>
      <c r="AG4804">
        <v>1.2</v>
      </c>
      <c r="AH4804">
        <v>4.3899999999999997</v>
      </c>
      <c r="AI4804">
        <v>-0.13</v>
      </c>
      <c r="AJ4804">
        <v>-0.06</v>
      </c>
      <c r="AK4804">
        <v>73</v>
      </c>
      <c r="AL4804">
        <v>148</v>
      </c>
      <c r="AM4804">
        <v>114</v>
      </c>
      <c r="AN4804">
        <v>8.68</v>
      </c>
      <c r="AO4804">
        <v>-5.73</v>
      </c>
      <c r="AP4804">
        <v>12</v>
      </c>
      <c r="AQ4804">
        <v>0</v>
      </c>
      <c r="AR4804">
        <v>9.4499999999999993</v>
      </c>
      <c r="AS4804">
        <v>62</v>
      </c>
      <c r="AT4804">
        <v>4.1100000000000003</v>
      </c>
      <c r="AU4804">
        <v>72</v>
      </c>
      <c r="AV4804">
        <v>-0.15</v>
      </c>
      <c r="AW4804">
        <v>85</v>
      </c>
      <c r="AX4804">
        <v>-0.43</v>
      </c>
      <c r="AY4804">
        <v>84</v>
      </c>
      <c r="AZ4804">
        <v>6.13</v>
      </c>
      <c r="BA4804">
        <v>66</v>
      </c>
      <c r="BB4804">
        <v>4.5999999999999996</v>
      </c>
      <c r="BC4804">
        <v>68</v>
      </c>
      <c r="BD4804">
        <v>0.11</v>
      </c>
      <c r="BE4804">
        <v>0.09</v>
      </c>
      <c r="BF4804">
        <v>0.06</v>
      </c>
      <c r="BG4804">
        <v>89</v>
      </c>
      <c r="BH4804">
        <v>-0.05</v>
      </c>
      <c r="BI4804">
        <v>5.32</v>
      </c>
      <c r="BJ4804">
        <v>30</v>
      </c>
      <c r="BK4804">
        <v>22</v>
      </c>
      <c r="BL4804">
        <v>0.39</v>
      </c>
      <c r="BM4804">
        <v>0.35</v>
      </c>
      <c r="BN4804">
        <v>0.87</v>
      </c>
      <c r="BO4804">
        <v>0.37</v>
      </c>
      <c r="BP4804">
        <v>1.52</v>
      </c>
      <c r="BQ4804">
        <v>-0.85</v>
      </c>
      <c r="BR4804">
        <v>-0.22</v>
      </c>
      <c r="BS4804">
        <v>-0.82</v>
      </c>
      <c r="BT4804">
        <v>0.68</v>
      </c>
      <c r="BU4804">
        <v>-1.57</v>
      </c>
      <c r="BV4804">
        <v>-0.68</v>
      </c>
      <c r="BW4804">
        <v>-0.19</v>
      </c>
      <c r="BX4804">
        <v>-2.79</v>
      </c>
      <c r="BY4804">
        <v>-1.04</v>
      </c>
      <c r="BZ4804">
        <v>1.1200000000000001</v>
      </c>
      <c r="CA4804">
        <v>-0.85</v>
      </c>
      <c r="CB4804">
        <v>-0.75</v>
      </c>
      <c r="CC4804">
        <v>-0.55000000000000004</v>
      </c>
      <c r="CD4804">
        <v>-0.76</v>
      </c>
      <c r="CE4804">
        <v>0.55000000000000004</v>
      </c>
      <c r="CF4804">
        <v>0.83</v>
      </c>
      <c r="CG4804">
        <v>0</v>
      </c>
      <c r="CH4804">
        <v>0.09</v>
      </c>
      <c r="CI4804">
        <v>0</v>
      </c>
      <c r="CJ4804">
        <v>6.6</v>
      </c>
      <c r="CK4804">
        <v>93</v>
      </c>
      <c r="CL4804">
        <v>-0.54</v>
      </c>
      <c r="CM4804">
        <v>91</v>
      </c>
      <c r="CN4804">
        <v>-7.0000000000000007E-2</v>
      </c>
      <c r="CO4804">
        <v>90</v>
      </c>
      <c r="CP4804">
        <v>-8.1</v>
      </c>
      <c r="CQ4804">
        <v>93</v>
      </c>
      <c r="CR4804">
        <v>0</v>
      </c>
      <c r="CS4804">
        <v>0</v>
      </c>
      <c r="CT4804">
        <v>-9.6999999999999993</v>
      </c>
      <c r="CU4804">
        <v>83</v>
      </c>
      <c r="CV4804">
        <v>0.36</v>
      </c>
      <c r="CW4804">
        <v>27</v>
      </c>
      <c r="CX4804" t="s">
        <v>678</v>
      </c>
    </row>
    <row r="4805" spans="1:102" x14ac:dyDescent="0.3">
      <c r="A4805" t="str">
        <f>HYPERLINK("https://webapp.icbf.com/v2/app/bull-search/view/77852938","WCM")</f>
        <v>WCM</v>
      </c>
      <c r="B4805" t="s">
        <v>10743</v>
      </c>
      <c r="C4805" t="s">
        <v>10744</v>
      </c>
      <c r="D4805" s="1">
        <v>32031</v>
      </c>
      <c r="E4805" t="s">
        <v>92</v>
      </c>
      <c r="F4805">
        <v>100</v>
      </c>
      <c r="G4805" t="s">
        <v>109</v>
      </c>
      <c r="H4805">
        <v>-185.65</v>
      </c>
      <c r="I4805">
        <v>80</v>
      </c>
      <c r="J4805">
        <v>-33.24</v>
      </c>
      <c r="K4805">
        <v>92</v>
      </c>
      <c r="L4805">
        <v>-157.94</v>
      </c>
      <c r="M4805">
        <v>86</v>
      </c>
      <c r="N4805">
        <v>7.48</v>
      </c>
      <c r="O4805">
        <v>63</v>
      </c>
      <c r="P4805">
        <v>-10.35</v>
      </c>
      <c r="Q4805">
        <v>67</v>
      </c>
      <c r="R4805">
        <v>2.02</v>
      </c>
      <c r="S4805">
        <v>67</v>
      </c>
      <c r="T4805">
        <v>9.16</v>
      </c>
      <c r="U4805">
        <v>71</v>
      </c>
      <c r="V4805">
        <v>-2.78</v>
      </c>
      <c r="W4805">
        <v>29</v>
      </c>
      <c r="X4805" t="s">
        <v>131</v>
      </c>
      <c r="Y4805" t="s">
        <v>95</v>
      </c>
      <c r="Z4805" t="s">
        <v>96</v>
      </c>
      <c r="AA4805" t="s">
        <v>543</v>
      </c>
      <c r="AB4805" t="s">
        <v>10745</v>
      </c>
      <c r="AC4805">
        <v>41</v>
      </c>
      <c r="AD4805">
        <v>27</v>
      </c>
      <c r="AE4805">
        <v>92</v>
      </c>
      <c r="AF4805">
        <v>21.59</v>
      </c>
      <c r="AG4805">
        <v>-0.63</v>
      </c>
      <c r="AH4805">
        <v>-5.0999999999999996</v>
      </c>
      <c r="AI4805">
        <v>-0.02</v>
      </c>
      <c r="AJ4805">
        <v>-0.1</v>
      </c>
      <c r="AK4805">
        <v>86</v>
      </c>
      <c r="AL4805">
        <v>50</v>
      </c>
      <c r="AM4805">
        <v>29</v>
      </c>
      <c r="AN4805">
        <v>9.07</v>
      </c>
      <c r="AO4805">
        <v>-3.52</v>
      </c>
      <c r="AP4805">
        <v>6</v>
      </c>
      <c r="AQ4805">
        <v>0</v>
      </c>
      <c r="AR4805">
        <v>6.11</v>
      </c>
      <c r="AS4805">
        <v>33</v>
      </c>
      <c r="AT4805">
        <v>2.95</v>
      </c>
      <c r="AU4805">
        <v>87</v>
      </c>
      <c r="AV4805">
        <v>-0.32</v>
      </c>
      <c r="AW4805">
        <v>62</v>
      </c>
      <c r="AX4805">
        <v>-0.64</v>
      </c>
      <c r="AY4805">
        <v>65</v>
      </c>
      <c r="AZ4805">
        <v>7.01</v>
      </c>
      <c r="BA4805">
        <v>35</v>
      </c>
      <c r="BB4805">
        <v>5.2</v>
      </c>
      <c r="BC4805">
        <v>40</v>
      </c>
      <c r="BD4805">
        <v>0.04</v>
      </c>
      <c r="BE4805">
        <v>0.03</v>
      </c>
      <c r="BF4805">
        <v>-0.17</v>
      </c>
      <c r="BG4805">
        <v>87</v>
      </c>
      <c r="BH4805">
        <v>0</v>
      </c>
      <c r="BI4805">
        <v>8.9600000000000009</v>
      </c>
      <c r="BJ4805">
        <v>10</v>
      </c>
      <c r="BK4805">
        <v>5</v>
      </c>
      <c r="BL4805">
        <v>0.87</v>
      </c>
      <c r="BM4805">
        <v>1.59</v>
      </c>
      <c r="BN4805">
        <v>1.06</v>
      </c>
      <c r="BO4805">
        <v>-0.19</v>
      </c>
      <c r="BP4805">
        <v>-1.28</v>
      </c>
      <c r="BQ4805">
        <v>2.02</v>
      </c>
      <c r="BR4805">
        <v>1.59</v>
      </c>
      <c r="BS4805">
        <v>-2.0699999999999998</v>
      </c>
      <c r="BT4805">
        <v>-2.1</v>
      </c>
      <c r="BU4805">
        <v>1.69</v>
      </c>
      <c r="BV4805">
        <v>0.24</v>
      </c>
      <c r="BW4805">
        <v>0.74</v>
      </c>
      <c r="BX4805">
        <v>2.29</v>
      </c>
      <c r="BY4805">
        <v>1.05</v>
      </c>
      <c r="BZ4805">
        <v>2.71</v>
      </c>
      <c r="CA4805">
        <v>-0.15</v>
      </c>
      <c r="CB4805">
        <v>0.43</v>
      </c>
      <c r="CC4805">
        <v>-1.19</v>
      </c>
      <c r="CD4805">
        <v>0.95</v>
      </c>
      <c r="CE4805">
        <v>-0.47</v>
      </c>
      <c r="CF4805">
        <v>0.82</v>
      </c>
      <c r="CG4805">
        <v>0</v>
      </c>
      <c r="CH4805">
        <v>-0.44</v>
      </c>
      <c r="CI4805">
        <v>0</v>
      </c>
      <c r="CJ4805">
        <v>-3.9</v>
      </c>
      <c r="CK4805">
        <v>68</v>
      </c>
      <c r="CL4805">
        <v>-0.67</v>
      </c>
      <c r="CM4805">
        <v>64</v>
      </c>
      <c r="CN4805">
        <v>-0.22</v>
      </c>
      <c r="CO4805">
        <v>58</v>
      </c>
      <c r="CP4805">
        <v>-4.2</v>
      </c>
      <c r="CQ4805">
        <v>78</v>
      </c>
      <c r="CR4805">
        <v>0</v>
      </c>
      <c r="CS4805">
        <v>0</v>
      </c>
      <c r="CT4805">
        <v>1.4</v>
      </c>
      <c r="CU4805">
        <v>71</v>
      </c>
      <c r="CV4805">
        <v>0.13</v>
      </c>
      <c r="CW4805">
        <v>18</v>
      </c>
      <c r="CX4805" t="s">
        <v>120</v>
      </c>
    </row>
    <row r="4806" spans="1:102" x14ac:dyDescent="0.3">
      <c r="A4806" t="str">
        <f>HYPERLINK("https://webapp.icbf.com/v2/app/bull-search/view/68505997","LEB")</f>
        <v>LEB</v>
      </c>
      <c r="B4806" t="s">
        <v>10436</v>
      </c>
      <c r="C4806" t="s">
        <v>1876</v>
      </c>
      <c r="D4806" s="1">
        <v>34613</v>
      </c>
      <c r="E4806" t="s">
        <v>92</v>
      </c>
      <c r="F4806">
        <v>100</v>
      </c>
      <c r="G4806" t="s">
        <v>93</v>
      </c>
      <c r="H4806">
        <v>-186.38</v>
      </c>
      <c r="I4806">
        <v>95</v>
      </c>
      <c r="J4806">
        <v>-28.35</v>
      </c>
      <c r="K4806">
        <v>99</v>
      </c>
      <c r="L4806">
        <v>-149.72</v>
      </c>
      <c r="M4806">
        <v>93</v>
      </c>
      <c r="N4806">
        <v>-5.52</v>
      </c>
      <c r="O4806">
        <v>93</v>
      </c>
      <c r="P4806">
        <v>-6.47</v>
      </c>
      <c r="Q4806">
        <v>98</v>
      </c>
      <c r="R4806">
        <v>-3.89</v>
      </c>
      <c r="S4806">
        <v>87</v>
      </c>
      <c r="T4806">
        <v>14.86</v>
      </c>
      <c r="U4806">
        <v>94</v>
      </c>
      <c r="V4806">
        <v>-7.29</v>
      </c>
      <c r="W4806">
        <v>82</v>
      </c>
      <c r="X4806" t="s">
        <v>102</v>
      </c>
      <c r="Y4806" t="s">
        <v>95</v>
      </c>
      <c r="Z4806" t="s">
        <v>96</v>
      </c>
      <c r="AA4806" t="s">
        <v>678</v>
      </c>
      <c r="AB4806" t="s">
        <v>10437</v>
      </c>
      <c r="AC4806">
        <v>375</v>
      </c>
      <c r="AD4806">
        <v>160</v>
      </c>
      <c r="AE4806">
        <v>99</v>
      </c>
      <c r="AF4806">
        <v>190.18</v>
      </c>
      <c r="AG4806">
        <v>-9.16</v>
      </c>
      <c r="AH4806">
        <v>1.33</v>
      </c>
      <c r="AI4806">
        <v>-0.28000000000000003</v>
      </c>
      <c r="AJ4806">
        <v>-0.09</v>
      </c>
      <c r="AK4806">
        <v>93</v>
      </c>
      <c r="AL4806">
        <v>373</v>
      </c>
      <c r="AM4806">
        <v>146</v>
      </c>
      <c r="AN4806">
        <v>8.94</v>
      </c>
      <c r="AO4806">
        <v>-2.99</v>
      </c>
      <c r="AP4806">
        <v>261</v>
      </c>
      <c r="AQ4806">
        <v>0</v>
      </c>
      <c r="AR4806">
        <v>8.89</v>
      </c>
      <c r="AS4806">
        <v>92</v>
      </c>
      <c r="AT4806">
        <v>4.3</v>
      </c>
      <c r="AU4806">
        <v>97</v>
      </c>
      <c r="AV4806">
        <v>-0.83</v>
      </c>
      <c r="AW4806">
        <v>94</v>
      </c>
      <c r="AX4806">
        <v>0.2</v>
      </c>
      <c r="AY4806">
        <v>94</v>
      </c>
      <c r="AZ4806">
        <v>5.36</v>
      </c>
      <c r="BA4806">
        <v>85</v>
      </c>
      <c r="BB4806">
        <v>4.53</v>
      </c>
      <c r="BC4806">
        <v>85</v>
      </c>
      <c r="BD4806">
        <v>0.05</v>
      </c>
      <c r="BE4806">
        <v>0.04</v>
      </c>
      <c r="BF4806">
        <v>-7.0000000000000007E-2</v>
      </c>
      <c r="BG4806">
        <v>96</v>
      </c>
      <c r="BH4806">
        <v>-0.03</v>
      </c>
      <c r="BI4806">
        <v>20.059999999999999</v>
      </c>
      <c r="BJ4806">
        <v>102</v>
      </c>
      <c r="BK4806">
        <v>47</v>
      </c>
      <c r="BL4806">
        <v>0.61</v>
      </c>
      <c r="BM4806">
        <v>-2.4700000000000002</v>
      </c>
      <c r="BN4806">
        <v>-0.98</v>
      </c>
      <c r="BO4806">
        <v>0.72</v>
      </c>
      <c r="BP4806">
        <v>0.39</v>
      </c>
      <c r="BQ4806">
        <v>0.76</v>
      </c>
      <c r="BR4806">
        <v>-0.57999999999999996</v>
      </c>
      <c r="BS4806">
        <v>0.45</v>
      </c>
      <c r="BT4806">
        <v>1.24</v>
      </c>
      <c r="BU4806">
        <v>1.83</v>
      </c>
      <c r="BV4806">
        <v>0.37</v>
      </c>
      <c r="BW4806">
        <v>0.84</v>
      </c>
      <c r="BX4806">
        <v>2.2799999999999998</v>
      </c>
      <c r="BY4806">
        <v>-1.26</v>
      </c>
      <c r="BZ4806">
        <v>0.98</v>
      </c>
      <c r="CA4806">
        <v>0.94</v>
      </c>
      <c r="CB4806">
        <v>0.68</v>
      </c>
      <c r="CC4806">
        <v>0.9</v>
      </c>
      <c r="CD4806">
        <v>-1.91</v>
      </c>
      <c r="CE4806">
        <v>0.67</v>
      </c>
      <c r="CF4806">
        <v>0.19</v>
      </c>
      <c r="CG4806">
        <v>0</v>
      </c>
      <c r="CH4806">
        <v>-1.25</v>
      </c>
      <c r="CI4806">
        <v>0</v>
      </c>
      <c r="CJ4806">
        <v>-1.7</v>
      </c>
      <c r="CK4806">
        <v>98</v>
      </c>
      <c r="CL4806">
        <v>-0.81</v>
      </c>
      <c r="CM4806">
        <v>97</v>
      </c>
      <c r="CN4806">
        <v>-0.41</v>
      </c>
      <c r="CO4806">
        <v>97</v>
      </c>
      <c r="CP4806">
        <v>-3.8</v>
      </c>
      <c r="CQ4806">
        <v>97</v>
      </c>
      <c r="CR4806">
        <v>0</v>
      </c>
      <c r="CS4806">
        <v>0</v>
      </c>
      <c r="CT4806">
        <v>-6.3</v>
      </c>
      <c r="CU4806">
        <v>94</v>
      </c>
      <c r="CV4806">
        <v>0.1</v>
      </c>
      <c r="CW4806">
        <v>45</v>
      </c>
      <c r="CX4806" t="s">
        <v>111</v>
      </c>
    </row>
    <row r="4807" spans="1:102" x14ac:dyDescent="0.3">
      <c r="A4807" t="str">
        <f>HYPERLINK("https://webapp.icbf.com/v2/app/bull-search/view/69092197","MAX")</f>
        <v>MAX</v>
      </c>
      <c r="B4807" t="s">
        <v>713</v>
      </c>
      <c r="C4807" t="s">
        <v>714</v>
      </c>
      <c r="D4807" s="1">
        <v>34938</v>
      </c>
      <c r="E4807" t="s">
        <v>92</v>
      </c>
      <c r="F4807">
        <v>100</v>
      </c>
      <c r="G4807" t="s">
        <v>93</v>
      </c>
      <c r="H4807">
        <v>-186.6</v>
      </c>
      <c r="I4807">
        <v>96</v>
      </c>
      <c r="J4807">
        <v>12.67</v>
      </c>
      <c r="K4807">
        <v>99</v>
      </c>
      <c r="L4807">
        <v>-189.1</v>
      </c>
      <c r="M4807">
        <v>93</v>
      </c>
      <c r="N4807">
        <v>-7.76</v>
      </c>
      <c r="O4807">
        <v>98</v>
      </c>
      <c r="P4807">
        <v>3.78</v>
      </c>
      <c r="Q4807">
        <v>99</v>
      </c>
      <c r="R4807">
        <v>-9.5</v>
      </c>
      <c r="S4807">
        <v>94</v>
      </c>
      <c r="T4807">
        <v>9.5299999999999994</v>
      </c>
      <c r="U4807">
        <v>98</v>
      </c>
      <c r="V4807">
        <v>-6.22</v>
      </c>
      <c r="W4807">
        <v>93</v>
      </c>
      <c r="X4807" t="s">
        <v>276</v>
      </c>
      <c r="Y4807" t="s">
        <v>95</v>
      </c>
      <c r="Z4807" t="s">
        <v>96</v>
      </c>
      <c r="AA4807" t="s">
        <v>715</v>
      </c>
      <c r="AB4807" t="s">
        <v>716</v>
      </c>
      <c r="AC4807">
        <v>973</v>
      </c>
      <c r="AD4807">
        <v>407</v>
      </c>
      <c r="AE4807">
        <v>99</v>
      </c>
      <c r="AF4807">
        <v>156.68</v>
      </c>
      <c r="AG4807">
        <v>5.83</v>
      </c>
      <c r="AH4807">
        <v>2.4900000000000002</v>
      </c>
      <c r="AI4807">
        <v>-0.01</v>
      </c>
      <c r="AJ4807">
        <v>-0.05</v>
      </c>
      <c r="AK4807">
        <v>93</v>
      </c>
      <c r="AL4807">
        <v>897</v>
      </c>
      <c r="AM4807">
        <v>353</v>
      </c>
      <c r="AN4807">
        <v>11.1</v>
      </c>
      <c r="AO4807">
        <v>-3.97</v>
      </c>
      <c r="AP4807">
        <v>1716</v>
      </c>
      <c r="AQ4807">
        <v>18</v>
      </c>
      <c r="AR4807">
        <v>11.4</v>
      </c>
      <c r="AS4807">
        <v>98</v>
      </c>
      <c r="AT4807">
        <v>3.53</v>
      </c>
      <c r="AU4807">
        <v>99</v>
      </c>
      <c r="AV4807">
        <v>-0.46</v>
      </c>
      <c r="AW4807">
        <v>99</v>
      </c>
      <c r="AX4807">
        <v>0.24</v>
      </c>
      <c r="AY4807">
        <v>98</v>
      </c>
      <c r="AZ4807">
        <v>5.28</v>
      </c>
      <c r="BA4807">
        <v>94</v>
      </c>
      <c r="BB4807">
        <v>4.43</v>
      </c>
      <c r="BC4807">
        <v>93</v>
      </c>
      <c r="BD4807">
        <v>-0.01</v>
      </c>
      <c r="BE4807">
        <v>0.05</v>
      </c>
      <c r="BF4807">
        <v>0.14000000000000001</v>
      </c>
      <c r="BG4807">
        <v>98</v>
      </c>
      <c r="BH4807">
        <v>-0.18</v>
      </c>
      <c r="BI4807">
        <v>-0.77</v>
      </c>
      <c r="BJ4807">
        <v>269</v>
      </c>
      <c r="BK4807">
        <v>114</v>
      </c>
      <c r="BL4807">
        <v>0.34</v>
      </c>
      <c r="BM4807">
        <v>-2.3199999999999998</v>
      </c>
      <c r="BN4807">
        <v>-0.15</v>
      </c>
      <c r="BO4807">
        <v>1.1000000000000001</v>
      </c>
      <c r="BP4807">
        <v>-3.29</v>
      </c>
      <c r="BQ4807">
        <v>-0.33</v>
      </c>
      <c r="BR4807">
        <v>1.1299999999999999</v>
      </c>
      <c r="BS4807">
        <v>-0.74</v>
      </c>
      <c r="BT4807">
        <v>-1.03</v>
      </c>
      <c r="BU4807">
        <v>0.83</v>
      </c>
      <c r="BV4807">
        <v>1.51</v>
      </c>
      <c r="BW4807">
        <v>0.99</v>
      </c>
      <c r="BX4807">
        <v>0.49</v>
      </c>
      <c r="BY4807">
        <v>0.64</v>
      </c>
      <c r="BZ4807">
        <v>-2.1</v>
      </c>
      <c r="CA4807">
        <v>0.52</v>
      </c>
      <c r="CB4807">
        <v>1.04</v>
      </c>
      <c r="CC4807">
        <v>-0.72</v>
      </c>
      <c r="CD4807">
        <v>-1.97</v>
      </c>
      <c r="CE4807">
        <v>1.0900000000000001</v>
      </c>
      <c r="CF4807">
        <v>-0.82</v>
      </c>
      <c r="CG4807">
        <v>0</v>
      </c>
      <c r="CH4807">
        <v>0.56000000000000005</v>
      </c>
      <c r="CI4807">
        <v>0</v>
      </c>
      <c r="CJ4807">
        <v>3</v>
      </c>
      <c r="CK4807">
        <v>99</v>
      </c>
      <c r="CL4807">
        <v>-0.6</v>
      </c>
      <c r="CM4807">
        <v>99</v>
      </c>
      <c r="CN4807">
        <v>-0.52</v>
      </c>
      <c r="CO4807">
        <v>99</v>
      </c>
      <c r="CP4807">
        <v>-1.7</v>
      </c>
      <c r="CQ4807">
        <v>99</v>
      </c>
      <c r="CR4807">
        <v>0</v>
      </c>
      <c r="CS4807">
        <v>0</v>
      </c>
      <c r="CT4807">
        <v>0.9</v>
      </c>
      <c r="CU4807">
        <v>98</v>
      </c>
      <c r="CV4807">
        <v>0.15</v>
      </c>
      <c r="CW4807">
        <v>46</v>
      </c>
      <c r="CX4807" t="s">
        <v>717</v>
      </c>
    </row>
    <row r="4808" spans="1:102" x14ac:dyDescent="0.3">
      <c r="A4808" t="str">
        <f>HYPERLINK("https://webapp.icbf.com/v2/app/bull-search/view/77854165","RUL")</f>
        <v>RUL</v>
      </c>
      <c r="B4808" t="s">
        <v>3883</v>
      </c>
      <c r="C4808" t="s">
        <v>3884</v>
      </c>
      <c r="D4808" s="1">
        <v>33612</v>
      </c>
      <c r="E4808" t="s">
        <v>92</v>
      </c>
      <c r="F4808">
        <v>100</v>
      </c>
      <c r="G4808" t="s">
        <v>93</v>
      </c>
      <c r="H4808">
        <v>-186.94</v>
      </c>
      <c r="I4808">
        <v>81</v>
      </c>
      <c r="J4808">
        <v>-53.62</v>
      </c>
      <c r="K4808">
        <v>92</v>
      </c>
      <c r="L4808">
        <v>-68.56</v>
      </c>
      <c r="M4808">
        <v>86</v>
      </c>
      <c r="N4808">
        <v>-52.55</v>
      </c>
      <c r="O4808">
        <v>64</v>
      </c>
      <c r="P4808">
        <v>-11.7</v>
      </c>
      <c r="Q4808">
        <v>73</v>
      </c>
      <c r="R4808">
        <v>-7.63</v>
      </c>
      <c r="S4808">
        <v>70</v>
      </c>
      <c r="T4808">
        <v>14.12</v>
      </c>
      <c r="U4808">
        <v>76</v>
      </c>
      <c r="V4808">
        <v>-7</v>
      </c>
      <c r="W4808">
        <v>33</v>
      </c>
      <c r="X4808" t="s">
        <v>747</v>
      </c>
      <c r="Y4808" t="s">
        <v>95</v>
      </c>
      <c r="Z4808" t="s">
        <v>96</v>
      </c>
      <c r="AA4808" t="s">
        <v>152</v>
      </c>
      <c r="AB4808" t="s">
        <v>3885</v>
      </c>
      <c r="AC4808">
        <v>55</v>
      </c>
      <c r="AD4808">
        <v>34</v>
      </c>
      <c r="AE4808">
        <v>92</v>
      </c>
      <c r="AF4808">
        <v>137</v>
      </c>
      <c r="AG4808">
        <v>-7.27</v>
      </c>
      <c r="AH4808">
        <v>-4.45</v>
      </c>
      <c r="AI4808">
        <v>-0.2</v>
      </c>
      <c r="AJ4808">
        <v>-0.15</v>
      </c>
      <c r="AK4808">
        <v>86</v>
      </c>
      <c r="AL4808">
        <v>66</v>
      </c>
      <c r="AM4808">
        <v>38</v>
      </c>
      <c r="AN4808">
        <v>4.3499999999999996</v>
      </c>
      <c r="AO4808">
        <v>-1.1100000000000001</v>
      </c>
      <c r="AP4808">
        <v>8</v>
      </c>
      <c r="AQ4808">
        <v>1</v>
      </c>
      <c r="AR4808">
        <v>14.72</v>
      </c>
      <c r="AS4808">
        <v>37</v>
      </c>
      <c r="AT4808">
        <v>6</v>
      </c>
      <c r="AU4808">
        <v>83</v>
      </c>
      <c r="AV4808">
        <v>-0.66</v>
      </c>
      <c r="AW4808">
        <v>63</v>
      </c>
      <c r="AX4808">
        <v>0.18</v>
      </c>
      <c r="AY4808">
        <v>72</v>
      </c>
      <c r="AZ4808">
        <v>5.99</v>
      </c>
      <c r="BA4808">
        <v>37</v>
      </c>
      <c r="BB4808">
        <v>4.5</v>
      </c>
      <c r="BC4808">
        <v>52</v>
      </c>
      <c r="BD4808">
        <v>0.02</v>
      </c>
      <c r="BE4808">
        <v>0.08</v>
      </c>
      <c r="BF4808">
        <v>-0.01</v>
      </c>
      <c r="BG4808">
        <v>89</v>
      </c>
      <c r="BH4808">
        <v>-0.18</v>
      </c>
      <c r="BI4808">
        <v>1.75</v>
      </c>
      <c r="BJ4808">
        <v>14</v>
      </c>
      <c r="BK4808">
        <v>10</v>
      </c>
      <c r="BL4808">
        <v>0.03</v>
      </c>
      <c r="BM4808">
        <v>-0.56000000000000005</v>
      </c>
      <c r="BN4808">
        <v>-0.38</v>
      </c>
      <c r="BO4808">
        <v>-0.33</v>
      </c>
      <c r="BP4808">
        <v>0.44</v>
      </c>
      <c r="BQ4808">
        <v>-0.56000000000000005</v>
      </c>
      <c r="BR4808">
        <v>-0.83</v>
      </c>
      <c r="BS4808">
        <v>-0.21</v>
      </c>
      <c r="BT4808">
        <v>1.36</v>
      </c>
      <c r="BU4808">
        <v>-0.42</v>
      </c>
      <c r="BV4808">
        <v>-0.17</v>
      </c>
      <c r="BW4808">
        <v>-0.02</v>
      </c>
      <c r="BX4808">
        <v>0.04</v>
      </c>
      <c r="BY4808">
        <v>0.09</v>
      </c>
      <c r="BZ4808">
        <v>0.27</v>
      </c>
      <c r="CA4808">
        <v>-0.1</v>
      </c>
      <c r="CB4808">
        <v>-0.18</v>
      </c>
      <c r="CC4808">
        <v>0.01</v>
      </c>
      <c r="CD4808">
        <v>0.13</v>
      </c>
      <c r="CE4808">
        <v>-0.56999999999999995</v>
      </c>
      <c r="CF4808">
        <v>-1.96</v>
      </c>
      <c r="CG4808">
        <v>0</v>
      </c>
      <c r="CH4808">
        <v>0.06</v>
      </c>
      <c r="CI4808">
        <v>0</v>
      </c>
      <c r="CJ4808">
        <v>-6.1</v>
      </c>
      <c r="CK4808">
        <v>74</v>
      </c>
      <c r="CL4808">
        <v>-0.45</v>
      </c>
      <c r="CM4808">
        <v>70</v>
      </c>
      <c r="CN4808">
        <v>-0.18</v>
      </c>
      <c r="CO4808">
        <v>66</v>
      </c>
      <c r="CP4808">
        <v>-5</v>
      </c>
      <c r="CQ4808">
        <v>84</v>
      </c>
      <c r="CR4808">
        <v>0</v>
      </c>
      <c r="CS4808">
        <v>0</v>
      </c>
      <c r="CT4808">
        <v>-5.3</v>
      </c>
      <c r="CU4808">
        <v>76</v>
      </c>
      <c r="CV4808">
        <v>-0.01</v>
      </c>
      <c r="CW4808">
        <v>20</v>
      </c>
      <c r="CX4808" t="s">
        <v>168</v>
      </c>
    </row>
    <row r="4809" spans="1:102" x14ac:dyDescent="0.3">
      <c r="A4809" t="str">
        <f>HYPERLINK("https://webapp.icbf.com/v2/app/bull-search/view/69092116","LGC")</f>
        <v>LGC</v>
      </c>
      <c r="B4809" t="s">
        <v>5016</v>
      </c>
      <c r="C4809" t="s">
        <v>5017</v>
      </c>
      <c r="D4809" s="1">
        <v>34876</v>
      </c>
      <c r="E4809" t="s">
        <v>92</v>
      </c>
      <c r="F4809">
        <v>100</v>
      </c>
      <c r="G4809" t="s">
        <v>93</v>
      </c>
      <c r="H4809">
        <v>-187.36</v>
      </c>
      <c r="I4809">
        <v>92</v>
      </c>
      <c r="J4809">
        <v>-26.26</v>
      </c>
      <c r="K4809">
        <v>98</v>
      </c>
      <c r="L4809">
        <v>-122.1</v>
      </c>
      <c r="M4809">
        <v>90</v>
      </c>
      <c r="N4809">
        <v>-16.899999999999999</v>
      </c>
      <c r="O4809">
        <v>91</v>
      </c>
      <c r="P4809">
        <v>-11.83</v>
      </c>
      <c r="Q4809">
        <v>96</v>
      </c>
      <c r="R4809">
        <v>-18.75</v>
      </c>
      <c r="S4809">
        <v>85</v>
      </c>
      <c r="T4809">
        <v>14.57</v>
      </c>
      <c r="U4809">
        <v>82</v>
      </c>
      <c r="V4809">
        <v>-6.09</v>
      </c>
      <c r="W4809">
        <v>76</v>
      </c>
      <c r="X4809" t="s">
        <v>94</v>
      </c>
      <c r="Y4809" t="s">
        <v>95</v>
      </c>
      <c r="Z4809" t="s">
        <v>96</v>
      </c>
      <c r="AA4809" t="s">
        <v>924</v>
      </c>
      <c r="AB4809" t="s">
        <v>5018</v>
      </c>
      <c r="AC4809">
        <v>212</v>
      </c>
      <c r="AD4809">
        <v>72</v>
      </c>
      <c r="AE4809">
        <v>98</v>
      </c>
      <c r="AF4809">
        <v>247.29</v>
      </c>
      <c r="AG4809">
        <v>-7.75</v>
      </c>
      <c r="AH4809">
        <v>2.06</v>
      </c>
      <c r="AI4809">
        <v>-0.28999999999999998</v>
      </c>
      <c r="AJ4809">
        <v>-0.11</v>
      </c>
      <c r="AK4809">
        <v>90</v>
      </c>
      <c r="AL4809">
        <v>181</v>
      </c>
      <c r="AM4809">
        <v>73</v>
      </c>
      <c r="AN4809">
        <v>7.2</v>
      </c>
      <c r="AO4809">
        <v>-2.5299999999999998</v>
      </c>
      <c r="AP4809">
        <v>327</v>
      </c>
      <c r="AQ4809">
        <v>1</v>
      </c>
      <c r="AR4809">
        <v>12.7</v>
      </c>
      <c r="AS4809">
        <v>92</v>
      </c>
      <c r="AT4809">
        <v>4.0199999999999996</v>
      </c>
      <c r="AU4809">
        <v>91</v>
      </c>
      <c r="AV4809">
        <v>-0.95</v>
      </c>
      <c r="AW4809">
        <v>96</v>
      </c>
      <c r="AX4809">
        <v>-0.9</v>
      </c>
      <c r="AY4809">
        <v>89</v>
      </c>
      <c r="AZ4809">
        <v>6.52</v>
      </c>
      <c r="BA4809">
        <v>77</v>
      </c>
      <c r="BB4809">
        <v>5.3</v>
      </c>
      <c r="BC4809">
        <v>79</v>
      </c>
      <c r="BD4809">
        <v>0.06</v>
      </c>
      <c r="BE4809">
        <v>0.09</v>
      </c>
      <c r="BF4809">
        <v>0.16</v>
      </c>
      <c r="BG4809">
        <v>94</v>
      </c>
      <c r="BH4809">
        <v>0.03</v>
      </c>
      <c r="BI4809">
        <v>23.1</v>
      </c>
      <c r="BJ4809">
        <v>31</v>
      </c>
      <c r="BK4809">
        <v>15</v>
      </c>
      <c r="BL4809">
        <v>1.1000000000000001</v>
      </c>
      <c r="BM4809">
        <v>-0.96</v>
      </c>
      <c r="BN4809">
        <v>0.53</v>
      </c>
      <c r="BO4809">
        <v>1.26</v>
      </c>
      <c r="BP4809">
        <v>0.85</v>
      </c>
      <c r="BQ4809">
        <v>-1.75</v>
      </c>
      <c r="BR4809">
        <v>-0.34</v>
      </c>
      <c r="BS4809">
        <v>1.44</v>
      </c>
      <c r="BT4809">
        <v>0.69</v>
      </c>
      <c r="BU4809">
        <v>0.23</v>
      </c>
      <c r="BV4809">
        <v>1.1100000000000001</v>
      </c>
      <c r="BW4809">
        <v>0.98</v>
      </c>
      <c r="BX4809">
        <v>0.66</v>
      </c>
      <c r="BY4809">
        <v>-1.06</v>
      </c>
      <c r="BZ4809">
        <v>1.96</v>
      </c>
      <c r="CA4809">
        <v>1.21</v>
      </c>
      <c r="CB4809">
        <v>0.59</v>
      </c>
      <c r="CC4809">
        <v>1.93</v>
      </c>
      <c r="CD4809">
        <v>-1.26</v>
      </c>
      <c r="CE4809">
        <v>0.71</v>
      </c>
      <c r="CF4809">
        <v>0.6</v>
      </c>
      <c r="CG4809">
        <v>0</v>
      </c>
      <c r="CH4809">
        <v>-0.84</v>
      </c>
      <c r="CI4809">
        <v>0</v>
      </c>
      <c r="CJ4809">
        <v>-3.6</v>
      </c>
      <c r="CK4809">
        <v>96</v>
      </c>
      <c r="CL4809">
        <v>-1.0900000000000001</v>
      </c>
      <c r="CM4809">
        <v>96</v>
      </c>
      <c r="CN4809">
        <v>-0.48</v>
      </c>
      <c r="CO4809">
        <v>95</v>
      </c>
      <c r="CP4809">
        <v>-8.1999999999999993</v>
      </c>
      <c r="CQ4809">
        <v>94</v>
      </c>
      <c r="CR4809">
        <v>0</v>
      </c>
      <c r="CS4809">
        <v>0</v>
      </c>
      <c r="CT4809">
        <v>-5.9</v>
      </c>
      <c r="CU4809">
        <v>82</v>
      </c>
      <c r="CV4809">
        <v>0.18</v>
      </c>
      <c r="CW4809">
        <v>45</v>
      </c>
      <c r="CX4809" t="s">
        <v>161</v>
      </c>
    </row>
    <row r="4810" spans="1:102" x14ac:dyDescent="0.3">
      <c r="A4810" t="str">
        <f>HYPERLINK("https://webapp.icbf.com/v2/app/bull-search/view/69091354","CLZ")</f>
        <v>CLZ</v>
      </c>
      <c r="B4810" t="s">
        <v>6729</v>
      </c>
      <c r="C4810" t="s">
        <v>6730</v>
      </c>
      <c r="D4810" s="1">
        <v>34791</v>
      </c>
      <c r="E4810" t="s">
        <v>92</v>
      </c>
      <c r="F4810">
        <v>100</v>
      </c>
      <c r="G4810" t="s">
        <v>93</v>
      </c>
      <c r="H4810">
        <v>-187.63</v>
      </c>
      <c r="I4810">
        <v>91</v>
      </c>
      <c r="J4810">
        <v>-18.88</v>
      </c>
      <c r="K4810">
        <v>97</v>
      </c>
      <c r="L4810">
        <v>-67.010000000000005</v>
      </c>
      <c r="M4810">
        <v>90</v>
      </c>
      <c r="N4810">
        <v>-109.14</v>
      </c>
      <c r="O4810">
        <v>84</v>
      </c>
      <c r="P4810">
        <v>-5.27</v>
      </c>
      <c r="Q4810">
        <v>89</v>
      </c>
      <c r="R4810">
        <v>2.86</v>
      </c>
      <c r="S4810">
        <v>82</v>
      </c>
      <c r="T4810">
        <v>4.28</v>
      </c>
      <c r="U4810">
        <v>91</v>
      </c>
      <c r="V4810">
        <v>5.53</v>
      </c>
      <c r="W4810">
        <v>71</v>
      </c>
      <c r="X4810" t="s">
        <v>131</v>
      </c>
      <c r="Y4810" t="s">
        <v>95</v>
      </c>
      <c r="Z4810" t="s">
        <v>96</v>
      </c>
      <c r="AA4810" t="s">
        <v>190</v>
      </c>
      <c r="AB4810" t="s">
        <v>616</v>
      </c>
      <c r="AC4810">
        <v>101</v>
      </c>
      <c r="AD4810">
        <v>65</v>
      </c>
      <c r="AE4810">
        <v>97</v>
      </c>
      <c r="AF4810">
        <v>-1.94</v>
      </c>
      <c r="AG4810">
        <v>-2.46</v>
      </c>
      <c r="AH4810">
        <v>-2.37</v>
      </c>
      <c r="AI4810">
        <v>-0.04</v>
      </c>
      <c r="AJ4810">
        <v>-0.04</v>
      </c>
      <c r="AK4810">
        <v>90</v>
      </c>
      <c r="AL4810">
        <v>97</v>
      </c>
      <c r="AM4810">
        <v>59</v>
      </c>
      <c r="AN4810">
        <v>3.98</v>
      </c>
      <c r="AO4810">
        <v>-1.36</v>
      </c>
      <c r="AP4810">
        <v>122</v>
      </c>
      <c r="AQ4810">
        <v>2</v>
      </c>
      <c r="AR4810">
        <v>17.3</v>
      </c>
      <c r="AS4810">
        <v>74</v>
      </c>
      <c r="AT4810">
        <v>7.68</v>
      </c>
      <c r="AU4810">
        <v>92</v>
      </c>
      <c r="AV4810">
        <v>0.12</v>
      </c>
      <c r="AW4810">
        <v>87</v>
      </c>
      <c r="AX4810">
        <v>0.79</v>
      </c>
      <c r="AY4810">
        <v>82</v>
      </c>
      <c r="AZ4810">
        <v>8.1</v>
      </c>
      <c r="BA4810">
        <v>70</v>
      </c>
      <c r="BB4810">
        <v>5.36</v>
      </c>
      <c r="BC4810">
        <v>71</v>
      </c>
      <c r="BD4810">
        <v>-0.01</v>
      </c>
      <c r="BE4810">
        <v>-0.01</v>
      </c>
      <c r="BF4810">
        <v>-0.03</v>
      </c>
      <c r="BG4810">
        <v>94</v>
      </c>
      <c r="BH4810">
        <v>0.19</v>
      </c>
      <c r="BI4810">
        <v>4.1399999999999997</v>
      </c>
      <c r="BJ4810">
        <v>35</v>
      </c>
      <c r="BK4810">
        <v>23</v>
      </c>
      <c r="BL4810">
        <v>1.1200000000000001</v>
      </c>
      <c r="BM4810">
        <v>-0.74</v>
      </c>
      <c r="BN4810">
        <v>0.24</v>
      </c>
      <c r="BO4810">
        <v>0.91</v>
      </c>
      <c r="BP4810">
        <v>-0.82</v>
      </c>
      <c r="BQ4810">
        <v>0.48</v>
      </c>
      <c r="BR4810">
        <v>-1.05</v>
      </c>
      <c r="BS4810">
        <v>-7.0000000000000007E-2</v>
      </c>
      <c r="BT4810">
        <v>1.0900000000000001</v>
      </c>
      <c r="BU4810">
        <v>1</v>
      </c>
      <c r="BV4810">
        <v>2.2999999999999998</v>
      </c>
      <c r="BW4810">
        <v>0.56999999999999995</v>
      </c>
      <c r="BX4810">
        <v>0.92</v>
      </c>
      <c r="BY4810">
        <v>-0.56000000000000005</v>
      </c>
      <c r="BZ4810">
        <v>0.7</v>
      </c>
      <c r="CA4810">
        <v>0.84</v>
      </c>
      <c r="CB4810">
        <v>0.78</v>
      </c>
      <c r="CC4810">
        <v>0.35</v>
      </c>
      <c r="CD4810">
        <v>-1.43</v>
      </c>
      <c r="CE4810">
        <v>0.69</v>
      </c>
      <c r="CF4810">
        <v>0.64</v>
      </c>
      <c r="CG4810">
        <v>0</v>
      </c>
      <c r="CH4810">
        <v>-0.3</v>
      </c>
      <c r="CI4810">
        <v>0</v>
      </c>
      <c r="CJ4810">
        <v>-1.4</v>
      </c>
      <c r="CK4810">
        <v>90</v>
      </c>
      <c r="CL4810">
        <v>-0.92</v>
      </c>
      <c r="CM4810">
        <v>88</v>
      </c>
      <c r="CN4810">
        <v>-0.49</v>
      </c>
      <c r="CO4810">
        <v>87</v>
      </c>
      <c r="CP4810">
        <v>2.8</v>
      </c>
      <c r="CQ4810">
        <v>92</v>
      </c>
      <c r="CR4810">
        <v>0</v>
      </c>
      <c r="CS4810">
        <v>0</v>
      </c>
      <c r="CT4810">
        <v>8</v>
      </c>
      <c r="CU4810">
        <v>91</v>
      </c>
      <c r="CV4810">
        <v>0.17</v>
      </c>
      <c r="CW4810">
        <v>44</v>
      </c>
      <c r="CX4810" t="s">
        <v>617</v>
      </c>
    </row>
    <row r="4811" spans="1:102" x14ac:dyDescent="0.3">
      <c r="A4811" t="str">
        <f>HYPERLINK("https://webapp.icbf.com/v2/app/bull-search/view/77856337","JOA")</f>
        <v>JOA</v>
      </c>
      <c r="B4811" t="s">
        <v>6444</v>
      </c>
      <c r="C4811" t="s">
        <v>6445</v>
      </c>
      <c r="D4811" s="1">
        <v>34418</v>
      </c>
      <c r="E4811" t="s">
        <v>92</v>
      </c>
      <c r="F4811">
        <v>100</v>
      </c>
      <c r="G4811" t="s">
        <v>93</v>
      </c>
      <c r="H4811">
        <v>-188.03</v>
      </c>
      <c r="I4811">
        <v>71</v>
      </c>
      <c r="J4811">
        <v>-26.5</v>
      </c>
      <c r="K4811">
        <v>89</v>
      </c>
      <c r="L4811">
        <v>-142.41999999999999</v>
      </c>
      <c r="M4811">
        <v>62</v>
      </c>
      <c r="N4811">
        <v>-16.47</v>
      </c>
      <c r="O4811">
        <v>57</v>
      </c>
      <c r="P4811">
        <v>-18.559999999999999</v>
      </c>
      <c r="Q4811">
        <v>76</v>
      </c>
      <c r="R4811">
        <v>-3.35</v>
      </c>
      <c r="S4811">
        <v>64</v>
      </c>
      <c r="T4811">
        <v>18.04</v>
      </c>
      <c r="U4811">
        <v>74</v>
      </c>
      <c r="V4811">
        <v>1.23</v>
      </c>
      <c r="W4811">
        <v>33</v>
      </c>
      <c r="X4811" t="s">
        <v>94</v>
      </c>
      <c r="Y4811" t="s">
        <v>95</v>
      </c>
      <c r="Z4811" t="s">
        <v>96</v>
      </c>
      <c r="AA4811" t="s">
        <v>1185</v>
      </c>
      <c r="AB4811" t="s">
        <v>6446</v>
      </c>
      <c r="AC4811">
        <v>45</v>
      </c>
      <c r="AD4811">
        <v>45</v>
      </c>
      <c r="AE4811">
        <v>89</v>
      </c>
      <c r="AF4811">
        <v>176.95</v>
      </c>
      <c r="AG4811">
        <v>3.99</v>
      </c>
      <c r="AH4811">
        <v>-3.21</v>
      </c>
      <c r="AI4811">
        <v>-0.05</v>
      </c>
      <c r="AJ4811">
        <v>-0.15</v>
      </c>
      <c r="AK4811">
        <v>62</v>
      </c>
      <c r="AL4811">
        <v>82</v>
      </c>
      <c r="AM4811">
        <v>70</v>
      </c>
      <c r="AN4811">
        <v>6.06</v>
      </c>
      <c r="AO4811">
        <v>-5.32</v>
      </c>
      <c r="AP4811">
        <v>1</v>
      </c>
      <c r="AQ4811">
        <v>1</v>
      </c>
      <c r="AR4811">
        <v>9.8800000000000008</v>
      </c>
      <c r="AS4811">
        <v>34</v>
      </c>
      <c r="AT4811">
        <v>4.12</v>
      </c>
      <c r="AU4811">
        <v>51</v>
      </c>
      <c r="AV4811">
        <v>0.44</v>
      </c>
      <c r="AW4811">
        <v>66</v>
      </c>
      <c r="AX4811">
        <v>0.19</v>
      </c>
      <c r="AY4811">
        <v>73</v>
      </c>
      <c r="AZ4811">
        <v>5.5</v>
      </c>
      <c r="BA4811">
        <v>34</v>
      </c>
      <c r="BB4811">
        <v>4.43</v>
      </c>
      <c r="BC4811">
        <v>49</v>
      </c>
      <c r="BD4811">
        <v>0.03</v>
      </c>
      <c r="BE4811">
        <v>0.03</v>
      </c>
      <c r="BF4811">
        <v>-0.03</v>
      </c>
      <c r="BG4811">
        <v>79</v>
      </c>
      <c r="BH4811">
        <v>0.13</v>
      </c>
      <c r="BI4811">
        <v>11.06</v>
      </c>
      <c r="BJ4811">
        <v>13</v>
      </c>
      <c r="BK4811">
        <v>12</v>
      </c>
      <c r="BL4811">
        <v>-0.23</v>
      </c>
      <c r="BM4811">
        <v>-0.36</v>
      </c>
      <c r="BN4811">
        <v>-0.56000000000000005</v>
      </c>
      <c r="BO4811">
        <v>-0.14000000000000001</v>
      </c>
      <c r="BP4811">
        <v>0.4</v>
      </c>
      <c r="BQ4811">
        <v>-0.18</v>
      </c>
      <c r="BR4811">
        <v>0.77</v>
      </c>
      <c r="BS4811">
        <v>0.53</v>
      </c>
      <c r="BT4811">
        <v>-0.08</v>
      </c>
      <c r="BU4811">
        <v>-0.87</v>
      </c>
      <c r="BV4811">
        <v>-0.15</v>
      </c>
      <c r="BW4811">
        <v>-0.16</v>
      </c>
      <c r="BX4811">
        <v>-0.63</v>
      </c>
      <c r="BY4811">
        <v>-0.72</v>
      </c>
      <c r="BZ4811">
        <v>-2.17</v>
      </c>
      <c r="CA4811">
        <v>-0.18</v>
      </c>
      <c r="CB4811">
        <v>-0.25</v>
      </c>
      <c r="CC4811">
        <v>7.0000000000000007E-2</v>
      </c>
      <c r="CD4811">
        <v>0.12</v>
      </c>
      <c r="CE4811">
        <v>0</v>
      </c>
      <c r="CF4811">
        <v>-0.26</v>
      </c>
      <c r="CG4811">
        <v>0</v>
      </c>
      <c r="CH4811">
        <v>0.08</v>
      </c>
      <c r="CI4811">
        <v>0</v>
      </c>
      <c r="CJ4811">
        <v>-8.9</v>
      </c>
      <c r="CK4811">
        <v>77</v>
      </c>
      <c r="CL4811">
        <v>-0.75</v>
      </c>
      <c r="CM4811">
        <v>74</v>
      </c>
      <c r="CN4811">
        <v>-0.28000000000000003</v>
      </c>
      <c r="CO4811">
        <v>70</v>
      </c>
      <c r="CP4811">
        <v>-12.1</v>
      </c>
      <c r="CQ4811">
        <v>82</v>
      </c>
      <c r="CR4811">
        <v>0</v>
      </c>
      <c r="CS4811">
        <v>0</v>
      </c>
      <c r="CT4811">
        <v>-10.6</v>
      </c>
      <c r="CU4811">
        <v>74</v>
      </c>
      <c r="CV4811">
        <v>7.0000000000000007E-2</v>
      </c>
      <c r="CW4811">
        <v>21</v>
      </c>
      <c r="CX4811" t="s">
        <v>128</v>
      </c>
    </row>
    <row r="4812" spans="1:102" x14ac:dyDescent="0.3">
      <c r="A4812" t="str">
        <f>HYPERLINK("https://webapp.icbf.com/v2/app/bull-search/view/77858260","DCP")</f>
        <v>DCP</v>
      </c>
      <c r="B4812" t="s">
        <v>8707</v>
      </c>
      <c r="C4812" t="s">
        <v>8708</v>
      </c>
      <c r="D4812" s="1">
        <v>34232</v>
      </c>
      <c r="E4812" t="s">
        <v>92</v>
      </c>
      <c r="F4812">
        <v>100</v>
      </c>
      <c r="G4812" t="s">
        <v>93</v>
      </c>
      <c r="H4812">
        <v>-188.22</v>
      </c>
      <c r="I4812">
        <v>96</v>
      </c>
      <c r="J4812">
        <v>-35.799999999999997</v>
      </c>
      <c r="K4812">
        <v>99</v>
      </c>
      <c r="L4812">
        <v>-102.17</v>
      </c>
      <c r="M4812">
        <v>94</v>
      </c>
      <c r="N4812">
        <v>-37.69</v>
      </c>
      <c r="O4812">
        <v>95</v>
      </c>
      <c r="P4812">
        <v>-8.23</v>
      </c>
      <c r="Q4812">
        <v>98</v>
      </c>
      <c r="R4812">
        <v>-18.350000000000001</v>
      </c>
      <c r="S4812">
        <v>90</v>
      </c>
      <c r="T4812">
        <v>9.68</v>
      </c>
      <c r="U4812">
        <v>97</v>
      </c>
      <c r="V4812">
        <v>4.34</v>
      </c>
      <c r="W4812">
        <v>86</v>
      </c>
      <c r="X4812" t="s">
        <v>131</v>
      </c>
      <c r="Y4812" t="s">
        <v>95</v>
      </c>
      <c r="Z4812" t="s">
        <v>96</v>
      </c>
      <c r="AA4812" t="s">
        <v>1185</v>
      </c>
      <c r="AB4812" t="s">
        <v>8709</v>
      </c>
      <c r="AC4812">
        <v>602</v>
      </c>
      <c r="AD4812">
        <v>290</v>
      </c>
      <c r="AE4812">
        <v>99</v>
      </c>
      <c r="AF4812">
        <v>298.01</v>
      </c>
      <c r="AG4812">
        <v>0.97</v>
      </c>
      <c r="AH4812">
        <v>-1.87</v>
      </c>
      <c r="AI4812">
        <v>-0.18</v>
      </c>
      <c r="AJ4812">
        <v>-0.2</v>
      </c>
      <c r="AK4812">
        <v>94</v>
      </c>
      <c r="AL4812">
        <v>568</v>
      </c>
      <c r="AM4812">
        <v>238</v>
      </c>
      <c r="AN4812">
        <v>4.62</v>
      </c>
      <c r="AO4812">
        <v>-3.54</v>
      </c>
      <c r="AP4812">
        <v>626</v>
      </c>
      <c r="AQ4812">
        <v>2</v>
      </c>
      <c r="AR4812">
        <v>11.99</v>
      </c>
      <c r="AS4812">
        <v>93</v>
      </c>
      <c r="AT4812">
        <v>5.78</v>
      </c>
      <c r="AU4812">
        <v>97</v>
      </c>
      <c r="AV4812">
        <v>-0.66</v>
      </c>
      <c r="AW4812">
        <v>97</v>
      </c>
      <c r="AX4812">
        <v>0.41</v>
      </c>
      <c r="AY4812">
        <v>96</v>
      </c>
      <c r="AZ4812">
        <v>6.19</v>
      </c>
      <c r="BA4812">
        <v>90</v>
      </c>
      <c r="BB4812">
        <v>4.38</v>
      </c>
      <c r="BC4812">
        <v>90</v>
      </c>
      <c r="BD4812">
        <v>0.06</v>
      </c>
      <c r="BE4812">
        <v>0.08</v>
      </c>
      <c r="BF4812">
        <v>0.17</v>
      </c>
      <c r="BG4812">
        <v>97</v>
      </c>
      <c r="BH4812">
        <v>0.2</v>
      </c>
      <c r="BI4812">
        <v>9.15</v>
      </c>
      <c r="BJ4812">
        <v>237</v>
      </c>
      <c r="BK4812">
        <v>121</v>
      </c>
      <c r="BL4812">
        <v>1.56</v>
      </c>
      <c r="BM4812">
        <v>-0.34</v>
      </c>
      <c r="BN4812">
        <v>0.61</v>
      </c>
      <c r="BO4812">
        <v>0.93</v>
      </c>
      <c r="BP4812">
        <v>0.85</v>
      </c>
      <c r="BQ4812">
        <v>1.05</v>
      </c>
      <c r="BR4812">
        <v>-0.71</v>
      </c>
      <c r="BS4812">
        <v>2.0699999999999998</v>
      </c>
      <c r="BT4812">
        <v>1</v>
      </c>
      <c r="BU4812">
        <v>0.1</v>
      </c>
      <c r="BV4812">
        <v>0.68</v>
      </c>
      <c r="BW4812">
        <v>0.41</v>
      </c>
      <c r="BX4812">
        <v>0.23</v>
      </c>
      <c r="BY4812">
        <v>0.64</v>
      </c>
      <c r="BZ4812">
        <v>1.87</v>
      </c>
      <c r="CA4812">
        <v>1.42</v>
      </c>
      <c r="CB4812">
        <v>0.95</v>
      </c>
      <c r="CC4812">
        <v>1.67</v>
      </c>
      <c r="CD4812">
        <v>-0.47</v>
      </c>
      <c r="CE4812">
        <v>1.08</v>
      </c>
      <c r="CF4812">
        <v>1.53</v>
      </c>
      <c r="CG4812">
        <v>0</v>
      </c>
      <c r="CH4812">
        <v>0.57999999999999996</v>
      </c>
      <c r="CI4812">
        <v>0</v>
      </c>
      <c r="CJ4812">
        <v>-3.1</v>
      </c>
      <c r="CK4812">
        <v>98</v>
      </c>
      <c r="CL4812">
        <v>-0.86</v>
      </c>
      <c r="CM4812">
        <v>98</v>
      </c>
      <c r="CN4812">
        <v>-0.49</v>
      </c>
      <c r="CO4812">
        <v>97</v>
      </c>
      <c r="CP4812">
        <v>-5.4</v>
      </c>
      <c r="CQ4812">
        <v>98</v>
      </c>
      <c r="CR4812">
        <v>0</v>
      </c>
      <c r="CS4812">
        <v>0</v>
      </c>
      <c r="CT4812">
        <v>0.7</v>
      </c>
      <c r="CU4812">
        <v>97</v>
      </c>
      <c r="CV4812">
        <v>0.08</v>
      </c>
      <c r="CW4812">
        <v>46</v>
      </c>
      <c r="CX4812" t="s">
        <v>543</v>
      </c>
    </row>
    <row r="4813" spans="1:102" x14ac:dyDescent="0.3">
      <c r="A4813" t="str">
        <f>HYPERLINK("https://webapp.icbf.com/v2/app/bull-search/view/77852875","VTR")</f>
        <v>VTR</v>
      </c>
      <c r="B4813" t="s">
        <v>14102</v>
      </c>
      <c r="C4813" t="s">
        <v>14103</v>
      </c>
      <c r="D4813" s="1">
        <v>33894</v>
      </c>
      <c r="E4813" t="s">
        <v>92</v>
      </c>
      <c r="F4813">
        <v>100</v>
      </c>
      <c r="G4813" t="s">
        <v>93</v>
      </c>
      <c r="H4813">
        <v>-188.39</v>
      </c>
      <c r="I4813">
        <v>70</v>
      </c>
      <c r="J4813">
        <v>-15.16</v>
      </c>
      <c r="K4813">
        <v>90</v>
      </c>
      <c r="L4813">
        <v>-130.03</v>
      </c>
      <c r="M4813">
        <v>64</v>
      </c>
      <c r="N4813">
        <v>-24.09</v>
      </c>
      <c r="O4813">
        <v>51</v>
      </c>
      <c r="P4813">
        <v>-12.69</v>
      </c>
      <c r="Q4813">
        <v>66</v>
      </c>
      <c r="R4813">
        <v>-23.54</v>
      </c>
      <c r="S4813">
        <v>66</v>
      </c>
      <c r="T4813">
        <v>19.89</v>
      </c>
      <c r="U4813">
        <v>60</v>
      </c>
      <c r="V4813">
        <v>-2.77</v>
      </c>
      <c r="W4813">
        <v>27</v>
      </c>
      <c r="X4813" t="s">
        <v>94</v>
      </c>
      <c r="Y4813" t="s">
        <v>95</v>
      </c>
      <c r="Z4813" t="s">
        <v>96</v>
      </c>
      <c r="AA4813" t="s">
        <v>152</v>
      </c>
      <c r="AB4813" t="s">
        <v>6940</v>
      </c>
      <c r="AC4813">
        <v>53</v>
      </c>
      <c r="AD4813">
        <v>46</v>
      </c>
      <c r="AE4813">
        <v>90</v>
      </c>
      <c r="AF4813">
        <v>85.74</v>
      </c>
      <c r="AG4813">
        <v>2.95</v>
      </c>
      <c r="AH4813">
        <v>-2.31</v>
      </c>
      <c r="AI4813">
        <v>-0.01</v>
      </c>
      <c r="AJ4813">
        <v>-0.09</v>
      </c>
      <c r="AK4813">
        <v>64</v>
      </c>
      <c r="AL4813">
        <v>98</v>
      </c>
      <c r="AM4813">
        <v>77</v>
      </c>
      <c r="AN4813">
        <v>7.86</v>
      </c>
      <c r="AO4813">
        <v>-2.5</v>
      </c>
      <c r="AP4813">
        <v>2</v>
      </c>
      <c r="AQ4813">
        <v>0</v>
      </c>
      <c r="AR4813">
        <v>11.4</v>
      </c>
      <c r="AS4813">
        <v>29</v>
      </c>
      <c r="AT4813">
        <v>4.54</v>
      </c>
      <c r="AU4813">
        <v>46</v>
      </c>
      <c r="AV4813">
        <v>-1.6</v>
      </c>
      <c r="AW4813">
        <v>59</v>
      </c>
      <c r="AX4813">
        <v>0.33</v>
      </c>
      <c r="AY4813">
        <v>67</v>
      </c>
      <c r="AZ4813">
        <v>7.85</v>
      </c>
      <c r="BA4813">
        <v>29</v>
      </c>
      <c r="BB4813">
        <v>6.27</v>
      </c>
      <c r="BC4813">
        <v>42</v>
      </c>
      <c r="BD4813">
        <v>0.05</v>
      </c>
      <c r="BE4813">
        <v>0.12</v>
      </c>
      <c r="BF4813">
        <v>0.23</v>
      </c>
      <c r="BG4813">
        <v>86</v>
      </c>
      <c r="BH4813">
        <v>0</v>
      </c>
      <c r="BI4813">
        <v>8.92</v>
      </c>
      <c r="BJ4813">
        <v>25</v>
      </c>
      <c r="BK4813">
        <v>22</v>
      </c>
      <c r="BL4813">
        <v>-0.55000000000000004</v>
      </c>
      <c r="BM4813">
        <v>-0.96</v>
      </c>
      <c r="BN4813">
        <v>-0.63</v>
      </c>
      <c r="BO4813">
        <v>0.28999999999999998</v>
      </c>
      <c r="BP4813">
        <v>2.1800000000000002</v>
      </c>
      <c r="BQ4813">
        <v>-1.36</v>
      </c>
      <c r="BR4813">
        <v>-0.73</v>
      </c>
      <c r="BS4813">
        <v>0.51</v>
      </c>
      <c r="BT4813">
        <v>0.67</v>
      </c>
      <c r="BU4813">
        <v>-1.71</v>
      </c>
      <c r="BV4813">
        <v>-0.43</v>
      </c>
      <c r="BW4813">
        <v>-0.23</v>
      </c>
      <c r="BX4813">
        <v>-2.69</v>
      </c>
      <c r="BY4813">
        <v>-0.45</v>
      </c>
      <c r="BZ4813">
        <v>0.3</v>
      </c>
      <c r="CA4813">
        <v>-0.05</v>
      </c>
      <c r="CB4813">
        <v>-0.24</v>
      </c>
      <c r="CC4813">
        <v>0.81</v>
      </c>
      <c r="CD4813">
        <v>-1.02</v>
      </c>
      <c r="CE4813">
        <v>0.59</v>
      </c>
      <c r="CF4813">
        <v>-0.84</v>
      </c>
      <c r="CG4813">
        <v>0</v>
      </c>
      <c r="CH4813">
        <v>0.49</v>
      </c>
      <c r="CI4813">
        <v>0</v>
      </c>
      <c r="CJ4813">
        <v>-4.7</v>
      </c>
      <c r="CK4813">
        <v>67</v>
      </c>
      <c r="CL4813">
        <v>-0.52</v>
      </c>
      <c r="CM4813">
        <v>63</v>
      </c>
      <c r="CN4813">
        <v>-0.08</v>
      </c>
      <c r="CO4813">
        <v>58</v>
      </c>
      <c r="CP4813">
        <v>-11.8</v>
      </c>
      <c r="CQ4813">
        <v>75</v>
      </c>
      <c r="CR4813">
        <v>0</v>
      </c>
      <c r="CS4813">
        <v>0</v>
      </c>
      <c r="CT4813">
        <v>-13.1</v>
      </c>
      <c r="CU4813">
        <v>60</v>
      </c>
      <c r="CV4813">
        <v>0.1</v>
      </c>
      <c r="CW4813">
        <v>18</v>
      </c>
      <c r="CX4813" t="s">
        <v>166</v>
      </c>
    </row>
    <row r="4814" spans="1:102" x14ac:dyDescent="0.3">
      <c r="A4814" t="str">
        <f>HYPERLINK("https://webapp.icbf.com/v2/app/bull-search/view/69091810","GVA")</f>
        <v>GVA</v>
      </c>
      <c r="B4814" t="s">
        <v>5132</v>
      </c>
      <c r="C4814" t="s">
        <v>5133</v>
      </c>
      <c r="D4814" s="1">
        <v>33510</v>
      </c>
      <c r="E4814" t="s">
        <v>140</v>
      </c>
      <c r="F4814">
        <v>0</v>
      </c>
      <c r="G4814" t="s">
        <v>93</v>
      </c>
      <c r="H4814">
        <v>-188.52</v>
      </c>
      <c r="I4814">
        <v>85</v>
      </c>
      <c r="J4814">
        <v>-46.4</v>
      </c>
      <c r="K4814">
        <v>97</v>
      </c>
      <c r="L4814">
        <v>-19.55</v>
      </c>
      <c r="M4814">
        <v>73</v>
      </c>
      <c r="N4814">
        <v>-134.56</v>
      </c>
      <c r="O4814">
        <v>83</v>
      </c>
      <c r="P4814">
        <v>14.32</v>
      </c>
      <c r="Q4814">
        <v>94</v>
      </c>
      <c r="R4814">
        <v>-2.42</v>
      </c>
      <c r="S4814">
        <v>74</v>
      </c>
      <c r="T4814">
        <v>6.13</v>
      </c>
      <c r="U4814">
        <v>94</v>
      </c>
      <c r="V4814">
        <v>-6.04</v>
      </c>
      <c r="W4814">
        <v>56</v>
      </c>
      <c r="X4814" t="s">
        <v>276</v>
      </c>
      <c r="Y4814" t="s">
        <v>95</v>
      </c>
      <c r="Z4814">
        <v>0</v>
      </c>
      <c r="AA4814" t="s">
        <v>5134</v>
      </c>
      <c r="AB4814" t="s">
        <v>5135</v>
      </c>
      <c r="AC4814">
        <v>159</v>
      </c>
      <c r="AD4814">
        <v>69</v>
      </c>
      <c r="AE4814">
        <v>97</v>
      </c>
      <c r="AF4814">
        <v>-186.48</v>
      </c>
      <c r="AG4814">
        <v>-12.71</v>
      </c>
      <c r="AH4814">
        <v>-6.25</v>
      </c>
      <c r="AI4814">
        <v>-0.09</v>
      </c>
      <c r="AJ4814">
        <v>0</v>
      </c>
      <c r="AK4814">
        <v>73</v>
      </c>
      <c r="AL4814">
        <v>160</v>
      </c>
      <c r="AM4814">
        <v>79</v>
      </c>
      <c r="AN4814">
        <v>1.76</v>
      </c>
      <c r="AO4814">
        <v>0.21</v>
      </c>
      <c r="AP4814">
        <v>41</v>
      </c>
      <c r="AQ4814">
        <v>12</v>
      </c>
      <c r="AR4814">
        <v>17.690000000000001</v>
      </c>
      <c r="AS4814">
        <v>60</v>
      </c>
      <c r="AT4814">
        <v>8.36</v>
      </c>
      <c r="AU4814">
        <v>79</v>
      </c>
      <c r="AV4814">
        <v>2.87</v>
      </c>
      <c r="AW4814">
        <v>94</v>
      </c>
      <c r="AX4814">
        <v>0.4</v>
      </c>
      <c r="AY4814">
        <v>87</v>
      </c>
      <c r="AZ4814">
        <v>5.64</v>
      </c>
      <c r="BA4814">
        <v>58</v>
      </c>
      <c r="BB4814">
        <v>3.88</v>
      </c>
      <c r="BC4814">
        <v>71</v>
      </c>
      <c r="BD4814">
        <v>0.01</v>
      </c>
      <c r="BE4814">
        <v>0.01</v>
      </c>
      <c r="BF4814">
        <v>0.02</v>
      </c>
      <c r="BG4814">
        <v>89</v>
      </c>
      <c r="BH4814">
        <v>-0.25</v>
      </c>
      <c r="BI4814">
        <v>-9.42</v>
      </c>
      <c r="BJ4814">
        <v>0</v>
      </c>
      <c r="BK4814">
        <v>0</v>
      </c>
      <c r="BL4814">
        <v>-0.8</v>
      </c>
      <c r="BM4814">
        <v>3.56</v>
      </c>
      <c r="BN4814">
        <v>-1.33</v>
      </c>
      <c r="BO4814">
        <v>-2.87</v>
      </c>
      <c r="BP4814">
        <v>3.55</v>
      </c>
      <c r="BQ4814">
        <v>-2.04</v>
      </c>
      <c r="BR4814">
        <v>-3.06</v>
      </c>
      <c r="BS4814">
        <v>0.24</v>
      </c>
      <c r="BT4814">
        <v>2.5099999999999998</v>
      </c>
      <c r="BU4814">
        <v>-3.54</v>
      </c>
      <c r="BV4814">
        <v>-3.82</v>
      </c>
      <c r="BW4814">
        <v>-2.97</v>
      </c>
      <c r="BX4814">
        <v>-3.43</v>
      </c>
      <c r="BY4814">
        <v>-1.63</v>
      </c>
      <c r="BZ4814">
        <v>1.1100000000000001</v>
      </c>
      <c r="CA4814">
        <v>-2.34</v>
      </c>
      <c r="CB4814">
        <v>-3.26</v>
      </c>
      <c r="CC4814">
        <v>0.17</v>
      </c>
      <c r="CD4814">
        <v>3.79</v>
      </c>
      <c r="CE4814">
        <v>-2.8</v>
      </c>
      <c r="CF4814">
        <v>-0.68</v>
      </c>
      <c r="CG4814">
        <v>0</v>
      </c>
      <c r="CH4814">
        <v>-2.52</v>
      </c>
      <c r="CI4814">
        <v>0</v>
      </c>
      <c r="CJ4814">
        <v>3.5</v>
      </c>
      <c r="CK4814">
        <v>94</v>
      </c>
      <c r="CL4814">
        <v>0.21</v>
      </c>
      <c r="CM4814">
        <v>93</v>
      </c>
      <c r="CN4814">
        <v>-0.55000000000000004</v>
      </c>
      <c r="CO4814">
        <v>92</v>
      </c>
      <c r="CP4814">
        <v>5.9</v>
      </c>
      <c r="CQ4814">
        <v>94</v>
      </c>
      <c r="CR4814">
        <v>0</v>
      </c>
      <c r="CS4814">
        <v>0</v>
      </c>
      <c r="CT4814">
        <v>5.5</v>
      </c>
      <c r="CU4814">
        <v>94</v>
      </c>
      <c r="CV4814">
        <v>-0.17</v>
      </c>
      <c r="CW4814">
        <v>27</v>
      </c>
      <c r="CX4814" t="s">
        <v>696</v>
      </c>
    </row>
    <row r="4815" spans="1:102" x14ac:dyDescent="0.3">
      <c r="A4815" t="str">
        <f>HYPERLINK("https://webapp.icbf.com/v2/app/bull-search/view/122808896","JAY")</f>
        <v>JAY</v>
      </c>
      <c r="B4815" t="s">
        <v>3847</v>
      </c>
      <c r="C4815" t="s">
        <v>3848</v>
      </c>
      <c r="D4815" s="1">
        <v>35224</v>
      </c>
      <c r="E4815" t="s">
        <v>92</v>
      </c>
      <c r="F4815">
        <v>100</v>
      </c>
      <c r="G4815" t="s">
        <v>93</v>
      </c>
      <c r="H4815">
        <v>-188.54</v>
      </c>
      <c r="I4815">
        <v>89</v>
      </c>
      <c r="J4815">
        <v>26.11</v>
      </c>
      <c r="K4815">
        <v>97</v>
      </c>
      <c r="L4815">
        <v>-163.19999999999999</v>
      </c>
      <c r="M4815">
        <v>88</v>
      </c>
      <c r="N4815">
        <v>-36.83</v>
      </c>
      <c r="O4815">
        <v>83</v>
      </c>
      <c r="P4815">
        <v>-8.69</v>
      </c>
      <c r="Q4815">
        <v>91</v>
      </c>
      <c r="R4815">
        <v>-1.45</v>
      </c>
      <c r="S4815">
        <v>80</v>
      </c>
      <c r="T4815">
        <v>8.42</v>
      </c>
      <c r="U4815">
        <v>81</v>
      </c>
      <c r="V4815">
        <v>-12.9</v>
      </c>
      <c r="W4815">
        <v>70</v>
      </c>
      <c r="X4815" t="s">
        <v>251</v>
      </c>
      <c r="Y4815" t="s">
        <v>95</v>
      </c>
      <c r="Z4815" t="s">
        <v>96</v>
      </c>
      <c r="AA4815" t="s">
        <v>3849</v>
      </c>
      <c r="AB4815" t="s">
        <v>3850</v>
      </c>
      <c r="AC4815">
        <v>103</v>
      </c>
      <c r="AD4815">
        <v>41</v>
      </c>
      <c r="AE4815">
        <v>97</v>
      </c>
      <c r="AF4815">
        <v>215.22</v>
      </c>
      <c r="AG4815">
        <v>10.220000000000001</v>
      </c>
      <c r="AH4815">
        <v>4.12</v>
      </c>
      <c r="AI4815">
        <v>0.03</v>
      </c>
      <c r="AJ4815">
        <v>-0.05</v>
      </c>
      <c r="AK4815">
        <v>88</v>
      </c>
      <c r="AL4815">
        <v>80</v>
      </c>
      <c r="AM4815">
        <v>41</v>
      </c>
      <c r="AN4815">
        <v>7.75</v>
      </c>
      <c r="AO4815">
        <v>-5.28</v>
      </c>
      <c r="AP4815">
        <v>163</v>
      </c>
      <c r="AQ4815">
        <v>0</v>
      </c>
      <c r="AR4815">
        <v>13.58</v>
      </c>
      <c r="AS4815">
        <v>77</v>
      </c>
      <c r="AT4815">
        <v>4.45</v>
      </c>
      <c r="AU4815">
        <v>86</v>
      </c>
      <c r="AV4815">
        <v>-0.66</v>
      </c>
      <c r="AW4815">
        <v>92</v>
      </c>
      <c r="AX4815">
        <v>1.05</v>
      </c>
      <c r="AY4815">
        <v>81</v>
      </c>
      <c r="AZ4815">
        <v>7.89</v>
      </c>
      <c r="BA4815">
        <v>63</v>
      </c>
      <c r="BB4815">
        <v>5.64</v>
      </c>
      <c r="BC4815">
        <v>63</v>
      </c>
      <c r="BD4815">
        <v>0.05</v>
      </c>
      <c r="BE4815">
        <v>0</v>
      </c>
      <c r="BF4815">
        <v>-0.05</v>
      </c>
      <c r="BG4815">
        <v>91</v>
      </c>
      <c r="BH4815">
        <v>-0.27</v>
      </c>
      <c r="BI4815">
        <v>10.38</v>
      </c>
      <c r="BJ4815">
        <v>16</v>
      </c>
      <c r="BK4815">
        <v>7</v>
      </c>
      <c r="BL4815">
        <v>1.32</v>
      </c>
      <c r="BM4815">
        <v>0</v>
      </c>
      <c r="BN4815">
        <v>2.29</v>
      </c>
      <c r="BO4815">
        <v>1.54</v>
      </c>
      <c r="BP4815">
        <v>0.91</v>
      </c>
      <c r="BQ4815">
        <v>-0.71</v>
      </c>
      <c r="BR4815">
        <v>1.43</v>
      </c>
      <c r="BS4815">
        <v>-0.3</v>
      </c>
      <c r="BT4815">
        <v>-1.37</v>
      </c>
      <c r="BU4815">
        <v>-1.72</v>
      </c>
      <c r="BV4815">
        <v>0.23</v>
      </c>
      <c r="BW4815">
        <v>-0.43</v>
      </c>
      <c r="BX4815">
        <v>-1.86</v>
      </c>
      <c r="BY4815">
        <v>-0.32</v>
      </c>
      <c r="BZ4815">
        <v>0.41</v>
      </c>
      <c r="CA4815">
        <v>-0.66</v>
      </c>
      <c r="CB4815">
        <v>-0.52</v>
      </c>
      <c r="CC4815">
        <v>-0.16</v>
      </c>
      <c r="CD4815">
        <v>-0.66</v>
      </c>
      <c r="CE4815">
        <v>0.69</v>
      </c>
      <c r="CF4815">
        <v>0.95</v>
      </c>
      <c r="CG4815">
        <v>0</v>
      </c>
      <c r="CH4815">
        <v>-0.27</v>
      </c>
      <c r="CI4815">
        <v>0</v>
      </c>
      <c r="CJ4815">
        <v>-1.1000000000000001</v>
      </c>
      <c r="CK4815">
        <v>92</v>
      </c>
      <c r="CL4815">
        <v>-1</v>
      </c>
      <c r="CM4815">
        <v>90</v>
      </c>
      <c r="CN4815">
        <v>-0.32</v>
      </c>
      <c r="CO4815">
        <v>88</v>
      </c>
      <c r="CP4815">
        <v>-4</v>
      </c>
      <c r="CQ4815">
        <v>89</v>
      </c>
      <c r="CR4815">
        <v>0</v>
      </c>
      <c r="CS4815">
        <v>0</v>
      </c>
      <c r="CT4815">
        <v>2.4</v>
      </c>
      <c r="CU4815">
        <v>81</v>
      </c>
      <c r="CV4815">
        <v>0.21</v>
      </c>
      <c r="CW4815">
        <v>44</v>
      </c>
      <c r="CX4815" t="s">
        <v>132</v>
      </c>
    </row>
    <row r="4816" spans="1:102" x14ac:dyDescent="0.3">
      <c r="A4816" t="str">
        <f>HYPERLINK("https://webapp.icbf.com/v2/app/bull-search/view/122821758","SYO")</f>
        <v>SYO</v>
      </c>
      <c r="B4816" t="s">
        <v>4048</v>
      </c>
      <c r="C4816" t="s">
        <v>4049</v>
      </c>
      <c r="D4816" s="1">
        <v>33695</v>
      </c>
      <c r="E4816" t="s">
        <v>92</v>
      </c>
      <c r="F4816">
        <v>100</v>
      </c>
      <c r="G4816" t="s">
        <v>93</v>
      </c>
      <c r="H4816">
        <v>-188.64</v>
      </c>
      <c r="I4816">
        <v>93</v>
      </c>
      <c r="J4816">
        <v>-45.61</v>
      </c>
      <c r="K4816">
        <v>98</v>
      </c>
      <c r="L4816">
        <v>-46.69</v>
      </c>
      <c r="M4816">
        <v>92</v>
      </c>
      <c r="N4816">
        <v>-98.04</v>
      </c>
      <c r="O4816">
        <v>91</v>
      </c>
      <c r="P4816">
        <v>-0.24</v>
      </c>
      <c r="Q4816">
        <v>96</v>
      </c>
      <c r="R4816">
        <v>7.55</v>
      </c>
      <c r="S4816">
        <v>85</v>
      </c>
      <c r="T4816">
        <v>-0.83</v>
      </c>
      <c r="U4816">
        <v>91</v>
      </c>
      <c r="V4816">
        <v>-4.78</v>
      </c>
      <c r="W4816">
        <v>79</v>
      </c>
      <c r="X4816" t="s">
        <v>251</v>
      </c>
      <c r="Y4816" t="s">
        <v>95</v>
      </c>
      <c r="Z4816" t="s">
        <v>96</v>
      </c>
      <c r="AA4816" t="s">
        <v>190</v>
      </c>
      <c r="AB4816" t="s">
        <v>4050</v>
      </c>
      <c r="AC4816">
        <v>189</v>
      </c>
      <c r="AD4816">
        <v>100</v>
      </c>
      <c r="AE4816">
        <v>98</v>
      </c>
      <c r="AF4816">
        <v>-158.33000000000001</v>
      </c>
      <c r="AG4816">
        <v>-6.05</v>
      </c>
      <c r="AH4816">
        <v>-8.0399999999999991</v>
      </c>
      <c r="AI4816">
        <v>0</v>
      </c>
      <c r="AJ4816">
        <v>-0.05</v>
      </c>
      <c r="AK4816">
        <v>92</v>
      </c>
      <c r="AL4816">
        <v>155</v>
      </c>
      <c r="AM4816">
        <v>80</v>
      </c>
      <c r="AN4816">
        <v>2.81</v>
      </c>
      <c r="AO4816">
        <v>-0.91</v>
      </c>
      <c r="AP4816">
        <v>304</v>
      </c>
      <c r="AQ4816">
        <v>1</v>
      </c>
      <c r="AR4816">
        <v>16.100000000000001</v>
      </c>
      <c r="AS4816">
        <v>87</v>
      </c>
      <c r="AT4816">
        <v>7.61</v>
      </c>
      <c r="AU4816">
        <v>93</v>
      </c>
      <c r="AV4816">
        <v>0.56999999999999995</v>
      </c>
      <c r="AW4816">
        <v>95</v>
      </c>
      <c r="AX4816">
        <v>0.57999999999999996</v>
      </c>
      <c r="AY4816">
        <v>91</v>
      </c>
      <c r="AZ4816">
        <v>6.27</v>
      </c>
      <c r="BA4816">
        <v>80</v>
      </c>
      <c r="BB4816">
        <v>4.67</v>
      </c>
      <c r="BC4816">
        <v>79</v>
      </c>
      <c r="BD4816">
        <v>-0.04</v>
      </c>
      <c r="BE4816">
        <v>-0.03</v>
      </c>
      <c r="BF4816">
        <v>-0.05</v>
      </c>
      <c r="BG4816">
        <v>95</v>
      </c>
      <c r="BH4816">
        <v>-0.02</v>
      </c>
      <c r="BI4816">
        <v>13.11</v>
      </c>
      <c r="BJ4816">
        <v>100</v>
      </c>
      <c r="BK4816">
        <v>50</v>
      </c>
      <c r="BL4816">
        <v>0.89</v>
      </c>
      <c r="BM4816">
        <v>2.52</v>
      </c>
      <c r="BN4816">
        <v>2.71</v>
      </c>
      <c r="BO4816">
        <v>0.35</v>
      </c>
      <c r="BP4816">
        <v>-1.1499999999999999</v>
      </c>
      <c r="BQ4816">
        <v>4.4800000000000004</v>
      </c>
      <c r="BR4816">
        <v>1.25</v>
      </c>
      <c r="BS4816">
        <v>-0.04</v>
      </c>
      <c r="BT4816">
        <v>-0.27</v>
      </c>
      <c r="BU4816">
        <v>2.15</v>
      </c>
      <c r="BV4816">
        <v>2.16</v>
      </c>
      <c r="BW4816">
        <v>1.55</v>
      </c>
      <c r="BX4816">
        <v>0.95</v>
      </c>
      <c r="BY4816">
        <v>0.47</v>
      </c>
      <c r="BZ4816">
        <v>1.47</v>
      </c>
      <c r="CA4816">
        <v>1.1100000000000001</v>
      </c>
      <c r="CB4816">
        <v>1.38</v>
      </c>
      <c r="CC4816">
        <v>0.28999999999999998</v>
      </c>
      <c r="CD4816">
        <v>1.38</v>
      </c>
      <c r="CE4816">
        <v>0.26</v>
      </c>
      <c r="CF4816">
        <v>2.17</v>
      </c>
      <c r="CG4816">
        <v>0</v>
      </c>
      <c r="CH4816">
        <v>0.48</v>
      </c>
      <c r="CI4816">
        <v>0</v>
      </c>
      <c r="CJ4816">
        <v>-0.2</v>
      </c>
      <c r="CK4816">
        <v>96</v>
      </c>
      <c r="CL4816">
        <v>-0.83</v>
      </c>
      <c r="CM4816">
        <v>95</v>
      </c>
      <c r="CN4816">
        <v>-0.61</v>
      </c>
      <c r="CO4816">
        <v>94</v>
      </c>
      <c r="CP4816">
        <v>9.6999999999999993</v>
      </c>
      <c r="CQ4816">
        <v>96</v>
      </c>
      <c r="CR4816">
        <v>0</v>
      </c>
      <c r="CS4816">
        <v>0</v>
      </c>
      <c r="CT4816">
        <v>14.9</v>
      </c>
      <c r="CU4816">
        <v>91</v>
      </c>
      <c r="CV4816">
        <v>0.21</v>
      </c>
      <c r="CW4816">
        <v>45</v>
      </c>
      <c r="CX4816" t="s">
        <v>1185</v>
      </c>
    </row>
    <row r="4817" spans="1:102" x14ac:dyDescent="0.3">
      <c r="A4817" t="str">
        <f>HYPERLINK("https://webapp.icbf.com/v2/app/bull-search/view/77857756","EXL")</f>
        <v>EXL</v>
      </c>
      <c r="B4817" t="s">
        <v>8081</v>
      </c>
      <c r="C4817" t="s">
        <v>8082</v>
      </c>
      <c r="D4817" s="1">
        <v>32823</v>
      </c>
      <c r="E4817" t="s">
        <v>92</v>
      </c>
      <c r="F4817">
        <v>100</v>
      </c>
      <c r="G4817" t="s">
        <v>109</v>
      </c>
      <c r="H4817">
        <v>-188.73</v>
      </c>
      <c r="I4817">
        <v>58</v>
      </c>
      <c r="J4817">
        <v>-6.04</v>
      </c>
      <c r="K4817">
        <v>74</v>
      </c>
      <c r="L4817">
        <v>-137.59</v>
      </c>
      <c r="M4817">
        <v>58</v>
      </c>
      <c r="N4817">
        <v>-28.12</v>
      </c>
      <c r="O4817">
        <v>41</v>
      </c>
      <c r="P4817">
        <v>-7.27</v>
      </c>
      <c r="Q4817">
        <v>52</v>
      </c>
      <c r="R4817">
        <v>-21.7</v>
      </c>
      <c r="S4817">
        <v>52</v>
      </c>
      <c r="T4817">
        <v>13.68</v>
      </c>
      <c r="U4817">
        <v>39</v>
      </c>
      <c r="V4817">
        <v>-1.69</v>
      </c>
      <c r="W4817">
        <v>16</v>
      </c>
      <c r="X4817" t="s">
        <v>102</v>
      </c>
      <c r="Y4817" t="s">
        <v>95</v>
      </c>
      <c r="Z4817" t="s">
        <v>96</v>
      </c>
      <c r="AA4817" t="s">
        <v>6504</v>
      </c>
      <c r="AB4817" t="s">
        <v>8083</v>
      </c>
      <c r="AC4817">
        <v>0</v>
      </c>
      <c r="AD4817">
        <v>0</v>
      </c>
      <c r="AE4817">
        <v>74</v>
      </c>
      <c r="AF4817">
        <v>-171.54</v>
      </c>
      <c r="AG4817">
        <v>2.34</v>
      </c>
      <c r="AH4817">
        <v>-4.4800000000000004</v>
      </c>
      <c r="AI4817">
        <v>0.15</v>
      </c>
      <c r="AJ4817">
        <v>0.02</v>
      </c>
      <c r="AK4817">
        <v>58</v>
      </c>
      <c r="AL4817">
        <v>0</v>
      </c>
      <c r="AM4817">
        <v>0</v>
      </c>
      <c r="AN4817">
        <v>8.49</v>
      </c>
      <c r="AO4817">
        <v>-2.4700000000000002</v>
      </c>
      <c r="AP4817">
        <v>5</v>
      </c>
      <c r="AQ4817">
        <v>2</v>
      </c>
      <c r="AR4817">
        <v>11.5</v>
      </c>
      <c r="AS4817">
        <v>24</v>
      </c>
      <c r="AT4817">
        <v>5.16</v>
      </c>
      <c r="AU4817">
        <v>66</v>
      </c>
      <c r="AV4817">
        <v>-0.77</v>
      </c>
      <c r="AW4817">
        <v>35</v>
      </c>
      <c r="AX4817">
        <v>-0.43</v>
      </c>
      <c r="AY4817">
        <v>46</v>
      </c>
      <c r="AZ4817">
        <v>6.59</v>
      </c>
      <c r="BA4817">
        <v>20</v>
      </c>
      <c r="BB4817">
        <v>5.0599999999999996</v>
      </c>
      <c r="BC4817">
        <v>22</v>
      </c>
      <c r="BD4817">
        <v>0.06</v>
      </c>
      <c r="BE4817">
        <v>0.11</v>
      </c>
      <c r="BF4817">
        <v>0.19</v>
      </c>
      <c r="BG4817">
        <v>75</v>
      </c>
      <c r="BH4817">
        <v>0</v>
      </c>
      <c r="BI4817">
        <v>5.46</v>
      </c>
      <c r="BJ4817">
        <v>0</v>
      </c>
      <c r="BK4817">
        <v>0</v>
      </c>
      <c r="BL4817">
        <v>0.84</v>
      </c>
      <c r="BM4817">
        <v>0</v>
      </c>
      <c r="BN4817">
        <v>0</v>
      </c>
      <c r="BO4817">
        <v>0</v>
      </c>
      <c r="BP4817">
        <v>-0.34</v>
      </c>
      <c r="BQ4817">
        <v>2.21</v>
      </c>
      <c r="BR4817">
        <v>-0.41</v>
      </c>
      <c r="BS4817">
        <v>0</v>
      </c>
      <c r="BT4817">
        <v>0</v>
      </c>
      <c r="BU4817">
        <v>0</v>
      </c>
      <c r="BV4817">
        <v>0</v>
      </c>
      <c r="BW4817">
        <v>-0.48</v>
      </c>
      <c r="BX4817">
        <v>-0.74</v>
      </c>
      <c r="BY4817">
        <v>0.82</v>
      </c>
      <c r="BZ4817">
        <v>1.29</v>
      </c>
      <c r="CA4817">
        <v>-0.33</v>
      </c>
      <c r="CB4817">
        <v>-0.43</v>
      </c>
      <c r="CC4817">
        <v>0.3</v>
      </c>
      <c r="CD4817">
        <v>0</v>
      </c>
      <c r="CE4817">
        <v>0</v>
      </c>
      <c r="CF4817">
        <v>0</v>
      </c>
      <c r="CG4817">
        <v>0</v>
      </c>
      <c r="CH4817">
        <v>0</v>
      </c>
      <c r="CI4817">
        <v>0</v>
      </c>
      <c r="CJ4817">
        <v>-3.5</v>
      </c>
      <c r="CK4817">
        <v>54</v>
      </c>
      <c r="CL4817">
        <v>-0.25</v>
      </c>
      <c r="CM4817">
        <v>50</v>
      </c>
      <c r="CN4817">
        <v>-0.09</v>
      </c>
      <c r="CO4817">
        <v>45</v>
      </c>
      <c r="CP4817">
        <v>-6.1</v>
      </c>
      <c r="CQ4817">
        <v>55</v>
      </c>
      <c r="CR4817">
        <v>0</v>
      </c>
      <c r="CS4817">
        <v>0</v>
      </c>
      <c r="CT4817">
        <v>-4.7</v>
      </c>
      <c r="CU4817">
        <v>39</v>
      </c>
      <c r="CV4817">
        <v>-0.02</v>
      </c>
      <c r="CW4817">
        <v>14</v>
      </c>
      <c r="CX4817" t="s">
        <v>113</v>
      </c>
    </row>
    <row r="4818" spans="1:102" x14ac:dyDescent="0.3">
      <c r="A4818" t="str">
        <f>HYPERLINK("https://webapp.icbf.com/v2/app/bull-search/view/268069072","HTI")</f>
        <v>HTI</v>
      </c>
      <c r="B4818" t="s">
        <v>5136</v>
      </c>
      <c r="C4818" t="s">
        <v>1566</v>
      </c>
      <c r="D4818" s="1">
        <v>35918</v>
      </c>
      <c r="E4818" t="s">
        <v>92</v>
      </c>
      <c r="F4818">
        <v>100</v>
      </c>
      <c r="G4818" t="s">
        <v>93</v>
      </c>
      <c r="H4818">
        <v>-188.79</v>
      </c>
      <c r="I4818">
        <v>94</v>
      </c>
      <c r="J4818">
        <v>-0.19</v>
      </c>
      <c r="K4818">
        <v>98</v>
      </c>
      <c r="L4818">
        <v>-170.21</v>
      </c>
      <c r="M4818">
        <v>93</v>
      </c>
      <c r="N4818">
        <v>-0.02</v>
      </c>
      <c r="O4818">
        <v>94</v>
      </c>
      <c r="P4818">
        <v>-9.5299999999999994</v>
      </c>
      <c r="Q4818">
        <v>96</v>
      </c>
      <c r="R4818">
        <v>-2.67</v>
      </c>
      <c r="S4818">
        <v>89</v>
      </c>
      <c r="T4818">
        <v>0.57999999999999996</v>
      </c>
      <c r="U4818">
        <v>93</v>
      </c>
      <c r="V4818">
        <v>-6.75</v>
      </c>
      <c r="W4818">
        <v>84</v>
      </c>
      <c r="X4818" t="s">
        <v>131</v>
      </c>
      <c r="Y4818" t="s">
        <v>95</v>
      </c>
      <c r="Z4818" t="s">
        <v>96</v>
      </c>
      <c r="AA4818" t="s">
        <v>1325</v>
      </c>
      <c r="AB4818" t="s">
        <v>5137</v>
      </c>
      <c r="AC4818">
        <v>220</v>
      </c>
      <c r="AD4818">
        <v>115</v>
      </c>
      <c r="AE4818">
        <v>98</v>
      </c>
      <c r="AF4818">
        <v>255.58</v>
      </c>
      <c r="AG4818">
        <v>0.96</v>
      </c>
      <c r="AH4818">
        <v>3.54</v>
      </c>
      <c r="AI4818">
        <v>-0.15</v>
      </c>
      <c r="AJ4818">
        <v>-0.09</v>
      </c>
      <c r="AK4818">
        <v>93</v>
      </c>
      <c r="AL4818">
        <v>181</v>
      </c>
      <c r="AM4818">
        <v>89</v>
      </c>
      <c r="AN4818">
        <v>8.06</v>
      </c>
      <c r="AO4818">
        <v>-5.53</v>
      </c>
      <c r="AP4818">
        <v>308</v>
      </c>
      <c r="AQ4818">
        <v>0</v>
      </c>
      <c r="AR4818">
        <v>6.3</v>
      </c>
      <c r="AS4818">
        <v>92</v>
      </c>
      <c r="AT4818">
        <v>3.25</v>
      </c>
      <c r="AU4818">
        <v>99</v>
      </c>
      <c r="AV4818">
        <v>-1.23</v>
      </c>
      <c r="AW4818">
        <v>96</v>
      </c>
      <c r="AX4818">
        <v>-0.68</v>
      </c>
      <c r="AY4818">
        <v>92</v>
      </c>
      <c r="AZ4818">
        <v>9.17</v>
      </c>
      <c r="BA4818">
        <v>83</v>
      </c>
      <c r="BB4818">
        <v>6.61</v>
      </c>
      <c r="BC4818">
        <v>82</v>
      </c>
      <c r="BD4818">
        <v>-0.01</v>
      </c>
      <c r="BE4818">
        <v>0.02</v>
      </c>
      <c r="BF4818">
        <v>0.04</v>
      </c>
      <c r="BG4818">
        <v>96</v>
      </c>
      <c r="BH4818">
        <v>-0.19</v>
      </c>
      <c r="BI4818">
        <v>-0.21</v>
      </c>
      <c r="BJ4818">
        <v>153</v>
      </c>
      <c r="BK4818">
        <v>68</v>
      </c>
      <c r="BL4818">
        <v>1.63</v>
      </c>
      <c r="BM4818">
        <v>-1.1499999999999999</v>
      </c>
      <c r="BN4818">
        <v>0.22</v>
      </c>
      <c r="BO4818">
        <v>1.02</v>
      </c>
      <c r="BP4818">
        <v>-1.81</v>
      </c>
      <c r="BQ4818">
        <v>0.14000000000000001</v>
      </c>
      <c r="BR4818">
        <v>-4.33</v>
      </c>
      <c r="BS4818">
        <v>2.33</v>
      </c>
      <c r="BT4818">
        <v>3.7</v>
      </c>
      <c r="BU4818">
        <v>1.38</v>
      </c>
      <c r="BV4818">
        <v>2.1800000000000002</v>
      </c>
      <c r="BW4818">
        <v>2.1800000000000002</v>
      </c>
      <c r="BX4818">
        <v>1.44</v>
      </c>
      <c r="BY4818">
        <v>1.08</v>
      </c>
      <c r="BZ4818">
        <v>1.32</v>
      </c>
      <c r="CA4818">
        <v>1.94</v>
      </c>
      <c r="CB4818">
        <v>1.51</v>
      </c>
      <c r="CC4818">
        <v>2.06</v>
      </c>
      <c r="CD4818">
        <v>-0.71</v>
      </c>
      <c r="CE4818">
        <v>1.18</v>
      </c>
      <c r="CF4818">
        <v>0.44</v>
      </c>
      <c r="CG4818">
        <v>0</v>
      </c>
      <c r="CH4818">
        <v>0.93</v>
      </c>
      <c r="CI4818">
        <v>0</v>
      </c>
      <c r="CJ4818">
        <v>-2.5</v>
      </c>
      <c r="CK4818">
        <v>96</v>
      </c>
      <c r="CL4818">
        <v>-1.1299999999999999</v>
      </c>
      <c r="CM4818">
        <v>96</v>
      </c>
      <c r="CN4818">
        <v>-0.5</v>
      </c>
      <c r="CO4818">
        <v>95</v>
      </c>
      <c r="CP4818">
        <v>-1.8</v>
      </c>
      <c r="CQ4818">
        <v>96</v>
      </c>
      <c r="CR4818">
        <v>0</v>
      </c>
      <c r="CS4818">
        <v>0</v>
      </c>
      <c r="CT4818">
        <v>13</v>
      </c>
      <c r="CU4818">
        <v>93</v>
      </c>
      <c r="CV4818">
        <v>0.24</v>
      </c>
      <c r="CW4818">
        <v>45</v>
      </c>
      <c r="CX4818" t="s">
        <v>161</v>
      </c>
    </row>
    <row r="4819" spans="1:102" x14ac:dyDescent="0.3">
      <c r="A4819" t="str">
        <f>HYPERLINK("https://webapp.icbf.com/v2/app/bull-search/view/77852623","WMK")</f>
        <v>WMK</v>
      </c>
      <c r="B4819" t="s">
        <v>3974</v>
      </c>
      <c r="C4819" t="s">
        <v>1172</v>
      </c>
      <c r="D4819" s="1">
        <v>33811</v>
      </c>
      <c r="E4819" t="s">
        <v>92</v>
      </c>
      <c r="F4819">
        <v>100</v>
      </c>
      <c r="G4819" t="s">
        <v>93</v>
      </c>
      <c r="H4819">
        <v>-189.13</v>
      </c>
      <c r="I4819">
        <v>91</v>
      </c>
      <c r="J4819">
        <v>27.88</v>
      </c>
      <c r="K4819">
        <v>97</v>
      </c>
      <c r="L4819">
        <v>-168.48</v>
      </c>
      <c r="M4819">
        <v>93</v>
      </c>
      <c r="N4819">
        <v>-38.51</v>
      </c>
      <c r="O4819">
        <v>84</v>
      </c>
      <c r="P4819">
        <v>-0.44</v>
      </c>
      <c r="Q4819">
        <v>86</v>
      </c>
      <c r="R4819">
        <v>-19.86</v>
      </c>
      <c r="S4819">
        <v>84</v>
      </c>
      <c r="T4819">
        <v>6.35</v>
      </c>
      <c r="U4819">
        <v>83</v>
      </c>
      <c r="V4819">
        <v>3.93</v>
      </c>
      <c r="W4819">
        <v>75</v>
      </c>
      <c r="X4819" t="s">
        <v>110</v>
      </c>
      <c r="Y4819" t="s">
        <v>95</v>
      </c>
      <c r="Z4819" t="s">
        <v>96</v>
      </c>
      <c r="AA4819" t="s">
        <v>485</v>
      </c>
      <c r="AB4819" t="s">
        <v>3975</v>
      </c>
      <c r="AC4819">
        <v>74</v>
      </c>
      <c r="AD4819">
        <v>53</v>
      </c>
      <c r="AE4819">
        <v>97</v>
      </c>
      <c r="AF4819">
        <v>493.3</v>
      </c>
      <c r="AG4819">
        <v>10.1</v>
      </c>
      <c r="AH4819">
        <v>8.7200000000000006</v>
      </c>
      <c r="AI4819">
        <v>-0.15</v>
      </c>
      <c r="AJ4819">
        <v>-0.13</v>
      </c>
      <c r="AK4819">
        <v>93</v>
      </c>
      <c r="AL4819">
        <v>66</v>
      </c>
      <c r="AM4819">
        <v>38</v>
      </c>
      <c r="AN4819">
        <v>7.34</v>
      </c>
      <c r="AO4819">
        <v>-6.12</v>
      </c>
      <c r="AP4819">
        <v>5</v>
      </c>
      <c r="AQ4819">
        <v>0</v>
      </c>
      <c r="AR4819">
        <v>11.15</v>
      </c>
      <c r="AS4819">
        <v>79</v>
      </c>
      <c r="AT4819">
        <v>5.88</v>
      </c>
      <c r="AU4819">
        <v>98</v>
      </c>
      <c r="AV4819">
        <v>-1.32</v>
      </c>
      <c r="AW4819">
        <v>82</v>
      </c>
      <c r="AX4819">
        <v>0.42</v>
      </c>
      <c r="AY4819">
        <v>83</v>
      </c>
      <c r="AZ4819">
        <v>7.97</v>
      </c>
      <c r="BA4819">
        <v>71</v>
      </c>
      <c r="BB4819">
        <v>5.48</v>
      </c>
      <c r="BC4819">
        <v>74</v>
      </c>
      <c r="BD4819">
        <v>0.1</v>
      </c>
      <c r="BE4819">
        <v>0.1</v>
      </c>
      <c r="BF4819">
        <v>0.1</v>
      </c>
      <c r="BG4819">
        <v>94</v>
      </c>
      <c r="BH4819">
        <v>0.15</v>
      </c>
      <c r="BI4819">
        <v>4.68</v>
      </c>
      <c r="BJ4819">
        <v>6</v>
      </c>
      <c r="BK4819">
        <v>5</v>
      </c>
      <c r="BL4819">
        <v>0.76</v>
      </c>
      <c r="BM4819">
        <v>0.17</v>
      </c>
      <c r="BN4819">
        <v>0.42</v>
      </c>
      <c r="BO4819">
        <v>0.37</v>
      </c>
      <c r="BP4819">
        <v>1.34</v>
      </c>
      <c r="BQ4819">
        <v>0.84</v>
      </c>
      <c r="BR4819">
        <v>-0.01</v>
      </c>
      <c r="BS4819">
        <v>-0.87</v>
      </c>
      <c r="BT4819">
        <v>0.06</v>
      </c>
      <c r="BU4819">
        <v>-0.09</v>
      </c>
      <c r="BV4819">
        <v>1.17</v>
      </c>
      <c r="BW4819">
        <v>-0.01</v>
      </c>
      <c r="BX4819">
        <v>-0.98</v>
      </c>
      <c r="BY4819">
        <v>1.06</v>
      </c>
      <c r="BZ4819">
        <v>-0.8</v>
      </c>
      <c r="CA4819">
        <v>-0.1</v>
      </c>
      <c r="CB4819">
        <v>0.56999999999999995</v>
      </c>
      <c r="CC4819">
        <v>-1</v>
      </c>
      <c r="CD4819">
        <v>-0.1</v>
      </c>
      <c r="CE4819">
        <v>0.7</v>
      </c>
      <c r="CF4819">
        <v>0.23</v>
      </c>
      <c r="CG4819">
        <v>0</v>
      </c>
      <c r="CH4819">
        <v>0.86</v>
      </c>
      <c r="CI4819">
        <v>0</v>
      </c>
      <c r="CJ4819">
        <v>2.1</v>
      </c>
      <c r="CK4819">
        <v>86</v>
      </c>
      <c r="CL4819">
        <v>-0.57999999999999996</v>
      </c>
      <c r="CM4819">
        <v>85</v>
      </c>
      <c r="CN4819">
        <v>-0.3</v>
      </c>
      <c r="CO4819">
        <v>84</v>
      </c>
      <c r="CP4819">
        <v>-5.8</v>
      </c>
      <c r="CQ4819">
        <v>89</v>
      </c>
      <c r="CR4819">
        <v>0</v>
      </c>
      <c r="CS4819">
        <v>0</v>
      </c>
      <c r="CT4819">
        <v>5.2</v>
      </c>
      <c r="CU4819">
        <v>83</v>
      </c>
      <c r="CV4819">
        <v>0.2</v>
      </c>
      <c r="CW4819">
        <v>44</v>
      </c>
      <c r="CX4819" t="s">
        <v>267</v>
      </c>
    </row>
    <row r="4820" spans="1:102" x14ac:dyDescent="0.3">
      <c r="A4820" t="str">
        <f>HYPERLINK("https://webapp.icbf.com/v2/app/bull-search/view/124414585","DFH")</f>
        <v>DFH</v>
      </c>
      <c r="B4820" t="s">
        <v>14423</v>
      </c>
      <c r="C4820" t="s">
        <v>14424</v>
      </c>
      <c r="D4820" s="1">
        <v>35677</v>
      </c>
      <c r="E4820" t="s">
        <v>92</v>
      </c>
      <c r="F4820">
        <v>100</v>
      </c>
      <c r="G4820" t="s">
        <v>93</v>
      </c>
      <c r="H4820">
        <v>-189.14</v>
      </c>
      <c r="I4820">
        <v>89</v>
      </c>
      <c r="J4820">
        <v>-6.5</v>
      </c>
      <c r="K4820">
        <v>98</v>
      </c>
      <c r="L4820">
        <v>-156.52000000000001</v>
      </c>
      <c r="M4820">
        <v>83</v>
      </c>
      <c r="N4820">
        <v>-28.73</v>
      </c>
      <c r="O4820">
        <v>83</v>
      </c>
      <c r="P4820">
        <v>-6.76</v>
      </c>
      <c r="Q4820">
        <v>94</v>
      </c>
      <c r="R4820">
        <v>-0.28999999999999998</v>
      </c>
      <c r="S4820">
        <v>82</v>
      </c>
      <c r="T4820">
        <v>9.5299999999999994</v>
      </c>
      <c r="U4820">
        <v>90</v>
      </c>
      <c r="V4820">
        <v>0.13</v>
      </c>
      <c r="W4820">
        <v>73</v>
      </c>
      <c r="X4820" t="s">
        <v>102</v>
      </c>
      <c r="Y4820" t="s">
        <v>95</v>
      </c>
      <c r="Z4820" t="s">
        <v>96</v>
      </c>
      <c r="AA4820" t="s">
        <v>218</v>
      </c>
      <c r="AB4820" t="s">
        <v>12145</v>
      </c>
      <c r="AC4820">
        <v>141</v>
      </c>
      <c r="AD4820">
        <v>86</v>
      </c>
      <c r="AE4820">
        <v>98</v>
      </c>
      <c r="AF4820">
        <v>80.930000000000007</v>
      </c>
      <c r="AG4820">
        <v>-0.53</v>
      </c>
      <c r="AH4820">
        <v>0.32</v>
      </c>
      <c r="AI4820">
        <v>-0.06</v>
      </c>
      <c r="AJ4820">
        <v>-0.04</v>
      </c>
      <c r="AK4820">
        <v>83</v>
      </c>
      <c r="AL4820">
        <v>165</v>
      </c>
      <c r="AM4820">
        <v>92</v>
      </c>
      <c r="AN4820">
        <v>8.68</v>
      </c>
      <c r="AO4820">
        <v>-3.8</v>
      </c>
      <c r="AP4820">
        <v>68</v>
      </c>
      <c r="AQ4820">
        <v>1</v>
      </c>
      <c r="AR4820">
        <v>10.09</v>
      </c>
      <c r="AS4820">
        <v>71</v>
      </c>
      <c r="AT4820">
        <v>4.79</v>
      </c>
      <c r="AU4820">
        <v>85</v>
      </c>
      <c r="AV4820">
        <v>0.56999999999999995</v>
      </c>
      <c r="AW4820">
        <v>86</v>
      </c>
      <c r="AX4820">
        <v>0.42</v>
      </c>
      <c r="AY4820">
        <v>87</v>
      </c>
      <c r="AZ4820">
        <v>6.15</v>
      </c>
      <c r="BA4820">
        <v>68</v>
      </c>
      <c r="BB4820">
        <v>4.71</v>
      </c>
      <c r="BC4820">
        <v>74</v>
      </c>
      <c r="BD4820">
        <v>0.01</v>
      </c>
      <c r="BE4820">
        <v>0</v>
      </c>
      <c r="BF4820">
        <v>-0.01</v>
      </c>
      <c r="BG4820">
        <v>91</v>
      </c>
      <c r="BH4820">
        <v>0.1</v>
      </c>
      <c r="BI4820">
        <v>11.14</v>
      </c>
      <c r="BJ4820">
        <v>38</v>
      </c>
      <c r="BK4820">
        <v>23</v>
      </c>
      <c r="BL4820">
        <v>0.05</v>
      </c>
      <c r="BM4820">
        <v>0.15</v>
      </c>
      <c r="BN4820">
        <v>0.92</v>
      </c>
      <c r="BO4820">
        <v>0.44</v>
      </c>
      <c r="BP4820">
        <v>-7.0000000000000007E-2</v>
      </c>
      <c r="BQ4820">
        <v>0.35</v>
      </c>
      <c r="BR4820">
        <v>1.42</v>
      </c>
      <c r="BS4820">
        <v>-2.19</v>
      </c>
      <c r="BT4820">
        <v>-0.85</v>
      </c>
      <c r="BU4820">
        <v>-0.4</v>
      </c>
      <c r="BV4820">
        <v>0.21</v>
      </c>
      <c r="BW4820">
        <v>0.22</v>
      </c>
      <c r="BX4820">
        <v>-1.43</v>
      </c>
      <c r="BY4820">
        <v>0.45</v>
      </c>
      <c r="BZ4820">
        <v>-0.06</v>
      </c>
      <c r="CA4820">
        <v>-0.74</v>
      </c>
      <c r="CB4820">
        <v>-0.14000000000000001</v>
      </c>
      <c r="CC4820">
        <v>-1.42</v>
      </c>
      <c r="CD4820">
        <v>-0.17</v>
      </c>
      <c r="CE4820">
        <v>0.44</v>
      </c>
      <c r="CF4820">
        <v>0.73</v>
      </c>
      <c r="CG4820">
        <v>0</v>
      </c>
      <c r="CH4820">
        <v>1.07</v>
      </c>
      <c r="CI4820">
        <v>0</v>
      </c>
      <c r="CJ4820">
        <v>-1.8</v>
      </c>
      <c r="CK4820">
        <v>95</v>
      </c>
      <c r="CL4820">
        <v>-0.63</v>
      </c>
      <c r="CM4820">
        <v>94</v>
      </c>
      <c r="CN4820">
        <v>-0.24</v>
      </c>
      <c r="CO4820">
        <v>93</v>
      </c>
      <c r="CP4820">
        <v>-3.9</v>
      </c>
      <c r="CQ4820">
        <v>94</v>
      </c>
      <c r="CR4820">
        <v>0</v>
      </c>
      <c r="CS4820">
        <v>0</v>
      </c>
      <c r="CT4820">
        <v>0.9</v>
      </c>
      <c r="CU4820">
        <v>90</v>
      </c>
      <c r="CV4820">
        <v>0.09</v>
      </c>
      <c r="CW4820">
        <v>45</v>
      </c>
      <c r="CX4820" t="s">
        <v>128</v>
      </c>
    </row>
    <row r="4821" spans="1:102" x14ac:dyDescent="0.3">
      <c r="A4821" t="str">
        <f>HYPERLINK("https://webapp.icbf.com/v2/app/bull-search/view/440417685","QIF")</f>
        <v>QIF</v>
      </c>
      <c r="B4821" t="s">
        <v>7914</v>
      </c>
      <c r="C4821" t="s">
        <v>7915</v>
      </c>
      <c r="D4821" s="1">
        <v>37363</v>
      </c>
      <c r="E4821" t="s">
        <v>92</v>
      </c>
      <c r="F4821">
        <v>100</v>
      </c>
      <c r="G4821" t="s">
        <v>93</v>
      </c>
      <c r="H4821">
        <v>-189.41</v>
      </c>
      <c r="I4821">
        <v>90</v>
      </c>
      <c r="J4821">
        <v>-36.6</v>
      </c>
      <c r="K4821">
        <v>97</v>
      </c>
      <c r="L4821">
        <v>-106.69</v>
      </c>
      <c r="M4821">
        <v>89</v>
      </c>
      <c r="N4821">
        <v>-46.96</v>
      </c>
      <c r="O4821">
        <v>84</v>
      </c>
      <c r="P4821">
        <v>-6.56</v>
      </c>
      <c r="Q4821">
        <v>88</v>
      </c>
      <c r="R4821">
        <v>-10.119999999999999</v>
      </c>
      <c r="S4821">
        <v>82</v>
      </c>
      <c r="T4821">
        <v>14.71</v>
      </c>
      <c r="U4821">
        <v>89</v>
      </c>
      <c r="V4821">
        <v>2.81</v>
      </c>
      <c r="W4821">
        <v>72</v>
      </c>
      <c r="X4821" t="s">
        <v>131</v>
      </c>
      <c r="Y4821" t="s">
        <v>95</v>
      </c>
      <c r="Z4821" t="s">
        <v>96</v>
      </c>
      <c r="AA4821" t="s">
        <v>4248</v>
      </c>
      <c r="AB4821" t="s">
        <v>7916</v>
      </c>
      <c r="AC4821">
        <v>105</v>
      </c>
      <c r="AD4821">
        <v>45</v>
      </c>
      <c r="AE4821">
        <v>97</v>
      </c>
      <c r="AF4821">
        <v>-46.81</v>
      </c>
      <c r="AG4821">
        <v>1.41</v>
      </c>
      <c r="AH4821">
        <v>-7.44</v>
      </c>
      <c r="AI4821">
        <v>0.06</v>
      </c>
      <c r="AJ4821">
        <v>-0.1</v>
      </c>
      <c r="AK4821">
        <v>89</v>
      </c>
      <c r="AL4821">
        <v>83</v>
      </c>
      <c r="AM4821">
        <v>46</v>
      </c>
      <c r="AN4821">
        <v>6.44</v>
      </c>
      <c r="AO4821">
        <v>-2.06</v>
      </c>
      <c r="AP4821">
        <v>174</v>
      </c>
      <c r="AQ4821">
        <v>1</v>
      </c>
      <c r="AR4821">
        <v>11.59</v>
      </c>
      <c r="AS4821">
        <v>75</v>
      </c>
      <c r="AT4821">
        <v>6.16</v>
      </c>
      <c r="AU4821">
        <v>90</v>
      </c>
      <c r="AV4821">
        <v>-0.02</v>
      </c>
      <c r="AW4821">
        <v>91</v>
      </c>
      <c r="AX4821">
        <v>0.43</v>
      </c>
      <c r="AY4821">
        <v>81</v>
      </c>
      <c r="AZ4821">
        <v>5.6</v>
      </c>
      <c r="BA4821">
        <v>65</v>
      </c>
      <c r="BB4821">
        <v>4.66</v>
      </c>
      <c r="BC4821">
        <v>65</v>
      </c>
      <c r="BD4821">
        <v>0.01</v>
      </c>
      <c r="BE4821">
        <v>0.04</v>
      </c>
      <c r="BF4821">
        <v>0.14000000000000001</v>
      </c>
      <c r="BG4821">
        <v>92</v>
      </c>
      <c r="BH4821">
        <v>0.15</v>
      </c>
      <c r="BI4821">
        <v>8.2899999999999991</v>
      </c>
      <c r="BJ4821">
        <v>54</v>
      </c>
      <c r="BK4821">
        <v>25</v>
      </c>
      <c r="BL4821">
        <v>1.55</v>
      </c>
      <c r="BM4821">
        <v>-1.5</v>
      </c>
      <c r="BN4821">
        <v>1.34</v>
      </c>
      <c r="BO4821">
        <v>1.98</v>
      </c>
      <c r="BP4821">
        <v>1.1299999999999999</v>
      </c>
      <c r="BQ4821">
        <v>2.2400000000000002</v>
      </c>
      <c r="BR4821">
        <v>0.81</v>
      </c>
      <c r="BS4821">
        <v>1.4</v>
      </c>
      <c r="BT4821">
        <v>-0.49</v>
      </c>
      <c r="BU4821">
        <v>1.7</v>
      </c>
      <c r="BV4821">
        <v>1.26</v>
      </c>
      <c r="BW4821">
        <v>0.7</v>
      </c>
      <c r="BX4821">
        <v>1.72</v>
      </c>
      <c r="BY4821">
        <v>1.53</v>
      </c>
      <c r="BZ4821">
        <v>1.61</v>
      </c>
      <c r="CA4821">
        <v>1.52</v>
      </c>
      <c r="CB4821">
        <v>1.69</v>
      </c>
      <c r="CC4821">
        <v>0.81</v>
      </c>
      <c r="CD4821">
        <v>-1.59</v>
      </c>
      <c r="CE4821">
        <v>1.26</v>
      </c>
      <c r="CF4821">
        <v>1.69</v>
      </c>
      <c r="CG4821">
        <v>0</v>
      </c>
      <c r="CH4821">
        <v>1.21</v>
      </c>
      <c r="CI4821">
        <v>0</v>
      </c>
      <c r="CJ4821">
        <v>-1.1000000000000001</v>
      </c>
      <c r="CK4821">
        <v>89</v>
      </c>
      <c r="CL4821">
        <v>-1</v>
      </c>
      <c r="CM4821">
        <v>86</v>
      </c>
      <c r="CN4821">
        <v>-0.51</v>
      </c>
      <c r="CO4821">
        <v>84</v>
      </c>
      <c r="CP4821">
        <v>-4.5999999999999996</v>
      </c>
      <c r="CQ4821">
        <v>91</v>
      </c>
      <c r="CR4821">
        <v>0</v>
      </c>
      <c r="CS4821">
        <v>0</v>
      </c>
      <c r="CT4821">
        <v>-6.1</v>
      </c>
      <c r="CU4821">
        <v>89</v>
      </c>
      <c r="CV4821">
        <v>0.27</v>
      </c>
      <c r="CW4821">
        <v>43</v>
      </c>
      <c r="CX4821" t="s">
        <v>3852</v>
      </c>
    </row>
    <row r="4822" spans="1:102" x14ac:dyDescent="0.3">
      <c r="A4822" t="str">
        <f>HYPERLINK("https://webapp.icbf.com/v2/app/bull-search/view/77858992","CMD")</f>
        <v>CMD</v>
      </c>
      <c r="B4822" t="s">
        <v>7999</v>
      </c>
      <c r="C4822" t="s">
        <v>8000</v>
      </c>
      <c r="D4822" s="1">
        <v>31580</v>
      </c>
      <c r="E4822" t="s">
        <v>92</v>
      </c>
      <c r="F4822">
        <v>100</v>
      </c>
      <c r="G4822" t="s">
        <v>109</v>
      </c>
      <c r="H4822">
        <v>-189.48</v>
      </c>
      <c r="I4822">
        <v>69</v>
      </c>
      <c r="J4822">
        <v>-47.37</v>
      </c>
      <c r="K4822">
        <v>82</v>
      </c>
      <c r="L4822">
        <v>-92.19</v>
      </c>
      <c r="M4822">
        <v>78</v>
      </c>
      <c r="N4822">
        <v>-40.090000000000003</v>
      </c>
      <c r="O4822">
        <v>50</v>
      </c>
      <c r="P4822">
        <v>3.59</v>
      </c>
      <c r="Q4822">
        <v>50</v>
      </c>
      <c r="R4822">
        <v>-5.0999999999999996</v>
      </c>
      <c r="S4822">
        <v>63</v>
      </c>
      <c r="T4822">
        <v>-5.19</v>
      </c>
      <c r="U4822">
        <v>47</v>
      </c>
      <c r="V4822">
        <v>-3.13</v>
      </c>
      <c r="W4822">
        <v>31</v>
      </c>
      <c r="X4822" t="s">
        <v>276</v>
      </c>
      <c r="Y4822" t="s">
        <v>95</v>
      </c>
      <c r="Z4822" t="s">
        <v>96</v>
      </c>
      <c r="AA4822" t="s">
        <v>543</v>
      </c>
      <c r="AB4822" t="s">
        <v>659</v>
      </c>
      <c r="AC4822">
        <v>0</v>
      </c>
      <c r="AD4822">
        <v>0</v>
      </c>
      <c r="AE4822">
        <v>82</v>
      </c>
      <c r="AF4822">
        <v>-222.53</v>
      </c>
      <c r="AG4822">
        <v>-2.5499999999999998</v>
      </c>
      <c r="AH4822">
        <v>-10.56</v>
      </c>
      <c r="AI4822">
        <v>0.11</v>
      </c>
      <c r="AJ4822">
        <v>-0.05</v>
      </c>
      <c r="AK4822">
        <v>78</v>
      </c>
      <c r="AL4822">
        <v>0</v>
      </c>
      <c r="AM4822">
        <v>0</v>
      </c>
      <c r="AN4822">
        <v>5.21</v>
      </c>
      <c r="AO4822">
        <v>-2.14</v>
      </c>
      <c r="AP4822">
        <v>4</v>
      </c>
      <c r="AQ4822">
        <v>0</v>
      </c>
      <c r="AR4822">
        <v>11.87</v>
      </c>
      <c r="AS4822">
        <v>32</v>
      </c>
      <c r="AT4822">
        <v>5.44</v>
      </c>
      <c r="AU4822">
        <v>71</v>
      </c>
      <c r="AV4822">
        <v>-0.3</v>
      </c>
      <c r="AW4822">
        <v>51</v>
      </c>
      <c r="AX4822">
        <v>0.2</v>
      </c>
      <c r="AY4822">
        <v>42</v>
      </c>
      <c r="AZ4822">
        <v>6.88</v>
      </c>
      <c r="BA4822">
        <v>29</v>
      </c>
      <c r="BB4822">
        <v>5.26</v>
      </c>
      <c r="BC4822">
        <v>31</v>
      </c>
      <c r="BD4822">
        <v>0.05</v>
      </c>
      <c r="BE4822">
        <v>0.06</v>
      </c>
      <c r="BF4822">
        <v>-0.08</v>
      </c>
      <c r="BG4822">
        <v>89</v>
      </c>
      <c r="BH4822">
        <v>-0.1</v>
      </c>
      <c r="BI4822">
        <v>-1.47</v>
      </c>
      <c r="BJ4822">
        <v>1</v>
      </c>
      <c r="BK4822">
        <v>1</v>
      </c>
      <c r="BL4822">
        <v>0.92</v>
      </c>
      <c r="BM4822">
        <v>0.89</v>
      </c>
      <c r="BN4822">
        <v>1.5</v>
      </c>
      <c r="BO4822">
        <v>0.23</v>
      </c>
      <c r="BP4822">
        <v>-0.81</v>
      </c>
      <c r="BQ4822">
        <v>2.98</v>
      </c>
      <c r="BR4822">
        <v>2.78</v>
      </c>
      <c r="BS4822">
        <v>-2.4700000000000002</v>
      </c>
      <c r="BT4822">
        <v>-1.05</v>
      </c>
      <c r="BU4822">
        <v>1.0900000000000001</v>
      </c>
      <c r="BV4822">
        <v>0.33</v>
      </c>
      <c r="BW4822">
        <v>1.34</v>
      </c>
      <c r="BX4822">
        <v>0.94</v>
      </c>
      <c r="BY4822">
        <v>0.39</v>
      </c>
      <c r="BZ4822">
        <v>-0.35</v>
      </c>
      <c r="CA4822">
        <v>-0.38</v>
      </c>
      <c r="CB4822">
        <v>0.72</v>
      </c>
      <c r="CC4822">
        <v>-2.19</v>
      </c>
      <c r="CD4822">
        <v>0.1</v>
      </c>
      <c r="CE4822">
        <v>1</v>
      </c>
      <c r="CF4822">
        <v>0.9</v>
      </c>
      <c r="CG4822">
        <v>0</v>
      </c>
      <c r="CH4822">
        <v>0.64</v>
      </c>
      <c r="CI4822">
        <v>0</v>
      </c>
      <c r="CJ4822">
        <v>3.3</v>
      </c>
      <c r="CK4822">
        <v>52</v>
      </c>
      <c r="CL4822">
        <v>-0.68</v>
      </c>
      <c r="CM4822">
        <v>48</v>
      </c>
      <c r="CN4822">
        <v>-0.4</v>
      </c>
      <c r="CO4822">
        <v>45</v>
      </c>
      <c r="CP4822">
        <v>9.1</v>
      </c>
      <c r="CQ4822">
        <v>49</v>
      </c>
      <c r="CR4822">
        <v>0</v>
      </c>
      <c r="CS4822">
        <v>0</v>
      </c>
      <c r="CT4822">
        <v>20.8</v>
      </c>
      <c r="CU4822">
        <v>47</v>
      </c>
      <c r="CV4822">
        <v>0.16</v>
      </c>
      <c r="CW4822">
        <v>14</v>
      </c>
      <c r="CX4822" t="s">
        <v>120</v>
      </c>
    </row>
    <row r="4823" spans="1:102" x14ac:dyDescent="0.3">
      <c r="A4823" t="str">
        <f>HYPERLINK("https://webapp.icbf.com/v2/app/bull-search/view/77857528","GDD")</f>
        <v>GDD</v>
      </c>
      <c r="B4823" t="s">
        <v>8084</v>
      </c>
      <c r="C4823" t="s">
        <v>8085</v>
      </c>
      <c r="D4823" s="1">
        <v>34541</v>
      </c>
      <c r="E4823" t="s">
        <v>92</v>
      </c>
      <c r="F4823">
        <v>100</v>
      </c>
      <c r="G4823" t="s">
        <v>109</v>
      </c>
      <c r="H4823">
        <v>-189.57</v>
      </c>
      <c r="I4823">
        <v>72</v>
      </c>
      <c r="J4823">
        <v>-26.76</v>
      </c>
      <c r="K4823">
        <v>84</v>
      </c>
      <c r="L4823">
        <v>-90.43</v>
      </c>
      <c r="M4823">
        <v>80</v>
      </c>
      <c r="N4823">
        <v>-66.8</v>
      </c>
      <c r="O4823">
        <v>49</v>
      </c>
      <c r="P4823">
        <v>-0.11</v>
      </c>
      <c r="Q4823">
        <v>59</v>
      </c>
      <c r="R4823">
        <v>-11.05</v>
      </c>
      <c r="S4823">
        <v>64</v>
      </c>
      <c r="T4823">
        <v>8.0500000000000007</v>
      </c>
      <c r="U4823">
        <v>55</v>
      </c>
      <c r="V4823">
        <v>-2.4700000000000002</v>
      </c>
      <c r="W4823">
        <v>26</v>
      </c>
      <c r="X4823" t="s">
        <v>747</v>
      </c>
      <c r="Y4823" t="s">
        <v>95</v>
      </c>
      <c r="Z4823" t="s">
        <v>96</v>
      </c>
      <c r="AA4823" t="s">
        <v>682</v>
      </c>
      <c r="AB4823" t="s">
        <v>8086</v>
      </c>
      <c r="AC4823">
        <v>0</v>
      </c>
      <c r="AD4823">
        <v>0</v>
      </c>
      <c r="AE4823">
        <v>84</v>
      </c>
      <c r="AF4823">
        <v>-24.3</v>
      </c>
      <c r="AG4823">
        <v>3.27</v>
      </c>
      <c r="AH4823">
        <v>-6.08</v>
      </c>
      <c r="AI4823">
        <v>7.0000000000000007E-2</v>
      </c>
      <c r="AJ4823">
        <v>-0.09</v>
      </c>
      <c r="AK4823">
        <v>80</v>
      </c>
      <c r="AL4823">
        <v>0</v>
      </c>
      <c r="AM4823">
        <v>0</v>
      </c>
      <c r="AN4823">
        <v>4.2699999999999996</v>
      </c>
      <c r="AO4823">
        <v>-2.95</v>
      </c>
      <c r="AP4823">
        <v>9</v>
      </c>
      <c r="AQ4823">
        <v>0</v>
      </c>
      <c r="AR4823">
        <v>14.23</v>
      </c>
      <c r="AS4823">
        <v>33</v>
      </c>
      <c r="AT4823">
        <v>6.96</v>
      </c>
      <c r="AU4823">
        <v>83</v>
      </c>
      <c r="AV4823">
        <v>-0.61</v>
      </c>
      <c r="AW4823">
        <v>40</v>
      </c>
      <c r="AX4823">
        <v>-0.23</v>
      </c>
      <c r="AY4823">
        <v>46</v>
      </c>
      <c r="AZ4823">
        <v>6.95</v>
      </c>
      <c r="BA4823">
        <v>29</v>
      </c>
      <c r="BB4823">
        <v>4.66</v>
      </c>
      <c r="BC4823">
        <v>30</v>
      </c>
      <c r="BD4823">
        <v>0.06</v>
      </c>
      <c r="BE4823">
        <v>0.06</v>
      </c>
      <c r="BF4823">
        <v>0.04</v>
      </c>
      <c r="BG4823">
        <v>88</v>
      </c>
      <c r="BH4823">
        <v>0.04</v>
      </c>
      <c r="BI4823">
        <v>12.6</v>
      </c>
      <c r="BJ4823">
        <v>8</v>
      </c>
      <c r="BK4823">
        <v>4</v>
      </c>
      <c r="BL4823">
        <v>1</v>
      </c>
      <c r="BM4823">
        <v>-0.71</v>
      </c>
      <c r="BN4823">
        <v>1</v>
      </c>
      <c r="BO4823">
        <v>1.05</v>
      </c>
      <c r="BP4823">
        <v>-2.72</v>
      </c>
      <c r="BQ4823">
        <v>0.84</v>
      </c>
      <c r="BR4823">
        <v>-0.79</v>
      </c>
      <c r="BS4823">
        <v>0.96</v>
      </c>
      <c r="BT4823">
        <v>0.95</v>
      </c>
      <c r="BU4823">
        <v>1.66</v>
      </c>
      <c r="BV4823">
        <v>1.37</v>
      </c>
      <c r="BW4823">
        <v>0.47</v>
      </c>
      <c r="BX4823">
        <v>1.1399999999999999</v>
      </c>
      <c r="BY4823">
        <v>0.25</v>
      </c>
      <c r="BZ4823">
        <v>1.18</v>
      </c>
      <c r="CA4823">
        <v>1.36</v>
      </c>
      <c r="CB4823">
        <v>1.1299999999999999</v>
      </c>
      <c r="CC4823">
        <v>1.26</v>
      </c>
      <c r="CD4823">
        <v>-1.58</v>
      </c>
      <c r="CE4823">
        <v>1</v>
      </c>
      <c r="CF4823">
        <v>0.92</v>
      </c>
      <c r="CG4823">
        <v>0</v>
      </c>
      <c r="CH4823">
        <v>0.03</v>
      </c>
      <c r="CI4823">
        <v>0</v>
      </c>
      <c r="CJ4823">
        <v>-0.1</v>
      </c>
      <c r="CK4823">
        <v>61</v>
      </c>
      <c r="CL4823">
        <v>-0.47</v>
      </c>
      <c r="CM4823">
        <v>57</v>
      </c>
      <c r="CN4823">
        <v>-0.47</v>
      </c>
      <c r="CO4823">
        <v>53</v>
      </c>
      <c r="CP4823">
        <v>-4.2</v>
      </c>
      <c r="CQ4823">
        <v>60</v>
      </c>
      <c r="CR4823">
        <v>0</v>
      </c>
      <c r="CS4823">
        <v>0</v>
      </c>
      <c r="CT4823">
        <v>2.9</v>
      </c>
      <c r="CU4823">
        <v>55</v>
      </c>
      <c r="CV4823">
        <v>7.0000000000000007E-2</v>
      </c>
      <c r="CW4823">
        <v>16</v>
      </c>
      <c r="CX4823" t="s">
        <v>132</v>
      </c>
    </row>
    <row r="4824" spans="1:102" x14ac:dyDescent="0.3">
      <c r="A4824" t="str">
        <f>HYPERLINK("https://webapp.icbf.com/v2/app/bull-search/view/77856082","LAB")</f>
        <v>LAB</v>
      </c>
      <c r="B4824" t="s">
        <v>3650</v>
      </c>
      <c r="C4824" t="s">
        <v>3651</v>
      </c>
      <c r="D4824" s="1">
        <v>33228</v>
      </c>
      <c r="E4824" t="s">
        <v>92</v>
      </c>
      <c r="F4824">
        <v>100</v>
      </c>
      <c r="G4824" t="s">
        <v>93</v>
      </c>
      <c r="H4824">
        <v>-191.18</v>
      </c>
      <c r="I4824">
        <v>84</v>
      </c>
      <c r="J4824">
        <v>-15.92</v>
      </c>
      <c r="K4824">
        <v>95</v>
      </c>
      <c r="L4824">
        <v>-160.19</v>
      </c>
      <c r="M4824">
        <v>87</v>
      </c>
      <c r="N4824">
        <v>-2.97</v>
      </c>
      <c r="O4824">
        <v>69</v>
      </c>
      <c r="P4824">
        <v>-3.12</v>
      </c>
      <c r="Q4824">
        <v>76</v>
      </c>
      <c r="R4824">
        <v>-12.26</v>
      </c>
      <c r="S4824">
        <v>77</v>
      </c>
      <c r="T4824">
        <v>3.17</v>
      </c>
      <c r="U4824">
        <v>72</v>
      </c>
      <c r="V4824">
        <v>0.11</v>
      </c>
      <c r="W4824">
        <v>61</v>
      </c>
      <c r="X4824" t="s">
        <v>94</v>
      </c>
      <c r="Y4824" t="s">
        <v>95</v>
      </c>
      <c r="Z4824" t="s">
        <v>96</v>
      </c>
      <c r="AA4824" t="s">
        <v>161</v>
      </c>
      <c r="AB4824" t="s">
        <v>3652</v>
      </c>
      <c r="AC4824">
        <v>59</v>
      </c>
      <c r="AD4824">
        <v>33</v>
      </c>
      <c r="AE4824">
        <v>95</v>
      </c>
      <c r="AF4824">
        <v>143.78</v>
      </c>
      <c r="AG4824">
        <v>-2.82</v>
      </c>
      <c r="AH4824">
        <v>0.49</v>
      </c>
      <c r="AI4824">
        <v>-0.14000000000000001</v>
      </c>
      <c r="AJ4824">
        <v>-0.08</v>
      </c>
      <c r="AK4824">
        <v>87</v>
      </c>
      <c r="AL4824">
        <v>51</v>
      </c>
      <c r="AM4824">
        <v>31</v>
      </c>
      <c r="AN4824">
        <v>9.1199999999999992</v>
      </c>
      <c r="AO4824">
        <v>-3.65</v>
      </c>
      <c r="AP4824">
        <v>6</v>
      </c>
      <c r="AQ4824">
        <v>1</v>
      </c>
      <c r="AR4824">
        <v>8.18</v>
      </c>
      <c r="AS4824">
        <v>57</v>
      </c>
      <c r="AT4824">
        <v>3.91</v>
      </c>
      <c r="AU4824">
        <v>87</v>
      </c>
      <c r="AV4824">
        <v>-0.77</v>
      </c>
      <c r="AW4824">
        <v>64</v>
      </c>
      <c r="AX4824">
        <v>-0.26</v>
      </c>
      <c r="AY4824">
        <v>72</v>
      </c>
      <c r="AZ4824">
        <v>7.14</v>
      </c>
      <c r="BA4824">
        <v>50</v>
      </c>
      <c r="BB4824">
        <v>4.9400000000000004</v>
      </c>
      <c r="BC4824">
        <v>58</v>
      </c>
      <c r="BD4824">
        <v>0.06</v>
      </c>
      <c r="BE4824">
        <v>0.08</v>
      </c>
      <c r="BF4824">
        <v>0.03</v>
      </c>
      <c r="BG4824">
        <v>90</v>
      </c>
      <c r="BH4824">
        <v>-0.09</v>
      </c>
      <c r="BI4824">
        <v>-10.78</v>
      </c>
      <c r="BJ4824">
        <v>2</v>
      </c>
      <c r="BK4824">
        <v>2</v>
      </c>
      <c r="BL4824">
        <v>-0.09</v>
      </c>
      <c r="BM4824">
        <v>-1.5</v>
      </c>
      <c r="BN4824">
        <v>-0.78</v>
      </c>
      <c r="BO4824">
        <v>0.92</v>
      </c>
      <c r="BP4824">
        <v>0.13</v>
      </c>
      <c r="BQ4824">
        <v>0.47</v>
      </c>
      <c r="BR4824">
        <v>1.79</v>
      </c>
      <c r="BS4824">
        <v>-2.08</v>
      </c>
      <c r="BT4824">
        <v>-0.68</v>
      </c>
      <c r="BU4824">
        <v>-1.5</v>
      </c>
      <c r="BV4824">
        <v>0.39</v>
      </c>
      <c r="BW4824">
        <v>-0.01</v>
      </c>
      <c r="BX4824">
        <v>-0.8</v>
      </c>
      <c r="BY4824">
        <v>-1.37</v>
      </c>
      <c r="BZ4824">
        <v>2.0299999999999998</v>
      </c>
      <c r="CA4824">
        <v>-1.23</v>
      </c>
      <c r="CB4824">
        <v>-0.93</v>
      </c>
      <c r="CC4824">
        <v>-1.05</v>
      </c>
      <c r="CD4824">
        <v>-1.1599999999999999</v>
      </c>
      <c r="CE4824">
        <v>0.71</v>
      </c>
      <c r="CF4824">
        <v>-0.05</v>
      </c>
      <c r="CG4824">
        <v>0</v>
      </c>
      <c r="CH4824">
        <v>-1.63</v>
      </c>
      <c r="CI4824">
        <v>0</v>
      </c>
      <c r="CJ4824">
        <v>-0.7</v>
      </c>
      <c r="CK4824">
        <v>77</v>
      </c>
      <c r="CL4824">
        <v>-0.49</v>
      </c>
      <c r="CM4824">
        <v>74</v>
      </c>
      <c r="CN4824">
        <v>-0.3</v>
      </c>
      <c r="CO4824">
        <v>70</v>
      </c>
      <c r="CP4824">
        <v>-4.0999999999999996</v>
      </c>
      <c r="CQ4824">
        <v>82</v>
      </c>
      <c r="CR4824">
        <v>0</v>
      </c>
      <c r="CS4824">
        <v>0</v>
      </c>
      <c r="CT4824">
        <v>9.5</v>
      </c>
      <c r="CU4824">
        <v>72</v>
      </c>
      <c r="CV4824">
        <v>0.03</v>
      </c>
      <c r="CW4824">
        <v>40</v>
      </c>
      <c r="CX4824" t="s">
        <v>543</v>
      </c>
    </row>
    <row r="4825" spans="1:102" x14ac:dyDescent="0.3">
      <c r="A4825" t="str">
        <f>HYPERLINK("https://webapp.icbf.com/v2/app/bull-search/view/124414397","BIW")</f>
        <v>BIW</v>
      </c>
      <c r="B4825" t="s">
        <v>12065</v>
      </c>
      <c r="C4825" t="s">
        <v>12066</v>
      </c>
      <c r="D4825" s="1">
        <v>35163</v>
      </c>
      <c r="E4825" t="s">
        <v>92</v>
      </c>
      <c r="F4825">
        <v>100</v>
      </c>
      <c r="G4825" t="s">
        <v>93</v>
      </c>
      <c r="H4825">
        <v>-192.06</v>
      </c>
      <c r="I4825">
        <v>91</v>
      </c>
      <c r="J4825">
        <v>20.39</v>
      </c>
      <c r="K4825">
        <v>98</v>
      </c>
      <c r="L4825">
        <v>-144.75</v>
      </c>
      <c r="M4825">
        <v>89</v>
      </c>
      <c r="N4825">
        <v>-32.49</v>
      </c>
      <c r="O4825">
        <v>89</v>
      </c>
      <c r="P4825">
        <v>-9.7100000000000009</v>
      </c>
      <c r="Q4825">
        <v>94</v>
      </c>
      <c r="R4825">
        <v>-23.15</v>
      </c>
      <c r="S4825">
        <v>82</v>
      </c>
      <c r="T4825">
        <v>10.199999999999999</v>
      </c>
      <c r="U4825">
        <v>84</v>
      </c>
      <c r="V4825">
        <v>-12.55</v>
      </c>
      <c r="W4825">
        <v>75</v>
      </c>
      <c r="X4825" t="s">
        <v>94</v>
      </c>
      <c r="Y4825" t="s">
        <v>95</v>
      </c>
      <c r="Z4825" t="s">
        <v>96</v>
      </c>
      <c r="AA4825" t="s">
        <v>1106</v>
      </c>
      <c r="AB4825">
        <v>445</v>
      </c>
      <c r="AC4825">
        <v>145</v>
      </c>
      <c r="AD4825">
        <v>50</v>
      </c>
      <c r="AE4825">
        <v>98</v>
      </c>
      <c r="AF4825">
        <v>354.47</v>
      </c>
      <c r="AG4825">
        <v>6.54</v>
      </c>
      <c r="AH4825">
        <v>6.58</v>
      </c>
      <c r="AI4825">
        <v>-0.12</v>
      </c>
      <c r="AJ4825">
        <v>-0.09</v>
      </c>
      <c r="AK4825">
        <v>89</v>
      </c>
      <c r="AL4825">
        <v>131</v>
      </c>
      <c r="AM4825">
        <v>50</v>
      </c>
      <c r="AN4825">
        <v>8.17</v>
      </c>
      <c r="AO4825">
        <v>-3.37</v>
      </c>
      <c r="AP4825">
        <v>254</v>
      </c>
      <c r="AQ4825">
        <v>0</v>
      </c>
      <c r="AR4825">
        <v>12.57</v>
      </c>
      <c r="AS4825">
        <v>77</v>
      </c>
      <c r="AT4825">
        <v>5.42</v>
      </c>
      <c r="AU4825">
        <v>97</v>
      </c>
      <c r="AV4825">
        <v>-1.99</v>
      </c>
      <c r="AW4825">
        <v>96</v>
      </c>
      <c r="AX4825">
        <v>-0.21</v>
      </c>
      <c r="AY4825">
        <v>86</v>
      </c>
      <c r="AZ4825">
        <v>8.27</v>
      </c>
      <c r="BA4825">
        <v>70</v>
      </c>
      <c r="BB4825">
        <v>5.65</v>
      </c>
      <c r="BC4825">
        <v>70</v>
      </c>
      <c r="BD4825">
        <v>0.11</v>
      </c>
      <c r="BE4825">
        <v>0.11</v>
      </c>
      <c r="BF4825">
        <v>0.14000000000000001</v>
      </c>
      <c r="BG4825">
        <v>92</v>
      </c>
      <c r="BH4825">
        <v>-0.23</v>
      </c>
      <c r="BI4825">
        <v>13.87</v>
      </c>
      <c r="BJ4825">
        <v>20</v>
      </c>
      <c r="BK4825">
        <v>11</v>
      </c>
      <c r="BL4825">
        <v>1.33</v>
      </c>
      <c r="BM4825">
        <v>-1.2</v>
      </c>
      <c r="BN4825">
        <v>-0.66</v>
      </c>
      <c r="BO4825">
        <v>0.72</v>
      </c>
      <c r="BP4825">
        <v>1.83</v>
      </c>
      <c r="BQ4825">
        <v>-3.86</v>
      </c>
      <c r="BR4825">
        <v>-1.25</v>
      </c>
      <c r="BS4825">
        <v>-1.44</v>
      </c>
      <c r="BT4825">
        <v>1.75</v>
      </c>
      <c r="BU4825">
        <v>-0.73</v>
      </c>
      <c r="BV4825">
        <v>0.43</v>
      </c>
      <c r="BW4825">
        <v>0.46</v>
      </c>
      <c r="BX4825">
        <v>-0.06</v>
      </c>
      <c r="BY4825">
        <v>-0.68</v>
      </c>
      <c r="BZ4825">
        <v>0.73</v>
      </c>
      <c r="CA4825">
        <v>-0.48</v>
      </c>
      <c r="CB4825">
        <v>-0.18</v>
      </c>
      <c r="CC4825">
        <v>-0.94</v>
      </c>
      <c r="CD4825">
        <v>-0.41</v>
      </c>
      <c r="CE4825">
        <v>1.07</v>
      </c>
      <c r="CF4825">
        <v>0.37</v>
      </c>
      <c r="CG4825">
        <v>0</v>
      </c>
      <c r="CH4825">
        <v>-0.52</v>
      </c>
      <c r="CI4825">
        <v>0</v>
      </c>
      <c r="CJ4825">
        <v>-2.2999999999999998</v>
      </c>
      <c r="CK4825">
        <v>95</v>
      </c>
      <c r="CL4825">
        <v>-0.92</v>
      </c>
      <c r="CM4825">
        <v>94</v>
      </c>
      <c r="CN4825">
        <v>-0.28999999999999998</v>
      </c>
      <c r="CO4825">
        <v>93</v>
      </c>
      <c r="CP4825">
        <v>-2.9</v>
      </c>
      <c r="CQ4825">
        <v>93</v>
      </c>
      <c r="CR4825">
        <v>0</v>
      </c>
      <c r="CS4825">
        <v>0</v>
      </c>
      <c r="CT4825">
        <v>0</v>
      </c>
      <c r="CU4825">
        <v>84</v>
      </c>
      <c r="CV4825">
        <v>0.14000000000000001</v>
      </c>
      <c r="CW4825">
        <v>45</v>
      </c>
      <c r="CX4825" t="s">
        <v>10616</v>
      </c>
    </row>
    <row r="4826" spans="1:102" x14ac:dyDescent="0.3">
      <c r="A4826" t="str">
        <f>HYPERLINK("https://webapp.icbf.com/v2/app/bull-search/view/77855296","MOB")</f>
        <v>MOB</v>
      </c>
      <c r="B4826" t="s">
        <v>14793</v>
      </c>
      <c r="C4826" t="s">
        <v>14794</v>
      </c>
      <c r="D4826" s="1">
        <v>31714</v>
      </c>
      <c r="E4826" t="s">
        <v>92</v>
      </c>
      <c r="F4826">
        <v>75</v>
      </c>
      <c r="G4826" t="s">
        <v>116</v>
      </c>
      <c r="H4826">
        <v>-192.31</v>
      </c>
      <c r="I4826">
        <v>55</v>
      </c>
      <c r="J4826">
        <v>-32.54</v>
      </c>
      <c r="K4826">
        <v>54</v>
      </c>
      <c r="L4826">
        <v>8.6199999999999992</v>
      </c>
      <c r="M4826">
        <v>58</v>
      </c>
      <c r="N4826">
        <v>-171.51</v>
      </c>
      <c r="O4826">
        <v>51</v>
      </c>
      <c r="P4826">
        <v>4.84</v>
      </c>
      <c r="Q4826">
        <v>70</v>
      </c>
      <c r="R4826">
        <v>-10.53</v>
      </c>
      <c r="S4826">
        <v>53</v>
      </c>
      <c r="T4826">
        <v>14.12</v>
      </c>
      <c r="U4826">
        <v>52</v>
      </c>
      <c r="V4826">
        <v>-5.31</v>
      </c>
      <c r="W4826">
        <v>16</v>
      </c>
      <c r="X4826" t="s">
        <v>94</v>
      </c>
      <c r="Y4826" t="s">
        <v>95</v>
      </c>
      <c r="Z4826" t="s">
        <v>96</v>
      </c>
      <c r="AA4826" t="s">
        <v>4347</v>
      </c>
      <c r="AB4826" t="s">
        <v>14795</v>
      </c>
      <c r="AC4826">
        <v>9</v>
      </c>
      <c r="AD4826">
        <v>9</v>
      </c>
      <c r="AE4826">
        <v>54</v>
      </c>
      <c r="AF4826">
        <v>20.57</v>
      </c>
      <c r="AG4826">
        <v>-3.22</v>
      </c>
      <c r="AH4826">
        <v>-4.08</v>
      </c>
      <c r="AI4826">
        <v>-7.0000000000000007E-2</v>
      </c>
      <c r="AJ4826">
        <v>-0.08</v>
      </c>
      <c r="AK4826">
        <v>58</v>
      </c>
      <c r="AL4826">
        <v>76</v>
      </c>
      <c r="AM4826">
        <v>48</v>
      </c>
      <c r="AN4826">
        <v>-0.3</v>
      </c>
      <c r="AO4826">
        <v>0.39</v>
      </c>
      <c r="AP4826">
        <v>88</v>
      </c>
      <c r="AQ4826">
        <v>0</v>
      </c>
      <c r="AR4826">
        <v>24.38</v>
      </c>
      <c r="AS4826">
        <v>43</v>
      </c>
      <c r="AT4826">
        <v>8.98</v>
      </c>
      <c r="AU4826">
        <v>65</v>
      </c>
      <c r="AV4826">
        <v>0.35</v>
      </c>
      <c r="AW4826">
        <v>48</v>
      </c>
      <c r="AX4826">
        <v>-0.84</v>
      </c>
      <c r="AY4826">
        <v>75</v>
      </c>
      <c r="AZ4826">
        <v>5.82</v>
      </c>
      <c r="BA4826">
        <v>22</v>
      </c>
      <c r="BB4826">
        <v>4.8600000000000003</v>
      </c>
      <c r="BC4826">
        <v>26</v>
      </c>
      <c r="BD4826">
        <v>0.03</v>
      </c>
      <c r="BE4826">
        <v>0.08</v>
      </c>
      <c r="BF4826">
        <v>0.04</v>
      </c>
      <c r="BG4826">
        <v>75</v>
      </c>
      <c r="BH4826">
        <v>0.04</v>
      </c>
      <c r="BI4826">
        <v>21.77</v>
      </c>
      <c r="BJ4826">
        <v>11</v>
      </c>
      <c r="BK4826">
        <v>11</v>
      </c>
      <c r="BL4826">
        <v>-0.73</v>
      </c>
      <c r="BM4826">
        <v>2.0699999999999998</v>
      </c>
      <c r="BN4826">
        <v>-0.17</v>
      </c>
      <c r="BO4826">
        <v>-1.78</v>
      </c>
      <c r="BP4826">
        <v>0.53</v>
      </c>
      <c r="BQ4826">
        <v>1.07</v>
      </c>
      <c r="BR4826">
        <v>-0.39</v>
      </c>
      <c r="BS4826">
        <v>0.34</v>
      </c>
      <c r="BT4826">
        <v>-0.32</v>
      </c>
      <c r="BU4826">
        <v>-0.93</v>
      </c>
      <c r="BV4826">
        <v>-1.78</v>
      </c>
      <c r="BW4826">
        <v>-1.39</v>
      </c>
      <c r="BX4826">
        <v>-1.1399999999999999</v>
      </c>
      <c r="BY4826">
        <v>-0.11</v>
      </c>
      <c r="BZ4826">
        <v>1.01</v>
      </c>
      <c r="CA4826">
        <v>-1.17</v>
      </c>
      <c r="CB4826">
        <v>-1.39</v>
      </c>
      <c r="CC4826">
        <v>-0.24</v>
      </c>
      <c r="CD4826">
        <v>1.84</v>
      </c>
      <c r="CE4826">
        <v>-1.52</v>
      </c>
      <c r="CF4826">
        <v>-0.77</v>
      </c>
      <c r="CG4826">
        <v>0</v>
      </c>
      <c r="CH4826">
        <v>-2.4700000000000002</v>
      </c>
      <c r="CI4826">
        <v>0</v>
      </c>
      <c r="CJ4826">
        <v>2.2000000000000002</v>
      </c>
      <c r="CK4826">
        <v>73</v>
      </c>
      <c r="CL4826">
        <v>0.09</v>
      </c>
      <c r="CM4826">
        <v>70</v>
      </c>
      <c r="CN4826">
        <v>-0.13</v>
      </c>
      <c r="CO4826">
        <v>66</v>
      </c>
      <c r="CP4826">
        <v>-4.3</v>
      </c>
      <c r="CQ4826">
        <v>58</v>
      </c>
      <c r="CR4826">
        <v>0</v>
      </c>
      <c r="CS4826">
        <v>0</v>
      </c>
      <c r="CT4826">
        <v>-5.3</v>
      </c>
      <c r="CU4826">
        <v>52</v>
      </c>
      <c r="CV4826">
        <v>0</v>
      </c>
      <c r="CW4826">
        <v>20</v>
      </c>
      <c r="CX4826" t="s">
        <v>8571</v>
      </c>
    </row>
    <row r="4827" spans="1:102" x14ac:dyDescent="0.3">
      <c r="A4827" t="str">
        <f>HYPERLINK("https://webapp.icbf.com/v2/app/bull-search/view/474732737","PNV")</f>
        <v>PNV</v>
      </c>
      <c r="B4827" t="s">
        <v>8892</v>
      </c>
      <c r="C4827" t="s">
        <v>8893</v>
      </c>
      <c r="D4827" s="1">
        <v>37001</v>
      </c>
      <c r="E4827" t="s">
        <v>92</v>
      </c>
      <c r="F4827">
        <v>100</v>
      </c>
      <c r="G4827" t="s">
        <v>109</v>
      </c>
      <c r="H4827">
        <v>-192.34</v>
      </c>
      <c r="I4827">
        <v>86</v>
      </c>
      <c r="J4827">
        <v>-3.18</v>
      </c>
      <c r="K4827">
        <v>95</v>
      </c>
      <c r="L4827">
        <v>-178.16</v>
      </c>
      <c r="M4827">
        <v>88</v>
      </c>
      <c r="N4827">
        <v>-16.809999999999999</v>
      </c>
      <c r="O4827">
        <v>76</v>
      </c>
      <c r="P4827">
        <v>-8.33</v>
      </c>
      <c r="Q4827">
        <v>76</v>
      </c>
      <c r="R4827">
        <v>-8.9600000000000009</v>
      </c>
      <c r="S4827">
        <v>79</v>
      </c>
      <c r="T4827">
        <v>18.93</v>
      </c>
      <c r="U4827">
        <v>71</v>
      </c>
      <c r="V4827">
        <v>4.17</v>
      </c>
      <c r="W4827">
        <v>69</v>
      </c>
      <c r="X4827" t="s">
        <v>288</v>
      </c>
      <c r="Y4827" t="s">
        <v>1208</v>
      </c>
      <c r="Z4827" t="s">
        <v>96</v>
      </c>
      <c r="AA4827" t="s">
        <v>4549</v>
      </c>
      <c r="AB4827" t="s">
        <v>8894</v>
      </c>
      <c r="AC4827">
        <v>40</v>
      </c>
      <c r="AD4827">
        <v>21</v>
      </c>
      <c r="AE4827">
        <v>95</v>
      </c>
      <c r="AF4827">
        <v>498.59</v>
      </c>
      <c r="AG4827">
        <v>3.17</v>
      </c>
      <c r="AH4827">
        <v>5.97</v>
      </c>
      <c r="AI4827">
        <v>-0.26</v>
      </c>
      <c r="AJ4827">
        <v>-0.18</v>
      </c>
      <c r="AK4827">
        <v>88</v>
      </c>
      <c r="AL4827">
        <v>42</v>
      </c>
      <c r="AM4827">
        <v>23</v>
      </c>
      <c r="AN4827">
        <v>10.34</v>
      </c>
      <c r="AO4827">
        <v>-3.86</v>
      </c>
      <c r="AP4827">
        <v>85</v>
      </c>
      <c r="AQ4827">
        <v>0</v>
      </c>
      <c r="AR4827">
        <v>10.55</v>
      </c>
      <c r="AS4827">
        <v>64</v>
      </c>
      <c r="AT4827">
        <v>4.82</v>
      </c>
      <c r="AU4827">
        <v>91</v>
      </c>
      <c r="AV4827">
        <v>-1.1000000000000001</v>
      </c>
      <c r="AW4827">
        <v>80</v>
      </c>
      <c r="AX4827">
        <v>-0.84</v>
      </c>
      <c r="AY4827">
        <v>67</v>
      </c>
      <c r="AZ4827">
        <v>6.82</v>
      </c>
      <c r="BA4827">
        <v>54</v>
      </c>
      <c r="BB4827">
        <v>5.03</v>
      </c>
      <c r="BC4827">
        <v>53</v>
      </c>
      <c r="BD4827">
        <v>0</v>
      </c>
      <c r="BE4827">
        <v>0.04</v>
      </c>
      <c r="BF4827">
        <v>0.13</v>
      </c>
      <c r="BG4827">
        <v>92</v>
      </c>
      <c r="BH4827">
        <v>0.06</v>
      </c>
      <c r="BI4827">
        <v>-6.52</v>
      </c>
      <c r="BJ4827">
        <v>26</v>
      </c>
      <c r="BK4827">
        <v>12</v>
      </c>
      <c r="BL4827">
        <v>0.75</v>
      </c>
      <c r="BM4827">
        <v>1.08</v>
      </c>
      <c r="BN4827">
        <v>1.49</v>
      </c>
      <c r="BO4827">
        <v>0.72</v>
      </c>
      <c r="BP4827">
        <v>-0.19</v>
      </c>
      <c r="BQ4827">
        <v>0.38</v>
      </c>
      <c r="BR4827">
        <v>-1.1100000000000001</v>
      </c>
      <c r="BS4827">
        <v>-1.06</v>
      </c>
      <c r="BT4827">
        <v>1.5</v>
      </c>
      <c r="BU4827">
        <v>1.95</v>
      </c>
      <c r="BV4827">
        <v>1.79</v>
      </c>
      <c r="BW4827">
        <v>-0.13</v>
      </c>
      <c r="BX4827">
        <v>0.6</v>
      </c>
      <c r="BY4827">
        <v>0.12</v>
      </c>
      <c r="BZ4827">
        <v>2.21</v>
      </c>
      <c r="CA4827">
        <v>0.79</v>
      </c>
      <c r="CB4827">
        <v>1.02</v>
      </c>
      <c r="CC4827">
        <v>0.17</v>
      </c>
      <c r="CD4827">
        <v>0.02</v>
      </c>
      <c r="CE4827">
        <v>0.98</v>
      </c>
      <c r="CF4827">
        <v>0.15</v>
      </c>
      <c r="CG4827">
        <v>0</v>
      </c>
      <c r="CH4827">
        <v>0.11</v>
      </c>
      <c r="CI4827">
        <v>0</v>
      </c>
      <c r="CJ4827">
        <v>-1.2</v>
      </c>
      <c r="CK4827">
        <v>77</v>
      </c>
      <c r="CL4827">
        <v>-0.95</v>
      </c>
      <c r="CM4827">
        <v>74</v>
      </c>
      <c r="CN4827">
        <v>-0.37</v>
      </c>
      <c r="CO4827">
        <v>70</v>
      </c>
      <c r="CP4827">
        <v>-8</v>
      </c>
      <c r="CQ4827">
        <v>81</v>
      </c>
      <c r="CR4827">
        <v>0</v>
      </c>
      <c r="CS4827">
        <v>0</v>
      </c>
      <c r="CT4827">
        <v>-11.8</v>
      </c>
      <c r="CU4827">
        <v>71</v>
      </c>
      <c r="CV4827">
        <v>0.23</v>
      </c>
      <c r="CW4827">
        <v>41</v>
      </c>
      <c r="CX4827" t="s">
        <v>596</v>
      </c>
    </row>
    <row r="4828" spans="1:102" x14ac:dyDescent="0.3">
      <c r="A4828" t="str">
        <f>HYPERLINK("https://webapp.icbf.com/v2/app/bull-search/view/77859898","BPR")</f>
        <v>BPR</v>
      </c>
      <c r="B4828" t="s">
        <v>14158</v>
      </c>
      <c r="C4828" t="s">
        <v>14159</v>
      </c>
      <c r="D4828" s="1">
        <v>34281</v>
      </c>
      <c r="E4828" t="s">
        <v>92</v>
      </c>
      <c r="F4828">
        <v>100</v>
      </c>
      <c r="G4828" t="s">
        <v>93</v>
      </c>
      <c r="H4828">
        <v>-192.73</v>
      </c>
      <c r="I4828">
        <v>62</v>
      </c>
      <c r="J4828">
        <v>-29.97</v>
      </c>
      <c r="K4828">
        <v>83</v>
      </c>
      <c r="L4828">
        <v>-164.23</v>
      </c>
      <c r="M4828">
        <v>53</v>
      </c>
      <c r="N4828">
        <v>3.07</v>
      </c>
      <c r="O4828">
        <v>44</v>
      </c>
      <c r="P4828">
        <v>-2.0699999999999998</v>
      </c>
      <c r="Q4828">
        <v>55</v>
      </c>
      <c r="R4828">
        <v>-10.86</v>
      </c>
      <c r="S4828">
        <v>58</v>
      </c>
      <c r="T4828">
        <v>9.31</v>
      </c>
      <c r="U4828">
        <v>62</v>
      </c>
      <c r="V4828">
        <v>2.02</v>
      </c>
      <c r="W4828">
        <v>28</v>
      </c>
      <c r="X4828" t="s">
        <v>94</v>
      </c>
      <c r="Y4828" t="s">
        <v>95</v>
      </c>
      <c r="Z4828" t="s">
        <v>96</v>
      </c>
      <c r="AA4828" t="s">
        <v>485</v>
      </c>
      <c r="AB4828" t="s">
        <v>14160</v>
      </c>
      <c r="AC4828">
        <v>27</v>
      </c>
      <c r="AD4828">
        <v>27</v>
      </c>
      <c r="AE4828">
        <v>83</v>
      </c>
      <c r="AF4828">
        <v>8.16</v>
      </c>
      <c r="AG4828">
        <v>-2.21</v>
      </c>
      <c r="AH4828">
        <v>-4.1900000000000004</v>
      </c>
      <c r="AI4828">
        <v>-0.04</v>
      </c>
      <c r="AJ4828">
        <v>-7.0000000000000007E-2</v>
      </c>
      <c r="AK4828">
        <v>53</v>
      </c>
      <c r="AL4828">
        <v>34</v>
      </c>
      <c r="AM4828">
        <v>32</v>
      </c>
      <c r="AN4828">
        <v>8.6999999999999993</v>
      </c>
      <c r="AO4828">
        <v>-4.4000000000000004</v>
      </c>
      <c r="AP4828">
        <v>1</v>
      </c>
      <c r="AQ4828">
        <v>0</v>
      </c>
      <c r="AR4828">
        <v>9.11</v>
      </c>
      <c r="AS4828">
        <v>32</v>
      </c>
      <c r="AT4828">
        <v>4.0999999999999996</v>
      </c>
      <c r="AU4828">
        <v>42</v>
      </c>
      <c r="AV4828">
        <v>-1.71</v>
      </c>
      <c r="AW4828">
        <v>47</v>
      </c>
      <c r="AX4828">
        <v>-0.55000000000000004</v>
      </c>
      <c r="AY4828">
        <v>56</v>
      </c>
      <c r="AZ4828">
        <v>5.95</v>
      </c>
      <c r="BA4828">
        <v>32</v>
      </c>
      <c r="BB4828">
        <v>4.76</v>
      </c>
      <c r="BC4828">
        <v>37</v>
      </c>
      <c r="BD4828">
        <v>0.04</v>
      </c>
      <c r="BE4828">
        <v>7.0000000000000007E-2</v>
      </c>
      <c r="BF4828">
        <v>0.05</v>
      </c>
      <c r="BG4828">
        <v>72</v>
      </c>
      <c r="BH4828">
        <v>0.09</v>
      </c>
      <c r="BI4828">
        <v>3.91</v>
      </c>
      <c r="BJ4828">
        <v>15</v>
      </c>
      <c r="BK4828">
        <v>15</v>
      </c>
      <c r="BL4828">
        <v>-0.39</v>
      </c>
      <c r="BM4828">
        <v>-0.14000000000000001</v>
      </c>
      <c r="BN4828">
        <v>0.15</v>
      </c>
      <c r="BO4828">
        <v>0.12</v>
      </c>
      <c r="BP4828">
        <v>-1.1000000000000001</v>
      </c>
      <c r="BQ4828">
        <v>-0.25</v>
      </c>
      <c r="BR4828">
        <v>0.89</v>
      </c>
      <c r="BS4828">
        <v>-0.77</v>
      </c>
      <c r="BT4828">
        <v>-0.88</v>
      </c>
      <c r="BU4828">
        <v>-0.04</v>
      </c>
      <c r="BV4828">
        <v>0.04</v>
      </c>
      <c r="BW4828">
        <v>-0.12</v>
      </c>
      <c r="BX4828">
        <v>-1.05</v>
      </c>
      <c r="BY4828">
        <v>0.51</v>
      </c>
      <c r="BZ4828">
        <v>-0.74</v>
      </c>
      <c r="CA4828">
        <v>0</v>
      </c>
      <c r="CB4828">
        <v>0.39</v>
      </c>
      <c r="CC4828">
        <v>-0.28999999999999998</v>
      </c>
      <c r="CD4828">
        <v>0</v>
      </c>
      <c r="CE4828">
        <v>0.33</v>
      </c>
      <c r="CF4828">
        <v>-0.72</v>
      </c>
      <c r="CG4828">
        <v>0</v>
      </c>
      <c r="CH4828">
        <v>0.65</v>
      </c>
      <c r="CI4828">
        <v>0</v>
      </c>
      <c r="CJ4828">
        <v>0.7</v>
      </c>
      <c r="CK4828">
        <v>56</v>
      </c>
      <c r="CL4828">
        <v>-0.59</v>
      </c>
      <c r="CM4828">
        <v>52</v>
      </c>
      <c r="CN4828">
        <v>-0.34</v>
      </c>
      <c r="CO4828">
        <v>48</v>
      </c>
      <c r="CP4828">
        <v>-6.2</v>
      </c>
      <c r="CQ4828">
        <v>64</v>
      </c>
      <c r="CR4828">
        <v>0</v>
      </c>
      <c r="CS4828">
        <v>0</v>
      </c>
      <c r="CT4828">
        <v>1.2</v>
      </c>
      <c r="CU4828">
        <v>62</v>
      </c>
      <c r="CV4828">
        <v>0.2</v>
      </c>
      <c r="CW4828">
        <v>16</v>
      </c>
      <c r="CX4828" t="s">
        <v>111</v>
      </c>
    </row>
    <row r="4829" spans="1:102" x14ac:dyDescent="0.3">
      <c r="A4829" t="str">
        <f>HYPERLINK("https://webapp.icbf.com/v2/app/bull-search/view/360148659","BJY")</f>
        <v>BJY</v>
      </c>
      <c r="B4829" t="s">
        <v>8681</v>
      </c>
      <c r="C4829" t="s">
        <v>8682</v>
      </c>
      <c r="D4829" s="1">
        <v>37022</v>
      </c>
      <c r="E4829" t="s">
        <v>92</v>
      </c>
      <c r="F4829">
        <v>100</v>
      </c>
      <c r="G4829" t="s">
        <v>93</v>
      </c>
      <c r="H4829">
        <v>-193.18</v>
      </c>
      <c r="I4829">
        <v>85</v>
      </c>
      <c r="J4829">
        <v>-8.5500000000000007</v>
      </c>
      <c r="K4829">
        <v>92</v>
      </c>
      <c r="L4829">
        <v>-173</v>
      </c>
      <c r="M4829">
        <v>82</v>
      </c>
      <c r="N4829">
        <v>2.83</v>
      </c>
      <c r="O4829">
        <v>80</v>
      </c>
      <c r="P4829">
        <v>-13.31</v>
      </c>
      <c r="Q4829">
        <v>92</v>
      </c>
      <c r="R4829">
        <v>-2.96</v>
      </c>
      <c r="S4829">
        <v>69</v>
      </c>
      <c r="T4829">
        <v>4.21</v>
      </c>
      <c r="U4829">
        <v>85</v>
      </c>
      <c r="V4829">
        <v>-2.4</v>
      </c>
      <c r="W4829">
        <v>62</v>
      </c>
      <c r="X4829" t="s">
        <v>747</v>
      </c>
      <c r="Y4829" t="s">
        <v>95</v>
      </c>
      <c r="Z4829" t="s">
        <v>96</v>
      </c>
      <c r="AA4829" t="s">
        <v>1015</v>
      </c>
      <c r="AB4829" t="s">
        <v>4361</v>
      </c>
      <c r="AC4829">
        <v>54</v>
      </c>
      <c r="AD4829">
        <v>40</v>
      </c>
      <c r="AE4829">
        <v>92</v>
      </c>
      <c r="AF4829">
        <v>216.93</v>
      </c>
      <c r="AG4829">
        <v>1.32</v>
      </c>
      <c r="AH4829">
        <v>1.4</v>
      </c>
      <c r="AI4829">
        <v>-0.11</v>
      </c>
      <c r="AJ4829">
        <v>-0.1</v>
      </c>
      <c r="AK4829">
        <v>82</v>
      </c>
      <c r="AL4829">
        <v>87</v>
      </c>
      <c r="AM4829">
        <v>58</v>
      </c>
      <c r="AN4829">
        <v>9.17</v>
      </c>
      <c r="AO4829">
        <v>-4.63</v>
      </c>
      <c r="AP4829">
        <v>135</v>
      </c>
      <c r="AQ4829">
        <v>1</v>
      </c>
      <c r="AR4829">
        <v>7.57</v>
      </c>
      <c r="AS4829">
        <v>68</v>
      </c>
      <c r="AT4829">
        <v>4.88</v>
      </c>
      <c r="AU4829">
        <v>81</v>
      </c>
      <c r="AV4829">
        <v>-2.09</v>
      </c>
      <c r="AW4829">
        <v>94</v>
      </c>
      <c r="AX4829">
        <v>0.4</v>
      </c>
      <c r="AY4829">
        <v>80</v>
      </c>
      <c r="AZ4829">
        <v>5.23</v>
      </c>
      <c r="BA4829">
        <v>48</v>
      </c>
      <c r="BB4829">
        <v>4.37</v>
      </c>
      <c r="BC4829">
        <v>52</v>
      </c>
      <c r="BD4829">
        <v>0.03</v>
      </c>
      <c r="BE4829">
        <v>0.02</v>
      </c>
      <c r="BF4829">
        <v>-0.02</v>
      </c>
      <c r="BG4829">
        <v>81</v>
      </c>
      <c r="BH4829">
        <v>-7.0000000000000007E-2</v>
      </c>
      <c r="BI4829">
        <v>-0.34</v>
      </c>
      <c r="BJ4829">
        <v>15</v>
      </c>
      <c r="BK4829">
        <v>6</v>
      </c>
      <c r="BL4829">
        <v>1.08</v>
      </c>
      <c r="BM4829">
        <v>1.62</v>
      </c>
      <c r="BN4829">
        <v>2.4900000000000002</v>
      </c>
      <c r="BO4829">
        <v>0.92</v>
      </c>
      <c r="BP4829">
        <v>-3.48</v>
      </c>
      <c r="BQ4829">
        <v>2.44</v>
      </c>
      <c r="BR4829">
        <v>0.39</v>
      </c>
      <c r="BS4829">
        <v>-0.68</v>
      </c>
      <c r="BT4829">
        <v>-0.7</v>
      </c>
      <c r="BU4829">
        <v>1.47</v>
      </c>
      <c r="BV4829">
        <v>1.33</v>
      </c>
      <c r="BW4829">
        <v>1.95</v>
      </c>
      <c r="BX4829">
        <v>0.72</v>
      </c>
      <c r="BY4829">
        <v>0.1</v>
      </c>
      <c r="BZ4829">
        <v>1.72</v>
      </c>
      <c r="CA4829">
        <v>0.86</v>
      </c>
      <c r="CB4829">
        <v>1.1599999999999999</v>
      </c>
      <c r="CC4829">
        <v>0.17</v>
      </c>
      <c r="CD4829">
        <v>0.31</v>
      </c>
      <c r="CE4829">
        <v>0.39</v>
      </c>
      <c r="CF4829">
        <v>1.38</v>
      </c>
      <c r="CG4829">
        <v>0</v>
      </c>
      <c r="CH4829">
        <v>0.76</v>
      </c>
      <c r="CI4829">
        <v>0</v>
      </c>
      <c r="CJ4829">
        <v>-5.3</v>
      </c>
      <c r="CK4829">
        <v>93</v>
      </c>
      <c r="CL4829">
        <v>-0.79</v>
      </c>
      <c r="CM4829">
        <v>92</v>
      </c>
      <c r="CN4829">
        <v>-0.26</v>
      </c>
      <c r="CO4829">
        <v>90</v>
      </c>
      <c r="CP4829">
        <v>-5.9</v>
      </c>
      <c r="CQ4829">
        <v>88</v>
      </c>
      <c r="CR4829">
        <v>0</v>
      </c>
      <c r="CS4829">
        <v>0</v>
      </c>
      <c r="CT4829">
        <v>8.1</v>
      </c>
      <c r="CU4829">
        <v>85</v>
      </c>
      <c r="CV4829">
        <v>0.15</v>
      </c>
      <c r="CW4829">
        <v>27</v>
      </c>
      <c r="CX4829" t="s">
        <v>1068</v>
      </c>
    </row>
    <row r="4830" spans="1:102" x14ac:dyDescent="0.3">
      <c r="A4830" t="str">
        <f>HYPERLINK("https://webapp.icbf.com/v2/app/bull-search/view/77854696","PCD")</f>
        <v>PCD</v>
      </c>
      <c r="B4830" t="s">
        <v>7719</v>
      </c>
      <c r="C4830" t="s">
        <v>7720</v>
      </c>
      <c r="D4830" s="1">
        <v>34256</v>
      </c>
      <c r="E4830" t="s">
        <v>92</v>
      </c>
      <c r="F4830">
        <v>100</v>
      </c>
      <c r="G4830" t="s">
        <v>109</v>
      </c>
      <c r="H4830">
        <v>-193.33</v>
      </c>
      <c r="I4830">
        <v>73</v>
      </c>
      <c r="J4830">
        <v>-11.68</v>
      </c>
      <c r="K4830">
        <v>83</v>
      </c>
      <c r="L4830">
        <v>-143.55000000000001</v>
      </c>
      <c r="M4830">
        <v>80</v>
      </c>
      <c r="N4830">
        <v>-32.450000000000003</v>
      </c>
      <c r="O4830">
        <v>52</v>
      </c>
      <c r="P4830">
        <v>-0.05</v>
      </c>
      <c r="Q4830">
        <v>71</v>
      </c>
      <c r="R4830">
        <v>-6.41</v>
      </c>
      <c r="S4830">
        <v>65</v>
      </c>
      <c r="T4830">
        <v>-2.16</v>
      </c>
      <c r="U4830">
        <v>60</v>
      </c>
      <c r="V4830">
        <v>2.97</v>
      </c>
      <c r="W4830">
        <v>17</v>
      </c>
      <c r="X4830" t="s">
        <v>251</v>
      </c>
      <c r="Y4830" t="s">
        <v>95</v>
      </c>
      <c r="Z4830" t="s">
        <v>96</v>
      </c>
      <c r="AA4830" t="s">
        <v>7721</v>
      </c>
      <c r="AB4830" t="s">
        <v>7722</v>
      </c>
      <c r="AC4830">
        <v>0</v>
      </c>
      <c r="AD4830">
        <v>0</v>
      </c>
      <c r="AE4830">
        <v>83</v>
      </c>
      <c r="AF4830">
        <v>397.81</v>
      </c>
      <c r="AG4830">
        <v>-1.83</v>
      </c>
      <c r="AH4830">
        <v>4.75</v>
      </c>
      <c r="AI4830">
        <v>-0.27</v>
      </c>
      <c r="AJ4830">
        <v>-0.14000000000000001</v>
      </c>
      <c r="AK4830">
        <v>80</v>
      </c>
      <c r="AL4830">
        <v>0</v>
      </c>
      <c r="AM4830">
        <v>0</v>
      </c>
      <c r="AN4830">
        <v>7.67</v>
      </c>
      <c r="AO4830">
        <v>-3.78</v>
      </c>
      <c r="AP4830">
        <v>1</v>
      </c>
      <c r="AQ4830">
        <v>1</v>
      </c>
      <c r="AR4830">
        <v>12.15</v>
      </c>
      <c r="AS4830">
        <v>30</v>
      </c>
      <c r="AT4830">
        <v>5.41</v>
      </c>
      <c r="AU4830">
        <v>85</v>
      </c>
      <c r="AV4830">
        <v>-0.71</v>
      </c>
      <c r="AW4830">
        <v>40</v>
      </c>
      <c r="AX4830">
        <v>0.56000000000000005</v>
      </c>
      <c r="AY4830">
        <v>58</v>
      </c>
      <c r="AZ4830">
        <v>5.67</v>
      </c>
      <c r="BA4830">
        <v>30</v>
      </c>
      <c r="BB4830">
        <v>4.37</v>
      </c>
      <c r="BC4830">
        <v>39</v>
      </c>
      <c r="BD4830">
        <v>0.02</v>
      </c>
      <c r="BE4830">
        <v>0.06</v>
      </c>
      <c r="BF4830">
        <v>0</v>
      </c>
      <c r="BG4830">
        <v>89</v>
      </c>
      <c r="BH4830">
        <v>0.06</v>
      </c>
      <c r="BI4830">
        <v>-2.65</v>
      </c>
      <c r="BJ4830">
        <v>1</v>
      </c>
      <c r="BK4830">
        <v>1</v>
      </c>
      <c r="BL4830">
        <v>-0.55000000000000004</v>
      </c>
      <c r="BM4830">
        <v>-1.26</v>
      </c>
      <c r="BN4830">
        <v>-0.04</v>
      </c>
      <c r="BO4830">
        <v>0.44</v>
      </c>
      <c r="BP4830">
        <v>-4.5199999999999996</v>
      </c>
      <c r="BQ4830">
        <v>-2.5099999999999998</v>
      </c>
      <c r="BR4830">
        <v>0.09</v>
      </c>
      <c r="BS4830">
        <v>0.45</v>
      </c>
      <c r="BT4830">
        <v>-0.41</v>
      </c>
      <c r="BU4830">
        <v>2.19</v>
      </c>
      <c r="BV4830">
        <v>-7.0000000000000007E-2</v>
      </c>
      <c r="BW4830">
        <v>-0.67</v>
      </c>
      <c r="BX4830">
        <v>0.41</v>
      </c>
      <c r="BY4830">
        <v>1.77</v>
      </c>
      <c r="BZ4830">
        <v>-2.23</v>
      </c>
      <c r="CA4830">
        <v>0.93</v>
      </c>
      <c r="CB4830">
        <v>1.28</v>
      </c>
      <c r="CC4830">
        <v>-0.28999999999999998</v>
      </c>
      <c r="CD4830">
        <v>-0.56999999999999995</v>
      </c>
      <c r="CE4830">
        <v>0.14000000000000001</v>
      </c>
      <c r="CF4830">
        <v>0.61</v>
      </c>
      <c r="CG4830">
        <v>0</v>
      </c>
      <c r="CH4830">
        <v>0.7</v>
      </c>
      <c r="CI4830">
        <v>0</v>
      </c>
      <c r="CJ4830">
        <v>0.1</v>
      </c>
      <c r="CK4830">
        <v>73</v>
      </c>
      <c r="CL4830">
        <v>-0.5</v>
      </c>
      <c r="CM4830">
        <v>69</v>
      </c>
      <c r="CN4830">
        <v>-0.4</v>
      </c>
      <c r="CO4830">
        <v>64</v>
      </c>
      <c r="CP4830">
        <v>1.9</v>
      </c>
      <c r="CQ4830">
        <v>76</v>
      </c>
      <c r="CR4830">
        <v>0</v>
      </c>
      <c r="CS4830">
        <v>0</v>
      </c>
      <c r="CT4830">
        <v>16.7</v>
      </c>
      <c r="CU4830">
        <v>60</v>
      </c>
      <c r="CV4830">
        <v>7.0000000000000007E-2</v>
      </c>
      <c r="CW4830">
        <v>20</v>
      </c>
      <c r="CX4830" t="s">
        <v>485</v>
      </c>
    </row>
    <row r="4831" spans="1:102" x14ac:dyDescent="0.3">
      <c r="A4831" t="str">
        <f>HYPERLINK("https://webapp.icbf.com/v2/app/bull-search/view/122808938","FCT")</f>
        <v>FCT</v>
      </c>
      <c r="B4831" t="s">
        <v>4650</v>
      </c>
      <c r="C4831" t="s">
        <v>4651</v>
      </c>
      <c r="D4831" s="1">
        <v>35526</v>
      </c>
      <c r="E4831" t="s">
        <v>92</v>
      </c>
      <c r="F4831">
        <v>100</v>
      </c>
      <c r="G4831" t="s">
        <v>93</v>
      </c>
      <c r="H4831">
        <v>-193.41</v>
      </c>
      <c r="I4831">
        <v>69</v>
      </c>
      <c r="J4831">
        <v>-3.29</v>
      </c>
      <c r="K4831">
        <v>91</v>
      </c>
      <c r="L4831">
        <v>-176.94</v>
      </c>
      <c r="M4831">
        <v>54</v>
      </c>
      <c r="N4831">
        <v>0.61</v>
      </c>
      <c r="O4831">
        <v>52</v>
      </c>
      <c r="P4831">
        <v>-8.15</v>
      </c>
      <c r="Q4831">
        <v>75</v>
      </c>
      <c r="R4831">
        <v>-12.7</v>
      </c>
      <c r="S4831">
        <v>59</v>
      </c>
      <c r="T4831">
        <v>10.35</v>
      </c>
      <c r="U4831">
        <v>84</v>
      </c>
      <c r="V4831">
        <v>-3.29</v>
      </c>
      <c r="W4831">
        <v>23</v>
      </c>
      <c r="X4831" t="s">
        <v>94</v>
      </c>
      <c r="Y4831" t="s">
        <v>95</v>
      </c>
      <c r="Z4831" t="s">
        <v>96</v>
      </c>
      <c r="AA4831" t="s">
        <v>860</v>
      </c>
      <c r="AB4831" t="s">
        <v>4652</v>
      </c>
      <c r="AC4831">
        <v>51</v>
      </c>
      <c r="AD4831">
        <v>37</v>
      </c>
      <c r="AE4831">
        <v>91</v>
      </c>
      <c r="AF4831">
        <v>215.49</v>
      </c>
      <c r="AG4831">
        <v>7.91</v>
      </c>
      <c r="AH4831">
        <v>-0.06</v>
      </c>
      <c r="AI4831">
        <v>-0.01</v>
      </c>
      <c r="AJ4831">
        <v>-0.12</v>
      </c>
      <c r="AK4831">
        <v>54</v>
      </c>
      <c r="AL4831">
        <v>51</v>
      </c>
      <c r="AM4831">
        <v>37</v>
      </c>
      <c r="AN4831">
        <v>11.26</v>
      </c>
      <c r="AO4831">
        <v>-2.83</v>
      </c>
      <c r="AP4831">
        <v>2</v>
      </c>
      <c r="AQ4831">
        <v>1</v>
      </c>
      <c r="AR4831">
        <v>9.9700000000000006</v>
      </c>
      <c r="AS4831">
        <v>35</v>
      </c>
      <c r="AT4831">
        <v>4.28</v>
      </c>
      <c r="AU4831">
        <v>49</v>
      </c>
      <c r="AV4831">
        <v>-1.76</v>
      </c>
      <c r="AW4831">
        <v>57</v>
      </c>
      <c r="AX4831">
        <v>-0.64</v>
      </c>
      <c r="AY4831">
        <v>68</v>
      </c>
      <c r="AZ4831">
        <v>5.96</v>
      </c>
      <c r="BA4831">
        <v>38</v>
      </c>
      <c r="BB4831">
        <v>4.37</v>
      </c>
      <c r="BC4831">
        <v>42</v>
      </c>
      <c r="BD4831">
        <v>0.06</v>
      </c>
      <c r="BE4831">
        <v>0.08</v>
      </c>
      <c r="BF4831">
        <v>0.04</v>
      </c>
      <c r="BG4831">
        <v>74</v>
      </c>
      <c r="BH4831">
        <v>-0.02</v>
      </c>
      <c r="BI4831">
        <v>8.3000000000000007</v>
      </c>
      <c r="BJ4831">
        <v>5</v>
      </c>
      <c r="BK4831">
        <v>4</v>
      </c>
      <c r="BL4831">
        <v>-0.1</v>
      </c>
      <c r="BM4831">
        <v>-1.1599999999999999</v>
      </c>
      <c r="BN4831">
        <v>-0.6</v>
      </c>
      <c r="BO4831">
        <v>0.25</v>
      </c>
      <c r="BP4831">
        <v>7.0000000000000007E-2</v>
      </c>
      <c r="BQ4831">
        <v>-1.25</v>
      </c>
      <c r="BR4831">
        <v>0.47</v>
      </c>
      <c r="BS4831">
        <v>-0.77</v>
      </c>
      <c r="BT4831">
        <v>-0.15</v>
      </c>
      <c r="BU4831">
        <v>-1.05</v>
      </c>
      <c r="BV4831">
        <v>-0.79</v>
      </c>
      <c r="BW4831">
        <v>-0.63</v>
      </c>
      <c r="BX4831">
        <v>-0.45</v>
      </c>
      <c r="BY4831">
        <v>-1.28</v>
      </c>
      <c r="BZ4831">
        <v>-0.59</v>
      </c>
      <c r="CA4831">
        <v>-0.92</v>
      </c>
      <c r="CB4831">
        <v>-0.98</v>
      </c>
      <c r="CC4831">
        <v>-0.45</v>
      </c>
      <c r="CD4831">
        <v>-0.7</v>
      </c>
      <c r="CE4831">
        <v>0.21</v>
      </c>
      <c r="CF4831">
        <v>-0.92</v>
      </c>
      <c r="CG4831">
        <v>0</v>
      </c>
      <c r="CH4831">
        <v>-0.16</v>
      </c>
      <c r="CI4831">
        <v>0</v>
      </c>
      <c r="CJ4831">
        <v>-5.3</v>
      </c>
      <c r="CK4831">
        <v>76</v>
      </c>
      <c r="CL4831">
        <v>-0.4</v>
      </c>
      <c r="CM4831">
        <v>72</v>
      </c>
      <c r="CN4831">
        <v>-0.38</v>
      </c>
      <c r="CO4831">
        <v>68</v>
      </c>
      <c r="CP4831">
        <v>-7.7</v>
      </c>
      <c r="CQ4831">
        <v>85</v>
      </c>
      <c r="CR4831">
        <v>0</v>
      </c>
      <c r="CS4831">
        <v>0</v>
      </c>
      <c r="CT4831">
        <v>-0.2</v>
      </c>
      <c r="CU4831">
        <v>84</v>
      </c>
      <c r="CV4831">
        <v>-0.05</v>
      </c>
      <c r="CW4831">
        <v>20</v>
      </c>
      <c r="CX4831" t="s">
        <v>531</v>
      </c>
    </row>
    <row r="4832" spans="1:102" x14ac:dyDescent="0.3">
      <c r="A4832" t="str">
        <f>HYPERLINK("https://webapp.icbf.com/v2/app/bull-search/view/77857963","FOD")</f>
        <v>FOD</v>
      </c>
      <c r="B4832" t="s">
        <v>3828</v>
      </c>
      <c r="C4832" t="s">
        <v>3829</v>
      </c>
      <c r="D4832" s="1">
        <v>33135</v>
      </c>
      <c r="E4832" t="s">
        <v>92</v>
      </c>
      <c r="F4832">
        <v>100</v>
      </c>
      <c r="G4832" t="s">
        <v>93</v>
      </c>
      <c r="H4832">
        <v>-194</v>
      </c>
      <c r="I4832">
        <v>81</v>
      </c>
      <c r="J4832">
        <v>-33.799999999999997</v>
      </c>
      <c r="K4832">
        <v>95</v>
      </c>
      <c r="L4832">
        <v>-123.75</v>
      </c>
      <c r="M4832">
        <v>80</v>
      </c>
      <c r="N4832">
        <v>-6.37</v>
      </c>
      <c r="O4832">
        <v>66</v>
      </c>
      <c r="P4832">
        <v>-12.83</v>
      </c>
      <c r="Q4832">
        <v>79</v>
      </c>
      <c r="R4832">
        <v>-25.92</v>
      </c>
      <c r="S4832">
        <v>74</v>
      </c>
      <c r="T4832">
        <v>10.57</v>
      </c>
      <c r="U4832">
        <v>77</v>
      </c>
      <c r="V4832">
        <v>-1.9</v>
      </c>
      <c r="W4832">
        <v>40</v>
      </c>
      <c r="X4832" t="s">
        <v>110</v>
      </c>
      <c r="Y4832" t="s">
        <v>95</v>
      </c>
      <c r="Z4832" t="s">
        <v>96</v>
      </c>
      <c r="AA4832" t="s">
        <v>111</v>
      </c>
      <c r="AB4832" t="s">
        <v>3754</v>
      </c>
      <c r="AC4832">
        <v>106</v>
      </c>
      <c r="AD4832">
        <v>56</v>
      </c>
      <c r="AE4832">
        <v>95</v>
      </c>
      <c r="AF4832">
        <v>120.38</v>
      </c>
      <c r="AG4832">
        <v>-3.52</v>
      </c>
      <c r="AH4832">
        <v>-2.66</v>
      </c>
      <c r="AI4832">
        <v>-0.13</v>
      </c>
      <c r="AJ4832">
        <v>-0.11</v>
      </c>
      <c r="AK4832">
        <v>80</v>
      </c>
      <c r="AL4832">
        <v>175</v>
      </c>
      <c r="AM4832">
        <v>74</v>
      </c>
      <c r="AN4832">
        <v>6.67</v>
      </c>
      <c r="AO4832">
        <v>-3.2</v>
      </c>
      <c r="AP4832">
        <v>6</v>
      </c>
      <c r="AQ4832">
        <v>0</v>
      </c>
      <c r="AR4832">
        <v>7.79</v>
      </c>
      <c r="AS4832">
        <v>48</v>
      </c>
      <c r="AT4832">
        <v>3.8</v>
      </c>
      <c r="AU4832">
        <v>64</v>
      </c>
      <c r="AV4832">
        <v>7.0000000000000007E-2</v>
      </c>
      <c r="AW4832">
        <v>72</v>
      </c>
      <c r="AX4832">
        <v>-0.5</v>
      </c>
      <c r="AY4832">
        <v>82</v>
      </c>
      <c r="AZ4832">
        <v>6.33</v>
      </c>
      <c r="BA4832">
        <v>48</v>
      </c>
      <c r="BB4832">
        <v>5.0999999999999996</v>
      </c>
      <c r="BC4832">
        <v>58</v>
      </c>
      <c r="BD4832">
        <v>0.09</v>
      </c>
      <c r="BE4832">
        <v>0.14000000000000001</v>
      </c>
      <c r="BF4832">
        <v>0.18</v>
      </c>
      <c r="BG4832">
        <v>92</v>
      </c>
      <c r="BH4832">
        <v>0</v>
      </c>
      <c r="BI4832">
        <v>6.12</v>
      </c>
      <c r="BJ4832">
        <v>22</v>
      </c>
      <c r="BK4832">
        <v>18</v>
      </c>
      <c r="BL4832">
        <v>0.95</v>
      </c>
      <c r="BM4832">
        <v>0.27</v>
      </c>
      <c r="BN4832">
        <v>3.16</v>
      </c>
      <c r="BO4832">
        <v>1.73</v>
      </c>
      <c r="BP4832">
        <v>-1.51</v>
      </c>
      <c r="BQ4832">
        <v>0.35</v>
      </c>
      <c r="BR4832">
        <v>1.82</v>
      </c>
      <c r="BS4832">
        <v>-1.1100000000000001</v>
      </c>
      <c r="BT4832">
        <v>-0.95</v>
      </c>
      <c r="BU4832">
        <v>-1.59</v>
      </c>
      <c r="BV4832">
        <v>-0.61</v>
      </c>
      <c r="BW4832">
        <v>0.08</v>
      </c>
      <c r="BX4832">
        <v>-1.89</v>
      </c>
      <c r="BY4832">
        <v>-0.86</v>
      </c>
      <c r="BZ4832">
        <v>0.45</v>
      </c>
      <c r="CA4832">
        <v>-0.79</v>
      </c>
      <c r="CB4832">
        <v>-0.94</v>
      </c>
      <c r="CC4832">
        <v>0.36</v>
      </c>
      <c r="CD4832">
        <v>-1.37</v>
      </c>
      <c r="CE4832">
        <v>1.86</v>
      </c>
      <c r="CF4832">
        <v>1.67</v>
      </c>
      <c r="CG4832">
        <v>0</v>
      </c>
      <c r="CH4832">
        <v>0.12</v>
      </c>
      <c r="CI4832">
        <v>0</v>
      </c>
      <c r="CJ4832">
        <v>-4.7</v>
      </c>
      <c r="CK4832">
        <v>80</v>
      </c>
      <c r="CL4832">
        <v>-0.98</v>
      </c>
      <c r="CM4832">
        <v>77</v>
      </c>
      <c r="CN4832">
        <v>-0.4</v>
      </c>
      <c r="CO4832">
        <v>73</v>
      </c>
      <c r="CP4832">
        <v>-6.1</v>
      </c>
      <c r="CQ4832">
        <v>87</v>
      </c>
      <c r="CR4832">
        <v>0</v>
      </c>
      <c r="CS4832">
        <v>0</v>
      </c>
      <c r="CT4832">
        <v>-0.5</v>
      </c>
      <c r="CU4832">
        <v>77</v>
      </c>
      <c r="CV4832">
        <v>0.18</v>
      </c>
      <c r="CW4832">
        <v>23</v>
      </c>
      <c r="CX4832" t="s">
        <v>120</v>
      </c>
    </row>
    <row r="4833" spans="1:102" x14ac:dyDescent="0.3">
      <c r="A4833" t="str">
        <f>HYPERLINK("https://webapp.icbf.com/v2/app/bull-search/view/77855335","MPK")</f>
        <v>MPK</v>
      </c>
      <c r="B4833" t="s">
        <v>10417</v>
      </c>
      <c r="C4833" t="s">
        <v>10418</v>
      </c>
      <c r="D4833" s="1">
        <v>31787</v>
      </c>
      <c r="E4833" t="s">
        <v>92</v>
      </c>
      <c r="F4833">
        <v>100</v>
      </c>
      <c r="G4833" t="s">
        <v>93</v>
      </c>
      <c r="H4833">
        <v>-194.36</v>
      </c>
      <c r="I4833">
        <v>94</v>
      </c>
      <c r="J4833">
        <v>-38.17</v>
      </c>
      <c r="K4833">
        <v>99</v>
      </c>
      <c r="L4833">
        <v>-113.96</v>
      </c>
      <c r="M4833">
        <v>93</v>
      </c>
      <c r="N4833">
        <v>-38.21</v>
      </c>
      <c r="O4833">
        <v>88</v>
      </c>
      <c r="P4833">
        <v>-1.91</v>
      </c>
      <c r="Q4833">
        <v>94</v>
      </c>
      <c r="R4833">
        <v>-7.96</v>
      </c>
      <c r="S4833">
        <v>87</v>
      </c>
      <c r="T4833">
        <v>7.61</v>
      </c>
      <c r="U4833">
        <v>92</v>
      </c>
      <c r="V4833">
        <v>-1.76</v>
      </c>
      <c r="W4833">
        <v>75</v>
      </c>
      <c r="X4833" t="s">
        <v>558</v>
      </c>
      <c r="Y4833" t="s">
        <v>95</v>
      </c>
      <c r="Z4833" t="s">
        <v>96</v>
      </c>
      <c r="AA4833" t="s">
        <v>543</v>
      </c>
      <c r="AB4833" t="s">
        <v>10419</v>
      </c>
      <c r="AC4833">
        <v>378</v>
      </c>
      <c r="AD4833">
        <v>220</v>
      </c>
      <c r="AE4833">
        <v>99</v>
      </c>
      <c r="AF4833">
        <v>-65.33</v>
      </c>
      <c r="AG4833">
        <v>-1.56</v>
      </c>
      <c r="AH4833">
        <v>-6.94</v>
      </c>
      <c r="AI4833">
        <v>0.02</v>
      </c>
      <c r="AJ4833">
        <v>-0.08</v>
      </c>
      <c r="AK4833">
        <v>93</v>
      </c>
      <c r="AL4833">
        <v>550</v>
      </c>
      <c r="AM4833">
        <v>247</v>
      </c>
      <c r="AN4833">
        <v>6.09</v>
      </c>
      <c r="AO4833">
        <v>-3</v>
      </c>
      <c r="AP4833">
        <v>22</v>
      </c>
      <c r="AQ4833">
        <v>1</v>
      </c>
      <c r="AR4833">
        <v>11.8</v>
      </c>
      <c r="AS4833">
        <v>76</v>
      </c>
      <c r="AT4833">
        <v>4.84</v>
      </c>
      <c r="AU4833">
        <v>91</v>
      </c>
      <c r="AV4833">
        <v>0.45</v>
      </c>
      <c r="AW4833">
        <v>89</v>
      </c>
      <c r="AX4833">
        <v>-0.02</v>
      </c>
      <c r="AY4833">
        <v>94</v>
      </c>
      <c r="AZ4833">
        <v>6.65</v>
      </c>
      <c r="BA4833">
        <v>75</v>
      </c>
      <c r="BB4833">
        <v>5.5</v>
      </c>
      <c r="BC4833">
        <v>86</v>
      </c>
      <c r="BD4833">
        <v>0.06</v>
      </c>
      <c r="BE4833">
        <v>7.0000000000000007E-2</v>
      </c>
      <c r="BF4833">
        <v>-0.05</v>
      </c>
      <c r="BG4833">
        <v>98</v>
      </c>
      <c r="BH4833">
        <v>-0.14000000000000001</v>
      </c>
      <c r="BI4833">
        <v>-10.52</v>
      </c>
      <c r="BJ4833">
        <v>175</v>
      </c>
      <c r="BK4833">
        <v>101</v>
      </c>
      <c r="BL4833">
        <v>0.84</v>
      </c>
      <c r="BM4833">
        <v>-0.03</v>
      </c>
      <c r="BN4833">
        <v>0.82</v>
      </c>
      <c r="BO4833">
        <v>0.41</v>
      </c>
      <c r="BP4833">
        <v>-1.0900000000000001</v>
      </c>
      <c r="BQ4833">
        <v>2.58</v>
      </c>
      <c r="BR4833">
        <v>1.34</v>
      </c>
      <c r="BS4833">
        <v>-0.81</v>
      </c>
      <c r="BT4833">
        <v>-0.56999999999999995</v>
      </c>
      <c r="BU4833">
        <v>1.36</v>
      </c>
      <c r="BV4833">
        <v>0.14000000000000001</v>
      </c>
      <c r="BW4833">
        <v>0.81</v>
      </c>
      <c r="BX4833">
        <v>1.31</v>
      </c>
      <c r="BY4833">
        <v>1.06</v>
      </c>
      <c r="BZ4833">
        <v>1.54</v>
      </c>
      <c r="CA4833">
        <v>0.37</v>
      </c>
      <c r="CB4833">
        <v>0.83</v>
      </c>
      <c r="CC4833">
        <v>-0.65</v>
      </c>
      <c r="CD4833">
        <v>-0.13</v>
      </c>
      <c r="CE4833">
        <v>0.44</v>
      </c>
      <c r="CF4833">
        <v>1.03</v>
      </c>
      <c r="CG4833">
        <v>0</v>
      </c>
      <c r="CH4833">
        <v>1</v>
      </c>
      <c r="CI4833">
        <v>0</v>
      </c>
      <c r="CJ4833">
        <v>-1</v>
      </c>
      <c r="CK4833">
        <v>94</v>
      </c>
      <c r="CL4833">
        <v>-0.68</v>
      </c>
      <c r="CM4833">
        <v>93</v>
      </c>
      <c r="CN4833">
        <v>-0.53</v>
      </c>
      <c r="CO4833">
        <v>92</v>
      </c>
      <c r="CP4833">
        <v>1.9</v>
      </c>
      <c r="CQ4833">
        <v>96</v>
      </c>
      <c r="CR4833">
        <v>0</v>
      </c>
      <c r="CS4833">
        <v>0</v>
      </c>
      <c r="CT4833">
        <v>3.5</v>
      </c>
      <c r="CU4833">
        <v>92</v>
      </c>
      <c r="CV4833">
        <v>7.0000000000000007E-2</v>
      </c>
      <c r="CW4833">
        <v>45</v>
      </c>
      <c r="CX4833" t="s">
        <v>120</v>
      </c>
    </row>
    <row r="4834" spans="1:102" x14ac:dyDescent="0.3">
      <c r="A4834" t="str">
        <f>HYPERLINK("https://webapp.icbf.com/v2/app/bull-search/view/69091336","CEC")</f>
        <v>CEC</v>
      </c>
      <c r="B4834" t="s">
        <v>3276</v>
      </c>
      <c r="C4834" t="s">
        <v>3277</v>
      </c>
      <c r="D4834" s="1">
        <v>35611</v>
      </c>
      <c r="E4834" t="s">
        <v>92</v>
      </c>
      <c r="F4834">
        <v>100</v>
      </c>
      <c r="G4834" t="s">
        <v>116</v>
      </c>
      <c r="H4834">
        <v>-195.16</v>
      </c>
      <c r="I4834">
        <v>28</v>
      </c>
      <c r="J4834">
        <v>-18.329999999999998</v>
      </c>
      <c r="K4834">
        <v>25</v>
      </c>
      <c r="L4834">
        <v>-112.51</v>
      </c>
      <c r="M4834">
        <v>30</v>
      </c>
      <c r="N4834">
        <v>-43.35</v>
      </c>
      <c r="O4834">
        <v>30</v>
      </c>
      <c r="P4834">
        <v>-10.95</v>
      </c>
      <c r="Q4834">
        <v>34</v>
      </c>
      <c r="R4834">
        <v>-11.98</v>
      </c>
      <c r="S4834">
        <v>30</v>
      </c>
      <c r="T4834">
        <v>5.32</v>
      </c>
      <c r="U4834">
        <v>29</v>
      </c>
      <c r="V4834">
        <v>-3.36</v>
      </c>
      <c r="W4834">
        <v>27</v>
      </c>
      <c r="X4834" t="s">
        <v>94</v>
      </c>
      <c r="Y4834" t="s">
        <v>3278</v>
      </c>
      <c r="Z4834" t="s">
        <v>96</v>
      </c>
      <c r="AA4834" t="s">
        <v>3279</v>
      </c>
      <c r="AB4834" t="s">
        <v>3280</v>
      </c>
      <c r="AC4834">
        <v>0</v>
      </c>
      <c r="AD4834">
        <v>0</v>
      </c>
      <c r="AE4834">
        <v>25</v>
      </c>
      <c r="AF4834">
        <v>150.66999999999999</v>
      </c>
      <c r="AG4834">
        <v>-0.51</v>
      </c>
      <c r="AH4834">
        <v>-0.63</v>
      </c>
      <c r="AI4834">
        <v>-0.11</v>
      </c>
      <c r="AJ4834">
        <v>-0.1</v>
      </c>
      <c r="AK4834">
        <v>30</v>
      </c>
      <c r="AL4834">
        <v>0</v>
      </c>
      <c r="AM4834">
        <v>0</v>
      </c>
      <c r="AN4834">
        <v>5.54</v>
      </c>
      <c r="AO4834">
        <v>-3.44</v>
      </c>
      <c r="AP4834">
        <v>1</v>
      </c>
      <c r="AQ4834">
        <v>0</v>
      </c>
      <c r="AR4834">
        <v>13.54</v>
      </c>
      <c r="AS4834">
        <v>26</v>
      </c>
      <c r="AT4834">
        <v>5.83</v>
      </c>
      <c r="AU4834">
        <v>37</v>
      </c>
      <c r="AV4834">
        <v>-0.63</v>
      </c>
      <c r="AW4834">
        <v>28</v>
      </c>
      <c r="AX4834">
        <v>-0.41</v>
      </c>
      <c r="AY4834">
        <v>32</v>
      </c>
      <c r="AZ4834">
        <v>5.75</v>
      </c>
      <c r="BA4834">
        <v>25</v>
      </c>
      <c r="BB4834">
        <v>4.58</v>
      </c>
      <c r="BC4834">
        <v>26</v>
      </c>
      <c r="BD4834">
        <v>0.05</v>
      </c>
      <c r="BE4834">
        <v>0.08</v>
      </c>
      <c r="BF4834">
        <v>0.04</v>
      </c>
      <c r="BG4834">
        <v>33</v>
      </c>
      <c r="BH4834">
        <v>-0.02</v>
      </c>
      <c r="BI4834">
        <v>8.5299999999999994</v>
      </c>
      <c r="BJ4834">
        <v>0</v>
      </c>
      <c r="BK4834">
        <v>0</v>
      </c>
      <c r="BL4834">
        <v>0.88</v>
      </c>
      <c r="BM4834">
        <v>-0.01</v>
      </c>
      <c r="BN4834">
        <v>0.54</v>
      </c>
      <c r="BO4834">
        <v>0.49</v>
      </c>
      <c r="BP4834">
        <v>-0.68</v>
      </c>
      <c r="BQ4834">
        <v>7.0000000000000007E-2</v>
      </c>
      <c r="BR4834">
        <v>-0.3</v>
      </c>
      <c r="BS4834">
        <v>-1.32</v>
      </c>
      <c r="BT4834">
        <v>0.78</v>
      </c>
      <c r="BU4834">
        <v>-0.65</v>
      </c>
      <c r="BV4834">
        <v>-0.34</v>
      </c>
      <c r="BW4834">
        <v>-0.23</v>
      </c>
      <c r="BX4834">
        <v>-0.5</v>
      </c>
      <c r="BY4834">
        <v>-0.12</v>
      </c>
      <c r="BZ4834">
        <v>-1.26</v>
      </c>
      <c r="CA4834">
        <v>-0.56000000000000005</v>
      </c>
      <c r="CB4834">
        <v>-0.31</v>
      </c>
      <c r="CC4834">
        <v>-0.81</v>
      </c>
      <c r="CD4834">
        <v>-0.1</v>
      </c>
      <c r="CE4834">
        <v>0.6</v>
      </c>
      <c r="CF4834">
        <v>0.56999999999999995</v>
      </c>
      <c r="CG4834">
        <v>0</v>
      </c>
      <c r="CH4834">
        <v>-0.17</v>
      </c>
      <c r="CI4834">
        <v>0</v>
      </c>
      <c r="CJ4834">
        <v>-2.2999999999999998</v>
      </c>
      <c r="CK4834">
        <v>35</v>
      </c>
      <c r="CL4834">
        <v>-0.88</v>
      </c>
      <c r="CM4834">
        <v>33</v>
      </c>
      <c r="CN4834">
        <v>-0.17</v>
      </c>
      <c r="CO4834">
        <v>32</v>
      </c>
      <c r="CP4834">
        <v>-4.5999999999999996</v>
      </c>
      <c r="CQ4834">
        <v>31</v>
      </c>
      <c r="CR4834">
        <v>0</v>
      </c>
      <c r="CS4834">
        <v>0</v>
      </c>
      <c r="CT4834">
        <v>6.6</v>
      </c>
      <c r="CU4834">
        <v>29</v>
      </c>
      <c r="CV4834">
        <v>0.24</v>
      </c>
      <c r="CW4834">
        <v>10</v>
      </c>
      <c r="CX4834" t="s">
        <v>1106</v>
      </c>
    </row>
    <row r="4835" spans="1:102" x14ac:dyDescent="0.3">
      <c r="A4835" t="str">
        <f>HYPERLINK("https://webapp.icbf.com/v2/app/bull-search/view/68564425","S495")</f>
        <v>S495</v>
      </c>
      <c r="B4835" t="s">
        <v>8480</v>
      </c>
      <c r="C4835" t="s">
        <v>8481</v>
      </c>
      <c r="D4835" s="1">
        <v>35139</v>
      </c>
      <c r="E4835" t="s">
        <v>92</v>
      </c>
      <c r="F4835">
        <v>100</v>
      </c>
      <c r="G4835" t="s">
        <v>109</v>
      </c>
      <c r="H4835">
        <v>-195.46</v>
      </c>
      <c r="I4835">
        <v>73</v>
      </c>
      <c r="J4835">
        <v>2.1</v>
      </c>
      <c r="K4835">
        <v>87</v>
      </c>
      <c r="L4835">
        <v>-193.42</v>
      </c>
      <c r="M4835">
        <v>84</v>
      </c>
      <c r="N4835">
        <v>4.01</v>
      </c>
      <c r="O4835">
        <v>43</v>
      </c>
      <c r="P4835">
        <v>-7.32</v>
      </c>
      <c r="Q4835">
        <v>59</v>
      </c>
      <c r="R4835">
        <v>3.28</v>
      </c>
      <c r="S4835">
        <v>62</v>
      </c>
      <c r="T4835">
        <v>-2.0099999999999998</v>
      </c>
      <c r="U4835">
        <v>49</v>
      </c>
      <c r="V4835">
        <v>-2.1</v>
      </c>
      <c r="W4835">
        <v>24</v>
      </c>
      <c r="X4835" t="s">
        <v>747</v>
      </c>
      <c r="Y4835" t="s">
        <v>95</v>
      </c>
      <c r="Z4835" t="s">
        <v>96</v>
      </c>
      <c r="AA4835" t="s">
        <v>989</v>
      </c>
      <c r="AB4835" t="s">
        <v>8482</v>
      </c>
      <c r="AC4835">
        <v>0</v>
      </c>
      <c r="AD4835">
        <v>0</v>
      </c>
      <c r="AE4835">
        <v>87</v>
      </c>
      <c r="AF4835">
        <v>418.74</v>
      </c>
      <c r="AG4835">
        <v>-1.82</v>
      </c>
      <c r="AH4835">
        <v>7.41</v>
      </c>
      <c r="AI4835">
        <v>-0.28000000000000003</v>
      </c>
      <c r="AJ4835">
        <v>-0.11</v>
      </c>
      <c r="AK4835">
        <v>84</v>
      </c>
      <c r="AL4835">
        <v>0</v>
      </c>
      <c r="AM4835">
        <v>0</v>
      </c>
      <c r="AN4835">
        <v>10.17</v>
      </c>
      <c r="AO4835">
        <v>-5.26</v>
      </c>
      <c r="AP4835">
        <v>3</v>
      </c>
      <c r="AQ4835">
        <v>0</v>
      </c>
      <c r="AR4835">
        <v>8</v>
      </c>
      <c r="AS4835">
        <v>26</v>
      </c>
      <c r="AT4835">
        <v>3.79</v>
      </c>
      <c r="AU4835">
        <v>88</v>
      </c>
      <c r="AV4835">
        <v>-1.1499999999999999</v>
      </c>
      <c r="AW4835">
        <v>27</v>
      </c>
      <c r="AX4835">
        <v>-0.11</v>
      </c>
      <c r="AY4835">
        <v>40</v>
      </c>
      <c r="AZ4835">
        <v>5.7</v>
      </c>
      <c r="BA4835">
        <v>24</v>
      </c>
      <c r="BB4835">
        <v>4.83</v>
      </c>
      <c r="BC4835">
        <v>24</v>
      </c>
      <c r="BD4835">
        <v>0.01</v>
      </c>
      <c r="BE4835">
        <v>0.02</v>
      </c>
      <c r="BF4835">
        <v>-0.13</v>
      </c>
      <c r="BG4835">
        <v>90</v>
      </c>
      <c r="BH4835">
        <v>-0.03</v>
      </c>
      <c r="BI4835">
        <v>3.31</v>
      </c>
      <c r="BJ4835">
        <v>4</v>
      </c>
      <c r="BK4835">
        <v>3</v>
      </c>
      <c r="BL4835">
        <v>1.8</v>
      </c>
      <c r="BM4835">
        <v>2.4900000000000002</v>
      </c>
      <c r="BN4835">
        <v>2.69</v>
      </c>
      <c r="BO4835">
        <v>0.81</v>
      </c>
      <c r="BP4835">
        <v>-0.14000000000000001</v>
      </c>
      <c r="BQ4835">
        <v>2.0299999999999998</v>
      </c>
      <c r="BR4835">
        <v>0.67</v>
      </c>
      <c r="BS4835">
        <v>-0.28000000000000003</v>
      </c>
      <c r="BT4835">
        <v>-0.72</v>
      </c>
      <c r="BU4835">
        <v>0.55000000000000004</v>
      </c>
      <c r="BV4835">
        <v>1.17</v>
      </c>
      <c r="BW4835">
        <v>0.93</v>
      </c>
      <c r="BX4835">
        <v>0.39</v>
      </c>
      <c r="BY4835">
        <v>0.64</v>
      </c>
      <c r="BZ4835">
        <v>-0.01</v>
      </c>
      <c r="CA4835">
        <v>0.95</v>
      </c>
      <c r="CB4835">
        <v>1.02</v>
      </c>
      <c r="CC4835">
        <v>0.62</v>
      </c>
      <c r="CD4835">
        <v>0.51</v>
      </c>
      <c r="CE4835">
        <v>0.72</v>
      </c>
      <c r="CF4835">
        <v>0.92</v>
      </c>
      <c r="CG4835">
        <v>0</v>
      </c>
      <c r="CH4835">
        <v>0.54</v>
      </c>
      <c r="CI4835">
        <v>0</v>
      </c>
      <c r="CJ4835">
        <v>-2.6</v>
      </c>
      <c r="CK4835">
        <v>62</v>
      </c>
      <c r="CL4835">
        <v>-1.2</v>
      </c>
      <c r="CM4835">
        <v>57</v>
      </c>
      <c r="CN4835">
        <v>-0.72</v>
      </c>
      <c r="CO4835">
        <v>53</v>
      </c>
      <c r="CP4835">
        <v>1.5</v>
      </c>
      <c r="CQ4835">
        <v>52</v>
      </c>
      <c r="CR4835">
        <v>0</v>
      </c>
      <c r="CS4835">
        <v>0</v>
      </c>
      <c r="CT4835">
        <v>16.5</v>
      </c>
      <c r="CU4835">
        <v>49</v>
      </c>
      <c r="CV4835">
        <v>0.28999999999999998</v>
      </c>
      <c r="CW4835">
        <v>17</v>
      </c>
      <c r="CX4835" t="s">
        <v>1463</v>
      </c>
    </row>
    <row r="4836" spans="1:102" x14ac:dyDescent="0.3">
      <c r="A4836" t="str">
        <f>HYPERLINK("https://webapp.icbf.com/v2/app/bull-search/view/77856094","LAH")</f>
        <v>LAH</v>
      </c>
      <c r="B4836" t="s">
        <v>9589</v>
      </c>
      <c r="C4836" t="s">
        <v>9590</v>
      </c>
      <c r="D4836" s="1">
        <v>32035</v>
      </c>
      <c r="E4836" t="s">
        <v>92</v>
      </c>
      <c r="F4836">
        <v>78</v>
      </c>
      <c r="G4836" t="s">
        <v>435</v>
      </c>
      <c r="H4836">
        <v>-195.66</v>
      </c>
      <c r="I4836">
        <v>67</v>
      </c>
      <c r="J4836">
        <v>-51.72</v>
      </c>
      <c r="K4836">
        <v>79</v>
      </c>
      <c r="L4836">
        <v>-115.72</v>
      </c>
      <c r="M4836">
        <v>67</v>
      </c>
      <c r="N4836">
        <v>-21.58</v>
      </c>
      <c r="O4836">
        <v>48</v>
      </c>
      <c r="P4836">
        <v>-6.37</v>
      </c>
      <c r="Q4836">
        <v>73</v>
      </c>
      <c r="R4836">
        <v>-12.51</v>
      </c>
      <c r="S4836">
        <v>63</v>
      </c>
      <c r="T4836">
        <v>5.69</v>
      </c>
      <c r="U4836">
        <v>50</v>
      </c>
      <c r="V4836">
        <v>6.55</v>
      </c>
      <c r="W4836">
        <v>43</v>
      </c>
      <c r="X4836" t="s">
        <v>94</v>
      </c>
      <c r="Y4836" t="s">
        <v>95</v>
      </c>
      <c r="Z4836" t="s">
        <v>96</v>
      </c>
      <c r="AA4836" t="s">
        <v>163</v>
      </c>
      <c r="AB4836" t="s">
        <v>9591</v>
      </c>
      <c r="AC4836">
        <v>5</v>
      </c>
      <c r="AD4836">
        <v>4</v>
      </c>
      <c r="AE4836">
        <v>79</v>
      </c>
      <c r="AF4836">
        <v>-139.02000000000001</v>
      </c>
      <c r="AG4836">
        <v>-6.06</v>
      </c>
      <c r="AH4836">
        <v>-8.7799999999999994</v>
      </c>
      <c r="AI4836">
        <v>-0.01</v>
      </c>
      <c r="AJ4836">
        <v>-7.0000000000000007E-2</v>
      </c>
      <c r="AK4836">
        <v>67</v>
      </c>
      <c r="AL4836">
        <v>55</v>
      </c>
      <c r="AM4836">
        <v>40</v>
      </c>
      <c r="AN4836">
        <v>6.19</v>
      </c>
      <c r="AO4836">
        <v>-3.04</v>
      </c>
      <c r="AP4836">
        <v>1</v>
      </c>
      <c r="AQ4836">
        <v>0</v>
      </c>
      <c r="AR4836">
        <v>9.6</v>
      </c>
      <c r="AS4836">
        <v>39</v>
      </c>
      <c r="AT4836">
        <v>4.42</v>
      </c>
      <c r="AU4836">
        <v>55</v>
      </c>
      <c r="AV4836">
        <v>0.01</v>
      </c>
      <c r="AW4836">
        <v>50</v>
      </c>
      <c r="AX4836">
        <v>0.67</v>
      </c>
      <c r="AY4836">
        <v>51</v>
      </c>
      <c r="AZ4836">
        <v>6.25</v>
      </c>
      <c r="BA4836">
        <v>30</v>
      </c>
      <c r="BB4836">
        <v>5.23</v>
      </c>
      <c r="BC4836">
        <v>35</v>
      </c>
      <c r="BD4836">
        <v>0.1</v>
      </c>
      <c r="BE4836">
        <v>0.09</v>
      </c>
      <c r="BF4836">
        <v>-0.05</v>
      </c>
      <c r="BG4836">
        <v>82</v>
      </c>
      <c r="BH4836">
        <v>0.12</v>
      </c>
      <c r="BI4836">
        <v>-7.26</v>
      </c>
      <c r="BJ4836">
        <v>5</v>
      </c>
      <c r="BK4836">
        <v>5</v>
      </c>
      <c r="BL4836">
        <v>0.35</v>
      </c>
      <c r="BM4836">
        <v>1.57</v>
      </c>
      <c r="BN4836">
        <v>1.81</v>
      </c>
      <c r="BO4836">
        <v>0</v>
      </c>
      <c r="BP4836">
        <v>0.2</v>
      </c>
      <c r="BQ4836">
        <v>2.29</v>
      </c>
      <c r="BR4836">
        <v>1.0900000000000001</v>
      </c>
      <c r="BS4836">
        <v>-1.7</v>
      </c>
      <c r="BT4836">
        <v>-2.56</v>
      </c>
      <c r="BU4836">
        <v>0.96</v>
      </c>
      <c r="BV4836">
        <v>0.11</v>
      </c>
      <c r="BW4836">
        <v>0</v>
      </c>
      <c r="BX4836">
        <v>0.41</v>
      </c>
      <c r="BY4836">
        <v>-0.95</v>
      </c>
      <c r="BZ4836">
        <v>0.84</v>
      </c>
      <c r="CA4836">
        <v>-0.6</v>
      </c>
      <c r="CB4836">
        <v>0.24</v>
      </c>
      <c r="CC4836">
        <v>-1.61</v>
      </c>
      <c r="CD4836">
        <v>0.46</v>
      </c>
      <c r="CE4836">
        <v>-0.04</v>
      </c>
      <c r="CF4836">
        <v>1.27</v>
      </c>
      <c r="CG4836">
        <v>0</v>
      </c>
      <c r="CH4836">
        <v>-0.44</v>
      </c>
      <c r="CI4836">
        <v>0</v>
      </c>
      <c r="CJ4836">
        <v>0.9</v>
      </c>
      <c r="CK4836">
        <v>76</v>
      </c>
      <c r="CL4836">
        <v>-0.73</v>
      </c>
      <c r="CM4836">
        <v>73</v>
      </c>
      <c r="CN4836">
        <v>0</v>
      </c>
      <c r="CO4836">
        <v>71</v>
      </c>
      <c r="CP4836">
        <v>-0.5</v>
      </c>
      <c r="CQ4836">
        <v>56</v>
      </c>
      <c r="CR4836">
        <v>0</v>
      </c>
      <c r="CS4836">
        <v>0</v>
      </c>
      <c r="CT4836">
        <v>6.1</v>
      </c>
      <c r="CU4836">
        <v>50</v>
      </c>
      <c r="CV4836">
        <v>0.1</v>
      </c>
      <c r="CW4836">
        <v>40</v>
      </c>
      <c r="CX4836" t="s">
        <v>3594</v>
      </c>
    </row>
    <row r="4837" spans="1:102" x14ac:dyDescent="0.3">
      <c r="A4837" t="str">
        <f>HYPERLINK("https://webapp.icbf.com/v2/app/bull-search/view/68561413","MIC")</f>
        <v>MIC</v>
      </c>
      <c r="B4837" t="s">
        <v>10499</v>
      </c>
      <c r="C4837" t="s">
        <v>2454</v>
      </c>
      <c r="D4837" s="1">
        <v>35680</v>
      </c>
      <c r="E4837" t="s">
        <v>92</v>
      </c>
      <c r="F4837">
        <v>100</v>
      </c>
      <c r="G4837" t="s">
        <v>93</v>
      </c>
      <c r="H4837">
        <v>-195.97</v>
      </c>
      <c r="I4837">
        <v>96</v>
      </c>
      <c r="J4837">
        <v>-36</v>
      </c>
      <c r="K4837">
        <v>99</v>
      </c>
      <c r="L4837">
        <v>-143.87</v>
      </c>
      <c r="M4837">
        <v>93</v>
      </c>
      <c r="N4837">
        <v>-9.68</v>
      </c>
      <c r="O4837">
        <v>98</v>
      </c>
      <c r="P4837">
        <v>-14.44</v>
      </c>
      <c r="Q4837">
        <v>99</v>
      </c>
      <c r="R4837">
        <v>-2.81</v>
      </c>
      <c r="S4837">
        <v>94</v>
      </c>
      <c r="T4837">
        <v>11.53</v>
      </c>
      <c r="U4837">
        <v>97</v>
      </c>
      <c r="V4837">
        <v>-0.7</v>
      </c>
      <c r="W4837">
        <v>93</v>
      </c>
      <c r="X4837" t="s">
        <v>131</v>
      </c>
      <c r="Y4837" t="s">
        <v>95</v>
      </c>
      <c r="Z4837" t="s">
        <v>96</v>
      </c>
      <c r="AA4837" t="s">
        <v>1325</v>
      </c>
      <c r="AB4837" t="s">
        <v>8860</v>
      </c>
      <c r="AC4837">
        <v>731</v>
      </c>
      <c r="AD4837">
        <v>257</v>
      </c>
      <c r="AE4837">
        <v>99</v>
      </c>
      <c r="AF4837">
        <v>262.27</v>
      </c>
      <c r="AG4837">
        <v>-3.98</v>
      </c>
      <c r="AH4837">
        <v>-0.7</v>
      </c>
      <c r="AI4837">
        <v>-0.24</v>
      </c>
      <c r="AJ4837">
        <v>-0.16</v>
      </c>
      <c r="AK4837">
        <v>93</v>
      </c>
      <c r="AL4837">
        <v>646</v>
      </c>
      <c r="AM4837">
        <v>238</v>
      </c>
      <c r="AN4837">
        <v>8.1300000000000008</v>
      </c>
      <c r="AO4837">
        <v>-3.34</v>
      </c>
      <c r="AP4837">
        <v>1065</v>
      </c>
      <c r="AQ4837">
        <v>3</v>
      </c>
      <c r="AR4837">
        <v>8.1999999999999993</v>
      </c>
      <c r="AS4837">
        <v>97</v>
      </c>
      <c r="AT4837">
        <v>4.22</v>
      </c>
      <c r="AU4837">
        <v>99</v>
      </c>
      <c r="AV4837">
        <v>-0.54</v>
      </c>
      <c r="AW4837">
        <v>99</v>
      </c>
      <c r="AX4837">
        <v>0.72</v>
      </c>
      <c r="AY4837">
        <v>97</v>
      </c>
      <c r="AZ4837">
        <v>6.11</v>
      </c>
      <c r="BA4837">
        <v>93</v>
      </c>
      <c r="BB4837">
        <v>5.0599999999999996</v>
      </c>
      <c r="BC4837">
        <v>93</v>
      </c>
      <c r="BD4837">
        <v>-0.02</v>
      </c>
      <c r="BE4837">
        <v>0.02</v>
      </c>
      <c r="BF4837">
        <v>0.06</v>
      </c>
      <c r="BG4837">
        <v>98</v>
      </c>
      <c r="BH4837">
        <v>0.03</v>
      </c>
      <c r="BI4837">
        <v>5.73</v>
      </c>
      <c r="BJ4837">
        <v>463</v>
      </c>
      <c r="BK4837">
        <v>165</v>
      </c>
      <c r="BL4837">
        <v>0.97</v>
      </c>
      <c r="BM4837">
        <v>-1.88</v>
      </c>
      <c r="BN4837">
        <v>0.31</v>
      </c>
      <c r="BO4837">
        <v>1.48</v>
      </c>
      <c r="BP4837">
        <v>-0.36</v>
      </c>
      <c r="BQ4837">
        <v>-0.18</v>
      </c>
      <c r="BR4837">
        <v>-2.2000000000000002</v>
      </c>
      <c r="BS4837">
        <v>5.41</v>
      </c>
      <c r="BT4837">
        <v>3.05</v>
      </c>
      <c r="BU4837">
        <v>1.79</v>
      </c>
      <c r="BV4837">
        <v>1.86</v>
      </c>
      <c r="BW4837">
        <v>1.22</v>
      </c>
      <c r="BX4837">
        <v>0.8</v>
      </c>
      <c r="BY4837">
        <v>0.76</v>
      </c>
      <c r="BZ4837">
        <v>-1.1399999999999999</v>
      </c>
      <c r="CA4837">
        <v>2.56</v>
      </c>
      <c r="CB4837">
        <v>1.34</v>
      </c>
      <c r="CC4837">
        <v>3.88</v>
      </c>
      <c r="CD4837">
        <v>-1.62</v>
      </c>
      <c r="CE4837">
        <v>1.56</v>
      </c>
      <c r="CF4837">
        <v>0.59</v>
      </c>
      <c r="CG4837">
        <v>0</v>
      </c>
      <c r="CH4837">
        <v>0.73</v>
      </c>
      <c r="CI4837">
        <v>0</v>
      </c>
      <c r="CJ4837">
        <v>-3.7</v>
      </c>
      <c r="CK4837">
        <v>99</v>
      </c>
      <c r="CL4837">
        <v>-1.21</v>
      </c>
      <c r="CM4837">
        <v>98</v>
      </c>
      <c r="CN4837">
        <v>-0.36</v>
      </c>
      <c r="CO4837">
        <v>98</v>
      </c>
      <c r="CP4837">
        <v>-7.1</v>
      </c>
      <c r="CQ4837">
        <v>99</v>
      </c>
      <c r="CR4837">
        <v>0</v>
      </c>
      <c r="CS4837">
        <v>0</v>
      </c>
      <c r="CT4837">
        <v>-1.8</v>
      </c>
      <c r="CU4837">
        <v>97</v>
      </c>
      <c r="CV4837">
        <v>0.18</v>
      </c>
      <c r="CW4837">
        <v>46</v>
      </c>
      <c r="CX4837" t="s">
        <v>111</v>
      </c>
    </row>
    <row r="4838" spans="1:102" x14ac:dyDescent="0.3">
      <c r="A4838" t="str">
        <f>HYPERLINK("https://webapp.icbf.com/v2/app/bull-search/view/437232198","MBZ")</f>
        <v>MBZ</v>
      </c>
      <c r="B4838" t="s">
        <v>10079</v>
      </c>
      <c r="C4838" t="s">
        <v>10080</v>
      </c>
      <c r="D4838" s="1">
        <v>37036</v>
      </c>
      <c r="E4838" t="s">
        <v>92</v>
      </c>
      <c r="F4838">
        <v>100</v>
      </c>
      <c r="G4838" t="s">
        <v>109</v>
      </c>
      <c r="H4838">
        <v>-196.08</v>
      </c>
      <c r="I4838">
        <v>77</v>
      </c>
      <c r="J4838">
        <v>16.38</v>
      </c>
      <c r="K4838">
        <v>84</v>
      </c>
      <c r="L4838">
        <v>-159.06</v>
      </c>
      <c r="M4838">
        <v>81</v>
      </c>
      <c r="N4838">
        <v>-48.6</v>
      </c>
      <c r="O4838">
        <v>68</v>
      </c>
      <c r="P4838">
        <v>-23.58</v>
      </c>
      <c r="Q4838">
        <v>83</v>
      </c>
      <c r="R4838">
        <v>14.7</v>
      </c>
      <c r="S4838">
        <v>70</v>
      </c>
      <c r="T4838">
        <v>2.21</v>
      </c>
      <c r="U4838">
        <v>60</v>
      </c>
      <c r="V4838">
        <v>1.87</v>
      </c>
      <c r="W4838">
        <v>48</v>
      </c>
      <c r="X4838" t="s">
        <v>131</v>
      </c>
      <c r="Y4838" t="s">
        <v>95</v>
      </c>
      <c r="Z4838" t="s">
        <v>96</v>
      </c>
      <c r="AA4838" t="s">
        <v>3001</v>
      </c>
      <c r="AB4838" t="s">
        <v>4839</v>
      </c>
      <c r="AC4838">
        <v>0</v>
      </c>
      <c r="AD4838">
        <v>0</v>
      </c>
      <c r="AE4838">
        <v>84</v>
      </c>
      <c r="AF4838">
        <v>113.11</v>
      </c>
      <c r="AG4838">
        <v>11.61</v>
      </c>
      <c r="AH4838">
        <v>0.41</v>
      </c>
      <c r="AI4838">
        <v>0.12</v>
      </c>
      <c r="AJ4838">
        <v>-0.06</v>
      </c>
      <c r="AK4838">
        <v>81</v>
      </c>
      <c r="AL4838">
        <v>0</v>
      </c>
      <c r="AM4838">
        <v>0</v>
      </c>
      <c r="AN4838">
        <v>9.85</v>
      </c>
      <c r="AO4838">
        <v>-2.82</v>
      </c>
      <c r="AP4838">
        <v>25</v>
      </c>
      <c r="AQ4838">
        <v>0</v>
      </c>
      <c r="AR4838">
        <v>14.84</v>
      </c>
      <c r="AS4838">
        <v>41</v>
      </c>
      <c r="AT4838">
        <v>6.02</v>
      </c>
      <c r="AU4838">
        <v>87</v>
      </c>
      <c r="AV4838">
        <v>-1.75</v>
      </c>
      <c r="AW4838">
        <v>73</v>
      </c>
      <c r="AX4838">
        <v>0.13</v>
      </c>
      <c r="AY4838">
        <v>65</v>
      </c>
      <c r="AZ4838">
        <v>6.4</v>
      </c>
      <c r="BA4838">
        <v>41</v>
      </c>
      <c r="BB4838">
        <v>5.2</v>
      </c>
      <c r="BC4838">
        <v>40</v>
      </c>
      <c r="BD4838">
        <v>-0.03</v>
      </c>
      <c r="BE4838">
        <v>-0.02</v>
      </c>
      <c r="BF4838">
        <v>-0.25</v>
      </c>
      <c r="BG4838">
        <v>89</v>
      </c>
      <c r="BH4838">
        <v>-0.08</v>
      </c>
      <c r="BI4838">
        <v>-15.28</v>
      </c>
      <c r="BJ4838">
        <v>13</v>
      </c>
      <c r="BK4838">
        <v>5</v>
      </c>
      <c r="BL4838">
        <v>1.46</v>
      </c>
      <c r="BM4838">
        <v>-0.31</v>
      </c>
      <c r="BN4838">
        <v>1.36</v>
      </c>
      <c r="BO4838">
        <v>1.23</v>
      </c>
      <c r="BP4838">
        <v>0.84</v>
      </c>
      <c r="BQ4838">
        <v>1.01</v>
      </c>
      <c r="BR4838">
        <v>0.95</v>
      </c>
      <c r="BS4838">
        <v>0.17</v>
      </c>
      <c r="BT4838">
        <v>-0.46</v>
      </c>
      <c r="BU4838">
        <v>3.17</v>
      </c>
      <c r="BV4838">
        <v>1.58</v>
      </c>
      <c r="BW4838">
        <v>2.0499999999999998</v>
      </c>
      <c r="BX4838">
        <v>2.97</v>
      </c>
      <c r="BY4838">
        <v>2.38</v>
      </c>
      <c r="BZ4838">
        <v>-1.21</v>
      </c>
      <c r="CA4838">
        <v>1.71</v>
      </c>
      <c r="CB4838">
        <v>2.1</v>
      </c>
      <c r="CC4838">
        <v>0.3</v>
      </c>
      <c r="CD4838">
        <v>-0.87</v>
      </c>
      <c r="CE4838">
        <v>1.63</v>
      </c>
      <c r="CF4838">
        <v>2.1</v>
      </c>
      <c r="CG4838">
        <v>0</v>
      </c>
      <c r="CH4838">
        <v>3.42</v>
      </c>
      <c r="CI4838">
        <v>0</v>
      </c>
      <c r="CJ4838">
        <v>-10.6</v>
      </c>
      <c r="CK4838">
        <v>85</v>
      </c>
      <c r="CL4838">
        <v>-1.45</v>
      </c>
      <c r="CM4838">
        <v>82</v>
      </c>
      <c r="CN4838">
        <v>-0.52</v>
      </c>
      <c r="CO4838">
        <v>80</v>
      </c>
      <c r="CP4838">
        <v>-0.5</v>
      </c>
      <c r="CQ4838">
        <v>77</v>
      </c>
      <c r="CR4838">
        <v>0</v>
      </c>
      <c r="CS4838">
        <v>0</v>
      </c>
      <c r="CT4838">
        <v>10.8</v>
      </c>
      <c r="CU4838">
        <v>60</v>
      </c>
      <c r="CV4838">
        <v>0.19</v>
      </c>
      <c r="CW4838">
        <v>24</v>
      </c>
      <c r="CX4838" t="s">
        <v>1325</v>
      </c>
    </row>
    <row r="4839" spans="1:102" x14ac:dyDescent="0.3">
      <c r="A4839" t="str">
        <f>HYPERLINK("https://webapp.icbf.com/v2/app/bull-search/view/464133986","LWD")</f>
        <v>LWD</v>
      </c>
      <c r="B4839" t="s">
        <v>286</v>
      </c>
      <c r="C4839" t="s">
        <v>287</v>
      </c>
      <c r="D4839" s="1">
        <v>36910</v>
      </c>
      <c r="E4839" t="s">
        <v>92</v>
      </c>
      <c r="F4839">
        <v>100</v>
      </c>
      <c r="G4839" t="s">
        <v>93</v>
      </c>
      <c r="H4839">
        <v>-196.11</v>
      </c>
      <c r="I4839">
        <v>96</v>
      </c>
      <c r="J4839">
        <v>21.67</v>
      </c>
      <c r="K4839">
        <v>99</v>
      </c>
      <c r="L4839">
        <v>-210.45</v>
      </c>
      <c r="M4839">
        <v>94</v>
      </c>
      <c r="N4839">
        <v>12.5</v>
      </c>
      <c r="O4839">
        <v>95</v>
      </c>
      <c r="P4839">
        <v>-6.97</v>
      </c>
      <c r="Q4839">
        <v>98</v>
      </c>
      <c r="R4839">
        <v>-0.97</v>
      </c>
      <c r="S4839">
        <v>91</v>
      </c>
      <c r="T4839">
        <v>-4.75</v>
      </c>
      <c r="U4839">
        <v>97</v>
      </c>
      <c r="V4839">
        <v>-7.14</v>
      </c>
      <c r="W4839">
        <v>90</v>
      </c>
      <c r="X4839" t="s">
        <v>288</v>
      </c>
      <c r="Y4839" t="s">
        <v>95</v>
      </c>
      <c r="Z4839" t="s">
        <v>96</v>
      </c>
      <c r="AA4839" t="s">
        <v>289</v>
      </c>
      <c r="AB4839" t="s">
        <v>290</v>
      </c>
      <c r="AC4839">
        <v>552</v>
      </c>
      <c r="AD4839">
        <v>169</v>
      </c>
      <c r="AE4839">
        <v>99</v>
      </c>
      <c r="AF4839">
        <v>417.56</v>
      </c>
      <c r="AG4839">
        <v>7.2</v>
      </c>
      <c r="AH4839">
        <v>7.53</v>
      </c>
      <c r="AI4839">
        <v>-0.15</v>
      </c>
      <c r="AJ4839">
        <v>-0.11</v>
      </c>
      <c r="AK4839">
        <v>94</v>
      </c>
      <c r="AL4839">
        <v>467</v>
      </c>
      <c r="AM4839">
        <v>173</v>
      </c>
      <c r="AN4839">
        <v>10.94</v>
      </c>
      <c r="AO4839">
        <v>-5.85</v>
      </c>
      <c r="AP4839">
        <v>1094</v>
      </c>
      <c r="AQ4839">
        <v>2</v>
      </c>
      <c r="AR4839">
        <v>8.2100000000000009</v>
      </c>
      <c r="AS4839">
        <v>95</v>
      </c>
      <c r="AT4839">
        <v>3.86</v>
      </c>
      <c r="AU4839">
        <v>97</v>
      </c>
      <c r="AV4839">
        <v>-2.42</v>
      </c>
      <c r="AW4839">
        <v>98</v>
      </c>
      <c r="AX4839">
        <v>0.17</v>
      </c>
      <c r="AY4839">
        <v>95</v>
      </c>
      <c r="AZ4839">
        <v>5.89</v>
      </c>
      <c r="BA4839">
        <v>88</v>
      </c>
      <c r="BB4839">
        <v>4.68</v>
      </c>
      <c r="BC4839">
        <v>84</v>
      </c>
      <c r="BD4839">
        <v>-0.01</v>
      </c>
      <c r="BE4839">
        <v>0.01</v>
      </c>
      <c r="BF4839">
        <v>0.02</v>
      </c>
      <c r="BG4839">
        <v>97</v>
      </c>
      <c r="BH4839">
        <v>-0.35</v>
      </c>
      <c r="BI4839">
        <v>-17.46</v>
      </c>
      <c r="BJ4839">
        <v>210</v>
      </c>
      <c r="BK4839">
        <v>81</v>
      </c>
      <c r="BL4839">
        <v>1.43</v>
      </c>
      <c r="BM4839">
        <v>-0.76</v>
      </c>
      <c r="BN4839">
        <v>2.2400000000000002</v>
      </c>
      <c r="BO4839">
        <v>1.75</v>
      </c>
      <c r="BP4839">
        <v>-0.68</v>
      </c>
      <c r="BQ4839">
        <v>0.95</v>
      </c>
      <c r="BR4839">
        <v>1.1499999999999999</v>
      </c>
      <c r="BS4839">
        <v>-0.34</v>
      </c>
      <c r="BT4839">
        <v>0.4</v>
      </c>
      <c r="BU4839">
        <v>2.13</v>
      </c>
      <c r="BV4839">
        <v>2.4300000000000002</v>
      </c>
      <c r="BW4839">
        <v>1.0900000000000001</v>
      </c>
      <c r="BX4839">
        <v>1.1000000000000001</v>
      </c>
      <c r="BY4839">
        <v>0.67</v>
      </c>
      <c r="BZ4839">
        <v>1.47</v>
      </c>
      <c r="CA4839">
        <v>1.1100000000000001</v>
      </c>
      <c r="CB4839">
        <v>1.69</v>
      </c>
      <c r="CC4839">
        <v>-0.26</v>
      </c>
      <c r="CD4839">
        <v>-1.56</v>
      </c>
      <c r="CE4839">
        <v>1.58</v>
      </c>
      <c r="CF4839">
        <v>1.28</v>
      </c>
      <c r="CG4839">
        <v>0</v>
      </c>
      <c r="CH4839">
        <v>0.61</v>
      </c>
      <c r="CI4839">
        <v>0</v>
      </c>
      <c r="CJ4839">
        <v>-1.1000000000000001</v>
      </c>
      <c r="CK4839">
        <v>98</v>
      </c>
      <c r="CL4839">
        <v>-1.25</v>
      </c>
      <c r="CM4839">
        <v>97</v>
      </c>
      <c r="CN4839">
        <v>-0.61</v>
      </c>
      <c r="CO4839">
        <v>97</v>
      </c>
      <c r="CP4839">
        <v>2</v>
      </c>
      <c r="CQ4839">
        <v>98</v>
      </c>
      <c r="CR4839">
        <v>0</v>
      </c>
      <c r="CS4839">
        <v>0</v>
      </c>
      <c r="CT4839">
        <v>20.2</v>
      </c>
      <c r="CU4839">
        <v>97</v>
      </c>
      <c r="CV4839">
        <v>0.28999999999999998</v>
      </c>
      <c r="CW4839">
        <v>45</v>
      </c>
      <c r="CX4839" t="s">
        <v>291</v>
      </c>
    </row>
    <row r="4840" spans="1:102" x14ac:dyDescent="0.3">
      <c r="A4840" t="str">
        <f>HYPERLINK("https://webapp.icbf.com/v2/app/bull-search/view/77857021","HMK")</f>
        <v>HMK</v>
      </c>
      <c r="B4840" t="s">
        <v>8552</v>
      </c>
      <c r="C4840" t="s">
        <v>8553</v>
      </c>
      <c r="D4840" s="1">
        <v>31479</v>
      </c>
      <c r="E4840" t="s">
        <v>92</v>
      </c>
      <c r="F4840">
        <v>100</v>
      </c>
      <c r="G4840" t="s">
        <v>109</v>
      </c>
      <c r="H4840">
        <v>-196.73</v>
      </c>
      <c r="I4840">
        <v>72</v>
      </c>
      <c r="J4840">
        <v>-27.86</v>
      </c>
      <c r="K4840">
        <v>82</v>
      </c>
      <c r="L4840">
        <v>-146.55000000000001</v>
      </c>
      <c r="M4840">
        <v>82</v>
      </c>
      <c r="N4840">
        <v>-7.05</v>
      </c>
      <c r="O4840">
        <v>54</v>
      </c>
      <c r="P4840">
        <v>-7.93</v>
      </c>
      <c r="Q4840">
        <v>53</v>
      </c>
      <c r="R4840">
        <v>-8.0500000000000007</v>
      </c>
      <c r="S4840">
        <v>66</v>
      </c>
      <c r="T4840">
        <v>3.54</v>
      </c>
      <c r="U4840">
        <v>52</v>
      </c>
      <c r="V4840">
        <v>-2.83</v>
      </c>
      <c r="W4840">
        <v>28</v>
      </c>
      <c r="X4840" t="s">
        <v>131</v>
      </c>
      <c r="Y4840" t="s">
        <v>95</v>
      </c>
      <c r="Z4840" t="s">
        <v>96</v>
      </c>
      <c r="AA4840" t="s">
        <v>543</v>
      </c>
      <c r="AB4840" t="s">
        <v>8554</v>
      </c>
      <c r="AC4840">
        <v>0</v>
      </c>
      <c r="AD4840">
        <v>0</v>
      </c>
      <c r="AE4840">
        <v>82</v>
      </c>
      <c r="AF4840">
        <v>296.92</v>
      </c>
      <c r="AG4840">
        <v>-1.76</v>
      </c>
      <c r="AH4840">
        <v>0.43</v>
      </c>
      <c r="AI4840">
        <v>-0.21</v>
      </c>
      <c r="AJ4840">
        <v>-0.15</v>
      </c>
      <c r="AK4840">
        <v>82</v>
      </c>
      <c r="AL4840">
        <v>0</v>
      </c>
      <c r="AM4840">
        <v>0</v>
      </c>
      <c r="AN4840">
        <v>9.31</v>
      </c>
      <c r="AO4840">
        <v>-2.36</v>
      </c>
      <c r="AP4840">
        <v>1</v>
      </c>
      <c r="AQ4840">
        <v>0</v>
      </c>
      <c r="AR4840">
        <v>10.1</v>
      </c>
      <c r="AS4840">
        <v>31</v>
      </c>
      <c r="AT4840">
        <v>4.08</v>
      </c>
      <c r="AU4840">
        <v>89</v>
      </c>
      <c r="AV4840">
        <v>-0.98</v>
      </c>
      <c r="AW4840">
        <v>46</v>
      </c>
      <c r="AX4840">
        <v>-0.8</v>
      </c>
      <c r="AY4840">
        <v>49</v>
      </c>
      <c r="AZ4840">
        <v>6.77</v>
      </c>
      <c r="BA4840">
        <v>29</v>
      </c>
      <c r="BB4840">
        <v>4.93</v>
      </c>
      <c r="BC4840">
        <v>35</v>
      </c>
      <c r="BD4840">
        <v>0.03</v>
      </c>
      <c r="BE4840">
        <v>0.05</v>
      </c>
      <c r="BF4840">
        <v>0.04</v>
      </c>
      <c r="BG4840">
        <v>90</v>
      </c>
      <c r="BH4840">
        <v>-0.05</v>
      </c>
      <c r="BI4840">
        <v>3.33</v>
      </c>
      <c r="BJ4840">
        <v>5</v>
      </c>
      <c r="BK4840">
        <v>4</v>
      </c>
      <c r="BL4840">
        <v>0.84</v>
      </c>
      <c r="BM4840">
        <v>-0.6</v>
      </c>
      <c r="BN4840">
        <v>1.5</v>
      </c>
      <c r="BO4840">
        <v>1.33</v>
      </c>
      <c r="BP4840">
        <v>-2.44</v>
      </c>
      <c r="BQ4840">
        <v>1.54</v>
      </c>
      <c r="BR4840">
        <v>2.76</v>
      </c>
      <c r="BS4840">
        <v>-3.22</v>
      </c>
      <c r="BT4840">
        <v>-1.94</v>
      </c>
      <c r="BU4840">
        <v>1.42</v>
      </c>
      <c r="BV4840">
        <v>1.51</v>
      </c>
      <c r="BW4840">
        <v>1.68</v>
      </c>
      <c r="BX4840">
        <v>0.32</v>
      </c>
      <c r="BY4840">
        <v>1.62</v>
      </c>
      <c r="BZ4840">
        <v>0.49</v>
      </c>
      <c r="CA4840">
        <v>0.11</v>
      </c>
      <c r="CB4840">
        <v>1.38</v>
      </c>
      <c r="CC4840">
        <v>-2.2400000000000002</v>
      </c>
      <c r="CD4840">
        <v>-1.02</v>
      </c>
      <c r="CE4840">
        <v>0.57999999999999996</v>
      </c>
      <c r="CF4840">
        <v>0.95</v>
      </c>
      <c r="CG4840">
        <v>0</v>
      </c>
      <c r="CH4840">
        <v>0.82</v>
      </c>
      <c r="CI4840">
        <v>0</v>
      </c>
      <c r="CJ4840">
        <v>-4</v>
      </c>
      <c r="CK4840">
        <v>54</v>
      </c>
      <c r="CL4840">
        <v>-0.81</v>
      </c>
      <c r="CM4840">
        <v>50</v>
      </c>
      <c r="CN4840">
        <v>-0.55000000000000004</v>
      </c>
      <c r="CO4840">
        <v>46</v>
      </c>
      <c r="CP4840">
        <v>-3.3</v>
      </c>
      <c r="CQ4840">
        <v>61</v>
      </c>
      <c r="CR4840">
        <v>0</v>
      </c>
      <c r="CS4840">
        <v>0</v>
      </c>
      <c r="CT4840">
        <v>9</v>
      </c>
      <c r="CU4840">
        <v>52</v>
      </c>
      <c r="CV4840">
        <v>0.16</v>
      </c>
      <c r="CW4840">
        <v>14</v>
      </c>
      <c r="CX4840" t="s">
        <v>707</v>
      </c>
    </row>
    <row r="4841" spans="1:102" x14ac:dyDescent="0.3">
      <c r="A4841" t="str">
        <f>HYPERLINK("https://webapp.icbf.com/v2/app/bull-search/view/77860261","CFM")</f>
        <v>CFM</v>
      </c>
      <c r="B4841" t="s">
        <v>4696</v>
      </c>
      <c r="C4841" t="s">
        <v>4697</v>
      </c>
      <c r="D4841" s="1">
        <v>33508</v>
      </c>
      <c r="E4841" t="s">
        <v>92</v>
      </c>
      <c r="F4841">
        <v>100</v>
      </c>
      <c r="G4841" t="s">
        <v>109</v>
      </c>
      <c r="H4841">
        <v>-196.81</v>
      </c>
      <c r="I4841">
        <v>83</v>
      </c>
      <c r="J4841">
        <v>-59.8</v>
      </c>
      <c r="K4841">
        <v>95</v>
      </c>
      <c r="L4841">
        <v>-120.83</v>
      </c>
      <c r="M4841">
        <v>88</v>
      </c>
      <c r="N4841">
        <v>-14.01</v>
      </c>
      <c r="O4841">
        <v>64</v>
      </c>
      <c r="P4841">
        <v>-13.77</v>
      </c>
      <c r="Q4841">
        <v>67</v>
      </c>
      <c r="R4841">
        <v>-9.6</v>
      </c>
      <c r="S4841">
        <v>78</v>
      </c>
      <c r="T4841">
        <v>26.48</v>
      </c>
      <c r="U4841">
        <v>70</v>
      </c>
      <c r="V4841">
        <v>-5.28</v>
      </c>
      <c r="W4841">
        <v>65</v>
      </c>
      <c r="X4841" t="s">
        <v>747</v>
      </c>
      <c r="Y4841" t="s">
        <v>95</v>
      </c>
      <c r="Z4841" t="s">
        <v>96</v>
      </c>
      <c r="AA4841" t="s">
        <v>132</v>
      </c>
      <c r="AB4841" t="s">
        <v>4698</v>
      </c>
      <c r="AC4841">
        <v>25</v>
      </c>
      <c r="AD4841">
        <v>23</v>
      </c>
      <c r="AE4841">
        <v>95</v>
      </c>
      <c r="AF4841">
        <v>105.18</v>
      </c>
      <c r="AG4841">
        <v>-3.45</v>
      </c>
      <c r="AH4841">
        <v>-7.34</v>
      </c>
      <c r="AI4841">
        <v>-0.13</v>
      </c>
      <c r="AJ4841">
        <v>-0.19</v>
      </c>
      <c r="AK4841">
        <v>88</v>
      </c>
      <c r="AL4841">
        <v>38</v>
      </c>
      <c r="AM4841">
        <v>26</v>
      </c>
      <c r="AN4841">
        <v>7.08</v>
      </c>
      <c r="AO4841">
        <v>-2.5499999999999998</v>
      </c>
      <c r="AP4841">
        <v>3</v>
      </c>
      <c r="AQ4841">
        <v>0</v>
      </c>
      <c r="AR4841">
        <v>9.34</v>
      </c>
      <c r="AS4841">
        <v>57</v>
      </c>
      <c r="AT4841">
        <v>3.82</v>
      </c>
      <c r="AU4841">
        <v>76</v>
      </c>
      <c r="AV4841">
        <v>0.01</v>
      </c>
      <c r="AW4841">
        <v>62</v>
      </c>
      <c r="AX4841">
        <v>-0.84</v>
      </c>
      <c r="AY4841">
        <v>66</v>
      </c>
      <c r="AZ4841">
        <v>7.63</v>
      </c>
      <c r="BA4841">
        <v>50</v>
      </c>
      <c r="BB4841">
        <v>5.5</v>
      </c>
      <c r="BC4841">
        <v>56</v>
      </c>
      <c r="BD4841">
        <v>0.04</v>
      </c>
      <c r="BE4841">
        <v>0.06</v>
      </c>
      <c r="BF4841">
        <v>0.04</v>
      </c>
      <c r="BG4841">
        <v>91</v>
      </c>
      <c r="BH4841">
        <v>-7.0000000000000007E-2</v>
      </c>
      <c r="BI4841">
        <v>8.9499999999999993</v>
      </c>
      <c r="BJ4841">
        <v>5</v>
      </c>
      <c r="BK4841">
        <v>5</v>
      </c>
      <c r="BL4841">
        <v>-0.22</v>
      </c>
      <c r="BM4841">
        <v>-1.71</v>
      </c>
      <c r="BN4841">
        <v>-1.34</v>
      </c>
      <c r="BO4841">
        <v>0.04</v>
      </c>
      <c r="BP4841">
        <v>-2.89</v>
      </c>
      <c r="BQ4841">
        <v>-3.26</v>
      </c>
      <c r="BR4841">
        <v>-1.51</v>
      </c>
      <c r="BS4841">
        <v>0.63</v>
      </c>
      <c r="BT4841">
        <v>0.28999999999999998</v>
      </c>
      <c r="BU4841">
        <v>-0.1</v>
      </c>
      <c r="BV4841">
        <v>-0.2</v>
      </c>
      <c r="BW4841">
        <v>-0.65</v>
      </c>
      <c r="BX4841">
        <v>0.7</v>
      </c>
      <c r="BY4841">
        <v>-1.59</v>
      </c>
      <c r="BZ4841">
        <v>1.07</v>
      </c>
      <c r="CA4841">
        <v>0.18</v>
      </c>
      <c r="CB4841">
        <v>-0.46</v>
      </c>
      <c r="CC4841">
        <v>1.1299999999999999</v>
      </c>
      <c r="CD4841">
        <v>-0.61</v>
      </c>
      <c r="CE4841">
        <v>0.35</v>
      </c>
      <c r="CF4841">
        <v>-0.75</v>
      </c>
      <c r="CG4841">
        <v>0</v>
      </c>
      <c r="CH4841">
        <v>-1.91</v>
      </c>
      <c r="CI4841">
        <v>0</v>
      </c>
      <c r="CJ4841">
        <v>-7.2</v>
      </c>
      <c r="CK4841">
        <v>68</v>
      </c>
      <c r="CL4841">
        <v>-0.48</v>
      </c>
      <c r="CM4841">
        <v>65</v>
      </c>
      <c r="CN4841">
        <v>-0.27</v>
      </c>
      <c r="CO4841">
        <v>61</v>
      </c>
      <c r="CP4841">
        <v>-13.6</v>
      </c>
      <c r="CQ4841">
        <v>74</v>
      </c>
      <c r="CR4841">
        <v>0</v>
      </c>
      <c r="CS4841">
        <v>0</v>
      </c>
      <c r="CT4841">
        <v>-22</v>
      </c>
      <c r="CU4841">
        <v>70</v>
      </c>
      <c r="CV4841">
        <v>-0.01</v>
      </c>
      <c r="CW4841">
        <v>39</v>
      </c>
      <c r="CX4841" t="s">
        <v>543</v>
      </c>
    </row>
    <row r="4842" spans="1:102" x14ac:dyDescent="0.3">
      <c r="A4842" t="str">
        <f>HYPERLINK("https://webapp.icbf.com/v2/app/bull-search/view/77853976","RIM")</f>
        <v>RIM</v>
      </c>
      <c r="B4842" t="s">
        <v>14608</v>
      </c>
      <c r="C4842" t="s">
        <v>7121</v>
      </c>
      <c r="D4842" s="1">
        <v>34886</v>
      </c>
      <c r="E4842" t="s">
        <v>92</v>
      </c>
      <c r="F4842">
        <v>100</v>
      </c>
      <c r="G4842" t="s">
        <v>93</v>
      </c>
      <c r="H4842">
        <v>-197.51</v>
      </c>
      <c r="I4842">
        <v>94</v>
      </c>
      <c r="J4842">
        <v>34.79</v>
      </c>
      <c r="K4842">
        <v>98</v>
      </c>
      <c r="L4842">
        <v>-185.93</v>
      </c>
      <c r="M4842">
        <v>93</v>
      </c>
      <c r="N4842">
        <v>-56.81</v>
      </c>
      <c r="O4842">
        <v>92</v>
      </c>
      <c r="P4842">
        <v>0.81</v>
      </c>
      <c r="Q4842">
        <v>96</v>
      </c>
      <c r="R4842">
        <v>-6.02</v>
      </c>
      <c r="S4842">
        <v>87</v>
      </c>
      <c r="T4842">
        <v>14.2</v>
      </c>
      <c r="U4842">
        <v>92</v>
      </c>
      <c r="V4842">
        <v>1.45</v>
      </c>
      <c r="W4842">
        <v>81</v>
      </c>
      <c r="X4842" t="s">
        <v>558</v>
      </c>
      <c r="Y4842" t="s">
        <v>95</v>
      </c>
      <c r="Z4842" t="s">
        <v>96</v>
      </c>
      <c r="AA4842" t="s">
        <v>715</v>
      </c>
      <c r="AB4842" t="s">
        <v>8051</v>
      </c>
      <c r="AC4842">
        <v>176</v>
      </c>
      <c r="AD4842">
        <v>83</v>
      </c>
      <c r="AE4842">
        <v>98</v>
      </c>
      <c r="AF4842">
        <v>416.41</v>
      </c>
      <c r="AG4842">
        <v>2.63</v>
      </c>
      <c r="AH4842">
        <v>11.36</v>
      </c>
      <c r="AI4842">
        <v>-0.22</v>
      </c>
      <c r="AJ4842">
        <v>-0.05</v>
      </c>
      <c r="AK4842">
        <v>93</v>
      </c>
      <c r="AL4842">
        <v>146</v>
      </c>
      <c r="AM4842">
        <v>67</v>
      </c>
      <c r="AN4842">
        <v>9.9600000000000009</v>
      </c>
      <c r="AO4842">
        <v>-4.87</v>
      </c>
      <c r="AP4842">
        <v>230</v>
      </c>
      <c r="AQ4842">
        <v>0</v>
      </c>
      <c r="AR4842">
        <v>13.58</v>
      </c>
      <c r="AS4842">
        <v>88</v>
      </c>
      <c r="AT4842">
        <v>5.82</v>
      </c>
      <c r="AU4842">
        <v>99</v>
      </c>
      <c r="AV4842">
        <v>-0.11</v>
      </c>
      <c r="AW4842">
        <v>94</v>
      </c>
      <c r="AX4842">
        <v>0.94</v>
      </c>
      <c r="AY4842">
        <v>91</v>
      </c>
      <c r="AZ4842">
        <v>7.02</v>
      </c>
      <c r="BA4842">
        <v>83</v>
      </c>
      <c r="BB4842">
        <v>5.39</v>
      </c>
      <c r="BC4842">
        <v>82</v>
      </c>
      <c r="BD4842">
        <v>0.02</v>
      </c>
      <c r="BE4842">
        <v>0.05</v>
      </c>
      <c r="BF4842">
        <v>0.01</v>
      </c>
      <c r="BG4842">
        <v>95</v>
      </c>
      <c r="BH4842">
        <v>0.16</v>
      </c>
      <c r="BI4842">
        <v>13.83</v>
      </c>
      <c r="BJ4842">
        <v>64</v>
      </c>
      <c r="BK4842">
        <v>32</v>
      </c>
      <c r="BL4842">
        <v>0.43</v>
      </c>
      <c r="BM4842">
        <v>-1.49</v>
      </c>
      <c r="BN4842">
        <v>-0.12</v>
      </c>
      <c r="BO4842">
        <v>0.72</v>
      </c>
      <c r="BP4842">
        <v>-3.6</v>
      </c>
      <c r="BQ4842">
        <v>-2.4</v>
      </c>
      <c r="BR4842">
        <v>1.1000000000000001</v>
      </c>
      <c r="BS4842">
        <v>-1.1000000000000001</v>
      </c>
      <c r="BT4842">
        <v>-0.87</v>
      </c>
      <c r="BU4842">
        <v>0.54</v>
      </c>
      <c r="BV4842">
        <v>0.35</v>
      </c>
      <c r="BW4842">
        <v>0.56000000000000005</v>
      </c>
      <c r="BX4842">
        <v>0.14000000000000001</v>
      </c>
      <c r="BY4842">
        <v>0.45</v>
      </c>
      <c r="BZ4842">
        <v>0.34</v>
      </c>
      <c r="CA4842">
        <v>0.02</v>
      </c>
      <c r="CB4842">
        <v>0.44</v>
      </c>
      <c r="CC4842">
        <v>-0.85</v>
      </c>
      <c r="CD4842">
        <v>-1</v>
      </c>
      <c r="CE4842">
        <v>0.98</v>
      </c>
      <c r="CF4842">
        <v>-0.53</v>
      </c>
      <c r="CG4842">
        <v>0</v>
      </c>
      <c r="CH4842">
        <v>0.64</v>
      </c>
      <c r="CI4842">
        <v>0</v>
      </c>
      <c r="CJ4842">
        <v>3.1</v>
      </c>
      <c r="CK4842">
        <v>96</v>
      </c>
      <c r="CL4842">
        <v>-0.74</v>
      </c>
      <c r="CM4842">
        <v>95</v>
      </c>
      <c r="CN4842">
        <v>-0.41</v>
      </c>
      <c r="CO4842">
        <v>95</v>
      </c>
      <c r="CP4842">
        <v>-4.2</v>
      </c>
      <c r="CQ4842">
        <v>95</v>
      </c>
      <c r="CR4842">
        <v>0</v>
      </c>
      <c r="CS4842">
        <v>0</v>
      </c>
      <c r="CT4842">
        <v>-5.4</v>
      </c>
      <c r="CU4842">
        <v>92</v>
      </c>
      <c r="CV4842">
        <v>0.19</v>
      </c>
      <c r="CW4842">
        <v>45</v>
      </c>
      <c r="CX4842" t="s">
        <v>118</v>
      </c>
    </row>
    <row r="4843" spans="1:102" x14ac:dyDescent="0.3">
      <c r="A4843" t="str">
        <f>HYPERLINK("https://webapp.icbf.com/v2/app/bull-search/view/77854570","OHA")</f>
        <v>OHA</v>
      </c>
      <c r="B4843" t="s">
        <v>14118</v>
      </c>
      <c r="C4843" t="s">
        <v>11644</v>
      </c>
      <c r="D4843" s="1">
        <v>33398</v>
      </c>
      <c r="E4843" t="s">
        <v>92</v>
      </c>
      <c r="F4843">
        <v>100</v>
      </c>
      <c r="G4843" t="s">
        <v>93</v>
      </c>
      <c r="H4843">
        <v>-197.63</v>
      </c>
      <c r="I4843">
        <v>96</v>
      </c>
      <c r="J4843">
        <v>-15.35</v>
      </c>
      <c r="K4843">
        <v>99</v>
      </c>
      <c r="L4843">
        <v>-158.58000000000001</v>
      </c>
      <c r="M4843">
        <v>93</v>
      </c>
      <c r="N4843">
        <v>-9.1300000000000008</v>
      </c>
      <c r="O4843">
        <v>97</v>
      </c>
      <c r="P4843">
        <v>-6.12</v>
      </c>
      <c r="Q4843">
        <v>99</v>
      </c>
      <c r="R4843">
        <v>-7.42</v>
      </c>
      <c r="S4843">
        <v>93</v>
      </c>
      <c r="T4843">
        <v>5.61</v>
      </c>
      <c r="U4843">
        <v>98</v>
      </c>
      <c r="V4843">
        <v>-6.64</v>
      </c>
      <c r="W4843">
        <v>91</v>
      </c>
      <c r="X4843" t="s">
        <v>131</v>
      </c>
      <c r="Y4843" t="s">
        <v>95</v>
      </c>
      <c r="Z4843" t="s">
        <v>96</v>
      </c>
      <c r="AA4843" t="s">
        <v>132</v>
      </c>
      <c r="AB4843" t="s">
        <v>14119</v>
      </c>
      <c r="AC4843">
        <v>1053</v>
      </c>
      <c r="AD4843">
        <v>451</v>
      </c>
      <c r="AE4843">
        <v>99</v>
      </c>
      <c r="AF4843">
        <v>217.34</v>
      </c>
      <c r="AG4843">
        <v>0.78</v>
      </c>
      <c r="AH4843">
        <v>0.44</v>
      </c>
      <c r="AI4843">
        <v>-0.13</v>
      </c>
      <c r="AJ4843">
        <v>-0.12</v>
      </c>
      <c r="AK4843">
        <v>93</v>
      </c>
      <c r="AL4843">
        <v>1014</v>
      </c>
      <c r="AM4843">
        <v>425</v>
      </c>
      <c r="AN4843">
        <v>9.16</v>
      </c>
      <c r="AO4843">
        <v>-3.48</v>
      </c>
      <c r="AP4843">
        <v>1073</v>
      </c>
      <c r="AQ4843">
        <v>4</v>
      </c>
      <c r="AR4843">
        <v>6.33</v>
      </c>
      <c r="AS4843">
        <v>96</v>
      </c>
      <c r="AT4843">
        <v>2.94</v>
      </c>
      <c r="AU4843">
        <v>98</v>
      </c>
      <c r="AV4843">
        <v>1.2</v>
      </c>
      <c r="AW4843">
        <v>98</v>
      </c>
      <c r="AX4843">
        <v>-0.65</v>
      </c>
      <c r="AY4843">
        <v>97</v>
      </c>
      <c r="AZ4843">
        <v>7.76</v>
      </c>
      <c r="BA4843">
        <v>92</v>
      </c>
      <c r="BB4843">
        <v>5.75</v>
      </c>
      <c r="BC4843">
        <v>93</v>
      </c>
      <c r="BD4843">
        <v>0.04</v>
      </c>
      <c r="BE4843">
        <v>0.06</v>
      </c>
      <c r="BF4843">
        <v>-0.01</v>
      </c>
      <c r="BG4843">
        <v>98</v>
      </c>
      <c r="BH4843">
        <v>-0.02</v>
      </c>
      <c r="BI4843">
        <v>19.11</v>
      </c>
      <c r="BJ4843">
        <v>191</v>
      </c>
      <c r="BK4843">
        <v>99</v>
      </c>
      <c r="BL4843">
        <v>0.63</v>
      </c>
      <c r="BM4843">
        <v>-0.47</v>
      </c>
      <c r="BN4843">
        <v>0.43</v>
      </c>
      <c r="BO4843">
        <v>0.67</v>
      </c>
      <c r="BP4843">
        <v>-0.88</v>
      </c>
      <c r="BQ4843">
        <v>0.26</v>
      </c>
      <c r="BR4843">
        <v>-0.44</v>
      </c>
      <c r="BS4843">
        <v>0.63</v>
      </c>
      <c r="BT4843">
        <v>0.56000000000000005</v>
      </c>
      <c r="BU4843">
        <v>0.23</v>
      </c>
      <c r="BV4843">
        <v>1.1100000000000001</v>
      </c>
      <c r="BW4843">
        <v>0.13</v>
      </c>
      <c r="BX4843">
        <v>-0.22</v>
      </c>
      <c r="BY4843">
        <v>-0.61</v>
      </c>
      <c r="BZ4843">
        <v>0.64</v>
      </c>
      <c r="CA4843">
        <v>0.64</v>
      </c>
      <c r="CB4843">
        <v>0.37</v>
      </c>
      <c r="CC4843">
        <v>1.01</v>
      </c>
      <c r="CD4843">
        <v>-0.74</v>
      </c>
      <c r="CE4843">
        <v>0.64</v>
      </c>
      <c r="CF4843">
        <v>0.79</v>
      </c>
      <c r="CG4843">
        <v>0</v>
      </c>
      <c r="CH4843">
        <v>-0.46</v>
      </c>
      <c r="CI4843">
        <v>0</v>
      </c>
      <c r="CJ4843">
        <v>-1.6</v>
      </c>
      <c r="CK4843">
        <v>99</v>
      </c>
      <c r="CL4843">
        <v>-0.72</v>
      </c>
      <c r="CM4843">
        <v>99</v>
      </c>
      <c r="CN4843">
        <v>-0.33</v>
      </c>
      <c r="CO4843">
        <v>99</v>
      </c>
      <c r="CP4843">
        <v>-2.2999999999999998</v>
      </c>
      <c r="CQ4843">
        <v>99</v>
      </c>
      <c r="CR4843">
        <v>0</v>
      </c>
      <c r="CS4843">
        <v>0</v>
      </c>
      <c r="CT4843">
        <v>6.2</v>
      </c>
      <c r="CU4843">
        <v>98</v>
      </c>
      <c r="CV4843">
        <v>0.12</v>
      </c>
      <c r="CW4843">
        <v>46</v>
      </c>
      <c r="CX4843" t="s">
        <v>543</v>
      </c>
    </row>
    <row r="4844" spans="1:102" x14ac:dyDescent="0.3">
      <c r="A4844" t="str">
        <f>HYPERLINK("https://webapp.icbf.com/v2/app/bull-search/view/77859883","BPI")</f>
        <v>BPI</v>
      </c>
      <c r="B4844" t="s">
        <v>15337</v>
      </c>
      <c r="C4844" t="s">
        <v>15338</v>
      </c>
      <c r="D4844" s="1">
        <v>34005</v>
      </c>
      <c r="E4844" t="s">
        <v>92</v>
      </c>
      <c r="F4844">
        <v>100</v>
      </c>
      <c r="G4844" t="s">
        <v>93</v>
      </c>
      <c r="H4844">
        <v>-198.06</v>
      </c>
      <c r="I4844">
        <v>86</v>
      </c>
      <c r="J4844">
        <v>-0.05</v>
      </c>
      <c r="K4844">
        <v>97</v>
      </c>
      <c r="L4844">
        <v>-158.79</v>
      </c>
      <c r="M4844">
        <v>82</v>
      </c>
      <c r="N4844">
        <v>-26.31</v>
      </c>
      <c r="O4844">
        <v>78</v>
      </c>
      <c r="P4844">
        <v>-2.95</v>
      </c>
      <c r="Q4844">
        <v>87</v>
      </c>
      <c r="R4844">
        <v>-6.74</v>
      </c>
      <c r="S4844">
        <v>82</v>
      </c>
      <c r="T4844">
        <v>-2.31</v>
      </c>
      <c r="U4844">
        <v>80</v>
      </c>
      <c r="V4844">
        <v>-0.91</v>
      </c>
      <c r="W4844">
        <v>71</v>
      </c>
      <c r="X4844" t="s">
        <v>94</v>
      </c>
      <c r="Y4844" t="s">
        <v>95</v>
      </c>
      <c r="Z4844" t="s">
        <v>96</v>
      </c>
      <c r="AA4844" t="s">
        <v>485</v>
      </c>
      <c r="AB4844" t="s">
        <v>15339</v>
      </c>
      <c r="AC4844">
        <v>111</v>
      </c>
      <c r="AD4844">
        <v>59</v>
      </c>
      <c r="AE4844">
        <v>97</v>
      </c>
      <c r="AF4844">
        <v>78.900000000000006</v>
      </c>
      <c r="AG4844">
        <v>0.25</v>
      </c>
      <c r="AH4844">
        <v>1.1100000000000001</v>
      </c>
      <c r="AI4844">
        <v>-0.05</v>
      </c>
      <c r="AJ4844">
        <v>-0.03</v>
      </c>
      <c r="AK4844">
        <v>82</v>
      </c>
      <c r="AL4844">
        <v>135</v>
      </c>
      <c r="AM4844">
        <v>70</v>
      </c>
      <c r="AN4844">
        <v>8.11</v>
      </c>
      <c r="AO4844">
        <v>-4.5599999999999996</v>
      </c>
      <c r="AP4844">
        <v>78</v>
      </c>
      <c r="AQ4844">
        <v>1</v>
      </c>
      <c r="AR4844">
        <v>10.8</v>
      </c>
      <c r="AS4844">
        <v>67</v>
      </c>
      <c r="AT4844">
        <v>5</v>
      </c>
      <c r="AU4844">
        <v>84</v>
      </c>
      <c r="AV4844">
        <v>-0.56999999999999995</v>
      </c>
      <c r="AW4844">
        <v>80</v>
      </c>
      <c r="AX4844">
        <v>0.9</v>
      </c>
      <c r="AY4844">
        <v>83</v>
      </c>
      <c r="AZ4844">
        <v>5.31</v>
      </c>
      <c r="BA4844">
        <v>61</v>
      </c>
      <c r="BB4844">
        <v>5.0199999999999996</v>
      </c>
      <c r="BC4844">
        <v>69</v>
      </c>
      <c r="BD4844">
        <v>0.06</v>
      </c>
      <c r="BE4844">
        <v>0.05</v>
      </c>
      <c r="BF4844">
        <v>-0.04</v>
      </c>
      <c r="BG4844">
        <v>93</v>
      </c>
      <c r="BH4844">
        <v>0.03</v>
      </c>
      <c r="BI4844">
        <v>6.41</v>
      </c>
      <c r="BJ4844">
        <v>59</v>
      </c>
      <c r="BK4844">
        <v>31</v>
      </c>
      <c r="BL4844">
        <v>1.41</v>
      </c>
      <c r="BM4844">
        <v>0.71</v>
      </c>
      <c r="BN4844">
        <v>1.81</v>
      </c>
      <c r="BO4844">
        <v>0.88</v>
      </c>
      <c r="BP4844">
        <v>-3.31</v>
      </c>
      <c r="BQ4844">
        <v>0.48</v>
      </c>
      <c r="BR4844">
        <v>-0.4</v>
      </c>
      <c r="BS4844">
        <v>0.19</v>
      </c>
      <c r="BT4844">
        <v>1.1599999999999999</v>
      </c>
      <c r="BU4844">
        <v>2.16</v>
      </c>
      <c r="BV4844">
        <v>1.73</v>
      </c>
      <c r="BW4844">
        <v>0.83</v>
      </c>
      <c r="BX4844">
        <v>1.8</v>
      </c>
      <c r="BY4844">
        <v>1.2</v>
      </c>
      <c r="BZ4844">
        <v>-1.06</v>
      </c>
      <c r="CA4844">
        <v>1.51</v>
      </c>
      <c r="CB4844">
        <v>1.99</v>
      </c>
      <c r="CC4844">
        <v>-0.09</v>
      </c>
      <c r="CD4844">
        <v>-0.57999999999999996</v>
      </c>
      <c r="CE4844">
        <v>1.1100000000000001</v>
      </c>
      <c r="CF4844">
        <v>1.84</v>
      </c>
      <c r="CG4844">
        <v>0</v>
      </c>
      <c r="CH4844">
        <v>1.28</v>
      </c>
      <c r="CI4844">
        <v>0</v>
      </c>
      <c r="CJ4844">
        <v>0.4</v>
      </c>
      <c r="CK4844">
        <v>88</v>
      </c>
      <c r="CL4844">
        <v>-0.8</v>
      </c>
      <c r="CM4844">
        <v>86</v>
      </c>
      <c r="CN4844">
        <v>-0.4</v>
      </c>
      <c r="CO4844">
        <v>85</v>
      </c>
      <c r="CP4844">
        <v>0.5</v>
      </c>
      <c r="CQ4844">
        <v>89</v>
      </c>
      <c r="CR4844">
        <v>0</v>
      </c>
      <c r="CS4844">
        <v>0</v>
      </c>
      <c r="CT4844">
        <v>16.899999999999999</v>
      </c>
      <c r="CU4844">
        <v>80</v>
      </c>
      <c r="CV4844">
        <v>0.14000000000000001</v>
      </c>
      <c r="CW4844">
        <v>44</v>
      </c>
      <c r="CX4844" t="s">
        <v>15340</v>
      </c>
    </row>
    <row r="4845" spans="1:102" x14ac:dyDescent="0.3">
      <c r="A4845" t="str">
        <f>HYPERLINK("https://webapp.icbf.com/v2/app/bull-search/view/199253378","AJU")</f>
        <v>AJU</v>
      </c>
      <c r="B4845" t="s">
        <v>1056</v>
      </c>
      <c r="C4845" t="s">
        <v>1057</v>
      </c>
      <c r="D4845" s="1">
        <v>34970</v>
      </c>
      <c r="E4845" t="s">
        <v>92</v>
      </c>
      <c r="F4845">
        <v>100</v>
      </c>
      <c r="G4845" t="s">
        <v>109</v>
      </c>
      <c r="H4845">
        <v>-198.22</v>
      </c>
      <c r="I4845">
        <v>88</v>
      </c>
      <c r="J4845">
        <v>-11.04</v>
      </c>
      <c r="K4845">
        <v>96</v>
      </c>
      <c r="L4845">
        <v>-166.53</v>
      </c>
      <c r="M4845">
        <v>90</v>
      </c>
      <c r="N4845">
        <v>-20.94</v>
      </c>
      <c r="O4845">
        <v>78</v>
      </c>
      <c r="P4845">
        <v>-11.57</v>
      </c>
      <c r="Q4845">
        <v>78</v>
      </c>
      <c r="R4845">
        <v>-7.76</v>
      </c>
      <c r="S4845">
        <v>80</v>
      </c>
      <c r="T4845">
        <v>18.34</v>
      </c>
      <c r="U4845">
        <v>77</v>
      </c>
      <c r="V4845">
        <v>1.28</v>
      </c>
      <c r="W4845">
        <v>70</v>
      </c>
      <c r="X4845" t="s">
        <v>747</v>
      </c>
      <c r="Y4845" t="s">
        <v>95</v>
      </c>
      <c r="Z4845" t="s">
        <v>96</v>
      </c>
      <c r="AA4845" t="s">
        <v>839</v>
      </c>
      <c r="AB4845" t="s">
        <v>1058</v>
      </c>
      <c r="AC4845">
        <v>39</v>
      </c>
      <c r="AD4845">
        <v>20</v>
      </c>
      <c r="AE4845">
        <v>96</v>
      </c>
      <c r="AF4845">
        <v>93.99</v>
      </c>
      <c r="AG4845">
        <v>5.8</v>
      </c>
      <c r="AH4845">
        <v>-2.4900000000000002</v>
      </c>
      <c r="AI4845">
        <v>0.04</v>
      </c>
      <c r="AJ4845">
        <v>-0.1</v>
      </c>
      <c r="AK4845">
        <v>90</v>
      </c>
      <c r="AL4845">
        <v>32</v>
      </c>
      <c r="AM4845">
        <v>21</v>
      </c>
      <c r="AN4845">
        <v>9.1</v>
      </c>
      <c r="AO4845">
        <v>-4.18</v>
      </c>
      <c r="AP4845">
        <v>55</v>
      </c>
      <c r="AQ4845">
        <v>1</v>
      </c>
      <c r="AR4845">
        <v>10.82</v>
      </c>
      <c r="AS4845">
        <v>66</v>
      </c>
      <c r="AT4845">
        <v>4.6500000000000004</v>
      </c>
      <c r="AU4845">
        <v>91</v>
      </c>
      <c r="AV4845">
        <v>-0.02</v>
      </c>
      <c r="AW4845">
        <v>82</v>
      </c>
      <c r="AX4845">
        <v>-0.84</v>
      </c>
      <c r="AY4845">
        <v>68</v>
      </c>
      <c r="AZ4845">
        <v>5.33</v>
      </c>
      <c r="BA4845">
        <v>58</v>
      </c>
      <c r="BB4845">
        <v>4.79</v>
      </c>
      <c r="BC4845">
        <v>59</v>
      </c>
      <c r="BD4845">
        <v>0.02</v>
      </c>
      <c r="BE4845">
        <v>0.05</v>
      </c>
      <c r="BF4845">
        <v>0.05</v>
      </c>
      <c r="BG4845">
        <v>93</v>
      </c>
      <c r="BH4845">
        <v>0.03</v>
      </c>
      <c r="BI4845">
        <v>-0.66</v>
      </c>
      <c r="BJ4845">
        <v>13</v>
      </c>
      <c r="BK4845">
        <v>10</v>
      </c>
      <c r="BL4845">
        <v>1.18</v>
      </c>
      <c r="BM4845">
        <v>-0.52</v>
      </c>
      <c r="BN4845">
        <v>1.1299999999999999</v>
      </c>
      <c r="BO4845">
        <v>1.32</v>
      </c>
      <c r="BP4845">
        <v>1.1200000000000001</v>
      </c>
      <c r="BQ4845">
        <v>0.97</v>
      </c>
      <c r="BR4845">
        <v>-0.05</v>
      </c>
      <c r="BS4845">
        <v>1.37</v>
      </c>
      <c r="BT4845">
        <v>-0.19</v>
      </c>
      <c r="BU4845">
        <v>2.0299999999999998</v>
      </c>
      <c r="BV4845">
        <v>1.34</v>
      </c>
      <c r="BW4845">
        <v>0.57999999999999996</v>
      </c>
      <c r="BX4845">
        <v>1.7</v>
      </c>
      <c r="BY4845">
        <v>0.26</v>
      </c>
      <c r="BZ4845">
        <v>1.55</v>
      </c>
      <c r="CA4845">
        <v>1.08</v>
      </c>
      <c r="CB4845">
        <v>1.25</v>
      </c>
      <c r="CC4845">
        <v>0.6</v>
      </c>
      <c r="CD4845">
        <v>-1.29</v>
      </c>
      <c r="CE4845">
        <v>1.23</v>
      </c>
      <c r="CF4845">
        <v>1.2</v>
      </c>
      <c r="CG4845">
        <v>0</v>
      </c>
      <c r="CH4845">
        <v>0.11</v>
      </c>
      <c r="CI4845">
        <v>0</v>
      </c>
      <c r="CJ4845">
        <v>-4.5999999999999996</v>
      </c>
      <c r="CK4845">
        <v>79</v>
      </c>
      <c r="CL4845">
        <v>-0.97</v>
      </c>
      <c r="CM4845">
        <v>77</v>
      </c>
      <c r="CN4845">
        <v>-0.54</v>
      </c>
      <c r="CO4845">
        <v>74</v>
      </c>
      <c r="CP4845">
        <v>-10.199999999999999</v>
      </c>
      <c r="CQ4845">
        <v>82</v>
      </c>
      <c r="CR4845">
        <v>0</v>
      </c>
      <c r="CS4845">
        <v>0</v>
      </c>
      <c r="CT4845">
        <v>-11</v>
      </c>
      <c r="CU4845">
        <v>77</v>
      </c>
      <c r="CV4845">
        <v>0.16</v>
      </c>
      <c r="CW4845">
        <v>41</v>
      </c>
      <c r="CX4845" t="s">
        <v>152</v>
      </c>
    </row>
    <row r="4846" spans="1:102" x14ac:dyDescent="0.3">
      <c r="A4846" t="str">
        <f>HYPERLINK("https://webapp.icbf.com/v2/app/bull-search/view/108905908","WCE")</f>
        <v>WCE</v>
      </c>
      <c r="B4846" t="s">
        <v>841</v>
      </c>
      <c r="C4846" t="s">
        <v>842</v>
      </c>
      <c r="D4846" s="1">
        <v>35247</v>
      </c>
      <c r="E4846" t="s">
        <v>92</v>
      </c>
      <c r="F4846">
        <v>100</v>
      </c>
      <c r="G4846" t="s">
        <v>109</v>
      </c>
      <c r="H4846">
        <v>-198.5</v>
      </c>
      <c r="I4846">
        <v>80</v>
      </c>
      <c r="J4846">
        <v>19.95</v>
      </c>
      <c r="K4846">
        <v>94</v>
      </c>
      <c r="L4846">
        <v>-185.96</v>
      </c>
      <c r="M4846">
        <v>88</v>
      </c>
      <c r="N4846">
        <v>-0.28000000000000003</v>
      </c>
      <c r="O4846">
        <v>66</v>
      </c>
      <c r="P4846">
        <v>-17.670000000000002</v>
      </c>
      <c r="Q4846">
        <v>51</v>
      </c>
      <c r="R4846">
        <v>-21.22</v>
      </c>
      <c r="S4846">
        <v>74</v>
      </c>
      <c r="T4846">
        <v>8.94</v>
      </c>
      <c r="U4846">
        <v>53</v>
      </c>
      <c r="V4846">
        <v>-2.2599999999999998</v>
      </c>
      <c r="W4846">
        <v>56</v>
      </c>
      <c r="X4846" t="s">
        <v>94</v>
      </c>
      <c r="Y4846" t="s">
        <v>95</v>
      </c>
      <c r="Z4846" t="s">
        <v>96</v>
      </c>
      <c r="AA4846" t="s">
        <v>843</v>
      </c>
      <c r="AB4846" t="s">
        <v>844</v>
      </c>
      <c r="AC4846">
        <v>0</v>
      </c>
      <c r="AD4846">
        <v>0</v>
      </c>
      <c r="AE4846">
        <v>94</v>
      </c>
      <c r="AF4846">
        <v>527.79</v>
      </c>
      <c r="AG4846">
        <v>6.28</v>
      </c>
      <c r="AH4846">
        <v>9.25</v>
      </c>
      <c r="AI4846">
        <v>-0.23</v>
      </c>
      <c r="AJ4846">
        <v>-0.14000000000000001</v>
      </c>
      <c r="AK4846">
        <v>88</v>
      </c>
      <c r="AL4846">
        <v>0</v>
      </c>
      <c r="AM4846">
        <v>0</v>
      </c>
      <c r="AN4846">
        <v>11.71</v>
      </c>
      <c r="AO4846">
        <v>-3.1</v>
      </c>
      <c r="AP4846">
        <v>9</v>
      </c>
      <c r="AQ4846">
        <v>0</v>
      </c>
      <c r="AR4846">
        <v>11.04</v>
      </c>
      <c r="AS4846">
        <v>52</v>
      </c>
      <c r="AT4846">
        <v>4.04</v>
      </c>
      <c r="AU4846">
        <v>99</v>
      </c>
      <c r="AV4846">
        <v>-2.61</v>
      </c>
      <c r="AW4846">
        <v>64</v>
      </c>
      <c r="AX4846">
        <v>-0.84</v>
      </c>
      <c r="AY4846">
        <v>49</v>
      </c>
      <c r="AZ4846">
        <v>7.46</v>
      </c>
      <c r="BA4846">
        <v>38</v>
      </c>
      <c r="BB4846">
        <v>5.4</v>
      </c>
      <c r="BC4846">
        <v>40</v>
      </c>
      <c r="BD4846">
        <v>0.06</v>
      </c>
      <c r="BE4846">
        <v>0.12</v>
      </c>
      <c r="BF4846">
        <v>0.16</v>
      </c>
      <c r="BG4846">
        <v>93</v>
      </c>
      <c r="BH4846">
        <v>0.09</v>
      </c>
      <c r="BI4846">
        <v>17.71</v>
      </c>
      <c r="BJ4846">
        <v>1</v>
      </c>
      <c r="BK4846">
        <v>1</v>
      </c>
      <c r="BL4846">
        <v>1.01</v>
      </c>
      <c r="BM4846">
        <v>0.25</v>
      </c>
      <c r="BN4846">
        <v>0.99</v>
      </c>
      <c r="BO4846">
        <v>1.06</v>
      </c>
      <c r="BP4846">
        <v>1.61</v>
      </c>
      <c r="BQ4846">
        <v>2</v>
      </c>
      <c r="BR4846">
        <v>-0.79</v>
      </c>
      <c r="BS4846">
        <v>-1.0900000000000001</v>
      </c>
      <c r="BT4846">
        <v>1.4</v>
      </c>
      <c r="BU4846">
        <v>0.36</v>
      </c>
      <c r="BV4846">
        <v>1.69</v>
      </c>
      <c r="BW4846">
        <v>1.08</v>
      </c>
      <c r="BX4846">
        <v>-0.37</v>
      </c>
      <c r="BY4846">
        <v>1.07</v>
      </c>
      <c r="BZ4846">
        <v>0.85</v>
      </c>
      <c r="CA4846">
        <v>0.5</v>
      </c>
      <c r="CB4846">
        <v>0.82</v>
      </c>
      <c r="CC4846">
        <v>-0.15</v>
      </c>
      <c r="CD4846">
        <v>-0.53</v>
      </c>
      <c r="CE4846">
        <v>0.59</v>
      </c>
      <c r="CF4846">
        <v>0.14000000000000001</v>
      </c>
      <c r="CG4846">
        <v>0</v>
      </c>
      <c r="CH4846">
        <v>1.1299999999999999</v>
      </c>
      <c r="CI4846">
        <v>0</v>
      </c>
      <c r="CJ4846">
        <v>-5</v>
      </c>
      <c r="CK4846">
        <v>52</v>
      </c>
      <c r="CL4846">
        <v>-1.07</v>
      </c>
      <c r="CM4846">
        <v>49</v>
      </c>
      <c r="CN4846">
        <v>-0.08</v>
      </c>
      <c r="CO4846">
        <v>48</v>
      </c>
      <c r="CP4846">
        <v>-4.4000000000000004</v>
      </c>
      <c r="CQ4846">
        <v>53</v>
      </c>
      <c r="CR4846">
        <v>0</v>
      </c>
      <c r="CS4846">
        <v>0</v>
      </c>
      <c r="CT4846">
        <v>1.7</v>
      </c>
      <c r="CU4846">
        <v>53</v>
      </c>
      <c r="CV4846">
        <v>0.15</v>
      </c>
      <c r="CW4846">
        <v>35</v>
      </c>
      <c r="CX4846" t="s">
        <v>207</v>
      </c>
    </row>
    <row r="4847" spans="1:102" x14ac:dyDescent="0.3">
      <c r="A4847" t="str">
        <f>HYPERLINK("https://webapp.icbf.com/v2/app/bull-search/view/77853019","WFJ")</f>
        <v>WFJ</v>
      </c>
      <c r="B4847" t="s">
        <v>7412</v>
      </c>
      <c r="C4847" t="s">
        <v>7413</v>
      </c>
      <c r="D4847" s="1">
        <v>35792</v>
      </c>
      <c r="E4847" t="s">
        <v>92</v>
      </c>
      <c r="F4847">
        <v>100</v>
      </c>
      <c r="G4847" t="s">
        <v>93</v>
      </c>
      <c r="H4847">
        <v>-198.68</v>
      </c>
      <c r="I4847">
        <v>83</v>
      </c>
      <c r="J4847">
        <v>7.83</v>
      </c>
      <c r="K4847">
        <v>95</v>
      </c>
      <c r="L4847">
        <v>-198.09</v>
      </c>
      <c r="M4847">
        <v>78</v>
      </c>
      <c r="N4847">
        <v>-11.5</v>
      </c>
      <c r="O4847">
        <v>75</v>
      </c>
      <c r="P4847">
        <v>-4.93</v>
      </c>
      <c r="Q4847">
        <v>85</v>
      </c>
      <c r="R4847">
        <v>-9.26</v>
      </c>
      <c r="S4847">
        <v>76</v>
      </c>
      <c r="T4847">
        <v>19.23</v>
      </c>
      <c r="U4847">
        <v>73</v>
      </c>
      <c r="V4847">
        <v>-1.96</v>
      </c>
      <c r="W4847">
        <v>67</v>
      </c>
      <c r="X4847" t="s">
        <v>558</v>
      </c>
      <c r="Y4847" t="s">
        <v>95</v>
      </c>
      <c r="Z4847" t="s">
        <v>96</v>
      </c>
      <c r="AA4847" t="s">
        <v>4558</v>
      </c>
      <c r="AB4847" t="s">
        <v>7414</v>
      </c>
      <c r="AC4847">
        <v>37</v>
      </c>
      <c r="AD4847">
        <v>32</v>
      </c>
      <c r="AE4847">
        <v>95</v>
      </c>
      <c r="AF4847">
        <v>446.39</v>
      </c>
      <c r="AG4847">
        <v>6.54</v>
      </c>
      <c r="AH4847">
        <v>5.85</v>
      </c>
      <c r="AI4847">
        <v>-0.18</v>
      </c>
      <c r="AJ4847">
        <v>-0.15</v>
      </c>
      <c r="AK4847">
        <v>78</v>
      </c>
      <c r="AL4847">
        <v>46</v>
      </c>
      <c r="AM4847">
        <v>30</v>
      </c>
      <c r="AN4847">
        <v>12.96</v>
      </c>
      <c r="AO4847">
        <v>-2.81</v>
      </c>
      <c r="AP4847">
        <v>42</v>
      </c>
      <c r="AQ4847">
        <v>0</v>
      </c>
      <c r="AR4847">
        <v>10.25</v>
      </c>
      <c r="AS4847">
        <v>66</v>
      </c>
      <c r="AT4847">
        <v>4.16</v>
      </c>
      <c r="AU4847">
        <v>80</v>
      </c>
      <c r="AV4847">
        <v>-1.64</v>
      </c>
      <c r="AW4847">
        <v>79</v>
      </c>
      <c r="AX4847">
        <v>-0.17</v>
      </c>
      <c r="AY4847">
        <v>71</v>
      </c>
      <c r="AZ4847">
        <v>8.4499999999999993</v>
      </c>
      <c r="BA4847">
        <v>59</v>
      </c>
      <c r="BB4847">
        <v>5.66</v>
      </c>
      <c r="BC4847">
        <v>61</v>
      </c>
      <c r="BD4847">
        <v>0.06</v>
      </c>
      <c r="BE4847">
        <v>7.0000000000000007E-2</v>
      </c>
      <c r="BF4847">
        <v>-0.02</v>
      </c>
      <c r="BG4847">
        <v>86</v>
      </c>
      <c r="BH4847">
        <v>0</v>
      </c>
      <c r="BI4847">
        <v>6.32</v>
      </c>
      <c r="BJ4847">
        <v>23</v>
      </c>
      <c r="BK4847">
        <v>15</v>
      </c>
      <c r="BL4847">
        <v>0.43</v>
      </c>
      <c r="BM4847">
        <v>-1.54</v>
      </c>
      <c r="BN4847">
        <v>-0.71</v>
      </c>
      <c r="BO4847">
        <v>0.68</v>
      </c>
      <c r="BP4847">
        <v>0.13</v>
      </c>
      <c r="BQ4847">
        <v>0.28999999999999998</v>
      </c>
      <c r="BR4847">
        <v>-2.57</v>
      </c>
      <c r="BS4847">
        <v>-0.16</v>
      </c>
      <c r="BT4847">
        <v>2.13</v>
      </c>
      <c r="BU4847">
        <v>0.39</v>
      </c>
      <c r="BV4847">
        <v>0.63</v>
      </c>
      <c r="BW4847">
        <v>0.15</v>
      </c>
      <c r="BX4847">
        <v>-0.06</v>
      </c>
      <c r="BY4847">
        <v>0.15</v>
      </c>
      <c r="BZ4847">
        <v>-0.42</v>
      </c>
      <c r="CA4847">
        <v>1.1299999999999999</v>
      </c>
      <c r="CB4847">
        <v>0.8</v>
      </c>
      <c r="CC4847">
        <v>1.02</v>
      </c>
      <c r="CD4847">
        <v>-1.1399999999999999</v>
      </c>
      <c r="CE4847">
        <v>1.1299999999999999</v>
      </c>
      <c r="CF4847">
        <v>0.4</v>
      </c>
      <c r="CG4847">
        <v>0</v>
      </c>
      <c r="CH4847">
        <v>0.18</v>
      </c>
      <c r="CI4847">
        <v>0</v>
      </c>
      <c r="CJ4847">
        <v>-2.2000000000000002</v>
      </c>
      <c r="CK4847">
        <v>87</v>
      </c>
      <c r="CL4847">
        <v>-0.72</v>
      </c>
      <c r="CM4847">
        <v>84</v>
      </c>
      <c r="CN4847">
        <v>-0.56000000000000005</v>
      </c>
      <c r="CO4847">
        <v>83</v>
      </c>
      <c r="CP4847">
        <v>-6.8</v>
      </c>
      <c r="CQ4847">
        <v>83</v>
      </c>
      <c r="CR4847">
        <v>0</v>
      </c>
      <c r="CS4847">
        <v>0</v>
      </c>
      <c r="CT4847">
        <v>-12.2</v>
      </c>
      <c r="CU4847">
        <v>73</v>
      </c>
      <c r="CV4847">
        <v>0.11</v>
      </c>
      <c r="CW4847">
        <v>43</v>
      </c>
      <c r="CX4847" t="s">
        <v>265</v>
      </c>
    </row>
    <row r="4848" spans="1:102" x14ac:dyDescent="0.3">
      <c r="A4848" t="str">
        <f>HYPERLINK("https://webapp.icbf.com/v2/app/bull-search/view/77852749","XLA")</f>
        <v>XLA</v>
      </c>
      <c r="B4848" t="s">
        <v>10738</v>
      </c>
      <c r="C4848" t="s">
        <v>1574</v>
      </c>
      <c r="D4848" s="1">
        <v>34600</v>
      </c>
      <c r="E4848" t="s">
        <v>92</v>
      </c>
      <c r="F4848">
        <v>100</v>
      </c>
      <c r="G4848" t="s">
        <v>93</v>
      </c>
      <c r="H4848">
        <v>-199.22</v>
      </c>
      <c r="I4848">
        <v>98</v>
      </c>
      <c r="J4848">
        <v>-6.05</v>
      </c>
      <c r="K4848">
        <v>99</v>
      </c>
      <c r="L4848">
        <v>-196.6</v>
      </c>
      <c r="M4848">
        <v>96</v>
      </c>
      <c r="N4848">
        <v>6.48</v>
      </c>
      <c r="O4848">
        <v>99</v>
      </c>
      <c r="P4848">
        <v>-4.6500000000000004</v>
      </c>
      <c r="Q4848">
        <v>99</v>
      </c>
      <c r="R4848">
        <v>-8.1300000000000008</v>
      </c>
      <c r="S4848">
        <v>97</v>
      </c>
      <c r="T4848">
        <v>9.16</v>
      </c>
      <c r="U4848">
        <v>99</v>
      </c>
      <c r="V4848">
        <v>0.56999999999999995</v>
      </c>
      <c r="W4848">
        <v>97</v>
      </c>
      <c r="X4848" t="s">
        <v>558</v>
      </c>
      <c r="Y4848" t="s">
        <v>95</v>
      </c>
      <c r="Z4848" t="s">
        <v>96</v>
      </c>
      <c r="AA4848" t="s">
        <v>678</v>
      </c>
      <c r="AB4848" t="s">
        <v>10739</v>
      </c>
      <c r="AC4848">
        <v>2186</v>
      </c>
      <c r="AD4848">
        <v>593</v>
      </c>
      <c r="AE4848">
        <v>99</v>
      </c>
      <c r="AF4848">
        <v>195.39</v>
      </c>
      <c r="AG4848">
        <v>-7.77</v>
      </c>
      <c r="AH4848">
        <v>4.71</v>
      </c>
      <c r="AI4848">
        <v>-0.26</v>
      </c>
      <c r="AJ4848">
        <v>-0.03</v>
      </c>
      <c r="AK4848">
        <v>96</v>
      </c>
      <c r="AL4848">
        <v>1972</v>
      </c>
      <c r="AM4848">
        <v>555</v>
      </c>
      <c r="AN4848">
        <v>9.84</v>
      </c>
      <c r="AO4848">
        <v>-5.85</v>
      </c>
      <c r="AP4848">
        <v>3177</v>
      </c>
      <c r="AQ4848">
        <v>1</v>
      </c>
      <c r="AR4848">
        <v>8.76</v>
      </c>
      <c r="AS4848">
        <v>99</v>
      </c>
      <c r="AT4848">
        <v>3.71</v>
      </c>
      <c r="AU4848">
        <v>99</v>
      </c>
      <c r="AV4848">
        <v>-1.57</v>
      </c>
      <c r="AW4848">
        <v>99</v>
      </c>
      <c r="AX4848">
        <v>0.35</v>
      </c>
      <c r="AY4848">
        <v>99</v>
      </c>
      <c r="AZ4848">
        <v>5.79</v>
      </c>
      <c r="BA4848">
        <v>97</v>
      </c>
      <c r="BB4848">
        <v>4.42</v>
      </c>
      <c r="BC4848">
        <v>97</v>
      </c>
      <c r="BD4848">
        <v>0</v>
      </c>
      <c r="BE4848">
        <v>0.03</v>
      </c>
      <c r="BF4848">
        <v>0.13</v>
      </c>
      <c r="BG4848">
        <v>99</v>
      </c>
      <c r="BH4848">
        <v>-0.03</v>
      </c>
      <c r="BI4848">
        <v>-5.31</v>
      </c>
      <c r="BJ4848">
        <v>784</v>
      </c>
      <c r="BK4848">
        <v>204</v>
      </c>
      <c r="BL4848">
        <v>0.47</v>
      </c>
      <c r="BM4848">
        <v>-2.75</v>
      </c>
      <c r="BN4848">
        <v>-1.22</v>
      </c>
      <c r="BO4848">
        <v>0.87</v>
      </c>
      <c r="BP4848">
        <v>-1.01</v>
      </c>
      <c r="BQ4848">
        <v>-0.26</v>
      </c>
      <c r="BR4848">
        <v>-2.2999999999999998</v>
      </c>
      <c r="BS4848">
        <v>2.81</v>
      </c>
      <c r="BT4848">
        <v>2.78</v>
      </c>
      <c r="BU4848">
        <v>2.08</v>
      </c>
      <c r="BV4848">
        <v>1.71</v>
      </c>
      <c r="BW4848">
        <v>2.86</v>
      </c>
      <c r="BX4848">
        <v>1.97</v>
      </c>
      <c r="BY4848">
        <v>2.27</v>
      </c>
      <c r="BZ4848">
        <v>0.4</v>
      </c>
      <c r="CA4848">
        <v>2.5</v>
      </c>
      <c r="CB4848">
        <v>2.0299999999999998</v>
      </c>
      <c r="CC4848">
        <v>2.08</v>
      </c>
      <c r="CD4848">
        <v>-1.54</v>
      </c>
      <c r="CE4848">
        <v>0.99</v>
      </c>
      <c r="CF4848">
        <v>-0.35</v>
      </c>
      <c r="CG4848">
        <v>0</v>
      </c>
      <c r="CH4848">
        <v>2.27</v>
      </c>
      <c r="CI4848">
        <v>0</v>
      </c>
      <c r="CJ4848">
        <v>-1.6</v>
      </c>
      <c r="CK4848">
        <v>99</v>
      </c>
      <c r="CL4848">
        <v>-0.73</v>
      </c>
      <c r="CM4848">
        <v>99</v>
      </c>
      <c r="CN4848">
        <v>-0.45</v>
      </c>
      <c r="CO4848">
        <v>99</v>
      </c>
      <c r="CP4848">
        <v>-1.2</v>
      </c>
      <c r="CQ4848">
        <v>99</v>
      </c>
      <c r="CR4848">
        <v>0</v>
      </c>
      <c r="CS4848">
        <v>0</v>
      </c>
      <c r="CT4848">
        <v>1.4</v>
      </c>
      <c r="CU4848">
        <v>99</v>
      </c>
      <c r="CV4848">
        <v>0.08</v>
      </c>
      <c r="CW4848">
        <v>47</v>
      </c>
      <c r="CX4848" t="s">
        <v>485</v>
      </c>
    </row>
    <row r="4849" spans="1:102" x14ac:dyDescent="0.3">
      <c r="A4849" t="str">
        <f>HYPERLINK("https://webapp.icbf.com/v2/app/bull-search/view/108367915","CNU")</f>
        <v>CNU</v>
      </c>
      <c r="B4849" t="s">
        <v>11127</v>
      </c>
      <c r="C4849" t="s">
        <v>11128</v>
      </c>
      <c r="D4849" s="1">
        <v>35272</v>
      </c>
      <c r="E4849" t="s">
        <v>92</v>
      </c>
      <c r="F4849">
        <v>100</v>
      </c>
      <c r="G4849" t="s">
        <v>109</v>
      </c>
      <c r="H4849">
        <v>-199.48</v>
      </c>
      <c r="I4849">
        <v>68</v>
      </c>
      <c r="J4849">
        <v>-5.74</v>
      </c>
      <c r="K4849">
        <v>76</v>
      </c>
      <c r="L4849">
        <v>-167.78</v>
      </c>
      <c r="M4849">
        <v>74</v>
      </c>
      <c r="N4849">
        <v>-11.13</v>
      </c>
      <c r="O4849">
        <v>60</v>
      </c>
      <c r="P4849">
        <v>-13.47</v>
      </c>
      <c r="Q4849">
        <v>60</v>
      </c>
      <c r="R4849">
        <v>-5.67</v>
      </c>
      <c r="S4849">
        <v>64</v>
      </c>
      <c r="T4849">
        <v>10.050000000000001</v>
      </c>
      <c r="U4849">
        <v>55</v>
      </c>
      <c r="V4849">
        <v>-5.74</v>
      </c>
      <c r="W4849">
        <v>29</v>
      </c>
      <c r="X4849" t="s">
        <v>970</v>
      </c>
      <c r="Y4849" t="s">
        <v>95</v>
      </c>
      <c r="Z4849" t="s">
        <v>96</v>
      </c>
      <c r="AA4849" t="s">
        <v>1106</v>
      </c>
      <c r="AB4849" t="s">
        <v>11129</v>
      </c>
      <c r="AC4849">
        <v>0</v>
      </c>
      <c r="AD4849">
        <v>0</v>
      </c>
      <c r="AE4849">
        <v>76</v>
      </c>
      <c r="AF4849">
        <v>347.45</v>
      </c>
      <c r="AG4849">
        <v>1.73</v>
      </c>
      <c r="AH4849">
        <v>3.73</v>
      </c>
      <c r="AI4849">
        <v>-0.19</v>
      </c>
      <c r="AJ4849">
        <v>-0.13</v>
      </c>
      <c r="AK4849">
        <v>74</v>
      </c>
      <c r="AL4849">
        <v>0</v>
      </c>
      <c r="AM4849">
        <v>0</v>
      </c>
      <c r="AN4849">
        <v>9.15</v>
      </c>
      <c r="AO4849">
        <v>-4.2300000000000004</v>
      </c>
      <c r="AP4849">
        <v>37</v>
      </c>
      <c r="AQ4849">
        <v>0</v>
      </c>
      <c r="AR4849">
        <v>9.84</v>
      </c>
      <c r="AS4849">
        <v>54</v>
      </c>
      <c r="AT4849">
        <v>3.9</v>
      </c>
      <c r="AU4849">
        <v>66</v>
      </c>
      <c r="AV4849">
        <v>-1.63</v>
      </c>
      <c r="AW4849">
        <v>70</v>
      </c>
      <c r="AX4849">
        <v>1.02</v>
      </c>
      <c r="AY4849">
        <v>52</v>
      </c>
      <c r="AZ4849">
        <v>8.39</v>
      </c>
      <c r="BA4849">
        <v>36</v>
      </c>
      <c r="BB4849">
        <v>5.78</v>
      </c>
      <c r="BC4849">
        <v>36</v>
      </c>
      <c r="BD4849">
        <v>0.05</v>
      </c>
      <c r="BE4849">
        <v>0.03</v>
      </c>
      <c r="BF4849">
        <v>-0.01</v>
      </c>
      <c r="BG4849">
        <v>86</v>
      </c>
      <c r="BH4849">
        <v>-0.08</v>
      </c>
      <c r="BI4849">
        <v>9.26</v>
      </c>
      <c r="BJ4849">
        <v>5</v>
      </c>
      <c r="BK4849">
        <v>3</v>
      </c>
      <c r="BL4849">
        <v>1.17</v>
      </c>
      <c r="BM4849">
        <v>-1.44</v>
      </c>
      <c r="BN4849">
        <v>0.69</v>
      </c>
      <c r="BO4849">
        <v>1.43</v>
      </c>
      <c r="BP4849">
        <v>0.21</v>
      </c>
      <c r="BQ4849">
        <v>-0.23</v>
      </c>
      <c r="BR4849">
        <v>-0.26</v>
      </c>
      <c r="BS4849">
        <v>-1.93</v>
      </c>
      <c r="BT4849">
        <v>-0.03</v>
      </c>
      <c r="BU4849">
        <v>0.51</v>
      </c>
      <c r="BV4849">
        <v>1.1100000000000001</v>
      </c>
      <c r="BW4849">
        <v>1.04</v>
      </c>
      <c r="BX4849">
        <v>-0.33</v>
      </c>
      <c r="BY4849">
        <v>2.08</v>
      </c>
      <c r="BZ4849">
        <v>-1.34</v>
      </c>
      <c r="CA4849">
        <v>0.54</v>
      </c>
      <c r="CB4849">
        <v>1.08</v>
      </c>
      <c r="CC4849">
        <v>-0.72</v>
      </c>
      <c r="CD4849">
        <v>-2.04</v>
      </c>
      <c r="CE4849">
        <v>1.27</v>
      </c>
      <c r="CF4849">
        <v>0.72</v>
      </c>
      <c r="CG4849">
        <v>0</v>
      </c>
      <c r="CH4849">
        <v>-0.05</v>
      </c>
      <c r="CI4849">
        <v>0</v>
      </c>
      <c r="CJ4849">
        <v>-4.2</v>
      </c>
      <c r="CK4849">
        <v>62</v>
      </c>
      <c r="CL4849">
        <v>-0.78</v>
      </c>
      <c r="CM4849">
        <v>57</v>
      </c>
      <c r="CN4849">
        <v>-0.17</v>
      </c>
      <c r="CO4849">
        <v>52</v>
      </c>
      <c r="CP4849">
        <v>-10.8</v>
      </c>
      <c r="CQ4849">
        <v>68</v>
      </c>
      <c r="CR4849">
        <v>0</v>
      </c>
      <c r="CS4849">
        <v>0</v>
      </c>
      <c r="CT4849">
        <v>0.2</v>
      </c>
      <c r="CU4849">
        <v>55</v>
      </c>
      <c r="CV4849">
        <v>0.17</v>
      </c>
      <c r="CW4849">
        <v>16</v>
      </c>
      <c r="CX4849" t="s">
        <v>485</v>
      </c>
    </row>
    <row r="4850" spans="1:102" x14ac:dyDescent="0.3">
      <c r="A4850" t="str">
        <f>HYPERLINK("https://webapp.icbf.com/v2/app/bull-search/view/68526307","ESR")</f>
        <v>ESR</v>
      </c>
      <c r="B4850" t="s">
        <v>1501</v>
      </c>
      <c r="C4850" t="s">
        <v>1502</v>
      </c>
      <c r="D4850" s="1">
        <v>35374</v>
      </c>
      <c r="E4850" t="s">
        <v>92</v>
      </c>
      <c r="F4850">
        <v>100</v>
      </c>
      <c r="G4850" t="s">
        <v>109</v>
      </c>
      <c r="H4850">
        <v>-199.92</v>
      </c>
      <c r="I4850">
        <v>62</v>
      </c>
      <c r="J4850">
        <v>15.07</v>
      </c>
      <c r="K4850">
        <v>73</v>
      </c>
      <c r="L4850">
        <v>-193.13</v>
      </c>
      <c r="M4850">
        <v>65</v>
      </c>
      <c r="N4850">
        <v>-11.39</v>
      </c>
      <c r="O4850">
        <v>46</v>
      </c>
      <c r="P4850">
        <v>-13.02</v>
      </c>
      <c r="Q4850">
        <v>49</v>
      </c>
      <c r="R4850">
        <v>-11.61</v>
      </c>
      <c r="S4850">
        <v>61</v>
      </c>
      <c r="T4850">
        <v>18.41</v>
      </c>
      <c r="U4850">
        <v>54</v>
      </c>
      <c r="V4850">
        <v>-4.25</v>
      </c>
      <c r="W4850">
        <v>35</v>
      </c>
      <c r="X4850" t="s">
        <v>970</v>
      </c>
      <c r="Y4850" t="s">
        <v>95</v>
      </c>
      <c r="Z4850" t="s">
        <v>96</v>
      </c>
      <c r="AA4850" t="s">
        <v>218</v>
      </c>
      <c r="AB4850" t="s">
        <v>1503</v>
      </c>
      <c r="AC4850">
        <v>0</v>
      </c>
      <c r="AD4850">
        <v>0</v>
      </c>
      <c r="AE4850">
        <v>73</v>
      </c>
      <c r="AF4850">
        <v>218.81</v>
      </c>
      <c r="AG4850">
        <v>3.54</v>
      </c>
      <c r="AH4850">
        <v>4.66</v>
      </c>
      <c r="AI4850">
        <v>-0.08</v>
      </c>
      <c r="AJ4850">
        <v>-0.05</v>
      </c>
      <c r="AK4850">
        <v>65</v>
      </c>
      <c r="AL4850">
        <v>0</v>
      </c>
      <c r="AM4850">
        <v>0</v>
      </c>
      <c r="AN4850">
        <v>9.8699999999999992</v>
      </c>
      <c r="AO4850">
        <v>-5.54</v>
      </c>
      <c r="AP4850">
        <v>11</v>
      </c>
      <c r="AQ4850">
        <v>0</v>
      </c>
      <c r="AR4850">
        <v>8.52</v>
      </c>
      <c r="AS4850">
        <v>35</v>
      </c>
      <c r="AT4850">
        <v>4.1399999999999997</v>
      </c>
      <c r="AU4850">
        <v>60</v>
      </c>
      <c r="AV4850">
        <v>0.26</v>
      </c>
      <c r="AW4850">
        <v>46</v>
      </c>
      <c r="AX4850">
        <v>-0.42</v>
      </c>
      <c r="AY4850">
        <v>43</v>
      </c>
      <c r="AZ4850">
        <v>5.58</v>
      </c>
      <c r="BA4850">
        <v>32</v>
      </c>
      <c r="BB4850">
        <v>4.84</v>
      </c>
      <c r="BC4850">
        <v>32</v>
      </c>
      <c r="BD4850">
        <v>0.03</v>
      </c>
      <c r="BE4850">
        <v>0.03</v>
      </c>
      <c r="BF4850">
        <v>0.16</v>
      </c>
      <c r="BG4850">
        <v>81</v>
      </c>
      <c r="BH4850">
        <v>0.03</v>
      </c>
      <c r="BI4850">
        <v>17.190000000000001</v>
      </c>
      <c r="BJ4850">
        <v>0</v>
      </c>
      <c r="BK4850">
        <v>0</v>
      </c>
      <c r="BL4850">
        <v>-0.06</v>
      </c>
      <c r="BM4850">
        <v>-1.33</v>
      </c>
      <c r="BN4850">
        <v>-0.87</v>
      </c>
      <c r="BO4850">
        <v>-0.03</v>
      </c>
      <c r="BP4850">
        <v>-0.15</v>
      </c>
      <c r="BQ4850">
        <v>-0.6</v>
      </c>
      <c r="BR4850">
        <v>0.48</v>
      </c>
      <c r="BS4850">
        <v>-0.86</v>
      </c>
      <c r="BT4850">
        <v>-0.13</v>
      </c>
      <c r="BU4850">
        <v>0.42</v>
      </c>
      <c r="BV4850">
        <v>0.95</v>
      </c>
      <c r="BW4850">
        <v>0.47</v>
      </c>
      <c r="BX4850">
        <v>0.54</v>
      </c>
      <c r="BY4850">
        <v>1.02</v>
      </c>
      <c r="BZ4850">
        <v>0.25</v>
      </c>
      <c r="CA4850">
        <v>0.43</v>
      </c>
      <c r="CB4850">
        <v>0.71</v>
      </c>
      <c r="CC4850">
        <v>-0.45</v>
      </c>
      <c r="CD4850">
        <v>-0.91</v>
      </c>
      <c r="CE4850">
        <v>0</v>
      </c>
      <c r="CF4850">
        <v>0</v>
      </c>
      <c r="CG4850">
        <v>0</v>
      </c>
      <c r="CH4850">
        <v>0</v>
      </c>
      <c r="CI4850">
        <v>0</v>
      </c>
      <c r="CJ4850">
        <v>-3.7</v>
      </c>
      <c r="CK4850">
        <v>51</v>
      </c>
      <c r="CL4850">
        <v>-0.85</v>
      </c>
      <c r="CM4850">
        <v>47</v>
      </c>
      <c r="CN4850">
        <v>-0.21</v>
      </c>
      <c r="CO4850">
        <v>43</v>
      </c>
      <c r="CP4850">
        <v>-10.7</v>
      </c>
      <c r="CQ4850">
        <v>53</v>
      </c>
      <c r="CR4850">
        <v>0</v>
      </c>
      <c r="CS4850">
        <v>0</v>
      </c>
      <c r="CT4850">
        <v>-11.1</v>
      </c>
      <c r="CU4850">
        <v>54</v>
      </c>
      <c r="CV4850">
        <v>0.23</v>
      </c>
      <c r="CW4850">
        <v>14</v>
      </c>
      <c r="CX4850" t="s">
        <v>105</v>
      </c>
    </row>
    <row r="4851" spans="1:102" x14ac:dyDescent="0.3">
      <c r="A4851" t="str">
        <f>HYPERLINK("https://webapp.icbf.com/v2/app/bull-search/view/77854318","PYK")</f>
        <v>PYK</v>
      </c>
      <c r="B4851" t="s">
        <v>4678</v>
      </c>
      <c r="C4851" t="s">
        <v>4679</v>
      </c>
      <c r="D4851" s="1">
        <v>34102</v>
      </c>
      <c r="E4851" t="s">
        <v>92</v>
      </c>
      <c r="F4851">
        <v>100</v>
      </c>
      <c r="G4851" t="s">
        <v>109</v>
      </c>
      <c r="H4851">
        <v>-199.92</v>
      </c>
      <c r="I4851">
        <v>84</v>
      </c>
      <c r="J4851">
        <v>-17.010000000000002</v>
      </c>
      <c r="K4851">
        <v>94</v>
      </c>
      <c r="L4851">
        <v>-160.44</v>
      </c>
      <c r="M4851">
        <v>85</v>
      </c>
      <c r="N4851">
        <v>-4.03</v>
      </c>
      <c r="O4851">
        <v>71</v>
      </c>
      <c r="P4851">
        <v>-16.3</v>
      </c>
      <c r="Q4851">
        <v>78</v>
      </c>
      <c r="R4851">
        <v>-17.05</v>
      </c>
      <c r="S4851">
        <v>79</v>
      </c>
      <c r="T4851">
        <v>16.420000000000002</v>
      </c>
      <c r="U4851">
        <v>77</v>
      </c>
      <c r="V4851">
        <v>-1.51</v>
      </c>
      <c r="W4851">
        <v>67</v>
      </c>
      <c r="X4851" t="s">
        <v>234</v>
      </c>
      <c r="Y4851" t="s">
        <v>95</v>
      </c>
      <c r="Z4851" t="s">
        <v>96</v>
      </c>
      <c r="AA4851" t="s">
        <v>1185</v>
      </c>
      <c r="AB4851" t="s">
        <v>4680</v>
      </c>
      <c r="AC4851">
        <v>0</v>
      </c>
      <c r="AD4851">
        <v>0</v>
      </c>
      <c r="AE4851">
        <v>94</v>
      </c>
      <c r="AF4851">
        <v>154.13999999999999</v>
      </c>
      <c r="AG4851">
        <v>-0.83</v>
      </c>
      <c r="AH4851">
        <v>-0.24</v>
      </c>
      <c r="AI4851">
        <v>-0.12</v>
      </c>
      <c r="AJ4851">
        <v>-0.09</v>
      </c>
      <c r="AK4851">
        <v>85</v>
      </c>
      <c r="AL4851">
        <v>0</v>
      </c>
      <c r="AM4851">
        <v>0</v>
      </c>
      <c r="AN4851">
        <v>7.55</v>
      </c>
      <c r="AO4851">
        <v>-5.26</v>
      </c>
      <c r="AP4851">
        <v>23</v>
      </c>
      <c r="AQ4851">
        <v>0</v>
      </c>
      <c r="AR4851">
        <v>10.85</v>
      </c>
      <c r="AS4851">
        <v>64</v>
      </c>
      <c r="AT4851">
        <v>4.46</v>
      </c>
      <c r="AU4851">
        <v>82</v>
      </c>
      <c r="AV4851">
        <v>-1.99</v>
      </c>
      <c r="AW4851">
        <v>74</v>
      </c>
      <c r="AX4851">
        <v>-0.06</v>
      </c>
      <c r="AY4851">
        <v>64</v>
      </c>
      <c r="AZ4851">
        <v>5.9</v>
      </c>
      <c r="BA4851">
        <v>55</v>
      </c>
      <c r="BB4851">
        <v>4.37</v>
      </c>
      <c r="BC4851">
        <v>57</v>
      </c>
      <c r="BD4851">
        <v>0.06</v>
      </c>
      <c r="BE4851">
        <v>0.08</v>
      </c>
      <c r="BF4851">
        <v>0.14000000000000001</v>
      </c>
      <c r="BG4851">
        <v>91</v>
      </c>
      <c r="BH4851">
        <v>0.02</v>
      </c>
      <c r="BI4851">
        <v>7.17</v>
      </c>
      <c r="BJ4851">
        <v>8</v>
      </c>
      <c r="BK4851">
        <v>3</v>
      </c>
      <c r="BL4851">
        <v>0.73</v>
      </c>
      <c r="BM4851">
        <v>-1.06</v>
      </c>
      <c r="BN4851">
        <v>0.71</v>
      </c>
      <c r="BO4851">
        <v>1.1100000000000001</v>
      </c>
      <c r="BP4851">
        <v>0.28999999999999998</v>
      </c>
      <c r="BQ4851">
        <v>0.94</v>
      </c>
      <c r="BR4851">
        <v>-1.06</v>
      </c>
      <c r="BS4851">
        <v>0.68</v>
      </c>
      <c r="BT4851">
        <v>1.58</v>
      </c>
      <c r="BU4851">
        <v>-0.18</v>
      </c>
      <c r="BV4851">
        <v>0.9</v>
      </c>
      <c r="BW4851">
        <v>1.22</v>
      </c>
      <c r="BX4851">
        <v>-1.05</v>
      </c>
      <c r="BY4851">
        <v>1.69</v>
      </c>
      <c r="BZ4851">
        <v>-2.2000000000000002</v>
      </c>
      <c r="CA4851">
        <v>0.99</v>
      </c>
      <c r="CB4851">
        <v>0.75</v>
      </c>
      <c r="CC4851">
        <v>0.82</v>
      </c>
      <c r="CD4851">
        <v>-0.88</v>
      </c>
      <c r="CE4851">
        <v>0.71</v>
      </c>
      <c r="CF4851">
        <v>0.49</v>
      </c>
      <c r="CG4851">
        <v>0</v>
      </c>
      <c r="CH4851">
        <v>1.58</v>
      </c>
      <c r="CI4851">
        <v>0</v>
      </c>
      <c r="CJ4851">
        <v>-6.1</v>
      </c>
      <c r="CK4851">
        <v>80</v>
      </c>
      <c r="CL4851">
        <v>-0.74</v>
      </c>
      <c r="CM4851">
        <v>77</v>
      </c>
      <c r="CN4851">
        <v>-0.13</v>
      </c>
      <c r="CO4851">
        <v>74</v>
      </c>
      <c r="CP4851">
        <v>-11.8</v>
      </c>
      <c r="CQ4851">
        <v>79</v>
      </c>
      <c r="CR4851">
        <v>0</v>
      </c>
      <c r="CS4851">
        <v>0</v>
      </c>
      <c r="CT4851">
        <v>-8.4</v>
      </c>
      <c r="CU4851">
        <v>77</v>
      </c>
      <c r="CV4851">
        <v>0.08</v>
      </c>
      <c r="CW4851">
        <v>41</v>
      </c>
      <c r="CX4851" t="s">
        <v>914</v>
      </c>
    </row>
    <row r="4852" spans="1:102" x14ac:dyDescent="0.3">
      <c r="A4852" t="str">
        <f>HYPERLINK("https://webapp.icbf.com/v2/app/bull-search/view/69091147","ANL")</f>
        <v>ANL</v>
      </c>
      <c r="B4852" t="s">
        <v>9659</v>
      </c>
      <c r="C4852" t="s">
        <v>9660</v>
      </c>
      <c r="D4852" s="1">
        <v>34578</v>
      </c>
      <c r="E4852" t="s">
        <v>108</v>
      </c>
      <c r="F4852">
        <v>0</v>
      </c>
      <c r="G4852" t="s">
        <v>109</v>
      </c>
      <c r="H4852">
        <v>-199.94</v>
      </c>
      <c r="I4852">
        <v>63</v>
      </c>
      <c r="J4852">
        <v>-36.07</v>
      </c>
      <c r="K4852">
        <v>77</v>
      </c>
      <c r="L4852">
        <v>-126.47</v>
      </c>
      <c r="M4852">
        <v>75</v>
      </c>
      <c r="N4852">
        <v>-21.79</v>
      </c>
      <c r="O4852">
        <v>40</v>
      </c>
      <c r="P4852">
        <v>-2.2000000000000002</v>
      </c>
      <c r="Q4852">
        <v>32</v>
      </c>
      <c r="R4852">
        <v>-14.15</v>
      </c>
      <c r="S4852">
        <v>60</v>
      </c>
      <c r="T4852">
        <v>4.5</v>
      </c>
      <c r="U4852">
        <v>37</v>
      </c>
      <c r="V4852">
        <v>-3.76</v>
      </c>
      <c r="W4852">
        <v>30</v>
      </c>
      <c r="X4852" t="s">
        <v>110</v>
      </c>
      <c r="Y4852" t="s">
        <v>95</v>
      </c>
      <c r="Z4852" t="s">
        <v>96</v>
      </c>
      <c r="AA4852" t="s">
        <v>678</v>
      </c>
      <c r="AB4852" t="s">
        <v>9661</v>
      </c>
      <c r="AC4852">
        <v>0</v>
      </c>
      <c r="AD4852">
        <v>0</v>
      </c>
      <c r="AE4852">
        <v>77</v>
      </c>
      <c r="AF4852">
        <v>133.47999999999999</v>
      </c>
      <c r="AG4852">
        <v>-5.97</v>
      </c>
      <c r="AH4852">
        <v>-1.98</v>
      </c>
      <c r="AI4852">
        <v>-0.18</v>
      </c>
      <c r="AJ4852">
        <v>-0.11</v>
      </c>
      <c r="AK4852">
        <v>75</v>
      </c>
      <c r="AL4852">
        <v>0</v>
      </c>
      <c r="AM4852">
        <v>0</v>
      </c>
      <c r="AN4852">
        <v>6.6</v>
      </c>
      <c r="AO4852">
        <v>-3.49</v>
      </c>
      <c r="AP4852">
        <v>0</v>
      </c>
      <c r="AQ4852">
        <v>1</v>
      </c>
      <c r="AR4852">
        <v>9.89</v>
      </c>
      <c r="AS4852">
        <v>27</v>
      </c>
      <c r="AT4852">
        <v>4.6399999999999997</v>
      </c>
      <c r="AU4852">
        <v>73</v>
      </c>
      <c r="AV4852">
        <v>0.21</v>
      </c>
      <c r="AW4852">
        <v>29</v>
      </c>
      <c r="AX4852">
        <v>-0.02</v>
      </c>
      <c r="AY4852">
        <v>32</v>
      </c>
      <c r="AZ4852">
        <v>6.14</v>
      </c>
      <c r="BA4852">
        <v>27</v>
      </c>
      <c r="BB4852">
        <v>4.6100000000000003</v>
      </c>
      <c r="BC4852">
        <v>28</v>
      </c>
      <c r="BD4852">
        <v>0.05</v>
      </c>
      <c r="BE4852">
        <v>0.08</v>
      </c>
      <c r="BF4852">
        <v>0.09</v>
      </c>
      <c r="BG4852">
        <v>85</v>
      </c>
      <c r="BH4852">
        <v>-0.05</v>
      </c>
      <c r="BI4852">
        <v>6.33</v>
      </c>
      <c r="BJ4852">
        <v>0</v>
      </c>
      <c r="BK4852">
        <v>0</v>
      </c>
      <c r="BL4852">
        <v>0.34</v>
      </c>
      <c r="BM4852">
        <v>-0.28000000000000003</v>
      </c>
      <c r="BN4852">
        <v>0.65</v>
      </c>
      <c r="BO4852">
        <v>0.7</v>
      </c>
      <c r="BP4852">
        <v>-1.45</v>
      </c>
      <c r="BQ4852">
        <v>1.03</v>
      </c>
      <c r="BR4852">
        <v>-0.78</v>
      </c>
      <c r="BS4852">
        <v>0.32</v>
      </c>
      <c r="BT4852">
        <v>1.19</v>
      </c>
      <c r="BU4852">
        <v>0.21</v>
      </c>
      <c r="BV4852">
        <v>0.12</v>
      </c>
      <c r="BW4852">
        <v>1.18</v>
      </c>
      <c r="BX4852">
        <v>-0.62</v>
      </c>
      <c r="BY4852">
        <v>0.12</v>
      </c>
      <c r="BZ4852">
        <v>1.1200000000000001</v>
      </c>
      <c r="CA4852">
        <v>0.48</v>
      </c>
      <c r="CB4852">
        <v>0.3</v>
      </c>
      <c r="CC4852">
        <v>0.77</v>
      </c>
      <c r="CD4852">
        <v>0</v>
      </c>
      <c r="CE4852">
        <v>0</v>
      </c>
      <c r="CF4852">
        <v>0</v>
      </c>
      <c r="CG4852">
        <v>0</v>
      </c>
      <c r="CH4852">
        <v>0</v>
      </c>
      <c r="CI4852">
        <v>0</v>
      </c>
      <c r="CJ4852">
        <v>1.1000000000000001</v>
      </c>
      <c r="CK4852">
        <v>33</v>
      </c>
      <c r="CL4852">
        <v>-0.72</v>
      </c>
      <c r="CM4852">
        <v>29</v>
      </c>
      <c r="CN4852">
        <v>-0.3</v>
      </c>
      <c r="CO4852">
        <v>29</v>
      </c>
      <c r="CP4852">
        <v>1.3</v>
      </c>
      <c r="CQ4852">
        <v>34</v>
      </c>
      <c r="CR4852">
        <v>0</v>
      </c>
      <c r="CS4852">
        <v>0</v>
      </c>
      <c r="CT4852">
        <v>7.7</v>
      </c>
      <c r="CU4852">
        <v>37</v>
      </c>
      <c r="CV4852">
        <v>0.2</v>
      </c>
      <c r="CW4852">
        <v>10</v>
      </c>
      <c r="CX4852" t="s">
        <v>111</v>
      </c>
    </row>
    <row r="4853" spans="1:102" x14ac:dyDescent="0.3">
      <c r="A4853" t="str">
        <f>HYPERLINK("https://webapp.icbf.com/v2/app/bull-search/view/77855125","MGG")</f>
        <v>MGG</v>
      </c>
      <c r="B4853" t="s">
        <v>10597</v>
      </c>
      <c r="C4853" t="s">
        <v>1550</v>
      </c>
      <c r="D4853" s="1">
        <v>31508</v>
      </c>
      <c r="E4853" t="s">
        <v>92</v>
      </c>
      <c r="F4853">
        <v>100</v>
      </c>
      <c r="G4853" t="s">
        <v>93</v>
      </c>
      <c r="H4853">
        <v>-200.22</v>
      </c>
      <c r="I4853">
        <v>93</v>
      </c>
      <c r="J4853">
        <v>5.23</v>
      </c>
      <c r="K4853">
        <v>98</v>
      </c>
      <c r="L4853">
        <v>-198.05</v>
      </c>
      <c r="M4853">
        <v>94</v>
      </c>
      <c r="N4853">
        <v>5.85</v>
      </c>
      <c r="O4853">
        <v>86</v>
      </c>
      <c r="P4853">
        <v>5.59</v>
      </c>
      <c r="Q4853">
        <v>89</v>
      </c>
      <c r="R4853">
        <v>-15.08</v>
      </c>
      <c r="S4853">
        <v>87</v>
      </c>
      <c r="T4853">
        <v>-1.57</v>
      </c>
      <c r="U4853">
        <v>89</v>
      </c>
      <c r="V4853">
        <v>-2.19</v>
      </c>
      <c r="W4853">
        <v>76</v>
      </c>
      <c r="X4853" t="s">
        <v>131</v>
      </c>
      <c r="Y4853" t="s">
        <v>95</v>
      </c>
      <c r="Z4853" t="s">
        <v>96</v>
      </c>
      <c r="AA4853" t="s">
        <v>543</v>
      </c>
      <c r="AB4853" t="s">
        <v>10598</v>
      </c>
      <c r="AC4853">
        <v>219</v>
      </c>
      <c r="AD4853">
        <v>121</v>
      </c>
      <c r="AE4853">
        <v>98</v>
      </c>
      <c r="AF4853">
        <v>239.61</v>
      </c>
      <c r="AG4853">
        <v>6.35</v>
      </c>
      <c r="AH4853">
        <v>2.31</v>
      </c>
      <c r="AI4853">
        <v>-0.05</v>
      </c>
      <c r="AJ4853">
        <v>-0.1</v>
      </c>
      <c r="AK4853">
        <v>94</v>
      </c>
      <c r="AL4853">
        <v>272</v>
      </c>
      <c r="AM4853">
        <v>116</v>
      </c>
      <c r="AN4853">
        <v>10.36</v>
      </c>
      <c r="AO4853">
        <v>-5.44</v>
      </c>
      <c r="AP4853">
        <v>12</v>
      </c>
      <c r="AQ4853">
        <v>0</v>
      </c>
      <c r="AR4853">
        <v>6.24</v>
      </c>
      <c r="AS4853">
        <v>77</v>
      </c>
      <c r="AT4853">
        <v>3.13</v>
      </c>
      <c r="AU4853">
        <v>96</v>
      </c>
      <c r="AV4853">
        <v>-0.59</v>
      </c>
      <c r="AW4853">
        <v>83</v>
      </c>
      <c r="AX4853">
        <v>0.1</v>
      </c>
      <c r="AY4853">
        <v>90</v>
      </c>
      <c r="AZ4853">
        <v>7.15</v>
      </c>
      <c r="BA4853">
        <v>73</v>
      </c>
      <c r="BB4853">
        <v>5.18</v>
      </c>
      <c r="BC4853">
        <v>79</v>
      </c>
      <c r="BD4853">
        <v>0.1</v>
      </c>
      <c r="BE4853">
        <v>0.1</v>
      </c>
      <c r="BF4853">
        <v>-0.01</v>
      </c>
      <c r="BG4853">
        <v>96</v>
      </c>
      <c r="BH4853">
        <v>0.03</v>
      </c>
      <c r="BI4853">
        <v>10.52</v>
      </c>
      <c r="BJ4853">
        <v>98</v>
      </c>
      <c r="BK4853">
        <v>48</v>
      </c>
      <c r="BL4853">
        <v>1.31</v>
      </c>
      <c r="BM4853">
        <v>-1.07</v>
      </c>
      <c r="BN4853">
        <v>0.86</v>
      </c>
      <c r="BO4853">
        <v>1.54</v>
      </c>
      <c r="BP4853">
        <v>-2.64</v>
      </c>
      <c r="BQ4853">
        <v>1.77</v>
      </c>
      <c r="BR4853">
        <v>2.2200000000000002</v>
      </c>
      <c r="BS4853">
        <v>-1.83</v>
      </c>
      <c r="BT4853">
        <v>-1.39</v>
      </c>
      <c r="BU4853">
        <v>1.75</v>
      </c>
      <c r="BV4853">
        <v>1.57</v>
      </c>
      <c r="BW4853">
        <v>1.59</v>
      </c>
      <c r="BX4853">
        <v>1.44</v>
      </c>
      <c r="BY4853">
        <v>0.7</v>
      </c>
      <c r="BZ4853">
        <v>-1.01</v>
      </c>
      <c r="CA4853">
        <v>0.8</v>
      </c>
      <c r="CB4853">
        <v>1.79</v>
      </c>
      <c r="CC4853">
        <v>-1.23</v>
      </c>
      <c r="CD4853">
        <v>-1.81</v>
      </c>
      <c r="CE4853">
        <v>1.69</v>
      </c>
      <c r="CF4853">
        <v>1.5</v>
      </c>
      <c r="CG4853">
        <v>0</v>
      </c>
      <c r="CH4853">
        <v>0.82</v>
      </c>
      <c r="CI4853">
        <v>0</v>
      </c>
      <c r="CJ4853">
        <v>3.7</v>
      </c>
      <c r="CK4853">
        <v>89</v>
      </c>
      <c r="CL4853">
        <v>-0.79</v>
      </c>
      <c r="CM4853">
        <v>88</v>
      </c>
      <c r="CN4853">
        <v>-0.72</v>
      </c>
      <c r="CO4853">
        <v>86</v>
      </c>
      <c r="CP4853">
        <v>1.4</v>
      </c>
      <c r="CQ4853">
        <v>94</v>
      </c>
      <c r="CR4853">
        <v>0</v>
      </c>
      <c r="CS4853">
        <v>0</v>
      </c>
      <c r="CT4853">
        <v>15.9</v>
      </c>
      <c r="CU4853">
        <v>89</v>
      </c>
      <c r="CV4853">
        <v>0.2</v>
      </c>
      <c r="CW4853">
        <v>44</v>
      </c>
      <c r="CX4853" t="s">
        <v>120</v>
      </c>
    </row>
    <row r="4854" spans="1:102" x14ac:dyDescent="0.3">
      <c r="A4854" t="str">
        <f>HYPERLINK("https://webapp.icbf.com/v2/app/bull-search/view/77857750","EVR")</f>
        <v>EVR</v>
      </c>
      <c r="B4854" t="s">
        <v>11394</v>
      </c>
      <c r="C4854" t="s">
        <v>97</v>
      </c>
      <c r="D4854" s="1">
        <v>32708</v>
      </c>
      <c r="E4854" t="s">
        <v>92</v>
      </c>
      <c r="F4854">
        <v>100</v>
      </c>
      <c r="G4854" t="s">
        <v>93</v>
      </c>
      <c r="H4854">
        <v>-200.71</v>
      </c>
      <c r="I4854">
        <v>96</v>
      </c>
      <c r="J4854">
        <v>-2.4900000000000002</v>
      </c>
      <c r="K4854">
        <v>99</v>
      </c>
      <c r="L4854">
        <v>-130.54</v>
      </c>
      <c r="M4854">
        <v>96</v>
      </c>
      <c r="N4854">
        <v>-65.02</v>
      </c>
      <c r="O4854">
        <v>94</v>
      </c>
      <c r="P4854">
        <v>-1.46</v>
      </c>
      <c r="Q4854">
        <v>97</v>
      </c>
      <c r="R4854">
        <v>-10.47</v>
      </c>
      <c r="S4854">
        <v>90</v>
      </c>
      <c r="T4854">
        <v>12.35</v>
      </c>
      <c r="U4854">
        <v>96</v>
      </c>
      <c r="V4854">
        <v>-3.08</v>
      </c>
      <c r="W4854">
        <v>85</v>
      </c>
      <c r="X4854" t="s">
        <v>94</v>
      </c>
      <c r="Y4854" t="s">
        <v>95</v>
      </c>
      <c r="Z4854" t="s">
        <v>96</v>
      </c>
      <c r="AA4854" t="s">
        <v>166</v>
      </c>
      <c r="AB4854" t="s">
        <v>9882</v>
      </c>
      <c r="AC4854">
        <v>527</v>
      </c>
      <c r="AD4854">
        <v>311</v>
      </c>
      <c r="AE4854">
        <v>99</v>
      </c>
      <c r="AF4854">
        <v>139.53</v>
      </c>
      <c r="AG4854">
        <v>1.87</v>
      </c>
      <c r="AH4854">
        <v>1.05</v>
      </c>
      <c r="AI4854">
        <v>-0.06</v>
      </c>
      <c r="AJ4854">
        <v>-0.06</v>
      </c>
      <c r="AK4854">
        <v>96</v>
      </c>
      <c r="AL4854">
        <v>636</v>
      </c>
      <c r="AM4854">
        <v>297</v>
      </c>
      <c r="AN4854">
        <v>7.12</v>
      </c>
      <c r="AO4854">
        <v>-3.29</v>
      </c>
      <c r="AP4854">
        <v>47</v>
      </c>
      <c r="AQ4854">
        <v>0</v>
      </c>
      <c r="AR4854">
        <v>14.27</v>
      </c>
      <c r="AS4854">
        <v>87</v>
      </c>
      <c r="AT4854">
        <v>6.33</v>
      </c>
      <c r="AU4854">
        <v>98</v>
      </c>
      <c r="AV4854">
        <v>0.61</v>
      </c>
      <c r="AW4854">
        <v>95</v>
      </c>
      <c r="AX4854">
        <v>0.08</v>
      </c>
      <c r="AY4854">
        <v>96</v>
      </c>
      <c r="AZ4854">
        <v>5.97</v>
      </c>
      <c r="BA4854">
        <v>84</v>
      </c>
      <c r="BB4854">
        <v>4.43</v>
      </c>
      <c r="BC4854">
        <v>91</v>
      </c>
      <c r="BD4854">
        <v>0.04</v>
      </c>
      <c r="BE4854">
        <v>0.06</v>
      </c>
      <c r="BF4854">
        <v>0.06</v>
      </c>
      <c r="BG4854">
        <v>98</v>
      </c>
      <c r="BH4854">
        <v>-0.1</v>
      </c>
      <c r="BI4854">
        <v>-1.64</v>
      </c>
      <c r="BJ4854">
        <v>133</v>
      </c>
      <c r="BK4854">
        <v>78</v>
      </c>
      <c r="BL4854">
        <v>0.01</v>
      </c>
      <c r="BM4854">
        <v>-1.32</v>
      </c>
      <c r="BN4854">
        <v>-0.86</v>
      </c>
      <c r="BO4854">
        <v>0.3</v>
      </c>
      <c r="BP4854">
        <v>2.4300000000000002</v>
      </c>
      <c r="BQ4854">
        <v>-1.17</v>
      </c>
      <c r="BR4854">
        <v>-0.28999999999999998</v>
      </c>
      <c r="BS4854">
        <v>1.77</v>
      </c>
      <c r="BT4854">
        <v>0.25</v>
      </c>
      <c r="BU4854">
        <v>-0.93</v>
      </c>
      <c r="BV4854">
        <v>-0.68</v>
      </c>
      <c r="BW4854">
        <v>-0.1</v>
      </c>
      <c r="BX4854">
        <v>-0.17</v>
      </c>
      <c r="BY4854">
        <v>-0.12</v>
      </c>
      <c r="BZ4854">
        <v>-1.81</v>
      </c>
      <c r="CA4854">
        <v>0.11</v>
      </c>
      <c r="CB4854">
        <v>-0.26</v>
      </c>
      <c r="CC4854">
        <v>0.76</v>
      </c>
      <c r="CD4854">
        <v>-0.61</v>
      </c>
      <c r="CE4854">
        <v>0.21</v>
      </c>
      <c r="CF4854">
        <v>-0.67</v>
      </c>
      <c r="CG4854">
        <v>0</v>
      </c>
      <c r="CH4854">
        <v>-0.14000000000000001</v>
      </c>
      <c r="CI4854">
        <v>0</v>
      </c>
      <c r="CJ4854">
        <v>0.6</v>
      </c>
      <c r="CK4854">
        <v>97</v>
      </c>
      <c r="CL4854">
        <v>-0.56999999999999995</v>
      </c>
      <c r="CM4854">
        <v>96</v>
      </c>
      <c r="CN4854">
        <v>-0.37</v>
      </c>
      <c r="CO4854">
        <v>96</v>
      </c>
      <c r="CP4854">
        <v>-4.9000000000000004</v>
      </c>
      <c r="CQ4854">
        <v>98</v>
      </c>
      <c r="CR4854">
        <v>0</v>
      </c>
      <c r="CS4854">
        <v>0</v>
      </c>
      <c r="CT4854">
        <v>-2.9</v>
      </c>
      <c r="CU4854">
        <v>96</v>
      </c>
      <c r="CV4854">
        <v>7.0000000000000007E-2</v>
      </c>
      <c r="CW4854">
        <v>45</v>
      </c>
      <c r="CX4854" t="s">
        <v>128</v>
      </c>
    </row>
    <row r="4855" spans="1:102" x14ac:dyDescent="0.3">
      <c r="A4855" t="str">
        <f>HYPERLINK("https://webapp.icbf.com/v2/app/bull-search/view/77855563","MCB")</f>
        <v>MCB</v>
      </c>
      <c r="B4855" t="s">
        <v>10360</v>
      </c>
      <c r="C4855" t="s">
        <v>3279</v>
      </c>
      <c r="D4855" s="1">
        <v>33828</v>
      </c>
      <c r="E4855" t="s">
        <v>92</v>
      </c>
      <c r="F4855">
        <v>100</v>
      </c>
      <c r="G4855" t="s">
        <v>93</v>
      </c>
      <c r="H4855">
        <v>-200.84</v>
      </c>
      <c r="I4855">
        <v>94</v>
      </c>
      <c r="J4855">
        <v>-31.47</v>
      </c>
      <c r="K4855">
        <v>99</v>
      </c>
      <c r="L4855">
        <v>-131.93</v>
      </c>
      <c r="M4855">
        <v>93</v>
      </c>
      <c r="N4855">
        <v>-31.07</v>
      </c>
      <c r="O4855">
        <v>93</v>
      </c>
      <c r="P4855">
        <v>-3.3</v>
      </c>
      <c r="Q4855">
        <v>96</v>
      </c>
      <c r="R4855">
        <v>-9.02</v>
      </c>
      <c r="S4855">
        <v>87</v>
      </c>
      <c r="T4855">
        <v>4.95</v>
      </c>
      <c r="U4855">
        <v>93</v>
      </c>
      <c r="V4855">
        <v>1</v>
      </c>
      <c r="W4855">
        <v>78</v>
      </c>
      <c r="X4855" t="s">
        <v>276</v>
      </c>
      <c r="Y4855" t="s">
        <v>95</v>
      </c>
      <c r="Z4855" t="s">
        <v>96</v>
      </c>
      <c r="AA4855" t="s">
        <v>485</v>
      </c>
      <c r="AB4855" t="s">
        <v>10361</v>
      </c>
      <c r="AC4855">
        <v>378</v>
      </c>
      <c r="AD4855">
        <v>207</v>
      </c>
      <c r="AE4855">
        <v>99</v>
      </c>
      <c r="AF4855">
        <v>162.69999999999999</v>
      </c>
      <c r="AG4855">
        <v>-3.17</v>
      </c>
      <c r="AH4855">
        <v>-1.74</v>
      </c>
      <c r="AI4855">
        <v>-0.16</v>
      </c>
      <c r="AJ4855">
        <v>-0.12</v>
      </c>
      <c r="AK4855">
        <v>93</v>
      </c>
      <c r="AL4855">
        <v>358</v>
      </c>
      <c r="AM4855">
        <v>156</v>
      </c>
      <c r="AN4855">
        <v>5.75</v>
      </c>
      <c r="AO4855">
        <v>-4.79</v>
      </c>
      <c r="AP4855">
        <v>30</v>
      </c>
      <c r="AQ4855">
        <v>0</v>
      </c>
      <c r="AR4855">
        <v>12.52</v>
      </c>
      <c r="AS4855">
        <v>87</v>
      </c>
      <c r="AT4855">
        <v>5.24</v>
      </c>
      <c r="AU4855">
        <v>99</v>
      </c>
      <c r="AV4855">
        <v>-0.56000000000000005</v>
      </c>
      <c r="AW4855">
        <v>93</v>
      </c>
      <c r="AX4855">
        <v>-0.14000000000000001</v>
      </c>
      <c r="AY4855">
        <v>94</v>
      </c>
      <c r="AZ4855">
        <v>5.5</v>
      </c>
      <c r="BA4855">
        <v>84</v>
      </c>
      <c r="BB4855">
        <v>4.45</v>
      </c>
      <c r="BC4855">
        <v>86</v>
      </c>
      <c r="BD4855">
        <v>0.02</v>
      </c>
      <c r="BE4855">
        <v>0.06</v>
      </c>
      <c r="BF4855">
        <v>0.06</v>
      </c>
      <c r="BG4855">
        <v>97</v>
      </c>
      <c r="BH4855">
        <v>0.13</v>
      </c>
      <c r="BI4855">
        <v>11.82</v>
      </c>
      <c r="BJ4855">
        <v>117</v>
      </c>
      <c r="BK4855">
        <v>57</v>
      </c>
      <c r="BL4855">
        <v>0.73</v>
      </c>
      <c r="BM4855">
        <v>0.56000000000000005</v>
      </c>
      <c r="BN4855">
        <v>0.36</v>
      </c>
      <c r="BO4855">
        <v>0.2</v>
      </c>
      <c r="BP4855">
        <v>-1.38</v>
      </c>
      <c r="BQ4855">
        <v>1.06</v>
      </c>
      <c r="BR4855">
        <v>0.86</v>
      </c>
      <c r="BS4855">
        <v>-1.93</v>
      </c>
      <c r="BT4855">
        <v>0.16</v>
      </c>
      <c r="BU4855">
        <v>-0.55000000000000004</v>
      </c>
      <c r="BV4855">
        <v>-0.52</v>
      </c>
      <c r="BW4855">
        <v>-0.16</v>
      </c>
      <c r="BX4855">
        <v>-0.25</v>
      </c>
      <c r="BY4855">
        <v>0.28000000000000003</v>
      </c>
      <c r="BZ4855">
        <v>-2.82</v>
      </c>
      <c r="CA4855">
        <v>-0.76</v>
      </c>
      <c r="CB4855">
        <v>-0.17</v>
      </c>
      <c r="CC4855">
        <v>-1.57</v>
      </c>
      <c r="CD4855">
        <v>0.3</v>
      </c>
      <c r="CE4855">
        <v>0.33</v>
      </c>
      <c r="CF4855">
        <v>0.32</v>
      </c>
      <c r="CG4855">
        <v>0</v>
      </c>
      <c r="CH4855">
        <v>0.32</v>
      </c>
      <c r="CI4855">
        <v>0</v>
      </c>
      <c r="CJ4855">
        <v>0.7</v>
      </c>
      <c r="CK4855">
        <v>96</v>
      </c>
      <c r="CL4855">
        <v>-0.68</v>
      </c>
      <c r="CM4855">
        <v>95</v>
      </c>
      <c r="CN4855">
        <v>-0.25</v>
      </c>
      <c r="CO4855">
        <v>94</v>
      </c>
      <c r="CP4855">
        <v>-1.2</v>
      </c>
      <c r="CQ4855">
        <v>97</v>
      </c>
      <c r="CR4855">
        <v>0</v>
      </c>
      <c r="CS4855">
        <v>0</v>
      </c>
      <c r="CT4855">
        <v>7.1</v>
      </c>
      <c r="CU4855">
        <v>93</v>
      </c>
      <c r="CV4855">
        <v>0.15</v>
      </c>
      <c r="CW4855">
        <v>46</v>
      </c>
      <c r="CX4855" t="s">
        <v>2850</v>
      </c>
    </row>
    <row r="4856" spans="1:102" x14ac:dyDescent="0.3">
      <c r="A4856" t="str">
        <f>HYPERLINK("https://webapp.icbf.com/v2/app/bull-search/view/77853856","SIB")</f>
        <v>SIB</v>
      </c>
      <c r="B4856" t="s">
        <v>649</v>
      </c>
      <c r="C4856" t="s">
        <v>650</v>
      </c>
      <c r="D4856" s="1">
        <v>32332</v>
      </c>
      <c r="E4856" t="s">
        <v>92</v>
      </c>
      <c r="F4856">
        <v>100</v>
      </c>
      <c r="G4856" t="s">
        <v>93</v>
      </c>
      <c r="H4856">
        <v>-200.87</v>
      </c>
      <c r="I4856">
        <v>89</v>
      </c>
      <c r="J4856">
        <v>-28.01</v>
      </c>
      <c r="K4856">
        <v>96</v>
      </c>
      <c r="L4856">
        <v>-153.66</v>
      </c>
      <c r="M4856">
        <v>92</v>
      </c>
      <c r="N4856">
        <v>-2.2400000000000002</v>
      </c>
      <c r="O4856">
        <v>79</v>
      </c>
      <c r="P4856">
        <v>-0.51</v>
      </c>
      <c r="Q4856">
        <v>83</v>
      </c>
      <c r="R4856">
        <v>-8.5</v>
      </c>
      <c r="S4856">
        <v>82</v>
      </c>
      <c r="T4856">
        <v>-5.71</v>
      </c>
      <c r="U4856">
        <v>79</v>
      </c>
      <c r="V4856">
        <v>-2.2400000000000002</v>
      </c>
      <c r="W4856">
        <v>66</v>
      </c>
      <c r="X4856" t="s">
        <v>94</v>
      </c>
      <c r="Y4856" t="s">
        <v>95</v>
      </c>
      <c r="Z4856" t="s">
        <v>96</v>
      </c>
      <c r="AA4856" t="s">
        <v>267</v>
      </c>
      <c r="AB4856" t="s">
        <v>651</v>
      </c>
      <c r="AC4856">
        <v>118</v>
      </c>
      <c r="AD4856">
        <v>84</v>
      </c>
      <c r="AE4856">
        <v>96</v>
      </c>
      <c r="AF4856">
        <v>102.65</v>
      </c>
      <c r="AG4856">
        <v>3.78</v>
      </c>
      <c r="AH4856">
        <v>-4.53</v>
      </c>
      <c r="AI4856">
        <v>0</v>
      </c>
      <c r="AJ4856">
        <v>-0.14000000000000001</v>
      </c>
      <c r="AK4856">
        <v>92</v>
      </c>
      <c r="AL4856">
        <v>170</v>
      </c>
      <c r="AM4856">
        <v>93</v>
      </c>
      <c r="AN4856">
        <v>7.17</v>
      </c>
      <c r="AO4856">
        <v>-5.0999999999999996</v>
      </c>
      <c r="AP4856">
        <v>15</v>
      </c>
      <c r="AQ4856">
        <v>5</v>
      </c>
      <c r="AR4856">
        <v>7.34</v>
      </c>
      <c r="AS4856">
        <v>65</v>
      </c>
      <c r="AT4856">
        <v>4.25</v>
      </c>
      <c r="AU4856">
        <v>95</v>
      </c>
      <c r="AV4856">
        <v>-1.04</v>
      </c>
      <c r="AW4856">
        <v>75</v>
      </c>
      <c r="AX4856">
        <v>0.26</v>
      </c>
      <c r="AY4856">
        <v>85</v>
      </c>
      <c r="AZ4856">
        <v>6.72</v>
      </c>
      <c r="BA4856">
        <v>64</v>
      </c>
      <c r="BB4856">
        <v>4.9000000000000004</v>
      </c>
      <c r="BC4856">
        <v>69</v>
      </c>
      <c r="BD4856">
        <v>0.05</v>
      </c>
      <c r="BE4856">
        <v>0.08</v>
      </c>
      <c r="BF4856">
        <v>-0.04</v>
      </c>
      <c r="BG4856">
        <v>94</v>
      </c>
      <c r="BH4856">
        <v>-0.08</v>
      </c>
      <c r="BI4856">
        <v>-2.04</v>
      </c>
      <c r="BJ4856">
        <v>44</v>
      </c>
      <c r="BK4856">
        <v>33</v>
      </c>
      <c r="BL4856">
        <v>1.18</v>
      </c>
      <c r="BM4856">
        <v>0.74</v>
      </c>
      <c r="BN4856">
        <v>1.99</v>
      </c>
      <c r="BO4856">
        <v>0.97</v>
      </c>
      <c r="BP4856">
        <v>1.65</v>
      </c>
      <c r="BQ4856">
        <v>0.47</v>
      </c>
      <c r="BR4856">
        <v>-0.12</v>
      </c>
      <c r="BS4856">
        <v>-0.4</v>
      </c>
      <c r="BT4856">
        <v>0.86</v>
      </c>
      <c r="BU4856">
        <v>-1.03</v>
      </c>
      <c r="BV4856">
        <v>-1.02</v>
      </c>
      <c r="BW4856">
        <v>0.3</v>
      </c>
      <c r="BX4856">
        <v>-1.32</v>
      </c>
      <c r="BY4856">
        <v>0.08</v>
      </c>
      <c r="BZ4856">
        <v>1.8</v>
      </c>
      <c r="CA4856">
        <v>-0.43</v>
      </c>
      <c r="CB4856">
        <v>-0.33</v>
      </c>
      <c r="CC4856">
        <v>-0.36</v>
      </c>
      <c r="CD4856">
        <v>-0.13</v>
      </c>
      <c r="CE4856">
        <v>1.4</v>
      </c>
      <c r="CF4856">
        <v>1.43</v>
      </c>
      <c r="CG4856">
        <v>0</v>
      </c>
      <c r="CH4856">
        <v>0.05</v>
      </c>
      <c r="CI4856">
        <v>0</v>
      </c>
      <c r="CJ4856">
        <v>1.3</v>
      </c>
      <c r="CK4856">
        <v>84</v>
      </c>
      <c r="CL4856">
        <v>-0.56999999999999995</v>
      </c>
      <c r="CM4856">
        <v>82</v>
      </c>
      <c r="CN4856">
        <v>-0.27</v>
      </c>
      <c r="CO4856">
        <v>79</v>
      </c>
      <c r="CP4856">
        <v>2.8</v>
      </c>
      <c r="CQ4856">
        <v>89</v>
      </c>
      <c r="CR4856">
        <v>0</v>
      </c>
      <c r="CS4856">
        <v>0</v>
      </c>
      <c r="CT4856">
        <v>21.5</v>
      </c>
      <c r="CU4856">
        <v>79</v>
      </c>
      <c r="CV4856">
        <v>0.08</v>
      </c>
      <c r="CW4856">
        <v>42</v>
      </c>
      <c r="CX4856" t="s">
        <v>652</v>
      </c>
    </row>
    <row r="4857" spans="1:102" x14ac:dyDescent="0.3">
      <c r="A4857" t="str">
        <f>HYPERLINK("https://webapp.icbf.com/v2/app/bull-search/view/186812998","S337")</f>
        <v>S337</v>
      </c>
      <c r="B4857" t="s">
        <v>11640</v>
      </c>
      <c r="C4857" t="s">
        <v>11641</v>
      </c>
      <c r="D4857" s="1">
        <v>36424</v>
      </c>
      <c r="E4857" t="s">
        <v>92</v>
      </c>
      <c r="F4857">
        <v>100</v>
      </c>
      <c r="G4857" t="s">
        <v>109</v>
      </c>
      <c r="H4857">
        <v>-201.01</v>
      </c>
      <c r="I4857">
        <v>69</v>
      </c>
      <c r="J4857">
        <v>-61.23</v>
      </c>
      <c r="K4857">
        <v>82</v>
      </c>
      <c r="L4857">
        <v>-86.39</v>
      </c>
      <c r="M4857">
        <v>77</v>
      </c>
      <c r="N4857">
        <v>-31.83</v>
      </c>
      <c r="O4857">
        <v>49</v>
      </c>
      <c r="P4857">
        <v>-10.27</v>
      </c>
      <c r="Q4857">
        <v>49</v>
      </c>
      <c r="R4857">
        <v>-2.52</v>
      </c>
      <c r="S4857">
        <v>61</v>
      </c>
      <c r="T4857">
        <v>-4.5999999999999996</v>
      </c>
      <c r="U4857">
        <v>45</v>
      </c>
      <c r="V4857">
        <v>-4.17</v>
      </c>
      <c r="W4857">
        <v>30</v>
      </c>
      <c r="X4857" t="s">
        <v>110</v>
      </c>
      <c r="Y4857" t="s">
        <v>95</v>
      </c>
      <c r="Z4857" t="s">
        <v>96</v>
      </c>
      <c r="AA4857" t="s">
        <v>1015</v>
      </c>
      <c r="AB4857" t="s">
        <v>11642</v>
      </c>
      <c r="AC4857">
        <v>0</v>
      </c>
      <c r="AD4857">
        <v>0</v>
      </c>
      <c r="AE4857">
        <v>82</v>
      </c>
      <c r="AF4857">
        <v>-11.16</v>
      </c>
      <c r="AG4857">
        <v>-10.81</v>
      </c>
      <c r="AH4857">
        <v>-6.76</v>
      </c>
      <c r="AI4857">
        <v>-0.17</v>
      </c>
      <c r="AJ4857">
        <v>-0.11</v>
      </c>
      <c r="AK4857">
        <v>77</v>
      </c>
      <c r="AL4857">
        <v>0</v>
      </c>
      <c r="AM4857">
        <v>0</v>
      </c>
      <c r="AN4857">
        <v>2.36</v>
      </c>
      <c r="AO4857">
        <v>-4.5599999999999996</v>
      </c>
      <c r="AP4857">
        <v>5</v>
      </c>
      <c r="AQ4857">
        <v>0</v>
      </c>
      <c r="AR4857">
        <v>8.7200000000000006</v>
      </c>
      <c r="AS4857">
        <v>38</v>
      </c>
      <c r="AT4857">
        <v>5.51</v>
      </c>
      <c r="AU4857">
        <v>81</v>
      </c>
      <c r="AV4857">
        <v>-0.04</v>
      </c>
      <c r="AW4857">
        <v>41</v>
      </c>
      <c r="AX4857">
        <v>1.74</v>
      </c>
      <c r="AY4857">
        <v>41</v>
      </c>
      <c r="AZ4857">
        <v>6.1</v>
      </c>
      <c r="BA4857">
        <v>33</v>
      </c>
      <c r="BB4857">
        <v>4.88</v>
      </c>
      <c r="BC4857">
        <v>33</v>
      </c>
      <c r="BD4857">
        <v>0.03</v>
      </c>
      <c r="BE4857">
        <v>0.02</v>
      </c>
      <c r="BF4857">
        <v>-0.03</v>
      </c>
      <c r="BG4857">
        <v>85</v>
      </c>
      <c r="BH4857">
        <v>-0.04</v>
      </c>
      <c r="BI4857">
        <v>8.82</v>
      </c>
      <c r="BJ4857">
        <v>1</v>
      </c>
      <c r="BK4857">
        <v>1</v>
      </c>
      <c r="BL4857">
        <v>1.42</v>
      </c>
      <c r="BM4857">
        <v>-0.08</v>
      </c>
      <c r="BN4857">
        <v>0.46</v>
      </c>
      <c r="BO4857">
        <v>0.53</v>
      </c>
      <c r="BP4857">
        <v>-1.31</v>
      </c>
      <c r="BQ4857">
        <v>2.5299999999999998</v>
      </c>
      <c r="BR4857">
        <v>-0.09</v>
      </c>
      <c r="BS4857">
        <v>-0.59</v>
      </c>
      <c r="BT4857">
        <v>-0.05</v>
      </c>
      <c r="BU4857">
        <v>1.04</v>
      </c>
      <c r="BV4857">
        <v>0.82</v>
      </c>
      <c r="BW4857">
        <v>0.55000000000000004</v>
      </c>
      <c r="BX4857">
        <v>1.46</v>
      </c>
      <c r="BY4857">
        <v>-0.35</v>
      </c>
      <c r="BZ4857">
        <v>2.27</v>
      </c>
      <c r="CA4857">
        <v>0.78</v>
      </c>
      <c r="CB4857">
        <v>0.64</v>
      </c>
      <c r="CC4857">
        <v>0.71</v>
      </c>
      <c r="CD4857">
        <v>-0.46</v>
      </c>
      <c r="CE4857">
        <v>0.49</v>
      </c>
      <c r="CF4857">
        <v>1.38</v>
      </c>
      <c r="CG4857">
        <v>0</v>
      </c>
      <c r="CH4857">
        <v>0.05</v>
      </c>
      <c r="CI4857">
        <v>0</v>
      </c>
      <c r="CJ4857">
        <v>-4.2</v>
      </c>
      <c r="CK4857">
        <v>50</v>
      </c>
      <c r="CL4857">
        <v>-0.9</v>
      </c>
      <c r="CM4857">
        <v>49</v>
      </c>
      <c r="CN4857">
        <v>-0.42</v>
      </c>
      <c r="CO4857">
        <v>46</v>
      </c>
      <c r="CP4857">
        <v>-0.7</v>
      </c>
      <c r="CQ4857">
        <v>51</v>
      </c>
      <c r="CR4857">
        <v>0</v>
      </c>
      <c r="CS4857">
        <v>0</v>
      </c>
      <c r="CT4857">
        <v>20</v>
      </c>
      <c r="CU4857">
        <v>45</v>
      </c>
      <c r="CV4857">
        <v>0.17</v>
      </c>
      <c r="CW4857">
        <v>14</v>
      </c>
      <c r="CX4857" t="s">
        <v>6675</v>
      </c>
    </row>
    <row r="4858" spans="1:102" x14ac:dyDescent="0.3">
      <c r="A4858" t="str">
        <f>HYPERLINK("https://webapp.icbf.com/v2/app/bull-search/view/77855239","MLO")</f>
        <v>MLO</v>
      </c>
      <c r="B4858" t="s">
        <v>15067</v>
      </c>
      <c r="C4858" t="s">
        <v>1325</v>
      </c>
      <c r="D4858" s="1">
        <v>33476</v>
      </c>
      <c r="E4858" t="s">
        <v>92</v>
      </c>
      <c r="F4858">
        <v>100</v>
      </c>
      <c r="G4858" t="s">
        <v>93</v>
      </c>
      <c r="H4858">
        <v>-201.69</v>
      </c>
      <c r="I4858">
        <v>97</v>
      </c>
      <c r="J4858">
        <v>-0.4</v>
      </c>
      <c r="K4858">
        <v>99</v>
      </c>
      <c r="L4858">
        <v>-181.93</v>
      </c>
      <c r="M4858">
        <v>96</v>
      </c>
      <c r="N4858">
        <v>-17.850000000000001</v>
      </c>
      <c r="O4858">
        <v>98</v>
      </c>
      <c r="P4858">
        <v>-21.76</v>
      </c>
      <c r="Q4858">
        <v>99</v>
      </c>
      <c r="R4858">
        <v>7.25</v>
      </c>
      <c r="S4858">
        <v>95</v>
      </c>
      <c r="T4858">
        <v>14.27</v>
      </c>
      <c r="U4858">
        <v>98</v>
      </c>
      <c r="V4858">
        <v>-1.27</v>
      </c>
      <c r="W4858">
        <v>94</v>
      </c>
      <c r="X4858" t="s">
        <v>131</v>
      </c>
      <c r="Y4858" t="s">
        <v>95</v>
      </c>
      <c r="Z4858" t="s">
        <v>96</v>
      </c>
      <c r="AA4858" t="s">
        <v>132</v>
      </c>
      <c r="AB4858" t="s">
        <v>15068</v>
      </c>
      <c r="AC4858">
        <v>1315</v>
      </c>
      <c r="AD4858">
        <v>491</v>
      </c>
      <c r="AE4858">
        <v>99</v>
      </c>
      <c r="AF4858">
        <v>195.34</v>
      </c>
      <c r="AG4858">
        <v>6.28</v>
      </c>
      <c r="AH4858">
        <v>0.7</v>
      </c>
      <c r="AI4858">
        <v>-0.02</v>
      </c>
      <c r="AJ4858">
        <v>-0.1</v>
      </c>
      <c r="AK4858">
        <v>96</v>
      </c>
      <c r="AL4858">
        <v>1158</v>
      </c>
      <c r="AM4858">
        <v>420</v>
      </c>
      <c r="AN4858">
        <v>10.57</v>
      </c>
      <c r="AO4858">
        <v>-3.93</v>
      </c>
      <c r="AP4858">
        <v>219</v>
      </c>
      <c r="AQ4858">
        <v>1</v>
      </c>
      <c r="AR4858">
        <v>9.4499999999999993</v>
      </c>
      <c r="AS4858">
        <v>97</v>
      </c>
      <c r="AT4858">
        <v>3.83</v>
      </c>
      <c r="AU4858">
        <v>99</v>
      </c>
      <c r="AV4858">
        <v>-0.56000000000000005</v>
      </c>
      <c r="AW4858">
        <v>98</v>
      </c>
      <c r="AX4858">
        <v>0.09</v>
      </c>
      <c r="AY4858">
        <v>98</v>
      </c>
      <c r="AZ4858">
        <v>7.5</v>
      </c>
      <c r="BA4858">
        <v>96</v>
      </c>
      <c r="BB4858">
        <v>6.5</v>
      </c>
      <c r="BC4858">
        <v>97</v>
      </c>
      <c r="BD4858">
        <v>-0.01</v>
      </c>
      <c r="BE4858">
        <v>0</v>
      </c>
      <c r="BF4858">
        <v>-0.15</v>
      </c>
      <c r="BG4858">
        <v>99</v>
      </c>
      <c r="BH4858">
        <v>-0.1</v>
      </c>
      <c r="BI4858">
        <v>-7.48</v>
      </c>
      <c r="BJ4858">
        <v>648</v>
      </c>
      <c r="BK4858">
        <v>212</v>
      </c>
      <c r="BL4858">
        <v>0.68</v>
      </c>
      <c r="BM4858">
        <v>-1.76</v>
      </c>
      <c r="BN4858">
        <v>0.84</v>
      </c>
      <c r="BO4858">
        <v>1.57</v>
      </c>
      <c r="BP4858">
        <v>-0.02</v>
      </c>
      <c r="BQ4858">
        <v>-0.65</v>
      </c>
      <c r="BR4858">
        <v>-2.89</v>
      </c>
      <c r="BS4858">
        <v>3.43</v>
      </c>
      <c r="BT4858">
        <v>3.01</v>
      </c>
      <c r="BU4858">
        <v>1.76</v>
      </c>
      <c r="BV4858">
        <v>1.52</v>
      </c>
      <c r="BW4858">
        <v>1.28</v>
      </c>
      <c r="BX4858">
        <v>0.96</v>
      </c>
      <c r="BY4858">
        <v>1.84</v>
      </c>
      <c r="BZ4858">
        <v>-1.39</v>
      </c>
      <c r="CA4858">
        <v>2.2999999999999998</v>
      </c>
      <c r="CB4858">
        <v>1.6</v>
      </c>
      <c r="CC4858">
        <v>2.78</v>
      </c>
      <c r="CD4858">
        <v>-1.44</v>
      </c>
      <c r="CE4858">
        <v>1.34</v>
      </c>
      <c r="CF4858">
        <v>0.98</v>
      </c>
      <c r="CG4858">
        <v>0</v>
      </c>
      <c r="CH4858">
        <v>1.83</v>
      </c>
      <c r="CI4858">
        <v>0</v>
      </c>
      <c r="CJ4858">
        <v>-8</v>
      </c>
      <c r="CK4858">
        <v>99</v>
      </c>
      <c r="CL4858">
        <v>-1.21</v>
      </c>
      <c r="CM4858">
        <v>99</v>
      </c>
      <c r="CN4858">
        <v>-0.26</v>
      </c>
      <c r="CO4858">
        <v>99</v>
      </c>
      <c r="CP4858">
        <v>-8.5</v>
      </c>
      <c r="CQ4858">
        <v>99</v>
      </c>
      <c r="CR4858">
        <v>0</v>
      </c>
      <c r="CS4858">
        <v>0</v>
      </c>
      <c r="CT4858">
        <v>-5.5</v>
      </c>
      <c r="CU4858">
        <v>98</v>
      </c>
      <c r="CV4858">
        <v>0.14000000000000001</v>
      </c>
      <c r="CW4858">
        <v>46</v>
      </c>
      <c r="CX4858" t="s">
        <v>914</v>
      </c>
    </row>
    <row r="4859" spans="1:102" x14ac:dyDescent="0.3">
      <c r="A4859" t="str">
        <f>HYPERLINK("https://webapp.icbf.com/v2/app/bull-search/view/77854915","MWC")</f>
        <v>MWC</v>
      </c>
      <c r="B4859" t="s">
        <v>14300</v>
      </c>
      <c r="C4859" t="s">
        <v>14301</v>
      </c>
      <c r="D4859" s="1">
        <v>31416</v>
      </c>
      <c r="E4859" t="s">
        <v>92</v>
      </c>
      <c r="F4859">
        <v>100</v>
      </c>
      <c r="G4859" t="s">
        <v>93</v>
      </c>
      <c r="H4859">
        <v>-201.84</v>
      </c>
      <c r="I4859">
        <v>83</v>
      </c>
      <c r="J4859">
        <v>-88.83</v>
      </c>
      <c r="K4859">
        <v>94</v>
      </c>
      <c r="L4859">
        <v>-41.17</v>
      </c>
      <c r="M4859">
        <v>89</v>
      </c>
      <c r="N4859">
        <v>-56.74</v>
      </c>
      <c r="O4859">
        <v>67</v>
      </c>
      <c r="P4859">
        <v>-4.2</v>
      </c>
      <c r="Q4859">
        <v>74</v>
      </c>
      <c r="R4859">
        <v>-10.53</v>
      </c>
      <c r="S4859">
        <v>73</v>
      </c>
      <c r="T4859">
        <v>2.06</v>
      </c>
      <c r="U4859">
        <v>66</v>
      </c>
      <c r="V4859">
        <v>-2.4300000000000002</v>
      </c>
      <c r="W4859">
        <v>34</v>
      </c>
      <c r="X4859" t="s">
        <v>110</v>
      </c>
      <c r="Y4859" t="s">
        <v>95</v>
      </c>
      <c r="Z4859" t="s">
        <v>96</v>
      </c>
      <c r="AA4859" t="s">
        <v>154</v>
      </c>
      <c r="AB4859" t="s">
        <v>6591</v>
      </c>
      <c r="AC4859">
        <v>89</v>
      </c>
      <c r="AD4859">
        <v>50</v>
      </c>
      <c r="AE4859">
        <v>94</v>
      </c>
      <c r="AF4859">
        <v>-35.53</v>
      </c>
      <c r="AG4859">
        <v>-13.57</v>
      </c>
      <c r="AH4859">
        <v>-10.85</v>
      </c>
      <c r="AI4859">
        <v>-0.2</v>
      </c>
      <c r="AJ4859">
        <v>-0.16</v>
      </c>
      <c r="AK4859">
        <v>89</v>
      </c>
      <c r="AL4859">
        <v>104</v>
      </c>
      <c r="AM4859">
        <v>44</v>
      </c>
      <c r="AN4859">
        <v>2.5</v>
      </c>
      <c r="AO4859">
        <v>-0.78</v>
      </c>
      <c r="AP4859">
        <v>8</v>
      </c>
      <c r="AQ4859">
        <v>0</v>
      </c>
      <c r="AR4859">
        <v>12.42</v>
      </c>
      <c r="AS4859">
        <v>39</v>
      </c>
      <c r="AT4859">
        <v>5.6</v>
      </c>
      <c r="AU4859">
        <v>88</v>
      </c>
      <c r="AV4859">
        <v>0.38</v>
      </c>
      <c r="AW4859">
        <v>64</v>
      </c>
      <c r="AX4859">
        <v>-7.0000000000000007E-2</v>
      </c>
      <c r="AY4859">
        <v>74</v>
      </c>
      <c r="AZ4859">
        <v>7.17</v>
      </c>
      <c r="BA4859">
        <v>41</v>
      </c>
      <c r="BB4859">
        <v>6.51</v>
      </c>
      <c r="BC4859">
        <v>53</v>
      </c>
      <c r="BD4859">
        <v>0</v>
      </c>
      <c r="BE4859">
        <v>0.08</v>
      </c>
      <c r="BF4859">
        <v>0.09</v>
      </c>
      <c r="BG4859">
        <v>93</v>
      </c>
      <c r="BH4859">
        <v>0.08</v>
      </c>
      <c r="BI4859">
        <v>17.09</v>
      </c>
      <c r="BJ4859">
        <v>41</v>
      </c>
      <c r="BK4859">
        <v>18</v>
      </c>
      <c r="BL4859">
        <v>0.72</v>
      </c>
      <c r="BM4859">
        <v>-0.18</v>
      </c>
      <c r="BN4859">
        <v>0.87</v>
      </c>
      <c r="BO4859">
        <v>0.53</v>
      </c>
      <c r="BP4859">
        <v>-0.5</v>
      </c>
      <c r="BQ4859">
        <v>-1.01</v>
      </c>
      <c r="BR4859">
        <v>0.32</v>
      </c>
      <c r="BS4859">
        <v>0.27</v>
      </c>
      <c r="BT4859">
        <v>-0.22</v>
      </c>
      <c r="BU4859">
        <v>0.25</v>
      </c>
      <c r="BV4859">
        <v>1.23</v>
      </c>
      <c r="BW4859">
        <v>1.24</v>
      </c>
      <c r="BX4859">
        <v>-0.05</v>
      </c>
      <c r="BY4859">
        <v>0.34</v>
      </c>
      <c r="BZ4859">
        <v>2.14</v>
      </c>
      <c r="CA4859">
        <v>1.19</v>
      </c>
      <c r="CB4859">
        <v>0.96</v>
      </c>
      <c r="CC4859">
        <v>1.1100000000000001</v>
      </c>
      <c r="CD4859">
        <v>-0.31</v>
      </c>
      <c r="CE4859">
        <v>0.8</v>
      </c>
      <c r="CF4859">
        <v>1.33</v>
      </c>
      <c r="CG4859">
        <v>0</v>
      </c>
      <c r="CH4859">
        <v>0.42</v>
      </c>
      <c r="CI4859">
        <v>0</v>
      </c>
      <c r="CJ4859">
        <v>-0.4</v>
      </c>
      <c r="CK4859">
        <v>75</v>
      </c>
      <c r="CL4859">
        <v>-0.77</v>
      </c>
      <c r="CM4859">
        <v>72</v>
      </c>
      <c r="CN4859">
        <v>-0.4</v>
      </c>
      <c r="CO4859">
        <v>67</v>
      </c>
      <c r="CP4859">
        <v>-2.6</v>
      </c>
      <c r="CQ4859">
        <v>84</v>
      </c>
      <c r="CR4859">
        <v>0</v>
      </c>
      <c r="CS4859">
        <v>0</v>
      </c>
      <c r="CT4859">
        <v>11</v>
      </c>
      <c r="CU4859">
        <v>66</v>
      </c>
      <c r="CV4859">
        <v>0.24</v>
      </c>
      <c r="CW4859">
        <v>20</v>
      </c>
      <c r="CX4859" t="s">
        <v>617</v>
      </c>
    </row>
    <row r="4860" spans="1:102" x14ac:dyDescent="0.3">
      <c r="A4860" t="str">
        <f>HYPERLINK("https://webapp.icbf.com/v2/app/bull-search/view/182834848","MUX")</f>
        <v>MUX</v>
      </c>
      <c r="B4860" t="s">
        <v>144</v>
      </c>
      <c r="C4860" t="s">
        <v>15043</v>
      </c>
      <c r="D4860" s="1">
        <v>35265</v>
      </c>
      <c r="E4860" t="s">
        <v>197</v>
      </c>
      <c r="F4860">
        <v>0</v>
      </c>
      <c r="G4860" t="s">
        <v>116</v>
      </c>
      <c r="H4860">
        <v>-201.98</v>
      </c>
      <c r="I4860">
        <v>44</v>
      </c>
      <c r="J4860">
        <v>-45.77</v>
      </c>
      <c r="K4860">
        <v>66</v>
      </c>
      <c r="L4860">
        <v>-19.100000000000001</v>
      </c>
      <c r="M4860">
        <v>24</v>
      </c>
      <c r="N4860">
        <v>-142.34</v>
      </c>
      <c r="O4860">
        <v>44</v>
      </c>
      <c r="P4860">
        <v>-5.5</v>
      </c>
      <c r="Q4860">
        <v>59</v>
      </c>
      <c r="R4860">
        <v>-6.15</v>
      </c>
      <c r="S4860">
        <v>26</v>
      </c>
      <c r="T4860">
        <v>19.010000000000002</v>
      </c>
      <c r="U4860">
        <v>47</v>
      </c>
      <c r="V4860">
        <v>-2.13</v>
      </c>
      <c r="W4860">
        <v>11</v>
      </c>
      <c r="X4860" t="s">
        <v>94</v>
      </c>
      <c r="Y4860" t="s">
        <v>95</v>
      </c>
      <c r="Z4860">
        <v>0</v>
      </c>
      <c r="AA4860" t="s">
        <v>3505</v>
      </c>
      <c r="AB4860" t="s">
        <v>15044</v>
      </c>
      <c r="AC4860">
        <v>7</v>
      </c>
      <c r="AD4860">
        <v>3</v>
      </c>
      <c r="AE4860">
        <v>66</v>
      </c>
      <c r="AF4860">
        <v>-246.43</v>
      </c>
      <c r="AG4860">
        <v>-11.21</v>
      </c>
      <c r="AH4860">
        <v>-7.59</v>
      </c>
      <c r="AI4860">
        <v>-0.03</v>
      </c>
      <c r="AJ4860">
        <v>0.01</v>
      </c>
      <c r="AK4860">
        <v>24</v>
      </c>
      <c r="AL4860">
        <v>9</v>
      </c>
      <c r="AM4860">
        <v>4</v>
      </c>
      <c r="AN4860">
        <v>-0.25</v>
      </c>
      <c r="AO4860">
        <v>-1.79</v>
      </c>
      <c r="AP4860">
        <v>14</v>
      </c>
      <c r="AQ4860">
        <v>0</v>
      </c>
      <c r="AR4860">
        <v>14.43</v>
      </c>
      <c r="AS4860">
        <v>18</v>
      </c>
      <c r="AT4860">
        <v>9.94</v>
      </c>
      <c r="AU4860">
        <v>31</v>
      </c>
      <c r="AV4860">
        <v>2.0699999999999998</v>
      </c>
      <c r="AW4860">
        <v>72</v>
      </c>
      <c r="AX4860">
        <v>1.1299999999999999</v>
      </c>
      <c r="AY4860">
        <v>31</v>
      </c>
      <c r="AZ4860">
        <v>6.25</v>
      </c>
      <c r="BA4860">
        <v>15</v>
      </c>
      <c r="BB4860">
        <v>3.77</v>
      </c>
      <c r="BC4860">
        <v>13</v>
      </c>
      <c r="BD4860">
        <v>0.02</v>
      </c>
      <c r="BE4860">
        <v>0.02</v>
      </c>
      <c r="BF4860">
        <v>7.0000000000000007E-2</v>
      </c>
      <c r="BG4860">
        <v>33</v>
      </c>
      <c r="BH4860">
        <v>-0.02</v>
      </c>
      <c r="BI4860">
        <v>4.5599999999999996</v>
      </c>
      <c r="BJ4860">
        <v>0</v>
      </c>
      <c r="BK4860">
        <v>0</v>
      </c>
      <c r="BL4860">
        <v>-0.81</v>
      </c>
      <c r="BM4860">
        <v>0.57999999999999996</v>
      </c>
      <c r="BN4860">
        <v>-0.83</v>
      </c>
      <c r="BO4860">
        <v>-1.18</v>
      </c>
      <c r="BP4860">
        <v>0.65</v>
      </c>
      <c r="BQ4860">
        <v>0.09</v>
      </c>
      <c r="BR4860">
        <v>-0.27</v>
      </c>
      <c r="BS4860">
        <v>0.37</v>
      </c>
      <c r="BT4860">
        <v>-0.05</v>
      </c>
      <c r="BU4860">
        <v>-0.64</v>
      </c>
      <c r="BV4860">
        <v>-1.25</v>
      </c>
      <c r="BW4860">
        <v>-1.33</v>
      </c>
      <c r="BX4860">
        <v>-0.08</v>
      </c>
      <c r="BY4860">
        <v>-1.23</v>
      </c>
      <c r="BZ4860">
        <v>-0.06</v>
      </c>
      <c r="CA4860">
        <v>-1.1200000000000001</v>
      </c>
      <c r="CB4860">
        <v>-1.1599999999999999</v>
      </c>
      <c r="CC4860">
        <v>-0.6</v>
      </c>
      <c r="CD4860">
        <v>1.1399999999999999</v>
      </c>
      <c r="CE4860">
        <v>-1.25</v>
      </c>
      <c r="CF4860">
        <v>-0.77</v>
      </c>
      <c r="CG4860">
        <v>0</v>
      </c>
      <c r="CH4860">
        <v>-1.06</v>
      </c>
      <c r="CI4860">
        <v>0</v>
      </c>
      <c r="CJ4860">
        <v>-2.2000000000000002</v>
      </c>
      <c r="CK4860">
        <v>62</v>
      </c>
      <c r="CL4860">
        <v>-0.14000000000000001</v>
      </c>
      <c r="CM4860">
        <v>56</v>
      </c>
      <c r="CN4860">
        <v>0</v>
      </c>
      <c r="CO4860">
        <v>52</v>
      </c>
      <c r="CP4860">
        <v>-6.8</v>
      </c>
      <c r="CQ4860">
        <v>58</v>
      </c>
      <c r="CR4860">
        <v>0</v>
      </c>
      <c r="CS4860">
        <v>0</v>
      </c>
      <c r="CT4860">
        <v>-11.9</v>
      </c>
      <c r="CU4860">
        <v>47</v>
      </c>
      <c r="CV4860">
        <v>-0.04</v>
      </c>
      <c r="CW4860">
        <v>15</v>
      </c>
      <c r="CX4860" t="s">
        <v>4406</v>
      </c>
    </row>
    <row r="4861" spans="1:102" x14ac:dyDescent="0.3">
      <c r="A4861" t="str">
        <f>HYPERLINK("https://webapp.icbf.com/v2/app/bull-search/view/77852629","WNK")</f>
        <v>WNK</v>
      </c>
      <c r="B4861" t="s">
        <v>8598</v>
      </c>
      <c r="C4861" t="s">
        <v>8599</v>
      </c>
      <c r="D4861" s="1">
        <v>35353</v>
      </c>
      <c r="E4861" t="s">
        <v>92</v>
      </c>
      <c r="F4861">
        <v>100</v>
      </c>
      <c r="G4861" t="s">
        <v>93</v>
      </c>
      <c r="H4861">
        <v>-202.35</v>
      </c>
      <c r="I4861">
        <v>79</v>
      </c>
      <c r="J4861">
        <v>-0.35</v>
      </c>
      <c r="K4861">
        <v>94</v>
      </c>
      <c r="L4861">
        <v>-151.61000000000001</v>
      </c>
      <c r="M4861">
        <v>76</v>
      </c>
      <c r="N4861">
        <v>-37.83</v>
      </c>
      <c r="O4861">
        <v>66</v>
      </c>
      <c r="P4861">
        <v>-4.41</v>
      </c>
      <c r="Q4861">
        <v>69</v>
      </c>
      <c r="R4861">
        <v>-15.16</v>
      </c>
      <c r="S4861">
        <v>75</v>
      </c>
      <c r="T4861">
        <v>11.01</v>
      </c>
      <c r="U4861">
        <v>60</v>
      </c>
      <c r="V4861">
        <v>-4</v>
      </c>
      <c r="W4861">
        <v>64</v>
      </c>
      <c r="X4861" t="s">
        <v>94</v>
      </c>
      <c r="Y4861" t="s">
        <v>95</v>
      </c>
      <c r="Z4861" t="s">
        <v>96</v>
      </c>
      <c r="AA4861" t="s">
        <v>97</v>
      </c>
      <c r="AB4861" t="s">
        <v>8600</v>
      </c>
      <c r="AC4861">
        <v>33</v>
      </c>
      <c r="AD4861">
        <v>32</v>
      </c>
      <c r="AE4861">
        <v>94</v>
      </c>
      <c r="AF4861">
        <v>259.89999999999998</v>
      </c>
      <c r="AG4861">
        <v>-0.56999999999999995</v>
      </c>
      <c r="AH4861">
        <v>4.12</v>
      </c>
      <c r="AI4861">
        <v>-0.18</v>
      </c>
      <c r="AJ4861">
        <v>-0.08</v>
      </c>
      <c r="AK4861">
        <v>76</v>
      </c>
      <c r="AL4861">
        <v>31</v>
      </c>
      <c r="AM4861">
        <v>27</v>
      </c>
      <c r="AN4861">
        <v>7.53</v>
      </c>
      <c r="AO4861">
        <v>-4.57</v>
      </c>
      <c r="AP4861">
        <v>0</v>
      </c>
      <c r="AQ4861">
        <v>1</v>
      </c>
      <c r="AR4861">
        <v>13.07</v>
      </c>
      <c r="AS4861">
        <v>57</v>
      </c>
      <c r="AT4861">
        <v>4.76</v>
      </c>
      <c r="AU4861">
        <v>71</v>
      </c>
      <c r="AV4861">
        <v>0.19</v>
      </c>
      <c r="AW4861">
        <v>69</v>
      </c>
      <c r="AX4861">
        <v>0.87</v>
      </c>
      <c r="AY4861">
        <v>65</v>
      </c>
      <c r="AZ4861">
        <v>6.8</v>
      </c>
      <c r="BA4861">
        <v>50</v>
      </c>
      <c r="BB4861">
        <v>4.5599999999999996</v>
      </c>
      <c r="BC4861">
        <v>58</v>
      </c>
      <c r="BD4861">
        <v>0.04</v>
      </c>
      <c r="BE4861">
        <v>0.08</v>
      </c>
      <c r="BF4861">
        <v>0.13</v>
      </c>
      <c r="BG4861">
        <v>85</v>
      </c>
      <c r="BH4861">
        <v>-0.06</v>
      </c>
      <c r="BI4861">
        <v>5.95</v>
      </c>
      <c r="BJ4861">
        <v>2</v>
      </c>
      <c r="BK4861">
        <v>2</v>
      </c>
      <c r="BL4861">
        <v>0.38</v>
      </c>
      <c r="BM4861">
        <v>-0.71</v>
      </c>
      <c r="BN4861">
        <v>7.0000000000000007E-2</v>
      </c>
      <c r="BO4861">
        <v>0.56999999999999995</v>
      </c>
      <c r="BP4861">
        <v>0.98</v>
      </c>
      <c r="BQ4861">
        <v>7.0000000000000007E-2</v>
      </c>
      <c r="BR4861">
        <v>0.1</v>
      </c>
      <c r="BS4861">
        <v>1.32</v>
      </c>
      <c r="BT4861">
        <v>0.42</v>
      </c>
      <c r="BU4861">
        <v>-0.52</v>
      </c>
      <c r="BV4861">
        <v>-0.1</v>
      </c>
      <c r="BW4861">
        <v>0.28999999999999998</v>
      </c>
      <c r="BX4861">
        <v>-0.89</v>
      </c>
      <c r="BY4861">
        <v>1.26</v>
      </c>
      <c r="BZ4861">
        <v>-0.55000000000000004</v>
      </c>
      <c r="CA4861">
        <v>0.87</v>
      </c>
      <c r="CB4861">
        <v>0.54</v>
      </c>
      <c r="CC4861">
        <v>0.66</v>
      </c>
      <c r="CD4861">
        <v>-0.68</v>
      </c>
      <c r="CE4861">
        <v>0.54</v>
      </c>
      <c r="CF4861">
        <v>0.59</v>
      </c>
      <c r="CG4861">
        <v>0</v>
      </c>
      <c r="CH4861">
        <v>1.57</v>
      </c>
      <c r="CI4861">
        <v>0</v>
      </c>
      <c r="CJ4861">
        <v>-1.2</v>
      </c>
      <c r="CK4861">
        <v>70</v>
      </c>
      <c r="CL4861">
        <v>-0.67</v>
      </c>
      <c r="CM4861">
        <v>68</v>
      </c>
      <c r="CN4861">
        <v>-0.34</v>
      </c>
      <c r="CO4861">
        <v>64</v>
      </c>
      <c r="CP4861">
        <v>1.2</v>
      </c>
      <c r="CQ4861">
        <v>73</v>
      </c>
      <c r="CR4861">
        <v>0</v>
      </c>
      <c r="CS4861">
        <v>0</v>
      </c>
      <c r="CT4861">
        <v>-1.1000000000000001</v>
      </c>
      <c r="CU4861">
        <v>60</v>
      </c>
      <c r="CV4861">
        <v>7.0000000000000007E-2</v>
      </c>
      <c r="CW4861">
        <v>39</v>
      </c>
      <c r="CX4861" t="s">
        <v>152</v>
      </c>
    </row>
    <row r="4862" spans="1:102" x14ac:dyDescent="0.3">
      <c r="A4862" t="str">
        <f>HYPERLINK("https://webapp.icbf.com/v2/app/bull-search/view/77858989","CMA")</f>
        <v>CMA</v>
      </c>
      <c r="B4862" t="s">
        <v>11000</v>
      </c>
      <c r="C4862" t="s">
        <v>11001</v>
      </c>
      <c r="D4862" s="1">
        <v>32019</v>
      </c>
      <c r="E4862" t="s">
        <v>92</v>
      </c>
      <c r="F4862">
        <v>100</v>
      </c>
      <c r="G4862" t="s">
        <v>109</v>
      </c>
      <c r="H4862">
        <v>-202.59</v>
      </c>
      <c r="I4862">
        <v>83</v>
      </c>
      <c r="J4862">
        <v>-12.94</v>
      </c>
      <c r="K4862">
        <v>95</v>
      </c>
      <c r="L4862">
        <v>-167.8</v>
      </c>
      <c r="M4862">
        <v>84</v>
      </c>
      <c r="N4862">
        <v>-8.31</v>
      </c>
      <c r="O4862">
        <v>67</v>
      </c>
      <c r="P4862">
        <v>-7.63</v>
      </c>
      <c r="Q4862">
        <v>69</v>
      </c>
      <c r="R4862">
        <v>-2.83</v>
      </c>
      <c r="S4862">
        <v>79</v>
      </c>
      <c r="T4862">
        <v>0.65</v>
      </c>
      <c r="U4862">
        <v>68</v>
      </c>
      <c r="V4862">
        <v>-3.73</v>
      </c>
      <c r="W4862">
        <v>68</v>
      </c>
      <c r="X4862" t="s">
        <v>558</v>
      </c>
      <c r="Y4862" t="s">
        <v>95</v>
      </c>
      <c r="Z4862" t="s">
        <v>96</v>
      </c>
      <c r="AA4862" t="s">
        <v>543</v>
      </c>
      <c r="AB4862" t="s">
        <v>11002</v>
      </c>
      <c r="AC4862">
        <v>39</v>
      </c>
      <c r="AD4862">
        <v>27</v>
      </c>
      <c r="AE4862">
        <v>95</v>
      </c>
      <c r="AF4862">
        <v>101.29</v>
      </c>
      <c r="AG4862">
        <v>4.0999999999999996</v>
      </c>
      <c r="AH4862">
        <v>-2.1</v>
      </c>
      <c r="AI4862">
        <v>0</v>
      </c>
      <c r="AJ4862">
        <v>-0.1</v>
      </c>
      <c r="AK4862">
        <v>84</v>
      </c>
      <c r="AL4862">
        <v>51</v>
      </c>
      <c r="AM4862">
        <v>29</v>
      </c>
      <c r="AN4862">
        <v>10.08</v>
      </c>
      <c r="AO4862">
        <v>-3.29</v>
      </c>
      <c r="AP4862">
        <v>6</v>
      </c>
      <c r="AQ4862">
        <v>2</v>
      </c>
      <c r="AR4862">
        <v>7.97</v>
      </c>
      <c r="AS4862">
        <v>61</v>
      </c>
      <c r="AT4862">
        <v>3.79</v>
      </c>
      <c r="AU4862">
        <v>74</v>
      </c>
      <c r="AV4862">
        <v>-1.39</v>
      </c>
      <c r="AW4862">
        <v>66</v>
      </c>
      <c r="AX4862">
        <v>-0.33</v>
      </c>
      <c r="AY4862">
        <v>70</v>
      </c>
      <c r="AZ4862">
        <v>8.7899999999999991</v>
      </c>
      <c r="BA4862">
        <v>54</v>
      </c>
      <c r="BB4862">
        <v>6.6</v>
      </c>
      <c r="BC4862">
        <v>61</v>
      </c>
      <c r="BD4862">
        <v>0.03</v>
      </c>
      <c r="BE4862">
        <v>0.05</v>
      </c>
      <c r="BF4862">
        <v>-0.08</v>
      </c>
      <c r="BG4862">
        <v>89</v>
      </c>
      <c r="BH4862">
        <v>-0.04</v>
      </c>
      <c r="BI4862">
        <v>7.41</v>
      </c>
      <c r="BJ4862">
        <v>17</v>
      </c>
      <c r="BK4862">
        <v>11</v>
      </c>
      <c r="BL4862">
        <v>0.81</v>
      </c>
      <c r="BM4862">
        <v>0.47</v>
      </c>
      <c r="BN4862">
        <v>1.1399999999999999</v>
      </c>
      <c r="BO4862">
        <v>0.93</v>
      </c>
      <c r="BP4862">
        <v>-3.24</v>
      </c>
      <c r="BQ4862">
        <v>2.81</v>
      </c>
      <c r="BR4862">
        <v>3.12</v>
      </c>
      <c r="BS4862">
        <v>-1.81</v>
      </c>
      <c r="BT4862">
        <v>-2.75</v>
      </c>
      <c r="BU4862">
        <v>1.27</v>
      </c>
      <c r="BV4862">
        <v>0.77</v>
      </c>
      <c r="BW4862">
        <v>0.62</v>
      </c>
      <c r="BX4862">
        <v>0.92</v>
      </c>
      <c r="BY4862">
        <v>-0.12</v>
      </c>
      <c r="BZ4862">
        <v>0.65</v>
      </c>
      <c r="CA4862">
        <v>-0.11</v>
      </c>
      <c r="CB4862">
        <v>0.89</v>
      </c>
      <c r="CC4862">
        <v>-1.76</v>
      </c>
      <c r="CD4862">
        <v>-1.0900000000000001</v>
      </c>
      <c r="CE4862">
        <v>1.03</v>
      </c>
      <c r="CF4862">
        <v>0.78</v>
      </c>
      <c r="CG4862">
        <v>0</v>
      </c>
      <c r="CH4862">
        <v>0.2</v>
      </c>
      <c r="CI4862">
        <v>0</v>
      </c>
      <c r="CJ4862">
        <v>-4</v>
      </c>
      <c r="CK4862">
        <v>70</v>
      </c>
      <c r="CL4862">
        <v>-0.89</v>
      </c>
      <c r="CM4862">
        <v>67</v>
      </c>
      <c r="CN4862">
        <v>-0.6</v>
      </c>
      <c r="CO4862">
        <v>63</v>
      </c>
      <c r="CP4862">
        <v>0.3</v>
      </c>
      <c r="CQ4862">
        <v>78</v>
      </c>
      <c r="CR4862">
        <v>0</v>
      </c>
      <c r="CS4862">
        <v>0</v>
      </c>
      <c r="CT4862">
        <v>12.9</v>
      </c>
      <c r="CU4862">
        <v>68</v>
      </c>
      <c r="CV4862">
        <v>0.01</v>
      </c>
      <c r="CW4862">
        <v>39</v>
      </c>
      <c r="CX4862" t="s">
        <v>707</v>
      </c>
    </row>
    <row r="4863" spans="1:102" x14ac:dyDescent="0.3">
      <c r="A4863" t="str">
        <f>HYPERLINK("https://webapp.icbf.com/v2/app/bull-search/view/77854567","OEM")</f>
        <v>OEM</v>
      </c>
      <c r="B4863" t="s">
        <v>9672</v>
      </c>
      <c r="C4863" t="s">
        <v>9673</v>
      </c>
      <c r="D4863" s="1">
        <v>31459</v>
      </c>
      <c r="E4863" t="s">
        <v>92</v>
      </c>
      <c r="F4863">
        <v>100</v>
      </c>
      <c r="G4863" t="s">
        <v>109</v>
      </c>
      <c r="H4863">
        <v>-203.03</v>
      </c>
      <c r="I4863">
        <v>88</v>
      </c>
      <c r="J4863">
        <v>-10.87</v>
      </c>
      <c r="K4863">
        <v>96</v>
      </c>
      <c r="L4863">
        <v>-159.21</v>
      </c>
      <c r="M4863">
        <v>92</v>
      </c>
      <c r="N4863">
        <v>-16.62</v>
      </c>
      <c r="O4863">
        <v>75</v>
      </c>
      <c r="P4863">
        <v>2.79</v>
      </c>
      <c r="Q4863">
        <v>74</v>
      </c>
      <c r="R4863">
        <v>-20.89</v>
      </c>
      <c r="S4863">
        <v>84</v>
      </c>
      <c r="T4863">
        <v>6.5</v>
      </c>
      <c r="U4863">
        <v>74</v>
      </c>
      <c r="V4863">
        <v>-4.7300000000000004</v>
      </c>
      <c r="W4863">
        <v>71</v>
      </c>
      <c r="X4863" t="s">
        <v>110</v>
      </c>
      <c r="Y4863" t="s">
        <v>95</v>
      </c>
      <c r="Z4863" t="s">
        <v>96</v>
      </c>
      <c r="AA4863" t="s">
        <v>543</v>
      </c>
      <c r="AB4863" t="s">
        <v>9674</v>
      </c>
      <c r="AC4863">
        <v>49</v>
      </c>
      <c r="AD4863">
        <v>37</v>
      </c>
      <c r="AE4863">
        <v>96</v>
      </c>
      <c r="AF4863">
        <v>168.12</v>
      </c>
      <c r="AG4863">
        <v>-4.17</v>
      </c>
      <c r="AH4863">
        <v>2.2000000000000002</v>
      </c>
      <c r="AI4863">
        <v>-0.18</v>
      </c>
      <c r="AJ4863">
        <v>-0.06</v>
      </c>
      <c r="AK4863">
        <v>92</v>
      </c>
      <c r="AL4863">
        <v>92</v>
      </c>
      <c r="AM4863">
        <v>48</v>
      </c>
      <c r="AN4863">
        <v>7.65</v>
      </c>
      <c r="AO4863">
        <v>-5.0599999999999996</v>
      </c>
      <c r="AP4863">
        <v>7</v>
      </c>
      <c r="AQ4863">
        <v>1</v>
      </c>
      <c r="AR4863">
        <v>8.56</v>
      </c>
      <c r="AS4863">
        <v>64</v>
      </c>
      <c r="AT4863">
        <v>4.45</v>
      </c>
      <c r="AU4863">
        <v>92</v>
      </c>
      <c r="AV4863">
        <v>-0.28999999999999998</v>
      </c>
      <c r="AW4863">
        <v>71</v>
      </c>
      <c r="AX4863">
        <v>-0.24</v>
      </c>
      <c r="AY4863">
        <v>76</v>
      </c>
      <c r="AZ4863">
        <v>7.29</v>
      </c>
      <c r="BA4863">
        <v>59</v>
      </c>
      <c r="BB4863">
        <v>5.45</v>
      </c>
      <c r="BC4863">
        <v>66</v>
      </c>
      <c r="BD4863">
        <v>0.05</v>
      </c>
      <c r="BE4863">
        <v>0.13</v>
      </c>
      <c r="BF4863">
        <v>0.15</v>
      </c>
      <c r="BG4863">
        <v>96</v>
      </c>
      <c r="BH4863">
        <v>-0.1</v>
      </c>
      <c r="BI4863">
        <v>3.68</v>
      </c>
      <c r="BJ4863">
        <v>16</v>
      </c>
      <c r="BK4863">
        <v>12</v>
      </c>
      <c r="BL4863">
        <v>-0.04</v>
      </c>
      <c r="BM4863">
        <v>-0.39</v>
      </c>
      <c r="BN4863">
        <v>1</v>
      </c>
      <c r="BO4863">
        <v>0.76</v>
      </c>
      <c r="BP4863">
        <v>-2.76</v>
      </c>
      <c r="BQ4863">
        <v>1.02</v>
      </c>
      <c r="BR4863">
        <v>1.95</v>
      </c>
      <c r="BS4863">
        <v>-1.89</v>
      </c>
      <c r="BT4863">
        <v>-1.91</v>
      </c>
      <c r="BU4863">
        <v>-1.1499999999999999</v>
      </c>
      <c r="BV4863">
        <v>0.44</v>
      </c>
      <c r="BW4863">
        <v>0.01</v>
      </c>
      <c r="BX4863">
        <v>-2.39</v>
      </c>
      <c r="BY4863">
        <v>-2.61</v>
      </c>
      <c r="BZ4863">
        <v>2.85</v>
      </c>
      <c r="CA4863">
        <v>-1.17</v>
      </c>
      <c r="CB4863">
        <v>-0.81</v>
      </c>
      <c r="CC4863">
        <v>-1.1000000000000001</v>
      </c>
      <c r="CD4863">
        <v>-1.1000000000000001</v>
      </c>
      <c r="CE4863">
        <v>1.1100000000000001</v>
      </c>
      <c r="CF4863">
        <v>0.82</v>
      </c>
      <c r="CG4863">
        <v>0</v>
      </c>
      <c r="CH4863">
        <v>-2.31</v>
      </c>
      <c r="CI4863">
        <v>0</v>
      </c>
      <c r="CJ4863">
        <v>2.2999999999999998</v>
      </c>
      <c r="CK4863">
        <v>75</v>
      </c>
      <c r="CL4863">
        <v>-0.73</v>
      </c>
      <c r="CM4863">
        <v>73</v>
      </c>
      <c r="CN4863">
        <v>-0.65</v>
      </c>
      <c r="CO4863">
        <v>69</v>
      </c>
      <c r="CP4863">
        <v>-3.1</v>
      </c>
      <c r="CQ4863">
        <v>84</v>
      </c>
      <c r="CR4863">
        <v>0</v>
      </c>
      <c r="CS4863">
        <v>0</v>
      </c>
      <c r="CT4863">
        <v>5</v>
      </c>
      <c r="CU4863">
        <v>74</v>
      </c>
      <c r="CV4863">
        <v>0.15</v>
      </c>
      <c r="CW4863">
        <v>40</v>
      </c>
      <c r="CX4863" t="s">
        <v>120</v>
      </c>
    </row>
    <row r="4864" spans="1:102" x14ac:dyDescent="0.3">
      <c r="A4864" t="str">
        <f>HYPERLINK("https://webapp.icbf.com/v2/app/bull-search/view/1027071954","S1489")</f>
        <v>S1489</v>
      </c>
      <c r="B4864" t="s">
        <v>13262</v>
      </c>
      <c r="C4864" t="s">
        <v>13263</v>
      </c>
      <c r="D4864" s="1">
        <v>40273</v>
      </c>
      <c r="E4864" t="s">
        <v>92</v>
      </c>
      <c r="F4864">
        <v>100</v>
      </c>
      <c r="G4864" t="s">
        <v>109</v>
      </c>
      <c r="H4864">
        <v>-203.15</v>
      </c>
      <c r="I4864">
        <v>75</v>
      </c>
      <c r="J4864">
        <v>-8.1</v>
      </c>
      <c r="K4864">
        <v>90</v>
      </c>
      <c r="L4864">
        <v>-99.71</v>
      </c>
      <c r="M4864">
        <v>82</v>
      </c>
      <c r="N4864">
        <v>-79.06</v>
      </c>
      <c r="O4864">
        <v>65</v>
      </c>
      <c r="P4864">
        <v>-18.920000000000002</v>
      </c>
      <c r="Q4864">
        <v>54</v>
      </c>
      <c r="R4864">
        <v>2.04</v>
      </c>
      <c r="S4864">
        <v>63</v>
      </c>
      <c r="T4864">
        <v>-4.01</v>
      </c>
      <c r="U4864">
        <v>48</v>
      </c>
      <c r="V4864">
        <v>4.6100000000000003</v>
      </c>
      <c r="W4864">
        <v>29</v>
      </c>
      <c r="X4864" t="s">
        <v>94</v>
      </c>
      <c r="Y4864" t="s">
        <v>362</v>
      </c>
      <c r="Z4864" t="s">
        <v>96</v>
      </c>
      <c r="AA4864" t="s">
        <v>2220</v>
      </c>
      <c r="AB4864" t="s">
        <v>13264</v>
      </c>
      <c r="AC4864">
        <v>19</v>
      </c>
      <c r="AD4864">
        <v>11</v>
      </c>
      <c r="AE4864">
        <v>90</v>
      </c>
      <c r="AF4864">
        <v>394.41</v>
      </c>
      <c r="AG4864">
        <v>2.57</v>
      </c>
      <c r="AH4864">
        <v>3.75</v>
      </c>
      <c r="AI4864">
        <v>-0.2</v>
      </c>
      <c r="AJ4864">
        <v>-0.15</v>
      </c>
      <c r="AK4864">
        <v>82</v>
      </c>
      <c r="AL4864">
        <v>17</v>
      </c>
      <c r="AM4864">
        <v>10</v>
      </c>
      <c r="AN4864">
        <v>7.12</v>
      </c>
      <c r="AO4864">
        <v>-0.81</v>
      </c>
      <c r="AP4864">
        <v>33</v>
      </c>
      <c r="AQ4864">
        <v>0</v>
      </c>
      <c r="AR4864">
        <v>16.62</v>
      </c>
      <c r="AS4864">
        <v>44</v>
      </c>
      <c r="AT4864">
        <v>7.41</v>
      </c>
      <c r="AU4864">
        <v>87</v>
      </c>
      <c r="AV4864">
        <v>-1.96</v>
      </c>
      <c r="AW4864">
        <v>73</v>
      </c>
      <c r="AX4864">
        <v>0.46</v>
      </c>
      <c r="AY4864">
        <v>50</v>
      </c>
      <c r="AZ4864">
        <v>7.1</v>
      </c>
      <c r="BA4864">
        <v>34</v>
      </c>
      <c r="BB4864">
        <v>4.8499999999999996</v>
      </c>
      <c r="BC4864">
        <v>27</v>
      </c>
      <c r="BD4864">
        <v>-0.03</v>
      </c>
      <c r="BE4864">
        <v>-0.03</v>
      </c>
      <c r="BF4864">
        <v>0.06</v>
      </c>
      <c r="BG4864">
        <v>89</v>
      </c>
      <c r="BH4864">
        <v>0.03</v>
      </c>
      <c r="BI4864">
        <v>-11.41</v>
      </c>
      <c r="BJ4864">
        <v>7</v>
      </c>
      <c r="BK4864">
        <v>5</v>
      </c>
      <c r="BL4864">
        <v>2.37</v>
      </c>
      <c r="BM4864">
        <v>0.16</v>
      </c>
      <c r="BN4864">
        <v>2.0099999999999998</v>
      </c>
      <c r="BO4864">
        <v>1.5</v>
      </c>
      <c r="BP4864">
        <v>-0.44</v>
      </c>
      <c r="BQ4864">
        <v>3.45</v>
      </c>
      <c r="BR4864">
        <v>-0.88</v>
      </c>
      <c r="BS4864">
        <v>2.5099999999999998</v>
      </c>
      <c r="BT4864">
        <v>1.58</v>
      </c>
      <c r="BU4864">
        <v>3.71</v>
      </c>
      <c r="BV4864">
        <v>2.91</v>
      </c>
      <c r="BW4864">
        <v>2.69</v>
      </c>
      <c r="BX4864">
        <v>2.78</v>
      </c>
      <c r="BY4864">
        <v>2.23</v>
      </c>
      <c r="BZ4864">
        <v>2.16</v>
      </c>
      <c r="CA4864">
        <v>2.76</v>
      </c>
      <c r="CB4864">
        <v>2.62</v>
      </c>
      <c r="CC4864">
        <v>1.99</v>
      </c>
      <c r="CD4864">
        <v>-0.35</v>
      </c>
      <c r="CE4864">
        <v>1.06</v>
      </c>
      <c r="CF4864">
        <v>1.75</v>
      </c>
      <c r="CG4864">
        <v>0</v>
      </c>
      <c r="CH4864">
        <v>2.5099999999999998</v>
      </c>
      <c r="CI4864">
        <v>0</v>
      </c>
      <c r="CJ4864">
        <v>-7.7</v>
      </c>
      <c r="CK4864">
        <v>57</v>
      </c>
      <c r="CL4864">
        <v>-1.5</v>
      </c>
      <c r="CM4864">
        <v>51</v>
      </c>
      <c r="CN4864">
        <v>-0.61</v>
      </c>
      <c r="CO4864">
        <v>49</v>
      </c>
      <c r="CP4864">
        <v>0.3</v>
      </c>
      <c r="CQ4864">
        <v>47</v>
      </c>
      <c r="CR4864">
        <v>0</v>
      </c>
      <c r="CS4864">
        <v>0</v>
      </c>
      <c r="CT4864">
        <v>19.2</v>
      </c>
      <c r="CU4864">
        <v>48</v>
      </c>
      <c r="CV4864">
        <v>0.28000000000000003</v>
      </c>
      <c r="CW4864">
        <v>15</v>
      </c>
      <c r="CX4864" t="s">
        <v>4548</v>
      </c>
    </row>
    <row r="4865" spans="1:102" x14ac:dyDescent="0.3">
      <c r="A4865" t="str">
        <f>HYPERLINK("https://webapp.icbf.com/v2/app/bull-search/view/77854756","PJT")</f>
        <v>PJT</v>
      </c>
      <c r="B4865" t="s">
        <v>7363</v>
      </c>
      <c r="C4865" t="s">
        <v>7364</v>
      </c>
      <c r="D4865" s="1">
        <v>31704</v>
      </c>
      <c r="E4865" t="s">
        <v>92</v>
      </c>
      <c r="F4865">
        <v>100</v>
      </c>
      <c r="G4865" t="s">
        <v>93</v>
      </c>
      <c r="H4865">
        <v>-203.42</v>
      </c>
      <c r="I4865">
        <v>92</v>
      </c>
      <c r="J4865">
        <v>-49.8</v>
      </c>
      <c r="K4865">
        <v>99</v>
      </c>
      <c r="L4865">
        <v>-99.64</v>
      </c>
      <c r="M4865">
        <v>93</v>
      </c>
      <c r="N4865">
        <v>-42.14</v>
      </c>
      <c r="O4865">
        <v>86</v>
      </c>
      <c r="P4865">
        <v>-1.7</v>
      </c>
      <c r="Q4865">
        <v>92</v>
      </c>
      <c r="R4865">
        <v>-6.08</v>
      </c>
      <c r="S4865">
        <v>83</v>
      </c>
      <c r="T4865">
        <v>-0.31</v>
      </c>
      <c r="U4865">
        <v>89</v>
      </c>
      <c r="V4865">
        <v>-3.75</v>
      </c>
      <c r="W4865">
        <v>68</v>
      </c>
      <c r="X4865" t="s">
        <v>110</v>
      </c>
      <c r="Y4865" t="s">
        <v>95</v>
      </c>
      <c r="Z4865" t="s">
        <v>96</v>
      </c>
      <c r="AA4865" t="s">
        <v>154</v>
      </c>
      <c r="AB4865" t="s">
        <v>7365</v>
      </c>
      <c r="AC4865">
        <v>383</v>
      </c>
      <c r="AD4865">
        <v>161</v>
      </c>
      <c r="AE4865">
        <v>99</v>
      </c>
      <c r="AF4865">
        <v>115.14</v>
      </c>
      <c r="AG4865">
        <v>-9.4600000000000009</v>
      </c>
      <c r="AH4865">
        <v>-3.36</v>
      </c>
      <c r="AI4865">
        <v>-0.24</v>
      </c>
      <c r="AJ4865">
        <v>-0.12</v>
      </c>
      <c r="AK4865">
        <v>93</v>
      </c>
      <c r="AL4865">
        <v>475</v>
      </c>
      <c r="AM4865">
        <v>192</v>
      </c>
      <c r="AN4865">
        <v>5.88</v>
      </c>
      <c r="AO4865">
        <v>-2.06</v>
      </c>
      <c r="AP4865">
        <v>4</v>
      </c>
      <c r="AQ4865">
        <v>1</v>
      </c>
      <c r="AR4865">
        <v>12.53</v>
      </c>
      <c r="AS4865">
        <v>73</v>
      </c>
      <c r="AT4865">
        <v>5.03</v>
      </c>
      <c r="AU4865">
        <v>92</v>
      </c>
      <c r="AV4865">
        <v>-0.27</v>
      </c>
      <c r="AW4865">
        <v>87</v>
      </c>
      <c r="AX4865">
        <v>-0.19</v>
      </c>
      <c r="AY4865">
        <v>92</v>
      </c>
      <c r="AZ4865">
        <v>7.47</v>
      </c>
      <c r="BA4865">
        <v>67</v>
      </c>
      <c r="BB4865">
        <v>6.09</v>
      </c>
      <c r="BC4865">
        <v>82</v>
      </c>
      <c r="BD4865">
        <v>0.01</v>
      </c>
      <c r="BE4865">
        <v>7.0000000000000007E-2</v>
      </c>
      <c r="BF4865">
        <v>-0.01</v>
      </c>
      <c r="BG4865">
        <v>97</v>
      </c>
      <c r="BH4865">
        <v>0.11</v>
      </c>
      <c r="BI4865">
        <v>24.82</v>
      </c>
      <c r="BJ4865">
        <v>73</v>
      </c>
      <c r="BK4865">
        <v>30</v>
      </c>
      <c r="BL4865">
        <v>0.79</v>
      </c>
      <c r="BM4865">
        <v>1.36</v>
      </c>
      <c r="BN4865">
        <v>2.15</v>
      </c>
      <c r="BO4865">
        <v>0.63</v>
      </c>
      <c r="BP4865">
        <v>-0.05</v>
      </c>
      <c r="BQ4865">
        <v>0.7</v>
      </c>
      <c r="BR4865">
        <v>0.52</v>
      </c>
      <c r="BS4865">
        <v>-1.53</v>
      </c>
      <c r="BT4865">
        <v>0.83</v>
      </c>
      <c r="BU4865">
        <v>-0.95</v>
      </c>
      <c r="BV4865">
        <v>-7.0000000000000007E-2</v>
      </c>
      <c r="BW4865">
        <v>0.76</v>
      </c>
      <c r="BX4865">
        <v>-0.88</v>
      </c>
      <c r="BY4865">
        <v>-0.45</v>
      </c>
      <c r="BZ4865">
        <v>-1.28</v>
      </c>
      <c r="CA4865">
        <v>-0.12</v>
      </c>
      <c r="CB4865">
        <v>0.08</v>
      </c>
      <c r="CC4865">
        <v>-0.1</v>
      </c>
      <c r="CD4865">
        <v>0.43</v>
      </c>
      <c r="CE4865">
        <v>0.6</v>
      </c>
      <c r="CF4865">
        <v>1.85</v>
      </c>
      <c r="CG4865">
        <v>0</v>
      </c>
      <c r="CH4865">
        <v>-0.44</v>
      </c>
      <c r="CI4865">
        <v>0</v>
      </c>
      <c r="CJ4865">
        <v>0.1</v>
      </c>
      <c r="CK4865">
        <v>92</v>
      </c>
      <c r="CL4865">
        <v>-0.66</v>
      </c>
      <c r="CM4865">
        <v>91</v>
      </c>
      <c r="CN4865">
        <v>-0.35</v>
      </c>
      <c r="CO4865">
        <v>90</v>
      </c>
      <c r="CP4865">
        <v>5.8</v>
      </c>
      <c r="CQ4865">
        <v>96</v>
      </c>
      <c r="CR4865">
        <v>0</v>
      </c>
      <c r="CS4865">
        <v>0</v>
      </c>
      <c r="CT4865">
        <v>14.2</v>
      </c>
      <c r="CU4865">
        <v>89</v>
      </c>
      <c r="CV4865">
        <v>7.0000000000000007E-2</v>
      </c>
      <c r="CW4865">
        <v>44</v>
      </c>
      <c r="CX4865" t="s">
        <v>7366</v>
      </c>
    </row>
    <row r="4866" spans="1:102" x14ac:dyDescent="0.3">
      <c r="A4866" t="str">
        <f>HYPERLINK("https://webapp.icbf.com/v2/app/bull-search/view/77856592","HSN")</f>
        <v>HSN</v>
      </c>
      <c r="B4866" t="s">
        <v>5224</v>
      </c>
      <c r="C4866" t="s">
        <v>2824</v>
      </c>
      <c r="D4866" s="1">
        <v>33494</v>
      </c>
      <c r="E4866" t="s">
        <v>92</v>
      </c>
      <c r="F4866">
        <v>100</v>
      </c>
      <c r="G4866" t="s">
        <v>93</v>
      </c>
      <c r="H4866">
        <v>-203.8</v>
      </c>
      <c r="I4866">
        <v>96</v>
      </c>
      <c r="J4866">
        <v>52.84</v>
      </c>
      <c r="K4866">
        <v>99</v>
      </c>
      <c r="L4866">
        <v>-213.25</v>
      </c>
      <c r="M4866">
        <v>95</v>
      </c>
      <c r="N4866">
        <v>-20.76</v>
      </c>
      <c r="O4866">
        <v>94</v>
      </c>
      <c r="P4866">
        <v>8.57</v>
      </c>
      <c r="Q4866">
        <v>98</v>
      </c>
      <c r="R4866">
        <v>-22.14</v>
      </c>
      <c r="S4866">
        <v>90</v>
      </c>
      <c r="T4866">
        <v>0.73</v>
      </c>
      <c r="U4866">
        <v>97</v>
      </c>
      <c r="V4866">
        <v>-9.7899999999999991</v>
      </c>
      <c r="W4866">
        <v>84</v>
      </c>
      <c r="X4866" t="s">
        <v>102</v>
      </c>
      <c r="Y4866" t="s">
        <v>95</v>
      </c>
      <c r="Z4866" t="s">
        <v>96</v>
      </c>
      <c r="AA4866" t="s">
        <v>118</v>
      </c>
      <c r="AB4866" t="s">
        <v>3208</v>
      </c>
      <c r="AC4866">
        <v>595</v>
      </c>
      <c r="AD4866">
        <v>241</v>
      </c>
      <c r="AE4866">
        <v>99</v>
      </c>
      <c r="AF4866">
        <v>189.92</v>
      </c>
      <c r="AG4866">
        <v>12.39</v>
      </c>
      <c r="AH4866">
        <v>7.51</v>
      </c>
      <c r="AI4866">
        <v>0.08</v>
      </c>
      <c r="AJ4866">
        <v>0.02</v>
      </c>
      <c r="AK4866">
        <v>95</v>
      </c>
      <c r="AL4866">
        <v>634</v>
      </c>
      <c r="AM4866">
        <v>268</v>
      </c>
      <c r="AN4866">
        <v>9.82</v>
      </c>
      <c r="AO4866">
        <v>-7.21</v>
      </c>
      <c r="AP4866">
        <v>101</v>
      </c>
      <c r="AQ4866">
        <v>3</v>
      </c>
      <c r="AR4866">
        <v>11.4</v>
      </c>
      <c r="AS4866">
        <v>86</v>
      </c>
      <c r="AT4866">
        <v>4.47</v>
      </c>
      <c r="AU4866">
        <v>98</v>
      </c>
      <c r="AV4866">
        <v>-1.19</v>
      </c>
      <c r="AW4866">
        <v>94</v>
      </c>
      <c r="AX4866">
        <v>-0.09</v>
      </c>
      <c r="AY4866">
        <v>96</v>
      </c>
      <c r="AZ4866">
        <v>7.5</v>
      </c>
      <c r="BA4866">
        <v>86</v>
      </c>
      <c r="BB4866">
        <v>5.58</v>
      </c>
      <c r="BC4866">
        <v>90</v>
      </c>
      <c r="BD4866">
        <v>0.09</v>
      </c>
      <c r="BE4866">
        <v>0.11</v>
      </c>
      <c r="BF4866">
        <v>0.15</v>
      </c>
      <c r="BG4866">
        <v>98</v>
      </c>
      <c r="BH4866">
        <v>-0.2</v>
      </c>
      <c r="BI4866">
        <v>8.44</v>
      </c>
      <c r="BJ4866">
        <v>18</v>
      </c>
      <c r="BK4866">
        <v>16</v>
      </c>
      <c r="BL4866">
        <v>0.7</v>
      </c>
      <c r="BM4866">
        <v>1.28</v>
      </c>
      <c r="BN4866">
        <v>1.84</v>
      </c>
      <c r="BO4866">
        <v>0.34</v>
      </c>
      <c r="BP4866">
        <v>-0.78</v>
      </c>
      <c r="BQ4866">
        <v>-0.21</v>
      </c>
      <c r="BR4866">
        <v>-0.31</v>
      </c>
      <c r="BS4866">
        <v>-0.72</v>
      </c>
      <c r="BT4866">
        <v>0.31</v>
      </c>
      <c r="BU4866">
        <v>-1.22</v>
      </c>
      <c r="BV4866">
        <v>-1.51</v>
      </c>
      <c r="BW4866">
        <v>-0.74</v>
      </c>
      <c r="BX4866">
        <v>-1.1599999999999999</v>
      </c>
      <c r="BY4866">
        <v>-0.28000000000000003</v>
      </c>
      <c r="BZ4866">
        <v>-2.2999999999999998</v>
      </c>
      <c r="CA4866">
        <v>-0.94</v>
      </c>
      <c r="CB4866">
        <v>-1.1499999999999999</v>
      </c>
      <c r="CC4866">
        <v>-0.06</v>
      </c>
      <c r="CD4866">
        <v>-0.22</v>
      </c>
      <c r="CE4866">
        <v>0.65</v>
      </c>
      <c r="CF4866">
        <v>1.02</v>
      </c>
      <c r="CG4866">
        <v>0</v>
      </c>
      <c r="CH4866">
        <v>-0.4</v>
      </c>
      <c r="CI4866">
        <v>0</v>
      </c>
      <c r="CJ4866">
        <v>9.6999999999999993</v>
      </c>
      <c r="CK4866">
        <v>98</v>
      </c>
      <c r="CL4866">
        <v>-0.41</v>
      </c>
      <c r="CM4866">
        <v>97</v>
      </c>
      <c r="CN4866">
        <v>0.11</v>
      </c>
      <c r="CO4866">
        <v>97</v>
      </c>
      <c r="CP4866">
        <v>4.7</v>
      </c>
      <c r="CQ4866">
        <v>98</v>
      </c>
      <c r="CR4866">
        <v>0</v>
      </c>
      <c r="CS4866">
        <v>0</v>
      </c>
      <c r="CT4866">
        <v>12.8</v>
      </c>
      <c r="CU4866">
        <v>97</v>
      </c>
      <c r="CV4866">
        <v>0.31</v>
      </c>
      <c r="CW4866">
        <v>46</v>
      </c>
      <c r="CX4866" t="s">
        <v>3209</v>
      </c>
    </row>
    <row r="4867" spans="1:102" x14ac:dyDescent="0.3">
      <c r="A4867" t="str">
        <f>HYPERLINK("https://webapp.icbf.com/v2/app/bull-search/view/77857783","EZM")</f>
        <v>EZM</v>
      </c>
      <c r="B4867" t="s">
        <v>10651</v>
      </c>
      <c r="C4867" t="s">
        <v>10652</v>
      </c>
      <c r="D4867" s="1">
        <v>32821</v>
      </c>
      <c r="E4867" t="s">
        <v>92</v>
      </c>
      <c r="F4867">
        <v>100</v>
      </c>
      <c r="G4867" t="s">
        <v>109</v>
      </c>
      <c r="H4867">
        <v>-204.04</v>
      </c>
      <c r="I4867">
        <v>86</v>
      </c>
      <c r="J4867">
        <v>0.11</v>
      </c>
      <c r="K4867">
        <v>95</v>
      </c>
      <c r="L4867">
        <v>-116.68</v>
      </c>
      <c r="M4867">
        <v>87</v>
      </c>
      <c r="N4867">
        <v>-79.37</v>
      </c>
      <c r="O4867">
        <v>74</v>
      </c>
      <c r="P4867">
        <v>-1.51</v>
      </c>
      <c r="Q4867">
        <v>81</v>
      </c>
      <c r="R4867">
        <v>-8.2899999999999991</v>
      </c>
      <c r="S4867">
        <v>77</v>
      </c>
      <c r="T4867">
        <v>0.28000000000000003</v>
      </c>
      <c r="U4867">
        <v>75</v>
      </c>
      <c r="V4867">
        <v>1.42</v>
      </c>
      <c r="W4867">
        <v>62</v>
      </c>
      <c r="X4867" t="s">
        <v>94</v>
      </c>
      <c r="Y4867" t="s">
        <v>95</v>
      </c>
      <c r="Z4867" t="s">
        <v>96</v>
      </c>
      <c r="AA4867" t="s">
        <v>267</v>
      </c>
      <c r="AB4867" t="s">
        <v>10653</v>
      </c>
      <c r="AC4867">
        <v>37</v>
      </c>
      <c r="AD4867">
        <v>12</v>
      </c>
      <c r="AE4867">
        <v>95</v>
      </c>
      <c r="AF4867">
        <v>97.09</v>
      </c>
      <c r="AG4867">
        <v>6.4</v>
      </c>
      <c r="AH4867">
        <v>-0.76</v>
      </c>
      <c r="AI4867">
        <v>0.05</v>
      </c>
      <c r="AJ4867">
        <v>-7.0000000000000007E-2</v>
      </c>
      <c r="AK4867">
        <v>87</v>
      </c>
      <c r="AL4867">
        <v>52</v>
      </c>
      <c r="AM4867">
        <v>20</v>
      </c>
      <c r="AN4867">
        <v>5.18</v>
      </c>
      <c r="AO4867">
        <v>-4.1399999999999997</v>
      </c>
      <c r="AP4867">
        <v>45</v>
      </c>
      <c r="AQ4867">
        <v>2</v>
      </c>
      <c r="AR4867">
        <v>13.47</v>
      </c>
      <c r="AS4867">
        <v>63</v>
      </c>
      <c r="AT4867">
        <v>6.15</v>
      </c>
      <c r="AU4867">
        <v>87</v>
      </c>
      <c r="AV4867">
        <v>-0.18</v>
      </c>
      <c r="AW4867">
        <v>77</v>
      </c>
      <c r="AX4867">
        <v>-0.02</v>
      </c>
      <c r="AY4867">
        <v>73</v>
      </c>
      <c r="AZ4867">
        <v>10.63</v>
      </c>
      <c r="BA4867">
        <v>48</v>
      </c>
      <c r="BB4867">
        <v>7.66</v>
      </c>
      <c r="BC4867">
        <v>57</v>
      </c>
      <c r="BD4867">
        <v>0.04</v>
      </c>
      <c r="BE4867">
        <v>0.06</v>
      </c>
      <c r="BF4867">
        <v>0.01</v>
      </c>
      <c r="BG4867">
        <v>91</v>
      </c>
      <c r="BH4867">
        <v>0.03</v>
      </c>
      <c r="BI4867">
        <v>-1.1200000000000001</v>
      </c>
      <c r="BJ4867">
        <v>0</v>
      </c>
      <c r="BK4867">
        <v>0</v>
      </c>
      <c r="BL4867">
        <v>1.02</v>
      </c>
      <c r="BM4867">
        <v>-1.25</v>
      </c>
      <c r="BN4867">
        <v>0.44</v>
      </c>
      <c r="BO4867">
        <v>0.63</v>
      </c>
      <c r="BP4867">
        <v>1.01</v>
      </c>
      <c r="BQ4867">
        <v>0.79</v>
      </c>
      <c r="BR4867">
        <v>-0.24</v>
      </c>
      <c r="BS4867">
        <v>-0.56000000000000005</v>
      </c>
      <c r="BT4867">
        <v>0.85</v>
      </c>
      <c r="BU4867">
        <v>-1.23</v>
      </c>
      <c r="BV4867">
        <v>-1.1100000000000001</v>
      </c>
      <c r="BW4867">
        <v>-0.78</v>
      </c>
      <c r="BX4867">
        <v>-0.41</v>
      </c>
      <c r="BY4867">
        <v>-0.2</v>
      </c>
      <c r="BZ4867">
        <v>-0.16</v>
      </c>
      <c r="CA4867">
        <v>-0.35</v>
      </c>
      <c r="CB4867">
        <v>-0.71</v>
      </c>
      <c r="CC4867">
        <v>-0.65</v>
      </c>
      <c r="CD4867">
        <v>-0.96</v>
      </c>
      <c r="CE4867">
        <v>1.2</v>
      </c>
      <c r="CF4867">
        <v>1.1299999999999999</v>
      </c>
      <c r="CG4867">
        <v>0</v>
      </c>
      <c r="CH4867">
        <v>-0.21</v>
      </c>
      <c r="CI4867">
        <v>0</v>
      </c>
      <c r="CJ4867">
        <v>0.6</v>
      </c>
      <c r="CK4867">
        <v>83</v>
      </c>
      <c r="CL4867">
        <v>-0.65</v>
      </c>
      <c r="CM4867">
        <v>80</v>
      </c>
      <c r="CN4867">
        <v>-0.35</v>
      </c>
      <c r="CO4867">
        <v>77</v>
      </c>
      <c r="CP4867">
        <v>1.8</v>
      </c>
      <c r="CQ4867">
        <v>81</v>
      </c>
      <c r="CR4867">
        <v>0</v>
      </c>
      <c r="CS4867">
        <v>0</v>
      </c>
      <c r="CT4867">
        <v>13.4</v>
      </c>
      <c r="CU4867">
        <v>75</v>
      </c>
      <c r="CV4867">
        <v>0.12</v>
      </c>
      <c r="CW4867">
        <v>42</v>
      </c>
      <c r="CX4867" t="s">
        <v>113</v>
      </c>
    </row>
    <row r="4868" spans="1:102" x14ac:dyDescent="0.3">
      <c r="A4868" t="str">
        <f>HYPERLINK("https://webapp.icbf.com/v2/app/bull-search/view/130277208","SUY")</f>
        <v>SUY</v>
      </c>
      <c r="B4868" t="s">
        <v>11527</v>
      </c>
      <c r="C4868" t="s">
        <v>1216</v>
      </c>
      <c r="D4868" s="1">
        <v>35575</v>
      </c>
      <c r="E4868" t="s">
        <v>92</v>
      </c>
      <c r="F4868">
        <v>100</v>
      </c>
      <c r="G4868" t="s">
        <v>93</v>
      </c>
      <c r="H4868">
        <v>-204.07</v>
      </c>
      <c r="I4868">
        <v>93</v>
      </c>
      <c r="J4868">
        <v>-17.98</v>
      </c>
      <c r="K4868">
        <v>97</v>
      </c>
      <c r="L4868">
        <v>-155.91</v>
      </c>
      <c r="M4868">
        <v>93</v>
      </c>
      <c r="N4868">
        <v>-12.18</v>
      </c>
      <c r="O4868">
        <v>91</v>
      </c>
      <c r="P4868">
        <v>-4.03</v>
      </c>
      <c r="Q4868">
        <v>93</v>
      </c>
      <c r="R4868">
        <v>-7.22</v>
      </c>
      <c r="S4868">
        <v>86</v>
      </c>
      <c r="T4868">
        <v>-3.19</v>
      </c>
      <c r="U4868">
        <v>90</v>
      </c>
      <c r="V4868">
        <v>-3.56</v>
      </c>
      <c r="W4868">
        <v>81</v>
      </c>
      <c r="X4868" t="s">
        <v>131</v>
      </c>
      <c r="Y4868" t="s">
        <v>95</v>
      </c>
      <c r="Z4868" t="s">
        <v>96</v>
      </c>
      <c r="AA4868" t="s">
        <v>4558</v>
      </c>
      <c r="AB4868" t="s">
        <v>11528</v>
      </c>
      <c r="AC4868">
        <v>88</v>
      </c>
      <c r="AD4868">
        <v>57</v>
      </c>
      <c r="AE4868">
        <v>97</v>
      </c>
      <c r="AF4868">
        <v>419.88</v>
      </c>
      <c r="AG4868">
        <v>-2.52</v>
      </c>
      <c r="AH4868">
        <v>4.26</v>
      </c>
      <c r="AI4868">
        <v>-0.31</v>
      </c>
      <c r="AJ4868">
        <v>-0.16</v>
      </c>
      <c r="AK4868">
        <v>93</v>
      </c>
      <c r="AL4868">
        <v>78</v>
      </c>
      <c r="AM4868">
        <v>52</v>
      </c>
      <c r="AN4868">
        <v>7.98</v>
      </c>
      <c r="AO4868">
        <v>-4.46</v>
      </c>
      <c r="AP4868">
        <v>102</v>
      </c>
      <c r="AQ4868">
        <v>1</v>
      </c>
      <c r="AR4868">
        <v>9.39</v>
      </c>
      <c r="AS4868">
        <v>87</v>
      </c>
      <c r="AT4868">
        <v>4.4400000000000004</v>
      </c>
      <c r="AU4868">
        <v>99</v>
      </c>
      <c r="AV4868">
        <v>-1.23</v>
      </c>
      <c r="AW4868">
        <v>93</v>
      </c>
      <c r="AX4868">
        <v>-0.1</v>
      </c>
      <c r="AY4868">
        <v>88</v>
      </c>
      <c r="AZ4868">
        <v>6.38</v>
      </c>
      <c r="BA4868">
        <v>79</v>
      </c>
      <c r="BB4868">
        <v>5.73</v>
      </c>
      <c r="BC4868">
        <v>78</v>
      </c>
      <c r="BD4868">
        <v>0.06</v>
      </c>
      <c r="BE4868">
        <v>0.04</v>
      </c>
      <c r="BF4868">
        <v>-0.01</v>
      </c>
      <c r="BG4868">
        <v>94</v>
      </c>
      <c r="BH4868">
        <v>-0.18</v>
      </c>
      <c r="BI4868">
        <v>-9.33</v>
      </c>
      <c r="BJ4868">
        <v>55</v>
      </c>
      <c r="BK4868">
        <v>35</v>
      </c>
      <c r="BL4868">
        <v>1.56</v>
      </c>
      <c r="BM4868">
        <v>0.86</v>
      </c>
      <c r="BN4868">
        <v>1.1599999999999999</v>
      </c>
      <c r="BO4868">
        <v>0.92</v>
      </c>
      <c r="BP4868">
        <v>-1.24</v>
      </c>
      <c r="BQ4868">
        <v>0.32</v>
      </c>
      <c r="BR4868">
        <v>-1.02</v>
      </c>
      <c r="BS4868">
        <v>-0.06</v>
      </c>
      <c r="BT4868">
        <v>0.43</v>
      </c>
      <c r="BU4868">
        <v>2.31</v>
      </c>
      <c r="BV4868">
        <v>2.4</v>
      </c>
      <c r="BW4868">
        <v>1.25</v>
      </c>
      <c r="BX4868">
        <v>1.05</v>
      </c>
      <c r="BY4868">
        <v>3.08</v>
      </c>
      <c r="BZ4868">
        <v>-0.48</v>
      </c>
      <c r="CA4868">
        <v>2.09</v>
      </c>
      <c r="CB4868">
        <v>2.0099999999999998</v>
      </c>
      <c r="CC4868">
        <v>1.4</v>
      </c>
      <c r="CD4868">
        <v>-0.08</v>
      </c>
      <c r="CE4868">
        <v>1.1100000000000001</v>
      </c>
      <c r="CF4868">
        <v>0.89</v>
      </c>
      <c r="CG4868">
        <v>0</v>
      </c>
      <c r="CH4868">
        <v>2.9</v>
      </c>
      <c r="CI4868">
        <v>0</v>
      </c>
      <c r="CJ4868">
        <v>0</v>
      </c>
      <c r="CK4868">
        <v>94</v>
      </c>
      <c r="CL4868">
        <v>-1.1000000000000001</v>
      </c>
      <c r="CM4868">
        <v>93</v>
      </c>
      <c r="CN4868">
        <v>-0.6</v>
      </c>
      <c r="CO4868">
        <v>92</v>
      </c>
      <c r="CP4868">
        <v>2</v>
      </c>
      <c r="CQ4868">
        <v>93</v>
      </c>
      <c r="CR4868">
        <v>0</v>
      </c>
      <c r="CS4868">
        <v>0</v>
      </c>
      <c r="CT4868">
        <v>18.100000000000001</v>
      </c>
      <c r="CU4868">
        <v>90</v>
      </c>
      <c r="CV4868">
        <v>0.24</v>
      </c>
      <c r="CW4868">
        <v>44</v>
      </c>
      <c r="CX4868" t="s">
        <v>132</v>
      </c>
    </row>
    <row r="4869" spans="1:102" x14ac:dyDescent="0.3">
      <c r="A4869" t="str">
        <f>HYPERLINK("https://webapp.icbf.com/v2/app/bull-search/view/474731305","NYP")</f>
        <v>NYP</v>
      </c>
      <c r="B4869" t="s">
        <v>12337</v>
      </c>
      <c r="C4869" t="s">
        <v>12338</v>
      </c>
      <c r="D4869" s="1">
        <v>37227</v>
      </c>
      <c r="E4869" t="s">
        <v>92</v>
      </c>
      <c r="F4869">
        <v>100</v>
      </c>
      <c r="G4869" t="s">
        <v>109</v>
      </c>
      <c r="H4869">
        <v>-204.14</v>
      </c>
      <c r="I4869">
        <v>84</v>
      </c>
      <c r="J4869">
        <v>23.06</v>
      </c>
      <c r="K4869">
        <v>93</v>
      </c>
      <c r="L4869">
        <v>-186.24</v>
      </c>
      <c r="M4869">
        <v>86</v>
      </c>
      <c r="N4869">
        <v>-32.99</v>
      </c>
      <c r="O4869">
        <v>74</v>
      </c>
      <c r="P4869">
        <v>-9.58</v>
      </c>
      <c r="Q4869">
        <v>75</v>
      </c>
      <c r="R4869">
        <v>6.15</v>
      </c>
      <c r="S4869">
        <v>76</v>
      </c>
      <c r="T4869">
        <v>-0.38</v>
      </c>
      <c r="U4869">
        <v>70</v>
      </c>
      <c r="V4869">
        <v>-4.16</v>
      </c>
      <c r="W4869">
        <v>65</v>
      </c>
      <c r="X4869" t="s">
        <v>288</v>
      </c>
      <c r="Y4869" t="s">
        <v>221</v>
      </c>
      <c r="Z4869" t="s">
        <v>96</v>
      </c>
      <c r="AA4869" t="s">
        <v>12129</v>
      </c>
      <c r="AB4869" t="s">
        <v>12339</v>
      </c>
      <c r="AC4869">
        <v>0</v>
      </c>
      <c r="AD4869">
        <v>0</v>
      </c>
      <c r="AE4869">
        <v>93</v>
      </c>
      <c r="AF4869">
        <v>266.75</v>
      </c>
      <c r="AG4869">
        <v>5.81</v>
      </c>
      <c r="AH4869">
        <v>5.95</v>
      </c>
      <c r="AI4869">
        <v>-0.08</v>
      </c>
      <c r="AJ4869">
        <v>-0.05</v>
      </c>
      <c r="AK4869">
        <v>86</v>
      </c>
      <c r="AL4869">
        <v>0</v>
      </c>
      <c r="AM4869">
        <v>0</v>
      </c>
      <c r="AN4869">
        <v>10.33</v>
      </c>
      <c r="AO4869">
        <v>-4.5199999999999996</v>
      </c>
      <c r="AP4869">
        <v>57</v>
      </c>
      <c r="AQ4869">
        <v>0</v>
      </c>
      <c r="AR4869">
        <v>14.48</v>
      </c>
      <c r="AS4869">
        <v>60</v>
      </c>
      <c r="AT4869">
        <v>5.74</v>
      </c>
      <c r="AU4869">
        <v>92</v>
      </c>
      <c r="AV4869">
        <v>-2.52</v>
      </c>
      <c r="AW4869">
        <v>82</v>
      </c>
      <c r="AX4869">
        <v>-0.08</v>
      </c>
      <c r="AY4869">
        <v>61</v>
      </c>
      <c r="AZ4869">
        <v>5.58</v>
      </c>
      <c r="BA4869">
        <v>45</v>
      </c>
      <c r="BB4869">
        <v>4.83</v>
      </c>
      <c r="BC4869">
        <v>43</v>
      </c>
      <c r="BD4869">
        <v>-0.02</v>
      </c>
      <c r="BE4869">
        <v>-0.02</v>
      </c>
      <c r="BF4869">
        <v>-7.0000000000000007E-2</v>
      </c>
      <c r="BG4869">
        <v>93</v>
      </c>
      <c r="BH4869">
        <v>-0.11</v>
      </c>
      <c r="BI4869">
        <v>0.71</v>
      </c>
      <c r="BJ4869">
        <v>5</v>
      </c>
      <c r="BK4869">
        <v>4</v>
      </c>
      <c r="BL4869">
        <v>1.5</v>
      </c>
      <c r="BM4869">
        <v>-0.69</v>
      </c>
      <c r="BN4869">
        <v>1.04</v>
      </c>
      <c r="BO4869">
        <v>1.58</v>
      </c>
      <c r="BP4869">
        <v>0.69</v>
      </c>
      <c r="BQ4869">
        <v>2.11</v>
      </c>
      <c r="BR4869">
        <v>-0.48</v>
      </c>
      <c r="BS4869">
        <v>0.18</v>
      </c>
      <c r="BT4869">
        <v>0.3</v>
      </c>
      <c r="BU4869">
        <v>1.63</v>
      </c>
      <c r="BV4869">
        <v>1.84</v>
      </c>
      <c r="BW4869">
        <v>1.29</v>
      </c>
      <c r="BX4869">
        <v>0.94</v>
      </c>
      <c r="BY4869">
        <v>2.8</v>
      </c>
      <c r="BZ4869">
        <v>0</v>
      </c>
      <c r="CA4869">
        <v>1.73</v>
      </c>
      <c r="CB4869">
        <v>1.78</v>
      </c>
      <c r="CC4869">
        <v>0.96</v>
      </c>
      <c r="CD4869">
        <v>-1.4</v>
      </c>
      <c r="CE4869">
        <v>0.96</v>
      </c>
      <c r="CF4869">
        <v>0.41</v>
      </c>
      <c r="CG4869">
        <v>0</v>
      </c>
      <c r="CH4869">
        <v>2.87</v>
      </c>
      <c r="CI4869">
        <v>0</v>
      </c>
      <c r="CJ4869">
        <v>-3.5</v>
      </c>
      <c r="CK4869">
        <v>77</v>
      </c>
      <c r="CL4869">
        <v>-1.31</v>
      </c>
      <c r="CM4869">
        <v>73</v>
      </c>
      <c r="CN4869">
        <v>-0.73</v>
      </c>
      <c r="CO4869">
        <v>70</v>
      </c>
      <c r="CP4869">
        <v>1.5</v>
      </c>
      <c r="CQ4869">
        <v>72</v>
      </c>
      <c r="CR4869">
        <v>0</v>
      </c>
      <c r="CS4869">
        <v>0</v>
      </c>
      <c r="CT4869">
        <v>14.3</v>
      </c>
      <c r="CU4869">
        <v>70</v>
      </c>
      <c r="CV4869">
        <v>0.19</v>
      </c>
      <c r="CW4869">
        <v>41</v>
      </c>
      <c r="CX4869" t="s">
        <v>3035</v>
      </c>
    </row>
    <row r="4870" spans="1:102" x14ac:dyDescent="0.3">
      <c r="A4870" t="str">
        <f>HYPERLINK("https://webapp.icbf.com/v2/app/bull-search/view/77855572","MCT")</f>
        <v>MCT</v>
      </c>
      <c r="B4870" t="s">
        <v>8507</v>
      </c>
      <c r="C4870" t="s">
        <v>8508</v>
      </c>
      <c r="D4870" s="1">
        <v>35406</v>
      </c>
      <c r="E4870" t="s">
        <v>92</v>
      </c>
      <c r="F4870">
        <v>100</v>
      </c>
      <c r="G4870" t="s">
        <v>93</v>
      </c>
      <c r="H4870">
        <v>-204.2</v>
      </c>
      <c r="I4870">
        <v>67</v>
      </c>
      <c r="J4870">
        <v>-15.06</v>
      </c>
      <c r="K4870">
        <v>89</v>
      </c>
      <c r="L4870">
        <v>-126.29</v>
      </c>
      <c r="M4870">
        <v>53</v>
      </c>
      <c r="N4870">
        <v>-36.840000000000003</v>
      </c>
      <c r="O4870">
        <v>56</v>
      </c>
      <c r="P4870">
        <v>-18.940000000000001</v>
      </c>
      <c r="Q4870">
        <v>75</v>
      </c>
      <c r="R4870">
        <v>-22.09</v>
      </c>
      <c r="S4870">
        <v>58</v>
      </c>
      <c r="T4870">
        <v>16.05</v>
      </c>
      <c r="U4870">
        <v>65</v>
      </c>
      <c r="V4870">
        <v>-1.03</v>
      </c>
      <c r="W4870">
        <v>31</v>
      </c>
      <c r="X4870" t="s">
        <v>94</v>
      </c>
      <c r="Y4870" t="s">
        <v>95</v>
      </c>
      <c r="Z4870" t="s">
        <v>96</v>
      </c>
      <c r="AA4870" t="s">
        <v>97</v>
      </c>
      <c r="AB4870" t="s">
        <v>8509</v>
      </c>
      <c r="AC4870">
        <v>38</v>
      </c>
      <c r="AD4870">
        <v>30</v>
      </c>
      <c r="AE4870">
        <v>89</v>
      </c>
      <c r="AF4870">
        <v>176.6</v>
      </c>
      <c r="AG4870">
        <v>-0.25</v>
      </c>
      <c r="AH4870">
        <v>0.23</v>
      </c>
      <c r="AI4870">
        <v>-0.11</v>
      </c>
      <c r="AJ4870">
        <v>-0.09</v>
      </c>
      <c r="AK4870">
        <v>53</v>
      </c>
      <c r="AL4870">
        <v>36</v>
      </c>
      <c r="AM4870">
        <v>31</v>
      </c>
      <c r="AN4870">
        <v>7.77</v>
      </c>
      <c r="AO4870">
        <v>-2.29</v>
      </c>
      <c r="AP4870">
        <v>5</v>
      </c>
      <c r="AQ4870">
        <v>2</v>
      </c>
      <c r="AR4870">
        <v>12.4</v>
      </c>
      <c r="AS4870">
        <v>31</v>
      </c>
      <c r="AT4870">
        <v>5.29</v>
      </c>
      <c r="AU4870">
        <v>52</v>
      </c>
      <c r="AV4870">
        <v>-0.27</v>
      </c>
      <c r="AW4870">
        <v>68</v>
      </c>
      <c r="AX4870">
        <v>1.1599999999999999</v>
      </c>
      <c r="AY4870">
        <v>62</v>
      </c>
      <c r="AZ4870">
        <v>5.71</v>
      </c>
      <c r="BA4870">
        <v>33</v>
      </c>
      <c r="BB4870">
        <v>4.33</v>
      </c>
      <c r="BC4870">
        <v>45</v>
      </c>
      <c r="BD4870">
        <v>0.03</v>
      </c>
      <c r="BE4870">
        <v>0.12</v>
      </c>
      <c r="BF4870">
        <v>0.23</v>
      </c>
      <c r="BG4870">
        <v>69</v>
      </c>
      <c r="BH4870">
        <v>0</v>
      </c>
      <c r="BI4870">
        <v>3.32</v>
      </c>
      <c r="BJ4870">
        <v>1</v>
      </c>
      <c r="BK4870">
        <v>1</v>
      </c>
      <c r="BL4870">
        <v>-0.37</v>
      </c>
      <c r="BM4870">
        <v>-0.44</v>
      </c>
      <c r="BN4870">
        <v>-0.45</v>
      </c>
      <c r="BO4870">
        <v>-0.04</v>
      </c>
      <c r="BP4870">
        <v>0.46</v>
      </c>
      <c r="BQ4870">
        <v>-0.91</v>
      </c>
      <c r="BR4870">
        <v>0.03</v>
      </c>
      <c r="BS4870">
        <v>0.61</v>
      </c>
      <c r="BT4870">
        <v>-0.27</v>
      </c>
      <c r="BU4870">
        <v>-0.24</v>
      </c>
      <c r="BV4870">
        <v>-0.09</v>
      </c>
      <c r="BW4870">
        <v>-0.21</v>
      </c>
      <c r="BX4870">
        <v>-0.14000000000000001</v>
      </c>
      <c r="BY4870">
        <v>0.08</v>
      </c>
      <c r="BZ4870">
        <v>-1.58</v>
      </c>
      <c r="CA4870">
        <v>0.19</v>
      </c>
      <c r="CB4870">
        <v>0.02</v>
      </c>
      <c r="CC4870">
        <v>0.4</v>
      </c>
      <c r="CD4870">
        <v>-0.25</v>
      </c>
      <c r="CE4870">
        <v>0.04</v>
      </c>
      <c r="CF4870">
        <v>-0.92</v>
      </c>
      <c r="CG4870">
        <v>0</v>
      </c>
      <c r="CH4870">
        <v>-0.05</v>
      </c>
      <c r="CI4870">
        <v>0</v>
      </c>
      <c r="CJ4870">
        <v>-9.3000000000000007</v>
      </c>
      <c r="CK4870">
        <v>76</v>
      </c>
      <c r="CL4870">
        <v>-0.47</v>
      </c>
      <c r="CM4870">
        <v>73</v>
      </c>
      <c r="CN4870">
        <v>-0.04</v>
      </c>
      <c r="CO4870">
        <v>69</v>
      </c>
      <c r="CP4870">
        <v>-11.5</v>
      </c>
      <c r="CQ4870">
        <v>78</v>
      </c>
      <c r="CR4870">
        <v>0</v>
      </c>
      <c r="CS4870">
        <v>0</v>
      </c>
      <c r="CT4870">
        <v>-7.9</v>
      </c>
      <c r="CU4870">
        <v>65</v>
      </c>
      <c r="CV4870">
        <v>-0.05</v>
      </c>
      <c r="CW4870">
        <v>21</v>
      </c>
      <c r="CX4870" t="s">
        <v>485</v>
      </c>
    </row>
    <row r="4871" spans="1:102" x14ac:dyDescent="0.3">
      <c r="A4871" t="str">
        <f>HYPERLINK("https://webapp.icbf.com/v2/app/bull-search/view/622871458","S667")</f>
        <v>S667</v>
      </c>
      <c r="B4871" t="s">
        <v>11770</v>
      </c>
      <c r="C4871" t="s">
        <v>11771</v>
      </c>
      <c r="D4871" s="1">
        <v>38776</v>
      </c>
      <c r="E4871" t="s">
        <v>92</v>
      </c>
      <c r="F4871">
        <v>100</v>
      </c>
      <c r="G4871" t="s">
        <v>109</v>
      </c>
      <c r="H4871">
        <v>-204.24</v>
      </c>
      <c r="I4871">
        <v>69</v>
      </c>
      <c r="J4871">
        <v>-20.83</v>
      </c>
      <c r="K4871">
        <v>77</v>
      </c>
      <c r="L4871">
        <v>-179.75</v>
      </c>
      <c r="M4871">
        <v>72</v>
      </c>
      <c r="N4871">
        <v>4.49</v>
      </c>
      <c r="O4871">
        <v>54</v>
      </c>
      <c r="P4871">
        <v>-16.23</v>
      </c>
      <c r="Q4871">
        <v>70</v>
      </c>
      <c r="R4871">
        <v>-3.04</v>
      </c>
      <c r="S4871">
        <v>60</v>
      </c>
      <c r="T4871">
        <v>10.130000000000001</v>
      </c>
      <c r="U4871">
        <v>65</v>
      </c>
      <c r="V4871">
        <v>0.99</v>
      </c>
      <c r="W4871">
        <v>32</v>
      </c>
      <c r="X4871" t="s">
        <v>110</v>
      </c>
      <c r="Y4871" t="s">
        <v>1122</v>
      </c>
      <c r="Z4871" t="s">
        <v>96</v>
      </c>
      <c r="AA4871" t="s">
        <v>4040</v>
      </c>
      <c r="AB4871" t="s">
        <v>2475</v>
      </c>
      <c r="AC4871">
        <v>0</v>
      </c>
      <c r="AD4871">
        <v>0</v>
      </c>
      <c r="AE4871">
        <v>77</v>
      </c>
      <c r="AF4871">
        <v>475.99</v>
      </c>
      <c r="AG4871">
        <v>-1.52</v>
      </c>
      <c r="AH4871">
        <v>4.28</v>
      </c>
      <c r="AI4871">
        <v>-0.31</v>
      </c>
      <c r="AJ4871">
        <v>-0.18</v>
      </c>
      <c r="AK4871">
        <v>72</v>
      </c>
      <c r="AL4871">
        <v>0</v>
      </c>
      <c r="AM4871">
        <v>0</v>
      </c>
      <c r="AN4871">
        <v>9.3800000000000008</v>
      </c>
      <c r="AO4871">
        <v>-4.96</v>
      </c>
      <c r="AP4871">
        <v>18</v>
      </c>
      <c r="AQ4871">
        <v>0</v>
      </c>
      <c r="AR4871">
        <v>7.58</v>
      </c>
      <c r="AS4871">
        <v>38</v>
      </c>
      <c r="AT4871">
        <v>3.65</v>
      </c>
      <c r="AU4871">
        <v>79</v>
      </c>
      <c r="AV4871">
        <v>-0.91</v>
      </c>
      <c r="AW4871">
        <v>52</v>
      </c>
      <c r="AX4871">
        <v>-0.45</v>
      </c>
      <c r="AY4871">
        <v>53</v>
      </c>
      <c r="AZ4871">
        <v>5.64</v>
      </c>
      <c r="BA4871">
        <v>32</v>
      </c>
      <c r="BB4871">
        <v>5.08</v>
      </c>
      <c r="BC4871">
        <v>31</v>
      </c>
      <c r="BD4871">
        <v>0</v>
      </c>
      <c r="BE4871">
        <v>0</v>
      </c>
      <c r="BF4871">
        <v>7.0000000000000007E-2</v>
      </c>
      <c r="BG4871">
        <v>81</v>
      </c>
      <c r="BH4871">
        <v>0.01</v>
      </c>
      <c r="BI4871">
        <v>-2.0499999999999998</v>
      </c>
      <c r="BJ4871">
        <v>5</v>
      </c>
      <c r="BK4871">
        <v>5</v>
      </c>
      <c r="BL4871">
        <v>2.12</v>
      </c>
      <c r="BM4871">
        <v>-0.61</v>
      </c>
      <c r="BN4871">
        <v>1.8</v>
      </c>
      <c r="BO4871">
        <v>1.84</v>
      </c>
      <c r="BP4871">
        <v>-0.81</v>
      </c>
      <c r="BQ4871">
        <v>1.77</v>
      </c>
      <c r="BR4871">
        <v>1.38</v>
      </c>
      <c r="BS4871">
        <v>-0.65</v>
      </c>
      <c r="BT4871">
        <v>-0.69</v>
      </c>
      <c r="BU4871">
        <v>2.37</v>
      </c>
      <c r="BV4871">
        <v>2.69</v>
      </c>
      <c r="BW4871">
        <v>2.4500000000000002</v>
      </c>
      <c r="BX4871">
        <v>1.45</v>
      </c>
      <c r="BY4871">
        <v>1.98</v>
      </c>
      <c r="BZ4871">
        <v>-0.63</v>
      </c>
      <c r="CA4871">
        <v>1.27</v>
      </c>
      <c r="CB4871">
        <v>1.94</v>
      </c>
      <c r="CC4871">
        <v>-0.48</v>
      </c>
      <c r="CD4871">
        <v>-1.19</v>
      </c>
      <c r="CE4871">
        <v>0.9</v>
      </c>
      <c r="CF4871">
        <v>0.55000000000000004</v>
      </c>
      <c r="CG4871">
        <v>0</v>
      </c>
      <c r="CH4871">
        <v>0.5</v>
      </c>
      <c r="CI4871">
        <v>0</v>
      </c>
      <c r="CJ4871">
        <v>-6.2</v>
      </c>
      <c r="CK4871">
        <v>73</v>
      </c>
      <c r="CL4871">
        <v>-1.28</v>
      </c>
      <c r="CM4871">
        <v>68</v>
      </c>
      <c r="CN4871">
        <v>-0.56000000000000005</v>
      </c>
      <c r="CO4871">
        <v>65</v>
      </c>
      <c r="CP4871">
        <v>-6.8</v>
      </c>
      <c r="CQ4871">
        <v>65</v>
      </c>
      <c r="CR4871">
        <v>0</v>
      </c>
      <c r="CS4871">
        <v>0</v>
      </c>
      <c r="CT4871">
        <v>0.1</v>
      </c>
      <c r="CU4871">
        <v>65</v>
      </c>
      <c r="CV4871">
        <v>0.27</v>
      </c>
      <c r="CW4871">
        <v>20</v>
      </c>
      <c r="CX4871" t="s">
        <v>2476</v>
      </c>
    </row>
    <row r="4872" spans="1:102" x14ac:dyDescent="0.3">
      <c r="A4872" t="str">
        <f>HYPERLINK("https://webapp.icbf.com/v2/app/bull-search/view/77856586","HSH")</f>
        <v>HSH</v>
      </c>
      <c r="B4872" t="s">
        <v>9935</v>
      </c>
      <c r="C4872" t="s">
        <v>9936</v>
      </c>
      <c r="D4872" s="1">
        <v>35408</v>
      </c>
      <c r="E4872" t="s">
        <v>92</v>
      </c>
      <c r="F4872">
        <v>88</v>
      </c>
      <c r="G4872" t="s">
        <v>93</v>
      </c>
      <c r="H4872">
        <v>-204.57</v>
      </c>
      <c r="I4872">
        <v>86</v>
      </c>
      <c r="J4872">
        <v>-2.02</v>
      </c>
      <c r="K4872">
        <v>97</v>
      </c>
      <c r="L4872">
        <v>-159.97999999999999</v>
      </c>
      <c r="M4872">
        <v>82</v>
      </c>
      <c r="N4872">
        <v>-22.75</v>
      </c>
      <c r="O4872">
        <v>78</v>
      </c>
      <c r="P4872">
        <v>1.59</v>
      </c>
      <c r="Q4872">
        <v>86</v>
      </c>
      <c r="R4872">
        <v>-21.85</v>
      </c>
      <c r="S4872">
        <v>81</v>
      </c>
      <c r="T4872">
        <v>5.0199999999999996</v>
      </c>
      <c r="U4872">
        <v>83</v>
      </c>
      <c r="V4872">
        <v>-4.58</v>
      </c>
      <c r="W4872">
        <v>71</v>
      </c>
      <c r="X4872" t="s">
        <v>94</v>
      </c>
      <c r="Y4872" t="s">
        <v>95</v>
      </c>
      <c r="Z4872" t="s">
        <v>96</v>
      </c>
      <c r="AA4872" t="s">
        <v>218</v>
      </c>
      <c r="AB4872" t="s">
        <v>8714</v>
      </c>
      <c r="AC4872">
        <v>116</v>
      </c>
      <c r="AD4872">
        <v>89</v>
      </c>
      <c r="AE4872">
        <v>97</v>
      </c>
      <c r="AF4872">
        <v>247.87</v>
      </c>
      <c r="AG4872">
        <v>-8.6199999999999992</v>
      </c>
      <c r="AH4872">
        <v>6.5</v>
      </c>
      <c r="AI4872">
        <v>-0.31</v>
      </c>
      <c r="AJ4872">
        <v>-0.03</v>
      </c>
      <c r="AK4872">
        <v>82</v>
      </c>
      <c r="AL4872">
        <v>104</v>
      </c>
      <c r="AM4872">
        <v>81</v>
      </c>
      <c r="AN4872">
        <v>7.83</v>
      </c>
      <c r="AO4872">
        <v>-4.9400000000000004</v>
      </c>
      <c r="AP4872">
        <v>4</v>
      </c>
      <c r="AQ4872">
        <v>0</v>
      </c>
      <c r="AR4872">
        <v>10.54</v>
      </c>
      <c r="AS4872">
        <v>67</v>
      </c>
      <c r="AT4872">
        <v>4.66</v>
      </c>
      <c r="AU4872">
        <v>81</v>
      </c>
      <c r="AV4872">
        <v>-0.28999999999999998</v>
      </c>
      <c r="AW4872">
        <v>81</v>
      </c>
      <c r="AX4872">
        <v>-0.14000000000000001</v>
      </c>
      <c r="AY4872">
        <v>81</v>
      </c>
      <c r="AZ4872">
        <v>6.32</v>
      </c>
      <c r="BA4872">
        <v>60</v>
      </c>
      <c r="BB4872">
        <v>5.13</v>
      </c>
      <c r="BC4872">
        <v>70</v>
      </c>
      <c r="BD4872">
        <v>0.05</v>
      </c>
      <c r="BE4872">
        <v>0.11</v>
      </c>
      <c r="BF4872">
        <v>0.21</v>
      </c>
      <c r="BG4872">
        <v>91</v>
      </c>
      <c r="BH4872">
        <v>-0.06</v>
      </c>
      <c r="BI4872">
        <v>7.82</v>
      </c>
      <c r="BJ4872">
        <v>2</v>
      </c>
      <c r="BK4872">
        <v>2</v>
      </c>
      <c r="BL4872">
        <v>0.72</v>
      </c>
      <c r="BM4872">
        <v>0.56000000000000005</v>
      </c>
      <c r="BN4872">
        <v>1.08</v>
      </c>
      <c r="BO4872">
        <v>0.56999999999999995</v>
      </c>
      <c r="BP4872">
        <v>2.0699999999999998</v>
      </c>
      <c r="BQ4872">
        <v>0.15</v>
      </c>
      <c r="BR4872">
        <v>0.41</v>
      </c>
      <c r="BS4872">
        <v>-0.88</v>
      </c>
      <c r="BT4872">
        <v>0.2</v>
      </c>
      <c r="BU4872">
        <v>-0.11</v>
      </c>
      <c r="BV4872">
        <v>0.27</v>
      </c>
      <c r="BW4872">
        <v>-0.09</v>
      </c>
      <c r="BX4872">
        <v>-7.0000000000000007E-2</v>
      </c>
      <c r="BY4872">
        <v>1.49</v>
      </c>
      <c r="BZ4872">
        <v>-2.67</v>
      </c>
      <c r="CA4872">
        <v>-0.41</v>
      </c>
      <c r="CB4872">
        <v>0.56000000000000005</v>
      </c>
      <c r="CC4872">
        <v>-0.78</v>
      </c>
      <c r="CD4872">
        <v>-0.18</v>
      </c>
      <c r="CE4872">
        <v>0.51</v>
      </c>
      <c r="CF4872">
        <v>7.0000000000000007E-2</v>
      </c>
      <c r="CG4872">
        <v>0</v>
      </c>
      <c r="CH4872">
        <v>1.3</v>
      </c>
      <c r="CI4872">
        <v>0</v>
      </c>
      <c r="CJ4872">
        <v>5</v>
      </c>
      <c r="CK4872">
        <v>87</v>
      </c>
      <c r="CL4872">
        <v>-0.62</v>
      </c>
      <c r="CM4872">
        <v>85</v>
      </c>
      <c r="CN4872">
        <v>-0.09</v>
      </c>
      <c r="CO4872">
        <v>83</v>
      </c>
      <c r="CP4872">
        <v>0.2</v>
      </c>
      <c r="CQ4872">
        <v>90</v>
      </c>
      <c r="CR4872">
        <v>0</v>
      </c>
      <c r="CS4872">
        <v>0</v>
      </c>
      <c r="CT4872">
        <v>7</v>
      </c>
      <c r="CU4872">
        <v>83</v>
      </c>
      <c r="CV4872">
        <v>0.32</v>
      </c>
      <c r="CW4872">
        <v>43</v>
      </c>
      <c r="CX4872" t="s">
        <v>485</v>
      </c>
    </row>
    <row r="4873" spans="1:102" x14ac:dyDescent="0.3">
      <c r="A4873" t="str">
        <f>HYPERLINK("https://webapp.icbf.com/v2/app/bull-search/view/77859601","BEV")</f>
        <v>BEV</v>
      </c>
      <c r="B4873" t="s">
        <v>6618</v>
      </c>
      <c r="C4873" t="s">
        <v>6619</v>
      </c>
      <c r="D4873" s="1">
        <v>34315</v>
      </c>
      <c r="E4873" t="s">
        <v>92</v>
      </c>
      <c r="F4873">
        <v>100</v>
      </c>
      <c r="G4873" t="s">
        <v>93</v>
      </c>
      <c r="H4873">
        <v>-204.68</v>
      </c>
      <c r="I4873">
        <v>61</v>
      </c>
      <c r="J4873">
        <v>-28.55</v>
      </c>
      <c r="K4873">
        <v>86</v>
      </c>
      <c r="L4873">
        <v>-130.62</v>
      </c>
      <c r="M4873">
        <v>49</v>
      </c>
      <c r="N4873">
        <v>-26.71</v>
      </c>
      <c r="O4873">
        <v>40</v>
      </c>
      <c r="P4873">
        <v>-12.81</v>
      </c>
      <c r="Q4873">
        <v>61</v>
      </c>
      <c r="R4873">
        <v>-18.47</v>
      </c>
      <c r="S4873">
        <v>56</v>
      </c>
      <c r="T4873">
        <v>12.79</v>
      </c>
      <c r="U4873">
        <v>53</v>
      </c>
      <c r="V4873">
        <v>-0.31</v>
      </c>
      <c r="W4873">
        <v>19</v>
      </c>
      <c r="X4873" t="s">
        <v>94</v>
      </c>
      <c r="Y4873" t="s">
        <v>95</v>
      </c>
      <c r="Z4873" t="s">
        <v>96</v>
      </c>
      <c r="AA4873" t="s">
        <v>3466</v>
      </c>
      <c r="AB4873" t="s">
        <v>2752</v>
      </c>
      <c r="AC4873">
        <v>34</v>
      </c>
      <c r="AD4873">
        <v>33</v>
      </c>
      <c r="AE4873">
        <v>86</v>
      </c>
      <c r="AF4873">
        <v>239.32</v>
      </c>
      <c r="AG4873">
        <v>-3.68</v>
      </c>
      <c r="AH4873">
        <v>0.11</v>
      </c>
      <c r="AI4873">
        <v>-0.21</v>
      </c>
      <c r="AJ4873">
        <v>-0.13</v>
      </c>
      <c r="AK4873">
        <v>49</v>
      </c>
      <c r="AL4873">
        <v>47</v>
      </c>
      <c r="AM4873">
        <v>38</v>
      </c>
      <c r="AN4873">
        <v>7.66</v>
      </c>
      <c r="AO4873">
        <v>-2.75</v>
      </c>
      <c r="AP4873">
        <v>4</v>
      </c>
      <c r="AQ4873">
        <v>0</v>
      </c>
      <c r="AR4873">
        <v>10.19</v>
      </c>
      <c r="AS4873">
        <v>20</v>
      </c>
      <c r="AT4873">
        <v>4.9000000000000004</v>
      </c>
      <c r="AU4873">
        <v>42</v>
      </c>
      <c r="AV4873">
        <v>-0.14000000000000001</v>
      </c>
      <c r="AW4873">
        <v>46</v>
      </c>
      <c r="AX4873">
        <v>-0.01</v>
      </c>
      <c r="AY4873">
        <v>52</v>
      </c>
      <c r="AZ4873">
        <v>6.89</v>
      </c>
      <c r="BA4873">
        <v>18</v>
      </c>
      <c r="BB4873">
        <v>5.0999999999999996</v>
      </c>
      <c r="BC4873">
        <v>27</v>
      </c>
      <c r="BD4873">
        <v>7.0000000000000007E-2</v>
      </c>
      <c r="BE4873">
        <v>0.12</v>
      </c>
      <c r="BF4873">
        <v>0.08</v>
      </c>
      <c r="BG4873">
        <v>73</v>
      </c>
      <c r="BH4873">
        <v>0.01</v>
      </c>
      <c r="BI4873">
        <v>2.16</v>
      </c>
      <c r="BJ4873">
        <v>8</v>
      </c>
      <c r="BK4873">
        <v>8</v>
      </c>
      <c r="BL4873">
        <v>0.62</v>
      </c>
      <c r="BM4873">
        <v>-0.25</v>
      </c>
      <c r="BN4873">
        <v>1.08</v>
      </c>
      <c r="BO4873">
        <v>0.79</v>
      </c>
      <c r="BP4873">
        <v>-0.19</v>
      </c>
      <c r="BQ4873">
        <v>-0.83</v>
      </c>
      <c r="BR4873">
        <v>-0.99</v>
      </c>
      <c r="BS4873">
        <v>0</v>
      </c>
      <c r="BT4873">
        <v>1.58</v>
      </c>
      <c r="BU4873">
        <v>0</v>
      </c>
      <c r="BV4873">
        <v>-7.0000000000000007E-2</v>
      </c>
      <c r="BW4873">
        <v>0.08</v>
      </c>
      <c r="BX4873">
        <v>0.34</v>
      </c>
      <c r="BY4873">
        <v>0.11</v>
      </c>
      <c r="BZ4873">
        <v>-0.4</v>
      </c>
      <c r="CA4873">
        <v>0.24</v>
      </c>
      <c r="CB4873">
        <v>0.3</v>
      </c>
      <c r="CC4873">
        <v>0.12</v>
      </c>
      <c r="CD4873">
        <v>-0.66</v>
      </c>
      <c r="CE4873">
        <v>0.93</v>
      </c>
      <c r="CF4873">
        <v>0.93</v>
      </c>
      <c r="CG4873">
        <v>0</v>
      </c>
      <c r="CH4873">
        <v>-0.24</v>
      </c>
      <c r="CI4873">
        <v>0</v>
      </c>
      <c r="CJ4873">
        <v>-9.8000000000000007</v>
      </c>
      <c r="CK4873">
        <v>63</v>
      </c>
      <c r="CL4873">
        <v>-0.34</v>
      </c>
      <c r="CM4873">
        <v>59</v>
      </c>
      <c r="CN4873">
        <v>-0.48</v>
      </c>
      <c r="CO4873">
        <v>53</v>
      </c>
      <c r="CP4873">
        <v>-9.3000000000000007</v>
      </c>
      <c r="CQ4873">
        <v>68</v>
      </c>
      <c r="CR4873">
        <v>0</v>
      </c>
      <c r="CS4873">
        <v>0</v>
      </c>
      <c r="CT4873">
        <v>-3.5</v>
      </c>
      <c r="CU4873">
        <v>53</v>
      </c>
      <c r="CV4873">
        <v>-0.14000000000000001</v>
      </c>
      <c r="CW4873">
        <v>16</v>
      </c>
      <c r="CX4873" t="s">
        <v>118</v>
      </c>
    </row>
    <row r="4874" spans="1:102" x14ac:dyDescent="0.3">
      <c r="A4874" t="str">
        <f>HYPERLINK("https://webapp.icbf.com/v2/app/bull-search/view/122829450","DNX")</f>
        <v>DNX</v>
      </c>
      <c r="B4874" t="s">
        <v>11446</v>
      </c>
      <c r="C4874" t="s">
        <v>3216</v>
      </c>
      <c r="D4874" s="1">
        <v>32152</v>
      </c>
      <c r="E4874" t="s">
        <v>92</v>
      </c>
      <c r="F4874">
        <v>100</v>
      </c>
      <c r="G4874" t="s">
        <v>93</v>
      </c>
      <c r="H4874">
        <v>-204.84</v>
      </c>
      <c r="I4874">
        <v>96</v>
      </c>
      <c r="J4874">
        <v>22.64</v>
      </c>
      <c r="K4874">
        <v>99</v>
      </c>
      <c r="L4874">
        <v>-203.24</v>
      </c>
      <c r="M4874">
        <v>93</v>
      </c>
      <c r="N4874">
        <v>-18.84</v>
      </c>
      <c r="O4874">
        <v>96</v>
      </c>
      <c r="P4874">
        <v>-2.8</v>
      </c>
      <c r="Q4874">
        <v>98</v>
      </c>
      <c r="R4874">
        <v>-5.54</v>
      </c>
      <c r="S4874">
        <v>91</v>
      </c>
      <c r="T4874">
        <v>2.13</v>
      </c>
      <c r="U4874">
        <v>97</v>
      </c>
      <c r="V4874">
        <v>0.81</v>
      </c>
      <c r="W4874">
        <v>85</v>
      </c>
      <c r="X4874" t="s">
        <v>94</v>
      </c>
      <c r="Y4874" t="s">
        <v>95</v>
      </c>
      <c r="Z4874" t="s">
        <v>96</v>
      </c>
      <c r="AA4874" t="s">
        <v>543</v>
      </c>
      <c r="AB4874" t="s">
        <v>6907</v>
      </c>
      <c r="AC4874">
        <v>1058</v>
      </c>
      <c r="AD4874">
        <v>505</v>
      </c>
      <c r="AE4874">
        <v>99</v>
      </c>
      <c r="AF4874">
        <v>268.31</v>
      </c>
      <c r="AG4874">
        <v>9.0399999999999991</v>
      </c>
      <c r="AH4874">
        <v>4.76</v>
      </c>
      <c r="AI4874">
        <v>-0.02</v>
      </c>
      <c r="AJ4874">
        <v>-7.0000000000000007E-2</v>
      </c>
      <c r="AK4874">
        <v>93</v>
      </c>
      <c r="AL4874">
        <v>1115</v>
      </c>
      <c r="AM4874">
        <v>500</v>
      </c>
      <c r="AN4874">
        <v>12.52</v>
      </c>
      <c r="AO4874">
        <v>-3.67</v>
      </c>
      <c r="AP4874">
        <v>164</v>
      </c>
      <c r="AQ4874">
        <v>0</v>
      </c>
      <c r="AR4874">
        <v>8.8000000000000007</v>
      </c>
      <c r="AS4874">
        <v>87</v>
      </c>
      <c r="AT4874">
        <v>4.07</v>
      </c>
      <c r="AU4874">
        <v>97</v>
      </c>
      <c r="AV4874">
        <v>0.77</v>
      </c>
      <c r="AW4874">
        <v>97</v>
      </c>
      <c r="AX4874">
        <v>0.04</v>
      </c>
      <c r="AY4874">
        <v>97</v>
      </c>
      <c r="AZ4874">
        <v>6.02</v>
      </c>
      <c r="BA4874">
        <v>87</v>
      </c>
      <c r="BB4874">
        <v>5.14</v>
      </c>
      <c r="BC4874">
        <v>93</v>
      </c>
      <c r="BD4874">
        <v>0.05</v>
      </c>
      <c r="BE4874">
        <v>0.06</v>
      </c>
      <c r="BF4874">
        <v>-7.0000000000000007E-2</v>
      </c>
      <c r="BG4874">
        <v>99</v>
      </c>
      <c r="BH4874">
        <v>0.1</v>
      </c>
      <c r="BI4874">
        <v>8.9499999999999993</v>
      </c>
      <c r="BJ4874">
        <v>150</v>
      </c>
      <c r="BK4874">
        <v>91</v>
      </c>
      <c r="BL4874">
        <v>1.44</v>
      </c>
      <c r="BM4874">
        <v>-1.75</v>
      </c>
      <c r="BN4874">
        <v>0.99</v>
      </c>
      <c r="BO4874">
        <v>1.63</v>
      </c>
      <c r="BP4874">
        <v>-2.5099999999999998</v>
      </c>
      <c r="BQ4874">
        <v>0.66</v>
      </c>
      <c r="BR4874">
        <v>3.31</v>
      </c>
      <c r="BS4874">
        <v>-3.67</v>
      </c>
      <c r="BT4874">
        <v>-2.48</v>
      </c>
      <c r="BU4874">
        <v>0.73</v>
      </c>
      <c r="BV4874">
        <v>0.73</v>
      </c>
      <c r="BW4874">
        <v>0.77</v>
      </c>
      <c r="BX4874">
        <v>1.26</v>
      </c>
      <c r="BY4874">
        <v>-0.83</v>
      </c>
      <c r="BZ4874">
        <v>2.17</v>
      </c>
      <c r="CA4874">
        <v>-0.24</v>
      </c>
      <c r="CB4874">
        <v>0.56999999999999995</v>
      </c>
      <c r="CC4874">
        <v>-1.7</v>
      </c>
      <c r="CD4874">
        <v>-1.91</v>
      </c>
      <c r="CE4874">
        <v>1.6</v>
      </c>
      <c r="CF4874">
        <v>0.9</v>
      </c>
      <c r="CG4874">
        <v>0</v>
      </c>
      <c r="CH4874">
        <v>-0.84</v>
      </c>
      <c r="CI4874">
        <v>0</v>
      </c>
      <c r="CJ4874">
        <v>0.2</v>
      </c>
      <c r="CK4874">
        <v>98</v>
      </c>
      <c r="CL4874">
        <v>-0.79</v>
      </c>
      <c r="CM4874">
        <v>98</v>
      </c>
      <c r="CN4874">
        <v>-0.4</v>
      </c>
      <c r="CO4874">
        <v>97</v>
      </c>
      <c r="CP4874">
        <v>2.6</v>
      </c>
      <c r="CQ4874">
        <v>99</v>
      </c>
      <c r="CR4874">
        <v>0</v>
      </c>
      <c r="CS4874">
        <v>0</v>
      </c>
      <c r="CT4874">
        <v>10.9</v>
      </c>
      <c r="CU4874">
        <v>97</v>
      </c>
      <c r="CV4874">
        <v>0.15</v>
      </c>
      <c r="CW4874">
        <v>46</v>
      </c>
      <c r="CX4874" t="s">
        <v>707</v>
      </c>
    </row>
    <row r="4875" spans="1:102" x14ac:dyDescent="0.3">
      <c r="A4875" t="str">
        <f>HYPERLINK("https://webapp.icbf.com/v2/app/bull-search/view/77854435","RBS")</f>
        <v>RBS</v>
      </c>
      <c r="B4875" t="s">
        <v>11423</v>
      </c>
      <c r="C4875" t="s">
        <v>11424</v>
      </c>
      <c r="D4875" s="1">
        <v>32742</v>
      </c>
      <c r="E4875" t="s">
        <v>92</v>
      </c>
      <c r="F4875">
        <v>100</v>
      </c>
      <c r="G4875" t="s">
        <v>109</v>
      </c>
      <c r="H4875">
        <v>-204.91</v>
      </c>
      <c r="I4875">
        <v>85</v>
      </c>
      <c r="J4875">
        <v>-26.16</v>
      </c>
      <c r="K4875">
        <v>95</v>
      </c>
      <c r="L4875">
        <v>-149.54</v>
      </c>
      <c r="M4875">
        <v>88</v>
      </c>
      <c r="N4875">
        <v>-21.22</v>
      </c>
      <c r="O4875">
        <v>73</v>
      </c>
      <c r="P4875">
        <v>-13.43</v>
      </c>
      <c r="Q4875">
        <v>76</v>
      </c>
      <c r="R4875">
        <v>-7.05</v>
      </c>
      <c r="S4875">
        <v>80</v>
      </c>
      <c r="T4875">
        <v>13.38</v>
      </c>
      <c r="U4875">
        <v>71</v>
      </c>
      <c r="V4875">
        <v>-0.89</v>
      </c>
      <c r="W4875">
        <v>69</v>
      </c>
      <c r="X4875" t="s">
        <v>94</v>
      </c>
      <c r="Y4875" t="s">
        <v>95</v>
      </c>
      <c r="Z4875" t="s">
        <v>96</v>
      </c>
      <c r="AA4875" t="s">
        <v>111</v>
      </c>
      <c r="AB4875" t="s">
        <v>11425</v>
      </c>
      <c r="AC4875">
        <v>29</v>
      </c>
      <c r="AD4875">
        <v>24</v>
      </c>
      <c r="AE4875">
        <v>95</v>
      </c>
      <c r="AF4875">
        <v>212.12</v>
      </c>
      <c r="AG4875">
        <v>0.25</v>
      </c>
      <c r="AH4875">
        <v>-1.29</v>
      </c>
      <c r="AI4875">
        <v>-0.14000000000000001</v>
      </c>
      <c r="AJ4875">
        <v>-0.14000000000000001</v>
      </c>
      <c r="AK4875">
        <v>88</v>
      </c>
      <c r="AL4875">
        <v>36</v>
      </c>
      <c r="AM4875">
        <v>21</v>
      </c>
      <c r="AN4875">
        <v>8.57</v>
      </c>
      <c r="AO4875">
        <v>-3.35</v>
      </c>
      <c r="AP4875">
        <v>15</v>
      </c>
      <c r="AQ4875">
        <v>0</v>
      </c>
      <c r="AR4875">
        <v>9.89</v>
      </c>
      <c r="AS4875">
        <v>62</v>
      </c>
      <c r="AT4875">
        <v>3.94</v>
      </c>
      <c r="AU4875">
        <v>89</v>
      </c>
      <c r="AV4875">
        <v>0.34</v>
      </c>
      <c r="AW4875">
        <v>73</v>
      </c>
      <c r="AX4875">
        <v>0.34</v>
      </c>
      <c r="AY4875">
        <v>67</v>
      </c>
      <c r="AZ4875">
        <v>7.32</v>
      </c>
      <c r="BA4875">
        <v>55</v>
      </c>
      <c r="BB4875">
        <v>5.32</v>
      </c>
      <c r="BC4875">
        <v>60</v>
      </c>
      <c r="BD4875">
        <v>0.06</v>
      </c>
      <c r="BE4875">
        <v>0.08</v>
      </c>
      <c r="BF4875">
        <v>-0.09</v>
      </c>
      <c r="BG4875">
        <v>91</v>
      </c>
      <c r="BH4875">
        <v>0</v>
      </c>
      <c r="BI4875">
        <v>2.88</v>
      </c>
      <c r="BJ4875">
        <v>7</v>
      </c>
      <c r="BK4875">
        <v>7</v>
      </c>
      <c r="BL4875">
        <v>0.12</v>
      </c>
      <c r="BM4875">
        <v>-0.8</v>
      </c>
      <c r="BN4875">
        <v>1.61</v>
      </c>
      <c r="BO4875">
        <v>1.36</v>
      </c>
      <c r="BP4875">
        <v>-0.02</v>
      </c>
      <c r="BQ4875">
        <v>1.04</v>
      </c>
      <c r="BR4875">
        <v>3.05</v>
      </c>
      <c r="BS4875">
        <v>-0.33</v>
      </c>
      <c r="BT4875">
        <v>-2.56</v>
      </c>
      <c r="BU4875">
        <v>0.18</v>
      </c>
      <c r="BV4875">
        <v>0.97</v>
      </c>
      <c r="BW4875">
        <v>1.05</v>
      </c>
      <c r="BX4875">
        <v>-0.5</v>
      </c>
      <c r="BY4875">
        <v>0.23</v>
      </c>
      <c r="BZ4875">
        <v>-2.33</v>
      </c>
      <c r="CA4875">
        <v>0.46</v>
      </c>
      <c r="CB4875">
        <v>0.76</v>
      </c>
      <c r="CC4875">
        <v>0.01</v>
      </c>
      <c r="CD4875">
        <v>-1.23</v>
      </c>
      <c r="CE4875">
        <v>1.85</v>
      </c>
      <c r="CF4875">
        <v>1.72</v>
      </c>
      <c r="CG4875">
        <v>0</v>
      </c>
      <c r="CH4875">
        <v>0.64</v>
      </c>
      <c r="CI4875">
        <v>0</v>
      </c>
      <c r="CJ4875">
        <v>-6</v>
      </c>
      <c r="CK4875">
        <v>78</v>
      </c>
      <c r="CL4875">
        <v>-0.91</v>
      </c>
      <c r="CM4875">
        <v>75</v>
      </c>
      <c r="CN4875">
        <v>-0.48</v>
      </c>
      <c r="CO4875">
        <v>72</v>
      </c>
      <c r="CP4875">
        <v>-9.1999999999999993</v>
      </c>
      <c r="CQ4875">
        <v>76</v>
      </c>
      <c r="CR4875">
        <v>0</v>
      </c>
      <c r="CS4875">
        <v>0</v>
      </c>
      <c r="CT4875">
        <v>-4.3</v>
      </c>
      <c r="CU4875">
        <v>71</v>
      </c>
      <c r="CV4875">
        <v>0.09</v>
      </c>
      <c r="CW4875">
        <v>41</v>
      </c>
      <c r="CX4875" t="s">
        <v>543</v>
      </c>
    </row>
    <row r="4876" spans="1:102" x14ac:dyDescent="0.3">
      <c r="A4876" t="str">
        <f>HYPERLINK("https://webapp.icbf.com/v2/app/bull-search/view/124414453","CCJ")</f>
        <v>CCJ</v>
      </c>
      <c r="B4876" t="s">
        <v>1547</v>
      </c>
      <c r="C4876" t="s">
        <v>1548</v>
      </c>
      <c r="D4876" s="1">
        <v>34914</v>
      </c>
      <c r="E4876" t="s">
        <v>92</v>
      </c>
      <c r="F4876">
        <v>100</v>
      </c>
      <c r="G4876" t="s">
        <v>93</v>
      </c>
      <c r="H4876">
        <v>-204.92</v>
      </c>
      <c r="I4876">
        <v>88</v>
      </c>
      <c r="J4876">
        <v>-19.22</v>
      </c>
      <c r="K4876">
        <v>96</v>
      </c>
      <c r="L4876">
        <v>-143.38999999999999</v>
      </c>
      <c r="M4876">
        <v>87</v>
      </c>
      <c r="N4876">
        <v>-24.23</v>
      </c>
      <c r="O4876">
        <v>81</v>
      </c>
      <c r="P4876">
        <v>-7.8</v>
      </c>
      <c r="Q4876">
        <v>87</v>
      </c>
      <c r="R4876">
        <v>-11.15</v>
      </c>
      <c r="S4876">
        <v>80</v>
      </c>
      <c r="T4876">
        <v>7.24</v>
      </c>
      <c r="U4876">
        <v>87</v>
      </c>
      <c r="V4876">
        <v>-6.37</v>
      </c>
      <c r="W4876">
        <v>69</v>
      </c>
      <c r="X4876" t="s">
        <v>251</v>
      </c>
      <c r="Y4876" t="s">
        <v>95</v>
      </c>
      <c r="Z4876" t="s">
        <v>96</v>
      </c>
      <c r="AA4876" t="s">
        <v>105</v>
      </c>
      <c r="AB4876" t="s">
        <v>1549</v>
      </c>
      <c r="AC4876">
        <v>64</v>
      </c>
      <c r="AD4876">
        <v>33</v>
      </c>
      <c r="AE4876">
        <v>96</v>
      </c>
      <c r="AF4876">
        <v>-5.91</v>
      </c>
      <c r="AG4876">
        <v>-1.61</v>
      </c>
      <c r="AH4876">
        <v>-2.79</v>
      </c>
      <c r="AI4876">
        <v>-0.02</v>
      </c>
      <c r="AJ4876">
        <v>-0.05</v>
      </c>
      <c r="AK4876">
        <v>87</v>
      </c>
      <c r="AL4876">
        <v>60</v>
      </c>
      <c r="AM4876">
        <v>32</v>
      </c>
      <c r="AN4876">
        <v>7.45</v>
      </c>
      <c r="AO4876">
        <v>-3.99</v>
      </c>
      <c r="AP4876">
        <v>106</v>
      </c>
      <c r="AQ4876">
        <v>0</v>
      </c>
      <c r="AR4876">
        <v>10.46</v>
      </c>
      <c r="AS4876">
        <v>70</v>
      </c>
      <c r="AT4876">
        <v>5.0599999999999996</v>
      </c>
      <c r="AU4876">
        <v>84</v>
      </c>
      <c r="AV4876">
        <v>-0.46</v>
      </c>
      <c r="AW4876">
        <v>89</v>
      </c>
      <c r="AX4876">
        <v>0.74</v>
      </c>
      <c r="AY4876">
        <v>75</v>
      </c>
      <c r="AZ4876">
        <v>5.2</v>
      </c>
      <c r="BA4876">
        <v>61</v>
      </c>
      <c r="BB4876">
        <v>4.62</v>
      </c>
      <c r="BC4876">
        <v>63</v>
      </c>
      <c r="BD4876">
        <v>0.08</v>
      </c>
      <c r="BE4876">
        <v>7.0000000000000007E-2</v>
      </c>
      <c r="BF4876">
        <v>-0.01</v>
      </c>
      <c r="BG4876">
        <v>91</v>
      </c>
      <c r="BH4876">
        <v>0.01</v>
      </c>
      <c r="BI4876">
        <v>21.69</v>
      </c>
      <c r="BJ4876">
        <v>9</v>
      </c>
      <c r="BK4876">
        <v>6</v>
      </c>
      <c r="BL4876">
        <v>0.68</v>
      </c>
      <c r="BM4876">
        <v>0.75</v>
      </c>
      <c r="BN4876">
        <v>1.3</v>
      </c>
      <c r="BO4876">
        <v>0.6</v>
      </c>
      <c r="BP4876">
        <v>0.43</v>
      </c>
      <c r="BQ4876">
        <v>-0.05</v>
      </c>
      <c r="BR4876">
        <v>0.5</v>
      </c>
      <c r="BS4876">
        <v>-0.17</v>
      </c>
      <c r="BT4876">
        <v>-0.56000000000000005</v>
      </c>
      <c r="BU4876">
        <v>-0.93</v>
      </c>
      <c r="BV4876">
        <v>-1.0900000000000001</v>
      </c>
      <c r="BW4876">
        <v>1.1299999999999999</v>
      </c>
      <c r="BX4876">
        <v>-0.46</v>
      </c>
      <c r="BY4876">
        <v>0.78</v>
      </c>
      <c r="BZ4876">
        <v>1.25</v>
      </c>
      <c r="CA4876">
        <v>-0.59</v>
      </c>
      <c r="CB4876">
        <v>-0.08</v>
      </c>
      <c r="CC4876">
        <v>-0.56999999999999995</v>
      </c>
      <c r="CD4876">
        <v>-0.69</v>
      </c>
      <c r="CE4876">
        <v>0.81</v>
      </c>
      <c r="CF4876">
        <v>0.91</v>
      </c>
      <c r="CG4876">
        <v>0</v>
      </c>
      <c r="CH4876">
        <v>0.53</v>
      </c>
      <c r="CI4876">
        <v>0</v>
      </c>
      <c r="CJ4876">
        <v>-1.9</v>
      </c>
      <c r="CK4876">
        <v>88</v>
      </c>
      <c r="CL4876">
        <v>-0.92</v>
      </c>
      <c r="CM4876">
        <v>86</v>
      </c>
      <c r="CN4876">
        <v>-0.38</v>
      </c>
      <c r="CO4876">
        <v>84</v>
      </c>
      <c r="CP4876">
        <v>-0.9</v>
      </c>
      <c r="CQ4876">
        <v>87</v>
      </c>
      <c r="CR4876">
        <v>0</v>
      </c>
      <c r="CS4876">
        <v>0</v>
      </c>
      <c r="CT4876">
        <v>4</v>
      </c>
      <c r="CU4876">
        <v>87</v>
      </c>
      <c r="CV4876">
        <v>0.2</v>
      </c>
      <c r="CW4876">
        <v>43</v>
      </c>
      <c r="CX4876" t="s">
        <v>1550</v>
      </c>
    </row>
    <row r="4877" spans="1:102" x14ac:dyDescent="0.3">
      <c r="A4877" t="str">
        <f>HYPERLINK("https://webapp.icbf.com/v2/app/bull-search/view/479047259","WDU")</f>
        <v>WDU</v>
      </c>
      <c r="B4877" t="s">
        <v>12260</v>
      </c>
      <c r="C4877" t="s">
        <v>12261</v>
      </c>
      <c r="D4877" s="1">
        <v>38131</v>
      </c>
      <c r="E4877" t="s">
        <v>92</v>
      </c>
      <c r="F4877">
        <v>100</v>
      </c>
      <c r="G4877" t="s">
        <v>93</v>
      </c>
      <c r="H4877">
        <v>-204.93</v>
      </c>
      <c r="I4877">
        <v>64</v>
      </c>
      <c r="J4877">
        <v>21.9</v>
      </c>
      <c r="K4877">
        <v>84</v>
      </c>
      <c r="L4877">
        <v>-183.43</v>
      </c>
      <c r="M4877">
        <v>44</v>
      </c>
      <c r="N4877">
        <v>-21.59</v>
      </c>
      <c r="O4877">
        <v>63</v>
      </c>
      <c r="P4877">
        <v>-27.21</v>
      </c>
      <c r="Q4877">
        <v>73</v>
      </c>
      <c r="R4877">
        <v>-17.05</v>
      </c>
      <c r="S4877">
        <v>51</v>
      </c>
      <c r="T4877">
        <v>22.26</v>
      </c>
      <c r="U4877">
        <v>76</v>
      </c>
      <c r="V4877">
        <v>0.19</v>
      </c>
      <c r="W4877">
        <v>35</v>
      </c>
      <c r="X4877" t="s">
        <v>251</v>
      </c>
      <c r="Y4877" t="s">
        <v>282</v>
      </c>
      <c r="Z4877" t="s">
        <v>96</v>
      </c>
      <c r="AA4877" t="s">
        <v>4673</v>
      </c>
      <c r="AB4877" t="s">
        <v>12262</v>
      </c>
      <c r="AC4877">
        <v>28</v>
      </c>
      <c r="AD4877">
        <v>19</v>
      </c>
      <c r="AE4877">
        <v>84</v>
      </c>
      <c r="AF4877">
        <v>466.62</v>
      </c>
      <c r="AG4877">
        <v>3.55</v>
      </c>
      <c r="AH4877">
        <v>9.61</v>
      </c>
      <c r="AI4877">
        <v>-0.23</v>
      </c>
      <c r="AJ4877">
        <v>-0.1</v>
      </c>
      <c r="AK4877">
        <v>44</v>
      </c>
      <c r="AL4877">
        <v>24</v>
      </c>
      <c r="AM4877">
        <v>13</v>
      </c>
      <c r="AN4877">
        <v>9.84</v>
      </c>
      <c r="AO4877">
        <v>-4.79</v>
      </c>
      <c r="AP4877">
        <v>39</v>
      </c>
      <c r="AQ4877">
        <v>0</v>
      </c>
      <c r="AR4877">
        <v>9.52</v>
      </c>
      <c r="AS4877">
        <v>42</v>
      </c>
      <c r="AT4877">
        <v>4.78</v>
      </c>
      <c r="AU4877">
        <v>76</v>
      </c>
      <c r="AV4877">
        <v>-0.47</v>
      </c>
      <c r="AW4877">
        <v>72</v>
      </c>
      <c r="AX4877">
        <v>-0.14000000000000001</v>
      </c>
      <c r="AY4877">
        <v>56</v>
      </c>
      <c r="AZ4877">
        <v>7.01</v>
      </c>
      <c r="BA4877">
        <v>37</v>
      </c>
      <c r="BB4877">
        <v>5.39</v>
      </c>
      <c r="BC4877">
        <v>33</v>
      </c>
      <c r="BD4877">
        <v>0.06</v>
      </c>
      <c r="BE4877">
        <v>0.08</v>
      </c>
      <c r="BF4877">
        <v>0.14000000000000001</v>
      </c>
      <c r="BG4877">
        <v>61</v>
      </c>
      <c r="BH4877">
        <v>0.04</v>
      </c>
      <c r="BI4877">
        <v>4.01</v>
      </c>
      <c r="BJ4877">
        <v>9</v>
      </c>
      <c r="BK4877">
        <v>7</v>
      </c>
      <c r="BL4877">
        <v>0.83</v>
      </c>
      <c r="BM4877">
        <v>-0.37</v>
      </c>
      <c r="BN4877">
        <v>1.57</v>
      </c>
      <c r="BO4877">
        <v>1.1299999999999999</v>
      </c>
      <c r="BP4877">
        <v>0.32</v>
      </c>
      <c r="BQ4877">
        <v>1.1599999999999999</v>
      </c>
      <c r="BR4877">
        <v>1.22</v>
      </c>
      <c r="BS4877">
        <v>0.32</v>
      </c>
      <c r="BT4877">
        <v>-0.63</v>
      </c>
      <c r="BU4877">
        <v>0.32</v>
      </c>
      <c r="BV4877">
        <v>1.45</v>
      </c>
      <c r="BW4877">
        <v>2.04</v>
      </c>
      <c r="BX4877">
        <v>-0.5</v>
      </c>
      <c r="BY4877">
        <v>-0.18</v>
      </c>
      <c r="BZ4877">
        <v>1.95</v>
      </c>
      <c r="CA4877">
        <v>0.2</v>
      </c>
      <c r="CB4877">
        <v>0.43</v>
      </c>
      <c r="CC4877">
        <v>-7.0000000000000007E-2</v>
      </c>
      <c r="CD4877">
        <v>-0.93</v>
      </c>
      <c r="CE4877">
        <v>0.75</v>
      </c>
      <c r="CF4877">
        <v>1.17</v>
      </c>
      <c r="CG4877">
        <v>0</v>
      </c>
      <c r="CH4877">
        <v>1.1000000000000001</v>
      </c>
      <c r="CI4877">
        <v>0</v>
      </c>
      <c r="CJ4877">
        <v>-11.3</v>
      </c>
      <c r="CK4877">
        <v>75</v>
      </c>
      <c r="CL4877">
        <v>-1.42</v>
      </c>
      <c r="CM4877">
        <v>70</v>
      </c>
      <c r="CN4877">
        <v>-0.42</v>
      </c>
      <c r="CO4877">
        <v>66</v>
      </c>
      <c r="CP4877">
        <v>-12.5</v>
      </c>
      <c r="CQ4877">
        <v>77</v>
      </c>
      <c r="CR4877">
        <v>0</v>
      </c>
      <c r="CS4877">
        <v>0</v>
      </c>
      <c r="CT4877">
        <v>-16.3</v>
      </c>
      <c r="CU4877">
        <v>76</v>
      </c>
      <c r="CV4877">
        <v>0.23</v>
      </c>
      <c r="CW4877">
        <v>20</v>
      </c>
      <c r="CX4877" t="s">
        <v>1384</v>
      </c>
    </row>
    <row r="4878" spans="1:102" x14ac:dyDescent="0.3">
      <c r="A4878" t="str">
        <f>HYPERLINK("https://webapp.icbf.com/v2/app/bull-search/view/77856031","KSJ")</f>
        <v>KSJ</v>
      </c>
      <c r="B4878" t="s">
        <v>3646</v>
      </c>
      <c r="C4878" t="s">
        <v>3647</v>
      </c>
      <c r="D4878" s="1">
        <v>33629</v>
      </c>
      <c r="E4878" t="s">
        <v>92</v>
      </c>
      <c r="F4878">
        <v>100</v>
      </c>
      <c r="G4878" t="s">
        <v>109</v>
      </c>
      <c r="H4878">
        <v>-205.28</v>
      </c>
      <c r="I4878">
        <v>80</v>
      </c>
      <c r="J4878">
        <v>-31.64</v>
      </c>
      <c r="K4878">
        <v>94</v>
      </c>
      <c r="L4878">
        <v>-153.77000000000001</v>
      </c>
      <c r="M4878">
        <v>88</v>
      </c>
      <c r="N4878">
        <v>-2.66</v>
      </c>
      <c r="O4878">
        <v>60</v>
      </c>
      <c r="P4878">
        <v>1.19</v>
      </c>
      <c r="Q4878">
        <v>54</v>
      </c>
      <c r="R4878">
        <v>-11.79</v>
      </c>
      <c r="S4878">
        <v>76</v>
      </c>
      <c r="T4878">
        <v>-0.16</v>
      </c>
      <c r="U4878">
        <v>51</v>
      </c>
      <c r="V4878">
        <v>-6.45</v>
      </c>
      <c r="W4878">
        <v>60</v>
      </c>
      <c r="X4878" t="s">
        <v>251</v>
      </c>
      <c r="Y4878" t="s">
        <v>95</v>
      </c>
      <c r="Z4878" t="s">
        <v>96</v>
      </c>
      <c r="AA4878" t="s">
        <v>3648</v>
      </c>
      <c r="AB4878" t="s">
        <v>3649</v>
      </c>
      <c r="AC4878">
        <v>0</v>
      </c>
      <c r="AD4878">
        <v>0</v>
      </c>
      <c r="AE4878">
        <v>94</v>
      </c>
      <c r="AF4878">
        <v>220.41</v>
      </c>
      <c r="AG4878">
        <v>2.38</v>
      </c>
      <c r="AH4878">
        <v>-2.85</v>
      </c>
      <c r="AI4878">
        <v>-0.1</v>
      </c>
      <c r="AJ4878">
        <v>-0.17</v>
      </c>
      <c r="AK4878">
        <v>88</v>
      </c>
      <c r="AL4878">
        <v>0</v>
      </c>
      <c r="AM4878">
        <v>0</v>
      </c>
      <c r="AN4878">
        <v>9.3699999999999992</v>
      </c>
      <c r="AO4878">
        <v>-2.88</v>
      </c>
      <c r="AP4878">
        <v>4</v>
      </c>
      <c r="AQ4878">
        <v>0</v>
      </c>
      <c r="AR4878">
        <v>6.23</v>
      </c>
      <c r="AS4878">
        <v>51</v>
      </c>
      <c r="AT4878">
        <v>3.11</v>
      </c>
      <c r="AU4878">
        <v>90</v>
      </c>
      <c r="AV4878">
        <v>-0.86</v>
      </c>
      <c r="AW4878">
        <v>53</v>
      </c>
      <c r="AX4878">
        <v>0.54</v>
      </c>
      <c r="AY4878">
        <v>48</v>
      </c>
      <c r="AZ4878">
        <v>8.17</v>
      </c>
      <c r="BA4878">
        <v>40</v>
      </c>
      <c r="BB4878">
        <v>6.57</v>
      </c>
      <c r="BC4878">
        <v>43</v>
      </c>
      <c r="BD4878">
        <v>0.03</v>
      </c>
      <c r="BE4878">
        <v>0.09</v>
      </c>
      <c r="BF4878">
        <v>0.05</v>
      </c>
      <c r="BG4878">
        <v>92</v>
      </c>
      <c r="BH4878">
        <v>0</v>
      </c>
      <c r="BI4878">
        <v>20.82</v>
      </c>
      <c r="BJ4878">
        <v>2</v>
      </c>
      <c r="BK4878">
        <v>2</v>
      </c>
      <c r="BL4878">
        <v>0.64</v>
      </c>
      <c r="BM4878">
        <v>-0.15</v>
      </c>
      <c r="BN4878">
        <v>1.69</v>
      </c>
      <c r="BO4878">
        <v>1.17</v>
      </c>
      <c r="BP4878">
        <v>-2.5499999999999998</v>
      </c>
      <c r="BQ4878">
        <v>-7.0000000000000007E-2</v>
      </c>
      <c r="BR4878">
        <v>0.56999999999999995</v>
      </c>
      <c r="BS4878">
        <v>-0.19</v>
      </c>
      <c r="BT4878">
        <v>-1.28</v>
      </c>
      <c r="BU4878">
        <v>1.59</v>
      </c>
      <c r="BV4878">
        <v>0.53</v>
      </c>
      <c r="BW4878">
        <v>0.6</v>
      </c>
      <c r="BX4878">
        <v>0.46</v>
      </c>
      <c r="BY4878">
        <v>1.23</v>
      </c>
      <c r="BZ4878">
        <v>1.21</v>
      </c>
      <c r="CA4878">
        <v>0.56000000000000005</v>
      </c>
      <c r="CB4878">
        <v>0.74</v>
      </c>
      <c r="CC4878">
        <v>0.28999999999999998</v>
      </c>
      <c r="CD4878">
        <v>-1.1000000000000001</v>
      </c>
      <c r="CE4878">
        <v>0.8</v>
      </c>
      <c r="CF4878">
        <v>-0.06</v>
      </c>
      <c r="CG4878">
        <v>0</v>
      </c>
      <c r="CH4878">
        <v>1.17</v>
      </c>
      <c r="CI4878">
        <v>0</v>
      </c>
      <c r="CJ4878">
        <v>3.3</v>
      </c>
      <c r="CK4878">
        <v>55</v>
      </c>
      <c r="CL4878">
        <v>-1.05</v>
      </c>
      <c r="CM4878">
        <v>53</v>
      </c>
      <c r="CN4878">
        <v>-0.52</v>
      </c>
      <c r="CO4878">
        <v>48</v>
      </c>
      <c r="CP4878">
        <v>9.1999999999999993</v>
      </c>
      <c r="CQ4878">
        <v>62</v>
      </c>
      <c r="CR4878">
        <v>0</v>
      </c>
      <c r="CS4878">
        <v>0</v>
      </c>
      <c r="CT4878">
        <v>14</v>
      </c>
      <c r="CU4878">
        <v>51</v>
      </c>
      <c r="CV4878">
        <v>0.23</v>
      </c>
      <c r="CW4878">
        <v>36</v>
      </c>
      <c r="CX4878" t="s">
        <v>111</v>
      </c>
    </row>
    <row r="4879" spans="1:102" x14ac:dyDescent="0.3">
      <c r="A4879" t="str">
        <f>HYPERLINK("https://webapp.icbf.com/v2/app/bull-search/view/77852620","WME")</f>
        <v>WME</v>
      </c>
      <c r="B4879" t="s">
        <v>11157</v>
      </c>
      <c r="C4879" t="s">
        <v>11158</v>
      </c>
      <c r="D4879" s="1">
        <v>32819</v>
      </c>
      <c r="E4879" t="s">
        <v>92</v>
      </c>
      <c r="F4879">
        <v>100</v>
      </c>
      <c r="G4879" t="s">
        <v>93</v>
      </c>
      <c r="H4879">
        <v>-205.57</v>
      </c>
      <c r="I4879">
        <v>90</v>
      </c>
      <c r="J4879">
        <v>-24.03</v>
      </c>
      <c r="K4879">
        <v>97</v>
      </c>
      <c r="L4879">
        <v>-163.55000000000001</v>
      </c>
      <c r="M4879">
        <v>91</v>
      </c>
      <c r="N4879">
        <v>-3.25</v>
      </c>
      <c r="O4879">
        <v>82</v>
      </c>
      <c r="P4879">
        <v>-8.48</v>
      </c>
      <c r="Q4879">
        <v>87</v>
      </c>
      <c r="R4879">
        <v>-5.83</v>
      </c>
      <c r="S4879">
        <v>84</v>
      </c>
      <c r="T4879">
        <v>-2.75</v>
      </c>
      <c r="U4879">
        <v>83</v>
      </c>
      <c r="V4879">
        <v>2.3199999999999998</v>
      </c>
      <c r="W4879">
        <v>74</v>
      </c>
      <c r="X4879" t="s">
        <v>110</v>
      </c>
      <c r="Y4879" t="s">
        <v>95</v>
      </c>
      <c r="Z4879" t="s">
        <v>96</v>
      </c>
      <c r="AA4879" t="s">
        <v>111</v>
      </c>
      <c r="AB4879" t="s">
        <v>10748</v>
      </c>
      <c r="AC4879">
        <v>70</v>
      </c>
      <c r="AD4879">
        <v>54</v>
      </c>
      <c r="AE4879">
        <v>97</v>
      </c>
      <c r="AF4879">
        <v>252.01</v>
      </c>
      <c r="AG4879">
        <v>0.06</v>
      </c>
      <c r="AH4879">
        <v>-0.25</v>
      </c>
      <c r="AI4879">
        <v>-0.16</v>
      </c>
      <c r="AJ4879">
        <v>-0.15</v>
      </c>
      <c r="AK4879">
        <v>91</v>
      </c>
      <c r="AL4879">
        <v>84</v>
      </c>
      <c r="AM4879">
        <v>57</v>
      </c>
      <c r="AN4879">
        <v>9.1300000000000008</v>
      </c>
      <c r="AO4879">
        <v>-3.91</v>
      </c>
      <c r="AP4879">
        <v>49</v>
      </c>
      <c r="AQ4879">
        <v>0</v>
      </c>
      <c r="AR4879">
        <v>6.29</v>
      </c>
      <c r="AS4879">
        <v>71</v>
      </c>
      <c r="AT4879">
        <v>3.46</v>
      </c>
      <c r="AU4879">
        <v>90</v>
      </c>
      <c r="AV4879">
        <v>0.15</v>
      </c>
      <c r="AW4879">
        <v>85</v>
      </c>
      <c r="AX4879">
        <v>-0.84</v>
      </c>
      <c r="AY4879">
        <v>80</v>
      </c>
      <c r="AZ4879">
        <v>7.08</v>
      </c>
      <c r="BA4879">
        <v>62</v>
      </c>
      <c r="BB4879">
        <v>5.71</v>
      </c>
      <c r="BC4879">
        <v>68</v>
      </c>
      <c r="BD4879">
        <v>0.03</v>
      </c>
      <c r="BE4879">
        <v>0.06</v>
      </c>
      <c r="BF4879">
        <v>-0.03</v>
      </c>
      <c r="BG4879">
        <v>95</v>
      </c>
      <c r="BH4879">
        <v>0.16</v>
      </c>
      <c r="BI4879">
        <v>11.04</v>
      </c>
      <c r="BJ4879">
        <v>26</v>
      </c>
      <c r="BK4879">
        <v>22</v>
      </c>
      <c r="BL4879">
        <v>1.29</v>
      </c>
      <c r="BM4879">
        <v>1.88</v>
      </c>
      <c r="BN4879">
        <v>2.95</v>
      </c>
      <c r="BO4879">
        <v>0.88</v>
      </c>
      <c r="BP4879">
        <v>-1.23</v>
      </c>
      <c r="BQ4879">
        <v>0.82</v>
      </c>
      <c r="BR4879">
        <v>0.36</v>
      </c>
      <c r="BS4879">
        <v>-0.54</v>
      </c>
      <c r="BT4879">
        <v>-0.52</v>
      </c>
      <c r="BU4879">
        <v>0.91</v>
      </c>
      <c r="BV4879">
        <v>-0.95</v>
      </c>
      <c r="BW4879">
        <v>0.36</v>
      </c>
      <c r="BX4879">
        <v>-0.06</v>
      </c>
      <c r="BY4879">
        <v>-0.1</v>
      </c>
      <c r="BZ4879">
        <v>-1.22</v>
      </c>
      <c r="CA4879">
        <v>0.21</v>
      </c>
      <c r="CB4879">
        <v>0.17</v>
      </c>
      <c r="CC4879">
        <v>0.39</v>
      </c>
      <c r="CD4879">
        <v>-0.15</v>
      </c>
      <c r="CE4879">
        <v>0.53</v>
      </c>
      <c r="CF4879">
        <v>1.73</v>
      </c>
      <c r="CG4879">
        <v>0</v>
      </c>
      <c r="CH4879">
        <v>-0.12</v>
      </c>
      <c r="CI4879">
        <v>0</v>
      </c>
      <c r="CJ4879">
        <v>-2.2999999999999998</v>
      </c>
      <c r="CK4879">
        <v>88</v>
      </c>
      <c r="CL4879">
        <v>-1.04</v>
      </c>
      <c r="CM4879">
        <v>86</v>
      </c>
      <c r="CN4879">
        <v>-0.42</v>
      </c>
      <c r="CO4879">
        <v>84</v>
      </c>
      <c r="CP4879">
        <v>3.4</v>
      </c>
      <c r="CQ4879">
        <v>89</v>
      </c>
      <c r="CR4879">
        <v>0</v>
      </c>
      <c r="CS4879">
        <v>0</v>
      </c>
      <c r="CT4879">
        <v>17.5</v>
      </c>
      <c r="CU4879">
        <v>83</v>
      </c>
      <c r="CV4879">
        <v>0.12</v>
      </c>
      <c r="CW4879">
        <v>43</v>
      </c>
      <c r="CX4879" t="s">
        <v>543</v>
      </c>
    </row>
    <row r="4880" spans="1:102" x14ac:dyDescent="0.3">
      <c r="A4880" t="str">
        <f>HYPERLINK("https://webapp.icbf.com/v2/app/bull-search/view/318188525","IIE")</f>
        <v>IIE</v>
      </c>
      <c r="B4880" t="s">
        <v>9912</v>
      </c>
      <c r="C4880" t="s">
        <v>9913</v>
      </c>
      <c r="D4880" s="1">
        <v>36492</v>
      </c>
      <c r="E4880" t="s">
        <v>92</v>
      </c>
      <c r="F4880">
        <v>100</v>
      </c>
      <c r="G4880" t="s">
        <v>93</v>
      </c>
      <c r="H4880">
        <v>-205.85</v>
      </c>
      <c r="I4880">
        <v>95</v>
      </c>
      <c r="J4880">
        <v>-39.11</v>
      </c>
      <c r="K4880">
        <v>99</v>
      </c>
      <c r="L4880">
        <v>-128.84</v>
      </c>
      <c r="M4880">
        <v>92</v>
      </c>
      <c r="N4880">
        <v>-4.03</v>
      </c>
      <c r="O4880">
        <v>94</v>
      </c>
      <c r="P4880">
        <v>-20.41</v>
      </c>
      <c r="Q4880">
        <v>97</v>
      </c>
      <c r="R4880">
        <v>-12.77</v>
      </c>
      <c r="S4880">
        <v>89</v>
      </c>
      <c r="T4880">
        <v>-1.1200000000000001</v>
      </c>
      <c r="U4880">
        <v>94</v>
      </c>
      <c r="V4880">
        <v>0.43</v>
      </c>
      <c r="W4880">
        <v>86</v>
      </c>
      <c r="X4880" t="s">
        <v>94</v>
      </c>
      <c r="Y4880" t="s">
        <v>95</v>
      </c>
      <c r="Z4880" t="s">
        <v>96</v>
      </c>
      <c r="AA4880" t="s">
        <v>1068</v>
      </c>
      <c r="AB4880" t="s">
        <v>8724</v>
      </c>
      <c r="AC4880">
        <v>343</v>
      </c>
      <c r="AD4880">
        <v>150</v>
      </c>
      <c r="AE4880">
        <v>99</v>
      </c>
      <c r="AF4880">
        <v>-71.2</v>
      </c>
      <c r="AG4880">
        <v>-1.87</v>
      </c>
      <c r="AH4880">
        <v>-7.08</v>
      </c>
      <c r="AI4880">
        <v>0.02</v>
      </c>
      <c r="AJ4880">
        <v>-0.08</v>
      </c>
      <c r="AK4880">
        <v>92</v>
      </c>
      <c r="AL4880">
        <v>297</v>
      </c>
      <c r="AM4880">
        <v>133</v>
      </c>
      <c r="AN4880">
        <v>5.04</v>
      </c>
      <c r="AO4880">
        <v>-5.26</v>
      </c>
      <c r="AP4880">
        <v>730</v>
      </c>
      <c r="AQ4880">
        <v>2</v>
      </c>
      <c r="AR4880">
        <v>8.35</v>
      </c>
      <c r="AS4880">
        <v>92</v>
      </c>
      <c r="AT4880">
        <v>4.3499999999999996</v>
      </c>
      <c r="AU4880">
        <v>95</v>
      </c>
      <c r="AV4880">
        <v>-1.62</v>
      </c>
      <c r="AW4880">
        <v>98</v>
      </c>
      <c r="AX4880">
        <v>0.21</v>
      </c>
      <c r="AY4880">
        <v>93</v>
      </c>
      <c r="AZ4880">
        <v>5.99</v>
      </c>
      <c r="BA4880">
        <v>84</v>
      </c>
      <c r="BB4880">
        <v>5.57</v>
      </c>
      <c r="BC4880">
        <v>82</v>
      </c>
      <c r="BD4880">
        <v>0.04</v>
      </c>
      <c r="BE4880">
        <v>0.03</v>
      </c>
      <c r="BF4880">
        <v>0.17</v>
      </c>
      <c r="BG4880">
        <v>96</v>
      </c>
      <c r="BH4880">
        <v>0.02</v>
      </c>
      <c r="BI4880">
        <v>0.94</v>
      </c>
      <c r="BJ4880">
        <v>147</v>
      </c>
      <c r="BK4880">
        <v>68</v>
      </c>
      <c r="BL4880">
        <v>0.94</v>
      </c>
      <c r="BM4880">
        <v>0.44</v>
      </c>
      <c r="BN4880">
        <v>2.2400000000000002</v>
      </c>
      <c r="BO4880">
        <v>1.36</v>
      </c>
      <c r="BP4880">
        <v>-3.17</v>
      </c>
      <c r="BQ4880">
        <v>1.96</v>
      </c>
      <c r="BR4880">
        <v>-1.34</v>
      </c>
      <c r="BS4880">
        <v>1.84</v>
      </c>
      <c r="BT4880">
        <v>1.56</v>
      </c>
      <c r="BU4880">
        <v>2.11</v>
      </c>
      <c r="BV4880">
        <v>1.66</v>
      </c>
      <c r="BW4880">
        <v>1.76</v>
      </c>
      <c r="BX4880">
        <v>0.34</v>
      </c>
      <c r="BY4880">
        <v>1.95</v>
      </c>
      <c r="BZ4880">
        <v>-1.34</v>
      </c>
      <c r="CA4880">
        <v>1.95</v>
      </c>
      <c r="CB4880">
        <v>1.56</v>
      </c>
      <c r="CC4880">
        <v>2.13</v>
      </c>
      <c r="CD4880">
        <v>-0.45</v>
      </c>
      <c r="CE4880">
        <v>1.05</v>
      </c>
      <c r="CF4880">
        <v>1.31</v>
      </c>
      <c r="CG4880">
        <v>0</v>
      </c>
      <c r="CH4880">
        <v>1.84</v>
      </c>
      <c r="CI4880">
        <v>0</v>
      </c>
      <c r="CJ4880">
        <v>-9.8000000000000007</v>
      </c>
      <c r="CK4880">
        <v>97</v>
      </c>
      <c r="CL4880">
        <v>-1.24</v>
      </c>
      <c r="CM4880">
        <v>96</v>
      </c>
      <c r="CN4880">
        <v>-0.57999999999999996</v>
      </c>
      <c r="CO4880">
        <v>96</v>
      </c>
      <c r="CP4880">
        <v>-5.9</v>
      </c>
      <c r="CQ4880">
        <v>97</v>
      </c>
      <c r="CR4880">
        <v>0</v>
      </c>
      <c r="CS4880">
        <v>0</v>
      </c>
      <c r="CT4880">
        <v>15.3</v>
      </c>
      <c r="CU4880">
        <v>94</v>
      </c>
      <c r="CV4880">
        <v>0.08</v>
      </c>
      <c r="CW4880">
        <v>45</v>
      </c>
      <c r="CX4880" t="s">
        <v>111</v>
      </c>
    </row>
    <row r="4881" spans="1:102" x14ac:dyDescent="0.3">
      <c r="A4881" t="str">
        <f>HYPERLINK("https://webapp.icbf.com/v2/app/bull-search/view/380532733","NUK")</f>
        <v>NUK</v>
      </c>
      <c r="B4881" t="s">
        <v>15413</v>
      </c>
      <c r="C4881" t="s">
        <v>15414</v>
      </c>
      <c r="D4881" s="1">
        <v>36843</v>
      </c>
      <c r="E4881" t="s">
        <v>92</v>
      </c>
      <c r="F4881">
        <v>100</v>
      </c>
      <c r="G4881" t="s">
        <v>109</v>
      </c>
      <c r="H4881">
        <v>-205.94</v>
      </c>
      <c r="I4881">
        <v>86</v>
      </c>
      <c r="J4881">
        <v>5.81</v>
      </c>
      <c r="K4881">
        <v>96</v>
      </c>
      <c r="L4881">
        <v>-181.96</v>
      </c>
      <c r="M4881">
        <v>92</v>
      </c>
      <c r="N4881">
        <v>-22.09</v>
      </c>
      <c r="O4881">
        <v>73</v>
      </c>
      <c r="P4881">
        <v>-8.7899999999999991</v>
      </c>
      <c r="Q4881">
        <v>71</v>
      </c>
      <c r="R4881">
        <v>-2.17</v>
      </c>
      <c r="S4881">
        <v>83</v>
      </c>
      <c r="T4881">
        <v>5.17</v>
      </c>
      <c r="U4881">
        <v>61</v>
      </c>
      <c r="V4881">
        <v>-1.91</v>
      </c>
      <c r="W4881">
        <v>75</v>
      </c>
      <c r="X4881" t="s">
        <v>94</v>
      </c>
      <c r="Y4881" t="s">
        <v>1215</v>
      </c>
      <c r="Z4881" t="s">
        <v>96</v>
      </c>
      <c r="AA4881" t="s">
        <v>1273</v>
      </c>
      <c r="AB4881" t="s">
        <v>4043</v>
      </c>
      <c r="AC4881">
        <v>0</v>
      </c>
      <c r="AD4881">
        <v>0</v>
      </c>
      <c r="AE4881">
        <v>96</v>
      </c>
      <c r="AF4881">
        <v>190.12</v>
      </c>
      <c r="AG4881">
        <v>5.65</v>
      </c>
      <c r="AH4881">
        <v>1.9</v>
      </c>
      <c r="AI4881">
        <v>-0.03</v>
      </c>
      <c r="AJ4881">
        <v>-0.08</v>
      </c>
      <c r="AK4881">
        <v>92</v>
      </c>
      <c r="AL4881">
        <v>0</v>
      </c>
      <c r="AM4881">
        <v>0</v>
      </c>
      <c r="AN4881">
        <v>9.99</v>
      </c>
      <c r="AO4881">
        <v>-4.5199999999999996</v>
      </c>
      <c r="AP4881">
        <v>20</v>
      </c>
      <c r="AQ4881">
        <v>8</v>
      </c>
      <c r="AR4881">
        <v>9.33</v>
      </c>
      <c r="AS4881">
        <v>66</v>
      </c>
      <c r="AT4881">
        <v>5.04</v>
      </c>
      <c r="AU4881">
        <v>90</v>
      </c>
      <c r="AV4881">
        <v>-0.33</v>
      </c>
      <c r="AW4881">
        <v>73</v>
      </c>
      <c r="AX4881">
        <v>0.59</v>
      </c>
      <c r="AY4881">
        <v>58</v>
      </c>
      <c r="AZ4881">
        <v>6.3</v>
      </c>
      <c r="BA4881">
        <v>58</v>
      </c>
      <c r="BB4881">
        <v>4.6100000000000003</v>
      </c>
      <c r="BC4881">
        <v>59</v>
      </c>
      <c r="BD4881">
        <v>0.03</v>
      </c>
      <c r="BE4881">
        <v>0</v>
      </c>
      <c r="BF4881">
        <v>0</v>
      </c>
      <c r="BG4881">
        <v>94</v>
      </c>
      <c r="BH4881">
        <v>0.05</v>
      </c>
      <c r="BI4881">
        <v>11.95</v>
      </c>
      <c r="BJ4881">
        <v>6</v>
      </c>
      <c r="BK4881">
        <v>6</v>
      </c>
      <c r="BL4881">
        <v>1.83</v>
      </c>
      <c r="BM4881">
        <v>0.28999999999999998</v>
      </c>
      <c r="BN4881">
        <v>3.39</v>
      </c>
      <c r="BO4881">
        <v>1.94</v>
      </c>
      <c r="BP4881">
        <v>1.1399999999999999</v>
      </c>
      <c r="BQ4881">
        <v>1.88</v>
      </c>
      <c r="BR4881">
        <v>0.4</v>
      </c>
      <c r="BS4881">
        <v>0.66</v>
      </c>
      <c r="BT4881">
        <v>0.71</v>
      </c>
      <c r="BU4881">
        <v>0.63</v>
      </c>
      <c r="BV4881">
        <v>0.68</v>
      </c>
      <c r="BW4881">
        <v>0.7</v>
      </c>
      <c r="BX4881">
        <v>0.51</v>
      </c>
      <c r="BY4881">
        <v>0.19</v>
      </c>
      <c r="BZ4881">
        <v>2.64</v>
      </c>
      <c r="CA4881">
        <v>0.98</v>
      </c>
      <c r="CB4881">
        <v>1.03</v>
      </c>
      <c r="CC4881">
        <v>1.31</v>
      </c>
      <c r="CD4881">
        <v>-1.72</v>
      </c>
      <c r="CE4881">
        <v>1.97</v>
      </c>
      <c r="CF4881">
        <v>2.37</v>
      </c>
      <c r="CG4881">
        <v>0</v>
      </c>
      <c r="CH4881">
        <v>0.04</v>
      </c>
      <c r="CI4881">
        <v>0</v>
      </c>
      <c r="CJ4881">
        <v>-2.5</v>
      </c>
      <c r="CK4881">
        <v>73</v>
      </c>
      <c r="CL4881">
        <v>-1.42</v>
      </c>
      <c r="CM4881">
        <v>70</v>
      </c>
      <c r="CN4881">
        <v>-0.83</v>
      </c>
      <c r="CO4881">
        <v>67</v>
      </c>
      <c r="CP4881">
        <v>-2.7</v>
      </c>
      <c r="CQ4881">
        <v>67</v>
      </c>
      <c r="CR4881">
        <v>0</v>
      </c>
      <c r="CS4881">
        <v>0</v>
      </c>
      <c r="CT4881">
        <v>6.8</v>
      </c>
      <c r="CU4881">
        <v>61</v>
      </c>
      <c r="CV4881">
        <v>0.18</v>
      </c>
      <c r="CW4881">
        <v>40</v>
      </c>
      <c r="CX4881" t="s">
        <v>4044</v>
      </c>
    </row>
    <row r="4882" spans="1:102" x14ac:dyDescent="0.3">
      <c r="A4882" t="str">
        <f>HYPERLINK("https://webapp.icbf.com/v2/app/bull-search/view/77856634","HUE")</f>
        <v>HUE</v>
      </c>
      <c r="B4882" t="s">
        <v>1468</v>
      </c>
      <c r="C4882" t="s">
        <v>1469</v>
      </c>
      <c r="D4882" s="1">
        <v>34582</v>
      </c>
      <c r="E4882" t="s">
        <v>92</v>
      </c>
      <c r="F4882">
        <v>100</v>
      </c>
      <c r="G4882" t="s">
        <v>93</v>
      </c>
      <c r="H4882">
        <v>-206.48</v>
      </c>
      <c r="I4882">
        <v>91</v>
      </c>
      <c r="J4882">
        <v>-36.950000000000003</v>
      </c>
      <c r="K4882">
        <v>98</v>
      </c>
      <c r="L4882">
        <v>-141.05000000000001</v>
      </c>
      <c r="M4882">
        <v>91</v>
      </c>
      <c r="N4882">
        <v>-15.08</v>
      </c>
      <c r="O4882">
        <v>85</v>
      </c>
      <c r="P4882">
        <v>-2.91</v>
      </c>
      <c r="Q4882">
        <v>90</v>
      </c>
      <c r="R4882">
        <v>-8.77</v>
      </c>
      <c r="S4882">
        <v>84</v>
      </c>
      <c r="T4882">
        <v>0.36</v>
      </c>
      <c r="U4882">
        <v>83</v>
      </c>
      <c r="V4882">
        <v>-2.08</v>
      </c>
      <c r="W4882">
        <v>72</v>
      </c>
      <c r="X4882" t="s">
        <v>276</v>
      </c>
      <c r="Y4882" t="s">
        <v>95</v>
      </c>
      <c r="Z4882" t="s">
        <v>96</v>
      </c>
      <c r="AA4882" t="s">
        <v>564</v>
      </c>
      <c r="AB4882" t="s">
        <v>1470</v>
      </c>
      <c r="AC4882">
        <v>129</v>
      </c>
      <c r="AD4882">
        <v>75</v>
      </c>
      <c r="AE4882">
        <v>98</v>
      </c>
      <c r="AF4882">
        <v>291.42</v>
      </c>
      <c r="AG4882">
        <v>-3.46</v>
      </c>
      <c r="AH4882">
        <v>-0.6</v>
      </c>
      <c r="AI4882">
        <v>-0.25</v>
      </c>
      <c r="AJ4882">
        <v>-0.17</v>
      </c>
      <c r="AK4882">
        <v>91</v>
      </c>
      <c r="AL4882">
        <v>117</v>
      </c>
      <c r="AM4882">
        <v>54</v>
      </c>
      <c r="AN4882">
        <v>6.8</v>
      </c>
      <c r="AO4882">
        <v>-4.46</v>
      </c>
      <c r="AP4882">
        <v>63</v>
      </c>
      <c r="AQ4882">
        <v>0</v>
      </c>
      <c r="AR4882">
        <v>10.72</v>
      </c>
      <c r="AS4882">
        <v>81</v>
      </c>
      <c r="AT4882">
        <v>4.8</v>
      </c>
      <c r="AU4882">
        <v>93</v>
      </c>
      <c r="AV4882">
        <v>-1.05</v>
      </c>
      <c r="AW4882">
        <v>85</v>
      </c>
      <c r="AX4882">
        <v>-0.08</v>
      </c>
      <c r="AY4882">
        <v>84</v>
      </c>
      <c r="AZ4882">
        <v>5.41</v>
      </c>
      <c r="BA4882">
        <v>74</v>
      </c>
      <c r="BB4882">
        <v>4.53</v>
      </c>
      <c r="BC4882">
        <v>75</v>
      </c>
      <c r="BD4882">
        <v>0.01</v>
      </c>
      <c r="BE4882">
        <v>0.05</v>
      </c>
      <c r="BF4882">
        <v>0.09</v>
      </c>
      <c r="BG4882">
        <v>94</v>
      </c>
      <c r="BH4882">
        <v>-0.15</v>
      </c>
      <c r="BI4882">
        <v>-10.64</v>
      </c>
      <c r="BJ4882">
        <v>55</v>
      </c>
      <c r="BK4882">
        <v>29</v>
      </c>
      <c r="BL4882">
        <v>0.45</v>
      </c>
      <c r="BM4882">
        <v>-0.8</v>
      </c>
      <c r="BN4882">
        <v>-0.28999999999999998</v>
      </c>
      <c r="BO4882">
        <v>0.51</v>
      </c>
      <c r="BP4882">
        <v>-1.8</v>
      </c>
      <c r="BQ4882">
        <v>0.57999999999999996</v>
      </c>
      <c r="BR4882">
        <v>2.58</v>
      </c>
      <c r="BS4882">
        <v>-0.13</v>
      </c>
      <c r="BT4882">
        <v>-1.81</v>
      </c>
      <c r="BU4882">
        <v>1.45</v>
      </c>
      <c r="BV4882">
        <v>1.02</v>
      </c>
      <c r="BW4882">
        <v>0.68</v>
      </c>
      <c r="BX4882">
        <v>1.51</v>
      </c>
      <c r="BY4882">
        <v>-0.12</v>
      </c>
      <c r="BZ4882">
        <v>0.39</v>
      </c>
      <c r="CA4882">
        <v>0.37</v>
      </c>
      <c r="CB4882">
        <v>0.68</v>
      </c>
      <c r="CC4882">
        <v>-0.59</v>
      </c>
      <c r="CD4882">
        <v>-0.85</v>
      </c>
      <c r="CE4882">
        <v>1.08</v>
      </c>
      <c r="CF4882">
        <v>0.38</v>
      </c>
      <c r="CG4882">
        <v>0</v>
      </c>
      <c r="CH4882">
        <v>-0.17</v>
      </c>
      <c r="CI4882">
        <v>0</v>
      </c>
      <c r="CJ4882">
        <v>0.8</v>
      </c>
      <c r="CK4882">
        <v>91</v>
      </c>
      <c r="CL4882">
        <v>-0.74</v>
      </c>
      <c r="CM4882">
        <v>89</v>
      </c>
      <c r="CN4882">
        <v>-0.27</v>
      </c>
      <c r="CO4882">
        <v>88</v>
      </c>
      <c r="CP4882">
        <v>3.1</v>
      </c>
      <c r="CQ4882">
        <v>93</v>
      </c>
      <c r="CR4882">
        <v>0</v>
      </c>
      <c r="CS4882">
        <v>0</v>
      </c>
      <c r="CT4882">
        <v>13.3</v>
      </c>
      <c r="CU4882">
        <v>83</v>
      </c>
      <c r="CV4882">
        <v>0.12</v>
      </c>
      <c r="CW4882">
        <v>44</v>
      </c>
      <c r="CX4882" t="s">
        <v>543</v>
      </c>
    </row>
    <row r="4883" spans="1:102" x14ac:dyDescent="0.3">
      <c r="A4883" t="str">
        <f>HYPERLINK("https://webapp.icbf.com/v2/app/bull-search/view/586039810","S788")</f>
        <v>S788</v>
      </c>
      <c r="B4883" t="s">
        <v>12523</v>
      </c>
      <c r="C4883" t="s">
        <v>12524</v>
      </c>
      <c r="D4883" s="1">
        <v>38198</v>
      </c>
      <c r="E4883" t="s">
        <v>92</v>
      </c>
      <c r="F4883">
        <v>100</v>
      </c>
      <c r="G4883" t="s">
        <v>109</v>
      </c>
      <c r="H4883">
        <v>-206.54</v>
      </c>
      <c r="I4883">
        <v>87</v>
      </c>
      <c r="J4883">
        <v>38.81</v>
      </c>
      <c r="K4883">
        <v>96</v>
      </c>
      <c r="L4883">
        <v>-238.52</v>
      </c>
      <c r="M4883">
        <v>89</v>
      </c>
      <c r="N4883">
        <v>10.93</v>
      </c>
      <c r="O4883">
        <v>80</v>
      </c>
      <c r="P4883">
        <v>-12.07</v>
      </c>
      <c r="Q4883">
        <v>83</v>
      </c>
      <c r="R4883">
        <v>1.55</v>
      </c>
      <c r="S4883">
        <v>80</v>
      </c>
      <c r="T4883">
        <v>3.24</v>
      </c>
      <c r="U4883">
        <v>71</v>
      </c>
      <c r="V4883">
        <v>-10.48</v>
      </c>
      <c r="W4883">
        <v>68</v>
      </c>
      <c r="X4883" t="s">
        <v>94</v>
      </c>
      <c r="Y4883" t="s">
        <v>1494</v>
      </c>
      <c r="Z4883" t="s">
        <v>96</v>
      </c>
      <c r="AA4883" t="s">
        <v>9192</v>
      </c>
      <c r="AB4883" t="s">
        <v>12525</v>
      </c>
      <c r="AC4883">
        <v>35</v>
      </c>
      <c r="AD4883">
        <v>19</v>
      </c>
      <c r="AE4883">
        <v>96</v>
      </c>
      <c r="AF4883">
        <v>256.33999999999997</v>
      </c>
      <c r="AG4883">
        <v>9.99</v>
      </c>
      <c r="AH4883">
        <v>6.99</v>
      </c>
      <c r="AI4883">
        <v>0</v>
      </c>
      <c r="AJ4883">
        <v>-0.03</v>
      </c>
      <c r="AK4883">
        <v>89</v>
      </c>
      <c r="AL4883">
        <v>27</v>
      </c>
      <c r="AM4883">
        <v>15</v>
      </c>
      <c r="AN4883">
        <v>13.94</v>
      </c>
      <c r="AO4883">
        <v>-5.07</v>
      </c>
      <c r="AP4883">
        <v>92</v>
      </c>
      <c r="AQ4883">
        <v>0</v>
      </c>
      <c r="AR4883">
        <v>4.68</v>
      </c>
      <c r="AS4883">
        <v>78</v>
      </c>
      <c r="AT4883">
        <v>2.39</v>
      </c>
      <c r="AU4883">
        <v>92</v>
      </c>
      <c r="AV4883">
        <v>-0.96</v>
      </c>
      <c r="AW4883">
        <v>85</v>
      </c>
      <c r="AX4883">
        <v>2.19</v>
      </c>
      <c r="AY4883">
        <v>73</v>
      </c>
      <c r="AZ4883">
        <v>6.68</v>
      </c>
      <c r="BA4883">
        <v>57</v>
      </c>
      <c r="BB4883">
        <v>5.6</v>
      </c>
      <c r="BC4883">
        <v>56</v>
      </c>
      <c r="BD4883">
        <v>-0.01</v>
      </c>
      <c r="BE4883">
        <v>-0.01</v>
      </c>
      <c r="BF4883">
        <v>0</v>
      </c>
      <c r="BG4883">
        <v>93</v>
      </c>
      <c r="BH4883">
        <v>-0.34</v>
      </c>
      <c r="BI4883">
        <v>-5.53</v>
      </c>
      <c r="BJ4883">
        <v>22</v>
      </c>
      <c r="BK4883">
        <v>10</v>
      </c>
      <c r="BL4883">
        <v>1.02</v>
      </c>
      <c r="BM4883">
        <v>-2.14</v>
      </c>
      <c r="BN4883">
        <v>1.08</v>
      </c>
      <c r="BO4883">
        <v>2.11</v>
      </c>
      <c r="BP4883">
        <v>-1.4</v>
      </c>
      <c r="BQ4883">
        <v>3.03</v>
      </c>
      <c r="BR4883">
        <v>0.7</v>
      </c>
      <c r="BS4883">
        <v>1.91</v>
      </c>
      <c r="BT4883">
        <v>-0.49</v>
      </c>
      <c r="BU4883">
        <v>2.73</v>
      </c>
      <c r="BV4883">
        <v>2.93</v>
      </c>
      <c r="BW4883">
        <v>1.46</v>
      </c>
      <c r="BX4883">
        <v>1.1100000000000001</v>
      </c>
      <c r="BY4883">
        <v>1.23</v>
      </c>
      <c r="BZ4883">
        <v>0.8</v>
      </c>
      <c r="CA4883">
        <v>2.15</v>
      </c>
      <c r="CB4883">
        <v>1.93</v>
      </c>
      <c r="CC4883">
        <v>1.38</v>
      </c>
      <c r="CD4883">
        <v>-2.2999999999999998</v>
      </c>
      <c r="CE4883">
        <v>1.84</v>
      </c>
      <c r="CF4883">
        <v>1.49</v>
      </c>
      <c r="CG4883">
        <v>0</v>
      </c>
      <c r="CH4883">
        <v>1.42</v>
      </c>
      <c r="CI4883">
        <v>0</v>
      </c>
      <c r="CJ4883">
        <v>-3.5</v>
      </c>
      <c r="CK4883">
        <v>85</v>
      </c>
      <c r="CL4883">
        <v>-1.42</v>
      </c>
      <c r="CM4883">
        <v>82</v>
      </c>
      <c r="CN4883">
        <v>-0.7</v>
      </c>
      <c r="CO4883">
        <v>80</v>
      </c>
      <c r="CP4883">
        <v>-5.2</v>
      </c>
      <c r="CQ4883">
        <v>77</v>
      </c>
      <c r="CR4883">
        <v>0</v>
      </c>
      <c r="CS4883">
        <v>0</v>
      </c>
      <c r="CT4883">
        <v>9.4</v>
      </c>
      <c r="CU4883">
        <v>71</v>
      </c>
      <c r="CV4883">
        <v>0.33</v>
      </c>
      <c r="CW4883">
        <v>42</v>
      </c>
      <c r="CX4883" t="s">
        <v>2846</v>
      </c>
    </row>
    <row r="4884" spans="1:102" x14ac:dyDescent="0.3">
      <c r="A4884" t="str">
        <f>HYPERLINK("https://webapp.icbf.com/v2/app/bull-search/view/77855947","KLB")</f>
        <v>KLB</v>
      </c>
      <c r="B4884" t="s">
        <v>12402</v>
      </c>
      <c r="C4884" t="s">
        <v>12403</v>
      </c>
      <c r="D4884" s="1">
        <v>34663</v>
      </c>
      <c r="E4884" t="s">
        <v>92</v>
      </c>
      <c r="F4884">
        <v>100</v>
      </c>
      <c r="G4884" t="s">
        <v>109</v>
      </c>
      <c r="H4884">
        <v>-206.64</v>
      </c>
      <c r="I4884">
        <v>64</v>
      </c>
      <c r="J4884">
        <v>-90.98</v>
      </c>
      <c r="K4884">
        <v>78</v>
      </c>
      <c r="L4884">
        <v>-86.8</v>
      </c>
      <c r="M4884">
        <v>73</v>
      </c>
      <c r="N4884">
        <v>-3.16</v>
      </c>
      <c r="O4884">
        <v>45</v>
      </c>
      <c r="P4884">
        <v>-5.76</v>
      </c>
      <c r="Q4884">
        <v>43</v>
      </c>
      <c r="R4884">
        <v>-13.03</v>
      </c>
      <c r="S4884">
        <v>58</v>
      </c>
      <c r="T4884">
        <v>-7.93</v>
      </c>
      <c r="U4884">
        <v>39</v>
      </c>
      <c r="V4884">
        <v>1.02</v>
      </c>
      <c r="W4884">
        <v>28</v>
      </c>
      <c r="X4884" t="s">
        <v>94</v>
      </c>
      <c r="Y4884" t="s">
        <v>95</v>
      </c>
      <c r="Z4884" t="s">
        <v>96</v>
      </c>
      <c r="AA4884" t="s">
        <v>9705</v>
      </c>
      <c r="AB4884" t="s">
        <v>8724</v>
      </c>
      <c r="AC4884">
        <v>0</v>
      </c>
      <c r="AD4884">
        <v>0</v>
      </c>
      <c r="AE4884">
        <v>78</v>
      </c>
      <c r="AF4884">
        <v>-289.25</v>
      </c>
      <c r="AG4884">
        <v>-12.13</v>
      </c>
      <c r="AH4884">
        <v>-15.61</v>
      </c>
      <c r="AI4884">
        <v>-0.01</v>
      </c>
      <c r="AJ4884">
        <v>-0.1</v>
      </c>
      <c r="AK4884">
        <v>73</v>
      </c>
      <c r="AL4884">
        <v>0</v>
      </c>
      <c r="AM4884">
        <v>0</v>
      </c>
      <c r="AN4884">
        <v>1</v>
      </c>
      <c r="AO4884">
        <v>-5.97</v>
      </c>
      <c r="AP4884">
        <v>1</v>
      </c>
      <c r="AQ4884">
        <v>2</v>
      </c>
      <c r="AR4884">
        <v>8.61</v>
      </c>
      <c r="AS4884">
        <v>29</v>
      </c>
      <c r="AT4884">
        <v>4.33</v>
      </c>
      <c r="AU4884">
        <v>76</v>
      </c>
      <c r="AV4884">
        <v>-1.64</v>
      </c>
      <c r="AW4884">
        <v>38</v>
      </c>
      <c r="AX4884">
        <v>-0.1</v>
      </c>
      <c r="AY4884">
        <v>37</v>
      </c>
      <c r="AZ4884">
        <v>6.25</v>
      </c>
      <c r="BA4884">
        <v>27</v>
      </c>
      <c r="BB4884">
        <v>5.41</v>
      </c>
      <c r="BC4884">
        <v>29</v>
      </c>
      <c r="BD4884">
        <v>7.0000000000000007E-2</v>
      </c>
      <c r="BE4884">
        <v>7.0000000000000007E-2</v>
      </c>
      <c r="BF4884">
        <v>0.05</v>
      </c>
      <c r="BG4884">
        <v>83</v>
      </c>
      <c r="BH4884">
        <v>0.1</v>
      </c>
      <c r="BI4884">
        <v>8.27</v>
      </c>
      <c r="BJ4884">
        <v>1</v>
      </c>
      <c r="BK4884">
        <v>1</v>
      </c>
      <c r="BL4884">
        <v>0.86</v>
      </c>
      <c r="BM4884">
        <v>1.64</v>
      </c>
      <c r="BN4884">
        <v>1.71</v>
      </c>
      <c r="BO4884">
        <v>-0.15</v>
      </c>
      <c r="BP4884">
        <v>-0.48</v>
      </c>
      <c r="BQ4884">
        <v>2.75</v>
      </c>
      <c r="BR4884">
        <v>0.39</v>
      </c>
      <c r="BS4884">
        <v>-0.78</v>
      </c>
      <c r="BT4884">
        <v>-0.64</v>
      </c>
      <c r="BU4884">
        <v>0.61</v>
      </c>
      <c r="BV4884">
        <v>-0.34</v>
      </c>
      <c r="BW4884">
        <v>-0.38</v>
      </c>
      <c r="BX4884">
        <v>-0.08</v>
      </c>
      <c r="BY4884">
        <v>-0.82</v>
      </c>
      <c r="BZ4884">
        <v>1.72</v>
      </c>
      <c r="CA4884">
        <v>0.18</v>
      </c>
      <c r="CB4884">
        <v>0</v>
      </c>
      <c r="CC4884">
        <v>0.66</v>
      </c>
      <c r="CD4884">
        <v>1.1100000000000001</v>
      </c>
      <c r="CE4884">
        <v>0.38</v>
      </c>
      <c r="CF4884">
        <v>2.4</v>
      </c>
      <c r="CG4884">
        <v>0</v>
      </c>
      <c r="CH4884">
        <v>1.1000000000000001</v>
      </c>
      <c r="CI4884">
        <v>0</v>
      </c>
      <c r="CJ4884">
        <v>-3.5</v>
      </c>
      <c r="CK4884">
        <v>45</v>
      </c>
      <c r="CL4884">
        <v>-0.84</v>
      </c>
      <c r="CM4884">
        <v>42</v>
      </c>
      <c r="CN4884">
        <v>-0.57999999999999996</v>
      </c>
      <c r="CO4884">
        <v>39</v>
      </c>
      <c r="CP4884">
        <v>6.3</v>
      </c>
      <c r="CQ4884">
        <v>44</v>
      </c>
      <c r="CR4884">
        <v>0</v>
      </c>
      <c r="CS4884">
        <v>0</v>
      </c>
      <c r="CT4884">
        <v>24.5</v>
      </c>
      <c r="CU4884">
        <v>39</v>
      </c>
      <c r="CV4884">
        <v>0.13</v>
      </c>
      <c r="CW4884">
        <v>12</v>
      </c>
      <c r="CX4884" t="s">
        <v>111</v>
      </c>
    </row>
    <row r="4885" spans="1:102" x14ac:dyDescent="0.3">
      <c r="A4885" t="str">
        <f>HYPERLINK("https://webapp.icbf.com/v2/app/bull-search/view/586050787","S810")</f>
        <v>S810</v>
      </c>
      <c r="B4885" t="s">
        <v>12776</v>
      </c>
      <c r="C4885" t="s">
        <v>12777</v>
      </c>
      <c r="D4885" s="1">
        <v>37912</v>
      </c>
      <c r="E4885" t="s">
        <v>92</v>
      </c>
      <c r="F4885">
        <v>100</v>
      </c>
      <c r="G4885" t="s">
        <v>109</v>
      </c>
      <c r="H4885">
        <v>-207.04</v>
      </c>
      <c r="I4885">
        <v>83</v>
      </c>
      <c r="J4885">
        <v>22.61</v>
      </c>
      <c r="K4885">
        <v>95</v>
      </c>
      <c r="L4885">
        <v>-228.14</v>
      </c>
      <c r="M4885">
        <v>88</v>
      </c>
      <c r="N4885">
        <v>7.63</v>
      </c>
      <c r="O4885">
        <v>71</v>
      </c>
      <c r="P4885">
        <v>-10.199999999999999</v>
      </c>
      <c r="Q4885">
        <v>60</v>
      </c>
      <c r="R4885">
        <v>3.19</v>
      </c>
      <c r="S4885">
        <v>77</v>
      </c>
      <c r="T4885">
        <v>4.8</v>
      </c>
      <c r="U4885">
        <v>58</v>
      </c>
      <c r="V4885">
        <v>-6.93</v>
      </c>
      <c r="W4885">
        <v>64</v>
      </c>
      <c r="X4885" t="s">
        <v>94</v>
      </c>
      <c r="Y4885" t="s">
        <v>1494</v>
      </c>
      <c r="Z4885" t="s">
        <v>96</v>
      </c>
      <c r="AA4885" t="s">
        <v>1707</v>
      </c>
      <c r="AB4885" t="s">
        <v>12778</v>
      </c>
      <c r="AC4885">
        <v>0</v>
      </c>
      <c r="AD4885">
        <v>0</v>
      </c>
      <c r="AE4885">
        <v>95</v>
      </c>
      <c r="AF4885">
        <v>126.49</v>
      </c>
      <c r="AG4885">
        <v>4.13</v>
      </c>
      <c r="AH4885">
        <v>4.32</v>
      </c>
      <c r="AI4885">
        <v>-0.01</v>
      </c>
      <c r="AJ4885">
        <v>0</v>
      </c>
      <c r="AK4885">
        <v>88</v>
      </c>
      <c r="AL4885">
        <v>0</v>
      </c>
      <c r="AM4885">
        <v>0</v>
      </c>
      <c r="AN4885">
        <v>13.5</v>
      </c>
      <c r="AO4885">
        <v>-4.68</v>
      </c>
      <c r="AP4885">
        <v>14</v>
      </c>
      <c r="AQ4885">
        <v>0</v>
      </c>
      <c r="AR4885">
        <v>8.15</v>
      </c>
      <c r="AS4885">
        <v>64</v>
      </c>
      <c r="AT4885">
        <v>4.3899999999999997</v>
      </c>
      <c r="AU4885">
        <v>92</v>
      </c>
      <c r="AV4885">
        <v>-2.98</v>
      </c>
      <c r="AW4885">
        <v>72</v>
      </c>
      <c r="AX4885">
        <v>0.95</v>
      </c>
      <c r="AY4885">
        <v>56</v>
      </c>
      <c r="AZ4885">
        <v>6.51</v>
      </c>
      <c r="BA4885">
        <v>51</v>
      </c>
      <c r="BB4885">
        <v>4.93</v>
      </c>
      <c r="BC4885">
        <v>52</v>
      </c>
      <c r="BD4885">
        <v>-0.05</v>
      </c>
      <c r="BE4885">
        <v>0</v>
      </c>
      <c r="BF4885">
        <v>0.01</v>
      </c>
      <c r="BG4885">
        <v>92</v>
      </c>
      <c r="BH4885">
        <v>-0.16</v>
      </c>
      <c r="BI4885">
        <v>3.84</v>
      </c>
      <c r="BJ4885">
        <v>4</v>
      </c>
      <c r="BK4885">
        <v>2</v>
      </c>
      <c r="BL4885">
        <v>1.54</v>
      </c>
      <c r="BM4885">
        <v>-1.28</v>
      </c>
      <c r="BN4885">
        <v>2.15</v>
      </c>
      <c r="BO4885">
        <v>2.4700000000000002</v>
      </c>
      <c r="BP4885">
        <v>-0.24</v>
      </c>
      <c r="BQ4885">
        <v>1.45</v>
      </c>
      <c r="BR4885">
        <v>1.66</v>
      </c>
      <c r="BS4885">
        <v>-0.47</v>
      </c>
      <c r="BT4885">
        <v>-1.68</v>
      </c>
      <c r="BU4885">
        <v>2.11</v>
      </c>
      <c r="BV4885">
        <v>2.71</v>
      </c>
      <c r="BW4885">
        <v>1.69</v>
      </c>
      <c r="BX4885">
        <v>1.41</v>
      </c>
      <c r="BY4885">
        <v>0.27</v>
      </c>
      <c r="BZ4885">
        <v>-0.47</v>
      </c>
      <c r="CA4885">
        <v>1.65</v>
      </c>
      <c r="CB4885">
        <v>1.93</v>
      </c>
      <c r="CC4885">
        <v>0.51</v>
      </c>
      <c r="CD4885">
        <v>-2.34</v>
      </c>
      <c r="CE4885">
        <v>1.69</v>
      </c>
      <c r="CF4885">
        <v>1.52</v>
      </c>
      <c r="CG4885">
        <v>0</v>
      </c>
      <c r="CH4885">
        <v>0.16</v>
      </c>
      <c r="CI4885">
        <v>0</v>
      </c>
      <c r="CJ4885">
        <v>-3.2</v>
      </c>
      <c r="CK4885">
        <v>62</v>
      </c>
      <c r="CL4885">
        <v>-1.39</v>
      </c>
      <c r="CM4885">
        <v>58</v>
      </c>
      <c r="CN4885">
        <v>-0.78</v>
      </c>
      <c r="CO4885">
        <v>56</v>
      </c>
      <c r="CP4885">
        <v>-3.8</v>
      </c>
      <c r="CQ4885">
        <v>62</v>
      </c>
      <c r="CR4885">
        <v>0</v>
      </c>
      <c r="CS4885">
        <v>0</v>
      </c>
      <c r="CT4885">
        <v>7.3</v>
      </c>
      <c r="CU4885">
        <v>58</v>
      </c>
      <c r="CV4885">
        <v>0.22</v>
      </c>
      <c r="CW4885">
        <v>38</v>
      </c>
      <c r="CX4885" t="s">
        <v>2743</v>
      </c>
    </row>
    <row r="4886" spans="1:102" x14ac:dyDescent="0.3">
      <c r="A4886" t="str">
        <f>HYPERLINK("https://webapp.icbf.com/v2/app/bull-search/view/380532932","BPZ")</f>
        <v>BPZ</v>
      </c>
      <c r="B4886" t="s">
        <v>9944</v>
      </c>
      <c r="C4886" t="s">
        <v>9945</v>
      </c>
      <c r="D4886" s="1">
        <v>36838</v>
      </c>
      <c r="E4886" t="s">
        <v>92</v>
      </c>
      <c r="F4886">
        <v>100</v>
      </c>
      <c r="G4886" t="s">
        <v>93</v>
      </c>
      <c r="H4886">
        <v>-207.55</v>
      </c>
      <c r="I4886">
        <v>89</v>
      </c>
      <c r="J4886">
        <v>5.4</v>
      </c>
      <c r="K4886">
        <v>96</v>
      </c>
      <c r="L4886">
        <v>-182.46</v>
      </c>
      <c r="M4886">
        <v>92</v>
      </c>
      <c r="N4886">
        <v>-21.83</v>
      </c>
      <c r="O4886">
        <v>82</v>
      </c>
      <c r="P4886">
        <v>-4.0199999999999996</v>
      </c>
      <c r="Q4886">
        <v>84</v>
      </c>
      <c r="R4886">
        <v>-2.17</v>
      </c>
      <c r="S4886">
        <v>83</v>
      </c>
      <c r="T4886">
        <v>-1.42</v>
      </c>
      <c r="U4886">
        <v>70</v>
      </c>
      <c r="V4886">
        <v>-1.05</v>
      </c>
      <c r="W4886">
        <v>75</v>
      </c>
      <c r="X4886" t="s">
        <v>94</v>
      </c>
      <c r="Y4886" t="s">
        <v>1215</v>
      </c>
      <c r="Z4886" t="s">
        <v>96</v>
      </c>
      <c r="AA4886" t="s">
        <v>1273</v>
      </c>
      <c r="AB4886" t="s">
        <v>4043</v>
      </c>
      <c r="AC4886">
        <v>50</v>
      </c>
      <c r="AD4886">
        <v>32</v>
      </c>
      <c r="AE4886">
        <v>96</v>
      </c>
      <c r="AF4886">
        <v>182.37</v>
      </c>
      <c r="AG4886">
        <v>5.68</v>
      </c>
      <c r="AH4886">
        <v>1.7</v>
      </c>
      <c r="AI4886">
        <v>-0.02</v>
      </c>
      <c r="AJ4886">
        <v>-0.08</v>
      </c>
      <c r="AK4886">
        <v>92</v>
      </c>
      <c r="AL4886">
        <v>45</v>
      </c>
      <c r="AM4886">
        <v>28</v>
      </c>
      <c r="AN4886">
        <v>10.02</v>
      </c>
      <c r="AO4886">
        <v>-4.53</v>
      </c>
      <c r="AP4886">
        <v>109</v>
      </c>
      <c r="AQ4886">
        <v>1</v>
      </c>
      <c r="AR4886">
        <v>8.81</v>
      </c>
      <c r="AS4886">
        <v>74</v>
      </c>
      <c r="AT4886">
        <v>4.88</v>
      </c>
      <c r="AU4886">
        <v>92</v>
      </c>
      <c r="AV4886">
        <v>-0.09</v>
      </c>
      <c r="AW4886">
        <v>88</v>
      </c>
      <c r="AX4886">
        <v>1.1599999999999999</v>
      </c>
      <c r="AY4886">
        <v>71</v>
      </c>
      <c r="AZ4886">
        <v>6.12</v>
      </c>
      <c r="BA4886">
        <v>62</v>
      </c>
      <c r="BB4886">
        <v>4.71</v>
      </c>
      <c r="BC4886">
        <v>61</v>
      </c>
      <c r="BD4886">
        <v>0.03</v>
      </c>
      <c r="BE4886">
        <v>0</v>
      </c>
      <c r="BF4886">
        <v>0</v>
      </c>
      <c r="BG4886">
        <v>94</v>
      </c>
      <c r="BH4886">
        <v>7.0000000000000007E-2</v>
      </c>
      <c r="BI4886">
        <v>11.5</v>
      </c>
      <c r="BJ4886">
        <v>22</v>
      </c>
      <c r="BK4886">
        <v>15</v>
      </c>
      <c r="BL4886">
        <v>1.83</v>
      </c>
      <c r="BM4886">
        <v>0.3</v>
      </c>
      <c r="BN4886">
        <v>3.4</v>
      </c>
      <c r="BO4886">
        <v>1.95</v>
      </c>
      <c r="BP4886">
        <v>1.1399999999999999</v>
      </c>
      <c r="BQ4886">
        <v>1.87</v>
      </c>
      <c r="BR4886">
        <v>0.35</v>
      </c>
      <c r="BS4886">
        <v>0.69</v>
      </c>
      <c r="BT4886">
        <v>0.76</v>
      </c>
      <c r="BU4886">
        <v>0.62</v>
      </c>
      <c r="BV4886">
        <v>0.64</v>
      </c>
      <c r="BW4886">
        <v>0.68</v>
      </c>
      <c r="BX4886">
        <v>0.51</v>
      </c>
      <c r="BY4886">
        <v>-0.11</v>
      </c>
      <c r="BZ4886">
        <v>2.67</v>
      </c>
      <c r="CA4886">
        <v>0.96</v>
      </c>
      <c r="CB4886">
        <v>1</v>
      </c>
      <c r="CC4886">
        <v>1.32</v>
      </c>
      <c r="CD4886">
        <v>-1.73</v>
      </c>
      <c r="CE4886">
        <v>1.85</v>
      </c>
      <c r="CF4886">
        <v>2.34</v>
      </c>
      <c r="CG4886">
        <v>0</v>
      </c>
      <c r="CH4886">
        <v>0.03</v>
      </c>
      <c r="CI4886">
        <v>0</v>
      </c>
      <c r="CJ4886">
        <v>1.8</v>
      </c>
      <c r="CK4886">
        <v>85</v>
      </c>
      <c r="CL4886">
        <v>-1.35</v>
      </c>
      <c r="CM4886">
        <v>83</v>
      </c>
      <c r="CN4886">
        <v>-0.6</v>
      </c>
      <c r="CO4886">
        <v>80</v>
      </c>
      <c r="CP4886">
        <v>2.7</v>
      </c>
      <c r="CQ4886">
        <v>83</v>
      </c>
      <c r="CR4886">
        <v>0</v>
      </c>
      <c r="CS4886">
        <v>0</v>
      </c>
      <c r="CT4886">
        <v>15.7</v>
      </c>
      <c r="CU4886">
        <v>70</v>
      </c>
      <c r="CV4886">
        <v>0.28999999999999998</v>
      </c>
      <c r="CW4886">
        <v>43</v>
      </c>
      <c r="CX4886" t="s">
        <v>4044</v>
      </c>
    </row>
    <row r="4887" spans="1:102" x14ac:dyDescent="0.3">
      <c r="A4887" t="str">
        <f>HYPERLINK("https://webapp.icbf.com/v2/app/bull-search/view/77855764","LKS")</f>
        <v>LKS</v>
      </c>
      <c r="B4887" t="s">
        <v>6595</v>
      </c>
      <c r="C4887" t="s">
        <v>6596</v>
      </c>
      <c r="D4887" s="1">
        <v>35159</v>
      </c>
      <c r="E4887" t="s">
        <v>92</v>
      </c>
      <c r="F4887">
        <v>100</v>
      </c>
      <c r="G4887" t="s">
        <v>93</v>
      </c>
      <c r="H4887">
        <v>-207.63</v>
      </c>
      <c r="I4887">
        <v>86</v>
      </c>
      <c r="J4887">
        <v>-29.46</v>
      </c>
      <c r="K4887">
        <v>97</v>
      </c>
      <c r="L4887">
        <v>-133.53</v>
      </c>
      <c r="M4887">
        <v>82</v>
      </c>
      <c r="N4887">
        <v>-37.340000000000003</v>
      </c>
      <c r="O4887">
        <v>77</v>
      </c>
      <c r="P4887">
        <v>-1.62</v>
      </c>
      <c r="Q4887">
        <v>86</v>
      </c>
      <c r="R4887">
        <v>-12.06</v>
      </c>
      <c r="S4887">
        <v>81</v>
      </c>
      <c r="T4887">
        <v>6.8</v>
      </c>
      <c r="U4887">
        <v>76</v>
      </c>
      <c r="V4887">
        <v>-0.42</v>
      </c>
      <c r="W4887">
        <v>71</v>
      </c>
      <c r="X4887" t="s">
        <v>94</v>
      </c>
      <c r="Y4887" t="s">
        <v>95</v>
      </c>
      <c r="Z4887" t="s">
        <v>96</v>
      </c>
      <c r="AA4887" t="s">
        <v>564</v>
      </c>
      <c r="AB4887" t="s">
        <v>6597</v>
      </c>
      <c r="AC4887">
        <v>110</v>
      </c>
      <c r="AD4887">
        <v>89</v>
      </c>
      <c r="AE4887">
        <v>97</v>
      </c>
      <c r="AF4887">
        <v>63.27</v>
      </c>
      <c r="AG4887">
        <v>-0.88</v>
      </c>
      <c r="AH4887">
        <v>-3.73</v>
      </c>
      <c r="AI4887">
        <v>-0.06</v>
      </c>
      <c r="AJ4887">
        <v>-0.1</v>
      </c>
      <c r="AK4887">
        <v>82</v>
      </c>
      <c r="AL4887">
        <v>102</v>
      </c>
      <c r="AM4887">
        <v>79</v>
      </c>
      <c r="AN4887">
        <v>7.22</v>
      </c>
      <c r="AO4887">
        <v>-3.43</v>
      </c>
      <c r="AP4887">
        <v>15</v>
      </c>
      <c r="AQ4887">
        <v>0</v>
      </c>
      <c r="AR4887">
        <v>11.76</v>
      </c>
      <c r="AS4887">
        <v>66</v>
      </c>
      <c r="AT4887">
        <v>5.74</v>
      </c>
      <c r="AU4887">
        <v>81</v>
      </c>
      <c r="AV4887">
        <v>-1.2</v>
      </c>
      <c r="AW4887">
        <v>80</v>
      </c>
      <c r="AX4887">
        <v>-0.47</v>
      </c>
      <c r="AY4887">
        <v>81</v>
      </c>
      <c r="AZ4887">
        <v>7.29</v>
      </c>
      <c r="BA4887">
        <v>60</v>
      </c>
      <c r="BB4887">
        <v>5.62</v>
      </c>
      <c r="BC4887">
        <v>70</v>
      </c>
      <c r="BD4887">
        <v>0.02</v>
      </c>
      <c r="BE4887">
        <v>0.06</v>
      </c>
      <c r="BF4887">
        <v>0.13</v>
      </c>
      <c r="BG4887">
        <v>91</v>
      </c>
      <c r="BH4887">
        <v>-0.08</v>
      </c>
      <c r="BI4887">
        <v>-7.91</v>
      </c>
      <c r="BJ4887">
        <v>2</v>
      </c>
      <c r="BK4887">
        <v>2</v>
      </c>
      <c r="BL4887">
        <v>0.42</v>
      </c>
      <c r="BM4887">
        <v>2.58</v>
      </c>
      <c r="BN4887">
        <v>1.89</v>
      </c>
      <c r="BO4887">
        <v>-0.23</v>
      </c>
      <c r="BP4887">
        <v>-0.89</v>
      </c>
      <c r="BQ4887">
        <v>1.26</v>
      </c>
      <c r="BR4887">
        <v>-1.85</v>
      </c>
      <c r="BS4887">
        <v>-0.38</v>
      </c>
      <c r="BT4887">
        <v>2.12</v>
      </c>
      <c r="BU4887">
        <v>-7.0000000000000007E-2</v>
      </c>
      <c r="BV4887">
        <v>0.22</v>
      </c>
      <c r="BW4887">
        <v>0.46</v>
      </c>
      <c r="BX4887">
        <v>-0.92</v>
      </c>
      <c r="BY4887">
        <v>1.1499999999999999</v>
      </c>
      <c r="BZ4887">
        <v>-3.01</v>
      </c>
      <c r="CA4887">
        <v>0.03</v>
      </c>
      <c r="CB4887">
        <v>0.22</v>
      </c>
      <c r="CC4887">
        <v>0.26</v>
      </c>
      <c r="CD4887">
        <v>1.26</v>
      </c>
      <c r="CE4887">
        <v>-0.21</v>
      </c>
      <c r="CF4887">
        <v>7.0000000000000007E-2</v>
      </c>
      <c r="CG4887">
        <v>0</v>
      </c>
      <c r="CH4887">
        <v>1.1299999999999999</v>
      </c>
      <c r="CI4887">
        <v>0</v>
      </c>
      <c r="CJ4887">
        <v>0.8</v>
      </c>
      <c r="CK4887">
        <v>87</v>
      </c>
      <c r="CL4887">
        <v>-0.64</v>
      </c>
      <c r="CM4887">
        <v>85</v>
      </c>
      <c r="CN4887">
        <v>-0.38</v>
      </c>
      <c r="CO4887">
        <v>83</v>
      </c>
      <c r="CP4887">
        <v>-3.8</v>
      </c>
      <c r="CQ4887">
        <v>90</v>
      </c>
      <c r="CR4887">
        <v>0</v>
      </c>
      <c r="CS4887">
        <v>0</v>
      </c>
      <c r="CT4887">
        <v>4.5999999999999996</v>
      </c>
      <c r="CU4887">
        <v>76</v>
      </c>
      <c r="CV4887">
        <v>0.17</v>
      </c>
      <c r="CW4887">
        <v>43</v>
      </c>
      <c r="CX4887" t="s">
        <v>485</v>
      </c>
    </row>
    <row r="4888" spans="1:102" x14ac:dyDescent="0.3">
      <c r="A4888" t="str">
        <f>HYPERLINK("https://webapp.icbf.com/v2/app/bull-search/view/268158481","GDW")</f>
        <v>GDW</v>
      </c>
      <c r="B4888" t="s">
        <v>11680</v>
      </c>
      <c r="C4888" t="s">
        <v>11681</v>
      </c>
      <c r="D4888" s="1">
        <v>35971</v>
      </c>
      <c r="E4888" t="s">
        <v>92</v>
      </c>
      <c r="F4888">
        <v>100</v>
      </c>
      <c r="G4888" t="s">
        <v>93</v>
      </c>
      <c r="H4888">
        <v>-207.67</v>
      </c>
      <c r="I4888">
        <v>90</v>
      </c>
      <c r="J4888">
        <v>19.829999999999998</v>
      </c>
      <c r="K4888">
        <v>97</v>
      </c>
      <c r="L4888">
        <v>-160.12</v>
      </c>
      <c r="M4888">
        <v>89</v>
      </c>
      <c r="N4888">
        <v>-58.4</v>
      </c>
      <c r="O4888">
        <v>86</v>
      </c>
      <c r="P4888">
        <v>-15.11</v>
      </c>
      <c r="Q4888">
        <v>91</v>
      </c>
      <c r="R4888">
        <v>-6.44</v>
      </c>
      <c r="S4888">
        <v>81</v>
      </c>
      <c r="T4888">
        <v>16.489999999999998</v>
      </c>
      <c r="U4888">
        <v>81</v>
      </c>
      <c r="V4888">
        <v>-3.92</v>
      </c>
      <c r="W4888">
        <v>74</v>
      </c>
      <c r="X4888" t="s">
        <v>94</v>
      </c>
      <c r="Y4888" t="s">
        <v>95</v>
      </c>
      <c r="Z4888" t="s">
        <v>96</v>
      </c>
      <c r="AA4888" t="s">
        <v>291</v>
      </c>
      <c r="AB4888" t="s">
        <v>11682</v>
      </c>
      <c r="AC4888">
        <v>112</v>
      </c>
      <c r="AD4888">
        <v>42</v>
      </c>
      <c r="AE4888">
        <v>97</v>
      </c>
      <c r="AF4888">
        <v>116.64</v>
      </c>
      <c r="AG4888">
        <v>6.07</v>
      </c>
      <c r="AH4888">
        <v>3.01</v>
      </c>
      <c r="AI4888">
        <v>0.03</v>
      </c>
      <c r="AJ4888">
        <v>-0.02</v>
      </c>
      <c r="AK4888">
        <v>89</v>
      </c>
      <c r="AL4888">
        <v>88</v>
      </c>
      <c r="AM4888">
        <v>39</v>
      </c>
      <c r="AN4888">
        <v>9.48</v>
      </c>
      <c r="AO4888">
        <v>-3.28</v>
      </c>
      <c r="AP4888">
        <v>179</v>
      </c>
      <c r="AQ4888">
        <v>1</v>
      </c>
      <c r="AR4888">
        <v>13.03</v>
      </c>
      <c r="AS4888">
        <v>86</v>
      </c>
      <c r="AT4888">
        <v>5.55</v>
      </c>
      <c r="AU4888">
        <v>87</v>
      </c>
      <c r="AV4888">
        <v>1.73</v>
      </c>
      <c r="AW4888">
        <v>94</v>
      </c>
      <c r="AX4888">
        <v>0.46</v>
      </c>
      <c r="AY4888">
        <v>83</v>
      </c>
      <c r="AZ4888">
        <v>6.06</v>
      </c>
      <c r="BA4888">
        <v>66</v>
      </c>
      <c r="BB4888">
        <v>4.54</v>
      </c>
      <c r="BC4888">
        <v>65</v>
      </c>
      <c r="BD4888">
        <v>0</v>
      </c>
      <c r="BE4888">
        <v>0.02</v>
      </c>
      <c r="BF4888">
        <v>0.11</v>
      </c>
      <c r="BG4888">
        <v>91</v>
      </c>
      <c r="BH4888">
        <v>-0.12</v>
      </c>
      <c r="BI4888">
        <v>-1.25</v>
      </c>
      <c r="BJ4888">
        <v>23</v>
      </c>
      <c r="BK4888">
        <v>12</v>
      </c>
      <c r="BL4888">
        <v>0.47</v>
      </c>
      <c r="BM4888">
        <v>-3.27</v>
      </c>
      <c r="BN4888">
        <v>-0.56000000000000005</v>
      </c>
      <c r="BO4888">
        <v>1.29</v>
      </c>
      <c r="BP4888">
        <v>-0.03</v>
      </c>
      <c r="BQ4888">
        <v>-1.65</v>
      </c>
      <c r="BR4888">
        <v>0.47</v>
      </c>
      <c r="BS4888">
        <v>0.84</v>
      </c>
      <c r="BT4888">
        <v>0.51</v>
      </c>
      <c r="BU4888">
        <v>1.59</v>
      </c>
      <c r="BV4888">
        <v>2.92</v>
      </c>
      <c r="BW4888">
        <v>1.97</v>
      </c>
      <c r="BX4888">
        <v>0.97</v>
      </c>
      <c r="BY4888">
        <v>1.51</v>
      </c>
      <c r="BZ4888">
        <v>-0.59</v>
      </c>
      <c r="CA4888">
        <v>1.93</v>
      </c>
      <c r="CB4888">
        <v>1.92</v>
      </c>
      <c r="CC4888">
        <v>1.34</v>
      </c>
      <c r="CD4888">
        <v>-1.97</v>
      </c>
      <c r="CE4888">
        <v>1.28</v>
      </c>
      <c r="CF4888">
        <v>0.1</v>
      </c>
      <c r="CG4888">
        <v>0</v>
      </c>
      <c r="CH4888">
        <v>1.1599999999999999</v>
      </c>
      <c r="CI4888">
        <v>0</v>
      </c>
      <c r="CJ4888">
        <v>-8.1999999999999993</v>
      </c>
      <c r="CK4888">
        <v>92</v>
      </c>
      <c r="CL4888">
        <v>-0.74</v>
      </c>
      <c r="CM4888">
        <v>90</v>
      </c>
      <c r="CN4888">
        <v>-0.47</v>
      </c>
      <c r="CO4888">
        <v>89</v>
      </c>
      <c r="CP4888">
        <v>-11.1</v>
      </c>
      <c r="CQ4888">
        <v>91</v>
      </c>
      <c r="CR4888">
        <v>0</v>
      </c>
      <c r="CS4888">
        <v>0</v>
      </c>
      <c r="CT4888">
        <v>-8.5</v>
      </c>
      <c r="CU4888">
        <v>81</v>
      </c>
      <c r="CV4888">
        <v>0.01</v>
      </c>
      <c r="CW4888">
        <v>44</v>
      </c>
      <c r="CX4888" t="s">
        <v>678</v>
      </c>
    </row>
    <row r="4889" spans="1:102" x14ac:dyDescent="0.3">
      <c r="A4889" t="str">
        <f>HYPERLINK("https://webapp.icbf.com/v2/app/bull-search/view/77853151","TMR")</f>
        <v>TMR</v>
      </c>
      <c r="B4889" t="s">
        <v>871</v>
      </c>
      <c r="C4889" t="s">
        <v>872</v>
      </c>
      <c r="D4889" s="1">
        <v>35403</v>
      </c>
      <c r="E4889" t="s">
        <v>92</v>
      </c>
      <c r="F4889">
        <v>100</v>
      </c>
      <c r="G4889" t="s">
        <v>93</v>
      </c>
      <c r="H4889">
        <v>-207.89</v>
      </c>
      <c r="I4889">
        <v>89</v>
      </c>
      <c r="J4889">
        <v>41.57</v>
      </c>
      <c r="K4889">
        <v>98</v>
      </c>
      <c r="L4889">
        <v>-205.1</v>
      </c>
      <c r="M4889">
        <v>84</v>
      </c>
      <c r="N4889">
        <v>-11.08</v>
      </c>
      <c r="O4889">
        <v>82</v>
      </c>
      <c r="P4889">
        <v>-14.56</v>
      </c>
      <c r="Q4889">
        <v>90</v>
      </c>
      <c r="R4889">
        <v>-20.05</v>
      </c>
      <c r="S4889">
        <v>83</v>
      </c>
      <c r="T4889">
        <v>6.65</v>
      </c>
      <c r="U4889">
        <v>86</v>
      </c>
      <c r="V4889">
        <v>-5.32</v>
      </c>
      <c r="W4889">
        <v>74</v>
      </c>
      <c r="X4889" t="s">
        <v>94</v>
      </c>
      <c r="Y4889" t="s">
        <v>95</v>
      </c>
      <c r="Z4889" t="s">
        <v>96</v>
      </c>
      <c r="AA4889" t="s">
        <v>218</v>
      </c>
      <c r="AB4889" t="s">
        <v>873</v>
      </c>
      <c r="AC4889">
        <v>124</v>
      </c>
      <c r="AD4889">
        <v>105</v>
      </c>
      <c r="AE4889">
        <v>98</v>
      </c>
      <c r="AF4889">
        <v>129.32</v>
      </c>
      <c r="AG4889">
        <v>2.4300000000000002</v>
      </c>
      <c r="AH4889">
        <v>8.19</v>
      </c>
      <c r="AI4889">
        <v>-0.05</v>
      </c>
      <c r="AJ4889">
        <v>7.0000000000000007E-2</v>
      </c>
      <c r="AK4889">
        <v>84</v>
      </c>
      <c r="AL4889">
        <v>118</v>
      </c>
      <c r="AM4889">
        <v>97</v>
      </c>
      <c r="AN4889">
        <v>10.9</v>
      </c>
      <c r="AO4889">
        <v>-5.46</v>
      </c>
      <c r="AP4889">
        <v>42</v>
      </c>
      <c r="AQ4889">
        <v>0</v>
      </c>
      <c r="AR4889">
        <v>7.61</v>
      </c>
      <c r="AS4889">
        <v>72</v>
      </c>
      <c r="AT4889">
        <v>4.47</v>
      </c>
      <c r="AU4889">
        <v>85</v>
      </c>
      <c r="AV4889">
        <v>-0.33</v>
      </c>
      <c r="AW4889">
        <v>85</v>
      </c>
      <c r="AX4889">
        <v>0.43</v>
      </c>
      <c r="AY4889">
        <v>84</v>
      </c>
      <c r="AZ4889">
        <v>6.46</v>
      </c>
      <c r="BA4889">
        <v>66</v>
      </c>
      <c r="BB4889">
        <v>4.92</v>
      </c>
      <c r="BC4889">
        <v>75</v>
      </c>
      <c r="BD4889">
        <v>0.03</v>
      </c>
      <c r="BE4889">
        <v>0.09</v>
      </c>
      <c r="BF4889">
        <v>0.24</v>
      </c>
      <c r="BG4889">
        <v>92</v>
      </c>
      <c r="BH4889">
        <v>-0.17</v>
      </c>
      <c r="BI4889">
        <v>-2.4900000000000002</v>
      </c>
      <c r="BJ4889">
        <v>9</v>
      </c>
      <c r="BK4889">
        <v>6</v>
      </c>
      <c r="BL4889">
        <v>0.04</v>
      </c>
      <c r="BM4889">
        <v>-0.56000000000000005</v>
      </c>
      <c r="BN4889">
        <v>0.56000000000000005</v>
      </c>
      <c r="BO4889">
        <v>0.96</v>
      </c>
      <c r="BP4889">
        <v>-0.47</v>
      </c>
      <c r="BQ4889">
        <v>-1.2</v>
      </c>
      <c r="BR4889">
        <v>1.98</v>
      </c>
      <c r="BS4889">
        <v>-0.99</v>
      </c>
      <c r="BT4889">
        <v>-2.2999999999999998</v>
      </c>
      <c r="BU4889">
        <v>-1.43</v>
      </c>
      <c r="BV4889">
        <v>-0.6</v>
      </c>
      <c r="BW4889">
        <v>-0.6</v>
      </c>
      <c r="BX4889">
        <v>-1.57</v>
      </c>
      <c r="BY4889">
        <v>0.68</v>
      </c>
      <c r="BZ4889">
        <v>-2.17</v>
      </c>
      <c r="CA4889">
        <v>-1.01</v>
      </c>
      <c r="CB4889">
        <v>-0.63</v>
      </c>
      <c r="CC4889">
        <v>-1.1499999999999999</v>
      </c>
      <c r="CD4889">
        <v>-1.24</v>
      </c>
      <c r="CE4889">
        <v>1.58</v>
      </c>
      <c r="CF4889">
        <v>1.36</v>
      </c>
      <c r="CG4889">
        <v>0</v>
      </c>
      <c r="CH4889">
        <v>0.49</v>
      </c>
      <c r="CI4889">
        <v>0</v>
      </c>
      <c r="CJ4889">
        <v>-4.4000000000000004</v>
      </c>
      <c r="CK4889">
        <v>90</v>
      </c>
      <c r="CL4889">
        <v>-0.79</v>
      </c>
      <c r="CM4889">
        <v>89</v>
      </c>
      <c r="CN4889">
        <v>-0.02</v>
      </c>
      <c r="CO4889">
        <v>87</v>
      </c>
      <c r="CP4889">
        <v>-3.8</v>
      </c>
      <c r="CQ4889">
        <v>92</v>
      </c>
      <c r="CR4889">
        <v>0</v>
      </c>
      <c r="CS4889">
        <v>0</v>
      </c>
      <c r="CT4889">
        <v>4.8</v>
      </c>
      <c r="CU4889">
        <v>86</v>
      </c>
      <c r="CV4889">
        <v>0.1</v>
      </c>
      <c r="CW4889">
        <v>44</v>
      </c>
      <c r="CX4889" t="s">
        <v>485</v>
      </c>
    </row>
    <row r="4890" spans="1:102" x14ac:dyDescent="0.3">
      <c r="A4890" t="str">
        <f>HYPERLINK("https://webapp.icbf.com/v2/app/bull-search/view/586069592","S1165")</f>
        <v>S1165</v>
      </c>
      <c r="B4890" t="s">
        <v>5473</v>
      </c>
      <c r="C4890" t="s">
        <v>5474</v>
      </c>
      <c r="D4890" s="1">
        <v>38668</v>
      </c>
      <c r="E4890" t="s">
        <v>92</v>
      </c>
      <c r="F4890">
        <v>100</v>
      </c>
      <c r="G4890" t="s">
        <v>109</v>
      </c>
      <c r="H4890">
        <v>-208.12</v>
      </c>
      <c r="I4890">
        <v>88</v>
      </c>
      <c r="J4890">
        <v>-9</v>
      </c>
      <c r="K4890">
        <v>96</v>
      </c>
      <c r="L4890">
        <v>-210.25</v>
      </c>
      <c r="M4890">
        <v>91</v>
      </c>
      <c r="N4890">
        <v>24.76</v>
      </c>
      <c r="O4890">
        <v>80</v>
      </c>
      <c r="P4890">
        <v>4.9000000000000004</v>
      </c>
      <c r="Q4890">
        <v>83</v>
      </c>
      <c r="R4890">
        <v>-2.38</v>
      </c>
      <c r="S4890">
        <v>82</v>
      </c>
      <c r="T4890">
        <v>-27.02</v>
      </c>
      <c r="U4890">
        <v>68</v>
      </c>
      <c r="V4890">
        <v>10.87</v>
      </c>
      <c r="W4890">
        <v>69</v>
      </c>
      <c r="X4890" t="s">
        <v>276</v>
      </c>
      <c r="Y4890" t="s">
        <v>336</v>
      </c>
      <c r="Z4890" t="s">
        <v>96</v>
      </c>
      <c r="AA4890" t="s">
        <v>350</v>
      </c>
      <c r="AB4890" t="s">
        <v>5475</v>
      </c>
      <c r="AC4890">
        <v>0</v>
      </c>
      <c r="AD4890">
        <v>0</v>
      </c>
      <c r="AE4890">
        <v>96</v>
      </c>
      <c r="AF4890">
        <v>619.29999999999995</v>
      </c>
      <c r="AG4890">
        <v>2.23</v>
      </c>
      <c r="AH4890">
        <v>7.16</v>
      </c>
      <c r="AI4890">
        <v>-0.35</v>
      </c>
      <c r="AJ4890">
        <v>-0.22</v>
      </c>
      <c r="AK4890">
        <v>91</v>
      </c>
      <c r="AL4890">
        <v>27</v>
      </c>
      <c r="AM4890">
        <v>18</v>
      </c>
      <c r="AN4890">
        <v>12.79</v>
      </c>
      <c r="AO4890">
        <v>-3.96</v>
      </c>
      <c r="AP4890">
        <v>69</v>
      </c>
      <c r="AQ4890">
        <v>0</v>
      </c>
      <c r="AR4890">
        <v>7.59</v>
      </c>
      <c r="AS4890">
        <v>77</v>
      </c>
      <c r="AT4890">
        <v>3.68</v>
      </c>
      <c r="AU4890">
        <v>93</v>
      </c>
      <c r="AV4890">
        <v>-3.49</v>
      </c>
      <c r="AW4890">
        <v>84</v>
      </c>
      <c r="AX4890">
        <v>-0.04</v>
      </c>
      <c r="AY4890">
        <v>74</v>
      </c>
      <c r="AZ4890">
        <v>5.85</v>
      </c>
      <c r="BA4890">
        <v>60</v>
      </c>
      <c r="BB4890">
        <v>4.76</v>
      </c>
      <c r="BC4890">
        <v>58</v>
      </c>
      <c r="BD4890">
        <v>-0.02</v>
      </c>
      <c r="BE4890">
        <v>0.02</v>
      </c>
      <c r="BF4890">
        <v>0.05</v>
      </c>
      <c r="BG4890">
        <v>94</v>
      </c>
      <c r="BH4890">
        <v>0.22</v>
      </c>
      <c r="BI4890">
        <v>-9.61</v>
      </c>
      <c r="BJ4890">
        <v>24</v>
      </c>
      <c r="BK4890">
        <v>17</v>
      </c>
      <c r="BL4890">
        <v>2.87</v>
      </c>
      <c r="BM4890">
        <v>-0.01</v>
      </c>
      <c r="BN4890">
        <v>2.88</v>
      </c>
      <c r="BO4890">
        <v>2.5299999999999998</v>
      </c>
      <c r="BP4890">
        <v>-0.31</v>
      </c>
      <c r="BQ4890">
        <v>4.6100000000000003</v>
      </c>
      <c r="BR4890">
        <v>-1.02</v>
      </c>
      <c r="BS4890">
        <v>1.1299999999999999</v>
      </c>
      <c r="BT4890">
        <v>1.1499999999999999</v>
      </c>
      <c r="BU4890">
        <v>1.88</v>
      </c>
      <c r="BV4890">
        <v>2.82</v>
      </c>
      <c r="BW4890">
        <v>3.42</v>
      </c>
      <c r="BX4890">
        <v>1.02</v>
      </c>
      <c r="BY4890">
        <v>2.56</v>
      </c>
      <c r="BZ4890">
        <v>2.09</v>
      </c>
      <c r="CA4890">
        <v>1.96</v>
      </c>
      <c r="CB4890">
        <v>2.09</v>
      </c>
      <c r="CC4890">
        <v>1.64</v>
      </c>
      <c r="CD4890">
        <v>-1.79</v>
      </c>
      <c r="CE4890">
        <v>1.63</v>
      </c>
      <c r="CF4890">
        <v>2.4700000000000002</v>
      </c>
      <c r="CG4890">
        <v>0</v>
      </c>
      <c r="CH4890">
        <v>2.4700000000000002</v>
      </c>
      <c r="CI4890">
        <v>0</v>
      </c>
      <c r="CJ4890">
        <v>4.5</v>
      </c>
      <c r="CK4890">
        <v>85</v>
      </c>
      <c r="CL4890">
        <v>-1.23</v>
      </c>
      <c r="CM4890">
        <v>82</v>
      </c>
      <c r="CN4890">
        <v>-0.68</v>
      </c>
      <c r="CO4890">
        <v>81</v>
      </c>
      <c r="CP4890">
        <v>22.8</v>
      </c>
      <c r="CQ4890">
        <v>73</v>
      </c>
      <c r="CR4890">
        <v>0</v>
      </c>
      <c r="CS4890">
        <v>0</v>
      </c>
      <c r="CT4890">
        <v>50.3</v>
      </c>
      <c r="CU4890">
        <v>68</v>
      </c>
      <c r="CV4890">
        <v>0.18</v>
      </c>
      <c r="CW4890">
        <v>43</v>
      </c>
      <c r="CX4890" t="s">
        <v>311</v>
      </c>
    </row>
    <row r="4891" spans="1:102" x14ac:dyDescent="0.3">
      <c r="A4891" t="str">
        <f>HYPERLINK("https://webapp.icbf.com/v2/app/bull-search/view/77852695","WSG")</f>
        <v>WSG</v>
      </c>
      <c r="B4891" t="s">
        <v>3687</v>
      </c>
      <c r="C4891" t="s">
        <v>3688</v>
      </c>
      <c r="D4891" s="1">
        <v>35144</v>
      </c>
      <c r="E4891" t="s">
        <v>92</v>
      </c>
      <c r="F4891">
        <v>100</v>
      </c>
      <c r="G4891" t="s">
        <v>93</v>
      </c>
      <c r="H4891">
        <v>-209.53</v>
      </c>
      <c r="I4891">
        <v>80</v>
      </c>
      <c r="J4891">
        <v>-13</v>
      </c>
      <c r="K4891">
        <v>95</v>
      </c>
      <c r="L4891">
        <v>-164.01</v>
      </c>
      <c r="M4891">
        <v>77</v>
      </c>
      <c r="N4891">
        <v>-14.88</v>
      </c>
      <c r="O4891">
        <v>66</v>
      </c>
      <c r="P4891">
        <v>-5.5</v>
      </c>
      <c r="Q4891">
        <v>70</v>
      </c>
      <c r="R4891">
        <v>-21.17</v>
      </c>
      <c r="S4891">
        <v>76</v>
      </c>
      <c r="T4891">
        <v>16.489999999999998</v>
      </c>
      <c r="U4891">
        <v>62</v>
      </c>
      <c r="V4891">
        <v>-7.46</v>
      </c>
      <c r="W4891">
        <v>66</v>
      </c>
      <c r="X4891" t="s">
        <v>94</v>
      </c>
      <c r="Y4891" t="s">
        <v>95</v>
      </c>
      <c r="Z4891" t="s">
        <v>96</v>
      </c>
      <c r="AA4891" t="s">
        <v>265</v>
      </c>
      <c r="AB4891" t="s">
        <v>3689</v>
      </c>
      <c r="AC4891">
        <v>31</v>
      </c>
      <c r="AD4891">
        <v>22</v>
      </c>
      <c r="AE4891">
        <v>95</v>
      </c>
      <c r="AF4891">
        <v>184.65</v>
      </c>
      <c r="AG4891">
        <v>-3.18</v>
      </c>
      <c r="AH4891">
        <v>1.74</v>
      </c>
      <c r="AI4891">
        <v>-0.18</v>
      </c>
      <c r="AJ4891">
        <v>-0.08</v>
      </c>
      <c r="AK4891">
        <v>77</v>
      </c>
      <c r="AL4891">
        <v>24</v>
      </c>
      <c r="AM4891">
        <v>18</v>
      </c>
      <c r="AN4891">
        <v>9.6999999999999993</v>
      </c>
      <c r="AO4891">
        <v>-3.37</v>
      </c>
      <c r="AP4891">
        <v>0</v>
      </c>
      <c r="AQ4891">
        <v>4</v>
      </c>
      <c r="AR4891">
        <v>7.82</v>
      </c>
      <c r="AS4891">
        <v>58</v>
      </c>
      <c r="AT4891">
        <v>3.46</v>
      </c>
      <c r="AU4891">
        <v>76</v>
      </c>
      <c r="AV4891">
        <v>0.5</v>
      </c>
      <c r="AW4891">
        <v>67</v>
      </c>
      <c r="AX4891">
        <v>-0.23</v>
      </c>
      <c r="AY4891">
        <v>60</v>
      </c>
      <c r="AZ4891">
        <v>7.93</v>
      </c>
      <c r="BA4891">
        <v>50</v>
      </c>
      <c r="BB4891">
        <v>6.02</v>
      </c>
      <c r="BC4891">
        <v>59</v>
      </c>
      <c r="BD4891">
        <v>0.04</v>
      </c>
      <c r="BE4891">
        <v>0.1</v>
      </c>
      <c r="BF4891">
        <v>0.23</v>
      </c>
      <c r="BG4891">
        <v>86</v>
      </c>
      <c r="BH4891">
        <v>-0.05</v>
      </c>
      <c r="BI4891">
        <v>18.28</v>
      </c>
      <c r="BJ4891">
        <v>1</v>
      </c>
      <c r="BK4891">
        <v>1</v>
      </c>
      <c r="BL4891">
        <v>-0.22</v>
      </c>
      <c r="BM4891">
        <v>-1.98</v>
      </c>
      <c r="BN4891">
        <v>-1.1000000000000001</v>
      </c>
      <c r="BO4891">
        <v>0.44</v>
      </c>
      <c r="BP4891">
        <v>-2.3199999999999998</v>
      </c>
      <c r="BQ4891">
        <v>-0.98</v>
      </c>
      <c r="BR4891">
        <v>-0.56999999999999995</v>
      </c>
      <c r="BS4891">
        <v>0.37</v>
      </c>
      <c r="BT4891">
        <v>0.21</v>
      </c>
      <c r="BU4891">
        <v>1.2</v>
      </c>
      <c r="BV4891">
        <v>0.54</v>
      </c>
      <c r="BW4891">
        <v>-0.01</v>
      </c>
      <c r="BX4891">
        <v>-0.28999999999999998</v>
      </c>
      <c r="BY4891">
        <v>0.73</v>
      </c>
      <c r="BZ4891">
        <v>1.85</v>
      </c>
      <c r="CA4891">
        <v>0.84</v>
      </c>
      <c r="CB4891">
        <v>1.08</v>
      </c>
      <c r="CC4891">
        <v>-0.16</v>
      </c>
      <c r="CD4891">
        <v>-0.66</v>
      </c>
      <c r="CE4891">
        <v>0.37</v>
      </c>
      <c r="CF4891">
        <v>-1.88</v>
      </c>
      <c r="CG4891">
        <v>0</v>
      </c>
      <c r="CH4891">
        <v>0.87</v>
      </c>
      <c r="CI4891">
        <v>0</v>
      </c>
      <c r="CJ4891">
        <v>-2</v>
      </c>
      <c r="CK4891">
        <v>72</v>
      </c>
      <c r="CL4891">
        <v>-0.33</v>
      </c>
      <c r="CM4891">
        <v>68</v>
      </c>
      <c r="CN4891">
        <v>-0.19</v>
      </c>
      <c r="CO4891">
        <v>64</v>
      </c>
      <c r="CP4891">
        <v>-10.4</v>
      </c>
      <c r="CQ4891">
        <v>72</v>
      </c>
      <c r="CR4891">
        <v>0</v>
      </c>
      <c r="CS4891">
        <v>0</v>
      </c>
      <c r="CT4891">
        <v>-8.5</v>
      </c>
      <c r="CU4891">
        <v>62</v>
      </c>
      <c r="CV4891">
        <v>0.05</v>
      </c>
      <c r="CW4891">
        <v>40</v>
      </c>
      <c r="CX4891" t="s">
        <v>485</v>
      </c>
    </row>
    <row r="4892" spans="1:102" x14ac:dyDescent="0.3">
      <c r="A4892" t="str">
        <f>HYPERLINK("https://webapp.icbf.com/v2/app/bull-search/view/124414909","MNN")</f>
        <v>MNN</v>
      </c>
      <c r="B4892" t="s">
        <v>11837</v>
      </c>
      <c r="C4892" t="s">
        <v>11838</v>
      </c>
      <c r="D4892" s="1">
        <v>34825</v>
      </c>
      <c r="E4892" t="s">
        <v>92</v>
      </c>
      <c r="F4892">
        <v>100</v>
      </c>
      <c r="G4892" t="s">
        <v>93</v>
      </c>
      <c r="H4892">
        <v>-209.63</v>
      </c>
      <c r="I4892">
        <v>92</v>
      </c>
      <c r="J4892">
        <v>20.27</v>
      </c>
      <c r="K4892">
        <v>98</v>
      </c>
      <c r="L4892">
        <v>-183.83</v>
      </c>
      <c r="M4892">
        <v>89</v>
      </c>
      <c r="N4892">
        <v>-18.97</v>
      </c>
      <c r="O4892">
        <v>90</v>
      </c>
      <c r="P4892">
        <v>-1.58</v>
      </c>
      <c r="Q4892">
        <v>97</v>
      </c>
      <c r="R4892">
        <v>-4.12</v>
      </c>
      <c r="S4892">
        <v>82</v>
      </c>
      <c r="T4892">
        <v>-15.11</v>
      </c>
      <c r="U4892">
        <v>88</v>
      </c>
      <c r="V4892">
        <v>-6.29</v>
      </c>
      <c r="W4892">
        <v>76</v>
      </c>
      <c r="X4892" t="s">
        <v>110</v>
      </c>
      <c r="Y4892" t="s">
        <v>95</v>
      </c>
      <c r="Z4892" t="s">
        <v>96</v>
      </c>
      <c r="AA4892" t="s">
        <v>154</v>
      </c>
      <c r="AB4892" t="s">
        <v>4717</v>
      </c>
      <c r="AC4892">
        <v>218</v>
      </c>
      <c r="AD4892">
        <v>100</v>
      </c>
      <c r="AE4892">
        <v>98</v>
      </c>
      <c r="AF4892">
        <v>200.02</v>
      </c>
      <c r="AG4892">
        <v>5.14</v>
      </c>
      <c r="AH4892">
        <v>4.6900000000000004</v>
      </c>
      <c r="AI4892">
        <v>-0.04</v>
      </c>
      <c r="AJ4892">
        <v>-0.03</v>
      </c>
      <c r="AK4892">
        <v>89</v>
      </c>
      <c r="AL4892">
        <v>198</v>
      </c>
      <c r="AM4892">
        <v>92</v>
      </c>
      <c r="AN4892">
        <v>8.4700000000000006</v>
      </c>
      <c r="AO4892">
        <v>-6.21</v>
      </c>
      <c r="AP4892">
        <v>443</v>
      </c>
      <c r="AQ4892">
        <v>4</v>
      </c>
      <c r="AR4892">
        <v>9.18</v>
      </c>
      <c r="AS4892">
        <v>80</v>
      </c>
      <c r="AT4892">
        <v>4.29</v>
      </c>
      <c r="AU4892">
        <v>93</v>
      </c>
      <c r="AV4892">
        <v>0.47</v>
      </c>
      <c r="AW4892">
        <v>96</v>
      </c>
      <c r="AX4892">
        <v>0.23</v>
      </c>
      <c r="AY4892">
        <v>91</v>
      </c>
      <c r="AZ4892">
        <v>6.63</v>
      </c>
      <c r="BA4892">
        <v>77</v>
      </c>
      <c r="BB4892">
        <v>4.66</v>
      </c>
      <c r="BC4892">
        <v>77</v>
      </c>
      <c r="BD4892">
        <v>0.04</v>
      </c>
      <c r="BE4892">
        <v>0.02</v>
      </c>
      <c r="BF4892">
        <v>-0.01</v>
      </c>
      <c r="BG4892">
        <v>92</v>
      </c>
      <c r="BH4892">
        <v>0</v>
      </c>
      <c r="BI4892">
        <v>20.29</v>
      </c>
      <c r="BJ4892">
        <v>42</v>
      </c>
      <c r="BK4892">
        <v>24</v>
      </c>
      <c r="BL4892">
        <v>1.54</v>
      </c>
      <c r="BM4892">
        <v>0.65</v>
      </c>
      <c r="BN4892">
        <v>1.59</v>
      </c>
      <c r="BO4892">
        <v>1.24</v>
      </c>
      <c r="BP4892">
        <v>0.94</v>
      </c>
      <c r="BQ4892">
        <v>2.46</v>
      </c>
      <c r="BR4892">
        <v>1.94</v>
      </c>
      <c r="BS4892">
        <v>-1.26</v>
      </c>
      <c r="BT4892">
        <v>-0.97</v>
      </c>
      <c r="BU4892">
        <v>1.0900000000000001</v>
      </c>
      <c r="BV4892">
        <v>0.8</v>
      </c>
      <c r="BW4892">
        <v>1.73</v>
      </c>
      <c r="BX4892">
        <v>0.97</v>
      </c>
      <c r="BY4892">
        <v>1.22</v>
      </c>
      <c r="BZ4892">
        <v>0.1</v>
      </c>
      <c r="CA4892">
        <v>0.75</v>
      </c>
      <c r="CB4892">
        <v>1.4</v>
      </c>
      <c r="CC4892">
        <v>-0.67</v>
      </c>
      <c r="CD4892">
        <v>-0.27</v>
      </c>
      <c r="CE4892">
        <v>1.22</v>
      </c>
      <c r="CF4892">
        <v>1.99</v>
      </c>
      <c r="CG4892">
        <v>0</v>
      </c>
      <c r="CH4892">
        <v>1.27</v>
      </c>
      <c r="CI4892">
        <v>0</v>
      </c>
      <c r="CJ4892">
        <v>1.5</v>
      </c>
      <c r="CK4892">
        <v>97</v>
      </c>
      <c r="CL4892">
        <v>-0.95</v>
      </c>
      <c r="CM4892">
        <v>97</v>
      </c>
      <c r="CN4892">
        <v>-0.44</v>
      </c>
      <c r="CO4892">
        <v>96</v>
      </c>
      <c r="CP4892">
        <v>6.7</v>
      </c>
      <c r="CQ4892">
        <v>95</v>
      </c>
      <c r="CR4892">
        <v>0</v>
      </c>
      <c r="CS4892">
        <v>0</v>
      </c>
      <c r="CT4892">
        <v>34.200000000000003</v>
      </c>
      <c r="CU4892">
        <v>88</v>
      </c>
      <c r="CV4892">
        <v>0.33</v>
      </c>
      <c r="CW4892">
        <v>28</v>
      </c>
      <c r="CX4892" t="s">
        <v>543</v>
      </c>
    </row>
    <row r="4893" spans="1:102" x14ac:dyDescent="0.3">
      <c r="A4893" t="str">
        <f>HYPERLINK("https://webapp.icbf.com/v2/app/bull-search/view/516048314","SLZ")</f>
        <v>SLZ</v>
      </c>
      <c r="B4893" t="s">
        <v>4244</v>
      </c>
      <c r="C4893" t="s">
        <v>4245</v>
      </c>
      <c r="D4893" s="1">
        <v>37510</v>
      </c>
      <c r="E4893" t="s">
        <v>92</v>
      </c>
      <c r="F4893">
        <v>100</v>
      </c>
      <c r="G4893" t="s">
        <v>93</v>
      </c>
      <c r="H4893">
        <v>-210.02</v>
      </c>
      <c r="I4893">
        <v>94</v>
      </c>
      <c r="J4893">
        <v>56.63</v>
      </c>
      <c r="K4893">
        <v>99</v>
      </c>
      <c r="L4893">
        <v>-239</v>
      </c>
      <c r="M4893">
        <v>90</v>
      </c>
      <c r="N4893">
        <v>-25.76</v>
      </c>
      <c r="O4893">
        <v>93</v>
      </c>
      <c r="P4893">
        <v>-4.8099999999999996</v>
      </c>
      <c r="Q4893">
        <v>97</v>
      </c>
      <c r="R4893">
        <v>8.42</v>
      </c>
      <c r="S4893">
        <v>87</v>
      </c>
      <c r="T4893">
        <v>-0.83</v>
      </c>
      <c r="U4893">
        <v>95</v>
      </c>
      <c r="V4893">
        <v>-4.67</v>
      </c>
      <c r="W4893">
        <v>82</v>
      </c>
      <c r="X4893" t="s">
        <v>251</v>
      </c>
      <c r="Y4893" t="s">
        <v>221</v>
      </c>
      <c r="Z4893" t="s">
        <v>96</v>
      </c>
      <c r="AA4893" t="s">
        <v>838</v>
      </c>
      <c r="AB4893" t="s">
        <v>4246</v>
      </c>
      <c r="AC4893">
        <v>323</v>
      </c>
      <c r="AD4893">
        <v>99</v>
      </c>
      <c r="AE4893">
        <v>99</v>
      </c>
      <c r="AF4893">
        <v>258.92</v>
      </c>
      <c r="AG4893">
        <v>13.55</v>
      </c>
      <c r="AH4893">
        <v>8.8000000000000007</v>
      </c>
      <c r="AI4893">
        <v>0.06</v>
      </c>
      <c r="AJ4893">
        <v>0</v>
      </c>
      <c r="AK4893">
        <v>90</v>
      </c>
      <c r="AL4893">
        <v>261</v>
      </c>
      <c r="AM4893">
        <v>101</v>
      </c>
      <c r="AN4893">
        <v>13.83</v>
      </c>
      <c r="AO4893">
        <v>-5.22</v>
      </c>
      <c r="AP4893">
        <v>589</v>
      </c>
      <c r="AQ4893">
        <v>2</v>
      </c>
      <c r="AR4893">
        <v>12.93</v>
      </c>
      <c r="AS4893">
        <v>84</v>
      </c>
      <c r="AT4893">
        <v>5.85</v>
      </c>
      <c r="AU4893">
        <v>95</v>
      </c>
      <c r="AV4893">
        <v>-2.64</v>
      </c>
      <c r="AW4893">
        <v>98</v>
      </c>
      <c r="AX4893">
        <v>0.17</v>
      </c>
      <c r="AY4893">
        <v>93</v>
      </c>
      <c r="AZ4893">
        <v>5.55</v>
      </c>
      <c r="BA4893">
        <v>82</v>
      </c>
      <c r="BB4893">
        <v>4.4400000000000004</v>
      </c>
      <c r="BC4893">
        <v>79</v>
      </c>
      <c r="BD4893">
        <v>-0.04</v>
      </c>
      <c r="BE4893">
        <v>-0.03</v>
      </c>
      <c r="BF4893">
        <v>-7.0000000000000007E-2</v>
      </c>
      <c r="BG4893">
        <v>95</v>
      </c>
      <c r="BH4893">
        <v>-0.1</v>
      </c>
      <c r="BI4893">
        <v>3.51</v>
      </c>
      <c r="BJ4893">
        <v>129</v>
      </c>
      <c r="BK4893">
        <v>50</v>
      </c>
      <c r="BL4893">
        <v>1.85</v>
      </c>
      <c r="BM4893">
        <v>1.05</v>
      </c>
      <c r="BN4893">
        <v>3.47</v>
      </c>
      <c r="BO4893">
        <v>1.82</v>
      </c>
      <c r="BP4893">
        <v>-1.21</v>
      </c>
      <c r="BQ4893">
        <v>3.05</v>
      </c>
      <c r="BR4893">
        <v>1.78</v>
      </c>
      <c r="BS4893">
        <v>-2.2799999999999998</v>
      </c>
      <c r="BT4893">
        <v>-1.1599999999999999</v>
      </c>
      <c r="BU4893">
        <v>1.31</v>
      </c>
      <c r="BV4893">
        <v>1.51</v>
      </c>
      <c r="BW4893">
        <v>1.92</v>
      </c>
      <c r="BX4893">
        <v>0.44</v>
      </c>
      <c r="BY4893">
        <v>1.45</v>
      </c>
      <c r="BZ4893">
        <v>2</v>
      </c>
      <c r="CA4893">
        <v>0.91</v>
      </c>
      <c r="CB4893">
        <v>1.67</v>
      </c>
      <c r="CC4893">
        <v>-0.59</v>
      </c>
      <c r="CD4893">
        <v>-1.02</v>
      </c>
      <c r="CE4893">
        <v>1.55</v>
      </c>
      <c r="CF4893">
        <v>1.97</v>
      </c>
      <c r="CG4893">
        <v>0</v>
      </c>
      <c r="CH4893">
        <v>1.47</v>
      </c>
      <c r="CI4893">
        <v>0</v>
      </c>
      <c r="CJ4893">
        <v>1.4</v>
      </c>
      <c r="CK4893">
        <v>97</v>
      </c>
      <c r="CL4893">
        <v>-1.32</v>
      </c>
      <c r="CM4893">
        <v>96</v>
      </c>
      <c r="CN4893">
        <v>-0.56999999999999995</v>
      </c>
      <c r="CO4893">
        <v>96</v>
      </c>
      <c r="CP4893">
        <v>1.4</v>
      </c>
      <c r="CQ4893">
        <v>96</v>
      </c>
      <c r="CR4893">
        <v>0</v>
      </c>
      <c r="CS4893">
        <v>0</v>
      </c>
      <c r="CT4893">
        <v>14.9</v>
      </c>
      <c r="CU4893">
        <v>95</v>
      </c>
      <c r="CV4893">
        <v>0.34</v>
      </c>
      <c r="CW4893">
        <v>45</v>
      </c>
      <c r="CX4893" t="s">
        <v>188</v>
      </c>
    </row>
    <row r="4894" spans="1:102" x14ac:dyDescent="0.3">
      <c r="A4894" t="str">
        <f>HYPERLINK("https://webapp.icbf.com/v2/app/bull-search/view/77854141","RSY")</f>
        <v>RSY</v>
      </c>
      <c r="B4894" t="s">
        <v>4987</v>
      </c>
      <c r="C4894" t="s">
        <v>4988</v>
      </c>
      <c r="D4894" s="1">
        <v>34538</v>
      </c>
      <c r="E4894" t="s">
        <v>92</v>
      </c>
      <c r="F4894">
        <v>100</v>
      </c>
      <c r="G4894" t="s">
        <v>93</v>
      </c>
      <c r="H4894">
        <v>-210.33</v>
      </c>
      <c r="I4894">
        <v>89</v>
      </c>
      <c r="J4894">
        <v>6.89</v>
      </c>
      <c r="K4894">
        <v>97</v>
      </c>
      <c r="L4894">
        <v>-221.23</v>
      </c>
      <c r="M4894">
        <v>90</v>
      </c>
      <c r="N4894">
        <v>2.4500000000000002</v>
      </c>
      <c r="O4894">
        <v>80</v>
      </c>
      <c r="P4894">
        <v>-6.71</v>
      </c>
      <c r="Q4894">
        <v>90</v>
      </c>
      <c r="R4894">
        <v>-8.9700000000000006</v>
      </c>
      <c r="S4894">
        <v>82</v>
      </c>
      <c r="T4894">
        <v>16.05</v>
      </c>
      <c r="U4894">
        <v>80</v>
      </c>
      <c r="V4894">
        <v>1.19</v>
      </c>
      <c r="W4894">
        <v>70</v>
      </c>
      <c r="X4894" t="s">
        <v>251</v>
      </c>
      <c r="Y4894" t="s">
        <v>95</v>
      </c>
      <c r="Z4894" t="s">
        <v>96</v>
      </c>
      <c r="AA4894" t="s">
        <v>678</v>
      </c>
      <c r="AB4894" t="s">
        <v>4989</v>
      </c>
      <c r="AC4894">
        <v>102</v>
      </c>
      <c r="AD4894">
        <v>47</v>
      </c>
      <c r="AE4894">
        <v>97</v>
      </c>
      <c r="AF4894">
        <v>445.82</v>
      </c>
      <c r="AG4894">
        <v>1.29</v>
      </c>
      <c r="AH4894">
        <v>7.54</v>
      </c>
      <c r="AI4894">
        <v>-0.26</v>
      </c>
      <c r="AJ4894">
        <v>-0.12</v>
      </c>
      <c r="AK4894">
        <v>90</v>
      </c>
      <c r="AL4894">
        <v>89</v>
      </c>
      <c r="AM4894">
        <v>41</v>
      </c>
      <c r="AN4894">
        <v>12.25</v>
      </c>
      <c r="AO4894">
        <v>-5.39</v>
      </c>
      <c r="AP4894">
        <v>35</v>
      </c>
      <c r="AQ4894">
        <v>2</v>
      </c>
      <c r="AR4894">
        <v>6.82</v>
      </c>
      <c r="AS4894">
        <v>74</v>
      </c>
      <c r="AT4894">
        <v>3.77</v>
      </c>
      <c r="AU4894">
        <v>89</v>
      </c>
      <c r="AV4894">
        <v>-0.52</v>
      </c>
      <c r="AW4894">
        <v>81</v>
      </c>
      <c r="AX4894">
        <v>-0.83</v>
      </c>
      <c r="AY4894">
        <v>82</v>
      </c>
      <c r="AZ4894">
        <v>6.3</v>
      </c>
      <c r="BA4894">
        <v>67</v>
      </c>
      <c r="BB4894">
        <v>5.07</v>
      </c>
      <c r="BC4894">
        <v>67</v>
      </c>
      <c r="BD4894">
        <v>0.05</v>
      </c>
      <c r="BE4894">
        <v>7.0000000000000007E-2</v>
      </c>
      <c r="BF4894">
        <v>-0.01</v>
      </c>
      <c r="BG4894">
        <v>93</v>
      </c>
      <c r="BH4894">
        <v>0.1</v>
      </c>
      <c r="BI4894">
        <v>7.72</v>
      </c>
      <c r="BJ4894">
        <v>14</v>
      </c>
      <c r="BK4894">
        <v>8</v>
      </c>
      <c r="BL4894">
        <v>0.54</v>
      </c>
      <c r="BM4894">
        <v>-2.36</v>
      </c>
      <c r="BN4894">
        <v>-0.39</v>
      </c>
      <c r="BO4894">
        <v>1.56</v>
      </c>
      <c r="BP4894">
        <v>-0.99</v>
      </c>
      <c r="BQ4894">
        <v>-0.67</v>
      </c>
      <c r="BR4894">
        <v>0.47</v>
      </c>
      <c r="BS4894">
        <v>0.26</v>
      </c>
      <c r="BT4894">
        <v>-0.13</v>
      </c>
      <c r="BU4894">
        <v>-0.8</v>
      </c>
      <c r="BV4894">
        <v>0.4</v>
      </c>
      <c r="BW4894">
        <v>0.56000000000000005</v>
      </c>
      <c r="BX4894">
        <v>-0.67</v>
      </c>
      <c r="BY4894">
        <v>1.04</v>
      </c>
      <c r="BZ4894">
        <v>-0.62</v>
      </c>
      <c r="CA4894">
        <v>0.31</v>
      </c>
      <c r="CB4894">
        <v>0.32</v>
      </c>
      <c r="CC4894">
        <v>0.44</v>
      </c>
      <c r="CD4894">
        <v>-2.4300000000000002</v>
      </c>
      <c r="CE4894">
        <v>1.39</v>
      </c>
      <c r="CF4894">
        <v>0.27</v>
      </c>
      <c r="CG4894">
        <v>0</v>
      </c>
      <c r="CH4894">
        <v>1.19</v>
      </c>
      <c r="CI4894">
        <v>0</v>
      </c>
      <c r="CJ4894">
        <v>-0.8</v>
      </c>
      <c r="CK4894">
        <v>91</v>
      </c>
      <c r="CL4894">
        <v>-0.82</v>
      </c>
      <c r="CM4894">
        <v>90</v>
      </c>
      <c r="CN4894">
        <v>-0.33</v>
      </c>
      <c r="CO4894">
        <v>88</v>
      </c>
      <c r="CP4894">
        <v>-6.7</v>
      </c>
      <c r="CQ4894">
        <v>90</v>
      </c>
      <c r="CR4894">
        <v>0</v>
      </c>
      <c r="CS4894">
        <v>0</v>
      </c>
      <c r="CT4894">
        <v>-7.9</v>
      </c>
      <c r="CU4894">
        <v>80</v>
      </c>
      <c r="CV4894">
        <v>0.15</v>
      </c>
      <c r="CW4894">
        <v>44</v>
      </c>
      <c r="CX4894" t="s">
        <v>118</v>
      </c>
    </row>
    <row r="4895" spans="1:102" x14ac:dyDescent="0.3">
      <c r="A4895" t="str">
        <f>HYPERLINK("https://webapp.icbf.com/v2/app/bull-search/view/77855407","LTB")</f>
        <v>LTB</v>
      </c>
      <c r="B4895" t="s">
        <v>3900</v>
      </c>
      <c r="C4895" t="s">
        <v>3901</v>
      </c>
      <c r="D4895" s="1">
        <v>33293</v>
      </c>
      <c r="E4895" t="s">
        <v>92</v>
      </c>
      <c r="F4895">
        <v>100</v>
      </c>
      <c r="G4895" t="s">
        <v>93</v>
      </c>
      <c r="H4895">
        <v>-210.7</v>
      </c>
      <c r="I4895">
        <v>92</v>
      </c>
      <c r="J4895">
        <v>-14.38</v>
      </c>
      <c r="K4895">
        <v>98</v>
      </c>
      <c r="L4895">
        <v>-168.22</v>
      </c>
      <c r="M4895">
        <v>92</v>
      </c>
      <c r="N4895">
        <v>-18.77</v>
      </c>
      <c r="O4895">
        <v>85</v>
      </c>
      <c r="P4895">
        <v>-10.74</v>
      </c>
      <c r="Q4895">
        <v>90</v>
      </c>
      <c r="R4895">
        <v>-4.42</v>
      </c>
      <c r="S4895">
        <v>85</v>
      </c>
      <c r="T4895">
        <v>6.8</v>
      </c>
      <c r="U4895">
        <v>88</v>
      </c>
      <c r="V4895">
        <v>-0.97</v>
      </c>
      <c r="W4895">
        <v>74</v>
      </c>
      <c r="X4895" t="s">
        <v>558</v>
      </c>
      <c r="Y4895" t="s">
        <v>95</v>
      </c>
      <c r="Z4895" t="s">
        <v>96</v>
      </c>
      <c r="AA4895" t="s">
        <v>132</v>
      </c>
      <c r="AB4895" t="s">
        <v>3652</v>
      </c>
      <c r="AC4895">
        <v>201</v>
      </c>
      <c r="AD4895">
        <v>145</v>
      </c>
      <c r="AE4895">
        <v>98</v>
      </c>
      <c r="AF4895">
        <v>247.17</v>
      </c>
      <c r="AG4895">
        <v>-0.15</v>
      </c>
      <c r="AH4895">
        <v>1.39</v>
      </c>
      <c r="AI4895">
        <v>-0.16</v>
      </c>
      <c r="AJ4895">
        <v>-0.12</v>
      </c>
      <c r="AK4895">
        <v>92</v>
      </c>
      <c r="AL4895">
        <v>221</v>
      </c>
      <c r="AM4895">
        <v>134</v>
      </c>
      <c r="AN4895">
        <v>10.34</v>
      </c>
      <c r="AO4895">
        <v>-3.06</v>
      </c>
      <c r="AP4895">
        <v>17</v>
      </c>
      <c r="AQ4895">
        <v>1</v>
      </c>
      <c r="AR4895">
        <v>10.42</v>
      </c>
      <c r="AS4895">
        <v>73</v>
      </c>
      <c r="AT4895">
        <v>4.6399999999999997</v>
      </c>
      <c r="AU4895">
        <v>92</v>
      </c>
      <c r="AV4895">
        <v>-0.86</v>
      </c>
      <c r="AW4895">
        <v>85</v>
      </c>
      <c r="AX4895">
        <v>-0.36</v>
      </c>
      <c r="AY4895">
        <v>89</v>
      </c>
      <c r="AZ4895">
        <v>7.51</v>
      </c>
      <c r="BA4895">
        <v>70</v>
      </c>
      <c r="BB4895">
        <v>5.1100000000000003</v>
      </c>
      <c r="BC4895">
        <v>80</v>
      </c>
      <c r="BD4895">
        <v>0.04</v>
      </c>
      <c r="BE4895">
        <v>0.05</v>
      </c>
      <c r="BF4895">
        <v>-0.06</v>
      </c>
      <c r="BG4895">
        <v>95</v>
      </c>
      <c r="BH4895">
        <v>-0.1</v>
      </c>
      <c r="BI4895">
        <v>-8.44</v>
      </c>
      <c r="BJ4895">
        <v>33</v>
      </c>
      <c r="BK4895">
        <v>28</v>
      </c>
      <c r="BL4895">
        <v>0.6</v>
      </c>
      <c r="BM4895">
        <v>-0.93</v>
      </c>
      <c r="BN4895">
        <v>0.2</v>
      </c>
      <c r="BO4895">
        <v>0.92</v>
      </c>
      <c r="BP4895">
        <v>-0.82</v>
      </c>
      <c r="BQ4895">
        <v>0.55000000000000004</v>
      </c>
      <c r="BR4895">
        <v>0.8</v>
      </c>
      <c r="BS4895">
        <v>0.03</v>
      </c>
      <c r="BT4895">
        <v>-0.63</v>
      </c>
      <c r="BU4895">
        <v>-0.22</v>
      </c>
      <c r="BV4895">
        <v>1.3</v>
      </c>
      <c r="BW4895">
        <v>0.94</v>
      </c>
      <c r="BX4895">
        <v>-0.33</v>
      </c>
      <c r="BY4895">
        <v>-1.46</v>
      </c>
      <c r="BZ4895">
        <v>1.97</v>
      </c>
      <c r="CA4895">
        <v>0.21</v>
      </c>
      <c r="CB4895">
        <v>0.02</v>
      </c>
      <c r="CC4895">
        <v>0.23</v>
      </c>
      <c r="CD4895">
        <v>-1.33</v>
      </c>
      <c r="CE4895">
        <v>0.97</v>
      </c>
      <c r="CF4895">
        <v>0.18</v>
      </c>
      <c r="CG4895">
        <v>0</v>
      </c>
      <c r="CH4895">
        <v>-1.52</v>
      </c>
      <c r="CI4895">
        <v>0</v>
      </c>
      <c r="CJ4895">
        <v>-4.5999999999999996</v>
      </c>
      <c r="CK4895">
        <v>91</v>
      </c>
      <c r="CL4895">
        <v>-0.61</v>
      </c>
      <c r="CM4895">
        <v>89</v>
      </c>
      <c r="CN4895">
        <v>-0.22</v>
      </c>
      <c r="CO4895">
        <v>88</v>
      </c>
      <c r="CP4895">
        <v>-4.5</v>
      </c>
      <c r="CQ4895">
        <v>94</v>
      </c>
      <c r="CR4895">
        <v>0</v>
      </c>
      <c r="CS4895">
        <v>0</v>
      </c>
      <c r="CT4895">
        <v>4.5999999999999996</v>
      </c>
      <c r="CU4895">
        <v>88</v>
      </c>
      <c r="CV4895">
        <v>-0.02</v>
      </c>
      <c r="CW4895">
        <v>44</v>
      </c>
      <c r="CX4895" t="s">
        <v>543</v>
      </c>
    </row>
    <row r="4896" spans="1:102" x14ac:dyDescent="0.3">
      <c r="A4896" t="str">
        <f>HYPERLINK("https://webapp.icbf.com/v2/app/bull-search/view/69092056","KDB")</f>
        <v>KDB</v>
      </c>
      <c r="B4896" t="s">
        <v>3203</v>
      </c>
      <c r="C4896" t="s">
        <v>3204</v>
      </c>
      <c r="D4896" s="1">
        <v>35550</v>
      </c>
      <c r="E4896" t="s">
        <v>108</v>
      </c>
      <c r="F4896">
        <v>0</v>
      </c>
      <c r="G4896" t="s">
        <v>116</v>
      </c>
      <c r="H4896">
        <v>-210.98</v>
      </c>
      <c r="I4896">
        <v>26</v>
      </c>
      <c r="J4896">
        <v>-0.57999999999999996</v>
      </c>
      <c r="K4896">
        <v>25</v>
      </c>
      <c r="L4896">
        <v>-139.16999999999999</v>
      </c>
      <c r="M4896">
        <v>24</v>
      </c>
      <c r="N4896">
        <v>-64.36</v>
      </c>
      <c r="O4896">
        <v>33</v>
      </c>
      <c r="P4896">
        <v>-7.45</v>
      </c>
      <c r="Q4896">
        <v>35</v>
      </c>
      <c r="R4896">
        <v>-9.74</v>
      </c>
      <c r="S4896">
        <v>27</v>
      </c>
      <c r="T4896">
        <v>10.130000000000001</v>
      </c>
      <c r="U4896">
        <v>30</v>
      </c>
      <c r="V4896">
        <v>0.19</v>
      </c>
      <c r="W4896">
        <v>16</v>
      </c>
      <c r="X4896" t="s">
        <v>94</v>
      </c>
      <c r="Y4896" t="s">
        <v>1333</v>
      </c>
      <c r="Z4896" t="s">
        <v>96</v>
      </c>
      <c r="AA4896" t="s">
        <v>860</v>
      </c>
      <c r="AB4896" t="s">
        <v>3205</v>
      </c>
      <c r="AC4896">
        <v>1</v>
      </c>
      <c r="AD4896">
        <v>1</v>
      </c>
      <c r="AE4896">
        <v>25</v>
      </c>
      <c r="AF4896">
        <v>228.37</v>
      </c>
      <c r="AG4896">
        <v>5.25</v>
      </c>
      <c r="AH4896">
        <v>1.54</v>
      </c>
      <c r="AI4896">
        <v>-0.06</v>
      </c>
      <c r="AJ4896">
        <v>-0.1</v>
      </c>
      <c r="AK4896">
        <v>24</v>
      </c>
      <c r="AL4896">
        <v>1</v>
      </c>
      <c r="AM4896">
        <v>1</v>
      </c>
      <c r="AN4896">
        <v>7.45</v>
      </c>
      <c r="AO4896">
        <v>-3.65</v>
      </c>
      <c r="AP4896">
        <v>2</v>
      </c>
      <c r="AQ4896">
        <v>1</v>
      </c>
      <c r="AR4896">
        <v>15.22</v>
      </c>
      <c r="AS4896">
        <v>19</v>
      </c>
      <c r="AT4896">
        <v>6.39</v>
      </c>
      <c r="AU4896">
        <v>36</v>
      </c>
      <c r="AV4896">
        <v>-0.15</v>
      </c>
      <c r="AW4896">
        <v>40</v>
      </c>
      <c r="AX4896">
        <v>-0.09</v>
      </c>
      <c r="AY4896">
        <v>29</v>
      </c>
      <c r="AZ4896">
        <v>6.51</v>
      </c>
      <c r="BA4896">
        <v>19</v>
      </c>
      <c r="BB4896">
        <v>4.37</v>
      </c>
      <c r="BC4896">
        <v>21</v>
      </c>
      <c r="BD4896">
        <v>0.06</v>
      </c>
      <c r="BE4896">
        <v>0.06</v>
      </c>
      <c r="BF4896">
        <v>0.01</v>
      </c>
      <c r="BG4896">
        <v>33</v>
      </c>
      <c r="BH4896">
        <v>7.0000000000000007E-2</v>
      </c>
      <c r="BI4896">
        <v>7.5</v>
      </c>
      <c r="BJ4896">
        <v>0</v>
      </c>
      <c r="BK4896">
        <v>0</v>
      </c>
      <c r="BL4896">
        <v>0.23</v>
      </c>
      <c r="BM4896">
        <v>-7.0000000000000007E-2</v>
      </c>
      <c r="BN4896">
        <v>0.23</v>
      </c>
      <c r="BO4896">
        <v>0.19</v>
      </c>
      <c r="BP4896">
        <v>-0.68</v>
      </c>
      <c r="BQ4896">
        <v>-0.44</v>
      </c>
      <c r="BR4896">
        <v>1.06</v>
      </c>
      <c r="BS4896">
        <v>-1.2</v>
      </c>
      <c r="BT4896">
        <v>0.12</v>
      </c>
      <c r="BU4896">
        <v>0</v>
      </c>
      <c r="BV4896">
        <v>-0.42</v>
      </c>
      <c r="BW4896">
        <v>-0.34</v>
      </c>
      <c r="BX4896">
        <v>0</v>
      </c>
      <c r="BY4896">
        <v>-0.28000000000000003</v>
      </c>
      <c r="BZ4896">
        <v>0.42</v>
      </c>
      <c r="CA4896">
        <v>-0.5</v>
      </c>
      <c r="CB4896">
        <v>-0.03</v>
      </c>
      <c r="CC4896">
        <v>-1.25</v>
      </c>
      <c r="CD4896">
        <v>-0.1</v>
      </c>
      <c r="CE4896">
        <v>0.2</v>
      </c>
      <c r="CF4896">
        <v>-0.12</v>
      </c>
      <c r="CG4896">
        <v>0</v>
      </c>
      <c r="CH4896">
        <v>-0.27</v>
      </c>
      <c r="CI4896">
        <v>0</v>
      </c>
      <c r="CJ4896">
        <v>-2.6</v>
      </c>
      <c r="CK4896">
        <v>36</v>
      </c>
      <c r="CL4896">
        <v>-0.52</v>
      </c>
      <c r="CM4896">
        <v>34</v>
      </c>
      <c r="CN4896">
        <v>-0.15</v>
      </c>
      <c r="CO4896">
        <v>32</v>
      </c>
      <c r="CP4896">
        <v>-1.7</v>
      </c>
      <c r="CQ4896">
        <v>35</v>
      </c>
      <c r="CR4896">
        <v>0</v>
      </c>
      <c r="CS4896">
        <v>0</v>
      </c>
      <c r="CT4896">
        <v>0.1</v>
      </c>
      <c r="CU4896">
        <v>30</v>
      </c>
      <c r="CV4896">
        <v>0.09</v>
      </c>
      <c r="CW4896">
        <v>10</v>
      </c>
      <c r="CX4896" t="s">
        <v>485</v>
      </c>
    </row>
    <row r="4897" spans="1:102" x14ac:dyDescent="0.3">
      <c r="A4897" t="str">
        <f>HYPERLINK("https://webapp.icbf.com/v2/app/bull-search/view/182419382","S336")</f>
        <v>S336</v>
      </c>
      <c r="B4897" t="s">
        <v>15639</v>
      </c>
      <c r="C4897" t="s">
        <v>15640</v>
      </c>
      <c r="D4897" s="1">
        <v>35237</v>
      </c>
      <c r="E4897" t="s">
        <v>92</v>
      </c>
      <c r="F4897">
        <v>100</v>
      </c>
      <c r="G4897" t="s">
        <v>109</v>
      </c>
      <c r="H4897">
        <v>-211.88</v>
      </c>
      <c r="I4897">
        <v>83</v>
      </c>
      <c r="J4897">
        <v>-48.62</v>
      </c>
      <c r="K4897">
        <v>94</v>
      </c>
      <c r="L4897">
        <v>-73.069999999999993</v>
      </c>
      <c r="M4897">
        <v>88</v>
      </c>
      <c r="N4897">
        <v>-69.86</v>
      </c>
      <c r="O4897">
        <v>71</v>
      </c>
      <c r="P4897">
        <v>-17.489999999999998</v>
      </c>
      <c r="Q4897">
        <v>67</v>
      </c>
      <c r="R4897">
        <v>-7.31</v>
      </c>
      <c r="S4897">
        <v>79</v>
      </c>
      <c r="T4897">
        <v>5.69</v>
      </c>
      <c r="U4897">
        <v>60</v>
      </c>
      <c r="V4897">
        <v>-1.22</v>
      </c>
      <c r="W4897">
        <v>67</v>
      </c>
      <c r="X4897" t="s">
        <v>110</v>
      </c>
      <c r="Y4897" t="s">
        <v>95</v>
      </c>
      <c r="Z4897" t="s">
        <v>96</v>
      </c>
      <c r="AA4897" t="s">
        <v>4543</v>
      </c>
      <c r="AB4897" t="s">
        <v>15641</v>
      </c>
      <c r="AC4897">
        <v>0</v>
      </c>
      <c r="AD4897">
        <v>0</v>
      </c>
      <c r="AE4897">
        <v>94</v>
      </c>
      <c r="AF4897">
        <v>-19.510000000000002</v>
      </c>
      <c r="AG4897">
        <v>-5.39</v>
      </c>
      <c r="AH4897">
        <v>-6.66</v>
      </c>
      <c r="AI4897">
        <v>-0.08</v>
      </c>
      <c r="AJ4897">
        <v>-0.11</v>
      </c>
      <c r="AK4897">
        <v>88</v>
      </c>
      <c r="AL4897">
        <v>0</v>
      </c>
      <c r="AM4897">
        <v>0</v>
      </c>
      <c r="AN4897">
        <v>3.79</v>
      </c>
      <c r="AO4897">
        <v>-2.04</v>
      </c>
      <c r="AP4897">
        <v>22</v>
      </c>
      <c r="AQ4897">
        <v>1</v>
      </c>
      <c r="AR4897">
        <v>15.8</v>
      </c>
      <c r="AS4897">
        <v>62</v>
      </c>
      <c r="AT4897">
        <v>7.28</v>
      </c>
      <c r="AU4897">
        <v>91</v>
      </c>
      <c r="AV4897">
        <v>-1.58</v>
      </c>
      <c r="AW4897">
        <v>71</v>
      </c>
      <c r="AX4897">
        <v>-0.72</v>
      </c>
      <c r="AY4897">
        <v>58</v>
      </c>
      <c r="AZ4897">
        <v>5.87</v>
      </c>
      <c r="BA4897">
        <v>53</v>
      </c>
      <c r="BB4897">
        <v>4.7</v>
      </c>
      <c r="BC4897">
        <v>55</v>
      </c>
      <c r="BD4897">
        <v>0.03</v>
      </c>
      <c r="BE4897">
        <v>0.02</v>
      </c>
      <c r="BF4897">
        <v>0.08</v>
      </c>
      <c r="BG4897">
        <v>93</v>
      </c>
      <c r="BH4897">
        <v>-0.01</v>
      </c>
      <c r="BI4897">
        <v>2.78</v>
      </c>
      <c r="BJ4897">
        <v>8</v>
      </c>
      <c r="BK4897">
        <v>6</v>
      </c>
      <c r="BL4897">
        <v>2.15</v>
      </c>
      <c r="BM4897">
        <v>-0.19</v>
      </c>
      <c r="BN4897">
        <v>1.06</v>
      </c>
      <c r="BO4897">
        <v>1.23</v>
      </c>
      <c r="BP4897">
        <v>-0.15</v>
      </c>
      <c r="BQ4897">
        <v>4.21</v>
      </c>
      <c r="BR4897">
        <v>-0.42</v>
      </c>
      <c r="BS4897">
        <v>0.26</v>
      </c>
      <c r="BT4897">
        <v>0.39</v>
      </c>
      <c r="BU4897">
        <v>1.55</v>
      </c>
      <c r="BV4897">
        <v>2.71</v>
      </c>
      <c r="BW4897">
        <v>2.48</v>
      </c>
      <c r="BX4897">
        <v>1.98</v>
      </c>
      <c r="BY4897">
        <v>1.9</v>
      </c>
      <c r="BZ4897">
        <v>-1.63</v>
      </c>
      <c r="CA4897">
        <v>2.54</v>
      </c>
      <c r="CB4897">
        <v>2.29</v>
      </c>
      <c r="CC4897">
        <v>1.37</v>
      </c>
      <c r="CD4897">
        <v>-0.49</v>
      </c>
      <c r="CE4897">
        <v>1.25</v>
      </c>
      <c r="CF4897">
        <v>1.94</v>
      </c>
      <c r="CG4897">
        <v>0</v>
      </c>
      <c r="CH4897">
        <v>2.1800000000000002</v>
      </c>
      <c r="CI4897">
        <v>0</v>
      </c>
      <c r="CJ4897">
        <v>-9.8000000000000007</v>
      </c>
      <c r="CK4897">
        <v>69</v>
      </c>
      <c r="CL4897">
        <v>-1.25</v>
      </c>
      <c r="CM4897">
        <v>66</v>
      </c>
      <c r="CN4897">
        <v>-0.84</v>
      </c>
      <c r="CO4897">
        <v>63</v>
      </c>
      <c r="CP4897">
        <v>-6</v>
      </c>
      <c r="CQ4897">
        <v>68</v>
      </c>
      <c r="CR4897">
        <v>0</v>
      </c>
      <c r="CS4897">
        <v>0</v>
      </c>
      <c r="CT4897">
        <v>6.1</v>
      </c>
      <c r="CU4897">
        <v>60</v>
      </c>
      <c r="CV4897">
        <v>-0.01</v>
      </c>
      <c r="CW4897">
        <v>39</v>
      </c>
      <c r="CX4897" t="s">
        <v>1185</v>
      </c>
    </row>
    <row r="4898" spans="1:102" x14ac:dyDescent="0.3">
      <c r="A4898" t="str">
        <f>HYPERLINK("https://webapp.icbf.com/v2/app/bull-search/view/77853112","TJR")</f>
        <v>TJR</v>
      </c>
      <c r="B4898" t="s">
        <v>680</v>
      </c>
      <c r="C4898" t="s">
        <v>681</v>
      </c>
      <c r="D4898" s="1">
        <v>34779</v>
      </c>
      <c r="E4898" t="s">
        <v>92</v>
      </c>
      <c r="F4898">
        <v>100</v>
      </c>
      <c r="G4898" t="s">
        <v>109</v>
      </c>
      <c r="H4898">
        <v>-212</v>
      </c>
      <c r="I4898">
        <v>58</v>
      </c>
      <c r="J4898">
        <v>-12.87</v>
      </c>
      <c r="K4898">
        <v>72</v>
      </c>
      <c r="L4898">
        <v>-128.33000000000001</v>
      </c>
      <c r="M4898">
        <v>63</v>
      </c>
      <c r="N4898">
        <v>-63.07</v>
      </c>
      <c r="O4898">
        <v>44</v>
      </c>
      <c r="P4898">
        <v>-8.33</v>
      </c>
      <c r="Q4898">
        <v>39</v>
      </c>
      <c r="R4898">
        <v>-11.54</v>
      </c>
      <c r="S4898">
        <v>52</v>
      </c>
      <c r="T4898">
        <v>10.27</v>
      </c>
      <c r="U4898">
        <v>35</v>
      </c>
      <c r="V4898">
        <v>1.87</v>
      </c>
      <c r="W4898">
        <v>25</v>
      </c>
      <c r="X4898" t="s">
        <v>251</v>
      </c>
      <c r="Y4898" t="s">
        <v>95</v>
      </c>
      <c r="Z4898" t="s">
        <v>96</v>
      </c>
      <c r="AA4898" t="s">
        <v>682</v>
      </c>
      <c r="AB4898" t="s">
        <v>683</v>
      </c>
      <c r="AC4898">
        <v>0</v>
      </c>
      <c r="AD4898">
        <v>0</v>
      </c>
      <c r="AE4898">
        <v>72</v>
      </c>
      <c r="AF4898">
        <v>136.18</v>
      </c>
      <c r="AG4898">
        <v>1.1200000000000001</v>
      </c>
      <c r="AH4898">
        <v>-0.5</v>
      </c>
      <c r="AI4898">
        <v>-7.0000000000000007E-2</v>
      </c>
      <c r="AJ4898">
        <v>-0.08</v>
      </c>
      <c r="AK4898">
        <v>63</v>
      </c>
      <c r="AL4898">
        <v>0</v>
      </c>
      <c r="AM4898">
        <v>0</v>
      </c>
      <c r="AN4898">
        <v>6.54</v>
      </c>
      <c r="AO4898">
        <v>-3.7</v>
      </c>
      <c r="AP4898">
        <v>3</v>
      </c>
      <c r="AQ4898">
        <v>0</v>
      </c>
      <c r="AR4898">
        <v>13.66</v>
      </c>
      <c r="AS4898">
        <v>27</v>
      </c>
      <c r="AT4898">
        <v>7.07</v>
      </c>
      <c r="AU4898">
        <v>70</v>
      </c>
      <c r="AV4898">
        <v>-0.71</v>
      </c>
      <c r="AW4898">
        <v>39</v>
      </c>
      <c r="AX4898">
        <v>-0.37</v>
      </c>
      <c r="AY4898">
        <v>35</v>
      </c>
      <c r="AZ4898">
        <v>6.7</v>
      </c>
      <c r="BA4898">
        <v>28</v>
      </c>
      <c r="BB4898">
        <v>4.37</v>
      </c>
      <c r="BC4898">
        <v>29</v>
      </c>
      <c r="BD4898">
        <v>0.05</v>
      </c>
      <c r="BE4898">
        <v>0.08</v>
      </c>
      <c r="BF4898">
        <v>0.03</v>
      </c>
      <c r="BG4898">
        <v>74</v>
      </c>
      <c r="BH4898">
        <v>0.15</v>
      </c>
      <c r="BI4898">
        <v>11.33</v>
      </c>
      <c r="BJ4898">
        <v>2</v>
      </c>
      <c r="BK4898">
        <v>2</v>
      </c>
      <c r="BL4898">
        <v>1.59</v>
      </c>
      <c r="BM4898">
        <v>0.63</v>
      </c>
      <c r="BN4898">
        <v>1.64</v>
      </c>
      <c r="BO4898">
        <v>1.06</v>
      </c>
      <c r="BP4898">
        <v>0.38</v>
      </c>
      <c r="BQ4898">
        <v>2</v>
      </c>
      <c r="BR4898">
        <v>-0.78</v>
      </c>
      <c r="BS4898">
        <v>-0.88</v>
      </c>
      <c r="BT4898">
        <v>0.82</v>
      </c>
      <c r="BU4898">
        <v>0.39</v>
      </c>
      <c r="BV4898">
        <v>1.71</v>
      </c>
      <c r="BW4898">
        <v>0.52</v>
      </c>
      <c r="BX4898">
        <v>0.27</v>
      </c>
      <c r="BY4898">
        <v>-0.3</v>
      </c>
      <c r="BZ4898">
        <v>0.37</v>
      </c>
      <c r="CA4898">
        <v>0.23</v>
      </c>
      <c r="CB4898">
        <v>0.66</v>
      </c>
      <c r="CC4898">
        <v>-0.55000000000000004</v>
      </c>
      <c r="CD4898">
        <v>-0.77</v>
      </c>
      <c r="CE4898">
        <v>0.83</v>
      </c>
      <c r="CF4898">
        <v>1.02</v>
      </c>
      <c r="CG4898">
        <v>0</v>
      </c>
      <c r="CH4898">
        <v>-0.12</v>
      </c>
      <c r="CI4898">
        <v>0</v>
      </c>
      <c r="CJ4898">
        <v>-3.9</v>
      </c>
      <c r="CK4898">
        <v>40</v>
      </c>
      <c r="CL4898">
        <v>-0.74</v>
      </c>
      <c r="CM4898">
        <v>38</v>
      </c>
      <c r="CN4898">
        <v>-0.44</v>
      </c>
      <c r="CO4898">
        <v>36</v>
      </c>
      <c r="CP4898">
        <v>-3.1</v>
      </c>
      <c r="CQ4898">
        <v>41</v>
      </c>
      <c r="CR4898">
        <v>0</v>
      </c>
      <c r="CS4898">
        <v>0</v>
      </c>
      <c r="CT4898">
        <v>-0.1</v>
      </c>
      <c r="CU4898">
        <v>35</v>
      </c>
      <c r="CV4898">
        <v>0.09</v>
      </c>
      <c r="CW4898">
        <v>11</v>
      </c>
      <c r="CX4898" t="s">
        <v>190</v>
      </c>
    </row>
    <row r="4899" spans="1:102" x14ac:dyDescent="0.3">
      <c r="A4899" t="str">
        <f>HYPERLINK("https://webapp.icbf.com/v2/app/bull-search/view/77854813","MRM")</f>
        <v>MRM</v>
      </c>
      <c r="B4899" t="s">
        <v>2896</v>
      </c>
      <c r="C4899" t="s">
        <v>2897</v>
      </c>
      <c r="D4899" s="1">
        <v>35280</v>
      </c>
      <c r="E4899" t="s">
        <v>92</v>
      </c>
      <c r="F4899">
        <v>100</v>
      </c>
      <c r="G4899" t="s">
        <v>93</v>
      </c>
      <c r="H4899">
        <v>-212.52</v>
      </c>
      <c r="I4899">
        <v>89</v>
      </c>
      <c r="J4899">
        <v>23.34</v>
      </c>
      <c r="K4899">
        <v>98</v>
      </c>
      <c r="L4899">
        <v>-127.35</v>
      </c>
      <c r="M4899">
        <v>85</v>
      </c>
      <c r="N4899">
        <v>-80.040000000000006</v>
      </c>
      <c r="O4899">
        <v>81</v>
      </c>
      <c r="P4899">
        <v>-11.06</v>
      </c>
      <c r="Q4899">
        <v>90</v>
      </c>
      <c r="R4899">
        <v>-25.53</v>
      </c>
      <c r="S4899">
        <v>83</v>
      </c>
      <c r="T4899">
        <v>10.5</v>
      </c>
      <c r="U4899">
        <v>87</v>
      </c>
      <c r="V4899">
        <v>-2.38</v>
      </c>
      <c r="W4899">
        <v>71</v>
      </c>
      <c r="X4899" t="s">
        <v>94</v>
      </c>
      <c r="Y4899" t="s">
        <v>95</v>
      </c>
      <c r="Z4899" t="s">
        <v>96</v>
      </c>
      <c r="AA4899" t="s">
        <v>2898</v>
      </c>
      <c r="AB4899" t="s">
        <v>2899</v>
      </c>
      <c r="AC4899">
        <v>207</v>
      </c>
      <c r="AD4899">
        <v>140</v>
      </c>
      <c r="AE4899">
        <v>98</v>
      </c>
      <c r="AF4899">
        <v>193.36</v>
      </c>
      <c r="AG4899">
        <v>-0.34</v>
      </c>
      <c r="AH4899">
        <v>7.05</v>
      </c>
      <c r="AI4899">
        <v>-0.13</v>
      </c>
      <c r="AJ4899">
        <v>0.01</v>
      </c>
      <c r="AK4899">
        <v>85</v>
      </c>
      <c r="AL4899">
        <v>187</v>
      </c>
      <c r="AM4899">
        <v>122</v>
      </c>
      <c r="AN4899">
        <v>6.63</v>
      </c>
      <c r="AO4899">
        <v>-3.53</v>
      </c>
      <c r="AP4899">
        <v>15</v>
      </c>
      <c r="AQ4899">
        <v>0</v>
      </c>
      <c r="AR4899">
        <v>14.98</v>
      </c>
      <c r="AS4899">
        <v>69</v>
      </c>
      <c r="AT4899">
        <v>6.04</v>
      </c>
      <c r="AU4899">
        <v>84</v>
      </c>
      <c r="AV4899">
        <v>0.82</v>
      </c>
      <c r="AW4899">
        <v>83</v>
      </c>
      <c r="AX4899">
        <v>0.15</v>
      </c>
      <c r="AY4899">
        <v>88</v>
      </c>
      <c r="AZ4899">
        <v>8.84</v>
      </c>
      <c r="BA4899">
        <v>65</v>
      </c>
      <c r="BB4899">
        <v>6.26</v>
      </c>
      <c r="BC4899">
        <v>77</v>
      </c>
      <c r="BD4899">
        <v>0.12</v>
      </c>
      <c r="BE4899">
        <v>0.13</v>
      </c>
      <c r="BF4899">
        <v>0.14000000000000001</v>
      </c>
      <c r="BG4899">
        <v>94</v>
      </c>
      <c r="BH4899">
        <v>0.06</v>
      </c>
      <c r="BI4899">
        <v>14.61</v>
      </c>
      <c r="BJ4899">
        <v>5</v>
      </c>
      <c r="BK4899">
        <v>5</v>
      </c>
      <c r="BL4899">
        <v>0.21</v>
      </c>
      <c r="BM4899">
        <v>1.0900000000000001</v>
      </c>
      <c r="BN4899">
        <v>0.98</v>
      </c>
      <c r="BO4899">
        <v>0.03</v>
      </c>
      <c r="BP4899">
        <v>1.47</v>
      </c>
      <c r="BQ4899">
        <v>1.01</v>
      </c>
      <c r="BR4899">
        <v>1.94</v>
      </c>
      <c r="BS4899">
        <v>0.31</v>
      </c>
      <c r="BT4899">
        <v>-0.99</v>
      </c>
      <c r="BU4899">
        <v>-1.26</v>
      </c>
      <c r="BV4899">
        <v>-0.51</v>
      </c>
      <c r="BW4899">
        <v>-1.88</v>
      </c>
      <c r="BX4899">
        <v>-1.78</v>
      </c>
      <c r="BY4899">
        <v>-0.92</v>
      </c>
      <c r="BZ4899">
        <v>-1.87</v>
      </c>
      <c r="CA4899">
        <v>-0.91</v>
      </c>
      <c r="CB4899">
        <v>-1.03</v>
      </c>
      <c r="CC4899">
        <v>-0.28000000000000003</v>
      </c>
      <c r="CD4899">
        <v>0.84</v>
      </c>
      <c r="CE4899">
        <v>0.37</v>
      </c>
      <c r="CF4899">
        <v>1.23</v>
      </c>
      <c r="CG4899">
        <v>0</v>
      </c>
      <c r="CH4899">
        <v>-1.1399999999999999</v>
      </c>
      <c r="CI4899">
        <v>0</v>
      </c>
      <c r="CJ4899">
        <v>-2.6</v>
      </c>
      <c r="CK4899">
        <v>91</v>
      </c>
      <c r="CL4899">
        <v>-0.71</v>
      </c>
      <c r="CM4899">
        <v>89</v>
      </c>
      <c r="CN4899">
        <v>-0.04</v>
      </c>
      <c r="CO4899">
        <v>87</v>
      </c>
      <c r="CP4899">
        <v>-4.0999999999999996</v>
      </c>
      <c r="CQ4899">
        <v>93</v>
      </c>
      <c r="CR4899">
        <v>0</v>
      </c>
      <c r="CS4899">
        <v>0</v>
      </c>
      <c r="CT4899">
        <v>-0.4</v>
      </c>
      <c r="CU4899">
        <v>87</v>
      </c>
      <c r="CV4899">
        <v>0.13</v>
      </c>
      <c r="CW4899">
        <v>44</v>
      </c>
      <c r="CX4899" t="s">
        <v>485</v>
      </c>
    </row>
    <row r="4900" spans="1:102" x14ac:dyDescent="0.3">
      <c r="A4900" t="str">
        <f>HYPERLINK("https://webapp.icbf.com/v2/app/bull-search/view/63338235","LUS")</f>
        <v>LUS</v>
      </c>
      <c r="B4900" t="s">
        <v>7332</v>
      </c>
      <c r="C4900" t="s">
        <v>7333</v>
      </c>
      <c r="D4900" s="1">
        <v>34978</v>
      </c>
      <c r="E4900" t="s">
        <v>92</v>
      </c>
      <c r="F4900">
        <v>100</v>
      </c>
      <c r="G4900" t="s">
        <v>93</v>
      </c>
      <c r="H4900">
        <v>-213.41</v>
      </c>
      <c r="I4900">
        <v>84</v>
      </c>
      <c r="J4900">
        <v>-28.95</v>
      </c>
      <c r="K4900">
        <v>97</v>
      </c>
      <c r="L4900">
        <v>-190.74</v>
      </c>
      <c r="M4900">
        <v>73</v>
      </c>
      <c r="N4900">
        <v>18.96</v>
      </c>
      <c r="O4900">
        <v>80</v>
      </c>
      <c r="P4900">
        <v>-5.68</v>
      </c>
      <c r="Q4900">
        <v>91</v>
      </c>
      <c r="R4900">
        <v>-4.6100000000000003</v>
      </c>
      <c r="S4900">
        <v>76</v>
      </c>
      <c r="T4900">
        <v>1.69</v>
      </c>
      <c r="U4900">
        <v>87</v>
      </c>
      <c r="V4900">
        <v>-4.08</v>
      </c>
      <c r="W4900">
        <v>54</v>
      </c>
      <c r="X4900" t="s">
        <v>276</v>
      </c>
      <c r="Y4900" t="s">
        <v>95</v>
      </c>
      <c r="Z4900" t="s">
        <v>96</v>
      </c>
      <c r="AA4900" t="s">
        <v>924</v>
      </c>
      <c r="AB4900" t="s">
        <v>7334</v>
      </c>
      <c r="AC4900">
        <v>150</v>
      </c>
      <c r="AD4900">
        <v>90</v>
      </c>
      <c r="AE4900">
        <v>97</v>
      </c>
      <c r="AF4900">
        <v>139.88</v>
      </c>
      <c r="AG4900">
        <v>-4.5599999999999996</v>
      </c>
      <c r="AH4900">
        <v>-1.17</v>
      </c>
      <c r="AI4900">
        <v>-0.16</v>
      </c>
      <c r="AJ4900">
        <v>-0.1</v>
      </c>
      <c r="AK4900">
        <v>73</v>
      </c>
      <c r="AL4900">
        <v>139</v>
      </c>
      <c r="AM4900">
        <v>77</v>
      </c>
      <c r="AN4900">
        <v>11.3</v>
      </c>
      <c r="AO4900">
        <v>-3.9</v>
      </c>
      <c r="AP4900">
        <v>81</v>
      </c>
      <c r="AQ4900">
        <v>0</v>
      </c>
      <c r="AR4900">
        <v>7.01</v>
      </c>
      <c r="AS4900">
        <v>68</v>
      </c>
      <c r="AT4900">
        <v>3.31</v>
      </c>
      <c r="AU4900">
        <v>78</v>
      </c>
      <c r="AV4900">
        <v>-1.86</v>
      </c>
      <c r="AW4900">
        <v>87</v>
      </c>
      <c r="AX4900">
        <v>-0.19</v>
      </c>
      <c r="AY4900">
        <v>86</v>
      </c>
      <c r="AZ4900">
        <v>5.68</v>
      </c>
      <c r="BA4900">
        <v>62</v>
      </c>
      <c r="BB4900">
        <v>4.43</v>
      </c>
      <c r="BC4900">
        <v>68</v>
      </c>
      <c r="BD4900">
        <v>0.03</v>
      </c>
      <c r="BE4900">
        <v>0.04</v>
      </c>
      <c r="BF4900">
        <v>-0.02</v>
      </c>
      <c r="BG4900">
        <v>89</v>
      </c>
      <c r="BH4900">
        <v>0.02</v>
      </c>
      <c r="BI4900">
        <v>15.49</v>
      </c>
      <c r="BJ4900">
        <v>25</v>
      </c>
      <c r="BK4900">
        <v>12</v>
      </c>
      <c r="BL4900">
        <v>0.17</v>
      </c>
      <c r="BM4900">
        <v>-0.21</v>
      </c>
      <c r="BN4900">
        <v>0.05</v>
      </c>
      <c r="BO4900">
        <v>0.08</v>
      </c>
      <c r="BP4900">
        <v>0.54</v>
      </c>
      <c r="BQ4900">
        <v>-0.89</v>
      </c>
      <c r="BR4900">
        <v>0.83</v>
      </c>
      <c r="BS4900">
        <v>-1.23</v>
      </c>
      <c r="BT4900">
        <v>-0.6</v>
      </c>
      <c r="BU4900">
        <v>-0.15</v>
      </c>
      <c r="BV4900">
        <v>-0.2</v>
      </c>
      <c r="BW4900">
        <v>-0.11</v>
      </c>
      <c r="BX4900">
        <v>0</v>
      </c>
      <c r="BY4900">
        <v>0.24</v>
      </c>
      <c r="BZ4900">
        <v>2.25</v>
      </c>
      <c r="CA4900">
        <v>-0.28999999999999998</v>
      </c>
      <c r="CB4900">
        <v>7.0000000000000007E-2</v>
      </c>
      <c r="CC4900">
        <v>-0.93</v>
      </c>
      <c r="CD4900">
        <v>7.0000000000000007E-2</v>
      </c>
      <c r="CE4900">
        <v>-0.18</v>
      </c>
      <c r="CF4900">
        <v>0.21</v>
      </c>
      <c r="CG4900">
        <v>0</v>
      </c>
      <c r="CH4900">
        <v>-0.87</v>
      </c>
      <c r="CI4900">
        <v>0</v>
      </c>
      <c r="CJ4900">
        <v>-2.8</v>
      </c>
      <c r="CK4900">
        <v>92</v>
      </c>
      <c r="CL4900">
        <v>-0.63</v>
      </c>
      <c r="CM4900">
        <v>91</v>
      </c>
      <c r="CN4900">
        <v>-0.41</v>
      </c>
      <c r="CO4900">
        <v>89</v>
      </c>
      <c r="CP4900">
        <v>-0.8</v>
      </c>
      <c r="CQ4900">
        <v>93</v>
      </c>
      <c r="CR4900">
        <v>0</v>
      </c>
      <c r="CS4900">
        <v>0</v>
      </c>
      <c r="CT4900">
        <v>11.5</v>
      </c>
      <c r="CU4900">
        <v>87</v>
      </c>
      <c r="CV4900">
        <v>0.02</v>
      </c>
      <c r="CW4900">
        <v>26</v>
      </c>
      <c r="CX4900" t="s">
        <v>111</v>
      </c>
    </row>
    <row r="4901" spans="1:102" x14ac:dyDescent="0.3">
      <c r="A4901" t="str">
        <f>HYPERLINK("https://webapp.icbf.com/v2/app/bull-search/view/77854684","PBP")</f>
        <v>PBP</v>
      </c>
      <c r="B4901" t="s">
        <v>7937</v>
      </c>
      <c r="C4901" t="s">
        <v>7938</v>
      </c>
      <c r="D4901" s="1">
        <v>33214</v>
      </c>
      <c r="E4901" t="s">
        <v>92</v>
      </c>
      <c r="F4901">
        <v>100</v>
      </c>
      <c r="G4901" t="s">
        <v>93</v>
      </c>
      <c r="H4901">
        <v>-213.43</v>
      </c>
      <c r="I4901">
        <v>82</v>
      </c>
      <c r="J4901">
        <v>-10.28</v>
      </c>
      <c r="K4901">
        <v>97</v>
      </c>
      <c r="L4901">
        <v>-194.13</v>
      </c>
      <c r="M4901">
        <v>78</v>
      </c>
      <c r="N4901">
        <v>-2.02</v>
      </c>
      <c r="O4901">
        <v>69</v>
      </c>
      <c r="P4901">
        <v>-13.45</v>
      </c>
      <c r="Q4901">
        <v>86</v>
      </c>
      <c r="R4901">
        <v>-18.37</v>
      </c>
      <c r="S4901">
        <v>72</v>
      </c>
      <c r="T4901">
        <v>24.78</v>
      </c>
      <c r="U4901">
        <v>80</v>
      </c>
      <c r="V4901">
        <v>0.04</v>
      </c>
      <c r="W4901">
        <v>36</v>
      </c>
      <c r="X4901" t="s">
        <v>94</v>
      </c>
      <c r="Y4901" t="s">
        <v>95</v>
      </c>
      <c r="Z4901" t="s">
        <v>96</v>
      </c>
      <c r="AA4901" t="s">
        <v>118</v>
      </c>
      <c r="AB4901" t="s">
        <v>7939</v>
      </c>
      <c r="AC4901">
        <v>139</v>
      </c>
      <c r="AD4901">
        <v>84</v>
      </c>
      <c r="AE4901">
        <v>97</v>
      </c>
      <c r="AF4901">
        <v>60.16</v>
      </c>
      <c r="AG4901">
        <v>-2.14</v>
      </c>
      <c r="AH4901">
        <v>-7.0000000000000007E-2</v>
      </c>
      <c r="AI4901">
        <v>-7.0000000000000007E-2</v>
      </c>
      <c r="AJ4901">
        <v>-0.03</v>
      </c>
      <c r="AK4901">
        <v>78</v>
      </c>
      <c r="AL4901">
        <v>137</v>
      </c>
      <c r="AM4901">
        <v>84</v>
      </c>
      <c r="AN4901">
        <v>9.15</v>
      </c>
      <c r="AO4901">
        <v>-6.35</v>
      </c>
      <c r="AP4901">
        <v>4</v>
      </c>
      <c r="AQ4901">
        <v>0</v>
      </c>
      <c r="AR4901">
        <v>9.09</v>
      </c>
      <c r="AS4901">
        <v>40</v>
      </c>
      <c r="AT4901">
        <v>4.3</v>
      </c>
      <c r="AU4901">
        <v>65</v>
      </c>
      <c r="AV4901">
        <v>-1.3</v>
      </c>
      <c r="AW4901">
        <v>77</v>
      </c>
      <c r="AX4901">
        <v>0</v>
      </c>
      <c r="AY4901">
        <v>84</v>
      </c>
      <c r="AZ4901">
        <v>5.27</v>
      </c>
      <c r="BA4901">
        <v>42</v>
      </c>
      <c r="BB4901">
        <v>4.5999999999999996</v>
      </c>
      <c r="BC4901">
        <v>64</v>
      </c>
      <c r="BD4901">
        <v>0.05</v>
      </c>
      <c r="BE4901">
        <v>0.11</v>
      </c>
      <c r="BF4901">
        <v>0.13</v>
      </c>
      <c r="BG4901">
        <v>89</v>
      </c>
      <c r="BH4901">
        <v>-0.04</v>
      </c>
      <c r="BI4901">
        <v>-4.74</v>
      </c>
      <c r="BJ4901">
        <v>3</v>
      </c>
      <c r="BK4901">
        <v>2</v>
      </c>
      <c r="BL4901">
        <v>0.69</v>
      </c>
      <c r="BM4901">
        <v>1.54</v>
      </c>
      <c r="BN4901">
        <v>2.19</v>
      </c>
      <c r="BO4901">
        <v>0.52</v>
      </c>
      <c r="BP4901">
        <v>-0.87</v>
      </c>
      <c r="BQ4901">
        <v>0.83</v>
      </c>
      <c r="BR4901">
        <v>-0.68</v>
      </c>
      <c r="BS4901">
        <v>-1.47</v>
      </c>
      <c r="BT4901">
        <v>-0.36</v>
      </c>
      <c r="BU4901">
        <v>-1.52</v>
      </c>
      <c r="BV4901">
        <v>-0.99</v>
      </c>
      <c r="BW4901">
        <v>7.0000000000000007E-2</v>
      </c>
      <c r="BX4901">
        <v>-1.95</v>
      </c>
      <c r="BY4901">
        <v>-0.27</v>
      </c>
      <c r="BZ4901">
        <v>-0.15</v>
      </c>
      <c r="CA4901">
        <v>-1.26</v>
      </c>
      <c r="CB4901">
        <v>-0.91</v>
      </c>
      <c r="CC4901">
        <v>-1.1100000000000001</v>
      </c>
      <c r="CD4901">
        <v>-0.52</v>
      </c>
      <c r="CE4901">
        <v>0.87</v>
      </c>
      <c r="CF4901">
        <v>1.65</v>
      </c>
      <c r="CG4901">
        <v>0</v>
      </c>
      <c r="CH4901">
        <v>-0.17</v>
      </c>
      <c r="CI4901">
        <v>0</v>
      </c>
      <c r="CJ4901">
        <v>-4</v>
      </c>
      <c r="CK4901">
        <v>87</v>
      </c>
      <c r="CL4901">
        <v>-0.59</v>
      </c>
      <c r="CM4901">
        <v>85</v>
      </c>
      <c r="CN4901">
        <v>-0.03</v>
      </c>
      <c r="CO4901">
        <v>83</v>
      </c>
      <c r="CP4901">
        <v>-14.6</v>
      </c>
      <c r="CQ4901">
        <v>90</v>
      </c>
      <c r="CR4901">
        <v>0</v>
      </c>
      <c r="CS4901">
        <v>0</v>
      </c>
      <c r="CT4901">
        <v>-19.7</v>
      </c>
      <c r="CU4901">
        <v>80</v>
      </c>
      <c r="CV4901">
        <v>0.17</v>
      </c>
      <c r="CW4901">
        <v>25</v>
      </c>
      <c r="CX4901" t="s">
        <v>6504</v>
      </c>
    </row>
    <row r="4902" spans="1:102" x14ac:dyDescent="0.3">
      <c r="A4902" t="str">
        <f>HYPERLINK("https://webapp.icbf.com/v2/app/bull-search/view/77853688","SBC")</f>
        <v>SBC</v>
      </c>
      <c r="B4902" t="s">
        <v>11435</v>
      </c>
      <c r="C4902" t="s">
        <v>11436</v>
      </c>
      <c r="D4902" s="1">
        <v>35335</v>
      </c>
      <c r="E4902" t="s">
        <v>92</v>
      </c>
      <c r="F4902">
        <v>100</v>
      </c>
      <c r="G4902" t="s">
        <v>93</v>
      </c>
      <c r="H4902">
        <v>-213.89</v>
      </c>
      <c r="I4902">
        <v>76</v>
      </c>
      <c r="J4902">
        <v>-33.94</v>
      </c>
      <c r="K4902">
        <v>94</v>
      </c>
      <c r="L4902">
        <v>-185.29</v>
      </c>
      <c r="M4902">
        <v>64</v>
      </c>
      <c r="N4902">
        <v>10.07</v>
      </c>
      <c r="O4902">
        <v>62</v>
      </c>
      <c r="P4902">
        <v>-4.53</v>
      </c>
      <c r="Q4902">
        <v>80</v>
      </c>
      <c r="R4902">
        <v>-7.13</v>
      </c>
      <c r="S4902">
        <v>64</v>
      </c>
      <c r="T4902">
        <v>5.98</v>
      </c>
      <c r="U4902">
        <v>90</v>
      </c>
      <c r="V4902">
        <v>0.95</v>
      </c>
      <c r="W4902">
        <v>30</v>
      </c>
      <c r="X4902" t="s">
        <v>94</v>
      </c>
      <c r="Y4902" t="s">
        <v>95</v>
      </c>
      <c r="Z4902" t="s">
        <v>96</v>
      </c>
      <c r="AA4902" t="s">
        <v>3553</v>
      </c>
      <c r="AB4902" t="s">
        <v>11437</v>
      </c>
      <c r="AC4902">
        <v>86</v>
      </c>
      <c r="AD4902">
        <v>69</v>
      </c>
      <c r="AE4902">
        <v>94</v>
      </c>
      <c r="AF4902">
        <v>-13.76</v>
      </c>
      <c r="AG4902">
        <v>-5.07</v>
      </c>
      <c r="AH4902">
        <v>-4.1900000000000004</v>
      </c>
      <c r="AI4902">
        <v>-0.08</v>
      </c>
      <c r="AJ4902">
        <v>-0.06</v>
      </c>
      <c r="AK4902">
        <v>64</v>
      </c>
      <c r="AL4902">
        <v>86</v>
      </c>
      <c r="AM4902">
        <v>69</v>
      </c>
      <c r="AN4902">
        <v>9.0399999999999991</v>
      </c>
      <c r="AO4902">
        <v>-5.75</v>
      </c>
      <c r="AP4902">
        <v>3</v>
      </c>
      <c r="AQ4902">
        <v>0</v>
      </c>
      <c r="AR4902">
        <v>8.2200000000000006</v>
      </c>
      <c r="AS4902">
        <v>35</v>
      </c>
      <c r="AT4902">
        <v>3.92</v>
      </c>
      <c r="AU4902">
        <v>59</v>
      </c>
      <c r="AV4902">
        <v>-2.42</v>
      </c>
      <c r="AW4902">
        <v>69</v>
      </c>
      <c r="AX4902">
        <v>1.68</v>
      </c>
      <c r="AY4902">
        <v>78</v>
      </c>
      <c r="AZ4902">
        <v>5.37</v>
      </c>
      <c r="BA4902">
        <v>37</v>
      </c>
      <c r="BB4902">
        <v>4.37</v>
      </c>
      <c r="BC4902">
        <v>54</v>
      </c>
      <c r="BD4902">
        <v>0.06</v>
      </c>
      <c r="BE4902">
        <v>0.06</v>
      </c>
      <c r="BF4902">
        <v>-0.05</v>
      </c>
      <c r="BG4902">
        <v>81</v>
      </c>
      <c r="BH4902">
        <v>0</v>
      </c>
      <c r="BI4902">
        <v>-3.07</v>
      </c>
      <c r="BJ4902">
        <v>7</v>
      </c>
      <c r="BK4902">
        <v>5</v>
      </c>
      <c r="BL4902">
        <v>0.59</v>
      </c>
      <c r="BM4902">
        <v>-0.63</v>
      </c>
      <c r="BN4902">
        <v>0.39</v>
      </c>
      <c r="BO4902">
        <v>0.53</v>
      </c>
      <c r="BP4902">
        <v>0.56000000000000005</v>
      </c>
      <c r="BQ4902">
        <v>-0.64</v>
      </c>
      <c r="BR4902">
        <v>-0.75</v>
      </c>
      <c r="BS4902">
        <v>-0.23</v>
      </c>
      <c r="BT4902">
        <v>1.62</v>
      </c>
      <c r="BU4902">
        <v>-0.59</v>
      </c>
      <c r="BV4902">
        <v>-0.35</v>
      </c>
      <c r="BW4902">
        <v>-0.39</v>
      </c>
      <c r="BX4902">
        <v>-0.26</v>
      </c>
      <c r="BY4902">
        <v>-0.43</v>
      </c>
      <c r="BZ4902">
        <v>0.12</v>
      </c>
      <c r="CA4902">
        <v>-0.38</v>
      </c>
      <c r="CB4902">
        <v>-0.5</v>
      </c>
      <c r="CC4902">
        <v>0.06</v>
      </c>
      <c r="CD4902">
        <v>-0.99</v>
      </c>
      <c r="CE4902">
        <v>0.01</v>
      </c>
      <c r="CF4902">
        <v>-0.03</v>
      </c>
      <c r="CG4902">
        <v>0</v>
      </c>
      <c r="CH4902">
        <v>0.14000000000000001</v>
      </c>
      <c r="CI4902">
        <v>0</v>
      </c>
      <c r="CJ4902">
        <v>-3.6</v>
      </c>
      <c r="CK4902">
        <v>81</v>
      </c>
      <c r="CL4902">
        <v>-0.53</v>
      </c>
      <c r="CM4902">
        <v>78</v>
      </c>
      <c r="CN4902">
        <v>-0.51</v>
      </c>
      <c r="CO4902">
        <v>74</v>
      </c>
      <c r="CP4902">
        <v>-0.4</v>
      </c>
      <c r="CQ4902">
        <v>89</v>
      </c>
      <c r="CR4902">
        <v>0</v>
      </c>
      <c r="CS4902">
        <v>0</v>
      </c>
      <c r="CT4902">
        <v>5.7</v>
      </c>
      <c r="CU4902">
        <v>90</v>
      </c>
      <c r="CV4902">
        <v>0.04</v>
      </c>
      <c r="CW4902">
        <v>22</v>
      </c>
      <c r="CX4902" t="s">
        <v>168</v>
      </c>
    </row>
    <row r="4903" spans="1:102" x14ac:dyDescent="0.3">
      <c r="A4903" t="str">
        <f>HYPERLINK("https://webapp.icbf.com/v2/app/bull-search/view/77853451","SRR")</f>
        <v>SRR</v>
      </c>
      <c r="B4903" t="s">
        <v>865</v>
      </c>
      <c r="C4903" t="s">
        <v>866</v>
      </c>
      <c r="D4903" s="1">
        <v>33296</v>
      </c>
      <c r="E4903" t="s">
        <v>92</v>
      </c>
      <c r="F4903">
        <v>100</v>
      </c>
      <c r="G4903" t="s">
        <v>93</v>
      </c>
      <c r="H4903">
        <v>-214.38</v>
      </c>
      <c r="I4903">
        <v>94</v>
      </c>
      <c r="J4903">
        <v>-24.25</v>
      </c>
      <c r="K4903">
        <v>99</v>
      </c>
      <c r="L4903">
        <v>-164.14</v>
      </c>
      <c r="M4903">
        <v>93</v>
      </c>
      <c r="N4903">
        <v>-26.46</v>
      </c>
      <c r="O4903">
        <v>90</v>
      </c>
      <c r="P4903">
        <v>-3.79</v>
      </c>
      <c r="Q4903">
        <v>95</v>
      </c>
      <c r="R4903">
        <v>-11.15</v>
      </c>
      <c r="S4903">
        <v>87</v>
      </c>
      <c r="T4903">
        <v>16.27</v>
      </c>
      <c r="U4903">
        <v>93</v>
      </c>
      <c r="V4903">
        <v>-0.86</v>
      </c>
      <c r="W4903">
        <v>78</v>
      </c>
      <c r="X4903" t="s">
        <v>251</v>
      </c>
      <c r="Y4903" t="s">
        <v>95</v>
      </c>
      <c r="Z4903" t="s">
        <v>96</v>
      </c>
      <c r="AA4903" t="s">
        <v>132</v>
      </c>
      <c r="AB4903" t="s">
        <v>867</v>
      </c>
      <c r="AC4903">
        <v>454</v>
      </c>
      <c r="AD4903">
        <v>250</v>
      </c>
      <c r="AE4903">
        <v>99</v>
      </c>
      <c r="AF4903">
        <v>24.09</v>
      </c>
      <c r="AG4903">
        <v>3.46</v>
      </c>
      <c r="AH4903">
        <v>-4.9800000000000004</v>
      </c>
      <c r="AI4903">
        <v>0.04</v>
      </c>
      <c r="AJ4903">
        <v>-0.1</v>
      </c>
      <c r="AK4903">
        <v>93</v>
      </c>
      <c r="AL4903">
        <v>425</v>
      </c>
      <c r="AM4903">
        <v>198</v>
      </c>
      <c r="AN4903">
        <v>8.15</v>
      </c>
      <c r="AO4903">
        <v>-4.95</v>
      </c>
      <c r="AP4903">
        <v>23</v>
      </c>
      <c r="AQ4903">
        <v>0</v>
      </c>
      <c r="AR4903">
        <v>8.59</v>
      </c>
      <c r="AS4903">
        <v>82</v>
      </c>
      <c r="AT4903">
        <v>3.48</v>
      </c>
      <c r="AU4903">
        <v>93</v>
      </c>
      <c r="AV4903">
        <v>0.9</v>
      </c>
      <c r="AW4903">
        <v>91</v>
      </c>
      <c r="AX4903">
        <v>-0.18</v>
      </c>
      <c r="AY4903">
        <v>93</v>
      </c>
      <c r="AZ4903">
        <v>8.4700000000000006</v>
      </c>
      <c r="BA4903">
        <v>80</v>
      </c>
      <c r="BB4903">
        <v>6.81</v>
      </c>
      <c r="BC4903">
        <v>85</v>
      </c>
      <c r="BD4903">
        <v>0.05</v>
      </c>
      <c r="BE4903">
        <v>7.0000000000000007E-2</v>
      </c>
      <c r="BF4903">
        <v>0.04</v>
      </c>
      <c r="BG4903">
        <v>97</v>
      </c>
      <c r="BH4903">
        <v>0.03</v>
      </c>
      <c r="BI4903">
        <v>6.23</v>
      </c>
      <c r="BJ4903">
        <v>115</v>
      </c>
      <c r="BK4903">
        <v>68</v>
      </c>
      <c r="BL4903">
        <v>0.48</v>
      </c>
      <c r="BM4903">
        <v>-2.63</v>
      </c>
      <c r="BN4903">
        <v>-0.64</v>
      </c>
      <c r="BO4903">
        <v>0.87</v>
      </c>
      <c r="BP4903">
        <v>-2.97</v>
      </c>
      <c r="BQ4903">
        <v>-2.63</v>
      </c>
      <c r="BR4903">
        <v>0.5</v>
      </c>
      <c r="BS4903">
        <v>-1.68</v>
      </c>
      <c r="BT4903">
        <v>0.16</v>
      </c>
      <c r="BU4903">
        <v>-0.05</v>
      </c>
      <c r="BV4903">
        <v>0.79</v>
      </c>
      <c r="BW4903">
        <v>-0.15</v>
      </c>
      <c r="BX4903">
        <v>-0.13</v>
      </c>
      <c r="BY4903">
        <v>0.53</v>
      </c>
      <c r="BZ4903">
        <v>1.0900000000000001</v>
      </c>
      <c r="CA4903">
        <v>0</v>
      </c>
      <c r="CB4903">
        <v>0.1</v>
      </c>
      <c r="CC4903">
        <v>-0.5</v>
      </c>
      <c r="CD4903">
        <v>-2.08</v>
      </c>
      <c r="CE4903">
        <v>0.53</v>
      </c>
      <c r="CF4903">
        <v>-1.28</v>
      </c>
      <c r="CG4903">
        <v>0</v>
      </c>
      <c r="CH4903">
        <v>0.36</v>
      </c>
      <c r="CI4903">
        <v>0</v>
      </c>
      <c r="CJ4903">
        <v>0.6</v>
      </c>
      <c r="CK4903">
        <v>95</v>
      </c>
      <c r="CL4903">
        <v>-0.55000000000000004</v>
      </c>
      <c r="CM4903">
        <v>94</v>
      </c>
      <c r="CN4903">
        <v>-0.19</v>
      </c>
      <c r="CO4903">
        <v>93</v>
      </c>
      <c r="CP4903">
        <v>-7.8</v>
      </c>
      <c r="CQ4903">
        <v>97</v>
      </c>
      <c r="CR4903">
        <v>0</v>
      </c>
      <c r="CS4903">
        <v>0</v>
      </c>
      <c r="CT4903">
        <v>-8.1999999999999993</v>
      </c>
      <c r="CU4903">
        <v>93</v>
      </c>
      <c r="CV4903">
        <v>0.12</v>
      </c>
      <c r="CW4903">
        <v>45</v>
      </c>
      <c r="CX4903" t="s">
        <v>543</v>
      </c>
    </row>
    <row r="4904" spans="1:102" x14ac:dyDescent="0.3">
      <c r="A4904" t="str">
        <f>HYPERLINK("https://webapp.icbf.com/v2/app/bull-search/view/68507281","DCJ")</f>
        <v>DCJ</v>
      </c>
      <c r="B4904" t="s">
        <v>5003</v>
      </c>
      <c r="C4904" t="s">
        <v>105</v>
      </c>
      <c r="D4904" s="1">
        <v>32520</v>
      </c>
      <c r="E4904" t="s">
        <v>92</v>
      </c>
      <c r="F4904">
        <v>100</v>
      </c>
      <c r="G4904" t="s">
        <v>93</v>
      </c>
      <c r="H4904">
        <v>-214.39</v>
      </c>
      <c r="I4904">
        <v>98</v>
      </c>
      <c r="J4904">
        <v>20.22</v>
      </c>
      <c r="K4904">
        <v>99</v>
      </c>
      <c r="L4904">
        <v>-170.69</v>
      </c>
      <c r="M4904">
        <v>97</v>
      </c>
      <c r="N4904">
        <v>-50.99</v>
      </c>
      <c r="O4904">
        <v>98</v>
      </c>
      <c r="P4904">
        <v>-10.84</v>
      </c>
      <c r="Q4904">
        <v>99</v>
      </c>
      <c r="R4904">
        <v>-11.19</v>
      </c>
      <c r="S4904">
        <v>96</v>
      </c>
      <c r="T4904">
        <v>18.190000000000001</v>
      </c>
      <c r="U4904">
        <v>99</v>
      </c>
      <c r="V4904">
        <v>-9.09</v>
      </c>
      <c r="W4904">
        <v>95</v>
      </c>
      <c r="X4904" t="s">
        <v>94</v>
      </c>
      <c r="Y4904" t="s">
        <v>95</v>
      </c>
      <c r="Z4904" t="s">
        <v>96</v>
      </c>
      <c r="AA4904" t="s">
        <v>166</v>
      </c>
      <c r="AB4904" t="s">
        <v>5004</v>
      </c>
      <c r="AC4904">
        <v>3325</v>
      </c>
      <c r="AD4904">
        <v>1447</v>
      </c>
      <c r="AE4904">
        <v>99</v>
      </c>
      <c r="AF4904">
        <v>96.98</v>
      </c>
      <c r="AG4904">
        <v>4.5599999999999996</v>
      </c>
      <c r="AH4904">
        <v>3.31</v>
      </c>
      <c r="AI4904">
        <v>0.01</v>
      </c>
      <c r="AJ4904">
        <v>0</v>
      </c>
      <c r="AK4904">
        <v>97</v>
      </c>
      <c r="AL4904">
        <v>3485</v>
      </c>
      <c r="AM4904">
        <v>1522</v>
      </c>
      <c r="AN4904">
        <v>10.28</v>
      </c>
      <c r="AO4904">
        <v>-3.32</v>
      </c>
      <c r="AP4904">
        <v>47</v>
      </c>
      <c r="AQ4904">
        <v>1</v>
      </c>
      <c r="AR4904">
        <v>12.03</v>
      </c>
      <c r="AS4904">
        <v>95</v>
      </c>
      <c r="AT4904">
        <v>5.45</v>
      </c>
      <c r="AU4904">
        <v>99</v>
      </c>
      <c r="AV4904">
        <v>1.89</v>
      </c>
      <c r="AW4904">
        <v>99</v>
      </c>
      <c r="AX4904">
        <v>-0.09</v>
      </c>
      <c r="AY4904">
        <v>99</v>
      </c>
      <c r="AZ4904">
        <v>5.26</v>
      </c>
      <c r="BA4904">
        <v>95</v>
      </c>
      <c r="BB4904">
        <v>4.4000000000000004</v>
      </c>
      <c r="BC4904">
        <v>98</v>
      </c>
      <c r="BD4904">
        <v>0.08</v>
      </c>
      <c r="BE4904">
        <v>0.06</v>
      </c>
      <c r="BF4904">
        <v>0.01</v>
      </c>
      <c r="BG4904">
        <v>99</v>
      </c>
      <c r="BH4904">
        <v>-0.06</v>
      </c>
      <c r="BI4904">
        <v>22.37</v>
      </c>
      <c r="BJ4904">
        <v>418</v>
      </c>
      <c r="BK4904">
        <v>206</v>
      </c>
      <c r="BL4904">
        <v>0.38</v>
      </c>
      <c r="BM4904">
        <v>-0.31</v>
      </c>
      <c r="BN4904">
        <v>1.05</v>
      </c>
      <c r="BO4904">
        <v>0.94</v>
      </c>
      <c r="BP4904">
        <v>-0.41</v>
      </c>
      <c r="BQ4904">
        <v>-0.85</v>
      </c>
      <c r="BR4904">
        <v>-2.11</v>
      </c>
      <c r="BS4904">
        <v>0.91</v>
      </c>
      <c r="BT4904">
        <v>2.39</v>
      </c>
      <c r="BU4904">
        <v>-0.65</v>
      </c>
      <c r="BV4904">
        <v>0.4</v>
      </c>
      <c r="BW4904">
        <v>0.68</v>
      </c>
      <c r="BX4904">
        <v>-0.93</v>
      </c>
      <c r="BY4904">
        <v>0.25</v>
      </c>
      <c r="BZ4904">
        <v>2.4500000000000002</v>
      </c>
      <c r="CA4904">
        <v>0.76</v>
      </c>
      <c r="CB4904">
        <v>0.59</v>
      </c>
      <c r="CC4904">
        <v>0.98</v>
      </c>
      <c r="CD4904">
        <v>-1.1299999999999999</v>
      </c>
      <c r="CE4904">
        <v>1.02</v>
      </c>
      <c r="CF4904">
        <v>0.35</v>
      </c>
      <c r="CG4904">
        <v>0</v>
      </c>
      <c r="CH4904">
        <v>0.26</v>
      </c>
      <c r="CI4904">
        <v>0</v>
      </c>
      <c r="CJ4904">
        <v>-3</v>
      </c>
      <c r="CK4904">
        <v>99</v>
      </c>
      <c r="CL4904">
        <v>-0.76</v>
      </c>
      <c r="CM4904">
        <v>99</v>
      </c>
      <c r="CN4904">
        <v>-0.24</v>
      </c>
      <c r="CO4904">
        <v>99</v>
      </c>
      <c r="CP4904">
        <v>-11.1</v>
      </c>
      <c r="CQ4904">
        <v>99</v>
      </c>
      <c r="CR4904">
        <v>0</v>
      </c>
      <c r="CS4904">
        <v>0</v>
      </c>
      <c r="CT4904">
        <v>-10.8</v>
      </c>
      <c r="CU4904">
        <v>99</v>
      </c>
      <c r="CV4904">
        <v>0.14000000000000001</v>
      </c>
      <c r="CW4904">
        <v>46</v>
      </c>
      <c r="CX4904" t="s">
        <v>707</v>
      </c>
    </row>
    <row r="4905" spans="1:102" x14ac:dyDescent="0.3">
      <c r="A4905" t="str">
        <f>HYPERLINK("https://webapp.icbf.com/v2/app/bull-search/view/143646067","RBI")</f>
        <v>RBI</v>
      </c>
      <c r="B4905" t="s">
        <v>8722</v>
      </c>
      <c r="C4905" t="s">
        <v>8723</v>
      </c>
      <c r="D4905" s="1">
        <v>36221</v>
      </c>
      <c r="E4905" t="s">
        <v>92</v>
      </c>
      <c r="F4905">
        <v>100</v>
      </c>
      <c r="G4905" t="s">
        <v>93</v>
      </c>
      <c r="H4905">
        <v>-216.04</v>
      </c>
      <c r="I4905">
        <v>87</v>
      </c>
      <c r="J4905">
        <v>-43.02</v>
      </c>
      <c r="K4905">
        <v>94</v>
      </c>
      <c r="L4905">
        <v>-92.01</v>
      </c>
      <c r="M4905">
        <v>88</v>
      </c>
      <c r="N4905">
        <v>-65.55</v>
      </c>
      <c r="O4905">
        <v>78</v>
      </c>
      <c r="P4905">
        <v>-5.01</v>
      </c>
      <c r="Q4905">
        <v>84</v>
      </c>
      <c r="R4905">
        <v>-11.18</v>
      </c>
      <c r="S4905">
        <v>78</v>
      </c>
      <c r="T4905">
        <v>-0.53</v>
      </c>
      <c r="U4905">
        <v>80</v>
      </c>
      <c r="V4905">
        <v>1.26</v>
      </c>
      <c r="W4905">
        <v>64</v>
      </c>
      <c r="X4905" t="s">
        <v>131</v>
      </c>
      <c r="Y4905" t="s">
        <v>95</v>
      </c>
      <c r="Z4905" t="s">
        <v>96</v>
      </c>
      <c r="AA4905" t="s">
        <v>768</v>
      </c>
      <c r="AB4905" t="s">
        <v>8724</v>
      </c>
      <c r="AC4905">
        <v>55</v>
      </c>
      <c r="AD4905">
        <v>34</v>
      </c>
      <c r="AE4905">
        <v>94</v>
      </c>
      <c r="AF4905">
        <v>-39.97</v>
      </c>
      <c r="AG4905">
        <v>-7.06</v>
      </c>
      <c r="AH4905">
        <v>-5.43</v>
      </c>
      <c r="AI4905">
        <v>-0.1</v>
      </c>
      <c r="AJ4905">
        <v>-7.0000000000000007E-2</v>
      </c>
      <c r="AK4905">
        <v>88</v>
      </c>
      <c r="AL4905">
        <v>69</v>
      </c>
      <c r="AM4905">
        <v>42</v>
      </c>
      <c r="AN4905">
        <v>2.48</v>
      </c>
      <c r="AO4905">
        <v>-4.8899999999999997</v>
      </c>
      <c r="AP4905">
        <v>107</v>
      </c>
      <c r="AQ4905">
        <v>0</v>
      </c>
      <c r="AR4905">
        <v>14.37</v>
      </c>
      <c r="AS4905">
        <v>67</v>
      </c>
      <c r="AT4905">
        <v>6.57</v>
      </c>
      <c r="AU4905">
        <v>88</v>
      </c>
      <c r="AV4905">
        <v>-1.79</v>
      </c>
      <c r="AW4905">
        <v>84</v>
      </c>
      <c r="AX4905">
        <v>0.9</v>
      </c>
      <c r="AY4905">
        <v>76</v>
      </c>
      <c r="AZ4905">
        <v>7.38</v>
      </c>
      <c r="BA4905">
        <v>56</v>
      </c>
      <c r="BB4905">
        <v>6.52</v>
      </c>
      <c r="BC4905">
        <v>57</v>
      </c>
      <c r="BD4905">
        <v>0.12</v>
      </c>
      <c r="BE4905">
        <v>0.03</v>
      </c>
      <c r="BF4905">
        <v>0</v>
      </c>
      <c r="BG4905">
        <v>91</v>
      </c>
      <c r="BH4905">
        <v>0.11</v>
      </c>
      <c r="BI4905">
        <v>8.66</v>
      </c>
      <c r="BJ4905">
        <v>18</v>
      </c>
      <c r="BK4905">
        <v>14</v>
      </c>
      <c r="BL4905">
        <v>1.17</v>
      </c>
      <c r="BM4905">
        <v>2.42</v>
      </c>
      <c r="BN4905">
        <v>2.58</v>
      </c>
      <c r="BO4905">
        <v>0.25</v>
      </c>
      <c r="BP4905">
        <v>-0.55000000000000004</v>
      </c>
      <c r="BQ4905">
        <v>3.01</v>
      </c>
      <c r="BR4905">
        <v>0.92</v>
      </c>
      <c r="BS4905">
        <v>-2.21</v>
      </c>
      <c r="BT4905">
        <v>-1.44</v>
      </c>
      <c r="BU4905">
        <v>1.21</v>
      </c>
      <c r="BV4905">
        <v>0.15</v>
      </c>
      <c r="BW4905">
        <v>0.83</v>
      </c>
      <c r="BX4905">
        <v>0.4</v>
      </c>
      <c r="BY4905">
        <v>0.06</v>
      </c>
      <c r="BZ4905">
        <v>0.53</v>
      </c>
      <c r="CA4905">
        <v>0.21</v>
      </c>
      <c r="CB4905">
        <v>0.68</v>
      </c>
      <c r="CC4905">
        <v>-0.72</v>
      </c>
      <c r="CD4905">
        <v>0.88</v>
      </c>
      <c r="CE4905">
        <v>-7.0000000000000007E-2</v>
      </c>
      <c r="CF4905">
        <v>1.84</v>
      </c>
      <c r="CG4905">
        <v>0</v>
      </c>
      <c r="CH4905">
        <v>0.32</v>
      </c>
      <c r="CI4905">
        <v>0</v>
      </c>
      <c r="CJ4905">
        <v>-3.1</v>
      </c>
      <c r="CK4905">
        <v>85</v>
      </c>
      <c r="CL4905">
        <v>-0.89</v>
      </c>
      <c r="CM4905">
        <v>82</v>
      </c>
      <c r="CN4905">
        <v>-0.69</v>
      </c>
      <c r="CO4905">
        <v>80</v>
      </c>
      <c r="CP4905">
        <v>2.5</v>
      </c>
      <c r="CQ4905">
        <v>87</v>
      </c>
      <c r="CR4905">
        <v>0</v>
      </c>
      <c r="CS4905">
        <v>0</v>
      </c>
      <c r="CT4905">
        <v>14.5</v>
      </c>
      <c r="CU4905">
        <v>80</v>
      </c>
      <c r="CV4905">
        <v>0.06</v>
      </c>
      <c r="CW4905">
        <v>42</v>
      </c>
      <c r="CX4905" t="s">
        <v>111</v>
      </c>
    </row>
    <row r="4906" spans="1:102" x14ac:dyDescent="0.3">
      <c r="A4906" t="str">
        <f>HYPERLINK("https://webapp.icbf.com/v2/app/bull-search/view/474730498","S591")</f>
        <v>S591</v>
      </c>
      <c r="B4906" t="s">
        <v>6494</v>
      </c>
      <c r="C4906" t="s">
        <v>6495</v>
      </c>
      <c r="D4906" s="1">
        <v>36996</v>
      </c>
      <c r="E4906" t="s">
        <v>92</v>
      </c>
      <c r="F4906">
        <v>100</v>
      </c>
      <c r="G4906" t="s">
        <v>93</v>
      </c>
      <c r="H4906">
        <v>-216.58</v>
      </c>
      <c r="I4906">
        <v>90</v>
      </c>
      <c r="J4906">
        <v>61.45</v>
      </c>
      <c r="K4906">
        <v>97</v>
      </c>
      <c r="L4906">
        <v>-220.94</v>
      </c>
      <c r="M4906">
        <v>89</v>
      </c>
      <c r="N4906">
        <v>-62.47</v>
      </c>
      <c r="O4906">
        <v>84</v>
      </c>
      <c r="P4906">
        <v>0.34</v>
      </c>
      <c r="Q4906">
        <v>91</v>
      </c>
      <c r="R4906">
        <v>5.23</v>
      </c>
      <c r="S4906">
        <v>81</v>
      </c>
      <c r="T4906">
        <v>-10.82</v>
      </c>
      <c r="U4906">
        <v>82</v>
      </c>
      <c r="V4906">
        <v>10.63</v>
      </c>
      <c r="W4906">
        <v>71</v>
      </c>
      <c r="X4906" t="s">
        <v>102</v>
      </c>
      <c r="Y4906" t="s">
        <v>95</v>
      </c>
      <c r="Z4906" t="s">
        <v>96</v>
      </c>
      <c r="AA4906" t="s">
        <v>273</v>
      </c>
      <c r="AB4906" t="s">
        <v>1428</v>
      </c>
      <c r="AC4906">
        <v>87</v>
      </c>
      <c r="AD4906">
        <v>29</v>
      </c>
      <c r="AE4906">
        <v>97</v>
      </c>
      <c r="AF4906">
        <v>364.08</v>
      </c>
      <c r="AG4906">
        <v>11.77</v>
      </c>
      <c r="AH4906">
        <v>11.86</v>
      </c>
      <c r="AI4906">
        <v>-0.04</v>
      </c>
      <c r="AJ4906">
        <v>-0.01</v>
      </c>
      <c r="AK4906">
        <v>89</v>
      </c>
      <c r="AL4906">
        <v>82</v>
      </c>
      <c r="AM4906">
        <v>33</v>
      </c>
      <c r="AN4906">
        <v>13.6</v>
      </c>
      <c r="AO4906">
        <v>-4</v>
      </c>
      <c r="AP4906">
        <v>170</v>
      </c>
      <c r="AQ4906">
        <v>0</v>
      </c>
      <c r="AR4906">
        <v>15.49</v>
      </c>
      <c r="AS4906">
        <v>71</v>
      </c>
      <c r="AT4906">
        <v>6.85</v>
      </c>
      <c r="AU4906">
        <v>91</v>
      </c>
      <c r="AV4906">
        <v>-1.7</v>
      </c>
      <c r="AW4906">
        <v>91</v>
      </c>
      <c r="AX4906">
        <v>0.15</v>
      </c>
      <c r="AY4906">
        <v>81</v>
      </c>
      <c r="AZ4906">
        <v>5.55</v>
      </c>
      <c r="BA4906">
        <v>66</v>
      </c>
      <c r="BB4906">
        <v>4.83</v>
      </c>
      <c r="BC4906">
        <v>65</v>
      </c>
      <c r="BD4906">
        <v>-0.02</v>
      </c>
      <c r="BE4906">
        <v>-0.03</v>
      </c>
      <c r="BF4906">
        <v>-0.03</v>
      </c>
      <c r="BG4906">
        <v>92</v>
      </c>
      <c r="BH4906">
        <v>0.2</v>
      </c>
      <c r="BI4906">
        <v>-11.17</v>
      </c>
      <c r="BJ4906">
        <v>41</v>
      </c>
      <c r="BK4906">
        <v>17</v>
      </c>
      <c r="BL4906">
        <v>1.86</v>
      </c>
      <c r="BM4906">
        <v>1.88</v>
      </c>
      <c r="BN4906">
        <v>2.2799999999999998</v>
      </c>
      <c r="BO4906">
        <v>1.4</v>
      </c>
      <c r="BP4906">
        <v>-0.56000000000000005</v>
      </c>
      <c r="BQ4906">
        <v>2.08</v>
      </c>
      <c r="BR4906">
        <v>-0.95</v>
      </c>
      <c r="BS4906">
        <v>-0.38</v>
      </c>
      <c r="BT4906">
        <v>0.67</v>
      </c>
      <c r="BU4906">
        <v>2.11</v>
      </c>
      <c r="BV4906">
        <v>1.77</v>
      </c>
      <c r="BW4906">
        <v>2.59</v>
      </c>
      <c r="BX4906">
        <v>2</v>
      </c>
      <c r="BY4906">
        <v>2.58</v>
      </c>
      <c r="BZ4906">
        <v>-0.5</v>
      </c>
      <c r="CA4906">
        <v>1.51</v>
      </c>
      <c r="CB4906">
        <v>2.04</v>
      </c>
      <c r="CC4906">
        <v>-0.28000000000000003</v>
      </c>
      <c r="CD4906">
        <v>-0.54</v>
      </c>
      <c r="CE4906">
        <v>1.53</v>
      </c>
      <c r="CF4906">
        <v>1.63</v>
      </c>
      <c r="CG4906">
        <v>0</v>
      </c>
      <c r="CH4906">
        <v>2.95</v>
      </c>
      <c r="CI4906">
        <v>0</v>
      </c>
      <c r="CJ4906">
        <v>6</v>
      </c>
      <c r="CK4906">
        <v>92</v>
      </c>
      <c r="CL4906">
        <v>-1.1200000000000001</v>
      </c>
      <c r="CM4906">
        <v>90</v>
      </c>
      <c r="CN4906">
        <v>-0.21</v>
      </c>
      <c r="CO4906">
        <v>89</v>
      </c>
      <c r="CP4906">
        <v>7.7</v>
      </c>
      <c r="CQ4906">
        <v>87</v>
      </c>
      <c r="CR4906">
        <v>0</v>
      </c>
      <c r="CS4906">
        <v>0</v>
      </c>
      <c r="CT4906">
        <v>28.4</v>
      </c>
      <c r="CU4906">
        <v>82</v>
      </c>
      <c r="CV4906">
        <v>0.38</v>
      </c>
      <c r="CW4906">
        <v>44</v>
      </c>
      <c r="CX4906" t="s">
        <v>751</v>
      </c>
    </row>
    <row r="4907" spans="1:102" x14ac:dyDescent="0.3">
      <c r="A4907" t="str">
        <f>HYPERLINK("https://webapp.icbf.com/v2/app/bull-search/view/462434316","S479")</f>
        <v>S479</v>
      </c>
      <c r="B4907" t="s">
        <v>4777</v>
      </c>
      <c r="C4907" t="s">
        <v>4778</v>
      </c>
      <c r="D4907" s="1">
        <v>37088</v>
      </c>
      <c r="E4907" t="s">
        <v>92</v>
      </c>
      <c r="F4907">
        <v>100</v>
      </c>
      <c r="G4907" t="s">
        <v>93</v>
      </c>
      <c r="H4907">
        <v>-216.64</v>
      </c>
      <c r="I4907">
        <v>86</v>
      </c>
      <c r="J4907">
        <v>1.89</v>
      </c>
      <c r="K4907">
        <v>95</v>
      </c>
      <c r="L4907">
        <v>-155.22</v>
      </c>
      <c r="M4907">
        <v>88</v>
      </c>
      <c r="N4907">
        <v>-30.07</v>
      </c>
      <c r="O4907">
        <v>80</v>
      </c>
      <c r="P4907">
        <v>-6.46</v>
      </c>
      <c r="Q4907">
        <v>84</v>
      </c>
      <c r="R4907">
        <v>-7.51</v>
      </c>
      <c r="S4907">
        <v>74</v>
      </c>
      <c r="T4907">
        <v>-10.08</v>
      </c>
      <c r="U4907">
        <v>74</v>
      </c>
      <c r="V4907">
        <v>-9.19</v>
      </c>
      <c r="W4907">
        <v>60</v>
      </c>
      <c r="X4907" t="s">
        <v>110</v>
      </c>
      <c r="Y4907" t="s">
        <v>95</v>
      </c>
      <c r="Z4907" t="s">
        <v>96</v>
      </c>
      <c r="AA4907" t="s">
        <v>289</v>
      </c>
      <c r="AB4907" t="s">
        <v>4779</v>
      </c>
      <c r="AC4907">
        <v>77</v>
      </c>
      <c r="AD4907">
        <v>35</v>
      </c>
      <c r="AE4907">
        <v>95</v>
      </c>
      <c r="AF4907">
        <v>380.51</v>
      </c>
      <c r="AG4907">
        <v>2.2200000000000002</v>
      </c>
      <c r="AH4907">
        <v>5.36</v>
      </c>
      <c r="AI4907">
        <v>-0.2</v>
      </c>
      <c r="AJ4907">
        <v>-0.12</v>
      </c>
      <c r="AK4907">
        <v>88</v>
      </c>
      <c r="AL4907">
        <v>63</v>
      </c>
      <c r="AM4907">
        <v>28</v>
      </c>
      <c r="AN4907">
        <v>6.78</v>
      </c>
      <c r="AO4907">
        <v>-5.62</v>
      </c>
      <c r="AP4907">
        <v>144</v>
      </c>
      <c r="AQ4907">
        <v>0</v>
      </c>
      <c r="AR4907">
        <v>12.97</v>
      </c>
      <c r="AS4907">
        <v>64</v>
      </c>
      <c r="AT4907">
        <v>6.17</v>
      </c>
      <c r="AU4907">
        <v>94</v>
      </c>
      <c r="AV4907">
        <v>-3.53</v>
      </c>
      <c r="AW4907">
        <v>91</v>
      </c>
      <c r="AX4907">
        <v>1.46</v>
      </c>
      <c r="AY4907">
        <v>72</v>
      </c>
      <c r="AZ4907">
        <v>6.39</v>
      </c>
      <c r="BA4907">
        <v>48</v>
      </c>
      <c r="BB4907">
        <v>4.9000000000000004</v>
      </c>
      <c r="BC4907">
        <v>42</v>
      </c>
      <c r="BD4907">
        <v>0.04</v>
      </c>
      <c r="BE4907">
        <v>0.04</v>
      </c>
      <c r="BF4907">
        <v>0.03</v>
      </c>
      <c r="BG4907">
        <v>93</v>
      </c>
      <c r="BH4907">
        <v>-0.15</v>
      </c>
      <c r="BI4907">
        <v>12.3</v>
      </c>
      <c r="BJ4907">
        <v>54</v>
      </c>
      <c r="BK4907">
        <v>23</v>
      </c>
      <c r="BL4907">
        <v>2.16</v>
      </c>
      <c r="BM4907">
        <v>0.12</v>
      </c>
      <c r="BN4907">
        <v>2.02</v>
      </c>
      <c r="BO4907">
        <v>1.22</v>
      </c>
      <c r="BP4907">
        <v>1.77</v>
      </c>
      <c r="BQ4907">
        <v>2.2400000000000002</v>
      </c>
      <c r="BR4907">
        <v>-2.58</v>
      </c>
      <c r="BS4907">
        <v>-1.77</v>
      </c>
      <c r="BT4907">
        <v>3.86</v>
      </c>
      <c r="BU4907">
        <v>1.58</v>
      </c>
      <c r="BV4907">
        <v>2.7</v>
      </c>
      <c r="BW4907">
        <v>2.17</v>
      </c>
      <c r="BX4907">
        <v>1.01</v>
      </c>
      <c r="BY4907">
        <v>1.58</v>
      </c>
      <c r="BZ4907">
        <v>1.6</v>
      </c>
      <c r="CA4907">
        <v>1.28</v>
      </c>
      <c r="CB4907">
        <v>1.73</v>
      </c>
      <c r="CC4907">
        <v>0.03</v>
      </c>
      <c r="CD4907">
        <v>-0.6</v>
      </c>
      <c r="CE4907">
        <v>1.54</v>
      </c>
      <c r="CF4907">
        <v>1.95</v>
      </c>
      <c r="CG4907">
        <v>0</v>
      </c>
      <c r="CH4907">
        <v>1.7</v>
      </c>
      <c r="CI4907">
        <v>0</v>
      </c>
      <c r="CJ4907">
        <v>-0.8</v>
      </c>
      <c r="CK4907">
        <v>86</v>
      </c>
      <c r="CL4907">
        <v>-1.48</v>
      </c>
      <c r="CM4907">
        <v>83</v>
      </c>
      <c r="CN4907">
        <v>-0.76</v>
      </c>
      <c r="CO4907">
        <v>80</v>
      </c>
      <c r="CP4907">
        <v>6.8</v>
      </c>
      <c r="CQ4907">
        <v>84</v>
      </c>
      <c r="CR4907">
        <v>0</v>
      </c>
      <c r="CS4907">
        <v>0</v>
      </c>
      <c r="CT4907">
        <v>27.4</v>
      </c>
      <c r="CU4907">
        <v>74</v>
      </c>
      <c r="CV4907">
        <v>0.49</v>
      </c>
      <c r="CW4907">
        <v>24</v>
      </c>
      <c r="CX4907" t="s">
        <v>989</v>
      </c>
    </row>
    <row r="4908" spans="1:102" x14ac:dyDescent="0.3">
      <c r="A4908" t="str">
        <f>HYPERLINK("https://webapp.icbf.com/v2/app/bull-search/view/426773474","BDZ")</f>
        <v>BDZ</v>
      </c>
      <c r="B4908" t="s">
        <v>14971</v>
      </c>
      <c r="C4908" t="s">
        <v>14972</v>
      </c>
      <c r="D4908" s="1">
        <v>36940</v>
      </c>
      <c r="E4908" t="s">
        <v>92</v>
      </c>
      <c r="F4908">
        <v>100</v>
      </c>
      <c r="G4908" t="s">
        <v>93</v>
      </c>
      <c r="H4908">
        <v>-216.65</v>
      </c>
      <c r="I4908">
        <v>92</v>
      </c>
      <c r="J4908">
        <v>1.63</v>
      </c>
      <c r="K4908">
        <v>98</v>
      </c>
      <c r="L4908">
        <v>-209.31</v>
      </c>
      <c r="M4908">
        <v>91</v>
      </c>
      <c r="N4908">
        <v>20.92</v>
      </c>
      <c r="O4908">
        <v>89</v>
      </c>
      <c r="P4908">
        <v>-18.579999999999998</v>
      </c>
      <c r="Q4908">
        <v>92</v>
      </c>
      <c r="R4908">
        <v>-10.7</v>
      </c>
      <c r="S4908">
        <v>84</v>
      </c>
      <c r="T4908">
        <v>4.72</v>
      </c>
      <c r="U4908">
        <v>82</v>
      </c>
      <c r="V4908">
        <v>-5.33</v>
      </c>
      <c r="W4908">
        <v>79</v>
      </c>
      <c r="X4908" t="s">
        <v>251</v>
      </c>
      <c r="Y4908" t="s">
        <v>95</v>
      </c>
      <c r="Z4908" t="s">
        <v>96</v>
      </c>
      <c r="AA4908" t="s">
        <v>289</v>
      </c>
      <c r="AB4908" t="s">
        <v>14973</v>
      </c>
      <c r="AC4908">
        <v>131</v>
      </c>
      <c r="AD4908">
        <v>41</v>
      </c>
      <c r="AE4908">
        <v>98</v>
      </c>
      <c r="AF4908">
        <v>354.95</v>
      </c>
      <c r="AG4908">
        <v>5.91</v>
      </c>
      <c r="AH4908">
        <v>3.62</v>
      </c>
      <c r="AI4908">
        <v>-0.13</v>
      </c>
      <c r="AJ4908">
        <v>-0.14000000000000001</v>
      </c>
      <c r="AK4908">
        <v>91</v>
      </c>
      <c r="AL4908">
        <v>114</v>
      </c>
      <c r="AM4908">
        <v>38</v>
      </c>
      <c r="AN4908">
        <v>10.78</v>
      </c>
      <c r="AO4908">
        <v>-5.92</v>
      </c>
      <c r="AP4908">
        <v>306</v>
      </c>
      <c r="AQ4908">
        <v>4</v>
      </c>
      <c r="AR4908">
        <v>5.76</v>
      </c>
      <c r="AS4908">
        <v>89</v>
      </c>
      <c r="AT4908">
        <v>3.42</v>
      </c>
      <c r="AU4908">
        <v>92</v>
      </c>
      <c r="AV4908">
        <v>-3.03</v>
      </c>
      <c r="AW4908">
        <v>96</v>
      </c>
      <c r="AX4908">
        <v>0.6</v>
      </c>
      <c r="AY4908">
        <v>85</v>
      </c>
      <c r="AZ4908">
        <v>6.72</v>
      </c>
      <c r="BA4908">
        <v>71</v>
      </c>
      <c r="BB4908">
        <v>5.64</v>
      </c>
      <c r="BC4908">
        <v>69</v>
      </c>
      <c r="BD4908">
        <v>0.03</v>
      </c>
      <c r="BE4908">
        <v>0.04</v>
      </c>
      <c r="BF4908">
        <v>0.12</v>
      </c>
      <c r="BG4908">
        <v>93</v>
      </c>
      <c r="BH4908">
        <v>-0.02</v>
      </c>
      <c r="BI4908">
        <v>14.87</v>
      </c>
      <c r="BJ4908">
        <v>35</v>
      </c>
      <c r="BK4908">
        <v>13</v>
      </c>
      <c r="BL4908">
        <v>1.31</v>
      </c>
      <c r="BM4908">
        <v>-1.47</v>
      </c>
      <c r="BN4908">
        <v>1.32</v>
      </c>
      <c r="BO4908">
        <v>1.73</v>
      </c>
      <c r="BP4908">
        <v>-1.79</v>
      </c>
      <c r="BQ4908">
        <v>-0.19</v>
      </c>
      <c r="BR4908">
        <v>-0.6</v>
      </c>
      <c r="BS4908">
        <v>0.57999999999999996</v>
      </c>
      <c r="BT4908">
        <v>2.2200000000000002</v>
      </c>
      <c r="BU4908">
        <v>1.56</v>
      </c>
      <c r="BV4908">
        <v>2.2400000000000002</v>
      </c>
      <c r="BW4908">
        <v>2.17</v>
      </c>
      <c r="BX4908">
        <v>0.47</v>
      </c>
      <c r="BY4908">
        <v>1.86</v>
      </c>
      <c r="BZ4908">
        <v>1.44</v>
      </c>
      <c r="CA4908">
        <v>1.6</v>
      </c>
      <c r="CB4908">
        <v>1.62</v>
      </c>
      <c r="CC4908">
        <v>0.78</v>
      </c>
      <c r="CD4908">
        <v>-1.97</v>
      </c>
      <c r="CE4908">
        <v>1.63</v>
      </c>
      <c r="CF4908">
        <v>0.84</v>
      </c>
      <c r="CG4908">
        <v>0</v>
      </c>
      <c r="CH4908">
        <v>1.91</v>
      </c>
      <c r="CI4908">
        <v>0</v>
      </c>
      <c r="CJ4908">
        <v>-7.8</v>
      </c>
      <c r="CK4908">
        <v>93</v>
      </c>
      <c r="CL4908">
        <v>-1.29</v>
      </c>
      <c r="CM4908">
        <v>92</v>
      </c>
      <c r="CN4908">
        <v>-0.54</v>
      </c>
      <c r="CO4908">
        <v>90</v>
      </c>
      <c r="CP4908">
        <v>-5.5</v>
      </c>
      <c r="CQ4908">
        <v>91</v>
      </c>
      <c r="CR4908">
        <v>0</v>
      </c>
      <c r="CS4908">
        <v>0</v>
      </c>
      <c r="CT4908">
        <v>7.4</v>
      </c>
      <c r="CU4908">
        <v>82</v>
      </c>
      <c r="CV4908">
        <v>0.2</v>
      </c>
      <c r="CW4908">
        <v>44</v>
      </c>
      <c r="CX4908" t="s">
        <v>1278</v>
      </c>
    </row>
    <row r="4909" spans="1:102" x14ac:dyDescent="0.3">
      <c r="A4909" t="str">
        <f>HYPERLINK("https://webapp.icbf.com/v2/app/bull-search/view/77857843","FDY")</f>
        <v>FDY</v>
      </c>
      <c r="B4909" t="s">
        <v>10931</v>
      </c>
      <c r="C4909" t="s">
        <v>10932</v>
      </c>
      <c r="D4909" s="1">
        <v>33146</v>
      </c>
      <c r="E4909" t="s">
        <v>92</v>
      </c>
      <c r="F4909">
        <v>100</v>
      </c>
      <c r="G4909" t="s">
        <v>93</v>
      </c>
      <c r="H4909">
        <v>-217.19</v>
      </c>
      <c r="I4909">
        <v>85</v>
      </c>
      <c r="J4909">
        <v>-35.01</v>
      </c>
      <c r="K4909">
        <v>96</v>
      </c>
      <c r="L4909">
        <v>-137.93</v>
      </c>
      <c r="M4909">
        <v>85</v>
      </c>
      <c r="N4909">
        <v>-40.549999999999997</v>
      </c>
      <c r="O4909">
        <v>72</v>
      </c>
      <c r="P4909">
        <v>-8.57</v>
      </c>
      <c r="Q4909">
        <v>81</v>
      </c>
      <c r="R4909">
        <v>-5.44</v>
      </c>
      <c r="S4909">
        <v>74</v>
      </c>
      <c r="T4909">
        <v>9.61</v>
      </c>
      <c r="U4909">
        <v>79</v>
      </c>
      <c r="V4909">
        <v>0.7</v>
      </c>
      <c r="W4909">
        <v>49</v>
      </c>
      <c r="X4909" t="s">
        <v>110</v>
      </c>
      <c r="Y4909" t="s">
        <v>95</v>
      </c>
      <c r="Z4909" t="s">
        <v>96</v>
      </c>
      <c r="AA4909" t="s">
        <v>111</v>
      </c>
      <c r="AB4909" t="s">
        <v>7362</v>
      </c>
      <c r="AC4909">
        <v>112</v>
      </c>
      <c r="AD4909">
        <v>47</v>
      </c>
      <c r="AE4909">
        <v>96</v>
      </c>
      <c r="AF4909">
        <v>37.31</v>
      </c>
      <c r="AG4909">
        <v>-4.3600000000000003</v>
      </c>
      <c r="AH4909">
        <v>-3.84</v>
      </c>
      <c r="AI4909">
        <v>-0.1</v>
      </c>
      <c r="AJ4909">
        <v>-0.08</v>
      </c>
      <c r="AK4909">
        <v>85</v>
      </c>
      <c r="AL4909">
        <v>96</v>
      </c>
      <c r="AM4909">
        <v>37</v>
      </c>
      <c r="AN4909">
        <v>6.74</v>
      </c>
      <c r="AO4909">
        <v>-4.2699999999999996</v>
      </c>
      <c r="AP4909">
        <v>4</v>
      </c>
      <c r="AQ4909">
        <v>0</v>
      </c>
      <c r="AR4909">
        <v>12.88</v>
      </c>
      <c r="AS4909">
        <v>54</v>
      </c>
      <c r="AT4909">
        <v>5.96</v>
      </c>
      <c r="AU4909">
        <v>84</v>
      </c>
      <c r="AV4909">
        <v>-1.38</v>
      </c>
      <c r="AW4909">
        <v>72</v>
      </c>
      <c r="AX4909">
        <v>0.22</v>
      </c>
      <c r="AY4909">
        <v>78</v>
      </c>
      <c r="AZ4909">
        <v>6.04</v>
      </c>
      <c r="BA4909">
        <v>56</v>
      </c>
      <c r="BB4909">
        <v>5.01</v>
      </c>
      <c r="BC4909">
        <v>61</v>
      </c>
      <c r="BD4909">
        <v>0.03</v>
      </c>
      <c r="BE4909">
        <v>0.05</v>
      </c>
      <c r="BF4909">
        <v>-0.02</v>
      </c>
      <c r="BG4909">
        <v>88</v>
      </c>
      <c r="BH4909">
        <v>0.02</v>
      </c>
      <c r="BI4909">
        <v>0.05</v>
      </c>
      <c r="BJ4909">
        <v>8</v>
      </c>
      <c r="BK4909">
        <v>7</v>
      </c>
      <c r="BL4909">
        <v>0.83</v>
      </c>
      <c r="BM4909">
        <v>0.84</v>
      </c>
      <c r="BN4909">
        <v>2.13</v>
      </c>
      <c r="BO4909">
        <v>0.97</v>
      </c>
      <c r="BP4909">
        <v>-1.24</v>
      </c>
      <c r="BQ4909">
        <v>1.7</v>
      </c>
      <c r="BR4909">
        <v>-0.17</v>
      </c>
      <c r="BS4909">
        <v>0.71</v>
      </c>
      <c r="BT4909">
        <v>0.66</v>
      </c>
      <c r="BU4909">
        <v>0.64</v>
      </c>
      <c r="BV4909">
        <v>0.74</v>
      </c>
      <c r="BW4909">
        <v>1.36</v>
      </c>
      <c r="BX4909">
        <v>0.19</v>
      </c>
      <c r="BY4909">
        <v>0.67</v>
      </c>
      <c r="BZ4909">
        <v>1</v>
      </c>
      <c r="CA4909">
        <v>1.1000000000000001</v>
      </c>
      <c r="CB4909">
        <v>0.95</v>
      </c>
      <c r="CC4909">
        <v>1.21</v>
      </c>
      <c r="CD4909">
        <v>-0.44</v>
      </c>
      <c r="CE4909">
        <v>0.96</v>
      </c>
      <c r="CF4909">
        <v>1.47</v>
      </c>
      <c r="CG4909">
        <v>0</v>
      </c>
      <c r="CH4909">
        <v>0.34</v>
      </c>
      <c r="CI4909">
        <v>0</v>
      </c>
      <c r="CJ4909">
        <v>-3.7</v>
      </c>
      <c r="CK4909">
        <v>82</v>
      </c>
      <c r="CL4909">
        <v>-0.95</v>
      </c>
      <c r="CM4909">
        <v>80</v>
      </c>
      <c r="CN4909">
        <v>-0.56999999999999995</v>
      </c>
      <c r="CO4909">
        <v>76</v>
      </c>
      <c r="CP4909">
        <v>-2.2000000000000002</v>
      </c>
      <c r="CQ4909">
        <v>90</v>
      </c>
      <c r="CR4909">
        <v>0</v>
      </c>
      <c r="CS4909">
        <v>0</v>
      </c>
      <c r="CT4909">
        <v>0.8</v>
      </c>
      <c r="CU4909">
        <v>79</v>
      </c>
      <c r="CV4909">
        <v>0.22</v>
      </c>
      <c r="CW4909">
        <v>24</v>
      </c>
      <c r="CX4909" t="s">
        <v>543</v>
      </c>
    </row>
    <row r="4910" spans="1:102" x14ac:dyDescent="0.3">
      <c r="A4910" t="str">
        <f>HYPERLINK("https://webapp.icbf.com/v2/app/bull-search/view/77856334","JNX")</f>
        <v>JNX</v>
      </c>
      <c r="B4910" t="s">
        <v>14367</v>
      </c>
      <c r="C4910" t="s">
        <v>14368</v>
      </c>
      <c r="D4910" s="1">
        <v>34665</v>
      </c>
      <c r="E4910" t="s">
        <v>92</v>
      </c>
      <c r="F4910">
        <v>100</v>
      </c>
      <c r="G4910" t="s">
        <v>93</v>
      </c>
      <c r="H4910">
        <v>-217.65</v>
      </c>
      <c r="I4910">
        <v>76</v>
      </c>
      <c r="J4910">
        <v>5.63</v>
      </c>
      <c r="K4910">
        <v>92</v>
      </c>
      <c r="L4910">
        <v>-185.25</v>
      </c>
      <c r="M4910">
        <v>74</v>
      </c>
      <c r="N4910">
        <v>-23.44</v>
      </c>
      <c r="O4910">
        <v>63</v>
      </c>
      <c r="P4910">
        <v>-1.74</v>
      </c>
      <c r="Q4910">
        <v>61</v>
      </c>
      <c r="R4910">
        <v>-17.77</v>
      </c>
      <c r="S4910">
        <v>72</v>
      </c>
      <c r="T4910">
        <v>4.6500000000000004</v>
      </c>
      <c r="U4910">
        <v>60</v>
      </c>
      <c r="V4910">
        <v>0.27</v>
      </c>
      <c r="W4910">
        <v>62</v>
      </c>
      <c r="X4910" t="s">
        <v>94</v>
      </c>
      <c r="Y4910" t="s">
        <v>95</v>
      </c>
      <c r="Z4910" t="s">
        <v>96</v>
      </c>
      <c r="AA4910" t="s">
        <v>3216</v>
      </c>
      <c r="AB4910" t="s">
        <v>14369</v>
      </c>
      <c r="AC4910">
        <v>22</v>
      </c>
      <c r="AD4910">
        <v>21</v>
      </c>
      <c r="AE4910">
        <v>92</v>
      </c>
      <c r="AF4910">
        <v>117.34</v>
      </c>
      <c r="AG4910">
        <v>-0.78</v>
      </c>
      <c r="AH4910">
        <v>3.03</v>
      </c>
      <c r="AI4910">
        <v>-0.09</v>
      </c>
      <c r="AJ4910">
        <v>-0.02</v>
      </c>
      <c r="AK4910">
        <v>74</v>
      </c>
      <c r="AL4910">
        <v>24</v>
      </c>
      <c r="AM4910">
        <v>22</v>
      </c>
      <c r="AN4910">
        <v>11.13</v>
      </c>
      <c r="AO4910">
        <v>-3.63</v>
      </c>
      <c r="AP4910">
        <v>13</v>
      </c>
      <c r="AQ4910">
        <v>0</v>
      </c>
      <c r="AR4910">
        <v>10.42</v>
      </c>
      <c r="AS4910">
        <v>54</v>
      </c>
      <c r="AT4910">
        <v>3.48</v>
      </c>
      <c r="AU4910">
        <v>71</v>
      </c>
      <c r="AV4910">
        <v>1.1299999999999999</v>
      </c>
      <c r="AW4910">
        <v>65</v>
      </c>
      <c r="AX4910">
        <v>1.31</v>
      </c>
      <c r="AY4910">
        <v>63</v>
      </c>
      <c r="AZ4910">
        <v>6.46</v>
      </c>
      <c r="BA4910">
        <v>46</v>
      </c>
      <c r="BB4910">
        <v>4.92</v>
      </c>
      <c r="BC4910">
        <v>52</v>
      </c>
      <c r="BD4910">
        <v>0.1</v>
      </c>
      <c r="BE4910">
        <v>0.08</v>
      </c>
      <c r="BF4910">
        <v>0.09</v>
      </c>
      <c r="BG4910">
        <v>83</v>
      </c>
      <c r="BH4910">
        <v>0.05</v>
      </c>
      <c r="BI4910">
        <v>4.91</v>
      </c>
      <c r="BJ4910">
        <v>2</v>
      </c>
      <c r="BK4910">
        <v>2</v>
      </c>
      <c r="BL4910">
        <v>2.15</v>
      </c>
      <c r="BM4910">
        <v>-0.6</v>
      </c>
      <c r="BN4910">
        <v>1.2</v>
      </c>
      <c r="BO4910">
        <v>1.26</v>
      </c>
      <c r="BP4910">
        <v>-1.78</v>
      </c>
      <c r="BQ4910">
        <v>0.54</v>
      </c>
      <c r="BR4910">
        <v>0.5</v>
      </c>
      <c r="BS4910">
        <v>-1.88</v>
      </c>
      <c r="BT4910">
        <v>-0.56999999999999995</v>
      </c>
      <c r="BU4910">
        <v>0.89</v>
      </c>
      <c r="BV4910">
        <v>1.24</v>
      </c>
      <c r="BW4910">
        <v>1.51</v>
      </c>
      <c r="BX4910">
        <v>2.0099999999999998</v>
      </c>
      <c r="BY4910">
        <v>0.75</v>
      </c>
      <c r="BZ4910">
        <v>0.24</v>
      </c>
      <c r="CA4910">
        <v>0.25</v>
      </c>
      <c r="CB4910">
        <v>0.99</v>
      </c>
      <c r="CC4910">
        <v>-1.1499999999999999</v>
      </c>
      <c r="CD4910">
        <v>-1.52</v>
      </c>
      <c r="CE4910">
        <v>0.91</v>
      </c>
      <c r="CF4910">
        <v>0.28999999999999998</v>
      </c>
      <c r="CG4910">
        <v>0</v>
      </c>
      <c r="CH4910">
        <v>0.61</v>
      </c>
      <c r="CI4910">
        <v>0</v>
      </c>
      <c r="CJ4910">
        <v>0.3</v>
      </c>
      <c r="CK4910">
        <v>62</v>
      </c>
      <c r="CL4910">
        <v>-0.52</v>
      </c>
      <c r="CM4910">
        <v>59</v>
      </c>
      <c r="CN4910">
        <v>-0.28999999999999998</v>
      </c>
      <c r="CO4910">
        <v>56</v>
      </c>
      <c r="CP4910">
        <v>-1.2</v>
      </c>
      <c r="CQ4910">
        <v>67</v>
      </c>
      <c r="CR4910">
        <v>0</v>
      </c>
      <c r="CS4910">
        <v>0</v>
      </c>
      <c r="CT4910">
        <v>7.5</v>
      </c>
      <c r="CU4910">
        <v>60</v>
      </c>
      <c r="CV4910">
        <v>0.06</v>
      </c>
      <c r="CW4910">
        <v>37</v>
      </c>
      <c r="CX4910" t="s">
        <v>128</v>
      </c>
    </row>
    <row r="4911" spans="1:102" x14ac:dyDescent="0.3">
      <c r="A4911" t="str">
        <f>HYPERLINK("https://webapp.icbf.com/v2/app/bull-search/view/77857039","HMV")</f>
        <v>HMV</v>
      </c>
      <c r="B4911" t="s">
        <v>3332</v>
      </c>
      <c r="C4911" t="s">
        <v>3333</v>
      </c>
      <c r="D4911" s="1">
        <v>32888</v>
      </c>
      <c r="E4911" t="s">
        <v>92</v>
      </c>
      <c r="F4911">
        <v>100</v>
      </c>
      <c r="G4911" t="s">
        <v>93</v>
      </c>
      <c r="H4911">
        <v>-218.33</v>
      </c>
      <c r="I4911">
        <v>94</v>
      </c>
      <c r="J4911">
        <v>-45.04</v>
      </c>
      <c r="K4911">
        <v>99</v>
      </c>
      <c r="L4911">
        <v>-141.05000000000001</v>
      </c>
      <c r="M4911">
        <v>94</v>
      </c>
      <c r="N4911">
        <v>-28.36</v>
      </c>
      <c r="O4911">
        <v>91</v>
      </c>
      <c r="P4911">
        <v>-0.61</v>
      </c>
      <c r="Q4911">
        <v>95</v>
      </c>
      <c r="R4911">
        <v>-2.87</v>
      </c>
      <c r="S4911">
        <v>87</v>
      </c>
      <c r="T4911">
        <v>7.91</v>
      </c>
      <c r="U4911">
        <v>93</v>
      </c>
      <c r="V4911">
        <v>-8.31</v>
      </c>
      <c r="W4911">
        <v>79</v>
      </c>
      <c r="X4911" t="s">
        <v>94</v>
      </c>
      <c r="Y4911" t="s">
        <v>95</v>
      </c>
      <c r="Z4911" t="s">
        <v>96</v>
      </c>
      <c r="AA4911" t="s">
        <v>111</v>
      </c>
      <c r="AB4911" t="s">
        <v>3334</v>
      </c>
      <c r="AC4911">
        <v>380</v>
      </c>
      <c r="AD4911">
        <v>216</v>
      </c>
      <c r="AE4911">
        <v>99</v>
      </c>
      <c r="AF4911">
        <v>146.76</v>
      </c>
      <c r="AG4911">
        <v>-7.53</v>
      </c>
      <c r="AH4911">
        <v>-2.75</v>
      </c>
      <c r="AI4911">
        <v>-0.23</v>
      </c>
      <c r="AJ4911">
        <v>-0.13</v>
      </c>
      <c r="AK4911">
        <v>94</v>
      </c>
      <c r="AL4911">
        <v>362</v>
      </c>
      <c r="AM4911">
        <v>188</v>
      </c>
      <c r="AN4911">
        <v>7.58</v>
      </c>
      <c r="AO4911">
        <v>-3.67</v>
      </c>
      <c r="AP4911">
        <v>74</v>
      </c>
      <c r="AQ4911">
        <v>2</v>
      </c>
      <c r="AR4911">
        <v>11.8</v>
      </c>
      <c r="AS4911">
        <v>82</v>
      </c>
      <c r="AT4911">
        <v>4.68</v>
      </c>
      <c r="AU4911">
        <v>92</v>
      </c>
      <c r="AV4911">
        <v>-0.85</v>
      </c>
      <c r="AW4911">
        <v>95</v>
      </c>
      <c r="AX4911">
        <v>-7.0000000000000007E-2</v>
      </c>
      <c r="AY4911">
        <v>93</v>
      </c>
      <c r="AZ4911">
        <v>7.25</v>
      </c>
      <c r="BA4911">
        <v>78</v>
      </c>
      <c r="BB4911">
        <v>5.78</v>
      </c>
      <c r="BC4911">
        <v>86</v>
      </c>
      <c r="BD4911">
        <v>0.06</v>
      </c>
      <c r="BE4911">
        <v>0.04</v>
      </c>
      <c r="BF4911">
        <v>-0.11</v>
      </c>
      <c r="BG4911">
        <v>97</v>
      </c>
      <c r="BH4911">
        <v>-0.09</v>
      </c>
      <c r="BI4911">
        <v>16.41</v>
      </c>
      <c r="BJ4911">
        <v>111</v>
      </c>
      <c r="BK4911">
        <v>62</v>
      </c>
      <c r="BL4911">
        <v>1.27</v>
      </c>
      <c r="BM4911">
        <v>2.31</v>
      </c>
      <c r="BN4911">
        <v>2.11</v>
      </c>
      <c r="BO4911">
        <v>0.13</v>
      </c>
      <c r="BP4911">
        <v>-1.29</v>
      </c>
      <c r="BQ4911">
        <v>2.66</v>
      </c>
      <c r="BR4911">
        <v>0.55000000000000004</v>
      </c>
      <c r="BS4911">
        <v>-0.91</v>
      </c>
      <c r="BT4911">
        <v>-0.91</v>
      </c>
      <c r="BU4911">
        <v>2.2999999999999998</v>
      </c>
      <c r="BV4911">
        <v>1.1499999999999999</v>
      </c>
      <c r="BW4911">
        <v>0.94</v>
      </c>
      <c r="BX4911">
        <v>2.12</v>
      </c>
      <c r="BY4911">
        <v>0.38</v>
      </c>
      <c r="BZ4911">
        <v>-1.03</v>
      </c>
      <c r="CA4911">
        <v>0.97</v>
      </c>
      <c r="CB4911">
        <v>1.19</v>
      </c>
      <c r="CC4911">
        <v>-0.12</v>
      </c>
      <c r="CD4911">
        <v>1.56</v>
      </c>
      <c r="CE4911">
        <v>0.56000000000000005</v>
      </c>
      <c r="CF4911">
        <v>2.31</v>
      </c>
      <c r="CG4911">
        <v>0</v>
      </c>
      <c r="CH4911">
        <v>0.34</v>
      </c>
      <c r="CI4911">
        <v>0</v>
      </c>
      <c r="CJ4911">
        <v>0.8</v>
      </c>
      <c r="CK4911">
        <v>95</v>
      </c>
      <c r="CL4911">
        <v>-0.83</v>
      </c>
      <c r="CM4911">
        <v>94</v>
      </c>
      <c r="CN4911">
        <v>-0.56999999999999995</v>
      </c>
      <c r="CO4911">
        <v>94</v>
      </c>
      <c r="CP4911">
        <v>1.2</v>
      </c>
      <c r="CQ4911">
        <v>96</v>
      </c>
      <c r="CR4911">
        <v>0</v>
      </c>
      <c r="CS4911">
        <v>0</v>
      </c>
      <c r="CT4911">
        <v>3.1</v>
      </c>
      <c r="CU4911">
        <v>93</v>
      </c>
      <c r="CV4911">
        <v>0.14000000000000001</v>
      </c>
      <c r="CW4911">
        <v>45</v>
      </c>
      <c r="CX4911" t="s">
        <v>543</v>
      </c>
    </row>
    <row r="4912" spans="1:102" x14ac:dyDescent="0.3">
      <c r="A4912" t="str">
        <f>HYPERLINK("https://webapp.icbf.com/v2/app/bull-search/view/69092143","LMG")</f>
        <v>LMG</v>
      </c>
      <c r="B4912" t="s">
        <v>7056</v>
      </c>
      <c r="C4912" t="s">
        <v>7057</v>
      </c>
      <c r="D4912" s="1">
        <v>34468</v>
      </c>
      <c r="E4912" t="s">
        <v>92</v>
      </c>
      <c r="F4912">
        <v>100</v>
      </c>
      <c r="G4912" t="s">
        <v>109</v>
      </c>
      <c r="H4912">
        <v>-218.58</v>
      </c>
      <c r="I4912">
        <v>66</v>
      </c>
      <c r="J4912">
        <v>-6.64</v>
      </c>
      <c r="K4912">
        <v>74</v>
      </c>
      <c r="L4912">
        <v>-180.76</v>
      </c>
      <c r="M4912">
        <v>73</v>
      </c>
      <c r="N4912">
        <v>-24.64</v>
      </c>
      <c r="O4912">
        <v>51</v>
      </c>
      <c r="P4912">
        <v>-1.5</v>
      </c>
      <c r="Q4912">
        <v>56</v>
      </c>
      <c r="R4912">
        <v>-7.86</v>
      </c>
      <c r="S4912">
        <v>60</v>
      </c>
      <c r="T4912">
        <v>4.13</v>
      </c>
      <c r="U4912">
        <v>48</v>
      </c>
      <c r="V4912">
        <v>-1.31</v>
      </c>
      <c r="W4912">
        <v>35</v>
      </c>
      <c r="X4912" t="s">
        <v>558</v>
      </c>
      <c r="Y4912" t="s">
        <v>95</v>
      </c>
      <c r="Z4912" t="s">
        <v>96</v>
      </c>
      <c r="AA4912" t="s">
        <v>678</v>
      </c>
      <c r="AB4912" t="s">
        <v>7058</v>
      </c>
      <c r="AC4912">
        <v>0</v>
      </c>
      <c r="AD4912">
        <v>0</v>
      </c>
      <c r="AE4912">
        <v>74</v>
      </c>
      <c r="AF4912">
        <v>362.05</v>
      </c>
      <c r="AG4912">
        <v>0.28999999999999998</v>
      </c>
      <c r="AH4912">
        <v>4.3099999999999996</v>
      </c>
      <c r="AI4912">
        <v>-0.22</v>
      </c>
      <c r="AJ4912">
        <v>-0.13</v>
      </c>
      <c r="AK4912">
        <v>73</v>
      </c>
      <c r="AL4912">
        <v>0</v>
      </c>
      <c r="AM4912">
        <v>0</v>
      </c>
      <c r="AN4912">
        <v>9.49</v>
      </c>
      <c r="AO4912">
        <v>-4.93</v>
      </c>
      <c r="AP4912">
        <v>8</v>
      </c>
      <c r="AQ4912">
        <v>0</v>
      </c>
      <c r="AR4912">
        <v>9.6300000000000008</v>
      </c>
      <c r="AS4912">
        <v>37</v>
      </c>
      <c r="AT4912">
        <v>4.63</v>
      </c>
      <c r="AU4912">
        <v>77</v>
      </c>
      <c r="AV4912">
        <v>0.69</v>
      </c>
      <c r="AW4912">
        <v>49</v>
      </c>
      <c r="AX4912">
        <v>-0.22</v>
      </c>
      <c r="AY4912">
        <v>41</v>
      </c>
      <c r="AZ4912">
        <v>6.42</v>
      </c>
      <c r="BA4912">
        <v>29</v>
      </c>
      <c r="BB4912">
        <v>4.6500000000000004</v>
      </c>
      <c r="BC4912">
        <v>30</v>
      </c>
      <c r="BD4912">
        <v>0.04</v>
      </c>
      <c r="BE4912">
        <v>0.06</v>
      </c>
      <c r="BF4912">
        <v>0</v>
      </c>
      <c r="BG4912">
        <v>82</v>
      </c>
      <c r="BH4912">
        <v>0</v>
      </c>
      <c r="BI4912">
        <v>4.24</v>
      </c>
      <c r="BJ4912">
        <v>0</v>
      </c>
      <c r="BK4912">
        <v>0</v>
      </c>
      <c r="BL4912">
        <v>0.54</v>
      </c>
      <c r="BM4912">
        <v>-1.33</v>
      </c>
      <c r="BN4912">
        <v>-0.3</v>
      </c>
      <c r="BO4912">
        <v>1.1499999999999999</v>
      </c>
      <c r="BP4912">
        <v>0.16</v>
      </c>
      <c r="BQ4912">
        <v>-0.35</v>
      </c>
      <c r="BR4912">
        <v>0.06</v>
      </c>
      <c r="BS4912">
        <v>-0.28999999999999998</v>
      </c>
      <c r="BT4912">
        <v>0.01</v>
      </c>
      <c r="BU4912">
        <v>0.6</v>
      </c>
      <c r="BV4912">
        <v>0.24</v>
      </c>
      <c r="BW4912">
        <v>-0.46</v>
      </c>
      <c r="BX4912">
        <v>0</v>
      </c>
      <c r="BY4912">
        <v>0.42</v>
      </c>
      <c r="BZ4912">
        <v>1.97</v>
      </c>
      <c r="CA4912">
        <v>0.16</v>
      </c>
      <c r="CB4912">
        <v>0.33</v>
      </c>
      <c r="CC4912">
        <v>-0.26</v>
      </c>
      <c r="CD4912">
        <v>-1</v>
      </c>
      <c r="CE4912">
        <v>0</v>
      </c>
      <c r="CF4912">
        <v>0</v>
      </c>
      <c r="CG4912">
        <v>0</v>
      </c>
      <c r="CH4912">
        <v>0</v>
      </c>
      <c r="CI4912">
        <v>0</v>
      </c>
      <c r="CJ4912">
        <v>1.6</v>
      </c>
      <c r="CK4912">
        <v>58</v>
      </c>
      <c r="CL4912">
        <v>-0.49</v>
      </c>
      <c r="CM4912">
        <v>54</v>
      </c>
      <c r="CN4912">
        <v>-0.1</v>
      </c>
      <c r="CO4912">
        <v>51</v>
      </c>
      <c r="CP4912">
        <v>1.2</v>
      </c>
      <c r="CQ4912">
        <v>52</v>
      </c>
      <c r="CR4912">
        <v>0</v>
      </c>
      <c r="CS4912">
        <v>0</v>
      </c>
      <c r="CT4912">
        <v>8.1999999999999993</v>
      </c>
      <c r="CU4912">
        <v>48</v>
      </c>
      <c r="CV4912">
        <v>0.14000000000000001</v>
      </c>
      <c r="CW4912">
        <v>16</v>
      </c>
      <c r="CX4912" t="s">
        <v>485</v>
      </c>
    </row>
    <row r="4913" spans="1:102" x14ac:dyDescent="0.3">
      <c r="A4913" t="str">
        <f>HYPERLINK("https://webapp.icbf.com/v2/app/bull-search/view/77859811","BMT")</f>
        <v>BMT</v>
      </c>
      <c r="B4913" t="s">
        <v>8762</v>
      </c>
      <c r="C4913" t="s">
        <v>8763</v>
      </c>
      <c r="D4913" s="1">
        <v>33399</v>
      </c>
      <c r="E4913" t="s">
        <v>92</v>
      </c>
      <c r="F4913">
        <v>100</v>
      </c>
      <c r="G4913" t="s">
        <v>109</v>
      </c>
      <c r="H4913">
        <v>-221.45</v>
      </c>
      <c r="I4913">
        <v>71</v>
      </c>
      <c r="J4913">
        <v>-1.23</v>
      </c>
      <c r="K4913">
        <v>81</v>
      </c>
      <c r="L4913">
        <v>-140.58000000000001</v>
      </c>
      <c r="M4913">
        <v>78</v>
      </c>
      <c r="N4913">
        <v>-68.55</v>
      </c>
      <c r="O4913">
        <v>54</v>
      </c>
      <c r="P4913">
        <v>-8.0399999999999991</v>
      </c>
      <c r="Q4913">
        <v>57</v>
      </c>
      <c r="R4913">
        <v>-7.61</v>
      </c>
      <c r="S4913">
        <v>65</v>
      </c>
      <c r="T4913">
        <v>6.57</v>
      </c>
      <c r="U4913">
        <v>57</v>
      </c>
      <c r="V4913">
        <v>-2.0099999999999998</v>
      </c>
      <c r="W4913">
        <v>32</v>
      </c>
      <c r="X4913" t="s">
        <v>110</v>
      </c>
      <c r="Y4913" t="s">
        <v>95</v>
      </c>
      <c r="Z4913" t="s">
        <v>96</v>
      </c>
      <c r="AA4913" t="s">
        <v>132</v>
      </c>
      <c r="AB4913" t="s">
        <v>8764</v>
      </c>
      <c r="AC4913">
        <v>0</v>
      </c>
      <c r="AD4913">
        <v>0</v>
      </c>
      <c r="AE4913">
        <v>81</v>
      </c>
      <c r="AF4913">
        <v>226.77</v>
      </c>
      <c r="AG4913">
        <v>6.45</v>
      </c>
      <c r="AH4913">
        <v>0.98</v>
      </c>
      <c r="AI4913">
        <v>-0.04</v>
      </c>
      <c r="AJ4913">
        <v>-0.11</v>
      </c>
      <c r="AK4913">
        <v>78</v>
      </c>
      <c r="AL4913">
        <v>0</v>
      </c>
      <c r="AM4913">
        <v>0</v>
      </c>
      <c r="AN4913">
        <v>7.75</v>
      </c>
      <c r="AO4913">
        <v>-3.46</v>
      </c>
      <c r="AP4913">
        <v>4</v>
      </c>
      <c r="AQ4913">
        <v>0</v>
      </c>
      <c r="AR4913">
        <v>14.66</v>
      </c>
      <c r="AS4913">
        <v>31</v>
      </c>
      <c r="AT4913">
        <v>6.09</v>
      </c>
      <c r="AU4913">
        <v>82</v>
      </c>
      <c r="AV4913">
        <v>0.25</v>
      </c>
      <c r="AW4913">
        <v>50</v>
      </c>
      <c r="AX4913">
        <v>-0.71</v>
      </c>
      <c r="AY4913">
        <v>48</v>
      </c>
      <c r="AZ4913">
        <v>8.0500000000000007</v>
      </c>
      <c r="BA4913">
        <v>32</v>
      </c>
      <c r="BB4913">
        <v>5.83</v>
      </c>
      <c r="BC4913">
        <v>36</v>
      </c>
      <c r="BD4913">
        <v>0.03</v>
      </c>
      <c r="BE4913">
        <v>0.05</v>
      </c>
      <c r="BF4913">
        <v>0.03</v>
      </c>
      <c r="BG4913">
        <v>86</v>
      </c>
      <c r="BH4913">
        <v>-0.02</v>
      </c>
      <c r="BI4913">
        <v>4.16</v>
      </c>
      <c r="BJ4913">
        <v>1</v>
      </c>
      <c r="BK4913">
        <v>1</v>
      </c>
      <c r="BL4913">
        <v>0.56000000000000005</v>
      </c>
      <c r="BM4913">
        <v>-1.33</v>
      </c>
      <c r="BN4913">
        <v>0.26</v>
      </c>
      <c r="BO4913">
        <v>1.1000000000000001</v>
      </c>
      <c r="BP4913">
        <v>-2.29</v>
      </c>
      <c r="BQ4913">
        <v>0.08</v>
      </c>
      <c r="BR4913">
        <v>-0.19</v>
      </c>
      <c r="BS4913">
        <v>-0.28999999999999998</v>
      </c>
      <c r="BT4913">
        <v>7.0000000000000007E-2</v>
      </c>
      <c r="BU4913">
        <v>-0.55000000000000004</v>
      </c>
      <c r="BV4913">
        <v>-0.13</v>
      </c>
      <c r="BW4913">
        <v>-0.98</v>
      </c>
      <c r="BX4913">
        <v>-0.93</v>
      </c>
      <c r="BY4913">
        <v>-0.6</v>
      </c>
      <c r="BZ4913">
        <v>1.31</v>
      </c>
      <c r="CA4913">
        <v>-0.41</v>
      </c>
      <c r="CB4913">
        <v>-0.24</v>
      </c>
      <c r="CC4913">
        <v>-0.54</v>
      </c>
      <c r="CD4913">
        <v>-1.81</v>
      </c>
      <c r="CE4913">
        <v>0.44</v>
      </c>
      <c r="CF4913">
        <v>0.98</v>
      </c>
      <c r="CG4913">
        <v>0</v>
      </c>
      <c r="CH4913">
        <v>0.23</v>
      </c>
      <c r="CI4913">
        <v>0</v>
      </c>
      <c r="CJ4913">
        <v>-3</v>
      </c>
      <c r="CK4913">
        <v>59</v>
      </c>
      <c r="CL4913">
        <v>-0.59</v>
      </c>
      <c r="CM4913">
        <v>54</v>
      </c>
      <c r="CN4913">
        <v>-0.17</v>
      </c>
      <c r="CO4913">
        <v>49</v>
      </c>
      <c r="CP4913">
        <v>1.3</v>
      </c>
      <c r="CQ4913">
        <v>65</v>
      </c>
      <c r="CR4913">
        <v>0</v>
      </c>
      <c r="CS4913">
        <v>0</v>
      </c>
      <c r="CT4913">
        <v>4.9000000000000004</v>
      </c>
      <c r="CU4913">
        <v>57</v>
      </c>
      <c r="CV4913">
        <v>0.02</v>
      </c>
      <c r="CW4913">
        <v>16</v>
      </c>
      <c r="CX4913" t="s">
        <v>3549</v>
      </c>
    </row>
    <row r="4914" spans="1:102" x14ac:dyDescent="0.3">
      <c r="A4914" t="str">
        <f>HYPERLINK("https://webapp.icbf.com/v2/app/bull-search/view/77856043","KTL")</f>
        <v>KTL</v>
      </c>
      <c r="B4914" t="s">
        <v>11233</v>
      </c>
      <c r="C4914" t="s">
        <v>11234</v>
      </c>
      <c r="D4914" s="1">
        <v>34587</v>
      </c>
      <c r="E4914" t="s">
        <v>92</v>
      </c>
      <c r="F4914">
        <v>100</v>
      </c>
      <c r="G4914" t="s">
        <v>109</v>
      </c>
      <c r="H4914">
        <v>-221.73</v>
      </c>
      <c r="I4914">
        <v>80</v>
      </c>
      <c r="J4914">
        <v>-37.49</v>
      </c>
      <c r="K4914">
        <v>93</v>
      </c>
      <c r="L4914">
        <v>-123.25</v>
      </c>
      <c r="M4914">
        <v>85</v>
      </c>
      <c r="N4914">
        <v>-45.13</v>
      </c>
      <c r="O4914">
        <v>63</v>
      </c>
      <c r="P4914">
        <v>4.54</v>
      </c>
      <c r="Q4914">
        <v>56</v>
      </c>
      <c r="R4914">
        <v>-13.82</v>
      </c>
      <c r="S4914">
        <v>77</v>
      </c>
      <c r="T4914">
        <v>0.8</v>
      </c>
      <c r="U4914">
        <v>59</v>
      </c>
      <c r="V4914">
        <v>-7.38</v>
      </c>
      <c r="W4914">
        <v>63</v>
      </c>
      <c r="X4914" t="s">
        <v>558</v>
      </c>
      <c r="Y4914" t="s">
        <v>95</v>
      </c>
      <c r="Z4914" t="s">
        <v>96</v>
      </c>
      <c r="AA4914" t="s">
        <v>678</v>
      </c>
      <c r="AB4914" t="s">
        <v>11235</v>
      </c>
      <c r="AC4914">
        <v>0</v>
      </c>
      <c r="AD4914">
        <v>0</v>
      </c>
      <c r="AE4914">
        <v>93</v>
      </c>
      <c r="AF4914">
        <v>204.64</v>
      </c>
      <c r="AG4914">
        <v>-5.86</v>
      </c>
      <c r="AH4914">
        <v>-1.17</v>
      </c>
      <c r="AI4914">
        <v>-0.23</v>
      </c>
      <c r="AJ4914">
        <v>-0.14000000000000001</v>
      </c>
      <c r="AK4914">
        <v>85</v>
      </c>
      <c r="AL4914">
        <v>0</v>
      </c>
      <c r="AM4914">
        <v>0</v>
      </c>
      <c r="AN4914">
        <v>7.44</v>
      </c>
      <c r="AO4914">
        <v>-2.38</v>
      </c>
      <c r="AP4914">
        <v>2</v>
      </c>
      <c r="AQ4914">
        <v>0</v>
      </c>
      <c r="AR4914">
        <v>13.55</v>
      </c>
      <c r="AS4914">
        <v>58</v>
      </c>
      <c r="AT4914">
        <v>5.03</v>
      </c>
      <c r="AU4914">
        <v>89</v>
      </c>
      <c r="AV4914">
        <v>0.19</v>
      </c>
      <c r="AW4914">
        <v>55</v>
      </c>
      <c r="AX4914">
        <v>-7.0000000000000007E-2</v>
      </c>
      <c r="AY4914">
        <v>51</v>
      </c>
      <c r="AZ4914">
        <v>7.14</v>
      </c>
      <c r="BA4914">
        <v>49</v>
      </c>
      <c r="BB4914">
        <v>5.3</v>
      </c>
      <c r="BC4914">
        <v>51</v>
      </c>
      <c r="BD4914">
        <v>7.0000000000000007E-2</v>
      </c>
      <c r="BE4914">
        <v>0.09</v>
      </c>
      <c r="BF4914">
        <v>0.03</v>
      </c>
      <c r="BG4914">
        <v>92</v>
      </c>
      <c r="BH4914">
        <v>-7.0000000000000007E-2</v>
      </c>
      <c r="BI4914">
        <v>15.72</v>
      </c>
      <c r="BJ4914">
        <v>5</v>
      </c>
      <c r="BK4914">
        <v>2</v>
      </c>
      <c r="BL4914">
        <v>0.32</v>
      </c>
      <c r="BM4914">
        <v>-0.08</v>
      </c>
      <c r="BN4914">
        <v>0.15</v>
      </c>
      <c r="BO4914">
        <v>0.31</v>
      </c>
      <c r="BP4914">
        <v>-0.98</v>
      </c>
      <c r="BQ4914">
        <v>-1.28</v>
      </c>
      <c r="BR4914">
        <v>-2.27</v>
      </c>
      <c r="BS4914">
        <v>1.59</v>
      </c>
      <c r="BT4914">
        <v>1.7</v>
      </c>
      <c r="BU4914">
        <v>1.51</v>
      </c>
      <c r="BV4914">
        <v>0.34</v>
      </c>
      <c r="BW4914">
        <v>0.79</v>
      </c>
      <c r="BX4914">
        <v>0.9</v>
      </c>
      <c r="BY4914">
        <v>0.36</v>
      </c>
      <c r="BZ4914">
        <v>2.09</v>
      </c>
      <c r="CA4914">
        <v>1.65</v>
      </c>
      <c r="CB4914">
        <v>1.06</v>
      </c>
      <c r="CC4914">
        <v>1.35</v>
      </c>
      <c r="CD4914">
        <v>-0.19</v>
      </c>
      <c r="CE4914">
        <v>0.92</v>
      </c>
      <c r="CF4914">
        <v>7.0000000000000007E-2</v>
      </c>
      <c r="CG4914">
        <v>0</v>
      </c>
      <c r="CH4914">
        <v>0.25</v>
      </c>
      <c r="CI4914">
        <v>0</v>
      </c>
      <c r="CJ4914">
        <v>1.4</v>
      </c>
      <c r="CK4914">
        <v>57</v>
      </c>
      <c r="CL4914">
        <v>-0.49</v>
      </c>
      <c r="CM4914">
        <v>54</v>
      </c>
      <c r="CN4914">
        <v>-0.61</v>
      </c>
      <c r="CO4914">
        <v>52</v>
      </c>
      <c r="CP4914">
        <v>3.5</v>
      </c>
      <c r="CQ4914">
        <v>60</v>
      </c>
      <c r="CR4914">
        <v>0</v>
      </c>
      <c r="CS4914">
        <v>0</v>
      </c>
      <c r="CT4914">
        <v>12.7</v>
      </c>
      <c r="CU4914">
        <v>59</v>
      </c>
      <c r="CV4914">
        <v>0.12</v>
      </c>
      <c r="CW4914">
        <v>36</v>
      </c>
      <c r="CX4914" t="s">
        <v>3414</v>
      </c>
    </row>
    <row r="4915" spans="1:102" x14ac:dyDescent="0.3">
      <c r="A4915" t="str">
        <f>HYPERLINK("https://webapp.icbf.com/v2/app/bull-search/view/77858527","DQW")</f>
        <v>DQW</v>
      </c>
      <c r="B4915" t="s">
        <v>8759</v>
      </c>
      <c r="C4915" t="s">
        <v>8760</v>
      </c>
      <c r="D4915" s="1">
        <v>34148</v>
      </c>
      <c r="E4915" t="s">
        <v>92</v>
      </c>
      <c r="F4915">
        <v>100</v>
      </c>
      <c r="G4915" t="s">
        <v>93</v>
      </c>
      <c r="H4915">
        <v>-223.03</v>
      </c>
      <c r="I4915">
        <v>87</v>
      </c>
      <c r="J4915">
        <v>-75.95</v>
      </c>
      <c r="K4915">
        <v>97</v>
      </c>
      <c r="L4915">
        <v>-113.45</v>
      </c>
      <c r="M4915">
        <v>88</v>
      </c>
      <c r="N4915">
        <v>-7.3</v>
      </c>
      <c r="O4915">
        <v>76</v>
      </c>
      <c r="P4915">
        <v>-13.83</v>
      </c>
      <c r="Q4915">
        <v>88</v>
      </c>
      <c r="R4915">
        <v>-31.43</v>
      </c>
      <c r="S4915">
        <v>76</v>
      </c>
      <c r="T4915">
        <v>18.34</v>
      </c>
      <c r="U4915">
        <v>87</v>
      </c>
      <c r="V4915">
        <v>0.59</v>
      </c>
      <c r="W4915">
        <v>45</v>
      </c>
      <c r="X4915" t="s">
        <v>747</v>
      </c>
      <c r="Y4915" t="s">
        <v>95</v>
      </c>
      <c r="Z4915" t="s">
        <v>96</v>
      </c>
      <c r="AA4915" t="s">
        <v>3763</v>
      </c>
      <c r="AB4915" t="s">
        <v>8761</v>
      </c>
      <c r="AC4915">
        <v>121</v>
      </c>
      <c r="AD4915">
        <v>88</v>
      </c>
      <c r="AE4915">
        <v>97</v>
      </c>
      <c r="AF4915">
        <v>197.33</v>
      </c>
      <c r="AG4915">
        <v>-12.88</v>
      </c>
      <c r="AH4915">
        <v>-5.34</v>
      </c>
      <c r="AI4915">
        <v>-0.33</v>
      </c>
      <c r="AJ4915">
        <v>-0.19</v>
      </c>
      <c r="AK4915">
        <v>88</v>
      </c>
      <c r="AL4915">
        <v>120</v>
      </c>
      <c r="AM4915">
        <v>68</v>
      </c>
      <c r="AN4915">
        <v>5.97</v>
      </c>
      <c r="AO4915">
        <v>-3.08</v>
      </c>
      <c r="AP4915">
        <v>36</v>
      </c>
      <c r="AQ4915">
        <v>0</v>
      </c>
      <c r="AR4915">
        <v>8.77</v>
      </c>
      <c r="AS4915">
        <v>70</v>
      </c>
      <c r="AT4915">
        <v>4.34</v>
      </c>
      <c r="AU4915">
        <v>87</v>
      </c>
      <c r="AV4915">
        <v>-0.66</v>
      </c>
      <c r="AW4915">
        <v>74</v>
      </c>
      <c r="AX4915">
        <v>-0.84</v>
      </c>
      <c r="AY4915">
        <v>83</v>
      </c>
      <c r="AZ4915">
        <v>5.83</v>
      </c>
      <c r="BA4915">
        <v>64</v>
      </c>
      <c r="BB4915">
        <v>5.05</v>
      </c>
      <c r="BC4915">
        <v>67</v>
      </c>
      <c r="BD4915">
        <v>7.0000000000000007E-2</v>
      </c>
      <c r="BE4915">
        <v>0.14000000000000001</v>
      </c>
      <c r="BF4915">
        <v>0.34</v>
      </c>
      <c r="BG4915">
        <v>93</v>
      </c>
      <c r="BH4915">
        <v>0.14000000000000001</v>
      </c>
      <c r="BI4915">
        <v>14.3</v>
      </c>
      <c r="BJ4915">
        <v>56</v>
      </c>
      <c r="BK4915">
        <v>33</v>
      </c>
      <c r="BL4915">
        <v>0.78</v>
      </c>
      <c r="BM4915">
        <v>-1</v>
      </c>
      <c r="BN4915">
        <v>0.85</v>
      </c>
      <c r="BO4915">
        <v>1.21</v>
      </c>
      <c r="BP4915">
        <v>1.0900000000000001</v>
      </c>
      <c r="BQ4915">
        <v>0.32</v>
      </c>
      <c r="BR4915">
        <v>-0.52</v>
      </c>
      <c r="BS4915">
        <v>1.26</v>
      </c>
      <c r="BT4915">
        <v>-0.6</v>
      </c>
      <c r="BU4915">
        <v>0.85</v>
      </c>
      <c r="BV4915">
        <v>1.93</v>
      </c>
      <c r="BW4915">
        <v>2.2999999999999998</v>
      </c>
      <c r="BX4915">
        <v>1.06</v>
      </c>
      <c r="BY4915">
        <v>1.61</v>
      </c>
      <c r="BZ4915">
        <v>-0.22</v>
      </c>
      <c r="CA4915">
        <v>1.76</v>
      </c>
      <c r="CB4915">
        <v>1.57</v>
      </c>
      <c r="CC4915">
        <v>1.49</v>
      </c>
      <c r="CD4915">
        <v>-1.1100000000000001</v>
      </c>
      <c r="CE4915">
        <v>0.9</v>
      </c>
      <c r="CF4915">
        <v>0.68</v>
      </c>
      <c r="CG4915">
        <v>0</v>
      </c>
      <c r="CH4915">
        <v>1.1299999999999999</v>
      </c>
      <c r="CI4915">
        <v>0</v>
      </c>
      <c r="CJ4915">
        <v>-7.1</v>
      </c>
      <c r="CK4915">
        <v>89</v>
      </c>
      <c r="CL4915">
        <v>-0.9</v>
      </c>
      <c r="CM4915">
        <v>87</v>
      </c>
      <c r="CN4915">
        <v>-0.61</v>
      </c>
      <c r="CO4915">
        <v>85</v>
      </c>
      <c r="CP4915">
        <v>-12.6</v>
      </c>
      <c r="CQ4915">
        <v>93</v>
      </c>
      <c r="CR4915">
        <v>0</v>
      </c>
      <c r="CS4915">
        <v>0</v>
      </c>
      <c r="CT4915">
        <v>-11</v>
      </c>
      <c r="CU4915">
        <v>87</v>
      </c>
      <c r="CV4915">
        <v>0.13</v>
      </c>
      <c r="CW4915">
        <v>25</v>
      </c>
      <c r="CX4915" t="s">
        <v>111</v>
      </c>
    </row>
    <row r="4916" spans="1:102" x14ac:dyDescent="0.3">
      <c r="A4916" t="str">
        <f>HYPERLINK("https://webapp.icbf.com/v2/app/bull-search/view/360473944","DGI")</f>
        <v>DGI</v>
      </c>
      <c r="B4916" t="s">
        <v>11267</v>
      </c>
      <c r="C4916" t="s">
        <v>11268</v>
      </c>
      <c r="D4916" s="1">
        <v>36619</v>
      </c>
      <c r="E4916" t="s">
        <v>92</v>
      </c>
      <c r="F4916">
        <v>100</v>
      </c>
      <c r="G4916" t="s">
        <v>109</v>
      </c>
      <c r="H4916">
        <v>-223.41</v>
      </c>
      <c r="I4916">
        <v>78</v>
      </c>
      <c r="J4916">
        <v>-49.54</v>
      </c>
      <c r="K4916">
        <v>84</v>
      </c>
      <c r="L4916">
        <v>-76.64</v>
      </c>
      <c r="M4916">
        <v>82</v>
      </c>
      <c r="N4916">
        <v>-64.83</v>
      </c>
      <c r="O4916">
        <v>70</v>
      </c>
      <c r="P4916">
        <v>-10.32</v>
      </c>
      <c r="Q4916">
        <v>76</v>
      </c>
      <c r="R4916">
        <v>-10.8</v>
      </c>
      <c r="S4916">
        <v>66</v>
      </c>
      <c r="T4916">
        <v>-8.82</v>
      </c>
      <c r="U4916">
        <v>72</v>
      </c>
      <c r="V4916">
        <v>-2.46</v>
      </c>
      <c r="W4916">
        <v>39</v>
      </c>
      <c r="X4916" t="s">
        <v>251</v>
      </c>
      <c r="Y4916" t="s">
        <v>171</v>
      </c>
      <c r="Z4916" t="s">
        <v>96</v>
      </c>
      <c r="AA4916" t="s">
        <v>9704</v>
      </c>
      <c r="AB4916" t="s">
        <v>7500</v>
      </c>
      <c r="AC4916">
        <v>0</v>
      </c>
      <c r="AD4916">
        <v>0</v>
      </c>
      <c r="AE4916">
        <v>84</v>
      </c>
      <c r="AF4916">
        <v>1.54</v>
      </c>
      <c r="AG4916">
        <v>-3.17</v>
      </c>
      <c r="AH4916">
        <v>-7.28</v>
      </c>
      <c r="AI4916">
        <v>-0.05</v>
      </c>
      <c r="AJ4916">
        <v>-0.12</v>
      </c>
      <c r="AK4916">
        <v>82</v>
      </c>
      <c r="AL4916">
        <v>0</v>
      </c>
      <c r="AM4916">
        <v>0</v>
      </c>
      <c r="AN4916">
        <v>2.75</v>
      </c>
      <c r="AO4916">
        <v>-3.38</v>
      </c>
      <c r="AP4916">
        <v>61</v>
      </c>
      <c r="AQ4916">
        <v>0</v>
      </c>
      <c r="AR4916">
        <v>14.44</v>
      </c>
      <c r="AS4916">
        <v>51</v>
      </c>
      <c r="AT4916">
        <v>6.37</v>
      </c>
      <c r="AU4916">
        <v>87</v>
      </c>
      <c r="AV4916">
        <v>-0.17</v>
      </c>
      <c r="AW4916">
        <v>79</v>
      </c>
      <c r="AX4916">
        <v>1.53</v>
      </c>
      <c r="AY4916">
        <v>64</v>
      </c>
      <c r="AZ4916">
        <v>5.27</v>
      </c>
      <c r="BA4916">
        <v>40</v>
      </c>
      <c r="BB4916">
        <v>4.8099999999999996</v>
      </c>
      <c r="BC4916">
        <v>35</v>
      </c>
      <c r="BD4916">
        <v>0.08</v>
      </c>
      <c r="BE4916">
        <v>0.05</v>
      </c>
      <c r="BF4916">
        <v>0.02</v>
      </c>
      <c r="BG4916">
        <v>88</v>
      </c>
      <c r="BH4916">
        <v>0.01</v>
      </c>
      <c r="BI4916">
        <v>9.08</v>
      </c>
      <c r="BJ4916">
        <v>16</v>
      </c>
      <c r="BK4916">
        <v>13</v>
      </c>
      <c r="BL4916">
        <v>2.09</v>
      </c>
      <c r="BM4916">
        <v>2.15</v>
      </c>
      <c r="BN4916">
        <v>2.99</v>
      </c>
      <c r="BO4916">
        <v>1.2</v>
      </c>
      <c r="BP4916">
        <v>-4.7300000000000004</v>
      </c>
      <c r="BQ4916">
        <v>3.98</v>
      </c>
      <c r="BR4916">
        <v>0.84</v>
      </c>
      <c r="BS4916">
        <v>-0.9</v>
      </c>
      <c r="BT4916">
        <v>-0.22</v>
      </c>
      <c r="BU4916">
        <v>1.9</v>
      </c>
      <c r="BV4916">
        <v>1.67</v>
      </c>
      <c r="BW4916">
        <v>1.25</v>
      </c>
      <c r="BX4916">
        <v>1.42</v>
      </c>
      <c r="BY4916">
        <v>1.99</v>
      </c>
      <c r="BZ4916">
        <v>1.06</v>
      </c>
      <c r="CA4916">
        <v>1.1200000000000001</v>
      </c>
      <c r="CB4916">
        <v>1.92</v>
      </c>
      <c r="CC4916">
        <v>-0.75</v>
      </c>
      <c r="CD4916">
        <v>0.13</v>
      </c>
      <c r="CE4916">
        <v>1.1599999999999999</v>
      </c>
      <c r="CF4916">
        <v>2.4500000000000002</v>
      </c>
      <c r="CG4916">
        <v>0</v>
      </c>
      <c r="CH4916">
        <v>1.31</v>
      </c>
      <c r="CI4916">
        <v>0</v>
      </c>
      <c r="CJ4916">
        <v>-5.2</v>
      </c>
      <c r="CK4916">
        <v>78</v>
      </c>
      <c r="CL4916">
        <v>-0.87</v>
      </c>
      <c r="CM4916">
        <v>74</v>
      </c>
      <c r="CN4916">
        <v>-0.4</v>
      </c>
      <c r="CO4916">
        <v>70</v>
      </c>
      <c r="CP4916">
        <v>7.7</v>
      </c>
      <c r="CQ4916">
        <v>77</v>
      </c>
      <c r="CR4916">
        <v>0</v>
      </c>
      <c r="CS4916">
        <v>0</v>
      </c>
      <c r="CT4916">
        <v>25.7</v>
      </c>
      <c r="CU4916">
        <v>72</v>
      </c>
      <c r="CV4916">
        <v>7.0000000000000007E-2</v>
      </c>
      <c r="CW4916">
        <v>20</v>
      </c>
      <c r="CX4916" t="s">
        <v>5410</v>
      </c>
    </row>
    <row r="4917" spans="1:102" x14ac:dyDescent="0.3">
      <c r="A4917" t="str">
        <f>HYPERLINK("https://webapp.icbf.com/v2/app/bull-search/view/169953071","RMD")</f>
        <v>RMD</v>
      </c>
      <c r="B4917" t="s">
        <v>8730</v>
      </c>
      <c r="C4917" t="s">
        <v>8731</v>
      </c>
      <c r="D4917" s="1">
        <v>35429</v>
      </c>
      <c r="E4917" t="s">
        <v>92</v>
      </c>
      <c r="F4917">
        <v>100</v>
      </c>
      <c r="G4917" t="s">
        <v>93</v>
      </c>
      <c r="H4917">
        <v>-223.71</v>
      </c>
      <c r="I4917">
        <v>89</v>
      </c>
      <c r="J4917">
        <v>-1.84</v>
      </c>
      <c r="K4917">
        <v>96</v>
      </c>
      <c r="L4917">
        <v>-154.83000000000001</v>
      </c>
      <c r="M4917">
        <v>88</v>
      </c>
      <c r="N4917">
        <v>-39.200000000000003</v>
      </c>
      <c r="O4917">
        <v>83</v>
      </c>
      <c r="P4917">
        <v>-10.57</v>
      </c>
      <c r="Q4917">
        <v>89</v>
      </c>
      <c r="R4917">
        <v>-9.15</v>
      </c>
      <c r="S4917">
        <v>82</v>
      </c>
      <c r="T4917">
        <v>2.06</v>
      </c>
      <c r="U4917">
        <v>87</v>
      </c>
      <c r="V4917">
        <v>-10.18</v>
      </c>
      <c r="W4917">
        <v>75</v>
      </c>
      <c r="X4917" t="s">
        <v>131</v>
      </c>
      <c r="Y4917" t="s">
        <v>95</v>
      </c>
      <c r="Z4917" t="s">
        <v>96</v>
      </c>
      <c r="AA4917" t="s">
        <v>1109</v>
      </c>
      <c r="AB4917" t="s">
        <v>8732</v>
      </c>
      <c r="AC4917">
        <v>74</v>
      </c>
      <c r="AD4917">
        <v>44</v>
      </c>
      <c r="AE4917">
        <v>96</v>
      </c>
      <c r="AF4917">
        <v>73.16</v>
      </c>
      <c r="AG4917">
        <v>0.98</v>
      </c>
      <c r="AH4917">
        <v>0.46</v>
      </c>
      <c r="AI4917">
        <v>-0.03</v>
      </c>
      <c r="AJ4917">
        <v>-0.04</v>
      </c>
      <c r="AK4917">
        <v>88</v>
      </c>
      <c r="AL4917">
        <v>73</v>
      </c>
      <c r="AM4917">
        <v>44</v>
      </c>
      <c r="AN4917">
        <v>8.27</v>
      </c>
      <c r="AO4917">
        <v>-4.08</v>
      </c>
      <c r="AP4917">
        <v>117</v>
      </c>
      <c r="AQ4917">
        <v>0</v>
      </c>
      <c r="AR4917">
        <v>12.27</v>
      </c>
      <c r="AS4917">
        <v>71</v>
      </c>
      <c r="AT4917">
        <v>5.49</v>
      </c>
      <c r="AU4917">
        <v>91</v>
      </c>
      <c r="AV4917">
        <v>-0.28999999999999998</v>
      </c>
      <c r="AW4917">
        <v>90</v>
      </c>
      <c r="AX4917">
        <v>0.17</v>
      </c>
      <c r="AY4917">
        <v>80</v>
      </c>
      <c r="AZ4917">
        <v>6.55</v>
      </c>
      <c r="BA4917">
        <v>63</v>
      </c>
      <c r="BB4917">
        <v>4.72</v>
      </c>
      <c r="BC4917">
        <v>65</v>
      </c>
      <c r="BD4917">
        <v>0.02</v>
      </c>
      <c r="BE4917">
        <v>0.03</v>
      </c>
      <c r="BF4917">
        <v>0.12</v>
      </c>
      <c r="BG4917">
        <v>91</v>
      </c>
      <c r="BH4917">
        <v>-0.14000000000000001</v>
      </c>
      <c r="BI4917">
        <v>16.649999999999999</v>
      </c>
      <c r="BJ4917">
        <v>11</v>
      </c>
      <c r="BK4917">
        <v>10</v>
      </c>
      <c r="BL4917">
        <v>1.97</v>
      </c>
      <c r="BM4917">
        <v>0.62</v>
      </c>
      <c r="BN4917">
        <v>2.31</v>
      </c>
      <c r="BO4917">
        <v>0.94</v>
      </c>
      <c r="BP4917">
        <v>0.26</v>
      </c>
      <c r="BQ4917">
        <v>2.2200000000000002</v>
      </c>
      <c r="BR4917">
        <v>-3.48</v>
      </c>
      <c r="BS4917">
        <v>1.6</v>
      </c>
      <c r="BT4917">
        <v>4.12</v>
      </c>
      <c r="BU4917">
        <v>0.74</v>
      </c>
      <c r="BV4917">
        <v>2.1</v>
      </c>
      <c r="BW4917">
        <v>0.62</v>
      </c>
      <c r="BX4917">
        <v>0.44</v>
      </c>
      <c r="BY4917">
        <v>-0.72</v>
      </c>
      <c r="BZ4917">
        <v>1.89</v>
      </c>
      <c r="CA4917">
        <v>1.71</v>
      </c>
      <c r="CB4917">
        <v>0.74</v>
      </c>
      <c r="CC4917">
        <v>2.4900000000000002</v>
      </c>
      <c r="CD4917">
        <v>-0.88</v>
      </c>
      <c r="CE4917">
        <v>0.64</v>
      </c>
      <c r="CF4917">
        <v>1.53</v>
      </c>
      <c r="CG4917">
        <v>0</v>
      </c>
      <c r="CH4917">
        <v>-0.28000000000000003</v>
      </c>
      <c r="CI4917">
        <v>0</v>
      </c>
      <c r="CJ4917">
        <v>-3.8</v>
      </c>
      <c r="CK4917">
        <v>90</v>
      </c>
      <c r="CL4917">
        <v>-0.97</v>
      </c>
      <c r="CM4917">
        <v>89</v>
      </c>
      <c r="CN4917">
        <v>-0.41</v>
      </c>
      <c r="CO4917">
        <v>87</v>
      </c>
      <c r="CP4917">
        <v>-0.8</v>
      </c>
      <c r="CQ4917">
        <v>89</v>
      </c>
      <c r="CR4917">
        <v>0</v>
      </c>
      <c r="CS4917">
        <v>0</v>
      </c>
      <c r="CT4917">
        <v>11</v>
      </c>
      <c r="CU4917">
        <v>87</v>
      </c>
      <c r="CV4917">
        <v>0.06</v>
      </c>
      <c r="CW4917">
        <v>44</v>
      </c>
      <c r="CX4917" t="s">
        <v>682</v>
      </c>
    </row>
    <row r="4918" spans="1:102" x14ac:dyDescent="0.3">
      <c r="A4918" t="str">
        <f>HYPERLINK("https://webapp.icbf.com/v2/app/bull-search/view/108367918","CFX")</f>
        <v>CFX</v>
      </c>
      <c r="B4918" t="s">
        <v>12200</v>
      </c>
      <c r="C4918" t="s">
        <v>12201</v>
      </c>
      <c r="D4918" s="1">
        <v>35173</v>
      </c>
      <c r="E4918" t="s">
        <v>92</v>
      </c>
      <c r="F4918">
        <v>100</v>
      </c>
      <c r="G4918" t="s">
        <v>109</v>
      </c>
      <c r="H4918">
        <v>-223.93</v>
      </c>
      <c r="I4918">
        <v>67</v>
      </c>
      <c r="J4918">
        <v>10.55</v>
      </c>
      <c r="K4918">
        <v>75</v>
      </c>
      <c r="L4918">
        <v>-182.04</v>
      </c>
      <c r="M4918">
        <v>67</v>
      </c>
      <c r="N4918">
        <v>-35.409999999999997</v>
      </c>
      <c r="O4918">
        <v>58</v>
      </c>
      <c r="P4918">
        <v>-9.18</v>
      </c>
      <c r="Q4918">
        <v>68</v>
      </c>
      <c r="R4918">
        <v>-11.96</v>
      </c>
      <c r="S4918">
        <v>64</v>
      </c>
      <c r="T4918">
        <v>8.94</v>
      </c>
      <c r="U4918">
        <v>60</v>
      </c>
      <c r="V4918">
        <v>-4.83</v>
      </c>
      <c r="W4918">
        <v>29</v>
      </c>
      <c r="X4918" t="s">
        <v>970</v>
      </c>
      <c r="Y4918" t="s">
        <v>95</v>
      </c>
      <c r="Z4918" t="s">
        <v>96</v>
      </c>
      <c r="AA4918" t="s">
        <v>265</v>
      </c>
      <c r="AB4918" t="s">
        <v>12202</v>
      </c>
      <c r="AC4918">
        <v>0</v>
      </c>
      <c r="AD4918">
        <v>0</v>
      </c>
      <c r="AE4918">
        <v>75</v>
      </c>
      <c r="AF4918">
        <v>397.3</v>
      </c>
      <c r="AG4918">
        <v>-0.52</v>
      </c>
      <c r="AH4918">
        <v>8.06</v>
      </c>
      <c r="AI4918">
        <v>-0.25</v>
      </c>
      <c r="AJ4918">
        <v>-0.09</v>
      </c>
      <c r="AK4918">
        <v>67</v>
      </c>
      <c r="AL4918">
        <v>0</v>
      </c>
      <c r="AM4918">
        <v>0</v>
      </c>
      <c r="AN4918">
        <v>10.48</v>
      </c>
      <c r="AO4918">
        <v>-4.03</v>
      </c>
      <c r="AP4918">
        <v>19</v>
      </c>
      <c r="AQ4918">
        <v>2</v>
      </c>
      <c r="AR4918">
        <v>11.37</v>
      </c>
      <c r="AS4918">
        <v>37</v>
      </c>
      <c r="AT4918">
        <v>5.15</v>
      </c>
      <c r="AU4918">
        <v>62</v>
      </c>
      <c r="AV4918">
        <v>-0.08</v>
      </c>
      <c r="AW4918">
        <v>71</v>
      </c>
      <c r="AX4918">
        <v>-0.62</v>
      </c>
      <c r="AY4918">
        <v>51</v>
      </c>
      <c r="AZ4918">
        <v>7.23</v>
      </c>
      <c r="BA4918">
        <v>33</v>
      </c>
      <c r="BB4918">
        <v>5.44</v>
      </c>
      <c r="BC4918">
        <v>36</v>
      </c>
      <c r="BD4918">
        <v>0</v>
      </c>
      <c r="BE4918">
        <v>0.05</v>
      </c>
      <c r="BF4918">
        <v>0.18</v>
      </c>
      <c r="BG4918">
        <v>84</v>
      </c>
      <c r="BH4918">
        <v>-0.03</v>
      </c>
      <c r="BI4918">
        <v>12.1</v>
      </c>
      <c r="BJ4918">
        <v>6</v>
      </c>
      <c r="BK4918">
        <v>3</v>
      </c>
      <c r="BL4918">
        <v>-0.1</v>
      </c>
      <c r="BM4918">
        <v>-1.1399999999999999</v>
      </c>
      <c r="BN4918">
        <v>0.5</v>
      </c>
      <c r="BO4918">
        <v>0.99</v>
      </c>
      <c r="BP4918">
        <v>-0.25</v>
      </c>
      <c r="BQ4918">
        <v>-1.34</v>
      </c>
      <c r="BR4918">
        <v>0.63</v>
      </c>
      <c r="BS4918">
        <v>0.53</v>
      </c>
      <c r="BT4918">
        <v>-0.72</v>
      </c>
      <c r="BU4918">
        <v>0.6</v>
      </c>
      <c r="BV4918">
        <v>0.37</v>
      </c>
      <c r="BW4918">
        <v>-1.18</v>
      </c>
      <c r="BX4918">
        <v>-1.03</v>
      </c>
      <c r="BY4918">
        <v>-1.01</v>
      </c>
      <c r="BZ4918">
        <v>1.88</v>
      </c>
      <c r="CA4918">
        <v>0.2</v>
      </c>
      <c r="CB4918">
        <v>0.12</v>
      </c>
      <c r="CC4918">
        <v>0.39</v>
      </c>
      <c r="CD4918">
        <v>-1.41</v>
      </c>
      <c r="CE4918">
        <v>0.54</v>
      </c>
      <c r="CF4918">
        <v>-0.75</v>
      </c>
      <c r="CG4918">
        <v>0</v>
      </c>
      <c r="CH4918">
        <v>0.12</v>
      </c>
      <c r="CI4918">
        <v>0</v>
      </c>
      <c r="CJ4918">
        <v>-4</v>
      </c>
      <c r="CK4918">
        <v>71</v>
      </c>
      <c r="CL4918">
        <v>-0.51</v>
      </c>
      <c r="CM4918">
        <v>66</v>
      </c>
      <c r="CN4918">
        <v>-0.26</v>
      </c>
      <c r="CO4918">
        <v>63</v>
      </c>
      <c r="CP4918">
        <v>-9.6</v>
      </c>
      <c r="CQ4918">
        <v>64</v>
      </c>
      <c r="CR4918">
        <v>0</v>
      </c>
      <c r="CS4918">
        <v>0</v>
      </c>
      <c r="CT4918">
        <v>1.7</v>
      </c>
      <c r="CU4918">
        <v>60</v>
      </c>
      <c r="CV4918">
        <v>0.08</v>
      </c>
      <c r="CW4918">
        <v>20</v>
      </c>
      <c r="CX4918" t="s">
        <v>485</v>
      </c>
    </row>
    <row r="4919" spans="1:102" x14ac:dyDescent="0.3">
      <c r="A4919" t="str">
        <f>HYPERLINK("https://webapp.icbf.com/v2/app/bull-search/view/77855437","LUY")</f>
        <v>LUY</v>
      </c>
      <c r="B4919" t="s">
        <v>3151</v>
      </c>
      <c r="C4919" t="s">
        <v>3152</v>
      </c>
      <c r="D4919" s="1">
        <v>33311</v>
      </c>
      <c r="E4919" t="s">
        <v>92</v>
      </c>
      <c r="F4919">
        <v>100</v>
      </c>
      <c r="G4919" t="s">
        <v>109</v>
      </c>
      <c r="H4919">
        <v>-224.3</v>
      </c>
      <c r="I4919">
        <v>71</v>
      </c>
      <c r="J4919">
        <v>-60.02</v>
      </c>
      <c r="K4919">
        <v>78</v>
      </c>
      <c r="L4919">
        <v>-105.67</v>
      </c>
      <c r="M4919">
        <v>78</v>
      </c>
      <c r="N4919">
        <v>-37.33</v>
      </c>
      <c r="O4919">
        <v>52</v>
      </c>
      <c r="P4919">
        <v>-6.91</v>
      </c>
      <c r="Q4919">
        <v>60</v>
      </c>
      <c r="R4919">
        <v>-19.86</v>
      </c>
      <c r="S4919">
        <v>63</v>
      </c>
      <c r="T4919">
        <v>6.94</v>
      </c>
      <c r="U4919">
        <v>68</v>
      </c>
      <c r="V4919">
        <v>-1.45</v>
      </c>
      <c r="W4919">
        <v>31</v>
      </c>
      <c r="X4919" t="s">
        <v>131</v>
      </c>
      <c r="Y4919" t="s">
        <v>95</v>
      </c>
      <c r="Z4919" t="s">
        <v>96</v>
      </c>
      <c r="AA4919" t="s">
        <v>190</v>
      </c>
      <c r="AB4919" t="s">
        <v>3153</v>
      </c>
      <c r="AC4919">
        <v>0</v>
      </c>
      <c r="AD4919">
        <v>0</v>
      </c>
      <c r="AE4919">
        <v>78</v>
      </c>
      <c r="AF4919">
        <v>275.97000000000003</v>
      </c>
      <c r="AG4919">
        <v>-8.66</v>
      </c>
      <c r="AH4919">
        <v>-2.92</v>
      </c>
      <c r="AI4919">
        <v>-0.31</v>
      </c>
      <c r="AJ4919">
        <v>-0.2</v>
      </c>
      <c r="AK4919">
        <v>78</v>
      </c>
      <c r="AL4919">
        <v>0</v>
      </c>
      <c r="AM4919">
        <v>0</v>
      </c>
      <c r="AN4919">
        <v>5.53</v>
      </c>
      <c r="AO4919">
        <v>-2.9</v>
      </c>
      <c r="AP4919">
        <v>20</v>
      </c>
      <c r="AQ4919">
        <v>0</v>
      </c>
      <c r="AR4919">
        <v>11.68</v>
      </c>
      <c r="AS4919">
        <v>30</v>
      </c>
      <c r="AT4919">
        <v>5.75</v>
      </c>
      <c r="AU4919">
        <v>83</v>
      </c>
      <c r="AV4919">
        <v>-0.69</v>
      </c>
      <c r="AW4919">
        <v>46</v>
      </c>
      <c r="AX4919">
        <v>-0.21</v>
      </c>
      <c r="AY4919">
        <v>50</v>
      </c>
      <c r="AZ4919">
        <v>7.12</v>
      </c>
      <c r="BA4919">
        <v>31</v>
      </c>
      <c r="BB4919">
        <v>4.8</v>
      </c>
      <c r="BC4919">
        <v>33</v>
      </c>
      <c r="BD4919">
        <v>0.04</v>
      </c>
      <c r="BE4919">
        <v>0.1</v>
      </c>
      <c r="BF4919">
        <v>0.2</v>
      </c>
      <c r="BG4919">
        <v>86</v>
      </c>
      <c r="BH4919">
        <v>0.05</v>
      </c>
      <c r="BI4919">
        <v>10.47</v>
      </c>
      <c r="BJ4919">
        <v>0</v>
      </c>
      <c r="BK4919">
        <v>0</v>
      </c>
      <c r="BL4919">
        <v>1.1100000000000001</v>
      </c>
      <c r="BM4919">
        <v>-0.11</v>
      </c>
      <c r="BN4919">
        <v>0.63</v>
      </c>
      <c r="BO4919">
        <v>0.96</v>
      </c>
      <c r="BP4919">
        <v>-0.15</v>
      </c>
      <c r="BQ4919">
        <v>1.26</v>
      </c>
      <c r="BR4919">
        <v>1.3</v>
      </c>
      <c r="BS4919">
        <v>-0.68</v>
      </c>
      <c r="BT4919">
        <v>-0.97</v>
      </c>
      <c r="BU4919">
        <v>-1.06</v>
      </c>
      <c r="BV4919">
        <v>0.64</v>
      </c>
      <c r="BW4919">
        <v>0.34</v>
      </c>
      <c r="BX4919">
        <v>-0.86</v>
      </c>
      <c r="BY4919">
        <v>-0.42</v>
      </c>
      <c r="BZ4919">
        <v>0.16</v>
      </c>
      <c r="CA4919">
        <v>-0.56999999999999995</v>
      </c>
      <c r="CB4919">
        <v>-0.41</v>
      </c>
      <c r="CC4919">
        <v>-0.55000000000000004</v>
      </c>
      <c r="CD4919">
        <v>-0.74</v>
      </c>
      <c r="CE4919">
        <v>0.43</v>
      </c>
      <c r="CF4919">
        <v>0.57999999999999996</v>
      </c>
      <c r="CG4919">
        <v>0</v>
      </c>
      <c r="CH4919">
        <v>-0.06</v>
      </c>
      <c r="CI4919">
        <v>0</v>
      </c>
      <c r="CJ4919">
        <v>-3</v>
      </c>
      <c r="CK4919">
        <v>62</v>
      </c>
      <c r="CL4919">
        <v>-0.74</v>
      </c>
      <c r="CM4919">
        <v>57</v>
      </c>
      <c r="CN4919">
        <v>-0.43</v>
      </c>
      <c r="CO4919">
        <v>52</v>
      </c>
      <c r="CP4919">
        <v>-1.1000000000000001</v>
      </c>
      <c r="CQ4919">
        <v>67</v>
      </c>
      <c r="CR4919">
        <v>0</v>
      </c>
      <c r="CS4919">
        <v>0</v>
      </c>
      <c r="CT4919">
        <v>4.4000000000000004</v>
      </c>
      <c r="CU4919">
        <v>68</v>
      </c>
      <c r="CV4919">
        <v>0.11</v>
      </c>
      <c r="CW4919">
        <v>16</v>
      </c>
      <c r="CX4919" t="s">
        <v>154</v>
      </c>
    </row>
    <row r="4920" spans="1:102" x14ac:dyDescent="0.3">
      <c r="A4920" t="str">
        <f>HYPERLINK("https://webapp.icbf.com/v2/app/bull-search/view/308318598","SSU")</f>
        <v>SSU</v>
      </c>
      <c r="B4920" t="s">
        <v>4356</v>
      </c>
      <c r="C4920" t="s">
        <v>4357</v>
      </c>
      <c r="D4920" s="1">
        <v>37584</v>
      </c>
      <c r="E4920" t="s">
        <v>92</v>
      </c>
      <c r="F4920">
        <v>100</v>
      </c>
      <c r="G4920" t="s">
        <v>93</v>
      </c>
      <c r="H4920">
        <v>-226.13</v>
      </c>
      <c r="I4920">
        <v>80</v>
      </c>
      <c r="J4920">
        <v>23.21</v>
      </c>
      <c r="K4920">
        <v>95</v>
      </c>
      <c r="L4920">
        <v>-134.4</v>
      </c>
      <c r="M4920">
        <v>66</v>
      </c>
      <c r="N4920">
        <v>-110.97</v>
      </c>
      <c r="O4920">
        <v>80</v>
      </c>
      <c r="P4920">
        <v>-4.28</v>
      </c>
      <c r="Q4920">
        <v>90</v>
      </c>
      <c r="R4920">
        <v>-8.6300000000000008</v>
      </c>
      <c r="S4920">
        <v>71</v>
      </c>
      <c r="T4920">
        <v>4.8</v>
      </c>
      <c r="U4920">
        <v>81</v>
      </c>
      <c r="V4920">
        <v>4.1399999999999997</v>
      </c>
      <c r="W4920">
        <v>60</v>
      </c>
      <c r="X4920" t="s">
        <v>94</v>
      </c>
      <c r="Y4920" t="s">
        <v>2565</v>
      </c>
      <c r="Z4920" t="s">
        <v>96</v>
      </c>
      <c r="AA4920" t="s">
        <v>285</v>
      </c>
      <c r="AB4920" t="s">
        <v>4358</v>
      </c>
      <c r="AC4920">
        <v>84</v>
      </c>
      <c r="AD4920">
        <v>54</v>
      </c>
      <c r="AE4920">
        <v>95</v>
      </c>
      <c r="AF4920">
        <v>224.08</v>
      </c>
      <c r="AG4920">
        <v>2.93</v>
      </c>
      <c r="AH4920">
        <v>6.34</v>
      </c>
      <c r="AI4920">
        <v>-0.09</v>
      </c>
      <c r="AJ4920">
        <v>-0.02</v>
      </c>
      <c r="AK4920">
        <v>66</v>
      </c>
      <c r="AL4920">
        <v>80</v>
      </c>
      <c r="AM4920">
        <v>56</v>
      </c>
      <c r="AN4920">
        <v>5.63</v>
      </c>
      <c r="AO4920">
        <v>-5.1100000000000003</v>
      </c>
      <c r="AP4920">
        <v>156</v>
      </c>
      <c r="AQ4920">
        <v>0</v>
      </c>
      <c r="AR4920">
        <v>18.190000000000001</v>
      </c>
      <c r="AS4920">
        <v>59</v>
      </c>
      <c r="AT4920">
        <v>8.0399999999999991</v>
      </c>
      <c r="AU4920">
        <v>80</v>
      </c>
      <c r="AV4920">
        <v>0.05</v>
      </c>
      <c r="AW4920">
        <v>94</v>
      </c>
      <c r="AX4920">
        <v>0.67</v>
      </c>
      <c r="AY4920">
        <v>78</v>
      </c>
      <c r="AZ4920">
        <v>5.23</v>
      </c>
      <c r="BA4920">
        <v>54</v>
      </c>
      <c r="BB4920">
        <v>4.37</v>
      </c>
      <c r="BC4920">
        <v>58</v>
      </c>
      <c r="BD4920">
        <v>-0.01</v>
      </c>
      <c r="BE4920">
        <v>0.05</v>
      </c>
      <c r="BF4920">
        <v>0.12</v>
      </c>
      <c r="BG4920">
        <v>80</v>
      </c>
      <c r="BH4920">
        <v>0.02</v>
      </c>
      <c r="BI4920">
        <v>-11.05</v>
      </c>
      <c r="BJ4920">
        <v>33</v>
      </c>
      <c r="BK4920">
        <v>19</v>
      </c>
      <c r="BL4920">
        <v>0.62</v>
      </c>
      <c r="BM4920">
        <v>0.51</v>
      </c>
      <c r="BN4920">
        <v>0.67</v>
      </c>
      <c r="BO4920">
        <v>0.3</v>
      </c>
      <c r="BP4920">
        <v>-0.48</v>
      </c>
      <c r="BQ4920">
        <v>0.21</v>
      </c>
      <c r="BR4920">
        <v>0.64</v>
      </c>
      <c r="BS4920">
        <v>-2.09</v>
      </c>
      <c r="BT4920">
        <v>-1.54</v>
      </c>
      <c r="BU4920">
        <v>0.03</v>
      </c>
      <c r="BV4920">
        <v>0.14000000000000001</v>
      </c>
      <c r="BW4920">
        <v>0</v>
      </c>
      <c r="BX4920">
        <v>0.17</v>
      </c>
      <c r="BY4920">
        <v>-0.12</v>
      </c>
      <c r="BZ4920">
        <v>-0.86</v>
      </c>
      <c r="CA4920">
        <v>-0.5</v>
      </c>
      <c r="CB4920">
        <v>0.28999999999999998</v>
      </c>
      <c r="CC4920">
        <v>-1.82</v>
      </c>
      <c r="CD4920">
        <v>-0.25</v>
      </c>
      <c r="CE4920">
        <v>-7.0000000000000007E-2</v>
      </c>
      <c r="CF4920">
        <v>0.59</v>
      </c>
      <c r="CG4920">
        <v>0</v>
      </c>
      <c r="CH4920">
        <v>0.33</v>
      </c>
      <c r="CI4920">
        <v>0</v>
      </c>
      <c r="CJ4920">
        <v>-0.6</v>
      </c>
      <c r="CK4920">
        <v>91</v>
      </c>
      <c r="CL4920">
        <v>-0.97</v>
      </c>
      <c r="CM4920">
        <v>89</v>
      </c>
      <c r="CN4920">
        <v>-0.54</v>
      </c>
      <c r="CO4920">
        <v>88</v>
      </c>
      <c r="CP4920">
        <v>1.6</v>
      </c>
      <c r="CQ4920">
        <v>89</v>
      </c>
      <c r="CR4920">
        <v>0</v>
      </c>
      <c r="CS4920">
        <v>0</v>
      </c>
      <c r="CT4920">
        <v>7.3</v>
      </c>
      <c r="CU4920">
        <v>81</v>
      </c>
      <c r="CV4920">
        <v>0.27</v>
      </c>
      <c r="CW4920">
        <v>26</v>
      </c>
      <c r="CX4920" t="s">
        <v>753</v>
      </c>
    </row>
    <row r="4921" spans="1:102" x14ac:dyDescent="0.3">
      <c r="A4921" t="str">
        <f>HYPERLINK("https://webapp.icbf.com/v2/app/bull-search/view/77854093","RPH")</f>
        <v>RPH</v>
      </c>
      <c r="B4921" t="s">
        <v>4379</v>
      </c>
      <c r="C4921" t="s">
        <v>4380</v>
      </c>
      <c r="D4921" s="1">
        <v>34087</v>
      </c>
      <c r="E4921" t="s">
        <v>92</v>
      </c>
      <c r="F4921">
        <v>100</v>
      </c>
      <c r="G4921" t="s">
        <v>109</v>
      </c>
      <c r="H4921">
        <v>-226.13</v>
      </c>
      <c r="I4921">
        <v>77</v>
      </c>
      <c r="J4921">
        <v>-42.99</v>
      </c>
      <c r="K4921">
        <v>85</v>
      </c>
      <c r="L4921">
        <v>-154.30000000000001</v>
      </c>
      <c r="M4921">
        <v>83</v>
      </c>
      <c r="N4921">
        <v>-12.51</v>
      </c>
      <c r="O4921">
        <v>68</v>
      </c>
      <c r="P4921">
        <v>-19.579999999999998</v>
      </c>
      <c r="Q4921">
        <v>73</v>
      </c>
      <c r="R4921">
        <v>-8.52</v>
      </c>
      <c r="S4921">
        <v>67</v>
      </c>
      <c r="T4921">
        <v>12.94</v>
      </c>
      <c r="U4921">
        <v>50</v>
      </c>
      <c r="V4921">
        <v>-1.17</v>
      </c>
      <c r="W4921">
        <v>45</v>
      </c>
      <c r="X4921" t="s">
        <v>251</v>
      </c>
      <c r="Y4921" t="s">
        <v>95</v>
      </c>
      <c r="Z4921" t="s">
        <v>96</v>
      </c>
      <c r="AA4921" t="s">
        <v>1185</v>
      </c>
      <c r="AB4921" t="s">
        <v>4381</v>
      </c>
      <c r="AC4921">
        <v>0</v>
      </c>
      <c r="AD4921">
        <v>0</v>
      </c>
      <c r="AE4921">
        <v>85</v>
      </c>
      <c r="AF4921">
        <v>72.7</v>
      </c>
      <c r="AG4921">
        <v>2.0699999999999998</v>
      </c>
      <c r="AH4921">
        <v>-6.93</v>
      </c>
      <c r="AI4921">
        <v>-0.01</v>
      </c>
      <c r="AJ4921">
        <v>-0.15</v>
      </c>
      <c r="AK4921">
        <v>83</v>
      </c>
      <c r="AL4921">
        <v>0</v>
      </c>
      <c r="AM4921">
        <v>0</v>
      </c>
      <c r="AN4921">
        <v>8.07</v>
      </c>
      <c r="AO4921">
        <v>-4.24</v>
      </c>
      <c r="AP4921">
        <v>38</v>
      </c>
      <c r="AQ4921">
        <v>0</v>
      </c>
      <c r="AR4921">
        <v>11.41</v>
      </c>
      <c r="AS4921">
        <v>42</v>
      </c>
      <c r="AT4921">
        <v>5.28</v>
      </c>
      <c r="AU4921">
        <v>86</v>
      </c>
      <c r="AV4921">
        <v>-2.69</v>
      </c>
      <c r="AW4921">
        <v>78</v>
      </c>
      <c r="AX4921">
        <v>-0.13</v>
      </c>
      <c r="AY4921">
        <v>55</v>
      </c>
      <c r="AZ4921">
        <v>6.32</v>
      </c>
      <c r="BA4921">
        <v>34</v>
      </c>
      <c r="BB4921">
        <v>4.66</v>
      </c>
      <c r="BC4921">
        <v>35</v>
      </c>
      <c r="BD4921">
        <v>0.03</v>
      </c>
      <c r="BE4921">
        <v>0.04</v>
      </c>
      <c r="BF4921">
        <v>7.0000000000000007E-2</v>
      </c>
      <c r="BG4921">
        <v>90</v>
      </c>
      <c r="BH4921">
        <v>-0.06</v>
      </c>
      <c r="BI4921">
        <v>-3.17</v>
      </c>
      <c r="BJ4921">
        <v>2</v>
      </c>
      <c r="BK4921">
        <v>1</v>
      </c>
      <c r="BL4921">
        <v>0.81</v>
      </c>
      <c r="BM4921">
        <v>-0.16</v>
      </c>
      <c r="BN4921">
        <v>1.45</v>
      </c>
      <c r="BO4921">
        <v>1.28</v>
      </c>
      <c r="BP4921">
        <v>-0.31</v>
      </c>
      <c r="BQ4921">
        <v>0.69</v>
      </c>
      <c r="BR4921">
        <v>-0.68</v>
      </c>
      <c r="BS4921">
        <v>2.16</v>
      </c>
      <c r="BT4921">
        <v>1.38</v>
      </c>
      <c r="BU4921">
        <v>-0.27</v>
      </c>
      <c r="BV4921">
        <v>0.77</v>
      </c>
      <c r="BW4921">
        <v>0.95</v>
      </c>
      <c r="BX4921">
        <v>-0.97</v>
      </c>
      <c r="BY4921">
        <v>1.05</v>
      </c>
      <c r="BZ4921">
        <v>1.83</v>
      </c>
      <c r="CA4921">
        <v>1.22</v>
      </c>
      <c r="CB4921">
        <v>0.56000000000000005</v>
      </c>
      <c r="CC4921">
        <v>2.2000000000000002</v>
      </c>
      <c r="CD4921">
        <v>-0.8</v>
      </c>
      <c r="CE4921">
        <v>0.73</v>
      </c>
      <c r="CF4921">
        <v>0.56999999999999995</v>
      </c>
      <c r="CG4921">
        <v>0</v>
      </c>
      <c r="CH4921">
        <v>0.3</v>
      </c>
      <c r="CI4921">
        <v>0</v>
      </c>
      <c r="CJ4921">
        <v>-9.6</v>
      </c>
      <c r="CK4921">
        <v>76</v>
      </c>
      <c r="CL4921">
        <v>-0.91</v>
      </c>
      <c r="CM4921">
        <v>72</v>
      </c>
      <c r="CN4921">
        <v>-0.37</v>
      </c>
      <c r="CO4921">
        <v>70</v>
      </c>
      <c r="CP4921">
        <v>-8.5</v>
      </c>
      <c r="CQ4921">
        <v>60</v>
      </c>
      <c r="CR4921">
        <v>0</v>
      </c>
      <c r="CS4921">
        <v>0</v>
      </c>
      <c r="CT4921">
        <v>-3.7</v>
      </c>
      <c r="CU4921">
        <v>50</v>
      </c>
      <c r="CV4921">
        <v>0.04</v>
      </c>
      <c r="CW4921">
        <v>21</v>
      </c>
      <c r="CX4921" t="s">
        <v>111</v>
      </c>
    </row>
    <row r="4922" spans="1:102" x14ac:dyDescent="0.3">
      <c r="A4922" t="str">
        <f>HYPERLINK("https://webapp.icbf.com/v2/app/bull-search/view/135768256","KIL")</f>
        <v>KIL</v>
      </c>
      <c r="B4922" t="s">
        <v>11468</v>
      </c>
      <c r="C4922" t="s">
        <v>11469</v>
      </c>
      <c r="D4922" s="1">
        <v>36748</v>
      </c>
      <c r="E4922" t="s">
        <v>92</v>
      </c>
      <c r="F4922">
        <v>100</v>
      </c>
      <c r="G4922" t="s">
        <v>93</v>
      </c>
      <c r="H4922">
        <v>-226.52</v>
      </c>
      <c r="I4922">
        <v>86</v>
      </c>
      <c r="J4922">
        <v>21.82</v>
      </c>
      <c r="K4922">
        <v>96</v>
      </c>
      <c r="L4922">
        <v>-173.98</v>
      </c>
      <c r="M4922">
        <v>80</v>
      </c>
      <c r="N4922">
        <v>-59.73</v>
      </c>
      <c r="O4922">
        <v>81</v>
      </c>
      <c r="P4922">
        <v>-12.44</v>
      </c>
      <c r="Q4922">
        <v>90</v>
      </c>
      <c r="R4922">
        <v>4.74</v>
      </c>
      <c r="S4922">
        <v>80</v>
      </c>
      <c r="T4922">
        <v>2.2799999999999998</v>
      </c>
      <c r="U4922">
        <v>82</v>
      </c>
      <c r="V4922">
        <v>-9.2100000000000009</v>
      </c>
      <c r="W4922">
        <v>73</v>
      </c>
      <c r="X4922" t="s">
        <v>94</v>
      </c>
      <c r="Y4922" t="s">
        <v>95</v>
      </c>
      <c r="Z4922" t="s">
        <v>96</v>
      </c>
      <c r="AA4922" t="s">
        <v>1273</v>
      </c>
      <c r="AB4922" t="s">
        <v>11470</v>
      </c>
      <c r="AC4922">
        <v>59</v>
      </c>
      <c r="AD4922">
        <v>40</v>
      </c>
      <c r="AE4922">
        <v>96</v>
      </c>
      <c r="AF4922">
        <v>275.82</v>
      </c>
      <c r="AG4922">
        <v>12.22</v>
      </c>
      <c r="AH4922">
        <v>3.61</v>
      </c>
      <c r="AI4922">
        <v>0.02</v>
      </c>
      <c r="AJ4922">
        <v>-0.1</v>
      </c>
      <c r="AK4922">
        <v>80</v>
      </c>
      <c r="AL4922">
        <v>57</v>
      </c>
      <c r="AM4922">
        <v>34</v>
      </c>
      <c r="AN4922">
        <v>11.39</v>
      </c>
      <c r="AO4922">
        <v>-2.46</v>
      </c>
      <c r="AP4922">
        <v>117</v>
      </c>
      <c r="AQ4922">
        <v>0</v>
      </c>
      <c r="AR4922">
        <v>14.34</v>
      </c>
      <c r="AS4922">
        <v>71</v>
      </c>
      <c r="AT4922">
        <v>6.66</v>
      </c>
      <c r="AU4922">
        <v>85</v>
      </c>
      <c r="AV4922">
        <v>-0.93</v>
      </c>
      <c r="AW4922">
        <v>89</v>
      </c>
      <c r="AX4922">
        <v>0.08</v>
      </c>
      <c r="AY4922">
        <v>77</v>
      </c>
      <c r="AZ4922">
        <v>5.65</v>
      </c>
      <c r="BA4922">
        <v>63</v>
      </c>
      <c r="BB4922">
        <v>4.82</v>
      </c>
      <c r="BC4922">
        <v>65</v>
      </c>
      <c r="BD4922">
        <v>0</v>
      </c>
      <c r="BE4922">
        <v>-0.01</v>
      </c>
      <c r="BF4922">
        <v>-0.09</v>
      </c>
      <c r="BG4922">
        <v>88</v>
      </c>
      <c r="BH4922">
        <v>-0.18</v>
      </c>
      <c r="BI4922">
        <v>8.8800000000000008</v>
      </c>
      <c r="BJ4922">
        <v>18</v>
      </c>
      <c r="BK4922">
        <v>14</v>
      </c>
      <c r="BL4922">
        <v>0.83</v>
      </c>
      <c r="BM4922">
        <v>-0.68</v>
      </c>
      <c r="BN4922">
        <v>1.56</v>
      </c>
      <c r="BO4922">
        <v>1.32</v>
      </c>
      <c r="BP4922">
        <v>1.24</v>
      </c>
      <c r="BQ4922">
        <v>0.24</v>
      </c>
      <c r="BR4922">
        <v>-0.36</v>
      </c>
      <c r="BS4922">
        <v>0.84</v>
      </c>
      <c r="BT4922">
        <v>1.64</v>
      </c>
      <c r="BU4922">
        <v>0.59</v>
      </c>
      <c r="BV4922">
        <v>1.1000000000000001</v>
      </c>
      <c r="BW4922">
        <v>1.95</v>
      </c>
      <c r="BX4922">
        <v>0.65</v>
      </c>
      <c r="BY4922">
        <v>0.45</v>
      </c>
      <c r="BZ4922">
        <v>1.6</v>
      </c>
      <c r="CA4922">
        <v>1.33</v>
      </c>
      <c r="CB4922">
        <v>1.24</v>
      </c>
      <c r="CC4922">
        <v>1.05</v>
      </c>
      <c r="CD4922">
        <v>-0.92</v>
      </c>
      <c r="CE4922">
        <v>0.83</v>
      </c>
      <c r="CF4922">
        <v>0.9</v>
      </c>
      <c r="CG4922">
        <v>0</v>
      </c>
      <c r="CH4922">
        <v>0.57999999999999996</v>
      </c>
      <c r="CI4922">
        <v>0</v>
      </c>
      <c r="CJ4922">
        <v>-6.6</v>
      </c>
      <c r="CK4922">
        <v>91</v>
      </c>
      <c r="CL4922">
        <v>-1.03</v>
      </c>
      <c r="CM4922">
        <v>89</v>
      </c>
      <c r="CN4922">
        <v>-0.59</v>
      </c>
      <c r="CO4922">
        <v>87</v>
      </c>
      <c r="CP4922">
        <v>2.6</v>
      </c>
      <c r="CQ4922">
        <v>87</v>
      </c>
      <c r="CR4922">
        <v>0</v>
      </c>
      <c r="CS4922">
        <v>0</v>
      </c>
      <c r="CT4922">
        <v>10.7</v>
      </c>
      <c r="CU4922">
        <v>82</v>
      </c>
      <c r="CV4922">
        <v>0</v>
      </c>
      <c r="CW4922">
        <v>44</v>
      </c>
      <c r="CX4922" t="s">
        <v>1185</v>
      </c>
    </row>
    <row r="4923" spans="1:102" x14ac:dyDescent="0.3">
      <c r="A4923" t="str">
        <f>HYPERLINK("https://webapp.icbf.com/v2/app/bull-search/view/77856886","HHA")</f>
        <v>HHA</v>
      </c>
      <c r="B4923" t="s">
        <v>11242</v>
      </c>
      <c r="C4923" t="s">
        <v>1218</v>
      </c>
      <c r="D4923" s="1">
        <v>31641</v>
      </c>
      <c r="E4923" t="s">
        <v>92</v>
      </c>
      <c r="F4923">
        <v>100</v>
      </c>
      <c r="G4923" t="s">
        <v>93</v>
      </c>
      <c r="H4923">
        <v>-226.68</v>
      </c>
      <c r="I4923">
        <v>95</v>
      </c>
      <c r="J4923">
        <v>-29.21</v>
      </c>
      <c r="K4923">
        <v>98</v>
      </c>
      <c r="L4923">
        <v>-169.19</v>
      </c>
      <c r="M4923">
        <v>95</v>
      </c>
      <c r="N4923">
        <v>-17.75</v>
      </c>
      <c r="O4923">
        <v>92</v>
      </c>
      <c r="P4923">
        <v>-13.79</v>
      </c>
      <c r="Q4923">
        <v>94</v>
      </c>
      <c r="R4923">
        <v>-2.19</v>
      </c>
      <c r="S4923">
        <v>90</v>
      </c>
      <c r="T4923">
        <v>11.61</v>
      </c>
      <c r="U4923">
        <v>93</v>
      </c>
      <c r="V4923">
        <v>-6.16</v>
      </c>
      <c r="W4923">
        <v>83</v>
      </c>
      <c r="X4923" t="s">
        <v>110</v>
      </c>
      <c r="Y4923" t="s">
        <v>95</v>
      </c>
      <c r="Z4923" t="s">
        <v>96</v>
      </c>
      <c r="AA4923" t="s">
        <v>154</v>
      </c>
      <c r="AB4923" t="s">
        <v>784</v>
      </c>
      <c r="AC4923">
        <v>299</v>
      </c>
      <c r="AD4923">
        <v>171</v>
      </c>
      <c r="AE4923">
        <v>98</v>
      </c>
      <c r="AF4923">
        <v>-1.71</v>
      </c>
      <c r="AG4923">
        <v>1.29</v>
      </c>
      <c r="AH4923">
        <v>-5.45</v>
      </c>
      <c r="AI4923">
        <v>0.02</v>
      </c>
      <c r="AJ4923">
        <v>-0.09</v>
      </c>
      <c r="AK4923">
        <v>95</v>
      </c>
      <c r="AL4923">
        <v>369</v>
      </c>
      <c r="AM4923">
        <v>171</v>
      </c>
      <c r="AN4923">
        <v>10.18</v>
      </c>
      <c r="AO4923">
        <v>-3.3</v>
      </c>
      <c r="AP4923">
        <v>13</v>
      </c>
      <c r="AQ4923">
        <v>0</v>
      </c>
      <c r="AR4923">
        <v>8.4499999999999993</v>
      </c>
      <c r="AS4923">
        <v>86</v>
      </c>
      <c r="AT4923">
        <v>4.5599999999999996</v>
      </c>
      <c r="AU4923">
        <v>97</v>
      </c>
      <c r="AV4923">
        <v>-0.94</v>
      </c>
      <c r="AW4923">
        <v>92</v>
      </c>
      <c r="AX4923">
        <v>-0.38</v>
      </c>
      <c r="AY4923">
        <v>94</v>
      </c>
      <c r="AZ4923">
        <v>8.43</v>
      </c>
      <c r="BA4923">
        <v>83</v>
      </c>
      <c r="BB4923">
        <v>6.15</v>
      </c>
      <c r="BC4923">
        <v>87</v>
      </c>
      <c r="BD4923">
        <v>0.02</v>
      </c>
      <c r="BE4923">
        <v>0.03</v>
      </c>
      <c r="BF4923">
        <v>-0.04</v>
      </c>
      <c r="BG4923">
        <v>98</v>
      </c>
      <c r="BH4923">
        <v>-0.11</v>
      </c>
      <c r="BI4923">
        <v>7.14</v>
      </c>
      <c r="BJ4923">
        <v>164</v>
      </c>
      <c r="BK4923">
        <v>81</v>
      </c>
      <c r="BL4923">
        <v>0.61</v>
      </c>
      <c r="BM4923">
        <v>-0.52</v>
      </c>
      <c r="BN4923">
        <v>1.63</v>
      </c>
      <c r="BO4923">
        <v>1.29</v>
      </c>
      <c r="BP4923">
        <v>-0.57999999999999996</v>
      </c>
      <c r="BQ4923">
        <v>-0.73</v>
      </c>
      <c r="BR4923">
        <v>-0.47</v>
      </c>
      <c r="BS4923">
        <v>0.71</v>
      </c>
      <c r="BT4923">
        <v>0.6</v>
      </c>
      <c r="BU4923">
        <v>0.89</v>
      </c>
      <c r="BV4923">
        <v>0.61</v>
      </c>
      <c r="BW4923">
        <v>1.68</v>
      </c>
      <c r="BX4923">
        <v>0.65</v>
      </c>
      <c r="BY4923">
        <v>1.06</v>
      </c>
      <c r="BZ4923">
        <v>0.13</v>
      </c>
      <c r="CA4923">
        <v>1.55</v>
      </c>
      <c r="CB4923">
        <v>1.1100000000000001</v>
      </c>
      <c r="CC4923">
        <v>2</v>
      </c>
      <c r="CD4923">
        <v>-1.52</v>
      </c>
      <c r="CE4923">
        <v>1.1299999999999999</v>
      </c>
      <c r="CF4923">
        <v>1.27</v>
      </c>
      <c r="CG4923">
        <v>0</v>
      </c>
      <c r="CH4923">
        <v>1.06</v>
      </c>
      <c r="CI4923">
        <v>0</v>
      </c>
      <c r="CJ4923">
        <v>-6.6</v>
      </c>
      <c r="CK4923">
        <v>94</v>
      </c>
      <c r="CL4923">
        <v>-0.92</v>
      </c>
      <c r="CM4923">
        <v>93</v>
      </c>
      <c r="CN4923">
        <v>-0.43</v>
      </c>
      <c r="CO4923">
        <v>92</v>
      </c>
      <c r="CP4923">
        <v>-1.5</v>
      </c>
      <c r="CQ4923">
        <v>96</v>
      </c>
      <c r="CR4923">
        <v>0</v>
      </c>
      <c r="CS4923">
        <v>0</v>
      </c>
      <c r="CT4923">
        <v>-1.9</v>
      </c>
      <c r="CU4923">
        <v>93</v>
      </c>
      <c r="CV4923">
        <v>0.02</v>
      </c>
      <c r="CW4923">
        <v>45</v>
      </c>
      <c r="CX4923" t="s">
        <v>785</v>
      </c>
    </row>
    <row r="4924" spans="1:102" x14ac:dyDescent="0.3">
      <c r="A4924" t="str">
        <f>HYPERLINK("https://webapp.icbf.com/v2/app/bull-search/view/384095773","CZE")</f>
        <v>CZE</v>
      </c>
      <c r="B4924" t="s">
        <v>1213</v>
      </c>
      <c r="C4924" t="s">
        <v>1214</v>
      </c>
      <c r="D4924" s="1">
        <v>37683</v>
      </c>
      <c r="E4924" t="s">
        <v>92</v>
      </c>
      <c r="F4924">
        <v>100</v>
      </c>
      <c r="G4924" t="s">
        <v>109</v>
      </c>
      <c r="H4924">
        <v>-226.9</v>
      </c>
      <c r="I4924">
        <v>61</v>
      </c>
      <c r="J4924">
        <v>-11.86</v>
      </c>
      <c r="K4924">
        <v>71</v>
      </c>
      <c r="L4924">
        <v>-166.87</v>
      </c>
      <c r="M4924">
        <v>61</v>
      </c>
      <c r="N4924">
        <v>-27.62</v>
      </c>
      <c r="O4924">
        <v>53</v>
      </c>
      <c r="P4924">
        <v>-8.24</v>
      </c>
      <c r="Q4924">
        <v>63</v>
      </c>
      <c r="R4924">
        <v>-6.73</v>
      </c>
      <c r="S4924">
        <v>53</v>
      </c>
      <c r="T4924">
        <v>-1.64</v>
      </c>
      <c r="U4924">
        <v>56</v>
      </c>
      <c r="V4924">
        <v>-3.94</v>
      </c>
      <c r="W4924">
        <v>23</v>
      </c>
      <c r="X4924" t="s">
        <v>131</v>
      </c>
      <c r="Y4924" t="s">
        <v>1215</v>
      </c>
      <c r="Z4924" t="s">
        <v>96</v>
      </c>
      <c r="AA4924" t="s">
        <v>1216</v>
      </c>
      <c r="AB4924" t="s">
        <v>1217</v>
      </c>
      <c r="AC4924">
        <v>0</v>
      </c>
      <c r="AD4924">
        <v>0</v>
      </c>
      <c r="AE4924">
        <v>71</v>
      </c>
      <c r="AF4924">
        <v>249.35</v>
      </c>
      <c r="AG4924">
        <v>1.1599999999999999</v>
      </c>
      <c r="AH4924">
        <v>1.39</v>
      </c>
      <c r="AI4924">
        <v>-0.14000000000000001</v>
      </c>
      <c r="AJ4924">
        <v>-0.11</v>
      </c>
      <c r="AK4924">
        <v>61</v>
      </c>
      <c r="AL4924">
        <v>0</v>
      </c>
      <c r="AM4924">
        <v>0</v>
      </c>
      <c r="AN4924">
        <v>9.6999999999999993</v>
      </c>
      <c r="AO4924">
        <v>-3.6</v>
      </c>
      <c r="AP4924">
        <v>20</v>
      </c>
      <c r="AQ4924">
        <v>0</v>
      </c>
      <c r="AR4924">
        <v>9.6300000000000008</v>
      </c>
      <c r="AS4924">
        <v>29</v>
      </c>
      <c r="AT4924">
        <v>4.82</v>
      </c>
      <c r="AU4924">
        <v>69</v>
      </c>
      <c r="AV4924">
        <v>-0.01</v>
      </c>
      <c r="AW4924">
        <v>62</v>
      </c>
      <c r="AX4924">
        <v>0.27</v>
      </c>
      <c r="AY4924">
        <v>41</v>
      </c>
      <c r="AZ4924">
        <v>6.6</v>
      </c>
      <c r="BA4924">
        <v>28</v>
      </c>
      <c r="BB4924">
        <v>5.59</v>
      </c>
      <c r="BC4924">
        <v>27</v>
      </c>
      <c r="BD4924">
        <v>0.04</v>
      </c>
      <c r="BE4924">
        <v>0.02</v>
      </c>
      <c r="BF4924">
        <v>0.05</v>
      </c>
      <c r="BG4924">
        <v>72</v>
      </c>
      <c r="BH4924">
        <v>-0.14000000000000001</v>
      </c>
      <c r="BI4924">
        <v>-3.47</v>
      </c>
      <c r="BJ4924">
        <v>2</v>
      </c>
      <c r="BK4924">
        <v>2</v>
      </c>
      <c r="BL4924">
        <v>1.55</v>
      </c>
      <c r="BM4924">
        <v>-1.58</v>
      </c>
      <c r="BN4924">
        <v>1.1499999999999999</v>
      </c>
      <c r="BO4924">
        <v>1.61</v>
      </c>
      <c r="BP4924">
        <v>-0.56000000000000005</v>
      </c>
      <c r="BQ4924">
        <v>-0.46</v>
      </c>
      <c r="BR4924">
        <v>-0.08</v>
      </c>
      <c r="BS4924">
        <v>-0.33</v>
      </c>
      <c r="BT4924">
        <v>-0.09</v>
      </c>
      <c r="BU4924">
        <v>2.4</v>
      </c>
      <c r="BV4924">
        <v>1.37</v>
      </c>
      <c r="BW4924">
        <v>1.18</v>
      </c>
      <c r="BX4924">
        <v>1.1100000000000001</v>
      </c>
      <c r="BY4924">
        <v>1.4</v>
      </c>
      <c r="BZ4924">
        <v>0.28999999999999998</v>
      </c>
      <c r="CA4924">
        <v>1.48</v>
      </c>
      <c r="CB4924">
        <v>1.53</v>
      </c>
      <c r="CC4924">
        <v>0.79</v>
      </c>
      <c r="CD4924">
        <v>-1.72</v>
      </c>
      <c r="CE4924">
        <v>1.1499999999999999</v>
      </c>
      <c r="CF4924">
        <v>1.0900000000000001</v>
      </c>
      <c r="CG4924">
        <v>0</v>
      </c>
      <c r="CH4924">
        <v>1.7</v>
      </c>
      <c r="CI4924">
        <v>0</v>
      </c>
      <c r="CJ4924">
        <v>-3.4</v>
      </c>
      <c r="CK4924">
        <v>66</v>
      </c>
      <c r="CL4924">
        <v>-0.87</v>
      </c>
      <c r="CM4924">
        <v>61</v>
      </c>
      <c r="CN4924">
        <v>-0.42</v>
      </c>
      <c r="CO4924">
        <v>57</v>
      </c>
      <c r="CP4924">
        <v>3.4</v>
      </c>
      <c r="CQ4924">
        <v>60</v>
      </c>
      <c r="CR4924">
        <v>0</v>
      </c>
      <c r="CS4924">
        <v>0</v>
      </c>
      <c r="CT4924">
        <v>16</v>
      </c>
      <c r="CU4924">
        <v>56</v>
      </c>
      <c r="CV4924">
        <v>0.13</v>
      </c>
      <c r="CW4924">
        <v>17</v>
      </c>
      <c r="CX4924" t="s">
        <v>1218</v>
      </c>
    </row>
    <row r="4925" spans="1:102" x14ac:dyDescent="0.3">
      <c r="A4925" t="str">
        <f>HYPERLINK("https://webapp.icbf.com/v2/app/bull-search/view/77857870","FFT")</f>
        <v>FFT</v>
      </c>
      <c r="B4925" t="s">
        <v>880</v>
      </c>
      <c r="C4925" t="s">
        <v>881</v>
      </c>
      <c r="D4925" s="1">
        <v>35231</v>
      </c>
      <c r="E4925" t="s">
        <v>92</v>
      </c>
      <c r="F4925">
        <v>100</v>
      </c>
      <c r="G4925" t="s">
        <v>93</v>
      </c>
      <c r="H4925">
        <v>-227.16</v>
      </c>
      <c r="I4925">
        <v>82</v>
      </c>
      <c r="J4925">
        <v>-29.3</v>
      </c>
      <c r="K4925">
        <v>95</v>
      </c>
      <c r="L4925">
        <v>-144.66</v>
      </c>
      <c r="M4925">
        <v>78</v>
      </c>
      <c r="N4925">
        <v>-39.83</v>
      </c>
      <c r="O4925">
        <v>67</v>
      </c>
      <c r="P4925">
        <v>-1.91</v>
      </c>
      <c r="Q4925">
        <v>74</v>
      </c>
      <c r="R4925">
        <v>-12.89</v>
      </c>
      <c r="S4925">
        <v>77</v>
      </c>
      <c r="T4925">
        <v>6.57</v>
      </c>
      <c r="U4925">
        <v>77</v>
      </c>
      <c r="V4925">
        <v>-5.14</v>
      </c>
      <c r="W4925">
        <v>66</v>
      </c>
      <c r="X4925" t="s">
        <v>94</v>
      </c>
      <c r="Y4925" t="s">
        <v>95</v>
      </c>
      <c r="Z4925" t="s">
        <v>96</v>
      </c>
      <c r="AA4925" t="s">
        <v>97</v>
      </c>
      <c r="AB4925" t="s">
        <v>882</v>
      </c>
      <c r="AC4925">
        <v>47</v>
      </c>
      <c r="AD4925">
        <v>38</v>
      </c>
      <c r="AE4925">
        <v>95</v>
      </c>
      <c r="AF4925">
        <v>234.6</v>
      </c>
      <c r="AG4925">
        <v>-0.46</v>
      </c>
      <c r="AH4925">
        <v>-1.23</v>
      </c>
      <c r="AI4925">
        <v>-0.16</v>
      </c>
      <c r="AJ4925">
        <v>-0.15</v>
      </c>
      <c r="AK4925">
        <v>78</v>
      </c>
      <c r="AL4925">
        <v>49</v>
      </c>
      <c r="AM4925">
        <v>44</v>
      </c>
      <c r="AN4925">
        <v>8.41</v>
      </c>
      <c r="AO4925">
        <v>-3.12</v>
      </c>
      <c r="AP4925">
        <v>1</v>
      </c>
      <c r="AQ4925">
        <v>1</v>
      </c>
      <c r="AR4925">
        <v>12.43</v>
      </c>
      <c r="AS4925">
        <v>57</v>
      </c>
      <c r="AT4925">
        <v>5.31</v>
      </c>
      <c r="AU4925">
        <v>73</v>
      </c>
      <c r="AV4925">
        <v>-0.28000000000000003</v>
      </c>
      <c r="AW4925">
        <v>69</v>
      </c>
      <c r="AX4925">
        <v>0.4</v>
      </c>
      <c r="AY4925">
        <v>70</v>
      </c>
      <c r="AZ4925">
        <v>6.66</v>
      </c>
      <c r="BA4925">
        <v>50</v>
      </c>
      <c r="BB4925">
        <v>5.04</v>
      </c>
      <c r="BC4925">
        <v>59</v>
      </c>
      <c r="BD4925">
        <v>0.05</v>
      </c>
      <c r="BE4925">
        <v>7.0000000000000007E-2</v>
      </c>
      <c r="BF4925">
        <v>0.08</v>
      </c>
      <c r="BG4925">
        <v>87</v>
      </c>
      <c r="BH4925">
        <v>-0.17</v>
      </c>
      <c r="BI4925">
        <v>-3.07</v>
      </c>
      <c r="BJ4925">
        <v>1</v>
      </c>
      <c r="BK4925">
        <v>1</v>
      </c>
      <c r="BL4925">
        <v>-0.76</v>
      </c>
      <c r="BM4925">
        <v>-1.26</v>
      </c>
      <c r="BN4925">
        <v>-0.49</v>
      </c>
      <c r="BO4925">
        <v>-0.01</v>
      </c>
      <c r="BP4925">
        <v>1.1299999999999999</v>
      </c>
      <c r="BQ4925">
        <v>-2.92</v>
      </c>
      <c r="BR4925">
        <v>0</v>
      </c>
      <c r="BS4925">
        <v>1.1200000000000001</v>
      </c>
      <c r="BT4925">
        <v>-0.56000000000000005</v>
      </c>
      <c r="BU4925">
        <v>-0.81</v>
      </c>
      <c r="BV4925">
        <v>-0.22</v>
      </c>
      <c r="BW4925">
        <v>-0.56999999999999995</v>
      </c>
      <c r="BX4925">
        <v>-1.27</v>
      </c>
      <c r="BY4925">
        <v>0.82</v>
      </c>
      <c r="BZ4925">
        <v>-2.56</v>
      </c>
      <c r="CA4925">
        <v>0.1</v>
      </c>
      <c r="CB4925">
        <v>-0.25</v>
      </c>
      <c r="CC4925">
        <v>0.56999999999999995</v>
      </c>
      <c r="CD4925">
        <v>-1.2</v>
      </c>
      <c r="CE4925">
        <v>0.57999999999999996</v>
      </c>
      <c r="CF4925">
        <v>-0.73</v>
      </c>
      <c r="CG4925">
        <v>0</v>
      </c>
      <c r="CH4925">
        <v>-0.38</v>
      </c>
      <c r="CI4925">
        <v>0</v>
      </c>
      <c r="CJ4925">
        <v>0.5</v>
      </c>
      <c r="CK4925">
        <v>75</v>
      </c>
      <c r="CL4925">
        <v>-0.54</v>
      </c>
      <c r="CM4925">
        <v>73</v>
      </c>
      <c r="CN4925">
        <v>-0.34</v>
      </c>
      <c r="CO4925">
        <v>69</v>
      </c>
      <c r="CP4925">
        <v>-6.7</v>
      </c>
      <c r="CQ4925">
        <v>83</v>
      </c>
      <c r="CR4925">
        <v>0</v>
      </c>
      <c r="CS4925">
        <v>0</v>
      </c>
      <c r="CT4925">
        <v>4.9000000000000004</v>
      </c>
      <c r="CU4925">
        <v>77</v>
      </c>
      <c r="CV4925">
        <v>0.03</v>
      </c>
      <c r="CW4925">
        <v>40</v>
      </c>
      <c r="CX4925" t="s">
        <v>485</v>
      </c>
    </row>
    <row r="4926" spans="1:102" x14ac:dyDescent="0.3">
      <c r="A4926" t="str">
        <f>HYPERLINK("https://webapp.icbf.com/v2/app/bull-search/view/77854357","QGR")</f>
        <v>QGR</v>
      </c>
      <c r="B4926" t="s">
        <v>1079</v>
      </c>
      <c r="C4926" t="s">
        <v>1080</v>
      </c>
      <c r="D4926" s="1">
        <v>35073</v>
      </c>
      <c r="E4926" t="s">
        <v>92</v>
      </c>
      <c r="F4926">
        <v>100</v>
      </c>
      <c r="G4926" t="s">
        <v>93</v>
      </c>
      <c r="H4926">
        <v>-227.45</v>
      </c>
      <c r="I4926">
        <v>81</v>
      </c>
      <c r="J4926">
        <v>-21.33</v>
      </c>
      <c r="K4926">
        <v>95</v>
      </c>
      <c r="L4926">
        <v>-182.34</v>
      </c>
      <c r="M4926">
        <v>78</v>
      </c>
      <c r="N4926">
        <v>-16.77</v>
      </c>
      <c r="O4926">
        <v>67</v>
      </c>
      <c r="P4926">
        <v>4.34</v>
      </c>
      <c r="Q4926">
        <v>75</v>
      </c>
      <c r="R4926">
        <v>-12.22</v>
      </c>
      <c r="S4926">
        <v>75</v>
      </c>
      <c r="T4926">
        <v>2.8</v>
      </c>
      <c r="U4926">
        <v>76</v>
      </c>
      <c r="V4926">
        <v>-1.93</v>
      </c>
      <c r="W4926">
        <v>64</v>
      </c>
      <c r="X4926" t="s">
        <v>94</v>
      </c>
      <c r="Y4926" t="s">
        <v>95</v>
      </c>
      <c r="Z4926" t="s">
        <v>96</v>
      </c>
      <c r="AA4926" t="s">
        <v>97</v>
      </c>
      <c r="AB4926" t="s">
        <v>1081</v>
      </c>
      <c r="AC4926">
        <v>47</v>
      </c>
      <c r="AD4926">
        <v>40</v>
      </c>
      <c r="AE4926">
        <v>95</v>
      </c>
      <c r="AF4926">
        <v>167.13</v>
      </c>
      <c r="AG4926">
        <v>4.8899999999999997</v>
      </c>
      <c r="AH4926">
        <v>-2.8</v>
      </c>
      <c r="AI4926">
        <v>-0.03</v>
      </c>
      <c r="AJ4926">
        <v>-0.14000000000000001</v>
      </c>
      <c r="AK4926">
        <v>78</v>
      </c>
      <c r="AL4926">
        <v>50</v>
      </c>
      <c r="AM4926">
        <v>43</v>
      </c>
      <c r="AN4926">
        <v>10.029999999999999</v>
      </c>
      <c r="AO4926">
        <v>-4.51</v>
      </c>
      <c r="AP4926">
        <v>3</v>
      </c>
      <c r="AQ4926">
        <v>0</v>
      </c>
      <c r="AR4926">
        <v>8.43</v>
      </c>
      <c r="AS4926">
        <v>56</v>
      </c>
      <c r="AT4926">
        <v>4.4000000000000004</v>
      </c>
      <c r="AU4926">
        <v>75</v>
      </c>
      <c r="AV4926">
        <v>0.22</v>
      </c>
      <c r="AW4926">
        <v>68</v>
      </c>
      <c r="AX4926">
        <v>0.04</v>
      </c>
      <c r="AY4926">
        <v>69</v>
      </c>
      <c r="AZ4926">
        <v>7.08</v>
      </c>
      <c r="BA4926">
        <v>49</v>
      </c>
      <c r="BB4926">
        <v>4.8099999999999996</v>
      </c>
      <c r="BC4926">
        <v>59</v>
      </c>
      <c r="BD4926">
        <v>0.06</v>
      </c>
      <c r="BE4926">
        <v>0.09</v>
      </c>
      <c r="BF4926">
        <v>0.01</v>
      </c>
      <c r="BG4926">
        <v>87</v>
      </c>
      <c r="BH4926">
        <v>-0.02</v>
      </c>
      <c r="BI4926">
        <v>3.92</v>
      </c>
      <c r="BJ4926">
        <v>3</v>
      </c>
      <c r="BK4926">
        <v>2</v>
      </c>
      <c r="BL4926">
        <v>0.77</v>
      </c>
      <c r="BM4926">
        <v>-1.1100000000000001</v>
      </c>
      <c r="BN4926">
        <v>0.43</v>
      </c>
      <c r="BO4926">
        <v>1</v>
      </c>
      <c r="BP4926">
        <v>1.33</v>
      </c>
      <c r="BQ4926">
        <v>-0.87</v>
      </c>
      <c r="BR4926">
        <v>0.62</v>
      </c>
      <c r="BS4926">
        <v>0.84</v>
      </c>
      <c r="BT4926">
        <v>-1.57</v>
      </c>
      <c r="BU4926">
        <v>-1.04</v>
      </c>
      <c r="BV4926">
        <v>-0.26</v>
      </c>
      <c r="BW4926">
        <v>0.32</v>
      </c>
      <c r="BX4926">
        <v>-7.0000000000000007E-2</v>
      </c>
      <c r="BY4926">
        <v>0.03</v>
      </c>
      <c r="BZ4926">
        <v>-0.69</v>
      </c>
      <c r="CA4926">
        <v>0.17</v>
      </c>
      <c r="CB4926">
        <v>-0.28999999999999998</v>
      </c>
      <c r="CC4926">
        <v>0.31</v>
      </c>
      <c r="CD4926">
        <v>-1.21</v>
      </c>
      <c r="CE4926">
        <v>1.01</v>
      </c>
      <c r="CF4926">
        <v>-0.04</v>
      </c>
      <c r="CG4926">
        <v>0</v>
      </c>
      <c r="CH4926">
        <v>-0.11</v>
      </c>
      <c r="CI4926">
        <v>0</v>
      </c>
      <c r="CJ4926">
        <v>3.7</v>
      </c>
      <c r="CK4926">
        <v>76</v>
      </c>
      <c r="CL4926">
        <v>-0.51</v>
      </c>
      <c r="CM4926">
        <v>73</v>
      </c>
      <c r="CN4926">
        <v>-0.42</v>
      </c>
      <c r="CO4926">
        <v>71</v>
      </c>
      <c r="CP4926">
        <v>-2.8</v>
      </c>
      <c r="CQ4926">
        <v>79</v>
      </c>
      <c r="CR4926">
        <v>0</v>
      </c>
      <c r="CS4926">
        <v>0</v>
      </c>
      <c r="CT4926">
        <v>10</v>
      </c>
      <c r="CU4926">
        <v>76</v>
      </c>
      <c r="CV4926">
        <v>-0.03</v>
      </c>
      <c r="CW4926">
        <v>41</v>
      </c>
      <c r="CX4926" t="s">
        <v>132</v>
      </c>
    </row>
    <row r="4927" spans="1:102" x14ac:dyDescent="0.3">
      <c r="A4927" t="str">
        <f>HYPERLINK("https://webapp.icbf.com/v2/app/bull-search/view/77860048","BWD")</f>
        <v>BWD</v>
      </c>
      <c r="B4927" t="s">
        <v>10397</v>
      </c>
      <c r="C4927" t="s">
        <v>10398</v>
      </c>
      <c r="D4927" s="1">
        <v>34772</v>
      </c>
      <c r="E4927" t="s">
        <v>108</v>
      </c>
      <c r="F4927">
        <v>3</v>
      </c>
      <c r="G4927" t="s">
        <v>93</v>
      </c>
      <c r="H4927">
        <v>-228.71</v>
      </c>
      <c r="I4927">
        <v>85</v>
      </c>
      <c r="J4927">
        <v>-21.57</v>
      </c>
      <c r="K4927">
        <v>96</v>
      </c>
      <c r="L4927">
        <v>-149.09</v>
      </c>
      <c r="M4927">
        <v>81</v>
      </c>
      <c r="N4927">
        <v>-45.91</v>
      </c>
      <c r="O4927">
        <v>75</v>
      </c>
      <c r="P4927">
        <v>-7.71</v>
      </c>
      <c r="Q4927">
        <v>88</v>
      </c>
      <c r="R4927">
        <v>-9.6999999999999993</v>
      </c>
      <c r="S4927">
        <v>79</v>
      </c>
      <c r="T4927">
        <v>10.5</v>
      </c>
      <c r="U4927">
        <v>82</v>
      </c>
      <c r="V4927">
        <v>-5.23</v>
      </c>
      <c r="W4927">
        <v>68</v>
      </c>
      <c r="X4927" t="s">
        <v>102</v>
      </c>
      <c r="Y4927" t="s">
        <v>95</v>
      </c>
      <c r="Z4927" t="s">
        <v>96</v>
      </c>
      <c r="AA4927" t="s">
        <v>1106</v>
      </c>
      <c r="AB4927" t="s">
        <v>10399</v>
      </c>
      <c r="AC4927">
        <v>82</v>
      </c>
      <c r="AD4927">
        <v>64</v>
      </c>
      <c r="AE4927">
        <v>96</v>
      </c>
      <c r="AF4927">
        <v>168.52</v>
      </c>
      <c r="AG4927">
        <v>0.85</v>
      </c>
      <c r="AH4927">
        <v>-1.39</v>
      </c>
      <c r="AI4927">
        <v>-0.1</v>
      </c>
      <c r="AJ4927">
        <v>-0.12</v>
      </c>
      <c r="AK4927">
        <v>81</v>
      </c>
      <c r="AL4927">
        <v>126</v>
      </c>
      <c r="AM4927">
        <v>83</v>
      </c>
      <c r="AN4927">
        <v>8.11</v>
      </c>
      <c r="AO4927">
        <v>-3.78</v>
      </c>
      <c r="AP4927">
        <v>21</v>
      </c>
      <c r="AQ4927">
        <v>0</v>
      </c>
      <c r="AR4927">
        <v>12.49</v>
      </c>
      <c r="AS4927">
        <v>63</v>
      </c>
      <c r="AT4927">
        <v>5.05</v>
      </c>
      <c r="AU4927">
        <v>79</v>
      </c>
      <c r="AV4927">
        <v>-0.49</v>
      </c>
      <c r="AW4927">
        <v>78</v>
      </c>
      <c r="AX4927">
        <v>0.28000000000000003</v>
      </c>
      <c r="AY4927">
        <v>83</v>
      </c>
      <c r="AZ4927">
        <v>8.26</v>
      </c>
      <c r="BA4927">
        <v>54</v>
      </c>
      <c r="BB4927">
        <v>6.57</v>
      </c>
      <c r="BC4927">
        <v>65</v>
      </c>
      <c r="BD4927">
        <v>0.03</v>
      </c>
      <c r="BE4927">
        <v>7.0000000000000007E-2</v>
      </c>
      <c r="BF4927">
        <v>0.04</v>
      </c>
      <c r="BG4927">
        <v>90</v>
      </c>
      <c r="BH4927">
        <v>-0.04</v>
      </c>
      <c r="BI4927">
        <v>12.23</v>
      </c>
      <c r="BJ4927">
        <v>13</v>
      </c>
      <c r="BK4927">
        <v>9</v>
      </c>
      <c r="BL4927">
        <v>-0.02</v>
      </c>
      <c r="BM4927">
        <v>0.46</v>
      </c>
      <c r="BN4927">
        <v>1.06</v>
      </c>
      <c r="BO4927">
        <v>0.43</v>
      </c>
      <c r="BP4927">
        <v>-0.7</v>
      </c>
      <c r="BQ4927">
        <v>0.01</v>
      </c>
      <c r="BR4927">
        <v>0.7</v>
      </c>
      <c r="BS4927">
        <v>-1.43</v>
      </c>
      <c r="BT4927">
        <v>-0.12</v>
      </c>
      <c r="BU4927">
        <v>-2.29</v>
      </c>
      <c r="BV4927">
        <v>-1.55</v>
      </c>
      <c r="BW4927">
        <v>-1.29</v>
      </c>
      <c r="BX4927">
        <v>-2.2200000000000002</v>
      </c>
      <c r="BY4927">
        <v>-1.29</v>
      </c>
      <c r="BZ4927">
        <v>0.81</v>
      </c>
      <c r="CA4927">
        <v>-1.76</v>
      </c>
      <c r="CB4927">
        <v>-1.48</v>
      </c>
      <c r="CC4927">
        <v>-1.33</v>
      </c>
      <c r="CD4927">
        <v>-0.13</v>
      </c>
      <c r="CE4927">
        <v>0.92</v>
      </c>
      <c r="CF4927">
        <v>0.4</v>
      </c>
      <c r="CG4927">
        <v>0</v>
      </c>
      <c r="CH4927">
        <v>-0.44</v>
      </c>
      <c r="CI4927">
        <v>0</v>
      </c>
      <c r="CJ4927">
        <v>-0.6</v>
      </c>
      <c r="CK4927">
        <v>89</v>
      </c>
      <c r="CL4927">
        <v>-0.6</v>
      </c>
      <c r="CM4927">
        <v>87</v>
      </c>
      <c r="CN4927">
        <v>-0.05</v>
      </c>
      <c r="CO4927">
        <v>86</v>
      </c>
      <c r="CP4927">
        <v>-8.5</v>
      </c>
      <c r="CQ4927">
        <v>90</v>
      </c>
      <c r="CR4927">
        <v>0</v>
      </c>
      <c r="CS4927">
        <v>0</v>
      </c>
      <c r="CT4927">
        <v>-0.4</v>
      </c>
      <c r="CU4927">
        <v>82</v>
      </c>
      <c r="CV4927">
        <v>0.28000000000000003</v>
      </c>
      <c r="CW4927">
        <v>44</v>
      </c>
      <c r="CX4927" t="s">
        <v>3248</v>
      </c>
    </row>
    <row r="4928" spans="1:102" x14ac:dyDescent="0.3">
      <c r="A4928" t="str">
        <f>HYPERLINK("https://webapp.icbf.com/v2/app/bull-search/view/437085975","S417")</f>
        <v>S417</v>
      </c>
      <c r="B4928" t="s">
        <v>1238</v>
      </c>
      <c r="C4928" t="s">
        <v>1239</v>
      </c>
      <c r="D4928" s="1">
        <v>36690</v>
      </c>
      <c r="E4928" t="s">
        <v>92</v>
      </c>
      <c r="F4928">
        <v>100</v>
      </c>
      <c r="G4928" t="s">
        <v>109</v>
      </c>
      <c r="H4928">
        <v>-228.75</v>
      </c>
      <c r="I4928">
        <v>84</v>
      </c>
      <c r="J4928">
        <v>3.79</v>
      </c>
      <c r="K4928">
        <v>93</v>
      </c>
      <c r="L4928">
        <v>-206.79</v>
      </c>
      <c r="M4928">
        <v>88</v>
      </c>
      <c r="N4928">
        <v>-8.7200000000000006</v>
      </c>
      <c r="O4928">
        <v>73</v>
      </c>
      <c r="P4928">
        <v>-12</v>
      </c>
      <c r="Q4928">
        <v>76</v>
      </c>
      <c r="R4928">
        <v>-8.73</v>
      </c>
      <c r="S4928">
        <v>80</v>
      </c>
      <c r="T4928">
        <v>4.87</v>
      </c>
      <c r="U4928">
        <v>69</v>
      </c>
      <c r="V4928">
        <v>-1.17</v>
      </c>
      <c r="W4928">
        <v>66</v>
      </c>
      <c r="X4928" t="s">
        <v>102</v>
      </c>
      <c r="Y4928" t="s">
        <v>545</v>
      </c>
      <c r="Z4928" t="s">
        <v>96</v>
      </c>
      <c r="AA4928" t="s">
        <v>273</v>
      </c>
      <c r="AB4928" t="s">
        <v>1240</v>
      </c>
      <c r="AC4928">
        <v>0</v>
      </c>
      <c r="AD4928">
        <v>0</v>
      </c>
      <c r="AE4928">
        <v>93</v>
      </c>
      <c r="AF4928">
        <v>344.03</v>
      </c>
      <c r="AG4928">
        <v>3.28</v>
      </c>
      <c r="AH4928">
        <v>4.75</v>
      </c>
      <c r="AI4928">
        <v>-0.17</v>
      </c>
      <c r="AJ4928">
        <v>-0.11</v>
      </c>
      <c r="AK4928">
        <v>88</v>
      </c>
      <c r="AL4928">
        <v>0</v>
      </c>
      <c r="AM4928">
        <v>0</v>
      </c>
      <c r="AN4928">
        <v>12.95</v>
      </c>
      <c r="AO4928">
        <v>-3.52</v>
      </c>
      <c r="AP4928">
        <v>67</v>
      </c>
      <c r="AQ4928">
        <v>0</v>
      </c>
      <c r="AR4928">
        <v>10.29</v>
      </c>
      <c r="AS4928">
        <v>64</v>
      </c>
      <c r="AT4928">
        <v>4.18</v>
      </c>
      <c r="AU4928">
        <v>90</v>
      </c>
      <c r="AV4928">
        <v>-1.99</v>
      </c>
      <c r="AW4928">
        <v>73</v>
      </c>
      <c r="AX4928">
        <v>1.24</v>
      </c>
      <c r="AY4928">
        <v>66</v>
      </c>
      <c r="AZ4928">
        <v>6.65</v>
      </c>
      <c r="BA4928">
        <v>56</v>
      </c>
      <c r="BB4928">
        <v>5.46</v>
      </c>
      <c r="BC4928">
        <v>56</v>
      </c>
      <c r="BD4928">
        <v>0.01</v>
      </c>
      <c r="BE4928">
        <v>0.06</v>
      </c>
      <c r="BF4928">
        <v>7.0000000000000007E-2</v>
      </c>
      <c r="BG4928">
        <v>94</v>
      </c>
      <c r="BH4928">
        <v>-0.02</v>
      </c>
      <c r="BI4928">
        <v>1.46</v>
      </c>
      <c r="BJ4928">
        <v>18</v>
      </c>
      <c r="BK4928">
        <v>6</v>
      </c>
      <c r="BL4928">
        <v>1.4</v>
      </c>
      <c r="BM4928">
        <v>0.12</v>
      </c>
      <c r="BN4928">
        <v>2.2200000000000002</v>
      </c>
      <c r="BO4928">
        <v>1.71</v>
      </c>
      <c r="BP4928">
        <v>0.21</v>
      </c>
      <c r="BQ4928">
        <v>0.64</v>
      </c>
      <c r="BR4928">
        <v>-1.35</v>
      </c>
      <c r="BS4928">
        <v>2.5499999999999998</v>
      </c>
      <c r="BT4928">
        <v>1.28</v>
      </c>
      <c r="BU4928">
        <v>1.05</v>
      </c>
      <c r="BV4928">
        <v>1.75</v>
      </c>
      <c r="BW4928">
        <v>1.69</v>
      </c>
      <c r="BX4928">
        <v>0.25</v>
      </c>
      <c r="BY4928">
        <v>0.26</v>
      </c>
      <c r="BZ4928">
        <v>2.93</v>
      </c>
      <c r="CA4928">
        <v>1.94</v>
      </c>
      <c r="CB4928">
        <v>1.44</v>
      </c>
      <c r="CC4928">
        <v>2.08</v>
      </c>
      <c r="CD4928">
        <v>-1.26</v>
      </c>
      <c r="CE4928">
        <v>1.45</v>
      </c>
      <c r="CF4928">
        <v>0.72</v>
      </c>
      <c r="CG4928">
        <v>0</v>
      </c>
      <c r="CH4928">
        <v>0.32</v>
      </c>
      <c r="CI4928">
        <v>0</v>
      </c>
      <c r="CJ4928">
        <v>-3.1</v>
      </c>
      <c r="CK4928">
        <v>78</v>
      </c>
      <c r="CL4928">
        <v>-1.33</v>
      </c>
      <c r="CM4928">
        <v>75</v>
      </c>
      <c r="CN4928">
        <v>-0.56999999999999995</v>
      </c>
      <c r="CO4928">
        <v>72</v>
      </c>
      <c r="CP4928">
        <v>-4.5</v>
      </c>
      <c r="CQ4928">
        <v>75</v>
      </c>
      <c r="CR4928">
        <v>0</v>
      </c>
      <c r="CS4928">
        <v>0</v>
      </c>
      <c r="CT4928">
        <v>7.2</v>
      </c>
      <c r="CU4928">
        <v>69</v>
      </c>
      <c r="CV4928">
        <v>0.26</v>
      </c>
      <c r="CW4928">
        <v>41</v>
      </c>
      <c r="CX4928" t="s">
        <v>715</v>
      </c>
    </row>
    <row r="4929" spans="1:102" x14ac:dyDescent="0.3">
      <c r="A4929" t="str">
        <f>HYPERLINK("https://webapp.icbf.com/v2/app/bull-search/view/409029084","MYH")</f>
        <v>MYH</v>
      </c>
      <c r="B4929" t="s">
        <v>8808</v>
      </c>
      <c r="C4929" t="s">
        <v>8809</v>
      </c>
      <c r="D4929" s="1">
        <v>36452</v>
      </c>
      <c r="E4929" t="s">
        <v>92</v>
      </c>
      <c r="F4929">
        <v>100</v>
      </c>
      <c r="G4929" t="s">
        <v>109</v>
      </c>
      <c r="H4929">
        <v>-228.91</v>
      </c>
      <c r="I4929">
        <v>66</v>
      </c>
      <c r="J4929">
        <v>-19.54</v>
      </c>
      <c r="K4929">
        <v>75</v>
      </c>
      <c r="L4929">
        <v>-138.16</v>
      </c>
      <c r="M4929">
        <v>73</v>
      </c>
      <c r="N4929">
        <v>-47.44</v>
      </c>
      <c r="O4929">
        <v>47</v>
      </c>
      <c r="P4929">
        <v>-22.12</v>
      </c>
      <c r="Q4929">
        <v>60</v>
      </c>
      <c r="R4929">
        <v>-7.7</v>
      </c>
      <c r="S4929">
        <v>60</v>
      </c>
      <c r="T4929">
        <v>2.73</v>
      </c>
      <c r="U4929">
        <v>51</v>
      </c>
      <c r="V4929">
        <v>3.32</v>
      </c>
      <c r="W4929">
        <v>24</v>
      </c>
      <c r="X4929" t="s">
        <v>251</v>
      </c>
      <c r="Y4929" t="s">
        <v>95</v>
      </c>
      <c r="Z4929" t="s">
        <v>96</v>
      </c>
      <c r="AA4929" t="s">
        <v>8810</v>
      </c>
      <c r="AB4929" t="s">
        <v>8811</v>
      </c>
      <c r="AC4929">
        <v>0</v>
      </c>
      <c r="AD4929">
        <v>0</v>
      </c>
      <c r="AE4929">
        <v>75</v>
      </c>
      <c r="AF4929">
        <v>-16.489999999999998</v>
      </c>
      <c r="AG4929">
        <v>6.12</v>
      </c>
      <c r="AH4929">
        <v>-5.74</v>
      </c>
      <c r="AI4929">
        <v>0.11</v>
      </c>
      <c r="AJ4929">
        <v>-0.09</v>
      </c>
      <c r="AK4929">
        <v>73</v>
      </c>
      <c r="AL4929">
        <v>0</v>
      </c>
      <c r="AM4929">
        <v>0</v>
      </c>
      <c r="AN4929">
        <v>5.84</v>
      </c>
      <c r="AO4929">
        <v>-5.2</v>
      </c>
      <c r="AP4929">
        <v>31</v>
      </c>
      <c r="AQ4929">
        <v>1</v>
      </c>
      <c r="AR4929">
        <v>13.24</v>
      </c>
      <c r="AS4929">
        <v>29</v>
      </c>
      <c r="AT4929">
        <v>6.21</v>
      </c>
      <c r="AU4929">
        <v>72</v>
      </c>
      <c r="AV4929">
        <v>-1.1599999999999999</v>
      </c>
      <c r="AW4929">
        <v>43</v>
      </c>
      <c r="AX4929">
        <v>0.23</v>
      </c>
      <c r="AY4929">
        <v>45</v>
      </c>
      <c r="AZ4929">
        <v>5.85</v>
      </c>
      <c r="BA4929">
        <v>25</v>
      </c>
      <c r="BB4929">
        <v>5.0199999999999996</v>
      </c>
      <c r="BC4929">
        <v>27</v>
      </c>
      <c r="BD4929">
        <v>0.03</v>
      </c>
      <c r="BE4929">
        <v>0.03</v>
      </c>
      <c r="BF4929">
        <v>7.0000000000000007E-2</v>
      </c>
      <c r="BG4929">
        <v>85</v>
      </c>
      <c r="BH4929">
        <v>0.09</v>
      </c>
      <c r="BI4929">
        <v>-0.3</v>
      </c>
      <c r="BJ4929">
        <v>10</v>
      </c>
      <c r="BK4929">
        <v>5</v>
      </c>
      <c r="BL4929">
        <v>1.91</v>
      </c>
      <c r="BM4929">
        <v>-0.92</v>
      </c>
      <c r="BN4929">
        <v>2.81</v>
      </c>
      <c r="BO4929">
        <v>1.79</v>
      </c>
      <c r="BP4929">
        <v>1.99</v>
      </c>
      <c r="BQ4929">
        <v>0.75</v>
      </c>
      <c r="BR4929">
        <v>0.06</v>
      </c>
      <c r="BS4929">
        <v>0.89</v>
      </c>
      <c r="BT4929">
        <v>0.26</v>
      </c>
      <c r="BU4929">
        <v>1.65</v>
      </c>
      <c r="BV4929">
        <v>2.15</v>
      </c>
      <c r="BW4929">
        <v>2.46</v>
      </c>
      <c r="BX4929">
        <v>1.2</v>
      </c>
      <c r="BY4929">
        <v>3.04</v>
      </c>
      <c r="BZ4929">
        <v>0.97</v>
      </c>
      <c r="CA4929">
        <v>1.24</v>
      </c>
      <c r="CB4929">
        <v>1.34</v>
      </c>
      <c r="CC4929">
        <v>0.88</v>
      </c>
      <c r="CD4929">
        <v>-1.66</v>
      </c>
      <c r="CE4929">
        <v>0.83</v>
      </c>
      <c r="CF4929">
        <v>1.22</v>
      </c>
      <c r="CG4929">
        <v>0</v>
      </c>
      <c r="CH4929">
        <v>0.65</v>
      </c>
      <c r="CI4929">
        <v>0</v>
      </c>
      <c r="CJ4929">
        <v>-11.7</v>
      </c>
      <c r="CK4929">
        <v>62</v>
      </c>
      <c r="CL4929">
        <v>-1.1499999999999999</v>
      </c>
      <c r="CM4929">
        <v>57</v>
      </c>
      <c r="CN4929">
        <v>-0.56999999999999995</v>
      </c>
      <c r="CO4929">
        <v>51</v>
      </c>
      <c r="CP4929">
        <v>-5.2</v>
      </c>
      <c r="CQ4929">
        <v>66</v>
      </c>
      <c r="CR4929">
        <v>0</v>
      </c>
      <c r="CS4929">
        <v>0</v>
      </c>
      <c r="CT4929">
        <v>10.1</v>
      </c>
      <c r="CU4929">
        <v>51</v>
      </c>
      <c r="CV4929">
        <v>0.08</v>
      </c>
      <c r="CW4929">
        <v>16</v>
      </c>
      <c r="CX4929" t="s">
        <v>3043</v>
      </c>
    </row>
    <row r="4930" spans="1:102" x14ac:dyDescent="0.3">
      <c r="A4930" t="str">
        <f>HYPERLINK("https://webapp.icbf.com/v2/app/bull-search/view/474732866","S569")</f>
        <v>S569</v>
      </c>
      <c r="B4930" t="s">
        <v>12251</v>
      </c>
      <c r="C4930" t="s">
        <v>12252</v>
      </c>
      <c r="D4930" s="1">
        <v>37360</v>
      </c>
      <c r="E4930" t="s">
        <v>92</v>
      </c>
      <c r="F4930">
        <v>100</v>
      </c>
      <c r="G4930" t="s">
        <v>109</v>
      </c>
      <c r="H4930">
        <v>-229.01</v>
      </c>
      <c r="I4930">
        <v>83</v>
      </c>
      <c r="J4930">
        <v>-2.93</v>
      </c>
      <c r="K4930">
        <v>93</v>
      </c>
      <c r="L4930">
        <v>-177.15</v>
      </c>
      <c r="M4930">
        <v>86</v>
      </c>
      <c r="N4930">
        <v>-46.23</v>
      </c>
      <c r="O4930">
        <v>67</v>
      </c>
      <c r="P4930">
        <v>-13.06</v>
      </c>
      <c r="Q4930">
        <v>71</v>
      </c>
      <c r="R4930">
        <v>13.6</v>
      </c>
      <c r="S4930">
        <v>79</v>
      </c>
      <c r="T4930">
        <v>1.25</v>
      </c>
      <c r="U4930">
        <v>75</v>
      </c>
      <c r="V4930">
        <v>-4.49</v>
      </c>
      <c r="W4930">
        <v>66</v>
      </c>
      <c r="X4930" t="s">
        <v>747</v>
      </c>
      <c r="Y4930" t="s">
        <v>95</v>
      </c>
      <c r="Z4930" t="s">
        <v>96</v>
      </c>
      <c r="AA4930" t="s">
        <v>311</v>
      </c>
      <c r="AB4930" t="s">
        <v>12253</v>
      </c>
      <c r="AC4930">
        <v>0</v>
      </c>
      <c r="AD4930">
        <v>0</v>
      </c>
      <c r="AE4930">
        <v>93</v>
      </c>
      <c r="AF4930">
        <v>300.24</v>
      </c>
      <c r="AG4930">
        <v>2.65</v>
      </c>
      <c r="AH4930">
        <v>3.16</v>
      </c>
      <c r="AI4930">
        <v>-0.15</v>
      </c>
      <c r="AJ4930">
        <v>-0.12</v>
      </c>
      <c r="AK4930">
        <v>86</v>
      </c>
      <c r="AL4930">
        <v>0</v>
      </c>
      <c r="AM4930">
        <v>0</v>
      </c>
      <c r="AN4930">
        <v>9.49</v>
      </c>
      <c r="AO4930">
        <v>-4.6399999999999997</v>
      </c>
      <c r="AP4930">
        <v>24</v>
      </c>
      <c r="AQ4930">
        <v>0</v>
      </c>
      <c r="AR4930">
        <v>14.71</v>
      </c>
      <c r="AS4930">
        <v>63</v>
      </c>
      <c r="AT4930">
        <v>5.95</v>
      </c>
      <c r="AU4930">
        <v>90</v>
      </c>
      <c r="AV4930">
        <v>-1.42</v>
      </c>
      <c r="AW4930">
        <v>59</v>
      </c>
      <c r="AX4930">
        <v>0.1</v>
      </c>
      <c r="AY4930">
        <v>61</v>
      </c>
      <c r="AZ4930">
        <v>5.5</v>
      </c>
      <c r="BA4930">
        <v>54</v>
      </c>
      <c r="BB4930">
        <v>4.84</v>
      </c>
      <c r="BC4930">
        <v>55</v>
      </c>
      <c r="BD4930">
        <v>-0.04</v>
      </c>
      <c r="BE4930">
        <v>-0.04</v>
      </c>
      <c r="BF4930">
        <v>-0.17</v>
      </c>
      <c r="BG4930">
        <v>91</v>
      </c>
      <c r="BH4930">
        <v>-0.15</v>
      </c>
      <c r="BI4930">
        <v>-2.87</v>
      </c>
      <c r="BJ4930">
        <v>8</v>
      </c>
      <c r="BK4930">
        <v>5</v>
      </c>
      <c r="BL4930">
        <v>2.5</v>
      </c>
      <c r="BM4930">
        <v>1.26</v>
      </c>
      <c r="BN4930">
        <v>2.72</v>
      </c>
      <c r="BO4930">
        <v>1.56</v>
      </c>
      <c r="BP4930">
        <v>-2.74</v>
      </c>
      <c r="BQ4930">
        <v>3.46</v>
      </c>
      <c r="BR4930">
        <v>7.0000000000000007E-2</v>
      </c>
      <c r="BS4930">
        <v>1.81</v>
      </c>
      <c r="BT4930">
        <v>1.7</v>
      </c>
      <c r="BU4930">
        <v>2.44</v>
      </c>
      <c r="BV4930">
        <v>2.27</v>
      </c>
      <c r="BW4930">
        <v>2.67</v>
      </c>
      <c r="BX4930">
        <v>2</v>
      </c>
      <c r="BY4930">
        <v>0.63</v>
      </c>
      <c r="BZ4930">
        <v>0.12</v>
      </c>
      <c r="CA4930">
        <v>2.4700000000000002</v>
      </c>
      <c r="CB4930">
        <v>2.06</v>
      </c>
      <c r="CC4930">
        <v>2.0499999999999998</v>
      </c>
      <c r="CD4930">
        <v>-0.66</v>
      </c>
      <c r="CE4930">
        <v>1.4</v>
      </c>
      <c r="CF4930">
        <v>1.42</v>
      </c>
      <c r="CG4930">
        <v>0</v>
      </c>
      <c r="CH4930">
        <v>0.72</v>
      </c>
      <c r="CI4930">
        <v>0</v>
      </c>
      <c r="CJ4930">
        <v>-7.7</v>
      </c>
      <c r="CK4930">
        <v>72</v>
      </c>
      <c r="CL4930">
        <v>-1.56</v>
      </c>
      <c r="CM4930">
        <v>69</v>
      </c>
      <c r="CN4930">
        <v>-1.18</v>
      </c>
      <c r="CO4930">
        <v>66</v>
      </c>
      <c r="CP4930">
        <v>-1</v>
      </c>
      <c r="CQ4930">
        <v>72</v>
      </c>
      <c r="CR4930">
        <v>0</v>
      </c>
      <c r="CS4930">
        <v>0</v>
      </c>
      <c r="CT4930">
        <v>12.1</v>
      </c>
      <c r="CU4930">
        <v>75</v>
      </c>
      <c r="CV4930">
        <v>0.14000000000000001</v>
      </c>
      <c r="CW4930">
        <v>40</v>
      </c>
      <c r="CX4930" t="s">
        <v>1185</v>
      </c>
    </row>
    <row r="4931" spans="1:102" x14ac:dyDescent="0.3">
      <c r="A4931" t="str">
        <f>HYPERLINK("https://webapp.icbf.com/v2/app/bull-search/view/124415012","RID")</f>
        <v>RID</v>
      </c>
      <c r="B4931" t="s">
        <v>12192</v>
      </c>
      <c r="C4931" t="s">
        <v>12193</v>
      </c>
      <c r="D4931" s="1">
        <v>34912</v>
      </c>
      <c r="E4931" t="s">
        <v>92</v>
      </c>
      <c r="F4931">
        <v>100</v>
      </c>
      <c r="G4931" t="s">
        <v>93</v>
      </c>
      <c r="H4931">
        <v>-229.28</v>
      </c>
      <c r="I4931">
        <v>90</v>
      </c>
      <c r="J4931">
        <v>-14.5</v>
      </c>
      <c r="K4931">
        <v>98</v>
      </c>
      <c r="L4931">
        <v>-202.21</v>
      </c>
      <c r="M4931">
        <v>88</v>
      </c>
      <c r="N4931">
        <v>6.37</v>
      </c>
      <c r="O4931">
        <v>87</v>
      </c>
      <c r="P4931">
        <v>-5.23</v>
      </c>
      <c r="Q4931">
        <v>94</v>
      </c>
      <c r="R4931">
        <v>-4.9000000000000004</v>
      </c>
      <c r="S4931">
        <v>78</v>
      </c>
      <c r="T4931">
        <v>-14.66</v>
      </c>
      <c r="U4931">
        <v>86</v>
      </c>
      <c r="V4931">
        <v>5.85</v>
      </c>
      <c r="W4931">
        <v>64</v>
      </c>
      <c r="X4931" t="s">
        <v>251</v>
      </c>
      <c r="Y4931" t="s">
        <v>95</v>
      </c>
      <c r="Z4931" t="s">
        <v>96</v>
      </c>
      <c r="AA4931" t="s">
        <v>839</v>
      </c>
      <c r="AB4931" t="s">
        <v>8033</v>
      </c>
      <c r="AC4931">
        <v>191</v>
      </c>
      <c r="AD4931">
        <v>92</v>
      </c>
      <c r="AE4931">
        <v>98</v>
      </c>
      <c r="AF4931">
        <v>350.28</v>
      </c>
      <c r="AG4931">
        <v>0.47</v>
      </c>
      <c r="AH4931">
        <v>2.73</v>
      </c>
      <c r="AI4931">
        <v>-0.21</v>
      </c>
      <c r="AJ4931">
        <v>-0.15</v>
      </c>
      <c r="AK4931">
        <v>88</v>
      </c>
      <c r="AL4931">
        <v>159</v>
      </c>
      <c r="AM4931">
        <v>76</v>
      </c>
      <c r="AN4931">
        <v>10.72</v>
      </c>
      <c r="AO4931">
        <v>-5.41</v>
      </c>
      <c r="AP4931">
        <v>275</v>
      </c>
      <c r="AQ4931">
        <v>2</v>
      </c>
      <c r="AR4931">
        <v>8.86</v>
      </c>
      <c r="AS4931">
        <v>75</v>
      </c>
      <c r="AT4931">
        <v>3.56</v>
      </c>
      <c r="AU4931">
        <v>89</v>
      </c>
      <c r="AV4931">
        <v>-1.76</v>
      </c>
      <c r="AW4931">
        <v>95</v>
      </c>
      <c r="AX4931">
        <v>0.34</v>
      </c>
      <c r="AY4931">
        <v>87</v>
      </c>
      <c r="AZ4931">
        <v>5.23</v>
      </c>
      <c r="BA4931">
        <v>72</v>
      </c>
      <c r="BB4931">
        <v>5.19</v>
      </c>
      <c r="BC4931">
        <v>70</v>
      </c>
      <c r="BD4931">
        <v>0.01</v>
      </c>
      <c r="BE4931">
        <v>0.04</v>
      </c>
      <c r="BF4931">
        <v>0.02</v>
      </c>
      <c r="BG4931">
        <v>91</v>
      </c>
      <c r="BH4931">
        <v>0.02</v>
      </c>
      <c r="BI4931">
        <v>-16.55</v>
      </c>
      <c r="BJ4931">
        <v>78</v>
      </c>
      <c r="BK4931">
        <v>37</v>
      </c>
      <c r="BL4931">
        <v>1.4</v>
      </c>
      <c r="BM4931">
        <v>2.6</v>
      </c>
      <c r="BN4931">
        <v>3.62</v>
      </c>
      <c r="BO4931">
        <v>1.35</v>
      </c>
      <c r="BP4931">
        <v>1.53</v>
      </c>
      <c r="BQ4931">
        <v>2.59</v>
      </c>
      <c r="BR4931">
        <v>1.59</v>
      </c>
      <c r="BS4931">
        <v>1.84</v>
      </c>
      <c r="BT4931">
        <v>-0.54</v>
      </c>
      <c r="BU4931">
        <v>0.96</v>
      </c>
      <c r="BV4931">
        <v>1.17</v>
      </c>
      <c r="BW4931">
        <v>2.25</v>
      </c>
      <c r="BX4931">
        <v>0.21</v>
      </c>
      <c r="BY4931">
        <v>2.98</v>
      </c>
      <c r="BZ4931">
        <v>-0.65</v>
      </c>
      <c r="CA4931">
        <v>2.0499999999999998</v>
      </c>
      <c r="CB4931">
        <v>1.79</v>
      </c>
      <c r="CC4931">
        <v>2.16</v>
      </c>
      <c r="CD4931">
        <v>0</v>
      </c>
      <c r="CE4931">
        <v>1.4</v>
      </c>
      <c r="CF4931">
        <v>2.79</v>
      </c>
      <c r="CG4931">
        <v>0</v>
      </c>
      <c r="CH4931">
        <v>2.37</v>
      </c>
      <c r="CI4931">
        <v>0</v>
      </c>
      <c r="CJ4931">
        <v>-0.6</v>
      </c>
      <c r="CK4931">
        <v>95</v>
      </c>
      <c r="CL4931">
        <v>-1.0900000000000001</v>
      </c>
      <c r="CM4931">
        <v>94</v>
      </c>
      <c r="CN4931">
        <v>-0.43</v>
      </c>
      <c r="CO4931">
        <v>93</v>
      </c>
      <c r="CP4931">
        <v>12.1</v>
      </c>
      <c r="CQ4931">
        <v>94</v>
      </c>
      <c r="CR4931">
        <v>0</v>
      </c>
      <c r="CS4931">
        <v>0</v>
      </c>
      <c r="CT4931">
        <v>33.6</v>
      </c>
      <c r="CU4931">
        <v>86</v>
      </c>
      <c r="CV4931">
        <v>0.26</v>
      </c>
      <c r="CW4931">
        <v>28</v>
      </c>
      <c r="CX4931" t="s">
        <v>3842</v>
      </c>
    </row>
    <row r="4932" spans="1:102" x14ac:dyDescent="0.3">
      <c r="A4932" t="str">
        <f>HYPERLINK("https://webapp.icbf.com/v2/app/bull-search/view/233184901","S340")</f>
        <v>S340</v>
      </c>
      <c r="B4932" t="s">
        <v>11643</v>
      </c>
      <c r="C4932" t="s">
        <v>9192</v>
      </c>
      <c r="D4932" s="1">
        <v>35875</v>
      </c>
      <c r="E4932" t="s">
        <v>92</v>
      </c>
      <c r="F4932">
        <v>100</v>
      </c>
      <c r="G4932" t="s">
        <v>109</v>
      </c>
      <c r="H4932">
        <v>-229.59</v>
      </c>
      <c r="I4932">
        <v>86</v>
      </c>
      <c r="J4932">
        <v>14.19</v>
      </c>
      <c r="K4932">
        <v>96</v>
      </c>
      <c r="L4932">
        <v>-215.47</v>
      </c>
      <c r="M4932">
        <v>90</v>
      </c>
      <c r="N4932">
        <v>-12.11</v>
      </c>
      <c r="O4932">
        <v>73</v>
      </c>
      <c r="P4932">
        <v>-7.41</v>
      </c>
      <c r="Q4932">
        <v>74</v>
      </c>
      <c r="R4932">
        <v>-6.54</v>
      </c>
      <c r="S4932">
        <v>83</v>
      </c>
      <c r="T4932">
        <v>5.24</v>
      </c>
      <c r="U4932">
        <v>69</v>
      </c>
      <c r="V4932">
        <v>-7.49</v>
      </c>
      <c r="W4932">
        <v>72</v>
      </c>
      <c r="X4932" t="s">
        <v>110</v>
      </c>
      <c r="Y4932" t="s">
        <v>545</v>
      </c>
      <c r="Z4932" t="s">
        <v>96</v>
      </c>
      <c r="AA4932" t="s">
        <v>11644</v>
      </c>
      <c r="AB4932" t="s">
        <v>4122</v>
      </c>
      <c r="AC4932">
        <v>18</v>
      </c>
      <c r="AD4932">
        <v>10</v>
      </c>
      <c r="AE4932">
        <v>96</v>
      </c>
      <c r="AF4932">
        <v>251.47</v>
      </c>
      <c r="AG4932">
        <v>8.6300000000000008</v>
      </c>
      <c r="AH4932">
        <v>3.21</v>
      </c>
      <c r="AI4932">
        <v>-0.02</v>
      </c>
      <c r="AJ4932">
        <v>-0.09</v>
      </c>
      <c r="AK4932">
        <v>90</v>
      </c>
      <c r="AL4932">
        <v>0</v>
      </c>
      <c r="AM4932">
        <v>0</v>
      </c>
      <c r="AN4932">
        <v>12.77</v>
      </c>
      <c r="AO4932">
        <v>-4.4000000000000004</v>
      </c>
      <c r="AP4932">
        <v>3</v>
      </c>
      <c r="AQ4932">
        <v>0</v>
      </c>
      <c r="AR4932">
        <v>8.67</v>
      </c>
      <c r="AS4932">
        <v>72</v>
      </c>
      <c r="AT4932">
        <v>3.69</v>
      </c>
      <c r="AU4932">
        <v>98</v>
      </c>
      <c r="AV4932">
        <v>-0.25</v>
      </c>
      <c r="AW4932">
        <v>64</v>
      </c>
      <c r="AX4932">
        <v>0.14000000000000001</v>
      </c>
      <c r="AY4932">
        <v>67</v>
      </c>
      <c r="AZ4932">
        <v>7.01</v>
      </c>
      <c r="BA4932">
        <v>60</v>
      </c>
      <c r="BB4932">
        <v>5.86</v>
      </c>
      <c r="BC4932">
        <v>60</v>
      </c>
      <c r="BD4932">
        <v>0.05</v>
      </c>
      <c r="BE4932">
        <v>0.03</v>
      </c>
      <c r="BF4932">
        <v>0.01</v>
      </c>
      <c r="BG4932">
        <v>95</v>
      </c>
      <c r="BH4932">
        <v>-0.2</v>
      </c>
      <c r="BI4932">
        <v>1.01</v>
      </c>
      <c r="BJ4932">
        <v>11</v>
      </c>
      <c r="BK4932">
        <v>6</v>
      </c>
      <c r="BL4932">
        <v>0.91</v>
      </c>
      <c r="BM4932">
        <v>-0.94</v>
      </c>
      <c r="BN4932">
        <v>1.1399999999999999</v>
      </c>
      <c r="BO4932">
        <v>1.26</v>
      </c>
      <c r="BP4932">
        <v>-0.85</v>
      </c>
      <c r="BQ4932">
        <v>0.71</v>
      </c>
      <c r="BR4932">
        <v>-0.36</v>
      </c>
      <c r="BS4932">
        <v>1.84</v>
      </c>
      <c r="BT4932">
        <v>-0.69</v>
      </c>
      <c r="BU4932">
        <v>1.67</v>
      </c>
      <c r="BV4932">
        <v>2.23</v>
      </c>
      <c r="BW4932">
        <v>0.47</v>
      </c>
      <c r="BX4932">
        <v>0.64</v>
      </c>
      <c r="BY4932">
        <v>0.5</v>
      </c>
      <c r="BZ4932">
        <v>0.1</v>
      </c>
      <c r="CA4932">
        <v>1.01</v>
      </c>
      <c r="CB4932">
        <v>1.1299999999999999</v>
      </c>
      <c r="CC4932">
        <v>0.37</v>
      </c>
      <c r="CD4932">
        <v>-1.23</v>
      </c>
      <c r="CE4932">
        <v>1.42</v>
      </c>
      <c r="CF4932">
        <v>1.4</v>
      </c>
      <c r="CG4932">
        <v>0</v>
      </c>
      <c r="CH4932">
        <v>0.3</v>
      </c>
      <c r="CI4932">
        <v>0</v>
      </c>
      <c r="CJ4932">
        <v>-1.7</v>
      </c>
      <c r="CK4932">
        <v>75</v>
      </c>
      <c r="CL4932">
        <v>-1.0900000000000001</v>
      </c>
      <c r="CM4932">
        <v>73</v>
      </c>
      <c r="CN4932">
        <v>-0.6</v>
      </c>
      <c r="CO4932">
        <v>71</v>
      </c>
      <c r="CP4932">
        <v>-5.6</v>
      </c>
      <c r="CQ4932">
        <v>75</v>
      </c>
      <c r="CR4932">
        <v>0</v>
      </c>
      <c r="CS4932">
        <v>0</v>
      </c>
      <c r="CT4932">
        <v>6.7</v>
      </c>
      <c r="CU4932">
        <v>69</v>
      </c>
      <c r="CV4932">
        <v>0.24</v>
      </c>
      <c r="CW4932">
        <v>41</v>
      </c>
      <c r="CX4932" t="s">
        <v>1550</v>
      </c>
    </row>
    <row r="4933" spans="1:102" x14ac:dyDescent="0.3">
      <c r="A4933" t="str">
        <f>HYPERLINK("https://webapp.icbf.com/v2/app/bull-search/view/77857180","GPO")</f>
        <v>GPO</v>
      </c>
      <c r="B4933" t="s">
        <v>3777</v>
      </c>
      <c r="C4933" t="s">
        <v>3778</v>
      </c>
      <c r="D4933" s="1">
        <v>33555</v>
      </c>
      <c r="E4933" t="s">
        <v>92</v>
      </c>
      <c r="F4933">
        <v>100</v>
      </c>
      <c r="G4933" t="s">
        <v>93</v>
      </c>
      <c r="H4933">
        <v>-229.72</v>
      </c>
      <c r="I4933">
        <v>95</v>
      </c>
      <c r="J4933">
        <v>2.76</v>
      </c>
      <c r="K4933">
        <v>99</v>
      </c>
      <c r="L4933">
        <v>-188.53</v>
      </c>
      <c r="M4933">
        <v>93</v>
      </c>
      <c r="N4933">
        <v>-24.15</v>
      </c>
      <c r="O4933">
        <v>95</v>
      </c>
      <c r="P4933">
        <v>-7.59</v>
      </c>
      <c r="Q4933">
        <v>98</v>
      </c>
      <c r="R4933">
        <v>-22.91</v>
      </c>
      <c r="S4933">
        <v>89</v>
      </c>
      <c r="T4933">
        <v>15.9</v>
      </c>
      <c r="U4933">
        <v>93</v>
      </c>
      <c r="V4933">
        <v>-5.2</v>
      </c>
      <c r="W4933">
        <v>85</v>
      </c>
      <c r="X4933" t="s">
        <v>94</v>
      </c>
      <c r="Y4933" t="s">
        <v>95</v>
      </c>
      <c r="Z4933" t="s">
        <v>96</v>
      </c>
      <c r="AA4933" t="s">
        <v>152</v>
      </c>
      <c r="AB4933" t="s">
        <v>3779</v>
      </c>
      <c r="AC4933">
        <v>536</v>
      </c>
      <c r="AD4933">
        <v>173</v>
      </c>
      <c r="AE4933">
        <v>99</v>
      </c>
      <c r="AF4933">
        <v>358.59</v>
      </c>
      <c r="AG4933">
        <v>-0.77</v>
      </c>
      <c r="AH4933">
        <v>6.23</v>
      </c>
      <c r="AI4933">
        <v>-0.24</v>
      </c>
      <c r="AJ4933">
        <v>-0.1</v>
      </c>
      <c r="AK4933">
        <v>93</v>
      </c>
      <c r="AL4933">
        <v>448</v>
      </c>
      <c r="AM4933">
        <v>153</v>
      </c>
      <c r="AN4933">
        <v>9.91</v>
      </c>
      <c r="AO4933">
        <v>-5.13</v>
      </c>
      <c r="AP4933">
        <v>602</v>
      </c>
      <c r="AQ4933">
        <v>5</v>
      </c>
      <c r="AR4933">
        <v>11.8</v>
      </c>
      <c r="AS4933">
        <v>94</v>
      </c>
      <c r="AT4933">
        <v>4.13</v>
      </c>
      <c r="AU4933">
        <v>98</v>
      </c>
      <c r="AV4933">
        <v>-0.6</v>
      </c>
      <c r="AW4933">
        <v>98</v>
      </c>
      <c r="AX4933">
        <v>-0.08</v>
      </c>
      <c r="AY4933">
        <v>94</v>
      </c>
      <c r="AZ4933">
        <v>7.65</v>
      </c>
      <c r="BA4933">
        <v>85</v>
      </c>
      <c r="BB4933">
        <v>5.77</v>
      </c>
      <c r="BC4933">
        <v>86</v>
      </c>
      <c r="BD4933">
        <v>0.04</v>
      </c>
      <c r="BE4933">
        <v>0.1</v>
      </c>
      <c r="BF4933">
        <v>0.27</v>
      </c>
      <c r="BG4933">
        <v>97</v>
      </c>
      <c r="BH4933">
        <v>-0.04</v>
      </c>
      <c r="BI4933">
        <v>12.16</v>
      </c>
      <c r="BJ4933">
        <v>121</v>
      </c>
      <c r="BK4933">
        <v>52</v>
      </c>
      <c r="BL4933">
        <v>0.53</v>
      </c>
      <c r="BM4933">
        <v>-0.79</v>
      </c>
      <c r="BN4933">
        <v>1.32</v>
      </c>
      <c r="BO4933">
        <v>1.51</v>
      </c>
      <c r="BP4933">
        <v>1.1000000000000001</v>
      </c>
      <c r="BQ4933">
        <v>0.85</v>
      </c>
      <c r="BR4933">
        <v>0.17</v>
      </c>
      <c r="BS4933">
        <v>1.1100000000000001</v>
      </c>
      <c r="BT4933">
        <v>0.03</v>
      </c>
      <c r="BU4933">
        <v>0.51</v>
      </c>
      <c r="BV4933">
        <v>1.33</v>
      </c>
      <c r="BW4933">
        <v>1.6</v>
      </c>
      <c r="BX4933">
        <v>-0.91</v>
      </c>
      <c r="BY4933">
        <v>1.63</v>
      </c>
      <c r="BZ4933">
        <v>-0.92</v>
      </c>
      <c r="CA4933">
        <v>1.63</v>
      </c>
      <c r="CB4933">
        <v>1.47</v>
      </c>
      <c r="CC4933">
        <v>1.41</v>
      </c>
      <c r="CD4933">
        <v>-1.27</v>
      </c>
      <c r="CE4933">
        <v>1.27</v>
      </c>
      <c r="CF4933">
        <v>0.62</v>
      </c>
      <c r="CG4933">
        <v>0</v>
      </c>
      <c r="CH4933">
        <v>1.61</v>
      </c>
      <c r="CI4933">
        <v>0</v>
      </c>
      <c r="CJ4933">
        <v>-1.8</v>
      </c>
      <c r="CK4933">
        <v>98</v>
      </c>
      <c r="CL4933">
        <v>-0.7</v>
      </c>
      <c r="CM4933">
        <v>98</v>
      </c>
      <c r="CN4933">
        <v>-0.25</v>
      </c>
      <c r="CO4933">
        <v>97</v>
      </c>
      <c r="CP4933">
        <v>-5.4</v>
      </c>
      <c r="CQ4933">
        <v>98</v>
      </c>
      <c r="CR4933">
        <v>0</v>
      </c>
      <c r="CS4933">
        <v>0</v>
      </c>
      <c r="CT4933">
        <v>-7.7</v>
      </c>
      <c r="CU4933">
        <v>93</v>
      </c>
      <c r="CV4933">
        <v>0.19</v>
      </c>
      <c r="CW4933">
        <v>46</v>
      </c>
      <c r="CX4933" t="s">
        <v>166</v>
      </c>
    </row>
    <row r="4934" spans="1:102" x14ac:dyDescent="0.3">
      <c r="A4934" t="str">
        <f>HYPERLINK("https://webapp.icbf.com/v2/app/bull-search/view/77855203","MKD")</f>
        <v>MKD</v>
      </c>
      <c r="B4934" t="s">
        <v>2782</v>
      </c>
      <c r="C4934" t="s">
        <v>2783</v>
      </c>
      <c r="D4934" s="1">
        <v>32849</v>
      </c>
      <c r="E4934" t="s">
        <v>92</v>
      </c>
      <c r="F4934">
        <v>100</v>
      </c>
      <c r="G4934" t="s">
        <v>93</v>
      </c>
      <c r="H4934">
        <v>-230.12</v>
      </c>
      <c r="I4934">
        <v>92</v>
      </c>
      <c r="J4934">
        <v>-42.82</v>
      </c>
      <c r="K4934">
        <v>99</v>
      </c>
      <c r="L4934">
        <v>-112.4</v>
      </c>
      <c r="M4934">
        <v>88</v>
      </c>
      <c r="N4934">
        <v>-64.63</v>
      </c>
      <c r="O4934">
        <v>87</v>
      </c>
      <c r="P4934">
        <v>-3.88</v>
      </c>
      <c r="Q4934">
        <v>96</v>
      </c>
      <c r="R4934">
        <v>-11.83</v>
      </c>
      <c r="S4934">
        <v>85</v>
      </c>
      <c r="T4934">
        <v>7.31</v>
      </c>
      <c r="U4934">
        <v>94</v>
      </c>
      <c r="V4934">
        <v>-1.87</v>
      </c>
      <c r="W4934">
        <v>75</v>
      </c>
      <c r="X4934" t="s">
        <v>94</v>
      </c>
      <c r="Y4934" t="s">
        <v>95</v>
      </c>
      <c r="Z4934" t="s">
        <v>96</v>
      </c>
      <c r="AA4934" t="s">
        <v>2784</v>
      </c>
      <c r="AB4934" t="s">
        <v>2785</v>
      </c>
      <c r="AC4934">
        <v>456</v>
      </c>
      <c r="AD4934">
        <v>238</v>
      </c>
      <c r="AE4934">
        <v>99</v>
      </c>
      <c r="AF4934">
        <v>5.14</v>
      </c>
      <c r="AG4934">
        <v>-6.54</v>
      </c>
      <c r="AH4934">
        <v>-4.8899999999999997</v>
      </c>
      <c r="AI4934">
        <v>-0.12</v>
      </c>
      <c r="AJ4934">
        <v>-0.09</v>
      </c>
      <c r="AK4934">
        <v>88</v>
      </c>
      <c r="AL4934">
        <v>552</v>
      </c>
      <c r="AM4934">
        <v>307</v>
      </c>
      <c r="AN4934">
        <v>5.65</v>
      </c>
      <c r="AO4934">
        <v>-3.32</v>
      </c>
      <c r="AP4934">
        <v>16</v>
      </c>
      <c r="AQ4934">
        <v>0</v>
      </c>
      <c r="AR4934">
        <v>11.59</v>
      </c>
      <c r="AS4934">
        <v>68</v>
      </c>
      <c r="AT4934">
        <v>5.84</v>
      </c>
      <c r="AU4934">
        <v>86</v>
      </c>
      <c r="AV4934">
        <v>1.77</v>
      </c>
      <c r="AW4934">
        <v>92</v>
      </c>
      <c r="AX4934">
        <v>0.08</v>
      </c>
      <c r="AY4934">
        <v>94</v>
      </c>
      <c r="AZ4934">
        <v>7.74</v>
      </c>
      <c r="BA4934">
        <v>63</v>
      </c>
      <c r="BB4934">
        <v>5.76</v>
      </c>
      <c r="BC4934">
        <v>82</v>
      </c>
      <c r="BD4934">
        <v>0.03</v>
      </c>
      <c r="BE4934">
        <v>0.08</v>
      </c>
      <c r="BF4934">
        <v>7.0000000000000007E-2</v>
      </c>
      <c r="BG4934">
        <v>97</v>
      </c>
      <c r="BH4934">
        <v>0.11</v>
      </c>
      <c r="BI4934">
        <v>18.760000000000002</v>
      </c>
      <c r="BJ4934">
        <v>42</v>
      </c>
      <c r="BK4934">
        <v>28</v>
      </c>
      <c r="BL4934">
        <v>-0.14000000000000001</v>
      </c>
      <c r="BM4934">
        <v>-0.5</v>
      </c>
      <c r="BN4934">
        <v>0.19</v>
      </c>
      <c r="BO4934">
        <v>0.08</v>
      </c>
      <c r="BP4934">
        <v>-3.02</v>
      </c>
      <c r="BQ4934">
        <v>-0.21</v>
      </c>
      <c r="BR4934">
        <v>2.83</v>
      </c>
      <c r="BS4934">
        <v>-1.82</v>
      </c>
      <c r="BT4934">
        <v>-2.16</v>
      </c>
      <c r="BU4934">
        <v>0.45</v>
      </c>
      <c r="BV4934">
        <v>-0.32</v>
      </c>
      <c r="BW4934">
        <v>0.06</v>
      </c>
      <c r="BX4934">
        <v>0.59</v>
      </c>
      <c r="BY4934">
        <v>-0.94</v>
      </c>
      <c r="BZ4934">
        <v>-0.94</v>
      </c>
      <c r="CA4934">
        <v>-0.78</v>
      </c>
      <c r="CB4934">
        <v>-0.55000000000000004</v>
      </c>
      <c r="CC4934">
        <v>-1.04</v>
      </c>
      <c r="CD4934">
        <v>-0.09</v>
      </c>
      <c r="CE4934">
        <v>0.16</v>
      </c>
      <c r="CF4934">
        <v>-0.49</v>
      </c>
      <c r="CG4934">
        <v>0</v>
      </c>
      <c r="CH4934">
        <v>-1.1499999999999999</v>
      </c>
      <c r="CI4934">
        <v>0</v>
      </c>
      <c r="CJ4934">
        <v>-1.3</v>
      </c>
      <c r="CK4934">
        <v>96</v>
      </c>
      <c r="CL4934">
        <v>-0.49</v>
      </c>
      <c r="CM4934">
        <v>95</v>
      </c>
      <c r="CN4934">
        <v>-0.24</v>
      </c>
      <c r="CO4934">
        <v>94</v>
      </c>
      <c r="CP4934">
        <v>1.1000000000000001</v>
      </c>
      <c r="CQ4934">
        <v>98</v>
      </c>
      <c r="CR4934">
        <v>0</v>
      </c>
      <c r="CS4934">
        <v>0</v>
      </c>
      <c r="CT4934">
        <v>3.9</v>
      </c>
      <c r="CU4934">
        <v>94</v>
      </c>
      <c r="CV4934">
        <v>0.04</v>
      </c>
      <c r="CW4934">
        <v>45</v>
      </c>
      <c r="CX4934" t="s">
        <v>113</v>
      </c>
    </row>
    <row r="4935" spans="1:102" x14ac:dyDescent="0.3">
      <c r="A4935" t="str">
        <f>HYPERLINK("https://webapp.icbf.com/v2/app/bull-search/view/77859268","ALE")</f>
        <v>ALE</v>
      </c>
      <c r="B4935" t="s">
        <v>9853</v>
      </c>
      <c r="C4935" t="s">
        <v>9854</v>
      </c>
      <c r="D4935" s="1">
        <v>34559</v>
      </c>
      <c r="E4935" t="s">
        <v>92</v>
      </c>
      <c r="F4935">
        <v>97</v>
      </c>
      <c r="G4935" t="s">
        <v>93</v>
      </c>
      <c r="H4935">
        <v>-230.15</v>
      </c>
      <c r="I4935">
        <v>87</v>
      </c>
      <c r="J4935">
        <v>5.88</v>
      </c>
      <c r="K4935">
        <v>98</v>
      </c>
      <c r="L4935">
        <v>-183.87</v>
      </c>
      <c r="M4935">
        <v>82</v>
      </c>
      <c r="N4935">
        <v>-34.42</v>
      </c>
      <c r="O4935">
        <v>81</v>
      </c>
      <c r="P4935">
        <v>-9.31</v>
      </c>
      <c r="Q4935">
        <v>90</v>
      </c>
      <c r="R4935">
        <v>-21.95</v>
      </c>
      <c r="S4935">
        <v>80</v>
      </c>
      <c r="T4935">
        <v>19.52</v>
      </c>
      <c r="U4935">
        <v>85</v>
      </c>
      <c r="V4935">
        <v>-6</v>
      </c>
      <c r="W4935">
        <v>67</v>
      </c>
      <c r="X4935" t="s">
        <v>94</v>
      </c>
      <c r="Y4935" t="s">
        <v>95</v>
      </c>
      <c r="Z4935" t="s">
        <v>96</v>
      </c>
      <c r="AA4935" t="s">
        <v>105</v>
      </c>
      <c r="AB4935" t="s">
        <v>9855</v>
      </c>
      <c r="AC4935">
        <v>133</v>
      </c>
      <c r="AD4935">
        <v>110</v>
      </c>
      <c r="AE4935">
        <v>98</v>
      </c>
      <c r="AF4935">
        <v>99.82</v>
      </c>
      <c r="AG4935">
        <v>-0.4</v>
      </c>
      <c r="AH4935">
        <v>2.67</v>
      </c>
      <c r="AI4935">
        <v>-7.0000000000000007E-2</v>
      </c>
      <c r="AJ4935">
        <v>-0.01</v>
      </c>
      <c r="AK4935">
        <v>82</v>
      </c>
      <c r="AL4935">
        <v>154</v>
      </c>
      <c r="AM4935">
        <v>122</v>
      </c>
      <c r="AN4935">
        <v>11.86</v>
      </c>
      <c r="AO4935">
        <v>-2.78</v>
      </c>
      <c r="AP4935">
        <v>21</v>
      </c>
      <c r="AQ4935">
        <v>1</v>
      </c>
      <c r="AR4935">
        <v>12.14</v>
      </c>
      <c r="AS4935">
        <v>64</v>
      </c>
      <c r="AT4935">
        <v>5.03</v>
      </c>
      <c r="AU4935">
        <v>80</v>
      </c>
      <c r="AV4935">
        <v>0.04</v>
      </c>
      <c r="AW4935">
        <v>89</v>
      </c>
      <c r="AX4935">
        <v>0.15</v>
      </c>
      <c r="AY4935">
        <v>86</v>
      </c>
      <c r="AZ4935">
        <v>6.24</v>
      </c>
      <c r="BA4935">
        <v>59</v>
      </c>
      <c r="BB4935">
        <v>4.66</v>
      </c>
      <c r="BC4935">
        <v>70</v>
      </c>
      <c r="BD4935">
        <v>7.0000000000000007E-2</v>
      </c>
      <c r="BE4935">
        <v>0.12</v>
      </c>
      <c r="BF4935">
        <v>0.16</v>
      </c>
      <c r="BG4935">
        <v>92</v>
      </c>
      <c r="BH4935">
        <v>-0.01</v>
      </c>
      <c r="BI4935">
        <v>18.21</v>
      </c>
      <c r="BJ4935">
        <v>23</v>
      </c>
      <c r="BK4935">
        <v>21</v>
      </c>
      <c r="BL4935">
        <v>-0.73</v>
      </c>
      <c r="BM4935">
        <v>-0.23</v>
      </c>
      <c r="BN4935">
        <v>-1.1299999999999999</v>
      </c>
      <c r="BO4935">
        <v>-0.98</v>
      </c>
      <c r="BP4935">
        <v>-0.17</v>
      </c>
      <c r="BQ4935">
        <v>-1.91</v>
      </c>
      <c r="BR4935">
        <v>-1.6</v>
      </c>
      <c r="BS4935">
        <v>0.33</v>
      </c>
      <c r="BT4935">
        <v>1.8</v>
      </c>
      <c r="BU4935">
        <v>-0.88</v>
      </c>
      <c r="BV4935">
        <v>0.37</v>
      </c>
      <c r="BW4935">
        <v>0.19</v>
      </c>
      <c r="BX4935">
        <v>-1.38</v>
      </c>
      <c r="BY4935">
        <v>-1.0900000000000001</v>
      </c>
      <c r="BZ4935">
        <v>2.65</v>
      </c>
      <c r="CA4935">
        <v>-0.3</v>
      </c>
      <c r="CB4935">
        <v>-0.33</v>
      </c>
      <c r="CC4935">
        <v>-0.23</v>
      </c>
      <c r="CD4935">
        <v>0.95</v>
      </c>
      <c r="CE4935">
        <v>-0.78</v>
      </c>
      <c r="CF4935">
        <v>-1.52</v>
      </c>
      <c r="CG4935">
        <v>0</v>
      </c>
      <c r="CH4935">
        <v>-1.26</v>
      </c>
      <c r="CI4935">
        <v>0</v>
      </c>
      <c r="CJ4935">
        <v>-1.7</v>
      </c>
      <c r="CK4935">
        <v>91</v>
      </c>
      <c r="CL4935">
        <v>-0.75</v>
      </c>
      <c r="CM4935">
        <v>89</v>
      </c>
      <c r="CN4935">
        <v>-0.17</v>
      </c>
      <c r="CO4935">
        <v>88</v>
      </c>
      <c r="CP4935">
        <v>-8.1</v>
      </c>
      <c r="CQ4935">
        <v>92</v>
      </c>
      <c r="CR4935">
        <v>0</v>
      </c>
      <c r="CS4935">
        <v>0</v>
      </c>
      <c r="CT4935">
        <v>-12.6</v>
      </c>
      <c r="CU4935">
        <v>85</v>
      </c>
      <c r="CV4935">
        <v>0.22</v>
      </c>
      <c r="CW4935">
        <v>44</v>
      </c>
      <c r="CX4935" t="s">
        <v>3889</v>
      </c>
    </row>
    <row r="4936" spans="1:102" x14ac:dyDescent="0.3">
      <c r="A4936" t="str">
        <f>HYPERLINK("https://webapp.icbf.com/v2/app/bull-search/view/77859391","ASY")</f>
        <v>ASY</v>
      </c>
      <c r="B4936" t="s">
        <v>10639</v>
      </c>
      <c r="C4936" t="s">
        <v>10640</v>
      </c>
      <c r="D4936" s="1">
        <v>34438</v>
      </c>
      <c r="E4936" t="s">
        <v>92</v>
      </c>
      <c r="F4936">
        <v>100</v>
      </c>
      <c r="G4936" t="s">
        <v>93</v>
      </c>
      <c r="H4936">
        <v>-230.91</v>
      </c>
      <c r="I4936">
        <v>96</v>
      </c>
      <c r="J4936">
        <v>-13.49</v>
      </c>
      <c r="K4936">
        <v>99</v>
      </c>
      <c r="L4936">
        <v>-146.94</v>
      </c>
      <c r="M4936">
        <v>93</v>
      </c>
      <c r="N4936">
        <v>-42.86</v>
      </c>
      <c r="O4936">
        <v>96</v>
      </c>
      <c r="P4936">
        <v>-12.49</v>
      </c>
      <c r="Q4936">
        <v>99</v>
      </c>
      <c r="R4936">
        <v>-12.16</v>
      </c>
      <c r="S4936">
        <v>90</v>
      </c>
      <c r="T4936">
        <v>-0.53</v>
      </c>
      <c r="U4936">
        <v>96</v>
      </c>
      <c r="V4936">
        <v>-2.44</v>
      </c>
      <c r="W4936">
        <v>88</v>
      </c>
      <c r="X4936" t="s">
        <v>276</v>
      </c>
      <c r="Y4936" t="s">
        <v>95</v>
      </c>
      <c r="Z4936" t="s">
        <v>96</v>
      </c>
      <c r="AA4936" t="s">
        <v>10641</v>
      </c>
      <c r="AB4936" t="s">
        <v>10642</v>
      </c>
      <c r="AC4936">
        <v>771</v>
      </c>
      <c r="AD4936">
        <v>374</v>
      </c>
      <c r="AE4936">
        <v>99</v>
      </c>
      <c r="AF4936">
        <v>236.71</v>
      </c>
      <c r="AG4936">
        <v>-7.24</v>
      </c>
      <c r="AH4936">
        <v>3.89</v>
      </c>
      <c r="AI4936">
        <v>-0.28000000000000003</v>
      </c>
      <c r="AJ4936">
        <v>-7.0000000000000007E-2</v>
      </c>
      <c r="AK4936">
        <v>93</v>
      </c>
      <c r="AL4936">
        <v>746</v>
      </c>
      <c r="AM4936">
        <v>333</v>
      </c>
      <c r="AN4936">
        <v>7.07</v>
      </c>
      <c r="AO4936">
        <v>-4.66</v>
      </c>
      <c r="AP4936">
        <v>924</v>
      </c>
      <c r="AQ4936">
        <v>1</v>
      </c>
      <c r="AR4936">
        <v>13.02</v>
      </c>
      <c r="AS4936">
        <v>91</v>
      </c>
      <c r="AT4936">
        <v>5.28</v>
      </c>
      <c r="AU4936">
        <v>97</v>
      </c>
      <c r="AV4936">
        <v>-0.04</v>
      </c>
      <c r="AW4936">
        <v>98</v>
      </c>
      <c r="AX4936">
        <v>0.26</v>
      </c>
      <c r="AY4936">
        <v>97</v>
      </c>
      <c r="AZ4936">
        <v>5.92</v>
      </c>
      <c r="BA4936">
        <v>90</v>
      </c>
      <c r="BB4936">
        <v>5.17</v>
      </c>
      <c r="BC4936">
        <v>91</v>
      </c>
      <c r="BD4936">
        <v>0.04</v>
      </c>
      <c r="BE4936">
        <v>7.0000000000000007E-2</v>
      </c>
      <c r="BF4936">
        <v>0.08</v>
      </c>
      <c r="BG4936">
        <v>98</v>
      </c>
      <c r="BH4936">
        <v>0.03</v>
      </c>
      <c r="BI4936">
        <v>11.33</v>
      </c>
      <c r="BJ4936">
        <v>135</v>
      </c>
      <c r="BK4936">
        <v>71</v>
      </c>
      <c r="BL4936">
        <v>0.82</v>
      </c>
      <c r="BM4936">
        <v>1.32</v>
      </c>
      <c r="BN4936">
        <v>1.63</v>
      </c>
      <c r="BO4936">
        <v>0.44</v>
      </c>
      <c r="BP4936">
        <v>-1.26</v>
      </c>
      <c r="BQ4936">
        <v>0.56000000000000005</v>
      </c>
      <c r="BR4936">
        <v>-2.5499999999999998</v>
      </c>
      <c r="BS4936">
        <v>-0.72</v>
      </c>
      <c r="BT4936">
        <v>1.44</v>
      </c>
      <c r="BU4936">
        <v>0.16</v>
      </c>
      <c r="BV4936">
        <v>1.1200000000000001</v>
      </c>
      <c r="BW4936">
        <v>0.47</v>
      </c>
      <c r="BX4936">
        <v>-0.89</v>
      </c>
      <c r="BY4936">
        <v>0.27</v>
      </c>
      <c r="BZ4936">
        <v>0.51</v>
      </c>
      <c r="CA4936">
        <v>0.17</v>
      </c>
      <c r="CB4936">
        <v>-0.03</v>
      </c>
      <c r="CC4936">
        <v>0.69</v>
      </c>
      <c r="CD4936">
        <v>0.15</v>
      </c>
      <c r="CE4936">
        <v>0.27</v>
      </c>
      <c r="CF4936">
        <v>0.98</v>
      </c>
      <c r="CG4936">
        <v>0</v>
      </c>
      <c r="CH4936">
        <v>0.14000000000000001</v>
      </c>
      <c r="CI4936">
        <v>0</v>
      </c>
      <c r="CJ4936">
        <v>-4.7</v>
      </c>
      <c r="CK4936">
        <v>99</v>
      </c>
      <c r="CL4936">
        <v>-0.85</v>
      </c>
      <c r="CM4936">
        <v>99</v>
      </c>
      <c r="CN4936">
        <v>-0.28999999999999998</v>
      </c>
      <c r="CO4936">
        <v>99</v>
      </c>
      <c r="CP4936">
        <v>-4.2</v>
      </c>
      <c r="CQ4936">
        <v>99</v>
      </c>
      <c r="CR4936">
        <v>0</v>
      </c>
      <c r="CS4936">
        <v>0</v>
      </c>
      <c r="CT4936">
        <v>14.5</v>
      </c>
      <c r="CU4936">
        <v>96</v>
      </c>
      <c r="CV4936">
        <v>0.13</v>
      </c>
      <c r="CW4936">
        <v>46</v>
      </c>
      <c r="CX4936" t="s">
        <v>111</v>
      </c>
    </row>
    <row r="4937" spans="1:102" x14ac:dyDescent="0.3">
      <c r="A4937" t="str">
        <f>HYPERLINK("https://webapp.icbf.com/v2/app/bull-search/view/124414349","AUR")</f>
        <v>AUR</v>
      </c>
      <c r="B4937" t="s">
        <v>2852</v>
      </c>
      <c r="C4937" t="s">
        <v>2853</v>
      </c>
      <c r="D4937" s="1">
        <v>36719</v>
      </c>
      <c r="E4937" t="s">
        <v>92</v>
      </c>
      <c r="F4937">
        <v>100</v>
      </c>
      <c r="G4937" t="s">
        <v>93</v>
      </c>
      <c r="H4937">
        <v>-231.36</v>
      </c>
      <c r="I4937">
        <v>88</v>
      </c>
      <c r="J4937">
        <v>-30.19</v>
      </c>
      <c r="K4937">
        <v>97</v>
      </c>
      <c r="L4937">
        <v>-182.59</v>
      </c>
      <c r="M4937">
        <v>82</v>
      </c>
      <c r="N4937">
        <v>-2.21</v>
      </c>
      <c r="O4937">
        <v>86</v>
      </c>
      <c r="P4937">
        <v>-6.96</v>
      </c>
      <c r="Q4937">
        <v>94</v>
      </c>
      <c r="R4937">
        <v>-4.55</v>
      </c>
      <c r="S4937">
        <v>81</v>
      </c>
      <c r="T4937">
        <v>4.72</v>
      </c>
      <c r="U4937">
        <v>87</v>
      </c>
      <c r="V4937">
        <v>-9.58</v>
      </c>
      <c r="W4937">
        <v>73</v>
      </c>
      <c r="X4937" t="s">
        <v>94</v>
      </c>
      <c r="Y4937" t="s">
        <v>95</v>
      </c>
      <c r="Z4937" t="s">
        <v>96</v>
      </c>
      <c r="AA4937" t="s">
        <v>1384</v>
      </c>
      <c r="AB4937" t="s">
        <v>2854</v>
      </c>
      <c r="AC4937">
        <v>110</v>
      </c>
      <c r="AD4937">
        <v>90</v>
      </c>
      <c r="AE4937">
        <v>97</v>
      </c>
      <c r="AF4937">
        <v>-36.89</v>
      </c>
      <c r="AG4937">
        <v>4.3</v>
      </c>
      <c r="AH4937">
        <v>-7.22</v>
      </c>
      <c r="AI4937">
        <v>0.1</v>
      </c>
      <c r="AJ4937">
        <v>-0.11</v>
      </c>
      <c r="AK4937">
        <v>82</v>
      </c>
      <c r="AL4937">
        <v>96</v>
      </c>
      <c r="AM4937">
        <v>70</v>
      </c>
      <c r="AN4937">
        <v>9.26</v>
      </c>
      <c r="AO4937">
        <v>-5.31</v>
      </c>
      <c r="AP4937">
        <v>212</v>
      </c>
      <c r="AQ4937">
        <v>1</v>
      </c>
      <c r="AR4937">
        <v>8.4</v>
      </c>
      <c r="AS4937">
        <v>76</v>
      </c>
      <c r="AT4937">
        <v>4.0999999999999996</v>
      </c>
      <c r="AU4937">
        <v>89</v>
      </c>
      <c r="AV4937">
        <v>-1.72</v>
      </c>
      <c r="AW4937">
        <v>95</v>
      </c>
      <c r="AX4937">
        <v>0.57999999999999996</v>
      </c>
      <c r="AY4937">
        <v>82</v>
      </c>
      <c r="AZ4937">
        <v>7.37</v>
      </c>
      <c r="BA4937">
        <v>66</v>
      </c>
      <c r="BB4937">
        <v>5.25</v>
      </c>
      <c r="BC4937">
        <v>69</v>
      </c>
      <c r="BD4937">
        <v>0.01</v>
      </c>
      <c r="BE4937">
        <v>0.02</v>
      </c>
      <c r="BF4937">
        <v>0.05</v>
      </c>
      <c r="BG4937">
        <v>91</v>
      </c>
      <c r="BH4937">
        <v>-0.18</v>
      </c>
      <c r="BI4937">
        <v>10.07</v>
      </c>
      <c r="BJ4937">
        <v>34</v>
      </c>
      <c r="BK4937">
        <v>26</v>
      </c>
      <c r="BL4937">
        <v>0.19</v>
      </c>
      <c r="BM4937">
        <v>0.36</v>
      </c>
      <c r="BN4937">
        <v>1.61</v>
      </c>
      <c r="BO4937">
        <v>0.6</v>
      </c>
      <c r="BP4937">
        <v>-1.03</v>
      </c>
      <c r="BQ4937">
        <v>-0.3</v>
      </c>
      <c r="BR4937">
        <v>-1.1000000000000001</v>
      </c>
      <c r="BS4937">
        <v>0.52</v>
      </c>
      <c r="BT4937">
        <v>-0.05</v>
      </c>
      <c r="BU4937">
        <v>1.1399999999999999</v>
      </c>
      <c r="BV4937">
        <v>0.99</v>
      </c>
      <c r="BW4937">
        <v>0.28000000000000003</v>
      </c>
      <c r="BX4937">
        <v>-0.17</v>
      </c>
      <c r="BY4937">
        <v>-0.96</v>
      </c>
      <c r="BZ4937">
        <v>1.05</v>
      </c>
      <c r="CA4937">
        <v>0.53</v>
      </c>
      <c r="CB4937">
        <v>0.53</v>
      </c>
      <c r="CC4937">
        <v>0.31</v>
      </c>
      <c r="CD4937">
        <v>-0.02</v>
      </c>
      <c r="CE4937">
        <v>0.66</v>
      </c>
      <c r="CF4937">
        <v>0.43</v>
      </c>
      <c r="CG4937">
        <v>0</v>
      </c>
      <c r="CH4937">
        <v>-0.65</v>
      </c>
      <c r="CI4937">
        <v>0</v>
      </c>
      <c r="CJ4937">
        <v>-2.2000000000000002</v>
      </c>
      <c r="CK4937">
        <v>95</v>
      </c>
      <c r="CL4937">
        <v>-0.72</v>
      </c>
      <c r="CM4937">
        <v>94</v>
      </c>
      <c r="CN4937">
        <v>-0.33</v>
      </c>
      <c r="CO4937">
        <v>93</v>
      </c>
      <c r="CP4937">
        <v>-2.4</v>
      </c>
      <c r="CQ4937">
        <v>92</v>
      </c>
      <c r="CR4937">
        <v>0</v>
      </c>
      <c r="CS4937">
        <v>0</v>
      </c>
      <c r="CT4937">
        <v>7.4</v>
      </c>
      <c r="CU4937">
        <v>87</v>
      </c>
      <c r="CV4937">
        <v>0.1</v>
      </c>
      <c r="CW4937">
        <v>45</v>
      </c>
      <c r="CX4937" t="s">
        <v>2855</v>
      </c>
    </row>
    <row r="4938" spans="1:102" x14ac:dyDescent="0.3">
      <c r="A4938" t="str">
        <f>HYPERLINK("https://webapp.icbf.com/v2/app/bull-search/view/77856487","KHJ")</f>
        <v>KHJ</v>
      </c>
      <c r="B4938" t="s">
        <v>11033</v>
      </c>
      <c r="C4938" t="s">
        <v>11034</v>
      </c>
      <c r="D4938" s="1">
        <v>34838</v>
      </c>
      <c r="E4938" t="s">
        <v>92</v>
      </c>
      <c r="F4938">
        <v>100</v>
      </c>
      <c r="G4938" t="s">
        <v>93</v>
      </c>
      <c r="H4938">
        <v>-231.55</v>
      </c>
      <c r="I4938">
        <v>94</v>
      </c>
      <c r="J4938">
        <v>35.22</v>
      </c>
      <c r="K4938">
        <v>99</v>
      </c>
      <c r="L4938">
        <v>-173.66</v>
      </c>
      <c r="M4938">
        <v>89</v>
      </c>
      <c r="N4938">
        <v>-69.400000000000006</v>
      </c>
      <c r="O4938">
        <v>93</v>
      </c>
      <c r="P4938">
        <v>-8.49</v>
      </c>
      <c r="Q4938">
        <v>98</v>
      </c>
      <c r="R4938">
        <v>-23.24</v>
      </c>
      <c r="S4938">
        <v>88</v>
      </c>
      <c r="T4938">
        <v>18.41</v>
      </c>
      <c r="U4938">
        <v>95</v>
      </c>
      <c r="V4938">
        <v>-10.39</v>
      </c>
      <c r="W4938">
        <v>84</v>
      </c>
      <c r="X4938" t="s">
        <v>94</v>
      </c>
      <c r="Y4938" t="s">
        <v>95</v>
      </c>
      <c r="Z4938" t="s">
        <v>96</v>
      </c>
      <c r="AA4938" t="s">
        <v>105</v>
      </c>
      <c r="AB4938" t="s">
        <v>11035</v>
      </c>
      <c r="AC4938">
        <v>366</v>
      </c>
      <c r="AD4938">
        <v>225</v>
      </c>
      <c r="AE4938">
        <v>99</v>
      </c>
      <c r="AF4938">
        <v>-59.74</v>
      </c>
      <c r="AG4938">
        <v>7.9</v>
      </c>
      <c r="AH4938">
        <v>2.2799999999999998</v>
      </c>
      <c r="AI4938">
        <v>0.18</v>
      </c>
      <c r="AJ4938">
        <v>0.08</v>
      </c>
      <c r="AK4938">
        <v>89</v>
      </c>
      <c r="AL4938">
        <v>420</v>
      </c>
      <c r="AM4938">
        <v>240</v>
      </c>
      <c r="AN4938">
        <v>9.39</v>
      </c>
      <c r="AO4938">
        <v>-4.46</v>
      </c>
      <c r="AP4938">
        <v>346</v>
      </c>
      <c r="AQ4938">
        <v>0</v>
      </c>
      <c r="AR4938">
        <v>12.69</v>
      </c>
      <c r="AS4938">
        <v>83</v>
      </c>
      <c r="AT4938">
        <v>5.58</v>
      </c>
      <c r="AU4938">
        <v>93</v>
      </c>
      <c r="AV4938">
        <v>1.72</v>
      </c>
      <c r="AW4938">
        <v>98</v>
      </c>
      <c r="AX4938">
        <v>-0.06</v>
      </c>
      <c r="AY4938">
        <v>94</v>
      </c>
      <c r="AZ4938">
        <v>8.67</v>
      </c>
      <c r="BA4938">
        <v>79</v>
      </c>
      <c r="BB4938">
        <v>6.24</v>
      </c>
      <c r="BC4938">
        <v>84</v>
      </c>
      <c r="BD4938">
        <v>0.11</v>
      </c>
      <c r="BE4938">
        <v>0.09</v>
      </c>
      <c r="BF4938">
        <v>0.18</v>
      </c>
      <c r="BG4938">
        <v>96</v>
      </c>
      <c r="BH4938">
        <v>-0.12</v>
      </c>
      <c r="BI4938">
        <v>19.63</v>
      </c>
      <c r="BJ4938">
        <v>30</v>
      </c>
      <c r="BK4938">
        <v>25</v>
      </c>
      <c r="BL4938">
        <v>-0.43</v>
      </c>
      <c r="BM4938">
        <v>-1.42</v>
      </c>
      <c r="BN4938">
        <v>0.22</v>
      </c>
      <c r="BO4938">
        <v>0.64</v>
      </c>
      <c r="BP4938">
        <v>-0.57999999999999996</v>
      </c>
      <c r="BQ4938">
        <v>-2.42</v>
      </c>
      <c r="BR4938">
        <v>-1.66</v>
      </c>
      <c r="BS4938">
        <v>-1.1299999999999999</v>
      </c>
      <c r="BT4938">
        <v>1.68</v>
      </c>
      <c r="BU4938">
        <v>-0.52</v>
      </c>
      <c r="BV4938">
        <v>0.38</v>
      </c>
      <c r="BW4938">
        <v>-0.18</v>
      </c>
      <c r="BX4938">
        <v>-1.45</v>
      </c>
      <c r="BY4938">
        <v>0.53</v>
      </c>
      <c r="BZ4938">
        <v>1.39</v>
      </c>
      <c r="CA4938">
        <v>0.32</v>
      </c>
      <c r="CB4938">
        <v>0.35</v>
      </c>
      <c r="CC4938">
        <v>0.06</v>
      </c>
      <c r="CD4938">
        <v>-1.42</v>
      </c>
      <c r="CE4938">
        <v>1.1499999999999999</v>
      </c>
      <c r="CF4938">
        <v>-0.3</v>
      </c>
      <c r="CG4938">
        <v>0</v>
      </c>
      <c r="CH4938">
        <v>0.47</v>
      </c>
      <c r="CI4938">
        <v>0</v>
      </c>
      <c r="CJ4938">
        <v>-2.9</v>
      </c>
      <c r="CK4938">
        <v>98</v>
      </c>
      <c r="CL4938">
        <v>-0.69</v>
      </c>
      <c r="CM4938">
        <v>98</v>
      </c>
      <c r="CN4938">
        <v>-0.39</v>
      </c>
      <c r="CO4938">
        <v>97</v>
      </c>
      <c r="CP4938">
        <v>-12.9</v>
      </c>
      <c r="CQ4938">
        <v>97</v>
      </c>
      <c r="CR4938">
        <v>0</v>
      </c>
      <c r="CS4938">
        <v>0</v>
      </c>
      <c r="CT4938">
        <v>-11.1</v>
      </c>
      <c r="CU4938">
        <v>95</v>
      </c>
      <c r="CV4938">
        <v>0.16</v>
      </c>
      <c r="CW4938">
        <v>45</v>
      </c>
      <c r="CX4938" t="s">
        <v>161</v>
      </c>
    </row>
    <row r="4939" spans="1:102" x14ac:dyDescent="0.3">
      <c r="A4939" t="str">
        <f>HYPERLINK("https://webapp.icbf.com/v2/app/bull-search/view/77858932","CJD")</f>
        <v>CJD</v>
      </c>
      <c r="B4939" t="s">
        <v>3968</v>
      </c>
      <c r="C4939" t="s">
        <v>3969</v>
      </c>
      <c r="D4939" s="1">
        <v>34337</v>
      </c>
      <c r="E4939" t="s">
        <v>92</v>
      </c>
      <c r="F4939">
        <v>100</v>
      </c>
      <c r="G4939" t="s">
        <v>116</v>
      </c>
      <c r="H4939">
        <v>-231.72</v>
      </c>
      <c r="I4939">
        <v>37</v>
      </c>
      <c r="J4939">
        <v>-21.8</v>
      </c>
      <c r="K4939">
        <v>26</v>
      </c>
      <c r="L4939">
        <v>-152.58000000000001</v>
      </c>
      <c r="M4939">
        <v>38</v>
      </c>
      <c r="N4939">
        <v>-48.94</v>
      </c>
      <c r="O4939">
        <v>46</v>
      </c>
      <c r="P4939">
        <v>-6.65</v>
      </c>
      <c r="Q4939">
        <v>50</v>
      </c>
      <c r="R4939">
        <v>-13.96</v>
      </c>
      <c r="S4939">
        <v>39</v>
      </c>
      <c r="T4939">
        <v>12.64</v>
      </c>
      <c r="U4939">
        <v>50</v>
      </c>
      <c r="V4939">
        <v>-0.43</v>
      </c>
      <c r="W4939">
        <v>32</v>
      </c>
      <c r="X4939" t="s">
        <v>94</v>
      </c>
      <c r="Y4939" t="s">
        <v>3298</v>
      </c>
      <c r="Z4939" t="s">
        <v>96</v>
      </c>
      <c r="AA4939" t="s">
        <v>682</v>
      </c>
      <c r="AB4939" t="s">
        <v>3970</v>
      </c>
      <c r="AC4939">
        <v>3</v>
      </c>
      <c r="AD4939">
        <v>3</v>
      </c>
      <c r="AE4939">
        <v>26</v>
      </c>
      <c r="AF4939">
        <v>-23.22</v>
      </c>
      <c r="AG4939">
        <v>2.5099999999999998</v>
      </c>
      <c r="AH4939">
        <v>-4.95</v>
      </c>
      <c r="AI4939">
        <v>0.06</v>
      </c>
      <c r="AJ4939">
        <v>-7.0000000000000007E-2</v>
      </c>
      <c r="AK4939">
        <v>38</v>
      </c>
      <c r="AL4939">
        <v>10</v>
      </c>
      <c r="AM4939">
        <v>8</v>
      </c>
      <c r="AN4939">
        <v>8.93</v>
      </c>
      <c r="AO4939">
        <v>-3.23</v>
      </c>
      <c r="AP4939">
        <v>13</v>
      </c>
      <c r="AQ4939">
        <v>7</v>
      </c>
      <c r="AR4939">
        <v>12.27</v>
      </c>
      <c r="AS4939">
        <v>36</v>
      </c>
      <c r="AT4939">
        <v>6.39</v>
      </c>
      <c r="AU4939">
        <v>39</v>
      </c>
      <c r="AV4939">
        <v>-0.4</v>
      </c>
      <c r="AW4939">
        <v>57</v>
      </c>
      <c r="AX4939">
        <v>0.08</v>
      </c>
      <c r="AY4939">
        <v>52</v>
      </c>
      <c r="AZ4939">
        <v>6.33</v>
      </c>
      <c r="BA4939">
        <v>29</v>
      </c>
      <c r="BB4939">
        <v>4.37</v>
      </c>
      <c r="BC4939">
        <v>30</v>
      </c>
      <c r="BD4939">
        <v>0.06</v>
      </c>
      <c r="BE4939">
        <v>0.09</v>
      </c>
      <c r="BF4939">
        <v>0.05</v>
      </c>
      <c r="BG4939">
        <v>47</v>
      </c>
      <c r="BH4939">
        <v>0.11</v>
      </c>
      <c r="BI4939">
        <v>14.12</v>
      </c>
      <c r="BJ4939">
        <v>0</v>
      </c>
      <c r="BK4939">
        <v>0</v>
      </c>
      <c r="BL4939">
        <v>0.98</v>
      </c>
      <c r="BM4939">
        <v>-1.1200000000000001</v>
      </c>
      <c r="BN4939">
        <v>0.83</v>
      </c>
      <c r="BO4939">
        <v>1.3</v>
      </c>
      <c r="BP4939">
        <v>0.2</v>
      </c>
      <c r="BQ4939">
        <v>0.05</v>
      </c>
      <c r="BR4939">
        <v>-0.81</v>
      </c>
      <c r="BS4939">
        <v>0.85</v>
      </c>
      <c r="BT4939">
        <v>1.3</v>
      </c>
      <c r="BU4939">
        <v>1.1599999999999999</v>
      </c>
      <c r="BV4939">
        <v>1.22</v>
      </c>
      <c r="BW4939">
        <v>0.93</v>
      </c>
      <c r="BX4939">
        <v>1.29</v>
      </c>
      <c r="BY4939">
        <v>-0.08</v>
      </c>
      <c r="BZ4939">
        <v>0.47</v>
      </c>
      <c r="CA4939">
        <v>1.32</v>
      </c>
      <c r="CB4939">
        <v>1.05</v>
      </c>
      <c r="CC4939">
        <v>1.37</v>
      </c>
      <c r="CD4939">
        <v>-1.51</v>
      </c>
      <c r="CE4939">
        <v>1.1100000000000001</v>
      </c>
      <c r="CF4939">
        <v>0.97</v>
      </c>
      <c r="CG4939">
        <v>0</v>
      </c>
      <c r="CH4939">
        <v>-0.08</v>
      </c>
      <c r="CI4939">
        <v>0</v>
      </c>
      <c r="CJ4939">
        <v>-3</v>
      </c>
      <c r="CK4939">
        <v>52</v>
      </c>
      <c r="CL4939">
        <v>-0.65</v>
      </c>
      <c r="CM4939">
        <v>47</v>
      </c>
      <c r="CN4939">
        <v>-0.42</v>
      </c>
      <c r="CO4939">
        <v>44</v>
      </c>
      <c r="CP4939">
        <v>-4.8</v>
      </c>
      <c r="CQ4939">
        <v>49</v>
      </c>
      <c r="CR4939">
        <v>0</v>
      </c>
      <c r="CS4939">
        <v>0</v>
      </c>
      <c r="CT4939">
        <v>-3.3</v>
      </c>
      <c r="CU4939">
        <v>50</v>
      </c>
      <c r="CV4939">
        <v>0.08</v>
      </c>
      <c r="CW4939">
        <v>14</v>
      </c>
      <c r="CX4939" t="s">
        <v>111</v>
      </c>
    </row>
    <row r="4940" spans="1:102" x14ac:dyDescent="0.3">
      <c r="A4940" t="str">
        <f>HYPERLINK("https://webapp.icbf.com/v2/app/bull-search/view/77859100","CPO")</f>
        <v>CPO</v>
      </c>
      <c r="B4940" t="s">
        <v>8585</v>
      </c>
      <c r="C4940" t="s">
        <v>8586</v>
      </c>
      <c r="D4940" s="1">
        <v>32413</v>
      </c>
      <c r="E4940" t="s">
        <v>92</v>
      </c>
      <c r="F4940">
        <v>100</v>
      </c>
      <c r="G4940" t="s">
        <v>93</v>
      </c>
      <c r="H4940">
        <v>-232.45</v>
      </c>
      <c r="I4940">
        <v>84</v>
      </c>
      <c r="J4940">
        <v>-5.69</v>
      </c>
      <c r="K4940">
        <v>95</v>
      </c>
      <c r="L4940">
        <v>-173.35</v>
      </c>
      <c r="M4940">
        <v>87</v>
      </c>
      <c r="N4940">
        <v>-38.270000000000003</v>
      </c>
      <c r="O4940">
        <v>69</v>
      </c>
      <c r="P4940">
        <v>-19.86</v>
      </c>
      <c r="Q4940">
        <v>73</v>
      </c>
      <c r="R4940">
        <v>-16.32</v>
      </c>
      <c r="S4940">
        <v>79</v>
      </c>
      <c r="T4940">
        <v>19.45</v>
      </c>
      <c r="U4940">
        <v>74</v>
      </c>
      <c r="V4940">
        <v>1.59</v>
      </c>
      <c r="W4940">
        <v>63</v>
      </c>
      <c r="X4940" t="s">
        <v>558</v>
      </c>
      <c r="Y4940" t="s">
        <v>95</v>
      </c>
      <c r="Z4940" t="s">
        <v>96</v>
      </c>
      <c r="AA4940" t="s">
        <v>914</v>
      </c>
      <c r="AB4940" t="s">
        <v>8587</v>
      </c>
      <c r="AC4940">
        <v>52</v>
      </c>
      <c r="AD4940">
        <v>36</v>
      </c>
      <c r="AE4940">
        <v>95</v>
      </c>
      <c r="AF4940">
        <v>-85.87</v>
      </c>
      <c r="AG4940">
        <v>10.51</v>
      </c>
      <c r="AH4940">
        <v>-6</v>
      </c>
      <c r="AI4940">
        <v>0.25</v>
      </c>
      <c r="AJ4940">
        <v>-0.06</v>
      </c>
      <c r="AK4940">
        <v>87</v>
      </c>
      <c r="AL4940">
        <v>74</v>
      </c>
      <c r="AM4940">
        <v>43</v>
      </c>
      <c r="AN4940">
        <v>9.01</v>
      </c>
      <c r="AO4940">
        <v>-4.82</v>
      </c>
      <c r="AP4940">
        <v>8</v>
      </c>
      <c r="AQ4940">
        <v>0</v>
      </c>
      <c r="AR4940">
        <v>10.4</v>
      </c>
      <c r="AS4940">
        <v>58</v>
      </c>
      <c r="AT4940">
        <v>5.58</v>
      </c>
      <c r="AU4940">
        <v>80</v>
      </c>
      <c r="AV4940">
        <v>-0.02</v>
      </c>
      <c r="AW4940">
        <v>69</v>
      </c>
      <c r="AX4940">
        <v>-0.28000000000000003</v>
      </c>
      <c r="AY4940">
        <v>74</v>
      </c>
      <c r="AZ4940">
        <v>6.89</v>
      </c>
      <c r="BA4940">
        <v>50</v>
      </c>
      <c r="BB4940">
        <v>5.47</v>
      </c>
      <c r="BC4940">
        <v>58</v>
      </c>
      <c r="BD4940">
        <v>0.02</v>
      </c>
      <c r="BE4940">
        <v>0.08</v>
      </c>
      <c r="BF4940">
        <v>0.19</v>
      </c>
      <c r="BG4940">
        <v>93</v>
      </c>
      <c r="BH4940">
        <v>0.04</v>
      </c>
      <c r="BI4940">
        <v>-0.49</v>
      </c>
      <c r="BJ4940">
        <v>15</v>
      </c>
      <c r="BK4940">
        <v>10</v>
      </c>
      <c r="BL4940">
        <v>0.9</v>
      </c>
      <c r="BM4940">
        <v>-0.75</v>
      </c>
      <c r="BN4940">
        <v>2.68</v>
      </c>
      <c r="BO4940">
        <v>2.33</v>
      </c>
      <c r="BP4940">
        <v>0.12</v>
      </c>
      <c r="BQ4940">
        <v>0.37</v>
      </c>
      <c r="BR4940">
        <v>3.42</v>
      </c>
      <c r="BS4940">
        <v>-1.61</v>
      </c>
      <c r="BT4940">
        <v>-1.34</v>
      </c>
      <c r="BU4940">
        <v>-1</v>
      </c>
      <c r="BV4940">
        <v>-0.48</v>
      </c>
      <c r="BW4940">
        <v>1.89</v>
      </c>
      <c r="BX4940">
        <v>-1.82</v>
      </c>
      <c r="BY4940">
        <v>-0.55000000000000004</v>
      </c>
      <c r="BZ4940">
        <v>2.81</v>
      </c>
      <c r="CA4940">
        <v>-0.35</v>
      </c>
      <c r="CB4940">
        <v>-0.13</v>
      </c>
      <c r="CC4940">
        <v>-0.56999999999999995</v>
      </c>
      <c r="CD4940">
        <v>-2.94</v>
      </c>
      <c r="CE4940">
        <v>1.7</v>
      </c>
      <c r="CF4940">
        <v>2.12</v>
      </c>
      <c r="CG4940">
        <v>0</v>
      </c>
      <c r="CH4940">
        <v>-0.61</v>
      </c>
      <c r="CI4940">
        <v>0</v>
      </c>
      <c r="CJ4940">
        <v>-9.1999999999999993</v>
      </c>
      <c r="CK4940">
        <v>74</v>
      </c>
      <c r="CL4940">
        <v>-1.1299999999999999</v>
      </c>
      <c r="CM4940">
        <v>72</v>
      </c>
      <c r="CN4940">
        <v>-0.51</v>
      </c>
      <c r="CO4940">
        <v>68</v>
      </c>
      <c r="CP4940">
        <v>-9.8000000000000007</v>
      </c>
      <c r="CQ4940">
        <v>82</v>
      </c>
      <c r="CR4940">
        <v>0</v>
      </c>
      <c r="CS4940">
        <v>0</v>
      </c>
      <c r="CT4940">
        <v>-12.5</v>
      </c>
      <c r="CU4940">
        <v>74</v>
      </c>
      <c r="CV4940">
        <v>0.12</v>
      </c>
      <c r="CW4940">
        <v>40</v>
      </c>
      <c r="CX4940" t="s">
        <v>154</v>
      </c>
    </row>
    <row r="4941" spans="1:102" x14ac:dyDescent="0.3">
      <c r="A4941" t="str">
        <f>HYPERLINK("https://webapp.icbf.com/v2/app/bull-search/view/77857300","GWP")</f>
        <v>GWP</v>
      </c>
      <c r="B4941" t="s">
        <v>2822</v>
      </c>
      <c r="C4941" t="s">
        <v>2823</v>
      </c>
      <c r="D4941" s="1">
        <v>35873</v>
      </c>
      <c r="E4941" t="s">
        <v>92</v>
      </c>
      <c r="F4941">
        <v>100</v>
      </c>
      <c r="G4941" t="s">
        <v>93</v>
      </c>
      <c r="H4941">
        <v>-232.46</v>
      </c>
      <c r="I4941">
        <v>86</v>
      </c>
      <c r="J4941">
        <v>-14.58</v>
      </c>
      <c r="K4941">
        <v>98</v>
      </c>
      <c r="L4941">
        <v>-184.44</v>
      </c>
      <c r="M4941">
        <v>77</v>
      </c>
      <c r="N4941">
        <v>-20.03</v>
      </c>
      <c r="O4941">
        <v>81</v>
      </c>
      <c r="P4941">
        <v>0.3</v>
      </c>
      <c r="Q4941">
        <v>93</v>
      </c>
      <c r="R4941">
        <v>-3.31</v>
      </c>
      <c r="S4941">
        <v>77</v>
      </c>
      <c r="T4941">
        <v>-2.0099999999999998</v>
      </c>
      <c r="U4941">
        <v>90</v>
      </c>
      <c r="V4941">
        <v>-8.39</v>
      </c>
      <c r="W4941">
        <v>55</v>
      </c>
      <c r="X4941" t="s">
        <v>94</v>
      </c>
      <c r="Y4941" t="s">
        <v>95</v>
      </c>
      <c r="Z4941" t="s">
        <v>96</v>
      </c>
      <c r="AA4941" t="s">
        <v>2824</v>
      </c>
      <c r="AB4941" t="s">
        <v>2825</v>
      </c>
      <c r="AC4941">
        <v>209</v>
      </c>
      <c r="AD4941">
        <v>182</v>
      </c>
      <c r="AE4941">
        <v>98</v>
      </c>
      <c r="AF4941">
        <v>121.88</v>
      </c>
      <c r="AG4941">
        <v>-6.09</v>
      </c>
      <c r="AH4941">
        <v>1.54</v>
      </c>
      <c r="AI4941">
        <v>-0.18</v>
      </c>
      <c r="AJ4941">
        <v>-0.04</v>
      </c>
      <c r="AK4941">
        <v>77</v>
      </c>
      <c r="AL4941">
        <v>218</v>
      </c>
      <c r="AM4941">
        <v>170</v>
      </c>
      <c r="AN4941">
        <v>9.17</v>
      </c>
      <c r="AO4941">
        <v>-5.55</v>
      </c>
      <c r="AP4941">
        <v>26</v>
      </c>
      <c r="AQ4941">
        <v>0</v>
      </c>
      <c r="AR4941">
        <v>11.36</v>
      </c>
      <c r="AS4941">
        <v>68</v>
      </c>
      <c r="AT4941">
        <v>4.74</v>
      </c>
      <c r="AU4941">
        <v>77</v>
      </c>
      <c r="AV4941">
        <v>-1.47</v>
      </c>
      <c r="AW4941">
        <v>88</v>
      </c>
      <c r="AX4941">
        <v>-0.22</v>
      </c>
      <c r="AY4941">
        <v>87</v>
      </c>
      <c r="AZ4941">
        <v>7.62</v>
      </c>
      <c r="BA4941">
        <v>71</v>
      </c>
      <c r="BB4941">
        <v>5.29</v>
      </c>
      <c r="BC4941">
        <v>73</v>
      </c>
      <c r="BD4941">
        <v>0.03</v>
      </c>
      <c r="BE4941">
        <v>0.04</v>
      </c>
      <c r="BF4941">
        <v>-0.05</v>
      </c>
      <c r="BG4941">
        <v>91</v>
      </c>
      <c r="BH4941">
        <v>-0.19</v>
      </c>
      <c r="BI4941">
        <v>5.09</v>
      </c>
      <c r="BJ4941">
        <v>31</v>
      </c>
      <c r="BK4941">
        <v>21</v>
      </c>
      <c r="BL4941">
        <v>0.09</v>
      </c>
      <c r="BM4941">
        <v>2.0099999999999998</v>
      </c>
      <c r="BN4941">
        <v>1.48</v>
      </c>
      <c r="BO4941">
        <v>-0.38</v>
      </c>
      <c r="BP4941">
        <v>0.2</v>
      </c>
      <c r="BQ4941">
        <v>0.46</v>
      </c>
      <c r="BR4941">
        <v>0.53</v>
      </c>
      <c r="BS4941">
        <v>-0.77</v>
      </c>
      <c r="BT4941">
        <v>-0.14000000000000001</v>
      </c>
      <c r="BU4941">
        <v>-0.91</v>
      </c>
      <c r="BV4941">
        <v>-1.07</v>
      </c>
      <c r="BW4941">
        <v>-1.31</v>
      </c>
      <c r="BX4941">
        <v>-2.23</v>
      </c>
      <c r="BY4941">
        <v>-0.27</v>
      </c>
      <c r="BZ4941">
        <v>0.28000000000000003</v>
      </c>
      <c r="CA4941">
        <v>-0.79</v>
      </c>
      <c r="CB4941">
        <v>-0.93</v>
      </c>
      <c r="CC4941">
        <v>0.02</v>
      </c>
      <c r="CD4941">
        <v>1.4</v>
      </c>
      <c r="CE4941">
        <v>7.0000000000000007E-2</v>
      </c>
      <c r="CF4941">
        <v>0.52</v>
      </c>
      <c r="CG4941">
        <v>0</v>
      </c>
      <c r="CH4941">
        <v>0.38</v>
      </c>
      <c r="CI4941">
        <v>0</v>
      </c>
      <c r="CJ4941">
        <v>1</v>
      </c>
      <c r="CK4941">
        <v>94</v>
      </c>
      <c r="CL4941">
        <v>-0.33</v>
      </c>
      <c r="CM4941">
        <v>92</v>
      </c>
      <c r="CN4941">
        <v>-0.22</v>
      </c>
      <c r="CO4941">
        <v>91</v>
      </c>
      <c r="CP4941">
        <v>-1.7</v>
      </c>
      <c r="CQ4941">
        <v>95</v>
      </c>
      <c r="CR4941">
        <v>0</v>
      </c>
      <c r="CS4941">
        <v>0</v>
      </c>
      <c r="CT4941">
        <v>16.5</v>
      </c>
      <c r="CU4941">
        <v>90</v>
      </c>
      <c r="CV4941">
        <v>0.13</v>
      </c>
      <c r="CW4941">
        <v>27</v>
      </c>
      <c r="CX4941" t="s">
        <v>485</v>
      </c>
    </row>
    <row r="4942" spans="1:102" x14ac:dyDescent="0.3">
      <c r="A4942" t="str">
        <f>HYPERLINK("https://webapp.icbf.com/v2/app/bull-search/view/77853517","SUM")</f>
        <v>SUM</v>
      </c>
      <c r="B4942" t="s">
        <v>3142</v>
      </c>
      <c r="C4942" t="s">
        <v>3143</v>
      </c>
      <c r="D4942" s="1">
        <v>33948</v>
      </c>
      <c r="E4942" t="s">
        <v>92</v>
      </c>
      <c r="F4942">
        <v>100</v>
      </c>
      <c r="G4942" t="s">
        <v>93</v>
      </c>
      <c r="H4942">
        <v>-233.08</v>
      </c>
      <c r="I4942">
        <v>96</v>
      </c>
      <c r="J4942">
        <v>-18.64</v>
      </c>
      <c r="K4942">
        <v>99</v>
      </c>
      <c r="L4942">
        <v>-179.94</v>
      </c>
      <c r="M4942">
        <v>95</v>
      </c>
      <c r="N4942">
        <v>-16.57</v>
      </c>
      <c r="O4942">
        <v>96</v>
      </c>
      <c r="P4942">
        <v>-5.16</v>
      </c>
      <c r="Q4942">
        <v>99</v>
      </c>
      <c r="R4942">
        <v>-15.85</v>
      </c>
      <c r="S4942">
        <v>92</v>
      </c>
      <c r="T4942">
        <v>2.8</v>
      </c>
      <c r="U4942">
        <v>95</v>
      </c>
      <c r="V4942">
        <v>0.28000000000000003</v>
      </c>
      <c r="W4942">
        <v>89</v>
      </c>
      <c r="X4942" t="s">
        <v>94</v>
      </c>
      <c r="Y4942" t="s">
        <v>95</v>
      </c>
      <c r="Z4942" t="s">
        <v>96</v>
      </c>
      <c r="AA4942" t="s">
        <v>485</v>
      </c>
      <c r="AB4942" t="s">
        <v>3144</v>
      </c>
      <c r="AC4942">
        <v>812</v>
      </c>
      <c r="AD4942">
        <v>251</v>
      </c>
      <c r="AE4942">
        <v>99</v>
      </c>
      <c r="AF4942">
        <v>376.38</v>
      </c>
      <c r="AG4942">
        <v>0.85</v>
      </c>
      <c r="AH4942">
        <v>2.29</v>
      </c>
      <c r="AI4942">
        <v>-0.23</v>
      </c>
      <c r="AJ4942">
        <v>-0.17</v>
      </c>
      <c r="AK4942">
        <v>95</v>
      </c>
      <c r="AL4942">
        <v>727</v>
      </c>
      <c r="AM4942">
        <v>239</v>
      </c>
      <c r="AN4942">
        <v>8.2799999999999994</v>
      </c>
      <c r="AO4942">
        <v>-6.09</v>
      </c>
      <c r="AP4942">
        <v>1001</v>
      </c>
      <c r="AQ4942">
        <v>1</v>
      </c>
      <c r="AR4942">
        <v>10.81</v>
      </c>
      <c r="AS4942">
        <v>91</v>
      </c>
      <c r="AT4942">
        <v>4.7</v>
      </c>
      <c r="AU4942">
        <v>97</v>
      </c>
      <c r="AV4942">
        <v>-1.05</v>
      </c>
      <c r="AW4942">
        <v>99</v>
      </c>
      <c r="AX4942">
        <v>0.06</v>
      </c>
      <c r="AY4942">
        <v>96</v>
      </c>
      <c r="AZ4942">
        <v>6.64</v>
      </c>
      <c r="BA4942">
        <v>90</v>
      </c>
      <c r="BB4942">
        <v>4.58</v>
      </c>
      <c r="BC4942">
        <v>91</v>
      </c>
      <c r="BD4942">
        <v>0.08</v>
      </c>
      <c r="BE4942">
        <v>0.09</v>
      </c>
      <c r="BF4942">
        <v>0.06</v>
      </c>
      <c r="BG4942">
        <v>98</v>
      </c>
      <c r="BH4942">
        <v>0.11</v>
      </c>
      <c r="BI4942">
        <v>11.81</v>
      </c>
      <c r="BJ4942">
        <v>91</v>
      </c>
      <c r="BK4942">
        <v>44</v>
      </c>
      <c r="BL4942">
        <v>1.53</v>
      </c>
      <c r="BM4942">
        <v>0.89</v>
      </c>
      <c r="BN4942">
        <v>2.36</v>
      </c>
      <c r="BO4942">
        <v>1.51</v>
      </c>
      <c r="BP4942">
        <v>1.54</v>
      </c>
      <c r="BQ4942">
        <v>1.06</v>
      </c>
      <c r="BR4942">
        <v>1.36</v>
      </c>
      <c r="BS4942">
        <v>-0.41</v>
      </c>
      <c r="BT4942">
        <v>-1.29</v>
      </c>
      <c r="BU4942">
        <v>1.42</v>
      </c>
      <c r="BV4942">
        <v>1.18</v>
      </c>
      <c r="BW4942">
        <v>1.6</v>
      </c>
      <c r="BX4942">
        <v>-0.36</v>
      </c>
      <c r="BY4942">
        <v>2.89</v>
      </c>
      <c r="BZ4942">
        <v>0.5</v>
      </c>
      <c r="CA4942">
        <v>1.56</v>
      </c>
      <c r="CB4942">
        <v>1.93</v>
      </c>
      <c r="CC4942">
        <v>0.54</v>
      </c>
      <c r="CD4942">
        <v>-0.49</v>
      </c>
      <c r="CE4942">
        <v>1.71</v>
      </c>
      <c r="CF4942">
        <v>1.96</v>
      </c>
      <c r="CG4942">
        <v>0</v>
      </c>
      <c r="CH4942">
        <v>3.04</v>
      </c>
      <c r="CI4942">
        <v>0</v>
      </c>
      <c r="CJ4942">
        <v>-0.7</v>
      </c>
      <c r="CK4942">
        <v>99</v>
      </c>
      <c r="CL4942">
        <v>-0.96</v>
      </c>
      <c r="CM4942">
        <v>99</v>
      </c>
      <c r="CN4942">
        <v>-0.54</v>
      </c>
      <c r="CO4942">
        <v>98</v>
      </c>
      <c r="CP4942">
        <v>-4.0999999999999996</v>
      </c>
      <c r="CQ4942">
        <v>98</v>
      </c>
      <c r="CR4942">
        <v>0</v>
      </c>
      <c r="CS4942">
        <v>0</v>
      </c>
      <c r="CT4942">
        <v>10</v>
      </c>
      <c r="CU4942">
        <v>95</v>
      </c>
      <c r="CV4942">
        <v>0.22</v>
      </c>
      <c r="CW4942">
        <v>47</v>
      </c>
      <c r="CX4942" t="s">
        <v>111</v>
      </c>
    </row>
    <row r="4943" spans="1:102" x14ac:dyDescent="0.3">
      <c r="A4943" t="str">
        <f>HYPERLINK("https://webapp.icbf.com/v2/app/bull-search/view/77859895","BPP")</f>
        <v>BPP</v>
      </c>
      <c r="B4943" t="s">
        <v>6622</v>
      </c>
      <c r="C4943" t="s">
        <v>6623</v>
      </c>
      <c r="D4943" s="1">
        <v>32003</v>
      </c>
      <c r="E4943" t="s">
        <v>92</v>
      </c>
      <c r="F4943">
        <v>100</v>
      </c>
      <c r="G4943" t="s">
        <v>109</v>
      </c>
      <c r="H4943">
        <v>-233.16</v>
      </c>
      <c r="I4943">
        <v>86</v>
      </c>
      <c r="J4943">
        <v>-45.58</v>
      </c>
      <c r="K4943">
        <v>95</v>
      </c>
      <c r="L4943">
        <v>-125.96</v>
      </c>
      <c r="M4943">
        <v>90</v>
      </c>
      <c r="N4943">
        <v>-42.63</v>
      </c>
      <c r="O4943">
        <v>73</v>
      </c>
      <c r="P4943">
        <v>-6.28</v>
      </c>
      <c r="Q4943">
        <v>77</v>
      </c>
      <c r="R4943">
        <v>-12.95</v>
      </c>
      <c r="S4943">
        <v>81</v>
      </c>
      <c r="T4943">
        <v>0.51</v>
      </c>
      <c r="U4943">
        <v>68</v>
      </c>
      <c r="V4943">
        <v>-0.27</v>
      </c>
      <c r="W4943">
        <v>67</v>
      </c>
      <c r="X4943" t="s">
        <v>276</v>
      </c>
      <c r="Y4943" t="s">
        <v>95</v>
      </c>
      <c r="Z4943" t="s">
        <v>96</v>
      </c>
      <c r="AA4943" t="s">
        <v>543</v>
      </c>
      <c r="AB4943" t="s">
        <v>6624</v>
      </c>
      <c r="AC4943">
        <v>33</v>
      </c>
      <c r="AD4943">
        <v>28</v>
      </c>
      <c r="AE4943">
        <v>95</v>
      </c>
      <c r="AF4943">
        <v>416.69</v>
      </c>
      <c r="AG4943">
        <v>-2.67</v>
      </c>
      <c r="AH4943">
        <v>-0.43</v>
      </c>
      <c r="AI4943">
        <v>-0.31</v>
      </c>
      <c r="AJ4943">
        <v>-0.24</v>
      </c>
      <c r="AK4943">
        <v>90</v>
      </c>
      <c r="AL4943">
        <v>42</v>
      </c>
      <c r="AM4943">
        <v>31</v>
      </c>
      <c r="AN4943">
        <v>8.0399999999999991</v>
      </c>
      <c r="AO4943">
        <v>-1.99</v>
      </c>
      <c r="AP4943">
        <v>8</v>
      </c>
      <c r="AQ4943">
        <v>0</v>
      </c>
      <c r="AR4943">
        <v>13.89</v>
      </c>
      <c r="AS4943">
        <v>65</v>
      </c>
      <c r="AT4943">
        <v>4.7300000000000004</v>
      </c>
      <c r="AU4943">
        <v>93</v>
      </c>
      <c r="AV4943">
        <v>0.26</v>
      </c>
      <c r="AW4943">
        <v>67</v>
      </c>
      <c r="AX4943">
        <v>-0.37</v>
      </c>
      <c r="AY4943">
        <v>73</v>
      </c>
      <c r="AZ4943">
        <v>7.13</v>
      </c>
      <c r="BA4943">
        <v>58</v>
      </c>
      <c r="BB4943">
        <v>5.37</v>
      </c>
      <c r="BC4943">
        <v>64</v>
      </c>
      <c r="BD4943">
        <v>0.1</v>
      </c>
      <c r="BE4943">
        <v>0.09</v>
      </c>
      <c r="BF4943">
        <v>-0.04</v>
      </c>
      <c r="BG4943">
        <v>93</v>
      </c>
      <c r="BH4943">
        <v>0.14000000000000001</v>
      </c>
      <c r="BI4943">
        <v>17.05</v>
      </c>
      <c r="BJ4943">
        <v>22</v>
      </c>
      <c r="BK4943">
        <v>17</v>
      </c>
      <c r="BL4943">
        <v>1.41</v>
      </c>
      <c r="BM4943">
        <v>0.32</v>
      </c>
      <c r="BN4943">
        <v>0.59</v>
      </c>
      <c r="BO4943">
        <v>0.22</v>
      </c>
      <c r="BP4943">
        <v>1.49</v>
      </c>
      <c r="BQ4943">
        <v>1.63</v>
      </c>
      <c r="BR4943">
        <v>1.2</v>
      </c>
      <c r="BS4943">
        <v>-2.36</v>
      </c>
      <c r="BT4943">
        <v>-0.04</v>
      </c>
      <c r="BU4943">
        <v>1.93</v>
      </c>
      <c r="BV4943">
        <v>1.1100000000000001</v>
      </c>
      <c r="BW4943">
        <v>1</v>
      </c>
      <c r="BX4943">
        <v>2.41</v>
      </c>
      <c r="BY4943">
        <v>0.02</v>
      </c>
      <c r="BZ4943">
        <v>0.52</v>
      </c>
      <c r="CA4943">
        <v>0.49</v>
      </c>
      <c r="CB4943">
        <v>1.03</v>
      </c>
      <c r="CC4943">
        <v>-0.74</v>
      </c>
      <c r="CD4943">
        <v>0.26</v>
      </c>
      <c r="CE4943">
        <v>0.84</v>
      </c>
      <c r="CF4943">
        <v>1.46</v>
      </c>
      <c r="CG4943">
        <v>0</v>
      </c>
      <c r="CH4943">
        <v>-0.09</v>
      </c>
      <c r="CI4943">
        <v>0</v>
      </c>
      <c r="CJ4943">
        <v>-2.2999999999999998</v>
      </c>
      <c r="CK4943">
        <v>78</v>
      </c>
      <c r="CL4943">
        <v>-0.9</v>
      </c>
      <c r="CM4943">
        <v>76</v>
      </c>
      <c r="CN4943">
        <v>-0.55000000000000004</v>
      </c>
      <c r="CO4943">
        <v>73</v>
      </c>
      <c r="CP4943">
        <v>-1.7</v>
      </c>
      <c r="CQ4943">
        <v>80</v>
      </c>
      <c r="CR4943">
        <v>0</v>
      </c>
      <c r="CS4943">
        <v>0</v>
      </c>
      <c r="CT4943">
        <v>13.1</v>
      </c>
      <c r="CU4943">
        <v>68</v>
      </c>
      <c r="CV4943">
        <v>0.12</v>
      </c>
      <c r="CW4943">
        <v>41</v>
      </c>
      <c r="CX4943" t="s">
        <v>168</v>
      </c>
    </row>
    <row r="4944" spans="1:102" x14ac:dyDescent="0.3">
      <c r="A4944" t="str">
        <f>HYPERLINK("https://webapp.icbf.com/v2/app/bull-search/view/124414673","FIZ")</f>
        <v>FIZ</v>
      </c>
      <c r="B4944" t="s">
        <v>11479</v>
      </c>
      <c r="C4944" t="s">
        <v>2476</v>
      </c>
      <c r="D4944" s="1">
        <v>35126</v>
      </c>
      <c r="E4944" t="s">
        <v>92</v>
      </c>
      <c r="F4944">
        <v>100</v>
      </c>
      <c r="G4944" t="s">
        <v>109</v>
      </c>
      <c r="H4944">
        <v>-233.38</v>
      </c>
      <c r="I4944">
        <v>90</v>
      </c>
      <c r="J4944">
        <v>-24.03</v>
      </c>
      <c r="K4944">
        <v>97</v>
      </c>
      <c r="L4944">
        <v>-176.66</v>
      </c>
      <c r="M4944">
        <v>92</v>
      </c>
      <c r="N4944">
        <v>-26.9</v>
      </c>
      <c r="O4944">
        <v>79</v>
      </c>
      <c r="P4944">
        <v>-3.25</v>
      </c>
      <c r="Q4944">
        <v>82</v>
      </c>
      <c r="R4944">
        <v>-7.71</v>
      </c>
      <c r="S4944">
        <v>83</v>
      </c>
      <c r="T4944">
        <v>1.62</v>
      </c>
      <c r="U4944">
        <v>81</v>
      </c>
      <c r="V4944">
        <v>3.55</v>
      </c>
      <c r="W4944">
        <v>72</v>
      </c>
      <c r="X4944" t="s">
        <v>110</v>
      </c>
      <c r="Y4944" t="s">
        <v>95</v>
      </c>
      <c r="Z4944" t="s">
        <v>96</v>
      </c>
      <c r="AA4944" t="s">
        <v>989</v>
      </c>
      <c r="AB4944" t="s">
        <v>11480</v>
      </c>
      <c r="AC4944">
        <v>39</v>
      </c>
      <c r="AD4944">
        <v>19</v>
      </c>
      <c r="AE4944">
        <v>97</v>
      </c>
      <c r="AF4944">
        <v>804.45</v>
      </c>
      <c r="AG4944">
        <v>3.75</v>
      </c>
      <c r="AH4944">
        <v>6.9</v>
      </c>
      <c r="AI4944">
        <v>-0.42</v>
      </c>
      <c r="AJ4944">
        <v>-0.31</v>
      </c>
      <c r="AK4944">
        <v>92</v>
      </c>
      <c r="AL4944">
        <v>37</v>
      </c>
      <c r="AM4944">
        <v>15</v>
      </c>
      <c r="AN4944">
        <v>11.08</v>
      </c>
      <c r="AO4944">
        <v>-2.99</v>
      </c>
      <c r="AP4944">
        <v>69</v>
      </c>
      <c r="AQ4944">
        <v>0</v>
      </c>
      <c r="AR4944">
        <v>13.61</v>
      </c>
      <c r="AS4944">
        <v>76</v>
      </c>
      <c r="AT4944">
        <v>5.52</v>
      </c>
      <c r="AU4944">
        <v>97</v>
      </c>
      <c r="AV4944">
        <v>-2.42</v>
      </c>
      <c r="AW4944">
        <v>77</v>
      </c>
      <c r="AX4944">
        <v>-0.25</v>
      </c>
      <c r="AY4944">
        <v>74</v>
      </c>
      <c r="AZ4944">
        <v>5.88</v>
      </c>
      <c r="BA4944">
        <v>66</v>
      </c>
      <c r="BB4944">
        <v>4.8499999999999996</v>
      </c>
      <c r="BC4944">
        <v>64</v>
      </c>
      <c r="BD4944">
        <v>0.05</v>
      </c>
      <c r="BE4944">
        <v>0.06</v>
      </c>
      <c r="BF4944">
        <v>-0.02</v>
      </c>
      <c r="BG4944">
        <v>95</v>
      </c>
      <c r="BH4944">
        <v>0.12</v>
      </c>
      <c r="BI4944">
        <v>2.4300000000000002</v>
      </c>
      <c r="BJ4944">
        <v>12</v>
      </c>
      <c r="BK4944">
        <v>8</v>
      </c>
      <c r="BL4944">
        <v>1.47</v>
      </c>
      <c r="BM4944">
        <v>0.84</v>
      </c>
      <c r="BN4944">
        <v>1.29</v>
      </c>
      <c r="BO4944">
        <v>0.84</v>
      </c>
      <c r="BP4944">
        <v>3.08</v>
      </c>
      <c r="BQ4944">
        <v>1.3</v>
      </c>
      <c r="BR4944">
        <v>-1.1100000000000001</v>
      </c>
      <c r="BS4944">
        <v>0.1</v>
      </c>
      <c r="BT4944">
        <v>0.62</v>
      </c>
      <c r="BU4944">
        <v>1.41</v>
      </c>
      <c r="BV4944">
        <v>2.2200000000000002</v>
      </c>
      <c r="BW4944">
        <v>1.1499999999999999</v>
      </c>
      <c r="BX4944">
        <v>0.3</v>
      </c>
      <c r="BY4944">
        <v>0.59</v>
      </c>
      <c r="BZ4944">
        <v>0.44</v>
      </c>
      <c r="CA4944">
        <v>1.07</v>
      </c>
      <c r="CB4944">
        <v>1.24</v>
      </c>
      <c r="CC4944">
        <v>1.21</v>
      </c>
      <c r="CD4944">
        <v>0.23</v>
      </c>
      <c r="CE4944">
        <v>1.08</v>
      </c>
      <c r="CF4944">
        <v>2.27</v>
      </c>
      <c r="CG4944">
        <v>0</v>
      </c>
      <c r="CH4944">
        <v>0.5</v>
      </c>
      <c r="CI4944">
        <v>0</v>
      </c>
      <c r="CJ4944">
        <v>1.2</v>
      </c>
      <c r="CK4944">
        <v>83</v>
      </c>
      <c r="CL4944">
        <v>-1.2</v>
      </c>
      <c r="CM4944">
        <v>81</v>
      </c>
      <c r="CN4944">
        <v>-0.57999999999999996</v>
      </c>
      <c r="CO4944">
        <v>78</v>
      </c>
      <c r="CP4944">
        <v>4.5999999999999996</v>
      </c>
      <c r="CQ4944">
        <v>84</v>
      </c>
      <c r="CR4944">
        <v>0</v>
      </c>
      <c r="CS4944">
        <v>0</v>
      </c>
      <c r="CT4944">
        <v>11.6</v>
      </c>
      <c r="CU4944">
        <v>81</v>
      </c>
      <c r="CV4944">
        <v>0.33</v>
      </c>
      <c r="CW4944">
        <v>42</v>
      </c>
      <c r="CX4944" t="s">
        <v>152</v>
      </c>
    </row>
    <row r="4945" spans="1:102" x14ac:dyDescent="0.3">
      <c r="A4945" t="str">
        <f>HYPERLINK("https://webapp.icbf.com/v2/app/bull-search/view/69092698","SPN")</f>
        <v>SPN</v>
      </c>
      <c r="B4945" t="s">
        <v>3293</v>
      </c>
      <c r="C4945" t="s">
        <v>3294</v>
      </c>
      <c r="D4945" s="1">
        <v>34712</v>
      </c>
      <c r="E4945" t="s">
        <v>92</v>
      </c>
      <c r="F4945">
        <v>100</v>
      </c>
      <c r="G4945" t="s">
        <v>93</v>
      </c>
      <c r="H4945">
        <v>-233.61</v>
      </c>
      <c r="I4945">
        <v>91</v>
      </c>
      <c r="J4945">
        <v>-18.690000000000001</v>
      </c>
      <c r="K4945">
        <v>97</v>
      </c>
      <c r="L4945">
        <v>-140.83000000000001</v>
      </c>
      <c r="M4945">
        <v>90</v>
      </c>
      <c r="N4945">
        <v>-60.88</v>
      </c>
      <c r="O4945">
        <v>85</v>
      </c>
      <c r="P4945">
        <v>-8.58</v>
      </c>
      <c r="Q4945">
        <v>93</v>
      </c>
      <c r="R4945">
        <v>-19.03</v>
      </c>
      <c r="S4945">
        <v>83</v>
      </c>
      <c r="T4945">
        <v>13.31</v>
      </c>
      <c r="U4945">
        <v>86</v>
      </c>
      <c r="V4945">
        <v>1.0900000000000001</v>
      </c>
      <c r="W4945">
        <v>71</v>
      </c>
      <c r="X4945" t="s">
        <v>558</v>
      </c>
      <c r="Y4945" t="s">
        <v>95</v>
      </c>
      <c r="Z4945" t="s">
        <v>96</v>
      </c>
      <c r="AA4945" t="s">
        <v>190</v>
      </c>
      <c r="AB4945" t="s">
        <v>3295</v>
      </c>
      <c r="AC4945">
        <v>103</v>
      </c>
      <c r="AD4945">
        <v>66</v>
      </c>
      <c r="AE4945">
        <v>97</v>
      </c>
      <c r="AF4945">
        <v>105.67</v>
      </c>
      <c r="AG4945">
        <v>-2.1800000000000002</v>
      </c>
      <c r="AH4945">
        <v>-0.79</v>
      </c>
      <c r="AI4945">
        <v>-0.11</v>
      </c>
      <c r="AJ4945">
        <v>-0.08</v>
      </c>
      <c r="AK4945">
        <v>90</v>
      </c>
      <c r="AL4945">
        <v>89</v>
      </c>
      <c r="AM4945">
        <v>54</v>
      </c>
      <c r="AN4945">
        <v>7.77</v>
      </c>
      <c r="AO4945">
        <v>-3.46</v>
      </c>
      <c r="AP4945">
        <v>150</v>
      </c>
      <c r="AQ4945">
        <v>0</v>
      </c>
      <c r="AR4945">
        <v>11.98</v>
      </c>
      <c r="AS4945">
        <v>77</v>
      </c>
      <c r="AT4945">
        <v>5.72</v>
      </c>
      <c r="AU4945">
        <v>92</v>
      </c>
      <c r="AV4945">
        <v>1.85</v>
      </c>
      <c r="AW4945">
        <v>89</v>
      </c>
      <c r="AX4945">
        <v>0.74</v>
      </c>
      <c r="AY4945">
        <v>84</v>
      </c>
      <c r="AZ4945">
        <v>7.26</v>
      </c>
      <c r="BA4945">
        <v>69</v>
      </c>
      <c r="BB4945">
        <v>4.7699999999999996</v>
      </c>
      <c r="BC4945">
        <v>71</v>
      </c>
      <c r="BD4945">
        <v>7.0000000000000007E-2</v>
      </c>
      <c r="BE4945">
        <v>0.09</v>
      </c>
      <c r="BF4945">
        <v>0.15</v>
      </c>
      <c r="BG4945">
        <v>95</v>
      </c>
      <c r="BH4945">
        <v>0.04</v>
      </c>
      <c r="BI4945">
        <v>1.1100000000000001</v>
      </c>
      <c r="BJ4945">
        <v>33</v>
      </c>
      <c r="BK4945">
        <v>18</v>
      </c>
      <c r="BL4945">
        <v>0.54</v>
      </c>
      <c r="BM4945">
        <v>-1.97</v>
      </c>
      <c r="BN4945">
        <v>-0.2</v>
      </c>
      <c r="BO4945">
        <v>1</v>
      </c>
      <c r="BP4945">
        <v>-3.08</v>
      </c>
      <c r="BQ4945">
        <v>-0.57999999999999996</v>
      </c>
      <c r="BR4945">
        <v>-7.0000000000000007E-2</v>
      </c>
      <c r="BS4945">
        <v>1.1000000000000001</v>
      </c>
      <c r="BT4945">
        <v>0.36</v>
      </c>
      <c r="BU4945">
        <v>0.65</v>
      </c>
      <c r="BV4945">
        <v>0.65</v>
      </c>
      <c r="BW4945">
        <v>0.3</v>
      </c>
      <c r="BX4945">
        <v>0.25</v>
      </c>
      <c r="BY4945">
        <v>0.97</v>
      </c>
      <c r="BZ4945">
        <v>-1.0900000000000001</v>
      </c>
      <c r="CA4945">
        <v>1.19</v>
      </c>
      <c r="CB4945">
        <v>0.95</v>
      </c>
      <c r="CC4945">
        <v>0.89</v>
      </c>
      <c r="CD4945">
        <v>-1.44</v>
      </c>
      <c r="CE4945">
        <v>0.91</v>
      </c>
      <c r="CF4945">
        <v>0.2</v>
      </c>
      <c r="CG4945">
        <v>0</v>
      </c>
      <c r="CH4945">
        <v>1.19</v>
      </c>
      <c r="CI4945">
        <v>0</v>
      </c>
      <c r="CJ4945">
        <v>-3.3</v>
      </c>
      <c r="CK4945">
        <v>93</v>
      </c>
      <c r="CL4945">
        <v>-0.69</v>
      </c>
      <c r="CM4945">
        <v>92</v>
      </c>
      <c r="CN4945">
        <v>-0.34</v>
      </c>
      <c r="CO4945">
        <v>91</v>
      </c>
      <c r="CP4945">
        <v>-5.9</v>
      </c>
      <c r="CQ4945">
        <v>93</v>
      </c>
      <c r="CR4945">
        <v>0</v>
      </c>
      <c r="CS4945">
        <v>0</v>
      </c>
      <c r="CT4945">
        <v>-4.2</v>
      </c>
      <c r="CU4945">
        <v>86</v>
      </c>
      <c r="CV4945">
        <v>0.03</v>
      </c>
      <c r="CW4945">
        <v>44</v>
      </c>
      <c r="CX4945" t="s">
        <v>1185</v>
      </c>
    </row>
    <row r="4946" spans="1:102" x14ac:dyDescent="0.3">
      <c r="A4946" t="str">
        <f>HYPERLINK("https://webapp.icbf.com/v2/app/bull-search/view/426780037","SNY")</f>
        <v>SNY</v>
      </c>
      <c r="B4946" t="s">
        <v>4786</v>
      </c>
      <c r="C4946" t="s">
        <v>4787</v>
      </c>
      <c r="D4946" s="1">
        <v>37502</v>
      </c>
      <c r="E4946" t="s">
        <v>92</v>
      </c>
      <c r="F4946">
        <v>100</v>
      </c>
      <c r="G4946" t="s">
        <v>109</v>
      </c>
      <c r="H4946">
        <v>-236.52</v>
      </c>
      <c r="I4946">
        <v>79</v>
      </c>
      <c r="J4946">
        <v>-56.92</v>
      </c>
      <c r="K4946">
        <v>90</v>
      </c>
      <c r="L4946">
        <v>-149.19</v>
      </c>
      <c r="M4946">
        <v>78</v>
      </c>
      <c r="N4946">
        <v>-33.43</v>
      </c>
      <c r="O4946">
        <v>70</v>
      </c>
      <c r="P4946">
        <v>1.98</v>
      </c>
      <c r="Q4946">
        <v>77</v>
      </c>
      <c r="R4946">
        <v>1.64</v>
      </c>
      <c r="S4946">
        <v>66</v>
      </c>
      <c r="T4946">
        <v>2.65</v>
      </c>
      <c r="U4946">
        <v>77</v>
      </c>
      <c r="V4946">
        <v>-3.25</v>
      </c>
      <c r="W4946">
        <v>34</v>
      </c>
      <c r="X4946" t="s">
        <v>131</v>
      </c>
      <c r="Y4946" t="s">
        <v>95</v>
      </c>
      <c r="Z4946" t="s">
        <v>96</v>
      </c>
      <c r="AA4946" t="s">
        <v>1801</v>
      </c>
      <c r="AB4946" t="s">
        <v>4788</v>
      </c>
      <c r="AC4946">
        <v>35</v>
      </c>
      <c r="AD4946">
        <v>20</v>
      </c>
      <c r="AE4946">
        <v>90</v>
      </c>
      <c r="AF4946">
        <v>101.46</v>
      </c>
      <c r="AG4946">
        <v>-8.02</v>
      </c>
      <c r="AH4946">
        <v>-5.29</v>
      </c>
      <c r="AI4946">
        <v>-0.2</v>
      </c>
      <c r="AJ4946">
        <v>-0.14000000000000001</v>
      </c>
      <c r="AK4946">
        <v>78</v>
      </c>
      <c r="AL4946">
        <v>33</v>
      </c>
      <c r="AM4946">
        <v>21</v>
      </c>
      <c r="AN4946">
        <v>7.95</v>
      </c>
      <c r="AO4946">
        <v>-3.95</v>
      </c>
      <c r="AP4946">
        <v>75</v>
      </c>
      <c r="AQ4946">
        <v>7</v>
      </c>
      <c r="AR4946">
        <v>11.59</v>
      </c>
      <c r="AS4946">
        <v>42</v>
      </c>
      <c r="AT4946">
        <v>5.43</v>
      </c>
      <c r="AU4946">
        <v>84</v>
      </c>
      <c r="AV4946">
        <v>-0.84</v>
      </c>
      <c r="AW4946">
        <v>81</v>
      </c>
      <c r="AX4946">
        <v>-0.17</v>
      </c>
      <c r="AY4946">
        <v>63</v>
      </c>
      <c r="AZ4946">
        <v>6.65</v>
      </c>
      <c r="BA4946">
        <v>42</v>
      </c>
      <c r="BB4946">
        <v>5.29</v>
      </c>
      <c r="BC4946">
        <v>38</v>
      </c>
      <c r="BD4946">
        <v>-0.01</v>
      </c>
      <c r="BE4946">
        <v>0.01</v>
      </c>
      <c r="BF4946">
        <v>-0.04</v>
      </c>
      <c r="BG4946">
        <v>83</v>
      </c>
      <c r="BH4946">
        <v>-0.03</v>
      </c>
      <c r="BI4946">
        <v>7.01</v>
      </c>
      <c r="BJ4946">
        <v>21</v>
      </c>
      <c r="BK4946">
        <v>12</v>
      </c>
      <c r="BL4946">
        <v>0.97</v>
      </c>
      <c r="BM4946">
        <v>-0.42</v>
      </c>
      <c r="BN4946">
        <v>1.5</v>
      </c>
      <c r="BO4946">
        <v>1.1200000000000001</v>
      </c>
      <c r="BP4946">
        <v>0.38</v>
      </c>
      <c r="BQ4946">
        <v>0.16</v>
      </c>
      <c r="BR4946">
        <v>1.61</v>
      </c>
      <c r="BS4946">
        <v>0.4</v>
      </c>
      <c r="BT4946">
        <v>-0.82</v>
      </c>
      <c r="BU4946">
        <v>0.1</v>
      </c>
      <c r="BV4946">
        <v>0.93</v>
      </c>
      <c r="BW4946">
        <v>1.1100000000000001</v>
      </c>
      <c r="BX4946">
        <v>-0.42</v>
      </c>
      <c r="BY4946">
        <v>1.41</v>
      </c>
      <c r="BZ4946">
        <v>-0.99</v>
      </c>
      <c r="CA4946">
        <v>0.67</v>
      </c>
      <c r="CB4946">
        <v>0.82</v>
      </c>
      <c r="CC4946">
        <v>0.26</v>
      </c>
      <c r="CD4946">
        <v>-0.89</v>
      </c>
      <c r="CE4946">
        <v>0.88</v>
      </c>
      <c r="CF4946">
        <v>1.02</v>
      </c>
      <c r="CG4946">
        <v>0</v>
      </c>
      <c r="CH4946">
        <v>0.62</v>
      </c>
      <c r="CI4946">
        <v>0</v>
      </c>
      <c r="CJ4946">
        <v>0.6</v>
      </c>
      <c r="CK4946">
        <v>79</v>
      </c>
      <c r="CL4946">
        <v>-0.86</v>
      </c>
      <c r="CM4946">
        <v>75</v>
      </c>
      <c r="CN4946">
        <v>-0.81</v>
      </c>
      <c r="CO4946">
        <v>71</v>
      </c>
      <c r="CP4946">
        <v>3.6</v>
      </c>
      <c r="CQ4946">
        <v>80</v>
      </c>
      <c r="CR4946">
        <v>0</v>
      </c>
      <c r="CS4946">
        <v>0</v>
      </c>
      <c r="CT4946">
        <v>10.199999999999999</v>
      </c>
      <c r="CU4946">
        <v>77</v>
      </c>
      <c r="CV4946">
        <v>0.17</v>
      </c>
      <c r="CW4946">
        <v>21</v>
      </c>
      <c r="CX4946" t="s">
        <v>596</v>
      </c>
    </row>
    <row r="4947" spans="1:102" x14ac:dyDescent="0.3">
      <c r="A4947" t="str">
        <f>HYPERLINK("https://webapp.icbf.com/v2/app/bull-search/view/760395574","S971")</f>
        <v>S971</v>
      </c>
      <c r="B4947" t="s">
        <v>12674</v>
      </c>
      <c r="C4947" t="s">
        <v>12675</v>
      </c>
      <c r="D4947" s="1">
        <v>39687</v>
      </c>
      <c r="E4947" t="s">
        <v>92</v>
      </c>
      <c r="F4947">
        <v>100</v>
      </c>
      <c r="G4947" t="s">
        <v>109</v>
      </c>
      <c r="H4947">
        <v>-236.71</v>
      </c>
      <c r="I4947">
        <v>69</v>
      </c>
      <c r="J4947">
        <v>8.74</v>
      </c>
      <c r="K4947">
        <v>80</v>
      </c>
      <c r="L4947">
        <v>-147.87</v>
      </c>
      <c r="M4947">
        <v>73</v>
      </c>
      <c r="N4947">
        <v>-95.88</v>
      </c>
      <c r="O4947">
        <v>58</v>
      </c>
      <c r="P4947">
        <v>-6.09</v>
      </c>
      <c r="Q4947">
        <v>62</v>
      </c>
      <c r="R4947">
        <v>-5.07</v>
      </c>
      <c r="S4947">
        <v>59</v>
      </c>
      <c r="T4947">
        <v>5.32</v>
      </c>
      <c r="U4947">
        <v>54</v>
      </c>
      <c r="V4947">
        <v>4.1399999999999997</v>
      </c>
      <c r="W4947">
        <v>24</v>
      </c>
      <c r="X4947" t="s">
        <v>251</v>
      </c>
      <c r="Y4947" t="s">
        <v>303</v>
      </c>
      <c r="Z4947" t="s">
        <v>96</v>
      </c>
      <c r="AA4947" t="s">
        <v>12249</v>
      </c>
      <c r="AB4947" t="s">
        <v>12676</v>
      </c>
      <c r="AC4947">
        <v>0</v>
      </c>
      <c r="AD4947">
        <v>0</v>
      </c>
      <c r="AE4947">
        <v>80</v>
      </c>
      <c r="AF4947">
        <v>169.78</v>
      </c>
      <c r="AG4947">
        <v>8.7200000000000006</v>
      </c>
      <c r="AH4947">
        <v>1</v>
      </c>
      <c r="AI4947">
        <v>0.03</v>
      </c>
      <c r="AJ4947">
        <v>-0.08</v>
      </c>
      <c r="AK4947">
        <v>73</v>
      </c>
      <c r="AL4947">
        <v>0</v>
      </c>
      <c r="AM4947">
        <v>0</v>
      </c>
      <c r="AN4947">
        <v>9.0399999999999991</v>
      </c>
      <c r="AO4947">
        <v>-2.74</v>
      </c>
      <c r="AP4947">
        <v>39</v>
      </c>
      <c r="AQ4947">
        <v>0</v>
      </c>
      <c r="AR4947">
        <v>17.25</v>
      </c>
      <c r="AS4947">
        <v>42</v>
      </c>
      <c r="AT4947">
        <v>7.61</v>
      </c>
      <c r="AU4947">
        <v>80</v>
      </c>
      <c r="AV4947">
        <v>-1.05</v>
      </c>
      <c r="AW4947">
        <v>61</v>
      </c>
      <c r="AX4947">
        <v>0.93</v>
      </c>
      <c r="AY4947">
        <v>54</v>
      </c>
      <c r="AZ4947">
        <v>6.6</v>
      </c>
      <c r="BA4947">
        <v>36</v>
      </c>
      <c r="BB4947">
        <v>5.26</v>
      </c>
      <c r="BC4947">
        <v>27</v>
      </c>
      <c r="BD4947">
        <v>0.01</v>
      </c>
      <c r="BE4947">
        <v>0</v>
      </c>
      <c r="BF4947">
        <v>0.1</v>
      </c>
      <c r="BG4947">
        <v>82</v>
      </c>
      <c r="BH4947">
        <v>0.05</v>
      </c>
      <c r="BI4947">
        <v>-7.57</v>
      </c>
      <c r="BJ4947">
        <v>7</v>
      </c>
      <c r="BK4947">
        <v>6</v>
      </c>
      <c r="BL4947">
        <v>1.63</v>
      </c>
      <c r="BM4947">
        <v>-0.24</v>
      </c>
      <c r="BN4947">
        <v>1.61</v>
      </c>
      <c r="BO4947">
        <v>1.64</v>
      </c>
      <c r="BP4947">
        <v>-0.83</v>
      </c>
      <c r="BQ4947">
        <v>2.5</v>
      </c>
      <c r="BR4947">
        <v>0.45</v>
      </c>
      <c r="BS4947">
        <v>-0.56999999999999995</v>
      </c>
      <c r="BT4947">
        <v>-0.38</v>
      </c>
      <c r="BU4947">
        <v>2.95</v>
      </c>
      <c r="BV4947">
        <v>2.46</v>
      </c>
      <c r="BW4947">
        <v>1.22</v>
      </c>
      <c r="BX4947">
        <v>2.1800000000000002</v>
      </c>
      <c r="BY4947">
        <v>1.52</v>
      </c>
      <c r="BZ4947">
        <v>0.77</v>
      </c>
      <c r="CA4947">
        <v>1.63</v>
      </c>
      <c r="CB4947">
        <v>2.2599999999999998</v>
      </c>
      <c r="CC4947">
        <v>-0.15</v>
      </c>
      <c r="CD4947">
        <v>-0.84</v>
      </c>
      <c r="CE4947">
        <v>1.29</v>
      </c>
      <c r="CF4947">
        <v>1.61</v>
      </c>
      <c r="CG4947">
        <v>0</v>
      </c>
      <c r="CH4947">
        <v>1.82</v>
      </c>
      <c r="CI4947">
        <v>0</v>
      </c>
      <c r="CJ4947">
        <v>-2.1</v>
      </c>
      <c r="CK4947">
        <v>65</v>
      </c>
      <c r="CL4947">
        <v>-1.34</v>
      </c>
      <c r="CM4947">
        <v>60</v>
      </c>
      <c r="CN4947">
        <v>-0.91</v>
      </c>
      <c r="CO4947">
        <v>57</v>
      </c>
      <c r="CP4947">
        <v>-0.1</v>
      </c>
      <c r="CQ4947">
        <v>57</v>
      </c>
      <c r="CR4947">
        <v>0</v>
      </c>
      <c r="CS4947">
        <v>0</v>
      </c>
      <c r="CT4947">
        <v>6.6</v>
      </c>
      <c r="CU4947">
        <v>54</v>
      </c>
      <c r="CV4947">
        <v>0.36</v>
      </c>
      <c r="CW4947">
        <v>18</v>
      </c>
      <c r="CX4947" t="s">
        <v>1752</v>
      </c>
    </row>
    <row r="4948" spans="1:102" x14ac:dyDescent="0.3">
      <c r="A4948" t="str">
        <f>HYPERLINK("https://webapp.icbf.com/v2/app/bull-search/view/77859238","AJG")</f>
        <v>AJG</v>
      </c>
      <c r="B4948" t="s">
        <v>14641</v>
      </c>
      <c r="C4948" t="s">
        <v>14642</v>
      </c>
      <c r="D4948" s="1">
        <v>35658</v>
      </c>
      <c r="E4948" t="s">
        <v>92</v>
      </c>
      <c r="F4948">
        <v>97</v>
      </c>
      <c r="G4948" t="s">
        <v>93</v>
      </c>
      <c r="H4948">
        <v>-237.3</v>
      </c>
      <c r="I4948">
        <v>89</v>
      </c>
      <c r="J4948">
        <v>66.38</v>
      </c>
      <c r="K4948">
        <v>98</v>
      </c>
      <c r="L4948">
        <v>-198.37</v>
      </c>
      <c r="M4948">
        <v>82</v>
      </c>
      <c r="N4948">
        <v>-73.02</v>
      </c>
      <c r="O4948">
        <v>84</v>
      </c>
      <c r="P4948">
        <v>3.84</v>
      </c>
      <c r="Q4948">
        <v>94</v>
      </c>
      <c r="R4948">
        <v>-13.61</v>
      </c>
      <c r="S4948">
        <v>82</v>
      </c>
      <c r="T4948">
        <v>-4.5999999999999996</v>
      </c>
      <c r="U4948">
        <v>88</v>
      </c>
      <c r="V4948">
        <v>-17.920000000000002</v>
      </c>
      <c r="W4948">
        <v>74</v>
      </c>
      <c r="X4948" t="s">
        <v>558</v>
      </c>
      <c r="Y4948" t="s">
        <v>95</v>
      </c>
      <c r="Z4948" t="s">
        <v>96</v>
      </c>
      <c r="AA4948" t="s">
        <v>643</v>
      </c>
      <c r="AB4948" t="s">
        <v>14643</v>
      </c>
      <c r="AC4948">
        <v>127</v>
      </c>
      <c r="AD4948">
        <v>98</v>
      </c>
      <c r="AE4948">
        <v>98</v>
      </c>
      <c r="AF4948">
        <v>283.25</v>
      </c>
      <c r="AG4948">
        <v>10.36</v>
      </c>
      <c r="AH4948">
        <v>11.96</v>
      </c>
      <c r="AI4948">
        <v>-0.01</v>
      </c>
      <c r="AJ4948">
        <v>0.04</v>
      </c>
      <c r="AK4948">
        <v>82</v>
      </c>
      <c r="AL4948">
        <v>120</v>
      </c>
      <c r="AM4948">
        <v>86</v>
      </c>
      <c r="AN4948">
        <v>10.050000000000001</v>
      </c>
      <c r="AO4948">
        <v>-5.78</v>
      </c>
      <c r="AP4948">
        <v>142</v>
      </c>
      <c r="AQ4948">
        <v>0</v>
      </c>
      <c r="AR4948">
        <v>17.05</v>
      </c>
      <c r="AS4948">
        <v>71</v>
      </c>
      <c r="AT4948">
        <v>6.43</v>
      </c>
      <c r="AU4948">
        <v>88</v>
      </c>
      <c r="AV4948">
        <v>-0.93</v>
      </c>
      <c r="AW4948">
        <v>89</v>
      </c>
      <c r="AX4948">
        <v>0.94</v>
      </c>
      <c r="AY4948">
        <v>84</v>
      </c>
      <c r="AZ4948">
        <v>7.27</v>
      </c>
      <c r="BA4948">
        <v>67</v>
      </c>
      <c r="BB4948">
        <v>4.68</v>
      </c>
      <c r="BC4948">
        <v>72</v>
      </c>
      <c r="BD4948">
        <v>0.06</v>
      </c>
      <c r="BE4948">
        <v>7.0000000000000007E-2</v>
      </c>
      <c r="BF4948">
        <v>0.08</v>
      </c>
      <c r="BG4948">
        <v>91</v>
      </c>
      <c r="BH4948">
        <v>-0.22</v>
      </c>
      <c r="BI4948">
        <v>32.36</v>
      </c>
      <c r="BJ4948">
        <v>25</v>
      </c>
      <c r="BK4948">
        <v>22</v>
      </c>
      <c r="BL4948">
        <v>0.06</v>
      </c>
      <c r="BM4948">
        <v>-0.05</v>
      </c>
      <c r="BN4948">
        <v>0.11</v>
      </c>
      <c r="BO4948">
        <v>0.21</v>
      </c>
      <c r="BP4948">
        <v>2.95</v>
      </c>
      <c r="BQ4948">
        <v>-2.1800000000000002</v>
      </c>
      <c r="BR4948">
        <v>-0.9</v>
      </c>
      <c r="BS4948">
        <v>0.41</v>
      </c>
      <c r="BT4948">
        <v>1.06</v>
      </c>
      <c r="BU4948">
        <v>-1.6</v>
      </c>
      <c r="BV4948">
        <v>0.22</v>
      </c>
      <c r="BW4948">
        <v>-0.02</v>
      </c>
      <c r="BX4948">
        <v>-2.33</v>
      </c>
      <c r="BY4948">
        <v>0.72</v>
      </c>
      <c r="BZ4948">
        <v>2.75</v>
      </c>
      <c r="CA4948">
        <v>-0.55000000000000004</v>
      </c>
      <c r="CB4948">
        <v>-0.76</v>
      </c>
      <c r="CC4948">
        <v>0.41</v>
      </c>
      <c r="CD4948">
        <v>7.0000000000000007E-2</v>
      </c>
      <c r="CE4948">
        <v>0.36</v>
      </c>
      <c r="CF4948">
        <v>0.01</v>
      </c>
      <c r="CG4948">
        <v>0</v>
      </c>
      <c r="CH4948">
        <v>1</v>
      </c>
      <c r="CI4948">
        <v>0</v>
      </c>
      <c r="CJ4948">
        <v>4.7</v>
      </c>
      <c r="CK4948">
        <v>95</v>
      </c>
      <c r="CL4948">
        <v>-0.45</v>
      </c>
      <c r="CM4948">
        <v>93</v>
      </c>
      <c r="CN4948">
        <v>-0.18</v>
      </c>
      <c r="CO4948">
        <v>93</v>
      </c>
      <c r="CP4948">
        <v>-0.7</v>
      </c>
      <c r="CQ4948">
        <v>92</v>
      </c>
      <c r="CR4948">
        <v>0</v>
      </c>
      <c r="CS4948">
        <v>0</v>
      </c>
      <c r="CT4948">
        <v>20</v>
      </c>
      <c r="CU4948">
        <v>88</v>
      </c>
      <c r="CV4948">
        <v>0.25</v>
      </c>
      <c r="CW4948">
        <v>45</v>
      </c>
      <c r="CX4948" t="s">
        <v>485</v>
      </c>
    </row>
    <row r="4949" spans="1:102" x14ac:dyDescent="0.3">
      <c r="A4949" t="str">
        <f>HYPERLINK("https://webapp.icbf.com/v2/app/bull-search/view/77854030","RLZ")</f>
        <v>RLZ</v>
      </c>
      <c r="B4949" t="s">
        <v>8604</v>
      </c>
      <c r="C4949" t="s">
        <v>4619</v>
      </c>
      <c r="D4949" s="1">
        <v>34453</v>
      </c>
      <c r="E4949" t="s">
        <v>92</v>
      </c>
      <c r="F4949">
        <v>100</v>
      </c>
      <c r="G4949" t="s">
        <v>93</v>
      </c>
      <c r="H4949">
        <v>-237.54</v>
      </c>
      <c r="I4949">
        <v>96</v>
      </c>
      <c r="J4949">
        <v>34.61</v>
      </c>
      <c r="K4949">
        <v>99</v>
      </c>
      <c r="L4949">
        <v>-218.72</v>
      </c>
      <c r="M4949">
        <v>93</v>
      </c>
      <c r="N4949">
        <v>-43.32</v>
      </c>
      <c r="O4949">
        <v>97</v>
      </c>
      <c r="P4949">
        <v>1.36</v>
      </c>
      <c r="Q4949">
        <v>99</v>
      </c>
      <c r="R4949">
        <v>-15.79</v>
      </c>
      <c r="S4949">
        <v>93</v>
      </c>
      <c r="T4949">
        <v>1.39</v>
      </c>
      <c r="U4949">
        <v>97</v>
      </c>
      <c r="V4949">
        <v>2.93</v>
      </c>
      <c r="W4949">
        <v>91</v>
      </c>
      <c r="X4949" t="s">
        <v>251</v>
      </c>
      <c r="Y4949" t="s">
        <v>95</v>
      </c>
      <c r="Z4949" t="s">
        <v>96</v>
      </c>
      <c r="AA4949" t="s">
        <v>678</v>
      </c>
      <c r="AB4949" t="s">
        <v>8051</v>
      </c>
      <c r="AC4949">
        <v>943</v>
      </c>
      <c r="AD4949">
        <v>311</v>
      </c>
      <c r="AE4949">
        <v>99</v>
      </c>
      <c r="AF4949">
        <v>384</v>
      </c>
      <c r="AG4949">
        <v>2.1</v>
      </c>
      <c r="AH4949">
        <v>11.02</v>
      </c>
      <c r="AI4949">
        <v>-0.21</v>
      </c>
      <c r="AJ4949">
        <v>-0.03</v>
      </c>
      <c r="AK4949">
        <v>93</v>
      </c>
      <c r="AL4949">
        <v>869</v>
      </c>
      <c r="AM4949">
        <v>297</v>
      </c>
      <c r="AN4949">
        <v>11.33</v>
      </c>
      <c r="AO4949">
        <v>-6.12</v>
      </c>
      <c r="AP4949">
        <v>1049</v>
      </c>
      <c r="AQ4949">
        <v>0</v>
      </c>
      <c r="AR4949">
        <v>12.11</v>
      </c>
      <c r="AS4949">
        <v>94</v>
      </c>
      <c r="AT4949">
        <v>5.77</v>
      </c>
      <c r="AU4949">
        <v>99</v>
      </c>
      <c r="AV4949">
        <v>-0.09</v>
      </c>
      <c r="AW4949">
        <v>99</v>
      </c>
      <c r="AX4949">
        <v>-0.2</v>
      </c>
      <c r="AY4949">
        <v>97</v>
      </c>
      <c r="AZ4949">
        <v>6.67</v>
      </c>
      <c r="BA4949">
        <v>93</v>
      </c>
      <c r="BB4949">
        <v>4.74</v>
      </c>
      <c r="BC4949">
        <v>93</v>
      </c>
      <c r="BD4949">
        <v>0.06</v>
      </c>
      <c r="BE4949">
        <v>7.0000000000000007E-2</v>
      </c>
      <c r="BF4949">
        <v>0.13</v>
      </c>
      <c r="BG4949">
        <v>98</v>
      </c>
      <c r="BH4949">
        <v>0.03</v>
      </c>
      <c r="BI4949">
        <v>-5.98</v>
      </c>
      <c r="BJ4949">
        <v>149</v>
      </c>
      <c r="BK4949">
        <v>77</v>
      </c>
      <c r="BL4949">
        <v>0.27</v>
      </c>
      <c r="BM4949">
        <v>-0.24</v>
      </c>
      <c r="BN4949">
        <v>0.88</v>
      </c>
      <c r="BO4949">
        <v>0.92</v>
      </c>
      <c r="BP4949">
        <v>-1.36</v>
      </c>
      <c r="BQ4949">
        <v>-0.55000000000000004</v>
      </c>
      <c r="BR4949">
        <v>1.84</v>
      </c>
      <c r="BS4949">
        <v>-0.75</v>
      </c>
      <c r="BT4949">
        <v>-0.94</v>
      </c>
      <c r="BU4949">
        <v>-0.72</v>
      </c>
      <c r="BV4949">
        <v>0.98</v>
      </c>
      <c r="BW4949">
        <v>1.29</v>
      </c>
      <c r="BX4949">
        <v>-1.49</v>
      </c>
      <c r="BY4949">
        <v>0.32</v>
      </c>
      <c r="BZ4949">
        <v>-1.23</v>
      </c>
      <c r="CA4949">
        <v>0</v>
      </c>
      <c r="CB4949">
        <v>0.22</v>
      </c>
      <c r="CC4949">
        <v>-0.45</v>
      </c>
      <c r="CD4949">
        <v>-0.97</v>
      </c>
      <c r="CE4949">
        <v>1.18</v>
      </c>
      <c r="CF4949">
        <v>0.24</v>
      </c>
      <c r="CG4949">
        <v>0</v>
      </c>
      <c r="CH4949">
        <v>0.11</v>
      </c>
      <c r="CI4949">
        <v>0</v>
      </c>
      <c r="CJ4949">
        <v>3.2</v>
      </c>
      <c r="CK4949">
        <v>99</v>
      </c>
      <c r="CL4949">
        <v>-0.7</v>
      </c>
      <c r="CM4949">
        <v>99</v>
      </c>
      <c r="CN4949">
        <v>-0.33</v>
      </c>
      <c r="CO4949">
        <v>99</v>
      </c>
      <c r="CP4949">
        <v>2</v>
      </c>
      <c r="CQ4949">
        <v>99</v>
      </c>
      <c r="CR4949">
        <v>0</v>
      </c>
      <c r="CS4949">
        <v>0</v>
      </c>
      <c r="CT4949">
        <v>11.9</v>
      </c>
      <c r="CU4949">
        <v>97</v>
      </c>
      <c r="CV4949">
        <v>0.21</v>
      </c>
      <c r="CW4949">
        <v>46</v>
      </c>
      <c r="CX4949" t="s">
        <v>118</v>
      </c>
    </row>
    <row r="4950" spans="1:102" x14ac:dyDescent="0.3">
      <c r="A4950" t="str">
        <f>HYPERLINK("https://webapp.icbf.com/v2/app/bull-search/view/77859607","BEZ")</f>
        <v>BEZ</v>
      </c>
      <c r="B4950" t="s">
        <v>10004</v>
      </c>
      <c r="C4950" t="s">
        <v>1506</v>
      </c>
      <c r="D4950" s="1">
        <v>31517</v>
      </c>
      <c r="E4950" t="s">
        <v>92</v>
      </c>
      <c r="F4950">
        <v>100</v>
      </c>
      <c r="G4950" t="s">
        <v>93</v>
      </c>
      <c r="H4950">
        <v>-239.41</v>
      </c>
      <c r="I4950">
        <v>95</v>
      </c>
      <c r="J4950">
        <v>-31.5</v>
      </c>
      <c r="K4950">
        <v>99</v>
      </c>
      <c r="L4950">
        <v>-180.35</v>
      </c>
      <c r="M4950">
        <v>95</v>
      </c>
      <c r="N4950">
        <v>-21.77</v>
      </c>
      <c r="O4950">
        <v>92</v>
      </c>
      <c r="P4950">
        <v>-0.71</v>
      </c>
      <c r="Q4950">
        <v>95</v>
      </c>
      <c r="R4950">
        <v>-2.83</v>
      </c>
      <c r="S4950">
        <v>90</v>
      </c>
      <c r="T4950">
        <v>-1.1200000000000001</v>
      </c>
      <c r="U4950">
        <v>93</v>
      </c>
      <c r="V4950">
        <v>-1.1299999999999999</v>
      </c>
      <c r="W4950">
        <v>82</v>
      </c>
      <c r="X4950" t="s">
        <v>276</v>
      </c>
      <c r="Y4950" t="s">
        <v>95</v>
      </c>
      <c r="Z4950" t="s">
        <v>96</v>
      </c>
      <c r="AA4950" t="s">
        <v>154</v>
      </c>
      <c r="AB4950" t="s">
        <v>10005</v>
      </c>
      <c r="AC4950">
        <v>471</v>
      </c>
      <c r="AD4950">
        <v>250</v>
      </c>
      <c r="AE4950">
        <v>99</v>
      </c>
      <c r="AF4950">
        <v>99.1</v>
      </c>
      <c r="AG4950">
        <v>-4.0999999999999996</v>
      </c>
      <c r="AH4950">
        <v>-2.39</v>
      </c>
      <c r="AI4950">
        <v>-0.14000000000000001</v>
      </c>
      <c r="AJ4950">
        <v>-0.1</v>
      </c>
      <c r="AK4950">
        <v>95</v>
      </c>
      <c r="AL4950">
        <v>584</v>
      </c>
      <c r="AM4950">
        <v>277</v>
      </c>
      <c r="AN4950">
        <v>10.8</v>
      </c>
      <c r="AO4950">
        <v>-3.57</v>
      </c>
      <c r="AP4950">
        <v>30</v>
      </c>
      <c r="AQ4950">
        <v>1</v>
      </c>
      <c r="AR4950">
        <v>9.34</v>
      </c>
      <c r="AS4950">
        <v>83</v>
      </c>
      <c r="AT4950">
        <v>4.93</v>
      </c>
      <c r="AU4950">
        <v>97</v>
      </c>
      <c r="AV4950">
        <v>-0.03</v>
      </c>
      <c r="AW4950">
        <v>93</v>
      </c>
      <c r="AX4950">
        <v>-0.4</v>
      </c>
      <c r="AY4950">
        <v>95</v>
      </c>
      <c r="AZ4950">
        <v>6.59</v>
      </c>
      <c r="BA4950">
        <v>81</v>
      </c>
      <c r="BB4950">
        <v>4.78</v>
      </c>
      <c r="BC4950">
        <v>88</v>
      </c>
      <c r="BD4950">
        <v>0</v>
      </c>
      <c r="BE4950">
        <v>0.05</v>
      </c>
      <c r="BF4950">
        <v>-0.03</v>
      </c>
      <c r="BG4950">
        <v>98</v>
      </c>
      <c r="BH4950">
        <v>0.04</v>
      </c>
      <c r="BI4950">
        <v>8.2799999999999994</v>
      </c>
      <c r="BJ4950">
        <v>193</v>
      </c>
      <c r="BK4950">
        <v>85</v>
      </c>
      <c r="BL4950">
        <v>1.45</v>
      </c>
      <c r="BM4950">
        <v>-0.87</v>
      </c>
      <c r="BN4950">
        <v>1.34</v>
      </c>
      <c r="BO4950">
        <v>1.41</v>
      </c>
      <c r="BP4950">
        <v>0.08</v>
      </c>
      <c r="BQ4950">
        <v>-1.1399999999999999</v>
      </c>
      <c r="BR4950">
        <v>0.51</v>
      </c>
      <c r="BS4950">
        <v>1.31</v>
      </c>
      <c r="BT4950">
        <v>0.28000000000000003</v>
      </c>
      <c r="BU4950">
        <v>-0.12</v>
      </c>
      <c r="BV4950">
        <v>0.32</v>
      </c>
      <c r="BW4950">
        <v>1.42</v>
      </c>
      <c r="BX4950">
        <v>0.38</v>
      </c>
      <c r="BY4950">
        <v>0.66</v>
      </c>
      <c r="BZ4950">
        <v>2.2999999999999998</v>
      </c>
      <c r="CA4950">
        <v>0.7</v>
      </c>
      <c r="CB4950">
        <v>0.42</v>
      </c>
      <c r="CC4950">
        <v>1</v>
      </c>
      <c r="CD4950">
        <v>-1.64</v>
      </c>
      <c r="CE4950">
        <v>1.31</v>
      </c>
      <c r="CF4950">
        <v>1.61</v>
      </c>
      <c r="CG4950">
        <v>0</v>
      </c>
      <c r="CH4950">
        <v>0.65</v>
      </c>
      <c r="CI4950">
        <v>0</v>
      </c>
      <c r="CJ4950">
        <v>1.4</v>
      </c>
      <c r="CK4950">
        <v>95</v>
      </c>
      <c r="CL4950">
        <v>-0.63</v>
      </c>
      <c r="CM4950">
        <v>95</v>
      </c>
      <c r="CN4950">
        <v>-0.2</v>
      </c>
      <c r="CO4950">
        <v>94</v>
      </c>
      <c r="CP4950">
        <v>10.1</v>
      </c>
      <c r="CQ4950">
        <v>97</v>
      </c>
      <c r="CR4950">
        <v>0</v>
      </c>
      <c r="CS4950">
        <v>0</v>
      </c>
      <c r="CT4950">
        <v>15.3</v>
      </c>
      <c r="CU4950">
        <v>93</v>
      </c>
      <c r="CV4950">
        <v>0.11</v>
      </c>
      <c r="CW4950">
        <v>45</v>
      </c>
      <c r="CX4950" t="s">
        <v>120</v>
      </c>
    </row>
    <row r="4951" spans="1:102" x14ac:dyDescent="0.3">
      <c r="A4951" t="str">
        <f>HYPERLINK("https://webapp.icbf.com/v2/app/bull-search/view/238986453","EGT")</f>
        <v>EGT</v>
      </c>
      <c r="B4951" t="s">
        <v>11645</v>
      </c>
      <c r="C4951" t="s">
        <v>11646</v>
      </c>
      <c r="D4951" s="1">
        <v>37882</v>
      </c>
      <c r="E4951" t="s">
        <v>92</v>
      </c>
      <c r="F4951">
        <v>100</v>
      </c>
      <c r="G4951" t="s">
        <v>93</v>
      </c>
      <c r="H4951">
        <v>-240.23</v>
      </c>
      <c r="I4951">
        <v>89</v>
      </c>
      <c r="J4951">
        <v>-6.67</v>
      </c>
      <c r="K4951">
        <v>97</v>
      </c>
      <c r="L4951">
        <v>-75.3</v>
      </c>
      <c r="M4951">
        <v>83</v>
      </c>
      <c r="N4951">
        <v>-118.1</v>
      </c>
      <c r="O4951">
        <v>85</v>
      </c>
      <c r="P4951">
        <v>-3.47</v>
      </c>
      <c r="Q4951">
        <v>91</v>
      </c>
      <c r="R4951">
        <v>-6.97</v>
      </c>
      <c r="S4951">
        <v>81</v>
      </c>
      <c r="T4951">
        <v>-25.39</v>
      </c>
      <c r="U4951">
        <v>89</v>
      </c>
      <c r="V4951">
        <v>-4.33</v>
      </c>
      <c r="W4951">
        <v>76</v>
      </c>
      <c r="X4951" t="s">
        <v>276</v>
      </c>
      <c r="Y4951" t="s">
        <v>1215</v>
      </c>
      <c r="Z4951" t="s">
        <v>96</v>
      </c>
      <c r="AA4951" t="s">
        <v>1068</v>
      </c>
      <c r="AB4951" t="s">
        <v>11642</v>
      </c>
      <c r="AC4951">
        <v>107</v>
      </c>
      <c r="AD4951">
        <v>64</v>
      </c>
      <c r="AE4951">
        <v>97</v>
      </c>
      <c r="AF4951">
        <v>128.94999999999999</v>
      </c>
      <c r="AG4951">
        <v>-4.92</v>
      </c>
      <c r="AH4951">
        <v>2.58</v>
      </c>
      <c r="AI4951">
        <v>-0.17</v>
      </c>
      <c r="AJ4951">
        <v>-0.03</v>
      </c>
      <c r="AK4951">
        <v>83</v>
      </c>
      <c r="AL4951">
        <v>91</v>
      </c>
      <c r="AM4951">
        <v>59</v>
      </c>
      <c r="AN4951">
        <v>2.96</v>
      </c>
      <c r="AO4951">
        <v>-3.06</v>
      </c>
      <c r="AP4951">
        <v>247</v>
      </c>
      <c r="AQ4951">
        <v>0</v>
      </c>
      <c r="AR4951">
        <v>15.96</v>
      </c>
      <c r="AS4951">
        <v>79</v>
      </c>
      <c r="AT4951">
        <v>8.8699999999999992</v>
      </c>
      <c r="AU4951">
        <v>89</v>
      </c>
      <c r="AV4951">
        <v>0.38</v>
      </c>
      <c r="AW4951">
        <v>92</v>
      </c>
      <c r="AX4951">
        <v>0.79</v>
      </c>
      <c r="AY4951">
        <v>84</v>
      </c>
      <c r="AZ4951">
        <v>5.08</v>
      </c>
      <c r="BA4951">
        <v>68</v>
      </c>
      <c r="BB4951">
        <v>4.62</v>
      </c>
      <c r="BC4951">
        <v>66</v>
      </c>
      <c r="BD4951">
        <v>0.02</v>
      </c>
      <c r="BE4951">
        <v>0.03</v>
      </c>
      <c r="BF4951">
        <v>7.0000000000000007E-2</v>
      </c>
      <c r="BG4951">
        <v>89</v>
      </c>
      <c r="BH4951">
        <v>0.04</v>
      </c>
      <c r="BI4951">
        <v>18.600000000000001</v>
      </c>
      <c r="BJ4951">
        <v>49</v>
      </c>
      <c r="BK4951">
        <v>32</v>
      </c>
      <c r="BL4951">
        <v>2.1</v>
      </c>
      <c r="BM4951">
        <v>2.15</v>
      </c>
      <c r="BN4951">
        <v>2.0099999999999998</v>
      </c>
      <c r="BO4951">
        <v>0.26</v>
      </c>
      <c r="BP4951">
        <v>-1.81</v>
      </c>
      <c r="BQ4951">
        <v>3.39</v>
      </c>
      <c r="BR4951">
        <v>-0.53</v>
      </c>
      <c r="BS4951">
        <v>0.52</v>
      </c>
      <c r="BT4951">
        <v>0.68</v>
      </c>
      <c r="BU4951">
        <v>0.95</v>
      </c>
      <c r="BV4951">
        <v>1.1100000000000001</v>
      </c>
      <c r="BW4951">
        <v>1.37</v>
      </c>
      <c r="BX4951">
        <v>1.49</v>
      </c>
      <c r="BY4951">
        <v>-0.79</v>
      </c>
      <c r="BZ4951">
        <v>1.25</v>
      </c>
      <c r="CA4951">
        <v>0.89</v>
      </c>
      <c r="CB4951">
        <v>0.65</v>
      </c>
      <c r="CC4951">
        <v>1.38</v>
      </c>
      <c r="CD4951">
        <v>0.55000000000000004</v>
      </c>
      <c r="CE4951">
        <v>0.48</v>
      </c>
      <c r="CF4951">
        <v>2.31</v>
      </c>
      <c r="CG4951">
        <v>0</v>
      </c>
      <c r="CH4951">
        <v>-0.1</v>
      </c>
      <c r="CI4951">
        <v>0</v>
      </c>
      <c r="CJ4951">
        <v>-0.4</v>
      </c>
      <c r="CK4951">
        <v>92</v>
      </c>
      <c r="CL4951">
        <v>-1.21</v>
      </c>
      <c r="CM4951">
        <v>90</v>
      </c>
      <c r="CN4951">
        <v>-0.64</v>
      </c>
      <c r="CO4951">
        <v>89</v>
      </c>
      <c r="CP4951">
        <v>13.8</v>
      </c>
      <c r="CQ4951">
        <v>91</v>
      </c>
      <c r="CR4951">
        <v>0</v>
      </c>
      <c r="CS4951">
        <v>0</v>
      </c>
      <c r="CT4951">
        <v>48.1</v>
      </c>
      <c r="CU4951">
        <v>89</v>
      </c>
      <c r="CV4951">
        <v>0.23</v>
      </c>
      <c r="CW4951">
        <v>44</v>
      </c>
      <c r="CX4951" t="s">
        <v>6675</v>
      </c>
    </row>
    <row r="4952" spans="1:102" x14ac:dyDescent="0.3">
      <c r="A4952" t="str">
        <f>HYPERLINK("https://webapp.icbf.com/v2/app/bull-search/view/440417650","EKA")</f>
        <v>EKA</v>
      </c>
      <c r="B4952" t="s">
        <v>15211</v>
      </c>
      <c r="C4952" t="s">
        <v>15212</v>
      </c>
      <c r="D4952" s="1">
        <v>36650</v>
      </c>
      <c r="E4952" t="s">
        <v>92</v>
      </c>
      <c r="F4952">
        <v>100</v>
      </c>
      <c r="G4952" t="s">
        <v>109</v>
      </c>
      <c r="H4952">
        <v>-240.23</v>
      </c>
      <c r="I4952">
        <v>86</v>
      </c>
      <c r="J4952">
        <v>17.68</v>
      </c>
      <c r="K4952">
        <v>94</v>
      </c>
      <c r="L4952">
        <v>-193.07</v>
      </c>
      <c r="M4952">
        <v>88</v>
      </c>
      <c r="N4952">
        <v>-67.03</v>
      </c>
      <c r="O4952">
        <v>74</v>
      </c>
      <c r="P4952">
        <v>-7.13</v>
      </c>
      <c r="Q4952">
        <v>80</v>
      </c>
      <c r="R4952">
        <v>7.8</v>
      </c>
      <c r="S4952">
        <v>81</v>
      </c>
      <c r="T4952">
        <v>1.25</v>
      </c>
      <c r="U4952">
        <v>74</v>
      </c>
      <c r="V4952">
        <v>0.27</v>
      </c>
      <c r="W4952">
        <v>71</v>
      </c>
      <c r="X4952" t="s">
        <v>131</v>
      </c>
      <c r="Y4952" t="s">
        <v>95</v>
      </c>
      <c r="Z4952" t="s">
        <v>96</v>
      </c>
      <c r="AA4952" t="s">
        <v>1273</v>
      </c>
      <c r="AB4952" t="s">
        <v>4726</v>
      </c>
      <c r="AC4952">
        <v>0</v>
      </c>
      <c r="AD4952">
        <v>0</v>
      </c>
      <c r="AE4952">
        <v>94</v>
      </c>
      <c r="AF4952">
        <v>46.95</v>
      </c>
      <c r="AG4952">
        <v>7.28</v>
      </c>
      <c r="AH4952">
        <v>1.1499999999999999</v>
      </c>
      <c r="AI4952">
        <v>0.09</v>
      </c>
      <c r="AJ4952">
        <v>-0.01</v>
      </c>
      <c r="AK4952">
        <v>88</v>
      </c>
      <c r="AL4952">
        <v>0</v>
      </c>
      <c r="AM4952">
        <v>0</v>
      </c>
      <c r="AN4952">
        <v>12.63</v>
      </c>
      <c r="AO4952">
        <v>-2.74</v>
      </c>
      <c r="AP4952">
        <v>55</v>
      </c>
      <c r="AQ4952">
        <v>7</v>
      </c>
      <c r="AR4952">
        <v>14.38</v>
      </c>
      <c r="AS4952">
        <v>68</v>
      </c>
      <c r="AT4952">
        <v>6.46</v>
      </c>
      <c r="AU4952">
        <v>91</v>
      </c>
      <c r="AV4952">
        <v>0.33</v>
      </c>
      <c r="AW4952">
        <v>73</v>
      </c>
      <c r="AX4952">
        <v>1.2</v>
      </c>
      <c r="AY4952">
        <v>71</v>
      </c>
      <c r="AZ4952">
        <v>4.76</v>
      </c>
      <c r="BA4952">
        <v>60</v>
      </c>
      <c r="BB4952">
        <v>4.54</v>
      </c>
      <c r="BC4952">
        <v>58</v>
      </c>
      <c r="BD4952">
        <v>-0.02</v>
      </c>
      <c r="BE4952">
        <v>-0.04</v>
      </c>
      <c r="BF4952">
        <v>-7.0000000000000007E-2</v>
      </c>
      <c r="BG4952">
        <v>93</v>
      </c>
      <c r="BH4952">
        <v>0.13</v>
      </c>
      <c r="BI4952">
        <v>14.16</v>
      </c>
      <c r="BJ4952">
        <v>15</v>
      </c>
      <c r="BK4952">
        <v>10</v>
      </c>
      <c r="BL4952">
        <v>2.17</v>
      </c>
      <c r="BM4952">
        <v>1.07</v>
      </c>
      <c r="BN4952">
        <v>4</v>
      </c>
      <c r="BO4952">
        <v>2.1800000000000002</v>
      </c>
      <c r="BP4952">
        <v>-0.81</v>
      </c>
      <c r="BQ4952">
        <v>3.9</v>
      </c>
      <c r="BR4952">
        <v>-0.54</v>
      </c>
      <c r="BS4952">
        <v>1.1100000000000001</v>
      </c>
      <c r="BT4952">
        <v>1.78</v>
      </c>
      <c r="BU4952">
        <v>2.33</v>
      </c>
      <c r="BV4952">
        <v>2.2799999999999998</v>
      </c>
      <c r="BW4952">
        <v>2.2000000000000002</v>
      </c>
      <c r="BX4952">
        <v>1.59</v>
      </c>
      <c r="BY4952">
        <v>0.86</v>
      </c>
      <c r="BZ4952">
        <v>3.12</v>
      </c>
      <c r="CA4952">
        <v>1.98</v>
      </c>
      <c r="CB4952">
        <v>1.95</v>
      </c>
      <c r="CC4952">
        <v>1.57</v>
      </c>
      <c r="CD4952">
        <v>-1.25</v>
      </c>
      <c r="CE4952">
        <v>1.52</v>
      </c>
      <c r="CF4952">
        <v>3.07</v>
      </c>
      <c r="CG4952">
        <v>0</v>
      </c>
      <c r="CH4952">
        <v>0.78</v>
      </c>
      <c r="CI4952">
        <v>0</v>
      </c>
      <c r="CJ4952">
        <v>-3.5</v>
      </c>
      <c r="CK4952">
        <v>82</v>
      </c>
      <c r="CL4952">
        <v>-0.98</v>
      </c>
      <c r="CM4952">
        <v>79</v>
      </c>
      <c r="CN4952">
        <v>-0.69</v>
      </c>
      <c r="CO4952">
        <v>76</v>
      </c>
      <c r="CP4952">
        <v>-1.8</v>
      </c>
      <c r="CQ4952">
        <v>79</v>
      </c>
      <c r="CR4952">
        <v>0</v>
      </c>
      <c r="CS4952">
        <v>0</v>
      </c>
      <c r="CT4952">
        <v>12.1</v>
      </c>
      <c r="CU4952">
        <v>74</v>
      </c>
      <c r="CV4952">
        <v>0.12</v>
      </c>
      <c r="CW4952">
        <v>42</v>
      </c>
      <c r="CX4952" t="s">
        <v>1068</v>
      </c>
    </row>
    <row r="4953" spans="1:102" x14ac:dyDescent="0.3">
      <c r="A4953" t="str">
        <f>HYPERLINK("https://webapp.icbf.com/v2/app/bull-search/view/124414841","LAP")</f>
        <v>LAP</v>
      </c>
      <c r="B4953" t="s">
        <v>12500</v>
      </c>
      <c r="C4953" t="s">
        <v>12501</v>
      </c>
      <c r="D4953" s="1">
        <v>36712</v>
      </c>
      <c r="E4953" t="s">
        <v>92</v>
      </c>
      <c r="F4953">
        <v>100</v>
      </c>
      <c r="G4953" t="s">
        <v>93</v>
      </c>
      <c r="H4953">
        <v>-240.59</v>
      </c>
      <c r="I4953">
        <v>85</v>
      </c>
      <c r="J4953">
        <v>3.55</v>
      </c>
      <c r="K4953">
        <v>96</v>
      </c>
      <c r="L4953">
        <v>-221.23</v>
      </c>
      <c r="M4953">
        <v>78</v>
      </c>
      <c r="N4953">
        <v>-6.29</v>
      </c>
      <c r="O4953">
        <v>81</v>
      </c>
      <c r="P4953">
        <v>-17.739999999999998</v>
      </c>
      <c r="Q4953">
        <v>92</v>
      </c>
      <c r="R4953">
        <v>-17.53</v>
      </c>
      <c r="S4953">
        <v>78</v>
      </c>
      <c r="T4953">
        <v>15.9</v>
      </c>
      <c r="U4953">
        <v>83</v>
      </c>
      <c r="V4953">
        <v>2.75</v>
      </c>
      <c r="W4953">
        <v>70</v>
      </c>
      <c r="X4953" t="s">
        <v>276</v>
      </c>
      <c r="Y4953" t="s">
        <v>95</v>
      </c>
      <c r="Z4953" t="s">
        <v>96</v>
      </c>
      <c r="AA4953" t="s">
        <v>1574</v>
      </c>
      <c r="AB4953" t="s">
        <v>12502</v>
      </c>
      <c r="AC4953">
        <v>69</v>
      </c>
      <c r="AD4953">
        <v>41</v>
      </c>
      <c r="AE4953">
        <v>96</v>
      </c>
      <c r="AF4953">
        <v>89.72</v>
      </c>
      <c r="AG4953">
        <v>-0.46</v>
      </c>
      <c r="AH4953">
        <v>2.14</v>
      </c>
      <c r="AI4953">
        <v>-7.0000000000000007E-2</v>
      </c>
      <c r="AJ4953">
        <v>-0.02</v>
      </c>
      <c r="AK4953">
        <v>78</v>
      </c>
      <c r="AL4953">
        <v>69</v>
      </c>
      <c r="AM4953">
        <v>32</v>
      </c>
      <c r="AN4953">
        <v>10.75</v>
      </c>
      <c r="AO4953">
        <v>-6.91</v>
      </c>
      <c r="AP4953">
        <v>175</v>
      </c>
      <c r="AQ4953">
        <v>0</v>
      </c>
      <c r="AR4953">
        <v>9.5299999999999994</v>
      </c>
      <c r="AS4953">
        <v>78</v>
      </c>
      <c r="AT4953">
        <v>4.28</v>
      </c>
      <c r="AU4953">
        <v>87</v>
      </c>
      <c r="AV4953">
        <v>-1.92</v>
      </c>
      <c r="AW4953">
        <v>85</v>
      </c>
      <c r="AX4953">
        <v>0.91</v>
      </c>
      <c r="AY4953">
        <v>80</v>
      </c>
      <c r="AZ4953">
        <v>7.05</v>
      </c>
      <c r="BA4953">
        <v>65</v>
      </c>
      <c r="BB4953">
        <v>5.21</v>
      </c>
      <c r="BC4953">
        <v>63</v>
      </c>
      <c r="BD4953">
        <v>0.03</v>
      </c>
      <c r="BE4953">
        <v>7.0000000000000007E-2</v>
      </c>
      <c r="BF4953">
        <v>0.22</v>
      </c>
      <c r="BG4953">
        <v>88</v>
      </c>
      <c r="BH4953">
        <v>0.08</v>
      </c>
      <c r="BI4953">
        <v>0.38</v>
      </c>
      <c r="BJ4953">
        <v>26</v>
      </c>
      <c r="BK4953">
        <v>17</v>
      </c>
      <c r="BL4953">
        <v>-0.09</v>
      </c>
      <c r="BM4953">
        <v>-1.8</v>
      </c>
      <c r="BN4953">
        <v>-0.69</v>
      </c>
      <c r="BO4953">
        <v>0.46</v>
      </c>
      <c r="BP4953">
        <v>-0.53</v>
      </c>
      <c r="BQ4953">
        <v>-1.17</v>
      </c>
      <c r="BR4953">
        <v>-1.61</v>
      </c>
      <c r="BS4953">
        <v>1.1100000000000001</v>
      </c>
      <c r="BT4953">
        <v>2.44</v>
      </c>
      <c r="BU4953">
        <v>0.56000000000000005</v>
      </c>
      <c r="BV4953">
        <v>0.67</v>
      </c>
      <c r="BW4953">
        <v>1.36</v>
      </c>
      <c r="BX4953">
        <v>0.46</v>
      </c>
      <c r="BY4953">
        <v>0.97</v>
      </c>
      <c r="BZ4953">
        <v>1.04</v>
      </c>
      <c r="CA4953">
        <v>1.31</v>
      </c>
      <c r="CB4953">
        <v>1.01</v>
      </c>
      <c r="CC4953">
        <v>1.38</v>
      </c>
      <c r="CD4953">
        <v>-1.1599999999999999</v>
      </c>
      <c r="CE4953">
        <v>0.73</v>
      </c>
      <c r="CF4953">
        <v>-0.28000000000000003</v>
      </c>
      <c r="CG4953">
        <v>0</v>
      </c>
      <c r="CH4953">
        <v>0.45</v>
      </c>
      <c r="CI4953">
        <v>0</v>
      </c>
      <c r="CJ4953">
        <v>-9.5</v>
      </c>
      <c r="CK4953">
        <v>93</v>
      </c>
      <c r="CL4953">
        <v>-0.75</v>
      </c>
      <c r="CM4953">
        <v>91</v>
      </c>
      <c r="CN4953">
        <v>-0.39</v>
      </c>
      <c r="CO4953">
        <v>90</v>
      </c>
      <c r="CP4953">
        <v>-9.6999999999999993</v>
      </c>
      <c r="CQ4953">
        <v>90</v>
      </c>
      <c r="CR4953">
        <v>0</v>
      </c>
      <c r="CS4953">
        <v>0</v>
      </c>
      <c r="CT4953">
        <v>-7.7</v>
      </c>
      <c r="CU4953">
        <v>83</v>
      </c>
      <c r="CV4953">
        <v>-0.08</v>
      </c>
      <c r="CW4953">
        <v>44</v>
      </c>
      <c r="CX4953" t="s">
        <v>1185</v>
      </c>
    </row>
    <row r="4954" spans="1:102" x14ac:dyDescent="0.3">
      <c r="A4954" t="str">
        <f>HYPERLINK("https://webapp.icbf.com/v2/app/bull-search/view/423573938","RLT")</f>
        <v>RLT</v>
      </c>
      <c r="B4954" t="s">
        <v>9706</v>
      </c>
      <c r="C4954" t="s">
        <v>9707</v>
      </c>
      <c r="D4954" s="1">
        <v>36417</v>
      </c>
      <c r="E4954" t="s">
        <v>92</v>
      </c>
      <c r="F4954">
        <v>100</v>
      </c>
      <c r="G4954" t="s">
        <v>93</v>
      </c>
      <c r="H4954">
        <v>-243.74</v>
      </c>
      <c r="I4954">
        <v>87</v>
      </c>
      <c r="J4954">
        <v>-17.95</v>
      </c>
      <c r="K4954">
        <v>95</v>
      </c>
      <c r="L4954">
        <v>-155.52000000000001</v>
      </c>
      <c r="M4954">
        <v>88</v>
      </c>
      <c r="N4954">
        <v>-63.7</v>
      </c>
      <c r="O4954">
        <v>78</v>
      </c>
      <c r="P4954">
        <v>4.51</v>
      </c>
      <c r="Q4954">
        <v>78</v>
      </c>
      <c r="R4954">
        <v>7.02</v>
      </c>
      <c r="S4954">
        <v>82</v>
      </c>
      <c r="T4954">
        <v>-19.989999999999998</v>
      </c>
      <c r="U4954">
        <v>75</v>
      </c>
      <c r="V4954">
        <v>1.89</v>
      </c>
      <c r="W4954">
        <v>71</v>
      </c>
      <c r="X4954" t="s">
        <v>131</v>
      </c>
      <c r="Y4954" t="s">
        <v>545</v>
      </c>
      <c r="Z4954" t="s">
        <v>96</v>
      </c>
      <c r="AA4954" t="s">
        <v>311</v>
      </c>
      <c r="AB4954" t="s">
        <v>9708</v>
      </c>
      <c r="AC4954">
        <v>40</v>
      </c>
      <c r="AD4954">
        <v>29</v>
      </c>
      <c r="AE4954">
        <v>95</v>
      </c>
      <c r="AF4954">
        <v>324.99</v>
      </c>
      <c r="AG4954">
        <v>-6.33</v>
      </c>
      <c r="AH4954">
        <v>4.16</v>
      </c>
      <c r="AI4954">
        <v>-0.31</v>
      </c>
      <c r="AJ4954">
        <v>-0.11</v>
      </c>
      <c r="AK4954">
        <v>88</v>
      </c>
      <c r="AL4954">
        <v>37</v>
      </c>
      <c r="AM4954">
        <v>21</v>
      </c>
      <c r="AN4954">
        <v>9.4700000000000006</v>
      </c>
      <c r="AO4954">
        <v>-2.92</v>
      </c>
      <c r="AP4954">
        <v>35</v>
      </c>
      <c r="AQ4954">
        <v>0</v>
      </c>
      <c r="AR4954">
        <v>16.02</v>
      </c>
      <c r="AS4954">
        <v>68</v>
      </c>
      <c r="AT4954">
        <v>5.96</v>
      </c>
      <c r="AU4954">
        <v>98</v>
      </c>
      <c r="AV4954">
        <v>-1.53</v>
      </c>
      <c r="AW4954">
        <v>77</v>
      </c>
      <c r="AX4954">
        <v>2.06</v>
      </c>
      <c r="AY4954">
        <v>66</v>
      </c>
      <c r="AZ4954">
        <v>7.19</v>
      </c>
      <c r="BA4954">
        <v>60</v>
      </c>
      <c r="BB4954">
        <v>5.71</v>
      </c>
      <c r="BC4954">
        <v>61</v>
      </c>
      <c r="BD4954">
        <v>-0.05</v>
      </c>
      <c r="BE4954">
        <v>-0.02</v>
      </c>
      <c r="BF4954">
        <v>-0.04</v>
      </c>
      <c r="BG4954">
        <v>93</v>
      </c>
      <c r="BH4954">
        <v>-7.0000000000000007E-2</v>
      </c>
      <c r="BI4954">
        <v>-14.18</v>
      </c>
      <c r="BJ4954">
        <v>20</v>
      </c>
      <c r="BK4954">
        <v>15</v>
      </c>
      <c r="BL4954">
        <v>1.86</v>
      </c>
      <c r="BM4954">
        <v>0.68</v>
      </c>
      <c r="BN4954">
        <v>1.94</v>
      </c>
      <c r="BO4954">
        <v>1.25</v>
      </c>
      <c r="BP4954">
        <v>-0.19</v>
      </c>
      <c r="BQ4954">
        <v>2.72</v>
      </c>
      <c r="BR4954">
        <v>0.75</v>
      </c>
      <c r="BS4954">
        <v>0.33</v>
      </c>
      <c r="BT4954">
        <v>1.1399999999999999</v>
      </c>
      <c r="BU4954">
        <v>1.68</v>
      </c>
      <c r="BV4954">
        <v>2.68</v>
      </c>
      <c r="BW4954">
        <v>2.79</v>
      </c>
      <c r="BX4954">
        <v>1.49</v>
      </c>
      <c r="BY4954">
        <v>-0.63</v>
      </c>
      <c r="BZ4954">
        <v>1.32</v>
      </c>
      <c r="CA4954">
        <v>1.5</v>
      </c>
      <c r="CB4954">
        <v>1.32</v>
      </c>
      <c r="CC4954">
        <v>0.69</v>
      </c>
      <c r="CD4954">
        <v>-0.7</v>
      </c>
      <c r="CE4954">
        <v>1.1499999999999999</v>
      </c>
      <c r="CF4954">
        <v>1.45</v>
      </c>
      <c r="CG4954">
        <v>0</v>
      </c>
      <c r="CH4954">
        <v>-0.42</v>
      </c>
      <c r="CI4954">
        <v>0</v>
      </c>
      <c r="CJ4954">
        <v>2.9</v>
      </c>
      <c r="CK4954">
        <v>79</v>
      </c>
      <c r="CL4954">
        <v>-1.19</v>
      </c>
      <c r="CM4954">
        <v>76</v>
      </c>
      <c r="CN4954">
        <v>-0.89</v>
      </c>
      <c r="CO4954">
        <v>73</v>
      </c>
      <c r="CP4954">
        <v>15.8</v>
      </c>
      <c r="CQ4954">
        <v>81</v>
      </c>
      <c r="CR4954">
        <v>0</v>
      </c>
      <c r="CS4954">
        <v>0</v>
      </c>
      <c r="CT4954">
        <v>40.799999999999997</v>
      </c>
      <c r="CU4954">
        <v>75</v>
      </c>
      <c r="CV4954">
        <v>0.26</v>
      </c>
      <c r="CW4954">
        <v>41</v>
      </c>
      <c r="CX4954" t="s">
        <v>132</v>
      </c>
    </row>
    <row r="4955" spans="1:102" x14ac:dyDescent="0.3">
      <c r="A4955" t="str">
        <f>HYPERLINK("https://webapp.icbf.com/v2/app/bull-search/view/150934729","S298")</f>
        <v>S298</v>
      </c>
      <c r="B4955" t="s">
        <v>15406</v>
      </c>
      <c r="C4955" t="s">
        <v>15407</v>
      </c>
      <c r="D4955" s="1">
        <v>35617</v>
      </c>
      <c r="E4955" t="s">
        <v>92</v>
      </c>
      <c r="F4955">
        <v>100</v>
      </c>
      <c r="G4955" t="s">
        <v>93</v>
      </c>
      <c r="H4955">
        <v>-245.21</v>
      </c>
      <c r="I4955">
        <v>91</v>
      </c>
      <c r="J4955">
        <v>7.14</v>
      </c>
      <c r="K4955">
        <v>98</v>
      </c>
      <c r="L4955">
        <v>-203.77</v>
      </c>
      <c r="M4955">
        <v>89</v>
      </c>
      <c r="N4955">
        <v>-39.840000000000003</v>
      </c>
      <c r="O4955">
        <v>86</v>
      </c>
      <c r="P4955">
        <v>-7.26</v>
      </c>
      <c r="Q4955">
        <v>93</v>
      </c>
      <c r="R4955">
        <v>-7.74</v>
      </c>
      <c r="S4955">
        <v>84</v>
      </c>
      <c r="T4955">
        <v>8.42</v>
      </c>
      <c r="U4955">
        <v>87</v>
      </c>
      <c r="V4955">
        <v>-2.16</v>
      </c>
      <c r="W4955">
        <v>76</v>
      </c>
      <c r="X4955" t="s">
        <v>276</v>
      </c>
      <c r="Y4955" t="s">
        <v>95</v>
      </c>
      <c r="Z4955" t="s">
        <v>96</v>
      </c>
      <c r="AA4955" t="s">
        <v>218</v>
      </c>
      <c r="AB4955" t="s">
        <v>15408</v>
      </c>
      <c r="AC4955">
        <v>129</v>
      </c>
      <c r="AD4955">
        <v>78</v>
      </c>
      <c r="AE4955">
        <v>98</v>
      </c>
      <c r="AF4955">
        <v>-70.38</v>
      </c>
      <c r="AG4955">
        <v>-6.71</v>
      </c>
      <c r="AH4955">
        <v>2.5099999999999998</v>
      </c>
      <c r="AI4955">
        <v>-7.0000000000000007E-2</v>
      </c>
      <c r="AJ4955">
        <v>0.09</v>
      </c>
      <c r="AK4955">
        <v>89</v>
      </c>
      <c r="AL4955">
        <v>102</v>
      </c>
      <c r="AM4955">
        <v>61</v>
      </c>
      <c r="AN4955">
        <v>9.61</v>
      </c>
      <c r="AO4955">
        <v>-6.66</v>
      </c>
      <c r="AP4955">
        <v>221</v>
      </c>
      <c r="AQ4955">
        <v>0</v>
      </c>
      <c r="AR4955">
        <v>12.81</v>
      </c>
      <c r="AS4955">
        <v>77</v>
      </c>
      <c r="AT4955">
        <v>5.57</v>
      </c>
      <c r="AU4955">
        <v>90</v>
      </c>
      <c r="AV4955">
        <v>-0.55000000000000004</v>
      </c>
      <c r="AW4955">
        <v>94</v>
      </c>
      <c r="AX4955">
        <v>1.08</v>
      </c>
      <c r="AY4955">
        <v>83</v>
      </c>
      <c r="AZ4955">
        <v>5.35</v>
      </c>
      <c r="BA4955">
        <v>69</v>
      </c>
      <c r="BB4955">
        <v>4.41</v>
      </c>
      <c r="BC4955">
        <v>69</v>
      </c>
      <c r="BD4955">
        <v>0</v>
      </c>
      <c r="BE4955">
        <v>0.02</v>
      </c>
      <c r="BF4955">
        <v>0.14000000000000001</v>
      </c>
      <c r="BG4955">
        <v>94</v>
      </c>
      <c r="BH4955">
        <v>0.08</v>
      </c>
      <c r="BI4955">
        <v>16.21</v>
      </c>
      <c r="BJ4955">
        <v>29</v>
      </c>
      <c r="BK4955">
        <v>19</v>
      </c>
      <c r="BL4955">
        <v>-0.16</v>
      </c>
      <c r="BM4955">
        <v>-0.25</v>
      </c>
      <c r="BN4955">
        <v>0.55000000000000004</v>
      </c>
      <c r="BO4955">
        <v>0.65</v>
      </c>
      <c r="BP4955">
        <v>0.08</v>
      </c>
      <c r="BQ4955">
        <v>0.36</v>
      </c>
      <c r="BR4955">
        <v>1.52</v>
      </c>
      <c r="BS4955">
        <v>-1.8</v>
      </c>
      <c r="BT4955">
        <v>-1.53</v>
      </c>
      <c r="BU4955">
        <v>1.51</v>
      </c>
      <c r="BV4955">
        <v>0.99</v>
      </c>
      <c r="BW4955">
        <v>-0.02</v>
      </c>
      <c r="BX4955">
        <v>0.4</v>
      </c>
      <c r="BY4955">
        <v>0.95</v>
      </c>
      <c r="BZ4955">
        <v>0.14000000000000001</v>
      </c>
      <c r="CA4955">
        <v>0.14000000000000001</v>
      </c>
      <c r="CB4955">
        <v>1.07</v>
      </c>
      <c r="CC4955">
        <v>-1.27</v>
      </c>
      <c r="CD4955">
        <v>-0.59</v>
      </c>
      <c r="CE4955">
        <v>0.23</v>
      </c>
      <c r="CF4955">
        <v>0.03</v>
      </c>
      <c r="CG4955">
        <v>0</v>
      </c>
      <c r="CH4955">
        <v>0.77</v>
      </c>
      <c r="CI4955">
        <v>0</v>
      </c>
      <c r="CJ4955">
        <v>0.4</v>
      </c>
      <c r="CK4955">
        <v>94</v>
      </c>
      <c r="CL4955">
        <v>-0.65</v>
      </c>
      <c r="CM4955">
        <v>93</v>
      </c>
      <c r="CN4955">
        <v>0.02</v>
      </c>
      <c r="CO4955">
        <v>92</v>
      </c>
      <c r="CP4955">
        <v>-5.8</v>
      </c>
      <c r="CQ4955">
        <v>92</v>
      </c>
      <c r="CR4955">
        <v>0</v>
      </c>
      <c r="CS4955">
        <v>0</v>
      </c>
      <c r="CT4955">
        <v>2.4</v>
      </c>
      <c r="CU4955">
        <v>87</v>
      </c>
      <c r="CV4955">
        <v>0.18</v>
      </c>
      <c r="CW4955">
        <v>45</v>
      </c>
      <c r="CX4955" t="s">
        <v>265</v>
      </c>
    </row>
    <row r="4956" spans="1:102" x14ac:dyDescent="0.3">
      <c r="A4956" t="str">
        <f>HYPERLINK("https://webapp.icbf.com/v2/app/bull-search/view/77856580","HSE")</f>
        <v>HSE</v>
      </c>
      <c r="B4956" t="s">
        <v>11335</v>
      </c>
      <c r="C4956" t="s">
        <v>11336</v>
      </c>
      <c r="D4956" s="1">
        <v>34617</v>
      </c>
      <c r="E4956" t="s">
        <v>92</v>
      </c>
      <c r="F4956">
        <v>100</v>
      </c>
      <c r="G4956" t="s">
        <v>93</v>
      </c>
      <c r="H4956">
        <v>-248.52</v>
      </c>
      <c r="I4956">
        <v>93</v>
      </c>
      <c r="J4956">
        <v>23.91</v>
      </c>
      <c r="K4956">
        <v>99</v>
      </c>
      <c r="L4956">
        <v>-204.85</v>
      </c>
      <c r="M4956">
        <v>87</v>
      </c>
      <c r="N4956">
        <v>-36.42</v>
      </c>
      <c r="O4956">
        <v>91</v>
      </c>
      <c r="P4956">
        <v>-9.59</v>
      </c>
      <c r="Q4956">
        <v>98</v>
      </c>
      <c r="R4956">
        <v>-32.79</v>
      </c>
      <c r="S4956">
        <v>85</v>
      </c>
      <c r="T4956">
        <v>16.71</v>
      </c>
      <c r="U4956">
        <v>96</v>
      </c>
      <c r="V4956">
        <v>-5.49</v>
      </c>
      <c r="W4956">
        <v>79</v>
      </c>
      <c r="X4956" t="s">
        <v>94</v>
      </c>
      <c r="Y4956" t="s">
        <v>95</v>
      </c>
      <c r="Z4956" t="s">
        <v>96</v>
      </c>
      <c r="AA4956" t="s">
        <v>7042</v>
      </c>
      <c r="AB4956" t="s">
        <v>11337</v>
      </c>
      <c r="AC4956">
        <v>314</v>
      </c>
      <c r="AD4956">
        <v>177</v>
      </c>
      <c r="AE4956">
        <v>99</v>
      </c>
      <c r="AF4956">
        <v>187.14</v>
      </c>
      <c r="AG4956">
        <v>8.85</v>
      </c>
      <c r="AH4956">
        <v>3.8</v>
      </c>
      <c r="AI4956">
        <v>0.03</v>
      </c>
      <c r="AJ4956">
        <v>-0.04</v>
      </c>
      <c r="AK4956">
        <v>87</v>
      </c>
      <c r="AL4956">
        <v>451</v>
      </c>
      <c r="AM4956">
        <v>268</v>
      </c>
      <c r="AN4956">
        <v>10.91</v>
      </c>
      <c r="AO4956">
        <v>-5.43</v>
      </c>
      <c r="AP4956">
        <v>218</v>
      </c>
      <c r="AQ4956">
        <v>2</v>
      </c>
      <c r="AR4956">
        <v>9.7799999999999994</v>
      </c>
      <c r="AS4956">
        <v>85</v>
      </c>
      <c r="AT4956">
        <v>4.67</v>
      </c>
      <c r="AU4956">
        <v>89</v>
      </c>
      <c r="AV4956">
        <v>0.15</v>
      </c>
      <c r="AW4956">
        <v>98</v>
      </c>
      <c r="AX4956">
        <v>0.11</v>
      </c>
      <c r="AY4956">
        <v>94</v>
      </c>
      <c r="AZ4956">
        <v>9.59</v>
      </c>
      <c r="BA4956">
        <v>75</v>
      </c>
      <c r="BB4956">
        <v>6.26</v>
      </c>
      <c r="BC4956">
        <v>81</v>
      </c>
      <c r="BD4956">
        <v>0.12</v>
      </c>
      <c r="BE4956">
        <v>0.16</v>
      </c>
      <c r="BF4956">
        <v>0.25</v>
      </c>
      <c r="BG4956">
        <v>95</v>
      </c>
      <c r="BH4956">
        <v>-7.0000000000000007E-2</v>
      </c>
      <c r="BI4956">
        <v>9.6</v>
      </c>
      <c r="BJ4956">
        <v>17</v>
      </c>
      <c r="BK4956">
        <v>15</v>
      </c>
      <c r="BL4956">
        <v>0.42</v>
      </c>
      <c r="BM4956">
        <v>0.11</v>
      </c>
      <c r="BN4956">
        <v>2.13</v>
      </c>
      <c r="BO4956">
        <v>1.1200000000000001</v>
      </c>
      <c r="BP4956">
        <v>0.28000000000000003</v>
      </c>
      <c r="BQ4956">
        <v>0.93</v>
      </c>
      <c r="BR4956">
        <v>1.03</v>
      </c>
      <c r="BS4956">
        <v>-0.86</v>
      </c>
      <c r="BT4956">
        <v>-0.92</v>
      </c>
      <c r="BU4956">
        <v>-0.9</v>
      </c>
      <c r="BV4956">
        <v>0.17</v>
      </c>
      <c r="BW4956">
        <v>0.02</v>
      </c>
      <c r="BX4956">
        <v>-2.16</v>
      </c>
      <c r="BY4956">
        <v>-1.48</v>
      </c>
      <c r="BZ4956">
        <v>0.97</v>
      </c>
      <c r="CA4956">
        <v>-0.57999999999999996</v>
      </c>
      <c r="CB4956">
        <v>0.03</v>
      </c>
      <c r="CC4956">
        <v>-1.74</v>
      </c>
      <c r="CD4956">
        <v>-1.38</v>
      </c>
      <c r="CE4956">
        <v>1.93</v>
      </c>
      <c r="CF4956">
        <v>1.25</v>
      </c>
      <c r="CG4956">
        <v>0</v>
      </c>
      <c r="CH4956">
        <v>-0.56999999999999995</v>
      </c>
      <c r="CI4956">
        <v>0</v>
      </c>
      <c r="CJ4956">
        <v>-3.3</v>
      </c>
      <c r="CK4956">
        <v>98</v>
      </c>
      <c r="CL4956">
        <v>-0.66</v>
      </c>
      <c r="CM4956">
        <v>98</v>
      </c>
      <c r="CN4956">
        <v>-0.33</v>
      </c>
      <c r="CO4956">
        <v>98</v>
      </c>
      <c r="CP4956">
        <v>-13.9</v>
      </c>
      <c r="CQ4956">
        <v>98</v>
      </c>
      <c r="CR4956">
        <v>0</v>
      </c>
      <c r="CS4956">
        <v>0</v>
      </c>
      <c r="CT4956">
        <v>-8.8000000000000007</v>
      </c>
      <c r="CU4956">
        <v>96</v>
      </c>
      <c r="CV4956">
        <v>0.12</v>
      </c>
      <c r="CW4956">
        <v>45</v>
      </c>
      <c r="CX4956" t="s">
        <v>6504</v>
      </c>
    </row>
    <row r="4957" spans="1:102" x14ac:dyDescent="0.3">
      <c r="A4957" t="str">
        <f>HYPERLINK("https://webapp.icbf.com/v2/app/bull-search/view/77858788","DAS")</f>
        <v>DAS</v>
      </c>
      <c r="B4957" t="s">
        <v>3762</v>
      </c>
      <c r="C4957" t="s">
        <v>3763</v>
      </c>
      <c r="D4957" s="1">
        <v>31718</v>
      </c>
      <c r="E4957" t="s">
        <v>92</v>
      </c>
      <c r="F4957">
        <v>100</v>
      </c>
      <c r="G4957" t="s">
        <v>93</v>
      </c>
      <c r="H4957">
        <v>-248.55</v>
      </c>
      <c r="I4957">
        <v>96</v>
      </c>
      <c r="J4957">
        <v>-71.849999999999994</v>
      </c>
      <c r="K4957">
        <v>99</v>
      </c>
      <c r="L4957">
        <v>-145.84</v>
      </c>
      <c r="M4957">
        <v>94</v>
      </c>
      <c r="N4957">
        <v>-9.66</v>
      </c>
      <c r="O4957">
        <v>97</v>
      </c>
      <c r="P4957">
        <v>-15.8</v>
      </c>
      <c r="Q4957">
        <v>98</v>
      </c>
      <c r="R4957">
        <v>-12.51</v>
      </c>
      <c r="S4957">
        <v>92</v>
      </c>
      <c r="T4957">
        <v>9.83</v>
      </c>
      <c r="U4957">
        <v>97</v>
      </c>
      <c r="V4957">
        <v>-2.72</v>
      </c>
      <c r="W4957">
        <v>88</v>
      </c>
      <c r="X4957" t="s">
        <v>110</v>
      </c>
      <c r="Y4957" t="s">
        <v>95</v>
      </c>
      <c r="Z4957" t="s">
        <v>96</v>
      </c>
      <c r="AA4957" t="s">
        <v>154</v>
      </c>
      <c r="AB4957" t="s">
        <v>3764</v>
      </c>
      <c r="AC4957">
        <v>1183</v>
      </c>
      <c r="AD4957">
        <v>505</v>
      </c>
      <c r="AE4957">
        <v>99</v>
      </c>
      <c r="AF4957">
        <v>152.99</v>
      </c>
      <c r="AG4957">
        <v>-13.9</v>
      </c>
      <c r="AH4957">
        <v>-4.96</v>
      </c>
      <c r="AI4957">
        <v>-0.34</v>
      </c>
      <c r="AJ4957">
        <v>-0.17</v>
      </c>
      <c r="AK4957">
        <v>94</v>
      </c>
      <c r="AL4957">
        <v>1310</v>
      </c>
      <c r="AM4957">
        <v>541</v>
      </c>
      <c r="AN4957">
        <v>9.5299999999999994</v>
      </c>
      <c r="AO4957">
        <v>-2.08</v>
      </c>
      <c r="AP4957">
        <v>25</v>
      </c>
      <c r="AQ4957">
        <v>0</v>
      </c>
      <c r="AR4957">
        <v>8.07</v>
      </c>
      <c r="AS4957">
        <v>92</v>
      </c>
      <c r="AT4957">
        <v>4.4400000000000004</v>
      </c>
      <c r="AU4957">
        <v>98</v>
      </c>
      <c r="AV4957">
        <v>-0.56000000000000005</v>
      </c>
      <c r="AW4957">
        <v>97</v>
      </c>
      <c r="AX4957">
        <v>-0.17</v>
      </c>
      <c r="AY4957">
        <v>98</v>
      </c>
      <c r="AZ4957">
        <v>6.42</v>
      </c>
      <c r="BA4957">
        <v>91</v>
      </c>
      <c r="BB4957">
        <v>5.09</v>
      </c>
      <c r="BC4957">
        <v>95</v>
      </c>
      <c r="BD4957">
        <v>7.0000000000000007E-2</v>
      </c>
      <c r="BE4957">
        <v>0.09</v>
      </c>
      <c r="BF4957">
        <v>0</v>
      </c>
      <c r="BG4957">
        <v>99</v>
      </c>
      <c r="BH4957">
        <v>7.0000000000000007E-2</v>
      </c>
      <c r="BI4957">
        <v>16.88</v>
      </c>
      <c r="BJ4957">
        <v>627</v>
      </c>
      <c r="BK4957">
        <v>248</v>
      </c>
      <c r="BL4957">
        <v>0.99</v>
      </c>
      <c r="BM4957">
        <v>-1.68</v>
      </c>
      <c r="BN4957">
        <v>0.39</v>
      </c>
      <c r="BO4957">
        <v>1.36</v>
      </c>
      <c r="BP4957">
        <v>-0.99</v>
      </c>
      <c r="BQ4957">
        <v>-0.88</v>
      </c>
      <c r="BR4957">
        <v>-1.44</v>
      </c>
      <c r="BS4957">
        <v>2.0699999999999998</v>
      </c>
      <c r="BT4957">
        <v>0.92</v>
      </c>
      <c r="BU4957">
        <v>0.92</v>
      </c>
      <c r="BV4957">
        <v>1.49</v>
      </c>
      <c r="BW4957">
        <v>1.94</v>
      </c>
      <c r="BX4957">
        <v>1.82</v>
      </c>
      <c r="BY4957">
        <v>1.69</v>
      </c>
      <c r="BZ4957">
        <v>-0.8</v>
      </c>
      <c r="CA4957">
        <v>2.4500000000000002</v>
      </c>
      <c r="CB4957">
        <v>1.95</v>
      </c>
      <c r="CC4957">
        <v>2.29</v>
      </c>
      <c r="CD4957">
        <v>-2.02</v>
      </c>
      <c r="CE4957">
        <v>1.26</v>
      </c>
      <c r="CF4957">
        <v>0.96</v>
      </c>
      <c r="CG4957">
        <v>0</v>
      </c>
      <c r="CH4957">
        <v>1.7</v>
      </c>
      <c r="CI4957">
        <v>0</v>
      </c>
      <c r="CJ4957">
        <v>-8.9</v>
      </c>
      <c r="CK4957">
        <v>98</v>
      </c>
      <c r="CL4957">
        <v>-1.01</v>
      </c>
      <c r="CM4957">
        <v>97</v>
      </c>
      <c r="CN4957">
        <v>-0.64</v>
      </c>
      <c r="CO4957">
        <v>97</v>
      </c>
      <c r="CP4957">
        <v>-3.9</v>
      </c>
      <c r="CQ4957">
        <v>99</v>
      </c>
      <c r="CR4957">
        <v>0</v>
      </c>
      <c r="CS4957">
        <v>0</v>
      </c>
      <c r="CT4957">
        <v>0.5</v>
      </c>
      <c r="CU4957">
        <v>97</v>
      </c>
      <c r="CV4957">
        <v>0.01</v>
      </c>
      <c r="CW4957">
        <v>46</v>
      </c>
      <c r="CX4957" t="s">
        <v>120</v>
      </c>
    </row>
    <row r="4958" spans="1:102" x14ac:dyDescent="0.3">
      <c r="A4958" t="str">
        <f>HYPERLINK("https://webapp.icbf.com/v2/app/bull-search/view/210146026","MRP")</f>
        <v>MRP</v>
      </c>
      <c r="B4958" t="s">
        <v>1066</v>
      </c>
      <c r="C4958" t="s">
        <v>1067</v>
      </c>
      <c r="D4958" s="1">
        <v>37330</v>
      </c>
      <c r="E4958" t="s">
        <v>92</v>
      </c>
      <c r="F4958">
        <v>100</v>
      </c>
      <c r="G4958" t="s">
        <v>93</v>
      </c>
      <c r="H4958">
        <v>-249.81</v>
      </c>
      <c r="I4958">
        <v>83</v>
      </c>
      <c r="J4958">
        <v>33.590000000000003</v>
      </c>
      <c r="K4958">
        <v>93</v>
      </c>
      <c r="L4958">
        <v>-210.39</v>
      </c>
      <c r="M4958">
        <v>82</v>
      </c>
      <c r="N4958">
        <v>-66.739999999999995</v>
      </c>
      <c r="O4958">
        <v>75</v>
      </c>
      <c r="P4958">
        <v>-4.3099999999999996</v>
      </c>
      <c r="Q4958">
        <v>84</v>
      </c>
      <c r="R4958">
        <v>-13.95</v>
      </c>
      <c r="S4958">
        <v>70</v>
      </c>
      <c r="T4958">
        <v>9.16</v>
      </c>
      <c r="U4958">
        <v>79</v>
      </c>
      <c r="V4958">
        <v>2.83</v>
      </c>
      <c r="W4958">
        <v>36</v>
      </c>
      <c r="X4958" t="s">
        <v>251</v>
      </c>
      <c r="Y4958" t="s">
        <v>171</v>
      </c>
      <c r="Z4958" t="s">
        <v>96</v>
      </c>
      <c r="AA4958" t="s">
        <v>1068</v>
      </c>
      <c r="AB4958" t="s">
        <v>1069</v>
      </c>
      <c r="AC4958">
        <v>52</v>
      </c>
      <c r="AD4958">
        <v>34</v>
      </c>
      <c r="AE4958">
        <v>93</v>
      </c>
      <c r="AF4958">
        <v>569.03</v>
      </c>
      <c r="AG4958">
        <v>6.31</v>
      </c>
      <c r="AH4958">
        <v>12.19</v>
      </c>
      <c r="AI4958">
        <v>-0.24</v>
      </c>
      <c r="AJ4958">
        <v>-0.11</v>
      </c>
      <c r="AK4958">
        <v>82</v>
      </c>
      <c r="AL4958">
        <v>45</v>
      </c>
      <c r="AM4958">
        <v>25</v>
      </c>
      <c r="AN4958">
        <v>11.36</v>
      </c>
      <c r="AO4958">
        <v>-5.42</v>
      </c>
      <c r="AP4958">
        <v>98</v>
      </c>
      <c r="AQ4958">
        <v>4</v>
      </c>
      <c r="AR4958">
        <v>13.76</v>
      </c>
      <c r="AS4958">
        <v>53</v>
      </c>
      <c r="AT4958">
        <v>6.96</v>
      </c>
      <c r="AU4958">
        <v>84</v>
      </c>
      <c r="AV4958">
        <v>-0.34</v>
      </c>
      <c r="AW4958">
        <v>89</v>
      </c>
      <c r="AX4958">
        <v>1.26</v>
      </c>
      <c r="AY4958">
        <v>72</v>
      </c>
      <c r="AZ4958">
        <v>5.23</v>
      </c>
      <c r="BA4958">
        <v>46</v>
      </c>
      <c r="BB4958">
        <v>4.37</v>
      </c>
      <c r="BC4958">
        <v>41</v>
      </c>
      <c r="BD4958">
        <v>7.0000000000000007E-2</v>
      </c>
      <c r="BE4958">
        <v>0.06</v>
      </c>
      <c r="BF4958">
        <v>0.09</v>
      </c>
      <c r="BG4958">
        <v>88</v>
      </c>
      <c r="BH4958">
        <v>0.2</v>
      </c>
      <c r="BI4958">
        <v>14.02</v>
      </c>
      <c r="BJ4958">
        <v>29</v>
      </c>
      <c r="BK4958">
        <v>18</v>
      </c>
      <c r="BL4958">
        <v>2.21</v>
      </c>
      <c r="BM4958">
        <v>0.83</v>
      </c>
      <c r="BN4958">
        <v>2.4500000000000002</v>
      </c>
      <c r="BO4958">
        <v>1.71</v>
      </c>
      <c r="BP4958">
        <v>-0.19</v>
      </c>
      <c r="BQ4958">
        <v>2.19</v>
      </c>
      <c r="BR4958">
        <v>0.18</v>
      </c>
      <c r="BS4958">
        <v>-0.22</v>
      </c>
      <c r="BT4958">
        <v>-0.26</v>
      </c>
      <c r="BU4958">
        <v>0.79</v>
      </c>
      <c r="BV4958">
        <v>2.29</v>
      </c>
      <c r="BW4958">
        <v>2.33</v>
      </c>
      <c r="BX4958">
        <v>0.77</v>
      </c>
      <c r="BY4958">
        <v>-0.28000000000000003</v>
      </c>
      <c r="BZ4958">
        <v>3.08</v>
      </c>
      <c r="CA4958">
        <v>1.1299999999999999</v>
      </c>
      <c r="CB4958">
        <v>1.59</v>
      </c>
      <c r="CC4958">
        <v>-0.05</v>
      </c>
      <c r="CD4958">
        <v>-0.41</v>
      </c>
      <c r="CE4958">
        <v>1.32</v>
      </c>
      <c r="CF4958">
        <v>2.33</v>
      </c>
      <c r="CG4958">
        <v>0</v>
      </c>
      <c r="CH4958">
        <v>1.42</v>
      </c>
      <c r="CI4958">
        <v>0</v>
      </c>
      <c r="CJ4958">
        <v>-0.5</v>
      </c>
      <c r="CK4958">
        <v>85</v>
      </c>
      <c r="CL4958">
        <v>-1.0900000000000001</v>
      </c>
      <c r="CM4958">
        <v>82</v>
      </c>
      <c r="CN4958">
        <v>-0.69</v>
      </c>
      <c r="CO4958">
        <v>79</v>
      </c>
      <c r="CP4958">
        <v>-3</v>
      </c>
      <c r="CQ4958">
        <v>85</v>
      </c>
      <c r="CR4958">
        <v>0</v>
      </c>
      <c r="CS4958">
        <v>0</v>
      </c>
      <c r="CT4958">
        <v>1.4</v>
      </c>
      <c r="CU4958">
        <v>79</v>
      </c>
      <c r="CV4958">
        <v>0.32</v>
      </c>
      <c r="CW4958">
        <v>24</v>
      </c>
      <c r="CX4958" t="s">
        <v>1015</v>
      </c>
    </row>
    <row r="4959" spans="1:102" x14ac:dyDescent="0.3">
      <c r="A4959" t="str">
        <f>HYPERLINK("https://webapp.icbf.com/v2/app/bull-search/view/168907419","S320")</f>
        <v>S320</v>
      </c>
      <c r="B4959" t="s">
        <v>4126</v>
      </c>
      <c r="C4959" t="s">
        <v>4127</v>
      </c>
      <c r="D4959" s="1">
        <v>35888</v>
      </c>
      <c r="E4959" t="s">
        <v>92</v>
      </c>
      <c r="F4959">
        <v>100</v>
      </c>
      <c r="G4959" t="s">
        <v>109</v>
      </c>
      <c r="H4959">
        <v>-249.98</v>
      </c>
      <c r="I4959">
        <v>80</v>
      </c>
      <c r="J4959">
        <v>14.89</v>
      </c>
      <c r="K4959">
        <v>93</v>
      </c>
      <c r="L4959">
        <v>-198.3</v>
      </c>
      <c r="M4959">
        <v>85</v>
      </c>
      <c r="N4959">
        <v>-59.4</v>
      </c>
      <c r="O4959">
        <v>62</v>
      </c>
      <c r="P4959">
        <v>-8.42</v>
      </c>
      <c r="Q4959">
        <v>57</v>
      </c>
      <c r="R4959">
        <v>-3.93</v>
      </c>
      <c r="S4959">
        <v>78</v>
      </c>
      <c r="T4959">
        <v>11.98</v>
      </c>
      <c r="U4959">
        <v>55</v>
      </c>
      <c r="V4959">
        <v>-6.8</v>
      </c>
      <c r="W4959">
        <v>66</v>
      </c>
      <c r="X4959" t="s">
        <v>110</v>
      </c>
      <c r="Y4959" t="s">
        <v>545</v>
      </c>
      <c r="Z4959" t="s">
        <v>96</v>
      </c>
      <c r="AA4959" t="s">
        <v>1233</v>
      </c>
      <c r="AB4959" t="s">
        <v>4128</v>
      </c>
      <c r="AC4959">
        <v>0</v>
      </c>
      <c r="AD4959">
        <v>0</v>
      </c>
      <c r="AE4959">
        <v>93</v>
      </c>
      <c r="AF4959">
        <v>317.92</v>
      </c>
      <c r="AG4959">
        <v>3.36</v>
      </c>
      <c r="AH4959">
        <v>6.21</v>
      </c>
      <c r="AI4959">
        <v>-0.15</v>
      </c>
      <c r="AJ4959">
        <v>-0.08</v>
      </c>
      <c r="AK4959">
        <v>85</v>
      </c>
      <c r="AL4959">
        <v>0</v>
      </c>
      <c r="AM4959">
        <v>0</v>
      </c>
      <c r="AN4959">
        <v>11.92</v>
      </c>
      <c r="AO4959">
        <v>-3.88</v>
      </c>
      <c r="AP4959">
        <v>1</v>
      </c>
      <c r="AQ4959">
        <v>0</v>
      </c>
      <c r="AR4959">
        <v>14.94</v>
      </c>
      <c r="AS4959">
        <v>60</v>
      </c>
      <c r="AT4959">
        <v>6.4</v>
      </c>
      <c r="AU4959">
        <v>90</v>
      </c>
      <c r="AV4959">
        <v>-1.88</v>
      </c>
      <c r="AW4959">
        <v>52</v>
      </c>
      <c r="AX4959">
        <v>0.89</v>
      </c>
      <c r="AY4959">
        <v>52</v>
      </c>
      <c r="AZ4959">
        <v>6.53</v>
      </c>
      <c r="BA4959">
        <v>48</v>
      </c>
      <c r="BB4959">
        <v>5.84</v>
      </c>
      <c r="BC4959">
        <v>51</v>
      </c>
      <c r="BD4959">
        <v>-0.01</v>
      </c>
      <c r="BE4959">
        <v>0.03</v>
      </c>
      <c r="BF4959">
        <v>0.05</v>
      </c>
      <c r="BG4959">
        <v>92</v>
      </c>
      <c r="BH4959">
        <v>-0.11</v>
      </c>
      <c r="BI4959">
        <v>9.2100000000000009</v>
      </c>
      <c r="BJ4959">
        <v>3</v>
      </c>
      <c r="BK4959">
        <v>2</v>
      </c>
      <c r="BL4959">
        <v>0.69</v>
      </c>
      <c r="BM4959">
        <v>-0.03</v>
      </c>
      <c r="BN4959">
        <v>1.05</v>
      </c>
      <c r="BO4959">
        <v>0.49</v>
      </c>
      <c r="BP4959">
        <v>0.06</v>
      </c>
      <c r="BQ4959">
        <v>-1.2</v>
      </c>
      <c r="BR4959">
        <v>-2.89</v>
      </c>
      <c r="BS4959">
        <v>0.47</v>
      </c>
      <c r="BT4959">
        <v>3.09</v>
      </c>
      <c r="BU4959">
        <v>-0.75</v>
      </c>
      <c r="BV4959">
        <v>0.54</v>
      </c>
      <c r="BW4959">
        <v>-0.35</v>
      </c>
      <c r="BX4959">
        <v>-0.91</v>
      </c>
      <c r="BY4959">
        <v>0.06</v>
      </c>
      <c r="BZ4959">
        <v>1.27</v>
      </c>
      <c r="CA4959">
        <v>0.37</v>
      </c>
      <c r="CB4959">
        <v>-0.31</v>
      </c>
      <c r="CC4959">
        <v>1.27</v>
      </c>
      <c r="CD4959">
        <v>-0.54</v>
      </c>
      <c r="CE4959">
        <v>0.41</v>
      </c>
      <c r="CF4959">
        <v>-0.36</v>
      </c>
      <c r="CG4959">
        <v>0</v>
      </c>
      <c r="CH4959">
        <v>-0.04</v>
      </c>
      <c r="CI4959">
        <v>0</v>
      </c>
      <c r="CJ4959">
        <v>-1.7</v>
      </c>
      <c r="CK4959">
        <v>58</v>
      </c>
      <c r="CL4959">
        <v>-0.9</v>
      </c>
      <c r="CM4959">
        <v>56</v>
      </c>
      <c r="CN4959">
        <v>-0.34</v>
      </c>
      <c r="CO4959">
        <v>54</v>
      </c>
      <c r="CP4959">
        <v>-5.0999999999999996</v>
      </c>
      <c r="CQ4959">
        <v>58</v>
      </c>
      <c r="CR4959">
        <v>0</v>
      </c>
      <c r="CS4959">
        <v>0</v>
      </c>
      <c r="CT4959">
        <v>-2.4</v>
      </c>
      <c r="CU4959">
        <v>55</v>
      </c>
      <c r="CV4959">
        <v>0.2</v>
      </c>
      <c r="CW4959">
        <v>37</v>
      </c>
      <c r="CX4959" t="s">
        <v>265</v>
      </c>
    </row>
    <row r="4960" spans="1:102" x14ac:dyDescent="0.3">
      <c r="A4960" t="str">
        <f>HYPERLINK("https://webapp.icbf.com/v2/app/bull-search/view/77855311","MOM")</f>
        <v>MOM</v>
      </c>
      <c r="B4960" t="s">
        <v>3890</v>
      </c>
      <c r="C4960" t="s">
        <v>3891</v>
      </c>
      <c r="D4960" s="1">
        <v>34561</v>
      </c>
      <c r="E4960" t="s">
        <v>92</v>
      </c>
      <c r="F4960">
        <v>100</v>
      </c>
      <c r="G4960" t="s">
        <v>93</v>
      </c>
      <c r="H4960">
        <v>-251.5</v>
      </c>
      <c r="I4960">
        <v>88</v>
      </c>
      <c r="J4960">
        <v>-23.01</v>
      </c>
      <c r="K4960">
        <v>97</v>
      </c>
      <c r="L4960">
        <v>-157.72999999999999</v>
      </c>
      <c r="M4960">
        <v>89</v>
      </c>
      <c r="N4960">
        <v>-63.72</v>
      </c>
      <c r="O4960">
        <v>76</v>
      </c>
      <c r="P4960">
        <v>1.59</v>
      </c>
      <c r="Q4960">
        <v>85</v>
      </c>
      <c r="R4960">
        <v>-8</v>
      </c>
      <c r="S4960">
        <v>82</v>
      </c>
      <c r="T4960">
        <v>-0.38</v>
      </c>
      <c r="U4960">
        <v>79</v>
      </c>
      <c r="V4960">
        <v>-0.25</v>
      </c>
      <c r="W4960">
        <v>71</v>
      </c>
      <c r="X4960" t="s">
        <v>251</v>
      </c>
      <c r="Y4960" t="s">
        <v>95</v>
      </c>
      <c r="Z4960" t="s">
        <v>96</v>
      </c>
      <c r="AA4960" t="s">
        <v>678</v>
      </c>
      <c r="AB4960" t="s">
        <v>3892</v>
      </c>
      <c r="AC4960">
        <v>62</v>
      </c>
      <c r="AD4960">
        <v>38</v>
      </c>
      <c r="AE4960">
        <v>97</v>
      </c>
      <c r="AF4960">
        <v>403.15</v>
      </c>
      <c r="AG4960">
        <v>-3.91</v>
      </c>
      <c r="AH4960">
        <v>3.64</v>
      </c>
      <c r="AI4960">
        <v>-0.32</v>
      </c>
      <c r="AJ4960">
        <v>-0.16</v>
      </c>
      <c r="AK4960">
        <v>89</v>
      </c>
      <c r="AL4960">
        <v>61</v>
      </c>
      <c r="AM4960">
        <v>34</v>
      </c>
      <c r="AN4960">
        <v>7.73</v>
      </c>
      <c r="AO4960">
        <v>-4.8600000000000003</v>
      </c>
      <c r="AP4960">
        <v>29</v>
      </c>
      <c r="AQ4960">
        <v>0</v>
      </c>
      <c r="AR4960">
        <v>12.99</v>
      </c>
      <c r="AS4960">
        <v>68</v>
      </c>
      <c r="AT4960">
        <v>6.67</v>
      </c>
      <c r="AU4960">
        <v>85</v>
      </c>
      <c r="AV4960">
        <v>0.16</v>
      </c>
      <c r="AW4960">
        <v>77</v>
      </c>
      <c r="AX4960">
        <v>0.76</v>
      </c>
      <c r="AY4960">
        <v>74</v>
      </c>
      <c r="AZ4960">
        <v>5.7</v>
      </c>
      <c r="BA4960">
        <v>63</v>
      </c>
      <c r="BB4960">
        <v>4.79</v>
      </c>
      <c r="BC4960">
        <v>66</v>
      </c>
      <c r="BD4960">
        <v>0.06</v>
      </c>
      <c r="BE4960">
        <v>0.06</v>
      </c>
      <c r="BF4960">
        <v>-0.03</v>
      </c>
      <c r="BG4960">
        <v>92</v>
      </c>
      <c r="BH4960">
        <v>-0.01</v>
      </c>
      <c r="BI4960">
        <v>-0.34</v>
      </c>
      <c r="BJ4960">
        <v>15</v>
      </c>
      <c r="BK4960">
        <v>9</v>
      </c>
      <c r="BL4960">
        <v>0.56999999999999995</v>
      </c>
      <c r="BM4960">
        <v>0.03</v>
      </c>
      <c r="BN4960">
        <v>0.24</v>
      </c>
      <c r="BO4960">
        <v>0.54</v>
      </c>
      <c r="BP4960">
        <v>-0.12</v>
      </c>
      <c r="BQ4960">
        <v>0.93</v>
      </c>
      <c r="BR4960">
        <v>1.26</v>
      </c>
      <c r="BS4960">
        <v>-0.44</v>
      </c>
      <c r="BT4960">
        <v>-0.41</v>
      </c>
      <c r="BU4960">
        <v>2.08</v>
      </c>
      <c r="BV4960">
        <v>1.05</v>
      </c>
      <c r="BW4960">
        <v>1.4</v>
      </c>
      <c r="BX4960">
        <v>1.26</v>
      </c>
      <c r="BY4960">
        <v>2</v>
      </c>
      <c r="BZ4960">
        <v>-1.22</v>
      </c>
      <c r="CA4960">
        <v>1.1100000000000001</v>
      </c>
      <c r="CB4960">
        <v>1.87</v>
      </c>
      <c r="CC4960">
        <v>-0.78</v>
      </c>
      <c r="CD4960">
        <v>-0.14000000000000001</v>
      </c>
      <c r="CE4960">
        <v>0.61</v>
      </c>
      <c r="CF4960">
        <v>0.8</v>
      </c>
      <c r="CG4960">
        <v>0</v>
      </c>
      <c r="CH4960">
        <v>2.21</v>
      </c>
      <c r="CI4960">
        <v>0</v>
      </c>
      <c r="CJ4960">
        <v>0.5</v>
      </c>
      <c r="CK4960">
        <v>86</v>
      </c>
      <c r="CL4960">
        <v>-0.59</v>
      </c>
      <c r="CM4960">
        <v>84</v>
      </c>
      <c r="CN4960">
        <v>-0.51</v>
      </c>
      <c r="CO4960">
        <v>81</v>
      </c>
      <c r="CP4960">
        <v>6.8</v>
      </c>
      <c r="CQ4960">
        <v>87</v>
      </c>
      <c r="CR4960">
        <v>0</v>
      </c>
      <c r="CS4960">
        <v>0</v>
      </c>
      <c r="CT4960">
        <v>14.3</v>
      </c>
      <c r="CU4960">
        <v>79</v>
      </c>
      <c r="CV4960">
        <v>0.04</v>
      </c>
      <c r="CW4960">
        <v>43</v>
      </c>
      <c r="CX4960" t="s">
        <v>485</v>
      </c>
    </row>
    <row r="4961" spans="1:102" x14ac:dyDescent="0.3">
      <c r="A4961" t="str">
        <f>HYPERLINK("https://webapp.icbf.com/v2/app/bull-search/view/77852965","WDL")</f>
        <v>WDL</v>
      </c>
      <c r="B4961" t="s">
        <v>10747</v>
      </c>
      <c r="C4961" t="s">
        <v>4606</v>
      </c>
      <c r="D4961" s="1">
        <v>32820</v>
      </c>
      <c r="E4961" t="s">
        <v>92</v>
      </c>
      <c r="F4961">
        <v>100</v>
      </c>
      <c r="G4961" t="s">
        <v>93</v>
      </c>
      <c r="H4961">
        <v>-251.57</v>
      </c>
      <c r="I4961">
        <v>88</v>
      </c>
      <c r="J4961">
        <v>-22.23</v>
      </c>
      <c r="K4961">
        <v>96</v>
      </c>
      <c r="L4961">
        <v>-201.37</v>
      </c>
      <c r="M4961">
        <v>91</v>
      </c>
      <c r="N4961">
        <v>-0.92</v>
      </c>
      <c r="O4961">
        <v>76</v>
      </c>
      <c r="P4961">
        <v>-14.31</v>
      </c>
      <c r="Q4961">
        <v>80</v>
      </c>
      <c r="R4961">
        <v>-18.86</v>
      </c>
      <c r="S4961">
        <v>83</v>
      </c>
      <c r="T4961">
        <v>7.39</v>
      </c>
      <c r="U4961">
        <v>78</v>
      </c>
      <c r="V4961">
        <v>-1.27</v>
      </c>
      <c r="W4961">
        <v>72</v>
      </c>
      <c r="X4961" t="s">
        <v>747</v>
      </c>
      <c r="Y4961" t="s">
        <v>95</v>
      </c>
      <c r="Z4961" t="s">
        <v>96</v>
      </c>
      <c r="AA4961" t="s">
        <v>111</v>
      </c>
      <c r="AB4961" t="s">
        <v>10748</v>
      </c>
      <c r="AC4961">
        <v>52</v>
      </c>
      <c r="AD4961">
        <v>40</v>
      </c>
      <c r="AE4961">
        <v>96</v>
      </c>
      <c r="AF4961">
        <v>439.01</v>
      </c>
      <c r="AG4961">
        <v>1.75</v>
      </c>
      <c r="AH4961">
        <v>2.3199999999999998</v>
      </c>
      <c r="AI4961">
        <v>-0.25</v>
      </c>
      <c r="AJ4961">
        <v>-0.2</v>
      </c>
      <c r="AK4961">
        <v>91</v>
      </c>
      <c r="AL4961">
        <v>47</v>
      </c>
      <c r="AM4961">
        <v>26</v>
      </c>
      <c r="AN4961">
        <v>12.46</v>
      </c>
      <c r="AO4961">
        <v>-3.58</v>
      </c>
      <c r="AP4961">
        <v>1</v>
      </c>
      <c r="AQ4961">
        <v>4</v>
      </c>
      <c r="AR4961">
        <v>7.86</v>
      </c>
      <c r="AS4961">
        <v>69</v>
      </c>
      <c r="AT4961">
        <v>3.85</v>
      </c>
      <c r="AU4961">
        <v>97</v>
      </c>
      <c r="AV4961">
        <v>-0.2</v>
      </c>
      <c r="AW4961">
        <v>69</v>
      </c>
      <c r="AX4961">
        <v>-0.84</v>
      </c>
      <c r="AY4961">
        <v>75</v>
      </c>
      <c r="AZ4961">
        <v>5.74</v>
      </c>
      <c r="BA4961">
        <v>62</v>
      </c>
      <c r="BB4961">
        <v>4.63</v>
      </c>
      <c r="BC4961">
        <v>69</v>
      </c>
      <c r="BD4961">
        <v>0.1</v>
      </c>
      <c r="BE4961">
        <v>0.13</v>
      </c>
      <c r="BF4961">
        <v>0.02</v>
      </c>
      <c r="BG4961">
        <v>94</v>
      </c>
      <c r="BH4961">
        <v>0.08</v>
      </c>
      <c r="BI4961">
        <v>13.34</v>
      </c>
      <c r="BJ4961">
        <v>15</v>
      </c>
      <c r="BK4961">
        <v>10</v>
      </c>
      <c r="BL4961">
        <v>0.7</v>
      </c>
      <c r="BM4961">
        <v>-2.5099999999999998</v>
      </c>
      <c r="BN4961">
        <v>0.32</v>
      </c>
      <c r="BO4961">
        <v>1.7</v>
      </c>
      <c r="BP4961">
        <v>-0.78</v>
      </c>
      <c r="BQ4961">
        <v>-1.95</v>
      </c>
      <c r="BR4961">
        <v>0.31</v>
      </c>
      <c r="BS4961">
        <v>-1.56</v>
      </c>
      <c r="BT4961">
        <v>-1.74</v>
      </c>
      <c r="BU4961">
        <v>-0.46</v>
      </c>
      <c r="BV4961">
        <v>0.52</v>
      </c>
      <c r="BW4961">
        <v>0.65</v>
      </c>
      <c r="BX4961">
        <v>-0.43</v>
      </c>
      <c r="BY4961">
        <v>-1.24</v>
      </c>
      <c r="BZ4961">
        <v>-0.24</v>
      </c>
      <c r="CA4961">
        <v>-0.22</v>
      </c>
      <c r="CB4961">
        <v>0.17</v>
      </c>
      <c r="CC4961">
        <v>-0.7</v>
      </c>
      <c r="CD4961">
        <v>-2.41</v>
      </c>
      <c r="CE4961">
        <v>1.27</v>
      </c>
      <c r="CF4961">
        <v>0.73</v>
      </c>
      <c r="CG4961">
        <v>0</v>
      </c>
      <c r="CH4961">
        <v>-1.22</v>
      </c>
      <c r="CI4961">
        <v>0</v>
      </c>
      <c r="CJ4961">
        <v>-5.6</v>
      </c>
      <c r="CK4961">
        <v>81</v>
      </c>
      <c r="CL4961">
        <v>-0.97</v>
      </c>
      <c r="CM4961">
        <v>79</v>
      </c>
      <c r="CN4961">
        <v>-0.35</v>
      </c>
      <c r="CO4961">
        <v>76</v>
      </c>
      <c r="CP4961">
        <v>-4.5</v>
      </c>
      <c r="CQ4961">
        <v>86</v>
      </c>
      <c r="CR4961">
        <v>0</v>
      </c>
      <c r="CS4961">
        <v>0</v>
      </c>
      <c r="CT4961">
        <v>3.8</v>
      </c>
      <c r="CU4961">
        <v>78</v>
      </c>
      <c r="CV4961">
        <v>0.11</v>
      </c>
      <c r="CW4961">
        <v>42</v>
      </c>
      <c r="CX4961" t="s">
        <v>543</v>
      </c>
    </row>
    <row r="4962" spans="1:102" x14ac:dyDescent="0.3">
      <c r="A4962" t="str">
        <f>HYPERLINK("https://webapp.icbf.com/v2/app/bull-search/view/69092254","MLZ")</f>
        <v>MLZ</v>
      </c>
      <c r="B4962" t="s">
        <v>3512</v>
      </c>
      <c r="C4962" t="s">
        <v>3513</v>
      </c>
      <c r="D4962" s="1">
        <v>34928</v>
      </c>
      <c r="E4962" t="s">
        <v>92</v>
      </c>
      <c r="F4962">
        <v>100</v>
      </c>
      <c r="G4962" t="s">
        <v>93</v>
      </c>
      <c r="H4962">
        <v>-252.68</v>
      </c>
      <c r="I4962">
        <v>97</v>
      </c>
      <c r="J4962">
        <v>-16.25</v>
      </c>
      <c r="K4962">
        <v>99</v>
      </c>
      <c r="L4962">
        <v>-244</v>
      </c>
      <c r="M4962">
        <v>95</v>
      </c>
      <c r="N4962">
        <v>6.09</v>
      </c>
      <c r="O4962">
        <v>97</v>
      </c>
      <c r="P4962">
        <v>-6.56</v>
      </c>
      <c r="Q4962">
        <v>99</v>
      </c>
      <c r="R4962">
        <v>-0.6</v>
      </c>
      <c r="S4962">
        <v>92</v>
      </c>
      <c r="T4962">
        <v>6.35</v>
      </c>
      <c r="U4962">
        <v>98</v>
      </c>
      <c r="V4962">
        <v>2.29</v>
      </c>
      <c r="W4962">
        <v>91</v>
      </c>
      <c r="X4962" t="s">
        <v>131</v>
      </c>
      <c r="Y4962" t="s">
        <v>95</v>
      </c>
      <c r="Z4962" t="s">
        <v>96</v>
      </c>
      <c r="AA4962" t="s">
        <v>715</v>
      </c>
      <c r="AB4962" t="s">
        <v>3514</v>
      </c>
      <c r="AC4962">
        <v>1006</v>
      </c>
      <c r="AD4962">
        <v>401</v>
      </c>
      <c r="AE4962">
        <v>99</v>
      </c>
      <c r="AF4962">
        <v>232.17</v>
      </c>
      <c r="AG4962">
        <v>1.3</v>
      </c>
      <c r="AH4962">
        <v>0.33</v>
      </c>
      <c r="AI4962">
        <v>-0.13</v>
      </c>
      <c r="AJ4962">
        <v>-0.13</v>
      </c>
      <c r="AK4962">
        <v>95</v>
      </c>
      <c r="AL4962">
        <v>870</v>
      </c>
      <c r="AM4962">
        <v>326</v>
      </c>
      <c r="AN4962">
        <v>14</v>
      </c>
      <c r="AO4962">
        <v>-5.45</v>
      </c>
      <c r="AP4962">
        <v>1526</v>
      </c>
      <c r="AQ4962">
        <v>3</v>
      </c>
      <c r="AR4962">
        <v>9.39</v>
      </c>
      <c r="AS4962">
        <v>97</v>
      </c>
      <c r="AT4962">
        <v>3.3</v>
      </c>
      <c r="AU4962">
        <v>97</v>
      </c>
      <c r="AV4962">
        <v>-1.64</v>
      </c>
      <c r="AW4962">
        <v>99</v>
      </c>
      <c r="AX4962">
        <v>0.05</v>
      </c>
      <c r="AY4962">
        <v>97</v>
      </c>
      <c r="AZ4962">
        <v>5.68</v>
      </c>
      <c r="BA4962">
        <v>93</v>
      </c>
      <c r="BB4962">
        <v>5.28</v>
      </c>
      <c r="BC4962">
        <v>93</v>
      </c>
      <c r="BD4962">
        <v>-0.02</v>
      </c>
      <c r="BE4962">
        <v>0.03</v>
      </c>
      <c r="BF4962">
        <v>-0.01</v>
      </c>
      <c r="BG4962">
        <v>98</v>
      </c>
      <c r="BH4962">
        <v>0.18</v>
      </c>
      <c r="BI4962">
        <v>13.43</v>
      </c>
      <c r="BJ4962">
        <v>336</v>
      </c>
      <c r="BK4962">
        <v>136</v>
      </c>
      <c r="BL4962">
        <v>0.8</v>
      </c>
      <c r="BM4962">
        <v>0.08</v>
      </c>
      <c r="BN4962">
        <v>1.35</v>
      </c>
      <c r="BO4962">
        <v>0.92</v>
      </c>
      <c r="BP4962">
        <v>-2.0099999999999998</v>
      </c>
      <c r="BQ4962">
        <v>1.19</v>
      </c>
      <c r="BR4962">
        <v>1.04</v>
      </c>
      <c r="BS4962">
        <v>-1.46</v>
      </c>
      <c r="BT4962">
        <v>-0.82</v>
      </c>
      <c r="BU4962">
        <v>1.53</v>
      </c>
      <c r="BV4962">
        <v>1.56</v>
      </c>
      <c r="BW4962">
        <v>1.48</v>
      </c>
      <c r="BX4962">
        <v>1.37</v>
      </c>
      <c r="BY4962">
        <v>0.88</v>
      </c>
      <c r="BZ4962">
        <v>0.41</v>
      </c>
      <c r="CA4962">
        <v>0.82</v>
      </c>
      <c r="CB4962">
        <v>1.66</v>
      </c>
      <c r="CC4962">
        <v>-1.1000000000000001</v>
      </c>
      <c r="CD4962">
        <v>-0.43</v>
      </c>
      <c r="CE4962">
        <v>0.94</v>
      </c>
      <c r="CF4962">
        <v>0.6</v>
      </c>
      <c r="CG4962">
        <v>0</v>
      </c>
      <c r="CH4962">
        <v>0.92</v>
      </c>
      <c r="CI4962">
        <v>0</v>
      </c>
      <c r="CJ4962">
        <v>-1</v>
      </c>
      <c r="CK4962">
        <v>99</v>
      </c>
      <c r="CL4962">
        <v>-0.83</v>
      </c>
      <c r="CM4962">
        <v>99</v>
      </c>
      <c r="CN4962">
        <v>-0.33</v>
      </c>
      <c r="CO4962">
        <v>99</v>
      </c>
      <c r="CP4962">
        <v>-3.2</v>
      </c>
      <c r="CQ4962">
        <v>99</v>
      </c>
      <c r="CR4962">
        <v>0</v>
      </c>
      <c r="CS4962">
        <v>0</v>
      </c>
      <c r="CT4962">
        <v>5.2</v>
      </c>
      <c r="CU4962">
        <v>98</v>
      </c>
      <c r="CV4962">
        <v>0.17</v>
      </c>
      <c r="CW4962">
        <v>46</v>
      </c>
      <c r="CX4962" t="s">
        <v>3515</v>
      </c>
    </row>
    <row r="4963" spans="1:102" x14ac:dyDescent="0.3">
      <c r="A4963" t="str">
        <f>HYPERLINK("https://webapp.icbf.com/v2/app/bull-search/view/69092365","PAP")</f>
        <v>PAP</v>
      </c>
      <c r="B4963" t="s">
        <v>10453</v>
      </c>
      <c r="C4963" t="s">
        <v>10454</v>
      </c>
      <c r="D4963" s="1">
        <v>36306</v>
      </c>
      <c r="E4963" t="s">
        <v>92</v>
      </c>
      <c r="F4963">
        <v>100</v>
      </c>
      <c r="G4963" t="s">
        <v>93</v>
      </c>
      <c r="H4963">
        <v>-252.78</v>
      </c>
      <c r="I4963">
        <v>93</v>
      </c>
      <c r="J4963">
        <v>22.28</v>
      </c>
      <c r="K4963">
        <v>99</v>
      </c>
      <c r="L4963">
        <v>-238.8</v>
      </c>
      <c r="M4963">
        <v>88</v>
      </c>
      <c r="N4963">
        <v>-46.09</v>
      </c>
      <c r="O4963">
        <v>94</v>
      </c>
      <c r="P4963">
        <v>-7.03</v>
      </c>
      <c r="Q4963">
        <v>98</v>
      </c>
      <c r="R4963">
        <v>6.23</v>
      </c>
      <c r="S4963">
        <v>87</v>
      </c>
      <c r="T4963">
        <v>10.79</v>
      </c>
      <c r="U4963">
        <v>96</v>
      </c>
      <c r="V4963">
        <v>-0.16</v>
      </c>
      <c r="W4963">
        <v>81</v>
      </c>
      <c r="X4963" t="s">
        <v>94</v>
      </c>
      <c r="Y4963" t="s">
        <v>95</v>
      </c>
      <c r="Z4963" t="s">
        <v>96</v>
      </c>
      <c r="AA4963" t="s">
        <v>2431</v>
      </c>
      <c r="AB4963" t="s">
        <v>10455</v>
      </c>
      <c r="AC4963">
        <v>442</v>
      </c>
      <c r="AD4963">
        <v>347</v>
      </c>
      <c r="AE4963">
        <v>99</v>
      </c>
      <c r="AF4963">
        <v>291.39999999999998</v>
      </c>
      <c r="AG4963">
        <v>-0.65</v>
      </c>
      <c r="AH4963">
        <v>8.48</v>
      </c>
      <c r="AI4963">
        <v>-0.2</v>
      </c>
      <c r="AJ4963">
        <v>-0.02</v>
      </c>
      <c r="AK4963">
        <v>88</v>
      </c>
      <c r="AL4963">
        <v>416</v>
      </c>
      <c r="AM4963">
        <v>324</v>
      </c>
      <c r="AN4963">
        <v>12.57</v>
      </c>
      <c r="AO4963">
        <v>-6.48</v>
      </c>
      <c r="AP4963">
        <v>679</v>
      </c>
      <c r="AQ4963">
        <v>6</v>
      </c>
      <c r="AR4963">
        <v>12.63</v>
      </c>
      <c r="AS4963">
        <v>86</v>
      </c>
      <c r="AT4963">
        <v>5.73</v>
      </c>
      <c r="AU4963">
        <v>95</v>
      </c>
      <c r="AV4963">
        <v>0.02</v>
      </c>
      <c r="AW4963">
        <v>98</v>
      </c>
      <c r="AX4963">
        <v>0.19</v>
      </c>
      <c r="AY4963">
        <v>94</v>
      </c>
      <c r="AZ4963">
        <v>7.02</v>
      </c>
      <c r="BA4963">
        <v>85</v>
      </c>
      <c r="BB4963">
        <v>4.47</v>
      </c>
      <c r="BC4963">
        <v>85</v>
      </c>
      <c r="BD4963">
        <v>0.01</v>
      </c>
      <c r="BE4963">
        <v>0</v>
      </c>
      <c r="BF4963">
        <v>-0.16</v>
      </c>
      <c r="BG4963">
        <v>96</v>
      </c>
      <c r="BH4963">
        <v>-0.03</v>
      </c>
      <c r="BI4963">
        <v>-2.97</v>
      </c>
      <c r="BJ4963">
        <v>55</v>
      </c>
      <c r="BK4963">
        <v>37</v>
      </c>
      <c r="BL4963">
        <v>0.33</v>
      </c>
      <c r="BM4963">
        <v>-0.94</v>
      </c>
      <c r="BN4963">
        <v>0.91</v>
      </c>
      <c r="BO4963">
        <v>0.94</v>
      </c>
      <c r="BP4963">
        <v>-0.96</v>
      </c>
      <c r="BQ4963">
        <v>-0.26</v>
      </c>
      <c r="BR4963">
        <v>1.59</v>
      </c>
      <c r="BS4963">
        <v>-2.08</v>
      </c>
      <c r="BT4963">
        <v>-1.6</v>
      </c>
      <c r="BU4963">
        <v>0.56000000000000005</v>
      </c>
      <c r="BV4963">
        <v>1.17</v>
      </c>
      <c r="BW4963">
        <v>0.69</v>
      </c>
      <c r="BX4963">
        <v>-0.06</v>
      </c>
      <c r="BY4963">
        <v>0.2</v>
      </c>
      <c r="BZ4963">
        <v>1.05</v>
      </c>
      <c r="CA4963">
        <v>-0.64</v>
      </c>
      <c r="CB4963">
        <v>0.71</v>
      </c>
      <c r="CC4963">
        <v>-2.66</v>
      </c>
      <c r="CD4963">
        <v>-1.61</v>
      </c>
      <c r="CE4963">
        <v>0.79</v>
      </c>
      <c r="CF4963">
        <v>-0.5</v>
      </c>
      <c r="CG4963">
        <v>0</v>
      </c>
      <c r="CH4963">
        <v>0.48</v>
      </c>
      <c r="CI4963">
        <v>0</v>
      </c>
      <c r="CJ4963">
        <v>-0.6</v>
      </c>
      <c r="CK4963">
        <v>98</v>
      </c>
      <c r="CL4963">
        <v>-0.71</v>
      </c>
      <c r="CM4963">
        <v>98</v>
      </c>
      <c r="CN4963">
        <v>-0.14000000000000001</v>
      </c>
      <c r="CO4963">
        <v>98</v>
      </c>
      <c r="CP4963">
        <v>-3.4</v>
      </c>
      <c r="CQ4963">
        <v>98</v>
      </c>
      <c r="CR4963">
        <v>0</v>
      </c>
      <c r="CS4963">
        <v>0</v>
      </c>
      <c r="CT4963">
        <v>-0.8</v>
      </c>
      <c r="CU4963">
        <v>96</v>
      </c>
      <c r="CV4963">
        <v>0.2</v>
      </c>
      <c r="CW4963">
        <v>46</v>
      </c>
      <c r="CX4963" t="s">
        <v>751</v>
      </c>
    </row>
    <row r="4964" spans="1:102" x14ac:dyDescent="0.3">
      <c r="A4964" t="str">
        <f>HYPERLINK("https://webapp.icbf.com/v2/app/bull-search/view/124414980","PIN")</f>
        <v>PIN</v>
      </c>
      <c r="B4964" t="s">
        <v>14621</v>
      </c>
      <c r="C4964" t="s">
        <v>14622</v>
      </c>
      <c r="D4964" s="1">
        <v>34889</v>
      </c>
      <c r="E4964" t="s">
        <v>92</v>
      </c>
      <c r="F4964">
        <v>100</v>
      </c>
      <c r="G4964" t="s">
        <v>93</v>
      </c>
      <c r="H4964">
        <v>-253.31</v>
      </c>
      <c r="I4964">
        <v>87</v>
      </c>
      <c r="J4964">
        <v>6.23</v>
      </c>
      <c r="K4964">
        <v>95</v>
      </c>
      <c r="L4964">
        <v>-212.14</v>
      </c>
      <c r="M4964">
        <v>88</v>
      </c>
      <c r="N4964">
        <v>-23.96</v>
      </c>
      <c r="O4964">
        <v>78</v>
      </c>
      <c r="P4964">
        <v>-13.42</v>
      </c>
      <c r="Q4964">
        <v>84</v>
      </c>
      <c r="R4964">
        <v>-16.760000000000002</v>
      </c>
      <c r="S4964">
        <v>80</v>
      </c>
      <c r="T4964">
        <v>15.97</v>
      </c>
      <c r="U4964">
        <v>71</v>
      </c>
      <c r="V4964">
        <v>-9.23</v>
      </c>
      <c r="W4964">
        <v>69</v>
      </c>
      <c r="X4964" t="s">
        <v>970</v>
      </c>
      <c r="Y4964" t="s">
        <v>95</v>
      </c>
      <c r="Z4964" t="s">
        <v>96</v>
      </c>
      <c r="AA4964" t="s">
        <v>105</v>
      </c>
      <c r="AB4964" t="s">
        <v>4680</v>
      </c>
      <c r="AC4964">
        <v>53</v>
      </c>
      <c r="AD4964">
        <v>37</v>
      </c>
      <c r="AE4964">
        <v>95</v>
      </c>
      <c r="AF4964">
        <v>320.51</v>
      </c>
      <c r="AG4964">
        <v>2.56</v>
      </c>
      <c r="AH4964">
        <v>5.0599999999999996</v>
      </c>
      <c r="AI4964">
        <v>-0.16</v>
      </c>
      <c r="AJ4964">
        <v>-0.1</v>
      </c>
      <c r="AK4964">
        <v>88</v>
      </c>
      <c r="AL4964">
        <v>49</v>
      </c>
      <c r="AM4964">
        <v>38</v>
      </c>
      <c r="AN4964">
        <v>12.21</v>
      </c>
      <c r="AO4964">
        <v>-4.7</v>
      </c>
      <c r="AP4964">
        <v>72</v>
      </c>
      <c r="AQ4964">
        <v>5</v>
      </c>
      <c r="AR4964">
        <v>11.23</v>
      </c>
      <c r="AS4964">
        <v>72</v>
      </c>
      <c r="AT4964">
        <v>4.29</v>
      </c>
      <c r="AU4964">
        <v>80</v>
      </c>
      <c r="AV4964">
        <v>0.41</v>
      </c>
      <c r="AW4964">
        <v>87</v>
      </c>
      <c r="AX4964">
        <v>0.11</v>
      </c>
      <c r="AY4964">
        <v>74</v>
      </c>
      <c r="AZ4964">
        <v>5.64</v>
      </c>
      <c r="BA4964">
        <v>58</v>
      </c>
      <c r="BB4964">
        <v>4.68</v>
      </c>
      <c r="BC4964">
        <v>60</v>
      </c>
      <c r="BD4964">
        <v>0.08</v>
      </c>
      <c r="BE4964">
        <v>0.08</v>
      </c>
      <c r="BF4964">
        <v>0.1</v>
      </c>
      <c r="BG4964">
        <v>92</v>
      </c>
      <c r="BH4964">
        <v>-0.2</v>
      </c>
      <c r="BI4964">
        <v>6.64</v>
      </c>
      <c r="BJ4964">
        <v>9</v>
      </c>
      <c r="BK4964">
        <v>9</v>
      </c>
      <c r="BL4964">
        <v>0.52</v>
      </c>
      <c r="BM4964">
        <v>-1.88</v>
      </c>
      <c r="BN4964">
        <v>0.39</v>
      </c>
      <c r="BO4964">
        <v>1.41</v>
      </c>
      <c r="BP4964">
        <v>-2.14</v>
      </c>
      <c r="BQ4964">
        <v>0.36</v>
      </c>
      <c r="BR4964">
        <v>-0.93</v>
      </c>
      <c r="BS4964">
        <v>0.09</v>
      </c>
      <c r="BT4964">
        <v>0.71</v>
      </c>
      <c r="BU4964">
        <v>0.14000000000000001</v>
      </c>
      <c r="BV4964">
        <v>1.25</v>
      </c>
      <c r="BW4964">
        <v>0.86</v>
      </c>
      <c r="BX4964">
        <v>-0.55000000000000004</v>
      </c>
      <c r="BY4964">
        <v>0.54</v>
      </c>
      <c r="BZ4964">
        <v>1.46</v>
      </c>
      <c r="CA4964">
        <v>0.8</v>
      </c>
      <c r="CB4964">
        <v>0.87</v>
      </c>
      <c r="CC4964">
        <v>0.71</v>
      </c>
      <c r="CD4964">
        <v>-2.12</v>
      </c>
      <c r="CE4964">
        <v>1.52</v>
      </c>
      <c r="CF4964">
        <v>0.89</v>
      </c>
      <c r="CG4964">
        <v>0</v>
      </c>
      <c r="CH4964">
        <v>0.17</v>
      </c>
      <c r="CI4964">
        <v>0</v>
      </c>
      <c r="CJ4964">
        <v>-3</v>
      </c>
      <c r="CK4964">
        <v>85</v>
      </c>
      <c r="CL4964">
        <v>-0.92</v>
      </c>
      <c r="CM4964">
        <v>82</v>
      </c>
      <c r="CN4964">
        <v>-0.14000000000000001</v>
      </c>
      <c r="CO4964">
        <v>80</v>
      </c>
      <c r="CP4964">
        <v>-9.5</v>
      </c>
      <c r="CQ4964">
        <v>84</v>
      </c>
      <c r="CR4964">
        <v>0</v>
      </c>
      <c r="CS4964">
        <v>0</v>
      </c>
      <c r="CT4964">
        <v>-7.8</v>
      </c>
      <c r="CU4964">
        <v>71</v>
      </c>
      <c r="CV4964">
        <v>0.18</v>
      </c>
      <c r="CW4964">
        <v>42</v>
      </c>
      <c r="CX4964" t="s">
        <v>914</v>
      </c>
    </row>
    <row r="4965" spans="1:102" x14ac:dyDescent="0.3">
      <c r="A4965" t="str">
        <f>HYPERLINK("https://webapp.icbf.com/v2/app/bull-search/view/69092257","MMI")</f>
        <v>MMI</v>
      </c>
      <c r="B4965" t="s">
        <v>6584</v>
      </c>
      <c r="C4965" t="s">
        <v>6585</v>
      </c>
      <c r="D4965" s="1">
        <v>34884</v>
      </c>
      <c r="E4965" t="s">
        <v>92</v>
      </c>
      <c r="F4965">
        <v>100</v>
      </c>
      <c r="G4965" t="s">
        <v>109</v>
      </c>
      <c r="H4965">
        <v>-254.04</v>
      </c>
      <c r="I4965">
        <v>82</v>
      </c>
      <c r="J4965">
        <v>-29.6</v>
      </c>
      <c r="K4965">
        <v>93</v>
      </c>
      <c r="L4965">
        <v>-159.72</v>
      </c>
      <c r="M4965">
        <v>86</v>
      </c>
      <c r="N4965">
        <v>-44.82</v>
      </c>
      <c r="O4965">
        <v>68</v>
      </c>
      <c r="P4965">
        <v>-9.14</v>
      </c>
      <c r="Q4965">
        <v>77</v>
      </c>
      <c r="R4965">
        <v>-16.760000000000002</v>
      </c>
      <c r="S4965">
        <v>76</v>
      </c>
      <c r="T4965">
        <v>10.5</v>
      </c>
      <c r="U4965">
        <v>61</v>
      </c>
      <c r="V4965">
        <v>-4.5</v>
      </c>
      <c r="W4965">
        <v>61</v>
      </c>
      <c r="X4965" t="s">
        <v>251</v>
      </c>
      <c r="Y4965" t="s">
        <v>95</v>
      </c>
      <c r="Z4965" t="s">
        <v>96</v>
      </c>
      <c r="AA4965" t="s">
        <v>573</v>
      </c>
      <c r="AB4965" t="s">
        <v>6586</v>
      </c>
      <c r="AC4965">
        <v>0</v>
      </c>
      <c r="AD4965">
        <v>0</v>
      </c>
      <c r="AE4965">
        <v>93</v>
      </c>
      <c r="AF4965">
        <v>219.81</v>
      </c>
      <c r="AG4965">
        <v>-6.87</v>
      </c>
      <c r="AH4965">
        <v>0.76</v>
      </c>
      <c r="AI4965">
        <v>-0.26</v>
      </c>
      <c r="AJ4965">
        <v>-0.11</v>
      </c>
      <c r="AK4965">
        <v>86</v>
      </c>
      <c r="AL4965">
        <v>0</v>
      </c>
      <c r="AM4965">
        <v>0</v>
      </c>
      <c r="AN4965">
        <v>8.5</v>
      </c>
      <c r="AO4965">
        <v>-4.24</v>
      </c>
      <c r="AP4965">
        <v>31</v>
      </c>
      <c r="AQ4965">
        <v>3</v>
      </c>
      <c r="AR4965">
        <v>12.22</v>
      </c>
      <c r="AS4965">
        <v>57</v>
      </c>
      <c r="AT4965">
        <v>5.8</v>
      </c>
      <c r="AU4965">
        <v>87</v>
      </c>
      <c r="AV4965">
        <v>-0.5</v>
      </c>
      <c r="AW4965">
        <v>69</v>
      </c>
      <c r="AX4965">
        <v>-0.6</v>
      </c>
      <c r="AY4965">
        <v>59</v>
      </c>
      <c r="AZ4965">
        <v>7.9</v>
      </c>
      <c r="BA4965">
        <v>49</v>
      </c>
      <c r="BB4965">
        <v>5.31</v>
      </c>
      <c r="BC4965">
        <v>51</v>
      </c>
      <c r="BD4965">
        <v>0.05</v>
      </c>
      <c r="BE4965">
        <v>0.08</v>
      </c>
      <c r="BF4965">
        <v>0.15</v>
      </c>
      <c r="BG4965">
        <v>91</v>
      </c>
      <c r="BH4965">
        <v>-0.09</v>
      </c>
      <c r="BI4965">
        <v>4.09</v>
      </c>
      <c r="BJ4965">
        <v>1</v>
      </c>
      <c r="BK4965">
        <v>1</v>
      </c>
      <c r="BL4965">
        <v>1.68</v>
      </c>
      <c r="BM4965">
        <v>-0.53</v>
      </c>
      <c r="BN4965">
        <v>1.66</v>
      </c>
      <c r="BO4965">
        <v>1.77</v>
      </c>
      <c r="BP4965">
        <v>0.41</v>
      </c>
      <c r="BQ4965">
        <v>1.1299999999999999</v>
      </c>
      <c r="BR4965">
        <v>-1.6</v>
      </c>
      <c r="BS4965">
        <v>1.45</v>
      </c>
      <c r="BT4965">
        <v>2.34</v>
      </c>
      <c r="BU4965">
        <v>1.05</v>
      </c>
      <c r="BV4965">
        <v>1.25</v>
      </c>
      <c r="BW4965">
        <v>2.14</v>
      </c>
      <c r="BX4965">
        <v>0.91</v>
      </c>
      <c r="BY4965">
        <v>1.53</v>
      </c>
      <c r="BZ4965">
        <v>-0.64</v>
      </c>
      <c r="CA4965">
        <v>2.34</v>
      </c>
      <c r="CB4965">
        <v>1.71</v>
      </c>
      <c r="CC4965">
        <v>2</v>
      </c>
      <c r="CD4965">
        <v>-1.56</v>
      </c>
      <c r="CE4965">
        <v>1.76</v>
      </c>
      <c r="CF4965">
        <v>1.66</v>
      </c>
      <c r="CG4965">
        <v>0</v>
      </c>
      <c r="CH4965">
        <v>1.31</v>
      </c>
      <c r="CI4965">
        <v>0</v>
      </c>
      <c r="CJ4965">
        <v>-3.8</v>
      </c>
      <c r="CK4965">
        <v>79</v>
      </c>
      <c r="CL4965">
        <v>-0.87</v>
      </c>
      <c r="CM4965">
        <v>76</v>
      </c>
      <c r="CN4965">
        <v>-0.46</v>
      </c>
      <c r="CO4965">
        <v>74</v>
      </c>
      <c r="CP4965">
        <v>-2</v>
      </c>
      <c r="CQ4965">
        <v>69</v>
      </c>
      <c r="CR4965">
        <v>0</v>
      </c>
      <c r="CS4965">
        <v>0</v>
      </c>
      <c r="CT4965">
        <v>-0.4</v>
      </c>
      <c r="CU4965">
        <v>61</v>
      </c>
      <c r="CV4965">
        <v>0.05</v>
      </c>
      <c r="CW4965">
        <v>41</v>
      </c>
      <c r="CX4965" t="s">
        <v>161</v>
      </c>
    </row>
    <row r="4966" spans="1:102" x14ac:dyDescent="0.3">
      <c r="A4966" t="str">
        <f>HYPERLINK("https://webapp.icbf.com/v2/app/bull-search/view/126528917","JLK")</f>
        <v>JLK</v>
      </c>
      <c r="B4966" t="s">
        <v>11476</v>
      </c>
      <c r="C4966" t="s">
        <v>11477</v>
      </c>
      <c r="D4966" s="1">
        <v>34634</v>
      </c>
      <c r="E4966" t="s">
        <v>92</v>
      </c>
      <c r="F4966">
        <v>100</v>
      </c>
      <c r="G4966" t="s">
        <v>93</v>
      </c>
      <c r="H4966">
        <v>-257.08</v>
      </c>
      <c r="I4966">
        <v>92</v>
      </c>
      <c r="J4966">
        <v>-15.89</v>
      </c>
      <c r="K4966">
        <v>98</v>
      </c>
      <c r="L4966">
        <v>-235</v>
      </c>
      <c r="M4966">
        <v>91</v>
      </c>
      <c r="N4966">
        <v>-2.17</v>
      </c>
      <c r="O4966">
        <v>86</v>
      </c>
      <c r="P4966">
        <v>-13.58</v>
      </c>
      <c r="Q4966">
        <v>92</v>
      </c>
      <c r="R4966">
        <v>-9.6</v>
      </c>
      <c r="S4966">
        <v>84</v>
      </c>
      <c r="T4966">
        <v>23.89</v>
      </c>
      <c r="U4966">
        <v>87</v>
      </c>
      <c r="V4966">
        <v>-4.7300000000000004</v>
      </c>
      <c r="W4966">
        <v>75</v>
      </c>
      <c r="X4966" t="s">
        <v>110</v>
      </c>
      <c r="Y4966" t="s">
        <v>95</v>
      </c>
      <c r="Z4966" t="s">
        <v>96</v>
      </c>
      <c r="AA4966" t="s">
        <v>678</v>
      </c>
      <c r="AB4966" t="s">
        <v>11478</v>
      </c>
      <c r="AC4966">
        <v>165</v>
      </c>
      <c r="AD4966">
        <v>86</v>
      </c>
      <c r="AE4966">
        <v>98</v>
      </c>
      <c r="AF4966">
        <v>305.7</v>
      </c>
      <c r="AG4966">
        <v>-4.42</v>
      </c>
      <c r="AH4966">
        <v>3.54</v>
      </c>
      <c r="AI4966">
        <v>-0.27</v>
      </c>
      <c r="AJ4966">
        <v>-0.11</v>
      </c>
      <c r="AK4966">
        <v>91</v>
      </c>
      <c r="AL4966">
        <v>139</v>
      </c>
      <c r="AM4966">
        <v>69</v>
      </c>
      <c r="AN4966">
        <v>12.12</v>
      </c>
      <c r="AO4966">
        <v>-6.63</v>
      </c>
      <c r="AP4966">
        <v>101</v>
      </c>
      <c r="AQ4966">
        <v>0</v>
      </c>
      <c r="AR4966">
        <v>6.72</v>
      </c>
      <c r="AS4966">
        <v>80</v>
      </c>
      <c r="AT4966">
        <v>3.7</v>
      </c>
      <c r="AU4966">
        <v>91</v>
      </c>
      <c r="AV4966">
        <v>-0.73</v>
      </c>
      <c r="AW4966">
        <v>90</v>
      </c>
      <c r="AX4966">
        <v>-0.1</v>
      </c>
      <c r="AY4966">
        <v>86</v>
      </c>
      <c r="AZ4966">
        <v>7.08</v>
      </c>
      <c r="BA4966">
        <v>75</v>
      </c>
      <c r="BB4966">
        <v>5.85</v>
      </c>
      <c r="BC4966">
        <v>75</v>
      </c>
      <c r="BD4966">
        <v>0.04</v>
      </c>
      <c r="BE4966">
        <v>0.06</v>
      </c>
      <c r="BF4966">
        <v>0.04</v>
      </c>
      <c r="BG4966">
        <v>93</v>
      </c>
      <c r="BH4966">
        <v>-0.1</v>
      </c>
      <c r="BI4966">
        <v>3.68</v>
      </c>
      <c r="BJ4966">
        <v>55</v>
      </c>
      <c r="BK4966">
        <v>26</v>
      </c>
      <c r="BL4966">
        <v>0.08</v>
      </c>
      <c r="BM4966">
        <v>-3.55</v>
      </c>
      <c r="BN4966">
        <v>-0.83</v>
      </c>
      <c r="BO4966">
        <v>1.37</v>
      </c>
      <c r="BP4966">
        <v>-1</v>
      </c>
      <c r="BQ4966">
        <v>-1.08</v>
      </c>
      <c r="BR4966">
        <v>-1.3</v>
      </c>
      <c r="BS4966">
        <v>0.54</v>
      </c>
      <c r="BT4966">
        <v>2.3199999999999998</v>
      </c>
      <c r="BU4966">
        <v>0.42</v>
      </c>
      <c r="BV4966">
        <v>1.31</v>
      </c>
      <c r="BW4966">
        <v>1.66</v>
      </c>
      <c r="BX4966">
        <v>-0.36</v>
      </c>
      <c r="BY4966">
        <v>1.42</v>
      </c>
      <c r="BZ4966">
        <v>-0.9</v>
      </c>
      <c r="CA4966">
        <v>1.53</v>
      </c>
      <c r="CB4966">
        <v>1.01</v>
      </c>
      <c r="CC4966">
        <v>1.68</v>
      </c>
      <c r="CD4966">
        <v>-2.64</v>
      </c>
      <c r="CE4966">
        <v>1.41</v>
      </c>
      <c r="CF4966">
        <v>-0.85</v>
      </c>
      <c r="CG4966">
        <v>0</v>
      </c>
      <c r="CH4966">
        <v>1.34</v>
      </c>
      <c r="CI4966">
        <v>0</v>
      </c>
      <c r="CJ4966">
        <v>-6</v>
      </c>
      <c r="CK4966">
        <v>93</v>
      </c>
      <c r="CL4966">
        <v>-0.86</v>
      </c>
      <c r="CM4966">
        <v>91</v>
      </c>
      <c r="CN4966">
        <v>-0.45</v>
      </c>
      <c r="CO4966">
        <v>90</v>
      </c>
      <c r="CP4966">
        <v>-11.3</v>
      </c>
      <c r="CQ4966">
        <v>94</v>
      </c>
      <c r="CR4966">
        <v>0</v>
      </c>
      <c r="CS4966">
        <v>0</v>
      </c>
      <c r="CT4966">
        <v>-18.5</v>
      </c>
      <c r="CU4966">
        <v>87</v>
      </c>
      <c r="CV4966">
        <v>7.0000000000000007E-2</v>
      </c>
      <c r="CW4966">
        <v>44</v>
      </c>
      <c r="CX4966" t="s">
        <v>111</v>
      </c>
    </row>
    <row r="4967" spans="1:102" x14ac:dyDescent="0.3">
      <c r="A4967" t="str">
        <f>HYPERLINK("https://webapp.icbf.com/v2/app/bull-search/view/77858008","DTH")</f>
        <v>DTH</v>
      </c>
      <c r="B4967" t="s">
        <v>813</v>
      </c>
      <c r="C4967" t="s">
        <v>814</v>
      </c>
      <c r="D4967" s="1">
        <v>34590</v>
      </c>
      <c r="E4967" t="s">
        <v>92</v>
      </c>
      <c r="F4967">
        <v>100</v>
      </c>
      <c r="G4967" t="s">
        <v>93</v>
      </c>
      <c r="H4967">
        <v>-257.37</v>
      </c>
      <c r="I4967">
        <v>89</v>
      </c>
      <c r="J4967">
        <v>39.85</v>
      </c>
      <c r="K4967">
        <v>96</v>
      </c>
      <c r="L4967">
        <v>-240.35</v>
      </c>
      <c r="M4967">
        <v>90</v>
      </c>
      <c r="N4967">
        <v>-31.31</v>
      </c>
      <c r="O4967">
        <v>83</v>
      </c>
      <c r="P4967">
        <v>-9.15</v>
      </c>
      <c r="Q4967">
        <v>86</v>
      </c>
      <c r="R4967">
        <v>-21.17</v>
      </c>
      <c r="S4967">
        <v>81</v>
      </c>
      <c r="T4967">
        <v>9.09</v>
      </c>
      <c r="U4967">
        <v>78</v>
      </c>
      <c r="V4967">
        <v>-4.33</v>
      </c>
      <c r="W4967">
        <v>69</v>
      </c>
      <c r="X4967" t="s">
        <v>94</v>
      </c>
      <c r="Y4967" t="s">
        <v>95</v>
      </c>
      <c r="Z4967" t="s">
        <v>96</v>
      </c>
      <c r="AA4967" t="s">
        <v>105</v>
      </c>
      <c r="AB4967" t="s">
        <v>815</v>
      </c>
      <c r="AC4967">
        <v>71</v>
      </c>
      <c r="AD4967">
        <v>44</v>
      </c>
      <c r="AE4967">
        <v>96</v>
      </c>
      <c r="AF4967">
        <v>274.69</v>
      </c>
      <c r="AG4967">
        <v>11.06</v>
      </c>
      <c r="AH4967">
        <v>7.07</v>
      </c>
      <c r="AI4967">
        <v>0.01</v>
      </c>
      <c r="AJ4967">
        <v>-0.04</v>
      </c>
      <c r="AK4967">
        <v>90</v>
      </c>
      <c r="AL4967">
        <v>67</v>
      </c>
      <c r="AM4967">
        <v>43</v>
      </c>
      <c r="AN4967">
        <v>14.48</v>
      </c>
      <c r="AO4967">
        <v>-4.67</v>
      </c>
      <c r="AP4967">
        <v>44</v>
      </c>
      <c r="AQ4967">
        <v>1</v>
      </c>
      <c r="AR4967">
        <v>10.15</v>
      </c>
      <c r="AS4967">
        <v>68</v>
      </c>
      <c r="AT4967">
        <v>4.9400000000000004</v>
      </c>
      <c r="AU4967">
        <v>98</v>
      </c>
      <c r="AV4967">
        <v>0.36</v>
      </c>
      <c r="AW4967">
        <v>87</v>
      </c>
      <c r="AX4967">
        <v>-0.76</v>
      </c>
      <c r="AY4967">
        <v>73</v>
      </c>
      <c r="AZ4967">
        <v>7.58</v>
      </c>
      <c r="BA4967">
        <v>62</v>
      </c>
      <c r="BB4967">
        <v>5.32</v>
      </c>
      <c r="BC4967">
        <v>64</v>
      </c>
      <c r="BD4967">
        <v>0.1</v>
      </c>
      <c r="BE4967">
        <v>0.1</v>
      </c>
      <c r="BF4967">
        <v>0.13</v>
      </c>
      <c r="BG4967">
        <v>93</v>
      </c>
      <c r="BH4967">
        <v>-0.12</v>
      </c>
      <c r="BI4967">
        <v>0.08</v>
      </c>
      <c r="BJ4967">
        <v>6</v>
      </c>
      <c r="BK4967">
        <v>5</v>
      </c>
      <c r="BL4967">
        <v>0.06</v>
      </c>
      <c r="BM4967">
        <v>-1.57</v>
      </c>
      <c r="BN4967">
        <v>0.2</v>
      </c>
      <c r="BO4967">
        <v>1</v>
      </c>
      <c r="BP4967">
        <v>-0.98</v>
      </c>
      <c r="BQ4967">
        <v>-0.65</v>
      </c>
      <c r="BR4967">
        <v>0.9</v>
      </c>
      <c r="BS4967">
        <v>-0.3</v>
      </c>
      <c r="BT4967">
        <v>-1.39</v>
      </c>
      <c r="BU4967">
        <v>-1.27</v>
      </c>
      <c r="BV4967">
        <v>-0.19</v>
      </c>
      <c r="BW4967">
        <v>1.62</v>
      </c>
      <c r="BX4967">
        <v>-1.68</v>
      </c>
      <c r="BY4967">
        <v>1.68</v>
      </c>
      <c r="BZ4967">
        <v>-0.86</v>
      </c>
      <c r="CA4967">
        <v>-0.2</v>
      </c>
      <c r="CB4967">
        <v>-0.32</v>
      </c>
      <c r="CC4967">
        <v>-0.19</v>
      </c>
      <c r="CD4967">
        <v>-1.93</v>
      </c>
      <c r="CE4967">
        <v>0.32</v>
      </c>
      <c r="CF4967">
        <v>-0.47</v>
      </c>
      <c r="CG4967">
        <v>0</v>
      </c>
      <c r="CH4967">
        <v>1.61</v>
      </c>
      <c r="CI4967">
        <v>0</v>
      </c>
      <c r="CJ4967">
        <v>-0.4</v>
      </c>
      <c r="CK4967">
        <v>87</v>
      </c>
      <c r="CL4967">
        <v>-0.85</v>
      </c>
      <c r="CM4967">
        <v>85</v>
      </c>
      <c r="CN4967">
        <v>-0.12</v>
      </c>
      <c r="CO4967">
        <v>83</v>
      </c>
      <c r="CP4967">
        <v>-8.1999999999999993</v>
      </c>
      <c r="CQ4967">
        <v>87</v>
      </c>
      <c r="CR4967">
        <v>0</v>
      </c>
      <c r="CS4967">
        <v>0</v>
      </c>
      <c r="CT4967">
        <v>1.5</v>
      </c>
      <c r="CU4967">
        <v>78</v>
      </c>
      <c r="CV4967">
        <v>0.24</v>
      </c>
      <c r="CW4967">
        <v>43</v>
      </c>
      <c r="CX4967" t="s">
        <v>118</v>
      </c>
    </row>
    <row r="4968" spans="1:102" x14ac:dyDescent="0.3">
      <c r="A4968" t="str">
        <f>HYPERLINK("https://webapp.icbf.com/v2/app/bull-search/view/605197447","NLT")</f>
        <v>NLT</v>
      </c>
      <c r="B4968" t="s">
        <v>2579</v>
      </c>
      <c r="C4968" t="s">
        <v>2580</v>
      </c>
      <c r="D4968" s="1">
        <v>37838</v>
      </c>
      <c r="E4968" t="s">
        <v>92</v>
      </c>
      <c r="F4968">
        <v>100</v>
      </c>
      <c r="G4968" t="s">
        <v>93</v>
      </c>
      <c r="H4968">
        <v>-257.52999999999997</v>
      </c>
      <c r="I4968">
        <v>84</v>
      </c>
      <c r="J4968">
        <v>-5.51</v>
      </c>
      <c r="K4968">
        <v>95</v>
      </c>
      <c r="L4968">
        <v>-204.05</v>
      </c>
      <c r="M4968">
        <v>84</v>
      </c>
      <c r="N4968">
        <v>-16.350000000000001</v>
      </c>
      <c r="O4968">
        <v>76</v>
      </c>
      <c r="P4968">
        <v>-10.66</v>
      </c>
      <c r="Q4968">
        <v>80</v>
      </c>
      <c r="R4968">
        <v>-16.760000000000002</v>
      </c>
      <c r="S4968">
        <v>78</v>
      </c>
      <c r="T4968">
        <v>-0.6</v>
      </c>
      <c r="U4968">
        <v>69</v>
      </c>
      <c r="V4968">
        <v>-3.6</v>
      </c>
      <c r="W4968">
        <v>64</v>
      </c>
      <c r="X4968" t="s">
        <v>276</v>
      </c>
      <c r="Y4968" t="s">
        <v>2581</v>
      </c>
      <c r="Z4968" t="s">
        <v>96</v>
      </c>
      <c r="AA4968" t="s">
        <v>1216</v>
      </c>
      <c r="AB4968" t="s">
        <v>2582</v>
      </c>
      <c r="AC4968">
        <v>48</v>
      </c>
      <c r="AD4968">
        <v>9</v>
      </c>
      <c r="AE4968">
        <v>95</v>
      </c>
      <c r="AF4968">
        <v>523.96</v>
      </c>
      <c r="AG4968">
        <v>3.26</v>
      </c>
      <c r="AH4968">
        <v>5.93</v>
      </c>
      <c r="AI4968">
        <v>-0.27</v>
      </c>
      <c r="AJ4968">
        <v>-0.19</v>
      </c>
      <c r="AK4968">
        <v>84</v>
      </c>
      <c r="AL4968">
        <v>0</v>
      </c>
      <c r="AM4968">
        <v>0</v>
      </c>
      <c r="AN4968">
        <v>11.35</v>
      </c>
      <c r="AO4968">
        <v>-4.92</v>
      </c>
      <c r="AP4968">
        <v>81</v>
      </c>
      <c r="AQ4968">
        <v>0</v>
      </c>
      <c r="AR4968">
        <v>10</v>
      </c>
      <c r="AS4968">
        <v>77</v>
      </c>
      <c r="AT4968">
        <v>4.62</v>
      </c>
      <c r="AU4968">
        <v>80</v>
      </c>
      <c r="AV4968">
        <v>-1.5</v>
      </c>
      <c r="AW4968">
        <v>84</v>
      </c>
      <c r="AX4968">
        <v>0.04</v>
      </c>
      <c r="AY4968">
        <v>66</v>
      </c>
      <c r="AZ4968">
        <v>6.78</v>
      </c>
      <c r="BA4968">
        <v>61</v>
      </c>
      <c r="BB4968">
        <v>5.93</v>
      </c>
      <c r="BC4968">
        <v>56</v>
      </c>
      <c r="BD4968">
        <v>0.08</v>
      </c>
      <c r="BE4968">
        <v>0.08</v>
      </c>
      <c r="BF4968">
        <v>0.1</v>
      </c>
      <c r="BG4968">
        <v>92</v>
      </c>
      <c r="BH4968">
        <v>-0.04</v>
      </c>
      <c r="BI4968">
        <v>6.97</v>
      </c>
      <c r="BJ4968">
        <v>28</v>
      </c>
      <c r="BK4968">
        <v>5</v>
      </c>
      <c r="BL4968">
        <v>1.47</v>
      </c>
      <c r="BM4968">
        <v>-0.19</v>
      </c>
      <c r="BN4968">
        <v>0.81</v>
      </c>
      <c r="BO4968">
        <v>1.37</v>
      </c>
      <c r="BP4968">
        <v>-3.01</v>
      </c>
      <c r="BQ4968">
        <v>-2.52</v>
      </c>
      <c r="BR4968">
        <v>-1.25</v>
      </c>
      <c r="BS4968">
        <v>1.95</v>
      </c>
      <c r="BT4968">
        <v>1.33</v>
      </c>
      <c r="BU4968">
        <v>2.02</v>
      </c>
      <c r="BV4968">
        <v>2.11</v>
      </c>
      <c r="BW4968">
        <v>0.88</v>
      </c>
      <c r="BX4968">
        <v>1.58</v>
      </c>
      <c r="BY4968">
        <v>2.7</v>
      </c>
      <c r="BZ4968">
        <v>-0.94</v>
      </c>
      <c r="CA4968">
        <v>2.79</v>
      </c>
      <c r="CB4968">
        <v>2.1800000000000002</v>
      </c>
      <c r="CC4968">
        <v>2.2200000000000002</v>
      </c>
      <c r="CD4968">
        <v>-0.35</v>
      </c>
      <c r="CE4968">
        <v>1.34</v>
      </c>
      <c r="CF4968">
        <v>0.68</v>
      </c>
      <c r="CG4968">
        <v>0</v>
      </c>
      <c r="CH4968">
        <v>3.03</v>
      </c>
      <c r="CI4968">
        <v>0</v>
      </c>
      <c r="CJ4968">
        <v>-3</v>
      </c>
      <c r="CK4968">
        <v>81</v>
      </c>
      <c r="CL4968">
        <v>-1.01</v>
      </c>
      <c r="CM4968">
        <v>78</v>
      </c>
      <c r="CN4968">
        <v>-0.36</v>
      </c>
      <c r="CO4968">
        <v>75</v>
      </c>
      <c r="CP4968">
        <v>-2.1</v>
      </c>
      <c r="CQ4968">
        <v>81</v>
      </c>
      <c r="CR4968">
        <v>0</v>
      </c>
      <c r="CS4968">
        <v>0</v>
      </c>
      <c r="CT4968">
        <v>14.6</v>
      </c>
      <c r="CU4968">
        <v>69</v>
      </c>
      <c r="CV4968">
        <v>0.17</v>
      </c>
      <c r="CW4968">
        <v>41</v>
      </c>
      <c r="CX4968" t="s">
        <v>1184</v>
      </c>
    </row>
    <row r="4969" spans="1:102" x14ac:dyDescent="0.3">
      <c r="A4969" t="str">
        <f>HYPERLINK("https://webapp.icbf.com/v2/app/bull-search/view/77856781","IRA")</f>
        <v>IRA</v>
      </c>
      <c r="B4969" t="s">
        <v>10991</v>
      </c>
      <c r="C4969" t="s">
        <v>10992</v>
      </c>
      <c r="D4969" s="1">
        <v>34286</v>
      </c>
      <c r="E4969" t="s">
        <v>92</v>
      </c>
      <c r="F4969">
        <v>100</v>
      </c>
      <c r="G4969" t="s">
        <v>93</v>
      </c>
      <c r="H4969">
        <v>-259.62</v>
      </c>
      <c r="I4969">
        <v>93</v>
      </c>
      <c r="J4969">
        <v>-15.17</v>
      </c>
      <c r="K4969">
        <v>98</v>
      </c>
      <c r="L4969">
        <v>-170.94</v>
      </c>
      <c r="M4969">
        <v>91</v>
      </c>
      <c r="N4969">
        <v>-56.49</v>
      </c>
      <c r="O4969">
        <v>90</v>
      </c>
      <c r="P4969">
        <v>-3.98</v>
      </c>
      <c r="Q4969">
        <v>96</v>
      </c>
      <c r="R4969">
        <v>-14.48</v>
      </c>
      <c r="S4969">
        <v>85</v>
      </c>
      <c r="T4969">
        <v>3.39</v>
      </c>
      <c r="U4969">
        <v>91</v>
      </c>
      <c r="V4969">
        <v>-1.95</v>
      </c>
      <c r="W4969">
        <v>77</v>
      </c>
      <c r="X4969" t="s">
        <v>94</v>
      </c>
      <c r="Y4969" t="s">
        <v>95</v>
      </c>
      <c r="Z4969" t="s">
        <v>96</v>
      </c>
      <c r="AA4969" t="s">
        <v>132</v>
      </c>
      <c r="AB4969" t="s">
        <v>10993</v>
      </c>
      <c r="AC4969">
        <v>249</v>
      </c>
      <c r="AD4969">
        <v>117</v>
      </c>
      <c r="AE4969">
        <v>98</v>
      </c>
      <c r="AF4969">
        <v>102.98</v>
      </c>
      <c r="AG4969">
        <v>0.3</v>
      </c>
      <c r="AH4969">
        <v>-1.1100000000000001</v>
      </c>
      <c r="AI4969">
        <v>-0.06</v>
      </c>
      <c r="AJ4969">
        <v>-0.08</v>
      </c>
      <c r="AK4969">
        <v>91</v>
      </c>
      <c r="AL4969">
        <v>224</v>
      </c>
      <c r="AM4969">
        <v>94</v>
      </c>
      <c r="AN4969">
        <v>7.92</v>
      </c>
      <c r="AO4969">
        <v>-5.73</v>
      </c>
      <c r="AP4969">
        <v>115</v>
      </c>
      <c r="AQ4969">
        <v>0</v>
      </c>
      <c r="AR4969">
        <v>12.88</v>
      </c>
      <c r="AS4969">
        <v>81</v>
      </c>
      <c r="AT4969">
        <v>6.11</v>
      </c>
      <c r="AU4969">
        <v>93</v>
      </c>
      <c r="AV4969">
        <v>-0.57999999999999996</v>
      </c>
      <c r="AW4969">
        <v>94</v>
      </c>
      <c r="AX4969">
        <v>0.1</v>
      </c>
      <c r="AY4969">
        <v>90</v>
      </c>
      <c r="AZ4969">
        <v>7.39</v>
      </c>
      <c r="BA4969">
        <v>77</v>
      </c>
      <c r="BB4969">
        <v>6.04</v>
      </c>
      <c r="BC4969">
        <v>78</v>
      </c>
      <c r="BD4969">
        <v>0.03</v>
      </c>
      <c r="BE4969">
        <v>7.0000000000000007E-2</v>
      </c>
      <c r="BF4969">
        <v>0.15</v>
      </c>
      <c r="BG4969">
        <v>95</v>
      </c>
      <c r="BH4969">
        <v>-0.09</v>
      </c>
      <c r="BI4969">
        <v>-4.13</v>
      </c>
      <c r="BJ4969">
        <v>62</v>
      </c>
      <c r="BK4969">
        <v>32</v>
      </c>
      <c r="BL4969">
        <v>1.2</v>
      </c>
      <c r="BM4969">
        <v>0.5</v>
      </c>
      <c r="BN4969">
        <v>1.21</v>
      </c>
      <c r="BO4969">
        <v>0.79</v>
      </c>
      <c r="BP4969">
        <v>-0.94</v>
      </c>
      <c r="BQ4969">
        <v>0.95</v>
      </c>
      <c r="BR4969">
        <v>-1.83</v>
      </c>
      <c r="BS4969">
        <v>1.73</v>
      </c>
      <c r="BT4969">
        <v>2.0099999999999998</v>
      </c>
      <c r="BU4969">
        <v>0.2</v>
      </c>
      <c r="BV4969">
        <v>0.71</v>
      </c>
      <c r="BW4969">
        <v>1.1499999999999999</v>
      </c>
      <c r="BX4969">
        <v>-0.34</v>
      </c>
      <c r="BY4969">
        <v>0.56000000000000005</v>
      </c>
      <c r="BZ4969">
        <v>-2.17</v>
      </c>
      <c r="CA4969">
        <v>1.1299999999999999</v>
      </c>
      <c r="CB4969">
        <v>0.71</v>
      </c>
      <c r="CC4969">
        <v>1.32</v>
      </c>
      <c r="CD4969">
        <v>-0.11</v>
      </c>
      <c r="CE4969">
        <v>0.94</v>
      </c>
      <c r="CF4969">
        <v>1.32</v>
      </c>
      <c r="CG4969">
        <v>0</v>
      </c>
      <c r="CH4969">
        <v>0.49</v>
      </c>
      <c r="CI4969">
        <v>0</v>
      </c>
      <c r="CJ4969">
        <v>1.1000000000000001</v>
      </c>
      <c r="CK4969">
        <v>96</v>
      </c>
      <c r="CL4969">
        <v>-0.9</v>
      </c>
      <c r="CM4969">
        <v>95</v>
      </c>
      <c r="CN4969">
        <v>-0.34</v>
      </c>
      <c r="CO4969">
        <v>94</v>
      </c>
      <c r="CP4969">
        <v>-1.3</v>
      </c>
      <c r="CQ4969">
        <v>96</v>
      </c>
      <c r="CR4969">
        <v>0</v>
      </c>
      <c r="CS4969">
        <v>0</v>
      </c>
      <c r="CT4969">
        <v>9.1999999999999993</v>
      </c>
      <c r="CU4969">
        <v>91</v>
      </c>
      <c r="CV4969">
        <v>0.26</v>
      </c>
      <c r="CW4969">
        <v>45</v>
      </c>
      <c r="CX4969" t="s">
        <v>111</v>
      </c>
    </row>
    <row r="4970" spans="1:102" x14ac:dyDescent="0.3">
      <c r="A4970" t="str">
        <f>HYPERLINK("https://webapp.icbf.com/v2/app/bull-search/view/77859721","BJN")</f>
        <v>BJN</v>
      </c>
      <c r="B4970" t="s">
        <v>7400</v>
      </c>
      <c r="C4970" t="s">
        <v>7401</v>
      </c>
      <c r="D4970" s="1">
        <v>34039</v>
      </c>
      <c r="E4970" t="s">
        <v>92</v>
      </c>
      <c r="F4970">
        <v>100</v>
      </c>
      <c r="G4970" t="s">
        <v>93</v>
      </c>
      <c r="H4970">
        <v>-259.63</v>
      </c>
      <c r="I4970">
        <v>84</v>
      </c>
      <c r="J4970">
        <v>-114</v>
      </c>
      <c r="K4970">
        <v>98</v>
      </c>
      <c r="L4970">
        <v>-141.19999999999999</v>
      </c>
      <c r="M4970">
        <v>79</v>
      </c>
      <c r="N4970">
        <v>-5.12</v>
      </c>
      <c r="O4970">
        <v>73</v>
      </c>
      <c r="P4970">
        <v>-6.78</v>
      </c>
      <c r="Q4970">
        <v>88</v>
      </c>
      <c r="R4970">
        <v>-6.55</v>
      </c>
      <c r="S4970">
        <v>78</v>
      </c>
      <c r="T4970">
        <v>10.5</v>
      </c>
      <c r="U4970">
        <v>86</v>
      </c>
      <c r="V4970">
        <v>3.52</v>
      </c>
      <c r="W4970">
        <v>43</v>
      </c>
      <c r="X4970" t="s">
        <v>94</v>
      </c>
      <c r="Y4970" t="s">
        <v>95</v>
      </c>
      <c r="Z4970" t="s">
        <v>96</v>
      </c>
      <c r="AA4970" t="s">
        <v>485</v>
      </c>
      <c r="AB4970" t="s">
        <v>7402</v>
      </c>
      <c r="AC4970">
        <v>222</v>
      </c>
      <c r="AD4970">
        <v>149</v>
      </c>
      <c r="AE4970">
        <v>98</v>
      </c>
      <c r="AF4970">
        <v>35.28</v>
      </c>
      <c r="AG4970">
        <v>-12.6</v>
      </c>
      <c r="AH4970">
        <v>-14.39</v>
      </c>
      <c r="AI4970">
        <v>-0.23</v>
      </c>
      <c r="AJ4970">
        <v>-0.26</v>
      </c>
      <c r="AK4970">
        <v>79</v>
      </c>
      <c r="AL4970">
        <v>324</v>
      </c>
      <c r="AM4970">
        <v>197</v>
      </c>
      <c r="AN4970">
        <v>6.96</v>
      </c>
      <c r="AO4970">
        <v>-4.3099999999999996</v>
      </c>
      <c r="AP4970">
        <v>4</v>
      </c>
      <c r="AQ4970">
        <v>0</v>
      </c>
      <c r="AR4970">
        <v>8.1300000000000008</v>
      </c>
      <c r="AS4970">
        <v>45</v>
      </c>
      <c r="AT4970">
        <v>4.1500000000000004</v>
      </c>
      <c r="AU4970">
        <v>73</v>
      </c>
      <c r="AV4970">
        <v>-0.27</v>
      </c>
      <c r="AW4970">
        <v>78</v>
      </c>
      <c r="AX4970">
        <v>0.14000000000000001</v>
      </c>
      <c r="AY4970">
        <v>88</v>
      </c>
      <c r="AZ4970">
        <v>5.39</v>
      </c>
      <c r="BA4970">
        <v>47</v>
      </c>
      <c r="BB4970">
        <v>4.37</v>
      </c>
      <c r="BC4970">
        <v>71</v>
      </c>
      <c r="BD4970">
        <v>0.04</v>
      </c>
      <c r="BE4970">
        <v>0.06</v>
      </c>
      <c r="BF4970">
        <v>-0.03</v>
      </c>
      <c r="BG4970">
        <v>95</v>
      </c>
      <c r="BH4970">
        <v>0.12</v>
      </c>
      <c r="BI4970">
        <v>2.52</v>
      </c>
      <c r="BJ4970">
        <v>58</v>
      </c>
      <c r="BK4970">
        <v>40</v>
      </c>
      <c r="BL4970">
        <v>-0.15</v>
      </c>
      <c r="BM4970">
        <v>-0.47</v>
      </c>
      <c r="BN4970">
        <v>-0.44</v>
      </c>
      <c r="BO4970">
        <v>-0.06</v>
      </c>
      <c r="BP4970">
        <v>1.1599999999999999</v>
      </c>
      <c r="BQ4970">
        <v>-0.87</v>
      </c>
      <c r="BR4970">
        <v>0.47</v>
      </c>
      <c r="BS4970">
        <v>-2.12</v>
      </c>
      <c r="BT4970">
        <v>0.18</v>
      </c>
      <c r="BU4970">
        <v>0.7</v>
      </c>
      <c r="BV4970">
        <v>0.56000000000000005</v>
      </c>
      <c r="BW4970">
        <v>-0.88</v>
      </c>
      <c r="BX4970">
        <v>-0.08</v>
      </c>
      <c r="BY4970">
        <v>-1.67</v>
      </c>
      <c r="BZ4970">
        <v>-1.55</v>
      </c>
      <c r="CA4970">
        <v>-0.76</v>
      </c>
      <c r="CB4970">
        <v>0.12</v>
      </c>
      <c r="CC4970">
        <v>-2.2200000000000002</v>
      </c>
      <c r="CD4970">
        <v>-0.23</v>
      </c>
      <c r="CE4970">
        <v>-0.47</v>
      </c>
      <c r="CF4970">
        <v>-0.92</v>
      </c>
      <c r="CG4970">
        <v>0</v>
      </c>
      <c r="CH4970">
        <v>0.75</v>
      </c>
      <c r="CI4970">
        <v>0</v>
      </c>
      <c r="CJ4970">
        <v>-4.9000000000000004</v>
      </c>
      <c r="CK4970">
        <v>89</v>
      </c>
      <c r="CL4970">
        <v>-0.38</v>
      </c>
      <c r="CM4970">
        <v>87</v>
      </c>
      <c r="CN4970">
        <v>-0.41</v>
      </c>
      <c r="CO4970">
        <v>85</v>
      </c>
      <c r="CP4970">
        <v>-6</v>
      </c>
      <c r="CQ4970">
        <v>93</v>
      </c>
      <c r="CR4970">
        <v>0</v>
      </c>
      <c r="CS4970">
        <v>0</v>
      </c>
      <c r="CT4970">
        <v>-0.4</v>
      </c>
      <c r="CU4970">
        <v>86</v>
      </c>
      <c r="CV4970">
        <v>-0.04</v>
      </c>
      <c r="CW4970">
        <v>26</v>
      </c>
      <c r="CX4970" t="s">
        <v>168</v>
      </c>
    </row>
    <row r="4971" spans="1:102" x14ac:dyDescent="0.3">
      <c r="A4971" t="str">
        <f>HYPERLINK("https://webapp.icbf.com/v2/app/bull-search/view/77857264","GTI")</f>
        <v>GTI</v>
      </c>
      <c r="B4971" t="s">
        <v>11197</v>
      </c>
      <c r="C4971" t="s">
        <v>573</v>
      </c>
      <c r="D4971" s="1">
        <v>32499</v>
      </c>
      <c r="E4971" t="s">
        <v>92</v>
      </c>
      <c r="F4971">
        <v>100</v>
      </c>
      <c r="G4971" t="s">
        <v>93</v>
      </c>
      <c r="H4971">
        <v>-259.94</v>
      </c>
      <c r="I4971">
        <v>93</v>
      </c>
      <c r="J4971">
        <v>-17.57</v>
      </c>
      <c r="K4971">
        <v>98</v>
      </c>
      <c r="L4971">
        <v>-171.02</v>
      </c>
      <c r="M4971">
        <v>93</v>
      </c>
      <c r="N4971">
        <v>-57.97</v>
      </c>
      <c r="O4971">
        <v>90</v>
      </c>
      <c r="P4971">
        <v>-5.85</v>
      </c>
      <c r="Q4971">
        <v>94</v>
      </c>
      <c r="R4971">
        <v>-16.239999999999998</v>
      </c>
      <c r="S4971">
        <v>86</v>
      </c>
      <c r="T4971">
        <v>17.3</v>
      </c>
      <c r="U4971">
        <v>89</v>
      </c>
      <c r="V4971">
        <v>-8.59</v>
      </c>
      <c r="W4971">
        <v>75</v>
      </c>
      <c r="X4971" t="s">
        <v>276</v>
      </c>
      <c r="Y4971" t="s">
        <v>95</v>
      </c>
      <c r="Z4971" t="s">
        <v>96</v>
      </c>
      <c r="AA4971" t="s">
        <v>166</v>
      </c>
      <c r="AB4971" t="s">
        <v>11198</v>
      </c>
      <c r="AC4971">
        <v>224</v>
      </c>
      <c r="AD4971">
        <v>140</v>
      </c>
      <c r="AE4971">
        <v>98</v>
      </c>
      <c r="AF4971">
        <v>335.18</v>
      </c>
      <c r="AG4971">
        <v>0.77</v>
      </c>
      <c r="AH4971">
        <v>1.87</v>
      </c>
      <c r="AI4971">
        <v>-0.2</v>
      </c>
      <c r="AJ4971">
        <v>-0.16</v>
      </c>
      <c r="AK4971">
        <v>93</v>
      </c>
      <c r="AL4971">
        <v>215</v>
      </c>
      <c r="AM4971">
        <v>129</v>
      </c>
      <c r="AN4971">
        <v>9.1999999999999993</v>
      </c>
      <c r="AO4971">
        <v>-4.4400000000000004</v>
      </c>
      <c r="AP4971">
        <v>72</v>
      </c>
      <c r="AQ4971">
        <v>13</v>
      </c>
      <c r="AR4971">
        <v>12.48</v>
      </c>
      <c r="AS4971">
        <v>79</v>
      </c>
      <c r="AT4971">
        <v>5.75</v>
      </c>
      <c r="AU4971">
        <v>98</v>
      </c>
      <c r="AV4971">
        <v>1.4</v>
      </c>
      <c r="AW4971">
        <v>91</v>
      </c>
      <c r="AX4971">
        <v>0.23</v>
      </c>
      <c r="AY4971">
        <v>91</v>
      </c>
      <c r="AZ4971">
        <v>6.31</v>
      </c>
      <c r="BA4971">
        <v>76</v>
      </c>
      <c r="BB4971">
        <v>4.93</v>
      </c>
      <c r="BC4971">
        <v>81</v>
      </c>
      <c r="BD4971">
        <v>0.05</v>
      </c>
      <c r="BE4971">
        <v>0.1</v>
      </c>
      <c r="BF4971">
        <v>0.1</v>
      </c>
      <c r="BG4971">
        <v>96</v>
      </c>
      <c r="BH4971">
        <v>-0.12</v>
      </c>
      <c r="BI4971">
        <v>13.82</v>
      </c>
      <c r="BJ4971">
        <v>65</v>
      </c>
      <c r="BK4971">
        <v>45</v>
      </c>
      <c r="BL4971">
        <v>0.36</v>
      </c>
      <c r="BM4971">
        <v>-2.0699999999999998</v>
      </c>
      <c r="BN4971">
        <v>-0.05</v>
      </c>
      <c r="BO4971">
        <v>1.33</v>
      </c>
      <c r="BP4971">
        <v>0.81</v>
      </c>
      <c r="BQ4971">
        <v>-0.14000000000000001</v>
      </c>
      <c r="BR4971">
        <v>0.95</v>
      </c>
      <c r="BS4971">
        <v>0.38</v>
      </c>
      <c r="BT4971">
        <v>-0.56000000000000005</v>
      </c>
      <c r="BU4971">
        <v>0.32</v>
      </c>
      <c r="BV4971">
        <v>0.64</v>
      </c>
      <c r="BW4971">
        <v>0.89</v>
      </c>
      <c r="BX4971">
        <v>-0.02</v>
      </c>
      <c r="BY4971">
        <v>1.72</v>
      </c>
      <c r="BZ4971">
        <v>-1</v>
      </c>
      <c r="CA4971">
        <v>1.23</v>
      </c>
      <c r="CB4971">
        <v>1.45</v>
      </c>
      <c r="CC4971">
        <v>0.4</v>
      </c>
      <c r="CD4971">
        <v>-1.67</v>
      </c>
      <c r="CE4971">
        <v>1.58</v>
      </c>
      <c r="CF4971">
        <v>0.62</v>
      </c>
      <c r="CG4971">
        <v>0</v>
      </c>
      <c r="CH4971">
        <v>1.79</v>
      </c>
      <c r="CI4971">
        <v>0</v>
      </c>
      <c r="CJ4971">
        <v>-3.4</v>
      </c>
      <c r="CK4971">
        <v>94</v>
      </c>
      <c r="CL4971">
        <v>-0.65</v>
      </c>
      <c r="CM4971">
        <v>93</v>
      </c>
      <c r="CN4971">
        <v>-0.56999999999999995</v>
      </c>
      <c r="CO4971">
        <v>92</v>
      </c>
      <c r="CP4971">
        <v>-7.5</v>
      </c>
      <c r="CQ4971">
        <v>95</v>
      </c>
      <c r="CR4971">
        <v>0</v>
      </c>
      <c r="CS4971">
        <v>0</v>
      </c>
      <c r="CT4971">
        <v>-9.6</v>
      </c>
      <c r="CU4971">
        <v>89</v>
      </c>
      <c r="CV4971">
        <v>0.03</v>
      </c>
      <c r="CW4971">
        <v>45</v>
      </c>
      <c r="CX4971" t="s">
        <v>543</v>
      </c>
    </row>
    <row r="4972" spans="1:102" x14ac:dyDescent="0.3">
      <c r="A4972" t="str">
        <f>HYPERLINK("https://webapp.icbf.com/v2/app/bull-search/view/77853304","ULC")</f>
        <v>ULC</v>
      </c>
      <c r="B4972" t="s">
        <v>6576</v>
      </c>
      <c r="C4972" t="s">
        <v>6577</v>
      </c>
      <c r="D4972" s="1">
        <v>34502</v>
      </c>
      <c r="E4972" t="s">
        <v>92</v>
      </c>
      <c r="F4972">
        <v>100</v>
      </c>
      <c r="G4972" t="s">
        <v>109</v>
      </c>
      <c r="H4972">
        <v>-260.31</v>
      </c>
      <c r="I4972">
        <v>66</v>
      </c>
      <c r="J4972">
        <v>-24.98</v>
      </c>
      <c r="K4972">
        <v>75</v>
      </c>
      <c r="L4972">
        <v>-203.87</v>
      </c>
      <c r="M4972">
        <v>73</v>
      </c>
      <c r="N4972">
        <v>-19.72</v>
      </c>
      <c r="O4972">
        <v>50</v>
      </c>
      <c r="P4972">
        <v>-10.96</v>
      </c>
      <c r="Q4972">
        <v>58</v>
      </c>
      <c r="R4972">
        <v>-12.06</v>
      </c>
      <c r="S4972">
        <v>61</v>
      </c>
      <c r="T4972">
        <v>16.12</v>
      </c>
      <c r="U4972">
        <v>56</v>
      </c>
      <c r="V4972">
        <v>-4.84</v>
      </c>
      <c r="W4972">
        <v>27</v>
      </c>
      <c r="X4972" t="s">
        <v>558</v>
      </c>
      <c r="Y4972" t="s">
        <v>95</v>
      </c>
      <c r="Z4972" t="s">
        <v>96</v>
      </c>
      <c r="AA4972" t="s">
        <v>678</v>
      </c>
      <c r="AB4972" t="s">
        <v>6578</v>
      </c>
      <c r="AC4972">
        <v>0</v>
      </c>
      <c r="AD4972">
        <v>0</v>
      </c>
      <c r="AE4972">
        <v>75</v>
      </c>
      <c r="AF4972">
        <v>204.53</v>
      </c>
      <c r="AG4972">
        <v>-1.55</v>
      </c>
      <c r="AH4972">
        <v>-0.56999999999999995</v>
      </c>
      <c r="AI4972">
        <v>-0.15</v>
      </c>
      <c r="AJ4972">
        <v>-0.12</v>
      </c>
      <c r="AK4972">
        <v>73</v>
      </c>
      <c r="AL4972">
        <v>0</v>
      </c>
      <c r="AM4972">
        <v>0</v>
      </c>
      <c r="AN4972">
        <v>11</v>
      </c>
      <c r="AO4972">
        <v>-5.26</v>
      </c>
      <c r="AP4972">
        <v>7</v>
      </c>
      <c r="AQ4972">
        <v>0</v>
      </c>
      <c r="AR4972">
        <v>8.9</v>
      </c>
      <c r="AS4972">
        <v>33</v>
      </c>
      <c r="AT4972">
        <v>4.3899999999999997</v>
      </c>
      <c r="AU4972">
        <v>76</v>
      </c>
      <c r="AV4972">
        <v>0.53</v>
      </c>
      <c r="AW4972">
        <v>44</v>
      </c>
      <c r="AX4972">
        <v>-0.54</v>
      </c>
      <c r="AY4972">
        <v>46</v>
      </c>
      <c r="AZ4972">
        <v>6.62</v>
      </c>
      <c r="BA4972">
        <v>32</v>
      </c>
      <c r="BB4972">
        <v>5.0599999999999996</v>
      </c>
      <c r="BC4972">
        <v>35</v>
      </c>
      <c r="BD4972">
        <v>0.05</v>
      </c>
      <c r="BE4972">
        <v>0.06</v>
      </c>
      <c r="BF4972">
        <v>0.08</v>
      </c>
      <c r="BG4972">
        <v>82</v>
      </c>
      <c r="BH4972">
        <v>-0.11</v>
      </c>
      <c r="BI4972">
        <v>2.88</v>
      </c>
      <c r="BJ4972">
        <v>5</v>
      </c>
      <c r="BK4972">
        <v>3</v>
      </c>
      <c r="BL4972">
        <v>0.23</v>
      </c>
      <c r="BM4972">
        <v>-2.17</v>
      </c>
      <c r="BN4972">
        <v>-0.32</v>
      </c>
      <c r="BO4972">
        <v>1.57</v>
      </c>
      <c r="BP4972">
        <v>-2.19</v>
      </c>
      <c r="BQ4972">
        <v>0.82</v>
      </c>
      <c r="BR4972">
        <v>-0.46</v>
      </c>
      <c r="BS4972">
        <v>1.17</v>
      </c>
      <c r="BT4972">
        <v>1.23</v>
      </c>
      <c r="BU4972">
        <v>0.2</v>
      </c>
      <c r="BV4972">
        <v>0.61</v>
      </c>
      <c r="BW4972">
        <v>2.5099999999999998</v>
      </c>
      <c r="BX4972">
        <v>-0.49</v>
      </c>
      <c r="BY4972">
        <v>2.4500000000000002</v>
      </c>
      <c r="BZ4972">
        <v>-0.44</v>
      </c>
      <c r="CA4972">
        <v>1.1000000000000001</v>
      </c>
      <c r="CB4972">
        <v>0.65</v>
      </c>
      <c r="CC4972">
        <v>1.58</v>
      </c>
      <c r="CD4972">
        <v>-1.98</v>
      </c>
      <c r="CE4972">
        <v>1.5</v>
      </c>
      <c r="CF4972">
        <v>0.89</v>
      </c>
      <c r="CG4972">
        <v>0</v>
      </c>
      <c r="CH4972">
        <v>2.65</v>
      </c>
      <c r="CI4972">
        <v>0</v>
      </c>
      <c r="CJ4972">
        <v>-2</v>
      </c>
      <c r="CK4972">
        <v>59</v>
      </c>
      <c r="CL4972">
        <v>-0.75</v>
      </c>
      <c r="CM4972">
        <v>55</v>
      </c>
      <c r="CN4972">
        <v>-0.04</v>
      </c>
      <c r="CO4972">
        <v>51</v>
      </c>
      <c r="CP4972">
        <v>-6.2</v>
      </c>
      <c r="CQ4972">
        <v>65</v>
      </c>
      <c r="CR4972">
        <v>0</v>
      </c>
      <c r="CS4972">
        <v>0</v>
      </c>
      <c r="CT4972">
        <v>-8</v>
      </c>
      <c r="CU4972">
        <v>56</v>
      </c>
      <c r="CV4972">
        <v>0.2</v>
      </c>
      <c r="CW4972">
        <v>16</v>
      </c>
      <c r="CX4972" t="s">
        <v>111</v>
      </c>
    </row>
    <row r="4973" spans="1:102" x14ac:dyDescent="0.3">
      <c r="A4973" t="str">
        <f>HYPERLINK("https://webapp.icbf.com/v2/app/bull-search/view/77856379","JYJ")</f>
        <v>JYJ</v>
      </c>
      <c r="B4973" t="s">
        <v>11028</v>
      </c>
      <c r="C4973" t="s">
        <v>11029</v>
      </c>
      <c r="D4973" s="1">
        <v>34590</v>
      </c>
      <c r="E4973" t="s">
        <v>92</v>
      </c>
      <c r="F4973">
        <v>100</v>
      </c>
      <c r="G4973" t="s">
        <v>93</v>
      </c>
      <c r="H4973">
        <v>-267.82</v>
      </c>
      <c r="I4973">
        <v>90</v>
      </c>
      <c r="J4973">
        <v>15.37</v>
      </c>
      <c r="K4973">
        <v>98</v>
      </c>
      <c r="L4973">
        <v>-198.96</v>
      </c>
      <c r="M4973">
        <v>90</v>
      </c>
      <c r="N4973">
        <v>-51.38</v>
      </c>
      <c r="O4973">
        <v>83</v>
      </c>
      <c r="P4973">
        <v>-9.39</v>
      </c>
      <c r="Q4973">
        <v>90</v>
      </c>
      <c r="R4973">
        <v>-20.010000000000002</v>
      </c>
      <c r="S4973">
        <v>83</v>
      </c>
      <c r="T4973">
        <v>3.61</v>
      </c>
      <c r="U4973">
        <v>81</v>
      </c>
      <c r="V4973">
        <v>-7.06</v>
      </c>
      <c r="W4973">
        <v>71</v>
      </c>
      <c r="X4973" t="s">
        <v>276</v>
      </c>
      <c r="Y4973" t="s">
        <v>95</v>
      </c>
      <c r="Z4973" t="s">
        <v>96</v>
      </c>
      <c r="AA4973" t="s">
        <v>105</v>
      </c>
      <c r="AB4973" t="s">
        <v>11030</v>
      </c>
      <c r="AC4973">
        <v>116</v>
      </c>
      <c r="AD4973">
        <v>66</v>
      </c>
      <c r="AE4973">
        <v>98</v>
      </c>
      <c r="AF4973">
        <v>296.92</v>
      </c>
      <c r="AG4973">
        <v>0.42</v>
      </c>
      <c r="AH4973">
        <v>7.01</v>
      </c>
      <c r="AI4973">
        <v>-0.19</v>
      </c>
      <c r="AJ4973">
        <v>-0.05</v>
      </c>
      <c r="AK4973">
        <v>90</v>
      </c>
      <c r="AL4973">
        <v>111</v>
      </c>
      <c r="AM4973">
        <v>56</v>
      </c>
      <c r="AN4973">
        <v>11.39</v>
      </c>
      <c r="AO4973">
        <v>-4.47</v>
      </c>
      <c r="AP4973">
        <v>35</v>
      </c>
      <c r="AQ4973">
        <v>0</v>
      </c>
      <c r="AR4973">
        <v>12.61</v>
      </c>
      <c r="AS4973">
        <v>74</v>
      </c>
      <c r="AT4973">
        <v>5.39</v>
      </c>
      <c r="AU4973">
        <v>92</v>
      </c>
      <c r="AV4973">
        <v>1.66</v>
      </c>
      <c r="AW4973">
        <v>84</v>
      </c>
      <c r="AX4973">
        <v>-0.16</v>
      </c>
      <c r="AY4973">
        <v>82</v>
      </c>
      <c r="AZ4973">
        <v>6</v>
      </c>
      <c r="BA4973">
        <v>72</v>
      </c>
      <c r="BB4973">
        <v>4.37</v>
      </c>
      <c r="BC4973">
        <v>73</v>
      </c>
      <c r="BD4973">
        <v>0.12</v>
      </c>
      <c r="BE4973">
        <v>0.1</v>
      </c>
      <c r="BF4973">
        <v>7.0000000000000007E-2</v>
      </c>
      <c r="BG4973">
        <v>94</v>
      </c>
      <c r="BH4973">
        <v>-0.13</v>
      </c>
      <c r="BI4973">
        <v>7.75</v>
      </c>
      <c r="BJ4973">
        <v>48</v>
      </c>
      <c r="BK4973">
        <v>26</v>
      </c>
      <c r="BL4973">
        <v>0.6</v>
      </c>
      <c r="BM4973">
        <v>-0.38</v>
      </c>
      <c r="BN4973">
        <v>1</v>
      </c>
      <c r="BO4973">
        <v>1.1499999999999999</v>
      </c>
      <c r="BP4973">
        <v>-0.79</v>
      </c>
      <c r="BQ4973">
        <v>-0.3</v>
      </c>
      <c r="BR4973">
        <v>7.0000000000000007E-2</v>
      </c>
      <c r="BS4973">
        <v>-1.71</v>
      </c>
      <c r="BT4973">
        <v>0.34</v>
      </c>
      <c r="BU4973">
        <v>-0.28999999999999998</v>
      </c>
      <c r="BV4973">
        <v>0.84</v>
      </c>
      <c r="BW4973">
        <v>0.35</v>
      </c>
      <c r="BX4973">
        <v>-0.64</v>
      </c>
      <c r="BY4973">
        <v>-0.68</v>
      </c>
      <c r="BZ4973">
        <v>0.93</v>
      </c>
      <c r="CA4973">
        <v>0.09</v>
      </c>
      <c r="CB4973">
        <v>0.44</v>
      </c>
      <c r="CC4973">
        <v>-0.76</v>
      </c>
      <c r="CD4973">
        <v>-1.38</v>
      </c>
      <c r="CE4973">
        <v>0.52</v>
      </c>
      <c r="CF4973">
        <v>-0.22</v>
      </c>
      <c r="CG4973">
        <v>0</v>
      </c>
      <c r="CH4973">
        <v>-0.88</v>
      </c>
      <c r="CI4973">
        <v>0</v>
      </c>
      <c r="CJ4973">
        <v>-2.1</v>
      </c>
      <c r="CK4973">
        <v>91</v>
      </c>
      <c r="CL4973">
        <v>-0.84</v>
      </c>
      <c r="CM4973">
        <v>89</v>
      </c>
      <c r="CN4973">
        <v>-0.24</v>
      </c>
      <c r="CO4973">
        <v>88</v>
      </c>
      <c r="CP4973">
        <v>-4.2</v>
      </c>
      <c r="CQ4973">
        <v>92</v>
      </c>
      <c r="CR4973">
        <v>0</v>
      </c>
      <c r="CS4973">
        <v>0</v>
      </c>
      <c r="CT4973">
        <v>8.9</v>
      </c>
      <c r="CU4973">
        <v>81</v>
      </c>
      <c r="CV4973">
        <v>0.16</v>
      </c>
      <c r="CW4973">
        <v>44</v>
      </c>
      <c r="CX4973" t="s">
        <v>485</v>
      </c>
    </row>
    <row r="4974" spans="1:102" x14ac:dyDescent="0.3">
      <c r="A4974" t="str">
        <f>HYPERLINK("https://webapp.icbf.com/v2/app/bull-search/view/77855308","MOH")</f>
        <v>MOH</v>
      </c>
      <c r="B4974" t="s">
        <v>11206</v>
      </c>
      <c r="C4974" t="s">
        <v>11207</v>
      </c>
      <c r="D4974" s="1">
        <v>32274</v>
      </c>
      <c r="E4974" t="s">
        <v>92</v>
      </c>
      <c r="F4974">
        <v>97</v>
      </c>
      <c r="G4974" t="s">
        <v>109</v>
      </c>
      <c r="H4974">
        <v>-268.49</v>
      </c>
      <c r="I4974">
        <v>75</v>
      </c>
      <c r="J4974">
        <v>-1.8</v>
      </c>
      <c r="K4974">
        <v>88</v>
      </c>
      <c r="L4974">
        <v>-78.680000000000007</v>
      </c>
      <c r="M4974">
        <v>81</v>
      </c>
      <c r="N4974">
        <v>-181.53</v>
      </c>
      <c r="O4974">
        <v>56</v>
      </c>
      <c r="P4974">
        <v>1.1599999999999999</v>
      </c>
      <c r="Q4974">
        <v>60</v>
      </c>
      <c r="R4974">
        <v>-7.03</v>
      </c>
      <c r="S4974">
        <v>67</v>
      </c>
      <c r="T4974">
        <v>6.65</v>
      </c>
      <c r="U4974">
        <v>59</v>
      </c>
      <c r="V4974">
        <v>-7.26</v>
      </c>
      <c r="W4974">
        <v>33</v>
      </c>
      <c r="X4974" t="s">
        <v>110</v>
      </c>
      <c r="Y4974" t="s">
        <v>95</v>
      </c>
      <c r="Z4974" t="s">
        <v>96</v>
      </c>
      <c r="AA4974" t="s">
        <v>166</v>
      </c>
      <c r="AB4974" t="s">
        <v>3337</v>
      </c>
      <c r="AC4974">
        <v>28</v>
      </c>
      <c r="AD4974">
        <v>23</v>
      </c>
      <c r="AE4974">
        <v>88</v>
      </c>
      <c r="AF4974">
        <v>-14.78</v>
      </c>
      <c r="AG4974">
        <v>3.47</v>
      </c>
      <c r="AH4974">
        <v>-1.76</v>
      </c>
      <c r="AI4974">
        <v>7.0000000000000007E-2</v>
      </c>
      <c r="AJ4974">
        <v>-0.02</v>
      </c>
      <c r="AK4974">
        <v>81</v>
      </c>
      <c r="AL4974">
        <v>32</v>
      </c>
      <c r="AM4974">
        <v>23</v>
      </c>
      <c r="AN4974">
        <v>4.6399999999999997</v>
      </c>
      <c r="AO4974">
        <v>-1.63</v>
      </c>
      <c r="AP4974">
        <v>9</v>
      </c>
      <c r="AQ4974">
        <v>0</v>
      </c>
      <c r="AR4974">
        <v>23.52</v>
      </c>
      <c r="AS4974">
        <v>32</v>
      </c>
      <c r="AT4974">
        <v>9.6999999999999993</v>
      </c>
      <c r="AU4974">
        <v>82</v>
      </c>
      <c r="AV4974">
        <v>0.36</v>
      </c>
      <c r="AW4974">
        <v>51</v>
      </c>
      <c r="AX4974">
        <v>-0.23</v>
      </c>
      <c r="AY4974">
        <v>60</v>
      </c>
      <c r="AZ4974">
        <v>5.44</v>
      </c>
      <c r="BA4974">
        <v>32</v>
      </c>
      <c r="BB4974">
        <v>4.43</v>
      </c>
      <c r="BC4974">
        <v>38</v>
      </c>
      <c r="BD4974">
        <v>0.01</v>
      </c>
      <c r="BE4974">
        <v>0.05</v>
      </c>
      <c r="BF4974">
        <v>0.05</v>
      </c>
      <c r="BG4974">
        <v>87</v>
      </c>
      <c r="BH4974">
        <v>0.02</v>
      </c>
      <c r="BI4974">
        <v>25.74</v>
      </c>
      <c r="BJ4974">
        <v>9</v>
      </c>
      <c r="BK4974">
        <v>6</v>
      </c>
      <c r="BL4974">
        <v>0.74</v>
      </c>
      <c r="BM4974">
        <v>0.04</v>
      </c>
      <c r="BN4974">
        <v>0.56999999999999995</v>
      </c>
      <c r="BO4974">
        <v>0.38</v>
      </c>
      <c r="BP4974">
        <v>0.61</v>
      </c>
      <c r="BQ4974">
        <v>-0.74</v>
      </c>
      <c r="BR4974">
        <v>0.99</v>
      </c>
      <c r="BS4974">
        <v>0.71</v>
      </c>
      <c r="BT4974">
        <v>-0.52</v>
      </c>
      <c r="BU4974">
        <v>-1.07</v>
      </c>
      <c r="BV4974">
        <v>-1.43</v>
      </c>
      <c r="BW4974">
        <v>-0.13</v>
      </c>
      <c r="BX4974">
        <v>-0.69</v>
      </c>
      <c r="BY4974">
        <v>-2.16</v>
      </c>
      <c r="BZ4974">
        <v>0.51</v>
      </c>
      <c r="CA4974">
        <v>-0.37</v>
      </c>
      <c r="CB4974">
        <v>-0.32</v>
      </c>
      <c r="CC4974">
        <v>-0.3</v>
      </c>
      <c r="CD4974">
        <v>0.66</v>
      </c>
      <c r="CE4974">
        <v>-0.25</v>
      </c>
      <c r="CF4974">
        <v>-0.25</v>
      </c>
      <c r="CG4974">
        <v>0</v>
      </c>
      <c r="CH4974">
        <v>-0.73</v>
      </c>
      <c r="CI4974">
        <v>0</v>
      </c>
      <c r="CJ4974">
        <v>-0.1</v>
      </c>
      <c r="CK4974">
        <v>62</v>
      </c>
      <c r="CL4974">
        <v>-0.22</v>
      </c>
      <c r="CM4974">
        <v>58</v>
      </c>
      <c r="CN4974">
        <v>-0.27</v>
      </c>
      <c r="CO4974">
        <v>54</v>
      </c>
      <c r="CP4974">
        <v>2.7</v>
      </c>
      <c r="CQ4974">
        <v>66</v>
      </c>
      <c r="CR4974">
        <v>0</v>
      </c>
      <c r="CS4974">
        <v>0</v>
      </c>
      <c r="CT4974">
        <v>4.8</v>
      </c>
      <c r="CU4974">
        <v>59</v>
      </c>
      <c r="CV4974">
        <v>0.01</v>
      </c>
      <c r="CW4974">
        <v>17</v>
      </c>
      <c r="CX4974" t="s">
        <v>539</v>
      </c>
    </row>
    <row r="4975" spans="1:102" x14ac:dyDescent="0.3">
      <c r="A4975" t="str">
        <f>HYPERLINK("https://webapp.icbf.com/v2/app/bull-search/view/586045754","SFC")</f>
        <v>SFC</v>
      </c>
      <c r="B4975" t="s">
        <v>15380</v>
      </c>
      <c r="C4975" t="s">
        <v>15381</v>
      </c>
      <c r="D4975" s="1">
        <v>38977</v>
      </c>
      <c r="E4975" t="s">
        <v>92</v>
      </c>
      <c r="F4975">
        <v>100</v>
      </c>
      <c r="G4975" t="s">
        <v>93</v>
      </c>
      <c r="H4975">
        <v>-268.74</v>
      </c>
      <c r="I4975">
        <v>88</v>
      </c>
      <c r="J4975">
        <v>39.380000000000003</v>
      </c>
      <c r="K4975">
        <v>95</v>
      </c>
      <c r="L4975">
        <v>-164.78</v>
      </c>
      <c r="M4975">
        <v>88</v>
      </c>
      <c r="N4975">
        <v>-112.82</v>
      </c>
      <c r="O4975">
        <v>82</v>
      </c>
      <c r="P4975">
        <v>-1.54</v>
      </c>
      <c r="Q4975">
        <v>87</v>
      </c>
      <c r="R4975">
        <v>-8.18</v>
      </c>
      <c r="S4975">
        <v>80</v>
      </c>
      <c r="T4975">
        <v>-31.31</v>
      </c>
      <c r="U4975">
        <v>79</v>
      </c>
      <c r="V4975">
        <v>10.51</v>
      </c>
      <c r="W4975">
        <v>68</v>
      </c>
      <c r="X4975" t="s">
        <v>276</v>
      </c>
      <c r="Y4975" t="s">
        <v>2581</v>
      </c>
      <c r="Z4975" t="s">
        <v>96</v>
      </c>
      <c r="AA4975" t="s">
        <v>1752</v>
      </c>
      <c r="AB4975" t="s">
        <v>2640</v>
      </c>
      <c r="AC4975">
        <v>60</v>
      </c>
      <c r="AD4975">
        <v>35</v>
      </c>
      <c r="AE4975">
        <v>95</v>
      </c>
      <c r="AF4975">
        <v>448.41</v>
      </c>
      <c r="AG4975">
        <v>4.0999999999999996</v>
      </c>
      <c r="AH4975">
        <v>12.11</v>
      </c>
      <c r="AI4975">
        <v>-0.22</v>
      </c>
      <c r="AJ4975">
        <v>-0.05</v>
      </c>
      <c r="AK4975">
        <v>88</v>
      </c>
      <c r="AL4975">
        <v>53</v>
      </c>
      <c r="AM4975">
        <v>36</v>
      </c>
      <c r="AN4975">
        <v>9.06</v>
      </c>
      <c r="AO4975">
        <v>-4.08</v>
      </c>
      <c r="AP4975">
        <v>91</v>
      </c>
      <c r="AQ4975">
        <v>12</v>
      </c>
      <c r="AR4975">
        <v>19.079999999999998</v>
      </c>
      <c r="AS4975">
        <v>80</v>
      </c>
      <c r="AT4975">
        <v>7.89</v>
      </c>
      <c r="AU4975">
        <v>90</v>
      </c>
      <c r="AV4975">
        <v>-0.62</v>
      </c>
      <c r="AW4975">
        <v>87</v>
      </c>
      <c r="AX4975">
        <v>1.1499999999999999</v>
      </c>
      <c r="AY4975">
        <v>79</v>
      </c>
      <c r="AZ4975">
        <v>6.05</v>
      </c>
      <c r="BA4975">
        <v>65</v>
      </c>
      <c r="BB4975">
        <v>4.92</v>
      </c>
      <c r="BC4975">
        <v>59</v>
      </c>
      <c r="BD4975">
        <v>-0.03</v>
      </c>
      <c r="BE4975">
        <v>0.02</v>
      </c>
      <c r="BF4975">
        <v>0.2</v>
      </c>
      <c r="BG4975">
        <v>93</v>
      </c>
      <c r="BH4975">
        <v>0.03</v>
      </c>
      <c r="BI4975">
        <v>-30.43</v>
      </c>
      <c r="BJ4975">
        <v>26</v>
      </c>
      <c r="BK4975">
        <v>14</v>
      </c>
      <c r="BL4975">
        <v>2.31</v>
      </c>
      <c r="BM4975">
        <v>0.52</v>
      </c>
      <c r="BN4975">
        <v>2.81</v>
      </c>
      <c r="BO4975">
        <v>2.0099999999999998</v>
      </c>
      <c r="BP4975">
        <v>-1.58</v>
      </c>
      <c r="BQ4975">
        <v>4.3099999999999996</v>
      </c>
      <c r="BR4975">
        <v>2.2799999999999998</v>
      </c>
      <c r="BS4975">
        <v>-1.42</v>
      </c>
      <c r="BT4975">
        <v>-0.8</v>
      </c>
      <c r="BU4975">
        <v>1.96</v>
      </c>
      <c r="BV4975">
        <v>2.35</v>
      </c>
      <c r="BW4975">
        <v>2.35</v>
      </c>
      <c r="BX4975">
        <v>1.19</v>
      </c>
      <c r="BY4975">
        <v>1.75</v>
      </c>
      <c r="BZ4975">
        <v>-0.87</v>
      </c>
      <c r="CA4975">
        <v>1.28</v>
      </c>
      <c r="CB4975">
        <v>2.12</v>
      </c>
      <c r="CC4975">
        <v>-0.72</v>
      </c>
      <c r="CD4975">
        <v>-1.1100000000000001</v>
      </c>
      <c r="CE4975">
        <v>1.76</v>
      </c>
      <c r="CF4975">
        <v>2.67</v>
      </c>
      <c r="CG4975">
        <v>0</v>
      </c>
      <c r="CH4975">
        <v>1.79</v>
      </c>
      <c r="CI4975">
        <v>0</v>
      </c>
      <c r="CJ4975">
        <v>1.7</v>
      </c>
      <c r="CK4975">
        <v>88</v>
      </c>
      <c r="CL4975">
        <v>-1.17</v>
      </c>
      <c r="CM4975">
        <v>86</v>
      </c>
      <c r="CN4975">
        <v>-0.48</v>
      </c>
      <c r="CO4975">
        <v>84</v>
      </c>
      <c r="CP4975">
        <v>17.100000000000001</v>
      </c>
      <c r="CQ4975">
        <v>84</v>
      </c>
      <c r="CR4975">
        <v>0</v>
      </c>
      <c r="CS4975">
        <v>0</v>
      </c>
      <c r="CT4975">
        <v>56.1</v>
      </c>
      <c r="CU4975">
        <v>79</v>
      </c>
      <c r="CV4975">
        <v>0.18</v>
      </c>
      <c r="CW4975">
        <v>43</v>
      </c>
      <c r="CX4975" t="s">
        <v>311</v>
      </c>
    </row>
    <row r="4976" spans="1:102" x14ac:dyDescent="0.3">
      <c r="A4976" t="str">
        <f>HYPERLINK("https://webapp.icbf.com/v2/app/bull-search/view/132507669","NWI")</f>
        <v>NWI</v>
      </c>
      <c r="B4976" t="s">
        <v>15253</v>
      </c>
      <c r="C4976" t="s">
        <v>15254</v>
      </c>
      <c r="D4976" s="1">
        <v>35068</v>
      </c>
      <c r="E4976" t="s">
        <v>92</v>
      </c>
      <c r="F4976">
        <v>100</v>
      </c>
      <c r="G4976" t="s">
        <v>93</v>
      </c>
      <c r="H4976">
        <v>-269.93</v>
      </c>
      <c r="I4976">
        <v>93</v>
      </c>
      <c r="J4976">
        <v>-25.92</v>
      </c>
      <c r="K4976">
        <v>98</v>
      </c>
      <c r="L4976">
        <v>-157.01</v>
      </c>
      <c r="M4976">
        <v>92</v>
      </c>
      <c r="N4976">
        <v>-63.33</v>
      </c>
      <c r="O4976">
        <v>88</v>
      </c>
      <c r="P4976">
        <v>-8.24</v>
      </c>
      <c r="Q4976">
        <v>94</v>
      </c>
      <c r="R4976">
        <v>-0.87</v>
      </c>
      <c r="S4976">
        <v>85</v>
      </c>
      <c r="T4976">
        <v>-7.12</v>
      </c>
      <c r="U4976">
        <v>90</v>
      </c>
      <c r="V4976">
        <v>-7.44</v>
      </c>
      <c r="W4976">
        <v>76</v>
      </c>
      <c r="X4976" t="s">
        <v>747</v>
      </c>
      <c r="Y4976" t="s">
        <v>95</v>
      </c>
      <c r="Z4976" t="s">
        <v>96</v>
      </c>
      <c r="AA4976" t="s">
        <v>989</v>
      </c>
      <c r="AB4976" t="s">
        <v>7362</v>
      </c>
      <c r="AC4976">
        <v>160</v>
      </c>
      <c r="AD4976">
        <v>79</v>
      </c>
      <c r="AE4976">
        <v>98</v>
      </c>
      <c r="AF4976">
        <v>242.56</v>
      </c>
      <c r="AG4976">
        <v>-2.59</v>
      </c>
      <c r="AH4976">
        <v>0.22</v>
      </c>
      <c r="AI4976">
        <v>-0.2</v>
      </c>
      <c r="AJ4976">
        <v>-0.13</v>
      </c>
      <c r="AK4976">
        <v>92</v>
      </c>
      <c r="AL4976">
        <v>141</v>
      </c>
      <c r="AM4976">
        <v>63</v>
      </c>
      <c r="AN4976">
        <v>7.91</v>
      </c>
      <c r="AO4976">
        <v>-4.62</v>
      </c>
      <c r="AP4976">
        <v>247</v>
      </c>
      <c r="AQ4976">
        <v>1</v>
      </c>
      <c r="AR4976">
        <v>15.17</v>
      </c>
      <c r="AS4976">
        <v>78</v>
      </c>
      <c r="AT4976">
        <v>6.38</v>
      </c>
      <c r="AU4976">
        <v>93</v>
      </c>
      <c r="AV4976">
        <v>-0.65</v>
      </c>
      <c r="AW4976">
        <v>94</v>
      </c>
      <c r="AX4976">
        <v>-0.15</v>
      </c>
      <c r="AY4976">
        <v>87</v>
      </c>
      <c r="AZ4976">
        <v>6.46</v>
      </c>
      <c r="BA4976">
        <v>73</v>
      </c>
      <c r="BB4976">
        <v>5.1100000000000003</v>
      </c>
      <c r="BC4976">
        <v>73</v>
      </c>
      <c r="BD4976">
        <v>0.03</v>
      </c>
      <c r="BE4976">
        <v>0</v>
      </c>
      <c r="BF4976">
        <v>-0.03</v>
      </c>
      <c r="BG4976">
        <v>95</v>
      </c>
      <c r="BH4976">
        <v>-0.27</v>
      </c>
      <c r="BI4976">
        <v>-7.23</v>
      </c>
      <c r="BJ4976">
        <v>100</v>
      </c>
      <c r="BK4976">
        <v>39</v>
      </c>
      <c r="BL4976">
        <v>1.64</v>
      </c>
      <c r="BM4976">
        <v>1.04</v>
      </c>
      <c r="BN4976">
        <v>2.09</v>
      </c>
      <c r="BO4976">
        <v>0.83</v>
      </c>
      <c r="BP4976">
        <v>1.64</v>
      </c>
      <c r="BQ4976">
        <v>2.5</v>
      </c>
      <c r="BR4976">
        <v>-1.02</v>
      </c>
      <c r="BS4976">
        <v>1.8</v>
      </c>
      <c r="BT4976">
        <v>1.9</v>
      </c>
      <c r="BU4976">
        <v>2.04</v>
      </c>
      <c r="BV4976">
        <v>1.44</v>
      </c>
      <c r="BW4976">
        <v>1.67</v>
      </c>
      <c r="BX4976">
        <v>1.24</v>
      </c>
      <c r="BY4976">
        <v>1.1399999999999999</v>
      </c>
      <c r="BZ4976">
        <v>0.79</v>
      </c>
      <c r="CA4976">
        <v>2.1</v>
      </c>
      <c r="CB4976">
        <v>1.77</v>
      </c>
      <c r="CC4976">
        <v>2.17</v>
      </c>
      <c r="CD4976">
        <v>0.14000000000000001</v>
      </c>
      <c r="CE4976">
        <v>0.92</v>
      </c>
      <c r="CF4976">
        <v>2.2400000000000002</v>
      </c>
      <c r="CG4976">
        <v>0</v>
      </c>
      <c r="CH4976">
        <v>1.1599999999999999</v>
      </c>
      <c r="CI4976">
        <v>0</v>
      </c>
      <c r="CJ4976">
        <v>-1.4</v>
      </c>
      <c r="CK4976">
        <v>95</v>
      </c>
      <c r="CL4976">
        <v>-1.24</v>
      </c>
      <c r="CM4976">
        <v>94</v>
      </c>
      <c r="CN4976">
        <v>-0.47</v>
      </c>
      <c r="CO4976">
        <v>93</v>
      </c>
      <c r="CP4976">
        <v>6.6</v>
      </c>
      <c r="CQ4976">
        <v>93</v>
      </c>
      <c r="CR4976">
        <v>0</v>
      </c>
      <c r="CS4976">
        <v>0</v>
      </c>
      <c r="CT4976">
        <v>23.4</v>
      </c>
      <c r="CU4976">
        <v>90</v>
      </c>
      <c r="CV4976">
        <v>0.36</v>
      </c>
      <c r="CW4976">
        <v>45</v>
      </c>
      <c r="CX4976" t="s">
        <v>543</v>
      </c>
    </row>
    <row r="4977" spans="1:102" x14ac:dyDescent="0.3">
      <c r="A4977" t="str">
        <f>HYPERLINK("https://webapp.icbf.com/v2/app/bull-search/view/77854291","PTB")</f>
        <v>PTB</v>
      </c>
      <c r="B4977" t="s">
        <v>14302</v>
      </c>
      <c r="C4977" t="s">
        <v>14303</v>
      </c>
      <c r="D4977" s="1">
        <v>35211</v>
      </c>
      <c r="E4977" t="s">
        <v>92</v>
      </c>
      <c r="F4977">
        <v>94</v>
      </c>
      <c r="G4977" t="s">
        <v>93</v>
      </c>
      <c r="H4977">
        <v>-270.77</v>
      </c>
      <c r="I4977">
        <v>81</v>
      </c>
      <c r="J4977">
        <v>-15.61</v>
      </c>
      <c r="K4977">
        <v>96</v>
      </c>
      <c r="L4977">
        <v>-213.26</v>
      </c>
      <c r="M4977">
        <v>76</v>
      </c>
      <c r="N4977">
        <v>-18.93</v>
      </c>
      <c r="O4977">
        <v>70</v>
      </c>
      <c r="P4977">
        <v>-2.69</v>
      </c>
      <c r="Q4977">
        <v>78</v>
      </c>
      <c r="R4977">
        <v>-16.86</v>
      </c>
      <c r="S4977">
        <v>75</v>
      </c>
      <c r="T4977">
        <v>-1.27</v>
      </c>
      <c r="U4977">
        <v>73</v>
      </c>
      <c r="V4977">
        <v>-2.15</v>
      </c>
      <c r="W4977">
        <v>61</v>
      </c>
      <c r="X4977" t="s">
        <v>94</v>
      </c>
      <c r="Y4977" t="s">
        <v>95</v>
      </c>
      <c r="Z4977" t="s">
        <v>96</v>
      </c>
      <c r="AA4977" t="s">
        <v>97</v>
      </c>
      <c r="AB4977" t="s">
        <v>14304</v>
      </c>
      <c r="AC4977">
        <v>72</v>
      </c>
      <c r="AD4977">
        <v>67</v>
      </c>
      <c r="AE4977">
        <v>96</v>
      </c>
      <c r="AF4977">
        <v>186.9</v>
      </c>
      <c r="AG4977">
        <v>1.29</v>
      </c>
      <c r="AH4977">
        <v>-0.25</v>
      </c>
      <c r="AI4977">
        <v>-0.1</v>
      </c>
      <c r="AJ4977">
        <v>-0.11</v>
      </c>
      <c r="AK4977">
        <v>76</v>
      </c>
      <c r="AL4977">
        <v>57</v>
      </c>
      <c r="AM4977">
        <v>48</v>
      </c>
      <c r="AN4977">
        <v>12.2</v>
      </c>
      <c r="AO4977">
        <v>-4.8</v>
      </c>
      <c r="AP4977">
        <v>0</v>
      </c>
      <c r="AQ4977">
        <v>2</v>
      </c>
      <c r="AR4977">
        <v>9.01</v>
      </c>
      <c r="AS4977">
        <v>55</v>
      </c>
      <c r="AT4977">
        <v>4.32</v>
      </c>
      <c r="AU4977">
        <v>73</v>
      </c>
      <c r="AV4977">
        <v>0.46</v>
      </c>
      <c r="AW4977">
        <v>74</v>
      </c>
      <c r="AX4977">
        <v>0.08</v>
      </c>
      <c r="AY4977">
        <v>74</v>
      </c>
      <c r="AZ4977">
        <v>6.31</v>
      </c>
      <c r="BA4977">
        <v>47</v>
      </c>
      <c r="BB4977">
        <v>4.87</v>
      </c>
      <c r="BC4977">
        <v>62</v>
      </c>
      <c r="BD4977">
        <v>0.04</v>
      </c>
      <c r="BE4977">
        <v>0.09</v>
      </c>
      <c r="BF4977">
        <v>0.15</v>
      </c>
      <c r="BG4977">
        <v>87</v>
      </c>
      <c r="BH4977">
        <v>-0.08</v>
      </c>
      <c r="BI4977">
        <v>-2.31</v>
      </c>
      <c r="BJ4977">
        <v>0</v>
      </c>
      <c r="BK4977">
        <v>0</v>
      </c>
      <c r="BL4977">
        <v>0.84</v>
      </c>
      <c r="BM4977">
        <v>-0.22</v>
      </c>
      <c r="BN4977">
        <v>0.78</v>
      </c>
      <c r="BO4977">
        <v>1.21</v>
      </c>
      <c r="BP4977">
        <v>2.39</v>
      </c>
      <c r="BQ4977">
        <v>0.35</v>
      </c>
      <c r="BR4977">
        <v>0.88</v>
      </c>
      <c r="BS4977">
        <v>0.22</v>
      </c>
      <c r="BT4977">
        <v>-0.87</v>
      </c>
      <c r="BU4977">
        <v>-1.56</v>
      </c>
      <c r="BV4977">
        <v>-0.32</v>
      </c>
      <c r="BW4977">
        <v>-1.38</v>
      </c>
      <c r="BX4977">
        <v>-1.94</v>
      </c>
      <c r="BY4977">
        <v>-1.41</v>
      </c>
      <c r="BZ4977">
        <v>2.2799999999999998</v>
      </c>
      <c r="CA4977">
        <v>-0.7</v>
      </c>
      <c r="CB4977">
        <v>-0.91</v>
      </c>
      <c r="CC4977">
        <v>7.0000000000000007E-2</v>
      </c>
      <c r="CD4977">
        <v>-1.0900000000000001</v>
      </c>
      <c r="CE4977">
        <v>1.2</v>
      </c>
      <c r="CF4977">
        <v>0.03</v>
      </c>
      <c r="CG4977">
        <v>0</v>
      </c>
      <c r="CH4977">
        <v>-1.23</v>
      </c>
      <c r="CI4977">
        <v>0</v>
      </c>
      <c r="CJ4977">
        <v>0.6</v>
      </c>
      <c r="CK4977">
        <v>79</v>
      </c>
      <c r="CL4977">
        <v>-0.59</v>
      </c>
      <c r="CM4977">
        <v>76</v>
      </c>
      <c r="CN4977">
        <v>-0.2</v>
      </c>
      <c r="CO4977">
        <v>73</v>
      </c>
      <c r="CP4977">
        <v>1.5</v>
      </c>
      <c r="CQ4977">
        <v>84</v>
      </c>
      <c r="CR4977">
        <v>0</v>
      </c>
      <c r="CS4977">
        <v>0</v>
      </c>
      <c r="CT4977">
        <v>15.5</v>
      </c>
      <c r="CU4977">
        <v>73</v>
      </c>
      <c r="CV4977">
        <v>0.01</v>
      </c>
      <c r="CW4977">
        <v>41</v>
      </c>
      <c r="CX4977" t="s">
        <v>193</v>
      </c>
    </row>
    <row r="4978" spans="1:102" x14ac:dyDescent="0.3">
      <c r="A4978" t="str">
        <f>HYPERLINK("https://webapp.icbf.com/v2/app/bull-search/view/707539630","S806")</f>
        <v>S806</v>
      </c>
      <c r="B4978" t="s">
        <v>5287</v>
      </c>
      <c r="C4978" t="s">
        <v>5288</v>
      </c>
      <c r="D4978" s="1">
        <v>39426</v>
      </c>
      <c r="E4978" t="s">
        <v>92</v>
      </c>
      <c r="F4978">
        <v>100</v>
      </c>
      <c r="G4978" t="s">
        <v>109</v>
      </c>
      <c r="H4978">
        <v>-271.31</v>
      </c>
      <c r="I4978">
        <v>68</v>
      </c>
      <c r="J4978">
        <v>33.159999999999997</v>
      </c>
      <c r="K4978">
        <v>78</v>
      </c>
      <c r="L4978">
        <v>-155.4</v>
      </c>
      <c r="M4978">
        <v>68</v>
      </c>
      <c r="N4978">
        <v>-114.97</v>
      </c>
      <c r="O4978">
        <v>64</v>
      </c>
      <c r="P4978">
        <v>-11.5</v>
      </c>
      <c r="Q4978">
        <v>69</v>
      </c>
      <c r="R4978">
        <v>-11.03</v>
      </c>
      <c r="S4978">
        <v>58</v>
      </c>
      <c r="T4978">
        <v>-9.41</v>
      </c>
      <c r="U4978">
        <v>62</v>
      </c>
      <c r="V4978">
        <v>-2.16</v>
      </c>
      <c r="W4978">
        <v>21</v>
      </c>
      <c r="X4978" t="s">
        <v>251</v>
      </c>
      <c r="Y4978" t="s">
        <v>1494</v>
      </c>
      <c r="Z4978" t="s">
        <v>96</v>
      </c>
      <c r="AA4978" t="s">
        <v>5289</v>
      </c>
      <c r="AB4978" t="s">
        <v>1991</v>
      </c>
      <c r="AC4978">
        <v>0</v>
      </c>
      <c r="AD4978">
        <v>0</v>
      </c>
      <c r="AE4978">
        <v>78</v>
      </c>
      <c r="AF4978">
        <v>207.19</v>
      </c>
      <c r="AG4978">
        <v>0.17</v>
      </c>
      <c r="AH4978">
        <v>8.75</v>
      </c>
      <c r="AI4978">
        <v>-0.13</v>
      </c>
      <c r="AJ4978">
        <v>0.03</v>
      </c>
      <c r="AK4978">
        <v>68</v>
      </c>
      <c r="AL4978">
        <v>0</v>
      </c>
      <c r="AM4978">
        <v>0</v>
      </c>
      <c r="AN4978">
        <v>8.68</v>
      </c>
      <c r="AO4978">
        <v>-3.71</v>
      </c>
      <c r="AP4978">
        <v>37</v>
      </c>
      <c r="AQ4978">
        <v>0</v>
      </c>
      <c r="AR4978">
        <v>19.93</v>
      </c>
      <c r="AS4978">
        <v>36</v>
      </c>
      <c r="AT4978">
        <v>8.25</v>
      </c>
      <c r="AU4978">
        <v>79</v>
      </c>
      <c r="AV4978">
        <v>-2.56</v>
      </c>
      <c r="AW4978">
        <v>79</v>
      </c>
      <c r="AX4978">
        <v>2.42</v>
      </c>
      <c r="AY4978">
        <v>51</v>
      </c>
      <c r="AZ4978">
        <v>6.89</v>
      </c>
      <c r="BA4978">
        <v>29</v>
      </c>
      <c r="BB4978">
        <v>5.05</v>
      </c>
      <c r="BC4978">
        <v>27</v>
      </c>
      <c r="BD4978">
        <v>0.04</v>
      </c>
      <c r="BE4978">
        <v>0.03</v>
      </c>
      <c r="BF4978">
        <v>0.13</v>
      </c>
      <c r="BG4978">
        <v>82</v>
      </c>
      <c r="BH4978">
        <v>-0.03</v>
      </c>
      <c r="BI4978">
        <v>3.5</v>
      </c>
      <c r="BJ4978">
        <v>10</v>
      </c>
      <c r="BK4978">
        <v>6</v>
      </c>
      <c r="BL4978">
        <v>2.66</v>
      </c>
      <c r="BM4978">
        <v>0.85</v>
      </c>
      <c r="BN4978">
        <v>2.06</v>
      </c>
      <c r="BO4978">
        <v>1.88</v>
      </c>
      <c r="BP4978">
        <v>-0.35</v>
      </c>
      <c r="BQ4978">
        <v>3.54</v>
      </c>
      <c r="BR4978">
        <v>-0.82</v>
      </c>
      <c r="BS4978">
        <v>2.0099999999999998</v>
      </c>
      <c r="BT4978">
        <v>1.88</v>
      </c>
      <c r="BU4978">
        <v>2.2400000000000002</v>
      </c>
      <c r="BV4978">
        <v>2.98</v>
      </c>
      <c r="BW4978">
        <v>1.35</v>
      </c>
      <c r="BX4978">
        <v>2.2999999999999998</v>
      </c>
      <c r="BY4978">
        <v>-0.04</v>
      </c>
      <c r="BZ4978">
        <v>0.37</v>
      </c>
      <c r="CA4978">
        <v>2.2200000000000002</v>
      </c>
      <c r="CB4978">
        <v>2.04</v>
      </c>
      <c r="CC4978">
        <v>1.78</v>
      </c>
      <c r="CD4978">
        <v>-0.94</v>
      </c>
      <c r="CE4978">
        <v>1.37</v>
      </c>
      <c r="CF4978">
        <v>2.13</v>
      </c>
      <c r="CG4978">
        <v>0</v>
      </c>
      <c r="CH4978">
        <v>0.63</v>
      </c>
      <c r="CI4978">
        <v>0</v>
      </c>
      <c r="CJ4978">
        <v>-2.2000000000000002</v>
      </c>
      <c r="CK4978">
        <v>72</v>
      </c>
      <c r="CL4978">
        <v>-1.36</v>
      </c>
      <c r="CM4978">
        <v>68</v>
      </c>
      <c r="CN4978">
        <v>-0.39</v>
      </c>
      <c r="CO4978">
        <v>64</v>
      </c>
      <c r="CP4978">
        <v>6.7</v>
      </c>
      <c r="CQ4978">
        <v>63</v>
      </c>
      <c r="CR4978">
        <v>0</v>
      </c>
      <c r="CS4978">
        <v>0</v>
      </c>
      <c r="CT4978">
        <v>26.5</v>
      </c>
      <c r="CU4978">
        <v>62</v>
      </c>
      <c r="CV4978">
        <v>0.37</v>
      </c>
      <c r="CW4978">
        <v>19</v>
      </c>
      <c r="CX4978" t="s">
        <v>1992</v>
      </c>
    </row>
    <row r="4979" spans="1:102" x14ac:dyDescent="0.3">
      <c r="A4979" t="str">
        <f>HYPERLINK("https://webapp.icbf.com/v2/app/bull-search/view/487000186","YMU")</f>
        <v>YMU</v>
      </c>
      <c r="B4979" t="s">
        <v>2645</v>
      </c>
      <c r="C4979" t="s">
        <v>2646</v>
      </c>
      <c r="D4979" s="1">
        <v>37304</v>
      </c>
      <c r="E4979" t="s">
        <v>92</v>
      </c>
      <c r="F4979">
        <v>100</v>
      </c>
      <c r="G4979" t="s">
        <v>109</v>
      </c>
      <c r="H4979">
        <v>-273.01</v>
      </c>
      <c r="I4979">
        <v>68</v>
      </c>
      <c r="J4979">
        <v>18.68</v>
      </c>
      <c r="K4979">
        <v>81</v>
      </c>
      <c r="L4979">
        <v>-240.19</v>
      </c>
      <c r="M4979">
        <v>80</v>
      </c>
      <c r="N4979">
        <v>-38.18</v>
      </c>
      <c r="O4979">
        <v>44</v>
      </c>
      <c r="P4979">
        <v>-11.57</v>
      </c>
      <c r="Q4979">
        <v>46</v>
      </c>
      <c r="R4979">
        <v>-3.25</v>
      </c>
      <c r="S4979">
        <v>64</v>
      </c>
      <c r="T4979">
        <v>5.69</v>
      </c>
      <c r="U4979">
        <v>41</v>
      </c>
      <c r="V4979">
        <v>-4.1900000000000004</v>
      </c>
      <c r="W4979">
        <v>24</v>
      </c>
      <c r="X4979" t="s">
        <v>288</v>
      </c>
      <c r="Y4979" t="s">
        <v>270</v>
      </c>
      <c r="Z4979" t="s">
        <v>96</v>
      </c>
      <c r="AA4979" t="s">
        <v>1801</v>
      </c>
      <c r="AB4979" t="s">
        <v>2647</v>
      </c>
      <c r="AC4979">
        <v>0</v>
      </c>
      <c r="AD4979">
        <v>0</v>
      </c>
      <c r="AE4979">
        <v>81</v>
      </c>
      <c r="AF4979">
        <v>215.51</v>
      </c>
      <c r="AG4979">
        <v>9.74</v>
      </c>
      <c r="AH4979">
        <v>3.03</v>
      </c>
      <c r="AI4979">
        <v>0.02</v>
      </c>
      <c r="AJ4979">
        <v>-7.0000000000000007E-2</v>
      </c>
      <c r="AK4979">
        <v>80</v>
      </c>
      <c r="AL4979">
        <v>0</v>
      </c>
      <c r="AM4979">
        <v>0</v>
      </c>
      <c r="AN4979">
        <v>12.7</v>
      </c>
      <c r="AO4979">
        <v>-6.46</v>
      </c>
      <c r="AP4979">
        <v>16</v>
      </c>
      <c r="AQ4979">
        <v>0</v>
      </c>
      <c r="AR4979">
        <v>12.2</v>
      </c>
      <c r="AS4979">
        <v>30</v>
      </c>
      <c r="AT4979">
        <v>5.39</v>
      </c>
      <c r="AU4979">
        <v>86</v>
      </c>
      <c r="AV4979">
        <v>-0.11</v>
      </c>
      <c r="AW4979">
        <v>29</v>
      </c>
      <c r="AX4979">
        <v>0.34</v>
      </c>
      <c r="AY4979">
        <v>39</v>
      </c>
      <c r="AZ4979">
        <v>5.68</v>
      </c>
      <c r="BA4979">
        <v>31</v>
      </c>
      <c r="BB4979">
        <v>4.7</v>
      </c>
      <c r="BC4979">
        <v>28</v>
      </c>
      <c r="BD4979">
        <v>0.01</v>
      </c>
      <c r="BE4979">
        <v>0.02</v>
      </c>
      <c r="BF4979">
        <v>0.02</v>
      </c>
      <c r="BG4979">
        <v>90</v>
      </c>
      <c r="BH4979">
        <v>-0.06</v>
      </c>
      <c r="BI4979">
        <v>6.58</v>
      </c>
      <c r="BJ4979">
        <v>2</v>
      </c>
      <c r="BK4979">
        <v>2</v>
      </c>
      <c r="BL4979">
        <v>1.49</v>
      </c>
      <c r="BM4979">
        <v>-0.39</v>
      </c>
      <c r="BN4979">
        <v>1.86</v>
      </c>
      <c r="BO4979">
        <v>1.68</v>
      </c>
      <c r="BP4979">
        <v>-0.31</v>
      </c>
      <c r="BQ4979">
        <v>0.99</v>
      </c>
      <c r="BR4979">
        <v>-0.17</v>
      </c>
      <c r="BS4979">
        <v>1.59</v>
      </c>
      <c r="BT4979">
        <v>0.43</v>
      </c>
      <c r="BU4979">
        <v>0.96</v>
      </c>
      <c r="BV4979">
        <v>1.78</v>
      </c>
      <c r="BW4979">
        <v>1.72</v>
      </c>
      <c r="BX4979">
        <v>0.6</v>
      </c>
      <c r="BY4979">
        <v>1.43</v>
      </c>
      <c r="BZ4979">
        <v>0.53</v>
      </c>
      <c r="CA4979">
        <v>1.45</v>
      </c>
      <c r="CB4979">
        <v>1.31</v>
      </c>
      <c r="CC4979">
        <v>1.32</v>
      </c>
      <c r="CD4979">
        <v>-1.06</v>
      </c>
      <c r="CE4979">
        <v>0.31</v>
      </c>
      <c r="CF4979">
        <v>0.96</v>
      </c>
      <c r="CG4979">
        <v>0</v>
      </c>
      <c r="CH4979">
        <v>0.27</v>
      </c>
      <c r="CI4979">
        <v>0</v>
      </c>
      <c r="CJ4979">
        <v>-4.7</v>
      </c>
      <c r="CK4979">
        <v>47</v>
      </c>
      <c r="CL4979">
        <v>-0.97</v>
      </c>
      <c r="CM4979">
        <v>45</v>
      </c>
      <c r="CN4979">
        <v>-0.46</v>
      </c>
      <c r="CO4979">
        <v>38</v>
      </c>
      <c r="CP4979">
        <v>-3.1</v>
      </c>
      <c r="CQ4979">
        <v>55</v>
      </c>
      <c r="CR4979">
        <v>0</v>
      </c>
      <c r="CS4979">
        <v>0</v>
      </c>
      <c r="CT4979">
        <v>6.1</v>
      </c>
      <c r="CU4979">
        <v>41</v>
      </c>
      <c r="CV4979">
        <v>0.2</v>
      </c>
      <c r="CW4979">
        <v>11</v>
      </c>
      <c r="CX4979" t="s">
        <v>291</v>
      </c>
    </row>
    <row r="4980" spans="1:102" x14ac:dyDescent="0.3">
      <c r="A4980" t="str">
        <f>HYPERLINK("https://webapp.icbf.com/v2/app/bull-search/view/77860045","BWC")</f>
        <v>BWC</v>
      </c>
      <c r="B4980" t="s">
        <v>1210</v>
      </c>
      <c r="C4980" t="s">
        <v>1211</v>
      </c>
      <c r="D4980" s="1">
        <v>31580</v>
      </c>
      <c r="E4980" t="s">
        <v>92</v>
      </c>
      <c r="F4980">
        <v>100</v>
      </c>
      <c r="G4980" t="s">
        <v>109</v>
      </c>
      <c r="H4980">
        <v>-273.55</v>
      </c>
      <c r="I4980">
        <v>68</v>
      </c>
      <c r="J4980">
        <v>-68.3</v>
      </c>
      <c r="K4980">
        <v>79</v>
      </c>
      <c r="L4980">
        <v>-132.6</v>
      </c>
      <c r="M4980">
        <v>78</v>
      </c>
      <c r="N4980">
        <v>-71.69</v>
      </c>
      <c r="O4980">
        <v>52</v>
      </c>
      <c r="P4980">
        <v>-2.92</v>
      </c>
      <c r="Q4980">
        <v>51</v>
      </c>
      <c r="R4980">
        <v>-0.94</v>
      </c>
      <c r="S4980">
        <v>61</v>
      </c>
      <c r="T4980">
        <v>6.57</v>
      </c>
      <c r="U4980">
        <v>46</v>
      </c>
      <c r="V4980">
        <v>-3.67</v>
      </c>
      <c r="W4980">
        <v>28</v>
      </c>
      <c r="X4980" t="s">
        <v>747</v>
      </c>
      <c r="Y4980" t="s">
        <v>95</v>
      </c>
      <c r="Z4980" t="s">
        <v>96</v>
      </c>
      <c r="AA4980" t="s">
        <v>543</v>
      </c>
      <c r="AB4980" t="s">
        <v>1212</v>
      </c>
      <c r="AC4980">
        <v>0</v>
      </c>
      <c r="AD4980">
        <v>0</v>
      </c>
      <c r="AE4980">
        <v>79</v>
      </c>
      <c r="AF4980">
        <v>129.88999999999999</v>
      </c>
      <c r="AG4980">
        <v>-2.0299999999999998</v>
      </c>
      <c r="AH4980">
        <v>-8.91</v>
      </c>
      <c r="AI4980">
        <v>-0.12</v>
      </c>
      <c r="AJ4980">
        <v>-0.22</v>
      </c>
      <c r="AK4980">
        <v>78</v>
      </c>
      <c r="AL4980">
        <v>0</v>
      </c>
      <c r="AM4980">
        <v>0</v>
      </c>
      <c r="AN4980">
        <v>7.59</v>
      </c>
      <c r="AO4980">
        <v>-2.98</v>
      </c>
      <c r="AP4980">
        <v>9</v>
      </c>
      <c r="AQ4980">
        <v>2</v>
      </c>
      <c r="AR4980">
        <v>16.670000000000002</v>
      </c>
      <c r="AS4980">
        <v>27</v>
      </c>
      <c r="AT4980">
        <v>6.86</v>
      </c>
      <c r="AU4980">
        <v>78</v>
      </c>
      <c r="AV4980">
        <v>-1.89</v>
      </c>
      <c r="AW4980">
        <v>54</v>
      </c>
      <c r="AX4980">
        <v>-0.08</v>
      </c>
      <c r="AY4980">
        <v>43</v>
      </c>
      <c r="AZ4980">
        <v>7.16</v>
      </c>
      <c r="BA4980">
        <v>28</v>
      </c>
      <c r="BB4980">
        <v>5.38</v>
      </c>
      <c r="BC4980">
        <v>29</v>
      </c>
      <c r="BD4980">
        <v>0.01</v>
      </c>
      <c r="BE4980">
        <v>0.05</v>
      </c>
      <c r="BF4980">
        <v>-0.09</v>
      </c>
      <c r="BG4980">
        <v>85</v>
      </c>
      <c r="BH4980">
        <v>-0.01</v>
      </c>
      <c r="BI4980">
        <v>10.69</v>
      </c>
      <c r="BJ4980">
        <v>0</v>
      </c>
      <c r="BK4980">
        <v>0</v>
      </c>
      <c r="BL4980">
        <v>0.55000000000000004</v>
      </c>
      <c r="BM4980">
        <v>2.14</v>
      </c>
      <c r="BN4980">
        <v>2.59</v>
      </c>
      <c r="BO4980">
        <v>0.16</v>
      </c>
      <c r="BP4980">
        <v>-2.2999999999999998</v>
      </c>
      <c r="BQ4980">
        <v>1.06</v>
      </c>
      <c r="BR4980">
        <v>0.86</v>
      </c>
      <c r="BS4980">
        <v>-1.51</v>
      </c>
      <c r="BT4980">
        <v>-0.56999999999999995</v>
      </c>
      <c r="BU4980">
        <v>1.32</v>
      </c>
      <c r="BV4980">
        <v>0.04</v>
      </c>
      <c r="BW4980">
        <v>1.59</v>
      </c>
      <c r="BX4980">
        <v>0.97</v>
      </c>
      <c r="BY4980">
        <v>1.1200000000000001</v>
      </c>
      <c r="BZ4980">
        <v>0.01</v>
      </c>
      <c r="CA4980">
        <v>0.22</v>
      </c>
      <c r="CB4980">
        <v>0.66</v>
      </c>
      <c r="CC4980">
        <v>-0.48</v>
      </c>
      <c r="CD4980">
        <v>0.54</v>
      </c>
      <c r="CE4980">
        <v>0</v>
      </c>
      <c r="CF4980">
        <v>0</v>
      </c>
      <c r="CG4980">
        <v>0</v>
      </c>
      <c r="CH4980">
        <v>0</v>
      </c>
      <c r="CI4980">
        <v>0</v>
      </c>
      <c r="CJ4980">
        <v>-1.3</v>
      </c>
      <c r="CK4980">
        <v>53</v>
      </c>
      <c r="CL4980">
        <v>-0.6</v>
      </c>
      <c r="CM4980">
        <v>50</v>
      </c>
      <c r="CN4980">
        <v>-0.47</v>
      </c>
      <c r="CO4980">
        <v>45</v>
      </c>
      <c r="CP4980">
        <v>-2.9</v>
      </c>
      <c r="CQ4980">
        <v>52</v>
      </c>
      <c r="CR4980">
        <v>0</v>
      </c>
      <c r="CS4980">
        <v>0</v>
      </c>
      <c r="CT4980">
        <v>4.9000000000000004</v>
      </c>
      <c r="CU4980">
        <v>46</v>
      </c>
      <c r="CV4980">
        <v>0.14000000000000001</v>
      </c>
      <c r="CW4980">
        <v>14</v>
      </c>
      <c r="CX4980" t="s">
        <v>707</v>
      </c>
    </row>
    <row r="4981" spans="1:102" x14ac:dyDescent="0.3">
      <c r="A4981" t="str">
        <f>HYPERLINK("https://webapp.icbf.com/v2/app/bull-search/view/74796711","RGY")</f>
        <v>RGY</v>
      </c>
      <c r="B4981" t="s">
        <v>7360</v>
      </c>
      <c r="C4981" t="s">
        <v>7361</v>
      </c>
      <c r="D4981" s="1">
        <v>35041</v>
      </c>
      <c r="E4981" t="s">
        <v>92</v>
      </c>
      <c r="F4981">
        <v>100</v>
      </c>
      <c r="G4981" t="s">
        <v>93</v>
      </c>
      <c r="H4981">
        <v>-273.60000000000002</v>
      </c>
      <c r="I4981">
        <v>92</v>
      </c>
      <c r="J4981">
        <v>-40.43</v>
      </c>
      <c r="K4981">
        <v>98</v>
      </c>
      <c r="L4981">
        <v>-150.19</v>
      </c>
      <c r="M4981">
        <v>92</v>
      </c>
      <c r="N4981">
        <v>-63.67</v>
      </c>
      <c r="O4981">
        <v>88</v>
      </c>
      <c r="P4981">
        <v>4.1500000000000004</v>
      </c>
      <c r="Q4981">
        <v>93</v>
      </c>
      <c r="R4981">
        <v>-4.55</v>
      </c>
      <c r="S4981">
        <v>86</v>
      </c>
      <c r="T4981">
        <v>-14.07</v>
      </c>
      <c r="U4981">
        <v>86</v>
      </c>
      <c r="V4981">
        <v>-4.84</v>
      </c>
      <c r="W4981">
        <v>80</v>
      </c>
      <c r="X4981" t="s">
        <v>747</v>
      </c>
      <c r="Y4981" t="s">
        <v>95</v>
      </c>
      <c r="Z4981" t="s">
        <v>96</v>
      </c>
      <c r="AA4981" t="s">
        <v>989</v>
      </c>
      <c r="AB4981" t="s">
        <v>7362</v>
      </c>
      <c r="AC4981">
        <v>128</v>
      </c>
      <c r="AD4981">
        <v>71</v>
      </c>
      <c r="AE4981">
        <v>98</v>
      </c>
      <c r="AF4981">
        <v>139.75</v>
      </c>
      <c r="AG4981">
        <v>-3.58</v>
      </c>
      <c r="AH4981">
        <v>-3.47</v>
      </c>
      <c r="AI4981">
        <v>-0.15</v>
      </c>
      <c r="AJ4981">
        <v>-0.14000000000000001</v>
      </c>
      <c r="AK4981">
        <v>92</v>
      </c>
      <c r="AL4981">
        <v>112</v>
      </c>
      <c r="AM4981">
        <v>58</v>
      </c>
      <c r="AN4981">
        <v>8.02</v>
      </c>
      <c r="AO4981">
        <v>-3.96</v>
      </c>
      <c r="AP4981">
        <v>132</v>
      </c>
      <c r="AQ4981">
        <v>0</v>
      </c>
      <c r="AR4981">
        <v>13.56</v>
      </c>
      <c r="AS4981">
        <v>82</v>
      </c>
      <c r="AT4981">
        <v>6.64</v>
      </c>
      <c r="AU4981">
        <v>94</v>
      </c>
      <c r="AV4981">
        <v>0</v>
      </c>
      <c r="AW4981">
        <v>90</v>
      </c>
      <c r="AX4981">
        <v>0.86</v>
      </c>
      <c r="AY4981">
        <v>86</v>
      </c>
      <c r="AZ4981">
        <v>5.57</v>
      </c>
      <c r="BA4981">
        <v>77</v>
      </c>
      <c r="BB4981">
        <v>4.5599999999999996</v>
      </c>
      <c r="BC4981">
        <v>77</v>
      </c>
      <c r="BD4981">
        <v>0.04</v>
      </c>
      <c r="BE4981">
        <v>0.02</v>
      </c>
      <c r="BF4981">
        <v>0</v>
      </c>
      <c r="BG4981">
        <v>94</v>
      </c>
      <c r="BH4981">
        <v>-0.16</v>
      </c>
      <c r="BI4981">
        <v>-2.9</v>
      </c>
      <c r="BJ4981">
        <v>72</v>
      </c>
      <c r="BK4981">
        <v>37</v>
      </c>
      <c r="BL4981">
        <v>1.78</v>
      </c>
      <c r="BM4981">
        <v>2.27</v>
      </c>
      <c r="BN4981">
        <v>3.2</v>
      </c>
      <c r="BO4981">
        <v>0.92</v>
      </c>
      <c r="BP4981">
        <v>0.65</v>
      </c>
      <c r="BQ4981">
        <v>3.85</v>
      </c>
      <c r="BR4981">
        <v>-1.01</v>
      </c>
      <c r="BS4981">
        <v>1.51</v>
      </c>
      <c r="BT4981">
        <v>1.0900000000000001</v>
      </c>
      <c r="BU4981">
        <v>1.86</v>
      </c>
      <c r="BV4981">
        <v>2.09</v>
      </c>
      <c r="BW4981">
        <v>2.48</v>
      </c>
      <c r="BX4981">
        <v>1.76</v>
      </c>
      <c r="BY4981">
        <v>1.07</v>
      </c>
      <c r="BZ4981">
        <v>0.74</v>
      </c>
      <c r="CA4981">
        <v>2.08</v>
      </c>
      <c r="CB4981">
        <v>1.77</v>
      </c>
      <c r="CC4981">
        <v>1.81</v>
      </c>
      <c r="CD4981">
        <v>0.4</v>
      </c>
      <c r="CE4981">
        <v>0.73</v>
      </c>
      <c r="CF4981">
        <v>3.17</v>
      </c>
      <c r="CG4981">
        <v>0</v>
      </c>
      <c r="CH4981">
        <v>0.89</v>
      </c>
      <c r="CI4981">
        <v>0</v>
      </c>
      <c r="CJ4981">
        <v>4.4000000000000004</v>
      </c>
      <c r="CK4981">
        <v>94</v>
      </c>
      <c r="CL4981">
        <v>-1.1499999999999999</v>
      </c>
      <c r="CM4981">
        <v>93</v>
      </c>
      <c r="CN4981">
        <v>-0.71</v>
      </c>
      <c r="CO4981">
        <v>92</v>
      </c>
      <c r="CP4981">
        <v>10.9</v>
      </c>
      <c r="CQ4981">
        <v>93</v>
      </c>
      <c r="CR4981">
        <v>0</v>
      </c>
      <c r="CS4981">
        <v>0</v>
      </c>
      <c r="CT4981">
        <v>32.799999999999997</v>
      </c>
      <c r="CU4981">
        <v>86</v>
      </c>
      <c r="CV4981">
        <v>0.37</v>
      </c>
      <c r="CW4981">
        <v>44</v>
      </c>
      <c r="CX4981" t="s">
        <v>543</v>
      </c>
    </row>
    <row r="4982" spans="1:102" x14ac:dyDescent="0.3">
      <c r="A4982" t="str">
        <f>HYPERLINK("https://webapp.icbf.com/v2/app/bull-search/view/740348592","MGV")</f>
        <v>MGV</v>
      </c>
      <c r="B4982" t="s">
        <v>5503</v>
      </c>
      <c r="C4982" t="s">
        <v>5504</v>
      </c>
      <c r="D4982" s="1">
        <v>37589</v>
      </c>
      <c r="E4982" t="s">
        <v>92</v>
      </c>
      <c r="F4982">
        <v>100</v>
      </c>
      <c r="G4982" t="s">
        <v>93</v>
      </c>
      <c r="H4982">
        <v>-277.95999999999998</v>
      </c>
      <c r="I4982">
        <v>89</v>
      </c>
      <c r="J4982">
        <v>-18.72</v>
      </c>
      <c r="K4982">
        <v>96</v>
      </c>
      <c r="L4982">
        <v>-216.73</v>
      </c>
      <c r="M4982">
        <v>89</v>
      </c>
      <c r="N4982">
        <v>-30.64</v>
      </c>
      <c r="O4982">
        <v>84</v>
      </c>
      <c r="P4982">
        <v>-22.53</v>
      </c>
      <c r="Q4982">
        <v>90</v>
      </c>
      <c r="R4982">
        <v>7.41</v>
      </c>
      <c r="S4982">
        <v>76</v>
      </c>
      <c r="T4982">
        <v>2.95</v>
      </c>
      <c r="U4982">
        <v>86</v>
      </c>
      <c r="V4982">
        <v>0.3</v>
      </c>
      <c r="W4982">
        <v>63</v>
      </c>
      <c r="X4982" t="s">
        <v>94</v>
      </c>
      <c r="Y4982" t="s">
        <v>270</v>
      </c>
      <c r="Z4982" t="s">
        <v>96</v>
      </c>
      <c r="AA4982" t="s">
        <v>1801</v>
      </c>
      <c r="AB4982" t="s">
        <v>4839</v>
      </c>
      <c r="AC4982">
        <v>104</v>
      </c>
      <c r="AD4982">
        <v>48</v>
      </c>
      <c r="AE4982">
        <v>96</v>
      </c>
      <c r="AF4982">
        <v>144.63</v>
      </c>
      <c r="AG4982">
        <v>3.79</v>
      </c>
      <c r="AH4982">
        <v>-2.31</v>
      </c>
      <c r="AI4982">
        <v>-0.03</v>
      </c>
      <c r="AJ4982">
        <v>-0.12</v>
      </c>
      <c r="AK4982">
        <v>89</v>
      </c>
      <c r="AL4982">
        <v>88</v>
      </c>
      <c r="AM4982">
        <v>45</v>
      </c>
      <c r="AN4982">
        <v>12.88</v>
      </c>
      <c r="AO4982">
        <v>-4.3899999999999997</v>
      </c>
      <c r="AP4982">
        <v>193</v>
      </c>
      <c r="AQ4982">
        <v>3</v>
      </c>
      <c r="AR4982">
        <v>11.63</v>
      </c>
      <c r="AS4982">
        <v>76</v>
      </c>
      <c r="AT4982">
        <v>5.38</v>
      </c>
      <c r="AU4982">
        <v>92</v>
      </c>
      <c r="AV4982">
        <v>-1.5</v>
      </c>
      <c r="AW4982">
        <v>94</v>
      </c>
      <c r="AX4982">
        <v>0.82</v>
      </c>
      <c r="AY4982">
        <v>82</v>
      </c>
      <c r="AZ4982">
        <v>6.3</v>
      </c>
      <c r="BA4982">
        <v>60</v>
      </c>
      <c r="BB4982">
        <v>5.47</v>
      </c>
      <c r="BC4982">
        <v>54</v>
      </c>
      <c r="BD4982">
        <v>0.01</v>
      </c>
      <c r="BE4982">
        <v>-0.03</v>
      </c>
      <c r="BF4982">
        <v>-0.13</v>
      </c>
      <c r="BG4982">
        <v>91</v>
      </c>
      <c r="BH4982">
        <v>-0.04</v>
      </c>
      <c r="BI4982">
        <v>-5.61</v>
      </c>
      <c r="BJ4982">
        <v>80</v>
      </c>
      <c r="BK4982">
        <v>33</v>
      </c>
      <c r="BL4982">
        <v>1.1299999999999999</v>
      </c>
      <c r="BM4982">
        <v>0.51</v>
      </c>
      <c r="BN4982">
        <v>2.52</v>
      </c>
      <c r="BO4982">
        <v>1.21</v>
      </c>
      <c r="BP4982">
        <v>0.09</v>
      </c>
      <c r="BQ4982">
        <v>-0.13</v>
      </c>
      <c r="BR4982">
        <v>1.2</v>
      </c>
      <c r="BS4982">
        <v>1.1000000000000001</v>
      </c>
      <c r="BT4982">
        <v>-1.1499999999999999</v>
      </c>
      <c r="BU4982">
        <v>2.5299999999999998</v>
      </c>
      <c r="BV4982">
        <v>2.2599999999999998</v>
      </c>
      <c r="BW4982">
        <v>1.58</v>
      </c>
      <c r="BX4982">
        <v>1.36</v>
      </c>
      <c r="BY4982">
        <v>1.76</v>
      </c>
      <c r="BZ4982">
        <v>-1.26</v>
      </c>
      <c r="CA4982">
        <v>1.44</v>
      </c>
      <c r="CB4982">
        <v>1.63</v>
      </c>
      <c r="CC4982">
        <v>0.7</v>
      </c>
      <c r="CD4982">
        <v>-0.31</v>
      </c>
      <c r="CE4982">
        <v>1.05</v>
      </c>
      <c r="CF4982">
        <v>1.76</v>
      </c>
      <c r="CG4982">
        <v>0</v>
      </c>
      <c r="CH4982">
        <v>1.33</v>
      </c>
      <c r="CI4982">
        <v>0</v>
      </c>
      <c r="CJ4982">
        <v>-9.5</v>
      </c>
      <c r="CK4982">
        <v>91</v>
      </c>
      <c r="CL4982">
        <v>-1.5</v>
      </c>
      <c r="CM4982">
        <v>89</v>
      </c>
      <c r="CN4982">
        <v>-0.51</v>
      </c>
      <c r="CO4982">
        <v>88</v>
      </c>
      <c r="CP4982">
        <v>0.6</v>
      </c>
      <c r="CQ4982">
        <v>90</v>
      </c>
      <c r="CR4982">
        <v>0</v>
      </c>
      <c r="CS4982">
        <v>0</v>
      </c>
      <c r="CT4982">
        <v>9.8000000000000007</v>
      </c>
      <c r="CU4982">
        <v>86</v>
      </c>
      <c r="CV4982">
        <v>0.3</v>
      </c>
      <c r="CW4982">
        <v>26</v>
      </c>
      <c r="CX4982" t="s">
        <v>1325</v>
      </c>
    </row>
    <row r="4983" spans="1:102" x14ac:dyDescent="0.3">
      <c r="A4983" t="str">
        <f>HYPERLINK("https://webapp.icbf.com/v2/app/bull-search/view/77856322","JMP")</f>
        <v>JMP</v>
      </c>
      <c r="B4983" t="s">
        <v>676</v>
      </c>
      <c r="C4983" t="s">
        <v>677</v>
      </c>
      <c r="D4983" s="1">
        <v>34568</v>
      </c>
      <c r="E4983" t="s">
        <v>92</v>
      </c>
      <c r="F4983">
        <v>100</v>
      </c>
      <c r="G4983" t="s">
        <v>93</v>
      </c>
      <c r="H4983">
        <v>-278.86</v>
      </c>
      <c r="I4983">
        <v>87</v>
      </c>
      <c r="J4983">
        <v>-11.01</v>
      </c>
      <c r="K4983">
        <v>96</v>
      </c>
      <c r="L4983">
        <v>-197.84</v>
      </c>
      <c r="M4983">
        <v>89</v>
      </c>
      <c r="N4983">
        <v>-42.5</v>
      </c>
      <c r="O4983">
        <v>73</v>
      </c>
      <c r="P4983">
        <v>-9.1300000000000008</v>
      </c>
      <c r="Q4983">
        <v>83</v>
      </c>
      <c r="R4983">
        <v>-21.06</v>
      </c>
      <c r="S4983">
        <v>81</v>
      </c>
      <c r="T4983">
        <v>4.58</v>
      </c>
      <c r="U4983">
        <v>76</v>
      </c>
      <c r="V4983">
        <v>-1.9</v>
      </c>
      <c r="W4983">
        <v>70</v>
      </c>
      <c r="X4983" t="s">
        <v>110</v>
      </c>
      <c r="Y4983" t="s">
        <v>95</v>
      </c>
      <c r="Z4983" t="s">
        <v>96</v>
      </c>
      <c r="AA4983" t="s">
        <v>678</v>
      </c>
      <c r="AB4983" t="s">
        <v>679</v>
      </c>
      <c r="AC4983">
        <v>72</v>
      </c>
      <c r="AD4983">
        <v>38</v>
      </c>
      <c r="AE4983">
        <v>96</v>
      </c>
      <c r="AF4983">
        <v>105.87</v>
      </c>
      <c r="AG4983">
        <v>-2.75</v>
      </c>
      <c r="AH4983">
        <v>0.72</v>
      </c>
      <c r="AI4983">
        <v>-0.12</v>
      </c>
      <c r="AJ4983">
        <v>-0.05</v>
      </c>
      <c r="AK4983">
        <v>89</v>
      </c>
      <c r="AL4983">
        <v>68</v>
      </c>
      <c r="AM4983">
        <v>35</v>
      </c>
      <c r="AN4983">
        <v>12.13</v>
      </c>
      <c r="AO4983">
        <v>-3.63</v>
      </c>
      <c r="AP4983">
        <v>10</v>
      </c>
      <c r="AQ4983">
        <v>0</v>
      </c>
      <c r="AR4983">
        <v>11.92</v>
      </c>
      <c r="AS4983">
        <v>65</v>
      </c>
      <c r="AT4983">
        <v>5.6</v>
      </c>
      <c r="AU4983">
        <v>91</v>
      </c>
      <c r="AV4983">
        <v>0.39</v>
      </c>
      <c r="AW4983">
        <v>69</v>
      </c>
      <c r="AX4983">
        <v>0.3</v>
      </c>
      <c r="AY4983">
        <v>73</v>
      </c>
      <c r="AZ4983">
        <v>5.49</v>
      </c>
      <c r="BA4983">
        <v>60</v>
      </c>
      <c r="BB4983">
        <v>4.51</v>
      </c>
      <c r="BC4983">
        <v>62</v>
      </c>
      <c r="BD4983">
        <v>0.08</v>
      </c>
      <c r="BE4983">
        <v>0.09</v>
      </c>
      <c r="BF4983">
        <v>0.18</v>
      </c>
      <c r="BG4983">
        <v>93</v>
      </c>
      <c r="BH4983">
        <v>-0.11</v>
      </c>
      <c r="BI4983">
        <v>-6.61</v>
      </c>
      <c r="BJ4983">
        <v>13</v>
      </c>
      <c r="BK4983">
        <v>8</v>
      </c>
      <c r="BL4983">
        <v>0.42</v>
      </c>
      <c r="BM4983">
        <v>-2.38</v>
      </c>
      <c r="BN4983">
        <v>-0.97</v>
      </c>
      <c r="BO4983">
        <v>0.79</v>
      </c>
      <c r="BP4983">
        <v>-1.84</v>
      </c>
      <c r="BQ4983">
        <v>-1.22</v>
      </c>
      <c r="BR4983">
        <v>-0.49</v>
      </c>
      <c r="BS4983">
        <v>-0.89</v>
      </c>
      <c r="BT4983">
        <v>0.53</v>
      </c>
      <c r="BU4983">
        <v>0.48</v>
      </c>
      <c r="BV4983">
        <v>0.57999999999999996</v>
      </c>
      <c r="BW4983">
        <v>1.31</v>
      </c>
      <c r="BX4983">
        <v>1</v>
      </c>
      <c r="BY4983">
        <v>0.54</v>
      </c>
      <c r="BZ4983">
        <v>1</v>
      </c>
      <c r="CA4983">
        <v>0.59</v>
      </c>
      <c r="CB4983">
        <v>0.51</v>
      </c>
      <c r="CC4983">
        <v>0.28000000000000003</v>
      </c>
      <c r="CD4983">
        <v>-1.36</v>
      </c>
      <c r="CE4983">
        <v>0.6</v>
      </c>
      <c r="CF4983">
        <v>0.04</v>
      </c>
      <c r="CG4983">
        <v>0</v>
      </c>
      <c r="CH4983">
        <v>0.57999999999999996</v>
      </c>
      <c r="CI4983">
        <v>0</v>
      </c>
      <c r="CJ4983">
        <v>-3.1</v>
      </c>
      <c r="CK4983">
        <v>84</v>
      </c>
      <c r="CL4983">
        <v>-0.92</v>
      </c>
      <c r="CM4983">
        <v>81</v>
      </c>
      <c r="CN4983">
        <v>-0.39</v>
      </c>
      <c r="CO4983">
        <v>78</v>
      </c>
      <c r="CP4983">
        <v>0.5</v>
      </c>
      <c r="CQ4983">
        <v>88</v>
      </c>
      <c r="CR4983">
        <v>0</v>
      </c>
      <c r="CS4983">
        <v>0</v>
      </c>
      <c r="CT4983">
        <v>7.6</v>
      </c>
      <c r="CU4983">
        <v>76</v>
      </c>
      <c r="CV4983">
        <v>0.13</v>
      </c>
      <c r="CW4983">
        <v>42</v>
      </c>
      <c r="CX4983" t="s">
        <v>161</v>
      </c>
    </row>
    <row r="4984" spans="1:102" x14ac:dyDescent="0.3">
      <c r="A4984" t="str">
        <f>HYPERLINK("https://webapp.icbf.com/v2/app/bull-search/view/77854174","RVB")</f>
        <v>RVB</v>
      </c>
      <c r="B4984" t="s">
        <v>8683</v>
      </c>
      <c r="C4984" t="s">
        <v>8684</v>
      </c>
      <c r="D4984" s="1">
        <v>33207</v>
      </c>
      <c r="E4984" t="s">
        <v>92</v>
      </c>
      <c r="F4984">
        <v>100</v>
      </c>
      <c r="G4984" t="s">
        <v>93</v>
      </c>
      <c r="H4984">
        <v>-282.19</v>
      </c>
      <c r="I4984">
        <v>92</v>
      </c>
      <c r="J4984">
        <v>-26.37</v>
      </c>
      <c r="K4984">
        <v>98</v>
      </c>
      <c r="L4984">
        <v>-205.44</v>
      </c>
      <c r="M4984">
        <v>91</v>
      </c>
      <c r="N4984">
        <v>-34.159999999999997</v>
      </c>
      <c r="O4984">
        <v>88</v>
      </c>
      <c r="P4984">
        <v>-11.56</v>
      </c>
      <c r="Q4984">
        <v>95</v>
      </c>
      <c r="R4984">
        <v>-3.12</v>
      </c>
      <c r="S4984">
        <v>84</v>
      </c>
      <c r="T4984">
        <v>4.43</v>
      </c>
      <c r="U4984">
        <v>89</v>
      </c>
      <c r="V4984">
        <v>-5.97</v>
      </c>
      <c r="W4984">
        <v>76</v>
      </c>
      <c r="X4984" t="s">
        <v>276</v>
      </c>
      <c r="Y4984" t="s">
        <v>95</v>
      </c>
      <c r="Z4984" t="s">
        <v>96</v>
      </c>
      <c r="AA4984" t="s">
        <v>111</v>
      </c>
      <c r="AB4984" t="s">
        <v>8685</v>
      </c>
      <c r="AC4984">
        <v>221</v>
      </c>
      <c r="AD4984">
        <v>110</v>
      </c>
      <c r="AE4984">
        <v>98</v>
      </c>
      <c r="AF4984">
        <v>324.10000000000002</v>
      </c>
      <c r="AG4984">
        <v>0.5</v>
      </c>
      <c r="AH4984">
        <v>0.3</v>
      </c>
      <c r="AI4984">
        <v>-0.2</v>
      </c>
      <c r="AJ4984">
        <v>-0.18</v>
      </c>
      <c r="AK4984">
        <v>91</v>
      </c>
      <c r="AL4984">
        <v>203</v>
      </c>
      <c r="AM4984">
        <v>88</v>
      </c>
      <c r="AN4984">
        <v>11.49</v>
      </c>
      <c r="AO4984">
        <v>-4.8899999999999997</v>
      </c>
      <c r="AP4984">
        <v>209</v>
      </c>
      <c r="AQ4984">
        <v>0</v>
      </c>
      <c r="AR4984">
        <v>9.98</v>
      </c>
      <c r="AS4984">
        <v>85</v>
      </c>
      <c r="AT4984">
        <v>4.6399999999999997</v>
      </c>
      <c r="AU4984">
        <v>91</v>
      </c>
      <c r="AV4984">
        <v>0.16</v>
      </c>
      <c r="AW4984">
        <v>91</v>
      </c>
      <c r="AX4984">
        <v>-0.04</v>
      </c>
      <c r="AY4984">
        <v>89</v>
      </c>
      <c r="AZ4984">
        <v>7.66</v>
      </c>
      <c r="BA4984">
        <v>76</v>
      </c>
      <c r="BB4984">
        <v>6.48</v>
      </c>
      <c r="BC4984">
        <v>76</v>
      </c>
      <c r="BD4984">
        <v>0.04</v>
      </c>
      <c r="BE4984">
        <v>0.05</v>
      </c>
      <c r="BF4984">
        <v>-0.09</v>
      </c>
      <c r="BG4984">
        <v>94</v>
      </c>
      <c r="BH4984">
        <v>-0.03</v>
      </c>
      <c r="BI4984">
        <v>15.78</v>
      </c>
      <c r="BJ4984">
        <v>101</v>
      </c>
      <c r="BK4984">
        <v>41</v>
      </c>
      <c r="BL4984">
        <v>0.98</v>
      </c>
      <c r="BM4984">
        <v>-1.01</v>
      </c>
      <c r="BN4984">
        <v>1.08</v>
      </c>
      <c r="BO4984">
        <v>1.28</v>
      </c>
      <c r="BP4984">
        <v>-2.12</v>
      </c>
      <c r="BQ4984">
        <v>-0.16</v>
      </c>
      <c r="BR4984">
        <v>1.8</v>
      </c>
      <c r="BS4984">
        <v>-0.6</v>
      </c>
      <c r="BT4984">
        <v>-1.28</v>
      </c>
      <c r="BU4984">
        <v>2.33</v>
      </c>
      <c r="BV4984">
        <v>1.97</v>
      </c>
      <c r="BW4984">
        <v>1.99</v>
      </c>
      <c r="BX4984">
        <v>0.99</v>
      </c>
      <c r="BY4984">
        <v>1.25</v>
      </c>
      <c r="BZ4984">
        <v>-1.1599999999999999</v>
      </c>
      <c r="CA4984">
        <v>1.74</v>
      </c>
      <c r="CB4984">
        <v>2.15</v>
      </c>
      <c r="CC4984">
        <v>0.04</v>
      </c>
      <c r="CD4984">
        <v>-1.44</v>
      </c>
      <c r="CE4984">
        <v>1.35</v>
      </c>
      <c r="CF4984">
        <v>0.75</v>
      </c>
      <c r="CG4984">
        <v>0</v>
      </c>
      <c r="CH4984">
        <v>1.27</v>
      </c>
      <c r="CI4984">
        <v>0</v>
      </c>
      <c r="CJ4984">
        <v>-2</v>
      </c>
      <c r="CK4984">
        <v>95</v>
      </c>
      <c r="CL4984">
        <v>-0.98</v>
      </c>
      <c r="CM4984">
        <v>94</v>
      </c>
      <c r="CN4984">
        <v>-0.14000000000000001</v>
      </c>
      <c r="CO4984">
        <v>93</v>
      </c>
      <c r="CP4984">
        <v>-2.2000000000000002</v>
      </c>
      <c r="CQ4984">
        <v>95</v>
      </c>
      <c r="CR4984">
        <v>0</v>
      </c>
      <c r="CS4984">
        <v>0</v>
      </c>
      <c r="CT4984">
        <v>7.8</v>
      </c>
      <c r="CU4984">
        <v>89</v>
      </c>
      <c r="CV4984">
        <v>0.21</v>
      </c>
      <c r="CW4984">
        <v>45</v>
      </c>
      <c r="CX4984" t="s">
        <v>543</v>
      </c>
    </row>
    <row r="4985" spans="1:102" x14ac:dyDescent="0.3">
      <c r="A4985" t="str">
        <f>HYPERLINK("https://webapp.icbf.com/v2/app/bull-search/view/77856784","IRM")</f>
        <v>IRM</v>
      </c>
      <c r="B4985" t="s">
        <v>9703</v>
      </c>
      <c r="C4985" t="s">
        <v>9704</v>
      </c>
      <c r="D4985" s="1">
        <v>34606</v>
      </c>
      <c r="E4985" t="s">
        <v>92</v>
      </c>
      <c r="F4985">
        <v>100</v>
      </c>
      <c r="G4985" t="s">
        <v>93</v>
      </c>
      <c r="H4985">
        <v>-282.19</v>
      </c>
      <c r="I4985">
        <v>92</v>
      </c>
      <c r="J4985">
        <v>-84</v>
      </c>
      <c r="K4985">
        <v>97</v>
      </c>
      <c r="L4985">
        <v>-98.58</v>
      </c>
      <c r="M4985">
        <v>92</v>
      </c>
      <c r="N4985">
        <v>-69.510000000000005</v>
      </c>
      <c r="O4985">
        <v>86</v>
      </c>
      <c r="P4985">
        <v>-2.83</v>
      </c>
      <c r="Q4985">
        <v>91</v>
      </c>
      <c r="R4985">
        <v>-14.09</v>
      </c>
      <c r="S4985">
        <v>84</v>
      </c>
      <c r="T4985">
        <v>-16.37</v>
      </c>
      <c r="U4985">
        <v>90</v>
      </c>
      <c r="V4985">
        <v>3.19</v>
      </c>
      <c r="W4985">
        <v>74</v>
      </c>
      <c r="X4985" t="s">
        <v>251</v>
      </c>
      <c r="Y4985" t="s">
        <v>95</v>
      </c>
      <c r="Z4985" t="s">
        <v>96</v>
      </c>
      <c r="AA4985" t="s">
        <v>9705</v>
      </c>
      <c r="AB4985" t="s">
        <v>8724</v>
      </c>
      <c r="AC4985">
        <v>107</v>
      </c>
      <c r="AD4985">
        <v>63</v>
      </c>
      <c r="AE4985">
        <v>97</v>
      </c>
      <c r="AF4985">
        <v>63.56</v>
      </c>
      <c r="AG4985">
        <v>-8.49</v>
      </c>
      <c r="AH4985">
        <v>-10.31</v>
      </c>
      <c r="AI4985">
        <v>-0.19</v>
      </c>
      <c r="AJ4985">
        <v>-0.22</v>
      </c>
      <c r="AK4985">
        <v>92</v>
      </c>
      <c r="AL4985">
        <v>89</v>
      </c>
      <c r="AM4985">
        <v>42</v>
      </c>
      <c r="AN4985">
        <v>3.16</v>
      </c>
      <c r="AO4985">
        <v>-4.7300000000000004</v>
      </c>
      <c r="AP4985">
        <v>93</v>
      </c>
      <c r="AQ4985">
        <v>3</v>
      </c>
      <c r="AR4985">
        <v>16.09</v>
      </c>
      <c r="AS4985">
        <v>78</v>
      </c>
      <c r="AT4985">
        <v>7.06</v>
      </c>
      <c r="AU4985">
        <v>93</v>
      </c>
      <c r="AV4985">
        <v>-1.76</v>
      </c>
      <c r="AW4985">
        <v>89</v>
      </c>
      <c r="AX4985">
        <v>0.5</v>
      </c>
      <c r="AY4985">
        <v>85</v>
      </c>
      <c r="AZ4985">
        <v>5.72</v>
      </c>
      <c r="BA4985">
        <v>73</v>
      </c>
      <c r="BB4985">
        <v>4.78</v>
      </c>
      <c r="BC4985">
        <v>73</v>
      </c>
      <c r="BD4985">
        <v>0.12</v>
      </c>
      <c r="BE4985">
        <v>0.06</v>
      </c>
      <c r="BF4985">
        <v>0.01</v>
      </c>
      <c r="BG4985">
        <v>95</v>
      </c>
      <c r="BH4985">
        <v>0.18</v>
      </c>
      <c r="BI4985">
        <v>10.54</v>
      </c>
      <c r="BJ4985">
        <v>63</v>
      </c>
      <c r="BK4985">
        <v>31</v>
      </c>
      <c r="BL4985">
        <v>1.63</v>
      </c>
      <c r="BM4985">
        <v>3.49</v>
      </c>
      <c r="BN4985">
        <v>3.57</v>
      </c>
      <c r="BO4985">
        <v>0.5</v>
      </c>
      <c r="BP4985">
        <v>-1.89</v>
      </c>
      <c r="BQ4985">
        <v>4.08</v>
      </c>
      <c r="BR4985">
        <v>-0.76</v>
      </c>
      <c r="BS4985">
        <v>-0.8</v>
      </c>
      <c r="BT4985">
        <v>-0.06</v>
      </c>
      <c r="BU4985">
        <v>2.38</v>
      </c>
      <c r="BV4985">
        <v>0.99</v>
      </c>
      <c r="BW4985">
        <v>1.04</v>
      </c>
      <c r="BX4985">
        <v>1.33</v>
      </c>
      <c r="BY4985">
        <v>1.47</v>
      </c>
      <c r="BZ4985">
        <v>-0.57999999999999996</v>
      </c>
      <c r="CA4985">
        <v>1.17</v>
      </c>
      <c r="CB4985">
        <v>1.59</v>
      </c>
      <c r="CC4985">
        <v>0.28999999999999998</v>
      </c>
      <c r="CD4985">
        <v>1.0900000000000001</v>
      </c>
      <c r="CE4985">
        <v>0.65</v>
      </c>
      <c r="CF4985">
        <v>2.83</v>
      </c>
      <c r="CG4985">
        <v>0</v>
      </c>
      <c r="CH4985">
        <v>1.69</v>
      </c>
      <c r="CI4985">
        <v>0</v>
      </c>
      <c r="CJ4985">
        <v>-0.4</v>
      </c>
      <c r="CK4985">
        <v>92</v>
      </c>
      <c r="CL4985">
        <v>-0.96</v>
      </c>
      <c r="CM4985">
        <v>90</v>
      </c>
      <c r="CN4985">
        <v>-0.53</v>
      </c>
      <c r="CO4985">
        <v>89</v>
      </c>
      <c r="CP4985">
        <v>9.5</v>
      </c>
      <c r="CQ4985">
        <v>93</v>
      </c>
      <c r="CR4985">
        <v>0</v>
      </c>
      <c r="CS4985">
        <v>0</v>
      </c>
      <c r="CT4985">
        <v>35.9</v>
      </c>
      <c r="CU4985">
        <v>90</v>
      </c>
      <c r="CV4985">
        <v>0.18</v>
      </c>
      <c r="CW4985">
        <v>44</v>
      </c>
      <c r="CX4985" t="s">
        <v>111</v>
      </c>
    </row>
    <row r="4986" spans="1:102" x14ac:dyDescent="0.3">
      <c r="A4986" t="str">
        <f>HYPERLINK("https://webapp.icbf.com/v2/app/bull-search/view/147116025","MME")</f>
        <v>MME</v>
      </c>
      <c r="B4986" t="s">
        <v>4715</v>
      </c>
      <c r="C4986" t="s">
        <v>4716</v>
      </c>
      <c r="D4986" s="1">
        <v>36907</v>
      </c>
      <c r="E4986" t="s">
        <v>92</v>
      </c>
      <c r="F4986">
        <v>100</v>
      </c>
      <c r="G4986" t="s">
        <v>93</v>
      </c>
      <c r="H4986">
        <v>-282.64</v>
      </c>
      <c r="I4986">
        <v>80</v>
      </c>
      <c r="J4986">
        <v>-7.26</v>
      </c>
      <c r="K4986">
        <v>95</v>
      </c>
      <c r="L4986">
        <v>-197.16</v>
      </c>
      <c r="M4986">
        <v>66</v>
      </c>
      <c r="N4986">
        <v>-57.96</v>
      </c>
      <c r="O4986">
        <v>82</v>
      </c>
      <c r="P4986">
        <v>-11.78</v>
      </c>
      <c r="Q4986">
        <v>90</v>
      </c>
      <c r="R4986">
        <v>-11.09</v>
      </c>
      <c r="S4986">
        <v>71</v>
      </c>
      <c r="T4986">
        <v>0.65</v>
      </c>
      <c r="U4986">
        <v>85</v>
      </c>
      <c r="V4986">
        <v>1.96</v>
      </c>
      <c r="W4986">
        <v>47</v>
      </c>
      <c r="X4986" t="s">
        <v>276</v>
      </c>
      <c r="Y4986" t="s">
        <v>95</v>
      </c>
      <c r="Z4986" t="s">
        <v>96</v>
      </c>
      <c r="AA4986" t="s">
        <v>311</v>
      </c>
      <c r="AB4986" t="s">
        <v>4717</v>
      </c>
      <c r="AC4986">
        <v>85</v>
      </c>
      <c r="AD4986">
        <v>55</v>
      </c>
      <c r="AE4986">
        <v>95</v>
      </c>
      <c r="AF4986">
        <v>351.7</v>
      </c>
      <c r="AG4986">
        <v>-1.02</v>
      </c>
      <c r="AH4986">
        <v>4.51</v>
      </c>
      <c r="AI4986">
        <v>-0.23</v>
      </c>
      <c r="AJ4986">
        <v>-0.12</v>
      </c>
      <c r="AK4986">
        <v>66</v>
      </c>
      <c r="AL4986">
        <v>74</v>
      </c>
      <c r="AM4986">
        <v>48</v>
      </c>
      <c r="AN4986">
        <v>9.4499999999999993</v>
      </c>
      <c r="AO4986">
        <v>-6.29</v>
      </c>
      <c r="AP4986">
        <v>167</v>
      </c>
      <c r="AQ4986">
        <v>0</v>
      </c>
      <c r="AR4986">
        <v>13.9</v>
      </c>
      <c r="AS4986">
        <v>69</v>
      </c>
      <c r="AT4986">
        <v>5.64</v>
      </c>
      <c r="AU4986">
        <v>88</v>
      </c>
      <c r="AV4986">
        <v>1.21</v>
      </c>
      <c r="AW4986">
        <v>91</v>
      </c>
      <c r="AX4986">
        <v>0.67</v>
      </c>
      <c r="AY4986">
        <v>80</v>
      </c>
      <c r="AZ4986">
        <v>5.23</v>
      </c>
      <c r="BA4986">
        <v>57</v>
      </c>
      <c r="BB4986">
        <v>4.37</v>
      </c>
      <c r="BC4986">
        <v>57</v>
      </c>
      <c r="BD4986">
        <v>0.03</v>
      </c>
      <c r="BE4986">
        <v>0.05</v>
      </c>
      <c r="BF4986">
        <v>0.11</v>
      </c>
      <c r="BG4986">
        <v>84</v>
      </c>
      <c r="BH4986">
        <v>-0.02</v>
      </c>
      <c r="BI4986">
        <v>-8.65</v>
      </c>
      <c r="BJ4986">
        <v>34</v>
      </c>
      <c r="BK4986">
        <v>23</v>
      </c>
      <c r="BL4986">
        <v>2.42</v>
      </c>
      <c r="BM4986">
        <v>-0.26</v>
      </c>
      <c r="BN4986">
        <v>0.84</v>
      </c>
      <c r="BO4986">
        <v>1.79</v>
      </c>
      <c r="BP4986">
        <v>0.82</v>
      </c>
      <c r="BQ4986">
        <v>4.51</v>
      </c>
      <c r="BR4986">
        <v>0.76</v>
      </c>
      <c r="BS4986">
        <v>0.53</v>
      </c>
      <c r="BT4986">
        <v>0.36</v>
      </c>
      <c r="BU4986">
        <v>2.42</v>
      </c>
      <c r="BV4986">
        <v>2.25</v>
      </c>
      <c r="BW4986">
        <v>2.5099999999999998</v>
      </c>
      <c r="BX4986">
        <v>2.74</v>
      </c>
      <c r="BY4986">
        <v>1.68</v>
      </c>
      <c r="BZ4986">
        <v>-0.13</v>
      </c>
      <c r="CA4986">
        <v>1.9</v>
      </c>
      <c r="CB4986">
        <v>2.06</v>
      </c>
      <c r="CC4986">
        <v>0.85</v>
      </c>
      <c r="CD4986">
        <v>-1.1000000000000001</v>
      </c>
      <c r="CE4986">
        <v>1.35</v>
      </c>
      <c r="CF4986">
        <v>1.74</v>
      </c>
      <c r="CG4986">
        <v>0</v>
      </c>
      <c r="CH4986">
        <v>1.58</v>
      </c>
      <c r="CI4986">
        <v>0</v>
      </c>
      <c r="CJ4986">
        <v>-4.4000000000000004</v>
      </c>
      <c r="CK4986">
        <v>91</v>
      </c>
      <c r="CL4986">
        <v>-1.45</v>
      </c>
      <c r="CM4986">
        <v>90</v>
      </c>
      <c r="CN4986">
        <v>-0.68</v>
      </c>
      <c r="CO4986">
        <v>88</v>
      </c>
      <c r="CP4986">
        <v>8.6</v>
      </c>
      <c r="CQ4986">
        <v>89</v>
      </c>
      <c r="CR4986">
        <v>0</v>
      </c>
      <c r="CS4986">
        <v>0</v>
      </c>
      <c r="CT4986">
        <v>12.9</v>
      </c>
      <c r="CU4986">
        <v>85</v>
      </c>
      <c r="CV4986">
        <v>0.35</v>
      </c>
      <c r="CW4986">
        <v>27</v>
      </c>
      <c r="CX4986" t="s">
        <v>543</v>
      </c>
    </row>
    <row r="4987" spans="1:102" x14ac:dyDescent="0.3">
      <c r="A4987" t="str">
        <f>HYPERLINK("https://webapp.icbf.com/v2/app/bull-search/view/132146905","TYT")</f>
        <v>TYT</v>
      </c>
      <c r="B4987" t="s">
        <v>14385</v>
      </c>
      <c r="C4987" t="s">
        <v>14386</v>
      </c>
      <c r="D4987" s="1">
        <v>34845</v>
      </c>
      <c r="E4987" t="s">
        <v>92</v>
      </c>
      <c r="F4987">
        <v>100</v>
      </c>
      <c r="G4987" t="s">
        <v>93</v>
      </c>
      <c r="H4987">
        <v>-282.89999999999998</v>
      </c>
      <c r="I4987">
        <v>92</v>
      </c>
      <c r="J4987">
        <v>-20.87</v>
      </c>
      <c r="K4987">
        <v>98</v>
      </c>
      <c r="L4987">
        <v>-229.35</v>
      </c>
      <c r="M4987">
        <v>91</v>
      </c>
      <c r="N4987">
        <v>-24.33</v>
      </c>
      <c r="O4987">
        <v>88</v>
      </c>
      <c r="P4987">
        <v>-8.9700000000000006</v>
      </c>
      <c r="Q4987">
        <v>91</v>
      </c>
      <c r="R4987">
        <v>-4.71</v>
      </c>
      <c r="S4987">
        <v>83</v>
      </c>
      <c r="T4987">
        <v>4.72</v>
      </c>
      <c r="U4987">
        <v>90</v>
      </c>
      <c r="V4987">
        <v>0.61</v>
      </c>
      <c r="W4987">
        <v>76</v>
      </c>
      <c r="X4987" t="s">
        <v>131</v>
      </c>
      <c r="Y4987" t="s">
        <v>95</v>
      </c>
      <c r="Z4987" t="s">
        <v>96</v>
      </c>
      <c r="AA4987" t="s">
        <v>3763</v>
      </c>
      <c r="AB4987" t="s">
        <v>14387</v>
      </c>
      <c r="AC4987">
        <v>155</v>
      </c>
      <c r="AD4987">
        <v>74</v>
      </c>
      <c r="AE4987">
        <v>98</v>
      </c>
      <c r="AF4987">
        <v>232.39</v>
      </c>
      <c r="AG4987">
        <v>-2.58</v>
      </c>
      <c r="AH4987">
        <v>0.92</v>
      </c>
      <c r="AI4987">
        <v>-0.2</v>
      </c>
      <c r="AJ4987">
        <v>-0.12</v>
      </c>
      <c r="AK4987">
        <v>91</v>
      </c>
      <c r="AL4987">
        <v>131</v>
      </c>
      <c r="AM4987">
        <v>59</v>
      </c>
      <c r="AN4987">
        <v>14.07</v>
      </c>
      <c r="AO4987">
        <v>-4.2</v>
      </c>
      <c r="AP4987">
        <v>268</v>
      </c>
      <c r="AQ4987">
        <v>2</v>
      </c>
      <c r="AR4987">
        <v>9.7799999999999994</v>
      </c>
      <c r="AS4987">
        <v>86</v>
      </c>
      <c r="AT4987">
        <v>4.95</v>
      </c>
      <c r="AU4987">
        <v>93</v>
      </c>
      <c r="AV4987">
        <v>-0.94</v>
      </c>
      <c r="AW4987">
        <v>93</v>
      </c>
      <c r="AX4987">
        <v>0.19</v>
      </c>
      <c r="AY4987">
        <v>87</v>
      </c>
      <c r="AZ4987">
        <v>7.23</v>
      </c>
      <c r="BA4987">
        <v>72</v>
      </c>
      <c r="BB4987">
        <v>5.81</v>
      </c>
      <c r="BC4987">
        <v>72</v>
      </c>
      <c r="BD4987">
        <v>0.05</v>
      </c>
      <c r="BE4987">
        <v>0.05</v>
      </c>
      <c r="BF4987">
        <v>-7.0000000000000007E-2</v>
      </c>
      <c r="BG4987">
        <v>93</v>
      </c>
      <c r="BH4987">
        <v>0.1</v>
      </c>
      <c r="BI4987">
        <v>9.59</v>
      </c>
      <c r="BJ4987">
        <v>93</v>
      </c>
      <c r="BK4987">
        <v>39</v>
      </c>
      <c r="BL4987">
        <v>1.46</v>
      </c>
      <c r="BM4987">
        <v>-0.76</v>
      </c>
      <c r="BN4987">
        <v>1.08</v>
      </c>
      <c r="BO4987">
        <v>1.45</v>
      </c>
      <c r="BP4987">
        <v>0.42</v>
      </c>
      <c r="BQ4987">
        <v>0.21</v>
      </c>
      <c r="BR4987">
        <v>-1.1599999999999999</v>
      </c>
      <c r="BS4987">
        <v>2.58</v>
      </c>
      <c r="BT4987">
        <v>1.43</v>
      </c>
      <c r="BU4987">
        <v>0.95</v>
      </c>
      <c r="BV4987">
        <v>1.48</v>
      </c>
      <c r="BW4987">
        <v>0.99</v>
      </c>
      <c r="BX4987">
        <v>1.67</v>
      </c>
      <c r="BY4987">
        <v>0.12</v>
      </c>
      <c r="BZ4987">
        <v>-0.52</v>
      </c>
      <c r="CA4987">
        <v>1.98</v>
      </c>
      <c r="CB4987">
        <v>1.42</v>
      </c>
      <c r="CC4987">
        <v>2.17</v>
      </c>
      <c r="CD4987">
        <v>-1.28</v>
      </c>
      <c r="CE4987">
        <v>1.37</v>
      </c>
      <c r="CF4987">
        <v>1.61</v>
      </c>
      <c r="CG4987">
        <v>0</v>
      </c>
      <c r="CH4987">
        <v>0.2</v>
      </c>
      <c r="CI4987">
        <v>0</v>
      </c>
      <c r="CJ4987">
        <v>-5.3</v>
      </c>
      <c r="CK4987">
        <v>92</v>
      </c>
      <c r="CL4987">
        <v>-0.96</v>
      </c>
      <c r="CM4987">
        <v>91</v>
      </c>
      <c r="CN4987">
        <v>-0.72</v>
      </c>
      <c r="CO4987">
        <v>89</v>
      </c>
      <c r="CP4987">
        <v>-1.2</v>
      </c>
      <c r="CQ4987">
        <v>93</v>
      </c>
      <c r="CR4987">
        <v>0</v>
      </c>
      <c r="CS4987">
        <v>0</v>
      </c>
      <c r="CT4987">
        <v>7.4</v>
      </c>
      <c r="CU4987">
        <v>90</v>
      </c>
      <c r="CV4987">
        <v>0.06</v>
      </c>
      <c r="CW4987">
        <v>44</v>
      </c>
      <c r="CX4987" t="s">
        <v>1218</v>
      </c>
    </row>
    <row r="4988" spans="1:102" x14ac:dyDescent="0.3">
      <c r="A4988" t="str">
        <f>HYPERLINK("https://webapp.icbf.com/v2/app/bull-search/view/77859253","AKG")</f>
        <v>AKG</v>
      </c>
      <c r="B4988" t="s">
        <v>10875</v>
      </c>
      <c r="C4988" t="s">
        <v>10876</v>
      </c>
      <c r="D4988" s="1">
        <v>34804</v>
      </c>
      <c r="E4988" t="s">
        <v>92</v>
      </c>
      <c r="F4988">
        <v>100</v>
      </c>
      <c r="G4988" t="s">
        <v>93</v>
      </c>
      <c r="H4988">
        <v>-286.58999999999997</v>
      </c>
      <c r="I4988">
        <v>93</v>
      </c>
      <c r="J4988">
        <v>1.1299999999999999</v>
      </c>
      <c r="K4988">
        <v>99</v>
      </c>
      <c r="L4988">
        <v>-220.23</v>
      </c>
      <c r="M4988">
        <v>88</v>
      </c>
      <c r="N4988">
        <v>-43.11</v>
      </c>
      <c r="O4988">
        <v>93</v>
      </c>
      <c r="P4988">
        <v>-2.5099999999999998</v>
      </c>
      <c r="Q4988">
        <v>98</v>
      </c>
      <c r="R4988">
        <v>-17.34</v>
      </c>
      <c r="S4988">
        <v>85</v>
      </c>
      <c r="T4988">
        <v>2.95</v>
      </c>
      <c r="U4988">
        <v>94</v>
      </c>
      <c r="V4988">
        <v>-7.48</v>
      </c>
      <c r="W4988">
        <v>76</v>
      </c>
      <c r="X4988" t="s">
        <v>94</v>
      </c>
      <c r="Y4988" t="s">
        <v>95</v>
      </c>
      <c r="Z4988" t="s">
        <v>96</v>
      </c>
      <c r="AA4988" t="s">
        <v>2745</v>
      </c>
      <c r="AB4988" t="s">
        <v>732</v>
      </c>
      <c r="AC4988">
        <v>471</v>
      </c>
      <c r="AD4988">
        <v>287</v>
      </c>
      <c r="AE4988">
        <v>99</v>
      </c>
      <c r="AF4988">
        <v>113.09</v>
      </c>
      <c r="AG4988">
        <v>1.62</v>
      </c>
      <c r="AH4988">
        <v>1.35</v>
      </c>
      <c r="AI4988">
        <v>-0.05</v>
      </c>
      <c r="AJ4988">
        <v>-0.04</v>
      </c>
      <c r="AK4988">
        <v>88</v>
      </c>
      <c r="AL4988">
        <v>463</v>
      </c>
      <c r="AM4988">
        <v>269</v>
      </c>
      <c r="AN4988">
        <v>10.66</v>
      </c>
      <c r="AO4988">
        <v>-6.92</v>
      </c>
      <c r="AP4988">
        <v>484</v>
      </c>
      <c r="AQ4988">
        <v>0</v>
      </c>
      <c r="AR4988">
        <v>13.27</v>
      </c>
      <c r="AS4988">
        <v>85</v>
      </c>
      <c r="AT4988">
        <v>6</v>
      </c>
      <c r="AU4988">
        <v>94</v>
      </c>
      <c r="AV4988">
        <v>-0.93</v>
      </c>
      <c r="AW4988">
        <v>97</v>
      </c>
      <c r="AX4988">
        <v>0.04</v>
      </c>
      <c r="AY4988">
        <v>94</v>
      </c>
      <c r="AZ4988">
        <v>5.85</v>
      </c>
      <c r="BA4988">
        <v>82</v>
      </c>
      <c r="BB4988">
        <v>4.47</v>
      </c>
      <c r="BC4988">
        <v>84</v>
      </c>
      <c r="BD4988">
        <v>0.01</v>
      </c>
      <c r="BE4988">
        <v>0.08</v>
      </c>
      <c r="BF4988">
        <v>0.23</v>
      </c>
      <c r="BG4988">
        <v>97</v>
      </c>
      <c r="BH4988">
        <v>-0.08</v>
      </c>
      <c r="BI4988">
        <v>14.87</v>
      </c>
      <c r="BJ4988">
        <v>97</v>
      </c>
      <c r="BK4988">
        <v>62</v>
      </c>
      <c r="BL4988">
        <v>1.03</v>
      </c>
      <c r="BM4988">
        <v>1.2</v>
      </c>
      <c r="BN4988">
        <v>2.3199999999999998</v>
      </c>
      <c r="BO4988">
        <v>1.1599999999999999</v>
      </c>
      <c r="BP4988">
        <v>-2.12</v>
      </c>
      <c r="BQ4988">
        <v>2.4</v>
      </c>
      <c r="BR4988">
        <v>0.12</v>
      </c>
      <c r="BS4988">
        <v>-0.32</v>
      </c>
      <c r="BT4988">
        <v>-0.24</v>
      </c>
      <c r="BU4988">
        <v>0.11</v>
      </c>
      <c r="BV4988">
        <v>1.43</v>
      </c>
      <c r="BW4988">
        <v>-0.08</v>
      </c>
      <c r="BX4988">
        <v>-0.43</v>
      </c>
      <c r="BY4988">
        <v>0.11</v>
      </c>
      <c r="BZ4988">
        <v>-2.94</v>
      </c>
      <c r="CA4988">
        <v>0.4</v>
      </c>
      <c r="CB4988">
        <v>0.78</v>
      </c>
      <c r="CC4988">
        <v>-0.21</v>
      </c>
      <c r="CD4988">
        <v>-0.4</v>
      </c>
      <c r="CE4988">
        <v>1.07</v>
      </c>
      <c r="CF4988">
        <v>1.2</v>
      </c>
      <c r="CG4988">
        <v>0</v>
      </c>
      <c r="CH4988">
        <v>0.09</v>
      </c>
      <c r="CI4988">
        <v>0</v>
      </c>
      <c r="CJ4988">
        <v>0.6</v>
      </c>
      <c r="CK4988">
        <v>98</v>
      </c>
      <c r="CL4988">
        <v>-0.66</v>
      </c>
      <c r="CM4988">
        <v>97</v>
      </c>
      <c r="CN4988">
        <v>-0.28999999999999998</v>
      </c>
      <c r="CO4988">
        <v>97</v>
      </c>
      <c r="CP4988">
        <v>0.5</v>
      </c>
      <c r="CQ4988">
        <v>97</v>
      </c>
      <c r="CR4988">
        <v>0</v>
      </c>
      <c r="CS4988">
        <v>0</v>
      </c>
      <c r="CT4988">
        <v>9.8000000000000007</v>
      </c>
      <c r="CU4988">
        <v>94</v>
      </c>
      <c r="CV4988">
        <v>0.1</v>
      </c>
      <c r="CW4988">
        <v>45</v>
      </c>
      <c r="CX4988" t="s">
        <v>485</v>
      </c>
    </row>
    <row r="4989" spans="1:102" x14ac:dyDescent="0.3">
      <c r="A4989" t="str">
        <f>HYPERLINK("https://webapp.icbf.com/v2/app/bull-search/view/124414465","CEZ")</f>
        <v>CEZ</v>
      </c>
      <c r="B4989" t="s">
        <v>4647</v>
      </c>
      <c r="C4989" t="s">
        <v>1801</v>
      </c>
      <c r="D4989" s="1">
        <v>35035</v>
      </c>
      <c r="E4989" t="s">
        <v>92</v>
      </c>
      <c r="F4989">
        <v>100</v>
      </c>
      <c r="G4989" t="s">
        <v>93</v>
      </c>
      <c r="H4989">
        <v>-286.93</v>
      </c>
      <c r="I4989">
        <v>97</v>
      </c>
      <c r="J4989">
        <v>-22.78</v>
      </c>
      <c r="K4989">
        <v>99</v>
      </c>
      <c r="L4989">
        <v>-189.61</v>
      </c>
      <c r="M4989">
        <v>95</v>
      </c>
      <c r="N4989">
        <v>-58.44</v>
      </c>
      <c r="O4989">
        <v>97</v>
      </c>
      <c r="P4989">
        <v>-10.76</v>
      </c>
      <c r="Q4989">
        <v>99</v>
      </c>
      <c r="R4989">
        <v>2.75</v>
      </c>
      <c r="S4989">
        <v>93</v>
      </c>
      <c r="T4989">
        <v>-4.67</v>
      </c>
      <c r="U4989">
        <v>97</v>
      </c>
      <c r="V4989">
        <v>-3.42</v>
      </c>
      <c r="W4989">
        <v>92</v>
      </c>
      <c r="X4989" t="s">
        <v>131</v>
      </c>
      <c r="Y4989" t="s">
        <v>95</v>
      </c>
      <c r="Z4989" t="s">
        <v>96</v>
      </c>
      <c r="AA4989" t="s">
        <v>989</v>
      </c>
      <c r="AB4989" t="s">
        <v>4648</v>
      </c>
      <c r="AC4989">
        <v>607</v>
      </c>
      <c r="AD4989">
        <v>259</v>
      </c>
      <c r="AE4989">
        <v>99</v>
      </c>
      <c r="AF4989">
        <v>0.53</v>
      </c>
      <c r="AG4989">
        <v>-3.04</v>
      </c>
      <c r="AH4989">
        <v>-2.79</v>
      </c>
      <c r="AI4989">
        <v>-0.05</v>
      </c>
      <c r="AJ4989">
        <v>-0.05</v>
      </c>
      <c r="AK4989">
        <v>95</v>
      </c>
      <c r="AL4989">
        <v>536</v>
      </c>
      <c r="AM4989">
        <v>228</v>
      </c>
      <c r="AN4989">
        <v>9.6199999999999992</v>
      </c>
      <c r="AO4989">
        <v>-5.51</v>
      </c>
      <c r="AP4989">
        <v>1101</v>
      </c>
      <c r="AQ4989">
        <v>3</v>
      </c>
      <c r="AR4989">
        <v>13.46</v>
      </c>
      <c r="AS4989">
        <v>94</v>
      </c>
      <c r="AT4989">
        <v>6.5</v>
      </c>
      <c r="AU4989">
        <v>99</v>
      </c>
      <c r="AV4989">
        <v>-0.51</v>
      </c>
      <c r="AW4989">
        <v>99</v>
      </c>
      <c r="AX4989">
        <v>0.4</v>
      </c>
      <c r="AY4989">
        <v>96</v>
      </c>
      <c r="AZ4989">
        <v>5.4</v>
      </c>
      <c r="BA4989">
        <v>92</v>
      </c>
      <c r="BB4989">
        <v>5.17</v>
      </c>
      <c r="BC4989">
        <v>91</v>
      </c>
      <c r="BD4989">
        <v>-0.02</v>
      </c>
      <c r="BE4989">
        <v>0</v>
      </c>
      <c r="BF4989">
        <v>-0.03</v>
      </c>
      <c r="BG4989">
        <v>98</v>
      </c>
      <c r="BH4989">
        <v>-0.03</v>
      </c>
      <c r="BI4989">
        <v>7.57</v>
      </c>
      <c r="BJ4989">
        <v>300</v>
      </c>
      <c r="BK4989">
        <v>134</v>
      </c>
      <c r="BL4989">
        <v>1.47</v>
      </c>
      <c r="BM4989">
        <v>2.0099999999999998</v>
      </c>
      <c r="BN4989">
        <v>3.12</v>
      </c>
      <c r="BO4989">
        <v>1.08</v>
      </c>
      <c r="BP4989">
        <v>-0.09</v>
      </c>
      <c r="BQ4989">
        <v>1.24</v>
      </c>
      <c r="BR4989">
        <v>0.31</v>
      </c>
      <c r="BS4989">
        <v>1.18</v>
      </c>
      <c r="BT4989">
        <v>0.85</v>
      </c>
      <c r="BU4989">
        <v>2.2200000000000002</v>
      </c>
      <c r="BV4989">
        <v>1.39</v>
      </c>
      <c r="BW4989">
        <v>1.2</v>
      </c>
      <c r="BX4989">
        <v>0.82</v>
      </c>
      <c r="BY4989">
        <v>2.2200000000000002</v>
      </c>
      <c r="BZ4989">
        <v>-1.44</v>
      </c>
      <c r="CA4989">
        <v>1.9</v>
      </c>
      <c r="CB4989">
        <v>1.81</v>
      </c>
      <c r="CC4989">
        <v>1.56</v>
      </c>
      <c r="CD4989">
        <v>-0.12</v>
      </c>
      <c r="CE4989">
        <v>0.88</v>
      </c>
      <c r="CF4989">
        <v>1.88</v>
      </c>
      <c r="CG4989">
        <v>0</v>
      </c>
      <c r="CH4989">
        <v>2.3199999999999998</v>
      </c>
      <c r="CI4989">
        <v>0</v>
      </c>
      <c r="CJ4989">
        <v>-4.5999999999999996</v>
      </c>
      <c r="CK4989">
        <v>99</v>
      </c>
      <c r="CL4989">
        <v>-1.17</v>
      </c>
      <c r="CM4989">
        <v>98</v>
      </c>
      <c r="CN4989">
        <v>-0.54</v>
      </c>
      <c r="CO4989">
        <v>98</v>
      </c>
      <c r="CP4989">
        <v>8.9</v>
      </c>
      <c r="CQ4989">
        <v>98</v>
      </c>
      <c r="CR4989">
        <v>0</v>
      </c>
      <c r="CS4989">
        <v>0</v>
      </c>
      <c r="CT4989">
        <v>20.100000000000001</v>
      </c>
      <c r="CU4989">
        <v>97</v>
      </c>
      <c r="CV4989">
        <v>0.15</v>
      </c>
      <c r="CW4989">
        <v>46</v>
      </c>
      <c r="CX4989" t="s">
        <v>4649</v>
      </c>
    </row>
    <row r="4990" spans="1:102" x14ac:dyDescent="0.3">
      <c r="A4990" t="str">
        <f>HYPERLINK("https://webapp.icbf.com/v2/app/bull-search/view/126218310","BSU")</f>
        <v>BSU</v>
      </c>
      <c r="B4990" t="s">
        <v>11585</v>
      </c>
      <c r="C4990" t="s">
        <v>9705</v>
      </c>
      <c r="D4990" s="1">
        <v>32034</v>
      </c>
      <c r="E4990" t="s">
        <v>92</v>
      </c>
      <c r="F4990">
        <v>100</v>
      </c>
      <c r="G4990" t="s">
        <v>93</v>
      </c>
      <c r="H4990">
        <v>-290.36</v>
      </c>
      <c r="I4990">
        <v>91</v>
      </c>
      <c r="J4990">
        <v>-68.849999999999994</v>
      </c>
      <c r="K4990">
        <v>97</v>
      </c>
      <c r="L4990">
        <v>-158.28</v>
      </c>
      <c r="M4990">
        <v>91</v>
      </c>
      <c r="N4990">
        <v>-44.57</v>
      </c>
      <c r="O4990">
        <v>85</v>
      </c>
      <c r="P4990">
        <v>-3.54</v>
      </c>
      <c r="Q4990">
        <v>88</v>
      </c>
      <c r="R4990">
        <v>-14.25</v>
      </c>
      <c r="S4990">
        <v>81</v>
      </c>
      <c r="T4990">
        <v>-3.79</v>
      </c>
      <c r="U4990">
        <v>87</v>
      </c>
      <c r="V4990">
        <v>2.92</v>
      </c>
      <c r="W4990">
        <v>68</v>
      </c>
      <c r="X4990" t="s">
        <v>251</v>
      </c>
      <c r="Y4990" t="s">
        <v>95</v>
      </c>
      <c r="Z4990" t="s">
        <v>96</v>
      </c>
      <c r="AA4990" t="s">
        <v>154</v>
      </c>
      <c r="AB4990" t="s">
        <v>11586</v>
      </c>
      <c r="AC4990">
        <v>121</v>
      </c>
      <c r="AD4990">
        <v>70</v>
      </c>
      <c r="AE4990">
        <v>97</v>
      </c>
      <c r="AF4990">
        <v>98.41</v>
      </c>
      <c r="AG4990">
        <v>-4.5599999999999996</v>
      </c>
      <c r="AH4990">
        <v>-8.59</v>
      </c>
      <c r="AI4990">
        <v>-0.14000000000000001</v>
      </c>
      <c r="AJ4990">
        <v>-0.2</v>
      </c>
      <c r="AK4990">
        <v>91</v>
      </c>
      <c r="AL4990">
        <v>129</v>
      </c>
      <c r="AM4990">
        <v>66</v>
      </c>
      <c r="AN4990">
        <v>8.06</v>
      </c>
      <c r="AO4990">
        <v>-4.57</v>
      </c>
      <c r="AP4990">
        <v>38</v>
      </c>
      <c r="AQ4990">
        <v>0</v>
      </c>
      <c r="AR4990">
        <v>12.54</v>
      </c>
      <c r="AS4990">
        <v>74</v>
      </c>
      <c r="AT4990">
        <v>6.15</v>
      </c>
      <c r="AU4990">
        <v>91</v>
      </c>
      <c r="AV4990">
        <v>-1.1000000000000001</v>
      </c>
      <c r="AW4990">
        <v>88</v>
      </c>
      <c r="AX4990">
        <v>-0.2</v>
      </c>
      <c r="AY4990">
        <v>86</v>
      </c>
      <c r="AZ4990">
        <v>5.98</v>
      </c>
      <c r="BA4990">
        <v>66</v>
      </c>
      <c r="BB4990">
        <v>5.34</v>
      </c>
      <c r="BC4990">
        <v>72</v>
      </c>
      <c r="BD4990">
        <v>0.1</v>
      </c>
      <c r="BE4990">
        <v>0.09</v>
      </c>
      <c r="BF4990">
        <v>-0.01</v>
      </c>
      <c r="BG4990">
        <v>93</v>
      </c>
      <c r="BH4990">
        <v>0.19</v>
      </c>
      <c r="BI4990">
        <v>12.56</v>
      </c>
      <c r="BJ4990">
        <v>63</v>
      </c>
      <c r="BK4990">
        <v>37</v>
      </c>
      <c r="BL4990">
        <v>1.59</v>
      </c>
      <c r="BM4990">
        <v>3.1</v>
      </c>
      <c r="BN4990">
        <v>3.49</v>
      </c>
      <c r="BO4990">
        <v>0.34</v>
      </c>
      <c r="BP4990">
        <v>-0.77</v>
      </c>
      <c r="BQ4990">
        <v>1.82</v>
      </c>
      <c r="BR4990">
        <v>-1.26</v>
      </c>
      <c r="BS4990">
        <v>1.36</v>
      </c>
      <c r="BT4990">
        <v>1.77</v>
      </c>
      <c r="BU4990">
        <v>0.9</v>
      </c>
      <c r="BV4990">
        <v>0.55000000000000004</v>
      </c>
      <c r="BW4990">
        <v>-0.22</v>
      </c>
      <c r="BX4990">
        <v>0.41</v>
      </c>
      <c r="BY4990">
        <v>-0.31</v>
      </c>
      <c r="BZ4990">
        <v>0.9</v>
      </c>
      <c r="CA4990">
        <v>0.8</v>
      </c>
      <c r="CB4990">
        <v>0.35</v>
      </c>
      <c r="CC4990">
        <v>1.61</v>
      </c>
      <c r="CD4990">
        <v>1.03</v>
      </c>
      <c r="CE4990">
        <v>0.04</v>
      </c>
      <c r="CF4990">
        <v>2.62</v>
      </c>
      <c r="CG4990">
        <v>0</v>
      </c>
      <c r="CH4990">
        <v>-0.28000000000000003</v>
      </c>
      <c r="CI4990">
        <v>0</v>
      </c>
      <c r="CJ4990">
        <v>-0.9</v>
      </c>
      <c r="CK4990">
        <v>89</v>
      </c>
      <c r="CL4990">
        <v>-0.93</v>
      </c>
      <c r="CM4990">
        <v>87</v>
      </c>
      <c r="CN4990">
        <v>-0.5</v>
      </c>
      <c r="CO4990">
        <v>85</v>
      </c>
      <c r="CP4990">
        <v>9.6</v>
      </c>
      <c r="CQ4990">
        <v>92</v>
      </c>
      <c r="CR4990">
        <v>0</v>
      </c>
      <c r="CS4990">
        <v>0</v>
      </c>
      <c r="CT4990">
        <v>18.899999999999999</v>
      </c>
      <c r="CU4990">
        <v>87</v>
      </c>
      <c r="CV4990">
        <v>0.17</v>
      </c>
      <c r="CW4990">
        <v>43</v>
      </c>
      <c r="CX4990" t="s">
        <v>8597</v>
      </c>
    </row>
    <row r="4991" spans="1:102" x14ac:dyDescent="0.3">
      <c r="A4991" t="str">
        <f>HYPERLINK("https://webapp.icbf.com/v2/app/bull-search/view/77857606","GHT")</f>
        <v>GHT</v>
      </c>
      <c r="B4991" t="s">
        <v>14377</v>
      </c>
      <c r="C4991" t="s">
        <v>14378</v>
      </c>
      <c r="D4991" s="1">
        <v>33509</v>
      </c>
      <c r="E4991" t="s">
        <v>92</v>
      </c>
      <c r="F4991">
        <v>100</v>
      </c>
      <c r="G4991" t="s">
        <v>93</v>
      </c>
      <c r="H4991">
        <v>-290.64</v>
      </c>
      <c r="I4991">
        <v>89</v>
      </c>
      <c r="J4991">
        <v>-31.38</v>
      </c>
      <c r="K4991">
        <v>98</v>
      </c>
      <c r="L4991">
        <v>-183.12</v>
      </c>
      <c r="M4991">
        <v>88</v>
      </c>
      <c r="N4991">
        <v>-59.91</v>
      </c>
      <c r="O4991">
        <v>81</v>
      </c>
      <c r="P4991">
        <v>-4.3499999999999996</v>
      </c>
      <c r="Q4991">
        <v>87</v>
      </c>
      <c r="R4991">
        <v>-18.89</v>
      </c>
      <c r="S4991">
        <v>82</v>
      </c>
      <c r="T4991">
        <v>9.02</v>
      </c>
      <c r="U4991">
        <v>83</v>
      </c>
      <c r="V4991">
        <v>-2.0099999999999998</v>
      </c>
      <c r="W4991">
        <v>67</v>
      </c>
      <c r="X4991" t="s">
        <v>94</v>
      </c>
      <c r="Y4991" t="s">
        <v>95</v>
      </c>
      <c r="Z4991" t="s">
        <v>96</v>
      </c>
      <c r="AA4991" t="s">
        <v>118</v>
      </c>
      <c r="AB4991" t="s">
        <v>14379</v>
      </c>
      <c r="AC4991">
        <v>172</v>
      </c>
      <c r="AD4991">
        <v>69</v>
      </c>
      <c r="AE4991">
        <v>98</v>
      </c>
      <c r="AF4991">
        <v>228.08</v>
      </c>
      <c r="AG4991">
        <v>-6.15</v>
      </c>
      <c r="AH4991">
        <v>0.33</v>
      </c>
      <c r="AI4991">
        <v>-0.25</v>
      </c>
      <c r="AJ4991">
        <v>-0.12</v>
      </c>
      <c r="AK4991">
        <v>88</v>
      </c>
      <c r="AL4991">
        <v>154</v>
      </c>
      <c r="AM4991">
        <v>66</v>
      </c>
      <c r="AN4991">
        <v>10.26</v>
      </c>
      <c r="AO4991">
        <v>-4.34</v>
      </c>
      <c r="AP4991">
        <v>8</v>
      </c>
      <c r="AQ4991">
        <v>0</v>
      </c>
      <c r="AR4991">
        <v>12.7</v>
      </c>
      <c r="AS4991">
        <v>66</v>
      </c>
      <c r="AT4991">
        <v>5.62</v>
      </c>
      <c r="AU4991">
        <v>90</v>
      </c>
      <c r="AV4991">
        <v>1.58</v>
      </c>
      <c r="AW4991">
        <v>83</v>
      </c>
      <c r="AX4991">
        <v>-0.34</v>
      </c>
      <c r="AY4991">
        <v>85</v>
      </c>
      <c r="AZ4991">
        <v>6.74</v>
      </c>
      <c r="BA4991">
        <v>59</v>
      </c>
      <c r="BB4991">
        <v>5.38</v>
      </c>
      <c r="BC4991">
        <v>70</v>
      </c>
      <c r="BD4991">
        <v>0.08</v>
      </c>
      <c r="BE4991">
        <v>0.09</v>
      </c>
      <c r="BF4991">
        <v>0.13</v>
      </c>
      <c r="BG4991">
        <v>95</v>
      </c>
      <c r="BH4991">
        <v>-0.06</v>
      </c>
      <c r="BI4991">
        <v>-0.46</v>
      </c>
      <c r="BJ4991">
        <v>6</v>
      </c>
      <c r="BK4991">
        <v>4</v>
      </c>
      <c r="BL4991">
        <v>1.03</v>
      </c>
      <c r="BM4991">
        <v>-0.04</v>
      </c>
      <c r="BN4991">
        <v>1.24</v>
      </c>
      <c r="BO4991">
        <v>0.95</v>
      </c>
      <c r="BP4991">
        <v>1.4</v>
      </c>
      <c r="BQ4991">
        <v>0.52</v>
      </c>
      <c r="BR4991">
        <v>-2.16</v>
      </c>
      <c r="BS4991">
        <v>-0.34</v>
      </c>
      <c r="BT4991">
        <v>0.85</v>
      </c>
      <c r="BU4991">
        <v>-0.49</v>
      </c>
      <c r="BV4991">
        <v>0.86</v>
      </c>
      <c r="BW4991">
        <v>-0.49</v>
      </c>
      <c r="BX4991">
        <v>-1.01</v>
      </c>
      <c r="BY4991">
        <v>-2.0499999999999998</v>
      </c>
      <c r="BZ4991">
        <v>-0.65</v>
      </c>
      <c r="CA4991">
        <v>0.15</v>
      </c>
      <c r="CB4991">
        <v>0.21</v>
      </c>
      <c r="CC4991">
        <v>0.27</v>
      </c>
      <c r="CD4991">
        <v>0.26</v>
      </c>
      <c r="CE4991">
        <v>0.56999999999999995</v>
      </c>
      <c r="CF4991">
        <v>1.1000000000000001</v>
      </c>
      <c r="CG4991">
        <v>0</v>
      </c>
      <c r="CH4991">
        <v>-1.83</v>
      </c>
      <c r="CI4991">
        <v>0</v>
      </c>
      <c r="CJ4991">
        <v>0.4</v>
      </c>
      <c r="CK4991">
        <v>88</v>
      </c>
      <c r="CL4991">
        <v>-0.7</v>
      </c>
      <c r="CM4991">
        <v>86</v>
      </c>
      <c r="CN4991">
        <v>-0.27</v>
      </c>
      <c r="CO4991">
        <v>84</v>
      </c>
      <c r="CP4991">
        <v>-5.6</v>
      </c>
      <c r="CQ4991">
        <v>93</v>
      </c>
      <c r="CR4991">
        <v>0</v>
      </c>
      <c r="CS4991">
        <v>0</v>
      </c>
      <c r="CT4991">
        <v>1.6</v>
      </c>
      <c r="CU4991">
        <v>83</v>
      </c>
      <c r="CV4991">
        <v>0.17</v>
      </c>
      <c r="CW4991">
        <v>44</v>
      </c>
      <c r="CX4991" t="s">
        <v>166</v>
      </c>
    </row>
    <row r="4992" spans="1:102" x14ac:dyDescent="0.3">
      <c r="A4992" t="str">
        <f>HYPERLINK("https://webapp.icbf.com/v2/app/bull-search/view/474731857","S501")</f>
        <v>S501</v>
      </c>
      <c r="B4992" t="s">
        <v>5187</v>
      </c>
      <c r="C4992" t="s">
        <v>5188</v>
      </c>
      <c r="D4992" s="1">
        <v>37159</v>
      </c>
      <c r="E4992" t="s">
        <v>92</v>
      </c>
      <c r="F4992">
        <v>100</v>
      </c>
      <c r="G4992" t="s">
        <v>109</v>
      </c>
      <c r="H4992">
        <v>-293.12</v>
      </c>
      <c r="I4992">
        <v>81</v>
      </c>
      <c r="J4992">
        <v>-26.57</v>
      </c>
      <c r="K4992">
        <v>93</v>
      </c>
      <c r="L4992">
        <v>-155.55000000000001</v>
      </c>
      <c r="M4992">
        <v>86</v>
      </c>
      <c r="N4992">
        <v>-90.64</v>
      </c>
      <c r="O4992">
        <v>65</v>
      </c>
      <c r="P4992">
        <v>-22.67</v>
      </c>
      <c r="Q4992">
        <v>67</v>
      </c>
      <c r="R4992">
        <v>-5.96</v>
      </c>
      <c r="S4992">
        <v>77</v>
      </c>
      <c r="T4992">
        <v>10.199999999999999</v>
      </c>
      <c r="U4992">
        <v>56</v>
      </c>
      <c r="V4992">
        <v>-1.93</v>
      </c>
      <c r="W4992">
        <v>66</v>
      </c>
      <c r="X4992" t="s">
        <v>110</v>
      </c>
      <c r="Y4992" t="s">
        <v>95</v>
      </c>
      <c r="Z4992" t="s">
        <v>96</v>
      </c>
      <c r="AA4992" t="s">
        <v>5189</v>
      </c>
      <c r="AB4992" t="s">
        <v>5190</v>
      </c>
      <c r="AC4992">
        <v>0</v>
      </c>
      <c r="AD4992">
        <v>0</v>
      </c>
      <c r="AE4992">
        <v>93</v>
      </c>
      <c r="AF4992">
        <v>-91.31</v>
      </c>
      <c r="AG4992">
        <v>0.52</v>
      </c>
      <c r="AH4992">
        <v>-6.1</v>
      </c>
      <c r="AI4992">
        <v>7.0000000000000007E-2</v>
      </c>
      <c r="AJ4992">
        <v>-0.05</v>
      </c>
      <c r="AK4992">
        <v>86</v>
      </c>
      <c r="AL4992">
        <v>0</v>
      </c>
      <c r="AM4992">
        <v>0</v>
      </c>
      <c r="AN4992">
        <v>8.07</v>
      </c>
      <c r="AO4992">
        <v>-4.34</v>
      </c>
      <c r="AP4992">
        <v>2</v>
      </c>
      <c r="AQ4992">
        <v>0</v>
      </c>
      <c r="AR4992">
        <v>14.97</v>
      </c>
      <c r="AS4992">
        <v>61</v>
      </c>
      <c r="AT4992">
        <v>7.93</v>
      </c>
      <c r="AU4992">
        <v>91</v>
      </c>
      <c r="AV4992">
        <v>-0.12</v>
      </c>
      <c r="AW4992">
        <v>57</v>
      </c>
      <c r="AX4992">
        <v>0.23</v>
      </c>
      <c r="AY4992">
        <v>55</v>
      </c>
      <c r="AZ4992">
        <v>5.44</v>
      </c>
      <c r="BA4992">
        <v>51</v>
      </c>
      <c r="BB4992">
        <v>4.75</v>
      </c>
      <c r="BC4992">
        <v>53</v>
      </c>
      <c r="BD4992">
        <v>0.06</v>
      </c>
      <c r="BE4992">
        <v>0.03</v>
      </c>
      <c r="BF4992">
        <v>-0.02</v>
      </c>
      <c r="BG4992">
        <v>92</v>
      </c>
      <c r="BH4992">
        <v>-0.08</v>
      </c>
      <c r="BI4992">
        <v>-3.03</v>
      </c>
      <c r="BJ4992">
        <v>2</v>
      </c>
      <c r="BK4992">
        <v>1</v>
      </c>
      <c r="BL4992">
        <v>1.54</v>
      </c>
      <c r="BM4992">
        <v>-0.84</v>
      </c>
      <c r="BN4992">
        <v>1.32</v>
      </c>
      <c r="BO4992">
        <v>1.47</v>
      </c>
      <c r="BP4992">
        <v>0.64</v>
      </c>
      <c r="BQ4992">
        <v>1.36</v>
      </c>
      <c r="BR4992">
        <v>-1.82</v>
      </c>
      <c r="BS4992">
        <v>3.73</v>
      </c>
      <c r="BT4992">
        <v>2.0299999999999998</v>
      </c>
      <c r="BU4992">
        <v>1.68</v>
      </c>
      <c r="BV4992">
        <v>1.44</v>
      </c>
      <c r="BW4992">
        <v>1.69</v>
      </c>
      <c r="BX4992">
        <v>1.9</v>
      </c>
      <c r="BY4992">
        <v>1.3</v>
      </c>
      <c r="BZ4992">
        <v>-2.97</v>
      </c>
      <c r="CA4992">
        <v>2.71</v>
      </c>
      <c r="CB4992">
        <v>1.78</v>
      </c>
      <c r="CC4992">
        <v>3.15</v>
      </c>
      <c r="CD4992">
        <v>-1.32</v>
      </c>
      <c r="CE4992">
        <v>1.6</v>
      </c>
      <c r="CF4992">
        <v>1.27</v>
      </c>
      <c r="CG4992">
        <v>0</v>
      </c>
      <c r="CH4992">
        <v>1.04</v>
      </c>
      <c r="CI4992">
        <v>0</v>
      </c>
      <c r="CJ4992">
        <v>-11.2</v>
      </c>
      <c r="CK4992">
        <v>69</v>
      </c>
      <c r="CL4992">
        <v>-1.3</v>
      </c>
      <c r="CM4992">
        <v>67</v>
      </c>
      <c r="CN4992">
        <v>-0.61</v>
      </c>
      <c r="CO4992">
        <v>65</v>
      </c>
      <c r="CP4992">
        <v>-6.3</v>
      </c>
      <c r="CQ4992">
        <v>61</v>
      </c>
      <c r="CR4992">
        <v>0</v>
      </c>
      <c r="CS4992">
        <v>0</v>
      </c>
      <c r="CT4992">
        <v>0</v>
      </c>
      <c r="CU4992">
        <v>56</v>
      </c>
      <c r="CV4992">
        <v>0.16</v>
      </c>
      <c r="CW4992">
        <v>39</v>
      </c>
      <c r="CX4992" t="s">
        <v>989</v>
      </c>
    </row>
    <row r="4993" spans="1:102" x14ac:dyDescent="0.3">
      <c r="A4993" t="str">
        <f>HYPERLINK("https://webapp.icbf.com/v2/app/bull-search/view/77857618","GIR")</f>
        <v>GIR</v>
      </c>
      <c r="B4993" t="s">
        <v>3980</v>
      </c>
      <c r="C4993" t="s">
        <v>3981</v>
      </c>
      <c r="D4993" s="1">
        <v>33705</v>
      </c>
      <c r="E4993" t="s">
        <v>92</v>
      </c>
      <c r="F4993">
        <v>100</v>
      </c>
      <c r="G4993" t="s">
        <v>109</v>
      </c>
      <c r="H4993">
        <v>-296.70999999999998</v>
      </c>
      <c r="I4993">
        <v>80</v>
      </c>
      <c r="J4993">
        <v>-68.7</v>
      </c>
      <c r="K4993">
        <v>91</v>
      </c>
      <c r="L4993">
        <v>-152.13</v>
      </c>
      <c r="M4993">
        <v>85</v>
      </c>
      <c r="N4993">
        <v>-57.12</v>
      </c>
      <c r="O4993">
        <v>64</v>
      </c>
      <c r="P4993">
        <v>-5.12</v>
      </c>
      <c r="Q4993">
        <v>76</v>
      </c>
      <c r="R4993">
        <v>-9.5</v>
      </c>
      <c r="S4993">
        <v>68</v>
      </c>
      <c r="T4993">
        <v>-1.1200000000000001</v>
      </c>
      <c r="U4993">
        <v>66</v>
      </c>
      <c r="V4993">
        <v>-3.02</v>
      </c>
      <c r="W4993">
        <v>36</v>
      </c>
      <c r="X4993" t="s">
        <v>131</v>
      </c>
      <c r="Y4993" t="s">
        <v>95</v>
      </c>
      <c r="Z4993" t="s">
        <v>96</v>
      </c>
      <c r="AA4993" t="s">
        <v>190</v>
      </c>
      <c r="AB4993" t="s">
        <v>3982</v>
      </c>
      <c r="AC4993">
        <v>33</v>
      </c>
      <c r="AD4993">
        <v>24</v>
      </c>
      <c r="AE4993">
        <v>91</v>
      </c>
      <c r="AF4993">
        <v>79.459999999999994</v>
      </c>
      <c r="AG4993">
        <v>-11.16</v>
      </c>
      <c r="AH4993">
        <v>-6.52</v>
      </c>
      <c r="AI4993">
        <v>-0.23</v>
      </c>
      <c r="AJ4993">
        <v>-0.15</v>
      </c>
      <c r="AK4993">
        <v>85</v>
      </c>
      <c r="AL4993">
        <v>28</v>
      </c>
      <c r="AM4993">
        <v>16</v>
      </c>
      <c r="AN4993">
        <v>8.4700000000000006</v>
      </c>
      <c r="AO4993">
        <v>-3.66</v>
      </c>
      <c r="AP4993">
        <v>36</v>
      </c>
      <c r="AQ4993">
        <v>0</v>
      </c>
      <c r="AR4993">
        <v>14.1</v>
      </c>
      <c r="AS4993">
        <v>48</v>
      </c>
      <c r="AT4993">
        <v>6.47</v>
      </c>
      <c r="AU4993">
        <v>86</v>
      </c>
      <c r="AV4993">
        <v>-0.86</v>
      </c>
      <c r="AW4993">
        <v>62</v>
      </c>
      <c r="AX4993">
        <v>-0.25</v>
      </c>
      <c r="AY4993">
        <v>62</v>
      </c>
      <c r="AZ4993">
        <v>6.98</v>
      </c>
      <c r="BA4993">
        <v>42</v>
      </c>
      <c r="BB4993">
        <v>4.84</v>
      </c>
      <c r="BC4993">
        <v>44</v>
      </c>
      <c r="BD4993">
        <v>0.02</v>
      </c>
      <c r="BE4993">
        <v>0.05</v>
      </c>
      <c r="BF4993">
        <v>0.09</v>
      </c>
      <c r="BG4993">
        <v>89</v>
      </c>
      <c r="BH4993">
        <v>0.02</v>
      </c>
      <c r="BI4993">
        <v>12.07</v>
      </c>
      <c r="BJ4993">
        <v>6</v>
      </c>
      <c r="BK4993">
        <v>5</v>
      </c>
      <c r="BL4993">
        <v>0.75</v>
      </c>
      <c r="BM4993">
        <v>-0.73</v>
      </c>
      <c r="BN4993">
        <v>0.95</v>
      </c>
      <c r="BO4993">
        <v>1.1200000000000001</v>
      </c>
      <c r="BP4993">
        <v>-1.27</v>
      </c>
      <c r="BQ4993">
        <v>0.98</v>
      </c>
      <c r="BR4993">
        <v>-0.49</v>
      </c>
      <c r="BS4993">
        <v>0.25</v>
      </c>
      <c r="BT4993">
        <v>0.02</v>
      </c>
      <c r="BU4993">
        <v>1.1299999999999999</v>
      </c>
      <c r="BV4993">
        <v>2.15</v>
      </c>
      <c r="BW4993">
        <v>0.59</v>
      </c>
      <c r="BX4993">
        <v>0.14000000000000001</v>
      </c>
      <c r="BY4993">
        <v>1.1200000000000001</v>
      </c>
      <c r="BZ4993">
        <v>1.74</v>
      </c>
      <c r="CA4993">
        <v>1.47</v>
      </c>
      <c r="CB4993">
        <v>1.49</v>
      </c>
      <c r="CC4993">
        <v>0.9</v>
      </c>
      <c r="CD4993">
        <v>-1.02</v>
      </c>
      <c r="CE4993">
        <v>0.53</v>
      </c>
      <c r="CF4993">
        <v>0.92</v>
      </c>
      <c r="CG4993">
        <v>0</v>
      </c>
      <c r="CH4993">
        <v>0.11</v>
      </c>
      <c r="CI4993">
        <v>0</v>
      </c>
      <c r="CJ4993">
        <v>0.1</v>
      </c>
      <c r="CK4993">
        <v>78</v>
      </c>
      <c r="CL4993">
        <v>-0.76</v>
      </c>
      <c r="CM4993">
        <v>75</v>
      </c>
      <c r="CN4993">
        <v>-0.14000000000000001</v>
      </c>
      <c r="CO4993">
        <v>71</v>
      </c>
      <c r="CP4993">
        <v>6.3</v>
      </c>
      <c r="CQ4993">
        <v>78</v>
      </c>
      <c r="CR4993">
        <v>0</v>
      </c>
      <c r="CS4993">
        <v>0</v>
      </c>
      <c r="CT4993">
        <v>15.3</v>
      </c>
      <c r="CU4993">
        <v>66</v>
      </c>
      <c r="CV4993">
        <v>0.2</v>
      </c>
      <c r="CW4993">
        <v>21</v>
      </c>
      <c r="CX4993" t="s">
        <v>154</v>
      </c>
    </row>
    <row r="4994" spans="1:102" x14ac:dyDescent="0.3">
      <c r="A4994" t="str">
        <f>HYPERLINK("https://webapp.icbf.com/v2/app/bull-search/view/69092122","LGZ")</f>
        <v>LGZ</v>
      </c>
      <c r="B4994" t="s">
        <v>15226</v>
      </c>
      <c r="C4994" t="s">
        <v>15227</v>
      </c>
      <c r="D4994" s="1">
        <v>34877</v>
      </c>
      <c r="E4994" t="s">
        <v>92</v>
      </c>
      <c r="F4994">
        <v>100</v>
      </c>
      <c r="G4994" t="s">
        <v>93</v>
      </c>
      <c r="H4994">
        <v>-305.48</v>
      </c>
      <c r="I4994">
        <v>94</v>
      </c>
      <c r="J4994">
        <v>0.53</v>
      </c>
      <c r="K4994">
        <v>99</v>
      </c>
      <c r="L4994">
        <v>-224.14</v>
      </c>
      <c r="M4994">
        <v>92</v>
      </c>
      <c r="N4994">
        <v>-57.39</v>
      </c>
      <c r="O4994">
        <v>93</v>
      </c>
      <c r="P4994">
        <v>-0.28000000000000003</v>
      </c>
      <c r="Q4994">
        <v>98</v>
      </c>
      <c r="R4994">
        <v>-31.76</v>
      </c>
      <c r="S4994">
        <v>87</v>
      </c>
      <c r="T4994">
        <v>6.06</v>
      </c>
      <c r="U4994">
        <v>93</v>
      </c>
      <c r="V4994">
        <v>1.5</v>
      </c>
      <c r="W4994">
        <v>80</v>
      </c>
      <c r="X4994" t="s">
        <v>558</v>
      </c>
      <c r="Y4994" t="s">
        <v>95</v>
      </c>
      <c r="Z4994" t="s">
        <v>96</v>
      </c>
      <c r="AA4994" t="s">
        <v>678</v>
      </c>
      <c r="AB4994" t="s">
        <v>1356</v>
      </c>
      <c r="AC4994">
        <v>403</v>
      </c>
      <c r="AD4994">
        <v>178</v>
      </c>
      <c r="AE4994">
        <v>99</v>
      </c>
      <c r="AF4994">
        <v>187.36</v>
      </c>
      <c r="AG4994">
        <v>-1.93</v>
      </c>
      <c r="AH4994">
        <v>3.64</v>
      </c>
      <c r="AI4994">
        <v>-0.16</v>
      </c>
      <c r="AJ4994">
        <v>-0.05</v>
      </c>
      <c r="AK4994">
        <v>92</v>
      </c>
      <c r="AL4994">
        <v>335</v>
      </c>
      <c r="AM4994">
        <v>149</v>
      </c>
      <c r="AN4994">
        <v>11.82</v>
      </c>
      <c r="AO4994">
        <v>-6.06</v>
      </c>
      <c r="AP4994">
        <v>491</v>
      </c>
      <c r="AQ4994">
        <v>2</v>
      </c>
      <c r="AR4994">
        <v>14.51</v>
      </c>
      <c r="AS4994">
        <v>89</v>
      </c>
      <c r="AT4994">
        <v>6.35</v>
      </c>
      <c r="AU4994">
        <v>94</v>
      </c>
      <c r="AV4994">
        <v>-0.84</v>
      </c>
      <c r="AW4994">
        <v>96</v>
      </c>
      <c r="AX4994">
        <v>0.18</v>
      </c>
      <c r="AY4994">
        <v>93</v>
      </c>
      <c r="AZ4994">
        <v>6.13</v>
      </c>
      <c r="BA4994">
        <v>84</v>
      </c>
      <c r="BB4994">
        <v>4.84</v>
      </c>
      <c r="BC4994">
        <v>83</v>
      </c>
      <c r="BD4994">
        <v>0.11</v>
      </c>
      <c r="BE4994">
        <v>0.13</v>
      </c>
      <c r="BF4994">
        <v>0.3</v>
      </c>
      <c r="BG4994">
        <v>96</v>
      </c>
      <c r="BH4994">
        <v>0.03</v>
      </c>
      <c r="BI4994">
        <v>-1.37</v>
      </c>
      <c r="BJ4994">
        <v>143</v>
      </c>
      <c r="BK4994">
        <v>60</v>
      </c>
      <c r="BL4994">
        <v>1.27</v>
      </c>
      <c r="BM4994">
        <v>-1.8</v>
      </c>
      <c r="BN4994">
        <v>0.51</v>
      </c>
      <c r="BO4994">
        <v>1.84</v>
      </c>
      <c r="BP4994">
        <v>0.18</v>
      </c>
      <c r="BQ4994">
        <v>1.85</v>
      </c>
      <c r="BR4994">
        <v>-0.39</v>
      </c>
      <c r="BS4994">
        <v>-0.16</v>
      </c>
      <c r="BT4994">
        <v>0.22</v>
      </c>
      <c r="BU4994">
        <v>0.7</v>
      </c>
      <c r="BV4994">
        <v>1.54</v>
      </c>
      <c r="BW4994">
        <v>2.41</v>
      </c>
      <c r="BX4994">
        <v>-0.1</v>
      </c>
      <c r="BY4994">
        <v>1.19</v>
      </c>
      <c r="BZ4994">
        <v>-1.07</v>
      </c>
      <c r="CA4994">
        <v>1.35</v>
      </c>
      <c r="CB4994">
        <v>1.24</v>
      </c>
      <c r="CC4994">
        <v>0.97</v>
      </c>
      <c r="CD4994">
        <v>-2.39</v>
      </c>
      <c r="CE4994">
        <v>1.33</v>
      </c>
      <c r="CF4994">
        <v>1.64</v>
      </c>
      <c r="CG4994">
        <v>0</v>
      </c>
      <c r="CH4994">
        <v>1.28</v>
      </c>
      <c r="CI4994">
        <v>0</v>
      </c>
      <c r="CJ4994">
        <v>3.4</v>
      </c>
      <c r="CK4994">
        <v>98</v>
      </c>
      <c r="CL4994">
        <v>-0.91</v>
      </c>
      <c r="CM4994">
        <v>97</v>
      </c>
      <c r="CN4994">
        <v>-0.37</v>
      </c>
      <c r="CO4994">
        <v>97</v>
      </c>
      <c r="CP4994">
        <v>0.6</v>
      </c>
      <c r="CQ4994">
        <v>97</v>
      </c>
      <c r="CR4994">
        <v>0</v>
      </c>
      <c r="CS4994">
        <v>0</v>
      </c>
      <c r="CT4994">
        <v>5.6</v>
      </c>
      <c r="CU4994">
        <v>93</v>
      </c>
      <c r="CV4994">
        <v>0.24</v>
      </c>
      <c r="CW4994">
        <v>45</v>
      </c>
      <c r="CX4994" t="s">
        <v>914</v>
      </c>
    </row>
    <row r="4995" spans="1:102" x14ac:dyDescent="0.3">
      <c r="A4995" t="str">
        <f>HYPERLINK("https://webapp.icbf.com/v2/app/bull-search/view/169901401","BDX")</f>
        <v>BDX</v>
      </c>
      <c r="B4995" t="s">
        <v>4120</v>
      </c>
      <c r="C4995" t="s">
        <v>4121</v>
      </c>
      <c r="D4995" s="1">
        <v>35760</v>
      </c>
      <c r="E4995" t="s">
        <v>92</v>
      </c>
      <c r="F4995">
        <v>100</v>
      </c>
      <c r="G4995" t="s">
        <v>93</v>
      </c>
      <c r="H4995">
        <v>-307.3</v>
      </c>
      <c r="I4995">
        <v>89</v>
      </c>
      <c r="J4995">
        <v>-22.78</v>
      </c>
      <c r="K4995">
        <v>96</v>
      </c>
      <c r="L4995">
        <v>-270.31</v>
      </c>
      <c r="M4995">
        <v>91</v>
      </c>
      <c r="N4995">
        <v>1.06</v>
      </c>
      <c r="O4995">
        <v>82</v>
      </c>
      <c r="P4995">
        <v>-18.73</v>
      </c>
      <c r="Q4995">
        <v>89</v>
      </c>
      <c r="R4995">
        <v>-2.71</v>
      </c>
      <c r="S4995">
        <v>83</v>
      </c>
      <c r="T4995">
        <v>15.97</v>
      </c>
      <c r="U4995">
        <v>77</v>
      </c>
      <c r="V4995">
        <v>-9.8000000000000007</v>
      </c>
      <c r="W4995">
        <v>73</v>
      </c>
      <c r="X4995" t="s">
        <v>131</v>
      </c>
      <c r="Y4995" t="s">
        <v>95</v>
      </c>
      <c r="Z4995" t="s">
        <v>96</v>
      </c>
      <c r="AA4995" t="s">
        <v>1325</v>
      </c>
      <c r="AB4995" t="s">
        <v>4122</v>
      </c>
      <c r="AC4995">
        <v>46</v>
      </c>
      <c r="AD4995">
        <v>29</v>
      </c>
      <c r="AE4995">
        <v>96</v>
      </c>
      <c r="AF4995">
        <v>125.11</v>
      </c>
      <c r="AG4995">
        <v>6.11</v>
      </c>
      <c r="AH4995">
        <v>-4.12</v>
      </c>
      <c r="AI4995">
        <v>0.02</v>
      </c>
      <c r="AJ4995">
        <v>-0.14000000000000001</v>
      </c>
      <c r="AK4995">
        <v>91</v>
      </c>
      <c r="AL4995">
        <v>34</v>
      </c>
      <c r="AM4995">
        <v>21</v>
      </c>
      <c r="AN4995">
        <v>15.26</v>
      </c>
      <c r="AO4995">
        <v>-6.29</v>
      </c>
      <c r="AP4995">
        <v>97</v>
      </c>
      <c r="AQ4995">
        <v>3</v>
      </c>
      <c r="AR4995">
        <v>8.26</v>
      </c>
      <c r="AS4995">
        <v>73</v>
      </c>
      <c r="AT4995">
        <v>3.67</v>
      </c>
      <c r="AU4995">
        <v>92</v>
      </c>
      <c r="AV4995">
        <v>-1.79</v>
      </c>
      <c r="AW4995">
        <v>88</v>
      </c>
      <c r="AX4995">
        <v>0.51</v>
      </c>
      <c r="AY4995">
        <v>74</v>
      </c>
      <c r="AZ4995">
        <v>5.99</v>
      </c>
      <c r="BA4995">
        <v>62</v>
      </c>
      <c r="BB4995">
        <v>6.07</v>
      </c>
      <c r="BC4995">
        <v>61</v>
      </c>
      <c r="BD4995">
        <v>0.02</v>
      </c>
      <c r="BE4995">
        <v>0.01</v>
      </c>
      <c r="BF4995">
        <v>0.01</v>
      </c>
      <c r="BG4995">
        <v>93</v>
      </c>
      <c r="BH4995">
        <v>-0.16</v>
      </c>
      <c r="BI4995">
        <v>13.11</v>
      </c>
      <c r="BJ4995">
        <v>18</v>
      </c>
      <c r="BK4995">
        <v>15</v>
      </c>
      <c r="BL4995">
        <v>1.72</v>
      </c>
      <c r="BM4995">
        <v>-2.2400000000000002</v>
      </c>
      <c r="BN4995">
        <v>1.0900000000000001</v>
      </c>
      <c r="BO4995">
        <v>2.0499999999999998</v>
      </c>
      <c r="BP4995">
        <v>0.48</v>
      </c>
      <c r="BQ4995">
        <v>2.27</v>
      </c>
      <c r="BR4995">
        <v>-0.67</v>
      </c>
      <c r="BS4995">
        <v>1.24</v>
      </c>
      <c r="BT4995">
        <v>0.33</v>
      </c>
      <c r="BU4995">
        <v>2.37</v>
      </c>
      <c r="BV4995">
        <v>2.82</v>
      </c>
      <c r="BW4995">
        <v>1.92</v>
      </c>
      <c r="BX4995">
        <v>1.87</v>
      </c>
      <c r="BY4995">
        <v>1.87</v>
      </c>
      <c r="BZ4995">
        <v>-0.28000000000000003</v>
      </c>
      <c r="CA4995">
        <v>1.73</v>
      </c>
      <c r="CB4995">
        <v>2.0499999999999998</v>
      </c>
      <c r="CC4995">
        <v>0.48</v>
      </c>
      <c r="CD4995">
        <v>-2.59</v>
      </c>
      <c r="CE4995">
        <v>2.2400000000000002</v>
      </c>
      <c r="CF4995">
        <v>1.61</v>
      </c>
      <c r="CG4995">
        <v>0</v>
      </c>
      <c r="CH4995">
        <v>1.78</v>
      </c>
      <c r="CI4995">
        <v>0</v>
      </c>
      <c r="CJ4995">
        <v>-6</v>
      </c>
      <c r="CK4995">
        <v>90</v>
      </c>
      <c r="CL4995">
        <v>-1.45</v>
      </c>
      <c r="CM4995">
        <v>88</v>
      </c>
      <c r="CN4995">
        <v>-0.51</v>
      </c>
      <c r="CO4995">
        <v>86</v>
      </c>
      <c r="CP4995">
        <v>-9.6999999999999993</v>
      </c>
      <c r="CQ4995">
        <v>84</v>
      </c>
      <c r="CR4995">
        <v>0</v>
      </c>
      <c r="CS4995">
        <v>0</v>
      </c>
      <c r="CT4995">
        <v>-7.8</v>
      </c>
      <c r="CU4995">
        <v>77</v>
      </c>
      <c r="CV4995">
        <v>0.21</v>
      </c>
      <c r="CW4995">
        <v>43</v>
      </c>
      <c r="CX4995" t="s">
        <v>1550</v>
      </c>
    </row>
    <row r="4996" spans="1:102" x14ac:dyDescent="0.3">
      <c r="A4996" t="str">
        <f>HYPERLINK("https://webapp.icbf.com/v2/app/bull-search/view/77853391","SOF")</f>
        <v>SOF</v>
      </c>
      <c r="B4996" t="s">
        <v>15208</v>
      </c>
      <c r="C4996" t="s">
        <v>15209</v>
      </c>
      <c r="D4996" s="1">
        <v>35565</v>
      </c>
      <c r="E4996" t="s">
        <v>92</v>
      </c>
      <c r="F4996">
        <v>100</v>
      </c>
      <c r="G4996" t="s">
        <v>93</v>
      </c>
      <c r="H4996">
        <v>-307.95999999999998</v>
      </c>
      <c r="I4996">
        <v>88</v>
      </c>
      <c r="J4996">
        <v>6.59</v>
      </c>
      <c r="K4996">
        <v>98</v>
      </c>
      <c r="L4996">
        <v>-228.9</v>
      </c>
      <c r="M4996">
        <v>83</v>
      </c>
      <c r="N4996">
        <v>-59.46</v>
      </c>
      <c r="O4996">
        <v>81</v>
      </c>
      <c r="P4996">
        <v>-6.09</v>
      </c>
      <c r="Q4996">
        <v>90</v>
      </c>
      <c r="R4996">
        <v>-24.75</v>
      </c>
      <c r="S4996">
        <v>82</v>
      </c>
      <c r="T4996">
        <v>3.17</v>
      </c>
      <c r="U4996">
        <v>86</v>
      </c>
      <c r="V4996">
        <v>1.48</v>
      </c>
      <c r="W4996">
        <v>70</v>
      </c>
      <c r="X4996" t="s">
        <v>94</v>
      </c>
      <c r="Y4996" t="s">
        <v>95</v>
      </c>
      <c r="Z4996" t="s">
        <v>96</v>
      </c>
      <c r="AA4996" t="s">
        <v>218</v>
      </c>
      <c r="AB4996" t="s">
        <v>15210</v>
      </c>
      <c r="AC4996">
        <v>165</v>
      </c>
      <c r="AD4996">
        <v>135</v>
      </c>
      <c r="AE4996">
        <v>98</v>
      </c>
      <c r="AF4996">
        <v>208.21</v>
      </c>
      <c r="AG4996">
        <v>1.21</v>
      </c>
      <c r="AH4996">
        <v>3.88</v>
      </c>
      <c r="AI4996">
        <v>-0.12</v>
      </c>
      <c r="AJ4996">
        <v>-0.05</v>
      </c>
      <c r="AK4996">
        <v>83</v>
      </c>
      <c r="AL4996">
        <v>150</v>
      </c>
      <c r="AM4996">
        <v>119</v>
      </c>
      <c r="AN4996">
        <v>11.29</v>
      </c>
      <c r="AO4996">
        <v>-6.98</v>
      </c>
      <c r="AP4996">
        <v>17</v>
      </c>
      <c r="AQ4996">
        <v>0</v>
      </c>
      <c r="AR4996">
        <v>12.53</v>
      </c>
      <c r="AS4996">
        <v>75</v>
      </c>
      <c r="AT4996">
        <v>6.31</v>
      </c>
      <c r="AU4996">
        <v>83</v>
      </c>
      <c r="AV4996">
        <v>0.61</v>
      </c>
      <c r="AW4996">
        <v>84</v>
      </c>
      <c r="AX4996">
        <v>0.05</v>
      </c>
      <c r="AY4996">
        <v>85</v>
      </c>
      <c r="AZ4996">
        <v>6.19</v>
      </c>
      <c r="BA4996">
        <v>70</v>
      </c>
      <c r="BB4996">
        <v>4.95</v>
      </c>
      <c r="BC4996">
        <v>74</v>
      </c>
      <c r="BD4996">
        <v>0.09</v>
      </c>
      <c r="BE4996">
        <v>0.11</v>
      </c>
      <c r="BF4996">
        <v>0.21</v>
      </c>
      <c r="BG4996">
        <v>93</v>
      </c>
      <c r="BH4996">
        <v>0.19</v>
      </c>
      <c r="BI4996">
        <v>17.2</v>
      </c>
      <c r="BJ4996">
        <v>38</v>
      </c>
      <c r="BK4996">
        <v>25</v>
      </c>
      <c r="BL4996">
        <v>0.82</v>
      </c>
      <c r="BM4996">
        <v>1.96</v>
      </c>
      <c r="BN4996">
        <v>3.07</v>
      </c>
      <c r="BO4996">
        <v>1.1599999999999999</v>
      </c>
      <c r="BP4996">
        <v>-0.11</v>
      </c>
      <c r="BQ4996">
        <v>1.88</v>
      </c>
      <c r="BR4996">
        <v>2.42</v>
      </c>
      <c r="BS4996">
        <v>-2.13</v>
      </c>
      <c r="BT4996">
        <v>-1.3</v>
      </c>
      <c r="BU4996">
        <v>0.06</v>
      </c>
      <c r="BV4996">
        <v>0.37</v>
      </c>
      <c r="BW4996">
        <v>0.5</v>
      </c>
      <c r="BX4996">
        <v>-1.03</v>
      </c>
      <c r="BY4996">
        <v>2.6</v>
      </c>
      <c r="BZ4996">
        <v>-0.23</v>
      </c>
      <c r="CA4996">
        <v>0.18</v>
      </c>
      <c r="CB4996">
        <v>0.81</v>
      </c>
      <c r="CC4996">
        <v>-1.1499999999999999</v>
      </c>
      <c r="CD4996">
        <v>0.23</v>
      </c>
      <c r="CE4996">
        <v>1.27</v>
      </c>
      <c r="CF4996">
        <v>2.17</v>
      </c>
      <c r="CG4996">
        <v>0</v>
      </c>
      <c r="CH4996">
        <v>2.14</v>
      </c>
      <c r="CI4996">
        <v>0</v>
      </c>
      <c r="CJ4996">
        <v>0.5</v>
      </c>
      <c r="CK4996">
        <v>91</v>
      </c>
      <c r="CL4996">
        <v>-0.65</v>
      </c>
      <c r="CM4996">
        <v>89</v>
      </c>
      <c r="CN4996">
        <v>-0.04</v>
      </c>
      <c r="CO4996">
        <v>88</v>
      </c>
      <c r="CP4996">
        <v>-3.6</v>
      </c>
      <c r="CQ4996">
        <v>94</v>
      </c>
      <c r="CR4996">
        <v>0</v>
      </c>
      <c r="CS4996">
        <v>0</v>
      </c>
      <c r="CT4996">
        <v>9.5</v>
      </c>
      <c r="CU4996">
        <v>86</v>
      </c>
      <c r="CV4996">
        <v>0.18</v>
      </c>
      <c r="CW4996">
        <v>44</v>
      </c>
      <c r="CX4996" t="s">
        <v>485</v>
      </c>
    </row>
    <row r="4997" spans="1:102" x14ac:dyDescent="0.3">
      <c r="A4997" t="str">
        <f>HYPERLINK("https://webapp.icbf.com/v2/app/bull-search/view/77853736","SCU")</f>
        <v>SCU</v>
      </c>
      <c r="B4997" t="s">
        <v>11071</v>
      </c>
      <c r="C4997" t="s">
        <v>11072</v>
      </c>
      <c r="D4997" s="1">
        <v>34480</v>
      </c>
      <c r="E4997" t="s">
        <v>92</v>
      </c>
      <c r="F4997">
        <v>100</v>
      </c>
      <c r="G4997" t="s">
        <v>93</v>
      </c>
      <c r="H4997">
        <v>-309.54000000000002</v>
      </c>
      <c r="I4997">
        <v>95</v>
      </c>
      <c r="J4997">
        <v>-50.01</v>
      </c>
      <c r="K4997">
        <v>99</v>
      </c>
      <c r="L4997">
        <v>-181.54</v>
      </c>
      <c r="M4997">
        <v>93</v>
      </c>
      <c r="N4997">
        <v>-60.33</v>
      </c>
      <c r="O4997">
        <v>93</v>
      </c>
      <c r="P4997">
        <v>-8.16</v>
      </c>
      <c r="Q4997">
        <v>97</v>
      </c>
      <c r="R4997">
        <v>-13.95</v>
      </c>
      <c r="S4997">
        <v>88</v>
      </c>
      <c r="T4997">
        <v>6.43</v>
      </c>
      <c r="U4997">
        <v>95</v>
      </c>
      <c r="V4997">
        <v>-1.98</v>
      </c>
      <c r="W4997">
        <v>83</v>
      </c>
      <c r="X4997" t="s">
        <v>131</v>
      </c>
      <c r="Y4997" t="s">
        <v>95</v>
      </c>
      <c r="Z4997" t="s">
        <v>96</v>
      </c>
      <c r="AA4997" t="s">
        <v>682</v>
      </c>
      <c r="AB4997" t="s">
        <v>10866</v>
      </c>
      <c r="AC4997">
        <v>328</v>
      </c>
      <c r="AD4997">
        <v>162</v>
      </c>
      <c r="AE4997">
        <v>99</v>
      </c>
      <c r="AF4997">
        <v>92.82</v>
      </c>
      <c r="AG4997">
        <v>-2.16</v>
      </c>
      <c r="AH4997">
        <v>-6.32</v>
      </c>
      <c r="AI4997">
        <v>-0.1</v>
      </c>
      <c r="AJ4997">
        <v>-0.16</v>
      </c>
      <c r="AK4997">
        <v>93</v>
      </c>
      <c r="AL4997">
        <v>289</v>
      </c>
      <c r="AM4997">
        <v>141</v>
      </c>
      <c r="AN4997">
        <v>10.46</v>
      </c>
      <c r="AO4997">
        <v>-4.01</v>
      </c>
      <c r="AP4997">
        <v>461</v>
      </c>
      <c r="AQ4997">
        <v>0</v>
      </c>
      <c r="AR4997">
        <v>10.52</v>
      </c>
      <c r="AS4997">
        <v>91</v>
      </c>
      <c r="AT4997">
        <v>6.24</v>
      </c>
      <c r="AU4997">
        <v>95</v>
      </c>
      <c r="AV4997">
        <v>1.84</v>
      </c>
      <c r="AW4997">
        <v>95</v>
      </c>
      <c r="AX4997">
        <v>0.11</v>
      </c>
      <c r="AY4997">
        <v>94</v>
      </c>
      <c r="AZ4997">
        <v>7.66</v>
      </c>
      <c r="BA4997">
        <v>85</v>
      </c>
      <c r="BB4997">
        <v>4.66</v>
      </c>
      <c r="BC4997">
        <v>86</v>
      </c>
      <c r="BD4997">
        <v>0.1</v>
      </c>
      <c r="BE4997">
        <v>0.06</v>
      </c>
      <c r="BF4997">
        <v>0.04</v>
      </c>
      <c r="BG4997">
        <v>96</v>
      </c>
      <c r="BH4997">
        <v>0.14000000000000001</v>
      </c>
      <c r="BI4997">
        <v>22.57</v>
      </c>
      <c r="BJ4997">
        <v>178</v>
      </c>
      <c r="BK4997">
        <v>80</v>
      </c>
      <c r="BL4997">
        <v>1.1499999999999999</v>
      </c>
      <c r="BM4997">
        <v>-1.23</v>
      </c>
      <c r="BN4997">
        <v>0.69</v>
      </c>
      <c r="BO4997">
        <v>1.2</v>
      </c>
      <c r="BP4997">
        <v>-0.09</v>
      </c>
      <c r="BQ4997">
        <v>1.79</v>
      </c>
      <c r="BR4997">
        <v>-1.28</v>
      </c>
      <c r="BS4997">
        <v>0.5</v>
      </c>
      <c r="BT4997">
        <v>1.51</v>
      </c>
      <c r="BU4997">
        <v>2.2000000000000002</v>
      </c>
      <c r="BV4997">
        <v>1.96</v>
      </c>
      <c r="BW4997">
        <v>1.2</v>
      </c>
      <c r="BX4997">
        <v>1.39</v>
      </c>
      <c r="BY4997">
        <v>0.69</v>
      </c>
      <c r="BZ4997">
        <v>-0.96</v>
      </c>
      <c r="CA4997">
        <v>1.53</v>
      </c>
      <c r="CB4997">
        <v>1.58</v>
      </c>
      <c r="CC4997">
        <v>0.71</v>
      </c>
      <c r="CD4997">
        <v>-1.35</v>
      </c>
      <c r="CE4997">
        <v>1.42</v>
      </c>
      <c r="CF4997">
        <v>1.18</v>
      </c>
      <c r="CG4997">
        <v>0</v>
      </c>
      <c r="CH4997">
        <v>0.82</v>
      </c>
      <c r="CI4997">
        <v>0</v>
      </c>
      <c r="CJ4997">
        <v>-4</v>
      </c>
      <c r="CK4997">
        <v>97</v>
      </c>
      <c r="CL4997">
        <v>-0.87</v>
      </c>
      <c r="CM4997">
        <v>97</v>
      </c>
      <c r="CN4997">
        <v>-0.54</v>
      </c>
      <c r="CO4997">
        <v>96</v>
      </c>
      <c r="CP4997">
        <v>0.1</v>
      </c>
      <c r="CQ4997">
        <v>97</v>
      </c>
      <c r="CR4997">
        <v>0</v>
      </c>
      <c r="CS4997">
        <v>0</v>
      </c>
      <c r="CT4997">
        <v>5.0999999999999996</v>
      </c>
      <c r="CU4997">
        <v>95</v>
      </c>
      <c r="CV4997">
        <v>0.1</v>
      </c>
      <c r="CW4997">
        <v>45</v>
      </c>
      <c r="CX4997" t="s">
        <v>166</v>
      </c>
    </row>
    <row r="4998" spans="1:102" x14ac:dyDescent="0.3">
      <c r="A4998" t="str">
        <f>HYPERLINK("https://webapp.icbf.com/v2/app/bull-search/view/77856640","HUM")</f>
        <v>HUM</v>
      </c>
      <c r="B4998" t="s">
        <v>5225</v>
      </c>
      <c r="C4998" t="s">
        <v>5226</v>
      </c>
      <c r="D4998" s="1">
        <v>33888</v>
      </c>
      <c r="E4998" t="s">
        <v>92</v>
      </c>
      <c r="F4998">
        <v>100</v>
      </c>
      <c r="G4998" t="s">
        <v>93</v>
      </c>
      <c r="H4998">
        <v>-314.85000000000002</v>
      </c>
      <c r="I4998">
        <v>96</v>
      </c>
      <c r="J4998">
        <v>20.85</v>
      </c>
      <c r="K4998">
        <v>99</v>
      </c>
      <c r="L4998">
        <v>-279.69</v>
      </c>
      <c r="M4998">
        <v>95</v>
      </c>
      <c r="N4998">
        <v>-35.58</v>
      </c>
      <c r="O4998">
        <v>96</v>
      </c>
      <c r="P4998">
        <v>-8.11</v>
      </c>
      <c r="Q4998">
        <v>98</v>
      </c>
      <c r="R4998">
        <v>-22.86</v>
      </c>
      <c r="S4998">
        <v>90</v>
      </c>
      <c r="T4998">
        <v>12.94</v>
      </c>
      <c r="U4998">
        <v>95</v>
      </c>
      <c r="V4998">
        <v>-2.4</v>
      </c>
      <c r="W4998">
        <v>85</v>
      </c>
      <c r="X4998" t="s">
        <v>94</v>
      </c>
      <c r="Y4998" t="s">
        <v>95</v>
      </c>
      <c r="Z4998" t="s">
        <v>96</v>
      </c>
      <c r="AA4998" t="s">
        <v>485</v>
      </c>
      <c r="AB4998" t="s">
        <v>5227</v>
      </c>
      <c r="AC4998">
        <v>924</v>
      </c>
      <c r="AD4998">
        <v>361</v>
      </c>
      <c r="AE4998">
        <v>99</v>
      </c>
      <c r="AF4998">
        <v>220.23</v>
      </c>
      <c r="AG4998">
        <v>5.36</v>
      </c>
      <c r="AH4998">
        <v>5.0199999999999996</v>
      </c>
      <c r="AI4998">
        <v>-0.05</v>
      </c>
      <c r="AJ4998">
        <v>-0.04</v>
      </c>
      <c r="AK4998">
        <v>95</v>
      </c>
      <c r="AL4998">
        <v>847</v>
      </c>
      <c r="AM4998">
        <v>342</v>
      </c>
      <c r="AN4998">
        <v>13.29</v>
      </c>
      <c r="AO4998">
        <v>-9.0399999999999991</v>
      </c>
      <c r="AP4998">
        <v>316</v>
      </c>
      <c r="AQ4998">
        <v>0</v>
      </c>
      <c r="AR4998">
        <v>12.36</v>
      </c>
      <c r="AS4998">
        <v>91</v>
      </c>
      <c r="AT4998">
        <v>5.48</v>
      </c>
      <c r="AU4998">
        <v>97</v>
      </c>
      <c r="AV4998">
        <v>-0.9</v>
      </c>
      <c r="AW4998">
        <v>98</v>
      </c>
      <c r="AX4998">
        <v>0.23</v>
      </c>
      <c r="AY4998">
        <v>96</v>
      </c>
      <c r="AZ4998">
        <v>6.86</v>
      </c>
      <c r="BA4998">
        <v>90</v>
      </c>
      <c r="BB4998">
        <v>4.8099999999999996</v>
      </c>
      <c r="BC4998">
        <v>91</v>
      </c>
      <c r="BD4998">
        <v>0.1</v>
      </c>
      <c r="BE4998">
        <v>0.11</v>
      </c>
      <c r="BF4998">
        <v>0.15</v>
      </c>
      <c r="BG4998">
        <v>98</v>
      </c>
      <c r="BH4998">
        <v>-0.05</v>
      </c>
      <c r="BI4998">
        <v>1.97</v>
      </c>
      <c r="BJ4998">
        <v>86</v>
      </c>
      <c r="BK4998">
        <v>38</v>
      </c>
      <c r="BL4998">
        <v>0.57999999999999996</v>
      </c>
      <c r="BM4998">
        <v>-0.84</v>
      </c>
      <c r="BN4998">
        <v>0.67</v>
      </c>
      <c r="BO4998">
        <v>1.26</v>
      </c>
      <c r="BP4998">
        <v>-0.06</v>
      </c>
      <c r="BQ4998">
        <v>-0.03</v>
      </c>
      <c r="BR4998">
        <v>1.3</v>
      </c>
      <c r="BS4998">
        <v>-1.26</v>
      </c>
      <c r="BT4998">
        <v>-0.69</v>
      </c>
      <c r="BU4998">
        <v>0.33</v>
      </c>
      <c r="BV4998">
        <v>0.45</v>
      </c>
      <c r="BW4998">
        <v>-0.46</v>
      </c>
      <c r="BX4998">
        <v>-1.43</v>
      </c>
      <c r="BY4998">
        <v>0.52</v>
      </c>
      <c r="BZ4998">
        <v>-2.02</v>
      </c>
      <c r="CA4998">
        <v>0.4</v>
      </c>
      <c r="CB4998">
        <v>0.65</v>
      </c>
      <c r="CC4998">
        <v>-0.17</v>
      </c>
      <c r="CD4998">
        <v>-1.22</v>
      </c>
      <c r="CE4998">
        <v>1.55</v>
      </c>
      <c r="CF4998">
        <v>0.35</v>
      </c>
      <c r="CG4998">
        <v>0</v>
      </c>
      <c r="CH4998">
        <v>0.64</v>
      </c>
      <c r="CI4998">
        <v>0</v>
      </c>
      <c r="CJ4998">
        <v>-1.3</v>
      </c>
      <c r="CK4998">
        <v>98</v>
      </c>
      <c r="CL4998">
        <v>-0.81</v>
      </c>
      <c r="CM4998">
        <v>98</v>
      </c>
      <c r="CN4998">
        <v>-0.26</v>
      </c>
      <c r="CO4998">
        <v>98</v>
      </c>
      <c r="CP4998">
        <v>-6.7</v>
      </c>
      <c r="CQ4998">
        <v>99</v>
      </c>
      <c r="CR4998">
        <v>0</v>
      </c>
      <c r="CS4998">
        <v>0</v>
      </c>
      <c r="CT4998">
        <v>-3.7</v>
      </c>
      <c r="CU4998">
        <v>95</v>
      </c>
      <c r="CV4998">
        <v>0.18</v>
      </c>
      <c r="CW4998">
        <v>47</v>
      </c>
      <c r="CX4998" t="s">
        <v>111</v>
      </c>
    </row>
    <row r="4999" spans="1:102" x14ac:dyDescent="0.3">
      <c r="A4999" t="str">
        <f>HYPERLINK("https://webapp.icbf.com/v2/app/bull-search/view/77856376","JWL")</f>
        <v>JWL</v>
      </c>
      <c r="B4999" t="s">
        <v>11315</v>
      </c>
      <c r="C4999" t="s">
        <v>11316</v>
      </c>
      <c r="D4999" s="1">
        <v>34581</v>
      </c>
      <c r="E4999" t="s">
        <v>92</v>
      </c>
      <c r="F4999">
        <v>100</v>
      </c>
      <c r="G4999" t="s">
        <v>93</v>
      </c>
      <c r="H4999">
        <v>-322.87</v>
      </c>
      <c r="I4999">
        <v>91</v>
      </c>
      <c r="J4999">
        <v>-14.68</v>
      </c>
      <c r="K4999">
        <v>98</v>
      </c>
      <c r="L4999">
        <v>-184.11</v>
      </c>
      <c r="M4999">
        <v>91</v>
      </c>
      <c r="N4999">
        <v>-106.34</v>
      </c>
      <c r="O4999">
        <v>83</v>
      </c>
      <c r="P4999">
        <v>2.54</v>
      </c>
      <c r="Q4999">
        <v>91</v>
      </c>
      <c r="R4999">
        <v>-12.39</v>
      </c>
      <c r="S4999">
        <v>84</v>
      </c>
      <c r="T4999">
        <v>0.57999999999999996</v>
      </c>
      <c r="U4999">
        <v>82</v>
      </c>
      <c r="V4999">
        <v>-8.4700000000000006</v>
      </c>
      <c r="W4999">
        <v>73</v>
      </c>
      <c r="X4999" t="s">
        <v>251</v>
      </c>
      <c r="Y4999" t="s">
        <v>95</v>
      </c>
      <c r="Z4999" t="s">
        <v>96</v>
      </c>
      <c r="AA4999" t="s">
        <v>678</v>
      </c>
      <c r="AB4999" t="s">
        <v>11317</v>
      </c>
      <c r="AC4999">
        <v>138</v>
      </c>
      <c r="AD4999">
        <v>76</v>
      </c>
      <c r="AE4999">
        <v>98</v>
      </c>
      <c r="AF4999">
        <v>203.92</v>
      </c>
      <c r="AG4999">
        <v>-7</v>
      </c>
      <c r="AH4999">
        <v>3.1</v>
      </c>
      <c r="AI4999">
        <v>-0.25</v>
      </c>
      <c r="AJ4999">
        <v>-0.06</v>
      </c>
      <c r="AK4999">
        <v>91</v>
      </c>
      <c r="AL4999">
        <v>120</v>
      </c>
      <c r="AM4999">
        <v>62</v>
      </c>
      <c r="AN4999">
        <v>8.68</v>
      </c>
      <c r="AO4999">
        <v>-6.02</v>
      </c>
      <c r="AP4999">
        <v>39</v>
      </c>
      <c r="AQ4999">
        <v>0</v>
      </c>
      <c r="AR4999">
        <v>17.86</v>
      </c>
      <c r="AS4999">
        <v>75</v>
      </c>
      <c r="AT4999">
        <v>7.53</v>
      </c>
      <c r="AU4999">
        <v>90</v>
      </c>
      <c r="AV4999">
        <v>0.9</v>
      </c>
      <c r="AW4999">
        <v>85</v>
      </c>
      <c r="AX4999">
        <v>0.28999999999999998</v>
      </c>
      <c r="AY4999">
        <v>84</v>
      </c>
      <c r="AZ4999">
        <v>6.11</v>
      </c>
      <c r="BA4999">
        <v>73</v>
      </c>
      <c r="BB4999">
        <v>4.32</v>
      </c>
      <c r="BC4999">
        <v>72</v>
      </c>
      <c r="BD4999">
        <v>0.06</v>
      </c>
      <c r="BE4999">
        <v>0.05</v>
      </c>
      <c r="BF4999">
        <v>0.09</v>
      </c>
      <c r="BG4999">
        <v>94</v>
      </c>
      <c r="BH4999">
        <v>-0.18</v>
      </c>
      <c r="BI4999">
        <v>6.49</v>
      </c>
      <c r="BJ4999">
        <v>45</v>
      </c>
      <c r="BK4999">
        <v>24</v>
      </c>
      <c r="BL4999">
        <v>0.87</v>
      </c>
      <c r="BM4999">
        <v>-0.37</v>
      </c>
      <c r="BN4999">
        <v>0.19</v>
      </c>
      <c r="BO4999">
        <v>0.54</v>
      </c>
      <c r="BP4999">
        <v>-1.25</v>
      </c>
      <c r="BQ4999">
        <v>0.56999999999999995</v>
      </c>
      <c r="BR4999">
        <v>-2.41</v>
      </c>
      <c r="BS4999">
        <v>0.74</v>
      </c>
      <c r="BT4999">
        <v>1.71</v>
      </c>
      <c r="BU4999">
        <v>0.9</v>
      </c>
      <c r="BV4999">
        <v>-0.05</v>
      </c>
      <c r="BW4999">
        <v>1.1200000000000001</v>
      </c>
      <c r="BX4999">
        <v>0.82</v>
      </c>
      <c r="BY4999">
        <v>1.18</v>
      </c>
      <c r="BZ4999">
        <v>1.8</v>
      </c>
      <c r="CA4999">
        <v>1.38</v>
      </c>
      <c r="CB4999">
        <v>1.02</v>
      </c>
      <c r="CC4999">
        <v>1.58</v>
      </c>
      <c r="CD4999">
        <v>-0.83</v>
      </c>
      <c r="CE4999">
        <v>0.91</v>
      </c>
      <c r="CF4999">
        <v>0.67</v>
      </c>
      <c r="CG4999">
        <v>0</v>
      </c>
      <c r="CH4999">
        <v>1.43</v>
      </c>
      <c r="CI4999">
        <v>0</v>
      </c>
      <c r="CJ4999">
        <v>3.3</v>
      </c>
      <c r="CK4999">
        <v>92</v>
      </c>
      <c r="CL4999">
        <v>-0.69</v>
      </c>
      <c r="CM4999">
        <v>91</v>
      </c>
      <c r="CN4999">
        <v>-0.38</v>
      </c>
      <c r="CO4999">
        <v>89</v>
      </c>
      <c r="CP4999">
        <v>4.4000000000000004</v>
      </c>
      <c r="CQ4999">
        <v>93</v>
      </c>
      <c r="CR4999">
        <v>0</v>
      </c>
      <c r="CS4999">
        <v>0</v>
      </c>
      <c r="CT4999">
        <v>13</v>
      </c>
      <c r="CU4999">
        <v>82</v>
      </c>
      <c r="CV4999">
        <v>0.24</v>
      </c>
      <c r="CW4999">
        <v>44</v>
      </c>
      <c r="CX4999" t="s">
        <v>485</v>
      </c>
    </row>
    <row r="5000" spans="1:102" x14ac:dyDescent="0.3">
      <c r="A5000" t="str">
        <f>HYPERLINK("https://webapp.icbf.com/v2/app/bull-search/view/138750010","MKI")</f>
        <v>MKI</v>
      </c>
      <c r="B5000" t="s">
        <v>11605</v>
      </c>
      <c r="C5000" t="s">
        <v>6673</v>
      </c>
      <c r="D5000" s="1">
        <v>36231</v>
      </c>
      <c r="E5000" t="s">
        <v>92</v>
      </c>
      <c r="F5000">
        <v>100</v>
      </c>
      <c r="G5000" t="s">
        <v>93</v>
      </c>
      <c r="H5000">
        <v>-325.77999999999997</v>
      </c>
      <c r="I5000">
        <v>96</v>
      </c>
      <c r="J5000">
        <v>-49.78</v>
      </c>
      <c r="K5000">
        <v>99</v>
      </c>
      <c r="L5000">
        <v>-199</v>
      </c>
      <c r="M5000">
        <v>94</v>
      </c>
      <c r="N5000">
        <v>-60.45</v>
      </c>
      <c r="O5000">
        <v>96</v>
      </c>
      <c r="P5000">
        <v>-6.75</v>
      </c>
      <c r="Q5000">
        <v>98</v>
      </c>
      <c r="R5000">
        <v>-13.64</v>
      </c>
      <c r="S5000">
        <v>92</v>
      </c>
      <c r="T5000">
        <v>-0.38</v>
      </c>
      <c r="U5000">
        <v>96</v>
      </c>
      <c r="V5000">
        <v>4.22</v>
      </c>
      <c r="W5000">
        <v>89</v>
      </c>
      <c r="X5000" t="s">
        <v>251</v>
      </c>
      <c r="Y5000" t="s">
        <v>95</v>
      </c>
      <c r="Z5000" t="s">
        <v>96</v>
      </c>
      <c r="AA5000" t="s">
        <v>768</v>
      </c>
      <c r="AB5000" t="s">
        <v>8724</v>
      </c>
      <c r="AC5000">
        <v>621</v>
      </c>
      <c r="AD5000">
        <v>252</v>
      </c>
      <c r="AE5000">
        <v>99</v>
      </c>
      <c r="AF5000">
        <v>-12.15</v>
      </c>
      <c r="AG5000">
        <v>-5.49</v>
      </c>
      <c r="AH5000">
        <v>-6.71</v>
      </c>
      <c r="AI5000">
        <v>-0.09</v>
      </c>
      <c r="AJ5000">
        <v>-0.11</v>
      </c>
      <c r="AK5000">
        <v>94</v>
      </c>
      <c r="AL5000">
        <v>507</v>
      </c>
      <c r="AM5000">
        <v>232</v>
      </c>
      <c r="AN5000">
        <v>8.5</v>
      </c>
      <c r="AO5000">
        <v>-7.4</v>
      </c>
      <c r="AP5000">
        <v>1050</v>
      </c>
      <c r="AQ5000">
        <v>5</v>
      </c>
      <c r="AR5000">
        <v>13.13</v>
      </c>
      <c r="AS5000">
        <v>93</v>
      </c>
      <c r="AT5000">
        <v>6.08</v>
      </c>
      <c r="AU5000">
        <v>97</v>
      </c>
      <c r="AV5000">
        <v>-0.89</v>
      </c>
      <c r="AW5000">
        <v>99</v>
      </c>
      <c r="AX5000">
        <v>1.1399999999999999</v>
      </c>
      <c r="AY5000">
        <v>96</v>
      </c>
      <c r="AZ5000">
        <v>7.81</v>
      </c>
      <c r="BA5000">
        <v>89</v>
      </c>
      <c r="BB5000">
        <v>6.44</v>
      </c>
      <c r="BC5000">
        <v>88</v>
      </c>
      <c r="BD5000">
        <v>0.13</v>
      </c>
      <c r="BE5000">
        <v>0.03</v>
      </c>
      <c r="BF5000">
        <v>0.04</v>
      </c>
      <c r="BG5000">
        <v>98</v>
      </c>
      <c r="BH5000">
        <v>0.14000000000000001</v>
      </c>
      <c r="BI5000">
        <v>2.59</v>
      </c>
      <c r="BJ5000">
        <v>286</v>
      </c>
      <c r="BK5000">
        <v>133</v>
      </c>
      <c r="BL5000">
        <v>1.69</v>
      </c>
      <c r="BM5000">
        <v>0.71</v>
      </c>
      <c r="BN5000">
        <v>2.65</v>
      </c>
      <c r="BO5000">
        <v>1.56</v>
      </c>
      <c r="BP5000">
        <v>-1.53</v>
      </c>
      <c r="BQ5000">
        <v>3.05</v>
      </c>
      <c r="BR5000">
        <v>3.07</v>
      </c>
      <c r="BS5000">
        <v>-2.8</v>
      </c>
      <c r="BT5000">
        <v>-2.4500000000000002</v>
      </c>
      <c r="BU5000">
        <v>2.23</v>
      </c>
      <c r="BV5000">
        <v>1.85</v>
      </c>
      <c r="BW5000">
        <v>2.2400000000000002</v>
      </c>
      <c r="BX5000">
        <v>1.01</v>
      </c>
      <c r="BY5000">
        <v>0.72</v>
      </c>
      <c r="BZ5000">
        <v>-0.46</v>
      </c>
      <c r="CA5000">
        <v>0.65</v>
      </c>
      <c r="CB5000">
        <v>1.77</v>
      </c>
      <c r="CC5000">
        <v>-1.57</v>
      </c>
      <c r="CD5000">
        <v>-0.75</v>
      </c>
      <c r="CE5000">
        <v>1.23</v>
      </c>
      <c r="CF5000">
        <v>2.44</v>
      </c>
      <c r="CG5000">
        <v>0</v>
      </c>
      <c r="CH5000">
        <v>0.66</v>
      </c>
      <c r="CI5000">
        <v>0</v>
      </c>
      <c r="CJ5000">
        <v>-2.2000000000000002</v>
      </c>
      <c r="CK5000">
        <v>98</v>
      </c>
      <c r="CL5000">
        <v>-1.2</v>
      </c>
      <c r="CM5000">
        <v>98</v>
      </c>
      <c r="CN5000">
        <v>-0.71</v>
      </c>
      <c r="CO5000">
        <v>97</v>
      </c>
      <c r="CP5000">
        <v>2.4</v>
      </c>
      <c r="CQ5000">
        <v>98</v>
      </c>
      <c r="CR5000">
        <v>0</v>
      </c>
      <c r="CS5000">
        <v>0</v>
      </c>
      <c r="CT5000">
        <v>14.3</v>
      </c>
      <c r="CU5000">
        <v>96</v>
      </c>
      <c r="CV5000">
        <v>0.25</v>
      </c>
      <c r="CW5000">
        <v>45</v>
      </c>
      <c r="CX5000" t="s">
        <v>111</v>
      </c>
    </row>
    <row r="5001" spans="1:102" x14ac:dyDescent="0.3">
      <c r="A5001" t="str">
        <f>HYPERLINK("https://webapp.icbf.com/v2/app/bull-search/view/474732015","S909")</f>
        <v>S909</v>
      </c>
      <c r="B5001" t="s">
        <v>12874</v>
      </c>
      <c r="C5001" t="s">
        <v>12875</v>
      </c>
      <c r="D5001" s="1">
        <v>37385</v>
      </c>
      <c r="E5001" t="s">
        <v>92</v>
      </c>
      <c r="F5001">
        <v>100</v>
      </c>
      <c r="G5001" t="s">
        <v>109</v>
      </c>
      <c r="H5001">
        <v>-329.02</v>
      </c>
      <c r="I5001">
        <v>79</v>
      </c>
      <c r="J5001">
        <v>-53.26</v>
      </c>
      <c r="K5001">
        <v>93</v>
      </c>
      <c r="L5001">
        <v>-195.44</v>
      </c>
      <c r="M5001">
        <v>85</v>
      </c>
      <c r="N5001">
        <v>-68.75</v>
      </c>
      <c r="O5001">
        <v>59</v>
      </c>
      <c r="P5001">
        <v>-1.76</v>
      </c>
      <c r="Q5001">
        <v>58</v>
      </c>
      <c r="R5001">
        <v>-0.14000000000000001</v>
      </c>
      <c r="S5001">
        <v>76</v>
      </c>
      <c r="T5001">
        <v>-8</v>
      </c>
      <c r="U5001">
        <v>55</v>
      </c>
      <c r="V5001">
        <v>-1.67</v>
      </c>
      <c r="W5001">
        <v>61</v>
      </c>
      <c r="X5001" t="s">
        <v>747</v>
      </c>
      <c r="Y5001" t="s">
        <v>303</v>
      </c>
      <c r="Z5001" t="s">
        <v>96</v>
      </c>
      <c r="AA5001" t="s">
        <v>7361</v>
      </c>
      <c r="AB5001" t="s">
        <v>1069</v>
      </c>
      <c r="AC5001">
        <v>0</v>
      </c>
      <c r="AD5001">
        <v>0</v>
      </c>
      <c r="AE5001">
        <v>93</v>
      </c>
      <c r="AF5001">
        <v>-11.69</v>
      </c>
      <c r="AG5001">
        <v>-7</v>
      </c>
      <c r="AH5001">
        <v>-6.76</v>
      </c>
      <c r="AI5001">
        <v>-0.11</v>
      </c>
      <c r="AJ5001">
        <v>-0.11</v>
      </c>
      <c r="AK5001">
        <v>85</v>
      </c>
      <c r="AL5001">
        <v>0</v>
      </c>
      <c r="AM5001">
        <v>0</v>
      </c>
      <c r="AN5001">
        <v>10.38</v>
      </c>
      <c r="AO5001">
        <v>-5.21</v>
      </c>
      <c r="AP5001">
        <v>1</v>
      </c>
      <c r="AQ5001">
        <v>0</v>
      </c>
      <c r="AR5001">
        <v>11.75</v>
      </c>
      <c r="AS5001">
        <v>56</v>
      </c>
      <c r="AT5001">
        <v>7</v>
      </c>
      <c r="AU5001">
        <v>90</v>
      </c>
      <c r="AV5001">
        <v>0.78</v>
      </c>
      <c r="AW5001">
        <v>48</v>
      </c>
      <c r="AX5001">
        <v>0.8</v>
      </c>
      <c r="AY5001">
        <v>49</v>
      </c>
      <c r="AZ5001">
        <v>5.57</v>
      </c>
      <c r="BA5001">
        <v>47</v>
      </c>
      <c r="BB5001">
        <v>4.96</v>
      </c>
      <c r="BC5001">
        <v>47</v>
      </c>
      <c r="BD5001">
        <v>0.02</v>
      </c>
      <c r="BE5001">
        <v>0</v>
      </c>
      <c r="BF5001">
        <v>-0.03</v>
      </c>
      <c r="BG5001">
        <v>91</v>
      </c>
      <c r="BH5001">
        <v>-0.02</v>
      </c>
      <c r="BI5001">
        <v>3.06</v>
      </c>
      <c r="BJ5001">
        <v>5</v>
      </c>
      <c r="BK5001">
        <v>4</v>
      </c>
      <c r="BL5001">
        <v>2.75</v>
      </c>
      <c r="BM5001">
        <v>2.0299999999999998</v>
      </c>
      <c r="BN5001">
        <v>3.87</v>
      </c>
      <c r="BO5001">
        <v>1.7</v>
      </c>
      <c r="BP5001">
        <v>2.85</v>
      </c>
      <c r="BQ5001">
        <v>3.92</v>
      </c>
      <c r="BR5001">
        <v>1.86</v>
      </c>
      <c r="BS5001">
        <v>0.61</v>
      </c>
      <c r="BT5001">
        <v>-0.65</v>
      </c>
      <c r="BU5001">
        <v>1.6</v>
      </c>
      <c r="BV5001">
        <v>1.82</v>
      </c>
      <c r="BW5001">
        <v>3.03</v>
      </c>
      <c r="BX5001">
        <v>1.21</v>
      </c>
      <c r="BY5001">
        <v>0.38</v>
      </c>
      <c r="BZ5001">
        <v>1.69</v>
      </c>
      <c r="CA5001">
        <v>1.83</v>
      </c>
      <c r="CB5001">
        <v>1.69</v>
      </c>
      <c r="CC5001">
        <v>1.57</v>
      </c>
      <c r="CD5001">
        <v>-0.7</v>
      </c>
      <c r="CE5001">
        <v>1.1299999999999999</v>
      </c>
      <c r="CF5001">
        <v>3.19</v>
      </c>
      <c r="CG5001">
        <v>0</v>
      </c>
      <c r="CH5001">
        <v>0.78</v>
      </c>
      <c r="CI5001">
        <v>0</v>
      </c>
      <c r="CJ5001">
        <v>1.1000000000000001</v>
      </c>
      <c r="CK5001">
        <v>59</v>
      </c>
      <c r="CL5001">
        <v>-1.26</v>
      </c>
      <c r="CM5001">
        <v>56</v>
      </c>
      <c r="CN5001">
        <v>-0.69</v>
      </c>
      <c r="CO5001">
        <v>54</v>
      </c>
      <c r="CP5001">
        <v>11</v>
      </c>
      <c r="CQ5001">
        <v>58</v>
      </c>
      <c r="CR5001">
        <v>0</v>
      </c>
      <c r="CS5001">
        <v>0</v>
      </c>
      <c r="CT5001">
        <v>24.6</v>
      </c>
      <c r="CU5001">
        <v>55</v>
      </c>
      <c r="CV5001">
        <v>0.25</v>
      </c>
      <c r="CW5001">
        <v>37</v>
      </c>
      <c r="CX5001" t="s">
        <v>1015</v>
      </c>
    </row>
    <row r="5002" spans="1:102" x14ac:dyDescent="0.3">
      <c r="A5002" t="str">
        <f>HYPERLINK("https://webapp.icbf.com/v2/app/bull-search/view/77852779","ZTR")</f>
        <v>ZTR</v>
      </c>
      <c r="B5002" t="s">
        <v>718</v>
      </c>
      <c r="C5002" t="s">
        <v>719</v>
      </c>
      <c r="D5002" s="1">
        <v>34456</v>
      </c>
      <c r="E5002" t="s">
        <v>92</v>
      </c>
      <c r="F5002">
        <v>100</v>
      </c>
      <c r="G5002" t="s">
        <v>109</v>
      </c>
      <c r="H5002">
        <v>-330</v>
      </c>
      <c r="I5002">
        <v>82</v>
      </c>
      <c r="J5002">
        <v>-63.81</v>
      </c>
      <c r="K5002">
        <v>94</v>
      </c>
      <c r="L5002">
        <v>-184.75</v>
      </c>
      <c r="M5002">
        <v>88</v>
      </c>
      <c r="N5002">
        <v>-71.739999999999995</v>
      </c>
      <c r="O5002">
        <v>63</v>
      </c>
      <c r="P5002">
        <v>-2.2400000000000002</v>
      </c>
      <c r="Q5002">
        <v>65</v>
      </c>
      <c r="R5002">
        <v>-12.41</v>
      </c>
      <c r="S5002">
        <v>77</v>
      </c>
      <c r="T5002">
        <v>5.32</v>
      </c>
      <c r="U5002">
        <v>66</v>
      </c>
      <c r="V5002">
        <v>-0.37</v>
      </c>
      <c r="W5002">
        <v>63</v>
      </c>
      <c r="X5002" t="s">
        <v>94</v>
      </c>
      <c r="Y5002" t="s">
        <v>95</v>
      </c>
      <c r="Z5002" t="s">
        <v>96</v>
      </c>
      <c r="AA5002" t="s">
        <v>682</v>
      </c>
      <c r="AB5002" t="s">
        <v>720</v>
      </c>
      <c r="AC5002">
        <v>0</v>
      </c>
      <c r="AD5002">
        <v>0</v>
      </c>
      <c r="AE5002">
        <v>94</v>
      </c>
      <c r="AF5002">
        <v>107.23</v>
      </c>
      <c r="AG5002">
        <v>-8.34</v>
      </c>
      <c r="AH5002">
        <v>-6.26</v>
      </c>
      <c r="AI5002">
        <v>-0.21</v>
      </c>
      <c r="AJ5002">
        <v>-0.17</v>
      </c>
      <c r="AK5002">
        <v>88</v>
      </c>
      <c r="AL5002">
        <v>0</v>
      </c>
      <c r="AM5002">
        <v>0</v>
      </c>
      <c r="AN5002">
        <v>10.38</v>
      </c>
      <c r="AO5002">
        <v>-4.3499999999999996</v>
      </c>
      <c r="AP5002">
        <v>5</v>
      </c>
      <c r="AQ5002">
        <v>0</v>
      </c>
      <c r="AR5002">
        <v>13.12</v>
      </c>
      <c r="AS5002">
        <v>58</v>
      </c>
      <c r="AT5002">
        <v>7.1</v>
      </c>
      <c r="AU5002">
        <v>90</v>
      </c>
      <c r="AV5002">
        <v>0.22</v>
      </c>
      <c r="AW5002">
        <v>54</v>
      </c>
      <c r="AX5002">
        <v>-0.65</v>
      </c>
      <c r="AY5002">
        <v>58</v>
      </c>
      <c r="AZ5002">
        <v>7.51</v>
      </c>
      <c r="BA5002">
        <v>49</v>
      </c>
      <c r="BB5002">
        <v>5.01</v>
      </c>
      <c r="BC5002">
        <v>52</v>
      </c>
      <c r="BD5002">
        <v>0.05</v>
      </c>
      <c r="BE5002">
        <v>0.08</v>
      </c>
      <c r="BF5002">
        <v>0.05</v>
      </c>
      <c r="BG5002">
        <v>93</v>
      </c>
      <c r="BH5002">
        <v>0.18</v>
      </c>
      <c r="BI5002">
        <v>22.03</v>
      </c>
      <c r="BJ5002">
        <v>1</v>
      </c>
      <c r="BK5002">
        <v>1</v>
      </c>
      <c r="BL5002">
        <v>0.99</v>
      </c>
      <c r="BM5002">
        <v>0.76</v>
      </c>
      <c r="BN5002">
        <v>1.88</v>
      </c>
      <c r="BO5002">
        <v>1</v>
      </c>
      <c r="BP5002">
        <v>0.03</v>
      </c>
      <c r="BQ5002">
        <v>0.61</v>
      </c>
      <c r="BR5002">
        <v>-1.52</v>
      </c>
      <c r="BS5002">
        <v>2.91</v>
      </c>
      <c r="BT5002">
        <v>2.06</v>
      </c>
      <c r="BU5002">
        <v>1.0900000000000001</v>
      </c>
      <c r="BV5002">
        <v>0.84</v>
      </c>
      <c r="BW5002">
        <v>-0.53</v>
      </c>
      <c r="BX5002">
        <v>0.35</v>
      </c>
      <c r="BY5002">
        <v>0.44</v>
      </c>
      <c r="BZ5002">
        <v>1.56</v>
      </c>
      <c r="CA5002">
        <v>1.38</v>
      </c>
      <c r="CB5002">
        <v>0.67</v>
      </c>
      <c r="CC5002">
        <v>2.02</v>
      </c>
      <c r="CD5002">
        <v>-0.2</v>
      </c>
      <c r="CE5002">
        <v>0.03</v>
      </c>
      <c r="CF5002">
        <v>0.92</v>
      </c>
      <c r="CG5002">
        <v>0</v>
      </c>
      <c r="CH5002">
        <v>0.46</v>
      </c>
      <c r="CI5002">
        <v>0</v>
      </c>
      <c r="CJ5002">
        <v>-1</v>
      </c>
      <c r="CK5002">
        <v>66</v>
      </c>
      <c r="CL5002">
        <v>-0.52</v>
      </c>
      <c r="CM5002">
        <v>63</v>
      </c>
      <c r="CN5002">
        <v>-0.46</v>
      </c>
      <c r="CO5002">
        <v>61</v>
      </c>
      <c r="CP5002">
        <v>-5.9</v>
      </c>
      <c r="CQ5002">
        <v>68</v>
      </c>
      <c r="CR5002">
        <v>0</v>
      </c>
      <c r="CS5002">
        <v>0</v>
      </c>
      <c r="CT5002">
        <v>6.6</v>
      </c>
      <c r="CU5002">
        <v>66</v>
      </c>
      <c r="CV5002">
        <v>-0.06</v>
      </c>
      <c r="CW5002">
        <v>38</v>
      </c>
      <c r="CX5002" t="s">
        <v>132</v>
      </c>
    </row>
    <row r="5003" spans="1:102" x14ac:dyDescent="0.3">
      <c r="A5003" t="str">
        <f>HYPERLINK("https://webapp.icbf.com/v2/app/bull-search/view/77857690","ERD")</f>
        <v>ERD</v>
      </c>
      <c r="B5003" t="s">
        <v>3465</v>
      </c>
      <c r="C5003" t="s">
        <v>3466</v>
      </c>
      <c r="D5003" s="1">
        <v>31736</v>
      </c>
      <c r="E5003" t="s">
        <v>92</v>
      </c>
      <c r="F5003">
        <v>100</v>
      </c>
      <c r="G5003" t="s">
        <v>109</v>
      </c>
      <c r="H5003">
        <v>-331.79</v>
      </c>
      <c r="I5003">
        <v>83</v>
      </c>
      <c r="J5003">
        <v>-49.56</v>
      </c>
      <c r="K5003">
        <v>94</v>
      </c>
      <c r="L5003">
        <v>-236</v>
      </c>
      <c r="M5003">
        <v>89</v>
      </c>
      <c r="N5003">
        <v>-46.24</v>
      </c>
      <c r="O5003">
        <v>66</v>
      </c>
      <c r="P5003">
        <v>-8.09</v>
      </c>
      <c r="Q5003">
        <v>63</v>
      </c>
      <c r="R5003">
        <v>-4.4800000000000004</v>
      </c>
      <c r="S5003">
        <v>79</v>
      </c>
      <c r="T5003">
        <v>9.68</v>
      </c>
      <c r="U5003">
        <v>60</v>
      </c>
      <c r="V5003">
        <v>2.9</v>
      </c>
      <c r="W5003">
        <v>64</v>
      </c>
      <c r="X5003" t="s">
        <v>110</v>
      </c>
      <c r="Y5003" t="s">
        <v>95</v>
      </c>
      <c r="Z5003" t="s">
        <v>96</v>
      </c>
      <c r="AA5003" t="s">
        <v>168</v>
      </c>
      <c r="AB5003" t="s">
        <v>3467</v>
      </c>
      <c r="AC5003">
        <v>0</v>
      </c>
      <c r="AD5003">
        <v>0</v>
      </c>
      <c r="AE5003">
        <v>94</v>
      </c>
      <c r="AF5003">
        <v>250.66</v>
      </c>
      <c r="AG5003">
        <v>-1.9</v>
      </c>
      <c r="AH5003">
        <v>-3.92</v>
      </c>
      <c r="AI5003">
        <v>-0.2</v>
      </c>
      <c r="AJ5003">
        <v>-0.21</v>
      </c>
      <c r="AK5003">
        <v>89</v>
      </c>
      <c r="AL5003">
        <v>0</v>
      </c>
      <c r="AM5003">
        <v>0</v>
      </c>
      <c r="AN5003">
        <v>13.68</v>
      </c>
      <c r="AO5003">
        <v>-5.13</v>
      </c>
      <c r="AP5003">
        <v>2</v>
      </c>
      <c r="AQ5003">
        <v>0</v>
      </c>
      <c r="AR5003">
        <v>10.41</v>
      </c>
      <c r="AS5003">
        <v>55</v>
      </c>
      <c r="AT5003">
        <v>5.35</v>
      </c>
      <c r="AU5003">
        <v>96</v>
      </c>
      <c r="AV5003">
        <v>0.33</v>
      </c>
      <c r="AW5003">
        <v>57</v>
      </c>
      <c r="AX5003">
        <v>-0.26</v>
      </c>
      <c r="AY5003">
        <v>59</v>
      </c>
      <c r="AZ5003">
        <v>8.81</v>
      </c>
      <c r="BA5003">
        <v>49</v>
      </c>
      <c r="BB5003">
        <v>6.31</v>
      </c>
      <c r="BC5003">
        <v>55</v>
      </c>
      <c r="BD5003">
        <v>0.06</v>
      </c>
      <c r="BE5003">
        <v>7.0000000000000007E-2</v>
      </c>
      <c r="BF5003">
        <v>-0.13</v>
      </c>
      <c r="BG5003">
        <v>94</v>
      </c>
      <c r="BH5003">
        <v>0.05</v>
      </c>
      <c r="BI5003">
        <v>-3.56</v>
      </c>
      <c r="BJ5003">
        <v>4</v>
      </c>
      <c r="BK5003">
        <v>3</v>
      </c>
      <c r="BL5003">
        <v>0.28999999999999998</v>
      </c>
      <c r="BM5003">
        <v>-0.87</v>
      </c>
      <c r="BN5003">
        <v>0.91</v>
      </c>
      <c r="BO5003">
        <v>1.1100000000000001</v>
      </c>
      <c r="BP5003">
        <v>1.1100000000000001</v>
      </c>
      <c r="BQ5003">
        <v>-0.5</v>
      </c>
      <c r="BR5003">
        <v>-0.44</v>
      </c>
      <c r="BS5003">
        <v>-0.96</v>
      </c>
      <c r="BT5003">
        <v>2.06</v>
      </c>
      <c r="BU5003">
        <v>-0.41</v>
      </c>
      <c r="BV5003">
        <v>0.02</v>
      </c>
      <c r="BW5003">
        <v>-0.18</v>
      </c>
      <c r="BX5003">
        <v>-1.35</v>
      </c>
      <c r="BY5003">
        <v>0.3</v>
      </c>
      <c r="BZ5003">
        <v>0.56999999999999995</v>
      </c>
      <c r="CA5003">
        <v>-0.26</v>
      </c>
      <c r="CB5003">
        <v>-0.06</v>
      </c>
      <c r="CC5003">
        <v>-0.3</v>
      </c>
      <c r="CD5003">
        <v>-1.53</v>
      </c>
      <c r="CE5003">
        <v>1.51</v>
      </c>
      <c r="CF5003">
        <v>1.27</v>
      </c>
      <c r="CG5003">
        <v>0</v>
      </c>
      <c r="CH5003">
        <v>-0.04</v>
      </c>
      <c r="CI5003">
        <v>0</v>
      </c>
      <c r="CJ5003">
        <v>-6.9</v>
      </c>
      <c r="CK5003">
        <v>64</v>
      </c>
      <c r="CL5003">
        <v>-0.53</v>
      </c>
      <c r="CM5003">
        <v>62</v>
      </c>
      <c r="CN5003">
        <v>-0.67</v>
      </c>
      <c r="CO5003">
        <v>58</v>
      </c>
      <c r="CP5003">
        <v>-6.3</v>
      </c>
      <c r="CQ5003">
        <v>68</v>
      </c>
      <c r="CR5003">
        <v>0</v>
      </c>
      <c r="CS5003">
        <v>0</v>
      </c>
      <c r="CT5003">
        <v>0.7</v>
      </c>
      <c r="CU5003">
        <v>60</v>
      </c>
      <c r="CV5003">
        <v>-0.05</v>
      </c>
      <c r="CW5003">
        <v>38</v>
      </c>
      <c r="CX5003" t="s">
        <v>120</v>
      </c>
    </row>
    <row r="5004" spans="1:102" x14ac:dyDescent="0.3">
      <c r="A5004" t="str">
        <f>HYPERLINK("https://webapp.icbf.com/v2/app/bull-search/view/147064536","SSW")</f>
        <v>SSW</v>
      </c>
      <c r="B5004" t="s">
        <v>15409</v>
      </c>
      <c r="C5004" t="s">
        <v>15410</v>
      </c>
      <c r="D5004" s="1">
        <v>35911</v>
      </c>
      <c r="E5004" t="s">
        <v>92</v>
      </c>
      <c r="F5004">
        <v>100</v>
      </c>
      <c r="G5004" t="s">
        <v>93</v>
      </c>
      <c r="H5004">
        <v>-337.53</v>
      </c>
      <c r="I5004">
        <v>95</v>
      </c>
      <c r="J5004">
        <v>21.15</v>
      </c>
      <c r="K5004">
        <v>99</v>
      </c>
      <c r="L5004">
        <v>-327.55</v>
      </c>
      <c r="M5004">
        <v>93</v>
      </c>
      <c r="N5004">
        <v>-1.56</v>
      </c>
      <c r="O5004">
        <v>95</v>
      </c>
      <c r="P5004">
        <v>-7.69</v>
      </c>
      <c r="Q5004">
        <v>99</v>
      </c>
      <c r="R5004">
        <v>-18.41</v>
      </c>
      <c r="S5004">
        <v>90</v>
      </c>
      <c r="T5004">
        <v>-5.34</v>
      </c>
      <c r="U5004">
        <v>93</v>
      </c>
      <c r="V5004">
        <v>1.87</v>
      </c>
      <c r="W5004">
        <v>88</v>
      </c>
      <c r="X5004" t="s">
        <v>251</v>
      </c>
      <c r="Y5004" t="s">
        <v>95</v>
      </c>
      <c r="Z5004" t="s">
        <v>96</v>
      </c>
      <c r="AA5004" t="s">
        <v>1325</v>
      </c>
      <c r="AB5004" t="s">
        <v>15411</v>
      </c>
      <c r="AC5004">
        <v>576</v>
      </c>
      <c r="AD5004">
        <v>177</v>
      </c>
      <c r="AE5004">
        <v>99</v>
      </c>
      <c r="AF5004">
        <v>519.69000000000005</v>
      </c>
      <c r="AG5004">
        <v>8.85</v>
      </c>
      <c r="AH5004">
        <v>8.42</v>
      </c>
      <c r="AI5004">
        <v>-0.18</v>
      </c>
      <c r="AJ5004">
        <v>-0.15</v>
      </c>
      <c r="AK5004">
        <v>93</v>
      </c>
      <c r="AL5004">
        <v>483</v>
      </c>
      <c r="AM5004">
        <v>164</v>
      </c>
      <c r="AN5004">
        <v>17.239999999999998</v>
      </c>
      <c r="AO5004">
        <v>-8.89</v>
      </c>
      <c r="AP5004">
        <v>1094</v>
      </c>
      <c r="AQ5004">
        <v>1</v>
      </c>
      <c r="AR5004">
        <v>9.8800000000000008</v>
      </c>
      <c r="AS5004">
        <v>92</v>
      </c>
      <c r="AT5004">
        <v>4.45</v>
      </c>
      <c r="AU5004">
        <v>96</v>
      </c>
      <c r="AV5004">
        <v>-2.61</v>
      </c>
      <c r="AW5004">
        <v>99</v>
      </c>
      <c r="AX5004">
        <v>1.32</v>
      </c>
      <c r="AY5004">
        <v>95</v>
      </c>
      <c r="AZ5004">
        <v>5.8</v>
      </c>
      <c r="BA5004">
        <v>87</v>
      </c>
      <c r="BB5004">
        <v>4.91</v>
      </c>
      <c r="BC5004">
        <v>85</v>
      </c>
      <c r="BD5004">
        <v>0.11</v>
      </c>
      <c r="BE5004">
        <v>0.1</v>
      </c>
      <c r="BF5004">
        <v>0.05</v>
      </c>
      <c r="BG5004">
        <v>97</v>
      </c>
      <c r="BH5004">
        <v>-0.02</v>
      </c>
      <c r="BI5004">
        <v>-8.36</v>
      </c>
      <c r="BJ5004">
        <v>157</v>
      </c>
      <c r="BK5004">
        <v>61</v>
      </c>
      <c r="BL5004">
        <v>1.85</v>
      </c>
      <c r="BM5004">
        <v>0.16</v>
      </c>
      <c r="BN5004">
        <v>2.93</v>
      </c>
      <c r="BO5004">
        <v>2.33</v>
      </c>
      <c r="BP5004">
        <v>0.34</v>
      </c>
      <c r="BQ5004">
        <v>1.56</v>
      </c>
      <c r="BR5004">
        <v>1.79</v>
      </c>
      <c r="BS5004">
        <v>0.57999999999999996</v>
      </c>
      <c r="BT5004">
        <v>-1.2</v>
      </c>
      <c r="BU5004">
        <v>0.62</v>
      </c>
      <c r="BV5004">
        <v>0.36</v>
      </c>
      <c r="BW5004">
        <v>2.1</v>
      </c>
      <c r="BX5004">
        <v>0.18</v>
      </c>
      <c r="BY5004">
        <v>2.06</v>
      </c>
      <c r="BZ5004">
        <v>0.25</v>
      </c>
      <c r="CA5004">
        <v>0.81</v>
      </c>
      <c r="CB5004">
        <v>1</v>
      </c>
      <c r="CC5004">
        <v>0.52</v>
      </c>
      <c r="CD5004">
        <v>-1.8</v>
      </c>
      <c r="CE5004">
        <v>2.12</v>
      </c>
      <c r="CF5004">
        <v>2.35</v>
      </c>
      <c r="CG5004">
        <v>0</v>
      </c>
      <c r="CH5004">
        <v>2.12</v>
      </c>
      <c r="CI5004">
        <v>0</v>
      </c>
      <c r="CJ5004">
        <v>-0.5</v>
      </c>
      <c r="CK5004">
        <v>99</v>
      </c>
      <c r="CL5004">
        <v>-1.19</v>
      </c>
      <c r="CM5004">
        <v>98</v>
      </c>
      <c r="CN5004">
        <v>-0.36</v>
      </c>
      <c r="CO5004">
        <v>98</v>
      </c>
      <c r="CP5004">
        <v>7.1</v>
      </c>
      <c r="CQ5004">
        <v>98</v>
      </c>
      <c r="CR5004">
        <v>0</v>
      </c>
      <c r="CS5004">
        <v>0</v>
      </c>
      <c r="CT5004">
        <v>21</v>
      </c>
      <c r="CU5004">
        <v>93</v>
      </c>
      <c r="CV5004">
        <v>0.25</v>
      </c>
      <c r="CW5004">
        <v>46</v>
      </c>
      <c r="CX5004" t="s">
        <v>15412</v>
      </c>
    </row>
    <row r="5005" spans="1:102" x14ac:dyDescent="0.3">
      <c r="A5005" t="str">
        <f>HYPERLINK("https://webapp.icbf.com/v2/app/bull-search/view/108368020","CYZ")</f>
        <v>CYZ</v>
      </c>
      <c r="B5005" t="s">
        <v>11133</v>
      </c>
      <c r="C5005" t="s">
        <v>11134</v>
      </c>
      <c r="D5005" s="1">
        <v>36358</v>
      </c>
      <c r="E5005" t="s">
        <v>92</v>
      </c>
      <c r="F5005">
        <v>100</v>
      </c>
      <c r="G5005" t="s">
        <v>93</v>
      </c>
      <c r="H5005">
        <v>-339.08</v>
      </c>
      <c r="I5005">
        <v>90</v>
      </c>
      <c r="J5005">
        <v>-6.71</v>
      </c>
      <c r="K5005">
        <v>98</v>
      </c>
      <c r="L5005">
        <v>-296.64999999999998</v>
      </c>
      <c r="M5005">
        <v>84</v>
      </c>
      <c r="N5005">
        <v>-20.65</v>
      </c>
      <c r="O5005">
        <v>90</v>
      </c>
      <c r="P5005">
        <v>-17.14</v>
      </c>
      <c r="Q5005">
        <v>94</v>
      </c>
      <c r="R5005">
        <v>2.12</v>
      </c>
      <c r="S5005">
        <v>84</v>
      </c>
      <c r="T5005">
        <v>0.8</v>
      </c>
      <c r="U5005">
        <v>92</v>
      </c>
      <c r="V5005">
        <v>-0.85</v>
      </c>
      <c r="W5005">
        <v>76</v>
      </c>
      <c r="X5005" t="s">
        <v>276</v>
      </c>
      <c r="Y5005" t="s">
        <v>95</v>
      </c>
      <c r="Z5005" t="s">
        <v>96</v>
      </c>
      <c r="AA5005" t="s">
        <v>1325</v>
      </c>
      <c r="AB5005" t="s">
        <v>11135</v>
      </c>
      <c r="AC5005">
        <v>188</v>
      </c>
      <c r="AD5005">
        <v>111</v>
      </c>
      <c r="AE5005">
        <v>98</v>
      </c>
      <c r="AF5005">
        <v>422.19</v>
      </c>
      <c r="AG5005">
        <v>3.65</v>
      </c>
      <c r="AH5005">
        <v>4.03</v>
      </c>
      <c r="AI5005">
        <v>-0.21</v>
      </c>
      <c r="AJ5005">
        <v>-0.17</v>
      </c>
      <c r="AK5005">
        <v>84</v>
      </c>
      <c r="AL5005">
        <v>167</v>
      </c>
      <c r="AM5005">
        <v>103</v>
      </c>
      <c r="AN5005">
        <v>16.739999999999998</v>
      </c>
      <c r="AO5005">
        <v>-6.91</v>
      </c>
      <c r="AP5005">
        <v>359</v>
      </c>
      <c r="AQ5005">
        <v>1</v>
      </c>
      <c r="AR5005">
        <v>9.31</v>
      </c>
      <c r="AS5005">
        <v>83</v>
      </c>
      <c r="AT5005">
        <v>4.32</v>
      </c>
      <c r="AU5005">
        <v>93</v>
      </c>
      <c r="AV5005">
        <v>-0.27</v>
      </c>
      <c r="AW5005">
        <v>96</v>
      </c>
      <c r="AX5005">
        <v>0.35</v>
      </c>
      <c r="AY5005">
        <v>88</v>
      </c>
      <c r="AZ5005">
        <v>6.24</v>
      </c>
      <c r="BA5005">
        <v>75</v>
      </c>
      <c r="BB5005">
        <v>6</v>
      </c>
      <c r="BC5005">
        <v>75</v>
      </c>
      <c r="BD5005">
        <v>-0.04</v>
      </c>
      <c r="BE5005">
        <v>0.02</v>
      </c>
      <c r="BF5005">
        <v>-0.02</v>
      </c>
      <c r="BG5005">
        <v>94</v>
      </c>
      <c r="BH5005">
        <v>-0.08</v>
      </c>
      <c r="BI5005">
        <v>-6.52</v>
      </c>
      <c r="BJ5005">
        <v>76</v>
      </c>
      <c r="BK5005">
        <v>44</v>
      </c>
      <c r="BL5005">
        <v>0.98</v>
      </c>
      <c r="BM5005">
        <v>-0.13</v>
      </c>
      <c r="BN5005">
        <v>2.1</v>
      </c>
      <c r="BO5005">
        <v>1.67</v>
      </c>
      <c r="BP5005">
        <v>-1.59</v>
      </c>
      <c r="BQ5005">
        <v>0.52</v>
      </c>
      <c r="BR5005">
        <v>-0.38</v>
      </c>
      <c r="BS5005">
        <v>1.93</v>
      </c>
      <c r="BT5005">
        <v>0.46</v>
      </c>
      <c r="BU5005">
        <v>0.71</v>
      </c>
      <c r="BV5005">
        <v>1.63</v>
      </c>
      <c r="BW5005">
        <v>1.2</v>
      </c>
      <c r="BX5005">
        <v>-0.01</v>
      </c>
      <c r="BY5005">
        <v>0.5</v>
      </c>
      <c r="BZ5005">
        <v>-0.95</v>
      </c>
      <c r="CA5005">
        <v>1.37</v>
      </c>
      <c r="CB5005">
        <v>1.24</v>
      </c>
      <c r="CC5005">
        <v>1.19</v>
      </c>
      <c r="CD5005">
        <v>-1.33</v>
      </c>
      <c r="CE5005">
        <v>1.85</v>
      </c>
      <c r="CF5005">
        <v>1.54</v>
      </c>
      <c r="CG5005">
        <v>0</v>
      </c>
      <c r="CH5005">
        <v>0.54</v>
      </c>
      <c r="CI5005">
        <v>0</v>
      </c>
      <c r="CJ5005">
        <v>-7.6</v>
      </c>
      <c r="CK5005">
        <v>95</v>
      </c>
      <c r="CL5005">
        <v>-1.26</v>
      </c>
      <c r="CM5005">
        <v>94</v>
      </c>
      <c r="CN5005">
        <v>-0.56000000000000005</v>
      </c>
      <c r="CO5005">
        <v>93</v>
      </c>
      <c r="CP5005">
        <v>-1.4</v>
      </c>
      <c r="CQ5005">
        <v>94</v>
      </c>
      <c r="CR5005">
        <v>0</v>
      </c>
      <c r="CS5005">
        <v>0</v>
      </c>
      <c r="CT5005">
        <v>12.7</v>
      </c>
      <c r="CU5005">
        <v>92</v>
      </c>
      <c r="CV5005">
        <v>0.14000000000000001</v>
      </c>
      <c r="CW5005">
        <v>45</v>
      </c>
      <c r="CX5005" t="s">
        <v>989</v>
      </c>
    </row>
    <row r="5006" spans="1:102" x14ac:dyDescent="0.3">
      <c r="A5006" t="str">
        <f>HYPERLINK("https://webapp.icbf.com/v2/app/bull-search/view/77854042","RMI")</f>
        <v>RMI</v>
      </c>
      <c r="B5006" t="s">
        <v>4164</v>
      </c>
      <c r="C5006" t="s">
        <v>1015</v>
      </c>
      <c r="D5006" s="1">
        <v>33134</v>
      </c>
      <c r="E5006" t="s">
        <v>92</v>
      </c>
      <c r="F5006">
        <v>100</v>
      </c>
      <c r="G5006" t="s">
        <v>93</v>
      </c>
      <c r="H5006">
        <v>-350.15</v>
      </c>
      <c r="I5006">
        <v>97</v>
      </c>
      <c r="J5006">
        <v>-48.94</v>
      </c>
      <c r="K5006">
        <v>99</v>
      </c>
      <c r="L5006">
        <v>-199.71</v>
      </c>
      <c r="M5006">
        <v>94</v>
      </c>
      <c r="N5006">
        <v>-82.67</v>
      </c>
      <c r="O5006">
        <v>97</v>
      </c>
      <c r="P5006">
        <v>-12.01</v>
      </c>
      <c r="Q5006">
        <v>99</v>
      </c>
      <c r="R5006">
        <v>-9.16</v>
      </c>
      <c r="S5006">
        <v>93</v>
      </c>
      <c r="T5006">
        <v>6.57</v>
      </c>
      <c r="U5006">
        <v>98</v>
      </c>
      <c r="V5006">
        <v>-4.2300000000000004</v>
      </c>
      <c r="W5006">
        <v>91</v>
      </c>
      <c r="X5006" t="s">
        <v>747</v>
      </c>
      <c r="Y5006" t="s">
        <v>95</v>
      </c>
      <c r="Z5006" t="s">
        <v>96</v>
      </c>
      <c r="AA5006" t="s">
        <v>111</v>
      </c>
      <c r="AB5006" t="s">
        <v>4165</v>
      </c>
      <c r="AC5006">
        <v>811</v>
      </c>
      <c r="AD5006">
        <v>304</v>
      </c>
      <c r="AE5006">
        <v>99</v>
      </c>
      <c r="AF5006">
        <v>237.95</v>
      </c>
      <c r="AG5006">
        <v>-3.65</v>
      </c>
      <c r="AH5006">
        <v>-3.39</v>
      </c>
      <c r="AI5006">
        <v>-0.22</v>
      </c>
      <c r="AJ5006">
        <v>-0.19</v>
      </c>
      <c r="AK5006">
        <v>94</v>
      </c>
      <c r="AL5006">
        <v>682</v>
      </c>
      <c r="AM5006">
        <v>251</v>
      </c>
      <c r="AN5006">
        <v>9.84</v>
      </c>
      <c r="AO5006">
        <v>-6.1</v>
      </c>
      <c r="AP5006">
        <v>807</v>
      </c>
      <c r="AQ5006">
        <v>10</v>
      </c>
      <c r="AR5006">
        <v>13.27</v>
      </c>
      <c r="AS5006">
        <v>95</v>
      </c>
      <c r="AT5006">
        <v>7.17</v>
      </c>
      <c r="AU5006">
        <v>98</v>
      </c>
      <c r="AV5006">
        <v>0.88</v>
      </c>
      <c r="AW5006">
        <v>98</v>
      </c>
      <c r="AX5006">
        <v>0.35</v>
      </c>
      <c r="AY5006">
        <v>97</v>
      </c>
      <c r="AZ5006">
        <v>7.21</v>
      </c>
      <c r="BA5006">
        <v>93</v>
      </c>
      <c r="BB5006">
        <v>5.34</v>
      </c>
      <c r="BC5006">
        <v>93</v>
      </c>
      <c r="BD5006">
        <v>7.0000000000000007E-2</v>
      </c>
      <c r="BE5006">
        <v>0.06</v>
      </c>
      <c r="BF5006">
        <v>-0.02</v>
      </c>
      <c r="BG5006">
        <v>98</v>
      </c>
      <c r="BH5006">
        <v>-0.03</v>
      </c>
      <c r="BI5006">
        <v>10.16</v>
      </c>
      <c r="BJ5006">
        <v>408</v>
      </c>
      <c r="BK5006">
        <v>142</v>
      </c>
      <c r="BL5006">
        <v>0.95</v>
      </c>
      <c r="BM5006">
        <v>-0.01</v>
      </c>
      <c r="BN5006">
        <v>1.31</v>
      </c>
      <c r="BO5006">
        <v>1.2</v>
      </c>
      <c r="BP5006">
        <v>0.04</v>
      </c>
      <c r="BQ5006">
        <v>2.13</v>
      </c>
      <c r="BR5006">
        <v>1</v>
      </c>
      <c r="BS5006">
        <v>0.19</v>
      </c>
      <c r="BT5006">
        <v>-1.18</v>
      </c>
      <c r="BU5006">
        <v>1.84</v>
      </c>
      <c r="BV5006">
        <v>1.76</v>
      </c>
      <c r="BW5006">
        <v>1.44</v>
      </c>
      <c r="BX5006">
        <v>1.02</v>
      </c>
      <c r="BY5006">
        <v>0.74</v>
      </c>
      <c r="BZ5006">
        <v>-0.31</v>
      </c>
      <c r="CA5006">
        <v>1.5</v>
      </c>
      <c r="CB5006">
        <v>1.68</v>
      </c>
      <c r="CC5006">
        <v>0.66</v>
      </c>
      <c r="CD5006">
        <v>-0.63</v>
      </c>
      <c r="CE5006">
        <v>1.1299999999999999</v>
      </c>
      <c r="CF5006">
        <v>1.46</v>
      </c>
      <c r="CG5006">
        <v>0</v>
      </c>
      <c r="CH5006">
        <v>0.75</v>
      </c>
      <c r="CI5006">
        <v>0</v>
      </c>
      <c r="CJ5006">
        <v>-6</v>
      </c>
      <c r="CK5006">
        <v>99</v>
      </c>
      <c r="CL5006">
        <v>-1.02</v>
      </c>
      <c r="CM5006">
        <v>99</v>
      </c>
      <c r="CN5006">
        <v>-0.67</v>
      </c>
      <c r="CO5006">
        <v>98</v>
      </c>
      <c r="CP5006">
        <v>-7</v>
      </c>
      <c r="CQ5006">
        <v>99</v>
      </c>
      <c r="CR5006">
        <v>0</v>
      </c>
      <c r="CS5006">
        <v>0</v>
      </c>
      <c r="CT5006">
        <v>4.9000000000000004</v>
      </c>
      <c r="CU5006">
        <v>98</v>
      </c>
      <c r="CV5006">
        <v>0.15</v>
      </c>
      <c r="CW5006">
        <v>46</v>
      </c>
      <c r="CX5006" t="s">
        <v>543</v>
      </c>
    </row>
    <row r="5007" spans="1:102" x14ac:dyDescent="0.3">
      <c r="A5007" t="str">
        <f>HYPERLINK("https://webapp.icbf.com/v2/app/bull-search/view/138295275","OIA")</f>
        <v>OIA</v>
      </c>
      <c r="B5007" t="s">
        <v>11525</v>
      </c>
      <c r="C5007" t="s">
        <v>11526</v>
      </c>
      <c r="D5007" s="1">
        <v>36740</v>
      </c>
      <c r="E5007" t="s">
        <v>92</v>
      </c>
      <c r="F5007">
        <v>100</v>
      </c>
      <c r="G5007" t="s">
        <v>93</v>
      </c>
      <c r="H5007">
        <v>-357.49</v>
      </c>
      <c r="I5007">
        <v>87</v>
      </c>
      <c r="J5007">
        <v>-75.489999999999995</v>
      </c>
      <c r="K5007">
        <v>97</v>
      </c>
      <c r="L5007">
        <v>-165.39</v>
      </c>
      <c r="M5007">
        <v>80</v>
      </c>
      <c r="N5007">
        <v>-105.99</v>
      </c>
      <c r="O5007">
        <v>86</v>
      </c>
      <c r="P5007">
        <v>-8.0500000000000007</v>
      </c>
      <c r="Q5007">
        <v>91</v>
      </c>
      <c r="R5007">
        <v>-2.81</v>
      </c>
      <c r="S5007">
        <v>81</v>
      </c>
      <c r="T5007">
        <v>-0.09</v>
      </c>
      <c r="U5007">
        <v>85</v>
      </c>
      <c r="V5007">
        <v>0.33</v>
      </c>
      <c r="W5007">
        <v>73</v>
      </c>
      <c r="X5007" t="s">
        <v>276</v>
      </c>
      <c r="Y5007" t="s">
        <v>95</v>
      </c>
      <c r="Z5007" t="s">
        <v>96</v>
      </c>
      <c r="AA5007" t="s">
        <v>1015</v>
      </c>
      <c r="AB5007" t="s">
        <v>4726</v>
      </c>
      <c r="AC5007">
        <v>119</v>
      </c>
      <c r="AD5007">
        <v>80</v>
      </c>
      <c r="AE5007">
        <v>97</v>
      </c>
      <c r="AF5007">
        <v>123.43</v>
      </c>
      <c r="AG5007">
        <v>-10.6</v>
      </c>
      <c r="AH5007">
        <v>-7.2</v>
      </c>
      <c r="AI5007">
        <v>-0.26</v>
      </c>
      <c r="AJ5007">
        <v>-0.19</v>
      </c>
      <c r="AK5007">
        <v>80</v>
      </c>
      <c r="AL5007">
        <v>103</v>
      </c>
      <c r="AM5007">
        <v>62</v>
      </c>
      <c r="AN5007">
        <v>8.2200000000000006</v>
      </c>
      <c r="AO5007">
        <v>-4.9800000000000004</v>
      </c>
      <c r="AP5007">
        <v>229</v>
      </c>
      <c r="AQ5007">
        <v>0</v>
      </c>
      <c r="AR5007">
        <v>16.670000000000002</v>
      </c>
      <c r="AS5007">
        <v>78</v>
      </c>
      <c r="AT5007">
        <v>7.43</v>
      </c>
      <c r="AU5007">
        <v>91</v>
      </c>
      <c r="AV5007">
        <v>1.25</v>
      </c>
      <c r="AW5007">
        <v>93</v>
      </c>
      <c r="AX5007">
        <v>0.33</v>
      </c>
      <c r="AY5007">
        <v>83</v>
      </c>
      <c r="AZ5007">
        <v>6.31</v>
      </c>
      <c r="BA5007">
        <v>68</v>
      </c>
      <c r="BB5007">
        <v>5.31</v>
      </c>
      <c r="BC5007">
        <v>69</v>
      </c>
      <c r="BD5007">
        <v>0.04</v>
      </c>
      <c r="BE5007">
        <v>0.02</v>
      </c>
      <c r="BF5007">
        <v>-0.04</v>
      </c>
      <c r="BG5007">
        <v>91</v>
      </c>
      <c r="BH5007">
        <v>0.14000000000000001</v>
      </c>
      <c r="BI5007">
        <v>15.14</v>
      </c>
      <c r="BJ5007">
        <v>44</v>
      </c>
      <c r="BK5007">
        <v>27</v>
      </c>
      <c r="BL5007">
        <v>1.31</v>
      </c>
      <c r="BM5007">
        <v>1.35</v>
      </c>
      <c r="BN5007">
        <v>2.4</v>
      </c>
      <c r="BO5007">
        <v>0.77</v>
      </c>
      <c r="BP5007">
        <v>-0.92</v>
      </c>
      <c r="BQ5007">
        <v>2.73</v>
      </c>
      <c r="BR5007">
        <v>-0.12</v>
      </c>
      <c r="BS5007">
        <v>0.95</v>
      </c>
      <c r="BT5007">
        <v>0.45</v>
      </c>
      <c r="BU5007">
        <v>1.06</v>
      </c>
      <c r="BV5007">
        <v>1.04</v>
      </c>
      <c r="BW5007">
        <v>1.44</v>
      </c>
      <c r="BX5007">
        <v>0.96</v>
      </c>
      <c r="BY5007">
        <v>-0.59</v>
      </c>
      <c r="BZ5007">
        <v>0.69</v>
      </c>
      <c r="CA5007">
        <v>0.71</v>
      </c>
      <c r="CB5007">
        <v>0.77</v>
      </c>
      <c r="CC5007">
        <v>0.69</v>
      </c>
      <c r="CD5007">
        <v>0.45</v>
      </c>
      <c r="CE5007">
        <v>1.03</v>
      </c>
      <c r="CF5007">
        <v>2.23</v>
      </c>
      <c r="CG5007">
        <v>0</v>
      </c>
      <c r="CH5007">
        <v>-0.48</v>
      </c>
      <c r="CI5007">
        <v>0</v>
      </c>
      <c r="CJ5007">
        <v>-4.0999999999999996</v>
      </c>
      <c r="CK5007">
        <v>92</v>
      </c>
      <c r="CL5007">
        <v>-0.96</v>
      </c>
      <c r="CM5007">
        <v>91</v>
      </c>
      <c r="CN5007">
        <v>-0.66</v>
      </c>
      <c r="CO5007">
        <v>89</v>
      </c>
      <c r="CP5007">
        <v>-1.4</v>
      </c>
      <c r="CQ5007">
        <v>91</v>
      </c>
      <c r="CR5007">
        <v>0</v>
      </c>
      <c r="CS5007">
        <v>0</v>
      </c>
      <c r="CT5007">
        <v>13.9</v>
      </c>
      <c r="CU5007">
        <v>85</v>
      </c>
      <c r="CV5007">
        <v>0.12</v>
      </c>
      <c r="CW5007">
        <v>44</v>
      </c>
      <c r="CX5007" t="s">
        <v>1068</v>
      </c>
    </row>
    <row r="5008" spans="1:102" x14ac:dyDescent="0.3">
      <c r="A5008" t="str">
        <f>HYPERLINK("https://webapp.icbf.com/v2/app/bull-search/view/169956547","OTI")</f>
        <v>OTI</v>
      </c>
      <c r="B5008" t="s">
        <v>4724</v>
      </c>
      <c r="C5008" t="s">
        <v>4725</v>
      </c>
      <c r="D5008" s="1">
        <v>36418</v>
      </c>
      <c r="E5008" t="s">
        <v>92</v>
      </c>
      <c r="F5008">
        <v>100</v>
      </c>
      <c r="G5008" t="s">
        <v>93</v>
      </c>
      <c r="H5008">
        <v>-369.6</v>
      </c>
      <c r="I5008">
        <v>92</v>
      </c>
      <c r="J5008">
        <v>-40.18</v>
      </c>
      <c r="K5008">
        <v>98</v>
      </c>
      <c r="L5008">
        <v>-169.27</v>
      </c>
      <c r="M5008">
        <v>91</v>
      </c>
      <c r="N5008">
        <v>-136.84</v>
      </c>
      <c r="O5008">
        <v>89</v>
      </c>
      <c r="P5008">
        <v>-4.34</v>
      </c>
      <c r="Q5008">
        <v>92</v>
      </c>
      <c r="R5008">
        <v>-11.38</v>
      </c>
      <c r="S5008">
        <v>85</v>
      </c>
      <c r="T5008">
        <v>-4.3</v>
      </c>
      <c r="U5008">
        <v>87</v>
      </c>
      <c r="V5008">
        <v>-3.29</v>
      </c>
      <c r="W5008">
        <v>79</v>
      </c>
      <c r="X5008" t="s">
        <v>131</v>
      </c>
      <c r="Y5008" t="s">
        <v>95</v>
      </c>
      <c r="Z5008" t="s">
        <v>96</v>
      </c>
      <c r="AA5008" t="s">
        <v>1015</v>
      </c>
      <c r="AB5008" t="s">
        <v>4726</v>
      </c>
      <c r="AC5008">
        <v>125</v>
      </c>
      <c r="AD5008">
        <v>70</v>
      </c>
      <c r="AE5008">
        <v>98</v>
      </c>
      <c r="AF5008">
        <v>173.19</v>
      </c>
      <c r="AG5008">
        <v>-8.43</v>
      </c>
      <c r="AH5008">
        <v>-1.2</v>
      </c>
      <c r="AI5008">
        <v>-0.26</v>
      </c>
      <c r="AJ5008">
        <v>-0.12</v>
      </c>
      <c r="AK5008">
        <v>91</v>
      </c>
      <c r="AL5008">
        <v>97</v>
      </c>
      <c r="AM5008">
        <v>55</v>
      </c>
      <c r="AN5008">
        <v>9.16</v>
      </c>
      <c r="AO5008">
        <v>-4.34</v>
      </c>
      <c r="AP5008">
        <v>219</v>
      </c>
      <c r="AQ5008">
        <v>1</v>
      </c>
      <c r="AR5008">
        <v>18.170000000000002</v>
      </c>
      <c r="AS5008">
        <v>84</v>
      </c>
      <c r="AT5008">
        <v>8.5500000000000007</v>
      </c>
      <c r="AU5008">
        <v>93</v>
      </c>
      <c r="AV5008">
        <v>1.37</v>
      </c>
      <c r="AW5008">
        <v>94</v>
      </c>
      <c r="AX5008">
        <v>0.92</v>
      </c>
      <c r="AY5008">
        <v>87</v>
      </c>
      <c r="AZ5008">
        <v>5.95</v>
      </c>
      <c r="BA5008">
        <v>74</v>
      </c>
      <c r="BB5008">
        <v>5.19</v>
      </c>
      <c r="BC5008">
        <v>73</v>
      </c>
      <c r="BD5008">
        <v>7.0000000000000007E-2</v>
      </c>
      <c r="BE5008">
        <v>0.05</v>
      </c>
      <c r="BF5008">
        <v>0.05</v>
      </c>
      <c r="BG5008">
        <v>95</v>
      </c>
      <c r="BH5008">
        <v>-0.11</v>
      </c>
      <c r="BI5008">
        <v>-2.11</v>
      </c>
      <c r="BJ5008">
        <v>78</v>
      </c>
      <c r="BK5008">
        <v>43</v>
      </c>
      <c r="BL5008">
        <v>2.13</v>
      </c>
      <c r="BM5008">
        <v>1.39</v>
      </c>
      <c r="BN5008">
        <v>3.23</v>
      </c>
      <c r="BO5008">
        <v>1.65</v>
      </c>
      <c r="BP5008">
        <v>-0.75</v>
      </c>
      <c r="BQ5008">
        <v>3.97</v>
      </c>
      <c r="BR5008">
        <v>0.31</v>
      </c>
      <c r="BS5008">
        <v>1.08</v>
      </c>
      <c r="BT5008">
        <v>0.28999999999999998</v>
      </c>
      <c r="BU5008">
        <v>1.33</v>
      </c>
      <c r="BV5008">
        <v>1.79</v>
      </c>
      <c r="BW5008">
        <v>1.74</v>
      </c>
      <c r="BX5008">
        <v>0.78</v>
      </c>
      <c r="BY5008">
        <v>0.28000000000000003</v>
      </c>
      <c r="BZ5008">
        <v>2.76</v>
      </c>
      <c r="CA5008">
        <v>1.35</v>
      </c>
      <c r="CB5008">
        <v>1.41</v>
      </c>
      <c r="CC5008">
        <v>1.05</v>
      </c>
      <c r="CD5008">
        <v>-0.41</v>
      </c>
      <c r="CE5008">
        <v>1.26</v>
      </c>
      <c r="CF5008">
        <v>3.19</v>
      </c>
      <c r="CG5008">
        <v>0</v>
      </c>
      <c r="CH5008">
        <v>0.23</v>
      </c>
      <c r="CI5008">
        <v>0</v>
      </c>
      <c r="CJ5008">
        <v>-0.3</v>
      </c>
      <c r="CK5008">
        <v>93</v>
      </c>
      <c r="CL5008">
        <v>-1.1200000000000001</v>
      </c>
      <c r="CM5008">
        <v>92</v>
      </c>
      <c r="CN5008">
        <v>-0.62</v>
      </c>
      <c r="CO5008">
        <v>91</v>
      </c>
      <c r="CP5008">
        <v>2.5</v>
      </c>
      <c r="CQ5008">
        <v>92</v>
      </c>
      <c r="CR5008">
        <v>0</v>
      </c>
      <c r="CS5008">
        <v>0</v>
      </c>
      <c r="CT5008">
        <v>19.600000000000001</v>
      </c>
      <c r="CU5008">
        <v>87</v>
      </c>
      <c r="CV5008">
        <v>0.28999999999999998</v>
      </c>
      <c r="CW5008">
        <v>44</v>
      </c>
      <c r="CX5008" t="s">
        <v>1068</v>
      </c>
    </row>
    <row r="5009" spans="1:102" x14ac:dyDescent="0.3">
      <c r="A5009" t="str">
        <f>HYPERLINK("https://webapp.icbf.com/v2/app/bull-search/view/77854981","NCL")</f>
        <v>NCL</v>
      </c>
      <c r="B5009" t="s">
        <v>11159</v>
      </c>
      <c r="C5009" t="s">
        <v>678</v>
      </c>
      <c r="D5009" s="1">
        <v>32270</v>
      </c>
      <c r="E5009" t="s">
        <v>92</v>
      </c>
      <c r="F5009">
        <v>100</v>
      </c>
      <c r="G5009" t="s">
        <v>93</v>
      </c>
      <c r="H5009">
        <v>-382.15</v>
      </c>
      <c r="I5009">
        <v>97</v>
      </c>
      <c r="J5009">
        <v>-33.67</v>
      </c>
      <c r="K5009">
        <v>99</v>
      </c>
      <c r="L5009">
        <v>-214.77</v>
      </c>
      <c r="M5009">
        <v>96</v>
      </c>
      <c r="N5009">
        <v>-125.16</v>
      </c>
      <c r="O5009">
        <v>97</v>
      </c>
      <c r="P5009">
        <v>1.66</v>
      </c>
      <c r="Q5009">
        <v>98</v>
      </c>
      <c r="R5009">
        <v>-13.47</v>
      </c>
      <c r="S5009">
        <v>95</v>
      </c>
      <c r="T5009">
        <v>7.54</v>
      </c>
      <c r="U5009">
        <v>97</v>
      </c>
      <c r="V5009">
        <v>-4.28</v>
      </c>
      <c r="W5009">
        <v>91</v>
      </c>
      <c r="X5009" t="s">
        <v>558</v>
      </c>
      <c r="Y5009" t="s">
        <v>95</v>
      </c>
      <c r="Z5009" t="s">
        <v>96</v>
      </c>
      <c r="AA5009" t="s">
        <v>166</v>
      </c>
      <c r="AB5009" t="s">
        <v>11160</v>
      </c>
      <c r="AC5009">
        <v>1200</v>
      </c>
      <c r="AD5009">
        <v>506</v>
      </c>
      <c r="AE5009">
        <v>99</v>
      </c>
      <c r="AF5009">
        <v>270.45</v>
      </c>
      <c r="AG5009">
        <v>-8.16</v>
      </c>
      <c r="AH5009">
        <v>1.3</v>
      </c>
      <c r="AI5009">
        <v>-0.31</v>
      </c>
      <c r="AJ5009">
        <v>-0.13</v>
      </c>
      <c r="AK5009">
        <v>96</v>
      </c>
      <c r="AL5009">
        <v>1185</v>
      </c>
      <c r="AM5009">
        <v>467</v>
      </c>
      <c r="AN5009">
        <v>11.54</v>
      </c>
      <c r="AO5009">
        <v>-5.59</v>
      </c>
      <c r="AP5009">
        <v>153</v>
      </c>
      <c r="AQ5009">
        <v>1</v>
      </c>
      <c r="AR5009">
        <v>17.63</v>
      </c>
      <c r="AS5009">
        <v>94</v>
      </c>
      <c r="AT5009">
        <v>8.26</v>
      </c>
      <c r="AU5009">
        <v>99</v>
      </c>
      <c r="AV5009">
        <v>1.7</v>
      </c>
      <c r="AW5009">
        <v>97</v>
      </c>
      <c r="AX5009">
        <v>-0.02</v>
      </c>
      <c r="AY5009">
        <v>98</v>
      </c>
      <c r="AZ5009">
        <v>6.13</v>
      </c>
      <c r="BA5009">
        <v>93</v>
      </c>
      <c r="BB5009">
        <v>4.47</v>
      </c>
      <c r="BC5009">
        <v>95</v>
      </c>
      <c r="BD5009">
        <v>7.0000000000000007E-2</v>
      </c>
      <c r="BE5009">
        <v>7.0000000000000007E-2</v>
      </c>
      <c r="BF5009">
        <v>0.06</v>
      </c>
      <c r="BG5009">
        <v>99</v>
      </c>
      <c r="BH5009">
        <v>-0.1</v>
      </c>
      <c r="BI5009">
        <v>2.23</v>
      </c>
      <c r="BJ5009">
        <v>388</v>
      </c>
      <c r="BK5009">
        <v>184</v>
      </c>
      <c r="BL5009">
        <v>1</v>
      </c>
      <c r="BM5009">
        <v>-2.4500000000000002</v>
      </c>
      <c r="BN5009">
        <v>-1.02</v>
      </c>
      <c r="BO5009">
        <v>0.92</v>
      </c>
      <c r="BP5009">
        <v>0.43</v>
      </c>
      <c r="BQ5009">
        <v>-0.6</v>
      </c>
      <c r="BR5009">
        <v>-2.41</v>
      </c>
      <c r="BS5009">
        <v>2.0099999999999998</v>
      </c>
      <c r="BT5009">
        <v>3.21</v>
      </c>
      <c r="BU5009">
        <v>0.95</v>
      </c>
      <c r="BV5009">
        <v>0.28000000000000003</v>
      </c>
      <c r="BW5009">
        <v>1.48</v>
      </c>
      <c r="BX5009">
        <v>1.42</v>
      </c>
      <c r="BY5009">
        <v>1.23</v>
      </c>
      <c r="BZ5009">
        <v>0.76</v>
      </c>
      <c r="CA5009">
        <v>1.82</v>
      </c>
      <c r="CB5009">
        <v>1.1100000000000001</v>
      </c>
      <c r="CC5009">
        <v>2.2799999999999998</v>
      </c>
      <c r="CD5009">
        <v>-1.53</v>
      </c>
      <c r="CE5009">
        <v>1.1599999999999999</v>
      </c>
      <c r="CF5009">
        <v>0.68</v>
      </c>
      <c r="CG5009">
        <v>0</v>
      </c>
      <c r="CH5009">
        <v>1.1299999999999999</v>
      </c>
      <c r="CI5009">
        <v>0</v>
      </c>
      <c r="CJ5009">
        <v>2.1</v>
      </c>
      <c r="CK5009">
        <v>98</v>
      </c>
      <c r="CL5009">
        <v>-0.6</v>
      </c>
      <c r="CM5009">
        <v>98</v>
      </c>
      <c r="CN5009">
        <v>-0.39</v>
      </c>
      <c r="CO5009">
        <v>98</v>
      </c>
      <c r="CP5009">
        <v>2.6</v>
      </c>
      <c r="CQ5009">
        <v>99</v>
      </c>
      <c r="CR5009">
        <v>0</v>
      </c>
      <c r="CS5009">
        <v>0</v>
      </c>
      <c r="CT5009">
        <v>3.6</v>
      </c>
      <c r="CU5009">
        <v>97</v>
      </c>
      <c r="CV5009">
        <v>0.15</v>
      </c>
      <c r="CW5009">
        <v>46</v>
      </c>
      <c r="CX5009" t="s">
        <v>120</v>
      </c>
    </row>
    <row r="5010" spans="1:102" x14ac:dyDescent="0.3">
      <c r="A5010" t="str">
        <f>HYPERLINK("https://webapp.icbf.com/v2/app/bull-search/view/268069669","BJJ")</f>
        <v>BJJ</v>
      </c>
      <c r="B5010" t="s">
        <v>4359</v>
      </c>
      <c r="C5010" t="s">
        <v>4360</v>
      </c>
      <c r="D5010" s="1">
        <v>37135</v>
      </c>
      <c r="E5010" t="s">
        <v>92</v>
      </c>
      <c r="F5010">
        <v>100</v>
      </c>
      <c r="G5010" t="s">
        <v>93</v>
      </c>
      <c r="H5010">
        <v>-384.88</v>
      </c>
      <c r="I5010">
        <v>87</v>
      </c>
      <c r="J5010">
        <v>-30.9</v>
      </c>
      <c r="K5010">
        <v>95</v>
      </c>
      <c r="L5010">
        <v>-163.75</v>
      </c>
      <c r="M5010">
        <v>85</v>
      </c>
      <c r="N5010">
        <v>-168.26</v>
      </c>
      <c r="O5010">
        <v>81</v>
      </c>
      <c r="P5010">
        <v>-5.57</v>
      </c>
      <c r="Q5010">
        <v>87</v>
      </c>
      <c r="R5010">
        <v>-7.84</v>
      </c>
      <c r="S5010">
        <v>79</v>
      </c>
      <c r="T5010">
        <v>-9.85</v>
      </c>
      <c r="U5010">
        <v>81</v>
      </c>
      <c r="V5010">
        <v>1.29</v>
      </c>
      <c r="W5010">
        <v>70</v>
      </c>
      <c r="X5010" t="s">
        <v>131</v>
      </c>
      <c r="Y5010" t="s">
        <v>171</v>
      </c>
      <c r="Z5010" t="s">
        <v>96</v>
      </c>
      <c r="AA5010" t="s">
        <v>1015</v>
      </c>
      <c r="AB5010" t="s">
        <v>4361</v>
      </c>
      <c r="AC5010">
        <v>53</v>
      </c>
      <c r="AD5010">
        <v>25</v>
      </c>
      <c r="AE5010">
        <v>95</v>
      </c>
      <c r="AF5010">
        <v>0.7</v>
      </c>
      <c r="AG5010">
        <v>-6.94</v>
      </c>
      <c r="AH5010">
        <v>-2.79</v>
      </c>
      <c r="AI5010">
        <v>-0.12</v>
      </c>
      <c r="AJ5010">
        <v>-0.05</v>
      </c>
      <c r="AK5010">
        <v>85</v>
      </c>
      <c r="AL5010">
        <v>49</v>
      </c>
      <c r="AM5010">
        <v>29</v>
      </c>
      <c r="AN5010">
        <v>7.3</v>
      </c>
      <c r="AO5010">
        <v>-5.78</v>
      </c>
      <c r="AP5010">
        <v>126</v>
      </c>
      <c r="AQ5010">
        <v>0</v>
      </c>
      <c r="AR5010">
        <v>18.34</v>
      </c>
      <c r="AS5010">
        <v>72</v>
      </c>
      <c r="AT5010">
        <v>9.7200000000000006</v>
      </c>
      <c r="AU5010">
        <v>88</v>
      </c>
      <c r="AV5010">
        <v>1.65</v>
      </c>
      <c r="AW5010">
        <v>90</v>
      </c>
      <c r="AX5010">
        <v>2.78</v>
      </c>
      <c r="AY5010">
        <v>75</v>
      </c>
      <c r="AZ5010">
        <v>6.08</v>
      </c>
      <c r="BA5010">
        <v>60</v>
      </c>
      <c r="BB5010">
        <v>4.95</v>
      </c>
      <c r="BC5010">
        <v>58</v>
      </c>
      <c r="BD5010">
        <v>0.05</v>
      </c>
      <c r="BE5010">
        <v>0.03</v>
      </c>
      <c r="BF5010">
        <v>0.04</v>
      </c>
      <c r="BG5010">
        <v>90</v>
      </c>
      <c r="BH5010">
        <v>0.11</v>
      </c>
      <c r="BI5010">
        <v>8.57</v>
      </c>
      <c r="BJ5010">
        <v>29</v>
      </c>
      <c r="BK5010">
        <v>18</v>
      </c>
      <c r="BL5010">
        <v>2.14</v>
      </c>
      <c r="BM5010">
        <v>1.93</v>
      </c>
      <c r="BN5010">
        <v>2.48</v>
      </c>
      <c r="BO5010">
        <v>0.98</v>
      </c>
      <c r="BP5010">
        <v>-1.1100000000000001</v>
      </c>
      <c r="BQ5010">
        <v>3.7</v>
      </c>
      <c r="BR5010">
        <v>0.92</v>
      </c>
      <c r="BS5010">
        <v>-0.26</v>
      </c>
      <c r="BT5010">
        <v>-1.54</v>
      </c>
      <c r="BU5010">
        <v>2.4500000000000002</v>
      </c>
      <c r="BV5010">
        <v>1.68</v>
      </c>
      <c r="BW5010">
        <v>1.36</v>
      </c>
      <c r="BX5010">
        <v>2.2000000000000002</v>
      </c>
      <c r="BY5010">
        <v>0.54</v>
      </c>
      <c r="BZ5010">
        <v>1.21</v>
      </c>
      <c r="CA5010">
        <v>1.1000000000000001</v>
      </c>
      <c r="CB5010">
        <v>1.29</v>
      </c>
      <c r="CC5010">
        <v>0.14000000000000001</v>
      </c>
      <c r="CD5010">
        <v>-0.15</v>
      </c>
      <c r="CE5010">
        <v>0.66</v>
      </c>
      <c r="CF5010">
        <v>2.79</v>
      </c>
      <c r="CG5010">
        <v>0</v>
      </c>
      <c r="CH5010">
        <v>0.42</v>
      </c>
      <c r="CI5010">
        <v>0</v>
      </c>
      <c r="CJ5010">
        <v>-1.5</v>
      </c>
      <c r="CK5010">
        <v>88</v>
      </c>
      <c r="CL5010">
        <v>-1.1499999999999999</v>
      </c>
      <c r="CM5010">
        <v>86</v>
      </c>
      <c r="CN5010">
        <v>-0.62</v>
      </c>
      <c r="CO5010">
        <v>84</v>
      </c>
      <c r="CP5010">
        <v>7.4</v>
      </c>
      <c r="CQ5010">
        <v>87</v>
      </c>
      <c r="CR5010">
        <v>0</v>
      </c>
      <c r="CS5010">
        <v>0</v>
      </c>
      <c r="CT5010">
        <v>27.1</v>
      </c>
      <c r="CU5010">
        <v>81</v>
      </c>
      <c r="CV5010">
        <v>0.24</v>
      </c>
      <c r="CW5010">
        <v>43</v>
      </c>
      <c r="CX5010" t="s">
        <v>1068</v>
      </c>
    </row>
    <row r="5011" spans="1:102" x14ac:dyDescent="0.3">
      <c r="A5011" t="str">
        <f>HYPERLINK("https://webapp.icbf.com/v2/app/bull-search/view/77855194","MJE")</f>
        <v>MJE</v>
      </c>
      <c r="B5011" t="s">
        <v>3809</v>
      </c>
      <c r="C5011" t="s">
        <v>3810</v>
      </c>
      <c r="D5011" s="1">
        <v>34586</v>
      </c>
      <c r="E5011" t="s">
        <v>92</v>
      </c>
      <c r="F5011">
        <v>100</v>
      </c>
      <c r="G5011" t="s">
        <v>93</v>
      </c>
      <c r="H5011">
        <v>-400.89</v>
      </c>
      <c r="I5011">
        <v>93</v>
      </c>
      <c r="J5011">
        <v>-73.13</v>
      </c>
      <c r="K5011">
        <v>98</v>
      </c>
      <c r="L5011">
        <v>-207.91</v>
      </c>
      <c r="M5011">
        <v>92</v>
      </c>
      <c r="N5011">
        <v>-92.27</v>
      </c>
      <c r="O5011">
        <v>91</v>
      </c>
      <c r="P5011">
        <v>-7.41</v>
      </c>
      <c r="Q5011">
        <v>96</v>
      </c>
      <c r="R5011">
        <v>-22.76</v>
      </c>
      <c r="S5011">
        <v>85</v>
      </c>
      <c r="T5011">
        <v>1.69</v>
      </c>
      <c r="U5011">
        <v>92</v>
      </c>
      <c r="V5011">
        <v>0.9</v>
      </c>
      <c r="W5011">
        <v>79</v>
      </c>
      <c r="X5011" t="s">
        <v>94</v>
      </c>
      <c r="Y5011" t="s">
        <v>95</v>
      </c>
      <c r="Z5011" t="s">
        <v>96</v>
      </c>
      <c r="AA5011" t="s">
        <v>682</v>
      </c>
      <c r="AB5011" t="s">
        <v>3811</v>
      </c>
      <c r="AC5011">
        <v>268</v>
      </c>
      <c r="AD5011">
        <v>144</v>
      </c>
      <c r="AE5011">
        <v>98</v>
      </c>
      <c r="AF5011">
        <v>17.91</v>
      </c>
      <c r="AG5011">
        <v>-11.57</v>
      </c>
      <c r="AH5011">
        <v>-8.07</v>
      </c>
      <c r="AI5011">
        <v>-0.21</v>
      </c>
      <c r="AJ5011">
        <v>-0.15</v>
      </c>
      <c r="AK5011">
        <v>92</v>
      </c>
      <c r="AL5011">
        <v>221</v>
      </c>
      <c r="AM5011">
        <v>98</v>
      </c>
      <c r="AN5011">
        <v>11.4</v>
      </c>
      <c r="AO5011">
        <v>-5.18</v>
      </c>
      <c r="AP5011">
        <v>282</v>
      </c>
      <c r="AQ5011">
        <v>0</v>
      </c>
      <c r="AR5011">
        <v>14.7</v>
      </c>
      <c r="AS5011">
        <v>86</v>
      </c>
      <c r="AT5011">
        <v>7.88</v>
      </c>
      <c r="AU5011">
        <v>93</v>
      </c>
      <c r="AV5011">
        <v>0.67</v>
      </c>
      <c r="AW5011">
        <v>96</v>
      </c>
      <c r="AX5011">
        <v>0.26</v>
      </c>
      <c r="AY5011">
        <v>91</v>
      </c>
      <c r="AZ5011">
        <v>5.46</v>
      </c>
      <c r="BA5011">
        <v>82</v>
      </c>
      <c r="BB5011">
        <v>4.21</v>
      </c>
      <c r="BC5011">
        <v>81</v>
      </c>
      <c r="BD5011">
        <v>0.05</v>
      </c>
      <c r="BE5011">
        <v>0.1</v>
      </c>
      <c r="BF5011">
        <v>0.25</v>
      </c>
      <c r="BG5011">
        <v>95</v>
      </c>
      <c r="BH5011">
        <v>0.18</v>
      </c>
      <c r="BI5011">
        <v>17.93</v>
      </c>
      <c r="BJ5011">
        <v>97</v>
      </c>
      <c r="BK5011">
        <v>58</v>
      </c>
      <c r="BL5011">
        <v>0.52</v>
      </c>
      <c r="BM5011">
        <v>0.26</v>
      </c>
      <c r="BN5011">
        <v>1.57</v>
      </c>
      <c r="BO5011">
        <v>0.8</v>
      </c>
      <c r="BP5011">
        <v>-3.42</v>
      </c>
      <c r="BQ5011">
        <v>1.03</v>
      </c>
      <c r="BR5011">
        <v>-1.1100000000000001</v>
      </c>
      <c r="BS5011">
        <v>0.93</v>
      </c>
      <c r="BT5011">
        <v>1.19</v>
      </c>
      <c r="BU5011">
        <v>1.92</v>
      </c>
      <c r="BV5011">
        <v>1.1599999999999999</v>
      </c>
      <c r="BW5011">
        <v>0.62</v>
      </c>
      <c r="BX5011">
        <v>0.17</v>
      </c>
      <c r="BY5011">
        <v>1.26</v>
      </c>
      <c r="BZ5011">
        <v>0.01</v>
      </c>
      <c r="CA5011">
        <v>1.4</v>
      </c>
      <c r="CB5011">
        <v>1.45</v>
      </c>
      <c r="CC5011">
        <v>1.0900000000000001</v>
      </c>
      <c r="CD5011">
        <v>-0.47</v>
      </c>
      <c r="CE5011">
        <v>0.84</v>
      </c>
      <c r="CF5011">
        <v>0.23</v>
      </c>
      <c r="CG5011">
        <v>0</v>
      </c>
      <c r="CH5011">
        <v>1.33</v>
      </c>
      <c r="CI5011">
        <v>0</v>
      </c>
      <c r="CJ5011">
        <v>-4.7</v>
      </c>
      <c r="CK5011">
        <v>96</v>
      </c>
      <c r="CL5011">
        <v>-0.82</v>
      </c>
      <c r="CM5011">
        <v>96</v>
      </c>
      <c r="CN5011">
        <v>-0.63</v>
      </c>
      <c r="CO5011">
        <v>95</v>
      </c>
      <c r="CP5011">
        <v>1.1000000000000001</v>
      </c>
      <c r="CQ5011">
        <v>96</v>
      </c>
      <c r="CR5011">
        <v>0</v>
      </c>
      <c r="CS5011">
        <v>0</v>
      </c>
      <c r="CT5011">
        <v>11.5</v>
      </c>
      <c r="CU5011">
        <v>92</v>
      </c>
      <c r="CV5011">
        <v>0.05</v>
      </c>
      <c r="CW5011">
        <v>45</v>
      </c>
      <c r="CX5011" t="s">
        <v>2745</v>
      </c>
    </row>
    <row r="5012" spans="1:102" x14ac:dyDescent="0.3">
      <c r="A5012" t="str">
        <f>HYPERLINK("https://webapp.icbf.com/v2/app/bull-search/view/77852872","VTC")</f>
        <v>VTC</v>
      </c>
      <c r="B5012" t="s">
        <v>15072</v>
      </c>
      <c r="C5012" t="s">
        <v>15073</v>
      </c>
      <c r="D5012" s="1">
        <v>35472</v>
      </c>
      <c r="E5012" t="s">
        <v>92</v>
      </c>
      <c r="F5012">
        <v>100</v>
      </c>
      <c r="G5012" t="s">
        <v>93</v>
      </c>
      <c r="H5012">
        <v>-405.53</v>
      </c>
      <c r="I5012">
        <v>77</v>
      </c>
      <c r="J5012">
        <v>-19.82</v>
      </c>
      <c r="K5012">
        <v>94</v>
      </c>
      <c r="L5012">
        <v>-289.61</v>
      </c>
      <c r="M5012">
        <v>73</v>
      </c>
      <c r="N5012">
        <v>-84.21</v>
      </c>
      <c r="O5012">
        <v>64</v>
      </c>
      <c r="P5012">
        <v>-0.77</v>
      </c>
      <c r="Q5012">
        <v>70</v>
      </c>
      <c r="R5012">
        <v>-16.149999999999999</v>
      </c>
      <c r="S5012">
        <v>72</v>
      </c>
      <c r="T5012">
        <v>4.8</v>
      </c>
      <c r="U5012">
        <v>61</v>
      </c>
      <c r="V5012">
        <v>0.23</v>
      </c>
      <c r="W5012">
        <v>58</v>
      </c>
      <c r="X5012" t="s">
        <v>94</v>
      </c>
      <c r="Y5012" t="s">
        <v>95</v>
      </c>
      <c r="Z5012" t="s">
        <v>96</v>
      </c>
      <c r="AA5012" t="s">
        <v>860</v>
      </c>
      <c r="AB5012" t="s">
        <v>15074</v>
      </c>
      <c r="AC5012">
        <v>38</v>
      </c>
      <c r="AD5012">
        <v>35</v>
      </c>
      <c r="AE5012">
        <v>94</v>
      </c>
      <c r="AF5012">
        <v>309.95</v>
      </c>
      <c r="AG5012">
        <v>2.1</v>
      </c>
      <c r="AH5012">
        <v>0.63</v>
      </c>
      <c r="AI5012">
        <v>-0.17</v>
      </c>
      <c r="AJ5012">
        <v>-0.16</v>
      </c>
      <c r="AK5012">
        <v>73</v>
      </c>
      <c r="AL5012">
        <v>31</v>
      </c>
      <c r="AM5012">
        <v>23</v>
      </c>
      <c r="AN5012">
        <v>17.010000000000002</v>
      </c>
      <c r="AO5012">
        <v>-6.07</v>
      </c>
      <c r="AP5012">
        <v>2</v>
      </c>
      <c r="AQ5012">
        <v>1</v>
      </c>
      <c r="AR5012">
        <v>15.48</v>
      </c>
      <c r="AS5012">
        <v>53</v>
      </c>
      <c r="AT5012">
        <v>7.27</v>
      </c>
      <c r="AU5012">
        <v>71</v>
      </c>
      <c r="AV5012">
        <v>0.15</v>
      </c>
      <c r="AW5012">
        <v>67</v>
      </c>
      <c r="AX5012">
        <v>0.01</v>
      </c>
      <c r="AY5012">
        <v>65</v>
      </c>
      <c r="AZ5012">
        <v>6.89</v>
      </c>
      <c r="BA5012">
        <v>46</v>
      </c>
      <c r="BB5012">
        <v>4.51</v>
      </c>
      <c r="BC5012">
        <v>54</v>
      </c>
      <c r="BD5012">
        <v>0.08</v>
      </c>
      <c r="BE5012">
        <v>0.12</v>
      </c>
      <c r="BF5012">
        <v>0.01</v>
      </c>
      <c r="BG5012">
        <v>83</v>
      </c>
      <c r="BH5012">
        <v>0.01</v>
      </c>
      <c r="BI5012">
        <v>0.42</v>
      </c>
      <c r="BJ5012">
        <v>6</v>
      </c>
      <c r="BK5012">
        <v>6</v>
      </c>
      <c r="BL5012">
        <v>0.71</v>
      </c>
      <c r="BM5012">
        <v>-0.36</v>
      </c>
      <c r="BN5012">
        <v>0.57999999999999996</v>
      </c>
      <c r="BO5012">
        <v>0.5</v>
      </c>
      <c r="BP5012">
        <v>-0.46</v>
      </c>
      <c r="BQ5012">
        <v>0.3</v>
      </c>
      <c r="BR5012">
        <v>2.8</v>
      </c>
      <c r="BS5012">
        <v>-2.85</v>
      </c>
      <c r="BT5012">
        <v>-1.27</v>
      </c>
      <c r="BU5012">
        <v>-0.99</v>
      </c>
      <c r="BV5012">
        <v>-0.94</v>
      </c>
      <c r="BW5012">
        <v>0.49</v>
      </c>
      <c r="BX5012">
        <v>-0.67</v>
      </c>
      <c r="BY5012">
        <v>-1.08</v>
      </c>
      <c r="BZ5012">
        <v>1.67</v>
      </c>
      <c r="CA5012">
        <v>-1.45</v>
      </c>
      <c r="CB5012">
        <v>-0.56999999999999995</v>
      </c>
      <c r="CC5012">
        <v>-1.93</v>
      </c>
      <c r="CD5012">
        <v>-1.28</v>
      </c>
      <c r="CE5012">
        <v>0.44</v>
      </c>
      <c r="CF5012">
        <v>0.78</v>
      </c>
      <c r="CG5012">
        <v>0</v>
      </c>
      <c r="CH5012">
        <v>-0.92</v>
      </c>
      <c r="CI5012">
        <v>0</v>
      </c>
      <c r="CJ5012">
        <v>3.3</v>
      </c>
      <c r="CK5012">
        <v>71</v>
      </c>
      <c r="CL5012">
        <v>-0.64</v>
      </c>
      <c r="CM5012">
        <v>68</v>
      </c>
      <c r="CN5012">
        <v>-0.12</v>
      </c>
      <c r="CO5012">
        <v>64</v>
      </c>
      <c r="CP5012">
        <v>-0.8</v>
      </c>
      <c r="CQ5012">
        <v>79</v>
      </c>
      <c r="CR5012">
        <v>0</v>
      </c>
      <c r="CS5012">
        <v>0</v>
      </c>
      <c r="CT5012">
        <v>7.3</v>
      </c>
      <c r="CU5012">
        <v>61</v>
      </c>
      <c r="CV5012">
        <v>0.16</v>
      </c>
      <c r="CW5012">
        <v>39</v>
      </c>
      <c r="CX5012" t="s">
        <v>118</v>
      </c>
    </row>
    <row r="5013" spans="1:102" x14ac:dyDescent="0.3">
      <c r="A5013" t="str">
        <f>HYPERLINK("https://webapp.icbf.com/v2/app/bull-search/view/77860006","BUK")</f>
        <v>BUK</v>
      </c>
      <c r="B5013" t="s">
        <v>9688</v>
      </c>
      <c r="C5013" t="s">
        <v>9689</v>
      </c>
      <c r="D5013" s="1">
        <v>34507</v>
      </c>
      <c r="E5013" t="s">
        <v>92</v>
      </c>
      <c r="F5013">
        <v>100</v>
      </c>
      <c r="G5013" t="s">
        <v>93</v>
      </c>
      <c r="H5013">
        <v>-409.79</v>
      </c>
      <c r="I5013">
        <v>86</v>
      </c>
      <c r="J5013">
        <v>-39.25</v>
      </c>
      <c r="K5013">
        <v>96</v>
      </c>
      <c r="L5013">
        <v>-271.23</v>
      </c>
      <c r="M5013">
        <v>88</v>
      </c>
      <c r="N5013">
        <v>-70</v>
      </c>
      <c r="O5013">
        <v>73</v>
      </c>
      <c r="P5013">
        <v>-5.28</v>
      </c>
      <c r="Q5013">
        <v>82</v>
      </c>
      <c r="R5013">
        <v>-18.850000000000001</v>
      </c>
      <c r="S5013">
        <v>80</v>
      </c>
      <c r="T5013">
        <v>-0.31</v>
      </c>
      <c r="U5013">
        <v>71</v>
      </c>
      <c r="V5013">
        <v>-4.87</v>
      </c>
      <c r="W5013">
        <v>68</v>
      </c>
      <c r="X5013" t="s">
        <v>276</v>
      </c>
      <c r="Y5013" t="s">
        <v>95</v>
      </c>
      <c r="Z5013" t="s">
        <v>96</v>
      </c>
      <c r="AA5013" t="s">
        <v>678</v>
      </c>
      <c r="AB5013" t="s">
        <v>9690</v>
      </c>
      <c r="AC5013">
        <v>47</v>
      </c>
      <c r="AD5013">
        <v>27</v>
      </c>
      <c r="AE5013">
        <v>96</v>
      </c>
      <c r="AF5013">
        <v>393.12</v>
      </c>
      <c r="AG5013">
        <v>-10</v>
      </c>
      <c r="AH5013">
        <v>2.88</v>
      </c>
      <c r="AI5013">
        <v>-0.41</v>
      </c>
      <c r="AJ5013">
        <v>-0.17</v>
      </c>
      <c r="AK5013">
        <v>88</v>
      </c>
      <c r="AL5013">
        <v>44</v>
      </c>
      <c r="AM5013">
        <v>22</v>
      </c>
      <c r="AN5013">
        <v>14.82</v>
      </c>
      <c r="AO5013">
        <v>-6.81</v>
      </c>
      <c r="AP5013">
        <v>35</v>
      </c>
      <c r="AQ5013">
        <v>0</v>
      </c>
      <c r="AR5013">
        <v>14.35</v>
      </c>
      <c r="AS5013">
        <v>66</v>
      </c>
      <c r="AT5013">
        <v>6.27</v>
      </c>
      <c r="AU5013">
        <v>89</v>
      </c>
      <c r="AV5013">
        <v>0.86</v>
      </c>
      <c r="AW5013">
        <v>70</v>
      </c>
      <c r="AX5013">
        <v>-0.22</v>
      </c>
      <c r="AY5013">
        <v>73</v>
      </c>
      <c r="AZ5013">
        <v>7.32</v>
      </c>
      <c r="BA5013">
        <v>60</v>
      </c>
      <c r="BB5013">
        <v>4.93</v>
      </c>
      <c r="BC5013">
        <v>61</v>
      </c>
      <c r="BD5013">
        <v>0.08</v>
      </c>
      <c r="BE5013">
        <v>0.1</v>
      </c>
      <c r="BF5013">
        <v>0.11</v>
      </c>
      <c r="BG5013">
        <v>91</v>
      </c>
      <c r="BH5013">
        <v>-0.08</v>
      </c>
      <c r="BI5013">
        <v>6.44</v>
      </c>
      <c r="BJ5013">
        <v>9</v>
      </c>
      <c r="BK5013">
        <v>6</v>
      </c>
      <c r="BL5013">
        <v>1.1200000000000001</v>
      </c>
      <c r="BM5013">
        <v>0.83</v>
      </c>
      <c r="BN5013">
        <v>0.98</v>
      </c>
      <c r="BO5013">
        <v>0.41</v>
      </c>
      <c r="BP5013">
        <v>1.25</v>
      </c>
      <c r="BQ5013">
        <v>2.5299999999999998</v>
      </c>
      <c r="BR5013">
        <v>-1.92</v>
      </c>
      <c r="BS5013">
        <v>2.4700000000000002</v>
      </c>
      <c r="BT5013">
        <v>1.57</v>
      </c>
      <c r="BU5013">
        <v>1.05</v>
      </c>
      <c r="BV5013">
        <v>1.33</v>
      </c>
      <c r="BW5013">
        <v>1.96</v>
      </c>
      <c r="BX5013">
        <v>0.39</v>
      </c>
      <c r="BY5013">
        <v>2.11</v>
      </c>
      <c r="BZ5013">
        <v>-0.31</v>
      </c>
      <c r="CA5013">
        <v>2.35</v>
      </c>
      <c r="CB5013">
        <v>1.69</v>
      </c>
      <c r="CC5013">
        <v>2.64</v>
      </c>
      <c r="CD5013">
        <v>0.31</v>
      </c>
      <c r="CE5013">
        <v>0.95</v>
      </c>
      <c r="CF5013">
        <v>1.52</v>
      </c>
      <c r="CG5013">
        <v>0</v>
      </c>
      <c r="CH5013">
        <v>2.58</v>
      </c>
      <c r="CI5013">
        <v>0</v>
      </c>
      <c r="CJ5013">
        <v>1.1000000000000001</v>
      </c>
      <c r="CK5013">
        <v>83</v>
      </c>
      <c r="CL5013">
        <v>-0.77</v>
      </c>
      <c r="CM5013">
        <v>80</v>
      </c>
      <c r="CN5013">
        <v>-0.06</v>
      </c>
      <c r="CO5013">
        <v>78</v>
      </c>
      <c r="CP5013">
        <v>3</v>
      </c>
      <c r="CQ5013">
        <v>82</v>
      </c>
      <c r="CR5013">
        <v>0</v>
      </c>
      <c r="CS5013">
        <v>0</v>
      </c>
      <c r="CT5013">
        <v>14.2</v>
      </c>
      <c r="CU5013">
        <v>71</v>
      </c>
      <c r="CV5013">
        <v>0.2</v>
      </c>
      <c r="CW5013">
        <v>42</v>
      </c>
      <c r="CX5013" t="s">
        <v>111</v>
      </c>
    </row>
    <row r="5014" spans="1:102" x14ac:dyDescent="0.3">
      <c r="A5014" t="str">
        <f>HYPERLINK("https://webapp.icbf.com/v2/app/bull-search/view/514797986","S510")</f>
        <v>S510</v>
      </c>
      <c r="B5014" t="s">
        <v>1319</v>
      </c>
      <c r="C5014" t="s">
        <v>1320</v>
      </c>
      <c r="D5014" s="1">
        <v>37511</v>
      </c>
      <c r="E5014" t="s">
        <v>92</v>
      </c>
      <c r="F5014">
        <v>100</v>
      </c>
      <c r="G5014" t="s">
        <v>109</v>
      </c>
      <c r="H5014">
        <v>-413.68</v>
      </c>
      <c r="I5014">
        <v>72</v>
      </c>
      <c r="J5014">
        <v>3.78</v>
      </c>
      <c r="K5014">
        <v>82</v>
      </c>
      <c r="L5014">
        <v>-270.86</v>
      </c>
      <c r="M5014">
        <v>81</v>
      </c>
      <c r="N5014">
        <v>-123.77</v>
      </c>
      <c r="O5014">
        <v>50</v>
      </c>
      <c r="P5014">
        <v>-15.22</v>
      </c>
      <c r="Q5014">
        <v>52</v>
      </c>
      <c r="R5014">
        <v>-5.28</v>
      </c>
      <c r="S5014">
        <v>64</v>
      </c>
      <c r="T5014">
        <v>-2.6</v>
      </c>
      <c r="U5014">
        <v>56</v>
      </c>
      <c r="V5014">
        <v>0.27</v>
      </c>
      <c r="W5014">
        <v>43</v>
      </c>
      <c r="X5014" t="s">
        <v>110</v>
      </c>
      <c r="Y5014" t="s">
        <v>199</v>
      </c>
      <c r="Z5014" t="s">
        <v>96</v>
      </c>
      <c r="AA5014" t="s">
        <v>1273</v>
      </c>
      <c r="AB5014" t="s">
        <v>1321</v>
      </c>
      <c r="AC5014">
        <v>0</v>
      </c>
      <c r="AD5014">
        <v>0</v>
      </c>
      <c r="AE5014">
        <v>82</v>
      </c>
      <c r="AF5014">
        <v>179.54</v>
      </c>
      <c r="AG5014">
        <v>3.34</v>
      </c>
      <c r="AH5014">
        <v>2.21</v>
      </c>
      <c r="AI5014">
        <v>-0.06</v>
      </c>
      <c r="AJ5014">
        <v>-0.06</v>
      </c>
      <c r="AK5014">
        <v>81</v>
      </c>
      <c r="AL5014">
        <v>0</v>
      </c>
      <c r="AM5014">
        <v>0</v>
      </c>
      <c r="AN5014">
        <v>14.02</v>
      </c>
      <c r="AO5014">
        <v>-7.59</v>
      </c>
      <c r="AP5014">
        <v>22</v>
      </c>
      <c r="AQ5014">
        <v>0</v>
      </c>
      <c r="AR5014">
        <v>19.11</v>
      </c>
      <c r="AS5014">
        <v>42</v>
      </c>
      <c r="AT5014">
        <v>8.81</v>
      </c>
      <c r="AU5014">
        <v>86</v>
      </c>
      <c r="AV5014">
        <v>-1.07</v>
      </c>
      <c r="AW5014">
        <v>40</v>
      </c>
      <c r="AX5014">
        <v>0.83</v>
      </c>
      <c r="AY5014">
        <v>43</v>
      </c>
      <c r="AZ5014">
        <v>5.23</v>
      </c>
      <c r="BA5014">
        <v>33</v>
      </c>
      <c r="BB5014">
        <v>4.43</v>
      </c>
      <c r="BC5014">
        <v>32</v>
      </c>
      <c r="BD5014">
        <v>0.02</v>
      </c>
      <c r="BE5014">
        <v>0.02</v>
      </c>
      <c r="BF5014">
        <v>0.05</v>
      </c>
      <c r="BG5014">
        <v>88</v>
      </c>
      <c r="BH5014">
        <v>0.02</v>
      </c>
      <c r="BI5014">
        <v>1.43</v>
      </c>
      <c r="BJ5014">
        <v>4</v>
      </c>
      <c r="BK5014">
        <v>3</v>
      </c>
      <c r="BL5014">
        <v>2.06</v>
      </c>
      <c r="BM5014">
        <v>-1.23</v>
      </c>
      <c r="BN5014">
        <v>3.06</v>
      </c>
      <c r="BO5014">
        <v>2.56</v>
      </c>
      <c r="BP5014">
        <v>-0.97</v>
      </c>
      <c r="BQ5014">
        <v>2.39</v>
      </c>
      <c r="BR5014">
        <v>0.78</v>
      </c>
      <c r="BS5014">
        <v>1.51</v>
      </c>
      <c r="BT5014">
        <v>-0.4</v>
      </c>
      <c r="BU5014">
        <v>0.85</v>
      </c>
      <c r="BV5014">
        <v>1.49</v>
      </c>
      <c r="BW5014">
        <v>2.5499999999999998</v>
      </c>
      <c r="BX5014">
        <v>0.59</v>
      </c>
      <c r="BY5014">
        <v>3.06</v>
      </c>
      <c r="BZ5014">
        <v>1.1399999999999999</v>
      </c>
      <c r="CA5014">
        <v>1.76</v>
      </c>
      <c r="CB5014">
        <v>1.99</v>
      </c>
      <c r="CC5014">
        <v>0.97</v>
      </c>
      <c r="CD5014">
        <v>-2.4900000000000002</v>
      </c>
      <c r="CE5014">
        <v>0.84</v>
      </c>
      <c r="CF5014">
        <v>1.48</v>
      </c>
      <c r="CG5014">
        <v>0</v>
      </c>
      <c r="CH5014">
        <v>1.85</v>
      </c>
      <c r="CI5014">
        <v>0</v>
      </c>
      <c r="CJ5014">
        <v>-5.2</v>
      </c>
      <c r="CK5014">
        <v>54</v>
      </c>
      <c r="CL5014">
        <v>-1.28</v>
      </c>
      <c r="CM5014">
        <v>50</v>
      </c>
      <c r="CN5014">
        <v>-0.44</v>
      </c>
      <c r="CO5014">
        <v>47</v>
      </c>
      <c r="CP5014">
        <v>0.1</v>
      </c>
      <c r="CQ5014">
        <v>55</v>
      </c>
      <c r="CR5014">
        <v>0</v>
      </c>
      <c r="CS5014">
        <v>0</v>
      </c>
      <c r="CT5014">
        <v>17.3</v>
      </c>
      <c r="CU5014">
        <v>56</v>
      </c>
      <c r="CV5014">
        <v>0.22</v>
      </c>
      <c r="CW5014">
        <v>14</v>
      </c>
      <c r="CX5014" t="s">
        <v>1015</v>
      </c>
    </row>
    <row r="5015" spans="1:102" x14ac:dyDescent="0.3">
      <c r="A5015" t="str">
        <f>HYPERLINK("https://webapp.icbf.com/v2/app/bull-search/view/77855470","LYU")</f>
        <v>LYU</v>
      </c>
      <c r="B5015" t="s">
        <v>10893</v>
      </c>
      <c r="C5015" t="s">
        <v>10894</v>
      </c>
      <c r="D5015" s="1">
        <v>34614</v>
      </c>
      <c r="E5015" t="s">
        <v>92</v>
      </c>
      <c r="F5015">
        <v>100</v>
      </c>
      <c r="G5015" t="s">
        <v>93</v>
      </c>
      <c r="H5015">
        <v>-426.57</v>
      </c>
      <c r="I5015">
        <v>96</v>
      </c>
      <c r="J5015">
        <v>-27.08</v>
      </c>
      <c r="K5015">
        <v>99</v>
      </c>
      <c r="L5015">
        <v>-136.44999999999999</v>
      </c>
      <c r="M5015">
        <v>94</v>
      </c>
      <c r="N5015">
        <v>-225.28</v>
      </c>
      <c r="O5015">
        <v>96</v>
      </c>
      <c r="P5015">
        <v>-9.0500000000000007</v>
      </c>
      <c r="Q5015">
        <v>98</v>
      </c>
      <c r="R5015">
        <v>-17.96</v>
      </c>
      <c r="S5015">
        <v>91</v>
      </c>
      <c r="T5015">
        <v>-5.78</v>
      </c>
      <c r="U5015">
        <v>96</v>
      </c>
      <c r="V5015">
        <v>-4.97</v>
      </c>
      <c r="W5015">
        <v>85</v>
      </c>
      <c r="X5015" t="s">
        <v>558</v>
      </c>
      <c r="Y5015" t="s">
        <v>95</v>
      </c>
      <c r="Z5015" t="s">
        <v>96</v>
      </c>
      <c r="AA5015" t="s">
        <v>682</v>
      </c>
      <c r="AB5015" t="s">
        <v>10895</v>
      </c>
      <c r="AC5015">
        <v>637</v>
      </c>
      <c r="AD5015">
        <v>279</v>
      </c>
      <c r="AE5015">
        <v>99</v>
      </c>
      <c r="AF5015">
        <v>29.68</v>
      </c>
      <c r="AG5015">
        <v>-1.84</v>
      </c>
      <c r="AH5015">
        <v>-3.5</v>
      </c>
      <c r="AI5015">
        <v>-0.05</v>
      </c>
      <c r="AJ5015">
        <v>-7.0000000000000007E-2</v>
      </c>
      <c r="AK5015">
        <v>94</v>
      </c>
      <c r="AL5015">
        <v>547</v>
      </c>
      <c r="AM5015">
        <v>230</v>
      </c>
      <c r="AN5015">
        <v>6.78</v>
      </c>
      <c r="AO5015">
        <v>-4.1100000000000003</v>
      </c>
      <c r="AP5015">
        <v>546</v>
      </c>
      <c r="AQ5015">
        <v>1</v>
      </c>
      <c r="AR5015">
        <v>23.56</v>
      </c>
      <c r="AS5015">
        <v>93</v>
      </c>
      <c r="AT5015">
        <v>11.63</v>
      </c>
      <c r="AU5015">
        <v>97</v>
      </c>
      <c r="AV5015">
        <v>-0.42</v>
      </c>
      <c r="AW5015">
        <v>98</v>
      </c>
      <c r="AX5015">
        <v>0.7</v>
      </c>
      <c r="AY5015">
        <v>96</v>
      </c>
      <c r="AZ5015">
        <v>5.23</v>
      </c>
      <c r="BA5015">
        <v>92</v>
      </c>
      <c r="BB5015">
        <v>4.37</v>
      </c>
      <c r="BC5015">
        <v>92</v>
      </c>
      <c r="BD5015">
        <v>0.06</v>
      </c>
      <c r="BE5015">
        <v>7.0000000000000007E-2</v>
      </c>
      <c r="BF5015">
        <v>0.18</v>
      </c>
      <c r="BG5015">
        <v>98</v>
      </c>
      <c r="BH5015">
        <v>0.01</v>
      </c>
      <c r="BI5015">
        <v>17.18</v>
      </c>
      <c r="BJ5015">
        <v>373</v>
      </c>
      <c r="BK5015">
        <v>153</v>
      </c>
      <c r="BL5015">
        <v>2.11</v>
      </c>
      <c r="BM5015">
        <v>-2.4500000000000002</v>
      </c>
      <c r="BN5015">
        <v>0.52</v>
      </c>
      <c r="BO5015">
        <v>1.73</v>
      </c>
      <c r="BP5015">
        <v>1.27</v>
      </c>
      <c r="BQ5015">
        <v>1.03</v>
      </c>
      <c r="BR5015">
        <v>-2.35</v>
      </c>
      <c r="BS5015">
        <v>1.7</v>
      </c>
      <c r="BT5015">
        <v>2.7</v>
      </c>
      <c r="BU5015">
        <v>0.9</v>
      </c>
      <c r="BV5015">
        <v>1.75</v>
      </c>
      <c r="BW5015">
        <v>1.36</v>
      </c>
      <c r="BX5015">
        <v>1.53</v>
      </c>
      <c r="BY5015">
        <v>-1.24</v>
      </c>
      <c r="BZ5015">
        <v>1.9</v>
      </c>
      <c r="CA5015">
        <v>1.37</v>
      </c>
      <c r="CB5015">
        <v>0.82</v>
      </c>
      <c r="CC5015">
        <v>1.9</v>
      </c>
      <c r="CD5015">
        <v>-2.06</v>
      </c>
      <c r="CE5015">
        <v>1.5</v>
      </c>
      <c r="CF5015">
        <v>1.27</v>
      </c>
      <c r="CG5015">
        <v>0</v>
      </c>
      <c r="CH5015">
        <v>0.56999999999999995</v>
      </c>
      <c r="CI5015">
        <v>0</v>
      </c>
      <c r="CJ5015">
        <v>-2.5</v>
      </c>
      <c r="CK5015">
        <v>98</v>
      </c>
      <c r="CL5015">
        <v>-1.26</v>
      </c>
      <c r="CM5015">
        <v>98</v>
      </c>
      <c r="CN5015">
        <v>-0.69</v>
      </c>
      <c r="CO5015">
        <v>98</v>
      </c>
      <c r="CP5015">
        <v>-4.5</v>
      </c>
      <c r="CQ5015">
        <v>98</v>
      </c>
      <c r="CR5015">
        <v>0</v>
      </c>
      <c r="CS5015">
        <v>0</v>
      </c>
      <c r="CT5015">
        <v>21.6</v>
      </c>
      <c r="CU5015">
        <v>96</v>
      </c>
      <c r="CV5015">
        <v>0.32</v>
      </c>
      <c r="CW5015">
        <v>29</v>
      </c>
      <c r="CX5015" t="s">
        <v>111</v>
      </c>
    </row>
    <row r="5016" spans="1:102" x14ac:dyDescent="0.3">
      <c r="A5016" t="str">
        <f>HYPERLINK("https://webapp.icbf.com/v2/app/bull-search/view/77856349","JRJ")</f>
        <v>JRJ</v>
      </c>
      <c r="B5016" t="s">
        <v>7098</v>
      </c>
      <c r="C5016" t="s">
        <v>682</v>
      </c>
      <c r="D5016" s="1">
        <v>31907</v>
      </c>
      <c r="E5016" t="s">
        <v>92</v>
      </c>
      <c r="F5016">
        <v>100</v>
      </c>
      <c r="G5016" t="s">
        <v>93</v>
      </c>
      <c r="H5016">
        <v>-432.07</v>
      </c>
      <c r="I5016">
        <v>95</v>
      </c>
      <c r="J5016">
        <v>-52.18</v>
      </c>
      <c r="K5016">
        <v>99</v>
      </c>
      <c r="L5016">
        <v>-219.66</v>
      </c>
      <c r="M5016">
        <v>93</v>
      </c>
      <c r="N5016">
        <v>-136.84</v>
      </c>
      <c r="O5016">
        <v>95</v>
      </c>
      <c r="P5016">
        <v>-11.8</v>
      </c>
      <c r="Q5016">
        <v>97</v>
      </c>
      <c r="R5016">
        <v>-19.72</v>
      </c>
      <c r="S5016">
        <v>92</v>
      </c>
      <c r="T5016">
        <v>9.39</v>
      </c>
      <c r="U5016">
        <v>96</v>
      </c>
      <c r="V5016">
        <v>-1.26</v>
      </c>
      <c r="W5016">
        <v>87</v>
      </c>
      <c r="X5016" t="s">
        <v>110</v>
      </c>
      <c r="Y5016" t="s">
        <v>95</v>
      </c>
      <c r="Z5016" t="s">
        <v>96</v>
      </c>
      <c r="AA5016" t="s">
        <v>168</v>
      </c>
      <c r="AB5016" t="s">
        <v>7099</v>
      </c>
      <c r="AC5016">
        <v>592</v>
      </c>
      <c r="AD5016">
        <v>292</v>
      </c>
      <c r="AE5016">
        <v>99</v>
      </c>
      <c r="AF5016">
        <v>-32.26</v>
      </c>
      <c r="AG5016">
        <v>-3.36</v>
      </c>
      <c r="AH5016">
        <v>-8.18</v>
      </c>
      <c r="AI5016">
        <v>-0.04</v>
      </c>
      <c r="AJ5016">
        <v>-0.12</v>
      </c>
      <c r="AK5016">
        <v>93</v>
      </c>
      <c r="AL5016">
        <v>604</v>
      </c>
      <c r="AM5016">
        <v>286</v>
      </c>
      <c r="AN5016">
        <v>13.32</v>
      </c>
      <c r="AO5016">
        <v>-4.18</v>
      </c>
      <c r="AP5016">
        <v>28</v>
      </c>
      <c r="AQ5016">
        <v>0</v>
      </c>
      <c r="AR5016">
        <v>17.309999999999999</v>
      </c>
      <c r="AS5016">
        <v>90</v>
      </c>
      <c r="AT5016">
        <v>9.35</v>
      </c>
      <c r="AU5016">
        <v>98</v>
      </c>
      <c r="AV5016">
        <v>0.46</v>
      </c>
      <c r="AW5016">
        <v>95</v>
      </c>
      <c r="AX5016">
        <v>-0.04</v>
      </c>
      <c r="AY5016">
        <v>96</v>
      </c>
      <c r="AZ5016">
        <v>7.38</v>
      </c>
      <c r="BA5016">
        <v>89</v>
      </c>
      <c r="BB5016">
        <v>4.47</v>
      </c>
      <c r="BC5016">
        <v>92</v>
      </c>
      <c r="BD5016">
        <v>0.08</v>
      </c>
      <c r="BE5016">
        <v>0.1</v>
      </c>
      <c r="BF5016">
        <v>0.13</v>
      </c>
      <c r="BG5016">
        <v>98</v>
      </c>
      <c r="BH5016">
        <v>0.11</v>
      </c>
      <c r="BI5016">
        <v>16.8</v>
      </c>
      <c r="BJ5016">
        <v>262</v>
      </c>
      <c r="BK5016">
        <v>136</v>
      </c>
      <c r="BL5016">
        <v>1.36</v>
      </c>
      <c r="BM5016">
        <v>-1.36</v>
      </c>
      <c r="BN5016">
        <v>1.06</v>
      </c>
      <c r="BO5016">
        <v>1.5</v>
      </c>
      <c r="BP5016">
        <v>0.54</v>
      </c>
      <c r="BQ5016">
        <v>0.34</v>
      </c>
      <c r="BR5016">
        <v>-1.89</v>
      </c>
      <c r="BS5016">
        <v>1.1499999999999999</v>
      </c>
      <c r="BT5016">
        <v>2.57</v>
      </c>
      <c r="BU5016">
        <v>1.28</v>
      </c>
      <c r="BV5016">
        <v>1.56</v>
      </c>
      <c r="BW5016">
        <v>0.57999999999999996</v>
      </c>
      <c r="BX5016">
        <v>1.26</v>
      </c>
      <c r="BY5016">
        <v>-0.26</v>
      </c>
      <c r="BZ5016">
        <v>0.1</v>
      </c>
      <c r="CA5016">
        <v>1.54</v>
      </c>
      <c r="CB5016">
        <v>1.24</v>
      </c>
      <c r="CC5016">
        <v>1.6</v>
      </c>
      <c r="CD5016">
        <v>-1.7</v>
      </c>
      <c r="CE5016">
        <v>1.24</v>
      </c>
      <c r="CF5016">
        <v>1.46</v>
      </c>
      <c r="CG5016">
        <v>0</v>
      </c>
      <c r="CH5016">
        <v>-0.54</v>
      </c>
      <c r="CI5016">
        <v>0</v>
      </c>
      <c r="CJ5016">
        <v>-6.5</v>
      </c>
      <c r="CK5016">
        <v>97</v>
      </c>
      <c r="CL5016">
        <v>-0.87</v>
      </c>
      <c r="CM5016">
        <v>96</v>
      </c>
      <c r="CN5016">
        <v>-0.57999999999999996</v>
      </c>
      <c r="CO5016">
        <v>96</v>
      </c>
      <c r="CP5016">
        <v>-4.3</v>
      </c>
      <c r="CQ5016">
        <v>98</v>
      </c>
      <c r="CR5016">
        <v>0</v>
      </c>
      <c r="CS5016">
        <v>0</v>
      </c>
      <c r="CT5016">
        <v>1.1000000000000001</v>
      </c>
      <c r="CU5016">
        <v>96</v>
      </c>
      <c r="CV5016">
        <v>0.03</v>
      </c>
      <c r="CW5016">
        <v>45</v>
      </c>
      <c r="CX5016" t="s">
        <v>648</v>
      </c>
    </row>
    <row r="5017" spans="1:102" x14ac:dyDescent="0.3">
      <c r="A5017" t="str">
        <f>HYPERLINK("https://webapp.icbf.com/v2/app/bull-search/view/77853562","SYG")</f>
        <v>SYG</v>
      </c>
      <c r="B5017" t="s">
        <v>10865</v>
      </c>
      <c r="C5017" t="s">
        <v>5189</v>
      </c>
      <c r="D5017" s="1">
        <v>34489</v>
      </c>
      <c r="E5017" t="s">
        <v>92</v>
      </c>
      <c r="F5017">
        <v>100</v>
      </c>
      <c r="G5017" t="s">
        <v>93</v>
      </c>
      <c r="H5017">
        <v>-469.38</v>
      </c>
      <c r="I5017">
        <v>97</v>
      </c>
      <c r="J5017">
        <v>-36.29</v>
      </c>
      <c r="K5017">
        <v>99</v>
      </c>
      <c r="L5017">
        <v>-183.55</v>
      </c>
      <c r="M5017">
        <v>95</v>
      </c>
      <c r="N5017">
        <v>-230.21</v>
      </c>
      <c r="O5017">
        <v>98</v>
      </c>
      <c r="P5017">
        <v>-16.18</v>
      </c>
      <c r="Q5017">
        <v>99</v>
      </c>
      <c r="R5017">
        <v>-13.7</v>
      </c>
      <c r="S5017">
        <v>95</v>
      </c>
      <c r="T5017">
        <v>12.72</v>
      </c>
      <c r="U5017">
        <v>99</v>
      </c>
      <c r="V5017">
        <v>-2.17</v>
      </c>
      <c r="W5017">
        <v>94</v>
      </c>
      <c r="X5017" t="s">
        <v>131</v>
      </c>
      <c r="Y5017" t="s">
        <v>95</v>
      </c>
      <c r="Z5017" t="s">
        <v>96</v>
      </c>
      <c r="AA5017" t="s">
        <v>682</v>
      </c>
      <c r="AB5017" t="s">
        <v>10866</v>
      </c>
      <c r="AC5017">
        <v>1561</v>
      </c>
      <c r="AD5017">
        <v>500</v>
      </c>
      <c r="AE5017">
        <v>99</v>
      </c>
      <c r="AF5017">
        <v>-75.37</v>
      </c>
      <c r="AG5017">
        <v>-3.24</v>
      </c>
      <c r="AH5017">
        <v>-6.18</v>
      </c>
      <c r="AI5017">
        <v>-0.01</v>
      </c>
      <c r="AJ5017">
        <v>-0.06</v>
      </c>
      <c r="AK5017">
        <v>95</v>
      </c>
      <c r="AL5017">
        <v>1377</v>
      </c>
      <c r="AM5017">
        <v>466</v>
      </c>
      <c r="AN5017">
        <v>10.61</v>
      </c>
      <c r="AO5017">
        <v>-4.0199999999999996</v>
      </c>
      <c r="AP5017">
        <v>2137</v>
      </c>
      <c r="AQ5017">
        <v>4</v>
      </c>
      <c r="AR5017">
        <v>21.72</v>
      </c>
      <c r="AS5017">
        <v>96</v>
      </c>
      <c r="AT5017">
        <v>11.48</v>
      </c>
      <c r="AU5017">
        <v>99</v>
      </c>
      <c r="AV5017">
        <v>2.29</v>
      </c>
      <c r="AW5017">
        <v>99</v>
      </c>
      <c r="AX5017">
        <v>1.21</v>
      </c>
      <c r="AY5017">
        <v>98</v>
      </c>
      <c r="AZ5017">
        <v>5.32</v>
      </c>
      <c r="BA5017">
        <v>96</v>
      </c>
      <c r="BB5017">
        <v>4.3</v>
      </c>
      <c r="BC5017">
        <v>96</v>
      </c>
      <c r="BD5017">
        <v>0.09</v>
      </c>
      <c r="BE5017">
        <v>0.05</v>
      </c>
      <c r="BF5017">
        <v>7.0000000000000007E-2</v>
      </c>
      <c r="BG5017">
        <v>99</v>
      </c>
      <c r="BH5017">
        <v>0.06</v>
      </c>
      <c r="BI5017">
        <v>13.95</v>
      </c>
      <c r="BJ5017">
        <v>735</v>
      </c>
      <c r="BK5017">
        <v>217</v>
      </c>
      <c r="BL5017">
        <v>1.57</v>
      </c>
      <c r="BM5017">
        <v>-2.16</v>
      </c>
      <c r="BN5017">
        <v>1.3</v>
      </c>
      <c r="BO5017">
        <v>1.82</v>
      </c>
      <c r="BP5017">
        <v>-0.13</v>
      </c>
      <c r="BQ5017">
        <v>1.39</v>
      </c>
      <c r="BR5017">
        <v>-1.37</v>
      </c>
      <c r="BS5017">
        <v>2.73</v>
      </c>
      <c r="BT5017">
        <v>2.4</v>
      </c>
      <c r="BU5017">
        <v>2.4900000000000002</v>
      </c>
      <c r="BV5017">
        <v>1.73</v>
      </c>
      <c r="BW5017">
        <v>0.98</v>
      </c>
      <c r="BX5017">
        <v>1.89</v>
      </c>
      <c r="BY5017">
        <v>1.05</v>
      </c>
      <c r="BZ5017">
        <v>-0.66</v>
      </c>
      <c r="CA5017">
        <v>2.25</v>
      </c>
      <c r="CB5017">
        <v>1.85</v>
      </c>
      <c r="CC5017">
        <v>2.21</v>
      </c>
      <c r="CD5017">
        <v>-1.79</v>
      </c>
      <c r="CE5017">
        <v>1.53</v>
      </c>
      <c r="CF5017">
        <v>1.37</v>
      </c>
      <c r="CG5017">
        <v>0</v>
      </c>
      <c r="CH5017">
        <v>1.06</v>
      </c>
      <c r="CI5017">
        <v>0</v>
      </c>
      <c r="CJ5017">
        <v>-8</v>
      </c>
      <c r="CK5017">
        <v>99</v>
      </c>
      <c r="CL5017">
        <v>-1.1000000000000001</v>
      </c>
      <c r="CM5017">
        <v>99</v>
      </c>
      <c r="CN5017">
        <v>-0.63</v>
      </c>
      <c r="CO5017">
        <v>99</v>
      </c>
      <c r="CP5017">
        <v>-7.8</v>
      </c>
      <c r="CQ5017">
        <v>99</v>
      </c>
      <c r="CR5017">
        <v>0</v>
      </c>
      <c r="CS5017">
        <v>0</v>
      </c>
      <c r="CT5017">
        <v>-3.4</v>
      </c>
      <c r="CU5017">
        <v>99</v>
      </c>
      <c r="CV5017">
        <v>0.12</v>
      </c>
      <c r="CW5017">
        <v>46</v>
      </c>
      <c r="CX5017" t="s">
        <v>166</v>
      </c>
    </row>
  </sheetData>
  <autoFilter ref="A5:CX5" xr:uid="{0182913B-3631-4324-B4DA-1E4F81CBB516}">
    <filterColumn colId="9" showButton="0"/>
    <sortState xmlns:xlrd2="http://schemas.microsoft.com/office/spreadsheetml/2017/richdata2" ref="A6:CX5017">
      <sortCondition descending="1" ref="H5"/>
    </sortState>
  </autoFilter>
  <mergeCells count="16">
    <mergeCell ref="AP3:BC3"/>
    <mergeCell ref="J5:K5"/>
    <mergeCell ref="CJ3:CW3"/>
    <mergeCell ref="H4:I4"/>
    <mergeCell ref="J4:K4"/>
    <mergeCell ref="L4:M4"/>
    <mergeCell ref="N4:O4"/>
    <mergeCell ref="P4:Q4"/>
    <mergeCell ref="R4:S4"/>
    <mergeCell ref="T4:U4"/>
    <mergeCell ref="V4:W4"/>
    <mergeCell ref="AC3:AJ3"/>
    <mergeCell ref="AK3:AO3"/>
    <mergeCell ref="BD3:BG3"/>
    <mergeCell ref="BH3:BI3"/>
    <mergeCell ref="CA3:C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442EF-D29B-4CA4-9E9F-0B0FF453F189}">
  <dimension ref="A1"/>
  <sheetViews>
    <sheetView workbookViewId="0">
      <selection sqref="A1:A1048576"/>
    </sheetView>
  </sheetViews>
  <sheetFormatPr defaultRowHeight="14.4" x14ac:dyDescent="0.3"/>
  <sheetData>
    <row r="1" spans="1:1" x14ac:dyDescent="0.3">
      <c r="A1" t="s">
        <v>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BV_Extract_Dairy_web_230120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Tom Neville</cp:lastModifiedBy>
  <dcterms:created xsi:type="dcterms:W3CDTF">2020-01-23T13:05:36Z</dcterms:created>
  <dcterms:modified xsi:type="dcterms:W3CDTF">2020-01-23T15:23:05Z</dcterms:modified>
</cp:coreProperties>
</file>